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9095" windowHeight="11760"/>
  </bookViews>
  <sheets>
    <sheet name="CSV_2018-10-12-144450" sheetId="1" r:id="rId1"/>
  </sheets>
  <calcPr calcId="0"/>
</workbook>
</file>

<file path=xl/calcChain.xml><?xml version="1.0" encoding="utf-8"?>
<calcChain xmlns="http://schemas.openxmlformats.org/spreadsheetml/2006/main">
  <c r="B2" i="1"/>
  <c r="H2"/>
  <c r="AI2"/>
  <c r="B3"/>
  <c r="H3"/>
  <c r="AI3"/>
  <c r="B4"/>
  <c r="H4"/>
  <c r="AI4"/>
  <c r="B5"/>
  <c r="H5"/>
  <c r="AI5"/>
  <c r="B6"/>
  <c r="H6"/>
  <c r="AI6"/>
  <c r="B7"/>
  <c r="H7"/>
  <c r="AI7"/>
  <c r="B8"/>
  <c r="H8"/>
  <c r="AI8"/>
  <c r="B9"/>
  <c r="H9"/>
  <c r="AI9"/>
  <c r="B10"/>
  <c r="H10"/>
  <c r="AI10"/>
  <c r="B11"/>
  <c r="H11"/>
  <c r="AI11"/>
  <c r="B12"/>
  <c r="H12"/>
  <c r="AI12"/>
  <c r="B13"/>
  <c r="H13"/>
  <c r="AI13"/>
  <c r="B14"/>
  <c r="H14"/>
  <c r="AI14"/>
  <c r="B15"/>
  <c r="H15"/>
  <c r="AI15"/>
  <c r="B16"/>
  <c r="H16"/>
  <c r="AI16"/>
  <c r="B17"/>
  <c r="H17"/>
  <c r="AI17"/>
  <c r="B18"/>
  <c r="H18"/>
  <c r="AI18"/>
  <c r="B19"/>
  <c r="H19"/>
  <c r="AI19"/>
  <c r="B20"/>
  <c r="H20"/>
  <c r="AI20"/>
  <c r="B21"/>
  <c r="H21"/>
  <c r="AI21"/>
  <c r="B22"/>
  <c r="H22"/>
  <c r="AI22"/>
  <c r="B23"/>
  <c r="H23"/>
  <c r="AI23"/>
  <c r="B24"/>
  <c r="H24"/>
  <c r="AI24"/>
  <c r="B25"/>
  <c r="H25"/>
  <c r="AI25"/>
  <c r="B26"/>
  <c r="H26"/>
  <c r="AI26"/>
  <c r="B27"/>
  <c r="H27"/>
  <c r="AI27"/>
  <c r="B28"/>
  <c r="H28"/>
  <c r="AI28"/>
  <c r="B29"/>
  <c r="H29"/>
  <c r="AI29"/>
  <c r="B30"/>
  <c r="H30"/>
  <c r="AI30"/>
  <c r="B31"/>
  <c r="H31"/>
  <c r="AI31"/>
  <c r="B32"/>
  <c r="H32"/>
  <c r="AI32"/>
  <c r="B33"/>
  <c r="H33"/>
  <c r="AI33"/>
  <c r="B34"/>
  <c r="H34"/>
  <c r="AI34"/>
  <c r="B35"/>
  <c r="H35"/>
  <c r="AI35"/>
  <c r="B36"/>
  <c r="H36"/>
  <c r="AI36"/>
  <c r="B37"/>
  <c r="H37"/>
  <c r="AI37"/>
  <c r="B38"/>
  <c r="H38"/>
  <c r="AI38"/>
  <c r="B39"/>
  <c r="H39"/>
  <c r="AI39"/>
  <c r="B40"/>
  <c r="H40"/>
  <c r="AI40"/>
  <c r="B41"/>
  <c r="H41"/>
  <c r="AI41"/>
  <c r="B42"/>
  <c r="H42"/>
  <c r="AI42"/>
  <c r="B43"/>
  <c r="H43"/>
  <c r="AI43"/>
  <c r="B44"/>
  <c r="H44"/>
  <c r="AI44"/>
  <c r="B45"/>
  <c r="H45"/>
  <c r="AI45"/>
  <c r="B46"/>
  <c r="H46"/>
  <c r="AI46"/>
  <c r="B47"/>
  <c r="H47"/>
  <c r="AI47"/>
  <c r="B48"/>
  <c r="H48"/>
  <c r="AI48"/>
  <c r="B49"/>
  <c r="H49"/>
  <c r="AI49"/>
  <c r="B50"/>
  <c r="H50"/>
  <c r="AI50"/>
  <c r="B51"/>
  <c r="H51"/>
  <c r="AI51"/>
  <c r="B52"/>
  <c r="H52"/>
  <c r="AI52"/>
  <c r="B53"/>
  <c r="H53"/>
  <c r="AI53"/>
  <c r="B54"/>
  <c r="H54"/>
  <c r="AI54"/>
  <c r="B55"/>
  <c r="H55"/>
  <c r="AI55"/>
  <c r="B56"/>
  <c r="H56"/>
  <c r="AI56"/>
  <c r="B57"/>
  <c r="H57"/>
  <c r="AI57"/>
  <c r="B58"/>
  <c r="H58"/>
  <c r="AI58"/>
  <c r="B59"/>
  <c r="H59"/>
  <c r="AI59"/>
  <c r="B60"/>
  <c r="H60"/>
  <c r="AI60"/>
  <c r="B61"/>
  <c r="H61"/>
  <c r="AI61"/>
  <c r="B62"/>
  <c r="H62"/>
  <c r="AI62"/>
  <c r="B63"/>
  <c r="H63"/>
  <c r="AI63"/>
  <c r="B64"/>
  <c r="H64"/>
  <c r="AI64"/>
  <c r="B65"/>
  <c r="H65"/>
  <c r="AI65"/>
  <c r="B66"/>
  <c r="H66"/>
  <c r="AI66"/>
  <c r="B67"/>
  <c r="H67"/>
  <c r="AI67"/>
  <c r="B68"/>
  <c r="H68"/>
  <c r="AI68"/>
  <c r="B69"/>
  <c r="H69"/>
  <c r="AI69"/>
  <c r="B70"/>
  <c r="H70"/>
  <c r="AI70"/>
  <c r="B71"/>
  <c r="H71"/>
  <c r="AI71"/>
  <c r="B72"/>
  <c r="H72"/>
  <c r="AI72"/>
  <c r="B73"/>
  <c r="H73"/>
  <c r="AI73"/>
  <c r="B74"/>
  <c r="H74"/>
  <c r="AI74"/>
  <c r="B75"/>
  <c r="H75"/>
  <c r="AI75"/>
  <c r="B76"/>
  <c r="H76"/>
  <c r="AI76"/>
  <c r="B77"/>
  <c r="H77"/>
  <c r="AI77"/>
  <c r="B78"/>
  <c r="H78"/>
  <c r="AI78"/>
  <c r="B79"/>
  <c r="H79"/>
  <c r="AI79"/>
  <c r="B80"/>
  <c r="H80"/>
  <c r="AI80"/>
  <c r="B81"/>
  <c r="H81"/>
  <c r="AI81"/>
  <c r="B82"/>
  <c r="H82"/>
  <c r="AI82"/>
  <c r="B83"/>
  <c r="H83"/>
  <c r="AI83"/>
  <c r="B84"/>
  <c r="H84"/>
  <c r="AI84"/>
  <c r="B85"/>
  <c r="H85"/>
  <c r="AI85"/>
  <c r="B86"/>
  <c r="H86"/>
  <c r="AI86"/>
  <c r="B87"/>
  <c r="H87"/>
  <c r="AI87"/>
  <c r="B88"/>
  <c r="H88"/>
  <c r="AI88"/>
  <c r="B89"/>
  <c r="H89"/>
  <c r="AI89"/>
  <c r="B90"/>
  <c r="H90"/>
  <c r="AI90"/>
  <c r="B91"/>
  <c r="H91"/>
  <c r="AI91"/>
  <c r="B92"/>
  <c r="H92"/>
  <c r="AI92"/>
  <c r="B93"/>
  <c r="H93"/>
  <c r="AI93"/>
  <c r="B94"/>
  <c r="H94"/>
  <c r="AI94"/>
  <c r="B95"/>
  <c r="H95"/>
  <c r="AI95"/>
  <c r="B96"/>
  <c r="H96"/>
  <c r="AI96"/>
  <c r="B97"/>
  <c r="H97"/>
  <c r="AI97"/>
  <c r="B98"/>
  <c r="H98"/>
  <c r="AI98"/>
  <c r="B99"/>
  <c r="H99"/>
  <c r="AI99"/>
  <c r="B100"/>
  <c r="H100"/>
  <c r="AI100"/>
  <c r="B101"/>
  <c r="H101"/>
  <c r="AI101"/>
  <c r="B102"/>
  <c r="H102"/>
  <c r="AI102"/>
  <c r="B103"/>
  <c r="H103"/>
  <c r="AI103"/>
  <c r="B104"/>
  <c r="H104"/>
  <c r="AI104"/>
  <c r="B105"/>
  <c r="H105"/>
  <c r="AI105"/>
  <c r="B106"/>
  <c r="H106"/>
  <c r="AI106"/>
  <c r="B107"/>
  <c r="H107"/>
  <c r="AI107"/>
  <c r="B108"/>
  <c r="H108"/>
  <c r="AI108"/>
  <c r="B109"/>
  <c r="H109"/>
  <c r="AI109"/>
  <c r="B110"/>
  <c r="H110"/>
  <c r="AI110"/>
  <c r="B111"/>
  <c r="H111"/>
  <c r="AI111"/>
  <c r="B112"/>
  <c r="H112"/>
  <c r="AI112"/>
  <c r="B113"/>
  <c r="H113"/>
  <c r="AI113"/>
  <c r="B114"/>
  <c r="H114"/>
  <c r="AI114"/>
  <c r="B115"/>
  <c r="H115"/>
  <c r="AI115"/>
  <c r="B116"/>
  <c r="H116"/>
  <c r="AI116"/>
  <c r="B117"/>
  <c r="H117"/>
  <c r="AI117"/>
  <c r="B118"/>
  <c r="H118"/>
  <c r="AI118"/>
  <c r="B119"/>
  <c r="H119"/>
  <c r="AI119"/>
  <c r="B120"/>
  <c r="H120"/>
  <c r="AI120"/>
  <c r="B121"/>
  <c r="H121"/>
  <c r="AI121"/>
  <c r="B122"/>
  <c r="H122"/>
  <c r="AI122"/>
  <c r="B123"/>
  <c r="H123"/>
  <c r="AI123"/>
  <c r="B124"/>
  <c r="H124"/>
  <c r="AI124"/>
  <c r="B125"/>
  <c r="H125"/>
  <c r="AI125"/>
  <c r="B126"/>
  <c r="H126"/>
  <c r="AI126"/>
  <c r="B127"/>
  <c r="H127"/>
  <c r="AI127"/>
  <c r="B128"/>
  <c r="H128"/>
  <c r="AI128"/>
  <c r="B129"/>
  <c r="H129"/>
  <c r="AI129"/>
  <c r="B130"/>
  <c r="H130"/>
  <c r="AI130"/>
  <c r="B131"/>
  <c r="H131"/>
  <c r="AI131"/>
  <c r="B132"/>
  <c r="H132"/>
  <c r="AI132"/>
  <c r="B133"/>
  <c r="H133"/>
  <c r="AI133"/>
  <c r="B134"/>
  <c r="H134"/>
  <c r="AI134"/>
  <c r="B135"/>
  <c r="H135"/>
  <c r="AI135"/>
  <c r="B136"/>
  <c r="H136"/>
  <c r="AI136"/>
  <c r="B137"/>
  <c r="H137"/>
  <c r="AI137"/>
  <c r="B138"/>
  <c r="H138"/>
  <c r="AI138"/>
  <c r="B139"/>
  <c r="H139"/>
  <c r="AI139"/>
  <c r="B140"/>
  <c r="H140"/>
  <c r="AI140"/>
  <c r="B141"/>
  <c r="H141"/>
  <c r="AI141"/>
  <c r="B142"/>
  <c r="H142"/>
  <c r="AI142"/>
  <c r="B143"/>
  <c r="H143"/>
  <c r="AI143"/>
  <c r="B144"/>
  <c r="H144"/>
  <c r="AI144"/>
  <c r="B145"/>
  <c r="H145"/>
  <c r="AI145"/>
  <c r="B146"/>
  <c r="H146"/>
  <c r="AI146"/>
  <c r="B147"/>
  <c r="H147"/>
  <c r="AI147"/>
  <c r="B148"/>
  <c r="H148"/>
  <c r="AI148"/>
  <c r="B149"/>
  <c r="H149"/>
  <c r="AI149"/>
  <c r="B150"/>
  <c r="H150"/>
  <c r="AI150"/>
  <c r="B151"/>
  <c r="H151"/>
  <c r="AI151"/>
  <c r="B152"/>
  <c r="H152"/>
  <c r="AI152"/>
  <c r="B153"/>
  <c r="H153"/>
  <c r="AI153"/>
  <c r="B154"/>
  <c r="H154"/>
  <c r="AI154"/>
  <c r="B155"/>
  <c r="H155"/>
  <c r="AI155"/>
  <c r="B156"/>
  <c r="H156"/>
  <c r="AI156"/>
  <c r="B157"/>
  <c r="H157"/>
  <c r="AI157"/>
  <c r="B158"/>
  <c r="H158"/>
  <c r="AI158"/>
  <c r="B159"/>
  <c r="H159"/>
  <c r="AI159"/>
  <c r="B160"/>
  <c r="H160"/>
  <c r="AI160"/>
  <c r="B161"/>
  <c r="H161"/>
  <c r="AI161"/>
  <c r="B162"/>
  <c r="H162"/>
  <c r="AI162"/>
  <c r="B163"/>
  <c r="H163"/>
  <c r="AI163"/>
  <c r="B164"/>
  <c r="H164"/>
  <c r="AI164"/>
  <c r="B165"/>
  <c r="H165"/>
  <c r="AI165"/>
  <c r="B166"/>
  <c r="H166"/>
  <c r="AI166"/>
  <c r="B167"/>
  <c r="H167"/>
  <c r="AI167"/>
  <c r="B168"/>
  <c r="H168"/>
  <c r="AI168"/>
  <c r="B169"/>
  <c r="H169"/>
  <c r="AI169"/>
  <c r="B170"/>
  <c r="H170"/>
  <c r="AI170"/>
  <c r="B171"/>
  <c r="H171"/>
  <c r="AI171"/>
  <c r="B172"/>
  <c r="H172"/>
  <c r="AI172"/>
  <c r="B173"/>
  <c r="H173"/>
  <c r="AI173"/>
  <c r="B174"/>
  <c r="H174"/>
  <c r="AI174"/>
  <c r="B175"/>
  <c r="H175"/>
  <c r="AI175"/>
  <c r="B176"/>
  <c r="H176"/>
  <c r="AI176"/>
  <c r="B177"/>
  <c r="H177"/>
  <c r="AI177"/>
  <c r="B178"/>
  <c r="H178"/>
  <c r="AI178"/>
  <c r="B179"/>
  <c r="H179"/>
  <c r="AI179"/>
  <c r="B180"/>
  <c r="H180"/>
  <c r="AI180"/>
  <c r="B181"/>
  <c r="H181"/>
  <c r="AI181"/>
  <c r="B182"/>
  <c r="H182"/>
  <c r="AI182"/>
  <c r="B183"/>
  <c r="H183"/>
  <c r="AI183"/>
  <c r="B184"/>
  <c r="H184"/>
  <c r="AI184"/>
  <c r="B185"/>
  <c r="H185"/>
  <c r="AI185"/>
  <c r="B186"/>
  <c r="H186"/>
  <c r="AI186"/>
  <c r="B187"/>
  <c r="H187"/>
  <c r="AI187"/>
  <c r="B188"/>
  <c r="H188"/>
  <c r="AI188"/>
  <c r="B189"/>
  <c r="H189"/>
  <c r="AI189"/>
  <c r="B190"/>
  <c r="H190"/>
  <c r="AI190"/>
  <c r="B191"/>
  <c r="H191"/>
  <c r="AI191"/>
  <c r="B192"/>
  <c r="H192"/>
  <c r="AI192"/>
  <c r="B193"/>
  <c r="H193"/>
  <c r="AI193"/>
  <c r="B194"/>
  <c r="H194"/>
  <c r="AI194"/>
  <c r="B195"/>
  <c r="H195"/>
  <c r="AI195"/>
  <c r="B196"/>
  <c r="H196"/>
  <c r="AI196"/>
  <c r="B197"/>
  <c r="H197"/>
  <c r="AI197"/>
  <c r="B198"/>
  <c r="H198"/>
  <c r="AI198"/>
  <c r="B199"/>
  <c r="H199"/>
  <c r="AI199"/>
  <c r="B200"/>
  <c r="H200"/>
  <c r="AI200"/>
  <c r="B201"/>
  <c r="H201"/>
  <c r="AI201"/>
  <c r="B202"/>
  <c r="H202"/>
  <c r="AI202"/>
  <c r="B203"/>
  <c r="H203"/>
  <c r="AI203"/>
  <c r="B204"/>
  <c r="H204"/>
  <c r="AI204"/>
  <c r="B205"/>
  <c r="H205"/>
  <c r="AI205"/>
  <c r="B206"/>
  <c r="H206"/>
  <c r="AI206"/>
  <c r="B207"/>
  <c r="H207"/>
  <c r="AI207"/>
  <c r="B208"/>
  <c r="H208"/>
  <c r="AI208"/>
  <c r="B209"/>
  <c r="H209"/>
  <c r="AI209"/>
  <c r="B210"/>
  <c r="H210"/>
  <c r="AI210"/>
  <c r="B211"/>
  <c r="H211"/>
  <c r="AI211"/>
  <c r="B212"/>
  <c r="H212"/>
  <c r="AI212"/>
  <c r="B213"/>
  <c r="H213"/>
  <c r="AI213"/>
  <c r="B214"/>
  <c r="H214"/>
  <c r="AI214"/>
  <c r="B215"/>
  <c r="H215"/>
  <c r="AI215"/>
  <c r="B216"/>
  <c r="H216"/>
  <c r="AI216"/>
  <c r="B217"/>
  <c r="H217"/>
  <c r="AI217"/>
  <c r="B218"/>
  <c r="H218"/>
  <c r="AI218"/>
  <c r="B219"/>
  <c r="H219"/>
  <c r="AI219"/>
  <c r="B220"/>
  <c r="H220"/>
  <c r="AI220"/>
  <c r="B221"/>
  <c r="H221"/>
  <c r="AI221"/>
  <c r="B222"/>
  <c r="H222"/>
  <c r="AI222"/>
  <c r="B223"/>
  <c r="H223"/>
  <c r="AI223"/>
  <c r="B224"/>
  <c r="H224"/>
  <c r="AI224"/>
  <c r="B225"/>
  <c r="H225"/>
  <c r="AI225"/>
  <c r="B226"/>
  <c r="H226"/>
  <c r="AI226"/>
  <c r="B227"/>
  <c r="H227"/>
  <c r="AI227"/>
  <c r="B228"/>
  <c r="H228"/>
  <c r="AI228"/>
  <c r="B229"/>
  <c r="H229"/>
  <c r="AI229"/>
  <c r="B230"/>
  <c r="H230"/>
  <c r="AI230"/>
  <c r="B231"/>
  <c r="H231"/>
  <c r="AI231"/>
  <c r="B232"/>
  <c r="H232"/>
  <c r="AI232"/>
  <c r="B233"/>
  <c r="H233"/>
  <c r="AI233"/>
  <c r="B234"/>
  <c r="H234"/>
  <c r="AI234"/>
  <c r="B235"/>
  <c r="H235"/>
  <c r="AI235"/>
  <c r="B236"/>
  <c r="H236"/>
  <c r="AI236"/>
  <c r="B237"/>
  <c r="H237"/>
  <c r="AI237"/>
  <c r="B238"/>
  <c r="H238"/>
  <c r="AI238"/>
  <c r="B239"/>
  <c r="H239"/>
  <c r="AI239"/>
  <c r="B240"/>
  <c r="H240"/>
  <c r="AI240"/>
  <c r="B241"/>
  <c r="H241"/>
  <c r="AI241"/>
  <c r="B242"/>
  <c r="H242"/>
  <c r="AI242"/>
  <c r="B243"/>
  <c r="H243"/>
  <c r="AI243"/>
  <c r="B244"/>
  <c r="H244"/>
  <c r="AI244"/>
  <c r="B245"/>
  <c r="H245"/>
  <c r="AI245"/>
  <c r="B246"/>
  <c r="H246"/>
  <c r="AI246"/>
  <c r="B247"/>
  <c r="H247"/>
  <c r="AI247"/>
  <c r="B248"/>
  <c r="H248"/>
  <c r="AI248"/>
  <c r="B249"/>
  <c r="H249"/>
  <c r="AI249"/>
  <c r="B250"/>
  <c r="H250"/>
  <c r="AI250"/>
  <c r="B251"/>
  <c r="H251"/>
  <c r="AI251"/>
  <c r="B252"/>
  <c r="H252"/>
  <c r="AI252"/>
  <c r="B253"/>
  <c r="H253"/>
  <c r="AI253"/>
  <c r="B254"/>
  <c r="H254"/>
  <c r="AI254"/>
  <c r="B255"/>
  <c r="H255"/>
  <c r="AI255"/>
  <c r="B256"/>
  <c r="H256"/>
  <c r="AI256"/>
  <c r="B257"/>
  <c r="H257"/>
  <c r="AI257"/>
  <c r="B258"/>
  <c r="H258"/>
  <c r="AI258"/>
  <c r="B259"/>
  <c r="H259"/>
  <c r="AI259"/>
  <c r="B260"/>
  <c r="H260"/>
  <c r="AI260"/>
  <c r="B261"/>
  <c r="H261"/>
  <c r="AI261"/>
  <c r="B262"/>
  <c r="H262"/>
  <c r="AI262"/>
  <c r="B263"/>
  <c r="H263"/>
  <c r="AI263"/>
  <c r="B264"/>
  <c r="H264"/>
  <c r="AI264"/>
  <c r="B265"/>
  <c r="H265"/>
  <c r="AI265"/>
  <c r="B266"/>
  <c r="H266"/>
  <c r="AI266"/>
  <c r="B267"/>
  <c r="H267"/>
  <c r="AI267"/>
  <c r="B268"/>
  <c r="H268"/>
  <c r="AI268"/>
  <c r="B269"/>
  <c r="H269"/>
  <c r="AI269"/>
  <c r="B270"/>
  <c r="H270"/>
  <c r="AI270"/>
  <c r="B271"/>
  <c r="H271"/>
  <c r="AI271"/>
  <c r="B272"/>
  <c r="H272"/>
  <c r="AI272"/>
  <c r="B273"/>
  <c r="H273"/>
  <c r="AI273"/>
  <c r="B274"/>
  <c r="H274"/>
  <c r="AI274"/>
  <c r="B275"/>
  <c r="H275"/>
  <c r="AI275"/>
  <c r="B276"/>
  <c r="H276"/>
  <c r="AI276"/>
  <c r="B277"/>
  <c r="H277"/>
  <c r="AI277"/>
  <c r="B278"/>
  <c r="H278"/>
  <c r="AI278"/>
  <c r="B279"/>
  <c r="H279"/>
  <c r="AI279"/>
  <c r="B280"/>
  <c r="H280"/>
  <c r="AI280"/>
  <c r="B281"/>
  <c r="H281"/>
  <c r="AI281"/>
  <c r="B282"/>
  <c r="H282"/>
  <c r="AI282"/>
  <c r="B283"/>
  <c r="H283"/>
  <c r="AI283"/>
  <c r="B284"/>
  <c r="H284"/>
  <c r="AI284"/>
  <c r="B285"/>
  <c r="H285"/>
  <c r="AI285"/>
  <c r="B286"/>
  <c r="H286"/>
  <c r="AI286"/>
  <c r="B287"/>
  <c r="H287"/>
  <c r="AI287"/>
  <c r="B288"/>
  <c r="H288"/>
  <c r="AI288"/>
  <c r="B289"/>
  <c r="H289"/>
  <c r="AI289"/>
  <c r="B290"/>
  <c r="H290"/>
  <c r="AI290"/>
  <c r="B291"/>
  <c r="H291"/>
  <c r="AI291"/>
  <c r="B292"/>
  <c r="H292"/>
  <c r="AI292"/>
  <c r="B293"/>
  <c r="H293"/>
  <c r="AI293"/>
  <c r="B294"/>
  <c r="H294"/>
  <c r="AI294"/>
  <c r="B295"/>
  <c r="H295"/>
  <c r="AI295"/>
  <c r="B296"/>
  <c r="H296"/>
  <c r="AI296"/>
  <c r="B297"/>
  <c r="H297"/>
  <c r="AI297"/>
  <c r="B298"/>
  <c r="H298"/>
  <c r="AI298"/>
  <c r="B299"/>
  <c r="H299"/>
  <c r="AI299"/>
  <c r="B300"/>
  <c r="H300"/>
  <c r="AI300"/>
  <c r="B301"/>
  <c r="H301"/>
  <c r="AI301"/>
  <c r="B302"/>
  <c r="H302"/>
  <c r="AI302"/>
  <c r="B303"/>
  <c r="H303"/>
  <c r="AI303"/>
  <c r="B304"/>
  <c r="H304"/>
  <c r="AI304"/>
  <c r="B305"/>
  <c r="H305"/>
  <c r="AI305"/>
  <c r="B306"/>
  <c r="H306"/>
  <c r="AI306"/>
  <c r="B307"/>
  <c r="H307"/>
  <c r="AI307"/>
  <c r="B308"/>
  <c r="H308"/>
  <c r="AI308"/>
  <c r="B309"/>
  <c r="H309"/>
  <c r="AI309"/>
  <c r="B310"/>
  <c r="H310"/>
  <c r="AI310"/>
  <c r="B311"/>
  <c r="H311"/>
  <c r="AI311"/>
  <c r="B312"/>
  <c r="H312"/>
  <c r="AI312"/>
  <c r="B313"/>
  <c r="H313"/>
  <c r="AI313"/>
  <c r="B314"/>
  <c r="H314"/>
  <c r="AI314"/>
  <c r="B315"/>
  <c r="H315"/>
  <c r="AI315"/>
  <c r="B316"/>
  <c r="H316"/>
  <c r="AI316"/>
  <c r="B317"/>
  <c r="H317"/>
  <c r="AI317"/>
  <c r="B318"/>
  <c r="H318"/>
  <c r="AI318"/>
  <c r="B319"/>
  <c r="H319"/>
  <c r="AI319"/>
  <c r="B320"/>
  <c r="H320"/>
  <c r="AI320"/>
  <c r="B321"/>
  <c r="H321"/>
  <c r="AI321"/>
  <c r="B322"/>
  <c r="H322"/>
  <c r="AI322"/>
  <c r="B323"/>
  <c r="H323"/>
  <c r="AI323"/>
  <c r="B324"/>
  <c r="H324"/>
  <c r="AI324"/>
  <c r="B325"/>
  <c r="H325"/>
  <c r="AI325"/>
  <c r="B326"/>
  <c r="H326"/>
  <c r="AI326"/>
  <c r="B327"/>
  <c r="H327"/>
  <c r="AI327"/>
  <c r="B328"/>
  <c r="H328"/>
  <c r="AI328"/>
  <c r="B329"/>
  <c r="H329"/>
  <c r="AI329"/>
  <c r="B330"/>
  <c r="H330"/>
  <c r="AI330"/>
  <c r="B331"/>
  <c r="H331"/>
  <c r="AI331"/>
  <c r="B332"/>
  <c r="H332"/>
  <c r="AI332"/>
  <c r="B333"/>
  <c r="H333"/>
  <c r="AI333"/>
  <c r="B334"/>
  <c r="H334"/>
  <c r="AI334"/>
  <c r="B335"/>
  <c r="H335"/>
  <c r="AI335"/>
  <c r="B336"/>
  <c r="H336"/>
  <c r="AI336"/>
  <c r="B337"/>
  <c r="H337"/>
  <c r="AI337"/>
  <c r="B338"/>
  <c r="H338"/>
  <c r="AI338"/>
  <c r="B339"/>
  <c r="H339"/>
  <c r="AI339"/>
  <c r="B340"/>
  <c r="H340"/>
  <c r="AI340"/>
  <c r="B341"/>
  <c r="H341"/>
  <c r="AI341"/>
  <c r="B342"/>
  <c r="H342"/>
  <c r="AI342"/>
  <c r="B343"/>
  <c r="H343"/>
  <c r="AI343"/>
  <c r="B344"/>
  <c r="H344"/>
  <c r="AI344"/>
  <c r="B345"/>
  <c r="H345"/>
  <c r="AI345"/>
  <c r="B346"/>
  <c r="H346"/>
  <c r="AI346"/>
  <c r="B347"/>
  <c r="H347"/>
  <c r="AI347"/>
  <c r="B348"/>
  <c r="H348"/>
  <c r="AI348"/>
  <c r="B349"/>
  <c r="H349"/>
  <c r="AI349"/>
  <c r="B350"/>
  <c r="H350"/>
  <c r="AI350"/>
  <c r="B351"/>
  <c r="H351"/>
  <c r="AI351"/>
  <c r="B352"/>
  <c r="H352"/>
  <c r="AI352"/>
  <c r="B353"/>
  <c r="H353"/>
  <c r="AI353"/>
  <c r="B354"/>
  <c r="H354"/>
  <c r="AI354"/>
  <c r="B355"/>
  <c r="H355"/>
  <c r="AI355"/>
  <c r="B356"/>
  <c r="H356"/>
  <c r="AI356"/>
  <c r="B357"/>
  <c r="H357"/>
  <c r="AI357"/>
  <c r="B358"/>
  <c r="H358"/>
  <c r="AI358"/>
  <c r="B359"/>
  <c r="H359"/>
  <c r="AI359"/>
  <c r="B360"/>
  <c r="H360"/>
  <c r="AI360"/>
  <c r="B361"/>
  <c r="H361"/>
  <c r="AI361"/>
  <c r="B362"/>
  <c r="H362"/>
  <c r="AI362"/>
  <c r="B363"/>
  <c r="H363"/>
  <c r="AI363"/>
  <c r="B364"/>
  <c r="H364"/>
  <c r="AI364"/>
  <c r="B365"/>
  <c r="H365"/>
  <c r="AI365"/>
  <c r="B366"/>
  <c r="H366"/>
  <c r="AI366"/>
  <c r="B367"/>
  <c r="H367"/>
  <c r="AI367"/>
  <c r="B368"/>
  <c r="H368"/>
  <c r="AI368"/>
  <c r="B369"/>
  <c r="H369"/>
  <c r="AI369"/>
  <c r="B370"/>
  <c r="H370"/>
  <c r="AI370"/>
  <c r="B371"/>
  <c r="H371"/>
  <c r="AI371"/>
  <c r="B372"/>
  <c r="H372"/>
  <c r="AI372"/>
  <c r="B373"/>
  <c r="H373"/>
  <c r="AI373"/>
  <c r="B374"/>
  <c r="H374"/>
  <c r="AI374"/>
  <c r="B375"/>
  <c r="H375"/>
  <c r="AI375"/>
  <c r="B376"/>
  <c r="H376"/>
  <c r="AI376"/>
  <c r="B377"/>
  <c r="H377"/>
  <c r="AI377"/>
  <c r="B378"/>
  <c r="H378"/>
  <c r="AI378"/>
  <c r="B379"/>
  <c r="H379"/>
  <c r="AI379"/>
  <c r="B380"/>
  <c r="H380"/>
  <c r="AI380"/>
  <c r="B381"/>
  <c r="H381"/>
  <c r="AI381"/>
  <c r="B382"/>
  <c r="H382"/>
  <c r="AI382"/>
  <c r="B383"/>
  <c r="H383"/>
  <c r="AI383"/>
  <c r="B384"/>
  <c r="H384"/>
  <c r="AI384"/>
  <c r="B385"/>
  <c r="H385"/>
  <c r="AI385"/>
  <c r="B386"/>
  <c r="H386"/>
  <c r="AI386"/>
  <c r="B387"/>
  <c r="H387"/>
  <c r="AI387"/>
  <c r="B388"/>
  <c r="H388"/>
  <c r="AI388"/>
  <c r="B389"/>
  <c r="H389"/>
  <c r="AI389"/>
  <c r="B390"/>
  <c r="H390"/>
  <c r="AI390"/>
  <c r="B391"/>
  <c r="H391"/>
  <c r="AI391"/>
  <c r="B392"/>
  <c r="H392"/>
  <c r="AI392"/>
  <c r="B393"/>
  <c r="H393"/>
  <c r="AI393"/>
  <c r="B394"/>
  <c r="H394"/>
  <c r="AI394"/>
  <c r="B395"/>
  <c r="H395"/>
  <c r="AI395"/>
  <c r="B396"/>
  <c r="H396"/>
  <c r="AI396"/>
  <c r="B397"/>
  <c r="H397"/>
  <c r="AI397"/>
  <c r="B398"/>
  <c r="H398"/>
  <c r="AI398"/>
  <c r="B399"/>
  <c r="H399"/>
  <c r="AI399"/>
  <c r="B400"/>
  <c r="H400"/>
  <c r="AI400"/>
  <c r="B401"/>
  <c r="H401"/>
  <c r="AI401"/>
  <c r="B402"/>
  <c r="H402"/>
  <c r="AI402"/>
  <c r="B403"/>
  <c r="H403"/>
  <c r="AI403"/>
  <c r="B404"/>
  <c r="H404"/>
  <c r="AI404"/>
  <c r="B405"/>
  <c r="H405"/>
  <c r="AI405"/>
  <c r="B406"/>
  <c r="H406"/>
  <c r="AI406"/>
  <c r="B407"/>
  <c r="H407"/>
  <c r="AI407"/>
  <c r="B408"/>
  <c r="H408"/>
  <c r="AI408"/>
  <c r="B409"/>
  <c r="H409"/>
  <c r="AI409"/>
  <c r="B410"/>
  <c r="H410"/>
  <c r="AI410"/>
  <c r="B411"/>
  <c r="H411"/>
  <c r="AI411"/>
  <c r="B412"/>
  <c r="H412"/>
  <c r="AI412"/>
  <c r="B413"/>
  <c r="H413"/>
  <c r="AI413"/>
  <c r="B414"/>
  <c r="H414"/>
  <c r="AI414"/>
  <c r="B415"/>
  <c r="H415"/>
  <c r="AI415"/>
  <c r="B416"/>
  <c r="H416"/>
  <c r="AI416"/>
  <c r="B417"/>
  <c r="H417"/>
  <c r="AI417"/>
  <c r="B418"/>
  <c r="H418"/>
  <c r="AI418"/>
  <c r="B419"/>
  <c r="H419"/>
  <c r="AI419"/>
  <c r="B420"/>
  <c r="H420"/>
  <c r="AI420"/>
  <c r="B421"/>
  <c r="H421"/>
  <c r="AI421"/>
  <c r="B422"/>
  <c r="H422"/>
  <c r="AI422"/>
  <c r="B423"/>
  <c r="H423"/>
  <c r="AI423"/>
  <c r="B424"/>
  <c r="H424"/>
  <c r="AI424"/>
  <c r="B425"/>
  <c r="H425"/>
  <c r="AI425"/>
  <c r="B426"/>
  <c r="H426"/>
  <c r="AI426"/>
  <c r="B427"/>
  <c r="H427"/>
  <c r="AI427"/>
  <c r="B428"/>
  <c r="H428"/>
  <c r="AI428"/>
  <c r="B429"/>
  <c r="H429"/>
  <c r="AI429"/>
  <c r="B430"/>
  <c r="H430"/>
  <c r="AI430"/>
  <c r="B431"/>
  <c r="H431"/>
  <c r="AI431"/>
  <c r="B432"/>
  <c r="H432"/>
  <c r="AI432"/>
  <c r="B433"/>
  <c r="H433"/>
  <c r="AI433"/>
  <c r="B434"/>
  <c r="H434"/>
  <c r="AI434"/>
  <c r="B435"/>
  <c r="H435"/>
  <c r="AI435"/>
  <c r="B436"/>
  <c r="H436"/>
  <c r="AI436"/>
  <c r="B437"/>
  <c r="H437"/>
  <c r="AI437"/>
  <c r="B438"/>
  <c r="H438"/>
  <c r="AI438"/>
  <c r="B439"/>
  <c r="H439"/>
  <c r="AI439"/>
  <c r="B440"/>
  <c r="H440"/>
  <c r="AI440"/>
  <c r="B441"/>
  <c r="H441"/>
  <c r="AI441"/>
  <c r="B442"/>
  <c r="H442"/>
  <c r="AI442"/>
  <c r="B443"/>
  <c r="H443"/>
  <c r="AI443"/>
  <c r="B444"/>
  <c r="H444"/>
  <c r="AI444"/>
  <c r="B445"/>
  <c r="H445"/>
  <c r="AI445"/>
  <c r="B446"/>
  <c r="H446"/>
  <c r="AI446"/>
  <c r="B447"/>
  <c r="H447"/>
  <c r="AI447"/>
  <c r="B448"/>
  <c r="H448"/>
  <c r="AI448"/>
  <c r="B449"/>
  <c r="H449"/>
  <c r="AI449"/>
  <c r="B450"/>
  <c r="H450"/>
  <c r="AI450"/>
  <c r="B451"/>
  <c r="H451"/>
  <c r="AI451"/>
  <c r="B452"/>
  <c r="H452"/>
  <c r="AI452"/>
  <c r="B453"/>
  <c r="H453"/>
  <c r="AI453"/>
  <c r="B454"/>
  <c r="H454"/>
  <c r="AI454"/>
  <c r="B455"/>
  <c r="H455"/>
  <c r="AI455"/>
  <c r="B456"/>
  <c r="H456"/>
  <c r="AI456"/>
  <c r="B457"/>
  <c r="H457"/>
  <c r="AI457"/>
  <c r="B458"/>
  <c r="H458"/>
  <c r="AI458"/>
  <c r="B459"/>
  <c r="H459"/>
  <c r="AI459"/>
  <c r="B460"/>
  <c r="H460"/>
  <c r="AI460"/>
  <c r="B461"/>
  <c r="H461"/>
  <c r="AI461"/>
  <c r="B462"/>
  <c r="H462"/>
  <c r="AI462"/>
  <c r="B463"/>
  <c r="H463"/>
  <c r="AI463"/>
  <c r="B464"/>
  <c r="H464"/>
  <c r="AI464"/>
  <c r="B465"/>
  <c r="H465"/>
  <c r="AI465"/>
  <c r="B466"/>
  <c r="H466"/>
  <c r="AI466"/>
  <c r="B467"/>
  <c r="H467"/>
  <c r="AI467"/>
  <c r="B468"/>
  <c r="H468"/>
  <c r="AI468"/>
  <c r="B469"/>
  <c r="H469"/>
  <c r="AI469"/>
  <c r="B470"/>
  <c r="H470"/>
  <c r="AI470"/>
  <c r="B471"/>
  <c r="H471"/>
  <c r="AI471"/>
  <c r="B472"/>
  <c r="H472"/>
  <c r="AI472"/>
  <c r="B473"/>
  <c r="H473"/>
  <c r="AI473"/>
  <c r="B474"/>
  <c r="H474"/>
  <c r="AI474"/>
  <c r="B475"/>
  <c r="H475"/>
  <c r="AI475"/>
  <c r="B476"/>
  <c r="H476"/>
  <c r="AI476"/>
  <c r="B477"/>
  <c r="H477"/>
  <c r="AI477"/>
  <c r="B478"/>
  <c r="H478"/>
  <c r="AI478"/>
  <c r="B479"/>
  <c r="H479"/>
  <c r="AI479"/>
  <c r="B480"/>
  <c r="H480"/>
  <c r="AI480"/>
  <c r="B481"/>
  <c r="H481"/>
  <c r="AI481"/>
  <c r="B482"/>
  <c r="H482"/>
  <c r="AI482"/>
  <c r="B483"/>
  <c r="H483"/>
  <c r="AI483"/>
  <c r="B484"/>
  <c r="H484"/>
  <c r="AI484"/>
  <c r="B485"/>
  <c r="H485"/>
  <c r="AI485"/>
  <c r="B486"/>
  <c r="H486"/>
  <c r="AI486"/>
  <c r="B487"/>
  <c r="H487"/>
  <c r="AI487"/>
  <c r="B488"/>
  <c r="H488"/>
  <c r="AI488"/>
  <c r="B489"/>
  <c r="H489"/>
  <c r="AI489"/>
  <c r="B490"/>
  <c r="H490"/>
  <c r="AI490"/>
  <c r="B491"/>
  <c r="H491"/>
  <c r="AI491"/>
  <c r="B492"/>
  <c r="H492"/>
  <c r="AI492"/>
  <c r="B493"/>
  <c r="H493"/>
  <c r="AI493"/>
  <c r="B494"/>
  <c r="H494"/>
  <c r="AI494"/>
  <c r="B495"/>
  <c r="H495"/>
  <c r="AI495"/>
  <c r="B496"/>
  <c r="H496"/>
  <c r="AI496"/>
  <c r="B497"/>
  <c r="H497"/>
  <c r="AI497"/>
  <c r="B498"/>
  <c r="H498"/>
  <c r="AI498"/>
  <c r="B499"/>
  <c r="H499"/>
  <c r="AI499"/>
  <c r="B500"/>
  <c r="H500"/>
  <c r="AI500"/>
  <c r="B501"/>
  <c r="H501"/>
  <c r="AI501"/>
  <c r="B502"/>
  <c r="H502"/>
  <c r="AI502"/>
  <c r="B503"/>
  <c r="H503"/>
  <c r="AI503"/>
  <c r="B504"/>
  <c r="H504"/>
  <c r="AI504"/>
  <c r="B505"/>
  <c r="H505"/>
  <c r="AI505"/>
  <c r="B506"/>
  <c r="H506"/>
  <c r="AI506"/>
  <c r="B507"/>
  <c r="H507"/>
  <c r="AI507"/>
  <c r="B508"/>
  <c r="H508"/>
  <c r="AI508"/>
  <c r="B509"/>
  <c r="H509"/>
  <c r="AI509"/>
  <c r="B510"/>
  <c r="H510"/>
  <c r="AI510"/>
  <c r="B511"/>
  <c r="H511"/>
  <c r="AI511"/>
  <c r="B512"/>
  <c r="H512"/>
  <c r="AI512"/>
  <c r="B513"/>
  <c r="H513"/>
  <c r="AI513"/>
  <c r="B514"/>
  <c r="H514"/>
  <c r="AI514"/>
  <c r="B515"/>
  <c r="H515"/>
  <c r="AI515"/>
  <c r="B516"/>
  <c r="H516"/>
  <c r="AI516"/>
  <c r="B517"/>
  <c r="H517"/>
  <c r="AI517"/>
  <c r="B518"/>
  <c r="H518"/>
  <c r="AI518"/>
  <c r="B519"/>
  <c r="H519"/>
  <c r="AI519"/>
  <c r="B520"/>
  <c r="H520"/>
  <c r="AI520"/>
  <c r="B521"/>
  <c r="H521"/>
  <c r="AI521"/>
  <c r="B522"/>
  <c r="H522"/>
  <c r="AI522"/>
  <c r="B523"/>
  <c r="H523"/>
  <c r="AI523"/>
  <c r="B524"/>
  <c r="H524"/>
  <c r="AI524"/>
  <c r="B525"/>
  <c r="H525"/>
  <c r="AI525"/>
  <c r="B526"/>
  <c r="H526"/>
  <c r="AI526"/>
  <c r="B527"/>
  <c r="H527"/>
  <c r="AI527"/>
  <c r="B528"/>
  <c r="H528"/>
  <c r="AI528"/>
  <c r="B529"/>
  <c r="H529"/>
  <c r="AI529"/>
  <c r="B530"/>
  <c r="H530"/>
  <c r="AI530"/>
  <c r="B531"/>
  <c r="H531"/>
  <c r="AI531"/>
  <c r="B532"/>
  <c r="H532"/>
  <c r="AI532"/>
  <c r="B533"/>
  <c r="H533"/>
  <c r="AI533"/>
  <c r="B534"/>
  <c r="H534"/>
  <c r="AI534"/>
  <c r="B535"/>
  <c r="H535"/>
  <c r="AI535"/>
  <c r="B536"/>
  <c r="H536"/>
  <c r="AI536"/>
  <c r="B537"/>
  <c r="H537"/>
  <c r="AI537"/>
  <c r="B538"/>
  <c r="H538"/>
  <c r="AI538"/>
  <c r="B539"/>
  <c r="H539"/>
  <c r="AI539"/>
  <c r="B540"/>
  <c r="H540"/>
  <c r="AI540"/>
  <c r="B541"/>
  <c r="H541"/>
  <c r="AI541"/>
  <c r="B542"/>
  <c r="H542"/>
  <c r="AI542"/>
  <c r="B543"/>
  <c r="H543"/>
  <c r="AI543"/>
  <c r="B544"/>
  <c r="H544"/>
  <c r="AI544"/>
  <c r="B545"/>
  <c r="H545"/>
  <c r="AI545"/>
  <c r="B546"/>
  <c r="H546"/>
  <c r="AI546"/>
  <c r="B547"/>
  <c r="H547"/>
  <c r="AI547"/>
  <c r="B548"/>
  <c r="H548"/>
  <c r="AI548"/>
  <c r="B549"/>
  <c r="H549"/>
  <c r="AI549"/>
  <c r="B550"/>
  <c r="H550"/>
  <c r="AI550"/>
  <c r="B551"/>
  <c r="H551"/>
  <c r="AI551"/>
  <c r="B552"/>
  <c r="H552"/>
  <c r="AI552"/>
  <c r="B553"/>
  <c r="H553"/>
  <c r="AI553"/>
  <c r="B554"/>
  <c r="H554"/>
  <c r="AI554"/>
  <c r="B555"/>
  <c r="H555"/>
  <c r="AI555"/>
  <c r="B556"/>
  <c r="H556"/>
  <c r="AI556"/>
  <c r="B557"/>
  <c r="H557"/>
  <c r="AI557"/>
  <c r="B558"/>
  <c r="H558"/>
  <c r="AI558"/>
  <c r="B559"/>
  <c r="H559"/>
  <c r="AI559"/>
  <c r="B560"/>
  <c r="H560"/>
  <c r="AI560"/>
  <c r="B561"/>
  <c r="H561"/>
  <c r="AI561"/>
  <c r="B562"/>
  <c r="H562"/>
  <c r="AI562"/>
  <c r="B563"/>
  <c r="H563"/>
  <c r="AI563"/>
  <c r="B564"/>
  <c r="H564"/>
  <c r="AI564"/>
  <c r="B565"/>
  <c r="H565"/>
  <c r="AI565"/>
  <c r="B566"/>
  <c r="H566"/>
  <c r="AI566"/>
  <c r="B567"/>
  <c r="H567"/>
  <c r="AI567"/>
  <c r="B568"/>
  <c r="H568"/>
  <c r="AI568"/>
  <c r="B569"/>
  <c r="H569"/>
  <c r="AI569"/>
  <c r="B570"/>
  <c r="H570"/>
  <c r="AI570"/>
  <c r="B571"/>
  <c r="H571"/>
  <c r="AI571"/>
  <c r="B572"/>
  <c r="H572"/>
  <c r="AI572"/>
  <c r="B573"/>
  <c r="H573"/>
  <c r="AI573"/>
  <c r="B574"/>
  <c r="H574"/>
  <c r="AI574"/>
  <c r="B575"/>
  <c r="H575"/>
  <c r="AI575"/>
  <c r="B576"/>
  <c r="H576"/>
  <c r="AI576"/>
  <c r="B577"/>
  <c r="H577"/>
  <c r="AI577"/>
  <c r="B578"/>
  <c r="H578"/>
  <c r="AI578"/>
  <c r="B579"/>
  <c r="H579"/>
  <c r="AI579"/>
  <c r="B580"/>
  <c r="H580"/>
  <c r="AI580"/>
  <c r="B581"/>
  <c r="H581"/>
  <c r="AI581"/>
  <c r="B582"/>
  <c r="H582"/>
  <c r="AI582"/>
  <c r="B583"/>
  <c r="H583"/>
  <c r="AI583"/>
  <c r="B584"/>
  <c r="H584"/>
  <c r="AI584"/>
  <c r="B585"/>
  <c r="H585"/>
  <c r="AI585"/>
  <c r="B586"/>
  <c r="H586"/>
  <c r="AI586"/>
  <c r="B587"/>
  <c r="H587"/>
  <c r="AI587"/>
  <c r="B588"/>
  <c r="H588"/>
  <c r="AI588"/>
  <c r="B589"/>
  <c r="H589"/>
  <c r="AI589"/>
  <c r="B590"/>
  <c r="H590"/>
  <c r="AI590"/>
  <c r="B591"/>
  <c r="H591"/>
  <c r="AI591"/>
  <c r="B592"/>
  <c r="H592"/>
  <c r="AI592"/>
  <c r="B593"/>
  <c r="H593"/>
  <c r="AI593"/>
  <c r="B594"/>
  <c r="H594"/>
  <c r="AI594"/>
  <c r="B595"/>
  <c r="H595"/>
  <c r="AI595"/>
  <c r="B596"/>
  <c r="H596"/>
  <c r="AI596"/>
  <c r="B597"/>
  <c r="H597"/>
  <c r="AI597"/>
  <c r="B598"/>
  <c r="H598"/>
  <c r="AI598"/>
  <c r="B599"/>
  <c r="H599"/>
  <c r="AI599"/>
  <c r="B600"/>
  <c r="H600"/>
  <c r="AI600"/>
  <c r="B601"/>
  <c r="H601"/>
  <c r="AI601"/>
  <c r="B602"/>
  <c r="H602"/>
  <c r="AI602"/>
  <c r="B603"/>
  <c r="H603"/>
  <c r="AI603"/>
  <c r="B604"/>
  <c r="H604"/>
  <c r="AI604"/>
  <c r="B605"/>
  <c r="H605"/>
  <c r="AI605"/>
  <c r="B606"/>
  <c r="H606"/>
  <c r="AI606"/>
  <c r="B607"/>
  <c r="H607"/>
  <c r="AI607"/>
  <c r="B608"/>
  <c r="H608"/>
  <c r="AI608"/>
  <c r="B609"/>
  <c r="H609"/>
  <c r="AI609"/>
  <c r="B610"/>
  <c r="H610"/>
  <c r="AI610"/>
  <c r="B611"/>
  <c r="H611"/>
  <c r="AI611"/>
  <c r="B612"/>
  <c r="H612"/>
  <c r="AI612"/>
  <c r="B613"/>
  <c r="H613"/>
  <c r="AI613"/>
  <c r="B614"/>
  <c r="H614"/>
  <c r="AI614"/>
  <c r="B615"/>
  <c r="H615"/>
  <c r="AI615"/>
  <c r="B616"/>
  <c r="H616"/>
  <c r="AI616"/>
  <c r="B617"/>
  <c r="H617"/>
  <c r="AI617"/>
  <c r="B618"/>
  <c r="H618"/>
  <c r="AI618"/>
  <c r="B619"/>
  <c r="H619"/>
  <c r="AI619"/>
  <c r="B620"/>
  <c r="H620"/>
  <c r="AI620"/>
  <c r="B621"/>
  <c r="H621"/>
  <c r="AI621"/>
  <c r="B622"/>
  <c r="H622"/>
  <c r="AI622"/>
  <c r="B623"/>
  <c r="H623"/>
  <c r="AI623"/>
  <c r="B624"/>
  <c r="H624"/>
  <c r="AI624"/>
  <c r="B625"/>
  <c r="H625"/>
  <c r="AI625"/>
  <c r="B626"/>
  <c r="H626"/>
  <c r="AI626"/>
  <c r="B627"/>
  <c r="H627"/>
  <c r="AI627"/>
  <c r="B628"/>
  <c r="H628"/>
  <c r="AI628"/>
  <c r="B629"/>
  <c r="H629"/>
  <c r="AI629"/>
  <c r="B630"/>
  <c r="H630"/>
  <c r="AI630"/>
  <c r="B631"/>
  <c r="H631"/>
  <c r="AI631"/>
  <c r="B632"/>
  <c r="H632"/>
  <c r="AI632"/>
  <c r="B633"/>
  <c r="H633"/>
  <c r="AI633"/>
  <c r="B634"/>
  <c r="H634"/>
  <c r="AI634"/>
  <c r="B635"/>
  <c r="H635"/>
  <c r="AI635"/>
  <c r="B636"/>
  <c r="H636"/>
  <c r="AI636"/>
  <c r="B637"/>
  <c r="H637"/>
  <c r="AI637"/>
  <c r="B638"/>
  <c r="H638"/>
  <c r="AI638"/>
  <c r="B639"/>
  <c r="H639"/>
  <c r="AI639"/>
  <c r="B640"/>
  <c r="H640"/>
  <c r="AI640"/>
  <c r="B641"/>
  <c r="H641"/>
  <c r="AI641"/>
  <c r="B642"/>
  <c r="H642"/>
  <c r="AI642"/>
  <c r="B643"/>
  <c r="H643"/>
  <c r="AI643"/>
  <c r="B644"/>
  <c r="H644"/>
  <c r="AI644"/>
  <c r="B645"/>
  <c r="H645"/>
  <c r="AI645"/>
  <c r="B646"/>
  <c r="H646"/>
  <c r="AI646"/>
  <c r="B647"/>
  <c r="H647"/>
  <c r="AI647"/>
  <c r="B648"/>
  <c r="H648"/>
  <c r="AI648"/>
  <c r="B649"/>
  <c r="H649"/>
  <c r="AI649"/>
  <c r="B650"/>
  <c r="H650"/>
  <c r="AI650"/>
  <c r="B651"/>
  <c r="H651"/>
  <c r="AI651"/>
  <c r="B652"/>
  <c r="H652"/>
  <c r="AI652"/>
  <c r="B653"/>
  <c r="H653"/>
  <c r="AI653"/>
  <c r="B654"/>
  <c r="H654"/>
  <c r="AI654"/>
  <c r="B655"/>
  <c r="H655"/>
  <c r="AI655"/>
  <c r="B656"/>
  <c r="H656"/>
  <c r="AI656"/>
  <c r="B657"/>
  <c r="H657"/>
  <c r="AI657"/>
  <c r="B658"/>
  <c r="H658"/>
  <c r="AI658"/>
  <c r="B659"/>
  <c r="H659"/>
  <c r="AI659"/>
  <c r="B660"/>
  <c r="H660"/>
  <c r="AI660"/>
  <c r="B661"/>
  <c r="H661"/>
  <c r="AI661"/>
  <c r="B662"/>
  <c r="H662"/>
  <c r="AI662"/>
  <c r="B663"/>
  <c r="H663"/>
  <c r="AI663"/>
  <c r="B664"/>
  <c r="H664"/>
  <c r="AI664"/>
  <c r="B665"/>
  <c r="H665"/>
  <c r="AI665"/>
  <c r="B666"/>
  <c r="H666"/>
  <c r="AI666"/>
  <c r="B667"/>
  <c r="H667"/>
  <c r="AI667"/>
  <c r="B668"/>
  <c r="H668"/>
  <c r="AI668"/>
  <c r="B669"/>
  <c r="H669"/>
  <c r="AI669"/>
  <c r="B670"/>
  <c r="H670"/>
  <c r="AI670"/>
  <c r="B671"/>
  <c r="H671"/>
  <c r="AI671"/>
  <c r="B672"/>
  <c r="H672"/>
  <c r="AI672"/>
  <c r="B673"/>
  <c r="H673"/>
  <c r="AI673"/>
  <c r="B674"/>
  <c r="H674"/>
  <c r="AI674"/>
  <c r="B675"/>
  <c r="H675"/>
  <c r="AI675"/>
  <c r="B676"/>
  <c r="H676"/>
  <c r="AI676"/>
  <c r="B677"/>
  <c r="H677"/>
  <c r="AI677"/>
  <c r="B678"/>
  <c r="H678"/>
  <c r="AI678"/>
  <c r="B679"/>
  <c r="H679"/>
  <c r="AI679"/>
  <c r="B680"/>
  <c r="H680"/>
  <c r="AI680"/>
  <c r="B681"/>
  <c r="H681"/>
  <c r="AI681"/>
  <c r="B682"/>
  <c r="H682"/>
  <c r="AI682"/>
  <c r="B683"/>
  <c r="H683"/>
  <c r="AI683"/>
  <c r="B684"/>
  <c r="H684"/>
  <c r="AI684"/>
  <c r="B685"/>
  <c r="H685"/>
  <c r="AI685"/>
  <c r="B686"/>
  <c r="H686"/>
  <c r="AI686"/>
  <c r="B687"/>
  <c r="H687"/>
  <c r="AI687"/>
  <c r="B688"/>
  <c r="H688"/>
  <c r="AI688"/>
  <c r="B689"/>
  <c r="H689"/>
  <c r="AI689"/>
  <c r="B690"/>
  <c r="H690"/>
  <c r="AI690"/>
  <c r="B691"/>
  <c r="H691"/>
  <c r="AI691"/>
  <c r="B692"/>
  <c r="H692"/>
  <c r="AI692"/>
  <c r="B693"/>
  <c r="H693"/>
  <c r="AI693"/>
  <c r="B694"/>
  <c r="H694"/>
  <c r="AI694"/>
  <c r="B695"/>
  <c r="H695"/>
  <c r="AI695"/>
  <c r="B696"/>
  <c r="H696"/>
  <c r="AI696"/>
  <c r="B697"/>
  <c r="H697"/>
  <c r="AI697"/>
  <c r="B698"/>
  <c r="H698"/>
  <c r="AI698"/>
  <c r="B699"/>
  <c r="H699"/>
  <c r="AI699"/>
  <c r="B700"/>
  <c r="H700"/>
  <c r="AI700"/>
  <c r="B701"/>
  <c r="H701"/>
  <c r="AI701"/>
  <c r="B702"/>
  <c r="H702"/>
  <c r="AI702"/>
  <c r="B703"/>
  <c r="H703"/>
  <c r="AI703"/>
  <c r="B704"/>
  <c r="H704"/>
  <c r="AI704"/>
  <c r="B705"/>
  <c r="H705"/>
  <c r="AI705"/>
  <c r="B706"/>
  <c r="H706"/>
  <c r="AI706"/>
  <c r="B707"/>
  <c r="H707"/>
  <c r="AI707"/>
  <c r="B708"/>
  <c r="H708"/>
  <c r="AI708"/>
  <c r="B709"/>
  <c r="H709"/>
  <c r="AI709"/>
  <c r="B710"/>
  <c r="H710"/>
  <c r="AI710"/>
  <c r="B711"/>
  <c r="H711"/>
  <c r="AI711"/>
  <c r="B712"/>
  <c r="H712"/>
  <c r="AI712"/>
  <c r="B713"/>
  <c r="H713"/>
  <c r="AI713"/>
  <c r="B714"/>
  <c r="H714"/>
  <c r="AI714"/>
  <c r="B715"/>
  <c r="H715"/>
  <c r="AI715"/>
  <c r="B716"/>
  <c r="H716"/>
  <c r="AI716"/>
  <c r="B717"/>
  <c r="H717"/>
  <c r="AI717"/>
  <c r="B718"/>
  <c r="H718"/>
  <c r="AI718"/>
  <c r="B719"/>
  <c r="H719"/>
  <c r="AI719"/>
  <c r="B720"/>
  <c r="H720"/>
  <c r="AI720"/>
  <c r="B721"/>
  <c r="H721"/>
  <c r="AI721"/>
  <c r="B722"/>
  <c r="H722"/>
  <c r="AI722"/>
  <c r="B723"/>
  <c r="H723"/>
  <c r="AI723"/>
  <c r="B724"/>
  <c r="H724"/>
  <c r="AI724"/>
  <c r="B725"/>
  <c r="H725"/>
  <c r="AI725"/>
  <c r="B726"/>
  <c r="H726"/>
  <c r="AI726"/>
  <c r="B727"/>
  <c r="H727"/>
  <c r="AI727"/>
  <c r="B728"/>
  <c r="H728"/>
  <c r="AI728"/>
  <c r="B729"/>
  <c r="H729"/>
  <c r="AI729"/>
  <c r="B730"/>
  <c r="H730"/>
  <c r="AI730"/>
  <c r="B731"/>
  <c r="H731"/>
  <c r="AI731"/>
  <c r="B732"/>
  <c r="H732"/>
  <c r="AI732"/>
  <c r="B733"/>
  <c r="H733"/>
  <c r="AI733"/>
  <c r="B734"/>
  <c r="H734"/>
  <c r="AI734"/>
  <c r="B735"/>
  <c r="H735"/>
  <c r="AI735"/>
  <c r="B736"/>
  <c r="H736"/>
  <c r="AI736"/>
  <c r="B737"/>
  <c r="H737"/>
  <c r="AI737"/>
  <c r="B738"/>
  <c r="H738"/>
  <c r="AI738"/>
  <c r="B739"/>
  <c r="H739"/>
  <c r="AI739"/>
  <c r="B740"/>
  <c r="H740"/>
  <c r="AI740"/>
  <c r="B741"/>
  <c r="H741"/>
  <c r="AI741"/>
  <c r="B742"/>
  <c r="H742"/>
  <c r="AI742"/>
  <c r="B743"/>
  <c r="H743"/>
  <c r="AI743"/>
  <c r="B744"/>
  <c r="H744"/>
  <c r="AI744"/>
  <c r="B745"/>
  <c r="H745"/>
  <c r="AI745"/>
  <c r="B746"/>
  <c r="H746"/>
  <c r="AI746"/>
  <c r="B747"/>
  <c r="H747"/>
  <c r="AI747"/>
  <c r="B748"/>
  <c r="H748"/>
  <c r="AI748"/>
  <c r="B749"/>
  <c r="H749"/>
  <c r="AI749"/>
  <c r="B750"/>
  <c r="H750"/>
  <c r="AI750"/>
  <c r="B751"/>
  <c r="H751"/>
  <c r="AI751"/>
  <c r="B752"/>
  <c r="H752"/>
  <c r="AI752"/>
  <c r="B753"/>
  <c r="H753"/>
  <c r="AI753"/>
  <c r="B754"/>
  <c r="H754"/>
  <c r="AI754"/>
  <c r="B755"/>
  <c r="H755"/>
  <c r="AI755"/>
  <c r="B756"/>
  <c r="H756"/>
  <c r="AI756"/>
  <c r="B757"/>
  <c r="H757"/>
  <c r="AI757"/>
  <c r="B758"/>
  <c r="H758"/>
  <c r="AI758"/>
  <c r="B759"/>
  <c r="H759"/>
  <c r="AI759"/>
  <c r="B760"/>
  <c r="H760"/>
  <c r="AI760"/>
  <c r="B761"/>
  <c r="H761"/>
  <c r="AI761"/>
  <c r="B762"/>
  <c r="H762"/>
  <c r="AI762"/>
  <c r="B763"/>
  <c r="H763"/>
  <c r="AI763"/>
  <c r="B764"/>
  <c r="H764"/>
  <c r="AI764"/>
  <c r="B765"/>
  <c r="H765"/>
  <c r="AI765"/>
  <c r="B766"/>
  <c r="H766"/>
  <c r="AI766"/>
  <c r="B767"/>
  <c r="H767"/>
  <c r="AI767"/>
  <c r="B768"/>
  <c r="H768"/>
  <c r="AI768"/>
  <c r="B769"/>
  <c r="H769"/>
  <c r="AI769"/>
  <c r="B770"/>
  <c r="H770"/>
  <c r="AI770"/>
  <c r="B771"/>
  <c r="H771"/>
  <c r="AI771"/>
  <c r="B772"/>
  <c r="H772"/>
  <c r="AI772"/>
  <c r="B773"/>
  <c r="H773"/>
  <c r="AI773"/>
  <c r="B774"/>
  <c r="H774"/>
  <c r="AI774"/>
  <c r="B775"/>
  <c r="H775"/>
  <c r="AI775"/>
  <c r="B776"/>
  <c r="H776"/>
  <c r="AI776"/>
  <c r="B777"/>
  <c r="H777"/>
  <c r="AI777"/>
  <c r="B778"/>
  <c r="H778"/>
  <c r="AI778"/>
  <c r="B779"/>
  <c r="H779"/>
  <c r="AI779"/>
  <c r="B780"/>
  <c r="H780"/>
  <c r="AI780"/>
  <c r="B781"/>
  <c r="H781"/>
  <c r="AI781"/>
  <c r="B782"/>
  <c r="H782"/>
  <c r="AI782"/>
  <c r="B783"/>
  <c r="H783"/>
  <c r="AI783"/>
  <c r="B784"/>
  <c r="H784"/>
  <c r="AI784"/>
  <c r="B785"/>
  <c r="H785"/>
  <c r="AI785"/>
  <c r="B786"/>
  <c r="H786"/>
  <c r="AI786"/>
  <c r="B787"/>
  <c r="H787"/>
  <c r="AI787"/>
  <c r="B788"/>
  <c r="H788"/>
  <c r="AI788"/>
  <c r="B789"/>
  <c r="H789"/>
  <c r="AI789"/>
  <c r="B790"/>
  <c r="H790"/>
  <c r="AI790"/>
  <c r="B791"/>
  <c r="H791"/>
  <c r="AI791"/>
  <c r="B792"/>
  <c r="H792"/>
  <c r="AI792"/>
  <c r="B793"/>
  <c r="H793"/>
  <c r="AI793"/>
  <c r="B794"/>
  <c r="H794"/>
  <c r="AI794"/>
  <c r="B795"/>
  <c r="H795"/>
  <c r="AI795"/>
  <c r="B796"/>
  <c r="H796"/>
  <c r="AI796"/>
  <c r="B797"/>
  <c r="H797"/>
  <c r="AI797"/>
  <c r="B798"/>
  <c r="H798"/>
  <c r="AI798"/>
  <c r="B799"/>
  <c r="H799"/>
  <c r="AI799"/>
  <c r="B800"/>
  <c r="H800"/>
  <c r="AI800"/>
  <c r="B801"/>
  <c r="H801"/>
  <c r="AI801"/>
  <c r="B802"/>
  <c r="H802"/>
  <c r="AI802"/>
  <c r="B803"/>
  <c r="H803"/>
  <c r="AI803"/>
  <c r="B804"/>
  <c r="H804"/>
  <c r="AI804"/>
  <c r="B805"/>
  <c r="H805"/>
  <c r="AI805"/>
  <c r="B806"/>
  <c r="H806"/>
  <c r="AI806"/>
  <c r="B807"/>
  <c r="H807"/>
  <c r="AI807"/>
  <c r="B808"/>
  <c r="H808"/>
  <c r="AI808"/>
  <c r="B809"/>
  <c r="H809"/>
  <c r="AI809"/>
  <c r="B810"/>
  <c r="H810"/>
  <c r="AI810"/>
  <c r="B811"/>
  <c r="H811"/>
  <c r="AI811"/>
  <c r="B812"/>
  <c r="H812"/>
  <c r="AI812"/>
  <c r="B813"/>
  <c r="H813"/>
  <c r="AI813"/>
  <c r="B814"/>
  <c r="H814"/>
  <c r="AI814"/>
  <c r="B815"/>
  <c r="H815"/>
  <c r="AI815"/>
  <c r="B816"/>
  <c r="H816"/>
  <c r="AI816"/>
  <c r="B817"/>
  <c r="H817"/>
  <c r="AI817"/>
  <c r="B818"/>
  <c r="H818"/>
  <c r="AI818"/>
  <c r="B819"/>
  <c r="H819"/>
  <c r="AI819"/>
  <c r="B820"/>
  <c r="H820"/>
  <c r="AI820"/>
  <c r="B821"/>
  <c r="H821"/>
  <c r="AI821"/>
  <c r="B822"/>
  <c r="H822"/>
  <c r="AI822"/>
  <c r="B823"/>
  <c r="H823"/>
  <c r="AI823"/>
  <c r="B824"/>
  <c r="H824"/>
  <c r="AI824"/>
  <c r="B825"/>
  <c r="H825"/>
  <c r="AI825"/>
  <c r="B826"/>
  <c r="H826"/>
  <c r="AI826"/>
  <c r="B827"/>
  <c r="H827"/>
  <c r="AI827"/>
  <c r="B828"/>
  <c r="H828"/>
  <c r="AI828"/>
  <c r="B829"/>
  <c r="H829"/>
  <c r="AI829"/>
  <c r="B830"/>
  <c r="H830"/>
  <c r="AI830"/>
  <c r="B831"/>
  <c r="H831"/>
  <c r="AI831"/>
  <c r="B832"/>
  <c r="H832"/>
  <c r="AI832"/>
  <c r="B833"/>
  <c r="H833"/>
  <c r="AI833"/>
  <c r="B834"/>
  <c r="H834"/>
  <c r="AI834"/>
  <c r="B835"/>
  <c r="H835"/>
  <c r="AI835"/>
  <c r="B836"/>
  <c r="H836"/>
  <c r="AI836"/>
  <c r="B837"/>
  <c r="H837"/>
  <c r="AI837"/>
  <c r="B838"/>
  <c r="H838"/>
  <c r="AI838"/>
  <c r="B839"/>
  <c r="H839"/>
  <c r="AI839"/>
  <c r="B840"/>
  <c r="H840"/>
  <c r="AI840"/>
  <c r="B841"/>
  <c r="H841"/>
  <c r="AI841"/>
  <c r="B842"/>
  <c r="H842"/>
  <c r="AI842"/>
  <c r="B843"/>
  <c r="H843"/>
  <c r="AI843"/>
  <c r="B844"/>
  <c r="H844"/>
  <c r="AI844"/>
  <c r="B845"/>
  <c r="H845"/>
  <c r="AI845"/>
  <c r="B846"/>
  <c r="H846"/>
  <c r="AI846"/>
  <c r="B847"/>
  <c r="H847"/>
  <c r="AI847"/>
  <c r="B848"/>
  <c r="H848"/>
  <c r="AI848"/>
  <c r="B849"/>
  <c r="H849"/>
  <c r="AI849"/>
  <c r="B850"/>
  <c r="H850"/>
  <c r="AI850"/>
  <c r="B851"/>
  <c r="H851"/>
  <c r="AI851"/>
  <c r="B852"/>
  <c r="H852"/>
  <c r="AI852"/>
  <c r="B853"/>
  <c r="H853"/>
  <c r="AI853"/>
  <c r="B854"/>
  <c r="H854"/>
  <c r="AI854"/>
  <c r="B855"/>
  <c r="H855"/>
  <c r="AI855"/>
  <c r="B856"/>
  <c r="H856"/>
  <c r="AI856"/>
  <c r="B857"/>
  <c r="H857"/>
  <c r="AI857"/>
  <c r="B858"/>
  <c r="H858"/>
  <c r="AI858"/>
  <c r="B859"/>
  <c r="H859"/>
  <c r="AI859"/>
  <c r="B860"/>
  <c r="H860"/>
  <c r="AI860"/>
  <c r="B861"/>
  <c r="H861"/>
  <c r="AI861"/>
  <c r="B862"/>
  <c r="H862"/>
  <c r="AI862"/>
  <c r="B863"/>
  <c r="H863"/>
  <c r="AI863"/>
  <c r="B864"/>
  <c r="H864"/>
  <c r="AI864"/>
  <c r="B865"/>
  <c r="H865"/>
  <c r="AI865"/>
  <c r="B866"/>
  <c r="H866"/>
  <c r="AI866"/>
  <c r="B867"/>
  <c r="H867"/>
  <c r="AI867"/>
  <c r="B868"/>
  <c r="H868"/>
  <c r="AI868"/>
  <c r="B869"/>
  <c r="H869"/>
  <c r="AI869"/>
  <c r="B870"/>
  <c r="H870"/>
  <c r="AI870"/>
  <c r="B871"/>
  <c r="H871"/>
  <c r="AI871"/>
  <c r="B872"/>
  <c r="H872"/>
  <c r="AI872"/>
  <c r="B873"/>
  <c r="H873"/>
  <c r="AI873"/>
  <c r="B874"/>
  <c r="H874"/>
  <c r="AI874"/>
  <c r="B875"/>
  <c r="H875"/>
  <c r="AI875"/>
  <c r="B876"/>
  <c r="H876"/>
  <c r="AI876"/>
  <c r="B877"/>
  <c r="H877"/>
  <c r="AI877"/>
  <c r="B878"/>
  <c r="H878"/>
  <c r="AI878"/>
  <c r="B879"/>
  <c r="H879"/>
  <c r="AI879"/>
  <c r="B880"/>
  <c r="H880"/>
  <c r="AI880"/>
  <c r="B881"/>
  <c r="H881"/>
  <c r="AI881"/>
  <c r="B882"/>
  <c r="H882"/>
  <c r="AI882"/>
  <c r="B883"/>
  <c r="H883"/>
  <c r="AI883"/>
  <c r="B884"/>
  <c r="H884"/>
  <c r="AI884"/>
  <c r="B885"/>
  <c r="H885"/>
  <c r="AI885"/>
  <c r="B886"/>
  <c r="H886"/>
  <c r="AI886"/>
  <c r="B887"/>
  <c r="H887"/>
  <c r="AI887"/>
  <c r="B888"/>
  <c r="H888"/>
  <c r="AI888"/>
  <c r="B889"/>
  <c r="H889"/>
  <c r="AI889"/>
  <c r="B890"/>
  <c r="H890"/>
  <c r="AI890"/>
  <c r="B891"/>
  <c r="H891"/>
  <c r="AI891"/>
  <c r="B892"/>
  <c r="H892"/>
  <c r="AI892"/>
  <c r="B893"/>
  <c r="H893"/>
  <c r="AI893"/>
  <c r="B894"/>
  <c r="H894"/>
  <c r="AI894"/>
  <c r="B895"/>
  <c r="H895"/>
  <c r="AI895"/>
  <c r="B896"/>
  <c r="H896"/>
  <c r="AI896"/>
  <c r="B897"/>
  <c r="H897"/>
  <c r="AI897"/>
  <c r="B898"/>
  <c r="H898"/>
  <c r="AI898"/>
  <c r="B899"/>
  <c r="H899"/>
  <c r="AI899"/>
  <c r="B900"/>
  <c r="H900"/>
  <c r="AI900"/>
  <c r="B901"/>
  <c r="H901"/>
  <c r="AI901"/>
  <c r="B902"/>
  <c r="H902"/>
  <c r="AI902"/>
  <c r="B903"/>
  <c r="H903"/>
  <c r="AI903"/>
  <c r="B904"/>
  <c r="H904"/>
  <c r="AI904"/>
  <c r="B905"/>
  <c r="H905"/>
  <c r="AI905"/>
  <c r="B906"/>
  <c r="H906"/>
  <c r="AI906"/>
  <c r="B907"/>
  <c r="H907"/>
  <c r="AI907"/>
  <c r="B908"/>
  <c r="H908"/>
  <c r="AI908"/>
  <c r="B909"/>
  <c r="H909"/>
  <c r="AI909"/>
  <c r="B910"/>
  <c r="H910"/>
  <c r="AI910"/>
  <c r="B911"/>
  <c r="H911"/>
  <c r="AI911"/>
  <c r="B912"/>
  <c r="H912"/>
  <c r="AI912"/>
  <c r="B913"/>
  <c r="H913"/>
  <c r="AI913"/>
  <c r="B914"/>
  <c r="H914"/>
  <c r="AI914"/>
  <c r="B915"/>
  <c r="H915"/>
  <c r="AI915"/>
  <c r="B916"/>
  <c r="H916"/>
  <c r="AI916"/>
  <c r="B917"/>
  <c r="H917"/>
  <c r="AI917"/>
  <c r="B918"/>
  <c r="H918"/>
  <c r="AI918"/>
  <c r="B919"/>
  <c r="H919"/>
  <c r="AI919"/>
  <c r="B920"/>
  <c r="H920"/>
  <c r="AI920"/>
  <c r="B921"/>
  <c r="H921"/>
  <c r="AI921"/>
  <c r="B922"/>
  <c r="H922"/>
  <c r="AI922"/>
  <c r="B923"/>
  <c r="H923"/>
  <c r="AI923"/>
  <c r="B924"/>
  <c r="H924"/>
  <c r="AI924"/>
  <c r="B925"/>
  <c r="H925"/>
  <c r="AI925"/>
  <c r="B926"/>
  <c r="H926"/>
  <c r="AI926"/>
  <c r="B927"/>
  <c r="H927"/>
  <c r="AI927"/>
  <c r="B928"/>
  <c r="H928"/>
  <c r="AI928"/>
  <c r="B929"/>
  <c r="H929"/>
  <c r="AI929"/>
  <c r="B930"/>
  <c r="H930"/>
  <c r="AI930"/>
  <c r="B931"/>
  <c r="H931"/>
  <c r="AI931"/>
  <c r="B932"/>
  <c r="H932"/>
  <c r="AI932"/>
  <c r="B933"/>
  <c r="H933"/>
  <c r="AI933"/>
  <c r="B934"/>
  <c r="H934"/>
  <c r="AI934"/>
  <c r="B935"/>
  <c r="H935"/>
  <c r="AI935"/>
  <c r="B936"/>
  <c r="H936"/>
  <c r="AI936"/>
  <c r="B937"/>
  <c r="H937"/>
  <c r="AI937"/>
  <c r="B938"/>
  <c r="H938"/>
  <c r="AI938"/>
  <c r="B939"/>
  <c r="H939"/>
  <c r="AI939"/>
  <c r="B940"/>
  <c r="H940"/>
  <c r="AI940"/>
  <c r="B941"/>
  <c r="H941"/>
  <c r="AI941"/>
  <c r="B942"/>
  <c r="H942"/>
  <c r="AI942"/>
  <c r="B943"/>
  <c r="H943"/>
  <c r="AI943"/>
  <c r="B944"/>
  <c r="H944"/>
  <c r="AI944"/>
  <c r="B945"/>
  <c r="H945"/>
  <c r="AI945"/>
  <c r="B946"/>
  <c r="H946"/>
  <c r="AI946"/>
  <c r="B947"/>
  <c r="H947"/>
  <c r="AI947"/>
  <c r="B948"/>
  <c r="H948"/>
  <c r="AI948"/>
  <c r="B949"/>
  <c r="H949"/>
  <c r="AI949"/>
  <c r="B950"/>
  <c r="H950"/>
  <c r="AI950"/>
  <c r="B951"/>
  <c r="H951"/>
  <c r="AI951"/>
  <c r="B952"/>
  <c r="H952"/>
  <c r="AI952"/>
  <c r="B953"/>
  <c r="H953"/>
  <c r="AI953"/>
  <c r="B954"/>
  <c r="H954"/>
  <c r="AI954"/>
  <c r="B955"/>
  <c r="H955"/>
  <c r="AI955"/>
  <c r="B956"/>
  <c r="H956"/>
  <c r="AI956"/>
  <c r="B957"/>
  <c r="H957"/>
  <c r="AI957"/>
  <c r="B958"/>
  <c r="H958"/>
  <c r="AI958"/>
  <c r="B959"/>
  <c r="H959"/>
  <c r="AI959"/>
  <c r="B960"/>
  <c r="H960"/>
  <c r="AI960"/>
  <c r="B961"/>
  <c r="H961"/>
  <c r="AI961"/>
  <c r="B962"/>
  <c r="H962"/>
  <c r="AI962"/>
  <c r="B963"/>
  <c r="H963"/>
  <c r="AI963"/>
  <c r="B964"/>
  <c r="H964"/>
  <c r="AI964"/>
  <c r="B965"/>
  <c r="H965"/>
  <c r="AI965"/>
  <c r="B966"/>
  <c r="H966"/>
  <c r="AI966"/>
  <c r="B967"/>
  <c r="H967"/>
  <c r="AI967"/>
  <c r="B968"/>
  <c r="H968"/>
  <c r="AI968"/>
  <c r="B969"/>
  <c r="H969"/>
  <c r="AI969"/>
  <c r="B970"/>
  <c r="H970"/>
  <c r="AI970"/>
  <c r="B971"/>
  <c r="H971"/>
  <c r="AI971"/>
  <c r="B972"/>
  <c r="H972"/>
  <c r="AI972"/>
  <c r="B973"/>
  <c r="H973"/>
  <c r="AI973"/>
  <c r="B974"/>
  <c r="H974"/>
  <c r="AI974"/>
  <c r="B975"/>
  <c r="H975"/>
  <c r="AI975"/>
  <c r="B976"/>
  <c r="H976"/>
  <c r="AI976"/>
  <c r="B977"/>
  <c r="H977"/>
  <c r="AI977"/>
  <c r="B978"/>
  <c r="H978"/>
  <c r="AI978"/>
  <c r="B979"/>
  <c r="H979"/>
  <c r="AI979"/>
  <c r="B980"/>
  <c r="H980"/>
  <c r="AI980"/>
  <c r="B981"/>
  <c r="H981"/>
  <c r="AI981"/>
  <c r="B982"/>
  <c r="H982"/>
  <c r="AI982"/>
  <c r="B983"/>
  <c r="H983"/>
  <c r="AI983"/>
  <c r="B984"/>
  <c r="H984"/>
  <c r="AI984"/>
  <c r="B985"/>
  <c r="H985"/>
  <c r="AI985"/>
  <c r="B986"/>
  <c r="H986"/>
  <c r="AI986"/>
  <c r="B987"/>
  <c r="H987"/>
  <c r="AI987"/>
  <c r="B988"/>
  <c r="H988"/>
  <c r="AI988"/>
  <c r="B989"/>
  <c r="H989"/>
  <c r="AI989"/>
  <c r="B990"/>
  <c r="H990"/>
  <c r="AI990"/>
  <c r="B991"/>
  <c r="H991"/>
  <c r="AI991"/>
  <c r="B992"/>
  <c r="H992"/>
  <c r="AI992"/>
  <c r="B993"/>
  <c r="H993"/>
  <c r="AI993"/>
  <c r="B994"/>
  <c r="H994"/>
  <c r="AI994"/>
  <c r="B995"/>
  <c r="H995"/>
  <c r="AI995"/>
  <c r="B996"/>
  <c r="H996"/>
  <c r="AI996"/>
  <c r="B997"/>
  <c r="H997"/>
  <c r="AI997"/>
  <c r="B998"/>
  <c r="H998"/>
  <c r="AI998"/>
  <c r="B999"/>
  <c r="H999"/>
  <c r="AI999"/>
  <c r="B1000"/>
  <c r="H1000"/>
  <c r="AI1000"/>
  <c r="B1001"/>
  <c r="H1001"/>
  <c r="AI1001"/>
  <c r="B1002"/>
  <c r="H1002"/>
  <c r="AI1002"/>
  <c r="B1003"/>
  <c r="H1003"/>
  <c r="AI1003"/>
  <c r="B1004"/>
  <c r="H1004"/>
  <c r="AI1004"/>
  <c r="B1005"/>
  <c r="H1005"/>
  <c r="AI1005"/>
  <c r="B1006"/>
  <c r="H1006"/>
  <c r="AI1006"/>
  <c r="B1007"/>
  <c r="H1007"/>
  <c r="AI1007"/>
  <c r="B1008"/>
  <c r="H1008"/>
  <c r="AI1008"/>
  <c r="B1009"/>
  <c r="H1009"/>
  <c r="AI1009"/>
  <c r="B1010"/>
  <c r="H1010"/>
  <c r="AI1010"/>
  <c r="B1011"/>
  <c r="H1011"/>
  <c r="AI1011"/>
  <c r="B1012"/>
  <c r="H1012"/>
  <c r="AI1012"/>
  <c r="B1013"/>
  <c r="H1013"/>
  <c r="AI1013"/>
  <c r="B1014"/>
  <c r="H1014"/>
  <c r="AI1014"/>
  <c r="B1015"/>
  <c r="H1015"/>
  <c r="AI1015"/>
  <c r="B1016"/>
  <c r="H1016"/>
  <c r="AI1016"/>
  <c r="B1017"/>
  <c r="H1017"/>
  <c r="AI1017"/>
  <c r="B1018"/>
  <c r="H1018"/>
  <c r="AI1018"/>
  <c r="B1019"/>
  <c r="H1019"/>
  <c r="AI1019"/>
  <c r="B1020"/>
  <c r="H1020"/>
  <c r="AI1020"/>
  <c r="B1021"/>
  <c r="H1021"/>
  <c r="AI1021"/>
  <c r="B1022"/>
  <c r="H1022"/>
  <c r="AI1022"/>
  <c r="B1023"/>
  <c r="H1023"/>
  <c r="AI1023"/>
  <c r="B1024"/>
  <c r="H1024"/>
  <c r="AI1024"/>
  <c r="B1025"/>
  <c r="H1025"/>
  <c r="AI1025"/>
  <c r="B1026"/>
  <c r="H1026"/>
  <c r="AI1026"/>
  <c r="B1027"/>
  <c r="H1027"/>
  <c r="AI1027"/>
  <c r="B1028"/>
  <c r="H1028"/>
  <c r="AI1028"/>
  <c r="B1029"/>
  <c r="H1029"/>
  <c r="AI1029"/>
  <c r="B1030"/>
  <c r="H1030"/>
  <c r="AI1030"/>
  <c r="B1031"/>
  <c r="H1031"/>
  <c r="AI1031"/>
  <c r="B1032"/>
  <c r="H1032"/>
  <c r="AI1032"/>
  <c r="B1033"/>
  <c r="H1033"/>
  <c r="AI1033"/>
  <c r="B1034"/>
  <c r="H1034"/>
  <c r="AI1034"/>
  <c r="B1035"/>
  <c r="H1035"/>
  <c r="AI1035"/>
  <c r="B1036"/>
  <c r="H1036"/>
  <c r="AI1036"/>
  <c r="B1037"/>
  <c r="H1037"/>
  <c r="AI1037"/>
  <c r="B1038"/>
  <c r="H1038"/>
  <c r="AI1038"/>
  <c r="B1039"/>
  <c r="H1039"/>
  <c r="AI1039"/>
  <c r="B1040"/>
  <c r="H1040"/>
  <c r="AI1040"/>
  <c r="B1041"/>
  <c r="H1041"/>
  <c r="AI1041"/>
  <c r="B1042"/>
  <c r="H1042"/>
  <c r="AI1042"/>
  <c r="B1043"/>
  <c r="H1043"/>
  <c r="AI1043"/>
  <c r="B1044"/>
  <c r="H1044"/>
  <c r="AI1044"/>
  <c r="B1045"/>
  <c r="H1045"/>
  <c r="AI1045"/>
  <c r="B1046"/>
  <c r="H1046"/>
  <c r="AI1046"/>
  <c r="B1047"/>
  <c r="H1047"/>
  <c r="AI1047"/>
  <c r="B1048"/>
  <c r="H1048"/>
  <c r="AI1048"/>
  <c r="B1049"/>
  <c r="H1049"/>
  <c r="AI1049"/>
  <c r="B1050"/>
  <c r="H1050"/>
  <c r="AI1050"/>
  <c r="B1051"/>
  <c r="H1051"/>
  <c r="AI1051"/>
  <c r="B1052"/>
  <c r="H1052"/>
  <c r="AI1052"/>
  <c r="B1053"/>
  <c r="H1053"/>
  <c r="AI1053"/>
  <c r="B1054"/>
  <c r="H1054"/>
  <c r="AI1054"/>
  <c r="B1055"/>
  <c r="H1055"/>
  <c r="AI1055"/>
  <c r="B1056"/>
  <c r="H1056"/>
  <c r="AI1056"/>
  <c r="B1057"/>
  <c r="H1057"/>
  <c r="AI1057"/>
  <c r="B1058"/>
  <c r="H1058"/>
  <c r="AI1058"/>
  <c r="B1059"/>
  <c r="H1059"/>
  <c r="AI1059"/>
  <c r="B1060"/>
  <c r="H1060"/>
  <c r="AI1060"/>
  <c r="B1061"/>
  <c r="H1061"/>
  <c r="AI1061"/>
  <c r="B1062"/>
  <c r="H1062"/>
  <c r="AI1062"/>
  <c r="B1063"/>
  <c r="H1063"/>
  <c r="AI1063"/>
  <c r="B1064"/>
  <c r="H1064"/>
  <c r="AI1064"/>
  <c r="B1065"/>
  <c r="H1065"/>
  <c r="AI1065"/>
  <c r="B1066"/>
  <c r="H1066"/>
  <c r="AI1066"/>
  <c r="B1067"/>
  <c r="H1067"/>
  <c r="AI1067"/>
  <c r="B1068"/>
  <c r="H1068"/>
  <c r="AI1068"/>
  <c r="B1069"/>
  <c r="H1069"/>
  <c r="AI1069"/>
  <c r="B1070"/>
  <c r="H1070"/>
  <c r="AI1070"/>
  <c r="B1071"/>
  <c r="H1071"/>
  <c r="AI1071"/>
  <c r="B1072"/>
  <c r="H1072"/>
  <c r="AI1072"/>
  <c r="B1073"/>
  <c r="H1073"/>
  <c r="AI1073"/>
  <c r="B1074"/>
  <c r="H1074"/>
  <c r="AI1074"/>
  <c r="B1075"/>
  <c r="H1075"/>
  <c r="AI1075"/>
  <c r="B1076"/>
  <c r="H1076"/>
  <c r="AI1076"/>
  <c r="B1077"/>
  <c r="H1077"/>
  <c r="AI1077"/>
  <c r="B1078"/>
  <c r="H1078"/>
  <c r="AI1078"/>
  <c r="B1079"/>
  <c r="H1079"/>
  <c r="AI1079"/>
  <c r="B1080"/>
  <c r="H1080"/>
  <c r="AI1080"/>
  <c r="B1081"/>
  <c r="H1081"/>
  <c r="AI1081"/>
  <c r="B1082"/>
  <c r="H1082"/>
  <c r="AI1082"/>
  <c r="B1083"/>
  <c r="H1083"/>
  <c r="AI1083"/>
  <c r="B1084"/>
  <c r="H1084"/>
  <c r="AI1084"/>
  <c r="B1085"/>
  <c r="H1085"/>
  <c r="AI1085"/>
  <c r="B1086"/>
  <c r="H1086"/>
  <c r="AI1086"/>
  <c r="B1087"/>
  <c r="H1087"/>
  <c r="AI1087"/>
  <c r="B1088"/>
  <c r="H1088"/>
  <c r="AI1088"/>
  <c r="B1089"/>
  <c r="H1089"/>
  <c r="AI1089"/>
  <c r="B1090"/>
  <c r="H1090"/>
  <c r="AI1090"/>
  <c r="B1091"/>
  <c r="H1091"/>
  <c r="AI1091"/>
  <c r="B1092"/>
  <c r="H1092"/>
  <c r="AI1092"/>
  <c r="B1093"/>
  <c r="H1093"/>
  <c r="AI1093"/>
  <c r="B1094"/>
  <c r="H1094"/>
  <c r="AI1094"/>
  <c r="B1095"/>
  <c r="H1095"/>
  <c r="AI1095"/>
  <c r="B1096"/>
  <c r="H1096"/>
  <c r="AI1096"/>
  <c r="B1097"/>
  <c r="H1097"/>
  <c r="AI1097"/>
  <c r="B1098"/>
  <c r="H1098"/>
  <c r="AI1098"/>
  <c r="B1099"/>
  <c r="H1099"/>
  <c r="AI1099"/>
  <c r="B1100"/>
  <c r="H1100"/>
  <c r="AI1100"/>
  <c r="B1101"/>
  <c r="H1101"/>
  <c r="AI1101"/>
  <c r="B1102"/>
  <c r="H1102"/>
  <c r="AI1102"/>
  <c r="B1103"/>
  <c r="H1103"/>
  <c r="AI1103"/>
  <c r="B1104"/>
  <c r="H1104"/>
  <c r="AI1104"/>
  <c r="B1105"/>
  <c r="H1105"/>
  <c r="AI1105"/>
  <c r="B1106"/>
  <c r="H1106"/>
  <c r="AI1106"/>
  <c r="B1107"/>
  <c r="H1107"/>
  <c r="AI1107"/>
  <c r="B1108"/>
  <c r="H1108"/>
  <c r="AI1108"/>
  <c r="B1109"/>
  <c r="H1109"/>
  <c r="AI1109"/>
  <c r="B1110"/>
  <c r="H1110"/>
  <c r="AI1110"/>
  <c r="B1111"/>
  <c r="H1111"/>
  <c r="AI1111"/>
  <c r="B1112"/>
  <c r="H1112"/>
  <c r="AI1112"/>
  <c r="B1113"/>
  <c r="H1113"/>
  <c r="AI1113"/>
  <c r="B1114"/>
  <c r="H1114"/>
  <c r="AI1114"/>
  <c r="B1115"/>
  <c r="H1115"/>
  <c r="AI1115"/>
  <c r="B1116"/>
  <c r="H1116"/>
  <c r="AI1116"/>
  <c r="B1117"/>
  <c r="H1117"/>
  <c r="AI1117"/>
  <c r="B1118"/>
  <c r="H1118"/>
  <c r="AI1118"/>
  <c r="B1119"/>
  <c r="H1119"/>
  <c r="AI1119"/>
  <c r="B1120"/>
  <c r="H1120"/>
  <c r="AI1120"/>
  <c r="B1121"/>
  <c r="H1121"/>
  <c r="AI1121"/>
  <c r="B1122"/>
  <c r="H1122"/>
  <c r="AI1122"/>
  <c r="B1123"/>
  <c r="H1123"/>
  <c r="AI1123"/>
  <c r="B1124"/>
  <c r="H1124"/>
  <c r="AI1124"/>
  <c r="B1125"/>
  <c r="H1125"/>
  <c r="AI1125"/>
  <c r="B1126"/>
  <c r="H1126"/>
  <c r="AI1126"/>
  <c r="B1127"/>
  <c r="H1127"/>
  <c r="AI1127"/>
  <c r="B1128"/>
  <c r="H1128"/>
  <c r="AI1128"/>
  <c r="B1129"/>
  <c r="H1129"/>
  <c r="AI1129"/>
  <c r="B1130"/>
  <c r="H1130"/>
  <c r="AI1130"/>
  <c r="B1131"/>
  <c r="H1131"/>
  <c r="AI1131"/>
  <c r="B1132"/>
  <c r="H1132"/>
  <c r="AI1132"/>
  <c r="B1133"/>
  <c r="H1133"/>
  <c r="AI1133"/>
  <c r="B1134"/>
  <c r="H1134"/>
  <c r="AI1134"/>
  <c r="B1135"/>
  <c r="H1135"/>
  <c r="AI1135"/>
  <c r="B1136"/>
  <c r="H1136"/>
  <c r="AI1136"/>
  <c r="B1137"/>
  <c r="H1137"/>
  <c r="AI1137"/>
  <c r="B1138"/>
  <c r="H1138"/>
  <c r="AI1138"/>
  <c r="B1139"/>
  <c r="H1139"/>
  <c r="AI1139"/>
  <c r="B1140"/>
  <c r="H1140"/>
  <c r="AI1140"/>
  <c r="B1141"/>
  <c r="H1141"/>
  <c r="AI1141"/>
  <c r="B1142"/>
  <c r="H1142"/>
  <c r="AI1142"/>
  <c r="B1143"/>
  <c r="H1143"/>
  <c r="AI1143"/>
  <c r="B1144"/>
  <c r="H1144"/>
  <c r="AI1144"/>
  <c r="B1145"/>
  <c r="H1145"/>
  <c r="AI1145"/>
  <c r="B1146"/>
  <c r="H1146"/>
  <c r="AI1146"/>
  <c r="B1147"/>
  <c r="H1147"/>
  <c r="AI1147"/>
  <c r="B1148"/>
  <c r="H1148"/>
  <c r="AI1148"/>
  <c r="B1149"/>
  <c r="H1149"/>
  <c r="AI1149"/>
  <c r="B1150"/>
  <c r="H1150"/>
  <c r="AI1150"/>
  <c r="B1151"/>
  <c r="H1151"/>
  <c r="AI1151"/>
  <c r="B1152"/>
  <c r="H1152"/>
  <c r="AI1152"/>
  <c r="B1153"/>
  <c r="H1153"/>
  <c r="AI1153"/>
  <c r="B1154"/>
  <c r="H1154"/>
  <c r="AI1154"/>
  <c r="B1155"/>
  <c r="H1155"/>
  <c r="AI1155"/>
  <c r="B1156"/>
  <c r="H1156"/>
  <c r="AI1156"/>
  <c r="B1157"/>
  <c r="H1157"/>
  <c r="AI1157"/>
  <c r="B1158"/>
  <c r="H1158"/>
  <c r="AI1158"/>
  <c r="B1159"/>
  <c r="H1159"/>
  <c r="AI1159"/>
  <c r="B1160"/>
  <c r="H1160"/>
  <c r="AI1160"/>
  <c r="B1161"/>
  <c r="H1161"/>
  <c r="AI1161"/>
  <c r="B1162"/>
  <c r="H1162"/>
  <c r="AI1162"/>
  <c r="B1163"/>
  <c r="H1163"/>
  <c r="AI1163"/>
  <c r="B1164"/>
  <c r="H1164"/>
  <c r="AI1164"/>
  <c r="B1165"/>
  <c r="H1165"/>
  <c r="AI1165"/>
  <c r="B1166"/>
  <c r="H1166"/>
  <c r="AI1166"/>
  <c r="B1167"/>
  <c r="H1167"/>
  <c r="AI1167"/>
  <c r="B1168"/>
  <c r="H1168"/>
  <c r="AI1168"/>
  <c r="B1169"/>
  <c r="H1169"/>
  <c r="AI1169"/>
  <c r="B1170"/>
  <c r="H1170"/>
  <c r="AI1170"/>
  <c r="B1171"/>
  <c r="H1171"/>
  <c r="AI1171"/>
  <c r="B1172"/>
  <c r="H1172"/>
  <c r="AI1172"/>
  <c r="B1173"/>
  <c r="H1173"/>
  <c r="AI1173"/>
  <c r="B1174"/>
  <c r="H1174"/>
  <c r="AI1174"/>
  <c r="B1175"/>
  <c r="H1175"/>
  <c r="AI1175"/>
  <c r="B1176"/>
  <c r="H1176"/>
  <c r="AI1176"/>
  <c r="B1177"/>
  <c r="H1177"/>
  <c r="AI1177"/>
  <c r="B1178"/>
  <c r="H1178"/>
  <c r="AI1178"/>
  <c r="B1179"/>
  <c r="H1179"/>
  <c r="AI1179"/>
  <c r="B1180"/>
  <c r="H1180"/>
  <c r="AI1180"/>
  <c r="B1181"/>
  <c r="H1181"/>
  <c r="AI1181"/>
  <c r="B1182"/>
  <c r="H1182"/>
  <c r="AI1182"/>
  <c r="B1183"/>
  <c r="H1183"/>
  <c r="AI1183"/>
  <c r="B1184"/>
  <c r="H1184"/>
  <c r="AI1184"/>
  <c r="B1185"/>
  <c r="H1185"/>
  <c r="AI1185"/>
  <c r="B1186"/>
  <c r="H1186"/>
  <c r="AI1186"/>
  <c r="B1187"/>
  <c r="H1187"/>
  <c r="AI1187"/>
  <c r="B1188"/>
  <c r="H1188"/>
  <c r="AI1188"/>
  <c r="B1189"/>
  <c r="H1189"/>
  <c r="AI1189"/>
  <c r="B1190"/>
  <c r="H1190"/>
  <c r="AI1190"/>
  <c r="B1191"/>
  <c r="H1191"/>
  <c r="AI1191"/>
  <c r="B1192"/>
  <c r="H1192"/>
  <c r="AI1192"/>
  <c r="B1193"/>
  <c r="H1193"/>
  <c r="AI1193"/>
  <c r="B1194"/>
  <c r="H1194"/>
  <c r="AI1194"/>
  <c r="B1195"/>
  <c r="H1195"/>
  <c r="AI1195"/>
  <c r="B1196"/>
  <c r="H1196"/>
  <c r="AI1196"/>
  <c r="B1197"/>
  <c r="H1197"/>
  <c r="AI1197"/>
  <c r="B1198"/>
  <c r="H1198"/>
  <c r="AI1198"/>
  <c r="B1199"/>
  <c r="H1199"/>
  <c r="AI1199"/>
  <c r="B1200"/>
  <c r="H1200"/>
  <c r="AI1200"/>
  <c r="B1201"/>
  <c r="H1201"/>
  <c r="AI1201"/>
  <c r="B1202"/>
  <c r="H1202"/>
  <c r="AI1202"/>
  <c r="B1203"/>
  <c r="H1203"/>
  <c r="AI1203"/>
  <c r="B1204"/>
  <c r="H1204"/>
  <c r="AI1204"/>
  <c r="B1205"/>
  <c r="H1205"/>
  <c r="AI1205"/>
  <c r="B1206"/>
  <c r="H1206"/>
  <c r="AI1206"/>
  <c r="B1207"/>
  <c r="H1207"/>
  <c r="AI1207"/>
  <c r="B1208"/>
  <c r="H1208"/>
  <c r="AI1208"/>
  <c r="B1209"/>
  <c r="H1209"/>
  <c r="AI1209"/>
  <c r="B1210"/>
  <c r="H1210"/>
  <c r="AI1210"/>
  <c r="B1211"/>
  <c r="H1211"/>
  <c r="AI1211"/>
  <c r="B1212"/>
  <c r="H1212"/>
  <c r="AI1212"/>
  <c r="B1213"/>
  <c r="H1213"/>
  <c r="AI1213"/>
  <c r="B1214"/>
  <c r="H1214"/>
  <c r="AI1214"/>
  <c r="B1215"/>
  <c r="H1215"/>
  <c r="AI1215"/>
  <c r="B1216"/>
  <c r="H1216"/>
  <c r="AI1216"/>
  <c r="B1217"/>
  <c r="H1217"/>
  <c r="AI1217"/>
  <c r="B1218"/>
  <c r="H1218"/>
  <c r="AI1218"/>
  <c r="B1219"/>
  <c r="H1219"/>
  <c r="AI1219"/>
  <c r="B1220"/>
  <c r="H1220"/>
  <c r="AI1220"/>
  <c r="B1221"/>
  <c r="H1221"/>
  <c r="AI1221"/>
  <c r="B1222"/>
  <c r="H1222"/>
  <c r="AI1222"/>
  <c r="B1223"/>
  <c r="H1223"/>
  <c r="AI1223"/>
  <c r="B1224"/>
  <c r="H1224"/>
  <c r="AI1224"/>
  <c r="B1225"/>
  <c r="H1225"/>
  <c r="AI1225"/>
  <c r="B1226"/>
  <c r="H1226"/>
  <c r="AI1226"/>
  <c r="B1227"/>
  <c r="H1227"/>
  <c r="AI1227"/>
  <c r="B1228"/>
  <c r="H1228"/>
  <c r="AI1228"/>
  <c r="B1229"/>
  <c r="H1229"/>
  <c r="AI1229"/>
  <c r="B1230"/>
  <c r="H1230"/>
  <c r="AI1230"/>
  <c r="B1231"/>
  <c r="H1231"/>
  <c r="AI1231"/>
  <c r="B1232"/>
  <c r="H1232"/>
  <c r="AI1232"/>
  <c r="B1233"/>
  <c r="H1233"/>
  <c r="AI1233"/>
  <c r="B1234"/>
  <c r="H1234"/>
  <c r="AI1234"/>
  <c r="B1235"/>
  <c r="H1235"/>
  <c r="AI1235"/>
  <c r="B1236"/>
  <c r="H1236"/>
  <c r="AI1236"/>
  <c r="B1237"/>
  <c r="H1237"/>
  <c r="AI1237"/>
  <c r="B1238"/>
  <c r="H1238"/>
  <c r="AI1238"/>
  <c r="B1239"/>
  <c r="H1239"/>
  <c r="AI1239"/>
  <c r="B1240"/>
  <c r="H1240"/>
  <c r="AI1240"/>
  <c r="B1241"/>
  <c r="H1241"/>
  <c r="AI1241"/>
  <c r="B1242"/>
  <c r="H1242"/>
  <c r="AI1242"/>
  <c r="B1243"/>
  <c r="H1243"/>
  <c r="AI1243"/>
  <c r="B1244"/>
  <c r="H1244"/>
  <c r="AI1244"/>
  <c r="B1245"/>
  <c r="H1245"/>
  <c r="AI1245"/>
  <c r="B1246"/>
  <c r="H1246"/>
  <c r="AI1246"/>
  <c r="B1247"/>
  <c r="H1247"/>
  <c r="AI1247"/>
  <c r="B1248"/>
  <c r="H1248"/>
  <c r="AI1248"/>
  <c r="B1249"/>
  <c r="H1249"/>
  <c r="AI1249"/>
  <c r="B1250"/>
  <c r="H1250"/>
  <c r="AI1250"/>
  <c r="B1251"/>
  <c r="H1251"/>
  <c r="AI1251"/>
  <c r="B1252"/>
  <c r="H1252"/>
  <c r="AI1252"/>
  <c r="B1253"/>
  <c r="H1253"/>
  <c r="AI1253"/>
  <c r="B1254"/>
  <c r="H1254"/>
  <c r="AI1254"/>
  <c r="B1255"/>
  <c r="H1255"/>
  <c r="AI1255"/>
  <c r="B1256"/>
  <c r="H1256"/>
  <c r="AI1256"/>
  <c r="B1257"/>
  <c r="H1257"/>
  <c r="AI1257"/>
  <c r="B1258"/>
  <c r="H1258"/>
  <c r="AI1258"/>
  <c r="B1259"/>
  <c r="H1259"/>
  <c r="AI1259"/>
  <c r="B1260"/>
  <c r="H1260"/>
  <c r="AI1260"/>
  <c r="B1261"/>
  <c r="H1261"/>
  <c r="AI1261"/>
  <c r="B1262"/>
  <c r="H1262"/>
  <c r="AI1262"/>
  <c r="B1263"/>
  <c r="H1263"/>
  <c r="AI1263"/>
  <c r="B1264"/>
  <c r="H1264"/>
  <c r="AI1264"/>
  <c r="B1265"/>
  <c r="H1265"/>
  <c r="AI1265"/>
  <c r="B1266"/>
  <c r="H1266"/>
  <c r="AI1266"/>
  <c r="B1267"/>
  <c r="H1267"/>
  <c r="AI1267"/>
  <c r="B1268"/>
  <c r="H1268"/>
  <c r="AI1268"/>
  <c r="B1269"/>
  <c r="H1269"/>
  <c r="AI1269"/>
  <c r="B1270"/>
  <c r="H1270"/>
  <c r="AI1270"/>
  <c r="B1271"/>
  <c r="H1271"/>
  <c r="AI1271"/>
  <c r="B1272"/>
  <c r="H1272"/>
  <c r="AI1272"/>
  <c r="B1273"/>
  <c r="H1273"/>
  <c r="AI1273"/>
  <c r="B1274"/>
  <c r="H1274"/>
  <c r="AI1274"/>
  <c r="B1275"/>
  <c r="H1275"/>
  <c r="AI1275"/>
  <c r="B1276"/>
  <c r="H1276"/>
  <c r="AI1276"/>
  <c r="B1277"/>
  <c r="H1277"/>
  <c r="AI1277"/>
  <c r="B1278"/>
  <c r="H1278"/>
  <c r="AI1278"/>
  <c r="B1279"/>
  <c r="H1279"/>
  <c r="AI1279"/>
  <c r="B1280"/>
  <c r="H1280"/>
  <c r="AI1280"/>
  <c r="B1281"/>
  <c r="H1281"/>
  <c r="AI1281"/>
  <c r="B1282"/>
  <c r="H1282"/>
  <c r="AI1282"/>
  <c r="B1283"/>
  <c r="H1283"/>
  <c r="AI1283"/>
  <c r="B1284"/>
  <c r="H1284"/>
  <c r="AI1284"/>
  <c r="B1285"/>
  <c r="H1285"/>
  <c r="AI1285"/>
  <c r="B1286"/>
  <c r="H1286"/>
  <c r="AI1286"/>
  <c r="B1287"/>
  <c r="H1287"/>
  <c r="AI1287"/>
  <c r="B1288"/>
  <c r="H1288"/>
  <c r="AI1288"/>
  <c r="B1289"/>
  <c r="H1289"/>
  <c r="AI1289"/>
  <c r="B1290"/>
  <c r="H1290"/>
  <c r="AI1290"/>
  <c r="B1291"/>
  <c r="H1291"/>
  <c r="AI1291"/>
  <c r="B1292"/>
  <c r="H1292"/>
  <c r="AI1292"/>
  <c r="B1293"/>
  <c r="H1293"/>
  <c r="AI1293"/>
  <c r="B1294"/>
  <c r="H1294"/>
  <c r="AI1294"/>
  <c r="B1295"/>
  <c r="H1295"/>
  <c r="AI1295"/>
  <c r="B1296"/>
  <c r="H1296"/>
  <c r="AI1296"/>
  <c r="B1297"/>
  <c r="H1297"/>
  <c r="AI1297"/>
  <c r="B1298"/>
  <c r="H1298"/>
  <c r="AI1298"/>
  <c r="B1299"/>
  <c r="H1299"/>
  <c r="AI1299"/>
  <c r="B1300"/>
  <c r="H1300"/>
  <c r="AI1300"/>
  <c r="B1301"/>
  <c r="H1301"/>
  <c r="AI1301"/>
  <c r="B1302"/>
  <c r="H1302"/>
  <c r="AI1302"/>
  <c r="B1303"/>
  <c r="H1303"/>
  <c r="AI1303"/>
  <c r="B1304"/>
  <c r="H1304"/>
  <c r="AI1304"/>
  <c r="B1305"/>
  <c r="H1305"/>
  <c r="AI1305"/>
  <c r="B1306"/>
  <c r="H1306"/>
  <c r="AI1306"/>
  <c r="B1307"/>
  <c r="H1307"/>
  <c r="AI1307"/>
  <c r="B1308"/>
  <c r="H1308"/>
  <c r="AI1308"/>
  <c r="B1309"/>
  <c r="H1309"/>
  <c r="AI1309"/>
  <c r="B1310"/>
  <c r="H1310"/>
  <c r="AI1310"/>
  <c r="B1311"/>
  <c r="H1311"/>
  <c r="AI1311"/>
  <c r="B1312"/>
  <c r="H1312"/>
  <c r="AI1312"/>
  <c r="B1313"/>
  <c r="H1313"/>
  <c r="AI1313"/>
  <c r="B1314"/>
  <c r="H1314"/>
  <c r="AI1314"/>
  <c r="B1315"/>
  <c r="H1315"/>
  <c r="AI1315"/>
  <c r="B1316"/>
  <c r="H1316"/>
  <c r="AI1316"/>
  <c r="B1317"/>
  <c r="H1317"/>
  <c r="AI1317"/>
  <c r="B1318"/>
  <c r="H1318"/>
  <c r="AI1318"/>
  <c r="B1319"/>
  <c r="H1319"/>
  <c r="AI1319"/>
  <c r="B1320"/>
  <c r="H1320"/>
  <c r="AI1320"/>
  <c r="B1321"/>
  <c r="H1321"/>
  <c r="AI1321"/>
  <c r="B1322"/>
  <c r="H1322"/>
  <c r="AI1322"/>
  <c r="B1323"/>
  <c r="H1323"/>
  <c r="AI1323"/>
  <c r="B1324"/>
  <c r="H1324"/>
  <c r="AI1324"/>
  <c r="B1325"/>
  <c r="H1325"/>
  <c r="AI1325"/>
  <c r="B1326"/>
  <c r="H1326"/>
  <c r="AI1326"/>
  <c r="B1327"/>
  <c r="H1327"/>
  <c r="AI1327"/>
  <c r="B1328"/>
  <c r="H1328"/>
  <c r="AI1328"/>
  <c r="B1329"/>
  <c r="H1329"/>
  <c r="AI1329"/>
  <c r="B1330"/>
  <c r="H1330"/>
  <c r="AI1330"/>
  <c r="B1331"/>
  <c r="H1331"/>
  <c r="AI1331"/>
  <c r="B1332"/>
  <c r="H1332"/>
  <c r="AI1332"/>
  <c r="B1333"/>
  <c r="H1333"/>
  <c r="AI1333"/>
  <c r="B1334"/>
  <c r="H1334"/>
  <c r="AI1334"/>
  <c r="B1335"/>
  <c r="H1335"/>
  <c r="AI1335"/>
  <c r="B1336"/>
  <c r="H1336"/>
  <c r="AI1336"/>
  <c r="B1337"/>
  <c r="H1337"/>
  <c r="AI1337"/>
  <c r="B1338"/>
  <c r="H1338"/>
  <c r="AI1338"/>
  <c r="B1339"/>
  <c r="H1339"/>
  <c r="AI1339"/>
  <c r="B1340"/>
  <c r="H1340"/>
  <c r="AI1340"/>
  <c r="B1341"/>
  <c r="H1341"/>
  <c r="AI1341"/>
  <c r="B1342"/>
  <c r="H1342"/>
  <c r="AI1342"/>
  <c r="B1343"/>
  <c r="H1343"/>
  <c r="AI1343"/>
  <c r="B1344"/>
  <c r="H1344"/>
  <c r="AI1344"/>
  <c r="B1345"/>
  <c r="H1345"/>
  <c r="AI1345"/>
  <c r="B1346"/>
  <c r="H1346"/>
  <c r="AI1346"/>
  <c r="B1347"/>
  <c r="H1347"/>
  <c r="AI1347"/>
  <c r="B1348"/>
  <c r="H1348"/>
  <c r="AI1348"/>
  <c r="B1349"/>
  <c r="H1349"/>
  <c r="AI1349"/>
  <c r="B1350"/>
  <c r="H1350"/>
  <c r="AI1350"/>
  <c r="B1351"/>
  <c r="H1351"/>
  <c r="AI1351"/>
  <c r="B1352"/>
  <c r="H1352"/>
  <c r="AI1352"/>
  <c r="B1353"/>
  <c r="H1353"/>
  <c r="AI1353"/>
  <c r="B1354"/>
  <c r="H1354"/>
  <c r="AI1354"/>
  <c r="B1355"/>
  <c r="H1355"/>
  <c r="AI1355"/>
  <c r="B1356"/>
  <c r="H1356"/>
  <c r="AI1356"/>
  <c r="B1357"/>
  <c r="H1357"/>
  <c r="AI1357"/>
  <c r="B1358"/>
  <c r="H1358"/>
  <c r="AI1358"/>
  <c r="B1359"/>
  <c r="H1359"/>
  <c r="AI1359"/>
  <c r="B1360"/>
  <c r="H1360"/>
  <c r="AI1360"/>
  <c r="B1361"/>
  <c r="H1361"/>
  <c r="AI1361"/>
  <c r="B1362"/>
  <c r="H1362"/>
  <c r="AI1362"/>
  <c r="B1363"/>
  <c r="H1363"/>
  <c r="AI1363"/>
  <c r="B1364"/>
  <c r="H1364"/>
  <c r="AI1364"/>
  <c r="B1365"/>
  <c r="H1365"/>
  <c r="AI1365"/>
  <c r="B1366"/>
  <c r="H1366"/>
  <c r="AI1366"/>
  <c r="B1367"/>
  <c r="H1367"/>
  <c r="AI1367"/>
  <c r="B1368"/>
  <c r="H1368"/>
  <c r="AI1368"/>
  <c r="B1369"/>
  <c r="H1369"/>
  <c r="AI1369"/>
  <c r="B1370"/>
  <c r="H1370"/>
  <c r="AI1370"/>
  <c r="B1371"/>
  <c r="H1371"/>
  <c r="AI1371"/>
  <c r="B1372"/>
  <c r="H1372"/>
  <c r="AI1372"/>
  <c r="B1373"/>
  <c r="H1373"/>
  <c r="AI1373"/>
  <c r="B1374"/>
  <c r="H1374"/>
  <c r="AI1374"/>
  <c r="B1375"/>
  <c r="H1375"/>
  <c r="AI1375"/>
  <c r="B1376"/>
  <c r="H1376"/>
  <c r="AI1376"/>
  <c r="B1377"/>
  <c r="H1377"/>
  <c r="AI1377"/>
  <c r="B1378"/>
  <c r="H1378"/>
  <c r="AI1378"/>
  <c r="B1379"/>
  <c r="H1379"/>
  <c r="AI1379"/>
  <c r="B1380"/>
  <c r="H1380"/>
  <c r="AI1380"/>
  <c r="B1381"/>
  <c r="H1381"/>
  <c r="AI1381"/>
  <c r="B1382"/>
  <c r="H1382"/>
  <c r="AI1382"/>
  <c r="B1383"/>
  <c r="H1383"/>
  <c r="AI1383"/>
  <c r="B1384"/>
  <c r="H1384"/>
  <c r="AI1384"/>
  <c r="B1385"/>
  <c r="H1385"/>
  <c r="AI1385"/>
  <c r="B1386"/>
  <c r="H1386"/>
  <c r="AI1386"/>
  <c r="B1387"/>
  <c r="H1387"/>
  <c r="AI1387"/>
  <c r="B1388"/>
  <c r="H1388"/>
  <c r="AI1388"/>
  <c r="B1389"/>
  <c r="H1389"/>
  <c r="AI1389"/>
  <c r="B1390"/>
  <c r="H1390"/>
  <c r="AI1390"/>
  <c r="B1391"/>
  <c r="H1391"/>
  <c r="AI1391"/>
  <c r="B1392"/>
  <c r="H1392"/>
  <c r="AI1392"/>
  <c r="B1393"/>
  <c r="H1393"/>
  <c r="AI1393"/>
  <c r="B1394"/>
  <c r="H1394"/>
  <c r="AI1394"/>
  <c r="B1395"/>
  <c r="H1395"/>
  <c r="AI1395"/>
  <c r="B1396"/>
  <c r="H1396"/>
  <c r="AI1396"/>
  <c r="B1397"/>
  <c r="H1397"/>
  <c r="AI1397"/>
  <c r="B1398"/>
  <c r="H1398"/>
  <c r="AI1398"/>
  <c r="B1399"/>
  <c r="H1399"/>
  <c r="AI1399"/>
  <c r="B1400"/>
  <c r="H1400"/>
  <c r="AI1400"/>
  <c r="B1401"/>
  <c r="H1401"/>
  <c r="AI1401"/>
  <c r="B1402"/>
  <c r="H1402"/>
  <c r="AI1402"/>
  <c r="B1403"/>
  <c r="H1403"/>
  <c r="AI1403"/>
  <c r="B1404"/>
  <c r="H1404"/>
  <c r="AI1404"/>
  <c r="B1405"/>
  <c r="H1405"/>
  <c r="AI1405"/>
  <c r="B1406"/>
  <c r="H1406"/>
  <c r="AI1406"/>
  <c r="B1407"/>
  <c r="H1407"/>
  <c r="AI1407"/>
  <c r="B1408"/>
  <c r="H1408"/>
  <c r="AI1408"/>
  <c r="B1409"/>
  <c r="H1409"/>
  <c r="AI1409"/>
  <c r="B1410"/>
  <c r="H1410"/>
  <c r="AI1410"/>
  <c r="B1411"/>
  <c r="H1411"/>
  <c r="AI1411"/>
  <c r="B1412"/>
  <c r="H1412"/>
  <c r="AI1412"/>
  <c r="B1413"/>
  <c r="H1413"/>
  <c r="AI1413"/>
  <c r="B1414"/>
  <c r="H1414"/>
  <c r="AI1414"/>
  <c r="B1415"/>
  <c r="H1415"/>
  <c r="AI1415"/>
  <c r="B1416"/>
  <c r="H1416"/>
  <c r="AI1416"/>
  <c r="B1417"/>
  <c r="H1417"/>
  <c r="AI1417"/>
  <c r="B1418"/>
  <c r="H1418"/>
  <c r="AI1418"/>
  <c r="B1419"/>
  <c r="H1419"/>
  <c r="AI1419"/>
  <c r="B1420"/>
  <c r="H1420"/>
  <c r="AI1420"/>
  <c r="B1421"/>
  <c r="H1421"/>
  <c r="AI1421"/>
  <c r="B1422"/>
  <c r="H1422"/>
  <c r="AI1422"/>
  <c r="B1423"/>
  <c r="H1423"/>
  <c r="AI1423"/>
  <c r="B1424"/>
  <c r="H1424"/>
  <c r="AI1424"/>
  <c r="B1425"/>
  <c r="H1425"/>
  <c r="AI1425"/>
  <c r="B1426"/>
  <c r="H1426"/>
  <c r="AI1426"/>
  <c r="B1427"/>
  <c r="H1427"/>
  <c r="AI1427"/>
  <c r="B1428"/>
  <c r="H1428"/>
  <c r="AI1428"/>
  <c r="B1429"/>
  <c r="H1429"/>
  <c r="AI1429"/>
  <c r="B1430"/>
  <c r="H1430"/>
  <c r="AI1430"/>
  <c r="B1431"/>
  <c r="H1431"/>
  <c r="AI1431"/>
  <c r="B1432"/>
  <c r="H1432"/>
  <c r="AI1432"/>
  <c r="B1433"/>
  <c r="H1433"/>
  <c r="AI1433"/>
  <c r="B1434"/>
  <c r="H1434"/>
  <c r="AI1434"/>
  <c r="B1435"/>
  <c r="H1435"/>
  <c r="AI1435"/>
  <c r="B1436"/>
  <c r="H1436"/>
  <c r="AI1436"/>
  <c r="B1437"/>
  <c r="H1437"/>
  <c r="AI1437"/>
  <c r="B1438"/>
  <c r="H1438"/>
  <c r="AI1438"/>
  <c r="B1439"/>
  <c r="H1439"/>
  <c r="AI1439"/>
  <c r="B1440"/>
  <c r="H1440"/>
  <c r="AI1440"/>
  <c r="B1441"/>
  <c r="H1441"/>
  <c r="AI1441"/>
  <c r="B1442"/>
  <c r="H1442"/>
  <c r="AI1442"/>
  <c r="B1443"/>
  <c r="H1443"/>
  <c r="AI1443"/>
  <c r="B1444"/>
  <c r="H1444"/>
  <c r="AI1444"/>
  <c r="B1445"/>
  <c r="H1445"/>
  <c r="AI1445"/>
  <c r="B1446"/>
  <c r="H1446"/>
  <c r="AI1446"/>
  <c r="B1447"/>
  <c r="H1447"/>
  <c r="AI1447"/>
  <c r="B1448"/>
  <c r="H1448"/>
  <c r="AI1448"/>
  <c r="B1449"/>
  <c r="H1449"/>
  <c r="AI1449"/>
  <c r="B1450"/>
  <c r="H1450"/>
  <c r="AI1450"/>
  <c r="B1451"/>
  <c r="H1451"/>
  <c r="AI1451"/>
  <c r="B1452"/>
  <c r="H1452"/>
  <c r="AI1452"/>
  <c r="B1453"/>
  <c r="H1453"/>
  <c r="AI1453"/>
  <c r="B1454"/>
  <c r="H1454"/>
  <c r="AI1454"/>
  <c r="B1455"/>
  <c r="H1455"/>
  <c r="AI1455"/>
  <c r="B1456"/>
  <c r="H1456"/>
  <c r="AI1456"/>
  <c r="B1457"/>
  <c r="H1457"/>
  <c r="AI1457"/>
  <c r="B1458"/>
  <c r="H1458"/>
  <c r="AI1458"/>
  <c r="B1459"/>
  <c r="H1459"/>
  <c r="AI1459"/>
  <c r="B1460"/>
  <c r="H1460"/>
  <c r="AI1460"/>
  <c r="B1461"/>
  <c r="H1461"/>
  <c r="AI1461"/>
  <c r="B1462"/>
  <c r="H1462"/>
  <c r="AI1462"/>
  <c r="B1463"/>
  <c r="H1463"/>
  <c r="AI1463"/>
  <c r="B1464"/>
  <c r="H1464"/>
  <c r="AI1464"/>
  <c r="B1465"/>
  <c r="H1465"/>
  <c r="AI1465"/>
  <c r="B1466"/>
  <c r="H1466"/>
  <c r="AI1466"/>
  <c r="B1467"/>
  <c r="H1467"/>
  <c r="AI1467"/>
  <c r="B1468"/>
  <c r="H1468"/>
  <c r="AI1468"/>
  <c r="B1469"/>
  <c r="H1469"/>
  <c r="AI1469"/>
  <c r="B1470"/>
  <c r="H1470"/>
  <c r="AI1470"/>
  <c r="B1471"/>
  <c r="H1471"/>
  <c r="AI1471"/>
  <c r="B1472"/>
  <c r="H1472"/>
  <c r="AI1472"/>
  <c r="B1473"/>
  <c r="H1473"/>
  <c r="AI1473"/>
  <c r="B1474"/>
  <c r="H1474"/>
  <c r="AI1474"/>
  <c r="B1475"/>
  <c r="H1475"/>
  <c r="AI1475"/>
  <c r="B1476"/>
  <c r="H1476"/>
  <c r="AI1476"/>
  <c r="B1477"/>
  <c r="H1477"/>
  <c r="AI1477"/>
  <c r="B1478"/>
  <c r="H1478"/>
  <c r="AI1478"/>
  <c r="B1479"/>
  <c r="H1479"/>
  <c r="AI1479"/>
  <c r="B1480"/>
  <c r="H1480"/>
  <c r="AI1480"/>
  <c r="B1481"/>
  <c r="H1481"/>
  <c r="AI1481"/>
  <c r="B1482"/>
  <c r="H1482"/>
  <c r="AI1482"/>
  <c r="B1483"/>
  <c r="H1483"/>
  <c r="AI1483"/>
  <c r="B1484"/>
  <c r="H1484"/>
  <c r="AI1484"/>
  <c r="B1485"/>
  <c r="H1485"/>
  <c r="AI1485"/>
  <c r="B1486"/>
  <c r="H1486"/>
  <c r="AI1486"/>
  <c r="B1487"/>
  <c r="H1487"/>
  <c r="AI1487"/>
  <c r="B1488"/>
  <c r="H1488"/>
  <c r="AI1488"/>
  <c r="B1489"/>
  <c r="H1489"/>
  <c r="AI1489"/>
  <c r="B1490"/>
  <c r="H1490"/>
  <c r="AI1490"/>
  <c r="B1491"/>
  <c r="H1491"/>
  <c r="AI1491"/>
  <c r="B1492"/>
  <c r="H1492"/>
  <c r="AI1492"/>
  <c r="B1493"/>
  <c r="H1493"/>
  <c r="AI1493"/>
  <c r="B1494"/>
  <c r="H1494"/>
  <c r="AI1494"/>
  <c r="B1495"/>
  <c r="H1495"/>
  <c r="AI1495"/>
  <c r="B1496"/>
  <c r="H1496"/>
  <c r="AI1496"/>
  <c r="B1497"/>
  <c r="H1497"/>
  <c r="AI1497"/>
  <c r="B1498"/>
  <c r="H1498"/>
  <c r="AI1498"/>
  <c r="B1499"/>
  <c r="H1499"/>
  <c r="AI1499"/>
  <c r="B1500"/>
  <c r="H1500"/>
  <c r="AI1500"/>
  <c r="B1501"/>
  <c r="H1501"/>
  <c r="AI1501"/>
  <c r="B1502"/>
  <c r="H1502"/>
  <c r="AI1502"/>
  <c r="B1503"/>
  <c r="H1503"/>
  <c r="AI1503"/>
  <c r="B1504"/>
  <c r="H1504"/>
  <c r="AI1504"/>
  <c r="B1505"/>
  <c r="H1505"/>
  <c r="AI1505"/>
  <c r="B1506"/>
  <c r="H1506"/>
  <c r="AI1506"/>
  <c r="B1507"/>
  <c r="H1507"/>
  <c r="AI1507"/>
  <c r="B1508"/>
  <c r="H1508"/>
  <c r="AI1508"/>
  <c r="B1509"/>
  <c r="H1509"/>
  <c r="AI1509"/>
  <c r="B1510"/>
  <c r="H1510"/>
  <c r="AI1510"/>
  <c r="B1511"/>
  <c r="H1511"/>
  <c r="AI1511"/>
  <c r="B1512"/>
  <c r="H1512"/>
  <c r="AI1512"/>
  <c r="B1513"/>
  <c r="H1513"/>
  <c r="AI1513"/>
  <c r="B1514"/>
  <c r="H1514"/>
  <c r="AI1514"/>
  <c r="B1515"/>
  <c r="H1515"/>
  <c r="AI1515"/>
  <c r="B1516"/>
  <c r="H1516"/>
  <c r="AI1516"/>
  <c r="B1517"/>
  <c r="H1517"/>
  <c r="AI1517"/>
  <c r="B1518"/>
  <c r="H1518"/>
  <c r="AI1518"/>
  <c r="B1519"/>
  <c r="H1519"/>
  <c r="AI1519"/>
  <c r="B1520"/>
  <c r="H1520"/>
  <c r="AI1520"/>
  <c r="B1521"/>
  <c r="H1521"/>
  <c r="AI1521"/>
  <c r="B1522"/>
  <c r="H1522"/>
  <c r="AI1522"/>
  <c r="B1523"/>
  <c r="H1523"/>
  <c r="AI1523"/>
  <c r="B1524"/>
  <c r="H1524"/>
  <c r="AI1524"/>
  <c r="B1525"/>
  <c r="H1525"/>
  <c r="AI1525"/>
  <c r="B1526"/>
  <c r="H1526"/>
  <c r="AI1526"/>
  <c r="B1527"/>
  <c r="H1527"/>
  <c r="AI1527"/>
  <c r="B1528"/>
  <c r="H1528"/>
  <c r="AI1528"/>
  <c r="B1529"/>
  <c r="H1529"/>
  <c r="AI1529"/>
  <c r="B1530"/>
  <c r="H1530"/>
  <c r="AI1530"/>
  <c r="B1531"/>
  <c r="H1531"/>
  <c r="AI1531"/>
  <c r="B1532"/>
  <c r="H1532"/>
  <c r="AI1532"/>
  <c r="B1533"/>
  <c r="H1533"/>
  <c r="AI1533"/>
  <c r="B1534"/>
  <c r="H1534"/>
  <c r="AI1534"/>
  <c r="B1535"/>
  <c r="H1535"/>
  <c r="AI1535"/>
  <c r="B1536"/>
  <c r="H1536"/>
  <c r="AI1536"/>
  <c r="B1537"/>
  <c r="H1537"/>
  <c r="AI1537"/>
  <c r="B1538"/>
  <c r="H1538"/>
  <c r="AI1538"/>
  <c r="B1539"/>
  <c r="H1539"/>
  <c r="AI1539"/>
  <c r="B1540"/>
  <c r="H1540"/>
  <c r="AI1540"/>
  <c r="B1541"/>
  <c r="H1541"/>
  <c r="AI1541"/>
  <c r="B1542"/>
  <c r="H1542"/>
  <c r="AI1542"/>
  <c r="B1543"/>
  <c r="H1543"/>
  <c r="AI1543"/>
  <c r="B1544"/>
  <c r="H1544"/>
  <c r="AI1544"/>
  <c r="B1545"/>
  <c r="H1545"/>
  <c r="AI1545"/>
  <c r="B1546"/>
  <c r="H1546"/>
  <c r="AI1546"/>
  <c r="B1547"/>
  <c r="H1547"/>
  <c r="AI1547"/>
  <c r="B1548"/>
  <c r="H1548"/>
  <c r="AI1548"/>
  <c r="B1549"/>
  <c r="H1549"/>
  <c r="AI1549"/>
  <c r="B1550"/>
  <c r="H1550"/>
  <c r="AI1550"/>
  <c r="B1551"/>
  <c r="H1551"/>
  <c r="AI1551"/>
  <c r="B1552"/>
  <c r="H1552"/>
  <c r="AI1552"/>
  <c r="B1553"/>
  <c r="H1553"/>
  <c r="AI1553"/>
  <c r="B1554"/>
  <c r="H1554"/>
  <c r="AI1554"/>
  <c r="B1555"/>
  <c r="H1555"/>
  <c r="AI1555"/>
  <c r="B1556"/>
  <c r="H1556"/>
  <c r="AI1556"/>
  <c r="B1557"/>
  <c r="H1557"/>
  <c r="AI1557"/>
  <c r="B1558"/>
  <c r="H1558"/>
  <c r="AI1558"/>
  <c r="B1559"/>
  <c r="H1559"/>
  <c r="AI1559"/>
  <c r="B1560"/>
  <c r="H1560"/>
  <c r="AI1560"/>
  <c r="B1561"/>
  <c r="H1561"/>
  <c r="AI1561"/>
  <c r="B1562"/>
  <c r="H1562"/>
  <c r="AI1562"/>
  <c r="B1563"/>
  <c r="H1563"/>
  <c r="AI1563"/>
  <c r="B1564"/>
  <c r="H1564"/>
  <c r="AI1564"/>
  <c r="B1565"/>
  <c r="H1565"/>
  <c r="AI1565"/>
  <c r="B1566"/>
  <c r="H1566"/>
  <c r="AI1566"/>
  <c r="B1567"/>
  <c r="H1567"/>
  <c r="AI1567"/>
  <c r="B1568"/>
  <c r="H1568"/>
  <c r="AI1568"/>
  <c r="B1569"/>
  <c r="H1569"/>
  <c r="AI1569"/>
  <c r="B1570"/>
  <c r="H1570"/>
  <c r="AI1570"/>
  <c r="B1571"/>
  <c r="H1571"/>
  <c r="AI1571"/>
  <c r="B1572"/>
  <c r="H1572"/>
  <c r="AI1572"/>
  <c r="B1573"/>
  <c r="H1573"/>
  <c r="AI1573"/>
  <c r="B1574"/>
  <c r="H1574"/>
  <c r="AI1574"/>
  <c r="B1575"/>
  <c r="H1575"/>
  <c r="AI1575"/>
  <c r="B1576"/>
  <c r="H1576"/>
  <c r="AI1576"/>
  <c r="B1577"/>
  <c r="H1577"/>
  <c r="AI1577"/>
  <c r="B1578"/>
  <c r="H1578"/>
  <c r="AI1578"/>
  <c r="B1579"/>
  <c r="H1579"/>
  <c r="AI1579"/>
  <c r="B1580"/>
  <c r="H1580"/>
  <c r="AI1580"/>
  <c r="B1581"/>
  <c r="H1581"/>
  <c r="AI1581"/>
  <c r="B1582"/>
  <c r="H1582"/>
  <c r="AI1582"/>
  <c r="B1583"/>
  <c r="H1583"/>
  <c r="AI1583"/>
  <c r="B1584"/>
  <c r="H1584"/>
  <c r="AI1584"/>
  <c r="B1585"/>
  <c r="H1585"/>
  <c r="AI1585"/>
  <c r="B1586"/>
  <c r="H1586"/>
  <c r="AI1586"/>
  <c r="B1587"/>
  <c r="H1587"/>
  <c r="AI1587"/>
  <c r="B1588"/>
  <c r="H1588"/>
  <c r="AI1588"/>
  <c r="B1589"/>
  <c r="H1589"/>
  <c r="AI1589"/>
  <c r="B1590"/>
  <c r="H1590"/>
  <c r="AI1590"/>
  <c r="B1591"/>
  <c r="H1591"/>
  <c r="AI1591"/>
  <c r="B1592"/>
  <c r="H1592"/>
  <c r="AI1592"/>
  <c r="B1593"/>
  <c r="H1593"/>
  <c r="AI1593"/>
  <c r="B1594"/>
  <c r="H1594"/>
  <c r="AI1594"/>
  <c r="B1595"/>
  <c r="H1595"/>
  <c r="AI1595"/>
  <c r="B1596"/>
  <c r="H1596"/>
  <c r="AI1596"/>
  <c r="B1597"/>
  <c r="H1597"/>
  <c r="AI1597"/>
  <c r="B1598"/>
  <c r="H1598"/>
  <c r="AI1598"/>
  <c r="B1599"/>
  <c r="H1599"/>
  <c r="AI1599"/>
  <c r="B1600"/>
  <c r="H1600"/>
  <c r="AI1600"/>
  <c r="B1601"/>
  <c r="H1601"/>
  <c r="AI1601"/>
  <c r="B1602"/>
  <c r="H1602"/>
  <c r="AI1602"/>
  <c r="B1603"/>
  <c r="H1603"/>
  <c r="AI1603"/>
  <c r="B1604"/>
  <c r="H1604"/>
  <c r="AI1604"/>
  <c r="B1605"/>
  <c r="H1605"/>
  <c r="AI1605"/>
  <c r="B1606"/>
  <c r="H1606"/>
  <c r="AI1606"/>
  <c r="B1607"/>
  <c r="H1607"/>
  <c r="AI1607"/>
  <c r="B1608"/>
  <c r="H1608"/>
  <c r="AI1608"/>
  <c r="B1609"/>
  <c r="H1609"/>
  <c r="AI1609"/>
  <c r="B1610"/>
  <c r="H1610"/>
  <c r="AI1610"/>
  <c r="B1611"/>
  <c r="H1611"/>
  <c r="AI1611"/>
  <c r="B1612"/>
  <c r="H1612"/>
  <c r="AI1612"/>
  <c r="B1613"/>
  <c r="H1613"/>
  <c r="AI1613"/>
  <c r="B1614"/>
  <c r="H1614"/>
  <c r="AI1614"/>
  <c r="B1615"/>
  <c r="H1615"/>
  <c r="AI1615"/>
  <c r="B1616"/>
  <c r="H1616"/>
  <c r="AI1616"/>
  <c r="B1617"/>
  <c r="H1617"/>
  <c r="AI1617"/>
  <c r="B1618"/>
  <c r="H1618"/>
  <c r="AI1618"/>
  <c r="B1619"/>
  <c r="H1619"/>
  <c r="AI1619"/>
  <c r="B1620"/>
  <c r="H1620"/>
  <c r="AI1620"/>
  <c r="B1621"/>
  <c r="H1621"/>
  <c r="AI1621"/>
  <c r="B1622"/>
  <c r="H1622"/>
  <c r="AI1622"/>
  <c r="B1623"/>
  <c r="H1623"/>
  <c r="AI1623"/>
  <c r="B1624"/>
  <c r="H1624"/>
  <c r="AI1624"/>
  <c r="B1625"/>
  <c r="H1625"/>
  <c r="AI1625"/>
  <c r="B1626"/>
  <c r="H1626"/>
  <c r="AI1626"/>
  <c r="B1627"/>
  <c r="H1627"/>
  <c r="AI1627"/>
  <c r="B1628"/>
  <c r="H1628"/>
  <c r="AI1628"/>
  <c r="B1629"/>
  <c r="H1629"/>
  <c r="AI1629"/>
  <c r="B1630"/>
  <c r="H1630"/>
  <c r="AI1630"/>
  <c r="B1631"/>
  <c r="H1631"/>
  <c r="AI1631"/>
  <c r="B1632"/>
  <c r="H1632"/>
  <c r="AI1632"/>
  <c r="B1633"/>
  <c r="H1633"/>
  <c r="AI1633"/>
  <c r="B1634"/>
  <c r="H1634"/>
  <c r="AI1634"/>
  <c r="B1635"/>
  <c r="H1635"/>
  <c r="AI1635"/>
  <c r="B1636"/>
  <c r="H1636"/>
  <c r="AI1636"/>
  <c r="B1637"/>
  <c r="H1637"/>
  <c r="AI1637"/>
  <c r="B1638"/>
  <c r="H1638"/>
  <c r="AI1638"/>
  <c r="B1639"/>
  <c r="H1639"/>
  <c r="AI1639"/>
  <c r="B1640"/>
  <c r="H1640"/>
  <c r="AI1640"/>
  <c r="B1641"/>
  <c r="H1641"/>
  <c r="AI1641"/>
  <c r="B1642"/>
  <c r="H1642"/>
  <c r="AI1642"/>
  <c r="B1643"/>
  <c r="H1643"/>
  <c r="AI1643"/>
  <c r="B1644"/>
  <c r="H1644"/>
  <c r="AI1644"/>
  <c r="B1645"/>
  <c r="H1645"/>
  <c r="AI1645"/>
  <c r="B1646"/>
  <c r="H1646"/>
  <c r="AI1646"/>
  <c r="B1647"/>
  <c r="H1647"/>
  <c r="AI1647"/>
  <c r="B1648"/>
  <c r="H1648"/>
  <c r="AI1648"/>
  <c r="B1649"/>
  <c r="H1649"/>
  <c r="AI1649"/>
  <c r="B1650"/>
  <c r="H1650"/>
  <c r="AI1650"/>
  <c r="B1651"/>
  <c r="H1651"/>
  <c r="AI1651"/>
  <c r="B1652"/>
  <c r="H1652"/>
  <c r="AI1652"/>
  <c r="B1653"/>
  <c r="H1653"/>
  <c r="AI1653"/>
  <c r="B1654"/>
  <c r="H1654"/>
  <c r="AI1654"/>
  <c r="B1655"/>
  <c r="H1655"/>
  <c r="AI1655"/>
  <c r="B1656"/>
  <c r="H1656"/>
  <c r="AI1656"/>
  <c r="B1657"/>
  <c r="H1657"/>
  <c r="AI1657"/>
  <c r="B1658"/>
  <c r="H1658"/>
  <c r="AI1658"/>
  <c r="B1659"/>
  <c r="H1659"/>
  <c r="AI1659"/>
  <c r="B1660"/>
  <c r="H1660"/>
  <c r="AI1660"/>
  <c r="B1661"/>
  <c r="H1661"/>
  <c r="AI1661"/>
  <c r="B1662"/>
  <c r="H1662"/>
  <c r="AI1662"/>
  <c r="B1663"/>
  <c r="H1663"/>
  <c r="AI1663"/>
  <c r="B1664"/>
  <c r="H1664"/>
  <c r="AI1664"/>
  <c r="B1665"/>
  <c r="H1665"/>
  <c r="AI1665"/>
  <c r="B1666"/>
  <c r="H1666"/>
  <c r="AI1666"/>
  <c r="B1667"/>
  <c r="H1667"/>
  <c r="AI1667"/>
  <c r="B1668"/>
  <c r="H1668"/>
  <c r="AI1668"/>
  <c r="B1669"/>
  <c r="H1669"/>
  <c r="AI1669"/>
  <c r="B1670"/>
  <c r="H1670"/>
  <c r="AI1670"/>
  <c r="B1671"/>
  <c r="H1671"/>
  <c r="AI1671"/>
  <c r="B1672"/>
  <c r="H1672"/>
  <c r="AI1672"/>
  <c r="B1673"/>
  <c r="H1673"/>
  <c r="AI1673"/>
  <c r="B1674"/>
  <c r="H1674"/>
  <c r="AI1674"/>
  <c r="B1675"/>
  <c r="H1675"/>
  <c r="AI1675"/>
  <c r="B1676"/>
  <c r="H1676"/>
  <c r="AI1676"/>
  <c r="B1677"/>
  <c r="H1677"/>
  <c r="AI1677"/>
  <c r="B1678"/>
  <c r="H1678"/>
  <c r="AI1678"/>
  <c r="B1679"/>
  <c r="H1679"/>
  <c r="AI1679"/>
  <c r="B1680"/>
  <c r="H1680"/>
  <c r="AI1680"/>
  <c r="B1681"/>
  <c r="H1681"/>
  <c r="AI1681"/>
  <c r="B1682"/>
  <c r="H1682"/>
  <c r="AI1682"/>
  <c r="B1683"/>
  <c r="H1683"/>
  <c r="AI1683"/>
  <c r="B1684"/>
  <c r="H1684"/>
  <c r="AI1684"/>
  <c r="B1685"/>
  <c r="H1685"/>
  <c r="AI1685"/>
  <c r="B1686"/>
  <c r="H1686"/>
  <c r="AI1686"/>
  <c r="B1687"/>
  <c r="H1687"/>
  <c r="AI1687"/>
  <c r="B1688"/>
  <c r="H1688"/>
  <c r="AI1688"/>
  <c r="B1689"/>
  <c r="H1689"/>
  <c r="AI1689"/>
  <c r="B1690"/>
  <c r="H1690"/>
  <c r="AI1690"/>
  <c r="B1691"/>
  <c r="H1691"/>
  <c r="AI1691"/>
  <c r="B1692"/>
  <c r="H1692"/>
  <c r="AI1692"/>
  <c r="B1693"/>
  <c r="H1693"/>
  <c r="AI1693"/>
  <c r="B1694"/>
  <c r="H1694"/>
  <c r="AI1694"/>
  <c r="B1695"/>
  <c r="H1695"/>
  <c r="AI1695"/>
  <c r="B1696"/>
  <c r="H1696"/>
  <c r="AI1696"/>
  <c r="B1697"/>
  <c r="H1697"/>
  <c r="AI1697"/>
  <c r="B1698"/>
  <c r="H1698"/>
  <c r="AI1698"/>
  <c r="B1699"/>
  <c r="H1699"/>
  <c r="AI1699"/>
  <c r="B1700"/>
  <c r="H1700"/>
  <c r="AI1700"/>
  <c r="B1701"/>
  <c r="H1701"/>
  <c r="AI1701"/>
  <c r="B1702"/>
  <c r="H1702"/>
  <c r="AI1702"/>
  <c r="B1703"/>
  <c r="H1703"/>
  <c r="AI1703"/>
  <c r="B1704"/>
  <c r="H1704"/>
  <c r="AI1704"/>
  <c r="B1705"/>
  <c r="H1705"/>
  <c r="AI1705"/>
  <c r="B1706"/>
  <c r="H1706"/>
  <c r="AI1706"/>
  <c r="B1707"/>
  <c r="H1707"/>
  <c r="AI1707"/>
  <c r="B1708"/>
  <c r="H1708"/>
  <c r="AI1708"/>
  <c r="B1709"/>
  <c r="H1709"/>
  <c r="AI1709"/>
  <c r="B1710"/>
  <c r="H1710"/>
  <c r="AI1710"/>
  <c r="B1711"/>
  <c r="H1711"/>
  <c r="AI1711"/>
  <c r="B1712"/>
  <c r="H1712"/>
  <c r="AI1712"/>
  <c r="B1713"/>
  <c r="H1713"/>
  <c r="AI1713"/>
  <c r="B1714"/>
  <c r="H1714"/>
  <c r="AI1714"/>
  <c r="B1715"/>
  <c r="H1715"/>
  <c r="AI1715"/>
  <c r="B1716"/>
  <c r="H1716"/>
  <c r="AI1716"/>
  <c r="B1717"/>
  <c r="H1717"/>
  <c r="AI1717"/>
  <c r="B1718"/>
  <c r="H1718"/>
  <c r="AI1718"/>
  <c r="B1719"/>
  <c r="H1719"/>
  <c r="AI1719"/>
  <c r="B1720"/>
  <c r="H1720"/>
  <c r="AI1720"/>
  <c r="B1721"/>
  <c r="H1721"/>
  <c r="AI1721"/>
  <c r="B1722"/>
  <c r="H1722"/>
  <c r="AI1722"/>
  <c r="B1723"/>
  <c r="H1723"/>
  <c r="AI1723"/>
  <c r="B1724"/>
  <c r="H1724"/>
  <c r="AI1724"/>
  <c r="B1725"/>
  <c r="H1725"/>
  <c r="AI1725"/>
  <c r="B1726"/>
  <c r="H1726"/>
  <c r="AI1726"/>
  <c r="B1727"/>
  <c r="H1727"/>
  <c r="AI1727"/>
  <c r="B1728"/>
  <c r="H1728"/>
  <c r="AI1728"/>
  <c r="B1729"/>
  <c r="H1729"/>
  <c r="AI1729"/>
  <c r="B1730"/>
  <c r="H1730"/>
  <c r="AI1730"/>
  <c r="B1731"/>
  <c r="H1731"/>
  <c r="AI1731"/>
  <c r="B1732"/>
  <c r="H1732"/>
  <c r="AI1732"/>
  <c r="B1733"/>
  <c r="H1733"/>
  <c r="AI1733"/>
  <c r="B1734"/>
  <c r="H1734"/>
  <c r="AI1734"/>
  <c r="B1735"/>
  <c r="H1735"/>
  <c r="AI1735"/>
  <c r="B1736"/>
  <c r="H1736"/>
  <c r="AI1736"/>
  <c r="B1737"/>
  <c r="H1737"/>
  <c r="AI1737"/>
  <c r="B1738"/>
  <c r="H1738"/>
  <c r="AI1738"/>
  <c r="B1739"/>
  <c r="H1739"/>
  <c r="AI1739"/>
  <c r="B1740"/>
  <c r="H1740"/>
  <c r="AI1740"/>
  <c r="B1741"/>
  <c r="H1741"/>
  <c r="AI1741"/>
  <c r="B1742"/>
  <c r="H1742"/>
  <c r="AI1742"/>
  <c r="B1743"/>
  <c r="H1743"/>
  <c r="AI1743"/>
  <c r="B1744"/>
  <c r="H1744"/>
  <c r="AI1744"/>
  <c r="B1745"/>
  <c r="H1745"/>
  <c r="AI1745"/>
  <c r="B1746"/>
  <c r="H1746"/>
  <c r="AI1746"/>
  <c r="B1747"/>
  <c r="H1747"/>
  <c r="AI1747"/>
  <c r="B1748"/>
  <c r="H1748"/>
  <c r="AI1748"/>
  <c r="B1749"/>
  <c r="H1749"/>
  <c r="AI1749"/>
  <c r="B1750"/>
  <c r="H1750"/>
  <c r="AI1750"/>
  <c r="B1751"/>
  <c r="H1751"/>
  <c r="AI1751"/>
  <c r="B1752"/>
  <c r="H1752"/>
  <c r="AI1752"/>
  <c r="B1753"/>
  <c r="H1753"/>
  <c r="AI1753"/>
  <c r="B1754"/>
  <c r="H1754"/>
  <c r="AI1754"/>
  <c r="B1755"/>
  <c r="H1755"/>
  <c r="AI1755"/>
  <c r="B1756"/>
  <c r="H1756"/>
  <c r="AI1756"/>
  <c r="B1757"/>
  <c r="H1757"/>
  <c r="AI1757"/>
  <c r="B1758"/>
  <c r="H1758"/>
  <c r="AI1758"/>
  <c r="B1759"/>
  <c r="H1759"/>
  <c r="AI1759"/>
  <c r="B1760"/>
  <c r="H1760"/>
  <c r="AI1760"/>
  <c r="B1761"/>
  <c r="H1761"/>
  <c r="AI1761"/>
  <c r="B1762"/>
  <c r="H1762"/>
  <c r="AI1762"/>
  <c r="B1763"/>
  <c r="H1763"/>
  <c r="AI1763"/>
  <c r="B1764"/>
  <c r="H1764"/>
  <c r="AI1764"/>
  <c r="B1765"/>
  <c r="H1765"/>
  <c r="AI1765"/>
  <c r="B1766"/>
  <c r="H1766"/>
  <c r="AI1766"/>
  <c r="B1767"/>
  <c r="H1767"/>
  <c r="AI1767"/>
  <c r="B1768"/>
  <c r="H1768"/>
  <c r="AI1768"/>
  <c r="B1769"/>
  <c r="H1769"/>
  <c r="AI1769"/>
  <c r="B1770"/>
  <c r="H1770"/>
  <c r="AI1770"/>
  <c r="B1771"/>
  <c r="H1771"/>
  <c r="AI1771"/>
  <c r="B1772"/>
  <c r="H1772"/>
  <c r="AI1772"/>
  <c r="B1773"/>
  <c r="H1773"/>
  <c r="AI1773"/>
  <c r="B1774"/>
  <c r="H1774"/>
  <c r="AI1774"/>
  <c r="B1775"/>
  <c r="H1775"/>
  <c r="AI1775"/>
  <c r="B1776"/>
  <c r="H1776"/>
  <c r="AI1776"/>
  <c r="B1777"/>
  <c r="H1777"/>
  <c r="AI1777"/>
  <c r="B1778"/>
  <c r="H1778"/>
  <c r="AI1778"/>
  <c r="B1779"/>
  <c r="H1779"/>
  <c r="AI1779"/>
  <c r="B1780"/>
  <c r="H1780"/>
  <c r="AI1780"/>
  <c r="B1781"/>
  <c r="H1781"/>
  <c r="AI1781"/>
  <c r="B1782"/>
  <c r="H1782"/>
  <c r="AI1782"/>
  <c r="B1783"/>
  <c r="H1783"/>
  <c r="AI1783"/>
  <c r="B1784"/>
  <c r="H1784"/>
  <c r="AI1784"/>
  <c r="B1785"/>
  <c r="H1785"/>
  <c r="AI1785"/>
  <c r="B1786"/>
  <c r="H1786"/>
  <c r="AI1786"/>
  <c r="B1787"/>
  <c r="H1787"/>
  <c r="AI1787"/>
  <c r="B1788"/>
  <c r="H1788"/>
  <c r="AI1788"/>
  <c r="B1789"/>
  <c r="H1789"/>
  <c r="AI1789"/>
  <c r="B1790"/>
  <c r="H1790"/>
  <c r="AI1790"/>
  <c r="B1791"/>
  <c r="H1791"/>
  <c r="AI1791"/>
  <c r="B1792"/>
  <c r="H1792"/>
  <c r="AI1792"/>
  <c r="B1793"/>
  <c r="H1793"/>
  <c r="AI1793"/>
  <c r="B1794"/>
  <c r="H1794"/>
  <c r="AI1794"/>
  <c r="B1795"/>
  <c r="H1795"/>
  <c r="AI1795"/>
  <c r="B1796"/>
  <c r="H1796"/>
  <c r="AI1796"/>
  <c r="B1797"/>
  <c r="H1797"/>
  <c r="AI1797"/>
  <c r="B1798"/>
  <c r="H1798"/>
  <c r="AI1798"/>
  <c r="B1799"/>
  <c r="H1799"/>
  <c r="AI1799"/>
  <c r="B1800"/>
  <c r="H1800"/>
  <c r="AI1800"/>
  <c r="B1801"/>
  <c r="H1801"/>
  <c r="AI1801"/>
  <c r="B1802"/>
  <c r="H1802"/>
  <c r="AI1802"/>
  <c r="B1803"/>
  <c r="H1803"/>
  <c r="AI1803"/>
  <c r="B1804"/>
  <c r="H1804"/>
  <c r="AI1804"/>
  <c r="B1805"/>
  <c r="H1805"/>
  <c r="AI1805"/>
  <c r="B1806"/>
  <c r="H1806"/>
  <c r="AI1806"/>
  <c r="B1807"/>
  <c r="H1807"/>
  <c r="AI1807"/>
  <c r="B1808"/>
  <c r="H1808"/>
  <c r="AI1808"/>
  <c r="B1809"/>
  <c r="H1809"/>
  <c r="AI1809"/>
  <c r="B1810"/>
  <c r="H1810"/>
  <c r="AI1810"/>
  <c r="B1811"/>
  <c r="H1811"/>
  <c r="AI1811"/>
  <c r="B1812"/>
  <c r="H1812"/>
  <c r="AI1812"/>
  <c r="B1813"/>
  <c r="H1813"/>
  <c r="AI1813"/>
  <c r="B1814"/>
  <c r="H1814"/>
  <c r="AI1814"/>
  <c r="B1815"/>
  <c r="H1815"/>
  <c r="AI1815"/>
  <c r="B1816"/>
  <c r="H1816"/>
  <c r="AI1816"/>
  <c r="B1817"/>
  <c r="H1817"/>
  <c r="AI1817"/>
  <c r="B1818"/>
  <c r="H1818"/>
  <c r="AI1818"/>
  <c r="B1819"/>
  <c r="H1819"/>
  <c r="AI1819"/>
  <c r="B1820"/>
  <c r="H1820"/>
  <c r="AI1820"/>
  <c r="B1821"/>
  <c r="H1821"/>
  <c r="AI1821"/>
  <c r="B1822"/>
  <c r="H1822"/>
  <c r="AI1822"/>
  <c r="B1823"/>
  <c r="H1823"/>
  <c r="AI1823"/>
  <c r="B1824"/>
  <c r="H1824"/>
  <c r="AI1824"/>
  <c r="B1825"/>
  <c r="H1825"/>
  <c r="AI1825"/>
  <c r="B1826"/>
  <c r="H1826"/>
  <c r="AI1826"/>
  <c r="B1827"/>
  <c r="H1827"/>
  <c r="AI1827"/>
  <c r="B1828"/>
  <c r="H1828"/>
  <c r="AI1828"/>
  <c r="B1829"/>
  <c r="H1829"/>
  <c r="AI1829"/>
  <c r="B1830"/>
  <c r="H1830"/>
  <c r="AI1830"/>
  <c r="B1831"/>
  <c r="H1831"/>
  <c r="AI1831"/>
  <c r="B1832"/>
  <c r="H1832"/>
  <c r="AI1832"/>
  <c r="B1833"/>
  <c r="H1833"/>
  <c r="AI1833"/>
  <c r="B1834"/>
  <c r="H1834"/>
  <c r="AI1834"/>
  <c r="B1835"/>
  <c r="H1835"/>
  <c r="AI1835"/>
  <c r="B1836"/>
  <c r="H1836"/>
  <c r="AI1836"/>
  <c r="B1837"/>
  <c r="H1837"/>
  <c r="AI1837"/>
  <c r="B1838"/>
  <c r="H1838"/>
  <c r="AI1838"/>
  <c r="B1839"/>
  <c r="H1839"/>
  <c r="AI1839"/>
  <c r="B1840"/>
  <c r="H1840"/>
  <c r="AI1840"/>
  <c r="B1841"/>
  <c r="H1841"/>
  <c r="AI1841"/>
  <c r="B1842"/>
  <c r="H1842"/>
  <c r="AI1842"/>
  <c r="B1843"/>
  <c r="H1843"/>
  <c r="AI1843"/>
  <c r="B1844"/>
  <c r="H1844"/>
  <c r="AI1844"/>
  <c r="B1845"/>
  <c r="H1845"/>
  <c r="AI1845"/>
  <c r="B1846"/>
  <c r="H1846"/>
  <c r="AI1846"/>
  <c r="B1847"/>
  <c r="H1847"/>
  <c r="AI1847"/>
  <c r="B1848"/>
  <c r="H1848"/>
  <c r="AI1848"/>
  <c r="B1849"/>
  <c r="H1849"/>
  <c r="AI1849"/>
  <c r="B1850"/>
  <c r="H1850"/>
  <c r="AI1850"/>
  <c r="B1851"/>
  <c r="H1851"/>
  <c r="AI1851"/>
  <c r="B1852"/>
  <c r="H1852"/>
  <c r="AI1852"/>
  <c r="B1853"/>
  <c r="H1853"/>
  <c r="AI1853"/>
  <c r="B1854"/>
  <c r="H1854"/>
  <c r="AI1854"/>
  <c r="B1855"/>
  <c r="H1855"/>
  <c r="AI1855"/>
  <c r="B1856"/>
  <c r="H1856"/>
  <c r="AI1856"/>
  <c r="B1857"/>
  <c r="H1857"/>
  <c r="AI1857"/>
  <c r="B1858"/>
  <c r="H1858"/>
  <c r="AI1858"/>
  <c r="B1859"/>
  <c r="H1859"/>
  <c r="AI1859"/>
  <c r="B1860"/>
  <c r="H1860"/>
  <c r="AI1860"/>
  <c r="B1861"/>
  <c r="H1861"/>
  <c r="AI1861"/>
  <c r="B1862"/>
  <c r="H1862"/>
  <c r="AI1862"/>
  <c r="B1863"/>
  <c r="H1863"/>
  <c r="AI1863"/>
  <c r="B1864"/>
  <c r="H1864"/>
  <c r="AI1864"/>
  <c r="B1865"/>
  <c r="H1865"/>
  <c r="AI1865"/>
  <c r="B1866"/>
  <c r="H1866"/>
  <c r="AI1866"/>
  <c r="B1867"/>
  <c r="H1867"/>
  <c r="AI1867"/>
  <c r="B1868"/>
  <c r="H1868"/>
  <c r="AI1868"/>
  <c r="B1869"/>
  <c r="H1869"/>
  <c r="AI1869"/>
  <c r="B1870"/>
  <c r="H1870"/>
  <c r="AI1870"/>
  <c r="B1871"/>
  <c r="H1871"/>
  <c r="AI1871"/>
  <c r="B1872"/>
  <c r="H1872"/>
  <c r="AI1872"/>
  <c r="B1873"/>
  <c r="H1873"/>
  <c r="AI1873"/>
  <c r="B1874"/>
  <c r="H1874"/>
  <c r="AI1874"/>
  <c r="B1875"/>
  <c r="H1875"/>
  <c r="AI1875"/>
  <c r="B1876"/>
  <c r="H1876"/>
  <c r="AI1876"/>
  <c r="B1877"/>
  <c r="H1877"/>
  <c r="AI1877"/>
  <c r="B1878"/>
  <c r="H1878"/>
  <c r="AI1878"/>
  <c r="B1879"/>
  <c r="H1879"/>
  <c r="AI1879"/>
  <c r="B1880"/>
  <c r="H1880"/>
  <c r="AI1880"/>
  <c r="B1881"/>
  <c r="H1881"/>
  <c r="AI1881"/>
  <c r="B1882"/>
  <c r="H1882"/>
  <c r="AI1882"/>
  <c r="B1883"/>
  <c r="H1883"/>
  <c r="AI1883"/>
  <c r="B1884"/>
  <c r="H1884"/>
  <c r="AI1884"/>
  <c r="B1885"/>
  <c r="H1885"/>
  <c r="AI1885"/>
  <c r="B1886"/>
  <c r="H1886"/>
  <c r="AI1886"/>
  <c r="B1887"/>
  <c r="H1887"/>
  <c r="AI1887"/>
  <c r="B1888"/>
  <c r="H1888"/>
  <c r="AI1888"/>
  <c r="B1889"/>
  <c r="H1889"/>
  <c r="AI1889"/>
  <c r="B1890"/>
  <c r="H1890"/>
  <c r="AI1890"/>
  <c r="B1891"/>
  <c r="H1891"/>
  <c r="AI1891"/>
  <c r="B1892"/>
  <c r="H1892"/>
  <c r="AI1892"/>
  <c r="B1893"/>
  <c r="H1893"/>
  <c r="AI1893"/>
  <c r="B1894"/>
  <c r="H1894"/>
  <c r="AI1894"/>
  <c r="B1895"/>
  <c r="H1895"/>
  <c r="AI1895"/>
  <c r="B1896"/>
  <c r="H1896"/>
  <c r="AI1896"/>
  <c r="B1897"/>
  <c r="H1897"/>
  <c r="AI1897"/>
  <c r="B1898"/>
  <c r="H1898"/>
  <c r="AI1898"/>
  <c r="B1899"/>
  <c r="H1899"/>
  <c r="AI1899"/>
  <c r="B1900"/>
  <c r="H1900"/>
  <c r="AI1900"/>
  <c r="B1901"/>
  <c r="H1901"/>
  <c r="AI1901"/>
  <c r="B1902"/>
  <c r="H1902"/>
  <c r="AI1902"/>
  <c r="B1903"/>
  <c r="H1903"/>
  <c r="AI1903"/>
  <c r="B1904"/>
  <c r="H1904"/>
  <c r="AI1904"/>
  <c r="B1905"/>
  <c r="H1905"/>
  <c r="AI1905"/>
  <c r="B1906"/>
  <c r="H1906"/>
  <c r="AI1906"/>
  <c r="B1907"/>
  <c r="H1907"/>
  <c r="AI1907"/>
  <c r="B1908"/>
  <c r="H1908"/>
  <c r="AI1908"/>
  <c r="B1909"/>
  <c r="H1909"/>
  <c r="AI1909"/>
  <c r="B1910"/>
  <c r="H1910"/>
  <c r="AI1910"/>
  <c r="B1911"/>
  <c r="H1911"/>
  <c r="AI1911"/>
  <c r="B1912"/>
  <c r="H1912"/>
  <c r="AI1912"/>
  <c r="B1913"/>
  <c r="H1913"/>
  <c r="AI1913"/>
  <c r="B1914"/>
  <c r="H1914"/>
  <c r="AI1914"/>
  <c r="B1915"/>
  <c r="H1915"/>
  <c r="AI1915"/>
  <c r="B1916"/>
  <c r="H1916"/>
  <c r="AI1916"/>
  <c r="B1917"/>
  <c r="H1917"/>
  <c r="AI1917"/>
  <c r="B1918"/>
  <c r="H1918"/>
  <c r="AI1918"/>
  <c r="B1919"/>
  <c r="H1919"/>
  <c r="AI1919"/>
  <c r="B1920"/>
  <c r="H1920"/>
  <c r="AI1920"/>
  <c r="B1921"/>
  <c r="H1921"/>
  <c r="AI1921"/>
  <c r="B1922"/>
  <c r="H1922"/>
  <c r="AI1922"/>
  <c r="B1923"/>
  <c r="H1923"/>
  <c r="AI1923"/>
  <c r="B1924"/>
  <c r="H1924"/>
  <c r="AI1924"/>
  <c r="B1925"/>
  <c r="H1925"/>
  <c r="AI1925"/>
  <c r="B1926"/>
  <c r="H1926"/>
  <c r="AI1926"/>
  <c r="B1927"/>
  <c r="H1927"/>
  <c r="AI1927"/>
  <c r="B1928"/>
  <c r="H1928"/>
  <c r="AI1928"/>
  <c r="B1929"/>
  <c r="H1929"/>
  <c r="AI1929"/>
  <c r="B1930"/>
  <c r="H1930"/>
  <c r="AI1930"/>
  <c r="B1931"/>
  <c r="H1931"/>
  <c r="AI1931"/>
  <c r="B1932"/>
  <c r="H1932"/>
  <c r="AI1932"/>
  <c r="B1933"/>
  <c r="H1933"/>
  <c r="AI1933"/>
  <c r="B1934"/>
  <c r="H1934"/>
  <c r="AI1934"/>
  <c r="B1935"/>
  <c r="H1935"/>
  <c r="AI1935"/>
  <c r="B1936"/>
  <c r="H1936"/>
  <c r="AI1936"/>
  <c r="B1937"/>
  <c r="H1937"/>
  <c r="AI1937"/>
  <c r="B1938"/>
  <c r="H1938"/>
  <c r="AI1938"/>
  <c r="B1939"/>
  <c r="H1939"/>
  <c r="AI1939"/>
  <c r="B1940"/>
  <c r="H1940"/>
  <c r="AI1940"/>
  <c r="B1941"/>
  <c r="H1941"/>
  <c r="AI1941"/>
  <c r="B1942"/>
  <c r="H1942"/>
  <c r="AI1942"/>
  <c r="B1943"/>
  <c r="H1943"/>
  <c r="AI1943"/>
  <c r="B1944"/>
  <c r="H1944"/>
  <c r="AI1944"/>
  <c r="B1945"/>
  <c r="H1945"/>
  <c r="AI1945"/>
  <c r="B1946"/>
  <c r="H1946"/>
  <c r="AI1946"/>
  <c r="B1947"/>
  <c r="H1947"/>
  <c r="AI1947"/>
  <c r="B1948"/>
  <c r="H1948"/>
  <c r="AI1948"/>
  <c r="B1949"/>
  <c r="H1949"/>
  <c r="AI1949"/>
  <c r="B1950"/>
  <c r="H1950"/>
  <c r="AI1950"/>
  <c r="B1951"/>
  <c r="H1951"/>
  <c r="AI1951"/>
  <c r="B1952"/>
  <c r="H1952"/>
  <c r="AI1952"/>
  <c r="B1953"/>
  <c r="H1953"/>
  <c r="AI1953"/>
  <c r="B1954"/>
  <c r="H1954"/>
  <c r="AI1954"/>
  <c r="B1955"/>
  <c r="H1955"/>
  <c r="AI1955"/>
  <c r="B1956"/>
  <c r="H1956"/>
  <c r="AI1956"/>
  <c r="B1957"/>
  <c r="H1957"/>
  <c r="AI1957"/>
  <c r="B1958"/>
  <c r="H1958"/>
  <c r="AI1958"/>
  <c r="B1959"/>
  <c r="H1959"/>
  <c r="AI1959"/>
  <c r="B1960"/>
  <c r="H1960"/>
  <c r="AI1960"/>
  <c r="B1961"/>
  <c r="H1961"/>
  <c r="AI1961"/>
  <c r="B1962"/>
  <c r="H1962"/>
  <c r="AI1962"/>
  <c r="B1963"/>
  <c r="H1963"/>
  <c r="AI1963"/>
  <c r="B1964"/>
  <c r="H1964"/>
  <c r="AI1964"/>
  <c r="B1965"/>
  <c r="H1965"/>
  <c r="AI1965"/>
  <c r="B1966"/>
  <c r="H1966"/>
  <c r="AI1966"/>
  <c r="B1967"/>
  <c r="H1967"/>
  <c r="AI1967"/>
  <c r="B1968"/>
  <c r="H1968"/>
  <c r="AI1968"/>
  <c r="B1969"/>
  <c r="H1969"/>
  <c r="AI1969"/>
  <c r="B1970"/>
  <c r="H1970"/>
  <c r="AI1970"/>
  <c r="B1971"/>
  <c r="H1971"/>
  <c r="AI1971"/>
  <c r="B1972"/>
  <c r="H1972"/>
  <c r="AI1972"/>
  <c r="B1973"/>
  <c r="H1973"/>
  <c r="AI1973"/>
  <c r="B1974"/>
  <c r="H1974"/>
  <c r="AI1974"/>
  <c r="B1975"/>
  <c r="H1975"/>
  <c r="AI1975"/>
  <c r="B1976"/>
  <c r="H1976"/>
  <c r="AI1976"/>
  <c r="B1977"/>
  <c r="H1977"/>
  <c r="AI1977"/>
  <c r="B1978"/>
  <c r="H1978"/>
  <c r="AI1978"/>
  <c r="B1979"/>
  <c r="H1979"/>
  <c r="AI1979"/>
  <c r="B1980"/>
  <c r="H1980"/>
  <c r="AI1980"/>
  <c r="B1981"/>
  <c r="H1981"/>
  <c r="AI1981"/>
  <c r="B1982"/>
  <c r="H1982"/>
  <c r="AI1982"/>
  <c r="B1983"/>
  <c r="H1983"/>
  <c r="AI1983"/>
  <c r="B1984"/>
  <c r="H1984"/>
  <c r="AI1984"/>
  <c r="B1985"/>
  <c r="H1985"/>
  <c r="AI1985"/>
  <c r="B1986"/>
  <c r="H1986"/>
  <c r="AI1986"/>
  <c r="B1987"/>
  <c r="H1987"/>
  <c r="AI1987"/>
  <c r="B1988"/>
  <c r="H1988"/>
  <c r="AI1988"/>
  <c r="B1989"/>
  <c r="H1989"/>
  <c r="AI1989"/>
  <c r="B1990"/>
  <c r="H1990"/>
  <c r="AI1990"/>
  <c r="B1991"/>
  <c r="H1991"/>
  <c r="AI1991"/>
  <c r="B1992"/>
  <c r="H1992"/>
  <c r="AI1992"/>
  <c r="B1993"/>
  <c r="H1993"/>
  <c r="AI1993"/>
  <c r="B1994"/>
  <c r="H1994"/>
  <c r="AI1994"/>
  <c r="B1995"/>
  <c r="H1995"/>
  <c r="AI1995"/>
  <c r="B1996"/>
  <c r="H1996"/>
  <c r="AI1996"/>
  <c r="B1997"/>
  <c r="H1997"/>
  <c r="AI1997"/>
  <c r="B1998"/>
  <c r="H1998"/>
  <c r="AI1998"/>
  <c r="B1999"/>
  <c r="H1999"/>
  <c r="AI1999"/>
  <c r="B2000"/>
  <c r="H2000"/>
  <c r="AI2000"/>
  <c r="B2001"/>
  <c r="H2001"/>
  <c r="AI2001"/>
  <c r="B2002"/>
  <c r="H2002"/>
  <c r="AI2002"/>
  <c r="B2003"/>
  <c r="H2003"/>
  <c r="AI2003"/>
  <c r="B2004"/>
  <c r="H2004"/>
  <c r="AI2004"/>
  <c r="B2005"/>
  <c r="H2005"/>
  <c r="AI2005"/>
  <c r="B2006"/>
  <c r="H2006"/>
  <c r="AI2006"/>
  <c r="B2007"/>
  <c r="H2007"/>
  <c r="AI2007"/>
  <c r="B2008"/>
  <c r="H2008"/>
  <c r="AI2008"/>
  <c r="B2009"/>
  <c r="H2009"/>
  <c r="AI2009"/>
  <c r="B2010"/>
  <c r="H2010"/>
  <c r="AI2010"/>
  <c r="B2011"/>
  <c r="H2011"/>
  <c r="AI2011"/>
  <c r="B2012"/>
  <c r="H2012"/>
  <c r="AI2012"/>
  <c r="B2013"/>
  <c r="H2013"/>
  <c r="AI2013"/>
  <c r="B2014"/>
  <c r="H2014"/>
  <c r="AI2014"/>
  <c r="B2015"/>
  <c r="H2015"/>
  <c r="AI2015"/>
  <c r="B2016"/>
  <c r="H2016"/>
  <c r="AI2016"/>
  <c r="B2017"/>
  <c r="H2017"/>
  <c r="AI2017"/>
  <c r="B2018"/>
  <c r="H2018"/>
  <c r="AI2018"/>
  <c r="B2019"/>
  <c r="H2019"/>
  <c r="AI2019"/>
  <c r="B2020"/>
  <c r="H2020"/>
  <c r="AI2020"/>
  <c r="B2021"/>
  <c r="H2021"/>
  <c r="AI2021"/>
  <c r="B2022"/>
  <c r="H2022"/>
  <c r="AI2022"/>
  <c r="B2023"/>
  <c r="H2023"/>
  <c r="AI2023"/>
  <c r="B2024"/>
  <c r="H2024"/>
  <c r="AI2024"/>
  <c r="B2025"/>
  <c r="H2025"/>
  <c r="AI2025"/>
  <c r="B2026"/>
  <c r="H2026"/>
  <c r="AI2026"/>
  <c r="B2027"/>
  <c r="H2027"/>
  <c r="AI2027"/>
  <c r="B2028"/>
  <c r="H2028"/>
  <c r="AI2028"/>
  <c r="B2029"/>
  <c r="H2029"/>
  <c r="AI2029"/>
  <c r="B2030"/>
  <c r="H2030"/>
  <c r="AI2030"/>
  <c r="B2031"/>
  <c r="H2031"/>
  <c r="AI2031"/>
  <c r="B2032"/>
  <c r="H2032"/>
  <c r="AI2032"/>
  <c r="B2033"/>
  <c r="H2033"/>
  <c r="AI2033"/>
  <c r="B2034"/>
  <c r="H2034"/>
  <c r="AI2034"/>
  <c r="B2035"/>
  <c r="H2035"/>
  <c r="AI2035"/>
  <c r="B2036"/>
  <c r="H2036"/>
  <c r="AI2036"/>
  <c r="B2037"/>
  <c r="H2037"/>
  <c r="AI2037"/>
  <c r="B2038"/>
  <c r="H2038"/>
  <c r="AI2038"/>
  <c r="B2039"/>
  <c r="H2039"/>
  <c r="AI2039"/>
  <c r="B2040"/>
  <c r="H2040"/>
  <c r="AI2040"/>
  <c r="B2041"/>
  <c r="H2041"/>
  <c r="AI2041"/>
  <c r="B2042"/>
  <c r="H2042"/>
  <c r="AI2042"/>
  <c r="B2043"/>
  <c r="H2043"/>
  <c r="AI2043"/>
  <c r="B2044"/>
  <c r="H2044"/>
  <c r="AI2044"/>
  <c r="B2045"/>
  <c r="H2045"/>
  <c r="AI2045"/>
  <c r="B2046"/>
  <c r="H2046"/>
  <c r="AI2046"/>
  <c r="B2047"/>
  <c r="H2047"/>
  <c r="AI2047"/>
  <c r="B2048"/>
  <c r="H2048"/>
  <c r="AI2048"/>
  <c r="B2049"/>
  <c r="H2049"/>
  <c r="AI2049"/>
  <c r="B2050"/>
  <c r="H2050"/>
  <c r="AI2050"/>
  <c r="B2051"/>
  <c r="H2051"/>
  <c r="AI2051"/>
  <c r="B2052"/>
  <c r="H2052"/>
  <c r="AI2052"/>
  <c r="B2053"/>
  <c r="H2053"/>
  <c r="AI2053"/>
  <c r="B2054"/>
  <c r="H2054"/>
  <c r="AI2054"/>
  <c r="B2055"/>
  <c r="H2055"/>
  <c r="AI2055"/>
  <c r="B2056"/>
  <c r="H2056"/>
  <c r="AI2056"/>
  <c r="B2057"/>
  <c r="H2057"/>
  <c r="AI2057"/>
  <c r="B2058"/>
  <c r="H2058"/>
  <c r="AI2058"/>
  <c r="B2059"/>
  <c r="H2059"/>
  <c r="AI2059"/>
  <c r="B2060"/>
  <c r="H2060"/>
  <c r="AI2060"/>
  <c r="B2061"/>
  <c r="H2061"/>
  <c r="AI2061"/>
  <c r="B2062"/>
  <c r="H2062"/>
  <c r="AI2062"/>
  <c r="B2063"/>
  <c r="H2063"/>
  <c r="AI2063"/>
  <c r="B2064"/>
  <c r="H2064"/>
  <c r="AI2064"/>
  <c r="B2065"/>
  <c r="H2065"/>
  <c r="AI2065"/>
  <c r="B2066"/>
  <c r="H2066"/>
  <c r="AI2066"/>
  <c r="B2067"/>
  <c r="H2067"/>
  <c r="AI2067"/>
  <c r="B2068"/>
  <c r="H2068"/>
  <c r="AI2068"/>
  <c r="B2069"/>
  <c r="H2069"/>
  <c r="AI2069"/>
  <c r="B2070"/>
  <c r="H2070"/>
  <c r="AI2070"/>
  <c r="B2071"/>
  <c r="H2071"/>
  <c r="AI2071"/>
  <c r="B2072"/>
  <c r="H2072"/>
  <c r="AI2072"/>
  <c r="B2073"/>
  <c r="H2073"/>
  <c r="AI2073"/>
  <c r="B2074"/>
  <c r="H2074"/>
  <c r="AI2074"/>
  <c r="B2075"/>
  <c r="H2075"/>
  <c r="AI2075"/>
  <c r="B2076"/>
  <c r="H2076"/>
  <c r="AI2076"/>
  <c r="B2077"/>
  <c r="H2077"/>
  <c r="AI2077"/>
  <c r="B2078"/>
  <c r="H2078"/>
  <c r="AI2078"/>
  <c r="B2079"/>
  <c r="H2079"/>
  <c r="AI2079"/>
  <c r="B2080"/>
  <c r="H2080"/>
  <c r="AI2080"/>
  <c r="B2081"/>
  <c r="H2081"/>
  <c r="AI2081"/>
  <c r="B2082"/>
  <c r="H2082"/>
  <c r="AI2082"/>
  <c r="B2083"/>
  <c r="H2083"/>
  <c r="AI2083"/>
  <c r="B2084"/>
  <c r="H2084"/>
  <c r="AI2084"/>
  <c r="B2085"/>
  <c r="H2085"/>
  <c r="AI2085"/>
  <c r="B2086"/>
  <c r="H2086"/>
  <c r="AI2086"/>
  <c r="B2087"/>
  <c r="H2087"/>
  <c r="AI2087"/>
  <c r="B2088"/>
  <c r="H2088"/>
  <c r="AI2088"/>
  <c r="B2089"/>
  <c r="H2089"/>
  <c r="AI2089"/>
  <c r="B2090"/>
  <c r="H2090"/>
  <c r="AI2090"/>
  <c r="B2091"/>
  <c r="H2091"/>
  <c r="AI2091"/>
  <c r="B2092"/>
  <c r="H2092"/>
  <c r="AI2092"/>
  <c r="B2093"/>
  <c r="H2093"/>
  <c r="AI2093"/>
  <c r="B2094"/>
  <c r="H2094"/>
  <c r="AI2094"/>
  <c r="B2095"/>
  <c r="H2095"/>
  <c r="AI2095"/>
  <c r="B2096"/>
  <c r="H2096"/>
  <c r="AI2096"/>
  <c r="B2097"/>
  <c r="H2097"/>
  <c r="AI2097"/>
  <c r="B2098"/>
  <c r="H2098"/>
  <c r="AI2098"/>
  <c r="B2099"/>
  <c r="H2099"/>
  <c r="AI2099"/>
  <c r="B2100"/>
  <c r="H2100"/>
  <c r="AI2100"/>
  <c r="B2101"/>
  <c r="H2101"/>
  <c r="AI2101"/>
  <c r="B2102"/>
  <c r="H2102"/>
  <c r="AI2102"/>
  <c r="B2103"/>
  <c r="H2103"/>
  <c r="AI2103"/>
  <c r="B2104"/>
  <c r="H2104"/>
  <c r="AI2104"/>
  <c r="B2105"/>
  <c r="H2105"/>
  <c r="AI2105"/>
  <c r="B2106"/>
  <c r="H2106"/>
  <c r="AI2106"/>
  <c r="B2107"/>
  <c r="H2107"/>
  <c r="AI2107"/>
  <c r="B2108"/>
  <c r="H2108"/>
  <c r="AI2108"/>
  <c r="B2109"/>
  <c r="H2109"/>
  <c r="AI2109"/>
  <c r="B2110"/>
  <c r="H2110"/>
  <c r="AI2110"/>
  <c r="B2111"/>
  <c r="H2111"/>
  <c r="AI2111"/>
  <c r="B2112"/>
  <c r="H2112"/>
  <c r="AI2112"/>
  <c r="B2113"/>
  <c r="H2113"/>
  <c r="AI2113"/>
  <c r="B2114"/>
  <c r="H2114"/>
  <c r="AI2114"/>
  <c r="B2115"/>
  <c r="H2115"/>
  <c r="AI2115"/>
  <c r="B2116"/>
  <c r="H2116"/>
  <c r="AI2116"/>
  <c r="B2117"/>
  <c r="H2117"/>
  <c r="AI2117"/>
  <c r="B2118"/>
  <c r="H2118"/>
  <c r="AI2118"/>
  <c r="B2119"/>
  <c r="H2119"/>
  <c r="AI2119"/>
  <c r="B2120"/>
  <c r="H2120"/>
  <c r="AI2120"/>
  <c r="B2121"/>
  <c r="H2121"/>
  <c r="AI2121"/>
  <c r="B2122"/>
  <c r="H2122"/>
  <c r="AI2122"/>
  <c r="B2123"/>
  <c r="H2123"/>
  <c r="AI2123"/>
  <c r="B2124"/>
  <c r="H2124"/>
  <c r="AI2124"/>
  <c r="B2125"/>
  <c r="H2125"/>
  <c r="AI2125"/>
  <c r="B2126"/>
  <c r="H2126"/>
  <c r="AI2126"/>
  <c r="B2127"/>
  <c r="H2127"/>
  <c r="AI2127"/>
  <c r="B2128"/>
  <c r="H2128"/>
  <c r="AI2128"/>
  <c r="B2129"/>
  <c r="H2129"/>
  <c r="AI2129"/>
  <c r="B2130"/>
  <c r="H2130"/>
  <c r="AI2130"/>
  <c r="B2131"/>
  <c r="H2131"/>
  <c r="AI2131"/>
  <c r="B2132"/>
  <c r="H2132"/>
  <c r="AI2132"/>
  <c r="B2133"/>
  <c r="H2133"/>
  <c r="AI2133"/>
  <c r="B2134"/>
  <c r="H2134"/>
  <c r="AI2134"/>
  <c r="B2135"/>
  <c r="H2135"/>
  <c r="AI2135"/>
  <c r="B2136"/>
  <c r="H2136"/>
  <c r="AI2136"/>
  <c r="B2137"/>
  <c r="H2137"/>
  <c r="AI2137"/>
  <c r="B2138"/>
  <c r="H2138"/>
  <c r="AI2138"/>
  <c r="B2139"/>
  <c r="H2139"/>
  <c r="AI2139"/>
  <c r="B2140"/>
  <c r="H2140"/>
  <c r="AI2140"/>
  <c r="B2141"/>
  <c r="H2141"/>
  <c r="AI2141"/>
  <c r="B2142"/>
  <c r="H2142"/>
  <c r="AI2142"/>
  <c r="B2143"/>
  <c r="H2143"/>
  <c r="AI2143"/>
  <c r="B2144"/>
  <c r="H2144"/>
  <c r="AI2144"/>
  <c r="B2145"/>
  <c r="H2145"/>
  <c r="AI2145"/>
  <c r="B2146"/>
  <c r="H2146"/>
  <c r="AI2146"/>
  <c r="B2147"/>
  <c r="H2147"/>
  <c r="AI2147"/>
  <c r="B2148"/>
  <c r="H2148"/>
  <c r="AI2148"/>
  <c r="B2149"/>
  <c r="H2149"/>
  <c r="AI2149"/>
  <c r="B2150"/>
  <c r="H2150"/>
  <c r="AI2150"/>
  <c r="B2151"/>
  <c r="H2151"/>
  <c r="AI2151"/>
  <c r="B2152"/>
  <c r="H2152"/>
  <c r="AI2152"/>
  <c r="B2153"/>
  <c r="H2153"/>
  <c r="AI2153"/>
  <c r="B2154"/>
  <c r="H2154"/>
  <c r="AI2154"/>
  <c r="B2155"/>
  <c r="H2155"/>
  <c r="AI2155"/>
  <c r="B2156"/>
  <c r="H2156"/>
  <c r="AI2156"/>
  <c r="B2157"/>
  <c r="H2157"/>
  <c r="AI2157"/>
  <c r="B2158"/>
  <c r="H2158"/>
  <c r="AI2158"/>
  <c r="B2159"/>
  <c r="H2159"/>
  <c r="AI2159"/>
  <c r="B2160"/>
  <c r="H2160"/>
  <c r="AI2160"/>
  <c r="B2161"/>
  <c r="H2161"/>
  <c r="AI2161"/>
  <c r="B2162"/>
  <c r="H2162"/>
  <c r="AI2162"/>
  <c r="B2163"/>
  <c r="H2163"/>
  <c r="AI2163"/>
  <c r="B2164"/>
  <c r="H2164"/>
  <c r="AI2164"/>
  <c r="B2165"/>
  <c r="H2165"/>
  <c r="AI2165"/>
  <c r="B2166"/>
  <c r="H2166"/>
  <c r="AI2166"/>
  <c r="B2167"/>
  <c r="H2167"/>
  <c r="AI2167"/>
  <c r="B2168"/>
  <c r="H2168"/>
  <c r="AI2168"/>
  <c r="B2169"/>
  <c r="H2169"/>
  <c r="AI2169"/>
  <c r="B2170"/>
  <c r="H2170"/>
  <c r="AI2170"/>
  <c r="B2171"/>
  <c r="H2171"/>
  <c r="AI2171"/>
  <c r="B2172"/>
  <c r="H2172"/>
  <c r="AI2172"/>
  <c r="B2173"/>
  <c r="H2173"/>
  <c r="AI2173"/>
  <c r="B2174"/>
  <c r="H2174"/>
  <c r="AI2174"/>
  <c r="B2175"/>
  <c r="H2175"/>
  <c r="AI2175"/>
  <c r="B2176"/>
  <c r="H2176"/>
  <c r="AI2176"/>
  <c r="B2177"/>
  <c r="H2177"/>
  <c r="AI2177"/>
  <c r="B2178"/>
  <c r="H2178"/>
  <c r="AI2178"/>
  <c r="B2179"/>
  <c r="H2179"/>
  <c r="AI2179"/>
  <c r="B2180"/>
  <c r="H2180"/>
  <c r="AI2180"/>
  <c r="B2181"/>
  <c r="H2181"/>
  <c r="AI2181"/>
  <c r="B2182"/>
  <c r="H2182"/>
  <c r="AI2182"/>
  <c r="B2183"/>
  <c r="H2183"/>
  <c r="AI2183"/>
  <c r="B2184"/>
  <c r="H2184"/>
  <c r="AI2184"/>
  <c r="B2185"/>
  <c r="H2185"/>
  <c r="AI2185"/>
  <c r="B2186"/>
  <c r="H2186"/>
  <c r="AI2186"/>
  <c r="B2187"/>
  <c r="H2187"/>
  <c r="AI2187"/>
  <c r="B2188"/>
  <c r="H2188"/>
  <c r="AI2188"/>
  <c r="B2189"/>
  <c r="H2189"/>
  <c r="AI2189"/>
  <c r="B2190"/>
  <c r="H2190"/>
  <c r="AI2190"/>
  <c r="B2191"/>
  <c r="H2191"/>
  <c r="AI2191"/>
  <c r="B2192"/>
  <c r="H2192"/>
  <c r="AI2192"/>
  <c r="B2193"/>
  <c r="H2193"/>
  <c r="AI2193"/>
  <c r="B2194"/>
  <c r="H2194"/>
  <c r="AI2194"/>
  <c r="B2195"/>
  <c r="H2195"/>
  <c r="AI2195"/>
  <c r="B2196"/>
  <c r="H2196"/>
  <c r="AI2196"/>
  <c r="B2197"/>
  <c r="H2197"/>
  <c r="AI2197"/>
  <c r="B2198"/>
  <c r="H2198"/>
  <c r="AI2198"/>
  <c r="B2199"/>
  <c r="H2199"/>
  <c r="AI2199"/>
  <c r="B2200"/>
  <c r="H2200"/>
  <c r="AI2200"/>
  <c r="B2201"/>
  <c r="H2201"/>
  <c r="AI2201"/>
  <c r="B2202"/>
  <c r="H2202"/>
  <c r="AI2202"/>
  <c r="B2203"/>
  <c r="H2203"/>
  <c r="AI2203"/>
  <c r="B2204"/>
  <c r="H2204"/>
  <c r="AI2204"/>
  <c r="B2205"/>
  <c r="H2205"/>
  <c r="AI2205"/>
  <c r="B2206"/>
  <c r="H2206"/>
  <c r="AI2206"/>
  <c r="B2207"/>
  <c r="H2207"/>
  <c r="AI2207"/>
  <c r="B2208"/>
  <c r="H2208"/>
  <c r="AI2208"/>
  <c r="B2209"/>
  <c r="H2209"/>
  <c r="AI2209"/>
  <c r="B2210"/>
  <c r="H2210"/>
  <c r="AI2210"/>
  <c r="B2211"/>
  <c r="H2211"/>
  <c r="AI2211"/>
  <c r="B2212"/>
  <c r="H2212"/>
  <c r="AI2212"/>
  <c r="B2213"/>
  <c r="H2213"/>
  <c r="AI2213"/>
  <c r="B2214"/>
  <c r="H2214"/>
  <c r="AI2214"/>
  <c r="B2215"/>
  <c r="H2215"/>
  <c r="AI2215"/>
  <c r="B2216"/>
  <c r="H2216"/>
  <c r="AI2216"/>
  <c r="B2217"/>
  <c r="H2217"/>
  <c r="AI2217"/>
  <c r="B2218"/>
  <c r="H2218"/>
  <c r="AI2218"/>
  <c r="B2219"/>
  <c r="H2219"/>
  <c r="AI2219"/>
  <c r="B2220"/>
  <c r="H2220"/>
  <c r="AI2220"/>
  <c r="B2221"/>
  <c r="H2221"/>
  <c r="AI2221"/>
  <c r="B2222"/>
  <c r="H2222"/>
  <c r="AI2222"/>
  <c r="B2223"/>
  <c r="H2223"/>
  <c r="AI2223"/>
  <c r="B2224"/>
  <c r="H2224"/>
  <c r="AI2224"/>
  <c r="B2225"/>
  <c r="H2225"/>
  <c r="AI2225"/>
  <c r="B2226"/>
  <c r="H2226"/>
  <c r="AI2226"/>
  <c r="B2227"/>
  <c r="H2227"/>
  <c r="AI2227"/>
  <c r="B2228"/>
  <c r="H2228"/>
  <c r="AI2228"/>
  <c r="B2229"/>
  <c r="H2229"/>
  <c r="AI2229"/>
  <c r="B2230"/>
  <c r="H2230"/>
  <c r="AI2230"/>
  <c r="B2231"/>
  <c r="H2231"/>
  <c r="AI2231"/>
  <c r="B2232"/>
  <c r="H2232"/>
  <c r="AI2232"/>
  <c r="B2233"/>
  <c r="H2233"/>
  <c r="AI2233"/>
  <c r="B2234"/>
  <c r="H2234"/>
  <c r="AI2234"/>
  <c r="B2235"/>
  <c r="H2235"/>
  <c r="AI2235"/>
  <c r="B2236"/>
  <c r="H2236"/>
  <c r="AI2236"/>
  <c r="B2237"/>
  <c r="H2237"/>
  <c r="AI2237"/>
  <c r="B2238"/>
  <c r="H2238"/>
  <c r="AI2238"/>
  <c r="B2239"/>
  <c r="H2239"/>
  <c r="AI2239"/>
  <c r="B2240"/>
  <c r="H2240"/>
  <c r="AI2240"/>
  <c r="B2241"/>
  <c r="H2241"/>
  <c r="AI2241"/>
  <c r="B2242"/>
  <c r="H2242"/>
  <c r="AI2242"/>
  <c r="B2243"/>
  <c r="H2243"/>
  <c r="AI2243"/>
  <c r="B2244"/>
  <c r="H2244"/>
  <c r="AI2244"/>
  <c r="B2245"/>
  <c r="H2245"/>
  <c r="AI2245"/>
  <c r="B2246"/>
  <c r="H2246"/>
  <c r="AI2246"/>
  <c r="B2247"/>
  <c r="H2247"/>
  <c r="AI2247"/>
  <c r="B2248"/>
  <c r="H2248"/>
  <c r="AI2248"/>
  <c r="B2249"/>
  <c r="H2249"/>
  <c r="AI2249"/>
  <c r="B2250"/>
  <c r="H2250"/>
  <c r="AI2250"/>
  <c r="B2251"/>
  <c r="H2251"/>
  <c r="AI2251"/>
  <c r="B2252"/>
  <c r="H2252"/>
  <c r="AI2252"/>
  <c r="B2253"/>
  <c r="H2253"/>
  <c r="AI2253"/>
  <c r="B2254"/>
  <c r="H2254"/>
  <c r="AI2254"/>
  <c r="B2255"/>
  <c r="H2255"/>
  <c r="AI2255"/>
  <c r="B2256"/>
  <c r="H2256"/>
  <c r="AI2256"/>
  <c r="B2257"/>
  <c r="H2257"/>
  <c r="AI2257"/>
  <c r="B2258"/>
  <c r="H2258"/>
  <c r="AI2258"/>
  <c r="B2259"/>
  <c r="H2259"/>
  <c r="AI2259"/>
  <c r="B2260"/>
  <c r="H2260"/>
  <c r="AI2260"/>
  <c r="B2261"/>
  <c r="H2261"/>
  <c r="AI2261"/>
  <c r="B2262"/>
  <c r="H2262"/>
  <c r="AI2262"/>
  <c r="B2263"/>
  <c r="H2263"/>
  <c r="AI2263"/>
  <c r="B2264"/>
  <c r="H2264"/>
  <c r="AI2264"/>
  <c r="B2265"/>
  <c r="H2265"/>
  <c r="AI2265"/>
  <c r="B2266"/>
  <c r="H2266"/>
  <c r="AI2266"/>
  <c r="B2267"/>
  <c r="H2267"/>
  <c r="AI2267"/>
  <c r="B2268"/>
  <c r="H2268"/>
  <c r="AI2268"/>
  <c r="B2269"/>
  <c r="H2269"/>
  <c r="AI2269"/>
  <c r="B2270"/>
  <c r="H2270"/>
  <c r="AI2270"/>
  <c r="B2271"/>
  <c r="H2271"/>
  <c r="AI2271"/>
  <c r="B2272"/>
  <c r="H2272"/>
  <c r="AI2272"/>
  <c r="B2273"/>
  <c r="H2273"/>
  <c r="AI2273"/>
  <c r="B2274"/>
  <c r="H2274"/>
  <c r="AI2274"/>
  <c r="B2275"/>
  <c r="H2275"/>
  <c r="AI2275"/>
  <c r="B2276"/>
  <c r="H2276"/>
  <c r="AI2276"/>
  <c r="B2277"/>
  <c r="H2277"/>
  <c r="AI2277"/>
  <c r="B2278"/>
  <c r="H2278"/>
  <c r="AI2278"/>
  <c r="B2279"/>
  <c r="H2279"/>
  <c r="AI2279"/>
  <c r="B2280"/>
  <c r="H2280"/>
  <c r="AI2280"/>
  <c r="B2281"/>
  <c r="H2281"/>
  <c r="AI2281"/>
  <c r="B2282"/>
  <c r="H2282"/>
  <c r="AI2282"/>
  <c r="B2283"/>
  <c r="H2283"/>
  <c r="AI2283"/>
  <c r="B2284"/>
  <c r="H2284"/>
  <c r="AI2284"/>
  <c r="B2285"/>
  <c r="H2285"/>
  <c r="AI2285"/>
  <c r="B2286"/>
  <c r="H2286"/>
  <c r="AI2286"/>
  <c r="B2287"/>
  <c r="H2287"/>
  <c r="AI2287"/>
  <c r="B2288"/>
  <c r="H2288"/>
  <c r="AI2288"/>
  <c r="B2289"/>
  <c r="H2289"/>
  <c r="AI2289"/>
  <c r="B2290"/>
  <c r="H2290"/>
  <c r="AI2290"/>
  <c r="B2291"/>
  <c r="H2291"/>
  <c r="AI2291"/>
  <c r="B2292"/>
  <c r="H2292"/>
  <c r="AI2292"/>
  <c r="B2293"/>
  <c r="H2293"/>
  <c r="AI2293"/>
  <c r="B2294"/>
  <c r="H2294"/>
  <c r="AI2294"/>
  <c r="B2295"/>
  <c r="H2295"/>
  <c r="AI2295"/>
  <c r="B2296"/>
  <c r="H2296"/>
  <c r="AI2296"/>
  <c r="B2297"/>
  <c r="H2297"/>
  <c r="AI2297"/>
  <c r="B2298"/>
  <c r="H2298"/>
  <c r="AI2298"/>
  <c r="B2299"/>
  <c r="H2299"/>
  <c r="AI2299"/>
  <c r="B2300"/>
  <c r="H2300"/>
  <c r="AI2300"/>
  <c r="B2301"/>
  <c r="H2301"/>
  <c r="AI2301"/>
  <c r="B2302"/>
  <c r="H2302"/>
  <c r="AI2302"/>
  <c r="B2303"/>
  <c r="H2303"/>
  <c r="AI2303"/>
  <c r="B2304"/>
  <c r="H2304"/>
  <c r="AI2304"/>
  <c r="B2305"/>
  <c r="H2305"/>
  <c r="AI2305"/>
  <c r="B2306"/>
  <c r="H2306"/>
  <c r="AI2306"/>
  <c r="B2307"/>
  <c r="H2307"/>
  <c r="AI2307"/>
  <c r="B2308"/>
  <c r="H2308"/>
  <c r="AI2308"/>
  <c r="B2309"/>
  <c r="H2309"/>
  <c r="AI2309"/>
  <c r="B2310"/>
  <c r="H2310"/>
  <c r="AI2310"/>
  <c r="B2311"/>
  <c r="H2311"/>
  <c r="AI2311"/>
  <c r="B2312"/>
  <c r="H2312"/>
  <c r="AI2312"/>
  <c r="B2313"/>
  <c r="H2313"/>
  <c r="AI2313"/>
  <c r="B2314"/>
  <c r="H2314"/>
  <c r="AI2314"/>
  <c r="B2315"/>
  <c r="H2315"/>
  <c r="AI2315"/>
  <c r="B2316"/>
  <c r="H2316"/>
  <c r="AI2316"/>
  <c r="B2317"/>
  <c r="H2317"/>
  <c r="AI2317"/>
  <c r="B2318"/>
  <c r="H2318"/>
  <c r="AI2318"/>
  <c r="B2319"/>
  <c r="H2319"/>
  <c r="AI2319"/>
  <c r="B2320"/>
  <c r="H2320"/>
  <c r="AI2320"/>
  <c r="B2321"/>
  <c r="H2321"/>
  <c r="AI2321"/>
  <c r="B2322"/>
  <c r="H2322"/>
  <c r="AI2322"/>
  <c r="B2323"/>
  <c r="H2323"/>
  <c r="AI2323"/>
  <c r="B2324"/>
  <c r="H2324"/>
  <c r="AI2324"/>
  <c r="B2325"/>
  <c r="H2325"/>
  <c r="AI2325"/>
  <c r="B2326"/>
  <c r="H2326"/>
  <c r="AI2326"/>
  <c r="B2327"/>
  <c r="H2327"/>
  <c r="AI2327"/>
  <c r="B2328"/>
  <c r="H2328"/>
  <c r="AI2328"/>
  <c r="B2329"/>
  <c r="H2329"/>
  <c r="AI2329"/>
  <c r="B2330"/>
  <c r="H2330"/>
  <c r="AI2330"/>
  <c r="B2331"/>
  <c r="H2331"/>
  <c r="AI2331"/>
  <c r="B2332"/>
  <c r="H2332"/>
  <c r="AI2332"/>
  <c r="B2333"/>
  <c r="H2333"/>
  <c r="AI2333"/>
  <c r="B2334"/>
  <c r="H2334"/>
  <c r="AI2334"/>
  <c r="B2335"/>
  <c r="H2335"/>
  <c r="AI2335"/>
  <c r="B2336"/>
  <c r="H2336"/>
  <c r="AI2336"/>
  <c r="B2337"/>
  <c r="H2337"/>
  <c r="AI2337"/>
  <c r="B2338"/>
  <c r="H2338"/>
  <c r="AI2338"/>
  <c r="B2339"/>
  <c r="H2339"/>
  <c r="AI2339"/>
  <c r="B2340"/>
  <c r="H2340"/>
  <c r="AI2340"/>
  <c r="B2341"/>
  <c r="H2341"/>
  <c r="AI2341"/>
  <c r="B2342"/>
  <c r="H2342"/>
  <c r="AI2342"/>
  <c r="B2343"/>
  <c r="H2343"/>
  <c r="AI2343"/>
  <c r="B2344"/>
  <c r="H2344"/>
  <c r="AI2344"/>
  <c r="B2345"/>
  <c r="H2345"/>
  <c r="AI2345"/>
  <c r="B2346"/>
  <c r="H2346"/>
  <c r="AI2346"/>
  <c r="B2347"/>
  <c r="H2347"/>
  <c r="AI2347"/>
  <c r="B2348"/>
  <c r="H2348"/>
  <c r="AI2348"/>
  <c r="B2349"/>
  <c r="H2349"/>
  <c r="AI2349"/>
  <c r="B2350"/>
  <c r="H2350"/>
  <c r="AI2350"/>
  <c r="B2351"/>
  <c r="H2351"/>
  <c r="AI2351"/>
  <c r="B2352"/>
  <c r="H2352"/>
  <c r="AI2352"/>
  <c r="B2353"/>
  <c r="H2353"/>
  <c r="AI2353"/>
  <c r="B2354"/>
  <c r="H2354"/>
  <c r="AI2354"/>
  <c r="B2355"/>
  <c r="H2355"/>
  <c r="AI2355"/>
  <c r="B2356"/>
  <c r="H2356"/>
  <c r="AI2356"/>
  <c r="B2357"/>
  <c r="H2357"/>
  <c r="AI2357"/>
  <c r="B2358"/>
  <c r="H2358"/>
  <c r="AI2358"/>
  <c r="B2359"/>
  <c r="H2359"/>
  <c r="AI2359"/>
  <c r="B2360"/>
  <c r="H2360"/>
  <c r="AI2360"/>
  <c r="B2361"/>
  <c r="H2361"/>
  <c r="AI2361"/>
  <c r="B2362"/>
  <c r="H2362"/>
  <c r="AI2362"/>
  <c r="B2363"/>
  <c r="H2363"/>
  <c r="AI2363"/>
  <c r="B2364"/>
  <c r="H2364"/>
  <c r="AI2364"/>
  <c r="B2365"/>
  <c r="H2365"/>
  <c r="AI2365"/>
  <c r="B2366"/>
  <c r="H2366"/>
  <c r="AI2366"/>
  <c r="B2367"/>
  <c r="H2367"/>
  <c r="AI2367"/>
  <c r="B2368"/>
  <c r="H2368"/>
  <c r="AI2368"/>
  <c r="B2369"/>
  <c r="H2369"/>
  <c r="AI2369"/>
  <c r="B2370"/>
  <c r="H2370"/>
  <c r="AI2370"/>
  <c r="B2371"/>
  <c r="H2371"/>
  <c r="AI2371"/>
  <c r="B2372"/>
  <c r="H2372"/>
  <c r="AI2372"/>
  <c r="B2373"/>
  <c r="H2373"/>
  <c r="AI2373"/>
  <c r="B2374"/>
  <c r="H2374"/>
  <c r="AI2374"/>
  <c r="B2375"/>
  <c r="H2375"/>
  <c r="AI2375"/>
  <c r="B2376"/>
  <c r="H2376"/>
  <c r="AI2376"/>
  <c r="B2377"/>
  <c r="H2377"/>
  <c r="AI2377"/>
  <c r="B2378"/>
  <c r="H2378"/>
  <c r="AI2378"/>
  <c r="B2379"/>
  <c r="H2379"/>
  <c r="AI2379"/>
  <c r="B2380"/>
  <c r="H2380"/>
  <c r="AI2380"/>
  <c r="B2381"/>
  <c r="H2381"/>
  <c r="AI2381"/>
  <c r="B2382"/>
  <c r="H2382"/>
  <c r="AI2382"/>
  <c r="B2383"/>
  <c r="H2383"/>
  <c r="AI2383"/>
  <c r="B2384"/>
  <c r="H2384"/>
  <c r="AI2384"/>
  <c r="B2385"/>
  <c r="H2385"/>
  <c r="AI2385"/>
  <c r="B2386"/>
  <c r="H2386"/>
  <c r="AI2386"/>
  <c r="B2387"/>
  <c r="H2387"/>
  <c r="AI2387"/>
  <c r="B2388"/>
  <c r="H2388"/>
  <c r="AI2388"/>
  <c r="B2389"/>
  <c r="H2389"/>
  <c r="AI2389"/>
  <c r="B2390"/>
  <c r="H2390"/>
  <c r="AI2390"/>
  <c r="B2391"/>
  <c r="H2391"/>
  <c r="AI2391"/>
  <c r="B2392"/>
  <c r="H2392"/>
  <c r="AI2392"/>
  <c r="B2393"/>
  <c r="H2393"/>
  <c r="AI2393"/>
  <c r="B2394"/>
  <c r="H2394"/>
  <c r="AI2394"/>
  <c r="B2395"/>
  <c r="H2395"/>
  <c r="AI2395"/>
  <c r="B2396"/>
  <c r="H2396"/>
  <c r="AI2396"/>
  <c r="B2397"/>
  <c r="H2397"/>
  <c r="AI2397"/>
  <c r="B2398"/>
  <c r="H2398"/>
  <c r="AI2398"/>
  <c r="B2399"/>
  <c r="H2399"/>
  <c r="AI2399"/>
  <c r="B2400"/>
  <c r="H2400"/>
  <c r="AI2400"/>
  <c r="B2401"/>
  <c r="H2401"/>
  <c r="AI2401"/>
  <c r="B2402"/>
  <c r="H2402"/>
  <c r="AI2402"/>
  <c r="B2403"/>
  <c r="H2403"/>
  <c r="AI2403"/>
  <c r="B2404"/>
  <c r="H2404"/>
  <c r="AI2404"/>
  <c r="B2405"/>
  <c r="H2405"/>
  <c r="AI2405"/>
  <c r="B2406"/>
  <c r="H2406"/>
  <c r="AI2406"/>
  <c r="B2407"/>
  <c r="H2407"/>
  <c r="AI2407"/>
  <c r="B2408"/>
  <c r="H2408"/>
  <c r="AI2408"/>
  <c r="B2409"/>
  <c r="H2409"/>
  <c r="AI2409"/>
  <c r="B2410"/>
  <c r="H2410"/>
  <c r="AI2410"/>
  <c r="B2411"/>
  <c r="H2411"/>
  <c r="AI2411"/>
  <c r="B2412"/>
  <c r="H2412"/>
  <c r="AI2412"/>
  <c r="B2413"/>
  <c r="H2413"/>
  <c r="AI2413"/>
  <c r="B2414"/>
  <c r="H2414"/>
  <c r="AI2414"/>
  <c r="B2415"/>
  <c r="H2415"/>
  <c r="AI2415"/>
  <c r="B2416"/>
  <c r="H2416"/>
  <c r="AI2416"/>
  <c r="B2417"/>
  <c r="H2417"/>
  <c r="AI2417"/>
  <c r="B2418"/>
  <c r="H2418"/>
  <c r="AI2418"/>
  <c r="B2419"/>
  <c r="H2419"/>
  <c r="AI2419"/>
  <c r="B2420"/>
  <c r="H2420"/>
  <c r="AI2420"/>
  <c r="B2421"/>
  <c r="H2421"/>
  <c r="AI2421"/>
  <c r="B2422"/>
  <c r="H2422"/>
  <c r="AI2422"/>
  <c r="B2423"/>
  <c r="H2423"/>
  <c r="AI2423"/>
  <c r="B2424"/>
  <c r="H2424"/>
  <c r="AI2424"/>
  <c r="B2425"/>
  <c r="H2425"/>
  <c r="AI2425"/>
  <c r="B2426"/>
  <c r="H2426"/>
  <c r="AI2426"/>
  <c r="B2427"/>
  <c r="H2427"/>
  <c r="AI2427"/>
  <c r="B2428"/>
  <c r="H2428"/>
  <c r="AI2428"/>
  <c r="B2429"/>
  <c r="H2429"/>
  <c r="AI2429"/>
  <c r="B2430"/>
  <c r="H2430"/>
  <c r="AI2430"/>
  <c r="B2431"/>
  <c r="H2431"/>
  <c r="AI2431"/>
  <c r="B2432"/>
  <c r="H2432"/>
  <c r="AI2432"/>
  <c r="B2433"/>
  <c r="H2433"/>
  <c r="AI2433"/>
  <c r="B2434"/>
  <c r="H2434"/>
  <c r="AI2434"/>
  <c r="B2435"/>
  <c r="H2435"/>
  <c r="AI2435"/>
  <c r="B2436"/>
  <c r="H2436"/>
  <c r="AI2436"/>
  <c r="B2437"/>
  <c r="H2437"/>
  <c r="AI2437"/>
  <c r="B2438"/>
  <c r="H2438"/>
  <c r="AI2438"/>
  <c r="B2439"/>
  <c r="H2439"/>
  <c r="AI2439"/>
  <c r="B2440"/>
  <c r="H2440"/>
  <c r="AI2440"/>
  <c r="B2441"/>
  <c r="H2441"/>
  <c r="AI2441"/>
  <c r="B2442"/>
  <c r="H2442"/>
  <c r="AI2442"/>
  <c r="B2443"/>
  <c r="H2443"/>
  <c r="AI2443"/>
  <c r="B2444"/>
  <c r="H2444"/>
  <c r="AI2444"/>
  <c r="B2445"/>
  <c r="H2445"/>
  <c r="AI2445"/>
  <c r="B2446"/>
  <c r="H2446"/>
  <c r="AI2446"/>
  <c r="B2447"/>
  <c r="H2447"/>
  <c r="AI2447"/>
  <c r="B2448"/>
  <c r="H2448"/>
  <c r="AI2448"/>
  <c r="B2449"/>
  <c r="H2449"/>
  <c r="AI2449"/>
  <c r="B2450"/>
  <c r="H2450"/>
  <c r="AI2450"/>
  <c r="B2451"/>
  <c r="H2451"/>
  <c r="AI2451"/>
  <c r="B2452"/>
  <c r="H2452"/>
  <c r="AI2452"/>
  <c r="B2453"/>
  <c r="H2453"/>
  <c r="AI2453"/>
  <c r="B2454"/>
  <c r="H2454"/>
  <c r="AI2454"/>
  <c r="B2455"/>
  <c r="H2455"/>
  <c r="AI2455"/>
  <c r="B2456"/>
  <c r="H2456"/>
  <c r="AI2456"/>
  <c r="B2457"/>
  <c r="H2457"/>
  <c r="AI2457"/>
  <c r="B2458"/>
  <c r="H2458"/>
  <c r="AI2458"/>
  <c r="B2459"/>
  <c r="H2459"/>
  <c r="AI2459"/>
  <c r="B2460"/>
  <c r="H2460"/>
  <c r="AI2460"/>
  <c r="B2461"/>
  <c r="H2461"/>
  <c r="AI2461"/>
  <c r="B2462"/>
  <c r="H2462"/>
  <c r="AI2462"/>
  <c r="B2463"/>
  <c r="H2463"/>
  <c r="AI2463"/>
  <c r="B2464"/>
  <c r="H2464"/>
  <c r="AI2464"/>
  <c r="B2465"/>
  <c r="H2465"/>
  <c r="AI2465"/>
  <c r="B2466"/>
  <c r="H2466"/>
  <c r="AI2466"/>
  <c r="B2467"/>
  <c r="H2467"/>
  <c r="AI2467"/>
  <c r="B2468"/>
  <c r="H2468"/>
  <c r="AI2468"/>
  <c r="B2469"/>
  <c r="H2469"/>
  <c r="AI2469"/>
  <c r="B2470"/>
  <c r="H2470"/>
  <c r="AI2470"/>
  <c r="B2471"/>
  <c r="H2471"/>
  <c r="AI2471"/>
  <c r="B2472"/>
  <c r="H2472"/>
  <c r="AI2472"/>
  <c r="B2473"/>
  <c r="H2473"/>
  <c r="AI2473"/>
  <c r="B2474"/>
  <c r="H2474"/>
  <c r="AI2474"/>
  <c r="B2475"/>
  <c r="H2475"/>
  <c r="AI2475"/>
  <c r="B2476"/>
  <c r="H2476"/>
  <c r="AI2476"/>
  <c r="B2477"/>
  <c r="H2477"/>
  <c r="AI2477"/>
  <c r="B2478"/>
  <c r="H2478"/>
  <c r="AI2478"/>
  <c r="B2479"/>
  <c r="H2479"/>
  <c r="AI2479"/>
  <c r="B2480"/>
  <c r="H2480"/>
  <c r="AI2480"/>
  <c r="B2481"/>
  <c r="H2481"/>
  <c r="AI2481"/>
  <c r="B2482"/>
  <c r="H2482"/>
  <c r="AI2482"/>
  <c r="B2483"/>
  <c r="H2483"/>
  <c r="AI2483"/>
  <c r="B2484"/>
  <c r="H2484"/>
  <c r="AI2484"/>
  <c r="B2485"/>
  <c r="H2485"/>
  <c r="AI2485"/>
  <c r="B2486"/>
  <c r="H2486"/>
  <c r="AI2486"/>
  <c r="B2487"/>
  <c r="H2487"/>
  <c r="AI2487"/>
  <c r="B2488"/>
  <c r="H2488"/>
  <c r="AI2488"/>
  <c r="B2489"/>
  <c r="H2489"/>
  <c r="AI2489"/>
  <c r="B2490"/>
  <c r="H2490"/>
  <c r="AI2490"/>
  <c r="B2491"/>
  <c r="H2491"/>
  <c r="AI2491"/>
  <c r="B2492"/>
  <c r="H2492"/>
  <c r="AI2492"/>
  <c r="B2493"/>
  <c r="H2493"/>
  <c r="AI2493"/>
  <c r="B2494"/>
  <c r="H2494"/>
  <c r="AI2494"/>
  <c r="B2495"/>
  <c r="H2495"/>
  <c r="AI2495"/>
  <c r="B2496"/>
  <c r="H2496"/>
  <c r="AI2496"/>
  <c r="B2497"/>
  <c r="H2497"/>
  <c r="AI2497"/>
  <c r="B2498"/>
  <c r="H2498"/>
  <c r="AI2498"/>
  <c r="B2499"/>
  <c r="H2499"/>
  <c r="AI2499"/>
  <c r="B2500"/>
  <c r="H2500"/>
  <c r="AI2500"/>
  <c r="B2501"/>
  <c r="H2501"/>
  <c r="AI2501"/>
  <c r="B2502"/>
  <c r="H2502"/>
  <c r="AI2502"/>
  <c r="B2503"/>
  <c r="H2503"/>
  <c r="AI2503"/>
  <c r="B2504"/>
  <c r="H2504"/>
  <c r="AI2504"/>
  <c r="B2505"/>
  <c r="H2505"/>
  <c r="AI2505"/>
  <c r="B2506"/>
  <c r="H2506"/>
  <c r="AI2506"/>
  <c r="B2507"/>
  <c r="H2507"/>
  <c r="AI2507"/>
  <c r="B2508"/>
  <c r="H2508"/>
  <c r="AI2508"/>
  <c r="B2509"/>
  <c r="H2509"/>
  <c r="AI2509"/>
  <c r="B2510"/>
  <c r="H2510"/>
  <c r="AI2510"/>
  <c r="B2511"/>
  <c r="H2511"/>
  <c r="AI2511"/>
  <c r="B2512"/>
  <c r="H2512"/>
  <c r="AI2512"/>
  <c r="B2513"/>
  <c r="H2513"/>
  <c r="AI2513"/>
  <c r="B2514"/>
  <c r="H2514"/>
  <c r="AI2514"/>
  <c r="B2515"/>
  <c r="H2515"/>
  <c r="AI2515"/>
  <c r="B2516"/>
  <c r="H2516"/>
  <c r="AI2516"/>
  <c r="B2517"/>
  <c r="H2517"/>
  <c r="AI2517"/>
  <c r="B2518"/>
  <c r="H2518"/>
  <c r="AI2518"/>
  <c r="B2519"/>
  <c r="H2519"/>
  <c r="AI2519"/>
  <c r="B2520"/>
  <c r="H2520"/>
  <c r="AI2520"/>
  <c r="B2521"/>
  <c r="H2521"/>
  <c r="AI2521"/>
  <c r="B2522"/>
  <c r="H2522"/>
  <c r="AI2522"/>
  <c r="B2523"/>
  <c r="H2523"/>
  <c r="AI2523"/>
  <c r="B2524"/>
  <c r="H2524"/>
  <c r="AI2524"/>
  <c r="B2525"/>
  <c r="H2525"/>
  <c r="AI2525"/>
  <c r="B2526"/>
  <c r="H2526"/>
  <c r="AI2526"/>
  <c r="B2527"/>
  <c r="H2527"/>
  <c r="AI2527"/>
  <c r="B2528"/>
  <c r="H2528"/>
  <c r="AI2528"/>
  <c r="B2529"/>
  <c r="H2529"/>
  <c r="AI2529"/>
  <c r="B2530"/>
  <c r="H2530"/>
  <c r="AI2530"/>
  <c r="B2531"/>
  <c r="H2531"/>
  <c r="AI2531"/>
  <c r="B2532"/>
  <c r="H2532"/>
  <c r="AI2532"/>
  <c r="B2533"/>
  <c r="H2533"/>
  <c r="AI2533"/>
  <c r="B2534"/>
  <c r="H2534"/>
  <c r="AI2534"/>
  <c r="B2535"/>
  <c r="H2535"/>
  <c r="AI2535"/>
  <c r="B2536"/>
  <c r="H2536"/>
  <c r="AI2536"/>
  <c r="B2537"/>
  <c r="H2537"/>
  <c r="AI2537"/>
  <c r="B2538"/>
  <c r="H2538"/>
  <c r="AI2538"/>
  <c r="B2539"/>
  <c r="H2539"/>
  <c r="AI2539"/>
  <c r="B2540"/>
  <c r="H2540"/>
  <c r="AI2540"/>
  <c r="B2541"/>
  <c r="H2541"/>
  <c r="AI2541"/>
  <c r="B2542"/>
  <c r="H2542"/>
  <c r="AI2542"/>
  <c r="B2543"/>
  <c r="H2543"/>
  <c r="AI2543"/>
  <c r="B2544"/>
  <c r="H2544"/>
  <c r="AI2544"/>
  <c r="B2545"/>
  <c r="H2545"/>
  <c r="AI2545"/>
  <c r="B2546"/>
  <c r="H2546"/>
  <c r="AI2546"/>
  <c r="B2547"/>
  <c r="H2547"/>
  <c r="AI2547"/>
  <c r="B2548"/>
  <c r="H2548"/>
  <c r="AI2548"/>
  <c r="B2549"/>
  <c r="H2549"/>
  <c r="AI2549"/>
  <c r="B2550"/>
  <c r="H2550"/>
  <c r="AI2550"/>
  <c r="B2551"/>
  <c r="H2551"/>
  <c r="AI2551"/>
  <c r="B2552"/>
  <c r="H2552"/>
  <c r="AI2552"/>
  <c r="B2553"/>
  <c r="H2553"/>
  <c r="AI2553"/>
  <c r="B2554"/>
  <c r="H2554"/>
  <c r="AI2554"/>
  <c r="B2555"/>
  <c r="H2555"/>
  <c r="AI2555"/>
  <c r="B2556"/>
  <c r="H2556"/>
  <c r="AI2556"/>
  <c r="B2557"/>
  <c r="H2557"/>
  <c r="AI2557"/>
  <c r="B2558"/>
  <c r="H2558"/>
  <c r="AI2558"/>
  <c r="B2559"/>
  <c r="H2559"/>
  <c r="AI2559"/>
  <c r="B2560"/>
  <c r="H2560"/>
  <c r="AI2560"/>
  <c r="B2561"/>
  <c r="H2561"/>
  <c r="AI2561"/>
  <c r="B2562"/>
  <c r="H2562"/>
  <c r="AI2562"/>
  <c r="B2563"/>
  <c r="H2563"/>
  <c r="AI2563"/>
  <c r="B2564"/>
  <c r="H2564"/>
  <c r="AI2564"/>
  <c r="B2565"/>
  <c r="H2565"/>
  <c r="AI2565"/>
  <c r="B2566"/>
  <c r="H2566"/>
  <c r="AI2566"/>
  <c r="B2567"/>
  <c r="H2567"/>
  <c r="AI2567"/>
  <c r="B2568"/>
  <c r="H2568"/>
  <c r="AI2568"/>
  <c r="B2569"/>
  <c r="H2569"/>
  <c r="AI2569"/>
  <c r="B2570"/>
  <c r="H2570"/>
  <c r="AI2570"/>
  <c r="B2571"/>
  <c r="H2571"/>
  <c r="AI2571"/>
  <c r="B2572"/>
  <c r="H2572"/>
  <c r="AI2572"/>
  <c r="B2573"/>
  <c r="H2573"/>
  <c r="AI2573"/>
  <c r="B2574"/>
  <c r="H2574"/>
  <c r="AI2574"/>
  <c r="B2575"/>
  <c r="H2575"/>
  <c r="AI2575"/>
  <c r="B2576"/>
  <c r="H2576"/>
  <c r="AI2576"/>
  <c r="B2577"/>
  <c r="H2577"/>
  <c r="AI2577"/>
  <c r="B2578"/>
  <c r="H2578"/>
  <c r="AI2578"/>
  <c r="B2579"/>
  <c r="H2579"/>
  <c r="AI2579"/>
  <c r="B2580"/>
  <c r="H2580"/>
  <c r="AI2580"/>
  <c r="B2581"/>
  <c r="H2581"/>
  <c r="AI2581"/>
  <c r="B2582"/>
  <c r="H2582"/>
  <c r="AI2582"/>
  <c r="B2583"/>
  <c r="H2583"/>
  <c r="AI2583"/>
  <c r="B2584"/>
  <c r="H2584"/>
  <c r="AI2584"/>
  <c r="B2585"/>
  <c r="H2585"/>
  <c r="AI2585"/>
  <c r="B2586"/>
  <c r="H2586"/>
  <c r="AI2586"/>
  <c r="B2587"/>
  <c r="H2587"/>
  <c r="AI2587"/>
  <c r="B2588"/>
  <c r="H2588"/>
  <c r="AI2588"/>
  <c r="B2589"/>
  <c r="H2589"/>
  <c r="AI2589"/>
  <c r="B2590"/>
  <c r="H2590"/>
  <c r="AI2590"/>
  <c r="B2591"/>
  <c r="H2591"/>
  <c r="AI2591"/>
  <c r="B2592"/>
  <c r="H2592"/>
  <c r="AI2592"/>
  <c r="B2593"/>
  <c r="H2593"/>
  <c r="AI2593"/>
  <c r="B2594"/>
  <c r="H2594"/>
  <c r="AI2594"/>
  <c r="B2595"/>
  <c r="H2595"/>
  <c r="AI2595"/>
  <c r="B2596"/>
  <c r="H2596"/>
  <c r="AI2596"/>
  <c r="B2597"/>
  <c r="H2597"/>
  <c r="AI2597"/>
  <c r="B2598"/>
  <c r="H2598"/>
  <c r="AI2598"/>
  <c r="B2599"/>
  <c r="H2599"/>
  <c r="AI2599"/>
  <c r="B2600"/>
  <c r="H2600"/>
  <c r="AI2600"/>
  <c r="B2601"/>
  <c r="H2601"/>
  <c r="AI2601"/>
  <c r="B2602"/>
  <c r="H2602"/>
  <c r="AI2602"/>
  <c r="B2603"/>
  <c r="H2603"/>
  <c r="AI2603"/>
  <c r="B2604"/>
  <c r="H2604"/>
  <c r="AI2604"/>
  <c r="B2605"/>
  <c r="H2605"/>
  <c r="AI2605"/>
  <c r="B2606"/>
  <c r="H2606"/>
  <c r="AI2606"/>
  <c r="B2607"/>
  <c r="H2607"/>
  <c r="AI2607"/>
  <c r="B2608"/>
  <c r="H2608"/>
  <c r="AI2608"/>
  <c r="B2609"/>
  <c r="H2609"/>
  <c r="AI2609"/>
  <c r="B2610"/>
  <c r="H2610"/>
  <c r="AI2610"/>
  <c r="B2611"/>
  <c r="H2611"/>
  <c r="AI2611"/>
  <c r="B2612"/>
  <c r="H2612"/>
  <c r="AI2612"/>
  <c r="B2613"/>
  <c r="H2613"/>
  <c r="AI2613"/>
  <c r="B2614"/>
  <c r="H2614"/>
  <c r="AI2614"/>
  <c r="B2615"/>
  <c r="H2615"/>
  <c r="AI2615"/>
  <c r="B2616"/>
  <c r="H2616"/>
  <c r="AI2616"/>
  <c r="B2617"/>
  <c r="H2617"/>
  <c r="AI2617"/>
  <c r="B2618"/>
  <c r="H2618"/>
  <c r="AI2618"/>
  <c r="B2619"/>
  <c r="H2619"/>
  <c r="AI2619"/>
  <c r="B2620"/>
  <c r="H2620"/>
  <c r="AI2620"/>
  <c r="B2621"/>
  <c r="H2621"/>
  <c r="AI2621"/>
  <c r="B2622"/>
  <c r="H2622"/>
  <c r="AI2622"/>
  <c r="B2623"/>
  <c r="H2623"/>
  <c r="AI2623"/>
  <c r="B2624"/>
  <c r="H2624"/>
  <c r="AI2624"/>
  <c r="B2625"/>
  <c r="H2625"/>
  <c r="AI2625"/>
  <c r="B2626"/>
  <c r="H2626"/>
  <c r="AI2626"/>
  <c r="B2627"/>
  <c r="H2627"/>
  <c r="AI2627"/>
  <c r="B2628"/>
  <c r="H2628"/>
  <c r="AI2628"/>
  <c r="B2629"/>
  <c r="H2629"/>
  <c r="AI2629"/>
  <c r="B2630"/>
  <c r="H2630"/>
  <c r="AI2630"/>
  <c r="B2631"/>
  <c r="H2631"/>
  <c r="AI2631"/>
  <c r="B2632"/>
  <c r="H2632"/>
  <c r="AI2632"/>
  <c r="B2633"/>
  <c r="H2633"/>
  <c r="AI2633"/>
  <c r="B2634"/>
  <c r="H2634"/>
  <c r="AI2634"/>
  <c r="B2635"/>
  <c r="H2635"/>
  <c r="AI2635"/>
  <c r="B2636"/>
  <c r="H2636"/>
  <c r="AI2636"/>
  <c r="B2637"/>
  <c r="H2637"/>
  <c r="AI2637"/>
  <c r="B2638"/>
  <c r="H2638"/>
  <c r="AI2638"/>
  <c r="B2639"/>
  <c r="H2639"/>
  <c r="AI2639"/>
  <c r="B2640"/>
  <c r="H2640"/>
  <c r="AI2640"/>
  <c r="B2641"/>
  <c r="H2641"/>
  <c r="AI2641"/>
  <c r="B2642"/>
  <c r="H2642"/>
  <c r="AI2642"/>
  <c r="B2643"/>
  <c r="H2643"/>
  <c r="AI2643"/>
  <c r="B2644"/>
  <c r="H2644"/>
  <c r="AI2644"/>
  <c r="B2645"/>
  <c r="H2645"/>
  <c r="AI2645"/>
  <c r="B2646"/>
  <c r="H2646"/>
  <c r="AI2646"/>
  <c r="B2647"/>
  <c r="H2647"/>
  <c r="AI2647"/>
  <c r="B2648"/>
  <c r="H2648"/>
  <c r="AI2648"/>
  <c r="B2649"/>
  <c r="H2649"/>
  <c r="AI2649"/>
  <c r="B2650"/>
  <c r="H2650"/>
  <c r="AI2650"/>
  <c r="B2651"/>
  <c r="H2651"/>
  <c r="AI2651"/>
  <c r="B2652"/>
  <c r="H2652"/>
  <c r="AI2652"/>
  <c r="B2653"/>
  <c r="H2653"/>
  <c r="AI2653"/>
  <c r="B2654"/>
  <c r="H2654"/>
  <c r="AI2654"/>
  <c r="B2655"/>
  <c r="H2655"/>
  <c r="AI2655"/>
  <c r="B2656"/>
  <c r="H2656"/>
  <c r="AI2656"/>
  <c r="B2657"/>
  <c r="H2657"/>
  <c r="AI2657"/>
  <c r="B2658"/>
  <c r="H2658"/>
  <c r="AI2658"/>
  <c r="B2659"/>
  <c r="H2659"/>
  <c r="AI2659"/>
  <c r="B2660"/>
  <c r="H2660"/>
  <c r="AI2660"/>
  <c r="B2661"/>
  <c r="H2661"/>
  <c r="AI2661"/>
  <c r="B2662"/>
  <c r="H2662"/>
  <c r="AI2662"/>
  <c r="B2663"/>
  <c r="H2663"/>
  <c r="AI2663"/>
  <c r="B2664"/>
  <c r="H2664"/>
  <c r="AI2664"/>
  <c r="B2665"/>
  <c r="H2665"/>
  <c r="AI2665"/>
  <c r="B2666"/>
  <c r="H2666"/>
  <c r="AI2666"/>
  <c r="B2667"/>
  <c r="H2667"/>
  <c r="AI2667"/>
  <c r="B2668"/>
  <c r="H2668"/>
  <c r="AI2668"/>
  <c r="B2669"/>
  <c r="H2669"/>
  <c r="AI2669"/>
  <c r="B2670"/>
  <c r="H2670"/>
  <c r="AI2670"/>
  <c r="B2671"/>
  <c r="H2671"/>
  <c r="AI2671"/>
  <c r="B2672"/>
  <c r="H2672"/>
  <c r="AI2672"/>
  <c r="B2673"/>
  <c r="H2673"/>
  <c r="AI2673"/>
  <c r="B2674"/>
  <c r="H2674"/>
  <c r="AI2674"/>
  <c r="B2675"/>
  <c r="H2675"/>
  <c r="AI2675"/>
  <c r="B2676"/>
  <c r="H2676"/>
  <c r="AI2676"/>
  <c r="B2677"/>
  <c r="H2677"/>
  <c r="AI2677"/>
  <c r="B2678"/>
  <c r="H2678"/>
  <c r="AI2678"/>
  <c r="B2679"/>
  <c r="H2679"/>
  <c r="AI2679"/>
  <c r="B2680"/>
  <c r="H2680"/>
  <c r="AI2680"/>
  <c r="B2681"/>
  <c r="H2681"/>
  <c r="AI2681"/>
  <c r="B2682"/>
  <c r="H2682"/>
  <c r="AI2682"/>
  <c r="B2683"/>
  <c r="H2683"/>
  <c r="AI2683"/>
  <c r="B2684"/>
  <c r="H2684"/>
  <c r="AI2684"/>
  <c r="B2685"/>
  <c r="H2685"/>
  <c r="AI2685"/>
  <c r="B2686"/>
  <c r="H2686"/>
  <c r="AI2686"/>
  <c r="B2687"/>
  <c r="H2687"/>
  <c r="AI2687"/>
  <c r="B2688"/>
  <c r="H2688"/>
  <c r="AI2688"/>
  <c r="B2689"/>
  <c r="H2689"/>
  <c r="AI2689"/>
  <c r="B2690"/>
  <c r="H2690"/>
  <c r="AI2690"/>
  <c r="B2691"/>
  <c r="H2691"/>
  <c r="AI2691"/>
  <c r="B2692"/>
  <c r="H2692"/>
  <c r="AI2692"/>
  <c r="B2693"/>
  <c r="H2693"/>
  <c r="AI2693"/>
  <c r="B2694"/>
  <c r="H2694"/>
  <c r="AI2694"/>
  <c r="B2695"/>
  <c r="H2695"/>
  <c r="AI2695"/>
  <c r="B2696"/>
  <c r="H2696"/>
  <c r="AI2696"/>
  <c r="B2697"/>
  <c r="H2697"/>
  <c r="AI2697"/>
  <c r="B2698"/>
  <c r="H2698"/>
  <c r="AI2698"/>
  <c r="B2699"/>
  <c r="H2699"/>
  <c r="AI2699"/>
  <c r="B2700"/>
  <c r="H2700"/>
  <c r="AI2700"/>
  <c r="B2701"/>
  <c r="H2701"/>
  <c r="AI2701"/>
  <c r="B2702"/>
  <c r="H2702"/>
  <c r="AI2702"/>
  <c r="B2703"/>
  <c r="H2703"/>
  <c r="AI2703"/>
  <c r="B2704"/>
  <c r="H2704"/>
  <c r="AI2704"/>
  <c r="B2705"/>
  <c r="H2705"/>
  <c r="AI2705"/>
  <c r="B2706"/>
  <c r="H2706"/>
  <c r="AI2706"/>
  <c r="B2707"/>
  <c r="H2707"/>
  <c r="AI2707"/>
  <c r="B2708"/>
  <c r="H2708"/>
  <c r="AI2708"/>
  <c r="B2709"/>
  <c r="H2709"/>
  <c r="AI2709"/>
  <c r="B2710"/>
  <c r="H2710"/>
  <c r="AI2710"/>
  <c r="B2711"/>
  <c r="H2711"/>
  <c r="AI2711"/>
  <c r="B2712"/>
  <c r="H2712"/>
  <c r="AI2712"/>
  <c r="B2713"/>
  <c r="H2713"/>
  <c r="AI2713"/>
  <c r="B2714"/>
  <c r="H2714"/>
  <c r="AI2714"/>
  <c r="B2715"/>
  <c r="H2715"/>
  <c r="AI2715"/>
  <c r="B2716"/>
  <c r="H2716"/>
  <c r="AI2716"/>
  <c r="B2717"/>
  <c r="H2717"/>
  <c r="AI2717"/>
  <c r="B2718"/>
  <c r="H2718"/>
  <c r="AI2718"/>
  <c r="B2719"/>
  <c r="H2719"/>
  <c r="AI2719"/>
  <c r="B2720"/>
  <c r="H2720"/>
  <c r="AI2720"/>
  <c r="B2721"/>
  <c r="H2721"/>
  <c r="AI2721"/>
  <c r="B2722"/>
  <c r="H2722"/>
  <c r="AI2722"/>
  <c r="B2723"/>
  <c r="H2723"/>
  <c r="AI2723"/>
  <c r="B2724"/>
  <c r="H2724"/>
  <c r="AI2724"/>
  <c r="B2725"/>
  <c r="H2725"/>
  <c r="AI2725"/>
  <c r="B2726"/>
  <c r="H2726"/>
  <c r="AI2726"/>
  <c r="B2727"/>
  <c r="H2727"/>
  <c r="AI2727"/>
  <c r="B2728"/>
  <c r="H2728"/>
  <c r="AI2728"/>
  <c r="B2729"/>
  <c r="H2729"/>
  <c r="AI2729"/>
  <c r="B2730"/>
  <c r="H2730"/>
  <c r="AI2730"/>
  <c r="B2731"/>
  <c r="H2731"/>
  <c r="AI2731"/>
  <c r="B2732"/>
  <c r="H2732"/>
  <c r="AI2732"/>
  <c r="B2733"/>
  <c r="H2733"/>
  <c r="AI2733"/>
  <c r="B2734"/>
  <c r="H2734"/>
  <c r="AI2734"/>
  <c r="B2735"/>
  <c r="H2735"/>
  <c r="AI2735"/>
  <c r="B2736"/>
  <c r="H2736"/>
  <c r="AI2736"/>
  <c r="B2737"/>
  <c r="H2737"/>
  <c r="AI2737"/>
  <c r="B2738"/>
  <c r="H2738"/>
  <c r="AI2738"/>
  <c r="B2739"/>
  <c r="H2739"/>
  <c r="AI2739"/>
  <c r="B2740"/>
  <c r="H2740"/>
  <c r="AI2740"/>
  <c r="B2741"/>
  <c r="H2741"/>
  <c r="AI2741"/>
  <c r="B2742"/>
  <c r="H2742"/>
  <c r="AI2742"/>
  <c r="B2743"/>
  <c r="H2743"/>
  <c r="AI2743"/>
  <c r="B2744"/>
  <c r="H2744"/>
  <c r="AI2744"/>
  <c r="B2745"/>
  <c r="H2745"/>
  <c r="AI2745"/>
  <c r="B2746"/>
  <c r="H2746"/>
  <c r="AI2746"/>
  <c r="B2747"/>
  <c r="H2747"/>
  <c r="AI2747"/>
  <c r="B2748"/>
  <c r="H2748"/>
  <c r="AI2748"/>
  <c r="B2749"/>
  <c r="H2749"/>
  <c r="AI2749"/>
  <c r="B2750"/>
  <c r="H2750"/>
  <c r="AI2750"/>
  <c r="B2751"/>
  <c r="H2751"/>
  <c r="AI2751"/>
  <c r="B2752"/>
  <c r="H2752"/>
  <c r="AI2752"/>
  <c r="B2753"/>
  <c r="H2753"/>
  <c r="AI2753"/>
  <c r="B2754"/>
  <c r="H2754"/>
  <c r="AI2754"/>
  <c r="B2755"/>
  <c r="H2755"/>
  <c r="AI2755"/>
  <c r="B2756"/>
  <c r="H2756"/>
  <c r="AI2756"/>
  <c r="B2757"/>
  <c r="H2757"/>
  <c r="AI2757"/>
  <c r="B2758"/>
  <c r="H2758"/>
  <c r="AI2758"/>
  <c r="B2759"/>
  <c r="H2759"/>
  <c r="AI2759"/>
  <c r="B2760"/>
  <c r="H2760"/>
  <c r="AI2760"/>
  <c r="B2761"/>
  <c r="H2761"/>
  <c r="AI2761"/>
  <c r="B2762"/>
  <c r="H2762"/>
  <c r="AI2762"/>
  <c r="B2763"/>
  <c r="H2763"/>
  <c r="AI2763"/>
  <c r="B2764"/>
  <c r="H2764"/>
  <c r="AI2764"/>
  <c r="B2765"/>
  <c r="H2765"/>
  <c r="AI2765"/>
  <c r="B2766"/>
  <c r="H2766"/>
  <c r="AI2766"/>
  <c r="B2767"/>
  <c r="H2767"/>
  <c r="AI2767"/>
  <c r="B2768"/>
  <c r="H2768"/>
  <c r="AI2768"/>
  <c r="B2769"/>
  <c r="H2769"/>
  <c r="AI2769"/>
  <c r="B2770"/>
  <c r="H2770"/>
  <c r="AI2770"/>
  <c r="B2771"/>
  <c r="H2771"/>
  <c r="AI2771"/>
  <c r="B2772"/>
  <c r="H2772"/>
  <c r="AI2772"/>
  <c r="B2773"/>
  <c r="H2773"/>
  <c r="AI2773"/>
  <c r="B2774"/>
  <c r="H2774"/>
  <c r="AI2774"/>
  <c r="B2775"/>
  <c r="H2775"/>
  <c r="AI2775"/>
  <c r="B2776"/>
  <c r="H2776"/>
  <c r="AI2776"/>
  <c r="B2777"/>
  <c r="H2777"/>
  <c r="AI2777"/>
  <c r="B2778"/>
  <c r="H2778"/>
  <c r="AI2778"/>
  <c r="B2779"/>
  <c r="H2779"/>
  <c r="AI2779"/>
  <c r="B2780"/>
  <c r="H2780"/>
  <c r="AI2780"/>
  <c r="B2781"/>
  <c r="H2781"/>
  <c r="AI2781"/>
  <c r="B2782"/>
  <c r="H2782"/>
  <c r="AI2782"/>
  <c r="B2783"/>
  <c r="H2783"/>
  <c r="AI2783"/>
  <c r="B2784"/>
  <c r="H2784"/>
  <c r="AI2784"/>
  <c r="B2785"/>
  <c r="H2785"/>
  <c r="AI2785"/>
  <c r="B2786"/>
  <c r="H2786"/>
  <c r="AI2786"/>
  <c r="B2787"/>
  <c r="H2787"/>
  <c r="AI2787"/>
  <c r="B2788"/>
  <c r="H2788"/>
  <c r="AI2788"/>
  <c r="B2789"/>
  <c r="H2789"/>
  <c r="AI2789"/>
  <c r="B2790"/>
  <c r="H2790"/>
  <c r="AI2790"/>
  <c r="B2791"/>
  <c r="H2791"/>
  <c r="AI2791"/>
  <c r="B2792"/>
  <c r="H2792"/>
  <c r="AI2792"/>
  <c r="B2793"/>
  <c r="H2793"/>
  <c r="AI2793"/>
  <c r="B2794"/>
  <c r="H2794"/>
  <c r="AI2794"/>
  <c r="B2795"/>
  <c r="H2795"/>
  <c r="AI2795"/>
  <c r="B2796"/>
  <c r="H2796"/>
  <c r="AI2796"/>
  <c r="B2797"/>
  <c r="H2797"/>
  <c r="AI2797"/>
  <c r="B2798"/>
  <c r="H2798"/>
  <c r="AI2798"/>
  <c r="B2799"/>
  <c r="H2799"/>
  <c r="AI2799"/>
  <c r="B2800"/>
  <c r="H2800"/>
  <c r="AI2800"/>
  <c r="B2801"/>
  <c r="H2801"/>
  <c r="AI2801"/>
  <c r="B2802"/>
  <c r="H2802"/>
  <c r="AI2802"/>
  <c r="B2803"/>
  <c r="H2803"/>
  <c r="AI2803"/>
  <c r="B2804"/>
  <c r="H2804"/>
  <c r="AI2804"/>
  <c r="B2805"/>
  <c r="H2805"/>
  <c r="AI2805"/>
  <c r="B2806"/>
  <c r="H2806"/>
  <c r="AI2806"/>
  <c r="B2807"/>
  <c r="H2807"/>
  <c r="AI2807"/>
  <c r="B2808"/>
  <c r="H2808"/>
  <c r="AI2808"/>
  <c r="B2809"/>
  <c r="H2809"/>
  <c r="AI2809"/>
  <c r="B2810"/>
  <c r="H2810"/>
  <c r="AI2810"/>
  <c r="B2811"/>
  <c r="H2811"/>
  <c r="AI2811"/>
  <c r="B2812"/>
  <c r="H2812"/>
  <c r="AI2812"/>
  <c r="B2813"/>
  <c r="H2813"/>
  <c r="AI2813"/>
  <c r="B2814"/>
  <c r="H2814"/>
  <c r="AI2814"/>
  <c r="B2815"/>
  <c r="H2815"/>
  <c r="AI2815"/>
  <c r="B2816"/>
  <c r="H2816"/>
  <c r="AI2816"/>
  <c r="B2817"/>
  <c r="H2817"/>
  <c r="AI2817"/>
  <c r="B2818"/>
  <c r="H2818"/>
  <c r="AI2818"/>
  <c r="B2819"/>
  <c r="H2819"/>
  <c r="AI2819"/>
  <c r="B2820"/>
  <c r="H2820"/>
  <c r="AI2820"/>
  <c r="B2821"/>
  <c r="H2821"/>
  <c r="AI2821"/>
  <c r="B2822"/>
  <c r="H2822"/>
  <c r="AI2822"/>
  <c r="B2823"/>
  <c r="H2823"/>
  <c r="AI2823"/>
  <c r="B2824"/>
  <c r="H2824"/>
  <c r="AI2824"/>
  <c r="B2825"/>
  <c r="H2825"/>
  <c r="AI2825"/>
  <c r="B2826"/>
  <c r="H2826"/>
  <c r="AI2826"/>
  <c r="B2827"/>
  <c r="H2827"/>
  <c r="AI2827"/>
  <c r="B2828"/>
  <c r="H2828"/>
  <c r="AI2828"/>
  <c r="B2829"/>
  <c r="H2829"/>
  <c r="AI2829"/>
  <c r="B2830"/>
  <c r="H2830"/>
  <c r="AI2830"/>
  <c r="B2831"/>
  <c r="H2831"/>
  <c r="AI2831"/>
  <c r="B2832"/>
  <c r="H2832"/>
  <c r="AI2832"/>
  <c r="B2833"/>
  <c r="H2833"/>
  <c r="AI2833"/>
  <c r="B2834"/>
  <c r="H2834"/>
  <c r="AI2834"/>
  <c r="B2835"/>
  <c r="H2835"/>
  <c r="AI2835"/>
  <c r="B2836"/>
  <c r="H2836"/>
  <c r="AI2836"/>
  <c r="B2837"/>
  <c r="H2837"/>
  <c r="AI2837"/>
  <c r="B2838"/>
  <c r="H2838"/>
  <c r="AI2838"/>
  <c r="B2839"/>
  <c r="H2839"/>
  <c r="AI2839"/>
  <c r="B2840"/>
  <c r="H2840"/>
  <c r="AI2840"/>
  <c r="B2841"/>
  <c r="H2841"/>
  <c r="AI2841"/>
  <c r="B2842"/>
  <c r="H2842"/>
  <c r="AI2842"/>
  <c r="B2843"/>
  <c r="H2843"/>
  <c r="AI2843"/>
  <c r="B2844"/>
  <c r="H2844"/>
  <c r="AI2844"/>
  <c r="B2845"/>
  <c r="H2845"/>
  <c r="AI2845"/>
  <c r="B2846"/>
  <c r="H2846"/>
  <c r="AI2846"/>
  <c r="B2847"/>
  <c r="H2847"/>
  <c r="AI2847"/>
  <c r="B2848"/>
  <c r="H2848"/>
  <c r="AI2848"/>
  <c r="B2849"/>
  <c r="H2849"/>
  <c r="AI2849"/>
  <c r="B2850"/>
  <c r="H2850"/>
  <c r="AI2850"/>
  <c r="B2851"/>
  <c r="H2851"/>
  <c r="AI2851"/>
  <c r="B2852"/>
  <c r="H2852"/>
  <c r="AI2852"/>
  <c r="B2853"/>
  <c r="H2853"/>
  <c r="AI2853"/>
  <c r="B2854"/>
  <c r="H2854"/>
  <c r="AI2854"/>
  <c r="B2855"/>
  <c r="H2855"/>
  <c r="AI2855"/>
  <c r="B2856"/>
  <c r="H2856"/>
  <c r="AI2856"/>
  <c r="B2857"/>
  <c r="H2857"/>
  <c r="AI2857"/>
  <c r="B2858"/>
  <c r="H2858"/>
  <c r="AI2858"/>
  <c r="B2859"/>
  <c r="H2859"/>
  <c r="AI2859"/>
  <c r="B2860"/>
  <c r="H2860"/>
  <c r="AI2860"/>
  <c r="B2861"/>
  <c r="H2861"/>
  <c r="AI2861"/>
  <c r="B2862"/>
  <c r="H2862"/>
  <c r="AI2862"/>
  <c r="B2863"/>
  <c r="H2863"/>
  <c r="AI2863"/>
  <c r="B2864"/>
  <c r="H2864"/>
  <c r="AI2864"/>
  <c r="B2865"/>
  <c r="H2865"/>
  <c r="AI2865"/>
  <c r="B2866"/>
  <c r="H2866"/>
  <c r="AI2866"/>
  <c r="B2867"/>
  <c r="H2867"/>
  <c r="AI2867"/>
  <c r="B2868"/>
  <c r="H2868"/>
  <c r="AI2868"/>
  <c r="B2869"/>
  <c r="H2869"/>
  <c r="AI2869"/>
  <c r="B2870"/>
  <c r="H2870"/>
  <c r="AI2870"/>
  <c r="B2871"/>
  <c r="H2871"/>
  <c r="AI2871"/>
  <c r="B2872"/>
  <c r="H2872"/>
  <c r="AI2872"/>
  <c r="B2873"/>
  <c r="H2873"/>
  <c r="AI2873"/>
  <c r="B2874"/>
  <c r="H2874"/>
  <c r="AI2874"/>
  <c r="B2875"/>
  <c r="H2875"/>
  <c r="AI2875"/>
  <c r="B2876"/>
  <c r="H2876"/>
  <c r="AI2876"/>
  <c r="B2877"/>
  <c r="H2877"/>
  <c r="AI2877"/>
  <c r="B2878"/>
  <c r="H2878"/>
  <c r="AI2878"/>
  <c r="B2879"/>
  <c r="H2879"/>
  <c r="AI2879"/>
  <c r="B2880"/>
  <c r="H2880"/>
  <c r="AI2880"/>
  <c r="B2881"/>
  <c r="H2881"/>
  <c r="AI2881"/>
  <c r="B2882"/>
  <c r="H2882"/>
  <c r="AI2882"/>
  <c r="B2883"/>
  <c r="H2883"/>
  <c r="AI2883"/>
  <c r="B2884"/>
  <c r="H2884"/>
  <c r="AI2884"/>
  <c r="B2885"/>
  <c r="H2885"/>
  <c r="AI2885"/>
  <c r="B2886"/>
  <c r="H2886"/>
  <c r="AI2886"/>
  <c r="B2887"/>
  <c r="H2887"/>
  <c r="AI2887"/>
  <c r="B2888"/>
  <c r="H2888"/>
  <c r="AI2888"/>
  <c r="B2889"/>
  <c r="H2889"/>
  <c r="AI2889"/>
  <c r="B2890"/>
  <c r="H2890"/>
  <c r="AI2890"/>
  <c r="B2891"/>
  <c r="H2891"/>
  <c r="AI2891"/>
  <c r="B2892"/>
  <c r="H2892"/>
  <c r="AI2892"/>
  <c r="B2893"/>
  <c r="H2893"/>
  <c r="AI2893"/>
  <c r="B2894"/>
  <c r="H2894"/>
  <c r="AI2894"/>
  <c r="B2895"/>
  <c r="H2895"/>
  <c r="AI2895"/>
  <c r="B2896"/>
  <c r="H2896"/>
  <c r="AI2896"/>
  <c r="B2897"/>
  <c r="H2897"/>
  <c r="AI2897"/>
  <c r="B2898"/>
  <c r="H2898"/>
  <c r="AI2898"/>
  <c r="B2899"/>
  <c r="H2899"/>
  <c r="AI2899"/>
  <c r="B2900"/>
  <c r="H2900"/>
  <c r="AI2900"/>
  <c r="B2901"/>
  <c r="H2901"/>
  <c r="AI2901"/>
  <c r="B2902"/>
  <c r="H2902"/>
  <c r="AI2902"/>
  <c r="B2903"/>
  <c r="H2903"/>
  <c r="AI2903"/>
  <c r="B2904"/>
  <c r="H2904"/>
  <c r="AI2904"/>
  <c r="B2905"/>
  <c r="H2905"/>
  <c r="AI2905"/>
  <c r="B2906"/>
  <c r="H2906"/>
  <c r="AI2906"/>
  <c r="B2907"/>
  <c r="H2907"/>
  <c r="AI2907"/>
  <c r="B2908"/>
  <c r="H2908"/>
  <c r="AI2908"/>
  <c r="B2909"/>
  <c r="H2909"/>
  <c r="AI2909"/>
  <c r="B2910"/>
  <c r="H2910"/>
  <c r="AI2910"/>
  <c r="B2911"/>
  <c r="H2911"/>
  <c r="AI2911"/>
  <c r="B2912"/>
  <c r="H2912"/>
  <c r="AI2912"/>
  <c r="B2913"/>
  <c r="H2913"/>
  <c r="AI2913"/>
  <c r="B2914"/>
  <c r="H2914"/>
  <c r="AI2914"/>
  <c r="B2915"/>
  <c r="H2915"/>
  <c r="AI2915"/>
  <c r="B2916"/>
  <c r="H2916"/>
  <c r="AI2916"/>
  <c r="B2917"/>
  <c r="H2917"/>
  <c r="AI2917"/>
  <c r="B2918"/>
  <c r="H2918"/>
  <c r="AI2918"/>
  <c r="B2919"/>
  <c r="H2919"/>
  <c r="AI2919"/>
  <c r="B2920"/>
  <c r="H2920"/>
  <c r="AI2920"/>
  <c r="B2921"/>
  <c r="H2921"/>
  <c r="AI2921"/>
  <c r="B2922"/>
  <c r="H2922"/>
  <c r="AI2922"/>
  <c r="B2923"/>
  <c r="H2923"/>
  <c r="AI2923"/>
  <c r="B2924"/>
  <c r="H2924"/>
  <c r="AI2924"/>
  <c r="B2925"/>
  <c r="H2925"/>
  <c r="AI2925"/>
  <c r="B2926"/>
  <c r="H2926"/>
  <c r="AI2926"/>
  <c r="B2927"/>
  <c r="H2927"/>
  <c r="AI2927"/>
  <c r="B2928"/>
  <c r="H2928"/>
  <c r="AI2928"/>
  <c r="B2929"/>
  <c r="H2929"/>
  <c r="AI2929"/>
  <c r="B2930"/>
  <c r="H2930"/>
  <c r="AI2930"/>
  <c r="B2931"/>
  <c r="H2931"/>
  <c r="AI2931"/>
  <c r="B2932"/>
  <c r="H2932"/>
  <c r="AI2932"/>
  <c r="B2933"/>
  <c r="H2933"/>
  <c r="AI2933"/>
  <c r="B2934"/>
  <c r="H2934"/>
  <c r="AI2934"/>
  <c r="B2935"/>
  <c r="H2935"/>
  <c r="AI2935"/>
  <c r="B2936"/>
  <c r="H2936"/>
  <c r="AI2936"/>
  <c r="B2937"/>
  <c r="H2937"/>
  <c r="AI2937"/>
  <c r="B2938"/>
  <c r="H2938"/>
  <c r="AI2938"/>
  <c r="B2939"/>
  <c r="H2939"/>
  <c r="AI2939"/>
  <c r="B2940"/>
  <c r="H2940"/>
  <c r="AI2940"/>
  <c r="B2941"/>
  <c r="H2941"/>
  <c r="AI2941"/>
  <c r="B2942"/>
  <c r="H2942"/>
  <c r="AI2942"/>
  <c r="B2943"/>
  <c r="H2943"/>
  <c r="AI2943"/>
  <c r="B2944"/>
  <c r="H2944"/>
  <c r="AI2944"/>
  <c r="B2945"/>
  <c r="H2945"/>
  <c r="AI2945"/>
  <c r="B2946"/>
  <c r="H2946"/>
  <c r="AI2946"/>
  <c r="B2947"/>
  <c r="H2947"/>
  <c r="AI2947"/>
  <c r="B2948"/>
  <c r="H2948"/>
  <c r="AI2948"/>
  <c r="B2949"/>
  <c r="H2949"/>
  <c r="AI2949"/>
  <c r="B2950"/>
  <c r="H2950"/>
  <c r="AI2950"/>
  <c r="B2951"/>
  <c r="H2951"/>
  <c r="AI2951"/>
  <c r="B2952"/>
  <c r="H2952"/>
  <c r="AI2952"/>
  <c r="B2953"/>
  <c r="H2953"/>
  <c r="AI2953"/>
  <c r="B2954"/>
  <c r="H2954"/>
  <c r="AI2954"/>
  <c r="B2955"/>
  <c r="H2955"/>
  <c r="AI2955"/>
  <c r="B2956"/>
  <c r="H2956"/>
  <c r="AI2956"/>
  <c r="B2957"/>
  <c r="H2957"/>
  <c r="AI2957"/>
  <c r="B2958"/>
  <c r="H2958"/>
  <c r="AI2958"/>
  <c r="B2959"/>
  <c r="H2959"/>
  <c r="AI2959"/>
  <c r="B2960"/>
  <c r="H2960"/>
  <c r="AI2960"/>
  <c r="B2961"/>
  <c r="H2961"/>
  <c r="AI2961"/>
  <c r="B2962"/>
  <c r="H2962"/>
  <c r="AI2962"/>
  <c r="B2963"/>
  <c r="H2963"/>
  <c r="AI2963"/>
  <c r="B2964"/>
  <c r="H2964"/>
  <c r="AI2964"/>
  <c r="B2965"/>
  <c r="H2965"/>
  <c r="AI2965"/>
  <c r="B2966"/>
  <c r="H2966"/>
  <c r="AI2966"/>
  <c r="B2967"/>
  <c r="H2967"/>
  <c r="AI2967"/>
  <c r="B2968"/>
  <c r="H2968"/>
  <c r="AI2968"/>
  <c r="B2969"/>
  <c r="H2969"/>
  <c r="AI2969"/>
  <c r="B2970"/>
  <c r="H2970"/>
  <c r="AI2970"/>
  <c r="B2971"/>
  <c r="H2971"/>
  <c r="AI2971"/>
  <c r="B2972"/>
  <c r="H2972"/>
  <c r="AI2972"/>
  <c r="B2973"/>
  <c r="H2973"/>
  <c r="AI2973"/>
  <c r="B2974"/>
  <c r="H2974"/>
  <c r="AI2974"/>
  <c r="B2975"/>
  <c r="H2975"/>
  <c r="AI2975"/>
  <c r="B2976"/>
  <c r="H2976"/>
  <c r="AI2976"/>
  <c r="B2977"/>
  <c r="H2977"/>
  <c r="AI2977"/>
  <c r="B2978"/>
  <c r="H2978"/>
  <c r="AI2978"/>
  <c r="B2979"/>
  <c r="H2979"/>
  <c r="AI2979"/>
  <c r="B2980"/>
  <c r="H2980"/>
  <c r="AI2980"/>
  <c r="B2981"/>
  <c r="H2981"/>
  <c r="AI2981"/>
  <c r="B2982"/>
  <c r="H2982"/>
  <c r="AI2982"/>
  <c r="B2983"/>
  <c r="H2983"/>
  <c r="AI2983"/>
  <c r="B2984"/>
  <c r="H2984"/>
  <c r="AI2984"/>
  <c r="B2985"/>
  <c r="H2985"/>
  <c r="AI2985"/>
  <c r="B2986"/>
  <c r="H2986"/>
  <c r="AI2986"/>
  <c r="B2987"/>
  <c r="H2987"/>
  <c r="AI2987"/>
  <c r="B2988"/>
  <c r="H2988"/>
  <c r="AI2988"/>
  <c r="B2989"/>
  <c r="H2989"/>
  <c r="AI2989"/>
  <c r="B2990"/>
  <c r="H2990"/>
  <c r="AI2990"/>
  <c r="B2991"/>
  <c r="H2991"/>
  <c r="AI2991"/>
  <c r="B2992"/>
  <c r="H2992"/>
  <c r="AI2992"/>
  <c r="B2993"/>
  <c r="H2993"/>
  <c r="AI2993"/>
  <c r="B2994"/>
  <c r="H2994"/>
  <c r="AI2994"/>
  <c r="B2995"/>
  <c r="H2995"/>
  <c r="AI2995"/>
  <c r="B2996"/>
  <c r="H2996"/>
  <c r="AI2996"/>
  <c r="B2997"/>
  <c r="H2997"/>
  <c r="AI2997"/>
  <c r="B2998"/>
  <c r="H2998"/>
  <c r="AI2998"/>
  <c r="B2999"/>
  <c r="H2999"/>
  <c r="AI2999"/>
  <c r="B3000"/>
  <c r="H3000"/>
  <c r="AI3000"/>
  <c r="B3001"/>
  <c r="H3001"/>
  <c r="AI3001"/>
  <c r="B3002"/>
  <c r="H3002"/>
  <c r="AI3002"/>
  <c r="B3003"/>
  <c r="H3003"/>
  <c r="AI3003"/>
  <c r="B3004"/>
  <c r="H3004"/>
  <c r="AI3004"/>
  <c r="B3005"/>
  <c r="H3005"/>
  <c r="AI3005"/>
  <c r="B3006"/>
  <c r="H3006"/>
  <c r="AI3006"/>
  <c r="B3007"/>
  <c r="H3007"/>
  <c r="AI3007"/>
  <c r="B3008"/>
  <c r="H3008"/>
  <c r="AI3008"/>
  <c r="B3009"/>
  <c r="H3009"/>
  <c r="AI3009"/>
  <c r="B3010"/>
  <c r="H3010"/>
  <c r="AI3010"/>
  <c r="B3011"/>
  <c r="H3011"/>
  <c r="AI3011"/>
  <c r="B3012"/>
  <c r="H3012"/>
  <c r="AI3012"/>
  <c r="B3013"/>
  <c r="H3013"/>
  <c r="AI3013"/>
  <c r="B3014"/>
  <c r="H3014"/>
  <c r="AI3014"/>
  <c r="B3015"/>
  <c r="H3015"/>
  <c r="AI3015"/>
  <c r="B3016"/>
  <c r="H3016"/>
  <c r="AI3016"/>
  <c r="B3017"/>
  <c r="H3017"/>
  <c r="AI3017"/>
  <c r="B3018"/>
  <c r="H3018"/>
  <c r="AI3018"/>
  <c r="B3019"/>
  <c r="H3019"/>
  <c r="AI3019"/>
  <c r="B3020"/>
  <c r="H3020"/>
  <c r="AI3020"/>
  <c r="B3021"/>
  <c r="H3021"/>
  <c r="AI3021"/>
  <c r="B3022"/>
  <c r="H3022"/>
  <c r="AI3022"/>
  <c r="B3023"/>
  <c r="H3023"/>
  <c r="AI3023"/>
  <c r="B3024"/>
  <c r="H3024"/>
  <c r="AI3024"/>
  <c r="B3025"/>
  <c r="H3025"/>
  <c r="AI3025"/>
  <c r="B3026"/>
  <c r="H3026"/>
  <c r="AI3026"/>
  <c r="B3027"/>
  <c r="H3027"/>
  <c r="AI3027"/>
  <c r="B3028"/>
  <c r="H3028"/>
  <c r="AI3028"/>
  <c r="B3029"/>
  <c r="H3029"/>
  <c r="AI3029"/>
  <c r="B3030"/>
  <c r="H3030"/>
  <c r="AI3030"/>
  <c r="B3031"/>
  <c r="H3031"/>
  <c r="AI3031"/>
  <c r="B3032"/>
  <c r="H3032"/>
  <c r="AI3032"/>
  <c r="B3033"/>
  <c r="H3033"/>
  <c r="AI3033"/>
  <c r="B3034"/>
  <c r="H3034"/>
  <c r="AI3034"/>
  <c r="B3035"/>
  <c r="H3035"/>
  <c r="AI3035"/>
  <c r="B3036"/>
  <c r="H3036"/>
  <c r="AI3036"/>
  <c r="B3037"/>
  <c r="H3037"/>
  <c r="AI3037"/>
  <c r="B3038"/>
  <c r="H3038"/>
  <c r="AI3038"/>
  <c r="B3039"/>
  <c r="H3039"/>
  <c r="AI3039"/>
  <c r="B3040"/>
  <c r="H3040"/>
  <c r="AI3040"/>
  <c r="B3041"/>
  <c r="H3041"/>
  <c r="AI3041"/>
  <c r="B3042"/>
  <c r="H3042"/>
  <c r="AI3042"/>
  <c r="B3043"/>
  <c r="H3043"/>
  <c r="AI3043"/>
  <c r="B3044"/>
  <c r="H3044"/>
  <c r="AI3044"/>
  <c r="B3045"/>
  <c r="H3045"/>
  <c r="AI3045"/>
  <c r="B3046"/>
  <c r="H3046"/>
  <c r="AI3046"/>
  <c r="B3047"/>
  <c r="H3047"/>
  <c r="AI3047"/>
  <c r="B3048"/>
  <c r="H3048"/>
  <c r="AI3048"/>
  <c r="B3049"/>
  <c r="H3049"/>
  <c r="AI3049"/>
  <c r="B3050"/>
  <c r="H3050"/>
  <c r="AI3050"/>
  <c r="B3051"/>
  <c r="H3051"/>
  <c r="AI3051"/>
  <c r="B3052"/>
  <c r="H3052"/>
  <c r="AI3052"/>
  <c r="B3053"/>
  <c r="H3053"/>
  <c r="AI3053"/>
  <c r="B3054"/>
  <c r="H3054"/>
  <c r="AI3054"/>
  <c r="B3055"/>
  <c r="H3055"/>
  <c r="AI3055"/>
  <c r="B3056"/>
  <c r="H3056"/>
  <c r="AI3056"/>
  <c r="B3057"/>
  <c r="H3057"/>
  <c r="AI3057"/>
  <c r="B3058"/>
  <c r="H3058"/>
  <c r="AI3058"/>
  <c r="B3059"/>
  <c r="H3059"/>
  <c r="AI3059"/>
  <c r="B3060"/>
  <c r="H3060"/>
  <c r="AI3060"/>
  <c r="B3061"/>
  <c r="H3061"/>
  <c r="AI3061"/>
  <c r="B3062"/>
  <c r="H3062"/>
  <c r="AI3062"/>
  <c r="B3063"/>
  <c r="H3063"/>
  <c r="AI3063"/>
  <c r="B3064"/>
  <c r="H3064"/>
  <c r="AI3064"/>
  <c r="B3065"/>
  <c r="H3065"/>
  <c r="AI3065"/>
  <c r="B3066"/>
  <c r="H3066"/>
  <c r="AI3066"/>
  <c r="B3067"/>
  <c r="H3067"/>
  <c r="AI3067"/>
  <c r="B3068"/>
  <c r="H3068"/>
  <c r="AI3068"/>
  <c r="B3069"/>
  <c r="H3069"/>
  <c r="AI3069"/>
  <c r="B3070"/>
  <c r="H3070"/>
  <c r="AI3070"/>
  <c r="B3071"/>
  <c r="H3071"/>
  <c r="AI3071"/>
  <c r="B3072"/>
  <c r="H3072"/>
  <c r="AI3072"/>
  <c r="B3073"/>
  <c r="H3073"/>
  <c r="AI3073"/>
  <c r="B3074"/>
  <c r="H3074"/>
  <c r="AI3074"/>
  <c r="B3075"/>
  <c r="H3075"/>
  <c r="AI3075"/>
  <c r="B3076"/>
  <c r="H3076"/>
  <c r="AI3076"/>
  <c r="B3077"/>
  <c r="H3077"/>
  <c r="AI3077"/>
  <c r="B3078"/>
  <c r="H3078"/>
  <c r="AI3078"/>
  <c r="B3079"/>
  <c r="H3079"/>
  <c r="AI3079"/>
  <c r="B3080"/>
  <c r="H3080"/>
  <c r="AI3080"/>
  <c r="B3081"/>
  <c r="H3081"/>
  <c r="AI3081"/>
  <c r="B3082"/>
  <c r="H3082"/>
  <c r="AI3082"/>
  <c r="B3083"/>
  <c r="H3083"/>
  <c r="AI3083"/>
  <c r="B3084"/>
  <c r="H3084"/>
  <c r="AI3084"/>
  <c r="B3085"/>
  <c r="H3085"/>
  <c r="AI3085"/>
  <c r="B3086"/>
  <c r="H3086"/>
  <c r="AI3086"/>
  <c r="B3087"/>
  <c r="H3087"/>
  <c r="AI3087"/>
  <c r="B3088"/>
  <c r="H3088"/>
  <c r="AI3088"/>
  <c r="B3089"/>
  <c r="H3089"/>
  <c r="AI3089"/>
  <c r="B3090"/>
  <c r="H3090"/>
  <c r="AI3090"/>
  <c r="B3091"/>
  <c r="H3091"/>
  <c r="AI3091"/>
  <c r="B3092"/>
  <c r="H3092"/>
  <c r="AI3092"/>
  <c r="B3093"/>
  <c r="H3093"/>
  <c r="AI3093"/>
  <c r="B3094"/>
  <c r="H3094"/>
  <c r="AI3094"/>
  <c r="B3095"/>
  <c r="H3095"/>
  <c r="AI3095"/>
  <c r="B3096"/>
  <c r="H3096"/>
  <c r="AI3096"/>
  <c r="B3097"/>
  <c r="H3097"/>
  <c r="AI3097"/>
  <c r="B3098"/>
  <c r="H3098"/>
  <c r="AI3098"/>
  <c r="B3099"/>
  <c r="H3099"/>
  <c r="AI3099"/>
  <c r="B3100"/>
  <c r="H3100"/>
  <c r="AI3100"/>
  <c r="B3101"/>
  <c r="H3101"/>
  <c r="AI3101"/>
  <c r="B3102"/>
  <c r="H3102"/>
  <c r="AI3102"/>
  <c r="B3103"/>
  <c r="H3103"/>
  <c r="AI3103"/>
  <c r="B3104"/>
  <c r="H3104"/>
  <c r="AI3104"/>
  <c r="B3105"/>
  <c r="H3105"/>
  <c r="AI3105"/>
  <c r="B3106"/>
  <c r="H3106"/>
  <c r="AI3106"/>
  <c r="B3107"/>
  <c r="H3107"/>
  <c r="AI3107"/>
  <c r="B3108"/>
  <c r="H3108"/>
  <c r="AI3108"/>
  <c r="B3109"/>
  <c r="H3109"/>
  <c r="AI3109"/>
  <c r="B3110"/>
  <c r="H3110"/>
  <c r="AI3110"/>
  <c r="B3111"/>
  <c r="H3111"/>
  <c r="AI3111"/>
  <c r="B3112"/>
  <c r="H3112"/>
  <c r="AI3112"/>
  <c r="B3113"/>
  <c r="H3113"/>
  <c r="AI3113"/>
  <c r="B3114"/>
  <c r="H3114"/>
  <c r="AI3114"/>
  <c r="B3115"/>
  <c r="H3115"/>
  <c r="AI3115"/>
  <c r="B3116"/>
  <c r="H3116"/>
  <c r="AI3116"/>
  <c r="B3117"/>
  <c r="H3117"/>
  <c r="AI3117"/>
  <c r="B3118"/>
  <c r="H3118"/>
  <c r="AI3118"/>
  <c r="B3119"/>
  <c r="H3119"/>
  <c r="AI3119"/>
  <c r="B3120"/>
  <c r="H3120"/>
  <c r="AI3120"/>
  <c r="B3121"/>
  <c r="H3121"/>
  <c r="AI3121"/>
  <c r="B3122"/>
  <c r="H3122"/>
  <c r="AI3122"/>
  <c r="B3123"/>
  <c r="H3123"/>
  <c r="AI3123"/>
  <c r="B3124"/>
  <c r="H3124"/>
  <c r="AI3124"/>
  <c r="B3125"/>
  <c r="H3125"/>
  <c r="AI3125"/>
  <c r="B3126"/>
  <c r="H3126"/>
  <c r="AI3126"/>
  <c r="B3127"/>
  <c r="H3127"/>
  <c r="AI3127"/>
  <c r="B3128"/>
  <c r="H3128"/>
  <c r="AI3128"/>
  <c r="B3129"/>
  <c r="H3129"/>
  <c r="AI3129"/>
  <c r="B3130"/>
  <c r="H3130"/>
  <c r="AI3130"/>
  <c r="B3131"/>
  <c r="H3131"/>
  <c r="AI3131"/>
  <c r="B3132"/>
  <c r="H3132"/>
  <c r="AI3132"/>
  <c r="B3133"/>
  <c r="H3133"/>
  <c r="AI3133"/>
  <c r="B3134"/>
  <c r="H3134"/>
  <c r="AI3134"/>
  <c r="B3135"/>
  <c r="H3135"/>
  <c r="AI3135"/>
  <c r="B3136"/>
  <c r="H3136"/>
  <c r="AI3136"/>
  <c r="B3137"/>
  <c r="H3137"/>
  <c r="AI3137"/>
  <c r="B3138"/>
  <c r="H3138"/>
  <c r="AI3138"/>
  <c r="B3139"/>
  <c r="H3139"/>
  <c r="AI3139"/>
  <c r="B3140"/>
  <c r="H3140"/>
  <c r="AI3140"/>
  <c r="B3141"/>
  <c r="H3141"/>
  <c r="AI3141"/>
  <c r="B3142"/>
  <c r="H3142"/>
  <c r="AI3142"/>
  <c r="B3143"/>
  <c r="H3143"/>
  <c r="AI3143"/>
  <c r="B3144"/>
  <c r="H3144"/>
  <c r="AI3144"/>
  <c r="B3145"/>
  <c r="H3145"/>
  <c r="AI3145"/>
  <c r="B3146"/>
  <c r="H3146"/>
  <c r="AI3146"/>
  <c r="B3147"/>
  <c r="H3147"/>
  <c r="AI3147"/>
  <c r="B3148"/>
  <c r="H3148"/>
  <c r="AI3148"/>
  <c r="B3149"/>
  <c r="H3149"/>
  <c r="AI3149"/>
  <c r="B3150"/>
  <c r="H3150"/>
  <c r="AI3150"/>
  <c r="B3151"/>
  <c r="H3151"/>
  <c r="AI3151"/>
  <c r="B3152"/>
  <c r="H3152"/>
  <c r="AI3152"/>
  <c r="B3153"/>
  <c r="H3153"/>
  <c r="AI3153"/>
  <c r="B3154"/>
  <c r="H3154"/>
  <c r="AI3154"/>
  <c r="B3155"/>
  <c r="H3155"/>
  <c r="AI3155"/>
  <c r="B3156"/>
  <c r="H3156"/>
  <c r="AI3156"/>
  <c r="B3157"/>
  <c r="H3157"/>
  <c r="AI3157"/>
  <c r="B3158"/>
  <c r="H3158"/>
  <c r="AI3158"/>
  <c r="B3159"/>
  <c r="H3159"/>
  <c r="AI3159"/>
  <c r="B3160"/>
  <c r="H3160"/>
  <c r="AI3160"/>
  <c r="B3161"/>
  <c r="H3161"/>
  <c r="AI3161"/>
  <c r="B3162"/>
  <c r="H3162"/>
  <c r="AI3162"/>
  <c r="B3163"/>
  <c r="H3163"/>
  <c r="AI3163"/>
  <c r="B3164"/>
  <c r="H3164"/>
  <c r="AI3164"/>
  <c r="B3165"/>
  <c r="H3165"/>
  <c r="AI3165"/>
  <c r="B3166"/>
  <c r="H3166"/>
  <c r="AI3166"/>
  <c r="B3167"/>
  <c r="H3167"/>
  <c r="AI3167"/>
  <c r="B3168"/>
  <c r="H3168"/>
  <c r="AI3168"/>
  <c r="B3169"/>
  <c r="H3169"/>
  <c r="AI3169"/>
  <c r="B3170"/>
  <c r="H3170"/>
  <c r="AI3170"/>
  <c r="B3171"/>
  <c r="H3171"/>
  <c r="AI3171"/>
  <c r="B3172"/>
  <c r="H3172"/>
  <c r="AI3172"/>
  <c r="B3173"/>
  <c r="H3173"/>
  <c r="AI3173"/>
  <c r="B3174"/>
  <c r="H3174"/>
  <c r="AI3174"/>
  <c r="B3175"/>
  <c r="H3175"/>
  <c r="AI3175"/>
  <c r="B3176"/>
  <c r="H3176"/>
  <c r="AI3176"/>
  <c r="B3177"/>
  <c r="H3177"/>
  <c r="AI3177"/>
  <c r="B3178"/>
  <c r="H3178"/>
  <c r="AI3178"/>
  <c r="B3179"/>
  <c r="H3179"/>
  <c r="AI3179"/>
  <c r="B3180"/>
  <c r="H3180"/>
  <c r="AI3180"/>
  <c r="B3181"/>
  <c r="H3181"/>
  <c r="AI3181"/>
  <c r="B3182"/>
  <c r="H3182"/>
  <c r="AI3182"/>
  <c r="B3183"/>
  <c r="H3183"/>
  <c r="AI3183"/>
  <c r="B3184"/>
  <c r="H3184"/>
  <c r="AI3184"/>
  <c r="B3185"/>
  <c r="H3185"/>
  <c r="AI3185"/>
  <c r="B3186"/>
  <c r="H3186"/>
  <c r="AI3186"/>
  <c r="B3187"/>
  <c r="H3187"/>
  <c r="AI3187"/>
  <c r="B3188"/>
  <c r="H3188"/>
  <c r="AI3188"/>
  <c r="B3189"/>
  <c r="H3189"/>
  <c r="AI3189"/>
  <c r="B3190"/>
  <c r="H3190"/>
  <c r="AI3190"/>
  <c r="B3191"/>
  <c r="H3191"/>
  <c r="AI3191"/>
  <c r="B3192"/>
  <c r="H3192"/>
  <c r="AI3192"/>
  <c r="B3193"/>
  <c r="H3193"/>
  <c r="AI3193"/>
  <c r="B3194"/>
  <c r="H3194"/>
  <c r="AI3194"/>
  <c r="B3195"/>
  <c r="H3195"/>
  <c r="AI3195"/>
  <c r="B3196"/>
  <c r="H3196"/>
  <c r="AI3196"/>
  <c r="B3197"/>
  <c r="H3197"/>
  <c r="AI3197"/>
  <c r="B3198"/>
  <c r="H3198"/>
  <c r="AI3198"/>
  <c r="B3199"/>
  <c r="H3199"/>
  <c r="AI3199"/>
  <c r="B3200"/>
  <c r="H3200"/>
  <c r="AI3200"/>
  <c r="B3201"/>
  <c r="H3201"/>
  <c r="AI3201"/>
  <c r="B3202"/>
  <c r="H3202"/>
  <c r="AI3202"/>
  <c r="B3203"/>
  <c r="H3203"/>
  <c r="AI3203"/>
  <c r="B3204"/>
  <c r="H3204"/>
  <c r="AI3204"/>
  <c r="B3205"/>
  <c r="H3205"/>
  <c r="AI3205"/>
  <c r="B3206"/>
  <c r="H3206"/>
  <c r="AI3206"/>
  <c r="B3207"/>
  <c r="H3207"/>
  <c r="AI3207"/>
  <c r="B3208"/>
  <c r="H3208"/>
  <c r="AI3208"/>
  <c r="B3209"/>
  <c r="H3209"/>
  <c r="AI3209"/>
  <c r="B3210"/>
  <c r="H3210"/>
  <c r="AI3210"/>
  <c r="B3211"/>
  <c r="H3211"/>
  <c r="AI3211"/>
  <c r="B3212"/>
  <c r="H3212"/>
  <c r="AI3212"/>
  <c r="B3213"/>
  <c r="H3213"/>
  <c r="AI3213"/>
  <c r="B3214"/>
  <c r="H3214"/>
  <c r="AI3214"/>
  <c r="B3215"/>
  <c r="H3215"/>
  <c r="AI3215"/>
  <c r="B3216"/>
  <c r="H3216"/>
  <c r="AI3216"/>
  <c r="B3217"/>
  <c r="H3217"/>
  <c r="AI3217"/>
  <c r="B3218"/>
  <c r="H3218"/>
  <c r="AI3218"/>
  <c r="B3219"/>
  <c r="H3219"/>
  <c r="AI3219"/>
  <c r="B3220"/>
  <c r="H3220"/>
  <c r="AI3220"/>
  <c r="B3221"/>
  <c r="H3221"/>
  <c r="AI3221"/>
  <c r="B3222"/>
  <c r="H3222"/>
  <c r="AI3222"/>
  <c r="B3223"/>
  <c r="H3223"/>
  <c r="AI3223"/>
  <c r="B3224"/>
  <c r="H3224"/>
  <c r="AI3224"/>
  <c r="B3225"/>
  <c r="H3225"/>
  <c r="AI3225"/>
  <c r="B3226"/>
  <c r="H3226"/>
  <c r="AI3226"/>
  <c r="B3227"/>
  <c r="H3227"/>
  <c r="AI3227"/>
  <c r="B3228"/>
  <c r="H3228"/>
  <c r="AI3228"/>
  <c r="B3229"/>
  <c r="H3229"/>
  <c r="AI3229"/>
  <c r="B3230"/>
  <c r="H3230"/>
  <c r="AI3230"/>
  <c r="B3231"/>
  <c r="H3231"/>
  <c r="AI3231"/>
  <c r="B3232"/>
  <c r="H3232"/>
  <c r="AI3232"/>
  <c r="B3233"/>
  <c r="H3233"/>
  <c r="AI3233"/>
  <c r="B3234"/>
  <c r="H3234"/>
  <c r="AI3234"/>
  <c r="B3235"/>
  <c r="H3235"/>
  <c r="AI3235"/>
  <c r="B3236"/>
  <c r="H3236"/>
  <c r="AI3236"/>
  <c r="B3237"/>
  <c r="H3237"/>
  <c r="AI3237"/>
  <c r="B3238"/>
  <c r="H3238"/>
  <c r="AI3238"/>
  <c r="B3239"/>
  <c r="H3239"/>
  <c r="AI3239"/>
  <c r="B3240"/>
  <c r="H3240"/>
  <c r="AI3240"/>
  <c r="B3241"/>
  <c r="H3241"/>
  <c r="AI3241"/>
  <c r="B3242"/>
  <c r="H3242"/>
  <c r="AI3242"/>
  <c r="B3243"/>
  <c r="H3243"/>
  <c r="AI3243"/>
  <c r="B3244"/>
  <c r="H3244"/>
  <c r="AI3244"/>
  <c r="B3245"/>
  <c r="H3245"/>
  <c r="AI3245"/>
  <c r="B3246"/>
  <c r="H3246"/>
  <c r="AI3246"/>
  <c r="B3247"/>
  <c r="H3247"/>
  <c r="AI3247"/>
  <c r="B3248"/>
  <c r="H3248"/>
  <c r="AI3248"/>
  <c r="B3249"/>
  <c r="H3249"/>
  <c r="AI3249"/>
  <c r="B3250"/>
  <c r="H3250"/>
  <c r="AI3250"/>
  <c r="B3251"/>
  <c r="H3251"/>
  <c r="AI3251"/>
  <c r="B3252"/>
  <c r="H3252"/>
  <c r="AI3252"/>
  <c r="B3253"/>
  <c r="H3253"/>
  <c r="AI3253"/>
  <c r="B3254"/>
  <c r="H3254"/>
  <c r="AI3254"/>
  <c r="B3255"/>
  <c r="H3255"/>
  <c r="AI3255"/>
  <c r="B3256"/>
  <c r="H3256"/>
  <c r="AI3256"/>
  <c r="B3257"/>
  <c r="H3257"/>
  <c r="AI3257"/>
  <c r="B3258"/>
  <c r="H3258"/>
  <c r="AI3258"/>
  <c r="B3259"/>
  <c r="H3259"/>
  <c r="AI3259"/>
  <c r="B3260"/>
  <c r="H3260"/>
  <c r="AI3260"/>
  <c r="B3261"/>
  <c r="H3261"/>
  <c r="AI3261"/>
  <c r="B3262"/>
  <c r="H3262"/>
  <c r="AI3262"/>
  <c r="B3263"/>
  <c r="H3263"/>
  <c r="AI3263"/>
  <c r="B3264"/>
  <c r="H3264"/>
  <c r="AI3264"/>
  <c r="B3265"/>
  <c r="H3265"/>
  <c r="AI3265"/>
  <c r="B3266"/>
  <c r="H3266"/>
  <c r="AI3266"/>
  <c r="B3267"/>
  <c r="H3267"/>
  <c r="AI3267"/>
  <c r="B3268"/>
  <c r="H3268"/>
  <c r="AI3268"/>
  <c r="B3269"/>
  <c r="H3269"/>
  <c r="AI3269"/>
  <c r="B3270"/>
  <c r="H3270"/>
  <c r="AI3270"/>
  <c r="B3271"/>
  <c r="H3271"/>
  <c r="AI3271"/>
  <c r="B3272"/>
  <c r="H3272"/>
  <c r="AI3272"/>
  <c r="B3273"/>
  <c r="H3273"/>
  <c r="AI3273"/>
  <c r="B3274"/>
  <c r="H3274"/>
  <c r="AI3274"/>
  <c r="B3275"/>
  <c r="H3275"/>
  <c r="AI3275"/>
  <c r="B3276"/>
  <c r="H3276"/>
  <c r="AI3276"/>
  <c r="B3277"/>
  <c r="H3277"/>
  <c r="AI3277"/>
  <c r="B3278"/>
  <c r="H3278"/>
  <c r="AI3278"/>
  <c r="B3279"/>
  <c r="H3279"/>
  <c r="AI3279"/>
  <c r="B3280"/>
  <c r="H3280"/>
  <c r="AI3280"/>
  <c r="B3281"/>
  <c r="H3281"/>
  <c r="AI3281"/>
  <c r="B3282"/>
  <c r="H3282"/>
  <c r="AI3282"/>
  <c r="B3283"/>
  <c r="H3283"/>
  <c r="AI3283"/>
  <c r="B3284"/>
  <c r="H3284"/>
  <c r="AI3284"/>
  <c r="B3285"/>
  <c r="H3285"/>
  <c r="AI3285"/>
  <c r="B3286"/>
  <c r="H3286"/>
  <c r="AI3286"/>
  <c r="B3287"/>
  <c r="H3287"/>
  <c r="AI3287"/>
  <c r="B3288"/>
  <c r="H3288"/>
  <c r="AI3288"/>
  <c r="B3289"/>
  <c r="H3289"/>
  <c r="AI3289"/>
  <c r="B3290"/>
  <c r="H3290"/>
  <c r="AI3290"/>
  <c r="B3291"/>
  <c r="H3291"/>
  <c r="AI3291"/>
  <c r="B3292"/>
  <c r="H3292"/>
  <c r="AI3292"/>
  <c r="B3293"/>
  <c r="H3293"/>
  <c r="AI3293"/>
  <c r="B3294"/>
  <c r="H3294"/>
  <c r="AI3294"/>
  <c r="B3295"/>
  <c r="H3295"/>
  <c r="AI3295"/>
  <c r="B3296"/>
  <c r="H3296"/>
  <c r="AI3296"/>
  <c r="B3297"/>
  <c r="H3297"/>
  <c r="AI3297"/>
  <c r="B3298"/>
  <c r="H3298"/>
  <c r="AI3298"/>
  <c r="B3299"/>
  <c r="H3299"/>
  <c r="AI3299"/>
  <c r="B3300"/>
  <c r="H3300"/>
  <c r="AI3300"/>
  <c r="B3301"/>
  <c r="H3301"/>
  <c r="AI3301"/>
  <c r="B3302"/>
  <c r="H3302"/>
  <c r="AI3302"/>
  <c r="B3303"/>
  <c r="H3303"/>
  <c r="AI3303"/>
  <c r="B3304"/>
  <c r="H3304"/>
  <c r="AI3304"/>
  <c r="B3305"/>
  <c r="H3305"/>
  <c r="AI3305"/>
  <c r="B3306"/>
  <c r="H3306"/>
  <c r="AI3306"/>
  <c r="B3307"/>
  <c r="H3307"/>
  <c r="AI3307"/>
  <c r="B3308"/>
  <c r="H3308"/>
  <c r="AI3308"/>
  <c r="B3309"/>
  <c r="H3309"/>
  <c r="AI3309"/>
  <c r="B3310"/>
  <c r="H3310"/>
  <c r="AI3310"/>
  <c r="B3311"/>
  <c r="H3311"/>
  <c r="AI3311"/>
  <c r="B3312"/>
  <c r="H3312"/>
  <c r="AI3312"/>
  <c r="B3313"/>
  <c r="H3313"/>
  <c r="AI3313"/>
  <c r="B3314"/>
  <c r="H3314"/>
  <c r="AI3314"/>
  <c r="B3315"/>
  <c r="H3315"/>
  <c r="AI3315"/>
  <c r="B3316"/>
  <c r="H3316"/>
  <c r="AI3316"/>
  <c r="B3317"/>
  <c r="H3317"/>
  <c r="AI3317"/>
  <c r="B3318"/>
  <c r="H3318"/>
  <c r="AI3318"/>
  <c r="B3319"/>
  <c r="H3319"/>
  <c r="AI3319"/>
  <c r="B3320"/>
  <c r="H3320"/>
  <c r="AI3320"/>
  <c r="B3321"/>
  <c r="H3321"/>
  <c r="AI3321"/>
  <c r="B3322"/>
  <c r="H3322"/>
  <c r="AI3322"/>
  <c r="B3323"/>
  <c r="H3323"/>
  <c r="AI3323"/>
  <c r="B3324"/>
  <c r="H3324"/>
  <c r="AI3324"/>
  <c r="B3325"/>
  <c r="H3325"/>
  <c r="AI3325"/>
  <c r="B3326"/>
  <c r="H3326"/>
  <c r="AI3326"/>
  <c r="B3327"/>
  <c r="H3327"/>
  <c r="AI3327"/>
  <c r="B3328"/>
  <c r="H3328"/>
  <c r="AI3328"/>
  <c r="B3329"/>
  <c r="H3329"/>
  <c r="AI3329"/>
  <c r="B3330"/>
  <c r="H3330"/>
  <c r="AI3330"/>
  <c r="B3331"/>
  <c r="H3331"/>
  <c r="AI3331"/>
  <c r="B3332"/>
  <c r="H3332"/>
  <c r="AI3332"/>
  <c r="B3333"/>
  <c r="H3333"/>
  <c r="AI3333"/>
  <c r="B3334"/>
  <c r="H3334"/>
  <c r="AI3334"/>
  <c r="B3335"/>
  <c r="H3335"/>
  <c r="AI3335"/>
  <c r="B3336"/>
  <c r="H3336"/>
  <c r="AI3336"/>
  <c r="B3337"/>
  <c r="H3337"/>
  <c r="AI3337"/>
  <c r="B3338"/>
  <c r="H3338"/>
  <c r="AI3338"/>
  <c r="B3339"/>
  <c r="H3339"/>
  <c r="AI3339"/>
  <c r="B3340"/>
  <c r="H3340"/>
  <c r="AI3340"/>
  <c r="B3341"/>
  <c r="H3341"/>
  <c r="AI3341"/>
  <c r="B3342"/>
  <c r="H3342"/>
  <c r="AI3342"/>
  <c r="B3343"/>
  <c r="H3343"/>
  <c r="AI3343"/>
  <c r="B3344"/>
  <c r="H3344"/>
  <c r="AI3344"/>
  <c r="B3345"/>
  <c r="H3345"/>
  <c r="AI3345"/>
  <c r="B3346"/>
  <c r="H3346"/>
  <c r="AI3346"/>
  <c r="B3347"/>
  <c r="H3347"/>
  <c r="AI3347"/>
  <c r="B3348"/>
  <c r="H3348"/>
  <c r="AI3348"/>
  <c r="B3349"/>
  <c r="H3349"/>
  <c r="AI3349"/>
  <c r="B3350"/>
  <c r="H3350"/>
  <c r="AI3350"/>
  <c r="B3351"/>
  <c r="H3351"/>
  <c r="AI3351"/>
  <c r="B3352"/>
  <c r="H3352"/>
  <c r="AI3352"/>
  <c r="B3353"/>
  <c r="H3353"/>
  <c r="AI3353"/>
  <c r="B3354"/>
  <c r="H3354"/>
  <c r="AI3354"/>
  <c r="B3355"/>
  <c r="H3355"/>
  <c r="AI3355"/>
  <c r="B3356"/>
  <c r="H3356"/>
  <c r="AI3356"/>
  <c r="B3357"/>
  <c r="H3357"/>
  <c r="AI3357"/>
  <c r="B3358"/>
  <c r="H3358"/>
  <c r="AI3358"/>
  <c r="B3359"/>
  <c r="H3359"/>
  <c r="AI3359"/>
  <c r="B3360"/>
  <c r="H3360"/>
  <c r="AI3360"/>
  <c r="B3361"/>
  <c r="H3361"/>
  <c r="AI3361"/>
  <c r="B3362"/>
  <c r="H3362"/>
  <c r="AI3362"/>
  <c r="B3363"/>
  <c r="H3363"/>
  <c r="AI3363"/>
  <c r="B3364"/>
  <c r="H3364"/>
  <c r="AI3364"/>
  <c r="B3365"/>
  <c r="H3365"/>
  <c r="AI3365"/>
  <c r="B3366"/>
  <c r="H3366"/>
  <c r="AI3366"/>
  <c r="B3367"/>
  <c r="H3367"/>
  <c r="AI3367"/>
  <c r="B3368"/>
  <c r="H3368"/>
  <c r="AI3368"/>
  <c r="B3369"/>
  <c r="H3369"/>
  <c r="AI3369"/>
  <c r="B3370"/>
  <c r="H3370"/>
  <c r="AI3370"/>
  <c r="B3371"/>
  <c r="H3371"/>
  <c r="AI3371"/>
  <c r="B3372"/>
  <c r="H3372"/>
  <c r="AI3372"/>
  <c r="B3373"/>
  <c r="H3373"/>
  <c r="AI3373"/>
  <c r="B3374"/>
  <c r="H3374"/>
  <c r="AI3374"/>
  <c r="B3375"/>
  <c r="H3375"/>
  <c r="AI3375"/>
  <c r="B3376"/>
  <c r="H3376"/>
  <c r="AI3376"/>
  <c r="B3377"/>
  <c r="H3377"/>
  <c r="AI3377"/>
  <c r="B3378"/>
  <c r="H3378"/>
  <c r="AI3378"/>
  <c r="B3379"/>
  <c r="H3379"/>
  <c r="AI3379"/>
  <c r="B3380"/>
  <c r="H3380"/>
  <c r="AI3380"/>
  <c r="B3381"/>
  <c r="H3381"/>
  <c r="AI3381"/>
  <c r="B3382"/>
  <c r="H3382"/>
  <c r="AI3382"/>
  <c r="B3383"/>
  <c r="H3383"/>
  <c r="AI3383"/>
  <c r="B3384"/>
  <c r="H3384"/>
  <c r="AI3384"/>
  <c r="B3385"/>
  <c r="H3385"/>
  <c r="AI3385"/>
  <c r="B3386"/>
  <c r="H3386"/>
  <c r="AI3386"/>
  <c r="B3387"/>
  <c r="H3387"/>
  <c r="AI3387"/>
  <c r="B3388"/>
  <c r="H3388"/>
  <c r="AI3388"/>
  <c r="B3389"/>
  <c r="H3389"/>
  <c r="AI3389"/>
  <c r="B3390"/>
  <c r="H3390"/>
  <c r="AI3390"/>
  <c r="B3391"/>
  <c r="H3391"/>
  <c r="AI3391"/>
  <c r="B3392"/>
  <c r="H3392"/>
  <c r="AI3392"/>
  <c r="B3393"/>
  <c r="H3393"/>
  <c r="AI3393"/>
  <c r="B3394"/>
  <c r="H3394"/>
  <c r="AI3394"/>
  <c r="B3395"/>
  <c r="H3395"/>
  <c r="AI3395"/>
  <c r="B3396"/>
  <c r="H3396"/>
  <c r="AI3396"/>
  <c r="B3397"/>
  <c r="H3397"/>
  <c r="AI3397"/>
  <c r="B3398"/>
  <c r="H3398"/>
  <c r="AI3398"/>
  <c r="B3399"/>
  <c r="H3399"/>
  <c r="AI3399"/>
  <c r="B3400"/>
  <c r="H3400"/>
  <c r="AI3400"/>
  <c r="B3401"/>
  <c r="H3401"/>
  <c r="AI3401"/>
  <c r="B3402"/>
  <c r="H3402"/>
  <c r="AI3402"/>
  <c r="B3403"/>
  <c r="H3403"/>
  <c r="AI3403"/>
  <c r="B3404"/>
  <c r="H3404"/>
  <c r="AI3404"/>
  <c r="B3405"/>
  <c r="H3405"/>
  <c r="AI3405"/>
  <c r="B3406"/>
  <c r="H3406"/>
  <c r="AI3406"/>
  <c r="B3407"/>
  <c r="H3407"/>
  <c r="AI3407"/>
  <c r="B3408"/>
  <c r="H3408"/>
  <c r="AI3408"/>
  <c r="B3409"/>
  <c r="H3409"/>
  <c r="AI3409"/>
  <c r="B3410"/>
  <c r="H3410"/>
  <c r="AI3410"/>
  <c r="B3411"/>
  <c r="H3411"/>
  <c r="AI3411"/>
  <c r="B3412"/>
  <c r="H3412"/>
  <c r="AI3412"/>
  <c r="B3413"/>
  <c r="H3413"/>
  <c r="AI3413"/>
  <c r="B3414"/>
  <c r="H3414"/>
  <c r="AI3414"/>
  <c r="B3415"/>
  <c r="H3415"/>
  <c r="AI3415"/>
  <c r="B3416"/>
  <c r="H3416"/>
  <c r="AI3416"/>
  <c r="B3417"/>
  <c r="H3417"/>
  <c r="AI3417"/>
  <c r="B3418"/>
  <c r="H3418"/>
  <c r="AI3418"/>
  <c r="B3419"/>
  <c r="H3419"/>
  <c r="AI3419"/>
  <c r="B3420"/>
  <c r="H3420"/>
  <c r="AI3420"/>
  <c r="B3421"/>
  <c r="H3421"/>
  <c r="AI3421"/>
  <c r="B3422"/>
  <c r="H3422"/>
  <c r="AI3422"/>
  <c r="B3423"/>
  <c r="H3423"/>
  <c r="AI3423"/>
  <c r="B3424"/>
  <c r="H3424"/>
  <c r="AI3424"/>
  <c r="B3425"/>
  <c r="H3425"/>
  <c r="AI3425"/>
  <c r="B3426"/>
  <c r="H3426"/>
  <c r="AI3426"/>
  <c r="B3427"/>
  <c r="H3427"/>
  <c r="AI3427"/>
  <c r="B3428"/>
  <c r="H3428"/>
  <c r="AI3428"/>
  <c r="B3429"/>
  <c r="H3429"/>
  <c r="AI3429"/>
  <c r="B3430"/>
  <c r="H3430"/>
  <c r="AI3430"/>
  <c r="B3431"/>
  <c r="H3431"/>
  <c r="AI3431"/>
  <c r="B3432"/>
  <c r="H3432"/>
  <c r="AI3432"/>
  <c r="B3433"/>
  <c r="H3433"/>
  <c r="AI3433"/>
  <c r="B3434"/>
  <c r="H3434"/>
  <c r="AI3434"/>
  <c r="B3435"/>
  <c r="H3435"/>
  <c r="AI3435"/>
  <c r="B3436"/>
  <c r="H3436"/>
  <c r="AI3436"/>
  <c r="B3437"/>
  <c r="H3437"/>
  <c r="AI3437"/>
  <c r="B3438"/>
  <c r="H3438"/>
  <c r="AI3438"/>
  <c r="B3439"/>
  <c r="H3439"/>
  <c r="AI3439"/>
  <c r="B3440"/>
  <c r="H3440"/>
  <c r="AI3440"/>
  <c r="B3441"/>
  <c r="H3441"/>
  <c r="AI3441"/>
  <c r="B3442"/>
  <c r="H3442"/>
  <c r="AI3442"/>
  <c r="B3443"/>
  <c r="H3443"/>
  <c r="AI3443"/>
  <c r="B3444"/>
  <c r="H3444"/>
  <c r="AI3444"/>
  <c r="B3445"/>
  <c r="H3445"/>
  <c r="AI3445"/>
  <c r="B3446"/>
  <c r="H3446"/>
  <c r="AI3446"/>
  <c r="B3447"/>
  <c r="H3447"/>
  <c r="AI3447"/>
  <c r="B3448"/>
  <c r="H3448"/>
  <c r="AI3448"/>
  <c r="B3449"/>
  <c r="H3449"/>
  <c r="AI3449"/>
  <c r="B3450"/>
  <c r="H3450"/>
  <c r="AI3450"/>
  <c r="B3451"/>
  <c r="H3451"/>
  <c r="AI3451"/>
  <c r="B3452"/>
  <c r="H3452"/>
  <c r="AI3452"/>
  <c r="B3453"/>
  <c r="H3453"/>
  <c r="AI3453"/>
  <c r="B3454"/>
  <c r="H3454"/>
  <c r="AI3454"/>
  <c r="B3455"/>
  <c r="H3455"/>
  <c r="AI3455"/>
  <c r="B3456"/>
  <c r="H3456"/>
  <c r="AI3456"/>
  <c r="B3457"/>
  <c r="H3457"/>
  <c r="AI3457"/>
  <c r="B3458"/>
  <c r="H3458"/>
  <c r="AI3458"/>
  <c r="B3459"/>
  <c r="H3459"/>
  <c r="AI3459"/>
  <c r="B3460"/>
  <c r="H3460"/>
  <c r="AI3460"/>
  <c r="B3461"/>
  <c r="H3461"/>
  <c r="AI3461"/>
  <c r="B3462"/>
  <c r="H3462"/>
  <c r="AI3462"/>
  <c r="B3463"/>
  <c r="H3463"/>
  <c r="AI3463"/>
  <c r="B3464"/>
  <c r="H3464"/>
  <c r="AI3464"/>
  <c r="B3465"/>
  <c r="H3465"/>
  <c r="AI3465"/>
  <c r="B3466"/>
  <c r="H3466"/>
  <c r="AI3466"/>
  <c r="B3467"/>
  <c r="H3467"/>
  <c r="AI3467"/>
  <c r="B3468"/>
  <c r="H3468"/>
  <c r="AI3468"/>
  <c r="B3469"/>
  <c r="H3469"/>
  <c r="AI3469"/>
  <c r="B3470"/>
  <c r="H3470"/>
  <c r="AI3470"/>
  <c r="B3471"/>
  <c r="H3471"/>
  <c r="AI3471"/>
  <c r="B3472"/>
  <c r="H3472"/>
  <c r="AI3472"/>
  <c r="B3473"/>
  <c r="H3473"/>
  <c r="AI3473"/>
  <c r="B3474"/>
  <c r="H3474"/>
  <c r="AI3474"/>
  <c r="B3475"/>
  <c r="H3475"/>
  <c r="AI3475"/>
  <c r="B3476"/>
  <c r="H3476"/>
  <c r="AI3476"/>
  <c r="B3477"/>
  <c r="H3477"/>
  <c r="AI3477"/>
  <c r="B3478"/>
  <c r="H3478"/>
  <c r="AI3478"/>
  <c r="B3479"/>
  <c r="H3479"/>
  <c r="AI3479"/>
  <c r="B3480"/>
  <c r="H3480"/>
  <c r="AI3480"/>
  <c r="B3481"/>
  <c r="H3481"/>
  <c r="AI3481"/>
  <c r="B3482"/>
  <c r="H3482"/>
  <c r="AI3482"/>
  <c r="B3483"/>
  <c r="H3483"/>
  <c r="AI3483"/>
  <c r="B3484"/>
  <c r="H3484"/>
  <c r="AI3484"/>
  <c r="B3485"/>
  <c r="H3485"/>
  <c r="AI3485"/>
  <c r="B3486"/>
  <c r="H3486"/>
  <c r="AI3486"/>
  <c r="B3487"/>
  <c r="H3487"/>
  <c r="AI3487"/>
  <c r="B3488"/>
  <c r="H3488"/>
  <c r="AI3488"/>
  <c r="B3489"/>
  <c r="H3489"/>
  <c r="AI3489"/>
  <c r="B3490"/>
  <c r="H3490"/>
  <c r="AI3490"/>
  <c r="B3491"/>
  <c r="H3491"/>
  <c r="AI3491"/>
  <c r="B3492"/>
  <c r="H3492"/>
  <c r="AI3492"/>
  <c r="B3493"/>
  <c r="H3493"/>
  <c r="AI3493"/>
  <c r="B3494"/>
  <c r="H3494"/>
  <c r="AI3494"/>
  <c r="B3495"/>
  <c r="H3495"/>
  <c r="AI3495"/>
  <c r="B3496"/>
  <c r="H3496"/>
  <c r="AI3496"/>
  <c r="B3497"/>
  <c r="H3497"/>
  <c r="AI3497"/>
  <c r="B3498"/>
  <c r="H3498"/>
  <c r="AI3498"/>
  <c r="B3499"/>
  <c r="H3499"/>
  <c r="AI3499"/>
  <c r="B3500"/>
  <c r="H3500"/>
  <c r="AI3500"/>
  <c r="B3501"/>
  <c r="H3501"/>
  <c r="AI3501"/>
  <c r="B3502"/>
  <c r="H3502"/>
  <c r="AI3502"/>
  <c r="B3503"/>
  <c r="H3503"/>
  <c r="AI3503"/>
  <c r="B3504"/>
  <c r="H3504"/>
  <c r="AI3504"/>
  <c r="B3505"/>
  <c r="H3505"/>
  <c r="AI3505"/>
  <c r="B3506"/>
  <c r="H3506"/>
  <c r="AI3506"/>
  <c r="B3507"/>
  <c r="H3507"/>
  <c r="AI3507"/>
  <c r="B3508"/>
  <c r="H3508"/>
  <c r="AI3508"/>
  <c r="B3509"/>
  <c r="H3509"/>
  <c r="AI3509"/>
  <c r="B3510"/>
  <c r="H3510"/>
  <c r="AI3510"/>
  <c r="B3511"/>
  <c r="H3511"/>
  <c r="AI3511"/>
  <c r="B3512"/>
  <c r="H3512"/>
  <c r="AI3512"/>
  <c r="B3513"/>
  <c r="H3513"/>
  <c r="AI3513"/>
  <c r="B3514"/>
  <c r="H3514"/>
  <c r="AI3514"/>
  <c r="B3515"/>
  <c r="H3515"/>
  <c r="AI3515"/>
  <c r="B3516"/>
  <c r="H3516"/>
  <c r="AI3516"/>
  <c r="B3517"/>
  <c r="H3517"/>
  <c r="AI3517"/>
  <c r="B3518"/>
  <c r="H3518"/>
  <c r="AI3518"/>
  <c r="B3519"/>
  <c r="H3519"/>
  <c r="AI3519"/>
  <c r="B3520"/>
  <c r="H3520"/>
  <c r="AI3520"/>
  <c r="B3521"/>
  <c r="H3521"/>
  <c r="AI3521"/>
  <c r="B3522"/>
  <c r="H3522"/>
  <c r="AI3522"/>
  <c r="B3523"/>
  <c r="H3523"/>
  <c r="AI3523"/>
  <c r="B3524"/>
  <c r="H3524"/>
  <c r="AI3524"/>
  <c r="B3525"/>
  <c r="H3525"/>
  <c r="AI3525"/>
  <c r="B3526"/>
  <c r="H3526"/>
  <c r="AI3526"/>
  <c r="B3527"/>
  <c r="H3527"/>
  <c r="AI3527"/>
  <c r="B3528"/>
  <c r="H3528"/>
  <c r="AI3528"/>
  <c r="B3529"/>
  <c r="H3529"/>
  <c r="AI3529"/>
  <c r="B3530"/>
  <c r="H3530"/>
  <c r="AI3530"/>
  <c r="B3531"/>
  <c r="H3531"/>
  <c r="AI3531"/>
  <c r="B3532"/>
  <c r="H3532"/>
  <c r="AI3532"/>
  <c r="B3533"/>
  <c r="H3533"/>
  <c r="AI3533"/>
  <c r="B3534"/>
  <c r="H3534"/>
  <c r="AI3534"/>
  <c r="B3535"/>
  <c r="H3535"/>
  <c r="AI3535"/>
  <c r="B3536"/>
  <c r="H3536"/>
  <c r="AI3536"/>
  <c r="B3537"/>
  <c r="H3537"/>
  <c r="AI3537"/>
  <c r="B3538"/>
  <c r="H3538"/>
  <c r="AI3538"/>
  <c r="B3539"/>
  <c r="H3539"/>
  <c r="AI3539"/>
  <c r="B3540"/>
  <c r="H3540"/>
  <c r="AI3540"/>
  <c r="B3541"/>
  <c r="H3541"/>
  <c r="AI3541"/>
  <c r="B3542"/>
  <c r="H3542"/>
  <c r="AI3542"/>
  <c r="B3543"/>
  <c r="H3543"/>
  <c r="AI3543"/>
  <c r="B3544"/>
  <c r="H3544"/>
  <c r="AI3544"/>
  <c r="B3545"/>
  <c r="H3545"/>
  <c r="AI3545"/>
  <c r="B3546"/>
  <c r="H3546"/>
  <c r="AI3546"/>
  <c r="B3547"/>
  <c r="H3547"/>
  <c r="AI3547"/>
  <c r="B3548"/>
  <c r="H3548"/>
  <c r="AI3548"/>
  <c r="B3549"/>
  <c r="H3549"/>
  <c r="AI3549"/>
  <c r="B3550"/>
  <c r="H3550"/>
  <c r="AI3550"/>
  <c r="B3551"/>
  <c r="H3551"/>
  <c r="AI3551"/>
  <c r="B3552"/>
  <c r="H3552"/>
  <c r="AI3552"/>
  <c r="B3553"/>
  <c r="H3553"/>
  <c r="AI3553"/>
  <c r="B3554"/>
  <c r="H3554"/>
  <c r="AI3554"/>
  <c r="B3555"/>
  <c r="H3555"/>
  <c r="AI3555"/>
  <c r="B3556"/>
  <c r="H3556"/>
  <c r="AI3556"/>
  <c r="B3557"/>
  <c r="H3557"/>
  <c r="AI3557"/>
  <c r="B3558"/>
  <c r="H3558"/>
  <c r="AI3558"/>
  <c r="B3559"/>
  <c r="H3559"/>
  <c r="AI3559"/>
  <c r="B3560"/>
  <c r="H3560"/>
  <c r="AI3560"/>
  <c r="B3561"/>
  <c r="H3561"/>
  <c r="AI3561"/>
  <c r="B3562"/>
  <c r="H3562"/>
  <c r="AI3562"/>
  <c r="B3563"/>
  <c r="H3563"/>
  <c r="AI3563"/>
  <c r="B3564"/>
  <c r="H3564"/>
  <c r="AI3564"/>
  <c r="B3565"/>
  <c r="H3565"/>
  <c r="AI3565"/>
  <c r="B3566"/>
  <c r="H3566"/>
  <c r="AI3566"/>
  <c r="B3567"/>
  <c r="H3567"/>
  <c r="AI3567"/>
  <c r="B3568"/>
  <c r="H3568"/>
  <c r="AI3568"/>
  <c r="B3569"/>
  <c r="H3569"/>
  <c r="AI3569"/>
  <c r="B3570"/>
  <c r="H3570"/>
  <c r="AI3570"/>
  <c r="B3571"/>
  <c r="H3571"/>
  <c r="AI3571"/>
  <c r="B3572"/>
  <c r="H3572"/>
  <c r="AI3572"/>
  <c r="B3573"/>
  <c r="H3573"/>
  <c r="AI3573"/>
  <c r="B3574"/>
  <c r="H3574"/>
  <c r="AI3574"/>
  <c r="B3575"/>
  <c r="H3575"/>
  <c r="AI3575"/>
  <c r="B3576"/>
  <c r="H3576"/>
  <c r="AI3576"/>
  <c r="B3577"/>
  <c r="H3577"/>
  <c r="AI3577"/>
  <c r="B3578"/>
  <c r="H3578"/>
  <c r="AI3578"/>
  <c r="B3579"/>
  <c r="H3579"/>
  <c r="AI3579"/>
  <c r="B3580"/>
  <c r="H3580"/>
  <c r="AI3580"/>
  <c r="B3581"/>
  <c r="H3581"/>
  <c r="AI3581"/>
  <c r="B3582"/>
  <c r="H3582"/>
  <c r="AI3582"/>
  <c r="B3583"/>
  <c r="H3583"/>
  <c r="AI3583"/>
  <c r="B3584"/>
  <c r="H3584"/>
  <c r="AI3584"/>
  <c r="B3585"/>
  <c r="H3585"/>
  <c r="AI3585"/>
  <c r="B3586"/>
  <c r="H3586"/>
  <c r="AI3586"/>
  <c r="B3587"/>
  <c r="H3587"/>
  <c r="AI3587"/>
  <c r="B3588"/>
  <c r="H3588"/>
  <c r="AI3588"/>
  <c r="B3589"/>
  <c r="H3589"/>
  <c r="AI3589"/>
  <c r="B3590"/>
  <c r="H3590"/>
  <c r="AI3590"/>
  <c r="B3591"/>
  <c r="H3591"/>
  <c r="AI3591"/>
  <c r="B3592"/>
  <c r="H3592"/>
  <c r="AI3592"/>
  <c r="B3593"/>
  <c r="H3593"/>
  <c r="AI3593"/>
  <c r="B3594"/>
  <c r="H3594"/>
  <c r="AI3594"/>
  <c r="B3595"/>
  <c r="H3595"/>
  <c r="AI3595"/>
  <c r="B3596"/>
  <c r="H3596"/>
  <c r="AI3596"/>
  <c r="B3597"/>
  <c r="H3597"/>
  <c r="AI3597"/>
  <c r="B3598"/>
  <c r="H3598"/>
  <c r="AI3598"/>
  <c r="B3599"/>
  <c r="H3599"/>
  <c r="AI3599"/>
  <c r="B3600"/>
  <c r="H3600"/>
  <c r="AI3600"/>
  <c r="B3601"/>
  <c r="H3601"/>
  <c r="AI3601"/>
  <c r="B3602"/>
  <c r="H3602"/>
  <c r="AI3602"/>
  <c r="B3603"/>
  <c r="H3603"/>
  <c r="AI3603"/>
  <c r="B3604"/>
  <c r="H3604"/>
  <c r="AI3604"/>
  <c r="B3605"/>
  <c r="H3605"/>
  <c r="AI3605"/>
  <c r="B3606"/>
  <c r="H3606"/>
  <c r="AI3606"/>
  <c r="B3607"/>
  <c r="H3607"/>
  <c r="AI3607"/>
  <c r="B3608"/>
  <c r="H3608"/>
  <c r="AI3608"/>
  <c r="B3609"/>
  <c r="H3609"/>
  <c r="AI3609"/>
  <c r="B3610"/>
  <c r="H3610"/>
  <c r="AI3610"/>
  <c r="B3611"/>
  <c r="H3611"/>
  <c r="AI3611"/>
  <c r="B3612"/>
  <c r="H3612"/>
  <c r="AI3612"/>
  <c r="B3613"/>
  <c r="H3613"/>
  <c r="AI3613"/>
  <c r="B3614"/>
  <c r="H3614"/>
  <c r="AI3614"/>
  <c r="B3615"/>
  <c r="H3615"/>
  <c r="AI3615"/>
  <c r="B3616"/>
  <c r="H3616"/>
  <c r="AI3616"/>
  <c r="B3617"/>
  <c r="H3617"/>
  <c r="AI3617"/>
  <c r="B3618"/>
  <c r="H3618"/>
  <c r="AI3618"/>
  <c r="B3619"/>
  <c r="H3619"/>
  <c r="AI3619"/>
  <c r="B3620"/>
  <c r="H3620"/>
  <c r="AI3620"/>
  <c r="B3621"/>
  <c r="H3621"/>
  <c r="AI3621"/>
  <c r="B3622"/>
  <c r="H3622"/>
  <c r="AI3622"/>
  <c r="B3623"/>
  <c r="H3623"/>
  <c r="AI3623"/>
  <c r="B3624"/>
  <c r="H3624"/>
  <c r="AI3624"/>
  <c r="B3625"/>
  <c r="H3625"/>
  <c r="AI3625"/>
  <c r="B3626"/>
  <c r="H3626"/>
  <c r="AI3626"/>
  <c r="B3627"/>
  <c r="H3627"/>
  <c r="AI3627"/>
  <c r="B3628"/>
  <c r="H3628"/>
  <c r="AI3628"/>
  <c r="B3629"/>
  <c r="H3629"/>
  <c r="AI3629"/>
  <c r="B3630"/>
  <c r="H3630"/>
  <c r="AI3630"/>
  <c r="B3631"/>
  <c r="H3631"/>
  <c r="AI3631"/>
  <c r="B3632"/>
  <c r="H3632"/>
  <c r="AI3632"/>
  <c r="B3633"/>
  <c r="H3633"/>
  <c r="AI3633"/>
  <c r="B3634"/>
  <c r="H3634"/>
  <c r="AI3634"/>
  <c r="B3635"/>
  <c r="H3635"/>
  <c r="AI3635"/>
  <c r="B3636"/>
  <c r="H3636"/>
  <c r="AI3636"/>
  <c r="B3637"/>
  <c r="H3637"/>
  <c r="AI3637"/>
  <c r="B3638"/>
  <c r="H3638"/>
  <c r="AI3638"/>
  <c r="B3639"/>
  <c r="H3639"/>
  <c r="AI3639"/>
  <c r="B3640"/>
  <c r="H3640"/>
  <c r="AI3640"/>
  <c r="B3641"/>
  <c r="H3641"/>
  <c r="AI3641"/>
  <c r="B3642"/>
  <c r="H3642"/>
  <c r="AI3642"/>
  <c r="B3643"/>
  <c r="H3643"/>
  <c r="AI3643"/>
  <c r="B3644"/>
  <c r="H3644"/>
  <c r="AI3644"/>
  <c r="B3645"/>
  <c r="H3645"/>
  <c r="AI3645"/>
  <c r="B3646"/>
  <c r="H3646"/>
  <c r="AI3646"/>
  <c r="B3647"/>
  <c r="H3647"/>
  <c r="AI3647"/>
  <c r="B3648"/>
  <c r="H3648"/>
  <c r="AI3648"/>
  <c r="B3649"/>
  <c r="H3649"/>
  <c r="AI3649"/>
  <c r="B3650"/>
  <c r="H3650"/>
  <c r="AI3650"/>
  <c r="B3651"/>
  <c r="H3651"/>
  <c r="AI3651"/>
  <c r="B3652"/>
  <c r="H3652"/>
  <c r="AI3652"/>
  <c r="B3653"/>
  <c r="H3653"/>
  <c r="AI3653"/>
  <c r="B3654"/>
  <c r="H3654"/>
  <c r="AI3654"/>
  <c r="B3655"/>
  <c r="H3655"/>
  <c r="AI3655"/>
  <c r="B3656"/>
  <c r="H3656"/>
  <c r="AI3656"/>
  <c r="B3657"/>
  <c r="H3657"/>
  <c r="AI3657"/>
  <c r="B3658"/>
  <c r="H3658"/>
  <c r="AI3658"/>
  <c r="B3659"/>
  <c r="H3659"/>
  <c r="AI3659"/>
  <c r="B3660"/>
  <c r="H3660"/>
  <c r="AI3660"/>
  <c r="B3661"/>
  <c r="H3661"/>
  <c r="AI3661"/>
  <c r="B3662"/>
  <c r="H3662"/>
  <c r="AI3662"/>
  <c r="B3663"/>
  <c r="H3663"/>
  <c r="AI3663"/>
  <c r="B3664"/>
  <c r="H3664"/>
  <c r="AI3664"/>
  <c r="B3665"/>
  <c r="H3665"/>
  <c r="AI3665"/>
  <c r="B3666"/>
  <c r="H3666"/>
  <c r="AI3666"/>
  <c r="B3667"/>
  <c r="H3667"/>
  <c r="AI3667"/>
  <c r="B3668"/>
  <c r="H3668"/>
  <c r="AI3668"/>
  <c r="B3669"/>
  <c r="H3669"/>
  <c r="AI3669"/>
  <c r="B3670"/>
  <c r="H3670"/>
  <c r="AI3670"/>
  <c r="B3671"/>
  <c r="H3671"/>
  <c r="AI3671"/>
  <c r="B3672"/>
  <c r="H3672"/>
  <c r="AI3672"/>
  <c r="B3673"/>
  <c r="H3673"/>
  <c r="AI3673"/>
  <c r="B3674"/>
  <c r="H3674"/>
  <c r="AI3674"/>
  <c r="B3675"/>
  <c r="H3675"/>
  <c r="AI3675"/>
  <c r="B3676"/>
  <c r="H3676"/>
  <c r="AI3676"/>
  <c r="B3677"/>
  <c r="H3677"/>
  <c r="AI3677"/>
  <c r="B3678"/>
  <c r="H3678"/>
  <c r="AI3678"/>
  <c r="B3679"/>
  <c r="H3679"/>
  <c r="AI3679"/>
  <c r="B3680"/>
  <c r="H3680"/>
  <c r="AI3680"/>
  <c r="B3681"/>
  <c r="H3681"/>
  <c r="AI3681"/>
  <c r="B3682"/>
  <c r="H3682"/>
  <c r="AI3682"/>
  <c r="B3683"/>
  <c r="H3683"/>
  <c r="AI3683"/>
  <c r="B3684"/>
  <c r="H3684"/>
  <c r="AI3684"/>
  <c r="B3685"/>
  <c r="H3685"/>
  <c r="AI3685"/>
  <c r="B3686"/>
  <c r="H3686"/>
  <c r="AI3686"/>
  <c r="B3687"/>
  <c r="H3687"/>
  <c r="AI3687"/>
  <c r="B3688"/>
  <c r="H3688"/>
  <c r="AI3688"/>
  <c r="B3689"/>
  <c r="H3689"/>
  <c r="AI3689"/>
  <c r="B3690"/>
  <c r="H3690"/>
  <c r="AI3690"/>
  <c r="B3691"/>
  <c r="H3691"/>
  <c r="AI3691"/>
  <c r="B3692"/>
  <c r="H3692"/>
  <c r="AI3692"/>
  <c r="B3693"/>
  <c r="H3693"/>
  <c r="AI3693"/>
  <c r="B3694"/>
  <c r="H3694"/>
  <c r="AI3694"/>
  <c r="B3695"/>
  <c r="H3695"/>
  <c r="AI3695"/>
  <c r="B3696"/>
  <c r="H3696"/>
  <c r="AI3696"/>
  <c r="B3697"/>
  <c r="H3697"/>
  <c r="AI3697"/>
  <c r="B3698"/>
  <c r="H3698"/>
  <c r="AI3698"/>
  <c r="B3699"/>
  <c r="H3699"/>
  <c r="AI3699"/>
  <c r="B3700"/>
  <c r="H3700"/>
  <c r="AI3700"/>
  <c r="B3701"/>
  <c r="H3701"/>
  <c r="AI3701"/>
  <c r="B3702"/>
  <c r="H3702"/>
  <c r="AI3702"/>
  <c r="B3703"/>
  <c r="H3703"/>
  <c r="AI3703"/>
  <c r="B3704"/>
  <c r="H3704"/>
  <c r="AI3704"/>
  <c r="B3705"/>
  <c r="H3705"/>
  <c r="AI3705"/>
  <c r="B3706"/>
  <c r="H3706"/>
  <c r="AI3706"/>
  <c r="B3707"/>
  <c r="H3707"/>
  <c r="AI3707"/>
  <c r="B3708"/>
  <c r="H3708"/>
  <c r="AI3708"/>
  <c r="B3709"/>
  <c r="H3709"/>
  <c r="AI3709"/>
  <c r="B3710"/>
  <c r="H3710"/>
  <c r="AI3710"/>
  <c r="B3711"/>
  <c r="H3711"/>
  <c r="AI3711"/>
  <c r="B3712"/>
  <c r="H3712"/>
  <c r="AI3712"/>
  <c r="B3713"/>
  <c r="H3713"/>
  <c r="AI3713"/>
  <c r="B3714"/>
  <c r="H3714"/>
  <c r="AI3714"/>
  <c r="B3715"/>
  <c r="H3715"/>
  <c r="AI3715"/>
  <c r="B3716"/>
  <c r="H3716"/>
  <c r="AI3716"/>
  <c r="B3717"/>
  <c r="H3717"/>
  <c r="AI3717"/>
  <c r="B3718"/>
  <c r="H3718"/>
  <c r="AI3718"/>
  <c r="B3719"/>
  <c r="H3719"/>
  <c r="AI3719"/>
  <c r="B3720"/>
  <c r="H3720"/>
  <c r="AI3720"/>
  <c r="B3721"/>
  <c r="H3721"/>
  <c r="AI3721"/>
  <c r="B3722"/>
  <c r="H3722"/>
  <c r="AI3722"/>
  <c r="B3723"/>
  <c r="H3723"/>
  <c r="AI3723"/>
  <c r="B3724"/>
  <c r="H3724"/>
  <c r="AI3724"/>
  <c r="B3725"/>
  <c r="H3725"/>
  <c r="AI3725"/>
  <c r="B3726"/>
  <c r="H3726"/>
  <c r="AI3726"/>
  <c r="B3727"/>
  <c r="H3727"/>
  <c r="AI3727"/>
  <c r="B3728"/>
  <c r="H3728"/>
  <c r="AI3728"/>
  <c r="B3729"/>
  <c r="H3729"/>
  <c r="AI3729"/>
  <c r="B3730"/>
  <c r="H3730"/>
  <c r="AI3730"/>
  <c r="B3731"/>
  <c r="H3731"/>
  <c r="AI3731"/>
  <c r="B3732"/>
  <c r="H3732"/>
  <c r="AI3732"/>
  <c r="B3733"/>
  <c r="H3733"/>
  <c r="AI3733"/>
  <c r="B3734"/>
  <c r="H3734"/>
  <c r="AI3734"/>
  <c r="B3735"/>
  <c r="H3735"/>
  <c r="AI3735"/>
  <c r="B3736"/>
  <c r="H3736"/>
  <c r="AI3736"/>
  <c r="B3737"/>
  <c r="H3737"/>
  <c r="AI3737"/>
  <c r="B3738"/>
  <c r="H3738"/>
  <c r="AI3738"/>
  <c r="B3739"/>
  <c r="H3739"/>
  <c r="AI3739"/>
  <c r="B3740"/>
  <c r="H3740"/>
  <c r="AI3740"/>
  <c r="B3741"/>
  <c r="H3741"/>
  <c r="AI3741"/>
  <c r="B3742"/>
  <c r="H3742"/>
  <c r="AI3742"/>
  <c r="B3743"/>
  <c r="H3743"/>
  <c r="AI3743"/>
  <c r="B3744"/>
  <c r="H3744"/>
  <c r="AI3744"/>
  <c r="B3745"/>
  <c r="H3745"/>
  <c r="AI3745"/>
  <c r="B3746"/>
  <c r="H3746"/>
  <c r="AI3746"/>
  <c r="B3747"/>
  <c r="H3747"/>
  <c r="AI3747"/>
  <c r="B3748"/>
  <c r="H3748"/>
  <c r="AI3748"/>
  <c r="B3749"/>
  <c r="H3749"/>
  <c r="AI3749"/>
  <c r="B3750"/>
  <c r="H3750"/>
  <c r="AI3750"/>
  <c r="B3751"/>
  <c r="H3751"/>
  <c r="AI3751"/>
  <c r="B3752"/>
  <c r="H3752"/>
  <c r="AI3752"/>
  <c r="B3753"/>
  <c r="H3753"/>
  <c r="AI3753"/>
  <c r="B3754"/>
  <c r="H3754"/>
  <c r="AI3754"/>
  <c r="B3755"/>
  <c r="H3755"/>
  <c r="AI3755"/>
  <c r="B3756"/>
  <c r="H3756"/>
  <c r="AI3756"/>
  <c r="B3757"/>
  <c r="H3757"/>
  <c r="AI3757"/>
  <c r="B3758"/>
  <c r="H3758"/>
  <c r="AI3758"/>
  <c r="B3759"/>
  <c r="H3759"/>
  <c r="AI3759"/>
  <c r="B3760"/>
  <c r="H3760"/>
  <c r="AI3760"/>
  <c r="B3761"/>
  <c r="H3761"/>
  <c r="AI3761"/>
  <c r="B3762"/>
  <c r="H3762"/>
  <c r="AI3762"/>
  <c r="B3763"/>
  <c r="H3763"/>
  <c r="AI3763"/>
  <c r="B3764"/>
  <c r="H3764"/>
  <c r="AI3764"/>
  <c r="B3765"/>
  <c r="H3765"/>
  <c r="AI3765"/>
  <c r="B3766"/>
  <c r="H3766"/>
  <c r="AI3766"/>
  <c r="B3767"/>
  <c r="H3767"/>
  <c r="AI3767"/>
  <c r="B3768"/>
  <c r="H3768"/>
  <c r="AI3768"/>
  <c r="B3769"/>
  <c r="H3769"/>
  <c r="AI3769"/>
  <c r="B3770"/>
  <c r="H3770"/>
  <c r="AI3770"/>
  <c r="B3771"/>
  <c r="H3771"/>
  <c r="AI3771"/>
  <c r="B3772"/>
  <c r="H3772"/>
  <c r="AI3772"/>
  <c r="B3773"/>
  <c r="H3773"/>
  <c r="AI3773"/>
  <c r="B3774"/>
  <c r="H3774"/>
  <c r="AI3774"/>
  <c r="B3775"/>
  <c r="H3775"/>
  <c r="AI3775"/>
  <c r="B3776"/>
  <c r="H3776"/>
  <c r="AI3776"/>
  <c r="B3777"/>
  <c r="H3777"/>
  <c r="AI3777"/>
  <c r="B3778"/>
  <c r="H3778"/>
  <c r="AI3778"/>
  <c r="B3779"/>
  <c r="H3779"/>
  <c r="AI3779"/>
  <c r="B3780"/>
  <c r="H3780"/>
  <c r="AI3780"/>
  <c r="B3781"/>
  <c r="H3781"/>
  <c r="AI3781"/>
  <c r="B3782"/>
  <c r="H3782"/>
  <c r="AI3782"/>
  <c r="B3783"/>
  <c r="H3783"/>
  <c r="AI3783"/>
  <c r="B3784"/>
  <c r="H3784"/>
  <c r="AI3784"/>
  <c r="B3785"/>
  <c r="H3785"/>
  <c r="AI3785"/>
  <c r="B3786"/>
  <c r="H3786"/>
  <c r="AI3786"/>
  <c r="B3787"/>
  <c r="H3787"/>
  <c r="AI3787"/>
  <c r="B3788"/>
  <c r="H3788"/>
  <c r="AI3788"/>
  <c r="B3789"/>
  <c r="H3789"/>
  <c r="AI3789"/>
  <c r="B3790"/>
  <c r="H3790"/>
  <c r="AI3790"/>
  <c r="B3791"/>
  <c r="H3791"/>
  <c r="AI3791"/>
  <c r="B3792"/>
  <c r="H3792"/>
  <c r="AI3792"/>
  <c r="B3793"/>
  <c r="H3793"/>
  <c r="AI3793"/>
  <c r="B3794"/>
  <c r="H3794"/>
  <c r="AI3794"/>
  <c r="B3795"/>
  <c r="H3795"/>
  <c r="AI3795"/>
  <c r="B3796"/>
  <c r="H3796"/>
  <c r="AI3796"/>
  <c r="B3797"/>
  <c r="H3797"/>
  <c r="AI3797"/>
  <c r="B3798"/>
  <c r="H3798"/>
  <c r="AI3798"/>
  <c r="B3799"/>
  <c r="H3799"/>
  <c r="AI3799"/>
  <c r="B3800"/>
  <c r="H3800"/>
  <c r="AI3800"/>
  <c r="B3801"/>
  <c r="H3801"/>
  <c r="AI3801"/>
  <c r="B3802"/>
  <c r="H3802"/>
  <c r="AI3802"/>
  <c r="B3803"/>
  <c r="H3803"/>
  <c r="AI3803"/>
  <c r="B3804"/>
  <c r="H3804"/>
  <c r="AI3804"/>
  <c r="B3805"/>
  <c r="H3805"/>
  <c r="AI3805"/>
  <c r="B3806"/>
  <c r="H3806"/>
  <c r="AI3806"/>
  <c r="B3807"/>
  <c r="H3807"/>
  <c r="AI3807"/>
  <c r="B3808"/>
  <c r="H3808"/>
  <c r="AI3808"/>
  <c r="B3809"/>
  <c r="H3809"/>
  <c r="AI3809"/>
  <c r="B3810"/>
  <c r="H3810"/>
  <c r="AI3810"/>
  <c r="B3811"/>
  <c r="H3811"/>
  <c r="AI3811"/>
  <c r="B3812"/>
  <c r="H3812"/>
  <c r="AI3812"/>
  <c r="B3813"/>
  <c r="H3813"/>
  <c r="AI3813"/>
  <c r="B3814"/>
  <c r="H3814"/>
  <c r="AI3814"/>
  <c r="B3815"/>
  <c r="H3815"/>
  <c r="AI3815"/>
  <c r="B3816"/>
  <c r="H3816"/>
  <c r="AI3816"/>
  <c r="B3817"/>
  <c r="H3817"/>
  <c r="AI3817"/>
  <c r="B3818"/>
  <c r="H3818"/>
  <c r="AI3818"/>
  <c r="B3819"/>
  <c r="H3819"/>
  <c r="AI3819"/>
  <c r="B3820"/>
  <c r="H3820"/>
  <c r="AI3820"/>
  <c r="B3821"/>
  <c r="H3821"/>
  <c r="AI3821"/>
  <c r="B3822"/>
  <c r="H3822"/>
  <c r="AI3822"/>
  <c r="B3823"/>
  <c r="H3823"/>
  <c r="AI3823"/>
  <c r="B3824"/>
  <c r="H3824"/>
  <c r="AI3824"/>
  <c r="B3825"/>
  <c r="H3825"/>
  <c r="AI3825"/>
  <c r="B3826"/>
  <c r="H3826"/>
  <c r="AI3826"/>
  <c r="B3827"/>
  <c r="H3827"/>
  <c r="AI3827"/>
  <c r="B3828"/>
  <c r="H3828"/>
  <c r="AI3828"/>
  <c r="B3829"/>
  <c r="H3829"/>
  <c r="AI3829"/>
  <c r="B3830"/>
  <c r="H3830"/>
  <c r="AI3830"/>
  <c r="B3831"/>
  <c r="H3831"/>
  <c r="AI3831"/>
  <c r="B3832"/>
  <c r="H3832"/>
  <c r="AI3832"/>
  <c r="B3833"/>
  <c r="H3833"/>
  <c r="AI3833"/>
  <c r="B3834"/>
  <c r="H3834"/>
  <c r="AI3834"/>
  <c r="B3835"/>
  <c r="H3835"/>
  <c r="AI3835"/>
  <c r="B3836"/>
  <c r="H3836"/>
  <c r="AI3836"/>
  <c r="B3837"/>
  <c r="H3837"/>
  <c r="AI3837"/>
  <c r="B3838"/>
  <c r="H3838"/>
  <c r="AI3838"/>
  <c r="B3839"/>
  <c r="H3839"/>
  <c r="AI3839"/>
  <c r="B3840"/>
  <c r="H3840"/>
  <c r="AI3840"/>
  <c r="B3841"/>
  <c r="H3841"/>
  <c r="AI3841"/>
  <c r="B3842"/>
  <c r="H3842"/>
  <c r="AI3842"/>
  <c r="B3843"/>
  <c r="H3843"/>
  <c r="AI3843"/>
  <c r="B3844"/>
  <c r="H3844"/>
  <c r="AI3844"/>
  <c r="B3845"/>
  <c r="H3845"/>
  <c r="AI3845"/>
  <c r="B3846"/>
  <c r="H3846"/>
  <c r="AI3846"/>
  <c r="B3847"/>
  <c r="H3847"/>
  <c r="AI3847"/>
  <c r="B3848"/>
  <c r="H3848"/>
  <c r="AI3848"/>
  <c r="B3849"/>
  <c r="H3849"/>
  <c r="AI3849"/>
  <c r="B3850"/>
  <c r="H3850"/>
  <c r="AI3850"/>
  <c r="B3851"/>
  <c r="H3851"/>
  <c r="AI3851"/>
  <c r="B3852"/>
  <c r="H3852"/>
  <c r="AI3852"/>
  <c r="B3853"/>
  <c r="H3853"/>
  <c r="AI3853"/>
  <c r="B3854"/>
  <c r="H3854"/>
  <c r="AI3854"/>
  <c r="B3855"/>
  <c r="H3855"/>
  <c r="AI3855"/>
  <c r="B3856"/>
  <c r="H3856"/>
  <c r="AI3856"/>
  <c r="B3857"/>
  <c r="H3857"/>
  <c r="AI3857"/>
  <c r="B3858"/>
  <c r="H3858"/>
  <c r="AI3858"/>
  <c r="B3859"/>
  <c r="H3859"/>
  <c r="AI3859"/>
  <c r="B3860"/>
  <c r="H3860"/>
  <c r="AI3860"/>
  <c r="B3861"/>
  <c r="H3861"/>
  <c r="AI3861"/>
  <c r="B3862"/>
  <c r="H3862"/>
  <c r="AI3862"/>
  <c r="B3863"/>
  <c r="H3863"/>
  <c r="AI3863"/>
  <c r="B3864"/>
  <c r="H3864"/>
  <c r="AI3864"/>
  <c r="B3865"/>
  <c r="H3865"/>
  <c r="AI3865"/>
  <c r="B3866"/>
  <c r="H3866"/>
  <c r="AI3866"/>
  <c r="B3867"/>
  <c r="H3867"/>
  <c r="AI3867"/>
  <c r="B3868"/>
  <c r="H3868"/>
  <c r="AI3868"/>
  <c r="B3869"/>
  <c r="H3869"/>
  <c r="AI3869"/>
  <c r="B3870"/>
  <c r="H3870"/>
  <c r="AI3870"/>
  <c r="B3871"/>
  <c r="H3871"/>
  <c r="AI3871"/>
  <c r="B3872"/>
  <c r="H3872"/>
  <c r="AI3872"/>
  <c r="B3873"/>
  <c r="H3873"/>
  <c r="AI3873"/>
  <c r="B3874"/>
  <c r="H3874"/>
  <c r="AI3874"/>
  <c r="B3875"/>
  <c r="H3875"/>
  <c r="AI3875"/>
  <c r="B3876"/>
  <c r="H3876"/>
  <c r="AI3876"/>
  <c r="B3877"/>
  <c r="H3877"/>
  <c r="AI3877"/>
  <c r="B3878"/>
  <c r="H3878"/>
  <c r="AI3878"/>
  <c r="B3879"/>
  <c r="H3879"/>
  <c r="AI3879"/>
  <c r="B3880"/>
  <c r="H3880"/>
  <c r="AI3880"/>
  <c r="B3881"/>
  <c r="H3881"/>
  <c r="AI3881"/>
  <c r="B3882"/>
  <c r="H3882"/>
  <c r="AI3882"/>
  <c r="B3883"/>
  <c r="H3883"/>
  <c r="AI3883"/>
  <c r="B3884"/>
  <c r="H3884"/>
  <c r="AI3884"/>
  <c r="B3885"/>
  <c r="H3885"/>
  <c r="AI3885"/>
  <c r="B3886"/>
  <c r="H3886"/>
  <c r="AI3886"/>
  <c r="B3887"/>
  <c r="H3887"/>
  <c r="AI3887"/>
  <c r="B3888"/>
  <c r="H3888"/>
  <c r="AI3888"/>
  <c r="B3889"/>
  <c r="H3889"/>
  <c r="AI3889"/>
  <c r="B3890"/>
  <c r="H3890"/>
  <c r="AI3890"/>
  <c r="B3891"/>
  <c r="H3891"/>
  <c r="AI3891"/>
  <c r="B3892"/>
  <c r="H3892"/>
  <c r="AI3892"/>
  <c r="B3893"/>
  <c r="H3893"/>
  <c r="AI3893"/>
  <c r="B3894"/>
  <c r="H3894"/>
  <c r="AI3894"/>
  <c r="B3895"/>
  <c r="H3895"/>
  <c r="AI3895"/>
  <c r="B3896"/>
  <c r="H3896"/>
  <c r="AI3896"/>
  <c r="B3897"/>
  <c r="H3897"/>
  <c r="AI3897"/>
  <c r="B3898"/>
  <c r="H3898"/>
  <c r="AI3898"/>
  <c r="B3899"/>
  <c r="H3899"/>
  <c r="AI3899"/>
  <c r="B3900"/>
  <c r="H3900"/>
  <c r="AI3900"/>
  <c r="B3901"/>
  <c r="H3901"/>
  <c r="AI3901"/>
  <c r="B3902"/>
  <c r="H3902"/>
  <c r="AI3902"/>
  <c r="B3903"/>
  <c r="H3903"/>
  <c r="AI3903"/>
  <c r="B3904"/>
  <c r="H3904"/>
  <c r="AI3904"/>
  <c r="B3905"/>
  <c r="H3905"/>
  <c r="AI3905"/>
  <c r="B3906"/>
  <c r="H3906"/>
  <c r="AI3906"/>
  <c r="B3907"/>
  <c r="H3907"/>
  <c r="AI3907"/>
  <c r="B3908"/>
  <c r="H3908"/>
  <c r="AI3908"/>
  <c r="B3909"/>
  <c r="H3909"/>
  <c r="AI3909"/>
  <c r="B3910"/>
  <c r="H3910"/>
  <c r="AI3910"/>
  <c r="B3911"/>
  <c r="H3911"/>
  <c r="AI3911"/>
  <c r="B3912"/>
  <c r="H3912"/>
  <c r="AI3912"/>
  <c r="B3913"/>
  <c r="H3913"/>
  <c r="AI3913"/>
  <c r="B3914"/>
  <c r="H3914"/>
  <c r="AI3914"/>
  <c r="B3915"/>
  <c r="H3915"/>
  <c r="AI3915"/>
  <c r="B3916"/>
  <c r="H3916"/>
  <c r="AI3916"/>
  <c r="B3917"/>
  <c r="H3917"/>
  <c r="AI3917"/>
  <c r="B3918"/>
  <c r="H3918"/>
  <c r="AI3918"/>
  <c r="B3919"/>
  <c r="H3919"/>
  <c r="AI3919"/>
  <c r="B3920"/>
  <c r="H3920"/>
  <c r="AI3920"/>
  <c r="B3921"/>
  <c r="H3921"/>
  <c r="AI3921"/>
  <c r="B3922"/>
  <c r="H3922"/>
  <c r="AI3922"/>
  <c r="B3923"/>
  <c r="H3923"/>
  <c r="AI3923"/>
  <c r="B3924"/>
  <c r="H3924"/>
  <c r="AI3924"/>
  <c r="B3925"/>
  <c r="H3925"/>
  <c r="AI3925"/>
  <c r="B3926"/>
  <c r="H3926"/>
  <c r="AI3926"/>
  <c r="B3927"/>
  <c r="H3927"/>
  <c r="AI3927"/>
  <c r="B3928"/>
  <c r="H3928"/>
  <c r="AI3928"/>
  <c r="B3929"/>
  <c r="H3929"/>
  <c r="AI3929"/>
  <c r="B3930"/>
  <c r="H3930"/>
  <c r="AI3930"/>
  <c r="B3931"/>
  <c r="H3931"/>
  <c r="AI3931"/>
  <c r="B3932"/>
  <c r="H3932"/>
  <c r="AI3932"/>
  <c r="B3933"/>
  <c r="H3933"/>
  <c r="AI3933"/>
  <c r="B3934"/>
  <c r="H3934"/>
  <c r="AI3934"/>
  <c r="B3935"/>
  <c r="H3935"/>
  <c r="AI3935"/>
  <c r="B3936"/>
  <c r="H3936"/>
  <c r="AI3936"/>
  <c r="B3937"/>
  <c r="H3937"/>
  <c r="AI3937"/>
  <c r="B3938"/>
  <c r="H3938"/>
  <c r="AI3938"/>
  <c r="B3939"/>
  <c r="H3939"/>
  <c r="AI3939"/>
  <c r="B3940"/>
  <c r="H3940"/>
  <c r="AI3940"/>
  <c r="B3941"/>
  <c r="H3941"/>
  <c r="AI3941"/>
  <c r="B3942"/>
  <c r="H3942"/>
  <c r="AI3942"/>
  <c r="B3943"/>
  <c r="H3943"/>
  <c r="AI3943"/>
  <c r="B3944"/>
  <c r="H3944"/>
  <c r="AI3944"/>
  <c r="B3945"/>
  <c r="H3945"/>
  <c r="AI3945"/>
  <c r="B3946"/>
  <c r="H3946"/>
  <c r="AI3946"/>
  <c r="B3947"/>
  <c r="H3947"/>
  <c r="AI3947"/>
  <c r="B3948"/>
  <c r="H3948"/>
  <c r="AI3948"/>
  <c r="B3949"/>
  <c r="H3949"/>
  <c r="AI3949"/>
  <c r="B3950"/>
  <c r="H3950"/>
  <c r="AI3950"/>
  <c r="B3951"/>
  <c r="H3951"/>
  <c r="AI3951"/>
  <c r="B3952"/>
  <c r="H3952"/>
  <c r="AI3952"/>
  <c r="B3953"/>
  <c r="H3953"/>
  <c r="AI3953"/>
  <c r="B3954"/>
  <c r="H3954"/>
  <c r="AI3954"/>
  <c r="B3955"/>
  <c r="H3955"/>
  <c r="AI3955"/>
  <c r="B3956"/>
  <c r="H3956"/>
  <c r="AI3956"/>
  <c r="B3957"/>
  <c r="H3957"/>
  <c r="AI3957"/>
  <c r="B3958"/>
  <c r="H3958"/>
  <c r="AI3958"/>
  <c r="B3959"/>
  <c r="H3959"/>
  <c r="AI3959"/>
  <c r="B3960"/>
  <c r="H3960"/>
  <c r="AI3960"/>
  <c r="B3961"/>
  <c r="H3961"/>
  <c r="AI3961"/>
  <c r="B3962"/>
  <c r="H3962"/>
  <c r="AI3962"/>
  <c r="B3963"/>
  <c r="H3963"/>
  <c r="AI3963"/>
  <c r="B3964"/>
  <c r="H3964"/>
  <c r="AI3964"/>
  <c r="B3965"/>
  <c r="H3965"/>
  <c r="AI3965"/>
  <c r="B3966"/>
  <c r="H3966"/>
  <c r="AI3966"/>
  <c r="B3967"/>
  <c r="H3967"/>
  <c r="AI3967"/>
  <c r="B3968"/>
  <c r="H3968"/>
  <c r="AI3968"/>
  <c r="B3969"/>
  <c r="H3969"/>
  <c r="AI3969"/>
  <c r="B3970"/>
  <c r="H3970"/>
  <c r="AI3970"/>
  <c r="B3971"/>
  <c r="H3971"/>
  <c r="AI3971"/>
  <c r="B3972"/>
  <c r="H3972"/>
  <c r="AI3972"/>
  <c r="B3973"/>
  <c r="H3973"/>
  <c r="AI3973"/>
  <c r="B3974"/>
  <c r="H3974"/>
  <c r="AI3974"/>
  <c r="B3975"/>
  <c r="H3975"/>
  <c r="AI3975"/>
  <c r="B3976"/>
  <c r="H3976"/>
  <c r="AI3976"/>
  <c r="B3977"/>
  <c r="H3977"/>
  <c r="AI3977"/>
  <c r="B3978"/>
  <c r="H3978"/>
  <c r="AI3978"/>
  <c r="B3979"/>
  <c r="H3979"/>
  <c r="AI3979"/>
  <c r="B3980"/>
  <c r="H3980"/>
  <c r="AI3980"/>
  <c r="B3981"/>
  <c r="H3981"/>
  <c r="AI3981"/>
  <c r="B3982"/>
  <c r="H3982"/>
  <c r="AI3982"/>
  <c r="B3983"/>
  <c r="H3983"/>
  <c r="AI3983"/>
  <c r="B3984"/>
  <c r="H3984"/>
  <c r="AI3984"/>
  <c r="B3985"/>
  <c r="H3985"/>
  <c r="AI3985"/>
  <c r="B3986"/>
  <c r="H3986"/>
  <c r="AI3986"/>
  <c r="B3987"/>
  <c r="H3987"/>
  <c r="AI3987"/>
  <c r="B3988"/>
  <c r="H3988"/>
  <c r="AI3988"/>
  <c r="B3989"/>
  <c r="H3989"/>
  <c r="AI3989"/>
  <c r="B3990"/>
  <c r="H3990"/>
  <c r="AI3990"/>
  <c r="B3991"/>
  <c r="H3991"/>
  <c r="AI3991"/>
  <c r="B3992"/>
  <c r="H3992"/>
  <c r="AI3992"/>
  <c r="B3993"/>
  <c r="H3993"/>
  <c r="AI3993"/>
  <c r="B3994"/>
  <c r="H3994"/>
  <c r="AI3994"/>
  <c r="B3995"/>
  <c r="H3995"/>
  <c r="AI3995"/>
  <c r="B3996"/>
  <c r="H3996"/>
  <c r="AI3996"/>
  <c r="B3997"/>
  <c r="H3997"/>
  <c r="AI3997"/>
  <c r="B3998"/>
  <c r="H3998"/>
  <c r="AI3998"/>
  <c r="B3999"/>
  <c r="H3999"/>
  <c r="AI3999"/>
  <c r="B4000"/>
  <c r="H4000"/>
  <c r="AI4000"/>
  <c r="B4001"/>
  <c r="H4001"/>
  <c r="AI4001"/>
  <c r="B4002"/>
  <c r="H4002"/>
  <c r="AI4002"/>
  <c r="B4003"/>
  <c r="H4003"/>
  <c r="AI4003"/>
  <c r="B4004"/>
  <c r="H4004"/>
  <c r="AI4004"/>
  <c r="B4005"/>
  <c r="H4005"/>
  <c r="AI4005"/>
  <c r="B4006"/>
  <c r="H4006"/>
  <c r="AI4006"/>
  <c r="B4007"/>
  <c r="H4007"/>
  <c r="AI4007"/>
  <c r="B4008"/>
  <c r="H4008"/>
  <c r="AI4008"/>
  <c r="B4009"/>
  <c r="H4009"/>
  <c r="AI4009"/>
  <c r="B4010"/>
  <c r="H4010"/>
  <c r="AI4010"/>
  <c r="B4011"/>
  <c r="H4011"/>
  <c r="AI4011"/>
  <c r="B4012"/>
  <c r="H4012"/>
  <c r="AI4012"/>
  <c r="B4013"/>
  <c r="H4013"/>
  <c r="AI4013"/>
  <c r="B4014"/>
  <c r="H4014"/>
  <c r="AI4014"/>
  <c r="B4015"/>
  <c r="H4015"/>
  <c r="AI4015"/>
  <c r="B4016"/>
  <c r="H4016"/>
  <c r="AI4016"/>
  <c r="B4017"/>
  <c r="H4017"/>
  <c r="AI4017"/>
  <c r="B4018"/>
  <c r="H4018"/>
  <c r="AI4018"/>
  <c r="B4019"/>
  <c r="H4019"/>
  <c r="AI4019"/>
  <c r="B4020"/>
  <c r="H4020"/>
  <c r="AI4020"/>
  <c r="B4021"/>
  <c r="H4021"/>
  <c r="AI4021"/>
  <c r="B4022"/>
  <c r="H4022"/>
  <c r="AI4022"/>
  <c r="B4023"/>
  <c r="H4023"/>
  <c r="AI4023"/>
  <c r="B4024"/>
  <c r="H4024"/>
  <c r="AI4024"/>
  <c r="B4025"/>
  <c r="H4025"/>
  <c r="AI4025"/>
  <c r="B4026"/>
  <c r="H4026"/>
  <c r="AI4026"/>
  <c r="B4027"/>
  <c r="H4027"/>
  <c r="AI4027"/>
  <c r="B4028"/>
  <c r="H4028"/>
  <c r="AI4028"/>
  <c r="B4029"/>
  <c r="H4029"/>
  <c r="AI4029"/>
  <c r="B4030"/>
  <c r="H4030"/>
  <c r="AI4030"/>
  <c r="B4031"/>
  <c r="H4031"/>
  <c r="AI4031"/>
  <c r="B4032"/>
  <c r="H4032"/>
  <c r="AI4032"/>
  <c r="B4033"/>
  <c r="H4033"/>
  <c r="AI4033"/>
  <c r="B4034"/>
  <c r="H4034"/>
  <c r="AI4034"/>
  <c r="B4035"/>
  <c r="H4035"/>
  <c r="AI4035"/>
  <c r="B4036"/>
  <c r="H4036"/>
  <c r="AI4036"/>
  <c r="B4037"/>
  <c r="H4037"/>
  <c r="AI4037"/>
  <c r="B4038"/>
  <c r="H4038"/>
  <c r="AI4038"/>
  <c r="B4039"/>
  <c r="H4039"/>
  <c r="AI4039"/>
  <c r="B4040"/>
  <c r="H4040"/>
  <c r="AI4040"/>
  <c r="B4041"/>
  <c r="H4041"/>
  <c r="AI4041"/>
  <c r="B4042"/>
  <c r="H4042"/>
  <c r="AI4042"/>
  <c r="B4043"/>
  <c r="H4043"/>
  <c r="AI4043"/>
  <c r="B4044"/>
  <c r="H4044"/>
  <c r="AI4044"/>
  <c r="B4045"/>
  <c r="H4045"/>
  <c r="AI4045"/>
  <c r="B4046"/>
  <c r="H4046"/>
  <c r="AI4046"/>
  <c r="B4047"/>
  <c r="H4047"/>
  <c r="AI4047"/>
  <c r="B4048"/>
  <c r="H4048"/>
  <c r="AI4048"/>
  <c r="B4049"/>
  <c r="H4049"/>
  <c r="AI4049"/>
  <c r="B4050"/>
  <c r="H4050"/>
  <c r="AI4050"/>
  <c r="B4051"/>
  <c r="H4051"/>
  <c r="AI4051"/>
  <c r="B4052"/>
  <c r="H4052"/>
  <c r="AI4052"/>
  <c r="B4053"/>
  <c r="H4053"/>
  <c r="AI4053"/>
  <c r="B4054"/>
  <c r="H4054"/>
  <c r="AI4054"/>
  <c r="B4055"/>
  <c r="H4055"/>
  <c r="AI4055"/>
  <c r="B4056"/>
  <c r="H4056"/>
  <c r="AI4056"/>
  <c r="B4057"/>
  <c r="H4057"/>
  <c r="AI4057"/>
  <c r="B4058"/>
  <c r="H4058"/>
  <c r="AI4058"/>
  <c r="B4059"/>
  <c r="H4059"/>
  <c r="AI4059"/>
  <c r="B4060"/>
  <c r="H4060"/>
  <c r="AI4060"/>
  <c r="B4061"/>
  <c r="H4061"/>
  <c r="AI4061"/>
  <c r="B4062"/>
  <c r="H4062"/>
  <c r="AI4062"/>
  <c r="B4063"/>
  <c r="H4063"/>
  <c r="AI4063"/>
  <c r="B4064"/>
  <c r="H4064"/>
  <c r="AI4064"/>
  <c r="B4065"/>
  <c r="H4065"/>
  <c r="AI4065"/>
  <c r="B4066"/>
  <c r="H4066"/>
  <c r="AI4066"/>
  <c r="B4067"/>
  <c r="H4067"/>
  <c r="AI4067"/>
  <c r="B4068"/>
  <c r="H4068"/>
  <c r="AI4068"/>
  <c r="B4069"/>
  <c r="H4069"/>
  <c r="AI4069"/>
  <c r="B4070"/>
  <c r="H4070"/>
  <c r="AI4070"/>
  <c r="B4071"/>
  <c r="H4071"/>
  <c r="AI4071"/>
  <c r="B4072"/>
  <c r="H4072"/>
  <c r="AI4072"/>
  <c r="B4073"/>
  <c r="H4073"/>
  <c r="AI4073"/>
  <c r="B4074"/>
  <c r="H4074"/>
  <c r="AI4074"/>
  <c r="B4075"/>
  <c r="H4075"/>
  <c r="AI4075"/>
  <c r="B4076"/>
  <c r="H4076"/>
  <c r="AI4076"/>
  <c r="B4077"/>
  <c r="H4077"/>
  <c r="AI4077"/>
  <c r="B4078"/>
  <c r="H4078"/>
  <c r="AI4078"/>
  <c r="B4079"/>
  <c r="H4079"/>
  <c r="AI4079"/>
  <c r="B4080"/>
  <c r="H4080"/>
  <c r="AI4080"/>
  <c r="B4081"/>
  <c r="H4081"/>
  <c r="AI4081"/>
  <c r="B4082"/>
  <c r="H4082"/>
  <c r="AI4082"/>
  <c r="B4083"/>
  <c r="H4083"/>
  <c r="AI4083"/>
  <c r="B4084"/>
  <c r="H4084"/>
  <c r="AI4084"/>
  <c r="B4085"/>
  <c r="H4085"/>
  <c r="AI4085"/>
  <c r="B4086"/>
  <c r="H4086"/>
  <c r="AI4086"/>
  <c r="B4087"/>
  <c r="H4087"/>
  <c r="AI4087"/>
  <c r="B4088"/>
  <c r="H4088"/>
  <c r="AI4088"/>
  <c r="B4089"/>
  <c r="H4089"/>
  <c r="AI4089"/>
  <c r="B4090"/>
  <c r="H4090"/>
  <c r="AI4090"/>
  <c r="B4091"/>
  <c r="H4091"/>
  <c r="AI4091"/>
  <c r="B4092"/>
  <c r="H4092"/>
  <c r="AI4092"/>
  <c r="B4093"/>
  <c r="H4093"/>
  <c r="AI4093"/>
  <c r="B4094"/>
  <c r="H4094"/>
  <c r="AI4094"/>
  <c r="B4095"/>
  <c r="H4095"/>
  <c r="AI4095"/>
  <c r="B4096"/>
  <c r="H4096"/>
  <c r="AI4096"/>
  <c r="B4097"/>
  <c r="H4097"/>
  <c r="AI4097"/>
  <c r="B4098"/>
  <c r="H4098"/>
  <c r="AI4098"/>
  <c r="B4099"/>
  <c r="H4099"/>
  <c r="AI4099"/>
  <c r="B4100"/>
  <c r="H4100"/>
  <c r="AI4100"/>
  <c r="B4101"/>
  <c r="H4101"/>
  <c r="AI4101"/>
  <c r="B4102"/>
  <c r="H4102"/>
  <c r="AI4102"/>
  <c r="B4103"/>
  <c r="H4103"/>
  <c r="AI4103"/>
  <c r="B4104"/>
  <c r="H4104"/>
  <c r="AI4104"/>
  <c r="B4105"/>
  <c r="H4105"/>
  <c r="AI4105"/>
  <c r="B4106"/>
  <c r="H4106"/>
  <c r="AI4106"/>
  <c r="B4107"/>
  <c r="H4107"/>
  <c r="AI4107"/>
  <c r="B4108"/>
  <c r="H4108"/>
  <c r="AI4108"/>
  <c r="B4109"/>
  <c r="H4109"/>
  <c r="AI4109"/>
  <c r="B4110"/>
  <c r="H4110"/>
  <c r="AI4110"/>
  <c r="B4111"/>
  <c r="H4111"/>
  <c r="AI4111"/>
  <c r="B4112"/>
  <c r="H4112"/>
  <c r="AI4112"/>
  <c r="B4113"/>
  <c r="H4113"/>
  <c r="AI4113"/>
  <c r="B4114"/>
  <c r="H4114"/>
  <c r="AI4114"/>
  <c r="B4115"/>
  <c r="H4115"/>
  <c r="AI4115"/>
  <c r="B4116"/>
  <c r="H4116"/>
  <c r="AI4116"/>
  <c r="B4117"/>
  <c r="H4117"/>
  <c r="AI4117"/>
  <c r="B4118"/>
  <c r="H4118"/>
  <c r="AI4118"/>
  <c r="B4119"/>
  <c r="H4119"/>
  <c r="AI4119"/>
  <c r="B4120"/>
  <c r="H4120"/>
  <c r="AI4120"/>
  <c r="B4121"/>
  <c r="H4121"/>
  <c r="AI4121"/>
  <c r="B4122"/>
  <c r="H4122"/>
  <c r="AI4122"/>
  <c r="B4123"/>
  <c r="H4123"/>
  <c r="AI4123"/>
  <c r="B4124"/>
  <c r="H4124"/>
  <c r="AI4124"/>
  <c r="B4125"/>
  <c r="H4125"/>
  <c r="AI4125"/>
  <c r="B4126"/>
  <c r="H4126"/>
  <c r="AI4126"/>
  <c r="B4127"/>
  <c r="H4127"/>
  <c r="AI4127"/>
  <c r="B4128"/>
  <c r="H4128"/>
  <c r="AI4128"/>
  <c r="B4129"/>
  <c r="H4129"/>
  <c r="AI4129"/>
  <c r="B4130"/>
  <c r="H4130"/>
  <c r="AI4130"/>
  <c r="B4131"/>
  <c r="H4131"/>
  <c r="AI4131"/>
  <c r="B4132"/>
  <c r="H4132"/>
  <c r="AI4132"/>
  <c r="B4133"/>
  <c r="H4133"/>
  <c r="AI4133"/>
  <c r="B4134"/>
  <c r="H4134"/>
  <c r="AI4134"/>
  <c r="B4135"/>
  <c r="H4135"/>
  <c r="AI4135"/>
  <c r="B4136"/>
  <c r="H4136"/>
  <c r="AI4136"/>
  <c r="B4137"/>
  <c r="H4137"/>
  <c r="AI4137"/>
  <c r="B4138"/>
  <c r="H4138"/>
  <c r="AI4138"/>
  <c r="B4139"/>
  <c r="H4139"/>
  <c r="AI4139"/>
  <c r="B4140"/>
  <c r="H4140"/>
  <c r="AI4140"/>
  <c r="B4141"/>
  <c r="H4141"/>
  <c r="AI4141"/>
  <c r="B4142"/>
  <c r="H4142"/>
  <c r="AI4142"/>
  <c r="B4143"/>
  <c r="H4143"/>
  <c r="AI4143"/>
  <c r="B4144"/>
  <c r="H4144"/>
  <c r="AI4144"/>
  <c r="B4145"/>
  <c r="H4145"/>
  <c r="AI4145"/>
  <c r="B4146"/>
  <c r="H4146"/>
  <c r="AI4146"/>
  <c r="B4147"/>
  <c r="H4147"/>
  <c r="AI4147"/>
  <c r="B4148"/>
  <c r="H4148"/>
  <c r="AI4148"/>
  <c r="B4149"/>
  <c r="H4149"/>
  <c r="AI4149"/>
  <c r="B4150"/>
  <c r="H4150"/>
  <c r="AI4150"/>
  <c r="B4151"/>
  <c r="H4151"/>
  <c r="AI4151"/>
  <c r="B4152"/>
  <c r="H4152"/>
  <c r="AI4152"/>
  <c r="B4153"/>
  <c r="H4153"/>
  <c r="AI4153"/>
  <c r="B4154"/>
  <c r="H4154"/>
  <c r="AI4154"/>
  <c r="B4155"/>
  <c r="H4155"/>
  <c r="AI4155"/>
  <c r="B4156"/>
  <c r="H4156"/>
  <c r="AI4156"/>
  <c r="B4157"/>
  <c r="H4157"/>
  <c r="AI4157"/>
  <c r="B4158"/>
  <c r="H4158"/>
  <c r="AI4158"/>
  <c r="B4159"/>
  <c r="H4159"/>
  <c r="AI4159"/>
  <c r="B4160"/>
  <c r="H4160"/>
  <c r="AI4160"/>
  <c r="B4161"/>
  <c r="H4161"/>
  <c r="AI4161"/>
  <c r="B4162"/>
  <c r="H4162"/>
  <c r="AI4162"/>
  <c r="B4163"/>
  <c r="H4163"/>
  <c r="AI4163"/>
  <c r="B4164"/>
  <c r="H4164"/>
  <c r="AI4164"/>
  <c r="B4165"/>
  <c r="H4165"/>
  <c r="AI4165"/>
  <c r="B4166"/>
  <c r="H4166"/>
  <c r="AI4166"/>
  <c r="B4167"/>
  <c r="H4167"/>
  <c r="AI4167"/>
  <c r="B4168"/>
  <c r="H4168"/>
  <c r="AI4168"/>
  <c r="B4169"/>
  <c r="H4169"/>
  <c r="AI4169"/>
  <c r="B4170"/>
  <c r="H4170"/>
  <c r="AI4170"/>
  <c r="B4171"/>
  <c r="H4171"/>
  <c r="AI4171"/>
  <c r="B4172"/>
  <c r="H4172"/>
  <c r="AI4172"/>
  <c r="B4173"/>
  <c r="H4173"/>
  <c r="AI4173"/>
  <c r="B4174"/>
  <c r="H4174"/>
  <c r="AI4174"/>
  <c r="B4175"/>
  <c r="H4175"/>
  <c r="AI4175"/>
  <c r="B4176"/>
  <c r="H4176"/>
  <c r="AI4176"/>
  <c r="B4177"/>
  <c r="H4177"/>
  <c r="AI4177"/>
  <c r="B4178"/>
  <c r="H4178"/>
  <c r="AI4178"/>
  <c r="B4179"/>
  <c r="H4179"/>
  <c r="AI4179"/>
  <c r="B4180"/>
  <c r="H4180"/>
  <c r="AI4180"/>
  <c r="B4181"/>
  <c r="H4181"/>
  <c r="AI4181"/>
  <c r="B4182"/>
  <c r="H4182"/>
  <c r="AI4182"/>
  <c r="B4183"/>
  <c r="H4183"/>
  <c r="AI4183"/>
  <c r="B4184"/>
  <c r="H4184"/>
  <c r="AI4184"/>
  <c r="B4185"/>
  <c r="H4185"/>
  <c r="AI4185"/>
  <c r="B4186"/>
  <c r="H4186"/>
  <c r="AI4186"/>
  <c r="B4187"/>
  <c r="H4187"/>
  <c r="AI4187"/>
  <c r="B4188"/>
  <c r="H4188"/>
  <c r="AI4188"/>
  <c r="B4189"/>
  <c r="H4189"/>
  <c r="AI4189"/>
  <c r="B4190"/>
  <c r="H4190"/>
  <c r="AI4190"/>
  <c r="B4191"/>
  <c r="H4191"/>
  <c r="AI4191"/>
  <c r="B4192"/>
  <c r="H4192"/>
  <c r="AI4192"/>
  <c r="B4193"/>
  <c r="H4193"/>
  <c r="AI4193"/>
  <c r="B4194"/>
  <c r="H4194"/>
  <c r="AI4194"/>
  <c r="B4195"/>
  <c r="H4195"/>
  <c r="AI4195"/>
  <c r="B4196"/>
  <c r="H4196"/>
  <c r="AI4196"/>
  <c r="B4197"/>
  <c r="H4197"/>
  <c r="AI4197"/>
  <c r="B4198"/>
  <c r="H4198"/>
  <c r="AI4198"/>
  <c r="B4199"/>
  <c r="H4199"/>
  <c r="AI4199"/>
  <c r="B4200"/>
  <c r="H4200"/>
  <c r="AI4200"/>
  <c r="B4201"/>
  <c r="H4201"/>
  <c r="AI4201"/>
  <c r="B4202"/>
  <c r="H4202"/>
  <c r="AI4202"/>
  <c r="B4203"/>
  <c r="H4203"/>
  <c r="AI4203"/>
  <c r="B4204"/>
  <c r="H4204"/>
  <c r="AI4204"/>
  <c r="B4205"/>
  <c r="H4205"/>
  <c r="AI4205"/>
  <c r="B4206"/>
  <c r="H4206"/>
  <c r="AI4206"/>
  <c r="B4207"/>
  <c r="H4207"/>
  <c r="AI4207"/>
  <c r="B4208"/>
  <c r="H4208"/>
  <c r="AI4208"/>
  <c r="B4209"/>
  <c r="H4209"/>
  <c r="AI4209"/>
  <c r="B4210"/>
  <c r="H4210"/>
  <c r="AI4210"/>
  <c r="B4211"/>
  <c r="H4211"/>
  <c r="AI4211"/>
  <c r="B4212"/>
  <c r="H4212"/>
  <c r="AI4212"/>
  <c r="B4213"/>
  <c r="H4213"/>
  <c r="AI4213"/>
  <c r="B4214"/>
  <c r="H4214"/>
  <c r="AI4214"/>
  <c r="B4215"/>
  <c r="H4215"/>
  <c r="AI4215"/>
  <c r="B4216"/>
  <c r="H4216"/>
  <c r="AI4216"/>
  <c r="B4217"/>
  <c r="H4217"/>
  <c r="AI4217"/>
  <c r="B4218"/>
  <c r="H4218"/>
  <c r="AI4218"/>
  <c r="B4219"/>
  <c r="H4219"/>
  <c r="AI4219"/>
  <c r="B4220"/>
  <c r="H4220"/>
  <c r="AI4220"/>
  <c r="B4221"/>
  <c r="H4221"/>
  <c r="AI4221"/>
  <c r="B4222"/>
  <c r="H4222"/>
  <c r="AI4222"/>
  <c r="B4223"/>
  <c r="H4223"/>
  <c r="AI4223"/>
  <c r="B4224"/>
  <c r="H4224"/>
  <c r="AI4224"/>
  <c r="B4225"/>
  <c r="H4225"/>
  <c r="AI4225"/>
  <c r="B4226"/>
  <c r="H4226"/>
  <c r="AI4226"/>
  <c r="B4227"/>
  <c r="H4227"/>
  <c r="AI4227"/>
  <c r="B4228"/>
  <c r="H4228"/>
  <c r="AI4228"/>
  <c r="B4229"/>
  <c r="H4229"/>
  <c r="AI4229"/>
  <c r="B4230"/>
  <c r="H4230"/>
  <c r="AI4230"/>
  <c r="B4231"/>
  <c r="H4231"/>
  <c r="AI4231"/>
  <c r="B4232"/>
  <c r="H4232"/>
  <c r="AI4232"/>
  <c r="B4233"/>
  <c r="H4233"/>
  <c r="AI4233"/>
  <c r="B4234"/>
  <c r="H4234"/>
  <c r="AI4234"/>
  <c r="B4235"/>
  <c r="H4235"/>
  <c r="AI4235"/>
  <c r="B4236"/>
  <c r="H4236"/>
  <c r="AI4236"/>
  <c r="B4237"/>
  <c r="H4237"/>
  <c r="AI4237"/>
  <c r="B4238"/>
  <c r="H4238"/>
  <c r="AI4238"/>
  <c r="B4239"/>
  <c r="H4239"/>
  <c r="AI4239"/>
  <c r="B4240"/>
  <c r="H4240"/>
  <c r="AI4240"/>
  <c r="B4241"/>
  <c r="H4241"/>
  <c r="AI4241"/>
  <c r="B4242"/>
  <c r="H4242"/>
  <c r="AI4242"/>
  <c r="B4243"/>
  <c r="H4243"/>
  <c r="AI4243"/>
  <c r="B4244"/>
  <c r="H4244"/>
  <c r="AI4244"/>
  <c r="B4245"/>
  <c r="H4245"/>
  <c r="AI4245"/>
  <c r="B4246"/>
  <c r="H4246"/>
  <c r="AI4246"/>
  <c r="B4247"/>
  <c r="H4247"/>
  <c r="AI4247"/>
  <c r="B4248"/>
  <c r="H4248"/>
  <c r="AI4248"/>
  <c r="B4249"/>
  <c r="H4249"/>
  <c r="AI4249"/>
  <c r="B4250"/>
  <c r="H4250"/>
  <c r="AI4250"/>
  <c r="B4251"/>
  <c r="H4251"/>
  <c r="AI4251"/>
  <c r="B4252"/>
  <c r="H4252"/>
  <c r="AI4252"/>
  <c r="B4253"/>
  <c r="H4253"/>
  <c r="AI4253"/>
  <c r="B4254"/>
  <c r="H4254"/>
  <c r="AI4254"/>
  <c r="B4255"/>
  <c r="H4255"/>
  <c r="AI4255"/>
  <c r="B4256"/>
  <c r="H4256"/>
  <c r="AI4256"/>
  <c r="B4257"/>
  <c r="H4257"/>
  <c r="AI4257"/>
  <c r="B4258"/>
  <c r="H4258"/>
  <c r="AI4258"/>
  <c r="B4259"/>
  <c r="H4259"/>
  <c r="AI4259"/>
  <c r="B4260"/>
  <c r="H4260"/>
  <c r="AI4260"/>
  <c r="B4261"/>
  <c r="H4261"/>
  <c r="AI4261"/>
  <c r="B4262"/>
  <c r="H4262"/>
  <c r="AI4262"/>
  <c r="B4263"/>
  <c r="H4263"/>
  <c r="AI4263"/>
  <c r="B4264"/>
  <c r="H4264"/>
  <c r="AI4264"/>
  <c r="B4265"/>
  <c r="H4265"/>
  <c r="AI4265"/>
  <c r="B4266"/>
  <c r="H4266"/>
  <c r="AI4266"/>
  <c r="B4267"/>
  <c r="H4267"/>
  <c r="AI4267"/>
  <c r="B4268"/>
  <c r="H4268"/>
  <c r="AI4268"/>
  <c r="B4269"/>
  <c r="H4269"/>
  <c r="AI4269"/>
  <c r="B4270"/>
  <c r="H4270"/>
  <c r="AI4270"/>
  <c r="B4271"/>
  <c r="H4271"/>
  <c r="AI4271"/>
  <c r="B4272"/>
  <c r="H4272"/>
  <c r="AI4272"/>
  <c r="B4273"/>
  <c r="H4273"/>
  <c r="AI4273"/>
  <c r="B4274"/>
  <c r="H4274"/>
  <c r="AI4274"/>
  <c r="B4275"/>
  <c r="H4275"/>
  <c r="AI4275"/>
  <c r="B4276"/>
  <c r="H4276"/>
  <c r="AI4276"/>
  <c r="B4277"/>
  <c r="H4277"/>
  <c r="AI4277"/>
  <c r="B4278"/>
  <c r="H4278"/>
  <c r="AI4278"/>
  <c r="B4279"/>
  <c r="H4279"/>
  <c r="AI4279"/>
  <c r="B4280"/>
  <c r="H4280"/>
  <c r="AI4280"/>
  <c r="B4281"/>
  <c r="H4281"/>
  <c r="AI4281"/>
  <c r="B4282"/>
  <c r="H4282"/>
  <c r="AI4282"/>
  <c r="B4283"/>
  <c r="H4283"/>
  <c r="AI4283"/>
  <c r="B4284"/>
  <c r="H4284"/>
  <c r="AI4284"/>
  <c r="B4285"/>
  <c r="H4285"/>
  <c r="AI4285"/>
  <c r="B4286"/>
  <c r="H4286"/>
  <c r="AI4286"/>
  <c r="B4287"/>
  <c r="H4287"/>
  <c r="AI4287"/>
  <c r="B4288"/>
  <c r="H4288"/>
  <c r="AI4288"/>
  <c r="B4289"/>
  <c r="H4289"/>
  <c r="AI4289"/>
  <c r="B4290"/>
  <c r="H4290"/>
  <c r="AI4290"/>
  <c r="B4291"/>
  <c r="H4291"/>
  <c r="AI4291"/>
  <c r="B4292"/>
  <c r="H4292"/>
  <c r="AI4292"/>
  <c r="B4293"/>
  <c r="H4293"/>
  <c r="AI4293"/>
  <c r="B4294"/>
  <c r="H4294"/>
  <c r="AI4294"/>
  <c r="B4295"/>
  <c r="H4295"/>
  <c r="AI4295"/>
  <c r="B4296"/>
  <c r="H4296"/>
  <c r="AI4296"/>
  <c r="B4297"/>
  <c r="H4297"/>
  <c r="AI4297"/>
  <c r="B4298"/>
  <c r="H4298"/>
  <c r="AI4298"/>
  <c r="B4299"/>
  <c r="H4299"/>
  <c r="AI4299"/>
  <c r="B4300"/>
  <c r="H4300"/>
  <c r="AI4300"/>
  <c r="B4301"/>
  <c r="H4301"/>
  <c r="AI4301"/>
  <c r="B4302"/>
  <c r="H4302"/>
  <c r="AI4302"/>
  <c r="B4303"/>
  <c r="H4303"/>
  <c r="AI4303"/>
  <c r="B4304"/>
  <c r="H4304"/>
  <c r="AI4304"/>
  <c r="B4305"/>
  <c r="H4305"/>
  <c r="AI4305"/>
  <c r="B4306"/>
  <c r="H4306"/>
  <c r="AI4306"/>
  <c r="B4307"/>
  <c r="H4307"/>
  <c r="AI4307"/>
  <c r="B4308"/>
  <c r="H4308"/>
  <c r="AI4308"/>
  <c r="B4309"/>
  <c r="H4309"/>
  <c r="AI4309"/>
  <c r="B4310"/>
  <c r="H4310"/>
  <c r="AI4310"/>
  <c r="B4311"/>
  <c r="H4311"/>
  <c r="AI4311"/>
  <c r="B4312"/>
  <c r="H4312"/>
  <c r="AI4312"/>
  <c r="B4313"/>
  <c r="H4313"/>
  <c r="AI4313"/>
  <c r="B4314"/>
  <c r="H4314"/>
  <c r="AI4314"/>
  <c r="B4315"/>
  <c r="H4315"/>
  <c r="AI4315"/>
  <c r="B4316"/>
  <c r="H4316"/>
  <c r="AI4316"/>
  <c r="B4317"/>
  <c r="H4317"/>
  <c r="AI4317"/>
  <c r="B4318"/>
  <c r="H4318"/>
  <c r="AI4318"/>
  <c r="B4319"/>
  <c r="H4319"/>
  <c r="AI4319"/>
  <c r="B4320"/>
  <c r="H4320"/>
  <c r="AI4320"/>
  <c r="B4321"/>
  <c r="H4321"/>
  <c r="AI4321"/>
  <c r="B4322"/>
  <c r="H4322"/>
  <c r="AI4322"/>
  <c r="B4323"/>
  <c r="H4323"/>
  <c r="AI4323"/>
  <c r="B4324"/>
  <c r="H4324"/>
  <c r="AI4324"/>
  <c r="B4325"/>
  <c r="H4325"/>
  <c r="AI4325"/>
  <c r="B4326"/>
  <c r="H4326"/>
  <c r="AI4326"/>
  <c r="B4327"/>
  <c r="H4327"/>
  <c r="AI4327"/>
  <c r="B4328"/>
  <c r="H4328"/>
  <c r="AI4328"/>
  <c r="B4329"/>
  <c r="H4329"/>
  <c r="AI4329"/>
  <c r="B4330"/>
  <c r="H4330"/>
  <c r="AI4330"/>
  <c r="B4331"/>
  <c r="H4331"/>
  <c r="AI4331"/>
  <c r="B4332"/>
  <c r="H4332"/>
  <c r="AI4332"/>
  <c r="B4333"/>
  <c r="H4333"/>
  <c r="AI4333"/>
  <c r="B4334"/>
  <c r="H4334"/>
  <c r="AI4334"/>
  <c r="B4335"/>
  <c r="H4335"/>
  <c r="AI4335"/>
  <c r="B4336"/>
  <c r="H4336"/>
  <c r="AI4336"/>
  <c r="B4337"/>
  <c r="H4337"/>
  <c r="AI4337"/>
  <c r="B4338"/>
  <c r="H4338"/>
  <c r="AI4338"/>
  <c r="B4339"/>
  <c r="H4339"/>
  <c r="AI4339"/>
  <c r="B4340"/>
  <c r="H4340"/>
  <c r="AI4340"/>
  <c r="B4341"/>
  <c r="H4341"/>
  <c r="AI4341"/>
  <c r="B4342"/>
  <c r="H4342"/>
  <c r="AI4342"/>
  <c r="B4343"/>
  <c r="H4343"/>
  <c r="AI4343"/>
  <c r="B4344"/>
  <c r="H4344"/>
  <c r="AI4344"/>
  <c r="B4345"/>
  <c r="H4345"/>
  <c r="AI4345"/>
  <c r="B4346"/>
  <c r="H4346"/>
  <c r="AI4346"/>
  <c r="B4347"/>
  <c r="H4347"/>
  <c r="AI4347"/>
  <c r="B4348"/>
  <c r="H4348"/>
  <c r="AI4348"/>
  <c r="B4349"/>
  <c r="H4349"/>
  <c r="AI4349"/>
  <c r="B4350"/>
  <c r="H4350"/>
  <c r="AI4350"/>
  <c r="B4351"/>
  <c r="H4351"/>
  <c r="AI4351"/>
  <c r="B4352"/>
  <c r="H4352"/>
  <c r="AI4352"/>
  <c r="B4353"/>
  <c r="H4353"/>
  <c r="AI4353"/>
  <c r="B4354"/>
  <c r="H4354"/>
  <c r="AI4354"/>
  <c r="B4355"/>
  <c r="H4355"/>
  <c r="AI4355"/>
  <c r="B4356"/>
  <c r="H4356"/>
  <c r="AI4356"/>
  <c r="B4357"/>
  <c r="H4357"/>
  <c r="AI4357"/>
  <c r="B4358"/>
  <c r="H4358"/>
  <c r="AI4358"/>
  <c r="B4359"/>
  <c r="H4359"/>
  <c r="AI4359"/>
  <c r="B4360"/>
  <c r="H4360"/>
  <c r="AI4360"/>
  <c r="B4361"/>
  <c r="H4361"/>
  <c r="AI4361"/>
  <c r="B4362"/>
  <c r="H4362"/>
  <c r="AI4362"/>
  <c r="B4363"/>
  <c r="H4363"/>
  <c r="AI4363"/>
  <c r="B4364"/>
  <c r="H4364"/>
  <c r="AI4364"/>
  <c r="B4365"/>
  <c r="H4365"/>
  <c r="AI4365"/>
  <c r="B4366"/>
  <c r="H4366"/>
  <c r="AI4366"/>
  <c r="B4367"/>
  <c r="H4367"/>
  <c r="AI4367"/>
  <c r="B4368"/>
  <c r="H4368"/>
  <c r="AI4368"/>
  <c r="B4369"/>
  <c r="H4369"/>
  <c r="AI4369"/>
  <c r="B4370"/>
  <c r="H4370"/>
  <c r="AI4370"/>
  <c r="B4371"/>
  <c r="H4371"/>
  <c r="AI4371"/>
  <c r="B4372"/>
  <c r="H4372"/>
  <c r="AI4372"/>
  <c r="B4373"/>
  <c r="H4373"/>
  <c r="AI4373"/>
  <c r="B4374"/>
  <c r="H4374"/>
  <c r="AI4374"/>
  <c r="B4375"/>
  <c r="H4375"/>
  <c r="AI4375"/>
  <c r="B4376"/>
  <c r="H4376"/>
  <c r="AI4376"/>
  <c r="B4377"/>
  <c r="H4377"/>
  <c r="AI4377"/>
  <c r="B4378"/>
  <c r="H4378"/>
  <c r="AI4378"/>
  <c r="B4379"/>
  <c r="H4379"/>
  <c r="AI4379"/>
  <c r="B4380"/>
  <c r="H4380"/>
  <c r="AI4380"/>
  <c r="B4381"/>
  <c r="H4381"/>
  <c r="AI4381"/>
  <c r="B4382"/>
  <c r="H4382"/>
  <c r="AI4382"/>
  <c r="B4383"/>
  <c r="H4383"/>
  <c r="AI4383"/>
  <c r="B4384"/>
  <c r="H4384"/>
  <c r="AI4384"/>
  <c r="B4385"/>
  <c r="H4385"/>
  <c r="AI4385"/>
  <c r="B4386"/>
  <c r="H4386"/>
  <c r="AI4386"/>
  <c r="B4387"/>
  <c r="H4387"/>
  <c r="AI4387"/>
  <c r="B4388"/>
  <c r="H4388"/>
  <c r="AI4388"/>
  <c r="B4389"/>
  <c r="H4389"/>
  <c r="AI4389"/>
  <c r="B4390"/>
  <c r="H4390"/>
  <c r="AI4390"/>
  <c r="B4391"/>
  <c r="H4391"/>
  <c r="AI4391"/>
  <c r="B4392"/>
  <c r="H4392"/>
  <c r="AI4392"/>
  <c r="B4393"/>
  <c r="H4393"/>
  <c r="AI4393"/>
  <c r="B4394"/>
  <c r="H4394"/>
  <c r="AI4394"/>
  <c r="B4395"/>
  <c r="H4395"/>
  <c r="AI4395"/>
  <c r="B4396"/>
  <c r="H4396"/>
  <c r="AI4396"/>
  <c r="B4397"/>
  <c r="H4397"/>
  <c r="AI4397"/>
  <c r="B4398"/>
  <c r="H4398"/>
  <c r="AI4398"/>
  <c r="B4399"/>
  <c r="H4399"/>
  <c r="AI4399"/>
  <c r="B4400"/>
  <c r="H4400"/>
  <c r="AI4400"/>
  <c r="B4401"/>
  <c r="H4401"/>
  <c r="AI4401"/>
  <c r="B4402"/>
  <c r="H4402"/>
  <c r="AI4402"/>
  <c r="B4403"/>
  <c r="H4403"/>
  <c r="AI4403"/>
  <c r="B4404"/>
  <c r="H4404"/>
  <c r="AI4404"/>
  <c r="B4405"/>
  <c r="H4405"/>
  <c r="AI4405"/>
  <c r="B4406"/>
  <c r="H4406"/>
  <c r="AI4406"/>
  <c r="B4407"/>
  <c r="H4407"/>
  <c r="AI4407"/>
  <c r="B4408"/>
  <c r="H4408"/>
  <c r="AI4408"/>
  <c r="B4409"/>
  <c r="H4409"/>
  <c r="AI4409"/>
  <c r="B4410"/>
  <c r="H4410"/>
  <c r="AI4410"/>
  <c r="B4411"/>
  <c r="H4411"/>
  <c r="AI4411"/>
  <c r="B4412"/>
  <c r="H4412"/>
  <c r="AI4412"/>
  <c r="B4413"/>
  <c r="H4413"/>
  <c r="AI4413"/>
  <c r="B4414"/>
  <c r="H4414"/>
  <c r="AI4414"/>
  <c r="B4415"/>
  <c r="H4415"/>
  <c r="AI4415"/>
  <c r="B4416"/>
  <c r="H4416"/>
  <c r="AI4416"/>
  <c r="B4417"/>
  <c r="H4417"/>
  <c r="AI4417"/>
  <c r="B4418"/>
  <c r="H4418"/>
  <c r="AI4418"/>
  <c r="B4419"/>
  <c r="H4419"/>
  <c r="AI4419"/>
  <c r="B4420"/>
  <c r="H4420"/>
  <c r="AI4420"/>
  <c r="B4421"/>
  <c r="H4421"/>
  <c r="AI4421"/>
  <c r="B4422"/>
  <c r="H4422"/>
  <c r="AI4422"/>
  <c r="B4423"/>
  <c r="H4423"/>
  <c r="AI4423"/>
  <c r="B4424"/>
  <c r="H4424"/>
  <c r="AI4424"/>
  <c r="B4425"/>
  <c r="H4425"/>
  <c r="AI4425"/>
  <c r="B4426"/>
  <c r="H4426"/>
  <c r="AI4426"/>
  <c r="B4427"/>
  <c r="H4427"/>
  <c r="AI4427"/>
  <c r="B4428"/>
  <c r="H4428"/>
  <c r="AI4428"/>
  <c r="B4429"/>
  <c r="H4429"/>
  <c r="AI4429"/>
  <c r="B4430"/>
  <c r="H4430"/>
  <c r="AI4430"/>
  <c r="B4431"/>
  <c r="H4431"/>
  <c r="AI4431"/>
  <c r="B4432"/>
  <c r="H4432"/>
  <c r="AI4432"/>
  <c r="B4433"/>
  <c r="H4433"/>
  <c r="AI4433"/>
  <c r="B4434"/>
  <c r="H4434"/>
  <c r="AI4434"/>
  <c r="B4435"/>
  <c r="H4435"/>
  <c r="AI4435"/>
  <c r="B4436"/>
  <c r="H4436"/>
  <c r="AI4436"/>
  <c r="B4437"/>
  <c r="H4437"/>
  <c r="AI4437"/>
  <c r="B4438"/>
  <c r="H4438"/>
  <c r="AI4438"/>
  <c r="B4439"/>
  <c r="H4439"/>
  <c r="AI4439"/>
  <c r="B4440"/>
  <c r="H4440"/>
  <c r="AI4440"/>
  <c r="B4441"/>
  <c r="H4441"/>
  <c r="AI4441"/>
  <c r="B4442"/>
  <c r="H4442"/>
  <c r="AI4442"/>
  <c r="B4443"/>
  <c r="H4443"/>
  <c r="AI4443"/>
  <c r="B4444"/>
  <c r="H4444"/>
  <c r="AI4444"/>
  <c r="B4445"/>
  <c r="H4445"/>
  <c r="AI4445"/>
  <c r="B4446"/>
  <c r="H4446"/>
  <c r="AI4446"/>
  <c r="B4447"/>
  <c r="H4447"/>
  <c r="AI4447"/>
  <c r="B4448"/>
  <c r="H4448"/>
  <c r="AI4448"/>
  <c r="B4449"/>
  <c r="H4449"/>
  <c r="AI4449"/>
  <c r="B4450"/>
  <c r="H4450"/>
  <c r="AI4450"/>
  <c r="B4451"/>
  <c r="H4451"/>
  <c r="AI4451"/>
  <c r="B4452"/>
  <c r="H4452"/>
  <c r="AI4452"/>
  <c r="B4453"/>
  <c r="H4453"/>
  <c r="AI4453"/>
  <c r="B4454"/>
  <c r="H4454"/>
  <c r="AI4454"/>
  <c r="B4455"/>
  <c r="H4455"/>
  <c r="AI4455"/>
  <c r="B4456"/>
  <c r="H4456"/>
  <c r="AI4456"/>
  <c r="B4457"/>
  <c r="H4457"/>
  <c r="AI4457"/>
  <c r="B4458"/>
  <c r="H4458"/>
  <c r="AI4458"/>
  <c r="B4459"/>
  <c r="H4459"/>
  <c r="AI4459"/>
  <c r="B4460"/>
  <c r="H4460"/>
  <c r="AI4460"/>
  <c r="B4461"/>
  <c r="H4461"/>
  <c r="AI4461"/>
  <c r="B4462"/>
  <c r="H4462"/>
  <c r="AI4462"/>
  <c r="B4463"/>
  <c r="H4463"/>
  <c r="AI4463"/>
  <c r="B4464"/>
  <c r="H4464"/>
  <c r="AI4464"/>
  <c r="B4465"/>
  <c r="H4465"/>
  <c r="AI4465"/>
  <c r="B4466"/>
  <c r="H4466"/>
  <c r="AI4466"/>
  <c r="B4467"/>
  <c r="H4467"/>
  <c r="AI4467"/>
  <c r="B4468"/>
  <c r="H4468"/>
  <c r="AI4468"/>
  <c r="B4469"/>
  <c r="H4469"/>
  <c r="AI4469"/>
  <c r="B4470"/>
  <c r="H4470"/>
  <c r="AI4470"/>
  <c r="B4471"/>
  <c r="H4471"/>
  <c r="AI4471"/>
  <c r="B4472"/>
  <c r="H4472"/>
  <c r="AI4472"/>
  <c r="B4473"/>
  <c r="H4473"/>
  <c r="AI4473"/>
  <c r="B4474"/>
  <c r="H4474"/>
  <c r="AI4474"/>
  <c r="B4475"/>
  <c r="H4475"/>
  <c r="AI4475"/>
  <c r="B4476"/>
  <c r="H4476"/>
  <c r="AI4476"/>
  <c r="B4477"/>
  <c r="H4477"/>
  <c r="AI4477"/>
  <c r="B4478"/>
  <c r="H4478"/>
  <c r="AI4478"/>
  <c r="B4479"/>
  <c r="H4479"/>
  <c r="AI4479"/>
  <c r="B4480"/>
  <c r="H4480"/>
  <c r="AI4480"/>
  <c r="B4481"/>
  <c r="H4481"/>
  <c r="AI4481"/>
  <c r="B4482"/>
  <c r="H4482"/>
  <c r="AI4482"/>
  <c r="B4483"/>
  <c r="H4483"/>
  <c r="AI4483"/>
  <c r="B4484"/>
  <c r="H4484"/>
  <c r="AI4484"/>
  <c r="B4485"/>
  <c r="H4485"/>
  <c r="AI4485"/>
  <c r="B4486"/>
  <c r="H4486"/>
  <c r="AI4486"/>
  <c r="B4487"/>
  <c r="H4487"/>
  <c r="AI4487"/>
  <c r="B4488"/>
  <c r="H4488"/>
  <c r="AI4488"/>
  <c r="B4489"/>
  <c r="H4489"/>
  <c r="AI4489"/>
  <c r="B4490"/>
  <c r="H4490"/>
  <c r="AI4490"/>
  <c r="B4491"/>
  <c r="H4491"/>
  <c r="AI4491"/>
  <c r="B4492"/>
  <c r="H4492"/>
  <c r="AI4492"/>
  <c r="B4493"/>
  <c r="H4493"/>
  <c r="AI4493"/>
  <c r="B4494"/>
  <c r="H4494"/>
  <c r="AI4494"/>
  <c r="B4495"/>
  <c r="H4495"/>
  <c r="AI4495"/>
  <c r="B4496"/>
  <c r="H4496"/>
  <c r="AI4496"/>
  <c r="B4497"/>
  <c r="H4497"/>
  <c r="AI4497"/>
  <c r="B4498"/>
  <c r="H4498"/>
  <c r="AI4498"/>
  <c r="B4499"/>
  <c r="H4499"/>
  <c r="AI4499"/>
  <c r="B4500"/>
  <c r="H4500"/>
  <c r="AI4500"/>
  <c r="B4501"/>
  <c r="H4501"/>
  <c r="AI4501"/>
  <c r="B4502"/>
  <c r="H4502"/>
  <c r="AI4502"/>
  <c r="B4503"/>
  <c r="H4503"/>
  <c r="AI4503"/>
  <c r="B4504"/>
  <c r="H4504"/>
  <c r="AI4504"/>
  <c r="B4505"/>
  <c r="H4505"/>
  <c r="AI4505"/>
  <c r="B4506"/>
  <c r="H4506"/>
  <c r="AI4506"/>
  <c r="B4507"/>
  <c r="H4507"/>
  <c r="AI4507"/>
  <c r="B4508"/>
  <c r="H4508"/>
  <c r="AI4508"/>
  <c r="B4509"/>
  <c r="H4509"/>
  <c r="AI4509"/>
  <c r="B4510"/>
  <c r="H4510"/>
  <c r="AI4510"/>
  <c r="B4511"/>
  <c r="H4511"/>
  <c r="AI4511"/>
  <c r="B4512"/>
  <c r="H4512"/>
  <c r="AI4512"/>
  <c r="B4513"/>
  <c r="H4513"/>
  <c r="AI4513"/>
  <c r="B4514"/>
  <c r="H4514"/>
  <c r="AI4514"/>
  <c r="B4515"/>
  <c r="H4515"/>
  <c r="AI4515"/>
  <c r="B4516"/>
  <c r="H4516"/>
  <c r="AI4516"/>
  <c r="B4517"/>
  <c r="H4517"/>
  <c r="AI4517"/>
  <c r="B4518"/>
  <c r="H4518"/>
  <c r="AI4518"/>
  <c r="B4519"/>
  <c r="H4519"/>
  <c r="AI4519"/>
  <c r="B4520"/>
  <c r="H4520"/>
  <c r="AI4520"/>
  <c r="B4521"/>
  <c r="H4521"/>
  <c r="AI4521"/>
  <c r="B4522"/>
  <c r="H4522"/>
  <c r="AI4522"/>
  <c r="B4523"/>
  <c r="H4523"/>
  <c r="AI4523"/>
  <c r="B4524"/>
  <c r="H4524"/>
  <c r="AI4524"/>
  <c r="B4525"/>
  <c r="H4525"/>
  <c r="AI4525"/>
  <c r="B4526"/>
  <c r="H4526"/>
  <c r="AI4526"/>
  <c r="B4527"/>
  <c r="H4527"/>
  <c r="AI4527"/>
  <c r="B4528"/>
  <c r="H4528"/>
  <c r="AI4528"/>
  <c r="B4529"/>
  <c r="H4529"/>
  <c r="AI4529"/>
  <c r="B4530"/>
  <c r="H4530"/>
  <c r="AI4530"/>
  <c r="B4531"/>
  <c r="H4531"/>
  <c r="AI4531"/>
  <c r="B4532"/>
  <c r="H4532"/>
  <c r="AI4532"/>
  <c r="B4533"/>
  <c r="H4533"/>
  <c r="AI4533"/>
  <c r="B4534"/>
  <c r="H4534"/>
  <c r="AI4534"/>
  <c r="B4535"/>
  <c r="H4535"/>
  <c r="AI4535"/>
  <c r="B4536"/>
  <c r="H4536"/>
  <c r="AI4536"/>
  <c r="B4537"/>
  <c r="H4537"/>
  <c r="AI4537"/>
  <c r="B4538"/>
  <c r="H4538"/>
  <c r="AI4538"/>
  <c r="B4539"/>
  <c r="H4539"/>
  <c r="AI4539"/>
  <c r="B4540"/>
  <c r="H4540"/>
  <c r="AI4540"/>
  <c r="B4541"/>
  <c r="H4541"/>
  <c r="AI4541"/>
  <c r="B4542"/>
  <c r="H4542"/>
  <c r="AI4542"/>
  <c r="B4543"/>
  <c r="H4543"/>
  <c r="AI4543"/>
  <c r="B4544"/>
  <c r="H4544"/>
  <c r="AI4544"/>
  <c r="B4545"/>
  <c r="H4545"/>
  <c r="AI4545"/>
  <c r="B4546"/>
  <c r="H4546"/>
  <c r="AI4546"/>
  <c r="B4547"/>
  <c r="H4547"/>
  <c r="AI4547"/>
  <c r="B4548"/>
  <c r="H4548"/>
  <c r="AI4548"/>
  <c r="B4549"/>
  <c r="H4549"/>
  <c r="AI4549"/>
  <c r="B4550"/>
  <c r="H4550"/>
  <c r="AI4550"/>
  <c r="B4551"/>
  <c r="H4551"/>
  <c r="AI4551"/>
  <c r="B4552"/>
  <c r="H4552"/>
  <c r="AI4552"/>
  <c r="B4553"/>
  <c r="H4553"/>
  <c r="AI4553"/>
  <c r="B4554"/>
  <c r="H4554"/>
  <c r="AI4554"/>
  <c r="B4555"/>
  <c r="H4555"/>
  <c r="AI4555"/>
  <c r="B4556"/>
  <c r="H4556"/>
  <c r="AI4556"/>
  <c r="B4557"/>
  <c r="H4557"/>
  <c r="AI4557"/>
  <c r="B4558"/>
  <c r="H4558"/>
  <c r="AI4558"/>
  <c r="B4559"/>
  <c r="H4559"/>
  <c r="AI4559"/>
  <c r="B4560"/>
  <c r="H4560"/>
  <c r="AI4560"/>
  <c r="B4561"/>
  <c r="H4561"/>
  <c r="AI4561"/>
  <c r="B4562"/>
  <c r="H4562"/>
  <c r="AI4562"/>
  <c r="B4563"/>
  <c r="H4563"/>
  <c r="AI4563"/>
  <c r="B4564"/>
  <c r="H4564"/>
  <c r="AI4564"/>
  <c r="B4565"/>
  <c r="H4565"/>
  <c r="AI4565"/>
  <c r="B4566"/>
  <c r="H4566"/>
  <c r="AI4566"/>
  <c r="B4567"/>
  <c r="H4567"/>
  <c r="AI4567"/>
  <c r="B4568"/>
  <c r="H4568"/>
  <c r="AI4568"/>
  <c r="B4569"/>
  <c r="H4569"/>
  <c r="AI4569"/>
  <c r="B4570"/>
  <c r="H4570"/>
  <c r="AI4570"/>
  <c r="B4571"/>
  <c r="H4571"/>
  <c r="AI4571"/>
  <c r="B4572"/>
  <c r="H4572"/>
  <c r="AI4572"/>
  <c r="B4573"/>
  <c r="H4573"/>
  <c r="AI4573"/>
  <c r="B4574"/>
  <c r="H4574"/>
  <c r="AI4574"/>
  <c r="B4575"/>
  <c r="H4575"/>
  <c r="AI4575"/>
  <c r="B4576"/>
  <c r="H4576"/>
  <c r="AI4576"/>
  <c r="B4577"/>
  <c r="H4577"/>
  <c r="AI4577"/>
  <c r="B4578"/>
  <c r="H4578"/>
  <c r="AI4578"/>
  <c r="B4579"/>
  <c r="H4579"/>
  <c r="AI4579"/>
  <c r="B4580"/>
  <c r="H4580"/>
  <c r="AI4580"/>
  <c r="B4581"/>
  <c r="H4581"/>
  <c r="AI4581"/>
  <c r="B4582"/>
  <c r="H4582"/>
  <c r="AI4582"/>
  <c r="B4583"/>
  <c r="H4583"/>
  <c r="AI4583"/>
  <c r="B4584"/>
  <c r="H4584"/>
  <c r="AI4584"/>
  <c r="B4585"/>
  <c r="H4585"/>
  <c r="AI4585"/>
  <c r="B4586"/>
  <c r="H4586"/>
  <c r="AI4586"/>
  <c r="B4587"/>
  <c r="H4587"/>
  <c r="AI4587"/>
  <c r="B4588"/>
  <c r="H4588"/>
  <c r="AI4588"/>
  <c r="B4589"/>
  <c r="H4589"/>
  <c r="AI4589"/>
  <c r="B4590"/>
  <c r="H4590"/>
  <c r="AI4590"/>
  <c r="B4591"/>
  <c r="H4591"/>
  <c r="AI4591"/>
  <c r="B4592"/>
  <c r="H4592"/>
  <c r="AI4592"/>
  <c r="B4593"/>
  <c r="H4593"/>
  <c r="AI4593"/>
  <c r="B4594"/>
  <c r="H4594"/>
  <c r="AI4594"/>
  <c r="B4595"/>
  <c r="H4595"/>
  <c r="AI4595"/>
  <c r="B4596"/>
  <c r="H4596"/>
  <c r="AI4596"/>
  <c r="B4597"/>
  <c r="H4597"/>
  <c r="AI4597"/>
  <c r="B4598"/>
  <c r="H4598"/>
  <c r="AI4598"/>
  <c r="B4599"/>
  <c r="H4599"/>
  <c r="AI4599"/>
  <c r="B4600"/>
  <c r="H4600"/>
  <c r="AI4600"/>
  <c r="B4601"/>
  <c r="H4601"/>
  <c r="AI4601"/>
  <c r="B4602"/>
  <c r="H4602"/>
  <c r="AI4602"/>
  <c r="B4603"/>
  <c r="H4603"/>
  <c r="AI4603"/>
  <c r="B4604"/>
  <c r="H4604"/>
  <c r="AI4604"/>
  <c r="B4605"/>
  <c r="H4605"/>
  <c r="AI4605"/>
  <c r="B4606"/>
  <c r="H4606"/>
  <c r="AI4606"/>
  <c r="B4607"/>
  <c r="H4607"/>
  <c r="AI4607"/>
  <c r="B4608"/>
  <c r="H4608"/>
  <c r="AI4608"/>
  <c r="B4609"/>
  <c r="H4609"/>
  <c r="AI4609"/>
  <c r="B4610"/>
  <c r="H4610"/>
  <c r="AI4610"/>
  <c r="B4611"/>
  <c r="H4611"/>
  <c r="AI4611"/>
  <c r="B4612"/>
  <c r="H4612"/>
  <c r="AI4612"/>
  <c r="B4613"/>
  <c r="H4613"/>
  <c r="AI4613"/>
  <c r="B4614"/>
  <c r="H4614"/>
  <c r="AI4614"/>
  <c r="B4615"/>
  <c r="H4615"/>
  <c r="AI4615"/>
  <c r="B4616"/>
  <c r="H4616"/>
  <c r="AI4616"/>
  <c r="B4617"/>
  <c r="H4617"/>
  <c r="AI4617"/>
  <c r="B4618"/>
  <c r="H4618"/>
  <c r="AI4618"/>
  <c r="B4619"/>
  <c r="H4619"/>
  <c r="AI4619"/>
  <c r="B4620"/>
  <c r="H4620"/>
  <c r="AI4620"/>
  <c r="B4621"/>
  <c r="H4621"/>
  <c r="AI4621"/>
  <c r="B4622"/>
  <c r="H4622"/>
  <c r="AI4622"/>
  <c r="B4623"/>
  <c r="H4623"/>
  <c r="AI4623"/>
  <c r="B4624"/>
  <c r="H4624"/>
  <c r="AI4624"/>
  <c r="B4625"/>
  <c r="H4625"/>
  <c r="AI4625"/>
  <c r="B4626"/>
  <c r="H4626"/>
  <c r="AI4626"/>
  <c r="B4627"/>
  <c r="H4627"/>
  <c r="AI4627"/>
  <c r="B4628"/>
  <c r="H4628"/>
  <c r="AI4628"/>
  <c r="B4629"/>
  <c r="H4629"/>
  <c r="AI4629"/>
  <c r="B4630"/>
  <c r="H4630"/>
  <c r="AI4630"/>
  <c r="B4631"/>
  <c r="H4631"/>
  <c r="AI4631"/>
  <c r="B4632"/>
  <c r="H4632"/>
  <c r="AI4632"/>
  <c r="B4633"/>
  <c r="H4633"/>
  <c r="AI4633"/>
  <c r="B4634"/>
  <c r="H4634"/>
  <c r="AI4634"/>
  <c r="B4635"/>
  <c r="H4635"/>
  <c r="AI4635"/>
  <c r="B4636"/>
  <c r="H4636"/>
  <c r="AI4636"/>
  <c r="B4637"/>
  <c r="H4637"/>
  <c r="AI4637"/>
  <c r="B4638"/>
  <c r="H4638"/>
  <c r="AI4638"/>
  <c r="B4639"/>
  <c r="H4639"/>
  <c r="AI4639"/>
  <c r="B4640"/>
  <c r="H4640"/>
  <c r="AI4640"/>
  <c r="B4641"/>
  <c r="H4641"/>
  <c r="AI4641"/>
  <c r="B4642"/>
  <c r="H4642"/>
  <c r="AI4642"/>
  <c r="B4643"/>
  <c r="H4643"/>
  <c r="AI4643"/>
  <c r="B4644"/>
  <c r="H4644"/>
  <c r="AI4644"/>
  <c r="B4645"/>
  <c r="H4645"/>
  <c r="AI4645"/>
  <c r="B4646"/>
  <c r="H4646"/>
  <c r="AI4646"/>
  <c r="B4647"/>
  <c r="H4647"/>
  <c r="AI4647"/>
  <c r="B4648"/>
  <c r="H4648"/>
  <c r="AI4648"/>
  <c r="B4649"/>
  <c r="H4649"/>
  <c r="AI4649"/>
  <c r="B4650"/>
  <c r="H4650"/>
  <c r="AI4650"/>
  <c r="B4651"/>
  <c r="H4651"/>
  <c r="AI4651"/>
  <c r="B4652"/>
  <c r="H4652"/>
  <c r="AI4652"/>
  <c r="B4653"/>
  <c r="H4653"/>
  <c r="AI4653"/>
  <c r="B4654"/>
  <c r="H4654"/>
  <c r="AI4654"/>
  <c r="B4655"/>
  <c r="H4655"/>
  <c r="AI4655"/>
  <c r="B4656"/>
  <c r="H4656"/>
  <c r="AI4656"/>
  <c r="B4657"/>
  <c r="H4657"/>
  <c r="AI4657"/>
  <c r="B4658"/>
  <c r="H4658"/>
  <c r="AI4658"/>
  <c r="B4659"/>
  <c r="H4659"/>
  <c r="AI4659"/>
  <c r="B4660"/>
  <c r="H4660"/>
  <c r="AI4660"/>
  <c r="B4661"/>
  <c r="H4661"/>
  <c r="AI4661"/>
  <c r="B4662"/>
  <c r="H4662"/>
  <c r="AI4662"/>
  <c r="B4663"/>
  <c r="H4663"/>
  <c r="AI4663"/>
  <c r="B4664"/>
  <c r="H4664"/>
  <c r="AI4664"/>
  <c r="B4665"/>
  <c r="H4665"/>
  <c r="AI4665"/>
  <c r="B4666"/>
  <c r="H4666"/>
  <c r="AI4666"/>
  <c r="B4667"/>
  <c r="H4667"/>
  <c r="AI4667"/>
  <c r="B4668"/>
  <c r="H4668"/>
  <c r="AI4668"/>
  <c r="B4669"/>
  <c r="H4669"/>
  <c r="AI4669"/>
  <c r="B4670"/>
  <c r="H4670"/>
  <c r="AI4670"/>
  <c r="B4671"/>
  <c r="H4671"/>
  <c r="AI4671"/>
  <c r="B4672"/>
  <c r="H4672"/>
  <c r="AI4672"/>
  <c r="B4673"/>
  <c r="H4673"/>
  <c r="AI4673"/>
  <c r="B4674"/>
  <c r="H4674"/>
  <c r="AI4674"/>
  <c r="B4675"/>
  <c r="H4675"/>
  <c r="AI4675"/>
  <c r="B4676"/>
  <c r="H4676"/>
  <c r="AI4676"/>
  <c r="B4677"/>
  <c r="H4677"/>
  <c r="AI4677"/>
  <c r="B4678"/>
  <c r="H4678"/>
  <c r="AI4678"/>
  <c r="B4679"/>
  <c r="H4679"/>
  <c r="AI4679"/>
  <c r="B4680"/>
  <c r="H4680"/>
  <c r="AI4680"/>
  <c r="B4681"/>
  <c r="H4681"/>
  <c r="AI4681"/>
  <c r="B4682"/>
  <c r="H4682"/>
  <c r="AI4682"/>
  <c r="B4683"/>
  <c r="H4683"/>
  <c r="AI4683"/>
  <c r="B4684"/>
  <c r="H4684"/>
  <c r="AI4684"/>
  <c r="B4685"/>
  <c r="H4685"/>
  <c r="AI4685"/>
  <c r="B4686"/>
  <c r="H4686"/>
  <c r="AI4686"/>
  <c r="B4687"/>
  <c r="H4687"/>
  <c r="AI4687"/>
  <c r="B4688"/>
  <c r="H4688"/>
  <c r="AI4688"/>
  <c r="B4689"/>
  <c r="H4689"/>
  <c r="AI4689"/>
  <c r="B4690"/>
  <c r="H4690"/>
  <c r="AI4690"/>
  <c r="B4691"/>
  <c r="H4691"/>
  <c r="AI4691"/>
  <c r="B4692"/>
  <c r="H4692"/>
  <c r="AI4692"/>
  <c r="B4693"/>
  <c r="H4693"/>
  <c r="AI4693"/>
  <c r="B4694"/>
  <c r="H4694"/>
  <c r="AI4694"/>
  <c r="B4695"/>
  <c r="H4695"/>
  <c r="AI4695"/>
  <c r="B4696"/>
  <c r="H4696"/>
  <c r="AI4696"/>
  <c r="B4697"/>
  <c r="H4697"/>
  <c r="AI4697"/>
  <c r="B4698"/>
  <c r="H4698"/>
  <c r="AI4698"/>
  <c r="B4699"/>
  <c r="H4699"/>
  <c r="AI4699"/>
  <c r="B4700"/>
  <c r="H4700"/>
  <c r="AI4700"/>
  <c r="B4701"/>
  <c r="H4701"/>
  <c r="AI4701"/>
  <c r="B4702"/>
  <c r="H4702"/>
  <c r="AI4702"/>
  <c r="B4703"/>
  <c r="H4703"/>
  <c r="AI4703"/>
  <c r="B4704"/>
  <c r="H4704"/>
  <c r="AI4704"/>
  <c r="B4705"/>
  <c r="H4705"/>
  <c r="AI4705"/>
  <c r="B4706"/>
  <c r="H4706"/>
  <c r="AI4706"/>
  <c r="B4707"/>
  <c r="H4707"/>
  <c r="AI4707"/>
  <c r="B4708"/>
  <c r="H4708"/>
  <c r="AI4708"/>
  <c r="B4709"/>
  <c r="H4709"/>
  <c r="AI4709"/>
  <c r="B4710"/>
  <c r="H4710"/>
  <c r="AI4710"/>
  <c r="B4711"/>
  <c r="H4711"/>
  <c r="AI4711"/>
  <c r="B4712"/>
  <c r="H4712"/>
  <c r="AI4712"/>
  <c r="B4713"/>
  <c r="H4713"/>
  <c r="AI4713"/>
  <c r="B4714"/>
  <c r="H4714"/>
  <c r="AI4714"/>
  <c r="B4715"/>
  <c r="H4715"/>
  <c r="AI4715"/>
  <c r="B4716"/>
  <c r="H4716"/>
  <c r="AI4716"/>
  <c r="B4717"/>
  <c r="H4717"/>
  <c r="AI4717"/>
  <c r="B4718"/>
  <c r="H4718"/>
  <c r="AI4718"/>
  <c r="B4719"/>
  <c r="H4719"/>
  <c r="AI4719"/>
  <c r="B4720"/>
  <c r="H4720"/>
  <c r="AI4720"/>
  <c r="B4721"/>
  <c r="H4721"/>
  <c r="AI4721"/>
  <c r="B4722"/>
  <c r="H4722"/>
  <c r="AI4722"/>
  <c r="B4723"/>
  <c r="H4723"/>
  <c r="AI4723"/>
  <c r="B4724"/>
  <c r="H4724"/>
  <c r="AI4724"/>
  <c r="B4725"/>
  <c r="H4725"/>
  <c r="AI4725"/>
  <c r="B4726"/>
  <c r="H4726"/>
  <c r="AI4726"/>
  <c r="B4727"/>
  <c r="H4727"/>
  <c r="AI4727"/>
  <c r="B4728"/>
  <c r="H4728"/>
  <c r="AI4728"/>
  <c r="B4729"/>
  <c r="H4729"/>
  <c r="AI4729"/>
  <c r="B4730"/>
  <c r="H4730"/>
  <c r="AI4730"/>
  <c r="B4731"/>
  <c r="H4731"/>
  <c r="AI4731"/>
  <c r="B4732"/>
  <c r="H4732"/>
  <c r="AI4732"/>
  <c r="B4733"/>
  <c r="H4733"/>
  <c r="AI4733"/>
  <c r="B4734"/>
  <c r="H4734"/>
  <c r="AI4734"/>
  <c r="B4735"/>
  <c r="H4735"/>
  <c r="AI4735"/>
  <c r="B4736"/>
  <c r="H4736"/>
  <c r="AI4736"/>
  <c r="B4737"/>
  <c r="H4737"/>
  <c r="AI4737"/>
  <c r="B4738"/>
  <c r="H4738"/>
  <c r="AI4738"/>
  <c r="B4739"/>
  <c r="H4739"/>
  <c r="AI4739"/>
  <c r="B4740"/>
  <c r="H4740"/>
  <c r="AI4740"/>
  <c r="B4741"/>
  <c r="H4741"/>
  <c r="AI4741"/>
  <c r="B4742"/>
  <c r="H4742"/>
  <c r="AI4742"/>
  <c r="B4743"/>
  <c r="H4743"/>
  <c r="AI4743"/>
  <c r="B4744"/>
  <c r="H4744"/>
  <c r="AI4744"/>
  <c r="B4745"/>
  <c r="H4745"/>
  <c r="AI4745"/>
  <c r="B4746"/>
  <c r="H4746"/>
  <c r="AI4746"/>
  <c r="B4747"/>
  <c r="H4747"/>
  <c r="AI4747"/>
  <c r="B4748"/>
  <c r="H4748"/>
  <c r="AI4748"/>
  <c r="B4749"/>
  <c r="H4749"/>
  <c r="AI4749"/>
  <c r="B4750"/>
  <c r="H4750"/>
  <c r="AI4750"/>
  <c r="B4751"/>
  <c r="H4751"/>
  <c r="AI4751"/>
  <c r="B4752"/>
  <c r="H4752"/>
  <c r="AI4752"/>
  <c r="B4753"/>
  <c r="H4753"/>
  <c r="AI4753"/>
  <c r="B4754"/>
  <c r="H4754"/>
  <c r="AI4754"/>
  <c r="B4755"/>
  <c r="H4755"/>
  <c r="AI4755"/>
  <c r="B4756"/>
  <c r="H4756"/>
  <c r="AI4756"/>
  <c r="B4757"/>
  <c r="H4757"/>
  <c r="AI4757"/>
  <c r="B4758"/>
  <c r="H4758"/>
  <c r="AI4758"/>
  <c r="B4759"/>
  <c r="H4759"/>
  <c r="AI4759"/>
  <c r="B4760"/>
  <c r="H4760"/>
  <c r="AI4760"/>
  <c r="B4761"/>
  <c r="H4761"/>
  <c r="AI4761"/>
  <c r="B4762"/>
  <c r="H4762"/>
  <c r="AI4762"/>
  <c r="B4763"/>
  <c r="H4763"/>
  <c r="AI4763"/>
  <c r="B4764"/>
  <c r="H4764"/>
  <c r="AI4764"/>
  <c r="B4765"/>
  <c r="H4765"/>
  <c r="AI4765"/>
  <c r="B4766"/>
  <c r="H4766"/>
  <c r="AI4766"/>
  <c r="B4767"/>
  <c r="H4767"/>
  <c r="AI4767"/>
  <c r="B4768"/>
  <c r="H4768"/>
  <c r="AI4768"/>
  <c r="B4769"/>
  <c r="H4769"/>
  <c r="AI4769"/>
  <c r="B4770"/>
  <c r="H4770"/>
  <c r="AI4770"/>
  <c r="B4771"/>
  <c r="H4771"/>
  <c r="AI4771"/>
  <c r="B4772"/>
  <c r="H4772"/>
  <c r="AI4772"/>
  <c r="B4773"/>
  <c r="H4773"/>
  <c r="AI4773"/>
  <c r="B4774"/>
  <c r="H4774"/>
  <c r="AI4774"/>
  <c r="B4775"/>
  <c r="H4775"/>
  <c r="AI4775"/>
  <c r="B4776"/>
  <c r="H4776"/>
  <c r="AI4776"/>
  <c r="B4777"/>
  <c r="H4777"/>
  <c r="AI4777"/>
  <c r="B4778"/>
  <c r="H4778"/>
  <c r="AI4778"/>
  <c r="B4779"/>
  <c r="H4779"/>
  <c r="AI4779"/>
  <c r="B4780"/>
  <c r="H4780"/>
  <c r="AI4780"/>
  <c r="B4781"/>
  <c r="H4781"/>
  <c r="AI4781"/>
  <c r="B4782"/>
  <c r="H4782"/>
  <c r="AI4782"/>
  <c r="B4783"/>
  <c r="H4783"/>
  <c r="AI4783"/>
  <c r="B4784"/>
  <c r="H4784"/>
  <c r="AI4784"/>
  <c r="B4785"/>
  <c r="H4785"/>
  <c r="AI4785"/>
  <c r="B4786"/>
  <c r="H4786"/>
  <c r="AI4786"/>
  <c r="B4787"/>
  <c r="H4787"/>
  <c r="AI4787"/>
  <c r="B4788"/>
  <c r="H4788"/>
  <c r="AI4788"/>
  <c r="B4789"/>
  <c r="H4789"/>
  <c r="AI4789"/>
  <c r="B4790"/>
  <c r="H4790"/>
  <c r="AI4790"/>
  <c r="B4791"/>
  <c r="H4791"/>
  <c r="AI4791"/>
  <c r="B4792"/>
  <c r="H4792"/>
  <c r="AI4792"/>
  <c r="B4793"/>
  <c r="H4793"/>
  <c r="AI4793"/>
  <c r="B4794"/>
  <c r="H4794"/>
  <c r="AI4794"/>
  <c r="B4795"/>
  <c r="H4795"/>
  <c r="AI4795"/>
  <c r="B4796"/>
  <c r="H4796"/>
  <c r="AI4796"/>
  <c r="B4797"/>
  <c r="H4797"/>
  <c r="AI4797"/>
  <c r="B4798"/>
  <c r="H4798"/>
  <c r="AI4798"/>
  <c r="B4799"/>
  <c r="H4799"/>
  <c r="AI4799"/>
  <c r="B4800"/>
  <c r="H4800"/>
  <c r="AI4800"/>
  <c r="B4801"/>
  <c r="H4801"/>
  <c r="AI4801"/>
  <c r="B4802"/>
  <c r="H4802"/>
  <c r="AI4802"/>
  <c r="B4803"/>
  <c r="H4803"/>
  <c r="AI4803"/>
  <c r="B4804"/>
  <c r="H4804"/>
  <c r="AI4804"/>
  <c r="B4805"/>
  <c r="H4805"/>
  <c r="AI4805"/>
  <c r="B4806"/>
  <c r="H4806"/>
  <c r="AI4806"/>
  <c r="B4807"/>
  <c r="H4807"/>
  <c r="AI4807"/>
  <c r="B4808"/>
  <c r="H4808"/>
  <c r="AI4808"/>
  <c r="B4809"/>
  <c r="H4809"/>
  <c r="AI4809"/>
  <c r="B4810"/>
  <c r="H4810"/>
  <c r="AI4810"/>
  <c r="B4811"/>
  <c r="H4811"/>
  <c r="AI4811"/>
  <c r="B4812"/>
  <c r="H4812"/>
  <c r="AI4812"/>
  <c r="B4813"/>
  <c r="H4813"/>
  <c r="AI4813"/>
  <c r="B4814"/>
  <c r="H4814"/>
  <c r="AI4814"/>
  <c r="B4815"/>
  <c r="H4815"/>
  <c r="AI4815"/>
  <c r="B4816"/>
  <c r="H4816"/>
  <c r="AI4816"/>
  <c r="B4817"/>
  <c r="H4817"/>
  <c r="AI4817"/>
  <c r="B4818"/>
  <c r="H4818"/>
  <c r="AI4818"/>
  <c r="B4819"/>
  <c r="H4819"/>
  <c r="AI4819"/>
  <c r="B4820"/>
  <c r="H4820"/>
  <c r="AI4820"/>
  <c r="B4821"/>
  <c r="H4821"/>
  <c r="AI4821"/>
  <c r="B4822"/>
  <c r="H4822"/>
  <c r="AI4822"/>
  <c r="B4823"/>
  <c r="H4823"/>
  <c r="AI4823"/>
  <c r="B4824"/>
  <c r="H4824"/>
  <c r="AI4824"/>
  <c r="B4825"/>
  <c r="H4825"/>
  <c r="AI4825"/>
  <c r="B4826"/>
  <c r="H4826"/>
  <c r="AI4826"/>
  <c r="B4827"/>
  <c r="H4827"/>
  <c r="AI4827"/>
  <c r="B4828"/>
  <c r="H4828"/>
  <c r="AI4828"/>
  <c r="B4829"/>
  <c r="H4829"/>
  <c r="AI4829"/>
  <c r="B4830"/>
  <c r="H4830"/>
  <c r="AI4830"/>
  <c r="B4831"/>
  <c r="H4831"/>
  <c r="AI4831"/>
  <c r="B4832"/>
  <c r="H4832"/>
  <c r="AI4832"/>
  <c r="B4833"/>
  <c r="H4833"/>
  <c r="AI4833"/>
  <c r="B4834"/>
  <c r="H4834"/>
  <c r="AI4834"/>
  <c r="B4835"/>
  <c r="H4835"/>
  <c r="AI4835"/>
  <c r="B4836"/>
  <c r="H4836"/>
  <c r="AI4836"/>
  <c r="B4837"/>
  <c r="H4837"/>
  <c r="AI4837"/>
  <c r="B4838"/>
  <c r="H4838"/>
  <c r="AI4838"/>
  <c r="B4839"/>
  <c r="H4839"/>
  <c r="AI4839"/>
  <c r="B4840"/>
  <c r="H4840"/>
  <c r="AI4840"/>
  <c r="B4841"/>
  <c r="H4841"/>
  <c r="AI4841"/>
  <c r="B4842"/>
  <c r="H4842"/>
  <c r="AI4842"/>
  <c r="B4843"/>
  <c r="H4843"/>
  <c r="AI4843"/>
  <c r="B4844"/>
  <c r="H4844"/>
  <c r="AI4844"/>
  <c r="B4845"/>
  <c r="H4845"/>
  <c r="AI4845"/>
  <c r="B4846"/>
  <c r="H4846"/>
  <c r="AI4846"/>
  <c r="B4847"/>
  <c r="H4847"/>
  <c r="AI4847"/>
  <c r="B4848"/>
  <c r="H4848"/>
  <c r="AI4848"/>
  <c r="B4849"/>
  <c r="H4849"/>
  <c r="AI4849"/>
  <c r="B4850"/>
  <c r="H4850"/>
  <c r="AI4850"/>
  <c r="B4851"/>
  <c r="H4851"/>
  <c r="AI4851"/>
  <c r="B4852"/>
  <c r="H4852"/>
  <c r="AI4852"/>
  <c r="B4853"/>
  <c r="H4853"/>
  <c r="AI4853"/>
  <c r="B4854"/>
  <c r="H4854"/>
  <c r="AI4854"/>
  <c r="B4855"/>
  <c r="H4855"/>
  <c r="AI4855"/>
  <c r="B4856"/>
  <c r="H4856"/>
  <c r="AI4856"/>
  <c r="B4857"/>
  <c r="H4857"/>
  <c r="AI4857"/>
  <c r="B4858"/>
  <c r="H4858"/>
  <c r="AI4858"/>
  <c r="B4859"/>
  <c r="H4859"/>
  <c r="AI4859"/>
  <c r="B4860"/>
  <c r="H4860"/>
  <c r="AI4860"/>
  <c r="B4861"/>
  <c r="H4861"/>
  <c r="AI4861"/>
  <c r="B4862"/>
  <c r="H4862"/>
  <c r="AI4862"/>
  <c r="B4863"/>
  <c r="H4863"/>
  <c r="AI4863"/>
  <c r="B4864"/>
  <c r="H4864"/>
  <c r="AI4864"/>
  <c r="B4865"/>
  <c r="H4865"/>
  <c r="AI4865"/>
  <c r="B4866"/>
  <c r="H4866"/>
  <c r="AI4866"/>
  <c r="B4867"/>
  <c r="H4867"/>
  <c r="AI4867"/>
  <c r="B4868"/>
  <c r="H4868"/>
  <c r="AI4868"/>
  <c r="B4869"/>
  <c r="H4869"/>
  <c r="AI4869"/>
  <c r="B4870"/>
  <c r="H4870"/>
  <c r="AI4870"/>
  <c r="B4871"/>
  <c r="H4871"/>
  <c r="AI4871"/>
  <c r="B4872"/>
  <c r="H4872"/>
  <c r="AI4872"/>
  <c r="B4873"/>
  <c r="H4873"/>
  <c r="AI4873"/>
  <c r="B4874"/>
  <c r="H4874"/>
  <c r="AI4874"/>
  <c r="B4875"/>
  <c r="H4875"/>
  <c r="AI4875"/>
  <c r="B4876"/>
  <c r="H4876"/>
  <c r="AI4876"/>
  <c r="B4877"/>
  <c r="H4877"/>
  <c r="AI4877"/>
  <c r="B4878"/>
  <c r="H4878"/>
  <c r="AI4878"/>
  <c r="B4879"/>
  <c r="H4879"/>
  <c r="AI4879"/>
  <c r="B4880"/>
  <c r="H4880"/>
  <c r="AI4880"/>
  <c r="B4881"/>
  <c r="H4881"/>
  <c r="AI4881"/>
  <c r="B4882"/>
  <c r="H4882"/>
  <c r="AI4882"/>
  <c r="B4883"/>
  <c r="H4883"/>
  <c r="AI4883"/>
  <c r="B4884"/>
  <c r="H4884"/>
  <c r="AI4884"/>
  <c r="B4885"/>
  <c r="H4885"/>
  <c r="AI4885"/>
  <c r="B4886"/>
  <c r="H4886"/>
  <c r="AI4886"/>
  <c r="B4887"/>
  <c r="H4887"/>
  <c r="AI4887"/>
  <c r="B4888"/>
  <c r="H4888"/>
  <c r="AI4888"/>
  <c r="B4889"/>
  <c r="H4889"/>
  <c r="AI4889"/>
  <c r="B4890"/>
  <c r="H4890"/>
  <c r="AI4890"/>
  <c r="B4891"/>
  <c r="H4891"/>
  <c r="AI4891"/>
  <c r="B4892"/>
  <c r="H4892"/>
  <c r="AI4892"/>
  <c r="B4893"/>
  <c r="H4893"/>
  <c r="AI4893"/>
  <c r="B4894"/>
  <c r="H4894"/>
  <c r="AI4894"/>
  <c r="B4895"/>
  <c r="H4895"/>
  <c r="AI4895"/>
  <c r="B4896"/>
  <c r="H4896"/>
  <c r="AI4896"/>
  <c r="B4897"/>
  <c r="H4897"/>
  <c r="AI4897"/>
  <c r="B4898"/>
  <c r="H4898"/>
  <c r="AI4898"/>
  <c r="B4899"/>
  <c r="H4899"/>
  <c r="AI4899"/>
  <c r="B4900"/>
  <c r="H4900"/>
  <c r="AI4900"/>
  <c r="B4901"/>
  <c r="H4901"/>
  <c r="AI4901"/>
  <c r="B4902"/>
  <c r="H4902"/>
  <c r="AI4902"/>
  <c r="B4903"/>
  <c r="H4903"/>
  <c r="AI4903"/>
  <c r="B4904"/>
  <c r="H4904"/>
  <c r="AI4904"/>
  <c r="B4905"/>
  <c r="H4905"/>
  <c r="AI4905"/>
  <c r="B4906"/>
  <c r="H4906"/>
  <c r="AI4906"/>
  <c r="B4907"/>
  <c r="H4907"/>
  <c r="AI4907"/>
  <c r="B4908"/>
  <c r="H4908"/>
  <c r="AI4908"/>
  <c r="B4909"/>
  <c r="H4909"/>
  <c r="AI4909"/>
  <c r="B4910"/>
  <c r="H4910"/>
  <c r="AI4910"/>
  <c r="B4911"/>
  <c r="H4911"/>
  <c r="AI4911"/>
  <c r="B4912"/>
  <c r="H4912"/>
  <c r="AI4912"/>
  <c r="B4913"/>
  <c r="H4913"/>
  <c r="AI4913"/>
  <c r="B4914"/>
  <c r="H4914"/>
  <c r="AI4914"/>
  <c r="B4915"/>
  <c r="H4915"/>
  <c r="AI4915"/>
  <c r="B4916"/>
  <c r="H4916"/>
  <c r="AI4916"/>
  <c r="B4917"/>
  <c r="H4917"/>
  <c r="AI4917"/>
  <c r="B4918"/>
  <c r="H4918"/>
  <c r="AI4918"/>
  <c r="B4919"/>
  <c r="H4919"/>
  <c r="AI4919"/>
  <c r="B4920"/>
  <c r="H4920"/>
  <c r="AI4920"/>
  <c r="B4921"/>
  <c r="H4921"/>
  <c r="AI4921"/>
  <c r="B4922"/>
  <c r="H4922"/>
  <c r="AI4922"/>
  <c r="B4923"/>
  <c r="H4923"/>
  <c r="AI4923"/>
  <c r="B4924"/>
  <c r="H4924"/>
  <c r="AI4924"/>
  <c r="B4925"/>
  <c r="H4925"/>
  <c r="AI4925"/>
  <c r="B4926"/>
  <c r="H4926"/>
  <c r="AI4926"/>
  <c r="B4927"/>
  <c r="H4927"/>
  <c r="AI4927"/>
  <c r="B4928"/>
  <c r="H4928"/>
  <c r="AI4928"/>
  <c r="B4929"/>
  <c r="H4929"/>
  <c r="AI4929"/>
  <c r="B4930"/>
  <c r="H4930"/>
  <c r="AI4930"/>
  <c r="B4931"/>
  <c r="H4931"/>
  <c r="AI4931"/>
  <c r="B4932"/>
  <c r="H4932"/>
  <c r="AI4932"/>
  <c r="B4933"/>
  <c r="H4933"/>
  <c r="AI4933"/>
  <c r="B4934"/>
  <c r="H4934"/>
  <c r="AI4934"/>
  <c r="B4935"/>
  <c r="H4935"/>
  <c r="AI4935"/>
  <c r="B4936"/>
  <c r="H4936"/>
  <c r="AI4936"/>
  <c r="B4937"/>
  <c r="H4937"/>
  <c r="AI4937"/>
  <c r="B4938"/>
  <c r="H4938"/>
  <c r="AI4938"/>
  <c r="B4939"/>
  <c r="H4939"/>
  <c r="AI4939"/>
  <c r="B4940"/>
  <c r="H4940"/>
  <c r="AI4940"/>
  <c r="B4941"/>
  <c r="H4941"/>
  <c r="AI4941"/>
  <c r="B4942"/>
  <c r="H4942"/>
  <c r="AI4942"/>
  <c r="B4943"/>
  <c r="H4943"/>
  <c r="AI4943"/>
  <c r="B4944"/>
  <c r="H4944"/>
  <c r="AI4944"/>
  <c r="B4945"/>
  <c r="H4945"/>
  <c r="AI4945"/>
  <c r="B4946"/>
  <c r="H4946"/>
  <c r="AI4946"/>
  <c r="B4947"/>
  <c r="H4947"/>
  <c r="AI4947"/>
  <c r="B4948"/>
  <c r="H4948"/>
  <c r="AI4948"/>
  <c r="B4949"/>
  <c r="H4949"/>
  <c r="AI4949"/>
  <c r="B4950"/>
  <c r="H4950"/>
  <c r="AI4950"/>
  <c r="B4951"/>
  <c r="H4951"/>
  <c r="AI4951"/>
  <c r="B4952"/>
  <c r="H4952"/>
  <c r="AI4952"/>
  <c r="B4953"/>
  <c r="H4953"/>
  <c r="AI4953"/>
  <c r="B4954"/>
  <c r="H4954"/>
  <c r="AI4954"/>
  <c r="B4955"/>
  <c r="H4955"/>
  <c r="AI4955"/>
  <c r="B4956"/>
  <c r="H4956"/>
  <c r="AI4956"/>
  <c r="B4957"/>
  <c r="H4957"/>
  <c r="AI4957"/>
  <c r="B4958"/>
  <c r="H4958"/>
  <c r="AI4958"/>
  <c r="B4959"/>
  <c r="H4959"/>
  <c r="AI4959"/>
  <c r="B4960"/>
  <c r="H4960"/>
  <c r="AI4960"/>
  <c r="B4961"/>
  <c r="H4961"/>
  <c r="AI4961"/>
  <c r="B4962"/>
  <c r="H4962"/>
  <c r="AI4962"/>
  <c r="B4963"/>
  <c r="H4963"/>
  <c r="AI4963"/>
  <c r="B4964"/>
  <c r="H4964"/>
  <c r="AI4964"/>
  <c r="B4965"/>
  <c r="H4965"/>
  <c r="AI4965"/>
  <c r="B4966"/>
  <c r="H4966"/>
  <c r="AI4966"/>
  <c r="B4967"/>
  <c r="H4967"/>
  <c r="AI4967"/>
  <c r="B4968"/>
  <c r="H4968"/>
  <c r="AI4968"/>
  <c r="B4969"/>
  <c r="H4969"/>
  <c r="AI4969"/>
  <c r="B4970"/>
  <c r="H4970"/>
  <c r="AI4970"/>
  <c r="B4971"/>
  <c r="H4971"/>
  <c r="AI4971"/>
  <c r="B4972"/>
  <c r="H4972"/>
  <c r="AI4972"/>
  <c r="B4973"/>
  <c r="H4973"/>
  <c r="AI4973"/>
  <c r="B4974"/>
  <c r="H4974"/>
  <c r="AI4974"/>
  <c r="B4975"/>
  <c r="H4975"/>
  <c r="AI4975"/>
  <c r="B4976"/>
  <c r="H4976"/>
  <c r="AI4976"/>
  <c r="B4977"/>
  <c r="H4977"/>
  <c r="AI4977"/>
  <c r="B4978"/>
  <c r="H4978"/>
  <c r="AI4978"/>
  <c r="B4979"/>
  <c r="H4979"/>
  <c r="AI4979"/>
  <c r="B4980"/>
  <c r="H4980"/>
  <c r="AI4980"/>
  <c r="B4981"/>
  <c r="H4981"/>
  <c r="AI4981"/>
  <c r="B4982"/>
  <c r="H4982"/>
  <c r="AI4982"/>
  <c r="B4983"/>
  <c r="H4983"/>
  <c r="AI4983"/>
  <c r="B4984"/>
  <c r="H4984"/>
  <c r="AI4984"/>
  <c r="B4985"/>
  <c r="H4985"/>
  <c r="AI4985"/>
  <c r="B4986"/>
  <c r="H4986"/>
  <c r="AI4986"/>
  <c r="B4987"/>
  <c r="H4987"/>
  <c r="AI4987"/>
  <c r="B4988"/>
  <c r="H4988"/>
  <c r="AI4988"/>
  <c r="B4989"/>
  <c r="H4989"/>
  <c r="AI4989"/>
  <c r="B4990"/>
  <c r="H4990"/>
  <c r="AI4990"/>
  <c r="B4991"/>
  <c r="H4991"/>
  <c r="AI4991"/>
  <c r="B4992"/>
  <c r="H4992"/>
  <c r="AI4992"/>
  <c r="B4993"/>
  <c r="H4993"/>
  <c r="AI4993"/>
  <c r="B4994"/>
  <c r="H4994"/>
  <c r="AI4994"/>
  <c r="B4995"/>
  <c r="H4995"/>
  <c r="AI4995"/>
  <c r="B4996"/>
  <c r="H4996"/>
  <c r="AI4996"/>
  <c r="B4997"/>
  <c r="H4997"/>
  <c r="AI4997"/>
  <c r="B4998"/>
  <c r="H4998"/>
  <c r="AI4998"/>
  <c r="B4999"/>
  <c r="H4999"/>
  <c r="AI4999"/>
  <c r="B5000"/>
  <c r="H5000"/>
  <c r="AI5000"/>
  <c r="B5001"/>
  <c r="H5001"/>
  <c r="AI5001"/>
  <c r="B5002"/>
  <c r="H5002"/>
  <c r="AI5002"/>
  <c r="B5003"/>
  <c r="H5003"/>
  <c r="AI5003"/>
  <c r="B5004"/>
  <c r="H5004"/>
  <c r="AI5004"/>
  <c r="B5005"/>
  <c r="H5005"/>
  <c r="AI5005"/>
  <c r="B5006"/>
  <c r="H5006"/>
  <c r="AI5006"/>
  <c r="B5007"/>
  <c r="H5007"/>
  <c r="AI5007"/>
  <c r="B5008"/>
  <c r="H5008"/>
  <c r="AI5008"/>
  <c r="B5009"/>
  <c r="H5009"/>
  <c r="AI5009"/>
  <c r="B5010"/>
  <c r="H5010"/>
  <c r="AI5010"/>
  <c r="B5011"/>
  <c r="H5011"/>
  <c r="AI5011"/>
  <c r="B5012"/>
  <c r="H5012"/>
  <c r="AI5012"/>
  <c r="B5013"/>
  <c r="H5013"/>
  <c r="AI5013"/>
  <c r="B5014"/>
  <c r="H5014"/>
  <c r="AI5014"/>
  <c r="B5015"/>
  <c r="H5015"/>
  <c r="AI5015"/>
  <c r="B5016"/>
  <c r="H5016"/>
  <c r="AI5016"/>
  <c r="B5017"/>
  <c r="H5017"/>
  <c r="AI5017"/>
  <c r="B5018"/>
  <c r="H5018"/>
  <c r="AI5018"/>
  <c r="B5019"/>
  <c r="H5019"/>
  <c r="AI5019"/>
  <c r="B5020"/>
  <c r="H5020"/>
  <c r="AI5020"/>
  <c r="B5021"/>
  <c r="H5021"/>
  <c r="AI5021"/>
  <c r="B5022"/>
  <c r="H5022"/>
  <c r="AI5022"/>
  <c r="B5023"/>
  <c r="H5023"/>
  <c r="AI5023"/>
  <c r="B5024"/>
  <c r="H5024"/>
  <c r="AI5024"/>
  <c r="B5025"/>
  <c r="H5025"/>
  <c r="AI5025"/>
  <c r="B5026"/>
  <c r="H5026"/>
  <c r="AI5026"/>
  <c r="B5027"/>
  <c r="H5027"/>
  <c r="AI5027"/>
  <c r="B5028"/>
  <c r="H5028"/>
  <c r="AI5028"/>
  <c r="B5029"/>
  <c r="H5029"/>
  <c r="AI5029"/>
  <c r="B5030"/>
  <c r="H5030"/>
  <c r="AI5030"/>
  <c r="B5031"/>
  <c r="H5031"/>
  <c r="AI5031"/>
  <c r="B5032"/>
  <c r="H5032"/>
  <c r="AI5032"/>
  <c r="B5033"/>
  <c r="H5033"/>
  <c r="AI5033"/>
  <c r="B5034"/>
  <c r="H5034"/>
  <c r="AI5034"/>
  <c r="B5035"/>
  <c r="H5035"/>
  <c r="AI5035"/>
  <c r="B5036"/>
  <c r="H5036"/>
  <c r="AI5036"/>
  <c r="B5037"/>
  <c r="H5037"/>
  <c r="AI5037"/>
  <c r="B5038"/>
  <c r="H5038"/>
  <c r="AI5038"/>
  <c r="B5039"/>
  <c r="H5039"/>
  <c r="AI5039"/>
  <c r="B5040"/>
  <c r="H5040"/>
  <c r="AI5040"/>
  <c r="B5041"/>
  <c r="H5041"/>
  <c r="AI5041"/>
  <c r="B5042"/>
  <c r="H5042"/>
  <c r="AI5042"/>
  <c r="B5043"/>
  <c r="H5043"/>
  <c r="AI5043"/>
  <c r="B5044"/>
  <c r="H5044"/>
  <c r="AI5044"/>
  <c r="B5045"/>
  <c r="H5045"/>
  <c r="AI5045"/>
  <c r="B5046"/>
  <c r="H5046"/>
  <c r="AI5046"/>
  <c r="B5047"/>
  <c r="H5047"/>
  <c r="AI5047"/>
  <c r="B5048"/>
  <c r="H5048"/>
  <c r="AI5048"/>
  <c r="B5049"/>
  <c r="H5049"/>
  <c r="AI5049"/>
  <c r="B5050"/>
  <c r="H5050"/>
  <c r="AI5050"/>
  <c r="B5051"/>
  <c r="H5051"/>
  <c r="AI5051"/>
  <c r="B5052"/>
  <c r="H5052"/>
  <c r="AI5052"/>
  <c r="B5053"/>
  <c r="H5053"/>
  <c r="AI5053"/>
  <c r="B5054"/>
  <c r="H5054"/>
  <c r="AI5054"/>
  <c r="B5055"/>
  <c r="H5055"/>
  <c r="AI5055"/>
  <c r="B5056"/>
  <c r="H5056"/>
  <c r="AI5056"/>
  <c r="B5057"/>
  <c r="H5057"/>
  <c r="AI5057"/>
  <c r="B5058"/>
  <c r="H5058"/>
  <c r="AI5058"/>
  <c r="B5059"/>
  <c r="H5059"/>
  <c r="AI5059"/>
  <c r="B5060"/>
  <c r="H5060"/>
  <c r="AI5060"/>
  <c r="B5061"/>
  <c r="H5061"/>
  <c r="AI5061"/>
  <c r="B5062"/>
  <c r="H5062"/>
  <c r="AI5062"/>
  <c r="B5063"/>
  <c r="H5063"/>
  <c r="AI5063"/>
  <c r="B5064"/>
  <c r="H5064"/>
  <c r="AI5064"/>
  <c r="B5065"/>
  <c r="H5065"/>
  <c r="AI5065"/>
  <c r="B5066"/>
  <c r="H5066"/>
  <c r="AI5066"/>
  <c r="B5067"/>
  <c r="H5067"/>
  <c r="AI5067"/>
  <c r="B5068"/>
  <c r="H5068"/>
  <c r="AI5068"/>
  <c r="B5069"/>
  <c r="H5069"/>
  <c r="AI5069"/>
  <c r="B5070"/>
  <c r="H5070"/>
  <c r="AI5070"/>
  <c r="B5071"/>
  <c r="H5071"/>
  <c r="AI5071"/>
  <c r="B5072"/>
  <c r="H5072"/>
  <c r="AI5072"/>
  <c r="B5073"/>
  <c r="H5073"/>
  <c r="AI5073"/>
  <c r="B5074"/>
  <c r="H5074"/>
  <c r="AI5074"/>
  <c r="B5075"/>
  <c r="H5075"/>
  <c r="AI5075"/>
  <c r="B5076"/>
  <c r="H5076"/>
  <c r="AI5076"/>
  <c r="B5077"/>
  <c r="H5077"/>
  <c r="AI5077"/>
  <c r="B5078"/>
  <c r="H5078"/>
  <c r="AI5078"/>
  <c r="B5079"/>
  <c r="H5079"/>
  <c r="AI5079"/>
  <c r="B5080"/>
  <c r="H5080"/>
  <c r="AI5080"/>
  <c r="B5081"/>
  <c r="H5081"/>
  <c r="AI5081"/>
  <c r="B5082"/>
  <c r="H5082"/>
  <c r="AI5082"/>
  <c r="B5083"/>
  <c r="H5083"/>
  <c r="AI5083"/>
  <c r="B5084"/>
  <c r="H5084"/>
  <c r="AI5084"/>
  <c r="B5085"/>
  <c r="H5085"/>
  <c r="AI5085"/>
  <c r="B5086"/>
  <c r="H5086"/>
  <c r="AI5086"/>
  <c r="B5087"/>
  <c r="H5087"/>
  <c r="AI5087"/>
  <c r="B5088"/>
  <c r="H5088"/>
  <c r="AI5088"/>
  <c r="B5089"/>
  <c r="H5089"/>
  <c r="AI5089"/>
  <c r="B5090"/>
  <c r="H5090"/>
  <c r="AI5090"/>
  <c r="B5091"/>
  <c r="H5091"/>
  <c r="AI5091"/>
  <c r="B5092"/>
  <c r="H5092"/>
  <c r="AI5092"/>
  <c r="B5093"/>
  <c r="H5093"/>
  <c r="AI5093"/>
  <c r="B5094"/>
  <c r="H5094"/>
  <c r="AI5094"/>
  <c r="B5095"/>
  <c r="H5095"/>
  <c r="AI5095"/>
  <c r="B5096"/>
  <c r="H5096"/>
  <c r="AI5096"/>
  <c r="B5097"/>
  <c r="H5097"/>
  <c r="AI5097"/>
  <c r="B5098"/>
  <c r="H5098"/>
  <c r="AI5098"/>
  <c r="B5099"/>
  <c r="H5099"/>
  <c r="AI5099"/>
  <c r="B5100"/>
  <c r="H5100"/>
  <c r="AI5100"/>
  <c r="B5101"/>
  <c r="H5101"/>
  <c r="AI5101"/>
  <c r="B5102"/>
  <c r="H5102"/>
  <c r="AI5102"/>
  <c r="B5103"/>
  <c r="H5103"/>
  <c r="AI5103"/>
  <c r="B5104"/>
  <c r="H5104"/>
  <c r="AI5104"/>
  <c r="B5105"/>
  <c r="H5105"/>
  <c r="AI5105"/>
  <c r="B5106"/>
  <c r="H5106"/>
  <c r="AI5106"/>
  <c r="B5107"/>
  <c r="H5107"/>
  <c r="AI5107"/>
  <c r="B5108"/>
  <c r="H5108"/>
  <c r="AI5108"/>
  <c r="B5109"/>
  <c r="H5109"/>
  <c r="AI5109"/>
  <c r="B5110"/>
  <c r="H5110"/>
  <c r="AI5110"/>
  <c r="B5111"/>
  <c r="H5111"/>
  <c r="AI5111"/>
  <c r="B5112"/>
  <c r="H5112"/>
  <c r="AI5112"/>
  <c r="B5113"/>
  <c r="H5113"/>
  <c r="AI5113"/>
  <c r="B5114"/>
  <c r="H5114"/>
  <c r="AI5114"/>
  <c r="B5115"/>
  <c r="H5115"/>
  <c r="AI5115"/>
  <c r="B5116"/>
  <c r="H5116"/>
  <c r="AI5116"/>
  <c r="B5117"/>
  <c r="H5117"/>
  <c r="AI5117"/>
  <c r="B5118"/>
  <c r="H5118"/>
  <c r="AI5118"/>
  <c r="B5119"/>
  <c r="H5119"/>
  <c r="AI5119"/>
  <c r="B5120"/>
  <c r="H5120"/>
  <c r="AI5120"/>
  <c r="B5121"/>
  <c r="H5121"/>
  <c r="AI5121"/>
  <c r="B5122"/>
  <c r="H5122"/>
  <c r="AI5122"/>
  <c r="B5123"/>
  <c r="H5123"/>
  <c r="AI5123"/>
  <c r="B5124"/>
  <c r="H5124"/>
  <c r="AI5124"/>
  <c r="B5125"/>
  <c r="H5125"/>
  <c r="AI5125"/>
  <c r="B5126"/>
  <c r="H5126"/>
  <c r="AI5126"/>
  <c r="B5127"/>
  <c r="H5127"/>
  <c r="AI5127"/>
  <c r="B5128"/>
  <c r="H5128"/>
  <c r="AI5128"/>
  <c r="B5129"/>
  <c r="H5129"/>
  <c r="AI5129"/>
  <c r="B5130"/>
  <c r="H5130"/>
  <c r="AI5130"/>
  <c r="B5131"/>
  <c r="H5131"/>
  <c r="AI5131"/>
  <c r="B5132"/>
  <c r="H5132"/>
  <c r="AI5132"/>
  <c r="B5133"/>
  <c r="H5133"/>
  <c r="AI5133"/>
  <c r="B5134"/>
  <c r="H5134"/>
  <c r="AI5134"/>
  <c r="B5135"/>
  <c r="H5135"/>
  <c r="AI5135"/>
  <c r="B5136"/>
  <c r="H5136"/>
  <c r="AI5136"/>
  <c r="B5137"/>
  <c r="H5137"/>
  <c r="AI5137"/>
  <c r="B5138"/>
  <c r="H5138"/>
  <c r="AI5138"/>
  <c r="B5139"/>
  <c r="H5139"/>
  <c r="AI5139"/>
  <c r="B5140"/>
  <c r="H5140"/>
  <c r="AI5140"/>
  <c r="B5141"/>
  <c r="H5141"/>
  <c r="AI5141"/>
  <c r="B5142"/>
  <c r="H5142"/>
  <c r="AI5142"/>
  <c r="B5143"/>
  <c r="H5143"/>
  <c r="AI5143"/>
  <c r="B5144"/>
  <c r="H5144"/>
  <c r="AI5144"/>
  <c r="B5145"/>
  <c r="H5145"/>
  <c r="AI5145"/>
  <c r="B5146"/>
  <c r="H5146"/>
  <c r="AI5146"/>
  <c r="B5147"/>
  <c r="H5147"/>
  <c r="AI5147"/>
  <c r="B5148"/>
  <c r="H5148"/>
  <c r="AI5148"/>
  <c r="B5149"/>
  <c r="H5149"/>
  <c r="AI5149"/>
  <c r="B5150"/>
  <c r="H5150"/>
  <c r="AI5150"/>
  <c r="B5151"/>
  <c r="H5151"/>
  <c r="AI5151"/>
  <c r="B5152"/>
  <c r="H5152"/>
  <c r="AI5152"/>
  <c r="B5153"/>
  <c r="H5153"/>
  <c r="AI5153"/>
  <c r="B5154"/>
  <c r="H5154"/>
  <c r="AI5154"/>
  <c r="B5155"/>
  <c r="H5155"/>
  <c r="AI5155"/>
  <c r="B5156"/>
  <c r="H5156"/>
  <c r="AI5156"/>
  <c r="B5157"/>
  <c r="H5157"/>
  <c r="AI5157"/>
  <c r="B5158"/>
  <c r="H5158"/>
  <c r="AI5158"/>
  <c r="B5159"/>
  <c r="H5159"/>
  <c r="AI5159"/>
  <c r="B5160"/>
  <c r="H5160"/>
  <c r="AI5160"/>
  <c r="B5161"/>
  <c r="H5161"/>
  <c r="AI5161"/>
  <c r="B5162"/>
  <c r="H5162"/>
  <c r="AI5162"/>
  <c r="B5163"/>
  <c r="H5163"/>
  <c r="AI5163"/>
  <c r="B5164"/>
  <c r="H5164"/>
  <c r="AI5164"/>
  <c r="B5165"/>
  <c r="H5165"/>
  <c r="AI5165"/>
  <c r="B5166"/>
  <c r="H5166"/>
  <c r="AI5166"/>
  <c r="B5167"/>
  <c r="H5167"/>
  <c r="AI5167"/>
  <c r="B5168"/>
  <c r="H5168"/>
  <c r="AI5168"/>
  <c r="B5169"/>
  <c r="H5169"/>
  <c r="AI5169"/>
  <c r="B5170"/>
  <c r="H5170"/>
  <c r="AI5170"/>
  <c r="B5171"/>
  <c r="H5171"/>
  <c r="AI5171"/>
  <c r="B5172"/>
  <c r="H5172"/>
  <c r="AI5172"/>
  <c r="B5173"/>
  <c r="H5173"/>
  <c r="AI5173"/>
  <c r="B5174"/>
  <c r="H5174"/>
  <c r="AI5174"/>
  <c r="B5175"/>
  <c r="H5175"/>
  <c r="AI5175"/>
  <c r="B5176"/>
  <c r="H5176"/>
  <c r="AI5176"/>
  <c r="B5177"/>
  <c r="H5177"/>
  <c r="AI5177"/>
  <c r="B5178"/>
  <c r="H5178"/>
  <c r="AI5178"/>
  <c r="B5179"/>
  <c r="H5179"/>
  <c r="AI5179"/>
  <c r="B5180"/>
  <c r="H5180"/>
  <c r="AI5180"/>
  <c r="B5181"/>
  <c r="H5181"/>
  <c r="AI5181"/>
  <c r="B5182"/>
  <c r="H5182"/>
  <c r="AI5182"/>
  <c r="B5183"/>
  <c r="H5183"/>
  <c r="AI5183"/>
  <c r="B5184"/>
  <c r="H5184"/>
  <c r="AI5184"/>
  <c r="B5185"/>
  <c r="H5185"/>
  <c r="AI5185"/>
  <c r="B5186"/>
  <c r="H5186"/>
  <c r="AI5186"/>
  <c r="B5187"/>
  <c r="H5187"/>
  <c r="AI5187"/>
  <c r="B5188"/>
  <c r="H5188"/>
  <c r="AI5188"/>
  <c r="B5189"/>
  <c r="H5189"/>
  <c r="AI5189"/>
  <c r="B5190"/>
  <c r="H5190"/>
  <c r="AI5190"/>
  <c r="B5191"/>
  <c r="H5191"/>
  <c r="AI5191"/>
  <c r="B5192"/>
  <c r="H5192"/>
  <c r="AI5192"/>
  <c r="B5193"/>
  <c r="H5193"/>
  <c r="AI5193"/>
  <c r="B5194"/>
  <c r="H5194"/>
  <c r="AI5194"/>
  <c r="B5195"/>
  <c r="H5195"/>
  <c r="AI5195"/>
  <c r="B5196"/>
  <c r="H5196"/>
  <c r="AI5196"/>
  <c r="B5197"/>
  <c r="H5197"/>
  <c r="AI5197"/>
  <c r="B5198"/>
  <c r="H5198"/>
  <c r="AI5198"/>
  <c r="B5199"/>
  <c r="H5199"/>
  <c r="AI5199"/>
  <c r="B5200"/>
  <c r="H5200"/>
  <c r="AI5200"/>
  <c r="B5201"/>
  <c r="H5201"/>
  <c r="AI5201"/>
  <c r="B5202"/>
  <c r="H5202"/>
  <c r="AI5202"/>
  <c r="B5203"/>
  <c r="H5203"/>
  <c r="AI5203"/>
  <c r="B5204"/>
  <c r="H5204"/>
  <c r="AI5204"/>
  <c r="B5205"/>
  <c r="H5205"/>
  <c r="AI5205"/>
  <c r="B5206"/>
  <c r="H5206"/>
  <c r="AI5206"/>
  <c r="B5207"/>
  <c r="H5207"/>
  <c r="AI5207"/>
  <c r="B5208"/>
  <c r="H5208"/>
  <c r="AI5208"/>
  <c r="B5209"/>
  <c r="H5209"/>
  <c r="AI5209"/>
  <c r="B5210"/>
  <c r="H5210"/>
  <c r="AI5210"/>
  <c r="B5211"/>
  <c r="H5211"/>
  <c r="AI5211"/>
  <c r="B5212"/>
  <c r="H5212"/>
  <c r="AI5212"/>
  <c r="B5213"/>
  <c r="H5213"/>
  <c r="AI5213"/>
  <c r="B5214"/>
  <c r="H5214"/>
  <c r="AI5214"/>
  <c r="B5215"/>
  <c r="H5215"/>
  <c r="AI5215"/>
  <c r="B5216"/>
  <c r="H5216"/>
  <c r="AI5216"/>
  <c r="B5217"/>
  <c r="H5217"/>
  <c r="AI5217"/>
  <c r="B5218"/>
  <c r="H5218"/>
  <c r="AI5218"/>
  <c r="B5219"/>
  <c r="H5219"/>
  <c r="AI5219"/>
  <c r="B5220"/>
  <c r="H5220"/>
  <c r="AI5220"/>
  <c r="B5221"/>
  <c r="H5221"/>
  <c r="AI5221"/>
  <c r="B5222"/>
  <c r="H5222"/>
  <c r="AI5222"/>
  <c r="B5223"/>
  <c r="H5223"/>
  <c r="AI5223"/>
  <c r="B5224"/>
  <c r="H5224"/>
  <c r="AI5224"/>
  <c r="B5225"/>
  <c r="H5225"/>
  <c r="AI5225"/>
  <c r="B5226"/>
  <c r="H5226"/>
  <c r="AI5226"/>
  <c r="B5227"/>
  <c r="H5227"/>
  <c r="AI5227"/>
  <c r="B5228"/>
  <c r="H5228"/>
  <c r="AI5228"/>
  <c r="B5229"/>
  <c r="H5229"/>
  <c r="AI5229"/>
  <c r="B5230"/>
  <c r="H5230"/>
  <c r="AI5230"/>
  <c r="B5231"/>
  <c r="H5231"/>
  <c r="AI5231"/>
  <c r="B5232"/>
  <c r="H5232"/>
  <c r="AI5232"/>
  <c r="B5233"/>
  <c r="H5233"/>
  <c r="AI5233"/>
  <c r="B5234"/>
  <c r="H5234"/>
  <c r="AI5234"/>
  <c r="B5235"/>
  <c r="H5235"/>
  <c r="AI5235"/>
  <c r="B5236"/>
  <c r="H5236"/>
  <c r="AI5236"/>
  <c r="B5237"/>
  <c r="H5237"/>
  <c r="AI5237"/>
  <c r="B5238"/>
  <c r="H5238"/>
  <c r="AI5238"/>
  <c r="B5239"/>
  <c r="H5239"/>
  <c r="AI5239"/>
  <c r="B5240"/>
  <c r="H5240"/>
  <c r="AI5240"/>
  <c r="B5241"/>
  <c r="H5241"/>
  <c r="AI5241"/>
  <c r="B5242"/>
  <c r="H5242"/>
  <c r="AI5242"/>
  <c r="B5243"/>
  <c r="H5243"/>
  <c r="AI5243"/>
  <c r="B5244"/>
  <c r="H5244"/>
  <c r="AI5244"/>
  <c r="B5245"/>
  <c r="H5245"/>
  <c r="AI5245"/>
  <c r="B5246"/>
  <c r="H5246"/>
  <c r="AI5246"/>
  <c r="B5247"/>
  <c r="H5247"/>
  <c r="AI5247"/>
  <c r="B5248"/>
  <c r="H5248"/>
  <c r="AI5248"/>
  <c r="B5249"/>
  <c r="H5249"/>
  <c r="AI5249"/>
  <c r="B5250"/>
  <c r="H5250"/>
  <c r="AI5250"/>
  <c r="B5251"/>
  <c r="H5251"/>
  <c r="AI5251"/>
  <c r="B5252"/>
  <c r="H5252"/>
  <c r="AI5252"/>
  <c r="B5253"/>
  <c r="H5253"/>
  <c r="AI5253"/>
  <c r="B5254"/>
  <c r="H5254"/>
  <c r="AI5254"/>
  <c r="B5255"/>
  <c r="H5255"/>
  <c r="AI5255"/>
  <c r="B5256"/>
  <c r="H5256"/>
  <c r="AI5256"/>
  <c r="B5257"/>
  <c r="H5257"/>
  <c r="AI5257"/>
  <c r="B5258"/>
  <c r="H5258"/>
  <c r="AI5258"/>
  <c r="B5259"/>
  <c r="H5259"/>
  <c r="AI5259"/>
  <c r="B5260"/>
  <c r="H5260"/>
  <c r="AI5260"/>
  <c r="B5261"/>
  <c r="H5261"/>
  <c r="AI5261"/>
  <c r="B5262"/>
  <c r="H5262"/>
  <c r="AI5262"/>
  <c r="B5263"/>
  <c r="H5263"/>
  <c r="AI5263"/>
  <c r="B5264"/>
  <c r="H5264"/>
  <c r="AI5264"/>
  <c r="B5265"/>
  <c r="H5265"/>
  <c r="AI5265"/>
  <c r="B5266"/>
  <c r="H5266"/>
  <c r="AI5266"/>
  <c r="B5267"/>
  <c r="H5267"/>
  <c r="AI5267"/>
  <c r="B5268"/>
  <c r="H5268"/>
  <c r="AI5268"/>
  <c r="B5269"/>
  <c r="H5269"/>
  <c r="AI5269"/>
  <c r="B5270"/>
  <c r="H5270"/>
  <c r="AI5270"/>
  <c r="B5271"/>
  <c r="H5271"/>
  <c r="AI5271"/>
  <c r="B5272"/>
  <c r="H5272"/>
  <c r="AI5272"/>
  <c r="B5273"/>
  <c r="H5273"/>
  <c r="AI5273"/>
  <c r="B5274"/>
  <c r="H5274"/>
  <c r="AI5274"/>
  <c r="B5275"/>
  <c r="H5275"/>
  <c r="AI5275"/>
  <c r="B5276"/>
  <c r="H5276"/>
  <c r="AI5276"/>
  <c r="B5277"/>
  <c r="H5277"/>
  <c r="AI5277"/>
  <c r="B5278"/>
  <c r="H5278"/>
  <c r="AI5278"/>
  <c r="B5279"/>
  <c r="H5279"/>
  <c r="AI5279"/>
  <c r="B5280"/>
  <c r="H5280"/>
  <c r="AI5280"/>
  <c r="B5281"/>
  <c r="H5281"/>
  <c r="AI5281"/>
  <c r="B5282"/>
  <c r="H5282"/>
  <c r="AI5282"/>
  <c r="B5283"/>
  <c r="H5283"/>
  <c r="AI5283"/>
  <c r="B5284"/>
  <c r="H5284"/>
  <c r="AI5284"/>
  <c r="B5285"/>
  <c r="H5285"/>
  <c r="AI5285"/>
  <c r="B5286"/>
  <c r="H5286"/>
  <c r="AI5286"/>
  <c r="B5287"/>
  <c r="H5287"/>
  <c r="AI5287"/>
  <c r="B5288"/>
  <c r="H5288"/>
  <c r="AI5288"/>
  <c r="B5289"/>
  <c r="H5289"/>
  <c r="AI5289"/>
  <c r="B5290"/>
  <c r="H5290"/>
  <c r="AI5290"/>
  <c r="B5291"/>
  <c r="H5291"/>
  <c r="AI5291"/>
  <c r="B5292"/>
  <c r="H5292"/>
  <c r="AI5292"/>
  <c r="B5293"/>
  <c r="H5293"/>
  <c r="AI5293"/>
  <c r="B5294"/>
  <c r="H5294"/>
  <c r="AI5294"/>
  <c r="B5295"/>
  <c r="H5295"/>
  <c r="AI5295"/>
  <c r="B5296"/>
  <c r="H5296"/>
  <c r="AI5296"/>
  <c r="B5297"/>
  <c r="H5297"/>
  <c r="AI5297"/>
  <c r="B5298"/>
  <c r="H5298"/>
  <c r="AI5298"/>
  <c r="B5299"/>
  <c r="H5299"/>
  <c r="AI5299"/>
  <c r="B5300"/>
  <c r="H5300"/>
  <c r="AI5300"/>
  <c r="B5301"/>
  <c r="H5301"/>
  <c r="AI5301"/>
  <c r="B5302"/>
  <c r="H5302"/>
  <c r="AI5302"/>
  <c r="B5303"/>
  <c r="H5303"/>
  <c r="AI5303"/>
  <c r="B5304"/>
  <c r="H5304"/>
  <c r="AI5304"/>
  <c r="B5305"/>
  <c r="H5305"/>
  <c r="AI5305"/>
  <c r="B5306"/>
  <c r="H5306"/>
  <c r="AI5306"/>
  <c r="B5307"/>
  <c r="H5307"/>
  <c r="AI5307"/>
  <c r="B5308"/>
  <c r="H5308"/>
  <c r="AI5308"/>
  <c r="B5309"/>
  <c r="H5309"/>
  <c r="AI5309"/>
  <c r="B5310"/>
  <c r="H5310"/>
  <c r="AI5310"/>
  <c r="B5311"/>
  <c r="H5311"/>
  <c r="AI5311"/>
  <c r="B5312"/>
  <c r="H5312"/>
  <c r="AI5312"/>
  <c r="B5313"/>
  <c r="H5313"/>
  <c r="AI5313"/>
  <c r="B5314"/>
  <c r="H5314"/>
  <c r="AI5314"/>
  <c r="B5315"/>
  <c r="H5315"/>
  <c r="AI5315"/>
  <c r="B5316"/>
  <c r="H5316"/>
  <c r="AI5316"/>
  <c r="B5317"/>
  <c r="H5317"/>
  <c r="AI5317"/>
  <c r="B5318"/>
  <c r="H5318"/>
  <c r="AI5318"/>
  <c r="B5319"/>
  <c r="H5319"/>
  <c r="AI5319"/>
  <c r="B5320"/>
  <c r="H5320"/>
  <c r="AI5320"/>
  <c r="B5321"/>
  <c r="H5321"/>
  <c r="AI5321"/>
  <c r="B5322"/>
  <c r="H5322"/>
  <c r="AI5322"/>
  <c r="B5323"/>
  <c r="H5323"/>
  <c r="AI5323"/>
  <c r="B5324"/>
  <c r="H5324"/>
  <c r="AI5324"/>
  <c r="B5325"/>
  <c r="H5325"/>
  <c r="AI5325"/>
  <c r="B5326"/>
  <c r="H5326"/>
  <c r="AI5326"/>
  <c r="B5327"/>
  <c r="H5327"/>
  <c r="AI5327"/>
  <c r="B5328"/>
  <c r="H5328"/>
  <c r="AI5328"/>
  <c r="B5329"/>
  <c r="H5329"/>
  <c r="AI5329"/>
  <c r="B5330"/>
  <c r="H5330"/>
  <c r="AI5330"/>
  <c r="B5331"/>
  <c r="H5331"/>
  <c r="AI5331"/>
  <c r="B5332"/>
  <c r="H5332"/>
  <c r="AI5332"/>
  <c r="B5333"/>
  <c r="H5333"/>
  <c r="AI5333"/>
  <c r="B5334"/>
  <c r="H5334"/>
  <c r="AI5334"/>
  <c r="B5335"/>
  <c r="H5335"/>
  <c r="AI5335"/>
  <c r="B5336"/>
  <c r="H5336"/>
  <c r="AI5336"/>
  <c r="B5337"/>
  <c r="H5337"/>
  <c r="AI5337"/>
  <c r="B5338"/>
  <c r="H5338"/>
  <c r="AI5338"/>
  <c r="B5339"/>
  <c r="H5339"/>
  <c r="AI5339"/>
  <c r="B5340"/>
  <c r="H5340"/>
  <c r="AI5340"/>
  <c r="B5341"/>
  <c r="H5341"/>
  <c r="AI5341"/>
  <c r="B5342"/>
  <c r="H5342"/>
  <c r="AI5342"/>
  <c r="B5343"/>
  <c r="H5343"/>
  <c r="AI5343"/>
  <c r="B5344"/>
  <c r="H5344"/>
  <c r="AI5344"/>
  <c r="B5345"/>
  <c r="H5345"/>
  <c r="AI5345"/>
  <c r="B5346"/>
  <c r="H5346"/>
  <c r="AI5346"/>
  <c r="B5347"/>
  <c r="H5347"/>
  <c r="AI5347"/>
  <c r="B5348"/>
  <c r="H5348"/>
  <c r="AI5348"/>
  <c r="B5349"/>
  <c r="H5349"/>
  <c r="AI5349"/>
  <c r="B5350"/>
  <c r="H5350"/>
  <c r="AI5350"/>
  <c r="B5351"/>
  <c r="H5351"/>
  <c r="AI5351"/>
  <c r="B5352"/>
  <c r="H5352"/>
  <c r="AI5352"/>
  <c r="B5353"/>
  <c r="H5353"/>
  <c r="AI5353"/>
  <c r="B5354"/>
  <c r="H5354"/>
  <c r="AI5354"/>
  <c r="B5355"/>
  <c r="H5355"/>
  <c r="AI5355"/>
  <c r="B5356"/>
  <c r="H5356"/>
  <c r="AI5356"/>
  <c r="B5357"/>
  <c r="H5357"/>
  <c r="AI5357"/>
  <c r="B5358"/>
  <c r="H5358"/>
  <c r="AI5358"/>
  <c r="B5359"/>
  <c r="H5359"/>
  <c r="AI5359"/>
  <c r="B5360"/>
  <c r="H5360"/>
  <c r="AI5360"/>
  <c r="B5361"/>
  <c r="H5361"/>
  <c r="AI5361"/>
  <c r="B5362"/>
  <c r="H5362"/>
  <c r="AI5362"/>
  <c r="B5363"/>
  <c r="H5363"/>
  <c r="AI5363"/>
  <c r="B5364"/>
  <c r="H5364"/>
  <c r="AI5364"/>
  <c r="B5365"/>
  <c r="H5365"/>
  <c r="AI5365"/>
  <c r="B5366"/>
  <c r="H5366"/>
  <c r="AI5366"/>
  <c r="B5367"/>
  <c r="H5367"/>
  <c r="AI5367"/>
  <c r="B5368"/>
  <c r="H5368"/>
  <c r="AI5368"/>
  <c r="B5369"/>
  <c r="H5369"/>
  <c r="AI5369"/>
  <c r="B5370"/>
  <c r="H5370"/>
  <c r="AI5370"/>
  <c r="B5371"/>
  <c r="H5371"/>
  <c r="AI5371"/>
  <c r="B5372"/>
  <c r="H5372"/>
  <c r="AI5372"/>
  <c r="B5373"/>
  <c r="H5373"/>
  <c r="AI5373"/>
  <c r="B5374"/>
  <c r="H5374"/>
  <c r="AI5374"/>
  <c r="B5375"/>
  <c r="H5375"/>
  <c r="AI5375"/>
  <c r="B5376"/>
  <c r="H5376"/>
  <c r="AI5376"/>
  <c r="B5377"/>
  <c r="H5377"/>
  <c r="AI5377"/>
  <c r="B5378"/>
  <c r="H5378"/>
  <c r="AI5378"/>
  <c r="B5379"/>
  <c r="H5379"/>
  <c r="AI5379"/>
  <c r="B5380"/>
  <c r="H5380"/>
  <c r="AI5380"/>
  <c r="B5381"/>
  <c r="H5381"/>
  <c r="AI5381"/>
  <c r="B5382"/>
  <c r="H5382"/>
  <c r="AI5382"/>
  <c r="B5383"/>
  <c r="H5383"/>
  <c r="AI5383"/>
  <c r="B5384"/>
  <c r="H5384"/>
  <c r="AI5384"/>
  <c r="B5385"/>
  <c r="H5385"/>
  <c r="AI5385"/>
  <c r="B5386"/>
  <c r="H5386"/>
  <c r="AI5386"/>
  <c r="B5387"/>
  <c r="H5387"/>
  <c r="AI5387"/>
  <c r="B5388"/>
  <c r="H5388"/>
  <c r="AI5388"/>
  <c r="B5389"/>
  <c r="H5389"/>
  <c r="AI5389"/>
  <c r="B5390"/>
  <c r="H5390"/>
  <c r="AI5390"/>
  <c r="B5391"/>
  <c r="H5391"/>
  <c r="AI5391"/>
  <c r="B5392"/>
  <c r="H5392"/>
  <c r="AI5392"/>
  <c r="B5393"/>
  <c r="H5393"/>
  <c r="AI5393"/>
  <c r="B5394"/>
  <c r="H5394"/>
  <c r="AI5394"/>
  <c r="B5395"/>
  <c r="H5395"/>
  <c r="AI5395"/>
  <c r="B5396"/>
  <c r="H5396"/>
  <c r="AI5396"/>
  <c r="B5397"/>
  <c r="H5397"/>
  <c r="AI5397"/>
  <c r="B5398"/>
  <c r="H5398"/>
  <c r="AI5398"/>
  <c r="B5399"/>
  <c r="H5399"/>
  <c r="AI5399"/>
  <c r="B5400"/>
  <c r="H5400"/>
  <c r="AI5400"/>
  <c r="B5401"/>
  <c r="H5401"/>
  <c r="AI5401"/>
  <c r="B5402"/>
  <c r="H5402"/>
  <c r="AI5402"/>
  <c r="B5403"/>
  <c r="H5403"/>
  <c r="AI5403"/>
  <c r="B5404"/>
  <c r="H5404"/>
  <c r="AI5404"/>
  <c r="B5405"/>
  <c r="H5405"/>
  <c r="AI5405"/>
  <c r="B5406"/>
  <c r="H5406"/>
  <c r="AI5406"/>
  <c r="B5407"/>
  <c r="H5407"/>
  <c r="AI5407"/>
  <c r="B5408"/>
  <c r="H5408"/>
  <c r="AI5408"/>
  <c r="B5409"/>
  <c r="H5409"/>
  <c r="AI5409"/>
  <c r="B5410"/>
  <c r="H5410"/>
  <c r="AI5410"/>
  <c r="B5411"/>
  <c r="H5411"/>
  <c r="AI5411"/>
  <c r="B5412"/>
  <c r="H5412"/>
  <c r="AI5412"/>
  <c r="B5413"/>
  <c r="H5413"/>
  <c r="AI5413"/>
  <c r="B5414"/>
  <c r="H5414"/>
  <c r="AI5414"/>
  <c r="B5415"/>
  <c r="H5415"/>
  <c r="AI5415"/>
  <c r="B5416"/>
  <c r="H5416"/>
  <c r="AI5416"/>
  <c r="B5417"/>
  <c r="H5417"/>
  <c r="AI5417"/>
  <c r="B5418"/>
  <c r="H5418"/>
  <c r="AI5418"/>
  <c r="B5419"/>
  <c r="H5419"/>
  <c r="AI5419"/>
  <c r="B5420"/>
  <c r="H5420"/>
  <c r="AI5420"/>
  <c r="B5421"/>
  <c r="H5421"/>
  <c r="AI5421"/>
  <c r="B5422"/>
  <c r="H5422"/>
  <c r="AI5422"/>
  <c r="B5423"/>
  <c r="H5423"/>
  <c r="AI5423"/>
  <c r="B5424"/>
  <c r="H5424"/>
  <c r="AI5424"/>
  <c r="B5425"/>
  <c r="H5425"/>
  <c r="AI5425"/>
  <c r="B5426"/>
  <c r="H5426"/>
  <c r="AI5426"/>
  <c r="B5427"/>
  <c r="H5427"/>
  <c r="AI5427"/>
  <c r="B5428"/>
  <c r="H5428"/>
  <c r="AI5428"/>
  <c r="B5429"/>
  <c r="H5429"/>
  <c r="AI5429"/>
  <c r="B5430"/>
  <c r="H5430"/>
  <c r="AI5430"/>
  <c r="B5431"/>
  <c r="H5431"/>
  <c r="AI5431"/>
  <c r="B5432"/>
  <c r="H5432"/>
  <c r="AI5432"/>
  <c r="B5433"/>
  <c r="H5433"/>
  <c r="AI5433"/>
  <c r="B5434"/>
  <c r="H5434"/>
  <c r="AI5434"/>
  <c r="B5435"/>
  <c r="H5435"/>
  <c r="AI5435"/>
  <c r="B5436"/>
  <c r="H5436"/>
  <c r="AI5436"/>
  <c r="B5437"/>
  <c r="H5437"/>
  <c r="AI5437"/>
  <c r="B5438"/>
  <c r="H5438"/>
  <c r="AI5438"/>
  <c r="B5439"/>
  <c r="H5439"/>
  <c r="AI5439"/>
  <c r="B5440"/>
  <c r="H5440"/>
  <c r="AI5440"/>
  <c r="B5441"/>
  <c r="H5441"/>
  <c r="AI5441"/>
  <c r="B5442"/>
  <c r="H5442"/>
  <c r="AI5442"/>
  <c r="B5443"/>
  <c r="H5443"/>
  <c r="AI5443"/>
  <c r="B5444"/>
  <c r="H5444"/>
  <c r="AI5444"/>
  <c r="B5445"/>
  <c r="H5445"/>
  <c r="AI5445"/>
  <c r="B5446"/>
  <c r="H5446"/>
  <c r="AI5446"/>
  <c r="B5447"/>
  <c r="H5447"/>
  <c r="AI5447"/>
  <c r="B5448"/>
  <c r="H5448"/>
  <c r="AI5448"/>
  <c r="B5449"/>
  <c r="H5449"/>
  <c r="AI5449"/>
  <c r="B5450"/>
  <c r="H5450"/>
  <c r="AI5450"/>
  <c r="B5451"/>
  <c r="H5451"/>
  <c r="AI5451"/>
  <c r="B5452"/>
  <c r="H5452"/>
  <c r="AI5452"/>
  <c r="B5453"/>
  <c r="H5453"/>
  <c r="AI5453"/>
  <c r="B5454"/>
  <c r="H5454"/>
  <c r="AI5454"/>
  <c r="B5455"/>
  <c r="H5455"/>
  <c r="AI5455"/>
  <c r="B5456"/>
  <c r="H5456"/>
  <c r="AI5456"/>
  <c r="B5457"/>
  <c r="H5457"/>
  <c r="AI5457"/>
  <c r="B5458"/>
  <c r="H5458"/>
  <c r="AI5458"/>
  <c r="B5459"/>
  <c r="H5459"/>
  <c r="AI5459"/>
  <c r="B5460"/>
  <c r="H5460"/>
  <c r="AI5460"/>
  <c r="B5461"/>
  <c r="H5461"/>
  <c r="AI5461"/>
  <c r="B5462"/>
  <c r="H5462"/>
  <c r="AI5462"/>
  <c r="B5463"/>
  <c r="H5463"/>
  <c r="AI5463"/>
  <c r="B5464"/>
  <c r="H5464"/>
  <c r="AI5464"/>
  <c r="B5465"/>
  <c r="H5465"/>
  <c r="AI5465"/>
  <c r="B5466"/>
  <c r="H5466"/>
  <c r="AI5466"/>
  <c r="B5467"/>
  <c r="H5467"/>
  <c r="AI5467"/>
  <c r="B5468"/>
  <c r="H5468"/>
  <c r="AI5468"/>
  <c r="B5469"/>
  <c r="H5469"/>
  <c r="AI5469"/>
  <c r="B5470"/>
  <c r="H5470"/>
  <c r="AI5470"/>
  <c r="B5471"/>
  <c r="H5471"/>
  <c r="AI5471"/>
  <c r="B5472"/>
  <c r="H5472"/>
  <c r="AI5472"/>
  <c r="B5473"/>
  <c r="H5473"/>
  <c r="AI5473"/>
  <c r="B5474"/>
  <c r="H5474"/>
  <c r="AI5474"/>
  <c r="B5475"/>
  <c r="H5475"/>
  <c r="AI5475"/>
  <c r="B5476"/>
  <c r="H5476"/>
  <c r="AI5476"/>
  <c r="B5477"/>
  <c r="H5477"/>
  <c r="AI5477"/>
  <c r="B5478"/>
  <c r="H5478"/>
  <c r="AI5478"/>
  <c r="B5479"/>
  <c r="H5479"/>
  <c r="AI5479"/>
  <c r="B5480"/>
  <c r="H5480"/>
  <c r="AI5480"/>
  <c r="B5481"/>
  <c r="H5481"/>
  <c r="AI5481"/>
  <c r="B5482"/>
  <c r="H5482"/>
  <c r="AI5482"/>
  <c r="B5483"/>
  <c r="H5483"/>
  <c r="AI5483"/>
  <c r="B5484"/>
  <c r="H5484"/>
  <c r="AI5484"/>
  <c r="B5485"/>
  <c r="H5485"/>
  <c r="AI5485"/>
  <c r="B5486"/>
  <c r="H5486"/>
  <c r="AI5486"/>
  <c r="B5487"/>
  <c r="H5487"/>
  <c r="AI5487"/>
  <c r="B5488"/>
  <c r="H5488"/>
  <c r="AI5488"/>
  <c r="B5489"/>
  <c r="H5489"/>
  <c r="AI5489"/>
  <c r="B5490"/>
  <c r="H5490"/>
  <c r="AI5490"/>
  <c r="B5491"/>
  <c r="H5491"/>
  <c r="AI5491"/>
  <c r="B5492"/>
  <c r="H5492"/>
  <c r="AI5492"/>
  <c r="B5493"/>
  <c r="H5493"/>
  <c r="AI5493"/>
  <c r="B5494"/>
  <c r="H5494"/>
  <c r="AI5494"/>
  <c r="B5495"/>
  <c r="H5495"/>
  <c r="AI5495"/>
  <c r="B5496"/>
  <c r="H5496"/>
  <c r="AI5496"/>
  <c r="B5497"/>
  <c r="H5497"/>
  <c r="AI5497"/>
  <c r="B5498"/>
  <c r="H5498"/>
  <c r="AI5498"/>
  <c r="B5499"/>
  <c r="H5499"/>
  <c r="AI5499"/>
  <c r="B5500"/>
  <c r="H5500"/>
  <c r="AI5500"/>
  <c r="B5501"/>
  <c r="H5501"/>
  <c r="AI5501"/>
  <c r="B5502"/>
  <c r="H5502"/>
  <c r="AI5502"/>
  <c r="B5503"/>
  <c r="H5503"/>
  <c r="AI5503"/>
  <c r="B5504"/>
  <c r="H5504"/>
  <c r="AI5504"/>
  <c r="B5505"/>
  <c r="H5505"/>
  <c r="AI5505"/>
  <c r="B5506"/>
  <c r="H5506"/>
  <c r="AI5506"/>
  <c r="B5507"/>
  <c r="H5507"/>
  <c r="AI5507"/>
  <c r="B5508"/>
  <c r="H5508"/>
  <c r="AI5508"/>
  <c r="B5509"/>
  <c r="H5509"/>
  <c r="AI5509"/>
  <c r="B5510"/>
  <c r="H5510"/>
  <c r="AI5510"/>
  <c r="B5511"/>
  <c r="H5511"/>
  <c r="AI5511"/>
  <c r="B5512"/>
  <c r="H5512"/>
  <c r="AI5512"/>
  <c r="B5513"/>
  <c r="H5513"/>
  <c r="AI5513"/>
  <c r="B5514"/>
  <c r="H5514"/>
  <c r="AI5514"/>
  <c r="B5515"/>
  <c r="H5515"/>
  <c r="AI5515"/>
  <c r="B5516"/>
  <c r="H5516"/>
  <c r="AI5516"/>
  <c r="B5517"/>
  <c r="H5517"/>
  <c r="AI5517"/>
  <c r="B5518"/>
  <c r="H5518"/>
  <c r="AI5518"/>
  <c r="B5519"/>
  <c r="H5519"/>
  <c r="AI5519"/>
  <c r="B5520"/>
  <c r="H5520"/>
  <c r="AI5520"/>
  <c r="B5521"/>
  <c r="H5521"/>
  <c r="AI5521"/>
  <c r="B5522"/>
  <c r="H5522"/>
  <c r="AI5522"/>
  <c r="B5523"/>
  <c r="H5523"/>
  <c r="AI5523"/>
  <c r="B5524"/>
  <c r="H5524"/>
  <c r="AI5524"/>
  <c r="B5525"/>
  <c r="H5525"/>
  <c r="AI5525"/>
  <c r="B5526"/>
  <c r="H5526"/>
  <c r="AI5526"/>
  <c r="B5527"/>
  <c r="H5527"/>
  <c r="AI5527"/>
  <c r="B5528"/>
  <c r="H5528"/>
  <c r="AI5528"/>
  <c r="B5529"/>
  <c r="H5529"/>
  <c r="AI5529"/>
  <c r="B5530"/>
  <c r="H5530"/>
  <c r="AI5530"/>
  <c r="B5531"/>
  <c r="H5531"/>
  <c r="AI5531"/>
  <c r="B5532"/>
  <c r="H5532"/>
  <c r="AI5532"/>
  <c r="B5533"/>
  <c r="H5533"/>
  <c r="AI5533"/>
  <c r="B5534"/>
  <c r="H5534"/>
  <c r="AI5534"/>
  <c r="B5535"/>
  <c r="H5535"/>
  <c r="AI5535"/>
  <c r="B5536"/>
  <c r="H5536"/>
  <c r="AI5536"/>
  <c r="B5537"/>
  <c r="H5537"/>
  <c r="AI5537"/>
  <c r="B5538"/>
  <c r="H5538"/>
  <c r="AI5538"/>
  <c r="B5539"/>
  <c r="H5539"/>
  <c r="AI5539"/>
  <c r="B5540"/>
  <c r="H5540"/>
  <c r="AI5540"/>
  <c r="B5541"/>
  <c r="H5541"/>
  <c r="AI5541"/>
  <c r="B5542"/>
  <c r="H5542"/>
  <c r="AI5542"/>
  <c r="B5543"/>
  <c r="H5543"/>
  <c r="AI5543"/>
  <c r="B5544"/>
  <c r="H5544"/>
  <c r="AI5544"/>
  <c r="B5545"/>
  <c r="H5545"/>
  <c r="AI5545"/>
  <c r="B5546"/>
  <c r="H5546"/>
  <c r="AI5546"/>
  <c r="B5547"/>
  <c r="H5547"/>
  <c r="AI5547"/>
  <c r="B5548"/>
  <c r="H5548"/>
  <c r="AI5548"/>
  <c r="B5549"/>
  <c r="H5549"/>
  <c r="AI5549"/>
  <c r="B5550"/>
  <c r="H5550"/>
  <c r="AI5550"/>
  <c r="B5551"/>
  <c r="H5551"/>
  <c r="AI5551"/>
  <c r="B5552"/>
  <c r="H5552"/>
  <c r="AI5552"/>
  <c r="B5553"/>
  <c r="H5553"/>
  <c r="AI5553"/>
  <c r="B5554"/>
  <c r="H5554"/>
  <c r="AI5554"/>
  <c r="B5555"/>
  <c r="H5555"/>
  <c r="AI5555"/>
  <c r="B5556"/>
  <c r="H5556"/>
  <c r="AI5556"/>
  <c r="B5557"/>
  <c r="H5557"/>
  <c r="AI5557"/>
  <c r="B5558"/>
  <c r="H5558"/>
  <c r="AI5558"/>
  <c r="B5559"/>
  <c r="H5559"/>
  <c r="AI5559"/>
  <c r="B5560"/>
  <c r="H5560"/>
  <c r="AI5560"/>
  <c r="B5561"/>
  <c r="H5561"/>
  <c r="AI5561"/>
  <c r="B5562"/>
  <c r="H5562"/>
  <c r="AI5562"/>
  <c r="B5563"/>
  <c r="H5563"/>
  <c r="AI5563"/>
  <c r="B5564"/>
  <c r="H5564"/>
  <c r="AI5564"/>
  <c r="B5565"/>
  <c r="H5565"/>
  <c r="AI5565"/>
  <c r="B5566"/>
  <c r="H5566"/>
  <c r="AI5566"/>
  <c r="B5567"/>
  <c r="H5567"/>
  <c r="AI5567"/>
  <c r="B5568"/>
  <c r="H5568"/>
  <c r="AI5568"/>
  <c r="B5569"/>
  <c r="H5569"/>
  <c r="AI5569"/>
  <c r="B5570"/>
  <c r="H5570"/>
  <c r="AI5570"/>
  <c r="B5571"/>
  <c r="H5571"/>
  <c r="AI5571"/>
  <c r="B5572"/>
  <c r="H5572"/>
  <c r="AI5572"/>
  <c r="B5573"/>
  <c r="H5573"/>
  <c r="AI5573"/>
  <c r="B5574"/>
  <c r="H5574"/>
  <c r="AI5574"/>
  <c r="B5575"/>
  <c r="H5575"/>
  <c r="AI5575"/>
  <c r="B5576"/>
  <c r="H5576"/>
  <c r="AI5576"/>
  <c r="B5577"/>
  <c r="H5577"/>
  <c r="AI5577"/>
  <c r="B5578"/>
  <c r="H5578"/>
  <c r="AI5578"/>
  <c r="B5579"/>
  <c r="H5579"/>
  <c r="AI5579"/>
  <c r="B5580"/>
  <c r="H5580"/>
  <c r="AI5580"/>
  <c r="B5581"/>
  <c r="H5581"/>
  <c r="AI5581"/>
  <c r="B5582"/>
  <c r="H5582"/>
  <c r="AI5582"/>
  <c r="B5583"/>
  <c r="H5583"/>
  <c r="AI5583"/>
  <c r="B5584"/>
  <c r="H5584"/>
  <c r="AI5584"/>
  <c r="B5585"/>
  <c r="H5585"/>
  <c r="AI5585"/>
  <c r="B5586"/>
  <c r="H5586"/>
  <c r="AI5586"/>
  <c r="B5587"/>
  <c r="H5587"/>
  <c r="AI5587"/>
  <c r="B5588"/>
  <c r="H5588"/>
  <c r="AI5588"/>
  <c r="B5589"/>
  <c r="H5589"/>
  <c r="AI5589"/>
  <c r="B5590"/>
  <c r="H5590"/>
  <c r="AI5590"/>
  <c r="B5591"/>
  <c r="H5591"/>
  <c r="AI5591"/>
  <c r="B5592"/>
  <c r="H5592"/>
  <c r="AI5592"/>
  <c r="B5593"/>
  <c r="H5593"/>
  <c r="AI5593"/>
  <c r="B5594"/>
  <c r="H5594"/>
  <c r="AI5594"/>
  <c r="B5595"/>
  <c r="H5595"/>
  <c r="AI5595"/>
  <c r="B5596"/>
  <c r="H5596"/>
  <c r="AI5596"/>
  <c r="B5597"/>
  <c r="H5597"/>
  <c r="AI5597"/>
  <c r="B5598"/>
  <c r="H5598"/>
  <c r="AI5598"/>
  <c r="B5599"/>
  <c r="H5599"/>
  <c r="AI5599"/>
  <c r="B5600"/>
  <c r="H5600"/>
  <c r="AI5600"/>
  <c r="B5601"/>
  <c r="H5601"/>
  <c r="AI5601"/>
  <c r="B5602"/>
  <c r="H5602"/>
  <c r="AI5602"/>
  <c r="B5603"/>
  <c r="H5603"/>
  <c r="AI5603"/>
  <c r="B5604"/>
  <c r="H5604"/>
  <c r="AI5604"/>
  <c r="B5605"/>
  <c r="H5605"/>
  <c r="AI5605"/>
  <c r="B5606"/>
  <c r="H5606"/>
  <c r="AI5606"/>
  <c r="B5607"/>
  <c r="H5607"/>
  <c r="AI5607"/>
  <c r="B5608"/>
  <c r="H5608"/>
  <c r="AI5608"/>
  <c r="B5609"/>
  <c r="H5609"/>
  <c r="AI5609"/>
  <c r="B5610"/>
  <c r="H5610"/>
  <c r="AI5610"/>
  <c r="B5611"/>
  <c r="H5611"/>
  <c r="AI5611"/>
  <c r="B5612"/>
  <c r="H5612"/>
  <c r="AI5612"/>
  <c r="B5613"/>
  <c r="H5613"/>
  <c r="AI5613"/>
  <c r="B5614"/>
  <c r="H5614"/>
  <c r="AI5614"/>
  <c r="B5615"/>
  <c r="H5615"/>
  <c r="AI5615"/>
  <c r="B5616"/>
  <c r="H5616"/>
  <c r="AI5616"/>
  <c r="B5617"/>
  <c r="H5617"/>
  <c r="AI5617"/>
  <c r="B5618"/>
  <c r="H5618"/>
  <c r="AI5618"/>
  <c r="B5619"/>
  <c r="H5619"/>
  <c r="AI5619"/>
  <c r="B5620"/>
  <c r="H5620"/>
  <c r="AI5620"/>
  <c r="B5621"/>
  <c r="H5621"/>
  <c r="AI5621"/>
  <c r="B5622"/>
  <c r="H5622"/>
  <c r="AI5622"/>
  <c r="B5623"/>
  <c r="H5623"/>
  <c r="AI5623"/>
  <c r="B5624"/>
  <c r="H5624"/>
  <c r="AI5624"/>
  <c r="B5625"/>
  <c r="H5625"/>
  <c r="AI5625"/>
  <c r="B5626"/>
  <c r="H5626"/>
  <c r="AI5626"/>
  <c r="B5627"/>
  <c r="H5627"/>
  <c r="AI5627"/>
  <c r="B5628"/>
  <c r="H5628"/>
  <c r="AI5628"/>
  <c r="B5629"/>
  <c r="H5629"/>
  <c r="AI5629"/>
  <c r="B5630"/>
  <c r="H5630"/>
  <c r="AI5630"/>
  <c r="B5631"/>
  <c r="H5631"/>
  <c r="AI5631"/>
  <c r="B5632"/>
  <c r="H5632"/>
  <c r="AI5632"/>
  <c r="B5633"/>
  <c r="H5633"/>
  <c r="AI5633"/>
  <c r="B5634"/>
  <c r="H5634"/>
  <c r="AI5634"/>
  <c r="B5635"/>
  <c r="H5635"/>
  <c r="AI5635"/>
  <c r="B5636"/>
  <c r="H5636"/>
  <c r="AI5636"/>
  <c r="B5637"/>
  <c r="H5637"/>
  <c r="AI5637"/>
  <c r="B5638"/>
  <c r="H5638"/>
  <c r="AI5638"/>
  <c r="B5639"/>
  <c r="H5639"/>
  <c r="AI5639"/>
  <c r="B5640"/>
  <c r="H5640"/>
  <c r="AI5640"/>
  <c r="B5641"/>
  <c r="H5641"/>
  <c r="AI5641"/>
  <c r="B5642"/>
  <c r="H5642"/>
  <c r="AI5642"/>
  <c r="B5643"/>
  <c r="H5643"/>
  <c r="AI5643"/>
  <c r="B5644"/>
  <c r="H5644"/>
  <c r="AI5644"/>
  <c r="B5645"/>
  <c r="H5645"/>
  <c r="AI5645"/>
  <c r="B5646"/>
  <c r="H5646"/>
  <c r="AI5646"/>
  <c r="B5647"/>
  <c r="H5647"/>
  <c r="AI5647"/>
  <c r="B5648"/>
  <c r="H5648"/>
  <c r="AI5648"/>
  <c r="B5649"/>
  <c r="H5649"/>
  <c r="AI5649"/>
  <c r="B5650"/>
  <c r="H5650"/>
  <c r="AI5650"/>
  <c r="B5651"/>
  <c r="H5651"/>
  <c r="AI5651"/>
  <c r="B5652"/>
  <c r="H5652"/>
  <c r="AI5652"/>
  <c r="B5653"/>
  <c r="H5653"/>
  <c r="AI5653"/>
  <c r="B5654"/>
  <c r="H5654"/>
  <c r="AI5654"/>
  <c r="B5655"/>
  <c r="H5655"/>
  <c r="AI5655"/>
  <c r="B5656"/>
  <c r="H5656"/>
  <c r="AI5656"/>
  <c r="B5657"/>
  <c r="H5657"/>
  <c r="AI5657"/>
  <c r="B5658"/>
  <c r="H5658"/>
  <c r="AI5658"/>
  <c r="B5659"/>
  <c r="H5659"/>
  <c r="AI5659"/>
  <c r="B5660"/>
  <c r="H5660"/>
  <c r="AI5660"/>
  <c r="B5661"/>
  <c r="H5661"/>
  <c r="AI5661"/>
  <c r="B5662"/>
  <c r="H5662"/>
  <c r="AI5662"/>
  <c r="B5663"/>
  <c r="H5663"/>
  <c r="AI5663"/>
  <c r="B5664"/>
  <c r="H5664"/>
  <c r="AI5664"/>
  <c r="B5665"/>
  <c r="H5665"/>
  <c r="AI5665"/>
  <c r="B5666"/>
  <c r="H5666"/>
  <c r="AI5666"/>
  <c r="B5667"/>
  <c r="H5667"/>
  <c r="AI5667"/>
  <c r="B5668"/>
  <c r="H5668"/>
  <c r="AI5668"/>
  <c r="B5669"/>
  <c r="H5669"/>
  <c r="AI5669"/>
  <c r="B5670"/>
  <c r="H5670"/>
  <c r="AI5670"/>
  <c r="B5671"/>
  <c r="H5671"/>
  <c r="AI5671"/>
  <c r="B5672"/>
  <c r="H5672"/>
  <c r="AI5672"/>
  <c r="B5673"/>
  <c r="H5673"/>
  <c r="AI5673"/>
  <c r="B5674"/>
  <c r="H5674"/>
  <c r="AI5674"/>
  <c r="B5675"/>
  <c r="H5675"/>
  <c r="AI5675"/>
  <c r="B5676"/>
  <c r="H5676"/>
  <c r="AI5676"/>
  <c r="B5677"/>
  <c r="H5677"/>
  <c r="AI5677"/>
  <c r="B5678"/>
  <c r="H5678"/>
  <c r="AI5678"/>
  <c r="B5679"/>
  <c r="H5679"/>
  <c r="AI5679"/>
  <c r="B5680"/>
  <c r="H5680"/>
  <c r="AI5680"/>
  <c r="B5681"/>
  <c r="H5681"/>
  <c r="AI5681"/>
  <c r="B5682"/>
  <c r="H5682"/>
  <c r="AI5682"/>
  <c r="B5683"/>
  <c r="H5683"/>
  <c r="AI5683"/>
  <c r="B5684"/>
  <c r="H5684"/>
  <c r="AI5684"/>
  <c r="B5685"/>
  <c r="H5685"/>
  <c r="AI5685"/>
  <c r="B5686"/>
  <c r="H5686"/>
  <c r="AI5686"/>
  <c r="B5687"/>
  <c r="H5687"/>
  <c r="AI5687"/>
  <c r="B5688"/>
  <c r="H5688"/>
  <c r="AI5688"/>
  <c r="B5689"/>
  <c r="H5689"/>
  <c r="AI5689"/>
  <c r="B5690"/>
  <c r="H5690"/>
  <c r="AI5690"/>
  <c r="B5691"/>
  <c r="H5691"/>
  <c r="AI5691"/>
  <c r="B5692"/>
  <c r="H5692"/>
  <c r="AI5692"/>
  <c r="B5693"/>
  <c r="H5693"/>
  <c r="AI5693"/>
  <c r="B5694"/>
  <c r="H5694"/>
  <c r="AI5694"/>
  <c r="B5695"/>
  <c r="H5695"/>
  <c r="AI5695"/>
  <c r="B5696"/>
  <c r="H5696"/>
  <c r="AI5696"/>
  <c r="B5697"/>
  <c r="H5697"/>
  <c r="AI5697"/>
  <c r="B5698"/>
  <c r="H5698"/>
  <c r="AI5698"/>
  <c r="B5699"/>
  <c r="H5699"/>
  <c r="AI5699"/>
  <c r="B5700"/>
  <c r="H5700"/>
  <c r="AI5700"/>
  <c r="B5701"/>
  <c r="H5701"/>
  <c r="AI5701"/>
  <c r="B5702"/>
  <c r="H5702"/>
  <c r="AI5702"/>
  <c r="B5703"/>
  <c r="H5703"/>
  <c r="AI5703"/>
  <c r="B5704"/>
  <c r="H5704"/>
  <c r="AI5704"/>
  <c r="B5705"/>
  <c r="H5705"/>
  <c r="AI5705"/>
  <c r="B5706"/>
  <c r="H5706"/>
  <c r="AI5706"/>
  <c r="B5707"/>
  <c r="H5707"/>
  <c r="AI5707"/>
  <c r="B5708"/>
  <c r="H5708"/>
  <c r="AI5708"/>
  <c r="B5709"/>
  <c r="H5709"/>
  <c r="AI5709"/>
  <c r="B5710"/>
  <c r="H5710"/>
  <c r="AI5710"/>
  <c r="B5711"/>
  <c r="H5711"/>
  <c r="AI5711"/>
  <c r="B5712"/>
  <c r="H5712"/>
  <c r="AI5712"/>
  <c r="B5713"/>
  <c r="H5713"/>
  <c r="AI5713"/>
  <c r="B5714"/>
  <c r="H5714"/>
  <c r="AI5714"/>
  <c r="B5715"/>
  <c r="H5715"/>
  <c r="AI5715"/>
  <c r="B5716"/>
  <c r="H5716"/>
  <c r="AI5716"/>
  <c r="B5717"/>
  <c r="H5717"/>
  <c r="AI5717"/>
  <c r="B5718"/>
  <c r="H5718"/>
  <c r="AI5718"/>
  <c r="B5719"/>
  <c r="H5719"/>
  <c r="AI5719"/>
  <c r="B5720"/>
  <c r="H5720"/>
  <c r="AI5720"/>
  <c r="B5721"/>
  <c r="H5721"/>
  <c r="AI5721"/>
  <c r="B5722"/>
  <c r="H5722"/>
  <c r="AI5722"/>
  <c r="B5723"/>
  <c r="H5723"/>
  <c r="AI5723"/>
  <c r="B5724"/>
  <c r="H5724"/>
  <c r="AI5724"/>
  <c r="B5725"/>
  <c r="H5725"/>
  <c r="AI5725"/>
  <c r="B5726"/>
  <c r="H5726"/>
  <c r="AI5726"/>
  <c r="B5727"/>
  <c r="H5727"/>
  <c r="AI5727"/>
  <c r="B5728"/>
  <c r="H5728"/>
  <c r="AI5728"/>
  <c r="B5729"/>
  <c r="H5729"/>
  <c r="AI5729"/>
  <c r="B5730"/>
  <c r="H5730"/>
  <c r="AI5730"/>
  <c r="B5731"/>
  <c r="H5731"/>
  <c r="AI5731"/>
  <c r="B5732"/>
  <c r="H5732"/>
  <c r="AI5732"/>
  <c r="B5733"/>
  <c r="H5733"/>
  <c r="AI5733"/>
  <c r="B5734"/>
  <c r="H5734"/>
  <c r="AI5734"/>
  <c r="B5735"/>
  <c r="H5735"/>
  <c r="AI5735"/>
  <c r="B5736"/>
  <c r="H5736"/>
  <c r="AI5736"/>
  <c r="B5737"/>
  <c r="H5737"/>
  <c r="AI5737"/>
  <c r="B5738"/>
  <c r="H5738"/>
  <c r="AI5738"/>
  <c r="B5739"/>
  <c r="H5739"/>
  <c r="AI5739"/>
  <c r="B5740"/>
  <c r="H5740"/>
  <c r="AI5740"/>
  <c r="B5741"/>
  <c r="H5741"/>
  <c r="AI5741"/>
  <c r="B5742"/>
  <c r="H5742"/>
  <c r="AI5742"/>
  <c r="B5743"/>
  <c r="H5743"/>
  <c r="AI5743"/>
  <c r="B5744"/>
  <c r="H5744"/>
  <c r="AI5744"/>
  <c r="B5745"/>
  <c r="H5745"/>
  <c r="AI5745"/>
  <c r="B5746"/>
  <c r="H5746"/>
  <c r="AI5746"/>
  <c r="B5747"/>
  <c r="H5747"/>
  <c r="AI5747"/>
  <c r="B5748"/>
  <c r="H5748"/>
  <c r="AI5748"/>
  <c r="B5749"/>
  <c r="H5749"/>
  <c r="AI5749"/>
  <c r="B5750"/>
  <c r="H5750"/>
  <c r="AI5750"/>
  <c r="B5751"/>
  <c r="H5751"/>
  <c r="AI5751"/>
  <c r="B5752"/>
  <c r="H5752"/>
  <c r="AI5752"/>
  <c r="B5753"/>
  <c r="H5753"/>
  <c r="AI5753"/>
  <c r="B5754"/>
  <c r="H5754"/>
  <c r="AI5754"/>
  <c r="B5755"/>
  <c r="H5755"/>
  <c r="AI5755"/>
  <c r="B5756"/>
  <c r="H5756"/>
  <c r="AI5756"/>
  <c r="B5757"/>
  <c r="H5757"/>
  <c r="AI5757"/>
  <c r="B5758"/>
  <c r="H5758"/>
  <c r="AI5758"/>
  <c r="B5759"/>
  <c r="H5759"/>
  <c r="AI5759"/>
  <c r="B5760"/>
  <c r="H5760"/>
  <c r="AI5760"/>
  <c r="B5761"/>
  <c r="H5761"/>
  <c r="AI5761"/>
  <c r="B5762"/>
  <c r="H5762"/>
  <c r="AI5762"/>
  <c r="B5763"/>
  <c r="H5763"/>
  <c r="AI5763"/>
  <c r="B5764"/>
  <c r="H5764"/>
  <c r="AI5764"/>
  <c r="B5765"/>
  <c r="H5765"/>
  <c r="AI5765"/>
  <c r="B5766"/>
  <c r="H5766"/>
  <c r="AI5766"/>
  <c r="B5767"/>
  <c r="H5767"/>
  <c r="AI5767"/>
  <c r="B5768"/>
  <c r="H5768"/>
  <c r="AI5768"/>
  <c r="B5769"/>
  <c r="H5769"/>
  <c r="AI5769"/>
  <c r="B5770"/>
  <c r="H5770"/>
  <c r="AI5770"/>
  <c r="B5771"/>
  <c r="H5771"/>
  <c r="AI5771"/>
  <c r="B5772"/>
  <c r="H5772"/>
  <c r="AI5772"/>
  <c r="B5773"/>
  <c r="H5773"/>
  <c r="AI5773"/>
  <c r="B5774"/>
  <c r="H5774"/>
  <c r="AI5774"/>
  <c r="B5775"/>
  <c r="H5775"/>
  <c r="AI5775"/>
  <c r="B5776"/>
  <c r="H5776"/>
  <c r="AI5776"/>
  <c r="B5777"/>
  <c r="H5777"/>
  <c r="AI5777"/>
  <c r="B5778"/>
  <c r="H5778"/>
  <c r="AI5778"/>
  <c r="B5779"/>
  <c r="H5779"/>
  <c r="AI5779"/>
  <c r="B5780"/>
  <c r="H5780"/>
  <c r="AI5780"/>
  <c r="B5781"/>
  <c r="H5781"/>
  <c r="AI5781"/>
  <c r="B5782"/>
  <c r="H5782"/>
  <c r="AI5782"/>
  <c r="B5783"/>
  <c r="H5783"/>
  <c r="AI5783"/>
  <c r="B5784"/>
  <c r="H5784"/>
  <c r="AI5784"/>
  <c r="B5785"/>
  <c r="H5785"/>
  <c r="AI5785"/>
  <c r="B5786"/>
  <c r="H5786"/>
  <c r="AI5786"/>
  <c r="B5787"/>
  <c r="H5787"/>
  <c r="AI5787"/>
  <c r="B5788"/>
  <c r="H5788"/>
  <c r="AI5788"/>
  <c r="B5789"/>
  <c r="H5789"/>
  <c r="AI5789"/>
  <c r="B5790"/>
  <c r="H5790"/>
  <c r="AI5790"/>
  <c r="B5791"/>
  <c r="H5791"/>
  <c r="AI5791"/>
  <c r="B5792"/>
  <c r="H5792"/>
  <c r="AI5792"/>
  <c r="B5793"/>
  <c r="H5793"/>
  <c r="AI5793"/>
  <c r="B5794"/>
  <c r="H5794"/>
  <c r="AI5794"/>
  <c r="B5795"/>
  <c r="H5795"/>
  <c r="AI5795"/>
  <c r="B5796"/>
  <c r="H5796"/>
  <c r="AI5796"/>
  <c r="B5797"/>
  <c r="H5797"/>
  <c r="AI5797"/>
  <c r="B5798"/>
  <c r="H5798"/>
  <c r="AI5798"/>
  <c r="B5799"/>
  <c r="H5799"/>
  <c r="AI5799"/>
  <c r="B5800"/>
  <c r="H5800"/>
  <c r="AI5800"/>
  <c r="B5801"/>
  <c r="H5801"/>
  <c r="AI5801"/>
  <c r="B5802"/>
  <c r="H5802"/>
  <c r="AI5802"/>
  <c r="B5803"/>
  <c r="H5803"/>
  <c r="AI5803"/>
  <c r="B5804"/>
  <c r="H5804"/>
  <c r="AI5804"/>
  <c r="B5805"/>
  <c r="H5805"/>
  <c r="AI5805"/>
  <c r="B5806"/>
  <c r="H5806"/>
  <c r="AI5806"/>
  <c r="B5807"/>
  <c r="H5807"/>
  <c r="AI5807"/>
  <c r="B5808"/>
  <c r="H5808"/>
  <c r="AI5808"/>
  <c r="B5809"/>
  <c r="H5809"/>
  <c r="AI5809"/>
  <c r="B5810"/>
  <c r="H5810"/>
  <c r="AI5810"/>
  <c r="B5811"/>
  <c r="H5811"/>
  <c r="AI5811"/>
  <c r="B5812"/>
  <c r="H5812"/>
  <c r="AI5812"/>
  <c r="B5813"/>
  <c r="H5813"/>
  <c r="AI5813"/>
  <c r="B5814"/>
  <c r="H5814"/>
  <c r="AI5814"/>
  <c r="B5815"/>
  <c r="H5815"/>
  <c r="AI5815"/>
  <c r="B5816"/>
  <c r="H5816"/>
  <c r="AI5816"/>
  <c r="B5817"/>
  <c r="H5817"/>
  <c r="AI5817"/>
  <c r="B5818"/>
  <c r="H5818"/>
  <c r="AI5818"/>
  <c r="B5819"/>
  <c r="H5819"/>
  <c r="AI5819"/>
  <c r="B5820"/>
  <c r="H5820"/>
  <c r="AI5820"/>
  <c r="B5821"/>
  <c r="H5821"/>
  <c r="AI5821"/>
  <c r="B5822"/>
  <c r="H5822"/>
  <c r="AI5822"/>
  <c r="B5823"/>
  <c r="H5823"/>
  <c r="AI5823"/>
  <c r="B5824"/>
  <c r="H5824"/>
  <c r="AI5824"/>
  <c r="B5825"/>
  <c r="H5825"/>
  <c r="AI5825"/>
  <c r="B5826"/>
  <c r="H5826"/>
  <c r="AI5826"/>
  <c r="B5827"/>
  <c r="H5827"/>
  <c r="AI5827"/>
  <c r="B5828"/>
  <c r="H5828"/>
  <c r="AI5828"/>
  <c r="B5829"/>
  <c r="H5829"/>
  <c r="AI5829"/>
  <c r="B5830"/>
  <c r="H5830"/>
  <c r="AI5830"/>
  <c r="B5831"/>
  <c r="H5831"/>
  <c r="AI5831"/>
  <c r="B5832"/>
  <c r="H5832"/>
  <c r="AI5832"/>
  <c r="B5833"/>
  <c r="H5833"/>
  <c r="AI5833"/>
  <c r="B5834"/>
  <c r="H5834"/>
  <c r="AI5834"/>
  <c r="B5835"/>
  <c r="H5835"/>
  <c r="AI5835"/>
  <c r="B5836"/>
  <c r="H5836"/>
  <c r="AI5836"/>
  <c r="B5837"/>
  <c r="H5837"/>
  <c r="AI5837"/>
  <c r="B5838"/>
  <c r="H5838"/>
  <c r="AI5838"/>
  <c r="B5839"/>
  <c r="H5839"/>
  <c r="AI5839"/>
  <c r="B5840"/>
  <c r="H5840"/>
  <c r="AI5840"/>
  <c r="B5841"/>
  <c r="H5841"/>
  <c r="AI5841"/>
  <c r="B5842"/>
  <c r="H5842"/>
  <c r="AI5842"/>
  <c r="B5843"/>
  <c r="H5843"/>
  <c r="AI5843"/>
  <c r="B5844"/>
  <c r="H5844"/>
  <c r="AI5844"/>
  <c r="B5845"/>
  <c r="H5845"/>
  <c r="AI5845"/>
  <c r="B5846"/>
  <c r="H5846"/>
  <c r="AI5846"/>
  <c r="B5847"/>
  <c r="H5847"/>
  <c r="AI5847"/>
  <c r="B5848"/>
  <c r="H5848"/>
  <c r="AI5848"/>
  <c r="B5849"/>
  <c r="H5849"/>
  <c r="AI5849"/>
  <c r="B5850"/>
  <c r="H5850"/>
  <c r="AI5850"/>
  <c r="B5851"/>
  <c r="H5851"/>
  <c r="AI5851"/>
  <c r="B5852"/>
  <c r="H5852"/>
  <c r="AI5852"/>
  <c r="B5853"/>
  <c r="H5853"/>
  <c r="AI5853"/>
  <c r="B5854"/>
  <c r="H5854"/>
  <c r="AI5854"/>
  <c r="B5855"/>
  <c r="H5855"/>
  <c r="AI5855"/>
  <c r="B5856"/>
  <c r="H5856"/>
  <c r="AI5856"/>
  <c r="B5857"/>
  <c r="H5857"/>
  <c r="AI5857"/>
  <c r="B5858"/>
  <c r="H5858"/>
  <c r="AI5858"/>
  <c r="B5859"/>
  <c r="H5859"/>
  <c r="AI5859"/>
  <c r="B5860"/>
  <c r="H5860"/>
  <c r="AI5860"/>
  <c r="B5861"/>
  <c r="H5861"/>
  <c r="AI5861"/>
  <c r="B5862"/>
  <c r="H5862"/>
  <c r="AI5862"/>
  <c r="B5863"/>
  <c r="H5863"/>
  <c r="AI5863"/>
  <c r="B5864"/>
  <c r="H5864"/>
  <c r="AI5864"/>
  <c r="B5865"/>
  <c r="H5865"/>
  <c r="AI5865"/>
  <c r="B5866"/>
  <c r="H5866"/>
  <c r="AI5866"/>
  <c r="B5867"/>
  <c r="H5867"/>
  <c r="AI5867"/>
  <c r="B5868"/>
  <c r="H5868"/>
  <c r="AI5868"/>
  <c r="B5869"/>
  <c r="H5869"/>
  <c r="AI5869"/>
  <c r="B5870"/>
  <c r="H5870"/>
  <c r="AI5870"/>
  <c r="B5871"/>
  <c r="H5871"/>
  <c r="AI5871"/>
  <c r="B5872"/>
  <c r="H5872"/>
  <c r="AI5872"/>
  <c r="B5873"/>
  <c r="H5873"/>
  <c r="AI5873"/>
  <c r="B5874"/>
  <c r="H5874"/>
  <c r="AI5874"/>
  <c r="B5875"/>
  <c r="H5875"/>
  <c r="AI5875"/>
  <c r="B5876"/>
  <c r="H5876"/>
  <c r="AI5876"/>
  <c r="B5877"/>
  <c r="H5877"/>
  <c r="AI5877"/>
  <c r="B5878"/>
  <c r="H5878"/>
  <c r="AI5878"/>
  <c r="B5879"/>
  <c r="H5879"/>
  <c r="AI5879"/>
  <c r="B5880"/>
  <c r="H5880"/>
  <c r="AI5880"/>
  <c r="B5881"/>
  <c r="H5881"/>
  <c r="AI5881"/>
  <c r="B5882"/>
  <c r="H5882"/>
  <c r="AI5882"/>
  <c r="B5883"/>
  <c r="H5883"/>
  <c r="AI5883"/>
  <c r="B5884"/>
  <c r="H5884"/>
  <c r="AI5884"/>
  <c r="B5885"/>
  <c r="H5885"/>
  <c r="AI5885"/>
  <c r="B5886"/>
  <c r="H5886"/>
  <c r="AI5886"/>
  <c r="B5887"/>
  <c r="H5887"/>
  <c r="AI5887"/>
  <c r="B5888"/>
  <c r="H5888"/>
  <c r="AI5888"/>
  <c r="B5889"/>
  <c r="H5889"/>
  <c r="AI5889"/>
  <c r="B5890"/>
  <c r="H5890"/>
  <c r="AI5890"/>
  <c r="B5891"/>
  <c r="H5891"/>
  <c r="AI5891"/>
  <c r="B5892"/>
  <c r="H5892"/>
  <c r="AI5892"/>
  <c r="B5893"/>
  <c r="H5893"/>
  <c r="AI5893"/>
  <c r="B5894"/>
  <c r="H5894"/>
  <c r="AI5894"/>
  <c r="B5895"/>
  <c r="H5895"/>
  <c r="AI5895"/>
  <c r="B5896"/>
  <c r="H5896"/>
  <c r="AI5896"/>
  <c r="B5897"/>
  <c r="H5897"/>
  <c r="AI5897"/>
  <c r="B5898"/>
  <c r="H5898"/>
  <c r="AI5898"/>
  <c r="B5899"/>
  <c r="H5899"/>
  <c r="AI5899"/>
  <c r="B5900"/>
  <c r="H5900"/>
  <c r="AI5900"/>
  <c r="B5901"/>
  <c r="H5901"/>
  <c r="AI5901"/>
  <c r="B5902"/>
  <c r="H5902"/>
  <c r="AI5902"/>
  <c r="B5903"/>
  <c r="H5903"/>
  <c r="AI5903"/>
  <c r="B5904"/>
  <c r="H5904"/>
  <c r="AI5904"/>
  <c r="B5905"/>
  <c r="H5905"/>
  <c r="AI5905"/>
  <c r="B5906"/>
  <c r="H5906"/>
  <c r="AI5906"/>
  <c r="B5907"/>
  <c r="H5907"/>
  <c r="AI5907"/>
  <c r="B5908"/>
  <c r="H5908"/>
  <c r="AI5908"/>
  <c r="B5909"/>
  <c r="H5909"/>
  <c r="AI5909"/>
  <c r="B5910"/>
  <c r="H5910"/>
  <c r="AI5910"/>
  <c r="B5911"/>
  <c r="H5911"/>
  <c r="AI5911"/>
  <c r="B5912"/>
  <c r="H5912"/>
  <c r="AI5912"/>
  <c r="B5913"/>
  <c r="H5913"/>
  <c r="AI5913"/>
  <c r="B5914"/>
  <c r="H5914"/>
  <c r="AI5914"/>
  <c r="B5915"/>
  <c r="H5915"/>
  <c r="AI5915"/>
  <c r="B5916"/>
  <c r="H5916"/>
  <c r="AI5916"/>
  <c r="B5917"/>
  <c r="H5917"/>
  <c r="AI5917"/>
  <c r="B5918"/>
  <c r="H5918"/>
  <c r="AI5918"/>
  <c r="B5919"/>
  <c r="H5919"/>
  <c r="AI5919"/>
  <c r="B5920"/>
  <c r="H5920"/>
  <c r="AI5920"/>
  <c r="B5921"/>
  <c r="H5921"/>
  <c r="AI5921"/>
  <c r="B5922"/>
  <c r="H5922"/>
  <c r="AI5922"/>
  <c r="B5923"/>
  <c r="H5923"/>
  <c r="AI5923"/>
  <c r="B5924"/>
  <c r="H5924"/>
  <c r="AI5924"/>
  <c r="B5925"/>
  <c r="H5925"/>
  <c r="AI5925"/>
  <c r="B5926"/>
  <c r="H5926"/>
  <c r="AI5926"/>
  <c r="B5927"/>
  <c r="H5927"/>
  <c r="AI5927"/>
  <c r="B5928"/>
  <c r="H5928"/>
  <c r="AI5928"/>
  <c r="B5929"/>
  <c r="H5929"/>
  <c r="AI5929"/>
  <c r="B5930"/>
  <c r="H5930"/>
  <c r="AI5930"/>
  <c r="B5931"/>
  <c r="H5931"/>
  <c r="AI5931"/>
  <c r="B5932"/>
  <c r="H5932"/>
  <c r="AI5932"/>
  <c r="B5933"/>
  <c r="H5933"/>
  <c r="AI5933"/>
  <c r="B5934"/>
  <c r="H5934"/>
  <c r="AI5934"/>
  <c r="B5935"/>
  <c r="H5935"/>
  <c r="AI5935"/>
  <c r="B5936"/>
  <c r="H5936"/>
  <c r="AI5936"/>
  <c r="B5937"/>
  <c r="H5937"/>
  <c r="AI5937"/>
  <c r="B5938"/>
  <c r="H5938"/>
  <c r="AI5938"/>
  <c r="B5939"/>
  <c r="H5939"/>
  <c r="AI5939"/>
  <c r="B5940"/>
  <c r="H5940"/>
  <c r="AI5940"/>
  <c r="B5941"/>
  <c r="H5941"/>
  <c r="AI5941"/>
  <c r="B5942"/>
  <c r="H5942"/>
  <c r="AI5942"/>
  <c r="B5943"/>
  <c r="H5943"/>
  <c r="AI5943"/>
  <c r="B5944"/>
  <c r="H5944"/>
  <c r="AI5944"/>
  <c r="B5945"/>
  <c r="H5945"/>
  <c r="AI5945"/>
  <c r="B5946"/>
  <c r="H5946"/>
  <c r="AI5946"/>
  <c r="B5947"/>
  <c r="H5947"/>
  <c r="AI5947"/>
  <c r="B5948"/>
  <c r="H5948"/>
  <c r="AI5948"/>
  <c r="B5949"/>
  <c r="H5949"/>
  <c r="AI5949"/>
  <c r="B5950"/>
  <c r="H5950"/>
  <c r="AI5950"/>
  <c r="B5951"/>
  <c r="H5951"/>
  <c r="AI5951"/>
  <c r="B5952"/>
  <c r="H5952"/>
  <c r="AI5952"/>
  <c r="B5953"/>
  <c r="H5953"/>
  <c r="AI5953"/>
  <c r="B5954"/>
  <c r="H5954"/>
  <c r="AI5954"/>
  <c r="B5955"/>
  <c r="H5955"/>
  <c r="AI5955"/>
  <c r="B5956"/>
  <c r="H5956"/>
  <c r="AI5956"/>
  <c r="B5957"/>
  <c r="H5957"/>
  <c r="AI5957"/>
  <c r="B5958"/>
  <c r="H5958"/>
  <c r="AI5958"/>
  <c r="B5959"/>
  <c r="H5959"/>
  <c r="AI5959"/>
  <c r="B5960"/>
  <c r="H5960"/>
  <c r="AI5960"/>
  <c r="B5961"/>
  <c r="H5961"/>
  <c r="AI5961"/>
  <c r="B5962"/>
  <c r="H5962"/>
  <c r="AI5962"/>
  <c r="B5963"/>
  <c r="H5963"/>
  <c r="AI5963"/>
  <c r="B5964"/>
  <c r="H5964"/>
  <c r="AI5964"/>
  <c r="B5965"/>
  <c r="H5965"/>
  <c r="AI5965"/>
  <c r="B5966"/>
  <c r="H5966"/>
  <c r="AI5966"/>
  <c r="B5967"/>
  <c r="H5967"/>
  <c r="AI5967"/>
  <c r="B5968"/>
  <c r="H5968"/>
  <c r="AI5968"/>
  <c r="B5969"/>
  <c r="H5969"/>
  <c r="AI5969"/>
  <c r="B5970"/>
  <c r="H5970"/>
  <c r="AI5970"/>
  <c r="B5971"/>
  <c r="H5971"/>
  <c r="AI5971"/>
  <c r="B5972"/>
  <c r="H5972"/>
  <c r="AI5972"/>
  <c r="B5973"/>
  <c r="H5973"/>
  <c r="AI5973"/>
  <c r="B5974"/>
  <c r="H5974"/>
  <c r="AI5974"/>
  <c r="B5975"/>
  <c r="H5975"/>
  <c r="AI5975"/>
  <c r="B5976"/>
  <c r="H5976"/>
  <c r="AI5976"/>
  <c r="B5977"/>
  <c r="H5977"/>
  <c r="AI5977"/>
  <c r="B5978"/>
  <c r="H5978"/>
  <c r="AI5978"/>
  <c r="B5979"/>
  <c r="H5979"/>
  <c r="AI5979"/>
  <c r="B5980"/>
  <c r="H5980"/>
  <c r="AI5980"/>
  <c r="B5981"/>
  <c r="H5981"/>
  <c r="AI5981"/>
  <c r="B5982"/>
  <c r="H5982"/>
  <c r="AI5982"/>
  <c r="B5983"/>
  <c r="H5983"/>
  <c r="AI5983"/>
  <c r="B5984"/>
  <c r="H5984"/>
  <c r="AI5984"/>
  <c r="B5985"/>
  <c r="H5985"/>
  <c r="AI5985"/>
  <c r="B5986"/>
  <c r="H5986"/>
  <c r="AI5986"/>
  <c r="B5987"/>
  <c r="H5987"/>
  <c r="AI5987"/>
  <c r="B5988"/>
  <c r="H5988"/>
  <c r="AI5988"/>
  <c r="B5989"/>
  <c r="H5989"/>
  <c r="AI5989"/>
  <c r="B5990"/>
  <c r="H5990"/>
  <c r="AI5990"/>
  <c r="B5991"/>
  <c r="H5991"/>
  <c r="AI5991"/>
  <c r="B5992"/>
  <c r="H5992"/>
  <c r="AI5992"/>
  <c r="B5993"/>
  <c r="H5993"/>
  <c r="AI5993"/>
  <c r="B5994"/>
  <c r="H5994"/>
  <c r="AI5994"/>
  <c r="B5995"/>
  <c r="H5995"/>
  <c r="AI5995"/>
  <c r="B5996"/>
  <c r="H5996"/>
  <c r="AI5996"/>
  <c r="B5997"/>
  <c r="H5997"/>
  <c r="AI5997"/>
  <c r="B5998"/>
  <c r="H5998"/>
  <c r="AI5998"/>
  <c r="B5999"/>
  <c r="H5999"/>
  <c r="AI5999"/>
  <c r="B6000"/>
  <c r="H6000"/>
  <c r="AI6000"/>
  <c r="B6001"/>
  <c r="H6001"/>
  <c r="AI6001"/>
  <c r="B6002"/>
  <c r="H6002"/>
  <c r="AI6002"/>
  <c r="B6003"/>
  <c r="H6003"/>
  <c r="AI6003"/>
  <c r="B6004"/>
  <c r="H6004"/>
  <c r="AI6004"/>
  <c r="B6005"/>
  <c r="H6005"/>
  <c r="AI6005"/>
  <c r="B6006"/>
  <c r="H6006"/>
  <c r="AI6006"/>
  <c r="B6007"/>
  <c r="H6007"/>
  <c r="AI6007"/>
  <c r="B6008"/>
  <c r="H6008"/>
  <c r="AI6008"/>
  <c r="B6009"/>
  <c r="H6009"/>
  <c r="AI6009"/>
  <c r="B6010"/>
  <c r="H6010"/>
  <c r="AI6010"/>
  <c r="B6011"/>
  <c r="H6011"/>
  <c r="AI6011"/>
  <c r="B6012"/>
  <c r="H6012"/>
  <c r="AI6012"/>
  <c r="B6013"/>
  <c r="H6013"/>
  <c r="AI6013"/>
  <c r="B6014"/>
  <c r="H6014"/>
  <c r="AI6014"/>
  <c r="B6015"/>
  <c r="H6015"/>
  <c r="AI6015"/>
  <c r="B6016"/>
  <c r="H6016"/>
  <c r="AI6016"/>
  <c r="B6017"/>
  <c r="H6017"/>
  <c r="AI6017"/>
  <c r="B6018"/>
  <c r="H6018"/>
  <c r="AI6018"/>
  <c r="B6019"/>
  <c r="H6019"/>
  <c r="AI6019"/>
  <c r="B6020"/>
  <c r="H6020"/>
  <c r="AI6020"/>
  <c r="B6021"/>
  <c r="H6021"/>
  <c r="AI6021"/>
  <c r="B6022"/>
  <c r="H6022"/>
  <c r="AI6022"/>
  <c r="B6023"/>
  <c r="H6023"/>
  <c r="AI6023"/>
  <c r="B6024"/>
  <c r="H6024"/>
  <c r="AI6024"/>
  <c r="B6025"/>
  <c r="H6025"/>
  <c r="AI6025"/>
  <c r="B6026"/>
  <c r="H6026"/>
  <c r="AI6026"/>
  <c r="B6027"/>
  <c r="H6027"/>
  <c r="AI6027"/>
  <c r="B6028"/>
  <c r="H6028"/>
  <c r="AI6028"/>
  <c r="B6029"/>
  <c r="H6029"/>
  <c r="AI6029"/>
  <c r="B6030"/>
  <c r="H6030"/>
  <c r="AI6030"/>
  <c r="B6031"/>
  <c r="H6031"/>
  <c r="AI6031"/>
  <c r="B6032"/>
  <c r="H6032"/>
  <c r="AI6032"/>
  <c r="B6033"/>
  <c r="H6033"/>
  <c r="AI6033"/>
  <c r="B6034"/>
  <c r="H6034"/>
  <c r="AI6034"/>
  <c r="B6035"/>
  <c r="H6035"/>
  <c r="AI6035"/>
  <c r="B6036"/>
  <c r="H6036"/>
  <c r="AI6036"/>
  <c r="B6037"/>
  <c r="H6037"/>
  <c r="AI6037"/>
  <c r="B6038"/>
  <c r="H6038"/>
  <c r="AI6038"/>
  <c r="B6039"/>
  <c r="H6039"/>
  <c r="AI6039"/>
  <c r="B6040"/>
  <c r="H6040"/>
  <c r="AI6040"/>
  <c r="B6041"/>
  <c r="H6041"/>
  <c r="AI6041"/>
  <c r="B6042"/>
  <c r="H6042"/>
  <c r="AI6042"/>
  <c r="B6043"/>
  <c r="H6043"/>
  <c r="AI6043"/>
  <c r="B6044"/>
  <c r="H6044"/>
  <c r="AI6044"/>
  <c r="B6045"/>
  <c r="H6045"/>
  <c r="AI6045"/>
  <c r="B6046"/>
  <c r="H6046"/>
  <c r="AI6046"/>
  <c r="B6047"/>
  <c r="H6047"/>
  <c r="AI6047"/>
  <c r="B6048"/>
  <c r="H6048"/>
  <c r="AI6048"/>
  <c r="B6049"/>
  <c r="H6049"/>
  <c r="AI6049"/>
  <c r="B6050"/>
  <c r="H6050"/>
  <c r="AI6050"/>
  <c r="B6051"/>
  <c r="H6051"/>
  <c r="AI6051"/>
  <c r="B6052"/>
  <c r="H6052"/>
  <c r="AI6052"/>
  <c r="B6053"/>
  <c r="H6053"/>
  <c r="AI6053"/>
  <c r="B6054"/>
  <c r="H6054"/>
  <c r="AI6054"/>
  <c r="B6055"/>
  <c r="H6055"/>
  <c r="AI6055"/>
  <c r="B6056"/>
  <c r="H6056"/>
  <c r="AI6056"/>
  <c r="B6057"/>
  <c r="H6057"/>
  <c r="AI6057"/>
  <c r="B6058"/>
  <c r="H6058"/>
  <c r="AI6058"/>
  <c r="B6059"/>
  <c r="H6059"/>
  <c r="AI6059"/>
  <c r="B6060"/>
  <c r="H6060"/>
  <c r="AI6060"/>
  <c r="B6061"/>
  <c r="H6061"/>
  <c r="AI6061"/>
  <c r="B6062"/>
  <c r="H6062"/>
  <c r="AI6062"/>
  <c r="B6063"/>
  <c r="H6063"/>
  <c r="AI6063"/>
  <c r="B6064"/>
  <c r="H6064"/>
  <c r="AI6064"/>
  <c r="B6065"/>
  <c r="H6065"/>
  <c r="AI6065"/>
  <c r="B6066"/>
  <c r="H6066"/>
  <c r="AI6066"/>
  <c r="B6067"/>
  <c r="H6067"/>
  <c r="AI6067"/>
  <c r="B6068"/>
  <c r="H6068"/>
  <c r="AI6068"/>
  <c r="B6069"/>
  <c r="H6069"/>
  <c r="AI6069"/>
  <c r="B6070"/>
  <c r="H6070"/>
  <c r="AI6070"/>
  <c r="B6071"/>
  <c r="H6071"/>
  <c r="AI6071"/>
  <c r="B6072"/>
  <c r="H6072"/>
  <c r="AI6072"/>
  <c r="B6073"/>
  <c r="H6073"/>
  <c r="AI6073"/>
  <c r="B6074"/>
  <c r="H6074"/>
  <c r="AI6074"/>
  <c r="B6075"/>
  <c r="H6075"/>
  <c r="AI6075"/>
  <c r="B6076"/>
  <c r="H6076"/>
  <c r="AI6076"/>
  <c r="B6077"/>
  <c r="H6077"/>
  <c r="AI6077"/>
  <c r="B6078"/>
  <c r="H6078"/>
  <c r="AI6078"/>
  <c r="B6079"/>
  <c r="H6079"/>
  <c r="AI6079"/>
  <c r="B6080"/>
  <c r="H6080"/>
  <c r="AI6080"/>
  <c r="B6081"/>
  <c r="H6081"/>
  <c r="AI6081"/>
  <c r="B6082"/>
  <c r="H6082"/>
  <c r="AI6082"/>
  <c r="B6083"/>
  <c r="H6083"/>
  <c r="AI6083"/>
  <c r="B6084"/>
  <c r="H6084"/>
  <c r="AI6084"/>
  <c r="B6085"/>
  <c r="H6085"/>
  <c r="AI6085"/>
  <c r="B6086"/>
  <c r="H6086"/>
  <c r="AI6086"/>
  <c r="B6087"/>
  <c r="H6087"/>
  <c r="AI6087"/>
  <c r="B6088"/>
  <c r="H6088"/>
  <c r="AI6088"/>
  <c r="B6089"/>
  <c r="H6089"/>
  <c r="AI6089"/>
  <c r="B6090"/>
  <c r="H6090"/>
  <c r="AI6090"/>
  <c r="B6091"/>
  <c r="H6091"/>
  <c r="AI6091"/>
  <c r="B6092"/>
  <c r="H6092"/>
  <c r="AI6092"/>
  <c r="B6093"/>
  <c r="H6093"/>
  <c r="AI6093"/>
  <c r="B6094"/>
  <c r="H6094"/>
  <c r="AI6094"/>
  <c r="B6095"/>
  <c r="H6095"/>
  <c r="AI6095"/>
  <c r="B6096"/>
  <c r="H6096"/>
  <c r="AI6096"/>
  <c r="B6097"/>
  <c r="H6097"/>
  <c r="AI6097"/>
  <c r="B6098"/>
  <c r="H6098"/>
  <c r="AI6098"/>
  <c r="B6099"/>
  <c r="H6099"/>
  <c r="AI6099"/>
  <c r="B6100"/>
  <c r="H6100"/>
  <c r="AI6100"/>
  <c r="B6101"/>
  <c r="H6101"/>
  <c r="AI6101"/>
  <c r="B6102"/>
  <c r="H6102"/>
  <c r="AI6102"/>
  <c r="B6103"/>
  <c r="H6103"/>
  <c r="AI6103"/>
  <c r="B6104"/>
  <c r="H6104"/>
  <c r="AI6104"/>
  <c r="B6105"/>
  <c r="H6105"/>
  <c r="AI6105"/>
  <c r="B6106"/>
  <c r="H6106"/>
  <c r="AI6106"/>
  <c r="B6107"/>
  <c r="H6107"/>
  <c r="AI6107"/>
  <c r="B6108"/>
  <c r="H6108"/>
  <c r="AI6108"/>
  <c r="B6109"/>
  <c r="H6109"/>
  <c r="AI6109"/>
  <c r="B6110"/>
  <c r="H6110"/>
  <c r="AI6110"/>
  <c r="B6111"/>
  <c r="H6111"/>
  <c r="AI6111"/>
  <c r="B6112"/>
  <c r="H6112"/>
  <c r="AI6112"/>
  <c r="B6113"/>
  <c r="H6113"/>
  <c r="AI6113"/>
  <c r="B6114"/>
  <c r="H6114"/>
  <c r="AI6114"/>
  <c r="B6115"/>
  <c r="H6115"/>
  <c r="AI6115"/>
  <c r="B6116"/>
  <c r="H6116"/>
  <c r="AI6116"/>
  <c r="B6117"/>
  <c r="H6117"/>
  <c r="AI6117"/>
  <c r="B6118"/>
  <c r="H6118"/>
  <c r="AI6118"/>
  <c r="B6119"/>
  <c r="H6119"/>
  <c r="AI6119"/>
  <c r="B6120"/>
  <c r="H6120"/>
  <c r="AI6120"/>
  <c r="B6121"/>
  <c r="H6121"/>
  <c r="AI6121"/>
  <c r="B6122"/>
  <c r="H6122"/>
  <c r="AI6122"/>
  <c r="B6123"/>
  <c r="H6123"/>
  <c r="AI6123"/>
  <c r="B6124"/>
  <c r="H6124"/>
  <c r="AI6124"/>
  <c r="B6125"/>
  <c r="H6125"/>
  <c r="AI6125"/>
  <c r="B6126"/>
  <c r="H6126"/>
  <c r="AI6126"/>
  <c r="B6127"/>
  <c r="H6127"/>
  <c r="AI6127"/>
  <c r="B6128"/>
  <c r="H6128"/>
  <c r="AI6128"/>
  <c r="B6129"/>
  <c r="H6129"/>
  <c r="AI6129"/>
  <c r="B6130"/>
  <c r="H6130"/>
  <c r="AI6130"/>
  <c r="B6131"/>
  <c r="H6131"/>
  <c r="AI6131"/>
  <c r="B6132"/>
  <c r="H6132"/>
  <c r="AI6132"/>
  <c r="B6133"/>
  <c r="H6133"/>
  <c r="AI6133"/>
  <c r="B6134"/>
  <c r="H6134"/>
  <c r="AI6134"/>
  <c r="B6135"/>
  <c r="H6135"/>
  <c r="AI6135"/>
  <c r="B6136"/>
  <c r="H6136"/>
  <c r="AI6136"/>
  <c r="B6137"/>
  <c r="H6137"/>
  <c r="AI6137"/>
  <c r="B6138"/>
  <c r="H6138"/>
  <c r="AI6138"/>
  <c r="B6139"/>
  <c r="H6139"/>
  <c r="AI6139"/>
  <c r="B6140"/>
  <c r="H6140"/>
  <c r="AI6140"/>
  <c r="B6141"/>
  <c r="H6141"/>
  <c r="AI6141"/>
  <c r="B6142"/>
  <c r="H6142"/>
  <c r="AI6142"/>
  <c r="B6143"/>
  <c r="H6143"/>
  <c r="AI6143"/>
  <c r="B6144"/>
  <c r="H6144"/>
  <c r="AI6144"/>
  <c r="B6145"/>
  <c r="H6145"/>
  <c r="AI6145"/>
  <c r="B6146"/>
  <c r="H6146"/>
  <c r="AI6146"/>
  <c r="B6147"/>
  <c r="H6147"/>
  <c r="AI6147"/>
  <c r="B6148"/>
  <c r="H6148"/>
  <c r="AI6148"/>
  <c r="B6149"/>
  <c r="H6149"/>
  <c r="AI6149"/>
  <c r="B6150"/>
  <c r="H6150"/>
  <c r="AI6150"/>
  <c r="B6151"/>
  <c r="H6151"/>
  <c r="AI6151"/>
  <c r="B6152"/>
  <c r="H6152"/>
  <c r="AI6152"/>
  <c r="B6153"/>
  <c r="H6153"/>
  <c r="AI6153"/>
  <c r="B6154"/>
  <c r="H6154"/>
  <c r="AI6154"/>
  <c r="B6155"/>
  <c r="H6155"/>
  <c r="AI6155"/>
  <c r="B6156"/>
  <c r="H6156"/>
  <c r="AI6156"/>
  <c r="B6157"/>
  <c r="H6157"/>
  <c r="AI6157"/>
  <c r="B6158"/>
  <c r="H6158"/>
  <c r="AI6158"/>
  <c r="B6159"/>
  <c r="H6159"/>
  <c r="AI6159"/>
  <c r="B6160"/>
  <c r="H6160"/>
  <c r="AI6160"/>
  <c r="B6161"/>
  <c r="H6161"/>
  <c r="AI6161"/>
  <c r="B6162"/>
  <c r="H6162"/>
  <c r="AI6162"/>
  <c r="B6163"/>
  <c r="H6163"/>
  <c r="AI6163"/>
  <c r="B6164"/>
  <c r="H6164"/>
  <c r="AI6164"/>
  <c r="B6165"/>
  <c r="H6165"/>
  <c r="AI6165"/>
  <c r="B6166"/>
  <c r="H6166"/>
  <c r="AI6166"/>
  <c r="B6167"/>
  <c r="H6167"/>
  <c r="AI6167"/>
  <c r="B6168"/>
  <c r="H6168"/>
  <c r="AI6168"/>
  <c r="B6169"/>
  <c r="H6169"/>
  <c r="AI6169"/>
  <c r="B6170"/>
  <c r="H6170"/>
  <c r="AI6170"/>
  <c r="B6171"/>
  <c r="H6171"/>
  <c r="AI6171"/>
  <c r="B6172"/>
  <c r="H6172"/>
  <c r="AI6172"/>
  <c r="B6173"/>
  <c r="H6173"/>
  <c r="AI6173"/>
  <c r="B6174"/>
  <c r="H6174"/>
  <c r="AI6174"/>
  <c r="B6175"/>
  <c r="H6175"/>
  <c r="AI6175"/>
  <c r="B6176"/>
  <c r="H6176"/>
  <c r="AI6176"/>
  <c r="B6177"/>
  <c r="H6177"/>
  <c r="AI6177"/>
  <c r="B6178"/>
  <c r="H6178"/>
  <c r="AI6178"/>
  <c r="B6179"/>
  <c r="H6179"/>
  <c r="AI6179"/>
  <c r="B6180"/>
  <c r="H6180"/>
  <c r="AI6180"/>
  <c r="B6181"/>
  <c r="H6181"/>
  <c r="AI6181"/>
  <c r="B6182"/>
  <c r="H6182"/>
  <c r="AI6182"/>
  <c r="B6183"/>
  <c r="H6183"/>
  <c r="AI6183"/>
  <c r="B6184"/>
  <c r="H6184"/>
  <c r="AI6184"/>
  <c r="B6185"/>
  <c r="H6185"/>
  <c r="AI6185"/>
  <c r="B6186"/>
  <c r="H6186"/>
  <c r="AI6186"/>
  <c r="B6187"/>
  <c r="H6187"/>
  <c r="AI6187"/>
  <c r="B6188"/>
  <c r="H6188"/>
  <c r="AI6188"/>
  <c r="B6189"/>
  <c r="H6189"/>
  <c r="AI6189"/>
  <c r="B6190"/>
  <c r="H6190"/>
  <c r="AI6190"/>
  <c r="B6191"/>
  <c r="H6191"/>
  <c r="AI6191"/>
  <c r="B6192"/>
  <c r="H6192"/>
  <c r="AI6192"/>
  <c r="B6193"/>
  <c r="H6193"/>
  <c r="AI6193"/>
  <c r="B6194"/>
  <c r="H6194"/>
  <c r="AI6194"/>
  <c r="B6195"/>
  <c r="H6195"/>
  <c r="AI6195"/>
  <c r="B6196"/>
  <c r="H6196"/>
  <c r="AI6196"/>
  <c r="B6197"/>
  <c r="H6197"/>
  <c r="AI6197"/>
  <c r="B6198"/>
  <c r="H6198"/>
  <c r="AI6198"/>
  <c r="B6199"/>
  <c r="H6199"/>
  <c r="AI6199"/>
  <c r="B6200"/>
  <c r="H6200"/>
  <c r="AI6200"/>
  <c r="B6201"/>
  <c r="H6201"/>
  <c r="AI6201"/>
  <c r="B6202"/>
  <c r="H6202"/>
  <c r="AI6202"/>
  <c r="B6203"/>
  <c r="H6203"/>
  <c r="AI6203"/>
  <c r="B6204"/>
  <c r="H6204"/>
  <c r="AI6204"/>
  <c r="B6205"/>
  <c r="H6205"/>
  <c r="AI6205"/>
  <c r="B6206"/>
  <c r="H6206"/>
  <c r="AI6206"/>
  <c r="B6207"/>
  <c r="H6207"/>
  <c r="AI6207"/>
  <c r="B6208"/>
  <c r="H6208"/>
  <c r="AI6208"/>
  <c r="B6209"/>
  <c r="H6209"/>
  <c r="AI6209"/>
  <c r="B6210"/>
  <c r="H6210"/>
  <c r="AI6210"/>
  <c r="B6211"/>
  <c r="H6211"/>
  <c r="AI6211"/>
  <c r="B6212"/>
  <c r="H6212"/>
  <c r="AI6212"/>
  <c r="B6213"/>
  <c r="H6213"/>
  <c r="AI6213"/>
  <c r="B6214"/>
  <c r="H6214"/>
  <c r="AI6214"/>
  <c r="B6215"/>
  <c r="H6215"/>
  <c r="AI6215"/>
  <c r="B6216"/>
  <c r="H6216"/>
  <c r="AI6216"/>
  <c r="B6217"/>
  <c r="H6217"/>
  <c r="AI6217"/>
  <c r="B6218"/>
  <c r="H6218"/>
  <c r="AI6218"/>
  <c r="B6219"/>
  <c r="H6219"/>
  <c r="AI6219"/>
  <c r="B6220"/>
  <c r="H6220"/>
  <c r="AI6220"/>
  <c r="B6221"/>
  <c r="H6221"/>
  <c r="AI6221"/>
  <c r="B6222"/>
  <c r="H6222"/>
  <c r="AI6222"/>
  <c r="B6223"/>
  <c r="H6223"/>
  <c r="AI6223"/>
  <c r="B6224"/>
  <c r="H6224"/>
  <c r="AI6224"/>
  <c r="B6225"/>
  <c r="H6225"/>
  <c r="AI6225"/>
  <c r="B6226"/>
  <c r="H6226"/>
  <c r="AI6226"/>
  <c r="B6227"/>
  <c r="H6227"/>
  <c r="AI6227"/>
  <c r="B6228"/>
  <c r="H6228"/>
  <c r="AI6228"/>
  <c r="B6229"/>
  <c r="H6229"/>
  <c r="AI6229"/>
  <c r="B6230"/>
  <c r="H6230"/>
  <c r="AI6230"/>
  <c r="B6231"/>
  <c r="H6231"/>
  <c r="AI6231"/>
  <c r="B6232"/>
  <c r="H6232"/>
  <c r="AI6232"/>
  <c r="B6233"/>
  <c r="H6233"/>
  <c r="AI6233"/>
  <c r="B6234"/>
  <c r="H6234"/>
  <c r="AI6234"/>
  <c r="B6235"/>
  <c r="H6235"/>
  <c r="AI6235"/>
  <c r="B6236"/>
  <c r="H6236"/>
  <c r="AI6236"/>
  <c r="B6237"/>
  <c r="H6237"/>
  <c r="AI6237"/>
  <c r="B6238"/>
  <c r="H6238"/>
  <c r="AI6238"/>
  <c r="B6239"/>
  <c r="H6239"/>
  <c r="AI6239"/>
  <c r="B6240"/>
  <c r="H6240"/>
  <c r="AI6240"/>
  <c r="B6241"/>
  <c r="H6241"/>
  <c r="AI6241"/>
  <c r="B6242"/>
  <c r="H6242"/>
  <c r="AI6242"/>
  <c r="B6243"/>
  <c r="H6243"/>
  <c r="AI6243"/>
  <c r="B6244"/>
  <c r="H6244"/>
  <c r="AI6244"/>
  <c r="B6245"/>
  <c r="H6245"/>
  <c r="AI6245"/>
  <c r="B6246"/>
  <c r="H6246"/>
  <c r="AI6246"/>
  <c r="B6247"/>
  <c r="H6247"/>
  <c r="AI6247"/>
  <c r="B6248"/>
  <c r="H6248"/>
  <c r="AI6248"/>
  <c r="B6249"/>
  <c r="H6249"/>
  <c r="AI6249"/>
  <c r="B6250"/>
  <c r="H6250"/>
  <c r="AI6250"/>
  <c r="B6251"/>
  <c r="H6251"/>
  <c r="AI6251"/>
  <c r="B6252"/>
  <c r="H6252"/>
  <c r="AI6252"/>
  <c r="B6253"/>
  <c r="H6253"/>
  <c r="AI6253"/>
  <c r="B6254"/>
  <c r="H6254"/>
  <c r="AI6254"/>
  <c r="B6255"/>
  <c r="H6255"/>
  <c r="AI6255"/>
  <c r="B6256"/>
  <c r="H6256"/>
  <c r="AI6256"/>
  <c r="B6257"/>
  <c r="H6257"/>
  <c r="AI6257"/>
  <c r="B6258"/>
  <c r="H6258"/>
  <c r="AI6258"/>
  <c r="B6259"/>
  <c r="H6259"/>
  <c r="AI6259"/>
  <c r="B6260"/>
  <c r="H6260"/>
  <c r="AI6260"/>
  <c r="B6261"/>
  <c r="H6261"/>
  <c r="AI6261"/>
  <c r="B6262"/>
  <c r="H6262"/>
  <c r="AI6262"/>
  <c r="B6263"/>
  <c r="H6263"/>
  <c r="AI6263"/>
  <c r="B6264"/>
  <c r="H6264"/>
  <c r="AI6264"/>
  <c r="B6265"/>
  <c r="H6265"/>
  <c r="AI6265"/>
  <c r="B6266"/>
  <c r="H6266"/>
  <c r="AI6266"/>
  <c r="B6267"/>
  <c r="H6267"/>
  <c r="AI6267"/>
  <c r="B6268"/>
  <c r="H6268"/>
  <c r="AI6268"/>
  <c r="B6269"/>
  <c r="H6269"/>
  <c r="AI6269"/>
  <c r="B6270"/>
  <c r="H6270"/>
  <c r="AI6270"/>
  <c r="B6271"/>
  <c r="H6271"/>
  <c r="AI6271"/>
  <c r="B6272"/>
  <c r="H6272"/>
  <c r="AI6272"/>
  <c r="B6273"/>
  <c r="H6273"/>
  <c r="AI6273"/>
  <c r="B6274"/>
  <c r="H6274"/>
  <c r="AI6274"/>
  <c r="B6275"/>
  <c r="H6275"/>
  <c r="AI6275"/>
  <c r="B6276"/>
  <c r="H6276"/>
  <c r="AI6276"/>
  <c r="B6277"/>
  <c r="H6277"/>
  <c r="AI6277"/>
  <c r="B6278"/>
  <c r="H6278"/>
  <c r="AI6278"/>
  <c r="B6279"/>
  <c r="H6279"/>
  <c r="AI6279"/>
  <c r="B6280"/>
  <c r="H6280"/>
  <c r="AI6280"/>
  <c r="B6281"/>
  <c r="H6281"/>
  <c r="AI6281"/>
  <c r="B6282"/>
  <c r="H6282"/>
  <c r="AI6282"/>
  <c r="B6283"/>
  <c r="H6283"/>
  <c r="AI6283"/>
  <c r="B6284"/>
  <c r="H6284"/>
  <c r="AI6284"/>
  <c r="B6285"/>
  <c r="H6285"/>
  <c r="AI6285"/>
  <c r="B6286"/>
  <c r="H6286"/>
  <c r="AI6286"/>
  <c r="B6287"/>
  <c r="H6287"/>
  <c r="AI6287"/>
  <c r="B6288"/>
  <c r="H6288"/>
  <c r="AI6288"/>
  <c r="B6289"/>
  <c r="H6289"/>
  <c r="AI6289"/>
  <c r="B6290"/>
  <c r="H6290"/>
  <c r="AI6290"/>
  <c r="B6291"/>
  <c r="H6291"/>
  <c r="AI6291"/>
  <c r="B6292"/>
  <c r="H6292"/>
  <c r="AI6292"/>
  <c r="B6293"/>
  <c r="H6293"/>
  <c r="AI6293"/>
  <c r="B6294"/>
  <c r="H6294"/>
  <c r="AI6294"/>
  <c r="B6295"/>
  <c r="H6295"/>
  <c r="AI6295"/>
  <c r="B6296"/>
  <c r="H6296"/>
  <c r="AI6296"/>
  <c r="B6297"/>
  <c r="H6297"/>
  <c r="AI6297"/>
  <c r="B6298"/>
  <c r="H6298"/>
  <c r="AI6298"/>
  <c r="B6299"/>
  <c r="H6299"/>
  <c r="AI6299"/>
  <c r="B6300"/>
  <c r="H6300"/>
  <c r="AI6300"/>
  <c r="B6301"/>
  <c r="H6301"/>
  <c r="AI6301"/>
  <c r="B6302"/>
  <c r="H6302"/>
  <c r="AI6302"/>
  <c r="B6303"/>
  <c r="H6303"/>
  <c r="AI6303"/>
  <c r="B6304"/>
  <c r="H6304"/>
  <c r="AI6304"/>
  <c r="B6305"/>
  <c r="H6305"/>
  <c r="AI6305"/>
  <c r="B6306"/>
  <c r="H6306"/>
  <c r="AI6306"/>
  <c r="B6307"/>
  <c r="H6307"/>
  <c r="AI6307"/>
  <c r="B6308"/>
  <c r="H6308"/>
  <c r="AI6308"/>
  <c r="B6309"/>
  <c r="H6309"/>
  <c r="AI6309"/>
  <c r="B6310"/>
  <c r="H6310"/>
  <c r="AI6310"/>
  <c r="B6311"/>
  <c r="H6311"/>
  <c r="AI6311"/>
  <c r="B6312"/>
  <c r="H6312"/>
  <c r="AI6312"/>
  <c r="B6313"/>
  <c r="H6313"/>
  <c r="AI6313"/>
  <c r="B6314"/>
  <c r="H6314"/>
  <c r="AI6314"/>
  <c r="B6315"/>
  <c r="H6315"/>
  <c r="AI6315"/>
  <c r="B6316"/>
  <c r="H6316"/>
  <c r="AI6316"/>
  <c r="B6317"/>
  <c r="H6317"/>
  <c r="AI6317"/>
  <c r="B6318"/>
  <c r="H6318"/>
  <c r="AI6318"/>
  <c r="B6319"/>
  <c r="H6319"/>
  <c r="AI6319"/>
  <c r="B6320"/>
  <c r="H6320"/>
  <c r="AI6320"/>
  <c r="B6321"/>
  <c r="H6321"/>
  <c r="AI6321"/>
  <c r="B6322"/>
  <c r="H6322"/>
  <c r="AI6322"/>
  <c r="B6323"/>
  <c r="H6323"/>
  <c r="AI6323"/>
  <c r="B6324"/>
  <c r="H6324"/>
  <c r="AI6324"/>
  <c r="B6325"/>
  <c r="H6325"/>
  <c r="AI6325"/>
  <c r="B6326"/>
  <c r="H6326"/>
  <c r="AI6326"/>
  <c r="B6327"/>
  <c r="H6327"/>
  <c r="AI6327"/>
  <c r="B6328"/>
  <c r="H6328"/>
  <c r="AI6328"/>
  <c r="B6329"/>
  <c r="H6329"/>
  <c r="AI6329"/>
  <c r="B6330"/>
  <c r="H6330"/>
  <c r="AI6330"/>
  <c r="B6331"/>
  <c r="H6331"/>
  <c r="AI6331"/>
  <c r="B6332"/>
  <c r="H6332"/>
  <c r="AI6332"/>
  <c r="B6333"/>
  <c r="H6333"/>
  <c r="AI6333"/>
  <c r="B6334"/>
  <c r="H6334"/>
  <c r="AI6334"/>
  <c r="B6335"/>
  <c r="H6335"/>
  <c r="AI6335"/>
  <c r="B6336"/>
  <c r="H6336"/>
  <c r="AI6336"/>
  <c r="B6337"/>
  <c r="H6337"/>
  <c r="AI6337"/>
  <c r="B6338"/>
  <c r="H6338"/>
  <c r="AI6338"/>
  <c r="B6339"/>
  <c r="H6339"/>
  <c r="AI6339"/>
  <c r="B6340"/>
  <c r="H6340"/>
  <c r="AI6340"/>
  <c r="B6341"/>
  <c r="H6341"/>
  <c r="AI6341"/>
  <c r="B6342"/>
  <c r="H6342"/>
  <c r="AI6342"/>
  <c r="B6343"/>
  <c r="H6343"/>
  <c r="AI6343"/>
  <c r="B6344"/>
  <c r="H6344"/>
  <c r="AI6344"/>
  <c r="B6345"/>
  <c r="H6345"/>
  <c r="AI6345"/>
  <c r="B6346"/>
  <c r="H6346"/>
  <c r="AI6346"/>
  <c r="B6347"/>
  <c r="H6347"/>
  <c r="AI6347"/>
  <c r="B6348"/>
  <c r="H6348"/>
  <c r="AI6348"/>
  <c r="B6349"/>
  <c r="H6349"/>
  <c r="AI6349"/>
  <c r="B6350"/>
  <c r="H6350"/>
  <c r="AI6350"/>
  <c r="B6351"/>
  <c r="H6351"/>
  <c r="AI6351"/>
  <c r="B6352"/>
  <c r="H6352"/>
  <c r="AI6352"/>
  <c r="B6353"/>
  <c r="H6353"/>
  <c r="AI6353"/>
  <c r="B6354"/>
  <c r="H6354"/>
  <c r="AI6354"/>
  <c r="B6355"/>
  <c r="H6355"/>
  <c r="AI6355"/>
  <c r="B6356"/>
  <c r="H6356"/>
  <c r="AI6356"/>
  <c r="B6357"/>
  <c r="H6357"/>
  <c r="AI6357"/>
  <c r="B6358"/>
  <c r="H6358"/>
  <c r="AI6358"/>
  <c r="B6359"/>
  <c r="H6359"/>
  <c r="AI6359"/>
  <c r="B6360"/>
  <c r="H6360"/>
  <c r="AI6360"/>
  <c r="B6361"/>
  <c r="H6361"/>
  <c r="AI6361"/>
  <c r="B6362"/>
  <c r="H6362"/>
  <c r="AI6362"/>
  <c r="B6363"/>
  <c r="H6363"/>
  <c r="AI6363"/>
  <c r="B6364"/>
  <c r="H6364"/>
  <c r="AI6364"/>
  <c r="B6365"/>
  <c r="H6365"/>
  <c r="AI6365"/>
  <c r="B6366"/>
  <c r="H6366"/>
  <c r="AI6366"/>
  <c r="B6367"/>
  <c r="H6367"/>
  <c r="AI6367"/>
  <c r="B6368"/>
  <c r="H6368"/>
  <c r="AI6368"/>
  <c r="B6369"/>
  <c r="H6369"/>
  <c r="AI6369"/>
  <c r="B6370"/>
  <c r="H6370"/>
  <c r="AI6370"/>
  <c r="B6371"/>
  <c r="H6371"/>
  <c r="AI6371"/>
  <c r="B6372"/>
  <c r="H6372"/>
  <c r="AI6372"/>
  <c r="B6373"/>
  <c r="H6373"/>
  <c r="AI6373"/>
  <c r="B6374"/>
  <c r="H6374"/>
  <c r="AI6374"/>
  <c r="B6375"/>
  <c r="H6375"/>
  <c r="AI6375"/>
  <c r="B6376"/>
  <c r="H6376"/>
  <c r="AI6376"/>
  <c r="B6377"/>
  <c r="H6377"/>
  <c r="AI6377"/>
  <c r="B6378"/>
  <c r="H6378"/>
  <c r="AI6378"/>
  <c r="B6379"/>
  <c r="H6379"/>
  <c r="AI6379"/>
  <c r="B6380"/>
  <c r="H6380"/>
  <c r="AI6380"/>
  <c r="B6381"/>
  <c r="H6381"/>
  <c r="AI6381"/>
  <c r="B6382"/>
  <c r="H6382"/>
  <c r="AI6382"/>
  <c r="B6383"/>
  <c r="H6383"/>
  <c r="AI6383"/>
  <c r="B6384"/>
  <c r="H6384"/>
  <c r="AI6384"/>
  <c r="B6385"/>
  <c r="H6385"/>
  <c r="AI6385"/>
  <c r="B6386"/>
  <c r="H6386"/>
  <c r="AI6386"/>
  <c r="B6387"/>
  <c r="H6387"/>
  <c r="AI6387"/>
  <c r="B6388"/>
  <c r="H6388"/>
  <c r="AI6388"/>
  <c r="B6389"/>
  <c r="H6389"/>
  <c r="AI6389"/>
  <c r="B6390"/>
  <c r="H6390"/>
  <c r="AI6390"/>
  <c r="B6391"/>
  <c r="H6391"/>
  <c r="AI6391"/>
  <c r="B6392"/>
  <c r="H6392"/>
  <c r="AI6392"/>
  <c r="B6393"/>
  <c r="H6393"/>
  <c r="AI6393"/>
  <c r="B6394"/>
  <c r="H6394"/>
  <c r="AI6394"/>
  <c r="B6395"/>
  <c r="H6395"/>
  <c r="AI6395"/>
  <c r="B6396"/>
  <c r="H6396"/>
  <c r="AI6396"/>
  <c r="B6397"/>
  <c r="H6397"/>
  <c r="AI6397"/>
  <c r="B6398"/>
  <c r="H6398"/>
  <c r="AI6398"/>
  <c r="B6399"/>
  <c r="H6399"/>
  <c r="AI6399"/>
  <c r="B6400"/>
  <c r="H6400"/>
  <c r="AI6400"/>
  <c r="B6401"/>
  <c r="H6401"/>
  <c r="AI6401"/>
  <c r="B6402"/>
  <c r="H6402"/>
  <c r="AI6402"/>
  <c r="B6403"/>
  <c r="H6403"/>
  <c r="AI6403"/>
  <c r="B6404"/>
  <c r="H6404"/>
  <c r="AI6404"/>
  <c r="B6405"/>
  <c r="H6405"/>
  <c r="AI6405"/>
  <c r="B6406"/>
  <c r="H6406"/>
  <c r="AI6406"/>
  <c r="B6407"/>
  <c r="H6407"/>
  <c r="AI6407"/>
  <c r="B6408"/>
  <c r="H6408"/>
  <c r="AI6408"/>
  <c r="B6409"/>
  <c r="H6409"/>
  <c r="AI6409"/>
  <c r="B6410"/>
  <c r="H6410"/>
  <c r="AI6410"/>
  <c r="B6411"/>
  <c r="H6411"/>
  <c r="AI6411"/>
  <c r="B6412"/>
  <c r="H6412"/>
  <c r="AI6412"/>
  <c r="B6413"/>
  <c r="H6413"/>
  <c r="AI6413"/>
  <c r="B6414"/>
  <c r="H6414"/>
  <c r="AI6414"/>
  <c r="B6415"/>
  <c r="H6415"/>
  <c r="AI6415"/>
  <c r="B6416"/>
  <c r="H6416"/>
  <c r="AI6416"/>
  <c r="B6417"/>
  <c r="H6417"/>
  <c r="AI6417"/>
  <c r="B6418"/>
  <c r="H6418"/>
  <c r="AI6418"/>
  <c r="B6419"/>
  <c r="H6419"/>
  <c r="AI6419"/>
  <c r="B6420"/>
  <c r="H6420"/>
  <c r="AI6420"/>
  <c r="B6421"/>
  <c r="H6421"/>
  <c r="AI6421"/>
  <c r="B6422"/>
  <c r="H6422"/>
  <c r="AI6422"/>
  <c r="B6423"/>
  <c r="H6423"/>
  <c r="AI6423"/>
  <c r="B6424"/>
  <c r="H6424"/>
  <c r="AI6424"/>
  <c r="B6425"/>
  <c r="H6425"/>
  <c r="AI6425"/>
  <c r="B6426"/>
  <c r="H6426"/>
  <c r="AI6426"/>
  <c r="B6427"/>
  <c r="H6427"/>
  <c r="AI6427"/>
  <c r="B6428"/>
  <c r="H6428"/>
  <c r="AI6428"/>
  <c r="B6429"/>
  <c r="H6429"/>
  <c r="AI6429"/>
  <c r="B6430"/>
  <c r="H6430"/>
  <c r="AI6430"/>
  <c r="B6431"/>
  <c r="H6431"/>
  <c r="AI6431"/>
  <c r="B6432"/>
  <c r="H6432"/>
  <c r="AI6432"/>
  <c r="B6433"/>
  <c r="H6433"/>
  <c r="AI6433"/>
  <c r="B6434"/>
  <c r="H6434"/>
  <c r="AI6434"/>
  <c r="B6435"/>
  <c r="H6435"/>
  <c r="AI6435"/>
  <c r="B6436"/>
  <c r="H6436"/>
  <c r="AI6436"/>
  <c r="B6437"/>
  <c r="H6437"/>
  <c r="AI6437"/>
  <c r="B6438"/>
  <c r="H6438"/>
  <c r="AI6438"/>
  <c r="B6439"/>
  <c r="H6439"/>
  <c r="AI6439"/>
  <c r="B6440"/>
  <c r="H6440"/>
  <c r="AI6440"/>
  <c r="B6441"/>
  <c r="H6441"/>
  <c r="AI6441"/>
  <c r="B6442"/>
  <c r="H6442"/>
  <c r="AI6442"/>
  <c r="B6443"/>
  <c r="H6443"/>
  <c r="AI6443"/>
  <c r="B6444"/>
  <c r="H6444"/>
  <c r="AI6444"/>
  <c r="B6445"/>
  <c r="H6445"/>
  <c r="AI6445"/>
  <c r="B6446"/>
  <c r="H6446"/>
  <c r="AI6446"/>
  <c r="B6447"/>
  <c r="H6447"/>
  <c r="AI6447"/>
  <c r="B6448"/>
  <c r="H6448"/>
  <c r="AI6448"/>
  <c r="B6449"/>
  <c r="H6449"/>
  <c r="AI6449"/>
  <c r="B6450"/>
  <c r="H6450"/>
  <c r="AI6450"/>
  <c r="B6451"/>
  <c r="H6451"/>
  <c r="AI6451"/>
  <c r="B6452"/>
  <c r="H6452"/>
  <c r="AI6452"/>
  <c r="B6453"/>
  <c r="H6453"/>
  <c r="AI6453"/>
  <c r="B6454"/>
  <c r="H6454"/>
  <c r="AI6454"/>
  <c r="B6455"/>
  <c r="H6455"/>
  <c r="AI6455"/>
  <c r="B6456"/>
  <c r="H6456"/>
  <c r="AI6456"/>
  <c r="B6457"/>
  <c r="H6457"/>
  <c r="AI6457"/>
  <c r="B6458"/>
  <c r="H6458"/>
  <c r="AI6458"/>
  <c r="B6459"/>
  <c r="H6459"/>
  <c r="AI6459"/>
  <c r="B6460"/>
  <c r="H6460"/>
  <c r="AI6460"/>
  <c r="B6461"/>
  <c r="H6461"/>
  <c r="AI6461"/>
  <c r="B6462"/>
  <c r="H6462"/>
  <c r="AI6462"/>
  <c r="B6463"/>
  <c r="H6463"/>
  <c r="AI6463"/>
  <c r="B6464"/>
  <c r="H6464"/>
  <c r="AI6464"/>
  <c r="B6465"/>
  <c r="H6465"/>
  <c r="AI6465"/>
  <c r="B6466"/>
  <c r="H6466"/>
  <c r="AI6466"/>
  <c r="B6467"/>
  <c r="H6467"/>
  <c r="AI6467"/>
  <c r="B6468"/>
  <c r="H6468"/>
  <c r="AI6468"/>
  <c r="B6469"/>
  <c r="H6469"/>
  <c r="AI6469"/>
  <c r="B6470"/>
  <c r="H6470"/>
  <c r="AI6470"/>
  <c r="B6471"/>
  <c r="H6471"/>
  <c r="AI6471"/>
  <c r="B6472"/>
  <c r="H6472"/>
  <c r="AI6472"/>
  <c r="B6473"/>
  <c r="H6473"/>
  <c r="AI6473"/>
  <c r="B6474"/>
  <c r="H6474"/>
  <c r="AI6474"/>
  <c r="B6475"/>
  <c r="H6475"/>
  <c r="AI6475"/>
  <c r="B6476"/>
  <c r="H6476"/>
  <c r="AI6476"/>
  <c r="B6477"/>
  <c r="H6477"/>
  <c r="AI6477"/>
  <c r="B6478"/>
  <c r="H6478"/>
  <c r="AI6478"/>
  <c r="B6479"/>
  <c r="H6479"/>
  <c r="AI6479"/>
  <c r="B6480"/>
  <c r="H6480"/>
  <c r="AI6480"/>
  <c r="B6481"/>
  <c r="H6481"/>
  <c r="AI6481"/>
  <c r="B6482"/>
  <c r="H6482"/>
  <c r="AI6482"/>
  <c r="B6483"/>
  <c r="H6483"/>
  <c r="AI6483"/>
  <c r="B6484"/>
  <c r="H6484"/>
  <c r="AI6484"/>
  <c r="B6485"/>
  <c r="H6485"/>
  <c r="AI6485"/>
  <c r="B6486"/>
  <c r="H6486"/>
  <c r="AI6486"/>
  <c r="B6487"/>
  <c r="H6487"/>
  <c r="AI6487"/>
  <c r="B6488"/>
  <c r="H6488"/>
  <c r="AI6488"/>
  <c r="B6489"/>
  <c r="H6489"/>
  <c r="AI6489"/>
  <c r="B6490"/>
  <c r="H6490"/>
  <c r="AI6490"/>
  <c r="B6491"/>
  <c r="H6491"/>
  <c r="AI6491"/>
  <c r="B6492"/>
  <c r="H6492"/>
  <c r="AI6492"/>
  <c r="B6493"/>
  <c r="H6493"/>
  <c r="AI6493"/>
  <c r="B6494"/>
  <c r="H6494"/>
  <c r="AI6494"/>
  <c r="B6495"/>
  <c r="H6495"/>
  <c r="AI6495"/>
  <c r="B6496"/>
  <c r="H6496"/>
  <c r="AI6496"/>
  <c r="B6497"/>
  <c r="H6497"/>
  <c r="AI6497"/>
  <c r="B6498"/>
  <c r="H6498"/>
  <c r="AI6498"/>
  <c r="B6499"/>
  <c r="H6499"/>
  <c r="AI6499"/>
  <c r="B6500"/>
  <c r="H6500"/>
  <c r="AI6500"/>
  <c r="B6501"/>
  <c r="H6501"/>
  <c r="AI6501"/>
  <c r="B6502"/>
  <c r="H6502"/>
  <c r="AI6502"/>
  <c r="B6503"/>
  <c r="H6503"/>
  <c r="AI6503"/>
  <c r="B6504"/>
  <c r="H6504"/>
  <c r="AI6504"/>
  <c r="B6505"/>
  <c r="H6505"/>
  <c r="AI6505"/>
  <c r="B6506"/>
  <c r="H6506"/>
  <c r="AI6506"/>
  <c r="B6507"/>
  <c r="H6507"/>
  <c r="AI6507"/>
  <c r="B6508"/>
  <c r="H6508"/>
  <c r="AI6508"/>
  <c r="B6509"/>
  <c r="H6509"/>
  <c r="AI6509"/>
  <c r="B6510"/>
  <c r="H6510"/>
  <c r="AI6510"/>
  <c r="B6511"/>
  <c r="H6511"/>
  <c r="AI6511"/>
  <c r="B6512"/>
  <c r="H6512"/>
  <c r="AI6512"/>
  <c r="B6513"/>
  <c r="H6513"/>
  <c r="AI6513"/>
  <c r="B6514"/>
  <c r="H6514"/>
  <c r="AI6514"/>
  <c r="B6515"/>
  <c r="H6515"/>
  <c r="AI6515"/>
  <c r="B6516"/>
  <c r="H6516"/>
  <c r="AI6516"/>
  <c r="B6517"/>
  <c r="H6517"/>
  <c r="AI6517"/>
  <c r="B6518"/>
  <c r="H6518"/>
  <c r="AI6518"/>
  <c r="B6519"/>
  <c r="H6519"/>
  <c r="AI6519"/>
  <c r="B6520"/>
  <c r="H6520"/>
  <c r="AI6520"/>
  <c r="B6521"/>
  <c r="H6521"/>
  <c r="AI6521"/>
  <c r="B6522"/>
  <c r="H6522"/>
  <c r="AI6522"/>
  <c r="B6523"/>
  <c r="H6523"/>
  <c r="AI6523"/>
  <c r="B6524"/>
  <c r="H6524"/>
  <c r="AI6524"/>
  <c r="B6525"/>
  <c r="H6525"/>
  <c r="AI6525"/>
  <c r="B6526"/>
  <c r="H6526"/>
  <c r="AI6526"/>
  <c r="B6527"/>
  <c r="H6527"/>
  <c r="AI6527"/>
  <c r="B6528"/>
  <c r="H6528"/>
  <c r="AI6528"/>
  <c r="B6529"/>
  <c r="H6529"/>
  <c r="AI6529"/>
  <c r="B6530"/>
  <c r="H6530"/>
  <c r="AI6530"/>
  <c r="B6531"/>
  <c r="H6531"/>
  <c r="AI6531"/>
  <c r="B6532"/>
  <c r="H6532"/>
  <c r="AI6532"/>
  <c r="B6533"/>
  <c r="H6533"/>
  <c r="AI6533"/>
  <c r="B6534"/>
  <c r="H6534"/>
  <c r="AI6534"/>
  <c r="B6535"/>
  <c r="H6535"/>
  <c r="AI6535"/>
  <c r="B6536"/>
  <c r="H6536"/>
  <c r="AI6536"/>
  <c r="B6537"/>
  <c r="H6537"/>
  <c r="AI6537"/>
  <c r="B6538"/>
  <c r="H6538"/>
  <c r="AI6538"/>
  <c r="B6539"/>
  <c r="H6539"/>
  <c r="AI6539"/>
  <c r="B6540"/>
  <c r="H6540"/>
  <c r="AI6540"/>
  <c r="B6541"/>
  <c r="H6541"/>
  <c r="AI6541"/>
  <c r="B6542"/>
  <c r="H6542"/>
  <c r="AI6542"/>
  <c r="B6543"/>
  <c r="H6543"/>
  <c r="AI6543"/>
  <c r="B6544"/>
  <c r="H6544"/>
  <c r="AI6544"/>
  <c r="B6545"/>
  <c r="H6545"/>
  <c r="AI6545"/>
  <c r="B6546"/>
  <c r="H6546"/>
  <c r="AI6546"/>
  <c r="B6547"/>
  <c r="H6547"/>
  <c r="AI6547"/>
  <c r="B6548"/>
  <c r="H6548"/>
  <c r="AI6548"/>
  <c r="B6549"/>
  <c r="H6549"/>
  <c r="AI6549"/>
  <c r="B6550"/>
  <c r="H6550"/>
  <c r="AI6550"/>
  <c r="B6551"/>
  <c r="H6551"/>
  <c r="AI6551"/>
  <c r="B6552"/>
  <c r="H6552"/>
  <c r="AI6552"/>
  <c r="B6553"/>
  <c r="H6553"/>
  <c r="AI6553"/>
  <c r="B6554"/>
  <c r="H6554"/>
  <c r="AI6554"/>
  <c r="B6555"/>
  <c r="H6555"/>
  <c r="AI6555"/>
  <c r="B6556"/>
  <c r="H6556"/>
  <c r="AI6556"/>
  <c r="B6557"/>
  <c r="H6557"/>
  <c r="AI6557"/>
  <c r="B6558"/>
  <c r="H6558"/>
  <c r="AI6558"/>
  <c r="B6559"/>
  <c r="H6559"/>
  <c r="AI6559"/>
  <c r="B6560"/>
  <c r="H6560"/>
  <c r="AI6560"/>
  <c r="B6561"/>
  <c r="H6561"/>
  <c r="AI6561"/>
  <c r="B6562"/>
  <c r="H6562"/>
  <c r="AI6562"/>
  <c r="B6563"/>
  <c r="H6563"/>
  <c r="AI6563"/>
  <c r="B6564"/>
  <c r="H6564"/>
  <c r="AI6564"/>
  <c r="B6565"/>
  <c r="H6565"/>
  <c r="AI6565"/>
  <c r="B6566"/>
  <c r="H6566"/>
  <c r="AI6566"/>
  <c r="B6567"/>
  <c r="H6567"/>
  <c r="AI6567"/>
  <c r="B6568"/>
  <c r="H6568"/>
  <c r="AI6568"/>
  <c r="B6569"/>
  <c r="H6569"/>
  <c r="AI6569"/>
  <c r="B6570"/>
  <c r="H6570"/>
  <c r="AI6570"/>
  <c r="B6571"/>
  <c r="H6571"/>
  <c r="AI6571"/>
  <c r="B6572"/>
  <c r="H6572"/>
  <c r="AI6572"/>
  <c r="B6573"/>
  <c r="H6573"/>
  <c r="AI6573"/>
  <c r="B6574"/>
  <c r="H6574"/>
  <c r="AI6574"/>
  <c r="B6575"/>
  <c r="H6575"/>
  <c r="AI6575"/>
  <c r="B6576"/>
  <c r="H6576"/>
  <c r="AI6576"/>
  <c r="B6577"/>
  <c r="H6577"/>
  <c r="AI6577"/>
  <c r="B6578"/>
  <c r="H6578"/>
  <c r="AI6578"/>
  <c r="B6579"/>
  <c r="H6579"/>
  <c r="AI6579"/>
  <c r="B6580"/>
  <c r="H6580"/>
  <c r="AI6580"/>
  <c r="B6581"/>
  <c r="H6581"/>
  <c r="AI6581"/>
  <c r="B6582"/>
  <c r="H6582"/>
  <c r="AI6582"/>
  <c r="B6583"/>
  <c r="H6583"/>
  <c r="AI6583"/>
  <c r="B6584"/>
  <c r="H6584"/>
  <c r="AI6584"/>
  <c r="B6585"/>
  <c r="H6585"/>
  <c r="AI6585"/>
  <c r="B6586"/>
  <c r="H6586"/>
  <c r="AI6586"/>
  <c r="B6587"/>
  <c r="H6587"/>
  <c r="AI6587"/>
  <c r="B6588"/>
  <c r="H6588"/>
  <c r="AI6588"/>
  <c r="B6589"/>
  <c r="H6589"/>
  <c r="AI6589"/>
  <c r="B6590"/>
  <c r="H6590"/>
  <c r="AI6590"/>
  <c r="B6591"/>
  <c r="H6591"/>
  <c r="AI6591"/>
  <c r="B6592"/>
  <c r="H6592"/>
  <c r="AI6592"/>
  <c r="B6593"/>
  <c r="H6593"/>
  <c r="AI6593"/>
  <c r="B6594"/>
  <c r="H6594"/>
  <c r="AI6594"/>
  <c r="B6595"/>
  <c r="H6595"/>
  <c r="AI6595"/>
  <c r="B6596"/>
  <c r="H6596"/>
  <c r="AI6596"/>
  <c r="B6597"/>
  <c r="H6597"/>
  <c r="AI6597"/>
  <c r="B6598"/>
  <c r="H6598"/>
  <c r="AI6598"/>
  <c r="B6599"/>
  <c r="H6599"/>
  <c r="AI6599"/>
  <c r="B6600"/>
  <c r="H6600"/>
  <c r="AI6600"/>
  <c r="B6601"/>
  <c r="H6601"/>
  <c r="AI6601"/>
  <c r="B6602"/>
  <c r="H6602"/>
  <c r="AI6602"/>
  <c r="B6603"/>
  <c r="H6603"/>
  <c r="AI6603"/>
  <c r="B6604"/>
  <c r="H6604"/>
  <c r="AI6604"/>
  <c r="B6605"/>
  <c r="H6605"/>
  <c r="AI6605"/>
  <c r="B6606"/>
  <c r="H6606"/>
  <c r="AI6606"/>
  <c r="B6607"/>
  <c r="H6607"/>
  <c r="AI6607"/>
  <c r="B6608"/>
  <c r="H6608"/>
  <c r="AI6608"/>
  <c r="B6609"/>
  <c r="H6609"/>
  <c r="AI6609"/>
  <c r="B6610"/>
  <c r="H6610"/>
  <c r="AI6610"/>
  <c r="B6611"/>
  <c r="H6611"/>
  <c r="AI6611"/>
  <c r="B6612"/>
  <c r="H6612"/>
  <c r="AI6612"/>
  <c r="B6613"/>
  <c r="H6613"/>
  <c r="AI6613"/>
  <c r="B6614"/>
  <c r="H6614"/>
  <c r="AI6614"/>
  <c r="B6615"/>
  <c r="H6615"/>
  <c r="AI6615"/>
  <c r="B6616"/>
  <c r="H6616"/>
  <c r="AI6616"/>
  <c r="B6617"/>
  <c r="H6617"/>
  <c r="AI6617"/>
  <c r="B6618"/>
  <c r="H6618"/>
  <c r="AI6618"/>
  <c r="B6619"/>
  <c r="H6619"/>
  <c r="AI6619"/>
  <c r="B6620"/>
  <c r="H6620"/>
  <c r="AI6620"/>
  <c r="B6621"/>
  <c r="H6621"/>
  <c r="AI6621"/>
  <c r="B6622"/>
  <c r="H6622"/>
  <c r="AI6622"/>
  <c r="B6623"/>
  <c r="H6623"/>
  <c r="AI6623"/>
  <c r="B6624"/>
  <c r="H6624"/>
  <c r="AI6624"/>
  <c r="B6625"/>
  <c r="H6625"/>
  <c r="AI6625"/>
  <c r="B6626"/>
  <c r="H6626"/>
  <c r="AI6626"/>
  <c r="B6627"/>
  <c r="H6627"/>
  <c r="AI6627"/>
  <c r="B6628"/>
  <c r="H6628"/>
  <c r="AI6628"/>
  <c r="B6629"/>
  <c r="H6629"/>
  <c r="AI6629"/>
  <c r="B6630"/>
  <c r="H6630"/>
  <c r="AI6630"/>
  <c r="B6631"/>
  <c r="H6631"/>
  <c r="AI6631"/>
  <c r="B6632"/>
  <c r="H6632"/>
  <c r="AI6632"/>
  <c r="B6633"/>
  <c r="H6633"/>
  <c r="AI6633"/>
  <c r="B6634"/>
  <c r="H6634"/>
  <c r="AI6634"/>
  <c r="B6635"/>
  <c r="H6635"/>
  <c r="AI6635"/>
  <c r="B6636"/>
  <c r="H6636"/>
  <c r="AI6636"/>
  <c r="B6637"/>
  <c r="H6637"/>
  <c r="AI6637"/>
  <c r="B6638"/>
  <c r="H6638"/>
  <c r="AI6638"/>
  <c r="B6639"/>
  <c r="H6639"/>
  <c r="AI6639"/>
  <c r="B6640"/>
  <c r="H6640"/>
  <c r="AI6640"/>
  <c r="B6641"/>
  <c r="H6641"/>
  <c r="AI6641"/>
  <c r="B6642"/>
  <c r="H6642"/>
  <c r="AI6642"/>
  <c r="B6643"/>
  <c r="H6643"/>
  <c r="AI6643"/>
  <c r="B6644"/>
  <c r="H6644"/>
  <c r="AI6644"/>
  <c r="B6645"/>
  <c r="H6645"/>
  <c r="AI6645"/>
  <c r="B6646"/>
  <c r="H6646"/>
  <c r="AI6646"/>
  <c r="B6647"/>
  <c r="H6647"/>
  <c r="AI6647"/>
  <c r="B6648"/>
  <c r="H6648"/>
  <c r="AI6648"/>
  <c r="B6649"/>
  <c r="H6649"/>
  <c r="AI6649"/>
  <c r="B6650"/>
  <c r="H6650"/>
  <c r="AI6650"/>
  <c r="B6651"/>
  <c r="H6651"/>
  <c r="AI6651"/>
  <c r="B6652"/>
  <c r="H6652"/>
  <c r="AI6652"/>
  <c r="B6653"/>
  <c r="H6653"/>
  <c r="AI6653"/>
  <c r="B6654"/>
  <c r="H6654"/>
  <c r="AI6654"/>
  <c r="B6655"/>
  <c r="H6655"/>
  <c r="AI6655"/>
  <c r="B6656"/>
  <c r="H6656"/>
  <c r="AI6656"/>
  <c r="B6657"/>
  <c r="H6657"/>
  <c r="AI6657"/>
  <c r="B6658"/>
  <c r="H6658"/>
  <c r="AI6658"/>
  <c r="B6659"/>
  <c r="H6659"/>
  <c r="AI6659"/>
  <c r="B6660"/>
  <c r="H6660"/>
  <c r="AI6660"/>
  <c r="B6661"/>
  <c r="H6661"/>
  <c r="AI6661"/>
  <c r="B6662"/>
  <c r="H6662"/>
  <c r="AI6662"/>
  <c r="B6663"/>
  <c r="H6663"/>
  <c r="AI6663"/>
  <c r="B6664"/>
  <c r="H6664"/>
  <c r="AI6664"/>
  <c r="B6665"/>
  <c r="H6665"/>
  <c r="AI6665"/>
  <c r="B6666"/>
  <c r="H6666"/>
  <c r="AI6666"/>
  <c r="B6667"/>
  <c r="H6667"/>
  <c r="AI6667"/>
  <c r="B6668"/>
  <c r="H6668"/>
  <c r="AI6668"/>
  <c r="B6669"/>
  <c r="H6669"/>
  <c r="AI6669"/>
  <c r="B6670"/>
  <c r="H6670"/>
  <c r="AI6670"/>
  <c r="B6671"/>
  <c r="H6671"/>
  <c r="AI6671"/>
  <c r="B6672"/>
  <c r="H6672"/>
  <c r="AI6672"/>
  <c r="B6673"/>
  <c r="H6673"/>
  <c r="AI6673"/>
  <c r="B6674"/>
  <c r="H6674"/>
  <c r="AI6674"/>
  <c r="B6675"/>
  <c r="H6675"/>
  <c r="AI6675"/>
  <c r="B6676"/>
  <c r="H6676"/>
  <c r="AI6676"/>
  <c r="B6677"/>
  <c r="H6677"/>
  <c r="AI6677"/>
  <c r="B6678"/>
  <c r="H6678"/>
  <c r="AI6678"/>
  <c r="B6679"/>
  <c r="H6679"/>
  <c r="AI6679"/>
  <c r="B6680"/>
  <c r="H6680"/>
  <c r="AI6680"/>
  <c r="B6681"/>
  <c r="H6681"/>
  <c r="AI6681"/>
  <c r="B6682"/>
  <c r="H6682"/>
  <c r="AI6682"/>
  <c r="B6683"/>
  <c r="H6683"/>
  <c r="AI6683"/>
  <c r="B6684"/>
  <c r="H6684"/>
  <c r="AI6684"/>
  <c r="B6685"/>
  <c r="H6685"/>
  <c r="AI6685"/>
  <c r="B6686"/>
  <c r="H6686"/>
  <c r="AI6686"/>
  <c r="B6687"/>
  <c r="H6687"/>
  <c r="AI6687"/>
  <c r="B6688"/>
  <c r="H6688"/>
  <c r="AI6688"/>
  <c r="B6689"/>
  <c r="H6689"/>
  <c r="AI6689"/>
  <c r="B6690"/>
  <c r="H6690"/>
  <c r="AI6690"/>
  <c r="B6691"/>
  <c r="H6691"/>
  <c r="AI6691"/>
  <c r="B6692"/>
  <c r="H6692"/>
  <c r="AI6692"/>
  <c r="B6693"/>
  <c r="H6693"/>
  <c r="AI6693"/>
  <c r="B6694"/>
  <c r="H6694"/>
  <c r="AI6694"/>
  <c r="B6695"/>
  <c r="H6695"/>
  <c r="AI6695"/>
  <c r="B6696"/>
  <c r="H6696"/>
  <c r="AI6696"/>
  <c r="B6697"/>
  <c r="H6697"/>
  <c r="AI6697"/>
  <c r="B6698"/>
  <c r="H6698"/>
  <c r="AI6698"/>
  <c r="B6699"/>
  <c r="H6699"/>
  <c r="AI6699"/>
  <c r="B6700"/>
  <c r="H6700"/>
  <c r="AI6700"/>
  <c r="B6701"/>
  <c r="H6701"/>
  <c r="AI6701"/>
  <c r="B6702"/>
  <c r="H6702"/>
  <c r="AI6702"/>
  <c r="B6703"/>
  <c r="H6703"/>
  <c r="AI6703"/>
  <c r="B6704"/>
  <c r="H6704"/>
  <c r="AI6704"/>
  <c r="B6705"/>
  <c r="H6705"/>
  <c r="AI6705"/>
  <c r="B6706"/>
  <c r="H6706"/>
  <c r="AI6706"/>
  <c r="B6707"/>
  <c r="H6707"/>
  <c r="AI6707"/>
  <c r="B6708"/>
  <c r="H6708"/>
  <c r="AI6708"/>
  <c r="B6709"/>
  <c r="H6709"/>
  <c r="AI6709"/>
  <c r="B6710"/>
  <c r="H6710"/>
  <c r="AI6710"/>
  <c r="B6711"/>
  <c r="H6711"/>
  <c r="AI6711"/>
  <c r="B6712"/>
  <c r="H6712"/>
  <c r="AI6712"/>
  <c r="B6713"/>
  <c r="H6713"/>
  <c r="AI6713"/>
  <c r="B6714"/>
  <c r="H6714"/>
  <c r="AI6714"/>
  <c r="B6715"/>
  <c r="H6715"/>
  <c r="AI6715"/>
  <c r="B6716"/>
  <c r="H6716"/>
  <c r="AI6716"/>
  <c r="B6717"/>
  <c r="H6717"/>
  <c r="AI6717"/>
  <c r="B6718"/>
  <c r="H6718"/>
  <c r="AI6718"/>
  <c r="B6719"/>
  <c r="H6719"/>
  <c r="AI6719"/>
  <c r="B6720"/>
  <c r="H6720"/>
  <c r="AI6720"/>
  <c r="B6721"/>
  <c r="H6721"/>
  <c r="AI6721"/>
  <c r="B6722"/>
  <c r="H6722"/>
  <c r="AI6722"/>
  <c r="B6723"/>
  <c r="H6723"/>
  <c r="AI6723"/>
  <c r="B6724"/>
  <c r="H6724"/>
  <c r="AI6724"/>
  <c r="B6725"/>
  <c r="H6725"/>
  <c r="AI6725"/>
  <c r="B6726"/>
  <c r="H6726"/>
  <c r="AI6726"/>
  <c r="B6727"/>
  <c r="H6727"/>
  <c r="AI6727"/>
  <c r="B6728"/>
  <c r="H6728"/>
  <c r="AI6728"/>
  <c r="B6729"/>
  <c r="H6729"/>
  <c r="AI6729"/>
  <c r="B6730"/>
  <c r="H6730"/>
  <c r="AI6730"/>
  <c r="B6731"/>
  <c r="H6731"/>
  <c r="AI6731"/>
  <c r="B6732"/>
  <c r="H6732"/>
  <c r="AI6732"/>
  <c r="B6733"/>
  <c r="H6733"/>
  <c r="AI6733"/>
  <c r="B6734"/>
  <c r="H6734"/>
  <c r="AI6734"/>
  <c r="B6735"/>
  <c r="H6735"/>
  <c r="AI6735"/>
  <c r="B6736"/>
  <c r="H6736"/>
  <c r="AI6736"/>
  <c r="B6737"/>
  <c r="H6737"/>
  <c r="AI6737"/>
  <c r="B6738"/>
  <c r="H6738"/>
  <c r="AI6738"/>
  <c r="B6739"/>
  <c r="H6739"/>
  <c r="AI6739"/>
  <c r="B6740"/>
  <c r="H6740"/>
  <c r="AI6740"/>
  <c r="B6741"/>
  <c r="H6741"/>
  <c r="AI6741"/>
  <c r="B6742"/>
  <c r="H6742"/>
  <c r="AI6742"/>
  <c r="B6743"/>
  <c r="H6743"/>
  <c r="AI6743"/>
  <c r="B6744"/>
  <c r="H6744"/>
  <c r="AI6744"/>
  <c r="B6745"/>
  <c r="H6745"/>
  <c r="AI6745"/>
  <c r="B6746"/>
  <c r="H6746"/>
  <c r="AI6746"/>
  <c r="B6747"/>
  <c r="H6747"/>
  <c r="AI6747"/>
  <c r="B6748"/>
  <c r="H6748"/>
  <c r="AI6748"/>
  <c r="B6749"/>
  <c r="H6749"/>
  <c r="AI6749"/>
  <c r="B6750"/>
  <c r="H6750"/>
  <c r="AI6750"/>
  <c r="B6751"/>
  <c r="H6751"/>
  <c r="AI6751"/>
  <c r="B6752"/>
  <c r="H6752"/>
  <c r="AI6752"/>
  <c r="B6753"/>
  <c r="H6753"/>
  <c r="AI6753"/>
  <c r="B6754"/>
  <c r="H6754"/>
  <c r="AI6754"/>
  <c r="B6755"/>
  <c r="H6755"/>
  <c r="AI6755"/>
  <c r="B6756"/>
  <c r="H6756"/>
  <c r="AI6756"/>
  <c r="B6757"/>
  <c r="H6757"/>
  <c r="AI6757"/>
  <c r="B6758"/>
  <c r="H6758"/>
  <c r="AI6758"/>
  <c r="B6759"/>
  <c r="H6759"/>
  <c r="AI6759"/>
  <c r="B6760"/>
  <c r="H6760"/>
  <c r="AI6760"/>
  <c r="B6761"/>
  <c r="H6761"/>
  <c r="AI6761"/>
  <c r="B6762"/>
  <c r="H6762"/>
  <c r="AI6762"/>
  <c r="B6763"/>
  <c r="H6763"/>
  <c r="AI6763"/>
  <c r="B6764"/>
  <c r="H6764"/>
  <c r="AI6764"/>
  <c r="B6765"/>
  <c r="H6765"/>
  <c r="AI6765"/>
  <c r="B6766"/>
  <c r="H6766"/>
  <c r="AI6766"/>
  <c r="B6767"/>
  <c r="H6767"/>
  <c r="AI6767"/>
  <c r="B6768"/>
  <c r="H6768"/>
  <c r="AI6768"/>
  <c r="B6769"/>
  <c r="H6769"/>
  <c r="AI6769"/>
  <c r="B6770"/>
  <c r="H6770"/>
  <c r="AI6770"/>
  <c r="B6771"/>
  <c r="H6771"/>
  <c r="AI6771"/>
  <c r="B6772"/>
  <c r="H6772"/>
  <c r="AI6772"/>
  <c r="B6773"/>
  <c r="H6773"/>
  <c r="AI6773"/>
  <c r="B6774"/>
  <c r="H6774"/>
  <c r="AI6774"/>
  <c r="B6775"/>
  <c r="H6775"/>
  <c r="AI6775"/>
  <c r="B6776"/>
  <c r="H6776"/>
  <c r="AI6776"/>
  <c r="B6777"/>
  <c r="H6777"/>
  <c r="AI6777"/>
  <c r="B6778"/>
  <c r="H6778"/>
  <c r="AI6778"/>
  <c r="B6779"/>
  <c r="H6779"/>
  <c r="AI6779"/>
  <c r="B6780"/>
  <c r="H6780"/>
  <c r="AI6780"/>
  <c r="B6781"/>
  <c r="H6781"/>
  <c r="AI6781"/>
  <c r="B6782"/>
  <c r="H6782"/>
  <c r="AI6782"/>
  <c r="B6783"/>
  <c r="H6783"/>
  <c r="AI6783"/>
  <c r="B6784"/>
  <c r="H6784"/>
  <c r="AI6784"/>
  <c r="B6785"/>
  <c r="H6785"/>
  <c r="AI6785"/>
  <c r="B6786"/>
  <c r="H6786"/>
  <c r="AI6786"/>
  <c r="B6787"/>
  <c r="H6787"/>
  <c r="AI6787"/>
  <c r="B6788"/>
  <c r="H6788"/>
  <c r="AI6788"/>
  <c r="B6789"/>
  <c r="H6789"/>
  <c r="AI6789"/>
  <c r="B6790"/>
  <c r="H6790"/>
  <c r="AI6790"/>
  <c r="B6791"/>
  <c r="H6791"/>
  <c r="AI6791"/>
  <c r="B6792"/>
  <c r="H6792"/>
  <c r="AI6792"/>
  <c r="B6793"/>
  <c r="H6793"/>
  <c r="AI6793"/>
  <c r="B6794"/>
  <c r="H6794"/>
  <c r="AI6794"/>
  <c r="B6795"/>
  <c r="H6795"/>
  <c r="AI6795"/>
  <c r="B6796"/>
  <c r="H6796"/>
  <c r="AI6796"/>
  <c r="B6797"/>
  <c r="H6797"/>
  <c r="AI6797"/>
  <c r="B6798"/>
  <c r="H6798"/>
  <c r="AI6798"/>
  <c r="B6799"/>
  <c r="H6799"/>
  <c r="AI6799"/>
  <c r="B6800"/>
  <c r="H6800"/>
  <c r="AI6800"/>
  <c r="B6801"/>
  <c r="H6801"/>
  <c r="AI6801"/>
  <c r="B6802"/>
  <c r="H6802"/>
  <c r="AI6802"/>
  <c r="B6803"/>
  <c r="H6803"/>
  <c r="AI6803"/>
  <c r="B6804"/>
  <c r="H6804"/>
  <c r="AI6804"/>
  <c r="B6805"/>
  <c r="H6805"/>
  <c r="AI6805"/>
  <c r="B6806"/>
  <c r="H6806"/>
  <c r="AI6806"/>
  <c r="B6807"/>
  <c r="H6807"/>
  <c r="AI6807"/>
  <c r="B6808"/>
  <c r="H6808"/>
  <c r="AI6808"/>
  <c r="B6809"/>
  <c r="H6809"/>
  <c r="AI6809"/>
  <c r="B6810"/>
  <c r="H6810"/>
  <c r="AI6810"/>
  <c r="B6811"/>
  <c r="H6811"/>
  <c r="AI6811"/>
  <c r="B6812"/>
  <c r="H6812"/>
  <c r="AI6812"/>
  <c r="B6813"/>
  <c r="H6813"/>
  <c r="AI6813"/>
  <c r="B6814"/>
  <c r="H6814"/>
  <c r="AI6814"/>
  <c r="B6815"/>
  <c r="H6815"/>
  <c r="AI6815"/>
  <c r="B6816"/>
  <c r="H6816"/>
  <c r="AI6816"/>
  <c r="B6817"/>
  <c r="H6817"/>
  <c r="AI6817"/>
  <c r="B6818"/>
  <c r="H6818"/>
  <c r="AI6818"/>
  <c r="B6819"/>
  <c r="H6819"/>
  <c r="AI6819"/>
  <c r="B6820"/>
  <c r="H6820"/>
  <c r="AI6820"/>
  <c r="B6821"/>
  <c r="H6821"/>
  <c r="AI6821"/>
  <c r="B6822"/>
  <c r="H6822"/>
  <c r="AI6822"/>
  <c r="B6823"/>
  <c r="H6823"/>
  <c r="AI6823"/>
  <c r="B6824"/>
  <c r="H6824"/>
  <c r="AI6824"/>
  <c r="B6825"/>
  <c r="H6825"/>
  <c r="AI6825"/>
  <c r="B6826"/>
  <c r="H6826"/>
  <c r="AI6826"/>
  <c r="B6827"/>
  <c r="H6827"/>
  <c r="AI6827"/>
  <c r="B6828"/>
  <c r="H6828"/>
  <c r="AI6828"/>
  <c r="B6829"/>
  <c r="H6829"/>
  <c r="AI6829"/>
  <c r="B6830"/>
  <c r="H6830"/>
  <c r="AI6830"/>
  <c r="B6831"/>
  <c r="H6831"/>
  <c r="AI6831"/>
  <c r="B6832"/>
  <c r="H6832"/>
  <c r="AI6832"/>
  <c r="B6833"/>
  <c r="H6833"/>
  <c r="AI6833"/>
  <c r="B6834"/>
  <c r="H6834"/>
  <c r="AI6834"/>
  <c r="B6835"/>
  <c r="H6835"/>
  <c r="AI6835"/>
  <c r="B6836"/>
  <c r="H6836"/>
  <c r="AI6836"/>
  <c r="B6837"/>
  <c r="H6837"/>
  <c r="AI6837"/>
  <c r="B6838"/>
  <c r="H6838"/>
  <c r="AI6838"/>
  <c r="B6839"/>
  <c r="H6839"/>
  <c r="AI6839"/>
  <c r="B6840"/>
  <c r="H6840"/>
  <c r="AI6840"/>
  <c r="B6841"/>
  <c r="H6841"/>
  <c r="AI6841"/>
  <c r="B6842"/>
  <c r="H6842"/>
  <c r="AI6842"/>
  <c r="B6843"/>
  <c r="H6843"/>
  <c r="AI6843"/>
  <c r="B6844"/>
  <c r="H6844"/>
  <c r="AI6844"/>
  <c r="B6845"/>
  <c r="H6845"/>
  <c r="AI6845"/>
  <c r="B6846"/>
  <c r="H6846"/>
  <c r="AI6846"/>
  <c r="B6847"/>
  <c r="H6847"/>
  <c r="AI6847"/>
  <c r="B6848"/>
  <c r="H6848"/>
  <c r="AI6848"/>
  <c r="B6849"/>
  <c r="H6849"/>
  <c r="AI6849"/>
  <c r="B6850"/>
  <c r="H6850"/>
  <c r="AI6850"/>
  <c r="B6851"/>
  <c r="H6851"/>
  <c r="AI6851"/>
  <c r="B6852"/>
  <c r="H6852"/>
  <c r="AI6852"/>
  <c r="B6853"/>
  <c r="H6853"/>
  <c r="AI6853"/>
  <c r="B6854"/>
  <c r="H6854"/>
  <c r="AI6854"/>
  <c r="B6855"/>
  <c r="H6855"/>
  <c r="AI6855"/>
  <c r="B6856"/>
  <c r="H6856"/>
  <c r="AI6856"/>
  <c r="B6857"/>
  <c r="H6857"/>
  <c r="AI6857"/>
  <c r="B6858"/>
  <c r="H6858"/>
  <c r="AI6858"/>
  <c r="B6859"/>
  <c r="H6859"/>
  <c r="AI6859"/>
  <c r="B6860"/>
  <c r="H6860"/>
  <c r="AI6860"/>
  <c r="B6861"/>
  <c r="H6861"/>
  <c r="AI6861"/>
  <c r="B6862"/>
  <c r="H6862"/>
  <c r="AI6862"/>
  <c r="B6863"/>
  <c r="H6863"/>
  <c r="AI6863"/>
  <c r="B6864"/>
  <c r="H6864"/>
  <c r="AI6864"/>
  <c r="B6865"/>
  <c r="H6865"/>
  <c r="AI6865"/>
  <c r="B6866"/>
  <c r="H6866"/>
  <c r="AI6866"/>
  <c r="B6867"/>
  <c r="H6867"/>
  <c r="AI6867"/>
  <c r="B6868"/>
  <c r="H6868"/>
  <c r="AI6868"/>
  <c r="B6869"/>
  <c r="H6869"/>
  <c r="AI6869"/>
  <c r="B6870"/>
  <c r="H6870"/>
  <c r="AI6870"/>
  <c r="B6871"/>
  <c r="H6871"/>
  <c r="AI6871"/>
  <c r="B6872"/>
  <c r="H6872"/>
  <c r="AI6872"/>
  <c r="B6873"/>
  <c r="H6873"/>
  <c r="AI6873"/>
  <c r="B6874"/>
  <c r="H6874"/>
  <c r="AI6874"/>
  <c r="B6875"/>
  <c r="H6875"/>
  <c r="AI6875"/>
  <c r="B6876"/>
  <c r="H6876"/>
  <c r="AI6876"/>
  <c r="B6877"/>
  <c r="H6877"/>
  <c r="AI6877"/>
  <c r="B6878"/>
  <c r="H6878"/>
  <c r="AI6878"/>
  <c r="B6879"/>
  <c r="H6879"/>
  <c r="AI6879"/>
  <c r="B6880"/>
  <c r="H6880"/>
  <c r="AI6880"/>
  <c r="B6881"/>
  <c r="H6881"/>
  <c r="AI6881"/>
  <c r="B6882"/>
  <c r="H6882"/>
  <c r="AI6882"/>
  <c r="B6883"/>
  <c r="H6883"/>
  <c r="AI6883"/>
  <c r="B6884"/>
  <c r="H6884"/>
  <c r="AI6884"/>
  <c r="B6885"/>
  <c r="H6885"/>
  <c r="AI6885"/>
  <c r="B6886"/>
  <c r="H6886"/>
  <c r="AI6886"/>
  <c r="B6887"/>
  <c r="H6887"/>
  <c r="AI6887"/>
  <c r="B6888"/>
  <c r="H6888"/>
  <c r="AI6888"/>
  <c r="B6889"/>
  <c r="H6889"/>
  <c r="AI6889"/>
  <c r="B6890"/>
  <c r="H6890"/>
  <c r="AI6890"/>
  <c r="B6891"/>
  <c r="H6891"/>
  <c r="AI6891"/>
  <c r="B6892"/>
  <c r="H6892"/>
  <c r="AI6892"/>
  <c r="B6893"/>
  <c r="H6893"/>
  <c r="AI6893"/>
  <c r="B6894"/>
  <c r="H6894"/>
  <c r="AI6894"/>
  <c r="B6895"/>
  <c r="H6895"/>
  <c r="AI6895"/>
  <c r="B6896"/>
  <c r="H6896"/>
  <c r="AI6896"/>
  <c r="B6897"/>
  <c r="H6897"/>
  <c r="AI6897"/>
  <c r="B6898"/>
  <c r="H6898"/>
  <c r="AI6898"/>
  <c r="B6899"/>
  <c r="H6899"/>
  <c r="AI6899"/>
  <c r="B6900"/>
  <c r="H6900"/>
  <c r="AI6900"/>
  <c r="B6901"/>
  <c r="H6901"/>
  <c r="AI6901"/>
  <c r="B6902"/>
  <c r="H6902"/>
  <c r="AI6902"/>
  <c r="B6903"/>
  <c r="H6903"/>
  <c r="AI6903"/>
  <c r="B6904"/>
  <c r="H6904"/>
  <c r="AI6904"/>
  <c r="B6905"/>
  <c r="H6905"/>
  <c r="AI6905"/>
  <c r="B6906"/>
  <c r="H6906"/>
  <c r="AI6906"/>
  <c r="B6907"/>
  <c r="H6907"/>
  <c r="AI6907"/>
  <c r="B6908"/>
  <c r="H6908"/>
  <c r="AI6908"/>
  <c r="B6909"/>
  <c r="H6909"/>
  <c r="AI6909"/>
  <c r="B6910"/>
  <c r="H6910"/>
  <c r="AI6910"/>
  <c r="B6911"/>
  <c r="H6911"/>
  <c r="AI6911"/>
  <c r="B6912"/>
  <c r="H6912"/>
  <c r="AI6912"/>
  <c r="B6913"/>
  <c r="H6913"/>
  <c r="AI6913"/>
  <c r="B6914"/>
  <c r="H6914"/>
  <c r="AI6914"/>
  <c r="B6915"/>
  <c r="H6915"/>
  <c r="AI6915"/>
  <c r="B6916"/>
  <c r="H6916"/>
  <c r="AI6916"/>
  <c r="B6917"/>
  <c r="H6917"/>
  <c r="AI6917"/>
  <c r="B6918"/>
  <c r="H6918"/>
  <c r="AI6918"/>
  <c r="B6919"/>
  <c r="H6919"/>
  <c r="AI6919"/>
  <c r="B6920"/>
  <c r="H6920"/>
  <c r="AI6920"/>
  <c r="B6921"/>
  <c r="H6921"/>
  <c r="AI6921"/>
  <c r="B6922"/>
  <c r="H6922"/>
  <c r="AI6922"/>
  <c r="B6923"/>
  <c r="H6923"/>
  <c r="AI6923"/>
  <c r="B6924"/>
  <c r="H6924"/>
  <c r="AI6924"/>
  <c r="B6925"/>
  <c r="H6925"/>
  <c r="AI6925"/>
  <c r="B6926"/>
  <c r="H6926"/>
  <c r="AI6926"/>
  <c r="B6927"/>
  <c r="H6927"/>
  <c r="AI6927"/>
  <c r="B6928"/>
  <c r="H6928"/>
  <c r="AI6928"/>
  <c r="B6929"/>
  <c r="H6929"/>
  <c r="AI6929"/>
  <c r="B6930"/>
  <c r="H6930"/>
  <c r="AI6930"/>
  <c r="B6931"/>
  <c r="H6931"/>
  <c r="AI6931"/>
  <c r="B6932"/>
  <c r="H6932"/>
  <c r="AI6932"/>
  <c r="B6933"/>
  <c r="H6933"/>
  <c r="AI6933"/>
  <c r="B6934"/>
  <c r="H6934"/>
  <c r="AI6934"/>
  <c r="B6935"/>
  <c r="H6935"/>
  <c r="AI6935"/>
  <c r="B6936"/>
  <c r="H6936"/>
  <c r="AI6936"/>
  <c r="B6937"/>
  <c r="H6937"/>
  <c r="AI6937"/>
  <c r="B6938"/>
  <c r="H6938"/>
  <c r="AI6938"/>
  <c r="B6939"/>
  <c r="H6939"/>
  <c r="AI6939"/>
  <c r="B6940"/>
  <c r="H6940"/>
  <c r="AI6940"/>
  <c r="B6941"/>
  <c r="H6941"/>
  <c r="AI6941"/>
  <c r="B6942"/>
  <c r="H6942"/>
  <c r="AI6942"/>
  <c r="B6943"/>
  <c r="H6943"/>
  <c r="AI6943"/>
  <c r="B6944"/>
  <c r="H6944"/>
  <c r="AI6944"/>
  <c r="B6945"/>
  <c r="H6945"/>
  <c r="AI6945"/>
  <c r="B6946"/>
  <c r="H6946"/>
  <c r="AI6946"/>
  <c r="B6947"/>
  <c r="H6947"/>
  <c r="AI6947"/>
  <c r="B6948"/>
  <c r="H6948"/>
  <c r="AI6948"/>
  <c r="B6949"/>
  <c r="H6949"/>
  <c r="AI6949"/>
  <c r="B6950"/>
  <c r="H6950"/>
  <c r="AI6950"/>
  <c r="B6951"/>
  <c r="H6951"/>
  <c r="AI6951"/>
  <c r="B6952"/>
  <c r="H6952"/>
  <c r="AI6952"/>
  <c r="B6953"/>
  <c r="H6953"/>
  <c r="AI6953"/>
  <c r="B6954"/>
  <c r="H6954"/>
  <c r="AI6954"/>
  <c r="B6955"/>
  <c r="H6955"/>
  <c r="AI6955"/>
  <c r="B6956"/>
  <c r="H6956"/>
  <c r="AI6956"/>
  <c r="B6957"/>
  <c r="H6957"/>
  <c r="AI6957"/>
  <c r="B6958"/>
  <c r="H6958"/>
  <c r="AI6958"/>
  <c r="B6959"/>
  <c r="H6959"/>
  <c r="AI6959"/>
  <c r="B6960"/>
  <c r="H6960"/>
  <c r="AI6960"/>
  <c r="B6961"/>
  <c r="H6961"/>
  <c r="AI6961"/>
  <c r="B6962"/>
  <c r="H6962"/>
  <c r="AI6962"/>
  <c r="B6963"/>
  <c r="H6963"/>
  <c r="AI6963"/>
  <c r="B6964"/>
  <c r="H6964"/>
  <c r="AI6964"/>
  <c r="B6965"/>
  <c r="H6965"/>
  <c r="AI6965"/>
  <c r="B6966"/>
  <c r="H6966"/>
  <c r="AI6966"/>
  <c r="B6967"/>
  <c r="H6967"/>
  <c r="AI6967"/>
  <c r="B6968"/>
  <c r="H6968"/>
  <c r="AI6968"/>
  <c r="B6969"/>
  <c r="H6969"/>
  <c r="AI6969"/>
  <c r="B6970"/>
  <c r="H6970"/>
  <c r="AI6970"/>
  <c r="B6971"/>
  <c r="H6971"/>
  <c r="AI6971"/>
  <c r="B6972"/>
  <c r="H6972"/>
  <c r="AI6972"/>
  <c r="B6973"/>
  <c r="H6973"/>
  <c r="AI6973"/>
  <c r="B6974"/>
  <c r="H6974"/>
  <c r="AI6974"/>
  <c r="B6975"/>
  <c r="H6975"/>
  <c r="AI6975"/>
  <c r="B6976"/>
  <c r="H6976"/>
  <c r="AI6976"/>
  <c r="B6977"/>
  <c r="H6977"/>
  <c r="AI6977"/>
  <c r="B6978"/>
  <c r="H6978"/>
  <c r="AI6978"/>
  <c r="B6979"/>
  <c r="H6979"/>
  <c r="AI6979"/>
  <c r="B6980"/>
  <c r="H6980"/>
  <c r="AI6980"/>
  <c r="B6981"/>
  <c r="H6981"/>
  <c r="AI6981"/>
  <c r="B6982"/>
  <c r="H6982"/>
  <c r="AI6982"/>
  <c r="B6983"/>
  <c r="H6983"/>
  <c r="AI6983"/>
  <c r="B6984"/>
  <c r="H6984"/>
  <c r="AI6984"/>
  <c r="B6985"/>
  <c r="H6985"/>
  <c r="AI6985"/>
  <c r="B6986"/>
  <c r="H6986"/>
  <c r="AI6986"/>
  <c r="B6987"/>
  <c r="H6987"/>
  <c r="AI6987"/>
  <c r="B6988"/>
  <c r="H6988"/>
  <c r="AI6988"/>
  <c r="B6989"/>
  <c r="H6989"/>
  <c r="AI6989"/>
  <c r="B6990"/>
  <c r="H6990"/>
  <c r="AI6990"/>
  <c r="B6991"/>
  <c r="H6991"/>
  <c r="AI6991"/>
  <c r="B6992"/>
  <c r="H6992"/>
  <c r="AI6992"/>
  <c r="B6993"/>
  <c r="H6993"/>
  <c r="AI6993"/>
  <c r="B6994"/>
  <c r="H6994"/>
  <c r="AI6994"/>
  <c r="B6995"/>
  <c r="H6995"/>
  <c r="AI6995"/>
  <c r="B6996"/>
  <c r="H6996"/>
  <c r="AI6996"/>
  <c r="B6997"/>
  <c r="H6997"/>
  <c r="AI6997"/>
  <c r="B6998"/>
  <c r="H6998"/>
  <c r="AI6998"/>
  <c r="B6999"/>
  <c r="H6999"/>
  <c r="AI6999"/>
  <c r="B7000"/>
  <c r="H7000"/>
  <c r="AI7000"/>
  <c r="B7001"/>
  <c r="H7001"/>
  <c r="AI7001"/>
  <c r="B7002"/>
  <c r="H7002"/>
  <c r="AI7002"/>
  <c r="B7003"/>
  <c r="H7003"/>
  <c r="AI7003"/>
  <c r="B7004"/>
  <c r="H7004"/>
  <c r="AI7004"/>
  <c r="B7005"/>
  <c r="H7005"/>
  <c r="AI7005"/>
  <c r="B7006"/>
  <c r="H7006"/>
  <c r="AI7006"/>
  <c r="B7007"/>
  <c r="H7007"/>
  <c r="AI7007"/>
  <c r="B7008"/>
  <c r="H7008"/>
  <c r="AI7008"/>
  <c r="B7009"/>
  <c r="H7009"/>
  <c r="AI7009"/>
  <c r="B7010"/>
  <c r="H7010"/>
  <c r="AI7010"/>
  <c r="B7011"/>
  <c r="H7011"/>
  <c r="AI7011"/>
  <c r="B7012"/>
  <c r="H7012"/>
  <c r="AI7012"/>
  <c r="B7013"/>
  <c r="H7013"/>
  <c r="AI7013"/>
  <c r="B7014"/>
  <c r="H7014"/>
  <c r="AI7014"/>
  <c r="B7015"/>
  <c r="H7015"/>
  <c r="AI7015"/>
  <c r="B7016"/>
  <c r="H7016"/>
  <c r="AI7016"/>
  <c r="B7017"/>
  <c r="H7017"/>
  <c r="AI7017"/>
  <c r="B7018"/>
  <c r="H7018"/>
  <c r="AI7018"/>
  <c r="B7019"/>
  <c r="H7019"/>
  <c r="AI7019"/>
  <c r="B7020"/>
  <c r="H7020"/>
  <c r="AI7020"/>
  <c r="B7021"/>
  <c r="H7021"/>
  <c r="AI7021"/>
  <c r="B7022"/>
  <c r="H7022"/>
  <c r="AI7022"/>
  <c r="B7023"/>
  <c r="H7023"/>
  <c r="AI7023"/>
  <c r="B7024"/>
  <c r="H7024"/>
  <c r="AI7024"/>
  <c r="B7025"/>
  <c r="H7025"/>
  <c r="AI7025"/>
  <c r="B7026"/>
  <c r="H7026"/>
  <c r="AI7026"/>
  <c r="B7027"/>
  <c r="H7027"/>
  <c r="AI7027"/>
  <c r="B7028"/>
  <c r="H7028"/>
  <c r="AI7028"/>
  <c r="B7029"/>
  <c r="H7029"/>
  <c r="AI7029"/>
  <c r="B7030"/>
  <c r="H7030"/>
  <c r="AI7030"/>
  <c r="B7031"/>
  <c r="H7031"/>
  <c r="AI7031"/>
  <c r="B7032"/>
  <c r="H7032"/>
  <c r="AI7032"/>
  <c r="B7033"/>
  <c r="H7033"/>
  <c r="AI7033"/>
  <c r="B7034"/>
  <c r="H7034"/>
  <c r="AI7034"/>
  <c r="B7035"/>
  <c r="H7035"/>
  <c r="AI7035"/>
  <c r="B7036"/>
  <c r="H7036"/>
  <c r="AI7036"/>
  <c r="B7037"/>
  <c r="H7037"/>
  <c r="AI7037"/>
  <c r="B7038"/>
  <c r="H7038"/>
  <c r="AI7038"/>
  <c r="B7039"/>
  <c r="H7039"/>
  <c r="AI7039"/>
  <c r="B7040"/>
  <c r="H7040"/>
  <c r="AI7040"/>
  <c r="B7041"/>
  <c r="H7041"/>
  <c r="AI7041"/>
  <c r="B7042"/>
  <c r="H7042"/>
  <c r="AI7042"/>
  <c r="B7043"/>
  <c r="H7043"/>
  <c r="AI7043"/>
  <c r="B7044"/>
  <c r="H7044"/>
  <c r="AI7044"/>
  <c r="B7045"/>
  <c r="H7045"/>
  <c r="AI7045"/>
  <c r="B7046"/>
  <c r="H7046"/>
  <c r="AI7046"/>
  <c r="B7047"/>
  <c r="H7047"/>
  <c r="AI7047"/>
  <c r="B7048"/>
  <c r="H7048"/>
  <c r="AI7048"/>
  <c r="B7049"/>
  <c r="H7049"/>
  <c r="AI7049"/>
  <c r="B7050"/>
  <c r="H7050"/>
  <c r="AI7050"/>
  <c r="B7051"/>
  <c r="H7051"/>
  <c r="AI7051"/>
  <c r="B7052"/>
  <c r="H7052"/>
  <c r="AI7052"/>
  <c r="B7053"/>
  <c r="H7053"/>
  <c r="AI7053"/>
  <c r="B7054"/>
  <c r="H7054"/>
  <c r="AI7054"/>
  <c r="B7055"/>
  <c r="H7055"/>
  <c r="AI7055"/>
  <c r="B7056"/>
  <c r="H7056"/>
  <c r="AI7056"/>
  <c r="B7057"/>
  <c r="H7057"/>
  <c r="AI7057"/>
  <c r="B7058"/>
  <c r="H7058"/>
  <c r="AI7058"/>
  <c r="B7059"/>
  <c r="H7059"/>
  <c r="AI7059"/>
  <c r="B7060"/>
  <c r="H7060"/>
  <c r="AI7060"/>
  <c r="B7061"/>
  <c r="AI7061"/>
  <c r="B7062"/>
  <c r="H7062"/>
  <c r="AI7062"/>
  <c r="B7063"/>
  <c r="H7063"/>
  <c r="AI7063"/>
  <c r="B7064"/>
  <c r="H7064"/>
  <c r="AI7064"/>
  <c r="B7065"/>
  <c r="H7065"/>
  <c r="AI7065"/>
  <c r="B7066"/>
  <c r="H7066"/>
  <c r="AI7066"/>
  <c r="B7067"/>
  <c r="H7067"/>
  <c r="AI7067"/>
  <c r="B7068"/>
  <c r="H7068"/>
  <c r="AI7068"/>
  <c r="B7069"/>
  <c r="H7069"/>
  <c r="AI7069"/>
  <c r="B7070"/>
  <c r="H7070"/>
  <c r="AI7070"/>
  <c r="B7071"/>
  <c r="H7071"/>
  <c r="AI7071"/>
  <c r="B7072"/>
  <c r="H7072"/>
  <c r="AI7072"/>
  <c r="B7073"/>
  <c r="H7073"/>
  <c r="AI7073"/>
  <c r="B7074"/>
  <c r="H7074"/>
  <c r="AI7074"/>
  <c r="B7075"/>
  <c r="H7075"/>
  <c r="AI7075"/>
  <c r="B7076"/>
  <c r="H7076"/>
  <c r="AI7076"/>
  <c r="B7077"/>
  <c r="H7077"/>
  <c r="AI7077"/>
  <c r="B7078"/>
  <c r="H7078"/>
  <c r="AI7078"/>
  <c r="B7079"/>
  <c r="H7079"/>
  <c r="AI7079"/>
  <c r="B7080"/>
  <c r="H7080"/>
  <c r="AI7080"/>
  <c r="B7081"/>
  <c r="H7081"/>
  <c r="AI7081"/>
  <c r="B7082"/>
  <c r="H7082"/>
  <c r="AI7082"/>
  <c r="B7083"/>
  <c r="H7083"/>
  <c r="AI7083"/>
  <c r="B7084"/>
  <c r="H7084"/>
  <c r="AI7084"/>
  <c r="B7085"/>
  <c r="H7085"/>
  <c r="AI7085"/>
  <c r="B7086"/>
  <c r="H7086"/>
  <c r="AI7086"/>
  <c r="B7087"/>
  <c r="H7087"/>
  <c r="AI7087"/>
  <c r="B7088"/>
  <c r="H7088"/>
  <c r="AI7088"/>
  <c r="B7089"/>
  <c r="H7089"/>
  <c r="AI7089"/>
  <c r="B7090"/>
  <c r="H7090"/>
  <c r="AI7090"/>
  <c r="B7091"/>
  <c r="H7091"/>
  <c r="AI7091"/>
  <c r="B7092"/>
  <c r="H7092"/>
  <c r="AI7092"/>
  <c r="B7093"/>
  <c r="H7093"/>
  <c r="AI7093"/>
  <c r="B7094"/>
  <c r="H7094"/>
  <c r="AI7094"/>
  <c r="B7095"/>
  <c r="H7095"/>
  <c r="AI7095"/>
  <c r="B7096"/>
  <c r="H7096"/>
  <c r="AI7096"/>
  <c r="B7097"/>
  <c r="H7097"/>
  <c r="AI7097"/>
  <c r="B7098"/>
  <c r="H7098"/>
  <c r="AI7098"/>
  <c r="B7099"/>
  <c r="H7099"/>
  <c r="AI7099"/>
  <c r="B7100"/>
  <c r="H7100"/>
  <c r="AI7100"/>
  <c r="B7101"/>
  <c r="H7101"/>
  <c r="AI7101"/>
  <c r="B7102"/>
  <c r="H7102"/>
  <c r="AI7102"/>
  <c r="B7103"/>
  <c r="H7103"/>
  <c r="AI7103"/>
  <c r="B7104"/>
  <c r="H7104"/>
  <c r="AI7104"/>
  <c r="B7105"/>
  <c r="H7105"/>
  <c r="AI7105"/>
  <c r="B7106"/>
  <c r="H7106"/>
  <c r="AI7106"/>
  <c r="B7107"/>
  <c r="H7107"/>
  <c r="AI7107"/>
  <c r="B7108"/>
  <c r="H7108"/>
  <c r="AI7108"/>
  <c r="B7109"/>
  <c r="H7109"/>
  <c r="AI7109"/>
  <c r="B7110"/>
  <c r="H7110"/>
  <c r="AI7110"/>
  <c r="B7111"/>
  <c r="H7111"/>
  <c r="AI7111"/>
  <c r="B7112"/>
  <c r="H7112"/>
  <c r="AI7112"/>
  <c r="B7113"/>
  <c r="H7113"/>
  <c r="AI7113"/>
  <c r="B7114"/>
  <c r="H7114"/>
  <c r="AI7114"/>
  <c r="B7115"/>
  <c r="H7115"/>
  <c r="AI7115"/>
  <c r="B7116"/>
  <c r="H7116"/>
  <c r="AI7116"/>
  <c r="B7117"/>
  <c r="H7117"/>
  <c r="AI7117"/>
  <c r="B7118"/>
  <c r="H7118"/>
  <c r="AI7118"/>
  <c r="B7119"/>
  <c r="H7119"/>
  <c r="AI7119"/>
  <c r="B7120"/>
  <c r="H7120"/>
  <c r="AI7120"/>
  <c r="B7121"/>
  <c r="H7121"/>
  <c r="AI7121"/>
  <c r="B7122"/>
  <c r="H7122"/>
  <c r="AI7122"/>
  <c r="B7123"/>
  <c r="H7123"/>
  <c r="AI7123"/>
  <c r="B7124"/>
  <c r="H7124"/>
  <c r="AI7124"/>
  <c r="B7125"/>
  <c r="H7125"/>
  <c r="AI7125"/>
  <c r="B7126"/>
  <c r="H7126"/>
  <c r="AI7126"/>
  <c r="B7127"/>
  <c r="H7127"/>
  <c r="AI7127"/>
  <c r="B7128"/>
  <c r="H7128"/>
  <c r="AI7128"/>
  <c r="B7129"/>
  <c r="H7129"/>
  <c r="AI7129"/>
  <c r="B7130"/>
  <c r="H7130"/>
  <c r="AI7130"/>
  <c r="B7131"/>
  <c r="H7131"/>
  <c r="AI7131"/>
  <c r="B7132"/>
  <c r="H7132"/>
  <c r="AI7132"/>
  <c r="B7133"/>
  <c r="H7133"/>
  <c r="AI7133"/>
  <c r="B7134"/>
  <c r="H7134"/>
  <c r="AI7134"/>
  <c r="B7135"/>
  <c r="H7135"/>
  <c r="AI7135"/>
  <c r="B7136"/>
  <c r="H7136"/>
  <c r="AI7136"/>
  <c r="B7137"/>
  <c r="H7137"/>
  <c r="AI7137"/>
  <c r="B7138"/>
  <c r="H7138"/>
  <c r="AI7138"/>
  <c r="B7139"/>
  <c r="H7139"/>
  <c r="AI7139"/>
  <c r="B7140"/>
  <c r="H7140"/>
  <c r="AI7140"/>
  <c r="B7141"/>
  <c r="H7141"/>
  <c r="AI7141"/>
  <c r="B7142"/>
  <c r="H7142"/>
  <c r="AI7142"/>
  <c r="B7143"/>
  <c r="H7143"/>
  <c r="AI7143"/>
  <c r="B7144"/>
  <c r="H7144"/>
  <c r="AI7144"/>
  <c r="B7145"/>
  <c r="H7145"/>
  <c r="AI7145"/>
  <c r="B7146"/>
  <c r="H7146"/>
  <c r="AI7146"/>
  <c r="B7147"/>
  <c r="H7147"/>
  <c r="AI7147"/>
  <c r="B7148"/>
  <c r="H7148"/>
  <c r="AI7148"/>
  <c r="B7149"/>
  <c r="H7149"/>
  <c r="AI7149"/>
  <c r="B7150"/>
  <c r="H7150"/>
  <c r="AI7150"/>
  <c r="B7151"/>
  <c r="H7151"/>
  <c r="AI7151"/>
  <c r="B7152"/>
  <c r="H7152"/>
  <c r="AI7152"/>
  <c r="B7153"/>
  <c r="H7153"/>
  <c r="AI7153"/>
  <c r="B7154"/>
  <c r="H7154"/>
  <c r="AI7154"/>
  <c r="B7155"/>
  <c r="H7155"/>
  <c r="AI7155"/>
  <c r="B7156"/>
  <c r="H7156"/>
  <c r="AI7156"/>
  <c r="B7157"/>
  <c r="H7157"/>
  <c r="AI7157"/>
  <c r="B7158"/>
  <c r="H7158"/>
  <c r="AI7158"/>
  <c r="B7159"/>
  <c r="H7159"/>
  <c r="AI7159"/>
  <c r="B7160"/>
  <c r="H7160"/>
  <c r="AI7160"/>
  <c r="B7161"/>
  <c r="H7161"/>
  <c r="AI7161"/>
  <c r="B7162"/>
  <c r="H7162"/>
  <c r="AI7162"/>
  <c r="B7163"/>
  <c r="H7163"/>
  <c r="AI7163"/>
  <c r="B7164"/>
  <c r="H7164"/>
  <c r="AI7164"/>
  <c r="B7165"/>
  <c r="H7165"/>
  <c r="AI7165"/>
  <c r="B7166"/>
  <c r="H7166"/>
  <c r="AI7166"/>
  <c r="B7167"/>
  <c r="H7167"/>
  <c r="AI7167"/>
  <c r="B7168"/>
  <c r="H7168"/>
  <c r="AI7168"/>
  <c r="B7169"/>
  <c r="H7169"/>
  <c r="AI7169"/>
  <c r="B7170"/>
  <c r="H7170"/>
  <c r="AI7170"/>
  <c r="B7171"/>
  <c r="H7171"/>
  <c r="AI7171"/>
  <c r="B7172"/>
  <c r="H7172"/>
  <c r="AI7172"/>
  <c r="B7173"/>
  <c r="H7173"/>
  <c r="AI7173"/>
  <c r="B7174"/>
  <c r="H7174"/>
  <c r="AI7174"/>
  <c r="B7175"/>
  <c r="H7175"/>
  <c r="AI7175"/>
  <c r="B7176"/>
  <c r="H7176"/>
  <c r="AI7176"/>
  <c r="B7177"/>
  <c r="H7177"/>
  <c r="AI7177"/>
  <c r="B7178"/>
  <c r="H7178"/>
  <c r="AI7178"/>
  <c r="B7179"/>
  <c r="H7179"/>
  <c r="AI7179"/>
  <c r="B7180"/>
  <c r="H7180"/>
  <c r="AI7180"/>
  <c r="B7181"/>
  <c r="H7181"/>
  <c r="AI7181"/>
  <c r="B7182"/>
  <c r="H7182"/>
  <c r="AI7182"/>
  <c r="B7183"/>
  <c r="H7183"/>
  <c r="AI7183"/>
  <c r="B7184"/>
  <c r="H7184"/>
  <c r="AI7184"/>
  <c r="B7185"/>
  <c r="H7185"/>
  <c r="AI7185"/>
  <c r="B7186"/>
  <c r="H7186"/>
  <c r="AI7186"/>
  <c r="B7187"/>
  <c r="H7187"/>
  <c r="AI7187"/>
  <c r="B7188"/>
  <c r="H7188"/>
  <c r="AI7188"/>
  <c r="B7189"/>
  <c r="H7189"/>
  <c r="AI7189"/>
  <c r="B7190"/>
  <c r="H7190"/>
  <c r="AI7190"/>
  <c r="B7191"/>
  <c r="H7191"/>
  <c r="AI7191"/>
  <c r="B7192"/>
  <c r="H7192"/>
  <c r="AI7192"/>
  <c r="B7193"/>
  <c r="H7193"/>
  <c r="AI7193"/>
  <c r="B7194"/>
  <c r="H7194"/>
  <c r="AI7194"/>
  <c r="B7195"/>
  <c r="H7195"/>
  <c r="AI7195"/>
  <c r="B7196"/>
  <c r="H7196"/>
  <c r="AI7196"/>
  <c r="B7197"/>
  <c r="H7197"/>
  <c r="AI7197"/>
  <c r="B7198"/>
  <c r="H7198"/>
  <c r="AI7198"/>
  <c r="B7199"/>
  <c r="H7199"/>
  <c r="AI7199"/>
  <c r="B7200"/>
  <c r="H7200"/>
  <c r="AI7200"/>
  <c r="B7201"/>
  <c r="H7201"/>
  <c r="AI7201"/>
  <c r="B7202"/>
  <c r="H7202"/>
  <c r="AI7202"/>
  <c r="B7203"/>
  <c r="H7203"/>
  <c r="AI7203"/>
  <c r="B7204"/>
  <c r="H7204"/>
  <c r="AI7204"/>
  <c r="B7205"/>
  <c r="H7205"/>
  <c r="AI7205"/>
  <c r="B7206"/>
  <c r="H7206"/>
  <c r="AI7206"/>
  <c r="B7207"/>
  <c r="H7207"/>
  <c r="AI7207"/>
  <c r="B7208"/>
  <c r="H7208"/>
  <c r="AI7208"/>
  <c r="B7209"/>
  <c r="H7209"/>
  <c r="AI7209"/>
  <c r="B7210"/>
  <c r="H7210"/>
  <c r="AI7210"/>
  <c r="B7211"/>
  <c r="H7211"/>
  <c r="AI7211"/>
  <c r="B7212"/>
  <c r="H7212"/>
  <c r="AI7212"/>
  <c r="B7213"/>
  <c r="H7213"/>
  <c r="AI7213"/>
  <c r="B7214"/>
  <c r="H7214"/>
  <c r="AI7214"/>
  <c r="B7215"/>
  <c r="H7215"/>
  <c r="AI7215"/>
  <c r="B7216"/>
  <c r="H7216"/>
  <c r="AI7216"/>
  <c r="B7217"/>
  <c r="H7217"/>
  <c r="AI7217"/>
  <c r="B7218"/>
  <c r="H7218"/>
  <c r="AI7218"/>
  <c r="B7219"/>
  <c r="H7219"/>
  <c r="AI7219"/>
  <c r="B7220"/>
  <c r="H7220"/>
  <c r="AI7220"/>
  <c r="B7221"/>
  <c r="H7221"/>
  <c r="AI7221"/>
  <c r="B7222"/>
  <c r="H7222"/>
  <c r="AI7222"/>
  <c r="B7223"/>
  <c r="H7223"/>
  <c r="AI7223"/>
  <c r="B7224"/>
  <c r="H7224"/>
  <c r="AI7224"/>
  <c r="B7225"/>
  <c r="H7225"/>
  <c r="AI7225"/>
  <c r="B7226"/>
  <c r="H7226"/>
  <c r="AI7226"/>
  <c r="B7227"/>
  <c r="H7227"/>
  <c r="AI7227"/>
  <c r="B7228"/>
  <c r="H7228"/>
  <c r="AI7228"/>
  <c r="B7229"/>
  <c r="H7229"/>
  <c r="AI7229"/>
  <c r="B7230"/>
  <c r="H7230"/>
  <c r="AI7230"/>
  <c r="B7231"/>
  <c r="H7231"/>
  <c r="AI7231"/>
  <c r="B7232"/>
  <c r="H7232"/>
  <c r="AI7232"/>
  <c r="B7233"/>
  <c r="H7233"/>
  <c r="AI7233"/>
  <c r="B7234"/>
  <c r="H7234"/>
  <c r="AI7234"/>
  <c r="B7235"/>
  <c r="H7235"/>
  <c r="AI7235"/>
  <c r="B7236"/>
  <c r="H7236"/>
  <c r="AI7236"/>
  <c r="B7237"/>
  <c r="H7237"/>
  <c r="AI7237"/>
  <c r="B7238"/>
  <c r="H7238"/>
  <c r="AI7238"/>
  <c r="B7239"/>
  <c r="H7239"/>
  <c r="AI7239"/>
  <c r="B7240"/>
  <c r="H7240"/>
  <c r="AI7240"/>
  <c r="B7241"/>
  <c r="H7241"/>
  <c r="AI7241"/>
  <c r="B7242"/>
  <c r="H7242"/>
  <c r="AI7242"/>
  <c r="B7243"/>
  <c r="H7243"/>
  <c r="AI7243"/>
  <c r="B7244"/>
  <c r="H7244"/>
  <c r="AI7244"/>
  <c r="B7245"/>
  <c r="H7245"/>
  <c r="AI7245"/>
  <c r="B7246"/>
  <c r="H7246"/>
  <c r="AI7246"/>
  <c r="B7247"/>
  <c r="H7247"/>
  <c r="AI7247"/>
  <c r="B7248"/>
  <c r="H7248"/>
  <c r="AI7248"/>
  <c r="B7249"/>
  <c r="H7249"/>
  <c r="AI7249"/>
  <c r="B7250"/>
  <c r="H7250"/>
  <c r="AI7250"/>
  <c r="B7251"/>
  <c r="H7251"/>
  <c r="AI7251"/>
  <c r="B7252"/>
  <c r="H7252"/>
  <c r="AI7252"/>
  <c r="B7253"/>
  <c r="H7253"/>
  <c r="AI7253"/>
  <c r="B7254"/>
  <c r="H7254"/>
  <c r="AI7254"/>
  <c r="B7255"/>
  <c r="H7255"/>
  <c r="AI7255"/>
  <c r="B7256"/>
  <c r="H7256"/>
  <c r="AI7256"/>
  <c r="B7257"/>
  <c r="H7257"/>
  <c r="AI7257"/>
  <c r="B7258"/>
  <c r="H7258"/>
  <c r="AI7258"/>
  <c r="B7259"/>
  <c r="H7259"/>
  <c r="AI7259"/>
  <c r="B7260"/>
  <c r="H7260"/>
  <c r="AI7260"/>
  <c r="B7261"/>
  <c r="H7261"/>
  <c r="AI7261"/>
  <c r="B7262"/>
  <c r="H7262"/>
  <c r="AI7262"/>
  <c r="B7263"/>
  <c r="H7263"/>
  <c r="AI7263"/>
  <c r="B7264"/>
  <c r="H7264"/>
  <c r="AI7264"/>
  <c r="B7265"/>
  <c r="H7265"/>
  <c r="AI7265"/>
  <c r="B7266"/>
  <c r="H7266"/>
  <c r="AI7266"/>
  <c r="B7267"/>
  <c r="H7267"/>
  <c r="AI7267"/>
  <c r="B7268"/>
  <c r="H7268"/>
  <c r="AI7268"/>
  <c r="B7269"/>
  <c r="H7269"/>
  <c r="AI7269"/>
  <c r="B7270"/>
  <c r="H7270"/>
  <c r="AI7270"/>
  <c r="B7271"/>
  <c r="H7271"/>
  <c r="AI7271"/>
  <c r="B7272"/>
  <c r="H7272"/>
  <c r="AI7272"/>
  <c r="B7273"/>
  <c r="H7273"/>
  <c r="AI7273"/>
  <c r="B7274"/>
  <c r="H7274"/>
  <c r="AI7274"/>
  <c r="B7275"/>
  <c r="H7275"/>
  <c r="AI7275"/>
  <c r="B7276"/>
  <c r="H7276"/>
  <c r="AI7276"/>
  <c r="B7277"/>
  <c r="H7277"/>
  <c r="AI7277"/>
  <c r="B7278"/>
  <c r="H7278"/>
  <c r="AI7278"/>
  <c r="B7279"/>
  <c r="H7279"/>
  <c r="AI7279"/>
  <c r="B7280"/>
  <c r="H7280"/>
  <c r="AI7280"/>
  <c r="B7281"/>
  <c r="H7281"/>
  <c r="AI7281"/>
  <c r="B7282"/>
  <c r="H7282"/>
  <c r="AI7282"/>
  <c r="B7283"/>
  <c r="H7283"/>
  <c r="AI7283"/>
  <c r="B7284"/>
  <c r="H7284"/>
  <c r="AI7284"/>
  <c r="B7285"/>
  <c r="H7285"/>
  <c r="AI7285"/>
  <c r="B7286"/>
  <c r="H7286"/>
  <c r="AI7286"/>
  <c r="B7287"/>
  <c r="H7287"/>
  <c r="AI7287"/>
  <c r="B7288"/>
  <c r="H7288"/>
  <c r="AI7288"/>
  <c r="B7289"/>
  <c r="H7289"/>
  <c r="AI7289"/>
  <c r="B7290"/>
  <c r="H7290"/>
  <c r="AI7290"/>
  <c r="B7291"/>
  <c r="H7291"/>
  <c r="AI7291"/>
  <c r="B7292"/>
  <c r="H7292"/>
  <c r="AI7292"/>
  <c r="B7293"/>
  <c r="H7293"/>
  <c r="AI7293"/>
  <c r="B7294"/>
  <c r="H7294"/>
  <c r="AI7294"/>
  <c r="B7295"/>
  <c r="H7295"/>
  <c r="AI7295"/>
  <c r="B7296"/>
  <c r="H7296"/>
  <c r="AI7296"/>
  <c r="B7297"/>
  <c r="H7297"/>
  <c r="AI7297"/>
  <c r="B7298"/>
  <c r="H7298"/>
  <c r="AI7298"/>
  <c r="B7299"/>
  <c r="H7299"/>
  <c r="AI7299"/>
  <c r="B7300"/>
  <c r="H7300"/>
  <c r="AI7300"/>
  <c r="B7301"/>
  <c r="H7301"/>
  <c r="AI7301"/>
  <c r="B7302"/>
  <c r="H7302"/>
  <c r="AI7302"/>
  <c r="B7303"/>
  <c r="H7303"/>
  <c r="AI7303"/>
  <c r="B7304"/>
  <c r="H7304"/>
  <c r="AI7304"/>
  <c r="B7305"/>
  <c r="H7305"/>
  <c r="AI7305"/>
  <c r="B7306"/>
  <c r="H7306"/>
  <c r="AI7306"/>
  <c r="B7307"/>
  <c r="H7307"/>
  <c r="AI7307"/>
  <c r="B7308"/>
  <c r="H7308"/>
  <c r="AI7308"/>
  <c r="B7309"/>
  <c r="H7309"/>
  <c r="AI7309"/>
  <c r="B7310"/>
  <c r="H7310"/>
  <c r="AI7310"/>
  <c r="B7311"/>
  <c r="H7311"/>
  <c r="AI7311"/>
  <c r="B7312"/>
  <c r="H7312"/>
  <c r="AI7312"/>
  <c r="B7313"/>
  <c r="H7313"/>
  <c r="AI7313"/>
  <c r="B7314"/>
  <c r="H7314"/>
  <c r="AI7314"/>
  <c r="B7315"/>
  <c r="H7315"/>
  <c r="AI7315"/>
  <c r="B7316"/>
  <c r="H7316"/>
  <c r="AI7316"/>
  <c r="B7317"/>
  <c r="H7317"/>
  <c r="AI7317"/>
  <c r="B7318"/>
  <c r="H7318"/>
  <c r="AI7318"/>
  <c r="B7319"/>
  <c r="H7319"/>
  <c r="AI7319"/>
  <c r="B7320"/>
  <c r="H7320"/>
  <c r="AI7320"/>
  <c r="B7321"/>
  <c r="H7321"/>
  <c r="AI7321"/>
  <c r="B7322"/>
  <c r="H7322"/>
  <c r="AI7322"/>
  <c r="B7323"/>
  <c r="H7323"/>
  <c r="AI7323"/>
  <c r="B7324"/>
  <c r="H7324"/>
  <c r="AI7324"/>
  <c r="B7325"/>
  <c r="H7325"/>
  <c r="AI7325"/>
  <c r="B7326"/>
  <c r="H7326"/>
  <c r="AI7326"/>
  <c r="B7327"/>
  <c r="H7327"/>
  <c r="AI7327"/>
  <c r="B7328"/>
  <c r="H7328"/>
  <c r="AI7328"/>
  <c r="B7329"/>
  <c r="H7329"/>
  <c r="AI7329"/>
  <c r="B7330"/>
  <c r="H7330"/>
  <c r="AI7330"/>
  <c r="B7331"/>
  <c r="H7331"/>
  <c r="AI7331"/>
  <c r="B7332"/>
  <c r="H7332"/>
  <c r="AI7332"/>
  <c r="B7333"/>
  <c r="H7333"/>
  <c r="AI7333"/>
  <c r="B7334"/>
  <c r="H7334"/>
  <c r="AI7334"/>
  <c r="B7335"/>
  <c r="H7335"/>
  <c r="AI7335"/>
  <c r="B7336"/>
  <c r="H7336"/>
  <c r="AI7336"/>
  <c r="B7337"/>
  <c r="H7337"/>
  <c r="AI7337"/>
  <c r="B7338"/>
  <c r="H7338"/>
  <c r="AI7338"/>
  <c r="B7339"/>
  <c r="H7339"/>
  <c r="AI7339"/>
  <c r="B7340"/>
  <c r="H7340"/>
  <c r="AI7340"/>
  <c r="B7341"/>
  <c r="H7341"/>
  <c r="AI7341"/>
  <c r="B7342"/>
  <c r="H7342"/>
  <c r="AI7342"/>
  <c r="B7343"/>
  <c r="H7343"/>
  <c r="AI7343"/>
  <c r="B7344"/>
  <c r="H7344"/>
  <c r="AI7344"/>
  <c r="B7345"/>
  <c r="H7345"/>
  <c r="AI7345"/>
  <c r="B7346"/>
  <c r="H7346"/>
  <c r="AI7346"/>
  <c r="B7347"/>
  <c r="H7347"/>
  <c r="AI7347"/>
  <c r="B7348"/>
  <c r="H7348"/>
  <c r="AI7348"/>
  <c r="B7349"/>
  <c r="H7349"/>
  <c r="AI7349"/>
  <c r="B7350"/>
  <c r="H7350"/>
  <c r="AI7350"/>
  <c r="B7351"/>
  <c r="H7351"/>
  <c r="AI7351"/>
  <c r="B7352"/>
  <c r="H7352"/>
  <c r="AI7352"/>
  <c r="B7353"/>
  <c r="H7353"/>
  <c r="AI7353"/>
  <c r="B7354"/>
  <c r="H7354"/>
  <c r="AI7354"/>
  <c r="B7355"/>
  <c r="H7355"/>
  <c r="AI7355"/>
  <c r="B7356"/>
  <c r="H7356"/>
  <c r="AI7356"/>
  <c r="B7357"/>
  <c r="H7357"/>
  <c r="AI7357"/>
  <c r="B7358"/>
  <c r="H7358"/>
  <c r="AI7358"/>
  <c r="B7359"/>
  <c r="H7359"/>
  <c r="AI7359"/>
  <c r="B7360"/>
  <c r="H7360"/>
  <c r="AI7360"/>
  <c r="B7361"/>
  <c r="H7361"/>
  <c r="AI7361"/>
  <c r="B7362"/>
  <c r="H7362"/>
  <c r="AI7362"/>
  <c r="B7363"/>
  <c r="H7363"/>
  <c r="AI7363"/>
  <c r="B7364"/>
  <c r="H7364"/>
  <c r="AI7364"/>
  <c r="B7365"/>
  <c r="H7365"/>
  <c r="AI7365"/>
  <c r="B7366"/>
  <c r="H7366"/>
  <c r="AI7366"/>
  <c r="B7367"/>
  <c r="H7367"/>
  <c r="AI7367"/>
  <c r="B7368"/>
  <c r="H7368"/>
  <c r="AI7368"/>
  <c r="B7369"/>
  <c r="H7369"/>
  <c r="AI7369"/>
  <c r="B7370"/>
  <c r="H7370"/>
  <c r="AI7370"/>
  <c r="B7371"/>
  <c r="H7371"/>
  <c r="AI7371"/>
  <c r="B7372"/>
  <c r="H7372"/>
  <c r="AI7372"/>
  <c r="B7373"/>
  <c r="H7373"/>
  <c r="AI7373"/>
  <c r="B7374"/>
  <c r="H7374"/>
  <c r="AI7374"/>
  <c r="B7375"/>
  <c r="H7375"/>
  <c r="AI7375"/>
  <c r="B7376"/>
  <c r="H7376"/>
  <c r="AI7376"/>
  <c r="B7377"/>
  <c r="H7377"/>
  <c r="AI7377"/>
  <c r="B7378"/>
  <c r="H7378"/>
  <c r="AI7378"/>
  <c r="B7379"/>
  <c r="H7379"/>
  <c r="AI7379"/>
  <c r="B7380"/>
  <c r="H7380"/>
  <c r="AI7380"/>
  <c r="B7381"/>
  <c r="H7381"/>
  <c r="AI7381"/>
  <c r="B7382"/>
  <c r="H7382"/>
  <c r="AI7382"/>
  <c r="B7383"/>
  <c r="H7383"/>
  <c r="AI7383"/>
  <c r="B7384"/>
  <c r="H7384"/>
  <c r="AI7384"/>
  <c r="B7385"/>
  <c r="H7385"/>
  <c r="AI7385"/>
  <c r="B7386"/>
  <c r="H7386"/>
  <c r="AI7386"/>
  <c r="B7387"/>
  <c r="H7387"/>
  <c r="AI7387"/>
  <c r="B7388"/>
  <c r="H7388"/>
  <c r="AI7388"/>
  <c r="B7389"/>
  <c r="H7389"/>
  <c r="AI7389"/>
  <c r="B7390"/>
  <c r="H7390"/>
  <c r="AI7390"/>
  <c r="B7391"/>
  <c r="H7391"/>
  <c r="AI7391"/>
  <c r="B7392"/>
  <c r="H7392"/>
  <c r="AI7392"/>
  <c r="B7393"/>
  <c r="H7393"/>
  <c r="AI7393"/>
  <c r="B7394"/>
  <c r="H7394"/>
  <c r="AI7394"/>
  <c r="B7395"/>
  <c r="H7395"/>
  <c r="AI7395"/>
  <c r="B7396"/>
  <c r="H7396"/>
  <c r="AI7396"/>
  <c r="B7397"/>
  <c r="H7397"/>
  <c r="AI7397"/>
  <c r="B7398"/>
  <c r="H7398"/>
  <c r="AI7398"/>
  <c r="B7399"/>
  <c r="H7399"/>
  <c r="AI7399"/>
  <c r="B7400"/>
  <c r="H7400"/>
  <c r="AI7400"/>
  <c r="B7401"/>
  <c r="H7401"/>
  <c r="AI7401"/>
  <c r="B7402"/>
  <c r="H7402"/>
  <c r="AI7402"/>
  <c r="B7403"/>
  <c r="H7403"/>
  <c r="AI7403"/>
  <c r="B7404"/>
  <c r="H7404"/>
  <c r="AI7404"/>
  <c r="B7405"/>
  <c r="H7405"/>
  <c r="AI7405"/>
  <c r="B7406"/>
  <c r="H7406"/>
  <c r="AI7406"/>
  <c r="B7407"/>
  <c r="H7407"/>
  <c r="AI7407"/>
  <c r="B7408"/>
  <c r="H7408"/>
  <c r="AI7408"/>
  <c r="B7409"/>
  <c r="H7409"/>
  <c r="AI7409"/>
  <c r="B7410"/>
  <c r="H7410"/>
  <c r="AI7410"/>
  <c r="B7411"/>
  <c r="H7411"/>
  <c r="AI7411"/>
  <c r="B7412"/>
  <c r="H7412"/>
  <c r="AI7412"/>
  <c r="B7413"/>
  <c r="H7413"/>
  <c r="AI7413"/>
  <c r="B7414"/>
  <c r="H7414"/>
  <c r="AI7414"/>
  <c r="B7415"/>
  <c r="H7415"/>
  <c r="AI7415"/>
  <c r="B7416"/>
  <c r="H7416"/>
  <c r="AI7416"/>
  <c r="B7417"/>
  <c r="H7417"/>
  <c r="AI7417"/>
  <c r="B7418"/>
  <c r="H7418"/>
  <c r="AI7418"/>
  <c r="B7419"/>
  <c r="H7419"/>
  <c r="AI7419"/>
  <c r="B7420"/>
  <c r="H7420"/>
  <c r="AI7420"/>
  <c r="B7421"/>
  <c r="H7421"/>
  <c r="AI7421"/>
  <c r="B7422"/>
  <c r="H7422"/>
  <c r="AI7422"/>
  <c r="B7423"/>
  <c r="H7423"/>
  <c r="AI7423"/>
  <c r="B7424"/>
  <c r="H7424"/>
  <c r="AI7424"/>
  <c r="B7425"/>
  <c r="H7425"/>
  <c r="AI7425"/>
  <c r="B7426"/>
  <c r="H7426"/>
  <c r="AI7426"/>
  <c r="B7427"/>
  <c r="H7427"/>
  <c r="AI7427"/>
  <c r="B7428"/>
  <c r="H7428"/>
  <c r="AI7428"/>
  <c r="B7429"/>
  <c r="H7429"/>
  <c r="AI7429"/>
  <c r="B7430"/>
  <c r="H7430"/>
  <c r="AI7430"/>
  <c r="B7431"/>
  <c r="H7431"/>
  <c r="AI7431"/>
  <c r="B7432"/>
  <c r="H7432"/>
  <c r="AI7432"/>
  <c r="B7433"/>
  <c r="H7433"/>
  <c r="AI7433"/>
  <c r="B7434"/>
  <c r="H7434"/>
  <c r="AI7434"/>
  <c r="B7435"/>
  <c r="H7435"/>
  <c r="AI7435"/>
  <c r="B7436"/>
  <c r="H7436"/>
  <c r="AI7436"/>
  <c r="B7437"/>
  <c r="H7437"/>
  <c r="AI7437"/>
  <c r="B7438"/>
  <c r="H7438"/>
  <c r="AI7438"/>
  <c r="B7439"/>
  <c r="H7439"/>
  <c r="AI7439"/>
  <c r="B7440"/>
  <c r="H7440"/>
  <c r="AI7440"/>
  <c r="B7441"/>
  <c r="H7441"/>
  <c r="AI7441"/>
  <c r="B7442"/>
  <c r="H7442"/>
  <c r="AI7442"/>
  <c r="B7443"/>
  <c r="H7443"/>
  <c r="AI7443"/>
  <c r="B7444"/>
  <c r="H7444"/>
  <c r="AI7444"/>
  <c r="B7445"/>
  <c r="H7445"/>
  <c r="AI7445"/>
  <c r="B7446"/>
  <c r="H7446"/>
  <c r="AI7446"/>
  <c r="B7447"/>
  <c r="H7447"/>
  <c r="AI7447"/>
  <c r="B7448"/>
  <c r="H7448"/>
  <c r="AI7448"/>
  <c r="B7449"/>
  <c r="H7449"/>
  <c r="AI7449"/>
  <c r="B7450"/>
  <c r="H7450"/>
  <c r="AI7450"/>
  <c r="B7451"/>
  <c r="H7451"/>
  <c r="AI7451"/>
  <c r="B7452"/>
  <c r="H7452"/>
  <c r="AI7452"/>
  <c r="B7453"/>
  <c r="H7453"/>
  <c r="AI7453"/>
  <c r="B7454"/>
  <c r="H7454"/>
  <c r="AI7454"/>
  <c r="B7455"/>
  <c r="H7455"/>
  <c r="AI7455"/>
  <c r="B7456"/>
  <c r="H7456"/>
  <c r="AI7456"/>
  <c r="B7457"/>
  <c r="H7457"/>
  <c r="AI7457"/>
  <c r="B7458"/>
  <c r="H7458"/>
  <c r="AI7458"/>
  <c r="B7459"/>
  <c r="H7459"/>
  <c r="AI7459"/>
  <c r="B7460"/>
  <c r="H7460"/>
  <c r="AI7460"/>
  <c r="B7461"/>
  <c r="H7461"/>
  <c r="AI7461"/>
  <c r="B7462"/>
  <c r="H7462"/>
  <c r="AI7462"/>
  <c r="B7463"/>
  <c r="H7463"/>
  <c r="AI7463"/>
  <c r="B7464"/>
  <c r="H7464"/>
  <c r="AI7464"/>
  <c r="B7465"/>
  <c r="H7465"/>
  <c r="AI7465"/>
  <c r="B7466"/>
  <c r="H7466"/>
  <c r="AI7466"/>
  <c r="B7467"/>
  <c r="H7467"/>
  <c r="AI7467"/>
  <c r="B7468"/>
  <c r="H7468"/>
  <c r="AI7468"/>
  <c r="B7469"/>
  <c r="H7469"/>
  <c r="AI7469"/>
  <c r="B7470"/>
  <c r="H7470"/>
  <c r="AI7470"/>
  <c r="B7471"/>
  <c r="H7471"/>
  <c r="AI7471"/>
  <c r="B7472"/>
  <c r="H7472"/>
  <c r="AI7472"/>
  <c r="B7473"/>
  <c r="H7473"/>
  <c r="AI7473"/>
  <c r="B7474"/>
  <c r="H7474"/>
  <c r="AI7474"/>
  <c r="B7475"/>
  <c r="H7475"/>
  <c r="AI7475"/>
  <c r="B7476"/>
  <c r="H7476"/>
  <c r="AI7476"/>
  <c r="B7477"/>
  <c r="H7477"/>
  <c r="AI7477"/>
  <c r="B7478"/>
  <c r="H7478"/>
  <c r="AI7478"/>
  <c r="B7479"/>
  <c r="H7479"/>
  <c r="AI7479"/>
  <c r="B7480"/>
  <c r="H7480"/>
  <c r="AI7480"/>
  <c r="B7481"/>
  <c r="H7481"/>
  <c r="AI7481"/>
  <c r="B7482"/>
  <c r="H7482"/>
  <c r="AI7482"/>
  <c r="B7483"/>
  <c r="H7483"/>
  <c r="AI7483"/>
  <c r="B7484"/>
  <c r="H7484"/>
  <c r="AI7484"/>
  <c r="B7485"/>
  <c r="H7485"/>
  <c r="AI7485"/>
  <c r="B7486"/>
  <c r="H7486"/>
  <c r="AI7486"/>
  <c r="B7487"/>
  <c r="H7487"/>
  <c r="AI7487"/>
  <c r="B7488"/>
  <c r="H7488"/>
  <c r="AI7488"/>
  <c r="B7489"/>
  <c r="H7489"/>
  <c r="AI7489"/>
  <c r="B7490"/>
  <c r="H7490"/>
  <c r="AI7490"/>
  <c r="B7491"/>
  <c r="H7491"/>
  <c r="AI7491"/>
  <c r="B7492"/>
  <c r="H7492"/>
  <c r="AI7492"/>
  <c r="B7493"/>
  <c r="H7493"/>
  <c r="AI7493"/>
  <c r="B7494"/>
  <c r="H7494"/>
  <c r="AI7494"/>
  <c r="B7495"/>
  <c r="H7495"/>
  <c r="AI7495"/>
  <c r="B7496"/>
  <c r="H7496"/>
  <c r="AI7496"/>
  <c r="B7497"/>
  <c r="H7497"/>
  <c r="AI7497"/>
  <c r="B7498"/>
  <c r="H7498"/>
  <c r="AI7498"/>
  <c r="B7499"/>
  <c r="H7499"/>
  <c r="AI7499"/>
  <c r="B7500"/>
  <c r="H7500"/>
  <c r="AI7500"/>
  <c r="B7501"/>
  <c r="H7501"/>
  <c r="AI7501"/>
  <c r="B7502"/>
  <c r="H7502"/>
  <c r="AI7502"/>
  <c r="B7503"/>
  <c r="H7503"/>
  <c r="AI7503"/>
  <c r="B7504"/>
  <c r="H7504"/>
  <c r="AI7504"/>
  <c r="B7505"/>
  <c r="H7505"/>
  <c r="AI7505"/>
  <c r="B7506"/>
  <c r="H7506"/>
  <c r="AI7506"/>
  <c r="B7507"/>
  <c r="H7507"/>
  <c r="AI7507"/>
  <c r="B7508"/>
  <c r="H7508"/>
  <c r="AI7508"/>
  <c r="B7509"/>
  <c r="H7509"/>
  <c r="AI7509"/>
  <c r="B7510"/>
  <c r="H7510"/>
  <c r="AI7510"/>
  <c r="B7511"/>
  <c r="H7511"/>
  <c r="AI7511"/>
  <c r="B7512"/>
  <c r="H7512"/>
  <c r="AI7512"/>
  <c r="B7513"/>
  <c r="H7513"/>
  <c r="AI7513"/>
  <c r="B7514"/>
  <c r="H7514"/>
  <c r="AI7514"/>
  <c r="B7515"/>
  <c r="H7515"/>
  <c r="AI7515"/>
  <c r="B7516"/>
  <c r="H7516"/>
  <c r="AI7516"/>
  <c r="B7517"/>
  <c r="H7517"/>
  <c r="AI7517"/>
  <c r="B7518"/>
  <c r="H7518"/>
  <c r="AI7518"/>
  <c r="B7519"/>
  <c r="H7519"/>
  <c r="AI7519"/>
  <c r="B7520"/>
  <c r="H7520"/>
  <c r="AI7520"/>
  <c r="B7521"/>
  <c r="H7521"/>
  <c r="AI7521"/>
  <c r="B7522"/>
  <c r="H7522"/>
  <c r="AI7522"/>
  <c r="B7523"/>
  <c r="H7523"/>
  <c r="AI7523"/>
  <c r="B7524"/>
  <c r="H7524"/>
  <c r="AI7524"/>
  <c r="B7525"/>
  <c r="H7525"/>
  <c r="AI7525"/>
  <c r="B7526"/>
  <c r="H7526"/>
  <c r="AI7526"/>
  <c r="B7527"/>
  <c r="H7527"/>
  <c r="AI7527"/>
  <c r="B7528"/>
  <c r="H7528"/>
  <c r="AI7528"/>
  <c r="B7529"/>
  <c r="H7529"/>
  <c r="AI7529"/>
  <c r="B7530"/>
  <c r="H7530"/>
  <c r="AI7530"/>
  <c r="B7531"/>
  <c r="H7531"/>
  <c r="AI7531"/>
  <c r="B7532"/>
  <c r="H7532"/>
  <c r="AI7532"/>
  <c r="B7533"/>
  <c r="H7533"/>
  <c r="AI7533"/>
  <c r="B7534"/>
  <c r="H7534"/>
  <c r="AI7534"/>
  <c r="B7535"/>
  <c r="H7535"/>
  <c r="AI7535"/>
  <c r="B7536"/>
  <c r="H7536"/>
  <c r="AI7536"/>
  <c r="B7537"/>
  <c r="H7537"/>
  <c r="AI7537"/>
  <c r="B7538"/>
  <c r="H7538"/>
  <c r="AI7538"/>
  <c r="B7539"/>
  <c r="H7539"/>
  <c r="AI7539"/>
  <c r="B7540"/>
  <c r="H7540"/>
  <c r="AI7540"/>
  <c r="B7541"/>
  <c r="H7541"/>
  <c r="AI7541"/>
  <c r="B7542"/>
  <c r="H7542"/>
  <c r="AI7542"/>
  <c r="B7543"/>
  <c r="H7543"/>
  <c r="AI7543"/>
  <c r="B7544"/>
  <c r="H7544"/>
  <c r="AI7544"/>
  <c r="B7545"/>
  <c r="H7545"/>
  <c r="AI7545"/>
  <c r="B7546"/>
  <c r="H7546"/>
  <c r="AI7546"/>
  <c r="B7547"/>
  <c r="H7547"/>
  <c r="AI7547"/>
  <c r="B7548"/>
  <c r="H7548"/>
  <c r="AI7548"/>
  <c r="B7549"/>
  <c r="H7549"/>
  <c r="AI7549"/>
  <c r="B7550"/>
  <c r="H7550"/>
  <c r="AI7550"/>
  <c r="B7551"/>
  <c r="H7551"/>
  <c r="AI7551"/>
  <c r="B7552"/>
  <c r="H7552"/>
  <c r="AI7552"/>
  <c r="B7553"/>
  <c r="H7553"/>
  <c r="AI7553"/>
  <c r="B7554"/>
  <c r="H7554"/>
  <c r="AI7554"/>
  <c r="B7555"/>
  <c r="H7555"/>
  <c r="AI7555"/>
  <c r="B7556"/>
  <c r="H7556"/>
  <c r="AI7556"/>
  <c r="B7557"/>
  <c r="H7557"/>
  <c r="AI7557"/>
  <c r="B7558"/>
  <c r="H7558"/>
  <c r="AI7558"/>
  <c r="B7559"/>
  <c r="H7559"/>
  <c r="AI7559"/>
  <c r="B7560"/>
  <c r="H7560"/>
  <c r="AI7560"/>
  <c r="B7561"/>
  <c r="H7561"/>
  <c r="AI7561"/>
  <c r="B7562"/>
  <c r="H7562"/>
  <c r="AI7562"/>
  <c r="B7563"/>
  <c r="H7563"/>
  <c r="AI7563"/>
  <c r="B7564"/>
  <c r="H7564"/>
  <c r="AI7564"/>
  <c r="B7565"/>
  <c r="H7565"/>
  <c r="AI7565"/>
  <c r="B7566"/>
  <c r="H7566"/>
  <c r="AI7566"/>
  <c r="B7567"/>
  <c r="H7567"/>
  <c r="AI7567"/>
  <c r="B7568"/>
  <c r="H7568"/>
  <c r="AI7568"/>
  <c r="B7569"/>
  <c r="H7569"/>
  <c r="AI7569"/>
  <c r="B7570"/>
  <c r="H7570"/>
  <c r="AI7570"/>
  <c r="B7571"/>
  <c r="H7571"/>
  <c r="AI7571"/>
  <c r="B7572"/>
  <c r="H7572"/>
  <c r="AI7572"/>
  <c r="B7573"/>
  <c r="H7573"/>
  <c r="AI7573"/>
  <c r="B7574"/>
  <c r="H7574"/>
  <c r="AI7574"/>
  <c r="B7575"/>
  <c r="H7575"/>
  <c r="AI7575"/>
  <c r="B7576"/>
  <c r="H7576"/>
  <c r="AI7576"/>
  <c r="B7577"/>
  <c r="H7577"/>
  <c r="AI7577"/>
  <c r="B7578"/>
  <c r="H7578"/>
  <c r="AI7578"/>
  <c r="B7579"/>
  <c r="H7579"/>
  <c r="AI7579"/>
  <c r="B7580"/>
  <c r="H7580"/>
  <c r="AI7580"/>
  <c r="B7581"/>
  <c r="H7581"/>
  <c r="AI7581"/>
  <c r="B7582"/>
  <c r="H7582"/>
  <c r="AI7582"/>
  <c r="B7583"/>
  <c r="H7583"/>
  <c r="AI7583"/>
  <c r="B7584"/>
  <c r="H7584"/>
  <c r="AI7584"/>
  <c r="B7585"/>
  <c r="H7585"/>
  <c r="AI7585"/>
  <c r="B7586"/>
  <c r="H7586"/>
  <c r="AI7586"/>
  <c r="B7587"/>
  <c r="H7587"/>
  <c r="AI7587"/>
  <c r="B7588"/>
  <c r="H7588"/>
  <c r="AI7588"/>
  <c r="B7589"/>
  <c r="H7589"/>
  <c r="AI7589"/>
  <c r="B7590"/>
  <c r="H7590"/>
  <c r="AI7590"/>
  <c r="B7591"/>
  <c r="H7591"/>
  <c r="AI7591"/>
  <c r="B7592"/>
  <c r="H7592"/>
  <c r="AI7592"/>
  <c r="B7593"/>
  <c r="H7593"/>
  <c r="AI7593"/>
  <c r="B7594"/>
  <c r="H7594"/>
  <c r="AI7594"/>
  <c r="B7595"/>
  <c r="H7595"/>
  <c r="AI7595"/>
  <c r="B7596"/>
  <c r="H7596"/>
  <c r="AI7596"/>
  <c r="B7597"/>
  <c r="H7597"/>
  <c r="AI7597"/>
  <c r="B7598"/>
  <c r="H7598"/>
  <c r="AI7598"/>
  <c r="B7599"/>
  <c r="H7599"/>
  <c r="AI7599"/>
  <c r="B7600"/>
  <c r="H7600"/>
  <c r="AI7600"/>
  <c r="B7601"/>
  <c r="H7601"/>
  <c r="AI7601"/>
  <c r="B7602"/>
  <c r="H7602"/>
  <c r="AI7602"/>
  <c r="B7603"/>
  <c r="H7603"/>
  <c r="AI7603"/>
  <c r="B7604"/>
  <c r="H7604"/>
  <c r="AI7604"/>
  <c r="B7605"/>
  <c r="H7605"/>
  <c r="AI7605"/>
  <c r="B7606"/>
  <c r="H7606"/>
  <c r="AI7606"/>
  <c r="B7607"/>
  <c r="H7607"/>
  <c r="AI7607"/>
  <c r="B7608"/>
  <c r="H7608"/>
  <c r="AI7608"/>
  <c r="B7609"/>
  <c r="H7609"/>
  <c r="AI7609"/>
  <c r="B7610"/>
  <c r="H7610"/>
  <c r="AI7610"/>
  <c r="B7611"/>
  <c r="H7611"/>
  <c r="AI7611"/>
  <c r="B7612"/>
  <c r="H7612"/>
  <c r="AI7612"/>
  <c r="B7613"/>
  <c r="H7613"/>
  <c r="AI7613"/>
  <c r="B7614"/>
  <c r="H7614"/>
  <c r="AI7614"/>
  <c r="B7615"/>
  <c r="H7615"/>
  <c r="AI7615"/>
  <c r="B7616"/>
  <c r="H7616"/>
  <c r="AI7616"/>
  <c r="B7617"/>
  <c r="H7617"/>
  <c r="AI7617"/>
  <c r="B7618"/>
  <c r="H7618"/>
  <c r="AI7618"/>
  <c r="B7619"/>
  <c r="H7619"/>
  <c r="AI7619"/>
  <c r="B7620"/>
  <c r="H7620"/>
  <c r="AI7620"/>
  <c r="B7621"/>
  <c r="H7621"/>
  <c r="AI7621"/>
  <c r="B7622"/>
  <c r="H7622"/>
  <c r="AI7622"/>
  <c r="B7623"/>
  <c r="H7623"/>
  <c r="AI7623"/>
  <c r="B7624"/>
  <c r="H7624"/>
  <c r="AI7624"/>
  <c r="B7625"/>
  <c r="H7625"/>
  <c r="AI7625"/>
  <c r="B7626"/>
  <c r="H7626"/>
  <c r="AI7626"/>
  <c r="B7627"/>
  <c r="H7627"/>
  <c r="AI7627"/>
  <c r="B7628"/>
  <c r="H7628"/>
  <c r="AI7628"/>
  <c r="B7629"/>
  <c r="H7629"/>
  <c r="AI7629"/>
  <c r="B7630"/>
  <c r="H7630"/>
  <c r="AI7630"/>
  <c r="B7631"/>
  <c r="H7631"/>
  <c r="AI7631"/>
  <c r="B7632"/>
  <c r="H7632"/>
  <c r="AI7632"/>
  <c r="B7633"/>
  <c r="H7633"/>
  <c r="AI7633"/>
  <c r="B7634"/>
  <c r="H7634"/>
  <c r="AI7634"/>
  <c r="B7635"/>
  <c r="H7635"/>
  <c r="AI7635"/>
  <c r="B7636"/>
  <c r="H7636"/>
  <c r="AI7636"/>
  <c r="B7637"/>
  <c r="H7637"/>
  <c r="AI7637"/>
  <c r="B7638"/>
  <c r="H7638"/>
  <c r="AI7638"/>
  <c r="B7639"/>
  <c r="H7639"/>
  <c r="AI7639"/>
  <c r="B7640"/>
  <c r="H7640"/>
  <c r="AI7640"/>
  <c r="B7641"/>
  <c r="H7641"/>
  <c r="AI7641"/>
  <c r="B7642"/>
  <c r="H7642"/>
  <c r="AI7642"/>
  <c r="B7643"/>
  <c r="H7643"/>
  <c r="AI7643"/>
  <c r="B7644"/>
  <c r="H7644"/>
  <c r="AI7644"/>
  <c r="B7645"/>
  <c r="H7645"/>
  <c r="AI7645"/>
  <c r="B7646"/>
  <c r="H7646"/>
  <c r="AI7646"/>
  <c r="B7647"/>
  <c r="H7647"/>
  <c r="AI7647"/>
  <c r="B7648"/>
  <c r="H7648"/>
  <c r="AI7648"/>
  <c r="B7649"/>
  <c r="H7649"/>
  <c r="AI7649"/>
  <c r="B7650"/>
  <c r="H7650"/>
  <c r="AI7650"/>
  <c r="B7651"/>
  <c r="H7651"/>
  <c r="AI7651"/>
  <c r="B7652"/>
  <c r="H7652"/>
  <c r="AI7652"/>
  <c r="B7653"/>
  <c r="H7653"/>
  <c r="AI7653"/>
  <c r="B7654"/>
  <c r="H7654"/>
  <c r="AI7654"/>
  <c r="B7655"/>
  <c r="H7655"/>
  <c r="AI7655"/>
  <c r="B7656"/>
  <c r="H7656"/>
  <c r="AI7656"/>
  <c r="B7657"/>
  <c r="H7657"/>
  <c r="AI7657"/>
  <c r="B7658"/>
  <c r="H7658"/>
  <c r="AI7658"/>
  <c r="B7659"/>
  <c r="H7659"/>
  <c r="AI7659"/>
  <c r="B7660"/>
  <c r="H7660"/>
  <c r="AI7660"/>
  <c r="B7661"/>
  <c r="H7661"/>
  <c r="AI7661"/>
  <c r="B7662"/>
  <c r="H7662"/>
  <c r="AI7662"/>
  <c r="B7663"/>
  <c r="H7663"/>
  <c r="AI7663"/>
  <c r="B7664"/>
  <c r="H7664"/>
  <c r="AI7664"/>
  <c r="B7665"/>
  <c r="H7665"/>
  <c r="AI7665"/>
  <c r="B7666"/>
  <c r="H7666"/>
  <c r="AI7666"/>
  <c r="B7667"/>
  <c r="H7667"/>
  <c r="AI7667"/>
  <c r="B7668"/>
  <c r="H7668"/>
  <c r="AI7668"/>
  <c r="B7669"/>
  <c r="H7669"/>
  <c r="AI7669"/>
  <c r="B7670"/>
  <c r="H7670"/>
  <c r="AI7670"/>
  <c r="B7671"/>
  <c r="H7671"/>
  <c r="AI7671"/>
  <c r="B7672"/>
  <c r="H7672"/>
  <c r="AI7672"/>
  <c r="B7673"/>
  <c r="H7673"/>
  <c r="AI7673"/>
  <c r="B7674"/>
  <c r="H7674"/>
  <c r="AI7674"/>
  <c r="B7675"/>
  <c r="H7675"/>
  <c r="AI7675"/>
  <c r="B7676"/>
  <c r="H7676"/>
  <c r="AI7676"/>
  <c r="B7677"/>
  <c r="H7677"/>
  <c r="AI7677"/>
  <c r="B7678"/>
  <c r="H7678"/>
  <c r="AI7678"/>
  <c r="B7679"/>
  <c r="H7679"/>
  <c r="AI7679"/>
  <c r="B7680"/>
  <c r="H7680"/>
  <c r="AI7680"/>
  <c r="B7681"/>
  <c r="H7681"/>
  <c r="AI7681"/>
  <c r="B7682"/>
  <c r="H7682"/>
  <c r="AI7682"/>
  <c r="B7683"/>
  <c r="H7683"/>
  <c r="AI7683"/>
  <c r="B7684"/>
  <c r="H7684"/>
  <c r="AI7684"/>
  <c r="B7685"/>
  <c r="H7685"/>
  <c r="AI7685"/>
  <c r="B7686"/>
  <c r="H7686"/>
  <c r="AI7686"/>
  <c r="B7687"/>
  <c r="H7687"/>
  <c r="AI7687"/>
  <c r="B7688"/>
  <c r="H7688"/>
  <c r="AI7688"/>
  <c r="B7689"/>
  <c r="H7689"/>
  <c r="AI7689"/>
  <c r="B7690"/>
  <c r="H7690"/>
  <c r="AI7690"/>
  <c r="B7691"/>
  <c r="H7691"/>
  <c r="AI7691"/>
  <c r="B7692"/>
  <c r="H7692"/>
  <c r="AI7692"/>
  <c r="B7693"/>
  <c r="H7693"/>
  <c r="AI7693"/>
  <c r="B7694"/>
  <c r="H7694"/>
  <c r="AI7694"/>
  <c r="B7695"/>
  <c r="H7695"/>
  <c r="AI7695"/>
  <c r="B7696"/>
  <c r="H7696"/>
  <c r="AI7696"/>
  <c r="B7697"/>
  <c r="H7697"/>
  <c r="AI7697"/>
  <c r="B7698"/>
  <c r="H7698"/>
  <c r="AI7698"/>
  <c r="B7699"/>
  <c r="H7699"/>
  <c r="AI7699"/>
  <c r="B7700"/>
  <c r="H7700"/>
  <c r="AI7700"/>
  <c r="B7701"/>
  <c r="H7701"/>
  <c r="AI7701"/>
  <c r="B7702"/>
  <c r="H7702"/>
  <c r="AI7702"/>
  <c r="B7703"/>
  <c r="H7703"/>
  <c r="AI7703"/>
  <c r="B7704"/>
  <c r="H7704"/>
  <c r="AI7704"/>
  <c r="B7705"/>
  <c r="H7705"/>
  <c r="AI7705"/>
  <c r="B7706"/>
  <c r="H7706"/>
  <c r="AI7706"/>
  <c r="B7707"/>
  <c r="H7707"/>
  <c r="AI7707"/>
  <c r="B7708"/>
  <c r="H7708"/>
  <c r="AI7708"/>
  <c r="B7709"/>
  <c r="H7709"/>
  <c r="AI7709"/>
  <c r="B7710"/>
  <c r="H7710"/>
  <c r="AI7710"/>
  <c r="B7711"/>
  <c r="H7711"/>
  <c r="AI7711"/>
  <c r="B7712"/>
  <c r="H7712"/>
  <c r="AI7712"/>
  <c r="B7713"/>
  <c r="H7713"/>
  <c r="AI7713"/>
  <c r="B7714"/>
  <c r="H7714"/>
  <c r="AI7714"/>
  <c r="B7715"/>
  <c r="H7715"/>
  <c r="AI7715"/>
  <c r="B7716"/>
  <c r="H7716"/>
  <c r="AI7716"/>
  <c r="B7717"/>
  <c r="H7717"/>
  <c r="AI7717"/>
  <c r="B7718"/>
  <c r="H7718"/>
  <c r="AI7718"/>
  <c r="B7719"/>
  <c r="H7719"/>
  <c r="AI7719"/>
  <c r="B7720"/>
  <c r="H7720"/>
  <c r="AI7720"/>
  <c r="B7721"/>
  <c r="H7721"/>
  <c r="AI7721"/>
  <c r="B7722"/>
  <c r="H7722"/>
  <c r="AI7722"/>
  <c r="B7723"/>
  <c r="H7723"/>
  <c r="AI7723"/>
  <c r="B7724"/>
  <c r="H7724"/>
  <c r="AI7724"/>
  <c r="B7725"/>
  <c r="H7725"/>
  <c r="AI7725"/>
  <c r="B7726"/>
  <c r="H7726"/>
  <c r="AI7726"/>
  <c r="B7727"/>
  <c r="H7727"/>
  <c r="AI7727"/>
  <c r="B7728"/>
  <c r="H7728"/>
  <c r="AI7728"/>
  <c r="B7729"/>
  <c r="H7729"/>
  <c r="AI7729"/>
  <c r="B7730"/>
  <c r="H7730"/>
  <c r="AI7730"/>
  <c r="B7731"/>
  <c r="H7731"/>
  <c r="AI7731"/>
  <c r="B7732"/>
  <c r="H7732"/>
  <c r="AI7732"/>
  <c r="B7733"/>
  <c r="H7733"/>
  <c r="AI7733"/>
  <c r="B7734"/>
  <c r="H7734"/>
  <c r="AI7734"/>
  <c r="B7735"/>
  <c r="H7735"/>
  <c r="AI7735"/>
  <c r="B7736"/>
  <c r="H7736"/>
  <c r="AI7736"/>
  <c r="B7737"/>
  <c r="H7737"/>
  <c r="AI7737"/>
  <c r="B7738"/>
  <c r="H7738"/>
  <c r="AI7738"/>
  <c r="B7739"/>
  <c r="H7739"/>
  <c r="AI7739"/>
  <c r="B7740"/>
  <c r="H7740"/>
  <c r="AI7740"/>
  <c r="B7741"/>
  <c r="H7741"/>
  <c r="AI7741"/>
  <c r="B7742"/>
  <c r="H7742"/>
  <c r="AI7742"/>
  <c r="B7743"/>
  <c r="H7743"/>
  <c r="AI7743"/>
  <c r="B7744"/>
  <c r="H7744"/>
  <c r="AI7744"/>
  <c r="B7745"/>
  <c r="H7745"/>
  <c r="AI7745"/>
  <c r="B7746"/>
  <c r="H7746"/>
  <c r="AI7746"/>
  <c r="B7747"/>
  <c r="H7747"/>
  <c r="AI7747"/>
  <c r="B7748"/>
  <c r="H7748"/>
  <c r="AI7748"/>
  <c r="B7749"/>
  <c r="H7749"/>
  <c r="AI7749"/>
  <c r="B7750"/>
  <c r="H7750"/>
  <c r="AI7750"/>
  <c r="B7751"/>
  <c r="H7751"/>
  <c r="AI7751"/>
  <c r="B7752"/>
  <c r="H7752"/>
  <c r="AI7752"/>
  <c r="B7753"/>
  <c r="H7753"/>
  <c r="AI7753"/>
  <c r="B7754"/>
  <c r="H7754"/>
  <c r="AI7754"/>
  <c r="B7755"/>
  <c r="H7755"/>
  <c r="AI7755"/>
  <c r="B7756"/>
  <c r="H7756"/>
  <c r="AI7756"/>
  <c r="B7757"/>
  <c r="H7757"/>
  <c r="AI7757"/>
  <c r="B7758"/>
  <c r="H7758"/>
  <c r="AI7758"/>
  <c r="B7759"/>
  <c r="H7759"/>
  <c r="AI7759"/>
  <c r="B7760"/>
  <c r="H7760"/>
  <c r="AI7760"/>
  <c r="B7761"/>
  <c r="H7761"/>
  <c r="AI7761"/>
  <c r="B7762"/>
  <c r="H7762"/>
  <c r="AI7762"/>
  <c r="B7763"/>
  <c r="H7763"/>
  <c r="AI7763"/>
  <c r="B7764"/>
  <c r="H7764"/>
  <c r="AI7764"/>
  <c r="B7765"/>
  <c r="H7765"/>
  <c r="AI7765"/>
  <c r="B7766"/>
  <c r="H7766"/>
  <c r="AI7766"/>
  <c r="B7767"/>
  <c r="H7767"/>
  <c r="AI7767"/>
  <c r="B7768"/>
  <c r="H7768"/>
  <c r="AI7768"/>
  <c r="B7769"/>
  <c r="H7769"/>
  <c r="AI7769"/>
  <c r="B7770"/>
  <c r="H7770"/>
  <c r="AI7770"/>
  <c r="B7771"/>
  <c r="H7771"/>
  <c r="AI7771"/>
  <c r="B7772"/>
  <c r="H7772"/>
  <c r="AI7772"/>
  <c r="B7773"/>
  <c r="H7773"/>
  <c r="AI7773"/>
  <c r="B7774"/>
  <c r="H7774"/>
  <c r="AI7774"/>
  <c r="B7775"/>
  <c r="H7775"/>
  <c r="AI7775"/>
  <c r="B7776"/>
  <c r="H7776"/>
  <c r="AI7776"/>
  <c r="B7777"/>
  <c r="H7777"/>
  <c r="AI7777"/>
  <c r="B7778"/>
  <c r="H7778"/>
  <c r="AI7778"/>
  <c r="B7779"/>
  <c r="H7779"/>
  <c r="AI7779"/>
  <c r="B7780"/>
  <c r="H7780"/>
  <c r="AI7780"/>
  <c r="B7781"/>
  <c r="H7781"/>
  <c r="AI7781"/>
  <c r="B7782"/>
  <c r="H7782"/>
  <c r="AI7782"/>
  <c r="B7783"/>
  <c r="H7783"/>
  <c r="AI7783"/>
  <c r="B7784"/>
  <c r="H7784"/>
  <c r="AI7784"/>
  <c r="B7785"/>
  <c r="H7785"/>
  <c r="AI7785"/>
  <c r="B7786"/>
  <c r="H7786"/>
  <c r="AI7786"/>
  <c r="B7787"/>
  <c r="H7787"/>
  <c r="AI7787"/>
  <c r="B7788"/>
  <c r="H7788"/>
  <c r="AI7788"/>
  <c r="B7789"/>
  <c r="H7789"/>
  <c r="AI7789"/>
  <c r="B7790"/>
  <c r="H7790"/>
  <c r="AI7790"/>
  <c r="B7791"/>
  <c r="H7791"/>
  <c r="AI7791"/>
  <c r="B7792"/>
  <c r="H7792"/>
  <c r="AI7792"/>
  <c r="B7793"/>
  <c r="H7793"/>
  <c r="AI7793"/>
  <c r="B7794"/>
  <c r="H7794"/>
  <c r="AI7794"/>
  <c r="B7795"/>
  <c r="H7795"/>
  <c r="AI7795"/>
  <c r="B7796"/>
  <c r="H7796"/>
  <c r="AI7796"/>
  <c r="B7797"/>
  <c r="H7797"/>
  <c r="AI7797"/>
  <c r="B7798"/>
  <c r="H7798"/>
  <c r="AI7798"/>
  <c r="B7799"/>
  <c r="H7799"/>
  <c r="AI7799"/>
  <c r="B7800"/>
  <c r="H7800"/>
  <c r="AI7800"/>
  <c r="B7801"/>
  <c r="H7801"/>
  <c r="AI7801"/>
  <c r="B7802"/>
  <c r="H7802"/>
  <c r="AI7802"/>
  <c r="B7803"/>
  <c r="H7803"/>
  <c r="AI7803"/>
  <c r="B7804"/>
  <c r="H7804"/>
  <c r="AI7804"/>
  <c r="B7805"/>
  <c r="H7805"/>
  <c r="AI7805"/>
  <c r="B7806"/>
  <c r="H7806"/>
  <c r="AI7806"/>
  <c r="B7807"/>
  <c r="H7807"/>
  <c r="AI7807"/>
  <c r="B7808"/>
  <c r="H7808"/>
  <c r="AI7808"/>
  <c r="B7809"/>
  <c r="H7809"/>
  <c r="AI7809"/>
  <c r="B7810"/>
  <c r="H7810"/>
  <c r="AI7810"/>
  <c r="B7811"/>
  <c r="H7811"/>
  <c r="AI7811"/>
  <c r="B7812"/>
  <c r="H7812"/>
  <c r="AI7812"/>
  <c r="B7813"/>
  <c r="H7813"/>
  <c r="AI7813"/>
  <c r="B7814"/>
  <c r="H7814"/>
  <c r="AI7814"/>
  <c r="B7815"/>
  <c r="H7815"/>
  <c r="AI7815"/>
  <c r="B7816"/>
  <c r="H7816"/>
  <c r="AI7816"/>
  <c r="B7817"/>
  <c r="H7817"/>
  <c r="AI7817"/>
  <c r="B7818"/>
  <c r="H7818"/>
  <c r="AI7818"/>
  <c r="B7819"/>
  <c r="H7819"/>
  <c r="AI7819"/>
  <c r="B7820"/>
  <c r="H7820"/>
  <c r="AI7820"/>
  <c r="B7821"/>
  <c r="H7821"/>
  <c r="AI7821"/>
  <c r="B7822"/>
  <c r="H7822"/>
  <c r="AI7822"/>
  <c r="B7823"/>
  <c r="H7823"/>
  <c r="AI7823"/>
  <c r="B7824"/>
  <c r="H7824"/>
  <c r="AI7824"/>
  <c r="B7825"/>
  <c r="H7825"/>
  <c r="AI7825"/>
  <c r="B7826"/>
  <c r="H7826"/>
  <c r="AI7826"/>
  <c r="B7827"/>
  <c r="H7827"/>
  <c r="AI7827"/>
  <c r="B7828"/>
  <c r="H7828"/>
  <c r="AI7828"/>
  <c r="B7829"/>
  <c r="H7829"/>
  <c r="AI7829"/>
  <c r="B7830"/>
  <c r="H7830"/>
  <c r="AI7830"/>
  <c r="B7831"/>
  <c r="H7831"/>
  <c r="AI7831"/>
  <c r="B7832"/>
  <c r="H7832"/>
  <c r="AI7832"/>
  <c r="B7833"/>
  <c r="H7833"/>
  <c r="AI7833"/>
  <c r="B7834"/>
  <c r="H7834"/>
  <c r="AI7834"/>
  <c r="B7835"/>
  <c r="H7835"/>
  <c r="AI7835"/>
  <c r="B7836"/>
  <c r="H7836"/>
  <c r="AI7836"/>
  <c r="B7837"/>
  <c r="H7837"/>
  <c r="AI7837"/>
  <c r="B7838"/>
  <c r="H7838"/>
  <c r="AI7838"/>
  <c r="B7839"/>
  <c r="H7839"/>
  <c r="AI7839"/>
  <c r="B7840"/>
  <c r="H7840"/>
  <c r="AI7840"/>
  <c r="B7841"/>
  <c r="H7841"/>
  <c r="AI7841"/>
  <c r="B7842"/>
  <c r="H7842"/>
  <c r="AI7842"/>
  <c r="B7843"/>
  <c r="H7843"/>
  <c r="AI7843"/>
  <c r="B7844"/>
  <c r="H7844"/>
  <c r="AI7844"/>
  <c r="B7845"/>
  <c r="H7845"/>
  <c r="AI7845"/>
  <c r="B7846"/>
  <c r="H7846"/>
  <c r="AI7846"/>
  <c r="B7847"/>
  <c r="H7847"/>
  <c r="AI7847"/>
  <c r="B7848"/>
  <c r="H7848"/>
  <c r="AI7848"/>
  <c r="B7849"/>
  <c r="H7849"/>
  <c r="AI7849"/>
  <c r="B7850"/>
  <c r="H7850"/>
  <c r="AI7850"/>
  <c r="B7851"/>
  <c r="H7851"/>
  <c r="AI7851"/>
  <c r="B7852"/>
  <c r="H7852"/>
  <c r="AI7852"/>
  <c r="B7853"/>
  <c r="H7853"/>
  <c r="AI7853"/>
  <c r="B7854"/>
  <c r="H7854"/>
  <c r="AI7854"/>
  <c r="B7855"/>
  <c r="H7855"/>
  <c r="AI7855"/>
  <c r="B7856"/>
  <c r="H7856"/>
  <c r="AI7856"/>
  <c r="B7857"/>
  <c r="H7857"/>
  <c r="AI7857"/>
  <c r="B7858"/>
  <c r="H7858"/>
  <c r="AI7858"/>
  <c r="B7859"/>
  <c r="H7859"/>
  <c r="AI7859"/>
  <c r="B7860"/>
  <c r="H7860"/>
  <c r="AI7860"/>
  <c r="B7861"/>
  <c r="H7861"/>
  <c r="AI7861"/>
  <c r="B7862"/>
  <c r="H7862"/>
  <c r="AI7862"/>
  <c r="B7863"/>
  <c r="H7863"/>
  <c r="AI7863"/>
  <c r="B7864"/>
  <c r="H7864"/>
  <c r="AI7864"/>
  <c r="B7865"/>
  <c r="H7865"/>
  <c r="AI7865"/>
  <c r="B7866"/>
  <c r="H7866"/>
  <c r="AI7866"/>
  <c r="B7867"/>
  <c r="H7867"/>
  <c r="AI7867"/>
  <c r="B7868"/>
  <c r="H7868"/>
  <c r="AI7868"/>
  <c r="B7869"/>
  <c r="H7869"/>
  <c r="AI7869"/>
  <c r="B7870"/>
  <c r="H7870"/>
  <c r="AI7870"/>
  <c r="B7871"/>
  <c r="H7871"/>
  <c r="AI7871"/>
  <c r="B7872"/>
  <c r="H7872"/>
  <c r="AI7872"/>
  <c r="B7873"/>
  <c r="H7873"/>
  <c r="AI7873"/>
  <c r="B7874"/>
  <c r="H7874"/>
  <c r="AI7874"/>
  <c r="B7875"/>
  <c r="H7875"/>
  <c r="AI7875"/>
  <c r="B7876"/>
  <c r="H7876"/>
  <c r="AI7876"/>
  <c r="B7877"/>
  <c r="H7877"/>
  <c r="AI7877"/>
  <c r="B7878"/>
  <c r="H7878"/>
  <c r="AI7878"/>
  <c r="B7879"/>
  <c r="H7879"/>
  <c r="AI7879"/>
  <c r="B7880"/>
  <c r="H7880"/>
  <c r="AI7880"/>
  <c r="B7881"/>
  <c r="H7881"/>
  <c r="AI7881"/>
  <c r="B7882"/>
  <c r="H7882"/>
  <c r="AI7882"/>
  <c r="B7883"/>
  <c r="H7883"/>
  <c r="AI7883"/>
  <c r="B7884"/>
  <c r="H7884"/>
  <c r="AI7884"/>
  <c r="B7885"/>
  <c r="H7885"/>
  <c r="AI7885"/>
  <c r="B7886"/>
  <c r="H7886"/>
  <c r="AI7886"/>
  <c r="B7887"/>
  <c r="H7887"/>
  <c r="AI7887"/>
  <c r="B7888"/>
  <c r="H7888"/>
  <c r="AI7888"/>
  <c r="B7889"/>
  <c r="H7889"/>
  <c r="AI7889"/>
  <c r="B7890"/>
  <c r="H7890"/>
  <c r="AI7890"/>
  <c r="B7891"/>
  <c r="H7891"/>
  <c r="AI7891"/>
  <c r="B7892"/>
  <c r="H7892"/>
  <c r="AI7892"/>
  <c r="B7893"/>
  <c r="H7893"/>
  <c r="AI7893"/>
  <c r="B7894"/>
  <c r="H7894"/>
  <c r="AI7894"/>
  <c r="B7895"/>
  <c r="H7895"/>
  <c r="AI7895"/>
  <c r="B7896"/>
  <c r="H7896"/>
  <c r="AI7896"/>
  <c r="B7897"/>
  <c r="H7897"/>
  <c r="AI7897"/>
  <c r="B7898"/>
  <c r="H7898"/>
  <c r="AI7898"/>
  <c r="B7899"/>
  <c r="H7899"/>
  <c r="AI7899"/>
  <c r="B7900"/>
  <c r="H7900"/>
  <c r="AI7900"/>
  <c r="B7901"/>
  <c r="H7901"/>
  <c r="AI7901"/>
  <c r="B7902"/>
  <c r="H7902"/>
  <c r="AI7902"/>
  <c r="B7903"/>
  <c r="H7903"/>
  <c r="AI7903"/>
  <c r="B7904"/>
  <c r="H7904"/>
  <c r="AI7904"/>
  <c r="B7905"/>
  <c r="H7905"/>
  <c r="AI7905"/>
  <c r="B7906"/>
  <c r="H7906"/>
  <c r="AI7906"/>
  <c r="B7907"/>
  <c r="H7907"/>
  <c r="AI7907"/>
  <c r="B7908"/>
  <c r="H7908"/>
  <c r="AI7908"/>
  <c r="B7909"/>
  <c r="H7909"/>
  <c r="AI7909"/>
  <c r="B7910"/>
  <c r="H7910"/>
  <c r="AI7910"/>
  <c r="B7911"/>
  <c r="H7911"/>
  <c r="AI7911"/>
  <c r="B7912"/>
  <c r="H7912"/>
  <c r="AI7912"/>
  <c r="B7913"/>
  <c r="H7913"/>
  <c r="AI7913"/>
  <c r="B7914"/>
  <c r="H7914"/>
  <c r="AI7914"/>
  <c r="B7915"/>
  <c r="H7915"/>
  <c r="AI7915"/>
  <c r="B7916"/>
  <c r="H7916"/>
  <c r="AI7916"/>
  <c r="B7917"/>
  <c r="H7917"/>
  <c r="AI7917"/>
  <c r="B7918"/>
  <c r="H7918"/>
  <c r="AI7918"/>
  <c r="B7919"/>
  <c r="H7919"/>
  <c r="AI7919"/>
  <c r="B7920"/>
  <c r="H7920"/>
  <c r="AI7920"/>
  <c r="B7921"/>
  <c r="H7921"/>
  <c r="AI7921"/>
  <c r="B7922"/>
  <c r="H7922"/>
  <c r="AI7922"/>
  <c r="B7923"/>
  <c r="H7923"/>
  <c r="AI7923"/>
  <c r="B7924"/>
  <c r="H7924"/>
  <c r="AI7924"/>
  <c r="B7925"/>
  <c r="H7925"/>
  <c r="AI7925"/>
  <c r="B7926"/>
  <c r="H7926"/>
  <c r="AI7926"/>
  <c r="B7927"/>
  <c r="H7927"/>
  <c r="AI7927"/>
  <c r="B7928"/>
  <c r="H7928"/>
  <c r="AI7928"/>
  <c r="B7929"/>
  <c r="H7929"/>
  <c r="AI7929"/>
  <c r="B7930"/>
  <c r="H7930"/>
  <c r="AI7930"/>
  <c r="B7931"/>
  <c r="H7931"/>
  <c r="AI7931"/>
  <c r="B7932"/>
  <c r="H7932"/>
  <c r="AI7932"/>
  <c r="B7933"/>
  <c r="H7933"/>
  <c r="AI7933"/>
  <c r="B7934"/>
  <c r="H7934"/>
  <c r="AI7934"/>
  <c r="B7935"/>
  <c r="H7935"/>
  <c r="AI7935"/>
  <c r="B7936"/>
  <c r="H7936"/>
  <c r="AI7936"/>
  <c r="B7937"/>
  <c r="H7937"/>
  <c r="AI7937"/>
  <c r="B7938"/>
  <c r="H7938"/>
  <c r="AI7938"/>
  <c r="B7939"/>
  <c r="H7939"/>
  <c r="AI7939"/>
  <c r="B7940"/>
  <c r="H7940"/>
  <c r="AI7940"/>
  <c r="B7941"/>
  <c r="H7941"/>
  <c r="AI7941"/>
  <c r="B7942"/>
  <c r="H7942"/>
  <c r="AI7942"/>
  <c r="B7943"/>
  <c r="H7943"/>
  <c r="AI7943"/>
  <c r="B7944"/>
  <c r="H7944"/>
  <c r="AI7944"/>
  <c r="B7945"/>
  <c r="H7945"/>
  <c r="AI7945"/>
  <c r="B7946"/>
  <c r="H7946"/>
  <c r="AI7946"/>
  <c r="B7947"/>
  <c r="H7947"/>
  <c r="AI7947"/>
  <c r="B7948"/>
  <c r="H7948"/>
  <c r="AI7948"/>
  <c r="B7949"/>
  <c r="H7949"/>
  <c r="AI7949"/>
  <c r="B7950"/>
  <c r="H7950"/>
  <c r="AI7950"/>
  <c r="B7951"/>
  <c r="H7951"/>
  <c r="AI7951"/>
  <c r="B7952"/>
  <c r="H7952"/>
  <c r="AI7952"/>
  <c r="B7953"/>
  <c r="H7953"/>
  <c r="AI7953"/>
  <c r="B7954"/>
  <c r="H7954"/>
  <c r="AI7954"/>
  <c r="B7955"/>
  <c r="H7955"/>
  <c r="AI7955"/>
  <c r="B7956"/>
  <c r="H7956"/>
  <c r="AI7956"/>
  <c r="B7957"/>
  <c r="H7957"/>
  <c r="AI7957"/>
  <c r="B7958"/>
  <c r="H7958"/>
  <c r="AI7958"/>
  <c r="B7959"/>
  <c r="H7959"/>
  <c r="AI7959"/>
  <c r="B7960"/>
  <c r="H7960"/>
  <c r="AI7960"/>
  <c r="B7961"/>
  <c r="H7961"/>
  <c r="AI7961"/>
  <c r="B7962"/>
  <c r="H7962"/>
  <c r="AI7962"/>
  <c r="B7963"/>
  <c r="H7963"/>
  <c r="AI7963"/>
  <c r="B7964"/>
  <c r="H7964"/>
  <c r="AI7964"/>
  <c r="B7965"/>
  <c r="H7965"/>
  <c r="AI7965"/>
  <c r="B7966"/>
  <c r="H7966"/>
  <c r="AI7966"/>
  <c r="B7967"/>
  <c r="H7967"/>
  <c r="AI7967"/>
  <c r="B7968"/>
  <c r="H7968"/>
  <c r="AI7968"/>
  <c r="B7969"/>
  <c r="H7969"/>
  <c r="AI7969"/>
  <c r="B7970"/>
  <c r="H7970"/>
  <c r="AI7970"/>
  <c r="B7971"/>
  <c r="H7971"/>
  <c r="AI7971"/>
  <c r="B7972"/>
  <c r="H7972"/>
  <c r="AI7972"/>
  <c r="B7973"/>
  <c r="H7973"/>
  <c r="AI7973"/>
  <c r="B7974"/>
  <c r="H7974"/>
  <c r="AI7974"/>
  <c r="B7975"/>
  <c r="H7975"/>
  <c r="AI7975"/>
  <c r="B7976"/>
  <c r="H7976"/>
  <c r="AI7976"/>
  <c r="B7977"/>
  <c r="H7977"/>
  <c r="AI7977"/>
  <c r="B7978"/>
  <c r="H7978"/>
  <c r="AI7978"/>
  <c r="B7979"/>
  <c r="H7979"/>
  <c r="AI7979"/>
  <c r="B7980"/>
  <c r="H7980"/>
  <c r="AI7980"/>
  <c r="B7981"/>
  <c r="H7981"/>
  <c r="AI7981"/>
  <c r="B7982"/>
  <c r="H7982"/>
  <c r="AI7982"/>
  <c r="B7983"/>
  <c r="H7983"/>
  <c r="AI7983"/>
  <c r="B7984"/>
  <c r="H7984"/>
  <c r="AI7984"/>
  <c r="B7985"/>
  <c r="H7985"/>
  <c r="AI7985"/>
  <c r="B7986"/>
  <c r="H7986"/>
  <c r="AI7986"/>
  <c r="B7987"/>
  <c r="H7987"/>
  <c r="AI7987"/>
  <c r="B7988"/>
  <c r="H7988"/>
  <c r="AI7988"/>
  <c r="B7989"/>
  <c r="H7989"/>
  <c r="AI7989"/>
  <c r="B7990"/>
  <c r="H7990"/>
  <c r="AI7990"/>
  <c r="B7991"/>
  <c r="H7991"/>
  <c r="AI7991"/>
  <c r="B7992"/>
  <c r="H7992"/>
  <c r="AI7992"/>
  <c r="B7993"/>
  <c r="H7993"/>
  <c r="AI7993"/>
  <c r="B7994"/>
  <c r="H7994"/>
  <c r="AI7994"/>
  <c r="B7995"/>
  <c r="H7995"/>
  <c r="AI7995"/>
  <c r="B7996"/>
  <c r="H7996"/>
  <c r="AI7996"/>
  <c r="B7997"/>
  <c r="H7997"/>
  <c r="AI7997"/>
  <c r="B7998"/>
  <c r="H7998"/>
  <c r="AI7998"/>
  <c r="B7999"/>
  <c r="H7999"/>
  <c r="AI7999"/>
  <c r="B8000"/>
  <c r="H8000"/>
  <c r="AI8000"/>
  <c r="B8001"/>
  <c r="H8001"/>
  <c r="AI8001"/>
  <c r="B8002"/>
  <c r="H8002"/>
  <c r="AI8002"/>
  <c r="B8003"/>
  <c r="H8003"/>
  <c r="AI8003"/>
  <c r="B8004"/>
  <c r="H8004"/>
  <c r="AI8004"/>
  <c r="B8005"/>
  <c r="H8005"/>
  <c r="AI8005"/>
  <c r="B8006"/>
  <c r="H8006"/>
  <c r="AI8006"/>
  <c r="B8007"/>
  <c r="H8007"/>
  <c r="AI8007"/>
  <c r="B8008"/>
  <c r="H8008"/>
  <c r="AI8008"/>
  <c r="B8009"/>
  <c r="H8009"/>
  <c r="AI8009"/>
  <c r="B8010"/>
  <c r="H8010"/>
  <c r="AI8010"/>
  <c r="B8011"/>
  <c r="H8011"/>
  <c r="AI8011"/>
  <c r="B8012"/>
  <c r="H8012"/>
  <c r="AI8012"/>
  <c r="B8013"/>
  <c r="H8013"/>
  <c r="AI8013"/>
  <c r="B8014"/>
  <c r="H8014"/>
  <c r="AI8014"/>
  <c r="B8015"/>
  <c r="H8015"/>
  <c r="AI8015"/>
  <c r="B8016"/>
  <c r="H8016"/>
  <c r="AI8016"/>
  <c r="B8017"/>
  <c r="H8017"/>
  <c r="AI8017"/>
  <c r="B8018"/>
  <c r="H8018"/>
  <c r="AI8018"/>
  <c r="B8019"/>
  <c r="H8019"/>
  <c r="AI8019"/>
  <c r="B8020"/>
  <c r="H8020"/>
  <c r="AI8020"/>
  <c r="B8021"/>
  <c r="H8021"/>
  <c r="AI8021"/>
  <c r="B8022"/>
  <c r="H8022"/>
  <c r="AI8022"/>
  <c r="B8023"/>
  <c r="H8023"/>
  <c r="AI8023"/>
  <c r="B8024"/>
  <c r="H8024"/>
  <c r="AI8024"/>
  <c r="B8025"/>
  <c r="H8025"/>
  <c r="AI8025"/>
  <c r="B8026"/>
  <c r="H8026"/>
  <c r="AI8026"/>
  <c r="B8027"/>
  <c r="H8027"/>
  <c r="AI8027"/>
  <c r="B8028"/>
  <c r="H8028"/>
  <c r="AI8028"/>
  <c r="B8029"/>
  <c r="H8029"/>
  <c r="AI8029"/>
  <c r="B8030"/>
  <c r="H8030"/>
  <c r="AI8030"/>
  <c r="B8031"/>
  <c r="H8031"/>
  <c r="AI8031"/>
  <c r="B8032"/>
  <c r="H8032"/>
  <c r="AI8032"/>
  <c r="B8033"/>
  <c r="H8033"/>
  <c r="AI8033"/>
  <c r="B8034"/>
  <c r="H8034"/>
  <c r="AI8034"/>
  <c r="B8035"/>
  <c r="H8035"/>
  <c r="AI8035"/>
  <c r="B8036"/>
  <c r="H8036"/>
  <c r="AI8036"/>
  <c r="B8037"/>
  <c r="H8037"/>
  <c r="AI8037"/>
  <c r="B8038"/>
  <c r="H8038"/>
  <c r="AI8038"/>
  <c r="B8039"/>
  <c r="H8039"/>
  <c r="AI8039"/>
  <c r="B8040"/>
  <c r="H8040"/>
  <c r="AI8040"/>
  <c r="B8041"/>
  <c r="H8041"/>
  <c r="AI8041"/>
  <c r="B8042"/>
  <c r="H8042"/>
  <c r="AI8042"/>
  <c r="B8043"/>
  <c r="H8043"/>
  <c r="AI8043"/>
  <c r="B8044"/>
  <c r="H8044"/>
  <c r="AI8044"/>
  <c r="B8045"/>
  <c r="H8045"/>
  <c r="AI8045"/>
  <c r="B8046"/>
  <c r="H8046"/>
  <c r="AI8046"/>
  <c r="B8047"/>
  <c r="H8047"/>
  <c r="AI8047"/>
  <c r="B8048"/>
  <c r="H8048"/>
  <c r="AI8048"/>
  <c r="B8049"/>
  <c r="H8049"/>
  <c r="AI8049"/>
  <c r="B8050"/>
  <c r="H8050"/>
  <c r="AI8050"/>
  <c r="B8051"/>
  <c r="H8051"/>
  <c r="AI8051"/>
  <c r="B8052"/>
  <c r="H8052"/>
  <c r="AI8052"/>
  <c r="B8053"/>
  <c r="H8053"/>
  <c r="AI8053"/>
  <c r="B8054"/>
  <c r="H8054"/>
  <c r="AI8054"/>
  <c r="B8055"/>
  <c r="H8055"/>
  <c r="AI8055"/>
  <c r="B8056"/>
  <c r="H8056"/>
  <c r="AI8056"/>
  <c r="B8057"/>
  <c r="H8057"/>
  <c r="AI8057"/>
  <c r="B8058"/>
  <c r="H8058"/>
  <c r="AI8058"/>
  <c r="B8059"/>
  <c r="H8059"/>
  <c r="AI8059"/>
  <c r="B8060"/>
  <c r="H8060"/>
  <c r="AI8060"/>
  <c r="B8061"/>
  <c r="H8061"/>
  <c r="AI8061"/>
  <c r="B8062"/>
  <c r="H8062"/>
  <c r="AI8062"/>
  <c r="B8063"/>
  <c r="H8063"/>
  <c r="AI8063"/>
  <c r="B8064"/>
  <c r="H8064"/>
  <c r="AI8064"/>
  <c r="B8065"/>
  <c r="H8065"/>
  <c r="AI8065"/>
  <c r="B8066"/>
  <c r="H8066"/>
  <c r="AI8066"/>
  <c r="B8067"/>
  <c r="H8067"/>
  <c r="AI8067"/>
  <c r="B8068"/>
  <c r="H8068"/>
  <c r="AI8068"/>
  <c r="B8069"/>
  <c r="H8069"/>
  <c r="AI8069"/>
  <c r="B8070"/>
  <c r="H8070"/>
  <c r="AI8070"/>
  <c r="B8071"/>
  <c r="H8071"/>
  <c r="AI8071"/>
  <c r="B8072"/>
  <c r="H8072"/>
  <c r="AI8072"/>
  <c r="B8073"/>
  <c r="H8073"/>
  <c r="AI8073"/>
  <c r="B8074"/>
  <c r="H8074"/>
  <c r="AI8074"/>
  <c r="B8075"/>
  <c r="H8075"/>
  <c r="AI8075"/>
  <c r="B8076"/>
  <c r="H8076"/>
  <c r="AI8076"/>
  <c r="B8077"/>
  <c r="H8077"/>
  <c r="AI8077"/>
  <c r="B8078"/>
  <c r="H8078"/>
  <c r="AI8078"/>
  <c r="B8079"/>
  <c r="H8079"/>
  <c r="AI8079"/>
  <c r="B8080"/>
  <c r="H8080"/>
  <c r="AI8080"/>
  <c r="B8081"/>
  <c r="H8081"/>
  <c r="AI8081"/>
  <c r="B8082"/>
  <c r="H8082"/>
  <c r="AI8082"/>
  <c r="B8083"/>
  <c r="H8083"/>
  <c r="AI8083"/>
  <c r="B8084"/>
  <c r="H8084"/>
  <c r="AI8084"/>
  <c r="B8085"/>
  <c r="H8085"/>
  <c r="AI8085"/>
  <c r="B8086"/>
  <c r="H8086"/>
  <c r="AI8086"/>
  <c r="B8087"/>
  <c r="H8087"/>
  <c r="AI8087"/>
  <c r="B8088"/>
  <c r="H8088"/>
  <c r="AI8088"/>
  <c r="B8089"/>
  <c r="H8089"/>
  <c r="AI8089"/>
  <c r="B8090"/>
  <c r="H8090"/>
  <c r="AI8090"/>
  <c r="B8091"/>
  <c r="H8091"/>
  <c r="AI8091"/>
  <c r="B8092"/>
  <c r="H8092"/>
  <c r="AI8092"/>
  <c r="B8093"/>
  <c r="H8093"/>
  <c r="AI8093"/>
  <c r="B8094"/>
  <c r="H8094"/>
  <c r="AI8094"/>
  <c r="B8095"/>
  <c r="H8095"/>
  <c r="AI8095"/>
  <c r="B8096"/>
  <c r="H8096"/>
  <c r="AI8096"/>
  <c r="B8097"/>
  <c r="H8097"/>
  <c r="AI8097"/>
  <c r="B8098"/>
  <c r="H8098"/>
  <c r="AI8098"/>
  <c r="B8099"/>
  <c r="H8099"/>
  <c r="AI8099"/>
  <c r="B8100"/>
  <c r="H8100"/>
  <c r="AI8100"/>
  <c r="B8101"/>
  <c r="H8101"/>
  <c r="AI8101"/>
  <c r="B8102"/>
  <c r="H8102"/>
  <c r="AI8102"/>
  <c r="B8103"/>
  <c r="H8103"/>
  <c r="AI8103"/>
  <c r="B8104"/>
  <c r="H8104"/>
  <c r="AI8104"/>
  <c r="B8105"/>
  <c r="H8105"/>
  <c r="AI8105"/>
  <c r="B8106"/>
  <c r="H8106"/>
  <c r="AI8106"/>
  <c r="B8107"/>
  <c r="H8107"/>
  <c r="AI8107"/>
  <c r="B8108"/>
  <c r="H8108"/>
  <c r="AI8108"/>
  <c r="B8109"/>
  <c r="H8109"/>
  <c r="AI8109"/>
  <c r="B8110"/>
  <c r="H8110"/>
  <c r="AI8110"/>
  <c r="B8111"/>
  <c r="H8111"/>
  <c r="AI8111"/>
  <c r="B8112"/>
  <c r="H8112"/>
  <c r="AI8112"/>
  <c r="B8113"/>
  <c r="H8113"/>
  <c r="AI8113"/>
  <c r="B8114"/>
  <c r="H8114"/>
  <c r="AI8114"/>
  <c r="B8115"/>
  <c r="H8115"/>
  <c r="AI8115"/>
  <c r="B8116"/>
  <c r="H8116"/>
  <c r="AI8116"/>
  <c r="B8117"/>
  <c r="H8117"/>
  <c r="AI8117"/>
  <c r="B8118"/>
  <c r="H8118"/>
  <c r="AI8118"/>
  <c r="B8119"/>
  <c r="H8119"/>
  <c r="AI8119"/>
  <c r="B8120"/>
  <c r="H8120"/>
  <c r="AI8120"/>
  <c r="B8121"/>
  <c r="H8121"/>
  <c r="AI8121"/>
  <c r="B8122"/>
  <c r="H8122"/>
  <c r="AI8122"/>
  <c r="B8123"/>
  <c r="H8123"/>
  <c r="AI8123"/>
  <c r="B8124"/>
  <c r="H8124"/>
  <c r="AI8124"/>
  <c r="B8125"/>
  <c r="H8125"/>
  <c r="AI8125"/>
  <c r="B8126"/>
  <c r="H8126"/>
  <c r="AI8126"/>
  <c r="B8127"/>
  <c r="H8127"/>
  <c r="AI8127"/>
  <c r="B8128"/>
  <c r="H8128"/>
  <c r="AI8128"/>
  <c r="B8129"/>
  <c r="H8129"/>
  <c r="AI8129"/>
  <c r="B8130"/>
  <c r="H8130"/>
  <c r="AI8130"/>
  <c r="B8131"/>
  <c r="H8131"/>
  <c r="AI8131"/>
  <c r="B8132"/>
  <c r="H8132"/>
  <c r="AI8132"/>
  <c r="B8133"/>
  <c r="H8133"/>
  <c r="AI8133"/>
  <c r="B8134"/>
  <c r="H8134"/>
  <c r="AI8134"/>
  <c r="B8135"/>
  <c r="H8135"/>
  <c r="AI8135"/>
  <c r="B8136"/>
  <c r="H8136"/>
  <c r="AI8136"/>
  <c r="B8137"/>
  <c r="H8137"/>
  <c r="AI8137"/>
  <c r="B8138"/>
  <c r="H8138"/>
  <c r="AI8138"/>
  <c r="B8139"/>
  <c r="H8139"/>
  <c r="AI8139"/>
  <c r="B8140"/>
  <c r="H8140"/>
  <c r="AI8140"/>
  <c r="B8141"/>
  <c r="H8141"/>
  <c r="AI8141"/>
  <c r="B8142"/>
  <c r="H8142"/>
  <c r="AI8142"/>
  <c r="B8143"/>
  <c r="H8143"/>
  <c r="AI8143"/>
  <c r="B8144"/>
  <c r="H8144"/>
  <c r="AI8144"/>
  <c r="B8145"/>
  <c r="H8145"/>
  <c r="AI8145"/>
  <c r="B8146"/>
  <c r="H8146"/>
  <c r="AI8146"/>
  <c r="B8147"/>
  <c r="H8147"/>
  <c r="AI8147"/>
  <c r="B8148"/>
  <c r="H8148"/>
  <c r="AI8148"/>
  <c r="B8149"/>
  <c r="H8149"/>
  <c r="AI8149"/>
  <c r="B8150"/>
  <c r="H8150"/>
  <c r="AI8150"/>
  <c r="B8151"/>
  <c r="H8151"/>
  <c r="AI8151"/>
  <c r="B8152"/>
  <c r="H8152"/>
  <c r="AI8152"/>
  <c r="B8153"/>
  <c r="H8153"/>
  <c r="AI8153"/>
  <c r="B8154"/>
  <c r="H8154"/>
  <c r="AI8154"/>
  <c r="B8155"/>
  <c r="H8155"/>
  <c r="AI8155"/>
  <c r="B8156"/>
  <c r="H8156"/>
  <c r="AI8156"/>
  <c r="B8157"/>
  <c r="H8157"/>
  <c r="AI8157"/>
  <c r="B8158"/>
  <c r="H8158"/>
  <c r="AI8158"/>
  <c r="B8159"/>
  <c r="H8159"/>
  <c r="AI8159"/>
  <c r="B8160"/>
  <c r="H8160"/>
  <c r="AI8160"/>
  <c r="B8161"/>
  <c r="H8161"/>
  <c r="AI8161"/>
  <c r="B8162"/>
  <c r="H8162"/>
  <c r="AI8162"/>
  <c r="B8163"/>
  <c r="H8163"/>
  <c r="AI8163"/>
  <c r="B8164"/>
  <c r="H8164"/>
  <c r="AI8164"/>
  <c r="B8165"/>
  <c r="H8165"/>
  <c r="AI8165"/>
  <c r="B8166"/>
  <c r="H8166"/>
  <c r="AI8166"/>
  <c r="B8167"/>
  <c r="H8167"/>
  <c r="AI8167"/>
  <c r="B8168"/>
  <c r="H8168"/>
  <c r="AI8168"/>
  <c r="B8169"/>
  <c r="H8169"/>
  <c r="AI8169"/>
  <c r="B8170"/>
  <c r="H8170"/>
  <c r="AI8170"/>
  <c r="B8171"/>
  <c r="H8171"/>
  <c r="AI8171"/>
  <c r="B8172"/>
  <c r="H8172"/>
  <c r="AI8172"/>
  <c r="B8173"/>
  <c r="H8173"/>
  <c r="AI8173"/>
  <c r="B8174"/>
  <c r="H8174"/>
  <c r="AI8174"/>
  <c r="B8175"/>
  <c r="H8175"/>
  <c r="AI8175"/>
  <c r="B8176"/>
  <c r="H8176"/>
  <c r="AI8176"/>
  <c r="B8177"/>
  <c r="H8177"/>
  <c r="AI8177"/>
  <c r="B8178"/>
  <c r="H8178"/>
  <c r="AI8178"/>
  <c r="B8179"/>
  <c r="H8179"/>
  <c r="AI8179"/>
  <c r="B8180"/>
  <c r="H8180"/>
  <c r="AI8180"/>
  <c r="B8181"/>
  <c r="H8181"/>
  <c r="AI8181"/>
  <c r="B8182"/>
  <c r="H8182"/>
  <c r="AI8182"/>
  <c r="B8183"/>
  <c r="H8183"/>
  <c r="AI8183"/>
  <c r="B8184"/>
  <c r="H8184"/>
  <c r="AI8184"/>
  <c r="B8185"/>
  <c r="H8185"/>
  <c r="AI8185"/>
  <c r="B8186"/>
  <c r="H8186"/>
  <c r="AI8186"/>
  <c r="B8187"/>
  <c r="H8187"/>
  <c r="AI8187"/>
  <c r="B8188"/>
  <c r="H8188"/>
  <c r="AI8188"/>
  <c r="B8189"/>
  <c r="H8189"/>
  <c r="AI8189"/>
  <c r="B8190"/>
  <c r="H8190"/>
  <c r="AI8190"/>
  <c r="B8191"/>
  <c r="H8191"/>
  <c r="AI8191"/>
  <c r="B8192"/>
  <c r="H8192"/>
  <c r="AI8192"/>
  <c r="B8193"/>
  <c r="H8193"/>
  <c r="AI8193"/>
  <c r="B8194"/>
  <c r="H8194"/>
  <c r="AI8194"/>
  <c r="B8195"/>
  <c r="H8195"/>
  <c r="AI8195"/>
  <c r="B8196"/>
  <c r="H8196"/>
  <c r="AI8196"/>
  <c r="B8197"/>
  <c r="H8197"/>
  <c r="AI8197"/>
  <c r="B8198"/>
  <c r="H8198"/>
  <c r="AI8198"/>
  <c r="B8199"/>
  <c r="H8199"/>
  <c r="AI8199"/>
  <c r="B8200"/>
  <c r="H8200"/>
  <c r="AI8200"/>
  <c r="B8201"/>
  <c r="H8201"/>
  <c r="AI8201"/>
  <c r="B8202"/>
  <c r="H8202"/>
  <c r="AI8202"/>
  <c r="B8203"/>
  <c r="H8203"/>
  <c r="AI8203"/>
  <c r="B8204"/>
  <c r="H8204"/>
  <c r="AI8204"/>
  <c r="B8205"/>
  <c r="H8205"/>
  <c r="AI8205"/>
  <c r="B8206"/>
  <c r="H8206"/>
  <c r="AI8206"/>
  <c r="B8207"/>
  <c r="H8207"/>
  <c r="AI8207"/>
  <c r="B8208"/>
  <c r="H8208"/>
  <c r="AI8208"/>
  <c r="B8209"/>
  <c r="H8209"/>
  <c r="AI8209"/>
  <c r="B8210"/>
  <c r="H8210"/>
  <c r="AI8210"/>
  <c r="B8211"/>
  <c r="H8211"/>
  <c r="AI8211"/>
  <c r="B8212"/>
  <c r="H8212"/>
  <c r="AI8212"/>
  <c r="B8213"/>
  <c r="H8213"/>
  <c r="AI8213"/>
  <c r="B8214"/>
  <c r="H8214"/>
  <c r="AI8214"/>
  <c r="B8215"/>
  <c r="H8215"/>
  <c r="AI8215"/>
  <c r="B8216"/>
  <c r="H8216"/>
  <c r="AI8216"/>
  <c r="B8217"/>
  <c r="H8217"/>
  <c r="AI8217"/>
  <c r="B8218"/>
  <c r="H8218"/>
  <c r="AI8218"/>
  <c r="B8219"/>
  <c r="H8219"/>
  <c r="AI8219"/>
  <c r="B8220"/>
  <c r="H8220"/>
  <c r="AI8220"/>
  <c r="B8221"/>
  <c r="H8221"/>
  <c r="AI8221"/>
  <c r="B8222"/>
  <c r="H8222"/>
  <c r="AI8222"/>
  <c r="B8223"/>
  <c r="H8223"/>
  <c r="AI8223"/>
  <c r="B8224"/>
  <c r="H8224"/>
  <c r="AI8224"/>
  <c r="B8225"/>
  <c r="H8225"/>
  <c r="AI8225"/>
  <c r="B8226"/>
  <c r="H8226"/>
  <c r="AI8226"/>
  <c r="B8227"/>
  <c r="H8227"/>
  <c r="AI8227"/>
  <c r="B8228"/>
  <c r="H8228"/>
  <c r="AI8228"/>
  <c r="B8229"/>
  <c r="H8229"/>
  <c r="AI8229"/>
  <c r="B8230"/>
  <c r="H8230"/>
  <c r="AI8230"/>
  <c r="B8231"/>
  <c r="H8231"/>
  <c r="AI8231"/>
  <c r="B8232"/>
  <c r="H8232"/>
  <c r="AI8232"/>
  <c r="B8233"/>
  <c r="H8233"/>
  <c r="AI8233"/>
  <c r="B8234"/>
  <c r="H8234"/>
  <c r="AI8234"/>
  <c r="B8235"/>
  <c r="H8235"/>
  <c r="AI8235"/>
  <c r="B8236"/>
  <c r="H8236"/>
  <c r="AI8236"/>
  <c r="B8237"/>
  <c r="H8237"/>
  <c r="AI8237"/>
  <c r="B8238"/>
  <c r="H8238"/>
  <c r="AI8238"/>
  <c r="B8239"/>
  <c r="H8239"/>
  <c r="AI8239"/>
  <c r="B8240"/>
  <c r="H8240"/>
  <c r="AI8240"/>
  <c r="B8241"/>
  <c r="H8241"/>
  <c r="AI8241"/>
  <c r="B8242"/>
  <c r="H8242"/>
  <c r="AI8242"/>
  <c r="B8243"/>
  <c r="H8243"/>
  <c r="AI8243"/>
  <c r="B8244"/>
  <c r="H8244"/>
  <c r="AI8244"/>
  <c r="B8245"/>
  <c r="H8245"/>
  <c r="AI8245"/>
  <c r="B8246"/>
  <c r="H8246"/>
  <c r="AI8246"/>
  <c r="B8247"/>
  <c r="H8247"/>
  <c r="AI8247"/>
  <c r="B8248"/>
  <c r="H8248"/>
  <c r="AI8248"/>
  <c r="B8249"/>
  <c r="H8249"/>
  <c r="AI8249"/>
  <c r="B8250"/>
  <c r="H8250"/>
  <c r="AI8250"/>
  <c r="B8251"/>
  <c r="H8251"/>
  <c r="AI8251"/>
  <c r="B8252"/>
  <c r="H8252"/>
  <c r="AI8252"/>
  <c r="B8253"/>
  <c r="H8253"/>
  <c r="AI8253"/>
  <c r="B8254"/>
  <c r="H8254"/>
  <c r="AI8254"/>
  <c r="B8255"/>
  <c r="H8255"/>
  <c r="AI8255"/>
  <c r="B8256"/>
  <c r="H8256"/>
  <c r="AI8256"/>
  <c r="B8257"/>
  <c r="H8257"/>
  <c r="AI8257"/>
  <c r="B8258"/>
  <c r="H8258"/>
  <c r="AI8258"/>
  <c r="B8259"/>
  <c r="H8259"/>
  <c r="AI8259"/>
  <c r="B8260"/>
  <c r="H8260"/>
  <c r="AI8260"/>
  <c r="B8261"/>
  <c r="H8261"/>
  <c r="AI8261"/>
  <c r="B8262"/>
  <c r="H8262"/>
  <c r="AI8262"/>
  <c r="B8263"/>
  <c r="H8263"/>
  <c r="AI8263"/>
  <c r="B8264"/>
  <c r="H8264"/>
  <c r="AI8264"/>
  <c r="B8265"/>
  <c r="H8265"/>
  <c r="AI8265"/>
  <c r="B8266"/>
  <c r="H8266"/>
  <c r="AI8266"/>
  <c r="B8267"/>
  <c r="H8267"/>
  <c r="AI8267"/>
  <c r="B8268"/>
  <c r="H8268"/>
  <c r="AI8268"/>
  <c r="B8269"/>
  <c r="H8269"/>
  <c r="AI8269"/>
  <c r="B8270"/>
  <c r="H8270"/>
  <c r="AI8270"/>
  <c r="B8271"/>
  <c r="H8271"/>
  <c r="AI8271"/>
  <c r="B8272"/>
  <c r="H8272"/>
  <c r="AI8272"/>
  <c r="B8273"/>
  <c r="H8273"/>
  <c r="AI8273"/>
  <c r="B8274"/>
  <c r="H8274"/>
  <c r="AI8274"/>
  <c r="B8275"/>
  <c r="H8275"/>
  <c r="AI8275"/>
  <c r="B8276"/>
  <c r="H8276"/>
  <c r="AI8276"/>
  <c r="B8277"/>
  <c r="H8277"/>
  <c r="AI8277"/>
  <c r="B8278"/>
  <c r="H8278"/>
  <c r="AI8278"/>
  <c r="B8279"/>
  <c r="H8279"/>
  <c r="AI8279"/>
  <c r="B8280"/>
  <c r="H8280"/>
  <c r="AI8280"/>
  <c r="B8281"/>
  <c r="H8281"/>
  <c r="AI8281"/>
  <c r="B8282"/>
  <c r="H8282"/>
  <c r="AI8282"/>
  <c r="B8283"/>
  <c r="H8283"/>
  <c r="AI8283"/>
  <c r="B8284"/>
  <c r="H8284"/>
  <c r="AI8284"/>
  <c r="B8285"/>
  <c r="H8285"/>
  <c r="AI8285"/>
  <c r="B8286"/>
  <c r="H8286"/>
  <c r="AI8286"/>
  <c r="B8287"/>
  <c r="H8287"/>
  <c r="AI8287"/>
  <c r="B8288"/>
  <c r="H8288"/>
  <c r="AI8288"/>
  <c r="B8289"/>
  <c r="H8289"/>
  <c r="AI8289"/>
  <c r="B8290"/>
  <c r="H8290"/>
  <c r="AI8290"/>
  <c r="B8291"/>
  <c r="H8291"/>
  <c r="AI8291"/>
  <c r="B8292"/>
  <c r="H8292"/>
  <c r="AI8292"/>
  <c r="B8293"/>
  <c r="H8293"/>
  <c r="AI8293"/>
  <c r="B8294"/>
  <c r="H8294"/>
  <c r="AI8294"/>
  <c r="B8295"/>
  <c r="H8295"/>
  <c r="AI8295"/>
  <c r="B8296"/>
  <c r="H8296"/>
  <c r="AI8296"/>
  <c r="B8297"/>
  <c r="H8297"/>
  <c r="AI8297"/>
  <c r="B8298"/>
  <c r="H8298"/>
  <c r="AI8298"/>
  <c r="B8299"/>
  <c r="H8299"/>
  <c r="AI8299"/>
  <c r="B8300"/>
  <c r="H8300"/>
  <c r="AI8300"/>
  <c r="B8301"/>
  <c r="H8301"/>
  <c r="AI8301"/>
  <c r="B8302"/>
  <c r="H8302"/>
  <c r="AI8302"/>
  <c r="B8303"/>
  <c r="H8303"/>
  <c r="AI8303"/>
  <c r="B8304"/>
  <c r="H8304"/>
  <c r="AI8304"/>
  <c r="B8305"/>
  <c r="H8305"/>
  <c r="AI8305"/>
  <c r="B8306"/>
  <c r="H8306"/>
  <c r="AI8306"/>
  <c r="B8307"/>
  <c r="H8307"/>
  <c r="AI8307"/>
  <c r="B8308"/>
  <c r="H8308"/>
  <c r="AI8308"/>
  <c r="B8309"/>
  <c r="H8309"/>
  <c r="AI8309"/>
  <c r="B8310"/>
  <c r="H8310"/>
  <c r="AI8310"/>
  <c r="B8311"/>
  <c r="H8311"/>
  <c r="AI8311"/>
  <c r="B8312"/>
  <c r="H8312"/>
  <c r="AI8312"/>
  <c r="B8313"/>
  <c r="H8313"/>
  <c r="AI8313"/>
  <c r="B8314"/>
  <c r="H8314"/>
  <c r="AI8314"/>
  <c r="B8315"/>
  <c r="H8315"/>
  <c r="AI8315"/>
  <c r="B8316"/>
  <c r="H8316"/>
  <c r="AI8316"/>
  <c r="B8317"/>
  <c r="H8317"/>
  <c r="AI8317"/>
  <c r="B8318"/>
  <c r="H8318"/>
  <c r="AI8318"/>
  <c r="B8319"/>
  <c r="H8319"/>
  <c r="AI8319"/>
  <c r="B8320"/>
  <c r="H8320"/>
  <c r="AI8320"/>
  <c r="B8321"/>
  <c r="H8321"/>
  <c r="AI8321"/>
  <c r="B8322"/>
  <c r="H8322"/>
  <c r="AI8322"/>
  <c r="B8323"/>
  <c r="H8323"/>
  <c r="AI8323"/>
  <c r="B8324"/>
  <c r="H8324"/>
  <c r="AI8324"/>
  <c r="B8325"/>
  <c r="H8325"/>
  <c r="AI8325"/>
  <c r="B8326"/>
  <c r="H8326"/>
  <c r="AI8326"/>
  <c r="B8327"/>
  <c r="H8327"/>
  <c r="AI8327"/>
  <c r="B8328"/>
  <c r="H8328"/>
  <c r="AI8328"/>
  <c r="B8329"/>
  <c r="H8329"/>
  <c r="AI8329"/>
  <c r="B8330"/>
  <c r="H8330"/>
  <c r="AI8330"/>
  <c r="B8331"/>
  <c r="H8331"/>
  <c r="AI8331"/>
  <c r="B8332"/>
  <c r="H8332"/>
  <c r="AI8332"/>
  <c r="B8333"/>
  <c r="H8333"/>
  <c r="AI8333"/>
  <c r="B8334"/>
  <c r="H8334"/>
  <c r="AI8334"/>
  <c r="B8335"/>
  <c r="H8335"/>
  <c r="AI8335"/>
  <c r="B8336"/>
  <c r="H8336"/>
  <c r="AI8336"/>
  <c r="B8337"/>
  <c r="H8337"/>
  <c r="AI8337"/>
  <c r="B8338"/>
  <c r="H8338"/>
  <c r="AI8338"/>
  <c r="B8339"/>
  <c r="H8339"/>
  <c r="AI8339"/>
  <c r="B8340"/>
  <c r="H8340"/>
  <c r="AI8340"/>
  <c r="B8341"/>
  <c r="H8341"/>
  <c r="AI8341"/>
  <c r="B8342"/>
  <c r="H8342"/>
  <c r="AI8342"/>
  <c r="B8343"/>
  <c r="H8343"/>
  <c r="AI8343"/>
  <c r="B8344"/>
  <c r="H8344"/>
  <c r="AI8344"/>
  <c r="B8345"/>
  <c r="H8345"/>
  <c r="AI8345"/>
  <c r="B8346"/>
  <c r="H8346"/>
  <c r="AI8346"/>
  <c r="B8347"/>
  <c r="H8347"/>
  <c r="AI8347"/>
  <c r="B8348"/>
  <c r="H8348"/>
  <c r="AI8348"/>
  <c r="B8349"/>
  <c r="H8349"/>
  <c r="AI8349"/>
  <c r="B8350"/>
  <c r="H8350"/>
  <c r="AI8350"/>
  <c r="B8351"/>
  <c r="H8351"/>
  <c r="AI8351"/>
  <c r="B8352"/>
  <c r="H8352"/>
  <c r="AI8352"/>
  <c r="B8353"/>
  <c r="H8353"/>
  <c r="AI8353"/>
  <c r="B8354"/>
  <c r="H8354"/>
  <c r="AI8354"/>
  <c r="B8355"/>
  <c r="H8355"/>
  <c r="AI8355"/>
  <c r="B8356"/>
  <c r="H8356"/>
  <c r="AI8356"/>
  <c r="B8357"/>
  <c r="H8357"/>
  <c r="AI8357"/>
  <c r="B8358"/>
  <c r="H8358"/>
  <c r="AI8358"/>
  <c r="B8359"/>
  <c r="H8359"/>
  <c r="AI8359"/>
  <c r="B8360"/>
  <c r="H8360"/>
  <c r="AI8360"/>
  <c r="B8361"/>
  <c r="H8361"/>
  <c r="AI8361"/>
  <c r="B8362"/>
  <c r="H8362"/>
  <c r="AI8362"/>
  <c r="B8363"/>
  <c r="H8363"/>
  <c r="AI8363"/>
  <c r="B8364"/>
  <c r="H8364"/>
  <c r="AI8364"/>
  <c r="B8365"/>
  <c r="H8365"/>
  <c r="AI8365"/>
  <c r="B8366"/>
  <c r="H8366"/>
  <c r="AI8366"/>
  <c r="B8367"/>
  <c r="H8367"/>
  <c r="AI8367"/>
  <c r="B8368"/>
  <c r="H8368"/>
  <c r="AI8368"/>
  <c r="B8369"/>
  <c r="H8369"/>
  <c r="AI8369"/>
  <c r="B8370"/>
  <c r="H8370"/>
  <c r="AI8370"/>
  <c r="B8371"/>
  <c r="H8371"/>
  <c r="AI8371"/>
  <c r="B8372"/>
  <c r="H8372"/>
  <c r="AI8372"/>
  <c r="B8373"/>
  <c r="H8373"/>
  <c r="AI8373"/>
  <c r="B8374"/>
  <c r="H8374"/>
  <c r="AI8374"/>
  <c r="B8375"/>
  <c r="H8375"/>
  <c r="AI8375"/>
  <c r="B8376"/>
  <c r="H8376"/>
  <c r="AI8376"/>
  <c r="B8377"/>
  <c r="H8377"/>
  <c r="AI8377"/>
  <c r="B8378"/>
  <c r="H8378"/>
  <c r="AI8378"/>
  <c r="B8379"/>
  <c r="H8379"/>
  <c r="AI8379"/>
  <c r="B8380"/>
  <c r="H8380"/>
  <c r="AI8380"/>
  <c r="B8381"/>
  <c r="H8381"/>
  <c r="AI8381"/>
  <c r="B8382"/>
  <c r="H8382"/>
  <c r="AI8382"/>
  <c r="B8383"/>
  <c r="H8383"/>
  <c r="AI8383"/>
  <c r="B8384"/>
  <c r="H8384"/>
  <c r="AI8384"/>
  <c r="B8385"/>
  <c r="H8385"/>
  <c r="AI8385"/>
  <c r="B8386"/>
  <c r="H8386"/>
  <c r="AI8386"/>
  <c r="B8387"/>
  <c r="H8387"/>
  <c r="AI8387"/>
  <c r="B8388"/>
  <c r="H8388"/>
  <c r="AI8388"/>
  <c r="B8389"/>
  <c r="H8389"/>
  <c r="AI8389"/>
  <c r="B8390"/>
  <c r="H8390"/>
  <c r="AI8390"/>
  <c r="B8391"/>
  <c r="H8391"/>
  <c r="AI8391"/>
  <c r="B8392"/>
  <c r="H8392"/>
  <c r="AI8392"/>
  <c r="B8393"/>
  <c r="H8393"/>
  <c r="AI8393"/>
  <c r="B8394"/>
  <c r="H8394"/>
  <c r="AI8394"/>
  <c r="B8395"/>
  <c r="H8395"/>
  <c r="AI8395"/>
  <c r="B8396"/>
  <c r="H8396"/>
  <c r="AI8396"/>
  <c r="B8397"/>
  <c r="H8397"/>
  <c r="AI8397"/>
  <c r="B8398"/>
  <c r="H8398"/>
  <c r="AI8398"/>
  <c r="B8399"/>
  <c r="H8399"/>
  <c r="AI8399"/>
  <c r="B8400"/>
  <c r="H8400"/>
  <c r="AI8400"/>
  <c r="B8401"/>
  <c r="H8401"/>
  <c r="AI8401"/>
  <c r="B8402"/>
  <c r="H8402"/>
  <c r="AI8402"/>
  <c r="B8403"/>
  <c r="H8403"/>
  <c r="AI8403"/>
  <c r="B8404"/>
  <c r="H8404"/>
  <c r="AI8404"/>
  <c r="B8405"/>
  <c r="H8405"/>
  <c r="AI8405"/>
  <c r="B8406"/>
  <c r="H8406"/>
  <c r="AI8406"/>
  <c r="B8407"/>
  <c r="H8407"/>
  <c r="AI8407"/>
  <c r="B8408"/>
  <c r="H8408"/>
  <c r="AI8408"/>
  <c r="B8409"/>
  <c r="H8409"/>
  <c r="AI8409"/>
  <c r="B8410"/>
  <c r="H8410"/>
  <c r="AI8410"/>
  <c r="B8411"/>
  <c r="H8411"/>
  <c r="AI8411"/>
  <c r="B8412"/>
  <c r="H8412"/>
  <c r="AI8412"/>
  <c r="B8413"/>
  <c r="H8413"/>
  <c r="AI8413"/>
  <c r="B8414"/>
  <c r="H8414"/>
  <c r="AI8414"/>
  <c r="B8415"/>
  <c r="H8415"/>
  <c r="AI8415"/>
  <c r="B8416"/>
  <c r="H8416"/>
  <c r="AI8416"/>
  <c r="B8417"/>
  <c r="H8417"/>
  <c r="AI8417"/>
  <c r="B8418"/>
  <c r="H8418"/>
  <c r="AI8418"/>
  <c r="B8419"/>
  <c r="H8419"/>
  <c r="AI8419"/>
  <c r="B8420"/>
  <c r="H8420"/>
  <c r="AI8420"/>
  <c r="B8421"/>
  <c r="H8421"/>
  <c r="AI8421"/>
  <c r="B8422"/>
  <c r="H8422"/>
  <c r="AI8422"/>
  <c r="B8423"/>
  <c r="H8423"/>
  <c r="AI8423"/>
  <c r="B8424"/>
  <c r="H8424"/>
  <c r="AI8424"/>
  <c r="B8425"/>
  <c r="H8425"/>
  <c r="AI8425"/>
  <c r="B8426"/>
  <c r="H8426"/>
  <c r="AI8426"/>
  <c r="B8427"/>
  <c r="H8427"/>
  <c r="AI8427"/>
  <c r="B8428"/>
  <c r="H8428"/>
  <c r="AI8428"/>
  <c r="B8429"/>
  <c r="H8429"/>
  <c r="AI8429"/>
  <c r="B8430"/>
  <c r="H8430"/>
  <c r="AI8430"/>
  <c r="B8431"/>
  <c r="H8431"/>
  <c r="AI8431"/>
  <c r="B8432"/>
  <c r="H8432"/>
  <c r="AI8432"/>
  <c r="B8433"/>
  <c r="H8433"/>
  <c r="AI8433"/>
  <c r="B8434"/>
  <c r="H8434"/>
  <c r="AI8434"/>
  <c r="B8435"/>
  <c r="H8435"/>
  <c r="AI8435"/>
  <c r="B8436"/>
  <c r="H8436"/>
  <c r="AI8436"/>
  <c r="B8437"/>
  <c r="H8437"/>
  <c r="AI8437"/>
  <c r="B8438"/>
  <c r="H8438"/>
  <c r="AI8438"/>
  <c r="B8439"/>
  <c r="H8439"/>
  <c r="AI8439"/>
  <c r="B8440"/>
  <c r="H8440"/>
  <c r="AI8440"/>
  <c r="B8441"/>
  <c r="H8441"/>
  <c r="AI8441"/>
  <c r="B8442"/>
  <c r="H8442"/>
  <c r="AI8442"/>
  <c r="B8443"/>
  <c r="H8443"/>
  <c r="AI8443"/>
  <c r="B8444"/>
  <c r="H8444"/>
  <c r="AI8444"/>
  <c r="B8445"/>
  <c r="H8445"/>
  <c r="AI8445"/>
  <c r="B8446"/>
  <c r="H8446"/>
  <c r="AI8446"/>
  <c r="B8447"/>
  <c r="H8447"/>
  <c r="AI8447"/>
  <c r="B8448"/>
  <c r="H8448"/>
  <c r="AI8448"/>
  <c r="B8449"/>
  <c r="H8449"/>
  <c r="AI8449"/>
  <c r="B8450"/>
  <c r="H8450"/>
  <c r="AI8450"/>
  <c r="B8451"/>
  <c r="H8451"/>
  <c r="AI8451"/>
  <c r="B8452"/>
  <c r="H8452"/>
  <c r="AI8452"/>
  <c r="B8453"/>
  <c r="H8453"/>
  <c r="AI8453"/>
  <c r="B8454"/>
  <c r="H8454"/>
  <c r="AI8454"/>
  <c r="B8455"/>
  <c r="H8455"/>
  <c r="AI8455"/>
  <c r="B8456"/>
  <c r="H8456"/>
  <c r="AI8456"/>
  <c r="B8457"/>
  <c r="H8457"/>
  <c r="AI8457"/>
  <c r="B8458"/>
  <c r="H8458"/>
  <c r="AI8458"/>
  <c r="B8459"/>
  <c r="H8459"/>
  <c r="AI8459"/>
  <c r="B8460"/>
  <c r="H8460"/>
  <c r="AI8460"/>
  <c r="B8461"/>
  <c r="H8461"/>
  <c r="AI8461"/>
  <c r="B8462"/>
  <c r="H8462"/>
  <c r="AI8462"/>
  <c r="B8463"/>
  <c r="H8463"/>
  <c r="AI8463"/>
  <c r="B8464"/>
  <c r="H8464"/>
  <c r="AI8464"/>
  <c r="B8465"/>
  <c r="H8465"/>
  <c r="AI8465"/>
  <c r="B8466"/>
  <c r="H8466"/>
  <c r="AI8466"/>
  <c r="B8467"/>
  <c r="H8467"/>
  <c r="AI8467"/>
  <c r="B8468"/>
  <c r="H8468"/>
  <c r="AI8468"/>
  <c r="B8469"/>
  <c r="H8469"/>
  <c r="AI8469"/>
  <c r="B8470"/>
  <c r="H8470"/>
  <c r="AI8470"/>
  <c r="B8471"/>
  <c r="H8471"/>
  <c r="AI8471"/>
  <c r="B8472"/>
  <c r="H8472"/>
  <c r="AI8472"/>
  <c r="B8473"/>
  <c r="H8473"/>
  <c r="AI8473"/>
  <c r="B8474"/>
  <c r="H8474"/>
  <c r="AI8474"/>
  <c r="B8475"/>
  <c r="H8475"/>
  <c r="AI8475"/>
  <c r="B8476"/>
  <c r="H8476"/>
  <c r="AI8476"/>
  <c r="B8477"/>
  <c r="H8477"/>
  <c r="AI8477"/>
  <c r="B8478"/>
  <c r="H8478"/>
  <c r="AI8478"/>
  <c r="B8479"/>
  <c r="H8479"/>
  <c r="AI8479"/>
  <c r="B8480"/>
  <c r="H8480"/>
  <c r="AI8480"/>
  <c r="B8481"/>
  <c r="H8481"/>
  <c r="AI8481"/>
  <c r="B8482"/>
  <c r="H8482"/>
  <c r="AI8482"/>
  <c r="B8483"/>
  <c r="H8483"/>
  <c r="AI8483"/>
  <c r="B8484"/>
  <c r="H8484"/>
  <c r="AI8484"/>
  <c r="B8485"/>
  <c r="H8485"/>
  <c r="AI8485"/>
  <c r="B8486"/>
  <c r="H8486"/>
  <c r="AI8486"/>
  <c r="B8487"/>
  <c r="H8487"/>
  <c r="AI8487"/>
  <c r="B8488"/>
  <c r="H8488"/>
  <c r="AI8488"/>
  <c r="B8489"/>
  <c r="H8489"/>
  <c r="AI8489"/>
  <c r="B8490"/>
  <c r="H8490"/>
  <c r="AI8490"/>
  <c r="B8491"/>
  <c r="H8491"/>
  <c r="AI8491"/>
  <c r="B8492"/>
  <c r="H8492"/>
  <c r="AI8492"/>
  <c r="B8493"/>
  <c r="H8493"/>
  <c r="AI8493"/>
  <c r="B8494"/>
  <c r="H8494"/>
  <c r="AI8494"/>
  <c r="B8495"/>
  <c r="H8495"/>
  <c r="AI8495"/>
  <c r="B8496"/>
  <c r="H8496"/>
  <c r="AI8496"/>
  <c r="B8497"/>
  <c r="H8497"/>
  <c r="AI8497"/>
  <c r="B8498"/>
  <c r="H8498"/>
  <c r="AI8498"/>
  <c r="B8499"/>
  <c r="H8499"/>
  <c r="AI8499"/>
  <c r="B8500"/>
  <c r="H8500"/>
  <c r="AI8500"/>
  <c r="B8501"/>
  <c r="H8501"/>
  <c r="AI8501"/>
  <c r="B8502"/>
  <c r="H8502"/>
  <c r="AI8502"/>
  <c r="B8503"/>
  <c r="H8503"/>
  <c r="AI8503"/>
  <c r="B8504"/>
  <c r="H8504"/>
  <c r="AI8504"/>
  <c r="B8505"/>
  <c r="H8505"/>
  <c r="AI8505"/>
  <c r="B8506"/>
  <c r="H8506"/>
  <c r="AI8506"/>
  <c r="B8507"/>
  <c r="H8507"/>
  <c r="AI8507"/>
  <c r="B8508"/>
  <c r="H8508"/>
  <c r="AI8508"/>
  <c r="B8509"/>
  <c r="H8509"/>
  <c r="AI8509"/>
  <c r="B8510"/>
  <c r="H8510"/>
  <c r="AI8510"/>
  <c r="B8511"/>
  <c r="H8511"/>
  <c r="AI8511"/>
  <c r="B8512"/>
  <c r="H8512"/>
  <c r="AI8512"/>
  <c r="B8513"/>
  <c r="H8513"/>
  <c r="AI8513"/>
  <c r="B8514"/>
  <c r="H8514"/>
  <c r="AI8514"/>
  <c r="B8515"/>
  <c r="H8515"/>
  <c r="AI8515"/>
  <c r="B8516"/>
  <c r="H8516"/>
  <c r="AI8516"/>
  <c r="B8517"/>
  <c r="H8517"/>
  <c r="AI8517"/>
  <c r="B8518"/>
  <c r="H8518"/>
  <c r="AI8518"/>
  <c r="B8519"/>
  <c r="H8519"/>
  <c r="AI8519"/>
  <c r="B8520"/>
  <c r="H8520"/>
  <c r="AI8520"/>
  <c r="B8521"/>
  <c r="H8521"/>
  <c r="AI8521"/>
  <c r="B8522"/>
  <c r="H8522"/>
  <c r="AI8522"/>
  <c r="B8523"/>
  <c r="H8523"/>
  <c r="AI8523"/>
  <c r="B8524"/>
  <c r="H8524"/>
  <c r="AI8524"/>
  <c r="B8525"/>
  <c r="H8525"/>
  <c r="AI8525"/>
  <c r="B8526"/>
  <c r="H8526"/>
  <c r="AI8526"/>
  <c r="B8527"/>
  <c r="H8527"/>
  <c r="AI8527"/>
  <c r="B8528"/>
  <c r="H8528"/>
  <c r="AI8528"/>
  <c r="B8529"/>
  <c r="H8529"/>
  <c r="AI8529"/>
  <c r="B8530"/>
  <c r="H8530"/>
  <c r="AI8530"/>
  <c r="B8531"/>
  <c r="H8531"/>
  <c r="AI8531"/>
  <c r="B8532"/>
  <c r="H8532"/>
  <c r="AI8532"/>
  <c r="B8533"/>
  <c r="H8533"/>
  <c r="AI8533"/>
  <c r="B8534"/>
  <c r="H8534"/>
  <c r="AI8534"/>
  <c r="B8535"/>
  <c r="H8535"/>
  <c r="AI8535"/>
  <c r="B8536"/>
  <c r="H8536"/>
  <c r="AI8536"/>
  <c r="B8537"/>
  <c r="H8537"/>
  <c r="AI8537"/>
  <c r="B8538"/>
  <c r="H8538"/>
  <c r="AI8538"/>
  <c r="B8539"/>
  <c r="H8539"/>
  <c r="AI8539"/>
  <c r="B8540"/>
  <c r="H8540"/>
  <c r="AI8540"/>
  <c r="B8541"/>
  <c r="H8541"/>
  <c r="AI8541"/>
  <c r="B8542"/>
  <c r="H8542"/>
  <c r="AI8542"/>
  <c r="B8543"/>
  <c r="H8543"/>
  <c r="AI8543"/>
  <c r="B8544"/>
  <c r="H8544"/>
  <c r="AI8544"/>
  <c r="B8545"/>
  <c r="H8545"/>
  <c r="AI8545"/>
  <c r="B8546"/>
  <c r="H8546"/>
  <c r="AI8546"/>
  <c r="B8547"/>
  <c r="H8547"/>
  <c r="AI8547"/>
  <c r="B8548"/>
  <c r="H8548"/>
  <c r="AI8548"/>
  <c r="B8549"/>
  <c r="H8549"/>
  <c r="AI8549"/>
  <c r="B8550"/>
  <c r="H8550"/>
  <c r="AI8550"/>
  <c r="B8551"/>
  <c r="H8551"/>
  <c r="AI8551"/>
  <c r="B8552"/>
  <c r="H8552"/>
  <c r="AI8552"/>
  <c r="B8553"/>
  <c r="H8553"/>
  <c r="AI8553"/>
  <c r="B8554"/>
  <c r="H8554"/>
  <c r="AI8554"/>
  <c r="B8555"/>
  <c r="H8555"/>
  <c r="AI8555"/>
  <c r="B8556"/>
  <c r="H8556"/>
  <c r="AI8556"/>
  <c r="B8557"/>
  <c r="H8557"/>
  <c r="AI8557"/>
  <c r="B8558"/>
  <c r="H8558"/>
  <c r="AI8558"/>
  <c r="B8559"/>
  <c r="H8559"/>
  <c r="AI8559"/>
  <c r="B8560"/>
  <c r="H8560"/>
  <c r="AI8560"/>
  <c r="B8561"/>
  <c r="H8561"/>
  <c r="AI8561"/>
  <c r="B8562"/>
  <c r="H8562"/>
  <c r="AI8562"/>
  <c r="B8563"/>
  <c r="H8563"/>
  <c r="AI8563"/>
  <c r="B8564"/>
  <c r="H8564"/>
  <c r="AI8564"/>
  <c r="B8565"/>
  <c r="H8565"/>
  <c r="AI8565"/>
  <c r="B8566"/>
  <c r="H8566"/>
  <c r="AI8566"/>
  <c r="B8567"/>
  <c r="H8567"/>
  <c r="AI8567"/>
  <c r="B8568"/>
  <c r="H8568"/>
  <c r="AI8568"/>
  <c r="B8569"/>
  <c r="H8569"/>
  <c r="AI8569"/>
  <c r="B8570"/>
  <c r="H8570"/>
  <c r="AI8570"/>
  <c r="B8571"/>
  <c r="H8571"/>
  <c r="AI8571"/>
  <c r="B8572"/>
  <c r="H8572"/>
  <c r="AI8572"/>
  <c r="B8573"/>
  <c r="H8573"/>
  <c r="AI8573"/>
  <c r="B8574"/>
  <c r="H8574"/>
  <c r="AI8574"/>
  <c r="B8575"/>
  <c r="H8575"/>
  <c r="AI8575"/>
  <c r="B8576"/>
  <c r="H8576"/>
  <c r="AI8576"/>
  <c r="B8577"/>
  <c r="H8577"/>
  <c r="AI8577"/>
  <c r="B8578"/>
  <c r="H8578"/>
  <c r="AI8578"/>
  <c r="B8579"/>
  <c r="H8579"/>
  <c r="AI8579"/>
  <c r="B8580"/>
  <c r="H8580"/>
  <c r="AI8580"/>
  <c r="B8581"/>
  <c r="H8581"/>
  <c r="AI8581"/>
  <c r="B8582"/>
  <c r="H8582"/>
  <c r="AI8582"/>
  <c r="B8583"/>
  <c r="H8583"/>
  <c r="AI8583"/>
  <c r="B8584"/>
  <c r="H8584"/>
  <c r="AI8584"/>
  <c r="B8585"/>
  <c r="H8585"/>
  <c r="AI8585"/>
  <c r="B8586"/>
  <c r="H8586"/>
  <c r="AI8586"/>
  <c r="B8587"/>
  <c r="H8587"/>
  <c r="AI8587"/>
  <c r="B8588"/>
  <c r="H8588"/>
  <c r="AI8588"/>
  <c r="B8589"/>
  <c r="H8589"/>
  <c r="AI8589"/>
  <c r="B8590"/>
  <c r="H8590"/>
  <c r="AI8590"/>
  <c r="B8591"/>
  <c r="H8591"/>
  <c r="AI8591"/>
  <c r="B8592"/>
  <c r="H8592"/>
  <c r="AI8592"/>
  <c r="B8593"/>
  <c r="H8593"/>
  <c r="AI8593"/>
  <c r="B8594"/>
  <c r="H8594"/>
  <c r="AI8594"/>
  <c r="B8595"/>
  <c r="H8595"/>
  <c r="AI8595"/>
  <c r="B8596"/>
  <c r="H8596"/>
  <c r="AI8596"/>
  <c r="B8597"/>
  <c r="H8597"/>
  <c r="AI8597"/>
  <c r="B8598"/>
  <c r="H8598"/>
  <c r="AI8598"/>
  <c r="B8599"/>
  <c r="H8599"/>
  <c r="AI8599"/>
  <c r="B8600"/>
  <c r="H8600"/>
  <c r="AI8600"/>
  <c r="B8601"/>
  <c r="H8601"/>
  <c r="AI8601"/>
  <c r="B8602"/>
  <c r="H8602"/>
  <c r="AI8602"/>
  <c r="B8603"/>
  <c r="H8603"/>
  <c r="AI8603"/>
  <c r="B8604"/>
  <c r="H8604"/>
  <c r="AI8604"/>
  <c r="B8605"/>
  <c r="H8605"/>
  <c r="AI8605"/>
  <c r="B8606"/>
  <c r="H8606"/>
  <c r="AI8606"/>
  <c r="B8607"/>
  <c r="H8607"/>
  <c r="AI8607"/>
  <c r="B8608"/>
  <c r="H8608"/>
  <c r="AI8608"/>
  <c r="B8609"/>
  <c r="H8609"/>
  <c r="AI8609"/>
  <c r="B8610"/>
  <c r="H8610"/>
  <c r="AI8610"/>
  <c r="B8611"/>
  <c r="H8611"/>
  <c r="AI8611"/>
  <c r="B8612"/>
  <c r="H8612"/>
  <c r="AI8612"/>
  <c r="B8613"/>
  <c r="H8613"/>
  <c r="AI8613"/>
  <c r="B8614"/>
  <c r="H8614"/>
  <c r="AI8614"/>
  <c r="B8615"/>
  <c r="H8615"/>
  <c r="AI8615"/>
  <c r="B8616"/>
  <c r="H8616"/>
  <c r="AI8616"/>
  <c r="B8617"/>
  <c r="H8617"/>
  <c r="AI8617"/>
  <c r="B8618"/>
  <c r="H8618"/>
  <c r="AI8618"/>
  <c r="B8619"/>
  <c r="H8619"/>
  <c r="AI8619"/>
  <c r="B8620"/>
  <c r="H8620"/>
  <c r="AI8620"/>
  <c r="B8621"/>
  <c r="H8621"/>
  <c r="AI8621"/>
  <c r="B8622"/>
  <c r="H8622"/>
  <c r="AI8622"/>
  <c r="B8623"/>
  <c r="H8623"/>
  <c r="AI8623"/>
  <c r="B8624"/>
  <c r="H8624"/>
  <c r="AI8624"/>
  <c r="B8625"/>
  <c r="H8625"/>
  <c r="AI8625"/>
  <c r="B8626"/>
  <c r="H8626"/>
  <c r="AI8626"/>
  <c r="B8627"/>
  <c r="H8627"/>
  <c r="AI8627"/>
  <c r="B8628"/>
  <c r="H8628"/>
  <c r="AI8628"/>
  <c r="B8629"/>
  <c r="H8629"/>
  <c r="AI8629"/>
  <c r="B8630"/>
  <c r="H8630"/>
  <c r="AI8630"/>
  <c r="B8631"/>
  <c r="H8631"/>
  <c r="AI8631"/>
  <c r="B8632"/>
  <c r="H8632"/>
  <c r="AI8632"/>
  <c r="B8633"/>
  <c r="H8633"/>
  <c r="AI8633"/>
  <c r="B8634"/>
  <c r="H8634"/>
  <c r="AI8634"/>
  <c r="B8635"/>
  <c r="H8635"/>
  <c r="AI8635"/>
  <c r="B8636"/>
  <c r="H8636"/>
  <c r="AI8636"/>
  <c r="B8637"/>
  <c r="H8637"/>
  <c r="AI8637"/>
  <c r="B8638"/>
  <c r="H8638"/>
  <c r="AI8638"/>
  <c r="B8639"/>
  <c r="H8639"/>
  <c r="AI8639"/>
  <c r="B8640"/>
  <c r="H8640"/>
  <c r="AI8640"/>
  <c r="B8641"/>
  <c r="H8641"/>
  <c r="AI8641"/>
  <c r="B8642"/>
  <c r="H8642"/>
  <c r="AI8642"/>
  <c r="B8643"/>
  <c r="H8643"/>
  <c r="AI8643"/>
  <c r="B8644"/>
  <c r="H8644"/>
  <c r="AI8644"/>
  <c r="B8645"/>
  <c r="H8645"/>
  <c r="AI8645"/>
  <c r="B8646"/>
  <c r="H8646"/>
  <c r="AI8646"/>
  <c r="B8647"/>
  <c r="H8647"/>
  <c r="AI8647"/>
  <c r="B8648"/>
  <c r="H8648"/>
  <c r="AI8648"/>
  <c r="B8649"/>
  <c r="H8649"/>
  <c r="AI8649"/>
  <c r="B8650"/>
  <c r="H8650"/>
  <c r="AI8650"/>
  <c r="B8651"/>
  <c r="H8651"/>
  <c r="AI8651"/>
  <c r="B8652"/>
  <c r="H8652"/>
  <c r="AI8652"/>
  <c r="B8653"/>
  <c r="H8653"/>
  <c r="AI8653"/>
  <c r="B8654"/>
  <c r="H8654"/>
  <c r="AI8654"/>
  <c r="B8655"/>
  <c r="H8655"/>
  <c r="AI8655"/>
  <c r="B8656"/>
  <c r="H8656"/>
  <c r="AI8656"/>
  <c r="B8657"/>
  <c r="H8657"/>
  <c r="AI8657"/>
  <c r="B8658"/>
  <c r="H8658"/>
  <c r="AI8658"/>
  <c r="B8659"/>
  <c r="H8659"/>
  <c r="AI8659"/>
  <c r="B8660"/>
  <c r="H8660"/>
  <c r="AI8660"/>
  <c r="B8661"/>
  <c r="H8661"/>
  <c r="AI8661"/>
  <c r="B8662"/>
  <c r="H8662"/>
  <c r="AI8662"/>
  <c r="B8663"/>
  <c r="H8663"/>
  <c r="AI8663"/>
  <c r="B8664"/>
  <c r="H8664"/>
  <c r="AI8664"/>
  <c r="B8665"/>
  <c r="H8665"/>
  <c r="AI8665"/>
  <c r="B8666"/>
  <c r="H8666"/>
  <c r="AI8666"/>
  <c r="B8667"/>
  <c r="H8667"/>
  <c r="AI8667"/>
  <c r="B8668"/>
  <c r="H8668"/>
  <c r="AI8668"/>
  <c r="B8669"/>
  <c r="H8669"/>
  <c r="AI8669"/>
  <c r="B8670"/>
  <c r="H8670"/>
  <c r="AI8670"/>
  <c r="B8671"/>
  <c r="H8671"/>
  <c r="AI8671"/>
  <c r="B8672"/>
  <c r="H8672"/>
  <c r="AI8672"/>
  <c r="B8673"/>
  <c r="H8673"/>
  <c r="AI8673"/>
  <c r="B8674"/>
  <c r="H8674"/>
  <c r="AI8674"/>
  <c r="B8675"/>
  <c r="H8675"/>
  <c r="AI8675"/>
  <c r="B8676"/>
  <c r="H8676"/>
  <c r="AI8676"/>
  <c r="B8677"/>
  <c r="H8677"/>
  <c r="AI8677"/>
  <c r="B8678"/>
  <c r="H8678"/>
  <c r="AI8678"/>
  <c r="B8679"/>
  <c r="H8679"/>
  <c r="AI8679"/>
  <c r="B8680"/>
  <c r="H8680"/>
  <c r="AI8680"/>
  <c r="B8681"/>
  <c r="H8681"/>
  <c r="AI8681"/>
  <c r="B8682"/>
  <c r="H8682"/>
  <c r="AI8682"/>
  <c r="B8683"/>
  <c r="H8683"/>
  <c r="AI8683"/>
  <c r="B8684"/>
  <c r="H8684"/>
  <c r="AI8684"/>
  <c r="B8685"/>
  <c r="H8685"/>
  <c r="AI8685"/>
  <c r="B8686"/>
  <c r="H8686"/>
  <c r="AI8686"/>
  <c r="B8687"/>
  <c r="H8687"/>
  <c r="AI8687"/>
  <c r="B8688"/>
  <c r="H8688"/>
  <c r="AI8688"/>
  <c r="B8689"/>
  <c r="H8689"/>
  <c r="AI8689"/>
  <c r="B8690"/>
  <c r="H8690"/>
  <c r="AI8690"/>
  <c r="B8691"/>
  <c r="H8691"/>
  <c r="AI8691"/>
  <c r="B8692"/>
  <c r="H8692"/>
  <c r="AI8692"/>
  <c r="B8693"/>
  <c r="H8693"/>
  <c r="AI8693"/>
  <c r="B8694"/>
  <c r="H8694"/>
  <c r="AI8694"/>
  <c r="B8695"/>
  <c r="H8695"/>
  <c r="AI8695"/>
  <c r="B8696"/>
  <c r="H8696"/>
  <c r="AI8696"/>
  <c r="B8697"/>
  <c r="H8697"/>
  <c r="AI8697"/>
  <c r="B8698"/>
  <c r="H8698"/>
  <c r="AI8698"/>
  <c r="B8699"/>
  <c r="H8699"/>
  <c r="AI8699"/>
  <c r="B8700"/>
  <c r="H8700"/>
  <c r="AI8700"/>
  <c r="B8701"/>
  <c r="H8701"/>
  <c r="AI8701"/>
  <c r="B8702"/>
  <c r="H8702"/>
  <c r="AI8702"/>
  <c r="B8703"/>
  <c r="H8703"/>
  <c r="AI8703"/>
  <c r="B8704"/>
  <c r="H8704"/>
  <c r="AI8704"/>
  <c r="B8705"/>
  <c r="H8705"/>
  <c r="AI8705"/>
  <c r="B8706"/>
  <c r="H8706"/>
  <c r="AI8706"/>
  <c r="B8707"/>
  <c r="H8707"/>
  <c r="AI8707"/>
  <c r="B8708"/>
  <c r="H8708"/>
  <c r="AI8708"/>
  <c r="B8709"/>
  <c r="H8709"/>
  <c r="AI8709"/>
  <c r="B8710"/>
  <c r="H8710"/>
  <c r="AI8710"/>
  <c r="B8711"/>
  <c r="H8711"/>
  <c r="AI8711"/>
  <c r="B8712"/>
  <c r="H8712"/>
  <c r="AI8712"/>
  <c r="B8713"/>
  <c r="H8713"/>
  <c r="AI8713"/>
  <c r="B8714"/>
  <c r="H8714"/>
  <c r="AI8714"/>
  <c r="B8715"/>
  <c r="H8715"/>
  <c r="AI8715"/>
  <c r="B8716"/>
  <c r="H8716"/>
  <c r="AI8716"/>
  <c r="B8717"/>
  <c r="H8717"/>
  <c r="AI8717"/>
  <c r="B8718"/>
  <c r="H8718"/>
  <c r="AI8718"/>
  <c r="B8719"/>
  <c r="H8719"/>
  <c r="AI8719"/>
  <c r="B8720"/>
  <c r="H8720"/>
  <c r="AI8720"/>
  <c r="B8721"/>
  <c r="H8721"/>
  <c r="AI8721"/>
  <c r="B8722"/>
  <c r="H8722"/>
  <c r="AI8722"/>
  <c r="B8723"/>
  <c r="H8723"/>
  <c r="AI8723"/>
  <c r="B8724"/>
  <c r="H8724"/>
  <c r="AI8724"/>
  <c r="B8725"/>
  <c r="H8725"/>
  <c r="AI8725"/>
  <c r="B8726"/>
  <c r="H8726"/>
  <c r="AI8726"/>
  <c r="B8727"/>
  <c r="H8727"/>
  <c r="AI8727"/>
  <c r="B8728"/>
  <c r="H8728"/>
  <c r="AI8728"/>
  <c r="B8729"/>
  <c r="H8729"/>
  <c r="AI8729"/>
  <c r="B8730"/>
  <c r="H8730"/>
  <c r="AI8730"/>
  <c r="B8731"/>
  <c r="H8731"/>
  <c r="AI8731"/>
  <c r="B8732"/>
  <c r="H8732"/>
  <c r="AI8732"/>
  <c r="B8733"/>
  <c r="H8733"/>
  <c r="AI8733"/>
  <c r="B8734"/>
  <c r="H8734"/>
  <c r="AI8734"/>
  <c r="B8735"/>
  <c r="H8735"/>
  <c r="AI8735"/>
  <c r="B8736"/>
  <c r="H8736"/>
  <c r="AI8736"/>
  <c r="B8737"/>
  <c r="H8737"/>
  <c r="AI8737"/>
  <c r="B8738"/>
  <c r="H8738"/>
  <c r="AI8738"/>
  <c r="B8739"/>
  <c r="H8739"/>
  <c r="AI8739"/>
  <c r="B8740"/>
  <c r="H8740"/>
  <c r="AI8740"/>
  <c r="B8741"/>
  <c r="H8741"/>
  <c r="AI8741"/>
  <c r="B8742"/>
  <c r="H8742"/>
  <c r="AI8742"/>
  <c r="B8743"/>
  <c r="H8743"/>
  <c r="AI8743"/>
  <c r="B8744"/>
  <c r="H8744"/>
  <c r="AI8744"/>
  <c r="B8745"/>
  <c r="H8745"/>
  <c r="AI8745"/>
  <c r="B8746"/>
  <c r="H8746"/>
  <c r="AI8746"/>
  <c r="B8747"/>
  <c r="H8747"/>
  <c r="AI8747"/>
  <c r="B8748"/>
  <c r="H8748"/>
  <c r="AI8748"/>
  <c r="B8749"/>
  <c r="H8749"/>
  <c r="AI8749"/>
  <c r="B8750"/>
  <c r="H8750"/>
  <c r="AI8750"/>
  <c r="B8751"/>
  <c r="H8751"/>
  <c r="AI8751"/>
  <c r="B8752"/>
  <c r="H8752"/>
  <c r="AI8752"/>
  <c r="B8753"/>
  <c r="H8753"/>
  <c r="AI8753"/>
  <c r="B8754"/>
  <c r="H8754"/>
  <c r="AI8754"/>
  <c r="B8755"/>
  <c r="H8755"/>
  <c r="AI8755"/>
  <c r="B8756"/>
  <c r="H8756"/>
  <c r="AI8756"/>
  <c r="B8757"/>
  <c r="H8757"/>
  <c r="AI8757"/>
  <c r="B8758"/>
  <c r="H8758"/>
  <c r="AI8758"/>
  <c r="B8759"/>
  <c r="H8759"/>
  <c r="AI8759"/>
  <c r="B8760"/>
  <c r="H8760"/>
  <c r="AI8760"/>
  <c r="B8761"/>
  <c r="H8761"/>
  <c r="AI8761"/>
  <c r="B8762"/>
  <c r="H8762"/>
  <c r="AI8762"/>
  <c r="B8763"/>
  <c r="H8763"/>
  <c r="AI8763"/>
  <c r="B8764"/>
  <c r="H8764"/>
  <c r="AI8764"/>
  <c r="B8765"/>
  <c r="H8765"/>
  <c r="AI8765"/>
  <c r="B8766"/>
  <c r="H8766"/>
  <c r="AI8766"/>
  <c r="B8767"/>
  <c r="H8767"/>
  <c r="AI8767"/>
  <c r="B8768"/>
  <c r="H8768"/>
  <c r="AI8768"/>
  <c r="B8769"/>
  <c r="H8769"/>
  <c r="AI8769"/>
  <c r="B8770"/>
  <c r="H8770"/>
  <c r="AI8770"/>
  <c r="B8771"/>
  <c r="H8771"/>
  <c r="AI8771"/>
  <c r="B8772"/>
  <c r="H8772"/>
  <c r="AI8772"/>
  <c r="B8773"/>
  <c r="H8773"/>
  <c r="AI8773"/>
  <c r="B8774"/>
  <c r="H8774"/>
  <c r="AI8774"/>
  <c r="B8775"/>
  <c r="H8775"/>
  <c r="AI8775"/>
  <c r="B8776"/>
  <c r="H8776"/>
  <c r="AI8776"/>
  <c r="B8777"/>
  <c r="H8777"/>
  <c r="AI8777"/>
  <c r="B8778"/>
  <c r="H8778"/>
  <c r="AI8778"/>
  <c r="B8779"/>
  <c r="H8779"/>
  <c r="AI8779"/>
  <c r="B8780"/>
  <c r="H8780"/>
  <c r="AI8780"/>
  <c r="B8781"/>
  <c r="H8781"/>
  <c r="AI8781"/>
  <c r="B8782"/>
  <c r="H8782"/>
  <c r="AI8782"/>
  <c r="B8783"/>
  <c r="H8783"/>
  <c r="AI8783"/>
  <c r="B8784"/>
  <c r="H8784"/>
  <c r="AI8784"/>
  <c r="B8785"/>
  <c r="H8785"/>
  <c r="AI8785"/>
  <c r="B8786"/>
  <c r="H8786"/>
  <c r="AI8786"/>
  <c r="B8787"/>
  <c r="H8787"/>
  <c r="AI8787"/>
  <c r="B8788"/>
  <c r="H8788"/>
  <c r="AI8788"/>
  <c r="B8789"/>
  <c r="H8789"/>
  <c r="AI8789"/>
  <c r="B8790"/>
  <c r="H8790"/>
  <c r="AI8790"/>
  <c r="B8791"/>
  <c r="H8791"/>
  <c r="AI8791"/>
  <c r="B8792"/>
  <c r="H8792"/>
  <c r="AI8792"/>
  <c r="B8793"/>
  <c r="H8793"/>
  <c r="AI8793"/>
  <c r="B8794"/>
  <c r="H8794"/>
  <c r="AI8794"/>
  <c r="B8795"/>
  <c r="H8795"/>
  <c r="AI8795"/>
  <c r="B8796"/>
  <c r="H8796"/>
  <c r="AI8796"/>
  <c r="B8797"/>
  <c r="H8797"/>
  <c r="AI8797"/>
  <c r="B8798"/>
  <c r="H8798"/>
  <c r="AI8798"/>
  <c r="B8799"/>
  <c r="H8799"/>
  <c r="AI8799"/>
  <c r="B8800"/>
  <c r="H8800"/>
  <c r="AI8800"/>
  <c r="B8801"/>
  <c r="H8801"/>
  <c r="AI8801"/>
  <c r="B8802"/>
  <c r="H8802"/>
  <c r="AI8802"/>
  <c r="B8803"/>
  <c r="H8803"/>
  <c r="AI8803"/>
  <c r="B8804"/>
  <c r="H8804"/>
  <c r="AI8804"/>
  <c r="B8805"/>
  <c r="H8805"/>
  <c r="AI8805"/>
  <c r="B8806"/>
  <c r="H8806"/>
  <c r="AI8806"/>
  <c r="B8807"/>
  <c r="H8807"/>
  <c r="AI8807"/>
  <c r="B8808"/>
  <c r="H8808"/>
  <c r="AI8808"/>
  <c r="B8809"/>
  <c r="H8809"/>
  <c r="AI8809"/>
  <c r="B8810"/>
  <c r="H8810"/>
  <c r="AI8810"/>
  <c r="B8811"/>
  <c r="H8811"/>
  <c r="AI8811"/>
  <c r="B8812"/>
  <c r="H8812"/>
  <c r="AI8812"/>
  <c r="B8813"/>
  <c r="H8813"/>
  <c r="AI8813"/>
  <c r="B8814"/>
  <c r="H8814"/>
  <c r="AI8814"/>
  <c r="B8815"/>
  <c r="H8815"/>
  <c r="AI8815"/>
  <c r="B8816"/>
  <c r="H8816"/>
  <c r="AI8816"/>
  <c r="B8817"/>
  <c r="H8817"/>
  <c r="AI8817"/>
  <c r="B8818"/>
  <c r="H8818"/>
  <c r="AI8818"/>
  <c r="B8819"/>
  <c r="H8819"/>
  <c r="AI8819"/>
  <c r="B8820"/>
  <c r="H8820"/>
  <c r="AI8820"/>
  <c r="B8821"/>
  <c r="H8821"/>
  <c r="AI8821"/>
  <c r="B8822"/>
  <c r="H8822"/>
  <c r="AI8822"/>
  <c r="B8823"/>
  <c r="H8823"/>
  <c r="AI8823"/>
  <c r="B8824"/>
  <c r="H8824"/>
  <c r="AI8824"/>
  <c r="B8825"/>
  <c r="H8825"/>
  <c r="AI8825"/>
  <c r="B8826"/>
  <c r="H8826"/>
  <c r="AI8826"/>
  <c r="B8827"/>
  <c r="H8827"/>
  <c r="AI8827"/>
  <c r="B8828"/>
  <c r="H8828"/>
  <c r="AI8828"/>
  <c r="B8829"/>
  <c r="H8829"/>
  <c r="AI8829"/>
  <c r="B8830"/>
  <c r="H8830"/>
  <c r="AI8830"/>
  <c r="B8831"/>
  <c r="H8831"/>
  <c r="AI8831"/>
  <c r="B8832"/>
  <c r="H8832"/>
  <c r="AI8832"/>
  <c r="B8833"/>
  <c r="H8833"/>
  <c r="AI8833"/>
  <c r="B8834"/>
  <c r="H8834"/>
  <c r="AI8834"/>
  <c r="B8835"/>
  <c r="H8835"/>
  <c r="AI8835"/>
  <c r="B8836"/>
  <c r="H8836"/>
  <c r="AI8836"/>
  <c r="B8837"/>
  <c r="H8837"/>
  <c r="AI8837"/>
  <c r="B8838"/>
  <c r="H8838"/>
  <c r="AI8838"/>
  <c r="B8839"/>
  <c r="H8839"/>
  <c r="AI8839"/>
  <c r="B8840"/>
  <c r="H8840"/>
  <c r="AI8840"/>
  <c r="B8841"/>
  <c r="H8841"/>
  <c r="AI8841"/>
  <c r="B8842"/>
  <c r="H8842"/>
  <c r="AI8842"/>
  <c r="B8843"/>
  <c r="H8843"/>
  <c r="AI8843"/>
  <c r="B8844"/>
  <c r="H8844"/>
  <c r="AI8844"/>
  <c r="B8845"/>
  <c r="H8845"/>
  <c r="AI8845"/>
  <c r="B8846"/>
  <c r="H8846"/>
  <c r="AI8846"/>
  <c r="B8847"/>
  <c r="H8847"/>
  <c r="AI8847"/>
  <c r="B8848"/>
  <c r="H8848"/>
  <c r="AI8848"/>
  <c r="B8849"/>
  <c r="H8849"/>
  <c r="AI8849"/>
  <c r="B8850"/>
  <c r="H8850"/>
  <c r="AI8850"/>
  <c r="B8851"/>
  <c r="H8851"/>
  <c r="AI8851"/>
  <c r="B8852"/>
  <c r="H8852"/>
  <c r="AI8852"/>
  <c r="B8853"/>
  <c r="H8853"/>
  <c r="AI8853"/>
  <c r="B8854"/>
  <c r="H8854"/>
  <c r="AI8854"/>
  <c r="B8855"/>
  <c r="H8855"/>
  <c r="AI8855"/>
  <c r="B8856"/>
  <c r="H8856"/>
  <c r="AI8856"/>
  <c r="B8857"/>
  <c r="H8857"/>
  <c r="AI8857"/>
  <c r="B8858"/>
  <c r="H8858"/>
  <c r="AI8858"/>
  <c r="B8859"/>
  <c r="H8859"/>
  <c r="AI8859"/>
  <c r="B8860"/>
  <c r="H8860"/>
  <c r="AI8860"/>
  <c r="B8861"/>
  <c r="H8861"/>
  <c r="AI8861"/>
  <c r="B8862"/>
  <c r="H8862"/>
  <c r="AI8862"/>
  <c r="B8863"/>
  <c r="H8863"/>
  <c r="AI8863"/>
  <c r="B8864"/>
  <c r="H8864"/>
  <c r="AI8864"/>
  <c r="B8865"/>
  <c r="H8865"/>
  <c r="AI8865"/>
  <c r="B8866"/>
  <c r="H8866"/>
  <c r="AI8866"/>
  <c r="B8867"/>
  <c r="H8867"/>
  <c r="AI8867"/>
  <c r="B8868"/>
  <c r="H8868"/>
  <c r="AI8868"/>
  <c r="B8869"/>
  <c r="H8869"/>
  <c r="AI8869"/>
  <c r="B8870"/>
  <c r="H8870"/>
  <c r="AI8870"/>
  <c r="B8871"/>
  <c r="H8871"/>
  <c r="AI8871"/>
  <c r="B8872"/>
  <c r="H8872"/>
  <c r="AI8872"/>
  <c r="B8873"/>
  <c r="H8873"/>
  <c r="AI8873"/>
  <c r="B8874"/>
  <c r="H8874"/>
  <c r="AI8874"/>
  <c r="B8875"/>
  <c r="H8875"/>
  <c r="AI8875"/>
  <c r="B8876"/>
  <c r="H8876"/>
  <c r="AI8876"/>
  <c r="B8877"/>
  <c r="H8877"/>
  <c r="AI8877"/>
  <c r="B8878"/>
  <c r="H8878"/>
  <c r="AI8878"/>
  <c r="B8879"/>
  <c r="H8879"/>
  <c r="AI8879"/>
  <c r="B8880"/>
  <c r="H8880"/>
  <c r="AI8880"/>
  <c r="B8881"/>
  <c r="H8881"/>
  <c r="AI8881"/>
  <c r="B8882"/>
  <c r="H8882"/>
  <c r="AI8882"/>
  <c r="B8883"/>
  <c r="H8883"/>
  <c r="AI8883"/>
  <c r="B8884"/>
  <c r="H8884"/>
  <c r="AI8884"/>
  <c r="B8885"/>
  <c r="H8885"/>
  <c r="AI8885"/>
  <c r="B8886"/>
  <c r="H8886"/>
  <c r="AI8886"/>
  <c r="B8887"/>
  <c r="H8887"/>
  <c r="AI8887"/>
  <c r="B8888"/>
  <c r="H8888"/>
  <c r="AI8888"/>
  <c r="B8889"/>
  <c r="H8889"/>
  <c r="AI8889"/>
  <c r="B8890"/>
  <c r="H8890"/>
  <c r="AI8890"/>
  <c r="B8891"/>
  <c r="H8891"/>
  <c r="AI8891"/>
  <c r="B8892"/>
  <c r="H8892"/>
  <c r="AI8892"/>
  <c r="B8893"/>
  <c r="H8893"/>
  <c r="AI8893"/>
  <c r="B8894"/>
  <c r="H8894"/>
  <c r="AI8894"/>
  <c r="B8895"/>
  <c r="H8895"/>
  <c r="AI8895"/>
  <c r="B8896"/>
  <c r="H8896"/>
  <c r="AI8896"/>
  <c r="B8897"/>
  <c r="H8897"/>
  <c r="AI8897"/>
  <c r="B8898"/>
  <c r="H8898"/>
  <c r="AI8898"/>
  <c r="B8899"/>
  <c r="H8899"/>
  <c r="AI8899"/>
  <c r="B8900"/>
  <c r="H8900"/>
  <c r="AI8900"/>
  <c r="B8901"/>
  <c r="H8901"/>
  <c r="AI8901"/>
  <c r="B8902"/>
  <c r="H8902"/>
  <c r="AI8902"/>
  <c r="B8903"/>
  <c r="H8903"/>
  <c r="AI8903"/>
  <c r="B8904"/>
  <c r="H8904"/>
  <c r="AI8904"/>
  <c r="B8905"/>
  <c r="H8905"/>
  <c r="AI8905"/>
  <c r="B8906"/>
  <c r="H8906"/>
  <c r="AI8906"/>
  <c r="B8907"/>
  <c r="H8907"/>
  <c r="AI8907"/>
  <c r="B8908"/>
  <c r="H8908"/>
  <c r="AI8908"/>
  <c r="B8909"/>
  <c r="H8909"/>
  <c r="AI8909"/>
  <c r="B8910"/>
  <c r="H8910"/>
  <c r="AI8910"/>
  <c r="B8911"/>
  <c r="H8911"/>
  <c r="AI8911"/>
  <c r="B8912"/>
  <c r="H8912"/>
  <c r="AI8912"/>
  <c r="B8913"/>
  <c r="H8913"/>
  <c r="AI8913"/>
  <c r="B8914"/>
  <c r="H8914"/>
  <c r="AI8914"/>
  <c r="B8915"/>
  <c r="H8915"/>
  <c r="AI8915"/>
  <c r="B8916"/>
  <c r="H8916"/>
  <c r="AI8916"/>
  <c r="B8917"/>
  <c r="H8917"/>
  <c r="AI8917"/>
  <c r="B8918"/>
  <c r="H8918"/>
  <c r="AI8918"/>
  <c r="B8919"/>
  <c r="H8919"/>
  <c r="AI8919"/>
  <c r="B8920"/>
  <c r="H8920"/>
  <c r="AI8920"/>
  <c r="B8921"/>
  <c r="H8921"/>
  <c r="AI8921"/>
  <c r="B8922"/>
  <c r="H8922"/>
  <c r="AI8922"/>
  <c r="B8923"/>
  <c r="H8923"/>
  <c r="AI8923"/>
  <c r="B8924"/>
  <c r="H8924"/>
  <c r="AI8924"/>
  <c r="B8925"/>
  <c r="H8925"/>
  <c r="AI8925"/>
  <c r="B8926"/>
  <c r="H8926"/>
  <c r="AI8926"/>
  <c r="B8927"/>
  <c r="H8927"/>
  <c r="AI8927"/>
  <c r="B8928"/>
  <c r="H8928"/>
  <c r="AI8928"/>
  <c r="B8929"/>
  <c r="H8929"/>
  <c r="AI8929"/>
  <c r="B8930"/>
  <c r="H8930"/>
  <c r="AI8930"/>
  <c r="B8931"/>
  <c r="H8931"/>
  <c r="AI8931"/>
  <c r="B8932"/>
  <c r="H8932"/>
  <c r="AI8932"/>
  <c r="B8933"/>
  <c r="H8933"/>
  <c r="AI8933"/>
  <c r="B8934"/>
  <c r="H8934"/>
  <c r="AI8934"/>
  <c r="B8935"/>
  <c r="H8935"/>
  <c r="AI8935"/>
  <c r="B8936"/>
  <c r="H8936"/>
  <c r="AI8936"/>
  <c r="B8937"/>
  <c r="H8937"/>
  <c r="AI8937"/>
  <c r="B8938"/>
  <c r="H8938"/>
  <c r="AI8938"/>
  <c r="B8939"/>
  <c r="H8939"/>
  <c r="AI8939"/>
  <c r="B8940"/>
  <c r="H8940"/>
  <c r="AI8940"/>
  <c r="B8941"/>
  <c r="H8941"/>
  <c r="AI8941"/>
  <c r="B8942"/>
  <c r="H8942"/>
  <c r="AI8942"/>
  <c r="B8943"/>
  <c r="H8943"/>
  <c r="AI8943"/>
  <c r="B8944"/>
  <c r="H8944"/>
  <c r="AI8944"/>
  <c r="B8945"/>
  <c r="H8945"/>
  <c r="AI8945"/>
  <c r="B8946"/>
  <c r="H8946"/>
  <c r="AI8946"/>
  <c r="B8947"/>
  <c r="H8947"/>
  <c r="AI8947"/>
  <c r="B8948"/>
  <c r="H8948"/>
  <c r="AI8948"/>
  <c r="B8949"/>
  <c r="H8949"/>
  <c r="AI8949"/>
  <c r="B8950"/>
  <c r="H8950"/>
  <c r="AI8950"/>
  <c r="B8951"/>
  <c r="H8951"/>
  <c r="AI8951"/>
  <c r="B8952"/>
  <c r="H8952"/>
  <c r="AI8952"/>
  <c r="B8953"/>
  <c r="H8953"/>
  <c r="AI8953"/>
  <c r="B8954"/>
  <c r="H8954"/>
  <c r="AI8954"/>
  <c r="B8955"/>
  <c r="H8955"/>
  <c r="AI8955"/>
  <c r="B8956"/>
  <c r="H8956"/>
  <c r="AI8956"/>
  <c r="B8957"/>
  <c r="H8957"/>
  <c r="AI8957"/>
  <c r="B8958"/>
  <c r="H8958"/>
  <c r="AI8958"/>
  <c r="B8959"/>
  <c r="H8959"/>
  <c r="AI8959"/>
  <c r="B8960"/>
  <c r="H8960"/>
  <c r="AI8960"/>
  <c r="B8961"/>
  <c r="H8961"/>
  <c r="AI8961"/>
  <c r="B8962"/>
  <c r="H8962"/>
  <c r="AI8962"/>
  <c r="B8963"/>
  <c r="H8963"/>
  <c r="AI8963"/>
  <c r="B8964"/>
  <c r="H8964"/>
  <c r="AI8964"/>
  <c r="B8965"/>
  <c r="H8965"/>
  <c r="AI8965"/>
  <c r="B8966"/>
  <c r="H8966"/>
  <c r="AI8966"/>
  <c r="B8967"/>
  <c r="H8967"/>
  <c r="AI8967"/>
  <c r="B8968"/>
  <c r="H8968"/>
  <c r="AI8968"/>
  <c r="B8969"/>
  <c r="H8969"/>
  <c r="AI8969"/>
  <c r="B8970"/>
  <c r="H8970"/>
  <c r="AI8970"/>
  <c r="B8971"/>
  <c r="H8971"/>
  <c r="AI8971"/>
  <c r="B8972"/>
  <c r="H8972"/>
  <c r="AI8972"/>
  <c r="B8973"/>
  <c r="H8973"/>
  <c r="AI8973"/>
  <c r="B8974"/>
  <c r="H8974"/>
  <c r="AI8974"/>
  <c r="B8975"/>
  <c r="H8975"/>
  <c r="AI8975"/>
  <c r="B8976"/>
  <c r="H8976"/>
  <c r="AI8976"/>
  <c r="B8977"/>
  <c r="H8977"/>
  <c r="AI8977"/>
  <c r="B8978"/>
  <c r="H8978"/>
  <c r="AI8978"/>
  <c r="B8979"/>
  <c r="H8979"/>
  <c r="AI8979"/>
  <c r="B8980"/>
  <c r="H8980"/>
  <c r="AI8980"/>
  <c r="B8981"/>
  <c r="H8981"/>
  <c r="AI8981"/>
  <c r="B8982"/>
  <c r="H8982"/>
  <c r="AI8982"/>
  <c r="B8983"/>
  <c r="H8983"/>
  <c r="AI8983"/>
  <c r="B8984"/>
  <c r="H8984"/>
  <c r="AI8984"/>
  <c r="B8985"/>
  <c r="H8985"/>
  <c r="AI8985"/>
  <c r="B8986"/>
  <c r="H8986"/>
  <c r="AI8986"/>
  <c r="B8987"/>
  <c r="H8987"/>
  <c r="AI8987"/>
  <c r="B8988"/>
  <c r="H8988"/>
  <c r="AI8988"/>
  <c r="B8989"/>
  <c r="H8989"/>
  <c r="AI8989"/>
  <c r="B8990"/>
  <c r="H8990"/>
  <c r="AI8990"/>
  <c r="B8991"/>
  <c r="H8991"/>
  <c r="AI8991"/>
  <c r="B8992"/>
  <c r="H8992"/>
  <c r="AI8992"/>
  <c r="B8993"/>
  <c r="H8993"/>
  <c r="AI8993"/>
  <c r="B8994"/>
  <c r="H8994"/>
  <c r="AI8994"/>
  <c r="B8995"/>
  <c r="H8995"/>
  <c r="AI8995"/>
  <c r="B8996"/>
  <c r="H8996"/>
  <c r="AI8996"/>
  <c r="B8997"/>
  <c r="H8997"/>
  <c r="AI8997"/>
  <c r="B8998"/>
  <c r="H8998"/>
  <c r="AI8998"/>
  <c r="B8999"/>
  <c r="H8999"/>
  <c r="AI8999"/>
  <c r="B9000"/>
  <c r="H9000"/>
  <c r="AI9000"/>
  <c r="B9001"/>
  <c r="H9001"/>
  <c r="AI9001"/>
  <c r="B9002"/>
  <c r="H9002"/>
  <c r="AI9002"/>
  <c r="B9003"/>
  <c r="H9003"/>
  <c r="AI9003"/>
  <c r="B9004"/>
  <c r="H9004"/>
  <c r="AI9004"/>
  <c r="B9005"/>
  <c r="H9005"/>
  <c r="AI9005"/>
  <c r="B9006"/>
  <c r="H9006"/>
  <c r="AI9006"/>
  <c r="B9007"/>
  <c r="H9007"/>
  <c r="AI9007"/>
  <c r="B9008"/>
  <c r="H9008"/>
  <c r="AI9008"/>
  <c r="B9009"/>
  <c r="H9009"/>
  <c r="AI9009"/>
  <c r="B9010"/>
  <c r="H9010"/>
  <c r="AI9010"/>
  <c r="B9011"/>
  <c r="H9011"/>
  <c r="AI9011"/>
  <c r="B9012"/>
  <c r="H9012"/>
  <c r="AI9012"/>
  <c r="B9013"/>
  <c r="H9013"/>
  <c r="AI9013"/>
  <c r="B9014"/>
  <c r="H9014"/>
  <c r="AI9014"/>
  <c r="B9015"/>
  <c r="H9015"/>
  <c r="AI9015"/>
  <c r="B9016"/>
  <c r="H9016"/>
  <c r="AI9016"/>
  <c r="B9017"/>
  <c r="H9017"/>
  <c r="AI9017"/>
  <c r="B9018"/>
  <c r="H9018"/>
  <c r="AI9018"/>
  <c r="B9019"/>
  <c r="H9019"/>
  <c r="AI9019"/>
  <c r="B9020"/>
  <c r="H9020"/>
  <c r="AI9020"/>
  <c r="B9021"/>
  <c r="H9021"/>
  <c r="AI9021"/>
  <c r="B9022"/>
  <c r="H9022"/>
  <c r="AI9022"/>
  <c r="B9023"/>
  <c r="H9023"/>
  <c r="AI9023"/>
  <c r="B9024"/>
  <c r="H9024"/>
  <c r="AI9024"/>
  <c r="B9025"/>
  <c r="H9025"/>
  <c r="AI9025"/>
  <c r="B9026"/>
  <c r="H9026"/>
  <c r="AI9026"/>
  <c r="B9027"/>
  <c r="H9027"/>
  <c r="AI9027"/>
  <c r="B9028"/>
  <c r="H9028"/>
  <c r="AI9028"/>
  <c r="B9029"/>
  <c r="H9029"/>
  <c r="AI9029"/>
  <c r="B9030"/>
  <c r="H9030"/>
  <c r="AI9030"/>
  <c r="B9031"/>
  <c r="H9031"/>
  <c r="AI9031"/>
  <c r="B9032"/>
  <c r="H9032"/>
  <c r="AI9032"/>
  <c r="B9033"/>
  <c r="H9033"/>
  <c r="AI9033"/>
  <c r="B9034"/>
  <c r="H9034"/>
  <c r="AI9034"/>
  <c r="B9035"/>
  <c r="H9035"/>
  <c r="AI9035"/>
  <c r="B9036"/>
  <c r="H9036"/>
  <c r="AI9036"/>
  <c r="B9037"/>
  <c r="H9037"/>
  <c r="AI9037"/>
  <c r="B9038"/>
  <c r="H9038"/>
  <c r="AI9038"/>
  <c r="B9039"/>
  <c r="H9039"/>
  <c r="AI9039"/>
  <c r="B9040"/>
  <c r="H9040"/>
  <c r="AI9040"/>
  <c r="B9041"/>
  <c r="H9041"/>
  <c r="AI9041"/>
  <c r="B9042"/>
  <c r="H9042"/>
  <c r="AI9042"/>
  <c r="B9043"/>
  <c r="H9043"/>
  <c r="AI9043"/>
  <c r="B9044"/>
  <c r="H9044"/>
  <c r="AI9044"/>
  <c r="B9045"/>
  <c r="H9045"/>
  <c r="AI9045"/>
  <c r="B9046"/>
  <c r="H9046"/>
  <c r="AI9046"/>
  <c r="B9047"/>
  <c r="H9047"/>
  <c r="AI9047"/>
  <c r="B9048"/>
  <c r="H9048"/>
  <c r="AI9048"/>
  <c r="B9049"/>
  <c r="H9049"/>
  <c r="AI9049"/>
  <c r="B9050"/>
  <c r="H9050"/>
  <c r="AI9050"/>
  <c r="B9051"/>
  <c r="H9051"/>
  <c r="AI9051"/>
  <c r="B9052"/>
  <c r="H9052"/>
  <c r="AI9052"/>
  <c r="B9053"/>
  <c r="H9053"/>
  <c r="AI9053"/>
  <c r="B9054"/>
  <c r="H9054"/>
  <c r="AI9054"/>
  <c r="B9055"/>
  <c r="H9055"/>
  <c r="AI9055"/>
  <c r="B9056"/>
  <c r="H9056"/>
  <c r="AI9056"/>
  <c r="B9057"/>
  <c r="H9057"/>
  <c r="AI9057"/>
  <c r="B9058"/>
  <c r="H9058"/>
  <c r="AI9058"/>
  <c r="B9059"/>
  <c r="H9059"/>
  <c r="AI9059"/>
  <c r="B9060"/>
  <c r="H9060"/>
  <c r="AI9060"/>
  <c r="B9061"/>
  <c r="H9061"/>
  <c r="AI9061"/>
  <c r="B9062"/>
  <c r="H9062"/>
  <c r="AI9062"/>
  <c r="B9063"/>
  <c r="H9063"/>
  <c r="AI9063"/>
  <c r="B9064"/>
  <c r="H9064"/>
  <c r="AI9064"/>
  <c r="B9065"/>
  <c r="H9065"/>
  <c r="AI9065"/>
  <c r="B9066"/>
  <c r="H9066"/>
  <c r="AI9066"/>
  <c r="B9067"/>
  <c r="H9067"/>
  <c r="AI9067"/>
  <c r="B9068"/>
  <c r="H9068"/>
  <c r="AI9068"/>
  <c r="B9069"/>
  <c r="H9069"/>
  <c r="AI9069"/>
  <c r="B9070"/>
  <c r="H9070"/>
  <c r="AI9070"/>
  <c r="B9071"/>
  <c r="H9071"/>
  <c r="AI9071"/>
  <c r="B9072"/>
  <c r="H9072"/>
  <c r="AI9072"/>
  <c r="B9073"/>
  <c r="H9073"/>
  <c r="AI9073"/>
  <c r="B9074"/>
  <c r="H9074"/>
  <c r="AI9074"/>
  <c r="B9075"/>
  <c r="H9075"/>
  <c r="AI9075"/>
  <c r="B9076"/>
  <c r="H9076"/>
  <c r="AI9076"/>
  <c r="B9077"/>
  <c r="H9077"/>
  <c r="AI9077"/>
  <c r="B9078"/>
  <c r="H9078"/>
  <c r="AI9078"/>
  <c r="B9079"/>
  <c r="H9079"/>
  <c r="AI9079"/>
  <c r="B9080"/>
  <c r="H9080"/>
  <c r="AI9080"/>
  <c r="B9081"/>
  <c r="H9081"/>
  <c r="AI9081"/>
  <c r="B9082"/>
  <c r="H9082"/>
  <c r="AI9082"/>
  <c r="B9083"/>
  <c r="H9083"/>
  <c r="AI9083"/>
  <c r="B9084"/>
  <c r="H9084"/>
  <c r="AI9084"/>
  <c r="B9085"/>
  <c r="H9085"/>
  <c r="AI9085"/>
  <c r="B9086"/>
  <c r="H9086"/>
  <c r="AI9086"/>
  <c r="B9087"/>
  <c r="H9087"/>
  <c r="AI9087"/>
  <c r="B9088"/>
  <c r="H9088"/>
  <c r="AI9088"/>
  <c r="B9089"/>
  <c r="H9089"/>
  <c r="AI9089"/>
  <c r="B9090"/>
  <c r="H9090"/>
  <c r="AI9090"/>
  <c r="B9091"/>
  <c r="H9091"/>
  <c r="AI9091"/>
  <c r="B9092"/>
  <c r="H9092"/>
  <c r="AI9092"/>
  <c r="B9093"/>
  <c r="H9093"/>
  <c r="AI9093"/>
  <c r="B9094"/>
  <c r="H9094"/>
  <c r="AI9094"/>
  <c r="B9095"/>
  <c r="H9095"/>
  <c r="AI9095"/>
  <c r="B9096"/>
  <c r="H9096"/>
  <c r="AI9096"/>
  <c r="B9097"/>
  <c r="H9097"/>
  <c r="AI9097"/>
  <c r="B9098"/>
  <c r="H9098"/>
  <c r="AI9098"/>
  <c r="B9099"/>
  <c r="H9099"/>
  <c r="AI9099"/>
  <c r="B9100"/>
  <c r="H9100"/>
  <c r="AI9100"/>
  <c r="B9101"/>
  <c r="H9101"/>
  <c r="AI9101"/>
  <c r="B9102"/>
  <c r="H9102"/>
  <c r="AI9102"/>
  <c r="B9103"/>
  <c r="H9103"/>
  <c r="AI9103"/>
  <c r="B9104"/>
  <c r="H9104"/>
  <c r="AI9104"/>
  <c r="B9105"/>
  <c r="H9105"/>
  <c r="AI9105"/>
  <c r="B9106"/>
  <c r="H9106"/>
  <c r="AI9106"/>
  <c r="B9107"/>
  <c r="H9107"/>
  <c r="AI9107"/>
  <c r="B9108"/>
  <c r="H9108"/>
  <c r="AI9108"/>
  <c r="B9109"/>
  <c r="H9109"/>
  <c r="AI9109"/>
  <c r="B9110"/>
  <c r="H9110"/>
  <c r="AI9110"/>
  <c r="B9111"/>
  <c r="H9111"/>
  <c r="AI9111"/>
  <c r="B9112"/>
  <c r="H9112"/>
  <c r="AI9112"/>
  <c r="B9113"/>
  <c r="H9113"/>
  <c r="AI9113"/>
  <c r="B9114"/>
  <c r="H9114"/>
  <c r="AI9114"/>
  <c r="B9115"/>
  <c r="H9115"/>
  <c r="AI9115"/>
  <c r="B9116"/>
  <c r="H9116"/>
  <c r="AI9116"/>
  <c r="B9117"/>
  <c r="H9117"/>
  <c r="AI9117"/>
  <c r="B9118"/>
  <c r="H9118"/>
  <c r="AI9118"/>
  <c r="B9119"/>
  <c r="H9119"/>
  <c r="AI9119"/>
  <c r="B9120"/>
  <c r="H9120"/>
  <c r="AI9120"/>
  <c r="B9121"/>
  <c r="H9121"/>
  <c r="AI9121"/>
  <c r="B9122"/>
  <c r="H9122"/>
  <c r="AI9122"/>
  <c r="B9123"/>
  <c r="H9123"/>
  <c r="AI9123"/>
  <c r="B9124"/>
  <c r="H9124"/>
  <c r="AI9124"/>
  <c r="B9125"/>
  <c r="H9125"/>
  <c r="AI9125"/>
  <c r="B9126"/>
  <c r="H9126"/>
  <c r="AI9126"/>
  <c r="B9127"/>
  <c r="H9127"/>
  <c r="AI9127"/>
  <c r="B9128"/>
  <c r="H9128"/>
  <c r="AI9128"/>
  <c r="B9129"/>
  <c r="H9129"/>
  <c r="AI9129"/>
  <c r="B9130"/>
  <c r="H9130"/>
  <c r="AI9130"/>
  <c r="B9131"/>
  <c r="H9131"/>
  <c r="AI9131"/>
  <c r="B9132"/>
  <c r="H9132"/>
  <c r="AI9132"/>
  <c r="B9133"/>
  <c r="H9133"/>
  <c r="AI9133"/>
  <c r="B9134"/>
  <c r="H9134"/>
  <c r="AI9134"/>
  <c r="B9135"/>
  <c r="H9135"/>
  <c r="AI9135"/>
  <c r="B9136"/>
  <c r="H9136"/>
  <c r="AI9136"/>
  <c r="B9137"/>
  <c r="H9137"/>
  <c r="AI9137"/>
  <c r="B9138"/>
  <c r="H9138"/>
  <c r="AI9138"/>
  <c r="B9139"/>
  <c r="H9139"/>
  <c r="AI9139"/>
  <c r="B9140"/>
  <c r="H9140"/>
  <c r="AI9140"/>
  <c r="B9141"/>
  <c r="H9141"/>
  <c r="AI9141"/>
  <c r="B9142"/>
  <c r="H9142"/>
  <c r="AI9142"/>
  <c r="B9143"/>
  <c r="H9143"/>
  <c r="AI9143"/>
  <c r="B9144"/>
  <c r="H9144"/>
  <c r="AI9144"/>
  <c r="B9145"/>
  <c r="H9145"/>
  <c r="AI9145"/>
  <c r="B9146"/>
  <c r="H9146"/>
  <c r="AI9146"/>
  <c r="B9147"/>
  <c r="H9147"/>
  <c r="AI9147"/>
  <c r="B9148"/>
  <c r="H9148"/>
  <c r="AI9148"/>
  <c r="B9149"/>
  <c r="H9149"/>
  <c r="AI9149"/>
  <c r="B9150"/>
  <c r="H9150"/>
  <c r="AI9150"/>
  <c r="B9151"/>
  <c r="H9151"/>
  <c r="AI9151"/>
  <c r="B9152"/>
  <c r="H9152"/>
  <c r="AI9152"/>
  <c r="B9153"/>
  <c r="H9153"/>
  <c r="AI9153"/>
  <c r="B9154"/>
  <c r="H9154"/>
  <c r="AI9154"/>
  <c r="B9155"/>
  <c r="H9155"/>
  <c r="AI9155"/>
  <c r="B9156"/>
  <c r="H9156"/>
  <c r="AI9156"/>
  <c r="B9157"/>
  <c r="H9157"/>
  <c r="AI9157"/>
  <c r="B9158"/>
  <c r="H9158"/>
  <c r="AI9158"/>
  <c r="B9159"/>
  <c r="H9159"/>
  <c r="AI9159"/>
  <c r="B9160"/>
  <c r="H9160"/>
  <c r="AI9160"/>
  <c r="B9161"/>
  <c r="H9161"/>
  <c r="AI9161"/>
  <c r="B9162"/>
  <c r="H9162"/>
  <c r="AI9162"/>
  <c r="B9163"/>
  <c r="H9163"/>
  <c r="AI9163"/>
  <c r="B9164"/>
  <c r="H9164"/>
  <c r="AI9164"/>
  <c r="B9165"/>
  <c r="H9165"/>
  <c r="AI9165"/>
  <c r="B9166"/>
  <c r="H9166"/>
  <c r="AI9166"/>
  <c r="B9167"/>
  <c r="H9167"/>
  <c r="AI9167"/>
  <c r="B9168"/>
  <c r="H9168"/>
  <c r="AI9168"/>
  <c r="B9169"/>
  <c r="H9169"/>
  <c r="AI9169"/>
  <c r="B9170"/>
  <c r="H9170"/>
  <c r="AI9170"/>
  <c r="B9171"/>
  <c r="H9171"/>
  <c r="AI9171"/>
  <c r="B9172"/>
  <c r="H9172"/>
  <c r="AI9172"/>
  <c r="B9173"/>
  <c r="H9173"/>
  <c r="AI9173"/>
  <c r="B9174"/>
  <c r="H9174"/>
  <c r="AI9174"/>
  <c r="B9175"/>
  <c r="H9175"/>
  <c r="AI9175"/>
  <c r="B9176"/>
  <c r="H9176"/>
  <c r="AI9176"/>
  <c r="B9177"/>
  <c r="H9177"/>
  <c r="AI9177"/>
  <c r="B9178"/>
  <c r="H9178"/>
  <c r="AI9178"/>
  <c r="B9179"/>
  <c r="H9179"/>
  <c r="AI9179"/>
  <c r="B9180"/>
  <c r="H9180"/>
  <c r="AI9180"/>
  <c r="B9181"/>
  <c r="H9181"/>
  <c r="AI9181"/>
  <c r="B9182"/>
  <c r="H9182"/>
  <c r="AI9182"/>
  <c r="B9183"/>
  <c r="H9183"/>
  <c r="AI9183"/>
  <c r="B9184"/>
  <c r="H9184"/>
  <c r="AI9184"/>
  <c r="B9185"/>
  <c r="H9185"/>
  <c r="AI9185"/>
  <c r="B9186"/>
  <c r="H9186"/>
  <c r="AI9186"/>
  <c r="B9187"/>
  <c r="H9187"/>
  <c r="AI9187"/>
  <c r="B9188"/>
  <c r="H9188"/>
  <c r="AI9188"/>
  <c r="B9189"/>
  <c r="H9189"/>
  <c r="AI9189"/>
  <c r="B9190"/>
  <c r="H9190"/>
  <c r="AI9190"/>
  <c r="B9191"/>
  <c r="H9191"/>
  <c r="AI9191"/>
  <c r="B9192"/>
  <c r="H9192"/>
  <c r="AI9192"/>
  <c r="B9193"/>
  <c r="H9193"/>
  <c r="AI9193"/>
  <c r="B9194"/>
  <c r="H9194"/>
  <c r="AI9194"/>
  <c r="B9195"/>
  <c r="H9195"/>
  <c r="AI9195"/>
  <c r="B9196"/>
  <c r="H9196"/>
  <c r="AI9196"/>
  <c r="B9197"/>
  <c r="H9197"/>
  <c r="AI9197"/>
  <c r="B9198"/>
  <c r="H9198"/>
  <c r="AI9198"/>
  <c r="B9199"/>
  <c r="H9199"/>
  <c r="AI9199"/>
  <c r="B9200"/>
  <c r="H9200"/>
  <c r="AI9200"/>
  <c r="B9201"/>
  <c r="H9201"/>
  <c r="AI9201"/>
  <c r="B9202"/>
  <c r="H9202"/>
  <c r="AI9202"/>
  <c r="B9203"/>
  <c r="H9203"/>
  <c r="AI9203"/>
  <c r="B9204"/>
  <c r="H9204"/>
  <c r="AI9204"/>
  <c r="B9205"/>
  <c r="H9205"/>
  <c r="AI9205"/>
  <c r="B9206"/>
  <c r="H9206"/>
  <c r="AI9206"/>
  <c r="B9207"/>
  <c r="H9207"/>
  <c r="AI9207"/>
  <c r="B9208"/>
  <c r="H9208"/>
  <c r="AI9208"/>
  <c r="B9209"/>
  <c r="H9209"/>
  <c r="AI9209"/>
  <c r="B9210"/>
  <c r="H9210"/>
  <c r="AI9210"/>
  <c r="B9211"/>
  <c r="H9211"/>
  <c r="AI9211"/>
  <c r="B9212"/>
  <c r="H9212"/>
  <c r="AI9212"/>
  <c r="B9213"/>
  <c r="H9213"/>
  <c r="AI9213"/>
  <c r="B9214"/>
  <c r="H9214"/>
  <c r="AI9214"/>
  <c r="B9215"/>
  <c r="H9215"/>
  <c r="AI9215"/>
  <c r="B9216"/>
  <c r="H9216"/>
  <c r="AI9216"/>
  <c r="B9217"/>
  <c r="H9217"/>
  <c r="AI9217"/>
  <c r="B9218"/>
  <c r="H9218"/>
  <c r="AI9218"/>
  <c r="B9219"/>
  <c r="H9219"/>
  <c r="AI9219"/>
  <c r="B9220"/>
  <c r="H9220"/>
  <c r="AI9220"/>
  <c r="B9221"/>
  <c r="H9221"/>
  <c r="AI9221"/>
  <c r="B9222"/>
  <c r="H9222"/>
  <c r="AI9222"/>
  <c r="B9223"/>
  <c r="H9223"/>
  <c r="AI9223"/>
  <c r="B9224"/>
  <c r="H9224"/>
  <c r="AI9224"/>
  <c r="B9225"/>
  <c r="H9225"/>
  <c r="AI9225"/>
  <c r="B9226"/>
  <c r="H9226"/>
  <c r="AI9226"/>
  <c r="B9227"/>
  <c r="H9227"/>
  <c r="AI9227"/>
  <c r="B9228"/>
  <c r="H9228"/>
  <c r="AI9228"/>
  <c r="B9229"/>
  <c r="H9229"/>
  <c r="AI9229"/>
  <c r="B9230"/>
  <c r="H9230"/>
  <c r="AI9230"/>
  <c r="B9231"/>
  <c r="H9231"/>
  <c r="AI9231"/>
  <c r="B9232"/>
  <c r="H9232"/>
  <c r="AI9232"/>
  <c r="B9233"/>
  <c r="H9233"/>
  <c r="AI9233"/>
  <c r="B9234"/>
  <c r="H9234"/>
  <c r="AI9234"/>
  <c r="B9235"/>
  <c r="H9235"/>
  <c r="AI9235"/>
  <c r="B9236"/>
  <c r="H9236"/>
  <c r="AI9236"/>
  <c r="B9237"/>
  <c r="H9237"/>
  <c r="AI9237"/>
  <c r="B9238"/>
  <c r="H9238"/>
  <c r="AI9238"/>
  <c r="B9239"/>
  <c r="H9239"/>
  <c r="AI9239"/>
  <c r="B9240"/>
  <c r="H9240"/>
  <c r="AI9240"/>
  <c r="B9241"/>
  <c r="H9241"/>
  <c r="AI9241"/>
  <c r="B9242"/>
  <c r="H9242"/>
  <c r="AI9242"/>
  <c r="B9243"/>
  <c r="H9243"/>
  <c r="AI9243"/>
  <c r="B9244"/>
  <c r="H9244"/>
  <c r="AI9244"/>
  <c r="B9245"/>
  <c r="H9245"/>
  <c r="AI9245"/>
  <c r="B9246"/>
  <c r="H9246"/>
  <c r="AI9246"/>
  <c r="B9247"/>
  <c r="H9247"/>
  <c r="AI9247"/>
  <c r="B9248"/>
  <c r="H9248"/>
  <c r="AI9248"/>
  <c r="B9249"/>
  <c r="H9249"/>
  <c r="AI9249"/>
  <c r="B9250"/>
  <c r="H9250"/>
  <c r="AI9250"/>
  <c r="B9251"/>
  <c r="H9251"/>
  <c r="AI9251"/>
  <c r="B9252"/>
  <c r="H9252"/>
  <c r="AI9252"/>
  <c r="B9253"/>
  <c r="H9253"/>
  <c r="AI9253"/>
  <c r="B9254"/>
  <c r="H9254"/>
  <c r="AI9254"/>
  <c r="B9255"/>
  <c r="H9255"/>
  <c r="AI9255"/>
  <c r="B9256"/>
  <c r="H9256"/>
  <c r="AI9256"/>
  <c r="B9257"/>
  <c r="H9257"/>
  <c r="AI9257"/>
  <c r="B9258"/>
  <c r="H9258"/>
  <c r="AI9258"/>
  <c r="B9259"/>
  <c r="H9259"/>
  <c r="AI9259"/>
  <c r="B9260"/>
  <c r="H9260"/>
  <c r="AI9260"/>
  <c r="B9261"/>
  <c r="H9261"/>
  <c r="AI9261"/>
  <c r="B9262"/>
  <c r="H9262"/>
  <c r="AI9262"/>
  <c r="B9263"/>
  <c r="H9263"/>
  <c r="AI9263"/>
  <c r="B9264"/>
  <c r="H9264"/>
  <c r="AI9264"/>
  <c r="B9265"/>
  <c r="H9265"/>
  <c r="AI9265"/>
  <c r="B9266"/>
  <c r="H9266"/>
  <c r="AI9266"/>
  <c r="B9267"/>
  <c r="H9267"/>
  <c r="AI9267"/>
  <c r="B9268"/>
  <c r="H9268"/>
  <c r="AI9268"/>
  <c r="B9269"/>
  <c r="H9269"/>
  <c r="AI9269"/>
  <c r="B9270"/>
  <c r="H9270"/>
  <c r="AI9270"/>
  <c r="B9271"/>
  <c r="H9271"/>
  <c r="AI9271"/>
  <c r="B9272"/>
  <c r="H9272"/>
  <c r="AI9272"/>
  <c r="B9273"/>
  <c r="H9273"/>
  <c r="AI9273"/>
  <c r="B9274"/>
  <c r="H9274"/>
  <c r="AI9274"/>
  <c r="B9275"/>
  <c r="H9275"/>
  <c r="AI9275"/>
  <c r="B9276"/>
  <c r="H9276"/>
  <c r="AI9276"/>
  <c r="B9277"/>
  <c r="H9277"/>
  <c r="AI9277"/>
  <c r="B9278"/>
  <c r="H9278"/>
  <c r="AI9278"/>
  <c r="B9279"/>
  <c r="H9279"/>
  <c r="AI9279"/>
  <c r="B9280"/>
  <c r="H9280"/>
  <c r="AI9280"/>
  <c r="B9281"/>
  <c r="H9281"/>
  <c r="AI9281"/>
  <c r="B9282"/>
  <c r="H9282"/>
  <c r="AI9282"/>
  <c r="B9283"/>
  <c r="H9283"/>
  <c r="AI9283"/>
  <c r="B9284"/>
  <c r="H9284"/>
  <c r="AI9284"/>
  <c r="B9285"/>
  <c r="H9285"/>
  <c r="AI9285"/>
  <c r="B9286"/>
  <c r="H9286"/>
  <c r="AI9286"/>
  <c r="B9287"/>
  <c r="H9287"/>
  <c r="AI9287"/>
  <c r="B9288"/>
  <c r="H9288"/>
  <c r="AI9288"/>
  <c r="B9289"/>
  <c r="H9289"/>
  <c r="AI9289"/>
  <c r="B9290"/>
  <c r="H9290"/>
  <c r="AI9290"/>
  <c r="B9291"/>
  <c r="H9291"/>
  <c r="AI9291"/>
  <c r="B9292"/>
  <c r="H9292"/>
  <c r="AI9292"/>
  <c r="B9293"/>
  <c r="H9293"/>
  <c r="AI9293"/>
  <c r="B9294"/>
  <c r="H9294"/>
  <c r="AI9294"/>
  <c r="B9295"/>
  <c r="H9295"/>
  <c r="AI9295"/>
  <c r="B9296"/>
  <c r="H9296"/>
  <c r="AI9296"/>
  <c r="B9297"/>
  <c r="H9297"/>
  <c r="AI9297"/>
  <c r="B9298"/>
  <c r="H9298"/>
  <c r="AI9298"/>
  <c r="B9299"/>
  <c r="H9299"/>
  <c r="AI9299"/>
  <c r="B9300"/>
  <c r="H9300"/>
  <c r="AI9300"/>
  <c r="B9301"/>
  <c r="H9301"/>
  <c r="AI9301"/>
  <c r="B9302"/>
  <c r="H9302"/>
  <c r="AI9302"/>
  <c r="B9303"/>
  <c r="H9303"/>
  <c r="AI9303"/>
  <c r="B9304"/>
  <c r="H9304"/>
  <c r="AI9304"/>
  <c r="B9305"/>
  <c r="H9305"/>
  <c r="AI9305"/>
  <c r="B9306"/>
  <c r="H9306"/>
  <c r="AI9306"/>
  <c r="B9307"/>
  <c r="H9307"/>
  <c r="AI9307"/>
  <c r="B9308"/>
  <c r="H9308"/>
  <c r="AI9308"/>
  <c r="B9309"/>
  <c r="H9309"/>
  <c r="AI9309"/>
  <c r="B9310"/>
  <c r="H9310"/>
  <c r="AI9310"/>
  <c r="B9311"/>
  <c r="H9311"/>
  <c r="AI9311"/>
  <c r="B9312"/>
  <c r="H9312"/>
  <c r="AI9312"/>
  <c r="B9313"/>
  <c r="H9313"/>
  <c r="AI9313"/>
  <c r="B9314"/>
  <c r="H9314"/>
  <c r="AI9314"/>
  <c r="B9315"/>
  <c r="H9315"/>
  <c r="AI9315"/>
  <c r="B9316"/>
  <c r="H9316"/>
  <c r="AI9316"/>
  <c r="B9317"/>
  <c r="H9317"/>
  <c r="AI9317"/>
  <c r="B9318"/>
  <c r="H9318"/>
  <c r="AI9318"/>
  <c r="B9319"/>
  <c r="H9319"/>
  <c r="AI9319"/>
  <c r="B9320"/>
  <c r="H9320"/>
  <c r="AI9320"/>
  <c r="B9321"/>
  <c r="H9321"/>
  <c r="AI9321"/>
  <c r="B9322"/>
  <c r="H9322"/>
  <c r="AI9322"/>
  <c r="B9323"/>
  <c r="H9323"/>
  <c r="AI9323"/>
  <c r="B9324"/>
  <c r="H9324"/>
  <c r="AI9324"/>
  <c r="B9325"/>
  <c r="H9325"/>
  <c r="AI9325"/>
  <c r="B9326"/>
  <c r="H9326"/>
  <c r="AI9326"/>
  <c r="B9327"/>
  <c r="H9327"/>
  <c r="AI9327"/>
  <c r="B9328"/>
  <c r="H9328"/>
  <c r="AI9328"/>
  <c r="B9329"/>
  <c r="H9329"/>
  <c r="AI9329"/>
  <c r="B9330"/>
  <c r="H9330"/>
  <c r="AI9330"/>
  <c r="B9331"/>
  <c r="H9331"/>
  <c r="AI9331"/>
  <c r="B9332"/>
  <c r="H9332"/>
  <c r="AI9332"/>
  <c r="B9333"/>
  <c r="H9333"/>
  <c r="AI9333"/>
  <c r="B9334"/>
  <c r="H9334"/>
  <c r="AI9334"/>
  <c r="B9335"/>
  <c r="H9335"/>
  <c r="AI9335"/>
  <c r="B9336"/>
  <c r="H9336"/>
  <c r="AI9336"/>
  <c r="B9337"/>
  <c r="H9337"/>
  <c r="AI9337"/>
  <c r="B9338"/>
  <c r="H9338"/>
  <c r="AI9338"/>
  <c r="B9339"/>
  <c r="H9339"/>
  <c r="AI9339"/>
  <c r="B9340"/>
  <c r="H9340"/>
  <c r="AI9340"/>
  <c r="B9341"/>
  <c r="H9341"/>
  <c r="AI9341"/>
  <c r="B9342"/>
  <c r="H9342"/>
  <c r="AI9342"/>
  <c r="B9343"/>
  <c r="H9343"/>
  <c r="AI9343"/>
  <c r="B9344"/>
  <c r="H9344"/>
  <c r="AI9344"/>
  <c r="B9345"/>
  <c r="H9345"/>
  <c r="AI9345"/>
  <c r="B9346"/>
  <c r="H9346"/>
  <c r="AI9346"/>
  <c r="B9347"/>
  <c r="H9347"/>
  <c r="AI9347"/>
  <c r="B9348"/>
  <c r="H9348"/>
  <c r="AI9348"/>
  <c r="B9349"/>
  <c r="H9349"/>
  <c r="AI9349"/>
  <c r="B9350"/>
  <c r="H9350"/>
  <c r="AI9350"/>
  <c r="B9351"/>
  <c r="H9351"/>
  <c r="AI9351"/>
  <c r="B9352"/>
  <c r="H9352"/>
  <c r="AI9352"/>
  <c r="B9353"/>
  <c r="H9353"/>
  <c r="AI9353"/>
  <c r="B9354"/>
  <c r="H9354"/>
  <c r="AI9354"/>
  <c r="B9355"/>
  <c r="H9355"/>
  <c r="AI9355"/>
  <c r="B9356"/>
  <c r="H9356"/>
  <c r="AI9356"/>
  <c r="B9357"/>
  <c r="H9357"/>
  <c r="AI9357"/>
  <c r="B9358"/>
  <c r="H9358"/>
  <c r="AI9358"/>
  <c r="B9359"/>
  <c r="H9359"/>
  <c r="AI9359"/>
  <c r="B9360"/>
  <c r="H9360"/>
  <c r="AI9360"/>
  <c r="B9361"/>
  <c r="H9361"/>
  <c r="AI9361"/>
  <c r="B9362"/>
  <c r="H9362"/>
  <c r="AI9362"/>
  <c r="B9363"/>
  <c r="H9363"/>
  <c r="AI9363"/>
  <c r="B9364"/>
  <c r="H9364"/>
  <c r="AI9364"/>
  <c r="B9365"/>
  <c r="H9365"/>
  <c r="AI9365"/>
  <c r="B9366"/>
  <c r="H9366"/>
  <c r="AI9366"/>
  <c r="B9367"/>
  <c r="H9367"/>
  <c r="AI9367"/>
  <c r="B9368"/>
  <c r="H9368"/>
  <c r="AI9368"/>
  <c r="B9369"/>
  <c r="H9369"/>
  <c r="AI9369"/>
  <c r="B9370"/>
  <c r="H9370"/>
  <c r="AI9370"/>
  <c r="B9371"/>
  <c r="H9371"/>
  <c r="AI9371"/>
  <c r="B9372"/>
  <c r="H9372"/>
  <c r="AI9372"/>
  <c r="B9373"/>
  <c r="H9373"/>
  <c r="AI9373"/>
  <c r="B9374"/>
  <c r="H9374"/>
  <c r="AI9374"/>
  <c r="B9375"/>
  <c r="H9375"/>
  <c r="AI9375"/>
  <c r="B9376"/>
  <c r="H9376"/>
  <c r="AI9376"/>
  <c r="B9377"/>
  <c r="H9377"/>
  <c r="AI9377"/>
  <c r="B9378"/>
  <c r="H9378"/>
  <c r="AI9378"/>
  <c r="B9379"/>
  <c r="H9379"/>
  <c r="AI9379"/>
  <c r="B9380"/>
  <c r="H9380"/>
  <c r="AI9380"/>
  <c r="B9381"/>
  <c r="H9381"/>
  <c r="AI9381"/>
  <c r="B9382"/>
  <c r="H9382"/>
  <c r="AI9382"/>
  <c r="B9383"/>
  <c r="H9383"/>
  <c r="AI9383"/>
  <c r="B9384"/>
  <c r="H9384"/>
  <c r="AI9384"/>
  <c r="B9385"/>
  <c r="H9385"/>
  <c r="AI9385"/>
  <c r="B9386"/>
  <c r="H9386"/>
  <c r="AI9386"/>
  <c r="B9387"/>
  <c r="H9387"/>
  <c r="AI9387"/>
  <c r="B9388"/>
  <c r="H9388"/>
  <c r="AI9388"/>
  <c r="B9389"/>
  <c r="H9389"/>
  <c r="AI9389"/>
  <c r="B9390"/>
  <c r="H9390"/>
  <c r="AI9390"/>
  <c r="B9391"/>
  <c r="H9391"/>
  <c r="AI9391"/>
  <c r="B9392"/>
  <c r="H9392"/>
  <c r="AI9392"/>
  <c r="B9393"/>
  <c r="H9393"/>
  <c r="AI9393"/>
  <c r="B9394"/>
  <c r="H9394"/>
  <c r="AI9394"/>
  <c r="B9395"/>
  <c r="H9395"/>
  <c r="AI9395"/>
  <c r="B9396"/>
  <c r="H9396"/>
  <c r="AI9396"/>
  <c r="B9397"/>
  <c r="H9397"/>
  <c r="AI9397"/>
  <c r="B9398"/>
  <c r="H9398"/>
  <c r="AI9398"/>
  <c r="B9399"/>
  <c r="H9399"/>
  <c r="AI9399"/>
  <c r="B9400"/>
  <c r="H9400"/>
  <c r="AI9400"/>
  <c r="B9401"/>
  <c r="H9401"/>
  <c r="AI9401"/>
  <c r="B9402"/>
  <c r="H9402"/>
  <c r="AI9402"/>
  <c r="B9403"/>
  <c r="H9403"/>
  <c r="AI9403"/>
  <c r="B9404"/>
  <c r="H9404"/>
  <c r="AI9404"/>
  <c r="B9405"/>
  <c r="H9405"/>
  <c r="AI9405"/>
  <c r="B9406"/>
  <c r="H9406"/>
  <c r="AI9406"/>
  <c r="B9407"/>
  <c r="H9407"/>
  <c r="AI9407"/>
  <c r="B9408"/>
  <c r="H9408"/>
  <c r="AI9408"/>
  <c r="B9409"/>
  <c r="H9409"/>
  <c r="AI9409"/>
  <c r="B9410"/>
  <c r="H9410"/>
  <c r="AI9410"/>
  <c r="B9411"/>
  <c r="H9411"/>
  <c r="AI9411"/>
  <c r="B9412"/>
  <c r="H9412"/>
  <c r="AI9412"/>
  <c r="B9413"/>
  <c r="H9413"/>
  <c r="AI9413"/>
  <c r="B9414"/>
  <c r="H9414"/>
  <c r="AI9414"/>
  <c r="B9415"/>
  <c r="H9415"/>
  <c r="AI9415"/>
  <c r="B9416"/>
  <c r="H9416"/>
  <c r="AI9416"/>
  <c r="B9417"/>
  <c r="H9417"/>
  <c r="AI9417"/>
  <c r="B9418"/>
  <c r="H9418"/>
  <c r="AI9418"/>
  <c r="B9419"/>
  <c r="H9419"/>
  <c r="AI9419"/>
  <c r="B9420"/>
  <c r="H9420"/>
  <c r="AI9420"/>
  <c r="B9421"/>
  <c r="H9421"/>
  <c r="AI9421"/>
  <c r="B9422"/>
  <c r="H9422"/>
  <c r="AI9422"/>
  <c r="B9423"/>
  <c r="H9423"/>
  <c r="AI9423"/>
  <c r="B9424"/>
  <c r="H9424"/>
  <c r="AI9424"/>
  <c r="B9425"/>
  <c r="H9425"/>
  <c r="AI9425"/>
  <c r="B9426"/>
  <c r="H9426"/>
  <c r="AI9426"/>
  <c r="B9427"/>
  <c r="H9427"/>
  <c r="AI9427"/>
  <c r="B9428"/>
  <c r="H9428"/>
  <c r="AI9428"/>
  <c r="B9429"/>
  <c r="H9429"/>
  <c r="AI9429"/>
  <c r="B9430"/>
  <c r="H9430"/>
  <c r="AI9430"/>
  <c r="B9431"/>
  <c r="H9431"/>
  <c r="AI9431"/>
  <c r="B9432"/>
  <c r="H9432"/>
  <c r="AI9432"/>
  <c r="B9433"/>
  <c r="H9433"/>
  <c r="AI9433"/>
  <c r="B9434"/>
  <c r="H9434"/>
  <c r="AI9434"/>
  <c r="B9435"/>
  <c r="H9435"/>
  <c r="AI9435"/>
  <c r="B9436"/>
  <c r="H9436"/>
  <c r="AI9436"/>
  <c r="B9437"/>
  <c r="H9437"/>
  <c r="AI9437"/>
  <c r="B9438"/>
  <c r="H9438"/>
  <c r="AI9438"/>
  <c r="B9439"/>
  <c r="H9439"/>
  <c r="AI9439"/>
  <c r="B9440"/>
  <c r="H9440"/>
  <c r="AI9440"/>
  <c r="B9441"/>
  <c r="H9441"/>
  <c r="AI9441"/>
  <c r="B9442"/>
  <c r="H9442"/>
  <c r="AI9442"/>
  <c r="B9443"/>
  <c r="H9443"/>
  <c r="AI9443"/>
  <c r="B9444"/>
  <c r="H9444"/>
  <c r="AI9444"/>
  <c r="B9445"/>
  <c r="H9445"/>
  <c r="AI9445"/>
  <c r="B9446"/>
  <c r="H9446"/>
  <c r="AI9446"/>
  <c r="B9447"/>
  <c r="H9447"/>
  <c r="AI9447"/>
  <c r="B9448"/>
  <c r="H9448"/>
  <c r="AI9448"/>
  <c r="B9449"/>
  <c r="H9449"/>
  <c r="AI9449"/>
  <c r="B9450"/>
  <c r="H9450"/>
  <c r="AI9450"/>
  <c r="B9451"/>
  <c r="H9451"/>
  <c r="AI9451"/>
  <c r="B9452"/>
  <c r="H9452"/>
  <c r="AI9452"/>
  <c r="B9453"/>
  <c r="H9453"/>
  <c r="AI9453"/>
  <c r="B9454"/>
  <c r="H9454"/>
  <c r="AI9454"/>
  <c r="B9455"/>
  <c r="H9455"/>
  <c r="AI9455"/>
  <c r="B9456"/>
  <c r="H9456"/>
  <c r="AI9456"/>
  <c r="B9457"/>
  <c r="H9457"/>
  <c r="AI9457"/>
  <c r="B9458"/>
  <c r="H9458"/>
  <c r="AI9458"/>
  <c r="B9459"/>
  <c r="H9459"/>
  <c r="AI9459"/>
  <c r="B9460"/>
  <c r="H9460"/>
  <c r="AI9460"/>
  <c r="B9461"/>
  <c r="H9461"/>
  <c r="AI9461"/>
  <c r="B9462"/>
  <c r="H9462"/>
  <c r="AI9462"/>
  <c r="B9463"/>
  <c r="H9463"/>
  <c r="AI9463"/>
  <c r="B9464"/>
  <c r="H9464"/>
  <c r="AI9464"/>
  <c r="B9465"/>
  <c r="H9465"/>
  <c r="AI9465"/>
  <c r="B9466"/>
  <c r="H9466"/>
  <c r="AI9466"/>
  <c r="B9467"/>
  <c r="H9467"/>
  <c r="AI9467"/>
  <c r="B9468"/>
  <c r="H9468"/>
  <c r="AI9468"/>
  <c r="B9469"/>
  <c r="H9469"/>
  <c r="AI9469"/>
  <c r="B9470"/>
  <c r="H9470"/>
  <c r="AI9470"/>
  <c r="B9471"/>
  <c r="H9471"/>
  <c r="AI9471"/>
  <c r="B9472"/>
  <c r="H9472"/>
  <c r="AI9472"/>
  <c r="B9473"/>
  <c r="H9473"/>
  <c r="AI9473"/>
  <c r="B9474"/>
  <c r="H9474"/>
  <c r="AI9474"/>
  <c r="B9475"/>
  <c r="H9475"/>
  <c r="AI9475"/>
  <c r="B9476"/>
  <c r="H9476"/>
  <c r="AI9476"/>
  <c r="B9477"/>
  <c r="H9477"/>
  <c r="AI9477"/>
  <c r="B9478"/>
  <c r="H9478"/>
  <c r="AI9478"/>
  <c r="B9479"/>
  <c r="H9479"/>
  <c r="AI9479"/>
  <c r="B9480"/>
  <c r="H9480"/>
  <c r="AI9480"/>
  <c r="B9481"/>
  <c r="H9481"/>
  <c r="AI9481"/>
  <c r="B9482"/>
  <c r="H9482"/>
  <c r="AI9482"/>
  <c r="B9483"/>
  <c r="H9483"/>
  <c r="AI9483"/>
  <c r="B9484"/>
  <c r="H9484"/>
  <c r="AI9484"/>
  <c r="B9485"/>
  <c r="H9485"/>
  <c r="AI9485"/>
  <c r="B9486"/>
  <c r="H9486"/>
  <c r="AI9486"/>
  <c r="B9487"/>
  <c r="H9487"/>
  <c r="AI9487"/>
  <c r="B9488"/>
  <c r="H9488"/>
  <c r="AI9488"/>
  <c r="B9489"/>
  <c r="H9489"/>
  <c r="AI9489"/>
  <c r="B9490"/>
  <c r="H9490"/>
  <c r="AI9490"/>
  <c r="B9491"/>
  <c r="H9491"/>
  <c r="AI9491"/>
  <c r="B9492"/>
  <c r="H9492"/>
  <c r="AI9492"/>
  <c r="B9493"/>
  <c r="H9493"/>
  <c r="AI9493"/>
  <c r="B9494"/>
  <c r="H9494"/>
  <c r="AI9494"/>
  <c r="B9495"/>
  <c r="H9495"/>
  <c r="AI9495"/>
  <c r="B9496"/>
  <c r="H9496"/>
  <c r="AI9496"/>
  <c r="B9497"/>
  <c r="H9497"/>
  <c r="AI9497"/>
  <c r="B9498"/>
  <c r="H9498"/>
  <c r="AI9498"/>
  <c r="B9499"/>
  <c r="H9499"/>
  <c r="AI9499"/>
  <c r="B9500"/>
  <c r="H9500"/>
  <c r="AI9500"/>
  <c r="B9501"/>
  <c r="H9501"/>
  <c r="AI9501"/>
  <c r="B9502"/>
  <c r="H9502"/>
  <c r="AI9502"/>
  <c r="B9503"/>
  <c r="H9503"/>
  <c r="AI9503"/>
  <c r="B9504"/>
  <c r="H9504"/>
  <c r="AI9504"/>
  <c r="B9505"/>
  <c r="H9505"/>
  <c r="AI9505"/>
  <c r="B9506"/>
  <c r="H9506"/>
  <c r="AI9506"/>
  <c r="B9507"/>
  <c r="H9507"/>
  <c r="AI9507"/>
  <c r="B9508"/>
  <c r="H9508"/>
  <c r="AI9508"/>
  <c r="B9509"/>
  <c r="H9509"/>
  <c r="AI9509"/>
  <c r="B9510"/>
  <c r="H9510"/>
  <c r="AI9510"/>
  <c r="B9511"/>
  <c r="H9511"/>
  <c r="AI9511"/>
  <c r="B9512"/>
  <c r="H9512"/>
  <c r="AI9512"/>
  <c r="B9513"/>
  <c r="H9513"/>
  <c r="AI9513"/>
  <c r="B9514"/>
  <c r="H9514"/>
  <c r="AI9514"/>
  <c r="B9515"/>
  <c r="H9515"/>
  <c r="AI9515"/>
  <c r="B9516"/>
  <c r="H9516"/>
  <c r="AI9516"/>
  <c r="B9517"/>
  <c r="H9517"/>
  <c r="AI9517"/>
  <c r="B9518"/>
  <c r="H9518"/>
  <c r="AI9518"/>
  <c r="B9519"/>
  <c r="H9519"/>
  <c r="AI9519"/>
  <c r="B9520"/>
  <c r="H9520"/>
  <c r="AI9520"/>
  <c r="B9521"/>
  <c r="H9521"/>
  <c r="AI9521"/>
  <c r="B9522"/>
  <c r="H9522"/>
  <c r="AI9522"/>
  <c r="B9523"/>
  <c r="H9523"/>
  <c r="AI9523"/>
  <c r="B9524"/>
  <c r="H9524"/>
  <c r="AI9524"/>
  <c r="B9525"/>
  <c r="H9525"/>
  <c r="AI9525"/>
  <c r="B9526"/>
  <c r="H9526"/>
  <c r="AI9526"/>
  <c r="B9527"/>
  <c r="H9527"/>
  <c r="AI9527"/>
  <c r="B9528"/>
  <c r="H9528"/>
  <c r="AI9528"/>
  <c r="B9529"/>
  <c r="H9529"/>
  <c r="AI9529"/>
  <c r="B9530"/>
  <c r="H9530"/>
  <c r="AI9530"/>
  <c r="B9531"/>
  <c r="H9531"/>
  <c r="AI9531"/>
  <c r="B9532"/>
  <c r="H9532"/>
  <c r="AI9532"/>
  <c r="B9533"/>
  <c r="H9533"/>
  <c r="AI9533"/>
  <c r="B9534"/>
  <c r="H9534"/>
  <c r="AI9534"/>
  <c r="B9535"/>
  <c r="H9535"/>
  <c r="AI9535"/>
  <c r="B9536"/>
  <c r="H9536"/>
  <c r="AI9536"/>
  <c r="B9537"/>
  <c r="H9537"/>
  <c r="AI9537"/>
  <c r="B9538"/>
  <c r="H9538"/>
  <c r="AI9538"/>
  <c r="B9539"/>
  <c r="H9539"/>
  <c r="AI9539"/>
  <c r="B9540"/>
  <c r="H9540"/>
  <c r="AI9540"/>
  <c r="B9541"/>
  <c r="H9541"/>
  <c r="AI9541"/>
  <c r="B9542"/>
  <c r="H9542"/>
  <c r="AI9542"/>
  <c r="B9543"/>
  <c r="H9543"/>
  <c r="AI9543"/>
  <c r="B9544"/>
  <c r="H9544"/>
  <c r="AI9544"/>
  <c r="B9545"/>
  <c r="H9545"/>
  <c r="AI9545"/>
  <c r="B9546"/>
  <c r="H9546"/>
  <c r="AI9546"/>
  <c r="B9547"/>
  <c r="H9547"/>
  <c r="AI9547"/>
  <c r="B9548"/>
  <c r="H9548"/>
  <c r="AI9548"/>
  <c r="B9549"/>
  <c r="H9549"/>
  <c r="AI9549"/>
  <c r="B9550"/>
  <c r="H9550"/>
  <c r="AI9550"/>
  <c r="B9551"/>
  <c r="H9551"/>
  <c r="AI9551"/>
  <c r="B9552"/>
  <c r="H9552"/>
  <c r="AI9552"/>
  <c r="B9553"/>
  <c r="H9553"/>
  <c r="AI9553"/>
  <c r="B9554"/>
  <c r="H9554"/>
  <c r="AI9554"/>
  <c r="B9555"/>
  <c r="H9555"/>
  <c r="AI9555"/>
  <c r="B9556"/>
  <c r="H9556"/>
  <c r="AI9556"/>
  <c r="B9557"/>
  <c r="H9557"/>
  <c r="AI9557"/>
  <c r="B9558"/>
  <c r="H9558"/>
  <c r="AI9558"/>
  <c r="B9559"/>
  <c r="H9559"/>
  <c r="AI9559"/>
  <c r="B9560"/>
  <c r="H9560"/>
  <c r="AI9560"/>
  <c r="B9561"/>
  <c r="H9561"/>
  <c r="AI9561"/>
  <c r="B9562"/>
  <c r="H9562"/>
  <c r="AI9562"/>
  <c r="B9563"/>
  <c r="H9563"/>
  <c r="AI9563"/>
  <c r="B9564"/>
  <c r="H9564"/>
  <c r="AI9564"/>
  <c r="B9565"/>
  <c r="H9565"/>
  <c r="AI9565"/>
  <c r="B9566"/>
  <c r="H9566"/>
  <c r="AI9566"/>
  <c r="B9567"/>
  <c r="H9567"/>
  <c r="AI9567"/>
  <c r="B9568"/>
  <c r="H9568"/>
  <c r="AI9568"/>
  <c r="B9569"/>
  <c r="H9569"/>
  <c r="AI9569"/>
  <c r="B9570"/>
  <c r="H9570"/>
  <c r="AI9570"/>
  <c r="B9571"/>
  <c r="H9571"/>
  <c r="AI9571"/>
  <c r="B9572"/>
  <c r="H9572"/>
  <c r="AI9572"/>
  <c r="B9573"/>
  <c r="H9573"/>
  <c r="AI9573"/>
  <c r="B9574"/>
  <c r="H9574"/>
  <c r="AI9574"/>
  <c r="B9575"/>
  <c r="H9575"/>
  <c r="AI9575"/>
  <c r="B9576"/>
  <c r="H9576"/>
  <c r="AI9576"/>
  <c r="B9577"/>
  <c r="H9577"/>
  <c r="AI9577"/>
  <c r="B9578"/>
  <c r="H9578"/>
  <c r="AI9578"/>
  <c r="B9579"/>
  <c r="H9579"/>
  <c r="AI9579"/>
  <c r="B9580"/>
  <c r="H9580"/>
  <c r="AI9580"/>
  <c r="B9581"/>
  <c r="H9581"/>
  <c r="AI9581"/>
  <c r="B9582"/>
  <c r="H9582"/>
  <c r="AI9582"/>
  <c r="B9583"/>
  <c r="H9583"/>
  <c r="AI9583"/>
  <c r="B9584"/>
  <c r="H9584"/>
  <c r="AI9584"/>
  <c r="B9585"/>
  <c r="H9585"/>
  <c r="AI9585"/>
  <c r="B9586"/>
  <c r="H9586"/>
  <c r="AI9586"/>
  <c r="B9587"/>
  <c r="H9587"/>
  <c r="AI9587"/>
  <c r="B9588"/>
  <c r="H9588"/>
  <c r="AI9588"/>
  <c r="B9589"/>
  <c r="H9589"/>
  <c r="AI9589"/>
  <c r="B9590"/>
  <c r="H9590"/>
  <c r="AI9590"/>
  <c r="B9591"/>
  <c r="H9591"/>
  <c r="AI9591"/>
  <c r="B9592"/>
  <c r="H9592"/>
  <c r="AI9592"/>
  <c r="B9593"/>
  <c r="H9593"/>
  <c r="AI9593"/>
  <c r="B9594"/>
  <c r="H9594"/>
  <c r="AI9594"/>
  <c r="B9595"/>
  <c r="H9595"/>
  <c r="AI9595"/>
  <c r="B9596"/>
  <c r="H9596"/>
  <c r="AI9596"/>
  <c r="B9597"/>
  <c r="H9597"/>
  <c r="AI9597"/>
  <c r="B9598"/>
  <c r="H9598"/>
  <c r="AI9598"/>
  <c r="B9599"/>
  <c r="H9599"/>
  <c r="AI9599"/>
  <c r="B9600"/>
  <c r="H9600"/>
  <c r="AI9600"/>
  <c r="B9601"/>
  <c r="H9601"/>
  <c r="AI9601"/>
  <c r="B9602"/>
  <c r="H9602"/>
  <c r="AI9602"/>
  <c r="B9603"/>
  <c r="H9603"/>
  <c r="AI9603"/>
  <c r="B9604"/>
  <c r="H9604"/>
  <c r="AI9604"/>
  <c r="B9605"/>
  <c r="H9605"/>
  <c r="AI9605"/>
  <c r="B9606"/>
  <c r="H9606"/>
  <c r="AI9606"/>
  <c r="B9607"/>
  <c r="H9607"/>
  <c r="AI9607"/>
  <c r="B9608"/>
  <c r="H9608"/>
  <c r="AI9608"/>
  <c r="B9609"/>
  <c r="H9609"/>
  <c r="AI9609"/>
  <c r="B9610"/>
  <c r="H9610"/>
  <c r="AI9610"/>
  <c r="B9611"/>
  <c r="H9611"/>
  <c r="AI9611"/>
  <c r="B9612"/>
  <c r="H9612"/>
  <c r="AI9612"/>
  <c r="B9613"/>
  <c r="H9613"/>
  <c r="AI9613"/>
  <c r="B9614"/>
  <c r="H9614"/>
  <c r="AI9614"/>
  <c r="B9615"/>
  <c r="H9615"/>
  <c r="AI9615"/>
  <c r="B9616"/>
  <c r="H9616"/>
  <c r="AI9616"/>
  <c r="B9617"/>
  <c r="H9617"/>
  <c r="AI9617"/>
  <c r="B9618"/>
  <c r="H9618"/>
  <c r="AI9618"/>
  <c r="B9619"/>
  <c r="H9619"/>
  <c r="AI9619"/>
  <c r="B9620"/>
  <c r="H9620"/>
  <c r="AI9620"/>
  <c r="B9621"/>
  <c r="H9621"/>
  <c r="AI9621"/>
  <c r="B9622"/>
  <c r="H9622"/>
  <c r="AI9622"/>
  <c r="B9623"/>
  <c r="H9623"/>
  <c r="AI9623"/>
  <c r="B9624"/>
  <c r="H9624"/>
  <c r="AI9624"/>
  <c r="B9625"/>
  <c r="H9625"/>
  <c r="AI9625"/>
  <c r="B9626"/>
  <c r="H9626"/>
  <c r="AI9626"/>
  <c r="B9627"/>
  <c r="H9627"/>
  <c r="AI9627"/>
  <c r="B9628"/>
  <c r="H9628"/>
  <c r="AI9628"/>
  <c r="B9629"/>
  <c r="H9629"/>
  <c r="AI9629"/>
  <c r="B9630"/>
  <c r="H9630"/>
  <c r="AI9630"/>
  <c r="B9631"/>
  <c r="H9631"/>
  <c r="AI9631"/>
  <c r="B9632"/>
  <c r="H9632"/>
  <c r="AI9632"/>
  <c r="B9633"/>
  <c r="H9633"/>
  <c r="AI9633"/>
  <c r="B9634"/>
  <c r="H9634"/>
  <c r="AI9634"/>
  <c r="B9635"/>
  <c r="H9635"/>
  <c r="AI9635"/>
  <c r="B9636"/>
  <c r="H9636"/>
  <c r="AI9636"/>
  <c r="B9637"/>
  <c r="H9637"/>
  <c r="AI9637"/>
  <c r="B9638"/>
  <c r="H9638"/>
  <c r="AI9638"/>
  <c r="B9639"/>
  <c r="H9639"/>
  <c r="AI9639"/>
  <c r="B9640"/>
  <c r="H9640"/>
  <c r="AI9640"/>
  <c r="B9641"/>
  <c r="H9641"/>
  <c r="AI9641"/>
  <c r="B9642"/>
  <c r="H9642"/>
  <c r="AI9642"/>
  <c r="B9643"/>
  <c r="H9643"/>
  <c r="AI9643"/>
  <c r="B9644"/>
  <c r="H9644"/>
  <c r="AI9644"/>
  <c r="B9645"/>
  <c r="H9645"/>
  <c r="AI9645"/>
  <c r="B9646"/>
  <c r="H9646"/>
  <c r="AI9646"/>
  <c r="B9647"/>
  <c r="H9647"/>
  <c r="AI9647"/>
  <c r="B9648"/>
  <c r="H9648"/>
  <c r="AI9648"/>
  <c r="B9649"/>
  <c r="H9649"/>
  <c r="AI9649"/>
  <c r="B9650"/>
  <c r="H9650"/>
  <c r="AI9650"/>
  <c r="B9651"/>
  <c r="H9651"/>
  <c r="AI9651"/>
  <c r="B9652"/>
  <c r="H9652"/>
  <c r="AI9652"/>
  <c r="B9653"/>
  <c r="H9653"/>
  <c r="AI9653"/>
  <c r="B9654"/>
  <c r="H9654"/>
  <c r="AI9654"/>
  <c r="B9655"/>
  <c r="H9655"/>
  <c r="AI9655"/>
  <c r="B9656"/>
  <c r="H9656"/>
  <c r="AI9656"/>
  <c r="B9657"/>
  <c r="H9657"/>
  <c r="AI9657"/>
  <c r="B9658"/>
  <c r="H9658"/>
  <c r="AI9658"/>
  <c r="B9659"/>
  <c r="H9659"/>
  <c r="AI9659"/>
  <c r="B9660"/>
  <c r="H9660"/>
  <c r="AI9660"/>
  <c r="B9661"/>
  <c r="H9661"/>
  <c r="AI9661"/>
  <c r="B9662"/>
  <c r="H9662"/>
  <c r="AI9662"/>
  <c r="B9663"/>
  <c r="H9663"/>
  <c r="AI9663"/>
  <c r="B9664"/>
  <c r="H9664"/>
  <c r="AI9664"/>
  <c r="B9665"/>
  <c r="H9665"/>
  <c r="AI9665"/>
  <c r="B9666"/>
  <c r="H9666"/>
  <c r="AI9666"/>
  <c r="B9667"/>
  <c r="H9667"/>
  <c r="AI9667"/>
  <c r="B9668"/>
  <c r="H9668"/>
  <c r="AI9668"/>
  <c r="B9669"/>
  <c r="H9669"/>
  <c r="AI9669"/>
  <c r="B9670"/>
  <c r="H9670"/>
  <c r="AI9670"/>
  <c r="B9671"/>
  <c r="H9671"/>
  <c r="AI9671"/>
  <c r="B9672"/>
  <c r="H9672"/>
  <c r="AI9672"/>
  <c r="B9673"/>
  <c r="H9673"/>
  <c r="AI9673"/>
  <c r="B9674"/>
  <c r="H9674"/>
  <c r="AI9674"/>
  <c r="B9675"/>
  <c r="H9675"/>
  <c r="AI9675"/>
  <c r="B9676"/>
  <c r="H9676"/>
  <c r="AI9676"/>
  <c r="B9677"/>
  <c r="H9677"/>
  <c r="AI9677"/>
  <c r="B9678"/>
  <c r="H9678"/>
  <c r="AI9678"/>
  <c r="B9679"/>
  <c r="H9679"/>
  <c r="AI9679"/>
  <c r="B9680"/>
  <c r="H9680"/>
  <c r="AI9680"/>
  <c r="B9681"/>
  <c r="H9681"/>
  <c r="AI9681"/>
  <c r="B9682"/>
  <c r="H9682"/>
  <c r="AI9682"/>
  <c r="B9683"/>
  <c r="H9683"/>
  <c r="AI9683"/>
  <c r="B9684"/>
  <c r="H9684"/>
  <c r="AI9684"/>
  <c r="B9685"/>
  <c r="H9685"/>
  <c r="AI9685"/>
  <c r="B9686"/>
  <c r="H9686"/>
  <c r="AI9686"/>
  <c r="B9687"/>
  <c r="H9687"/>
  <c r="AI9687"/>
  <c r="B9688"/>
  <c r="H9688"/>
  <c r="AI9688"/>
  <c r="B9689"/>
  <c r="H9689"/>
  <c r="AI9689"/>
  <c r="B9690"/>
  <c r="H9690"/>
  <c r="AI9690"/>
  <c r="B9691"/>
  <c r="H9691"/>
  <c r="AI9691"/>
  <c r="B9692"/>
  <c r="H9692"/>
  <c r="AI9692"/>
  <c r="B9693"/>
  <c r="H9693"/>
  <c r="AI9693"/>
  <c r="B9694"/>
  <c r="H9694"/>
  <c r="AI9694"/>
  <c r="B9695"/>
  <c r="H9695"/>
  <c r="AI9695"/>
  <c r="B9696"/>
  <c r="H9696"/>
  <c r="AI9696"/>
  <c r="B9697"/>
  <c r="H9697"/>
  <c r="AI9697"/>
  <c r="B9698"/>
  <c r="H9698"/>
  <c r="AI9698"/>
  <c r="B9699"/>
  <c r="H9699"/>
  <c r="AI9699"/>
  <c r="B9700"/>
  <c r="H9700"/>
  <c r="AI9700"/>
  <c r="B9701"/>
  <c r="H9701"/>
  <c r="AI9701"/>
  <c r="B9702"/>
  <c r="H9702"/>
  <c r="AI9702"/>
  <c r="B9703"/>
  <c r="H9703"/>
  <c r="AI9703"/>
  <c r="B9704"/>
  <c r="H9704"/>
  <c r="AI9704"/>
  <c r="B9705"/>
  <c r="H9705"/>
  <c r="AI9705"/>
  <c r="B9706"/>
  <c r="H9706"/>
  <c r="AI9706"/>
  <c r="B9707"/>
  <c r="H9707"/>
  <c r="AI9707"/>
  <c r="B9708"/>
  <c r="H9708"/>
  <c r="AI9708"/>
  <c r="B9709"/>
  <c r="H9709"/>
  <c r="AI9709"/>
  <c r="B9710"/>
  <c r="H9710"/>
  <c r="AI9710"/>
  <c r="B9711"/>
  <c r="H9711"/>
  <c r="AI9711"/>
  <c r="B9712"/>
  <c r="H9712"/>
  <c r="AI9712"/>
  <c r="B9713"/>
  <c r="H9713"/>
  <c r="AI9713"/>
  <c r="B9714"/>
  <c r="H9714"/>
  <c r="AI9714"/>
  <c r="B9715"/>
  <c r="H9715"/>
  <c r="AI9715"/>
  <c r="B9716"/>
  <c r="H9716"/>
  <c r="AI9716"/>
  <c r="B9717"/>
  <c r="H9717"/>
  <c r="AI9717"/>
  <c r="B9718"/>
  <c r="H9718"/>
  <c r="AI9718"/>
  <c r="B9719"/>
  <c r="H9719"/>
  <c r="AI9719"/>
  <c r="B9720"/>
  <c r="H9720"/>
  <c r="AI9720"/>
  <c r="B9721"/>
  <c r="H9721"/>
  <c r="AI9721"/>
  <c r="B9722"/>
  <c r="H9722"/>
  <c r="AI9722"/>
  <c r="B9723"/>
  <c r="H9723"/>
  <c r="AI9723"/>
  <c r="B9724"/>
  <c r="H9724"/>
  <c r="AI9724"/>
  <c r="B9725"/>
  <c r="H9725"/>
  <c r="AI9725"/>
  <c r="B9726"/>
  <c r="H9726"/>
  <c r="AI9726"/>
  <c r="B9727"/>
  <c r="H9727"/>
  <c r="AI9727"/>
  <c r="B9728"/>
  <c r="H9728"/>
  <c r="AI9728"/>
  <c r="B9729"/>
  <c r="H9729"/>
  <c r="AI9729"/>
  <c r="B9730"/>
  <c r="H9730"/>
  <c r="AI9730"/>
  <c r="B9731"/>
  <c r="H9731"/>
  <c r="AI9731"/>
  <c r="B9732"/>
  <c r="H9732"/>
  <c r="AI9732"/>
  <c r="B9733"/>
  <c r="H9733"/>
  <c r="AI9733"/>
  <c r="B9734"/>
  <c r="H9734"/>
  <c r="AI9734"/>
  <c r="B9735"/>
  <c r="H9735"/>
  <c r="AI9735"/>
  <c r="B9736"/>
  <c r="H9736"/>
  <c r="AI9736"/>
  <c r="B9737"/>
  <c r="H9737"/>
  <c r="AI9737"/>
  <c r="B9738"/>
  <c r="H9738"/>
  <c r="AI9738"/>
  <c r="B9739"/>
  <c r="H9739"/>
  <c r="AI9739"/>
  <c r="B9740"/>
  <c r="H9740"/>
  <c r="AI9740"/>
  <c r="B9741"/>
  <c r="H9741"/>
  <c r="AI9741"/>
  <c r="B9742"/>
  <c r="H9742"/>
  <c r="AI9742"/>
  <c r="B9743"/>
  <c r="H9743"/>
  <c r="AI9743"/>
  <c r="B9744"/>
  <c r="H9744"/>
  <c r="AI9744"/>
  <c r="B9745"/>
  <c r="H9745"/>
  <c r="AI9745"/>
  <c r="B9746"/>
  <c r="H9746"/>
  <c r="AI9746"/>
  <c r="B9747"/>
  <c r="H9747"/>
  <c r="AI9747"/>
  <c r="B9748"/>
  <c r="H9748"/>
  <c r="AI9748"/>
  <c r="B9749"/>
  <c r="H9749"/>
  <c r="AI9749"/>
  <c r="B9750"/>
  <c r="H9750"/>
  <c r="AI9750"/>
  <c r="B9751"/>
  <c r="H9751"/>
  <c r="AI9751"/>
  <c r="B9752"/>
  <c r="H9752"/>
  <c r="AI9752"/>
  <c r="B9753"/>
  <c r="H9753"/>
  <c r="AI9753"/>
  <c r="B9754"/>
  <c r="H9754"/>
  <c r="AI9754"/>
  <c r="B9755"/>
  <c r="H9755"/>
  <c r="AI9755"/>
  <c r="B9756"/>
  <c r="H9756"/>
  <c r="AI9756"/>
  <c r="B9757"/>
  <c r="H9757"/>
  <c r="AI9757"/>
  <c r="B9758"/>
  <c r="H9758"/>
  <c r="AI9758"/>
  <c r="B9759"/>
  <c r="H9759"/>
  <c r="AI9759"/>
  <c r="B9760"/>
  <c r="H9760"/>
  <c r="AI9760"/>
  <c r="B9761"/>
  <c r="H9761"/>
  <c r="AI9761"/>
  <c r="B9762"/>
  <c r="H9762"/>
  <c r="AI9762"/>
  <c r="B9763"/>
  <c r="H9763"/>
  <c r="AI9763"/>
  <c r="B9764"/>
  <c r="H9764"/>
  <c r="AI9764"/>
  <c r="B9765"/>
  <c r="H9765"/>
  <c r="AI9765"/>
  <c r="B9766"/>
  <c r="H9766"/>
  <c r="AI9766"/>
  <c r="B9767"/>
  <c r="H9767"/>
  <c r="AI9767"/>
  <c r="B9768"/>
  <c r="H9768"/>
  <c r="AI9768"/>
  <c r="B9769"/>
  <c r="H9769"/>
  <c r="AI9769"/>
  <c r="B9770"/>
  <c r="H9770"/>
  <c r="AI9770"/>
  <c r="B9771"/>
  <c r="H9771"/>
  <c r="AI9771"/>
  <c r="B9772"/>
  <c r="H9772"/>
  <c r="AI9772"/>
  <c r="B9773"/>
  <c r="H9773"/>
  <c r="AI9773"/>
  <c r="B9774"/>
  <c r="H9774"/>
  <c r="AI9774"/>
  <c r="B9775"/>
  <c r="H9775"/>
  <c r="AI9775"/>
  <c r="B9776"/>
  <c r="H9776"/>
  <c r="AI9776"/>
  <c r="B9777"/>
  <c r="H9777"/>
  <c r="AI9777"/>
  <c r="B9778"/>
  <c r="H9778"/>
  <c r="AI9778"/>
  <c r="B9779"/>
  <c r="H9779"/>
  <c r="AI9779"/>
  <c r="B9780"/>
  <c r="H9780"/>
  <c r="AI9780"/>
  <c r="B9781"/>
  <c r="H9781"/>
  <c r="AI9781"/>
  <c r="B9782"/>
  <c r="H9782"/>
  <c r="AI9782"/>
  <c r="B9783"/>
  <c r="H9783"/>
  <c r="AI9783"/>
  <c r="B9784"/>
  <c r="H9784"/>
  <c r="AI9784"/>
  <c r="B9785"/>
  <c r="H9785"/>
  <c r="AI9785"/>
  <c r="B9786"/>
  <c r="H9786"/>
  <c r="AI9786"/>
  <c r="B9787"/>
  <c r="H9787"/>
  <c r="AI9787"/>
  <c r="B9788"/>
  <c r="H9788"/>
  <c r="AI9788"/>
  <c r="B9789"/>
  <c r="H9789"/>
  <c r="AI9789"/>
  <c r="B9790"/>
  <c r="H9790"/>
  <c r="AI9790"/>
  <c r="B9791"/>
  <c r="H9791"/>
  <c r="AI9791"/>
  <c r="B9792"/>
  <c r="H9792"/>
  <c r="AI9792"/>
  <c r="B9793"/>
  <c r="H9793"/>
  <c r="AI9793"/>
  <c r="B9794"/>
  <c r="H9794"/>
  <c r="AI9794"/>
  <c r="B9795"/>
  <c r="H9795"/>
  <c r="AI9795"/>
  <c r="B9796"/>
  <c r="H9796"/>
  <c r="AI9796"/>
  <c r="B9797"/>
  <c r="H9797"/>
  <c r="AI9797"/>
  <c r="B9798"/>
  <c r="H9798"/>
  <c r="AI9798"/>
  <c r="B9799"/>
  <c r="H9799"/>
  <c r="AI9799"/>
  <c r="B9800"/>
  <c r="H9800"/>
  <c r="AI9800"/>
  <c r="B9801"/>
  <c r="H9801"/>
  <c r="AI9801"/>
  <c r="B9802"/>
  <c r="H9802"/>
  <c r="AI9802"/>
  <c r="B9803"/>
  <c r="H9803"/>
  <c r="AI9803"/>
  <c r="B9804"/>
  <c r="H9804"/>
  <c r="AI9804"/>
  <c r="B9805"/>
  <c r="H9805"/>
  <c r="AI9805"/>
  <c r="B9806"/>
  <c r="H9806"/>
  <c r="AI9806"/>
  <c r="B9807"/>
  <c r="H9807"/>
  <c r="AI9807"/>
  <c r="B9808"/>
  <c r="H9808"/>
  <c r="AI9808"/>
  <c r="B9809"/>
  <c r="H9809"/>
  <c r="AI9809"/>
  <c r="B9810"/>
  <c r="H9810"/>
  <c r="AI9810"/>
  <c r="B9811"/>
  <c r="H9811"/>
  <c r="AI9811"/>
  <c r="B9812"/>
  <c r="H9812"/>
  <c r="AI9812"/>
  <c r="B9813"/>
  <c r="H9813"/>
  <c r="AI9813"/>
  <c r="B9814"/>
  <c r="H9814"/>
  <c r="AI9814"/>
  <c r="B9815"/>
  <c r="H9815"/>
  <c r="AI9815"/>
  <c r="B9816"/>
  <c r="H9816"/>
  <c r="AI9816"/>
  <c r="B9817"/>
  <c r="H9817"/>
  <c r="AI9817"/>
  <c r="B9818"/>
  <c r="H9818"/>
  <c r="AI9818"/>
  <c r="B9819"/>
  <c r="H9819"/>
  <c r="AI9819"/>
  <c r="B9820"/>
  <c r="H9820"/>
  <c r="AI9820"/>
  <c r="B9821"/>
  <c r="H9821"/>
  <c r="AI9821"/>
  <c r="B9822"/>
  <c r="H9822"/>
  <c r="AI9822"/>
  <c r="B9823"/>
  <c r="H9823"/>
  <c r="AI9823"/>
  <c r="B9824"/>
  <c r="H9824"/>
  <c r="AI9824"/>
  <c r="B9825"/>
  <c r="H9825"/>
  <c r="AI9825"/>
  <c r="B9826"/>
  <c r="H9826"/>
  <c r="AI9826"/>
  <c r="B9827"/>
  <c r="H9827"/>
  <c r="AI9827"/>
  <c r="B9828"/>
  <c r="H9828"/>
  <c r="AI9828"/>
  <c r="B9829"/>
  <c r="H9829"/>
  <c r="AI9829"/>
  <c r="B9830"/>
  <c r="H9830"/>
  <c r="AI9830"/>
  <c r="B9831"/>
  <c r="H9831"/>
  <c r="AI9831"/>
  <c r="B9832"/>
  <c r="H9832"/>
  <c r="AI9832"/>
  <c r="B9833"/>
  <c r="H9833"/>
  <c r="AI9833"/>
  <c r="B9834"/>
  <c r="H9834"/>
  <c r="AI9834"/>
  <c r="B9835"/>
  <c r="H9835"/>
  <c r="AI9835"/>
  <c r="B9836"/>
  <c r="H9836"/>
  <c r="AI9836"/>
  <c r="B9837"/>
  <c r="H9837"/>
  <c r="AI9837"/>
  <c r="B9838"/>
  <c r="H9838"/>
  <c r="AI9838"/>
  <c r="B9839"/>
  <c r="H9839"/>
  <c r="AI9839"/>
  <c r="B9840"/>
  <c r="H9840"/>
  <c r="AI9840"/>
  <c r="B9841"/>
  <c r="H9841"/>
  <c r="AI9841"/>
  <c r="B9842"/>
  <c r="H9842"/>
  <c r="AI9842"/>
  <c r="B9843"/>
  <c r="H9843"/>
  <c r="AI9843"/>
  <c r="B9844"/>
  <c r="H9844"/>
  <c r="AI9844"/>
  <c r="B9845"/>
  <c r="H9845"/>
  <c r="AI9845"/>
  <c r="B9846"/>
  <c r="H9846"/>
  <c r="AI9846"/>
  <c r="B9847"/>
  <c r="H9847"/>
  <c r="AI9847"/>
  <c r="B9848"/>
  <c r="H9848"/>
  <c r="AI9848"/>
  <c r="B9849"/>
  <c r="H9849"/>
  <c r="AI9849"/>
  <c r="B9850"/>
  <c r="H9850"/>
  <c r="AI9850"/>
  <c r="B9851"/>
  <c r="H9851"/>
  <c r="AI9851"/>
  <c r="B9852"/>
  <c r="H9852"/>
  <c r="AI9852"/>
  <c r="B9853"/>
  <c r="H9853"/>
  <c r="AI9853"/>
  <c r="B9854"/>
  <c r="H9854"/>
  <c r="AI9854"/>
  <c r="B9855"/>
  <c r="H9855"/>
  <c r="AI9855"/>
  <c r="B9856"/>
  <c r="H9856"/>
  <c r="AI9856"/>
  <c r="B9857"/>
  <c r="H9857"/>
  <c r="AI9857"/>
  <c r="B9858"/>
  <c r="H9858"/>
  <c r="AI9858"/>
  <c r="B9859"/>
  <c r="H9859"/>
  <c r="AI9859"/>
  <c r="B9860"/>
  <c r="H9860"/>
  <c r="AI9860"/>
  <c r="B9861"/>
  <c r="H9861"/>
  <c r="AI9861"/>
  <c r="B9862"/>
  <c r="H9862"/>
  <c r="AI9862"/>
  <c r="B9863"/>
  <c r="H9863"/>
  <c r="AI9863"/>
  <c r="B9864"/>
  <c r="H9864"/>
  <c r="AI9864"/>
  <c r="B9865"/>
  <c r="H9865"/>
  <c r="AI9865"/>
  <c r="B9866"/>
  <c r="H9866"/>
  <c r="AI9866"/>
  <c r="B9867"/>
  <c r="H9867"/>
  <c r="AI9867"/>
  <c r="B9868"/>
  <c r="H9868"/>
  <c r="AI9868"/>
  <c r="B9869"/>
  <c r="H9869"/>
  <c r="AI9869"/>
  <c r="B9870"/>
  <c r="H9870"/>
  <c r="AI9870"/>
  <c r="B9871"/>
  <c r="H9871"/>
  <c r="AI9871"/>
  <c r="B9872"/>
  <c r="H9872"/>
  <c r="AI9872"/>
  <c r="B9873"/>
  <c r="H9873"/>
  <c r="AI9873"/>
  <c r="B9874"/>
  <c r="H9874"/>
  <c r="AI9874"/>
  <c r="B9875"/>
  <c r="H9875"/>
  <c r="AI9875"/>
  <c r="B9876"/>
  <c r="H9876"/>
  <c r="AI9876"/>
  <c r="B9877"/>
  <c r="H9877"/>
  <c r="AI9877"/>
  <c r="B9878"/>
  <c r="H9878"/>
  <c r="AI9878"/>
  <c r="B9879"/>
  <c r="H9879"/>
  <c r="AI9879"/>
  <c r="B9880"/>
  <c r="H9880"/>
  <c r="AI9880"/>
  <c r="B9881"/>
  <c r="H9881"/>
  <c r="AI9881"/>
  <c r="B9882"/>
  <c r="H9882"/>
  <c r="AI9882"/>
  <c r="B9883"/>
  <c r="H9883"/>
  <c r="AI9883"/>
  <c r="B9884"/>
  <c r="H9884"/>
  <c r="AI9884"/>
  <c r="B9885"/>
  <c r="H9885"/>
  <c r="AI9885"/>
  <c r="B9886"/>
  <c r="H9886"/>
  <c r="AI9886"/>
  <c r="B9887"/>
  <c r="H9887"/>
  <c r="AI9887"/>
  <c r="B9888"/>
  <c r="H9888"/>
  <c r="AI9888"/>
  <c r="B9889"/>
  <c r="H9889"/>
  <c r="AI9889"/>
  <c r="B9890"/>
  <c r="H9890"/>
  <c r="AI9890"/>
  <c r="B9891"/>
  <c r="H9891"/>
  <c r="AI9891"/>
  <c r="B9892"/>
  <c r="H9892"/>
  <c r="AI9892"/>
  <c r="B9893"/>
  <c r="H9893"/>
  <c r="AI9893"/>
  <c r="B9894"/>
  <c r="H9894"/>
  <c r="AI9894"/>
  <c r="B9895"/>
  <c r="H9895"/>
  <c r="AI9895"/>
  <c r="B9896"/>
  <c r="H9896"/>
  <c r="AI9896"/>
  <c r="B9897"/>
  <c r="H9897"/>
  <c r="AI9897"/>
  <c r="B9898"/>
  <c r="H9898"/>
  <c r="AI9898"/>
  <c r="B9899"/>
  <c r="H9899"/>
  <c r="AI9899"/>
  <c r="B9900"/>
  <c r="H9900"/>
  <c r="AI9900"/>
  <c r="B9901"/>
  <c r="H9901"/>
  <c r="AI9901"/>
  <c r="B9902"/>
  <c r="H9902"/>
  <c r="AI9902"/>
  <c r="B9903"/>
  <c r="H9903"/>
  <c r="AI9903"/>
  <c r="B9904"/>
  <c r="H9904"/>
  <c r="AI9904"/>
  <c r="B9905"/>
  <c r="H9905"/>
  <c r="AI9905"/>
  <c r="B9906"/>
  <c r="H9906"/>
  <c r="AI9906"/>
  <c r="B9907"/>
  <c r="H9907"/>
  <c r="AI9907"/>
  <c r="B9908"/>
  <c r="H9908"/>
  <c r="AI9908"/>
  <c r="B9909"/>
  <c r="H9909"/>
  <c r="AI9909"/>
  <c r="B9910"/>
  <c r="H9910"/>
  <c r="AI9910"/>
  <c r="B9911"/>
  <c r="H9911"/>
  <c r="AI9911"/>
  <c r="B9912"/>
  <c r="H9912"/>
  <c r="AI9912"/>
  <c r="B9913"/>
  <c r="H9913"/>
  <c r="AI9913"/>
  <c r="B9914"/>
  <c r="H9914"/>
  <c r="AI9914"/>
  <c r="B9915"/>
  <c r="H9915"/>
  <c r="AI9915"/>
  <c r="B9916"/>
  <c r="H9916"/>
  <c r="AI9916"/>
  <c r="B9917"/>
  <c r="H9917"/>
  <c r="AI9917"/>
  <c r="B9918"/>
  <c r="H9918"/>
  <c r="AI9918"/>
  <c r="B9919"/>
  <c r="H9919"/>
  <c r="AI9919"/>
  <c r="B9920"/>
  <c r="H9920"/>
  <c r="AI9920"/>
  <c r="B9921"/>
  <c r="H9921"/>
  <c r="AI9921"/>
  <c r="B9922"/>
  <c r="H9922"/>
  <c r="AI9922"/>
  <c r="B9923"/>
  <c r="H9923"/>
  <c r="AI9923"/>
  <c r="B9924"/>
  <c r="H9924"/>
  <c r="AI9924"/>
  <c r="B9925"/>
  <c r="H9925"/>
  <c r="AI9925"/>
  <c r="B9926"/>
  <c r="H9926"/>
  <c r="AI9926"/>
  <c r="B9927"/>
  <c r="H9927"/>
  <c r="AI9927"/>
  <c r="B9928"/>
  <c r="H9928"/>
  <c r="AI9928"/>
  <c r="B9929"/>
  <c r="H9929"/>
  <c r="AI9929"/>
  <c r="B9930"/>
  <c r="H9930"/>
  <c r="AI9930"/>
  <c r="B9931"/>
  <c r="H9931"/>
  <c r="AI9931"/>
  <c r="B9932"/>
  <c r="H9932"/>
  <c r="AI9932"/>
  <c r="B9933"/>
  <c r="H9933"/>
  <c r="AI9933"/>
  <c r="B9934"/>
  <c r="H9934"/>
  <c r="AI9934"/>
  <c r="B9935"/>
  <c r="H9935"/>
  <c r="AI9935"/>
  <c r="B9936"/>
  <c r="H9936"/>
  <c r="AI9936"/>
  <c r="B9937"/>
  <c r="H9937"/>
  <c r="AI9937"/>
  <c r="B9938"/>
  <c r="H9938"/>
  <c r="AI9938"/>
  <c r="B9939"/>
  <c r="H9939"/>
  <c r="AI9939"/>
  <c r="B9940"/>
  <c r="H9940"/>
  <c r="AI9940"/>
  <c r="B9941"/>
  <c r="H9941"/>
  <c r="AI9941"/>
  <c r="B9942"/>
  <c r="H9942"/>
  <c r="AI9942"/>
  <c r="B9943"/>
  <c r="H9943"/>
  <c r="AI9943"/>
  <c r="B9944"/>
  <c r="H9944"/>
  <c r="AI9944"/>
  <c r="B9945"/>
  <c r="H9945"/>
  <c r="AI9945"/>
  <c r="B9946"/>
  <c r="H9946"/>
  <c r="AI9946"/>
  <c r="B9947"/>
  <c r="H9947"/>
  <c r="AI9947"/>
  <c r="B9948"/>
  <c r="H9948"/>
  <c r="AI9948"/>
  <c r="B9949"/>
  <c r="H9949"/>
  <c r="AI9949"/>
  <c r="B9950"/>
  <c r="H9950"/>
  <c r="AI9950"/>
  <c r="B9951"/>
  <c r="H9951"/>
  <c r="AI9951"/>
  <c r="B9952"/>
  <c r="H9952"/>
  <c r="AI9952"/>
  <c r="B9953"/>
  <c r="H9953"/>
  <c r="AI9953"/>
  <c r="B9954"/>
  <c r="H9954"/>
  <c r="AI9954"/>
  <c r="B9955"/>
  <c r="H9955"/>
  <c r="AI9955"/>
  <c r="B9956"/>
  <c r="H9956"/>
  <c r="AI9956"/>
  <c r="B9957"/>
  <c r="H9957"/>
  <c r="AI9957"/>
  <c r="B9958"/>
  <c r="H9958"/>
  <c r="AI9958"/>
  <c r="B9959"/>
  <c r="H9959"/>
  <c r="AI9959"/>
  <c r="B9960"/>
  <c r="H9960"/>
  <c r="AI9960"/>
  <c r="B9961"/>
  <c r="H9961"/>
  <c r="AI9961"/>
  <c r="B9962"/>
  <c r="H9962"/>
  <c r="AI9962"/>
  <c r="B9963"/>
  <c r="H9963"/>
  <c r="AI9963"/>
  <c r="B9964"/>
  <c r="H9964"/>
  <c r="AI9964"/>
  <c r="B9965"/>
  <c r="H9965"/>
  <c r="AI9965"/>
  <c r="B9966"/>
  <c r="H9966"/>
  <c r="AI9966"/>
  <c r="B9967"/>
  <c r="H9967"/>
  <c r="AI9967"/>
  <c r="B9968"/>
  <c r="H9968"/>
  <c r="AI9968"/>
  <c r="B9969"/>
  <c r="H9969"/>
  <c r="AI9969"/>
  <c r="B9970"/>
  <c r="H9970"/>
  <c r="AI9970"/>
  <c r="B9971"/>
  <c r="H9971"/>
  <c r="AI9971"/>
  <c r="B9972"/>
  <c r="H9972"/>
  <c r="AI9972"/>
  <c r="B9973"/>
  <c r="H9973"/>
  <c r="AI9973"/>
  <c r="B9974"/>
  <c r="H9974"/>
  <c r="AI9974"/>
  <c r="B9975"/>
  <c r="H9975"/>
  <c r="AI9975"/>
  <c r="B9976"/>
  <c r="H9976"/>
  <c r="AI9976"/>
  <c r="B9977"/>
  <c r="H9977"/>
  <c r="AI9977"/>
  <c r="B9978"/>
  <c r="H9978"/>
  <c r="AI9978"/>
  <c r="B9979"/>
  <c r="H9979"/>
  <c r="AI9979"/>
  <c r="B9980"/>
  <c r="H9980"/>
  <c r="AI9980"/>
  <c r="B9981"/>
  <c r="H9981"/>
  <c r="AI9981"/>
  <c r="B9982"/>
  <c r="H9982"/>
  <c r="AI9982"/>
  <c r="B9983"/>
  <c r="H9983"/>
  <c r="AI9983"/>
  <c r="B9984"/>
  <c r="H9984"/>
  <c r="AI9984"/>
  <c r="B9985"/>
  <c r="H9985"/>
  <c r="AI9985"/>
  <c r="B9986"/>
  <c r="H9986"/>
  <c r="AI9986"/>
  <c r="B9987"/>
  <c r="H9987"/>
  <c r="AI9987"/>
  <c r="B9988"/>
  <c r="H9988"/>
  <c r="AI9988"/>
  <c r="B9989"/>
  <c r="H9989"/>
  <c r="AI9989"/>
  <c r="B9990"/>
  <c r="H9990"/>
  <c r="AI9990"/>
  <c r="B9991"/>
  <c r="H9991"/>
  <c r="AI9991"/>
  <c r="B9992"/>
  <c r="H9992"/>
  <c r="AI9992"/>
  <c r="B9993"/>
  <c r="H9993"/>
  <c r="AI9993"/>
  <c r="B9994"/>
  <c r="H9994"/>
  <c r="AI9994"/>
  <c r="B9995"/>
  <c r="H9995"/>
  <c r="AI9995"/>
  <c r="B9996"/>
  <c r="H9996"/>
  <c r="AI9996"/>
  <c r="B9997"/>
  <c r="H9997"/>
  <c r="AI9997"/>
  <c r="B9998"/>
  <c r="H9998"/>
  <c r="AI9998"/>
  <c r="B9999"/>
  <c r="H9999"/>
  <c r="AI9999"/>
  <c r="B10000"/>
  <c r="H10000"/>
  <c r="AI10000"/>
  <c r="B10001"/>
  <c r="H10001"/>
  <c r="AI10001"/>
  <c r="B10002"/>
  <c r="H10002"/>
  <c r="AI10002"/>
  <c r="B10003"/>
  <c r="H10003"/>
  <c r="AI10003"/>
  <c r="B10004"/>
  <c r="H10004"/>
  <c r="AI10004"/>
  <c r="B10005"/>
  <c r="H10005"/>
  <c r="AI10005"/>
  <c r="B10006"/>
  <c r="H10006"/>
  <c r="AI10006"/>
  <c r="B10007"/>
  <c r="H10007"/>
  <c r="AI10007"/>
  <c r="B10008"/>
  <c r="H10008"/>
  <c r="AI10008"/>
  <c r="B10009"/>
  <c r="H10009"/>
  <c r="AI10009"/>
  <c r="B10010"/>
  <c r="H10010"/>
  <c r="AI10010"/>
  <c r="B10011"/>
  <c r="H10011"/>
  <c r="AI10011"/>
  <c r="B10012"/>
  <c r="H10012"/>
  <c r="AI10012"/>
  <c r="B10013"/>
  <c r="H10013"/>
  <c r="AI10013"/>
  <c r="B10014"/>
  <c r="H10014"/>
  <c r="AI10014"/>
  <c r="B10015"/>
  <c r="H10015"/>
  <c r="AI10015"/>
  <c r="B10016"/>
  <c r="H10016"/>
  <c r="AI10016"/>
  <c r="B10017"/>
  <c r="H10017"/>
  <c r="AI10017"/>
  <c r="B10018"/>
  <c r="H10018"/>
  <c r="AI10018"/>
  <c r="B10019"/>
  <c r="H10019"/>
  <c r="AI10019"/>
  <c r="B10020"/>
  <c r="H10020"/>
  <c r="AI10020"/>
  <c r="B10021"/>
  <c r="H10021"/>
  <c r="AI10021"/>
  <c r="B10022"/>
  <c r="H10022"/>
  <c r="AI10022"/>
  <c r="B10023"/>
  <c r="H10023"/>
  <c r="AI10023"/>
  <c r="B10024"/>
  <c r="H10024"/>
  <c r="AI10024"/>
  <c r="B10025"/>
  <c r="H10025"/>
  <c r="AI10025"/>
  <c r="B10026"/>
  <c r="H10026"/>
  <c r="AI10026"/>
  <c r="B10027"/>
  <c r="H10027"/>
  <c r="AI10027"/>
  <c r="B10028"/>
  <c r="H10028"/>
  <c r="AI10028"/>
  <c r="B10029"/>
  <c r="H10029"/>
  <c r="AI10029"/>
  <c r="B10030"/>
  <c r="H10030"/>
  <c r="AI10030"/>
  <c r="B10031"/>
  <c r="H10031"/>
  <c r="AI10031"/>
  <c r="B10032"/>
  <c r="H10032"/>
  <c r="AI10032"/>
  <c r="B10033"/>
  <c r="H10033"/>
  <c r="AI10033"/>
  <c r="B10034"/>
  <c r="H10034"/>
  <c r="AI10034"/>
  <c r="B10035"/>
  <c r="H10035"/>
  <c r="AI10035"/>
  <c r="B10036"/>
  <c r="H10036"/>
  <c r="AI10036"/>
  <c r="B10037"/>
  <c r="H10037"/>
  <c r="AI10037"/>
  <c r="B10038"/>
  <c r="H10038"/>
  <c r="AI10038"/>
  <c r="B10039"/>
  <c r="H10039"/>
  <c r="AI10039"/>
  <c r="B10040"/>
  <c r="H10040"/>
  <c r="AI10040"/>
  <c r="B10041"/>
  <c r="H10041"/>
  <c r="AI10041"/>
  <c r="B10042"/>
  <c r="H10042"/>
  <c r="AI10042"/>
  <c r="B10043"/>
  <c r="H10043"/>
  <c r="AI10043"/>
  <c r="B10044"/>
  <c r="H10044"/>
  <c r="AI10044"/>
  <c r="B10045"/>
  <c r="H10045"/>
  <c r="AI10045"/>
  <c r="B10046"/>
  <c r="H10046"/>
  <c r="AI10046"/>
  <c r="B10047"/>
  <c r="H10047"/>
  <c r="AI10047"/>
  <c r="B10048"/>
  <c r="H10048"/>
  <c r="AI10048"/>
  <c r="B10049"/>
  <c r="H10049"/>
  <c r="AI10049"/>
  <c r="B10050"/>
  <c r="H10050"/>
  <c r="AI10050"/>
  <c r="B10051"/>
  <c r="H10051"/>
  <c r="AI10051"/>
  <c r="B10052"/>
  <c r="H10052"/>
  <c r="AI10052"/>
  <c r="B10053"/>
  <c r="H10053"/>
  <c r="AI10053"/>
  <c r="B10054"/>
  <c r="H10054"/>
  <c r="AI10054"/>
  <c r="B10055"/>
  <c r="H10055"/>
  <c r="AI10055"/>
  <c r="B10056"/>
  <c r="H10056"/>
  <c r="AI10056"/>
  <c r="B10057"/>
  <c r="H10057"/>
  <c r="AI10057"/>
  <c r="B10058"/>
  <c r="H10058"/>
  <c r="AI10058"/>
  <c r="B10059"/>
  <c r="H10059"/>
  <c r="AI10059"/>
  <c r="B10060"/>
  <c r="H10060"/>
  <c r="AI10060"/>
  <c r="B10061"/>
  <c r="H10061"/>
  <c r="AI10061"/>
  <c r="B10062"/>
  <c r="H10062"/>
  <c r="AI10062"/>
  <c r="B10063"/>
  <c r="H10063"/>
  <c r="AI10063"/>
  <c r="B10064"/>
  <c r="H10064"/>
  <c r="AI10064"/>
  <c r="B10065"/>
  <c r="H10065"/>
  <c r="AI10065"/>
  <c r="B10066"/>
  <c r="H10066"/>
  <c r="AI10066"/>
  <c r="B10067"/>
  <c r="H10067"/>
  <c r="AI10067"/>
  <c r="B10068"/>
  <c r="H10068"/>
  <c r="AI10068"/>
  <c r="B10069"/>
  <c r="H10069"/>
  <c r="AI10069"/>
  <c r="B10070"/>
  <c r="H10070"/>
  <c r="AI10070"/>
  <c r="B10071"/>
  <c r="H10071"/>
  <c r="AI10071"/>
  <c r="B10072"/>
  <c r="H10072"/>
  <c r="AI10072"/>
  <c r="B10073"/>
  <c r="H10073"/>
  <c r="AI10073"/>
  <c r="B10074"/>
  <c r="H10074"/>
  <c r="AI10074"/>
  <c r="B10075"/>
  <c r="H10075"/>
  <c r="AI10075"/>
  <c r="B10076"/>
  <c r="H10076"/>
  <c r="AI10076"/>
  <c r="B10077"/>
  <c r="H10077"/>
  <c r="AI10077"/>
  <c r="B10078"/>
  <c r="H10078"/>
  <c r="AI10078"/>
  <c r="B10079"/>
  <c r="H10079"/>
  <c r="AI10079"/>
  <c r="B10080"/>
  <c r="H10080"/>
  <c r="AI10080"/>
  <c r="B10081"/>
  <c r="H10081"/>
  <c r="AI10081"/>
  <c r="B10082"/>
  <c r="H10082"/>
  <c r="AI10082"/>
  <c r="B10083"/>
  <c r="H10083"/>
  <c r="AI10083"/>
  <c r="B10084"/>
  <c r="H10084"/>
  <c r="AI10084"/>
  <c r="B10085"/>
  <c r="H10085"/>
  <c r="AI10085"/>
  <c r="B10086"/>
  <c r="H10086"/>
  <c r="AI10086"/>
  <c r="B10087"/>
  <c r="H10087"/>
  <c r="AI10087"/>
  <c r="B10088"/>
  <c r="H10088"/>
  <c r="AI10088"/>
  <c r="B10089"/>
  <c r="H10089"/>
  <c r="AI10089"/>
  <c r="B10090"/>
  <c r="H10090"/>
  <c r="AI10090"/>
  <c r="B10091"/>
  <c r="H10091"/>
  <c r="AI10091"/>
  <c r="B10092"/>
  <c r="H10092"/>
  <c r="AI10092"/>
  <c r="B10093"/>
  <c r="H10093"/>
  <c r="AI10093"/>
  <c r="B10094"/>
  <c r="H10094"/>
  <c r="AI10094"/>
  <c r="B10095"/>
  <c r="H10095"/>
  <c r="AI10095"/>
  <c r="B10096"/>
  <c r="H10096"/>
  <c r="AI10096"/>
  <c r="B10097"/>
  <c r="H10097"/>
  <c r="AI10097"/>
  <c r="B10098"/>
  <c r="H10098"/>
  <c r="AI10098"/>
  <c r="B10099"/>
  <c r="H10099"/>
  <c r="AI10099"/>
  <c r="B10100"/>
  <c r="H10100"/>
  <c r="AI10100"/>
  <c r="B10101"/>
  <c r="H10101"/>
  <c r="AI10101"/>
  <c r="B10102"/>
  <c r="H10102"/>
  <c r="AI10102"/>
  <c r="B10103"/>
  <c r="H10103"/>
  <c r="AI10103"/>
  <c r="B10104"/>
  <c r="H10104"/>
  <c r="AI10104"/>
  <c r="B10105"/>
  <c r="H10105"/>
  <c r="AI10105"/>
  <c r="B10106"/>
  <c r="H10106"/>
  <c r="AI10106"/>
  <c r="B10107"/>
  <c r="H10107"/>
  <c r="AI10107"/>
  <c r="B10108"/>
  <c r="H10108"/>
  <c r="AI10108"/>
  <c r="B10109"/>
  <c r="H10109"/>
  <c r="AI10109"/>
  <c r="B10110"/>
  <c r="H10110"/>
  <c r="AI10110"/>
  <c r="B10111"/>
  <c r="H10111"/>
  <c r="AI10111"/>
  <c r="B10112"/>
  <c r="H10112"/>
  <c r="AI10112"/>
  <c r="B10113"/>
  <c r="H10113"/>
  <c r="AI10113"/>
  <c r="B10114"/>
  <c r="H10114"/>
  <c r="AI10114"/>
  <c r="B10115"/>
  <c r="H10115"/>
  <c r="AI10115"/>
  <c r="B10116"/>
  <c r="H10116"/>
  <c r="AI10116"/>
  <c r="B10117"/>
  <c r="H10117"/>
  <c r="AI10117"/>
  <c r="B10118"/>
  <c r="H10118"/>
  <c r="AI10118"/>
  <c r="B10119"/>
  <c r="H10119"/>
  <c r="AI10119"/>
  <c r="B10120"/>
  <c r="H10120"/>
  <c r="AI10120"/>
  <c r="B10121"/>
  <c r="H10121"/>
  <c r="AI10121"/>
  <c r="B10122"/>
  <c r="H10122"/>
  <c r="AI10122"/>
  <c r="B10123"/>
  <c r="H10123"/>
  <c r="AI10123"/>
  <c r="B10124"/>
  <c r="H10124"/>
  <c r="AI10124"/>
  <c r="B10125"/>
  <c r="H10125"/>
  <c r="AI10125"/>
  <c r="B10126"/>
  <c r="H10126"/>
  <c r="AI10126"/>
  <c r="B10127"/>
  <c r="H10127"/>
  <c r="AI10127"/>
  <c r="B10128"/>
  <c r="H10128"/>
  <c r="AI10128"/>
  <c r="B10129"/>
  <c r="H10129"/>
  <c r="AI10129"/>
  <c r="B10130"/>
  <c r="H10130"/>
  <c r="AI10130"/>
  <c r="B10131"/>
  <c r="H10131"/>
  <c r="AI10131"/>
  <c r="B10132"/>
  <c r="H10132"/>
  <c r="AI10132"/>
  <c r="B10133"/>
  <c r="H10133"/>
  <c r="AI10133"/>
  <c r="B10134"/>
  <c r="H10134"/>
  <c r="AI10134"/>
  <c r="B10135"/>
  <c r="H10135"/>
  <c r="AI10135"/>
  <c r="B10136"/>
  <c r="H10136"/>
  <c r="AI10136"/>
  <c r="B10137"/>
  <c r="H10137"/>
  <c r="AI10137"/>
  <c r="B10138"/>
  <c r="H10138"/>
  <c r="AI10138"/>
  <c r="B10139"/>
  <c r="H10139"/>
  <c r="AI10139"/>
  <c r="B10140"/>
  <c r="H10140"/>
  <c r="AI10140"/>
  <c r="B10141"/>
  <c r="H10141"/>
  <c r="AI10141"/>
  <c r="B10142"/>
  <c r="H10142"/>
  <c r="AI10142"/>
  <c r="B10143"/>
  <c r="H10143"/>
  <c r="AI10143"/>
  <c r="B10144"/>
  <c r="H10144"/>
  <c r="AI10144"/>
  <c r="B10145"/>
  <c r="H10145"/>
  <c r="AI10145"/>
  <c r="B10146"/>
  <c r="H10146"/>
  <c r="AI10146"/>
  <c r="B10147"/>
  <c r="H10147"/>
  <c r="AI10147"/>
  <c r="B10148"/>
  <c r="H10148"/>
  <c r="AI10148"/>
  <c r="B10149"/>
  <c r="H10149"/>
  <c r="AI10149"/>
  <c r="B10150"/>
  <c r="H10150"/>
  <c r="AI10150"/>
  <c r="B10151"/>
  <c r="H10151"/>
  <c r="AI10151"/>
  <c r="B10152"/>
  <c r="H10152"/>
  <c r="AI10152"/>
  <c r="B10153"/>
  <c r="H10153"/>
  <c r="AI10153"/>
  <c r="B10154"/>
  <c r="H10154"/>
  <c r="AI10154"/>
  <c r="B10155"/>
  <c r="H10155"/>
  <c r="AI10155"/>
  <c r="B10156"/>
  <c r="H10156"/>
  <c r="AI10156"/>
  <c r="B10157"/>
  <c r="H10157"/>
  <c r="AI10157"/>
  <c r="B10158"/>
  <c r="H10158"/>
  <c r="AI10158"/>
  <c r="B10159"/>
  <c r="H10159"/>
  <c r="AI10159"/>
  <c r="B10160"/>
  <c r="H10160"/>
  <c r="AI10160"/>
  <c r="B10161"/>
  <c r="H10161"/>
  <c r="AI10161"/>
  <c r="B10162"/>
  <c r="H10162"/>
  <c r="AI10162"/>
  <c r="B10163"/>
  <c r="H10163"/>
  <c r="AI10163"/>
  <c r="B10164"/>
  <c r="H10164"/>
  <c r="AI10164"/>
  <c r="B10165"/>
  <c r="H10165"/>
  <c r="AI10165"/>
  <c r="B10166"/>
  <c r="H10166"/>
  <c r="AI10166"/>
  <c r="B10167"/>
  <c r="H10167"/>
  <c r="AI10167"/>
  <c r="B10168"/>
  <c r="H10168"/>
  <c r="AI10168"/>
  <c r="B10169"/>
  <c r="H10169"/>
  <c r="AI10169"/>
  <c r="B10170"/>
  <c r="H10170"/>
  <c r="AI10170"/>
  <c r="B10171"/>
  <c r="H10171"/>
  <c r="AI10171"/>
  <c r="B10172"/>
  <c r="H10172"/>
  <c r="AI10172"/>
  <c r="B10173"/>
  <c r="H10173"/>
  <c r="AI10173"/>
  <c r="B10174"/>
  <c r="H10174"/>
  <c r="AI10174"/>
  <c r="B10175"/>
  <c r="H10175"/>
  <c r="AI10175"/>
  <c r="B10176"/>
  <c r="H10176"/>
  <c r="AI10176"/>
  <c r="B10177"/>
  <c r="H10177"/>
  <c r="AI10177"/>
  <c r="B10178"/>
  <c r="H10178"/>
  <c r="AI10178"/>
  <c r="B10179"/>
  <c r="H10179"/>
  <c r="AI10179"/>
  <c r="B10180"/>
  <c r="H10180"/>
  <c r="AI10180"/>
  <c r="B10181"/>
  <c r="H10181"/>
  <c r="AI10181"/>
  <c r="B10182"/>
  <c r="H10182"/>
  <c r="AI10182"/>
  <c r="B10183"/>
  <c r="H10183"/>
  <c r="AI10183"/>
  <c r="B10184"/>
  <c r="H10184"/>
  <c r="AI10184"/>
  <c r="B10185"/>
  <c r="H10185"/>
  <c r="AI10185"/>
  <c r="B10186"/>
  <c r="H10186"/>
  <c r="AI10186"/>
  <c r="B10187"/>
  <c r="H10187"/>
  <c r="AI10187"/>
  <c r="B10188"/>
  <c r="H10188"/>
  <c r="AI10188"/>
  <c r="B10189"/>
  <c r="H10189"/>
  <c r="AI10189"/>
  <c r="B10190"/>
  <c r="H10190"/>
  <c r="AI10190"/>
  <c r="B10191"/>
  <c r="H10191"/>
  <c r="AI10191"/>
  <c r="B10192"/>
  <c r="H10192"/>
  <c r="AI10192"/>
  <c r="B10193"/>
  <c r="H10193"/>
  <c r="AI10193"/>
  <c r="B10194"/>
  <c r="H10194"/>
  <c r="AI10194"/>
  <c r="B10195"/>
  <c r="H10195"/>
  <c r="AI10195"/>
  <c r="B10196"/>
  <c r="H10196"/>
  <c r="AI10196"/>
  <c r="B10197"/>
  <c r="H10197"/>
  <c r="AI10197"/>
  <c r="B10198"/>
  <c r="H10198"/>
  <c r="AI10198"/>
  <c r="B10199"/>
  <c r="H10199"/>
  <c r="AI10199"/>
  <c r="B10200"/>
  <c r="H10200"/>
  <c r="AI10200"/>
  <c r="B10201"/>
  <c r="H10201"/>
  <c r="AI10201"/>
  <c r="B10202"/>
  <c r="H10202"/>
  <c r="AI10202"/>
  <c r="B10203"/>
  <c r="H10203"/>
  <c r="AI10203"/>
  <c r="B10204"/>
  <c r="H10204"/>
  <c r="AI10204"/>
  <c r="B10205"/>
  <c r="H10205"/>
  <c r="AI10205"/>
  <c r="B10206"/>
  <c r="H10206"/>
  <c r="AI10206"/>
  <c r="B10207"/>
  <c r="H10207"/>
  <c r="AI10207"/>
  <c r="B10208"/>
  <c r="H10208"/>
  <c r="AI10208"/>
  <c r="B10209"/>
  <c r="H10209"/>
  <c r="AI10209"/>
  <c r="B10210"/>
  <c r="H10210"/>
  <c r="AI10210"/>
  <c r="B10211"/>
  <c r="H10211"/>
  <c r="AI10211"/>
  <c r="B10212"/>
  <c r="H10212"/>
  <c r="AI10212"/>
  <c r="B10213"/>
  <c r="H10213"/>
  <c r="AI10213"/>
  <c r="B10214"/>
  <c r="H10214"/>
  <c r="AI10214"/>
  <c r="B10215"/>
  <c r="H10215"/>
  <c r="AI10215"/>
  <c r="B10216"/>
  <c r="H10216"/>
  <c r="AI10216"/>
  <c r="B10217"/>
  <c r="H10217"/>
  <c r="AI10217"/>
  <c r="B10218"/>
  <c r="H10218"/>
  <c r="AI10218"/>
  <c r="B10219"/>
  <c r="H10219"/>
  <c r="AI10219"/>
  <c r="B10220"/>
  <c r="H10220"/>
  <c r="AI10220"/>
  <c r="B10221"/>
  <c r="H10221"/>
  <c r="AI10221"/>
  <c r="B10222"/>
  <c r="H10222"/>
  <c r="AI10222"/>
  <c r="B10223"/>
  <c r="H10223"/>
  <c r="AI10223"/>
  <c r="B10224"/>
  <c r="H10224"/>
  <c r="AI10224"/>
  <c r="B10225"/>
  <c r="H10225"/>
  <c r="AI10225"/>
  <c r="B10226"/>
  <c r="H10226"/>
  <c r="AI10226"/>
  <c r="B10227"/>
  <c r="H10227"/>
  <c r="AI10227"/>
  <c r="B10228"/>
  <c r="H10228"/>
  <c r="AI10228"/>
  <c r="B10229"/>
  <c r="H10229"/>
  <c r="AI10229"/>
  <c r="B10230"/>
  <c r="H10230"/>
  <c r="AI10230"/>
  <c r="B10231"/>
  <c r="H10231"/>
  <c r="AI10231"/>
  <c r="B10232"/>
  <c r="H10232"/>
  <c r="AI10232"/>
  <c r="B10233"/>
  <c r="H10233"/>
  <c r="AI10233"/>
  <c r="B10234"/>
  <c r="H10234"/>
  <c r="AI10234"/>
  <c r="B10235"/>
  <c r="H10235"/>
  <c r="AI10235"/>
  <c r="B10236"/>
  <c r="H10236"/>
  <c r="AI10236"/>
  <c r="B10237"/>
  <c r="H10237"/>
  <c r="AI10237"/>
  <c r="B10238"/>
  <c r="H10238"/>
  <c r="AI10238"/>
  <c r="B10239"/>
  <c r="H10239"/>
  <c r="AI10239"/>
  <c r="B10240"/>
  <c r="H10240"/>
  <c r="AI10240"/>
  <c r="B10241"/>
  <c r="H10241"/>
  <c r="AI10241"/>
  <c r="B10242"/>
  <c r="H10242"/>
  <c r="AI10242"/>
  <c r="B10243"/>
  <c r="H10243"/>
  <c r="AI10243"/>
  <c r="B10244"/>
  <c r="H10244"/>
  <c r="AI10244"/>
  <c r="B10245"/>
  <c r="H10245"/>
  <c r="AI10245"/>
  <c r="B10246"/>
  <c r="H10246"/>
  <c r="AI10246"/>
  <c r="B10247"/>
  <c r="H10247"/>
  <c r="AI10247"/>
  <c r="B10248"/>
  <c r="H10248"/>
  <c r="AI10248"/>
  <c r="B10249"/>
  <c r="H10249"/>
  <c r="AI10249"/>
  <c r="B10250"/>
  <c r="H10250"/>
  <c r="AI10250"/>
  <c r="B10251"/>
  <c r="H10251"/>
  <c r="AI10251"/>
  <c r="B10252"/>
  <c r="H10252"/>
  <c r="AI10252"/>
  <c r="B10253"/>
  <c r="H10253"/>
  <c r="AI10253"/>
  <c r="B10254"/>
  <c r="H10254"/>
  <c r="AI10254"/>
  <c r="B10255"/>
  <c r="H10255"/>
  <c r="AI10255"/>
  <c r="B10256"/>
  <c r="H10256"/>
  <c r="AI10256"/>
  <c r="B10257"/>
  <c r="H10257"/>
  <c r="AI10257"/>
  <c r="B10258"/>
  <c r="H10258"/>
  <c r="AI10258"/>
  <c r="B10259"/>
  <c r="H10259"/>
  <c r="AI10259"/>
  <c r="B10260"/>
  <c r="H10260"/>
  <c r="AI10260"/>
  <c r="B10261"/>
  <c r="H10261"/>
  <c r="AI10261"/>
  <c r="B10262"/>
  <c r="H10262"/>
  <c r="AI10262"/>
  <c r="B10263"/>
  <c r="H10263"/>
  <c r="AI10263"/>
  <c r="B10264"/>
  <c r="H10264"/>
  <c r="AI10264"/>
  <c r="B10265"/>
  <c r="H10265"/>
  <c r="AI10265"/>
  <c r="B10266"/>
  <c r="H10266"/>
  <c r="AI10266"/>
  <c r="B10267"/>
  <c r="H10267"/>
  <c r="AI10267"/>
  <c r="B10268"/>
  <c r="H10268"/>
  <c r="AI10268"/>
  <c r="B10269"/>
  <c r="H10269"/>
  <c r="AI10269"/>
  <c r="B10270"/>
  <c r="H10270"/>
  <c r="AI10270"/>
  <c r="B10271"/>
  <c r="H10271"/>
  <c r="AI10271"/>
  <c r="B10272"/>
  <c r="H10272"/>
  <c r="AI10272"/>
  <c r="B10273"/>
  <c r="H10273"/>
  <c r="AI10273"/>
  <c r="B10274"/>
  <c r="H10274"/>
  <c r="AI10274"/>
  <c r="B10275"/>
  <c r="H10275"/>
  <c r="AI10275"/>
  <c r="B10276"/>
  <c r="H10276"/>
  <c r="AI10276"/>
  <c r="B10277"/>
  <c r="H10277"/>
  <c r="AI10277"/>
  <c r="B10278"/>
  <c r="H10278"/>
  <c r="AI10278"/>
  <c r="B10279"/>
  <c r="H10279"/>
  <c r="AI10279"/>
  <c r="B10280"/>
  <c r="H10280"/>
  <c r="AI10280"/>
  <c r="B10281"/>
  <c r="H10281"/>
  <c r="AI10281"/>
  <c r="B10282"/>
  <c r="H10282"/>
  <c r="AI10282"/>
  <c r="B10283"/>
  <c r="H10283"/>
  <c r="AI10283"/>
  <c r="B10284"/>
  <c r="H10284"/>
  <c r="AI10284"/>
  <c r="B10285"/>
  <c r="H10285"/>
  <c r="AI10285"/>
  <c r="B10286"/>
  <c r="H10286"/>
  <c r="AI10286"/>
  <c r="B10287"/>
  <c r="H10287"/>
  <c r="AI10287"/>
  <c r="B10288"/>
  <c r="H10288"/>
  <c r="AI10288"/>
  <c r="B10289"/>
  <c r="H10289"/>
  <c r="AI10289"/>
  <c r="B10290"/>
  <c r="H10290"/>
  <c r="AI10290"/>
  <c r="B10291"/>
  <c r="H10291"/>
  <c r="AI10291"/>
  <c r="B10292"/>
  <c r="H10292"/>
  <c r="AI10292"/>
  <c r="B10293"/>
  <c r="H10293"/>
  <c r="AI10293"/>
  <c r="B10294"/>
  <c r="H10294"/>
  <c r="AI10294"/>
  <c r="B10295"/>
  <c r="H10295"/>
  <c r="AI10295"/>
  <c r="B10296"/>
  <c r="H10296"/>
  <c r="AI10296"/>
  <c r="B10297"/>
  <c r="H10297"/>
  <c r="AI10297"/>
  <c r="B10298"/>
  <c r="H10298"/>
  <c r="AI10298"/>
  <c r="B10299"/>
  <c r="H10299"/>
  <c r="AI10299"/>
  <c r="B10300"/>
  <c r="H10300"/>
  <c r="AI10300"/>
  <c r="B10301"/>
  <c r="H10301"/>
  <c r="AI10301"/>
  <c r="B10302"/>
  <c r="H10302"/>
  <c r="AI10302"/>
  <c r="B10303"/>
  <c r="H10303"/>
  <c r="AI10303"/>
  <c r="B10304"/>
  <c r="H10304"/>
  <c r="AI10304"/>
  <c r="B10305"/>
  <c r="H10305"/>
  <c r="AI10305"/>
  <c r="B10306"/>
  <c r="H10306"/>
  <c r="AI10306"/>
  <c r="B10307"/>
  <c r="H10307"/>
  <c r="AI10307"/>
  <c r="B10308"/>
  <c r="H10308"/>
  <c r="AI10308"/>
  <c r="B10309"/>
  <c r="H10309"/>
  <c r="AI10309"/>
  <c r="B10310"/>
  <c r="H10310"/>
  <c r="AI10310"/>
  <c r="B10311"/>
  <c r="H10311"/>
  <c r="AI10311"/>
  <c r="B10312"/>
  <c r="H10312"/>
  <c r="AI10312"/>
  <c r="B10313"/>
  <c r="H10313"/>
  <c r="AI10313"/>
  <c r="B10314"/>
  <c r="H10314"/>
  <c r="AI10314"/>
  <c r="B10315"/>
  <c r="H10315"/>
  <c r="AI10315"/>
  <c r="B10316"/>
  <c r="H10316"/>
  <c r="AI10316"/>
  <c r="B10317"/>
  <c r="H10317"/>
  <c r="AI10317"/>
  <c r="B10318"/>
  <c r="H10318"/>
  <c r="AI10318"/>
  <c r="B10319"/>
  <c r="H10319"/>
  <c r="AI10319"/>
  <c r="B10320"/>
  <c r="H10320"/>
  <c r="AI10320"/>
  <c r="B10321"/>
  <c r="H10321"/>
  <c r="AI10321"/>
  <c r="B10322"/>
  <c r="H10322"/>
  <c r="AI10322"/>
  <c r="B10323"/>
  <c r="H10323"/>
  <c r="AI10323"/>
  <c r="B10324"/>
  <c r="H10324"/>
  <c r="AI10324"/>
  <c r="B10325"/>
  <c r="H10325"/>
  <c r="AI10325"/>
  <c r="B10326"/>
  <c r="H10326"/>
  <c r="AI10326"/>
  <c r="B10327"/>
  <c r="H10327"/>
  <c r="AI10327"/>
  <c r="B10328"/>
  <c r="H10328"/>
  <c r="AI10328"/>
  <c r="B10329"/>
  <c r="H10329"/>
  <c r="AI10329"/>
  <c r="B10330"/>
  <c r="H10330"/>
  <c r="AI10330"/>
  <c r="B10331"/>
  <c r="H10331"/>
  <c r="AI10331"/>
  <c r="B10332"/>
  <c r="H10332"/>
  <c r="AI10332"/>
  <c r="B10333"/>
  <c r="H10333"/>
  <c r="AI10333"/>
  <c r="B10334"/>
  <c r="H10334"/>
  <c r="AI10334"/>
  <c r="B10335"/>
  <c r="H10335"/>
  <c r="AI10335"/>
  <c r="B10336"/>
  <c r="H10336"/>
  <c r="AI10336"/>
  <c r="B10337"/>
  <c r="H10337"/>
  <c r="AI10337"/>
  <c r="B10338"/>
  <c r="H10338"/>
  <c r="AI10338"/>
  <c r="B10339"/>
  <c r="H10339"/>
  <c r="AI10339"/>
  <c r="B10340"/>
  <c r="H10340"/>
  <c r="AI10340"/>
  <c r="B10341"/>
  <c r="H10341"/>
  <c r="AI10341"/>
  <c r="B10342"/>
  <c r="H10342"/>
  <c r="AI10342"/>
  <c r="B10343"/>
  <c r="H10343"/>
  <c r="AI10343"/>
  <c r="B10344"/>
  <c r="H10344"/>
  <c r="AI10344"/>
  <c r="B10345"/>
  <c r="H10345"/>
  <c r="AI10345"/>
  <c r="B10346"/>
  <c r="H10346"/>
  <c r="AI10346"/>
  <c r="B10347"/>
  <c r="H10347"/>
  <c r="AI10347"/>
  <c r="B10348"/>
  <c r="H10348"/>
  <c r="AI10348"/>
  <c r="B10349"/>
  <c r="H10349"/>
  <c r="AI10349"/>
  <c r="B10350"/>
  <c r="H10350"/>
  <c r="AI10350"/>
  <c r="B10351"/>
  <c r="H10351"/>
  <c r="AI10351"/>
  <c r="B10352"/>
  <c r="H10352"/>
  <c r="AI10352"/>
  <c r="B10353"/>
  <c r="H10353"/>
  <c r="AI10353"/>
  <c r="B10354"/>
  <c r="H10354"/>
  <c r="AI10354"/>
  <c r="B10355"/>
  <c r="H10355"/>
  <c r="AI10355"/>
  <c r="B10356"/>
  <c r="H10356"/>
  <c r="AI10356"/>
  <c r="B10357"/>
  <c r="H10357"/>
  <c r="AI10357"/>
  <c r="B10358"/>
  <c r="H10358"/>
  <c r="AI10358"/>
  <c r="B10359"/>
  <c r="H10359"/>
  <c r="AI10359"/>
  <c r="B10360"/>
  <c r="H10360"/>
  <c r="AI10360"/>
  <c r="B10361"/>
  <c r="H10361"/>
  <c r="AI10361"/>
  <c r="B10362"/>
  <c r="H10362"/>
  <c r="AI10362"/>
  <c r="B10363"/>
  <c r="H10363"/>
  <c r="AI10363"/>
  <c r="B10364"/>
  <c r="H10364"/>
  <c r="AI10364"/>
  <c r="B10365"/>
  <c r="H10365"/>
  <c r="AI10365"/>
  <c r="B10366"/>
  <c r="H10366"/>
  <c r="AI10366"/>
  <c r="B10367"/>
  <c r="H10367"/>
  <c r="AI10367"/>
  <c r="B10368"/>
  <c r="H10368"/>
  <c r="AI10368"/>
  <c r="B10369"/>
  <c r="H10369"/>
  <c r="AI10369"/>
  <c r="B10370"/>
  <c r="H10370"/>
  <c r="AI10370"/>
  <c r="B10371"/>
  <c r="H10371"/>
  <c r="AI10371"/>
  <c r="B10372"/>
  <c r="H10372"/>
  <c r="AI10372"/>
  <c r="B10373"/>
  <c r="H10373"/>
  <c r="AI10373"/>
  <c r="B10374"/>
  <c r="H10374"/>
  <c r="AI10374"/>
  <c r="B10375"/>
  <c r="H10375"/>
  <c r="AI10375"/>
  <c r="B10376"/>
  <c r="H10376"/>
  <c r="AI10376"/>
  <c r="B10377"/>
  <c r="H10377"/>
  <c r="AI10377"/>
  <c r="B10378"/>
  <c r="H10378"/>
  <c r="AI10378"/>
  <c r="B10379"/>
  <c r="H10379"/>
  <c r="AI10379"/>
  <c r="B10380"/>
  <c r="H10380"/>
  <c r="AI10380"/>
  <c r="B10381"/>
  <c r="H10381"/>
  <c r="AI10381"/>
  <c r="B10382"/>
  <c r="H10382"/>
  <c r="AI10382"/>
  <c r="B10383"/>
  <c r="H10383"/>
  <c r="AI10383"/>
  <c r="B10384"/>
  <c r="H10384"/>
  <c r="AI10384"/>
  <c r="B10385"/>
  <c r="H10385"/>
  <c r="AI10385"/>
  <c r="B10386"/>
  <c r="H10386"/>
  <c r="AI10386"/>
  <c r="B10387"/>
  <c r="H10387"/>
  <c r="AI10387"/>
  <c r="B10388"/>
  <c r="H10388"/>
  <c r="AI10388"/>
  <c r="B10389"/>
  <c r="H10389"/>
  <c r="AI10389"/>
  <c r="B10390"/>
  <c r="H10390"/>
  <c r="AI10390"/>
  <c r="B10391"/>
  <c r="H10391"/>
  <c r="AI10391"/>
  <c r="B10392"/>
  <c r="H10392"/>
  <c r="AI10392"/>
  <c r="B10393"/>
  <c r="H10393"/>
  <c r="AI10393"/>
  <c r="B10394"/>
  <c r="H10394"/>
  <c r="AI10394"/>
  <c r="B10395"/>
  <c r="H10395"/>
  <c r="AI10395"/>
  <c r="B10396"/>
  <c r="H10396"/>
  <c r="AI10396"/>
  <c r="B10397"/>
  <c r="H10397"/>
  <c r="AI10397"/>
  <c r="B10398"/>
  <c r="H10398"/>
  <c r="AI10398"/>
  <c r="B10399"/>
  <c r="H10399"/>
  <c r="AI10399"/>
  <c r="B10400"/>
  <c r="H10400"/>
  <c r="AI10400"/>
  <c r="B10401"/>
  <c r="H10401"/>
  <c r="AI10401"/>
  <c r="B10402"/>
  <c r="H10402"/>
  <c r="AI10402"/>
  <c r="B10403"/>
  <c r="H10403"/>
  <c r="AI10403"/>
  <c r="B10404"/>
  <c r="H10404"/>
  <c r="AI10404"/>
  <c r="B10405"/>
  <c r="H10405"/>
  <c r="AI10405"/>
  <c r="B10406"/>
  <c r="H10406"/>
  <c r="AI10406"/>
  <c r="B10407"/>
  <c r="H10407"/>
  <c r="AI10407"/>
  <c r="B10408"/>
  <c r="H10408"/>
  <c r="AI10408"/>
  <c r="B10409"/>
  <c r="H10409"/>
  <c r="AI10409"/>
  <c r="B10410"/>
  <c r="H10410"/>
  <c r="AI10410"/>
  <c r="B10411"/>
  <c r="H10411"/>
  <c r="AI10411"/>
  <c r="B10412"/>
  <c r="H10412"/>
  <c r="AI10412"/>
  <c r="B10413"/>
  <c r="H10413"/>
  <c r="AI10413"/>
  <c r="B10414"/>
  <c r="H10414"/>
  <c r="AI10414"/>
  <c r="B10415"/>
  <c r="H10415"/>
  <c r="AI10415"/>
  <c r="B10416"/>
  <c r="H10416"/>
  <c r="AI10416"/>
  <c r="B10417"/>
  <c r="H10417"/>
  <c r="AI10417"/>
  <c r="B10418"/>
  <c r="H10418"/>
  <c r="AI10418"/>
  <c r="B10419"/>
  <c r="H10419"/>
  <c r="AI10419"/>
  <c r="B10420"/>
  <c r="H10420"/>
  <c r="AI10420"/>
  <c r="B10421"/>
  <c r="H10421"/>
  <c r="AI10421"/>
  <c r="B10422"/>
  <c r="H10422"/>
  <c r="AI10422"/>
  <c r="B10423"/>
  <c r="H10423"/>
  <c r="AI10423"/>
  <c r="B10424"/>
  <c r="H10424"/>
  <c r="AI10424"/>
  <c r="B10425"/>
  <c r="H10425"/>
  <c r="AI10425"/>
  <c r="B10426"/>
  <c r="H10426"/>
  <c r="AI10426"/>
  <c r="B10427"/>
  <c r="H10427"/>
  <c r="AI10427"/>
  <c r="B10428"/>
  <c r="H10428"/>
  <c r="AI10428"/>
  <c r="B10429"/>
  <c r="H10429"/>
  <c r="AI10429"/>
  <c r="B10430"/>
  <c r="H10430"/>
  <c r="AI10430"/>
  <c r="B10431"/>
  <c r="H10431"/>
  <c r="AI10431"/>
  <c r="B10432"/>
  <c r="H10432"/>
  <c r="AI10432"/>
  <c r="B10433"/>
  <c r="H10433"/>
  <c r="AI10433"/>
  <c r="B10434"/>
  <c r="H10434"/>
  <c r="AI10434"/>
  <c r="B10435"/>
  <c r="H10435"/>
  <c r="AI10435"/>
  <c r="B10436"/>
  <c r="H10436"/>
  <c r="AI10436"/>
  <c r="B10437"/>
  <c r="H10437"/>
  <c r="AI10437"/>
  <c r="B10438"/>
  <c r="H10438"/>
  <c r="AI10438"/>
  <c r="B10439"/>
  <c r="H10439"/>
  <c r="AI10439"/>
  <c r="B10440"/>
  <c r="H10440"/>
  <c r="AI10440"/>
  <c r="B10441"/>
  <c r="H10441"/>
  <c r="AI10441"/>
  <c r="B10442"/>
  <c r="H10442"/>
  <c r="AI10442"/>
  <c r="B10443"/>
  <c r="H10443"/>
  <c r="AI10443"/>
  <c r="B10444"/>
  <c r="H10444"/>
  <c r="AI10444"/>
  <c r="B10445"/>
  <c r="H10445"/>
  <c r="AI10445"/>
  <c r="B10446"/>
  <c r="H10446"/>
  <c r="AI10446"/>
  <c r="B10447"/>
  <c r="H10447"/>
  <c r="AI10447"/>
  <c r="B10448"/>
  <c r="H10448"/>
  <c r="AI10448"/>
  <c r="B10449"/>
  <c r="H10449"/>
  <c r="AI10449"/>
  <c r="B10450"/>
  <c r="H10450"/>
  <c r="AI10450"/>
  <c r="B10451"/>
  <c r="H10451"/>
  <c r="AI10451"/>
  <c r="B10452"/>
  <c r="H10452"/>
  <c r="AI10452"/>
  <c r="B10453"/>
  <c r="H10453"/>
  <c r="AI10453"/>
  <c r="B10454"/>
  <c r="H10454"/>
  <c r="AI10454"/>
  <c r="B10455"/>
  <c r="H10455"/>
  <c r="AI10455"/>
  <c r="B10456"/>
  <c r="H10456"/>
  <c r="AI10456"/>
  <c r="B10457"/>
  <c r="H10457"/>
  <c r="AI10457"/>
  <c r="B10458"/>
  <c r="H10458"/>
  <c r="AI10458"/>
  <c r="B10459"/>
  <c r="H10459"/>
  <c r="AI10459"/>
  <c r="B10460"/>
  <c r="H10460"/>
  <c r="AI10460"/>
  <c r="B10461"/>
  <c r="H10461"/>
  <c r="AI10461"/>
  <c r="B10462"/>
  <c r="H10462"/>
  <c r="AI10462"/>
  <c r="B10463"/>
  <c r="H10463"/>
  <c r="AI10463"/>
  <c r="B10464"/>
  <c r="H10464"/>
  <c r="AI10464"/>
  <c r="B10465"/>
  <c r="H10465"/>
  <c r="AI10465"/>
  <c r="B10466"/>
  <c r="H10466"/>
  <c r="AI10466"/>
  <c r="B10467"/>
  <c r="H10467"/>
  <c r="AI10467"/>
  <c r="B10468"/>
  <c r="H10468"/>
  <c r="AI10468"/>
  <c r="B10469"/>
  <c r="H10469"/>
  <c r="AI10469"/>
  <c r="B10470"/>
  <c r="H10470"/>
  <c r="AI10470"/>
  <c r="B10471"/>
  <c r="H10471"/>
  <c r="AI10471"/>
  <c r="B10472"/>
  <c r="H10472"/>
  <c r="AI10472"/>
  <c r="B10473"/>
  <c r="H10473"/>
  <c r="AI10473"/>
  <c r="B10474"/>
  <c r="H10474"/>
  <c r="AI10474"/>
  <c r="B10475"/>
  <c r="H10475"/>
  <c r="AI10475"/>
  <c r="B10476"/>
  <c r="H10476"/>
  <c r="AI10476"/>
  <c r="B10477"/>
  <c r="H10477"/>
  <c r="AI10477"/>
  <c r="B10478"/>
  <c r="H10478"/>
  <c r="AI10478"/>
  <c r="B10479"/>
  <c r="H10479"/>
  <c r="AI10479"/>
  <c r="B10480"/>
  <c r="H10480"/>
  <c r="AI10480"/>
  <c r="B10481"/>
  <c r="H10481"/>
  <c r="AI10481"/>
  <c r="B10482"/>
  <c r="H10482"/>
  <c r="AI10482"/>
  <c r="B10483"/>
  <c r="H10483"/>
  <c r="AI10483"/>
  <c r="B10484"/>
  <c r="H10484"/>
  <c r="AI10484"/>
  <c r="B10485"/>
  <c r="H10485"/>
  <c r="AI10485"/>
  <c r="B10486"/>
  <c r="H10486"/>
  <c r="AI10486"/>
  <c r="B10487"/>
  <c r="H10487"/>
  <c r="AI10487"/>
  <c r="B10488"/>
  <c r="H10488"/>
  <c r="AI10488"/>
  <c r="B10489"/>
  <c r="H10489"/>
  <c r="AI10489"/>
  <c r="B10490"/>
  <c r="H10490"/>
  <c r="AI10490"/>
  <c r="B10491"/>
  <c r="H10491"/>
  <c r="AI10491"/>
  <c r="B10492"/>
  <c r="H10492"/>
  <c r="AI10492"/>
  <c r="B10493"/>
  <c r="H10493"/>
  <c r="AI10493"/>
  <c r="B10494"/>
  <c r="H10494"/>
  <c r="AI10494"/>
  <c r="B10495"/>
  <c r="H10495"/>
  <c r="AI10495"/>
  <c r="B10496"/>
  <c r="H10496"/>
  <c r="AI10496"/>
  <c r="B10497"/>
  <c r="H10497"/>
  <c r="AI10497"/>
  <c r="B10498"/>
  <c r="H10498"/>
  <c r="AI10498"/>
  <c r="B10499"/>
  <c r="H10499"/>
  <c r="AI10499"/>
  <c r="B10500"/>
  <c r="H10500"/>
  <c r="AI10500"/>
  <c r="B10501"/>
  <c r="H10501"/>
  <c r="AI10501"/>
  <c r="B10502"/>
  <c r="H10502"/>
  <c r="AI10502"/>
  <c r="B10503"/>
  <c r="H10503"/>
  <c r="AI10503"/>
  <c r="B10504"/>
  <c r="H10504"/>
  <c r="AI10504"/>
  <c r="B10505"/>
  <c r="H10505"/>
  <c r="AI10505"/>
  <c r="B10506"/>
  <c r="H10506"/>
  <c r="AI10506"/>
  <c r="B10507"/>
  <c r="H10507"/>
  <c r="AI10507"/>
  <c r="B10508"/>
  <c r="H10508"/>
  <c r="AI10508"/>
  <c r="B10509"/>
  <c r="H10509"/>
  <c r="AI10509"/>
  <c r="B10510"/>
  <c r="H10510"/>
  <c r="AI10510"/>
  <c r="B10511"/>
  <c r="H10511"/>
  <c r="AI10511"/>
  <c r="B10512"/>
  <c r="H10512"/>
  <c r="AI10512"/>
  <c r="B10513"/>
  <c r="H10513"/>
  <c r="AI10513"/>
  <c r="B10514"/>
  <c r="H10514"/>
  <c r="AI10514"/>
  <c r="B10515"/>
  <c r="H10515"/>
  <c r="AI10515"/>
  <c r="B10516"/>
  <c r="H10516"/>
  <c r="AI10516"/>
  <c r="B10517"/>
  <c r="H10517"/>
  <c r="AI10517"/>
  <c r="B10518"/>
  <c r="H10518"/>
  <c r="AI10518"/>
  <c r="B10519"/>
  <c r="H10519"/>
  <c r="AI10519"/>
  <c r="B10520"/>
  <c r="H10520"/>
  <c r="AI10520"/>
  <c r="B10521"/>
  <c r="H10521"/>
  <c r="AI10521"/>
  <c r="B10522"/>
  <c r="H10522"/>
  <c r="AI10522"/>
  <c r="B10523"/>
  <c r="H10523"/>
  <c r="AI10523"/>
  <c r="B10524"/>
  <c r="H10524"/>
  <c r="AI10524"/>
  <c r="B10525"/>
  <c r="H10525"/>
  <c r="AI10525"/>
  <c r="B10526"/>
  <c r="H10526"/>
  <c r="AI10526"/>
  <c r="B10527"/>
  <c r="H10527"/>
  <c r="AI10527"/>
  <c r="B10528"/>
  <c r="H10528"/>
  <c r="AI10528"/>
  <c r="B10529"/>
  <c r="H10529"/>
  <c r="AI10529"/>
  <c r="B10530"/>
  <c r="H10530"/>
  <c r="AI10530"/>
  <c r="B10531"/>
  <c r="H10531"/>
  <c r="AI10531"/>
  <c r="B10532"/>
  <c r="H10532"/>
  <c r="AI10532"/>
  <c r="B10533"/>
  <c r="H10533"/>
  <c r="AI10533"/>
  <c r="B10534"/>
  <c r="H10534"/>
  <c r="AI10534"/>
  <c r="B10535"/>
  <c r="H10535"/>
  <c r="AI10535"/>
  <c r="B10536"/>
  <c r="H10536"/>
  <c r="AI10536"/>
  <c r="B10537"/>
  <c r="H10537"/>
  <c r="AI10537"/>
  <c r="B10538"/>
  <c r="H10538"/>
  <c r="AI10538"/>
  <c r="B10539"/>
  <c r="H10539"/>
  <c r="AI10539"/>
  <c r="B10540"/>
  <c r="H10540"/>
  <c r="AI10540"/>
  <c r="B10541"/>
  <c r="H10541"/>
  <c r="AI10541"/>
  <c r="B10542"/>
  <c r="H10542"/>
  <c r="AI10542"/>
  <c r="B10543"/>
  <c r="H10543"/>
  <c r="AI10543"/>
  <c r="B10544"/>
  <c r="H10544"/>
  <c r="AI10544"/>
  <c r="B10545"/>
  <c r="H10545"/>
  <c r="AI10545"/>
  <c r="B10546"/>
  <c r="H10546"/>
  <c r="AI10546"/>
  <c r="B10547"/>
  <c r="H10547"/>
  <c r="AI10547"/>
  <c r="B10548"/>
  <c r="H10548"/>
  <c r="AI10548"/>
  <c r="B10549"/>
  <c r="H10549"/>
  <c r="AI10549"/>
  <c r="B10550"/>
  <c r="H10550"/>
  <c r="AI10550"/>
  <c r="B10551"/>
  <c r="H10551"/>
  <c r="AI10551"/>
  <c r="B10552"/>
  <c r="H10552"/>
  <c r="AI10552"/>
  <c r="B10553"/>
  <c r="H10553"/>
  <c r="AI10553"/>
  <c r="B10554"/>
  <c r="H10554"/>
  <c r="AI10554"/>
  <c r="B10555"/>
  <c r="H10555"/>
  <c r="AI10555"/>
  <c r="B10556"/>
  <c r="H10556"/>
  <c r="AI10556"/>
  <c r="B10557"/>
  <c r="H10557"/>
  <c r="AI10557"/>
  <c r="B10558"/>
  <c r="H10558"/>
  <c r="AI10558"/>
  <c r="B10559"/>
  <c r="H10559"/>
  <c r="AI10559"/>
  <c r="B10560"/>
  <c r="H10560"/>
  <c r="AI10560"/>
  <c r="B10561"/>
  <c r="H10561"/>
  <c r="AI10561"/>
  <c r="B10562"/>
  <c r="H10562"/>
  <c r="AI10562"/>
  <c r="B10563"/>
  <c r="H10563"/>
  <c r="AI10563"/>
  <c r="B10564"/>
  <c r="H10564"/>
  <c r="AI10564"/>
  <c r="B10565"/>
  <c r="H10565"/>
  <c r="AI10565"/>
  <c r="B10566"/>
  <c r="H10566"/>
  <c r="AI10566"/>
  <c r="B10567"/>
  <c r="H10567"/>
  <c r="AI10567"/>
  <c r="B10568"/>
  <c r="H10568"/>
  <c r="AI10568"/>
  <c r="B10569"/>
  <c r="H10569"/>
  <c r="AI10569"/>
  <c r="B10570"/>
  <c r="H10570"/>
  <c r="AI10570"/>
  <c r="B10571"/>
  <c r="H10571"/>
  <c r="AI10571"/>
  <c r="B10572"/>
  <c r="H10572"/>
  <c r="AI10572"/>
  <c r="B10573"/>
  <c r="H10573"/>
  <c r="AI10573"/>
  <c r="B10574"/>
  <c r="H10574"/>
  <c r="AI10574"/>
  <c r="B10575"/>
  <c r="H10575"/>
  <c r="AI10575"/>
  <c r="B10576"/>
  <c r="H10576"/>
  <c r="AI10576"/>
  <c r="B10577"/>
  <c r="H10577"/>
  <c r="AI10577"/>
  <c r="B10578"/>
  <c r="H10578"/>
  <c r="AI10578"/>
  <c r="B10579"/>
  <c r="H10579"/>
  <c r="AI10579"/>
  <c r="B10580"/>
  <c r="H10580"/>
  <c r="AI10580"/>
  <c r="B10581"/>
  <c r="H10581"/>
  <c r="AI10581"/>
  <c r="B10582"/>
  <c r="H10582"/>
  <c r="AI10582"/>
  <c r="B10583"/>
  <c r="H10583"/>
  <c r="AI10583"/>
  <c r="B10584"/>
  <c r="H10584"/>
  <c r="AI10584"/>
  <c r="B10585"/>
  <c r="H10585"/>
  <c r="AI10585"/>
  <c r="B10586"/>
  <c r="H10586"/>
  <c r="AI10586"/>
  <c r="B10587"/>
  <c r="H10587"/>
  <c r="AI10587"/>
  <c r="B10588"/>
  <c r="H10588"/>
  <c r="AI10588"/>
  <c r="B10589"/>
  <c r="H10589"/>
  <c r="AI10589"/>
  <c r="B10590"/>
  <c r="H10590"/>
  <c r="AI10590"/>
  <c r="B10591"/>
  <c r="H10591"/>
  <c r="AI10591"/>
  <c r="B10592"/>
  <c r="H10592"/>
  <c r="AI10592"/>
  <c r="B10593"/>
  <c r="H10593"/>
  <c r="AI10593"/>
  <c r="B10594"/>
  <c r="H10594"/>
  <c r="AI10594"/>
  <c r="B10595"/>
  <c r="H10595"/>
  <c r="AI10595"/>
  <c r="B10596"/>
  <c r="H10596"/>
  <c r="AI10596"/>
  <c r="B10597"/>
  <c r="H10597"/>
  <c r="AI10597"/>
  <c r="B10598"/>
  <c r="H10598"/>
  <c r="AI10598"/>
  <c r="B10599"/>
  <c r="H10599"/>
  <c r="AI10599"/>
  <c r="B10600"/>
  <c r="H10600"/>
  <c r="AI10600"/>
  <c r="B10601"/>
  <c r="H10601"/>
  <c r="AI10601"/>
  <c r="B10602"/>
  <c r="H10602"/>
  <c r="AI10602"/>
  <c r="B10603"/>
  <c r="H10603"/>
  <c r="AI10603"/>
  <c r="B10604"/>
  <c r="H10604"/>
  <c r="AI10604"/>
  <c r="B10605"/>
  <c r="H10605"/>
  <c r="AI10605"/>
  <c r="B10606"/>
  <c r="H10606"/>
  <c r="AI10606"/>
  <c r="B10607"/>
  <c r="H10607"/>
  <c r="AI10607"/>
  <c r="B10608"/>
  <c r="H10608"/>
  <c r="AI10608"/>
  <c r="B10609"/>
  <c r="H10609"/>
  <c r="AI10609"/>
  <c r="B10610"/>
  <c r="H10610"/>
  <c r="AI10610"/>
  <c r="B10611"/>
  <c r="H10611"/>
  <c r="AI10611"/>
  <c r="B10612"/>
  <c r="H10612"/>
  <c r="AI10612"/>
  <c r="B10613"/>
  <c r="H10613"/>
  <c r="AI10613"/>
  <c r="B10614"/>
  <c r="H10614"/>
  <c r="AI10614"/>
  <c r="B10615"/>
  <c r="H10615"/>
  <c r="AI10615"/>
  <c r="B10616"/>
  <c r="H10616"/>
  <c r="AI10616"/>
  <c r="B10617"/>
  <c r="H10617"/>
  <c r="AI10617"/>
  <c r="B10618"/>
  <c r="H10618"/>
  <c r="AI10618"/>
  <c r="B10619"/>
  <c r="H10619"/>
  <c r="AI10619"/>
  <c r="B10620"/>
  <c r="H10620"/>
  <c r="AI10620"/>
  <c r="B10621"/>
  <c r="H10621"/>
  <c r="AI10621"/>
  <c r="B10622"/>
  <c r="H10622"/>
  <c r="AI10622"/>
  <c r="B10623"/>
  <c r="H10623"/>
  <c r="AI10623"/>
  <c r="B10624"/>
  <c r="H10624"/>
  <c r="AI10624"/>
  <c r="B10625"/>
  <c r="H10625"/>
  <c r="AI10625"/>
  <c r="B10626"/>
  <c r="H10626"/>
  <c r="AI10626"/>
  <c r="B10627"/>
  <c r="H10627"/>
  <c r="AI10627"/>
  <c r="B10628"/>
  <c r="H10628"/>
  <c r="AI10628"/>
  <c r="B10629"/>
  <c r="H10629"/>
  <c r="AI10629"/>
  <c r="B10630"/>
  <c r="H10630"/>
  <c r="AI10630"/>
  <c r="B10631"/>
  <c r="H10631"/>
  <c r="AI10631"/>
  <c r="B10632"/>
  <c r="H10632"/>
  <c r="AI10632"/>
  <c r="B10633"/>
  <c r="H10633"/>
  <c r="AI10633"/>
  <c r="B10634"/>
  <c r="H10634"/>
  <c r="AI10634"/>
  <c r="B10635"/>
  <c r="H10635"/>
  <c r="AI10635"/>
  <c r="B10636"/>
  <c r="H10636"/>
  <c r="AI10636"/>
  <c r="B10637"/>
  <c r="H10637"/>
  <c r="AI10637"/>
  <c r="B10638"/>
  <c r="H10638"/>
  <c r="AI10638"/>
  <c r="B10639"/>
  <c r="H10639"/>
  <c r="AI10639"/>
  <c r="B10640"/>
  <c r="H10640"/>
  <c r="AI10640"/>
  <c r="B10641"/>
  <c r="H10641"/>
  <c r="AI10641"/>
  <c r="B10642"/>
  <c r="H10642"/>
  <c r="AI10642"/>
  <c r="B10643"/>
  <c r="H10643"/>
  <c r="AI10643"/>
  <c r="B10644"/>
  <c r="H10644"/>
  <c r="AI10644"/>
  <c r="B10645"/>
  <c r="H10645"/>
  <c r="AI10645"/>
  <c r="B10646"/>
  <c r="H10646"/>
  <c r="AI10646"/>
  <c r="B10647"/>
  <c r="H10647"/>
  <c r="AI10647"/>
  <c r="B10648"/>
  <c r="H10648"/>
  <c r="AI10648"/>
  <c r="B10649"/>
  <c r="H10649"/>
  <c r="AI10649"/>
  <c r="B10650"/>
  <c r="H10650"/>
  <c r="AI10650"/>
  <c r="B10651"/>
  <c r="H10651"/>
  <c r="AI10651"/>
  <c r="B10652"/>
  <c r="H10652"/>
  <c r="AI10652"/>
  <c r="B10653"/>
  <c r="H10653"/>
  <c r="AI10653"/>
  <c r="B10654"/>
  <c r="H10654"/>
  <c r="AI10654"/>
  <c r="B10655"/>
  <c r="H10655"/>
  <c r="AI10655"/>
  <c r="B10656"/>
  <c r="H10656"/>
  <c r="AI10656"/>
  <c r="B10657"/>
  <c r="H10657"/>
  <c r="AI10657"/>
  <c r="B10658"/>
  <c r="H10658"/>
  <c r="AI10658"/>
  <c r="B10659"/>
  <c r="H10659"/>
  <c r="AI10659"/>
  <c r="B10660"/>
  <c r="H10660"/>
  <c r="AI10660"/>
  <c r="B10661"/>
  <c r="H10661"/>
  <c r="AI10661"/>
  <c r="B10662"/>
  <c r="H10662"/>
  <c r="AI10662"/>
  <c r="B10663"/>
  <c r="H10663"/>
  <c r="AI10663"/>
  <c r="B10664"/>
  <c r="H10664"/>
  <c r="AI10664"/>
  <c r="B10665"/>
  <c r="H10665"/>
  <c r="AI10665"/>
  <c r="B10666"/>
  <c r="H10666"/>
  <c r="AI10666"/>
  <c r="B10667"/>
  <c r="H10667"/>
  <c r="AI10667"/>
  <c r="B10668"/>
  <c r="H10668"/>
  <c r="AI10668"/>
  <c r="B10669"/>
  <c r="H10669"/>
  <c r="AI10669"/>
  <c r="B10670"/>
  <c r="H10670"/>
  <c r="AI10670"/>
  <c r="B10671"/>
  <c r="H10671"/>
  <c r="AI10671"/>
  <c r="B10672"/>
  <c r="H10672"/>
  <c r="AI10672"/>
  <c r="B10673"/>
  <c r="H10673"/>
  <c r="AI10673"/>
  <c r="B10674"/>
  <c r="H10674"/>
  <c r="AI10674"/>
  <c r="B10675"/>
  <c r="H10675"/>
  <c r="AI10675"/>
  <c r="B10676"/>
  <c r="H10676"/>
  <c r="AI10676"/>
  <c r="B10677"/>
  <c r="H10677"/>
  <c r="AI10677"/>
  <c r="B10678"/>
  <c r="H10678"/>
  <c r="AI10678"/>
  <c r="B10679"/>
  <c r="H10679"/>
  <c r="AI10679"/>
  <c r="B10680"/>
  <c r="H10680"/>
  <c r="AI10680"/>
  <c r="B10681"/>
  <c r="H10681"/>
  <c r="AI10681"/>
  <c r="B10682"/>
  <c r="H10682"/>
  <c r="AI10682"/>
  <c r="B10683"/>
  <c r="H10683"/>
  <c r="AI10683"/>
  <c r="B10684"/>
  <c r="H10684"/>
  <c r="AI10684"/>
  <c r="B10685"/>
  <c r="H10685"/>
  <c r="AI10685"/>
  <c r="B10686"/>
  <c r="H10686"/>
  <c r="AI10686"/>
  <c r="B10687"/>
  <c r="H10687"/>
  <c r="AI10687"/>
  <c r="B10688"/>
  <c r="H10688"/>
  <c r="AI10688"/>
  <c r="B10689"/>
  <c r="H10689"/>
  <c r="AI10689"/>
  <c r="B10690"/>
  <c r="H10690"/>
  <c r="AI10690"/>
  <c r="B10691"/>
  <c r="H10691"/>
  <c r="AI10691"/>
  <c r="B10692"/>
  <c r="H10692"/>
  <c r="AI10692"/>
  <c r="B10693"/>
  <c r="H10693"/>
  <c r="AI10693"/>
  <c r="B10694"/>
  <c r="H10694"/>
  <c r="AI10694"/>
  <c r="B10695"/>
  <c r="H10695"/>
  <c r="AI10695"/>
  <c r="B10696"/>
  <c r="H10696"/>
  <c r="AI10696"/>
  <c r="B10697"/>
  <c r="H10697"/>
  <c r="AI10697"/>
  <c r="B10698"/>
  <c r="H10698"/>
  <c r="AI10698"/>
  <c r="B10699"/>
  <c r="H10699"/>
  <c r="AI10699"/>
  <c r="B10700"/>
  <c r="H10700"/>
  <c r="AI10700"/>
  <c r="B10701"/>
  <c r="H10701"/>
  <c r="AI10701"/>
  <c r="B10702"/>
  <c r="H10702"/>
  <c r="AI10702"/>
  <c r="B10703"/>
  <c r="H10703"/>
  <c r="AI10703"/>
  <c r="B10704"/>
  <c r="H10704"/>
  <c r="AI10704"/>
  <c r="B10705"/>
  <c r="H10705"/>
  <c r="AI10705"/>
  <c r="B10706"/>
  <c r="H10706"/>
  <c r="AI10706"/>
  <c r="B10707"/>
  <c r="H10707"/>
  <c r="AI10707"/>
  <c r="B10708"/>
  <c r="H10708"/>
  <c r="AI10708"/>
  <c r="B10709"/>
  <c r="H10709"/>
  <c r="AI10709"/>
  <c r="B10710"/>
  <c r="H10710"/>
  <c r="AI10710"/>
  <c r="B10711"/>
  <c r="H10711"/>
  <c r="AI10711"/>
  <c r="B10712"/>
  <c r="H10712"/>
  <c r="AI10712"/>
  <c r="B10713"/>
  <c r="H10713"/>
  <c r="AI10713"/>
  <c r="B10714"/>
  <c r="H10714"/>
  <c r="AI10714"/>
  <c r="B10715"/>
  <c r="H10715"/>
  <c r="AI10715"/>
  <c r="B10716"/>
  <c r="H10716"/>
  <c r="AI10716"/>
  <c r="B10717"/>
  <c r="H10717"/>
  <c r="AI10717"/>
  <c r="B10718"/>
  <c r="H10718"/>
  <c r="AI10718"/>
  <c r="B10719"/>
  <c r="H10719"/>
  <c r="AI10719"/>
  <c r="B10720"/>
  <c r="H10720"/>
  <c r="AI10720"/>
  <c r="B10721"/>
  <c r="H10721"/>
  <c r="AI10721"/>
  <c r="B10722"/>
  <c r="H10722"/>
  <c r="AI10722"/>
  <c r="B10723"/>
  <c r="H10723"/>
  <c r="AI10723"/>
  <c r="B10724"/>
  <c r="H10724"/>
  <c r="AI10724"/>
  <c r="B10725"/>
  <c r="H10725"/>
  <c r="AI10725"/>
  <c r="B10726"/>
  <c r="H10726"/>
  <c r="AI10726"/>
  <c r="B10727"/>
  <c r="H10727"/>
  <c r="AI10727"/>
  <c r="B10728"/>
  <c r="H10728"/>
  <c r="AI10728"/>
  <c r="B10729"/>
  <c r="H10729"/>
  <c r="AI10729"/>
  <c r="B10730"/>
  <c r="H10730"/>
  <c r="AI10730"/>
  <c r="B10731"/>
  <c r="H10731"/>
  <c r="AI10731"/>
  <c r="B10732"/>
  <c r="H10732"/>
  <c r="AI10732"/>
  <c r="B10733"/>
  <c r="H10733"/>
  <c r="AI10733"/>
  <c r="B10734"/>
  <c r="H10734"/>
  <c r="AI10734"/>
  <c r="B10735"/>
  <c r="H10735"/>
  <c r="AI10735"/>
  <c r="B10736"/>
  <c r="H10736"/>
  <c r="AI10736"/>
  <c r="B10737"/>
  <c r="H10737"/>
  <c r="AI10737"/>
  <c r="B10738"/>
  <c r="H10738"/>
  <c r="AI10738"/>
  <c r="B10739"/>
  <c r="H10739"/>
  <c r="AI10739"/>
  <c r="B10740"/>
  <c r="H10740"/>
  <c r="AI10740"/>
  <c r="B10741"/>
  <c r="H10741"/>
  <c r="AI10741"/>
  <c r="B10742"/>
  <c r="H10742"/>
  <c r="AI10742"/>
  <c r="B10743"/>
  <c r="H10743"/>
  <c r="AI10743"/>
  <c r="B10744"/>
  <c r="H10744"/>
  <c r="AI10744"/>
  <c r="B10745"/>
  <c r="H10745"/>
  <c r="AI10745"/>
  <c r="B10746"/>
  <c r="H10746"/>
  <c r="AI10746"/>
  <c r="B10747"/>
  <c r="H10747"/>
  <c r="AI10747"/>
  <c r="B10748"/>
  <c r="H10748"/>
  <c r="AI10748"/>
  <c r="B10749"/>
  <c r="H10749"/>
  <c r="AI10749"/>
  <c r="B10750"/>
  <c r="H10750"/>
  <c r="AI10750"/>
  <c r="B10751"/>
  <c r="H10751"/>
  <c r="AI10751"/>
  <c r="B10752"/>
  <c r="H10752"/>
  <c r="AI10752"/>
  <c r="B10753"/>
  <c r="H10753"/>
  <c r="AI10753"/>
  <c r="B10754"/>
  <c r="H10754"/>
  <c r="AI10754"/>
  <c r="B10755"/>
  <c r="H10755"/>
  <c r="AI10755"/>
  <c r="B10756"/>
  <c r="H10756"/>
  <c r="AI10756"/>
  <c r="B10757"/>
  <c r="H10757"/>
  <c r="AI10757"/>
  <c r="B10758"/>
  <c r="H10758"/>
  <c r="AI10758"/>
  <c r="B10759"/>
  <c r="H10759"/>
  <c r="AI10759"/>
  <c r="B10760"/>
  <c r="H10760"/>
  <c r="AI10760"/>
  <c r="B10761"/>
  <c r="H10761"/>
  <c r="AI10761"/>
  <c r="B10762"/>
  <c r="H10762"/>
  <c r="AI10762"/>
  <c r="B10763"/>
  <c r="H10763"/>
  <c r="AI10763"/>
  <c r="B10764"/>
  <c r="H10764"/>
  <c r="AI10764"/>
  <c r="B10765"/>
  <c r="H10765"/>
  <c r="AI10765"/>
  <c r="B10766"/>
  <c r="H10766"/>
  <c r="AI10766"/>
  <c r="B10767"/>
  <c r="H10767"/>
  <c r="AI10767"/>
  <c r="B10768"/>
  <c r="H10768"/>
  <c r="AI10768"/>
  <c r="B10769"/>
  <c r="H10769"/>
  <c r="AI10769"/>
  <c r="B10770"/>
  <c r="H10770"/>
  <c r="AI10770"/>
  <c r="B10771"/>
  <c r="H10771"/>
  <c r="AI10771"/>
  <c r="B10772"/>
  <c r="H10772"/>
  <c r="AI10772"/>
  <c r="B10773"/>
  <c r="H10773"/>
  <c r="AI10773"/>
  <c r="B10774"/>
  <c r="H10774"/>
  <c r="AI10774"/>
  <c r="B10775"/>
  <c r="H10775"/>
  <c r="AI10775"/>
  <c r="B10776"/>
  <c r="H10776"/>
  <c r="AI10776"/>
  <c r="B10777"/>
  <c r="H10777"/>
  <c r="AI10777"/>
  <c r="B10778"/>
  <c r="H10778"/>
  <c r="AI10778"/>
  <c r="B10779"/>
  <c r="H10779"/>
  <c r="AI10779"/>
  <c r="B10780"/>
  <c r="H10780"/>
  <c r="AI10780"/>
  <c r="B10781"/>
  <c r="H10781"/>
  <c r="AI10781"/>
  <c r="B10782"/>
  <c r="H10782"/>
  <c r="AI10782"/>
  <c r="B10783"/>
  <c r="H10783"/>
  <c r="AI10783"/>
  <c r="B10784"/>
  <c r="H10784"/>
  <c r="AI10784"/>
  <c r="B10785"/>
  <c r="H10785"/>
  <c r="AI10785"/>
  <c r="B10786"/>
  <c r="H10786"/>
  <c r="AI10786"/>
  <c r="B10787"/>
  <c r="H10787"/>
  <c r="AI10787"/>
  <c r="B10788"/>
  <c r="H10788"/>
  <c r="AI10788"/>
  <c r="B10789"/>
  <c r="H10789"/>
  <c r="AI10789"/>
  <c r="B10790"/>
  <c r="H10790"/>
  <c r="AI10790"/>
  <c r="B10791"/>
  <c r="H10791"/>
  <c r="AI10791"/>
  <c r="B10792"/>
  <c r="H10792"/>
  <c r="AI10792"/>
</calcChain>
</file>

<file path=xl/sharedStrings.xml><?xml version="1.0" encoding="utf-8"?>
<sst xmlns="http://schemas.openxmlformats.org/spreadsheetml/2006/main" count="319720" uniqueCount="15644">
  <si>
    <t>Α.Μ.</t>
  </si>
  <si>
    <t>Α.Φ.Μ.</t>
  </si>
  <si>
    <t>Φύλο</t>
  </si>
  <si>
    <t>Επώνυμο</t>
  </si>
  <si>
    <t>Όνομα</t>
  </si>
  <si>
    <t>Πατρώνυμο</t>
  </si>
  <si>
    <t>Μητρώνυμο</t>
  </si>
  <si>
    <t>Διεύθυνση Κατοικίας</t>
  </si>
  <si>
    <t>Τ.Κ.</t>
  </si>
  <si>
    <t>Τηλέφωνο εκπαιδευτικού</t>
  </si>
  <si>
    <t>Κινητό Τηλέφωνο εκπαιδευτικού</t>
  </si>
  <si>
    <t>2ο Τηλέφωνο εκπαιδευτικού</t>
  </si>
  <si>
    <t>Email εκπαιδευτικού</t>
  </si>
  <si>
    <t>Κωδ. Ειδικότητας</t>
  </si>
  <si>
    <t>Ειδικότητα</t>
  </si>
  <si>
    <t>Κωδ. 2ης Ειδικότητας</t>
  </si>
  <si>
    <t>2η Ειδικότητα</t>
  </si>
  <si>
    <t>Βαθμός</t>
  </si>
  <si>
    <t>Μ.Κ.</t>
  </si>
  <si>
    <t>Φεκ. Διορισμού</t>
  </si>
  <si>
    <t>Ημ/νια Διορισμού</t>
  </si>
  <si>
    <t>Περιοχή Μετάθεσης Εκπ.</t>
  </si>
  <si>
    <t>Διεύθυνση Περιοχής Μετάθεσης Εκπ.</t>
  </si>
  <si>
    <t>Περιφέρεια Περιοχής Μετάθεσης Εκπ.</t>
  </si>
  <si>
    <t>Υποχ. Ωράριο</t>
  </si>
  <si>
    <t>Αυτοδίκαιη Αποχώρηση (Μέχρι και 31/8)</t>
  </si>
  <si>
    <t>Πρόθεση Παραίτησης (μέχρι και 30/4)</t>
  </si>
  <si>
    <t>Έλαβε Μετάθεση</t>
  </si>
  <si>
    <t>Υπερ-5ετής Απόσπαση σε σχολείο εξωτερικού</t>
  </si>
  <si>
    <t>5ής Θητεία σε ΠΠΣ</t>
  </si>
  <si>
    <t>Λήξη Θητείας σε ΠΠΣ</t>
  </si>
  <si>
    <t>Ημερομηνία Πρώτης Ανάληψης Υπηρεσίας</t>
  </si>
  <si>
    <t>Είδος Σχολείου</t>
  </si>
  <si>
    <t>Τύπος Σχολείου</t>
  </si>
  <si>
    <t>Μονάδα Οργανικής/Προσωρινής Τοποθέτησης</t>
  </si>
  <si>
    <t>Ονομασία</t>
  </si>
  <si>
    <t>Τηλέφωνο</t>
  </si>
  <si>
    <t>Email</t>
  </si>
  <si>
    <t>Περιφερειακή Ενότητα</t>
  </si>
  <si>
    <t>Δήμος</t>
  </si>
  <si>
    <t>Δημοτική Ενότητα</t>
  </si>
  <si>
    <t>Κοινότητα</t>
  </si>
  <si>
    <t>Ομάδα Μονάδας Οργανικής/Προσωρινής</t>
  </si>
  <si>
    <t>Περιοχή Μετάθεσης Μονάδας Οργανικής/Προσωρινής</t>
  </si>
  <si>
    <t>Διεύθυνση Περιοχής Μετάθεσης Μονάδας Οργανικής/Προσωρινής</t>
  </si>
  <si>
    <t>Περιφέρεια Περιοχής Μετάθεσης Μονάδας Οργανικής/Προσωρινής</t>
  </si>
  <si>
    <t>Σχέση Εργασίας</t>
  </si>
  <si>
    <t>Σχέση Τοποθέτησης</t>
  </si>
  <si>
    <t>Ημ/νια Γέννησης</t>
  </si>
  <si>
    <t>Βαθμίδα Εκπαιδευτικού</t>
  </si>
  <si>
    <t>Θ</t>
  </si>
  <si>
    <t>ΑΡΧΟΝΤΑΚΗ-ΓΟΥΛΙΕΜΑΚΗ</t>
  </si>
  <si>
    <t>ΜΑΡΙΑ</t>
  </si>
  <si>
    <t>ΝΙΚΟΛΑΟΣ</t>
  </si>
  <si>
    <t>ΣΤΥΛΙΑΝΗ</t>
  </si>
  <si>
    <t>ΠΕ30</t>
  </si>
  <si>
    <t>ΚΟΙΝΩΝΙΚΟΙ ΛΕΙΤΟΥΡΓΟΙ</t>
  </si>
  <si>
    <t>Α΄</t>
  </si>
  <si>
    <t>ΠΕΡΙΦΕΡΕΙΑΚΗ Δ/ΝΣΗ Α/ΘΜΙΑΣ ΚΑΙ Β/ΘΜΙΑΣ ΕΚΠ/ΣΗΣ ΚΡΗΤΗΣ</t>
  </si>
  <si>
    <t>ΟΧΙ</t>
  </si>
  <si>
    <t>Αποκεντρωμένες Υπηρεσίες</t>
  </si>
  <si>
    <t>Κέντρο Διαφοροδιάγνωσης, Διάγνωσης και Υποστήριξης (ΚΕΔΔΥ)</t>
  </si>
  <si>
    <t>ΚΕΔΔΥ ΡΕΘΥΜΝΟΥ</t>
  </si>
  <si>
    <t>mail@kday.reth.sch.gr</t>
  </si>
  <si>
    <t>ΡΕΘΥΜΝΟΥ</t>
  </si>
  <si>
    <t>ΡΕΘΥΜΝΗΣ</t>
  </si>
  <si>
    <t>ΡΕΘΥΜΝΟΥ (Π.Ε.) 2018</t>
  </si>
  <si>
    <t>ΔΙΕΥΘΥΝΣΗ Π.Ε. ΡΕΘΥΜΝΟΥ</t>
  </si>
  <si>
    <t>Μόνιμος</t>
  </si>
  <si>
    <t>Οργανικά</t>
  </si>
  <si>
    <t>ΑΣΠΡΑΔΑΚΗ</t>
  </si>
  <si>
    <t>ΑΜΑΛΙΑ</t>
  </si>
  <si>
    <t>ΙΩΑΝΝΗΣ</t>
  </si>
  <si>
    <t>ΑΝΝΑ</t>
  </si>
  <si>
    <t>ΠΕ23</t>
  </si>
  <si>
    <t>ΨΥΧΟΛΟΓΟΙ</t>
  </si>
  <si>
    <t>ΚΕΔΔΥ ΝΟΜΟΥ ΗΡΑΚΛΕΙΟΥ   (Kέντρο Διαφοροδιάγνωσης Διάγνωσης  και Υποστήριξης Ειδικών Εκπαιδευτικών Αναγκών</t>
  </si>
  <si>
    <t>kday@dide.ira.sch.gr</t>
  </si>
  <si>
    <t>ΗΡΑΚΛΕΙΟΥ</t>
  </si>
  <si>
    <t>1ο ΔΗΜ. ΔΙΑΜΕΡ. ΗΡΑΚΛΕΙΟΥ</t>
  </si>
  <si>
    <t>ΗΡΑΚΛΕΙΟΥ (Π.Ε.) 2018</t>
  </si>
  <si>
    <t>ΔΙΕΥΘΥΝΣΗ Π.Ε. ΗΡΑΚΛΕΙΟΥ</t>
  </si>
  <si>
    <t>ΒΟΚΑ</t>
  </si>
  <si>
    <t>ΕΛΕΝΗ</t>
  </si>
  <si>
    <t>ΔΗΜΗΤΡΙΟΣ</t>
  </si>
  <si>
    <t>ΦΡΕΙΔΕΡΙΚΗ</t>
  </si>
  <si>
    <t>ΚΕΔΔΥ ΧΑΝΙΩΝ</t>
  </si>
  <si>
    <t>kday@dide.chan.sch.gr</t>
  </si>
  <si>
    <t>ΧΑΝΙΩΝ</t>
  </si>
  <si>
    <t>ΧΑΝΙΩΝ (Π.Ε.) 2018</t>
  </si>
  <si>
    <t>ΔΙΕΥΘΥΝΣΗ Π.Ε. ΧΑΝΙΩΝ</t>
  </si>
  <si>
    <t>ΗΛΙΟΥ</t>
  </si>
  <si>
    <t>ΣΤΥΛΙΑΝΟΣ</t>
  </si>
  <si>
    <t>ΑΝΑΣΤΑΣ</t>
  </si>
  <si>
    <t>ΚΑΛΛΙΟΝΑΚΗ</t>
  </si>
  <si>
    <t>ΓΕΩΡΓΙΟΣ</t>
  </si>
  <si>
    <t>ΧΡΥΣΗ</t>
  </si>
  <si>
    <t>ΚΡΙΤΣΩΤΑΚΗ</t>
  </si>
  <si>
    <t>ΠΟΛΥΞΕΝΗ</t>
  </si>
  <si>
    <t>ΚΩΝΣΤΑΝΤΙΝΟΣ</t>
  </si>
  <si>
    <t>ΠΕ21</t>
  </si>
  <si>
    <t>ΘΕΡΑΠΕΥΤΩΝ ΛΟΓΟΥ</t>
  </si>
  <si>
    <t>ΜΑΥΡΑΚΗ</t>
  </si>
  <si>
    <t>ΖΑΧΑΡΕΝΙΑ</t>
  </si>
  <si>
    <t>ΣΤΥΛΙΑΝ</t>
  </si>
  <si>
    <t>Α</t>
  </si>
  <si>
    <t>ΜΙΧΑΗΛ</t>
  </si>
  <si>
    <t>ΜΙΧΑΛΑΚΗΣ</t>
  </si>
  <si>
    <t>ΧΑΡΑΛΑΜΠΟΣ</t>
  </si>
  <si>
    <t>ΙΩΑΝΝΑ</t>
  </si>
  <si>
    <t>ΤΟΛΗΣ</t>
  </si>
  <si>
    <t>ΠΑΝΤΕΛΗΣ</t>
  </si>
  <si>
    <t>ΕΛΕΥΘΕΡΙΑ</t>
  </si>
  <si>
    <t>ΧΟΥΡΔΑΚΗ</t>
  </si>
  <si>
    <t>ΕΥΤΥΧΙΑ</t>
  </si>
  <si>
    <t>RISTIVOJEVIC</t>
  </si>
  <si>
    <t>SONJA</t>
  </si>
  <si>
    <t>SLOBODAN</t>
  </si>
  <si>
    <t>ΒΙΟΛΕΤΑ</t>
  </si>
  <si>
    <t>ΠΕ03.50</t>
  </si>
  <si>
    <t>ΜΑΘΗΜΑΤΙΚΟΙ ΕΙΔΙΚΗΣ ΑΓΩΓΗΣ</t>
  </si>
  <si>
    <t>Γ΄</t>
  </si>
  <si>
    <t>ΩΖ1Υ4653ΠΣ-0ΔΚ/7Σ8Ζ4653ΠΣ-4ΕΠ</t>
  </si>
  <si>
    <t>ΗΡΑΚΛΕΙΟΥ (Δ.Ε.) 2018</t>
  </si>
  <si>
    <t>ΔΙΕΥΘΥΝΣΗ Δ.Ε. ΗΡΑΚΛΕΙΟΥ</t>
  </si>
  <si>
    <t>Γυμνάσια</t>
  </si>
  <si>
    <t>Ημερήσιο Γυμνάσιο</t>
  </si>
  <si>
    <t>ΗΜΕΡΗΣΙΟ ΓΥΜΝΑΣΙΟ ΓΑΖΙΟΥ</t>
  </si>
  <si>
    <t>mail@gym-gaziou.ira.sch.gr</t>
  </si>
  <si>
    <t>ΜΑΛΕΒΙΖΙΟΥ</t>
  </si>
  <si>
    <t>ΓΑΖΙΟΥ</t>
  </si>
  <si>
    <t>Αναπληρωτής Παράλληλης Στήριξης</t>
  </si>
  <si>
    <t>Από Διάθεση ΠΥΣΠΕ/ΠΥΣΔΕ</t>
  </si>
  <si>
    <t>ΑΒΡΑΜΑΚΗ</t>
  </si>
  <si>
    <t>ΕΥΦΡΟΣΥΝΗ</t>
  </si>
  <si>
    <t>ΠΕ88.01</t>
  </si>
  <si>
    <t>ΓΕΩΠΟΝΟΙ</t>
  </si>
  <si>
    <t>Επαγγελματικά Λύκεια</t>
  </si>
  <si>
    <t>Ημερήσιο ΕΠΑΛ</t>
  </si>
  <si>
    <t>5ο ΗΜΕΡΗΣΙΟ ΕΠΑΛ ΗΡΑΚΛΕΙΟΥ</t>
  </si>
  <si>
    <t>mail@5epal-irakl.ira.sch.gr</t>
  </si>
  <si>
    <t>3ο ΔΗΜ. ΔΙΑΜΕΡ. ΗΡΑΚΛΕΙΟΥ(συμπεριλαμβάνονται οι οικισμοί Αθάνατων, Γουρνών, Δρακουλιάρη, Λοφουπόλεως Σέμελης και Φοινικιά)</t>
  </si>
  <si>
    <t>ΑΒΡΑΜΑΝΤΗ</t>
  </si>
  <si>
    <t>ΔΕΣΠΟΙΝΑ</t>
  </si>
  <si>
    <t>ΑΒΡΑΑΜ</t>
  </si>
  <si>
    <t>davramanti@yahoo.com</t>
  </si>
  <si>
    <t>ΠΕ02</t>
  </si>
  <si>
    <t>ΦΙΛΟΛΟΓΟΙ</t>
  </si>
  <si>
    <t>Λύκεια</t>
  </si>
  <si>
    <t>Ημερήσιο Γενικό Λύκειο</t>
  </si>
  <si>
    <t>1ο ΗΜΕΡΗΣΙΟ ΓΕΝΙΚΟ ΛΥΚΕΙΟ ΗΡΑΚΛΕΙΟΥ</t>
  </si>
  <si>
    <t>mail@1lyk-irakl.ira.sch.gr</t>
  </si>
  <si>
    <t>ΑΓΑΘΟΣ</t>
  </si>
  <si>
    <t>ΣΤΕΦΑΝΟΣ</t>
  </si>
  <si>
    <t>ΑΝΤΩΝΙΟΣ</t>
  </si>
  <si>
    <t>ΒΑΣΙΛΙΚΗ</t>
  </si>
  <si>
    <t>stefanosagathos@yahoo.com</t>
  </si>
  <si>
    <t>ΠΕ01</t>
  </si>
  <si>
    <t>ΘΕΟΛΟΓΟΙ</t>
  </si>
  <si>
    <t>Β΄</t>
  </si>
  <si>
    <t>ΨΨΟΟ4653ΠΣ-ΘΔΜ</t>
  </si>
  <si>
    <t>5ο ΗΜΕΡΗΣΙΟ ΓΥΜΝΑΣΙΟ ΗΡΑΚΛΕΙΟΥ</t>
  </si>
  <si>
    <t>mail@5gym-irakl.ira.sch.gr</t>
  </si>
  <si>
    <t>4ο ΔΗΜ. ΔΙΑΜΕΡ. ΗΡΑΚΛΕΙΟΥ(συμπεριλαμβάνονται οι οικισμοί Αγίας Ειρήνης, Βλυχιάς, Κνωσού και Μαραθίτη</t>
  </si>
  <si>
    <t>Αναπληρωτής ΠΔΕ</t>
  </si>
  <si>
    <t>ΑΓΑΠΑΚΗΣ</t>
  </si>
  <si>
    <t>ΕΜΜΑΝΟΥΗΛ</t>
  </si>
  <si>
    <t>ΑΦΡΟΔΙΤ</t>
  </si>
  <si>
    <t>ΠΕ82</t>
  </si>
  <si>
    <t>ΜΗΧΑΝΟΛΟΓΩΝ</t>
  </si>
  <si>
    <t>6ο ΗΜΕΡΗΣΙΟ ΕΠΑΛ ΗΡΑΚΛΕΙΟΥ</t>
  </si>
  <si>
    <t>mail@6epal-irakl.ira.sch.gr</t>
  </si>
  <si>
    <t>ΑΓΑΠΗΣ</t>
  </si>
  <si>
    <t>ΣΟΛΩΝ</t>
  </si>
  <si>
    <t>ΣΟΥΛΤΑΝΑ</t>
  </si>
  <si>
    <t>s-agapis@hotmail.gr</t>
  </si>
  <si>
    <t>ΠΕ11</t>
  </si>
  <si>
    <t>ΦΥΣΙΚΗΣ ΑΓΩΓΗΣ</t>
  </si>
  <si>
    <t>4ο ΗΜΕΡΗΣΙΟ ΓΕΝΙΚΟ ΛΥΚΕΙΟ ΗΡΑΚΛΕΙΟΥ</t>
  </si>
  <si>
    <t>mail@4lyk-irakl.ira.sch.gr</t>
  </si>
  <si>
    <t>ΑΓΑΠΗΤΟΣ</t>
  </si>
  <si>
    <t>ΣΟΦΙΑ</t>
  </si>
  <si>
    <t>babousko@yahoo.gr</t>
  </si>
  <si>
    <t>ΗΜΕΡΗΣΙΟ ΓΥΜΝΑΣΙΟ ΑΓΙΟΥ ΜΥΡΩΝΑ ΗΡΑΚΛΕΙΟΥ</t>
  </si>
  <si>
    <t>mail@gym-ag-myron.ira.sch.gr</t>
  </si>
  <si>
    <t>ΓΟΡΓΟΛΑΪΝΗ</t>
  </si>
  <si>
    <t>ΑΓΙΟΥ ΜΥΡΩΝΟΣ</t>
  </si>
  <si>
    <t>ΑΓΓΕΛΑΚΗ</t>
  </si>
  <si>
    <t>ΜΑΡΙΝΑ</t>
  </si>
  <si>
    <t>ΠΕ81</t>
  </si>
  <si>
    <t>ΠΟΛ.ΜΗΧΑΝΙΚΩΝ-ΑΡΧΙΤΕΚΤΟΝΩΝ</t>
  </si>
  <si>
    <t>ΦΩΤΕΙΝΗ</t>
  </si>
  <si>
    <t>maragel66@gmail.com</t>
  </si>
  <si>
    <t>ΗΜΕΡΗΣΙΟ ΓΥΜΝΑΣΙΟ ΒΕΝΕΡΑΤΟΥ</t>
  </si>
  <si>
    <t>mail@gym-vener.ira.sch.gr</t>
  </si>
  <si>
    <t>ΠΑΛΙΑΝΗΣ</t>
  </si>
  <si>
    <t>ΒΕΝΕΡΑΤΟΥ</t>
  </si>
  <si>
    <t>ΑΓΓΕΛΑΚΗΣ</t>
  </si>
  <si>
    <t>angelakismanolis@yahoo.gr</t>
  </si>
  <si>
    <t>ΠΕ04.02</t>
  </si>
  <si>
    <t>ΧΗΜΙΚΟΙ</t>
  </si>
  <si>
    <t>ΚΩΣΤΑΣ</t>
  </si>
  <si>
    <t>ΗΛΙΑΣ</t>
  </si>
  <si>
    <t>angelakis67@gmail.com</t>
  </si>
  <si>
    <t>ΠΕ86</t>
  </si>
  <si>
    <t>ΠΛΗΡΟΦΟΡΙΚΗΣ</t>
  </si>
  <si>
    <t>1ο ΗΜΕΡΗΣΙΟ ΕΠΑΛ ΗΡΑΚΛΕΙΟΥ</t>
  </si>
  <si>
    <t>mail@1epal-irakl.ira.sch.gr</t>
  </si>
  <si>
    <t>ΑΓΓΕΛΕΤΟΣ</t>
  </si>
  <si>
    <t>ΠΡΟΚΟΠΙΟΣ</t>
  </si>
  <si>
    <t>agelpro@sch.gr</t>
  </si>
  <si>
    <t>12ο ΗΜΕΡΗΣΙΟ ΓΥΜΝΑΣΙΟ ΗΡΑΚΛΕΙΟΥ</t>
  </si>
  <si>
    <t>mail@12gym-irakl.ira.sch.gr</t>
  </si>
  <si>
    <t>2ο ΔΗΜ. ΔΙΑΜΕΡ. ΗΡΑΚΛΕΙΟΥ</t>
  </si>
  <si>
    <t>ΑΓΓΕΛΙΔΑΚΗ</t>
  </si>
  <si>
    <t>ΚΑΛΛΙΟΠΗ</t>
  </si>
  <si>
    <t>maria.aggelidaki@gmail.com</t>
  </si>
  <si>
    <t>ΗΜΕΡΗΣΙΟ ΓΕΝΙΚΟ ΛΥΚΕΙΟ ΛΙΜΕΝΑ ΧΕΡΣΟΝΗΣΟΥ</t>
  </si>
  <si>
    <t>mail@lyk-limen.ira.sch.gr</t>
  </si>
  <si>
    <t>ΧΕΡΣΟΝΗΣΟΥ</t>
  </si>
  <si>
    <t>ΛΙΜΕΝΟΣ ΧΕΡΣΟΝΗΣΟΥ</t>
  </si>
  <si>
    <t>ΑΡΕΤΗ</t>
  </si>
  <si>
    <t>mariaggelidaki@hotmail.com</t>
  </si>
  <si>
    <t>8ο ΗΜΕΡΗΣΙΟ ΓΥΜΝΑΣΙΟ ΗΡΑΚΛΕΙΟΥ</t>
  </si>
  <si>
    <t>mail@8gym-irakl.ira.sch.gr</t>
  </si>
  <si>
    <t>ΑΓΓΕΛΙΔΑΚΗΣ</t>
  </si>
  <si>
    <t>ΦΑΝΟΥΡΙΑ</t>
  </si>
  <si>
    <t>aggelid@sch.gr</t>
  </si>
  <si>
    <t>290/Γ/30-12-2002</t>
  </si>
  <si>
    <t>ΑΓΓΕΛΙΝΟΣ</t>
  </si>
  <si>
    <t>ΣΩΤΗΡΙΟΣ</t>
  </si>
  <si>
    <t>sotirisangelinos@hotmail.com</t>
  </si>
  <si>
    <t>ΠΕ04.01</t>
  </si>
  <si>
    <t>ΦΥΣΙΚΟΙ</t>
  </si>
  <si>
    <t>3ο ΗΜΕΡΗΣΙΟ ΓΕΝΙΚΟ ΛΥΚΕΙΟ ΗΡΑΚΛΕΙΟΥ</t>
  </si>
  <si>
    <t>mail@3lyk-irakl.ira.sch.gr</t>
  </si>
  <si>
    <t>ΑΓΓΕΛΟΓΙΑΝΝΑΚΗ</t>
  </si>
  <si>
    <t>ΑΙΚΑΤΕΡΙΝΗ</t>
  </si>
  <si>
    <t>ΑΘΑΝΑΣΙΑ</t>
  </si>
  <si>
    <t>caterinagelogiannaki@gmail.com</t>
  </si>
  <si>
    <t>ΗΜΕΡΗΣΙΟ ΓΕΝΙΚΟ ΛΥΚΕΙΟ ΠΟΜΠΙΑΣ ΔΗΜΟΥ ΦΑΙΣΤΟΥ - ΓΕΛ ΠΟΜΠΙΑΣ</t>
  </si>
  <si>
    <t>mail@lyk-pompias.ira.sch.gr</t>
  </si>
  <si>
    <t>ΦΑΙΣΤΟΥ</t>
  </si>
  <si>
    <t>ΜΟΙΡΩΝ</t>
  </si>
  <si>
    <t>ΠΟΜΠΙΑΣ</t>
  </si>
  <si>
    <t>ΑΓΙΟΜΥΡΓΙΑΝΝΑΚΗ</t>
  </si>
  <si>
    <t>ΠΕ04.04</t>
  </si>
  <si>
    <t>ΒΙΟΛΟΓΟΙ</t>
  </si>
  <si>
    <t>ΑΓΡΙΜΑΚΗ</t>
  </si>
  <si>
    <t>ΑΝΕΖΙΝΗ</t>
  </si>
  <si>
    <t>ΕΙΡΗΝΗ</t>
  </si>
  <si>
    <t>aagrim@sch.gr</t>
  </si>
  <si>
    <t>11ο ΗΜΕΡΗΣΙΟ ΓΕΝΙΚΟ ΛΥΚΕΙΟ ΗΡΑΚΛΕΙΟΥ</t>
  </si>
  <si>
    <t>mail@11lyk-irakl.ira.sch.gr</t>
  </si>
  <si>
    <t>ΑΓΡΙΜΑΝΑΚΗ</t>
  </si>
  <si>
    <t>ΕΥΑΓΓΕΛΙΑ</t>
  </si>
  <si>
    <t>evaagrimanaki@yahoo.gr</t>
  </si>
  <si>
    <t>ΠΕ78</t>
  </si>
  <si>
    <t>ΚΟΙΝΩΝΙΚΩΝ ΕΠΙΣΤΗΜΩΝ</t>
  </si>
  <si>
    <t>7ο ΗΜΕΡΗΣΙΟ ΓΕΝΙΚΟ ΛΥΚΕΙΟ ΗΡΑΚΛΕΙΟΥ</t>
  </si>
  <si>
    <t>mail@7lyk-irakl.ira.sch.gr</t>
  </si>
  <si>
    <t>ΑΔΑΜΑΚΗ</t>
  </si>
  <si>
    <t>ΑΛΚΥΟΝΗ</t>
  </si>
  <si>
    <t>ΓΕΩΡΓΙΑ</t>
  </si>
  <si>
    <t>adalki02@gmail.com</t>
  </si>
  <si>
    <t>ΗΜΕΡΗΣΙΟ ΓΥΜΝΑΣΙΟ ΤΥΛΙΣΟΥ "ΙΩΑΝΝΗΣ ΠΕΡΔΙΚΑΡΗΣ"</t>
  </si>
  <si>
    <t>mail@gym-tylis.ira.sch.gr</t>
  </si>
  <si>
    <t>ΤΥΛΙΣΟΥ</t>
  </si>
  <si>
    <t>ΞΑΝΘΙΠΠΗ</t>
  </si>
  <si>
    <t>xadamaki@sch.gr</t>
  </si>
  <si>
    <t>3ο ΗΜΕΡΗΣΙΟ ΓΥΜΝΑΣΙΟ ΗΡΑΚΛΕΙΟΥ</t>
  </si>
  <si>
    <t>mail@3gym-irakl.ira.sch.gr</t>
  </si>
  <si>
    <t>ΑΔΑΜΑΚΗΣ</t>
  </si>
  <si>
    <t>adamac007@gmail.com</t>
  </si>
  <si>
    <t>ΗΜΕΡΗΣΙΟ ΓΕΝΙΚΟ ΛΥΚΕΙΟ ΚΑΣΤΕΛΛΙΟΥ ΠΕΔΙΑΔΑΣ ΗΡΑΚΛΕΙΟΥ</t>
  </si>
  <si>
    <t>mail@lyk-kastell.ira.sch.gr</t>
  </si>
  <si>
    <t>ΜΙΝΩΑ ΠΕΔΙΑΔΑΣ</t>
  </si>
  <si>
    <t>ΚΑΣΤΕΛΛΙΟΥ</t>
  </si>
  <si>
    <t>ΑΔΑΜΙΔΗΣ</t>
  </si>
  <si>
    <t>ΑΧΙΛΛΕΑΣ</t>
  </si>
  <si>
    <t>ΓΑΡΥΦΑΛΙΑ</t>
  </si>
  <si>
    <t>sv7fid@yahoo.gr</t>
  </si>
  <si>
    <t>ΠΕ84</t>
  </si>
  <si>
    <t>ΗΛΕΚΤΡΟΝΙΚΩΝ</t>
  </si>
  <si>
    <t>3ο ΗΜΕΡΗΣΙΟ ΕΠΑΛ ΗΡΑΚΛΕΙΟΥ</t>
  </si>
  <si>
    <t>mail@3epal-irakl.ira.sch.gr</t>
  </si>
  <si>
    <t>ΝΕΑΣ ΑΛΙΚΑΡΝΑΣΣΟΥ</t>
  </si>
  <si>
    <t>ΑΘΑΝΑΣΑΚΗ</t>
  </si>
  <si>
    <t>ΠΕ07</t>
  </si>
  <si>
    <t>ΓΕΡΜΑΝΙΚΗΣ ΦΙΛΟΛΟΓΙΑΣ</t>
  </si>
  <si>
    <t>ΠΑΡΑΣΚΕ</t>
  </si>
  <si>
    <t>annaatha@hotmail.com</t>
  </si>
  <si>
    <t>ΠΕ03</t>
  </si>
  <si>
    <t>ΜΑΘΗΜΑΤΙΚΟΙ</t>
  </si>
  <si>
    <t>Μουσικό Γυμνάσιο με Μουσικές Λυκειακές Τάξεις</t>
  </si>
  <si>
    <t>Μουσικό Σχολείο Ηρακλείου</t>
  </si>
  <si>
    <t>mail@gym-mous-irakl.ira.sch.gr</t>
  </si>
  <si>
    <t>ΓΟΥΒΩΝ</t>
  </si>
  <si>
    <t>mathanasaki@hotmail.com</t>
  </si>
  <si>
    <t>ΠΕ80</t>
  </si>
  <si>
    <t>ΟΙΚΟΝΟΜΙΑΣ</t>
  </si>
  <si>
    <t>11ο ΗΜΕΡΗΣΙΟ ΓΥΜΝΑΣΙΟ ΗΡΑΚΛΕΙΟΥ</t>
  </si>
  <si>
    <t>mail@11gym-irakl.ira.sch.gr</t>
  </si>
  <si>
    <t>ΑΘΑΝΑΣΑΚΗ ΤΖΙΛΗ</t>
  </si>
  <si>
    <t>ΕΛΕΥΘΕΡΙΟΣ</t>
  </si>
  <si>
    <t>athanaeleni@yahoo.gr</t>
  </si>
  <si>
    <t>ΠΕ06</t>
  </si>
  <si>
    <t>ΑΓΓΛΙΚΗΣ ΦΙΛΟΛΟΓΙΑΣ</t>
  </si>
  <si>
    <t>ΑΘΑΝΑΣΑΚΗΣ</t>
  </si>
  <si>
    <t>ΑΘΑΝΑΣΙΟΣ</t>
  </si>
  <si>
    <t>athanasios74@gmail.com</t>
  </si>
  <si>
    <t>ΖΑΧΑΡΙΑΣ</t>
  </si>
  <si>
    <t>jathanasakis@gmail.com</t>
  </si>
  <si>
    <t>ΑΘΑΝΑΣΙΑΔΟΥ</t>
  </si>
  <si>
    <t>ΚΥΡΙΑΚΗ</t>
  </si>
  <si>
    <t>ΘΕΟΔΩΡΟΣ</t>
  </si>
  <si>
    <t>ΑΦΡΟΔΙΤΗ</t>
  </si>
  <si>
    <t>kikiatha@yahoo.gr</t>
  </si>
  <si>
    <t>10ο ΗΜΕΡΗΣΙΟ ΓΥΜΝΑΣΙΟ ΗΡΑΚΛΕΙΟΥ</t>
  </si>
  <si>
    <t>mail@10gym-irakl.ira.sch.gr</t>
  </si>
  <si>
    <t>ΑΘΑΝΑΣΙΟΥ</t>
  </si>
  <si>
    <t>ΕΥΣΤΡΑΤΙΟΣ</t>
  </si>
  <si>
    <t>athafro@gmail.com</t>
  </si>
  <si>
    <t>2ο ΗΜΕΡΗΣΙΟ ΓΥΜΝΑΣΙΟ ΗΡΑΚΛΕΙΟΥ</t>
  </si>
  <si>
    <t>mail@2gym-irakl.ira.sch.gr</t>
  </si>
  <si>
    <t>ΕΛΠΙΝΙΚΗ</t>
  </si>
  <si>
    <t>ΔΙΟΝΥΣΙΑ</t>
  </si>
  <si>
    <t>ni.athanasiou@gmail.com</t>
  </si>
  <si>
    <t>8ο ΗΜΕΡΗΣΙΟ ΓΕΝΙΚΟ ΛΥΚΕΙΟ ΗΡΑΚΛΕΙΟΥ</t>
  </si>
  <si>
    <t>mail@8lyk-irakl.ira.sch.gr</t>
  </si>
  <si>
    <t>ΒΑΣΙΛΙΚ</t>
  </si>
  <si>
    <t>ΠΕ83</t>
  </si>
  <si>
    <t>ΗΛΕΚΤΡΟΛΟΓΩΝ</t>
  </si>
  <si>
    <t>ΑΘΑΝΑΣΟΠΟΥΛΟΥ</t>
  </si>
  <si>
    <t>ΝΙΚΟΛΙΤΣΑ</t>
  </si>
  <si>
    <t>ΦΑΝΗ</t>
  </si>
  <si>
    <t>Lindaathan@gmail.com</t>
  </si>
  <si>
    <t>ΠΕ79.01</t>
  </si>
  <si>
    <t>ΜΟΥΣΙΚΗΣ ΕΠΙΣΤΗΜΗΣ</t>
  </si>
  <si>
    <t>ΑΘΕΝΑΚΗ</t>
  </si>
  <si>
    <t>ΖΩΗ</t>
  </si>
  <si>
    <t>ΔΑΝΑΗ</t>
  </si>
  <si>
    <t>ΠΕ88.04.50</t>
  </si>
  <si>
    <t>ΔΙΑΤΡΟΦΗΣ ΕΙΔΙΚΗΣ ΑΓΩΓΗΣ</t>
  </si>
  <si>
    <t>ΨΗ2Ψ4653ΠΣ-ΜΕΑ</t>
  </si>
  <si>
    <t>Ειδικής Επαγγελματικής Εκπαίδευσης και Κατάρτισης</t>
  </si>
  <si>
    <t>ΕΕΕΕΚ</t>
  </si>
  <si>
    <t>ΕΕΕΕΚ ΤΥΜΠΑΚΙ - ΕΕΕΕΚ ΤΥΜΠΑΚΙΟΥ</t>
  </si>
  <si>
    <t>mail@eeeek-tympak.ira.sch.gr</t>
  </si>
  <si>
    <t>ΤΥΜΠΑΚΙΟΥ</t>
  </si>
  <si>
    <t>Αναπληρωτής Ειδικής μέσω ΕΣΠΑ</t>
  </si>
  <si>
    <t>ΑΙΛΑΜΑΚΗ</t>
  </si>
  <si>
    <t>ΙΟΥΛΙΑ</t>
  </si>
  <si>
    <t>5ο ΗΜΕΡΗΣΙΟ ΓΕΝΙΚΟ ΛΥΚΕΙΟ ΗΡΑΚΛΕΙΟΥ</t>
  </si>
  <si>
    <t>mail@5lyk-irakl.ira.sch.gr</t>
  </si>
  <si>
    <t>ΑΚΟΥΜΙΑΝΑΚΗΣ</t>
  </si>
  <si>
    <t>aknack1405@yahoo.com</t>
  </si>
  <si>
    <t>Οργανικά από Αρση Υπεραριθμίας</t>
  </si>
  <si>
    <t>akoumian@sch.gr</t>
  </si>
  <si>
    <t>Εσπερινό Γυμνάσιο</t>
  </si>
  <si>
    <t>ΕΣΠΕΡΙΝΟ ΓΥΜΝΑΣΙΟ ΗΡΑΚΛΕΙΟΥ</t>
  </si>
  <si>
    <t>mail@gym-esp-irakl.ira.sch.gr</t>
  </si>
  <si>
    <t>ΑΚΡΑΣΑΚΗ</t>
  </si>
  <si>
    <t>ΣΤΕΛΙΑ</t>
  </si>
  <si>
    <t>notwine@yahoo.gr</t>
  </si>
  <si>
    <t>ΑΛΑΜΑΝΗ</t>
  </si>
  <si>
    <t>ΕΥΘΥΜΙΑ</t>
  </si>
  <si>
    <t>ΕΥΓΕΝΙΑ</t>
  </si>
  <si>
    <t>ealamani@hotmail.com</t>
  </si>
  <si>
    <t>ΗΜΕΡΗΣΙΟ ΓΥΜΝΑΣΙΟ ΤΥΜΠΑΚΙΟΥ</t>
  </si>
  <si>
    <t>mail@gym-tympak.ira.sch.gr</t>
  </si>
  <si>
    <t>ΑΛΑΝΗ</t>
  </si>
  <si>
    <t>ΠΑΡΑΣΚΕΥΗ</t>
  </si>
  <si>
    <t>alanivoula@gmail.com</t>
  </si>
  <si>
    <t>1ο ΗΜΕΡΗΣΙΟ ΓΥΜΝΑΣΙΟ ΗΡΑΚΛΕΙΟΥ - ΚΑΠΕΤΑΝΑΚΕΙΟ</t>
  </si>
  <si>
    <t>mail@1gym-irakl.ira.sch.gr</t>
  </si>
  <si>
    <t>ΑΛΑΤΗΣ</t>
  </si>
  <si>
    <t>ΕΥΑΓΓΕΛΟΣ</t>
  </si>
  <si>
    <t>ΒΑΣΙΛ</t>
  </si>
  <si>
    <t>13ο ΗΜΕΡΗΣΙΟ ΓΥΜΝΑΣΙΟ ΗΡΑΚΛΕΙΟΥ</t>
  </si>
  <si>
    <t>mail@13gym-irakl.ira.sch.gr</t>
  </si>
  <si>
    <t>ΑΛΑΤΣΑΚΗ</t>
  </si>
  <si>
    <t>ΕΥΑΝΘΙΑ</t>
  </si>
  <si>
    <t>ΒΑΣΙΛΕΙΟΣ</t>
  </si>
  <si>
    <t>ΠΕ91.01</t>
  </si>
  <si>
    <t>ΘΕΑΤΡΙΚΩΝ ΣΠΟΥΔΩΝ</t>
  </si>
  <si>
    <t>Καλλιτεχνικό Γυμνάσιο με Λυκειακές Τάξεις</t>
  </si>
  <si>
    <t>ΚΑΛΛΙΤΕΧΝΙΚΟ ΓΥΜΝΑΣΙΟ ΗΡΑΚΛΕΙΟΥ ΜΕ ΛΥΚΕΙΑΚΕΣ ΤΑΞΕΙΣ</t>
  </si>
  <si>
    <t>mail@gym-kallitech.ira.sch.gr</t>
  </si>
  <si>
    <t>ΑΛΕΒΙΖΑΚΗΣ</t>
  </si>
  <si>
    <t>alebiza@otenet.gr</t>
  </si>
  <si>
    <t>ΗΜΕΡΗΣΙΟ ΓΥΜΝΑΣΙΟ ΜΟΙΡΩΝ</t>
  </si>
  <si>
    <t>mail@gym-moiron.ira.sch.gr</t>
  </si>
  <si>
    <t>ΑΛΕΒΥΖΑΚΗ</t>
  </si>
  <si>
    <t>ΜΕΛΕΤΙΑ</t>
  </si>
  <si>
    <t>ΒΕΝΙΖΕΛΟΣ</t>
  </si>
  <si>
    <t>ΔΗΜΗΤΡΑ</t>
  </si>
  <si>
    <t>alebizakimeletia@hotmail.com</t>
  </si>
  <si>
    <t>9ο ΗΜΕΡΗΣΙΟ ΓΥΜΝΑΣΙΟ ΗΡΑΚΛΕΙΟΥ</t>
  </si>
  <si>
    <t>mail@9gym-irakl.ira.sch.gr</t>
  </si>
  <si>
    <t>ΑΛΕΒΥΖΑΚΗ ΣΩΠΑΣΗ</t>
  </si>
  <si>
    <t>ΑΣΠΑΣ</t>
  </si>
  <si>
    <t>stelavik@yahoo.gr</t>
  </si>
  <si>
    <t>ΗΜΕΡΗΣΙΟ ΓΕΝΙΚΟ ΛΥΚΕΙΟ ΑΓΙΑΣ ΒΑΡΒΑΡΑΣ ΗΡΑΚΛΕΙΟΥ</t>
  </si>
  <si>
    <t>mail@lyk-ag-varvar.ira.sch.gr</t>
  </si>
  <si>
    <t>ΓΟΡΤΥΝΑΣ</t>
  </si>
  <si>
    <t>ΑΓΙΑΣ ΒΑΡΒΑΡΑΣ</t>
  </si>
  <si>
    <t>ΑΛΕΒΥΖΑΚΗΣ</t>
  </si>
  <si>
    <t>ΧΑΡΙΛΑΟΣ</t>
  </si>
  <si>
    <t>alevizakisgiorgos@gmail.com</t>
  </si>
  <si>
    <t>ΑΛΕΓΚΑΚΗ</t>
  </si>
  <si>
    <t>ΑΙΚΑΤΕΡ</t>
  </si>
  <si>
    <t>v.alegaki@yahoo.gr</t>
  </si>
  <si>
    <t>ΑΛΕΞΑΚΗ</t>
  </si>
  <si>
    <t>ΕΥΑΓΓ</t>
  </si>
  <si>
    <t>kat.alexaki13@gmail.com</t>
  </si>
  <si>
    <t>ΩΥΔΑ4653ΠΣ-ΓΜΜ</t>
  </si>
  <si>
    <t>13ο ΗΜΕΡΗΣΙΟ ΓΕΝΙΚΟ ΛΥΚΕΙΟ ΗΡΑΚΛΕΙΟΥ</t>
  </si>
  <si>
    <t>mail@13lyk-irakl.ira.sch.gr</t>
  </si>
  <si>
    <t>Αναπληρωτής</t>
  </si>
  <si>
    <t>ΕΛΕΝΗ-ΜΑΡΙΑ</t>
  </si>
  <si>
    <t>mariaalexaki2011@gmail.com</t>
  </si>
  <si>
    <t>ΗΜΕΡΗΣΙΟ ΓΥΜΝΑΣΙΟ ΑΡΧΑΝΩΝ ΗΡΑΚΛΕΙΟΥ</t>
  </si>
  <si>
    <t>mail@gym-archan.ira.sch.gr</t>
  </si>
  <si>
    <t>ΑΡΧΑΝΩΝ - ΑΣΤΕΡΟΥΣΙΩΝ</t>
  </si>
  <si>
    <t>ΑΡΧΑΝΩΝ</t>
  </si>
  <si>
    <t>ΗΜΕΡΗΣΙΟ ΓΕΝΙΚΟ ΛΥΚΕΙΟ ΜΕΛΕΣΩΝ ΗΡΑΚΛΕΙΟΥ - ΜΑΛΛΙΩΤΕΙΟ</t>
  </si>
  <si>
    <t>mail@lyk-meles.ira.sch.gr</t>
  </si>
  <si>
    <t>ΝΙΚΟΥ ΚΑΖΑΝΤΖΑΚΗ</t>
  </si>
  <si>
    <t>ΜΕΛΕΣΩΝ</t>
  </si>
  <si>
    <t>ΑΛΕΞΑΚΗΣ</t>
  </si>
  <si>
    <t>alexakis.em@gmail.com</t>
  </si>
  <si>
    <t>alexakisvag@yahoo.gr</t>
  </si>
  <si>
    <t>ΑΛΕΞΑΝΔΡΑΚΗ</t>
  </si>
  <si>
    <t>irini.alx@gmail.com</t>
  </si>
  <si>
    <t>ΗΜΕΡΗΣΙΟ ΓΥΜΝΑΣΙΟ ΠΡΟΦΗΤΗ ΗΛΙΑ ΗΡΑΚΛΕΙΟΥ</t>
  </si>
  <si>
    <t>mail@gym-prof-ilia.ira.sch.gr</t>
  </si>
  <si>
    <t>ΤΕΜΕΝΟΥΣ</t>
  </si>
  <si>
    <t>ΠΡΟΦΗΤΟΥ ΗΛΙΑ</t>
  </si>
  <si>
    <t>ΑΜΑΡΓΙΑΝΙΤΑΚΗ</t>
  </si>
  <si>
    <t>ΜΑΡΓΑΡΙΤΑ</t>
  </si>
  <si>
    <t>m.amargianitaki@gmail.com</t>
  </si>
  <si>
    <t>ΑΜΑΡΓΙΑΝΙΤΑΚΗΣ</t>
  </si>
  <si>
    <t>7ο ΓΥΜΝΑΣΙΟ ΗΡΑΚΛΕΙΟΥ</t>
  </si>
  <si>
    <t>mail@7gym-irakl.ira.sch.gr</t>
  </si>
  <si>
    <t>ΑΜΑΡΓΙΩΤΑΚΗ</t>
  </si>
  <si>
    <t>ΜΑΛΑΜΑ</t>
  </si>
  <si>
    <t>ΠΕ04.02.50</t>
  </si>
  <si>
    <t>ΧΗΜΙΚΟΙ ΕΙΔΙΚΗΣ ΑΓΩΓΗΣ</t>
  </si>
  <si>
    <t>ΑΜΒΡΟΣΙΑΔΗΣ</t>
  </si>
  <si>
    <t>ΠΑΝΑΓΙΩΤΗΣ</t>
  </si>
  <si>
    <t>panagos@sch.gr</t>
  </si>
  <si>
    <t>NAI</t>
  </si>
  <si>
    <t>Διεύθυνση Εκπαίδευσης</t>
  </si>
  <si>
    <t>mail@dide.ira.sch.gr</t>
  </si>
  <si>
    <t>Έδρα ΠΥΣΠΕ/ΠΥΣΔΕ λόγω μη τοποθέτησης</t>
  </si>
  <si>
    <t>ΑΜΟΝΑΧΑΚΗ</t>
  </si>
  <si>
    <t>stylamonax@gmail.com</t>
  </si>
  <si>
    <t>ΑΜΠΑΤΖΗ</t>
  </si>
  <si>
    <t>ΑΠΟΣΤΟΛΟΣ</t>
  </si>
  <si>
    <t>ΧΡΥΣΟΥΛΑ</t>
  </si>
  <si>
    <t>katerina_prof@yahoo.gr</t>
  </si>
  <si>
    <t>ΗΜΕΡΗΣΙΟ ΓΥΜΝΑΣΙΟ ΑΓΙΩΝ ΔΕΚΑ ΗΡΑΚΛΕΙΟΥ</t>
  </si>
  <si>
    <t>mail@gym-ag-deka.ira.sch.gr</t>
  </si>
  <si>
    <t>ΑΓΙΩΝ ΔΕΚΑ</t>
  </si>
  <si>
    <t>ΑΜΠΑΤΖΗΣ</t>
  </si>
  <si>
    <t>mixampatzis@yahoo.gr</t>
  </si>
  <si>
    <t>ΑΝΑΓΝΩΣΤΑΚΗ</t>
  </si>
  <si>
    <t>ma.anagn@gmail.com</t>
  </si>
  <si>
    <t>Εσπερινό ΕΠΑΛ</t>
  </si>
  <si>
    <t>4ο ΕΣΠΕΡΙΝΟ ΕΠΑΛ ΗΡΑΚΛΕΙΟΥ</t>
  </si>
  <si>
    <t>mail@4epal-esp-irakl.ira.sch.gr</t>
  </si>
  <si>
    <t>ΑΝΑΓΝΩΣΤΑΚΗΣ</t>
  </si>
  <si>
    <t>ΚΛΕΑΝΘΗ</t>
  </si>
  <si>
    <t>ΜΑΡΚΟΣ</t>
  </si>
  <si>
    <t>ΑΝΑΓΝΩΣΤΟΥ</t>
  </si>
  <si>
    <t>ΑΝΑΣΤΑΣΙΑ</t>
  </si>
  <si>
    <t>ANAGNOSToU.anastasia@gmail.com</t>
  </si>
  <si>
    <t>ΠΕ05</t>
  </si>
  <si>
    <t>ΓΑΛΛΙΚΗΣ ΦΙΛΟΛΟΓΙΑΣ</t>
  </si>
  <si>
    <t>ΗΜΕΡΗΣΙΟ ΓΥΜΝΑΣΙΟ ΒΙΑΝΝΟΥ ΗΡΑΚΛΕΙΟΥ</t>
  </si>
  <si>
    <t>mail@gym-viannou.ira.sch.gr</t>
  </si>
  <si>
    <t>ΒΙΑΝΝΟΥ</t>
  </si>
  <si>
    <t>ΑΝΩ ΒΙΑΝΝΟΥ</t>
  </si>
  <si>
    <t>ΠΑΝΑΓΙΩΤΑ</t>
  </si>
  <si>
    <t>evagelianagnostou@hotmail.com</t>
  </si>
  <si>
    <t>ΑΝΑΣΤΑΣΑΚΗ</t>
  </si>
  <si>
    <t>tamiolakis.stelios@gmail.com</t>
  </si>
  <si>
    <t>1ο ΗΜΕΡΗΣΙΟ ΕΠΑΛ ΑΡΚΑΛΟΧΩΡΙΟΥ ΗΡΑΚΛΕΙΟΥ - ΕΠΑΛ ΑΡΚΑΛΟΧΩΡΙΟΥ</t>
  </si>
  <si>
    <t>mail@1epal-arkal.ira.sch.gr</t>
  </si>
  <si>
    <t>ΑΡΚΑΛΟΧΩΡΙΟΥ</t>
  </si>
  <si>
    <t>ΜΕΛΑΝΘΙΑ</t>
  </si>
  <si>
    <t>marianastasaki@yahoo.gr</t>
  </si>
  <si>
    <t>ΑΝΑΣΤΑΣΑΚΗΣ</t>
  </si>
  <si>
    <t>[¶γνωστο]</t>
  </si>
  <si>
    <t>mmanosan@gmail.com</t>
  </si>
  <si>
    <t>ΝΕΚΤΑΡΙΟΣ</t>
  </si>
  <si>
    <t>ΑΝΑΣΤΑΣΙΑΔΗΣ</t>
  </si>
  <si>
    <t>ganastasiadis@outlook.com</t>
  </si>
  <si>
    <t>ΑΝΑΣΤΑΣΟΠΟΥΛΟΥ</t>
  </si>
  <si>
    <t>ΠΕ04.04.50</t>
  </si>
  <si>
    <t>ΒΙΟΛΟΓΟΙ ΕΙΔΙΚΗΣ ΑΓΩΓΗΣ</t>
  </si>
  <si>
    <t>ΑΝΔΡΕΑΔΑΚΗΣ</t>
  </si>
  <si>
    <t>gand@sch.gr</t>
  </si>
  <si>
    <t>mandreadakis@gmail.com</t>
  </si>
  <si>
    <t>ΑΝΔΡΕΑΔΟΥ</t>
  </si>
  <si>
    <t>ΑΛΙΚΗ</t>
  </si>
  <si>
    <t>ΧΡΥΣΑΝΘΗ</t>
  </si>
  <si>
    <t>andreadoualikh@gmail.com</t>
  </si>
  <si>
    <t>ΑΝΔΡΙΑΔΑΚΗΣ</t>
  </si>
  <si>
    <t>ΣΠΥΡΙΔΩΝ</t>
  </si>
  <si>
    <t>kandriad@yahoo.gr</t>
  </si>
  <si>
    <t>ΑΝΔΡΙΑΝΑΚΗ</t>
  </si>
  <si>
    <t>ΑΘΗΝΑ</t>
  </si>
  <si>
    <t>nanandrianaki@gmail.com</t>
  </si>
  <si>
    <t>Εσπερινό Γυμνάσιο με Λυκειακές Τάξεις</t>
  </si>
  <si>
    <t>ΕΣΠΕΡΙΝΟ ΓΥΜΝΑΣΙΟ ΤΥΜΠΑΚΙΟΥ ΜΕ Α , Β , Γ, Δ ΛΥΚΕΙΑΚΕΣ ΤΑΞΕΙΣ</t>
  </si>
  <si>
    <t>mail@gym-esp-tympak.ira.sch.gr</t>
  </si>
  <si>
    <t>katerinandrianaki@yahoo.gr</t>
  </si>
  <si>
    <t>ΑΝΔΡΙΓΙΑΝΝΑΚΗ</t>
  </si>
  <si>
    <t>desandrig@sch.gr</t>
  </si>
  <si>
    <t>ΧΑΡΙΔΗΜΟΣ</t>
  </si>
  <si>
    <t>deppy_andri@yahoo.com</t>
  </si>
  <si>
    <t>ΑΝΔΡΟΥΛΑΚΗ</t>
  </si>
  <si>
    <t>cathyand@hotmail.gr</t>
  </si>
  <si>
    <t>ΗΜΕΡΗΣΙΟ ΓΥΜΝΑΣΙΟ ΜΟΧΟΥ ΗΡΑΚΛΕΙΟΥ</t>
  </si>
  <si>
    <t>mail@gym-mochou.ira.sch.gr</t>
  </si>
  <si>
    <t>ΜΑΛΙΩΝ</t>
  </si>
  <si>
    <t>ΜΟΧΟΥ</t>
  </si>
  <si>
    <t>ΑΝΔΡΟΜΑΧΗ</t>
  </si>
  <si>
    <t>ΑΥΓΗ</t>
  </si>
  <si>
    <t>rominaandroulaki@gmail.com</t>
  </si>
  <si>
    <t>2ο ΗΜΕΡΗΣΙΟ ΓΕΝΙΚΟ ΛΥΚΕΙΟ ΗΡΑΚΛΕΙΟ</t>
  </si>
  <si>
    <t>mail@2lyk-irakl.ira.sch.gr</t>
  </si>
  <si>
    <t>ΜΑΡΙΑ-ΕΛΕΝΗ</t>
  </si>
  <si>
    <t>marilena_and@hotmail.com</t>
  </si>
  <si>
    <t>ΠΕ02.50</t>
  </si>
  <si>
    <t>ΦΙΛΟΛΟΓΟΙ ΕΙΔΙΚΗΣ ΑΓΩΓΗΣ</t>
  </si>
  <si>
    <t>Γυμνάσιο Ειδικής Αγωγής</t>
  </si>
  <si>
    <t>ΕΙΔΙΚΟ ΓΥΜΝΑΣΙΟ ΗΡΑΚΛΕΙΟΥ</t>
  </si>
  <si>
    <t>mail@gym-eid-irakl.ira.sch.gr</t>
  </si>
  <si>
    <t>ΣΤΕΦΑΝΙΑ</t>
  </si>
  <si>
    <t>giozafeirakis@yahoo.gr</t>
  </si>
  <si>
    <t>ΑΝΔΡΟΥΛΑΚΗΣ</t>
  </si>
  <si>
    <t>ΑΝΔΡΟΥΛΙΔΑΚΗ</t>
  </si>
  <si>
    <t>ΕΜΜΑΝΟΥΕΛΑ</t>
  </si>
  <si>
    <t>eriandrou@gmail.com</t>
  </si>
  <si>
    <t>ΠΕ87.09</t>
  </si>
  <si>
    <t>ΒΡΕΦΟΝΗΠΙΟΚΟΜΩΝ</t>
  </si>
  <si>
    <t>ΗΜΕΡΗΣΙΟ ΓΥΜΝΑΣΙΟ ΓΕΡΓΕΡΗΣ ΗΡΑΚΛΕΙΟΥ</t>
  </si>
  <si>
    <t>mail@gym-gerger.ira.sch.gr</t>
  </si>
  <si>
    <t>ΡΟΥΒΑ</t>
  </si>
  <si>
    <t>ΓΕΡΓΕΡΗΣ</t>
  </si>
  <si>
    <t>ΡΟΔΑΝΘΗ</t>
  </si>
  <si>
    <t>ΜΑΡΓΑΡΙ</t>
  </si>
  <si>
    <t>rodpetr@otenet.gr</t>
  </si>
  <si>
    <t>ΑΝΔΡΟΥΛΙΔΑΚΗΣ</t>
  </si>
  <si>
    <t>mandroul1959@yahoo.gr</t>
  </si>
  <si>
    <t>ΑΝΕΣΤΗΣ</t>
  </si>
  <si>
    <t>thanosanestis@yahoo.gr</t>
  </si>
  <si>
    <t>ΗΜΕΡΗΣΙΟ ΓΕΝΙΚΟ ΛΥΚΕΙΟ ΤΥΜΠΑΚΙΟΥ</t>
  </si>
  <si>
    <t>mail@lyk-tympak.ira.sch.gr</t>
  </si>
  <si>
    <t>ΑΝΤΙΦΙΛΙΩΤΗ</t>
  </si>
  <si>
    <t>ΣΤΑΥΡΟΥΛΑ</t>
  </si>
  <si>
    <t>ΠΑΥΛΟΣ</t>
  </si>
  <si>
    <t>ΑΝΤΩΝΑΚΑΚΗΣ</t>
  </si>
  <si>
    <t>ΑΡΓΥΡΗ</t>
  </si>
  <si>
    <t>adonak2014@outlook.com</t>
  </si>
  <si>
    <t>ΑΝΤΩΝΑΚΗ</t>
  </si>
  <si>
    <t>ΜΥΡΣΙΝΗ</t>
  </si>
  <si>
    <t>irenaki19@gmail.com</t>
  </si>
  <si>
    <t>ΗΜΕΡΗΣΙΟ ΓΕΝΙΚΟ ΛΥΚΕΙΟ ΑΡΧΑΝΩΝ ΗΡΑΚΛΕΙΟΥ</t>
  </si>
  <si>
    <t>mail@lyk-archan.ira.sch.gr</t>
  </si>
  <si>
    <t>mariaantonaki@hotmail.com</t>
  </si>
  <si>
    <t>ΩΔΣΩ4653ΠΣ-ΞΛΦ</t>
  </si>
  <si>
    <t>ΗΜΕΡΗΣΙΟ ΓΕΝΙΚΟ ΛΥΚΕΙΟ ΧΑΡΑΚΑ ΗΡΑΚΛΕΙΟΥ</t>
  </si>
  <si>
    <t>mail@lyk-charak.ira.sch.gr</t>
  </si>
  <si>
    <t>ΑΣΤΕΡΟΥΣΙΩΝ</t>
  </si>
  <si>
    <t>ΧΑΡΑΚΟΣ</t>
  </si>
  <si>
    <t>ΑΝΤΩΝΑΡΑΚΗ</t>
  </si>
  <si>
    <t>ΑΝΔΡΟΝΙΚΗ</t>
  </si>
  <si>
    <t>ΦΩΤΙΟΣ</t>
  </si>
  <si>
    <t>androniki99@gmail.com</t>
  </si>
  <si>
    <t>ΠΕ87.08</t>
  </si>
  <si>
    <t>ΦΥΣΙΟΘΕΡΑΠΕΙΑΣ</t>
  </si>
  <si>
    <t>ΑΝΤΩΝΙΟΥ</t>
  </si>
  <si>
    <t>antonioutheodore@yahoo.gr</t>
  </si>
  <si>
    <t>ΠΕ88.02</t>
  </si>
  <si>
    <t>ΦΥΤΙΚΗΣ ΠΑΡΑΓΩΓΗΣ</t>
  </si>
  <si>
    <t>ΑΝΑΣΤ</t>
  </si>
  <si>
    <t>Ενιαίο Ειδικό Επαγγελματικό Γυμνάσιο - Λύκειο</t>
  </si>
  <si>
    <t>ΕΝΙΑΙΟ ΕΙΔΙΚΟ ΕΠΑΓΓΕΛΜΑΤΙΚΟ ΓΥΜΝΑΣΙΟ ΚΑΙ ΛΥΚΕΙΟ ΗΡΑΚΛΕΙΟΥ</t>
  </si>
  <si>
    <t>mail@epal-eid-agogis-irak.ira.sch.gr</t>
  </si>
  <si>
    <t>ΑΝΤΩΝΟΓΙΑΝΝΑΚΗ</t>
  </si>
  <si>
    <t>eleftheria_ant@yahoo.gr</t>
  </si>
  <si>
    <t>ΗΜΕΡΗΣΙΟ ΓΥΜΝΑΣΙΟ ΚΡΟΥΣΩΝΑ ΗΡΑΚΛΕΙΟΥ</t>
  </si>
  <si>
    <t>mail@gym-krous.ira.sch.gr</t>
  </si>
  <si>
    <t>ΚΡΟΥΣΩΝΑ</t>
  </si>
  <si>
    <t>ΚΡΟΥΣΩΝΟΣ</t>
  </si>
  <si>
    <t>ΑΝΤΩΝΟΔΗΜΗΤΡΑΚΗ</t>
  </si>
  <si>
    <t>ΑΛΕΞΑΝΔΡΑ</t>
  </si>
  <si>
    <t>ΑΠΛΑΔΑ</t>
  </si>
  <si>
    <t>ΒΙΛΜΑ</t>
  </si>
  <si>
    <t>apladamaria4@gmail.com</t>
  </si>
  <si>
    <t>ΗΜΕΡΗΣΙΟ ΓΥΜΝΑΣΙΟ ΑΡΚΑΛΟΧΩΡΙΟΥ ΗΡΑΚΛΕΙΟΥ</t>
  </si>
  <si>
    <t>mail@gym-arkal.ira.sch.gr</t>
  </si>
  <si>
    <t>ΑΠΟΣΤΟΛΑΚΗ</t>
  </si>
  <si>
    <t>ΕΥΕΛΠΙΑ</t>
  </si>
  <si>
    <t>apostolaki61@gmail.com</t>
  </si>
  <si>
    <t>ΚΥΡΙΑΚΟΣ</t>
  </si>
  <si>
    <t>ΝΙΚΗ</t>
  </si>
  <si>
    <t>apoevaggelia@gmail.com</t>
  </si>
  <si>
    <t>ΗΜΕΡΗΣΙΟ ΓΕΝΙΚΟ ΛΥΚΕΙΟ ΝΕΑΣ ΑΛΙΚΑΡΝΑΣΣΟΥ</t>
  </si>
  <si>
    <t>mail@lyk-n-alikarn.ira.sch.gr</t>
  </si>
  <si>
    <t>ΖΑΧΑΡΕΝIA</t>
  </si>
  <si>
    <t>ΠΕ70</t>
  </si>
  <si>
    <t>ΔΑΣΚΑΛΟΙ</t>
  </si>
  <si>
    <t>aposavas@hol.gr</t>
  </si>
  <si>
    <t>ΗΜΕΡΗΣΙΟ ΓΥΜΝΑΣΙΟ ΝΕΑΣ ΑΛΙΚΑΡΝΑΣΣΟΥ</t>
  </si>
  <si>
    <t>gymnalik@sch.gr</t>
  </si>
  <si>
    <t>ΧΡΙΣΤΙΝΑ</t>
  </si>
  <si>
    <t>xapostolaki@tol.com.gr</t>
  </si>
  <si>
    <t>ΑΠΟΣΤΟΛΑΚΗΣ</t>
  </si>
  <si>
    <t>napostolak@freemail.gr</t>
  </si>
  <si>
    <t>spyrapo@hotmail.com</t>
  </si>
  <si>
    <t>ΑΠΟΣΤΟΛΟΠΟΥΛΟΥ</t>
  </si>
  <si>
    <t>ΛΕΜΟΝΙΑ</t>
  </si>
  <si>
    <t>ΠΕ79.01.50</t>
  </si>
  <si>
    <t>ΜΟΥΣΙΚΗΣ ΕΠΙΣΤΗΜΗΣ ΕΙΔΙΚΗΣ ΑΓΩΓΗΣ</t>
  </si>
  <si>
    <t>ΑΠΟΣΤΟΛΟΥ-ΔΗΜΑΚΑ</t>
  </si>
  <si>
    <t>ΟΛΥΜΠΙΑ</t>
  </si>
  <si>
    <t>ΣΤΕΡΓΙΟΣ</t>
  </si>
  <si>
    <t>vrenos@ath.forthnet.gr</t>
  </si>
  <si>
    <t>ΓΥΜΝΑΣΙΟ ΓΟΥΒΩΝ ΗΡΑΚΛΕΙΟΥ ΚΡΗΤΗΣ</t>
  </si>
  <si>
    <t>mail@gym-gouvon.ira.sch.gr</t>
  </si>
  <si>
    <t>ΑΡΑΒΙΑΚΗ</t>
  </si>
  <si>
    <t>ΑΙΜΗΛΙΟΣ</t>
  </si>
  <si>
    <t>ΑΡΒΑΝΙΤΑΚΗΣ</t>
  </si>
  <si>
    <t>geoarv511@yahoo.gr</t>
  </si>
  <si>
    <t>garwas74@gmail.com</t>
  </si>
  <si>
    <t>ΜΕΝΕΛΑΟΣ</t>
  </si>
  <si>
    <t>alargiri@gmail.com</t>
  </si>
  <si>
    <t>ΣΟΥΖΑΝΑ</t>
  </si>
  <si>
    <t>ΓΕΩΡ</t>
  </si>
  <si>
    <t>sz.argyri@gmail.com</t>
  </si>
  <si>
    <t>ΑΡΓΥΡΗΣ</t>
  </si>
  <si>
    <t>ΤΗΛΕΜΑΧΟΣ</t>
  </si>
  <si>
    <t>ΧΡΙΣΤΙΝ</t>
  </si>
  <si>
    <t>gargyrhs@gmail.com</t>
  </si>
  <si>
    <t>ΑΡΝΑΟΥΤΑΚΗ</t>
  </si>
  <si>
    <t>ΙΦΙΓΕΝΕΙΑ</t>
  </si>
  <si>
    <t>ifarn@yahoo.gr</t>
  </si>
  <si>
    <t>arnaoutakistella@gmail.com</t>
  </si>
  <si>
    <t>ΠΕ88.01.50</t>
  </si>
  <si>
    <t>ΓΕΩΠΟΝΟΙ ΕΙΔΙΚΗΣ ΑΓΩΓΗΣ</t>
  </si>
  <si>
    <t>ΕΕΕΕΚ ΗΡΑΚΛΕΙΟ - ΕΕΕΕΚ ΗΡΑΚΛΕΙΟΥ</t>
  </si>
  <si>
    <t>mail@eeeek.ira.sch.gr</t>
  </si>
  <si>
    <t>ΑΡΧΟΝΤΑΚΗ</t>
  </si>
  <si>
    <t>ΑΣΠΑΣΙΑ</t>
  </si>
  <si>
    <t>ΕΡΩΦΙΛΗ</t>
  </si>
  <si>
    <t>6ο ΗΜΕΡΗΣΙΟ ΓΥΜΝΑΣΙΟ ΗΡΑΚΛΕΙΟΥ</t>
  </si>
  <si>
    <t>6ogymnasio@gmail.com</t>
  </si>
  <si>
    <t>ΑΡΧΟΝΤΑΚΗ ΛΙΑΠΑΚΗ</t>
  </si>
  <si>
    <t>ΜΑΛΒΙ</t>
  </si>
  <si>
    <t>earchontaki@gmail.com</t>
  </si>
  <si>
    <t>ΑΡΧΟΝΤΑΚΗ-ΚΟΥΜΠΕΝΑΚΗ</t>
  </si>
  <si>
    <t>192/Γ/19-11-1990</t>
  </si>
  <si>
    <t>ΑΡΧΟΝΤΑΚΗΣ</t>
  </si>
  <si>
    <t>archontakis@hotmail.com</t>
  </si>
  <si>
    <t>ΑΣΗΜΑΚΟΠΟΥΛΟΣ</t>
  </si>
  <si>
    <t>ΧΡΗΣΤΟΣ</t>
  </si>
  <si>
    <t>ΜΑΓΔΑΛΗΝΗ</t>
  </si>
  <si>
    <t>ΗΜΕΡΗΣΙΟ ΓΕΝΙΚΟ ΛΥΚΕΙΟ ΓΑΖΙΟΥ ΗΡΑΚΛΕΙΟ ΚΡΗΤΗΣ - ΔΟΜΗΝΙΚΟΣ ΘΕΟΤΟΚΟΠΟΥΛΟΣ</t>
  </si>
  <si>
    <t>mail@lyk-gaziou.ira.sch.gr</t>
  </si>
  <si>
    <t>ΑΣΚΟΞΥΛΑΚΗ</t>
  </si>
  <si>
    <t>askoxilakieirini@hotmail.gr</t>
  </si>
  <si>
    <t>ΑΣΚΟΡΔΑΛΑΚΗ</t>
  </si>
  <si>
    <t>eleniasko@hotmail.com</t>
  </si>
  <si>
    <t>ΑΣΛΑΝΗΣ</t>
  </si>
  <si>
    <t>nikasl14@gmail.com</t>
  </si>
  <si>
    <t>ΑΣΜΑΡΓΙΑΝΑΚΗ</t>
  </si>
  <si>
    <t>ΝΕΚΤΑΡΙΑ</t>
  </si>
  <si>
    <t>asmargianakinektaria@hotmail.com</t>
  </si>
  <si>
    <t>ΠΕ08</t>
  </si>
  <si>
    <t>ΚΑΛΛΙΤΕΧΝΙΚΩΝ</t>
  </si>
  <si>
    <t>ΑΣΠΡΑΚΗ</t>
  </si>
  <si>
    <t>ΓΑΒΡΙΕΛΛΑ ΕΥ</t>
  </si>
  <si>
    <t>ΠΑΡΘΕΝΑ</t>
  </si>
  <si>
    <t>gabby.aspraki@gmail.com</t>
  </si>
  <si>
    <t>ΑΣΠΡΟΚΟΥΤΕΛΑΚΗ</t>
  </si>
  <si>
    <t>maria_aspro@yahoo.gr</t>
  </si>
  <si>
    <t>ΑΣΣΑΡΓΙΩΤΑΚΗ</t>
  </si>
  <si>
    <t>eirassargiotaki@gmail.com</t>
  </si>
  <si>
    <t>ΑΡΙΣΤΟΤΕΛΗΣ</t>
  </si>
  <si>
    <t>eleniassargiotaki@hotmail.com</t>
  </si>
  <si>
    <t>ΗΜΕΡΗΣΙΟ ΓΥΜΝΑΣΙΟ ΜΕΛΕΣΩΝ ΗΡΑΚΛΕΙΟΥ - ΜΑΛΙΩΤΕΙΟ ΕΚΠΑΙΔΕΥΤΗΡΙΟ</t>
  </si>
  <si>
    <t>mail@gym-meles.ira.sch.gr</t>
  </si>
  <si>
    <t>ΑΣΤΡΙΝΑΚΗΣ</t>
  </si>
  <si>
    <t>ΙΑΚΩΒΟΣ</t>
  </si>
  <si>
    <t>ΕΛΙΣΑΒΕΤ</t>
  </si>
  <si>
    <t>ΑΣΤΥΡΑΚΑΚΗ</t>
  </si>
  <si>
    <t>ΗΜΕΡΗΣΙΟ ΓΕΝΙΚΟ ΛΥΚΕΙΟ ΚΡΟΥΣΩΝΑ ΗΡΑΚΛΕΙΟΥ</t>
  </si>
  <si>
    <t>mail@lyk-krous.ira.sch.gr</t>
  </si>
  <si>
    <t>ΑΥΓΟΥΣΤΑΚΗ</t>
  </si>
  <si>
    <t>avgoustakig@gmail.com</t>
  </si>
  <si>
    <t>ΚΑΤΙΝΑ</t>
  </si>
  <si>
    <t>renaaugoystaki@yahoo.gr</t>
  </si>
  <si>
    <t>ΜΑΡΙΑΝΝΑ</t>
  </si>
  <si>
    <t>avgoustakimar@gmail.gr</t>
  </si>
  <si>
    <t>ΑΥΓΟΥΣΤΗ</t>
  </si>
  <si>
    <t>ΕΛΙΣΣΑΒΕΤ</t>
  </si>
  <si>
    <t>ΕΛΣΑ</t>
  </si>
  <si>
    <t>ΑΥΔΗΣ</t>
  </si>
  <si>
    <t>ΑΥΧΟΥΔΙΑ</t>
  </si>
  <si>
    <t>ΘΕΟΔΩΡΑ</t>
  </si>
  <si>
    <t>ΖΑΦΕΙΡΙΑ</t>
  </si>
  <si>
    <t>dafchoudia@yahoo.gr</t>
  </si>
  <si>
    <t>ΑΦΡΑΘΙΑΝΑΚΗΣ</t>
  </si>
  <si>
    <t>ΘΕΟΦΑΝΗΣ</t>
  </si>
  <si>
    <t>manafrathian@yahoo.com</t>
  </si>
  <si>
    <t>ΑΧΛΑΔΑ</t>
  </si>
  <si>
    <t>ΗΜΕΡΗΣΙΟ ΓΥΜΝΑΣΙΟ ΤΕΦΕΛΙ ΜΟΝΟΦΑΤΣΙΟΥ ΗΡΑΚΛΕΙΟΥ - ΓΥΜΝΑΣΙΟ ΤΕΦΕΛΙΟΥ</t>
  </si>
  <si>
    <t>mail@gym-tefel.ira.sch.gr</t>
  </si>
  <si>
    <t>ΤΕΦΕΛΙΟΥ</t>
  </si>
  <si>
    <t>ΒΑΒΟΥΡΑΝΑΚΗ</t>
  </si>
  <si>
    <t>vilmvavour@gmail.com</t>
  </si>
  <si>
    <t>ΒΑΒΟΥΡΑΝΑΚΗΣ</t>
  </si>
  <si>
    <t>ΑΡΙΣΤΕΑ</t>
  </si>
  <si>
    <t>ΒΑΚΙΡΤΖΙΑΝ</t>
  </si>
  <si>
    <t>ΓΑΖΑΡΟΣ</t>
  </si>
  <si>
    <t>ΖΙΡΑΡ ΓΕ</t>
  </si>
  <si>
    <t>ΧΕΙΝΕ</t>
  </si>
  <si>
    <t>vakirtzian@gmail.com</t>
  </si>
  <si>
    <t>ΠΕ87.01</t>
  </si>
  <si>
    <t>ΙΑΤΡΙΚΗΣ</t>
  </si>
  <si>
    <t>ΤΑΚΟΥΗ</t>
  </si>
  <si>
    <t>tacouivak@gmail.com</t>
  </si>
  <si>
    <t>ΒΑΚΩΝΑΚΗ</t>
  </si>
  <si>
    <t>vakmar8@gmail.com</t>
  </si>
  <si>
    <t>ΒΑΛΕΡΓΑΚΗ</t>
  </si>
  <si>
    <t>ΖΑΧΑΡΩ</t>
  </si>
  <si>
    <t>mariavalergaki@gmail.com</t>
  </si>
  <si>
    <t>ΓΙΑΝΝΟΥΛΑ</t>
  </si>
  <si>
    <t>valergaki@gmail.com</t>
  </si>
  <si>
    <t>ΒΑΛΕΡΓΑΚΗΣ</t>
  </si>
  <si>
    <t>valergakisan@gmail.com</t>
  </si>
  <si>
    <t>ΒΑΜΒΟΥΚΑ</t>
  </si>
  <si>
    <t>geovamvouka@gmail.com</t>
  </si>
  <si>
    <t>4ο ΗΜΕΡΗΣΙΟ ΓΥΜΝΑΣΙΟ ΗΡΑΚΛΕΙΟΥ</t>
  </si>
  <si>
    <t>mail@4gym-irakl.ira.sch.gr</t>
  </si>
  <si>
    <t>ΒΑΜΒΟΥΚΑΚΗ</t>
  </si>
  <si>
    <t>fraulitsa_6@hotmail.com</t>
  </si>
  <si>
    <t>avamvoukaki@hotmail.com</t>
  </si>
  <si>
    <t>ΒΑΜΠΟΡΑΚΗ</t>
  </si>
  <si>
    <t>ΒΑΝΤΑΡΑΚΗ</t>
  </si>
  <si>
    <t>ΑΝΤΩΝΙΑ</t>
  </si>
  <si>
    <t>antonia-vant@hotmail.com</t>
  </si>
  <si>
    <t>ΗΜΕΡΗΣΙΟ ΓΥΜΝΑΣΙΟ ΠΟΜΠΙΑΣ ΗΡΑΚΛΕΙΟΥ</t>
  </si>
  <si>
    <t>mail@gym-pompias.ira.sch.gr</t>
  </si>
  <si>
    <t>ΒΑΡΒΕΡΑΚΗΣ</t>
  </si>
  <si>
    <t>ΑΝΔΡΕΑΣ</t>
  </si>
  <si>
    <t>varverak@gmail.com</t>
  </si>
  <si>
    <t>varverakis59@gmail.com</t>
  </si>
  <si>
    <t>ΒΑΡΓΙΑΚΑΚΗ</t>
  </si>
  <si>
    <t>ΧΙΟΝΟΥΛΑ</t>
  </si>
  <si>
    <t>ΤΕ01.19</t>
  </si>
  <si>
    <t>ΚΟΜΜΩΤΙΚΗΣ</t>
  </si>
  <si>
    <t>ΒΑΡΔΑ</t>
  </si>
  <si>
    <t>irinivarda@yahoo.gr</t>
  </si>
  <si>
    <t>ΒΑΡΔΑΒΑΣ</t>
  </si>
  <si>
    <t>gvardavas2006@gmail.com</t>
  </si>
  <si>
    <t>ΒΑΡΔΑΚΗ</t>
  </si>
  <si>
    <t>pvardak@sch.gr</t>
  </si>
  <si>
    <t>mavard@yahoo.gr</t>
  </si>
  <si>
    <t>sofivardaki@gmail.com</t>
  </si>
  <si>
    <t>ΒΑΡΔΑΚΗΣ</t>
  </si>
  <si>
    <t>ΒΑΡΔΗΣ</t>
  </si>
  <si>
    <t>vardakis@sch.gr</t>
  </si>
  <si>
    <t>nikosvardakis@hotmail.com</t>
  </si>
  <si>
    <t>ΒΑΡΔΙΑΜΠΑΣΗ</t>
  </si>
  <si>
    <t>evita246@gmail.com</t>
  </si>
  <si>
    <t>ΒΑΡΔΙΚΟΣ</t>
  </si>
  <si>
    <t>ΑΡΙΣΤΕΙΔΗΣ</t>
  </si>
  <si>
    <t>ΣΤΕΛΛΑ</t>
  </si>
  <si>
    <t>gvard1966@gmail.com</t>
  </si>
  <si>
    <t>ΒΑΡΙΤΑΚΗ</t>
  </si>
  <si>
    <t>ΔΡΑΚΟΣ</t>
  </si>
  <si>
    <t>¶γνωστο</t>
  </si>
  <si>
    <t>mariavaritaki@gmail.com</t>
  </si>
  <si>
    <t>ΒΑΡΝΑΚΙΩΤΗ</t>
  </si>
  <si>
    <t>ΒΑΡΟΥΧΑ</t>
  </si>
  <si>
    <t>eft.var@gmail.com</t>
  </si>
  <si>
    <t>varoucha@gmail.com</t>
  </si>
  <si>
    <t>ΒΑΡΣΑΜΗ</t>
  </si>
  <si>
    <t>ΖΗΣΗΣ</t>
  </si>
  <si>
    <t>eugeniabarsami@gmail.com</t>
  </si>
  <si>
    <t>ΒΑΣΙΛΑΚΗ</t>
  </si>
  <si>
    <t>vasilakik@gmail.com</t>
  </si>
  <si>
    <t>ΠΕ88.05</t>
  </si>
  <si>
    <t>ΦΥΣΙΚΟΥ ΠΕΡΙΒΑΛΛΟΝΤΟΣ</t>
  </si>
  <si>
    <t>evvasilaki@sch.gr</t>
  </si>
  <si>
    <t>ΧΑΡΙΚΛΕΙΑ</t>
  </si>
  <si>
    <t>vasilakmaria@gmail.com</t>
  </si>
  <si>
    <t>ΗΜΕΡΗΣΙΟ ΓΕΝΙΚΟ ΛΥΚΕΙΟ ΑΣΗΜΙΟΥ ΗΡΑΚΛΕΙΟΥ</t>
  </si>
  <si>
    <t>mail@lyk-asim.ira.sch.gr</t>
  </si>
  <si>
    <t>ΚΟΦΙΝΑ</t>
  </si>
  <si>
    <t>ΑΣΗΜΙΟΥ</t>
  </si>
  <si>
    <t>mariavas@freemail.gr</t>
  </si>
  <si>
    <t>ΒΑΣΙΛΑΚΗΣ</t>
  </si>
  <si>
    <t>ΚΩΝΣΤΑΝΤΙΝΑ</t>
  </si>
  <si>
    <t>vasilak@physics.uoc.gr</t>
  </si>
  <si>
    <t>georgiosvassilakis@gmail.com</t>
  </si>
  <si>
    <t>ΗΜΕΡΗΣΙΟ ΓΥΜΝΑΣΙΟ ΑΣΗΜΙΟΥ ΗΡΑΚΛΕΙΟΥ</t>
  </si>
  <si>
    <t>mail@gym-asimiou.ira.sch.gr</t>
  </si>
  <si>
    <t>jvasilakis1@yahoo.gr</t>
  </si>
  <si>
    <t>ΕΥΡΙΚΛΕΙΑ</t>
  </si>
  <si>
    <t>nvasilak@gmail.com</t>
  </si>
  <si>
    <t>steliosVas8@gmail.com</t>
  </si>
  <si>
    <t>ΒΑΣΙΛΕΙΑΔΗ</t>
  </si>
  <si>
    <t>ΠΑΠΑΔΙΑ</t>
  </si>
  <si>
    <t>ΤΘ.12</t>
  </si>
  <si>
    <t>elvasilei@gmail.com</t>
  </si>
  <si>
    <t>ΒΑΣΙΛΕΙΟΥ</t>
  </si>
  <si>
    <t>ΚΥΡΙΑ</t>
  </si>
  <si>
    <t>chrvasileiou@gmail.com</t>
  </si>
  <si>
    <t>ΒΑΣΙΛΟΚΩΝΣΤΑΝΤΑΚΗ</t>
  </si>
  <si>
    <t>vassgeorgia@gmail.com</t>
  </si>
  <si>
    <t>ΒΑΣΙΛΟΠΟΥΛΟΥ</t>
  </si>
  <si>
    <t>kellivasi@hotmail.com</t>
  </si>
  <si>
    <t>ΒΑΦΕΙΑΔΟΥ</t>
  </si>
  <si>
    <t>ΛΥΚΟΥΡΓΟΣ</t>
  </si>
  <si>
    <t>anastasiavafeiadou@gmail.com</t>
  </si>
  <si>
    <t>ΗΜΕΡΗΣΙΟ ΓΥΜΝΑΣΙΟ ΛΙΜΕΝΑ ΧΕΡΣΟΝΗΣΟΥ ΗΡΑΚΛΕΙΟΥ</t>
  </si>
  <si>
    <t>mail@gym-chers.ira.sch.gr</t>
  </si>
  <si>
    <t>ΚΟΡΙΝΑ</t>
  </si>
  <si>
    <t>korinavaf@gmail.com</t>
  </si>
  <si>
    <t>ΠΕ91.02</t>
  </si>
  <si>
    <t>ΔΡΑΜΑΤΙΚΗΣ ΤΕΧΝΗΣ</t>
  </si>
  <si>
    <t>ΒΑΧΤΣΕΒΑΝΟΥ</t>
  </si>
  <si>
    <t>ΩΡΑΙΟΖΗΛΗ</t>
  </si>
  <si>
    <t>sophiavachtsevanou@gmail.com</t>
  </si>
  <si>
    <t>ΒΕΗ</t>
  </si>
  <si>
    <t>ΜΑΛΑΜΑΤΕΝΙΑ</t>
  </si>
  <si>
    <t>matinvei@gmail.com</t>
  </si>
  <si>
    <t>ΒΕΛΕΓΡΑΚΗ</t>
  </si>
  <si>
    <t>ΖΑΜΠΙΑ</t>
  </si>
  <si>
    <t>despoina.velegraki@gmail.com</t>
  </si>
  <si>
    <t>ΗΜΕΡΗΣΙΟ ΓΥΜΝΑΣΙΟ ΑΓΙΑΣ ΒΑΡΒΑΡΑΣ ΗΡΑΚΛΕΙΟΥ</t>
  </si>
  <si>
    <t>mail@gym-ag-varvar.ira.sch.gr</t>
  </si>
  <si>
    <t>ΒΕΛΗΒΑΣΑΚΗ</t>
  </si>
  <si>
    <t>ΝΕΑΡΧΟΣ</t>
  </si>
  <si>
    <t>sibbelmine@yahoo.gr</t>
  </si>
  <si>
    <t>belibasaki@gmail.com</t>
  </si>
  <si>
    <t>ΒΕΛΗΜΒΑΣΑΚΗ</t>
  </si>
  <si>
    <t>evaveliv@otenet.gr</t>
  </si>
  <si>
    <t>ΔΟΞΑ</t>
  </si>
  <si>
    <t>mveliva@gmail.com</t>
  </si>
  <si>
    <t>2ο ΗΜΕΡΗΣΙΟ ΕΠΑΛ ΗΡΑΚΛΕΙΟΥ</t>
  </si>
  <si>
    <t>mail@2epal-irakl.ira.sch.gr</t>
  </si>
  <si>
    <t>ΒΕΛΙΔΑΚΗ</t>
  </si>
  <si>
    <t>ΑΝΤΙΓΟΝΗ</t>
  </si>
  <si>
    <t>anvelidaki@sch.gr</t>
  </si>
  <si>
    <t>ΒΕΛΙΔΑΚΗΣ</t>
  </si>
  <si>
    <t>gvelidakis@gmail.com</t>
  </si>
  <si>
    <t>ΒΕΝΙΑΝΑΚΗΣ</t>
  </si>
  <si>
    <t>ΒΕΝΙΟΣ</t>
  </si>
  <si>
    <t>giovens@gmail.com</t>
  </si>
  <si>
    <t>ΒΕΝΙΩΤΗ</t>
  </si>
  <si>
    <t>ΑΝΘΗ</t>
  </si>
  <si>
    <t>ΧΡΥΣΑ</t>
  </si>
  <si>
    <t>ΒΕΡΒΕΛΑΚΗΣ</t>
  </si>
  <si>
    <t>gverv@sch.gr</t>
  </si>
  <si>
    <t>ΒΕΡΓΟΣ</t>
  </si>
  <si>
    <t>Ω12Π4653ΠΣ-ΝΥΦ</t>
  </si>
  <si>
    <t>ΗΜΕΡΗΣΙΟ ΓΕΝΙΚΟ ΛΥΚΕΙΟ ΜΟΙΡΩΝ ΗΡΑΚΛΕΙΟΥ</t>
  </si>
  <si>
    <t>mail@1lyk-moiron.ira.sch.gr</t>
  </si>
  <si>
    <t>ΒΕΡΓΟΥ</t>
  </si>
  <si>
    <t>ΝΙΚΟΛΕΤΤΑ</t>
  </si>
  <si>
    <t>ΒΕΝΕΤΤΑ</t>
  </si>
  <si>
    <t>nikvergou@gmail.com</t>
  </si>
  <si>
    <t>ΒΕΡΙΓΑΚΗ</t>
  </si>
  <si>
    <t>verigaki@yahoo.gr</t>
  </si>
  <si>
    <t>ΒΕΡΙΓΟΥ</t>
  </si>
  <si>
    <t>ΠΕ04.01.50</t>
  </si>
  <si>
    <t>ΦΥΣΙΚΟΙ ΕΙΔΙΚΗΣ ΑΓΩΓΗΣ</t>
  </si>
  <si>
    <t>ΒΙΔΑΚΗ</t>
  </si>
  <si>
    <t>ΑΝΔΡ</t>
  </si>
  <si>
    <t>ΒΙΔΑΚΗΣ</t>
  </si>
  <si>
    <t>ΒΑΣΙΛΕΙ</t>
  </si>
  <si>
    <t>ΒΙΖΟΛΙΔΗΣ</t>
  </si>
  <si>
    <t>vizoLidis@sch.gr</t>
  </si>
  <si>
    <t>ΒΙΤΣΑΞΑΚΗ</t>
  </si>
  <si>
    <t>ΕΥΣΕΒΙΑ</t>
  </si>
  <si>
    <t>vitsaxakie@gmail.com</t>
  </si>
  <si>
    <t>ΒΛΑΖΑΚΗ</t>
  </si>
  <si>
    <t>paraskevi_vlazaki@hotmail.com</t>
  </si>
  <si>
    <t>ΗΜΕΡΗΣΙΟ ΓΕΝΙΚΟ ΛΥΚΕΙΟ ΑΡΚΑΛΟΧΩΡΙΟΥ</t>
  </si>
  <si>
    <t>mail@lyk-arkal.ira.sch.gr</t>
  </si>
  <si>
    <t>ΒΛΑΣΤΟΥ</t>
  </si>
  <si>
    <t>ΒΛΑΧΑΚΗ</t>
  </si>
  <si>
    <t>ΑΛΕΞΑΝΔΡΟΣ</t>
  </si>
  <si>
    <t>vl.katerina1@gmail.com</t>
  </si>
  <si>
    <t>tonia.vlachaki@gmail.com</t>
  </si>
  <si>
    <t>mvlacha@sch.gr</t>
  </si>
  <si>
    <t>ΠΕΡΣΕΦΟΝΗ</t>
  </si>
  <si>
    <t>ΘΕΟΝΥΜΦΗ</t>
  </si>
  <si>
    <t>pevlachaki@sch.gr</t>
  </si>
  <si>
    <t>ΠΕ87.03</t>
  </si>
  <si>
    <t>ΑΙΣΘΗΤΙΚΗΣ</t>
  </si>
  <si>
    <t>ΒΛΑΧΑΚΗΣ</t>
  </si>
  <si>
    <t>ΒΑΙΑ</t>
  </si>
  <si>
    <t>18963/10-11-2017</t>
  </si>
  <si>
    <t>Ιδιωτικού Δικαίου Ορισμένου Χρόνου (Ι.Δ.Ο.Χ.)</t>
  </si>
  <si>
    <t>vlahakisgiorgos.cre@gmail.com</t>
  </si>
  <si>
    <t>mickvlahak@sch.gr</t>
  </si>
  <si>
    <t>ΗΜΕΡΗΣΙΟ ΓΕΝΙΚΟ ΛΥΚΕΙΟ ΑΓΙΩΝ ΔΕΚΑ ΗΡΑΚΛΕΙΟΥ</t>
  </si>
  <si>
    <t>mail@lyk-ag-deka.ira.sch.gr</t>
  </si>
  <si>
    <t>ΒΛΑΧΟΥ</t>
  </si>
  <si>
    <t>konstantinavlachou@gmail.com</t>
  </si>
  <si>
    <t>ΒΛΟΝΤΑΚΗΣ</t>
  </si>
  <si>
    <t>ΣΤΑΥΡΟΣ</t>
  </si>
  <si>
    <t>ΒΛΥΣΣΙΔΟΥ</t>
  </si>
  <si>
    <t>ΚΩΝΣΤΑΝΤΙΑ</t>
  </si>
  <si>
    <t>dinoukivlis@gmail.com</t>
  </si>
  <si>
    <t>ΒΟΓΓΟΛΗ</t>
  </si>
  <si>
    <t>kvoggoli@gmail.com</t>
  </si>
  <si>
    <t>ΒΟΓΙΑΤΖΑΚΗ</t>
  </si>
  <si>
    <t>xvogiatzaki@gmail.com</t>
  </si>
  <si>
    <t>ΒΟΓΙΑΤΖΗ</t>
  </si>
  <si>
    <t>anna259079@yahoo.gr</t>
  </si>
  <si>
    <t>ΒΟΛΙΚΟΥ</t>
  </si>
  <si>
    <t>ΛΟΥΚΙΑ</t>
  </si>
  <si>
    <t>anti.volikou@gmail.com</t>
  </si>
  <si>
    <t>ΒΟΛΤΣΟΥ</t>
  </si>
  <si>
    <t>ΛΑΜΠΡΙΝΗ</t>
  </si>
  <si>
    <t>ΒΟΣΚΑΚΗΣ</t>
  </si>
  <si>
    <t>ΓΡΗΓΟΡΙΟΣ</t>
  </si>
  <si>
    <t>gr_voskakis@yahoo.gr</t>
  </si>
  <si>
    <t>574/Γ'/19-08-2011</t>
  </si>
  <si>
    <t>ΒΟΥΖΑΞΑΚΗΣ</t>
  </si>
  <si>
    <t>ΠΑΝΤΑΖΗΣ</t>
  </si>
  <si>
    <t>gvouzaxakis@yahoo.com</t>
  </si>
  <si>
    <t>ΗΜΕΡΗΣΙΟ ΓΕΝΙΚΟ ΛΥΚΕΙΟ ΜΟΧΟΥ</t>
  </si>
  <si>
    <t>mail@lyk-mochou.ira.sch.gr</t>
  </si>
  <si>
    <t>ΒΟΥΛΓΑΡΑΚΗ</t>
  </si>
  <si>
    <t>kvoul009@yahoo.gr</t>
  </si>
  <si>
    <t>ΒΟΥΛΓΑΡΗ</t>
  </si>
  <si>
    <t>foteinivoulgari@yahoo.gr</t>
  </si>
  <si>
    <t>ΒΟΥΛΓΑΡΗ ΠΑΝΑΓΟΥ</t>
  </si>
  <si>
    <t>ΜΑΤΘΑΙΟΣ</t>
  </si>
  <si>
    <t>ΑΙΚΑΤ</t>
  </si>
  <si>
    <t>mairoula1972@yahoo.gr</t>
  </si>
  <si>
    <t>ΒΟΥΛΓΑΡΗΣ</t>
  </si>
  <si>
    <t>nboulg@yahoo.com</t>
  </si>
  <si>
    <t>ΒΟΥΛΙΣΤΙΩΤΗ</t>
  </si>
  <si>
    <t>ΣΜΑΡΑΓΔΑ</t>
  </si>
  <si>
    <t>ΒΟΥΛΚΟΣ</t>
  </si>
  <si>
    <t>ΠΑΣΧΑΛΗΣ</t>
  </si>
  <si>
    <t>sigmavous@gmail.com</t>
  </si>
  <si>
    <t>6ο ΗΜΕΡΗΣΙΟ ΓΕΝΙΚΟ ΛΥΚΕΙΟ ΗΡΑΚΛΕΙΟΥ</t>
  </si>
  <si>
    <t>mail@6lyk-irakl.ira.sch.gr</t>
  </si>
  <si>
    <t>ΒΟΥΡΛΙΩΤΑΚΗ</t>
  </si>
  <si>
    <t>vanna@med-physics.com</t>
  </si>
  <si>
    <t>ΒΟΥΡΤΣΗ</t>
  </si>
  <si>
    <t>ΑΓΓΕΛΙΚΗ</t>
  </si>
  <si>
    <t>ΔΙΟΝΥΣΙΟΣ</t>
  </si>
  <si>
    <t>ΒΡΕΝΤΖΟΥ</t>
  </si>
  <si>
    <t>katerbren1@gmail.com</t>
  </si>
  <si>
    <t>ΒΡΟΝΤΙΝΟΣ</t>
  </si>
  <si>
    <t>vrontinos@yahoo.com</t>
  </si>
  <si>
    <t>ΓΑΒΑΛΑ</t>
  </si>
  <si>
    <t>ar_gavala@yahoo.gr</t>
  </si>
  <si>
    <t>ΓΑΒΡΙΔΑΚΗΣ</t>
  </si>
  <si>
    <t>gavrid@hotmail.com</t>
  </si>
  <si>
    <t>ΓΑΛΑΝΑΚΗ</t>
  </si>
  <si>
    <t>ΣΟΦΟΚΛΗΣ</t>
  </si>
  <si>
    <t>zgalanaki@gmail.com</t>
  </si>
  <si>
    <t>cgalanaki@gmail.com</t>
  </si>
  <si>
    <t>ΓΑΛΑΝΗΣ</t>
  </si>
  <si>
    <t>ΤΙΜΟΛΕΩΝ</t>
  </si>
  <si>
    <t>ΚΑΣΣΙΑΝΗ</t>
  </si>
  <si>
    <t>timoleong@yahoo.gr</t>
  </si>
  <si>
    <t>ΓΑΛΑΤΗΣ</t>
  </si>
  <si>
    <t>ΠΑΝΤΕΛΕΗΜ</t>
  </si>
  <si>
    <t>213/Γ/05-03-2008</t>
  </si>
  <si>
    <t>ΓΑΛΕΤΑΚΗ</t>
  </si>
  <si>
    <t>ΓΑΛΛΟΣ</t>
  </si>
  <si>
    <t>ggallos@hotmail.gr</t>
  </si>
  <si>
    <t>ΓΑΜΒΡΟΥΛΗ</t>
  </si>
  <si>
    <t>ΠΕΤΡΟΣ</t>
  </si>
  <si>
    <t>geogamvr@gmail.com</t>
  </si>
  <si>
    <t>ΓΑΡΓΑΝΟΥΡΑΚΗ</t>
  </si>
  <si>
    <t>kgarganouraki@gmail.com</t>
  </si>
  <si>
    <t>ΕΡΓΙΝΗ</t>
  </si>
  <si>
    <t>ΓΑΡΓΑΝΟΥΡΑΚΗΣ</t>
  </si>
  <si>
    <t>ΑΝΑΣΤΑΣΙΟΣ</t>
  </si>
  <si>
    <t>vgargan@gmail.com</t>
  </si>
  <si>
    <t>ΗΜΕΡΗΣΙΟ ΓΥΜΝΑΣΙΟ ΖΑΡΟΥ ΗΡΑΚΛΕΙΟΥ</t>
  </si>
  <si>
    <t>mail@gym-zarou.ira.sch.gr</t>
  </si>
  <si>
    <t>ΖΑΡΟΥ</t>
  </si>
  <si>
    <t>ΓΑΡΔΕΛΑΚΗ</t>
  </si>
  <si>
    <t>ΟΥΡΑΝΙΑ</t>
  </si>
  <si>
    <t>gardelakir@g.mail.com</t>
  </si>
  <si>
    <t>ΓΑΡΕΦΑΛΑΚΗ</t>
  </si>
  <si>
    <t>sogarefa@gmail.com</t>
  </si>
  <si>
    <t>ΓΑΡΕΦΑΛΑΚΗΣ</t>
  </si>
  <si>
    <t>ΓΕΛΑΣΑΚΗ</t>
  </si>
  <si>
    <t>elengel61@gmail.com</t>
  </si>
  <si>
    <t>ΓΕΜΕΝΙΤΖΗΣ</t>
  </si>
  <si>
    <t>tedgem@yahoo.gr</t>
  </si>
  <si>
    <t>ΓΕΜΙΤΖΑΚΗ</t>
  </si>
  <si>
    <t>gemeffi@yahoo.gr</t>
  </si>
  <si>
    <t>ΗΜΕΡΗΣΙΟ ΓΕΝΙΚΟ ΛΥΚΕΙΟ ΜΑΛΙΩΝ</t>
  </si>
  <si>
    <t>mail@lyk-malion.ira.sch.gr</t>
  </si>
  <si>
    <t>ΓΕΡΑΚΙΑΝΑΚΗ</t>
  </si>
  <si>
    <t>dgerakianaki@yahoo.gr</t>
  </si>
  <si>
    <t>ΓΕΡΑΚΙΑΝΑΚΗΣ</t>
  </si>
  <si>
    <t>gerakian@yahoo.gr</t>
  </si>
  <si>
    <t>ΓΕΡΑΡΧΑΚΗ</t>
  </si>
  <si>
    <t>ΑΡΤΕΜΙΣ</t>
  </si>
  <si>
    <t>artemisplat@gmail.com</t>
  </si>
  <si>
    <t>ΓΕΡΓΑΤΣΟΥΛΛΗ</t>
  </si>
  <si>
    <t>ΦΩΤΕΙΝΗ ΦΑΝΗ</t>
  </si>
  <si>
    <t>ΛΑΜΠΡΟΣ</t>
  </si>
  <si>
    <t>fannygerg@yahoo.gr</t>
  </si>
  <si>
    <t>ΓΕΡΓΕΡΙΤΑΚΗΣ</t>
  </si>
  <si>
    <t>m_gerger@hotmail.com</t>
  </si>
  <si>
    <t>ΓΕΡΟΓΙΑΝΝΗ</t>
  </si>
  <si>
    <t>gkonst04@yahoo.gr</t>
  </si>
  <si>
    <t>ΝΑΥΣΙΚΑ</t>
  </si>
  <si>
    <t>mariagerogiann@gmail.com</t>
  </si>
  <si>
    <t>ΓΕΡΟΛΥΜΑΤΟΥ</t>
  </si>
  <si>
    <t>ΑΝΔΡΕΑΣ-ΙΩΑΝΝΗΣ</t>
  </si>
  <si>
    <t>mgerolumatou@yahoo.gr</t>
  </si>
  <si>
    <t>ΓΕΡΟΝΙΚΟΛΑΚΗΣ</t>
  </si>
  <si>
    <t>manosg64@hotmail.com</t>
  </si>
  <si>
    <t>ΓΕΩΡΓΑΛΗΣ</t>
  </si>
  <si>
    <t>ΓΕΩΡΓΙΑΔΗΣ</t>
  </si>
  <si>
    <t>geokosdra@gmail.com</t>
  </si>
  <si>
    <t>ΠΕ88.02.50</t>
  </si>
  <si>
    <t>ΦΥΤΙΚΗΣ ΠΑΡΑΓΩΓΗΣ ΕΙΔΙΚΗΣ ΑΓΩΓΗΣ</t>
  </si>
  <si>
    <t>ΠΕΡΙΚΛΗΣ</t>
  </si>
  <si>
    <t>ΞΑΝΘΟΥΛ</t>
  </si>
  <si>
    <t>perge@sch.gr</t>
  </si>
  <si>
    <t>ΓΕΩΡΓΙΑΚΑΚΗ</t>
  </si>
  <si>
    <t>stellageorgiakaki@gmail.com</t>
  </si>
  <si>
    <t>ΓΕΩΡΓΙΛΑΔΑΚΗΣ</t>
  </si>
  <si>
    <t>egeorgiladakis@outlook.com</t>
  </si>
  <si>
    <t>ΓΕΩΡΓΟΠΟΥΛΟΥ</t>
  </si>
  <si>
    <t>ΚΡΥΣΤΑΛΩ</t>
  </si>
  <si>
    <t>christiannageorg@yahoo.gr</t>
  </si>
  <si>
    <t>ΓΕΩΡΓΟΥΛΑ</t>
  </si>
  <si>
    <t>ΦΩΤΙΟΣ-ΔΗΜΗΤΡΙΟΣ</t>
  </si>
  <si>
    <t>Εσπερινό Γενικό Λύκειο</t>
  </si>
  <si>
    <t>ΕΣΠΕΡΙΝΟ ΓΕΝΙΚΟ ΛΥΚΕΙΟ ΗΡΑΚΛΕΙΟΥ</t>
  </si>
  <si>
    <t>esperino_ira@sch.gr</t>
  </si>
  <si>
    <t>ΓΕΩΡΓΟΥΛΑΚΗΣ</t>
  </si>
  <si>
    <t>emgeorgoulakis@yahoo.com</t>
  </si>
  <si>
    <t>ΗΜΕΡΗΣΙΟ ΓΕΝΙΚΟ ΛΥΚΕΙΟ ΓΟΥΒΩΝ</t>
  </si>
  <si>
    <t>mail@lyk-gouvon.ira.sch.gr</t>
  </si>
  <si>
    <t>ΓΙΑΚΑΜΟΖΗ</t>
  </si>
  <si>
    <t>ΑΝΘΙΑ</t>
  </si>
  <si>
    <t>ΣΑΒΒΑΣ</t>
  </si>
  <si>
    <t>angiak99@hotmail.com</t>
  </si>
  <si>
    <t>ΓΙΑΚΟΥΜΑΚΗ</t>
  </si>
  <si>
    <t>ΔΕΣΠΟΙΝ</t>
  </si>
  <si>
    <t>aggelikii_2_@hotmail.com</t>
  </si>
  <si>
    <t>ΚΟΝΔΥΛΙΑ</t>
  </si>
  <si>
    <t>ΟΛΓΑ</t>
  </si>
  <si>
    <t>lgiakoumaki@hotmail.com</t>
  </si>
  <si>
    <t>ΕΥΤΥΧΙΟΣ</t>
  </si>
  <si>
    <t>ΑΡΓΥΡΟΥ</t>
  </si>
  <si>
    <t>margiakou@gmail.com</t>
  </si>
  <si>
    <t>ΓΙΑΚΟΥΜΑΚΗΣ</t>
  </si>
  <si>
    <t>ΠΗΝΕΛΟΠΗ</t>
  </si>
  <si>
    <t>giakgep@otenet.gr</t>
  </si>
  <si>
    <t>dimgiakoumakis@gmail.com</t>
  </si>
  <si>
    <t>ΓΙΑΜΑΛΑΚΗ</t>
  </si>
  <si>
    <t>ΠΕΛΑΓΙΑ</t>
  </si>
  <si>
    <t>egiamal@gmail.com</t>
  </si>
  <si>
    <t>ΓΙΑΝΝΑΔΑΚΗ</t>
  </si>
  <si>
    <t>mgiannadaki@yahoo.gr</t>
  </si>
  <si>
    <t>ΓΙΑΝΝΑΚΑΚΗΣ</t>
  </si>
  <si>
    <t>gianakak@yahoo.gr</t>
  </si>
  <si>
    <t>ΓΙΑΝΝΑΚΗ</t>
  </si>
  <si>
    <t>ΣΠΥΡΙΔΟΥΛΑ</t>
  </si>
  <si>
    <t>mlydakis@math.uoc.gr</t>
  </si>
  <si>
    <t>ΓΙΑΝΝΑΚΟΠΟΥΛΟΣ</t>
  </si>
  <si>
    <t>ΓΙΑΝΝΑΚΟΥΔΑΚΗ</t>
  </si>
  <si>
    <t>kellygianna@gmail.com</t>
  </si>
  <si>
    <t>ΓΥΜΝΑΣΙΟ ΜΑΛΙΩΝ ΗΡΑΚΛΕΙΟΥ</t>
  </si>
  <si>
    <t>mail@gym-malion.ira.sch.gr</t>
  </si>
  <si>
    <t>Οργανικά από Αμοιβαία Μετάθεση</t>
  </si>
  <si>
    <t>ΦΙΛΙΠΠΟΣ</t>
  </si>
  <si>
    <t>mgiannakoudaki@hotmail.com</t>
  </si>
  <si>
    <t>ΤΕ01.26</t>
  </si>
  <si>
    <t>ΟΔΟΝΤΟΤΕΧΝΙΚΗΣ</t>
  </si>
  <si>
    <t>ΓΙΑΝΝΑΡΗΣ</t>
  </si>
  <si>
    <t>sgian@hotmail.com</t>
  </si>
  <si>
    <t>ΓΙΑΝΝΟΠΟΥΛΟΥ</t>
  </si>
  <si>
    <t>eirini_giannopoulou@yahoo.gr</t>
  </si>
  <si>
    <t>ΓΙΑΝΝΟΥΛΑΚΗ</t>
  </si>
  <si>
    <t>giannstye@gmail.com</t>
  </si>
  <si>
    <t>ΓΙΑΣΣΑΚΗ</t>
  </si>
  <si>
    <t>evangeliag2000@yahoo.de</t>
  </si>
  <si>
    <t>trospoli@yahoo.gr</t>
  </si>
  <si>
    <t>ΓΙΑΤΑΓΑΝΑΣ</t>
  </si>
  <si>
    <t>ΣΤΕΦΑΝΟΣ-ΘΕΟΦΑΝΗΣ</t>
  </si>
  <si>
    <t>ΑΓΑΠΗ</t>
  </si>
  <si>
    <t>sgiataganas@gmail.com</t>
  </si>
  <si>
    <t>ΓΙΑΧΝΑΚΗΣ</t>
  </si>
  <si>
    <t>ΑΔΑΜ</t>
  </si>
  <si>
    <t>adamsternes@gmail.com</t>
  </si>
  <si>
    <t>ΓΙΓΟΥΡΤΑΚΗ</t>
  </si>
  <si>
    <t>ΕΡΜΙΟΝΗ</t>
  </si>
  <si>
    <t>irigig@gmail.com</t>
  </si>
  <si>
    <t>ΤΕ16</t>
  </si>
  <si>
    <t>ΜΟΥΣΙΚΗΣ ΜΗ ΑΝΩΤΑΤΩΝ ΙΔΡΥΜΑΤΩΝ</t>
  </si>
  <si>
    <t>ΓΙΓΟΥΡΤΣΗΣ</t>
  </si>
  <si>
    <t>ΓΙΟΥΚΑΚΗ</t>
  </si>
  <si>
    <t>ΠΑΓΩΝΑ</t>
  </si>
  <si>
    <t>magioukaki@gmail.com</t>
  </si>
  <si>
    <t>ΓΚΑΛΑΝΑΚΗΣ</t>
  </si>
  <si>
    <t>ΓΚΑΝΕΤΣΙΟΥ</t>
  </si>
  <si>
    <t>annaganetsiou@gmail.com</t>
  </si>
  <si>
    <t>ΠΕ01.50</t>
  </si>
  <si>
    <t>ΘΕΟΛΟΓΟΙ ΕΙΔΙΚΗΣ ΑΓΩΓΗΣ</t>
  </si>
  <si>
    <t>ΓΚΑΡΝΙΔΗΣ</t>
  </si>
  <si>
    <t>vassilisgarnidis@gmail.com</t>
  </si>
  <si>
    <t>ΓΚΑΤΖΟΦΛΙΑ</t>
  </si>
  <si>
    <t>vickygatz78@gmail.com</t>
  </si>
  <si>
    <t>ΓΚΕΤΣΗΣ</t>
  </si>
  <si>
    <t>apogetsis@yahoo.gr</t>
  </si>
  <si>
    <t>ΓΚΙΑΟΥΡΑΚΗ</t>
  </si>
  <si>
    <t>ΠΟΛΥΤΙΜΗ</t>
  </si>
  <si>
    <t>ΓΚΙΟΥΡΕΜΟΥ</t>
  </si>
  <si>
    <t>ΠΟΛΥΚΑΡΠΟΣ</t>
  </si>
  <si>
    <t>gkiouremou1@gmail.com</t>
  </si>
  <si>
    <t>ΓΚΛΑΜΠΑΝΤΑΝΙΔΟΥ</t>
  </si>
  <si>
    <t>ΜΑΡΙΝΕΛΗ</t>
  </si>
  <si>
    <t>ΓΚΟΥΓΚΟΥΣΗΣ</t>
  </si>
  <si>
    <t>ΚΛΗΜΗΣ</t>
  </si>
  <si>
    <t>synthscape@gmail.com</t>
  </si>
  <si>
    <t>ΓΚΟΥΜΑ</t>
  </si>
  <si>
    <t>p.gkouma@hotmail.com</t>
  </si>
  <si>
    <t>ΓΚΟΥΤΖΙΟΥ</t>
  </si>
  <si>
    <t>goutzichry@yahoo.gr</t>
  </si>
  <si>
    <t>ΗΜΕΡΗΣΙΟ ΓΥΜΝΑΣΙΟ ΧΑΡΑΚΑ ΗΡΑΚΛΕΙΟΥ</t>
  </si>
  <si>
    <t>mail@gym-charak.ira.sch.gr</t>
  </si>
  <si>
    <t>ΓΟΡΓΟΡΑΠΤΗΣ</t>
  </si>
  <si>
    <t>giorgosgorgoraptis@gmail.com</t>
  </si>
  <si>
    <t>ΓΟΥΓΑΚΗΣ</t>
  </si>
  <si>
    <t>ΣΑΒΒΑΤΟ</t>
  </si>
  <si>
    <t>makon999@otenet.gr</t>
  </si>
  <si>
    <t>ΓΟΥΔΑΚΗ</t>
  </si>
  <si>
    <t>ΜΕΛΠΟΜΕΝΗ</t>
  </si>
  <si>
    <t>ΓΟΥΝΑΚΗΣ</t>
  </si>
  <si>
    <t>ΧΑΡΑΛΑΜΠΙΑ</t>
  </si>
  <si>
    <t>physt1@gmail.com</t>
  </si>
  <si>
    <t>ΓΟΥΡΝΑΡΗΣ</t>
  </si>
  <si>
    <t>ΓΟΥΡΝΙΕΖΑΚΗ</t>
  </si>
  <si>
    <t>Drtsakou@yahoo.gr</t>
  </si>
  <si>
    <t>ΓΡΑΙΚΟΥ</t>
  </si>
  <si>
    <t>ΓΡΑΜΜΑΤΙΚΑΚΗΣ</t>
  </si>
  <si>
    <t>ΕΥΓΕΝ</t>
  </si>
  <si>
    <t>giannisgram@gmail.com</t>
  </si>
  <si>
    <t>ΓΡΑΤΣΕΑ</t>
  </si>
  <si>
    <t>ΗΜΕΡΗΣΙΟ ΓΕΝΙΚΟ ΛΥΚΕΙΟ ΒΙΑΝΝΟΥ ΗΡΑΚΛΕΙΟΥ - ΕΝΙΑΙΟ ΛΥΚΕΙΟ</t>
  </si>
  <si>
    <t>mail@lyk-viann.ira.sch.gr</t>
  </si>
  <si>
    <t>ΓΡΑΦΑΝΑΚΗ</t>
  </si>
  <si>
    <t>ΡΩΞΑΝΗ</t>
  </si>
  <si>
    <t>roxaniegr@sch.gr</t>
  </si>
  <si>
    <t xml:space="preserve">ΓΡΗΓΟΡΑ </t>
  </si>
  <si>
    <t>ΓΡΑΜΜΑΤΙΚΗ</t>
  </si>
  <si>
    <t>olgag78@gmail.com</t>
  </si>
  <si>
    <t>ΓΡΗΓΟΡΑΚΗ</t>
  </si>
  <si>
    <t>ΑΝΔΡΙΑΝΗ</t>
  </si>
  <si>
    <t>agrigorak@sch.gr</t>
  </si>
  <si>
    <t>ΓΡΗΓΟΡΑΚΗΣ</t>
  </si>
  <si>
    <t>ΜΑΡΙΑΝΘΗ</t>
  </si>
  <si>
    <t>ΓΡΗΓΟΡΙΑΔΗ</t>
  </si>
  <si>
    <t>mgrigor@sch.gr</t>
  </si>
  <si>
    <t>ΓΡΗΓΟΡΙΟΥ</t>
  </si>
  <si>
    <t>grigorioymaria@gmail.com</t>
  </si>
  <si>
    <t>ΓΡΗΓΟΡΟΥΔΗ</t>
  </si>
  <si>
    <t>ΑΡΓΥΡΙΟΣ</t>
  </si>
  <si>
    <t>ΝΙΚΟΛΙΝΑ</t>
  </si>
  <si>
    <t>Prude.grigor@gmail.com</t>
  </si>
  <si>
    <t>ΓΡΙΒΑΚΗ</t>
  </si>
  <si>
    <t>ΑΡΓΥΡΩ</t>
  </si>
  <si>
    <t>zkavrocharakis@hotmail.com</t>
  </si>
  <si>
    <t>ΓΡΙΝΙΕΖΑΚΗ</t>
  </si>
  <si>
    <t>m.griniezaki@gmail.com</t>
  </si>
  <si>
    <t>ΓΡΙΝΙΕΖΑΚΗΣ</t>
  </si>
  <si>
    <t>mgriniezakis@gmail.com</t>
  </si>
  <si>
    <t>ΓΥΠΑΡΑΚΗ</t>
  </si>
  <si>
    <t>christagyp@yahoo.gr</t>
  </si>
  <si>
    <t>ΓΩΝΙΑΝΑΚΗ</t>
  </si>
  <si>
    <t>ΔΑΓΑΛΑΚΗ</t>
  </si>
  <si>
    <t>natsig5@gmail.com</t>
  </si>
  <si>
    <t>ΔΑΓΑΛΑΚΗΣ</t>
  </si>
  <si>
    <t>manosdagal@gmail.com</t>
  </si>
  <si>
    <t>ΔΑΙΛΑΚΗ</t>
  </si>
  <si>
    <t>ΔΑΚΑ</t>
  </si>
  <si>
    <t>ΕΥΘΑΛΙΑ</t>
  </si>
  <si>
    <t>lilydaka@gmail.com</t>
  </si>
  <si>
    <t>ΔΑΚΑΝΑΛΗ</t>
  </si>
  <si>
    <t>ΒΙΡΓΙΝΙΑ</t>
  </si>
  <si>
    <t>oikomania1@hotmail.com</t>
  </si>
  <si>
    <t>ΔΑΚΙΔΗ</t>
  </si>
  <si>
    <t>ΑΘΑΝΑΣΟΥΛΑ</t>
  </si>
  <si>
    <t>ΔΑΛΛΑ</t>
  </si>
  <si>
    <t>dallasa@otenet.gr</t>
  </si>
  <si>
    <t>ΔΑΜΙΑΝΑΚΗ</t>
  </si>
  <si>
    <t>katerinadamianaki@yahoo.gr</t>
  </si>
  <si>
    <t>ΔΑΜΙΑΝΑΚΗΣ</t>
  </si>
  <si>
    <t>gdamianakisGR@gmail.com</t>
  </si>
  <si>
    <t>ΦΡΑΓΚΙΣΚΟΣ</t>
  </si>
  <si>
    <t>ΔΑΜΟΥΛΑΚΗ</t>
  </si>
  <si>
    <t>ΔΑΝΑΣΗΣ</t>
  </si>
  <si>
    <t>danassisc@gmail.com</t>
  </si>
  <si>
    <t>ΔΑΣΚΑΛΑΚΗ</t>
  </si>
  <si>
    <t>fax 2810230207</t>
  </si>
  <si>
    <t>daskaloaki.katerina0000@gmail.com</t>
  </si>
  <si>
    <t>ΑΝΔΡΕ</t>
  </si>
  <si>
    <t>17.2/14669</t>
  </si>
  <si>
    <t>Αναπληρωτής Ιδιωτικής Εκπαίδευσης (ν. 682/1977 άρ.35, παρ.4)</t>
  </si>
  <si>
    <t>ΦΑΙΔΡΑ</t>
  </si>
  <si>
    <t>maniadasc@gmail.com</t>
  </si>
  <si>
    <t>ΗΡΑΚΛΗΣ</t>
  </si>
  <si>
    <t>734/Γ'/16-08-2010</t>
  </si>
  <si>
    <t>chrisidask@yahoo.gr</t>
  </si>
  <si>
    <t>ΔΑΣΚΑΛΑΚΗΣ</t>
  </si>
  <si>
    <t>emdaskal@sch.gr</t>
  </si>
  <si>
    <t>michalisdas@hotmail.com</t>
  </si>
  <si>
    <t>ΣΤΑΥΡΩΤΗ</t>
  </si>
  <si>
    <t>mdaskal@hotmail.gr</t>
  </si>
  <si>
    <t>ΒΙΚΤΩΡΑΣ</t>
  </si>
  <si>
    <t>ΕΛENH</t>
  </si>
  <si>
    <t>ndaskal@sch.gr</t>
  </si>
  <si>
    <t>ΦΙΛΗΜΩΝ</t>
  </si>
  <si>
    <t>filimonasdaskalakis@gmail.com</t>
  </si>
  <si>
    <t>frankdask@gmail.com</t>
  </si>
  <si>
    <t>ΔΑΣΚΑΛΟΓΙΑΝΝΑΚΗ</t>
  </si>
  <si>
    <t>daskalogi@gmail.com</t>
  </si>
  <si>
    <t>ΔΕΛΛΑ</t>
  </si>
  <si>
    <t>dimdella1@yahoo.gr</t>
  </si>
  <si>
    <t>ΔΕΛΛΑΤΟΛΑΣ</t>
  </si>
  <si>
    <t>ΝΙΟΒΗ</t>
  </si>
  <si>
    <t>sdell@sch.gr</t>
  </si>
  <si>
    <t>ΔΕΝΔΡΑΛΙΔΗΣ</t>
  </si>
  <si>
    <t>ΔΕΡΜΙΤΖΑΚΗ</t>
  </si>
  <si>
    <t>ΕΛΒΙΡΑ</t>
  </si>
  <si>
    <t>argder@gmail.com</t>
  </si>
  <si>
    <t>irdermitzaki@gmail.com</t>
  </si>
  <si>
    <t>dermitzakim@gmail.com</t>
  </si>
  <si>
    <t>ΔΕΡΜΙΤΖΑΚΗΣ</t>
  </si>
  <si>
    <t>ΔΕΣΚΟΥΛΙΔΗΣ</t>
  </si>
  <si>
    <t>ΠΑΡΑΣΚΕΥΑΣ</t>
  </si>
  <si>
    <t>deskoulidisparasxos@hotmail.com</t>
  </si>
  <si>
    <t>ΔΕΤΟΡΑΚΗ</t>
  </si>
  <si>
    <t>ΔΕΤΟΡΑΚΗΣ</t>
  </si>
  <si>
    <t>jdetorakis@yahoo.gr</t>
  </si>
  <si>
    <t>ΔΕΤΤΟΡΑΚΗ</t>
  </si>
  <si>
    <t>dettoraki@sch.gr</t>
  </si>
  <si>
    <t>ΔΗΛΑΡΗΣ</t>
  </si>
  <si>
    <t>dilaris@cs.teiher.gr</t>
  </si>
  <si>
    <t>ΔΗΜΑΔΗΣ</t>
  </si>
  <si>
    <t>dimadisj@hotmail.com</t>
  </si>
  <si>
    <t>ΔΗΜΑΚΗΣ</t>
  </si>
  <si>
    <t>ΠΑΝΑΓΟΥ</t>
  </si>
  <si>
    <t>IDIMAKIS60@gmail.com</t>
  </si>
  <si>
    <t>ΔΗΜΑΝΟΠΟΥΛΟΣ</t>
  </si>
  <si>
    <t>dimanopoulos@students.phl.uoc.gr</t>
  </si>
  <si>
    <t>1ο ΗΜΕΡΗΣΙΟ ΕΠΑΛ ΜΟΙΡΩΝ</t>
  </si>
  <si>
    <t>mail@1epal-moiron.ira.sch.gr</t>
  </si>
  <si>
    <t>ΔΗΜΗΤΡΑΚΑΚΗ</t>
  </si>
  <si>
    <t>ΘΕΟΔΟΣΙΑ</t>
  </si>
  <si>
    <t>ΔΗΜΗΤΡΙΑΔΟΥ</t>
  </si>
  <si>
    <t>ΠΑΣΧΑΛΙΝΑ</t>
  </si>
  <si>
    <t>ΔΗΜΗΤΡΙΟΥ</t>
  </si>
  <si>
    <t>ΣΕΒΑΣΤΗ</t>
  </si>
  <si>
    <t>taniadimit@yahoo.gr</t>
  </si>
  <si>
    <t>10ο ΗΜΕΡΗΣΙΟ ΓΕΝΙΚΟ ΛΥΚΕΙΟ ΗΡΑΚΛΕΙΟΥ</t>
  </si>
  <si>
    <t>mail@10lyk-irakl.ira.sch.gr</t>
  </si>
  <si>
    <t>ΔΗΜΟΠΟΥΛΟΣ</t>
  </si>
  <si>
    <t>ΑΝΤΩΝ</t>
  </si>
  <si>
    <t>ΔΗΜΟΠΟΥΛΟΥ</t>
  </si>
  <si>
    <t>gedimop08@gmail.com</t>
  </si>
  <si>
    <t>nellydim8@gmail.com</t>
  </si>
  <si>
    <t>ΔΗΜΟΥ</t>
  </si>
  <si>
    <t>ed.giannis@gmail.com</t>
  </si>
  <si>
    <t>ΔΙΑΚΑΚΗ</t>
  </si>
  <si>
    <t>ΔΙΑΚΑΚΗΣ</t>
  </si>
  <si>
    <t>giorgosdiakakis@gmail.com</t>
  </si>
  <si>
    <t>ΔΙΑΛΥΝΑ</t>
  </si>
  <si>
    <t>dialyna@hotmail.gr</t>
  </si>
  <si>
    <t>ΔΙΑΛΥΝΑΣ</t>
  </si>
  <si>
    <t>ΡΟΥΣΟΣ</t>
  </si>
  <si>
    <t>mdialynas7@yahoo.gr</t>
  </si>
  <si>
    <t>ΔΙΑΜΑΝΤΑΚΗ</t>
  </si>
  <si>
    <t>ΤΑΡΣΙΑ</t>
  </si>
  <si>
    <t>tarsiadiam@gmail.com</t>
  </si>
  <si>
    <t>ΔΙΑΜΑΝΤΑΚΗΣ</t>
  </si>
  <si>
    <t>idiamantak@sch.gr</t>
  </si>
  <si>
    <t>ΔΙΑΜΑΝΤΑΚΟΥ</t>
  </si>
  <si>
    <t>ΕΥΔΟΚΙΑ</t>
  </si>
  <si>
    <t>ΔΙΑΜΑΝΤΑΡΑ</t>
  </si>
  <si>
    <t>ΔΙΑΜΑΝΤΗ</t>
  </si>
  <si>
    <t>ΤΕ01.20</t>
  </si>
  <si>
    <t>ΒΛΑΣΙΑ</t>
  </si>
  <si>
    <t>antiover@otenet.gr</t>
  </si>
  <si>
    <t>ΔΙΑΜΑΝΤΙΔΗΣ</t>
  </si>
  <si>
    <t>ΥΠΑΤΙ</t>
  </si>
  <si>
    <t>dmntjohn@gmail.com</t>
  </si>
  <si>
    <t>ΔΙΑΜΑΝΤΟΠΟΥΛΟΥ</t>
  </si>
  <si>
    <t>ΘΩΜΑΣ</t>
  </si>
  <si>
    <t>ΕΡΙΚΑ</t>
  </si>
  <si>
    <t>evagelia69@hotmail.com</t>
  </si>
  <si>
    <t>ΔΙΟΝΕΛΛΗ</t>
  </si>
  <si>
    <t>ΣΤΑΜΑΤΙΟΣ</t>
  </si>
  <si>
    <t>ΔΙΠΛΑΡΗ</t>
  </si>
  <si>
    <t>adiplari@gmail.com</t>
  </si>
  <si>
    <t>ΔΟΚΙΑΝΑΚΗ</t>
  </si>
  <si>
    <t>KDokianaki@gmail.com</t>
  </si>
  <si>
    <t>ΔΟΜΤΖΙΔΗΣ</t>
  </si>
  <si>
    <t>domtzidiss@yahoo.gr</t>
  </si>
  <si>
    <t>ΔΟΞΑΣΤΑΚΗ</t>
  </si>
  <si>
    <t>ΜΗΝΑΣ</t>
  </si>
  <si>
    <t>ΔΟΥΒΑΚΗΣ</t>
  </si>
  <si>
    <t>ΜΙΧΑΛΗΣ</t>
  </si>
  <si>
    <t>ΔΟΥΛΓΕΡΑΚΗ</t>
  </si>
  <si>
    <t>aikaterinidoulgeraki@gmail.com</t>
  </si>
  <si>
    <t>karadinou@hotmail.com</t>
  </si>
  <si>
    <t>ΔΟΥΛΓΕΡΑΚΗΣ</t>
  </si>
  <si>
    <t>ΔΟΥΛΟΠΟΥΛΟΣ</t>
  </si>
  <si>
    <t>ΓΡΗΓΟΡΙΟ</t>
  </si>
  <si>
    <t>gdoulop@hotmail.com</t>
  </si>
  <si>
    <t>ΔΟΥΡΟΣ</t>
  </si>
  <si>
    <t>ΔΡΑΓΟΥΜΑΝΑΚΗΣ</t>
  </si>
  <si>
    <t>alexdrag4@gmail.com</t>
  </si>
  <si>
    <t>ΔΡΑΚΑΚΗ</t>
  </si>
  <si>
    <t>ΠΑΤΡΑ</t>
  </si>
  <si>
    <t>xristinadrakaki@hotmail.com</t>
  </si>
  <si>
    <t>ΔΡΑΚΑΚΗΣ</t>
  </si>
  <si>
    <t>ΕΛΠΙΔΑ</t>
  </si>
  <si>
    <t>drakakisn@gmail.com</t>
  </si>
  <si>
    <t>ΔΡΑΚΟΥΛΗ</t>
  </si>
  <si>
    <t>ΤΑΞΙΑΡΧΟΥΛΑ</t>
  </si>
  <si>
    <t>tadrakouli@sch.gr</t>
  </si>
  <si>
    <t>ΔΡΑΚΩΝΑΚΗ</t>
  </si>
  <si>
    <t>ΠΕ87.02</t>
  </si>
  <si>
    <t>ΝΟΣΗΛΕΥΤΙΚΗΣ</t>
  </si>
  <si>
    <t>mdrakon@hotmail.com</t>
  </si>
  <si>
    <t>ΔΡΕΤΑΚΗ</t>
  </si>
  <si>
    <t>ΒΑΡΒΑΡΑ</t>
  </si>
  <si>
    <t>vdretaki@gmail.com</t>
  </si>
  <si>
    <t>ΛΕΩΝΙΔΑΣ</t>
  </si>
  <si>
    <t>ΚΑΛΛΙ</t>
  </si>
  <si>
    <t>gedretaki@yahoo.gr</t>
  </si>
  <si>
    <t>ΔΡΕΤΑΚΗΣ</t>
  </si>
  <si>
    <t>ΕΥΑΓΓΕΛ</t>
  </si>
  <si>
    <t>ΔΡΙΤΣΑΣ</t>
  </si>
  <si>
    <t>ΑΝΤΩΝΗΣ</t>
  </si>
  <si>
    <t>ΔΡΟΣΑΤΑΚΗ</t>
  </si>
  <si>
    <t>mariadrosataki@gmail.com</t>
  </si>
  <si>
    <t>ΔΡΥΜΩΝΗ</t>
  </si>
  <si>
    <t>ΚΑΛΛΙΡΟΗ</t>
  </si>
  <si>
    <t>fotinidrimoni@gmail.com</t>
  </si>
  <si>
    <t>ΔΩΡΑΚΗ</t>
  </si>
  <si>
    <t>chrisanthidoraki@yahoo.gr</t>
  </si>
  <si>
    <t>ΕΛΕΥΘΕΡΑΚΗ</t>
  </si>
  <si>
    <t>ΕΛΕΥΘΕΡΙΑΔΗΣ</t>
  </si>
  <si>
    <t>ΔΑΜΙΑΝΟΣ</t>
  </si>
  <si>
    <t>eldamianos@yahoo.com</t>
  </si>
  <si>
    <t>ΕΛΕΥΘΕΡΙΟΥ</t>
  </si>
  <si>
    <t>ΤΡΙΑΝΤΑΦΥΛΛΟΣ</t>
  </si>
  <si>
    <t>ΤΡΑΝΤΑΦΥΛΛΙΑ</t>
  </si>
  <si>
    <t>ΕΠΙΤΡΟΠΑΚΗ</t>
  </si>
  <si>
    <t>nimar@sch.gr</t>
  </si>
  <si>
    <t>242/Γ'/23-12-1998</t>
  </si>
  <si>
    <t>ΕΠΙΤΡΟΠΑΚΗΣ</t>
  </si>
  <si>
    <t>ΕΠΤΑΜΗΝΙΤΑΚΗ</t>
  </si>
  <si>
    <t>ΑΣΗΜΕΝΙΑ</t>
  </si>
  <si>
    <t>elfihald@yahoo.gr</t>
  </si>
  <si>
    <t>ΕΠΤΑΜΗΝΙΤΑΚΗΣ</t>
  </si>
  <si>
    <t>geptam63@gmail.com</t>
  </si>
  <si>
    <t>ΓΙΑΣΕΜΗ</t>
  </si>
  <si>
    <t>dimitriosseven@gmail.com</t>
  </si>
  <si>
    <t>ΕΥΑΓΓΕΛΟΠΟΥΛΟΣ</t>
  </si>
  <si>
    <t>pantelis9000@gmail.com</t>
  </si>
  <si>
    <t>ΕΥΑΓΓΕΛΟΥ</t>
  </si>
  <si>
    <t>ΔΗΜΗΤΡΗΣ</t>
  </si>
  <si>
    <t>dimitriseva967@yahoo.gr</t>
  </si>
  <si>
    <t>228/Γ/30-08-2006</t>
  </si>
  <si>
    <t>ΗΜΕΡΗΣΙΟ ΓΕΝΙΚΟ ΛΥΚΕΙΟ ΑΓΙΟΣ ΜΥΡΩΝΑΣ ΗΡΑΚΛΕΙΟΥ</t>
  </si>
  <si>
    <t>mail@lyk-ag-myron.ira.sch.gr</t>
  </si>
  <si>
    <t>ΓΙΑΝΟΒΕ</t>
  </si>
  <si>
    <t>criseva@in.gr</t>
  </si>
  <si>
    <t>ΕΥΘΥΜΙΟΥ</t>
  </si>
  <si>
    <t>olympiaeftm@gmail.com</t>
  </si>
  <si>
    <t>ΖΑΖΑ</t>
  </si>
  <si>
    <t>chrysoulazaza@yahoo.gr</t>
  </si>
  <si>
    <t>ΖΑΛΩΝΗ</t>
  </si>
  <si>
    <t>ΜΙΓΚΡΑΝ</t>
  </si>
  <si>
    <t>ΑΓΚΑΒΝΗ</t>
  </si>
  <si>
    <t>alex.amba@gmail.com</t>
  </si>
  <si>
    <t>ΖΑΜΠΑΛΟΥ</t>
  </si>
  <si>
    <t>ΑΓΓΕΛ</t>
  </si>
  <si>
    <t>zabalou@staff.teicrete.gr</t>
  </si>
  <si>
    <t>ΖΑΜΠΙΟΖΗΣ</t>
  </si>
  <si>
    <t>mzampiozis@sch.gr</t>
  </si>
  <si>
    <t>ΖΑΠΟΝΑΚΗΣ</t>
  </si>
  <si>
    <t>ΓΙΩΡΓΟΣ</t>
  </si>
  <si>
    <t>ΣΠΥΡΟΣ</t>
  </si>
  <si>
    <t>ΖΑΡΑΚΑΣ</t>
  </si>
  <si>
    <t>geozarak@yahoo.gr</t>
  </si>
  <si>
    <t>ΖΑΦΕΙΡΟΠΟΥΛΟΥ</t>
  </si>
  <si>
    <t>ΖΑΧΑΡΟΥΛΑ</t>
  </si>
  <si>
    <t>szafeiropoulou@yahoo.com</t>
  </si>
  <si>
    <t>ΖΑΧΑΡΑΚΗ</t>
  </si>
  <si>
    <t>irzacharaki@yahoo.gr</t>
  </si>
  <si>
    <t>98/Γ/04-04-2006</t>
  </si>
  <si>
    <t>zjoannajojo@gmail.com</t>
  </si>
  <si>
    <t>ΠΕ87.05</t>
  </si>
  <si>
    <t>zaxarakimarina@gmail.com</t>
  </si>
  <si>
    <t>nafsikazax@gmail.com</t>
  </si>
  <si>
    <t>ΖΑΧΑΡΑΤΟΥ</t>
  </si>
  <si>
    <t>ΖΑΧΑΡΙΑΔΗΣ</t>
  </si>
  <si>
    <t>manzahariadis@gmail.com</t>
  </si>
  <si>
    <t>ΖΑΧΑΡΙΟΥΔΑΚΗ</t>
  </si>
  <si>
    <t>lenazacharioudaki@yahoo.com</t>
  </si>
  <si>
    <t>marina_85r@yahoo.gr</t>
  </si>
  <si>
    <t>ΖΑΧΑΡΙΟΥΔΑΚΗΣ</t>
  </si>
  <si>
    <t>antzax@sch.gr</t>
  </si>
  <si>
    <t>ΗΜΕΡΗΣΙΟ ΓΕΝΙΚΟ ΛΥΚΕΙΟ ΕΠΙΣΚΟΠΗΣ ΗΡΑΚΛΕΙΟΥ</t>
  </si>
  <si>
    <t>mail@lyk-episk.ira.sch.gr</t>
  </si>
  <si>
    <t>ΕΠΙΣΚΟΠΗΣ</t>
  </si>
  <si>
    <t>sugarv@sch.gr</t>
  </si>
  <si>
    <t>ΖΑΧΟΥ</t>
  </si>
  <si>
    <t>ΣΤΑΜΑΤΙΑ</t>
  </si>
  <si>
    <t>stazaxou@yahoo.gr</t>
  </si>
  <si>
    <t>ΖΕΑΚΗ</t>
  </si>
  <si>
    <t>ΚΛΕΟΠΑΤΡΑ</t>
  </si>
  <si>
    <t>kleze@pathfinder.gr</t>
  </si>
  <si>
    <t>ΖΕΑΚΗΣ</t>
  </si>
  <si>
    <t>gzeakis@yahoo.gr</t>
  </si>
  <si>
    <t>ΖΕΡΒΑΚΗ</t>
  </si>
  <si>
    <t>ΕΥΠΡΑΞΙΑ</t>
  </si>
  <si>
    <t>efizerv@hotmail.com</t>
  </si>
  <si>
    <t>ΠΕΛΑΓ</t>
  </si>
  <si>
    <t>kalliazervaki@gmail.com</t>
  </si>
  <si>
    <t>ΕΛΕΥΘΕΡ</t>
  </si>
  <si>
    <t>ΖΕΡΒΑΚΗΣ</t>
  </si>
  <si>
    <t>xzervakis@gmail.com</t>
  </si>
  <si>
    <t>ΖΕΡΒΟΥ</t>
  </si>
  <si>
    <t>zervoytonia@yahoo.gr</t>
  </si>
  <si>
    <t>aretizer@yahoo.gr</t>
  </si>
  <si>
    <t>ΓΡΗΓΟΡΙΑ</t>
  </si>
  <si>
    <t>ΖΕΡΒΟΥΔΑΚΗ</t>
  </si>
  <si>
    <t>ΖΗΔΙΑΝΑΚΗΣ</t>
  </si>
  <si>
    <t>zidigeor@yahoo.gr</t>
  </si>
  <si>
    <t>ΖΗΣΙΜΟΠΟΥΛΟΥ</t>
  </si>
  <si>
    <t>ΠΕ89.01.50</t>
  </si>
  <si>
    <t>ΚΑΛΛΙΤΕΧΝΙΚΩΝ ΣΠΟΥΔΩΝ ΕΙΔΙΚΗΣ ΑΓΩΓΗΣ</t>
  </si>
  <si>
    <t>ΖΙΟΥΖΙΑ</t>
  </si>
  <si>
    <t>mziouzia@gmail.com</t>
  </si>
  <si>
    <t>ΖΟΥΡΑΡΗΣ</t>
  </si>
  <si>
    <t>ΖΟΥΡΙΔΗ</t>
  </si>
  <si>
    <t>mazouridi@sch.gr</t>
  </si>
  <si>
    <t>ΖΩΑΚΗΣ</t>
  </si>
  <si>
    <t>nerzack@gmail.com</t>
  </si>
  <si>
    <t>ΖΩΒΟΙΛΗ</t>
  </si>
  <si>
    <t>ΣΕΡΑΦΕΙΜ</t>
  </si>
  <si>
    <t>amalia.zovoili@gmail.com</t>
  </si>
  <si>
    <t>ΖΩΓΡΑΦΑΚΗΣ</t>
  </si>
  <si>
    <t>gfzograf@gmail.com</t>
  </si>
  <si>
    <t>ΖΩΓΡΑΦΙΝΗΣ</t>
  </si>
  <si>
    <t>gianzogr5@gmail.com</t>
  </si>
  <si>
    <t>ΖΩΓΡΑΦΙΣΤΟΥ</t>
  </si>
  <si>
    <t>annazog2013@gmail.com</t>
  </si>
  <si>
    <t>ΕΥΣΕΒΙΑ-ΑΝΝΑ</t>
  </si>
  <si>
    <t>vivi_zografistou@hotmail.com</t>
  </si>
  <si>
    <t>ΖΩΓΡΑΦΟΥ</t>
  </si>
  <si>
    <t>ΣΩΤΗΡΙΑ</t>
  </si>
  <si>
    <t>marzografou@hotmail.gr</t>
  </si>
  <si>
    <t>ΖΩΤΟΣ</t>
  </si>
  <si>
    <t>ΗΓΟΥΜΕΝΑΚΗ</t>
  </si>
  <si>
    <t>ΗΛΙΑΔΟΥ</t>
  </si>
  <si>
    <t>ilia_nopi@yahoo.gr</t>
  </si>
  <si>
    <t>ΓΥΜΝΑΣΙΟ ΕΠΙΣΚΟΠΗΣ ΗΡΑΚΛΕΙΟΥ</t>
  </si>
  <si>
    <t>mail@gym-episk.ira.sch.gr</t>
  </si>
  <si>
    <t>ΗΛΙΑΚΗΣ</t>
  </si>
  <si>
    <t>ΕΥΣΤΑΘΙΟΣ</t>
  </si>
  <si>
    <t>ΗΛΙΟΠΟΥΛΟΥ</t>
  </si>
  <si>
    <t>ilioselena@sch.gr</t>
  </si>
  <si>
    <t>ΘΑΛΑΣΣΙΝΟΣ</t>
  </si>
  <si>
    <t>ΑΓΛΑΙΑ</t>
  </si>
  <si>
    <t>giortha@gmail.com</t>
  </si>
  <si>
    <t>ΘΑΝΑΣΗΣ</t>
  </si>
  <si>
    <t>irakli_thanasi@yahoo.gr</t>
  </si>
  <si>
    <t>ΘΑΝΟΣ</t>
  </si>
  <si>
    <t>ΘΕΙΑΚΑΚΗ</t>
  </si>
  <si>
    <t>kaliathiakaki@yahoo.com</t>
  </si>
  <si>
    <t>thiakaki@yahoo.gr</t>
  </si>
  <si>
    <t>ΘΕΟΔΟΣΑΚΗ</t>
  </si>
  <si>
    <t>ΣΩΚΡΑΤΗΣ</t>
  </si>
  <si>
    <t>ΘΕΟΔΟΣΙΑΔΗ</t>
  </si>
  <si>
    <t>ΑΛΒΙΟΝ ΕΛΛΑΣ ΝΙΚΗ</t>
  </si>
  <si>
    <t>ΘΕΟΔΩΡΑΚΗ</t>
  </si>
  <si>
    <t>ΚΑΛΛΙΡΡΟΗ</t>
  </si>
  <si>
    <t>theodorakikal@yahoo.gr</t>
  </si>
  <si>
    <t>ΕΥΡΥΔ</t>
  </si>
  <si>
    <t>theodmar@in.gr</t>
  </si>
  <si>
    <t>ΠΕ80.50</t>
  </si>
  <si>
    <t>ΟΙΚΟΝΟΜΙΑΣ ΕΙΔΙΚΗΣ ΑΓΩΓΗΣ</t>
  </si>
  <si>
    <t>ΜΙΝΩΣ</t>
  </si>
  <si>
    <t>otheodoraki@gmail.com</t>
  </si>
  <si>
    <t>ΘΕΟΔΩΡΙΔΗΣ</t>
  </si>
  <si>
    <t>ΕΥΔΟΚΙΜΟΣ</t>
  </si>
  <si>
    <t>ΑΡΓΥΡΟΥΛΑ</t>
  </si>
  <si>
    <t>pater_evdokimos@hotmail.com</t>
  </si>
  <si>
    <t>ΘΕΟΔΩΡΟΜΑΝΩΛΑΚΗ</t>
  </si>
  <si>
    <t>ΜΑΡΙΝΟΣ</t>
  </si>
  <si>
    <t>theodoroma@sch.gr</t>
  </si>
  <si>
    <t>ΠΕ60</t>
  </si>
  <si>
    <t>ΝΗΠΙΑΓΩΓΟΙ</t>
  </si>
  <si>
    <t>ΘΕΟΔΩΡΟΜΑΝΩΛΑΚΗΣ</t>
  </si>
  <si>
    <t>teodoroman@gmail.com</t>
  </si>
  <si>
    <t>ΘΕΟΔΩΡΟΠΟΥΛΟΥ</t>
  </si>
  <si>
    <t>ΛΕΜΟΝ</t>
  </si>
  <si>
    <t>grigoria40300@yahoo.gr</t>
  </si>
  <si>
    <t>ΘΕΟΔΩΡΟΥ</t>
  </si>
  <si>
    <t>evangeliath@yahoo.gr</t>
  </si>
  <si>
    <t>ΘΕΟΦΙΛΑΚΗ</t>
  </si>
  <si>
    <t>kaltheofil@gmail.com</t>
  </si>
  <si>
    <t>ΘΕΟΦΙΛΙΔΗΣ</t>
  </si>
  <si>
    <t>gioswim@hotmail.com</t>
  </si>
  <si>
    <t>ΘΕΟΧΑΡΗ</t>
  </si>
  <si>
    <t>evethe6@gmail.com</t>
  </si>
  <si>
    <t>ΘΩΜΟΥ-ΤΣΟΥΚΑΛΑ</t>
  </si>
  <si>
    <t>ivithom@gmail.com</t>
  </si>
  <si>
    <t>ΙΑΚΩΒΙΔΗΣ</t>
  </si>
  <si>
    <t>ΛΑΖΑΡΟΣ</t>
  </si>
  <si>
    <t>ΠΑΡΘΕ</t>
  </si>
  <si>
    <t>lazardo644@gmail.com</t>
  </si>
  <si>
    <t>ΙΑΤΡΑΚΗΣ</t>
  </si>
  <si>
    <t>ΙΓΝΑΤΙΟΥ</t>
  </si>
  <si>
    <t>ΗΛΙΑΔ</t>
  </si>
  <si>
    <t>marignati@sch.gr</t>
  </si>
  <si>
    <t>ΙΕΡΩΝΥΜΙΔΗ</t>
  </si>
  <si>
    <t>iero75@hotmal.com</t>
  </si>
  <si>
    <t>ΙΟΡΔΑΝΙΔΗ</t>
  </si>
  <si>
    <t>ΒΙΚΤΩΡΙΑ</t>
  </si>
  <si>
    <t>iordanidou.maria@gmail.com</t>
  </si>
  <si>
    <t>ΙΩΑΝΝΙΔΗΣ</t>
  </si>
  <si>
    <t>ΘΩΜΑΣ-ΑΜΥΝΤΑΣ</t>
  </si>
  <si>
    <t>tioamido@gmail.com</t>
  </si>
  <si>
    <t>ΚΑΒΒΑΔΙΑΣ</t>
  </si>
  <si>
    <t>ΓΕΡΑΣΙΜΟΣ</t>
  </si>
  <si>
    <t>ΑΡΙΣΤΟΦΑΝΗΣ</t>
  </si>
  <si>
    <t>ΚΑΒΒΑΛΟΣ</t>
  </si>
  <si>
    <t>ΧΑΡΟΥΛΑ</t>
  </si>
  <si>
    <t>kavvalos@gmail.com</t>
  </si>
  <si>
    <t>ΚΑΒΒΟΥΣΑΝΟΣ</t>
  </si>
  <si>
    <t>karavelas.m@gmail.com</t>
  </si>
  <si>
    <t>ΚΑΓΙΑΛΗΣ</t>
  </si>
  <si>
    <t>akagialis@yahoo.gr</t>
  </si>
  <si>
    <t>ΚΑΓΙΑΜΠΑΚΗ</t>
  </si>
  <si>
    <t>kagiampaki@sch.gr</t>
  </si>
  <si>
    <t>ΚΑΓΙΑΜΠΑΚΗΣ</t>
  </si>
  <si>
    <t>ΚΑΔΙΑΝΗ</t>
  </si>
  <si>
    <t>ΚΑΓΚΑ</t>
  </si>
  <si>
    <t>ΒΥΡΩΝ</t>
  </si>
  <si>
    <t>ΕΥΑΓΓΕΛΙΤΣΑ</t>
  </si>
  <si>
    <t>ΚΑΔΙΑΝΑΚΗ</t>
  </si>
  <si>
    <t>pkadian@sch.gr</t>
  </si>
  <si>
    <t>ΚΑΔΙΑΝΑΚΗΣ</t>
  </si>
  <si>
    <t>Kadianak@sch.gr</t>
  </si>
  <si>
    <t>ΚΑΖΑΜΙΑΚΗΣ</t>
  </si>
  <si>
    <t>kazamiak@hotmail.com</t>
  </si>
  <si>
    <t>ΚΑΖΓΚΟΥΤΗΣ</t>
  </si>
  <si>
    <t>ΚΑΘΑΡΑΚΗ</t>
  </si>
  <si>
    <t>georgiakatharaki@hotmail.com</t>
  </si>
  <si>
    <t>ΚΑΙΝΟΥΡΓΙΑΚΗΣ</t>
  </si>
  <si>
    <t>ΙΠΠΟΚΡΑΤΗΣ</t>
  </si>
  <si>
    <t>kaingeo@yahoo.gr</t>
  </si>
  <si>
    <t>ΚΑΚΑΒΕΛΑΚΗΣ</t>
  </si>
  <si>
    <t>ΑΝΘΟΥΛΑ</t>
  </si>
  <si>
    <t>than1972@sch.gr</t>
  </si>
  <si>
    <t>ΚΑΚΑΖΙΑΝΝΗΣ</t>
  </si>
  <si>
    <t>ΚΑΚΑΝΔΡΗ</t>
  </si>
  <si>
    <t>kandri1@otenet.gr</t>
  </si>
  <si>
    <t>ΚΑΚΟΔΕΙΠΝΑΚΗ</t>
  </si>
  <si>
    <t>olykak@sch.gr</t>
  </si>
  <si>
    <t>ΚΑΚΟΥΔΑΚΗΣ</t>
  </si>
  <si>
    <t>zakakou@gmail.com</t>
  </si>
  <si>
    <t>ΚΑΚΟΥΛΑΚΗΣ</t>
  </si>
  <si>
    <t>k_kakoulakis@yahoo.gr</t>
  </si>
  <si>
    <t>ΚΑΚΟΥΡΗΣ</t>
  </si>
  <si>
    <t>kakoyr1@gmail.com</t>
  </si>
  <si>
    <t>ΚΑΚΟΥΤΗΣ</t>
  </si>
  <si>
    <t>hkakoutis@yahoo.gr</t>
  </si>
  <si>
    <t>ΚΑΛΑΘΑ</t>
  </si>
  <si>
    <t>anthikalatha@yahoo.gr</t>
  </si>
  <si>
    <t>ΚΑΛΑΘΑΚΗ</t>
  </si>
  <si>
    <t>kalathakimaria.edu@gmail.com</t>
  </si>
  <si>
    <t>RKalathaki@gmail.com</t>
  </si>
  <si>
    <t>kalfapsa@gmail.com</t>
  </si>
  <si>
    <t>ΚΑΛΑΙΤΖΑΚΗ</t>
  </si>
  <si>
    <t>m.kalaitzaki@hotmail.gr</t>
  </si>
  <si>
    <t>mariakaloukia@gmail.com</t>
  </si>
  <si>
    <t>ΚΑΛΑΙΤΖΑΚΗΣ</t>
  </si>
  <si>
    <t>ΚΑΛΑΙΤΖΗ</t>
  </si>
  <si>
    <t>ekalaetz@phyed.duth.gr</t>
  </si>
  <si>
    <t>ΚΑΛΑΝΤΖΙΔΟΥ</t>
  </si>
  <si>
    <t>ΚΑΛΑΦΑΤΑΚΗΣ</t>
  </si>
  <si>
    <t>kalafkost@gmail.com</t>
  </si>
  <si>
    <t>ΚΑΛΔΕΛΗ</t>
  </si>
  <si>
    <t>ΚΑΛΕΜΑΚΗ</t>
  </si>
  <si>
    <t>rkalemaki@gmail.com</t>
  </si>
  <si>
    <t>ΚΑΛΕΝΤΖΙΟΥ</t>
  </si>
  <si>
    <t>ΚΑΛΙΓΙΑΝΝΑΚΗΣ</t>
  </si>
  <si>
    <t>ΚΑΛΙΤΣΟΥΝΑΚΗ</t>
  </si>
  <si>
    <t>evikalits@gmail.com</t>
  </si>
  <si>
    <t>ΚΑΛΛΕΡΓΗ</t>
  </si>
  <si>
    <t>annakal2009@hotmail.com</t>
  </si>
  <si>
    <t>ΚΑΛΛΙΤΣΟΥΝΑΚΗ</t>
  </si>
  <si>
    <t>ΠΕ78.50</t>
  </si>
  <si>
    <t>ΚΟΙΝΩΝΙΚΩΝ ΕΠΙΣΤΗΜΩΝ ΕΙΔΙΚΗΣ ΑΓΩΓΗΣ</t>
  </si>
  <si>
    <t>ΚΑΛΟΓΕΡΑΚΗΣ</t>
  </si>
  <si>
    <t>akalo333@gmail.com</t>
  </si>
  <si>
    <t>mder95@otenet.gr</t>
  </si>
  <si>
    <t>mihaliskalo@gmail.com</t>
  </si>
  <si>
    <t>ΚΑΛΟΓΙΑΝΝΑΚΗ</t>
  </si>
  <si>
    <t>ΚΑΛΟΓΙΑΝΝΑΚΗΣ</t>
  </si>
  <si>
    <t>ΔΕ02.01</t>
  </si>
  <si>
    <t>ΗΛΕΚΤΡΟΛΟΓΟΙ-ΗΛΕΚΤΡΟΝΙΚΟΙ</t>
  </si>
  <si>
    <t>ΤΕ01.06</t>
  </si>
  <si>
    <t>ΗΛΕΚΤΡΟΛΟΓΟΙ</t>
  </si>
  <si>
    <t>ΚΑΛΟΓΙΑΝΝΗ</t>
  </si>
  <si>
    <t>ΖΩΗΣ</t>
  </si>
  <si>
    <t>KalogianniThalia@gmail.com</t>
  </si>
  <si>
    <t>ΚΑΛΟΚΥΡΗ</t>
  </si>
  <si>
    <t>ΒΑΣΙΛΕΙΑ</t>
  </si>
  <si>
    <t>ΚΑΛΟΚΥΡΗΣ</t>
  </si>
  <si>
    <t>ekalokyr@sch.gr</t>
  </si>
  <si>
    <t>ΠΕ04.05</t>
  </si>
  <si>
    <t>ΓΕΩΛΟΓΟΙ</t>
  </si>
  <si>
    <t>ΚΑΛΟΜΟΙΡΗ</t>
  </si>
  <si>
    <t>kalomirides@gmail.com</t>
  </si>
  <si>
    <t>ΘΕΜΙΣΤΟΚΛΗΣ</t>
  </si>
  <si>
    <t>ΚΑΛΟΝΑΚΗΣ</t>
  </si>
  <si>
    <t>geokalonakis77@gmail.com</t>
  </si>
  <si>
    <t>ΚΑΛΟΥΔΑΚΗΣ</t>
  </si>
  <si>
    <t>kaloudakis@sch.gr</t>
  </si>
  <si>
    <t>ΚΑΛΟΥΔΙΩΤΗ</t>
  </si>
  <si>
    <t>ΚΑΛΟΧΡΙΣΤΙΑΝΑΚΗ</t>
  </si>
  <si>
    <t>ekalchr@gmail.com</t>
  </si>
  <si>
    <t>ΚΑΛΟΧΡΙΣΤΙΑΝΑΚΗΣ</t>
  </si>
  <si>
    <t>ΒΑΡΣΑΜΙ</t>
  </si>
  <si>
    <t>ΚΑΛΟΨΙΚΑΚΗ</t>
  </si>
  <si>
    <t>kalopsik@sch.gr</t>
  </si>
  <si>
    <t>ΚΑΛΠΑΚΙΔΗΣ</t>
  </si>
  <si>
    <t>kostaskalpak@gmail.com</t>
  </si>
  <si>
    <t>ΚΑΛΠΟΥΡΤΖΗΣ</t>
  </si>
  <si>
    <t>ΗΜΕΡΗΣΙΟ ΓΥΜΝΑΣΙΟ ΠΥΡΓΟΥ ΜΟΝΟΦΑΤΣΙΟΥ</t>
  </si>
  <si>
    <t>mail@gym-pyrgou.ira.sch.gr</t>
  </si>
  <si>
    <t>ΠΥΡΓΟΥ</t>
  </si>
  <si>
    <t>ΚΑΛΥΚΑΚΗ</t>
  </si>
  <si>
    <t>eleni71168@gmail.com</t>
  </si>
  <si>
    <t>ΚΑΛΥΚΑΚΗΣ</t>
  </si>
  <si>
    <t>kalikakis1@sch.gr</t>
  </si>
  <si>
    <t>mcalix@sch.gr</t>
  </si>
  <si>
    <t>ΚΑΜΑΡΙΑΝΑΚΗ</t>
  </si>
  <si>
    <t>mariaskam@gmail.com</t>
  </si>
  <si>
    <t>ΚΑΜΕΝΟΥ</t>
  </si>
  <si>
    <t>viktoriakam@hotmail.com</t>
  </si>
  <si>
    <t>ΚΑΜΗΛΑΚΗΣ</t>
  </si>
  <si>
    <t>ΙΩΣΗΦ</t>
  </si>
  <si>
    <t>ikamilakis@sch.gr</t>
  </si>
  <si>
    <t>ΚΑΜΠΑΚΗΣ</t>
  </si>
  <si>
    <t>ΚΑΜΠΑΚΙΔΗ</t>
  </si>
  <si>
    <t>sofiakampakidi@yahoo.gr</t>
  </si>
  <si>
    <t>ΚΑΜΠΑΝΑΡΑΚΗ</t>
  </si>
  <si>
    <t>lenakampanaraki@gmail.com</t>
  </si>
  <si>
    <t>ΚΑΜΠΑΝΑΡΑΚΗΣ</t>
  </si>
  <si>
    <t>kampanarakis@hotmail.com</t>
  </si>
  <si>
    <t>ΚΑΜΠΕΡΟΓΛΟΥ</t>
  </si>
  <si>
    <t>ΠΑΡΑΣΚΕΥΟΥΛΑ</t>
  </si>
  <si>
    <t>ΓΡΑΜΜΑΤΕΙΑ</t>
  </si>
  <si>
    <t>ΚΑΜΠΙΤΑΚΗ</t>
  </si>
  <si>
    <t>akampitaki@gmail.com</t>
  </si>
  <si>
    <t>ΚΑΜΠΟΥΡΑΚΗ</t>
  </si>
  <si>
    <t>ΕΥΔΟΞΙΑ</t>
  </si>
  <si>
    <t>nikikabouraki@gmail.com</t>
  </si>
  <si>
    <t>chrysakambouraki@gmail.com</t>
  </si>
  <si>
    <t>ΚΑΜΠΟΥΡΑΚΗΣ</t>
  </si>
  <si>
    <t>mkambourakis@hotmail.com</t>
  </si>
  <si>
    <t>ΚΑΝΑΚΗ</t>
  </si>
  <si>
    <t>viktoriakanaki@gmail.com</t>
  </si>
  <si>
    <t>eirkanaki@yahoo.gr</t>
  </si>
  <si>
    <t>ΚΑΝΔΥΛΑΚΗ</t>
  </si>
  <si>
    <t>virkandilaki@gmail.com</t>
  </si>
  <si>
    <t>ΚΑΝΔΥΛΙΑΡΗ</t>
  </si>
  <si>
    <t>ΔΑΝΙΗΛ</t>
  </si>
  <si>
    <t>mkandyliari@hotmail.com</t>
  </si>
  <si>
    <t>ΚΑΝΕΛΛΟΣ</t>
  </si>
  <si>
    <t>atkaskan@otenet.gr</t>
  </si>
  <si>
    <t>ΚΑΝΕΛΛΟΥ</t>
  </si>
  <si>
    <t>ΤΕ02.07</t>
  </si>
  <si>
    <t>ΓΕΩΠΟΝΙΑΣ</t>
  </si>
  <si>
    <t>ΚΑΝΕΤΑΚΗ</t>
  </si>
  <si>
    <t>ΜΑΡΙΛΕΝΑ</t>
  </si>
  <si>
    <t>marilenakanetaki@gmail.com</t>
  </si>
  <si>
    <t>ΚΑΝΝΑΒΟΥ</t>
  </si>
  <si>
    <t>ΟΡΕΣΤΗΣ</t>
  </si>
  <si>
    <t>elkannavou@sch.gr</t>
  </si>
  <si>
    <t>ΧΡΙΣΤΟΥΛΑ</t>
  </si>
  <si>
    <t>ΚΑΟΥΚΑΚΗ</t>
  </si>
  <si>
    <t>ΕΥΡΙΠΙΔΗΣ</t>
  </si>
  <si>
    <t>xkaouk@yahoo.gr</t>
  </si>
  <si>
    <t>ΚΑΠΑΡΟΥΝΑΚΗ</t>
  </si>
  <si>
    <t>ΚΑΠΕΛΛΑΚΗ</t>
  </si>
  <si>
    <t>ΤΡΙΑΝΤΑΦΥΛΙΑ</t>
  </si>
  <si>
    <t>mkapellaki@sch.gr</t>
  </si>
  <si>
    <t>ΚΑΠΕΛΛΑΚΗΣ</t>
  </si>
  <si>
    <t>ΓΑΛΑΤΕΙΑ</t>
  </si>
  <si>
    <t>gkapellakis@sch.gr</t>
  </si>
  <si>
    <t>ΚΑΠΕΤΑΝΑΚΗ</t>
  </si>
  <si>
    <t>ΚΑΠΕΤΑΝΑΚΗΣ</t>
  </si>
  <si>
    <t>nkapetanakis@windowslive.com</t>
  </si>
  <si>
    <t>ΚΑΠΟΥΛΑ</t>
  </si>
  <si>
    <t>ΣΤΑΘΟΥΛΑ</t>
  </si>
  <si>
    <t>sofiak82@gmail.com</t>
  </si>
  <si>
    <t>ΚΑΠΡΗ</t>
  </si>
  <si>
    <t>ΚΑΡΑΒΕΛΑΣ</t>
  </si>
  <si>
    <t>ΚΑΡΑΓΕΩΡΓΙΟΥ</t>
  </si>
  <si>
    <t>ntino81@yahoo.com</t>
  </si>
  <si>
    <t>ΚΑΡΑΓΙΑΝΝΑΚΗΣ</t>
  </si>
  <si>
    <t>ΕΥΤΕΡΠΗ</t>
  </si>
  <si>
    <t>giorgoskaragiannakis@yahoo.gr</t>
  </si>
  <si>
    <t>ΚΑΡΑΓΙΑΝΝΗΣ</t>
  </si>
  <si>
    <t>ΔΗΜΟΣΘΕΝΗΣ</t>
  </si>
  <si>
    <t>ΑΓΓΕΛΑ</t>
  </si>
  <si>
    <t>dimkar61@yahoo.gr</t>
  </si>
  <si>
    <t>ΚΑΡΑΓΙΑΝΝΙΔΗΣ</t>
  </si>
  <si>
    <t>pontikidou@yahoo.gr</t>
  </si>
  <si>
    <t>ΚΑΡΑΓΙΩΡΓΑΚΗ</t>
  </si>
  <si>
    <t>psit13@gmail.com</t>
  </si>
  <si>
    <t>konkara6@gmail.com</t>
  </si>
  <si>
    <t>ΚΑΡΑΓΚΟΥΝΗΣ</t>
  </si>
  <si>
    <t>ΑΔΑΜΑΝΤΙΑ</t>
  </si>
  <si>
    <t>g.karagounis@sch.gr</t>
  </si>
  <si>
    <t>ΚΑΡΑΔΗΜΟΥ</t>
  </si>
  <si>
    <t>ΑΛΕΞΙΑ</t>
  </si>
  <si>
    <t>ΚΑΡΑΚΑΝΤΖΟΥ ΜΑΡΚΑΚΗ</t>
  </si>
  <si>
    <t>ΚΑΡΑΚΑΣΙΔΟΥ</t>
  </si>
  <si>
    <t>ramblings8@gmail.com</t>
  </si>
  <si>
    <t>ΚΑΡΑΚΩΣΤΑ</t>
  </si>
  <si>
    <t>ΠΑΪΣΙΟΥΛΑ</t>
  </si>
  <si>
    <t>ΜΑΡΙΟΣ</t>
  </si>
  <si>
    <t>pmakara@gmail.com</t>
  </si>
  <si>
    <t>ΚΑΡΑΛΗ</t>
  </si>
  <si>
    <t>ΧΑΡΙΚ</t>
  </si>
  <si>
    <t>aspassiakarali@hotmail.com</t>
  </si>
  <si>
    <t>ΚΑΡΑΛΗ ΜΑΡΑΚΗ</t>
  </si>
  <si>
    <t>ΔΕΣΠΩ</t>
  </si>
  <si>
    <t>despwkar@yahoo.gr</t>
  </si>
  <si>
    <t>ΚΑΡΑΜΑΝΗ</t>
  </si>
  <si>
    <t>aikaterinikaramani@yahoo.gr</t>
  </si>
  <si>
    <t>ΚΑΡΑΜΑΟΥΝΑΣ</t>
  </si>
  <si>
    <t>karam@ics.forth.gr</t>
  </si>
  <si>
    <t>32/Γ/06-02-2001</t>
  </si>
  <si>
    <t>ΚΑΡΑΜΗΤΣΟΥ</t>
  </si>
  <si>
    <t>despinalina@yahoo.com</t>
  </si>
  <si>
    <t>ΚΑΡΑΜΙΧΟΣ</t>
  </si>
  <si>
    <t>ΜΑΡΙΑΜΕΡΟΠΗ</t>
  </si>
  <si>
    <t>gkaramic@gmail.com</t>
  </si>
  <si>
    <t>ΚΑΡΑΜΠΕΤΣΟΥ</t>
  </si>
  <si>
    <t>ΚΑΡΑΝΔΙΝΑΚΗ</t>
  </si>
  <si>
    <t>ΑΝΔΡΟ</t>
  </si>
  <si>
    <t>nkarand@gmail.com</t>
  </si>
  <si>
    <t>ΚΑΡΑΝΔΙΝΑΚΗΣ</t>
  </si>
  <si>
    <t>ΚΑΡΑΝΔΙΝΟΥ</t>
  </si>
  <si>
    <t>anastasia.karandinou@yahoo.gr</t>
  </si>
  <si>
    <t>ΚΑΡΑΟΓΛΑΝΙΔΗΣ</t>
  </si>
  <si>
    <t>ΙΟΡΔΑΝΗΣ</t>
  </si>
  <si>
    <t>tefatzis@hotmail.com</t>
  </si>
  <si>
    <t>ΚΑΡΑΣΑΒΒΙΔΟΥ</t>
  </si>
  <si>
    <t>kalkar131@gmail.com</t>
  </si>
  <si>
    <t>ΚΑΡΑΣΤΑΜΑΤΗ</t>
  </si>
  <si>
    <t>ΘΕΟΦΑΝΗ</t>
  </si>
  <si>
    <t>ΚΟΡΝΗΛΙΑ</t>
  </si>
  <si>
    <t>fanika@yahoo.gr</t>
  </si>
  <si>
    <t>ΚΑΡΑΤΑΚΗ</t>
  </si>
  <si>
    <t>ΕΥΣΤΡΑΤΙΑ</t>
  </si>
  <si>
    <t>karataki123@g.mail.com</t>
  </si>
  <si>
    <t>ΚΑΡΑΤΑΡΑΚΗ</t>
  </si>
  <si>
    <t>evkarataraki@yahoo.gr</t>
  </si>
  <si>
    <t>ΚΑΡΑΤΖΙΑΣ</t>
  </si>
  <si>
    <t>thkaratz@gmail.com</t>
  </si>
  <si>
    <t>ΚΑΡΒΟΥΝΑΚΗ</t>
  </si>
  <si>
    <t>iriniearth@gmail.com</t>
  </si>
  <si>
    <t>ΚΑΡΓΑΚΗΣ</t>
  </si>
  <si>
    <t>Nikos_kargakis@hotmail.com</t>
  </si>
  <si>
    <t>ΚΑΡΔΟΥΛΑΚΗ</t>
  </si>
  <si>
    <t>ΚΑΡΚΑΝΑΚΗ</t>
  </si>
  <si>
    <t>akarkanaki@yahoo.gr</t>
  </si>
  <si>
    <t>karkanaki@sch.gr</t>
  </si>
  <si>
    <t>ΚΑΡΚΑΝΑΚΗΣ</t>
  </si>
  <si>
    <t>ΚΑΡΝΙΚΑΚΗΣ</t>
  </si>
  <si>
    <t>enoida2000@yahoo.gr</t>
  </si>
  <si>
    <t>ΚΑΡΟΥΖΑΚΗΣ</t>
  </si>
  <si>
    <t>kkaroyzakis@gmail.com</t>
  </si>
  <si>
    <t>ΚΑΡΟΦΥΛΛΑΚΗ</t>
  </si>
  <si>
    <t>ΡΙΡΙΚ</t>
  </si>
  <si>
    <t>ΠΕ11.01</t>
  </si>
  <si>
    <t>ΕΙΔΙΚΗΣ ΦΥΣΙΚΗΣ ΑΓΩΓΗΣ</t>
  </si>
  <si>
    <t>ΚΑΡΠΑΘΑΚΗΣ</t>
  </si>
  <si>
    <t>karpathakisg@gmail.com</t>
  </si>
  <si>
    <t>ΚΑΡΠΑΘΙΩΤΑΚΗΣ</t>
  </si>
  <si>
    <t>vkarpathiotakis@hotmail.com</t>
  </si>
  <si>
    <t>ΚΑΡΡΑΣΚΟ ΚΑΛΛΙΜΑΝΗ</t>
  </si>
  <si>
    <t>ΡΟΖΑΛΙΑ</t>
  </si>
  <si>
    <t>ΜΑΞΙΜΙΛΙΑΝΟΣ</t>
  </si>
  <si>
    <t>ΚΑΡΤΣΑΚΗ</t>
  </si>
  <si>
    <t>ΕΛΕΟΝΩΡΑ</t>
  </si>
  <si>
    <t>stella.fil@hotmail.com</t>
  </si>
  <si>
    <t>ΚΑΡΤΣΑΚΗΣ</t>
  </si>
  <si>
    <t>ΠΟΛΥΜΝΙΑ</t>
  </si>
  <si>
    <t>dekart76@yahoo.gr</t>
  </si>
  <si>
    <t>ΚΑΡΤΣΩΝΑΚΗΣ</t>
  </si>
  <si>
    <t>manolis.kartsonakis64@gmail.com</t>
  </si>
  <si>
    <t>ΚΑΡΥΔΗ</t>
  </si>
  <si>
    <t>karydis@iesl.forth.gr</t>
  </si>
  <si>
    <t>ΚΑΡΥΔΗΣ</t>
  </si>
  <si>
    <t>nkarydhs@gmail.com</t>
  </si>
  <si>
    <t>ΚΑΡΥΣΤΙΝΟΥ</t>
  </si>
  <si>
    <t>karistinoukalliopi@yahoo.gr</t>
  </si>
  <si>
    <t>ΚΑΡΥΩΤΑΚΗ</t>
  </si>
  <si>
    <t>ΚΟΣΜΑΣ</t>
  </si>
  <si>
    <t>kariotaki.k@gmail.com</t>
  </si>
  <si>
    <t>ΚΑΣΑΚΗ</t>
  </si>
  <si>
    <t>elkasaki23@gmail.com</t>
  </si>
  <si>
    <t>ΕΜΜΑΝΟΥΕΛΛΑ</t>
  </si>
  <si>
    <t>kasaemman@yahoo.gr</t>
  </si>
  <si>
    <t>ΚΑΣΑΠΑΚΗΣ</t>
  </si>
  <si>
    <t>ΑΔΑΜΑΝΤΙΟΣ</t>
  </si>
  <si>
    <t>kasapakhs@sch.gr</t>
  </si>
  <si>
    <t>ΚΑΣΜΕΡΙΔΗΣ</t>
  </si>
  <si>
    <t>nkasmer@sch.gr</t>
  </si>
  <si>
    <t>ΚΑΣΜΙΡΛΗ</t>
  </si>
  <si>
    <t>dimitrakasmirli@yahoo.gr</t>
  </si>
  <si>
    <t>ΚΑΣΣΑΠΑΚΗ</t>
  </si>
  <si>
    <t>evka805@yahoo.gr</t>
  </si>
  <si>
    <t>ΚΑΣΣΑΠΑΚΗΣ</t>
  </si>
  <si>
    <t>mkassapakis@sch.gr</t>
  </si>
  <si>
    <t>ΚΑΣΣΩΤΑΚΗ</t>
  </si>
  <si>
    <t>ikassotaki@yahoo.gr</t>
  </si>
  <si>
    <t>ΚΑΣΣΩΤΑΚΗΣ</t>
  </si>
  <si>
    <t>kasgiorg@yahoo.gr</t>
  </si>
  <si>
    <t>ΚΑΣΤΕΛΙΑΝΟΥ</t>
  </si>
  <si>
    <t>ΚΑΣΤΕΛΛΙΑΝΑΚΗΣ</t>
  </si>
  <si>
    <t>dkastellos@gmail.com</t>
  </si>
  <si>
    <t>ΚΑΣΤΡΙΝΑΚΗΣ</t>
  </si>
  <si>
    <t>ΖΑΧΑΡΕΝ</t>
  </si>
  <si>
    <t>kastri@sch.gr</t>
  </si>
  <si>
    <t>ΘΕΟΦΙΛΟΣ</t>
  </si>
  <si>
    <t>kastrinak@gmail.com</t>
  </si>
  <si>
    <t>pekast@sch.gr</t>
  </si>
  <si>
    <t>ΚΑΣΩΤΑΚΗ</t>
  </si>
  <si>
    <t>kkassotaki@yahoo.gr</t>
  </si>
  <si>
    <t>kasotaki@gmail.com</t>
  </si>
  <si>
    <t>ΚΑΤΑΓΑΣ</t>
  </si>
  <si>
    <t>dimtolo4@gmail.com</t>
  </si>
  <si>
    <t>ΚΑΤΑΛΑΓΑΡΙΑΝΑΚΗΣ</t>
  </si>
  <si>
    <t>ΚΑΤΕΡΙΝΑΚΗ</t>
  </si>
  <si>
    <t>ΚΑΤΖΑΓΙΑΝΝΑΚΗ</t>
  </si>
  <si>
    <t>ΕΙΡΗΝΗ ΗΛΕΚΤ</t>
  </si>
  <si>
    <t>ΚΑΤΡΑΚΙΛΗ</t>
  </si>
  <si>
    <t>mkatrakili@gmail.com</t>
  </si>
  <si>
    <t>ΚΑΤΡΑΝΤΖΗ</t>
  </si>
  <si>
    <t>ΑΓΟΡΩ</t>
  </si>
  <si>
    <t>ekatrantzi@gmail.com</t>
  </si>
  <si>
    <t>ΚΑΤΣΑ</t>
  </si>
  <si>
    <t>katsa200@otenet.gr</t>
  </si>
  <si>
    <t>ΚΑΤΣΑΒΕΛΗ</t>
  </si>
  <si>
    <t>mariakatsaveli@hotmail.com</t>
  </si>
  <si>
    <t>ΚΑΤΣΑΚΟΣ</t>
  </si>
  <si>
    <t>ΑΛΚΙΒΙΑΔΗΣ</t>
  </si>
  <si>
    <t>interior.mei@gmail.com</t>
  </si>
  <si>
    <t>ΚΑΤΣΑΛΑΚΗ</t>
  </si>
  <si>
    <t>ΚΑΤΣΑΛΗΣ</t>
  </si>
  <si>
    <t>ΘΕΑΝ</t>
  </si>
  <si>
    <t>ΚΑΤΣΑΜΑΝΗ</t>
  </si>
  <si>
    <t>ΡΟΔΟΘΕΑ</t>
  </si>
  <si>
    <t>ΚΑΝΑΚΗΣ</t>
  </si>
  <si>
    <t>ΕΛΠΙΝ</t>
  </si>
  <si>
    <t>roseman@otenet.gr</t>
  </si>
  <si>
    <t>ΚΑΤΣΑΝΤΟΥΡΑ</t>
  </si>
  <si>
    <t>ΕΛΕΩΝΟΡΑ</t>
  </si>
  <si>
    <t>ΓΛΥΚΕΡΙΑ</t>
  </si>
  <si>
    <t>ΚΑΤΣΑΡΑΚΗ</t>
  </si>
  <si>
    <t>katsarakie2@gmail.com</t>
  </si>
  <si>
    <t>ΚΑΤΣΑΡΑΚΗΣ</t>
  </si>
  <si>
    <t>gkatsarak@gmail.com</t>
  </si>
  <si>
    <t>katsarakis@gmail.com</t>
  </si>
  <si>
    <t>6Χ4Ρ4653ΠΣ-ΝΙΔ</t>
  </si>
  <si>
    <t>ΚΑΤΣΑΡΑΠΙΔΗΣ</t>
  </si>
  <si>
    <t>spiroskatsar@gmail.com</t>
  </si>
  <si>
    <t>ΚΑΤΣΕΤΗ</t>
  </si>
  <si>
    <t>ΕΥΦΗΜΙΑ</t>
  </si>
  <si>
    <t>ΚΑΤΣΙΔΗΣ</t>
  </si>
  <si>
    <t>katsidis@materials.uoc.gr</t>
  </si>
  <si>
    <t>ΚΑΤΣΙΟΥΛΗ</t>
  </si>
  <si>
    <t>tkastioule@gmail.com</t>
  </si>
  <si>
    <t>ΚΑΤΣΙΡΝΤΑΚΗ</t>
  </si>
  <si>
    <t>kat_kats@pathfinder.gr</t>
  </si>
  <si>
    <t>ΚΑΤΣΟΠΡΙΝΑΚΗ</t>
  </si>
  <si>
    <t>nikimeni@gmail.com</t>
  </si>
  <si>
    <t>ΚΑΤΣΟΠΡΙΝΑΚΗΣ</t>
  </si>
  <si>
    <t>stavk24@gmail.com</t>
  </si>
  <si>
    <t>ΚΑΤΣΟΥΛΗ</t>
  </si>
  <si>
    <t>katsouliaria@gmail.com</t>
  </si>
  <si>
    <t>ΟΡΣΑΛΙΑ</t>
  </si>
  <si>
    <t>ΧΡΗΣΤΟΥ</t>
  </si>
  <si>
    <t>ΦΛΩΡΑ</t>
  </si>
  <si>
    <t>ΚΑΤΣΟΥΡΟΥ</t>
  </si>
  <si>
    <t>ΔΙΑΛΕΧΤΗ</t>
  </si>
  <si>
    <t>markat422@gmail.com</t>
  </si>
  <si>
    <t>ΚΑΦΤΑΚΗ</t>
  </si>
  <si>
    <t>ΡΟΔΟΥΛΑ</t>
  </si>
  <si>
    <t>rkaftak@sch.gr</t>
  </si>
  <si>
    <t>ΗΜΕΡΗΣΙΟ ΓΥΜΝΑΣΙΟ ΘΡΑΨΑΝΟΥ ΗΡΑΚΛΕΙΟΥ</t>
  </si>
  <si>
    <t>mail@gym-thraps.ira.sch.gr</t>
  </si>
  <si>
    <t>ΘΡΑΨΑΝΟΥ</t>
  </si>
  <si>
    <t>ΚΑΦΦΕΤΖΑΚΗ</t>
  </si>
  <si>
    <t>ΚΑΨΑΣΚΗΣ</t>
  </si>
  <si>
    <t>ΕΥΑΓΓΕΛΙ</t>
  </si>
  <si>
    <t>kapsaskis_p@yahoo.gr</t>
  </si>
  <si>
    <t>206/02.9.2003</t>
  </si>
  <si>
    <t>ΚΕΛΑΡΑΚΗ</t>
  </si>
  <si>
    <t>ΚΕΛΕΠΟΥΡΗ</t>
  </si>
  <si>
    <t>ΩΩ064653ΠΣ-5Ξ1</t>
  </si>
  <si>
    <t>ΚΕΛΕΦΙΩΤΗΣ</t>
  </si>
  <si>
    <t>ΠΟΤΙΤΣΑ</t>
  </si>
  <si>
    <t>dk@sch.gr</t>
  </si>
  <si>
    <t>ΚΕΛΛΗ</t>
  </si>
  <si>
    <t>irinikel@gmail.com</t>
  </si>
  <si>
    <t>ΚΕΡΟΥΛΗΣ</t>
  </si>
  <si>
    <t>ekeroulis@sch.gr</t>
  </si>
  <si>
    <t>ΚΕΦΑΛΑΚΗΣ</t>
  </si>
  <si>
    <t>ΚΕΦΑΛΟΓΙΑΝΝΗΣ</t>
  </si>
  <si>
    <t>ΕΙΜΑΡΜΕΝΗ</t>
  </si>
  <si>
    <t>skefalogiannis@gmail.com</t>
  </si>
  <si>
    <t>ΚΗΠΑΡΑΚΗ</t>
  </si>
  <si>
    <t>ΚΙΖΛΑΡΙΔΟΥ</t>
  </si>
  <si>
    <t>ΚΙΟΣΣΕ</t>
  </si>
  <si>
    <t>ΙΟΡΔΑΝΑ</t>
  </si>
  <si>
    <t>sofiakiosse@yahoo.gr</t>
  </si>
  <si>
    <t>ΚΙΟΣΤΕΡΑΚΗΣ</t>
  </si>
  <si>
    <t>marioskiosterakis@yahoo.gr</t>
  </si>
  <si>
    <t>ΚΙΟΥΡΚΤΣΟΓΛΟΥ</t>
  </si>
  <si>
    <t>kmariakr@hotmail.com</t>
  </si>
  <si>
    <t>ΚΛΑΡΑΚΗ</t>
  </si>
  <si>
    <t>ΑΝΤΙΚΛΕΙΑ</t>
  </si>
  <si>
    <t>katrinaklaraki@hotmail.com</t>
  </si>
  <si>
    <t>ΚΛΑΨΙΝΑΚΗ</t>
  </si>
  <si>
    <t>ΚΛΕΙΝΑΚΗ</t>
  </si>
  <si>
    <t>ΞΕΝΟΦΩΝ</t>
  </si>
  <si>
    <t>kleinaki@windowslive.com</t>
  </si>
  <si>
    <t>ΚΛΗΡΙΔΟΥ</t>
  </si>
  <si>
    <t>ΑΝΔΡΟΥΛ</t>
  </si>
  <si>
    <t>ΚΛΙΝΗ</t>
  </si>
  <si>
    <t>ΠΕΛΟΠΙΔΑΣ</t>
  </si>
  <si>
    <t>klinim@sch.gr</t>
  </si>
  <si>
    <t>ΚΟΓΧΥΛΑΚΗΣ</t>
  </si>
  <si>
    <t>ΚΟΔΕΛΛΑΣ</t>
  </si>
  <si>
    <t>tkodel@sch.gr</t>
  </si>
  <si>
    <t>ΚΟΘΡΑ</t>
  </si>
  <si>
    <t>ΜΑΡΙΑΧΡΙΣΤΙΝΑ</t>
  </si>
  <si>
    <t>kothrabarbara@gmail.com</t>
  </si>
  <si>
    <t>ΚΟΙΝΑΚΗ</t>
  </si>
  <si>
    <t>koinaki_sophia@hotmail.com</t>
  </si>
  <si>
    <t>ΚΟΚΑΡΑΚΗ</t>
  </si>
  <si>
    <t>evkok@hotmail.gr</t>
  </si>
  <si>
    <t>ΚΟΚΚΙΝΑΚΗ</t>
  </si>
  <si>
    <t>katerina-kok@yahoo.gr</t>
  </si>
  <si>
    <t>ΠΕ89.01</t>
  </si>
  <si>
    <t>ΚΑΛΛΙΤΕΧΝΙΚΩΝ ΣΠΟΥΔΩΝ</t>
  </si>
  <si>
    <t>alikikok@gmail.com</t>
  </si>
  <si>
    <t>ΙΑΚΩΒΑ</t>
  </si>
  <si>
    <t>jkokkinaki@gmail.com</t>
  </si>
  <si>
    <t>ΚΟΚΚΙΝΑΚΗΣ</t>
  </si>
  <si>
    <t>ΜΙΧΑΗΛ-Β</t>
  </si>
  <si>
    <t>kokkinakis_k@yahoo.gr</t>
  </si>
  <si>
    <t>ΚΟΚΚΙΝΗ</t>
  </si>
  <si>
    <t>kokkinim@yahoo.com</t>
  </si>
  <si>
    <t>ΚΟΚΚΙΝΗΣ</t>
  </si>
  <si>
    <t>emkok@otenet.gr</t>
  </si>
  <si>
    <t>ΚΟΚΚΙΝΙΔΗΣ</t>
  </si>
  <si>
    <t>ΙΓΝΑΤΙΟΣ</t>
  </si>
  <si>
    <t>ignkokkinidis@gmail.com</t>
  </si>
  <si>
    <t>ΤΕ02.01</t>
  </si>
  <si>
    <t>ΣΧΕΔΙΑΣΤΕΣ-ΔΟΜΙΚΟΙ</t>
  </si>
  <si>
    <t>ΚΟΚΚΙΝΟΓΕΝΗ</t>
  </si>
  <si>
    <t>maria.kokkinogeni@gmail.com</t>
  </si>
  <si>
    <t>ΚΟΚΚΙΝΟΣ</t>
  </si>
  <si>
    <t>gkokkinos1964@hotmail.com</t>
  </si>
  <si>
    <t>ΚΟΚΛΑ</t>
  </si>
  <si>
    <t>mskokla@sch.gr</t>
  </si>
  <si>
    <t>xrysi.kokla@gmail.com</t>
  </si>
  <si>
    <t>ΚΟΚΟΛΑ</t>
  </si>
  <si>
    <t>ΣΤΑΜΑΤΗΣ</t>
  </si>
  <si>
    <t>ΚΟΚΟΛΑΚΗ</t>
  </si>
  <si>
    <t>kokolaki@sch.gr</t>
  </si>
  <si>
    <t>kokmariant@gmail.com</t>
  </si>
  <si>
    <t>ΚΟΚΟΛΑΚΗΣ</t>
  </si>
  <si>
    <t>gkokolakis@sch.gr</t>
  </si>
  <si>
    <t>michaelkokolakis@yahoo.co.uk</t>
  </si>
  <si>
    <t>nektarios1201@sch.gr</t>
  </si>
  <si>
    <t>ΚΟΚΟΤΣΑΚΗ</t>
  </si>
  <si>
    <t>ΧΡΙΣΤΟΔΟΥΛΟΣ</t>
  </si>
  <si>
    <t>ΚΩΝ ΝΑ</t>
  </si>
  <si>
    <t>acretoise@yahoo.gr</t>
  </si>
  <si>
    <t>ΚΟΛΑΤΣΙΔΑΚΗ</t>
  </si>
  <si>
    <t>ΠΟΛΥΒΙΟΣ</t>
  </si>
  <si>
    <t>laste.@ontlook.com</t>
  </si>
  <si>
    <t>ΚΟΛΙΑΔΗΣ</t>
  </si>
  <si>
    <t>ΣΙΔΕΡΗΣ</t>
  </si>
  <si>
    <t>ΜΑΡΙΚΑ</t>
  </si>
  <si>
    <t>koliadisargiris@gmail.com</t>
  </si>
  <si>
    <t>ΚΟΛΙΑΚΟΥΔΑΚΗ</t>
  </si>
  <si>
    <t>evaggelia215@yahoo.gr</t>
  </si>
  <si>
    <t>ΚΟΛΠΕΤΙΝΟΥ-ΧΑΡΙΤΑΚΗ</t>
  </si>
  <si>
    <t>kolpelie@hotmail.com</t>
  </si>
  <si>
    <t>ΚΟΛΥΒΑΚΗ ΠΕΡΒΟΛΑΡΑΚΗ</t>
  </si>
  <si>
    <t>pervokoli@gmail.com</t>
  </si>
  <si>
    <t>Οργανικά σε Τμήμα Ένταξης</t>
  </si>
  <si>
    <t>ΚΟΛΥΒΑΚΗΣ</t>
  </si>
  <si>
    <t>akolyb64@gmail.com</t>
  </si>
  <si>
    <t>ΚΟΜΗΣ</t>
  </si>
  <si>
    <t>giorgoskomis@gmail.com</t>
  </si>
  <si>
    <t>ΚΟΜΜΑΤΑΣ</t>
  </si>
  <si>
    <t>komnik9@gmail.com</t>
  </si>
  <si>
    <t>ΚΟΜΟΝΤΑΚΗ</t>
  </si>
  <si>
    <t>emmkak@yahoo.gr</t>
  </si>
  <si>
    <t>ΚΟΜΠΟΡΑΚΗΣ</t>
  </si>
  <si>
    <t>ΦΑΝΟΥΡΙΟΣ</t>
  </si>
  <si>
    <t>emkomporakis@hotmail.com</t>
  </si>
  <si>
    <t>ΚΟΝΔΥΛΑΚΗ</t>
  </si>
  <si>
    <t>ΡΟΖΑΝΑ</t>
  </si>
  <si>
    <t>ΚΟΝΔΥΛΗ</t>
  </si>
  <si>
    <t>Αναπληρωτής ΠΔΕ Μειωμένου Ωραρίου</t>
  </si>
  <si>
    <t>ΚΟΝΙΟΣ</t>
  </si>
  <si>
    <t>ΙΔΟΜΕΝΕΑΣ</t>
  </si>
  <si>
    <t>ΚΟΝΙΟΥ</t>
  </si>
  <si>
    <t>ekoniou@gmail.com</t>
  </si>
  <si>
    <t>ΚΟΝΙΤΣΙΩΤΟΥ</t>
  </si>
  <si>
    <t>ΖΩΙΤΣΑ</t>
  </si>
  <si>
    <t>ΛΟΥΙΖΑ</t>
  </si>
  <si>
    <t>ΚΟΝΤΑΚΗ</t>
  </si>
  <si>
    <t>kontaki.afroditi@gmail.com</t>
  </si>
  <si>
    <t>ΚΟΝΤΑΡΑΚΗ</t>
  </si>
  <si>
    <t>ΚΟΝΤΖΑΜΠΑΣΑΚΗΣ</t>
  </si>
  <si>
    <t>nikontza@sch.gr</t>
  </si>
  <si>
    <t>ΚΟΝΤΗ</t>
  </si>
  <si>
    <t>ΚΟΝΤΟΓΙΑΝΝΗΣ</t>
  </si>
  <si>
    <t>ovaskos@yahoo.gr</t>
  </si>
  <si>
    <t>ΚΟΝΤΟΝΑΣΑΚΗ</t>
  </si>
  <si>
    <t>ΚΟΝΤΟΣΗΣ</t>
  </si>
  <si>
    <t>xkont60@gmail.com</t>
  </si>
  <si>
    <t>ΚΟΝΤΟΥ</t>
  </si>
  <si>
    <t>eva_kontou@yahoo.gr</t>
  </si>
  <si>
    <t>ΚΟΝΤΟΥΔΑΚΗ</t>
  </si>
  <si>
    <t>ekondoudaki@yahoo.gr</t>
  </si>
  <si>
    <t>ΚΟΠΙΔΗ</t>
  </si>
  <si>
    <t>efikopidi@yahoo.gr</t>
  </si>
  <si>
    <t>ΚΟΡΑΚΑΚΗ</t>
  </si>
  <si>
    <t>ΣΜΑΡΩ</t>
  </si>
  <si>
    <t>ΚΟΡΝΑΡΑΚΗΣ</t>
  </si>
  <si>
    <t>gkornarakis2010@gmail.com</t>
  </si>
  <si>
    <t>ΚΟΡΝΗΛΑΚΗ</t>
  </si>
  <si>
    <t>ΜΑΡΙΑ ΕΡΡΙΚΑ</t>
  </si>
  <si>
    <t>ΚΟΡΝΗΛΑΚΗΣ</t>
  </si>
  <si>
    <t>ath.kornilakis@gmail.com</t>
  </si>
  <si>
    <t>ΚΟΡΣΑΒΒΑ</t>
  </si>
  <si>
    <t>ΚΑΛΛΙΟΠ</t>
  </si>
  <si>
    <t>korsavvael@hotmail.gr</t>
  </si>
  <si>
    <t>ΚΟΡΤΣΙΝΙΔΗΣ</t>
  </si>
  <si>
    <t>ΣΥΜΕΛΑ</t>
  </si>
  <si>
    <t>ΚΟΣΜΑΔΑΚΗ</t>
  </si>
  <si>
    <t>eleni@iworx.gr</t>
  </si>
  <si>
    <t>ΚΟΣΜΑΔΑΚΗΣ</t>
  </si>
  <si>
    <t>skosmad@gmail.com</t>
  </si>
  <si>
    <t>ΚΟΣΜΙΔΟΥ</t>
  </si>
  <si>
    <t>ΑΝΔΡΙΑΝΑ</t>
  </si>
  <si>
    <t>bikykosmidou@gmail.com</t>
  </si>
  <si>
    <t>ΚΟΤΖΑΒΑΚΑΛΗ</t>
  </si>
  <si>
    <t>ΚΟΤΖΑΟΓΛΟΥ</t>
  </si>
  <si>
    <t>ΖΩΙΔΗΣ-ΕΜΜΑΝΟΥΗΛ</t>
  </si>
  <si>
    <t>zoiskotzaoglou@gmail.com</t>
  </si>
  <si>
    <t>ΚΟΤΡΟΓΙΑΝΝΗΣ</t>
  </si>
  <si>
    <t>kotrogiannis1963@gmail.com</t>
  </si>
  <si>
    <t>ΚΟΤΡΩΝΑΚΗΣ</t>
  </si>
  <si>
    <t>gkotron@gmail.com</t>
  </si>
  <si>
    <t>ΚΟΥΒΑΡΑ</t>
  </si>
  <si>
    <t>ΙΑΣΜΗ</t>
  </si>
  <si>
    <t>stamatiakouvara@yahoo.com</t>
  </si>
  <si>
    <t>ΚΟΥΒΕΛΑ</t>
  </si>
  <si>
    <t>ΚΟΥΓΙΟΥΜΤΖΗ</t>
  </si>
  <si>
    <t>ΛΑΜΠΡΙΝΗ-ΗΛΙΑΝΑ</t>
  </si>
  <si>
    <t>ΚΟΥΚΗΣ</t>
  </si>
  <si>
    <t>ΚΗΡΥΚΟΣ</t>
  </si>
  <si>
    <t>kikoukis@sch.gr</t>
  </si>
  <si>
    <t>ΚΟΥΚΟΥ</t>
  </si>
  <si>
    <t>sofkoukou@yahoo.gr</t>
  </si>
  <si>
    <t>ΚΟΥΚΟΥΛΑ</t>
  </si>
  <si>
    <t>aakoukou@yahoo.gr</t>
  </si>
  <si>
    <t>ΚΟΥΚΟΥΡΑΚΗ</t>
  </si>
  <si>
    <t>stellakoukouraki@yahoo.gr</t>
  </si>
  <si>
    <t>ΚΟΥΚΟΥΡΙΚΟΣ</t>
  </si>
  <si>
    <t>ankouk1958@gmail.com</t>
  </si>
  <si>
    <t>ΚΟΥΛΟΥΚΤΣΗ</t>
  </si>
  <si>
    <t>gkoulouktsi@hotmail.com</t>
  </si>
  <si>
    <t>ΚΟΥΛΟΥΡΗ</t>
  </si>
  <si>
    <t>ΑΓΓΕΛΙΚ</t>
  </si>
  <si>
    <t>marykoul@hotmail.com</t>
  </si>
  <si>
    <t>koulouhri@freemail.gr</t>
  </si>
  <si>
    <t>ΚΟΥΜΑΚΗ</t>
  </si>
  <si>
    <t>kkoumaki@gmail.com</t>
  </si>
  <si>
    <t>ΚΟΥΜΑΚΗΣ</t>
  </si>
  <si>
    <t>ΚΟΥΜΠΕΝΑΚΗΣ</t>
  </si>
  <si>
    <t>nickkastro1@yahoo.gr</t>
  </si>
  <si>
    <t>ΚΟΥΝΕΛΗ</t>
  </si>
  <si>
    <t>ΜΑΡΙΑ-ΑΝΝΑ</t>
  </si>
  <si>
    <t>mariannakoun@gmail.com</t>
  </si>
  <si>
    <t>ΚΟΥΡΚΟΥΤΑΚΗ ΛΙΟΝΑΚΗ</t>
  </si>
  <si>
    <t>ΞΑΝΘΙΠΠ</t>
  </si>
  <si>
    <t>malionaki@gmail.com</t>
  </si>
  <si>
    <t>ΚΟΥΡΛΕΤΑΚΗ</t>
  </si>
  <si>
    <t>kourletaki@sch.gr</t>
  </si>
  <si>
    <t>chriskourle@gmail.com</t>
  </si>
  <si>
    <t>ΚΟΥΡΜΟΥΛΗΣ</t>
  </si>
  <si>
    <t>ΡΟΥΣΣΑ</t>
  </si>
  <si>
    <t>ΚΟΥΡΟΥΜΑΛΗΣ</t>
  </si>
  <si>
    <t>Kthulu257@yahoo.com</t>
  </si>
  <si>
    <t>ΚΟΥΡΤΗ</t>
  </si>
  <si>
    <t>kourmaria66@gmail.com</t>
  </si>
  <si>
    <t>ΚΟΥΡΤΙΚΑΚΗ</t>
  </si>
  <si>
    <t>ΚΟΥΡΤΙΚΑΚΗΣ</t>
  </si>
  <si>
    <t>gkourtikakis@hotmail.com</t>
  </si>
  <si>
    <t>zkourt@yahoo.gr</t>
  </si>
  <si>
    <t>ΚΟΥΤΑΝΤΟΣ</t>
  </si>
  <si>
    <t>gkoytantos7@gmail.com</t>
  </si>
  <si>
    <t>ΚΟΥΤΕΝΤΑΚΗ</t>
  </si>
  <si>
    <t>koutentakicha@yahoo.gr</t>
  </si>
  <si>
    <t>ΚΟΥΤΗ</t>
  </si>
  <si>
    <t>koytipagona@gmail.com</t>
  </si>
  <si>
    <t>ΠΕ87.04</t>
  </si>
  <si>
    <t>ΙΑΤΡΙΚΩΝ ΕΡΓΑΣΤΗΡΙΩΝ</t>
  </si>
  <si>
    <t>ΚΟΥΤΡΑ</t>
  </si>
  <si>
    <t>koutrairaklio@yahoo.gr</t>
  </si>
  <si>
    <t>ΚΟΥΤΡΑΚΗ</t>
  </si>
  <si>
    <t>ΜΙΛΤΙΑΔΗΣ</t>
  </si>
  <si>
    <t>ΚΟΥΤΣΑΝΤΩΝΑΚΗΣ</t>
  </si>
  <si>
    <t>kgeorge600@gmail.com</t>
  </si>
  <si>
    <t>ΚΟΥΤΣΟΥΡΑΚΗΣ</t>
  </si>
  <si>
    <t>manow@hol.gr</t>
  </si>
  <si>
    <t>ΚΟΥΦΑΚΗ</t>
  </si>
  <si>
    <t>koufaki12@gmail.com</t>
  </si>
  <si>
    <t>ΚΟΥΦΑΚΗΣ</t>
  </si>
  <si>
    <t>koufkis13@yahoo.gr</t>
  </si>
  <si>
    <t>ΚΟΥΦΟΠΟΥΛΟΥ</t>
  </si>
  <si>
    <t>ΚΟΦΙΝΑΚΗ</t>
  </si>
  <si>
    <t>ΚΡΑΝΙΩΤΑΚΗ</t>
  </si>
  <si>
    <t>kkraniotaki@gmail.com</t>
  </si>
  <si>
    <t>ΚΡΑΣΑΝΑΚΗ</t>
  </si>
  <si>
    <t>krasanakimaria@yahoo.gr</t>
  </si>
  <si>
    <t>ΚΡΑΣΑΝΑΚΗΣ</t>
  </si>
  <si>
    <t>krasanow@gmail.com</t>
  </si>
  <si>
    <t>ΚΡΕΒΕΤΖΑΚΗ</t>
  </si>
  <si>
    <t>ΚΡΗΤΙΚΟΣ</t>
  </si>
  <si>
    <t>ΑΡΙΣΤΕΙΔ</t>
  </si>
  <si>
    <t>ΚΑΛΟΜΟΙΡΑ</t>
  </si>
  <si>
    <t>stavroskr@hotmail.gr</t>
  </si>
  <si>
    <t>ΚΡΗΤΣΩΤΑΚΗ</t>
  </si>
  <si>
    <t>stekri70@gmail.com</t>
  </si>
  <si>
    <t>75/Γ/15-03-2006</t>
  </si>
  <si>
    <t>ΚΡΗΤΣΩΤΑΚΗΣ</t>
  </si>
  <si>
    <t>nikoskritsotakis@gmail.com</t>
  </si>
  <si>
    <t>ΚΡΙΘΑΡΑΚΗ</t>
  </si>
  <si>
    <t>ΚΡΙΘΑΡΙΩΤΗ</t>
  </si>
  <si>
    <t>ΜΑΙΡΗ</t>
  </si>
  <si>
    <t>ΚΡΙΤΣΙΜΑΛΛΗΣ</t>
  </si>
  <si>
    <t>kraf72@gmail.com</t>
  </si>
  <si>
    <t>vaskritsot@yahoo.gr</t>
  </si>
  <si>
    <t>ΕΥΦΡΟΣΥΝ</t>
  </si>
  <si>
    <t>fkritsotaki@gmail.com</t>
  </si>
  <si>
    <t>ΚΡΙΤΣΩΤΑΚΗΣ</t>
  </si>
  <si>
    <t>michalis_krits@hotmail.com</t>
  </si>
  <si>
    <t>ΚΡΟΥΣΤΑΛΑΚΗΣ</t>
  </si>
  <si>
    <t>gemichk@yahoo.gr</t>
  </si>
  <si>
    <t>ΚΡΟΥΣΤΑΛΛΙΔΟΥ</t>
  </si>
  <si>
    <t>ΕΥΜΟΡΦΙΑ</t>
  </si>
  <si>
    <t>magicadestel@gmail.com</t>
  </si>
  <si>
    <t>ΚΡΥΣΤΑΛΛΑ ΠΑΠΑΔΑΚΗ</t>
  </si>
  <si>
    <t>ΜΕΡΟΠΗ</t>
  </si>
  <si>
    <t>mkristalla@gmail.com</t>
  </si>
  <si>
    <t>ΚΤΙΣΤΑΚΗ</t>
  </si>
  <si>
    <t>vktista@com.gr</t>
  </si>
  <si>
    <t>ΚΤΙΣΤΑΚΗΣ</t>
  </si>
  <si>
    <t>gktistak@hotmail.com</t>
  </si>
  <si>
    <t>ΚΥΔΩΝΑΚΗΣ</t>
  </si>
  <si>
    <t>kydonakisgiannis1@gmail.com</t>
  </si>
  <si>
    <t>ΚΥΔΩΝΙΕΩΣ</t>
  </si>
  <si>
    <t>k_kidonieos@hotmail.com</t>
  </si>
  <si>
    <t>ΚΥΛΑΚΟΥ</t>
  </si>
  <si>
    <t>ΣΑΡΑΝΤΟΣ</t>
  </si>
  <si>
    <t>antkylakou@sch.gr</t>
  </si>
  <si>
    <t>ΚΥΠΡΙΑΔΗ</t>
  </si>
  <si>
    <t>ΕΛΕΥΘΕΡΙΟΣ-ΕΥΣΤΡΑΤΙΟΣ</t>
  </si>
  <si>
    <t>dkipriad@gmail.com</t>
  </si>
  <si>
    <t>ΚΥΠΡΙΩΤΑΚΗ</t>
  </si>
  <si>
    <t>eirinikypriotaki@yahoo.de</t>
  </si>
  <si>
    <t>ΚΥΠΡΙΩΤΑΚΗΣ</t>
  </si>
  <si>
    <t>ΝΙΚΗΤΑΣ</t>
  </si>
  <si>
    <t>manoliskyp@gmail.com</t>
  </si>
  <si>
    <t>ΚΥΡΕΖΗ</t>
  </si>
  <si>
    <t>ΚΥΡΕΖΗΣ</t>
  </si>
  <si>
    <t>nkirezis@yahoo.gr</t>
  </si>
  <si>
    <t>ΚΥΡΙΑΚΑΚΗ</t>
  </si>
  <si>
    <t>ΜΑΝΟΥΣΟΣ</t>
  </si>
  <si>
    <t>eygenia.kyriakaki@gmail.com</t>
  </si>
  <si>
    <t>ΦΙΛΙΑ</t>
  </si>
  <si>
    <t>hara.kyriakaki@gmail.com</t>
  </si>
  <si>
    <t>ΚΥΡΙΑΚΑΚΗΣ</t>
  </si>
  <si>
    <t>ΚΥΡΙΑΚΟΥ</t>
  </si>
  <si>
    <t>ΑΓΑΘΗ</t>
  </si>
  <si>
    <t>agathi.kyr@gmail.com</t>
  </si>
  <si>
    <t>ΠΕ04.05.50</t>
  </si>
  <si>
    <t>ΓΕΩΛΟΓΟΙ ΕΙΔΙΚΗΣ ΑΓΩΓΗΣ</t>
  </si>
  <si>
    <t>ΑΝΤΡΟΥΛΑ</t>
  </si>
  <si>
    <t>ΛΑΜΠΗΔΟΝΑ</t>
  </si>
  <si>
    <t>BANIETOS@GMAIL.COM</t>
  </si>
  <si>
    <t>ΚΥΡΙΚΟΓΛΟΥ</t>
  </si>
  <si>
    <t>ΗΛΙΑ</t>
  </si>
  <si>
    <t>ΕΛΛΗ</t>
  </si>
  <si>
    <t>ekyrikoglou@sch.gr</t>
  </si>
  <si>
    <t>ΚΩΝΣΤΑΝΤΑΚΗ</t>
  </si>
  <si>
    <t>ΚΛΕΙΩ</t>
  </si>
  <si>
    <t>ΚΩΝΣΤΑΝΤΑΚΗΣ</t>
  </si>
  <si>
    <t>konstantakisant@gmail.com</t>
  </si>
  <si>
    <t>ΚΩΝΣΤΑΝΤΙΝΟΥ</t>
  </si>
  <si>
    <t>ΝΕΟΦΥΤΟΣ</t>
  </si>
  <si>
    <t>ΕΛΛΑΔΑ</t>
  </si>
  <si>
    <t>ΚΩΣΤΑΚΗ</t>
  </si>
  <si>
    <t>ΡΟΔΑΝ</t>
  </si>
  <si>
    <t>kwskat22@gmail.com</t>
  </si>
  <si>
    <t>kostakim11@yahoo.gr</t>
  </si>
  <si>
    <t>ΚΩΣΤΑΚΗΣ</t>
  </si>
  <si>
    <t>ΚΩΣΤΟΜΑΝΩΛΑΚΗΣ</t>
  </si>
  <si>
    <t>ΚΩΤΙΔΟΥ</t>
  </si>
  <si>
    <t>ΘΕΟΦΙΛΗ</t>
  </si>
  <si>
    <t>theofilik@sch.gr</t>
  </si>
  <si>
    <t>ΚΩΤΙΤΣΑΣ</t>
  </si>
  <si>
    <t>ΚΩΤΣΙΟΠΟΥΛΟΣ</t>
  </si>
  <si>
    <t>gkotsiop@gmail.com</t>
  </si>
  <si>
    <t>ΛΑΓΟΥΔΑΚΗ</t>
  </si>
  <si>
    <t>lagoudaki.eva@gmail.com</t>
  </si>
  <si>
    <t>ΛΑΓΟΥΔΙΑΝΑΚΗ</t>
  </si>
  <si>
    <t>kmarkos1967@yahoo.gr</t>
  </si>
  <si>
    <t>lagoudianakim@gmail.com</t>
  </si>
  <si>
    <t>ΛΑΓΟΥΔΙΑΝΑΚΗΣ</t>
  </si>
  <si>
    <t>ΛΑΔΟΥΚΑΚΗ</t>
  </si>
  <si>
    <t>ladoukaki@mail.gr</t>
  </si>
  <si>
    <t>ΛΑΔΟΥΚΑΚΗΣ</t>
  </si>
  <si>
    <t>lad.yiannis@gmail.com</t>
  </si>
  <si>
    <t>ΛΑΖΑΡΙΔΟΥ</t>
  </si>
  <si>
    <t>ΑΥΓΕΡΙΝΟΣ</t>
  </si>
  <si>
    <t>sofia.lazaridou@gmail.com</t>
  </si>
  <si>
    <t>ΛΑΖΑΡΟΥ</t>
  </si>
  <si>
    <t>lazarou2.ioanna@gmail.com</t>
  </si>
  <si>
    <t>ΛΑΪΔΟΥ</t>
  </si>
  <si>
    <t>ΛΑΜΠΡΑΚΗΣ</t>
  </si>
  <si>
    <t>antlamprakis@gmail.com</t>
  </si>
  <si>
    <t>lamprakisstelios@gmail.com</t>
  </si>
  <si>
    <t>ΛΑΜΠΡΙΝΙΔΟΥ ΓΩΝΙΑΝΑΚΗ</t>
  </si>
  <si>
    <t>info@aetovigla.gr</t>
  </si>
  <si>
    <t>ΛΑΜΠΡΙΝΟΣ</t>
  </si>
  <si>
    <t>ΑΝΔΡΕΑΣ-ΜΑΡΙΝΟΣ</t>
  </si>
  <si>
    <t>ΕΚΤΟΡΑΣ</t>
  </si>
  <si>
    <t>alamprinos@hotmail.com</t>
  </si>
  <si>
    <t>ΛΑΜΠΡΟΥ</t>
  </si>
  <si>
    <t>panlamprou@gmail.com</t>
  </si>
  <si>
    <t>ΛΑΜΨΑ</t>
  </si>
  <si>
    <t>ΕΥΡΥΔΙΚΗ</t>
  </si>
  <si>
    <t>ΛΑΠΙΔΑΚΗΣ</t>
  </si>
  <si>
    <t>lapidak7@gmail.com</t>
  </si>
  <si>
    <t>ΛΑΠΠΑ</t>
  </si>
  <si>
    <t>ΑΓΟΡΙΤΣΑ</t>
  </si>
  <si>
    <t>lia_lappa@yahoo.gr</t>
  </si>
  <si>
    <t>ΛΑΣΗΘΙΩΤΑΚΗ</t>
  </si>
  <si>
    <t>CHRISLAS@SCH.GR</t>
  </si>
  <si>
    <t>ΛΑΣΘΙΩΤΑΚΗ</t>
  </si>
  <si>
    <t>ΦΛΟΥΡΙΑ</t>
  </si>
  <si>
    <t>klasthiotaki@gmail.com</t>
  </si>
  <si>
    <t>ΛΑΣΚΑΡΑΤΟΥ</t>
  </si>
  <si>
    <t>ΕΛΕΝΗ-ΑΙΚΑΤΕΡΙΝΗ</t>
  </si>
  <si>
    <t>mado.laskaratou@gmail.com</t>
  </si>
  <si>
    <t>ΗΜΕΡΗΣΙΟ ΓΥΜΝΑΣΙΟ ΚΑΣΤΕΛΛΙΟΥ ΠΕΔΙΑΔΟΣ ΗΡΑΚΛΕΙΟΥ</t>
  </si>
  <si>
    <t>mail@gym-kastell.ira.sch.gr</t>
  </si>
  <si>
    <t>ΛΑΣΚΑΡΙΔΗ</t>
  </si>
  <si>
    <t>ΜΥΡΤΩ</t>
  </si>
  <si>
    <t>ΛΥΔΙΑ</t>
  </si>
  <si>
    <t>myrtolaskaridi@gmail.com</t>
  </si>
  <si>
    <t>ΛΑΤΙΝΑΚΗ</t>
  </si>
  <si>
    <t>arglat_59@yahoo.gr</t>
  </si>
  <si>
    <t>ΛΑΥΡΕΝΤΑΚΗ</t>
  </si>
  <si>
    <t>ΧΡΙΣΤΟΦΟΡΟΣ</t>
  </si>
  <si>
    <t>ΛΕΒΕΝΤΗ</t>
  </si>
  <si>
    <t>ΜΙΧΑΗΛ Ν</t>
  </si>
  <si>
    <t>ΛΕΛΕΚΑ</t>
  </si>
  <si>
    <t>ΑΛΚΙΟΝΗ</t>
  </si>
  <si>
    <t>alkioni3gym@sch.gr</t>
  </si>
  <si>
    <t>dleleka@gmail.com</t>
  </si>
  <si>
    <t>ΛΕΜΟΝΑΚΗ</t>
  </si>
  <si>
    <t>athinoulinilem@hotmail.com</t>
  </si>
  <si>
    <t>ΛΕΜΟΝΑΚΗΣ</t>
  </si>
  <si>
    <t>ΜΑΝΩΛΙΤΣΑ</t>
  </si>
  <si>
    <t>glemon1@gmail.com</t>
  </si>
  <si>
    <t>ΛΕΜΟΝΗ</t>
  </si>
  <si>
    <t>ΖΑΦΕΙΡΟΥΛΑ</t>
  </si>
  <si>
    <t>ΛΕΝΑΚΑΚΗ</t>
  </si>
  <si>
    <t>nlenakaki@gmail.com</t>
  </si>
  <si>
    <t>ΛΕΝΑΚΑΚΗΣ</t>
  </si>
  <si>
    <t>ΚΙΜΩΝ</t>
  </si>
  <si>
    <t>alenakakis@hotmail.com</t>
  </si>
  <si>
    <t>ΛΕΟΝΤΑΚΗ</t>
  </si>
  <si>
    <t>leontakikiriaki@gmail.com</t>
  </si>
  <si>
    <t>ΛΕΟΝΤΑΡΗ</t>
  </si>
  <si>
    <t>ΛΙΑΡΟΥ</t>
  </si>
  <si>
    <t>ΜΑΡΟΥΛΗ</t>
  </si>
  <si>
    <t>ΛΙΑΣΚΟΥ</t>
  </si>
  <si>
    <t>sofialiaskou@windowslive.com</t>
  </si>
  <si>
    <t>ΛΙΒΑ</t>
  </si>
  <si>
    <t>annaliba@yahoo.gr</t>
  </si>
  <si>
    <t>ΤΕ01.29</t>
  </si>
  <si>
    <t>ΒΟΗΘ. ΙΑΤΡ. &amp; ΒΙΟΛΟΓ. ΕΡΓΑΣΤΗΡΙΩΝ</t>
  </si>
  <si>
    <t>ΛΙΛΙΜΠΑΚΗ</t>
  </si>
  <si>
    <t>ΓΕΩΡΓΙΑ-ΔΗΜΗΤΡΑ</t>
  </si>
  <si>
    <t>lilibaki@sch.gr</t>
  </si>
  <si>
    <t>ΛΙΛΙΤΣΗ</t>
  </si>
  <si>
    <t>malilitsi@gmail.com</t>
  </si>
  <si>
    <t>ΛΙΝΑΡΔΑΚΗ</t>
  </si>
  <si>
    <t>k-linardaki@yahoo.gr</t>
  </si>
  <si>
    <t>elinardaki@sch.gr</t>
  </si>
  <si>
    <t>ΛΙΝΑΡΔΑΚΗΣ</t>
  </si>
  <si>
    <t>ΛΙΝΑΡΙΤΗ</t>
  </si>
  <si>
    <t>EKRITSOTAKIS@GMAIL.COM</t>
  </si>
  <si>
    <t>ΛΙΟΝΤΑΚΗ</t>
  </si>
  <si>
    <t>vasilia@sch.gr</t>
  </si>
  <si>
    <t>284/Γ/09-10-2000</t>
  </si>
  <si>
    <t>ΛΙΟΝΤΑΣ</t>
  </si>
  <si>
    <t>vliontas@sch.gr</t>
  </si>
  <si>
    <t>ΛΙΠΑΚΗ</t>
  </si>
  <si>
    <t>ΛΙΤΣΙΚΑΣ</t>
  </si>
  <si>
    <t>lxrhstos@gmail.com</t>
  </si>
  <si>
    <t>ΛΟΓΟΘΕΤΗ</t>
  </si>
  <si>
    <t>ΤΕΡΨΙΧΟΡΗ</t>
  </si>
  <si>
    <t>logothet6@cyta.gr</t>
  </si>
  <si>
    <t>ΛΟΥΚΑΚΗ</t>
  </si>
  <si>
    <t>aloukaki3@gmail.com</t>
  </si>
  <si>
    <t>ΛΟΥΛΑΚΑΚΗ</t>
  </si>
  <si>
    <t>loulakakim@gmail.com</t>
  </si>
  <si>
    <t>ΛΟΥΛΑΚΗ</t>
  </si>
  <si>
    <t>poploula@yahoo.gr</t>
  </si>
  <si>
    <t>ΛΟΥΛΑΚΗΣ</t>
  </si>
  <si>
    <t>nloulakis@gmail.com</t>
  </si>
  <si>
    <t>ΛΟΥΛΟΥΔΑΚΗΣ</t>
  </si>
  <si>
    <t>ΜΕΛΑΝ</t>
  </si>
  <si>
    <t>mixlouloud@gmail.com</t>
  </si>
  <si>
    <t>ΛΟΥΜΠΑΚΗ</t>
  </si>
  <si>
    <t>eleniloumpaki@gmail.com</t>
  </si>
  <si>
    <t>ΛΥΔΑΚΗ</t>
  </si>
  <si>
    <t>efilyd@yahoo.com</t>
  </si>
  <si>
    <t>ΛΥΚΑΚΗ</t>
  </si>
  <si>
    <t>ΛΥΚΟΓΙΑΝΝΑΚΗ</t>
  </si>
  <si>
    <t>slykogiann@sch.gr</t>
  </si>
  <si>
    <t>ΛΥΚΟΥΡΓΙΩΤΗ</t>
  </si>
  <si>
    <t>ΛΥΡΑΚΗ</t>
  </si>
  <si>
    <t>elyraki@hotmail.com</t>
  </si>
  <si>
    <t>ΛΥΡΩΝΗ</t>
  </si>
  <si>
    <t>ΛΩΜΗΣ</t>
  </si>
  <si>
    <t>ΩΑΗΒ4653ΠΣ-ΨΛΛ</t>
  </si>
  <si>
    <t>Αναπληρωτής Παράλληλης Στήριξης Μειωμένου Ωραρίου</t>
  </si>
  <si>
    <t>ΜΑΓΚΑΦΟΥΡΑΚΗΣ</t>
  </si>
  <si>
    <t>ΑΡΟΔΑΜΗ</t>
  </si>
  <si>
    <t>ΜΑΖΑΡΑΚΗΣ</t>
  </si>
  <si>
    <t>ΠΟΠΗ</t>
  </si>
  <si>
    <t>kostas_maz@yahoo.com</t>
  </si>
  <si>
    <t>ΜΑΖΩΝΑΚΗΣ</t>
  </si>
  <si>
    <t>stavmaz@yahoo.gr</t>
  </si>
  <si>
    <t>ΜΑΘΙΟΥΔΑΚΗ</t>
  </si>
  <si>
    <t>evakim@hotmail.gr</t>
  </si>
  <si>
    <t>ΖΗΝΟΒΙΑ</t>
  </si>
  <si>
    <t>fanourakis@tellas.gr</t>
  </si>
  <si>
    <t>ΚΩΝ/Ν</t>
  </si>
  <si>
    <t>ΦΩΤΕΙ</t>
  </si>
  <si>
    <t>m.mathioudaki2@gmail.com</t>
  </si>
  <si>
    <t>ΜΑΘΙΟΥΔΑΚΗΣ</t>
  </si>
  <si>
    <t>iomathiou@sch.gr</t>
  </si>
  <si>
    <t>mathioudakismixalis54@gmail.com</t>
  </si>
  <si>
    <t>ΜΑΚΑΤΟΥΝΑΚΗΣ</t>
  </si>
  <si>
    <t>dmakatoun@gmail.com</t>
  </si>
  <si>
    <t>ΜΑΚΡΑΚΗ</t>
  </si>
  <si>
    <t>amakraki@gmail.com</t>
  </si>
  <si>
    <t>gmakraki@windowslive.com</t>
  </si>
  <si>
    <t>elmakraki@gmail.com</t>
  </si>
  <si>
    <t>marianmakr@hotmail.com</t>
  </si>
  <si>
    <t>ΜΑΚΡΑΚΗΣ</t>
  </si>
  <si>
    <t>dinimak@gmail.com</t>
  </si>
  <si>
    <t>ΜΑΚΡΗ</t>
  </si>
  <si>
    <t>makri.anna@gmail.com</t>
  </si>
  <si>
    <t>ΜΑΚΡΟΓΙΑΝΝΑΚΗΣ</t>
  </si>
  <si>
    <t>makrogiann@gmail.com</t>
  </si>
  <si>
    <t>ΜΑΚΡΟΜΙΧΑΛΑΚΗΣ</t>
  </si>
  <si>
    <t>ΜΑΚΡΥΓΙΑΝΝΑΚΗ</t>
  </si>
  <si>
    <t>smacry@sch.gr</t>
  </si>
  <si>
    <t>ΜΑΚΡΥΔΑΚΗ</t>
  </si>
  <si>
    <t>ΚΩΝ/ΝΑ</t>
  </si>
  <si>
    <t>ΜΑΚΡΥΔΑΚΗΣ</t>
  </si>
  <si>
    <t>man7makridakis@gmail.com</t>
  </si>
  <si>
    <t>ΜΑΛΑΒΕΤΑ</t>
  </si>
  <si>
    <t>nastamalas@gmail.com</t>
  </si>
  <si>
    <t>ΜΑΛΑΚΟΖΗΣ</t>
  </si>
  <si>
    <t>stratosma@sch.gr</t>
  </si>
  <si>
    <t>ΜΑΛΑΝΔΡΑΚΗ</t>
  </si>
  <si>
    <t>kleanthimal@gmail.com</t>
  </si>
  <si>
    <t>ΜΑΛΕΤΖΙΔΗΣ</t>
  </si>
  <si>
    <t>maletzidisgk@gmail.com</t>
  </si>
  <si>
    <t>ΜΑΛΕΦΙΤΣΑΚΗ</t>
  </si>
  <si>
    <t>eleni.malefitsakis@gmail.com</t>
  </si>
  <si>
    <t>ΜΑΛΙΩΤΑΚΗ</t>
  </si>
  <si>
    <t>debbie_mall@yahoo.com</t>
  </si>
  <si>
    <t>ΜΑΛΛΙΑΡΑΚΗΣ</t>
  </si>
  <si>
    <t>malliarosant@yahoo.gr</t>
  </si>
  <si>
    <t>ΜΑΛΛΙΩΤΑΚΗ</t>
  </si>
  <si>
    <t>fmall11@gmail.com</t>
  </si>
  <si>
    <t>ΜΑΝΑΒΑΚΗΣ</t>
  </si>
  <si>
    <t>ΜΑΝΑΣΑΚΗ</t>
  </si>
  <si>
    <t>mariamanasaki@gmail.com</t>
  </si>
  <si>
    <t>marmanasaki@gmail.com</t>
  </si>
  <si>
    <t>ΜΑΝΑΣΣΑΚΗ</t>
  </si>
  <si>
    <t>nmanassaki@gmail.com</t>
  </si>
  <si>
    <t>elmaneni@yahoo.gr</t>
  </si>
  <si>
    <t>nekmana@yahoo.gr</t>
  </si>
  <si>
    <t>ΜΑΝΑΣΣΑΚΗΣ</t>
  </si>
  <si>
    <t>manassakisv@gmail.com</t>
  </si>
  <si>
    <t>ΔΕΥΚΑΛΙΩΝ</t>
  </si>
  <si>
    <t>mdefkalion@gmail.com</t>
  </si>
  <si>
    <t>ΜΑΝΑΤΑΚΗΣ</t>
  </si>
  <si>
    <t>ΜΑΡΓΑΡΩ</t>
  </si>
  <si>
    <t>gmanatakis@sch.gr</t>
  </si>
  <si>
    <t>ΜΑΝΔΑΛΑΚΗ</t>
  </si>
  <si>
    <t>ΜΑΝΔΑΝΗ</t>
  </si>
  <si>
    <t>katmandalaki@gmail.com</t>
  </si>
  <si>
    <t>ΜΑΝΔΑΛΕΝΑΚΗ</t>
  </si>
  <si>
    <t>ΜΥΡΩΝΟΣ</t>
  </si>
  <si>
    <t>mandalen@sch.gr</t>
  </si>
  <si>
    <t>ΜΑΝΔΑΛΟΥ</t>
  </si>
  <si>
    <t>geormanda@gmail.com</t>
  </si>
  <si>
    <t>ΜΑΝΕΤΑ</t>
  </si>
  <si>
    <t>ΠΑΝΑΓΙΩΤΙΤΣΑ</t>
  </si>
  <si>
    <t>stamatakisharis@yahoo.com</t>
  </si>
  <si>
    <t>ΜΑΝΕΤΑΚΗ</t>
  </si>
  <si>
    <t>ΜΑΝΙΑ</t>
  </si>
  <si>
    <t>ΜΑΝΙΑΔΑΚΗ ΚΑΛΟΓΙΑΝΝΑΚΗ</t>
  </si>
  <si>
    <t>ΜΑΡΙΝΑΣ</t>
  </si>
  <si>
    <t>a.maniadaki@gmail.com</t>
  </si>
  <si>
    <t>ΜΑΝΙΑΔΗΣ</t>
  </si>
  <si>
    <t>ΑΣΤΡΙΝΟΣ</t>
  </si>
  <si>
    <t>fmaniadis@gmail.com</t>
  </si>
  <si>
    <t>ΜΑΝΙΑΚΟΥΔΑΚΗΣ</t>
  </si>
  <si>
    <t>maniakoudis@gmail.com</t>
  </si>
  <si>
    <t>ΜΑΝΙΑΣ</t>
  </si>
  <si>
    <t>ΜΑΝΙΔΑΚΗ</t>
  </si>
  <si>
    <t>stellamanid@gmail.com</t>
  </si>
  <si>
    <t>ΜΑΝΙΚΑ</t>
  </si>
  <si>
    <t>gemani10@gmail.com</t>
  </si>
  <si>
    <t>ΜΑΝΙΚΑΣ</t>
  </si>
  <si>
    <t>ΒΥΡΩΝ ΝΙΚΟΛΑΟΣ</t>
  </si>
  <si>
    <t>sotmanik@yahoo.gr</t>
  </si>
  <si>
    <t>ΜΑΝΙΟΥΔΗ</t>
  </si>
  <si>
    <t>paravol@hotmail.gr</t>
  </si>
  <si>
    <t>ΜΑΝΙΦΑΒΑ</t>
  </si>
  <si>
    <t>georgia.manifava@gmail.com</t>
  </si>
  <si>
    <t>ΜΑΝΙΩΡΑΚΗΣ</t>
  </si>
  <si>
    <t>maniorakis@gmail.com</t>
  </si>
  <si>
    <t>ΜΑΝΟΥΡΑ</t>
  </si>
  <si>
    <t>mariaman@sch.gr</t>
  </si>
  <si>
    <t>ΜΑΝΟΥΡΑΣ</t>
  </si>
  <si>
    <t>ΦΑΙΔΩΝ</t>
  </si>
  <si>
    <t>fedonman@yahoo.gr</t>
  </si>
  <si>
    <t>ΜΑΝΟΥΣΑΚΑ</t>
  </si>
  <si>
    <t>info@soma.gr</t>
  </si>
  <si>
    <t>ΜΑΝΟΥΣΑΚΗΣ</t>
  </si>
  <si>
    <t>gmns76@gmail.com</t>
  </si>
  <si>
    <t>emmanousakis@gmail.com</t>
  </si>
  <si>
    <t>ΜΑΝΟΥΣΕΛΗΣ</t>
  </si>
  <si>
    <t>manouse_al@yahoo.gr</t>
  </si>
  <si>
    <t>manousel@yahoo.gr</t>
  </si>
  <si>
    <t>ΜΑΝΤΑΡΑΣ</t>
  </si>
  <si>
    <t>at.mantaras@gmail.com</t>
  </si>
  <si>
    <t>amantaras@windowslive.com</t>
  </si>
  <si>
    <t>ΜΑΝΤΖΟΥΦΑΣ</t>
  </si>
  <si>
    <t>mantzoufas@yahoo.gr</t>
  </si>
  <si>
    <t>ΜΑΝΩΛΑΚΑΚΗ</t>
  </si>
  <si>
    <t>manolakakim@yahoo.gr</t>
  </si>
  <si>
    <t>ΜΑΝΩΛΑΚΗΣ</t>
  </si>
  <si>
    <t>ΜΑΝΩΛΗ</t>
  </si>
  <si>
    <t>ioannapm@yahoo.gr</t>
  </si>
  <si>
    <t>ΜΑΝΩΛΙΚΑΚΗ</t>
  </si>
  <si>
    <t>ΦΑΙΔΡ</t>
  </si>
  <si>
    <t>manolikmaria@gmail.com</t>
  </si>
  <si>
    <t>ΜΑΝΩΛΙΟΥΔΗΣ</t>
  </si>
  <si>
    <t>manolstel@gmail.com</t>
  </si>
  <si>
    <t>ΜΑΡΑΒΕΛΑΚΗΣ</t>
  </si>
  <si>
    <t>kmaravelakis@gmail.com</t>
  </si>
  <si>
    <t>ΜΑΡΑΓΚΑΚΗ</t>
  </si>
  <si>
    <t>ΜΑΡΑΓΚΟΥΔΑΚΗΣ</t>
  </si>
  <si>
    <t>marman@sch.gr</t>
  </si>
  <si>
    <t>ΜΑΡΑΘΙΑΝΟΣ</t>
  </si>
  <si>
    <t>ΚΩΝ ΝΤΙΑ</t>
  </si>
  <si>
    <t>geomarat@yahoo.gr</t>
  </si>
  <si>
    <t>ΜΑΡΑΚΗ</t>
  </si>
  <si>
    <t>rodopsta@yahoo.gr</t>
  </si>
  <si>
    <t>ΜΑΡΑΚΗΣ</t>
  </si>
  <si>
    <t>marakisgk@gmail.com</t>
  </si>
  <si>
    <t>man.marakis@yahoo.gr</t>
  </si>
  <si>
    <t>ΜΑΡΑΚΟΜΙΧΕΛΑΚΗΣ</t>
  </si>
  <si>
    <t>zephyronik@hotmail.com</t>
  </si>
  <si>
    <t>ΜΑΡΑΥΓΑΚΗ</t>
  </si>
  <si>
    <t>ΜΑΡΓΑΡΙΤΗ</t>
  </si>
  <si>
    <t>margariti.georgia@yahoo.gr</t>
  </si>
  <si>
    <t>ΗΛΙΑΝΑ</t>
  </si>
  <si>
    <t>ili_margariti@yahoo.com</t>
  </si>
  <si>
    <t>ΜΑΡΓΑΡΙΤΗΣ</t>
  </si>
  <si>
    <t>amargariti@sch.gr</t>
  </si>
  <si>
    <t>ΜΑΡΓΕΛΑΚΗΣ</t>
  </si>
  <si>
    <t>ΜΑΡΚΑΚΗ</t>
  </si>
  <si>
    <t>markakimath@gmail.com</t>
  </si>
  <si>
    <t>marmarkaki@yahoo.gr</t>
  </si>
  <si>
    <t>saek1@sch.gr</t>
  </si>
  <si>
    <t>ΧΑΡΑ</t>
  </si>
  <si>
    <t>haramar31@gmail.com</t>
  </si>
  <si>
    <t>ΜΑΡΚΑΚΗΣ</t>
  </si>
  <si>
    <t>vironmark@gmail.com</t>
  </si>
  <si>
    <t>nick.barisal65@gmail.com</t>
  </si>
  <si>
    <t>ΜΑΡΚΑΝΤΩΝΑΚΗ</t>
  </si>
  <si>
    <t>ΜΑΡΚΑΤΑΤΟΣ</t>
  </si>
  <si>
    <t>nmarkas@gmail.com</t>
  </si>
  <si>
    <t>ΜΑΡΚΑΤΖΙΝΟΣ</t>
  </si>
  <si>
    <t>ΕΛΙΣΑΒΕ</t>
  </si>
  <si>
    <t>markatzi@forthnet.gr</t>
  </si>
  <si>
    <t>ΜΑΡΚΟΓΙΑΝΝΑΚΗ</t>
  </si>
  <si>
    <t>athinamark@in.gr</t>
  </si>
  <si>
    <t>ΜΑΡΚΟΓΙΑΝΝΑΚΗΣ</t>
  </si>
  <si>
    <t>markogia@hotmail.com</t>
  </si>
  <si>
    <t>ΜΑΡΚΟΔΗΜΗΤΡΑΚΗ</t>
  </si>
  <si>
    <t>ΠΗΝΕΛΟΠ</t>
  </si>
  <si>
    <t>evimarko@yahoo.gr</t>
  </si>
  <si>
    <t>ΜΑΡΚΟΔΗΜΗΤΡΑΚΗ-ΒΑΛΤΕΡΣ</t>
  </si>
  <si>
    <t>ΒΟΥΤΡΙΝΑ-ΚΛΑ</t>
  </si>
  <si>
    <t>ΑΝΤΟΝ</t>
  </si>
  <si>
    <t>ΚΟΡΑ</t>
  </si>
  <si>
    <t>inekewalters@gmail.com</t>
  </si>
  <si>
    <t>ΜΑΡΚΟΠΟΥΛΟΣ</t>
  </si>
  <si>
    <t>giorgosmarkop@gmail.com</t>
  </si>
  <si>
    <t>ΚΩΝ ΝΟΣ</t>
  </si>
  <si>
    <t>markoskons@gmail.com</t>
  </si>
  <si>
    <t>ΜΑΡΚΟΥ</t>
  </si>
  <si>
    <t>math1722@msn.com</t>
  </si>
  <si>
    <t>markoulazar@gmail.com</t>
  </si>
  <si>
    <t>mary.markoy@yahoo.gr</t>
  </si>
  <si>
    <t>markmarkou@sch.gr</t>
  </si>
  <si>
    <t>ΜΑΡΚΟΥΛΑΚΗΣ</t>
  </si>
  <si>
    <t>markoulakisnikos@gmail.com</t>
  </si>
  <si>
    <t>ΜΑΡΜΑΡΕΛΗ</t>
  </si>
  <si>
    <t>amarmareli@yahoo.gr</t>
  </si>
  <si>
    <t>ΜΑΡΟΥΚΛΗ</t>
  </si>
  <si>
    <t>marouklin@yahoo.com</t>
  </si>
  <si>
    <t>ΜΑΡΟΥΛΑΚΗ</t>
  </si>
  <si>
    <t>papapantww@cyta.gr</t>
  </si>
  <si>
    <t>ΜΑΡΤΙΜΙΑΝΑΚΗ</t>
  </si>
  <si>
    <t>ΜΑΣΑΟΥΤΗ</t>
  </si>
  <si>
    <t>gmasaouti@gmail.com</t>
  </si>
  <si>
    <t>ΜΑΣΕΛΗ</t>
  </si>
  <si>
    <t>ΜΑΛΑ</t>
  </si>
  <si>
    <t>maselivoula@yahoo.gr</t>
  </si>
  <si>
    <t>ΜΑΣΤΟΡΑΚΗ</t>
  </si>
  <si>
    <t>effimast@yahoo.com</t>
  </si>
  <si>
    <t>dinamast@hotmail.com</t>
  </si>
  <si>
    <t>ΜΑΣΤΡΑΝΤΩΝΑΚΗ</t>
  </si>
  <si>
    <t>ΜΑΣΤΡΟΓΙΩΡΓΑΚΗ</t>
  </si>
  <si>
    <t>Faidramastro@gmail.com</t>
  </si>
  <si>
    <t>christinaelmast@yahoo.gr</t>
  </si>
  <si>
    <t>ΜΑΣΤΡΟΓΙΩΡΓΑΚΗΣ</t>
  </si>
  <si>
    <t>kanmast@yahoo.gr</t>
  </si>
  <si>
    <t>ΜΑΤΑΛΙΩΤΑΚΗ</t>
  </si>
  <si>
    <t>dimitramataliotaki@gmail.com</t>
  </si>
  <si>
    <t>ΜΑΤΘΑΙΑΚΗ</t>
  </si>
  <si>
    <t>gmattheaki@yahoo.gr</t>
  </si>
  <si>
    <t>ΜΑΤΘΑΙΑΚΗΣ</t>
  </si>
  <si>
    <t>johnmathaia@gmail.com</t>
  </si>
  <si>
    <t>ΑΛΕΞΑ</t>
  </si>
  <si>
    <t>mavrakisofia@gmail.com</t>
  </si>
  <si>
    <t>ΜΑΥΡΙΔΗ</t>
  </si>
  <si>
    <t>ΠΕΤΡΟ</t>
  </si>
  <si>
    <t>mmavridi2009@yahoo.gr</t>
  </si>
  <si>
    <t>ΜΑΥΡΙΔΗΣ</t>
  </si>
  <si>
    <t>pmavridis@sch.gr</t>
  </si>
  <si>
    <t>ΜΑΥΡΟΓΙΑΝΝΑΚΗ</t>
  </si>
  <si>
    <t>evimavr@gmail.com</t>
  </si>
  <si>
    <t>ΜΑΥΡΟΓΙΑΝΝΗ</t>
  </si>
  <si>
    <t>ΜΑΥΡΟΜΑΝΩΛΑΚΗ</t>
  </si>
  <si>
    <t>ΔΗΜΟΚΡΙΤΟΣ</t>
  </si>
  <si>
    <t>gmavro77@gmail.com</t>
  </si>
  <si>
    <t>mporman@gmail.com</t>
  </si>
  <si>
    <t>mavromamar@gmail.com</t>
  </si>
  <si>
    <t>ΜΑΥΡΟΜΑΝΩΛΑΚΗΣ</t>
  </si>
  <si>
    <t>ΟΔΥΣΣΕΑΣ</t>
  </si>
  <si>
    <t>mavrman@gmail.com</t>
  </si>
  <si>
    <t>ΜΑΥΡΟΜΑΤΗ</t>
  </si>
  <si>
    <t>ΙΩΑΝΝΗ</t>
  </si>
  <si>
    <t>anulam@windowslive.com</t>
  </si>
  <si>
    <t>ΜΑΥΡΟΥΔΑΚΗ</t>
  </si>
  <si>
    <t>eftgmav@gmail.com</t>
  </si>
  <si>
    <t>ΜΑΥΡΟΥΔΗ</t>
  </si>
  <si>
    <t>eugenia_mauroudi@yahoo.gr</t>
  </si>
  <si>
    <t>ΜΕΓΚΙΣΟΓΛΟΥ ΝΗΣΑΝΑΚΗ</t>
  </si>
  <si>
    <t>ΝΑΖΑΡΕΤ</t>
  </si>
  <si>
    <t>retameg@sch.gr</t>
  </si>
  <si>
    <t>ΜΕΓΚΟΥΛΑΣ</t>
  </si>
  <si>
    <t>salvoras@hotmail.com</t>
  </si>
  <si>
    <t>ΜΕΙΔΑΝΗ</t>
  </si>
  <si>
    <t>ΜΑΡΙΓ</t>
  </si>
  <si>
    <t>ΜΕΙΜΑΡΑΚΗΣ</t>
  </si>
  <si>
    <t>ΓΑΒΡΙΗΛ</t>
  </si>
  <si>
    <t>ΑΝΝΑ-ΑΙΚΑΤΕΡΙΝΗ</t>
  </si>
  <si>
    <t>meimarakist@gmail.com</t>
  </si>
  <si>
    <t>ΜΕΛΑΔΑΚΗΣ</t>
  </si>
  <si>
    <t>ΧΑΡΙΤΩΜ</t>
  </si>
  <si>
    <t>ΜΕΛΕΣΑΝΑΚΗ</t>
  </si>
  <si>
    <t>melesanaki@windowslive.com</t>
  </si>
  <si>
    <t>melesanaki-e@hotmail.com</t>
  </si>
  <si>
    <t>ΜΕΛΕΤΛΙΔΟΥ</t>
  </si>
  <si>
    <t>ΣΟΥΜΕΛΑ</t>
  </si>
  <si>
    <t>ΚΛΕΑΝΘΗΣ</t>
  </si>
  <si>
    <t>melemelina@gmail.com</t>
  </si>
  <si>
    <t>ΜΕΛΙΔΟΝΙΩΤΗ</t>
  </si>
  <si>
    <t>lemelido@gmail.com</t>
  </si>
  <si>
    <t>ΜΕΛΙΔΩΝΕΑΣ</t>
  </si>
  <si>
    <t>ΜΕΛΙΣΣΟΥΡΓΑΚΗΣ</t>
  </si>
  <si>
    <t>melis_lefteris1@hotmail.com</t>
  </si>
  <si>
    <t>ΜΕΝΕΓΑΤΟΥ</t>
  </si>
  <si>
    <t>ΜΑΡΙΕΤΙΝΑ</t>
  </si>
  <si>
    <t>ΜΕΝΤΖΑΚΗΣ</t>
  </si>
  <si>
    <t>menfas63@gmail.com</t>
  </si>
  <si>
    <t>ΜΕΡΑΜΒΕΛΙΩΤΑΚΗΣ</t>
  </si>
  <si>
    <t>antremeram@gmail.com</t>
  </si>
  <si>
    <t>ΦΕΒΡΩΝΙΑ</t>
  </si>
  <si>
    <t>kmeramve@yahoo.gr</t>
  </si>
  <si>
    <t>ΜΕΡΙΔΗ</t>
  </si>
  <si>
    <t>ΜΕΡΚΟΥΛΙΔΗ</t>
  </si>
  <si>
    <t>merkelen@yahoo.gr</t>
  </si>
  <si>
    <t>ΜΕΣΣΑΡΙΤΑΚΗ</t>
  </si>
  <si>
    <t>messaritakianna@yahoo.gr</t>
  </si>
  <si>
    <t>ΜΕΤΑΞΑΚΗ</t>
  </si>
  <si>
    <t>evangelia.metaxaki@gmail.com</t>
  </si>
  <si>
    <t>ΜΕΤΑΞΑΚΗΣ</t>
  </si>
  <si>
    <t>metaxmixalis@gmail.com</t>
  </si>
  <si>
    <t>ΤΕ01.04</t>
  </si>
  <si>
    <t>ΨΥΚΤΙΚΟΙ</t>
  </si>
  <si>
    <t>ΜΕΤΑΞΑΡΗ</t>
  </si>
  <si>
    <t>ΜΕΤΖΑΚΗ</t>
  </si>
  <si>
    <t>ΜΗΛΑΘΙΑΝΑΚΗ</t>
  </si>
  <si>
    <t>ΒΑΣΙΛΙΚΗ ΕΙΡΗΝΗ</t>
  </si>
  <si>
    <t>pmilat@sch.gr</t>
  </si>
  <si>
    <t>ΜΗΛΑΚΗ</t>
  </si>
  <si>
    <t>elenimilaki@yahoo.gr</t>
  </si>
  <si>
    <t>ΦΡΟΝΙΜΗ</t>
  </si>
  <si>
    <t>fronimilaki11@gmail.com</t>
  </si>
  <si>
    <t>ΜΗΛΑΚΗΣ</t>
  </si>
  <si>
    <t>milakisgeo@yahoo.gr</t>
  </si>
  <si>
    <t>emilakis@sch.gr</t>
  </si>
  <si>
    <t>ΜΗΛΙΑΡΑ</t>
  </si>
  <si>
    <t>anMiliara@gmail.com</t>
  </si>
  <si>
    <t>ΜΗΛΙΑΡΑΚΗ</t>
  </si>
  <si>
    <t>mmiliaraki@gmail.com</t>
  </si>
  <si>
    <t>ΜΗΛΙΑΡΑΚΗ-ΜΠΕΛΑΔΑΚΗ</t>
  </si>
  <si>
    <t>emiliar@sch.gr</t>
  </si>
  <si>
    <t>ΜΗΛΙΩΤΑΚΗ</t>
  </si>
  <si>
    <t>ΜΗΝΑΔΑΚΗ</t>
  </si>
  <si>
    <t>dminadaki30@gmail.com</t>
  </si>
  <si>
    <t>ΜΗΣΩΚΑΣ</t>
  </si>
  <si>
    <t>gorgolaini@gmail.com</t>
  </si>
  <si>
    <t>ΜΗΤΑΚΗ</t>
  </si>
  <si>
    <t>ΑΡΤΕΜΙΣΙΑ</t>
  </si>
  <si>
    <t>armitaki@hotmail.com</t>
  </si>
  <si>
    <t>ΜΗΤΡΟΓΛΟΥ</t>
  </si>
  <si>
    <t>mitroglou@sch.gr</t>
  </si>
  <si>
    <t>ΤΕ02.02</t>
  </si>
  <si>
    <t>ΜΗΧΑΝΟΛΟΓΟΙ</t>
  </si>
  <si>
    <t>ΜΗΤΡΟΠΟΥΛΟΣ</t>
  </si>
  <si>
    <t>loykatemari@sch.gr</t>
  </si>
  <si>
    <t>ΜΗΤΡΟΠΟΥΛΟΥ</t>
  </si>
  <si>
    <t>ΜΗΤΣΟΠΟΥΛΟΥ</t>
  </si>
  <si>
    <t>ΗΛΕΚΤΡΑ</t>
  </si>
  <si>
    <t>mitsopoulou@hotmail.gr</t>
  </si>
  <si>
    <t>ΜΙΖΕΡΑΚΗ</t>
  </si>
  <si>
    <t>ΙΕΡΟΝΙΚΗ</t>
  </si>
  <si>
    <t>hmizeraki@gmail.com</t>
  </si>
  <si>
    <t>ΜΙΖΕΡΑΚΗ ΣΠΑΝΟΥ</t>
  </si>
  <si>
    <t>ΠΟΛΥΜΝΙ</t>
  </si>
  <si>
    <t>sophiaenato@gmail.com</t>
  </si>
  <si>
    <t>ΜΙΚΡΑΚΗ</t>
  </si>
  <si>
    <t>ΜΙΚΡΟΓΙΑΝΝΑΚΗΣ</t>
  </si>
  <si>
    <t>mikrogeorge@gmail.com</t>
  </si>
  <si>
    <t>ΜΙΛΚΑ</t>
  </si>
  <si>
    <t>mariamilka@sch.gr</t>
  </si>
  <si>
    <t>ΜΙΜΙΝΟΥ</t>
  </si>
  <si>
    <t>ΠΑΡΑΣΧΟΣ</t>
  </si>
  <si>
    <t>ΜΙΣΙΡΛΑΚΗΣ</t>
  </si>
  <si>
    <t>kmisirlakis@hotmail.com</t>
  </si>
  <si>
    <t>ΜΙΣΣΑΝΙΤΣ-ΤΣΑΓΡΑΚΗ</t>
  </si>
  <si>
    <t>ΝΑΤΑΛΙΑ</t>
  </si>
  <si>
    <t>misnalviv@gmail.com</t>
  </si>
  <si>
    <t>ΜΙΧΑΗΛΙΔΗ</t>
  </si>
  <si>
    <t>ΜΙΧΑΛΑΚΕΑ</t>
  </si>
  <si>
    <t>angelmihal5@gmail.com</t>
  </si>
  <si>
    <t>ΜΙΧΑΛΙΤΣΗ</t>
  </si>
  <si>
    <t>ΜΙΧΑΛ</t>
  </si>
  <si>
    <t>michalitsi@sch.gr</t>
  </si>
  <si>
    <t>michalitsi14@gmail.com</t>
  </si>
  <si>
    <t>ΜΙΧΑΛΟΠΟΥΛΟΣ</t>
  </si>
  <si>
    <t>geomihalo@gmail.com</t>
  </si>
  <si>
    <t>ΜΙΧΕΛΙΔΑΚΗ ΜΑΥΡΑΚΗ</t>
  </si>
  <si>
    <t>ΙΡΜΓΚΑΡΤ</t>
  </si>
  <si>
    <t>irmi@pathfinder.gr</t>
  </si>
  <si>
    <t>ΜΟΔΙΝΟΥ</t>
  </si>
  <si>
    <t>amodinou@yahoo.gr</t>
  </si>
  <si>
    <t>ΜΟΡ</t>
  </si>
  <si>
    <t>ΣΥΝΘΙΑ ΛΕΙΘΑ</t>
  </si>
  <si>
    <t>ΝΤΑΓΚΛΑΣ</t>
  </si>
  <si>
    <t>ΜΟΣΧΑΠΙΔΑΚΗ</t>
  </si>
  <si>
    <t>ΠΕ06.50</t>
  </si>
  <si>
    <t>ΑΓΓΛΙΚΗΣ ΦΙΛΟΛΟΓΙΑΣ ΕΙΔΙΚΗΣ ΑΓΩΓΗΣ</t>
  </si>
  <si>
    <t>ΜΟΣΧΙΔΟΥ</t>
  </si>
  <si>
    <t>ΑΛΚΙΝΟΗ</t>
  </si>
  <si>
    <t>ΜΟΣΧΟΒΑΚΗ</t>
  </si>
  <si>
    <t>moschovakik@yahoo.gr</t>
  </si>
  <si>
    <t>ΜΟΣΧΟΝΑΣ</t>
  </si>
  <si>
    <t>moschonas@gmail.com</t>
  </si>
  <si>
    <t>ΜΟΣΧΟΥΡΗ</t>
  </si>
  <si>
    <t>vassomos@yahoo.gr</t>
  </si>
  <si>
    <t>ΜΟΤΣΟΒΟΛΕΑ</t>
  </si>
  <si>
    <t>emotsovolea@sch.gr</t>
  </si>
  <si>
    <t>ΜΟΥΔΑΤΣΑΚΗ</t>
  </si>
  <si>
    <t>ΜΟΥΔΑΤΣΑΚΗΣ</t>
  </si>
  <si>
    <t>ΜΑΡΙΝA</t>
  </si>
  <si>
    <t>emoazzo@yahoo.com</t>
  </si>
  <si>
    <t>ΜΟΥΖΟΥΡΑΚΗ</t>
  </si>
  <si>
    <t>ΧΡΥΣΑΥΓΗ</t>
  </si>
  <si>
    <t>eleni_mouzouraki@hotmail.com</t>
  </si>
  <si>
    <t>ΜΟΥΝΤΡΑΚΗ</t>
  </si>
  <si>
    <t>mmountraki@sch.gr</t>
  </si>
  <si>
    <t>ΜΟΥΝΤΡΑΚΗΣ</t>
  </si>
  <si>
    <t>gmountrakis@yahoo.gr</t>
  </si>
  <si>
    <t>ΜΟΥΝΤΡΙΖΑ</t>
  </si>
  <si>
    <t>imountriza@sch.gr</t>
  </si>
  <si>
    <t>Πειραματικό Λύκειο</t>
  </si>
  <si>
    <t>ΠΕΙΡΑΜΑΤΙΚΟ ΓΕΝΙΚΟ ΛΥΚΕΙΟ ΗΡΑΚΛΕΙΟΥ</t>
  </si>
  <si>
    <t>mail@lyk-peir-irakl.ira.sch.gr</t>
  </si>
  <si>
    <t>ΜΟΥΡΑΤΗ</t>
  </si>
  <si>
    <t>seirios63@live.com</t>
  </si>
  <si>
    <t>ΜΟΥΤΖΟΥΡΕΛΛΗ</t>
  </si>
  <si>
    <t>angiemt@hotmail.gr</t>
  </si>
  <si>
    <t>ΜΟΧΙΑΝΑΚΗ</t>
  </si>
  <si>
    <t>amochianaki@gmail.com</t>
  </si>
  <si>
    <t>ΜΠΑΖΩΤΗ</t>
  </si>
  <si>
    <t>bazotis@yahoo.gr</t>
  </si>
  <si>
    <t>ΜΠΑΪΛΑ</t>
  </si>
  <si>
    <t>ΜΠΑΚΟΥ</t>
  </si>
  <si>
    <t>alexbakou@gmail.com</t>
  </si>
  <si>
    <t xml:space="preserve">ΜΠΑΚΟΥ </t>
  </si>
  <si>
    <t>ΜΠΑΚΟΥΤΗΣ</t>
  </si>
  <si>
    <t>abakoutis77@gmail.com</t>
  </si>
  <si>
    <t>ΜΠΑΛΑΜΟΥΤΣΟΥ</t>
  </si>
  <si>
    <t>ΜΠΑΜΙΕΔΑΚΗ</t>
  </si>
  <si>
    <t>ΜΠΑΝΙΑ</t>
  </si>
  <si>
    <t>ΓΛΥΚΕΡΙ</t>
  </si>
  <si>
    <t>katmpania@yahoo.gr</t>
  </si>
  <si>
    <t>ΜΠΑΝΤΟΥΒΑ</t>
  </si>
  <si>
    <t>rania.baduva@gmail.com</t>
  </si>
  <si>
    <t>ΜΠΑΟΥΣΗΣ</t>
  </si>
  <si>
    <t>ΦΟΙΒΗ</t>
  </si>
  <si>
    <t>lorien2262@gmail.com</t>
  </si>
  <si>
    <t>ΜΠΑΡΙΤΑΚΗ</t>
  </si>
  <si>
    <t>ΜΠΑΡΚΟΠΟΥΛΟΣ</t>
  </si>
  <si>
    <t>ΑΡΓΥΡ</t>
  </si>
  <si>
    <t>ΙΣΜΗΝ</t>
  </si>
  <si>
    <t>dimbarkop@yahoo.com</t>
  </si>
  <si>
    <t>ΜΠΑΡΜΠΟΥΝΑΚΗΣ</t>
  </si>
  <si>
    <t>nickbarb@sch.gr</t>
  </si>
  <si>
    <t>ΜΠΑΡΟΥ ΜΑΝΤΑΡΑ</t>
  </si>
  <si>
    <t>ΜΠΑΡΤΖΙΩΚΑΣ</t>
  </si>
  <si>
    <t>bartzi23@gmail.com</t>
  </si>
  <si>
    <t>ΜΠΑΣΕΤΑΣ</t>
  </si>
  <si>
    <t>abasetas@gmail.com</t>
  </si>
  <si>
    <t>ΜΠΑΣΙΑ</t>
  </si>
  <si>
    <t>bmpasia@gmail.com</t>
  </si>
  <si>
    <t>ΜΠΑΤΖΑΝΑΚΑΚΗ</t>
  </si>
  <si>
    <t>ΜΠΑΤΣΟΣ</t>
  </si>
  <si>
    <t>ΜΠΕΓΝΗ</t>
  </si>
  <si>
    <t>mariabegni65@gmail.com</t>
  </si>
  <si>
    <t>ΜΠΕΖΙΡΤΖΟΓΛΟΥ</t>
  </si>
  <si>
    <t>ebezirtzoglou@gmail.com</t>
  </si>
  <si>
    <t>ΜΠΕΚΙΑΡΑΚΗ</t>
  </si>
  <si>
    <t>ΜΠΕΛΑΝΤΑΚΗΣ</t>
  </si>
  <si>
    <t>mathgeobel@sch.gr</t>
  </si>
  <si>
    <t>ΜΠΕΝΕΚΟΥ</t>
  </si>
  <si>
    <t>benekel2004@yahoo.gr</t>
  </si>
  <si>
    <t>ΜΠΕΝΕΤΟΥ</t>
  </si>
  <si>
    <t>smpenetou@yahoo.gr</t>
  </si>
  <si>
    <t>soulampenetou@gmail.com</t>
  </si>
  <si>
    <t>ΜΠΕΡΕΤΑ</t>
  </si>
  <si>
    <t>nektarios1201@yahoo.gr</t>
  </si>
  <si>
    <t>ΜΠΕΤΕΙΝΑΚΗ</t>
  </si>
  <si>
    <t>dbeti19@gmail.com</t>
  </si>
  <si>
    <t>ΘΩΜΑΙ</t>
  </si>
  <si>
    <t>roula.mpetinaki@gmail.com</t>
  </si>
  <si>
    <t>mbetinaki@sch.gr</t>
  </si>
  <si>
    <t>ΜΠΙΚΑΚΗ</t>
  </si>
  <si>
    <t>ΕΛΕΑΝΑ</t>
  </si>
  <si>
    <t>ΜΠΙΚΑΚΗΣ</t>
  </si>
  <si>
    <t>ΜΥΡΩΝ</t>
  </si>
  <si>
    <t>ΕΥΦΡΟΣΥ</t>
  </si>
  <si>
    <t>ΜΠΙΛΙΡΑΚΗΣ</t>
  </si>
  <si>
    <t>ΜΠΙΡΜΠΑ</t>
  </si>
  <si>
    <t>ΛΟΥΚΙ</t>
  </si>
  <si>
    <t>ΜΠΙΤΖΑΡΑΚΗ</t>
  </si>
  <si>
    <t>alexbitzaraki@yahoo.com</t>
  </si>
  <si>
    <t>ΛΗΔΑ</t>
  </si>
  <si>
    <t>lbitzaraki@hotmail.gr</t>
  </si>
  <si>
    <t>obitzar@sch.gr</t>
  </si>
  <si>
    <t>ΜΠΙΤΣΑΚΗ</t>
  </si>
  <si>
    <t>elmpitsaki@yahoo.gr</t>
  </si>
  <si>
    <t>ΜΠΙΤΣΑΚΗΣ</t>
  </si>
  <si>
    <t>ΕΡΓΙΝΑ</t>
  </si>
  <si>
    <t>manbits@sch.gr</t>
  </si>
  <si>
    <t>ΜΠΛΑΒΑΚΗ</t>
  </si>
  <si>
    <t>pelablav@yahoo.gr</t>
  </si>
  <si>
    <t>ΜΠΟΓΔΑΝΟΥ</t>
  </si>
  <si>
    <t>mbogdanou@yahoo.com</t>
  </si>
  <si>
    <t>ΜΠΟΖΑΤΖΟΥΔΗΣ</t>
  </si>
  <si>
    <t>nbozatzoudis@gmail.com</t>
  </si>
  <si>
    <t>ΜΠΟΛΩΝΑΚΗ</t>
  </si>
  <si>
    <t>ΜΑΡΙΝΑ-ΕΙΡΗΝ</t>
  </si>
  <si>
    <t>mpomarina@hotmail.com</t>
  </si>
  <si>
    <t>ΠΕ87.06</t>
  </si>
  <si>
    <t>ΚΟΙΝΩΝΙΚΗΣ ΕΡΓΑΣΙΑΣ</t>
  </si>
  <si>
    <t>ΜΠΟΛΩΤΗ</t>
  </si>
  <si>
    <t>tinaboloti@yahoo.gr</t>
  </si>
  <si>
    <t>ΜΠΟΡΜΠΟΥΔΑΚΗ</t>
  </si>
  <si>
    <t>ΓΙΑΝΝΑ</t>
  </si>
  <si>
    <t>giannaeducation@gmail.com</t>
  </si>
  <si>
    <t>ΜΠΟΣΤΑΝΤΖΟΓΛΟΥ</t>
  </si>
  <si>
    <t>hristinamponst@gmail.com</t>
  </si>
  <si>
    <t>ΜΠΟΤΙΝΗ</t>
  </si>
  <si>
    <t>Empotini@gmail.com</t>
  </si>
  <si>
    <t>ΜΠΟΤΟΝΑΚΗ</t>
  </si>
  <si>
    <t>elmpot@yahoo.gr</t>
  </si>
  <si>
    <t>ΜΠΟΥΚΙΟΥ</t>
  </si>
  <si>
    <t>bouchalakisandrew@gmail.com</t>
  </si>
  <si>
    <t>ΜΠΟΥΛΗ</t>
  </si>
  <si>
    <t>ΜΠΟΥΜΑΚΗ</t>
  </si>
  <si>
    <t>ebumaki@gmail.com</t>
  </si>
  <si>
    <t>ΜΠΟΥΜΑΚΗΣ</t>
  </si>
  <si>
    <t>ΜΠΟΥΜΠΑΚΗ</t>
  </si>
  <si>
    <t>marina.boumpaki@gmail.com</t>
  </si>
  <si>
    <t>1318/Γ/21-12-2016</t>
  </si>
  <si>
    <t>ΗΜΕΡΗΣΙΟ ΓΥΜΝΑΣΙΟ ΒΑΓΙΟΝΙΑΣ ΗΡΑΚΛΕΙΟΥ</t>
  </si>
  <si>
    <t>mail@gym-vagion.ira.sch.gr</t>
  </si>
  <si>
    <t>ΒΑΓΙΟΝΙΑΣ</t>
  </si>
  <si>
    <t>ΜΠΟΥΝΑΚΗΣ</t>
  </si>
  <si>
    <t>bampoy@gmail.com</t>
  </si>
  <si>
    <t>ΜΠΟΥΡΑ</t>
  </si>
  <si>
    <t>vboura@gmail.com</t>
  </si>
  <si>
    <t>dboura1966@gmail.com</t>
  </si>
  <si>
    <t>Boura.Popi@gmail.com</t>
  </si>
  <si>
    <t>ΜΠΟΥΡΑΝΤΑ-ΛΑΜΠΡΑΚΗ</t>
  </si>
  <si>
    <t>lampemm00@gmail.com</t>
  </si>
  <si>
    <t>ΜΠΟΥΡΝΕΛΗ</t>
  </si>
  <si>
    <t>bournelimary@gmail.com</t>
  </si>
  <si>
    <t>ΜΠΟΥΡΟΥΤΖΗΚΑ</t>
  </si>
  <si>
    <t>desbourou@yahoo.gr</t>
  </si>
  <si>
    <t>ΜΠΟΥΤΛΑ</t>
  </si>
  <si>
    <t>ΜΠΟΥΧΑΛΑΚΗΣ</t>
  </si>
  <si>
    <t>ΜΠΡΑΣ</t>
  </si>
  <si>
    <t>ΜΠΡΙΛΑΚΗΣ</t>
  </si>
  <si>
    <t>mprilakismich@gmail.com</t>
  </si>
  <si>
    <t>ΜΠΡΙΝΤΑΚΗΣ</t>
  </si>
  <si>
    <t>jbridakis@sch.gr</t>
  </si>
  <si>
    <t>ΜΠΡΙΤΖΟΛΑΚΗ</t>
  </si>
  <si>
    <t>ΜΠΡΟΚΟΥ</t>
  </si>
  <si>
    <t>aikbrokou@sch.gr</t>
  </si>
  <si>
    <t>ΜΠΡΟΤΖΑΚΗ</t>
  </si>
  <si>
    <t>brotzakielena@gmail.com</t>
  </si>
  <si>
    <t>ΜΠΡΟΥΧΟΥΤΑ</t>
  </si>
  <si>
    <t>silviabrous@yahoo.gr</t>
  </si>
  <si>
    <t>ΜΥΛΩΝΑ</t>
  </si>
  <si>
    <t>ΚΥΡΙΑΚΟΥΛΑ</t>
  </si>
  <si>
    <t>milwnaa8anasia@yahoo.gr</t>
  </si>
  <si>
    <t>ΜΥΛΩΝΑΚΟΥ</t>
  </si>
  <si>
    <t>rmylon@gmail.com</t>
  </si>
  <si>
    <t>ΜΥΡΩΝΑΚΗ</t>
  </si>
  <si>
    <t>amironaki@gmail.com</t>
  </si>
  <si>
    <t>ΜΥΣΚΑΚΗ</t>
  </si>
  <si>
    <t>georgiamisk@yahoo.gr</t>
  </si>
  <si>
    <t>ΜΩΡΑΪΤΗ</t>
  </si>
  <si>
    <t>ΜΩΡΑΙΤΗΣ</t>
  </si>
  <si>
    <t>ΕΥΘΥΜΙΟΣ</t>
  </si>
  <si>
    <t>nikosmor@gmail.com</t>
  </si>
  <si>
    <t>ΝΑΘΑΝΑΗΛ</t>
  </si>
  <si>
    <t>ΗΡΟΔΟΤΟΣ</t>
  </si>
  <si>
    <t>nathanael@sch.gr</t>
  </si>
  <si>
    <t>ΝΑΘΕΝΑ</t>
  </si>
  <si>
    <t>elenathena@yahoo.gr</t>
  </si>
  <si>
    <t>ΝΑΚΟΥ</t>
  </si>
  <si>
    <t>nakoy@sch.gr</t>
  </si>
  <si>
    <t>ΝΑΛΕΤΑΚΗ</t>
  </si>
  <si>
    <t>malnal2@yahoo.gr</t>
  </si>
  <si>
    <t>ΝΑΝΟΣ</t>
  </si>
  <si>
    <t>ΔΗΜΗΤΡΟΥΛΑ</t>
  </si>
  <si>
    <t>nanosth@gmail.com</t>
  </si>
  <si>
    <t>ΝΑΝΟΥ</t>
  </si>
  <si>
    <t>nanouchrysa@yahoo.gr</t>
  </si>
  <si>
    <t>ΝΑΣΙΟΥΛΑ</t>
  </si>
  <si>
    <t>suavisvita@gmail.com</t>
  </si>
  <si>
    <t>ΝΕΟΝΑΚΗ</t>
  </si>
  <si>
    <t>mneonaki@windowslive.com</t>
  </si>
  <si>
    <t>ΝΕΡΟΛΑΔΑΚΗΣ</t>
  </si>
  <si>
    <t>ΝΗΣΤΙΚΑΚΗΣ</t>
  </si>
  <si>
    <t>ΝΗΣΩΤΑΚΗ</t>
  </si>
  <si>
    <t>k.nisotaki@gmail.com</t>
  </si>
  <si>
    <t>ΝΙΘΑΥΡΙΑΝΑΚΗΣ</t>
  </si>
  <si>
    <t>nithakon@yahoo.gr</t>
  </si>
  <si>
    <t>ΝΙΚΗΤΑΚΗΣ</t>
  </si>
  <si>
    <t>nikit1969@gmail.com</t>
  </si>
  <si>
    <t>ΝΙΚΗΦΟΡΑΚΗ</t>
  </si>
  <si>
    <t>chrisiniki@hotmail.gr</t>
  </si>
  <si>
    <t>ΝΙΚΟΛΑΙΔΗΣ</t>
  </si>
  <si>
    <t>ΝΙΚΟΛΑΙΔΟΥ</t>
  </si>
  <si>
    <t>nikolgeorgia@yahoo.com</t>
  </si>
  <si>
    <t>ΝΙΚΟΛΑΚΑΚΗ</t>
  </si>
  <si>
    <t>ΧΡΙΣΤΙΝΗ</t>
  </si>
  <si>
    <t>k.nikolakaki@hotmail.com</t>
  </si>
  <si>
    <t>ΝΙΚΟΛΑΚΑΚΗΣ</t>
  </si>
  <si>
    <t>ΦΡΙΞΟΣ</t>
  </si>
  <si>
    <t>zaharias@chess.com</t>
  </si>
  <si>
    <t>ΝΙΚΟΛΑΟΥ</t>
  </si>
  <si>
    <t>ΔΕΣΠΟΙΝΑ-ΧΑΡΙΚΛΕΙΑ</t>
  </si>
  <si>
    <t>haritini_nikolaou@hotmail.com</t>
  </si>
  <si>
    <t>ΝΙΚΟΛΙΔΑΚΗ</t>
  </si>
  <si>
    <t>nikokaterin@yahoo.gr</t>
  </si>
  <si>
    <t>ΑΝΤΙΟΠΗ</t>
  </si>
  <si>
    <t>enikolidaki@outlook.com</t>
  </si>
  <si>
    <t>cnikolid@sch.gr</t>
  </si>
  <si>
    <t>ΝΙΚΟΛΟΠΟΥΛΟΣ</t>
  </si>
  <si>
    <t>ΝΙΚΟΛΟΠΟΥΛΟΥ</t>
  </si>
  <si>
    <t>nikolopoyloyn@gmail.com</t>
  </si>
  <si>
    <t>ΝΙΚΟΛΟΥΔΑΚΗ</t>
  </si>
  <si>
    <t>ΝΙΝΙΡΑΚΗ</t>
  </si>
  <si>
    <t>kal.niniraki@gmail.com</t>
  </si>
  <si>
    <t>ΝΙΩΤΑΚΗΣ</t>
  </si>
  <si>
    <t>eniotakis@yahoo.gr</t>
  </si>
  <si>
    <t>ΝΟΙΚΟΚΥΡΑΚΗ</t>
  </si>
  <si>
    <t>ΝΟΜΙΔΟΥ</t>
  </si>
  <si>
    <t>ΑΧΙΛΛΕΥΣ</t>
  </si>
  <si>
    <t>ΝΤΑΒΕΛΗ</t>
  </si>
  <si>
    <t>an.ntabeli@gmail.com</t>
  </si>
  <si>
    <t>ΝΤΑΒΙΓΛΑΚΗΣ</t>
  </si>
  <si>
    <t>Farao.za@hotmail.gr</t>
  </si>
  <si>
    <t>ΝΤΑΜΠΑΚΗ</t>
  </si>
  <si>
    <t>elinadabaki@hotmail.com</t>
  </si>
  <si>
    <t>ΝΤΕΚΑ</t>
  </si>
  <si>
    <t>dekadimi@yahoo.com</t>
  </si>
  <si>
    <t>ΝΤΕΡΤΖΑΚΗ</t>
  </si>
  <si>
    <t>olymria.ntertzaki@yahoo.com</t>
  </si>
  <si>
    <t>ΝΤΙΝΑ</t>
  </si>
  <si>
    <t>ΕΥΘΥΜΙΑ-ΙΩΑΝΝΑ</t>
  </si>
  <si>
    <t>dinaefi@yahoo.gr</t>
  </si>
  <si>
    <t>ΝΤΙΝΤΑΚΗ</t>
  </si>
  <si>
    <t>ΝΤΙΣΠΥΡΑΚΗΣ</t>
  </si>
  <si>
    <t>dispirgeo@hotmail.com</t>
  </si>
  <si>
    <t>ΝΤΟΛΚΑ</t>
  </si>
  <si>
    <t>ΝΤΟΥΜΑΖΙΟΥ</t>
  </si>
  <si>
    <t>stayridoumaziou@gmail.gr</t>
  </si>
  <si>
    <t>ΝΤΟΥΡΟΥ</t>
  </si>
  <si>
    <t>ΘΕΣΣΑΛΟΝΙΚΗ</t>
  </si>
  <si>
    <t>ΝΤΡΟΥΜΠΟΓΙΑΝΝΗΣ</t>
  </si>
  <si>
    <t>Odysseus77@gmail.com</t>
  </si>
  <si>
    <t>ΞΑΝΘΑΚΗ</t>
  </si>
  <si>
    <t>anna_xanthaki@yahoo.gr</t>
  </si>
  <si>
    <t>argxanth@gmail.com</t>
  </si>
  <si>
    <t>ΞΕΖΩΝΑΚΗΣ</t>
  </si>
  <si>
    <t>ΧΡΥΣΟΒΑΛΑΝΤΗΣ</t>
  </si>
  <si>
    <t>nxezonakis@gmail.com</t>
  </si>
  <si>
    <t>ΞΕΙΔΑΚΗΣ</t>
  </si>
  <si>
    <t>ΞΕΙΔΙΑΝΑΚΗΣ</t>
  </si>
  <si>
    <t>ΞΕΚΑΡΔΑΚΗ</t>
  </si>
  <si>
    <t>ΠΟΛΥΔΩΡΟΣ</t>
  </si>
  <si>
    <t>mak-man@ath.forthnet.gr</t>
  </si>
  <si>
    <t>fakidomitisphilippos@gmail.com</t>
  </si>
  <si>
    <t>ΞΕΚΑΡΔΑΚΗΣ</t>
  </si>
  <si>
    <t>hrc7777@gmail.com</t>
  </si>
  <si>
    <t>ΞΕΚΟΥΚΟΥΛΩΤΑΚΗΣ</t>
  </si>
  <si>
    <t>mixkouxe@gmail.com</t>
  </si>
  <si>
    <t>ΞΕΝΑΚΗΣ</t>
  </si>
  <si>
    <t>xenagian@gmail.com</t>
  </si>
  <si>
    <t>ΞΕΝΙΚΑΚΗ</t>
  </si>
  <si>
    <t>ioxenis@hotmail.com</t>
  </si>
  <si>
    <t>ΞΗΜΕΡΗ</t>
  </si>
  <si>
    <t>ΞΗΡΟΤΥΡΗ</t>
  </si>
  <si>
    <t>ΞΗΡΟΥΔΑΚΗΣ</t>
  </si>
  <si>
    <t>xiroudgiannis@gmail.com</t>
  </si>
  <si>
    <t>ΞΗΡΟΥΧΑΚΗ</t>
  </si>
  <si>
    <t>ΦΕΔΡΑ</t>
  </si>
  <si>
    <t>ΞΗΡΟΥΧΑΚΗΣ</t>
  </si>
  <si>
    <t>nj1957@sch.gr</t>
  </si>
  <si>
    <t>ΞΥΔΙΑΝΑΚΗΣ</t>
  </si>
  <si>
    <t>nikosxidianakis@gmail.com</t>
  </si>
  <si>
    <t>ΞΥΝΟΥ</t>
  </si>
  <si>
    <t>callia45@hotmail.com</t>
  </si>
  <si>
    <t>ΟΒΕΖΙΚ</t>
  </si>
  <si>
    <t>ovezikjos@sch.gr</t>
  </si>
  <si>
    <t>ΟΔΥΣΕΑΚΗ</t>
  </si>
  <si>
    <t>ΑΓΓΕΛΟΣ</t>
  </si>
  <si>
    <t>mariaodis@yahoo.gr</t>
  </si>
  <si>
    <t>ΟΙΚΟΝΟΜΑΚΗ</t>
  </si>
  <si>
    <t>asoikni@yahoo.gr</t>
  </si>
  <si>
    <t>oikonomar@gmail.com</t>
  </si>
  <si>
    <t>mariaoiko1@gmail.com</t>
  </si>
  <si>
    <t>ΟΙΚΟΝΟΜΑΚΗΣ</t>
  </si>
  <si>
    <t>anemoeis@yahoo.com</t>
  </si>
  <si>
    <t>meco1@sch.gr</t>
  </si>
  <si>
    <t>ΟΙΚΟΝΟΜΟΠΟΥΛΟΥ</t>
  </si>
  <si>
    <t>6ΠΔ34653ΠΣ-Β41</t>
  </si>
  <si>
    <t>ΟΙΚΟΝΟΜΟΥ</t>
  </si>
  <si>
    <t>alikonom@gmail.com</t>
  </si>
  <si>
    <t>ΟΡΦΑΝΑΚΗΣ</t>
  </si>
  <si>
    <t>orfasta@gmail.com</t>
  </si>
  <si>
    <t>ΟΡΦΑΝΟΥΔΑΚΗ</t>
  </si>
  <si>
    <t>evaggeliaorf@gmail.com</t>
  </si>
  <si>
    <t>ΟΥΡΑΝΟΥ</t>
  </si>
  <si>
    <t>mariaouranou@hotmail.com</t>
  </si>
  <si>
    <t>ΟΥΣΑΝΤΖΟΠΟΥΛΟΥ</t>
  </si>
  <si>
    <t>kalliopiousa@gmail.com</t>
  </si>
  <si>
    <t>ΟΥΤΑΤΖΗ</t>
  </si>
  <si>
    <t>deropev@gmail.com</t>
  </si>
  <si>
    <t>ΠΑΓΙΟΣ</t>
  </si>
  <si>
    <t>ΕΡΙΦΙΛΛΗ</t>
  </si>
  <si>
    <t>panpag@hotmail.com</t>
  </si>
  <si>
    <t>ΠΑΓΚΑΛΑΚΗ</t>
  </si>
  <si>
    <t>epagalaki@fks.uok.gr</t>
  </si>
  <si>
    <t>ΠΑΓΚΑΛΟΥ</t>
  </si>
  <si>
    <t>ΠΑΓΩΜΕΝΟΣ</t>
  </si>
  <si>
    <t>mpagom@gmail.com</t>
  </si>
  <si>
    <t>ΠΑΓΩΜΕΝΟΥ</t>
  </si>
  <si>
    <t>elpagomenou@yahoo.com</t>
  </si>
  <si>
    <t>ΠΑΛΑΖΗ</t>
  </si>
  <si>
    <t>ΑΓΝΗ</t>
  </si>
  <si>
    <t>ΠΑΛΑΙΟΛΟΓΟΥ</t>
  </si>
  <si>
    <t>jpalaiologou@yahoo.gr</t>
  </si>
  <si>
    <t>ΠΑΛΙΑΤΣΟΥ</t>
  </si>
  <si>
    <t>ΞΑΝΘΟΥΛΑ</t>
  </si>
  <si>
    <t>ΠΑΝΑΓΙΩΤΑΚΗ</t>
  </si>
  <si>
    <t>nasiapanag3@yahoo.gr</t>
  </si>
  <si>
    <t>ΠΕ88.04</t>
  </si>
  <si>
    <t>ΔΙΑΤΡΟΦΗΣ</t>
  </si>
  <si>
    <t>ioannapanagiotaki@hotmail.com</t>
  </si>
  <si>
    <t>mariapan@sch.gr</t>
  </si>
  <si>
    <t>ΠΑΝΑΓΙΩΤΑΚΗΣ</t>
  </si>
  <si>
    <t>ΕΥΑΓΓΕΛIA</t>
  </si>
  <si>
    <t>anpanagi@sch.gr</t>
  </si>
  <si>
    <t>empanagiot@gmail.com</t>
  </si>
  <si>
    <t>ΠΑΝΑΓΙΩΤΙΔΟΥ</t>
  </si>
  <si>
    <t>ΠΑΝΑΓΙΩΤΟΠΟΥΛΟΣ</t>
  </si>
  <si>
    <t>stefpan1453@yahoo.gr</t>
  </si>
  <si>
    <t>ΠΑΝΑΓΙΩΤΟΠΟΥΛΟΥ</t>
  </si>
  <si>
    <t>vasopanagiotopoulou1964@gmail.com</t>
  </si>
  <si>
    <t>ΠΑΝΑΓΙΩΤΟΥ</t>
  </si>
  <si>
    <t>ΑΓΓΕΛΗΣ</t>
  </si>
  <si>
    <t>ΠΑΝΑΓΟΣ</t>
  </si>
  <si>
    <t>ΠΑΝΤΟΛΕΩΝ</t>
  </si>
  <si>
    <t>lakis.panagos@gmail.com</t>
  </si>
  <si>
    <t>ΠΑΝΑΓΟΥΛΙΑΣ</t>
  </si>
  <si>
    <t>ΠΑΝΤΟΥΛΑ</t>
  </si>
  <si>
    <t>panagouliaspan@gmail.com</t>
  </si>
  <si>
    <t>ΠΑΝΑΚΑΚΗ</t>
  </si>
  <si>
    <t>PANAKAKI@SCH.GR</t>
  </si>
  <si>
    <t>ΠΑΝΑΡΕΤΟΥ</t>
  </si>
  <si>
    <t>ΠΑΝΙΕΡΑΚΗ</t>
  </si>
  <si>
    <t>ΠΑΝΙΤΣΙΔΟΥ</t>
  </si>
  <si>
    <t>pan17it@yahoo.com</t>
  </si>
  <si>
    <t>ΠΑΝΟΠΟΥΛΟΥ</t>
  </si>
  <si>
    <t>ΠΑΝΟΥ</t>
  </si>
  <si>
    <t>ΤΕ01.13</t>
  </si>
  <si>
    <t>ΠΡΟΓΡΑΜΜΑΤΙΣΤΕΣ Η/Υ</t>
  </si>
  <si>
    <t>ΠΑΝΣΕΛΗΝΑΣ</t>
  </si>
  <si>
    <t>panselin@gmail.com</t>
  </si>
  <si>
    <t>ΠΑΝΤΑΖΗ</t>
  </si>
  <si>
    <t>ΠΑΝΤΑΛΟΥ</t>
  </si>
  <si>
    <t>athinapantalou@gmail.com</t>
  </si>
  <si>
    <t>ΠΑΝΤΕΛΑΚΗ</t>
  </si>
  <si>
    <t>despantelaki@gmail.com</t>
  </si>
  <si>
    <t>elangpantelaki34@gmail.com</t>
  </si>
  <si>
    <t>ΠΑΝΤΕΛΑΚΗΣ</t>
  </si>
  <si>
    <t>pantelogianis@gmail.com</t>
  </si>
  <si>
    <t>ΠΑΝΤΕΡΗ</t>
  </si>
  <si>
    <t>panteri.irini@yahoo.gr</t>
  </si>
  <si>
    <t>epanteri@gmail.com</t>
  </si>
  <si>
    <t>ΠΑΝΤΕΡΗΣ</t>
  </si>
  <si>
    <t>ΕΛΕΥΕΘΡ</t>
  </si>
  <si>
    <t>ΠΑΝΤΕΡΜΑΡΑΚΗ</t>
  </si>
  <si>
    <t>ΑΚΡΙΒΗ</t>
  </si>
  <si>
    <t>afropant@windtools.gr</t>
  </si>
  <si>
    <t>ΠΑΝΤΙΔΟΥ</t>
  </si>
  <si>
    <t>elpantidou@yahoo.gr</t>
  </si>
  <si>
    <t>ΠΑΝΤΟΥΒΑΚΗ</t>
  </si>
  <si>
    <t>Alexandra.Pantouvaki@gmx.de</t>
  </si>
  <si>
    <t>ΠΑΞΙΜΑΔΑΚΗ</t>
  </si>
  <si>
    <t>spaximadaki@yahoo.gr</t>
  </si>
  <si>
    <t>ΣΟΦΙΑΝΝΑ</t>
  </si>
  <si>
    <t>ΠΑΞΙΜΑΔΑΚΗΣ</t>
  </si>
  <si>
    <t>ezpaximad@sch.gr</t>
  </si>
  <si>
    <t>mpaximadakis@gmail.com</t>
  </si>
  <si>
    <t>ΠΑΠΑΓΕΩΡΓΙΟΥ</t>
  </si>
  <si>
    <t>ΝΙΚΟΛΕΤΑ</t>
  </si>
  <si>
    <t>ΓΙΑΝΝΙΤΣΑ</t>
  </si>
  <si>
    <t>cpap@sch.gr</t>
  </si>
  <si>
    <t>christinapapageorgiou20@gmail.com</t>
  </si>
  <si>
    <t>ΠΑΠΑΓΙΑΝΝΑΚΗ</t>
  </si>
  <si>
    <t>ΠΑΠΑΔΑΚΑΚΗΣ</t>
  </si>
  <si>
    <t>dpapadakakis@yahoo.gr</t>
  </si>
  <si>
    <t>ΠΑΠΑΔΑΚΗ</t>
  </si>
  <si>
    <t>katpap28@gmail.com</t>
  </si>
  <si>
    <t>ΑΝΝΑ-ΜΑΡΙΑ</t>
  </si>
  <si>
    <t>ampapada@gmail.com</t>
  </si>
  <si>
    <t>ΒΗΘΛΕΕΜ</t>
  </si>
  <si>
    <t>vipapadaki@sch.gr</t>
  </si>
  <si>
    <t>ΒΙΟΛΕΤΤΑ-ΓΕΩΡΓΙΑ</t>
  </si>
  <si>
    <t>ΕΛEΥΘΕΡΙΑ</t>
  </si>
  <si>
    <t>papadakiv@gmail.com</t>
  </si>
  <si>
    <t>papadaki.eir@gmail.com</t>
  </si>
  <si>
    <t>lenakipa@gmail.com</t>
  </si>
  <si>
    <t>ripapadaki@yahoo.gr</t>
  </si>
  <si>
    <t>mpapadak@gmail.com</t>
  </si>
  <si>
    <t>mariapapadaky@gmail.com</t>
  </si>
  <si>
    <t>maria.pap2810@gmail.com</t>
  </si>
  <si>
    <t>ΞΑΝΘΗ</t>
  </si>
  <si>
    <t>marpapadak99@gmail.com</t>
  </si>
  <si>
    <t>ΑΡΙΑΔΝΗ</t>
  </si>
  <si>
    <t>marpapadaki1985@hotmail.gr</t>
  </si>
  <si>
    <t>ΜΙΚΑΕΛΑ</t>
  </si>
  <si>
    <t>ftzortzakakis@hotmail.gr</t>
  </si>
  <si>
    <t>pnpapadaki@yahoo.com</t>
  </si>
  <si>
    <t>papadakkos@gmail.com</t>
  </si>
  <si>
    <t>ΠΗΝΕΛΟΠΗ ΦΩΤ</t>
  </si>
  <si>
    <t>pefipapad@yahoo.gr</t>
  </si>
  <si>
    <t>mirkat67@gmail.com</t>
  </si>
  <si>
    <t>papadakistella@hotmail.com</t>
  </si>
  <si>
    <t>fani.philology@gmail.com</t>
  </si>
  <si>
    <t>ΠΑΠΑΔΑΚΗ ΗΛΙΑΔΟΥ</t>
  </si>
  <si>
    <t>ΘΕΟΦΡ</t>
  </si>
  <si>
    <t>chara.iliadou@gmail.com</t>
  </si>
  <si>
    <t>ΠΑΠΑΔΑΚΗ ΚΑΛΥΒΑ</t>
  </si>
  <si>
    <t>papakalisofia@hotmail.com</t>
  </si>
  <si>
    <t>ΠΑΠΑΔΑΚΗΣ</t>
  </si>
  <si>
    <t>gpapadak@sch.gr</t>
  </si>
  <si>
    <t>ΙΣΙΔΩΡΟΣ</t>
  </si>
  <si>
    <t>issipap@gmail.com</t>
  </si>
  <si>
    <t>ioannis.a.papadakis@gmail.com</t>
  </si>
  <si>
    <t>kostas10.papadakis@gmail.com</t>
  </si>
  <si>
    <t>kostepapadakis@yahoo.gr</t>
  </si>
  <si>
    <t>laz1pap2@yahoo.gr</t>
  </si>
  <si>
    <t>lpapadak@sch.gr</t>
  </si>
  <si>
    <t>nipap@sch.gr</t>
  </si>
  <si>
    <t>ΧΡΙΣΤΟΘΕΑ</t>
  </si>
  <si>
    <t>stpapadakis@gmail.com</t>
  </si>
  <si>
    <t>spapad@sch.gr</t>
  </si>
  <si>
    <t>tipoukeito@yahoo.gr</t>
  </si>
  <si>
    <t>1259/Γ/09-12-2016</t>
  </si>
  <si>
    <t>ΠΑΠΑΔΗΜΗΤΡΟΠΟΥΛΟΥ</t>
  </si>
  <si>
    <t>ΠΑΠΑΔΟΓΙΑΝΝΑΚΗ</t>
  </si>
  <si>
    <t>p23pericles@yahoo.gr</t>
  </si>
  <si>
    <t>papadogiannaki@sch.gr</t>
  </si>
  <si>
    <t>ΜΕΝΙΑ</t>
  </si>
  <si>
    <t>ΠΑΠΑΔΟΓΙΑΝΝΑΚΗΣ</t>
  </si>
  <si>
    <t>apostolispapa@sch.gr</t>
  </si>
  <si>
    <t>ΠΑΠΑΔΟΓΙΑΝΝΗΣ</t>
  </si>
  <si>
    <t>spyroscreta@gmail.com</t>
  </si>
  <si>
    <t>ΠΑΠΑΔΟΓΙΩΡΓΑΚΗ</t>
  </si>
  <si>
    <t>ppapadogeorgaki@gmail.com</t>
  </si>
  <si>
    <t>ΠΑΠΑΔΟΓΙΩΡΓΑΚΗΣ</t>
  </si>
  <si>
    <t>empapadog@sch.gr</t>
  </si>
  <si>
    <t>kpmath@sch.gr</t>
  </si>
  <si>
    <t>ΠΑΠΑΔΟΚΩΣΤΑΚΗ</t>
  </si>
  <si>
    <t>ΜΑΡΙΕΛΛΗ</t>
  </si>
  <si>
    <t>papadokostaki02@gmail.com</t>
  </si>
  <si>
    <t>ΠΑΠΑΔΟΛΙΟΠΟΥΛΟΥ</t>
  </si>
  <si>
    <t>papadoliopoulouanna@hotmail.gr</t>
  </si>
  <si>
    <t>ΠΑΠΑΔΟΜΑΝΩΛΑΚΗ</t>
  </si>
  <si>
    <t>ΠΑΠΑΔΟΜΑΝΩΛΑΚΗΣ</t>
  </si>
  <si>
    <t>ΠΑΠΑΔΟΜΑΡΚΑΚΗ</t>
  </si>
  <si>
    <t>ΠΑΠΑΔΟΜΙΧΕΛΑΚΗΣ</t>
  </si>
  <si>
    <t>anpapadomichelakis@gmail.com</t>
  </si>
  <si>
    <t>ΠΑΠΑΔΟΠΕΤΡΑΚΗ</t>
  </si>
  <si>
    <t>ΠΑΠΑΔΟΠΟΥΛΟΣ</t>
  </si>
  <si>
    <t>pappetrosath@gmail.com</t>
  </si>
  <si>
    <t>ΠΑΠΑΔΟΠΟΥΛΟΥ</t>
  </si>
  <si>
    <t>athenapapadopoulou2013@gmail.com</t>
  </si>
  <si>
    <t>ΜΥΡΟΦΟΡΑ</t>
  </si>
  <si>
    <t>mirantapapado45@gmail.com</t>
  </si>
  <si>
    <t>ΠΑΠΑΔΟΥΛΑΚΗ</t>
  </si>
  <si>
    <t>ΠΑΠΑΖΗ</t>
  </si>
  <si>
    <t>ΧΑΙΔΗ</t>
  </si>
  <si>
    <t>ΠΑΠΑΖΟΓΛΟΥ</t>
  </si>
  <si>
    <t>ΣΤΥΛΛΙΑΝΗ</t>
  </si>
  <si>
    <t>npapaz@sch.gr</t>
  </si>
  <si>
    <t>ΠΑΠΑΘΑΝΑΣΙΟΥ</t>
  </si>
  <si>
    <t>ΠΑΠΑΪΩΑΝΝΟΥ</t>
  </si>
  <si>
    <t>denisepap@gmail.com</t>
  </si>
  <si>
    <t>ΠΑΠΑΚΥΡΙΤΣΗ</t>
  </si>
  <si>
    <t>ΔΗΜΟΣ</t>
  </si>
  <si>
    <t>dpapakiritsi@gmail.com</t>
  </si>
  <si>
    <t>ΠΑΠΑΜΑΣΤΟΡΑΚΗ</t>
  </si>
  <si>
    <t>ΕΡΑΣΜΙΑ</t>
  </si>
  <si>
    <t>kostopoulos38@gmail.com</t>
  </si>
  <si>
    <t>ΠΑΠΑΜΑΣΤΟΡΑΚΗΣ</t>
  </si>
  <si>
    <t>jpapamastorakis@hotmail.com</t>
  </si>
  <si>
    <t>ΠΑΠΑΜΑΤΘΑΙΑΚΗ</t>
  </si>
  <si>
    <t>ifiyenia@hotmail.com</t>
  </si>
  <si>
    <t>ΠΑΠΑΜΑΤΘΑΙΑΚΗΣ</t>
  </si>
  <si>
    <t>dimitris@dp.gr</t>
  </si>
  <si>
    <t>ΠΑΠΑΜΑΤΘΑΙΟΥ</t>
  </si>
  <si>
    <t>porchenp@gmail.com</t>
  </si>
  <si>
    <t>ΠΑΠΑΝΙΚΟΛΑΟΥ</t>
  </si>
  <si>
    <t>apapanik@gmail.com</t>
  </si>
  <si>
    <t>ΠΑΠΑΝΤΩΝΑΚΗΣ</t>
  </si>
  <si>
    <t>ΠΑΠΑΣΠΥΡΟΥ</t>
  </si>
  <si>
    <t>eleni.papaspyrou@gmx.net</t>
  </si>
  <si>
    <t>ΠΑΠΑΣΤΕΦΑΝΑΚΗ</t>
  </si>
  <si>
    <t>papastefan@sch.gr</t>
  </si>
  <si>
    <t>taniapapast@yahoo.gr</t>
  </si>
  <si>
    <t>hellenpapaki@yahoo.com</t>
  </si>
  <si>
    <t>ΠΑΠΑΦΡΑΓΚΑΚΗΣ</t>
  </si>
  <si>
    <t>andandpapaf@yahoo.gr</t>
  </si>
  <si>
    <t>ΠΑΠΑΧΑΤΖΑΚΗ</t>
  </si>
  <si>
    <t>man8@hotmail.gr</t>
  </si>
  <si>
    <t>ΠΑΠΑΧΡΗΣΤΟΥ</t>
  </si>
  <si>
    <t>stellapapax@hotmail.com</t>
  </si>
  <si>
    <t>ΠΑΠΑΧΡΟΝΑΚΗ</t>
  </si>
  <si>
    <t>mixalister@yahoo.gr</t>
  </si>
  <si>
    <t>ΠΑΠΟΥΤΣΑΚΗ</t>
  </si>
  <si>
    <t>aikpap08@sch.gr</t>
  </si>
  <si>
    <t>papoutsakim@gmail.com</t>
  </si>
  <si>
    <t>ΠΑΠΟΥΤΣΑΚΗΣ</t>
  </si>
  <si>
    <t>mariospapoutsakis@yahoo.gr</t>
  </si>
  <si>
    <t>ΠΑΡΑΔΕΙΣΑΝΟΥ</t>
  </si>
  <si>
    <t>ΖΑΜΠΙ</t>
  </si>
  <si>
    <t>paradeisanou@yahoo.gr</t>
  </si>
  <si>
    <t>ΠΑΡΑΣΥΡΗ</t>
  </si>
  <si>
    <t>ΖΑΧΑΡ</t>
  </si>
  <si>
    <t>Oparasiri@yahoo.gr</t>
  </si>
  <si>
    <t>ΠΑΡΑΣΥΡΗΣ</t>
  </si>
  <si>
    <t>spparas2@gmail.com</t>
  </si>
  <si>
    <t>ΠΑΡΑΣΧΑΚΗ</t>
  </si>
  <si>
    <t>ΔΩΡΟΘΕΑ</t>
  </si>
  <si>
    <t>m.parascha@gmail.com</t>
  </si>
  <si>
    <t>ΠΑΡΑΣΧΗ</t>
  </si>
  <si>
    <t>ria_sioux@yahoo.gr</t>
  </si>
  <si>
    <t>ΠΑΡΘΕΝΙΑΔΗΣ</t>
  </si>
  <si>
    <t>zoi63@windowslive.com</t>
  </si>
  <si>
    <t>ΠΑΣΧΑΛΙΔΟΥ</t>
  </si>
  <si>
    <t>ΦΙΛΟΘΕΗ</t>
  </si>
  <si>
    <t>filopash@hotmail.com</t>
  </si>
  <si>
    <t>ΠΑΤΕΡΑΚΗ</t>
  </si>
  <si>
    <t>helenpat21@yahoo.gr</t>
  </si>
  <si>
    <t>louisapateraki@gmail.com</t>
  </si>
  <si>
    <t>ΠΑΤΕΡΑΚΗΣ</t>
  </si>
  <si>
    <t>vpater@otenet.gr</t>
  </si>
  <si>
    <t>stefanos_paterakis@hotmail.com</t>
  </si>
  <si>
    <t>ΠΑΤΕΡΙΑΝΑΚΗΣ</t>
  </si>
  <si>
    <t>ΠΑΤΕΡΟΠΟΥΛΟΣ</t>
  </si>
  <si>
    <t>paterogeo@gmail.com</t>
  </si>
  <si>
    <t>ΠΑΤΗΡΑΚΗ</t>
  </si>
  <si>
    <t>primeracherry@yahoo.gr</t>
  </si>
  <si>
    <t>ΠΑΤΛΗ</t>
  </si>
  <si>
    <t>ΦΕΡΟΝΙΚΗ</t>
  </si>
  <si>
    <t>feronikaki@gmail.com</t>
  </si>
  <si>
    <t>ΠΑΤΜΑΝΙΔΗ</t>
  </si>
  <si>
    <t>sofia.patmanidi@yahoo.gr</t>
  </si>
  <si>
    <t>ΠΑΤΡΑΜΑΝΗ</t>
  </si>
  <si>
    <t>ΠΑΤΡΟΥΔΑΚΗΣ</t>
  </si>
  <si>
    <t>manusos.p@gmail.com</t>
  </si>
  <si>
    <t>ΠΑΤΣΑΚΗΣ</t>
  </si>
  <si>
    <t>ipatsakis@gmail.com</t>
  </si>
  <si>
    <t>ΠΑΤΣΙΑΝΩΤΑΚΗ</t>
  </si>
  <si>
    <t>patsioanna@gmail.com</t>
  </si>
  <si>
    <t>ΠΑΥΛΑΚΟΣ</t>
  </si>
  <si>
    <t>Γυμνάσιο Ευρωπαϊκής Παιδείας</t>
  </si>
  <si>
    <t>ΓΥΜΝΑΣΙΟ ΕΥΡΩΠΑΪΚΗΣ ΠΑΙΔΕΙΑΣ ΗΡΑΚΛΕΙΟΥ</t>
  </si>
  <si>
    <t>mail@gym-eur-edu.ira.sch.gr</t>
  </si>
  <si>
    <t>ΠΑΥΛΙΔΗΣ</t>
  </si>
  <si>
    <t>geopavli@yahoo.gr</t>
  </si>
  <si>
    <t>ΠΑΥΛΟΠΟΥΛΟΥ</t>
  </si>
  <si>
    <t>ΠΑΥΛΟΥ</t>
  </si>
  <si>
    <t>agnipavlou@gmail.com</t>
  </si>
  <si>
    <t>ΠΑΧΑΚΗ</t>
  </si>
  <si>
    <t>rpachaki@yahoo.gr</t>
  </si>
  <si>
    <t>ΠΑΧΙΑΔΑΚΗ</t>
  </si>
  <si>
    <t>elpachiadaki@gmail.com</t>
  </si>
  <si>
    <t>ΠΑΧΙΔΟΥ</t>
  </si>
  <si>
    <t>aggeliki.paxidou@gmail.com</t>
  </si>
  <si>
    <t>ΠΕΔΙΑΔΙΤΑΚΗ</t>
  </si>
  <si>
    <t>ΠΕΔΙΑΔΙΤΟΥ</t>
  </si>
  <si>
    <t>ΠΕΛΕΚΑΝΑΚΗ</t>
  </si>
  <si>
    <t>pelekanakib@gmail.com</t>
  </si>
  <si>
    <t>ΠΕΛΕΚΗΣ</t>
  </si>
  <si>
    <t>peiekisp@gmail.com</t>
  </si>
  <si>
    <t>ΠΕΡΑΚΑΚΗ</t>
  </si>
  <si>
    <t>xenia@source.gr</t>
  </si>
  <si>
    <t>ΠΕΡΑΚΑΚΗΣ</t>
  </si>
  <si>
    <t>ΕΥΣΤΑΘΙΑΣ</t>
  </si>
  <si>
    <t>mperakakis65@gmail.com</t>
  </si>
  <si>
    <t>ΠΕΡΑΚΗ</t>
  </si>
  <si>
    <t>ΠΕΡΑΝΤΩΝΑΚΗΣ</t>
  </si>
  <si>
    <t>aperanto@sch.gr</t>
  </si>
  <si>
    <t>ΠΕΡΒΟΛΑΡΑΚΗ</t>
  </si>
  <si>
    <t>fpervolaraki@gmail.com</t>
  </si>
  <si>
    <t>ΠΕ34</t>
  </si>
  <si>
    <t>ΙΤΑΛΙΚΗΣ ΦΙΛΟΛΟΓΙΑΣ</t>
  </si>
  <si>
    <t>ΠΕΡΔΙΚΑΚΗ</t>
  </si>
  <si>
    <t>perdikakikaterina363@gmail.com</t>
  </si>
  <si>
    <t>aperdikaki@gmail.com</t>
  </si>
  <si>
    <t>ΠΕΡΙΣΤΕΡΗ</t>
  </si>
  <si>
    <t>melpoper@yahoo.com</t>
  </si>
  <si>
    <t>ΠΕΡΙΣΥΝΑΚΗ</t>
  </si>
  <si>
    <t>reniaperisinaki@gmail.com</t>
  </si>
  <si>
    <t>ΠΕΡΟΔΑΣΚΑΛΑΚΗΣ</t>
  </si>
  <si>
    <t>ΠΕΡΠΕΡΟΓΛΟΥ</t>
  </si>
  <si>
    <t>ΧΡΥΣΑΦΗΣ</t>
  </si>
  <si>
    <t>ΠΕΡΡΑΚΗ</t>
  </si>
  <si>
    <t>styperraki@in.gr</t>
  </si>
  <si>
    <t>ΠΕΡΡΗ</t>
  </si>
  <si>
    <t>kolchida2004@yahoo.gr</t>
  </si>
  <si>
    <t>ΠΕΡΥΣΙΝΑΚΗ</t>
  </si>
  <si>
    <t>peryvaso@gmail.com</t>
  </si>
  <si>
    <t>eiriniper6@gmail.com</t>
  </si>
  <si>
    <t>iriniper@sch.gr</t>
  </si>
  <si>
    <t>eugeniap@ath.forthnet.gr</t>
  </si>
  <si>
    <t>ΠΕΤΕΙΝΑΚΗ</t>
  </si>
  <si>
    <t>ΠΕΤΕΙΝΑΚΗΣ</t>
  </si>
  <si>
    <t>siderpet@gmail.com</t>
  </si>
  <si>
    <t>ΠΕΤΡΑΚΗ</t>
  </si>
  <si>
    <t>katpet@sch.gr</t>
  </si>
  <si>
    <t>nasiapetraki@hotmail.com</t>
  </si>
  <si>
    <t>lne_petraki@yahoo.gr</t>
  </si>
  <si>
    <t>e_petraki@yahoo.gr</t>
  </si>
  <si>
    <t>petraki.evangelia@gmail.com</t>
  </si>
  <si>
    <t>epetraki@gmail.com</t>
  </si>
  <si>
    <t>mpetraki@staff.teicrete.gr</t>
  </si>
  <si>
    <t>marw_petraki@yhaoo.gr</t>
  </si>
  <si>
    <t>ΠΟΛΥΞΕΝ</t>
  </si>
  <si>
    <t>chpetraki@yahoo.gr</t>
  </si>
  <si>
    <t>ΠΕΤΡΑΚΗΣ</t>
  </si>
  <si>
    <t>ΑΝΑΣΙ</t>
  </si>
  <si>
    <t>vaggelis.petrakis@gmail.com</t>
  </si>
  <si>
    <t>gianpetrakis@gmail.com</t>
  </si>
  <si>
    <t>petrakis183@yahoo.gr</t>
  </si>
  <si>
    <t>ΠΕΤΡΑΤΟΣ</t>
  </si>
  <si>
    <t>ΜΙΜΟΥΛΑ</t>
  </si>
  <si>
    <t>apetratos@hotmail.com</t>
  </si>
  <si>
    <t>ΠΕΤΡΙΔΗΣ</t>
  </si>
  <si>
    <t>ΜΑΓΔΑΛΗ</t>
  </si>
  <si>
    <t>ΠΕΤΡΟΔΑΣΚΑΛΑΚΗΣ</t>
  </si>
  <si>
    <t>nikpetrod@gmail.com</t>
  </si>
  <si>
    <t>ΠΕΤΡΟΜΙΧΕΛΑΚΗ</t>
  </si>
  <si>
    <t>ΠΕΤΡΟΥΛΑΚΗ</t>
  </si>
  <si>
    <t>mapetrougr@yahoo.gr</t>
  </si>
  <si>
    <t>ΠΕΤΣΑΛΑΚΗ</t>
  </si>
  <si>
    <t>marapets@pathfinder.gr</t>
  </si>
  <si>
    <t>ΠΕΤΣΙΤΗ</t>
  </si>
  <si>
    <t>nbpetsiti@gmail.com</t>
  </si>
  <si>
    <t>ΠΕΧΥΝΑΚΗΣ</t>
  </si>
  <si>
    <t>ΠΗΓΙΑΚΗ</t>
  </si>
  <si>
    <t>aristeafpigiaki@hotmail.com</t>
  </si>
  <si>
    <t>ΠΗΡΟΥΝΑΚΗΣ</t>
  </si>
  <si>
    <t>ipirounakis@sch.gr</t>
  </si>
  <si>
    <t>ΠΙΝΑΚΟΥΛΑΚΗ</t>
  </si>
  <si>
    <t>mariapinak@hotmail.com</t>
  </si>
  <si>
    <t>ΠΙΝΙΡΤΖΗ</t>
  </si>
  <si>
    <t>marypin1@hotmail.com</t>
  </si>
  <si>
    <t>ΠΙΠΕΡΑΚΗ</t>
  </si>
  <si>
    <t>piperakevang@gmail.com</t>
  </si>
  <si>
    <t>ΠΙΠΕΡΙΔΟΥ</t>
  </si>
  <si>
    <t>afropiper@yahoo.gr</t>
  </si>
  <si>
    <t>ΠΙΤΑΡΟΚΟΙΛΗ</t>
  </si>
  <si>
    <t>geo_pitarokili@hotmail.com</t>
  </si>
  <si>
    <t>despoina.pitarokoili@gmail.com</t>
  </si>
  <si>
    <t>mpitarokoili@yahoo.com</t>
  </si>
  <si>
    <t>ΠΙΤΕΡΟΥ</t>
  </si>
  <si>
    <t>vpiterou@gmail.com</t>
  </si>
  <si>
    <t>ΠΙΤΣΑΚΗ</t>
  </si>
  <si>
    <t>mpitsaki@gmail.com</t>
  </si>
  <si>
    <t>chrpitsaki@sch.gr</t>
  </si>
  <si>
    <t>ΠΙΤΤΑΡΟΚΟΙΛΗΣ</t>
  </si>
  <si>
    <t>mpitarok@imbb.forth.gr</t>
  </si>
  <si>
    <t>ΠΛΑΓΙΩΤΑΚΗ</t>
  </si>
  <si>
    <t>ΑΡΤΕΜΗΣΙ</t>
  </si>
  <si>
    <t>agglikou@gmail.com</t>
  </si>
  <si>
    <t>ΠΛΑΚΑ</t>
  </si>
  <si>
    <t>plakaanna@gmail.com</t>
  </si>
  <si>
    <t>ΠΛΑΣΤΑΡΑ</t>
  </si>
  <si>
    <t>ΜΕΛΠΩΜΕΝΗ</t>
  </si>
  <si>
    <t>plastara_katerina@yahoo.gr</t>
  </si>
  <si>
    <t>ΠΛΕΜΜΕΝΟΥ</t>
  </si>
  <si>
    <t>mariaplemmenou@gmail.com</t>
  </si>
  <si>
    <t>ΠΛΕΣΙΤΗΣ</t>
  </si>
  <si>
    <t>ΦΡΕΙΔΕΡ</t>
  </si>
  <si>
    <t>ΠΛΕΥΡΑΚΗΣ</t>
  </si>
  <si>
    <t>ΙΣΜΗΝΗ</t>
  </si>
  <si>
    <t>plevrakis@sch.gr</t>
  </si>
  <si>
    <t>ΠΛΕΥΡΗ</t>
  </si>
  <si>
    <t>ΠΛΟΥΜΑΚΗ</t>
  </si>
  <si>
    <t>nikiplou@gmail.com</t>
  </si>
  <si>
    <t>eploumaki@gmail.com</t>
  </si>
  <si>
    <t>fotplu@yahoo.gr</t>
  </si>
  <si>
    <t>ΠΛΟΥΜΑΚΗΣ</t>
  </si>
  <si>
    <t>ΠΛΟΥΜΗΣ</t>
  </si>
  <si>
    <t>kon.ploumis@gmail.com</t>
  </si>
  <si>
    <t>ΠΛΟΥΜΙΔΗΣ</t>
  </si>
  <si>
    <t>ΠΛΟΥΜΙΔΟΥ</t>
  </si>
  <si>
    <t>TASOSMAKRIS6@GMAIL.COM</t>
  </si>
  <si>
    <t>ΠΟΙΜΕΝΑΚΗ</t>
  </si>
  <si>
    <t>ΠΟΛΙΤΗ</t>
  </si>
  <si>
    <t>marion_politi@hotmail.com</t>
  </si>
  <si>
    <t>ΠΟΛΙΤΟΠΟΥΛΟΥ</t>
  </si>
  <si>
    <t>polit0111@gmail.com</t>
  </si>
  <si>
    <t>ΠΟΛΥΖΩΑΚΗΣ</t>
  </si>
  <si>
    <t>ΧΡΙΣΤΙΝΑ ΜΠΡΙΓΚΙΤΕ</t>
  </si>
  <si>
    <t>ΠΟΛΥΚΑΝΔΡΙΩΤΗ</t>
  </si>
  <si>
    <t>ΝΙΚΟΛΕΤ</t>
  </si>
  <si>
    <t>ΠΟΛΥΧΡΟΝΑΚΗ</t>
  </si>
  <si>
    <t>ΑΙΜΙΛΙΑ</t>
  </si>
  <si>
    <t>polyxemi@yahoo.gr</t>
  </si>
  <si>
    <t>mariapolyx@gmail.com</t>
  </si>
  <si>
    <t>ΠΟΛΥΧΡΟΝΗ</t>
  </si>
  <si>
    <t>ΑΡΤΕΜ</t>
  </si>
  <si>
    <t>elenipolichroni@gmail.com</t>
  </si>
  <si>
    <t>mpolixroni@yahoo.gr</t>
  </si>
  <si>
    <t>ΠΟΝΤΙΚΑΚΗΣ</t>
  </si>
  <si>
    <t>spontika@gmail.com</t>
  </si>
  <si>
    <t>ΠΟΝΤΙΚΗ</t>
  </si>
  <si>
    <t>ΕΥΣΤΑΘΙΑ</t>
  </si>
  <si>
    <t>mary_pontiki@yahoo.com</t>
  </si>
  <si>
    <t>ΠΟΤΟΥΡΙΔΗΣ</t>
  </si>
  <si>
    <t>ΝΙΝΑ</t>
  </si>
  <si>
    <t>ΠΟΥΛΛΑ</t>
  </si>
  <si>
    <t>ΠΡΑΤΙΚΑΚΗΣ</t>
  </si>
  <si>
    <t>ΕΛΕΥΘ</t>
  </si>
  <si>
    <t>manolis0657@gmail.com</t>
  </si>
  <si>
    <t>ΠΡΕΒΕΛΙΑΝΑΚΗ</t>
  </si>
  <si>
    <t>gprevel@sch.gr</t>
  </si>
  <si>
    <t>ΜΑΡΙΟ</t>
  </si>
  <si>
    <t>mprevelianaki@gmail.com</t>
  </si>
  <si>
    <t>ΠΡΕΚΑΣ</t>
  </si>
  <si>
    <t>dimprek@gmail.com</t>
  </si>
  <si>
    <t>ΠΡΕΝΤΖΑ</t>
  </si>
  <si>
    <t>ΠΡΙΜΗΚΥΡΙΟΣ</t>
  </si>
  <si>
    <t>ΜΑΡΙΕΤΤ</t>
  </si>
  <si>
    <t>nprimik@otenet.gr</t>
  </si>
  <si>
    <t>ΠΡΙΝΑΡΗΣ</t>
  </si>
  <si>
    <t>dimitriosprinaris@yahoo.gr</t>
  </si>
  <si>
    <t>ΠΡΙΝΙΩΤΑΚΗ</t>
  </si>
  <si>
    <t>ΠΡΟΔΡΟΜΙΔΗΣ</t>
  </si>
  <si>
    <t>ΣΥΜΕΩΝ</t>
  </si>
  <si>
    <t>mathripper@yahoo.gr</t>
  </si>
  <si>
    <t>ΠΡΟΕΣΤΑΚΗΣ</t>
  </si>
  <si>
    <t>proestakis_j@cyta.gr</t>
  </si>
  <si>
    <t>ΠΡΟΥΝΤΖΟΥ</t>
  </si>
  <si>
    <t>eleni_prountzou@hotmail.com</t>
  </si>
  <si>
    <t>ΠΡΩΤΟΓΕΡΑΚΗ</t>
  </si>
  <si>
    <t>protogernik@gmail.com</t>
  </si>
  <si>
    <t>ΠΡΩΤΟΓΕΡΑΚΗ ΚΑΛΑΘΑΚΗ</t>
  </si>
  <si>
    <t>mprotog@yahoo.gr</t>
  </si>
  <si>
    <t>ΠΡΩΤΟΣΥΓΚΕΛΛΟΣ</t>
  </si>
  <si>
    <t>ΕΙΡΗΝH</t>
  </si>
  <si>
    <t>vagprot@gmail.com</t>
  </si>
  <si>
    <t>ΠΥΛΑΡΙΝΟΥ</t>
  </si>
  <si>
    <t>marypylarinou@gmail.com</t>
  </si>
  <si>
    <t>ΠΥΝΗΡΤΖΗΣ</t>
  </si>
  <si>
    <t>ΜΑΡΙΤΣΑ</t>
  </si>
  <si>
    <t>pinirtzisg@yahoo.gr</t>
  </si>
  <si>
    <t>ΡΑΒΑΝΙΔΟΥ</t>
  </si>
  <si>
    <t>ΠΑΝΑΓΟΥΛΑ</t>
  </si>
  <si>
    <t>ΡΑΛΛΗ</t>
  </si>
  <si>
    <t>ΠΕ89.02</t>
  </si>
  <si>
    <t>ΣΧΕΔΙΑΣΜΟΥ ΚΑΙ ΠΑΡΑΓΩΓΗΣ ΠΡΟΪΟΝΤΩΝ</t>
  </si>
  <si>
    <t>ΡΑΜΟΥΤΣΑΚΗ</t>
  </si>
  <si>
    <t>iramoutsaki@gmail.com</t>
  </si>
  <si>
    <t>ΡΑΟΥΧ</t>
  </si>
  <si>
    <t>ΜΟΝΙΚΑ</t>
  </si>
  <si>
    <t>ΧΑΙΝΡΙΧ</t>
  </si>
  <si>
    <t>ΓΚΕΡΤΡΟ</t>
  </si>
  <si>
    <t>monrau@yahoo.com</t>
  </si>
  <si>
    <t>ΡΑΠΤΗ</t>
  </si>
  <si>
    <t>ΑΝΑΣΤΑΣΙΑ-ΧΡΥΣΟΒΑΛΑΝΤΗ</t>
  </si>
  <si>
    <t>ΡΑΠΤΗΣ</t>
  </si>
  <si>
    <t>pa1975ra@yahoo.gr</t>
  </si>
  <si>
    <t>ΡΑΣΟΥΛΗ</t>
  </si>
  <si>
    <t>eiriniras@gmail.com</t>
  </si>
  <si>
    <t>ΡΑΥΤΟΠΟΥΛΟΥ</t>
  </si>
  <si>
    <t>lianaraft@gmail.com</t>
  </si>
  <si>
    <t>ΡΑΧΙΩΤΗΣ</t>
  </si>
  <si>
    <t>ΡΕΛΑΚΗ</t>
  </si>
  <si>
    <t>ΕΛΕΥΘΕΡIA</t>
  </si>
  <si>
    <t>mrel@sch.gr</t>
  </si>
  <si>
    <t>ΡΕΝΤΖΟΥ</t>
  </si>
  <si>
    <t>ΜΑΡΟΥΣΩ</t>
  </si>
  <si>
    <t>rentzou9@hotmail.gr</t>
  </si>
  <si>
    <t>ΡΗΓΑ</t>
  </si>
  <si>
    <t>tzelsomina@yahoo.com</t>
  </si>
  <si>
    <t>olgariga@sch.gr</t>
  </si>
  <si>
    <t>ΡΗΓΑΚΗΣ</t>
  </si>
  <si>
    <t>ΦΙΛΟΚΤΗΤΗΣ</t>
  </si>
  <si>
    <t>ΡΙΖΟΣ</t>
  </si>
  <si>
    <t>arizos62@gmail.com</t>
  </si>
  <si>
    <t>ΡΙΖΟΥ</t>
  </si>
  <si>
    <t>evarizoudam@yahoo.com</t>
  </si>
  <si>
    <t>ΡΙΝΑΚΑΚΗ</t>
  </si>
  <si>
    <t>efrinakaki@gmail.com</t>
  </si>
  <si>
    <t>ΡΙΣΣΑΚΗΣ</t>
  </si>
  <si>
    <t>ΡΟΒΙΘΗ</t>
  </si>
  <si>
    <t>eudrob@windowslive.com</t>
  </si>
  <si>
    <t>ΡΟΓΔΑΚΗΣ</t>
  </si>
  <si>
    <t>ΠΟΛΥΤΙΜ</t>
  </si>
  <si>
    <t>mirogda@gmail.com</t>
  </si>
  <si>
    <t>ΡΟΔΟΥΣΑΚΗΣ</t>
  </si>
  <si>
    <t>grodousis@gmail.com</t>
  </si>
  <si>
    <t>ΡΟΙΔΗΣ</t>
  </si>
  <si>
    <t>roidisalexandros@gmail.com</t>
  </si>
  <si>
    <t>ΡΟΚΑΔΑΚΗ</t>
  </si>
  <si>
    <t>ANTONISSTAVR@IN.GR</t>
  </si>
  <si>
    <t>ΡΟΥΜΕΛΙΩΤΑΚΗ</t>
  </si>
  <si>
    <t>ΡΟΥΜΕΛΙΩΤΗ</t>
  </si>
  <si>
    <t>roumnet7@gmail.com</t>
  </si>
  <si>
    <t>ΡΟΥΜΠΑΚΗ</t>
  </si>
  <si>
    <t>mroumbaki@gmail.com</t>
  </si>
  <si>
    <t>ΡΟΥΣΣΑΚΗΣ</t>
  </si>
  <si>
    <t>ΡΟΥΣΣΟΥ</t>
  </si>
  <si>
    <t>ΕΥΣΤΑΘΙΟ</t>
  </si>
  <si>
    <t>broussgr@yahoo.gr</t>
  </si>
  <si>
    <t>ΣΑΒΒΑΚΗ</t>
  </si>
  <si>
    <t>ssavvaki@gmail.com</t>
  </si>
  <si>
    <t>ΣΑΒΒΙΔΗΣ</t>
  </si>
  <si>
    <t>savvidis.st@gmail.com</t>
  </si>
  <si>
    <t>ΣΑΒΙΟΛΑΚΗ</t>
  </si>
  <si>
    <t>msaviol@sch.gr</t>
  </si>
  <si>
    <t>ΣΑΒΟΥΛΙΔΗ</t>
  </si>
  <si>
    <t>ksavoulidi@gmail.com</t>
  </si>
  <si>
    <t>ΣΑΙΤΑΚΗ</t>
  </si>
  <si>
    <t>ΜΑΡΙΝ</t>
  </si>
  <si>
    <t>asaitaki@hotmail.com</t>
  </si>
  <si>
    <t>280/Γ/08-12-2003</t>
  </si>
  <si>
    <t>ΣΑΚΕΛΛΑΡΗ</t>
  </si>
  <si>
    <t>ΚΡΥΣΤΑΛΛΗ</t>
  </si>
  <si>
    <t>ira75uk@yahoo.com</t>
  </si>
  <si>
    <t>ΣΑΚΕΛΛΑΡΗΣ</t>
  </si>
  <si>
    <t>dsakell@sch.gr</t>
  </si>
  <si>
    <t>ksakellar@sch.gr</t>
  </si>
  <si>
    <t>ΣΑΚΕΛΛΑΡΙΟΥ</t>
  </si>
  <si>
    <t>ΣΑΛΑΣ</t>
  </si>
  <si>
    <t>arisalas07@yahoo.com</t>
  </si>
  <si>
    <t>ΣΑΛΜΑΝ</t>
  </si>
  <si>
    <t>ΛΕΙΛΑ</t>
  </si>
  <si>
    <t>ΑΡΣΑΝΤ</t>
  </si>
  <si>
    <t>salmanlayla@hotmail.com</t>
  </si>
  <si>
    <t>ΣΑΛΟΥΣΤΡΟΣ</t>
  </si>
  <si>
    <t>manoliss2008@gmail.com</t>
  </si>
  <si>
    <t>ΣΑΛΟΥΣΤΡΟΥ</t>
  </si>
  <si>
    <t>ΚΩΣΤΟΥΛΑ</t>
  </si>
  <si>
    <t>ΣΑΜΟΛΗ</t>
  </si>
  <si>
    <t>evrsam@yahoo.gr</t>
  </si>
  <si>
    <t>ΣΑΜΟΛΗΣ</t>
  </si>
  <si>
    <t>samolispan@hotmail.com</t>
  </si>
  <si>
    <t>ΣΑΜΟΥΡΑΚΗΣ</t>
  </si>
  <si>
    <t>samourakisg@yahoo.gr</t>
  </si>
  <si>
    <t>ΣΑΜΩΝΑΚΗ</t>
  </si>
  <si>
    <t>eirinisamonaki@yahoo.gr</t>
  </si>
  <si>
    <t>mariasamonaki@yahoo.gr</t>
  </si>
  <si>
    <t>ΣΑΠΙΟΣ</t>
  </si>
  <si>
    <t>tsapios@gmail.com</t>
  </si>
  <si>
    <t>ΣΑΠΟΥΝΤΖΑΚΗ</t>
  </si>
  <si>
    <t>sapountzakivalia.her@gmail.com</t>
  </si>
  <si>
    <t>ΣΑΡΑΝΤΗ</t>
  </si>
  <si>
    <t>ΣΑΡΑΝΤΙΔΗΣ</t>
  </si>
  <si>
    <t>jgsar@yahoo.com</t>
  </si>
  <si>
    <t>ΣΑΡΔΗ</t>
  </si>
  <si>
    <t>marilisard@gmail.com</t>
  </si>
  <si>
    <t>ΣΑΡΙΔΑΚΗ</t>
  </si>
  <si>
    <t>ΟΛΓΑΣ</t>
  </si>
  <si>
    <t>koulasaridaki@hotmail.com</t>
  </si>
  <si>
    <t>misaridaki@gmail.com</t>
  </si>
  <si>
    <t>sofsaridaki@gmail.com</t>
  </si>
  <si>
    <t>ΣΑΡΙΔΑΚΗΣ</t>
  </si>
  <si>
    <t>michalissaridakis@gmail.com</t>
  </si>
  <si>
    <t>ΣΑΡΜΑ</t>
  </si>
  <si>
    <t>karmasaterin@gmail.com</t>
  </si>
  <si>
    <t>ΣΑΡΡΑ</t>
  </si>
  <si>
    <t>efthimiasarra@yahoo.gr</t>
  </si>
  <si>
    <t>ΣΒΑΡΝΑ</t>
  </si>
  <si>
    <t>kalliopi.svarna@gmail.com</t>
  </si>
  <si>
    <t>ΣΒΑΡΝΑΣ</t>
  </si>
  <si>
    <t>ΣΔΟΝΑ</t>
  </si>
  <si>
    <t>ΣΠΑΘΟΥΛΑ</t>
  </si>
  <si>
    <t>spathoula@hotmail.com</t>
  </si>
  <si>
    <t>ΣΕΓΚΟΣ</t>
  </si>
  <si>
    <t>ΣΕΪΤΑΡΙΔΟΥ</t>
  </si>
  <si>
    <t>aseitaridou@sch.gr</t>
  </si>
  <si>
    <t>ΣΕΛΗΝΙΩΤΑΚΗ</t>
  </si>
  <si>
    <t>ΣΕΡΓΙΟΥ</t>
  </si>
  <si>
    <t>ΠΑΡΗΣ</t>
  </si>
  <si>
    <t>maria@milatos.com</t>
  </si>
  <si>
    <t>ΣΕΡΔΑΚΗ</t>
  </si>
  <si>
    <t>ΑΙΚΑΤΕΡINH</t>
  </si>
  <si>
    <t>vserdaki@gmail.com</t>
  </si>
  <si>
    <t>ΣΗΜΑΙΑΚΗ ΤΣΑΦΑΝΤΑΚΗ</t>
  </si>
  <si>
    <t>ΣΗΜΑΝΤΗΡΑ</t>
  </si>
  <si>
    <t>ΜΑΝΕΛΙΤ</t>
  </si>
  <si>
    <t>simae2363@gmail.com</t>
  </si>
  <si>
    <t>ΣΗΜΑΝΤΗΡΗΣ</t>
  </si>
  <si>
    <t>simge@sch.gr</t>
  </si>
  <si>
    <t>ΣΗΦΑΚΗ</t>
  </si>
  <si>
    <t>evasifaki@sch.gr</t>
  </si>
  <si>
    <t>sifakimaria@hotmail.gr</t>
  </si>
  <si>
    <t>ΣΗΦΑΚΗ ΚΑΒΒΟΥΣΑΝΟΥ</t>
  </si>
  <si>
    <t>sifaki.eirini@gmail.com</t>
  </si>
  <si>
    <t>ΣΗΦΑΚΗΣ</t>
  </si>
  <si>
    <t>ΣΙΑΜΕΤΗ</t>
  </si>
  <si>
    <t>ΣΙΑΠΑΖΟΥ</t>
  </si>
  <si>
    <t>siapazoum@gmail.com</t>
  </si>
  <si>
    <t>ΣΙΔΕΡΗ</t>
  </si>
  <si>
    <t>ΔΑΦΝΗ</t>
  </si>
  <si>
    <t>ΣΙΔΗΡΟΠΟΥΛΟΥ</t>
  </si>
  <si>
    <t>sidiro.vas@gmail.com</t>
  </si>
  <si>
    <t>ΣΙΛΙΓΑΡΔΟΥ</t>
  </si>
  <si>
    <t>ΣΙΜΑΤΟΣ</t>
  </si>
  <si>
    <t>ΠΑΝΑΓ</t>
  </si>
  <si>
    <t>ΣΙΜΟΥ</t>
  </si>
  <si>
    <t>simoualex@gmail.com</t>
  </si>
  <si>
    <t>ΣΙΝΑΔΙΝΑΚΗΣ</t>
  </si>
  <si>
    <t>sinadinose@yahoo.gr</t>
  </si>
  <si>
    <t>ΣΙΝΗ</t>
  </si>
  <si>
    <t>ΣΙΟΥΜΠΑΡΑ</t>
  </si>
  <si>
    <t>ΠΑΡΑΣΚΕΥ</t>
  </si>
  <si>
    <t>msioump@sch.gr</t>
  </si>
  <si>
    <t>ΣΙΣΑΜΑΚΗ</t>
  </si>
  <si>
    <t>ΝΕΡΑΝ</t>
  </si>
  <si>
    <t>sisamaki@sch.gr</t>
  </si>
  <si>
    <t>ΝΕΡΑΝΤΖΟΥΛΑ</t>
  </si>
  <si>
    <t>msisamaki@gmail.com</t>
  </si>
  <si>
    <t>ΣΙΩΚΗ</t>
  </si>
  <si>
    <t>lenasioki@gmail.com</t>
  </si>
  <si>
    <t>ΣΚΑΝΔΑΛΑΚΗ</t>
  </si>
  <si>
    <t>evatza@hotmail.com</t>
  </si>
  <si>
    <t>ΣΚΑΡΠΑΘΙΩΤΑΚΗΣ</t>
  </si>
  <si>
    <t>nskarp@sch.gr</t>
  </si>
  <si>
    <t>ΣΚΑΡΣΟΥΛΗ</t>
  </si>
  <si>
    <t>skarsoulieva@gmail.com</t>
  </si>
  <si>
    <t>ΣΚΕΠΕΤΑΡΑΚΗΣ</t>
  </si>
  <si>
    <t>skepant@yahoo.gr</t>
  </si>
  <si>
    <t>ΣΚΛΑΒΟΥ</t>
  </si>
  <si>
    <t>lisasklavou@gmail.com</t>
  </si>
  <si>
    <t>ΣΚΟΡΔΑΛΟΣ</t>
  </si>
  <si>
    <t>ΣΚΟΡΔΟΥΛΗΣ</t>
  </si>
  <si>
    <t>adamantios58@gmail.com</t>
  </si>
  <si>
    <t>ΣΚΟΥΛΗΚΑΡΗΣ</t>
  </si>
  <si>
    <t>gskoulikaris59@gmail.com</t>
  </si>
  <si>
    <t>ΣΚΟΥΝΤΗ</t>
  </si>
  <si>
    <t>voulaskou@yahoo.gr</t>
  </si>
  <si>
    <t>ΣΚΥΒΑΛΑΚΗ</t>
  </si>
  <si>
    <t>ΧΡΥΣΟΒΑΛΑΝΤΗ</t>
  </si>
  <si>
    <t>ΣΜΑΡΑΓΔΗ</t>
  </si>
  <si>
    <t>ΤΕ02.05</t>
  </si>
  <si>
    <t>ΕΦΑΡΜΟΣΜΕΝΩΝ ΤΕΧΝΩΝ</t>
  </si>
  <si>
    <t>olga_smaragdi@yahoo.gr</t>
  </si>
  <si>
    <t>ΣΜΑΡΔΑΣ</t>
  </si>
  <si>
    <t>ΣΜΑΡΙΑΝΑΚΗ</t>
  </si>
  <si>
    <t>smarianaki@sch.gr</t>
  </si>
  <si>
    <t>ΣΜΠΩΚΟΥ</t>
  </si>
  <si>
    <t>smpeir@yahoo.gr</t>
  </si>
  <si>
    <t>ΠΕ88.03</t>
  </si>
  <si>
    <t>ΖΩΙΚΗΣ ΠΑΡΑΓΩΓΗΣ</t>
  </si>
  <si>
    <t>giannis.sbokos@hotmail.com</t>
  </si>
  <si>
    <t>ΣΜΥΡΝΑΚΗ</t>
  </si>
  <si>
    <t>ΣΜΥΡΝΙΩΤΑΚΗ</t>
  </si>
  <si>
    <t>smyrniotaki@yahoo.gr</t>
  </si>
  <si>
    <t>ΣΟΛΑΚΑΚΗ</t>
  </si>
  <si>
    <t>ΣΟΛΑΚΗΣ</t>
  </si>
  <si>
    <t>ΧΡΗΣΤΟΣ-ΣΥΜΕΩΝ</t>
  </si>
  <si>
    <t>symsolak@hotmail.com</t>
  </si>
  <si>
    <t>ΣΟΥΚΟΥΛΗ</t>
  </si>
  <si>
    <t>ΣΟΥΛΑΔΑΚΗ</t>
  </si>
  <si>
    <t>ΣΟΥΛΑΔΑΚΗΣ</t>
  </si>
  <si>
    <t>ΜΑΛΑΜ</t>
  </si>
  <si>
    <t>msouladakis@gmail.com</t>
  </si>
  <si>
    <t>ΣΟΥΜΕΛΙΔΟΥ</t>
  </si>
  <si>
    <t>ataraxh@gmail.com</t>
  </si>
  <si>
    <t>ΣΟΥΝΔΟΥΛΟΥΝΑΚΗΣ</t>
  </si>
  <si>
    <t>nikos_sou@yahoo.gr</t>
  </si>
  <si>
    <t>ΣΟΥΡΑΝΑΚΗ</t>
  </si>
  <si>
    <t>ΣΟΥΡΑΝΑΚΗΣ</t>
  </si>
  <si>
    <t>ΕΡΙΕΤΤΑ</t>
  </si>
  <si>
    <t>kosta.souranaki@hotmail.com</t>
  </si>
  <si>
    <t>ΣΟΦΙΚΙΤΗΣ</t>
  </si>
  <si>
    <t>ΒΙΟΛΕΤΤΑ</t>
  </si>
  <si>
    <t>g.sofikitis@gmail.com</t>
  </si>
  <si>
    <t>ΣΟΦΟΥ</t>
  </si>
  <si>
    <t>ΓΚΟΛΦΩ</t>
  </si>
  <si>
    <t>jeni.sofou@yahoo.gr</t>
  </si>
  <si>
    <t>ΣΟΦΟΥΛΑΚΗ</t>
  </si>
  <si>
    <t>ΣΠΑΝΑΚΑΚΗ</t>
  </si>
  <si>
    <t>korinaki28@yahoo.gr</t>
  </si>
  <si>
    <t>ΣΠΑΝΑΚΗ</t>
  </si>
  <si>
    <t>evageliaspa@gmail.com</t>
  </si>
  <si>
    <t>ΣΤΕΡΕΟΣ</t>
  </si>
  <si>
    <t>spanakizaxarenia@hotmail.gr</t>
  </si>
  <si>
    <t>ΣΠΑΝΑΚΗ-ΒΑΤΣΗ-ΦΑΝΟΥΡΑΚΗ</t>
  </si>
  <si>
    <t>spanaki54@sch.gr</t>
  </si>
  <si>
    <t>ΣΠΑΝΟΥΔΑΚΗΣ</t>
  </si>
  <si>
    <t>nikosspanoud@gmail.com</t>
  </si>
  <si>
    <t>ΣΠΑΧΗ</t>
  </si>
  <si>
    <t>ΛΕΑΝΔΡΟΣ</t>
  </si>
  <si>
    <t>ΠΟΥΛΧΕΡΙΑ</t>
  </si>
  <si>
    <t>ΣΠΕΤΣΩΤΑΚΗ</t>
  </si>
  <si>
    <t>rodoula@otenet.gr</t>
  </si>
  <si>
    <t>ΣΠΗΛΙΟΠΟΥΛΟΥ</t>
  </si>
  <si>
    <t>ΟΥΡΣΟΥΛΑ  ΣΑΡΑ</t>
  </si>
  <si>
    <t>panagspil@yahoo.gr</t>
  </si>
  <si>
    <t>ΣΠΗΛΙΩΤΗΣ</t>
  </si>
  <si>
    <t>xristos-156@hotmail.com</t>
  </si>
  <si>
    <t>ΣΠΙΘΑΚΗ</t>
  </si>
  <si>
    <t>renaspitha@gmail.com</t>
  </si>
  <si>
    <t>ΣΠΟΥΡΔΑΛΑΚΗ</t>
  </si>
  <si>
    <t>pinelspour@hotmail.com</t>
  </si>
  <si>
    <t>ΣΠΥΡΙΔΑΚΗ</t>
  </si>
  <si>
    <t>ΑΘΗΝΑ-ΜΑΡΙΑ</t>
  </si>
  <si>
    <t>19261/10-11-2017</t>
  </si>
  <si>
    <t>espyridak@gmail.com</t>
  </si>
  <si>
    <t>ΑΓΗΣΙΛΑΟΣ</t>
  </si>
  <si>
    <t>spiridakistella@yahoo.gr</t>
  </si>
  <si>
    <t>xaroulaspir@hotmail.com</t>
  </si>
  <si>
    <t>ΣΠΥΡΙΔΑΚΗΣ</t>
  </si>
  <si>
    <t>spiridakisa@gmail.com</t>
  </si>
  <si>
    <t>spiridakis@staff.teicrete.gr</t>
  </si>
  <si>
    <t>zspyrid@sch.gr</t>
  </si>
  <si>
    <t>mihspir@yahoo.gr</t>
  </si>
  <si>
    <t>ssspinos@gmail.com</t>
  </si>
  <si>
    <t>ΣΠΥΡΙΔΩΝΙΔΟΥ</t>
  </si>
  <si>
    <t>marispyrid@gmail.com</t>
  </si>
  <si>
    <t>ΣΠΥΡΟΠΟΥΛΟΥ</t>
  </si>
  <si>
    <t>maria.spyropoulou@yahoo.com</t>
  </si>
  <si>
    <t>ΣΤΑΘΑΚΗ</t>
  </si>
  <si>
    <t>fanistath@gmail.com</t>
  </si>
  <si>
    <t>ΣΤΑΜΑΤΑΚΗ</t>
  </si>
  <si>
    <t>irene_stam@yahoo.com</t>
  </si>
  <si>
    <t>irinistamataki9@gmail.com</t>
  </si>
  <si>
    <t>mstamataki@sch.gr</t>
  </si>
  <si>
    <t>ΣΤΑΜΑΤΑΚΗΣ</t>
  </si>
  <si>
    <t>dim-stamat@hotmail.com</t>
  </si>
  <si>
    <t>stamds@yahoo.gr</t>
  </si>
  <si>
    <t>ΠΕ85</t>
  </si>
  <si>
    <t>ΧΗΜΙΚΩΝ ΜΗΧΑΝΙΚΩΝ</t>
  </si>
  <si>
    <t>manolis.stamatakis@gmail.com</t>
  </si>
  <si>
    <t>johnstama@windowslive.com</t>
  </si>
  <si>
    <t>ΓΡΗΓΟ</t>
  </si>
  <si>
    <t>nikos74stamatakis@gmail.com</t>
  </si>
  <si>
    <t>ΣΤΑΜΑΤΟΥΛΑΚΗΣ</t>
  </si>
  <si>
    <t>ΧΡΥΣΟΥΛ</t>
  </si>
  <si>
    <t>stamatulakis@gmail.com</t>
  </si>
  <si>
    <t>ΣΤΑΜΕΛΟΣ</t>
  </si>
  <si>
    <t>jstamelos@hotmail.com</t>
  </si>
  <si>
    <t>ΣΤΑΜΟΥ</t>
  </si>
  <si>
    <t>ΣΤΑΥΡΑΚΑΚΗ</t>
  </si>
  <si>
    <t>ΣΤΑΥΡΑΚΑΚΗΣ</t>
  </si>
  <si>
    <t>ΣΤΕΡΕΗ</t>
  </si>
  <si>
    <t>emkstavr@gmail.com</t>
  </si>
  <si>
    <t>ΕΠΑΜΕΙΝΩΝΔΑΣ</t>
  </si>
  <si>
    <t>ΑΙΜΗΛΙΑ</t>
  </si>
  <si>
    <t>ΣΤΑΥΡΑΚΑΝΤΩΝΑΚΗΣ</t>
  </si>
  <si>
    <t>ΣΤΑΥΡΑΚΗ</t>
  </si>
  <si>
    <t>elenistauraki@gmail.com</t>
  </si>
  <si>
    <t>ΣΤΑΥΡΗ</t>
  </si>
  <si>
    <t>ΣΤΑΥΡΙΔΟΥ</t>
  </si>
  <si>
    <t>ΕΛΙΣΑ</t>
  </si>
  <si>
    <t>ΣΤΑΥΡΟΠΟΥΛΟΥ</t>
  </si>
  <si>
    <t>aretistavr@gmail.com</t>
  </si>
  <si>
    <t>ΣΤΑΥΡΟΥΛΑΚΗΣ</t>
  </si>
  <si>
    <t>nikstavroul@gmail.com</t>
  </si>
  <si>
    <t>ΣΤΕΙΑΚΑΚΗ</t>
  </si>
  <si>
    <t>ΔΙΟΜΗΔΗΣ</t>
  </si>
  <si>
    <t>ΣΤΕΙΑΚΑΚΗΣ</t>
  </si>
  <si>
    <t>ksteiakakis@gmail.com</t>
  </si>
  <si>
    <t>ΣΤΕΦΑΝΑΚΗ</t>
  </si>
  <si>
    <t>isministefanaki@gmail.com</t>
  </si>
  <si>
    <t>popistef19@gmail.com</t>
  </si>
  <si>
    <t>ΣΤΕΦΑΝΑΚΗΣ</t>
  </si>
  <si>
    <t>st-ag@cyta.gr</t>
  </si>
  <si>
    <t>mstefanak@sch.gr</t>
  </si>
  <si>
    <t>nistefanakis@gmail.com</t>
  </si>
  <si>
    <t>ΣΤΕΦΑΝΙΔΗΣ</t>
  </si>
  <si>
    <t>ΣΤΕΦΟΥΔΗ</t>
  </si>
  <si>
    <t>astefoudi2014@gmail.com</t>
  </si>
  <si>
    <t>ΣΤΙΒΑΚΤΑΚΗ</t>
  </si>
  <si>
    <t>estivak@sch.gr</t>
  </si>
  <si>
    <t>ΣΤΙΒΑΝΑΚΗΣ</t>
  </si>
  <si>
    <t>stibanakis@gmail.com</t>
  </si>
  <si>
    <t>ΣΤΟΓΙΑΝΝΟΠΟΥΛΟΣ</t>
  </si>
  <si>
    <t>stogiannop@sch.gr</t>
  </si>
  <si>
    <t>ΣΤΟΥΡΝΑΡΑΣ</t>
  </si>
  <si>
    <t>ΧΡΗΣΤΙΝΑ</t>
  </si>
  <si>
    <t>ΣΤΡΑΤΑΚΗ</t>
  </si>
  <si>
    <t>gstratakis@yahoo.com</t>
  </si>
  <si>
    <t>zastrataki@gmail.com</t>
  </si>
  <si>
    <t>ΣΤΡΑΤΑΚΗΣ</t>
  </si>
  <si>
    <t>andreasstrat@yahoo.gr</t>
  </si>
  <si>
    <t>stratakis@students.phl.uoc.gr</t>
  </si>
  <si>
    <t>manstratakis@gmail.com</t>
  </si>
  <si>
    <t>kosstr1@yahoo.gr</t>
  </si>
  <si>
    <t>ΣΤΡΑΤΑΝΤΩΝΑΚΗΣ</t>
  </si>
  <si>
    <t>ΣΤΡΙΛΙΓΚΑΣ</t>
  </si>
  <si>
    <t>striligk@sch.gr</t>
  </si>
  <si>
    <t>ΣΥΓΚΕΛΑΚΗΣ</t>
  </si>
  <si>
    <t>ΓΕΩΡΓΙΟΥ</t>
  </si>
  <si>
    <t>asygelakis@gmail.com</t>
  </si>
  <si>
    <t>ΣΥΚΙΩΤΗ</t>
  </si>
  <si>
    <t>ΣΥΝΤΖΑΝΑΚΗΣ</t>
  </si>
  <si>
    <t>ΣΥΝΤΥΧΑΚΗ</t>
  </si>
  <si>
    <t>ann_crir@yahoo.gr</t>
  </si>
  <si>
    <t>ΣΥΡΙΓΓΑ</t>
  </si>
  <si>
    <t>ΣΥΡΙΓΩΝΑΚΗΣ</t>
  </si>
  <si>
    <t>ΣΦΑΚΙΑΝΑΚΗ</t>
  </si>
  <si>
    <t>ΑΡΤΕΜΗΣΙΑ</t>
  </si>
  <si>
    <t>antonsfak@gmail.com</t>
  </si>
  <si>
    <t>sfakianakirena@gmail.com</t>
  </si>
  <si>
    <t>ΙΩΑΝΝΑ-ΕΙΡΗΝ</t>
  </si>
  <si>
    <t>ΥΒΟΝΗ-ΑΛΙΚΗ</t>
  </si>
  <si>
    <t>sfakioa@ath.forthnet.gr</t>
  </si>
  <si>
    <t>sfaniki@gmail.com</t>
  </si>
  <si>
    <t>ΛΕΥΚΟΘΕΑ</t>
  </si>
  <si>
    <t>ΣΦΑΚΙΑΝΑΚΗΣ</t>
  </si>
  <si>
    <t>ΚΑΛΛ</t>
  </si>
  <si>
    <t>emsfak@sch.gr</t>
  </si>
  <si>
    <t>m_sfakian@yahoo.gr</t>
  </si>
  <si>
    <t>sfakian@otenet.gr</t>
  </si>
  <si>
    <t>ΣΦΑΚΙΩΤΑΚΗΣ</t>
  </si>
  <si>
    <t>sfakiotakis@hotmail.com</t>
  </si>
  <si>
    <t>ΣΦΥΡΑΚΗΣ</t>
  </si>
  <si>
    <t>sfyrakis@otenet.gr</t>
  </si>
  <si>
    <t>239/Γ/21-08-2000</t>
  </si>
  <si>
    <t>ΣΦΥΡΗ</t>
  </si>
  <si>
    <t>sfyrik@otenet.gr</t>
  </si>
  <si>
    <t>ΣΧΙΝΑΣ</t>
  </si>
  <si>
    <t>ΓΕΩΡΓΙΟΣ-ΠΕΡΙΚΛΗΣ</t>
  </si>
  <si>
    <t>ΣΧΟΙΝΑΡΑΚΗ</t>
  </si>
  <si>
    <t>eschinaraki@gmail.com</t>
  </si>
  <si>
    <t>msxinaraki@yahoo.gr</t>
  </si>
  <si>
    <t>ΣΧΟΙΝΑΡΑΚΗΣ</t>
  </si>
  <si>
    <t>ΦΥΛΑΚΤΗ</t>
  </si>
  <si>
    <t>sxoinarakis@gmail.com</t>
  </si>
  <si>
    <t>ΣΧΟΛΙΑΔΟΥ</t>
  </si>
  <si>
    <t>sxoliadou2@gmail.com</t>
  </si>
  <si>
    <t>ΣΩΜΑΡΑΚΗ</t>
  </si>
  <si>
    <t>ΣΩΠΑΣΗ</t>
  </si>
  <si>
    <t>mariasopasi@gmail.com</t>
  </si>
  <si>
    <t>ΣΩΡΟΥ</t>
  </si>
  <si>
    <t>elen.sorou@gmail.com</t>
  </si>
  <si>
    <t>ΣΩΤΗΡΙΑΔΟΥ</t>
  </si>
  <si>
    <t>ΔΟΜΙΝΙΚΗ</t>
  </si>
  <si>
    <t>dominic@hostsun.com</t>
  </si>
  <si>
    <t>ΤΑΒΛΑΔΩΡΑΚΗ</t>
  </si>
  <si>
    <t>katrinta@yahoo.gr</t>
  </si>
  <si>
    <t>ΤΑΚΑ</t>
  </si>
  <si>
    <t>ΧΑΙΔΩ</t>
  </si>
  <si>
    <t>ΤΑΚΑΚΗ</t>
  </si>
  <si>
    <t>nata.athan@gmail.com</t>
  </si>
  <si>
    <t>ΤΑΚΤΙΚΑΚΗ</t>
  </si>
  <si>
    <t>ΤΑΜΙΩΛΑΚΗ</t>
  </si>
  <si>
    <t>tamar@otenet.gr</t>
  </si>
  <si>
    <t>ΤΑΜΙΩΛΑΚΗΣ</t>
  </si>
  <si>
    <t>ΓΕΩΡΓ</t>
  </si>
  <si>
    <t>ΤΑΜΠΑΚΑΚΗ</t>
  </si>
  <si>
    <t>r.tampakaki@gmail.com</t>
  </si>
  <si>
    <t>ΤΑΜΠΟΥΡΑΤΖΗ</t>
  </si>
  <si>
    <t>zachtamp@gmail.com</t>
  </si>
  <si>
    <t>49/Γ/05-03-2003</t>
  </si>
  <si>
    <t>ΤΑΧΑΤΑΚΗ</t>
  </si>
  <si>
    <t>ΑΝΝΑ-ΑΡΓΥΡΗ</t>
  </si>
  <si>
    <t>a.tachataki@gmail.com</t>
  </si>
  <si>
    <t>ΤΕΓΟΠΟΥΛΟΣ</t>
  </si>
  <si>
    <t>ΙΣΑΑΚ</t>
  </si>
  <si>
    <t>akistegopoulos@yahoo.gr</t>
  </si>
  <si>
    <t>ΤΕΚΟΝΑΚΗ</t>
  </si>
  <si>
    <t>tekonaki.maria@gmail.com</t>
  </si>
  <si>
    <t>ΤΕΛΑΚΗ</t>
  </si>
  <si>
    <t>despoina.telaki@yahoo.gr</t>
  </si>
  <si>
    <t>ΤΕΡΖΑΚΗ</t>
  </si>
  <si>
    <t>terma@hotmail.com</t>
  </si>
  <si>
    <t>ΤΕΡΖΑΚΗΣ</t>
  </si>
  <si>
    <t>vterzakis@sch.gr</t>
  </si>
  <si>
    <t>ΑΙΚΑΤΕΡΙ</t>
  </si>
  <si>
    <t>ΤΕΡΖΗ</t>
  </si>
  <si>
    <t>ΤΖΑΒΛΑΚΗ</t>
  </si>
  <si>
    <t>etzavlaki@yahoo.gr</t>
  </si>
  <si>
    <t>ΤΖΑΓΚΑΡΑΚΗ</t>
  </si>
  <si>
    <t>marinatz78@hotmail.com</t>
  </si>
  <si>
    <t>ΤΖΑΝΑΚΗ</t>
  </si>
  <si>
    <t>eletzanaki@gmail.com</t>
  </si>
  <si>
    <t>ΤΖΑΝΑΚΗ ΔΡΙΜΙΣΚΙΑΝΑΚΗ</t>
  </si>
  <si>
    <t>ΤΖΑΝΑΚΗ-ΑΡΝΑΟΥΤΑΚΗ</t>
  </si>
  <si>
    <t>ΤΖΑΝΑΚΗΣ</t>
  </si>
  <si>
    <t>ktzanakisnet@gmail.com</t>
  </si>
  <si>
    <t>ΤΖΑΝΑΚΟΥ</t>
  </si>
  <si>
    <t>ΤΖΑΝΙΔΑΚΗ</t>
  </si>
  <si>
    <t>tzanidakidespoina@gmail.com</t>
  </si>
  <si>
    <t>ΤΖΑΡΔΗΣ</t>
  </si>
  <si>
    <t>st.tzardis@gmail.com</t>
  </si>
  <si>
    <t>ΤΖΑΤΖΑΔΑΚΗΣ</t>
  </si>
  <si>
    <t>geisterseher@live.com</t>
  </si>
  <si>
    <t>ΤΖΕΡΜΙΑ</t>
  </si>
  <si>
    <t>ΤΙΤΟΣ</t>
  </si>
  <si>
    <t>ΤΖΙΑΚΗΣ</t>
  </si>
  <si>
    <t>ΤΖΙΑΜΠΑΖΗΣ</t>
  </si>
  <si>
    <t>tziabazis@gmail.com</t>
  </si>
  <si>
    <t>ΤΖΙΒΑΡΑ</t>
  </si>
  <si>
    <t>elina_75@yahoo.com</t>
  </si>
  <si>
    <t>ΤΖΙΜΠΡΑΓΟΣ</t>
  </si>
  <si>
    <t>geotzik@gmail.com</t>
  </si>
  <si>
    <t>ΤΖΙΟΜΑΚΗ</t>
  </si>
  <si>
    <t>ΤΖΙΡΑΚΗ</t>
  </si>
  <si>
    <t>tzirakmar@hotmail.com</t>
  </si>
  <si>
    <t>ΤΖΙΡΑΚΗΣ</t>
  </si>
  <si>
    <t>tziris@sch.gr</t>
  </si>
  <si>
    <t>ΤΖΙΡΙΤΑΣ</t>
  </si>
  <si>
    <t>emtzir@yahoo.gr</t>
  </si>
  <si>
    <t>ΤΖΙΩΤΗΣ</t>
  </si>
  <si>
    <t>83/Γ'/08-05-1998</t>
  </si>
  <si>
    <t>ΤΖΟΒΑ</t>
  </si>
  <si>
    <t>elenitz77@yahoo.gr</t>
  </si>
  <si>
    <t>ΤΖΟΓΑΝΑΚΗΣ</t>
  </si>
  <si>
    <t>ktzogan@sch.gr</t>
  </si>
  <si>
    <t>ΤΖΟΜΠΑΝΑΚΗ</t>
  </si>
  <si>
    <t>euatzo@gmail.com</t>
  </si>
  <si>
    <t>ΤΖΟΜΠΑΝΑΚΗΣ</t>
  </si>
  <si>
    <t>ΤΖΟΡΜΠΑΤΖΑΚΗ</t>
  </si>
  <si>
    <t>ΤΖΟΥΒΑΡΑ</t>
  </si>
  <si>
    <t>ΔΗΜΗΤΡΟ</t>
  </si>
  <si>
    <t>tzouvara@hotmail.com</t>
  </si>
  <si>
    <t>ΤΖΟΥΡΜΠΑΚΗΣ</t>
  </si>
  <si>
    <t>tzurbak@gmail.com</t>
  </si>
  <si>
    <t>ΤΖΩΡΜΠΑΤΖΑΚΗ</t>
  </si>
  <si>
    <t>tzormari@sch.gr</t>
  </si>
  <si>
    <t>ΤΖΩΡΜΠΑΤΖΑΚΗΣ</t>
  </si>
  <si>
    <t>ΑΛΕΞΗΣ</t>
  </si>
  <si>
    <t>tzorba@freemail.gr</t>
  </si>
  <si>
    <t>ΤΖΩΡΤΖΑΚΑΚΗΣ</t>
  </si>
  <si>
    <t>ΤΖΩΡΤΖΑΚΗ</t>
  </si>
  <si>
    <t>eltzortzaki@gmail.com</t>
  </si>
  <si>
    <t>ΤΖΩΡΤΖΑΤΟΥ</t>
  </si>
  <si>
    <t>manosmaria46@gmail.com</t>
  </si>
  <si>
    <t>ΤΙΓΚΑ</t>
  </si>
  <si>
    <t>anthitiga@gmail.com</t>
  </si>
  <si>
    <t>ΤΙΜΠΛΑΛΕΞΗ</t>
  </si>
  <si>
    <t>ΤΙΤΑΚΗΣ</t>
  </si>
  <si>
    <t>vagtitakis@yahoo.gr</t>
  </si>
  <si>
    <t>ΤΙΤΟΜΙΧΕΛΑΚΗ</t>
  </si>
  <si>
    <t>titomichelakichry@gmail.com</t>
  </si>
  <si>
    <t>ΤΟΚΑΜΑΝΗΣ</t>
  </si>
  <si>
    <t>ΠΑΓΩΝ</t>
  </si>
  <si>
    <t>ΤΟΛΙΟΥ</t>
  </si>
  <si>
    <t>antgiov@sch.gr</t>
  </si>
  <si>
    <t>ΤΟΥΛΑΚΗ</t>
  </si>
  <si>
    <t>ΔΡΟΣΟΥΛΑ</t>
  </si>
  <si>
    <t>dimitratoulaki@gmail.com</t>
  </si>
  <si>
    <t>ΤΟΥΜΑΝΙΔΗΣ</t>
  </si>
  <si>
    <t>ntouman@sch.gr</t>
  </si>
  <si>
    <t>ΤΟΥΜΠΑΝΙΑΡΗΣ</t>
  </si>
  <si>
    <t>pantou@pantou.gr</t>
  </si>
  <si>
    <t>ΤΟΥΝΗΣ</t>
  </si>
  <si>
    <t>nectounis.ptol@gmail.com</t>
  </si>
  <si>
    <t>ΤΟΥΠΟΓΙΑΝΝΗ</t>
  </si>
  <si>
    <t>ΙΩΑΝΝΗΣ ΠΛΟΥΤΑΡΧΟΣ</t>
  </si>
  <si>
    <t>mtoupoyanni@hotmail.com</t>
  </si>
  <si>
    <t>ΤΟΥΡΑΜΠΕΛΗΣ</t>
  </si>
  <si>
    <t>michaeltourabelis@yahoo.gr</t>
  </si>
  <si>
    <t>ΤΟΥΤΟΥΔΑΚΗ</t>
  </si>
  <si>
    <t>toutoudakim@gmail.com</t>
  </si>
  <si>
    <t>ΤΟΥΤΟΥΔΑΚΗΣ</t>
  </si>
  <si>
    <t>toutoudakis@sch.gr</t>
  </si>
  <si>
    <t>ΤΟΥΤΟΥΝΤΖΑΚΗ</t>
  </si>
  <si>
    <t>fofaki.823@gmail.com</t>
  </si>
  <si>
    <t>raniatoutou@gmail.com</t>
  </si>
  <si>
    <t>ΤΡΕΒΛΑΣ</t>
  </si>
  <si>
    <t>tr.panas@gmail.com</t>
  </si>
  <si>
    <t>ΤΡΕΥΛΑΚΗΣ</t>
  </si>
  <si>
    <t>gcrazymath@gmail.com</t>
  </si>
  <si>
    <t>ΤΡΙΑΝΤΑΦΥΛΛΟΥ</t>
  </si>
  <si>
    <t>ΓΙΑΣΕΜΩ</t>
  </si>
  <si>
    <t>gitrianta@sch.gr</t>
  </si>
  <si>
    <t>ΤΡΙΓΩΝΗ</t>
  </si>
  <si>
    <t>ΤΡΙΚΑΛΗΣ</t>
  </si>
  <si>
    <t>ΤΡΟΥΛΗ</t>
  </si>
  <si>
    <t>trouli.stella@gmail.com</t>
  </si>
  <si>
    <t>ΤΣΑΓΚΑΡΑΚΗ</t>
  </si>
  <si>
    <t>atsagaraki@gmail.com</t>
  </si>
  <si>
    <t>argirotsagaraki@yahoo.com</t>
  </si>
  <si>
    <t>evatsag@sch.gr</t>
  </si>
  <si>
    <t>mtartsagar@yahoo.gr</t>
  </si>
  <si>
    <t>tsagarakimaria@yahoo.com</t>
  </si>
  <si>
    <t>maritsa@sch.gr</t>
  </si>
  <si>
    <t>mariatsag09@hotmail.com</t>
  </si>
  <si>
    <t>mtsagkaraki@yahoo.gr</t>
  </si>
  <si>
    <t>ΤΣΑΓΚΑΡΑΚΗΣ</t>
  </si>
  <si>
    <t>Αποσπασμένος στο Εξωτερικό</t>
  </si>
  <si>
    <t>vtsangarakis@gmail.com</t>
  </si>
  <si>
    <t>kontsagar@yahoo.gr</t>
  </si>
  <si>
    <t>ΤΣΑΓΚΑΤΑΚΗ</t>
  </si>
  <si>
    <t>ΤΣΑΓΚΑΤΑΚΗ ΑΧΙΛΛΕΩΣ</t>
  </si>
  <si>
    <t>ΤΣΑΓΚΟΥΡΝΗ</t>
  </si>
  <si>
    <t>ΤΣΑΓΡΑΚΗΣ</t>
  </si>
  <si>
    <t>geotsagrakis@gmail.com</t>
  </si>
  <si>
    <t>ΤΣΑΚΙΡΕΛΗ</t>
  </si>
  <si>
    <t>atsakireli@gmail.com</t>
  </si>
  <si>
    <t>ΤΣΑΚΟΥ</t>
  </si>
  <si>
    <t>liaftt@yahoo.com</t>
  </si>
  <si>
    <t>ΤΣΑΛΟΥΧΙΔΗΣ</t>
  </si>
  <si>
    <t>hvarvara@in.gr</t>
  </si>
  <si>
    <t>ΤΣΑΜΑΝΔΟΥΡΑ</t>
  </si>
  <si>
    <t>rozina_g_tsam@yahoo.gr</t>
  </si>
  <si>
    <t>ΤΣΑΜΑΝΔΟΥΡΑΣ</t>
  </si>
  <si>
    <t>ΤΣΑΜΠΟΥΡΗΣ</t>
  </si>
  <si>
    <t>ΤΣΑΝΑΚΑ</t>
  </si>
  <si>
    <t>ΤΣΑΝΤΑΚΗ ΤΖΕΔΑΚΗ</t>
  </si>
  <si>
    <t>stamtsantaki@yahoo.gr</t>
  </si>
  <si>
    <t>ΤΣΑΟΥΣΗ</t>
  </si>
  <si>
    <t>tsaousi.lila@gmail.com</t>
  </si>
  <si>
    <t>ΤΣΑΠΑΚΗ</t>
  </si>
  <si>
    <t>ΜΙΧΑΗ</t>
  </si>
  <si>
    <t>eltsapaki@gmail.com</t>
  </si>
  <si>
    <t>ΤΣΑΡΔΑΚΑΣ</t>
  </si>
  <si>
    <t>ntsardakas@yahoo.gr</t>
  </si>
  <si>
    <t>ΠΕ88.03.50</t>
  </si>
  <si>
    <t>ΖΩΙΚΗΣ ΠΑΡΑΓΩΓΗΣ ΕΙΔΙΚΗΣ ΑΓΩΓΗΣ</t>
  </si>
  <si>
    <t>ΤΣΑΤΣΑΚΗ</t>
  </si>
  <si>
    <t>vasoula_fighter@yahoo.gr</t>
  </si>
  <si>
    <t>ΤΣΑΤΣΑΚΗΣ</t>
  </si>
  <si>
    <t>antsa2kis@gmail.com</t>
  </si>
  <si>
    <t>ΤΣΑΤΣΑΡΑΚΗΣ</t>
  </si>
  <si>
    <t>ΑΓΑΠΗΤΗ</t>
  </si>
  <si>
    <t>tsatsarak@sch.gr</t>
  </si>
  <si>
    <t>ΤΣΑΤΣΗ</t>
  </si>
  <si>
    <t>melintsa@yahoo.gr</t>
  </si>
  <si>
    <t>ΤΣΑΧΑΚΗ</t>
  </si>
  <si>
    <t>ΜΑΓΔΑΛΙ</t>
  </si>
  <si>
    <t>aria-tsahaki@hotmail.com</t>
  </si>
  <si>
    <t>ΖΑΦΕΙΡΕΝΙΑ</t>
  </si>
  <si>
    <t>elen.tsax@gmail.com</t>
  </si>
  <si>
    <t>ΤΣΕΚΟΥΡΑΣ</t>
  </si>
  <si>
    <t>ioannis_tsekouras@yahoo.gr</t>
  </si>
  <si>
    <t>ΤΣΙΓΑΡΙΔΑΣ</t>
  </si>
  <si>
    <t>ΤΣΙΓΓΕΝΗ</t>
  </si>
  <si>
    <t>ΤΣΙΓΚΕΝΗΣ</t>
  </si>
  <si>
    <t>ΤΣΙΚΑΛΑΣ</t>
  </si>
  <si>
    <t>ΕΜΜΑΝ</t>
  </si>
  <si>
    <t>aptsikalas@yahoo.gr</t>
  </si>
  <si>
    <t>ΤΣΙΚΝΑΚΗ</t>
  </si>
  <si>
    <t>stratidakis2000@yahoo.gr</t>
  </si>
  <si>
    <t>ΤΣΙΚΡΙΤΣΑΚΗΣ</t>
  </si>
  <si>
    <t>tsikrgior@yahoo.gr</t>
  </si>
  <si>
    <t>ΤΣΙΚΡΙΤΣΗΣ</t>
  </si>
  <si>
    <t>ΤΣΙΛΙΜΙΓΚΟΥΝΑΚΗΣ</t>
  </si>
  <si>
    <t>ΑΡΙΣΤΟΣ</t>
  </si>
  <si>
    <t>sofiastefanak@yahoo.com</t>
  </si>
  <si>
    <t>ΤΣΙΜΠΛΟΣΤΕΦΑΝΑΚΗ</t>
  </si>
  <si>
    <t>katerina.tsimplo@gmail.com</t>
  </si>
  <si>
    <t>ΤΣΙΡΑΜΠΙΔΟΥ</t>
  </si>
  <si>
    <t>etsiram@hotmail.com</t>
  </si>
  <si>
    <t>ΤΣΙΡΙΓΩΤΑΚΗ</t>
  </si>
  <si>
    <t>ΤΣΙΡΙΚΟΥΔΗΣ</t>
  </si>
  <si>
    <t>ΑΝΕΣΤ</t>
  </si>
  <si>
    <t>tsianton@yahoo.gr</t>
  </si>
  <si>
    <t>ΤΣΙΤΟΥΡΗΣ</t>
  </si>
  <si>
    <t>tsitouris79@yahoo.com</t>
  </si>
  <si>
    <t>ΤΣΙΩΚΟΥ</t>
  </si>
  <si>
    <t>ΑΡΤΕΜΗΣ</t>
  </si>
  <si>
    <t>ma.tsio@hotmail.com</t>
  </si>
  <si>
    <t>ΤΣΟΛΑΚΙΔΗΣ</t>
  </si>
  <si>
    <t>ktsolakid@gmail.com</t>
  </si>
  <si>
    <t>ΤΣΟΛΑΚΙΔΟΥ</t>
  </si>
  <si>
    <t>dtsolakidou@yahoo.com</t>
  </si>
  <si>
    <t>ΤΣΟΜΠΑΝΟΠΟΥΛΟΥ</t>
  </si>
  <si>
    <t>vana.tsompanopoulou@gmail.com</t>
  </si>
  <si>
    <t>ΤΣΟΥΜΠΟΥ</t>
  </si>
  <si>
    <t>ΕΙΡΗΝ</t>
  </si>
  <si>
    <t>antonia@4travel.ws</t>
  </si>
  <si>
    <t>231/Γ/31-08-2004</t>
  </si>
  <si>
    <t>ΤΣΟΥΡΑΚΑΚΗΣ</t>
  </si>
  <si>
    <t>michalistsourakakis@gmail.com</t>
  </si>
  <si>
    <t>ΤΣΟΥΤΣΟΥΔΑΚΗΣ</t>
  </si>
  <si>
    <t>astrinos@live.com</t>
  </si>
  <si>
    <t>ΤΣΟΧΑΣ</t>
  </si>
  <si>
    <t>ΑΙΚAΤΕΡΙΝΗ</t>
  </si>
  <si>
    <t>dtsochas@yahoo.gr</t>
  </si>
  <si>
    <t>ΤΥΛΛΙΑΝΑΚΗΣ</t>
  </si>
  <si>
    <t>tyllman@gmail.com</t>
  </si>
  <si>
    <t>ΤΥΜΠΑΚΙΑΝΑΚΗΣ</t>
  </si>
  <si>
    <t>ΑΙΜΙΛΙΟΣ</t>
  </si>
  <si>
    <t>taimilios@yahoo.gr</t>
  </si>
  <si>
    <t>ΦΑΛΚΩΝΗΣ</t>
  </si>
  <si>
    <t>ΦΑΝΔΙΝΑΚΗ</t>
  </si>
  <si>
    <t>kfandinaki@gmail.com</t>
  </si>
  <si>
    <t>ΦΑΝΙΟΥΔΑΚΗ</t>
  </si>
  <si>
    <t>fena92@sch.gr</t>
  </si>
  <si>
    <t>fanioudaki.Ioanna@gmail.com</t>
  </si>
  <si>
    <t>ΦΑΝΟΥΡΑΚΗ</t>
  </si>
  <si>
    <t>elpifan@hotmail.com</t>
  </si>
  <si>
    <t>ΦΑΝΟΥΡΑΚΗΣ</t>
  </si>
  <si>
    <t>fanourakis.georgios@yahoo.gr</t>
  </si>
  <si>
    <t>DIMFAN@ATH.FORTHNET.GR</t>
  </si>
  <si>
    <t>60/Γ'/15-03-1995</t>
  </si>
  <si>
    <t>manolisfan@yahoo.gr</t>
  </si>
  <si>
    <t>ΦΑΝΟΥΡΙΑΚΗΣ</t>
  </si>
  <si>
    <t>dfanouriakis@gmail.com</t>
  </si>
  <si>
    <t>ΦΑΡΣΑΡΗ ΖΑΧΑΡΑΚΗ</t>
  </si>
  <si>
    <t>ΚΡΗΤΗ</t>
  </si>
  <si>
    <t>souzanafarsari@gmail.com</t>
  </si>
  <si>
    <t>ΦΑΡΣΑΡΗΣ</t>
  </si>
  <si>
    <t>giannis.farsaris@gmail.com</t>
  </si>
  <si>
    <t>mariakatsouraki@yahoo.gr</t>
  </si>
  <si>
    <t>ΦΑΣΟΥΛΑ</t>
  </si>
  <si>
    <t>renafas@gmail.com</t>
  </si>
  <si>
    <t>ΦΑΣΟΥΛΑΚΗ</t>
  </si>
  <si>
    <t>m_fasoulaki@hotmail.com</t>
  </si>
  <si>
    <t>mariaf7568@gmail.com</t>
  </si>
  <si>
    <t>mfasoul3@gmail.com</t>
  </si>
  <si>
    <t>fasmen2016@gmail.com</t>
  </si>
  <si>
    <t>ΦΑΣΟΥΛΑΣ</t>
  </si>
  <si>
    <t>ΦΑΣΟΥΡΑ</t>
  </si>
  <si>
    <t>ΦΑΤΣΗ</t>
  </si>
  <si>
    <t>afatsi@yahoo.com</t>
  </si>
  <si>
    <t>ΦΕΡΓΑΔΑΚΗΣ</t>
  </si>
  <si>
    <t>mfergad@hotmail.com</t>
  </si>
  <si>
    <t>ΦΕΡΓΑΔΙΩΤΗΣ</t>
  </si>
  <si>
    <t>ΒΑΛΕΝ</t>
  </si>
  <si>
    <t>fergadioti@sch.gr</t>
  </si>
  <si>
    <t>ΦΕΣΤΕΡΙΔΟΥ</t>
  </si>
  <si>
    <t>ΛΑΜΠΡΙΝΟ</t>
  </si>
  <si>
    <t>festetheo@yahoo.gr</t>
  </si>
  <si>
    <t>ΦΘΕΝΑΚΗ</t>
  </si>
  <si>
    <t>ΦΙΛΗ</t>
  </si>
  <si>
    <t>ΦΙΛΙΠΠΑΚΗ</t>
  </si>
  <si>
    <t>ifilippaki@yahoo.gr</t>
  </si>
  <si>
    <t>ΦΙΛΙΠΠΑΚΗΣ</t>
  </si>
  <si>
    <t>ΦΙΛΙΠΠΙΔΟΥ</t>
  </si>
  <si>
    <t>annafilipid@gmail.com</t>
  </si>
  <si>
    <t>ΦΙΛΙΠΠΟΥ</t>
  </si>
  <si>
    <t>ΟΛΓΑ-ΕΥΓΕΝΙΑ</t>
  </si>
  <si>
    <t>eugeniafilippa@yahoo.com</t>
  </si>
  <si>
    <t>ΦΙΟΛΙΤΑΚΗ</t>
  </si>
  <si>
    <t>mfiolitaki@gmail.com</t>
  </si>
  <si>
    <t>ΦΙΤΣΟΔΑΣΚΑΛΑΚΗ</t>
  </si>
  <si>
    <t>f.zabia@gmail.com</t>
  </si>
  <si>
    <t>ΦΛΟΥΡΗ</t>
  </si>
  <si>
    <t>georgiafl10@gmail.com</t>
  </si>
  <si>
    <t>ΦΛΟΥΡΗΣ</t>
  </si>
  <si>
    <t>ΦΛΩΡΟΥ</t>
  </si>
  <si>
    <t>ΑΓΓΓΕΛΙΚΗ</t>
  </si>
  <si>
    <t>v.florou@hotmail.com</t>
  </si>
  <si>
    <t>ΦΟΥΚΑΔΑΚΗΣ</t>
  </si>
  <si>
    <t>gfoukada@gmail.com</t>
  </si>
  <si>
    <t>ΦΟΥΚΑΚΗ</t>
  </si>
  <si>
    <t>zfoykaki@gmail.com</t>
  </si>
  <si>
    <t>ΦΟΥΚΑΡΑΚΗ</t>
  </si>
  <si>
    <t>ΚΡΟΥΣΤΑΛΕΝΙΑ</t>
  </si>
  <si>
    <t>irenfouk@yahoo.gr</t>
  </si>
  <si>
    <t>mfoukaraki@hotmail.com</t>
  </si>
  <si>
    <t>ΦΟΥΝΤΑ</t>
  </si>
  <si>
    <t>gefou@hotmail.gr</t>
  </si>
  <si>
    <t>ΦΟΥΝΤΟΥΛΑΚΗ</t>
  </si>
  <si>
    <t>foudoulaki@sch.gr</t>
  </si>
  <si>
    <t>mecplan@gmail.com</t>
  </si>
  <si>
    <t>ΦΟΥΡΝΑΡΗΣ</t>
  </si>
  <si>
    <t>gfournaris@yahoo.gr</t>
  </si>
  <si>
    <t>ΦΟΥΡΦΗ ΤΣΙΚΑΝΔΗΛΑΚΗ</t>
  </si>
  <si>
    <t>mariafourfi@yahoo.gr</t>
  </si>
  <si>
    <t>ΦΟΥΣΚΗΣ</t>
  </si>
  <si>
    <t>ΓΑΡΥΦΑΛ</t>
  </si>
  <si>
    <t>ΦΟΥΣΤΑΝΑΚΗΣ</t>
  </si>
  <si>
    <t>gfoustan@yahoo.gr</t>
  </si>
  <si>
    <t>127/Γ/08-05-2001</t>
  </si>
  <si>
    <t>babisfoustanakis@gmail.com</t>
  </si>
  <si>
    <t>ΦΟΥΤΣΙΤΖΗ</t>
  </si>
  <si>
    <t>ΖΩΓΡΑΦΩ</t>
  </si>
  <si>
    <t>efoutsitzi@gmail.com</t>
  </si>
  <si>
    <t>ΦΡΑΓΚΑΚΗΣ</t>
  </si>
  <si>
    <t>kioto01@gmail.com</t>
  </si>
  <si>
    <t>ΦΡΑΓΚΙΑΔΑΚΗ</t>
  </si>
  <si>
    <t>efrag@otenet.gr</t>
  </si>
  <si>
    <t>evifragiad@gmail.com</t>
  </si>
  <si>
    <t>maria@tradecenter.gr</t>
  </si>
  <si>
    <t>sofiafrag79@yahoo.gr</t>
  </si>
  <si>
    <t>ΦΡΑΓΚΙΑΔΑΚΗΣ</t>
  </si>
  <si>
    <t>fragiadogiannis@gmail.com</t>
  </si>
  <si>
    <t>nifragkiad@sch.gr</t>
  </si>
  <si>
    <t>ΦΡΑΓΚΙΑΔΟΥΛΑΚΗ</t>
  </si>
  <si>
    <t>despoinafrag@yahoo.gr</t>
  </si>
  <si>
    <t>ΦΡΑΓΚΙΑΔΟΥΛΑΚΗΣ</t>
  </si>
  <si>
    <t>sfragiad@yahoo.gr</t>
  </si>
  <si>
    <t>ΦΡΑΓΚΙΟΥΔΑΚΗ</t>
  </si>
  <si>
    <t>renafrag@msn.com</t>
  </si>
  <si>
    <t>ΑΝΑΣΤΑΣΙΑ-ΕΥΑΓΓΕΛΙΑ</t>
  </si>
  <si>
    <t>kalliafragkioudaki@yahoo.gr</t>
  </si>
  <si>
    <t>ΦΡΑΓΚΟΥΛΑΚΗ</t>
  </si>
  <si>
    <t>efifragkoulaki@gmail.com</t>
  </si>
  <si>
    <t>ΦΡΑΓΚΟΥΛΗ</t>
  </si>
  <si>
    <t>magda_creta@yahoo.gr</t>
  </si>
  <si>
    <t>ΦΡΑΓΚΟΥΛΙΔΑΚΗΣ</t>
  </si>
  <si>
    <t>ΕΥΡΙΔΙΚΗ</t>
  </si>
  <si>
    <t>ΦΡΑΙΔΑΚΗ</t>
  </si>
  <si>
    <t>mmarak@cs.teicrete.gr</t>
  </si>
  <si>
    <t>ΦΡΕΣΚΑΚΗΣ</t>
  </si>
  <si>
    <t>ΦΡΟΥΔΑΡΑΚΗ</t>
  </si>
  <si>
    <t>faee73@gmail.com</t>
  </si>
  <si>
    <t>ΦΤΟΥΛΗ</t>
  </si>
  <si>
    <t>ΦΥΡΑΡΙΔΟΥ</t>
  </si>
  <si>
    <t>ΠΕ88.05.50</t>
  </si>
  <si>
    <t>ΦΥΣΙΚΟΥ ΠΕΡΙΒΑΛΛΟΝΤΟΣ ΕΙΔΙΚΗΣ ΑΓΩΓΗΣ</t>
  </si>
  <si>
    <t>ΦΥΤΡΟΥ</t>
  </si>
  <si>
    <t>ΧΡΙΣΤΟΦΟΡΑ</t>
  </si>
  <si>
    <t>ΣΟΛΟΜΩΝ</t>
  </si>
  <si>
    <t>xrisafy@yahoo.gr</t>
  </si>
  <si>
    <t>ΦΩΤΕΙΑΔΟΥ</t>
  </si>
  <si>
    <t>ΠΕΤΡΟΥΛΑ</t>
  </si>
  <si>
    <t>xfoteiadou@sch.gr</t>
  </si>
  <si>
    <t>ΧΑΔΗΡΟΓΛΟΥ</t>
  </si>
  <si>
    <t>ΒΕΝΕΤΙΑ</t>
  </si>
  <si>
    <t>ΧΑΙΡΕΤΑΚΗ</t>
  </si>
  <si>
    <t>mheretaki@sch.gr</t>
  </si>
  <si>
    <t>ΧΑΙΡΕΤΗ</t>
  </si>
  <si>
    <t>an.chaireti@gmail.com</t>
  </si>
  <si>
    <t>manolitsakik@yahoo.gr</t>
  </si>
  <si>
    <t>ΧΑΙΡΕΤΗΣ</t>
  </si>
  <si>
    <t>epheretis@yahoo.gr</t>
  </si>
  <si>
    <t>ΧΑΛΑΜΠΑΛΑΚΗΣ</t>
  </si>
  <si>
    <t>gbaghalamp@gmail.com</t>
  </si>
  <si>
    <t>ΧΑΛΚΙΑ</t>
  </si>
  <si>
    <t>natasachalkia@gmail.com</t>
  </si>
  <si>
    <t>ΧΑΛΚΙΑΔΑΚΗ</t>
  </si>
  <si>
    <t>katerinahalkiadaki@hotmail.com</t>
  </si>
  <si>
    <t>Katerina.Chalkiadaki@gmail.com</t>
  </si>
  <si>
    <t>eliza@tol.com.gr</t>
  </si>
  <si>
    <t>fanichalk@gmail.com</t>
  </si>
  <si>
    <t>ΧΑΛΚΙΑΔΑΚΗΣ</t>
  </si>
  <si>
    <t>ichalkiadakis@gmail.com</t>
  </si>
  <si>
    <t>ΧΑΜΑΛΑΚΗ</t>
  </si>
  <si>
    <t>ΜΕΛΤΙΝΗ</t>
  </si>
  <si>
    <t>ΧΑΜΕΤΗ</t>
  </si>
  <si>
    <t>renahameti@yahoo.gr</t>
  </si>
  <si>
    <t>ΧΑΝΙΩΤΑΚΗ</t>
  </si>
  <si>
    <t>haniotaki_argyro@yahoo.gr</t>
  </si>
  <si>
    <t>ΧΑΝΤΖΗ</t>
  </si>
  <si>
    <t>Hantziagapi@gmail.com</t>
  </si>
  <si>
    <t>ΧΑΡΑΛΑΜΠΑΚΗ</t>
  </si>
  <si>
    <t>antonia.xar@hotmail.gr</t>
  </si>
  <si>
    <t>areti.xar@hotmail.gr</t>
  </si>
  <si>
    <t>mchar2012@yahoo.gr</t>
  </si>
  <si>
    <t>charalampakiefi@yahoo.gr</t>
  </si>
  <si>
    <t>xaraxristina@gmail.com</t>
  </si>
  <si>
    <t>ΧΑΡΑΛΑΜΠΑΚΗΣ</t>
  </si>
  <si>
    <t>ΧΑΡΑΛΑΜΠΙΔΟΥ</t>
  </si>
  <si>
    <t>xaradespo@gmail.com</t>
  </si>
  <si>
    <t>charalap@gmail.com</t>
  </si>
  <si>
    <t>ΧΑΡΑΜΗΣ</t>
  </si>
  <si>
    <t>kyrchar7@yahoo.gr</t>
  </si>
  <si>
    <t>ΧΑΡΔΑΚΗ</t>
  </si>
  <si>
    <t>dchardaki@sch.gr</t>
  </si>
  <si>
    <t>ΧΑΡΙΑΤΗ</t>
  </si>
  <si>
    <t>ΑΡΤΕΜΙΣΙA</t>
  </si>
  <si>
    <t>dionysia@chariatis.com</t>
  </si>
  <si>
    <t>ΧΑΡΙΟΠΟΛΙΤΟΥ</t>
  </si>
  <si>
    <t>cathchariopolitou@yahoo.com</t>
  </si>
  <si>
    <t>ΧΑΡΙΤΑΚΗ</t>
  </si>
  <si>
    <t>haritakimar@gmail.com</t>
  </si>
  <si>
    <t>ΧΑΡΙΤΑΚΗΣ</t>
  </si>
  <si>
    <t>ΧΑΡΙΔΗΜΟ</t>
  </si>
  <si>
    <t>teacher@ych.gr</t>
  </si>
  <si>
    <t>ΧΑΡΚΙΩΤΑΚΗ</t>
  </si>
  <si>
    <t>acharkiotaki@sch.gr</t>
  </si>
  <si>
    <t>ΧΑΡΚΟΥΤΣΑΚΗ</t>
  </si>
  <si>
    <t>ΧΑΡΜΠΑ</t>
  </si>
  <si>
    <t>chamba.stella@gmail.com</t>
  </si>
  <si>
    <t>ΧΑΣΚΟΣ</t>
  </si>
  <si>
    <t>ΧΑΣΟΥΡΑΚΗΣ</t>
  </si>
  <si>
    <t>ΑΡΙΣΤΟΜΕΝΗΣ</t>
  </si>
  <si>
    <t>nikoschasourakis@yahoo.com</t>
  </si>
  <si>
    <t>ΧΑΤΖΑΚΗ</t>
  </si>
  <si>
    <t>fotis@physics.uoc.gr</t>
  </si>
  <si>
    <t>hatzakal@gmail.com</t>
  </si>
  <si>
    <t>ΧΑΤΖΑΚΗΣ</t>
  </si>
  <si>
    <t>xatzakis.g94@gmail.com</t>
  </si>
  <si>
    <t>kxatz159@gmail.com</t>
  </si>
  <si>
    <t>pinakiano@gmail.com</t>
  </si>
  <si>
    <t>ΧΑΤΖΑΝΤΩΝΑΚΗ</t>
  </si>
  <si>
    <t>ΧΑΤΖΗΑΝΤΩΝΙΟΥ</t>
  </si>
  <si>
    <t>ΧΑΤΖΗΑΠΟΣΤΟΛΟΥ</t>
  </si>
  <si>
    <t>mchatzia@theo.auth.gr</t>
  </si>
  <si>
    <t>ΧΑΤΖΗΒΑΣΙΛΗ</t>
  </si>
  <si>
    <t>ΧΑΤΖΗΓΕΩΡΓΙΟΥ</t>
  </si>
  <si>
    <t>g1chatzis@yahoo.gr</t>
  </si>
  <si>
    <t>ΧΑΤΖΗΔΑΚΗ</t>
  </si>
  <si>
    <t>lena-hatzidaki@hotmail.com</t>
  </si>
  <si>
    <t>ΑΝΔΡΟΝΙ</t>
  </si>
  <si>
    <t>mchatzidak@sch.gr</t>
  </si>
  <si>
    <t>ΧΑΤΖΗΔΑΚΗ-ΓΙΑΝΝΑΚΟΥΔΑΚ</t>
  </si>
  <si>
    <t>mairigiannak@gmail.com</t>
  </si>
  <si>
    <t>ΧΑΤΖΗΔΑΚΗΣ</t>
  </si>
  <si>
    <t>ΑΛΚΙΩΝΗ</t>
  </si>
  <si>
    <t>ghatzi61@gmail.com</t>
  </si>
  <si>
    <t>ΑΛΚΥΩΝΗ</t>
  </si>
  <si>
    <t>gxatzidakhs@hotmail.gr</t>
  </si>
  <si>
    <t>chatzida@gmail.com</t>
  </si>
  <si>
    <t>ΧΑΤΖΗΔΙΑΜΑΝΤΗΣ</t>
  </si>
  <si>
    <t>giorgoshatzi4@gmail.com</t>
  </si>
  <si>
    <t>ΧΑΤΖΗΔΟΒΛΕΤ</t>
  </si>
  <si>
    <t>ΠΡΟΔΡΟΜΟ</t>
  </si>
  <si>
    <t>dovlet@sch.gr</t>
  </si>
  <si>
    <t>ΧΑΤΖΗΕΥΣΤΡΑΤΙΟΥ</t>
  </si>
  <si>
    <t>ΚΑΝΕΛΛΑ</t>
  </si>
  <si>
    <t>hatziefstratiou@gmail.com</t>
  </si>
  <si>
    <t>ΧΑΤΖΗΖΗΣΗΣ</t>
  </si>
  <si>
    <t>ΧΑΤΖΗΙΩΑΝΝΙΔΟΥ</t>
  </si>
  <si>
    <t>ΧΑΤΖΗΠΑΝΑΓΙΩΤΗΣ</t>
  </si>
  <si>
    <t>ΧΑΤΖΗΣΕΒΑΣΤΟΥ</t>
  </si>
  <si>
    <t>ΣΕΒΑΣΜΙΟΣ</t>
  </si>
  <si>
    <t>ΣΠΥΡΙ</t>
  </si>
  <si>
    <t>theo.hatzisevastou@gmail.com</t>
  </si>
  <si>
    <t>ΧΑΤΖΗΣΤΕΦΑΝΟΥ</t>
  </si>
  <si>
    <t>ΣΟΦΙΑ-ΑΡΓΥΡΩ</t>
  </si>
  <si>
    <t>mike_hatzis@hotmail.com</t>
  </si>
  <si>
    <t>ΧΑΤΖΗΧΑΡΑΛΑΜΠΟΥΣ</t>
  </si>
  <si>
    <t>ΧΑΤΖΙΔΑΚΗ</t>
  </si>
  <si>
    <t>ΒΑΡΒΑ</t>
  </si>
  <si>
    <t>marihatzi1002@gmail.com</t>
  </si>
  <si>
    <t>ΧΑΤΖΟΓΙΑΝΝΑΚΗ</t>
  </si>
  <si>
    <t>xatzogiannaki@gmail.com</t>
  </si>
  <si>
    <t>ΧΑΤΖΟΓΙΑΝΝΗ</t>
  </si>
  <si>
    <t>mxatzogian@sch.gr</t>
  </si>
  <si>
    <t>ΧΑΧΑΜΙΔΟΥ</t>
  </si>
  <si>
    <t>chachamid@gmail.com</t>
  </si>
  <si>
    <t>ΧΑΧΛΑΚΗΣ</t>
  </si>
  <si>
    <t>SCHACHLAKIS@YAHOO.GR</t>
  </si>
  <si>
    <t>ΧΑΧΛΙΟΥΤΑΚΗΣ</t>
  </si>
  <si>
    <t>hahliout@sch.gr</t>
  </si>
  <si>
    <t>ΧΕΙΜΩΝΑ</t>
  </si>
  <si>
    <t>dohgrey@yahoo.gr</t>
  </si>
  <si>
    <t>ΧΕΙΡΟΜΥΛΙΔΟΥ</t>
  </si>
  <si>
    <t>ΑΝΑΤΟΛΗ</t>
  </si>
  <si>
    <t>frelhei@hotmail.com</t>
  </si>
  <si>
    <t>ΧΗΤΑ</t>
  </si>
  <si>
    <t>GRGCHITA8@GMAIL.COM</t>
  </si>
  <si>
    <t>ΧΝΑΡΑΚΗΣ</t>
  </si>
  <si>
    <t>tesla@sch.gr</t>
  </si>
  <si>
    <t>ΧΝΑΡΟΓΙΑΝΝΑΚΗ</t>
  </si>
  <si>
    <t>tchnarog@gmail.com</t>
  </si>
  <si>
    <t>ΧΟΥΔΕΤΣΑΝΑΚΗΣ</t>
  </si>
  <si>
    <t>george.houde@hotmail.com</t>
  </si>
  <si>
    <t>ΧΟΥΛΑΚΗ</t>
  </si>
  <si>
    <t>marinix@otenet.gr</t>
  </si>
  <si>
    <t>ΧΟΥΛΗ</t>
  </si>
  <si>
    <t>ΧΟΥΛΙΑΡΑΣ</t>
  </si>
  <si>
    <t>xouliarask@yahoo.gr</t>
  </si>
  <si>
    <t>ΧΟΥΜΑ</t>
  </si>
  <si>
    <t>eirinixouma@yahoo.gr</t>
  </si>
  <si>
    <t>yiannach230@gmail.com</t>
  </si>
  <si>
    <t>mchourdaki@hotmail.com</t>
  </si>
  <si>
    <t>mary.papas77@gmail.com</t>
  </si>
  <si>
    <t>ΧΟΥΡΔΑΚΗΣ</t>
  </si>
  <si>
    <t>d.xourdakis@gmail.com</t>
  </si>
  <si>
    <t>ΧΟΥΡΣΑΝ</t>
  </si>
  <si>
    <t>chrysa75@libero.it</t>
  </si>
  <si>
    <t>ΧΟΥΡΣΑΝΙΔΗΣ</t>
  </si>
  <si>
    <t>manhurs@gmail.com</t>
  </si>
  <si>
    <t>ΧΟΥΡΣΑΝΙΔΟΥ</t>
  </si>
  <si>
    <t>ahoursanidou@yahoo.com</t>
  </si>
  <si>
    <t>ΧΟΥΣΤΟΥΛΑΚΗ</t>
  </si>
  <si>
    <t>ΓΕΝΟΒΕΦΑ</t>
  </si>
  <si>
    <t>ΡΟΔΑΜΑΝΘΥΣ</t>
  </si>
  <si>
    <t>genovefahou@hotmail.com</t>
  </si>
  <si>
    <t>ΧΟΥΣΤΟΥΛΑΚΗΣ</t>
  </si>
  <si>
    <t>houstvag@yahoo.gr</t>
  </si>
  <si>
    <t>ΧΡΗΣΤΑΚΗ</t>
  </si>
  <si>
    <t>ΕΥΔΟΚ</t>
  </si>
  <si>
    <t>elichristaki@hotmail.com</t>
  </si>
  <si>
    <t>kleio_chris@hotmail.com</t>
  </si>
  <si>
    <t>marinaxi@sch.gr</t>
  </si>
  <si>
    <t>katerchristou@gmail.com</t>
  </si>
  <si>
    <t>ΧΡΙΣΤΑΚΗΣ</t>
  </si>
  <si>
    <t>xristakis.manos@gmail.com</t>
  </si>
  <si>
    <t>ΧΡΙΣΤΙΑΝΟΥ</t>
  </si>
  <si>
    <t>mxristian@gmail.com</t>
  </si>
  <si>
    <t>ΧΡΙΣΤΙΝΑΚΗ</t>
  </si>
  <si>
    <t>ΕΡΩΤΟΚΡΙΤΟΣ</t>
  </si>
  <si>
    <t>janexri@gmail.com</t>
  </si>
  <si>
    <t>ΧΡΙΣΤΙΝΙΔΗ</t>
  </si>
  <si>
    <t>mariannampapastefanaki@gmail.com</t>
  </si>
  <si>
    <t>ΧΡΙΣΤΙΝΙΔΟΥ</t>
  </si>
  <si>
    <t>katchristin@gmail.com</t>
  </si>
  <si>
    <t>ΧΡΙΣΤΟΔΟΥΛΑΚΗ</t>
  </si>
  <si>
    <t>despoina.christodoulaki@gmail.com</t>
  </si>
  <si>
    <t>ΧΡΙΣΤΟΔΟΥΛΑΚΗΣ</t>
  </si>
  <si>
    <t>christakis2010@gmail.com</t>
  </si>
  <si>
    <t>ΧΡΙΣΤΟΔΟΥΛΟΥ</t>
  </si>
  <si>
    <t>chrhelen@gmail.com</t>
  </si>
  <si>
    <t>ΧΡΙΣΤΟΦΑΚΗ</t>
  </si>
  <si>
    <t>olchristof@gmail.com</t>
  </si>
  <si>
    <t>ΧΡΙΣΤΟΦΗ</t>
  </si>
  <si>
    <t>gchristofi@sch.gr</t>
  </si>
  <si>
    <t>ΧΡΙΣΤΟΦΗΣ</t>
  </si>
  <si>
    <t>ΕΥΤΥΧΙΑ-ΙΩΑΝΝΑ</t>
  </si>
  <si>
    <t>hristof@her.forthnet.gr</t>
  </si>
  <si>
    <t>ΧΡΙΣΤΟΦΟΡΑΚΗ</t>
  </si>
  <si>
    <t>ΔΗΜΗΤ</t>
  </si>
  <si>
    <t>mcristofor@sch.gr</t>
  </si>
  <si>
    <t>mariachristoforak@gmail.com</t>
  </si>
  <si>
    <t>ΧΡΙΣΤΟΦΟΡΑΚΗΣ</t>
  </si>
  <si>
    <t>nchr@sch.gr</t>
  </si>
  <si>
    <t>ΧΡΙΣΤΟΦΟΡΑΤΟΥ</t>
  </si>
  <si>
    <t>ΣΟΥΛΤΑΝΑ ΒΑΡ</t>
  </si>
  <si>
    <t>ΤΖΟΓΙ</t>
  </si>
  <si>
    <t>ΧΡΟΝΑΚΗ</t>
  </si>
  <si>
    <t>annaxronaki@yahoo.gr</t>
  </si>
  <si>
    <t>pchronaki@yahoo.gr</t>
  </si>
  <si>
    <t>ΧΡΟΝΗ</t>
  </si>
  <si>
    <t>ΧΡΟΝΙΑΡΗ</t>
  </si>
  <si>
    <t>ΧΡΥΣΑΚΗ</t>
  </si>
  <si>
    <t>komwisakis@gmail.com</t>
  </si>
  <si>
    <t>ΧΡΥΣΙΚΟΠΟΥΛΟΥ</t>
  </si>
  <si>
    <t>ΝΤΟΛΥ</t>
  </si>
  <si>
    <t>ΧΡΥΣΟΜΑΛΛΗΣ</t>
  </si>
  <si>
    <t>ignax@in.gr</t>
  </si>
  <si>
    <t>ΧΡΥΣΟΥΛΑΚΗ</t>
  </si>
  <si>
    <t>pinelopi.hris@gmail.com</t>
  </si>
  <si>
    <t>ΨΑΘΑ</t>
  </si>
  <si>
    <t>apsatha@sch.gr</t>
  </si>
  <si>
    <t>ΨΑΛΤΑΚΗ</t>
  </si>
  <si>
    <t>epsaltaki@yahoo.gr</t>
  </si>
  <si>
    <t>ΨΑΡΑΔΑΚΗ</t>
  </si>
  <si>
    <t>anna29nina@gmail.com</t>
  </si>
  <si>
    <t>ΨΑΡΑΚΗ</t>
  </si>
  <si>
    <t>kpsaraki@yahoo.gr</t>
  </si>
  <si>
    <t>eirpsaraki@sch.gr</t>
  </si>
  <si>
    <t>ΨΑΡΑΚΗΣ</t>
  </si>
  <si>
    <t>psarakis.k@gmail.com</t>
  </si>
  <si>
    <t>npsarakis@sch.gr</t>
  </si>
  <si>
    <t>ΨΑΡΟΜΗΛΙΓΚΟΣ</t>
  </si>
  <si>
    <t>nipsarom@sch.gr</t>
  </si>
  <si>
    <t>ΨΑΡΟΥΔΑΚΗ</t>
  </si>
  <si>
    <t>ΑΝΘΟΥ</t>
  </si>
  <si>
    <t>eugenia_psar@yahoo.gr</t>
  </si>
  <si>
    <t>ΧΡΙΣΤΙΑΝΑ</t>
  </si>
  <si>
    <t>ΨΑΡΟΥΔΑΚΗΣ</t>
  </si>
  <si>
    <t>epsaroud@sch.gr</t>
  </si>
  <si>
    <t>psaroudnik@gmail.com</t>
  </si>
  <si>
    <t>ΨΟΦΟΓΙΑΝΝΑΚΗ</t>
  </si>
  <si>
    <t>ΡΑΝΙΑ-ΤΖΟΥΛΙΑ</t>
  </si>
  <si>
    <t>rpsofogi@sch.gr</t>
  </si>
  <si>
    <t>ΨΥΛΛΑΚΗ</t>
  </si>
  <si>
    <t>psillaki1@gmail.com</t>
  </si>
  <si>
    <t>ΨΥΛΛΑΚΗΣ</t>
  </si>
  <si>
    <t>ΨΥΧΟΓΥΙΟΣ</t>
  </si>
  <si>
    <t>nike@otenet.gr</t>
  </si>
  <si>
    <t>ΨΩΡΟΜΙΤΑ-ΜΑΝΟΥΣΑΚΗ</t>
  </si>
  <si>
    <t>ΦΡΑΓΓΟΥΛΑ</t>
  </si>
  <si>
    <t>ΑΒΤΖΗΣ</t>
  </si>
  <si>
    <t>panayotis.avtzis@gmail.com</t>
  </si>
  <si>
    <t>ΛΑΣΙΘΙΟΥ (Δ.Ε.) 2018</t>
  </si>
  <si>
    <t>ΔΙΕΥΘΥΝΣΗ Δ.Ε. ΛΑΣΙΘΙΟΥ</t>
  </si>
  <si>
    <t>2ο ΗΜΕΡΗΣΙΟ ΓΥΜΝΑΣΙΟ ΑΓΙΟΥ ΝΙΚΟΛΑΟΥ ΛΑΣΙΘΙΟΥ</t>
  </si>
  <si>
    <t>mail@2gym-ag-nikol.las.sch.gr</t>
  </si>
  <si>
    <t>ΛΑΣΙΘΙΟΥ</t>
  </si>
  <si>
    <t>ΑΓΙΟΥ ΝΙΚΟΛΑΟΥ</t>
  </si>
  <si>
    <t>ΔΕΣΠΟ</t>
  </si>
  <si>
    <t>georgeangel99@gmail.com</t>
  </si>
  <si>
    <t>1ο ΗΜΕΡΗΣΙΟ ΓΥΜΝΑΣΙΟ ΙΕΡΑΠΕΤΡΑΣ ΛΑΣΙΘΙΟΥ</t>
  </si>
  <si>
    <t>mail@1gym-ierap.las.sch.gr</t>
  </si>
  <si>
    <t>ΙΕΡΑΠΕΤΡΑΣ</t>
  </si>
  <si>
    <t>ΑΓΓΟΥΡΑΚΗΣ</t>
  </si>
  <si>
    <t>zaxaggour@hotmail.com</t>
  </si>
  <si>
    <t>ΗΜΕΡΗΣΙΟ ΓΥΜΝΑΣΙΟ ΝΕΑΠΟΛΕΩΣ ΛΑΣΙΘΙΟΥ</t>
  </si>
  <si>
    <t>mail@gym-neapol.las.sch.gr</t>
  </si>
  <si>
    <t>ΝΕΑΠΟΛΗΣ</t>
  </si>
  <si>
    <t>ΝΕΑΠΟΛΕΩΣ</t>
  </si>
  <si>
    <t>ΑΔΑΜΟΥ</t>
  </si>
  <si>
    <t>xaraathanas@gmail.com</t>
  </si>
  <si>
    <t>1ο ΗΜΕΡΗΣΙΟ ΕΠΑΛ ΑΓΙΟΥ ΝΙΚΟΛΑΟΥ</t>
  </si>
  <si>
    <t>mail@1epal-ag-nikol.las.sch.gr</t>
  </si>
  <si>
    <t>ΑΪΒΑΛΙΩΤΗΣ</t>
  </si>
  <si>
    <t>aibal1957@yahoo.gr</t>
  </si>
  <si>
    <t>1ο ΗΜΕΡΗΣΙΟ ΓΕΝΙΚΟ ΛΥΚΕΙΟ ΙΕΡΑΠΕΤΡΑΣ ΛΑΣΙΘΙΟΥ</t>
  </si>
  <si>
    <t>mail@1lyk-ierap.las.sch.gr</t>
  </si>
  <si>
    <t>katerinaki65@hotmail.com</t>
  </si>
  <si>
    <t>1ο ΗΜΕΡΗΣΙΟ ΓΕΝΙΚΟ ΛΥΚΕΙΟ ΑΓΙΟΥ ΝΙΚΟΛΑΟΥ ΛΑΣΙΘΙΟΥ</t>
  </si>
  <si>
    <t>mail@1lyk-ag-nikol.las.sch.gr</t>
  </si>
  <si>
    <t>rena.ailamakh@gmail.com</t>
  </si>
  <si>
    <t>ΗΜΕΡΗΣΙΟ ΓΕΝΙΚΟ ΛΥΚΕΙΟ ΣΗΤΕΙΑΣ ΛΑΣΙΘΙΟΥ</t>
  </si>
  <si>
    <t>mail@1lyk-siteias.las.sch.gr</t>
  </si>
  <si>
    <t>ΣΗΤΕΙΑΣ</t>
  </si>
  <si>
    <t>aako93@gmail.com</t>
  </si>
  <si>
    <t>1ο ΗΜΕΡΗΣΙΟ ΓΥΜΝΑΣΙΟ ΣΗΤΕΙΑΣ ΛΑΣΙΘΙΟΥ</t>
  </si>
  <si>
    <t>mail@1gym-siteias.las.sch.gr</t>
  </si>
  <si>
    <t>ΑΛΑΤΣΑΡΗ</t>
  </si>
  <si>
    <t>ΗΜΕΡΗΣΙΟ ΓΥΜΝΑΣΙΟ ΧΑΝΔΡΑ ΛΑΣΙΘΙΟΥ</t>
  </si>
  <si>
    <t>mail@gym-chandr.las.sch.gr</t>
  </si>
  <si>
    <t>ΛΕΥΚΗΣ</t>
  </si>
  <si>
    <t>ΧΑΝΔΡΑ</t>
  </si>
  <si>
    <t>ΑΛΕΒΙΖΟΠΟΥΛΟΥ</t>
  </si>
  <si>
    <t>evial@otenet.gr</t>
  </si>
  <si>
    <t>michalisalexakis@hotmail.com</t>
  </si>
  <si>
    <t>1ο ΗΜΕΡΗΣΙΟ ΕΠΑΛ ΙΕΡΑΠΕΤΡΑΣ</t>
  </si>
  <si>
    <t>mail@1epal-ierap.las.sch.gr</t>
  </si>
  <si>
    <t>papanikolas@sch.gr</t>
  </si>
  <si>
    <t>ΑΛΕΞΑΝΔΡΑΚΗΣ</t>
  </si>
  <si>
    <t>ΚΟΡΝΗΛΙ</t>
  </si>
  <si>
    <t>ale.man@freemail.com</t>
  </si>
  <si>
    <t>3ο ΗΜΕΡΗΣΙΟ ΓΥΜΝΑΣΙΟ ΙΕΡΑΠΕΤΡΑΣ ΛΑΣΙΘΙΟΥ</t>
  </si>
  <si>
    <t>mail@3gym-ierap.las.sch.gr</t>
  </si>
  <si>
    <t>ΑΛΕΞΑΝΔΡΟΠΟΥΛΟΥ</t>
  </si>
  <si>
    <t>ΑΛΕΞΟΠΟΥΛΟΥ</t>
  </si>
  <si>
    <t>yiotazogan17@gmail.com</t>
  </si>
  <si>
    <t>ΑΛΜΑΛΙΩΤΗ</t>
  </si>
  <si>
    <t>ΣΟΥΣΑΝΝΑ</t>
  </si>
  <si>
    <t>almalioti@yahoo.gr</t>
  </si>
  <si>
    <t>ΑΛΟΥΜΠΗΣ</t>
  </si>
  <si>
    <t>aloubis.ka@gmail.com</t>
  </si>
  <si>
    <t>1ο ΗΜΕΡΗΣΙΟ ΕΠΑΛ ΣΗΤΕΙΑΣ</t>
  </si>
  <si>
    <t>mail@1epal-siteias.las.sch.gr</t>
  </si>
  <si>
    <t>ΑΜΑΝΤΟΥ</t>
  </si>
  <si>
    <t>baswam16@yahoo.grm</t>
  </si>
  <si>
    <t>ΑΜΠΑΤΗ</t>
  </si>
  <si>
    <t>ΑΡΤΕΜΗ</t>
  </si>
  <si>
    <t>artemis_zer@yahoo.gr</t>
  </si>
  <si>
    <t>ΔΙΑΜΑΝΤΙΝΑ</t>
  </si>
  <si>
    <t>2ο ΗΜΕΡΗΣΙΟ ΓΥΜΝΑΣΙΟ ΙΕΡΑΠΕΤΡΑΣ ΛΑΣΙΘΙΟΥ</t>
  </si>
  <si>
    <t>mail@2gym-ierap.las.sch.gr</t>
  </si>
  <si>
    <t>athandrou1@yahoo.gr</t>
  </si>
  <si>
    <t>ΗΜΕΡΗΣΙΟ ΓΕΝΙΚΟ ΛΥΚΕΙΟ ΝΕΑΠΟΛΕΩΣ ΛΑΣΙΘΙΟΥ</t>
  </si>
  <si>
    <t>mail@1lyk-neapol.las.sch.gr</t>
  </si>
  <si>
    <t>ankostastab@gmail.com</t>
  </si>
  <si>
    <t>1ο ΗΜΕΡΗΣΙΟ ΕΠΑΛ ΝΕΑΠΟΛΗ ΛΑΣΗΘΙΟΥ</t>
  </si>
  <si>
    <t>mail@1epal-neapol.las.sch.gr</t>
  </si>
  <si>
    <t>ΑΝΤΥΠΑ</t>
  </si>
  <si>
    <t>geogelas@gmail.com</t>
  </si>
  <si>
    <t>ΑΝΤΩΝΑΚΑΚΗ</t>
  </si>
  <si>
    <t>antonakakh@yahoo.com</t>
  </si>
  <si>
    <t>ΑΝΥΦΑΝΤΑΚΗ</t>
  </si>
  <si>
    <t>Anyfapapei@yahoo.gr</t>
  </si>
  <si>
    <t>ΗΜΕΡΗΣΙΟ ΓΕΝΙΚΟ ΛΥΚΕΙΟ ΤΖΕΡΜΙΑΔΩΝ ΛΑΣΙΘΙΟΥ</t>
  </si>
  <si>
    <t>mail@1lyk-tzerm.las.sch.gr</t>
  </si>
  <si>
    <t>ΟΡΟΠΕΔΙΟΥ ΛΑΣΙΘΙΟΥ</t>
  </si>
  <si>
    <t>ΤΖΕΡΜΙΑΔΟΥ</t>
  </si>
  <si>
    <t>ΑΠΑΛΑΚΗ</t>
  </si>
  <si>
    <t>roiarairo@gmail.com</t>
  </si>
  <si>
    <t>1ο ΗΜΕΡΗΣΙΟ ΓΥΜΝΑΣΙΟ ΑΓΙΟΥ ΝΙΚΟΛΑΟΥ ΛΑΣΙΘΙΟΥ</t>
  </si>
  <si>
    <t>mail@1gym-ag-nikol.las.sch.gr</t>
  </si>
  <si>
    <t>ΑΠΙΔΙΑΝΑΚΗ</t>
  </si>
  <si>
    <t>apidianaki@hotmail.com</t>
  </si>
  <si>
    <t>kateapostolaki@hotmail.com</t>
  </si>
  <si>
    <t>sofia.apostolaki07@yahoo.gr</t>
  </si>
  <si>
    <t>ΙΩΑΝΝ</t>
  </si>
  <si>
    <t>napostolakis@gmail.com</t>
  </si>
  <si>
    <t>ΑΡΒΑΝΙΤΙΔΗΣ</t>
  </si>
  <si>
    <t>georgarvan@hotmail.com</t>
  </si>
  <si>
    <t>ΑΡΓΥΡΑΚΗΣ</t>
  </si>
  <si>
    <t>ΑΣΠΡΑΔΑΚΗΣ</t>
  </si>
  <si>
    <t>aspradogiorgis@gmail.com</t>
  </si>
  <si>
    <t>naspradakis@ier.fortnet.gr</t>
  </si>
  <si>
    <t>ΑΣΤΡΟΠΕΚΑΚΗ</t>
  </si>
  <si>
    <t>ΑΣΤΥΡΑΚΑΚΗΣ</t>
  </si>
  <si>
    <t>ΑΡΙΣΤΟΔΗΜΟΣ</t>
  </si>
  <si>
    <t>ΕΕΕΕΚ ΙΕΡΑΠΕΤΡΑΣ - Ε.Ε.Ε.Ε.Κ. ΙΕΡΑΠΕΤΡΑΣ</t>
  </si>
  <si>
    <t>mail@eeeek.las.sch.gr</t>
  </si>
  <si>
    <t>ΑΤΖΟΛΕΤΑΚΗΣ</t>
  </si>
  <si>
    <t>ΣΜΑΡΑΓΔ</t>
  </si>
  <si>
    <t>foxfox1960@gmail.com</t>
  </si>
  <si>
    <t>ΑΤΣΑΛΗ</t>
  </si>
  <si>
    <t>sonia.atsali@gmail.com</t>
  </si>
  <si>
    <t>ΒΑΙΟΥ</t>
  </si>
  <si>
    <t>ΒΑΛΑΧΗ</t>
  </si>
  <si>
    <t>ΣΤΑΥΡ</t>
  </si>
  <si>
    <t>valaxid@mail.com</t>
  </si>
  <si>
    <t>ΒΑΛΚΑΝΗΣ</t>
  </si>
  <si>
    <t>valkanhs@yahoo.gr</t>
  </si>
  <si>
    <t>ΕΕΕΕΚ ΑΓΙΟΣ ΝΙΚΟΛΑΟΣ</t>
  </si>
  <si>
    <t>mail@eeeek-ag-nikol.las.sch.gr</t>
  </si>
  <si>
    <t>ΒΑΛΛΑΣ</t>
  </si>
  <si>
    <t>ΕΥΤΥΧ</t>
  </si>
  <si>
    <t>vallxr1@yahoo.com</t>
  </si>
  <si>
    <t>dbarda@sch.gr</t>
  </si>
  <si>
    <t>2ο ΗΜΕΡΗΣΙΟ ΓΥΜΝΑΣΙΟ ΣΗΤΕΙΑΣ ΛΑΣΙΘΙΟΥ</t>
  </si>
  <si>
    <t>mail@2gym-siteias.las.sch.gr</t>
  </si>
  <si>
    <t>ΒΑΣΑΡΜΙΔΗΣ</t>
  </si>
  <si>
    <t>vasarmidisv@gmail.com</t>
  </si>
  <si>
    <t>ΒΑΣΑΡΜΙΔΟΥ</t>
  </si>
  <si>
    <t>devasarmidou@yahoo.gr</t>
  </si>
  <si>
    <t>2ο ΗΜΕΡΗΣΙΟ ΓΕΝΙΚΟ ΛΥΚΕΙΟ ΙΕΡΑΠΕΤΡΑΣ ΛΑΣΙΘΙΟΥ</t>
  </si>
  <si>
    <t>mail@2lyk-ierap.las.sch.gr</t>
  </si>
  <si>
    <t>gvasilakis80@gmail.com</t>
  </si>
  <si>
    <t>manos.vasilakis.k@hotmail.com</t>
  </si>
  <si>
    <t>spirosb@yahoo.com</t>
  </si>
  <si>
    <t>ΒΔΟΚΑΚΗΣ</t>
  </si>
  <si>
    <t>vdok58@gmail.com</t>
  </si>
  <si>
    <t>enalis1@gmail.com</t>
  </si>
  <si>
    <t>2ο ΓΕΝΙΚΟ ΛΥΚΕΙΟ ΑΓΙΟΥ ΝΙΚΟΛΑΟΥ</t>
  </si>
  <si>
    <t>mail@2lyk-ag-nikol.las.sch.gr</t>
  </si>
  <si>
    <t>ΒΕΝΤΟΥΡΗΣ</t>
  </si>
  <si>
    <t>veduris@yahoo.gr</t>
  </si>
  <si>
    <t>ΒΕΡΓΟΥΡΟΥ</t>
  </si>
  <si>
    <t>ΠΑΝΟΣ</t>
  </si>
  <si>
    <t>ΠΕ33</t>
  </si>
  <si>
    <t>ΜΕΘΟΔΟΛΟΓΙΑΣ ΙΣΤΟΡΙΑΣ (ΜΙΘΕ)</t>
  </si>
  <si>
    <t>ΑΛΙΚΗ - ΕΥΔΟΚΙΑ</t>
  </si>
  <si>
    <t>marza1863@gmail.com</t>
  </si>
  <si>
    <t>ΒΙΟΛΑΡΗ</t>
  </si>
  <si>
    <t>gloprof1@hotmail.com</t>
  </si>
  <si>
    <t>ΒΙΤΩΡΑΚΗΣ</t>
  </si>
  <si>
    <t>ΑΔΑΜΑΝΤ</t>
  </si>
  <si>
    <t>mvitorakis@sch.gr</t>
  </si>
  <si>
    <t>vlastou@gmail.com</t>
  </si>
  <si>
    <t>ΒΟΓΙΑΚΗ</t>
  </si>
  <si>
    <t>ΕΡΑΤΩ</t>
  </si>
  <si>
    <t>evogiaki@gmail.com</t>
  </si>
  <si>
    <t>ΗΜΕΡΗΣΙΟ ΓΥΜΝΑΣΙΟ ΤΖΕΡΜΙΑΔΩΝ ΛΑΣΙΘΙΟΥ - ΓΥΜΝΑΣΙΟ ΤΖΕΡΜΙΑΔΩΝ</t>
  </si>
  <si>
    <t>mail@gym-tzerm.las.sch.gr</t>
  </si>
  <si>
    <t>ΒΟΣΚΑΚΗ ΚΟΙΝΑ</t>
  </si>
  <si>
    <t>ΒΟΣΚΟΠΟΥΛΗ</t>
  </si>
  <si>
    <t>desvos@hotmail.com</t>
  </si>
  <si>
    <t>ΒΟΥΛΟΓΚΑΣ</t>
  </si>
  <si>
    <t>ΘΕΑΝΩ</t>
  </si>
  <si>
    <t>givul@sch.gr</t>
  </si>
  <si>
    <t>ΒΟΥΛΤΣΙΔΗ</t>
  </si>
  <si>
    <t>niovi511@hotmail.com</t>
  </si>
  <si>
    <t>ΒΟΥΜΒΟΥΛΑΚΗΣ</t>
  </si>
  <si>
    <t>ΒΟΥΡΑΚΗ</t>
  </si>
  <si>
    <t>verieta1@gmail.com</t>
  </si>
  <si>
    <t>ΒΡΟΥΒΑΚΗΣ</t>
  </si>
  <si>
    <t>ΓΑΙΤΑΝΗ</t>
  </si>
  <si>
    <t>ΠΡΑΞΙΑ</t>
  </si>
  <si>
    <t>efi@source.gr</t>
  </si>
  <si>
    <t>3ο ΗΜΕΡΗΣΙΟ ΓΥΜΝΑΣΙΟ ΑΓΙΟΥ ΝΙΚΟΛΑΟΥ</t>
  </si>
  <si>
    <t>mail@3gym-ag-nikol.las.sch.gr</t>
  </si>
  <si>
    <t>ΞΕΝΗ</t>
  </si>
  <si>
    <t>katerina_galanaki@hotmail.com</t>
  </si>
  <si>
    <t>ΓΑΛΥΜΙΤΑΚΗ ΚΟΥΦΑΚΗ</t>
  </si>
  <si>
    <t>lena.gal61@hotmail.com</t>
  </si>
  <si>
    <t>lefterissittia@yahoo.gr</t>
  </si>
  <si>
    <t>ΓΕΡΑΠΟΣΤΟΛΟΥ</t>
  </si>
  <si>
    <t>theodora.ger@gmail.com</t>
  </si>
  <si>
    <t>ΓΕΡΟΔΗΜΟΥ</t>
  </si>
  <si>
    <t>agerodim@sch.gr</t>
  </si>
  <si>
    <t>ΓΕΩΡΓΙΑΔΟΥ</t>
  </si>
  <si>
    <t>ΤΙΜΟΘΕΟΣ</t>
  </si>
  <si>
    <t>ΜΑΡΘΑ</t>
  </si>
  <si>
    <t>ΓΕΩΡΓΙΛΑ</t>
  </si>
  <si>
    <t>karjimar@otenet.gr</t>
  </si>
  <si>
    <t>ΗΜΕΡΗΣΙΟ ΓΥΜΝΑΣΙΟ ΠΑΛΑΙΚΑΣΤΡΟΥ ΛΑΣΙΘΙΟΥ - ΓΥΜΝΑΣΙΟ ΠΑΛΑΙΚΑΣΤΡΟΥ</t>
  </si>
  <si>
    <t>mail@gym-palaik.las.sch.gr</t>
  </si>
  <si>
    <t>ΙΤΑΝΟΥ</t>
  </si>
  <si>
    <t>ΠΑΛΑΙΚΑΣΤΡΟΥ</t>
  </si>
  <si>
    <t>annageorgiou75@gmail.com</t>
  </si>
  <si>
    <t>ΕΣΠΕΡΙΝΟ ΓΕΝΙΚΟ ΛΥΚΕΙΟ ΣΗΤΕΙΑΣ</t>
  </si>
  <si>
    <t>mail@lyk-esp-siteias.las.sch.gr</t>
  </si>
  <si>
    <t>renagiakoumaki@yahoo.gr</t>
  </si>
  <si>
    <t>egiakoumak@gmail.com</t>
  </si>
  <si>
    <t>ΕΣΠΕΡΙΝΟ ΕΠΑ.Λ ΙΕΡΑΠΕΤΡΑΣ</t>
  </si>
  <si>
    <t>mail@3epal-esp-ierap.las.sch.gr</t>
  </si>
  <si>
    <t>giannadakia@yahoo.com</t>
  </si>
  <si>
    <t>ΕΥΓΕΝΙΑ-ΣΟΦΙΑ</t>
  </si>
  <si>
    <t>t.giannadaki@yahoo.gr</t>
  </si>
  <si>
    <t>ΠΕ22</t>
  </si>
  <si>
    <t>ΕΠΑΓΓΕΛΜΑΤΙΚΟΙ ΣΥΜΒΟΥΛΟΙ ΑΕΙ</t>
  </si>
  <si>
    <t>ΓΙΑΝΝΟΠΟΥΛΟΣ</t>
  </si>
  <si>
    <t>ΠΗΝΕΛ</t>
  </si>
  <si>
    <t>oxanthis@yahoo.gr</t>
  </si>
  <si>
    <t>ΣΤΕΡΓΙΑΝΗ</t>
  </si>
  <si>
    <t>ΓΙΑΡΜΕΝΙΤΗ</t>
  </si>
  <si>
    <t>annagiarmeniti@gmail.com</t>
  </si>
  <si>
    <t>ΓΙΑΤΖΑΚΗ</t>
  </si>
  <si>
    <t>gelpiniki@hotmail.gr</t>
  </si>
  <si>
    <t>ΓΙΑΤΖΑΚΗΣ</t>
  </si>
  <si>
    <t>ggiatzakis@hotmail.com</t>
  </si>
  <si>
    <t>giaxmanol@gmail.com</t>
  </si>
  <si>
    <t>ΓΙΩΤΟΠΟΥΛΟΥ</t>
  </si>
  <si>
    <t>ΦΩΤΙΟ</t>
  </si>
  <si>
    <t>rgioto@yahoo.gr</t>
  </si>
  <si>
    <t>ΓΚΑΤΖΙΑ</t>
  </si>
  <si>
    <t>ΚΩΝΣΤΑΝΤΙΝΙΑ</t>
  </si>
  <si>
    <t>ΑΣΤΕΡΙΟΣ</t>
  </si>
  <si>
    <t>konstantinia18@yahoo.gr</t>
  </si>
  <si>
    <t>ΓΚΙΩΝΗ</t>
  </si>
  <si>
    <t>vasgioni@hotmail.com</t>
  </si>
  <si>
    <t>ΓΚΟΣΙΟΥ</t>
  </si>
  <si>
    <t>ΜΕΤΑΞΕΝΙΑ</t>
  </si>
  <si>
    <t>ΓΚΟΤΣΗ</t>
  </si>
  <si>
    <t>ΠΑΝΑΓΙΩ</t>
  </si>
  <si>
    <t>pophgkotsh@hotmail.com</t>
  </si>
  <si>
    <t>ΓΚΟΥΡΑΣ</t>
  </si>
  <si>
    <t>ΟΘΩΝΑΣ</t>
  </si>
  <si>
    <t>gourassp@gmail.com</t>
  </si>
  <si>
    <t>ΓΟΥΛΙΑΡΜΗΣ</t>
  </si>
  <si>
    <t>paugoul@gmail.com</t>
  </si>
  <si>
    <t>ΓΟΥΛΙΔΑΚΗΣ</t>
  </si>
  <si>
    <t>goulidakg@yahoo.gr</t>
  </si>
  <si>
    <t>ΓΡΑΦΑΝΑΚΗΣ</t>
  </si>
  <si>
    <t>mgrafy@sch.gr</t>
  </si>
  <si>
    <t>ΓΩΝΙΩΤΑΚΗΣ</t>
  </si>
  <si>
    <t>ΠΑΡΑΣ</t>
  </si>
  <si>
    <t>mg.sitiakos@gmail.com</t>
  </si>
  <si>
    <t>dagalakimaria@yahoo.gr</t>
  </si>
  <si>
    <t>mdakanali@gmail.com</t>
  </si>
  <si>
    <t>ΠΙΠΙΝΑ</t>
  </si>
  <si>
    <t>sofidaskal@gmail.com</t>
  </si>
  <si>
    <t>ΗΜΕΡΗΣΙΟ ΓΥΜΝΑΣΙΟ ΚΡΙΤΣΑΣ ΛΑΣΙΘΙΟΥ</t>
  </si>
  <si>
    <t>mail@gym-krits.las.sch.gr</t>
  </si>
  <si>
    <t>ΚΡΙΤΣΑΣ</t>
  </si>
  <si>
    <t>kalliopidask@hotmail.com</t>
  </si>
  <si>
    <t>ΔΕΛΛΑΠΟΡΤΑ</t>
  </si>
  <si>
    <t>dellaporta18@gmail.com</t>
  </si>
  <si>
    <t>ΔΕΜΕΤΖΟΥ</t>
  </si>
  <si>
    <t>popidem@gmail.com</t>
  </si>
  <si>
    <t>mdemetzou@gmail.com</t>
  </si>
  <si>
    <t>ΓΕΝΙΚΟ ΛΥΚΕΙΟ ΜΑΚΡΥ ΓΙΑΛΟΥ</t>
  </si>
  <si>
    <t>mail@lyk-mak-gialou.las.sch.gr</t>
  </si>
  <si>
    <t>ΜΑΚΡΥ ΓΙΑΛΟΥ</t>
  </si>
  <si>
    <t>ΣΤΑΥΡΟΧΩΡΙΟΥ</t>
  </si>
  <si>
    <t>ΝΕΚΤΑΡΙΑ-ΓΕΩΡΓΙΑ</t>
  </si>
  <si>
    <t>nenia2@yahoo.gr</t>
  </si>
  <si>
    <t>ΔΙΑΜΑΝΤΩ</t>
  </si>
  <si>
    <t>p.dermitzaki@gmail.com</t>
  </si>
  <si>
    <t>ΔΗΜΑ</t>
  </si>
  <si>
    <t>ΕΕΕΕΚ ΣΗΤΕΙΑ</t>
  </si>
  <si>
    <t>mail@eeeek-siteias.las.sch.gr</t>
  </si>
  <si>
    <t>ΔΗΜΑΡΑ</t>
  </si>
  <si>
    <t>apache_1975@yahoo.com</t>
  </si>
  <si>
    <t>ΕΛΕΝΗ-ΕΥΑΓΓΕΛΙΑ</t>
  </si>
  <si>
    <t>ΕΜΜΑΝΝΟΥΗΛ</t>
  </si>
  <si>
    <t>ΖΩΓΡΑΦΑ</t>
  </si>
  <si>
    <t>gdiak77@yahoo.com</t>
  </si>
  <si>
    <t>manosdial@yahoo.gr</t>
  </si>
  <si>
    <t>adiamanti30@gmail.com</t>
  </si>
  <si>
    <t>ΔΙΒΑΝΙΔΗΣ</t>
  </si>
  <si>
    <t>divanidis@sch.gr</t>
  </si>
  <si>
    <t>ΔΟΞΑΣΤΑΚΗΣ</t>
  </si>
  <si>
    <t>mdojast@gmail.com</t>
  </si>
  <si>
    <t>ΔΟΥΚΑ</t>
  </si>
  <si>
    <t>ΚΛΕΟΝΙΚΗ ΑΓΓ</t>
  </si>
  <si>
    <t>niki.douka@gmail.com</t>
  </si>
  <si>
    <t>ΔΡΑΓΑΝΙΔΟΥ</t>
  </si>
  <si>
    <t>ΘΕΟΔΟΥΛΗ</t>
  </si>
  <si>
    <t>ΛΙΔΑ</t>
  </si>
  <si>
    <t>theodoulidraganidou@gmail.com</t>
  </si>
  <si>
    <t>ΔΡΑΓΑΣΑΚΗΣ</t>
  </si>
  <si>
    <t>ΕΡΣΙΝΟΥΛΑ</t>
  </si>
  <si>
    <t>dr-nikosier@hotmail.com</t>
  </si>
  <si>
    <t>ΔΡΑΓΑΤΑΚΗ</t>
  </si>
  <si>
    <t>katerinadragataki@gmail.com</t>
  </si>
  <si>
    <t>kamari.lastro@gmail.com</t>
  </si>
  <si>
    <t>daina1976@gmail.com</t>
  </si>
  <si>
    <t>ΣΤΑΜΑΤΙΝΑ</t>
  </si>
  <si>
    <t>tina.dr07@gmail.com</t>
  </si>
  <si>
    <t>ΜΑΡΙΑΝΘ</t>
  </si>
  <si>
    <t>drakonak@sch.gr</t>
  </si>
  <si>
    <t>desdretaki@gmail.com</t>
  </si>
  <si>
    <t>eleni.dretaki@hotmail.com</t>
  </si>
  <si>
    <t>ΕΛΛΗΝΙΚΑΚΗΣ</t>
  </si>
  <si>
    <t>ΖΑΡΑΦΩΝΙΤΗ</t>
  </si>
  <si>
    <t>mariazara81@yahoo.gr</t>
  </si>
  <si>
    <t>ΖΑΡΩΤΗ</t>
  </si>
  <si>
    <t>elenizaroti@gmail.com</t>
  </si>
  <si>
    <t>ΖΑΧΑΡΑΚΗΣ</t>
  </si>
  <si>
    <t>johnyzax@gmail.com</t>
  </si>
  <si>
    <t>ΖΑΧΑΡΙΑΔΑΚΗ</t>
  </si>
  <si>
    <t>ΚΩΝΣΤΑΝΤINA</t>
  </si>
  <si>
    <t>anzervaki@yahoo.gr</t>
  </si>
  <si>
    <t>ΖΕΡΒΑΚΗ ΓΙΑΝΝΑΔΑΚΗ</t>
  </si>
  <si>
    <t>kallizervaki@gmail.com</t>
  </si>
  <si>
    <t>znikos@gmail.com</t>
  </si>
  <si>
    <t>ΗΜΕΡΗΣΙΟ ΓΥΜΝΑΣΙΟ ΤΟΥΡΛΩΤΗΣ ΛΑΣΙΘΙΟΥ</t>
  </si>
  <si>
    <t>mail@gym-tourl.las.sch.gr</t>
  </si>
  <si>
    <t>ΤΟΥΡΛΩΤΗΣ</t>
  </si>
  <si>
    <t>ΖΕΡΒΑΛΑΚΗ</t>
  </si>
  <si>
    <t>geosaric@sch.gr</t>
  </si>
  <si>
    <t>gwgwz_1@yahoo.gr</t>
  </si>
  <si>
    <t>ΖΕΡΒΟΥ ΠΑΝΑΓΙΩΤΑΚΗ</t>
  </si>
  <si>
    <t>maria.zervou@yahoo.gr</t>
  </si>
  <si>
    <t>ΖΙΩΓΑ</t>
  </si>
  <si>
    <t>ΟΛΥΜΠ</t>
  </si>
  <si>
    <t>mziogabio@gmail.com</t>
  </si>
  <si>
    <t>ΖΟΓΛΟΠΙΤΗΣ</t>
  </si>
  <si>
    <t>gianniszoglopitis@yahoo.com</t>
  </si>
  <si>
    <t>ΖΟΡΜΠΑ</t>
  </si>
  <si>
    <t>zorba.ioulia@gmail.com</t>
  </si>
  <si>
    <t>ΖΟΥΒΑ</t>
  </si>
  <si>
    <t>ΦΙΛΙΩ</t>
  </si>
  <si>
    <t>eleni_zouva@yahoo.gr</t>
  </si>
  <si>
    <t>ΖΟΥΛΙΝΑΚΗΣ</t>
  </si>
  <si>
    <t>geozouli@gmail.com</t>
  </si>
  <si>
    <t>ΖΟΥΡΙΔΑΚΗΣ</t>
  </si>
  <si>
    <t>GiorgosZouridakis@gmail.com</t>
  </si>
  <si>
    <t>gzografin@gmail.com</t>
  </si>
  <si>
    <t xml:space="preserve">792τ. Γ' </t>
  </si>
  <si>
    <t>ΘΑΝΑΣΙΑΣ</t>
  </si>
  <si>
    <t>sthanas61@gmail.com</t>
  </si>
  <si>
    <t>ΘΕΟΛΟΓΙΤΗΣ</t>
  </si>
  <si>
    <t>ΟΜΗΡΟΣ-ΑΛΕΞΑΝΔΡΟΣ</t>
  </si>
  <si>
    <t>1042/Γ/18-10-2016</t>
  </si>
  <si>
    <t>ΙΩΑΝΝΙΔΟΥ</t>
  </si>
  <si>
    <t>heleneioannidou@gmail.com</t>
  </si>
  <si>
    <t>ΙΩΑΝΝΟΥ</t>
  </si>
  <si>
    <t>ΠΑΝΔΩΡΑ</t>
  </si>
  <si>
    <t>ΚΑΚΑΜΠΟΥΡΑ</t>
  </si>
  <si>
    <t>ΧΡΥΣΟΘΕΑ-ΑΡΤΕΜΙΣ</t>
  </si>
  <si>
    <t>ΦΩΚΙΩΝ</t>
  </si>
  <si>
    <t>ΡΟΔΟΚΛΕΙΑ</t>
  </si>
  <si>
    <t>myrt0ula@yahoo.gr</t>
  </si>
  <si>
    <t>ΚΑΛΑΝΤΖΑΚΗ</t>
  </si>
  <si>
    <t>J_Tsan@otenet.gr</t>
  </si>
  <si>
    <t>ΚΑΛΑΠΑΝΙΔΑ</t>
  </si>
  <si>
    <t>ΘΕΜΙΣΤΟΚ</t>
  </si>
  <si>
    <t>ΚΑΛΑΠΟΔΑΚΗΣ</t>
  </si>
  <si>
    <t>ΓΙΑΣΕΜΟ</t>
  </si>
  <si>
    <t>dimkal2001@yahoo.gr</t>
  </si>
  <si>
    <t>papa-theologos@yahoo.gr</t>
  </si>
  <si>
    <t>ΚΑΛΕΝΗΣ</t>
  </si>
  <si>
    <t>ΑΝΝΟΥΛΑ</t>
  </si>
  <si>
    <t>skalenis@yahoo.gr</t>
  </si>
  <si>
    <t>ΚΑΛΙΜΑΝΤΖΑΛΗΣ</t>
  </si>
  <si>
    <t>billkallelme@gmail.com</t>
  </si>
  <si>
    <t>ΚΑΛΛΙΑΣ</t>
  </si>
  <si>
    <t>ΠΑΝΤΕΛΕΗ</t>
  </si>
  <si>
    <t>jkallias@gmail.com</t>
  </si>
  <si>
    <t>ΚΑΛΛΙΟΝΤΖΗ</t>
  </si>
  <si>
    <t>ΓΥΜΝΑΣΙΟ ΚΟΥΤΣΟΥΡΑ</t>
  </si>
  <si>
    <t>mail@gym-kouts.las.sch.gr</t>
  </si>
  <si>
    <t>ΚΑΛΛΙΤΣΑΣ</t>
  </si>
  <si>
    <t>kallitsas@sch.gr</t>
  </si>
  <si>
    <t>ΚΑΛΟΓΕΡΟΠΟΥΛΟΥ</t>
  </si>
  <si>
    <t>231 τ.Γ/31-08-2004</t>
  </si>
  <si>
    <t>ΚΑΜΙΝΗΣ</t>
  </si>
  <si>
    <t>giorgoskaminis@yahoo.gr</t>
  </si>
  <si>
    <t>elkampit@gmail.com</t>
  </si>
  <si>
    <t>ΚΑΝΑΒΑΚΗ</t>
  </si>
  <si>
    <t>rkanavaki@gmail.com</t>
  </si>
  <si>
    <t>ΚΑΝΑΒΑΚΗΣ</t>
  </si>
  <si>
    <t>kanavakis04@yahoo.gr</t>
  </si>
  <si>
    <t>kanavakg1@hotmail.com</t>
  </si>
  <si>
    <t>kanakimaria@yahoo.gr</t>
  </si>
  <si>
    <t>ΚΑΠΑΝΤΑΙΔΑΚΗ</t>
  </si>
  <si>
    <t>mkapanta@gmail.com</t>
  </si>
  <si>
    <t>kap_katerina@yahoo.com</t>
  </si>
  <si>
    <t>ΚΑΠΟΤΗ</t>
  </si>
  <si>
    <t>ektistakis@yahoo.gr</t>
  </si>
  <si>
    <t>ΚΑΠΟΥΑΣ</t>
  </si>
  <si>
    <t>ΞΕΝΟΥΛΑ</t>
  </si>
  <si>
    <t>nikche7@gmail.com</t>
  </si>
  <si>
    <t>228/τ.Γ/ 13/09/2005</t>
  </si>
  <si>
    <t>ΚΑΠΟΥΡΑΛΟΥ</t>
  </si>
  <si>
    <t>1260/Γ/09-12-2016</t>
  </si>
  <si>
    <t>ΚΑΡΑΒΕΛΑΚΗΣ</t>
  </si>
  <si>
    <t>nkaravelak@gmail.com</t>
  </si>
  <si>
    <t>ΚΑΡΑΓΙΑΝΝΗ</t>
  </si>
  <si>
    <t>dimitra.karagianni@yahoo.com</t>
  </si>
  <si>
    <t>ΚΑΡΑΖΙ</t>
  </si>
  <si>
    <t>ΜΟΥΚΟΣΑΙ</t>
  </si>
  <si>
    <t>ΚΑΟΥΑΛΑ</t>
  </si>
  <si>
    <t>maraki_mamamia@hotmail.com</t>
  </si>
  <si>
    <t>ΚΑΡΑΚΟΥ</t>
  </si>
  <si>
    <t>marykk@hotmail.gr</t>
  </si>
  <si>
    <t>ΚΑΡΑΜΑΝΩΛΑΚΗ</t>
  </si>
  <si>
    <t>annitan.annita.kara@gmail.com</t>
  </si>
  <si>
    <t>ΚΑΡΑΜΠΟΤΣΗΣ</t>
  </si>
  <si>
    <t>ΚΑΙΤΗ</t>
  </si>
  <si>
    <t>iliasviva@gmail.com</t>
  </si>
  <si>
    <t>ΚΑΡΑΝΑΣΤΑΣΗ</t>
  </si>
  <si>
    <t>ΚΑΡΑΠΙΔΑΚΗ</t>
  </si>
  <si>
    <t>ckarapidaki@yahoo.gr</t>
  </si>
  <si>
    <t>ΚΑΡΓΙΩΤΗΣ</t>
  </si>
  <si>
    <t>ΚΑΡΤΕΡΑΚΗΣ</t>
  </si>
  <si>
    <t>karnekt@gmail.com</t>
  </si>
  <si>
    <t>ΚΑΣΑΠΙΔΟΥ</t>
  </si>
  <si>
    <t>zaxoslila@hotmail.com</t>
  </si>
  <si>
    <t>ΚΑΣΚΑΡΙΚΑ</t>
  </si>
  <si>
    <t>ΙΣΙΔΩΡΑ</t>
  </si>
  <si>
    <t>isidora_kas@yahoo.com</t>
  </si>
  <si>
    <t>m.kasswtaki@gmail.com</t>
  </si>
  <si>
    <t>ΚΑΣΤΡΙΤΗ</t>
  </si>
  <si>
    <t>ΚΑΤΡΑΝΤΖΗΣ</t>
  </si>
  <si>
    <t>ΚΑΤΡΙΝΑΚΗΣ</t>
  </si>
  <si>
    <t>kkatrinakis@hotmail.com</t>
  </si>
  <si>
    <t>ΚΑΤΣΑΓΚΟΛΗΣ</t>
  </si>
  <si>
    <t>akatsag@otenet.gr</t>
  </si>
  <si>
    <t>ΚΑΤΣΙΚΟΓΙΑΝΝΗ</t>
  </si>
  <si>
    <t>ΚΕΝΑΝΑΚΗ</t>
  </si>
  <si>
    <t>ΚΕΤΑΝΗ</t>
  </si>
  <si>
    <t>ketanichrissa@gmail.com</t>
  </si>
  <si>
    <t>ΚΕΦΑΛΙΑΚΟΥ</t>
  </si>
  <si>
    <t>ΚΙΝΑΛΗ</t>
  </si>
  <si>
    <t>evdoxiakin@gmail.com</t>
  </si>
  <si>
    <t>ΚΙΟΥΠΑΚΗΣ</t>
  </si>
  <si>
    <t>ΒΙΡΓΙΝΙ</t>
  </si>
  <si>
    <t>kioupham@yahoo.gr</t>
  </si>
  <si>
    <t>ΚΛΩΝΤΖΑΣ</t>
  </si>
  <si>
    <t>klontzas.crete@hotmail.com</t>
  </si>
  <si>
    <t>ΚΟΖΥΡΗ</t>
  </si>
  <si>
    <t>maria@koziri.gr</t>
  </si>
  <si>
    <t>ΚΟΖΥΡΗΣ</t>
  </si>
  <si>
    <t>geokozyris@gmail.com</t>
  </si>
  <si>
    <t>ΚΟΙΝΑΚΗΣ</t>
  </si>
  <si>
    <t>nkoinakis@gmail.com</t>
  </si>
  <si>
    <t>kok_kostas@yahoo.gr</t>
  </si>
  <si>
    <t>kokinism@yahoo.gr</t>
  </si>
  <si>
    <t>ΚΟΛΛΑΡΟΥ</t>
  </si>
  <si>
    <t>eirini46@yahoo.gr</t>
  </si>
  <si>
    <t>ΚΟΛΛΙΑΣ</t>
  </si>
  <si>
    <t>ΚΟΝΤΑΚΗΣ</t>
  </si>
  <si>
    <t>ΚΟΝΤΑΞΑΚΗ</t>
  </si>
  <si>
    <t>ΚΟΝΤΟΓΙΩΡΓΑΚΗΣ</t>
  </si>
  <si>
    <t>info@oceanides.gr</t>
  </si>
  <si>
    <t>ΚΟΝΤΟΛΑΙΜΑΚΗΣ</t>
  </si>
  <si>
    <t>ΓΚΙΣΕΛΑ</t>
  </si>
  <si>
    <t>nekont@sch.gr</t>
  </si>
  <si>
    <t>ΚΟΝΤΟΠΟΔΗΣ</t>
  </si>
  <si>
    <t>mikont@yahoo.com</t>
  </si>
  <si>
    <t>ΚΟΣΚΕΡΙΔΟΥ</t>
  </si>
  <si>
    <t>ΚΟΤΣΑΦΤΗΣ</t>
  </si>
  <si>
    <t>ΣΤΑΥΡΟΥΛ</t>
  </si>
  <si>
    <t>mihaliskotsaftis@gmail.com</t>
  </si>
  <si>
    <t>ΚΟΥΒΑΡΑΚΗ</t>
  </si>
  <si>
    <t>ikaravuok@yahoo.gr</t>
  </si>
  <si>
    <t>ΚΟΥΚΟΥΡΑΚΗΣ</t>
  </si>
  <si>
    <t>ΚΟΥΛΑΚΗΣ</t>
  </si>
  <si>
    <t>ΚΟΥΛΗ ΓΑΙΤΑΝΙΔΗ</t>
  </si>
  <si>
    <t>egaitanidi@hotmail.com</t>
  </si>
  <si>
    <t>ΚΟΥΛΟΓΙΑΝΝΗΣ</t>
  </si>
  <si>
    <t>geokoyl@hotmail.com</t>
  </si>
  <si>
    <t>ΚΟΥΝΔΟΥΡΑΚΗ</t>
  </si>
  <si>
    <t>elkoundou@sch.gr</t>
  </si>
  <si>
    <t>ΚΟΥΝΕΝΟΣ</t>
  </si>
  <si>
    <t>panagiotiskounenos@gmail.com</t>
  </si>
  <si>
    <t>ΚΟΥΡΙΔΑΚΗ</t>
  </si>
  <si>
    <t>ΚΟΥΡΚΟΥΤΗΣ</t>
  </si>
  <si>
    <t>sakiskourkoutis@gmail.com</t>
  </si>
  <si>
    <t>ΚΟΥΡΟΥΠΑΚΗ</t>
  </si>
  <si>
    <t>mkouroup@gmail.com</t>
  </si>
  <si>
    <t>ΑΓΛΑΪΑ</t>
  </si>
  <si>
    <t>geokoutantos@yahoo.gr</t>
  </si>
  <si>
    <t>giankoutantos@yahoo.gr</t>
  </si>
  <si>
    <t>el_koutra@yahoo.gr</t>
  </si>
  <si>
    <t>ΚΟΥΤΡΑΣ</t>
  </si>
  <si>
    <t>ΜΑΓΔΑ</t>
  </si>
  <si>
    <t>pashalis67@yahoo.gr</t>
  </si>
  <si>
    <t>ΚΟΥΤΣΕΛΑΚΗΣ</t>
  </si>
  <si>
    <t>pantkouts@gmail.com</t>
  </si>
  <si>
    <t>ΚΟΥΤΣΟΠΟΔΙΩΤΗΣ</t>
  </si>
  <si>
    <t>mkoyfaki@hotmail.com</t>
  </si>
  <si>
    <t>ΚΟΥΦΑΛΕΞΗ</t>
  </si>
  <si>
    <t>ΘΕΟΔΩ</t>
  </si>
  <si>
    <t>ΣΤΕΡΕ</t>
  </si>
  <si>
    <t>ioan.kouf@hotmail.com</t>
  </si>
  <si>
    <t>ΠΕΡΙΣΤΕΡΩ</t>
  </si>
  <si>
    <t>dkoufopoul@gmail.com</t>
  </si>
  <si>
    <t>krasanakis@sch.gr</t>
  </si>
  <si>
    <t>aenios@yahoo.gr</t>
  </si>
  <si>
    <t>a.kritsotak@hotmail.com</t>
  </si>
  <si>
    <t>ΕΜΜΑΝΟΥΗΛ-ΓΕΩΡΓΙΟΣ</t>
  </si>
  <si>
    <t>ΚΥΒΕΡΝΗΤΑΚΗ</t>
  </si>
  <si>
    <t>ΠΑΡΘΕΝΙΑ</t>
  </si>
  <si>
    <t>antonia_Kipriotaki@yahoo.gr</t>
  </si>
  <si>
    <t>mekiriakaki@gmail.com</t>
  </si>
  <si>
    <t>ΚΥΡΙΑΚΙΔΗΣ</t>
  </si>
  <si>
    <t>ΠΑΝΤΕΛΕΗΜΩΝ</t>
  </si>
  <si>
    <t>kiriakidis@yahoo.com</t>
  </si>
  <si>
    <t>ΚΩΝΣΤΑΝΤΙΝΟΠΟΥΛΟΣ</t>
  </si>
  <si>
    <t>mkostaki1@hotmail.com</t>
  </si>
  <si>
    <t>nkos1965@yahoo.gr</t>
  </si>
  <si>
    <t>ΚΡΥΣΤΑΛΛ</t>
  </si>
  <si>
    <t>kikostakis@yahoo.gr</t>
  </si>
  <si>
    <t>ΚΩΣΤΙΝΟΣ</t>
  </si>
  <si>
    <t>dikomath@gmail.com</t>
  </si>
  <si>
    <t>ΚΩΤΟΥΛΑΣ</t>
  </si>
  <si>
    <t>hariskotoul@yahoo.gr</t>
  </si>
  <si>
    <t>ΛΑΒΔΑΚΗΣ</t>
  </si>
  <si>
    <t>lavdakis@sch.gr</t>
  </si>
  <si>
    <t>elpidalg@sch.gr</t>
  </si>
  <si>
    <t>ΛΑΓΟΥΔΑΚΗ ΑΓΓΕΛΑΚΗ</t>
  </si>
  <si>
    <t>ΛΑΠΟΚΩΝΣΤΑΝΤΑΚΗΣ</t>
  </si>
  <si>
    <t>georlapoko@sch.gr</t>
  </si>
  <si>
    <t>ΛΑΠΠΑΣ</t>
  </si>
  <si>
    <t>kloul_1959@hotmail.com</t>
  </si>
  <si>
    <t>anastasialasthiotaki@gmail.com</t>
  </si>
  <si>
    <t>ΛΑΣΚΑΡΗ</t>
  </si>
  <si>
    <t>tania_onar@yahoo.gr</t>
  </si>
  <si>
    <t>ΔΕ1ΕΒΠ</t>
  </si>
  <si>
    <t>ΒΟΗΘΗΤΙΚΟ ΠΡΟΣΩΠΙΚΟ ΕΙΔΙΚΗΣ ΑΓΩΓΗΣ</t>
  </si>
  <si>
    <t>351/τΓ/20-10-2006</t>
  </si>
  <si>
    <t>ΧΡΙΣΤ</t>
  </si>
  <si>
    <t>katlavren@gmail.com</t>
  </si>
  <si>
    <t>ΛΕΒΕΝΤΕΡΗΣ</t>
  </si>
  <si>
    <t>ΣΤΥΛΙ</t>
  </si>
  <si>
    <t>ΛΕΒΕΝΤΟΠΟΥΛΟΣ</t>
  </si>
  <si>
    <t>ΘΕΟΛΟΓΟΣ</t>
  </si>
  <si>
    <t>theologisgr@yahoo.gr</t>
  </si>
  <si>
    <t>ΛΙΑΝΑΚΗΣ</t>
  </si>
  <si>
    <t>giannislian@hotmail.com</t>
  </si>
  <si>
    <t>ΛΙΑΝΟΥ</t>
  </si>
  <si>
    <t>lianoudespina@gmail.com</t>
  </si>
  <si>
    <t>ΛΙΑΡΑ</t>
  </si>
  <si>
    <t>1171/Γ/23-11-2017</t>
  </si>
  <si>
    <t>ΛΟΪΖΟΥ</t>
  </si>
  <si>
    <t>ΒΑΣΙΛΙΚΟΥΛΑ</t>
  </si>
  <si>
    <t>loiz.vas@gmail.com</t>
  </si>
  <si>
    <t>ΛΟΥΚΑΚΗΣ</t>
  </si>
  <si>
    <t>emmanouil.loukakis@gmail.com</t>
  </si>
  <si>
    <t>lydakisof@gmail.com</t>
  </si>
  <si>
    <t>ΜΑΖΩΝΑΚΗ</t>
  </si>
  <si>
    <t>ΘΕΟΚΛΗΤΗ</t>
  </si>
  <si>
    <t>ΜΑΖΩΝΑΚΗ ΤΣΑΝΤΑΚΗ</t>
  </si>
  <si>
    <t>amazonaki@sch.gr</t>
  </si>
  <si>
    <t>ΜΑΚΡΥΝΑΚΗ</t>
  </si>
  <si>
    <t>ΧΡΥΣΟ</t>
  </si>
  <si>
    <t>Afroditi.makr@yahoo.gr</t>
  </si>
  <si>
    <t>ΜΑΜΟΥ</t>
  </si>
  <si>
    <t>mamouan@yahoo.gr</t>
  </si>
  <si>
    <t>ΜΑΝΙΑΔΑΚΗ</t>
  </si>
  <si>
    <t>annamaniadaki@gmail.com</t>
  </si>
  <si>
    <t>ΜΑΝΙΑΤΗ</t>
  </si>
  <si>
    <t>maniati@windowslive.com</t>
  </si>
  <si>
    <t>ΜΑΝΟΥΣΑΚΗ</t>
  </si>
  <si>
    <t>ΕΥΜΕΝΙΑ</t>
  </si>
  <si>
    <t>evmeniamanousaki@gmail.com</t>
  </si>
  <si>
    <t>manousakis@sch.gr</t>
  </si>
  <si>
    <t>ΜΑΝΩΛΑΡΑΚΗ</t>
  </si>
  <si>
    <t>lavdakisM@gmail.com</t>
  </si>
  <si>
    <t>ΜΑΡΙΝΟΠΟΥΛΟΣ</t>
  </si>
  <si>
    <t>n_marinopoulos@hotmail.com</t>
  </si>
  <si>
    <t>ΣΥΛΒΙΑ</t>
  </si>
  <si>
    <t>aggmarkou@sch.gr</t>
  </si>
  <si>
    <t>ΜΑΡΟΥΛΑΚΗΣ</t>
  </si>
  <si>
    <t>mrage118@gmail.com</t>
  </si>
  <si>
    <t>ΜΑΣΣΑΡΟΣ</t>
  </si>
  <si>
    <t>smasar58@gmail.com</t>
  </si>
  <si>
    <t>ΜΑΣΤΑΚΑ</t>
  </si>
  <si>
    <t>dmastak1@yahoo.com</t>
  </si>
  <si>
    <t>kalliopimastoraki@yahoo.gr</t>
  </si>
  <si>
    <t>ΠΕ40</t>
  </si>
  <si>
    <t>ΙΣΠΑΝΙΚΗΣ ΦΙΛΟΛΟΓΙΑΣ</t>
  </si>
  <si>
    <t>ΜΑΣΤΟΡΑΚΗΣ</t>
  </si>
  <si>
    <t>kostismastorakis@hotmail.gr</t>
  </si>
  <si>
    <t>ΜΑΤΖΑΡΑΚΗ</t>
  </si>
  <si>
    <t>evagelia.matzaraki@yahoo.gr</t>
  </si>
  <si>
    <t>ΜΑΥΡΑΚΑΚΗ</t>
  </si>
  <si>
    <t>k.mayrakaki@yahoo.gr</t>
  </si>
  <si>
    <t>ΜΑΥΡΙΚΑΚΗ</t>
  </si>
  <si>
    <t>ΒΑΣΩ</t>
  </si>
  <si>
    <t>mavrimary@gmail.com</t>
  </si>
  <si>
    <t>dkokolakis@yahoo.gr</t>
  </si>
  <si>
    <t>ΜΑΥΡΟΕΙΔΗ</t>
  </si>
  <si>
    <t>amav09@yahoo.gr</t>
  </si>
  <si>
    <t>ΜΑΥΡΟΕΙΔΗΣ</t>
  </si>
  <si>
    <t>giorgosmavroidis@yahoo.gr</t>
  </si>
  <si>
    <t>ΜΕΓΓΟΥΛΗ</t>
  </si>
  <si>
    <t>ΠΑΝΑΓΙΩΤΑ ΝΑΥΣΙΚΑ</t>
  </si>
  <si>
    <t>penny_meg@yahoo.gr</t>
  </si>
  <si>
    <t>ΜΕΛΑΣ</t>
  </si>
  <si>
    <t>emmanouilmelas@gmail.com</t>
  </si>
  <si>
    <t>ΜΕΣΙΓΚΟΥ</t>
  </si>
  <si>
    <t>schatza@sch.gr</t>
  </si>
  <si>
    <t>bachovia@gmail.com</t>
  </si>
  <si>
    <t>ΜΕΤΖΟΓΙΑΝΝΑΚΗ</t>
  </si>
  <si>
    <t>mariametzo@hotmail.gr</t>
  </si>
  <si>
    <t>ΜΗΛΙΩΝΗ</t>
  </si>
  <si>
    <t>sofiamilioni@hotmail.com</t>
  </si>
  <si>
    <t>elenhmhnadakh@yahoo.gr</t>
  </si>
  <si>
    <t>ΜΗΤΣΑΚΑΚΗ</t>
  </si>
  <si>
    <t>maria.mhtsakakh@gmai.com</t>
  </si>
  <si>
    <t>ΜΙΚΑ</t>
  </si>
  <si>
    <t>ΓΙΑΝΤΒΙΓΚΑ</t>
  </si>
  <si>
    <t>ΛΟΝΓΚ</t>
  </si>
  <si>
    <t>ΙΡΕΝΑ</t>
  </si>
  <si>
    <t>vikimyka@windowslive.com</t>
  </si>
  <si>
    <t>ΜΙΛΗΣ</t>
  </si>
  <si>
    <t>milhs@yahoo.gr</t>
  </si>
  <si>
    <t>chmichai@sch.gr</t>
  </si>
  <si>
    <t>ΜΙΧΑΗΛΙΔΟΥ</t>
  </si>
  <si>
    <t>nadmihaili@yahoo.gr</t>
  </si>
  <si>
    <t>ΠΕ86.50</t>
  </si>
  <si>
    <t>ΠΛΗΡΟΦΟΡΙΚΗΣ ΕΙΔΙΚΗΣ ΑΓΩΓΗΣ</t>
  </si>
  <si>
    <t>ΜΙΧΕΛΑΚΗΣ</t>
  </si>
  <si>
    <t>emmihel@yahoo.gr</t>
  </si>
  <si>
    <t>mixelakis@gmail.com</t>
  </si>
  <si>
    <t>ΜΟΣΧΕΤΑΣ</t>
  </si>
  <si>
    <t>kmoshet@gmail.com</t>
  </si>
  <si>
    <t>ΜΟΣΧΟΥ</t>
  </si>
  <si>
    <t>aggelosmosxou@gmail.com</t>
  </si>
  <si>
    <t>ΜΟΥΖΙΟΥΡΑΣ</t>
  </si>
  <si>
    <t>takhsmsara@gmail.com</t>
  </si>
  <si>
    <t>ΜΟΥΛΟΥΔΑΚΗΣ</t>
  </si>
  <si>
    <t>mountrakig@gmail.com</t>
  </si>
  <si>
    <t>ΜΟΥΣΑΒΕΡΕ</t>
  </si>
  <si>
    <t>ΕΥΛΑΜΠΙΑ</t>
  </si>
  <si>
    <t>eulamous@gmail.com</t>
  </si>
  <si>
    <t>ΜΟΥΣΟΥΡΑΚΗ</t>
  </si>
  <si>
    <t>ΓΑΡΥΦ</t>
  </si>
  <si>
    <t>ΜΟΥΤΣΑΚΗ</t>
  </si>
  <si>
    <t>ΕΙΡΗ</t>
  </si>
  <si>
    <t>mariamouts@hotmail.co.uk</t>
  </si>
  <si>
    <t>ΜΟΥΤΣΙΟΥΔΗΣ</t>
  </si>
  <si>
    <t>zaxchron@hotmail.com</t>
  </si>
  <si>
    <t>ΜΠΑΖΙΡΓΙΑΝΝΗΣ</t>
  </si>
  <si>
    <t>yiannis_bazir@yahoo.gr</t>
  </si>
  <si>
    <t>ΜΠΑΛΤΖΑΚΗ</t>
  </si>
  <si>
    <t>empaltzaki@yahoo.gr</t>
  </si>
  <si>
    <t>ΕΡΩΜΦΙΛΗ</t>
  </si>
  <si>
    <t>eirini_mpantouva@hotmail.com</t>
  </si>
  <si>
    <t>ΜΠΑΡΜΠΟΚΑ</t>
  </si>
  <si>
    <t>vicky.barboka@gmail.com</t>
  </si>
  <si>
    <t>ΜΠΑΤΣΟΛΑΚΗ</t>
  </si>
  <si>
    <t>ΜΠΑΥΓΙΑΔΑΚΗ</t>
  </si>
  <si>
    <t>ΜΠΕΚΙΑΡΗΣ</t>
  </si>
  <si>
    <t>beknik7@gmail.com</t>
  </si>
  <si>
    <t>ΜΠΕΛΙΜΠΑΣΑΚΗΣ</t>
  </si>
  <si>
    <t>ΣΤΕΦΑΝΙ</t>
  </si>
  <si>
    <t>ebelimp@sch.gr</t>
  </si>
  <si>
    <t>ΜΠΛΑΖΑΝΤΩΝΑΚΗΣ</t>
  </si>
  <si>
    <t>mblazad@gmail.com</t>
  </si>
  <si>
    <t>ΜΠΛΑΖΟΓΙΑΝΝΑΚΗ</t>
  </si>
  <si>
    <t>mplazart@gmail.com</t>
  </si>
  <si>
    <t>ΜΠΟΥΓΙΑ</t>
  </si>
  <si>
    <t>bougiap@yahoo.gr</t>
  </si>
  <si>
    <t>ΜΠΟΥΚΑ</t>
  </si>
  <si>
    <t>ΜΠΟΥΚΟΥΒΑΛΑ</t>
  </si>
  <si>
    <t>ΑΝΤΙΓ</t>
  </si>
  <si>
    <t>ΚΕΔΔΥ ΛΑΣΙΘΙΟΥ</t>
  </si>
  <si>
    <t>mail@kday.las.sch.gr</t>
  </si>
  <si>
    <t>ΛΑΣΙΘΙΟΥ (Π.Ε.) 2018</t>
  </si>
  <si>
    <t>ΔΙΕΥΘΥΝΣΗ Π.Ε. ΛΑΣΙΘΙΟΥ</t>
  </si>
  <si>
    <t>ΜΠΟΥΡΑΝΤΑΚΗ</t>
  </si>
  <si>
    <t>ΝΙΤΣΑ</t>
  </si>
  <si>
    <t>ΜΠΟΥΡΖΙΚΟΣ</t>
  </si>
  <si>
    <t>ΦΩΦΩ</t>
  </si>
  <si>
    <t>ΜΠΟΥΡΝΕΛΗΣ</t>
  </si>
  <si>
    <t>ibournelis@sch.gr</t>
  </si>
  <si>
    <t>ioannna76@gmail.com</t>
  </si>
  <si>
    <t>ΜΠΡΟΥΜΗ</t>
  </si>
  <si>
    <t>e7112000@hotmail.gr</t>
  </si>
  <si>
    <t>ΝΕΟΦΩΤΙΣΤΟΥ</t>
  </si>
  <si>
    <t>neofotistou@gmail.com</t>
  </si>
  <si>
    <t>ΝΕΡΑΝΤΖΟΥΛΑΚΗ</t>
  </si>
  <si>
    <t>ΡΟΥΜΠΙΝΗ</t>
  </si>
  <si>
    <t>ΝΕΣΤΟΡΑΚΗ</t>
  </si>
  <si>
    <t>popinest@gmail.com</t>
  </si>
  <si>
    <t>ΝΙΚΗΤΑΚΗ</t>
  </si>
  <si>
    <t>it9944@yahoo.com</t>
  </si>
  <si>
    <t>ΚΑΤΙΝ</t>
  </si>
  <si>
    <t>S2008valia@yahoo.gr</t>
  </si>
  <si>
    <t>nikols@sch.gr</t>
  </si>
  <si>
    <t>ΝΤΑΗΣ</t>
  </si>
  <si>
    <t>ΝΤΑΟΥΚΑ Κ ΔΑΟΥΚΑ</t>
  </si>
  <si>
    <t>ΘΩΜΑΗ</t>
  </si>
  <si>
    <t>ldaouka@hotmail.gr</t>
  </si>
  <si>
    <t>ΝΤΟΥΜΑΣ</t>
  </si>
  <si>
    <t>ΝΥΚΤΑΡΗΣ</t>
  </si>
  <si>
    <t>ΤΡΥΦΩΝ</t>
  </si>
  <si>
    <t>ΞΕΝΟΣ</t>
  </si>
  <si>
    <t>ΑΦΡΟΔ</t>
  </si>
  <si>
    <t>georgexenos@ymail.com</t>
  </si>
  <si>
    <t>ΞΕΠΑΠΑΣ</t>
  </si>
  <si>
    <t>ΞΙΦΑΝΤΑΡΑΚΗΣ</t>
  </si>
  <si>
    <t>ΞΟΜΠΛΑΡΑΚΗ</t>
  </si>
  <si>
    <t>despoinaepal@gmail.com</t>
  </si>
  <si>
    <t>ΞΥΛΟΥΡΗ</t>
  </si>
  <si>
    <t>elenixylouri@gmail.com</t>
  </si>
  <si>
    <t>ikonomakim@gmail.com</t>
  </si>
  <si>
    <t>noikon13@gmail.com</t>
  </si>
  <si>
    <t>ΘΕΟΝΥΜΦ</t>
  </si>
  <si>
    <t>agoritsa.economou@gmail.com</t>
  </si>
  <si>
    <t>mihalisknm9@gmail.com</t>
  </si>
  <si>
    <t>125/Γ/05-02-2013</t>
  </si>
  <si>
    <t>vorfan@sch.gr</t>
  </si>
  <si>
    <t>sorfan60@gmail.com</t>
  </si>
  <si>
    <t>ΠΑΓΓΕΙΟΥ</t>
  </si>
  <si>
    <t>lampr@windowslive.com</t>
  </si>
  <si>
    <t>ΠΑΛΑΜΑΣ</t>
  </si>
  <si>
    <t>ipalamas2009@gmail.com</t>
  </si>
  <si>
    <t>ΠΑΛΟΥΚΟΥ</t>
  </si>
  <si>
    <t>apaloukou@sch.gr</t>
  </si>
  <si>
    <t>giotapaloukou@gmail.com</t>
  </si>
  <si>
    <t>xaralpan@gmail.com</t>
  </si>
  <si>
    <t>ΑΝΔΡΟΥΛΑ</t>
  </si>
  <si>
    <t>ΤΕ02.04</t>
  </si>
  <si>
    <t>ΟΙΚΟΝΟΜΙΑΣ-ΔΙΟΙΚΗΣΗΣ</t>
  </si>
  <si>
    <t>ΠΑΝΟΠΟΥΛΟΣ</t>
  </si>
  <si>
    <t>thanassispanopoulos@yahoo.gr</t>
  </si>
  <si>
    <t>ΠΑΠΑΒΑΣΙΛΕΙΟΥ</t>
  </si>
  <si>
    <t>nekpap@sch.gr</t>
  </si>
  <si>
    <t>giannapapadaki@yahoo.gr</t>
  </si>
  <si>
    <t>ΜΑΝΩΛ</t>
  </si>
  <si>
    <t>popi_papadaki@hotmail.com</t>
  </si>
  <si>
    <t>ΚΡΥΣΤΑΛ</t>
  </si>
  <si>
    <t>maropap43@gmail.com</t>
  </si>
  <si>
    <t>gpapada65@yahoo.gr</t>
  </si>
  <si>
    <t>papadakis1977@yahoo.gr</t>
  </si>
  <si>
    <t>ΡΟΥΣΣΟΣ</t>
  </si>
  <si>
    <t>jzpapad@yahoo.gr</t>
  </si>
  <si>
    <t>228/13-09-2005</t>
  </si>
  <si>
    <t>kospapadak@gmail.com</t>
  </si>
  <si>
    <t>ΙΑΚΩΒ</t>
  </si>
  <si>
    <t>mipapadak@sch.gr</t>
  </si>
  <si>
    <t>papadakis.nikos@gmail.com</t>
  </si>
  <si>
    <t>ΠΑΠΑΔΑΝΤΩΝΑΚΗ</t>
  </si>
  <si>
    <t>mariapapad09@gmail.com</t>
  </si>
  <si>
    <t>ΚΟΡΑΛΙΑ</t>
  </si>
  <si>
    <t>koraliapap@sch.gr</t>
  </si>
  <si>
    <t>apapapapa@sch.gr</t>
  </si>
  <si>
    <t>ΠΑΠΑΔΟΠΟΥΛΗ</t>
  </si>
  <si>
    <t>mairi.papadopouli@gmail.com</t>
  </si>
  <si>
    <t>kapap1963@yahoo.gr</t>
  </si>
  <si>
    <t>299/14-11-2005</t>
  </si>
  <si>
    <t>papadopoulou_zafi@yahoo.com</t>
  </si>
  <si>
    <t>ΠΑΠΑΕΥΑΓΓΕΛΟΥ</t>
  </si>
  <si>
    <t>ΠΑΠΑΙΩΑΝΝΟΥ</t>
  </si>
  <si>
    <t>ΠΑΠΑΚΑΛΟΥΣΗ</t>
  </si>
  <si>
    <t>mpapakalousi@gmail.com</t>
  </si>
  <si>
    <t>ΠΑΠΑΛΕΞΑΝΔΡΑΚΗΣ</t>
  </si>
  <si>
    <t>ΓΑΡΕΦΑΛ</t>
  </si>
  <si>
    <t>papalex@sch.gr</t>
  </si>
  <si>
    <t>ΠΑΠΙΔΗΣ</t>
  </si>
  <si>
    <t>tarasios12@yahoo.gr</t>
  </si>
  <si>
    <t>ΠΑΠΟΥΤΣΙΔΗΣ</t>
  </si>
  <si>
    <t>vpapoutsid@gmail.com</t>
  </si>
  <si>
    <t>ΠΑΠΠΟΣ</t>
  </si>
  <si>
    <t>yannpapp@gmail.com</t>
  </si>
  <si>
    <t>ΠΑΡΑΣΚΕΥΑ</t>
  </si>
  <si>
    <t>ΣΥΝΟΔΗ</t>
  </si>
  <si>
    <t>pakelly@sch.gr</t>
  </si>
  <si>
    <t>cpateraki@sch.gr</t>
  </si>
  <si>
    <t>manospater@yahoo.gr</t>
  </si>
  <si>
    <t>ΠΑΥΛΙΔΟΥ</t>
  </si>
  <si>
    <t>ΒΑΛΣΑΜΩ</t>
  </si>
  <si>
    <t>spavlid@phyed.duth.gr</t>
  </si>
  <si>
    <t>ΠΑΧΙΑΔΑΚΗΣ</t>
  </si>
  <si>
    <t>ΕΜΜΑΝΟΥΗΛΙΑ</t>
  </si>
  <si>
    <t>npachiadakis@gmail.com</t>
  </si>
  <si>
    <t>ΠΑΧΥΓΙΑΝΝΑΚΗ</t>
  </si>
  <si>
    <t>pachygiannaki@gmail.com</t>
  </si>
  <si>
    <t>ΠΕΔΙΑΔΙΤΗ</t>
  </si>
  <si>
    <t>ΦΙΛΙΤΣΑ</t>
  </si>
  <si>
    <t>filia18@hotmail.gr</t>
  </si>
  <si>
    <t>ΠΕΠΠΑ</t>
  </si>
  <si>
    <t>mapeppa@gmail.com</t>
  </si>
  <si>
    <t>ΓΑΛΗΝ</t>
  </si>
  <si>
    <t>perakbabis@gmail.com</t>
  </si>
  <si>
    <t>ΠΕΡΑΚΗΣ</t>
  </si>
  <si>
    <t>gprk1973@gmail.com</t>
  </si>
  <si>
    <t>nikpers58@gmail.com</t>
  </si>
  <si>
    <t>ΠΕΡΑΝΤΩΝΑΚΗ</t>
  </si>
  <si>
    <t>peranmar@sch.gr</t>
  </si>
  <si>
    <t>ΠΕΡΑΝΤΩΝΗΣ</t>
  </si>
  <si>
    <t>peran@ier.forthnet.gr</t>
  </si>
  <si>
    <t>nikoleta1960@hotmail.com</t>
  </si>
  <si>
    <t>ΠΕΤΡΙΔΟΥ</t>
  </si>
  <si>
    <t>ΧΑΡΙΤΙΝΗ</t>
  </si>
  <si>
    <t>petrihar@yahoo.gr</t>
  </si>
  <si>
    <t>ΠΕΤΡΟΛΕΚΑ</t>
  </si>
  <si>
    <t>mpetroleka@sch.gr</t>
  </si>
  <si>
    <t>ΠΕΤΡΟΣΙΑΝ</t>
  </si>
  <si>
    <t>ΓΕΡΒΑΝΤ</t>
  </si>
  <si>
    <t>ΒΑΧΑΝ-ΙΩ</t>
  </si>
  <si>
    <t>ΜΑΡΙΑΜ</t>
  </si>
  <si>
    <t>gpetrosian@sch.gr</t>
  </si>
  <si>
    <t>ΣΙΡΑΝΟΥΣ</t>
  </si>
  <si>
    <t>ΒΑΧΑΝΙΩΑΝΝΗΣ</t>
  </si>
  <si>
    <t>siran2510@gmail.com</t>
  </si>
  <si>
    <t>ΠΕΤΣΑΛΑΚΗΣ</t>
  </si>
  <si>
    <t>petsalakisg@gmail.com</t>
  </si>
  <si>
    <t>ΚΩΝΣΤΑΝΤ</t>
  </si>
  <si>
    <t>reapigiaki@yahoo.com</t>
  </si>
  <si>
    <t>ΠΙΘΑΡΟΥΛΙΟΥ</t>
  </si>
  <si>
    <t>ΠΙΣΚΟΠΑΝΗ</t>
  </si>
  <si>
    <t>ΜΑΡΙΓΩ</t>
  </si>
  <si>
    <t>sevastipitarokili@gmail.com</t>
  </si>
  <si>
    <t>pitarokili@gmail.com</t>
  </si>
  <si>
    <t>ΠΙΤΙΚΑΚΗΣ</t>
  </si>
  <si>
    <t>i.pitikakis@gmail.com</t>
  </si>
  <si>
    <t>ΠΙΤΥΡΙΓΚΑ</t>
  </si>
  <si>
    <t>ΑΘΗΝΑ-ΕΥΑΓΓΕΛΙΑ</t>
  </si>
  <si>
    <t>ΠΑΝΤΕΛΙΑ-ΙΦΙΓΕΝΕΙΑ</t>
  </si>
  <si>
    <t>ΠΛΑΤΟΚΟΥΚΗ</t>
  </si>
  <si>
    <t xml:space="preserve">ΕΙΡΗΝΗ </t>
  </si>
  <si>
    <t>mplatokouki@gmail.com</t>
  </si>
  <si>
    <t>ΠΛΕΡΟΥ</t>
  </si>
  <si>
    <t>tplerou@gmail.com</t>
  </si>
  <si>
    <t>ΠΛΙΑΣΣΑΣ</t>
  </si>
  <si>
    <t>ΠΛΟΥΤΙΝΑΚΗΣ</t>
  </si>
  <si>
    <t>vagploytinakis@yahoo.gr</t>
  </si>
  <si>
    <t>ΠΟΛΥΖΩΓΟΠΟΥΛΟΥ</t>
  </si>
  <si>
    <t>mpolyzogop11@gmail.com</t>
  </si>
  <si>
    <t>ΠΟΛΥΧΡΟΝΙΟΥ</t>
  </si>
  <si>
    <t>ΚΩΝΣΤΑΝΤΟΥΛΑ</t>
  </si>
  <si>
    <t>ΒΑΪΑ</t>
  </si>
  <si>
    <t>npolyhroniou@mail.com</t>
  </si>
  <si>
    <t>ΠΟΡΦΥΡΑΚΗ</t>
  </si>
  <si>
    <t>ΕΡΡΙΚΟΣ</t>
  </si>
  <si>
    <t>xanpor@yahoo.gr</t>
  </si>
  <si>
    <t>ΠΟΥΛΑΚΑΚΗ</t>
  </si>
  <si>
    <t>elipoulakaki@gmail.com</t>
  </si>
  <si>
    <t>ΠΟΥΛΑΚΑΚΗΣ</t>
  </si>
  <si>
    <t>yannispoulakakis@gmail.com</t>
  </si>
  <si>
    <t>mixpoul@yahoo.gr</t>
  </si>
  <si>
    <t>ΠΟΥΛΑΚΗΣ</t>
  </si>
  <si>
    <t>ΠΟΥΛΗΣ</t>
  </si>
  <si>
    <t>gpoulis@sch.gr</t>
  </si>
  <si>
    <t>ΠΡΙΝΑΡΗ</t>
  </si>
  <si>
    <t>hlektra69@hotmail.com</t>
  </si>
  <si>
    <t>prineleni@hotmail.com</t>
  </si>
  <si>
    <t>ΠΡΙΝΙΩΤΑΚΗΣ</t>
  </si>
  <si>
    <t>jpriniotakis@sch.gr</t>
  </si>
  <si>
    <t>ΠΡΙΟΒΟΛΟΥ</t>
  </si>
  <si>
    <t>ΠΡΟΒΑΤΑΚΗ</t>
  </si>
  <si>
    <t>mprovataki@sch.gr</t>
  </si>
  <si>
    <t>ΠΡΟΙΣΤΑΚΗΣ</t>
  </si>
  <si>
    <t>ΠΡΩΤΟΓΕΡΑΚΗΣ</t>
  </si>
  <si>
    <t>manostenniscoach@gmail.com</t>
  </si>
  <si>
    <t>218/1-9-2005</t>
  </si>
  <si>
    <t>ΠΥΘΑΡΟΥΛΗ</t>
  </si>
  <si>
    <t>olga.pytharouli@gmail.com</t>
  </si>
  <si>
    <t>ΡΑΦΑΙΛΑΚΗΣ</t>
  </si>
  <si>
    <t>ΣΟΦΟΚ</t>
  </si>
  <si>
    <t>ΡΕΙΖΗΣ</t>
  </si>
  <si>
    <t>ΧΡΥΣΟΥΛΗ</t>
  </si>
  <si>
    <t>greizis1@gmail.com</t>
  </si>
  <si>
    <t>ΡΕΠΠΑΣ</t>
  </si>
  <si>
    <t>ΡΕΤΣΙΟΣ</t>
  </si>
  <si>
    <t>kesyp@dide.las.sch.gr</t>
  </si>
  <si>
    <t>ΡΙΓΓΑΣ</t>
  </si>
  <si>
    <t>c.riggas@gmail.com</t>
  </si>
  <si>
    <t>ΡΟΔΙΦΤΣΗ</t>
  </si>
  <si>
    <t>irenerod62@gmail.com</t>
  </si>
  <si>
    <t>ΡΟΥΜΠΕΛΑΚΗ</t>
  </si>
  <si>
    <t>anthir@yahoo.gr</t>
  </si>
  <si>
    <t>ΡΩΣΣΙΔΗΣ</t>
  </si>
  <si>
    <t>thanros@sch.gr</t>
  </si>
  <si>
    <t>mixpa16@gmail.com</t>
  </si>
  <si>
    <t>ΕΛΕΥΘΕΡΙ</t>
  </si>
  <si>
    <t>niksarid@sch.gr</t>
  </si>
  <si>
    <t>ΣΑΡΙΚΛΑΚΗΣ</t>
  </si>
  <si>
    <t>ΣΑΡΡΗ</t>
  </si>
  <si>
    <t>katerina.sa@hotmail.com</t>
  </si>
  <si>
    <t>ΣΑΡΡΗΣ</t>
  </si>
  <si>
    <t>giannisvip@windowslive.com</t>
  </si>
  <si>
    <t>ΣΑΧΠΑΖΗ</t>
  </si>
  <si>
    <t>ΕΥΣΤΡΑΤΙ</t>
  </si>
  <si>
    <t>auroraofs@hotmail.com</t>
  </si>
  <si>
    <t>ΣΒΟΡΩΝΟΥ</t>
  </si>
  <si>
    <t>ΣΤΕΦΑ</t>
  </si>
  <si>
    <t>angelasvoronou@gmail.com</t>
  </si>
  <si>
    <t>ΣΒΩΛΟΥ</t>
  </si>
  <si>
    <t>svollou@gmail.com</t>
  </si>
  <si>
    <t>ΣΓΟΥΡΟΥ</t>
  </si>
  <si>
    <t>ΖΑΜΒΙΑ</t>
  </si>
  <si>
    <t>msgourou@yahoo.gr</t>
  </si>
  <si>
    <t>ΣΕΡΑΣΚΕΡΗΣ</t>
  </si>
  <si>
    <t>ΠΑΝΑΗ</t>
  </si>
  <si>
    <t>sseraskeris@gmail.com</t>
  </si>
  <si>
    <t>ΣΕΡΕΤΙΔΟΥ</t>
  </si>
  <si>
    <t>alexiaseretidou@yahoo.com</t>
  </si>
  <si>
    <t>ΣΕΧΙΔΟΥ</t>
  </si>
  <si>
    <t>ΦΙΛΟΠΟΙΜΗΝ</t>
  </si>
  <si>
    <t>annasehidou@yahoo.gr</t>
  </si>
  <si>
    <t>ΣΗΜΑΙΟΦΟΡΙΔΟΥ</t>
  </si>
  <si>
    <t>ΠΑΝΑΓΙΩΤΑ-ΝΙΚΗ</t>
  </si>
  <si>
    <t>kellysconstellation@yahoo.gr</t>
  </si>
  <si>
    <t>ΣΗΦΑΚΗ-ΜΑΡΚΟΓΙΑΝΝΑΚΗ</t>
  </si>
  <si>
    <t>ΔΩΡΑ</t>
  </si>
  <si>
    <t>d.markogiannaki@gmail.com</t>
  </si>
  <si>
    <t>giorgos.sifakis@gmail.com</t>
  </si>
  <si>
    <t>ΣΗΦΑΝΤΩΝΑΚΗ</t>
  </si>
  <si>
    <t>kasifanton@sch.gr</t>
  </si>
  <si>
    <t>ΣΙΓΑΝΟΥ</t>
  </si>
  <si>
    <t>ΜΑΡΙΑΣ</t>
  </si>
  <si>
    <t>psiganou@yahoo.gr</t>
  </si>
  <si>
    <t>882/Γ/08-09-2017</t>
  </si>
  <si>
    <t>sofia.sid.vas@gmail.com</t>
  </si>
  <si>
    <t>gsimou2014@yahoo.gr</t>
  </si>
  <si>
    <t>ΣΙΣΜΑΝΙΔΗΣ</t>
  </si>
  <si>
    <t>sv9col@gmail.com</t>
  </si>
  <si>
    <t>ΣΚΑΡΑΜΑΓΚΑΣ</t>
  </si>
  <si>
    <t>nickat19@hotmail.com</t>
  </si>
  <si>
    <t>ΣΚΟΥΛΟΥΔΗ</t>
  </si>
  <si>
    <t>ΧΑΡΙΚΛΕ</t>
  </si>
  <si>
    <t>ΣΚΟΥΜΠΑΣ</t>
  </si>
  <si>
    <t>ΚΩΝΣΤ</t>
  </si>
  <si>
    <t>ΣΚΟΥΡΤΗ</t>
  </si>
  <si>
    <t>ΣΟΛΑΚΟΥΔΗΣ</t>
  </si>
  <si>
    <t>ΒΛΑΣΙΟΣ</t>
  </si>
  <si>
    <t>eleni.soul08@gmail.com</t>
  </si>
  <si>
    <t>ΣΟΥΡΓΙΑΔΑΚΗ</t>
  </si>
  <si>
    <t>msourgiad@sch.gr</t>
  </si>
  <si>
    <t>m.spir21@gmail.com</t>
  </si>
  <si>
    <t>mariaspma@yahoo.gr</t>
  </si>
  <si>
    <t>ΣΤΑΘΑΚΗΣ</t>
  </si>
  <si>
    <t>ΣΤΑΘΟΓΛΟΥ</t>
  </si>
  <si>
    <t>ΙΩΑΝΝΑ-ΜΑΡΙΝΑ</t>
  </si>
  <si>
    <t>ΙΩΑΝΝΑ ΜΑΡΙΝΑ</t>
  </si>
  <si>
    <t>stelios.stamatakis@gmail.com</t>
  </si>
  <si>
    <t>ΣΤΑΜΑΤΟΠΟΥΛΟΣ</t>
  </si>
  <si>
    <t>stama.paolo@yahoo.gr</t>
  </si>
  <si>
    <t>stamelosioa@gmail.com</t>
  </si>
  <si>
    <t>evastav50@gmail.com</t>
  </si>
  <si>
    <t>ev_stayrakakh@yahoo.gr</t>
  </si>
  <si>
    <t>sarphedon@gmail.com</t>
  </si>
  <si>
    <t>ΣΤΕΠΑΝΙΑΝ</t>
  </si>
  <si>
    <t>ΒΕΡΖΙΝ</t>
  </si>
  <si>
    <t>ΤΑΒΙΚ</t>
  </si>
  <si>
    <t>ΜΑΤΛΗ</t>
  </si>
  <si>
    <t>verstepa@me.com</t>
  </si>
  <si>
    <t>ΣΤΕΦΑΝΟΥ</t>
  </si>
  <si>
    <t xml:space="preserve">ΓΕΩΡΓΙΟΣ </t>
  </si>
  <si>
    <t>raniastivaktaki@hotmail.gr</t>
  </si>
  <si>
    <t>ΣΥΓΓΕΛΑΚΗΣ</t>
  </si>
  <si>
    <t>sintifan@yahoo.gr</t>
  </si>
  <si>
    <t>elranna@yahoo.com</t>
  </si>
  <si>
    <t>stasfakianaki@gmail.com</t>
  </si>
  <si>
    <t>ΙΟΚΑΣΤΗ</t>
  </si>
  <si>
    <t>csfakian@yahoo.gr</t>
  </si>
  <si>
    <t>ΣΦΕΝΔΥΛΑΚΗΣ</t>
  </si>
  <si>
    <t>ΣΤΕΦΑΝΟΥΛΑ</t>
  </si>
  <si>
    <t>esfendilakis@yahoo.gr</t>
  </si>
  <si>
    <t>ΣΦΥΡΑΚΗ</t>
  </si>
  <si>
    <t>sfiraki957@gmail.com</t>
  </si>
  <si>
    <t>manosfyrakis@yahoo.gr</t>
  </si>
  <si>
    <t>John_Sfyrakis@hotmail.com</t>
  </si>
  <si>
    <t>ΣΩΜΑΡΑΣ</t>
  </si>
  <si>
    <t>ΤΑΒΑΝΤΖΟΠΟΥΛΟΥ</t>
  </si>
  <si>
    <t>renatampouratzi@hotmail.gr</t>
  </si>
  <si>
    <t>ΤΑΜΠΟΥΡΑΤΖΗΣ</t>
  </si>
  <si>
    <t>tampouratzis@sch.gr</t>
  </si>
  <si>
    <t>ΤΑΣΣΟΠΟΥΛΟΥ</t>
  </si>
  <si>
    <t>evitassopoulou@yahoo.gr</t>
  </si>
  <si>
    <t>ΤΑΤΣΙΚΑ</t>
  </si>
  <si>
    <t>ioannatat@yahoo.gr</t>
  </si>
  <si>
    <t>ΤΕΡΖΗΣ</t>
  </si>
  <si>
    <t>terzis_l@yahoo.gr</t>
  </si>
  <si>
    <t>ΤΖΑΒΛΑΣ</t>
  </si>
  <si>
    <t>tzavlasg@gmail.com</t>
  </si>
  <si>
    <t>tzagioan@gmail.com</t>
  </si>
  <si>
    <t>ΤΖΑΡΑΚΗΣ</t>
  </si>
  <si>
    <t>neapili@sch.gr</t>
  </si>
  <si>
    <t>ΤΖΕΡΕΜΕ</t>
  </si>
  <si>
    <t>ΑΓΛΑΙ</t>
  </si>
  <si>
    <t>elenitzereme@yahoo.gr</t>
  </si>
  <si>
    <t>ΘΕΟΦΡΑΣΤ</t>
  </si>
  <si>
    <t>tzirakisd@yahoo.gr</t>
  </si>
  <si>
    <t>ΤΖΙΡΗ</t>
  </si>
  <si>
    <t>ketitz@yahoo.gr</t>
  </si>
  <si>
    <t>ΤΖΟΒΑΡΑ</t>
  </si>
  <si>
    <t>ΚΩΝΣΤΑΝΤΙΝIΑ</t>
  </si>
  <si>
    <t>tzovarakonstantina@gmail.com</t>
  </si>
  <si>
    <t>geotzom@gmail.com</t>
  </si>
  <si>
    <t>ΤΖΩΡΤΖΗ</t>
  </si>
  <si>
    <t>athinatzortzi@gmail.com</t>
  </si>
  <si>
    <t>ΦΩΤΕ</t>
  </si>
  <si>
    <t>ΤΖΩΡΤΖΗΣ</t>
  </si>
  <si>
    <t>ΚΩΣΤΟΥΛ</t>
  </si>
  <si>
    <t>gtzortzis62@hotmail.com</t>
  </si>
  <si>
    <t>geo72tzo@gmail.com</t>
  </si>
  <si>
    <t>ΤΙΣΣΙΖΗΣ</t>
  </si>
  <si>
    <t>iwa.tissizis@gmail.com</t>
  </si>
  <si>
    <t>martout3@yahoo.gr</t>
  </si>
  <si>
    <t>martou10@gmail.com</t>
  </si>
  <si>
    <t>ntoutoudakis@gmail.com</t>
  </si>
  <si>
    <t>ΤΡΙΧΑ</t>
  </si>
  <si>
    <t>ΜΑΡΙΚΑΙΤΗ</t>
  </si>
  <si>
    <t>marritrix@gmail.com</t>
  </si>
  <si>
    <t>ΤΡΥΠΟΣΚΟΥΦΗ</t>
  </si>
  <si>
    <t>mtriposkoufi@gmail.com</t>
  </si>
  <si>
    <t>amfiliki87@gmail.com</t>
  </si>
  <si>
    <t>231 τΓ/31-08-2004</t>
  </si>
  <si>
    <t>ΤΣΑΚΙΡΑΚΗΣ</t>
  </si>
  <si>
    <t>tsakirakism@gmail.com</t>
  </si>
  <si>
    <t>etsamandoura@gmail.com</t>
  </si>
  <si>
    <t>ΤΣΑΜΠΑΝΑΚΗΣ</t>
  </si>
  <si>
    <t>tsamp1968@gmail.com</t>
  </si>
  <si>
    <t>ΤΣΑΝΤΗΡΑΚΗ</t>
  </si>
  <si>
    <t>sofia.tsantiraki@gmail.com</t>
  </si>
  <si>
    <t>dimitramondeo@yahoo.gr</t>
  </si>
  <si>
    <t>ΤΣΕΚΟΥΡΑ</t>
  </si>
  <si>
    <t>tsekouraxrysa@gmail.com</t>
  </si>
  <si>
    <t>ΤΣΙΑΜΟΥ</t>
  </si>
  <si>
    <t>mtsiamou@gmail.com</t>
  </si>
  <si>
    <t>ΤΣΙΦΕΤΑΚΗΣ</t>
  </si>
  <si>
    <t>tsifetakis@gmail.com</t>
  </si>
  <si>
    <t>ΤΣΙΧΛΗΣ</t>
  </si>
  <si>
    <t>che_gat@yahoo.gr</t>
  </si>
  <si>
    <t>ΤΣΟΥΜΠΟΣ</t>
  </si>
  <si>
    <t>ΦΩΤΗΣ</t>
  </si>
  <si>
    <t>antonists54@gmail.com</t>
  </si>
  <si>
    <t>ΤΣΟΥΡΑΚΗΣ</t>
  </si>
  <si>
    <t>stsourakis@hotmail.com</t>
  </si>
  <si>
    <t>ΤΣΟΥΡΔΑΛΑΚΗΣ</t>
  </si>
  <si>
    <t>ΘΕΟΧΑΡΗΣ</t>
  </si>
  <si>
    <t>tsourdalakis@gmail.com</t>
  </si>
  <si>
    <t>ΦΑΙΤΑΚΗΣ</t>
  </si>
  <si>
    <t>ΦΩTEI</t>
  </si>
  <si>
    <t>golfaygo@yahoo.gr</t>
  </si>
  <si>
    <t>dfanouraki@hotmail.com</t>
  </si>
  <si>
    <t>fanourakis@gmail.com</t>
  </si>
  <si>
    <t>fan1965@hotmail.gr</t>
  </si>
  <si>
    <t>afarsaris@hotmail.com</t>
  </si>
  <si>
    <t>ΦΑΦΟΥΤΑΚΗΣ</t>
  </si>
  <si>
    <t>ΣΟΦ</t>
  </si>
  <si>
    <t>gmfafoutakis@gmail.com</t>
  </si>
  <si>
    <t>ΦΕΡΑΡΑ</t>
  </si>
  <si>
    <t>ΑΣΗΜΙΝΑ</t>
  </si>
  <si>
    <t>minaferara@yahoo.com</t>
  </si>
  <si>
    <t>ΦΙΛΑΝΔΑΡΑΚΗΣ</t>
  </si>
  <si>
    <t>katia87@windowslive.com</t>
  </si>
  <si>
    <t>294/04-11-2004</t>
  </si>
  <si>
    <t>ΦΙΛΤΙΚΑΚΗΣ</t>
  </si>
  <si>
    <t>dimfil@gmail.com</t>
  </si>
  <si>
    <t>ΦΙΝΟΚΑΛΙΩΤΗΣ</t>
  </si>
  <si>
    <t>ΦΙΟΡΑΚΗ</t>
  </si>
  <si>
    <t>marionfiorak@gmail.com</t>
  </si>
  <si>
    <t>ΦΙΩΤΑΚΗ</t>
  </si>
  <si>
    <t>ΦΛΟΥΡΑΚΗ</t>
  </si>
  <si>
    <t>charaflou@outlook.com.gr</t>
  </si>
  <si>
    <t>charaflou@gmail.com</t>
  </si>
  <si>
    <t>ΦΟΥΛΕ</t>
  </si>
  <si>
    <t>ΝΕΚΤΑΡΙΕΛΕΝΑ</t>
  </si>
  <si>
    <t>nektarielena@yahoo.gr</t>
  </si>
  <si>
    <t>ΦΟΥΝΤΟΥΛΑΚΗΣ</t>
  </si>
  <si>
    <t>ΦΟΥΡΝΙΩΤΗΣ</t>
  </si>
  <si>
    <t>dimfour@gmail.com</t>
  </si>
  <si>
    <t>ΦΟΥΣΤΕΡΗ</t>
  </si>
  <si>
    <t>fousteri@sch.gr</t>
  </si>
  <si>
    <t>ΦΟΥΤΑΚΗ</t>
  </si>
  <si>
    <t>dariafoutaki@gmail.com</t>
  </si>
  <si>
    <t>ΦΡΟΝΙΜΑΚΗ</t>
  </si>
  <si>
    <t>sofiafron1@hotmail.com</t>
  </si>
  <si>
    <t>ΦΩΤΕΙΝΑΚΗΣ</t>
  </si>
  <si>
    <t>nfoteinakis@gmail.com</t>
  </si>
  <si>
    <t>ΧΑΒΑΚΗΣ</t>
  </si>
  <si>
    <t>gchavakis@sch.gr</t>
  </si>
  <si>
    <t>ΧΑΙΡΕΤΑΚΗΣ</t>
  </si>
  <si>
    <t>italid2@gmail.com</t>
  </si>
  <si>
    <t>aposheretis@gmail.com</t>
  </si>
  <si>
    <t>ΧΑΪΤΑ</t>
  </si>
  <si>
    <t>ΑΥΓΟΥΣΤΟ</t>
  </si>
  <si>
    <t>ΧΑΛΒΑΤΖΗ</t>
  </si>
  <si>
    <t>ΧΑΛΕΠΗ</t>
  </si>
  <si>
    <t>antoniskargiotis64@gmail.com</t>
  </si>
  <si>
    <t>konst.chalk@gmail.com</t>
  </si>
  <si>
    <t>ΧΑΜΗΛΑΚΗ</t>
  </si>
  <si>
    <t>dhamilaki@hotmail.gr</t>
  </si>
  <si>
    <t>ΧΑΜΗΛΑΚΗΣ</t>
  </si>
  <si>
    <t>ixamilakis@gmail.com</t>
  </si>
  <si>
    <t>chamilakism@hotmail.gr</t>
  </si>
  <si>
    <t>ΧΑΜΗΛΟΘΩΡΗΣ</t>
  </si>
  <si>
    <t>ΕΙΡΗΝΑΙΟΣ</t>
  </si>
  <si>
    <t>ΧΑΝΝΣ</t>
  </si>
  <si>
    <t>ΑΝΤΖΕΛΑ</t>
  </si>
  <si>
    <t>ΝΤΙΤΕΡ</t>
  </si>
  <si>
    <t>ΡΕΝΑΤ</t>
  </si>
  <si>
    <t>anhannss@yahoo.gr</t>
  </si>
  <si>
    <t>h.artemis@hotmail.com</t>
  </si>
  <si>
    <t>ΧΑΡΙΤΟΥ</t>
  </si>
  <si>
    <t>ΠΑΝΑΓΗΣ</t>
  </si>
  <si>
    <t>amaliaharitou@yahhoo.gr</t>
  </si>
  <si>
    <t>ΧΑΣΑΠΛΑΔΑΚΗΣ</t>
  </si>
  <si>
    <t>echasapl@sch.gr</t>
  </si>
  <si>
    <t>nectaria_kostaki@yahoo.gr</t>
  </si>
  <si>
    <t>ioxatzakis222@gmail.com</t>
  </si>
  <si>
    <t>ΖΗΝΟΒ</t>
  </si>
  <si>
    <t>hazkall@yahoo.gr</t>
  </si>
  <si>
    <t>ΧΑΤΖΗΛΑΜΠΡΟΥ</t>
  </si>
  <si>
    <t>mariachatzilambrou@gmail.com</t>
  </si>
  <si>
    <t>ΧΑΤΖΗΜΑΡΚΑΚΗ</t>
  </si>
  <si>
    <t>PoppyChatzimarcaki@gmail.com</t>
  </si>
  <si>
    <t>ΧΑΤΖΗΠΑΝΑΓΙΩΤΗ</t>
  </si>
  <si>
    <t>ΕΛΠΙΔ</t>
  </si>
  <si>
    <t>mariaxpanagioti@yahoo.gr</t>
  </si>
  <si>
    <t>ΧΗΡΟΥΔΗ</t>
  </si>
  <si>
    <t>ΧΟΙΛΟΥΣ</t>
  </si>
  <si>
    <t>ΠΑΝΩΡΑΙΑ</t>
  </si>
  <si>
    <t>chourdakis@yahoo.gr</t>
  </si>
  <si>
    <t>xourdakis1@hotmail.com</t>
  </si>
  <si>
    <t>ΧΟΥΡΜΟΥΖΗ</t>
  </si>
  <si>
    <t>christaki-angela@hotmail.com</t>
  </si>
  <si>
    <t>ΧΡΙΣΤΑΚΗ</t>
  </si>
  <si>
    <t>mchstaki79@gmai.lcom</t>
  </si>
  <si>
    <t>ΧΡΙΣΤΟΓΙΑΝΝΗΣ</t>
  </si>
  <si>
    <t>cchristogiannis@yahoo.gr</t>
  </si>
  <si>
    <t>maryfox86@yahoo.gr</t>
  </si>
  <si>
    <t>emchrist@sch.gr</t>
  </si>
  <si>
    <t>kaliopepsaroudaki@gmail.com</t>
  </si>
  <si>
    <t>vaggelispsaroudakis@yahoo.gr</t>
  </si>
  <si>
    <t>ΕΥΡΥΔΙΚ</t>
  </si>
  <si>
    <t>gianpsaroudakis@gmail.com</t>
  </si>
  <si>
    <t>hrpsarouda@gmail.com</t>
  </si>
  <si>
    <t>ΛΟΥΚΑΣ</t>
  </si>
  <si>
    <t>ΩΖ1Υ4653ΠΣ-0ΔΚ/ΩΘΑ44653ΠΣ-5ΞΑ</t>
  </si>
  <si>
    <t>ΡΕΘΥΜΝΟΥ (Δ.Ε.) 2018</t>
  </si>
  <si>
    <t>ΔΙΕΥΘΥΝΣΗ Δ.Ε. ΡΕΘΥΜΝΟΥ</t>
  </si>
  <si>
    <t>3ο ΗΜΕΡΗΣΙΟ ΓΥΜΝΑΣΙΟ ΡΕΘΥΜΝΟΥ</t>
  </si>
  <si>
    <t>3gymreth@sch.gr</t>
  </si>
  <si>
    <t>dora.aggelaki@yahoo.gr</t>
  </si>
  <si>
    <t>1ο ΗΜΕΡΗΣΙΟ ΓΕΝΙΚΟ ΛΥΚΕΙΟ ΡΕΘΥΜΝΟΥ</t>
  </si>
  <si>
    <t>mail@1lyk-rethymn.reth.sch.gr</t>
  </si>
  <si>
    <t>225/τ.Γ/9-9-05</t>
  </si>
  <si>
    <t>2ο ΗΜΕΡΗΣΙΟ ΓΥΜΝΑΣΙΟ ΡΕΘΥΜΝΟΥ</t>
  </si>
  <si>
    <t>mail@2gym-rethymn.reth.sch.gr</t>
  </si>
  <si>
    <t>pangelidaki@yahoo.gr</t>
  </si>
  <si>
    <t>ΗΜΕΡΗΣΙΟ ΓΕΝΙΚΟ ΛΥΚΕΙΟ ΕΠΙΣΚΟΠΗΣ ΡΕΘΥΜΝΟΥ</t>
  </si>
  <si>
    <t>mail@lyk-episk.reth.sch.gr</t>
  </si>
  <si>
    <t>ΛΑΠΠΑΙΩΝ</t>
  </si>
  <si>
    <t>ΑΓΕΡΙΑΔΗΣ</t>
  </si>
  <si>
    <t>ageriadis@gmail.gr</t>
  </si>
  <si>
    <t>ΑΔΡΑΜΗΣ</t>
  </si>
  <si>
    <t>1ο ΗΜΕΡΗΣΙΟ ΕΠΑΛ ΡΕΘΥΜΝΟΥ</t>
  </si>
  <si>
    <t>mail@1epalreth.gr</t>
  </si>
  <si>
    <t>athanasiouxrisa2@gmail.com</t>
  </si>
  <si>
    <t>ΑΛΑΤΣΑΚΗΣ</t>
  </si>
  <si>
    <t>2ο ΗΜΕΡΗΣΙΟ ΕΠΑ.Λ. ΡΕΘΥΜΝΟΥ</t>
  </si>
  <si>
    <t>mail@2epal-rethymn.reth.sch.gr</t>
  </si>
  <si>
    <t>ΑΛΕΚΤΟΡΙΔΟΥ</t>
  </si>
  <si>
    <t>alektoridoue@yahoo.gr</t>
  </si>
  <si>
    <t>m.alexandraki@gmail.com</t>
  </si>
  <si>
    <t>ΗΜΕΡΗΣΙΟ ΓΕΝΙΚΟ ΛΥΚΕΙΟ ΠΑΝΟΡΜΟΥ ΡΕΘΥΜΝΟΥ</t>
  </si>
  <si>
    <t>mail@lt-panorm.reth.sch.gr</t>
  </si>
  <si>
    <t>ΜΥΛΟΠΟΤΑΜΟΥ</t>
  </si>
  <si>
    <t>ΓΕΡΟΠΟΤΑΜΟΥ</t>
  </si>
  <si>
    <t>ΠΑΝΟΡΜΟΥ</t>
  </si>
  <si>
    <t>ΑΛΕΞΑΝΔΡΙΔΗ</t>
  </si>
  <si>
    <t>mary.alexandridou@gmail.com</t>
  </si>
  <si>
    <t>ΜΟΥΣΙΚΟ ΓΥΜΝΑΣΙΟ ΡΕΘΥΜΝΟΥ</t>
  </si>
  <si>
    <t>mail@gym-mous-rethymn.reth.sch.gr</t>
  </si>
  <si>
    <t>ΑΛΕΞΙΟΥ</t>
  </si>
  <si>
    <t>labrinale@gmail.com</t>
  </si>
  <si>
    <t>3ο ΗΜΕΡΗΣΙΟ ΓΕΝΙΚΟ ΛΥΚΕΙΟ ΡΕΘΥΜΝΟΥ</t>
  </si>
  <si>
    <t>mail@3lyk-rethymn.reth.sch.gr</t>
  </si>
  <si>
    <t>ΑΛΙΜΠΙΝΙΣΗΣ</t>
  </si>
  <si>
    <t>ΗΜΕΡΗΣΙΟ ΓΥΜΝΑΣΙΟ ΠΑΝΟΡΜΟΥ ΡΕΘΥΜΝΟΥ</t>
  </si>
  <si>
    <t>mail@gym-panorm.reth.sch.gr</t>
  </si>
  <si>
    <t>ΑΛΚΙΜΟΥ</t>
  </si>
  <si>
    <t>ΗΜΕΡΗΣΙΟ ΓΕΝΙΚΟ ΛΥΚΕΙΟ ΠΕΡΑΜΑΤΟΣ ΜΥΛΟΠΟΤΑΜΟΥ ΡΕΘΥΜΝΟΥ</t>
  </si>
  <si>
    <t>mail@lyk-peram.reth.sch.gr</t>
  </si>
  <si>
    <t>ΠΕΡΑΜΑΤΟΣ</t>
  </si>
  <si>
    <t>ΑΛΤΑΣ</t>
  </si>
  <si>
    <t>vanalt@in.gr</t>
  </si>
  <si>
    <t>ΑΜΑΝΑΤΙΔΗΣ</t>
  </si>
  <si>
    <t>mirdim@sch.gr</t>
  </si>
  <si>
    <t>ΑΜΠΑΤΖΙΔΗΣ</t>
  </si>
  <si>
    <t>kyrosamba@yahoo.gr</t>
  </si>
  <si>
    <t>ΗΜΕΡΗΣΙΟ ΓΥΜΝΑΣΙΟ ΚΡΑΝΑΣ ΡΕΘΥΜΝΟΥ</t>
  </si>
  <si>
    <t>mail@gym-kranas.reth.sch.gr</t>
  </si>
  <si>
    <t>ΚΟΥΛΟΥΚΩΝΑ</t>
  </si>
  <si>
    <t>ΛΙΒΑΔΙΩΝ</t>
  </si>
  <si>
    <t>ΑΝΑΓΝΩΣΤΑΚΙΣ</t>
  </si>
  <si>
    <t>mananagno@gmail.com</t>
  </si>
  <si>
    <t>Πειραματικό Γυμνάσιο</t>
  </si>
  <si>
    <t>ΠΕΙΡΑΜΑΤΙΚΟ ΓΥΜΝΑΣΙΟ ΡΕΘΥΜΝΟΥ ΠΑΝΕΠΙΣΤΗΜΙΟΥ ΚΡΗΤΗΣ</t>
  </si>
  <si>
    <t>mail@gym-aei.reth.sch.gr</t>
  </si>
  <si>
    <t>geoanasta1@gmail.com</t>
  </si>
  <si>
    <t>ΑΝΑΣΤΟΠΟΥΛΟΥ</t>
  </si>
  <si>
    <t>ΒΑΣΙΛΚΗ</t>
  </si>
  <si>
    <t>vasanasto@yahoo.gr</t>
  </si>
  <si>
    <t>ΑΝΤΩΝΑΚΗΣ</t>
  </si>
  <si>
    <t>zantonakis@hotmail.com</t>
  </si>
  <si>
    <t>ΗΜΕΡΗΣΙΟ ΓΥΜΝΑΣΙΟ ΣΥΒΡΙΤΟΥ ΡΕΘΥΜΝΟΥ</t>
  </si>
  <si>
    <t>mail@gym-syvrit.reth.sch.gr</t>
  </si>
  <si>
    <t>ΑΜΑΡΙΟΥ</t>
  </si>
  <si>
    <t>ΣΥΒΡΙΤΟΥ</t>
  </si>
  <si>
    <t>ΑΠΟΣΤΟΛΩΝ</t>
  </si>
  <si>
    <t>ΑΝΤΩΝΙΑΔΗΣ</t>
  </si>
  <si>
    <t>paantoniadis@yahoo.gr</t>
  </si>
  <si>
    <t>ΗΜΕΡΗΣΙΟ ΓΕΝΙΚΟ ΛΥΚΕΙΟ ΑΤΣΙΠΟΠΟΥΛΟΥ</t>
  </si>
  <si>
    <t>mail@lyk-atsip.reth.sch.gr</t>
  </si>
  <si>
    <t>ΝΙΚΗΦΟΡΟΥ ΦΩΚΑ</t>
  </si>
  <si>
    <t>ΑΤΣΙΠΟΠΟΥΛΟΥ</t>
  </si>
  <si>
    <t>adadwniou@yahoo.gr</t>
  </si>
  <si>
    <t>ΗΜΕΡΗΣΙΟ ΓΥΜΝΑΣΙΟ ΑΤΣΙΠΟΠΟΥΛΟΥ - ΓΥΜΝΑΣΙΟ ΑΤΣΙΠΟΠΟΥΛΟΥ</t>
  </si>
  <si>
    <t>mail@gym-atsip.reth.sch.gr</t>
  </si>
  <si>
    <t>2ο ΗΜΕΡΗΣΙΟ ΓΕΝΙΚΟ ΛΥΚΕΙΟ ΡΕΘΥΜΝΟΥ -  ΠΑΝΤΕΛΗΣ ΠΡΕΒΕΛΑΚΗΣ</t>
  </si>
  <si>
    <t>2lykreth@sch.gr</t>
  </si>
  <si>
    <t>ΑΝΥΦΑΝΤΑΚΗΣ</t>
  </si>
  <si>
    <t>marilen200@hotmail.gr</t>
  </si>
  <si>
    <t>5ο ΗΜΕΡΗΣΙΟ ΓΥΜΝΑΣΙΟ ΡΕΘΥΜΝΟΥ</t>
  </si>
  <si>
    <t>mail@5gym-rethymn.reth.sch.gr</t>
  </si>
  <si>
    <t>ΝΕΚΤΑΡΙΑ ΒΙΡ</t>
  </si>
  <si>
    <t>4ο ΗΜΕΡΗΣΙΟ ΓΥΜΝΑΣΙΟ ΡΕΘΥΜΝΟΥ</t>
  </si>
  <si>
    <t>mail@4gym-rethymn.reth.sch.gr</t>
  </si>
  <si>
    <t>michalis.apostolakis@gmail.com</t>
  </si>
  <si>
    <t>ΗΜΕΡΗΣΙΟ ΓΥΜΝΑΣΙΟ ΑΝΩΓΕΙΩΝ ΡΕΘΥΜΝΟΥ - ΣΤΑΥΡΑΚΕΙΟ</t>
  </si>
  <si>
    <t>mail@gym-anogeion.reth.sch.gr</t>
  </si>
  <si>
    <t>ΑΝΩΓΕΙΩΝ</t>
  </si>
  <si>
    <t>ΑΠΟΣΤΟΛΑΚΟΠΟΥΛΟΥ</t>
  </si>
  <si>
    <t>ΣΤΑΥΡΑΚΕΙΟ ΓΕΝΙΚΟ ΛΥΚΕΙΟ ΑΝΩΓΕΙΩΝ</t>
  </si>
  <si>
    <t>mail@lyk-anogeion.reth.sch.gr</t>
  </si>
  <si>
    <t>ΑΠΟΣΤΟΛΙΔΟΥ</t>
  </si>
  <si>
    <t>apostolidou-a@hotmail.com</t>
  </si>
  <si>
    <t>ΑΡΑΜΠΑΤΖΗ</t>
  </si>
  <si>
    <t>renarampatzi@gmail.com</t>
  </si>
  <si>
    <t>ΗΜΕΡΗΣΙΟ ΓΥΜΝΑΣΙΟ ΠΕΡΑΜΑΤΟΣ ΡΕΘΥΜΝΟΥ</t>
  </si>
  <si>
    <t>mail@gym-peram.reth.sch.gr</t>
  </si>
  <si>
    <t>ΑΡΕΤΑΚΗ</t>
  </si>
  <si>
    <t>ΑΡΣΕΝΑΚΗΣ</t>
  </si>
  <si>
    <t>ΑΡΣΕΝΙΟΣ</t>
  </si>
  <si>
    <t>ΜΟΣΧΟΣ</t>
  </si>
  <si>
    <t>arsenakis@hotmail.com</t>
  </si>
  <si>
    <t>654/18-8-2009</t>
  </si>
  <si>
    <t>antonislaw@yahoo.gr</t>
  </si>
  <si>
    <t>ΑΡΩΝΗ</t>
  </si>
  <si>
    <t>filiaaroni@gmail.com</t>
  </si>
  <si>
    <t>ΑΣΗΜΑΚΟΠΟΥΛΟΥ</t>
  </si>
  <si>
    <t>4o ΓΕΛ ΡΕΘΥΜΝΟΥ</t>
  </si>
  <si>
    <t>mail@4lyk-rethymn.reth.sch.gr</t>
  </si>
  <si>
    <t>ΑΣΤΡΙΝΑΚΗ</t>
  </si>
  <si>
    <t>ΒΑΚΙΡΤΖΗ</t>
  </si>
  <si>
    <t>ΗΜΕΡΗΣΙΟ ΓΥΜΝΑΣΙΟ ΕΠΙΣΚΟΠΗΣ ΡΕΘΥΜΝΟΥ - ΓΥΜΝΑΣΙΟ ΕΠΙΣΚΟΠΗΣ</t>
  </si>
  <si>
    <t>mail@gym-episk.reth.sch.gr</t>
  </si>
  <si>
    <t>ΒΑΛΣΑΜΗ</t>
  </si>
  <si>
    <t>ΧΑΪΔΩ</t>
  </si>
  <si>
    <t>ΒΑΜΒΑΚΑ</t>
  </si>
  <si>
    <t>xr2vamvaka@gmail.com</t>
  </si>
  <si>
    <t>ΒΑΝΤΑΡΑΚΗΣ</t>
  </si>
  <si>
    <t>vagvada@yahoo.gr</t>
  </si>
  <si>
    <t>ΒΑΡΕΛΗ</t>
  </si>
  <si>
    <t>olgavareli@gmail.com</t>
  </si>
  <si>
    <t>ΒΑΡΟΤΣΗ</t>
  </si>
  <si>
    <t>olga.varotsi@gmail.com</t>
  </si>
  <si>
    <t>ΒΑΣΑΚΗ</t>
  </si>
  <si>
    <t>ΒΑΣΑΛΑΚΗ</t>
  </si>
  <si>
    <t>latina_marina@yahoo.de</t>
  </si>
  <si>
    <t>ΒΑΣΙΛΕΙΑΔΗΣ</t>
  </si>
  <si>
    <t>ΒΑΣΙΛΕΙΑΔΟΥ</t>
  </si>
  <si>
    <t>ΗΜΕΡΗΣΙΟ ΓΕΝΙΚΟ ΛΥΚΕΙΟ ΦΟΥΡΦΟΥΡΑ ΡΕΘΥΜΝΟΥ</t>
  </si>
  <si>
    <t>mail@lyk-fourf.reth.sch.gr</t>
  </si>
  <si>
    <t>ΚΟΥΡΗΤΩΝ</t>
  </si>
  <si>
    <t>ΦΟΥΡΦΟΥΡΑ</t>
  </si>
  <si>
    <t>ΒΑΣΙΛΟΠΟΥΛΟΣ</t>
  </si>
  <si>
    <t>ΒΑΣΣΑΚΗ</t>
  </si>
  <si>
    <t>vassakiel@gmail.com</t>
  </si>
  <si>
    <t>218/01-09-05 Τ.Γ</t>
  </si>
  <si>
    <t>ΗΜΕΡΗΣΙΟ ΓΥΜΝΑΣΙΟ ΓΑΡΑΖΟΥ ΡΕΘΥΜΝΟΥ - ΓΥΜΝΑΣΙΟ ΓΑΡΑΖΟΥ</t>
  </si>
  <si>
    <t>mail@gym-garaz.reth.sch.gr</t>
  </si>
  <si>
    <t>ΓΑΡΑΖΟΥ</t>
  </si>
  <si>
    <t>ΒΑΣΣΑΛΟΣ</t>
  </si>
  <si>
    <t>vaggvass66@gmail.com</t>
  </si>
  <si>
    <t>ΒΑΣΣΑΛΟΥ</t>
  </si>
  <si>
    <t>aim.vass@hotmail.gr</t>
  </si>
  <si>
    <t>ΒΕΝΙΑΝΑΚΗ</t>
  </si>
  <si>
    <t>ΚΡΥΣΤΑΛΕΝΙΑ</t>
  </si>
  <si>
    <t>venianaki@gmail.com</t>
  </si>
  <si>
    <t>ΒΕΝΤΟΥΡΗ</t>
  </si>
  <si>
    <t>eusven@gmail.com</t>
  </si>
  <si>
    <t>ΗΜΕΡΗΣΙΟ ΓΥΜΝΑΣΙΟ ΦΟΥΡΦΟΥΡΑ ΡΕΘΥΜΝΟΥ</t>
  </si>
  <si>
    <t>mail@gym-fourf.reth.sch.gr</t>
  </si>
  <si>
    <t>ΒΕΡΓΕΡΑΚΗΣ</t>
  </si>
  <si>
    <t>ΒΕΡΥΚΑΚΗ</t>
  </si>
  <si>
    <t>ΒΙΒΙΛΑΚΗ</t>
  </si>
  <si>
    <t>ΒΙΓΛΗΣ</t>
  </si>
  <si>
    <t>ΒΙΖΙΡΓΙΑΝΑΚΗΣ</t>
  </si>
  <si>
    <t>ΑΙΜΙΛ</t>
  </si>
  <si>
    <t>ΒΙΟΛΑΚΗ</t>
  </si>
  <si>
    <t>ngiak@otenet.gr</t>
  </si>
  <si>
    <t>ΒΛΑΧΑ</t>
  </si>
  <si>
    <t>ΒΛΑΧΑΒΑΣ</t>
  </si>
  <si>
    <t>ΠΕΙΡΑΜΑΤΙΚΟ ΓΕΛ ΠΑΝΕΠΙΣΤΗΜΙΟΥ ΚΡΗΤΗΣ (ΡΕΘΥΜΝΟ)</t>
  </si>
  <si>
    <t>lykaei@sch.gr</t>
  </si>
  <si>
    <t>ΒΟΓΙΑΤΖΗΣ</t>
  </si>
  <si>
    <t>218τΓ/01/09/2005</t>
  </si>
  <si>
    <t>1ο ΗΜΕΡΗΣΙΟ ΓΥΜΝΑΣΙΟ ΡΕΘΥΜΝΟΥ</t>
  </si>
  <si>
    <t>mail@1gym-rethymn.reth.sch.gr</t>
  </si>
  <si>
    <t>ΒΟΛΙΩΤΗ</t>
  </si>
  <si>
    <t>ΒΟΛΤΥΡΑΚΗ</t>
  </si>
  <si>
    <t>voltiraki@gmail.com</t>
  </si>
  <si>
    <t>ΒΟΥΛΓΑΡΕΛΗΣ</t>
  </si>
  <si>
    <t>ΔΙΑΜΑΝΤΑ</t>
  </si>
  <si>
    <t>antonis@hotsoft.gr</t>
  </si>
  <si>
    <t>ΒΟΥΡΒΑΧΑΚΗΣ</t>
  </si>
  <si>
    <t>vourvas@hotmail.com</t>
  </si>
  <si>
    <t>ΒΟΥΡΕΞΑΚΗ</t>
  </si>
  <si>
    <t>erofili1@yahoo.gr</t>
  </si>
  <si>
    <t>ΒΟΥΤΣΑΔΑΚΗΣ</t>
  </si>
  <si>
    <t>ravdouxa@yahoo.gr</t>
  </si>
  <si>
    <t>ΒΡΕΝΤΖΟΣ</t>
  </si>
  <si>
    <t>avrentzos@sch.gr</t>
  </si>
  <si>
    <t>ΕΙΡΗΝΗ-ΕΛΕΥΘΕΡΙΑ</t>
  </si>
  <si>
    <t>elvrentzou@gmail.com</t>
  </si>
  <si>
    <t>ΒΡΕΤΟΥ</t>
  </si>
  <si>
    <t>ΔΙΟΝΥΣΙΟ</t>
  </si>
  <si>
    <t>ΒΡΟΝΤΑΚΗ</t>
  </si>
  <si>
    <t>mvrontaki@gmail.com</t>
  </si>
  <si>
    <t>ΒΡΟΝΤΑΚΗΣ</t>
  </si>
  <si>
    <t>ΓΑΓΑΝΗ</t>
  </si>
  <si>
    <t>ΓΑΓΑΝΗΣ</t>
  </si>
  <si>
    <t>ΡΟΔΑΜ</t>
  </si>
  <si>
    <t>gaganick2@gmail.com</t>
  </si>
  <si>
    <t>ΓΑΖΑΝΟΣ</t>
  </si>
  <si>
    <t>ggazanos23@gmail.com</t>
  </si>
  <si>
    <t>ΓΑΙΔΑΡΤΖΗΣ</t>
  </si>
  <si>
    <t>ΜΕΝΕΞΙΑ</t>
  </si>
  <si>
    <t>gaidartzis@sch.gr</t>
  </si>
  <si>
    <t>ΓΑΝΤΑΔΑΚΗΣ</t>
  </si>
  <si>
    <t>geo_gant@hotmail.com</t>
  </si>
  <si>
    <t>ΓΑΡΓΕΡΟΥ</t>
  </si>
  <si>
    <t>emikonomakis@yahoo.gr</t>
  </si>
  <si>
    <t>ΓΑΣΠΑΡΑΚΗΣ</t>
  </si>
  <si>
    <t>eagasp@yahoo.gr</t>
  </si>
  <si>
    <t>evangaspar@sch.gr</t>
  </si>
  <si>
    <t>ΓΑΤΟΥ</t>
  </si>
  <si>
    <t>ΗΛΕΚΤΡΑ-ΕΥΡΥΝΟΜΗ</t>
  </si>
  <si>
    <t>elektrasmail@yahoo.gr</t>
  </si>
  <si>
    <t>ΓΕΩΡΓΑΚΟΠΟΥΛΟΥ</t>
  </si>
  <si>
    <t>ΚΕΡΑΣΙΑ-ΣΟΥΖΑΝΑ</t>
  </si>
  <si>
    <t>ΑΠΟΣΤ</t>
  </si>
  <si>
    <t>ΓΕΩΡΓΟΥΣΗ</t>
  </si>
  <si>
    <t>ΑΝΝΑΜΑΡΙΑ</t>
  </si>
  <si>
    <t>amcgeor@yahoo.gr</t>
  </si>
  <si>
    <t>ΓΙΑΓΚΟΠΟΥΛΟΥ</t>
  </si>
  <si>
    <t>sissygiag@gmail.com</t>
  </si>
  <si>
    <t>giannakf@fks.uoc.gr</t>
  </si>
  <si>
    <t>ΓΙΑΝΝΕΛΑ</t>
  </si>
  <si>
    <t>ΓΙΑΝΝΕΛΗΣ</t>
  </si>
  <si>
    <t>ΔΟΥΚΑΙΝΑ</t>
  </si>
  <si>
    <t>giannelis@sch.gr</t>
  </si>
  <si>
    <t>anastasiagiannoulaki@gmail.com</t>
  </si>
  <si>
    <t>ΓΙΑΝΝΟΥΛΗ</t>
  </si>
  <si>
    <t>ΕΣΠΕΡΙΝΟ ΕΠΑΛ ΡΕΘΥΜΝΟΥ</t>
  </si>
  <si>
    <t>mail@epal-esp-rethymn.reth.sch.gr</t>
  </si>
  <si>
    <t>ΓΙΑΝΝΟΥΛΟΠΟΥΛΟΥ</t>
  </si>
  <si>
    <t>fgianoylopoyloy@yahoo.com</t>
  </si>
  <si>
    <t>ΓΚΑΒΑΡΔΙΝΑ</t>
  </si>
  <si>
    <t>evigav@yahoo.gr</t>
  </si>
  <si>
    <t>ΓΚΑΥΡΟΥ</t>
  </si>
  <si>
    <t>ΓΚΕΛΟΥ</t>
  </si>
  <si>
    <t>vasogelou@gmail.com</t>
  </si>
  <si>
    <t>ΗΜΕΡΗΣΙΟ ΓΥΜΝΑΣΙΟ ΣΠΗΛΙΟΥ</t>
  </si>
  <si>
    <t>gymspili@sch.gr</t>
  </si>
  <si>
    <t>ΑΓΙΟΥ ΒΑΣΙΛΕΙΟΥ</t>
  </si>
  <si>
    <t>ΛΑΜΠΗΣ</t>
  </si>
  <si>
    <t>ΣΠΗΛΙΟΥ</t>
  </si>
  <si>
    <t>ΓΚΟΡΤΣΙΛΑΣ</t>
  </si>
  <si>
    <t>ΓΛΕΝΗΣ</t>
  </si>
  <si>
    <t>ΓΑΡΥΦΑΛΛΙΑ</t>
  </si>
  <si>
    <t>ΓΟΥΜΕΝΑΚΗ</t>
  </si>
  <si>
    <t>ΓΟΥΝΑΚΗ</t>
  </si>
  <si>
    <t>mariagoun@yahoo.gr</t>
  </si>
  <si>
    <t>ΓΟΥΡΓΟΛΙΤΣΑ</t>
  </si>
  <si>
    <t>marygourgolitsa@gmail.com</t>
  </si>
  <si>
    <t>231 Τ.Γ.</t>
  </si>
  <si>
    <t>ΓΡΑΜΜΑΤΙΚΑ ΒΗΤΟΥ</t>
  </si>
  <si>
    <t>ΔΑΒΕΛΗ</t>
  </si>
  <si>
    <t>ΣΤΑΜΑΤΙΟ</t>
  </si>
  <si>
    <t>180/1-9-97</t>
  </si>
  <si>
    <t>ΔΑΜΑΝΑΚΗΣ</t>
  </si>
  <si>
    <t>ΔΑΡΑΚΗ</t>
  </si>
  <si>
    <t>ΔΑΡΑΤΖΗ</t>
  </si>
  <si>
    <t>katerinadaratzi@yahoo.gr</t>
  </si>
  <si>
    <t>ΔΑΡΙΒΑΚΗ</t>
  </si>
  <si>
    <t>ΑΙΚΑΤΕΡΙΝΑ</t>
  </si>
  <si>
    <t>katerinacreta@hotmail.com</t>
  </si>
  <si>
    <t>ΗΜΕΡΗΣΙΟ ΕΠΑΛ ΓΑΡΑΖΟΥ ΡΕΘΥΜΝΟΥ</t>
  </si>
  <si>
    <t>epal-garaz@sch.gr</t>
  </si>
  <si>
    <t>ΜΑΡΚΟ</t>
  </si>
  <si>
    <t>ΔΑΦΝΟΜΗΛΗ</t>
  </si>
  <si>
    <t>stavdaf@gmail.com</t>
  </si>
  <si>
    <t>ΔΕΒΕΡΑΚΗ</t>
  </si>
  <si>
    <t>ΑΝΝΕΤΑ</t>
  </si>
  <si>
    <t>alekadev@gmail.com</t>
  </si>
  <si>
    <t>ΔΕΔΕ</t>
  </si>
  <si>
    <t>ΚΑΛΥΨΩ</t>
  </si>
  <si>
    <t>evakiuk@yahoo.gr</t>
  </si>
  <si>
    <t>ΕΣΠΕΡΙΝΟ ΓΕΝΙΚΟ ΛΥΚΕΙΟ ΡΕΘΥΜΝΟ - ΛΥΚΕΙΟ ΡΕΘΥΜΝΟΥ ΕΣΠΕΡ</t>
  </si>
  <si>
    <t>mail@lyk-esp-rethymn.reth.sch.gr</t>
  </si>
  <si>
    <t>ΔΕΙΚΤΑΚΗ</t>
  </si>
  <si>
    <t>ΔΕΛΗΓΙΩΡΓΗ ΦΑΣΟΥΛΑ</t>
  </si>
  <si>
    <t>ΕΛΕΝΗ ΑΙΚΑΤΕ</t>
  </si>
  <si>
    <t>ΕΛΕΝΗ Κ</t>
  </si>
  <si>
    <t>elenedelegiorge@gmail.com</t>
  </si>
  <si>
    <t>ΔΕΛΗΜΙΧΑΗΛ</t>
  </si>
  <si>
    <t>ΠΑΝΑΓΗ</t>
  </si>
  <si>
    <t>ΗΜΕΡΗΣΙΟ ΓΕΝΙΚΟ ΛΥΚΕΙΟ ΣΠΗΛΙΟΥ ΡΕΘΥΜΝΟΥ</t>
  </si>
  <si>
    <t>mail@lyk-spiliou.reth.sch.gr</t>
  </si>
  <si>
    <t>ΔΕΛΗΜΠΑΣΗ</t>
  </si>
  <si>
    <t>gogo_milan@msn.com</t>
  </si>
  <si>
    <t>ΔΕΜΕΤΖΟΣ</t>
  </si>
  <si>
    <t>m.demetzos@yahoo.gr</t>
  </si>
  <si>
    <t>ΔΗΜΗΤΡΑΚΟΠΟΥΛΟΥ</t>
  </si>
  <si>
    <t>argdimi@yahoo.gr</t>
  </si>
  <si>
    <t>gdialyn@physics.uoc.gr</t>
  </si>
  <si>
    <t>virgdiamant@gmail.com</t>
  </si>
  <si>
    <t>ΔΙΚΗΣΣΙΔΗ</t>
  </si>
  <si>
    <t>ΜΟΣΧΟΥΛΑ</t>
  </si>
  <si>
    <t>218/1-9-05</t>
  </si>
  <si>
    <t>ΔΡΑΓΟΥΜΑΝΙΩΤΗ</t>
  </si>
  <si>
    <t>ΔΡΑΜΑΛΗ</t>
  </si>
  <si>
    <t>ΔΡΑΝΔΑΚΗ</t>
  </si>
  <si>
    <t>athina.drandaki@gmail.com</t>
  </si>
  <si>
    <t>ΔΡΑΝΔΑΚΗΣ</t>
  </si>
  <si>
    <t>ΔΡΟΥΔΑΚΗ</t>
  </si>
  <si>
    <t>ΖΑΒΒΟΣ</t>
  </si>
  <si>
    <t>nickzavvos@gmail.com</t>
  </si>
  <si>
    <t>ΖΑΝΙΔΑΚΗΣ</t>
  </si>
  <si>
    <t>ΖΑΝΝΕΤΟΥ</t>
  </si>
  <si>
    <t>ΝΕΛΙΑ</t>
  </si>
  <si>
    <t>ΖΗΝΩΝ</t>
  </si>
  <si>
    <t>ΝΑΥΣΙ</t>
  </si>
  <si>
    <t>zannetoun@yahoo.gr</t>
  </si>
  <si>
    <t>dakas39@gmail.com</t>
  </si>
  <si>
    <t>zaxarakism@sch.gr</t>
  </si>
  <si>
    <t>christiana_zacharioudaki@hotmail.com</t>
  </si>
  <si>
    <t>ΟΥΡΑΝ</t>
  </si>
  <si>
    <t>natzax@gmail.com</t>
  </si>
  <si>
    <t>ΖΕΪΜΠΕΚΗ</t>
  </si>
  <si>
    <t>christinezeimpeki@yahoo.gr</t>
  </si>
  <si>
    <t>ΖΕΡΒΟΣ</t>
  </si>
  <si>
    <t>ΖΕΡΒΟΥΔΑΚΗΣ</t>
  </si>
  <si>
    <t>zervoudakisiraklio@yahoo.gr</t>
  </si>
  <si>
    <t>ΖΗΚΑ</t>
  </si>
  <si>
    <t>penizik@gmail.com</t>
  </si>
  <si>
    <t>ΖΗΣΗΝΑΚΗ</t>
  </si>
  <si>
    <t>azisinaki@gmail.com</t>
  </si>
  <si>
    <t>ΖΟΥΜΠΟΥΛΑΚΗΣ</t>
  </si>
  <si>
    <t>ΖΩΝΟΥΔΑΚΗ</t>
  </si>
  <si>
    <t>ΔΙΑΛΕΚΤΗ</t>
  </si>
  <si>
    <t>hrysouli@otenet.gr</t>
  </si>
  <si>
    <t>ΗΛΙΑΚΑΚΗ</t>
  </si>
  <si>
    <t>ΗΛΙΑΚΑΚΗ ΣΤΑΥΡΙΔΑΚΗ</t>
  </si>
  <si>
    <t>iliakeva@yahoo.gr</t>
  </si>
  <si>
    <t>ΗΛΙΑΚΗ</t>
  </si>
  <si>
    <t>ΧΑΡΑΛ</t>
  </si>
  <si>
    <t>ΘΕΟΔΟΣΟΥΛΑΚΗΣ</t>
  </si>
  <si>
    <t>katsoro1@yahoo.gr</t>
  </si>
  <si>
    <t>ΘΕΟΔΩΡΑΚΟΠΟΥΛΟΥ</t>
  </si>
  <si>
    <t>filotheitheo@gmail.com</t>
  </si>
  <si>
    <t>ΘΕΟΔΩΡΑΚΟΠΟΥΛΟΥ ΣΟΦΟΥΛ</t>
  </si>
  <si>
    <t>ΘΕΟΧΑΡΑΤΟΥ</t>
  </si>
  <si>
    <t>ΣΠΥΡΟΓΕΡ</t>
  </si>
  <si>
    <t>djennycfu@yahoo.com</t>
  </si>
  <si>
    <t>ΘΩΜΑΔΑΚΗ</t>
  </si>
  <si>
    <t>efithoma@hotmail.com</t>
  </si>
  <si>
    <t>ΙΟΡΔΑΝΙΔΟΥ</t>
  </si>
  <si>
    <t>ΑΔΩΝΙΣ</t>
  </si>
  <si>
    <t>ΚΑΒΕΤΣΟΥ</t>
  </si>
  <si>
    <t>ΚΑΒΡΑΚΗ</t>
  </si>
  <si>
    <t>ΕΙΡ</t>
  </si>
  <si>
    <t>225/09-09-2005</t>
  </si>
  <si>
    <t>ΚΑΚΑΡΑΝΤΖΑ</t>
  </si>
  <si>
    <t>ΚΑΚΛΙΔΑΚΗ</t>
  </si>
  <si>
    <t>ekaklidaki@isc.tuc.gr</t>
  </si>
  <si>
    <t>318/τΓ΄/1-12-2005</t>
  </si>
  <si>
    <t>ΚΑΚΟΓΙΑΝΝΗ</t>
  </si>
  <si>
    <t>katerina.kakogianni@gmail.com</t>
  </si>
  <si>
    <t>ΚΑΛΛΕΡΓΗΣ</t>
  </si>
  <si>
    <t>ΚΑΛΛΙΒΡΟΥΣΗ</t>
  </si>
  <si>
    <t>kallivrousika@gmail.com</t>
  </si>
  <si>
    <t>ΚΑΛΟΓΕΡΑΚΗ</t>
  </si>
  <si>
    <t>pinelkalogeraki@gmail.com</t>
  </si>
  <si>
    <t>kalogerakis1961@gmail.com</t>
  </si>
  <si>
    <t>ΚΑΜΑΡΑ</t>
  </si>
  <si>
    <t>ΚΑΝΙΟΛΑΚΗΣ</t>
  </si>
  <si>
    <t>kaniolakis@sch.gr</t>
  </si>
  <si>
    <t>237/3-9-85</t>
  </si>
  <si>
    <t>ΚΑΝΤΙΔΑΚΗΣ</t>
  </si>
  <si>
    <t>xkantidakis@yahoo.gr</t>
  </si>
  <si>
    <t>ΚΑΟΥΡΜΑ</t>
  </si>
  <si>
    <t>ΚΑΠΕΛΩΝΗ</t>
  </si>
  <si>
    <t>ΚΑΠΕΝΕΚΑΚΗΣ</t>
  </si>
  <si>
    <t>ippokratis1@gmail.com</t>
  </si>
  <si>
    <t>ΚΑΠΕΤΑΝΑΚΙ</t>
  </si>
  <si>
    <t>ΔΗΜΗΤΡΙΑ</t>
  </si>
  <si>
    <t>agapi1972@yahoo.gr</t>
  </si>
  <si>
    <t>ΚΑΠΕΤΑΝΙΟΥ</t>
  </si>
  <si>
    <t>hs20415@hotmail.com</t>
  </si>
  <si>
    <t>ΚΑΠΝΙΑ</t>
  </si>
  <si>
    <t>xkapnoula@yahoo.com</t>
  </si>
  <si>
    <t>ΚΑΡΑΔΑΚΗ</t>
  </si>
  <si>
    <t>ΚΑΡΑΔΑΜΟΣ</t>
  </si>
  <si>
    <t>ΤΗΛΕΜΑΧΟ</t>
  </si>
  <si>
    <t>ΚΑΡΑΔΕΛΟΓΛΟΥ</t>
  </si>
  <si>
    <t>ΠΡΟΔΡΟΜΟΣ</t>
  </si>
  <si>
    <t>karadeloglou@hotmail.com</t>
  </si>
  <si>
    <t>antkarali@gmail.com</t>
  </si>
  <si>
    <t>ΚΑΡΑΜΕΡΗΣ</t>
  </si>
  <si>
    <t>ΚΑΡΑΜΗΤΡΟΣ</t>
  </si>
  <si>
    <t>ΚΑΡΑΜΠΑ</t>
  </si>
  <si>
    <t>ΚΑΡΑΝΤΖΙΚΟΥ</t>
  </si>
  <si>
    <t>ΚΑΡΑΤΖΑΦΕΡΗ</t>
  </si>
  <si>
    <t>ΚΑΡΑΤΖΕΤΖΟΣ</t>
  </si>
  <si>
    <t>karatzetzosvasilis@gmail.com</t>
  </si>
  <si>
    <t>ΚΑΡΙΜΑΛΗ</t>
  </si>
  <si>
    <t>liakarimali@hotmail.com</t>
  </si>
  <si>
    <t>ΚΑΡΙΝΙΩΤΑΚΗ</t>
  </si>
  <si>
    <t>mariak_no1@hotmail.com</t>
  </si>
  <si>
    <t>ΚΑΡΝΑΒΑ</t>
  </si>
  <si>
    <t>karnava@cyta.gr</t>
  </si>
  <si>
    <t>ΚΑΡΝΑΒΑΣ</t>
  </si>
  <si>
    <t>dimitris215@msn.com</t>
  </si>
  <si>
    <t>ΚΑΡΤΕΡΟΛΙΩΤΗΣ</t>
  </si>
  <si>
    <t>chkarterol@yahoo.gr</t>
  </si>
  <si>
    <t>ΚΑΡΦΑΚΗΣ</t>
  </si>
  <si>
    <t>ΚΑΣΩΤΑΚΗΣ</t>
  </si>
  <si>
    <t>ΚΑΤΖΟΥΡΑΚΗΣ</t>
  </si>
  <si>
    <t>ΚΑΤΗΣ</t>
  </si>
  <si>
    <t>ΚΑΤΙΚΑ</t>
  </si>
  <si>
    <t>ΚΑΤΣΕΛΑΚΗΣ</t>
  </si>
  <si>
    <t>ΚΑΤΣΗΣ</t>
  </si>
  <si>
    <t>ΔΕ02.02</t>
  </si>
  <si>
    <t>148/ΝΠΔΔ/27-06-2003</t>
  </si>
  <si>
    <t>ΚΑΤΣΙΛΙΑΝΟΣ</t>
  </si>
  <si>
    <t>swimstef2000@yahoo.gr</t>
  </si>
  <si>
    <t>ΚΑΤΣΙΝΕΛΗ</t>
  </si>
  <si>
    <t>jkatsineli@yahoo.gr</t>
  </si>
  <si>
    <t>ΚΑΤΣΟΓΡΙΔΑΚΗΣ</t>
  </si>
  <si>
    <t>ΚΑΤΣΟΥΓΚΡΗ</t>
  </si>
  <si>
    <t>ΚΑΤΣΟΥΛΑ</t>
  </si>
  <si>
    <t>aphrkatsoul@hotmail.com</t>
  </si>
  <si>
    <t>vasoilkosmar@hotmail.com</t>
  </si>
  <si>
    <t>ΚΑΤΤΗ</t>
  </si>
  <si>
    <t>ΚΑΦΤΑΝΗ</t>
  </si>
  <si>
    <t>ΚΑΨΑΣΚΗ</t>
  </si>
  <si>
    <t>angelkapsaski@gmaill.com</t>
  </si>
  <si>
    <t>ΚΕΝΤΡΑ</t>
  </si>
  <si>
    <t>ΚΕΡΑΜΙΔΑ</t>
  </si>
  <si>
    <t>ΑΠΟΣΤΟΛΙΑ</t>
  </si>
  <si>
    <t>ΚΕΡΑΣΤΑΣ</t>
  </si>
  <si>
    <t>basileioskerastas@yahoo.gr</t>
  </si>
  <si>
    <t>ΚΕΦΑΛΟΓΙΑΝΝΗ</t>
  </si>
  <si>
    <t>ΚΙΟΥΠΚΙΟΛΗΣ</t>
  </si>
  <si>
    <t>ΚΙΣΣΑΝΔΡΑΚΗ</t>
  </si>
  <si>
    <t>ΚΛΗΜΗ</t>
  </si>
  <si>
    <t>mariaklimaki@yahoo.fr</t>
  </si>
  <si>
    <t>ΚΟΚΟΣΑΛΗ</t>
  </si>
  <si>
    <t>ΚΟΛΚΑΣ</t>
  </si>
  <si>
    <t>koklas_a@yahoo.gr</t>
  </si>
  <si>
    <t>konioumaria@gmail.com</t>
  </si>
  <si>
    <t>ΚΟΝΤΑΚΟΣ</t>
  </si>
  <si>
    <t>tsowland1@yahoo.gr</t>
  </si>
  <si>
    <t>ΚΟΝΤΖΕΔΑΚΗΣ</t>
  </si>
  <si>
    <t>ΚΟΝΤΟΓΙΑΝΝΗ</t>
  </si>
  <si>
    <t>matoula.1961@gmail.com</t>
  </si>
  <si>
    <t>ΚΟΠΑΝΑΚΗ</t>
  </si>
  <si>
    <t>marialenand@gmail.com</t>
  </si>
  <si>
    <t>ΚΟΠΑΣΗ</t>
  </si>
  <si>
    <t>ΜΑΝΩΛΙΑ</t>
  </si>
  <si>
    <t>ΚΟΥΔΟΥΜΑΣ</t>
  </si>
  <si>
    <t>ΚΟΥΚΛΙΝΟΥ</t>
  </si>
  <si>
    <t>kkouklinou@yahoo.gr</t>
  </si>
  <si>
    <t>ΚΟΥΚΟΥΡΑΒΑ</t>
  </si>
  <si>
    <t>ΕΥΑΓΓΕΛΗ</t>
  </si>
  <si>
    <t>ΚΟΥΛΕΝΤΙΑΝΟΥ</t>
  </si>
  <si>
    <t>ΜΑΤΙΝΑ</t>
  </si>
  <si>
    <t>matinakoulentianou@gmail.com</t>
  </si>
  <si>
    <t>ΗΜΕΡΗΣΙΟ ΓΥΜΝΑΣΙΟ ΚΟΞΑΡΕΣ</t>
  </si>
  <si>
    <t>mail@gym-koxar.reth.sch.gr</t>
  </si>
  <si>
    <t>ΦΟΙΝΙΚΑ</t>
  </si>
  <si>
    <t>ΚΟΞΑΡΕΣ</t>
  </si>
  <si>
    <t>ΚΟΥΜΠΕΤΣΟΥ</t>
  </si>
  <si>
    <t>ΚΟΥΝΑΛΗ</t>
  </si>
  <si>
    <t>ΚΟΥΝΕΛΗΣ</t>
  </si>
  <si>
    <t>ΚΟΥΡΑΤΟΡΑ</t>
  </si>
  <si>
    <t>ΚΟΥΡΚΟΥΛΗ</t>
  </si>
  <si>
    <t>kkourkoyli@sch.gr</t>
  </si>
  <si>
    <t>ΚΟΥΡΡΗ</t>
  </si>
  <si>
    <t>ΚΟΥΡΤΗΣ</t>
  </si>
  <si>
    <t>ΚΟΥΤΣΑΚΗ</t>
  </si>
  <si>
    <t>constant_koutsaki@yahoo.com</t>
  </si>
  <si>
    <t>ΚΡΥΟΒΡΥΣΑΝΑΚΗ</t>
  </si>
  <si>
    <t>VIRGOKRIO@YAHOO.GR</t>
  </si>
  <si>
    <t>ΚΥΠΡΙΩΤΟΥ</t>
  </si>
  <si>
    <t>antoniakyprioti@gmail.com</t>
  </si>
  <si>
    <t>ΚΥΡΙΑΚΟΠΟΥΛΟΥ</t>
  </si>
  <si>
    <t>KyriaKopoylou.e@gmail.com</t>
  </si>
  <si>
    <t>ΚΩΒΑΙΟΣ</t>
  </si>
  <si>
    <t>ΚΩΝΣΤΑΝΤΗ</t>
  </si>
  <si>
    <t>ΚΩΝΣΤΑΝΤΙΝΙΔΟΥ</t>
  </si>
  <si>
    <t>m.konstantinidou@gmx.de</t>
  </si>
  <si>
    <t>ΕΕΕΕΚ ΡΕΘΥΜΝΟ - ΕΕΕΕΚ ΡΕΘΥΜΝΟΥ</t>
  </si>
  <si>
    <t>mail@eeeek.reth.sch.gr</t>
  </si>
  <si>
    <t>ntinakostaki1@yahoo.gr</t>
  </si>
  <si>
    <t>ΚΩΣΤΑΡΙΔΑΚΗ</t>
  </si>
  <si>
    <t>kostaridaki@yahoo.com</t>
  </si>
  <si>
    <t>ΚΩΣΤΟΓΛΟΥ</t>
  </si>
  <si>
    <t>ΚΩΦΟΠΟΥΛΟΥ</t>
  </si>
  <si>
    <t>ΙΓΝΑΤΙΑ</t>
  </si>
  <si>
    <t>ignakofo@gmail.com</t>
  </si>
  <si>
    <t>ΛΑΓΚΟΥΒΑΡΔΟΥ</t>
  </si>
  <si>
    <t>mlagoud@sch.gr</t>
  </si>
  <si>
    <t>ΛΑΖΑΡΑΚΗ</t>
  </si>
  <si>
    <t>marylazaraki@gmail.com</t>
  </si>
  <si>
    <t>206 / 2-9-2003</t>
  </si>
  <si>
    <t>ΛΑΛΩΤΗ</t>
  </si>
  <si>
    <t>ΤΕΡΕΖΑ</t>
  </si>
  <si>
    <t>ΚΑΤΕΡΙΝΑ</t>
  </si>
  <si>
    <t>184/30-8-1995</t>
  </si>
  <si>
    <t>ΛΑΜΠΑΘΑΚΗΣ</t>
  </si>
  <si>
    <t>mlampathakis@yahoo.gr</t>
  </si>
  <si>
    <t>ΛΑΜΠΑΚΗ</t>
  </si>
  <si>
    <t>ΛΑΜΠΡΑΚΗ</t>
  </si>
  <si>
    <t>leatherilias@yahoo.gr</t>
  </si>
  <si>
    <t>ΛΕΒΕΝΤΑΚΗ</t>
  </si>
  <si>
    <t>ΛΕΚΚΑ</t>
  </si>
  <si>
    <t>lekkazoi@yahoo.gr</t>
  </si>
  <si>
    <t>ΛΕΛΕΔΑΚΗ</t>
  </si>
  <si>
    <t>evrilel2009@hotmail.com</t>
  </si>
  <si>
    <t>ΛΕΜΠΙΔΑΚΗ</t>
  </si>
  <si>
    <t>ΛΕΟΥΝΑΚΗ</t>
  </si>
  <si>
    <t>ΛΕΤΣΙΟΣ</t>
  </si>
  <si>
    <t>cletsios@sch.gr</t>
  </si>
  <si>
    <t>ΛΕΩΝΙΔΑΚΗΣ</t>
  </si>
  <si>
    <t>leonidakis59@gmail.com</t>
  </si>
  <si>
    <t>ΛΙΟΥΔΑΚΗ</t>
  </si>
  <si>
    <t>glioudaki@gmail.com</t>
  </si>
  <si>
    <t>ΛΙΤΙΝΑΣ</t>
  </si>
  <si>
    <t>ΛΟΓΓΑΚΗ</t>
  </si>
  <si>
    <t>ΛΟΚΟΣ</t>
  </si>
  <si>
    <t>ΛΟΥΛΟΥΔΗΣ</t>
  </si>
  <si>
    <t>ΛΟΥΜΟΥ</t>
  </si>
  <si>
    <t>ΠΟΛΥΧΡΟΝ</t>
  </si>
  <si>
    <t>mloumou@yahoo.gr</t>
  </si>
  <si>
    <t>ΛΟΥΠΗ</t>
  </si>
  <si>
    <t>ΛΟΥΡΜΠΑΣ</t>
  </si>
  <si>
    <t>stamatiseducation@gmail.com</t>
  </si>
  <si>
    <t>ΜΑΪΛΛΗ-ΑΝΤΩΝΙΑΔΟΥ</t>
  </si>
  <si>
    <t>ΝΟΜΙΚΟΣ</t>
  </si>
  <si>
    <t>ΘΕΜΙΣ</t>
  </si>
  <si>
    <t>adamantia.maill@gmail.com</t>
  </si>
  <si>
    <t>ΕΥΣΕΒΕΙΑ</t>
  </si>
  <si>
    <t>Makrileni@hotmail.gr</t>
  </si>
  <si>
    <t>ΜΑΚΡΥΓΙΑΝΝΗ</t>
  </si>
  <si>
    <t>ΜΑΛΑΚΑΣΙΩΤΗ</t>
  </si>
  <si>
    <t>ΜΑΛΛΙΟΥ</t>
  </si>
  <si>
    <t>ΜΑΜΑΛΑΚΗ</t>
  </si>
  <si>
    <t>ΧΑΪΝΡ</t>
  </si>
  <si>
    <t>mantomamalaki@hotmail.com</t>
  </si>
  <si>
    <t>ΗΡΩ</t>
  </si>
  <si>
    <t>ΜΑΜΑΝΟΥ</t>
  </si>
  <si>
    <t>ΘΕΟΧΑΡΙΤΣΑ</t>
  </si>
  <si>
    <t>charamamanou@vochetmail.com</t>
  </si>
  <si>
    <t>ΜΑΝΑΝΕΔΑΚΗ</t>
  </si>
  <si>
    <t>ΘΕΟΝΥ</t>
  </si>
  <si>
    <t>ΜΑΝΔΥΛΑΚΗΣ</t>
  </si>
  <si>
    <t>nekmandilakis@yahoo.gr</t>
  </si>
  <si>
    <t>ΜΑΝΙΑΒΟΣ</t>
  </si>
  <si>
    <t>sotman9@gmail.com</t>
  </si>
  <si>
    <t>ΜΑΝΙΟΥΔΑΚΗ</t>
  </si>
  <si>
    <t>ΜΑΝΙΤΑΚΗ</t>
  </si>
  <si>
    <t>armanousaka@gmail.com</t>
  </si>
  <si>
    <t>nekt.manouselis@gmail.com</t>
  </si>
  <si>
    <t>ΜΑΝΤΑΔΑΚΗΣ</t>
  </si>
  <si>
    <t>smantad@gmail.com</t>
  </si>
  <si>
    <t>ΜΑΝΤΖΙΟΣ</t>
  </si>
  <si>
    <t>ΚΛΕΟΝΙΚΗ</t>
  </si>
  <si>
    <t>xrido@sch.gr</t>
  </si>
  <si>
    <t>ΔΗΜΟΣΘΕΝ</t>
  </si>
  <si>
    <t>ΜΑΝΩΛΑΚΑΚΗΣ</t>
  </si>
  <si>
    <t>maravelosk@gmail.com</t>
  </si>
  <si>
    <t>ΜΑΡΑΓΚΑΚΗΣ</t>
  </si>
  <si>
    <t>ΠΕ90</t>
  </si>
  <si>
    <t>ΝΑΥΤΙΚΩΝ ΜΑΘΗΜΑΤΩΝ</t>
  </si>
  <si>
    <t>ΜΑΡΑΓΚΟΥΔΑΚΗ</t>
  </si>
  <si>
    <t>argmarag@yahoo.gr</t>
  </si>
  <si>
    <t>despinamaragoudaki@gmail.com</t>
  </si>
  <si>
    <t>ΜΑΡΙΝΑΚΗΣ</t>
  </si>
  <si>
    <t>ΧΑΡΙΤΩΝ</t>
  </si>
  <si>
    <t>ΜΑΡΚΑΝΤΕΣ</t>
  </si>
  <si>
    <t>mmmarkan@gmail.com</t>
  </si>
  <si>
    <t>ΜΑΡΚΑΝΤΩΝΗΣ</t>
  </si>
  <si>
    <t>elthmark@gmail.com</t>
  </si>
  <si>
    <t>ΜΑΡΚΑΤΟΣ</t>
  </si>
  <si>
    <t>ΜΑΡΚΟΥΤΣΑΚΗΣ</t>
  </si>
  <si>
    <t>imarkoutsakis@gmail.com</t>
  </si>
  <si>
    <t>ΜΑΡΜΑΤΑΚΗΣ</t>
  </si>
  <si>
    <t>ΜΑΤΣΟΥΛΙΑΔΗ</t>
  </si>
  <si>
    <t>ΚΩΝ ΝΟΥ</t>
  </si>
  <si>
    <t>maurkat74@gmail.com</t>
  </si>
  <si>
    <t>maurakigeorgia@gmail.com</t>
  </si>
  <si>
    <t>jennymavraki@yahoo.gr</t>
  </si>
  <si>
    <t>ΜΑΥΡΙΚΑΚΗΣ</t>
  </si>
  <si>
    <t>imavrikakis@gmail.com</t>
  </si>
  <si>
    <t>ΜΕΛΑΜΠΙΑΝΑΚΗΣ</t>
  </si>
  <si>
    <t>ΜΕΛΙΝΤΖΗ</t>
  </si>
  <si>
    <t>nemo@sch.gr</t>
  </si>
  <si>
    <t>ΜΕΝΕΓΑΚΗ</t>
  </si>
  <si>
    <t>ΜΕΝΟΥΔΑΚΗΣ</t>
  </si>
  <si>
    <t>ΜΕΤΑΞΑ</t>
  </si>
  <si>
    <t>metaxanatas@live.com</t>
  </si>
  <si>
    <t>manolis@metaxakis.com</t>
  </si>
  <si>
    <t>ΜΕΤΑΞΑ-ΜΑΡΙΑΤΟΥ</t>
  </si>
  <si>
    <t>ΜΕΤΑΞΑΣ</t>
  </si>
  <si>
    <t>ΜΗΤΡΟΥ</t>
  </si>
  <si>
    <t>christinamitrou67@gmail.com</t>
  </si>
  <si>
    <t>ΜΙΣΧΟΠΟΥΛΟΥ</t>
  </si>
  <si>
    <t>ΦΡΑΓΚΟΥΛΗΣ</t>
  </si>
  <si>
    <t>ΜΙΧΑΛΗ</t>
  </si>
  <si>
    <t>ΜΙΧΑΛΟΥΔΑΚΗΣ</t>
  </si>
  <si>
    <t>mixalantonis@yahoo.gr</t>
  </si>
  <si>
    <t>ΜΙΧΕΛΟΥΔΑΚΗΣ</t>
  </si>
  <si>
    <t>amiheloydakis@gmail.com</t>
  </si>
  <si>
    <t>231 τ</t>
  </si>
  <si>
    <t>ΜΙΧΟΥΛΑ</t>
  </si>
  <si>
    <t>kkpsixountakis@gmail.com</t>
  </si>
  <si>
    <t>ΜΟΛΑΚΗ</t>
  </si>
  <si>
    <t>ΜΟΤΣΙΟΠΟΥΛΟΥ</t>
  </si>
  <si>
    <t>anthosmotsiop@gmail.com</t>
  </si>
  <si>
    <t>Ενιαίο Ειδικό Επαγγελματικό Γυμνάσιο -Λύκειο ΡΕΘΥΜΝΗΣ</t>
  </si>
  <si>
    <t>mail@gym-ee-rethymn.reth.sch.gr</t>
  </si>
  <si>
    <t>ΜΟΥΝΤΑΚΗΣ</t>
  </si>
  <si>
    <t>ΑΡΤΕΜΙΟΣ</t>
  </si>
  <si>
    <t>ΜΟΥΡΑΤΙΔΗΣ</t>
  </si>
  <si>
    <t>ΦΩΤIOΣ</t>
  </si>
  <si>
    <t>ΜΟΥΡΕΛΑΤΟΥ</t>
  </si>
  <si>
    <t>ΜΟΥΡΙΚΗΣ</t>
  </si>
  <si>
    <t>ΜΟΥΡΤΖΑΝΟΥ</t>
  </si>
  <si>
    <t>ΑΜΑΛΙ</t>
  </si>
  <si>
    <t>218/01-09-05</t>
  </si>
  <si>
    <t>ΜΠΑΓΚΕΡΗ</t>
  </si>
  <si>
    <t>mairi1962@gmail.com</t>
  </si>
  <si>
    <t>ΜΠΑΚΑΛΑΡΟΥ</t>
  </si>
  <si>
    <t>ΜΠΑΜΠΑΛΕΤΑΚΗ</t>
  </si>
  <si>
    <t>lia_baba@yahoo.gr</t>
  </si>
  <si>
    <t>ΜΠΑΝΟΥ</t>
  </si>
  <si>
    <t>banousophia@gmail.com</t>
  </si>
  <si>
    <t>ΜΠΕΙΚΑΚΗ</t>
  </si>
  <si>
    <t>ΚΑΣΣΑΝΔΡΑ</t>
  </si>
  <si>
    <t>ΣΟΦΟΥΛΑ</t>
  </si>
  <si>
    <t>ΜΠΕΛΜΠΑΣ</t>
  </si>
  <si>
    <t>belbas.xris@gmail.com</t>
  </si>
  <si>
    <t>ΜΠΕΛΤΣΙΟΥ</t>
  </si>
  <si>
    <t>elbel7@yahoo.gr</t>
  </si>
  <si>
    <t>ΜΠΙΡΙΚΑΚΗ</t>
  </si>
  <si>
    <t>evgeniabirik@yahoo.gr</t>
  </si>
  <si>
    <t>ΜΠΙΧΑΚΗΣ</t>
  </si>
  <si>
    <t>ΜΠΟΓΔΑΝΗ</t>
  </si>
  <si>
    <t>eleni_mp5@hotmail.com</t>
  </si>
  <si>
    <t>ΜΠΟΙΔΑΝΗ</t>
  </si>
  <si>
    <t>ΔΕΣΠΟΝΑ</t>
  </si>
  <si>
    <t>ebrotzaki@yahoo.com</t>
  </si>
  <si>
    <t>ΜΥΣΙΡΛΗΣ</t>
  </si>
  <si>
    <t>ΜΥΣΤΑΚΙΔΟΥ</t>
  </si>
  <si>
    <t>ΝΑΛΜΠΑΝΤΗ</t>
  </si>
  <si>
    <t>athinalmp@gmail.com</t>
  </si>
  <si>
    <t>ΝΑΣΙΑΚΟΥ</t>
  </si>
  <si>
    <t>ioannanasiakou@gmail.com</t>
  </si>
  <si>
    <t>ΝΙΚΑΚΗΣ</t>
  </si>
  <si>
    <t>ΚΑΣΣΙ</t>
  </si>
  <si>
    <t>cretanik@yahoo.gr</t>
  </si>
  <si>
    <t>ΝΙΚΗΤΑΡΑΣ</t>
  </si>
  <si>
    <t>ΝΙΚΗΤΟΠΟΥΛΟΣ</t>
  </si>
  <si>
    <t>nikito@sch.gr</t>
  </si>
  <si>
    <t>ΝΙΚΟΓΛΟΥ</t>
  </si>
  <si>
    <t>ΧΡΗΣΤΑΚΗΣ</t>
  </si>
  <si>
    <t>dimitrios_nik@hotmail.com</t>
  </si>
  <si>
    <t>ΝΙΚΟΛΑΪΔΟΥ</t>
  </si>
  <si>
    <t>anatnikol@hotmail.com</t>
  </si>
  <si>
    <t>xanthi.nikol@gmail.com</t>
  </si>
  <si>
    <t>136/4-8-1994 Τ. Γ΄</t>
  </si>
  <si>
    <t>despinanikol@gmail.com</t>
  </si>
  <si>
    <t>stellanik@gmail.com</t>
  </si>
  <si>
    <t>ΝΙΝΙΚΑΣ</t>
  </si>
  <si>
    <t>dimitrisninikas@yahoo.gr</t>
  </si>
  <si>
    <t>ΝΟΥΚΑΚΗ</t>
  </si>
  <si>
    <t>ΝΤΑΟΥΚΑΚΗ</t>
  </si>
  <si>
    <t>lina@goodmail.gr</t>
  </si>
  <si>
    <t>ΝΤΡΕΚΗ</t>
  </si>
  <si>
    <t>ddreki@sch.gr</t>
  </si>
  <si>
    <t>ΝΤΡΙΑΝΚΟΣ</t>
  </si>
  <si>
    <t>ΝΤΡΙΓΚΑ</t>
  </si>
  <si>
    <t>ΝΤΡΟΥΜΠΟΓΙΑΝΝΗ</t>
  </si>
  <si>
    <t>algiodia@otenet.gr</t>
  </si>
  <si>
    <t>ΝΥΧΤΗ</t>
  </si>
  <si>
    <t>ΣΠΥΡΙΔΟΥ</t>
  </si>
  <si>
    <t>ΞΑΝΘΟΣ</t>
  </si>
  <si>
    <t>ΠΑΓΙΑΒΛΗ</t>
  </si>
  <si>
    <t>ΑΜΙΡΣΑ</t>
  </si>
  <si>
    <t>ΠΑΓΩΝΗ</t>
  </si>
  <si>
    <t>pagonier@hotmail.com</t>
  </si>
  <si>
    <t>ΣΥΡΜΩ</t>
  </si>
  <si>
    <t>ΠΑΛΑΜΑ</t>
  </si>
  <si>
    <t>ΠΑΛΑΣΗ</t>
  </si>
  <si>
    <t>ΠΑΛΙΕΡΑΚΗ</t>
  </si>
  <si>
    <t>palath79@yahoo.gr</t>
  </si>
  <si>
    <t>ΠΑΛΙΟΥΡΑΣ</t>
  </si>
  <si>
    <t>j-pali@hotmail.com</t>
  </si>
  <si>
    <t>lianawave@gmail.com</t>
  </si>
  <si>
    <t>p.panagiotaki@gmail.com</t>
  </si>
  <si>
    <t>ΠΑΝΟΥΣΗΣ</t>
  </si>
  <si>
    <t>filippospn@gmail.com</t>
  </si>
  <si>
    <t>1321/Γ/22-12-2016</t>
  </si>
  <si>
    <t>ΠΑΝΤΑΛΟΣ</t>
  </si>
  <si>
    <t>ΠΑΝΤΕΛΑΣ</t>
  </si>
  <si>
    <t>ΠΑΝΤΖΕΚΟΣ</t>
  </si>
  <si>
    <t>panagiotis.pantzekos@gmail.com</t>
  </si>
  <si>
    <t>ΠΑΝΤΙΝΑΚΗΣ</t>
  </si>
  <si>
    <t>annaharit@hotmail.com</t>
  </si>
  <si>
    <t>ΚΟΥΛΑ</t>
  </si>
  <si>
    <t>thanospap1313@yahoo.gr</t>
  </si>
  <si>
    <t>ggppdk@gmail.com</t>
  </si>
  <si>
    <t>papadakis_theodoros@hotmail.com</t>
  </si>
  <si>
    <t>kirhv@hotmail.com</t>
  </si>
  <si>
    <t>papadakis.petros@gmail.com</t>
  </si>
  <si>
    <t>ΠΑΠΑΔΑΚΙΣ</t>
  </si>
  <si>
    <t>ΠΑΠΑΔΟΓΙΑΝΝΗ</t>
  </si>
  <si>
    <t>ΑΓΗΣΙΛΑΟ</t>
  </si>
  <si>
    <t>maria.pap.reth.8865@gmail.com</t>
  </si>
  <si>
    <t>ptheofilos@gmail.com</t>
  </si>
  <si>
    <t>papadopioann@gmail.com</t>
  </si>
  <si>
    <t>laz21020@hotmail.com</t>
  </si>
  <si>
    <t>mirsinipapadopou@gmail.com</t>
  </si>
  <si>
    <t>ΜΑΡΓΑ</t>
  </si>
  <si>
    <t>ΠΑΠΑΔΟΥΡΑΚΗ</t>
  </si>
  <si>
    <t>ΕΥΑΓΓΕΛΙΑ-ΑΓΓΕΛΙΚΗ</t>
  </si>
  <si>
    <t>evia.pap@gmail.com</t>
  </si>
  <si>
    <t>ΠΑΠΑΚΩΝΣΤΑΝΤΙΝΟΥ</t>
  </si>
  <si>
    <t>stergiopapa@gmail.com</t>
  </si>
  <si>
    <t>ΠΑΠΑΜΙΧΑΗΛ</t>
  </si>
  <si>
    <t>papami43@gmail.com</t>
  </si>
  <si>
    <t>ΠΑΠΑΝΑΓΝΟΥ</t>
  </si>
  <si>
    <t>ΠΑΠΑΣΤΑΘΗ</t>
  </si>
  <si>
    <t>ΠΑΠΑΤΡΙΑΝΤΑΦΥΛΛΟΥ</t>
  </si>
  <si>
    <t>ΧΡΥΣΑΝΘ</t>
  </si>
  <si>
    <t>ΠΑΠΑΧΡΗΣΤΟΣ</t>
  </si>
  <si>
    <t>ΠΑΠΑΧΡΙΣΤΟΔΟΥΛΟΥ</t>
  </si>
  <si>
    <t>nikos.papachristodoulou@gmail.com</t>
  </si>
  <si>
    <t>ΠΑΠΟΥΛΙΔΟΥ</t>
  </si>
  <si>
    <t>ΠΑΠΠΑ</t>
  </si>
  <si>
    <t>eva.pappa@gmail.com</t>
  </si>
  <si>
    <t>ΠΑΡΑΓΙΟΥΔΑΚΗΣ</t>
  </si>
  <si>
    <t>ΠΑΡΑΣΚΕΥΟΠΟΥΛΟΣ</t>
  </si>
  <si>
    <t>ΑΡΙΣΤΟΥ</t>
  </si>
  <si>
    <t>ΤΕ01.07</t>
  </si>
  <si>
    <t>ΗΛΕΚΤΡΟΝΙΚΟΙ</t>
  </si>
  <si>
    <t>ΠΑΡΑΣΧΑΚΗΣ</t>
  </si>
  <si>
    <t>antmay12000@yahoo.gr</t>
  </si>
  <si>
    <t>ΠΑΡΙΔΟΥ</t>
  </si>
  <si>
    <t>parxara76@gmail.com</t>
  </si>
  <si>
    <t>ΠΑΣΧΑΛΗ</t>
  </si>
  <si>
    <t>amethistos@hotmail.com</t>
  </si>
  <si>
    <t>anpateraki@sch.gr</t>
  </si>
  <si>
    <t>marpateraki75@gmail.com</t>
  </si>
  <si>
    <t xml:space="preserve">ΠΑΤΡΑΜΑΝΗ </t>
  </si>
  <si>
    <t>ΠΑΤΣΑΧΑΚΗ</t>
  </si>
  <si>
    <t>epatsahaki@gmail.com</t>
  </si>
  <si>
    <t>ΠΑΥΛΑΚΗ</t>
  </si>
  <si>
    <t>ΠΑΥΛΑΚΗΣ</t>
  </si>
  <si>
    <t>161/3-9-90</t>
  </si>
  <si>
    <t>ΠΑΧΟΥΜΗ</t>
  </si>
  <si>
    <t>epahoumi@yahoo.gr</t>
  </si>
  <si>
    <t>ΝΙΚΗΤΟΥΛΑ</t>
  </si>
  <si>
    <t>Nikipediad@gmail.com</t>
  </si>
  <si>
    <t>ΠΕΝΘΕΡΟΥΔΑΚΗΣ</t>
  </si>
  <si>
    <t>ΠΕΡΔΙΚΑΚΗΣ</t>
  </si>
  <si>
    <t>perdikos@yahoo.com</t>
  </si>
  <si>
    <t>ΠΕΡΠΙΡΑΚΗ</t>
  </si>
  <si>
    <t>ΔΙΟΜΙΔΗΣ</t>
  </si>
  <si>
    <t>ΠΕΤΡΑΚΑΚΗ</t>
  </si>
  <si>
    <t>appetrakaki@gmail.com</t>
  </si>
  <si>
    <t>irenepetraki1@gmail.com</t>
  </si>
  <si>
    <t>159/5-9-1994</t>
  </si>
  <si>
    <t>ΡΑΧΗΛ</t>
  </si>
  <si>
    <t>ΠΕΤΡΟΓΙΑΝΝΗ</t>
  </si>
  <si>
    <t>ΚΕΡΑΣΙΑ</t>
  </si>
  <si>
    <t>kpetrogianni@yahoo.gr</t>
  </si>
  <si>
    <t>ΠΕΤΡΟΠΟΥΛΟΥ</t>
  </si>
  <si>
    <t>ΠΕΤΡΟΥΓΑΚΗ ΚΑΛΑΙΤΖΑΝΤΩΝ</t>
  </si>
  <si>
    <t>184-30/8/05</t>
  </si>
  <si>
    <t>ΠΕΤΡΟΥΛΑΚΗΣ</t>
  </si>
  <si>
    <t>gepetroulakis@gmail.com</t>
  </si>
  <si>
    <t>ΠΕΤΡΟΥΛΗ</t>
  </si>
  <si>
    <t>ΠΕΤΣΑΓΓΟΥΡΑΚΗΣ</t>
  </si>
  <si>
    <t>ΠΙΚΡΑΚΗ</t>
  </si>
  <si>
    <t>ΕΥΑ</t>
  </si>
  <si>
    <t>maria.pikraki@gmail.com</t>
  </si>
  <si>
    <t>ΠΙΛΑΒΑ</t>
  </si>
  <si>
    <t>ΠΙΣΚΟΠΑΚΗ</t>
  </si>
  <si>
    <t>baggeliopisk@gmail.com</t>
  </si>
  <si>
    <t>ΠΙΤΕΡΗΣ</t>
  </si>
  <si>
    <t>ΠΛΑΤΙΝΑΚΗΣ</t>
  </si>
  <si>
    <t>platinakis@sch.gr</t>
  </si>
  <si>
    <t>k.i.plevrakis@gmail.com</t>
  </si>
  <si>
    <t>lagouta@yahoo.gr</t>
  </si>
  <si>
    <t>ΠΟΛΑΚΗ</t>
  </si>
  <si>
    <t>ΠΟΛΥΖΟΥ</t>
  </si>
  <si>
    <t>apolyzou@edc.voc.gr</t>
  </si>
  <si>
    <t>ΠΟΛΥΖΩΗΣ</t>
  </si>
  <si>
    <t>gpolizois@edc.uoc.gr</t>
  </si>
  <si>
    <t>ΠΟΛΥΜΙΛΗ</t>
  </si>
  <si>
    <t>ΠΟΝΤΙΚΑΚΗ</t>
  </si>
  <si>
    <t>pontikakivasiliki@gmail.com</t>
  </si>
  <si>
    <t>ΠΟΝΤΙΚΑΚΟΥ</t>
  </si>
  <si>
    <t>pontikakoubaso@gmail.com</t>
  </si>
  <si>
    <t>ΠΟΡΤΟΚΑΛΛΗ</t>
  </si>
  <si>
    <t>kalomirage@yahoo.com</t>
  </si>
  <si>
    <t>720/τΓ΄</t>
  </si>
  <si>
    <t>ΠΟΥΛΟΠΟΥΛΟΥ</t>
  </si>
  <si>
    <t>b.poulop@gmail.com</t>
  </si>
  <si>
    <t>ΠΡΕΝΤΖΑΣ</t>
  </si>
  <si>
    <t>liberoprentzas@gmail.com</t>
  </si>
  <si>
    <t>ΠΡΙΜΠΟΥ</t>
  </si>
  <si>
    <t>desprimpou@gmail.com</t>
  </si>
  <si>
    <t>ΠΡΟΙΚΑΚΗ</t>
  </si>
  <si>
    <t>ΠΡΟΥΣΑΛΗΣ</t>
  </si>
  <si>
    <t>ΠΥΡΓΙΑΝΑΚΗ</t>
  </si>
  <si>
    <t>pyrgian@yahoo.gr</t>
  </si>
  <si>
    <t>ΡΑΓΚΑΒΑ</t>
  </si>
  <si>
    <t>ΡΑΜΑΝΤΑ</t>
  </si>
  <si>
    <t>ΡΑΜΟΥΝΔΟΥ</t>
  </si>
  <si>
    <t>ΡΑΠΤΑΚΗ</t>
  </si>
  <si>
    <t>strasouli@gmail.com</t>
  </si>
  <si>
    <t>ΡΑΦΤΑΚΗΣ</t>
  </si>
  <si>
    <t>ΑΛΕΞΑΝΔ</t>
  </si>
  <si>
    <t>065/22-3-96</t>
  </si>
  <si>
    <t>ΡΕΒΗ</t>
  </si>
  <si>
    <t>ΡΕΘΕΜΙΩΤΑΚΗ</t>
  </si>
  <si>
    <t>ΡΕΡΑΚΗΣ</t>
  </si>
  <si>
    <t>rerakalex@gmail.com</t>
  </si>
  <si>
    <t>ΡΗΓΑΚΗ</t>
  </si>
  <si>
    <t>arigaki@gmail.com</t>
  </si>
  <si>
    <t>ΡΗΓΙΝΙΩΤΗΣ</t>
  </si>
  <si>
    <t>ΡΟΔΟΠΟΥΛΟΥ</t>
  </si>
  <si>
    <t>ΡΟΚΑ</t>
  </si>
  <si>
    <t>rokaeleni@gmail.com</t>
  </si>
  <si>
    <t>ΡΟΥΓΚΑ</t>
  </si>
  <si>
    <t>ΓΕΡΑΣΙΜΟΥΛΑ</t>
  </si>
  <si>
    <t>memir80@hotmail.com</t>
  </si>
  <si>
    <t>ΣΑΒΒΟΡΓΙΝΑΚΗ</t>
  </si>
  <si>
    <t>eugenia.sav@gmail.com</t>
  </si>
  <si>
    <t>ΣΑΒΒΟΡΓΙΝΑΚΗΣ</t>
  </si>
  <si>
    <t>savvo78@gmail.com</t>
  </si>
  <si>
    <t>ΣΑΚΕΛΛΑΡΑΚΗ</t>
  </si>
  <si>
    <t>ΧΡΙΣΤΙΝΑ-ΑΝΑΣΤΑΣΙΑ</t>
  </si>
  <si>
    <t>ΣΤΑΥΡΩΣΙΑ</t>
  </si>
  <si>
    <t>ΣΑΛΒΑΡΑΚΗ</t>
  </si>
  <si>
    <t>ΣΑΜΑΡΙΤΑΚΗΣ</t>
  </si>
  <si>
    <t>samaritisman@gmail.com</t>
  </si>
  <si>
    <t>ΣΑΜΙΟΣ</t>
  </si>
  <si>
    <t>ΣΑΜΟΛΑΔΑ</t>
  </si>
  <si>
    <t>ΠΟΛΥΔΕΥΚ</t>
  </si>
  <si>
    <t>esamolada@hotmail.com</t>
  </si>
  <si>
    <t>ΣΑΜΩΝΑΚΗΣ</t>
  </si>
  <si>
    <t>ΣΑΝΙΔΑΣ</t>
  </si>
  <si>
    <t>ΣΑΠΑΛΙΔΟΥ</t>
  </si>
  <si>
    <t>metzena@ach.sch.gr</t>
  </si>
  <si>
    <t>ΣΑΡΑΦΗ</t>
  </si>
  <si>
    <t>linasarafi@gmail.com</t>
  </si>
  <si>
    <t>ΣΑΡΡΗ-ΖΑΧΑΡΙΟΥΔΑΚΗ</t>
  </si>
  <si>
    <t>griababo@gmail.com</t>
  </si>
  <si>
    <t>ΣΓΟΥΡΟΣ</t>
  </si>
  <si>
    <t>sgouros@sch.gr</t>
  </si>
  <si>
    <t>ΣΕΙΡΑΓΑΚΗ</t>
  </si>
  <si>
    <t>ΣΕΙΤΑΝΗ</t>
  </si>
  <si>
    <t>elseitani@hotmail.com</t>
  </si>
  <si>
    <t>ΣΕΡΛΗΣ</t>
  </si>
  <si>
    <t>ΣΗΦΑΚΑΚΗΣ</t>
  </si>
  <si>
    <t>ΣΗΦΟΓΙΑΝΝΑΚΗ</t>
  </si>
  <si>
    <t>ΣΙΑΠΚΑΡΑ</t>
  </si>
  <si>
    <t>msiapk@otenet.gr</t>
  </si>
  <si>
    <t>ΣΙΑΦΑΚΑ</t>
  </si>
  <si>
    <t>ΣΙΜΙΤΖΗ</t>
  </si>
  <si>
    <t>ΣΙΝΗΣ</t>
  </si>
  <si>
    <t>ΣΙΠΗΤΑΝΟΣ</t>
  </si>
  <si>
    <t>sipitanoskonstant@gmail.com</t>
  </si>
  <si>
    <t>772/23-8-2010</t>
  </si>
  <si>
    <t>ΣΚΑΛΙΔΗ</t>
  </si>
  <si>
    <t>ΣΚΑΛΙΔΗΣ</t>
  </si>
  <si>
    <t>kskalidis@sch.gr</t>
  </si>
  <si>
    <t>ΣΚΑΜΝΑΚΗ</t>
  </si>
  <si>
    <t>st.skandalaki@gmail.com</t>
  </si>
  <si>
    <t>ΣΚΕΠΑΣΙΑΝΟΣ</t>
  </si>
  <si>
    <t>ΣΚΛΑΒΕΝΙΤΟΥ</t>
  </si>
  <si>
    <t>ΣΚΛΑΡΗ</t>
  </si>
  <si>
    <t>ΣΚΟΥΡΑ</t>
  </si>
  <si>
    <t>skourax@gmail.com</t>
  </si>
  <si>
    <t>ΣΟΥΡΟΥΛΗΣ</t>
  </si>
  <si>
    <t>ΣΟΦΟΛΟΓΗ</t>
  </si>
  <si>
    <t>ΣΟΦΟΥΛΑΚΗΣ</t>
  </si>
  <si>
    <t>ΣΠΑΝΟΥΔΑΚΗ</t>
  </si>
  <si>
    <t>ΣΠΑΝΤΙΔΑΚΗΣ</t>
  </si>
  <si>
    <t>logmaria@hotmail.com</t>
  </si>
  <si>
    <t>ΣΠΗΛΙΑΣ</t>
  </si>
  <si>
    <t>ΣΠΙΤΑΔΑΚΗ</t>
  </si>
  <si>
    <t>vassospitadaki@gmail.com</t>
  </si>
  <si>
    <t>193/29-8-2002</t>
  </si>
  <si>
    <t>ΑΣΗΜΕ</t>
  </si>
  <si>
    <t>775 τ Γ'</t>
  </si>
  <si>
    <t>giokspy@yahoo.gr</t>
  </si>
  <si>
    <t>ΣΠΥΡΟΥ</t>
  </si>
  <si>
    <t>ΣΤΑΜΑ</t>
  </si>
  <si>
    <t>ΣΤΑΓΑΚΗ</t>
  </si>
  <si>
    <t>ΣΤΑΓΑΚΗΣ</t>
  </si>
  <si>
    <t>smaragdi.psathaki@gmail.com</t>
  </si>
  <si>
    <t>manolisstag@hotmail.com</t>
  </si>
  <si>
    <t>gstag76@yahoo.com</t>
  </si>
  <si>
    <t>ΣΤΑΘΟΠΟΥΛΟΣ</t>
  </si>
  <si>
    <t>ΣΤΑΘΟΠΟΥΛΟΥ</t>
  </si>
  <si>
    <t>ΣΤΑΘΟΥΔΑΚΗ</t>
  </si>
  <si>
    <t>ΔΕΣΠΟΙΝΑ ΜΑΡ</t>
  </si>
  <si>
    <t>stath73@yahoo.gr</t>
  </si>
  <si>
    <t>ΣΤΑΜΑΡΓΑ</t>
  </si>
  <si>
    <t>elenistamarga@yahoo.gr</t>
  </si>
  <si>
    <t>sofiastamataki@hotmail.com</t>
  </si>
  <si>
    <t>ΣΤΑΣΙΝΟΥ</t>
  </si>
  <si>
    <t>ΣΤΑΥΡΙΑΝΑΚΗΣ</t>
  </si>
  <si>
    <t>ΣΤΑΥΡΙΔΑΚΗ</t>
  </si>
  <si>
    <t>ΜΑΡΙΑ ΜΑΓΔΑΛ</t>
  </si>
  <si>
    <t>stavrimari08@gmail.com</t>
  </si>
  <si>
    <t>ΣΤΑΥΡΟΥΛΑΚΗ</t>
  </si>
  <si>
    <t>elesta1@hotmail.com</t>
  </si>
  <si>
    <t>ΕΠΙΜΕΝΙΔΗΣ</t>
  </si>
  <si>
    <t>mariannastaur@yahoo.gr</t>
  </si>
  <si>
    <t>ΣΤΕΡΓΙΟΥ</t>
  </si>
  <si>
    <t>ΒΑΛΣΑΜΗΝΗ</t>
  </si>
  <si>
    <t>nafsika_ster@hotmail.com</t>
  </si>
  <si>
    <t>yiannisstefanakis@gmail.com</t>
  </si>
  <si>
    <t>ΑΡΙΣΤ</t>
  </si>
  <si>
    <t>ΣΤΕΦΑΝΗΣ</t>
  </si>
  <si>
    <t>ΣΤΡΑΤΗΓΑΚΗ</t>
  </si>
  <si>
    <t>ΚΑΣΤΟΡΑΣ-ΙΩΑΝΝΗΣ</t>
  </si>
  <si>
    <t>ΡΕΑ-ΑΘΑΝΑΣΙΑ</t>
  </si>
  <si>
    <t>ΣΤΥΛΙΑΝΟΥ</t>
  </si>
  <si>
    <t>ΦΛΩΡΕΤΤΑ</t>
  </si>
  <si>
    <t>ΛΕΥΚΩΘΕΑ</t>
  </si>
  <si>
    <t>rsfaki@yahoo.gr</t>
  </si>
  <si>
    <t>xrisasfak@gmail.com</t>
  </si>
  <si>
    <t>ΧΑΡΑΛΑΜΠΟΣ Σ</t>
  </si>
  <si>
    <t>ΣΩΤΗΡΙΟΥ</t>
  </si>
  <si>
    <t>elfgesot@yahoo.gr</t>
  </si>
  <si>
    <t>ΤΑΜΠΑΛΗΣ</t>
  </si>
  <si>
    <t>161/3-9-1990</t>
  </si>
  <si>
    <t>ΤΑΣΙΟΠΟΥΛΟΥ</t>
  </si>
  <si>
    <t>ΤΑΣΟΠΟΥΛΟΥ</t>
  </si>
  <si>
    <t>772/23-08-2010</t>
  </si>
  <si>
    <t>ΤΑΤΑΡΑΚΗ</t>
  </si>
  <si>
    <t>marianthitat@yahoo.gr</t>
  </si>
  <si>
    <t>raniatat@yahoo.gr</t>
  </si>
  <si>
    <t>772/Γ</t>
  </si>
  <si>
    <t>ΤΑΤΑΡΑΚΗ ΤΡΩΓΑΔΑ</t>
  </si>
  <si>
    <t>ΤΕΡΖΙΔΑΚΗ</t>
  </si>
  <si>
    <t>charlietzag@gmail.com</t>
  </si>
  <si>
    <t>ΤΖΑΓΚΑΡΑΚΗΣ</t>
  </si>
  <si>
    <t>ΤΖΑΝΑΚΑΚΗΣ</t>
  </si>
  <si>
    <t>ΤΖΕΔΑΚΗ</t>
  </si>
  <si>
    <t>ΤΖΕΚΑΚΗΣ</t>
  </si>
  <si>
    <t>ntzekakis@yahoo.com</t>
  </si>
  <si>
    <t>ΤΖΕΛΗΣΙΣ</t>
  </si>
  <si>
    <t>ΕΛΕΝΗ-ΒΑΡΒΑΡΑ</t>
  </si>
  <si>
    <t>ΤΖΙΤΖΙΚΑ</t>
  </si>
  <si>
    <t>ioannatzitzika@gmail.com</t>
  </si>
  <si>
    <t>ΤΖΟΥΒΑΛΗ</t>
  </si>
  <si>
    <t>tzouvalekos15@gmail.com</t>
  </si>
  <si>
    <t>231/31-8-04</t>
  </si>
  <si>
    <t>ΤΖΟΥΡΑΣ</t>
  </si>
  <si>
    <t>tzouras_4@yahoo.gr</t>
  </si>
  <si>
    <t>ΤΖΟΥΡΜΠΑΚΗ</t>
  </si>
  <si>
    <t>ΤΖΩΡΤΖΑΚΑΚΗ</t>
  </si>
  <si>
    <t>ΚΙΤΣΟΣ</t>
  </si>
  <si>
    <t>ΤΖΩΡΤΖΑΚΗΣ</t>
  </si>
  <si>
    <t>ΤΟΜΖΑΣ</t>
  </si>
  <si>
    <t>ΤΟΥΤΟΥΝΤΖΙΔΑΚΗ</t>
  </si>
  <si>
    <t>ΑΡΤΕΜΙΣΙΑ-ΓΕΩΡΓΙΑ</t>
  </si>
  <si>
    <t>artetou@gmail.com</t>
  </si>
  <si>
    <t>aspftr@gmail.com</t>
  </si>
  <si>
    <t>ΤΡΙΧΑΚΗ</t>
  </si>
  <si>
    <t>e.trixaki@gmail.com</t>
  </si>
  <si>
    <t>ΤΣΑΓΛΙΩΤΗΣ</t>
  </si>
  <si>
    <t>ΕΛΠΙΣ</t>
  </si>
  <si>
    <t>gtsagliotis@gmail.com</t>
  </si>
  <si>
    <t>ΤΣΑΛΜΠΟΥΡΗΣ</t>
  </si>
  <si>
    <t>ΤΣΑΝΤΑΚΗΣ</t>
  </si>
  <si>
    <t>ΤΣΑΟΥΣΟΓΛΟΥ</t>
  </si>
  <si>
    <t>154/13-9-1993</t>
  </si>
  <si>
    <t>ΤΣΑΠΑΡΙΔΗΣ</t>
  </si>
  <si>
    <t>ΠΑΡΕΣΣΑ</t>
  </si>
  <si>
    <t>alextsek@gmail.gr</t>
  </si>
  <si>
    <t>ΤΣΕΛΙΟΥ</t>
  </si>
  <si>
    <t>elli-ts@hotmail.com</t>
  </si>
  <si>
    <t>ΤΣΙΑΝΑΚΑ</t>
  </si>
  <si>
    <t>ΤΣΙΓΩΝΗ</t>
  </si>
  <si>
    <t>ΤΣΙΚΕΛΗ</t>
  </si>
  <si>
    <t>evagtsik@yahoo.gr</t>
  </si>
  <si>
    <t>ΤΣΙΚΙΝΤΙΚΟΥ</t>
  </si>
  <si>
    <t>destsik@gmail.com</t>
  </si>
  <si>
    <t>ΤΣΙΛΕΔΑΚΗΣ</t>
  </si>
  <si>
    <t>tsile@hotmail.com</t>
  </si>
  <si>
    <t>ΤΣΙΜΙΤΑΚΗΣ</t>
  </si>
  <si>
    <t>ntsimitakis@hotmail.com</t>
  </si>
  <si>
    <t>ΤΣΙΝΤΖΟΣ</t>
  </si>
  <si>
    <t>ΤΣΙΡΙΝΤΑΝΗ</t>
  </si>
  <si>
    <t>ΤΣΙΡΙΤΑΣ</t>
  </si>
  <si>
    <t>ΤΣΟΒΙΛΗΣ</t>
  </si>
  <si>
    <t>ΤΣΟΛΕΚΑ</t>
  </si>
  <si>
    <t>ΠΑΤΡΟΚΛΟΣ</t>
  </si>
  <si>
    <t>tsolekaa@yahoo.gr</t>
  </si>
  <si>
    <t>ΤΣΟΥΡΔΟΥ</t>
  </si>
  <si>
    <t>tsourdou@freemail.gr</t>
  </si>
  <si>
    <t>ΤΣΩΝΟΣ</t>
  </si>
  <si>
    <t>ketsonos@yahoo.gr</t>
  </si>
  <si>
    <t>ΤΥΡΑΚΗ</t>
  </si>
  <si>
    <t>ΑΛΙΚΗ-ΚΥΡΙΑΚΗ</t>
  </si>
  <si>
    <t>ΤΥΡΟΚΟΜΑΚΗΣ</t>
  </si>
  <si>
    <t>niktyrokomakis@gmai.com</t>
  </si>
  <si>
    <t>ΦΑΝΟΥΡΓΑΚΗ</t>
  </si>
  <si>
    <t>ΙΑΣΩΝ</t>
  </si>
  <si>
    <t>farsaris@hotmail.com</t>
  </si>
  <si>
    <t>ΦΟΒΑΚΗ</t>
  </si>
  <si>
    <t>ΦΟΥΡΦΟΥΛΑΚΗΣ</t>
  </si>
  <si>
    <t>sfourfou@yahoo.gr</t>
  </si>
  <si>
    <t>ΦΡΑΓΚΑΚΗ</t>
  </si>
  <si>
    <t>zizefra@gmail.com</t>
  </si>
  <si>
    <t>fchrysi@gmail.com</t>
  </si>
  <si>
    <t>atsipas@gmail.com</t>
  </si>
  <si>
    <t>helenefr@gmail.com</t>
  </si>
  <si>
    <t>ΦΡΑΓΚΟΓΙΑΝΝΗ</t>
  </si>
  <si>
    <t>marakif@yahoo.gr</t>
  </si>
  <si>
    <t>ΦΡΑΝΤΖΕΣΚΑΚΗ</t>
  </si>
  <si>
    <t>mfrant@gmail.com</t>
  </si>
  <si>
    <t>ΦΩΤΑΚΗΣ</t>
  </si>
  <si>
    <t>mixalisfotakis@gmail.com</t>
  </si>
  <si>
    <t>photinakis@gmail.com</t>
  </si>
  <si>
    <t>ΦΩΤΕΙΝΟΥ</t>
  </si>
  <si>
    <t>ΦΩΤΟΠΟΥΛΟΥ</t>
  </si>
  <si>
    <t>ΧΑΛΚΕΥΣ</t>
  </si>
  <si>
    <t>chalkia.duck@gmail.com</t>
  </si>
  <si>
    <t>ste.xa@hotmail.com</t>
  </si>
  <si>
    <t>ΧΑΝΙΩΤΑΚΗΣ</t>
  </si>
  <si>
    <t>ΒΛΑΣΣΗΣ</t>
  </si>
  <si>
    <t>ΜΑΡΙΑ ΑΙΚΑΤΕΡΙΝΗ</t>
  </si>
  <si>
    <t>jhaniot@hotmail.com</t>
  </si>
  <si>
    <t>chaniotakis@datatronics.gr</t>
  </si>
  <si>
    <t>ΧΑΡΑΛΑΜΠΙΔΗΣ</t>
  </si>
  <si>
    <t>pcharalampidis@yahoo.com</t>
  </si>
  <si>
    <t>ΔΙΟΓΕΝΗΣ</t>
  </si>
  <si>
    <t>ΧΑΡΑΤΖΗ</t>
  </si>
  <si>
    <t>ΒΑΣΙΛΙΚΗ-ΜΑΡΙΑ</t>
  </si>
  <si>
    <t>basoxara@yahoo.gr</t>
  </si>
  <si>
    <t>ΧΑΡΙΣΙΟΥ</t>
  </si>
  <si>
    <t>ΚΥΣΣΑΝΔΡΟΣ</t>
  </si>
  <si>
    <t>kissandros@gmail.com</t>
  </si>
  <si>
    <t>ΧΑΡΩΝΙΤΗΣ</t>
  </si>
  <si>
    <t>xaronitisxaris@hotmail.com</t>
  </si>
  <si>
    <t>ΣΩΦΡΟΝΙΑ</t>
  </si>
  <si>
    <t>mxatzaki@gmail.com</t>
  </si>
  <si>
    <t>ΧΑΤΖΗΔΗΜΗΤΡΙΟΥ</t>
  </si>
  <si>
    <t>ΧΑΤΖΗΕΛΑΝΙΔΗΣ</t>
  </si>
  <si>
    <t>ΔΗΜΟΚΡΙΤΟΥΛΑ</t>
  </si>
  <si>
    <t>pehatzie@hotmail.com</t>
  </si>
  <si>
    <t>ΧΑΤΖΗΗΛΙΑΔΗ</t>
  </si>
  <si>
    <t>ΧΑΤΖΗΠΡΟΚΟΠΙΟΥ</t>
  </si>
  <si>
    <t xml:space="preserve"> </t>
  </si>
  <si>
    <t>sxatzi@hotmail.com</t>
  </si>
  <si>
    <t>ΧΑΤΖΗΣΑΒΒΑΣ</t>
  </si>
  <si>
    <t>xsavvas@sch.gr</t>
  </si>
  <si>
    <t>ΧΑΤΖΗΣΠΥΡΟΥ</t>
  </si>
  <si>
    <t>ΧΑΧΑΡΙΔΑΚΗ</t>
  </si>
  <si>
    <t>ΧΕΙΜΩΝΙΔΗΣ</t>
  </si>
  <si>
    <t>miltos.thethiti@gmail.com</t>
  </si>
  <si>
    <t>ΧΕΛΙΟΥΔΑΚΗ</t>
  </si>
  <si>
    <t>ΧΟΜΠΗ</t>
  </si>
  <si>
    <t>achompi@sch.gr</t>
  </si>
  <si>
    <t>ΧΟΥΒΑΡΔΑ</t>
  </si>
  <si>
    <t>ΑΓΟΡΑ</t>
  </si>
  <si>
    <t>Agoritta@gmail.com</t>
  </si>
  <si>
    <t>ΘΕΚΛΑ</t>
  </si>
  <si>
    <t>christou_lio@hotmail.com</t>
  </si>
  <si>
    <t>ΧΡΙΣΤΟΔΟΥΛΑΡΑ</t>
  </si>
  <si>
    <t>ΧΡΥΣΟΥΛΑ-ΤΣΑΜΠΙΚΑ</t>
  </si>
  <si>
    <t>ΔΙΑΜΑΝΤΟΥΛΗ-ΜΑΡΙΑ</t>
  </si>
  <si>
    <t>cchristod2015@yahoo.gr</t>
  </si>
  <si>
    <t>ΕΥΣΤΑΘΙ</t>
  </si>
  <si>
    <t>mariachris2929@gmail.com</t>
  </si>
  <si>
    <t>ΕΥΘΥΜ</t>
  </si>
  <si>
    <t>annachr06@yahoo.gr</t>
  </si>
  <si>
    <t>mpsaraki@yahoo.gr</t>
  </si>
  <si>
    <t>psarounik@gmail.com</t>
  </si>
  <si>
    <t>ΨΗΝΑΣ</t>
  </si>
  <si>
    <t>ΨΥΛΟΓΛΟΥ</t>
  </si>
  <si>
    <t>ΨΥΧΑΡΑΚΗ</t>
  </si>
  <si>
    <t>ΨΩΜΑ</t>
  </si>
  <si>
    <t>ast6eri@yahoo.gr</t>
  </si>
  <si>
    <t>ΨΩΜΑΣ</t>
  </si>
  <si>
    <t>BECKER</t>
  </si>
  <si>
    <t>DIANA-ANTJE</t>
  </si>
  <si>
    <t>ΡΟΛΦ</t>
  </si>
  <si>
    <t>SIGLINDE</t>
  </si>
  <si>
    <t>beckerdiana@hotmail.com</t>
  </si>
  <si>
    <t>ΧΑΝΙΩΝ (Δ.Ε.) 2018</t>
  </si>
  <si>
    <t>ΔΙΕΥΘΥΝΣΗ Δ.Ε. ΧΑΝΙΩΝ</t>
  </si>
  <si>
    <t>1ο Γυμνάσιο Ελ. Βενιζέλου</t>
  </si>
  <si>
    <t>mail@1gym-el-venizel.chan.sch.gr</t>
  </si>
  <si>
    <t>ΕΛΕΥΘΕΡΙΟΥ ΒΕΝΙΖΕΛΟΥ</t>
  </si>
  <si>
    <t>ΝΕΡΟΚΟΥΡΟΥ</t>
  </si>
  <si>
    <t>VIRGA</t>
  </si>
  <si>
    <t>GIUSEPPINA</t>
  </si>
  <si>
    <t>ΝΤΟΜΕΝΙΚΟ</t>
  </si>
  <si>
    <t>SERAFINA</t>
  </si>
  <si>
    <t>2ο Γυμνάσιο Χανίων</t>
  </si>
  <si>
    <t>mail@2gym-chanion.chan.sch.gr</t>
  </si>
  <si>
    <t>eleniavraam4@gmail.com</t>
  </si>
  <si>
    <t>Ε.Ε.Ε.Ε.Κ. Κισάμου</t>
  </si>
  <si>
    <t>mail@eeeek-kisam.chan.sch.gr</t>
  </si>
  <si>
    <t>ΚΙΣΣΑΜΟΥ</t>
  </si>
  <si>
    <t>ΑΓΑΠΗ ΕΥΓΕΝ</t>
  </si>
  <si>
    <t>Γενικό Λύκειο Σούδας</t>
  </si>
  <si>
    <t>mail@lyk-soudas.chan.sch.gr</t>
  </si>
  <si>
    <t>ΣΟΥΔΑΣ</t>
  </si>
  <si>
    <t>john_angel7@yahoo.gr</t>
  </si>
  <si>
    <t>1ο ΕΠΑΛ Χανίων</t>
  </si>
  <si>
    <t>mail@1epal-chanion.chan.sch.gr</t>
  </si>
  <si>
    <t>steliosagelis@hotmail.com</t>
  </si>
  <si>
    <t>ΕΠΑΛ Ελευθερίου Βενιζέλου</t>
  </si>
  <si>
    <t>mail@epal-el-venizel.chan.sch.gr</t>
  </si>
  <si>
    <t>ΜΟΥΡΝΙΩΝ</t>
  </si>
  <si>
    <t>annaagiomy@gmail.com</t>
  </si>
  <si>
    <t>ΕΠΑΛ Κισάμου</t>
  </si>
  <si>
    <t>mail@epal-kissam.chan.sch.gr</t>
  </si>
  <si>
    <t>cadamakis@gmail.com</t>
  </si>
  <si>
    <t>2ο Γενικό Λύκειο Χανίων</t>
  </si>
  <si>
    <t>2lykchan@sch.gr</t>
  </si>
  <si>
    <t>Γενικό Λύκειο Βουκολιών</t>
  </si>
  <si>
    <t>mail@lyk-voukol.chan.sch.gr</t>
  </si>
  <si>
    <t>ΠΛΑΤΑΝΙΑ</t>
  </si>
  <si>
    <t>ΒΟΥΚΟΛΙΩΝ</t>
  </si>
  <si>
    <t>ΑΔΑΜΟΠΟΥΛΟΥ</t>
  </si>
  <si>
    <t>ΑΘΗΝΑΙΣ</t>
  </si>
  <si>
    <t>Γυμνάσιο Κουνουπιδιανών</t>
  </si>
  <si>
    <t>mail@gym-kounoup.chan.sch.gr</t>
  </si>
  <si>
    <t>ΑΚΡΩΤΗΡΙΟΥ</t>
  </si>
  <si>
    <t>ΚΟΥΝΟΥΠΙΔΙΑΝΩΝ</t>
  </si>
  <si>
    <t>ΑΖΑΣ</t>
  </si>
  <si>
    <t>Γυμνάσιο Βάμου - "Λαμπράκειο"</t>
  </si>
  <si>
    <t>mail@gym-vamou.chan.sch.gr</t>
  </si>
  <si>
    <t>ΑΠΟΚΟΡΩΝΟΥ</t>
  </si>
  <si>
    <t>ΒΑΜΟΥ</t>
  </si>
  <si>
    <t>ΘΕΑΝΩ- ΑΝΝΑ</t>
  </si>
  <si>
    <t>ariaath@yahoo.gr</t>
  </si>
  <si>
    <t>Γυμνάσιο Βρυσών</t>
  </si>
  <si>
    <t>mail@gym-vryson.chan.sch.gr</t>
  </si>
  <si>
    <t>ΚΡΥΟΝΕΡΙΔΑΣ</t>
  </si>
  <si>
    <t>ΒΡΥΣΩΝ</t>
  </si>
  <si>
    <t>Γενικό Λύκειο Νέας Κυδωνίας</t>
  </si>
  <si>
    <t>mail@lyk-n-kydon.chan.sch.gr</t>
  </si>
  <si>
    <t>ΝΕΑΣ ΚΥΔΩΝΙΑΣ</t>
  </si>
  <si>
    <t>ΔΑΡΑΤΣΟΥ</t>
  </si>
  <si>
    <t>gathanasaki@yahoo.gr</t>
  </si>
  <si>
    <t>Εσπερινό ΕΠΑΛ Πλατανιά</t>
  </si>
  <si>
    <t>ΑΘΑΝΑΣΕΛΛΗΣ</t>
  </si>
  <si>
    <t>ΕΠΑΛ Ακρωτηρίου</t>
  </si>
  <si>
    <t>mail@epal-akrot.chan.sch.gr</t>
  </si>
  <si>
    <t>mail@dide.chan.sch.gr</t>
  </si>
  <si>
    <t>ΚΩΝ ΝΤΙ</t>
  </si>
  <si>
    <t>ΓΥΜΝΑΣΙΟ ΝΕΑΣ ΚΥΔΩΝΙΑΣ</t>
  </si>
  <si>
    <t>mail@gym-n-kydon.chan.sch.gr</t>
  </si>
  <si>
    <t>sathadou@otenet.gr</t>
  </si>
  <si>
    <t>Γυμνάσιο Κολυμβαρίου</t>
  </si>
  <si>
    <t>mail@gym-kolymv.chan.sch.gr</t>
  </si>
  <si>
    <t>ΚΟΛΥΜΒΑΡΙΟΥ</t>
  </si>
  <si>
    <t>geoatha@gmail.com</t>
  </si>
  <si>
    <t>2ο ΕΠΑΛ Χανίων</t>
  </si>
  <si>
    <t>mail@2epal-chanion.chan.sch.gr</t>
  </si>
  <si>
    <t>dora.ath@gmail.com</t>
  </si>
  <si>
    <t>ΑΘΗΤΑΚΗ</t>
  </si>
  <si>
    <t>ireneathitaki@hotmail.com</t>
  </si>
  <si>
    <t>2ο Γυμνάσιο Κισάμου</t>
  </si>
  <si>
    <t>mail@2gym-kissam.chan.sch.gr</t>
  </si>
  <si>
    <t>ΑΘΟΥΣΑΚΗΣ</t>
  </si>
  <si>
    <t>athousg@sch.gr</t>
  </si>
  <si>
    <t>ΑΚΡΩΤΗΡΙΑΝΑΚΗ</t>
  </si>
  <si>
    <t>3ο Γενικό Λύκειο Χανίων</t>
  </si>
  <si>
    <t>mail@3lyk-chanion.chan.sch.gr</t>
  </si>
  <si>
    <t>vasalexaki@hotmail.com</t>
  </si>
  <si>
    <t>alexanvaso@gmail.com</t>
  </si>
  <si>
    <t>Γενικό Λύκειο Κισσάμου</t>
  </si>
  <si>
    <t>mail@1lyk-kissam.chan.sch.gr</t>
  </si>
  <si>
    <t>ΑΛΕΞΑΝΔΡΙΔΗΣ</t>
  </si>
  <si>
    <t>ΣΑΜΟΥΗΛ</t>
  </si>
  <si>
    <t>samy.alexandridis@gmail.com</t>
  </si>
  <si>
    <t>ΑΛΕΞΟΥΔΗ</t>
  </si>
  <si>
    <t>alexoudidiana@hotmail.com</t>
  </si>
  <si>
    <t>ΕΠΑ.Λ. Καντάνου</t>
  </si>
  <si>
    <t>mail@1epal-kandan.chan.sch.gr</t>
  </si>
  <si>
    <t>ΚΑΝΤΑΝΟΥ - ΣΕΛΙΝΟΥ</t>
  </si>
  <si>
    <t>ΚΑΝΤΑΝΟΥ</t>
  </si>
  <si>
    <t>ΚΑΝΔΑΝΟΥ (ΚΑΝΤΑΝΟΥ)</t>
  </si>
  <si>
    <t>ΑΛΕΥΡΑΚΗΣ</t>
  </si>
  <si>
    <t>ΑΛΙΦΙΕΡΑΚΗ</t>
  </si>
  <si>
    <t>ΑΛΥΓΙΖΑΚΗΣ</t>
  </si>
  <si>
    <t>ΑΛΥΣΑΒΑΚΗ</t>
  </si>
  <si>
    <t>kalysav@gmail.com</t>
  </si>
  <si>
    <t>ΑΜΠΕΛΑΣ</t>
  </si>
  <si>
    <t>ΙΩΑΝΝΗΣ-ΠΑΝΑΓΙΩΤΗΣ</t>
  </si>
  <si>
    <t>Γενικό Λύκειο Βάμου</t>
  </si>
  <si>
    <t>mail@lyk-vamou.chan.sch.gr</t>
  </si>
  <si>
    <t>ΓΕΝΙΚΟ ΛΥΚΕΙΟ ΚΟΛΥΜΒΑΡΙΟΥ</t>
  </si>
  <si>
    <t>mail@lyk-kolymv.chan.sch.gr</t>
  </si>
  <si>
    <t>ΑΝΑΓΝΩΣΤΟΠΟΥΛΟΥ-ΚΑΜΑΛΑΚΙΔΟΥ</t>
  </si>
  <si>
    <t>anagnostopoulounatalia@hotmail.com</t>
  </si>
  <si>
    <t>Ε.Ε.Ε.Ε.Κ. Χανίων</t>
  </si>
  <si>
    <t>mail@eeeek.chan.sch.gr</t>
  </si>
  <si>
    <t>anantina34@gmail.com</t>
  </si>
  <si>
    <t>ΑΝΑΝΙΑΔΟΥ</t>
  </si>
  <si>
    <t>ΘΕΟΔΟΣΙΟΣ</t>
  </si>
  <si>
    <t>ΚΩΣΤΑΝΤΙΝΑ</t>
  </si>
  <si>
    <t>ananiadoum@gmail.com</t>
  </si>
  <si>
    <t>ΑΡΧΟΝΤΙΣΣΑ</t>
  </si>
  <si>
    <t>arch.anastasaki@gmail.com</t>
  </si>
  <si>
    <t>7ο Γυμνάσιο Χανίων</t>
  </si>
  <si>
    <t>mail@7gym-chanion.chan.sch.gr</t>
  </si>
  <si>
    <t>Γενικό Λύκειο Ακρωτηρίου</t>
  </si>
  <si>
    <t>mail@lyk-akrot.chan.sch.gr</t>
  </si>
  <si>
    <t>ΙΡΕΝΕ ΣΟΥΕ</t>
  </si>
  <si>
    <t>nikos.anastasakis@sch.gr</t>
  </si>
  <si>
    <t>ΑΝΔΡΕΑΔΗΣ</t>
  </si>
  <si>
    <t>ΙΦΙΓΕΝΕ</t>
  </si>
  <si>
    <t>ΑΝΔΡΕΔΑΚΗΣ</t>
  </si>
  <si>
    <t>geo7and@yahoo.com</t>
  </si>
  <si>
    <t>Μουσικό Σχολείο Θερίσου</t>
  </si>
  <si>
    <t>mail@gym-mous-theris.chan.sch.gr</t>
  </si>
  <si>
    <t>4ο ΗΜΕΡΗΣΙΟ ΓΕΝΙΚΟ ΛΥΚΕΙΟ ΧΑΝΙΩΝ</t>
  </si>
  <si>
    <t>4lykchan@sch.gr</t>
  </si>
  <si>
    <t>ΔΙΟΝΥ</t>
  </si>
  <si>
    <t>spandroulakis@yahoo.gr</t>
  </si>
  <si>
    <t>ΕΣΠΕΡΙΝΟ ΓΕΝΙΚΟ ΛΥΚΕΙΟ ΧΑΝΙΩΝ</t>
  </si>
  <si>
    <t>mail@lyk-esp-chanion.chan.sch.gr</t>
  </si>
  <si>
    <t>steliosmosxoxwri@yahoo.gr</t>
  </si>
  <si>
    <t>Γενικό Λύκειο Παλαιόχωρας</t>
  </si>
  <si>
    <t>mail@lyk-palaioch.chan.sch.gr</t>
  </si>
  <si>
    <t>ΠΕΛΕΚΑΝΟΥ</t>
  </si>
  <si>
    <t>ΠΑΛΑΙΟΧΩΡΑΣ</t>
  </si>
  <si>
    <t>ΑΝΝΙΤΣΑΚΗ</t>
  </si>
  <si>
    <t>1ο Γυμνάσιο Χανίων</t>
  </si>
  <si>
    <t>mail@1gym-chanion.chan.sch.gr</t>
  </si>
  <si>
    <t>ΑΝΤΑΛΑΚΗ</t>
  </si>
  <si>
    <t>konstantinaant@hotmail.gr</t>
  </si>
  <si>
    <t>ΓΥΜΝΑΣΙΟ ΣΟΥΔΑΣ</t>
  </si>
  <si>
    <t>mail@gym-soudas.chan.sch.gr</t>
  </si>
  <si>
    <t>ΑΝΤΕΛΛΗ</t>
  </si>
  <si>
    <t>ΑΝΤΩΝΑΡΑΣ</t>
  </si>
  <si>
    <t>ΣΑΒΒΑΤΟΥ</t>
  </si>
  <si>
    <t>vasanton@sch.gr</t>
  </si>
  <si>
    <t>Γενικό Λύκειο Αλικιανού</t>
  </si>
  <si>
    <t>mail@lyk-alikian.chan.sch.gr</t>
  </si>
  <si>
    <t>ΜΟΥΣΟΥΡΩΝ</t>
  </si>
  <si>
    <t>ΑΛΙΚΙΑΝΟΥ</t>
  </si>
  <si>
    <t>basiliki_xalepa@yahoo.com</t>
  </si>
  <si>
    <t>apostolel@hotmail.com</t>
  </si>
  <si>
    <t>ΑΠΟΣΤΟΛΙΔΗ</t>
  </si>
  <si>
    <t>ΚΩΣΤΙΤΣΑ</t>
  </si>
  <si>
    <t>apostolidikonst@yahoo.gr</t>
  </si>
  <si>
    <t>ΑΠΟΣΤΟΛΙΔΗΣ</t>
  </si>
  <si>
    <t>polisis2015@gmail.com</t>
  </si>
  <si>
    <t>ΑΠΟΣΤΟΛΙΔΟΥ-ΜΑΥΡΑΚΑΚΗ</t>
  </si>
  <si>
    <t>eliapostol@sch.gr</t>
  </si>
  <si>
    <t>1ο Ημερήσιο Γενικό Λύκειο Χανίων</t>
  </si>
  <si>
    <t>1lykchan@sch.gr</t>
  </si>
  <si>
    <t>ΑΠΟΣΤΟΛΟΥ</t>
  </si>
  <si>
    <t>ΣΩΤΗΡ</t>
  </si>
  <si>
    <t>evgenia.apostolou@gmail.com</t>
  </si>
  <si>
    <t>Γυμνάσιο Αλικιανού - «Γυμνασιάρχης Γεώργιος Δ. Καψωμένος»</t>
  </si>
  <si>
    <t>gymaliki@sch.gr</t>
  </si>
  <si>
    <t>maapostolou@gmail.com</t>
  </si>
  <si>
    <t>ΑΡΑΜΠΑΤΖΟΓΛΟΥ</t>
  </si>
  <si>
    <t>argiarabatzoglou@yahoo.gr</t>
  </si>
  <si>
    <t>Γενικό Λύκειο Ελευθερίου Βενιζέλου</t>
  </si>
  <si>
    <t>lykelveniz@sch.gr</t>
  </si>
  <si>
    <t>garetaki@gmail.com</t>
  </si>
  <si>
    <t>ΕΛΕΝΗ-ΕΛΠΙΔΑ</t>
  </si>
  <si>
    <t>aretakieleni@gmail.com</t>
  </si>
  <si>
    <t>ΙΩΑΝΝΑ ΝΙΚΟΛ</t>
  </si>
  <si>
    <t>jaretaki@yahoo.gr</t>
  </si>
  <si>
    <t>maretaki@otenet.gr</t>
  </si>
  <si>
    <t>5ο Γυμνάσιο Χανίων</t>
  </si>
  <si>
    <t>5gymchan@sch.gr</t>
  </si>
  <si>
    <t>ΑΡΕΤΑΚΗΣ</t>
  </si>
  <si>
    <t>4ο Γυμνάσιο Χανίων</t>
  </si>
  <si>
    <t>mail@4gym-chanion.chan.sch.gr</t>
  </si>
  <si>
    <t>ΑΡΚΟΛΑΚΗ</t>
  </si>
  <si>
    <t>ΠΟΛΥΞ</t>
  </si>
  <si>
    <t>arkolakip@gmail.com</t>
  </si>
  <si>
    <t>6ο Γυμνάσιο Χανίων</t>
  </si>
  <si>
    <t>mail@6gym-chanion.chan.sch.gr</t>
  </si>
  <si>
    <t>anectaria@hotmail.com</t>
  </si>
  <si>
    <t>stefaniarxontaki@gmail.com</t>
  </si>
  <si>
    <t>ΑΣΑΛΟΥΜΙΔΗΣ</t>
  </si>
  <si>
    <t>kasalou@gmail.com</t>
  </si>
  <si>
    <t>ΑΣΑΡΓΙΩΤΑΚΗ</t>
  </si>
  <si>
    <t>ΑΣΗΜΑΚΟΥ</t>
  </si>
  <si>
    <t>ΑΤΣΑΛΑΚΗ</t>
  </si>
  <si>
    <t>eleniatsa@gmail.com</t>
  </si>
  <si>
    <t>ΒΑΓΙΩΝΑΚΗ</t>
  </si>
  <si>
    <t>vagionaki.eleni@gmail.com</t>
  </si>
  <si>
    <t>ΒΑΓΙΩΝΑΚΗ-ΣΙΝΑΝΗ</t>
  </si>
  <si>
    <t>ΒΑΖΙΤΑΡΗΣ</t>
  </si>
  <si>
    <t>vazitaris@yahoo.gr</t>
  </si>
  <si>
    <t>ΒΑΚΑΚΗΣ</t>
  </si>
  <si>
    <t>IBB@hotmail.gr</t>
  </si>
  <si>
    <t>ΒΑΛΛΙΑΝΑΤΟΥ</t>
  </si>
  <si>
    <t>Εσπερινό ΕΠΑΛ Χανίων</t>
  </si>
  <si>
    <t>mail@epal-esp-chanion.chan.sch.gr</t>
  </si>
  <si>
    <t>ΒΑΡΒΑΡΙΓΟΥ</t>
  </si>
  <si>
    <t>varvarigou.th@gmail.com</t>
  </si>
  <si>
    <t>ΒΑΡΕΚΑΣ</t>
  </si>
  <si>
    <t>ΒΑΡΟΥΧΑΚΗ</t>
  </si>
  <si>
    <t>ΒΑΣΔΕΚΗ</t>
  </si>
  <si>
    <t>anna.vasilaki@yahoo.gr</t>
  </si>
  <si>
    <t>ΒΑΣΙΛΑΝΤΩΝΑΚΗ</t>
  </si>
  <si>
    <t>mariavasilantonaki2@gmail.com</t>
  </si>
  <si>
    <t>ΒΑΣΙΛΑΝΤΩΝΑΚΗΣ</t>
  </si>
  <si>
    <t>stvrvasilant@gmail.com</t>
  </si>
  <si>
    <t>ΣΠΥΡΟΥΛΑ</t>
  </si>
  <si>
    <t>stratia_v@yahoo.gr</t>
  </si>
  <si>
    <t>ΑΝΤΩΝΙΑΕΛΕΝΗ</t>
  </si>
  <si>
    <t>antouallena@hotmail.com</t>
  </si>
  <si>
    <t>772/τ.γ΄</t>
  </si>
  <si>
    <t>ΒΑΣΣΑΛΟΥ ΠΑΠΑΔΟΓΙΑΝΝΗ</t>
  </si>
  <si>
    <t>ΕΛΕΝΑ</t>
  </si>
  <si>
    <t>ΒΑΤΣΑΚΗ</t>
  </si>
  <si>
    <t>irinivatsaki@gmail.com</t>
  </si>
  <si>
    <t>cvatsaki@yahoo.gr</t>
  </si>
  <si>
    <t>ΒΕΖΑΣΗΣ</t>
  </si>
  <si>
    <t>ΤΑΣΟΥΛΑ</t>
  </si>
  <si>
    <t>netavelis@gmail.com</t>
  </si>
  <si>
    <t>ΒΕΝΕΤΣΑΝΑΚΗΣ</t>
  </si>
  <si>
    <t>mven@windowslive.com</t>
  </si>
  <si>
    <t>ΒΕΡΓΑΝΕΛΑΚΗΣ</t>
  </si>
  <si>
    <t>verganelakis@gmail.com</t>
  </si>
  <si>
    <t>ΕΠΑΛ Βρυσών</t>
  </si>
  <si>
    <t>mail@1epal-bryson.chan.sch.gr</t>
  </si>
  <si>
    <t>ΒΕΡΓΕΡΑΚΗ</t>
  </si>
  <si>
    <t>ΒΕΡΙΒΑΚΗΣ</t>
  </si>
  <si>
    <t>nverivakis@sch.gr</t>
  </si>
  <si>
    <t>ΒΕΡΝΑΔΑΚΗΣ</t>
  </si>
  <si>
    <t>nickvern2@gmail.com</t>
  </si>
  <si>
    <t>ΒΕΡΝΑΡΔΟΥ</t>
  </si>
  <si>
    <t>maria_vrnrd@yahoo.gr</t>
  </si>
  <si>
    <t>elverik@live.com</t>
  </si>
  <si>
    <t>2ο Γυμνάσιο Ελευθερίου Βενιζέλου</t>
  </si>
  <si>
    <t>mail@2gym-el-venizel.chan.sch.gr</t>
  </si>
  <si>
    <t>ΒΕΣΤΑΚΗ</t>
  </si>
  <si>
    <t>cvestaki@gmail.com</t>
  </si>
  <si>
    <t>ΒΙΔΑΛΑΚΗ</t>
  </si>
  <si>
    <t>Γυμνάσιο Πλατανιά</t>
  </si>
  <si>
    <t>mail@gym-platan.chan.sch.gr</t>
  </si>
  <si>
    <t>ΒΙΝΤΖΗΛΑΙΟΥ</t>
  </si>
  <si>
    <t>ΛΕΣΒΙΑ</t>
  </si>
  <si>
    <t>ΒΙΟΛΑΚΗΣ</t>
  </si>
  <si>
    <t>efstratiosviolakis@hotmail.com</t>
  </si>
  <si>
    <t>letavl@yahoo.gr</t>
  </si>
  <si>
    <t>ΒΛΑΜΑΚΗ</t>
  </si>
  <si>
    <t>harav24@gmail.com</t>
  </si>
  <si>
    <t>Γυμνάσιο Χώρας Σφακίων</t>
  </si>
  <si>
    <t>mail@gym-sfakion.chan.sch.gr</t>
  </si>
  <si>
    <t>ΣΦΑΚΙΩΝ</t>
  </si>
  <si>
    <t>ΧΩΡΑΣ ΣΦΑΚΙΩΝ</t>
  </si>
  <si>
    <t>ΒΛΑΧΟΔΗΜΟΣ</t>
  </si>
  <si>
    <t>ΑΓΝΩΣΤΟ</t>
  </si>
  <si>
    <t>vladispe@yahoo.gr</t>
  </si>
  <si>
    <t>ΒΛΑΧΟΣ</t>
  </si>
  <si>
    <t>ΒΛΗΣΙΔΗΣ</t>
  </si>
  <si>
    <t>ΚΑΛΙΟΠΗ</t>
  </si>
  <si>
    <t>blisidis@gmail.com</t>
  </si>
  <si>
    <t>ΒΛΟΝΤΑΚΗ</t>
  </si>
  <si>
    <t>ninavlontaki@gmail.com</t>
  </si>
  <si>
    <t>makis203@hotmail.com</t>
  </si>
  <si>
    <t>vogiajaki@gmail.com</t>
  </si>
  <si>
    <t>Γυμνάσιο Βουκολιών</t>
  </si>
  <si>
    <t>mail@gym-voukol.chan.sch.gr</t>
  </si>
  <si>
    <t>ΒΟΖΙΝΑΚΗΣ</t>
  </si>
  <si>
    <t>elkoukouraki@gmail.com</t>
  </si>
  <si>
    <t>ΒΟΛΑΚΑΚΗΣ</t>
  </si>
  <si>
    <t>ΒΑΣΛΙΚΗ</t>
  </si>
  <si>
    <t>yanvolak@gmail.com</t>
  </si>
  <si>
    <t>ΒΟΛΟΥΔΑΚΗ</t>
  </si>
  <si>
    <t>elvoloud@gmail.com</t>
  </si>
  <si>
    <t>ΑΝΑΣΤΑΣΙ</t>
  </si>
  <si>
    <t>voloudakipepi@yahoo.com</t>
  </si>
  <si>
    <t>ΒΟΣΔΟΓΑΝΗ</t>
  </si>
  <si>
    <t>ΒΟΥΓΙΟΥΚΑΛΑΚΗΣ</t>
  </si>
  <si>
    <t>bougmih@hotmail.com</t>
  </si>
  <si>
    <t>ΒΟΥΔΟΥΡΗΣ</t>
  </si>
  <si>
    <t>Antonis-Boudouris@hotmail.com</t>
  </si>
  <si>
    <t>vourexaki.ioanna@gmail.com</t>
  </si>
  <si>
    <t>ΒΟΥΤΕΤΑΚΗ</t>
  </si>
  <si>
    <t>ΒΟΥΤΕΤΑΚΗΣ</t>
  </si>
  <si>
    <t>Εσπερινό Γυμνάσιο Χανίων</t>
  </si>
  <si>
    <t>mail@gym-esp-chanion.chan.sch.gr</t>
  </si>
  <si>
    <t>ΒΟΥΤΣΑΔΑΚΗ</t>
  </si>
  <si>
    <t>ΤΡΙΑΝΤΑΦΥΛΛΙΑ</t>
  </si>
  <si>
    <t>litsavou4@gmail.com</t>
  </si>
  <si>
    <t>evvoutsadakis@gmail.com</t>
  </si>
  <si>
    <t>ΒΡΟΣΓΟΣ</t>
  </si>
  <si>
    <t>lefteris_vr@hotmail.com</t>
  </si>
  <si>
    <t>ΒΡΟΥΒΑΚΗ</t>
  </si>
  <si>
    <t>ΤΑΤΙΑΝΗ</t>
  </si>
  <si>
    <t>tvrouvaki@hotmail.com</t>
  </si>
  <si>
    <t>ΒΡΥΩΝΑΚΗ</t>
  </si>
  <si>
    <t>tasibrpa@yahoo.gr</t>
  </si>
  <si>
    <t>ΓΑΒΡΙΛΑΚΗ</t>
  </si>
  <si>
    <t>ΓΑΓΑΡΑΣ</t>
  </si>
  <si>
    <t>dimgags@gmail.com</t>
  </si>
  <si>
    <t>ΒΑΙΟΣ</t>
  </si>
  <si>
    <t>galanang@gmail.com</t>
  </si>
  <si>
    <t>ΓΑΛΑΝΑΚΗΣ</t>
  </si>
  <si>
    <t>ygalanis@otenet.gr</t>
  </si>
  <si>
    <t>ΓΑΛΗΜΙΤΑΚΗ</t>
  </si>
  <si>
    <t>ΔΗΜΟΚΡΑ</t>
  </si>
  <si>
    <t>smaragdi_galimitaki@yahoo.com</t>
  </si>
  <si>
    <t>ΓΑΡΕΔΑΚΗ</t>
  </si>
  <si>
    <t>maniagaredaki@gmail.com</t>
  </si>
  <si>
    <t>ΓΑΡΕΔΑΚΗΣ</t>
  </si>
  <si>
    <t>ΓΑΥΓΙΩΤΑΚΗ</t>
  </si>
  <si>
    <t>mariagav70@gmail.com</t>
  </si>
  <si>
    <t>ΓΕΡΜΑΝΟΥ ΜΠΙΚΑΚΗ</t>
  </si>
  <si>
    <t>ΓΕΩΡΓΑΚΑ</t>
  </si>
  <si>
    <t>ΓΕΩΡΓΑΚΑΚΗ</t>
  </si>
  <si>
    <t>georgakaki-eleni@windowslive.com</t>
  </si>
  <si>
    <t>ΓΕΩΡΓΑΡΑΚΗ</t>
  </si>
  <si>
    <t>ngilvasi@yahoo.com</t>
  </si>
  <si>
    <t>218 τ.Γ΄</t>
  </si>
  <si>
    <t>iogeorgakaki@yahoo.gr</t>
  </si>
  <si>
    <t>georgiakakimaria@gmail.com</t>
  </si>
  <si>
    <t>ΓΕΩΡΓΟΚΩΣΤΑ</t>
  </si>
  <si>
    <t>sgeorgok@yahoo.gr</t>
  </si>
  <si>
    <t>ΓΕΩΡΓΟΥΔΗ</t>
  </si>
  <si>
    <t>ΑΓΓΕΛIKH</t>
  </si>
  <si>
    <t>228/τ.Γ΄/</t>
  </si>
  <si>
    <t>ΓΙΑΛΑΜΑ</t>
  </si>
  <si>
    <t>ΕΥΑΓΓΕΛΙA</t>
  </si>
  <si>
    <t>ΑΙKATΕΡΙΝΗ</t>
  </si>
  <si>
    <t>ekakavela@gmail.com</t>
  </si>
  <si>
    <t>ΓΙΑΛΕΔΑΚΗ</t>
  </si>
  <si>
    <t>egialed@gmail.com</t>
  </si>
  <si>
    <t>ΓΙΑΜΑΛΗ</t>
  </si>
  <si>
    <t>ΚΥΡΑΝΑ</t>
  </si>
  <si>
    <t>ky-rana@hotmail.com</t>
  </si>
  <si>
    <t>ΓΙΑΜΠΑΖΟΛΙΑ</t>
  </si>
  <si>
    <t>ΘΩΜΑΙΣ</t>
  </si>
  <si>
    <t>tgiannada@gmail.com</t>
  </si>
  <si>
    <t>ΓΙΑΝΝΑΡΑΚΗ</t>
  </si>
  <si>
    <t>katerinagiann@gmail.com</t>
  </si>
  <si>
    <t>stellagiannaraki@hotmail.com</t>
  </si>
  <si>
    <t>ΓΙΑΝΝΙΤΣΟΥΔΑΚΗΣ</t>
  </si>
  <si>
    <t>giannitsoydakis@gmail.com</t>
  </si>
  <si>
    <t>1041/Γ/22-12-2009</t>
  </si>
  <si>
    <t>ΓΙΑΝΝΟΥΔΑΚΗ</t>
  </si>
  <si>
    <t>ΓΙΑΝΝΟΥΤΣΟΣ</t>
  </si>
  <si>
    <t>ΠΑΝΩΡ</t>
  </si>
  <si>
    <t>206Γ</t>
  </si>
  <si>
    <t>ΓΙΑΤΡΟΥΔΑΚΗΣ</t>
  </si>
  <si>
    <t>ΜΙΛΤΙΑΔΗ</t>
  </si>
  <si>
    <t>g.giatroudakis@gmail.com</t>
  </si>
  <si>
    <t>ΓΙΛΒΑΣΗΣ</t>
  </si>
  <si>
    <t>ngilvasis@gmail.com</t>
  </si>
  <si>
    <t>ΓΙΟΥΒΑΝΑΚΗ</t>
  </si>
  <si>
    <t>ΓΚΑΓΚΑ</t>
  </si>
  <si>
    <t>ΕΡΙΕΤΑ</t>
  </si>
  <si>
    <t>gkagkab@gmail.com</t>
  </si>
  <si>
    <t>Γυμνάσιο Παλαιόχωρας</t>
  </si>
  <si>
    <t>mail@gym-palaioch.chan.sch.gr</t>
  </si>
  <si>
    <t>ΓΚΑΓΚΑΔΕΛΗ</t>
  </si>
  <si>
    <t>kgagadeli@sch.gr</t>
  </si>
  <si>
    <t>ΓΚΙΟΥΛΟΥ</t>
  </si>
  <si>
    <t>ΤΑΞΙΑΡΧΗ</t>
  </si>
  <si>
    <t>ΚΩΝΝΑ</t>
  </si>
  <si>
    <t>ΓΚΟΥΒΑ ΦΡΑΝΤΖΕΣΚΑΚΗ</t>
  </si>
  <si>
    <t>ΘΕΟΔ</t>
  </si>
  <si>
    <t>n.frantzeskakis@yahoo.gr</t>
  </si>
  <si>
    <t>ΓΚΟΥΛΕΤΣΑ</t>
  </si>
  <si>
    <t>ΕΥΡΩΠΗ</t>
  </si>
  <si>
    <t>ΠΑΝΑΓΙΩΤ</t>
  </si>
  <si>
    <t>axios1@otenet.gr</t>
  </si>
  <si>
    <t>sevillanas83@yahoo.gr</t>
  </si>
  <si>
    <t>ΓΚΟΥΝΤΟΥΛΙΑΚΑΤΣΙΚΑΡΟΥ</t>
  </si>
  <si>
    <t>ΓΛΑΜΠΕΔΑΚΗ</t>
  </si>
  <si>
    <t>sofiaglamp@gmail.com</t>
  </si>
  <si>
    <t>ΓΛΥΝΙΑΔΑΚΗ</t>
  </si>
  <si>
    <t>ΘΗΡΕΣΙΑ</t>
  </si>
  <si>
    <t>bextdim@yahoo.gr</t>
  </si>
  <si>
    <t>ΓΝΕΣΟΥΛΗΣ</t>
  </si>
  <si>
    <t>agnesoulis@sch.gr</t>
  </si>
  <si>
    <t>ΓΟΓΟΝΑΚΗ</t>
  </si>
  <si>
    <t>gogo_maria@yahoo.gr</t>
  </si>
  <si>
    <t>ΓΟΥΛΕΑΚΗΣ</t>
  </si>
  <si>
    <t>3ο Γυμνάσιο Χανίων</t>
  </si>
  <si>
    <t>ΓΟΥΡΓΟΥΛΕΤΗ</t>
  </si>
  <si>
    <t>goyrniezaki@gmail.com</t>
  </si>
  <si>
    <t>ΓΡΑΒΑΛΟΥ</t>
  </si>
  <si>
    <t>ΔΗΜΗ</t>
  </si>
  <si>
    <t>steliosgrin@gmail.com</t>
  </si>
  <si>
    <t>ΓΡΥΦΑΚΗΣ</t>
  </si>
  <si>
    <t>mansou17@yahoo.gr</t>
  </si>
  <si>
    <t>ΓΥΠΑΡΑΚΗΣ</t>
  </si>
  <si>
    <t>manos-gip@hotmail.com</t>
  </si>
  <si>
    <t>ΓΩΓΟΥΛΟΣ</t>
  </si>
  <si>
    <t>ΓΩΝΙΩΤΑΚΗ</t>
  </si>
  <si>
    <t>ΔΑΜΑΣΚΗΝΟΣ</t>
  </si>
  <si>
    <t>ΔΑΡΑΚΗΣ</t>
  </si>
  <si>
    <t>idarakis@sch.gr</t>
  </si>
  <si>
    <t>ΔΑΡΜΑΡΑΚΗΣ</t>
  </si>
  <si>
    <t>mariadarmaraki@gmail.com</t>
  </si>
  <si>
    <t>mdarmarakis@yahoo.com</t>
  </si>
  <si>
    <t>235/τ.Γ</t>
  </si>
  <si>
    <t>eridaskalaki@yahoo.gr</t>
  </si>
  <si>
    <t>nantia.dask@hotmail.gr</t>
  </si>
  <si>
    <t>sofiadas@sch.gr</t>
  </si>
  <si>
    <t>ΔΑΣΚΑΛΑΚΗ ΚΑΡΔΑΜΑΚΗ</t>
  </si>
  <si>
    <t>ΕΛΙΣΣΑΙΟΣ</t>
  </si>
  <si>
    <t>elisdask1@gmail.com</t>
  </si>
  <si>
    <t>ΔΑΣΚΑΛΟΣ</t>
  </si>
  <si>
    <t>ΓΙΑΝΝΗΣ</t>
  </si>
  <si>
    <t>triantafillo1@yahoo.gr</t>
  </si>
  <si>
    <t>ΔΕΛΑΚΗΣ</t>
  </si>
  <si>
    <t>ΔΕΛΗ</t>
  </si>
  <si>
    <t>argirodeli2011@gmail.com</t>
  </si>
  <si>
    <t>ΔΕΡΜΕΝΤΖΟΓΛΟΥ</t>
  </si>
  <si>
    <t>dermitz@gmail.com</t>
  </si>
  <si>
    <t>o5uvza@otenet.gr</t>
  </si>
  <si>
    <t>ΔΕΣΠΟΤΙΔΟΥ</t>
  </si>
  <si>
    <t>edespotidou@hotmail.com</t>
  </si>
  <si>
    <t>318/1-12-2005</t>
  </si>
  <si>
    <t>ΔΗΜΗΤΡΙΑΔΗΣ</t>
  </si>
  <si>
    <t>andimit64@yahoo.gr</t>
  </si>
  <si>
    <t>fitbillys@gmail.com</t>
  </si>
  <si>
    <t>1ο Γυμνάσιο Κισσάμου</t>
  </si>
  <si>
    <t>mail@1gym-kissam.chan.sch.gr</t>
  </si>
  <si>
    <t>ΔΗΜΗΤΡΟΥΛΑΚΟΥ ΦΥΤΡΑΚΗ</t>
  </si>
  <si>
    <t>ioannadimitroulakou@gmail.com</t>
  </si>
  <si>
    <t>ΔΗΜΗΤΡΟΥΛΙΑ</t>
  </si>
  <si>
    <t>dimitrouliaangeliki@gmail.com</t>
  </si>
  <si>
    <t>ΔΗΜΟΛΙΚΑ</t>
  </si>
  <si>
    <t>dimolika@gmail.com</t>
  </si>
  <si>
    <t>elenidimpol@gmail.com</t>
  </si>
  <si>
    <t>ΔΙΑΔΟΥ</t>
  </si>
  <si>
    <t>diadouvasiliki@gmail.com</t>
  </si>
  <si>
    <t>ΔΙΑΚΟΥΛΑΚΗΣ</t>
  </si>
  <si>
    <t>giwrgosdiak@gmail.com</t>
  </si>
  <si>
    <t>ΔΟΚΙΜΑΚΗ</t>
  </si>
  <si>
    <t>ΔΟΞΑΚΗ</t>
  </si>
  <si>
    <t>adoxaki@gmail.com</t>
  </si>
  <si>
    <t>ΔΟΤΣΟΣ</t>
  </si>
  <si>
    <t>dotsos_1@hotmail.com</t>
  </si>
  <si>
    <t>ΔΟΥΦΛΙΑ</t>
  </si>
  <si>
    <t>xaniakostas@gmail.com</t>
  </si>
  <si>
    <t>steliosdrakakiss@gmail.com</t>
  </si>
  <si>
    <t>ΤΡΙΑΝΤΑΦ</t>
  </si>
  <si>
    <t>ninelef@windowslive.com</t>
  </si>
  <si>
    <t>ΕΛΛΗΝΙΤΑΚΗ</t>
  </si>
  <si>
    <t>vickyell@hotmail.com</t>
  </si>
  <si>
    <t>ΕΛΛΗΝΙΤΑΚΗΣ</t>
  </si>
  <si>
    <t>ΕΜΜΑΝΟΥΗΛΙΔΟΥ</t>
  </si>
  <si>
    <t>fremman@gmail.com</t>
  </si>
  <si>
    <t>ΕΥΘΥΜΑΚΗ</t>
  </si>
  <si>
    <t>atripol@mred.tuc.gr</t>
  </si>
  <si>
    <t>ΕΥΘΥΜΑΚΗ ΜΑΘΙΟΥΔΑΚΗ</t>
  </si>
  <si>
    <t>kefthimaki@gmail.com</t>
  </si>
  <si>
    <t>ΕΦΡΑΙΜΙΔΟΥ</t>
  </si>
  <si>
    <t>efremidou@gmail.com</t>
  </si>
  <si>
    <t>ΖΑΚΥΝΘΙΝΑΚΗ</t>
  </si>
  <si>
    <t>ΖΑΚΥΝΘΙΝΑΚΗΣ</t>
  </si>
  <si>
    <t>giorgoszakinthinakis@gmail.com</t>
  </si>
  <si>
    <t>ΖΑΝΕΚΑ</t>
  </si>
  <si>
    <t>stergianizaneka@gmail.com</t>
  </si>
  <si>
    <t>ΖΑΝΝΗΣ</t>
  </si>
  <si>
    <t>zannisth@gmail.com</t>
  </si>
  <si>
    <t>ΖΑΠΡΑΙΔΟΥ</t>
  </si>
  <si>
    <t>bazapou@yahoo.gr</t>
  </si>
  <si>
    <t>ΖΑΦΕΙΡΑΚΗ</t>
  </si>
  <si>
    <t>ΜΕΛΠΩ</t>
  </si>
  <si>
    <t>zervosmixalis@outlook.com.gr</t>
  </si>
  <si>
    <t>zervoss@gmail.com</t>
  </si>
  <si>
    <t>ΖΗΣΗ</t>
  </si>
  <si>
    <t>antigonizisi@gmail.com</t>
  </si>
  <si>
    <t>ΖΙΜΠΑΣ</t>
  </si>
  <si>
    <t>ΚΛΕΑΡΧΟΣ</t>
  </si>
  <si>
    <t>kleearchosz@yahoo.gr</t>
  </si>
  <si>
    <t>ΖΙΟΥΚΑΣ</t>
  </si>
  <si>
    <t>asterios79@windowslive.com</t>
  </si>
  <si>
    <t>ΖΙΡΖΙΡΗ</t>
  </si>
  <si>
    <t>zirziriana@gmail.com</t>
  </si>
  <si>
    <t>ΖΟΡΜΠΑΣ</t>
  </si>
  <si>
    <t>16τΓ</t>
  </si>
  <si>
    <t>ΖΟΥΛΑΚΗΣ</t>
  </si>
  <si>
    <t>gzoulakis@hotmail.com</t>
  </si>
  <si>
    <t>ΖΟΥΜΑΔΑΚΗΣ</t>
  </si>
  <si>
    <t>ΖΟΥΡΙΔΑΚΗ</t>
  </si>
  <si>
    <t>azouridake@gmail.com</t>
  </si>
  <si>
    <t>kzour6@hotmail.com</t>
  </si>
  <si>
    <t>ioannizouridakis@gmail.com</t>
  </si>
  <si>
    <t>ΕΝΙΑΙΟ ΕΙΔΙΚΟ ΕΠΑΓΓΕΛΜΑΤΙΚΟ ΓΥΜΝΑΣΙΟ-ΛΥΚΕΙΟ ΧΑΝΙΩΝ</t>
  </si>
  <si>
    <t>mail@gym-eid-chanion.chan.sch.gr</t>
  </si>
  <si>
    <t>ΖΩΓΡΑΦΑΚΗ</t>
  </si>
  <si>
    <t>ΖΩΜΕΝΟΣ</t>
  </si>
  <si>
    <t>azomenos@yahoo.gr</t>
  </si>
  <si>
    <t>ΗΛΙΑΔΗΣ</t>
  </si>
  <si>
    <t>lykiliakis@sch.gr</t>
  </si>
  <si>
    <t>ΘΑΝΟΥ</t>
  </si>
  <si>
    <t>nickdimath@yahoo.gr</t>
  </si>
  <si>
    <t>m.theodosaki@gmail.com</t>
  </si>
  <si>
    <t>ΘΕΟΔΟΣΑΚΗΣ</t>
  </si>
  <si>
    <t>theodosak@gmail.com</t>
  </si>
  <si>
    <t>manto138@yahoo.gr</t>
  </si>
  <si>
    <t>elenitheo2012@gmail.com</t>
  </si>
  <si>
    <t>ΘΕΟΔΩΡΑΚΗΣ</t>
  </si>
  <si>
    <t>ΚΩΝΝΟΣ</t>
  </si>
  <si>
    <t>ktheodorakis@sch.gr</t>
  </si>
  <si>
    <t>ΘΕΟΔΩΡΑΤΟΥ</t>
  </si>
  <si>
    <t>ΘΕΟΔΩΡΙΔΗ</t>
  </si>
  <si>
    <t>zakynthea@gmail.com</t>
  </si>
  <si>
    <t>ΘΕΟΔΩΡΙΔΟΥ</t>
  </si>
  <si>
    <t>theododram@yahoo.gr</t>
  </si>
  <si>
    <t>ΘΕΟΔΩΡΟΓΛΑΚΗ</t>
  </si>
  <si>
    <t>ΓΡΑΜΜΑΤΗ</t>
  </si>
  <si>
    <t>theodoroukos@hotmail.com</t>
  </si>
  <si>
    <t>theodorou@uoc.gr</t>
  </si>
  <si>
    <t>334/Γ/20-12-2005</t>
  </si>
  <si>
    <t>aspatheoxari@yahoo.com</t>
  </si>
  <si>
    <t>ΘΥΜΙΑΝΟΥ</t>
  </si>
  <si>
    <t>ΘΩΜΑΔΑΚΗΣ</t>
  </si>
  <si>
    <t>ΑΝΤΙΓΟΝ</t>
  </si>
  <si>
    <t>thomadakis.antonis@gmail.com</t>
  </si>
  <si>
    <t>ΙΓΓΛΕΖΑΚΗΣ</t>
  </si>
  <si>
    <t>igles@gmail.com</t>
  </si>
  <si>
    <t>ΙΕΡΩΝΥΜΑΚΗ</t>
  </si>
  <si>
    <t>ΞΕΝΟΦ</t>
  </si>
  <si>
    <t>ΜΕΡΟΠ</t>
  </si>
  <si>
    <t>ΖΗΝΑΙΔΑ</t>
  </si>
  <si>
    <t>ΚΑΒΑΖΗΣ</t>
  </si>
  <si>
    <t>ΚΑΓΙΑΥΤΑΚΗΣ</t>
  </si>
  <si>
    <t>ΚΑΖΑΚΟΥ</t>
  </si>
  <si>
    <t>ΦΙΛΙΠ</t>
  </si>
  <si>
    <t>nikoskak66@hotmail.com</t>
  </si>
  <si>
    <t>ΚΑΚΑΟΥΝΑΚΗΣ</t>
  </si>
  <si>
    <t>ΚΑΚΟΥΡΗ</t>
  </si>
  <si>
    <t>ΖΑΦΕΙΡΩ</t>
  </si>
  <si>
    <t>reniakak@gmail.com</t>
  </si>
  <si>
    <t>irkal@sch.gr</t>
  </si>
  <si>
    <t>ERSIKALA@yahoo.gr</t>
  </si>
  <si>
    <t>ΚΑΛΑΪΤΖΙΔΟΥ</t>
  </si>
  <si>
    <t>fkalaitz@gmail.com</t>
  </si>
  <si>
    <t>ΚΑΛΑΝΤΖΗ</t>
  </si>
  <si>
    <t>ΜΑΡΙΑΧΙΛΝΤΑ</t>
  </si>
  <si>
    <t>ΝΑΤΑΣΑ ΕΛΕΝΗ</t>
  </si>
  <si>
    <t>ΘΑΛΗΣ</t>
  </si>
  <si>
    <t>akallergi8@yahoo.gr</t>
  </si>
  <si>
    <t>ΚΑΛΛΙΒΡΕΤΑΚΗ</t>
  </si>
  <si>
    <t>ΚΑΛΛΙΒΡΕΤΑΚΗΣ</t>
  </si>
  <si>
    <t>ΚΑΛΛΙΝΤΕΡΑΚΗ</t>
  </si>
  <si>
    <t>sofikal@sch.gr</t>
  </si>
  <si>
    <t>katerinakall727@gmail.com</t>
  </si>
  <si>
    <t>ΚΑΛΟΒΡΕΚΤΗ</t>
  </si>
  <si>
    <t>ΠΑΝΑΓΙΩΤΑ-ΓΑΡΥΦΑΛΙΑ</t>
  </si>
  <si>
    <t>sylviechrissa@yahoo.gr</t>
  </si>
  <si>
    <t>mikerafraf@gmail.com</t>
  </si>
  <si>
    <t>ΚΑΛΟΓΡΙΔΑΚΗ</t>
  </si>
  <si>
    <t>772τΓ</t>
  </si>
  <si>
    <t>ΚΑΛΟΥΔΑΚΗ</t>
  </si>
  <si>
    <t>ΠΑΥΛΟ</t>
  </si>
  <si>
    <t>ΕΥΤΕΡ</t>
  </si>
  <si>
    <t>ΚΑΛΦΑΚΗ</t>
  </si>
  <si>
    <t>mkalfaki@yahoo.co.uk</t>
  </si>
  <si>
    <t>ΚΑΜΠΕΡΑΚΗ</t>
  </si>
  <si>
    <t>irene.kab@gmail.com</t>
  </si>
  <si>
    <t xml:space="preserve">ΚΑΜΠΟΥΡΑΚΗΣ </t>
  </si>
  <si>
    <t>kampourakis.k@gotmail.gr</t>
  </si>
  <si>
    <t>ΚΑΝΤΕΡΑΚΗ</t>
  </si>
  <si>
    <t>ΚΑΝΤΙΔΑΚΗ ΔΑΡΜΑΡΑΚΗ</t>
  </si>
  <si>
    <t>ΓΡΗΓΟΡΙ</t>
  </si>
  <si>
    <t>ΚΑΠΑΣΑΚΑΛΙΔΟΥ</t>
  </si>
  <si>
    <t>a.kapasakalidou@gmail.com</t>
  </si>
  <si>
    <t>ΚΑΠΗ</t>
  </si>
  <si>
    <t>yiannakapi@hotmail.com</t>
  </si>
  <si>
    <t>ΚΑΠΟΥΛΑΣ</t>
  </si>
  <si>
    <t>pkapoulas@gmail.com</t>
  </si>
  <si>
    <t>ΚΑΡΑΒΙΩΤΗ</t>
  </si>
  <si>
    <t>mkaravioti@gmail.com</t>
  </si>
  <si>
    <t>ΚΑΡΑΓΙΑΝΝΑΚΗ</t>
  </si>
  <si>
    <t>ΡΟΔΩ</t>
  </si>
  <si>
    <t>elenikaras@hotmail.com</t>
  </si>
  <si>
    <t>stellakar65@gmail.com</t>
  </si>
  <si>
    <t>pkarsy@gmail.com</t>
  </si>
  <si>
    <t>ΚΑΡΑΔΗΜΑ</t>
  </si>
  <si>
    <t>ΕΠΑΜΕΙΝΩ</t>
  </si>
  <si>
    <t>fad_kar@hotmail.com</t>
  </si>
  <si>
    <t>ΚΑΡΑΔΗΜΗΤΡΙΟΥ</t>
  </si>
  <si>
    <t>ΚΑΡΑΚΙΖΟΥ</t>
  </si>
  <si>
    <t>karakizoy@yahoo.gr</t>
  </si>
  <si>
    <t>loukia123@yahoo.gr</t>
  </si>
  <si>
    <t>ΚΑΡΑΜΗΤΣΙΟΥ</t>
  </si>
  <si>
    <t>mail@lyt-ekkl-lamias.fth.sch.gr</t>
  </si>
  <si>
    <t>ΚΑΡΑΜΠΑΣ</t>
  </si>
  <si>
    <t>georgioskarampas@gmail.com</t>
  </si>
  <si>
    <t>ΚΑΡΑΝΑΥΤΗΣ</t>
  </si>
  <si>
    <t>ΚΑΡΑΝΙΚΑ</t>
  </si>
  <si>
    <t>athenskar@yahoo.com</t>
  </si>
  <si>
    <t>ΚΑΡΑΠΑΝΤΑΖΗΣ</t>
  </si>
  <si>
    <t>Karapavas@gmail.com</t>
  </si>
  <si>
    <t>ΚΑΡΔΑΜΑΚΗ</t>
  </si>
  <si>
    <t>ΑΝΤΩΝΙΑΣ</t>
  </si>
  <si>
    <t>ΚΑΡΔΑΜΑΚΗΣ</t>
  </si>
  <si>
    <t>ΚΑΡΕΛΗ</t>
  </si>
  <si>
    <t>ΑΘΑΝΑΣΙ</t>
  </si>
  <si>
    <t>evankarins@gmail.com</t>
  </si>
  <si>
    <t>ΚΑΡΙΟΦΥΛΛΗ</t>
  </si>
  <si>
    <t>kouklakisd@hotmail.gr</t>
  </si>
  <si>
    <t>ΚΑΡΚΑΝΗΣ</t>
  </si>
  <si>
    <t>gkarkanis1@gmail.com</t>
  </si>
  <si>
    <t>ΚΑΡΚΟΥΛΙΑ</t>
  </si>
  <si>
    <t>ΚΑΡΟΥΤΣΟΥ</t>
  </si>
  <si>
    <t>alekakaroutsou@gmail.com</t>
  </si>
  <si>
    <t>ΚΑΡΤΑΚΗ</t>
  </si>
  <si>
    <t>mkartaki@hotmail.com</t>
  </si>
  <si>
    <t>ΚΑΡΤΣΩΝΑΚΗ</t>
  </si>
  <si>
    <t>ΔΑΜΑΣΚΗ</t>
  </si>
  <si>
    <t>kartsonaki@sch.gr</t>
  </si>
  <si>
    <t>chrysa@windowslive.com</t>
  </si>
  <si>
    <t>euakariotaki@hotmail.com</t>
  </si>
  <si>
    <t>ΚΑΣΙΜΑΤΗΣ</t>
  </si>
  <si>
    <t>ΚΑΣΟΜΠΕΗΣ</t>
  </si>
  <si>
    <t>ΚΑΣΣΕΛΑΚΗ</t>
  </si>
  <si>
    <t>gkasselaki@yahoo.gr</t>
  </si>
  <si>
    <t>ΚΑΣΤΑΝΑΚΗ</t>
  </si>
  <si>
    <t>ΘΡΑΣΥΒΟΥΛΟΣ</t>
  </si>
  <si>
    <t>ΚΑΤΑΚΗ</t>
  </si>
  <si>
    <t>ΚΑΤΑΚΗΣ</t>
  </si>
  <si>
    <t>nkaterinaki@yahoo.gr</t>
  </si>
  <si>
    <t>ΚΑΤΟΙΚΟΣ</t>
  </si>
  <si>
    <t>ΧΡΥΣΟΣΤΟΜΟΣ</t>
  </si>
  <si>
    <t>ckatoik@yahoo.gr</t>
  </si>
  <si>
    <t>ΚΑΤΣΑΜΠΕΚΗ</t>
  </si>
  <si>
    <t>ΚΛΕΙΝΙΑΣ-ΑΛΕΞΑΝΔΡΟΣ</t>
  </si>
  <si>
    <t>ΚΑΤΣΑΝΕΒΑ</t>
  </si>
  <si>
    <t>katsva@freemail.gr</t>
  </si>
  <si>
    <t>ΚΑΤΣΑΝΕΒΑΣ</t>
  </si>
  <si>
    <t>manoskats@gmail.com</t>
  </si>
  <si>
    <t>ΚΑΤΣΑΡΟΥ</t>
  </si>
  <si>
    <t>mkatsarou3@gmail.com</t>
  </si>
  <si>
    <t>ΚΑΤΣΟΥΛΑΚΗ</t>
  </si>
  <si>
    <t>ΟΥΡΑΝΙΑ ΣΤΑΥ</t>
  </si>
  <si>
    <t>ΚΑΥΚΙΑ</t>
  </si>
  <si>
    <t>zakkar980@gmail.com</t>
  </si>
  <si>
    <t>ΚΑΦΕΣΑΚΗ</t>
  </si>
  <si>
    <t>ΚΑΦΕΤΖΗ</t>
  </si>
  <si>
    <t>ΕΥΦΡΟΣΥΝΗ-ΑΜΦΙΤΡΙΤΗ</t>
  </si>
  <si>
    <t>ΦΕΚ249 22/9/2005</t>
  </si>
  <si>
    <t>ΚΑΨΑΛΗ</t>
  </si>
  <si>
    <t>ΚΕΚΑΚΗ</t>
  </si>
  <si>
    <t>kekaki.eap@gmail.com</t>
  </si>
  <si>
    <t>ΚΕΛΑΙΔΗ</t>
  </si>
  <si>
    <t>amalthiaxania@gmail.com</t>
  </si>
  <si>
    <t>ΚΕΣΟΥΔΑΚΗ</t>
  </si>
  <si>
    <t>ΚΕΦΑΛΑ</t>
  </si>
  <si>
    <t>chrisakefala@gmail.com</t>
  </si>
  <si>
    <t>ΚΕΧΑΓΙΑ</t>
  </si>
  <si>
    <t>virke01@gmail.com</t>
  </si>
  <si>
    <t>ΚΙΑΓΙΑΔΑΚΗΣ</t>
  </si>
  <si>
    <t>mkiagiad@yahoo.gr</t>
  </si>
  <si>
    <t>ΚΙΑΓΙΑΣ</t>
  </si>
  <si>
    <t>sonic2000gr@gmail.com</t>
  </si>
  <si>
    <t>ΚΙΝΑΛΟΠΟΥΛΟΣ</t>
  </si>
  <si>
    <t>ilias_kinalopoulos@yahoo.gr</t>
  </si>
  <si>
    <t>ΚΙΝΤΗ</t>
  </si>
  <si>
    <t>dorakinti@yahoo.gr</t>
  </si>
  <si>
    <t>ΚΙΝΤΡΙΛΗΣ</t>
  </si>
  <si>
    <t>emkintrilis@hotmail.com</t>
  </si>
  <si>
    <t>ΚΙΤΚΑ</t>
  </si>
  <si>
    <t>ΚΙΤΡΙΝΟΡΙΝΗ</t>
  </si>
  <si>
    <t>ΚΙΤΣΙΟΥ</t>
  </si>
  <si>
    <t>ΚΙΤΣΟΥ</t>
  </si>
  <si>
    <t>ΚΙΤΣΟΥΛΗ</t>
  </si>
  <si>
    <t>ΚΩΝΣΤANTINIA</t>
  </si>
  <si>
    <t>anna.kitsouli2@yahoo.gr</t>
  </si>
  <si>
    <t>ΚΛΑΟΥΡΑΚΗ</t>
  </si>
  <si>
    <t>arvanitis8@gmail.com</t>
  </si>
  <si>
    <t>ΚΛΕΙΝΑΚΗΣ</t>
  </si>
  <si>
    <t>ΚΛΕΙΝΑΥΤΑΚΗΣ</t>
  </si>
  <si>
    <t>pklinaf@gmail.com</t>
  </si>
  <si>
    <t>ΚΛΕΟΒΟΥΛΟΥ</t>
  </si>
  <si>
    <t>sofoklisk@yahoo.com</t>
  </si>
  <si>
    <t>316/Γ/25-11-2005</t>
  </si>
  <si>
    <t>ΚΛΕΤΣΑ</t>
  </si>
  <si>
    <t>ΚΛΩΘΑΚΗ</t>
  </si>
  <si>
    <t>ΚΝΗΤΟΥ</t>
  </si>
  <si>
    <t>knitou@hotmail.com</t>
  </si>
  <si>
    <t>ΚΟΚΑΡΑΚΗ ΒΕΔΕΡΑΚΗ</t>
  </si>
  <si>
    <t>ΚΟΚΚΑΛΑ</t>
  </si>
  <si>
    <t>katekokkini@gmail.com</t>
  </si>
  <si>
    <t>antkok69@gmail.com</t>
  </si>
  <si>
    <t>ΚΟΚΟΛΟΓΙΑΝΝΑΚΗΣ</t>
  </si>
  <si>
    <t>Γενικό Λύκειο Χώρας Σφακίων</t>
  </si>
  <si>
    <t>mail@lyk-sfakion.chan.sch.gr</t>
  </si>
  <si>
    <t>ΚΟΛΙΑ</t>
  </si>
  <si>
    <t>ΤΙΝΑ</t>
  </si>
  <si>
    <t>koliatina@hotmail.com</t>
  </si>
  <si>
    <t>ΚΟΛΛΙΑ</t>
  </si>
  <si>
    <t>vikikollia@gmail.com</t>
  </si>
  <si>
    <t>ΚΟΛΟΚΥΘΑ</t>
  </si>
  <si>
    <t>aretokitha@gmail.com</t>
  </si>
  <si>
    <t>ΚΟΛΟΚΥΘΑΣ</t>
  </si>
  <si>
    <t>ΚΟΜΠΙΤΣΑΚΗ</t>
  </si>
  <si>
    <t>ΚΟΝΣΟΛΑΚΗ</t>
  </si>
  <si>
    <t>roulakonsolaki@gmail.com</t>
  </si>
  <si>
    <t>ΚΟΝΤΑΔΑΚΗΣ</t>
  </si>
  <si>
    <t>manolisjob@gmail.com</t>
  </si>
  <si>
    <t>Γυμνάσιο Καντάνου</t>
  </si>
  <si>
    <t>mail@gym-kantan.chan.sch.gr</t>
  </si>
  <si>
    <t>nkonto41@gmail.com</t>
  </si>
  <si>
    <t>ΚΟΝΤΟΧΡΗΣΤΟΥ</t>
  </si>
  <si>
    <t>ΑΓΟΡΗ</t>
  </si>
  <si>
    <t>chryssa.kon@gmail.com</t>
  </si>
  <si>
    <t>ΚΟΠΑΣΑΚΗ</t>
  </si>
  <si>
    <t>ΚΟΠΑΣΑΚΗ ΑΝΤΩΝΙΟΥ</t>
  </si>
  <si>
    <t>ΚΟΡΑΚΟΒΟΥΝΗΣ</t>
  </si>
  <si>
    <t>korapan@gmail.com</t>
  </si>
  <si>
    <t>ΚΟΡΕΛΗ</t>
  </si>
  <si>
    <t>sandrakoreli68@gmail.com</t>
  </si>
  <si>
    <t>ΚΟΡΝΑΡΑΚΗ</t>
  </si>
  <si>
    <t>ΚΟΡΡΕ</t>
  </si>
  <si>
    <t>marikakik@gmail.com</t>
  </si>
  <si>
    <t>ΚΟΡΤΣΙΔΑΚΗ</t>
  </si>
  <si>
    <t>kortsida@sch.gr</t>
  </si>
  <si>
    <t>ΚΟΤΣΙΦΑΚΗ</t>
  </si>
  <si>
    <t>sitkotsifaki@yahoo.gr</t>
  </si>
  <si>
    <t>argyrwkotsifaki@gmail.com</t>
  </si>
  <si>
    <t>ΚΟΤΣΙΦΑΚΗΣ</t>
  </si>
  <si>
    <t>vkotsifak@sch.gr</t>
  </si>
  <si>
    <t>ΚΟΥΚΑΚΗ</t>
  </si>
  <si>
    <t>ellissavi@gmail.com</t>
  </si>
  <si>
    <t>ΚΟΥΚΛΑΚΗΣ</t>
  </si>
  <si>
    <t>kouklakisgiorgos@yahoo.gr</t>
  </si>
  <si>
    <t>dacreta@yahoo.com</t>
  </si>
  <si>
    <t>ΚΟΥΛΙΖΟΥ</t>
  </si>
  <si>
    <t>ΚΑΝΕΛΛΗ ΚΕΛΛ</t>
  </si>
  <si>
    <t>ΚΟΥΛΟΧΕΡΑ</t>
  </si>
  <si>
    <t>dimitrismin@windowslive.com</t>
  </si>
  <si>
    <t>ckous@yahoo.com</t>
  </si>
  <si>
    <t>ΚΟΥΜΕΝΤΑΚΑΚΟΥ</t>
  </si>
  <si>
    <t>koumentakakou@gymnasio-platania.gr</t>
  </si>
  <si>
    <t>ΚΟΥΜΗΣ</t>
  </si>
  <si>
    <t>wpkoumis@gmail.com</t>
  </si>
  <si>
    <t>ΚΟΥΜΠΟΥΖΗΣ</t>
  </si>
  <si>
    <t>ΚΟΥΝΑΛΗΣ</t>
  </si>
  <si>
    <t>kounalis.kostas@hotmail.com</t>
  </si>
  <si>
    <t>ΚΟΥΝΕΛΑΚΗ</t>
  </si>
  <si>
    <t>kounmary15@gmail.com</t>
  </si>
  <si>
    <t>ΚΟΥΝΕΛΑΚΗΣ</t>
  </si>
  <si>
    <t>mkoune@gmail.com</t>
  </si>
  <si>
    <t>ΚΟΥΝΤΟΥΡΑΚΗ</t>
  </si>
  <si>
    <t>ΚΟΥΡΑΚΗ</t>
  </si>
  <si>
    <t>esimantiris@gmail.com</t>
  </si>
  <si>
    <t>sofia_kouraki@yahoo.gr</t>
  </si>
  <si>
    <t>ΚΟΥΡΑΚΗΣ</t>
  </si>
  <si>
    <t>ΚΟΥΡΗ</t>
  </si>
  <si>
    <t>kourina2002@yahoo.gr</t>
  </si>
  <si>
    <t>ΚΟΥΡΗΣ</t>
  </si>
  <si>
    <t>ΚΟΥΡΚΟΥΜΕΛΑΚΗΣ</t>
  </si>
  <si>
    <t>tonyk4444@gmail.com</t>
  </si>
  <si>
    <t>ΚΟΥΡΚΟΥΤΑΣ</t>
  </si>
  <si>
    <t>ykourkoutas@hotmail.com</t>
  </si>
  <si>
    <t>ΚΟΥΡΝΙΔΑΚΗ</t>
  </si>
  <si>
    <t>elinakournidaki@hotmail.com</t>
  </si>
  <si>
    <t>ΚΟΥΡΟΥΜΠΛΗΣ</t>
  </si>
  <si>
    <t>dkouroublis@gmail.com</t>
  </si>
  <si>
    <t>ΚΟΥΡΟΥΠΗ</t>
  </si>
  <si>
    <t>ΟΔΥΣΣΕΥΣ</t>
  </si>
  <si>
    <t>anastaskour@yahoo.gr</t>
  </si>
  <si>
    <t>ΚΟΥΡΟΥΣΗ</t>
  </si>
  <si>
    <t>225/τΓ/9-9-2005</t>
  </si>
  <si>
    <t>alkmel@sch.gr</t>
  </si>
  <si>
    <t>ΚΟΥΤΟΥΛΑΚΗΣ</t>
  </si>
  <si>
    <t>zahariask@gmail.com</t>
  </si>
  <si>
    <t>ΚΟΥΤΡΑΚΗΣ</t>
  </si>
  <si>
    <t>ΚΟΥΤΡΟΥΜΠΑ</t>
  </si>
  <si>
    <t>athinakoutrouba@yahoo.com</t>
  </si>
  <si>
    <t>ΚΟΥΤΡΟΥΜΠΑΚΗΣ</t>
  </si>
  <si>
    <t>koutsakieleftheria@gmail.com</t>
  </si>
  <si>
    <t>ΚΟΥΤΣΑΜΠΕΣΗ</t>
  </si>
  <si>
    <t>tzeko@yahoo.gr</t>
  </si>
  <si>
    <t>ΚΟΥΤΣΟΥΜΠΟΥ</t>
  </si>
  <si>
    <t>ΦΙΛΟΜΗΛΑ</t>
  </si>
  <si>
    <t>ΚΟΥΤΣΟΥΝΑΚΗ</t>
  </si>
  <si>
    <t>ΚΟΥΤΣΟΥΠΑΚΗΣ</t>
  </si>
  <si>
    <t>pakoyts@gmail.com</t>
  </si>
  <si>
    <t>gymvryso@sch.gr</t>
  </si>
  <si>
    <t>and.kouts@gmail.com</t>
  </si>
  <si>
    <t>ΚΟΥΤΣΟΥΡΕΛΑΚΗΣ</t>
  </si>
  <si>
    <t>koutsourelakis@gmail.com</t>
  </si>
  <si>
    <t>ΚΟΥΤΣΟΥΡΙΔΟΥ</t>
  </si>
  <si>
    <t>ΣΩΦΡΟ</t>
  </si>
  <si>
    <t>ΚΟΥΦΟΓΙΑΝΝΑΚΗ</t>
  </si>
  <si>
    <t>kyr.bgh@gmail.com</t>
  </si>
  <si>
    <t>ΚΟΥΦΟΓΙΩΡΓΟΥ</t>
  </si>
  <si>
    <t>mahikouf@yahoo.com</t>
  </si>
  <si>
    <t>ΚΡΑΣΟΥΔΑΚΗ</t>
  </si>
  <si>
    <t>dimitrakrasoudaki@gmail.com</t>
  </si>
  <si>
    <t>ΚΡΕΜΜΥΔΑ</t>
  </si>
  <si>
    <t>ΕΛΛΗΝΙΣ</t>
  </si>
  <si>
    <t>sokremm@otenet.gr</t>
  </si>
  <si>
    <t>thanassiskritikos@gmail.com</t>
  </si>
  <si>
    <t>ΚΡΙΚΕΛΑ</t>
  </si>
  <si>
    <t>evakrik@gmail.com</t>
  </si>
  <si>
    <t>mktistaki@yahoo.gr</t>
  </si>
  <si>
    <t>gkyriakaki@sch.gr</t>
  </si>
  <si>
    <t>218ΤΓ/1-9-05</t>
  </si>
  <si>
    <t>kyriakakhs.nick@gmail.com</t>
  </si>
  <si>
    <t>akiriaki@gmail.com</t>
  </si>
  <si>
    <t>ΚΥΡΙΤΣΑΚΗΣ</t>
  </si>
  <si>
    <t>elkir@sch.gr</t>
  </si>
  <si>
    <t>ΚΥΡΙΤΣΗ</t>
  </si>
  <si>
    <t>katerinaspain2002@yahoo.gr</t>
  </si>
  <si>
    <t>clairecon@gmail.com</t>
  </si>
  <si>
    <t>piperaki78@gmail.com</t>
  </si>
  <si>
    <t>ΚΩΝΣΤΑΝΤΙΝΟΠΟΥΛΟΥ</t>
  </si>
  <si>
    <t>marianskyp@yahoo.com</t>
  </si>
  <si>
    <t>ΚΩΝΣΤΑΝΤΟΠΟΥΛΟΥ</t>
  </si>
  <si>
    <t>evanthiakonsta@hotmail.com</t>
  </si>
  <si>
    <t>ΚΩΝΣΤΑΝΤΟΥΔΑΚΗ</t>
  </si>
  <si>
    <t>ΚΩΝΣΤΑΝΤΟΥΔΑΚΗΣ</t>
  </si>
  <si>
    <t>ΠΡΟΚΟΠΙΟ</t>
  </si>
  <si>
    <t>ΚΩΝΣΤΑΝΤΟΥΡΑΣ</t>
  </si>
  <si>
    <t>ΣΤΕΡΓΙΑ</t>
  </si>
  <si>
    <t>ΚΩΣΤΑΜΕΝΑ</t>
  </si>
  <si>
    <t>ekostam@yahoo.gr</t>
  </si>
  <si>
    <t>ΚΩΣΤΗΣ</t>
  </si>
  <si>
    <t>ΚΩΣΤΟΠΟΥΛΟΣ</t>
  </si>
  <si>
    <t>thokosto@gmail.com</t>
  </si>
  <si>
    <t>ΚΩΣΤΟΥΡΑΚΗΣ</t>
  </si>
  <si>
    <t>ΑΛΕΞΔΡ</t>
  </si>
  <si>
    <t>kokostur@gmail.com</t>
  </si>
  <si>
    <t>ΚΩΤΗ</t>
  </si>
  <si>
    <t>ΚΩΤΟΥΖΑ</t>
  </si>
  <si>
    <t>ΑΣΠΑΣΙΑ-ΕΛΕΝΗ</t>
  </si>
  <si>
    <t>ΚΩΤΣΑΚΗ</t>
  </si>
  <si>
    <t>elenikots62@gmail.com</t>
  </si>
  <si>
    <t>ΚΩΤΣΙΟΥ</t>
  </si>
  <si>
    <t>fkotsiou@gmail.com</t>
  </si>
  <si>
    <t>ΚΩΤΣΟΠΟΥΛΟΣ</t>
  </si>
  <si>
    <t>kotsop@gmail.com</t>
  </si>
  <si>
    <t>ΛΑΓΟΥΔΑΚΗΣ</t>
  </si>
  <si>
    <t>panl77@yahoo.gr</t>
  </si>
  <si>
    <t>ΛΑΚΙΩΤΑΚΗ</t>
  </si>
  <si>
    <t>ΛΑΜΠΑΡΔΑΚΗ</t>
  </si>
  <si>
    <t>ΜΑΡΙΑ-ΕΥΡΙΔΙ</t>
  </si>
  <si>
    <t>e_lampardaki@yahoo.gr</t>
  </si>
  <si>
    <t>ΛΑΜΠΟΥ</t>
  </si>
  <si>
    <t>lampou58@gmail.com</t>
  </si>
  <si>
    <t>ΚΑΝΕΛΛΗ</t>
  </si>
  <si>
    <t>ΓΕΡΑΣΙΜΟΥΛΑ-ΑΙΚΑΤΕΡΙΝΗ</t>
  </si>
  <si>
    <t>ΛΑΜΠΡΙΝΑΚΗ</t>
  </si>
  <si>
    <t>ΔΩΡΟΘ</t>
  </si>
  <si>
    <t>vagla1978@yahoo.gr</t>
  </si>
  <si>
    <t>ΛΕΒΕΝΤΑΚΗΣ</t>
  </si>
  <si>
    <t>levendakis68@gmail.com</t>
  </si>
  <si>
    <t>leventakise@gmail.com</t>
  </si>
  <si>
    <t>ΛΕΓΑΤΟΥ</t>
  </si>
  <si>
    <t>ΛΕΔΑΚΗ</t>
  </si>
  <si>
    <t>ΘΕΟΧΑΡΟΥΛΑ</t>
  </si>
  <si>
    <t>ΒΑΓΙΤΣΑ</t>
  </si>
  <si>
    <t>hara.ledaki@gmail.com</t>
  </si>
  <si>
    <t>ΒΑΓΙΤ</t>
  </si>
  <si>
    <t>maira_le@yahoo.gr</t>
  </si>
  <si>
    <t>225/τ.Γ</t>
  </si>
  <si>
    <t>ΛΕΙΒΑΔΙΤΑΚΗ</t>
  </si>
  <si>
    <t>ΕΛΕΝΗ ΣΜΑΡΑΓ</t>
  </si>
  <si>
    <t>ΦΙΛΗΜ</t>
  </si>
  <si>
    <t>elenil@sch.gr</t>
  </si>
  <si>
    <t>ΛΕΝΤΑΡΑΚΗΣ</t>
  </si>
  <si>
    <t>ΛΕΝΤΑΡΗΣ</t>
  </si>
  <si>
    <t>alexis_lendaris@yahoo.com</t>
  </si>
  <si>
    <t>ΛΕΩΝΙΔΑΚΗ</t>
  </si>
  <si>
    <t>leonidaki@gmail.com</t>
  </si>
  <si>
    <t>leonidakiste@gmail.com</t>
  </si>
  <si>
    <t>ΛΕΩΝΙΔΟΥ</t>
  </si>
  <si>
    <t>leochristos65@gmail.com</t>
  </si>
  <si>
    <t>ΛΙΑΚΟΠΟΥΛΟΥ</t>
  </si>
  <si>
    <t>ΛΙΑΝΔΡΗ</t>
  </si>
  <si>
    <t>ΛΙΒΟΓΙΑΝΝΗΣ</t>
  </si>
  <si>
    <t>ΛΙΓΚΟΥΝΑΚΗ</t>
  </si>
  <si>
    <t>ΛΙΓΟΨΥΧΑΚΗ ΠΡΟΕΣΤΑΚΗ</t>
  </si>
  <si>
    <t>z.ligopsyxakh6401@yahoo.gr</t>
  </si>
  <si>
    <t>ΛΙΛΙΚΑΚΗ</t>
  </si>
  <si>
    <t>ΛΙΛΙΚΑΚΗΣ</t>
  </si>
  <si>
    <t>ΛΙΜΟΓΙΑΝΝΗ</t>
  </si>
  <si>
    <t>limoyiannieirini@yahoo.gr</t>
  </si>
  <si>
    <t>ΛΙΟΔΗ</t>
  </si>
  <si>
    <t>ΛΙΟΝΑΚΗΣ</t>
  </si>
  <si>
    <t>mlion43103@yahoo.gr</t>
  </si>
  <si>
    <t>ΛΙΟΝΤΟΣ</t>
  </si>
  <si>
    <t>liontosb@gmail.com</t>
  </si>
  <si>
    <t>ΛΙΤΣΑΚΗ</t>
  </si>
  <si>
    <t>ΕΣΘΗΡ</t>
  </si>
  <si>
    <t>leanderester@gmail.com</t>
  </si>
  <si>
    <t>ΛΙΤΣΑΚΗ ΜΑΡΚΟΥΛΑΚΗ</t>
  </si>
  <si>
    <t>ΜΑΡΙΕΤΤΑ</t>
  </si>
  <si>
    <t>ΛΟΥΛΑΔΑΚΗ</t>
  </si>
  <si>
    <t>rofois@otenet.gr</t>
  </si>
  <si>
    <t>ΛΟΥΠΑΣΗΣ</t>
  </si>
  <si>
    <t>panag_lu@yahoo.gr</t>
  </si>
  <si>
    <t>ΛΟΥΠΗΣ</t>
  </si>
  <si>
    <t>ΕΡΜΗΣ</t>
  </si>
  <si>
    <t>ΛΟΧΑΙΤΗΣ</t>
  </si>
  <si>
    <t>ΡΟΔΗΣ</t>
  </si>
  <si>
    <t>ΛΥΓΙΔΑΚΗ</t>
  </si>
  <si>
    <t>ΛΥΚΟΤΡΑΦΙΤΗ</t>
  </si>
  <si>
    <t>lykotrafiti@hotmail.com</t>
  </si>
  <si>
    <t>ΛΥΜΠΕΡΗ</t>
  </si>
  <si>
    <t>limberidi@yahoo.gr</t>
  </si>
  <si>
    <t>ΛΥΡΑΝΤΩΝΑΚΗΣ</t>
  </si>
  <si>
    <t>ΛΩΛΗ</t>
  </si>
  <si>
    <t>loliritsa@gmail.com</t>
  </si>
  <si>
    <t>ΜΑΓΟΥΛΑ</t>
  </si>
  <si>
    <t>ΤΖΟΓΙΑ</t>
  </si>
  <si>
    <t>ΜΑΖΑΝΑΚΗ</t>
  </si>
  <si>
    <t>ΣΥΡΜΑΛΕΝΙΑ</t>
  </si>
  <si>
    <t>lmazanaki@yahoo.gr</t>
  </si>
  <si>
    <t>ΜΑΖΟΚΟΠΑΚΗ</t>
  </si>
  <si>
    <t>mazok@psy.soc.uoc.gr</t>
  </si>
  <si>
    <t>tonia.mazo@gmail.com</t>
  </si>
  <si>
    <t>varvaramaz69@gmail.com</t>
  </si>
  <si>
    <t>ΜΑΚΑΤΟΥΝΑΚΗ</t>
  </si>
  <si>
    <t>ΔΙΑΜΑΝΤ</t>
  </si>
  <si>
    <t>eirinimakat@hotmail.com</t>
  </si>
  <si>
    <t>ΜΑΚΡΗ ΤΣΑΛΙΚΗ ΣΤΑΜΑΤΑΚ</t>
  </si>
  <si>
    <t>ΜΑΚΡΙΔΗΣ</t>
  </si>
  <si>
    <t>makridisdim@gmail.com</t>
  </si>
  <si>
    <t>ΜΑΚΡΙΔΟΥ</t>
  </si>
  <si>
    <t>ΜΑΚΡΥΜΑΝΩΛΑΚΗΣ</t>
  </si>
  <si>
    <t>makrimanolakis@gmail.com</t>
  </si>
  <si>
    <t>arsinoi.kampani@yahoo.gr</t>
  </si>
  <si>
    <t>ΜΑΛΑΘΡΑΚΗ</t>
  </si>
  <si>
    <t>katemal21@gmail.com</t>
  </si>
  <si>
    <t>ΜΑΛΑΚΑΚΗ</t>
  </si>
  <si>
    <t>evgeniama6@gmail.com</t>
  </si>
  <si>
    <t>kikimala1983@yahoo.gr</t>
  </si>
  <si>
    <t>harane@cyta.gr</t>
  </si>
  <si>
    <t>ΜΑΛΑΝΔΡΑΚΗΣ</t>
  </si>
  <si>
    <t>kosmas_mal@yahoo.gr</t>
  </si>
  <si>
    <t>ΜΑΛΟΥΚΟΥ</t>
  </si>
  <si>
    <t>ΣΤΑΜΟΥΛΗ</t>
  </si>
  <si>
    <t>ΣΤΑΥΡΟΥ</t>
  </si>
  <si>
    <t>anmalouk@gmail.com</t>
  </si>
  <si>
    <t>ΜΑΜΑΡΑΣ</t>
  </si>
  <si>
    <t>mamarasj@yahoo.gr</t>
  </si>
  <si>
    <t>ΜΑΜΜΑ</t>
  </si>
  <si>
    <t>vimamma@hotmail.com</t>
  </si>
  <si>
    <t>ΜΑΝΑΒΑΚΗ</t>
  </si>
  <si>
    <t>manavakie@yahoo.com</t>
  </si>
  <si>
    <t>ΜΑΝΑΚΟΣ</t>
  </si>
  <si>
    <t>amanakos@sch.gr</t>
  </si>
  <si>
    <t>ΚΡΥΣΤΑΛΗ</t>
  </si>
  <si>
    <t>anastasiamanasaki@gmail.com</t>
  </si>
  <si>
    <t>ΜΑΝΑΤΑΚΗ</t>
  </si>
  <si>
    <t>ΜΑΝΔΙΚΑΣ</t>
  </si>
  <si>
    <t>ΕΥΡΥΚΛΕΙ</t>
  </si>
  <si>
    <t>vasmandikas@hotmail.com</t>
  </si>
  <si>
    <t>maniacat66@gmail.com</t>
  </si>
  <si>
    <t>m_athina@hotmail.com</t>
  </si>
  <si>
    <t>manousaki_mar@yahoo.gr</t>
  </si>
  <si>
    <t>imanousaki@sch.gr</t>
  </si>
  <si>
    <t>mihmanous@yahoo.gr</t>
  </si>
  <si>
    <t>ΜΑΝΟΥΣΟΓΙΑΝΝΑΚΗ</t>
  </si>
  <si>
    <t>sofiamanouso@hotmail.com</t>
  </si>
  <si>
    <t>ΜΑΝΤΑΔΑΚΗ</t>
  </si>
  <si>
    <t>mantadakimaria@yahoo.gr</t>
  </si>
  <si>
    <t>522/Γ'/09-07-2009</t>
  </si>
  <si>
    <t>ΜΑΝΤΑΚΑ</t>
  </si>
  <si>
    <t>christina.mantaka@gmail.com</t>
  </si>
  <si>
    <t>ΜΑΝΤΖΑΡΑΠΗ</t>
  </si>
  <si>
    <t xml:space="preserve"> 	</t>
  </si>
  <si>
    <t>ΜΑΝΩΛΕΔΑΚΗ</t>
  </si>
  <si>
    <t>argmano@hotmail.com</t>
  </si>
  <si>
    <t>ΜΑΡΑΒΑΣ</t>
  </si>
  <si>
    <t>ΜΑΡΑΒΕΛΑΚΗ</t>
  </si>
  <si>
    <t>evamaravelaki54@yahoo.gr</t>
  </si>
  <si>
    <t>ΣΚΟΥΛΗΣ</t>
  </si>
  <si>
    <t>mihalis_maragakis@yahoo.gr</t>
  </si>
  <si>
    <t>skiadaschania@gmail.com</t>
  </si>
  <si>
    <t>ΑΡΙΣΤΟΔΗ</t>
  </si>
  <si>
    <t>lelaka39@gmail.com</t>
  </si>
  <si>
    <t>marimaragou@yahoo.gr</t>
  </si>
  <si>
    <t>mmaragkou8@gmail.com</t>
  </si>
  <si>
    <t>tasosfit@yahoo.com</t>
  </si>
  <si>
    <t>ΜΑΡΑΘΑΚΗ</t>
  </si>
  <si>
    <t>popakimar@yahoo.gr</t>
  </si>
  <si>
    <t>ΜΑΡΑΚΑΚΗ</t>
  </si>
  <si>
    <t>ΜΑΡΑΚΑΣ</t>
  </si>
  <si>
    <t>ΡΗΓΟΥΛΑ</t>
  </si>
  <si>
    <t>ΒΑΣΙΛΗΣ</t>
  </si>
  <si>
    <t>elmaraki@gmail.com</t>
  </si>
  <si>
    <t>ΜΑΡΑΚΗ ΠΕΡΑΚΗ</t>
  </si>
  <si>
    <t>mamaraki1960@gmail.com</t>
  </si>
  <si>
    <t>ΜΑΡΓΑΡΙΤΑΚΗ</t>
  </si>
  <si>
    <t>ΕΥΘΑΛ</t>
  </si>
  <si>
    <t>margaritaki.maria@hotmail.com</t>
  </si>
  <si>
    <t>margvivi3@yahoo.gr</t>
  </si>
  <si>
    <t>ΜΑΡΓΑΡΙΤΑΚΗΣ</t>
  </si>
  <si>
    <t>ΜΑΡΓΙΟΛΑΚΗ ΠΑΤΕΡΑΚΗ</t>
  </si>
  <si>
    <t>smargiolaki@3gymchan.eu</t>
  </si>
  <si>
    <t>ΜΑΡΓΙΟΥΛΑΣ</t>
  </si>
  <si>
    <t>imarg2@yahoo.gr</t>
  </si>
  <si>
    <t>ΜΑΡΙΝΑΚΗ</t>
  </si>
  <si>
    <t>eimarin@hotmail.com</t>
  </si>
  <si>
    <t>hmarinakis@yahoo.com</t>
  </si>
  <si>
    <t>ΜΑΡΙΝΑΤΟΥ</t>
  </si>
  <si>
    <t>ΜΑΡΙΑΕΛΕΝΗ</t>
  </si>
  <si>
    <t>marinatoum@gmail.com</t>
  </si>
  <si>
    <t>ΜΑΡΙΟΛΗ ΚΑΒΟΥΛΑΚΗ</t>
  </si>
  <si>
    <t>ΕΥΣΕΒΙΟΣ</t>
  </si>
  <si>
    <t>annamarcaci@yahoo.com</t>
  </si>
  <si>
    <t>eirmark.fys@gmail.com</t>
  </si>
  <si>
    <t>ΟΡΕΟΖΙΛΗ</t>
  </si>
  <si>
    <t>markmari@sch.gr</t>
  </si>
  <si>
    <t>markaki.sofi@gmail.com</t>
  </si>
  <si>
    <t>ΡΑΦΑΗΛΙΑ-ΙΩΑΝΝΑ</t>
  </si>
  <si>
    <t>ΜΑΡΚΕΤΑΚΗ</t>
  </si>
  <si>
    <t>ΜΑΡΚΕΤΑΚΗΣ</t>
  </si>
  <si>
    <t>markmarketakis@gmail.com</t>
  </si>
  <si>
    <t>ΜΑΡΚΟΥΛΑΚΗ</t>
  </si>
  <si>
    <t>irini.markoulaki@gmail.com</t>
  </si>
  <si>
    <t>marke@avaxgr.eu</t>
  </si>
  <si>
    <t>ΜΑΡΜΑΡΙΤΣΑΚΗ</t>
  </si>
  <si>
    <t>ΜΑΡΜΑΤΑΚΗ</t>
  </si>
  <si>
    <t>ΜΑΡΟΛΑΧΑΚΗ</t>
  </si>
  <si>
    <t>ΜΑΡΟΥΣΗΣ</t>
  </si>
  <si>
    <t>marousis@sch.gr</t>
  </si>
  <si>
    <t>ΜΑΡΤΙΚΑΣ</t>
  </si>
  <si>
    <t>dmart@sch.gr</t>
  </si>
  <si>
    <t>ΜΑΡΤΣΑΚΗ</t>
  </si>
  <si>
    <t>ioannamartsaki@gmail.com</t>
  </si>
  <si>
    <t>ΘΑΛΕΙΑ</t>
  </si>
  <si>
    <t>thmastrantonaki@gmail.com</t>
  </si>
  <si>
    <t>ΜΑΣΤΡΟΚΩΣΤΑ</t>
  </si>
  <si>
    <t>ioannamastro@yahoo.gr</t>
  </si>
  <si>
    <t>ΜΑΤΣΑΜΑΚΗ</t>
  </si>
  <si>
    <t>sirinatouaigaiou@gmail.com</t>
  </si>
  <si>
    <t>k.matsamaki@gmail.com</t>
  </si>
  <si>
    <t>ΜΑΤΣΟΥΚΑ</t>
  </si>
  <si>
    <t>dimitram220@gmail.com</t>
  </si>
  <si>
    <t>lenio0304@gmail.com</t>
  </si>
  <si>
    <t>ΜΑΥΡΕΔΑΚΗ</t>
  </si>
  <si>
    <t>amavredaki@gmail.com</t>
  </si>
  <si>
    <t>ΜΑΥΡΟΓΕΝΗΣ</t>
  </si>
  <si>
    <t>jmaurog@otenet.gr</t>
  </si>
  <si>
    <t>ΜΑΥΡΟΜΑΤΑΚΗ</t>
  </si>
  <si>
    <t>ΜΑΥΡΟΜΑΤΑΚΗΣ</t>
  </si>
  <si>
    <t>ΙΑΣΟΝΑΣ</t>
  </si>
  <si>
    <t>gmavromat@gmail.com</t>
  </si>
  <si>
    <t>ΜΑΥΡΟΜΟΥΣΤΑΚΑΚΗΣ</t>
  </si>
  <si>
    <t>ΜΑΦΟΥΝΗ</t>
  </si>
  <si>
    <t>ΜΑΧΑΙΡΑΣ</t>
  </si>
  <si>
    <t>iliaswp@yahoo.com</t>
  </si>
  <si>
    <t>ΜΕΛΑΔΑΚΗ</t>
  </si>
  <si>
    <t>eirinimeladaki@gmail.com</t>
  </si>
  <si>
    <t>ΜΕΛΕΜΕΝΗ</t>
  </si>
  <si>
    <t>samelma16@yahoo.gr</t>
  </si>
  <si>
    <t>ΜΕΜΟΣ</t>
  </si>
  <si>
    <t>memosge@hotmail.com</t>
  </si>
  <si>
    <t>ΜΕΝΙΟΥΔΑΚΗ</t>
  </si>
  <si>
    <t>ΕΛΕΝΗ ΕΥΑΝΘΙ</t>
  </si>
  <si>
    <t>emenioud@gmail.com</t>
  </si>
  <si>
    <t>ΜΕΝΙΟΥΔΑΚΗΣ</t>
  </si>
  <si>
    <t>menioud@yahoo.gr</t>
  </si>
  <si>
    <t>ΜΕΝΤΑΚΗΣ</t>
  </si>
  <si>
    <t>mentman1st@yahoo.gr</t>
  </si>
  <si>
    <t>218/01-09-2005</t>
  </si>
  <si>
    <t>ΜΕΤΖΙΔΑΚΗ</t>
  </si>
  <si>
    <t>ΜΗΛΙΟΣ</t>
  </si>
  <si>
    <t>ΣΟΦΟΝΙΑ</t>
  </si>
  <si>
    <t>gmhlios@outlook.com.gr</t>
  </si>
  <si>
    <t>ΜΗΤΡΑΚΗ</t>
  </si>
  <si>
    <t>mariamitrak@yahoo.gr</t>
  </si>
  <si>
    <t>ΜΗΤΣΟΥ</t>
  </si>
  <si>
    <t>ΜΙΧΑΗΛΕΛΛΗΣ</t>
  </si>
  <si>
    <t>ΜΙΧΑΗΛΙΔΗΣ</t>
  </si>
  <si>
    <t>mixailidalex@gmail.com</t>
  </si>
  <si>
    <t>ΜΙΧΑΛΟΥΔΗ</t>
  </si>
  <si>
    <t>elpiniki121@gmail.com</t>
  </si>
  <si>
    <t>dmtmixel@yahoo.gr</t>
  </si>
  <si>
    <t>ΜΙΧΕΛΑΡΑΚΗ</t>
  </si>
  <si>
    <t>c.michelaraki@gmail.com</t>
  </si>
  <si>
    <t>ΜΟΣΧΟΧΩΡΙΤΟΥ</t>
  </si>
  <si>
    <t>ΜΟΥΓΙΟΥ</t>
  </si>
  <si>
    <t>elemoug@yahoo.gr</t>
  </si>
  <si>
    <t>ΜΟΥΖΗΣ</t>
  </si>
  <si>
    <t>dion.mouzis@gmail.com</t>
  </si>
  <si>
    <t>vasomouzouraki@hotmail.gr</t>
  </si>
  <si>
    <t>ΜΟΥΝΤΟΓΙΑΝΝΑΚΗΣ</t>
  </si>
  <si>
    <t>ΜΟΥΡΙΖΑΚΗ</t>
  </si>
  <si>
    <t>ΜΟΥΣΚΟΥΝΤΑΚΗ</t>
  </si>
  <si>
    <t>eleftheriamouskou@gmail.com</t>
  </si>
  <si>
    <t>moussouraki@gmail.com</t>
  </si>
  <si>
    <t>antimoutsaki@gmail.com</t>
  </si>
  <si>
    <t>ΜΠΑΓΙΑΡΤΑΚΗ</t>
  </si>
  <si>
    <t>bagiartaki@yahoo.gr</t>
  </si>
  <si>
    <t>ΜΠΑΚΑ</t>
  </si>
  <si>
    <t>ΜΕΛΙΝΑ</t>
  </si>
  <si>
    <t>ΜΠΑΚΑΣΕΤΑ</t>
  </si>
  <si>
    <t>nkbakaseta@hotmail.com</t>
  </si>
  <si>
    <t>ΜΠΑΚΙΡΤΖΗ</t>
  </si>
  <si>
    <t>ΜΠΑΛΑΚΟΥ</t>
  </si>
  <si>
    <t>mmpalakou@gmail.com</t>
  </si>
  <si>
    <t>ΜΠΑΛΑΝΤΙΝΟΣ</t>
  </si>
  <si>
    <t>mbaladinos@gmail.com</t>
  </si>
  <si>
    <t>ΜΠΑΛΙΑΣΗΣ</t>
  </si>
  <si>
    <t>emprmm@yahoo.gr</t>
  </si>
  <si>
    <t>ΜΠΑΛΤΑ</t>
  </si>
  <si>
    <t>ΜΠΑΛΤΖΗ</t>
  </si>
  <si>
    <t>ΧΡΥΣΟΒΑΛΑΝΤΩ</t>
  </si>
  <si>
    <t>chbaltzi@gmail.com</t>
  </si>
  <si>
    <t>231/31/8/2006</t>
  </si>
  <si>
    <t>ΜΠΑΜΠΑΣΩΦΗ</t>
  </si>
  <si>
    <t>cleompa@yahoo.gr</t>
  </si>
  <si>
    <t>ΜΠΑΝΔΕΛΗΣ</t>
  </si>
  <si>
    <t>ΜΠΑΝΤΙΑ</t>
  </si>
  <si>
    <t>ΜΠΑΝΤΟΥΡΑΚΗΣ</t>
  </si>
  <si>
    <t>ΓΙΑΝΝΟΥ</t>
  </si>
  <si>
    <t>yannisbad@gmail.com</t>
  </si>
  <si>
    <t>ΜΠΑΟΥΡΑΚΗ</t>
  </si>
  <si>
    <t>ΜΠΑΡΚΑ</t>
  </si>
  <si>
    <t>chrbarka@gmail.com</t>
  </si>
  <si>
    <t>ΜΠΑΡΤΖΩΚΑΣ</t>
  </si>
  <si>
    <t>ΜΠΑΣΔΕΚΗ</t>
  </si>
  <si>
    <t>anastasiampasdeki@gmail.com</t>
  </si>
  <si>
    <t>ΜΠΑΣΙΑΣ</t>
  </si>
  <si>
    <t>basias70@yahoo.gr</t>
  </si>
  <si>
    <t>ΜΠΑΤΑΚΗ</t>
  </si>
  <si>
    <t>ΧΑΡΑ-ΚΩΝΣΤΑΝΤΙΝΑ</t>
  </si>
  <si>
    <t>ibataki@hotmail.com</t>
  </si>
  <si>
    <t>ΜΠΑΤΖΕΛΗ</t>
  </si>
  <si>
    <t>x9272@hotmail.com</t>
  </si>
  <si>
    <t>ΜΠΑΧΑΝΤΑΚΗΣ</t>
  </si>
  <si>
    <t>sifismp@yahoo.gr</t>
  </si>
  <si>
    <t>ΜΠΑΧΑΡΟΠΟΥΛΟΥ</t>
  </si>
  <si>
    <t>ellimelicats@gmail.com</t>
  </si>
  <si>
    <t>ΜΠΑΧΛΙΤΖΑΝΑΚΗ</t>
  </si>
  <si>
    <t>bachlitz@sch.gr</t>
  </si>
  <si>
    <t>ΜΠΑΧΟΥΝΤΑΚΗΣ</t>
  </si>
  <si>
    <t>gbahoudakis@gmail.com</t>
  </si>
  <si>
    <t>ΜΠΕΚΙΟΣ</t>
  </si>
  <si>
    <t>lbekios@yahoo.com</t>
  </si>
  <si>
    <t>ΜΠΕΛΛΟΥ</t>
  </si>
  <si>
    <t>ΧΡΗΣΤ-ΔΗ</t>
  </si>
  <si>
    <t>irenebellou@gmail.com</t>
  </si>
  <si>
    <t>ΜΠΕΝΑΚΗΣ</t>
  </si>
  <si>
    <t>ΜΠΕΡΝΙΔΑΚΗΣ</t>
  </si>
  <si>
    <t>georgbernid@gmail.com</t>
  </si>
  <si>
    <t>ΜΠΕΧΤΣΟΥΔΗΣ</t>
  </si>
  <si>
    <t>ΜΠΙΛΑ</t>
  </si>
  <si>
    <t>mpipa@otenet.gr</t>
  </si>
  <si>
    <t>ΜΠΙΛΑΛΑΚΗ</t>
  </si>
  <si>
    <t>annbilalak@hotmail.com</t>
  </si>
  <si>
    <t>ΜΠΙΛΑΛΗ</t>
  </si>
  <si>
    <t>m_bilali@yahoo.com</t>
  </si>
  <si>
    <t>179/6/9/2005</t>
  </si>
  <si>
    <t>fbichakis@gmail.com</t>
  </si>
  <si>
    <t>ΜΠΛΑΖΑΚΗ</t>
  </si>
  <si>
    <t>mblazaki@sch.gr</t>
  </si>
  <si>
    <t>ΜΠΛΑΖΑΚΗΣ</t>
  </si>
  <si>
    <t>ΜΠΛΑΖΟΥΔΑΚΗ</t>
  </si>
  <si>
    <t>rmplazoudaki@yahoo.gr</t>
  </si>
  <si>
    <t>ΜΠΛΙΑΜΠΛΙΑ</t>
  </si>
  <si>
    <t>marinaki1978@yahoo.gr</t>
  </si>
  <si>
    <t>ΜΠΟΓΛΟΥ</t>
  </si>
  <si>
    <t>ΜΠΟΚΟΣ- ΔΕΛΗΓΙΑΝΝΑΚΗΣ</t>
  </si>
  <si>
    <t>asfedou@yahoo.gr</t>
  </si>
  <si>
    <t>ΜΠΟΛΑΚΗ</t>
  </si>
  <si>
    <t>ΜΠΟΛΙΑ</t>
  </si>
  <si>
    <t>ΜΠΟΜΠΟΛΑΚΗ</t>
  </si>
  <si>
    <t>katemp@pathfinder.gr</t>
  </si>
  <si>
    <t>ΜΠΟΜΠΟΛΑΚΗΣ</t>
  </si>
  <si>
    <t>bobol@sch.gr</t>
  </si>
  <si>
    <t>ΜΠΟΝΑΤΟΥ</t>
  </si>
  <si>
    <t>ΕΥΜΟΡΦΙ</t>
  </si>
  <si>
    <t>catkat1981@gmail.com</t>
  </si>
  <si>
    <t>ΜΠΟΡΜΠΟΥΔΑΚΗΣ</t>
  </si>
  <si>
    <t>a.bormpoudakis@gmail.com</t>
  </si>
  <si>
    <t>ΜΠΟΤΖΟΛΑΚΗΣ</t>
  </si>
  <si>
    <t>fragibotz@gmail.com</t>
  </si>
  <si>
    <t>ΜΠΟΤΩΝΑΚΗΣ</t>
  </si>
  <si>
    <t>ΑΓΑΘΗ-ΕΥΑΓΓΕΛΙΑ</t>
  </si>
  <si>
    <t>xristosbot@gmail.com</t>
  </si>
  <si>
    <t>772T.Γ</t>
  </si>
  <si>
    <t>ΜΠΟΥΖΑΚΗΣ</t>
  </si>
  <si>
    <t>ΜΠΟΥΛΑΚΗ</t>
  </si>
  <si>
    <t>vmpoulaki@yahoo.gr</t>
  </si>
  <si>
    <t>ΜΠΟΥΛΙΤΣΑΚΗ</t>
  </si>
  <si>
    <t>eboulitsaki@gmail.com</t>
  </si>
  <si>
    <t>ΜΠΟΥΛΤΑΔΑΚΗ-ΚΟΛΙΟΜΠΑ</t>
  </si>
  <si>
    <t>boultadakat@gmail.com</t>
  </si>
  <si>
    <t>ΜΠΟΥΡΑΣ</t>
  </si>
  <si>
    <t>ΓΡΗΓΟΡΗΣ</t>
  </si>
  <si>
    <t>159/5/9/1994</t>
  </si>
  <si>
    <t>bgiannis1@gmail.com</t>
  </si>
  <si>
    <t>ΜΠΟΥΤΣΑΡΑΚΗΣ</t>
  </si>
  <si>
    <t>ΜΠΡΑΒΟΥ</t>
  </si>
  <si>
    <t>Mbravou@yahoo.gr</t>
  </si>
  <si>
    <t>ΜΠΥΡΑΚΗ</t>
  </si>
  <si>
    <t>roulbiraki@gmail.com</t>
  </si>
  <si>
    <t>ΜΥΛΩΝΑΚΗ</t>
  </si>
  <si>
    <t>elenimilonaki@yahoo.gr</t>
  </si>
  <si>
    <t>sofiamylonaki@yahoo.gr</t>
  </si>
  <si>
    <t>gardeniastef@gmail.com</t>
  </si>
  <si>
    <t>ΜΥΛΩΝΑΚΗΣ</t>
  </si>
  <si>
    <t>ΜΥΡΙΔΑΚΗΣ</t>
  </si>
  <si>
    <t>stelmyr26@yahoo.gr</t>
  </si>
  <si>
    <t>ΜΥΣΙΡΛΑΚΗΣ</t>
  </si>
  <si>
    <t>ΝΑΞΑΚΗΣ</t>
  </si>
  <si>
    <t>ΝΕΩΝΗ</t>
  </si>
  <si>
    <t>evaneoni@sch.gr</t>
  </si>
  <si>
    <t>ΝΗΣΤΙΚΑΚΗ</t>
  </si>
  <si>
    <t>marianthinistikaki@gmail.com</t>
  </si>
  <si>
    <t>ΝΙΖΑΜΗ</t>
  </si>
  <si>
    <t>ΝΙΖΑΜΙΔΗΣ</t>
  </si>
  <si>
    <t>ΜΑΝΟΥ</t>
  </si>
  <si>
    <t>nikifosofia@gmail.com</t>
  </si>
  <si>
    <t>ΝΙΚΟΛΑΚΟΠΟΥΛΟΣ</t>
  </si>
  <si>
    <t>dimpanik@hotmail.com</t>
  </si>
  <si>
    <t>ygnikolaou@yahoo.gr</t>
  </si>
  <si>
    <t>pnikolaou@sch.gr</t>
  </si>
  <si>
    <t>ΝΙΚΗΦΟΡΟ</t>
  </si>
  <si>
    <t>alexandrosnik92@gmail.com</t>
  </si>
  <si>
    <t>206/2-9-2003</t>
  </si>
  <si>
    <t>kospapatzon@yahoo.gr</t>
  </si>
  <si>
    <t>NikiNikoloud@gmail.com</t>
  </si>
  <si>
    <t>ΝΙΟΛΑΚΗ ΒΟΥΤΑ</t>
  </si>
  <si>
    <t>vasoniol@outlook.com</t>
  </si>
  <si>
    <t>ΝΤΑΓΚΟΥΝΑΚΗ</t>
  </si>
  <si>
    <t>edagounaki@gmail.com</t>
  </si>
  <si>
    <t>ΝΤΑΜΠΟΥ</t>
  </si>
  <si>
    <t>ΝΤΙΝΑΚΗ</t>
  </si>
  <si>
    <t>ΝΤΟΒΑΣ</t>
  </si>
  <si>
    <t>arisdovas@gmail.com</t>
  </si>
  <si>
    <t>ΝΤΟΥΚΑΚΗ</t>
  </si>
  <si>
    <t>vassont1@gmail.com</t>
  </si>
  <si>
    <t>ΝΤΟΥΚΑΚΗΣ</t>
  </si>
  <si>
    <t>ntoukakisg@yahoo.gr</t>
  </si>
  <si>
    <t>ΝΤΟΥΛΑΚΗ</t>
  </si>
  <si>
    <t>ΝΤΟΥΛΑΚΗΣ</t>
  </si>
  <si>
    <t>mdoula@gmail.com</t>
  </si>
  <si>
    <t>ΝΤΟΥΝΤΟΥΝΑΚΗ</t>
  </si>
  <si>
    <t>katntou@yahoo.gr</t>
  </si>
  <si>
    <t>ΝΤΟΥΡΟΥΝΤΑΚΗ</t>
  </si>
  <si>
    <t>drouxrysa@gmail.com</t>
  </si>
  <si>
    <t>ΞΑΓΟΡΑΡΗ</t>
  </si>
  <si>
    <t>ΞΑΝΘΟΥΔΑΚΗ</t>
  </si>
  <si>
    <t>xanthoudakik@gmail.com</t>
  </si>
  <si>
    <t>ΞΑΝΘΟΥΔΑΚΗΣ</t>
  </si>
  <si>
    <t>xan.nektar@gmail.com</t>
  </si>
  <si>
    <t>ΞΑΝΘΥΝΑΚΗΣ</t>
  </si>
  <si>
    <t>ΑΓΑΜΕΜΝΩ</t>
  </si>
  <si>
    <t>thxenakisix@yahoo.gr</t>
  </si>
  <si>
    <t>ΞΕΡΟΓΙΑΝΝΑΚΗ</t>
  </si>
  <si>
    <t>athinaxerogiannaki@gmail.com</t>
  </si>
  <si>
    <t>passifai99@gmail.com</t>
  </si>
  <si>
    <t>ΞΗΡΑΚΗ</t>
  </si>
  <si>
    <t>ΧΡΥΣΑΝΝΗ</t>
  </si>
  <si>
    <t>ΞΟΜΑΛΗΣ</t>
  </si>
  <si>
    <t>gxomalis@yahoo.com</t>
  </si>
  <si>
    <t>ΞΥΝΙΔΑΚΗΣ</t>
  </si>
  <si>
    <t>cristosx@gmail.com</t>
  </si>
  <si>
    <t>ΞΥΠΟΛΙΤΑΚΗ ΜΕΣΣΑΡΙΤΑΚΗ</t>
  </si>
  <si>
    <t>ZacharoulaXi@hotmail.com</t>
  </si>
  <si>
    <t>ΑΝΔΡΙΑΝΑ-ΔΑΣΚΑΛΙΑ</t>
  </si>
  <si>
    <t>an.ikon@hotmail.com</t>
  </si>
  <si>
    <t>ΟΡΝΕΡΑΚΗ</t>
  </si>
  <si>
    <t>orfanakis1@gmail.com</t>
  </si>
  <si>
    <t>ΟΥΡΟΥΜΗ</t>
  </si>
  <si>
    <t>ΠΑΓΚΑΛΟΣ</t>
  </si>
  <si>
    <t>ΠΑΓΟΥΝΑΣ</t>
  </si>
  <si>
    <t>ΠΑΙΖΗ</t>
  </si>
  <si>
    <t>ΦΑΝΟΥΡΙΟ</t>
  </si>
  <si>
    <t>lipaizi@yahoo.gr</t>
  </si>
  <si>
    <t>ΠΑΙΚΟΥ</t>
  </si>
  <si>
    <t>ΒΕΛΙΣΣΑΡ</t>
  </si>
  <si>
    <t>paikoueleni@gmail.com</t>
  </si>
  <si>
    <t>ΠΑΛΑΝΤΖΑ</t>
  </si>
  <si>
    <t>ΚΡΥΣΤΑΛΛΙΑ</t>
  </si>
  <si>
    <t>tasostriantafillou@yahoo.com</t>
  </si>
  <si>
    <t>ΠΑΛΗΟΓΙΑΝΝΗ</t>
  </si>
  <si>
    <t>daphnie@mycosmos.gr</t>
  </si>
  <si>
    <t>ΠΑΝΔΗ</t>
  </si>
  <si>
    <t>ΤΡΥΦΩΝΑΣ</t>
  </si>
  <si>
    <t>pavassoula@yahoo.gr</t>
  </si>
  <si>
    <t>ΠΑΝΗΓΥΡΑΚΗ</t>
  </si>
  <si>
    <t>nansypanigir@yahoo.gr</t>
  </si>
  <si>
    <t>anthonypantelakis@gmail.com</t>
  </si>
  <si>
    <t>ΠΑΝΤΕΛΙΔΟΥ</t>
  </si>
  <si>
    <t>ΣΟΥΣΑΝΑ</t>
  </si>
  <si>
    <t>ΠΑΝΤΕΡΜΑΚΗ</t>
  </si>
  <si>
    <t>pantermaki@gmail.com</t>
  </si>
  <si>
    <t>ΠΑΝΤΖΕΚΟΥ</t>
  </si>
  <si>
    <t>evi.pantzekou@gmail.com</t>
  </si>
  <si>
    <t>ΠΑΝΤΖΕΛΙΟΥΔΑΚΗΣ</t>
  </si>
  <si>
    <t>ΠΑΝΤΙΔΗΣ</t>
  </si>
  <si>
    <t>ΠΑΠΑΓΙΑΝΝΗΣ</t>
  </si>
  <si>
    <t>ΑΛΕΚΟΣ</t>
  </si>
  <si>
    <t>+</t>
  </si>
  <si>
    <t>ΠΑΠΑΓΡΗΓΟΡΑΚΗΣ</t>
  </si>
  <si>
    <t>ΑΡΧΟΝΤΙ</t>
  </si>
  <si>
    <t>ΠΑΠΑΓΡΗΓΟΡΗ</t>
  </si>
  <si>
    <t>stgodolias@gmail.com</t>
  </si>
  <si>
    <t>kpapadaki57@yahoo.gr</t>
  </si>
  <si>
    <t>ΘΕΟΦΡΑΣΤΟΣ</t>
  </si>
  <si>
    <t>elenikipapa@gmail.com</t>
  </si>
  <si>
    <t>leniou79@gmail.com</t>
  </si>
  <si>
    <t>e.papadaki72@gmail.com</t>
  </si>
  <si>
    <t>con.papadaki@gmail.com</t>
  </si>
  <si>
    <t>ΒΕΝΕΤΣΙΑΝΑ</t>
  </si>
  <si>
    <t>mariapapadaki76@hotmail.com</t>
  </si>
  <si>
    <t>ΕΥΛΑΜΠΙ</t>
  </si>
  <si>
    <t>gymkolym@sch.gr</t>
  </si>
  <si>
    <t>hapapa@otenet.gr</t>
  </si>
  <si>
    <t>Papadantonakieleni1@gmail.com</t>
  </si>
  <si>
    <t>ΠΑΠΑΔΕΡΑΚΗΣ</t>
  </si>
  <si>
    <t>ΦΑΙΝΑΡΕ</t>
  </si>
  <si>
    <t>papaderakis.a@hotmail.com</t>
  </si>
  <si>
    <t>ΠΑΠΑΔΗΜΗΤΡΙΟΥ</t>
  </si>
  <si>
    <t>ntina-p@hotmail.com</t>
  </si>
  <si>
    <t>kalhpapa@gmail.com</t>
  </si>
  <si>
    <t>ΕΥΜΟΡΦΙΛΗ</t>
  </si>
  <si>
    <t>ev_papadopoulou@yahoo.gr</t>
  </si>
  <si>
    <t>ΚΩΝ ΝΙΑ</t>
  </si>
  <si>
    <t>papkon68@gmail.com</t>
  </si>
  <si>
    <t>ΠΑΠΑΔΡΑΚΑΚΗΣ</t>
  </si>
  <si>
    <t>papadrakakis@gmail.com</t>
  </si>
  <si>
    <t>hpapae@sch.gr</t>
  </si>
  <si>
    <t>kappa408@gmail.com</t>
  </si>
  <si>
    <t>ΠΑΠΑΪΣΙΔΩΡΟΥ</t>
  </si>
  <si>
    <t>ΟΔΥΣΣΕΙΑ</t>
  </si>
  <si>
    <t>odypapai@yahoo.com</t>
  </si>
  <si>
    <t>ΠΑΠΑΚΥΡΓΙΑΚΗ</t>
  </si>
  <si>
    <t>kotsimich@yahoo.gr</t>
  </si>
  <si>
    <t>ΠΑΠΑΛΙΟΝΑΚΗ</t>
  </si>
  <si>
    <t>e.pagonidis@yahoo.de</t>
  </si>
  <si>
    <t>ΠΑΠΑΝΑΓΙΩΤΟΥ</t>
  </si>
  <si>
    <t>athipap3@gmail.com</t>
  </si>
  <si>
    <t>ΒΑΣΙΛΙΚΗ-ΠΟΛ</t>
  </si>
  <si>
    <t>mariapapanayotou@gmail.com</t>
  </si>
  <si>
    <t>ΠΑΠΑΣΤΑΜΟΣ</t>
  </si>
  <si>
    <t>ΚΑΣΣΙΑΝ</t>
  </si>
  <si>
    <t>ΠΑΠΑΣΤΕΡΓΙΟΥ</t>
  </si>
  <si>
    <t>ΠΑΠΑΣΤΥΛΟΠΟΥΛΟΥ</t>
  </si>
  <si>
    <t>eipap@hotmail.com</t>
  </si>
  <si>
    <t>ΠΑΠΑΣΩΤΗΡΙΟΥ</t>
  </si>
  <si>
    <t>papasotiriou@gmail.com</t>
  </si>
  <si>
    <t>xpapas@sch.gr</t>
  </si>
  <si>
    <t>ΠΑΠΑΦΡΑΓΚΟΣ</t>
  </si>
  <si>
    <t>papchania@yahoo.gr</t>
  </si>
  <si>
    <t>ΠΑΠΑΧΙΛΛΕΑ</t>
  </si>
  <si>
    <t>ΑΧΙΛΛΕΙΑ</t>
  </si>
  <si>
    <t>apapachill@sch.gr</t>
  </si>
  <si>
    <t>ΠΑΠΙΔΑΚΗ</t>
  </si>
  <si>
    <t>ariadnipapi@gmail.com</t>
  </si>
  <si>
    <t>ΠΑΠΟΓΛΟΥ</t>
  </si>
  <si>
    <t>ΠΕΡΙΣ</t>
  </si>
  <si>
    <t>serkas13@gmail.com</t>
  </si>
  <si>
    <t>ΑΛΕΞΙ</t>
  </si>
  <si>
    <t>elenipa123@gmail.com</t>
  </si>
  <si>
    <t>papoutsaki-m@hotmail.com</t>
  </si>
  <si>
    <t>papoustel@yahoo.gr</t>
  </si>
  <si>
    <t>ΠΑΠΟΥΤΣΗ</t>
  </si>
  <si>
    <t>ΠΑΠΟΥΤΣΗΣ</t>
  </si>
  <si>
    <t>ΠΑΡΑΣΚΑΚΗ</t>
  </si>
  <si>
    <t>paraskageo@yahoo.gr</t>
  </si>
  <si>
    <t>ΠΑΡΑΣΚΕΥΑΙΔΗ</t>
  </si>
  <si>
    <t>ΠΑΡΑΣΧΟΥ</t>
  </si>
  <si>
    <t>thodoris.parashou@gmail.com</t>
  </si>
  <si>
    <t>ΠΑΡΔΑΛΑΚΗ</t>
  </si>
  <si>
    <t>ΚΛΕΟΜΕΝΗ</t>
  </si>
  <si>
    <t>elpardalaki@gmail.com</t>
  </si>
  <si>
    <t>ΠΑΣΠΑΡΑΚΗ</t>
  </si>
  <si>
    <t>vickipasp@yahoo.com</t>
  </si>
  <si>
    <t>ΠΑΣΧΟΥ</t>
  </si>
  <si>
    <t>ΠΑΤΑΓΑΚΗ-ΠΕΡΑΚΗ</t>
  </si>
  <si>
    <t>iopatagaki@gmail.com</t>
  </si>
  <si>
    <t>ΑΛΚΗΣΤΗ</t>
  </si>
  <si>
    <t>alkestepat@gmail.com</t>
  </si>
  <si>
    <t>ΠΑΤΗΝΙΩΤΑΚΗ</t>
  </si>
  <si>
    <t>ΠΑΤΙΝΙΩΤΑΚΗ</t>
  </si>
  <si>
    <t>vaspati@gmail.com</t>
  </si>
  <si>
    <t>pavlidous@gmail.com</t>
  </si>
  <si>
    <t>ΠΕΙΡΟΥΝΑΚΗΣ</t>
  </si>
  <si>
    <t>speiroynakis@gmail.com</t>
  </si>
  <si>
    <t>ΠΕΡΑΘΩΡΑΚΗΣ</t>
  </si>
  <si>
    <t>terragelinda@gmail.com</t>
  </si>
  <si>
    <t>ΔΑΜΟΥΛΗΣ</t>
  </si>
  <si>
    <t>ΠΕΡΟΓΙΑΝΝΑΚΗ</t>
  </si>
  <si>
    <t>ΜΥΡΤΟΥΛΑ</t>
  </si>
  <si>
    <t>ΠΕΡΡΑΚΗΣ</t>
  </si>
  <si>
    <t>sperra0@yahoo.gr</t>
  </si>
  <si>
    <t>rena_petraki@hotmail.com</t>
  </si>
  <si>
    <t>agpetrakis@yahoo.com</t>
  </si>
  <si>
    <t>giorgospetr@yahoo.gr</t>
  </si>
  <si>
    <t>petr.gian@gmail.com</t>
  </si>
  <si>
    <t>petrakisnikolaos@gmail.com</t>
  </si>
  <si>
    <t>ΠΕΤΡΑΝΤΩΝΑΚΗ</t>
  </si>
  <si>
    <t>kpetrant@yahoo.gr</t>
  </si>
  <si>
    <t>ΠΕΤΡΑΝΤΩΝΑΚΗΣ</t>
  </si>
  <si>
    <t>gpet78@yahoo.com</t>
  </si>
  <si>
    <t>ΠΕΤΡΟΠΟΥΛΟΣ</t>
  </si>
  <si>
    <t>info@gramvoussabay.gr</t>
  </si>
  <si>
    <t>ΠΕΤΣΑΣ</t>
  </si>
  <si>
    <t>sagitariusnp@hotmail.co.uk</t>
  </si>
  <si>
    <t>ΠΕΧΛΙΒΑΝΙΔΟΥ</t>
  </si>
  <si>
    <t>ΡΟΒΕΡΤΟΣ</t>
  </si>
  <si>
    <t>tatatheia@yahoo.gr</t>
  </si>
  <si>
    <t>ΠΙΕΡΡΟΥ</t>
  </si>
  <si>
    <t>nayapierrou@yahoo.gr</t>
  </si>
  <si>
    <t>ΠΙΜΠΛΗ</t>
  </si>
  <si>
    <t>ΡΟΥΜΠΙΝΗ ΜΑΡ</t>
  </si>
  <si>
    <t>marbyp@gmail.com</t>
  </si>
  <si>
    <t>ΠΙΠΕΛΗ</t>
  </si>
  <si>
    <t>ΠΙΠΕΡΑΚΗΣ</t>
  </si>
  <si>
    <t>piperakisgiannis@yahoo.gr</t>
  </si>
  <si>
    <t>ΠΙΤΣΙΛΑΔΗΣ</t>
  </si>
  <si>
    <t>hpitsi@gmail.com</t>
  </si>
  <si>
    <t>ΠΙΤΣΟΥΛΗ</t>
  </si>
  <si>
    <t>pitsouli@gymnasio-platania.gr</t>
  </si>
  <si>
    <t>ΠΛΑΓΓΑΝΑΡΗ</t>
  </si>
  <si>
    <t>ktplngtb1@yahoo.gr</t>
  </si>
  <si>
    <t>ΠΛΑΤΙΝΑΚΗ</t>
  </si>
  <si>
    <t>ΠΟΓΙΑΤΖΗΣ</t>
  </si>
  <si>
    <t>gpogiatzis@gmail.com</t>
  </si>
  <si>
    <t>ΠΟΙΜΕΝΙΔΟΥ</t>
  </si>
  <si>
    <t>dora_poimen@yahoo.gr</t>
  </si>
  <si>
    <t>1610/Β'/17-08-2007</t>
  </si>
  <si>
    <t>ΠΟΛΛΑΝΑΓΝΩΣΤΑΚΗ</t>
  </si>
  <si>
    <t>DespoinaPoll@yahoo.gr</t>
  </si>
  <si>
    <t>cpolyzou@yahoo.com</t>
  </si>
  <si>
    <t>ΠΟΣΝΑΪΔΟΥ</t>
  </si>
  <si>
    <t>stellaposna@yahoo.gr</t>
  </si>
  <si>
    <t>ΠΟΤΕΤΣΙΑΝΑΚΗΣ</t>
  </si>
  <si>
    <t>ΑΡΧΟΝΤΟ</t>
  </si>
  <si>
    <t>ppotetsianakis@hotmail.com</t>
  </si>
  <si>
    <t>ΠΟΥΛΙΟΥ</t>
  </si>
  <si>
    <t>ΠΡΑΝΤΖΙΟΣ</t>
  </si>
  <si>
    <t>p_prantzios@yahoo.gr</t>
  </si>
  <si>
    <t>ΠΡΙΝΑΡΑΚΗ</t>
  </si>
  <si>
    <t>prinaraki@gmail.com</t>
  </si>
  <si>
    <t>ΠΡΙΤΣΗ</t>
  </si>
  <si>
    <t>ΠΡΟΓΟΥΛΗ</t>
  </si>
  <si>
    <t>ΠΡΟΕΣΤΑΚΗ</t>
  </si>
  <si>
    <t>ΠΡΟΥΚΑΚΗ ΚΟΤΣΙΦΑΚΗ</t>
  </si>
  <si>
    <t>ΥΨΗΛΑΝΘΗ</t>
  </si>
  <si>
    <t>anthi.kotsifaki@hotmail.com</t>
  </si>
  <si>
    <t>ΠΡΩΤΟΠΑΠΑΔΑΚΗ</t>
  </si>
  <si>
    <t>ΠΡΩΤΟΠΑΠΑΔΑΚΗΣ</t>
  </si>
  <si>
    <t>eprotop@sch.gr</t>
  </si>
  <si>
    <t>ΡΑΚΟΠΟΥΛΟΥ</t>
  </si>
  <si>
    <t>ΡΑΟΣ</t>
  </si>
  <si>
    <t>mathtasos67@yahoo.gr</t>
  </si>
  <si>
    <t>mdrapti@yahoo.gr</t>
  </si>
  <si>
    <t>ΡΕΝΙΕΡΗ</t>
  </si>
  <si>
    <t>eri_ren@yahoo.com</t>
  </si>
  <si>
    <t>ΡΕΞΑΚΗΣ</t>
  </si>
  <si>
    <t>ΡΕΤΤΟΣ</t>
  </si>
  <si>
    <t>ΕΡΜΙΟ</t>
  </si>
  <si>
    <t>rettos1024@gmail.com</t>
  </si>
  <si>
    <t>ΚΑΛΗ</t>
  </si>
  <si>
    <t>christrizos@gmail.com</t>
  </si>
  <si>
    <t>ΡΟΒΥΘΑΚΗ</t>
  </si>
  <si>
    <t>achilles.rita@gmail.com</t>
  </si>
  <si>
    <t>ΡΟΣΜΑΡΑΚΗΣ</t>
  </si>
  <si>
    <t>rosmarak@sch.gr</t>
  </si>
  <si>
    <t>ΡΟΥΒΑΛΗ</t>
  </si>
  <si>
    <t>rouvali@yahoo.gr</t>
  </si>
  <si>
    <t>ΡΟΥΚΟΥΝΑΚΗ</t>
  </si>
  <si>
    <t>ΡΟΥΣΙΑΚΗ</t>
  </si>
  <si>
    <t>ΡΟΥΤΖΑΚΗ</t>
  </si>
  <si>
    <t>athrout14@yahoo.gr</t>
  </si>
  <si>
    <t>ΣΑΛΕΒΟΥΡΑΚΗ</t>
  </si>
  <si>
    <t>masalev@yahoo.gr</t>
  </si>
  <si>
    <t>ΣΑΛΤΑΦΕΡΙΔΗΣ</t>
  </si>
  <si>
    <t>loukassalt@yahoo.gr</t>
  </si>
  <si>
    <t>ΣΑΜΑΡΑΣ</t>
  </si>
  <si>
    <t>ΣΑΜΙΩΤΗ</t>
  </si>
  <si>
    <t>ΣΑΜΠΑΝΗ</t>
  </si>
  <si>
    <t>ΣΑΜΠΑΝΗΣ</t>
  </si>
  <si>
    <t>avkosam@yahoo.gr</t>
  </si>
  <si>
    <t>ΣΑΡΑΒΕΛΑΚΗΣ</t>
  </si>
  <si>
    <t>saravelakis@gymnasio-platania.gr</t>
  </si>
  <si>
    <t>ΣΑΡΑΝΤΙΔΟΥ</t>
  </si>
  <si>
    <t>ΗΩ</t>
  </si>
  <si>
    <t>vickysar19@gmail.com</t>
  </si>
  <si>
    <t>ΣΑΡΑΝΤΟΠΟΥΛΟΣ</t>
  </si>
  <si>
    <t>ioansarant@gmail.com</t>
  </si>
  <si>
    <t>ΣΑΡΑΦΟΒΑ</t>
  </si>
  <si>
    <t>ΝΙΚΟΛΑ</t>
  </si>
  <si>
    <t>ΣΛΑΒΚΑ</t>
  </si>
  <si>
    <t>405/Γ/29-04-2015</t>
  </si>
  <si>
    <t>ΧΑΡΙΚΛΕΙA</t>
  </si>
  <si>
    <t>ΔΗMHTΡΑ</t>
  </si>
  <si>
    <t>ΣΑΡΙΚΑΚΗ</t>
  </si>
  <si>
    <t>sarikakiel@gmail.com</t>
  </si>
  <si>
    <t>sarri_eva@yahoo.gr</t>
  </si>
  <si>
    <t>kesarris67@yahoo.gr</t>
  </si>
  <si>
    <t>ΣΑΡΧΑΝΗ</t>
  </si>
  <si>
    <t>lianasar7@yahoo.gr</t>
  </si>
  <si>
    <t>ΣΓΟΥΡΟΜΑΛΛΗΣ</t>
  </si>
  <si>
    <t>sgouromallis24@gmail.com</t>
  </si>
  <si>
    <t>aggelikisgourou@yahoo.com</t>
  </si>
  <si>
    <t>ΣΕΡΓΕΝΤΑΚΗ</t>
  </si>
  <si>
    <t>katserg@gmail.com</t>
  </si>
  <si>
    <t>177/31-08-1999</t>
  </si>
  <si>
    <t>artser@sch.gr</t>
  </si>
  <si>
    <t>sechidou.elsa@gmail.com</t>
  </si>
  <si>
    <t>ΣΗΜΑΙΟΥΔΑΚΗ</t>
  </si>
  <si>
    <t>e-ria@hotmail.com</t>
  </si>
  <si>
    <t>ΣΗΜΑΝΤΗΡΑΚΗ</t>
  </si>
  <si>
    <t>ΠΑΡΑ</t>
  </si>
  <si>
    <t>shmar81@yahoo.gr</t>
  </si>
  <si>
    <t>ΣΗΜΑΝΤΗΡΑΚΗΣ</t>
  </si>
  <si>
    <t>nikosimant@sch.gr</t>
  </si>
  <si>
    <t>irinasif@yahoo.gr</t>
  </si>
  <si>
    <t>mksif@yahoo.com</t>
  </si>
  <si>
    <t>ΣΙΑΠΑΚΑ</t>
  </si>
  <si>
    <t>ΣΙΒΑΡΟΠΟΥΛΟΥ</t>
  </si>
  <si>
    <t>ΣΙΔΗΡΟΠΟΥΛΟΣ</t>
  </si>
  <si>
    <t>ΣΙΜΟΝΟΒΑ</t>
  </si>
  <si>
    <t>ΒΑΛΕΡΙ</t>
  </si>
  <si>
    <t>ΣΙΝΑ</t>
  </si>
  <si>
    <t>lena_maths@yahoo.gr</t>
  </si>
  <si>
    <t>ΣΙΝΙΟΡΑΚΗΣ</t>
  </si>
  <si>
    <t>ΣΙΝΟΥ</t>
  </si>
  <si>
    <t>annasinou@gmail.com</t>
  </si>
  <si>
    <t>ΣΙΠΚΑ</t>
  </si>
  <si>
    <t>pinslak@yahoo.gr</t>
  </si>
  <si>
    <t>mskandalaki@gmail.com</t>
  </si>
  <si>
    <t>ΣΚΑΡΑΚΗ</t>
  </si>
  <si>
    <t>skarakintina@sch.gr</t>
  </si>
  <si>
    <t>ΣΚΑΡΠΑ</t>
  </si>
  <si>
    <t>depysk@yahoo.gr</t>
  </si>
  <si>
    <t>ΣΚΑΡΠΕΝΤΖΟΣ</t>
  </si>
  <si>
    <t>skarpentzos.nikolaos@gmail.com</t>
  </si>
  <si>
    <t>ΣΚΙΑΔΑΣ</t>
  </si>
  <si>
    <t>ΣΚΟΥΛΑ</t>
  </si>
  <si>
    <t>chania-2005@hotmail.com</t>
  </si>
  <si>
    <t>ΣΚΟΥΜΠΑΚΗ</t>
  </si>
  <si>
    <t>aggeskou@yahoo.gr</t>
  </si>
  <si>
    <t>akira1@otenet.gr</t>
  </si>
  <si>
    <t>ΣΚΟΥΝΑΚΗ</t>
  </si>
  <si>
    <t>ΣΚΟΥΝΑΚΗΣ</t>
  </si>
  <si>
    <t>ΣΚΟΥΝΤΡΙΔΑΚΗ</t>
  </si>
  <si>
    <t>ΣΚΡΕΚΑ</t>
  </si>
  <si>
    <t>ΣΚΥΛΟΥΡΑΚΗ</t>
  </si>
  <si>
    <t>ΜΙΡΑΝΤΑ</t>
  </si>
  <si>
    <t>miradask@gmail.com</t>
  </si>
  <si>
    <t>ΣΜΥΡΝΑΙΟΣ</t>
  </si>
  <si>
    <t>ΦΡΑΝΤΖΕ</t>
  </si>
  <si>
    <t>stylsmyr@gmail.com</t>
  </si>
  <si>
    <t>ΣΜΥΡΝΑΚΗΣ</t>
  </si>
  <si>
    <t>titosmirnakis@gmail.com</t>
  </si>
  <si>
    <t>ΣΟΛΑΝΑΚΗΣ</t>
  </si>
  <si>
    <t>solanakis@sch.gr</t>
  </si>
  <si>
    <t>ΣΟΥΒΑΤΖΗ</t>
  </si>
  <si>
    <t>ΝΙΚΟΛ-ΣΟΦΙΑ</t>
  </si>
  <si>
    <t>nikelio@yahoo.com</t>
  </si>
  <si>
    <t>ΣΟΥΛΑΚΗ</t>
  </si>
  <si>
    <t>katiasoul@yahoo.gr</t>
  </si>
  <si>
    <t>ΣΟΥΜΑΛΑ</t>
  </si>
  <si>
    <t>ΣΟΥΣΤΑ</t>
  </si>
  <si>
    <t>theofily83@gmail.com</t>
  </si>
  <si>
    <t>argspan25@gmail.com</t>
  </si>
  <si>
    <t>gspanoudak4@gmail.com</t>
  </si>
  <si>
    <t>ΣΠΑΝΟΧΡΙΣΤΟΔΟΥΛΟΥ</t>
  </si>
  <si>
    <t>ΑΝΝΑ ΓΕΩΡΓΙΑ</t>
  </si>
  <si>
    <t>miror60@hotmail.com</t>
  </si>
  <si>
    <t>ΣΠΑΝΤΙΔΑΚΗ</t>
  </si>
  <si>
    <t>maria.spanti@gmail.com</t>
  </si>
  <si>
    <t>ΣΠΑΡΤΑΛΗ</t>
  </si>
  <si>
    <t>n.spartali@gmail.com</t>
  </si>
  <si>
    <t>chrysispy@yahoo.com</t>
  </si>
  <si>
    <t>lilaspiropoulou@gmail.com</t>
  </si>
  <si>
    <t>ΣΤΑΗ</t>
  </si>
  <si>
    <t>mariastathop@gmail.com</t>
  </si>
  <si>
    <t>ΣΤΑΘΟΥΛΟΠΟΥΛΟΥ</t>
  </si>
  <si>
    <t>evangelia.chania@yahoo.gr</t>
  </si>
  <si>
    <t>maria.stamou@yahoo.gr</t>
  </si>
  <si>
    <t>ΣΤΑΜΠΟΛΑΚΗ</t>
  </si>
  <si>
    <t>ΣΤΑΥΓΙΑΝΝΟΥΔΑΚΗΣ</t>
  </si>
  <si>
    <t>ΣΤΑΥΡΙΑΝΟΥΔΑΚΗ</t>
  </si>
  <si>
    <t>popistavrianoudaki@gmail.com</t>
  </si>
  <si>
    <t>ΤΡΙΑΝ</t>
  </si>
  <si>
    <t>ΣΤΡΑΤΟΝΙΚΗ</t>
  </si>
  <si>
    <t>nocturnusxaris@gmail.com</t>
  </si>
  <si>
    <t>ΣΤΑΦΥΛΑΡΑΚΗΣ</t>
  </si>
  <si>
    <t>kosstaf@gmail.com</t>
  </si>
  <si>
    <t>ΣΤΕΡΓΙΟΥΛΑ</t>
  </si>
  <si>
    <t>ΠΑΣΧΑΛΙΑ</t>
  </si>
  <si>
    <t>st_giota@hotmail.com</t>
  </si>
  <si>
    <t>ΣΤΕΦΑΝΙΔΟΥ</t>
  </si>
  <si>
    <t>astefani195@gmail.com</t>
  </si>
  <si>
    <t>ΣΤΕΦΑΝΟΓΙΑΝΝΗΣ</t>
  </si>
  <si>
    <t>astefanogiannis@gmail.com</t>
  </si>
  <si>
    <t>DimitraStrataki@yahoo.gr</t>
  </si>
  <si>
    <t>ΣΤΡΙΛΑΚΟΣ</t>
  </si>
  <si>
    <t>ΕΥΦΡΟΣΥNH</t>
  </si>
  <si>
    <t>ΣΤΡΟΦΥΛΑ</t>
  </si>
  <si>
    <t>ΣΤΥΛΙΑΝΑΚΗ</t>
  </si>
  <si>
    <t>astylianaki@gmail.com</t>
  </si>
  <si>
    <t>ΡΕΑ</t>
  </si>
  <si>
    <t>marianna.2504@gmail.com</t>
  </si>
  <si>
    <t>ΣΤΥΛΙΑΝΟΥΔΑΚΗ</t>
  </si>
  <si>
    <t>dim_styl@hotmail.com</t>
  </si>
  <si>
    <t>eirinistylian@hotmail.com</t>
  </si>
  <si>
    <t>ΠΕ29</t>
  </si>
  <si>
    <t>ΕΡΓΟΘΕΡΑΠΕΥΤΕΣ</t>
  </si>
  <si>
    <t>308/ΤΓ</t>
  </si>
  <si>
    <t>sinjanster@gmail.com</t>
  </si>
  <si>
    <t>sintza@gmail.com</t>
  </si>
  <si>
    <t>ΣΥΡΡΟΣ</t>
  </si>
  <si>
    <t>syrsot@gmail.com</t>
  </si>
  <si>
    <t>ΣΧΟΙΝΟΠΛΟΚΑΚΗ</t>
  </si>
  <si>
    <t>evaschoino@gmail.com</t>
  </si>
  <si>
    <t>giorgosarxontak@gmail.com</t>
  </si>
  <si>
    <t>ΣΧΟΙΝΟΠΛΟΚΑΚΗΣ</t>
  </si>
  <si>
    <t>dshinoplokakis@sch.gr</t>
  </si>
  <si>
    <t>ΣΩΤΗΡΟΠΟΥΛΟΣ</t>
  </si>
  <si>
    <t>nsotir@gmail.com</t>
  </si>
  <si>
    <t>ΤΑΓΑΡΑ</t>
  </si>
  <si>
    <t>anastas279@gmail.com</t>
  </si>
  <si>
    <t>ΤΑΜΠΑΚΗΣ</t>
  </si>
  <si>
    <t>ntampakis@sch.gr</t>
  </si>
  <si>
    <t>ΤΑΤΣΙΟΥ ΒΑΜΒΟΥΝΑΚΗ</t>
  </si>
  <si>
    <t>niki-tatsiou@hotmail.com</t>
  </si>
  <si>
    <t>ΤΑΦΥΛΗ</t>
  </si>
  <si>
    <t>despi_tafili@yahoo.com</t>
  </si>
  <si>
    <t>ΤΕΡΕΖΑΚΗΣ</t>
  </si>
  <si>
    <t>iterezakis10@gmail.com</t>
  </si>
  <si>
    <t>af.terzi@gmail.com</t>
  </si>
  <si>
    <t>sergiosF16@gmail.com</t>
  </si>
  <si>
    <t>tsagka@gmail.com</t>
  </si>
  <si>
    <t>ΤΖΑΛΑΚΩΣΤΑ</t>
  </si>
  <si>
    <t>Alfavhtari@hotmail.com</t>
  </si>
  <si>
    <t>ΤΖΑΜΑΝΤΑΚΗ</t>
  </si>
  <si>
    <t>ΣΠΥΡΟ</t>
  </si>
  <si>
    <t>katerinatzama@gmail.com</t>
  </si>
  <si>
    <t>ΤΖΑΜΠΑΖΑΚΗ</t>
  </si>
  <si>
    <t>kalliopitzampazaki@gmail.com</t>
  </si>
  <si>
    <t>ΤΕ01.30</t>
  </si>
  <si>
    <t>ΒΟΗΘ. ΒΡΕΦΟΚΟΜΟΙ-ΠΑΙΔΟΚΟΜΟΙ</t>
  </si>
  <si>
    <t>ΤΖΑΜΠΑΖΑΚΗΣ</t>
  </si>
  <si>
    <t>mtzabaz@yahoo.gr</t>
  </si>
  <si>
    <t>tzanakman@yahoo.gr</t>
  </si>
  <si>
    <t>ΤΖΑΝΟΔΑΣΚΑΛΑΚΗ</t>
  </si>
  <si>
    <t>mtzanod@gmail.com</t>
  </si>
  <si>
    <t>ΤΖΕΙΡΑΝΑΚΗ</t>
  </si>
  <si>
    <t>filitsa59@hotmail.com</t>
  </si>
  <si>
    <t>ΤΖΕΤΖΙΑΣ</t>
  </si>
  <si>
    <t>xtzetzias@sch.gr</t>
  </si>
  <si>
    <t>ΤΖΙΑΚΗ</t>
  </si>
  <si>
    <t>ΤΖΙΛΙΒΑΚΗΣ</t>
  </si>
  <si>
    <t>ΤΖΙΡΤΖΙΛΑΚΗΣ</t>
  </si>
  <si>
    <t>kostistzirtzilakis@gmail.com</t>
  </si>
  <si>
    <t>ΤΖΟΥΓΑΝΑΚΗΣ</t>
  </si>
  <si>
    <t xml:space="preserve">ΑΓΓΕΛΟΣ </t>
  </si>
  <si>
    <t>etzouganakis@gmail.com</t>
  </si>
  <si>
    <t>ΤΗΛΙΓΑΔΑ</t>
  </si>
  <si>
    <t>violetta.tili@gmail.com</t>
  </si>
  <si>
    <t>ΤΟΛΠΑΛΑ ΚΟΝΙΔΗ</t>
  </si>
  <si>
    <t>ΑΡΙΑ ΛΕΙΛΑ</t>
  </si>
  <si>
    <t>ΓΙΟΥΧΟ</t>
  </si>
  <si>
    <t>ΧΙΛΚΑ</t>
  </si>
  <si>
    <t>arjakonidi@yahoo.gr</t>
  </si>
  <si>
    <t>ΤΟΥΛΙΟΠΟΥΛΟΥ</t>
  </si>
  <si>
    <t>mixtou@gmail.com</t>
  </si>
  <si>
    <t>ΤΡΑΓΙΑΝΝΗ</t>
  </si>
  <si>
    <t>tragianni@sch.gr</t>
  </si>
  <si>
    <t>ΤΡΑΜΠΑΚΟΠΟΥΛΟΥ</t>
  </si>
  <si>
    <t>sotra1992@gmail.com</t>
  </si>
  <si>
    <t>triantafyllousofia@gmail.com</t>
  </si>
  <si>
    <t>ΤΡΙΓΚΑ</t>
  </si>
  <si>
    <t>trigakaterina@yahoo.gr</t>
  </si>
  <si>
    <t>1189/τ.Γ/31-12-2008</t>
  </si>
  <si>
    <t>ΤΡΙΚΚΑ</t>
  </si>
  <si>
    <t>ΤΡΙΜΠΟΥΚΗ</t>
  </si>
  <si>
    <t>dwratrimpouki@yahoo.com</t>
  </si>
  <si>
    <t>ΤΡΙΠΟΔΗΣ</t>
  </si>
  <si>
    <t>ΤΡΙΤΑΚΗ</t>
  </si>
  <si>
    <t>ΤΡΙΧΑΚΗΣ</t>
  </si>
  <si>
    <t>trixgeor@gmail.com</t>
  </si>
  <si>
    <t>ΤΡΟΥΛΙΝΟΥ</t>
  </si>
  <si>
    <t>ΤΣΑΚΑΛΙΔΗΣ</t>
  </si>
  <si>
    <t>ΗΣΑΙΑ</t>
  </si>
  <si>
    <t>tsakalidisk@gmail.com</t>
  </si>
  <si>
    <t>ΤΣΑΜΑΝΤΑΚΗΣ</t>
  </si>
  <si>
    <t>ΤΣΑΟΥΣΑΚΟΥ</t>
  </si>
  <si>
    <t>ΤΣΑΡΕ</t>
  </si>
  <si>
    <t>ΜΗΝΑ</t>
  </si>
  <si>
    <t>ΦΡΑΝΤΖΕΣΚΑ</t>
  </si>
  <si>
    <t>tsaremina@yahoo.gr</t>
  </si>
  <si>
    <t>ΤΣΑΤΣΑΡΩΝΗΣ</t>
  </si>
  <si>
    <t>maik_885@yahoo.gr</t>
  </si>
  <si>
    <t>go_tsa@yahoo.gr</t>
  </si>
  <si>
    <t>ΤΣΕΛΕΚΗ</t>
  </si>
  <si>
    <t>anastasia.tseleki@yahoo.gr</t>
  </si>
  <si>
    <t>ΤΣΕΜΠΕΛΗ</t>
  </si>
  <si>
    <t>katetse05@gmail.com</t>
  </si>
  <si>
    <t>ΤΣΙΑΚΑΛΟΥ</t>
  </si>
  <si>
    <t>ΤΣΙΑΜΑΛΟΥ</t>
  </si>
  <si>
    <t>ΤΣΙΑΜΗ</t>
  </si>
  <si>
    <t>ΤΣΙΒΟΥΡΑΚΗΣ</t>
  </si>
  <si>
    <t>mtsivouros@gmail.com</t>
  </si>
  <si>
    <t>ΤΣΙΓΓΟΠΟΥΛΟΣ</t>
  </si>
  <si>
    <t>tsiggo@gmail.com</t>
  </si>
  <si>
    <t>ΤΣΙΓΚΟΥΝΑΚΗΣ</t>
  </si>
  <si>
    <t>ΤΣΙΚΟΥΡΑΚΗΣ</t>
  </si>
  <si>
    <t>ΖΑΧΑΡΕΝΙ</t>
  </si>
  <si>
    <t>tsikouras70@gmail.com</t>
  </si>
  <si>
    <t>ΤΣΙΜΑΣ</t>
  </si>
  <si>
    <t>225/τ.Γ΄</t>
  </si>
  <si>
    <t>ΤΣΙΡΑΝΤΩΝΑΚΗΣ</t>
  </si>
  <si>
    <t>giantsirant@gmail.com</t>
  </si>
  <si>
    <t>ΤΣΙΡΙΓΩΤΗΣ</t>
  </si>
  <si>
    <t>kripet@otenet.gr</t>
  </si>
  <si>
    <t>ΤΣΙΣΚΑΚΗ</t>
  </si>
  <si>
    <t>ΤΣΙΤΣΙΡΙΔΑΚΗ</t>
  </si>
  <si>
    <t>aggeliki_tsi@yahoo.gr</t>
  </si>
  <si>
    <t>ΤΣΙΤΣΙΡΙΔΗ</t>
  </si>
  <si>
    <t>angeltsits@yahoo.gr</t>
  </si>
  <si>
    <t>212/Γ΄/16-9-02</t>
  </si>
  <si>
    <t>ΤΣΙΧΛΑΚΗ</t>
  </si>
  <si>
    <t>ΚΑΤΕΡΙΑΝΝΑ</t>
  </si>
  <si>
    <t>dtsihlak@gmail.com</t>
  </si>
  <si>
    <t>ΤΣΙΧΛΑΚΗΣ</t>
  </si>
  <si>
    <t>tsichgeo@yahoo.com</t>
  </si>
  <si>
    <t>ΤΣΙΩΛΗ</t>
  </si>
  <si>
    <t>ΤΣΟΓΚΑΣ</t>
  </si>
  <si>
    <t>tsogkaschania@gmail.com</t>
  </si>
  <si>
    <t>fethra@in.gr</t>
  </si>
  <si>
    <t>ΤΣΟΝΤΑΚΗ</t>
  </si>
  <si>
    <t>ΤΣΟΥΒΑΛΑΚΗ</t>
  </si>
  <si>
    <t>maratsou13@yahoo.com</t>
  </si>
  <si>
    <t>ΤΣΟΥΡΗ</t>
  </si>
  <si>
    <t>ΤΣΟΥΡΛΑΚΗ</t>
  </si>
  <si>
    <t>ΤΣΟΥΡΟΥΝΑΚΗ</t>
  </si>
  <si>
    <t>ΜΑΡΙΑ ΑΙΚΑΤΕ</t>
  </si>
  <si>
    <t>mtsourounaki@gmail.com</t>
  </si>
  <si>
    <t>ΤΣΟΥΡΟΥΝΑΚΗΣ</t>
  </si>
  <si>
    <t>ΤΣΟΥΡΟΥΠΑΚΗΣ</t>
  </si>
  <si>
    <t>ΤΥΡΕΛΗ</t>
  </si>
  <si>
    <t>itireli@gmail.com</t>
  </si>
  <si>
    <t>ΤΩΜΑΔΑΚΗ</t>
  </si>
  <si>
    <t>ΤΩΜΑΔΑΚΗΣ</t>
  </si>
  <si>
    <t>ΦΑΓΟΓΕΝΗΣ</t>
  </si>
  <si>
    <t>ΦΑΚΑ ΜΠΕΝΙΟΥΔΑΚΗ</t>
  </si>
  <si>
    <t>sofiafaca@gmail.com</t>
  </si>
  <si>
    <t>ΦΑΡΑΓΓΙΤΑΚΗΣ</t>
  </si>
  <si>
    <t>gianfaragit@hotmail.gr</t>
  </si>
  <si>
    <t>ΦΑΡΑΝΤΑΚΗΣ</t>
  </si>
  <si>
    <t>ΦΑΡΣΑΡΗ</t>
  </si>
  <si>
    <t>ΕΛΕΥΘΕΡΙΑ-ΣΤΥΛΙΑΝΗ</t>
  </si>
  <si>
    <t>ΦΑΣΑΡΑΚΗΣ</t>
  </si>
  <si>
    <t>ΦΑΤΣΕΑ</t>
  </si>
  <si>
    <t>arisgerman@yahoo.gr</t>
  </si>
  <si>
    <t>ΦΕΚΑ</t>
  </si>
  <si>
    <t>ΑΦΡΟΥΛΑ</t>
  </si>
  <si>
    <t>AFroulaFeka@yahoo.gr</t>
  </si>
  <si>
    <t>ΦΕΛΕΣΑΚΗ</t>
  </si>
  <si>
    <t>ΦΕΛΕΣΑΚΗΣ</t>
  </si>
  <si>
    <t>ΦΕΡΒΑΓΕΝ ΑΠΟΣΤΟΛΑΚΗ</t>
  </si>
  <si>
    <t>ΜΑΡΙΑ ΚΑΤΙΝΑ</t>
  </si>
  <si>
    <t>ΦΙΛΙΟΥ</t>
  </si>
  <si>
    <t>elenfiliou@yahoo.com</t>
  </si>
  <si>
    <t>effiefil@sch.gr</t>
  </si>
  <si>
    <t>ΑΡΙΣ</t>
  </si>
  <si>
    <t>difilippou@sch.gr</t>
  </si>
  <si>
    <t>ΦΙΛΛΗΣ</t>
  </si>
  <si>
    <t>flourimaro@gmail.com</t>
  </si>
  <si>
    <t>manolisale@gmail.com</t>
  </si>
  <si>
    <t>elenifounta@hotmail.com</t>
  </si>
  <si>
    <t>ΦΟΥΝΤΕΔΑΚΗ</t>
  </si>
  <si>
    <t>f.maria@windowslive.com</t>
  </si>
  <si>
    <t>ΦΟΥΡΑΚΗ</t>
  </si>
  <si>
    <t>xfouraki@gmail.com</t>
  </si>
  <si>
    <t>ΦΟΥΡΝΑΡΑΚΗΣ</t>
  </si>
  <si>
    <t>ΔΑΜΑΣΚΙ</t>
  </si>
  <si>
    <t>fournarakis@sch.gr</t>
  </si>
  <si>
    <t>ΦΟΥΡΟΥΝΤΖΟΓΛΟΥ</t>
  </si>
  <si>
    <t>ΙΝΓΚΡΙΝΤ</t>
  </si>
  <si>
    <t>mariafourou@yahoo.gr</t>
  </si>
  <si>
    <t>ΦΟΥΡΦΟΥΛΑΚΗ</t>
  </si>
  <si>
    <t>alex.foyrfoylaki@gmail.com</t>
  </si>
  <si>
    <t>ΦΟΥΦΟΥΔΑΚΗ</t>
  </si>
  <si>
    <t>ΕΥΡΙΔ</t>
  </si>
  <si>
    <t>annafoufoudaki@yahoo.com</t>
  </si>
  <si>
    <t>fravasia@gmail.com</t>
  </si>
  <si>
    <t>jfragakis@pathfinder.gr</t>
  </si>
  <si>
    <t>ΦΡΑΓΚΑΚΟΣ</t>
  </si>
  <si>
    <t>ΦΡΑΓΚΕΔΑΚΗΣ</t>
  </si>
  <si>
    <t>panfrag@sch.gr</t>
  </si>
  <si>
    <t>ΦΡΑΓΚΙΟΥΔΑΚΗΣ</t>
  </si>
  <si>
    <t>ΔΑΜΑΣΚΗΝΗ</t>
  </si>
  <si>
    <t>ΦΡΑΓΚΟΝΙΚΟΛΑΚΗΣ</t>
  </si>
  <si>
    <t>fragonik@gmail.com</t>
  </si>
  <si>
    <t>ΦΡΑΓΚΟΠΟΥΛΟΥ</t>
  </si>
  <si>
    <t>argyrw1969@gmail.com</t>
  </si>
  <si>
    <t>ΦΡΑΔΕΛΛΟΣ</t>
  </si>
  <si>
    <t>elefrantz@gmail.com</t>
  </si>
  <si>
    <t>ΦΡΑΝΤΖΕΣΚΑΚΗΣ</t>
  </si>
  <si>
    <t>adfrantze@eue.gr</t>
  </si>
  <si>
    <t>anastasiafron@yahoo.gr</t>
  </si>
  <si>
    <t>ΦΡΟΝΙΜΑΚΗΣ</t>
  </si>
  <si>
    <t>dimfron@yahoo.gr</t>
  </si>
  <si>
    <t>ΦΡΟΥΔΑΚΗΣ</t>
  </si>
  <si>
    <t>frux124@yahoo.gr</t>
  </si>
  <si>
    <t>ΕΦΗ</t>
  </si>
  <si>
    <t>eftouli@hotmail.gr</t>
  </si>
  <si>
    <t>ΦΥΤΡΑΚΗ</t>
  </si>
  <si>
    <t>fitrakis_k@hotmail.com</t>
  </si>
  <si>
    <t>ΤΖΑΝΗΣ</t>
  </si>
  <si>
    <t>fotakis-g@sch.gr</t>
  </si>
  <si>
    <t>ΦΩΤΕΙΝΑΚΗ</t>
  </si>
  <si>
    <t>mariafotinaki@yahoo.gr</t>
  </si>
  <si>
    <t>792ΤΓ</t>
  </si>
  <si>
    <t>ΦΩΤΙΑΔΗΣ</t>
  </si>
  <si>
    <t>ΦΩΤΟΠΟΥΛΟΣ</t>
  </si>
  <si>
    <t>ΘΕΩΝΗ</t>
  </si>
  <si>
    <t>ΧΑΒΡΕΔΑΚΗ</t>
  </si>
  <si>
    <t>eva.havr@gmail.com</t>
  </si>
  <si>
    <t>ΧΑΛΑΚΑΤΕΒΑΚΗ</t>
  </si>
  <si>
    <t>ΑΡΙΑΔ</t>
  </si>
  <si>
    <t>eirichalakat@gmail.com</t>
  </si>
  <si>
    <t>ΧΑΛΗ</t>
  </si>
  <si>
    <t>ΧΑΛΙΒΕΛΑΚΗ ΧΑΛΚΙΑΔΑΚΗ</t>
  </si>
  <si>
    <t>dimitrahalk@gmail.com</t>
  </si>
  <si>
    <t>mariachan00@hotmail.com</t>
  </si>
  <si>
    <t>ΧΑΝΤΑΜΠΑΚΗΣ</t>
  </si>
  <si>
    <t>ΑΝΝΙΤΑ</t>
  </si>
  <si>
    <t>mhandabakis@gmail.com</t>
  </si>
  <si>
    <t>ΧΑΝΤΑΜΠΗ</t>
  </si>
  <si>
    <t>772/23-08-10</t>
  </si>
  <si>
    <t>ΧΑΝΤΖΙΑΡΑ</t>
  </si>
  <si>
    <t>aikhantziara@yahoo.gr</t>
  </si>
  <si>
    <t>ΧΑΡΑΛΑΜ</t>
  </si>
  <si>
    <t>charaltheo@gmail.com</t>
  </si>
  <si>
    <t>x6972133796@yahoo.gr</t>
  </si>
  <si>
    <t>ΧΑΡΙΣΤΑΚΗ</t>
  </si>
  <si>
    <t>katerinaharistaki@hotmail.com</t>
  </si>
  <si>
    <t>231Γ΄</t>
  </si>
  <si>
    <t>ΧΑΡΤΖΟΥΛΑΚΗ</t>
  </si>
  <si>
    <t>ΧΑΡΧΑΛΑΚΗΣ</t>
  </si>
  <si>
    <t>maria.hatzaki@gmail.com</t>
  </si>
  <si>
    <t>298τ.Γ/25-09-2006</t>
  </si>
  <si>
    <t>hohnxatzakis58@hotmail.gr</t>
  </si>
  <si>
    <t>ΠΑΡΙΣΗΣ</t>
  </si>
  <si>
    <t>vchatzig@sch.gr</t>
  </si>
  <si>
    <t>218 τ. Γ</t>
  </si>
  <si>
    <t>annaxatzidaki@hotmail.gr</t>
  </si>
  <si>
    <t>renaxa1@yahoo.gr</t>
  </si>
  <si>
    <t>elenhat18@gmail.com</t>
  </si>
  <si>
    <t>ΧΑΤΖΗΙΩΑΝΝΟΥ</t>
  </si>
  <si>
    <t>nikosvoula@yahoo.com</t>
  </si>
  <si>
    <t>ΧΑΤΖΗΚΩΝΣΤΑΝΤΙΝΟΥ</t>
  </si>
  <si>
    <t>ΣΑΡΑΝ</t>
  </si>
  <si>
    <t>nikoletaha@gmail.com</t>
  </si>
  <si>
    <t>ΧΑΤΖΗΣ</t>
  </si>
  <si>
    <t>achdikaia@hotmail.com</t>
  </si>
  <si>
    <t>ΧΑΤΖΗΣΑΒΒΑ</t>
  </si>
  <si>
    <t>chatzisawa@llnk.edu.gr</t>
  </si>
  <si>
    <t>ΧΑΤΟΥΠΗΣ</t>
  </si>
  <si>
    <t>ΧΕΙΛΑΔΑΚΗΣ</t>
  </si>
  <si>
    <t>iliascheiladakis@gmail.com</t>
  </si>
  <si>
    <t>ΧΕΙΛΟΥΔΑΚΗ</t>
  </si>
  <si>
    <t>lmfan_1999@yahoo.com</t>
  </si>
  <si>
    <t>lida_heliou@yahoo.gr</t>
  </si>
  <si>
    <t>ΧΙΝΟΥ</t>
  </si>
  <si>
    <t>bchinou@gmail.com</t>
  </si>
  <si>
    <t>ΧΙΝΤΙΡΑΚΗ</t>
  </si>
  <si>
    <t>ahintiraki@yahoo.gr</t>
  </si>
  <si>
    <t>ΧΙΩΤΑΚΗΣ</t>
  </si>
  <si>
    <t>ΑΝΔΡΙΑΝ</t>
  </si>
  <si>
    <t>ΧΛΙΑΟΥΤΑΚΗ</t>
  </si>
  <si>
    <t>ΜΕΡΣΙΝΗ</t>
  </si>
  <si>
    <t>myrsinichliaoutaki@gmail.com</t>
  </si>
  <si>
    <t>ΧΟΡΕΥΤΑΚΗΣ</t>
  </si>
  <si>
    <t>ΧΟΡΤΑΤΟΥ</t>
  </si>
  <si>
    <t>mchortatou@sch.gr</t>
  </si>
  <si>
    <t>ΧΟΥΔΑΛΑΚΗ</t>
  </si>
  <si>
    <t>ΧΟΥΖΟΥΡΑΚΗ</t>
  </si>
  <si>
    <t>ma.houzouraki@gmail.com</t>
  </si>
  <si>
    <t>VCHOULAKI@gmail.com</t>
  </si>
  <si>
    <t>ΣΑΠΦΩ</t>
  </si>
  <si>
    <t>ΧΡΙΣΤΟΔΟΥΛΟΠΟΥΛΟΥ</t>
  </si>
  <si>
    <t>chris303tina@yahoo.gr</t>
  </si>
  <si>
    <t>med4gorgon@yahoo.gr</t>
  </si>
  <si>
    <t xml:space="preserve">ΚΥΡΙΑΚΗ </t>
  </si>
  <si>
    <t>ΙΕΡΩΝΥΜΟΣ</t>
  </si>
  <si>
    <t>k.chryssaki@gmail.com</t>
  </si>
  <si>
    <t>ΧΡΥΣΑΝΘΟΠΟΥΛΟΣ</t>
  </si>
  <si>
    <t>ΧΡΥΣΟΧΕΡΗΣ</t>
  </si>
  <si>
    <t>elias_chr@otenet.gr</t>
  </si>
  <si>
    <t>psarakisgio@gmail.com</t>
  </si>
  <si>
    <t>mpsa@hotmail.gr</t>
  </si>
  <si>
    <t>eutuxia_p@hotmail.com</t>
  </si>
  <si>
    <t>maripsarou@sch.gr</t>
  </si>
  <si>
    <t>ΦΑΙΝΑΡΕΤΗ</t>
  </si>
  <si>
    <t>ΨΥΛΛΙΑ</t>
  </si>
  <si>
    <t>ΨΥΧΟΓΙΟΥ</t>
  </si>
  <si>
    <t>ΨΩΜΑΤΑΚΗΣ</t>
  </si>
  <si>
    <t>psomatakism@gmail.com</t>
  </si>
  <si>
    <t>ΕΥΑΓΓΕΛΙΑΣ</t>
  </si>
  <si>
    <t>goldiernb@gmail.com</t>
  </si>
  <si>
    <t>Δημοτικά Σχολεία</t>
  </si>
  <si>
    <t>Ενιαίου Τύπου Ολοήμερο Δημοτικό Σχολείο</t>
  </si>
  <si>
    <t>42ο ΟΛΟΗΜΕΡΟ ΔΗΜΟΤΙΚΟ ΣΧΟΛΕΙΟ ΗΡΑΚΛΕΙΟΥ</t>
  </si>
  <si>
    <t>mail@42dim-irakl.ira.sch.gr</t>
  </si>
  <si>
    <t>ΑΓΑΘΑΓΓΕΛΟΥ</t>
  </si>
  <si>
    <t>ΑΓΑΜΕΜΝΟΝΑΣ</t>
  </si>
  <si>
    <t>Νηπιαγωγεία</t>
  </si>
  <si>
    <t>Ενιαίου Τύπου Ολοήμερο Νηπιαγωγείο</t>
  </si>
  <si>
    <t>62ο ΝΗΠΙΑΓΩΓΕΙΟ ΗΡΑΚΛΕΙΟΥ</t>
  </si>
  <si>
    <t>mail@62nip-irakl.ira.sch.gr</t>
  </si>
  <si>
    <t>ΑΓΑΠΑΚΗ</t>
  </si>
  <si>
    <t>4ο ΝΗΠΙΑΓΩΓΕΙΟ ΝΕΑΣ ΑΛΙΚΑΡΝΑΣΣΟΥ</t>
  </si>
  <si>
    <t>mail@4nip-n-alikarn.ira.sch.gr</t>
  </si>
  <si>
    <t>34ο ΟΛΟΗΜΕΡΟ ΔΗΜΟΤΙΚΟ ΣΧΟΛΕΙΟ ΗΡΑΚΛΕΙΟΥ</t>
  </si>
  <si>
    <t>mail@34dim-irakl.ira.sch.gr</t>
  </si>
  <si>
    <t>pepaggelidou@gmail.com</t>
  </si>
  <si>
    <t>20ο ΟΛΟΗΜΕΡΟ ΔΗΜΟΤΙΚΟ ΣΧΟΛΕΙΟ ΗΡΑΚΛΕΙΟ ΚΡΗΤΗΣ</t>
  </si>
  <si>
    <t>mail@20dim-irakl.ira.sch.gr</t>
  </si>
  <si>
    <t>ΕΜΜΑΝΟΥΕΛ</t>
  </si>
  <si>
    <t>emaggelaki@gmail.com</t>
  </si>
  <si>
    <t>24ο ΟΛΟΗΜΕΡΟ ΔΗΜΟΤΙΚΟ ΣΧΟΛΕΙΟ ΗΡΑΚΛΕΙΟΥ</t>
  </si>
  <si>
    <t>mail@24dim-irakl.ira.sch.gr</t>
  </si>
  <si>
    <t>19ο ΟΛΟΗΜΕΡΟ ΔΗΜΟΤΙΚΟ ΣΧΟΛΕΙΟ ΗΡΑΚΛΕΙΟΥ</t>
  </si>
  <si>
    <t>mail@19dim-irakl.ira.sch.gr</t>
  </si>
  <si>
    <t>ΑΓΓΕΛΗ</t>
  </si>
  <si>
    <t>6ΕΨΥ4653ΠΣ-Θ9Η</t>
  </si>
  <si>
    <t>ΝΗΠΙΑΓΩΓΕΙΟ ΒΑΓΙΟΝΙΑΣ</t>
  </si>
  <si>
    <t>mail@nip-vagion.ira.sch.gr</t>
  </si>
  <si>
    <t>Αναπληρωτής μέσω ΕΣΠΑ</t>
  </si>
  <si>
    <t>ΖΑΜΠΕΤΗ</t>
  </si>
  <si>
    <t>ΨΔΧΟ4653ΠΣ-ΦΟΡ</t>
  </si>
  <si>
    <t xml:space="preserve">Ολιγοθέσιο Ολοήμερο Δημοτικό Σχολείο </t>
  </si>
  <si>
    <t>ΔΗΜΟΤΙΚΟ ΣΧΟΛΕΙΟ ΣΚΙΝΙΑ</t>
  </si>
  <si>
    <t>mail@dim-skinia.ira.sch.gr</t>
  </si>
  <si>
    <t>ΣΚΙΝΙΑ</t>
  </si>
  <si>
    <t>penny.aggeli@gmail.com</t>
  </si>
  <si>
    <t>4ο ΟΛΟΗΜΕΡΟ ΔΗΜΟΤΙΚΟ ΣΧΟΛΕΙΟ ΗΡΑΚΛΕΙΟΥ - ΤΑΛΩΣ</t>
  </si>
  <si>
    <t>mail@4dim-irakl.ira.sch.gr</t>
  </si>
  <si>
    <t>6/Θ ΔΗΜΟΤΙΚΟ ΣΧΟΛΕΙΟ ΚΑΤΩ ΑΣΙΤΩΝ</t>
  </si>
  <si>
    <t>mail@dim-kat-asiton.ira.sch.gr</t>
  </si>
  <si>
    <t>ΚΑΤΩ ΑΣΙΤΩΝ</t>
  </si>
  <si>
    <t>Αναπληρωτής Μειωμένου Ωραρίου μέσω ΕΣΠΑ</t>
  </si>
  <si>
    <t>ΑΓΓΕΛΙΔΗΣ</t>
  </si>
  <si>
    <t>195/29-8-2002</t>
  </si>
  <si>
    <t>18ο ΟΛΟΗΜΕΡΟ ΔΗΜΟΤΙΚΟ ΣΧΟΛΕΙΟ ΗΡΑΚΛΕΙΟΥ</t>
  </si>
  <si>
    <t>mail@18dim-irakl.ira.sch.gr</t>
  </si>
  <si>
    <t>ΑΓΓΕΛΟΠΟΥΛΟΥ</t>
  </si>
  <si>
    <t>ΤΑΣΙΑ</t>
  </si>
  <si>
    <t>ele1989_@hotmail.com</t>
  </si>
  <si>
    <t>ΠΕ71</t>
  </si>
  <si>
    <t>ΔΑΣΚΑΛΟΙ ΕΙΔΙΚΗΣ ΑΓΩΓΗΣ</t>
  </si>
  <si>
    <t>65ΛΜ4653ΠΣ-3ΝΡ</t>
  </si>
  <si>
    <t>Ολοήμερο Δημοτικό Σχολείο Ειδικής Αγωγής</t>
  </si>
  <si>
    <t>2ο ΕΙΔΙΚΟ ΔΗΜΟΤΙΚΟ ΣΧΟΛΕΙΟ ΗΡΑΚΛΕΙΟΥ ΚΡΗΤΗΣ</t>
  </si>
  <si>
    <t>mail@2dim-eid-irakl.ira.sch.gr</t>
  </si>
  <si>
    <t>ΑΓΓΟΥΡΙΔΑΚΗ</t>
  </si>
  <si>
    <t>47ο ΔΗΜΟΤΙΚΟ ΣΧΟΛΕΙΟ ΗΡΑΚΛΕΙΟΥ ΚΡΗΤΗΣ</t>
  </si>
  <si>
    <t>mail@47dim-irakl.ira.sch.gr</t>
  </si>
  <si>
    <t>ΑΓΓΟΥΡΙΔΗ</t>
  </si>
  <si>
    <t>1ο ΔΗΜΟΤΙΚΟ ΣΧΟΛΕΙΟ ΚΡΟΥΣΩΝΑ</t>
  </si>
  <si>
    <t>mail@1dim-krouss.ira.sch.gr</t>
  </si>
  <si>
    <t>ΑΓΡΙΔΙΩΤΗ</t>
  </si>
  <si>
    <t>ΠΑΝΑΓΙΩTA</t>
  </si>
  <si>
    <t>2ο ΔΗΜΟΤΙΚΟ ΣΧΟΛΕΙΟ ΑΡΚΑΛΟΧΩΡΙΟΥ</t>
  </si>
  <si>
    <t>mail@2dim-arkal.ira.sch.gr</t>
  </si>
  <si>
    <t>13ο  ΔΗΜΟΤΙΚΟ  ΣΧΟΛΕΙΟ  ΗΡΑΚΛΕΙΟΥ</t>
  </si>
  <si>
    <t>13dimirakl@sch.gr</t>
  </si>
  <si>
    <t>ΚΑΛΛΛΙΟΠΗ</t>
  </si>
  <si>
    <t>popiadamaki@gmail.com</t>
  </si>
  <si>
    <t>19ο ΟΛΟΗΜΕΡΟ ΝΗΠΙΑΓΩΓΕΙΟ ΗΡΑΚΛΕΙΟΥ</t>
  </si>
  <si>
    <t>mail@19nip-irakl.ira.sch.gr</t>
  </si>
  <si>
    <t>ΑΔΕΛΦΟΠΟΥΛΟΥ</t>
  </si>
  <si>
    <t>65Ω84653ΠΣ-ΨΗΨ</t>
  </si>
  <si>
    <t>1ο ΟΛΟΗΜΕΡΟ ΔΗΜΟΤΙΚΟ ΣΧΟΛΕΙΟ ΝΕΑ ΑΛΙΚΑΡΝΑΣΣΟΣ - ΗΡΟΔΟΤΕΙΟΣ ΣΧΟΛΗ</t>
  </si>
  <si>
    <t>mail@1dim-n-alikarn.ira.sch.gr</t>
  </si>
  <si>
    <t>Αναπληρωτής ΖΕΠ</t>
  </si>
  <si>
    <t>ΑΖΩΙΔΟΥ</t>
  </si>
  <si>
    <t>ΛΑΡΙΣΑ</t>
  </si>
  <si>
    <t>azovalara@gmail.com</t>
  </si>
  <si>
    <t>ΔΗΜΟΤΙΚΟ ΣΧΟΛΕΙΟ ΣΟΚΑΡΑ</t>
  </si>
  <si>
    <t>mail@dim-sokar.ira.sch.gr</t>
  </si>
  <si>
    <t>ΣΟΚΑΡΑ</t>
  </si>
  <si>
    <t>ΑΘΑΝΑΣΟΠΟΥΛΟΣ</t>
  </si>
  <si>
    <t>charilaosathanasopoulos@gmail.com</t>
  </si>
  <si>
    <t>1ο 12/θ ΟΛΟΗΜΕΡΟ ΔΗΜΟΤΙΚΟ ΣΧΟΛΕΙΟ ΑΡΚΑΛΟΧΩΡΙΟΥ</t>
  </si>
  <si>
    <t>mail@1dim-arkal.ira.sch.gr</t>
  </si>
  <si>
    <t>41ο ΝΗΠΙΑΓΩΓΕΙΟ ΗΡΑΚΛΕΙΟΥ</t>
  </si>
  <si>
    <t>mail@41nip-irakl.ira.sch.gr</t>
  </si>
  <si>
    <t>ΑΘΟΥΣΑΚΗ</t>
  </si>
  <si>
    <t>oathusaki@yahoo.com</t>
  </si>
  <si>
    <t>15ο ΟΛΟΗΜΕΡΟ ΔΗΜΟΤΙΚΟ ΣΧΟΛΕΙΟ ΗΡΑΚΛΕΙΟΥ</t>
  </si>
  <si>
    <t>MAIL@15DIM-IRAKL.IRA.SCH.GR</t>
  </si>
  <si>
    <t>ΑΚΡΙΒΟΥ</t>
  </si>
  <si>
    <t>5ο  ΔΗΜΟΤΙΚΟ ΣΧΟΛΕΙΟ ΝΕΑΣ ΑΛΙΚΑΡΝΑΣΣΟΥ</t>
  </si>
  <si>
    <t>mail@5dim-n-alikarn.ira.sch.gr</t>
  </si>
  <si>
    <t>3ο ΔΗΜΟΤΙΚΟ ΣΧΟΛΕΙΟ ΤΥΜΠΑΚΙΟΥ</t>
  </si>
  <si>
    <t>3dimtym@sch.gr</t>
  </si>
  <si>
    <t>ΑΛΕΓΚΑΚΗΣ</t>
  </si>
  <si>
    <t>53ο ΔΗΜΟΤΙΚΟ ΣΧΟΛΕΙΟ ΗΡΑΚΛΕΙΟΥ</t>
  </si>
  <si>
    <t>mail@53dim-irakl.ira.sch.gr</t>
  </si>
  <si>
    <t>petros1972@yahoo.gr</t>
  </si>
  <si>
    <t>41ο ΟΛΟΗΜΕΡΟ ΔΗΜΟΤΙΚΟ ΣΧΟΛΕΙΟ ΗΡΑΚΛΕΙΟΥ</t>
  </si>
  <si>
    <t>mail@41dim-irakl.ira.sch.gr</t>
  </si>
  <si>
    <t>52ο ΔΗΜΟΤΙΚΟ ΣΧΟΛΕΙΟ ΗΡΑΚΛΕΙΟΥ</t>
  </si>
  <si>
    <t>mail@52dim-irakl.ira.sch.gr</t>
  </si>
  <si>
    <t>ΚΡΙΣΤΙΑΝΑ</t>
  </si>
  <si>
    <t>30ο ΝΗΠΙΑΓΩΓΕΙΟ ΗΡΑΚΛΕΙΟ</t>
  </si>
  <si>
    <t>mail@30nip-irakl.ira.sch.gr</t>
  </si>
  <si>
    <t>5ο ΟΛΟΗΜΕΡΟ ΝΗΠΙΑΓΩΓΕΙΟ ΗΡΑΚΛΕΙΟΥ</t>
  </si>
  <si>
    <t>mail@5nip-irakl.ira.sch.gr</t>
  </si>
  <si>
    <t>2ο ΝΗΠΙΑΓΩΓΕΙΟ ΑΝΩ ΑΡΧΑΝΩΝ</t>
  </si>
  <si>
    <t>mail@2nip-an-archan.ira.sch.gr</t>
  </si>
  <si>
    <t>ΚΑΤΩ ΑΡΧΑΝΩΝ</t>
  </si>
  <si>
    <t>47ο ΟΛΟΗΜΕΡΟ ΝΗΠΙΑΓΩΓΕΙΟ ΗΡΑΚΛΕΙΟΥ</t>
  </si>
  <si>
    <t>mail@47nip-irakl.ira.sch.gr</t>
  </si>
  <si>
    <t>ΝΗΠΙΑΓΩΓΕΙΟ ΣΚΟΥΡΒΟΥΛΩΝ</t>
  </si>
  <si>
    <t>mail@nip-skourv.ira.sch.gr</t>
  </si>
  <si>
    <t>ΣΚΟΥΡΒΟΥΛΩΝ</t>
  </si>
  <si>
    <t>dimitris.alexakis@hotmail.com</t>
  </si>
  <si>
    <t>7/ΘΕΣΙΟ ΔΗΜΟΤΙΚΟ ΣΧΟΛΕΙΟ ΚΟΥΝΑΒΩΝ</t>
  </si>
  <si>
    <t>mail@dim-kounav.ira.sch.gr</t>
  </si>
  <si>
    <t>ΚΟΥΝΑΒΩΝ</t>
  </si>
  <si>
    <t>nialexandraki@gmail.com</t>
  </si>
  <si>
    <t>23ο ΔΗΜΟΤΙΚΟ ΣΧΟΛΕΙΟ ΗΡΑΚΛΕΙΟΥ</t>
  </si>
  <si>
    <t>mail@23dim-irakl.ira.sch.gr</t>
  </si>
  <si>
    <t>9ο ΔΗΜΟΤΙΚΟ ΣΧΟΛΕΙΟ ΗΡΑΚΛΕΙΟΥ ΚΡΗΤΗΣ</t>
  </si>
  <si>
    <t>mail@9dim-irakl.ira.sch.gr</t>
  </si>
  <si>
    <t>ΜΑΛΑΜΑΤΗ</t>
  </si>
  <si>
    <t>ΟΛΟΗΜΕΡΟ ΔΗΜΟΤΙΚΟ ΣΧΟΛΕΙΟ ΑΣΗΜΙΟΥ</t>
  </si>
  <si>
    <t>mail@dim-asimiou.ira.sch.gr</t>
  </si>
  <si>
    <t>ΑΛΕΞΑΝΤΩΝΑΚΗ</t>
  </si>
  <si>
    <t>alexria2003@yahoo.gr</t>
  </si>
  <si>
    <t>ktrnalexiou@gmail.com</t>
  </si>
  <si>
    <t>2ο ΟΛΟΗΜΕΡΟ ΔΗΜΟΤΙΚΟ ΣΧΟΛΕΙΟ ΑΝΩ ΑΡΧΑΝΩΝ</t>
  </si>
  <si>
    <t>mail@2dim-an-acharn.ira.sch.gr</t>
  </si>
  <si>
    <t>2ο ΟΛΟΗΜΕΡΟ ΝΗΠΙΑΓΩΓΕΙΟ ΑΣΗΜΙΟΥ</t>
  </si>
  <si>
    <t>mail@2nip-asimiou.ira.sch.gr</t>
  </si>
  <si>
    <t>ΑΛΕΤΡΑΣ</t>
  </si>
  <si>
    <t>aletras.harris@gmail.com</t>
  </si>
  <si>
    <t>14ο ΔΗΜΟΤΙΚΟ ΣΧΟΛΕΙΟ ΗΡΑΚΛΕΙΟΥ</t>
  </si>
  <si>
    <t>mail@14dim-irakl.ira.sch.gr</t>
  </si>
  <si>
    <t>ΑΛΕΦΑΝΤΙΝΟΥ</t>
  </si>
  <si>
    <t>ΔΗΜΟΤΙΚΟ ΣΧΟΛΕΙΟ ΑΝΑΛΗΨΗΣ ΧΕΡΣΟΝΗΣΟΥ</t>
  </si>
  <si>
    <t>mail@dim-analips.ira.sch.gr</t>
  </si>
  <si>
    <t>ΑΛΗΘΙΝΟΥ</t>
  </si>
  <si>
    <t>40ο ΟΛΟΗΜΕΡΟ ΔΗΜΟΤΙΚΟ ΣΧΟΛΕΙΟ ΗΡΑΚΛΕΙΟΥ</t>
  </si>
  <si>
    <t>mail@40dim-irakl.ira.sch.gr</t>
  </si>
  <si>
    <t>ΑΛΜΠΑΝΤΑΚΗΣ</t>
  </si>
  <si>
    <t>albandakis@gmail.com</t>
  </si>
  <si>
    <t>ΔΗΜΟΤΙΚΟ ΣΧΟΛΕΙΟ ΓΟΥΡΝΩΝ</t>
  </si>
  <si>
    <t>mail@dim-gourn.ira.sch.gr</t>
  </si>
  <si>
    <t>ΑΝΩΠΟΛΕΩΣ</t>
  </si>
  <si>
    <t>nikalba@pathfinder.gr</t>
  </si>
  <si>
    <t>1ο ΟΛΟΗΜΕΡΟ ΔΗΜΟΤΙΚΟ ΣΧΟΛΕΙΟ ΗΡΑΚΛΕΙΟΥ</t>
  </si>
  <si>
    <t>mail@1dim-irakl.ira.sch.gr</t>
  </si>
  <si>
    <t>ΑΜΑΝΑΚΗΣ</t>
  </si>
  <si>
    <t>36ο ΟΛΟΗΜΕΡΟ ΔΗΜΟΤΙΚΟ ΣΧΟΛΕΙΟ ΗΡΑΚΛΕΙΟΥ</t>
  </si>
  <si>
    <t>mail@36dim-irakl.ira.sch.gr</t>
  </si>
  <si>
    <t>amantheo@hotmail.com</t>
  </si>
  <si>
    <t>ΔΗΜΟΤΙΚΟ ΣΧΟΛΕΙΟ ΑΓΙΑ ΒΑΡΒΑΡΑΣ</t>
  </si>
  <si>
    <t>mail@dim-ag-varvar.ira.sch.gr</t>
  </si>
  <si>
    <t>ΟΛΟΗΜΕΡΟ ΔΗΜΟΤΙΚΟ ΣΧΟΛΕΙΟ ΚΑΣΤΕΛΛΙΟΥ</t>
  </si>
  <si>
    <t>mail@dim-kastell.ira.sch.gr</t>
  </si>
  <si>
    <t>5ο ΟΛΟΗΜΕΡΟ ΔΗΜΟΤΙΚΟ ΣΧΟΛΕΙΟ ΗΡΑΚΛΕΙΟΥ</t>
  </si>
  <si>
    <t>mail@5dim-irakl.ira.sch.gr</t>
  </si>
  <si>
    <t>filiasmail@gmail.com</t>
  </si>
  <si>
    <t>38ο ΟΛΟΗΜΕΡΟ ΝΗΠΙΑΓΩΓΕΙΟ ΗΡΑΚΛΕΙΟΥ</t>
  </si>
  <si>
    <t>mail@38nip-irakl.ira.sch.gr</t>
  </si>
  <si>
    <t xml:space="preserve">ΑΜΑΡΙΩΤΑΚΗ </t>
  </si>
  <si>
    <t>1ο ΔΗΜΟΤΙΚΟ ΣΧΟΛΕΙΟ Λ. ΧΕΡΣΟΝΗΣΟΥ</t>
  </si>
  <si>
    <t>mail@dim-limen.ira.sch.gr</t>
  </si>
  <si>
    <t>ΑΜΟΙΡΙΔΗΣ</t>
  </si>
  <si>
    <t>4ο ΟΛΟΗΜΕΡΟ ΔΗΜΟΤΙΚΟ ΣΧΟΛΕΙΟ ΝΕΑΣ ΑΛΙΚΑΡΝΑΣΣΟΥ</t>
  </si>
  <si>
    <t>mail@4dim-n-alikarn.ira.sch.gr</t>
  </si>
  <si>
    <t>ΑΜΟΡΙΑΝΟΥ-ΤΖΙΡΒΕΛΑΚΗ</t>
  </si>
  <si>
    <t>ΠΑΝΑΓΙΟΥΛΑ</t>
  </si>
  <si>
    <t>ΠΕ08.50</t>
  </si>
  <si>
    <t>ΚΑΛΛΙΤΕΧΝΙΚΩΝ ΕΙΔΙΚΗΣ ΑΓΩΓΗΣ</t>
  </si>
  <si>
    <t>ΟΛΟΗΜΕΡΟ ΔΗΜΟΤΙΚΟ ΣΧΟΛΕΙΟ ΧΕΡΣΟΝΗΣΟΥ</t>
  </si>
  <si>
    <t>mail@dim-chers.ira.sch.gr</t>
  </si>
  <si>
    <t>ΑΜΥΓΔΑΛΗ</t>
  </si>
  <si>
    <t>12/ΘΕΣΙΟ 1ο ΔΗΜΟΤΙΚΟ ΣΧΟΛΕΙΟ ΑΡΧΑΝΩΝ</t>
  </si>
  <si>
    <t>mail@1dim-an-archan.ira.sch.gr</t>
  </si>
  <si>
    <t>ΓΛΥΚΕΡΙΑ-ΓΕΩΡΓΙΑ</t>
  </si>
  <si>
    <t>ΝΗΠΙΑΓΩΓΕΙΟ ΑΝΤΙΣΚΑΡΙΟΥ</t>
  </si>
  <si>
    <t>mail@nip-antisk.ira.sch.gr</t>
  </si>
  <si>
    <t>ΑΝΤΙΣΚΑΡΙΟΥ</t>
  </si>
  <si>
    <t>2ο ΝΗΠΙΑΓΩΓΕΙΟ ΜΟΙΡΩΝ ΗΡΑΚΛΕΙΟΥ</t>
  </si>
  <si>
    <t>mail@2nip-moiron.ira.sch.gr</t>
  </si>
  <si>
    <t>ΠΕ70.50</t>
  </si>
  <si>
    <t>ΩΤΞΘ4653ΠΣ-Η4Μ</t>
  </si>
  <si>
    <t>26ο 12/Θ ΔΗΜΟΤΙΚΟ ΣΧΟΛΕΙΟ ΗΡΑΚΛΕΙΟΥ ΚΡΗΤΗΣ</t>
  </si>
  <si>
    <t>mail@26dim-irakl.ira.sch.gr</t>
  </si>
  <si>
    <t>ΟΛΟΗΜΕΡΟ ΔΗΜΟΤΙΚΟ ΣΧΟΛΕΙΟ ΚΑΠΑΡΙΑΝΩΝ</t>
  </si>
  <si>
    <t>mail@dim-kapar.ira.sch.gr</t>
  </si>
  <si>
    <t>1ο ΟΛΟΗΜΕΡΟ ΔΗΜΟΤΙΚΟ ΣΧΟΛΕΙΟ ΜΟΙΡΩΝ</t>
  </si>
  <si>
    <t>mail@1dim-moiron.ira.sch.gr</t>
  </si>
  <si>
    <t>70ο ΝΗΠΙΑΓΩΓΕΙΟ ΗΡΑΚΛΕΙΟΥ</t>
  </si>
  <si>
    <t>mail@70nip-irakl.ira.sch.gr</t>
  </si>
  <si>
    <t>ΑΝΑΓΝΩΣΤΑΚΗ ΚΟΡΝΑΡΑΚΗ</t>
  </si>
  <si>
    <t>stanagnostaki@gmail.com</t>
  </si>
  <si>
    <t>6ο ΔΗΜΟΤΙΚΟ ΣΧΟΛΕΙΟ ΗΡΑΚΛΕΙΟΥ</t>
  </si>
  <si>
    <t>mail@6dim-irakl.ira.sch.gr</t>
  </si>
  <si>
    <t>ganagnostakis@gmail.com</t>
  </si>
  <si>
    <t>1ο ΔΗΜΟΤΙΚΟ ΣΧΟΛΕΙΟ ΤΥΜΠΑΚΙΟΥ</t>
  </si>
  <si>
    <t>1dimtym@sch.gr</t>
  </si>
  <si>
    <t>mianagnost@sch.gr</t>
  </si>
  <si>
    <t>ΑΝΑΓΝΩΣΤΟΠΟΥΛΟΣ</t>
  </si>
  <si>
    <t>43ο ΔΗΜΟΤΙΚΟ ΣΧΟΛΕΙΟ ΗΡΑΚΛΕΙΟΥ</t>
  </si>
  <si>
    <t>mail@43dim-irakl.ira.sch.gr</t>
  </si>
  <si>
    <t>ΔΙΟΝΥΣΗΣ</t>
  </si>
  <si>
    <t>ΕΥΑΓΓΕΛΙΑ-ΕΛΕΥΘΕΡΙΑ</t>
  </si>
  <si>
    <t>ΑΝΑΠΟΛΙΩΤΑΚΗ</t>
  </si>
  <si>
    <t>5ο ΟΛΟΗΜΕΡΟ ΝΗΠΙΑΓΩΓΕΙΟ ΝΕΑΣ ΑΛΙΚΑΡΝΑΣΣΟΥ</t>
  </si>
  <si>
    <t>mail@5nip-n-alikarn.ira.sch.gr</t>
  </si>
  <si>
    <t>27ο ΔΗΜΟΤΙΚΟ ΣΧΟΛΕΙΟ ΗΡΑΚΛΕΙΟΥ</t>
  </si>
  <si>
    <t>mail@27dim-irakl.ira.sch.gr</t>
  </si>
  <si>
    <t>a.xrysa@hotmail.com</t>
  </si>
  <si>
    <t>10ο ΔΗΜΟΤΙΚΟ ΣΧΟΛΕΙΟ ΗΡΑΚΛΕΙΟΥ</t>
  </si>
  <si>
    <t>mail@10dim-irakl.ira.sch.gr</t>
  </si>
  <si>
    <t>ΔΗΜΟΤΙΚΟ ΣΧΟΛΕΙΟ ΑΓΙΑΣ ΠΕΛΑΓΙΑΣ</t>
  </si>
  <si>
    <t>mail@dim-achlad.ira.sch.gr</t>
  </si>
  <si>
    <t>ΑΧΛΑΔΑΣ</t>
  </si>
  <si>
    <t>ΑΝΑΣΤΑΣΙΟΥ</t>
  </si>
  <si>
    <t>ΔΗΜΟΤΙΚΟ ΣΧΟΛΕΙΟ ΔΑΦΝΩΝ</t>
  </si>
  <si>
    <t>mail@dim-dafnon.ira.sch.gr</t>
  </si>
  <si>
    <t>ΔΑΦΝΕ</t>
  </si>
  <si>
    <t>ΑΝΔΡΕΑΚΗ</t>
  </si>
  <si>
    <t>ΑΡΙΑΝΝΗ</t>
  </si>
  <si>
    <t>ΔΗΜΟΤΙΚΟ ΣΧΟΛΕΙΟ ΜΕΤΑΞΟΧΩΡΙΟΥ</t>
  </si>
  <si>
    <t>mail@dim-metax.ira.sch.gr</t>
  </si>
  <si>
    <t>ΜΕΤΑΞΟΧΩΡΙΟΥ</t>
  </si>
  <si>
    <t>ΑΝΔΡΕΔΑΚΗ</t>
  </si>
  <si>
    <t>ΔΗΜΟΤΙΚΟ ΣΧΟΛΕΙΟ ΤΣΙΦΟΥΤ ΚΑΣΤΕΛΛΙΟΥ</t>
  </si>
  <si>
    <t>mail@dim-tsifout.ira.sch.gr</t>
  </si>
  <si>
    <t>ΑΝΩ ΑΚΡΙΩΝ</t>
  </si>
  <si>
    <t>ΑΝΔΡΕΟΥ</t>
  </si>
  <si>
    <t>ΑΝΔΡΙΑΔΗΣ</t>
  </si>
  <si>
    <t>6/Θ ΔΗΜΟΤΙΚΟ ΣΧΟΛΕΙΟ ΜΕΓΑΛΗΣ ΒΡΥΣΗΣ</t>
  </si>
  <si>
    <t>mail@dim-meg-vrysis.ira.sch.gr</t>
  </si>
  <si>
    <t>ΜΕΓΑΛΗΣ ΒΡΥΣΗΣ</t>
  </si>
  <si>
    <t>ΑΝΔΡΙΩΤΗ</t>
  </si>
  <si>
    <t>athinaandrioti@hotmail.com</t>
  </si>
  <si>
    <t>ΟΛΟΗΜΕΡΟ ΝΗΠΙΑΓΩΓΕΙΟ ΠΥΡΓΟΥ</t>
  </si>
  <si>
    <t>mail@nip-pyrgou.ira.sch.gr</t>
  </si>
  <si>
    <t>ΑΝΔΡΙΩΤΟΥ</t>
  </si>
  <si>
    <t>ΝΗΠΙΑΓΩΓΕΙΟ ΑΓΙΟΥ ΘΩΜΑ ΗΡΑΚΛΕΙΟΥ</t>
  </si>
  <si>
    <t>mail@nip-ag-thoma.ira.sch.gr</t>
  </si>
  <si>
    <t>ΑΓΙΟΥ ΘΩΜΑ</t>
  </si>
  <si>
    <t>ΑΝΔΡΟΝΑ</t>
  </si>
  <si>
    <t>31ο ΟΛΟΗΜΕΡΟ ΝΗΠΙΑΓΩΓΕΙΟ ΗΡΑΚΛΕΙΟΥ</t>
  </si>
  <si>
    <t>mail@31nip-irakl.ira.sch.gr</t>
  </si>
  <si>
    <t>ΑΝΔΡΟΝΙΚΟΥ</t>
  </si>
  <si>
    <t>ΔΗΜΟΤΙΚΟ ΣΧΟΛΕΙΟ ΘΡΑΨΑΝΟΥ</t>
  </si>
  <si>
    <t>mail@dim-thraps.ira.sch.gr</t>
  </si>
  <si>
    <t>53ο ΟΛΟΗΜΕΡΟ ΝΗΠΙΑΓΩΓΕΙΟ ΗΡΑΚΛΕΙΟΥ</t>
  </si>
  <si>
    <t>mail@53nip-irakl.ira.sch.gr</t>
  </si>
  <si>
    <t>g.androulaki@yahoo.gr</t>
  </si>
  <si>
    <t>40ο ΟΛΟΗΜΕΡΟ ΝΗΠΙΑΓΩΓΕΙΟ ΗΡΑΚΛΕΙΟΥ</t>
  </si>
  <si>
    <t>mail@40nip-irakl.ira.sch.gr</t>
  </si>
  <si>
    <t>ΟΛΟΗΜΕΡΟ ΔΗΜΟΤΙΚΟ ΣΧΟΛΕΙΟ ΠΟΜΠΙΑΣ</t>
  </si>
  <si>
    <t>mail@dim-pompias.ira.sch.gr</t>
  </si>
  <si>
    <t>mandrulaki@gmail.com</t>
  </si>
  <si>
    <t>76ο ΝΗΠΙΑΓΩΓΕΙΟ ΗΡΑΚΛΕΙΟΥ</t>
  </si>
  <si>
    <t>mail@76nip-irakl.ira.sch.gr</t>
  </si>
  <si>
    <t>marand63@yahoo.gr</t>
  </si>
  <si>
    <t>ΔΗΜΟΤΙΚΟ ΣΧΟΛΕΙΟ ΣΤΑΥΡΑΚΙΩΝ</t>
  </si>
  <si>
    <t>mail@dim-stavr.ira.sch.gr</t>
  </si>
  <si>
    <t>ΣΤΑΥΡΑΚΙΩΝ</t>
  </si>
  <si>
    <t>ΣΟΦΙΑ ΠΑΝΑΓΙ</t>
  </si>
  <si>
    <t>12ο Δημοτικό Σχολείο Ηρακλείου</t>
  </si>
  <si>
    <t>mail@12dim-irakl.ira.sch.gr</t>
  </si>
  <si>
    <t>ΣΠΥΡΟΣ-ΕΛΕΥΘΕΡΙΟΣ</t>
  </si>
  <si>
    <t>ΔΗΜΟΤΙΚΟ ΣΧΟΛΕΙΟ ΧΟΥΔΕΤΣΙ</t>
  </si>
  <si>
    <t>mail@dim-choud.ira.sch.gr</t>
  </si>
  <si>
    <t>ΧΟΥΔΕΤΣΙΟΥ</t>
  </si>
  <si>
    <t>g_androulidakis@hotmail.com</t>
  </si>
  <si>
    <t>ΑΝΘΡΩΠΑΚΗ</t>
  </si>
  <si>
    <t>anthropakiathanasia@gmail.com</t>
  </si>
  <si>
    <t>1ο ΟΛΟΗΜΕΡΟ ΔΗΜΟΤΙΚΟ ΣΧΟΛΕΙΟ ΓΑΖΙΟΥ</t>
  </si>
  <si>
    <t>mail@1dim-gaziou.ira.sch.gr</t>
  </si>
  <si>
    <t>ΑΝΤΩΝΑΙΟΣ</t>
  </si>
  <si>
    <t>2ο ΔΗΜΟΤΙΚΟ ΣΧΟΛΕΙΟ ΛΙΜΕΝΟΣ ΧΕΡΣΟΝΗΣΟΥ</t>
  </si>
  <si>
    <t>mail@2dim-limen.ira.sch.gr</t>
  </si>
  <si>
    <t>33ο ΔΗΜΟΤΙΚΟ ΣΧΟΛΕΙΟ ΗΡΑΚΛΕΙΟΥ</t>
  </si>
  <si>
    <t>mail@33dim-irakl.ira.sch.gr</t>
  </si>
  <si>
    <t>anna.za.antonaki@gmail.com</t>
  </si>
  <si>
    <t>ΑΝΤΩΝΙΑΔΗ</t>
  </si>
  <si>
    <t>7 /Θ ΔΗΜΟΤΙΚΟ ΣΧΟΛΕΙΟ ΜΟΧΟΥ</t>
  </si>
  <si>
    <t>mail@dim-mochou.ira.sch.gr</t>
  </si>
  <si>
    <t>ΑΝΤΩΝΟΠΟΥΛΟΣ</t>
  </si>
  <si>
    <t>nikosantonopoulos1973@gmail.com</t>
  </si>
  <si>
    <t>ΑΝΤΩΝΟΠΟΥΛΟΥ</t>
  </si>
  <si>
    <t>ΔΗΜΟΤΙΚΟ ΣΧΟΛΕΙΟ ΓΑΛΙΑΣ</t>
  </si>
  <si>
    <t>mail@dim-galias.ira.sch.gr</t>
  </si>
  <si>
    <t>ΓΑΛΙΑΣ</t>
  </si>
  <si>
    <t>ΑΝΝΑ ΜΑΡΙΑ</t>
  </si>
  <si>
    <t>3ο Δημοτικό Σχολείο Νέας Αλικαρνασσού</t>
  </si>
  <si>
    <t>mail@3dim-n-alikarn.ira.sch.gr</t>
  </si>
  <si>
    <t>andre.pap.59@gmail.com</t>
  </si>
  <si>
    <t>45ο ΔΗΜΟΤΙΚΟ ΣΧΟΛΕΙΟ ΗΡΑΚΛΕΙΟ</t>
  </si>
  <si>
    <t>mail@45dim-irakl.ira.sch.gr</t>
  </si>
  <si>
    <t>ΑΝΥΦΑΝΤΗ</t>
  </si>
  <si>
    <t>35ο ΝΗΠΙΑΓΩΓΕΙΟ ΗΡΑΚΛΕΙΟΥ</t>
  </si>
  <si>
    <t>mail@35nip-irakl.ira.sch.gr</t>
  </si>
  <si>
    <t>ΑΝΥΨΗΤΑΚΗΣ</t>
  </si>
  <si>
    <t>ja2a70@yahoo.com</t>
  </si>
  <si>
    <t>225-09/09/2005</t>
  </si>
  <si>
    <t>49ο ΔΗΜΟΤΙΚΟ ΣΧΟΛΕΙΟ ΗΡΑΚΛΕΙΟΥ ΚΡΗΤΗΣ</t>
  </si>
  <si>
    <t>mail@49dim-irakl.ira.sch.gr</t>
  </si>
  <si>
    <t>ΑΝΩΓΕΙΑΝΑΚΗ</t>
  </si>
  <si>
    <t>1/Θ ΟΛΟΗΜΕΡΟ ΝΗΠΙΑΓΩΓΕΙΟ ΠΟΜΠΙΑΣ</t>
  </si>
  <si>
    <t>mail@nip-pompias.ira.sch.gr</t>
  </si>
  <si>
    <t>angie.ap@hotmail.com</t>
  </si>
  <si>
    <t>2ο ΟΛΟΗΜΕΡΟ ΔΗΜΟΤΙΚΟ ΣΧΟΛΕΙΟ ΑΓΙΑΣ ΜΑΡΙΝΑΣ</t>
  </si>
  <si>
    <t>mail@2dim-ag-marin.ira.sch.gr</t>
  </si>
  <si>
    <t>1ο 2/Θ ΝΗΠΙΑΓΩΓΕΙΟ ΑΓΙΑΣ ΒΑΡΒΑΡΑΣ</t>
  </si>
  <si>
    <t>mail@1nip-ag-varvar.ira.sch.gr</t>
  </si>
  <si>
    <t>ΔΗΜΟΤΙΚΟ ΣΧΟΛΕΙΟ ΒΩΡΩΝ</t>
  </si>
  <si>
    <t>mail@dim-voron.ira.sch.gr</t>
  </si>
  <si>
    <t>ΒΩΡΩΝ</t>
  </si>
  <si>
    <t>ΑΠΟΣΤΟΛΑΚΟΥ</t>
  </si>
  <si>
    <t>ΟΛΟΗΜΕΡΟ ΔΗΜΟΤΙΚΟ ΣΧΟΛΕΙΟ ΓΟΥΒΕΣ ΠΕΔΙΑΔΟΣ ΗΡΑΚΛΕΙΟΥ ΚΡΗΤΗΣ</t>
  </si>
  <si>
    <t>mail@dim-gouvon.ira.sch.gr</t>
  </si>
  <si>
    <t>ΤΡΙΑΝΤΑΦΥΛΛΙ</t>
  </si>
  <si>
    <t>ΝΑΠΟΛΕΩΝ</t>
  </si>
  <si>
    <t>filio@otenet.gr</t>
  </si>
  <si>
    <t>ΟΛΟΗΜΕΡΟ ΔΗΜΟΤΙΚΟ ΣΧΟΛΕΙΟ ΚΟΚΚΙΝΗ ΧΑΝΙ</t>
  </si>
  <si>
    <t>mail@dim-kokkin.ira.sch.gr</t>
  </si>
  <si>
    <t>2ο ΔΗΜΟΤΙΚΟ ΣΧΟΛΕΙΟ ΜΑΛΙΩΝ - ΚΕΡΝΟΣ</t>
  </si>
  <si>
    <t>mail@2dim-malion.ira.sch.gr</t>
  </si>
  <si>
    <t>ΑΡΑΒΑΝΗ</t>
  </si>
  <si>
    <t>2ο ΟΛΟΗΜΕΡΟ ΔΗΜΟΤΙΚΟ ΣΧΟΛΕΙΟ ΗΡΑΚΛΕΙΟΥ - ΜΠΟΔΟΣΑΚΕΙΟ</t>
  </si>
  <si>
    <t>mail@2dim-irakl.ira.sch.gr</t>
  </si>
  <si>
    <t>ΑΡΑΘΩΜΑΣ</t>
  </si>
  <si>
    <t>44ο ΔΗΜΟΤΙΚΟ ΣΧΟΛΕΙΟ ΗΡΑΚΛΕΙΟΥ</t>
  </si>
  <si>
    <t>mail@44dim-irakl.ira.sch.gr</t>
  </si>
  <si>
    <t>ΑΡΑΚΑΔΑΚΗ</t>
  </si>
  <si>
    <t>32ο ΟΛΟΗΜΕΡΟ ΔΗΜΟΤΙΚΟ ΣΧΟΛΕΙΟ ΗΡΑΚΛΕΙΟΥ</t>
  </si>
  <si>
    <t>mail@32dim-irakl.ira.sch.gr</t>
  </si>
  <si>
    <t>ΠΗΓΗ</t>
  </si>
  <si>
    <t>35ο ΟΛΟΗΜΕΡΟ ΔΗΜΟΤΙΚΟ ΣΧΟΛΕΙΟ ΗΡΑΚΛΕΙΟΥ</t>
  </si>
  <si>
    <t>mail@35dim-irakl.ira.sch.gr</t>
  </si>
  <si>
    <t>ΑΡΑΠΟΓΛΟΥ</t>
  </si>
  <si>
    <t>21ο ΟΛΟΗΜΕΡΟ ΔΗΜΟΤΙΚΟ ΣΧΟΛΕΙΟ ΗΡΑΚΛΕΙΟΥ</t>
  </si>
  <si>
    <t>mail@21dim-irakl.ira.sch.gr</t>
  </si>
  <si>
    <t>ΝΗΠΙΑΓΩΓΕΙΟ ΓΕΡΓΕΡΗΣ</t>
  </si>
  <si>
    <t>mail@nip-gerger.ira.sch.gr</t>
  </si>
  <si>
    <t>ΑΡΒΑΝΙΤΑΚΗ</t>
  </si>
  <si>
    <t>maria.arvanitaki@gmail.com</t>
  </si>
  <si>
    <t>ΑΡΒΑΝΙΤΗ</t>
  </si>
  <si>
    <t>ΑΡΒΑΝΙΤΙΔΟΥ</t>
  </si>
  <si>
    <t>varvanitidou@yahoo.gr</t>
  </si>
  <si>
    <t>ΑΡΓΟΥΔΕΛΗ</t>
  </si>
  <si>
    <t>ΔΗΜΗΤΡΙΟ</t>
  </si>
  <si>
    <t>ΔΗΜΟΤΙΚΟ ΣΧΟΛΕΙΟ ΑΜΙΡΑ</t>
  </si>
  <si>
    <t>mail@dim-amira.ira.sch.gr</t>
  </si>
  <si>
    <t>ΑΜΙΡΑ</t>
  </si>
  <si>
    <t>ΧΡΥΣΑΝΘΟΣ</t>
  </si>
  <si>
    <t>235/30-8-1985 τ.Γ΄</t>
  </si>
  <si>
    <t>ΑΡΓΥΡΟΠΟΥΛΟΥ</t>
  </si>
  <si>
    <t>di.arni4@gmail.com</t>
  </si>
  <si>
    <t>3ο ΔΗΜΟΤΙΚΟ ΣΧΟΛΕΙΟ ΓΑΖΙΟΥ</t>
  </si>
  <si>
    <t>mail@3dim-gaziou.ira.sch.gr</t>
  </si>
  <si>
    <t>ΔΙΟΝΥΣΟΣ</t>
  </si>
  <si>
    <t>ΟΛΟΗΜΕΡΟ ΔΗΜΟΤΙΚΟ ΣΧΟΛΕΙΟ ΑΝΩ ΒΙΑΝΝΟΥ</t>
  </si>
  <si>
    <t>mail@dim-an-viann.ira.sch.gr</t>
  </si>
  <si>
    <t>ΑΔΑΜΑΝΤΙΝΗ</t>
  </si>
  <si>
    <t>2ο ΝΗΠΙΑΓΩΓΕΙΟ ΑΡΚΑΛΟΧΩΡΙΟΥ</t>
  </si>
  <si>
    <t>mail@2nip-arkal.ira.sch.gr</t>
  </si>
  <si>
    <t>Ολοήμερο Νηπιαγωγείο Ειδικής Αγωγής</t>
  </si>
  <si>
    <t>1ο ΕΙΔΙΚΟ ΝΗΠΙΑΓΩΓΕΙΟ ΗΡΑΚΛΕΙΟ</t>
  </si>
  <si>
    <t>mail@1nip-eid-irakl.ira.sch.gr</t>
  </si>
  <si>
    <t>ΑΡΚΟΥΛΗ</t>
  </si>
  <si>
    <t>7ο ΟΛΟΗΜΕΡΟ ΔΗΜΟΤΙΚΟ ΣΧΟΛΕΙΟ ΗΡΑΚΛΕΙΟΥ - ΕΛΛΗ ΑΛΕΞΙΟΥ</t>
  </si>
  <si>
    <t>mail@7dim-irakl.ira.sch.gr</t>
  </si>
  <si>
    <t>ΑΡΛΕΤΗ</t>
  </si>
  <si>
    <t>2ο ΔΗΜΟΤΙΚΟ ΣΧΟΛΕΙΟ ΓΑΖΙΟΥ</t>
  </si>
  <si>
    <t>mail@2dim-gaziou.ira.sch.gr</t>
  </si>
  <si>
    <t>ΑΡΜΕΝΑΚΗ</t>
  </si>
  <si>
    <t>24ο  ΝΗΠΙΑΓΩΓΕΙΟ ΗΡΑΚΛΕΙΟΥ</t>
  </si>
  <si>
    <t>mail@24nip-irakl.ira.sch.gr</t>
  </si>
  <si>
    <t>ΑΡΝΟΓΙΑΝΝΑΚΗ</t>
  </si>
  <si>
    <t>ΕΛΒΙΡΑΜΑΡΙΑ</t>
  </si>
  <si>
    <t>ΑΡΧΑΥΛΗ</t>
  </si>
  <si>
    <t>ΑΡΧΙΜΑΝΔΡΙΤΗ</t>
  </si>
  <si>
    <t>ΜΑΡΙΑ-ΕΙΡΗΝΗ</t>
  </si>
  <si>
    <t>ΑΡΧΟΝΤΟΒΑΣΙΛΗΣ</t>
  </si>
  <si>
    <t>ΕΜΜΑΝΟΥΗΛ-ΜΑΡΙΝΟΣ</t>
  </si>
  <si>
    <t>Ω7ΜΞ4653ΠΣ-ΗΤ3</t>
  </si>
  <si>
    <t>ΔΗΜΟΤΙΚΟ ΣΧΟΛΕΙΟ ΚΑΜΑΡΩΝ</t>
  </si>
  <si>
    <t>mail@dim-kamar.ira.sch.gr</t>
  </si>
  <si>
    <t>ΚΑΜΑΡΩΝ</t>
  </si>
  <si>
    <t>ΑΣΔΡΕ</t>
  </si>
  <si>
    <t>donna.asdre@hotmail.com</t>
  </si>
  <si>
    <t>ΑΣΗΜΑΚΙΔΟΥ</t>
  </si>
  <si>
    <t>ΟΛΟΗΜΕΡΟ ΔΗΜΟΤΙΚΟ ΣΧΟΛΕΙΟ ΠΡΟΦΗΤΗ ΗΛΙΑ ΗΡΑΚΛΕΙΟΥ</t>
  </si>
  <si>
    <t>mail@dim-prof-ilia.ira.sch.gr</t>
  </si>
  <si>
    <t>ΑΣΙΚΛΑΡΗ</t>
  </si>
  <si>
    <t>fani260886@hotmail.com</t>
  </si>
  <si>
    <t>ΔΗΜΟΤΙΚΟ ΣΧΟΛΕΙΟ ΚΑΡΤΕΡΟΥ</t>
  </si>
  <si>
    <t>ΚΑΛΛΙΘΕΑΣ</t>
  </si>
  <si>
    <t>ΝΙΚΟΔΗΜΟ</t>
  </si>
  <si>
    <t>teacherxara@hotmail.com</t>
  </si>
  <si>
    <t>ΑΣΣΑΡΙΩΤΑΚΗ</t>
  </si>
  <si>
    <t>estelast@yahoo.gr</t>
  </si>
  <si>
    <t>2ο  ΝΗΠΙΑΓΩΓΕΙΟ ΒΟΥΤΩΝ</t>
  </si>
  <si>
    <t>mail@2nip-vouton.ira.sch.gr</t>
  </si>
  <si>
    <t>ΒΟΥΤΩΝ</t>
  </si>
  <si>
    <t>ΑΣΥΝΑΝΟΓΛΟΥ</t>
  </si>
  <si>
    <t>marasyn@gmail.com</t>
  </si>
  <si>
    <t>16ο ΟΛΟΗΜΕΡΟ ΔΗΜΟΤΙΚΟ ΣΧΟΛΕΙΟ ΗΡΑΚΛΕΙΟΥ</t>
  </si>
  <si>
    <t>mail@16dim-irakl.ira.sch.gr</t>
  </si>
  <si>
    <t>ΑΤΑΛΟΓΛΟΥ</t>
  </si>
  <si>
    <t>maria.attaloglou@gmail.com</t>
  </si>
  <si>
    <t>ΑΤΖΑΡΑΚΗ</t>
  </si>
  <si>
    <t>atzaraki@yahoo.gr</t>
  </si>
  <si>
    <t>ΑΤΣΑΛΗΣ</t>
  </si>
  <si>
    <t>ΑΥΓΕΝΑΚΗ</t>
  </si>
  <si>
    <t>ΔΟΞΑΝΙΑ</t>
  </si>
  <si>
    <t>ΑΥΓΕΡΗ</t>
  </si>
  <si>
    <t>fan64.eva67@gmail.com</t>
  </si>
  <si>
    <t>ΟΛΟΗΜΕΡΟ ΝΗΠΙΑΓΩΓΕΙΟ ΚΑΤΩ ΓΟΥΒΕΣ</t>
  </si>
  <si>
    <t>mail@nip-kat-gouvon.ira.sch.gr</t>
  </si>
  <si>
    <t>ΑΥΓΕΡΙΝΟΥ</t>
  </si>
  <si>
    <t>2ο ΝΗΠΙΑΓΩΓΕΙΟ ΝΕΑΣ ΑΛΙΚΑΡΝΑΣΣΟΥ</t>
  </si>
  <si>
    <t>mail@2nip-n-alikarn.ira.sch.gr</t>
  </si>
  <si>
    <t>ΑΥΓΗΤΑ</t>
  </si>
  <si>
    <t>49ο ΝΗΠΙΑΓΩΓΕΙΟ ΗΡΑΚΛΕΙΟΥ</t>
  </si>
  <si>
    <t>mail@49nip-irakl.ira.sch.gr</t>
  </si>
  <si>
    <t>ravgoust@yahoo.gr</t>
  </si>
  <si>
    <t>2ο ΟΛΟΗΜΕΡΟ ΔΗΜΟΤΙΚΟ ΣΧΟΛΕΙΟ ΒΟΥΤΩΝ</t>
  </si>
  <si>
    <t>mail@2dim-vouton.ira.sch.gr</t>
  </si>
  <si>
    <t>ΝΙΚΗΣ</t>
  </si>
  <si>
    <t>ΟΛΟΗΜΕΡΟ ΔΗΜΟΤΙΚΟ ΣΧΟΛΕΙΟ ΒΑΓΙΟΝΙΑΣ</t>
  </si>
  <si>
    <t>mail@dim-vagion.ira.sch.gr</t>
  </si>
  <si>
    <t>48ο ΝΗΠΙΑΓΩΓΕΙΟ ΗΡΑΚΛΕΙΟΥ</t>
  </si>
  <si>
    <t>mail@48nip-irakl.ira.sch.gr</t>
  </si>
  <si>
    <t>ΣΠΥΡ</t>
  </si>
  <si>
    <t>k_avgousti@yahoo.gr</t>
  </si>
  <si>
    <t>2ο ΝΗΠΙΑΓΩΓΕΙΟ ΛΙΜΕΝΟΣ ΧΕΡΣΟΝΗΣΟΥ</t>
  </si>
  <si>
    <t>mail@2nip-limen.ira.sch.gr</t>
  </si>
  <si>
    <t>maria.avgousti@yahoo.com</t>
  </si>
  <si>
    <t>ΝΗΠΙΑΓΩΓΕΙΟ ΧΕΡΣΟΝΗΣΟΥ</t>
  </si>
  <si>
    <t>mail@nip-chers.ira.sch.gr</t>
  </si>
  <si>
    <t>ΑΥΓΟΥΣΤΙΝΑΚΗ</t>
  </si>
  <si>
    <t>46ο ΔΗΜΟΤΙΚΟ ΣΧΟΛΕΙΟ ΗΡΑΚΛΕΙΟΥ</t>
  </si>
  <si>
    <t>mail@46dim-irakl.ira.sch.gr</t>
  </si>
  <si>
    <t>ΑΦΕΝΤΟΥΛΙΔΟΥ</t>
  </si>
  <si>
    <t>afent.pan@gmail.com</t>
  </si>
  <si>
    <t>ΒΑΒΒΑ</t>
  </si>
  <si>
    <t>aikvavavva@sch.gr</t>
  </si>
  <si>
    <t>249/31/8/0</t>
  </si>
  <si>
    <t>ΒΑΓΓΕ</t>
  </si>
  <si>
    <t>ΒΑΓΓΕΛΑ</t>
  </si>
  <si>
    <t>ΟΛΟΗΜΕΡΟ ΝΗΠΙΑΓΩΓΕΙΟ ΤΕΦΕΛΙΟΥ</t>
  </si>
  <si>
    <t>mail@nip-tefel.ira.sch.gr</t>
  </si>
  <si>
    <t>ΒΑΖΑΙΟΥ</t>
  </si>
  <si>
    <t>irenvaz@otenet.gr</t>
  </si>
  <si>
    <t>ΒΑΙΛΑΚΗΣ</t>
  </si>
  <si>
    <t>ΒΑΛΑΒΑΝΗ</t>
  </si>
  <si>
    <t>25ο ΔΗΜΟΤΙΚΟ ΣΧΟΛΕΙΟ ΗΡΑΚΛΕΙΟΥ</t>
  </si>
  <si>
    <t>mail@25dim-irakl.ira.sch.gr</t>
  </si>
  <si>
    <t>25ο ΝΗΠΙΑΓΩΓΕΙΟ ΗΡΑΚΛΕΙΟΥ</t>
  </si>
  <si>
    <t>mail@25nip-irakl.ira.sch.gr</t>
  </si>
  <si>
    <t>kvalergaki@gmail.com</t>
  </si>
  <si>
    <t>233/31-08-2006</t>
  </si>
  <si>
    <t>54ο ΝΗΠΙΑΓΩΓΕΙΟ ΗΡΑΚΛΕΙΟΥ</t>
  </si>
  <si>
    <t>mail@54nip-irakl.ira.sch.gr</t>
  </si>
  <si>
    <t>1ο ΟΛΟΗΜΕΡΟ ΔΗΜΟΤΙΚΟ ΣΧΟΛΕΙΟ ΑΓΙΑΣ ΜΑΡΙΝΑΣ-TEΜΠΟΝΕΡΑ</t>
  </si>
  <si>
    <t>mail@dim-ag-marin.ira.sch.gr</t>
  </si>
  <si>
    <t>ΒΑΛΙΩΤΗ</t>
  </si>
  <si>
    <t>ΒΑΛΤΖΑΚΗ</t>
  </si>
  <si>
    <t>maria_baltzi@yahoo.gr</t>
  </si>
  <si>
    <t>ΝΗΠΙΑΓΩΓΕΙΟ ΚΑΤΩ ΑΣΙΤΩΝ</t>
  </si>
  <si>
    <t>mail@nip-kat-asiton.ira.sch.gr</t>
  </si>
  <si>
    <t>ΔΗΜΟΤΙΚΟ ΣΧΟΛΕΙΟ ΠΥΡΓΟΥ ΑΣΤΕΡΟΥΣΙΩΝ</t>
  </si>
  <si>
    <t>mail@dim-pyrgou.ira.sch.gr</t>
  </si>
  <si>
    <t>ΒΑΜΒΑΚΑΣ</t>
  </si>
  <si>
    <t>ΒΑΜΒΟΥΝΑΚΗ</t>
  </si>
  <si>
    <t>31ο ΔΗΜΟΤΙΚΟ ΣΧΟΛΕΙΟ ΗΡΑΚΛΕΙΟΥ</t>
  </si>
  <si>
    <t>mail@31dim-irakl.ira.sch.gr</t>
  </si>
  <si>
    <t>vamporakik@gmail.com</t>
  </si>
  <si>
    <t>marvamporaki@gmail.com</t>
  </si>
  <si>
    <t>ΒΑΡΔΑΒΑΚΗ</t>
  </si>
  <si>
    <t>ΘΕΟΔΟΣΙΟ</t>
  </si>
  <si>
    <t>168/21-8-87</t>
  </si>
  <si>
    <t>xexe92@hotmail.com</t>
  </si>
  <si>
    <t>ΒΑΡΔΑΛΑΧΑΚΗ</t>
  </si>
  <si>
    <t>ΝΗΠΙΑΓΩΓΕΙΟ ΣΤΑΥΡΑΚΙΩΝ</t>
  </si>
  <si>
    <t>mail@nip-stavr.ira.sch.gr</t>
  </si>
  <si>
    <t>vardiampas@sch.gr</t>
  </si>
  <si>
    <t>30ο ΟΛΟΗΜΕΡΟ ΔΗΜΟΤΙΚΟ ΣΧΟΛΕΙΟ</t>
  </si>
  <si>
    <t>mail@30dim-irakl.ira.sch.gr</t>
  </si>
  <si>
    <t>t-vardiabasi@hotmail.com</t>
  </si>
  <si>
    <t>ΒΑΡΔΟΥΛΑΚΗ</t>
  </si>
  <si>
    <t>ΒΑΡΕΛΑΣ</t>
  </si>
  <si>
    <t>39ο ΔΗΜΟΤΙΚΟ ΣΧΟΛΕΙΟ ΗΡΑΚΛΕΙΟΥ</t>
  </si>
  <si>
    <t>mail@39dim-irakl.ira.sch.gr</t>
  </si>
  <si>
    <t>ΒΑΡΘΗΣ</t>
  </si>
  <si>
    <t>ΒΑΡΛΑΜΗ</t>
  </si>
  <si>
    <t>ΜΑΡΙΑ-ΠΑΥΛΙΝΑ</t>
  </si>
  <si>
    <t>PAULINAVARLAMI@YAHOO.COM</t>
  </si>
  <si>
    <t>ΟΛΟΗΜΕΡΟ ΝΗΠΙΑΓΩΓΕΙΟ ΣΟΚΑΡΑ</t>
  </si>
  <si>
    <t>mail@nip-sokar.ira.sch.gr</t>
  </si>
  <si>
    <t>ΒΑΡΟΥΧΑΚΗΣ</t>
  </si>
  <si>
    <t>ΒΑΣΙΑΚΟΥ</t>
  </si>
  <si>
    <t>katvasil56@gmail.com</t>
  </si>
  <si>
    <t>56ο ΟΛΟΗΜΕΡΟ ΔΗΜΟΤΙΚΟ ΣΧΟΛΕΙΟ ΗΡΑΚΛΕΙΟΥ</t>
  </si>
  <si>
    <t>mail@56dim-irakl.ira.sch.gr</t>
  </si>
  <si>
    <t>aspavasilaki1@gmail.com</t>
  </si>
  <si>
    <t>12ο ΟΛΟΗΜΕΡΟ ΝΗΠΙΑΓΩΓΕΙΟ ΗΡΑΚΛΕΙΟΥ</t>
  </si>
  <si>
    <t>mail@12nip-irakl.ira.sch.gr</t>
  </si>
  <si>
    <t>1ο 2/ΘΕΣΙΟ ΝΗΠΙΑΓΩΓΕΙΟ ΑΣΗΜΙΟΥ</t>
  </si>
  <si>
    <t>mail@nip-asimiou.ira.sch.gr</t>
  </si>
  <si>
    <t>mariavas12@hotmail.com</t>
  </si>
  <si>
    <t>ΔΗΜΟΤΙΚΟ ΣΧΟΛΕΙΟ ΒΕΝΕΡΑΤΟΥ</t>
  </si>
  <si>
    <t>mail@dim-vener.ira.sch.gr</t>
  </si>
  <si>
    <t>ΔΗΜΟΤΙΚΟ ΣΧΟΛΕΙΟ ΣΚΟΥΡΒΟΥΛΩΝ</t>
  </si>
  <si>
    <t>mail@dim-skourv.ira.sch.gr</t>
  </si>
  <si>
    <t>ΕΥΑΝΘ</t>
  </si>
  <si>
    <t>ΒΑΤΑΛΗ</t>
  </si>
  <si>
    <t>ΒΑΤΣΙΘΙΑΝΟΥ</t>
  </si>
  <si>
    <t>kallia.1983@live.com</t>
  </si>
  <si>
    <t>ΒΑΦΕΙΑΔΟΥ-ΤΣΟΛΑΚΙΔΟΥ</t>
  </si>
  <si>
    <t>ΣΤΑΥΡΙΑΝΗ</t>
  </si>
  <si>
    <t>ΒΕΙΣΑΚΗΣ</t>
  </si>
  <si>
    <t>avelegraki@gmail.com</t>
  </si>
  <si>
    <t>mail@dipe.ira.sch.gr</t>
  </si>
  <si>
    <t>velegreni@yahoo.gr</t>
  </si>
  <si>
    <t>50ο ΔΗΜΟΤΙΚΟ ΣΧΟΛΕΙΟ ΗΡΑΚΛΕΙΟΥ - ΤΑΛΩΣ</t>
  </si>
  <si>
    <t>mail@50dim-irakl.ira.sch.gr</t>
  </si>
  <si>
    <t>fotinivel@hotmail.gr</t>
  </si>
  <si>
    <t>ΒΕΛΕΓΡΑΚΗΣ</t>
  </si>
  <si>
    <t>ΟΛΟΗΜΕΡΟ ΔΗΜΟΤΙΚΟ ΣΧΟΛΕΙΟ ΡΟΔΙΑΣ</t>
  </si>
  <si>
    <t>mail@dim-rodias.ira.sch.gr</t>
  </si>
  <si>
    <t>ΡΟΔΙΑΣ</t>
  </si>
  <si>
    <t>ΒΕΛΙΒΑΣΑΚΗ</t>
  </si>
  <si>
    <t>3ο ΝΗΠΙΑΓΩΓΕΙΟ ΜΟΙΡΩΝ</t>
  </si>
  <si>
    <t>mail@3nip-moiron.ira.sch.gr</t>
  </si>
  <si>
    <t>ΒΕΛΙΣΣΑΡΗΣ</t>
  </si>
  <si>
    <t>ΔΗΜΟΤΙΚΟ ΣΧΟΛΕΙΟ ΖΑΡΟΥ</t>
  </si>
  <si>
    <t>mail@dim-zarou.ira.sch.gr</t>
  </si>
  <si>
    <t>ΒΕΝΕΡΗ</t>
  </si>
  <si>
    <t>irotel@yahoo.gr</t>
  </si>
  <si>
    <t>efiven@hotmail.com</t>
  </si>
  <si>
    <t>ΒΕΡΓΑΔΗ</t>
  </si>
  <si>
    <t>ΒΕΡΓΗ</t>
  </si>
  <si>
    <t>melinav387@gmail.com</t>
  </si>
  <si>
    <t>ΟΛΟΗΜΕΡΟ ΝΗΠΙΑΓΩΓΕΙΟ ΔΑΦΝΕΣ</t>
  </si>
  <si>
    <t>mail@nip-dafne.ira.sch.gr</t>
  </si>
  <si>
    <t>ΔΗΜΟΤΙΚΟ ΣΧΟΛΕΙΟ ΣΚΑΛΑΝΙΟΥ</t>
  </si>
  <si>
    <t>mail@dim-skalan.ira.sch.gr</t>
  </si>
  <si>
    <t>ΣΚΑΛΑΝΙΟΥ</t>
  </si>
  <si>
    <t>ΒΕΡΡΟΥ</t>
  </si>
  <si>
    <t>kverrou@yahoo.gr</t>
  </si>
  <si>
    <t>ΒΕΡΥΚΟΚΑΚΗ</t>
  </si>
  <si>
    <t>Νηπιαγωγείο Ευρωπαϊκής Παιδείας</t>
  </si>
  <si>
    <t>ΝΗΠΙΑΓΩΓΕΙΟ ΕΥΡΩΠΑΪΚΗΣ ΠΑΙΔΕΙΑΣ ΗΡΑΚΛΕΙΟ</t>
  </si>
  <si>
    <t>mail@nip-eur-edu.ira.sch.gr</t>
  </si>
  <si>
    <t>ΒΕΤΟΥΛΑΚΗ</t>
  </si>
  <si>
    <t>vetoulaki@hotmail.com</t>
  </si>
  <si>
    <t>evidaki8@gmail.com</t>
  </si>
  <si>
    <t>ΒΙΤΚΑ</t>
  </si>
  <si>
    <t>ΟΛΟΗΜΕΡΟ ΝΗΠΙΑΓΩΓΕΙΟ ΘΡΑΨΑΝΟΥ</t>
  </si>
  <si>
    <t>mail@nip-thraps.ira.sch.gr</t>
  </si>
  <si>
    <t>ΒΛΑΣΟΠΟΥΛΟΥ</t>
  </si>
  <si>
    <t>ΔΗΜΟΤΙΚΟ ΣΧΟΛΕΙΟ ΕΠΙΣΚΟΠΗΣ</t>
  </si>
  <si>
    <t>dimepiskira@sch.gr</t>
  </si>
  <si>
    <t>ΒΛΑΤΑ</t>
  </si>
  <si>
    <t>6/Θ ΔΗΜΟΤΙΚΟ ΣΧΟΛΕΙΟ ΤΥΛΙΣΟΥ</t>
  </si>
  <si>
    <t>mail@dim-tylis.ira.sch.gr</t>
  </si>
  <si>
    <t>ΒΛΑΤΤΑ</t>
  </si>
  <si>
    <t>161/03-09-90</t>
  </si>
  <si>
    <t>vlachakiang@yahoo.gr</t>
  </si>
  <si>
    <t>ΟΛΟΗΜΕΡΟ ΝΗΠΙΑΓΩΓΕΙΟ ΒΟΡΙΖΙΩΝ</t>
  </si>
  <si>
    <t>mail@nip-voriz.ira.sch.gr</t>
  </si>
  <si>
    <t>ΒΟΡΙΖΙΩΝ</t>
  </si>
  <si>
    <t>ΑΡΧΟΝΤΗΣ</t>
  </si>
  <si>
    <t>2ο  ΔΗΜΟΤΙΚΟ ΣΧΟΛΕΙΟ ΝΕΑΣ ΑΛΙΚΑΡΝΑΣΣΟΥ</t>
  </si>
  <si>
    <t>mail@2dim-n-alikarn.ira.sch.gr</t>
  </si>
  <si>
    <t>ΒΛΑΧΑΚΗΣ ΒΙΤΣΑΚΗΣ</t>
  </si>
  <si>
    <t>ΒΛΑΧΑΝΤΩΝΗ</t>
  </si>
  <si>
    <t>vlahantoni_poppy@windowslive.com</t>
  </si>
  <si>
    <t>7ο ΝΗΠΙΑΓΩΓΕΙΟ ΗΡΑΚΛΕΙΟΥ</t>
  </si>
  <si>
    <t>mail@7nip-irakl.ira.sch.gr</t>
  </si>
  <si>
    <t>elevog@yahoo.com</t>
  </si>
  <si>
    <t>ΕΙΔΙΚΟ ΔΗΜΟΤΙΚΟ ΣΧΟΛΕΙΟ ΠΟΜΠΙΑ-ΜΟΙΡΩΝ - ΕΙΔΙΚΟ ΔΗΜΟΤΙΚΟ ΣΧΟΛΕΙΟ</t>
  </si>
  <si>
    <t>mail@dim-eid-moiron.ira.sch.gr</t>
  </si>
  <si>
    <t>57ο ΟΛΟΗΜΕΡΟ ΔΗΜΟΤΙΚΟ ΣΧΟΛΕΙΟ ΗΡΑΚΛΕΙΟΥ</t>
  </si>
  <si>
    <t>mail@57dim-irakl.ira.sch.gr</t>
  </si>
  <si>
    <t>ΒΟΓΙΑΤΖΑΚΗΣ</t>
  </si>
  <si>
    <t>ΔΗΜΟΤΙΚΟ ΣΧΟΛΕΙΟ ΒΑΣΙΛΕΙΩΝ</t>
  </si>
  <si>
    <t>mail@dim-vasil.ira.sch.gr</t>
  </si>
  <si>
    <t>ΒΑΣΙΛΕΙΩΝ</t>
  </si>
  <si>
    <t>ΒΟΪΤΣΙΔΟΥ</t>
  </si>
  <si>
    <t>paraskevolos@gmail.com</t>
  </si>
  <si>
    <t>ΒΟΛΙΤΑΚΗΣ</t>
  </si>
  <si>
    <t>ΒΟΛΟΝΑΚΗΣ</t>
  </si>
  <si>
    <t>4/ΘΕΣΙΟ ΔΗΜΟΤΙΚΟ ΣΧΟΛΕΙΟ ΚΑΛΕΣΣΩΝ</t>
  </si>
  <si>
    <t>mail@dim-kales.ira.sch.gr</t>
  </si>
  <si>
    <t>ΚΑΛΕΣΙΩΝ</t>
  </si>
  <si>
    <t>ΒΟΛΥΡΑΚΗΣ</t>
  </si>
  <si>
    <t>37ο ΔΗΜΟΤΙΚΟ ΣΧΟΛΕΙΟ ΗΡΑΚΛΕΙΟΥ</t>
  </si>
  <si>
    <t>mail@37dim-irakl.ira.sch.gr</t>
  </si>
  <si>
    <t>ΒΟΡΑΔΑΚΗ</t>
  </si>
  <si>
    <t>mariavoradaki@hotmail.com</t>
  </si>
  <si>
    <t>ΒΟΥΓΙΟΥΚΛΑΚΗ</t>
  </si>
  <si>
    <t>maria_vougiouklaki@hotmail.co.uk</t>
  </si>
  <si>
    <t>ΒΟΥΙΔΑΣΚΗ</t>
  </si>
  <si>
    <t>17ο ΔΗΜΟΤΙΚΟ ΣΧΟΛΕΙΟ ΗΡΑΚΛΕΙΟΥ</t>
  </si>
  <si>
    <t>mail@17dim-irakl.ira.sch.gr</t>
  </si>
  <si>
    <t>ΒΟΥΙΔΑΣΚΗΣ</t>
  </si>
  <si>
    <t>ΚΑΛΛΕΡΓΟΣ</t>
  </si>
  <si>
    <t>ΒΟΥΜΒΟΥΛΑΚΗ</t>
  </si>
  <si>
    <t>ΝΗΠΙΑΓΩΓΕΙΟ ΑΡΒΗΣ</t>
  </si>
  <si>
    <t>mail@nip-arvis.ira.sch.gr</t>
  </si>
  <si>
    <t>ΒΟΥΡΑ</t>
  </si>
  <si>
    <t>chariklia84@gmail.com</t>
  </si>
  <si>
    <t>ΒΟΥΡΛΙΩΤΗ</t>
  </si>
  <si>
    <t>ΒΡΑΚΑ</t>
  </si>
  <si>
    <t>ΒΡΑΚΟΠΟΥΛΟΥ</t>
  </si>
  <si>
    <t>ΒΡΑΧΝΑΚΗ</t>
  </si>
  <si>
    <t>ivrachnaki@gmail.com</t>
  </si>
  <si>
    <t>ΦΕΡΕΝΙΚΗ</t>
  </si>
  <si>
    <t>ΒΡΙΝΤΣΕΑΝ</t>
  </si>
  <si>
    <t>927/Γ/06-10-2008</t>
  </si>
  <si>
    <t>ΒΡΥΖΑ</t>
  </si>
  <si>
    <t>ΒΡΥΝΑ</t>
  </si>
  <si>
    <t>vrina1984@hotmail.com</t>
  </si>
  <si>
    <t>ΒΡΥΝΑΣ</t>
  </si>
  <si>
    <t>vrynas@gmail.com</t>
  </si>
  <si>
    <t>ΒΡΥΩΝΗ</t>
  </si>
  <si>
    <t>ΛΥΔΙΑ-ΕΛΕΝΑ</t>
  </si>
  <si>
    <t>ΒΥΖΙΗΝΟΣ</t>
  </si>
  <si>
    <t>ΒΥΘΟΥΛΚΑ</t>
  </si>
  <si>
    <t>ΒΥΘΟΥΛΚΑΣ</t>
  </si>
  <si>
    <t>ΓΑΒΡΙΔΑΚΗ</t>
  </si>
  <si>
    <t>ΔΗΜΟΤΙΚΟ ΣΧΟΛΕΙΟ ΠΕΤΡΟΚΕΦΑΛΙΟΥ</t>
  </si>
  <si>
    <t>mail@dim-petrok.ira.sch.gr</t>
  </si>
  <si>
    <t>ΠΕΤΡΟΚΕΦΑΛΙΟΥ</t>
  </si>
  <si>
    <t>esp126@uom.edu.gr</t>
  </si>
  <si>
    <t>ΓΑΙΤΑΝΙΔΟΥ</t>
  </si>
  <si>
    <t>margait.g213@gmail.com</t>
  </si>
  <si>
    <t>ΓΑΛΑΖΟΥΛΑΣ</t>
  </si>
  <si>
    <t>1ο 2/θ ΟΛΟΗΜΕΡΟ ΝΗΠΙΑΓΩΓΕΙΟ Ν. ΑΛΙΚΑΡΝΑΣΣΟΥ</t>
  </si>
  <si>
    <t>mail@1nip-n-alikarn.ira.sch.gr</t>
  </si>
  <si>
    <t>165/02-09-1998</t>
  </si>
  <si>
    <t>ΠΛΟΥΣΙΑ</t>
  </si>
  <si>
    <t>igalanakis@gmail.com</t>
  </si>
  <si>
    <t>ΓΑΛΑΝΗ</t>
  </si>
  <si>
    <t>1ο ΕΙΔΙΚΟ ΔΗΜΟΤΙΚΟ ΣΧΟΛΕΙΟ ΗΡΑΚΛΕΙΟ</t>
  </si>
  <si>
    <t>mail@dim-eid-irakl.ira.sch.gr</t>
  </si>
  <si>
    <t>ΓΑΛΑΝΟΥ</t>
  </si>
  <si>
    <t>ΓΑΝΩΤΗΣ</t>
  </si>
  <si>
    <t>g7michael@yahoo.gr</t>
  </si>
  <si>
    <t>2ο ΔΗΜΟΤΙΚΟ ΣΧΟΛΕΙΟ ΜΟΙΡΩΝ</t>
  </si>
  <si>
    <t>mail@2dim-moiron.ira.sch.gr</t>
  </si>
  <si>
    <t>nanagarga@hotmail.com</t>
  </si>
  <si>
    <t>ΓΑΡΓΕΡΑΚΗ</t>
  </si>
  <si>
    <t>ΓΑΡΔΙΚΑ</t>
  </si>
  <si>
    <t>13ο ΝΗΠΙΑΓΩΓΕΙΟ ΗΡΑΚΛΕΙΟΥ</t>
  </si>
  <si>
    <t>mail@13nip-irakl.ira.sch.gr</t>
  </si>
  <si>
    <t>ΓΑΣΠΑΡΗ</t>
  </si>
  <si>
    <t>ΓΕΝΙΤΣΑΡΙΔΟΥ</t>
  </si>
  <si>
    <t>kalgenitsa@sch.gr</t>
  </si>
  <si>
    <t>inatos@gmail.com</t>
  </si>
  <si>
    <t>ΓΕΡΑΚΟΠΟΥΛΟΥ</t>
  </si>
  <si>
    <t>ΓΕΡΟΝΤΑΚΗ</t>
  </si>
  <si>
    <t>1ο 10/Θ ΔΗΜΟΤΙΚΟ ΣΧΟΛΕΙΟ ΜΑΛΙΩΝ - ΣΑΡΠΗΔΩΝ</t>
  </si>
  <si>
    <t>mail@dim-malion.ira.sch.gr</t>
  </si>
  <si>
    <t>ΓΕΡΩΝΥΜΑΚΗ</t>
  </si>
  <si>
    <t>ΧΑΡΙΣΤΗ</t>
  </si>
  <si>
    <t>elgeronimaki@gmail.com</t>
  </si>
  <si>
    <t>ΔΗΜΟΤΙΚΟ ΣΧΟΛΕΙΟ ΤΕΦΕΛΙΟΥ</t>
  </si>
  <si>
    <t>mail@dim-tefel.ira.sch.gr</t>
  </si>
  <si>
    <t>georgakaki@yahoo.gr</t>
  </si>
  <si>
    <t>ΓΕΩΡΓΙΑΔΗ</t>
  </si>
  <si>
    <t>1ο ΝΗΠΙΑΓΩΓΕΙΟ ΖΑΡΟΥ</t>
  </si>
  <si>
    <t>mail@1nip-zarou.ira.sch.gr</t>
  </si>
  <si>
    <t>ΕΙΡΗΝΗ-ΑΝΑΤΟΛΗ</t>
  </si>
  <si>
    <t>ΓΕΩΡΓΙΑΚΑΚΗΣ</t>
  </si>
  <si>
    <t>ΟΛΟΗΜΕΡΟ ΔΗΜΟΤΙΚΟ ΣΧΟΛΕΙΟ ΒΟΡΙΖΙΩΝ</t>
  </si>
  <si>
    <t>mail@dim-voriz.ira.sch.gr</t>
  </si>
  <si>
    <t>ΓΕΩΡΓΙΛΑΔΑΚΗ</t>
  </si>
  <si>
    <t>48ο ΔΗΜΟΤΙΚΟ ΣΧΟΛΕΙΟ ΗΡΑΚΛΕΙΟΥ</t>
  </si>
  <si>
    <t>mail@48dim-irakl.ira.sch.gr</t>
  </si>
  <si>
    <t>ΜΗΛΙΑ</t>
  </si>
  <si>
    <t>miliminis@gmail.com</t>
  </si>
  <si>
    <t>ΓΕΩΡΓΟΓΙΑΝΝΗ</t>
  </si>
  <si>
    <t>ΓΕΩΡΓΟΥΣΟΠΟΥΛΟΥ</t>
  </si>
  <si>
    <t>ΑΡΧΟΝΤΟΥΛΑ</t>
  </si>
  <si>
    <t>mgiakoyma@yahoo.com</t>
  </si>
  <si>
    <t>ΟΛΟΗΜΕΡΟ ΝΗΠΙΑΓΩΓΕΙΟ ΧΟΥΔΕΤΣΙΟΥ</t>
  </si>
  <si>
    <t>mail@nip-choud.ira.sch.gr</t>
  </si>
  <si>
    <t>ΓΙΑΚΟΥΜΗΣ</t>
  </si>
  <si>
    <t>ΓΙΑΛΙΤΑΚΗΣ</t>
  </si>
  <si>
    <t>ΑΡΧΟΝΤΙΑ</t>
  </si>
  <si>
    <t>ΓΙΑΛΟΥΡΗ</t>
  </si>
  <si>
    <t>mgialouri@yahoo.gr</t>
  </si>
  <si>
    <t>ΓΙΑΜΑΛΑΚΗΣ</t>
  </si>
  <si>
    <t>ggiamal@sch.gr</t>
  </si>
  <si>
    <t>ΟΛΟΗΜΕΡΟ ΔΗΜΟΤΙΚΟ ΣΧΟΛΕΙΟ ΑΓΙΩΝ ΔΕΚΑ</t>
  </si>
  <si>
    <t>mail@dim-ag-deka.ira.sch.gr</t>
  </si>
  <si>
    <t>charoulaki@sch.gr</t>
  </si>
  <si>
    <t>28ο ΟΛΟΗΜΕΡΟ ΔΗΜΟΤΙΚΟ ΣΧΟΛΕΙΟ ΗΡΑΚΛΕΙΟΥ</t>
  </si>
  <si>
    <t>mail@28dim-irakl.ira.sch.gr</t>
  </si>
  <si>
    <t>ΓΙΑΝΝΑΚΑΚΗ</t>
  </si>
  <si>
    <t>ΧΡΙΣΤΟΝΥΜΦΗ</t>
  </si>
  <si>
    <t>frgiannak@sch.gr</t>
  </si>
  <si>
    <t>ΓΙΑΝΝΑΚΙΔΗΣ</t>
  </si>
  <si>
    <t>yannakoothakie@freemail.gr</t>
  </si>
  <si>
    <t>231/31-8-2004</t>
  </si>
  <si>
    <t>ΓΙΑΝΝΕΛΟΣ</t>
  </si>
  <si>
    <t>ΓΙΑΝΝΙΩΤΗ</t>
  </si>
  <si>
    <t>vasogiannioti@yahhoo.gr</t>
  </si>
  <si>
    <t>217/1-9-05</t>
  </si>
  <si>
    <t>ΓΙΑΟΥΡΤΑ</t>
  </si>
  <si>
    <t>ΓΙΑΣΑΦΑΚΗ</t>
  </si>
  <si>
    <t>ΧΑΡΙΤΩΜΕΝΗ-ΑΘΗΝΑ</t>
  </si>
  <si>
    <t>ΓΙΟΒΑ</t>
  </si>
  <si>
    <t>ΓΙΟΚΚΑ</t>
  </si>
  <si>
    <t>ΧΡΥΣΤΑΛΛΑ</t>
  </si>
  <si>
    <t>ΔΗΜΟΤΙΚΟ ΣΧΟΛΕΙΟ ΓΕΡΓΕΡΗΣ</t>
  </si>
  <si>
    <t>mail@dim-gerger.ira.sch.gr</t>
  </si>
  <si>
    <t>ΓΙΟΥΛΑΚΗ</t>
  </si>
  <si>
    <t>ΓΙΟΥΣΗΣ</t>
  </si>
  <si>
    <t>ΘΕΟΔΟ</t>
  </si>
  <si>
    <t>ΓΙΡΒΑΛΑΚΗ</t>
  </si>
  <si>
    <t>ΠΟΛΥΝΙΚΗ</t>
  </si>
  <si>
    <t>ΓΙΩΤΗΣ</t>
  </si>
  <si>
    <t>ΓΚΑΓΚΑΝΙΑΡΑ</t>
  </si>
  <si>
    <t>ΓΕΡΑΚΙΝΑ</t>
  </si>
  <si>
    <t>3ο ΕΙΔΙΚΟ ΔΗΜΟΤΙΚΟ ΣΧΟΛΕΙΟ ΗΡΑΚΛΕΙΟΥ</t>
  </si>
  <si>
    <t>3dimeidira@sch.gr</t>
  </si>
  <si>
    <t>ΓΚΑΓΚΟΥΣΗ</t>
  </si>
  <si>
    <t>ΓΚΑΛΙΤΣΙΟΣ</t>
  </si>
  <si>
    <t>ΓΚΑΡΑΓΚΟΥΝΗ</t>
  </si>
  <si>
    <t>ΓΚΙΚΑΣ</t>
  </si>
  <si>
    <t>ΓΚΑΡΝΕΤΙΔΟΥ</t>
  </si>
  <si>
    <t>ΚΑΡΑΦΥΛΙΑ</t>
  </si>
  <si>
    <t>ΓΚΑΤΖΙΟΥ</t>
  </si>
  <si>
    <t>ΑΛΕΞΙΟΣ</t>
  </si>
  <si>
    <t>ΓΚΕΣΟΥ</t>
  </si>
  <si>
    <t>ΜΑΝΩΛΗΣ</t>
  </si>
  <si>
    <t>ΠΕΤΡΟΥΛ</t>
  </si>
  <si>
    <t>kgkesou@gmail.com</t>
  </si>
  <si>
    <t>ΓΚΙΖΑ</t>
  </si>
  <si>
    <t>ΓΚΙΚΑ</t>
  </si>
  <si>
    <t>ΜΑΡΙΑ-ΠΑΡΑΣΚΕΥΗ</t>
  </si>
  <si>
    <t>ΓΚΙΜΠΙΡΙΤΗ</t>
  </si>
  <si>
    <t>auaki.85@hotmail.com</t>
  </si>
  <si>
    <t>ΓΚΛΑΒΑΚΗ</t>
  </si>
  <si>
    <t>ΧΑΡΙΣΙΑ</t>
  </si>
  <si>
    <t>ΓΚΛΕΖΑΚΟΥ</t>
  </si>
  <si>
    <t>ΓΚΛΙΟΓΚΟΥ</t>
  </si>
  <si>
    <t>ΝΗΠΙΑΓΩΓΕΙΟ ΑΓΙΩΝ ΔΕΚΑ</t>
  </si>
  <si>
    <t>mail@nip-ag-deka.ira.sch.gr</t>
  </si>
  <si>
    <t>ΓΚΟΒΡΙΚΟΥ</t>
  </si>
  <si>
    <t>ΔΗΜΟΤΙΚΟ ΣΧΟΛΕΙΟ ΕΛΙΑΣ</t>
  </si>
  <si>
    <t>mail@dim-elaias.ira.sch.gr</t>
  </si>
  <si>
    <t>ΕΛΑΙΑΣ</t>
  </si>
  <si>
    <t>ΓΚΟΓΚΟΡΩΣΗ</t>
  </si>
  <si>
    <t>olypmiagogorosi@yahoo.com</t>
  </si>
  <si>
    <t>ΓΚΟΓΚΟΥ</t>
  </si>
  <si>
    <t>katerinagog@hotmail.com</t>
  </si>
  <si>
    <t>ΓΚΟΣΙΤΖΙΔΟΥ</t>
  </si>
  <si>
    <t>ΓΚΟΥΒΕΡΗ</t>
  </si>
  <si>
    <t>ΓΚΟΥΒΕΡΟΥ</t>
  </si>
  <si>
    <t>ΓΚΟΥΓΚΑΡΑ</t>
  </si>
  <si>
    <t>ΓΚΟΥΓΚΟΥΛΙΑΝΑ</t>
  </si>
  <si>
    <t>stellagougouliana@gmail.com</t>
  </si>
  <si>
    <t>ΓΚΟΥΓΚΟΥΤΣΗΣ</t>
  </si>
  <si>
    <t>ΧΡΙΣΤΟΔΟΥΛΗ</t>
  </si>
  <si>
    <t>ΓΚΟΥΝΑ</t>
  </si>
  <si>
    <t>ΓΚΟΥΝΤΑΡΑ</t>
  </si>
  <si>
    <t>ΓΚΟΥΤΖΑΜΑΝΗ</t>
  </si>
  <si>
    <t>ΓΚΟΥΤΖΙΑΜΑΝΗ</t>
  </si>
  <si>
    <t>ΓΚΟΥΤΖΙΟΜΗΤΡΟΣ</t>
  </si>
  <si>
    <t>agkoutziomitros@gmail.com</t>
  </si>
  <si>
    <t>ΓΚΡΟΖΟΥΔΗ</t>
  </si>
  <si>
    <t>ΠΩΛΙΝΑ</t>
  </si>
  <si>
    <t>grozpolina@gmail.com</t>
  </si>
  <si>
    <t>ΓΛΟΥΦΤΣΗΣ</t>
  </si>
  <si>
    <t>54ο ΟΛΟΗΜΕΡΟ ΔΗΜΟΤΙΚΟ ΣΧΟΛΕΙΟ ΗΡΑΚΛΕΙΟΥ</t>
  </si>
  <si>
    <t>mail@54dim-irakl.ira.sch.gr</t>
  </si>
  <si>
    <t>ΓΛΥΚΟΦΡΥΔΗ</t>
  </si>
  <si>
    <t>ΔΑΦΝΗ-ΠΑΝΑΓΙΩΤΑ</t>
  </si>
  <si>
    <t>ΓΟΡΑΝΤΩΝΑΚΗΣ</t>
  </si>
  <si>
    <t>johngor26@hotmail.com</t>
  </si>
  <si>
    <t>ΓΟΥΛΑ</t>
  </si>
  <si>
    <t>evaggeliagoula@gmail.com</t>
  </si>
  <si>
    <t>ΓΟΥΛΙΔΑΚΗ</t>
  </si>
  <si>
    <t>ΓΟΥΛΙΕΛΜΑΚΗ</t>
  </si>
  <si>
    <t>165/23-08-96</t>
  </si>
  <si>
    <t>ΓΟΥΡΓΙΩΤΗ</t>
  </si>
  <si>
    <t>2/Θ ΝΗΠΙΑΓΩΓΕΙΟ ΓΟΥΡΝΩΝ</t>
  </si>
  <si>
    <t>mail@nip-gourn.ira.sch.gr</t>
  </si>
  <si>
    <t>ΓΟΥΡΓΟΥΛΑ</t>
  </si>
  <si>
    <t>ΔΗΜΟΤΙΚΟ ΣΧΟΛΕΙΟ ΓΚΑΓΚΑΛΩΝ</t>
  </si>
  <si>
    <t>mail@dim-gkagk.ira.sch.gr</t>
  </si>
  <si>
    <t>ΓΚΑΓΚΑΛΩΝ</t>
  </si>
  <si>
    <t>ΑΝΔΡΟΜΑ</t>
  </si>
  <si>
    <t>ΓΡΑΒΟΣ</t>
  </si>
  <si>
    <t>glefterhs@gmail.com</t>
  </si>
  <si>
    <t>ΓΡΑΜΜΑΤΟΣΗ</t>
  </si>
  <si>
    <t>ΓΡΑΤΣΙΑ ΟΡΦΑΝΟΥ</t>
  </si>
  <si>
    <t>ΓΡΗΓΟΡΑΚΑΚΗ</t>
  </si>
  <si>
    <t>grigorakisgeo@gmail.com</t>
  </si>
  <si>
    <t>grigor2@hotmail.com</t>
  </si>
  <si>
    <t>ΓΡΗΓΟΡΟΠΟΥΛΟΥ</t>
  </si>
  <si>
    <t>ΓΡΙΒΑΚΗΣ</t>
  </si>
  <si>
    <t>ΠΕ28</t>
  </si>
  <si>
    <t>ΦΥΣΙΟΘΕΡΑΠΕΥΤΕΣ</t>
  </si>
  <si>
    <t>163 ΤΟΜΟΣ Γ</t>
  </si>
  <si>
    <t>ΓΡΙΣΠΟΥ</t>
  </si>
  <si>
    <t>ΔΗΜΟΤΙΚΟ ΣΧΟΛΕΙΟ ΦΟΔΕΛΕ</t>
  </si>
  <si>
    <t>mail@dim-fodel.ira.sch.gr</t>
  </si>
  <si>
    <t>ΦΟΔΕΛΕ</t>
  </si>
  <si>
    <t>ΓΡΥΛΛΟΥ</t>
  </si>
  <si>
    <t>ΓΡΥΣΜΠΟΛΑΚΗΣ</t>
  </si>
  <si>
    <t>mgyparaki@gmail.com</t>
  </si>
  <si>
    <t>ΓΩΓΟΥ</t>
  </si>
  <si>
    <t>ΔΑΒΑΚΗΣ</t>
  </si>
  <si>
    <t>ΔΑΒΙΛΟΥΔΗ</t>
  </si>
  <si>
    <t>2ο ΝΗΠΙΑΓΩΓΕΙΟ ΓΑΖΙΟΥ</t>
  </si>
  <si>
    <t>mail@2nip-gaziou.ira.sch.gr</t>
  </si>
  <si>
    <t>ΔΑΓΚΟΥΛΗ</t>
  </si>
  <si>
    <t>ΒΑΣΙΛΙΚΗ-ΑΝΘΟΥΛΑ</t>
  </si>
  <si>
    <t>ΕΙΔΙΚΟ ΔΗΜΟΤΙΚΟ ΣΧΟΛΕΙΟ ΑΡΚΑΛΟΧΩΡΙΟΥ</t>
  </si>
  <si>
    <t>mail@dim-eid-arkal.ira.sch.gr</t>
  </si>
  <si>
    <t>ΔΑΓΚΩΝΑΚΗ</t>
  </si>
  <si>
    <t>dagkonaki@sch.gr</t>
  </si>
  <si>
    <t>50ο ΟΛΟΗΜΕΡΟ ΝΗΠΙΑΓΩΓΕΙΟ ΗΡΑΚΛΕΙΟΥ</t>
  </si>
  <si>
    <t>mail@50nip-irakl.ira.sch.gr</t>
  </si>
  <si>
    <t xml:space="preserve">ΔΑΚΑΝΑΛΗ </t>
  </si>
  <si>
    <t>ΝΗΠΙΑΓΩΓΕΙΟ ΑΓΙΟΥ ΜΥΡΩΝΑ</t>
  </si>
  <si>
    <t>mail@nip-ag-myron.ira.sch.gr</t>
  </si>
  <si>
    <t>nasosdamian@hotmail.com</t>
  </si>
  <si>
    <t>vas-dam-family@hotmail.com</t>
  </si>
  <si>
    <t>ΔΑΝΔΟΥΛΑΚΗΣ</t>
  </si>
  <si>
    <t>idandolo@gmail.com</t>
  </si>
  <si>
    <t>ΔΑΝΙΗΛΙΔΗΣ</t>
  </si>
  <si>
    <t>ΔΑΟΥΤΗ</t>
  </si>
  <si>
    <t>ΔΑΣΕΝΑΚΗ</t>
  </si>
  <si>
    <t>emdasen@gmail.com</t>
  </si>
  <si>
    <t>katerinadaskala2015@gmail.com</t>
  </si>
  <si>
    <t>231/31-08-2004</t>
  </si>
  <si>
    <t>arist_dask@hotmail.gr</t>
  </si>
  <si>
    <t>ΝΗΠΙΑΓΩΓΕΙΟ ΜΕΤΑΞΟΧΩΡΙΟΥ</t>
  </si>
  <si>
    <t>mail@nip-metax.ira.sch.gr</t>
  </si>
  <si>
    <t>vagdask@hotmail.gr</t>
  </si>
  <si>
    <t>eyadaskalaki@yahoo.gr</t>
  </si>
  <si>
    <t>1ο ΝΗΠΙΑΓΩΓΕΙΟ ΜΟΙΡΩΝ</t>
  </si>
  <si>
    <t>mail@1nip-moiron.ira.sch.gr</t>
  </si>
  <si>
    <t>2ο ΔΗΜΟΤΙΚΟ ΣΧΟΛΕΙΟ ΤΥΜΠΑΚΙΟΥ</t>
  </si>
  <si>
    <t>mail@2dim-tympak.ira.sch.gr</t>
  </si>
  <si>
    <t>ΟΛΟΗΜΕΡΟ ΝΗΠΙΑΓΩΓΕΙΟ ΒΑΣΙΛΕΙΩΝ ΗΡΑΚΛΕΙΟΥ</t>
  </si>
  <si>
    <t>mail@nip-vasil.ira.sch.gr</t>
  </si>
  <si>
    <t>maraki-14@windowslive.com</t>
  </si>
  <si>
    <t>ΔΑΣΚΑΛΟΠΟΥΛΟΥ</t>
  </si>
  <si>
    <t>ΔΑΣΤΑΜΑΝΗ</t>
  </si>
  <si>
    <t>ΔΗΜΟΤΙΚΟ ΣΧΟΛΕΙΟ ΑΝΤΙΣΚΑΡΙΟΥ</t>
  </si>
  <si>
    <t>mail@dim-antisk.ira.sch.gr</t>
  </si>
  <si>
    <t>ΔΑΦΕΡΜΟΣ</t>
  </si>
  <si>
    <t>hdafermos@gmail.com</t>
  </si>
  <si>
    <t>ΔΑΦΕΡΜΟΥ</t>
  </si>
  <si>
    <t>madafnommili@gmail.com</t>
  </si>
  <si>
    <t>ΔΑΦΝΟΥ</t>
  </si>
  <si>
    <t>nikoldafnou@yahoo.gr</t>
  </si>
  <si>
    <t>ΔΕΒΡΑΣ-ΠΑΠΑΚΩΝΣΤΑΝΤΙΝΟΥ</t>
  </si>
  <si>
    <t>ΔΕΛΑΠΟΡΤΑ</t>
  </si>
  <si>
    <t>ΚΛΕΙΑΡΕΤΑ</t>
  </si>
  <si>
    <t>delapom@yahoo.gr</t>
  </si>
  <si>
    <t>ΔΕΛΗΔΙΑΜΑΝΤΗ</t>
  </si>
  <si>
    <t>ΒΑΓΙΑ</t>
  </si>
  <si>
    <t>ΔΕΛΛΙΟΥ</t>
  </si>
  <si>
    <t>ΔΕΜΙΡΗ</t>
  </si>
  <si>
    <t>ΝΗΠΙΑΓΩΓΕΙΟ ΓΑΛΙΑΣ</t>
  </si>
  <si>
    <t>mail@nip-galias.ira.sch.gr</t>
  </si>
  <si>
    <t>ΔΕΡΕΜΠΕΗ</t>
  </si>
  <si>
    <t>ΟΛΟΗΜΕΡΟ ΝΗΠΙΑΓΩΓΕΙΟ ΚΑΣΤΕΛΙΟΥ</t>
  </si>
  <si>
    <t>mail@nip-kastel.ira.sch.gr</t>
  </si>
  <si>
    <t>ΔΕΡΙΖΙΩΤΗ</t>
  </si>
  <si>
    <t>ΣΤΥΛΙΑΝΗ-ΣΤΑ</t>
  </si>
  <si>
    <t>dermitkate@yahoo.gr</t>
  </si>
  <si>
    <t>ΑΙΚΤΕΡΙΝΗ</t>
  </si>
  <si>
    <t>ΑΡΙΣΤΟΤΕ</t>
  </si>
  <si>
    <t>ΔΗΜΟΤΙΚΟ ΣΧΟΛΕΙΟ ΜΥΡΤΙΑΣ</t>
  </si>
  <si>
    <t>mail@dim-myrteas.ira.sch.gr</t>
  </si>
  <si>
    <t>ΜΥΡΤΙΑΣ</t>
  </si>
  <si>
    <t>ΔΕΡΝΕΚΤΣΗ</t>
  </si>
  <si>
    <t>ΔΕΡΠΟΥΛΗ</t>
  </si>
  <si>
    <t>ΔΕΣΠΟΤΑΚΗ</t>
  </si>
  <si>
    <t>2/Θ ΝΗΠΙΑΓΩΓΕΙΟ ΕΠΙΣΚΟΠΗΣ ΗΡΑΚΛΕΙΟΥ</t>
  </si>
  <si>
    <t>mail@nip-episkop.ira.sch.gr</t>
  </si>
  <si>
    <t>51ο ΟΛΟΗΜΕΡΟ ΝΗΠΙΑΓΩΓΕΙΟ ΗΡΑΚΛΕΙΟΥ</t>
  </si>
  <si>
    <t>mail@51nip-irakl.ira.sch.gr</t>
  </si>
  <si>
    <t>ΔΗΜΑΡΑΣ</t>
  </si>
  <si>
    <t>ΣΕΡΑΦΕΙΜ-ΑΘΑΝΑΣΙΟΣ</t>
  </si>
  <si>
    <t>ΙΟΥΛΙΑΝΗ</t>
  </si>
  <si>
    <t>seraphimdimaras@hotmail.com</t>
  </si>
  <si>
    <t>772/ΤΓ</t>
  </si>
  <si>
    <t>ΔΗΜΑΤΑΚΗ</t>
  </si>
  <si>
    <t>ΔΗΜΟΥ ΛΟΥΛΟΥΔΗ</t>
  </si>
  <si>
    <t>ΧΡΥΣΟΣΤΟ</t>
  </si>
  <si>
    <t>8ο ΟΛΟΗΜΕΡΟ ΝΗΠΙΑΓΩΓΕΙΟ ΗΡΑΚΛΕΙΟΥ</t>
  </si>
  <si>
    <t>mail@8nip-irakl.ira.sch.gr</t>
  </si>
  <si>
    <t>ΔΙΑΒΑΔΙΑΝΑΚΗ</t>
  </si>
  <si>
    <t>KrevvataS1@gmail.com</t>
  </si>
  <si>
    <t>ΔΙΑΚΑΤΟΥ</t>
  </si>
  <si>
    <t>ΔΙΑΚΟΣ</t>
  </si>
  <si>
    <t>peridiakos@gmail.com</t>
  </si>
  <si>
    <t>ΔΙΑΛΕΚΤΑΚΗ</t>
  </si>
  <si>
    <t>207/2-9-2003</t>
  </si>
  <si>
    <t>8ο ΝΗΠΙΑΓΩΓΕΙΟ ΑΛΙΚΑΡΝΑΣΣΟΥ</t>
  </si>
  <si>
    <t>mail@8nip-n-alikarn.ira.sch.gr</t>
  </si>
  <si>
    <t>ΔΙΑΛΥΝΑ-ΣΑΙΤΑΚΗ</t>
  </si>
  <si>
    <t>4ο ΝΗΠΙΑΓΩΓΕΙΟ ΗΡΑΚΛΕΙΟΥ</t>
  </si>
  <si>
    <t>mail@4nip-irakl.ira.sch.gr</t>
  </si>
  <si>
    <t>16ο ΝΗΠΙΑΓΩΓΕΙΟ ΗΡΑΚΛΕΙΟΥ</t>
  </si>
  <si>
    <t>mail@16nip-irakl.ira.sch.gr</t>
  </si>
  <si>
    <t>ΝΗΠΙΑΓΩΓΕΙΟ ΑΓΙΑ ΠΕΛΑΓΙΑ</t>
  </si>
  <si>
    <t>mail@nip-achlad.ira.sch.gr</t>
  </si>
  <si>
    <t>diamand.niki@gmail.com</t>
  </si>
  <si>
    <t>diamantakism@sch.gr</t>
  </si>
  <si>
    <t>3ο ΝΗΠΙΑΓΩΓΕΙΟ ΗΡΑΚΛΕΙΟΥ</t>
  </si>
  <si>
    <t>mail@3nip-irakl.ira.sch.gr</t>
  </si>
  <si>
    <t>diamantieugenia5@gmail.com</t>
  </si>
  <si>
    <t>ΔΙΑΜΑΝΤΗΣ</t>
  </si>
  <si>
    <t>ΔΙΑΜΑΝΤΟΥΛΗ</t>
  </si>
  <si>
    <t>ΔΙΛΙΝΤΑΣ</t>
  </si>
  <si>
    <t>lenado178@yahoo.gr</t>
  </si>
  <si>
    <t>ΔΟΛΑΨΑΚΗ</t>
  </si>
  <si>
    <t>dolas4@hotmail.com</t>
  </si>
  <si>
    <t>ΧΡΥΣΗ-ΑΝΝΑ</t>
  </si>
  <si>
    <t>ΔΟΡΙΑΚΗ</t>
  </si>
  <si>
    <t>ΔΟΣΗ</t>
  </si>
  <si>
    <t>ΒΗΣΣΑΡΙΩΝ</t>
  </si>
  <si>
    <t>vasiliki.dosi@gmail.com</t>
  </si>
  <si>
    <t>ΔΟΥΚΙΑΝΤΖΑΚΗ</t>
  </si>
  <si>
    <t>ΟΥΡΑΝΙΑ-ΜΑΡΙ</t>
  </si>
  <si>
    <t>ΚΡΗΤΗ-ΕΛΕΝΑ</t>
  </si>
  <si>
    <t>ΔΟΥΚΟΥΜΕΤΖΑΚΗ</t>
  </si>
  <si>
    <t>ΔΗΜΟΤΙΚΟ ΣΧΟΛΕΙΟ ΑΓΙΩΝ ΠΑΡΑΣΚΙΩΝ</t>
  </si>
  <si>
    <t>dimapar@sch.gr</t>
  </si>
  <si>
    <t>ΑΓΙΩΝ ΠΑΡΑΣΚΙΩΝ</t>
  </si>
  <si>
    <t>ΔΟΥΚΟΥΜΕΤΖΑΚΗΣ</t>
  </si>
  <si>
    <t>2ο ΝΗΠΙΑΓΩΓΕΙΟ ΤΥΜΠΑΚΙΟΥ</t>
  </si>
  <si>
    <t>mail@2nip-tympak.ira.sch.gr</t>
  </si>
  <si>
    <t>ΔΗΜΗΤΡΑΣ</t>
  </si>
  <si>
    <t>mail@nip-an-viann.ira.sch.gr</t>
  </si>
  <si>
    <t>1ο ΟΛΟΗΜΕΡΟ ΝΗΠΙΑΓΩΓΕΙΟ ΑΝΩ ΒΙΑΝΝΟΣ</t>
  </si>
  <si>
    <t>ΔΟΥΛΦΗ</t>
  </si>
  <si>
    <t>ΝΗΠΙΑΓΩΓΕΙΟ ΜΕΓΑΛΗΣ ΒΡΥΣΗΣ ΗΡΑΚΛΕΙΟΥ</t>
  </si>
  <si>
    <t>mail@nip-meg-vrysis.ira.sch.gr</t>
  </si>
  <si>
    <t>ΔΡΑΙΝΑΚΗΣ</t>
  </si>
  <si>
    <t>74ο ΝΗΠΙΑΓΩΓΕΙΟ ΗΡΑΚΛΕΙΟΥ ΚΡΗΤΗΣ</t>
  </si>
  <si>
    <t>mail@74nip-irakl.ira.sch.gr</t>
  </si>
  <si>
    <t>ΚΡΙΤΙΔΗΣ</t>
  </si>
  <si>
    <t>giannisdrakakis@gmail.com</t>
  </si>
  <si>
    <t>ΔΡΑΚΟΥΛΑΚΗ</t>
  </si>
  <si>
    <t>ΔΡΑΚΟΥΛΑΚΗΣ</t>
  </si>
  <si>
    <t>ΔΡΑΜΙΤΙΝΟΥ</t>
  </si>
  <si>
    <t>maria_dram@yahoo.gr</t>
  </si>
  <si>
    <t>ΔΡΑΜΟΥΝΤΑΝΗ</t>
  </si>
  <si>
    <t>alexia_dram@hotmail.com</t>
  </si>
  <si>
    <t>asimeniadram@gmail.com</t>
  </si>
  <si>
    <t>8ο ΟΛΟΗΜΕΡΟ ΔΗΜΟΤΙΚΟ ΣΧΟΛΕΙΟ ΗΡΑΚΛΕΙΟΥ</t>
  </si>
  <si>
    <t>mail@8dim-irakl.ira.sch.gr</t>
  </si>
  <si>
    <t>ΔΡΑΜΠΑΖΗ</t>
  </si>
  <si>
    <t>sdrampazi@gmail.com</t>
  </si>
  <si>
    <t>71ο ΝΗΠΙΑΓΩΓΕΙΟ ΗΡΑΚΛΕΙΟΥ</t>
  </si>
  <si>
    <t>mail@71nip-irakl.ira.sch.gr</t>
  </si>
  <si>
    <t>ΔΡΟΜΠΙΛΑ</t>
  </si>
  <si>
    <t>ΕΛΛΗ-ΜΑΡΙΑ</t>
  </si>
  <si>
    <t>mariagidrs@gmail.com</t>
  </si>
  <si>
    <t>ΔΡΟΥΓΚΑ</t>
  </si>
  <si>
    <t>2/Θ ΝΗΠΙΑΓΩΓΕΙΟ ΒΩΡΩΝ</t>
  </si>
  <si>
    <t>mail@nip-voron.ira.sch.gr</t>
  </si>
  <si>
    <t>ΔΥΡΑΚΗ</t>
  </si>
  <si>
    <t>ΕΖΑΝΙΔΟΥ</t>
  </si>
  <si>
    <t>ΣΤΑΥΡΙΝΗ</t>
  </si>
  <si>
    <t>ezanidougiota@gmail.com</t>
  </si>
  <si>
    <t>ΕΛΛΗΝΙΚΑΚΗ</t>
  </si>
  <si>
    <t>ΑΣΗΜΟΥΛΑ</t>
  </si>
  <si>
    <t>soula.e@hotmail.com</t>
  </si>
  <si>
    <t>ΕΜΜΑΝΟΥΗΛΙΔΗΣ</t>
  </si>
  <si>
    <t>thanasis_katerina@hotmail.com</t>
  </si>
  <si>
    <t>dimitraep@yahoo.gr</t>
  </si>
  <si>
    <t>32ο Νηπιαγωγείο Ηρακλείου</t>
  </si>
  <si>
    <t>mail@32nip-irakl.ira.sch.gr</t>
  </si>
  <si>
    <t>ΖΑΦΕΙΡΑ</t>
  </si>
  <si>
    <t>ΔΗΜΟΤΙΚΟ ΣΧΟΛΕΙΟ ΑΓΙΟΥ ΘΩΜΑ</t>
  </si>
  <si>
    <t>mail@dim-ag-thoma.ira.sch.gr</t>
  </si>
  <si>
    <t>stellaepi@gmail.com</t>
  </si>
  <si>
    <t>magda.ep@gmail.com</t>
  </si>
  <si>
    <t>ΕΠΤΑΜΗΝΙΤΗ</t>
  </si>
  <si>
    <t>konstantinaeva@hotmail.com</t>
  </si>
  <si>
    <t>stellamarkevag@gmail.com</t>
  </si>
  <si>
    <t>ΕΥΘΥΜΙΑΔΟΥ</t>
  </si>
  <si>
    <t>ΟΣΙΑ-ΧΡΙΣΤΙΝΑ</t>
  </si>
  <si>
    <t>ΕΥΦΡΑΙΜΙΔΟΥ</t>
  </si>
  <si>
    <t>ΣΒΕΤΛΑΝΑ</t>
  </si>
  <si>
    <t>ΖΑΒΡΑ</t>
  </si>
  <si>
    <t>ΖΑΓΙΑΝΝΑΚΗ</t>
  </si>
  <si>
    <t>rzagiannak@sch.gr</t>
  </si>
  <si>
    <t>ΖΑΓΙΑΝΝΑΚΗΣ</t>
  </si>
  <si>
    <t>ΖΑΙΜΑΚΗΣ</t>
  </si>
  <si>
    <t>dzaimakis@sch.gr</t>
  </si>
  <si>
    <t>ΘΕΟΦ</t>
  </si>
  <si>
    <t>ΖΑΜΠΕΤΑΚΗ</t>
  </si>
  <si>
    <t>ΖΑΜΠΟΥΛΑΚΗ</t>
  </si>
  <si>
    <t>eirzamp@gmail.com</t>
  </si>
  <si>
    <t>ΖΑΜΠΟΥΛΑΚΗΣ</t>
  </si>
  <si>
    <t>gzampoul@gmail.com</t>
  </si>
  <si>
    <t>zabnikos@gmail.com</t>
  </si>
  <si>
    <t>ΖΑΜΠΟΥΝΗ</t>
  </si>
  <si>
    <t>ΖΑΠΙΤΗΣ</t>
  </si>
  <si>
    <t>ΖΑΡΑΦΙΔΟΥ</t>
  </si>
  <si>
    <t>ΖΑΡΔΑΒΑ</t>
  </si>
  <si>
    <t>ΖΑΡΕΙΦΙΔΟΥ</t>
  </si>
  <si>
    <t>ΣΑΒΒΙΝΑ</t>
  </si>
  <si>
    <t>ΖΑΡΩΝΑΚΗ</t>
  </si>
  <si>
    <t>ΜΑΡΙΑ - ΑΝΝΑ</t>
  </si>
  <si>
    <t>marianna_z_2000@yahoo.com</t>
  </si>
  <si>
    <t>ΖΑΡΩΝΑΚΗΣ</t>
  </si>
  <si>
    <t>ΖΑΦΑΡΑ</t>
  </si>
  <si>
    <t>2ο ΝΗΠΙΑΓΩΓΕΙΟ ΗΡΑΚΛΕΙΟΥ</t>
  </si>
  <si>
    <t>mail@2nip-irakl.ira.sch.gr</t>
  </si>
  <si>
    <t>ΖΑΦΕΙΡΗ</t>
  </si>
  <si>
    <t>ioyliazafeiri@hotmail.com</t>
  </si>
  <si>
    <t>ΖΑΦΕΙΡΙΑΔΟΥ</t>
  </si>
  <si>
    <t>ΖΑΦΕΙΡΙΟΥ</t>
  </si>
  <si>
    <t>18ο ΝΗΠΙΑΓΩΓΕΙΟ ΗΡΑΚΛΕΙΟΥ</t>
  </si>
  <si>
    <t>mail@18nip-irakl.ira.sch.gr</t>
  </si>
  <si>
    <t>kzaharioudaki@gmail.com</t>
  </si>
  <si>
    <t>ΝΗΠΙΑΓΩΓΕΙΟ ΚΑΛΛΙΘΕΑΣ ΗΡΑΚΛΕΙΟΥ</t>
  </si>
  <si>
    <t>mail@nip-kallith.ira.sch.gr</t>
  </si>
  <si>
    <t>errikaz@gmail.com</t>
  </si>
  <si>
    <t>78ο ΟΛΟΗΜΕΡΟ ΝΗΠΙΑΓΩΓΕΙΟ ΗΡΑΚΛΕΙΟΥ</t>
  </si>
  <si>
    <t>mail@78nip-irakl.ira.sch.gr</t>
  </si>
  <si>
    <t>marzax@sch.gr</t>
  </si>
  <si>
    <t>ΜΥΡΩΝΑΣ</t>
  </si>
  <si>
    <t>matinaza@hotmail.com</t>
  </si>
  <si>
    <t>ΖΑΧΑΡΟΠΟΥΛΟΥ</t>
  </si>
  <si>
    <t>ΔΗΜΟΤΙΚΟ ΣΧΟΛΕΙΟ ΚΡΟΤΟΥ</t>
  </si>
  <si>
    <t>mail@dim-krotou.ira.sch.gr</t>
  </si>
  <si>
    <t>ΜΙΑΜΟΥΣ</t>
  </si>
  <si>
    <t>myrtozacharopoulou@gmail.com</t>
  </si>
  <si>
    <t>ΖΑΧΟΥΛΗ</t>
  </si>
  <si>
    <t>ΖΕΓΚΙΝΟΓΛΟΥ</t>
  </si>
  <si>
    <t>ΖΕΪΜΠΕΚΑΚΗ</t>
  </si>
  <si>
    <t>zeimpekaki@gmail.com</t>
  </si>
  <si>
    <t>ΖΕΙΜΠΕΚΕΡΗ</t>
  </si>
  <si>
    <t>ΖΕΜΠΑΖΗ</t>
  </si>
  <si>
    <t>ΖΕΜΠΙΛΗΣ</t>
  </si>
  <si>
    <t>ΑΙΚΑΤΕΡΙΝΗ-ΣΜΑΡΑΓΔΑ</t>
  </si>
  <si>
    <t>zervakimaria@hotmail.com</t>
  </si>
  <si>
    <t>zervakim@freemail.gr</t>
  </si>
  <si>
    <t>218/01-09-2005 Τ.Γ.</t>
  </si>
  <si>
    <t>ΖΕΡΒΑΝΤΩΝΑΚΗΣ</t>
  </si>
  <si>
    <t>ΖΕΡΦΕΙΡΙΔΟΥ</t>
  </si>
  <si>
    <t>ΟΛΟΗΜΕΡΟ ΔΗΜΟΤΙΚΟ ΣΧΟΛΕΙΟ ΧΑΡΑΚΑ</t>
  </si>
  <si>
    <t>mail@dim-charaka.ira.sch.gr</t>
  </si>
  <si>
    <t>ΖΕΥΓΑΡΑ</t>
  </si>
  <si>
    <t>vasozevgara@gmail.com</t>
  </si>
  <si>
    <t>ΖΗΚΟΥ</t>
  </si>
  <si>
    <t>ΚΕΡΑΣΙΝΑ</t>
  </si>
  <si>
    <t>ΖΗΣΙΑΔΟΥ</t>
  </si>
  <si>
    <t>ΖΙΑΚΑ</t>
  </si>
  <si>
    <t>ΖΛΑΤΙΛΙΔΗΣ</t>
  </si>
  <si>
    <t>ΑΓΟΡΑΣΤΗ</t>
  </si>
  <si>
    <t>zlatilidis@cmail.com</t>
  </si>
  <si>
    <t>ΖΜΟΛΙΚΟΒΑ</t>
  </si>
  <si>
    <t>ΜΑΡΤΑ</t>
  </si>
  <si>
    <t>ΑΛΟΙΣ</t>
  </si>
  <si>
    <t>ΖΟΥΔΙΑΝΟΥ</t>
  </si>
  <si>
    <t>ΖΟΥΚΑ</t>
  </si>
  <si>
    <t>ΖΟΥΜΗ</t>
  </si>
  <si>
    <t>popizoumi@gmail.com</t>
  </si>
  <si>
    <t>15ο ΝΗΠΙΑΓΩΓΕΙΟ ΗΡΑΚΛΕΙΟΥ</t>
  </si>
  <si>
    <t>mail@15nip-irakl.ira.sch.gr</t>
  </si>
  <si>
    <t>ΖΟΥΜΠΟΥΛΗ</t>
  </si>
  <si>
    <t>ΖΟΥΡΙΔΟΥ</t>
  </si>
  <si>
    <t>ΖΟΥΡΜΠΑΚΗΣ</t>
  </si>
  <si>
    <t>ΖΩΡΑΚΗ</t>
  </si>
  <si>
    <t>sophiazoraki@gmail.com</t>
  </si>
  <si>
    <t>ΖΩΤΙΚΑ</t>
  </si>
  <si>
    <t>mariannazot@gmail.com</t>
  </si>
  <si>
    <t>ΗΛΙΑΔΗ</t>
  </si>
  <si>
    <t>ΑΡΓΥΡΟΥΛΑ ΒΑΡΔΑΚΗ</t>
  </si>
  <si>
    <t>1/Θ ΝΗΠΙΑΓΩΓΕΙΟ ΑΓΙΟΥ ΒΛΑΣΗ</t>
  </si>
  <si>
    <t>mail@nip-ag-vlass.ira.sch.gr</t>
  </si>
  <si>
    <t>ΘΑΛΑΣΣΙΝΑΚΗΣ</t>
  </si>
  <si>
    <t>ΘΑΝΑΣΗ</t>
  </si>
  <si>
    <t>ΛΑΚΕ</t>
  </si>
  <si>
    <t>1ο ΟΛΟΗΜΕΡΟ ΝΗΠΙΑΓΩΓΕΙΟ ΑΝΩ ΑΡΧΑΝΕΣ</t>
  </si>
  <si>
    <t>mail@1nip-an-archan.ira.sch.gr</t>
  </si>
  <si>
    <t>ΘΕΟΔΟΣΙΟΥ</t>
  </si>
  <si>
    <t>nikolaos.theodos@gmail.com</t>
  </si>
  <si>
    <t>ΧΡΥΣΟΠΗΓΗ</t>
  </si>
  <si>
    <t>vickietheodorou@gmail.com</t>
  </si>
  <si>
    <t>ΘΕΟΦΑΝΟΠΟΥΛΟΥ</t>
  </si>
  <si>
    <t>ΘΕΟΦΑΝΟΥΣ</t>
  </si>
  <si>
    <t>ktheofanous@gmail.com</t>
  </si>
  <si>
    <t>ΘΩΜΟΣ</t>
  </si>
  <si>
    <t>ΙΑΚΩΒΙΔΟΥ</t>
  </si>
  <si>
    <t>ΙΑΤΡΑΚΗ</t>
  </si>
  <si>
    <t>eiriniiat@gmail.com</t>
  </si>
  <si>
    <t>iatrakis@sch.gr</t>
  </si>
  <si>
    <t>ΙΑΤΡΟΥΔΗΣ</t>
  </si>
  <si>
    <t>ΙΒΚΟΒΙΤΣ</t>
  </si>
  <si>
    <t>ΒΛΑΔΙΜΗΡΟΣ</t>
  </si>
  <si>
    <t>ΜΠΡΑΝΚΑ</t>
  </si>
  <si>
    <t>ΙΓΓΛΕΖΑΚΗ</t>
  </si>
  <si>
    <t>sofiaigl@yahoo.gr</t>
  </si>
  <si>
    <t>3ο ΟΛΟΗΜΕΡΟ ΝΗΠΙΑΓΩΓΕΙΟ ΑΓΙΑΣ ΜΑΡΙΝΑΣ</t>
  </si>
  <si>
    <t>mail@3nip-ag-marin.ira.sch.gr</t>
  </si>
  <si>
    <t>ΙΕΡΑΠΕΤΡΙΤΗ</t>
  </si>
  <si>
    <t>ΙΕΡΩΝΥΜΑΚΗΣ</t>
  </si>
  <si>
    <t>ΙΝΤΖΙΡΤΖΗ</t>
  </si>
  <si>
    <t>ΙΟΡΑΝΙΔΗ</t>
  </si>
  <si>
    <t>ΙΤΣΙΟΥ</t>
  </si>
  <si>
    <t>aggelos.ioannou@gmail.com</t>
  </si>
  <si>
    <t>ΙΩΣΗΦΙΔΗΣ</t>
  </si>
  <si>
    <t>i_iosifidis@hotmail.com</t>
  </si>
  <si>
    <t>ΚΑΒΑΛΑΡΑΚΗΣ</t>
  </si>
  <si>
    <t>ΚΑΒΡΟΧΑΡΑΚΗ</t>
  </si>
  <si>
    <t>mariak@sch.gr</t>
  </si>
  <si>
    <t>ΚΑΓΙΑΛΙΚΟΥ</t>
  </si>
  <si>
    <t>ΚΑΔΗ</t>
  </si>
  <si>
    <t>evangeliakadi@yahoo.gr</t>
  </si>
  <si>
    <t>ΚΑΖΑΚΗ</t>
  </si>
  <si>
    <t>ΚΑΖΑΚΟΠΟΥΛΟΥ</t>
  </si>
  <si>
    <t>ΚΑΖΑΝΑ</t>
  </si>
  <si>
    <t>ΚΑΖΑΝΤΣΙΔΟΥ</t>
  </si>
  <si>
    <t>ΠΑΥΛΙΝΑ</t>
  </si>
  <si>
    <t>ΚΑΖΤΑΡΙΔΟΥ</t>
  </si>
  <si>
    <t>ΚΑΪΚΑ</t>
  </si>
  <si>
    <t>ΚΑΙΚΗ</t>
  </si>
  <si>
    <t>ΣΤΑΜΑΤΟΥΛΑ</t>
  </si>
  <si>
    <t>ΚΑΚΚΟΥ</t>
  </si>
  <si>
    <t>ΚΑΚΟΥΔΑΚΗ</t>
  </si>
  <si>
    <t>sophiakakoudaki@gmail.com</t>
  </si>
  <si>
    <t>ΚΑΚΟΥΛΑΚΗ</t>
  </si>
  <si>
    <t>2ο ΔΗΜΟΤΙΚΟ ΣΧΟΛΕΙΟ ΚΡΟΥΣΩΝΑ</t>
  </si>
  <si>
    <t>mail@2dim-krouss.ira.sch.gr</t>
  </si>
  <si>
    <t>kalathakimaria@yahoo.gr</t>
  </si>
  <si>
    <t>siakalaitzaki@gmail.com</t>
  </si>
  <si>
    <t>ΝΗΠΙΑΓΩΓΕΙΟ ΜΥΡΤΙΑΣ ΗΡΑΚΛΕΙΟΥ</t>
  </si>
  <si>
    <t>ΚΑΛΑΪΤΖΑΚΗ</t>
  </si>
  <si>
    <t>ΑΝΤΑ</t>
  </si>
  <si>
    <t>mkalaitzak@gmail.com</t>
  </si>
  <si>
    <t>217/1-9-2005 τ.Γ</t>
  </si>
  <si>
    <t>ΚΑΛΑΪΤΖΗ</t>
  </si>
  <si>
    <t>ΔΗΜΟΤΙΚΟ ΣΧΟΛΕΙΟ ΠΙΤΣΙΔΙΩΝ</t>
  </si>
  <si>
    <t>mail@dim-pitsid.ira.sch.gr</t>
  </si>
  <si>
    <t>ΠΙΤΣΙΔΙΩΝ</t>
  </si>
  <si>
    <t>ΚΑΛΑΙΤΖΗΣ</t>
  </si>
  <si>
    <t>ΔΗΜΟΤΙΚΟ ΣΧΟΛΕΙΟ ΣΤΟΛΩΝ</t>
  </si>
  <si>
    <t>mail@dim-stolon.ira.sch.gr</t>
  </si>
  <si>
    <t>ΣΤΟΛΩΝ</t>
  </si>
  <si>
    <t>ΚΑΛΑΜΑΡΑ</t>
  </si>
  <si>
    <t>ΚΑΛΑΜΠΟΥΚΑ</t>
  </si>
  <si>
    <t>ΚΑΛΑΝΤΖΑΚΗΣ</t>
  </si>
  <si>
    <t>ΚΑΛΑΡΑΚΗ</t>
  </si>
  <si>
    <t>kalaraki@sch.gr</t>
  </si>
  <si>
    <t>ΝΗΠΙΑΓΩΓΕΙΟ ΚΑΠΑΡΙΑΝΩΝ</t>
  </si>
  <si>
    <t>mail@nip-kapar.ira.sch.gr</t>
  </si>
  <si>
    <t>ΚΑΛΕΝΤΑΚΗ</t>
  </si>
  <si>
    <t>46ο ΟΛΟΗΜΕΡΟ ΝΗΠΙΑΓΩΓΕΙΟ ΗΡΑΚΛΕΙΟΥ</t>
  </si>
  <si>
    <t>mail@46nip-irakl.ira.sch.gr</t>
  </si>
  <si>
    <t>ΚΑΛΕΡΓΗ</t>
  </si>
  <si>
    <t>ΚΑΛΗΣΠΕΡΑΚΗ</t>
  </si>
  <si>
    <t>1ο ΝΗΠΙΑΓΩΓΕΙΟ ΚΡΟΥΣΩΝΑ</t>
  </si>
  <si>
    <t>mail@1nip-krous.ira.sch.gr</t>
  </si>
  <si>
    <t>ΚΑΛΛΕΝΗ</t>
  </si>
  <si>
    <t>ΟΛΟΗΜΕΡΟ ΝΗΠΙΑΓΩΓΕΙΟ ΠΙΤΣΙΔΙΩΝ</t>
  </si>
  <si>
    <t>mail@nip-pitsid.ira.sch.gr</t>
  </si>
  <si>
    <t>ΚΑΛΛΙΑ</t>
  </si>
  <si>
    <t>ΚΑΛΛΙΑΤΑΚΗ</t>
  </si>
  <si>
    <t>ΚΑΛΛΙΓΙΑΝΝΑΚΗ</t>
  </si>
  <si>
    <t>katd23@hotmail.com</t>
  </si>
  <si>
    <t>ΠΕ60.50</t>
  </si>
  <si>
    <t>ΝΗΠΙΑΓΩΓΟΙ ΕΙΔΙΚΗΣ ΑΓΩΓΗΣ</t>
  </si>
  <si>
    <t>7ΧΘ94653ΠΣ-Ν2Σ</t>
  </si>
  <si>
    <t>ΚΑΛΛΙΤΣΑΚΗΣ</t>
  </si>
  <si>
    <t>gian-kal@otenet.gr</t>
  </si>
  <si>
    <t>popikallits@gmail.com</t>
  </si>
  <si>
    <t>ΚΑΛΛΙΦΑΤΙΔΟΥ</t>
  </si>
  <si>
    <t>kalma@sch.gr</t>
  </si>
  <si>
    <t>ΚΑΛΟΓΕΡΙΔΗ</t>
  </si>
  <si>
    <t>kalogeridi29@gmail.com</t>
  </si>
  <si>
    <t>11ο ΟΛΟΗΜΕΡΟ ΔΗΜΟΤΙΚΟ ΣΧΟΛΕΙΟ ΗΡΑΚΛΕΙΟΥ</t>
  </si>
  <si>
    <t>mail@11dim-irakl.ira.sch.gr</t>
  </si>
  <si>
    <t>kkalogiann@sch.gr</t>
  </si>
  <si>
    <t>63ο ΝΗΠΙΑΓΩΓΕΙΟ ΗΡΑΚΛΕΙΟΥ</t>
  </si>
  <si>
    <t>mail@63nip-irakl.ira.sch.gr</t>
  </si>
  <si>
    <t>ΜΥΡΟΠΗ</t>
  </si>
  <si>
    <t>mariakalogiannaki@yahoo.gr</t>
  </si>
  <si>
    <t>ΤΙΜΟΘΕΗ</t>
  </si>
  <si>
    <t>manolis.kalogiannakis@gmail.com</t>
  </si>
  <si>
    <t>strek@hotmail.gr</t>
  </si>
  <si>
    <t>ΚΑΛΟΓΙΑΝΝΙΔΗΣ</t>
  </si>
  <si>
    <t>58ο ΝΗΠΙΑΓΩΓΕΙΟ ΗΡΑΚΛΕΙΟΥ</t>
  </si>
  <si>
    <t>mail@58nip-irakl.ira.sch.gr</t>
  </si>
  <si>
    <t>ΧΡΥΣΟΒΑΛΑΝΤΟΥ-ΜΑΡΙΑ</t>
  </si>
  <si>
    <t>fevrak@gmail.com</t>
  </si>
  <si>
    <t>3ο ΝΗΠΙΑΓΩΓΕΙΟ ΑΡΚΑΛΟΧΩΡΙΟΥ</t>
  </si>
  <si>
    <t>mail@3nip-arkal.ira.sch.gr</t>
  </si>
  <si>
    <t>ΚΑΛΟΥΔΗ</t>
  </si>
  <si>
    <t>ΠΟΛΥΜ</t>
  </si>
  <si>
    <t>elkaloudi@yahoo.gr</t>
  </si>
  <si>
    <t>65ο ΟΛΟΗΜΕΡΟ ΝΗΠΙΑΓΩΓΕΙΟ ΗΡΑΚΛΕΙΟΥ</t>
  </si>
  <si>
    <t>mail@65nip-irakl.ira.sch.gr</t>
  </si>
  <si>
    <t>ΚΑΛΟΥΣΗ</t>
  </si>
  <si>
    <t>marykalousi@yahoo.gr</t>
  </si>
  <si>
    <t>ΚΑΛΠΑΔΑΚΗ</t>
  </si>
  <si>
    <t>ΚΑΛΠΑΚΤΣΟΓΛΟΥ</t>
  </si>
  <si>
    <t>ΚΑΛΠΟΥΖΑΝΗΣ</t>
  </si>
  <si>
    <t>ΚΑΛΤΣΑ</t>
  </si>
  <si>
    <t>ΚΑΛΥΒΙΑΝΑΚΗΣ</t>
  </si>
  <si>
    <t>nikoskalivianakis@gmail.com</t>
  </si>
  <si>
    <t>ΚΑΜΑΡΑΤΟΥ</t>
  </si>
  <si>
    <t>maria_kamarianaki@hotmail.com</t>
  </si>
  <si>
    <t>ΚΑΜΑΡΙΤΑΚΗ</t>
  </si>
  <si>
    <t>ΚΑΜΗΛΑΚΗ</t>
  </si>
  <si>
    <t>ΚΑΜΠΑΝΗ</t>
  </si>
  <si>
    <t>ΗΛΕΚΤΡΑ-ΒΑΣΙΛΙΚΗ</t>
  </si>
  <si>
    <t>elektra_kam@hotmail.com</t>
  </si>
  <si>
    <t>evaggeliakambouraki7@gmail.com</t>
  </si>
  <si>
    <t>evikamp@gmail.com</t>
  </si>
  <si>
    <t>ΤΟΝΤΟΡ</t>
  </si>
  <si>
    <t>kampourakimaria@gmail.com</t>
  </si>
  <si>
    <t>ΚΑΜΠΟΥΡΗ</t>
  </si>
  <si>
    <t>ΕΥΗ  ΦΡΑΓΚΙΤ</t>
  </si>
  <si>
    <t>ΚΑΝΑΚΑΚΗ</t>
  </si>
  <si>
    <t>ΚΑΝΑΚΑΚΗΣ</t>
  </si>
  <si>
    <t>ΠΡΑΞΙΤΕΛΗΣ</t>
  </si>
  <si>
    <t>ΚΑΝΔΕΡΑΚΗ</t>
  </si>
  <si>
    <t>ΚΑΝΔΗΛΑ</t>
  </si>
  <si>
    <t>ΚΑΝΔΗΛΑΚΗ</t>
  </si>
  <si>
    <t>ΚΑΝΔΥΛΑ</t>
  </si>
  <si>
    <t>ΠΕΡΙΑΝΔΡΟΣ</t>
  </si>
  <si>
    <t>ΚΑΝΕΛΛΟΠΟΥΛΟΥ</t>
  </si>
  <si>
    <t>ΚΛΕΟΠΑΤΡΑ-ΠΗΓΗ</t>
  </si>
  <si>
    <t>ΚΑΡΟΛΙΝΑ-ΤΖΟΕΝ</t>
  </si>
  <si>
    <t>ΚΑΝΗ</t>
  </si>
  <si>
    <t>dkannavou@gmail.com</t>
  </si>
  <si>
    <t>ΜΑΙΡΗΣ</t>
  </si>
  <si>
    <t>ΚΑΝΤΑΡΟΥ</t>
  </si>
  <si>
    <t>ΚΑΝΤΙΔΑΚΗ</t>
  </si>
  <si>
    <t>ΚΑΝΤΣΟΥ</t>
  </si>
  <si>
    <t>ΚΑΠΑΡΑΚΗΣ</t>
  </si>
  <si>
    <t>ΚΑΠΑΡΟΥΝΑΚΗΣ</t>
  </si>
  <si>
    <t>fegari3@hotmail.com</t>
  </si>
  <si>
    <t>6ο ΝΗΠΙΑΓΩΓΕΙΟ ΗΡΑΚΛΕΙΟΥ</t>
  </si>
  <si>
    <t>mail@6nip-irakl.ira.sch.gr</t>
  </si>
  <si>
    <t>ΜΑΡΙΑΝΑ</t>
  </si>
  <si>
    <t>harris1959@hotmail.com</t>
  </si>
  <si>
    <t>316/25-11-2005</t>
  </si>
  <si>
    <t>ΚΑΠΛΑΤΖΗ</t>
  </si>
  <si>
    <t>72ο ΟΛΟΗΜΕΡΟ ΝΗΠΙΑΓΩΓΕΙΟ ΗΡΑΚΛΕΙΟ</t>
  </si>
  <si>
    <t>mail@72nip-irakl.ira.sch.gr</t>
  </si>
  <si>
    <t>ΚΑΠΝΑ</t>
  </si>
  <si>
    <t>ΚΑΠΝΙΣΑΚΗ</t>
  </si>
  <si>
    <t>ΚΑΠΝΟΓΙΑΝΝΗ</t>
  </si>
  <si>
    <t>ΚΑΠΟΥΣΗ</t>
  </si>
  <si>
    <t>ΚΑΠΡΙΝΙΩΤΗ</t>
  </si>
  <si>
    <t>ΑΗΔΟΝΑΤΟΣ</t>
  </si>
  <si>
    <t>ΚΑΡΑΒΕΛΗΣ</t>
  </si>
  <si>
    <t>akaravelis@hotmail.com</t>
  </si>
  <si>
    <t>ΚΑΡΑΒΟΛΙΑ</t>
  </si>
  <si>
    <t>ΚΑΡΑΓΙΑΝΝΑΚΟΥ</t>
  </si>
  <si>
    <t>kallia-k@ath.forthnet.gr</t>
  </si>
  <si>
    <t>ΜΑΡΙΑΛΕΝΑ</t>
  </si>
  <si>
    <t>ΚΑΡΑΓΙΑΝΝΙΔΟΥ</t>
  </si>
  <si>
    <t>dimitra_karag@hotmail.com</t>
  </si>
  <si>
    <t>ΚΑΡΑΓΚΟΥΝΗ</t>
  </si>
  <si>
    <t>ΚΑΡΑΚΕΠΕΛΗ</t>
  </si>
  <si>
    <t>ΚΑΡΑΚΟΥΚΑ</t>
  </si>
  <si>
    <t>ΚΑΡΑΚΩΝΣΤΑΝΤΑΚΗΣ</t>
  </si>
  <si>
    <t>elkar56@gmail.com</t>
  </si>
  <si>
    <t>ΚΑΡΑΜΑΛΙΓΚΑ</t>
  </si>
  <si>
    <t>evakaramaliga@gmail.com</t>
  </si>
  <si>
    <t>ΚΑΡΑΜΑΝΙΔΗΣ</t>
  </si>
  <si>
    <t>ΚΑΡΑΜΑΝΟΥ</t>
  </si>
  <si>
    <t>ΘΩΜΙΑ</t>
  </si>
  <si>
    <t>138/25-8-93</t>
  </si>
  <si>
    <t>ΚΑΡΑΜΗΤΡΟΥ</t>
  </si>
  <si>
    <t>kondylia_k@yahoo.gr</t>
  </si>
  <si>
    <t>660/17-08-2007</t>
  </si>
  <si>
    <t>ΚΑΡΑΜΙΧΑΛΗΣ</t>
  </si>
  <si>
    <t>ΚΑΡΑΜΟΛΕΓΚΟΥ</t>
  </si>
  <si>
    <t>marykaramoleg@hotmail.com</t>
  </si>
  <si>
    <t>ΚΑΡΑΜΠΙΝΗ</t>
  </si>
  <si>
    <t>kzaharenia@yahoo.gr</t>
  </si>
  <si>
    <t>ΚΑΡΑΝΑΤΣΙΟΥ</t>
  </si>
  <si>
    <t>ΚΑΡΑΝΙΚΟΛΟΠΟΥΛΟΥ</t>
  </si>
  <si>
    <t>1ο ΝΗΠΙΑΓΩΓΕΙΟ ΗΡΑΚΛΕΙΟΥ - ΜΠΟΔΟΣΑΚEΙΟ</t>
  </si>
  <si>
    <t>mail@1nip-irakl.ira.sch.gr</t>
  </si>
  <si>
    <t>ΕΛΕΝΗ-ΧΡΙΣΤΙΝΑ</t>
  </si>
  <si>
    <t>ΚΑΡΑΠΑΝΑΓΙΩΤΗ</t>
  </si>
  <si>
    <t>karapana84@yahoo.gr</t>
  </si>
  <si>
    <t>ΚΑΡΑΠΑΤΑΚΗ</t>
  </si>
  <si>
    <t>sofiakar82@yahoo.gr</t>
  </si>
  <si>
    <t>ΚΑΡΑΤΑΣΟΣ</t>
  </si>
  <si>
    <t>nikaratasos@gmail.com</t>
  </si>
  <si>
    <t>ΚΑΡΑΤΖΙΟΥ</t>
  </si>
  <si>
    <t>ΝΗΠΙΑΓΩΓΕΙΟ ΑΝΩ ΓΟΥΒΕΣ</t>
  </si>
  <si>
    <t>mail@nip-gouvon.ira.sch.gr</t>
  </si>
  <si>
    <t>ΚΑΡΒΟΥΝΙΔΟΥ</t>
  </si>
  <si>
    <t>ΚΑΡΓΑΚΗ</t>
  </si>
  <si>
    <t>ΚΑΡΓΙΩΤΑΚΗ</t>
  </si>
  <si>
    <t>ΚΑΡΓΙΩΤΙΔΗΣ</t>
  </si>
  <si>
    <t>ΚΑΡΔΑΚΟΥ</t>
  </si>
  <si>
    <t>ΚΑΡΕΑΔΟΥ</t>
  </si>
  <si>
    <t>sarroulaki@yahoo.gr</t>
  </si>
  <si>
    <t>ΝΗΠΙΑΓΩΓΕΙΟ ΤΣΙΦΟΥΤ ΚΑΣΤΕΛΛΙΟΥ</t>
  </si>
  <si>
    <t>mail@nip-tsifout.ira.sch.gr</t>
  </si>
  <si>
    <t>ΚΑΡΕΛΗΣ</t>
  </si>
  <si>
    <t>ΚΑΡΙΩΤΑΚΗ</t>
  </si>
  <si>
    <t>ΚΑΡΚΑΛΕΜΗ</t>
  </si>
  <si>
    <t>ΝΗΠΙΑΓΩΓΕΙΟ ΠΕΤΡΟΚΕΦΑΛΙΟΥ</t>
  </si>
  <si>
    <t>mail@nip-petrok.ira.sch.gr</t>
  </si>
  <si>
    <t>ΚΑΡΚΑΛΕΤΣΗ</t>
  </si>
  <si>
    <t>fk-kark@hotmail.com</t>
  </si>
  <si>
    <t>ΚΑΡΚΑΝΑ</t>
  </si>
  <si>
    <t>2ο ΝΗΠΙΑΓΩΓΕΙΟ ΜΑΛΙΩΝ</t>
  </si>
  <si>
    <t>mail@2nip-malion.ira.sch.gr</t>
  </si>
  <si>
    <t>ΚΑΡΛΗ</t>
  </si>
  <si>
    <t>ΚΑΡΛΟΓΛΟΥ</t>
  </si>
  <si>
    <t>ΚΑΡΝΗ</t>
  </si>
  <si>
    <t>ΚΑΡΟΥΖΟΣ</t>
  </si>
  <si>
    <t>chkarouzos@yahoo.gr</t>
  </si>
  <si>
    <t>ΚΑΡΟΥΖΟΥ</t>
  </si>
  <si>
    <t>ankarouzou@sch.gr</t>
  </si>
  <si>
    <t>23ο ΝΗΠΙΑΓΩΓΕΙΟ ΗΡΑΚΛΕΙΟΥ</t>
  </si>
  <si>
    <t>mail@23nip-irakl.ira.sch.gr</t>
  </si>
  <si>
    <t>ΚΑΡΟΥΣΟΥ</t>
  </si>
  <si>
    <t>75ο ΝΗΠΙΑΓΩΓΕΙΟ ΗΡΑΚΛΕΙΟΥ</t>
  </si>
  <si>
    <t>mail@75nip-irakl.ira.sch.gr</t>
  </si>
  <si>
    <t>ΚΑΡΟΦΥΛΛΑΚΗΣ</t>
  </si>
  <si>
    <t>karofyllak@sch.gr</t>
  </si>
  <si>
    <t>ΚΑΡΠΑΘΙΩΤΑΚΗ</t>
  </si>
  <si>
    <t>sifakisnikos@gmail.com</t>
  </si>
  <si>
    <t>9ο ΝΗΠΙΑΓΩΓΕΙΟ ΗΡΑΚΛΕΙΟΥ</t>
  </si>
  <si>
    <t>mail@9nip-irakl.ira.sch.gr</t>
  </si>
  <si>
    <t>ΝΙΚΗΦΟΡΟΣ</t>
  </si>
  <si>
    <t>nikkarpathiotakis@sch.gr</t>
  </si>
  <si>
    <t>ΚΑΡΠΕΤΑ</t>
  </si>
  <si>
    <t>ΚΑΡΠΕΤΑΚΗΣ</t>
  </si>
  <si>
    <t>karpetakis@sch.gr</t>
  </si>
  <si>
    <t>ΚΑΡΠΙΤΣΑΡΗ</t>
  </si>
  <si>
    <t>ΚΑΡΠΟΥΖΗ</t>
  </si>
  <si>
    <t>ΚΑΡΠΟΥΤΖΑΚΗ</t>
  </si>
  <si>
    <t>ΚΑΡΤΣΟΥΛΗ</t>
  </si>
  <si>
    <t>ΣΟΥΛΤΑΝ</t>
  </si>
  <si>
    <t>ΚΑΡΤΣΩΝΗ</t>
  </si>
  <si>
    <t>renakartsoni@gmail.com</t>
  </si>
  <si>
    <t>ΚΑΡΥΔΑ</t>
  </si>
  <si>
    <t>eva.karidi@gmail.com</t>
  </si>
  <si>
    <t>ΧΑΡΙΚΛΕΙΑ ΧΑ</t>
  </si>
  <si>
    <t>maroulixara@yahoo.gr</t>
  </si>
  <si>
    <t>ΚΑΡΥΚΗ</t>
  </si>
  <si>
    <t>ΚΑΡΥΠΙΔΟΥ</t>
  </si>
  <si>
    <t>ΚΑΡΦΑΚΗ</t>
  </si>
  <si>
    <t>ΠΑΝΤΕΛΗ</t>
  </si>
  <si>
    <t>ΚΑΣΑΠΑΚΗ</t>
  </si>
  <si>
    <t>mkalliarou@gmail.com</t>
  </si>
  <si>
    <t>kasapakistela@hotmail.com</t>
  </si>
  <si>
    <t>926/τ.Γ΄/13-11-2009</t>
  </si>
  <si>
    <t>ΚΑΣΑΠΙΔΗΣ</t>
  </si>
  <si>
    <t>ΚΑΣΙΜΑΤΗ</t>
  </si>
  <si>
    <t>ΕΙΡΗΝΗ-ΠΗΝΕΛΟΠΗ</t>
  </si>
  <si>
    <t>eirinikpinelopikassimati@gmail.com</t>
  </si>
  <si>
    <t>247/16-11-89</t>
  </si>
  <si>
    <t>markos@gym.yahoo.gr</t>
  </si>
  <si>
    <t>1ο 2/θ ΝΗΠΙΑΓΩΓΕΙΟ Λ. ΧΕΡΣΟΝΗΣΟΥ</t>
  </si>
  <si>
    <t>mail@1nip-limen.ira.sch.gr</t>
  </si>
  <si>
    <t>kassoulis@hotmail.com</t>
  </si>
  <si>
    <t>ΚΑΣΣΩΤΗΣ</t>
  </si>
  <si>
    <t>ΚΑΣΤΑΝΗ</t>
  </si>
  <si>
    <t>11ο ΝΗΠΙΑΓΩΓΕΙΟ ΗΡΑΚΛΕΙΟΥ</t>
  </si>
  <si>
    <t>mail@11nip-irakl.ira.sch.gr</t>
  </si>
  <si>
    <t>ΚΑΣΤΙΓΑΚΗ</t>
  </si>
  <si>
    <t>ΚΑΣΤΡΙΝΑΚΗ</t>
  </si>
  <si>
    <t>kastrimaria1@gmail.com</t>
  </si>
  <si>
    <t>3ο ΝΗΠΙΑΓΩΓΕΙΟ ΝΕΑΣ ΑΛΙΚΑΡΝΑΣΣΟΥ</t>
  </si>
  <si>
    <t>mail@3nip-n-alikarn.ira.sch.gr</t>
  </si>
  <si>
    <t>mkasotak@sch.gr</t>
  </si>
  <si>
    <t>papantonis1963@yahoo.gr</t>
  </si>
  <si>
    <t>ΚΑΤΑΚΟΥ</t>
  </si>
  <si>
    <t>ΚΑΤΑΛΑΓΑΡΙΑΝΟΥ</t>
  </si>
  <si>
    <t>ΚΑΤΑΝΤΩΝΑΚΗ</t>
  </si>
  <si>
    <t>ΚΑΤΕΛΑ</t>
  </si>
  <si>
    <t>ΚΑΤΕΧΑΚΗ</t>
  </si>
  <si>
    <t>katehakie@gmail.com</t>
  </si>
  <si>
    <t>ΚΑΤΖΙΛΙΕΡΗ</t>
  </si>
  <si>
    <t>aggelikikatZ@yahoo.gr</t>
  </si>
  <si>
    <t>ΚΑΤΟΥΦΑ</t>
  </si>
  <si>
    <t>katoufapara@yahoo.gr</t>
  </si>
  <si>
    <t>ΚΑΤΡΑΔΑΚΗ</t>
  </si>
  <si>
    <t>euageline@yahoo.gr</t>
  </si>
  <si>
    <t>ΚΑΤΡΑΚΗ</t>
  </si>
  <si>
    <t>aimikatra@yahoo.com</t>
  </si>
  <si>
    <t>ΚΑΤΡΙΑΔΑΚΗ</t>
  </si>
  <si>
    <t>168/27-8-1987</t>
  </si>
  <si>
    <t>ΚΑΤΣΑΜΠΟΞΑΚΗΣ</t>
  </si>
  <si>
    <t>katsaboxakis@gmail.com</t>
  </si>
  <si>
    <t>ΚΑΤΣΑΝΤΑ</t>
  </si>
  <si>
    <t>ΚΑΤΣΑΟΥΝΗΣ</t>
  </si>
  <si>
    <t>ΚΑΤΣΑΠΡΑΚΑΚΗΣ</t>
  </si>
  <si>
    <t>ΜΑΡΙΑ-ΑΘΗΝΑ</t>
  </si>
  <si>
    <t>ΔΗΜΟΤΙΚΟ ΣΧΟΛΕΙΟ ΑΓΙΟΥ ΜΥΡΩΝΑ</t>
  </si>
  <si>
    <t>mail@dim-ag-myron.ira.sch.gr</t>
  </si>
  <si>
    <t>ΚΑΤΣΕΝΟΣ</t>
  </si>
  <si>
    <t>ΚΑΤΣΙΑΚΙΩΡΗΣ</t>
  </si>
  <si>
    <t>knikitas@sch.gr</t>
  </si>
  <si>
    <t>ΚΑΤΣΙΓΙΑΝΝΗ</t>
  </si>
  <si>
    <t>ΠΕ61</t>
  </si>
  <si>
    <t>ΟΛΟΗΜΕΡΟ ΝΗΠΙΑΓΩΓΕΙΟ ΑΓΙΩΝ ΠΑΡΑΣΚΙΩΝ</t>
  </si>
  <si>
    <t>mail@nip-ag-parask.ira.sch.gr</t>
  </si>
  <si>
    <t>marialama84@gmail.com</t>
  </si>
  <si>
    <t>ΚΑΤΣΙΔΟΝΙΩΤΗ</t>
  </si>
  <si>
    <t>ΚΑΤΣΙΛΑΚΗ</t>
  </si>
  <si>
    <t>ΝΗΠΙΑΓΩΓΕΙΟ ΚΑΣΤΡΙ</t>
  </si>
  <si>
    <t>mail@nip-kastr.ira.sch.gr</t>
  </si>
  <si>
    <t>ΧΟΝΔΡΟΥ</t>
  </si>
  <si>
    <t>ΚΑΤΣΙΟΥΛΑΣ</t>
  </si>
  <si>
    <t>ΑΓΑΜΕΜΝΩΝ</t>
  </si>
  <si>
    <t>ΚΑΤΣΙΦΑΡΑΚΗΣ</t>
  </si>
  <si>
    <t>ΚΑΤΣΟΥΛΑΡΗ</t>
  </si>
  <si>
    <t>charakats@gmail.com</t>
  </si>
  <si>
    <t>ΚΑΦΕΤΖΑΚΗ</t>
  </si>
  <si>
    <t>1ο ΝΗΠΙΑΓΩΓΕΙΟ ΓΑΖΙΟΥ</t>
  </si>
  <si>
    <t>mail@1nip-gaziou.ira.sch.gr</t>
  </si>
  <si>
    <t>ΚΑΦΕΤΖΑΚΗΣ</t>
  </si>
  <si>
    <t>ΚΑΨΑΛΑΚΗΣ</t>
  </si>
  <si>
    <t>772/23.08.2010 τ.Γ'</t>
  </si>
  <si>
    <t>ΔΗΜΟΤΙΚΟ ΣΧΟΛΕΙΟ ΣΙΒΑ ΠΥΡΓΙΩΤΙΣΣΗΣ</t>
  </si>
  <si>
    <t>mail@dim-siva.ira.sch.gr</t>
  </si>
  <si>
    <t>ΣΙΒΑ</t>
  </si>
  <si>
    <t>ΚΕΚΛΙΚΟΓΛΟΥ</t>
  </si>
  <si>
    <t>ΚΕΛΑΪΔΗ</t>
  </si>
  <si>
    <t>ΝΗΠΙΑΓΩΓΕΙΟ ΓΚΑΓΚΑΛΕΣ</t>
  </si>
  <si>
    <t>mail@nip-gkagk.ira.sch.gr</t>
  </si>
  <si>
    <t>ΒΕΛΗ-ΜΕΡΟΠΗ</t>
  </si>
  <si>
    <t>2/Θ ΔΗΜΟΤΙΚΟ ΣΧΟΛΕΙΟ ΕΜΠΑΡΟΥ</t>
  </si>
  <si>
    <t>mail@dim-empar.ira.sch.gr</t>
  </si>
  <si>
    <t>ΕΜΠΑΡΟΥ</t>
  </si>
  <si>
    <t>ΚΕΡΑΣΙΩΤΗ</t>
  </si>
  <si>
    <t>ΚΕΡΜΑΝΙΔΟΥ</t>
  </si>
  <si>
    <t>ΚΕΡΧΟΥΛΑ</t>
  </si>
  <si>
    <t>ΚΕΣΙΔΟΥ</t>
  </si>
  <si>
    <t>ΚΕΣΣΟΥΔΑΚΗ</t>
  </si>
  <si>
    <t>vaso_kess@yahoo.gr</t>
  </si>
  <si>
    <t>ΚΕΦΑΛΑΚΗ</t>
  </si>
  <si>
    <t>mkefalaki@edc.uoc.gr</t>
  </si>
  <si>
    <t>ΚΕΦΑΛΟΥΚΟΣ</t>
  </si>
  <si>
    <t>ΚΗΛΑΪΔΑΚΗ</t>
  </si>
  <si>
    <t>ΜΑΡΙΕΥΑ</t>
  </si>
  <si>
    <t>ΚΙΑΤΟΥ</t>
  </si>
  <si>
    <t>ΚΙΜΙΣΟΓΛΟΥ</t>
  </si>
  <si>
    <t>ΜΑΚΡΙΝΑ</t>
  </si>
  <si>
    <t>ΔΗΜΟΤΙΚΟ ΣΧΟΛΕΙΟ ΚΑΡΚΑΔΙΩΤΙΣΣΑΣ</t>
  </si>
  <si>
    <t>mail@dim-karkad.ira.sch.gr</t>
  </si>
  <si>
    <t>ΚΥΠΑΡΙΣΣΟΥ</t>
  </si>
  <si>
    <t>ΚΙΟΡΟΓΛΟΥ</t>
  </si>
  <si>
    <t>ΚΙΤΣΑ</t>
  </si>
  <si>
    <t>aretoula1990@gmail.com</t>
  </si>
  <si>
    <t>ΚΛΑΔΑ</t>
  </si>
  <si>
    <t>litsaklada@hotmail.com</t>
  </si>
  <si>
    <t>60ο ΟΛΟΗΜΕΡΟ ΝΗΠΙΑΓΩΓΕΙΟ ΗΡΑΚΛΕΙΟΥ</t>
  </si>
  <si>
    <t>mail@60nip-irakl.ira.sch.gr</t>
  </si>
  <si>
    <t>ΚΛΑΔΗ</t>
  </si>
  <si>
    <t>ΕΡΙΦΥΛΗ</t>
  </si>
  <si>
    <t>filis@sch.gr</t>
  </si>
  <si>
    <t>ΚΛΑΔΟΥ</t>
  </si>
  <si>
    <t>dorakl@windowslive.com</t>
  </si>
  <si>
    <t>ΝΗΠΙΑΓΩΓΕΙΟ ΒΕΝΕΡΑΤΟΥ</t>
  </si>
  <si>
    <t>mail@nip-vener.ira.sch.gr</t>
  </si>
  <si>
    <t>daskalamaria@yahoo.gr</t>
  </si>
  <si>
    <t>olgakladou@windowslive.com</t>
  </si>
  <si>
    <t>3ο ΝΗΠΙΑΓΩΓΕΙΟ ΓΑΖΙΟΥ</t>
  </si>
  <si>
    <t>mail@3nip-gaziou.ira.sch.gr</t>
  </si>
  <si>
    <t>ΚΛΕΙΣΑΡΧΑΚΗ</t>
  </si>
  <si>
    <t>ΘΩΜΑ</t>
  </si>
  <si>
    <t>ΚΛΕΙΣΑΡΧΑΚΗΣ</t>
  </si>
  <si>
    <t>kleisarcha@sch.gr</t>
  </si>
  <si>
    <t>ΚΛΕΦΤΟΓΙΑΝΝΗ</t>
  </si>
  <si>
    <t>ΚΛΗΤΣΙΝΑΡΗ</t>
  </si>
  <si>
    <t>ΚΛΙΝΑΚΗ</t>
  </si>
  <si>
    <t>klinakix@yahoo.gr</t>
  </si>
  <si>
    <t>ΚΛΙΝΑΚΗΣ</t>
  </si>
  <si>
    <t>manolisklinakis@yahoo.gr</t>
  </si>
  <si>
    <t>250/31-8-2000</t>
  </si>
  <si>
    <t>ΚΛΟΥΒΑΤΟΥ</t>
  </si>
  <si>
    <t>ΚΛΩΝΤΖΑ</t>
  </si>
  <si>
    <t>klontza66@yahoo.gr</t>
  </si>
  <si>
    <t>ΚΟΓΚΑΚΗ</t>
  </si>
  <si>
    <t>ΚΟΖΥΡΑΚΗ</t>
  </si>
  <si>
    <t>ΚΡΥΣΤΑΛΛΕΝΙΑ</t>
  </si>
  <si>
    <t>14ο ΝΗΠΙΑΓΩΓΕΙΟ ΗΡΑΚΛΕΙΟΥ</t>
  </si>
  <si>
    <t>mail@14nip-irakl.ira.sch.gr</t>
  </si>
  <si>
    <t>ΚΟΚΑ</t>
  </si>
  <si>
    <t>1ο ΟΛΟΗΜΕΡΟ ΝΗΠΙΑΓΩΓΕΙΟ ΤΥΜΠΑΚΙΟΥ</t>
  </si>
  <si>
    <t>mail@1nip-tympak.ira.sch.gr</t>
  </si>
  <si>
    <t>ΚΟΚΑΛΗ</t>
  </si>
  <si>
    <t>litsa-koc@hotmail.com</t>
  </si>
  <si>
    <t>ΚΟΚΚΙΑΔΗ</t>
  </si>
  <si>
    <t>163/ΤΓ</t>
  </si>
  <si>
    <t>ΚΟΚΚΙΝΟΜΑΓΟΥΛΑΣ</t>
  </si>
  <si>
    <t>ΚΟΚΚΙΝΟΥ</t>
  </si>
  <si>
    <t>ΚΟΚΟΒΑΚΗΣ</t>
  </si>
  <si>
    <t>manos_kokovakis@hotmail.com</t>
  </si>
  <si>
    <t>kzenzen@yahoo.gr</t>
  </si>
  <si>
    <t>angelkok7@gmail.com</t>
  </si>
  <si>
    <t>ΚΟΛΑΚΕ</t>
  </si>
  <si>
    <t>ΚΟΛΙΟΡΑΔΑΚΗ</t>
  </si>
  <si>
    <t>ΚΟΛΙΟΡΑΔΑΚΗΣ</t>
  </si>
  <si>
    <t>ΚΟΛΙΟΥ</t>
  </si>
  <si>
    <t>68ο ΝΗΠΙΑΓΩΓΕΙΟ ΗΡΑΚΛΕΙΟΥ</t>
  </si>
  <si>
    <t>mail@68nip-irakl.ira.sch.gr</t>
  </si>
  <si>
    <t>ΚΟΛΟΚΟΤΡΩΝΗΣ</t>
  </si>
  <si>
    <t>fotisak@gmail.com</t>
  </si>
  <si>
    <t>ΚΟΛΥΜΑΝΗ</t>
  </si>
  <si>
    <t>772/23.08.2010</t>
  </si>
  <si>
    <t>ΚΟΜΝΗΝΟΥ</t>
  </si>
  <si>
    <t>28ο ΝΗΠΙΑΓΩΓΕΙΟ ΗΡΑΚΛΕΙΟΥ</t>
  </si>
  <si>
    <t>mail@28nip-irakl.ira.sch.gr</t>
  </si>
  <si>
    <t>ΚΟΜΠΟΧΟΛΗ</t>
  </si>
  <si>
    <t>ΚΟΝΙΑΛΗ</t>
  </si>
  <si>
    <t>ΜΑΡΙΑ-ΝΕΚΤΑΡ</t>
  </si>
  <si>
    <t>mariakonsolak@gmail.com</t>
  </si>
  <si>
    <t>ΚΟΝΣΟΛΑΚΗ ΚΑΡΑΝΔΙΝΑΚΗ</t>
  </si>
  <si>
    <t>ΚΟΝΤΟΓΙΑΝΝΑΚΗΣ</t>
  </si>
  <si>
    <t>zenikont@gmail.com</t>
  </si>
  <si>
    <t>1/θέσιο 42ο ΝΗΠΙΑΓΩΓΕΙΟ ΗΡΑΚΛΕΙΟΥ</t>
  </si>
  <si>
    <t>mail@42nip-irakl.ira.sch.gr</t>
  </si>
  <si>
    <t>ΚΟΝΤΟΣΙΩΖΟΥ</t>
  </si>
  <si>
    <t>ΚΟΝΤΟΥΔΑΚΗΣ</t>
  </si>
  <si>
    <t>ΚΟΠΙΔΑΚΗ</t>
  </si>
  <si>
    <t>kopidaik@hotmail.com</t>
  </si>
  <si>
    <t>ΚΟΡΑΚΗ</t>
  </si>
  <si>
    <t>ΚΟΡΔΟΝΟΥΡΗ</t>
  </si>
  <si>
    <t>ΒΕΛΟΥΔΩ</t>
  </si>
  <si>
    <t>vekordonou@upnet.gr</t>
  </si>
  <si>
    <t>ΚΟΡΜΑΛΗ</t>
  </si>
  <si>
    <t>ΚΟΡΜΠΑΚΗΣ</t>
  </si>
  <si>
    <t>ΚΟΡΝΕΛΑΚΗ</t>
  </si>
  <si>
    <t>64ο  ΝΗΠΙΑΓΩΓΕΙΟ ΗΡΑΚΛΕΙΟΥ</t>
  </si>
  <si>
    <t>mail@64nip-irakl.ira.sch.gr</t>
  </si>
  <si>
    <t>chkornel@yahoo.gr</t>
  </si>
  <si>
    <t>ΑΡΧΟΝΤΗ</t>
  </si>
  <si>
    <t>ΝΗΠΙΑΓΩΓΕΙΟ ΠΡΟΦΗΤΗΣ ΗΛΙΑΣ</t>
  </si>
  <si>
    <t>mail@nip-prof-ilia.ira.sch.gr</t>
  </si>
  <si>
    <t>ΚΟΣΜΙΔΗ</t>
  </si>
  <si>
    <t>ΚΟΣΣΥΒΑΚΗ</t>
  </si>
  <si>
    <t>ΚΟΤΖΑΜΠΑΣΑΚΗ</t>
  </si>
  <si>
    <t>26ο ΟΛΟΗΜΕΡΟ ΝΗΠΙΑΓΩΓΕΙΟ ΗΡΑΚΛΕΙΟΥ</t>
  </si>
  <si>
    <t>mail@26nip-irakl.ira.sch.gr</t>
  </si>
  <si>
    <t>ΚΟΤΡΟΤΣΙΟΣ</t>
  </si>
  <si>
    <t>mkotrotsios@yahoo.gr</t>
  </si>
  <si>
    <t>ΚΟΤΣΙΚΑ</t>
  </si>
  <si>
    <t>ΚΟΤΣΙΝΑΣ</t>
  </si>
  <si>
    <t>skotsina@hotmail.com</t>
  </si>
  <si>
    <t>elenko@sch.gr</t>
  </si>
  <si>
    <t>ΚΟΤΣΥΦΑΚΗΣ</t>
  </si>
  <si>
    <t>ΚΟΥΒΑΛΑΚΗΣ</t>
  </si>
  <si>
    <t>ΚΟΥΒΟΥΤΣΑΚΗ</t>
  </si>
  <si>
    <t>ΚΟΥΓΕΜΤΖΗ</t>
  </si>
  <si>
    <t>ΚΟΥΓΙΕΝΤΗ</t>
  </si>
  <si>
    <t>ΜΑΡΙΓΙΑΝΝΑ</t>
  </si>
  <si>
    <t>Koygienty@yahoo.gr</t>
  </si>
  <si>
    <t>ΚΟΥΓΙΟΥΜΟΥΤΖΗΣ</t>
  </si>
  <si>
    <t>ΜΑΝΟΛΙΑ</t>
  </si>
  <si>
    <t>ΚΟΥΓΙΤΑΚΗ</t>
  </si>
  <si>
    <t>irinikoo@gmail.com</t>
  </si>
  <si>
    <t>ΚΟΥΔΟΥΜΑΛΙΩΤΑΚΗ</t>
  </si>
  <si>
    <t>koudoueleni@yahoo.gr</t>
  </si>
  <si>
    <t>ΚΟΥΔΟΥΝΑΡΑΚΗ</t>
  </si>
  <si>
    <t>ΚΟΥΖΙΝΟΒΣΚΑ</t>
  </si>
  <si>
    <t>ΙΟΡΝΤΑΝΚΑ</t>
  </si>
  <si>
    <t>ΚΟΥΚΙΑΔΑΚΗ</t>
  </si>
  <si>
    <t>ΚΟΥΚΙΑΔΑΚΗΣ</t>
  </si>
  <si>
    <t>mankouk1@otenet.gr</t>
  </si>
  <si>
    <t>ΚΟΥΚΟΥΒΕΤΣΙΟΥ</t>
  </si>
  <si>
    <t>ΚΟΥΚΟΥΛΑΚΗ</t>
  </si>
  <si>
    <t>ΚΟΥΚΟΥΛΑΝΑΚΗΣ</t>
  </si>
  <si>
    <t>ΚΟΥΚΟΥΡΑ</t>
  </si>
  <si>
    <t>ΧΑΡΙΔ</t>
  </si>
  <si>
    <t>spykoukouraki@yahoo.gr</t>
  </si>
  <si>
    <t>ΚΟΥΛΕΝΤΑΚΗ</t>
  </si>
  <si>
    <t>ΚΟΥΛΙΑΚΗΣ</t>
  </si>
  <si>
    <t>ΚΟΥΛΙΕΡΑΚΗ</t>
  </si>
  <si>
    <t>ΚΟΥΛΟΥΔΗ</t>
  </si>
  <si>
    <t>soula.koumaki@hahoo.gr</t>
  </si>
  <si>
    <t>ΚΟΥΜΠΑΓΙΩΤΗ</t>
  </si>
  <si>
    <t>ΚΟΥΝΑΛΑΚΗ</t>
  </si>
  <si>
    <t>ΚΟΥΝΕΝΑΚΗ</t>
  </si>
  <si>
    <t>Sofaki_koun@hotmail.gr</t>
  </si>
  <si>
    <t>ΚΟΥΝΕΝΟΥ</t>
  </si>
  <si>
    <t>ΚΟΥΝΤΟΥΡΗ</t>
  </si>
  <si>
    <t>mkountouri@gmail.com</t>
  </si>
  <si>
    <t>ΚΟΥΝΤΟΥΡΗΣ</t>
  </si>
  <si>
    <t>Renakouraki@outlook.com</t>
  </si>
  <si>
    <t>ΚΟΥΡΔΗ</t>
  </si>
  <si>
    <t>ΚΟΥΡΙΔΑΚΗΣ</t>
  </si>
  <si>
    <t>ΚΟΥΡΜΠΕΤΗ</t>
  </si>
  <si>
    <t>ΚΟΥΡΟΥ</t>
  </si>
  <si>
    <t>ΠΑΡΑΣΚΕΥH</t>
  </si>
  <si>
    <t>ΧΡΙΣΤΟΦΟ</t>
  </si>
  <si>
    <t>anastasia_Kou@hotmail.gr</t>
  </si>
  <si>
    <t>ΚΟΥΣΑΡΗ</t>
  </si>
  <si>
    <t>ΚΟΥΣΚΟΥΡΙΔΑ</t>
  </si>
  <si>
    <t>ΦΡΑΓΚΟΥΛΑ</t>
  </si>
  <si>
    <t>ΚΟΥΣΛΗΣ</t>
  </si>
  <si>
    <t>despinakoutent@yahoo.gr</t>
  </si>
  <si>
    <t>ΚΟΥΤΕΝΤΑΚΗΣ</t>
  </si>
  <si>
    <t>gkoutentakis64@outlook.com</t>
  </si>
  <si>
    <t>ΟΛΟΗΜΕΡΟ ΔΗΜΟΤΙΚΟ ΣΧΟΛΕΙΟ ΑΡΒΗΣ</t>
  </si>
  <si>
    <t>mail@dim-arvis.ira.sch.gr</t>
  </si>
  <si>
    <t>ΚΟΥΤΟΥΛΑΚΗ</t>
  </si>
  <si>
    <t>ΝΗΠΙΑΓΩΓΕΙΟ ΕΛΙΑΣ</t>
  </si>
  <si>
    <t>mail@nip-elaias.ira.sch.gr</t>
  </si>
  <si>
    <t>frosokoytsaki@hotmail.gr</t>
  </si>
  <si>
    <t>21ο  ΝΗΠΙΑΓΩΓΕΙΟ ΗΡΑΚΛΕΙΟΥ</t>
  </si>
  <si>
    <t>mail@21nip-irakl.ira.sch.gr</t>
  </si>
  <si>
    <t>ΚΟΥΤΣΑΥΤΑΚΗ</t>
  </si>
  <si>
    <t>ΚΟΥΤΣΙΚΟΥ</t>
  </si>
  <si>
    <t>parikouts@hotmail.gr</t>
  </si>
  <si>
    <t>ΚΟΥΤΣΟΓΙΑΝΝΑΚΗ</t>
  </si>
  <si>
    <t>akoutsogiannaki@yahoo.com</t>
  </si>
  <si>
    <t>ΚΟΥΤΣΟΓΙΑΝΝΗΣ</t>
  </si>
  <si>
    <t>ΚΟΥΤΣΟΔΟΝΤΗ</t>
  </si>
  <si>
    <t>ΚΟΥΤΣΟΘΑΝΑΣΗ</t>
  </si>
  <si>
    <t>ΠΡΕΣΒΕΙΑ-ΜΑΡΙΑ</t>
  </si>
  <si>
    <t>ΝΗΠΙΑΓΩΓΕΙΟ ΣΓΟΥΡΟΚΕΦΑΛΙΟΥ</t>
  </si>
  <si>
    <t>mail@nip-sgour.ira.sch.gr</t>
  </si>
  <si>
    <t>ΣΓΟΥΡΟΚΕΦΑΛΙΟΥ</t>
  </si>
  <si>
    <t>ΚΟΥΤΣΟΥΔΑΚΗ</t>
  </si>
  <si>
    <t>ΚΛΗΜΕΝΤΙΟΣ</t>
  </si>
  <si>
    <t>ΚΟΥΤΣΟΥΔΑΚΗΣ</t>
  </si>
  <si>
    <t>giorgoskoutsoudakis@gmail.com</t>
  </si>
  <si>
    <t>ΚΟΥΤΣΟΥΡΑΚΗ</t>
  </si>
  <si>
    <t>riakf40@gmail.com</t>
  </si>
  <si>
    <t>ΕΙΔΙΚΟ ΔΗΜΟΤΙΚΟ ΣΧΟΛΕΙΟ ΗΡΑΚΛΕΙΟ-ΚΡΗΤΗΣ - ΕΙΔΙΚΟ ΔΗΜΟΤΙΚΟ ΣΧΟΛΕΙΟ ΚΩΦΩΝ ΒΑΡΗΚΟΩΝ ΗΡΑΚΛΕΙΟΥ</t>
  </si>
  <si>
    <t>mail@dim-ekv-irakl.ira.sch.gr</t>
  </si>
  <si>
    <t>ΚΟΥΦΟΓΙΑΝΝΗ</t>
  </si>
  <si>
    <t>ritaki_k@hotmail.com</t>
  </si>
  <si>
    <t>ΚΟΥΦΟΥ</t>
  </si>
  <si>
    <t>evakrevetz@yahoo.gr</t>
  </si>
  <si>
    <t>29ο  ΝΗΠΙΑΓΩΓΕΙΟ ΗΡΑΚΛΕΙΟΥ</t>
  </si>
  <si>
    <t>mail@29nip-irakl.ira.sch.gr</t>
  </si>
  <si>
    <t>athikri89@gmail.com</t>
  </si>
  <si>
    <t>ΚΡΙΑΡΑ</t>
  </si>
  <si>
    <t>sofkri@yahoo.gr</t>
  </si>
  <si>
    <t>103/24-06-1993</t>
  </si>
  <si>
    <t>ΚΡΙΚΩΝΗΣ</t>
  </si>
  <si>
    <t>ΟΡΕΣΤΗΣ-ΑΝΑΣΤΑΣΙΟΣ</t>
  </si>
  <si>
    <t>ΚΡΙΤΣΙΛΙΔΟΥ</t>
  </si>
  <si>
    <t>55ο ΝΗΠΙΑΓΩΓΕΙΟ ΗΡΑΚΛΕΙΟΥ</t>
  </si>
  <si>
    <t>mail@55nip-irakl.ira.sch.gr</t>
  </si>
  <si>
    <t>sofia.krits@gmail.com</t>
  </si>
  <si>
    <t>ΧΡΙΣΤΙΝΑ-ΝΙΟ</t>
  </si>
  <si>
    <t>ΣΤΑΥΡΙΤΣΑ</t>
  </si>
  <si>
    <t>ΚΡΟΘΙΑΝΑΚΗ</t>
  </si>
  <si>
    <t>37ο ΟΛΟΗΜΕΡΟ ΝΗΠΙΑΓΩΓΕΙΟ ΗΡΑΚΛΕΙΟΥ</t>
  </si>
  <si>
    <t>mail@37nip-irakl.ira.sch.gr</t>
  </si>
  <si>
    <t>ΚΡΟΥΣΤΑΛΙΔΟΥ</t>
  </si>
  <si>
    <t>siskrou@gmail.com</t>
  </si>
  <si>
    <t>249 τ/Γ΄</t>
  </si>
  <si>
    <t>ΚΡΟΥΣΤΑΛΛΑΚΗ</t>
  </si>
  <si>
    <t>mkroustallaki@yahoo.gr</t>
  </si>
  <si>
    <t>maria_kroust@yahoo.com</t>
  </si>
  <si>
    <t>athinoula85@hotmail.com</t>
  </si>
  <si>
    <t>10ο Ολοήμερο Νηπιαγωγείο Ηρακλείου</t>
  </si>
  <si>
    <t>mail@10nip-irakl.ira.sch.gr</t>
  </si>
  <si>
    <t>ΟΥΡΑΝΙΑ-ΕΥΑΓΓΕΛΙΑ</t>
  </si>
  <si>
    <t>marikark@yahoo.gr</t>
  </si>
  <si>
    <t>ΚΥΚΕΡΙΔΟΥ</t>
  </si>
  <si>
    <t>3ο ΟΛΟΗΜΕΡΟ ΝΗΠΙΑΓΩΓΕΙΟ ΒΟΥΤΕΣ</t>
  </si>
  <si>
    <t>mail@3nip-vouton.ira.sch.gr</t>
  </si>
  <si>
    <t>akypriotakis@yahoo.gr</t>
  </si>
  <si>
    <t>ΚΥΡΑΛΑΚΗΣ</t>
  </si>
  <si>
    <t>ΚΥΡΙΑΖΗ</t>
  </si>
  <si>
    <t>poppykyriakaki@gmail.com</t>
  </si>
  <si>
    <t>17ο ΝΗΠΙΑΓΩΓΕΙΟ ΗΡΑΚΛΕΙΟΥ</t>
  </si>
  <si>
    <t>mail@17nip-irakl.ira.sch.gr</t>
  </si>
  <si>
    <t>ΚΥΡΙΑΚΙΔΟΥ</t>
  </si>
  <si>
    <t>ΕΙΡΗΝΗ-ΡΑΦΑΗΛΙΑ</t>
  </si>
  <si>
    <t>ΚΥΡΛΑΚΗ</t>
  </si>
  <si>
    <t>ΚΩΝΙΟΥ</t>
  </si>
  <si>
    <t>antkoniou@hotmail.gr</t>
  </si>
  <si>
    <t>garyfaliakonstantaki@yahoo.gr</t>
  </si>
  <si>
    <t>nikoskwn@hotmail.com</t>
  </si>
  <si>
    <t>ΚΩΝΣΤΑΝΤΑΤΟΣ</t>
  </si>
  <si>
    <t>ΚΩΝΣΤΑΝΤΗΣ</t>
  </si>
  <si>
    <t>ΚΩΝΣΤΑΝΤΙΝΙΔΗΣ</t>
  </si>
  <si>
    <t>nellykon@hotmail.com</t>
  </si>
  <si>
    <t>ΕΙΔΙΚΟ ΝΗΠΙΑΓΩΓΕΙΟ ΜΟΙΡΩΝ - ΠΟΜΠΙΑ</t>
  </si>
  <si>
    <t>mail@nip-eid-moiron.ira.sch.gr</t>
  </si>
  <si>
    <t>ΣΤΕΛΑ ΜΑΡΙΝΑ</t>
  </si>
  <si>
    <t>ΚΩΣΤΑΚΟΠΟΥΛΟΥ</t>
  </si>
  <si>
    <t>ΘΩΜΑΪΣ</t>
  </si>
  <si>
    <t>ΚΩΣΤΑΡΕΛΟΥ</t>
  </si>
  <si>
    <t>ΖΩΗ-ΠΑΡΑΣΚΕΥΗ</t>
  </si>
  <si>
    <t>z.kostarelou@gmail.com</t>
  </si>
  <si>
    <t>ΚΩΣΤΑΡΕΣ</t>
  </si>
  <si>
    <t>ΚΩΣΤΕΝΗΣ</t>
  </si>
  <si>
    <t>lefteris.kost@gmail.com</t>
  </si>
  <si>
    <t>ΚΩΣΤΙΔΟΥ</t>
  </si>
  <si>
    <t>ΚΩΣΤΟΠΟΥΛΟΥ</t>
  </si>
  <si>
    <t>ΚΩΤΣΗ</t>
  </si>
  <si>
    <t>ΝΙΚΟΛΑΟΣ-ΚΩΝΣΤΑΝΤΙΝΟΣ</t>
  </si>
  <si>
    <t>lagouvardou_marina@yahoo.gr</t>
  </si>
  <si>
    <t>ΛΑΓΟΓΙΑΝΝΗ</t>
  </si>
  <si>
    <t>ΛΑΓΟΥ</t>
  </si>
  <si>
    <t>ΟΛΟΗΜΕΡΟ ΝΗΠΙΑΓΩΓΕΙΟ ΜΟΧΟΥ</t>
  </si>
  <si>
    <t>mail@nip-mochou.ira.sch.gr</t>
  </si>
  <si>
    <t>ΛΑΔΙΑΝΟΥ</t>
  </si>
  <si>
    <t>ΛΑΔΩΜΕΝΟΥ</t>
  </si>
  <si>
    <t>ΑΝΔΡΙΑΝΗ-ΕΛΕ</t>
  </si>
  <si>
    <t>ΛΑΖΑΝΑΚΗ</t>
  </si>
  <si>
    <t>zampila@gmail.com</t>
  </si>
  <si>
    <t>ΣΤΡΑΤΟΣ</t>
  </si>
  <si>
    <t>dimlaz@hotmail.com</t>
  </si>
  <si>
    <t>ΛΑΪΟΥ</t>
  </si>
  <si>
    <t>ΛΑΜΠΑΔΑΡΗ</t>
  </si>
  <si>
    <t>ΛΑΜΠΟΥΡΑ</t>
  </si>
  <si>
    <t>ΝΗΠΙΑΓΩΓΕΙΟ ΚΑΒΡΟΧΩΡΙ</t>
  </si>
  <si>
    <t>mail@nip-kavroch.ira.sch.gr</t>
  </si>
  <si>
    <t>ΧΑΡΙΚΛΕΙΑ ΑΝ</t>
  </si>
  <si>
    <t>emlampraki@sch.gr</t>
  </si>
  <si>
    <t>ΛΑΜΠΡΙΑΝΙΔΟΥ</t>
  </si>
  <si>
    <t>ΜΕΛΙΤΣΑ</t>
  </si>
  <si>
    <t>ΛΑΜΠΡΟΓΙΑΝΝΑΚΗΣ</t>
  </si>
  <si>
    <t>ofiii@yahoo.gr</t>
  </si>
  <si>
    <t>ΛΑΜΠΡΟΠΟΥΛΟΥ</t>
  </si>
  <si>
    <t>litsalampsa@yahoo.it</t>
  </si>
  <si>
    <t>ΛΑΟΥΜΤΖΗ</t>
  </si>
  <si>
    <t>nektarialaoumtzi@yahoo.gr</t>
  </si>
  <si>
    <t>ΛΑΠΟΡΔΑ</t>
  </si>
  <si>
    <t>1ο ΝΗΠΙΑΓΩΓΕΙΟ ΒΟΥΤΕΣ</t>
  </si>
  <si>
    <t>mail@1nip-vouton.ira.sch.gr</t>
  </si>
  <si>
    <t>MAΡΙΑΝΑ</t>
  </si>
  <si>
    <t>ΛΑΣΚΑΡΕΛΙΑ</t>
  </si>
  <si>
    <t>ΛΑΤΣΑΡΑ</t>
  </si>
  <si>
    <t>ΟΛΟΗΜΕΡΟ ΝΗΠΙΑΓΩΓΕΙΟ ΣΚΑΛΑΝΙΟΥ</t>
  </si>
  <si>
    <t>mail@nip-skalan.ira.sch.gr</t>
  </si>
  <si>
    <t>ΛΕΒΕΝΤΑΚΟΥ</t>
  </si>
  <si>
    <t>georgialev19@gmail.com</t>
  </si>
  <si>
    <t>kalperdi@yahoo.gr</t>
  </si>
  <si>
    <t>ΛΕΙΒΑΔΙΩΤΑΚΗ</t>
  </si>
  <si>
    <t>ΛΕΪΜΟΝΙΤΗ</t>
  </si>
  <si>
    <t>ΛΕΙΤΟΥΡΓΑΚΗ</t>
  </si>
  <si>
    <t>lemonaki.valia@gmail.com</t>
  </si>
  <si>
    <t>ΛΕΝΤΥΚ</t>
  </si>
  <si>
    <t>ΜΑΛΒΙΝΑ</t>
  </si>
  <si>
    <t>ΛΕΠΙΔΑ</t>
  </si>
  <si>
    <t>ΛΕΠΤΟΚΑΡΙΔΟΥ</t>
  </si>
  <si>
    <t>leptokar@gmail.com</t>
  </si>
  <si>
    <t>ΛΕΡΑ</t>
  </si>
  <si>
    <t>elenal@hotmail.gr</t>
  </si>
  <si>
    <t>ΛΕΡΙΟΣ</t>
  </si>
  <si>
    <t>ΛΕΥΚΟΠΟΥΛΟΣ</t>
  </si>
  <si>
    <t>ΛΗΜΝΙΟΥ</t>
  </si>
  <si>
    <t>limniaki@yahoo.gr</t>
  </si>
  <si>
    <t>ΛΙΑΓΚΑ</t>
  </si>
  <si>
    <t>ΣΤΕΡΙΑΝΗ</t>
  </si>
  <si>
    <t>mariannaliaga@gmail.com</t>
  </si>
  <si>
    <t>ΛΙΑΔΑΚΗ</t>
  </si>
  <si>
    <t>liadaki.x@hotmail.com</t>
  </si>
  <si>
    <t>ΛΙΑΚΑ</t>
  </si>
  <si>
    <t>ΛΙΑΚΑΚΗ</t>
  </si>
  <si>
    <t>7ο ΝΗΠΙΑΓΩΓΕΙΟ ΝΕΑΣ ΑΛΙΚΑΡΝΑΣΣΟΥ</t>
  </si>
  <si>
    <t>mail@7nip-n-alikarn.ira.sch.gr</t>
  </si>
  <si>
    <t>ΝΕΡΑΝΤΖΑ</t>
  </si>
  <si>
    <t>ΛΙΒΑΣ</t>
  </si>
  <si>
    <t>livasvasilis@gmail.com</t>
  </si>
  <si>
    <t>ΛΙΘΟΞΟΟΣ</t>
  </si>
  <si>
    <t>ΛΙΛΕΣ</t>
  </si>
  <si>
    <t>77ο ΝΗΠΙΑΓΩΓΕΙΟ ΗΡΑΚΛΕΙΟΥ</t>
  </si>
  <si>
    <t>mail@77nip-irakl.ira.sch.gr</t>
  </si>
  <si>
    <t>ΛΙΛΙΤΣΗΣ</t>
  </si>
  <si>
    <t>ΛΙΝΑΡΔΟΥ</t>
  </si>
  <si>
    <t>2/θ ΝΗΠΙΑΓΩΓΕΙΟ ΚΟΚΚΙΝΗ ΧΑΝΙ</t>
  </si>
  <si>
    <t>mail@nip-kokkin.ira.sch.gr</t>
  </si>
  <si>
    <t>ΛΙΟΔΑΚΗ</t>
  </si>
  <si>
    <t>ΛΙΟΝΗ</t>
  </si>
  <si>
    <t>ΖΑΜΠΕΛΛΑ</t>
  </si>
  <si>
    <t>kalion@sch.gr</t>
  </si>
  <si>
    <t>ΕΛΕΥΘΕΡΙΑ ΑΝ</t>
  </si>
  <si>
    <t>ΣΑΡΑ</t>
  </si>
  <si>
    <t>217/1-9-2005</t>
  </si>
  <si>
    <t>1/ΘΕΣΙΟ ΝΗΠΙΑΓΩΓΕΙΟ ΤΥΛΙΣΟΥ</t>
  </si>
  <si>
    <t>mail@nip-tylis.ira.sch.gr</t>
  </si>
  <si>
    <t>ΛΟΥΚΑ</t>
  </si>
  <si>
    <t>ΝΗΠΙΑΓΩΓEΙΟ ΜΕΣΟΧΩΡΙΟΥ</t>
  </si>
  <si>
    <t>mail@nip-mesoch.ira.sch.gr</t>
  </si>
  <si>
    <t>ΜΕΣΟΧΩΡΙΟΥ</t>
  </si>
  <si>
    <t>ΛΟΥΚΙΔΗ</t>
  </si>
  <si>
    <t>ΛΟΥΛΟΥΔΑΚΗ</t>
  </si>
  <si>
    <t>ΛΟΥΛΟΥΔΗ</t>
  </si>
  <si>
    <t>klairi_louloudi@hotmail.com</t>
  </si>
  <si>
    <t>61ο ΝΗΠΙΑΓΩΓΕΙΟ ΗΡΑΚΛΕΙΟΥ</t>
  </si>
  <si>
    <t>mail@61nip-irakl.ira.sch.gr</t>
  </si>
  <si>
    <t>ΛΟΥΝΤΖΗ</t>
  </si>
  <si>
    <t>52ο ΝΗΠΙΑΓΩΓΕΙΟ ΗΡΑΚΛΕΙΟΥ</t>
  </si>
  <si>
    <t>mail@52nip-irakl.ira.sch.gr</t>
  </si>
  <si>
    <t>ΛΟΥΠΑΚΗ</t>
  </si>
  <si>
    <t>ΛΟΥΦΟΠΟΥΛΟΥ</t>
  </si>
  <si>
    <t>ΜΟΡΦΩ</t>
  </si>
  <si>
    <t>9/9/2005/225</t>
  </si>
  <si>
    <t>ΛΥΠΑΚΗ</t>
  </si>
  <si>
    <t>nemoulin@otenet.gr</t>
  </si>
  <si>
    <t>ΛΥΠΑΡΑΚΗ</t>
  </si>
  <si>
    <t>ΛΥΡΑΝΤΖΑΚΗ</t>
  </si>
  <si>
    <t>ΛΥΡΑΡΑΚΗ</t>
  </si>
  <si>
    <t>ΛΥΤΡΟΣΥΓΓΟΥΝΗ</t>
  </si>
  <si>
    <t>ΝΗΠΙΑΓΩΓΕΙΟ ΣΤΟΛΩΝ</t>
  </si>
  <si>
    <t>ail@nip-stolon.ira.sch.gr</t>
  </si>
  <si>
    <t>ΛΩΤΑ</t>
  </si>
  <si>
    <t>ΜΑΓΚΛΑΡΑ</t>
  </si>
  <si>
    <t>gioulimag@hotmail.gr</t>
  </si>
  <si>
    <t>ΜΑΓΡΙΠΛΗ</t>
  </si>
  <si>
    <t>fmagripli@yahoo.gr</t>
  </si>
  <si>
    <t>ΜΑΖΑΡΑΚΙΩΤΗ</t>
  </si>
  <si>
    <t>ΜΑΖΙΤΣΟΣ</t>
  </si>
  <si>
    <t>geomazits@yahoo.gr</t>
  </si>
  <si>
    <t>mathioudakiefi@gmail.com</t>
  </si>
  <si>
    <t>k.mathioudaki@yahoo.gr</t>
  </si>
  <si>
    <t>mmathioudaki@yahoo.gr</t>
  </si>
  <si>
    <t>165/2-9-98</t>
  </si>
  <si>
    <t>179/1-9-97</t>
  </si>
  <si>
    <t>ΜΑΘΙΟΥΛΑΚΗ</t>
  </si>
  <si>
    <t>ΜΑΚΑΚΗΣ</t>
  </si>
  <si>
    <t>ΠΕ91.01.50</t>
  </si>
  <si>
    <t>ΘΕΑΤΡΙΚΩΝ ΣΠΟΥΔΩΝ ΕΙΔΙΚΗΣ ΑΓΩΓΗΣ</t>
  </si>
  <si>
    <t>ΑΝΔΡΟΝΙΚΗ-ΜΑΡΙΑ</t>
  </si>
  <si>
    <t>ΑΛΚΜΗΝΗ</t>
  </si>
  <si>
    <t>makragia@yahoo.gr</t>
  </si>
  <si>
    <t>makrakisg@mail.com</t>
  </si>
  <si>
    <t>ΜΑΚΡΗΣ</t>
  </si>
  <si>
    <t>ΜΑΚΡΟΓΙΑΝΝΑΚΗ</t>
  </si>
  <si>
    <t>ΜΑΚΡΥΓΕΩΡΓΟΥ</t>
  </si>
  <si>
    <t>angelmak6@gmail.com</t>
  </si>
  <si>
    <t>emmamakry@hotmail.com</t>
  </si>
  <si>
    <t>ΜΑΛΙΓΙΑΝΝΗ</t>
  </si>
  <si>
    <t>poppymal@yahoo.gr</t>
  </si>
  <si>
    <t>ΜΑΛΛΙΑΡΑΚΗ</t>
  </si>
  <si>
    <t>ΜΑΛΛΙΑΡΟΣ</t>
  </si>
  <si>
    <t>ΜΑΛΛΙΑΤΣΟΥ</t>
  </si>
  <si>
    <t>ΠΑΓΩΝΙΤΣΑ</t>
  </si>
  <si>
    <t>ΜΑΛΛΟΥ</t>
  </si>
  <si>
    <t>ΛΙΘΑΡΕΝΙΑ</t>
  </si>
  <si>
    <t>ΜΑΛΤΕΖΑΚΗ</t>
  </si>
  <si>
    <t>ΔΗΜΟΤΙΚΟ ΣΧΟΛΕΙΟ ΣΓΟΥΡΟΚΕΦΑΛΙ</t>
  </si>
  <si>
    <t>mail@dim-sgour.ira.sch.gr</t>
  </si>
  <si>
    <t>ΜΑΛΤΙΔΗΣ</t>
  </si>
  <si>
    <t>ΜΑΜΟΥΛΑΚΗ</t>
  </si>
  <si>
    <t>imamoulaki@gmail.com</t>
  </si>
  <si>
    <t>2ο ΝΗΠΙΑΓΩΓΕΙΟ ΚΡΟΥΣΩΝΑ</t>
  </si>
  <si>
    <t>mail@2nip-krous.ira.sch.gr</t>
  </si>
  <si>
    <t>ΜΑΝΑΝΑ</t>
  </si>
  <si>
    <t>ΜΑΝΑΣΑΚΗΣ</t>
  </si>
  <si>
    <t>ΜΑΝΑΦΗ</t>
  </si>
  <si>
    <t>nataprilstar@gmail.com</t>
  </si>
  <si>
    <t>ΜΑΝΙΑΔΗ ΠΑΠΑΔΑΚΗ</t>
  </si>
  <si>
    <t>ΜΑΝΙΑΚΑ</t>
  </si>
  <si>
    <t>elenama89@gahoo.gr</t>
  </si>
  <si>
    <t>ΜΑΝΙΩΡΟΥ</t>
  </si>
  <si>
    <t>ΜΑΝΟΥΗΛΙΔΟΥ</t>
  </si>
  <si>
    <t>manmorf@gmail.com</t>
  </si>
  <si>
    <t xml:space="preserve">ΕΜΜΑΝΟΥΗΛ </t>
  </si>
  <si>
    <t>manousakieirini@yahoo.gr</t>
  </si>
  <si>
    <t>Δημοτικό Σχολείο Ευρωπαϊκής Παιδείας</t>
  </si>
  <si>
    <t>ΔΗΜΟΤΙΚΟ ΣΧΟΛΕΙΟ ΕΥΡΩΠΑΪΚΗΣ ΠΑΙΔΕΙΑΣ ΗΡΑΚΛΕΙΟΥ</t>
  </si>
  <si>
    <t>mail@dim-eur-edu.ira.sch.gr</t>
  </si>
  <si>
    <t xml:space="preserve"> ΕΥΑΓΓΕΛΙΑ </t>
  </si>
  <si>
    <t>ΜΑΝΟΥΣΕΛΗ</t>
  </si>
  <si>
    <t>ΜΑΝΟΥΣΟΥ</t>
  </si>
  <si>
    <t>ΜΑΝΤΑ</t>
  </si>
  <si>
    <t>xrmanta@gmail.com</t>
  </si>
  <si>
    <t>ΜΑΝΤΖΑΡΗ</t>
  </si>
  <si>
    <t>ΜΑΝΤΖΟΥ</t>
  </si>
  <si>
    <t>ΜΑΝΤΖΟΥΚΑ</t>
  </si>
  <si>
    <t>ΜΑΝΩΛΑΚΗ</t>
  </si>
  <si>
    <t>ΤΣΑΜΠΙΚΑ</t>
  </si>
  <si>
    <t>mariamanolarake@gmail.com</t>
  </si>
  <si>
    <t>ΜΑΝΩΛΙΤΣΑΚΗΣ</t>
  </si>
  <si>
    <t>manolitsakis@hotmail.com</t>
  </si>
  <si>
    <t>ΜΑΝΩΛΤΖΑΣ</t>
  </si>
  <si>
    <t>kman@staff.teicrete.gr</t>
  </si>
  <si>
    <t>eleftheria@cheiloudakis.gr</t>
  </si>
  <si>
    <t>eva_maragaki@hotmail.gr</t>
  </si>
  <si>
    <t>jmaragkakis@sch.gr</t>
  </si>
  <si>
    <t>ΚΩΝΤΑΝΤΙΝΟΣ</t>
  </si>
  <si>
    <t>ΦΡΑΓΚΙΣΚ</t>
  </si>
  <si>
    <t>virginiamaraki@yahoo.gr</t>
  </si>
  <si>
    <t>elenimaraki4@gmail.com</t>
  </si>
  <si>
    <t>stmarak@gmail.com</t>
  </si>
  <si>
    <t>smaraki78@gmail.com</t>
  </si>
  <si>
    <t>chrysimar@gmail.com</t>
  </si>
  <si>
    <t>ΜΑΡΑΚΟΜΙΧΕΛΑΚΗ</t>
  </si>
  <si>
    <t>marakomichelakis@gmail.com</t>
  </si>
  <si>
    <t>43ο  ΝΗΠΙΑΓΩΓΕΙΟ ΗΡΑΚΛΕΙΟΥ - ΤΑΛΩΣ</t>
  </si>
  <si>
    <t>mail@43nip-irakl.ira.sch.gr</t>
  </si>
  <si>
    <t>ΜΑΡΓΕΤΑ</t>
  </si>
  <si>
    <t>ΜΑΡΗ</t>
  </si>
  <si>
    <t>ΚΟΤΖΙΑΣ</t>
  </si>
  <si>
    <t>ΜΑΡΗΣ</t>
  </si>
  <si>
    <t>ΜΑΡΙΔΑΚΗ</t>
  </si>
  <si>
    <t>ΔΗΜΟΤΙΚΟ ΣΧΟΛΕΙΟ ΑΝΩ ΑΣΙΤΩΝ</t>
  </si>
  <si>
    <t>mail@dim-asiton.ira.sch.gr</t>
  </si>
  <si>
    <t>ΑΝΩ ΑΣΙΤΩΝ</t>
  </si>
  <si>
    <t>grigoris.markakis@gmail.com</t>
  </si>
  <si>
    <t>ΠΟΛΥΧΡΟΝΗΣ</t>
  </si>
  <si>
    <t>markakispol@yahoo.gr</t>
  </si>
  <si>
    <t>33ο ΟΛΟΗΜΕΡΟ ΝΗΠΙΑΓΩΓΕΙΟ ΗΡΑΚΛΕΙΟΥ</t>
  </si>
  <si>
    <t>mail@33nip-irakl.ira.sch.gr</t>
  </si>
  <si>
    <t>ΠΑΝΤΕ</t>
  </si>
  <si>
    <t>ΜΑΡΚΑΤΑΤΟΥ</t>
  </si>
  <si>
    <t>ΑΝΤΑΛΚΙΔΑΣ</t>
  </si>
  <si>
    <t>antalkidas@in.gr</t>
  </si>
  <si>
    <t>ΜΑΡΚΟΔΗΜΗΤΡΑΚΗΣ</t>
  </si>
  <si>
    <t>nikosmark4@yahoo.gr</t>
  </si>
  <si>
    <t>rozemarkak@yahoo.gr</t>
  </si>
  <si>
    <t>ΜΑΡΝΕΛΟΥ</t>
  </si>
  <si>
    <t>ΜΑΡΣΕΛΟΥ</t>
  </si>
  <si>
    <t>matmars7@gmail.com</t>
  </si>
  <si>
    <t>ΜΑΡΤΑΚΗ</t>
  </si>
  <si>
    <t>20ο ΟΛΟΗΜΕΡΟ ΝΗΠΙΑΓΩΓΕΙΟ ΗΡΑΚΛΕΙΟΥ</t>
  </si>
  <si>
    <t>mail@20nip-irakl.ira.sch.gr</t>
  </si>
  <si>
    <t>ΜΑΡΤΙΝΟΥ</t>
  </si>
  <si>
    <t>taspap21@yahoo.gr</t>
  </si>
  <si>
    <t>ΜΑΣΤΟΡΑ</t>
  </si>
  <si>
    <t>2ο  ΝΗΠΙΑΓΩΓΕΙΟ ΑΓΙΑ ΜΑΡΙΝΑ</t>
  </si>
  <si>
    <t>mail@2nip-ag-marin.ira.sch.gr</t>
  </si>
  <si>
    <t>ΜΑΣΤΟΡΙΔΗ</t>
  </si>
  <si>
    <t>ΜΑΤΑΛΛΙΩΤΑΚΗ</t>
  </si>
  <si>
    <t>renmatal@gmail.com</t>
  </si>
  <si>
    <t>ΜΑΤΑΝΗ</t>
  </si>
  <si>
    <t>ΑΛΕΞΑΝΔΡΟΥ</t>
  </si>
  <si>
    <t>165/2-9-1998</t>
  </si>
  <si>
    <t>6ο ΝΗΠΙΑΓΩΓΕΙΟ ΝΕΑΣ ΑΛΙΚΑΡΝΑΣΣΟΥ</t>
  </si>
  <si>
    <t>mail@6nip-n-alikarn.ira.sch.gr</t>
  </si>
  <si>
    <t>ΜΑΤΖΑΡΑΚΗΣ</t>
  </si>
  <si>
    <t>ΜΑΤΖΑΡΙΔΟΥ</t>
  </si>
  <si>
    <t>ΒΕΝΕΤΑ</t>
  </si>
  <si>
    <t>petriliana@hotmail.gr</t>
  </si>
  <si>
    <t>ΜΑΤΖΙΤΖΗ</t>
  </si>
  <si>
    <t>45ο ΝΗΠΙΑΓΩΓΕΙΟ ΗΡΑΚΛΕΙΟΥ</t>
  </si>
  <si>
    <t>mail@45nip-irakl.ira.sch.gr</t>
  </si>
  <si>
    <t>mavrakaki77@hotmail.com</t>
  </si>
  <si>
    <t>des_mavraki@yahoo.gr</t>
  </si>
  <si>
    <t>mariamavraki@hotmail.com</t>
  </si>
  <si>
    <t>ΜΑΥΡΑΚΗΣ</t>
  </si>
  <si>
    <t>ΜΑΥΡΙΔΟΥ</t>
  </si>
  <si>
    <t>ΒΕΝΕΔΙΚΤΗ</t>
  </si>
  <si>
    <t>ΜΑΥΡΟΓΕΝΙΔΟΥ</t>
  </si>
  <si>
    <t>36ο ΝΗΠΙΑΓΩΓΕΙΟ ΗΡΑΚΛΕΙΟΥ</t>
  </si>
  <si>
    <t>mail@36nip-irakl.ira.sch.gr</t>
  </si>
  <si>
    <t>ΕΥΝΙΚΗ</t>
  </si>
  <si>
    <t>ΜΑΥΡΟΓΙΑΝΝΗΣ</t>
  </si>
  <si>
    <t>emm_mau@yahoo.gr</t>
  </si>
  <si>
    <t>ΜΑΥΡΟΚΟΥΚΟΥΛΑΚΗ</t>
  </si>
  <si>
    <t>ΔΗΜΟΤΙΚΟ ΣΧΟΛΕΙΟ ΜΕΣΟΧΩΡΙΟΥ</t>
  </si>
  <si>
    <t>mail@dim-mesoch.ira.sch.gr</t>
  </si>
  <si>
    <t>ΜΑΥΡΟΥ</t>
  </si>
  <si>
    <t>ΕΥΑΓΓΕΛΙΑ-ΓΕΩΡΓΙΑ</t>
  </si>
  <si>
    <t>ΙΩΑΝΝΑ -ΦΩΤΕ</t>
  </si>
  <si>
    <t>ΜΑΥΡΟΥΔΗΣ</t>
  </si>
  <si>
    <t>gemathiou@sch.gr</t>
  </si>
  <si>
    <t>ΣΑΝΤΡΟΝΙ</t>
  </si>
  <si>
    <t>imavroud@sch.gr</t>
  </si>
  <si>
    <t>ΜΑΥΡΟΦΟΡΟΥ</t>
  </si>
  <si>
    <t>34ο ΝΗΠΙΑΓΩΓΕΙΟ ΗΡΑΚΛΕΙΟΥ</t>
  </si>
  <si>
    <t>mail@34nip-irakl.ira.sch.gr</t>
  </si>
  <si>
    <t>ΜΑΧΙΑ</t>
  </si>
  <si>
    <t>ΜΕΓΓΕΝΙΔΗ</t>
  </si>
  <si>
    <t>ΜΕΘΥΜΑΚΗ</t>
  </si>
  <si>
    <t>ΜΕΙΜΑΡΗ</t>
  </si>
  <si>
    <t>dimitram58@yahoo.gr</t>
  </si>
  <si>
    <t>emei53@otenet.gr</t>
  </si>
  <si>
    <t>ΜΕΛΑ</t>
  </si>
  <si>
    <t>ΝΑΟΥΜ</t>
  </si>
  <si>
    <t>ΠΕΡΙΣΤΕΡΑ</t>
  </si>
  <si>
    <t>ΜΕΛΑΜΠΙΑΝΑΚΗ</t>
  </si>
  <si>
    <t>ΜΕΛΕΣΣΑΝΑΚΗ</t>
  </si>
  <si>
    <t>ΜΕΛΕΣΣΑΝΑΚΗΣ</t>
  </si>
  <si>
    <t>Vlassios09@hotmail.com</t>
  </si>
  <si>
    <t>ΜΕΛΕΤΑΚΗ</t>
  </si>
  <si>
    <t>ΜΕΛΕΤΑΚΗΣ</t>
  </si>
  <si>
    <t>ΣΠΥΡΙΔΩΝΑΣ</t>
  </si>
  <si>
    <t>ΜΕΛΙΟΠΟΥΛΟΥ</t>
  </si>
  <si>
    <t>ΔΡΟΣΙΑ</t>
  </si>
  <si>
    <t>drosiamel86@yahoo.gr</t>
  </si>
  <si>
    <t>ΜΕΛΙΣΣΟΥΡΓΑΚΗ</t>
  </si>
  <si>
    <t>ΕΥΓΕΝΙΟΣ</t>
  </si>
  <si>
    <t>ΜΕΛΙΤΣΟΠΟΥΛΟΥ</t>
  </si>
  <si>
    <t>themeli00@yahoo.gr</t>
  </si>
  <si>
    <t>ΜΕΛΙΩΤΗ</t>
  </si>
  <si>
    <t>stellamelioti@gmail.com</t>
  </si>
  <si>
    <t>ΜΕΝΤΖΑΚΗ</t>
  </si>
  <si>
    <t>ΜΕΝΤΖΙΝΗΣ</t>
  </si>
  <si>
    <t>ΜΕΝΤΙΔΑΚΗ</t>
  </si>
  <si>
    <t>1ο ΝΗΠΙΑΓΩΓΕΙΟ ΑΓΙΑΣ ΜΑΡΙΝΑΣ</t>
  </si>
  <si>
    <t>mail@1nip-ag-marin.ira.sch.gr</t>
  </si>
  <si>
    <t>ΜΕΡΑΜΒΕΛΙΩΤΑΚΗ</t>
  </si>
  <si>
    <t>ΜΕΣΣΗΝΗ</t>
  </si>
  <si>
    <t>nanametaxaki@gmail.com</t>
  </si>
  <si>
    <t>ΜΕΤΟΧΙΑΝΑΚΗ</t>
  </si>
  <si>
    <t>ΜΕΧΜΕΤ</t>
  </si>
  <si>
    <t>ΑΧΜΕΤ</t>
  </si>
  <si>
    <t>ΧΑΝΙΦΕ</t>
  </si>
  <si>
    <t>milgwgw@yahoo.gr</t>
  </si>
  <si>
    <t>ΜΗΛΑΘΙΑΝΑΚΗΣ</t>
  </si>
  <si>
    <t>161/Γ΄/3-9-1990</t>
  </si>
  <si>
    <t>ΘΕΟΔΟΥΛΗ ΣΤΕΛΛΑ</t>
  </si>
  <si>
    <t>stemi00@windowslive.com</t>
  </si>
  <si>
    <t>ΜΗΛΙΚΟΥ</t>
  </si>
  <si>
    <t>mariamilikoy@gmail.com</t>
  </si>
  <si>
    <t>ΜΗΝΑΔΑΚΗΣ</t>
  </si>
  <si>
    <t>minadgiorgos@yahoo.gr</t>
  </si>
  <si>
    <t>ΜΗΝΟΥ</t>
  </si>
  <si>
    <t>ΜΗΤΡΟΥΤΣΙΚΟΥ</t>
  </si>
  <si>
    <t>ΒΑΪΟΣ</t>
  </si>
  <si>
    <t>ΜΗΤΣΑΚΗ</t>
  </si>
  <si>
    <t>ΠΟΛΥΜΙΑ</t>
  </si>
  <si>
    <t>ΜΗΤΣΗ</t>
  </si>
  <si>
    <t>eiriniakr82@gmail.com</t>
  </si>
  <si>
    <t>ΜΙΑΡΗ</t>
  </si>
  <si>
    <t>ΜΙΓΑΔΑΚΗ</t>
  </si>
  <si>
    <t>ΜΙΖΗΣ</t>
  </si>
  <si>
    <t>komizis@yahoo.gr</t>
  </si>
  <si>
    <t>ΜΙΣΙΡΓΗΣ</t>
  </si>
  <si>
    <t>mmisirgi@sch.gr</t>
  </si>
  <si>
    <t>ΜΙΣΣΑΣ</t>
  </si>
  <si>
    <t>ΛΑΜΠΡ</t>
  </si>
  <si>
    <t>bubueleanna@yahoo.gr</t>
  </si>
  <si>
    <t>ΜΙΧΑΛΑΚΗ</t>
  </si>
  <si>
    <t>ΜΙΧΑΛΑΚΟΠΟΥΛΟΣ</t>
  </si>
  <si>
    <t>ΜΙΧΑΛΟΠΟΥΛΟΥ</t>
  </si>
  <si>
    <t>ΜΙΧΕΛΑΚΗ</t>
  </si>
  <si>
    <t>gianmichelakis@gmail.com</t>
  </si>
  <si>
    <t>ΜΙΧΕΛΗ</t>
  </si>
  <si>
    <t>ΜΙΧΕΛΟΠΟΥΛΟΥ</t>
  </si>
  <si>
    <t>ΜΙΧΕΛΟΥΔΑΚΗ</t>
  </si>
  <si>
    <t>ΝΗΠΙΑΓΩΓΕΙΟ ΑΓΙΟΥ ΣΥΛΛΑ</t>
  </si>
  <si>
    <t>mail@nip-ag-sylla.ira.sch.gr</t>
  </si>
  <si>
    <t>ΑΓΙΟΥ ΣΥΛΛΑ</t>
  </si>
  <si>
    <t>ΜΙΧΟΠΟΥΛΟΥ</t>
  </si>
  <si>
    <t>m-vasiliki@hotmail.com</t>
  </si>
  <si>
    <t>ΜΙΧΟΣ</t>
  </si>
  <si>
    <t>ΚΩΝ/ΝΟΣ</t>
  </si>
  <si>
    <t>me00472@cc.uoi.gr</t>
  </si>
  <si>
    <t>1ο ΔΗΜΟΤΙΚΟ ΣΧΟΛΕΙΟ ΒΟΥΤΩΝ</t>
  </si>
  <si>
    <t>mail@1dim-vouton.ira.sch.gr</t>
  </si>
  <si>
    <t>ΜΙΧΟΥ</t>
  </si>
  <si>
    <t>agathikal@yahoo.gr</t>
  </si>
  <si>
    <t>ΜΙΧΟΥΔΗΣ</t>
  </si>
  <si>
    <t>ΜΟΡΓΚΕΝΣΤΕΡΝ</t>
  </si>
  <si>
    <t>ΤΖΙΝΑ-ΕΡΙΝ-ΣΟΝΙΑ</t>
  </si>
  <si>
    <t>ΓΚΥΝΤΕΡ</t>
  </si>
  <si>
    <t>ΜΟΡΦΟΥΛΑΚΗ</t>
  </si>
  <si>
    <t>marmorf09@gmail.com</t>
  </si>
  <si>
    <t>agapimoudatsaki@yahoo.gr</t>
  </si>
  <si>
    <t>ΜΟΥΛΑΚΑΚΗ</t>
  </si>
  <si>
    <t>63ΔΘ4653ΠΣ-ΥΥ7</t>
  </si>
  <si>
    <t>ΜΟΥΡΑΤΙΔΗ</t>
  </si>
  <si>
    <t>ΜΟΥΡΤΖΑΚΗ</t>
  </si>
  <si>
    <t>ΑΛΚΙΒΙΑΔ</t>
  </si>
  <si>
    <t>valia_mour@hotmail.com</t>
  </si>
  <si>
    <t>evamou26@hotmail.gr</t>
  </si>
  <si>
    <t>3ο 2/Θ ΟΛΟΗΜΕΡΟ ΝΗΠΙΑΓΩΓΕΙΟ ΑΡΧΑΝΩΝ</t>
  </si>
  <si>
    <t>mail@3nip-archan.ira.sch.gr</t>
  </si>
  <si>
    <t>xaram87@hotmail.gr</t>
  </si>
  <si>
    <t>ΜΟΥΡΤΖΙΔΗΣ</t>
  </si>
  <si>
    <t xml:space="preserve">ΜΟΥΡΤΖΙΛΑ </t>
  </si>
  <si>
    <t>ΜΟΥΣΑ</t>
  </si>
  <si>
    <t>ΧΕΜΠΑ</t>
  </si>
  <si>
    <t>ΦΑΧΡΙ</t>
  </si>
  <si>
    <t>ΜΟΥΣΙΚΑ</t>
  </si>
  <si>
    <t>eustratiamousi@hotmail.gr</t>
  </si>
  <si>
    <t>ΜΟΥΣΤΟΥ</t>
  </si>
  <si>
    <t>ΜΟΥΤΑΦΙΔΗΣ</t>
  </si>
  <si>
    <t>ΔΗΜΟΤΙΚΟ ΣΧΟΛΕΙΟ ΜΗΤΡΟΠΟΛΗΣ</t>
  </si>
  <si>
    <t>mail@dim-mitrop.ira.sch.gr</t>
  </si>
  <si>
    <t>ΜΗΤΡΟΠΟΛΕΩΣ</t>
  </si>
  <si>
    <t>ΜΟΥΤΑΦΙΔΟΥ</t>
  </si>
  <si>
    <t>ΜΟΥΤΟΠΟΥΛΟΣ</t>
  </si>
  <si>
    <t>glyrarak@gmail.com</t>
  </si>
  <si>
    <t>ΜΟΥΤΣΑΚΗΣ</t>
  </si>
  <si>
    <t>geormout@gmail.com</t>
  </si>
  <si>
    <t>ΜΥΡΟΔΑΝΘΗ</t>
  </si>
  <si>
    <t>ΜΠΑΓΙΑΤΗ</t>
  </si>
  <si>
    <t>eibagiat@yahoo.gr</t>
  </si>
  <si>
    <t>ΜΠΑΓΙΟΥΡΟΥΚΗ</t>
  </si>
  <si>
    <t>renaki1232008@windowslive.com</t>
  </si>
  <si>
    <t>ΜΠΑΓΚΟΥ</t>
  </si>
  <si>
    <t>dimitrisrogakos@yahoo.gr</t>
  </si>
  <si>
    <t>ΜΠΑΚΑΛΟΥΜΑ</t>
  </si>
  <si>
    <t>ΜΠΑΚΡΑΤΣΑ</t>
  </si>
  <si>
    <t>ΜΠΑΛΜΠΑΚΑΚΗ</t>
  </si>
  <si>
    <t>ΜΠΑΛΟΥΡΗ</t>
  </si>
  <si>
    <t>ΕΥΧΑΡΙΣ</t>
  </si>
  <si>
    <t>ΘΕΜΕΛΙΝΑ</t>
  </si>
  <si>
    <t>ΜΠΑΛΤΑΔΑΚΗ</t>
  </si>
  <si>
    <t>ebaltad@hotmail.com</t>
  </si>
  <si>
    <t>ΜΠΑΜΗ</t>
  </si>
  <si>
    <t>ΜΑΡΙΑ-ΙΡΙΔΑ</t>
  </si>
  <si>
    <t>ΜΠΑΜΠΑΛΟΥ</t>
  </si>
  <si>
    <t>mpampalou_theodora1@hotmail.com</t>
  </si>
  <si>
    <t>ΜΠΑΜΠΑΣΑΚΗ</t>
  </si>
  <si>
    <t>ΜΠΑΜΠΙΟΝΙΤΑΚΗ</t>
  </si>
  <si>
    <t>2894022231ΣΧ.</t>
  </si>
  <si>
    <t>dimitrampampionitaki@gmail.com</t>
  </si>
  <si>
    <t>ΜΠΑΡΚΑΣ</t>
  </si>
  <si>
    <t>ΓΕΡΑΣΙΜΟ</t>
  </si>
  <si>
    <t>ΜΠΑΡΜΠΑ</t>
  </si>
  <si>
    <t>ΜΠΑΡΜΠΑΓΑΔΑΚΗ</t>
  </si>
  <si>
    <t>ΜΠΑΡΜΠΟΥΝΗ</t>
  </si>
  <si>
    <t>ΜΠΑΡΟΥΤΑ</t>
  </si>
  <si>
    <t>ΜΠΑΡΧΑΜΠΑ</t>
  </si>
  <si>
    <t>ΜΠΑΣΔΑΝΗ</t>
  </si>
  <si>
    <t>ΜΠΑΤΣΗΣ</t>
  </si>
  <si>
    <t>ΜΠΑΧΤΣΕΒΑΝΗ</t>
  </si>
  <si>
    <t>karasts@gmail.com</t>
  </si>
  <si>
    <t>ΝΗΠΙΑΓΩΓΕΙΟ ΑΝΑΛΗΨΗΣ ΧΕΡΣΟΝΗΣΟΥ</t>
  </si>
  <si>
    <t>mail@nip-analips.ira.sch.gr</t>
  </si>
  <si>
    <t>ΜΠΕΖΙΡΓΙΑΝΝΗ</t>
  </si>
  <si>
    <t>ΜΠΕΚΙΑΡΗ</t>
  </si>
  <si>
    <t>elizadaner@gmail.com</t>
  </si>
  <si>
    <t>ΜΠΕΛΑΔΑΚΗ</t>
  </si>
  <si>
    <t>marbelad@gmail.com</t>
  </si>
  <si>
    <t>ΜΠΕΛΑΔΑΚΗΣ</t>
  </si>
  <si>
    <t>ebeladakis@sch.gr</t>
  </si>
  <si>
    <t>ΜΠΕΛΕΒΕΤΗ</t>
  </si>
  <si>
    <t>ΜΠΕΛΙΒΑΝΑΚΗ</t>
  </si>
  <si>
    <t>162/28-8-92</t>
  </si>
  <si>
    <t>ΜΠΕΛΙΒΑΝΑΚΗΣ</t>
  </si>
  <si>
    <t>tilembeli61@gmail.com</t>
  </si>
  <si>
    <t>ΜΠΕΛΙΒΑΝΗ</t>
  </si>
  <si>
    <t>ΜΠΕΛΙΤΣΟΥ</t>
  </si>
  <si>
    <t>ΜΠΕΛΟΓΙΑΝΝΗ</t>
  </si>
  <si>
    <t>exam-le555@hotmail.com</t>
  </si>
  <si>
    <t>ΜΠΕΜΠΕ</t>
  </si>
  <si>
    <t>ΜΠΕΝΕΤΑΚΗ</t>
  </si>
  <si>
    <t>mbenetaki@yahoo.it</t>
  </si>
  <si>
    <t>ΜΠΕΡΚΟΥΤΗ</t>
  </si>
  <si>
    <t>marikouti@gmail.com</t>
  </si>
  <si>
    <t>ΜΠΕΡΚΟΥΤΗΣ</t>
  </si>
  <si>
    <t>ΜΠΕΤΣΙΟΥ</t>
  </si>
  <si>
    <t>ΜΠΗΝΤΟΣ</t>
  </si>
  <si>
    <t>sterbi1@hotmail.com</t>
  </si>
  <si>
    <t>ΜΠΙΚΟΥ</t>
  </si>
  <si>
    <t>ΜΠΙΛΑΝΑΚΗ</t>
  </si>
  <si>
    <t>ypermaria@yahoo.gr</t>
  </si>
  <si>
    <t>ΜΠΙΜΠΑΚΗ</t>
  </si>
  <si>
    <t>abibaki@gmail.com</t>
  </si>
  <si>
    <t>ΜΠΙΝΙΧΑΚΗ</t>
  </si>
  <si>
    <t>ΜΠΙΝΥΧΑΚΗ</t>
  </si>
  <si>
    <t>3ο ΝΗΠΙΑΓΩΓΕΙΟ ΜΑΛΙΩΝ</t>
  </si>
  <si>
    <t>mail@3nip-malion.ira.sch.gr</t>
  </si>
  <si>
    <t>ΜΠΙΡΛΑΚΗ</t>
  </si>
  <si>
    <t>ΜΠΙΤΕΡΝΑ</t>
  </si>
  <si>
    <t>jbitsaki@yahoo.gr</t>
  </si>
  <si>
    <t>ΜΠΙΤΣΩΡΗ</t>
  </si>
  <si>
    <t>mpkaterinaki@gmail.com</t>
  </si>
  <si>
    <t>ΜΠΛΗΓΙΑΝΝΟΣ</t>
  </si>
  <si>
    <t>ΜΠΛΙΑΓΚΑ</t>
  </si>
  <si>
    <t>helenbliaga@gmail.com</t>
  </si>
  <si>
    <t>ΜΠΛΙΑΤΣΙΟΥ</t>
  </si>
  <si>
    <t>ΦΙΟΡΕΛΛΑ</t>
  </si>
  <si>
    <t>ΜΠΟΓΡΗ</t>
  </si>
  <si>
    <t>ΜΠΟΛΚΑ</t>
  </si>
  <si>
    <t>ΜΠΟΜΠΟΡΗ</t>
  </si>
  <si>
    <t>Iulia_borboudaki@yahoo.com</t>
  </si>
  <si>
    <t>ΜΠΟΥΓΚΑ</t>
  </si>
  <si>
    <t>ΜΠΟΥΚΗ</t>
  </si>
  <si>
    <t>sasa0985@yahoo.gr</t>
  </si>
  <si>
    <t>ΔΗΜΟΤΙΚΟ ΣΧΟΛΕΙΟ ΜΑΡΑΘΟΥ</t>
  </si>
  <si>
    <t>mail@dim-marath.ira.sch.gr</t>
  </si>
  <si>
    <t>ΜΑΡΑΘΟΥ</t>
  </si>
  <si>
    <t>ΜΠΟΥΛΟΥΚΑΚΗ</t>
  </si>
  <si>
    <t>ΜΠΟΥΜΠΟΥΡΑ</t>
  </si>
  <si>
    <t>bouboura@otenet.gr</t>
  </si>
  <si>
    <t>ΜΠΟΥΝΤΑ</t>
  </si>
  <si>
    <t>ΝΙΝΑ-ΜΑΡΙΑ</t>
  </si>
  <si>
    <t>ninamariabounta@gmail.com</t>
  </si>
  <si>
    <t>ΜΠΟΥΡΑΝΗ</t>
  </si>
  <si>
    <t>2/ΘΕΣΙΟ ΝΗΠΙΑΓΩΓΕΙΟ ΚΟΥΝΑΒΩΝ</t>
  </si>
  <si>
    <t>mail@nip-kounav.ira.sch.gr</t>
  </si>
  <si>
    <t>ΜΠΟΥΡΓΟΥΤΖΙΑΝΗΣ</t>
  </si>
  <si>
    <t>mariosbourg@yahoo.gr</t>
  </si>
  <si>
    <t>ΜΠΟΥΡΛΑΪ</t>
  </si>
  <si>
    <t>ΜΠΟΥΡΝΙΚΟΥ</t>
  </si>
  <si>
    <t>ΦΙΛΟΘΕΑ</t>
  </si>
  <si>
    <t>ΜΠΟΥΡΤΣΟΥΚΙΔΟΥ</t>
  </si>
  <si>
    <t>ΜΠΟΥΤΣΑΚΗ</t>
  </si>
  <si>
    <t>ΜΠΟΧΤΗ</t>
  </si>
  <si>
    <t>ΜΠΡΑΓΟΥΔΑΚΗ</t>
  </si>
  <si>
    <t>ΜΠΡΑΟΥΔΑΚΗ</t>
  </si>
  <si>
    <t>ΜΠΡΙΝΤΑΚΗ ΜΑΚΡΥΓΙΩΡΓΑΚΗ</t>
  </si>
  <si>
    <t>nikitoulamp@gmail.com</t>
  </si>
  <si>
    <t>natasa.am@gmail.com</t>
  </si>
  <si>
    <t>ΘΕΟΓΝΩΣΙΑ</t>
  </si>
  <si>
    <t>ΜΥΞΑΚΗ</t>
  </si>
  <si>
    <t>ΑΝΔΡΕΑ</t>
  </si>
  <si>
    <t>ΜΩΡΑΙΤΑΚΗ</t>
  </si>
  <si>
    <t>ΘΕΟΔΟΥΛΑ</t>
  </si>
  <si>
    <t>ΜΩΡΑΪΤΑΚΗ</t>
  </si>
  <si>
    <t>ΜΩΡΑΪΤΟΥ</t>
  </si>
  <si>
    <t>mmoraitou@hotmail.com</t>
  </si>
  <si>
    <t>ΝΑΚΗ</t>
  </si>
  <si>
    <t>ΑΓΑΘΟΚΛΕΙΑ</t>
  </si>
  <si>
    <t>ΝΑΟΥΜΗ</t>
  </si>
  <si>
    <t>elena_nela@live.com</t>
  </si>
  <si>
    <t>ΟΛΟΗΜΕΡΟ ΔΗΜΟΤΙΚΟ ΣΧΟΛΕΙΟ ΚΑΛΥΒΙΩΝ ΠΥΡΓΙΩΤΙΣΣΗΣ</t>
  </si>
  <si>
    <t>mail@dim-pyrgiot.ira.sch.gr</t>
  </si>
  <si>
    <t>ΦΑΝΕΡΩΜΕΝΗΣ</t>
  </si>
  <si>
    <t>ΝΕΡΑΝΤΖΑΚΗ</t>
  </si>
  <si>
    <t>ΝΕΣΤΟΡΑ</t>
  </si>
  <si>
    <t>marnestoraki@yahoo.gr</t>
  </si>
  <si>
    <t>67ΙΟ4653ΠΣ-ΜΤΒ</t>
  </si>
  <si>
    <t>enistikaki24@gmail.com</t>
  </si>
  <si>
    <t>ΝΙΚΑΚΗ</t>
  </si>
  <si>
    <t>ΝΙΚΗΦΟΡΙΔΗ</t>
  </si>
  <si>
    <t>soniko_81@yahoo.gr</t>
  </si>
  <si>
    <t>nikolakakiathina@gmail.com</t>
  </si>
  <si>
    <t>ΝΙΚΟΛΟΥΔΑΚΗ ΣΠΑΝΑΚΗ</t>
  </si>
  <si>
    <t>ΠΑΠΑΔΙΩ</t>
  </si>
  <si>
    <t>ΝΙΚΟΛΟΥΔΑΚΗΣ</t>
  </si>
  <si>
    <t>ΝΙΡΑΚΗ</t>
  </si>
  <si>
    <t>eftychia_niraki@yahoo.gr</t>
  </si>
  <si>
    <t>ΝΙΡΓΙΑΝΑΚΗ</t>
  </si>
  <si>
    <t>ΝΙΦΟΡΑ</t>
  </si>
  <si>
    <t>marthanifora@gmail.com</t>
  </si>
  <si>
    <t>ΝΙΩΤΗ</t>
  </si>
  <si>
    <t>stelani4@hotmail.com</t>
  </si>
  <si>
    <t>ΝΟΔΑΡΑΚΗ</t>
  </si>
  <si>
    <t>ΝΟΥΛΗ</t>
  </si>
  <si>
    <t>P-nouli@otenet.gr</t>
  </si>
  <si>
    <t>ΝΤΑΒΛΟΥΡΟΥ</t>
  </si>
  <si>
    <t>ΝΤΑΓΙΑΝΤΑ</t>
  </si>
  <si>
    <t>ΝΤΑΛΙΠΗ</t>
  </si>
  <si>
    <t>ΝΤΑΝΕ</t>
  </si>
  <si>
    <t>ΝΤΑΝΤΑΜΗ</t>
  </si>
  <si>
    <t>ΜΑΡΙΑΝΘΗ-ΦΙΛΟΘΕΗ</t>
  </si>
  <si>
    <t>ΝΤΑΝΤΟΥΔΗ</t>
  </si>
  <si>
    <t>ΝΤΑΝΤΟΥΜΗ</t>
  </si>
  <si>
    <t>ΝΤΕΝΤΗ</t>
  </si>
  <si>
    <t>dwra86ntenti@yahoo.gr</t>
  </si>
  <si>
    <t>ΝΗΠΙΑΓΩΓΕΙΟ ΧΑΡΑΚΑ</t>
  </si>
  <si>
    <t>mail@nip-charak.ira.sch.gr</t>
  </si>
  <si>
    <t>ΝΤΕΡΑ</t>
  </si>
  <si>
    <t>nterel@gmail.com</t>
  </si>
  <si>
    <t>ΝΤΕΡΜΕΝΤΗ</t>
  </si>
  <si>
    <t xml:space="preserve">ΑΛΕΞΑΝΔΡΟΣ </t>
  </si>
  <si>
    <t>chryderme@hotmail.gr</t>
  </si>
  <si>
    <t>ΝΤΙΝΤΑ</t>
  </si>
  <si>
    <t>ΝΤΙΣΠΥΡΑΚΗ</t>
  </si>
  <si>
    <t>ΝΤΟΥΒΑ</t>
  </si>
  <si>
    <t>ΝΤΟΥΡΑΚΗΣ</t>
  </si>
  <si>
    <t>ΝΤΡΕΤΑΚΗΣ</t>
  </si>
  <si>
    <t>ΝΤΡΟΓΚΟΥΛΗ</t>
  </si>
  <si>
    <t>theniadr@hotmail.com</t>
  </si>
  <si>
    <t>ΝΥΚΤΑΡΗ</t>
  </si>
  <si>
    <t>ΞΑΓΟΡΑΡΑΚΗΣ</t>
  </si>
  <si>
    <t>johnxago@hotmail.com</t>
  </si>
  <si>
    <t>ΔΗΜΟΤΙΚΟ ΣΧΟΛΕΙΟ ΑΓΙΟΥ ΣΥΛΛΑ</t>
  </si>
  <si>
    <t>mail@dim-ag-sylla.ira.sch.gr</t>
  </si>
  <si>
    <t>ΞΑΝΘΟΠΟΥΛΟΥ</t>
  </si>
  <si>
    <t>ΑΝΘΟΥΣΑ</t>
  </si>
  <si>
    <t>ΞΑΞΙΡΗ</t>
  </si>
  <si>
    <t>ΕΙΔΙΚΟ ΝΗΠΙΑΓΩΓΕΙΟ ΗΡΑΚΛΕΙΟ - ΚΩΦΩΝ-ΒΑΡΗΚΟΩΝ</t>
  </si>
  <si>
    <t>mail@nip-ekv-irakl.ira.sch.gr</t>
  </si>
  <si>
    <t>ΞΕΙΔΙΑΝΑΚΗ</t>
  </si>
  <si>
    <t>ΞΕΝΑΚΗ</t>
  </si>
  <si>
    <t>ΤΙΤΙΚΑ</t>
  </si>
  <si>
    <t>ΞΕΝΙΚΑΚΗΣ</t>
  </si>
  <si>
    <t>manolisxenikakis@yahoo.gr</t>
  </si>
  <si>
    <t>ΞΗΜΕΡΑΚΗ</t>
  </si>
  <si>
    <t>ximerieleni@yahoo.gr</t>
  </si>
  <si>
    <t>ΞΥΓΩΝΑΚΗΣ</t>
  </si>
  <si>
    <t>ΞΥΔΟΥΣ</t>
  </si>
  <si>
    <t>raniax@in.gr</t>
  </si>
  <si>
    <t>ΞΥΛΟΥΡΗ ΦΑΣΟΥΛΑΚΗ</t>
  </si>
  <si>
    <t>ΞΥΛΟΥΡΗΣ</t>
  </si>
  <si>
    <t>exam_le555@hotmail.com</t>
  </si>
  <si>
    <t>ΞΩΜΕΡΙΤΑΚΗ</t>
  </si>
  <si>
    <t>ΟΙΚΟΝΟΜΟΠΟΥΛΟΣ</t>
  </si>
  <si>
    <t>ΧΡΟΝΟΥΛΑ</t>
  </si>
  <si>
    <t>thaneco2@gmail.com</t>
  </si>
  <si>
    <t>ioan.oikon@gmail.com</t>
  </si>
  <si>
    <t>ΚΑΛΛΙΟΠΗ ΜΑΡ</t>
  </si>
  <si>
    <t>ΟΡΜΑΝΛΙΔΗΣ</t>
  </si>
  <si>
    <t>ΟΡΦΑΝΟΥ</t>
  </si>
  <si>
    <t>ΕΙΡΗΝΗ-ΧΡΥΣΟΒΑΛΑΝΤΟΥ</t>
  </si>
  <si>
    <t>ΚΩΜΣΤΑΝΤΙΝΟΣ</t>
  </si>
  <si>
    <t>ΟΥΛΟΥΣΙΔΟΥ</t>
  </si>
  <si>
    <t>etzirakis@gmail.com</t>
  </si>
  <si>
    <t>ΟΥΡΤΖΑΝΗ</t>
  </si>
  <si>
    <t>lizaourtzani@gmail.com</t>
  </si>
  <si>
    <t>ΟΥΣΤΑΜΑΝΩΛΑΚΗ</t>
  </si>
  <si>
    <t>ΠΑΓΙΔΑ</t>
  </si>
  <si>
    <t>ΠΑΓΚΑΚΗ</t>
  </si>
  <si>
    <t>ΠΑΓΚΑΛΑΚΗΣ</t>
  </si>
  <si>
    <t>ΠΑΘΗΤΗ</t>
  </si>
  <si>
    <t>ΠΑΚΙΟΥΦΑΚΗ</t>
  </si>
  <si>
    <t>ΓΛΑΥΚΗ</t>
  </si>
  <si>
    <t>17gland@gmail.com</t>
  </si>
  <si>
    <t>ΠΑΛΙΟΥΡΑ</t>
  </si>
  <si>
    <t>marianpal9@gmail.com</t>
  </si>
  <si>
    <t>ΠΑΝΑΓΙΑΝΝΑΚΗ</t>
  </si>
  <si>
    <t>kleokoko84@gmail.com</t>
  </si>
  <si>
    <t xml:space="preserve">ΠΑΝΑΓΙΟΥΛΑΚΗ </t>
  </si>
  <si>
    <t>filiodaskala@gmail.com</t>
  </si>
  <si>
    <t>panagiotouma@hotmail.com</t>
  </si>
  <si>
    <t>ΠΑΝΑΚΟΥΛΙΑ</t>
  </si>
  <si>
    <t>ΠΑΝΤΑΓΑΚΗ</t>
  </si>
  <si>
    <t>ΠΑΝΤΑΤΟΣΑΚΗ</t>
  </si>
  <si>
    <t>marianpa@otenet.gr</t>
  </si>
  <si>
    <t>ΠΑΝΤΕΧΑΚΗ</t>
  </si>
  <si>
    <t>ΠΑΠΑ</t>
  </si>
  <si>
    <t>ΠΑΠΑΓΑΛΟΥ</t>
  </si>
  <si>
    <t>christina1.papageorgiou@yahoo.gr</t>
  </si>
  <si>
    <t>jini@windowslive.com</t>
  </si>
  <si>
    <t>ΠΑΠΑΓΡΗΓΟΡΙΟΥ</t>
  </si>
  <si>
    <t>ΠΑΠΑΔΑΚΑΚΗ</t>
  </si>
  <si>
    <t>angelikipapad@hotmail.com</t>
  </si>
  <si>
    <t>gely2684@yahoo.gr</t>
  </si>
  <si>
    <t>179/1-9-1997</t>
  </si>
  <si>
    <t>katerinapap.pap@gmai.com</t>
  </si>
  <si>
    <t>katpapadak@yahoo.gr</t>
  </si>
  <si>
    <t>neraidaki-r@hotamail.com</t>
  </si>
  <si>
    <t>papodevag@yahoo.gr</t>
  </si>
  <si>
    <t>giannapapadaki@gmail.com</t>
  </si>
  <si>
    <t>mariapap156@gmail.com</t>
  </si>
  <si>
    <t>mar_tinia@yahoo.gr</t>
  </si>
  <si>
    <t>44 ΝΗΠΙΑΓΩΓΕΙΟ ΗΡΑΚΛΕΙΟΥ</t>
  </si>
  <si>
    <t>mail@44nip-irakl.ira.sch.gr</t>
  </si>
  <si>
    <t>ΧΡΙΣΤΙΝΑ-ΣΙΜΟΝΑ</t>
  </si>
  <si>
    <t>ΟΥΡΣΟΥΛΑ-ΜΑΡΙΑ</t>
  </si>
  <si>
    <t>simonepapadaki@gmail.com</t>
  </si>
  <si>
    <t xml:space="preserve">ΠΑΠΑΔΑΚΗ </t>
  </si>
  <si>
    <t>andre.pap59@gmail.com</t>
  </si>
  <si>
    <t>papadakisg80@gmail.com</t>
  </si>
  <si>
    <t>1/ΘΕΣΙΟ ΔΗΜΟΤΙΚΟ ΣΧΟΛΕΙΟ ΑΓΙΟΥ ΚΥΡΙΛΛΟΥ</t>
  </si>
  <si>
    <t>mail@dim-ag-kyrill.ira.sch.gr</t>
  </si>
  <si>
    <t>ΑΓΙΟΥ ΚΥΡΙΛΛΟΥ</t>
  </si>
  <si>
    <t>epapadakis@sch.gr</t>
  </si>
  <si>
    <t>Papadakiskostas8@gmail.com</t>
  </si>
  <si>
    <t>ΠΑΠΑΔΑΜΟΥ</t>
  </si>
  <si>
    <t>ΠΑΠΑΔΑΡΑΤΣΑΚΗ</t>
  </si>
  <si>
    <t>ΑΡΙΣΤΟΜΕ</t>
  </si>
  <si>
    <t>ΠΑΠΑΔΗΜΑΣ</t>
  </si>
  <si>
    <t>ΠΑΠΑΔΗΜΗΤΡΑΚΗ ΖΕΡΒΟΥΔΑΚΗ</t>
  </si>
  <si>
    <t>ΠΑΠΑΔΗΜΗΤΡΑΚΗΣ</t>
  </si>
  <si>
    <t>218/31-08-2001</t>
  </si>
  <si>
    <t>ΑΛΕΞ</t>
  </si>
  <si>
    <t>gpapa2003@yahoo.gr</t>
  </si>
  <si>
    <t>marpadi17@gmail.com</t>
  </si>
  <si>
    <t>ΠΑΠΑΔΗΜΟΥ</t>
  </si>
  <si>
    <t>nasosnasos@pathfinder.gr</t>
  </si>
  <si>
    <t>ΠΑΠΑΔΙΝΑ</t>
  </si>
  <si>
    <t>ΠΑΠΑΔΟΓΑΜΒΡΑΚΗ</t>
  </si>
  <si>
    <t>ΜΙΛΤΙΝΙΑ</t>
  </si>
  <si>
    <t>stypapado@sch.gr</t>
  </si>
  <si>
    <t>1ο ΝΗΠΙΑΓΩΓΕΙΟ ΜΑΛΙΩΝ</t>
  </si>
  <si>
    <t>mail@1nip-malion.ira.sch.gr</t>
  </si>
  <si>
    <t>ΠΑΠΑΔΟΚΩΝΣΤΑΝΤΑΚΗΣ</t>
  </si>
  <si>
    <t>ΒΑΡΘΟΛΟΜΑΙΟΣ</t>
  </si>
  <si>
    <t>218/31-8-2001</t>
  </si>
  <si>
    <t>mariateach@hotmail.com</t>
  </si>
  <si>
    <t>ΠΑΠΑΔΟΜΙΧΕΛΑΚΗ</t>
  </si>
  <si>
    <t>ΠΑΠΑΔΟΠΕΤΡΑΚΗΣ</t>
  </si>
  <si>
    <t>ΝΕΟΚΛΗΣ</t>
  </si>
  <si>
    <t>pausanas@yahoo.gr</t>
  </si>
  <si>
    <t>ΛΑΖΑΡ</t>
  </si>
  <si>
    <t>elenixatzopoulou@yahoo.dom</t>
  </si>
  <si>
    <t>ΣΟΥΣΑΝΗ</t>
  </si>
  <si>
    <t>ΜΙΧΑΕΛΑ</t>
  </si>
  <si>
    <t>ΜΑΚΕΔΩΝ</t>
  </si>
  <si>
    <t>spapadopoulou@gmail.com</t>
  </si>
  <si>
    <t>sopapad2@gmail.com</t>
  </si>
  <si>
    <t>ΕΡΡΙΕΤΑ</t>
  </si>
  <si>
    <t>ΔΟΜΝΑ</t>
  </si>
  <si>
    <t>ΠΑΠΑΖΑΧΑΡΑΚΗ</t>
  </si>
  <si>
    <t>marilenapap@pathfinder.gr</t>
  </si>
  <si>
    <t>233/31-8-2006</t>
  </si>
  <si>
    <t>nina_aek@hotmail.com</t>
  </si>
  <si>
    <t>ΠΑΠΑΗΛΙΑΚΗ</t>
  </si>
  <si>
    <t>ΕΥΑΓ</t>
  </si>
  <si>
    <t>ΠΑΠΑΗΛΙΑΚΗΣ</t>
  </si>
  <si>
    <t>ΠΑΛΑΙΟΛΟΓΟΣ</t>
  </si>
  <si>
    <t>aliki.papaioannou@gmail.com</t>
  </si>
  <si>
    <t>vaswpapa93@gmai.com</t>
  </si>
  <si>
    <t>ΠΑΠΑΚΩΣΤΑ ΦΡΥΣΟΥΛΗ</t>
  </si>
  <si>
    <t>ΠΑΠΑΛΑΖΑΡΟΥ</t>
  </si>
  <si>
    <t>ΠΑΠΑΛΑΜΠΙΔΟΥ</t>
  </si>
  <si>
    <t>ΝΕΦΕΛΗ</t>
  </si>
  <si>
    <t>670/Γ'/09-09-2011</t>
  </si>
  <si>
    <t>sadora_am@yahoo.gr</t>
  </si>
  <si>
    <t>zpapan@yahoo.gr</t>
  </si>
  <si>
    <t>ΠΑΠΑΝΙΚΟΛΟΠΟΥΛΟΥ</t>
  </si>
  <si>
    <t>ΕΛΕΑΝΝΑ</t>
  </si>
  <si>
    <t>ΠΑΠΑΝΤΩΝΑΚΗ</t>
  </si>
  <si>
    <t>ΜΑΡΙΝΑ-ΣΟΦΙΑ</t>
  </si>
  <si>
    <t>ΠΑΠΑΝΤΩΝΗ</t>
  </si>
  <si>
    <t>ΠΑΠΑΣΤΑΥΡΟΥ</t>
  </si>
  <si>
    <t>ΑΓΝΗ ΓΕΩΡΓΙΑ</t>
  </si>
  <si>
    <t>fanipa@gmail.com</t>
  </si>
  <si>
    <t>ΠΑΠΑΤΣΑΡΑ</t>
  </si>
  <si>
    <t>ΠΑΠΑΧΑΡΙΤΟΥ</t>
  </si>
  <si>
    <t>dimgergeira@sch.gr</t>
  </si>
  <si>
    <t>ΠΑΠΑΧΙΝΤΖΙΟΥ</t>
  </si>
  <si>
    <t>ΧΙΝΖΙΟΣ</t>
  </si>
  <si>
    <t>ΠΑΠΠΑΣ</t>
  </si>
  <si>
    <t>ΠΑΡΑΔΕΙΣΑΝΟΣ</t>
  </si>
  <si>
    <t>ΠΑΡΑΔΕΙΣΗ</t>
  </si>
  <si>
    <t>ΕΠΙΣΤΗΜΗ</t>
  </si>
  <si>
    <t>ΠΑΡΑΔΕΙΣΟΠΟΥΛΟΥ</t>
  </si>
  <si>
    <t>ΠΟΛΥΧ</t>
  </si>
  <si>
    <t>kparaskaki@gmail.com</t>
  </si>
  <si>
    <t>ΠΑΡΑΣΚΕΥΟΠΟΥΛΟΥ</t>
  </si>
  <si>
    <t>paraskevopouloufrosw@gmail.com</t>
  </si>
  <si>
    <t>androniki.paras@hotmail.com</t>
  </si>
  <si>
    <t>parasel65@yahoo.gr</t>
  </si>
  <si>
    <t>ΠΑΡΔΑΛΟΥ</t>
  </si>
  <si>
    <t>ΣΤΡΑΤΕΙΑ</t>
  </si>
  <si>
    <t>ΠΑΡΘΕΝΙΑΔΗ</t>
  </si>
  <si>
    <t>ΠΑΡΛΑΜΑ</t>
  </si>
  <si>
    <t>ΠΑΡΟΥ</t>
  </si>
  <si>
    <t>ΠΑΡΤΑΡΑΚΗ</t>
  </si>
  <si>
    <t>ΠΑΡΧΑΡΙΔΗΣ</t>
  </si>
  <si>
    <t>ΠΑΣΠΑΛΑΚΗ</t>
  </si>
  <si>
    <t>ΠΑΣΣΑ</t>
  </si>
  <si>
    <t>ΠΑΣΣΙΣΗΣ</t>
  </si>
  <si>
    <t>thanpass@hotmail.com</t>
  </si>
  <si>
    <t>ΝΗΠΙΑΓΩΓΕΙΟ ΨΑΡΗΣ ΦΟΡΑΔΑΣ</t>
  </si>
  <si>
    <t>mail@nip-psaris.ira.sch.gr</t>
  </si>
  <si>
    <t>ΚΑΛΑΜΙΟΥ</t>
  </si>
  <si>
    <t>ΠΑΣΧΑΛΟΠΟΥΛΟΥ</t>
  </si>
  <si>
    <t>ΠΑΣΧΟΝΙΔΟΥ</t>
  </si>
  <si>
    <t>ΠΑΤΑΚΗ</t>
  </si>
  <si>
    <t>lianapateraki@gmail.com</t>
  </si>
  <si>
    <t>ΠΑΤΕΡΑΣ</t>
  </si>
  <si>
    <t>ΠΑΤΕΡΓΙΑΝΑΚΗ</t>
  </si>
  <si>
    <t>ΠΑΤΕΡΟΠΟΥΛΟΥ</t>
  </si>
  <si>
    <t>ΠΑΤΚΟΥ</t>
  </si>
  <si>
    <t>dimitrapatkou@hotmail.com</t>
  </si>
  <si>
    <t>ΠΑΤΛΙΑ</t>
  </si>
  <si>
    <t>ΠΑΤΡΩΝΑ</t>
  </si>
  <si>
    <t>tpatrona@gmail.com</t>
  </si>
  <si>
    <t>ΠΑΤΣΑΚΗ</t>
  </si>
  <si>
    <t>patsakim@yahoo.gr</t>
  </si>
  <si>
    <t>ΠΑΤΣΑΚΟΥ</t>
  </si>
  <si>
    <t>ΠΑΤΣΑΤΖΑΚΗ</t>
  </si>
  <si>
    <t>ΠΑΤΣΙΑ</t>
  </si>
  <si>
    <t>ΠΑΤΣΙΑΝΙΔΟΥ</t>
  </si>
  <si>
    <t>ΣΙΜΕΛΑ</t>
  </si>
  <si>
    <t>ΠΑΤΣΟΥΡΑΚΗ</t>
  </si>
  <si>
    <t>athpatsouraki@gmail.com</t>
  </si>
  <si>
    <t>ΜΑΡΙΑ-ΧΡΙΣΤΙΝΑ</t>
  </si>
  <si>
    <t>ΕΛΕΝΗ-ΛΙΛΙΑΝ</t>
  </si>
  <si>
    <t>ΠΑΥΛΙΔΑΚΗ</t>
  </si>
  <si>
    <t>ΑΝΘΙΜΟΣ</t>
  </si>
  <si>
    <t>vasilispaulou@gmail.com</t>
  </si>
  <si>
    <t>ΠΑΧΥΛΑΚΗ</t>
  </si>
  <si>
    <t>ΠΕΔΙΑΔΙΤΑΚΗΣ</t>
  </si>
  <si>
    <t>ΠΕΪΚΟΥ</t>
  </si>
  <si>
    <t>ΠΕΝΣΟΣ</t>
  </si>
  <si>
    <t>ΠΕΝΤΑΡΑΚΗ</t>
  </si>
  <si>
    <t>pentarakidespina@gmail.com</t>
  </si>
  <si>
    <t>thaleia.p@yahoo.com</t>
  </si>
  <si>
    <t>ΦΡΑΤΖΕΣΚΑ</t>
  </si>
  <si>
    <t>frperaki@gmail.com</t>
  </si>
  <si>
    <t>ΠΕΡΑΚΗ ΜΑΚΡΗ</t>
  </si>
  <si>
    <t xml:space="preserve">ΜΙΧΑΗΛ </t>
  </si>
  <si>
    <t>geoperakis@yahoo.gr</t>
  </si>
  <si>
    <t>mariannapervolaraki@hotmail.com</t>
  </si>
  <si>
    <t>permyrto@gmail.com</t>
  </si>
  <si>
    <t>xryspe@gmail.com</t>
  </si>
  <si>
    <t>168/21-08-87</t>
  </si>
  <si>
    <t>ΠΕΡΔΙΚΗ</t>
  </si>
  <si>
    <t>nikolperdiki@gmail.com</t>
  </si>
  <si>
    <t>2/ΘΕΣΙΟ ΔΗΜΟΤΙΚΟ ΣΧΟΛΕΙΟ ΨΑΡΗΣ ΦΟΡΑΔΑΣ</t>
  </si>
  <si>
    <t>mail@dim-psaris.ira.sch.gr</t>
  </si>
  <si>
    <t>ΠΕΡΔΙΟΥ</t>
  </si>
  <si>
    <t>ΠΕΡΙΒΟΛΑΡΗ</t>
  </si>
  <si>
    <t>ΠΕΡΙΚΛΕΙΔΑΚΗΣ</t>
  </si>
  <si>
    <t>ΠΕΡΙΣΥΝΑΚΗΣ</t>
  </si>
  <si>
    <t>sgalan@ote.gr</t>
  </si>
  <si>
    <t>erietaper@gmail.com</t>
  </si>
  <si>
    <t>emmanpery@yahoo.gr</t>
  </si>
  <si>
    <t>ΠΕΤΚΙΔΟΥ</t>
  </si>
  <si>
    <t>ΠΕΤΛΑΚΗ</t>
  </si>
  <si>
    <t>petlaki.m@windowslive.com</t>
  </si>
  <si>
    <t>ΠΕΤΟΥΣΗ</t>
  </si>
  <si>
    <t>lenapet3@hotmail.gr</t>
  </si>
  <si>
    <t>Νηπιαγωγείο Καρτερού</t>
  </si>
  <si>
    <t>mail@nip-karter.ira.sch.gr</t>
  </si>
  <si>
    <t>ΜΑΡΙΑΒΑΣΙΛΕΙΑ</t>
  </si>
  <si>
    <t>ΠΕΤΡΕΤΖΙΚΗ</t>
  </si>
  <si>
    <t>1o ΝΗΠΙΑΓΩΓΕΙΟ ΑΡΚΑΛΟΧΩΡΙΟΥ</t>
  </si>
  <si>
    <t>mail@1nip-arkal.ira.sch.gr</t>
  </si>
  <si>
    <t>necpet@sch.gr</t>
  </si>
  <si>
    <t>ΠΕΤΣΑ</t>
  </si>
  <si>
    <t>ΠΕΥΚΙΑΝΑΚΗ</t>
  </si>
  <si>
    <t>annahergr@hotmail.com</t>
  </si>
  <si>
    <t>ΠΕΧΥΝΑΚΗ</t>
  </si>
  <si>
    <t>ritsapeh@yahoo.gr</t>
  </si>
  <si>
    <t>ΠΗΓΟΥΝΑΚΗ</t>
  </si>
  <si>
    <t>ΠΙΠΕΡΟΥΔΗ</t>
  </si>
  <si>
    <t>ΠΙΣΤΙΚΗΣ</t>
  </si>
  <si>
    <t>67ο ΝΗΠΙΑΓΩΓΕΙΟ ΗΡΑΚΛΕΙΟΥ</t>
  </si>
  <si>
    <t>mail@67nip-irakl.ira.sch.gr</t>
  </si>
  <si>
    <t>ΠΙΤΣΑΛΙΔΟΥ ΜΥΛΩΝΑΚΗ</t>
  </si>
  <si>
    <t>ΠΙΤΣΙΚΑΚΗ</t>
  </si>
  <si>
    <t>ΠΙΤΣΟΥΛΑΚΗ</t>
  </si>
  <si>
    <t>ΠΙΤΣΟΥΛΑΚΗΣ</t>
  </si>
  <si>
    <t>ΠΛΑΓΙΩΤΑΚΗΣ</t>
  </si>
  <si>
    <t>info@xorospito.gr</t>
  </si>
  <si>
    <t>506/Γ'/29-05-2008</t>
  </si>
  <si>
    <t>ΠΛΑΤΙΑ</t>
  </si>
  <si>
    <t>ΠΛΕΞΙΔΑ</t>
  </si>
  <si>
    <t>ΠΛΕΞΟΥΣΑΚΗ</t>
  </si>
  <si>
    <t>eplexous@yahoo.gr</t>
  </si>
  <si>
    <t>ΠΛΕΥΡΑΚΗ</t>
  </si>
  <si>
    <t>athinaplevraki@gmail.com</t>
  </si>
  <si>
    <t>lianaploum@hotmail.com</t>
  </si>
  <si>
    <t>ΠΛΟΥΜΗ</t>
  </si>
  <si>
    <t xml:space="preserve">ΧΡΙΣΤΙΝΑ </t>
  </si>
  <si>
    <t>ΠΛΟΥΜΠΗ</t>
  </si>
  <si>
    <t>ΕΛΕΟΥΣΑ</t>
  </si>
  <si>
    <t>elsaploubi@yahoo.gr</t>
  </si>
  <si>
    <t>ΠΝΕΥΜΑΤΙΚΑΚΗ</t>
  </si>
  <si>
    <t>ΠΟΛΕΝΗ</t>
  </si>
  <si>
    <t>ΠΟΛΕΝΤΑ</t>
  </si>
  <si>
    <t>maria.polenta@gmail.com</t>
  </si>
  <si>
    <t>ΠΟΛΙΟΥΔΑΚΗ</t>
  </si>
  <si>
    <t>ΠΟΛΙΤΟΠΟΥΛΟΣ</t>
  </si>
  <si>
    <t>ΠΟΛΛΑΚΗ</t>
  </si>
  <si>
    <t>207/2-9-2002</t>
  </si>
  <si>
    <t>ΠΟΛΥΜΕΡΙΔΟΥ</t>
  </si>
  <si>
    <t>ΑΜΦΙΘΕΑ</t>
  </si>
  <si>
    <t>ΧΑΡΙΚΛΕΙΑ ΣΕ</t>
  </si>
  <si>
    <t>ΛΟΡΕΤΤΑ-ΜΑΡΙΑ</t>
  </si>
  <si>
    <t>ΠΟΛΥΧΡΟΝΑΚΗΣ</t>
  </si>
  <si>
    <t>ΠΟΛΥΧΡΟΝΙΔΟΥ</t>
  </si>
  <si>
    <t>ΠΟΤΙΔΟΥ</t>
  </si>
  <si>
    <t>ΠΟΥΓΙΟΣ</t>
  </si>
  <si>
    <t>ΠΟΥΛΑΚΗ</t>
  </si>
  <si>
    <t>renapoulaki@hotmail.com</t>
  </si>
  <si>
    <t>ΠΟΥΛΗ</t>
  </si>
  <si>
    <t>evipouli@yahoo.gr</t>
  </si>
  <si>
    <t>ΠΟΥΛΙΔΑΚΗ</t>
  </si>
  <si>
    <t>jp6474@gmail.com</t>
  </si>
  <si>
    <t>ΠΟΥΛΙΚΑΡΑΚΟΥ</t>
  </si>
  <si>
    <t>apoulikarakou@yahoo.gr</t>
  </si>
  <si>
    <t>ΑΥΡΑ</t>
  </si>
  <si>
    <t>ΠΡΑΤΣΙΟΣ</t>
  </si>
  <si>
    <t>ΠΡΙΤΣΚΑΣ</t>
  </si>
  <si>
    <t>ΠΡΙΦΤΑΚΗ</t>
  </si>
  <si>
    <t>ΕΥΓΕΝΙΑ-ΝΕΚΤΑΡΙΑ</t>
  </si>
  <si>
    <t>ΠΡΟΒΑΤΑ</t>
  </si>
  <si>
    <t>ΠΡΟΓΟΝΑΤΗ</t>
  </si>
  <si>
    <t>ΝΤΑΝΙΕΛΑ</t>
  </si>
  <si>
    <t>MΙΛΤΙΑΔΗΣ</t>
  </si>
  <si>
    <t>ΠΡΟΣΜΙΤΗ</t>
  </si>
  <si>
    <t>nekprwto@gmail.com</t>
  </si>
  <si>
    <t>ΑΛΚΗΣΤΙΣ</t>
  </si>
  <si>
    <t>stapro04@gmail.com</t>
  </si>
  <si>
    <t>ΠΡΩΤΟΓΕΡΟΣ</t>
  </si>
  <si>
    <t>ΠΡΩΤΟΨΑΛΤΗ</t>
  </si>
  <si>
    <t>ΠΥΛΛΗΣ</t>
  </si>
  <si>
    <t>gpillis@sch.gr</t>
  </si>
  <si>
    <t>ΠΥΛΛΙΑ</t>
  </si>
  <si>
    <t>ΠΥΡΑΛΕΜΙΔΟΥ</t>
  </si>
  <si>
    <t>ΠΥΡΓΙΩΤΑΚΗ</t>
  </si>
  <si>
    <t>ΠΥΡΓΙΩΤΑΚΗΣ</t>
  </si>
  <si>
    <t>ΠΥΤΙΚΑΚΗ</t>
  </si>
  <si>
    <t>ΡΑΔΑΙΟΣ</t>
  </si>
  <si>
    <t>giannisrad@hotmail.com</t>
  </si>
  <si>
    <t>ΡΑΝΟΥΤΣΟΣ</t>
  </si>
  <si>
    <t>ΓΑΡΟΥΦΑΛΙΑ</t>
  </si>
  <si>
    <t>ΡΑΧΩΝΗ</t>
  </si>
  <si>
    <t>71 41</t>
  </si>
  <si>
    <t>4ο 1/Θ ΝΗΠΙΑΓΩΓΕΙΟ ΑΓΙΑΣ ΜΑΡΙΝΑΣ</t>
  </si>
  <si>
    <t>mail@4nip-ag-marin.ira.sch.gr</t>
  </si>
  <si>
    <t>ΡΕΘΥΜΝΙΩΤΑΚΗΣ</t>
  </si>
  <si>
    <t>ΡΕΙΖΟΓΛΟΥ</t>
  </si>
  <si>
    <t>ΡΕΠΠΑ</t>
  </si>
  <si>
    <t>vantouli@hotmail.com</t>
  </si>
  <si>
    <t>ΡΕΡΑΚΗ</t>
  </si>
  <si>
    <t>ΡΕΦΑΝΙΔΟΥ</t>
  </si>
  <si>
    <t>x_riga@hotmail.co.uk</t>
  </si>
  <si>
    <t>ΡΙΜΠΑ</t>
  </si>
  <si>
    <t>ΡΙΤΣΟΠΟΥΛΟΥ</t>
  </si>
  <si>
    <t>ΡΟΒΥΘΗ</t>
  </si>
  <si>
    <t>maryrovithi@hotmail.com</t>
  </si>
  <si>
    <t>ΡΟΓΔΑΚΗ</t>
  </si>
  <si>
    <t>georogd@gmail.com</t>
  </si>
  <si>
    <t>ΡΟΓΚΑΚΟΣ</t>
  </si>
  <si>
    <t>ΡΟΔΙΤΑΚΗ</t>
  </si>
  <si>
    <t>ΡΟΔΟΛΑΚΗ</t>
  </si>
  <si>
    <t>ΝΙΚΟΛΙΑ-ΧΡΙΣΤΙΝΑ</t>
  </si>
  <si>
    <t>ΡΟΙΔΟΥ</t>
  </si>
  <si>
    <t>ΡΟΣΙΟΥ</t>
  </si>
  <si>
    <t>ΡΟΥΒΑΚΗ</t>
  </si>
  <si>
    <t>ΡΟΥΒΑΚΗΣ</t>
  </si>
  <si>
    <t>ΡΟΥΚΣΤΟΥΛ</t>
  </si>
  <si>
    <t>ΣΟΥΣΜΑ-ΣΕΛΗΝΗ</t>
  </si>
  <si>
    <t>ΑΝΕΥ ΠΑΤΡΟΣ</t>
  </si>
  <si>
    <t>ΙΖΑΜΠΕΛΕ</t>
  </si>
  <si>
    <t>ΡΟΥΜΕΛΙΩΤΟΥ</t>
  </si>
  <si>
    <t>ΡΟΥΣΑΚΗ</t>
  </si>
  <si>
    <t>rousdaskala@gmail.com</t>
  </si>
  <si>
    <t>ΡΟΥΣΙΑΣ</t>
  </si>
  <si>
    <t>ΡΥΑΚΙΩΤΑΚΗ</t>
  </si>
  <si>
    <t>ΡΩΜΑΝΑΚΗΣ</t>
  </si>
  <si>
    <t>ΡΩΜΕΝΗ</t>
  </si>
  <si>
    <t>ΣΑΒΒΑΚΗΣ</t>
  </si>
  <si>
    <t>savaleksis@yahoo.gr</t>
  </si>
  <si>
    <t>772 τΓ΄</t>
  </si>
  <si>
    <t>ΣΑΒΒΙΔΑΚΗ</t>
  </si>
  <si>
    <t>ΣΑΒΒΙΔΑΚΗΣ</t>
  </si>
  <si>
    <t>ΣΑΒΒΙΔΟΥ</t>
  </si>
  <si>
    <t>ΣΑΪΤΑΚΗ</t>
  </si>
  <si>
    <t>ΣΑΪΤΑΚΗΣ</t>
  </si>
  <si>
    <t>gsait60@gmail.com</t>
  </si>
  <si>
    <t>ΣΑΚΑΒΕΛΗ</t>
  </si>
  <si>
    <t>ΣΑΚΑΡΑΚΗ</t>
  </si>
  <si>
    <t>kath_sakel@yahoo.gr</t>
  </si>
  <si>
    <t>ΝΗΠΙΑΓΩΓΕΙΟ ΔΕΜΑΤΙΟΥ</t>
  </si>
  <si>
    <t>mail@nip-demat.ira.sch.gr</t>
  </si>
  <si>
    <t>ΔΕΜΑΤΙΟΥ</t>
  </si>
  <si>
    <t>ΣΑΚΚΑΔΑΚΗΣ</t>
  </si>
  <si>
    <t>ΣΑΚΚΟΥΛΑ</t>
  </si>
  <si>
    <t>ΣΑΛΗΜ</t>
  </si>
  <si>
    <t>ΟΖΓΕ</t>
  </si>
  <si>
    <t>ΧΟΥΣΕΪΝ</t>
  </si>
  <si>
    <t>ΖΟΥΧΑΛ</t>
  </si>
  <si>
    <t>ΣΑΛΟΝΙΚΙΔΟΥ</t>
  </si>
  <si>
    <t>salonikidouanastasia@yahoo.com</t>
  </si>
  <si>
    <t>kaitisalou@gmail.com</t>
  </si>
  <si>
    <t>valia.89@hotmail.com</t>
  </si>
  <si>
    <t>s.ioanna@hotmail.gr</t>
  </si>
  <si>
    <t>ΣΑΜΑΡΑ</t>
  </si>
  <si>
    <t>2ο ΕΙΔΙΚΟ ΝΗΠΙΑΓΩΓΕΙΟ ΗΡΑΚΛΕΙΟ</t>
  </si>
  <si>
    <t>mail@2nip-eid-irakl.ira.sch.gr</t>
  </si>
  <si>
    <t>ΣΑΜΙΩΤΑΚΗ</t>
  </si>
  <si>
    <t>ΣΑΜΠΑΛΗ</t>
  </si>
  <si>
    <t>ΣΑΜΠΑΝΙΔΗ</t>
  </si>
  <si>
    <t>ΝΙΚΩΝ</t>
  </si>
  <si>
    <t>ΣΑΜΠΑΝΙΔΗΣ</t>
  </si>
  <si>
    <t>ΣΑΜΠΡΟΒΑΛΑΚΗΣ</t>
  </si>
  <si>
    <t>creta.giannis@gmail.com</t>
  </si>
  <si>
    <t>ΣΑΝΟΖΙΔΟΥ</t>
  </si>
  <si>
    <t>ΣΑΠΑΡΔΑΝΗΣ</t>
  </si>
  <si>
    <t>ΣΑΠΟΥΝΑ</t>
  </si>
  <si>
    <t>195/28-08-02</t>
  </si>
  <si>
    <t>ΣΑΡΑΝΤΟΥΛΑΚΗ</t>
  </si>
  <si>
    <t>maria8225@hotmail.gr</t>
  </si>
  <si>
    <t>soula2saridaki@hotmail.com</t>
  </si>
  <si>
    <t>ΣΑΡΙΚΑΚΗΣ</t>
  </si>
  <si>
    <t>harissarikakis@hotmail.com</t>
  </si>
  <si>
    <t>ΣΑΡΙΝΑΚΗ</t>
  </si>
  <si>
    <t>ΓΑΡΥΦΑΛΙΑΝΝΑ</t>
  </si>
  <si>
    <t>liannasarinaki@yahoo.gr</t>
  </si>
  <si>
    <t>ΣΑΣΛΗΣ-ΘΕΟΤΟΚΑΤΟΣ</t>
  </si>
  <si>
    <t>ΕΛΛΑΣ</t>
  </si>
  <si>
    <t>ΣΑΧΛΑΜΠΑΝΗ</t>
  </si>
  <si>
    <t>ΣΒΟΛΙΑΝΙΤΗ</t>
  </si>
  <si>
    <t>ΣΕΒΑΣΤΑΚΗΣ</t>
  </si>
  <si>
    <t>ΣΕΒΔΑΛΗ</t>
  </si>
  <si>
    <t>psevdali@gmail.com</t>
  </si>
  <si>
    <t>xsevdali@yahoo.com</t>
  </si>
  <si>
    <t>ΣΕΓΡΕΔΑΚΗ</t>
  </si>
  <si>
    <t>ΣΕΛΙΑΝΑΚΗ</t>
  </si>
  <si>
    <t>ΟΛΥΜΠΙΟΣ</t>
  </si>
  <si>
    <t>ΣΕΜΕΡΤΖΑΚΗ</t>
  </si>
  <si>
    <t>ΞΑΝΘΙΠΗ</t>
  </si>
  <si>
    <t>ΣΕΡΓΑΚΗ</t>
  </si>
  <si>
    <t>ΣΕΡΜΑΚΗ</t>
  </si>
  <si>
    <t>ifi-ser@yahoo.gr</t>
  </si>
  <si>
    <t>ΣΕΡΜΠΕΖΗ</t>
  </si>
  <si>
    <t>ΤΡΙΑΝΤΑ</t>
  </si>
  <si>
    <t>servoula@gmail.com</t>
  </si>
  <si>
    <t>ΣΗΜΑΙΑΚΗΣ</t>
  </si>
  <si>
    <t>ΣΗΜΑΙΟΦΟΡΙΔΗΣ</t>
  </si>
  <si>
    <t>simeoforidisg@yahoo.gr</t>
  </si>
  <si>
    <t>ΣΗΦΑΚΑΚΗ</t>
  </si>
  <si>
    <t>melenia1983@yahoo.gr</t>
  </si>
  <si>
    <t>ΝΗΠΙΑΓΩΓΕΙΟ ΜΗΤΡΟΠΟΛΗΣ</t>
  </si>
  <si>
    <t>mail@nip-mitrop.ira.sch.gr</t>
  </si>
  <si>
    <t>vsifakis@yahoo.com</t>
  </si>
  <si>
    <t>ΣΙΑΚΚΑ</t>
  </si>
  <si>
    <t>fwsiak@hotmail.com</t>
  </si>
  <si>
    <t>ΣΙΑΡΚΟΥ</t>
  </si>
  <si>
    <t>siarkou@yahoo.com</t>
  </si>
  <si>
    <t>ΣΙΑΣΙΟΣ</t>
  </si>
  <si>
    <t>siganouma@yahoo.gr</t>
  </si>
  <si>
    <t>ΣΙΜΙΤΣΙΑΔΟΥ</t>
  </si>
  <si>
    <t>ΠΑΡΙΣ</t>
  </si>
  <si>
    <t>ΣΙΜΟΓΛΟΥ</t>
  </si>
  <si>
    <t>ΣΙΜΟΠΟΥΛΟΥ</t>
  </si>
  <si>
    <t>ΣΙΜΟΥΔΗ</t>
  </si>
  <si>
    <t>ΣΙΟΥΤΑ</t>
  </si>
  <si>
    <t>bmw320@otenet.gr</t>
  </si>
  <si>
    <t>ΣΙΤΟΓΛΟΥ</t>
  </si>
  <si>
    <t>ΣΚΑΛΙΔΑΚΗ</t>
  </si>
  <si>
    <t>ΣΚΑΝΔΑΛΗ</t>
  </si>
  <si>
    <t>ΣΚΑΝΤΖΟΥΡΑΚΗ</t>
  </si>
  <si>
    <t>ΣΚΑΦΙΔΑ</t>
  </si>
  <si>
    <t>ΣΚΕΥΑ</t>
  </si>
  <si>
    <t>ΣΚΙΑΔΑ</t>
  </si>
  <si>
    <t>ΝΗΠΙΑΓΩΓΕΙΟ ΚΥΠΑΡΙΣΣΙ</t>
  </si>
  <si>
    <t>mail@nip-kypar.ira.sch.gr</t>
  </si>
  <si>
    <t>ΣΚΙΑΝΗΣ</t>
  </si>
  <si>
    <t>ΣΚΟΚΑΚΗΣ</t>
  </si>
  <si>
    <t>ΣΚΟΤΕΙΝΙΩΤΗ</t>
  </si>
  <si>
    <t>ΤΕ16.00.50</t>
  </si>
  <si>
    <t>ΜΟΥΣΙΚΗΣ ΜΗ ΑΝΩΤΑΤΩΝ ΙΔΡΥΜΑΤΩΝ ΕΙΔΙΚΗΣ ΑΓΩΓΗΣ</t>
  </si>
  <si>
    <t>eskoula@sch.gr</t>
  </si>
  <si>
    <t>ΣΚΟΥΛΗΚΑΡΗ</t>
  </si>
  <si>
    <t>ΣΚΟΥΛΟΥΔΑΚΗ</t>
  </si>
  <si>
    <t>mskouloudaki@gmail.com</t>
  </si>
  <si>
    <t>ΣΚΟΥΝΤΑΚΗ</t>
  </si>
  <si>
    <t>amaliaskountaki0@gmail.com</t>
  </si>
  <si>
    <t>ΣΚΟΥΡΒΟΥΛΙΑΝΑΚΗ</t>
  </si>
  <si>
    <t>ΣΚΟΥΤΕΛΗΣ</t>
  </si>
  <si>
    <t>ΖΩΪΤΣΑ</t>
  </si>
  <si>
    <t>ΣΜΑΡΑΓΔΑΚΗ</t>
  </si>
  <si>
    <t>voulasmara@hotmail.com</t>
  </si>
  <si>
    <t>ΣΜΑΡΟΠΟΥΛΟΥ</t>
  </si>
  <si>
    <t>smkaterinaki@yahoo.gr</t>
  </si>
  <si>
    <t>niksmyrn@gmail.com</t>
  </si>
  <si>
    <t>ΣΜΥΡΝΙΟΥ</t>
  </si>
  <si>
    <t>argirwsm@yahoo.gr</t>
  </si>
  <si>
    <t>2/θ 57ο ΝΗΠΙΑΓΩΓΕΙΟ ΗΡΑΚΛΕΙΟΥ ΚΡΗΤΗΣ</t>
  </si>
  <si>
    <t>mail@57nip-irakl.ira.sch.gr</t>
  </si>
  <si>
    <t>ΣΟΛΟΜΩΝΙΔΟΥ</t>
  </si>
  <si>
    <t>ΣΟΠΟΓΛΟΥ</t>
  </si>
  <si>
    <t>ΣΟΥΛΙΚΤΣΙΔΗΣ</t>
  </si>
  <si>
    <t>ΣΥΡΜΑΤΕΝΙΑ</t>
  </si>
  <si>
    <t>ΣΟΥΜΕΛΙΔΗΣ</t>
  </si>
  <si>
    <t>ΣΟΥΡΓΙΑ</t>
  </si>
  <si>
    <t>eirini-sou@yahoo.gr</t>
  </si>
  <si>
    <t>ΣΟΥΡΓΙΑΔΑΚΗΣ</t>
  </si>
  <si>
    <t>emsourgiad@sch.gr</t>
  </si>
  <si>
    <t>ΣΟΦΙΑΔΟΥ</t>
  </si>
  <si>
    <t>lucysofi@live.com</t>
  </si>
  <si>
    <t>ΣΟΦΙΑΝΙΔΟΥ</t>
  </si>
  <si>
    <t>evasofoulaki@gmail.com</t>
  </si>
  <si>
    <t>ΣΠΑΘΑΡΑΚΗ</t>
  </si>
  <si>
    <t>ΣΠΑΝΑΚΗΣ</t>
  </si>
  <si>
    <t>ΣΠΑΝΟΣ</t>
  </si>
  <si>
    <t>ΣΠΑΝΟΥ</t>
  </si>
  <si>
    <t>mspanou27@yahoo.gr</t>
  </si>
  <si>
    <t>e_spiridaki@yahoo.gr</t>
  </si>
  <si>
    <t>ΣΠΥΡΤΖΗ</t>
  </si>
  <si>
    <t>spirtzit@gmail.com</t>
  </si>
  <si>
    <t>179/Γ</t>
  </si>
  <si>
    <t>ΜΥΡΩΝΙΑ</t>
  </si>
  <si>
    <t>ΣΤΑΘΟΓΙΑΝΝΗΣ</t>
  </si>
  <si>
    <t>yiannisstath@gmail.com</t>
  </si>
  <si>
    <t>annamariastamataki@yahoo.com</t>
  </si>
  <si>
    <t>ΣΤΑΜΑΤΟΠΟΥΛΟΥ</t>
  </si>
  <si>
    <t>ΣΤΑΜΑΤΟΥΛΗΣ</t>
  </si>
  <si>
    <t>ΣΤΑΜΟΥΛΑ</t>
  </si>
  <si>
    <t>neveskidim@yahoo.com</t>
  </si>
  <si>
    <t>ΣΤΑΜΟΥΛΑΚΑΤΟΥ</t>
  </si>
  <si>
    <t>ΣΤΑΜΟΥΛΑΚΗ</t>
  </si>
  <si>
    <t>mina@chemistry.uoc.gr</t>
  </si>
  <si>
    <t>zoestavr@gmail.com</t>
  </si>
  <si>
    <t>ΠΑΝΤΟΥΛ</t>
  </si>
  <si>
    <t>marystar@gmail.com</t>
  </si>
  <si>
    <t>ΣΤΑΥΡΑΚΗΣ</t>
  </si>
  <si>
    <t>ΣΤΑΥΡΙΔΗ</t>
  </si>
  <si>
    <t>ΣΤΑΥΡΟΠΟΥΛΟΣ</t>
  </si>
  <si>
    <t>ΔΗΜΟΚΡΙΤ</t>
  </si>
  <si>
    <t>stavroulakir@sch.gr</t>
  </si>
  <si>
    <t>stavroulakis@sch.gr</t>
  </si>
  <si>
    <t>ΣΤΑΥΡΟΥΛΙΔΑΚΗ</t>
  </si>
  <si>
    <t>gest64@otenet.gr</t>
  </si>
  <si>
    <t>ΣΤΕΛΙΑΝΟΥΔΑΚΗ</t>
  </si>
  <si>
    <t>ΣΤΕΡΓΙΟΠΟΥΛΟΥ</t>
  </si>
  <si>
    <t>ΕΛΕΥΘΕΡΙΑ-ΖΩΗ</t>
  </si>
  <si>
    <t>ΣΤΕΡΝΑΚΑ</t>
  </si>
  <si>
    <t>marst_84@yahoo.gr</t>
  </si>
  <si>
    <t>ΣΤΕΦΑΝΑΤΟΣ</t>
  </si>
  <si>
    <t>184/30-08-1995</t>
  </si>
  <si>
    <t>="ΠΑΛΙΟ ΑΚΡΩΤΗΡΙ" 477 ΚΑΒΑΛΑ"""</t>
  </si>
  <si>
    <t>ΣΤΕΦΑΝΟΥΔΑΚΗ</t>
  </si>
  <si>
    <t>ΣΤΙΒΑΚΤΑΚΗΣ</t>
  </si>
  <si>
    <t>zstivak@gmail.com</t>
  </si>
  <si>
    <t>184/30-08-95</t>
  </si>
  <si>
    <t>ΣΤΟΓΙΟΓΛΟΥ</t>
  </si>
  <si>
    <t>ΣΤΟΪΔΟΥ</t>
  </si>
  <si>
    <t>ΣΤΟΪΟΥ</t>
  </si>
  <si>
    <t>athinastoiou@gmail.com</t>
  </si>
  <si>
    <t>ΣΤΟΥΜΠΙΔΗ</t>
  </si>
  <si>
    <t>ΣΤΟΥΡΑΙΤΗ</t>
  </si>
  <si>
    <t>mahistr@gmail.com</t>
  </si>
  <si>
    <t>ΣΤΡΑΤΑΚΗ ΣΚΑΦΙΔΑ</t>
  </si>
  <si>
    <t>ΣΤΡΑΤΗΓΗ</t>
  </si>
  <si>
    <t>ΣΤΡΑΤΙΔΑΚΗ</t>
  </si>
  <si>
    <t>sstratidaki@yahoo.com</t>
  </si>
  <si>
    <t>ΣΤΡΙΝΤΖΗ</t>
  </si>
  <si>
    <t>vagstrin@hotmail.com</t>
  </si>
  <si>
    <t>ΣΤΡΟΥΜΠΑ</t>
  </si>
  <si>
    <t>iristrum@gmail.com</t>
  </si>
  <si>
    <t>ΣΤΥΛΙΑΝΙΔΟΥ</t>
  </si>
  <si>
    <t>ΣΥΓΚΕΛΑΚΗ</t>
  </si>
  <si>
    <t>ΣΥΚΑ</t>
  </si>
  <si>
    <t>ΣΥΛΛΙΓΑΡΔΑΚΗ</t>
  </si>
  <si>
    <t>ΣΥΛΛΙΓΑΡΔΟΥ</t>
  </si>
  <si>
    <t>ΣΥΜΕΩΝΙΔΟΥ</t>
  </si>
  <si>
    <t>ΣΥΜΙΑΝΑΚΗ</t>
  </si>
  <si>
    <t>ΣΥΝΤΙΧΑΚΗ</t>
  </si>
  <si>
    <t>ΣΥΣΚΑΚΗΣ</t>
  </si>
  <si>
    <t>ΣΥΣΜΑΝΙΔΗ</t>
  </si>
  <si>
    <t>ΠΟΛΥΔΩΡΑ</t>
  </si>
  <si>
    <t>eva-sis@hotmail.com</t>
  </si>
  <si>
    <t>ΣΦΑΚΑΚΗΣ</t>
  </si>
  <si>
    <t>katemanos9@gmail.com</t>
  </si>
  <si>
    <t>sfakian.ant@gmail.com</t>
  </si>
  <si>
    <t>ΗΡΑΚΛΕΙΑ</t>
  </si>
  <si>
    <t>ΣΩΤΡΙΝΗ</t>
  </si>
  <si>
    <t>ΤΑΒΕΡΝΑΡΑΚΗ</t>
  </si>
  <si>
    <t>etav39@gmail.com</t>
  </si>
  <si>
    <t>ΤΑΚΑΣ</t>
  </si>
  <si>
    <t>evitamiolaki@hotmail.com</t>
  </si>
  <si>
    <t>jikitzitziki@hotmail.com</t>
  </si>
  <si>
    <t>ΤΑΜΠΑΚΟΠΟΥΛΟΥ</t>
  </si>
  <si>
    <t>ΤΑΝΗΣ</t>
  </si>
  <si>
    <t>ΤΑΝΟΥ</t>
  </si>
  <si>
    <t>ΤΑΡΛΑ</t>
  </si>
  <si>
    <t>ΤΑΣΙΚΑ</t>
  </si>
  <si>
    <t>ΤΑΣΙΟΥ</t>
  </si>
  <si>
    <t>ioannis.tasiou@outlook.com</t>
  </si>
  <si>
    <t>sofiste2@gmail.com</t>
  </si>
  <si>
    <t>terzakika@hotmail.gr</t>
  </si>
  <si>
    <t>k_terz@hotmail.com</t>
  </si>
  <si>
    <t>terzakieleni@gmail.com</t>
  </si>
  <si>
    <t>terzvik@gmail.com</t>
  </si>
  <si>
    <t>218/1/9/2005</t>
  </si>
  <si>
    <t>terzakis@hotmail.com</t>
  </si>
  <si>
    <t>ΤΖΑΒΑΡΑΣ-ΛΕΒΕΝΤΟΠΟΥΛΟΣ</t>
  </si>
  <si>
    <t>yannistzav@gmail.com</t>
  </si>
  <si>
    <t>elenchene@yahoo.gr</t>
  </si>
  <si>
    <t>772/23.8.2010</t>
  </si>
  <si>
    <t>ΕΥΦΡΑΝΣΙΑ</t>
  </si>
  <si>
    <t>eftzag@gmail.com</t>
  </si>
  <si>
    <t>vagelistzagarakis@yahoo.gr</t>
  </si>
  <si>
    <t>ΤΖΑΓΚΑΡΟΥΛΑΚΗ</t>
  </si>
  <si>
    <t>ΤΖΑΚΟΥ</t>
  </si>
  <si>
    <t>ΤΖΑΛΗ</t>
  </si>
  <si>
    <t>ΤΖΑΜΠΟΥΡΑΚΗ</t>
  </si>
  <si>
    <t>emageo@otenet.gr</t>
  </si>
  <si>
    <t>ΠΕΡΣΕΦΩ</t>
  </si>
  <si>
    <t>ΤΖΑΝΕΤΑΚΗ</t>
  </si>
  <si>
    <t>penelopetzanetaki@gmail.com</t>
  </si>
  <si>
    <t>ΤΖΑΝΕΤΗ</t>
  </si>
  <si>
    <t>ΤΖΑΝΗ</t>
  </si>
  <si>
    <t>m.tzani@windowslive.com</t>
  </si>
  <si>
    <t>ΤΖΑΝΟΥ</t>
  </si>
  <si>
    <t>ΤΖΑΤΖΑΔΑΚΗ</t>
  </si>
  <si>
    <t>ΤΖΑΤΖΟΣ</t>
  </si>
  <si>
    <t>ΠΑΝΟΡΕΑ</t>
  </si>
  <si>
    <t>ΤΖΕΒΕΛΕΚΑΚΗ</t>
  </si>
  <si>
    <t>ΜΑΡΙΑ ΟΛΥΜΠΙΑΔΑ</t>
  </si>
  <si>
    <t>dkliron@gmail.com</t>
  </si>
  <si>
    <t>ΤΖΕΚΑΚΗ</t>
  </si>
  <si>
    <t>ΤΖΕΡΜΙΑΔΙΑΝΟΣ</t>
  </si>
  <si>
    <t>gtzermiadianos@gmail.com</t>
  </si>
  <si>
    <t>ΤΖΕΡΜΙΑΣ</t>
  </si>
  <si>
    <t>ΚΑΛΛΙΣΤΟ</t>
  </si>
  <si>
    <t>itzermias@gmail.com</t>
  </si>
  <si>
    <t>ΤΖΙΑΝΑΜΠΕΤΗ</t>
  </si>
  <si>
    <t>atzianampeti@gmail.com</t>
  </si>
  <si>
    <t>ΤΖΙΑΝΤΟΠΟΥΛΟΥ</t>
  </si>
  <si>
    <t>ΠΕΡΣΕΦΩΝΗ</t>
  </si>
  <si>
    <t>ΤΖΙΚΑ</t>
  </si>
  <si>
    <t>ΤΖΙΝΤΑΡΑΚΗ</t>
  </si>
  <si>
    <t>69ο ΝΗΠΙΑΓΩΓΕΙΟ ΗΡΑΚΛΕΙΟΥ</t>
  </si>
  <si>
    <t>mail@69nip-irakl.ira.sch.gr</t>
  </si>
  <si>
    <t>ΤΖΙΝΤΖΙΟΣ</t>
  </si>
  <si>
    <t>ΔΗΜΗΤΡΙΟΣ-ΤΡΙΑΝΤΑΦΥΛΛΟΣ</t>
  </si>
  <si>
    <t>ΤΖΙΟΥΜΑΡΗΣ</t>
  </si>
  <si>
    <t>geotziou@sch.gr</t>
  </si>
  <si>
    <t>ΤΖΙΟΥΜΕΡΚΑ</t>
  </si>
  <si>
    <t>tzirakieva@yahoo.gr</t>
  </si>
  <si>
    <t>ΤΖΙΡΙΤΑ</t>
  </si>
  <si>
    <t>erminatzirita@gmail.com</t>
  </si>
  <si>
    <t>ΤΖΟΥΑΝΑΚΗ</t>
  </si>
  <si>
    <t>vasilikh82@yahoo.com</t>
  </si>
  <si>
    <t>ΤΖΟΥΛΑΚΗ</t>
  </si>
  <si>
    <t>1/θ ΝΗΠΙΑΓΩΓΕΙΟ ΑΝΩ ΑΣΙΤΏΝ</t>
  </si>
  <si>
    <t>mail@nip-an-asiton.ira.sch.gr</t>
  </si>
  <si>
    <t>ΤΖΟΥΛΙΑΔΑΚΗ</t>
  </si>
  <si>
    <t>ΤΖΩΡΑΚΟΛΕΥΘΕΡΑΚΗ</t>
  </si>
  <si>
    <t>ΤΖΩΡΤΖΟΓΛΟΥ</t>
  </si>
  <si>
    <t>kotzortzoglou@yahoo.gr</t>
  </si>
  <si>
    <t>ΤΗΓΑΝΙΤΑ</t>
  </si>
  <si>
    <t>ΤΟΛΙΚΑΣ</t>
  </si>
  <si>
    <t>τομασεν</t>
  </si>
  <si>
    <t>ναυσικα-αννα-ευθυμια</t>
  </si>
  <si>
    <t>πατρικ-ζαν-λυσιεν</t>
  </si>
  <si>
    <t>ΤΟΠΑΛΟΒΑ</t>
  </si>
  <si>
    <t>ΝΤΕΣΙΣΛΑΒΑ</t>
  </si>
  <si>
    <t>ΡΑΔΚΑ</t>
  </si>
  <si>
    <t>ΤΟΥΒΛΕΛΙΟΣ</t>
  </si>
  <si>
    <t>ΤΟΥΛΑ</t>
  </si>
  <si>
    <t>ΤΟΥΠΗΣ</t>
  </si>
  <si>
    <t>ΤΟΥΡΝΑΚΗ</t>
  </si>
  <si>
    <t>ΤΟΥΣΑΣ</t>
  </si>
  <si>
    <t>ΣΤΕΛΛ</t>
  </si>
  <si>
    <t>marioritsa@hotmail.com</t>
  </si>
  <si>
    <t>ΤΟΧΟΒΙΤΗΣ</t>
  </si>
  <si>
    <t>ΚΑΛΟΥΔΑ</t>
  </si>
  <si>
    <t>toxdim@yahoo.gr</t>
  </si>
  <si>
    <t>ΤΡΑΚΕΛΛΗ</t>
  </si>
  <si>
    <t>basw1966@outlook.com.gr</t>
  </si>
  <si>
    <t>ΤΡΑΧΑΝΕΛΗ</t>
  </si>
  <si>
    <t>margaritoula83@gmail.com</t>
  </si>
  <si>
    <t>ΤΡΕΥΛΑΚΗ</t>
  </si>
  <si>
    <t>despoinatrevlaki@yahoo.gr</t>
  </si>
  <si>
    <t>ΤΡΙΑΜΑΤΑΚΗ</t>
  </si>
  <si>
    <t>ΤΡΙΑΝΤΑΦΥΛΛΑΚΗ</t>
  </si>
  <si>
    <t>ΤΡΙΓΩΝΑΚΗ</t>
  </si>
  <si>
    <t>ΤΡΙΚΑ</t>
  </si>
  <si>
    <t>ΤΡΙΠΟΤΣΕΡΗ</t>
  </si>
  <si>
    <t>ΚΛΑΟΥΝΤΙΑ</t>
  </si>
  <si>
    <t>ΜΑΡΓΚΡΙΤ</t>
  </si>
  <si>
    <t>ΤΡΟΥΛΙΤΑΚΗ</t>
  </si>
  <si>
    <t>ΤΡΟΥΛΛΙΝΑΚΗ</t>
  </si>
  <si>
    <t>ΤΡΟΥΛΛΙΝΟΥ</t>
  </si>
  <si>
    <t>ΤΡΟΧΑΛΑΚΗ</t>
  </si>
  <si>
    <t>ΤΡΥΠΙΔΑΚΗ</t>
  </si>
  <si>
    <t>aristea4773@hotmail.com</t>
  </si>
  <si>
    <t>ΤΡΥΦΙΔΗ</t>
  </si>
  <si>
    <t>ΤΣΑΒΟΥ</t>
  </si>
  <si>
    <t>249/31-12-98</t>
  </si>
  <si>
    <t>ΤΣΑΓΓΑΛΙΔΟΥ</t>
  </si>
  <si>
    <t>ΤΣΑΓΙΑΝΝΗ</t>
  </si>
  <si>
    <t>ΒΑΪΤΣΑ</t>
  </si>
  <si>
    <t>ΤΣΑΓΚΑΛΙΔΗΣ</t>
  </si>
  <si>
    <t>27ο ΝΗΠΙΑΓΩΓΕΙΟ ΗΡΑΚΛΕΙΟΥ</t>
  </si>
  <si>
    <t>mail@27nip-irakl.ira.sch.gr</t>
  </si>
  <si>
    <t>eleanatsag@hotmail.gr</t>
  </si>
  <si>
    <t>valiatsag@sch.gr</t>
  </si>
  <si>
    <t>ktsagkourni@yahoo.com</t>
  </si>
  <si>
    <t>elsat68@gmail.com</t>
  </si>
  <si>
    <t>ΤΣΑΙΜΑ</t>
  </si>
  <si>
    <t>renagym@gmail.com</t>
  </si>
  <si>
    <t>ΤΣΑΪΝΗ</t>
  </si>
  <si>
    <t>ΤΣΑΚΑΛΑΚΗ</t>
  </si>
  <si>
    <t>73ο ΝΗΠΙΑΓΩΓΕΙΟ ΗΡΑΚΛΕΙΟΥ</t>
  </si>
  <si>
    <t>mail@73nip-irakl.ira.sch.gr</t>
  </si>
  <si>
    <t>ΤΣΑΚΑΛΙΔΟΥ</t>
  </si>
  <si>
    <t>mariatsakalidou@hotmail.gr</t>
  </si>
  <si>
    <t>ΤΣΑΚΙΡΗ</t>
  </si>
  <si>
    <t>ΤΣΑΚΛΙΔΟΥ</t>
  </si>
  <si>
    <t>ΤΣΑΛΗ</t>
  </si>
  <si>
    <t>ΤΣΑΛΙΚΙΔΟΥ</t>
  </si>
  <si>
    <t>ΜΑΡΙΝΕΛΑ</t>
  </si>
  <si>
    <t>ΤΣΑΜΗΣ</t>
  </si>
  <si>
    <t>ΤΣΑΜΠΑΝΑΚΗ</t>
  </si>
  <si>
    <t>destsampanaki@yahoo.gr</t>
  </si>
  <si>
    <t>chrtsantakis@hotmail.gr</t>
  </si>
  <si>
    <t>ΤΣΑΝΤΗΛΑΣ</t>
  </si>
  <si>
    <t>158/05-09-94</t>
  </si>
  <si>
    <t>mitsosK1@hotmail.com</t>
  </si>
  <si>
    <t>elet85@gmail.com</t>
  </si>
  <si>
    <t>ΤΣΑΤΣΑΡΑΚΗ</t>
  </si>
  <si>
    <t>ΤΣΑΦΑΝΤΑΚΗ</t>
  </si>
  <si>
    <t>minasele@in.gr</t>
  </si>
  <si>
    <t>ΟΛΟΗΜΕΡΟ ΝΗΠΙΑΓΩΓΕΙΟ ΡΟΔΙΑ</t>
  </si>
  <si>
    <t>mail@nip-rodias.ira.sch.gr</t>
  </si>
  <si>
    <t>tsahakistella@gmail.com</t>
  </si>
  <si>
    <t>161/3/9/1990</t>
  </si>
  <si>
    <t>ΤΣΕΑ</t>
  </si>
  <si>
    <t>ΤΣΕΚΑ</t>
  </si>
  <si>
    <t>ΤΣΕΛΕΝΤΑΚΗΣ</t>
  </si>
  <si>
    <t>ΤΣΙΑΜΠΑΣ</t>
  </si>
  <si>
    <t>alethan64@yahoo.com</t>
  </si>
  <si>
    <t>ΤΣΙΑΟΥΣΚΟΓΛΟΥ</t>
  </si>
  <si>
    <t>ΔΙΑΜΑΝΤΟΥΛΑ</t>
  </si>
  <si>
    <t>ΤΣΙΑΠΑΛΗΣ</t>
  </si>
  <si>
    <t>ΤΣΙΑΡΑ</t>
  </si>
  <si>
    <t>ΤΣΙΓΓΕΛΙΔΟΥ</t>
  </si>
  <si>
    <t>christina.tsigg@gmail.com</t>
  </si>
  <si>
    <t>ΤΣΙΚΑΛΑΚΗΣ</t>
  </si>
  <si>
    <t>tsikalakisg11@yahho.gr</t>
  </si>
  <si>
    <t>ΤΣΙΚΝΑΚΗΣ</t>
  </si>
  <si>
    <t>mixtsik@yahoo.gr</t>
  </si>
  <si>
    <t>ΤΣΙΚΝΙΔΟΥ</t>
  </si>
  <si>
    <t>ΤΣΙΚΟΠΟΥΛΟΥ</t>
  </si>
  <si>
    <t>ΤΣΙΚΡΙΤΣΑΚΗ</t>
  </si>
  <si>
    <t>messara_gr@yahoo.gr</t>
  </si>
  <si>
    <t>ΤΣΙΛΙΛΗΣ</t>
  </si>
  <si>
    <t>ΤΣΙΛΙΜΙΔΟΣ</t>
  </si>
  <si>
    <t>makis.tsilimidos8@gmail.com</t>
  </si>
  <si>
    <t>ΤΣΙΛΙΟΥ</t>
  </si>
  <si>
    <t>ΤΣΙΜΗΚΑ</t>
  </si>
  <si>
    <t>ΤΣΙΜΠΕΡΑΚΗ</t>
  </si>
  <si>
    <t>ΤΣΙΜΠΟΥΡΗΣ</t>
  </si>
  <si>
    <t>ΤΣΙΝΙΚΑΣ</t>
  </si>
  <si>
    <t>tsinikas_k@hotmail.com</t>
  </si>
  <si>
    <t>ΤΣΙΝΤΑΡΗ</t>
  </si>
  <si>
    <t>ΟΛΟΗΜΕΡΟ ΝΗΠΙΑΓΩΓΕΙΟ ΚΑΛΕΣΣΑ</t>
  </si>
  <si>
    <t>mail@nip-kales.ira.sch.gr</t>
  </si>
  <si>
    <t>ΤΣΙΝΤΙΚΗΣ</t>
  </si>
  <si>
    <t>ΤΣΙΟΚΑ</t>
  </si>
  <si>
    <t>ΚΡΥΣΤ</t>
  </si>
  <si>
    <t>ΝΗΠΙΑΓΩΓΕΙΟ ΦΟΔΕΛΕ</t>
  </si>
  <si>
    <t>mail@nip-fodel.ira.sch.gr</t>
  </si>
  <si>
    <t>ΤΣΙΟΛΧΑ</t>
  </si>
  <si>
    <t>3ο ΟΛΟΗΜΕΡΟ ΝΗΠΙΑΓΩΓΕΙΟ ΤΥΜΠΑΚΙΟΥ</t>
  </si>
  <si>
    <t>mail@3nip-tympak.ira.sch.gr</t>
  </si>
  <si>
    <t>ΤΣΙΟΥΝΗ</t>
  </si>
  <si>
    <t>ΤΣΙΟΥΡΗ</t>
  </si>
  <si>
    <t>ΤΣΙΤΑΚΗ</t>
  </si>
  <si>
    <t>rtsitaki@yahoo.gr</t>
  </si>
  <si>
    <t>ΤΣΙΦΤΣΟΓΛΟΥ</t>
  </si>
  <si>
    <t>ΜΑΡΙΑ-ΝΙΚΗ</t>
  </si>
  <si>
    <t>stsiftsoglou@gmail.com</t>
  </si>
  <si>
    <t>ΤΣΙΩΛΗΣ</t>
  </si>
  <si>
    <t>ΤΣΟΛΑΪΔΟΥ</t>
  </si>
  <si>
    <t>ΤΣΟΛΚΑ</t>
  </si>
  <si>
    <t>vaso.tsolka2@gmail.com</t>
  </si>
  <si>
    <t>ΤΣΟΜΠΑΝΗ</t>
  </si>
  <si>
    <t>ΤΣΟΥΜΠΛΕΚΑΣ</t>
  </si>
  <si>
    <t>ΤΣΟΥΡΛΙΑΝΗ</t>
  </si>
  <si>
    <t>giotatsourlian@hotmail.gr</t>
  </si>
  <si>
    <t>ΤΣΩΛΗ</t>
  </si>
  <si>
    <t>ΤΣΩΝΑ</t>
  </si>
  <si>
    <t>ΤΥΛΛΙΑΝΑΚΗ</t>
  </si>
  <si>
    <t>ioanna9778@yahoo.gr</t>
  </si>
  <si>
    <t>ΤΥΧΑΛΑ</t>
  </si>
  <si>
    <t>ΥΦΑΝΤΙΔΟΥ</t>
  </si>
  <si>
    <t>ΑΝΑΣΤΑΣΙΑ ΔΕ</t>
  </si>
  <si>
    <t>ΦΑΚΗ</t>
  </si>
  <si>
    <t>ΦΑΚΙΝΟΥ</t>
  </si>
  <si>
    <t>ΦΑΚΟΥΚΑΚΗ</t>
  </si>
  <si>
    <t>mariafan@windowslive.com</t>
  </si>
  <si>
    <t>fanourakis@sch.gr</t>
  </si>
  <si>
    <t>ΦΑΡΑΖΑΚΗΣ</t>
  </si>
  <si>
    <t>ΦΑΡΔΕΛΛΑ</t>
  </si>
  <si>
    <t>farsarie@gmail.com</t>
  </si>
  <si>
    <t>ΔΗΜΟΚΡΑΤΙΑ</t>
  </si>
  <si>
    <t>ΦΑΣΟΥΛΑΚΗΣ</t>
  </si>
  <si>
    <t>ΦΑΣΣΟΥ</t>
  </si>
  <si>
    <t>ΕΛΕΝΗ ΕΛΕΥΘΕΡΙΑ</t>
  </si>
  <si>
    <t>ΦΕΛΕΚΗ</t>
  </si>
  <si>
    <t>ΚΛΕΟΝΙΚΟΣ</t>
  </si>
  <si>
    <t>ΦΕΤΟΚΑΚΗ</t>
  </si>
  <si>
    <t>ΦΘΕΝΟΥ</t>
  </si>
  <si>
    <t>ΟΛΓΑ-ΓΕΩΡΓΙΑ</t>
  </si>
  <si>
    <t>774/20-08-2008</t>
  </si>
  <si>
    <t>ΠΑΟΛΑ</t>
  </si>
  <si>
    <t>ΙΖΑΜΠΕΛΑ</t>
  </si>
  <si>
    <t>ΦΙΛΙΠΠΙΔΗ</t>
  </si>
  <si>
    <t>ΦΙΛΙΠΠΙΔΗΣ</t>
  </si>
  <si>
    <t>ΦΙΝΑΛΗ</t>
  </si>
  <si>
    <t>marinafinali@hotmail.gr</t>
  </si>
  <si>
    <t>234/τ. Γ΄</t>
  </si>
  <si>
    <t>772/23.08.2010 τ.Γ΄</t>
  </si>
  <si>
    <t>ΦΛΩΡΟΣ</t>
  </si>
  <si>
    <t>makisf58@yahoo.gr</t>
  </si>
  <si>
    <t>natassa.l.florou@gmail.com</t>
  </si>
  <si>
    <t>ΦΟΙΝΙΚΙΑΝΑΚΗ</t>
  </si>
  <si>
    <t>ΦΟΙΝΙΝΗ</t>
  </si>
  <si>
    <t>ΦΟΡΤΟΥΝΑ</t>
  </si>
  <si>
    <t>ΦΟΥΖΑ</t>
  </si>
  <si>
    <t>2ο ΟΛΟΗΜΕΡΟ ΝΗΠΙΑΓΩΓΕΙΟ ΑΓΙΑΣ ΒΑΡΒΑΡΑΣ</t>
  </si>
  <si>
    <t>mail@2nip-ag-varvar.ira.sch.gr</t>
  </si>
  <si>
    <t>ΦΟΥΛΙΔΟΥ</t>
  </si>
  <si>
    <t>f.anastasia@gmail.com</t>
  </si>
  <si>
    <t>ΦΟΥΝΤΟΥΚΙΔΗΣ</t>
  </si>
  <si>
    <t>kfountoul@gmail.com</t>
  </si>
  <si>
    <t>ΑΛΕΒΥΖΟΣ</t>
  </si>
  <si>
    <t>fountoulakisofia@hotmail.com</t>
  </si>
  <si>
    <t>sofia-fou@hotmail.com</t>
  </si>
  <si>
    <t>em-fou@hotmail.com</t>
  </si>
  <si>
    <t>ΦΟΥΡΚΙΩΤΗ</t>
  </si>
  <si>
    <t>ΠΑΤΡΟΥΛΑ</t>
  </si>
  <si>
    <t>ΦΟΥΡΝΙΩΤΗ</t>
  </si>
  <si>
    <t>ΑΝΝΑ ΠΕΛΑΓΙ</t>
  </si>
  <si>
    <t>ΙΝΓΚΡΙΝΤΧΑΡΛΟΤΤΕ</t>
  </si>
  <si>
    <t>ΣΠΑΡΤΗ</t>
  </si>
  <si>
    <t>managg@ath.forthnet.gr</t>
  </si>
  <si>
    <t>andri_fragki@hotmail.com</t>
  </si>
  <si>
    <t>georgiafragkiadaki@gmail.com</t>
  </si>
  <si>
    <t>rvlastos@otenet.gr</t>
  </si>
  <si>
    <t>yiot.frag@gmail.com</t>
  </si>
  <si>
    <t>mar-frag@hotmail.com</t>
  </si>
  <si>
    <t>ΦΡΑΓΚΟΜΙΧΕΛΑΚΗΣ</t>
  </si>
  <si>
    <t>187/30-8-89</t>
  </si>
  <si>
    <t>ΦΡΑΓΚΟΥ</t>
  </si>
  <si>
    <t>efragkouli@hotmail.com</t>
  </si>
  <si>
    <t>giannisnfragoulis@gmail.com</t>
  </si>
  <si>
    <t>annafratzeskaki@gmail.com</t>
  </si>
  <si>
    <t>mparadoulakis@gmail.com</t>
  </si>
  <si>
    <t>ΦΥΝΤΡΙΛΗ</t>
  </si>
  <si>
    <t>ΦΩΣΤΗΡΟΠΟΥΛΟΥ</t>
  </si>
  <si>
    <t>ΝΙΚΟΛ</t>
  </si>
  <si>
    <t>ΦΩΤΕΙΝΟΓΙΑΝΝΑΚΗΣ</t>
  </si>
  <si>
    <t>ΦΩΤΙΑ</t>
  </si>
  <si>
    <t>ΝΗΠΙΑΓΩΓΕΙΟ ΚΑΛΥΒΙΩΝ ΠΥΡΓΙΩΤΙΣΣΗΣ</t>
  </si>
  <si>
    <t>mail@nip-pyrgiot.ira.sch.gr</t>
  </si>
  <si>
    <t>ΦΩΤΙΚΑ</t>
  </si>
  <si>
    <t>ΧΑΒΑΚΗ</t>
  </si>
  <si>
    <t>xabele84@yahoo.gr</t>
  </si>
  <si>
    <t>ΧΑΔΙΑΡΑΚΟΥ</t>
  </si>
  <si>
    <t>ΧΑΛΑΜΠΑΛΑΚΗ</t>
  </si>
  <si>
    <t>podilato-48@freemail.gr</t>
  </si>
  <si>
    <t>lucky7joan@yahoo.gr</t>
  </si>
  <si>
    <t>ΧΑΛΕΠΑΚΗ</t>
  </si>
  <si>
    <t>gchalepaki@hotmail.com</t>
  </si>
  <si>
    <t>dchelepaki@hotmail.gr</t>
  </si>
  <si>
    <t>aretich@yahoo.gr</t>
  </si>
  <si>
    <t>ΝΗΠΙΑΓΩΓΕΙΟ ΕΜΠΑΡΟΥ</t>
  </si>
  <si>
    <t>mail@nip-empar.ira.sch.gr</t>
  </si>
  <si>
    <t>chalkiadakisk@gmail.com</t>
  </si>
  <si>
    <t>xaniotaki.g@hotmail.com</t>
  </si>
  <si>
    <t>elenichaniotaki90@gmail.com</t>
  </si>
  <si>
    <t>ΠΛΟΥΤΑΡΧ</t>
  </si>
  <si>
    <t>haralampakicleo@yahoo.gr</t>
  </si>
  <si>
    <t>alexhara@windowslive.com</t>
  </si>
  <si>
    <t>ΣΗΜΕΛΑ</t>
  </si>
  <si>
    <t>ania.x@hotmail.de</t>
  </si>
  <si>
    <t>ΧΑΡΙΣΗ</t>
  </si>
  <si>
    <t>nikolasmariakor@gmail.com</t>
  </si>
  <si>
    <t>ΧΑΡΜΠΑΛΗΣ</t>
  </si>
  <si>
    <t>thomasharba75@yahoo.gr</t>
  </si>
  <si>
    <t>ΧΑΡΜΠΗΣ</t>
  </si>
  <si>
    <t>ΧΑΡΟΥΛΑΚΗ</t>
  </si>
  <si>
    <t>ΧΑΡΧΑΝΤΗ</t>
  </si>
  <si>
    <t>ΧΑΣΙΩΤΗ</t>
  </si>
  <si>
    <t>ΧΑΣΚΗΣ</t>
  </si>
  <si>
    <t>alexioschaskis@yahoo.gr</t>
  </si>
  <si>
    <t>ΧΑΣΤΑ</t>
  </si>
  <si>
    <t>ΖΕΦΥΡΙΑ</t>
  </si>
  <si>
    <t>hatzakimaria@windowslive.com</t>
  </si>
  <si>
    <t>ΜΑΡΙΛΙΤΣΑ</t>
  </si>
  <si>
    <t>ΧΑΤΖΑΚΗ-ΠΕΤΕΙΝΑΡΑΚΗ</t>
  </si>
  <si>
    <t>ΧΑΤΖΗ</t>
  </si>
  <si>
    <t>mairimm@windowslive.com</t>
  </si>
  <si>
    <t>195/Γ</t>
  </si>
  <si>
    <t>ΧΑΤΖΗΑΘΑΝΑΣΙΟΥ</t>
  </si>
  <si>
    <t>char.cha@windowslive.com</t>
  </si>
  <si>
    <t>ΧΑΤΖΗΓΕΛΕΚΗ</t>
  </si>
  <si>
    <t>ΧΑΤΖΗΓΙΑΝΝΑΚΗ</t>
  </si>
  <si>
    <t>ΦΩΤΕΙΝΗ  ΑΝΝΑ</t>
  </si>
  <si>
    <t>a.hatzigiannaki@gmail.com</t>
  </si>
  <si>
    <t>ΧΑΤΖΗΘΕΟΧΑΡΗΣ</t>
  </si>
  <si>
    <t>ΤΑΚΗΣ</t>
  </si>
  <si>
    <t>ΧΑΤΖΗΛΕΟΝΤΙΑΔΗΣ</t>
  </si>
  <si>
    <t>dimchathim@sch.gr</t>
  </si>
  <si>
    <t>ΧΑΤΖΗΜΕΛΕΤΗ</t>
  </si>
  <si>
    <t>ΧΑΤΖΗΠΑΝΤΕΛΗ</t>
  </si>
  <si>
    <t>ΧΑΤΖΗΡΑΛΛΗΣ</t>
  </si>
  <si>
    <t>ΕΡΜΟΛΑΟΣ</t>
  </si>
  <si>
    <t>ΣΟΦΙΑ ΑΡΓΥΡΩ</t>
  </si>
  <si>
    <t>marchatzidaki@gmail.com</t>
  </si>
  <si>
    <t>ΧΑΤΖΟΓΛΟΥ</t>
  </si>
  <si>
    <t>ΧΑΧΛΙΟΥΤΗ</t>
  </si>
  <si>
    <t>ΧΕΙΜΩΝΙΤΗ</t>
  </si>
  <si>
    <t>ΧΕΛΒΑΤΖΟΓΛΟΥ</t>
  </si>
  <si>
    <t>ΧΙΛΙΑΡΧΑΚΗ</t>
  </si>
  <si>
    <t>ΜΑΡΙΑ ΜΑΡΙΝΑ</t>
  </si>
  <si>
    <t>ΧΙΩΝΟΥ</t>
  </si>
  <si>
    <t>mariachionou@yahoo.gr</t>
  </si>
  <si>
    <t>ΧΝΑΡΑΚΗ</t>
  </si>
  <si>
    <t>ΧΟΛΕΡΗ</t>
  </si>
  <si>
    <t>ΕΥΑΓΓΕΛΙΑ-ΝΙΚΟΛΕΤΑ</t>
  </si>
  <si>
    <t>ΧΟΝΔΡΟΖΟΥΜΑΚΗ</t>
  </si>
  <si>
    <t>ΧΟΡΤΑΡΙΑ</t>
  </si>
  <si>
    <t>ΣΥΡΑΓΩ</t>
  </si>
  <si>
    <t>ΧΟΥΔΕΤΣΑΝΑΚΗ</t>
  </si>
  <si>
    <t>mariaxoud@gmail.com</t>
  </si>
  <si>
    <t>ΧΟΥΝΤΑΛΑ</t>
  </si>
  <si>
    <t>ioahou@yahoo.gr</t>
  </si>
  <si>
    <t>ΑΡΙΣΤΟΦΑ</t>
  </si>
  <si>
    <t>litsa_h@yahoo.gr</t>
  </si>
  <si>
    <t>literature31@yahoo.gr</t>
  </si>
  <si>
    <t>anagno@hotmail.gr</t>
  </si>
  <si>
    <t>kris-chris@hotmail.gr</t>
  </si>
  <si>
    <t>ΧΡΙΣΤΙΔΗ</t>
  </si>
  <si>
    <t>k.xrist@hotmail.com</t>
  </si>
  <si>
    <t>evi82@outlook.com.gr</t>
  </si>
  <si>
    <t>xara_xri@hotmail.com</t>
  </si>
  <si>
    <t>xris.xri@gmail.com</t>
  </si>
  <si>
    <t>ΧΡΙΣΤΟΔΟΥΛΕΑ</t>
  </si>
  <si>
    <t>218/2005</t>
  </si>
  <si>
    <t>ΚΥΠΡΙΑΝΑ</t>
  </si>
  <si>
    <t>ΧΡΙΣΤΟΠΟΥΛΟΥ</t>
  </si>
  <si>
    <t>ΝΗΠΙΑΓΩΓΕΙΟ ΜΑΡΑΘΟΣ</t>
  </si>
  <si>
    <t>mail@nip-marath.ira.sch.gr</t>
  </si>
  <si>
    <t>ΧΡΙΣΤΟΦΙΔΟΥ</t>
  </si>
  <si>
    <t>natalia.christofidou@gmail.com</t>
  </si>
  <si>
    <t>ΧΡΙΣΤΟΦΟΡΙΔΟΥ</t>
  </si>
  <si>
    <t>mariachristoforidou28@gmail.com</t>
  </si>
  <si>
    <t>Ntina.chronaki@gmail.com</t>
  </si>
  <si>
    <t>ΔΡΑΚΩΝ</t>
  </si>
  <si>
    <t>ΧΡΟΝΟΠΟΥΛΟΥ</t>
  </si>
  <si>
    <t>ΧΡΥΣΑΝΘΟΥ</t>
  </si>
  <si>
    <t>ΧΡΙΣΤΟΥΛΛΑ</t>
  </si>
  <si>
    <t>ichrysanthou@hotmail.com</t>
  </si>
  <si>
    <t>ΧΡΥΣΟΣ</t>
  </si>
  <si>
    <t>ΧΡΥΣΟΣΤΟΜΑΚΗΣ</t>
  </si>
  <si>
    <t>Giorgos_chrisostomakis@yahoo.gr</t>
  </si>
  <si>
    <t>ΧΡΥΣΟΥ</t>
  </si>
  <si>
    <t>ΧΡΥΣΟΧΟΙΔΟΥ</t>
  </si>
  <si>
    <t>ΣΟΝΙΑ</t>
  </si>
  <si>
    <t>ΧΥΤΑ</t>
  </si>
  <si>
    <t>ΨΑΛΛΙΔΑΚΗ</t>
  </si>
  <si>
    <t>ΡΕΒΕΚΑ</t>
  </si>
  <si>
    <t>katpsaraki@windowslive.com</t>
  </si>
  <si>
    <t>eystathios28@gmail.com</t>
  </si>
  <si>
    <t>aimiliapsa@gmail.com</t>
  </si>
  <si>
    <t>ΨΑΡΡΟΥ</t>
  </si>
  <si>
    <t>ΡΕΓΓΙΝΑ</t>
  </si>
  <si>
    <t>stefanospsellakis@hotmail.com</t>
  </si>
  <si>
    <t>ΨΥΡΚΑΣ</t>
  </si>
  <si>
    <t>ΨΥΧΙΔΟΥ</t>
  </si>
  <si>
    <t>ΨΩΜΑΔΑΚΗ</t>
  </si>
  <si>
    <t>kalliopsom1982@yahoo.gr</t>
  </si>
  <si>
    <t>ΑΒΡΑΜΙΔΟΥ</t>
  </si>
  <si>
    <t>ΔΗΜΟΤΙΚΟ ΣΧΟΛΕΙΟ ΑΡΜΕΝΟΙ ΣΗΤΕΙΑΣ</t>
  </si>
  <si>
    <t>mail@dim-armen.las.sch.gr</t>
  </si>
  <si>
    <t>ΑΡΜΕΝΩΝ</t>
  </si>
  <si>
    <t>ΑΓΑΠΟΥΛΑΚΗ</t>
  </si>
  <si>
    <t>xaga11@yahoo.gr</t>
  </si>
  <si>
    <t>1ο ΔΗΜΟΤΙΚΟ ΣΧΟΛΕΙΟ ΙΕΡΑΠΕΤΡΑΣ</t>
  </si>
  <si>
    <t>mail@1dim-ierap.las.sch.gr</t>
  </si>
  <si>
    <t>ΝΗΠΙΑΓΩΓΕΙΟ ΚΕΝΤΡΙΟΥ</t>
  </si>
  <si>
    <t>mail@nip-kentr.las.sch.gr</t>
  </si>
  <si>
    <t>4ο ΔΗΜΟΤΙΚΟ ΣΧΟΛΕΙΟ ΑΓΙΟΥ ΝΙΚΟΛΑΟΥ</t>
  </si>
  <si>
    <t>mail@4dim-ag-nikol.las.sch.gr</t>
  </si>
  <si>
    <t>ΑΓΓΕΛΑΚΟΠΟΥΛΟΥ</t>
  </si>
  <si>
    <t>2ο ΔΗΜΟΤΙΚΟ ΣΧΟΛΕΙΟ ΑΓΙΟΥ ΝΙΚΟΛΑΟΥ</t>
  </si>
  <si>
    <t>mail@2dim-ag-nikol.las.sch.gr</t>
  </si>
  <si>
    <t>ΑΓΓΕΛΑΚΟΥΔΗ</t>
  </si>
  <si>
    <t>ΤΡΙΑΔΑ</t>
  </si>
  <si>
    <t>ΟΛΟΗΜΕΡΟ ΝΗΠΙΑΓΩΓΕΙΟ ΝΕΑΣ ΑΝΑΤΟΛΗΣ</t>
  </si>
  <si>
    <t>mail@nip-n-anatol.las.sch.gr</t>
  </si>
  <si>
    <t>ΑΝΑΤΟΛΗΣ</t>
  </si>
  <si>
    <t>5ο ΝΗΠΙΑΓΩΓΕΙΟ ΙΕΡΑΠΕΤΡΑΣ</t>
  </si>
  <si>
    <t>mail@5nip-ierap.las.sch.gr</t>
  </si>
  <si>
    <t>3ο ΔΗΜΟΤΙΚΟ ΣΧΟΛΕΙΟ ΣΗΤΕΙΑΣ</t>
  </si>
  <si>
    <t>mail@3dim-siteias.las.sch.gr</t>
  </si>
  <si>
    <t>ΑΓΓΕΛΙΔΗ</t>
  </si>
  <si>
    <t>christina.angel8di@gmail.com</t>
  </si>
  <si>
    <t>ΔΗΜΟΤΙΚΟ ΣΧΟΛΕΙΟ ΠΙΣΚΟΚΕΦΑΛΟΥ</t>
  </si>
  <si>
    <t>mail@dim-piskok.las.sch.gr</t>
  </si>
  <si>
    <t>ΠΙΣΚΟΚΕΦΑΛΟΥ</t>
  </si>
  <si>
    <t>ΑΓΓΕΛΟΥΣΗΣ</t>
  </si>
  <si>
    <t>kostasagelousis@gmail.com</t>
  </si>
  <si>
    <t>ΕΙΔΙΚΟ ΔΗΜΟΤΙΚΟ ΣΧΟΛΕΙΟ ΙΕΡΑΠΕΤΡΑΣ</t>
  </si>
  <si>
    <t>mail@dim-eid-ierap.las.sch.gr</t>
  </si>
  <si>
    <t>ΑΓΟΡΑΣΤΟΣ</t>
  </si>
  <si>
    <t>th_agorastos@hotmail.com</t>
  </si>
  <si>
    <t>3ο ΔΗΜΟΤΙΚΟ ΣΧΟΛΕΙΟ ΑΓΙΟΥ ΝΙΚΟΛΑΟΥ</t>
  </si>
  <si>
    <t>mail@3dim-ag-nikol.las.sch.gr</t>
  </si>
  <si>
    <t>ΑΔΡΙΑΝΟΥΔΗ</t>
  </si>
  <si>
    <t>ΚΑΝΕΛΩ</t>
  </si>
  <si>
    <t>3ο ΔΗΜΟΤΙΚΟ ΣΧΟΛΕΙΟ ΙΕΡΑΠΕΤΡΑΣ</t>
  </si>
  <si>
    <t>mail@3dim-ierap.las.sch.gr</t>
  </si>
  <si>
    <t>ΔΗΜΟΤΙΚΟ ΣΧΟΛΕΙΟ ΝΕΑΣ ΑΝΑΤΟΛΗΣ</t>
  </si>
  <si>
    <t>mail@dim-n-anatol.las.sch.gr</t>
  </si>
  <si>
    <t>ΑΙΚΑΤΕΡΙΝΙΔΗ</t>
  </si>
  <si>
    <t>249/22-9-2005</t>
  </si>
  <si>
    <t>ΑΙΚΑΤΕΡΙΝΙΔΗΣ</t>
  </si>
  <si>
    <t>1ο ΔΗΜΟΤΙΚΟ ΣΧΟΛΕΙΟ ΣΗΤΕΙΑΣ</t>
  </si>
  <si>
    <t>mail@1dim-siteias.las.sch.gr</t>
  </si>
  <si>
    <t>ΔΗΜΟΤΙΚΟ ΣΧΟΛΕΙΟ ΠΑΧΕΙΑΣ ΑΜΜΟΥ</t>
  </si>
  <si>
    <t>mail@dim-pacheias.las.sch.gr</t>
  </si>
  <si>
    <t>ΠΑΧΕΙΑΣ ΑΜΜΟΥ</t>
  </si>
  <si>
    <t>ΑΛΕΒΙΖΟΣ</t>
  </si>
  <si>
    <t>3ο ΝΗΠΙΑΓΩΓΕΙΟ ΣΗΤΕΙΑΣ</t>
  </si>
  <si>
    <t>mail@3nip-siteias.las.sch.gr</t>
  </si>
  <si>
    <t>alxla@windowslive.com</t>
  </si>
  <si>
    <t>ΔΗΜΟΤΙΚΟ ΣΧΟΛΕΙΟ ΠΑΛΑΙΚΑΣΤΡΟΥ</t>
  </si>
  <si>
    <t>mail@dim-palaik.las.sch.gr</t>
  </si>
  <si>
    <t>1ο ΔΗΜΟΤΙΚΟ ΣΧΟΛΕΙΟ ΑΓΙΟΥ ΝΙΚΟΛΑΟΥ</t>
  </si>
  <si>
    <t>mail@1dim-ag-nikol.las.sch.gr</t>
  </si>
  <si>
    <t>ΑΛΕΞΑΝΔΡΗ</t>
  </si>
  <si>
    <t>ΑΛΕΞΑΝΔΡΗΣ</t>
  </si>
  <si>
    <t>ΜΕΤΑΞΟΥΛΑ</t>
  </si>
  <si>
    <t>ΔΗΜ. ΣΧΟΛΕΙΟ ΑΓΙΟΥ ΓΕΩΡΓΙΟΥ</t>
  </si>
  <si>
    <t>mail@dim-ag-georg.las.sch.gr</t>
  </si>
  <si>
    <t>ΑΓΙΟΥ ΓΕΩΡΓΙΟΥ</t>
  </si>
  <si>
    <t>ΑΜΠΑΔΙΩΤΑΚΗ</t>
  </si>
  <si>
    <t>ΤΡΙΣΕΥΓΕΝΗ</t>
  </si>
  <si>
    <t>5ο ΔΗΜΟΤΙΚΟ ΣΧΟΛΕΙΟ ΑΓΙΟΥ ΝΙΚΟΛΑΟΥ</t>
  </si>
  <si>
    <t>mail@5dim-ag-nikol.las.sch.gr</t>
  </si>
  <si>
    <t>nikianagnostaki@yahoo.gr</t>
  </si>
  <si>
    <t>ΕΥΑΓΓΕΛΙΑ-ΕΙΡΗΝΗ</t>
  </si>
  <si>
    <t>ΙΖΑΜΠΕΛ-ΟΝΤΕΤ</t>
  </si>
  <si>
    <t>ΔΗΜΟΤΙΚΟ ΣΧΟΛΕΙΟ ΚΡΙΤΣΑΣ</t>
  </si>
  <si>
    <t>mail@dim-krits.las.sch.gr</t>
  </si>
  <si>
    <t>5ο ΔΗΜΟΤΙΚΟ ΣΧΟΛΕΙΟ ΙΕΡΑΠΕΤΡΑΣ</t>
  </si>
  <si>
    <t>mail@5dim-ierap.las.sch.gr</t>
  </si>
  <si>
    <t>ΔΗΜΟΤΙΚΟ ΣΧΟΛΕΙΟ ΚΕΝΤΡΙΟΥ</t>
  </si>
  <si>
    <t>mail@dim-kentr.las.sch.gr</t>
  </si>
  <si>
    <t>ΑΝΑΤΟΛΑΚΗ</t>
  </si>
  <si>
    <t>ΔΗΜΟΤΙΚΟ ΣΧΟΛΕΙΟ ΦΕΡΜΩΝ</t>
  </si>
  <si>
    <t>mail@dim-fermon.las.sch.gr</t>
  </si>
  <si>
    <t>ΑΓΙΟΥ ΙΩΑΝΝΟΥ</t>
  </si>
  <si>
    <t>ΑΝΔΡΕΑΔΑΚΗ</t>
  </si>
  <si>
    <t>ΑΝΔΡΕΟΠΟΥΛΗ</t>
  </si>
  <si>
    <t>kandreopouli@gmai.com</t>
  </si>
  <si>
    <t>6ο ΝΗΠΙΑΓΩΓΕΙΟ ΙΕΡΑΠΕΤΡΑΣ</t>
  </si>
  <si>
    <t>mail@6nip-ierap.las.sch.gr</t>
  </si>
  <si>
    <t>2ο ΔΗΜΟΤΙΚΟ ΣΧΟΛΕΙΟ ΣΗΤΕΙΑΣ</t>
  </si>
  <si>
    <t>mail@2dim-siteias.las.sch.gr</t>
  </si>
  <si>
    <t>ΑΝΤΩΝΙΔΑΚΗ</t>
  </si>
  <si>
    <t>ΜΑΡΙΑ ΕΛΕΝΗ</t>
  </si>
  <si>
    <t>ΔΗΜΟΤΙΚΟ ΣΧΟΛΕΙΟ ΓΟΥΔΟΥΡΑ</t>
  </si>
  <si>
    <t>mail@dim-goudour.las.sch.gr</t>
  </si>
  <si>
    <t>ΑΠΙΔΙΩΝ (ΜΕΣΑ ΑΠΙΔΙΟΥ)</t>
  </si>
  <si>
    <t>ΣΜΑΡΟΥΛΑ</t>
  </si>
  <si>
    <t>s-arampa@otenet.gr</t>
  </si>
  <si>
    <t>4ο ΔΗΜΟΤΙΚΟ ΣΧΟΛΕΙΟ ΣΗΤΕΙΑΣ</t>
  </si>
  <si>
    <t>mail@4dim-siteias.las.sch.gr</t>
  </si>
  <si>
    <t>ΑΡΓΥΡΙΟΥ</t>
  </si>
  <si>
    <t>argiri17@gmail.com</t>
  </si>
  <si>
    <t>1ο ΝΗΠΙΑΓΩΓΕΙΟ ΑΓΙΟΥ ΝΙΚΟΛΑΟΥ</t>
  </si>
  <si>
    <t>mail@1nip-ag-nikol.las.sch.gr</t>
  </si>
  <si>
    <t>ΑΡΣΕΝΟΥ</t>
  </si>
  <si>
    <t>231/31-8-2004 τ.Γ΄</t>
  </si>
  <si>
    <t>ΔΗΜΟΤΙΚΟ ΣΧΟΛΕΙΟ ΚΑΛΟΥ ΧΩΡΙΟΥ</t>
  </si>
  <si>
    <t>mail@dim-kal-choriou.las.sch.gr</t>
  </si>
  <si>
    <t>ΚΑΛΟΥ ΧΩΡΙΟΥ</t>
  </si>
  <si>
    <t>astropekaki13@hotmail.com</t>
  </si>
  <si>
    <t>ΝΗΠΙΑΓΩΓΕΙΟ ΓΟΥΔΟΥΡΑ</t>
  </si>
  <si>
    <t>mail@nip-goudour.las.sch.gr</t>
  </si>
  <si>
    <t>ΑΣΦΕΝΤΑΓΑΚΗ</t>
  </si>
  <si>
    <t>andoniskord@yahoo.gr</t>
  </si>
  <si>
    <t>ΑΤΖΕΜΙΔΑΚΗ</t>
  </si>
  <si>
    <t>ΑΛΒΙΝΗ</t>
  </si>
  <si>
    <t>ΑΥΓΕΝΟΥ</t>
  </si>
  <si>
    <t>1ο  ΝΗΠΙΑΓΩΓΕΙΟ ΙΕΡΑΠΕΤΡΑΣ</t>
  </si>
  <si>
    <t>mail@1nip-ierap.las.sch.gr</t>
  </si>
  <si>
    <t>2ο ΝΗΠΙΑΓΩΓΕΙΟ ΝΕΑΠΟΛΗΣ ΛΑΣΙΘΙΟΥ</t>
  </si>
  <si>
    <t>mail@2nip-neapol.las.sch.gr</t>
  </si>
  <si>
    <t>ΑΦΕΝΤΟΥΛΗ</t>
  </si>
  <si>
    <t>ΑΧΙΛΛΕΩΣ</t>
  </si>
  <si>
    <t>ΜΙΚΑΕΛΛΑ</t>
  </si>
  <si>
    <t>ΒΑΓΕΝΑ</t>
  </si>
  <si>
    <t>ΒΑΗΝΑ</t>
  </si>
  <si>
    <t>2ο ΔΗΜΟΤΙΚΟ ΣΧΟΛΕΙΟ ΙΕΡΑΠΕΤΡΑΣ</t>
  </si>
  <si>
    <t>mail@2dim-ierap.las.sch.gr</t>
  </si>
  <si>
    <t>ΔΗΜΟΤΙΚΟ ΣΧΟΛΕΙΟ ΚΑΛΑΜΑΥΚΑΣ</t>
  </si>
  <si>
    <t>mail@dim-kalam.las.sch.gr</t>
  </si>
  <si>
    <t>ΚΑΛΑΜΑΥΚΑΣ</t>
  </si>
  <si>
    <t>ΕΙΔΙΚΟ ΔΗΜΟΤΙΚΟ ΣΧΟΛΕΙΟ ΑΓΙΟΥ ΝΙΚΟΛΑΟΥ</t>
  </si>
  <si>
    <t>mail@dim-eid-ag-nikol.las.sch.gr</t>
  </si>
  <si>
    <t>ΒΑΡΕΛΑΚΗΣ</t>
  </si>
  <si>
    <t>4ο  ΔΗΜΟΤΙΚΟ ΣΧΟΛΕΙΟ ΙΕΡΑΠΕΤΡΑΣ</t>
  </si>
  <si>
    <t>mail@4dim-ierap.las.sch.gr</t>
  </si>
  <si>
    <t>ΒΑΡΤΣΑΚΗ</t>
  </si>
  <si>
    <t>ΒΑΣΑΡΜΙΔΗ</t>
  </si>
  <si>
    <t>evgeniaKougiou@hotmail.com</t>
  </si>
  <si>
    <t>7ο ΝΗΠΙΑΓΩΓΕΙΟ ΙΕΡΑΠΕΤΡΑΣ</t>
  </si>
  <si>
    <t>mail@7nip-ierap.las.sch.gr</t>
  </si>
  <si>
    <t>ΒΑΣΙΛΑΚΟΣ</t>
  </si>
  <si>
    <t>5ο ΝΗΠΙΑΓΩΓΕΙΟ ΑΓΙΟΥ ΝΙΚΟΛΑΟΥ</t>
  </si>
  <si>
    <t>mail@5nip-ag-nikol.las.sch.gr</t>
  </si>
  <si>
    <t>4ο ΝΗΠΙΑΓΩΓΕΙΟ ΙΕΡΑΠΕΤΡΑΣ</t>
  </si>
  <si>
    <t>mail@4nip-ierap.las.sch.gr</t>
  </si>
  <si>
    <t>ΒΗΧΑ</t>
  </si>
  <si>
    <t>ΒΙΟΛΕΤΗΣ</t>
  </si>
  <si>
    <t>2ο ΔΗΜΟΤΙΚΟ ΣΧΟΛΕΙΟ ΝΕΑΠΟΛΗΣ ΛΑΣΙΘΙΟΥ</t>
  </si>
  <si>
    <t>mail@2dim-neapol.las.sch.gr</t>
  </si>
  <si>
    <t>ΒΙΣΚΑΔΟΥΡΟΥ</t>
  </si>
  <si>
    <t>renavogiatzi@hotmail.com</t>
  </si>
  <si>
    <t>ΒΟΥΖΟΥΝΕΡΑΚΗ</t>
  </si>
  <si>
    <t>ΒΟΥΛΚΙΔΟΥ</t>
  </si>
  <si>
    <t>ΘΕΟΔΟΣΙΑ-ΑΓΑ</t>
  </si>
  <si>
    <t>ΓΑΖΕΑΣ</t>
  </si>
  <si>
    <t>ΓΑΙΤΑΝΑΚΗ</t>
  </si>
  <si>
    <t>ΓΑΪΤΑΝΑΚΗΣ</t>
  </si>
  <si>
    <t>ΕΙΔΙΚΟ ΔΗΜΟΤΙΚΟ ΣΧΟΛΕΙΟ ΣΗΤΕΙΑΣ</t>
  </si>
  <si>
    <t>mail@dim-eid-siteias.las.sch.gr</t>
  </si>
  <si>
    <t>ΓΑΤΣΟΥ</t>
  </si>
  <si>
    <t>xrysagat@gmail.com</t>
  </si>
  <si>
    <t>ΔΗΜΟΤΙΚΟ ΣΧΟΛΕΙΟ ΚΟΥΤΣΟΥΡΑ</t>
  </si>
  <si>
    <t>mail@dim-kouts.las.sch.gr</t>
  </si>
  <si>
    <t>ΓΕΛΑΣΤΟΠΟΥΛΟΥ</t>
  </si>
  <si>
    <t>gerakmaria@yahoo.gr</t>
  </si>
  <si>
    <t>ΓΕΡΜΑΝΑΚΗ</t>
  </si>
  <si>
    <t>ΝΥΦΟΥΛΑ</t>
  </si>
  <si>
    <t>2ο ΝΗΠΙΑΓΩΓΕΙΟ ΑΓΙΟΥ ΝΙΚΟΛΑΟΥ</t>
  </si>
  <si>
    <t>mail@2nip-ag-nikol.las.sch.gr</t>
  </si>
  <si>
    <t>ΓΕΩΡΓΑΝΤΩΝΑΚΗ</t>
  </si>
  <si>
    <t>anthigeorgiadou@yahoo.gr</t>
  </si>
  <si>
    <t>772/23/8/10</t>
  </si>
  <si>
    <t>ΓΕΩΡΓΙΑΝΝΑΚΗΣ</t>
  </si>
  <si>
    <t>ΓΙΑΛΕΣΑΚΗ</t>
  </si>
  <si>
    <t>ΔΗΜΟΤΙΚΟ ΣΧΟΛΕΙΟ ΜΑΚΡΥ ΓΙΑΛΟΥ</t>
  </si>
  <si>
    <t>mail@dim-mak-gialou.las.sch.gr</t>
  </si>
  <si>
    <t>ΑΓΙΟΥ ΣΤΕΦΑΝΟΥ</t>
  </si>
  <si>
    <t>ΓΙΑΛΟΥΣΗ</t>
  </si>
  <si>
    <t>ΣΟΦΙΑ-ΕΛΕΥΘΕΡΙΑ</t>
  </si>
  <si>
    <t>ΓΙΑΝΙΤΣΑΝΑΚΗ</t>
  </si>
  <si>
    <t>mgianitsanaki@gmail.com</t>
  </si>
  <si>
    <t>ΓΙΑΝΝΙΚΑΚΗΣ</t>
  </si>
  <si>
    <t>ΜΑΓΔΑΛΙΝΗ-ΒΕΝΕΤΙΑ</t>
  </si>
  <si>
    <t>giannoulimag@yahoo.gr</t>
  </si>
  <si>
    <t>660/17/08/07</t>
  </si>
  <si>
    <t>2ο ΝΗΠΙΑΓΩΓΕΙΟ ΣΗΤΕΙΑΣ - ΕΥΣΤΡΑΤΙΟΣ ΚΑΛΟΓΕΡΙΔΗΣ</t>
  </si>
  <si>
    <t>mail@2nip-siteias.las.sch.gr</t>
  </si>
  <si>
    <t>ΓΙΑΝΝΟΥΡΗ</t>
  </si>
  <si>
    <t>ΓΙΑΧΑΝΑΤΖΗ</t>
  </si>
  <si>
    <t>ΝΗΠΙΑΓΩΓΕΙΟ ΚΑΛΟΥ ΧΩΡΙΟΥ</t>
  </si>
  <si>
    <t>mail@nip-kal-choriou.las.sch.gr</t>
  </si>
  <si>
    <t>ΓΙΑΧΝΑΚΗ</t>
  </si>
  <si>
    <t>ΓΙΟΥΡΤΣΙΔΟΥ</t>
  </si>
  <si>
    <t>ΔΗΜΟΤΙΚΟ ΣΧΟΛΕΙΟ ΣΦΑΚΑΣ</t>
  </si>
  <si>
    <t>mail@dim-sfakas.las.sch.gr</t>
  </si>
  <si>
    <t>ΣΦΑΚΑΣ</t>
  </si>
  <si>
    <t>ΓΙΩΡΓΟΥΛΑΚΗΣ</t>
  </si>
  <si>
    <t>daskalogiannis18121986@gmail.com</t>
  </si>
  <si>
    <t>ΓΚΑΔΡΗΣ</t>
  </si>
  <si>
    <t>sgadris@gmail.com</t>
  </si>
  <si>
    <t>ΓΚΕΝΕ</t>
  </si>
  <si>
    <t>ΓΚΟΥΜΑΣ</t>
  </si>
  <si>
    <t>ΓΚΟΥΤΗΣ</t>
  </si>
  <si>
    <t>ΓΛΑΒΑ</t>
  </si>
  <si>
    <t>1/ΘΕΣΙΟ ΝΗΠΙΑΓΩΓΕΙΟ ΣΕΙΣΙΟΥ</t>
  </si>
  <si>
    <t>mail@nip-seisiou.las.sch.gr</t>
  </si>
  <si>
    <t>ΒΡΑΧΑΣΙΟΥ</t>
  </si>
  <si>
    <t>ΓΟΝΗ</t>
  </si>
  <si>
    <t>ΕΛΕΝΗ ΣΠΥΡΙΔΟΥΛΑ</t>
  </si>
  <si>
    <t>ΝΗΠΙΑΓΩΓΕΙΟ ΚΑΤΩ ΧΩΡΙΟΥ</t>
  </si>
  <si>
    <t>mail@nip-kat-choriou.las.sch.gr</t>
  </si>
  <si>
    <t>ΚΑΤΩ ΧΩΡΙΟΥ</t>
  </si>
  <si>
    <t>ΓΟΥΓΟΥΛΙΑΣ</t>
  </si>
  <si>
    <t>iliasgougoulias@gmail.com</t>
  </si>
  <si>
    <t>ΔΗΜΟΤΙΚΟ ΣΧΟΛΕΙΟ ΚΑΤΩ ΧΩΡΙΟΥ</t>
  </si>
  <si>
    <t>mail@dim-kat-choriou.las.sch.gr</t>
  </si>
  <si>
    <t>ΓΟΥΛΙΕΛΜΟΣ</t>
  </si>
  <si>
    <t>mgoulielmo@sch.gr</t>
  </si>
  <si>
    <t>ΓΡΗΓΟΡΙΑΔΗΣ</t>
  </si>
  <si>
    <t>ΔΗΜΟΤΙΚΟ ΣΧΟΛΕΙΟ ΕΛΟΥΝΤΑΣ</t>
  </si>
  <si>
    <t>mail@dim-elount.las.sch.gr</t>
  </si>
  <si>
    <t>ΕΛΟΥΝΤΑΣ</t>
  </si>
  <si>
    <t xml:space="preserve">ΓΡΗΓΟΡΙΟΥ </t>
  </si>
  <si>
    <t>ΔΕΔΕΣ</t>
  </si>
  <si>
    <t>ΓΡΙΖΑΝΙΤΗ</t>
  </si>
  <si>
    <t>ΟΛΟΗΜΕΡΟ ΝΗΠΙΑΓΩΓΕΙΟ ΕΛΟΥΝΤΑΣ</t>
  </si>
  <si>
    <t>mail@nip-elount.las.sch.gr</t>
  </si>
  <si>
    <t>emmanueladaskaki@yahoo.gr</t>
  </si>
  <si>
    <t>ΔΗΜΟΤΙΚΟ ΣΧΟΛΕΙΟ ΖΑΚΡΟΥ</t>
  </si>
  <si>
    <t>mail@dim-zakrou.las.sch.gr</t>
  </si>
  <si>
    <t>ΖΑΚΡΟΥ</t>
  </si>
  <si>
    <t>ΔΑΣΚΑΛΑΚΗ ΧΡΥΣΟΥΛΑ</t>
  </si>
  <si>
    <t>ΔΑΤΣΕΡΗ</t>
  </si>
  <si>
    <t>ΔΕΛΗΓΙΑΝΝΗ</t>
  </si>
  <si>
    <t>ΕΡΡΙΚΑ</t>
  </si>
  <si>
    <t>katrin_08@hotmail.com</t>
  </si>
  <si>
    <t>ΔΕΜΙΡΤΖΟΓΛΟΥ</t>
  </si>
  <si>
    <t>ΔΕΡΜΙΤΖΟΜΑΝΩΛΑΚΗ</t>
  </si>
  <si>
    <t>dipidimop@yahoo.gr</t>
  </si>
  <si>
    <t>ΘΕΟΔΩΡΑ-ΑΙΚΑΤΕΡΙΝΗ</t>
  </si>
  <si>
    <t>ΔΗΜΟΤΙΚΟ ΣΧΟΛΕΙΟ ΚΡΟΥΣΤΑ</t>
  </si>
  <si>
    <t>mail@dim-kroust.las.sch.gr</t>
  </si>
  <si>
    <t>ΚΡΟΥΣΤΑ</t>
  </si>
  <si>
    <t>ΔΙΑΛΛΥΝΑ</t>
  </si>
  <si>
    <t>ΔΙΑΜΑΝΤΟΥΛΑΚΗ</t>
  </si>
  <si>
    <t>4ο ΝΗΠΙΑΓΩΓΕΙΟ ΑΓΙΟΥ ΝΙΚΟΛΑΟΥ</t>
  </si>
  <si>
    <t>mail@4nip-ag-nikol.las.sch.gr</t>
  </si>
  <si>
    <t>ΔΟΪΚΑ</t>
  </si>
  <si>
    <t>ΝΙΚΟΛΕΤΤΑ-ΜΑΡΙΑ</t>
  </si>
  <si>
    <t>ΔΡΑΓΑΝΗ</t>
  </si>
  <si>
    <t>irinaki_1989@hotmail.com</t>
  </si>
  <si>
    <t>ΔΡΑΓΑΤΟΓΙΑΝΝΗ</t>
  </si>
  <si>
    <t>ΝΗΠΙΑΓΩΓΕΙΟ ΠΙΣΚΟΚΕΦΑΛΟΥ</t>
  </si>
  <si>
    <t>mail@nip-piskok.las.sch.gr</t>
  </si>
  <si>
    <t>ΕΙΔΙΚΟ ΝΗΠΙΑΓΩΓΕΙΟ ΙΕΡΑΠΕΤΡΑΣ</t>
  </si>
  <si>
    <t>mail@nip-eid-ierap.las.sch.gr</t>
  </si>
  <si>
    <t>ΕΥΑΓΓΕΛΙΔΑΚΗΣ</t>
  </si>
  <si>
    <t>evangelid@sch.gr</t>
  </si>
  <si>
    <t>ΕΥΑΓΓΕΛΟΥΔΗ</t>
  </si>
  <si>
    <t>ΕΥΧΕΤΖΗ</t>
  </si>
  <si>
    <t>ΖΑΖΑΝΗ</t>
  </si>
  <si>
    <t>ΖΑΜΠΕΤΑΚΗΣ</t>
  </si>
  <si>
    <t>ΥΒΟΝΗ</t>
  </si>
  <si>
    <t>ΖΑΠΡΟΥΔΗ</t>
  </si>
  <si>
    <t>vzaprou@gmail.com</t>
  </si>
  <si>
    <t>ΖΑΧΑΚΗ</t>
  </si>
  <si>
    <t>evanzachaki@yahoo.gr</t>
  </si>
  <si>
    <t>ΖΑΧΑΡΙΑ</t>
  </si>
  <si>
    <t>ΖΑΧΑΡΙΑΔΟΥ</t>
  </si>
  <si>
    <t>ΖΑΧΟΣ</t>
  </si>
  <si>
    <t>kostaszaxos@yahoo.gr</t>
  </si>
  <si>
    <t>ΝΤΙΑΝΑ</t>
  </si>
  <si>
    <t>ΘΕΟΚΡΙΤΟΣ</t>
  </si>
  <si>
    <t>zerman1962@windowslive.com</t>
  </si>
  <si>
    <t>ΚΑΛΛΙΡΡ</t>
  </si>
  <si>
    <t>ΖΙΑΝΝΑ</t>
  </si>
  <si>
    <t>ΖΟΛΩΤΑ</t>
  </si>
  <si>
    <t>ΖΟΥΓΛΑΚΗ</t>
  </si>
  <si>
    <t>ir_zo@yahoo.gr</t>
  </si>
  <si>
    <t>ΖΟΥΔΑ</t>
  </si>
  <si>
    <t>ΖΟΥΜΠΟΥΛΙΔΟΥ</t>
  </si>
  <si>
    <t>ΝΗΠΙΑΓΩΓΕΙΟ ΜΑΛΩΝ</t>
  </si>
  <si>
    <t>mail@nip-malon.las.sch.gr</t>
  </si>
  <si>
    <t>ΜΑΛΩΝ</t>
  </si>
  <si>
    <t>ΖΟΥΡΜΠΑΚΗ</t>
  </si>
  <si>
    <t>Mzografaki@sch.gr</t>
  </si>
  <si>
    <t>ΑΝΤΙΓΟΝΗ ΣΟΦ</t>
  </si>
  <si>
    <t>ΘΕΡΜΟΥ</t>
  </si>
  <si>
    <t>ΘΩΜΑΙΔΟΥ</t>
  </si>
  <si>
    <t>5ο ΝΗΠΙΑΓΩΓΕΙΟ ΣΗΤΕΙΑΣ</t>
  </si>
  <si>
    <t>mail@5nip-siteias.las.sch.gr</t>
  </si>
  <si>
    <t>ΙΑΚΩΒΟΥ</t>
  </si>
  <si>
    <t>ΔΗΜΟΤΙΚΟ ΣΧΟΛΕΙΟ ΣΕΙΣΙΟΥ - ΠΛΑΤΑΚΗ</t>
  </si>
  <si>
    <t>mail@dim-seisiou.las.sch.gr</t>
  </si>
  <si>
    <t>ΠΟΥΛΙΝΑ</t>
  </si>
  <si>
    <t>ΙΩΣΗΦΕΛΗ</t>
  </si>
  <si>
    <t>ΚΑΒΑΛΑΚΗ</t>
  </si>
  <si>
    <t>dkvlk@yahoo.gr</t>
  </si>
  <si>
    <t>ΚΑΒΑΛΑΡΑΚΗ</t>
  </si>
  <si>
    <t>ΚΑΒΒΑΔΙΑ</t>
  </si>
  <si>
    <t>ΚΑΒΟΥΣΑΝΟΥ</t>
  </si>
  <si>
    <t>ΚΑΖΑΝΑΡΑΚΗ</t>
  </si>
  <si>
    <t>stakaza@gmail.com</t>
  </si>
  <si>
    <t>1ο ΝΗΠΙΑΓΩΓΕΙΟ ΣΗΤΕΙΑΣ</t>
  </si>
  <si>
    <t>mail@1nip-siteias.las.sch.gr</t>
  </si>
  <si>
    <t>ΚΑΚΟΥΡΑΚΗ</t>
  </si>
  <si>
    <t>ΑΙΚΑΤΕΡΙΝΗ-ΕΙΡΗΝΗ</t>
  </si>
  <si>
    <t>ΝΗΠΙΑΓΩΓΕΙΟ ΦΕΡΜΩΝ</t>
  </si>
  <si>
    <t>mail@nip-fermon.las.sch.gr</t>
  </si>
  <si>
    <t xml:space="preserve">ΚΑΛΛΕΡΓΗ </t>
  </si>
  <si>
    <t>ΚΑΛΟΓΗΡΟΥ</t>
  </si>
  <si>
    <t>ΚΑΛΥΒΑ</t>
  </si>
  <si>
    <t>ΚΑΛΥΒΑΣ</t>
  </si>
  <si>
    <t>ΚΑΜΑΡΟΠΟΥΛΟΥ</t>
  </si>
  <si>
    <t>ΜΑΡΙΩΡΙΤΣΑ</t>
  </si>
  <si>
    <t>ΕΡΓΙΝΟΥΣΑ</t>
  </si>
  <si>
    <t>mi-loy@hoymail.com</t>
  </si>
  <si>
    <t>3ο ΝΗΠΙΑΓΩΓΕΙΟ ΑΓΙΟΥ ΝΙΚΟΛΑΟΥ</t>
  </si>
  <si>
    <t>mail@3nip-ag-nikol.las.sch.gr</t>
  </si>
  <si>
    <t>ΚΑΝΑΤΕΛΙΑ</t>
  </si>
  <si>
    <t>ΚΑΝΕΛΛΟΠΟΥΛΟΣ</t>
  </si>
  <si>
    <t>chkanell@yahoo.com</t>
  </si>
  <si>
    <t>ΚΑΝΤΟΥΡΟΥ</t>
  </si>
  <si>
    <t>ΚΑΠΑΡΑΚΗ</t>
  </si>
  <si>
    <t>ΚΑΠΑΤΣΕΛΟΥ</t>
  </si>
  <si>
    <t>kalliopikapellaki@gmail.com</t>
  </si>
  <si>
    <t>ΚΑΡΑΓΙΟΒΑΝΙΔΟΥ</t>
  </si>
  <si>
    <t>ales.kara@hotmail.com</t>
  </si>
  <si>
    <t>ΚΑΡΑΘΑΝΑΣΗ</t>
  </si>
  <si>
    <t>ΚΑΡΑΘΑΝΟΣ</t>
  </si>
  <si>
    <t>ΚΑΡΑΪΝΔΡΟΥ</t>
  </si>
  <si>
    <t>ΝΗΠΙΑΓΩΓΕΙΟ ΜΑΚΡΥ ΓΙΑΛΟΥ</t>
  </si>
  <si>
    <t>mail@nip-mak-gialou.las.sch.gr</t>
  </si>
  <si>
    <t>ΚΑΡΑΜΠΑΤΖΑΚΗ</t>
  </si>
  <si>
    <t>aliki_kar@hotmail.com</t>
  </si>
  <si>
    <t>ΔΗΜΟΤΙΚΟ ΣΧΟΛΕΙΟ ΜΥΡΤΟΥ</t>
  </si>
  <si>
    <t>mail@dim-myrtou.las.sch.gr</t>
  </si>
  <si>
    <t>ΜΥΡΤΟΥ</t>
  </si>
  <si>
    <t>ΚΑΡΑΝΤΑΣΙΟΥ</t>
  </si>
  <si>
    <t>ΚΑΡΑΣΟΥΛΟΥ</t>
  </si>
  <si>
    <t>3ο ΝΗΠΙΑΓΩΓΕΙΟ ΙΕΡΑΠΕΤΡΑΣ</t>
  </si>
  <si>
    <t>mail@3nip-ierap.las.sch.gr</t>
  </si>
  <si>
    <t>ΚΑΡΑΤΑΣΗΣ</t>
  </si>
  <si>
    <t>ΚΕΡΑΡΙΝΑ</t>
  </si>
  <si>
    <t>ΚΑΡΟΦΥΛΑΚΗ</t>
  </si>
  <si>
    <t>ΚΑΡΤΕΡΗ</t>
  </si>
  <si>
    <t>ΚΑΡΤΕΡΗΣ</t>
  </si>
  <si>
    <t>polybios9@gmail.com</t>
  </si>
  <si>
    <t>ΚΑΡΤΣΟΠΟΥΛΟΥ</t>
  </si>
  <si>
    <t>4ο ΝΗΠΙΑΓΩΓΕΙΟ ΣΗΤΕΙΑΣ - ΨΑΡΑΚΕΙΟ ΝΗΠΙΑΓΩΓΕΙΟ ΣΗΤΕΙΑΣ</t>
  </si>
  <si>
    <t>mail@4nip-siteias.las.sch.gr</t>
  </si>
  <si>
    <t>ΚΑΣΟΥΔΗ</t>
  </si>
  <si>
    <t>faidra_k@windowslive.com</t>
  </si>
  <si>
    <t>ΚΑΣΤΑΝΟΥ</t>
  </si>
  <si>
    <t>ΕΙΔΙΚΟ ΝΗΠΙΑΓΩΓΕΙΟ ΑΓΙΟΥ ΝΙΚΟΛΑΟΥ</t>
  </si>
  <si>
    <t>mail@nip-eid-ag-nikol.las.sch.gr</t>
  </si>
  <si>
    <t>ΚΑΤΡΙΝΗ</t>
  </si>
  <si>
    <t>ΚΑΤΡΟΤΖΑΝΑΚΗ</t>
  </si>
  <si>
    <t>emmanouelamania@windowslive.com</t>
  </si>
  <si>
    <t>johanna_katsiouli@yahoo.gr</t>
  </si>
  <si>
    <t>ΚΑΤΣΙΡΟΥΜΠΑ</t>
  </si>
  <si>
    <t>ΚΑΤΣΟΓΡΕΣΑΚΗ</t>
  </si>
  <si>
    <t>ΚΑΦΦΕΝΤΖΗ</t>
  </si>
  <si>
    <t>ion.vick13@yahoo.gr</t>
  </si>
  <si>
    <t>6ο ΝΗΠΙΑΓΩΓΕΙΟ ΑΓΙΟΥ ΝΙΚΟΛΑΟΥ</t>
  </si>
  <si>
    <t>mail@6nip-ag-nikol.las.sch.gr</t>
  </si>
  <si>
    <t>eugeniak64@hotmail.com</t>
  </si>
  <si>
    <t>1ο ΔΗΜΟΤΙΚΟ ΣΧΟΛΕΙΟ ΝΕΑΠΟΛΗΣ</t>
  </si>
  <si>
    <t>mail@1dim-neapol.las.sch.gr</t>
  </si>
  <si>
    <t>emmak1986@yahoo.gr</t>
  </si>
  <si>
    <t>ΒΙΒΙΑΝ</t>
  </si>
  <si>
    <t>gkokolaki@hotmail.com</t>
  </si>
  <si>
    <t>ΙΡΙΣ</t>
  </si>
  <si>
    <t>ΚΟΝΔΥΛΑΚΗΣ</t>
  </si>
  <si>
    <t>ΝΙΚΑΝΔΡΟ</t>
  </si>
  <si>
    <t>ekontogiann@yahoo.gr</t>
  </si>
  <si>
    <t>ΚΟΝΤΟΓΙΩΡΓΑΚΗ</t>
  </si>
  <si>
    <t>ΚΟΝΤΟΠΑΥΛΑΚΟΥ</t>
  </si>
  <si>
    <t>ΚΟΝΤΟΥΛΑΚΟΥ</t>
  </si>
  <si>
    <t>kontoulakou@gmail.com</t>
  </si>
  <si>
    <t>ΝΗΠΙΑΓΩΓΕΙΟ ΜΥΡΤΟΥ</t>
  </si>
  <si>
    <t>mail@nip-myrtou.las.sch.gr</t>
  </si>
  <si>
    <t>ΚΟΞΑΡΑΚΗ</t>
  </si>
  <si>
    <t>ΚΟΡΔΙΑ</t>
  </si>
  <si>
    <t>stefkor@otenet.gr</t>
  </si>
  <si>
    <t>ΚΟΣΙΝΑ</t>
  </si>
  <si>
    <t>ΚΟΤΑΚΗ</t>
  </si>
  <si>
    <t>ΚΟΤΙΣΗ</t>
  </si>
  <si>
    <t>ΚΟΥΚΗ</t>
  </si>
  <si>
    <t>ΚΟΥΚΟΥΒΕΤΣΗ</t>
  </si>
  <si>
    <t>6ο  ΝΗΠΙΑΓΩΓΕΙΟ ΣΗΤΕΙΑΣ</t>
  </si>
  <si>
    <t>mail@6nip-siteias.las.sch.gr</t>
  </si>
  <si>
    <t>ΚΟΥΛΗ</t>
  </si>
  <si>
    <t>ΝΗΠΙΑΓΩΓΕΙΟ ΖΗΡΟΥ</t>
  </si>
  <si>
    <t>mail@nip-zirou.las.sch.gr</t>
  </si>
  <si>
    <t>ΖΙΡΟΥ</t>
  </si>
  <si>
    <t>ΚΟΥΜΠΗ</t>
  </si>
  <si>
    <t>irinikoumpi86@gmail.com</t>
  </si>
  <si>
    <t>ekounelaki@hotmail.com</t>
  </si>
  <si>
    <t>ΚΟΥΝΕΝΙΔΑΚΗ</t>
  </si>
  <si>
    <t>ΚΟΥΠΑΤΣΙΑΡΗΣ</t>
  </si>
  <si>
    <t>ΑΛΕΞΑΝΔΡΟΣ-ΑΡΙΣΤΟΤΕΛΗΣ</t>
  </si>
  <si>
    <t>gkour1961@hotmail.com</t>
  </si>
  <si>
    <t>ΚΟΥΡΕΛΗ</t>
  </si>
  <si>
    <t>ΚΟΥΣΟΥΤΗ</t>
  </si>
  <si>
    <t>ΚΟΥΤΡΟΥΜΑΝΗ</t>
  </si>
  <si>
    <t>ΤΡΙΑΝΤΑΦΥΛΛΗ</t>
  </si>
  <si>
    <t>ΚΟΥΤΣΑΚΗΣ</t>
  </si>
  <si>
    <t>ΚΟΥΤΣΕΛΑΚΗ</t>
  </si>
  <si>
    <t>elenhkoutselakh@yahoo.com</t>
  </si>
  <si>
    <t>2ο ΝΗΠΙΑΓΩΓΕΙΟ ΙΕΡΑΠΕΤΡΑΣ</t>
  </si>
  <si>
    <t>mail@2nip-ierap.las.sch.gr</t>
  </si>
  <si>
    <t>ΚΟΥΤΣΙΑΥΤΗ</t>
  </si>
  <si>
    <t>ΚΟΥΤΣΟΝΙΚΟΣ</t>
  </si>
  <si>
    <t>ΓΙΑΝΝΟΣ</t>
  </si>
  <si>
    <t>mkoutsonikos@gmail.com</t>
  </si>
  <si>
    <t>kouts.eva@gmail.com</t>
  </si>
  <si>
    <t>ΜΑΛΑΜΑΤ</t>
  </si>
  <si>
    <t>ΘΕΟΠΟΥΛΑ</t>
  </si>
  <si>
    <t>ΝΗΠΙΑΓΩΓΕΙΟ ΚΟΥΤΣΟΥΡΑ</t>
  </si>
  <si>
    <t>mail@nip-kouts.las.sch.gr</t>
  </si>
  <si>
    <t>ΔΗΜΗΤΡΩ</t>
  </si>
  <si>
    <t>ΚΩΝΣΤΑΝΤΑΚΑΚΗ</t>
  </si>
  <si>
    <t>ΚΩΤΟΥΛΑ</t>
  </si>
  <si>
    <t>ΛΑΖΟΠΟΥΛΟΣ</t>
  </si>
  <si>
    <t>ΛΑΘΟΥΡΑΚΗΣ</t>
  </si>
  <si>
    <t>elmanos@sch.gr</t>
  </si>
  <si>
    <t>justelpis@yahoo.gr</t>
  </si>
  <si>
    <t>ΘΕΛΞΙΟΠΗ</t>
  </si>
  <si>
    <t>ΛΑΜΠΡΙΔΟΥ</t>
  </si>
  <si>
    <t>ΑΝΑΝΙΑΣ</t>
  </si>
  <si>
    <t>ΔΑΝΑΗ-ΙΣΙΔΩΡΑ</t>
  </si>
  <si>
    <t>ΛΑΝΤΖΑΝΑΚΗ</t>
  </si>
  <si>
    <t>ΛΕΒΑΝΤΑΚΗΣ</t>
  </si>
  <si>
    <t>ΔΗΜΟΤΙΚΟ ΣΧΟΛΕΙΟ ΣΚΟΠΗΣ</t>
  </si>
  <si>
    <t>mail@dim-skopis.las.sch.gr</t>
  </si>
  <si>
    <t>ΣΚΟΠΗΣ</t>
  </si>
  <si>
    <t>ΛΕΛΑΚΗ</t>
  </si>
  <si>
    <t>ΛΕΤΣΙΟΥ</t>
  </si>
  <si>
    <t>ΛΕΥΚΙΜΜΙΑΤΗ</t>
  </si>
  <si>
    <t>ΛΕΦΑ</t>
  </si>
  <si>
    <t>ΛΙΑΝΑ</t>
  </si>
  <si>
    <t>ΛΙΑΝΟΥΔΑΚΗΣ</t>
  </si>
  <si>
    <t>ΛΙΒΕΡΗ</t>
  </si>
  <si>
    <t>ΛΙΟΝΤΑΚΗΣ</t>
  </si>
  <si>
    <t>ΛΟΓΚΑΚΗ</t>
  </si>
  <si>
    <t>eirinilog@hotmail.com</t>
  </si>
  <si>
    <t>ΛΟΥΚΕΡΗ</t>
  </si>
  <si>
    <t>ΘΕΑΓΕΝΗΣ</t>
  </si>
  <si>
    <t>ΛΥΚΑΣ</t>
  </si>
  <si>
    <t>ΛΥΚΙΔΟΥ</t>
  </si>
  <si>
    <t>ΛΥΜΠΡΙΤΗ</t>
  </si>
  <si>
    <t>ΛΕΟΝΤΙΝΗ</t>
  </si>
  <si>
    <t>ΜΑΓΓΙΡΑ</t>
  </si>
  <si>
    <t>ΜΑΓΟΥΛΗ</t>
  </si>
  <si>
    <t>ΜΑΚΡΟΓΑΜΒΡΑΚΗΣ</t>
  </si>
  <si>
    <t>dimakro33@yahoo.gr</t>
  </si>
  <si>
    <t>ΜΑΚΡΥΓΙΑΝΝΗΣ</t>
  </si>
  <si>
    <t>ΜΑΚΡΥΝΙΩΤΗ</t>
  </si>
  <si>
    <t>275/τ.Γ'/01-12-2003</t>
  </si>
  <si>
    <t>ΜΑΜΑΚΑ</t>
  </si>
  <si>
    <t>ΝΗΠΙΑΓΩΓΕΙΟ ΚΡΙΤΣΑΣ</t>
  </si>
  <si>
    <t>mail@nip-krits.las.sch.gr</t>
  </si>
  <si>
    <t>ΜΑΜΑΚΗΣ</t>
  </si>
  <si>
    <t>ΜΑΝΙΑΔΑΚΗ ΧΑΤΖΑΚΗ</t>
  </si>
  <si>
    <t>tsamaslidisefstathios@yahoo.gr</t>
  </si>
  <si>
    <t>ΜΑΝΙΔΑΚΗΣ</t>
  </si>
  <si>
    <t>ΑΔΑΜΑΝΤΙ</t>
  </si>
  <si>
    <t>ΜΑΝΤΖΙΛΑ</t>
  </si>
  <si>
    <t>ΜΑΝΤΟΥΔΗ</t>
  </si>
  <si>
    <t>ΜΑΡΑΤΟΥ</t>
  </si>
  <si>
    <t>ΜΑΡΚΑΝΤΩΝΑΤΟΥ</t>
  </si>
  <si>
    <t>ΜΑΡΚΟΠΟΥΛΟΥ</t>
  </si>
  <si>
    <t>ΙΑΚΩΒΙΝΑ-ΜΑΡΙΑ</t>
  </si>
  <si>
    <t>mavinamarkopoulou@outlook.com.gr</t>
  </si>
  <si>
    <t>ΜΑΣΟΥΡΑΚΗ</t>
  </si>
  <si>
    <t>774 τ Γ΄</t>
  </si>
  <si>
    <t>aggelikimath@yahoo.gr</t>
  </si>
  <si>
    <t>ΜΑΥΡΗ</t>
  </si>
  <si>
    <t>ΒΙΚΤΩΡΙ</t>
  </si>
  <si>
    <t>ΜΑΥΡΟΔΟΝΤΙΔΟΥ</t>
  </si>
  <si>
    <t>ΛΑΡΙΣ</t>
  </si>
  <si>
    <t>ΜΑΥΡΟΚΟΥΚΟΥΛΑΚΗΣ</t>
  </si>
  <si>
    <t>ΒΑΣΙΛΙΚΗ-ΑΙΚΑΤΕΡΙΝΗ</t>
  </si>
  <si>
    <t>ΑΛΕΞΑΝΔΡΑ-ΝΕ</t>
  </si>
  <si>
    <t>ΚΥΡΙΑΚΟ</t>
  </si>
  <si>
    <t>nefelangel@hotmail.com</t>
  </si>
  <si>
    <t>ΜΑΧΑΙΡΑ</t>
  </si>
  <si>
    <t>ΜΑΧΑΙΡΙΔΟΥ</t>
  </si>
  <si>
    <t>lenamenegaki@gmail.com</t>
  </si>
  <si>
    <t>ΜΕΡΑ</t>
  </si>
  <si>
    <t>ΜΗΛΑΣ</t>
  </si>
  <si>
    <t>ΜΗΝΤΣΗ</t>
  </si>
  <si>
    <t>ΜΗΤΟΚΟΥ</t>
  </si>
  <si>
    <t>ΟΛΟΗΜΕΡΟ ΝΗΠΙΑΓΩΓΕΙΟ ΣΚΟΠΗΣ - ΛΑΓΚΩΝΑΚΕΙΟ ΙΔΡΥΜΑ</t>
  </si>
  <si>
    <t>mail@nip-skop-siteias.las.sch.gr</t>
  </si>
  <si>
    <t>ΜΗΤΣΙΑΚΗ</t>
  </si>
  <si>
    <t>gioulam3@yahoo.gr</t>
  </si>
  <si>
    <t>ΜΙΑΟΥΔΑΚΗ</t>
  </si>
  <si>
    <t>ΜΙΚΑΓΙΕΛΙΑΝ</t>
  </si>
  <si>
    <t>ΧΜΑΓΙΑΚ</t>
  </si>
  <si>
    <t>ΝΑΖΑΝΙ</t>
  </si>
  <si>
    <t>ΜΙΚΕΟΓΛΟΥ</t>
  </si>
  <si>
    <t>ΜΑΡΩ</t>
  </si>
  <si>
    <t>ΜΙΧΑΛΑΚΑΚΟΥ</t>
  </si>
  <si>
    <t>ΜΟΙΡΑΙΟΥ</t>
  </si>
  <si>
    <t>ΜΟΣΧΟΝΑ</t>
  </si>
  <si>
    <t>marymosch@gmail.com</t>
  </si>
  <si>
    <t>ΜΟΥΛΙΑΝΙΤΑΚΗΣ</t>
  </si>
  <si>
    <t>ΜΟΥΣΤΑΚΑΚΗ</t>
  </si>
  <si>
    <t>ΜΟΥΤΑΚΗ</t>
  </si>
  <si>
    <t>ΜΟΥΤΑΚΗΣ</t>
  </si>
  <si>
    <t>ΜΠΑΚΟΓΙΑΝΝΗ</t>
  </si>
  <si>
    <t>chrbakogianni75@yahoo.gr</t>
  </si>
  <si>
    <t>ΜΠΑΛΑΚΕΡΑΣ</t>
  </si>
  <si>
    <t>ΜΠΑΛΑΝΤΙΝΑΚΗ</t>
  </si>
  <si>
    <t>ΜΠΑΛΤΑΤΖΗΣ</t>
  </si>
  <si>
    <t>ΜΠΑΜΠΑΣΙΔΗΣ</t>
  </si>
  <si>
    <t>254/13-9-2006</t>
  </si>
  <si>
    <t>ΝΗΠΙΑΓΩΓΕΙΟ ΑΓΙΟΥ ΓΕΩΡΓΙΟΥ ΛΑΣΙΘΙΟΥ</t>
  </si>
  <si>
    <t>mail@nip-ag-georg.las.sch.gr</t>
  </si>
  <si>
    <t>ΜΠΑΡΜΠΕΡΑΚΗΣ</t>
  </si>
  <si>
    <t>ΜΠΑΤΖΑΚΗ</t>
  </si>
  <si>
    <t>evaki2007geo@gmail.com</t>
  </si>
  <si>
    <t>ΜΠΑΦΑΣ</t>
  </si>
  <si>
    <t>ΜΠΟΝΟΦΑ</t>
  </si>
  <si>
    <t>ΜΠΟΥΓΙΑΣ</t>
  </si>
  <si>
    <t>ΜΠΟΥΖΑ</t>
  </si>
  <si>
    <t>ΜΠΟΥΚΟΒΑΛΑ</t>
  </si>
  <si>
    <t>kassmpouk@hotmail.com</t>
  </si>
  <si>
    <t>ΛΕΒΑΝΤΗ</t>
  </si>
  <si>
    <t>ΜΠΟΥΚΟΥΒΑΛΑΣ</t>
  </si>
  <si>
    <t>ΔΗΜΟΤΙΚΟ ΣΧΟΛΕΙΟ ΜΑΛΩΝ</t>
  </si>
  <si>
    <t>mail@dim-malon.las.sch.gr</t>
  </si>
  <si>
    <t>ΜΥΛΩΝΑΣ</t>
  </si>
  <si>
    <t>ΦΙΛΑΡΕΤΟΣ</t>
  </si>
  <si>
    <t>ΜΩΡΑΛΗ</t>
  </si>
  <si>
    <t>ΝΑΣΤΟΣ</t>
  </si>
  <si>
    <t>ΧΡΙΣΤΟΣ</t>
  </si>
  <si>
    <t>christinaneof@yahoo.gr</t>
  </si>
  <si>
    <t>ΝΙΑΚΑ</t>
  </si>
  <si>
    <t>ΝΙΚΗΦΟΡΟΥ</t>
  </si>
  <si>
    <t>ΝΙΚΟΛΑΚΟΠΟΥΛΟΥ</t>
  </si>
  <si>
    <t>persefono@gmail.com</t>
  </si>
  <si>
    <t>ΝΙΚΟΛΑΡΑΚΗ</t>
  </si>
  <si>
    <t>ΝΟΒΑΚΟΣ</t>
  </si>
  <si>
    <t>ΒΑΛΕΝΤΙΝΗ</t>
  </si>
  <si>
    <t>ΝΟΤΑΚΗΣ</t>
  </si>
  <si>
    <t>ΝΤΑΚΟΥΛΑ</t>
  </si>
  <si>
    <t>1ο ΝΗΠΙΑΓΩΓΕΙΟ ΝΕΑΠΟΛΗΣ ΛΑΣΙΘΙΟΥ</t>
  </si>
  <si>
    <t>mail@1nip-neapol.las.sch.gr</t>
  </si>
  <si>
    <t>ΝΤΑΝΟΠΟΥΛΟΣ</t>
  </si>
  <si>
    <t>ΝΤΟΥΛΙΑΣ</t>
  </si>
  <si>
    <t>ΚΑΝΔΙΔΗ</t>
  </si>
  <si>
    <t>ΞΑΝΘΟΥΛΗΣ</t>
  </si>
  <si>
    <t>ΔΗΜΗΤΡΙΟΣ-ΑΘΑΝΑΣΙΟΣ</t>
  </si>
  <si>
    <t>ioikonomakis@gmail.com</t>
  </si>
  <si>
    <t>ΠΑΒΕΛΗ</t>
  </si>
  <si>
    <t>ΝΗΠΙΑΓΩΓΕΙΟ ΠΑΛΑΙΚΑΣΤΡΟΥ</t>
  </si>
  <si>
    <t>mail@nip-palaik.las.sch.gr</t>
  </si>
  <si>
    <t>ΠΑΖΑΡΑ</t>
  </si>
  <si>
    <t>ΠΑΘΙΑΚΗ</t>
  </si>
  <si>
    <t>ΠΑΘΙΑΚΗΣ</t>
  </si>
  <si>
    <t>ΚΩΣΤΑΝΤΙΝΟΣ</t>
  </si>
  <si>
    <t>kostis5632@yahoo.gr</t>
  </si>
  <si>
    <t>ΠΑΛΙΑΛΕΞΗ</t>
  </si>
  <si>
    <t>ΠΑΛΟΓΟΥ</t>
  </si>
  <si>
    <t>ΠΑΝΑΓΙΑΡΗΣ</t>
  </si>
  <si>
    <t>ΠΑΝΙΛΑ</t>
  </si>
  <si>
    <t>apaximadaki@hotmail.com</t>
  </si>
  <si>
    <t>aspasiapapavasiliou@hotmail.com</t>
  </si>
  <si>
    <t>natasapapadaki@rocketmail.com</t>
  </si>
  <si>
    <t>eirpapadaki@sch.gr</t>
  </si>
  <si>
    <t>ΑΝΔΡΟΝΙΚΟΣ</t>
  </si>
  <si>
    <t>anespap1@yahoo.gr</t>
  </si>
  <si>
    <t>ΣΙΔΕΡΩ</t>
  </si>
  <si>
    <t>ΣΕΛΕΥΚΕΙΑ</t>
  </si>
  <si>
    <t>leykh1965@yahoo.gr</t>
  </si>
  <si>
    <t>ΠΑΠΑΔΟΥΛΗΣ</t>
  </si>
  <si>
    <t>ΠΑΠΑΖΗΣΗ</t>
  </si>
  <si>
    <t>forisp@gmail.com</t>
  </si>
  <si>
    <t>papkaterina81@gmail.com</t>
  </si>
  <si>
    <t>ΠΑΠΑΜΙΤΣΑΚΗ</t>
  </si>
  <si>
    <t>ΒΙΡΓΙ</t>
  </si>
  <si>
    <t>ΠΑΠΑΣΤΕΦΑΝΑΚΗΣ</t>
  </si>
  <si>
    <t>ΠΑΠΑΧΡΥΣΟΣΤΟΜΟΥ</t>
  </si>
  <si>
    <t>ΠΑΡΣΩΤΑΚΗΣ</t>
  </si>
  <si>
    <t>nikos_par@hotmail.gr</t>
  </si>
  <si>
    <t>ΠΑΣΙΑΛΗ</t>
  </si>
  <si>
    <t>ΠΑΣΠΑΡΑΚΗΣ</t>
  </si>
  <si>
    <t>ΠΑΤΕΡΑΚΗ ΤΖΑΓΚΑΡΑΚΗ</t>
  </si>
  <si>
    <t>ΠΑΤΣΙΑΣ</t>
  </si>
  <si>
    <t>ΠΑΤΣΙΟΥΡΗ</t>
  </si>
  <si>
    <t>ΝΗΠΙΑΓΩΓΕΙΟ ΖΑΚΡΟΥ - ΝΙΚΟΛΑΟΣ ΠΛΑΤΩΝ</t>
  </si>
  <si>
    <t>mail@nip-zakrou.las.sch.gr</t>
  </si>
  <si>
    <t>fpetraki21@gmail.com</t>
  </si>
  <si>
    <t>ΠΕΤΣΑΝΗ</t>
  </si>
  <si>
    <t>ΠΙΛΙΤΣΙΔΟΥ</t>
  </si>
  <si>
    <t>ΠΙΠΕΡΚΟΥ</t>
  </si>
  <si>
    <t>ΠΙΡΕΤΖΙΔΟΥ</t>
  </si>
  <si>
    <t>vasopir@hotmail.com</t>
  </si>
  <si>
    <t>ΠΙΣΤΙΚΟΥΔΗ</t>
  </si>
  <si>
    <t>ΠΙΤΡΟΠΑΚΗ</t>
  </si>
  <si>
    <t>ΠΛΑΚΙΑΣ</t>
  </si>
  <si>
    <t>ΠΛΑΤΑΚΗ</t>
  </si>
  <si>
    <t>dimplataki@hotmail.com</t>
  </si>
  <si>
    <t>iokasti83@gmail.com</t>
  </si>
  <si>
    <t>ΠΛΕΞΟΥΣΑΚΗΣ</t>
  </si>
  <si>
    <t>ΠΛΟΥΣΑΚΗ</t>
  </si>
  <si>
    <t>ΚΡΥΣΤΑΛΛΩ</t>
  </si>
  <si>
    <t>ΠΟΛΥΜΕΡΗ</t>
  </si>
  <si>
    <t>antigonithessaloniki1983@msn.com</t>
  </si>
  <si>
    <t>ΠΟΛΥΧΡΟΝΙΑΔΗΣ</t>
  </si>
  <si>
    <t>ZΩΗ</t>
  </si>
  <si>
    <t>vpolychroniadis@gmail.com</t>
  </si>
  <si>
    <t>ΠΟΡΓΙΑΖΙΔΟΥ</t>
  </si>
  <si>
    <t>ΠΟΡΤΑΡΑΚΗΣ</t>
  </si>
  <si>
    <t>ΒΑΣΙΛΙΚΗ-ΝΑΥΣΙΚΑ</t>
  </si>
  <si>
    <t>vaswp@live.com</t>
  </si>
  <si>
    <t>ΠΡΑΤΣΙΝΗ</t>
  </si>
  <si>
    <t>ΡΑΠΑΝΗ</t>
  </si>
  <si>
    <t>fwtrapani@hotmail.com</t>
  </si>
  <si>
    <t>ΡΕΙΖΑΚΗ</t>
  </si>
  <si>
    <t>ΡΕΜΠΕΛΑΚΗ</t>
  </si>
  <si>
    <t>ΣΑΚΑΔΑΚΗ</t>
  </si>
  <si>
    <t>joan_love2004@yahoo.gr</t>
  </si>
  <si>
    <t>ΣΑΝΤΙΜΠΑΝΤΑΚΗ</t>
  </si>
  <si>
    <t>ΣΑΡΑΤΣΗΣ</t>
  </si>
  <si>
    <t>ΑΡΗΣ</t>
  </si>
  <si>
    <t>ΠΑΠΑΔΙΟ</t>
  </si>
  <si>
    <t>ΣΕΜΕΡΤΖΑΚΗΣ</t>
  </si>
  <si>
    <t>ΣΙΑΚΑΒΑΡΑ</t>
  </si>
  <si>
    <t>ΔΙΑΣΜΩ</t>
  </si>
  <si>
    <t>ΣΙΒΡΙΔΗΣ</t>
  </si>
  <si>
    <t>ΣΚΑΡΒΕΛΗ</t>
  </si>
  <si>
    <t>katskarv@gmail.com</t>
  </si>
  <si>
    <t>ΣΚΑΡΜΑΛΙΩΡΑΚΗ</t>
  </si>
  <si>
    <t>ΣΚΟΡΔΥΛΑΚΗ</t>
  </si>
  <si>
    <t>ΧΡΥΣΑΝΘΗ-ΜΑΡΙΑ</t>
  </si>
  <si>
    <t>ΣΚΟΥΛΙΚΑΡΗ</t>
  </si>
  <si>
    <t>ΣΚΟΥΛΟΥΔΗΣ</t>
  </si>
  <si>
    <t>ΣΚΡΙΜΠΑ</t>
  </si>
  <si>
    <t>ΣΟΓΙΑ</t>
  </si>
  <si>
    <t>ΓΑΒΡΙΕΛΛΑ</t>
  </si>
  <si>
    <t>ΣΟΛΥΔΑΚΗ</t>
  </si>
  <si>
    <t>ΣΟΥΛΙΩΤΟΥ</t>
  </si>
  <si>
    <t>ΣΟΥΛΤΟΥΚΗ</t>
  </si>
  <si>
    <t>ΣΠΑΝΟΓΙΑΝΝΑΚΗΣ</t>
  </si>
  <si>
    <t>ΣΤΑΘΗ</t>
  </si>
  <si>
    <t>ΣΤΑΪΚΟΥ</t>
  </si>
  <si>
    <t>ΣΤΑΜΑΤΑΚΗ ΒΑΜΒΑΚΑ</t>
  </si>
  <si>
    <t>ΣΤΑΜΑΤΙΑΔΟΥ</t>
  </si>
  <si>
    <t>ΟΘΩΝ</t>
  </si>
  <si>
    <t>xarastamatiadou@yahoo.gr</t>
  </si>
  <si>
    <t>ΒΑΛΕΝΤΙΝΑ</t>
  </si>
  <si>
    <t>ΦΥΛΑΧΤΗ</t>
  </si>
  <si>
    <t>ΣΤΕΦΑΝΑΚΙΔΗΣ</t>
  </si>
  <si>
    <t>christosstefanakidis@hotmail.com</t>
  </si>
  <si>
    <t>ΣΤΡΑΤΑ</t>
  </si>
  <si>
    <t>ΣΤΥΛΙΑΝΟΥΔΑΚΗΣ</t>
  </si>
  <si>
    <t>ΣΥΛΙΓΑΡΔΟΥ</t>
  </si>
  <si>
    <t>fsiligardou@hotmail.com</t>
  </si>
  <si>
    <t>ΣΩΤΗΡΑΚΟΥ</t>
  </si>
  <si>
    <t>ΤΑΛΑΣΟΓΛΟΥ</t>
  </si>
  <si>
    <t>ΤΑΜΠΑΚΗ</t>
  </si>
  <si>
    <t>maro22tamp@gmail.com</t>
  </si>
  <si>
    <t>atanis2001@yahoo.com</t>
  </si>
  <si>
    <t>ΤΑΠΕΙΝΟΠΟΥΛΟΣ</t>
  </si>
  <si>
    <t>ΤΕΖΑΨΙΔΟΥ</t>
  </si>
  <si>
    <t>vasotez@hotmail.gr</t>
  </si>
  <si>
    <t>ΤΕΛΕΤΙΝΗ</t>
  </si>
  <si>
    <t>ΤΕΛΗΓΙΑΝΝΙΔΟΥ</t>
  </si>
  <si>
    <t>stelltell@hotmail.com</t>
  </si>
  <si>
    <t>ΤΕΛΟΠΟΥΛΟΣ</t>
  </si>
  <si>
    <t>dimtelopoulos@gmail.com</t>
  </si>
  <si>
    <t>ΤΕΡΣΗ</t>
  </si>
  <si>
    <t>ΤΕΦΑΣ</t>
  </si>
  <si>
    <t>johntefas@gmail.com</t>
  </si>
  <si>
    <t>ΤΖΑΒΟΛΑΚΗ</t>
  </si>
  <si>
    <t>ΤΖΕΣΟΥΡΗ</t>
  </si>
  <si>
    <t>ΤΖΙΚΟΥΛΗ</t>
  </si>
  <si>
    <t>ΑΡΓΥΡΙΑ</t>
  </si>
  <si>
    <t>ΤΖΙΜΑΣ</t>
  </si>
  <si>
    <t>ΩΡΑΙΑΝΘΗ</t>
  </si>
  <si>
    <t>ΤΖΙΤΖΙΛΗ</t>
  </si>
  <si>
    <t>ΤΖΙΩΝΑ</t>
  </si>
  <si>
    <t>ΤΖΙΩΤΑΣ</t>
  </si>
  <si>
    <t>ΤΟΠΑΛΙΔΟΥ</t>
  </si>
  <si>
    <t>ΤΟΥΚΜΑΤΣΗΣ</t>
  </si>
  <si>
    <t>ΑΣΤΥΑΝΑΞ</t>
  </si>
  <si>
    <t>ΤΡΕΝΤΣΙΟΥ</t>
  </si>
  <si>
    <t>trentsiouxrysa@gmail.com</t>
  </si>
  <si>
    <t>sttellatr3@hotmail.com</t>
  </si>
  <si>
    <t>ΤΣΑΚΙΡΟΥΔΗ</t>
  </si>
  <si>
    <t>ΤΣΑΚΝΑΚΗΣ</t>
  </si>
  <si>
    <t>ΤΣΑΟΥΣΗΣ</t>
  </si>
  <si>
    <t>ΤΣΑΟΥΣΙΔΟΥ</t>
  </si>
  <si>
    <t>ΤΣΕΒΟΛΙ</t>
  </si>
  <si>
    <t>ΟΥΜΠΕΡΤΟ</t>
  </si>
  <si>
    <t>ΤΣΙΑΜΟΣ</t>
  </si>
  <si>
    <t>ΤΣΙΑΝΤΑ</t>
  </si>
  <si>
    <t>ΤΣΙΑΤΣΙΟΥ</t>
  </si>
  <si>
    <t>ΤΣΙΚΑΛΑΚΗ</t>
  </si>
  <si>
    <t>n_tsik@hotmail.com</t>
  </si>
  <si>
    <t>ΖΑΜΠΙΑΣ</t>
  </si>
  <si>
    <t>ΤΣΙΝΑΚ</t>
  </si>
  <si>
    <t>ΟΞΑΝΑ</t>
  </si>
  <si>
    <t>sankatsinak@gmail.com</t>
  </si>
  <si>
    <t>ΤΣΙΟΡΜΠΑΤΖΗ</t>
  </si>
  <si>
    <t>ΤΣΙΟΦΥΛΑ</t>
  </si>
  <si>
    <t>pennytsiof@gmail.com</t>
  </si>
  <si>
    <t>ΤΣΙΤΗΡΙΔΗΣ</t>
  </si>
  <si>
    <t>ΓΕΩΡΓΙΑΑΝΝΑ</t>
  </si>
  <si>
    <t>ΤΣΙΤΣΟΣ</t>
  </si>
  <si>
    <t>koyrsas13@gmail.com</t>
  </si>
  <si>
    <t>ΤΣΙΤΣΟΥ</t>
  </si>
  <si>
    <t>t.nikoletta@freemail.gr</t>
  </si>
  <si>
    <t>ΤΣΙΦΕΤΑΚΗ</t>
  </si>
  <si>
    <t>ΤΣΙΦΟΡΑ</t>
  </si>
  <si>
    <t>ΤΣΙΧΛΗ</t>
  </si>
  <si>
    <t>ΤΣΟΥΚΑ</t>
  </si>
  <si>
    <t>ΤΣΟΥΠΑΚΗ</t>
  </si>
  <si>
    <t>ΤΣΩΤΣΟΣ</t>
  </si>
  <si>
    <t>ΞΑΝΘΙ</t>
  </si>
  <si>
    <t>ΦΑΖΟΥ</t>
  </si>
  <si>
    <t>mariafazou5@gmail.com</t>
  </si>
  <si>
    <t>angfan69@yahoo.gr</t>
  </si>
  <si>
    <t>giannisvicky@yahoo.gr</t>
  </si>
  <si>
    <t>ΡΕΒΕΚΚΑ</t>
  </si>
  <si>
    <t>ΠΑΤΡΑ ΑΙΚΑΤΕΡΙΝΗ</t>
  </si>
  <si>
    <t>ΦΑΦΟΥΤΑΚΗ</t>
  </si>
  <si>
    <t>ΦΕΣΜΕΚΕΝΙΔΟΥ</t>
  </si>
  <si>
    <t>ΦΕΤΣΗ</t>
  </si>
  <si>
    <t>ΦΟΥΚΑΡΑΚΗΣ</t>
  </si>
  <si>
    <t>foukarakis@sch.gr</t>
  </si>
  <si>
    <t>ΦΟΥΛΕΔΑΚΗ</t>
  </si>
  <si>
    <t>ΦΟΥΝΤΩΤΟΥ</t>
  </si>
  <si>
    <t>ΝΕΦΕΛΗ-ΠΑΝΑΓΙΩΤΑ</t>
  </si>
  <si>
    <t>ΟΛΟΗΜΕΡΟ ΝΗΠΙΑΓΩΓΕΙΟ ΣΦΑΚΑΣ</t>
  </si>
  <si>
    <t>mail@nip-sfakas.las.sch.gr</t>
  </si>
  <si>
    <t>7ο 2/Θ ΝΗΠΙΑΓΩΓΕΙΟ ΑΓΙΟΥ ΝΙΚΟΛΑΟΥ</t>
  </si>
  <si>
    <t>7nipagnikol@sch.gr</t>
  </si>
  <si>
    <t>ΦΥΤΑΝΙΔΟΥ</t>
  </si>
  <si>
    <t>mariafgt@hotmail.com</t>
  </si>
  <si>
    <t>ΦΙΦΗ</t>
  </si>
  <si>
    <t>ΦΩΤΙΟΥ</t>
  </si>
  <si>
    <t>IATROU.T@NBG.GR</t>
  </si>
  <si>
    <t>ΧΑΡΙΤΟΠΟΥΛΟΥ</t>
  </si>
  <si>
    <t>ΧΑΡΟΠΟΥΛΟΥ</t>
  </si>
  <si>
    <t>ΧΑΡΟΥΛΗ</t>
  </si>
  <si>
    <t>ΧΑΣΟΜΕΡΗ</t>
  </si>
  <si>
    <t>ΧΑΤΖΑΚΗ ΧΕΙΛΟΥΔΑΚΗ</t>
  </si>
  <si>
    <t>ΧΑΤΖΑΡΑΣ</t>
  </si>
  <si>
    <t>m_xatzaras@yahoo.com</t>
  </si>
  <si>
    <t>ΧΑΤΖΗΒΓΕΡΗ</t>
  </si>
  <si>
    <t>ΧΑΤΖΗΜΑΡΚΑΚΗΣ</t>
  </si>
  <si>
    <t>nrvmanos18@yahoo.gr</t>
  </si>
  <si>
    <t>nikosch.nnn@gmail.com</t>
  </si>
  <si>
    <t>ΧΑΤΖΟΠΟΥΛΟΥ</t>
  </si>
  <si>
    <t>ΧΙΣΚΑΚΗ</t>
  </si>
  <si>
    <t>ΧΡΙΣΤΟΥ</t>
  </si>
  <si>
    <t>207/Γ</t>
  </si>
  <si>
    <t>ΜΑΡΙΑ-ΙΩΑΝΝΑ</t>
  </si>
  <si>
    <t>vagach81@hotmail.com</t>
  </si>
  <si>
    <t>ΨΑΛΤΗΣ</t>
  </si>
  <si>
    <t>anadelta2006@yahoo.gr</t>
  </si>
  <si>
    <t>mmac60@gmail.com</t>
  </si>
  <si>
    <t>ΕΥΠΡΑΞΙ</t>
  </si>
  <si>
    <t>ΨΥΛΛΙΝΑΚΗ</t>
  </si>
  <si>
    <t>ΘΕΟΚΛΕΙΑ</t>
  </si>
  <si>
    <t>klpsillinaki@yahoo.gr</t>
  </si>
  <si>
    <t>COCIA</t>
  </si>
  <si>
    <t>SIMONA-ELENA</t>
  </si>
  <si>
    <t>KONSTANTIN</t>
  </si>
  <si>
    <t>MARIA</t>
  </si>
  <si>
    <t>11ο ΟΛΟΗΜΕΡΟ ΝΗΠΙΑΓΩΓΕΙΟ ΡΕΘΥΜΝΟ - ΕΝΔΕΚΑΤΟ ΔΙΘΕΣΙΟ ΟΛΟΗΜΕΡΟ ΝΗΠΙΑΓΩΓΕΙΟ ΡΕΘΥΜΝΟΥ</t>
  </si>
  <si>
    <t>mail@11nip-rethymn.reth.sch.gr</t>
  </si>
  <si>
    <t>4/Θ ΟΛΟΗΜΕΡΟ ΔΗΜΟΤΙΚΟ ΣΧΟΛΕΙΟ ΠΑΝΟΡΜΟΥ-ΜΥΛΟΠΟΤΑΜΟΥ</t>
  </si>
  <si>
    <t>mail@dim-panorm.reth.sch.gr</t>
  </si>
  <si>
    <t>ΟΛΟΗΜΕΡΟ ΔΗΜΟΤΙΚΟ ΣΧΟΛΕΙΟ ΕΠΙΣΚΟΠΗΣ - ΕΞΑΘΕΣΙΟ ΟΛΟΗΜΕΡΟ ΔΗΜΟΤΙΚΟ ΣΧΟΛΕΙΟ ΕΠΙΣΚΟΠΗΣ</t>
  </si>
  <si>
    <t>mail@dim-episk.reth.sch.gr</t>
  </si>
  <si>
    <t>1ο ΟΛΟΗΜΕΡΟ ΔΗΜΟΤΙΚΟ ΣΧΟΛΕΙΟ ΠΕΡΑΜΑΤΟΣ - ΔΩΔΕΚΑΘΕΣΙΟ ΟΛΟΗΜΕΡΟ ΔΗΜ. ΣΧΟΛΕΙΟ ΠΕΡΑΜΑΤΟΣ</t>
  </si>
  <si>
    <t>mail@1dim-peram.reth.sch.gr</t>
  </si>
  <si>
    <t>xristinaaggel@hotmail.com</t>
  </si>
  <si>
    <t>7ο ΟΛΟΗΜΕΡΟ ΔΗΜΟΤΙΚΟ ΣΧΟΛΕΙΟ ΡΕΘΥΜΝΗΣ/ ΕΒΔΟΜΟ ΔΩΔΕΚΑΘΕΣΙΟ ΟΛΟΗΜΕΡΟ ΔΗΜΟΤΙΚΟ ΣΧΟΛΕΙΟ ΡΕΘΥΜΝΗΣ</t>
  </si>
  <si>
    <t>mail@7dim-rethymn.reth.sch.gr</t>
  </si>
  <si>
    <t>ΑΓΓΕΛΙΔΟΥ</t>
  </si>
  <si>
    <t>1ο 8/ΘΕΣΙΟ ΟΛΟΗΜΕΡΟ ΔΗΜΟΤΙΚΟ ΣΧΟΛΕΙΟ ΑΤΣΙΠΟΠΟΥΛΟΥ</t>
  </si>
  <si>
    <t>mail@dim-atsip.reth.sch.gr</t>
  </si>
  <si>
    <t>ΑΓΙΑΣΟΓΛΟΥ</t>
  </si>
  <si>
    <t>ΕΞΑΘΕΣΙΟ ΟΛΟΗΜΕΡΟ ΔΗΜ.ΣΧΟΛΕΙΟ ΛΙΒΑΔΙΩΝ</t>
  </si>
  <si>
    <t>mail@dim-livad.reth.sch.gr</t>
  </si>
  <si>
    <t>apostada@hotmail.com</t>
  </si>
  <si>
    <t>16ο ΟΛΟΗΜΕΡΟ ΔΗΜΟΤΙΚΟ ΣΧΟΛΕΙΟ ΡΕΘΥΜΝΟ - ΕΞΑΘΕΣΙΟ ΟΛΟΗΜΕΡΟ ΔΗΜΟΤΙΚΟ ΣΧΟΛΕΙΟ ΡΕΘΥΜΝΟΥ</t>
  </si>
  <si>
    <t>mail@16dim-rethymn.reth.sch.gr</t>
  </si>
  <si>
    <t>5ο ΟΛΟΗΜΕΡΟ ΔΗΜΟΤΙΚΟ ΣΧΟΛΕΙΟ ΡΕΘΥΜΝΟΥ - ΠΕΜΠΤΟ ΔΩΔΕΚΑΘΕΣΙΟ ΟΛΟΗΜΕΡΟ ΔΗΜΟΤΙΚΟ ΣΧΟΛΕΙΟ ΡΕΘΥΜΝΟΥ</t>
  </si>
  <si>
    <t>mail@5dim-rethymn.reth.sch.gr</t>
  </si>
  <si>
    <t>cadamou@sch.gr</t>
  </si>
  <si>
    <t>ΔΗΜΟΤΙΚΟ ΣΧΟΛΕΙΟ ΣΚΕΠΑΣΤΗΣ - ΔΙΘΕΣΙΟ ΔΗΜΟΤΙΚΟ ΣΧΟΛΕΙΟ ΣΚΕΠΑΣΤΗΣ</t>
  </si>
  <si>
    <t>mail@dim-skepast.reth.sch.gr</t>
  </si>
  <si>
    <t>ΣΚΕΠΑΣΤΗΣ</t>
  </si>
  <si>
    <t>ΑΔΙΚΗΜΕΝΑΚΗΣ</t>
  </si>
  <si>
    <t>ΟΛΟΗΜΕΡΟ ΔΗΜΟΤΙΚΟ ΣΧΟΛΕΙΟ ΣΠΗΛΙ - ΟΚΤΑΘΕΣΙΟ ΟΛΟΗΜΕΡΟ ΔΗΜΟΤΙΚΟ ΣΧΟΛΕΙΟ ΣΠΗΛΙΟΥ</t>
  </si>
  <si>
    <t>mail@dim-spiliou.reth.sch.gr</t>
  </si>
  <si>
    <t>8ο ΟΛΟΗΜΕΡΟ ΔΗΜΟΤΙΚΟ ΣΧΟΛΕΙΟ ΡΕΘΥΜΝΟΥ - ΟΓΔΟΟ ΔΩΔΕΚΑΘΕΣΙΟ ΟΛΟΗΜΕΡΟ ΔΗΜΟΤΙΚΟ ΣΧΟΛΕΙΟ ΡΕΘΥΜΝΟΥ</t>
  </si>
  <si>
    <t>mail@8dim-rethymn.reth.sch.gr</t>
  </si>
  <si>
    <t>ΑΪΝΑΤΖΗ</t>
  </si>
  <si>
    <t>3ο ΔΗΜΟΤΙΚΟ ΣΧΟΛΕΙΟ ΡΕΘΥΜΝΟΥ</t>
  </si>
  <si>
    <t>mail@3dim-rethymn.reth.sch.gr</t>
  </si>
  <si>
    <t>ΑΚΟΥΜΙΑΝΑΚΗ</t>
  </si>
  <si>
    <t>6/Θ ΟΛΟΗΜΕΡΟ ΔΗΜΟΤΙΚΟ ΣΧΟΛΕΙΟ ΑΡΜΕΝΩΝ</t>
  </si>
  <si>
    <t>mail@dim-armen.reth.sch.gr</t>
  </si>
  <si>
    <t>ΑΛΑΜΑΝΙΩΤΟΥ</t>
  </si>
  <si>
    <t>ΔΗΜΟΤΙΚΟ ΣΧΟΛΕΙΟ ΑΔΕΛΕ</t>
  </si>
  <si>
    <t>mail@dim-adele.reth.sch.gr</t>
  </si>
  <si>
    <t>ΑΡΚΑΔΙΟΥ</t>
  </si>
  <si>
    <t>ΑΔΕΛΕ</t>
  </si>
  <si>
    <t>ΟΛΟΗΜΕΡΟ ΔΗΜΟΤΙΚΟ ΣΧΟΛΕΙΟ ΠΡΙΝΕΣ - ΠΕΝΤΑΘΕΣΙΟ ΟΛΟΗΜΕΡΟ ΔΗΜΟΤΙΚΟ ΣΧΟΛΕΙΟ ΠΡΙΝΕ</t>
  </si>
  <si>
    <t>mail@dim-prine.reth.sch.gr</t>
  </si>
  <si>
    <t>ΠΡΙΝΕ</t>
  </si>
  <si>
    <t>elenalexaki@gmail.com</t>
  </si>
  <si>
    <t>2ο ΟΛΟΗΜΕΡΟ ΝΗΠΙΑΓΩΓΕΙΟ ΡΕΘΥΜΝΟ - ΔΕΥΤΕΡΟ ΚΛΑΣΙΚΟ ΝΗΠΙΑΓΩΓΕΙΟ ΡΕΘΥΜΝΟΥ</t>
  </si>
  <si>
    <t>mail@2nip-rethymn.reth.sch.gr</t>
  </si>
  <si>
    <t>ΔΗΜΟΤΙΚΟ ΣΧΟΛΕΙΟ ΣΤΑΥΡΩΜΕΝΟΥ - ΟΚΤΑΘΕΣΙΟ ΔΗΜΟΤΙΚΟ ΣΧΟΛΕΙΟ ΣΤΑΥΡΩΜΕΝΟΥ</t>
  </si>
  <si>
    <t>mail@dim-stavr.reth.sch.gr</t>
  </si>
  <si>
    <t>ΧΑΜΑΛΕΥΡΙΟΥ</t>
  </si>
  <si>
    <t>alexandrak@sch.gr</t>
  </si>
  <si>
    <t>5ο ΟΛΟΗΜΕΡΟ ΝΗΠΙΑΓΩΓΕΙΟ ΡΕΘΥΜΝΟΥ - ΠΕΜΠΤΟ ΔΙΘΕΣΙΟ ΟΛΟΗΜΕΡΟ ΝΗΠΙΑΓΩΓΕΙΟ ΡΕΘΥΜΝΟΥ</t>
  </si>
  <si>
    <t>mail@5nip-rethymn.reth.sch.gr</t>
  </si>
  <si>
    <t>ΑΛΕΞΑΝΔΡΙΝΟΣ</t>
  </si>
  <si>
    <t>ΑΛΕΞΕΛΛΗ</t>
  </si>
  <si>
    <t>aggelalex@hotmail.com</t>
  </si>
  <si>
    <t>2/Θ ΟΛΟΗΜΕΡΟ ΝΗΠΙΑΓΩΓΕΙΟ ΣΠΗΛΙΟΥ - ΔΙΘΕΣΙΟ ΟΛΟΗΜΕΡΟ ΝΗΠΙΑΓΩΓΕΙΟ ΣΠΗΛΙΟΥ</t>
  </si>
  <si>
    <t>mail@nip-spiliou.reth.sch.gr</t>
  </si>
  <si>
    <t>ΑΛΕΞΙΑΔΟΥ</t>
  </si>
  <si>
    <t>2ο ΟΛΟΗΜΕΡΟ ΔΗΜΟΤΙΚΟ ΣΧΟΛΕΙΟ ΑΤΣΙΠΟΠΟΥΛΟ - ΔΕΥΤΕΡΟ ΕΝΝΙΑΘΕΣΙΟ ΟΛΟΗΜΕΡΟ ΔΗΜΟΤΙΚΟ ΣΧΟΛΕΙΟ ΑΤΣΙΠΟΠΟΥΛΟΥ</t>
  </si>
  <si>
    <t>mail@2dim-atsip.reth.sch.gr</t>
  </si>
  <si>
    <t>pelli_alex@hotmail.com</t>
  </si>
  <si>
    <t>10ο ΟΛΟΗΜΕΡΟ ΔΗΜΟΤΙΚΟ ΣΧΟΛΕΙΟ ΡΕΘΥΜΝΟΥ</t>
  </si>
  <si>
    <t>mail@10dim-rethymn.reth.sch.gr</t>
  </si>
  <si>
    <t>ΑΛΜΠΑΝΗΣ</t>
  </si>
  <si>
    <t>ΑΜΒΡΟΣΙΑΔΟΥ</t>
  </si>
  <si>
    <t>ΑΜΠΟΥΜΟΓΛΙ</t>
  </si>
  <si>
    <t>ΣΑΛΑΜ</t>
  </si>
  <si>
    <t>ΙΠΠΟΚΡΑΤΗΣ-ΟΥΑΛΙΝΤ</t>
  </si>
  <si>
    <t>772/τ.Γ΄/23-8-2010</t>
  </si>
  <si>
    <t>ΔΗΜΟΤΙΚΟ ΣΧΟΛΕΙΟ ΑΞΟΣ - ΔΙΘΕΣΙΟ ΔΗΜΟΤΙΚΟ ΣΧΟΛΕΙΟ ΑΞΟΥ</t>
  </si>
  <si>
    <t>mail@dim-axou.reth.sch.gr</t>
  </si>
  <si>
    <t>ΑΞΟΥ</t>
  </si>
  <si>
    <t>ΑΝΑΣΤΑΣΙΑΔΟΥ</t>
  </si>
  <si>
    <t>zoianastasiadou23@gmail.com</t>
  </si>
  <si>
    <t>ΟΛΟΗΜΕΡΟ ΔΗΜΟΤΙΚΟ ΣΧΟΛΕΙΟ ΑΓΙΑΣ ΓΑΛΗΝΗΣ - ΤΡΙΘΕΣΙΟ ΟΛΟΗΜΕΡΟ ΔΗΜΟΤΙΚΟ ΣΧΟΛΕΙΟ ΑΓΙΑΣ ΓΑΛΗΝΗΣ</t>
  </si>
  <si>
    <t>mail@dim-ag-galin.reth.sch.gr</t>
  </si>
  <si>
    <t>ΑΓΙΑΣ ΓΑΛΗΝΗΣ</t>
  </si>
  <si>
    <t>1ο  ΔΗΜΟΤΙΚΟ ΣΧΟΛΕΙΟ ΡΕΘΥΜΝΟΥ</t>
  </si>
  <si>
    <t>mail@1dim-rethymn.reth.sch.gr</t>
  </si>
  <si>
    <t>aandredaki@gmail.com</t>
  </si>
  <si>
    <t>2ο 12/ΘΕΣΙΟ ΟΛΟΗΜΕΡΟ ΔΗΜΟΤΙΚΟ ΣΧΟΛΕΙΟ ΡΕΘΥΜΝΟΥ</t>
  </si>
  <si>
    <t>2dimreth@sch.gr</t>
  </si>
  <si>
    <t>ΑΝΔΡΙΑ</t>
  </si>
  <si>
    <t>ΟΛΟΗΜΕΡΟ ΝΗΠΙΑΓΩΓΕΙΟ ΑΡΜΕΝΩΝ - ΔΙΘΕΣΙΟ ΟΛΟΗΜΕΡΟ ΝΗΠΙΑΓΩΓΕΙΟ ΑΡΜΕΝΩΝ</t>
  </si>
  <si>
    <t>mail@nip-armen.reth.sch.gr</t>
  </si>
  <si>
    <t>ΑΝΔΡΙΟΠΟΥΛΟΣ</t>
  </si>
  <si>
    <t>gianinet@sch.gr</t>
  </si>
  <si>
    <t>ΕΞΑΘΕΣΙΟ ΟΛΟΗΜΕΡΟ ΔΗΜΟΤΙΚΟ ΣΧΟΛΕΙΟ ΑΓΙΟΥ ΝΙΚΟΛΑΟΥ</t>
  </si>
  <si>
    <t>mail@dim-ag-nikol.reth.sch.gr</t>
  </si>
  <si>
    <t>ΕΡΦΩΝ</t>
  </si>
  <si>
    <t>ΑΝΕΣΙΑΔΗΣ</t>
  </si>
  <si>
    <t>13ο ΟΛΟΗΜΕΡΟ ΔΗΜΟΤΙΚΟ ΣΧΟΛΕΙΟ ΡΕΘΥΜΝΟ - ΔΩΔΕΚΑΘΕΣΙΟ ΟΛΟΗΜΕΡΟ ΔΗΜΟΤΙΚΟ ΣΧΟΛΕΙΟ ΡΕΘΥΜΝΟΥ</t>
  </si>
  <si>
    <t>mail@13dim-rethymn.reth.sch.gr</t>
  </si>
  <si>
    <t>ΑΝΤΙΟΧΟΣ</t>
  </si>
  <si>
    <t>ΑΝΤΟΥΡΑΚΗΣ</t>
  </si>
  <si>
    <t>ΑΝΤΩΝΑΚΟΠΟΥΛΟΥ</t>
  </si>
  <si>
    <t>antalina75@hotmail.com</t>
  </si>
  <si>
    <t>13ο 2/ΘΕΣΙΟ ΝΗΠΙΑΓΩΓΕΙΟ ΡΕΘΥΜΝΟΥ - ΔΕΚΑΤΟ ΤΡΙΤΟ ΔΙΘΕΣΙΟ ΝΗΠΙΑΓΩΓΕΙΟ ΡΕΘΥΜΝΟΥ</t>
  </si>
  <si>
    <t>mail@13nip-rethymn.reth.sch.gr</t>
  </si>
  <si>
    <t>antoniadisnikos72@gmail.com</t>
  </si>
  <si>
    <t>ΑΝΤΩΝΙΑΔΟΥ</t>
  </si>
  <si>
    <t>6ο 12/ΘΕΣΙΟ ΟΛΟΗΜΕΡΟ ΔΗΜΟΤΙΚΟ ΣΧΟΛΕΙΟ ΡΕΘΥΜΝΟΥ</t>
  </si>
  <si>
    <t>mail@6dim-rethymn.reth.sch.gr</t>
  </si>
  <si>
    <t>ΓΕΩΡΓΙΑ ΚΑΛΛΙΟΠΗ</t>
  </si>
  <si>
    <t>9ο ΟΛΟΗΜΕΡΟ ΔΗΜΟΤΙΚΟ ΣΧΟΛΕΙΟ ΡΕΘΥΜΝΟΥ</t>
  </si>
  <si>
    <t>mail@9dim-rethymn.reth.sch.gr</t>
  </si>
  <si>
    <t>10ο ΟΛΟΗΜΕΡΟ ΝΗΠΙΑΓΩΓΕΙΟ ΡΕΘΥΜΝΟΥ - ΔΕΚΑΤΟ ΔΙΘΕΣΙΟ ΟΛΟΗΜΕΡΟ ΝΗΠΙΑΓΩΓΕΙΟ ΡΕΘΥΜΝΟΥ</t>
  </si>
  <si>
    <t>mail@10nip-rethymn.reth.sch.gr</t>
  </si>
  <si>
    <t>m.anyfantaki@yahoo.gr</t>
  </si>
  <si>
    <t>ΑΞΙΩΤΙΔΗΣ</t>
  </si>
  <si>
    <t>manos.axiotidis@gmail.com</t>
  </si>
  <si>
    <t>ΟΛΟΗΜΕΡΟ ΔΗΜΟΤΙΚΟ ΣΧΟΛΕΙΟ ΑΠΟΣΤΟΛΩΝ - ΟΛΟΗΜΕΡΟ ΕΞΑΘΕΣΙΟ ΔΗΜΟΤΙΚΟ ΣΧΟΛΕΙΟ ΑΠΟΣΤΟΛΩΝ</t>
  </si>
  <si>
    <t>mail@dim-apost.reth.sch.gr</t>
  </si>
  <si>
    <t>ΑΠΟΔΟΥΛΙΑΝΑΚΗ</t>
  </si>
  <si>
    <t>ΜΙΛΤΩ-ΑΝΝΑ</t>
  </si>
  <si>
    <t>riaapostolaki@yahoo.gr</t>
  </si>
  <si>
    <t>ΟΛΟΗΜΕΡΟ ΝΗΠΙΑΓΩΓΕΙΟ ΜΙΞΟΡΡΟΥΜΑ - ΜΟΝΟΘΕΣΙΟ ΟΛΟΗΜΕΡΟ ΝΗΠΙΑΓΩΓΕΙΟ ΜΙΞΟΡΡΟΥΜΑΤΟΣ</t>
  </si>
  <si>
    <t>mail@nip-mixorr.reth.sch.gr</t>
  </si>
  <si>
    <t>ΜΥΞΟΡΡΟΥΜΑ</t>
  </si>
  <si>
    <t>ngiotsis@yahoo.gr</t>
  </si>
  <si>
    <t>apobabis0@mail.com</t>
  </si>
  <si>
    <t>ΛΕΛΑ</t>
  </si>
  <si>
    <t>ΔΗΜΟΤΙΚΟ ΣΧΟΛΕΙΟ ΖΩΝΙΑΝΩΝ</t>
  </si>
  <si>
    <t>mail@dim-zonian.reth.sch.gr</t>
  </si>
  <si>
    <t>ΖΩΝΙΑΝΩΝ</t>
  </si>
  <si>
    <t>ΑΡΑΒΑΝΤΙΝΟΥ</t>
  </si>
  <si>
    <t>loukiapaxos@yahoo.gr</t>
  </si>
  <si>
    <t>14ο ΟΛΟΗΜΕΡΟ ΔΗΜΟΤΙΚΟ ΣΧΟΛΕΙΟ ΡΕΘΥΜΝΟΥ - ΔΕΚΑΤΟ ΤΕΤΑΡΤΟ ΔΩΔΕΚΑΘΕΣΙΟ ΟΛΟΗΜΕΡΟ ΔΗΜΟΤΙΚΟ ΣΧΟΛΕΙΟ ΡΕΘΥΜΝΟΥ</t>
  </si>
  <si>
    <t>mail@14dim-rethymn.reth.sch.gr</t>
  </si>
  <si>
    <t>ΟΛΟΗΜΕΡΟ ΔΗΜΟΤΙΚΟ ΣΧΟΛΕΙΟ ΑΠΛΑΔΙΑΝΩΝ - ΤΡΙΘΕΣΙΟ ΔΗΜΟΤΙΚΟ ΣΧΟΛΕΙΟ ΑΠΛΑΔΙΑΝΩΝ</t>
  </si>
  <si>
    <t>mail@dim-aplad.reth.sch.gr</t>
  </si>
  <si>
    <t>ΑΠΛΑΔΙΑΝΩΝ</t>
  </si>
  <si>
    <t>ΑΡΜΥΡΑ</t>
  </si>
  <si>
    <t>ΑΣΛΑΝΙΔΗΣ</t>
  </si>
  <si>
    <t>ΑΣΠΡΟΥΛΗΣ</t>
  </si>
  <si>
    <t>ΜΑΡΚΕΛΛ</t>
  </si>
  <si>
    <t>geaspr@yahoo.gr</t>
  </si>
  <si>
    <t>ΑΤΖΙΝΑ</t>
  </si>
  <si>
    <t>1ο ΔΗΜΟΤΙΚΟ ΣΧΟΛΕΙΟ ΑΝΩΓΕΙΩΝ - ΠΡΩΤΟ ΔΗΜΟΤΙΚΟ ΣΧΟΛΕΙΟ ΑΝΩΓΕΙΩΝ</t>
  </si>
  <si>
    <t>mail@1dim-anogeion.reth.sch.gr</t>
  </si>
  <si>
    <t>2ο ΟΛΟΗΜΕΡΟ ΔΗΜΟΤΙΚΟ ΣΧΟΛΕΙΟ ΠΕΡΑΜΑΤΟΣ - ΟΚΤΑΘΕΣΙΟ ΟΛΟΗΜΕΡΟ ΔΗΜ.ΣΧΟΛΕΙΟ ΠΕΡΑΜΑΤΟΣ</t>
  </si>
  <si>
    <t>mail@2dim-peram.reth.sch.gr</t>
  </si>
  <si>
    <t>3ο ΔΙΘΕΣΙΟ ΝΗΠΙΑΓΩΓΕΙΟ ΑΤΣΙΠΟΠΟΥΛΟΥ</t>
  </si>
  <si>
    <t>mail@3nip-atsip.reth.sch.gr</t>
  </si>
  <si>
    <t>ΒΑΒΑ</t>
  </si>
  <si>
    <t>ΟΛΟΗΜΕΡΟ ΔΗΜΟΤΙΚΟ ΣΧΟΛΕΙΟ ΜΑΡΓΑΡΙΤΩΝ - ΤΕΤΡΑΘΕΣΙΟ ΟΛΟΗΜΕΡΟ ΔΗΜΟΤΙΚΟ ΣΧΟΛΕΙΟ ΜΑΡΓΑΡΙΤΩΝ</t>
  </si>
  <si>
    <t>mail@dim-margar.reth.sch.gr</t>
  </si>
  <si>
    <t>ΜΑΡΓΑΡΙΤΩΝ</t>
  </si>
  <si>
    <t>ΒΑΚΟΥΛΗ</t>
  </si>
  <si>
    <t>ΒΑΛΑΣΣΑΚΗ</t>
  </si>
  <si>
    <t>ΒΑΛΣΑΜΙΔΟΥ</t>
  </si>
  <si>
    <t>eleni2611@yahoo.gr</t>
  </si>
  <si>
    <t>ΒΑΟΝΑΚΗ</t>
  </si>
  <si>
    <t>ΡΕΨΥΜΙΑ</t>
  </si>
  <si>
    <t>ΒΑΡΒΕΡΗ</t>
  </si>
  <si>
    <t>ΘΕΟΝΥΦΗ</t>
  </si>
  <si>
    <t>kv2511@yahoo.gr</t>
  </si>
  <si>
    <t>ΟΛΟΗΜΕΡΟ ΝΗΠΙΑΓΩΓΕΙΟ ΜΥΡΘΙΟΣ - ΔΙΘΕΣΙΟ ΟΛΟΗΜΕΡΟ ΝΗΠΙΑΓΩΓΕΙΟ ΜΥΡΘΙΟΥ</t>
  </si>
  <si>
    <t>mail@nip-myrth.reth.sch.gr</t>
  </si>
  <si>
    <t>ΜΥΡΘΙΟΥ</t>
  </si>
  <si>
    <t>dvarelas70@yahoo.gr</t>
  </si>
  <si>
    <t>ΒΑΣΙΛΑΚΑΚΗ</t>
  </si>
  <si>
    <t>2ο ΟΛΟΗΜΕΡΟ ΝΗΠΙΑΓΩΓΕΙΟ ΑΤΣΙΠΟΠΟΥΛΟ - ΔΙΘΕΣΙΟ ΟΛΟΗΜΕΡΟ ΝΗΠ.ΑΤΣΙΠΟΠΟΥΛΟΥ</t>
  </si>
  <si>
    <t>mail@2nip-atsip.reth.sch.gr</t>
  </si>
  <si>
    <t>k_vasiliadou@yahoo.gr</t>
  </si>
  <si>
    <t>ΒΑΣΙΛΟΥΝΗ</t>
  </si>
  <si>
    <t>v.eugenia2@gmail.com</t>
  </si>
  <si>
    <t>ΟΛΟΗΜΕΡΟ ΔΗΜΟΤΙΚΟ ΣΧΟΛΕΙΟ ΑΓΚΟΥΣΕΛΙΑΝΑ - ΟΛΟΗΜΕΡΟ ΔΗΜΟΤΙΚΟ ΣΧΟΛΕΙΟ ΑΓΚΟΥΣΕΛΙΑΝΩΝ</t>
  </si>
  <si>
    <t>mail@dim-agkous.reth.sch.gr</t>
  </si>
  <si>
    <t>ΑΓΚΟΥΣΕΛΙΑΝΩΝ</t>
  </si>
  <si>
    <t>ΒΑΤΑΝΤΖΗ</t>
  </si>
  <si>
    <t>leliavat@yahoo.com</t>
  </si>
  <si>
    <t>15ο ΔΗΜΟΤΙΚΟ ΣΧΟΛΕΙΟ ΡΕΘΥΜΝΟΥ</t>
  </si>
  <si>
    <t>mail@15dim-rethymn.reth.sch.gr</t>
  </si>
  <si>
    <t>ΒΕΔΟΥΡΑΣ</t>
  </si>
  <si>
    <t>ΒΕΛΟΝΑΚΗ</t>
  </si>
  <si>
    <t>ΒΕΡΒΕΡΙΔΗΣ</t>
  </si>
  <si>
    <t>al_vergadi@hotmail.com</t>
  </si>
  <si>
    <t>ΒΕΡΓΑΚΗΣ</t>
  </si>
  <si>
    <t>ΒΕΡΓΗΣ</t>
  </si>
  <si>
    <t>ΔΙΘΕΣΙΟ ΔΗΜΟΤΙΚΟ ΣΧΟΛΕΙΟ ΑΓΙΑΣ</t>
  </si>
  <si>
    <t>mail@dim-agias.reth.sch.gr</t>
  </si>
  <si>
    <t>ΑΓΙΑΣ</t>
  </si>
  <si>
    <t>ΒΕΡΓΙΑΝΟΥ</t>
  </si>
  <si>
    <t>ΒΕΡΓΙΤΣΑΚΗ</t>
  </si>
  <si>
    <t>kvergitsaki@gmail.com</t>
  </si>
  <si>
    <t>1/Θ ΝΗΠΙΑΓΩΓΕΙΟ ΑΓΙΑΣ</t>
  </si>
  <si>
    <t>vvolga@yahoo.gr</t>
  </si>
  <si>
    <t>2ο ΟΛΟΗΜΕΡΟ ΝΗΠΙΑΓΩΓΕΙΟ ΠΕΡΑΜΑΤΟΣ - ΔΕΥΤΕΡΟ ΟΛΟΗΜΕΡΟ ΝΗΠΙΑΓΩΓΕΙΟ ΠΕΡΑΜΑΤΟΣ</t>
  </si>
  <si>
    <t>mail@2nip-peram.reth.sch.gr</t>
  </si>
  <si>
    <t>ΒΙΓΛΗ</t>
  </si>
  <si>
    <t>ΒΙΤΑΛΑΚΗ</t>
  </si>
  <si>
    <t>vitalaki@edc.uoc.gr</t>
  </si>
  <si>
    <t>ΒΛΑΣΣΗ</t>
  </si>
  <si>
    <t>jvlastou@yahoo.gr</t>
  </si>
  <si>
    <t>ΜΟΝΟΘΕΣΙΟ ΝΗΠΙΑΓΩΓΕΙΟ ΣΙΣΩΝ</t>
  </si>
  <si>
    <t>mail@nip-sison.reth.sch.gr</t>
  </si>
  <si>
    <t>ΣΙΣΩΝ</t>
  </si>
  <si>
    <t>ΒΛΑΧΑΒΑ</t>
  </si>
  <si>
    <t>ΒΛΑΧΑΝΑΣΤΑΣΗ</t>
  </si>
  <si>
    <t>polytimi1971@gmail.com</t>
  </si>
  <si>
    <t>geovl@windowslive.com</t>
  </si>
  <si>
    <t>elbogiatzaki@gmail.com</t>
  </si>
  <si>
    <t>1ο ΝΗΠΙΑΓΩΓΕΙΟ ΡΕΘΥΜΝΟΥ 3/Θ - ΠΡΩΤΟ ΝΗΠΙΑΓΩΓΕΙΟ ΡΕΘΥΜΝΟΥ ΤΡΙΘΕΣΙΟ</t>
  </si>
  <si>
    <t>mail@1nip-rethymn.reth.sch.gr</t>
  </si>
  <si>
    <t>ΟΛΟΗΜΕΡΟ ΝΗΠΙΑΓΩΓΕΙΟ ΑΓΚΟΥΣΕΛΙΑΝΑ - ΜΟΝΟΘΕΣΙΟ ΟΛΟΗΜΕΡΟ ΝΗΠΙΑΓΩΓΕΙΟ ΑΓΚΟΥΣΕΛΙΑΝΩΝ</t>
  </si>
  <si>
    <t>mail@nip-agous.reth.sch.gr</t>
  </si>
  <si>
    <t>ΒΟΓΙΑΤΖΙΔΑΚΗΣ</t>
  </si>
  <si>
    <t>lefterisvog@gmail.com</t>
  </si>
  <si>
    <t>ΒΟΖΟΓΛΑΝΗΣ</t>
  </si>
  <si>
    <t>ippocratis@yahoo.gr</t>
  </si>
  <si>
    <t>ΒΟΛΑΚΑ</t>
  </si>
  <si>
    <t>8ο 3ΘΕΣΙΟ ΟΛΟΗΜΕΡΟ ΝΗΠΙΑΓΩΓΕΙΟ ΡΕΘΥΜΝΟY</t>
  </si>
  <si>
    <t>mail@8nip-rethymn.reth.sch.gr</t>
  </si>
  <si>
    <t>ΒΟΛΑΚΑ-ΒΕΛΟΝΑΚΗ</t>
  </si>
  <si>
    <t>ΝΗΠΙΑΓΩΓΕΙΟ ΛΙΒΑΔΙΩΝ - ΔΙΘΕΣΙΟ ΟΛΟΗΜΕΡΟ ΝΗΠΙΑΓΩΓΕΙΟ ΛΙΒΑΔΙΩΝ</t>
  </si>
  <si>
    <t>mail@nip-livad.reth.sch.gr</t>
  </si>
  <si>
    <t>ΒΟΣΚΑΚΗ</t>
  </si>
  <si>
    <t>elisavetvoskaki@hotmail.com</t>
  </si>
  <si>
    <t>ΒΟΥΛΓΑΡΟΠΟΥΛΟΥ</t>
  </si>
  <si>
    <t>cvoulgar@sch.gr</t>
  </si>
  <si>
    <t>1o ΔΗΜΟΤΙΚΟ ΣΧΟΛΕΙΟ ΠΛΑΚΙΑ</t>
  </si>
  <si>
    <t>mail@dim-plakia.reth.sch.gr</t>
  </si>
  <si>
    <t>ΒΟΥΛΟΥΜΒΑΣΑΚΗ</t>
  </si>
  <si>
    <t>giavoum@gmail.com</t>
  </si>
  <si>
    <t>ΒΟΥΤΣΙΝΑ</t>
  </si>
  <si>
    <t>ΟΛΟΗΜΕΡΟ ΝΗΠΙΑΓΩΓΕΙΟ ΡΟΥΣΣΟΣΠΙΤΙ - ΔΙΘΕΣΙΟ ΟΛΟΗΜΕΡΟ ΝΗΠΙΑΓΩΓΕΙΟ ΡΟΥΣΣΟΣΠΙΤΙΟΥ</t>
  </si>
  <si>
    <t>mail@nip-rouss.reth.sch.gr</t>
  </si>
  <si>
    <t>ΡΟΥΣΣΟΣΠΙΤΙΟΥ</t>
  </si>
  <si>
    <t>1ο ΕΙΔΙΚΟ ΔΗΜΟΤΙΚΟ ΣΧΟΛΕΙΟ ΜΙΣΣΙΡΙΑ ΡΕΘΥΜΝΟΥ - ΠΡΩΤΟ ΕΙΔΙΚΟ ΔΗΜΟΤΙΚΟ ΣΧΟΛΕΙΟ ΡΕΘΥΜΝΟΥ</t>
  </si>
  <si>
    <t>mail@1dim-eid-rethymn.reth.sch.gr</t>
  </si>
  <si>
    <t>ΒΡΑΝΑΚΗ</t>
  </si>
  <si>
    <t>stvranaki@yahoo.gr</t>
  </si>
  <si>
    <t>ΒΡΥΛΛΑΚΗ</t>
  </si>
  <si>
    <t>roukounogiorgis@yahoo.gr</t>
  </si>
  <si>
    <t>ΑΝΤΙΑ</t>
  </si>
  <si>
    <t>ΓΑΒΡΙΗΛΙΔΟΥ</t>
  </si>
  <si>
    <t>annagavriil@hotmail.com</t>
  </si>
  <si>
    <t>ΓΑΚΗ</t>
  </si>
  <si>
    <t>irinigaki@gmail.com</t>
  </si>
  <si>
    <t>ΓΑΛΕΡΑΚΗ</t>
  </si>
  <si>
    <t>ΓΑΛΕΡΟΣ</t>
  </si>
  <si>
    <t>ΓΑΛΛΙΑΚΗ</t>
  </si>
  <si>
    <t>gasparakislambros20@gmail.com</t>
  </si>
  <si>
    <t>ΠΑΝΑΓΙΩΤΗΣ-ΣΤΥΛΙΑΝΟΣ</t>
  </si>
  <si>
    <t>stelios_gasparakis@hotmail.com</t>
  </si>
  <si>
    <t>ΤΕΤΡΑΘΕΣΙΟ ΟΛΟΗΜΕΡΟ ΔΗΜΟΤΙΚΟ ΣΧΟΛΕΙΟ ΑΓΓΕΛΙΑΝΩΝ</t>
  </si>
  <si>
    <t>mail@dim-angel.reth.sch.gr</t>
  </si>
  <si>
    <t>ΑΓΓΕΛΙΑΝΩΝ</t>
  </si>
  <si>
    <t>ΓΕΚΕΝΙΔΟΥ</t>
  </si>
  <si>
    <t>ΓΕΛΑΣΤΟΥ</t>
  </si>
  <si>
    <t>9ο ΟΛΟΗΜΕΡΟ ΝΗΠΙΑΓΩΓΕΙΟ ΡΕΘΥΜΝΟΥ - ΕΝΑΤΟ ΔΙΘΕΣΙΟ ΟΛΟΗΜΕΡΟ ΝΗΠΙΑΓΩΓΕΙΟ ΡΕΘΥΜΝΟΥ</t>
  </si>
  <si>
    <t>mail@9nipreth.reth.sch.gr</t>
  </si>
  <si>
    <t>ΓΕΡΑΣΗΣ</t>
  </si>
  <si>
    <t>dgerasis@in.gr</t>
  </si>
  <si>
    <t>ΟΛΟΗΜΕΡΟ ΔΗΜΟΤΙΚΟ ΣΧΟΛΕΙΟ ΓΕΡΑΝΙ - ΕΞΑΘΕΣΙΟ ΟΛΟΗΜΕΡΟ ΔΗΜΟΤΙΚΟ ΣΧΟΛΕΙΟ ΓΕΡΑΝΙΟΥ</t>
  </si>
  <si>
    <t>mail@dim-geran.reth.sch.gr</t>
  </si>
  <si>
    <t>ΓΕΡΑΝΙΟΥ</t>
  </si>
  <si>
    <t>ΓΕΡΟΓΙΑΝΝΑΚΗ</t>
  </si>
  <si>
    <t>Jogo.g@hotmail.com</t>
  </si>
  <si>
    <t>ΝΗΠΙΑΓΩΓΕΙΟ ΑΛΦΑΣ - ΜΟΝΟΘΕΣΙΟ ΟΛΟΗΜΕΡΟ ΝΗΠΙΑΓΩΓΕΙΟ ΑΛΦΑΣ</t>
  </si>
  <si>
    <t>mail@nip-alfas.reth.sch.gr</t>
  </si>
  <si>
    <t>ΑΛΦΑΣ</t>
  </si>
  <si>
    <t>ΓΕΡΟΝΑΤΣΙΟΥ</t>
  </si>
  <si>
    <t>3ο ΟΛΟΗΜΕΡΟ ΝΗΠΙΑΓΩΓΕΙΟ ΡΕΘΥΜΝΟ - ΤΡΙΤΟ ΟΛΟΗΜΕΡΟ ΝΗΠΙΑΓΩΓΕΙΟ ΡΕΘΥΜΝΟΥ</t>
  </si>
  <si>
    <t>mail@3nip-rethymn.reth.sch.gr</t>
  </si>
  <si>
    <t>ΓΕΡΟΥΚΗ</t>
  </si>
  <si>
    <t>ΓΕΩΡΓΑΛΑΚΗ</t>
  </si>
  <si>
    <t>1ο ΟΛΟΗΜΕΡΟ ΝΗΠΙΑΓΩΓΕΙΟ ΠΕΡΑΜΑ - ΠΡΩΤΟ ΟΛΟΗΜΕΡΟ ΝΗΠΙΑΓΩΓΕΙΟ ΠΕΡΑΜΑΤΟΣ</t>
  </si>
  <si>
    <t>mail@1nip-peram.reth.sch.gr</t>
  </si>
  <si>
    <t>filitsageo@yahoo.gr</t>
  </si>
  <si>
    <t>ΓΕΩΡΓΟΜΗ</t>
  </si>
  <si>
    <t>lia-geo@hotmail.com</t>
  </si>
  <si>
    <t>KOJARE@YAHOO.GR</t>
  </si>
  <si>
    <t>georgulakis@gmail.com</t>
  </si>
  <si>
    <t>mail@dipe.reth.sch.gr</t>
  </si>
  <si>
    <t>ΓΙΑΒΡΙΔΗ</t>
  </si>
  <si>
    <t>kgiavridi@gmail.com</t>
  </si>
  <si>
    <t>ΓΙΑΚΟΥΜΙΔΑΚΗ</t>
  </si>
  <si>
    <t>ΧΡΥΣΟΒΑΛΑΝΤΟ</t>
  </si>
  <si>
    <t>ΟΛΟΗΜΕΡΟ ΔΗΜΟΤΙΚΟ ΣΧΟΛΕΙΟ ΓΩΝΙΑΣ - ΕΞΑΘΕΣΙΟ ΟΛΟΗΜΕΡΟ ΔΗΜΟΤΙΚΟ ΣΧΟΛΕΙΟ ΓΩΝΙΑΣ</t>
  </si>
  <si>
    <t>mail@dim-gonias.reth.sch.gr</t>
  </si>
  <si>
    <t>ΓΩΝΙΑΣ</t>
  </si>
  <si>
    <t>vagiagiannaki@gmail.com</t>
  </si>
  <si>
    <t>ΝΗΠΙΑΓΩΓΕΙΟ ΑΓΓΕΛΙΑΝΑ - ΜΟΝΟΘΕΣΙΟ ΝΗΠΙΑΓΩΓΕΙΟ ΑΓΓΕΛΙΑΝΩΝ</t>
  </si>
  <si>
    <t>mail@nip-angel.reth.sch.gr</t>
  </si>
  <si>
    <t>ΓΙΑΝΝΑΚΟΥ</t>
  </si>
  <si>
    <t>7ο ΝΗΠΙΑΓΩΓΕΙΟ ΡΕΘΥΜΝΟ - ΕΒΔΟΜΟ ΝΗΠΙΑΓΩΓΕΙΟ ΡΕΘΥΜΝΟΥ</t>
  </si>
  <si>
    <t>mail@7nip-rethymn.reth.sch.gr</t>
  </si>
  <si>
    <t>ΓΙΑΝΝΙΤΣΟΠΟΥΛΟΥ</t>
  </si>
  <si>
    <t>ΔΙΘΕΣΙΟ ΟΛΟΗΜΕΡΟ ΝΗΠΙΑΓΩΓΕΙΟ ΠΗΓΗΣ</t>
  </si>
  <si>
    <t>mail@nip-pigis.reth.sch.gr</t>
  </si>
  <si>
    <t>ΠΗΓΗΣ</t>
  </si>
  <si>
    <t>carissimad@yahoo.com</t>
  </si>
  <si>
    <t>ΕΥΡΙΠΙΔΗ</t>
  </si>
  <si>
    <t>fotg1982@gmail.com</t>
  </si>
  <si>
    <t>ΓΙΑΝΝΟΥΛΑΚΗΣ</t>
  </si>
  <si>
    <t>ΓΙΑΣΣΑΚΗΣ</t>
  </si>
  <si>
    <t>Giassakisk@hotmail.com</t>
  </si>
  <si>
    <t>ΓΙΟΥΡΟΥΚΗ</t>
  </si>
  <si>
    <t>efigiourouki@yahoo.gr</t>
  </si>
  <si>
    <t>ΓΙΩΤΣΗΣ</t>
  </si>
  <si>
    <t>ΓΚΑΝΤΙΔΗΣ</t>
  </si>
  <si>
    <t>ΓΚΑΡΑΒΕΛΛΑΣ</t>
  </si>
  <si>
    <t>manwlisgaravellas@hotmail.com</t>
  </si>
  <si>
    <t>ΓΚΑΤΖΙΑΝΙΔΟΥ</t>
  </si>
  <si>
    <t>ΟΛΟΗΜΕΡΟ ΝΗΠΙΑΓΩΓΕΙΟ ΓΑΛΛΟΣ - ΟΛΟΗΜΕΡΟ ΝΗΠΙΑΓΩΓΕΙΟ ΓΑΛΛΟΥ</t>
  </si>
  <si>
    <t>mail@nip-gallou.reth.sch.gr</t>
  </si>
  <si>
    <t>ΓΚΕΚΑ</t>
  </si>
  <si>
    <t>ΓΚΕΝΑΣ</t>
  </si>
  <si>
    <t>ΑΔΑΜΟΣ</t>
  </si>
  <si>
    <t>ΓΚΙΟΥΛΕΑΣ</t>
  </si>
  <si>
    <t>john.sgiouleas@yahoo.gr</t>
  </si>
  <si>
    <t>ΓΚΙΤΕΡΣΟΥ</t>
  </si>
  <si>
    <t>653/18-08-2009</t>
  </si>
  <si>
    <t>ΓΚΟΓΕΡΑΚΗ</t>
  </si>
  <si>
    <t>ΓΚΟΛΤΣΙΟΣ</t>
  </si>
  <si>
    <t>ΓΚΟΡΟΣ</t>
  </si>
  <si>
    <t>ΓΚΟΤΟΒΟΥ</t>
  </si>
  <si>
    <t>ΓΚΟΥΒΟΥΣΗ</t>
  </si>
  <si>
    <t>kiddob@hotmail.com</t>
  </si>
  <si>
    <t>ΓΚΡΟΖΟΥ</t>
  </si>
  <si>
    <t>ΓΡΑΜΜΕΝΟΥ</t>
  </si>
  <si>
    <t>bill64@otenet.gr</t>
  </si>
  <si>
    <t>ΤΕΤΡΑΘΕΣΙΟ ΟΛΟΗΜΕΡΟ ΔΗΜΟΤΙΚΟ ΣΧΟΛΕΙΟ ΑΡΓΥΡΟΥΠΟΛΗΣ -ΡΕΘΥΜΝΟΥ</t>
  </si>
  <si>
    <t>mail@dim-argyr.reth.sch.gr</t>
  </si>
  <si>
    <t>ΑΡΓΥΡΟΥΠΟΛΕΩΣ</t>
  </si>
  <si>
    <t>ΓΡΟΥΙΤΣΗΣ</t>
  </si>
  <si>
    <t>grouitsis@gmail.com</t>
  </si>
  <si>
    <t>ΔΑΓΚΛΗ</t>
  </si>
  <si>
    <t>gdaga@sch.gr</t>
  </si>
  <si>
    <t>dodtot@hotmail.com</t>
  </si>
  <si>
    <t>erdakanali@gmail.com</t>
  </si>
  <si>
    <t>ΝΗΠΙΑΓΩΓΕΙΟ ΓΑΡΑΖΟ - ΜΟΝΟΘΕΣΙΟ ΟΛΟΗΜΕΡΟ ΝΗΠΙΑΓΩΓΕΙΟ ΓΑΡΑΖΟΥ</t>
  </si>
  <si>
    <t>mail@nip-garaz.reth.sch.gr</t>
  </si>
  <si>
    <t>ΔΑΛΑΔΗΜΟΥ</t>
  </si>
  <si>
    <t>eir-daladimou@hotmail.com</t>
  </si>
  <si>
    <t>4ο ΟΛΟΗΜΕΡΟ ΝΗΠΙΑΓΩΓΕΙΟ ΑΤΣΙΠΟΠΟΥΛΟ</t>
  </si>
  <si>
    <t>ΔΑΛΑΜΗΤΡΟΥ</t>
  </si>
  <si>
    <t>ΔΑΜΙΑΝΙΔΟΥ</t>
  </si>
  <si>
    <t>ΣΤΥΛΙΑΝH</t>
  </si>
  <si>
    <t>ΔΑΣΚΑΛΟΠΟΥΛΟΣ</t>
  </si>
  <si>
    <t>daskalop@yahoo.gr</t>
  </si>
  <si>
    <t>ΔΕΛΗΒΕΛΙΩΤΗ</t>
  </si>
  <si>
    <t>delkaterina2@gmail.com</t>
  </si>
  <si>
    <t>ΔΕΛΗΓΙΑΝΝΗΣ</t>
  </si>
  <si>
    <t>ΔΗΜΟΤΙΚΟ ΣΧΟΛΕΙΟ ΜΕΛΑΜΠΩΝ</t>
  </si>
  <si>
    <t>dimmelamp@sch.gr</t>
  </si>
  <si>
    <t>ΜΕΛΑΜΠΩΝ</t>
  </si>
  <si>
    <t>ΔΕΛΗΓΙΩΡΓΗ</t>
  </si>
  <si>
    <t>stdelig@sch.gr</t>
  </si>
  <si>
    <t>ΔΕΡΕΔΑΚΗΣ</t>
  </si>
  <si>
    <t>ΣΤΥΛΙΑNH</t>
  </si>
  <si>
    <t>ΔΕΡΕΣ</t>
  </si>
  <si>
    <t>ΔΕΡΜΕΝΤΖΗ</t>
  </si>
  <si>
    <t>ΔΕΤΣΗ</t>
  </si>
  <si>
    <t>ΧΑΡΟΥΛΑ-ΑΝΑΣΤΑΣΙΑ</t>
  </si>
  <si>
    <t>2/ΘΕΣΙΟ ΝΗΠΙΑΓΩΓΕΙΟ ΓΕΡΑΝΙΟΥ</t>
  </si>
  <si>
    <t>mail@nip-geran.reth.sch.gr</t>
  </si>
  <si>
    <t>ΝΙΚΟΣ</t>
  </si>
  <si>
    <t>bokonamete@yahoo.gr</t>
  </si>
  <si>
    <t>aggelakos2004@gmail.com</t>
  </si>
  <si>
    <t>ΔΙΑΓΟΥΜΑΣ</t>
  </si>
  <si>
    <t>ΔΗΜΟΤΙΚΟ ΣΧΟΛΕΙΟ ΑΓΙΟΥ ΜΑΜΑΝΤΑ</t>
  </si>
  <si>
    <t>mail@dim-ag-mamant.reth.sch.gr</t>
  </si>
  <si>
    <t>ΑΓΙΟΥ ΜΑΜΑΝΤΟΣ</t>
  </si>
  <si>
    <t>Panos_diamond@hotmail.com</t>
  </si>
  <si>
    <t>ΔΙΜΤΣΑ</t>
  </si>
  <si>
    <t>ΔΙΟΝΥΣΟΠΟΥΛΟΥ</t>
  </si>
  <si>
    <t>ΔΙΧΑΛΑ</t>
  </si>
  <si>
    <t>ΔΟΛΙΑΝΙΤΟΥ</t>
  </si>
  <si>
    <t>ΔΟΣΟΥΛΑ</t>
  </si>
  <si>
    <t>ΔΗΜΟΤΙΚΟ ΣΧΟΛΕΙΟ ΚΑΛΥΒΟΥ</t>
  </si>
  <si>
    <t>mail@dim-kalyv.reth.sch.gr</t>
  </si>
  <si>
    <t>ΚΑΛΥΒΟΥ</t>
  </si>
  <si>
    <t>ΔΟΥΒΛΕΚΑ</t>
  </si>
  <si>
    <t>fotdo@otenet.gr</t>
  </si>
  <si>
    <t>ΔΟΥΚΕΡΗ</t>
  </si>
  <si>
    <t>deppydou@gmail.com</t>
  </si>
  <si>
    <t>ΔΟΥΣΟΣ</t>
  </si>
  <si>
    <t xml:space="preserve">ΔΡΑΓΑΤΗ </t>
  </si>
  <si>
    <t>dragatipa@yahoo.gr</t>
  </si>
  <si>
    <t>drakaki_xanthi@yahoo.gr</t>
  </si>
  <si>
    <t>ΔΡΑΚΑΝΤΩΝΑΚΗ</t>
  </si>
  <si>
    <t>ΔΡΟΣΑΚΗΣ</t>
  </si>
  <si>
    <t>ΔΡΟΣΟΥΝΗΣ</t>
  </si>
  <si>
    <t>ΒΕΣΝΑ</t>
  </si>
  <si>
    <t>ΟΛΟΗΜΕΡΟ ΔΗΜΟΤΙΚΟ ΣΧΟΛΕΙΟ ΠΛΑΤΑΝΟΥ - ΤΡΙΘΕΣΙΟ ΔΗΜΟΤΙΚΟ ΣΧΟΛΕΙΟ ΠΛΑΤΑΝΟΥ</t>
  </si>
  <si>
    <t>mail@dim-platan.reth.sch.gr</t>
  </si>
  <si>
    <t>ΠΛΑΤΑΝΟΥ</t>
  </si>
  <si>
    <t>ΕΙΚΟΣΠΕΝΤΑΚΗ</t>
  </si>
  <si>
    <t>ΝΗΠΙΑΓΩΓΕΙΟ ΜΙΣΙΡΙΩΝ - ΤΡΙΘΕΣΙΟ ΝΗΠΙΑΓΩΓΕΙΟ ΜΙΣΙΡΙΩΝ</t>
  </si>
  <si>
    <t>mail@nip-misir.reth.sch.gr</t>
  </si>
  <si>
    <t>cyndi.emma@gmail.com</t>
  </si>
  <si>
    <t>ΕΡΜΗ</t>
  </si>
  <si>
    <t>evaermi@gmail.com</t>
  </si>
  <si>
    <t>ΕΥΑΓΓΕΛΙΔΟΥ</t>
  </si>
  <si>
    <t>ΖΑΗ</t>
  </si>
  <si>
    <t>ΛΑΜΠΡΙΑΝΗ</t>
  </si>
  <si>
    <t>ΖΑΡΚΑΔΗ</t>
  </si>
  <si>
    <t>217/Γ</t>
  </si>
  <si>
    <t>adamandia_zafiropoulou@yahoo.com</t>
  </si>
  <si>
    <t>ΝΗΠΙΑΓΩΓΕΙΟ ΣΚΕΠΑΣΤΗΣ - ΜΟΝΟΘΕΣΙΟ ΚΛΑΣΙΚΟ ΝΗΠΙΑΓΩΓΕΙΟ ΣΚΕΠΑΣΤΗΣ</t>
  </si>
  <si>
    <t>mail@nip-skepas.reth.sch.gr</t>
  </si>
  <si>
    <t>vasozachar@yahoo.gr</t>
  </si>
  <si>
    <t>zervou@windowslive.com</t>
  </si>
  <si>
    <t>ΖΕΣΤΑ</t>
  </si>
  <si>
    <t>christianazes@hotmail.com</t>
  </si>
  <si>
    <t>ΑΓΓΕΛΙΚH</t>
  </si>
  <si>
    <t>ziogav@hol.gr</t>
  </si>
  <si>
    <t>ΖΟΥΜΠΟΥΛΑΚΗ</t>
  </si>
  <si>
    <t>georgiafel@hotmail.com</t>
  </si>
  <si>
    <t>ΖΟΥΜΠΟΥΡΛΗ</t>
  </si>
  <si>
    <t>zpolixeni@yahoo.gr</t>
  </si>
  <si>
    <t>ΗΛΚΟΣ</t>
  </si>
  <si>
    <t>kostakis_26@hotmail.com</t>
  </si>
  <si>
    <t>772/τ.Γ' /23-08-2010</t>
  </si>
  <si>
    <t>ΜΠΕΛΛΑ</t>
  </si>
  <si>
    <t>ΙΩΑΚΕΙΜΙΔΗΣ</t>
  </si>
  <si>
    <t>pioakimidis@edc.uoc.gr</t>
  </si>
  <si>
    <t>ΚΑΒΛΕΝΤΑΚΗ</t>
  </si>
  <si>
    <t>chriska@gmail.com</t>
  </si>
  <si>
    <t>ΚΑΒΟΥΝΗΣ</t>
  </si>
  <si>
    <t>ckavounis@sch.gr</t>
  </si>
  <si>
    <t>ΚΑΖΙΑΛΕΣ</t>
  </si>
  <si>
    <t>2/ΘΕΣΙΟ ΝΗΠΙΑΓΩΓΕΙΟ ΠΡΙΝΕ</t>
  </si>
  <si>
    <t>mail@nip-prine.reth.sch.gr</t>
  </si>
  <si>
    <t>ΑΝΤΩΝΙΑ ΕΥΑΓΓΕΛΙΑ</t>
  </si>
  <si>
    <t>4ο ΝΗΠΙΑΓΩΓΕΙΟ ΡΕΘΥΜΝΟΥ - ΤΕΤΑΡΤΟ  ΝΗΠΙΑΓΩΓΕΙΟ ΡΕΘΥΜΝΟΥ</t>
  </si>
  <si>
    <t>mail@4nip-rethymn.reth.sch.gr</t>
  </si>
  <si>
    <t>ΣΤΕΡΓΙΑΝΝΗ</t>
  </si>
  <si>
    <t>mariakalaitzi2@gmail.com</t>
  </si>
  <si>
    <t>ΙΦΙΓΕ</t>
  </si>
  <si>
    <t>yanna.kali@hotmail.com</t>
  </si>
  <si>
    <t>ΘΕΟΦΙΛΗ ΣΠΥΡ</t>
  </si>
  <si>
    <t>ΚΑΛΗΣΩΡΑ</t>
  </si>
  <si>
    <t>ΔΗΜΟΤΙΚΟ ΣΧΟΛΕΙΟ ΑΛΦΑ - ΔΙΘΕΣΙΟ ΔΗΜΟΤΙΚΟ ΣΧΟΛΕΙΟ ΑΛΦΑΣ</t>
  </si>
  <si>
    <t>mail@dim-alfas.reth.sch.gr</t>
  </si>
  <si>
    <t>evoukii@yahoo.gr</t>
  </si>
  <si>
    <t>ΚΑΛΛΙΓΙΑΝΝΗ</t>
  </si>
  <si>
    <t>ΚΑΛΛΙΓΙΑΝΝΗΣ</t>
  </si>
  <si>
    <t>ΚΑΛΛΙΤΣΑΡΗΣ</t>
  </si>
  <si>
    <t>giorgiskalogerakis@gmail.com</t>
  </si>
  <si>
    <t>ΚΑΛΥΒΙΑΝΑΚΗ</t>
  </si>
  <si>
    <t>ΚΑΜΤΣΗ</t>
  </si>
  <si>
    <t>dkanakaki@gmail.com</t>
  </si>
  <si>
    <t>ΔΙΘΕΣΙΟ ΝΗΠΙΑΓΩΓΕΙΟ ΣΤΑΥΡΩΜΕΝΟΥ</t>
  </si>
  <si>
    <t>mail@nip-stavr.reth.sch.gr</t>
  </si>
  <si>
    <t>ΝΗΠΙΑΓΩΓΕΙΟ ΝΗΠΙΑΓΩΓΕΙΟ ΑΓΙΟΥ ΝΙΚΟΛΑΟΥ - ΟΛΟΗΜΕΡΟ ΔΙΘΕΣΙΟ ΝΗΠΙΑΓΩΓΕΙΟ ΑΓΙΟΥ ΝΙΚΟΛΑΟΥ</t>
  </si>
  <si>
    <t>mail@nip-ag-nikol.reth.sch.gr</t>
  </si>
  <si>
    <t>ΚΑΠΕΛΛΟΥ</t>
  </si>
  <si>
    <t>ΚΑΠΕΛΩΝΗΣ</t>
  </si>
  <si>
    <t>ΚΑΠΛΑΝΗ</t>
  </si>
  <si>
    <t>ΚΑΠΠΑ</t>
  </si>
  <si>
    <t>gkaragoynis@gmail.com</t>
  </si>
  <si>
    <t>ΚΑΡΑΘΥΜΙΟΥ</t>
  </si>
  <si>
    <t>ΚΑΡΑΛΑΚΗ</t>
  </si>
  <si>
    <t>ΟΛΟΗΜΕΡΟ ΝΗΠΙΑΓΩΓΕΙΟ ΓΩΝΙΑ - ΔΙΘΕΣΙΟ ΟΛΟΗΜΕΡΟ ΝΗΠΙΑΓΩΓΕΙΟ ΓΩΝΙΑΣ</t>
  </si>
  <si>
    <t>mail@nip-gonias.reth.sch.gr</t>
  </si>
  <si>
    <t>ΚΑΡΑΜΟΥΖΗ</t>
  </si>
  <si>
    <t>ΑΝΝΑ-ΣΤΥΛΙΑΝΗ</t>
  </si>
  <si>
    <t>ΚΟΣΜΟΥΛΑ-ΕΛΕΝΗ</t>
  </si>
  <si>
    <t>ΚΑΡΑΜΟΥΣΛΗΣ</t>
  </si>
  <si>
    <t>ΡΟΖΑ</t>
  </si>
  <si>
    <t>ΚΑΡΑΜΠΑΓΙΑ</t>
  </si>
  <si>
    <t>elenik27@hotmail.com</t>
  </si>
  <si>
    <t>ΚΑΡΑΜΠΑΛΗΣ</t>
  </si>
  <si>
    <t>ΒΑΧΑΡ</t>
  </si>
  <si>
    <t>ΚΑΡΑΜΠΙΝΑΣ</t>
  </si>
  <si>
    <t>ΦΡΕΙΔ</t>
  </si>
  <si>
    <t>ΚΑΡΑΝΤΑΘΑΣ</t>
  </si>
  <si>
    <t>ΚΑΡΒΟΥΝΗΣ</t>
  </si>
  <si>
    <t>ΚΑΡΙΝΟΥ</t>
  </si>
  <si>
    <t>ΚΑΡΙΝΤΖΑΪΔΗΣ</t>
  </si>
  <si>
    <t>ΚΑΡΚΑΒΑΤΣΟΣ</t>
  </si>
  <si>
    <t>turufanto@yahoo.gr</t>
  </si>
  <si>
    <t>ΚΑΡΟΛΙΔΟΥ</t>
  </si>
  <si>
    <t>ΚΑΡΟΥΜΠΑ</t>
  </si>
  <si>
    <t>ΚΑΡΡΑ</t>
  </si>
  <si>
    <t>ΚΑΡΡΑΣ</t>
  </si>
  <si>
    <t>ΑΛEΞΑΝΔΡΑ</t>
  </si>
  <si>
    <t>ekarras@hotmail.gr</t>
  </si>
  <si>
    <t>ΚΑΡΥΔΑΣ</t>
  </si>
  <si>
    <t>karitanos@hotmail.com</t>
  </si>
  <si>
    <t>ΚΑΡΥΠΗ</t>
  </si>
  <si>
    <t>ΚΑΣΑΜΠΑΛΗ</t>
  </si>
  <si>
    <t>kasabkat@gmail.com</t>
  </si>
  <si>
    <t>ΚΑΣΑΠΙΔΗ</t>
  </si>
  <si>
    <t>ΟΛΥΜΠΙΑ ΙΟΥΛ</t>
  </si>
  <si>
    <t>ΚΑΣΙΑΡΑΣ</t>
  </si>
  <si>
    <t>ΑΘΑΝΑΣΙΟΣ-ΣΤΥΛΙΑΝΟΣ</t>
  </si>
  <si>
    <t>ΚΑΣΠΙΡΗ</t>
  </si>
  <si>
    <t>ΚΑΤΡΙΤΖΙΔΑΚΗ</t>
  </si>
  <si>
    <t>ΚΑΤΣΑΒΙΔΑΚΙ</t>
  </si>
  <si>
    <t>gwgw_kat@yahoo.gr</t>
  </si>
  <si>
    <t>ΝΗΠΙΑΓΩΓΕΙΟ ΑΠΟΣΤΟΛΟΙ ΑΜΑΡΙΟΥ - ΜΟΝΟΘΕΣΙΟ ΟΛΟΗΜΕΡΟ ΝΗΠΙΑΓΩΓΕΙΟ ΑΠΟΣΤΟΛΩΝ</t>
  </si>
  <si>
    <t>mail@nip-apost.reth.sch.gr</t>
  </si>
  <si>
    <t>ΚΑΤΣΑΡΗΣ</t>
  </si>
  <si>
    <t>ΚΑΤΣΙΟΣ</t>
  </si>
  <si>
    <t>ΚΑΤΣΙΦΑΡΑΚΗ</t>
  </si>
  <si>
    <t>katsoprinak@gmail.com</t>
  </si>
  <si>
    <t>ΧΑΡΙΛ</t>
  </si>
  <si>
    <t>ΚΑΤΣΟΥΛΑΣ</t>
  </si>
  <si>
    <t>dimitra_karn@yahoo.gr</t>
  </si>
  <si>
    <t>ΟΛΟΗΜΕΡΟ ΝΗΠΙΑΓΩΓΕΙΟ ΚΥΡΙΑΝΝΑΣ - ΜΟΝΟΘΕΣΙΟ ΝΗΠΙΑΓΩΓΕΙΟ ΚΥΡΙΑΝΝΑΣ</t>
  </si>
  <si>
    <t>mail@nip-kyriann.reth.sch.gr</t>
  </si>
  <si>
    <t>ΚΥΡΙΑΝΝΑΣ</t>
  </si>
  <si>
    <t>ΚΑΥΚΑΛΑΣ</t>
  </si>
  <si>
    <t>kafkalaspanagiotis@gmail.com</t>
  </si>
  <si>
    <t>ΥΠΑΤΙΑ</t>
  </si>
  <si>
    <t>mark.alex@hotmail.gr</t>
  </si>
  <si>
    <t>ΚΕΛΕΣΙΔΟΥ</t>
  </si>
  <si>
    <t>kelesidoup@gmail.com</t>
  </si>
  <si>
    <t>ΚΕΡΙΜΑΚΗΣ</t>
  </si>
  <si>
    <t>ΚΙΟΣΣΕΣ</t>
  </si>
  <si>
    <t>ΚΛΑΠΑΚΗ</t>
  </si>
  <si>
    <t>klapaki2009@hotmail.com</t>
  </si>
  <si>
    <t>ΚΛΗΜΟΥ</t>
  </si>
  <si>
    <t>ΟΛΟΗΜΕΡΟ ΝΗΠΙΑΓΩΓΕΙΟ ΜΑΡΟΥΛΑ - ΜΟΝΟΘΕΣΙΟ ΟΛΟΗΜΕΡΟ ΝΗΠΙΑΓΩΓΕΙΟ ΜΑΡΟΥΛΑ</t>
  </si>
  <si>
    <t>mail@nip-maroul.reth.sch.gr</t>
  </si>
  <si>
    <t>ΜΑΡΟΥΛΑ</t>
  </si>
  <si>
    <t>ΚΛΩΤΣΑ</t>
  </si>
  <si>
    <t>gklotsa@yahoo.gr</t>
  </si>
  <si>
    <t>ΚΟΓΚΑ</t>
  </si>
  <si>
    <t>katko@yahoo.gr</t>
  </si>
  <si>
    <t>ΚΟΪΝΑΚΗΣ</t>
  </si>
  <si>
    <t>ΚΟΚΚΑΛΟΥ</t>
  </si>
  <si>
    <t>ΚΟΚΚΙΝΟΠΛΙΤΟΥ</t>
  </si>
  <si>
    <t>ΚΟΚΜΟΤΟΥ</t>
  </si>
  <si>
    <t>ΚΟΚΟΝΑ</t>
  </si>
  <si>
    <t>ΚΟΝΑΚΗ</t>
  </si>
  <si>
    <t>ΚΟΝΣΟΛΕΝΑ</t>
  </si>
  <si>
    <t>aspanoudakis1@gmail.com</t>
  </si>
  <si>
    <t>ΔΗΜΟΤΙΚΟ ΣΧΟΛΕΙΟ ΑΒΔΕΛΛΑ</t>
  </si>
  <si>
    <t>mail@dim-avdell.reth.sch.gr</t>
  </si>
  <si>
    <t>ΚΟΝΤΟΓΛΟΥ</t>
  </si>
  <si>
    <t>argykont@yahoo.gr</t>
  </si>
  <si>
    <t>ΚΟΡΟΣΙΔΟΥ</t>
  </si>
  <si>
    <t>koro_elen@hotmail.com</t>
  </si>
  <si>
    <t>ΔΗΜΟΤΙΚΟ ΣΧΟΛΕΙΟ ΡΟΥΣΣΟΣΠΙΤΙΟΥ - ΠΕΝΤΑΘΕΣΙΟ ΟΛΟΗΜΕΡΟ ΔΗΜΟΤΙΚΟ ΣΧΟΛΕΙΟ ΡΟΥΣΣΟΣΠΙΤΙΟΥ</t>
  </si>
  <si>
    <t>mail@dim-rouss.reth.sch.gr</t>
  </si>
  <si>
    <t>ΚΟΣΥΒΑ</t>
  </si>
  <si>
    <t>avysok@gmail.com</t>
  </si>
  <si>
    <t>ΚΟΤΖΑΚΗ</t>
  </si>
  <si>
    <t>aggalini@yahoo.gr</t>
  </si>
  <si>
    <t>ΚΟΤΡΩΝΗΣ</t>
  </si>
  <si>
    <t>dkotronis@gmail.com</t>
  </si>
  <si>
    <t>kouvm@hotmail.com</t>
  </si>
  <si>
    <t>ΚΟΥΙΜΤΖΟΓΛΟΥ</t>
  </si>
  <si>
    <t>ΕΥΑΓΓΕΛΟΣ ΑΚΗΣ</t>
  </si>
  <si>
    <t>akiskoyi@gmail.com</t>
  </si>
  <si>
    <t>ΝΗΠΙΑΓΩΓΕΙΟ ΑΡΓΥΡΟΥΠΟΛΗΣ</t>
  </si>
  <si>
    <t>mail@nip-argyr.reth.sch.gr</t>
  </si>
  <si>
    <t>ΚΟΥΛΙΤΣΑ</t>
  </si>
  <si>
    <t>ΚΟΥΜΑΝΤΑΝΟΥ</t>
  </si>
  <si>
    <t>skroulita@gmail.com</t>
  </si>
  <si>
    <t>ΚΟΥΜΕΝΤΑΚΗ</t>
  </si>
  <si>
    <t>lada1982ster@gmail.com</t>
  </si>
  <si>
    <t>ΚΟΥΡΓΙΑΝΤΑΚΗ</t>
  </si>
  <si>
    <t>ΚΟΥΡΓΙΑΝΤΑΚΗΣ</t>
  </si>
  <si>
    <t>ΟΛΟΗΜΕΡΟ ΔΗΜΟΤΙΚΟ ΣΧΟΛΕΙΟ ΣΙΣΕΣ - ΤΡΙΘΕΣΙΟ ΟΛΟΗΜΕΡΟ ΔΗΜΟΤΙΚΟ ΣΧΟΛΕΙΟ ΣΙΣΩΝ</t>
  </si>
  <si>
    <t>mail@dim-sison.reth.sch.gr</t>
  </si>
  <si>
    <t>ΚΟΥΡΕΝΤΖΗ</t>
  </si>
  <si>
    <t>pkourentzi76@gmail.com</t>
  </si>
  <si>
    <t>ΚΟΥΡΚΟΥΡΑΪΔΟΥ</t>
  </si>
  <si>
    <t>ΕΛΕΥΘΕΡΙΑ-ΔΕΣΠΟΙΝΑ</t>
  </si>
  <si>
    <t>ΚΟΥΡΟΥΣΗΣ</t>
  </si>
  <si>
    <t>ΚΟΥΡΠΕΤΗΣ</t>
  </si>
  <si>
    <t>ΟΛΥΜΠΙΑΔΑ</t>
  </si>
  <si>
    <t>ΚΟΥΡΤΕΣΗΣ</t>
  </si>
  <si>
    <t>kwkourt23@gmail.com</t>
  </si>
  <si>
    <t>koutantosdimitri@hotmail.com</t>
  </si>
  <si>
    <t>ikoutantos@sch.gr</t>
  </si>
  <si>
    <t>ΚΟΥΤΑΝΤΟΥ</t>
  </si>
  <si>
    <t>chrysoula.koutantou@hotmail.com</t>
  </si>
  <si>
    <t>ΚΟΥΤΕΛΙΔΑΚΗ</t>
  </si>
  <si>
    <t>ΔΗΜΟΚΡΑΤΙΑ-ΝΕΚΤΑΡΙΑ</t>
  </si>
  <si>
    <t>damoulina@yahoo.gr</t>
  </si>
  <si>
    <t>ΚΟΥΤΣΟΥΡΟΥΜΠΗ</t>
  </si>
  <si>
    <t>ΓΑΡΥΦΑΛΙΑ ΧΡΙΣΤΙΝΑ</t>
  </si>
  <si>
    <t>ioannak.80@gmail.com</t>
  </si>
  <si>
    <t>ΚΟΥΦΟΥΓΕΩΡΓΙΟΥ</t>
  </si>
  <si>
    <t>ΚΡΙΒΕΝΤΣΗ</t>
  </si>
  <si>
    <t>ΚΡΟΜΜΥΔΑ</t>
  </si>
  <si>
    <t>lilykrommida@yahoo.gr</t>
  </si>
  <si>
    <t>1ο ΕΙΔΙΚΟ ΝΗΠΙΑΓΩΓΕΙΟ ΡΕΘΥΜΝΟ - ΕΙΔΙΚΟ ΝΗΠΙΑΓΩΓΕΙΟ ΡΕΘΥΜΝΟΥ</t>
  </si>
  <si>
    <t>mail@nip-eid-rethymn.reth.sch.gr</t>
  </si>
  <si>
    <t>anktistakis@gmail.com</t>
  </si>
  <si>
    <t>kydon63@yahoo.com</t>
  </si>
  <si>
    <t>ΚΥΝΗΓΑΚΗΣ</t>
  </si>
  <si>
    <t>ΚΥΠΑΡΙΣΣΗΣ</t>
  </si>
  <si>
    <t>ΚΥΠΡΑΙΟΣ</t>
  </si>
  <si>
    <t>ΝΙΚΟΛΑΟΣ-ΘΕΟΦΑΝΗΣ</t>
  </si>
  <si>
    <t>ΚΥΡΙΑΚΟΓΙΑΝΝΑΚΗ</t>
  </si>
  <si>
    <t>mariakyriakogiannaki@gmail.com</t>
  </si>
  <si>
    <t>ΚΥΡΙΑΚΟΠΟΥΛΟΣ</t>
  </si>
  <si>
    <t>ΜΑΝΘΟΣ</t>
  </si>
  <si>
    <t>ΚΥΡΙΤΣΗΣ</t>
  </si>
  <si>
    <t>ΚΥΤΡΟΥ</t>
  </si>
  <si>
    <t>ΑΜΕΡΙΣΣΑ</t>
  </si>
  <si>
    <t>leonkonsta@hotmail.com</t>
  </si>
  <si>
    <t>ΟΛΟΗΜΕΡΟ ΔΗΜΟΤΙΚΟ ΣΧΟΛΕΙΟ ΜΠΑΛΙ - ΤΕΤΡΑΘΕΣΙΟ ΟΛΟΗΜΕΡΟ ΔΗΜΟΤΙΚΟ ΣΧΟΛΕΙΟ ΜΠΑΛΙΟΥ</t>
  </si>
  <si>
    <t>mail@dim-baliou.reth.sch.gr</t>
  </si>
  <si>
    <t>ΜΕΛΙΔΟΝΙΟΥ</t>
  </si>
  <si>
    <t>ΚΩΣΤΑΚΑΚΗ</t>
  </si>
  <si>
    <t>litsakostaki@hotmail.com</t>
  </si>
  <si>
    <t>ΚΥΡΙΛΛΟΣ</t>
  </si>
  <si>
    <t>ΜΟΝΟΘΕΣΙΟ ΟΛΟΗΜΕΡΟ ΝΗΠΙΑΓΩΓΕΙΟ ΑΓΙΑΣ ΓΑΛΗΝΗΣ</t>
  </si>
  <si>
    <t>mail@nip-ag-galin.reth.sch.gr</t>
  </si>
  <si>
    <t>ΚΩΦΟΥ</t>
  </si>
  <si>
    <t>ΛΑΒΒΑΣ</t>
  </si>
  <si>
    <t>lavosvag@hotmail.com</t>
  </si>
  <si>
    <t>ΛΑΓΟΣ</t>
  </si>
  <si>
    <t>lkostas@otenet.gr</t>
  </si>
  <si>
    <t>ΛΑΔΑΚΗ</t>
  </si>
  <si>
    <t>elenilad@gmail.com</t>
  </si>
  <si>
    <t>ΛΑΖΑΝΗ</t>
  </si>
  <si>
    <t>anastasiaLazani@gmail.com</t>
  </si>
  <si>
    <t>ΛΑΖΑΝΗΣ</t>
  </si>
  <si>
    <t>ΛΑΖΑΡΗ</t>
  </si>
  <si>
    <t>ΛΑΖΑΡΙΔΗΣ</t>
  </si>
  <si>
    <t>ΛΑΜΠΙΘΙΑΝΑΚΗ</t>
  </si>
  <si>
    <t>ΛΑΜΠΡΗΣ</t>
  </si>
  <si>
    <t>ΛΑΜΠΡΙΝΟΥ</t>
  </si>
  <si>
    <t>ΛΑΝΤΖΟΥΡΑΚΗ</t>
  </si>
  <si>
    <t>ΛΑΥΡΕΝΤΙΟΥ</t>
  </si>
  <si>
    <t>ΛΑΧΑΝΟΠΟΥΛΟΥ</t>
  </si>
  <si>
    <t>ΛΑΧΝΙΔΑΚΗΣ</t>
  </si>
  <si>
    <t>ΛΗΞΟΥΡΓΙΩΤΗΣ</t>
  </si>
  <si>
    <t>ΛΙΑΝΑΚΗ</t>
  </si>
  <si>
    <t>Filia83@hotmail.com</t>
  </si>
  <si>
    <t>ΛΙΑΣΣΑ</t>
  </si>
  <si>
    <t>ΓΕΩΡΓΙΑ-ΕΥΑΓΓΕΛΙΑ</t>
  </si>
  <si>
    <t>elliva@gmail.com</t>
  </si>
  <si>
    <t>ΛΙΟΥΜΠΙΝΟΥ</t>
  </si>
  <si>
    <t>alkmini_l@hotmail.com</t>
  </si>
  <si>
    <t>217 τ.Γ/ 1-9-2005</t>
  </si>
  <si>
    <t>ΔΥ</t>
  </si>
  <si>
    <t>ΛΥΓΙΑ</t>
  </si>
  <si>
    <t>ΑΝΝΑ-ΣΤΑΥΡΟΥ</t>
  </si>
  <si>
    <t>ΔΟΥΚΙΣΣΑ</t>
  </si>
  <si>
    <t>2/Θ ΔΗΜΟΤΙΚΟ ΣΧΟΛΕΙΟ ΡΟΥΜΕΛΗ</t>
  </si>
  <si>
    <t>mail@dim-roumel.reth.sch.gr</t>
  </si>
  <si>
    <t>ΡΟΥΜΕΛΗΣ</t>
  </si>
  <si>
    <t>ΛΥΣΙΟΒΑ</t>
  </si>
  <si>
    <t>ΛΥΣΙΤΣΚΑΣ</t>
  </si>
  <si>
    <t>ΛΥΤΡΙΒΗ</t>
  </si>
  <si>
    <t>ΛΩΛΟΥ</t>
  </si>
  <si>
    <t>ΜΑΓΓΙΤΑ</t>
  </si>
  <si>
    <t>ΜΑΓΚΟΓΛΟΥ</t>
  </si>
  <si>
    <t>ΜΑΚΡΥΠΟΔΗ</t>
  </si>
  <si>
    <t>ΜΑΜΑΛΗΣ</t>
  </si>
  <si>
    <t>steliosmamal1975@gmail.com</t>
  </si>
  <si>
    <t>ΜΑΝΔΑΛΗ</t>
  </si>
  <si>
    <t>vaggim@yahoo.com</t>
  </si>
  <si>
    <t>ΜΑΝΔΑΛΗΣ</t>
  </si>
  <si>
    <t>hayhashi@hotmail.com</t>
  </si>
  <si>
    <t>ΜΑΝΔΡΕΛΑΣ</t>
  </si>
  <si>
    <t>ΜΑΝΕΣΗΣ</t>
  </si>
  <si>
    <t>ΔΗΜΟΤΙΚΟ ΣΧΟΛΕΙΟ ΓΑΡΑΖΟΥ - ΔΙΘΕΣΙΟ ΔΗΜΟΤΙΚΟ ΣΧΟΛΕΙΟ ΓΑΡΑΖΟΥ</t>
  </si>
  <si>
    <t>mail@dim-garaz.reth.sch.gr</t>
  </si>
  <si>
    <t>ΜΑΝΙΟΥ</t>
  </si>
  <si>
    <t>ΙΦΙΓΕΝΕΝΕΙΑ</t>
  </si>
  <si>
    <t>ΔΙΘΕΣΙΟ ΝΗΠΙΑΓΩΓΕΙΟ ΠΛΑΤΑΝΙΑ</t>
  </si>
  <si>
    <t>mail@nip-platane.reth.sch.gr</t>
  </si>
  <si>
    <t>ΠΡΙΝΟΥ</t>
  </si>
  <si>
    <t>ΜΑΝΩΛΑ</t>
  </si>
  <si>
    <t>somanola@gmail.com</t>
  </si>
  <si>
    <t>cmanola@gmx.de</t>
  </si>
  <si>
    <t>maravelos@hotmail.com</t>
  </si>
  <si>
    <t>ΒΑΡΒΑΡΑ ΑΙΚΑΤΕΡΙΝΗ</t>
  </si>
  <si>
    <t>ΧΑΡΙΤΟΣ</t>
  </si>
  <si>
    <t>maria8077@gmail.com</t>
  </si>
  <si>
    <t>mmarin@sch.gr</t>
  </si>
  <si>
    <t>ΜΑΡΙΝΑΤΟΣ</t>
  </si>
  <si>
    <t>ΜΑΡΙΑ - ΒΑΛΕΝΤΙΝΑ</t>
  </si>
  <si>
    <t>maritinamarkaki@gmail.com</t>
  </si>
  <si>
    <t>d-markakis@hotmail.com</t>
  </si>
  <si>
    <t>markakis0@gmail.com</t>
  </si>
  <si>
    <t>ΜΑΣΚΑΣ</t>
  </si>
  <si>
    <t>maskaskr@hotmail.com</t>
  </si>
  <si>
    <t>ΜΑΤΘΑΙΟΥ</t>
  </si>
  <si>
    <t>6ο ΟΛΟΗΜΕΡΟ ΝΗΠΙΑΓΩΓΕΙΟ ΡΕΘΥΜΝΟΥ - ΕΚΤΟ ΔΙΘΕΣΙΟ ΟΛΟΗΜΕΡΟ ΝΗΠΙΑΓΩΓΕΙΟΥ ΡΕΘΥΜΝΟΥ</t>
  </si>
  <si>
    <t>mail@6nip-rethymn.reth.sch.gr</t>
  </si>
  <si>
    <t>demavraki@gmail.com</t>
  </si>
  <si>
    <t>ΜΕΡΑΧΤΣΑΚΗΣ</t>
  </si>
  <si>
    <t>tsakis44@sch.gr</t>
  </si>
  <si>
    <t>ΜΕΣΗΤΙΔΟΥ</t>
  </si>
  <si>
    <t>ΜΕΣΚΟΥ</t>
  </si>
  <si>
    <t>ΑΝΑΣΤΑΣΙΑ-ΣΤΕΛΛΑ</t>
  </si>
  <si>
    <t>natasa.meskou@gmail.com</t>
  </si>
  <si>
    <t>ΜΕΣΟΓΙΤΗ</t>
  </si>
  <si>
    <t>ΜΕΤΟΥ</t>
  </si>
  <si>
    <t>ΧΑΡΙΣ</t>
  </si>
  <si>
    <t>ΜΗΤΡΟΓΩΓΟΥ</t>
  </si>
  <si>
    <t>ritsa_mat@yahoo.gr</t>
  </si>
  <si>
    <t>dimisoulis@yahoo.gr</t>
  </si>
  <si>
    <t>emihelou@gmail.com</t>
  </si>
  <si>
    <t>eftihiami@gmail.com</t>
  </si>
  <si>
    <t>ΜΛΕΚΑΝΗΣ</t>
  </si>
  <si>
    <t>mle_kos@yahoo.com</t>
  </si>
  <si>
    <t>ΜΟΝΑΧΟΓΥΙΟΥ</t>
  </si>
  <si>
    <t>ΜΟΣΧΑΚΗΣ</t>
  </si>
  <si>
    <t>moschri@hotmail.com</t>
  </si>
  <si>
    <t>ΜΟΝΟΘΕΣΙΟ ΚΛΑΣΙΚΟ ΝΗΠΙΑΓΩΓΕΙΟ ΜΠΑΛΙΟΥ</t>
  </si>
  <si>
    <t>mail@nip-baliou.reth.sch.gr</t>
  </si>
  <si>
    <t>filmour66@gmail.com</t>
  </si>
  <si>
    <t>ΜΟΥΡΤΖΙΟΥ</t>
  </si>
  <si>
    <t>ΜΟΥΣΤΑΦΑ</t>
  </si>
  <si>
    <t>ΣΕΦΕΤΙΝ</t>
  </si>
  <si>
    <t>ΜΠΑΧΡΙΕ</t>
  </si>
  <si>
    <t>ΜΟΥΤΑΦΗ</t>
  </si>
  <si>
    <t>stella_mtf@yahoo.com</t>
  </si>
  <si>
    <t>xrisoulampa@gmail.com</t>
  </si>
  <si>
    <t>ΜΠΑΓΟΥΡΑΚΗ</t>
  </si>
  <si>
    <t>emmanbag@gmail.com</t>
  </si>
  <si>
    <t>ΜΠΑΘΑ</t>
  </si>
  <si>
    <t>ΟΛΟΗΜΕΡΟ ΝΗΠΙΑΓΩΓΕΙΟ ΑΔΕΛΕ - ΔΙΘΕΣΙΟ ΟΛΟΗΜΕΡΟ ΝΗΠ ΑΓΙΑΣ ΠΑΡΑΣΚΕΥΗΣ</t>
  </si>
  <si>
    <t>mail@nip-adele.reth.sch.gr</t>
  </si>
  <si>
    <t>ΜΠΑΚΑΗ</t>
  </si>
  <si>
    <t>ΘΕΟΔΩΡΑ-ΑΔΑΜ</t>
  </si>
  <si>
    <t>xarmador@gmail.com</t>
  </si>
  <si>
    <t>ΜΠΑΚΑΛΑΚΟΣ</t>
  </si>
  <si>
    <t>bakalakos@gmail.com</t>
  </si>
  <si>
    <t>ΜΠΑΚΑΤΣΗ</t>
  </si>
  <si>
    <t>ΜΠΑΛΑΔΑΚΗ</t>
  </si>
  <si>
    <t>1ο ΟΛΟΗΜΕΡΟ ΝΗΠΙΑΓΩΓΕΙΟ ΑΝΩΓΕΙΑ - ΠΡΩΤΟ ΟΛΟΗΜΕΡΟ ΝΗΠΙΑΓΩΓΩΓΕΙΟ ΑΝΩΓΕΙΩΝ</t>
  </si>
  <si>
    <t>mail@1nip-anogeion.reth.sch.gr</t>
  </si>
  <si>
    <t>ΜΠΑΛΑΝΤΙΝΟΥ</t>
  </si>
  <si>
    <t>ΜΠΑΛΑΣΙΔΗΣ</t>
  </si>
  <si>
    <t>225/9-09-2005</t>
  </si>
  <si>
    <t>ΜΠΑΛΗΜΠΙΩΤΗ</t>
  </si>
  <si>
    <t>elena_bal@hotmail.com</t>
  </si>
  <si>
    <t>ΜΠΑΜΠΑΤΖΙΑΝΗΣ</t>
  </si>
  <si>
    <t>ΜΠΑΝΤΡΑ</t>
  </si>
  <si>
    <t>ΜΠΑΝΤΣΗ</t>
  </si>
  <si>
    <t>ΜΠΑΡΟΥ</t>
  </si>
  <si>
    <t>ΜΠΑΣΤΑΚΗ</t>
  </si>
  <si>
    <t>ΜΠΑΤΣΗ</t>
  </si>
  <si>
    <t>batsidora@yahoo.com</t>
  </si>
  <si>
    <t>ΜΕΛΠΟΜΕ</t>
  </si>
  <si>
    <t>gbatsolaki@yahoo.gr</t>
  </si>
  <si>
    <t>ΜΠΕΖΑΤΗ</t>
  </si>
  <si>
    <t>ΒΕΡΓΕΝΙΑ</t>
  </si>
  <si>
    <t>bezatief@gmail.com</t>
  </si>
  <si>
    <t>ΜΠΕΚΗΡ</t>
  </si>
  <si>
    <t>ΤΖΑΝΑΝ</t>
  </si>
  <si>
    <t>ΕΡΤΖΕΝ</t>
  </si>
  <si>
    <t>ΝΕΥΤΣΙΜΑΝ</t>
  </si>
  <si>
    <t>ΜΠΕΜΠΗ</t>
  </si>
  <si>
    <t>19/11-10-2017</t>
  </si>
  <si>
    <t>ΜΠΕΜΠΗΣ</t>
  </si>
  <si>
    <t>mpempis1959@hotmail.com</t>
  </si>
  <si>
    <t>andreas.benakis@yahoo.gr</t>
  </si>
  <si>
    <t>ΜΠΕΡΒΑΝΑΚΗ</t>
  </si>
  <si>
    <t>ΕΙΡΗΝΗ-ΣΟΦΙΑ</t>
  </si>
  <si>
    <t>ΧΡΥΣΗ-ΠΑΡΑΣΚΕΥΗ</t>
  </si>
  <si>
    <t>ΜΠΙΜΠΙΣΙΔΗΣ</t>
  </si>
  <si>
    <t>ΜΠΙΤΣΑΚΟΣ</t>
  </si>
  <si>
    <t>ΜΠΙΤΣΑΚΟΥ</t>
  </si>
  <si>
    <t>ΜΠΛΕΤΣΟΥ</t>
  </si>
  <si>
    <t>xbletsaki@hotmail.com</t>
  </si>
  <si>
    <t>ΜΠΛΙΟΥΜΗΣ</t>
  </si>
  <si>
    <t>ΜΠΟΓΚΑΣ</t>
  </si>
  <si>
    <t>ΘΕΟΦΑ</t>
  </si>
  <si>
    <t>ΜΠΟΛΑΚΗΣ</t>
  </si>
  <si>
    <t>ΜΠΟΣΔΕΛΕΚΙΔΟΥ</t>
  </si>
  <si>
    <t>gioulibos@hotmail.com</t>
  </si>
  <si>
    <t>ΤΕΤΡΑΘΕΣΙΟ ΔΗΜΟΤΙΚΟ ΣΧΟΛΕΙΟ ΦΟΥΡΦΟΥΡΑ</t>
  </si>
  <si>
    <t>mail@dim-fourf.reth.sch.gr</t>
  </si>
  <si>
    <t>ΜΠΟΥΛΟΥΓΟΥΡΗ</t>
  </si>
  <si>
    <t>ΜΠΟΥΝΤΟΥΡΟΠΟΥΛΟΥ</t>
  </si>
  <si>
    <t>ΡΑΛΛΟΥ</t>
  </si>
  <si>
    <t>1ο ΟΛΟΗΜΕΡΟ ΝΗΠΙΑΓΩΓΕΙΟ ΑΤΣΙΠΟΠΟΥΛΟ - ΔΙΘΕΣΙΟ ΟΛΟΗΜΕΡΟ ΝΗΠΙΑΓΩΓΕΙΟ ΑΤΣΙΠΟΠΟΥΛΟΥ</t>
  </si>
  <si>
    <t>mail@nip-atsip.reth.sch.gr</t>
  </si>
  <si>
    <t>ΜΠΟΥΡΑΛΕΞΗΣ</t>
  </si>
  <si>
    <t>ΜΠΟΥΡΔΟΥΣΗ</t>
  </si>
  <si>
    <t>ΜΠΟΥΡΝΤΟΥΝΗ</t>
  </si>
  <si>
    <t>ΜΠΟΥΡΟΥΛΙΤΗ</t>
  </si>
  <si>
    <t>ΜΠΟΦΙΛΙΟΣ</t>
  </si>
  <si>
    <t>ΜΥΓΙΑΚΗΣ</t>
  </si>
  <si>
    <t>sskaltsa@gmail.com</t>
  </si>
  <si>
    <t>mariamilona@yahoo.gr</t>
  </si>
  <si>
    <t>ΜΥΡΘΙΑΝΟΣ</t>
  </si>
  <si>
    <t>ΜΩΡΑΪΤΙΔΗΣ</t>
  </si>
  <si>
    <t>ΝΑΣΙΚΑ</t>
  </si>
  <si>
    <t>ΝΕΤΣΙΚΑΣ</t>
  </si>
  <si>
    <t>ΝΗΣΑΝΑΚΗΣ</t>
  </si>
  <si>
    <t>ΝΙΑΝΙΟΥΡΗΣ</t>
  </si>
  <si>
    <t>anianiouris@gmail.com</t>
  </si>
  <si>
    <t>sofia.nikolidaki@students.newport.ac.uk</t>
  </si>
  <si>
    <t>ΝΙΚΟΛΙΔΑΚΗΣ</t>
  </si>
  <si>
    <t>evnikol@hotmail.com</t>
  </si>
  <si>
    <t>nikoloudakie@edc.uoc.gr</t>
  </si>
  <si>
    <t>ΝΗΠΙΑΓΩΓΕΙΟ ΦΟΥΡΦΟΥΡΑ</t>
  </si>
  <si>
    <t>mail@nip-fourf.reth.sch.gr</t>
  </si>
  <si>
    <t>zafeiran@gmail.com</t>
  </si>
  <si>
    <t>ΝΟΜΙΚΟΥ</t>
  </si>
  <si>
    <t>ΝΟΥΦΡΑΚΗ</t>
  </si>
  <si>
    <t>nnoufraki@yahoo.com</t>
  </si>
  <si>
    <t>ΝΤΑΚΑΚΗ</t>
  </si>
  <si>
    <t>ΜΑΡΚΟΣ-ΑΝΑΣΤΑΣΙΟΣ</t>
  </si>
  <si>
    <t>ΝΤΙΝΑΠΟΓΙΑ</t>
  </si>
  <si>
    <t>pdinapogia@gmail.com</t>
  </si>
  <si>
    <t>ΝΤΙΝΤΗ</t>
  </si>
  <si>
    <t>ΝΤΟΒΑ</t>
  </si>
  <si>
    <t>ΝΤΟΒΙΝΟΣ</t>
  </si>
  <si>
    <t>nikdov@otenet.gr</t>
  </si>
  <si>
    <t>ΞΕΝΙΤΟΠΟΥΛΟΣ</t>
  </si>
  <si>
    <t>ΜΑΡΓΑΡΙTA</t>
  </si>
  <si>
    <t>ΞΕΝΟΔΟΧΙΔΟΥ</t>
  </si>
  <si>
    <t>ΞΙΦΑΡΑ</t>
  </si>
  <si>
    <t>ΞΥΔΙΑ</t>
  </si>
  <si>
    <t>ΞΥΛΑ</t>
  </si>
  <si>
    <t>eirinixilouriskep@gmail.com</t>
  </si>
  <si>
    <t>Irinixylouri@hotmail.com</t>
  </si>
  <si>
    <t>ΜΟΝΟΘΕΣΙΟ ΝΗΠΙΑΓΩΓΕΙΟ ΦΡΑΝΤΖΕΣΚΙΑΝΩΝ ΜΕΤΟΧΙΩΝ</t>
  </si>
  <si>
    <t>mail@nip-metoch.reth.sch.gr</t>
  </si>
  <si>
    <t>ΦΡΑΝΤΖΕΣΚΙΑΝΩΝ ΜΕΤΟΧΙΩΝ</t>
  </si>
  <si>
    <t>ΟΜΑΛΙΑΝΑΚΗΣ</t>
  </si>
  <si>
    <t>omal_kostas@yahoo.gr</t>
  </si>
  <si>
    <t>ΟΡΦΑΝΙΔΟΥ</t>
  </si>
  <si>
    <t>ΟΡΦΑΝΟΣ</t>
  </si>
  <si>
    <t>orfanoudak@sch.gr</t>
  </si>
  <si>
    <t>ΟΡΦΑΝΟΥΔΑΚΗΣ</t>
  </si>
  <si>
    <t>sorfanoudakis@yahoo.gr</t>
  </si>
  <si>
    <t>ΜΑΡΙΑ-ΚΥΡΙΑΚΗ</t>
  </si>
  <si>
    <t>doremi_67@yahoo.gr</t>
  </si>
  <si>
    <t>ΠΑΖΑΡΛΗ</t>
  </si>
  <si>
    <t>ΣΙΜΟΝΗ</t>
  </si>
  <si>
    <t>ΠΑΛΙΕΡΑΚΗΣ</t>
  </si>
  <si>
    <t>elenipanagiotaki03@gmail.com</t>
  </si>
  <si>
    <t>ΠΑΝΑΓΙΩΤΙΔΗΣ</t>
  </si>
  <si>
    <t>panagiotidispan@gmail.com</t>
  </si>
  <si>
    <t>ΤΡΥΦΩ</t>
  </si>
  <si>
    <t>pandikaterina@gmail.com</t>
  </si>
  <si>
    <t>ΠΑΝΤΕΛΙΔΑΚΗ-ΜΑΝΤΑ</t>
  </si>
  <si>
    <t>ΠΑΝΤΕΛΙΔΑΚΗΣ</t>
  </si>
  <si>
    <t>ΠΑΝΤΕΛΙΔΗΣ</t>
  </si>
  <si>
    <t>ΘΕΟΝΙΚΗ</t>
  </si>
  <si>
    <t>christos.pan7@gmail.com</t>
  </si>
  <si>
    <t>ΔΙΘΕΣΙΟ ΝΗΠΙΑΓΩΓΕΙΟ ΕΠΙΣΚΟΠΗΣ</t>
  </si>
  <si>
    <t>mail@nip-episk.reth.sch.gr</t>
  </si>
  <si>
    <t>evpa71@gmail.com</t>
  </si>
  <si>
    <t>ΠΑΠΑΓΙΑΝΝΗ</t>
  </si>
  <si>
    <t>p.papagrigoriou@gmail.com</t>
  </si>
  <si>
    <t>elenipap1980@gmail.com</t>
  </si>
  <si>
    <t>marinadaki@gmail.gr</t>
  </si>
  <si>
    <t>manolispapadakis@hotmail.com</t>
  </si>
  <si>
    <t>gpap271080@gmail.com</t>
  </si>
  <si>
    <t>ΝΗΠΙΑΓΩΓΕΙΟ ΑΓΙΟΣ ΜΑΜΑΝΤΑΣ - ΜΟΝΟΘΕΣΙΟ ΚΛΑΣΙΚΟ ΝΗΠΙΑΓΩΓΕΙΟ ΑΓΙΟΥ ΜΑΜΑΝΤΑ</t>
  </si>
  <si>
    <t>mail@nip-ag-mamant.reth.sch.gr</t>
  </si>
  <si>
    <t>elinapapadok@gmail.com</t>
  </si>
  <si>
    <t>kostasp993@gmail.com</t>
  </si>
  <si>
    <t>chrysoulapa10@gmail.com</t>
  </si>
  <si>
    <t>ΔΑΝΑΪΣ</t>
  </si>
  <si>
    <t>ΠΑΠΑΕΜΜΑΝΟΥΗΛ</t>
  </si>
  <si>
    <t>ΠΑΠΑΚΩΣΤΑ</t>
  </si>
  <si>
    <t>alpapacost@sch.gr</t>
  </si>
  <si>
    <t>ΠΑΠΑΛΑΜΠΡΟΥ</t>
  </si>
  <si>
    <t>ΡΟΔΟΠΗ</t>
  </si>
  <si>
    <t>papalamm@gmail.com</t>
  </si>
  <si>
    <t>ΠΑΠΑΛΕΞΑΚΗ</t>
  </si>
  <si>
    <t>chrysov.papanikolaou@gmail.com</t>
  </si>
  <si>
    <t>ΠΑΠΑΠΕΤΡΟΥ</t>
  </si>
  <si>
    <t>ΠΑΠΑΡΣΕΝΗ</t>
  </si>
  <si>
    <t>ΠΑΠΑΤΖΑΝΗ</t>
  </si>
  <si>
    <t>ΟΛΟΗΜΕΡΟ ΝΗΠΙΑΓΩΓΕΙΟ ΖΩΝΙΑΝΩΝ - ΔΙΘΕΣΙΟ ΟΛΟΗΜΕΡΟ ΝΗΠΙΑΓΩΓΕΙΟ ΖΩΝΙΑΝΩΝ</t>
  </si>
  <si>
    <t>mail@nip-zonian.reth.sch.gr</t>
  </si>
  <si>
    <t>ΠΑΠΑΦΡΑΓΚΑΚΗ</t>
  </si>
  <si>
    <t>ΧΡΗΣΤΟΣΣΤΑΥΡΟΣ</t>
  </si>
  <si>
    <t>ΓΙΟΛΑΝΤΑ</t>
  </si>
  <si>
    <t>ΠΑΠΟΥΤΣΙΔΑΚΗ</t>
  </si>
  <si>
    <t>s.papoutsidak@gmail.com</t>
  </si>
  <si>
    <t>ΠΑΡΑΓΙΟΥΔΑΚΗ</t>
  </si>
  <si>
    <t>georparag@gmail.com</t>
  </si>
  <si>
    <t>ΧΡΟΝΗΣ</t>
  </si>
  <si>
    <t>2ο ΝΗΠΙΑΓΩΓΕΙΟ ΑΝΩΓΕΙΩΝ - ΔΕΥΤΕΡΟ ΜΟΝΟΘΕΣΙΟ ΝΗΠΙΑΓΩΓΕΙΟ ΑΝΩΓΕΙΩΝ</t>
  </si>
  <si>
    <t>mail@2nip-anogeion.reth.sch.gr</t>
  </si>
  <si>
    <t>ΠΑΣΤΟΥΡΜΑΤΖΗ</t>
  </si>
  <si>
    <t>ΠΑΣΧΟΣ</t>
  </si>
  <si>
    <t>pasxosmixalis@gmail.com</t>
  </si>
  <si>
    <t>ΠΑΤΑΤΑ</t>
  </si>
  <si>
    <t>lenakp@gmail.com</t>
  </si>
  <si>
    <t>d.pateras@web.de</t>
  </si>
  <si>
    <t>ΠΑΤΗΤΑΡΑΣ</t>
  </si>
  <si>
    <t>antonispati@gmail.com</t>
  </si>
  <si>
    <t>ΠΑΤΣΑΚΤΣΙΔΟΥ</t>
  </si>
  <si>
    <t>ΠΑΤΤΑΚΟΥ</t>
  </si>
  <si>
    <t>966/Γ/07-12-2009</t>
  </si>
  <si>
    <t>ΠΕΔΙΑΔΙΤΗΣ</t>
  </si>
  <si>
    <t>pediaditis67@gmail.com</t>
  </si>
  <si>
    <t>ΠΕΝΘΕΡΟΥΔΑΚΗ</t>
  </si>
  <si>
    <t>afroditi_ap@yahoo.gr</t>
  </si>
  <si>
    <t>ΠΕΝΤΟΒΟΥΛΟΥ</t>
  </si>
  <si>
    <t>ΠΕΡΔΙΚΑΡΗ</t>
  </si>
  <si>
    <t>ΠΕΡΙΣΤΕΡΙΔΗ</t>
  </si>
  <si>
    <t>ΠΕΡΠΙΡΑΚΗΣ</t>
  </si>
  <si>
    <t>nikosper@gmail.com</t>
  </si>
  <si>
    <t>ΠΕΤΙΔΟΥ</t>
  </si>
  <si>
    <t>ΠΟΥΛΧΕΡ</t>
  </si>
  <si>
    <t>ΜΟΝΟΘΕΣΙΟ ΚΛΑΣΙΚΟ ΝΗΠΙΑΓΩΓΕΙΟ ΚΑΛΥΒΟΥ</t>
  </si>
  <si>
    <t>mail@nip-kalyv.reth.sch.gr</t>
  </si>
  <si>
    <t>ΠΕΤΜΕΖΑ</t>
  </si>
  <si>
    <t>petrakakipagona@gmail.com</t>
  </si>
  <si>
    <t>kostpet@sch.gr</t>
  </si>
  <si>
    <t>ΠΕΤΣΟΥΛΑ</t>
  </si>
  <si>
    <t>petsoula-katerina@yahoo.gr</t>
  </si>
  <si>
    <t>ΠΗΛΙΝΑ</t>
  </si>
  <si>
    <t>ΣΑΛΩΜΗ</t>
  </si>
  <si>
    <t>ΓΙΑΝΝ</t>
  </si>
  <si>
    <t>ΠΙΚΑΣΗ</t>
  </si>
  <si>
    <t>ΠΙΠΙΛΗ</t>
  </si>
  <si>
    <t>ΠΙΤΤΑΡΑΣ</t>
  </si>
  <si>
    <t>empit10@yahoo.gr</t>
  </si>
  <si>
    <t>ΠΛΙΑΤΣΙΚΑ</t>
  </si>
  <si>
    <t>plits1990@gmail.com</t>
  </si>
  <si>
    <t>ΠΛΟΥΓΑΡΛΗ</t>
  </si>
  <si>
    <t>xristinaploumph@windowslive.com</t>
  </si>
  <si>
    <t>ΠΟΖΙΔΗΣ</t>
  </si>
  <si>
    <t>ΧΡΗΣΤΟΣ-ΠΑΝΑΓΙΩΤΗΣ</t>
  </si>
  <si>
    <t>ΠΕΡΣΕΦΟ</t>
  </si>
  <si>
    <t>stellapolaki@yahoo.gr</t>
  </si>
  <si>
    <t>ΠΟΛΑΚΗΣ</t>
  </si>
  <si>
    <t>ΘΕΟΧΑΡΗ-ΑΝΝΑ</t>
  </si>
  <si>
    <t>ΠΟΛΟΖΙΑΝΗ</t>
  </si>
  <si>
    <t>ΠΟΛΥΖΗ</t>
  </si>
  <si>
    <t>polizipan@gmail.com</t>
  </si>
  <si>
    <t>ΠΟΥΛΙΝΑΚΗ</t>
  </si>
  <si>
    <t>ΚΡΥΣΤΑΛΙΑ</t>
  </si>
  <si>
    <t>ΠΟΥΡΝΑΡΑΣ</t>
  </si>
  <si>
    <t>ΜΑΡΓΑΡΙΤ</t>
  </si>
  <si>
    <t>ΠΡΑΤΙΚΑΚΗ</t>
  </si>
  <si>
    <t>ΝΙΚΑΝΔΡΟΣ</t>
  </si>
  <si>
    <t>ΠΡΕΒΕΖΑΝΟΥ</t>
  </si>
  <si>
    <t>evaprinaraki@gmail.com</t>
  </si>
  <si>
    <t>ΠΡΟΔΡΟΜΟΥ</t>
  </si>
  <si>
    <t>ΝΗΠΙΑΓΩΓΕΙΟ ΡΟΥΜΕΛΗ - ΜΟΝΟΘΕΣΙΟ ΚΛΑΣΙΚΟ ΝΗΠΙΑΓΩΓΕΙΟ ΡΟΥΜΕΛΗ</t>
  </si>
  <si>
    <t>mail@nip-roumel.reth.sch.gr</t>
  </si>
  <si>
    <t>ΠΡΟΚΟΠΑΚΗ</t>
  </si>
  <si>
    <t>ΑΡΧΟΝΤΩ</t>
  </si>
  <si>
    <t>protogerae@gmail.com</t>
  </si>
  <si>
    <t>ΠΥΡΕΤΖΗ</t>
  </si>
  <si>
    <t>ΡΑΜΜΟΥ</t>
  </si>
  <si>
    <t>ΡΕΜΠΑΤΣΟΥΛΕΑ</t>
  </si>
  <si>
    <t>giannisrigakis@hotmail.gr</t>
  </si>
  <si>
    <t>ΡΟΒΑΣ</t>
  </si>
  <si>
    <t>ΡΟΥΠΑ</t>
  </si>
  <si>
    <t>dimitra_roupa@yahoo.gr</t>
  </si>
  <si>
    <t>ΡΟΥΣΣΑΚΗ</t>
  </si>
  <si>
    <t>772 τ. 'Γ</t>
  </si>
  <si>
    <t>ΡΥΘΙΑΝΟΥ</t>
  </si>
  <si>
    <t>ΣΑΒΒΑΝΟΥ</t>
  </si>
  <si>
    <t>savanoue@gmail.com</t>
  </si>
  <si>
    <t>ΣΑΛΑΓΑΡΑ</t>
  </si>
  <si>
    <t>ΜΑΡΚΕΛΛΑ</t>
  </si>
  <si>
    <t>sal_markella@yahoo.gr</t>
  </si>
  <si>
    <t>ΣΑΠΟΥΝΤΖΗ</t>
  </si>
  <si>
    <t>andasap@yahoo.gr</t>
  </si>
  <si>
    <t>ΣΑΡΑΝΤΙΝΟΥ</t>
  </si>
  <si>
    <t>ΣΑΡΓΚΣΙΑΝ</t>
  </si>
  <si>
    <t>ΑΡΜΑΝ-ΝΙΚΟΛΑΟΣ</t>
  </si>
  <si>
    <t>ΜΑΡΤΙΡΟΣ</t>
  </si>
  <si>
    <t>ΣΑΡΙΔΕΛΗ</t>
  </si>
  <si>
    <t>ΣΑΡΡΟΣ</t>
  </si>
  <si>
    <t>konsarr@yahoo.co.uk</t>
  </si>
  <si>
    <t>ΣΑΡΧΟΣΗ</t>
  </si>
  <si>
    <t>ΣΓΑΝΤΖΟΥ</t>
  </si>
  <si>
    <t>ΣΕΤΤΑΣ</t>
  </si>
  <si>
    <t>ΚΑΠΟΥΛΑ ΑΙΚΑΤΕΡΙΝΗ</t>
  </si>
  <si>
    <t>ΣΙΣΚΑΣ</t>
  </si>
  <si>
    <t>alfredojamesp@hotmail.com</t>
  </si>
  <si>
    <t>ΣΙΣΚΟΥ</t>
  </si>
  <si>
    <t>ΣΚΑΜΑΝΤΖΟΥΡΑ</t>
  </si>
  <si>
    <t>ΣΚΑΤΖΟΥΡΑΚΗ</t>
  </si>
  <si>
    <t>ΣΚΟΛΙΑ</t>
  </si>
  <si>
    <t>ΣΚΟΥΛΙΔΑ</t>
  </si>
  <si>
    <t>ΣΚΟΥΛΙΚΑΣ</t>
  </si>
  <si>
    <t>pskoul@yahoo.gr</t>
  </si>
  <si>
    <t>ΣΟΥΚΑ</t>
  </si>
  <si>
    <t>ΣΟΥΡΕΛΗ</t>
  </si>
  <si>
    <t>ΣΟΥΦΛΑ</t>
  </si>
  <si>
    <t>14ο ΝΗΠΙΑΓΩΓΕΙΟ ΡΕΘΥΜΝΟΥ - ΔΕΚΑΤΟ ΤΕΤΑΡΤΟ ΚΛΑΣΙΚΟ ΝΗΠΙΑΓΩΓΕΙΟ ΡΕΘΥΜΝΟΥ</t>
  </si>
  <si>
    <t>mail@14nip-rethymn.reth.sch.gr</t>
  </si>
  <si>
    <t>ΣΟΥΦΛΙΑ</t>
  </si>
  <si>
    <t>ΣΟΦΙΑΝΟΥ</t>
  </si>
  <si>
    <t>rena.00@windowslive.com</t>
  </si>
  <si>
    <t>ΣΠΑΘΑΡΑ</t>
  </si>
  <si>
    <t>valiaspath@gmail.com</t>
  </si>
  <si>
    <t>ΣΠΑΝΟΠΟΥΛΟΥ</t>
  </si>
  <si>
    <t>malamateniast123@gmail.com</t>
  </si>
  <si>
    <t>ΣΤΑΜΑΤΟΓΙΑΝΝΑΚΗ</t>
  </si>
  <si>
    <t>ΣΤΑΥΓΙΑΝΝΟΥΔΑΚΗ</t>
  </si>
  <si>
    <t>ΝΗΠΙΑΓΩΓΕΙΟ ΣΕΛΛΙΑ - ΜΟΝΟΘΕΣΙΟ ΟΛΟΗΜΕΡΟ ΝΗΠΙΑΓΩΓΕΙΟ ΣΕΛΛΙΩΝ</t>
  </si>
  <si>
    <t>mail@nip-sellion.reth.sch.gr</t>
  </si>
  <si>
    <t>ΣΕΛΛΙΩΝ</t>
  </si>
  <si>
    <t>ΝΗΠΙΑΓΩΓΕΙΟ ΜΑΡΓΑΡΙΤΩΝ - ΜΟΝΟΘΕΣΙΟ ΚΛΑΣΙΚΟ ΝΗΠΙΑΓΩΓΕΙΟ ΜΑΡΓΑΡΙΤΩΝ</t>
  </si>
  <si>
    <t>mail@nip-margar.reth.sch.gr</t>
  </si>
  <si>
    <t>ΣΤΑΥΡΙΔΑΚΗΣ</t>
  </si>
  <si>
    <t>anastasia_reth@yahoo.gr</t>
  </si>
  <si>
    <t>ΕΙΡΗΝΗ ΧΡΥΣΟ</t>
  </si>
  <si>
    <t>ΣΤΡΙΛΙΓΚΑ</t>
  </si>
  <si>
    <t>ΔΙΟΝΥΣΙ</t>
  </si>
  <si>
    <t>ΣΤΥΛΟΣ</t>
  </si>
  <si>
    <t>ΣΥΛΙΓΝΑΚΗ</t>
  </si>
  <si>
    <t>ΣΥΡΟΥ</t>
  </si>
  <si>
    <t>ΣΥΣΚΑΚΗ</t>
  </si>
  <si>
    <t>ΠΕΛΑΓΙΑ-ΜΑΡΙ</t>
  </si>
  <si>
    <t>ΣΩΠΑΣΟΥΔΑΚΗ</t>
  </si>
  <si>
    <t>ΣΩΤΗΡΟΠΟΥΛΟΥ</t>
  </si>
  <si>
    <t>ΤΑΒΟΥΡΟΓΛΟΥ</t>
  </si>
  <si>
    <t>ΤΑΓΚΑΣ</t>
  </si>
  <si>
    <t>ΤΑΚΟΥΡΙΔΟΥ</t>
  </si>
  <si>
    <t>ΤΑΜΑΝΑΜΗ</t>
  </si>
  <si>
    <t>ΠΑΡΑΣΚΕΥΗ-ΔΗΜΗΤΡΑ</t>
  </si>
  <si>
    <t>ΤΑΞΑΚΗ</t>
  </si>
  <si>
    <t>ΑΓΓΕΛΙΝΑ</t>
  </si>
  <si>
    <t>ΤΑΡΑΜΠΕΚΗ</t>
  </si>
  <si>
    <t>ΤΑΣΗ</t>
  </si>
  <si>
    <t>matatassi@yahoo.gr</t>
  </si>
  <si>
    <t>ΤΑΣΚΗΝΑΣ</t>
  </si>
  <si>
    <t>ΜΑΡΙΑ-ΜΠΕΛΕΝ</t>
  </si>
  <si>
    <t>ΤΑΣΟΥΛΗ</t>
  </si>
  <si>
    <t>avgitassouli@hotmail.com</t>
  </si>
  <si>
    <t>evatataraki@gmail.com</t>
  </si>
  <si>
    <t>ΤΑΤΣΙΔΟΥ</t>
  </si>
  <si>
    <t>ΤΕΡΕΖΑΚΗ</t>
  </si>
  <si>
    <t>ΤΕΦΤΙΚΗ</t>
  </si>
  <si>
    <t>772/τ.Γ</t>
  </si>
  <si>
    <t>ΤΖΑΝΑΚΑΚΗ</t>
  </si>
  <si>
    <t>ΤΖΑΝΙΔΟΥ</t>
  </si>
  <si>
    <t>fr.tzedaki@hotmail.gr</t>
  </si>
  <si>
    <t>ΤΖΕΛΑΣ</t>
  </si>
  <si>
    <t>pavlostzelas@windowslive.com</t>
  </si>
  <si>
    <t>ΤΖΗΜΑ</t>
  </si>
  <si>
    <t>ΤΖΙΑΜΠΑΖΗ</t>
  </si>
  <si>
    <t>thea_tziampazi@hotmail.com</t>
  </si>
  <si>
    <t>ΤΖΙΛΙΓΚΑΚΗ</t>
  </si>
  <si>
    <t>tziligd@gmail.com</t>
  </si>
  <si>
    <t>etzouanaki@gmail.com</t>
  </si>
  <si>
    <t>ΤΖΩΡΤΖΙΝΑΚΗ</t>
  </si>
  <si>
    <t>dleledakis@yahoo.gr</t>
  </si>
  <si>
    <t>ΕΜΜΑΝΟΥΗΛ-ΜΙΧΑΗΛ</t>
  </si>
  <si>
    <t>ΤΟΚΟΥΤΖΗ</t>
  </si>
  <si>
    <t>ΤΟΜΠΟΥΛΙΔΟΥ</t>
  </si>
  <si>
    <t>ΦΑΝΗ-ΣΟΦΙΑ</t>
  </si>
  <si>
    <t>ΙΓΚΑΜΠΡ</t>
  </si>
  <si>
    <t>topalidout@gmail.com</t>
  </si>
  <si>
    <t>ΤΟΥΠΑΔΑΚΗ</t>
  </si>
  <si>
    <t>ΤΡΑΙΤΟΡΑΚΗ</t>
  </si>
  <si>
    <t>ΤΡΙΠΟΔΙΑΝΑΚΗ</t>
  </si>
  <si>
    <t>ΙΩΑΝΝΑΚΛΕΙΩ</t>
  </si>
  <si>
    <t>ΤΡΙΠΟΛΙΤΑΚΗΣ</t>
  </si>
  <si>
    <t>ΤΡΟΥΛΗΣ</t>
  </si>
  <si>
    <t>ΤΡΟΥΛΛΙΝΟΣ</t>
  </si>
  <si>
    <t>aris2@sch.gr</t>
  </si>
  <si>
    <t>ΝΗΠΙΑΓΩΓΕΙΟ ΜΕΛΑΜΠΩΝ - ΜΟΝΟΘΕΣΙΟ ΚΛΑΣΙΚΟ ΝΗΠΙΑΓΩΓΕΙΟ ΜΕΛΑΜΠΩΝ</t>
  </si>
  <si>
    <t>mail@nip-melamp.reth.sch.gr</t>
  </si>
  <si>
    <t>ΕΤΕΑΡΧΟΣ</t>
  </si>
  <si>
    <t>troylg@otenet.gr</t>
  </si>
  <si>
    <t>ΤΡΥΦΕΡΙΔΟΥ</t>
  </si>
  <si>
    <t>tryferidoy@hotmail.com</t>
  </si>
  <si>
    <t>ΤΣΑΓΚΕΡΑ</t>
  </si>
  <si>
    <t>tsagliotismanolis@yahoo.gr</t>
  </si>
  <si>
    <t>ΤΣΑΛΠΑΡΑΣ</t>
  </si>
  <si>
    <t>st1974@Hotmail.com</t>
  </si>
  <si>
    <t>ΤΣΑΤΣΑΚΟΣ</t>
  </si>
  <si>
    <t>Tsastel7@gmail.com</t>
  </si>
  <si>
    <t>katsachaki15@gmail.com</t>
  </si>
  <si>
    <t>tsaxakim@gmail.com</t>
  </si>
  <si>
    <t>ΤΣΙΑΤΣΙΑ</t>
  </si>
  <si>
    <t>ΤΣΙΓΔΙΝΟΥ</t>
  </si>
  <si>
    <t>ΤΣΙΓΚΟΥΛΗΣ</t>
  </si>
  <si>
    <t>ΤΣΙΓΚΡΗΣ</t>
  </si>
  <si>
    <t>ΤΣΙΓΛΟΠΟΥΛΟΣ</t>
  </si>
  <si>
    <t>ΤΣΙΚΟΥΡΑΚΗ</t>
  </si>
  <si>
    <t>ΤΣΙΛΙΟΠΟΥΛΟΥ</t>
  </si>
  <si>
    <t>liodaki3@hotmail.com</t>
  </si>
  <si>
    <t>ΤΣΙΜΙΝΙΚΑΚΗ</t>
  </si>
  <si>
    <t>ΤΣΙΜΠΟΥΚΑ</t>
  </si>
  <si>
    <t>roulatsi@ymail.com</t>
  </si>
  <si>
    <t>ΤΣΙΟΥΡΑΝΤΑΝΗ</t>
  </si>
  <si>
    <t>ΤΣΙΡΙΠΙΔΗΣ</t>
  </si>
  <si>
    <t>ΤΣΙΤΛΙΚΑ</t>
  </si>
  <si>
    <t>ΤΑΡΑΣΙΔΟΥ</t>
  </si>
  <si>
    <t>ΤΣΙΤΣΕΛΗ</t>
  </si>
  <si>
    <t>ΘΡΑΣΥΒΟΥ</t>
  </si>
  <si>
    <t>ΤΣΙΦΟΥΤΗ</t>
  </si>
  <si>
    <t>sofiatsifouti@gmail.com</t>
  </si>
  <si>
    <t>ΤΣΙΦΟΥΤΟΥΔΗ</t>
  </si>
  <si>
    <t>ΤΣΟΜΠΑΝΙΔΟΥ</t>
  </si>
  <si>
    <t>ΤΣΟΥΔΕΡΟΣ</t>
  </si>
  <si>
    <t>ΤΣΟΥΚΑΛΑΣ</t>
  </si>
  <si>
    <t>vaggelistsoukalas@yahoo.gr</t>
  </si>
  <si>
    <t>ΤΣΟΥΚΝΑΚΗ</t>
  </si>
  <si>
    <t>ΤΣΟΥΝΤΑΝΗ</t>
  </si>
  <si>
    <t>ΤΣΟΥΠΑΚΗΣ</t>
  </si>
  <si>
    <t>ΤΣΟΥΠΡΑ</t>
  </si>
  <si>
    <t>tsoupra_th@hotmal.com</t>
  </si>
  <si>
    <t>ΤΣΟΥΤΣΑ</t>
  </si>
  <si>
    <t>ΑΣΗΜΕΝΙ</t>
  </si>
  <si>
    <t>matich10@gmail.com</t>
  </si>
  <si>
    <t>ΤΥΧΑΛΑΣ</t>
  </si>
  <si>
    <t>ΑΣΗΜ</t>
  </si>
  <si>
    <t>ΦΑΚΙΔΑΡΗ</t>
  </si>
  <si>
    <t>ΦΑΚΙΤΣΑ</t>
  </si>
  <si>
    <t>ΦΑΝΟΥΡΓΙΑΚΗ</t>
  </si>
  <si>
    <t>annafanou@gmail.com</t>
  </si>
  <si>
    <t>ΦΑΡΜΑΚΗΣ</t>
  </si>
  <si>
    <t>il.farmakis@gmail.com</t>
  </si>
  <si>
    <t>olgafasula@gmail.com</t>
  </si>
  <si>
    <t>ΦΕΡΓΑΔΙΩΤΟΥ</t>
  </si>
  <si>
    <t>ΒΑΛΕΝΣΙΑ</t>
  </si>
  <si>
    <t>ΦΙΛΑΚΤΑΚΗ</t>
  </si>
  <si>
    <t>katerina66fil@yahoo.com</t>
  </si>
  <si>
    <t>ΝΗΠΙΑΓΩΓΕΙΟ ΠΑΝΟΡΜΟΥ - ΜΟΝΟΘΕΣΙΟ ΚΛΑΣΙΚΟ ΝΗΠΙΑΓΩΓΕΙΟ ΠΑΝΟΡΜΟΥ</t>
  </si>
  <si>
    <t>mail@nip-panorm.reth.sch.gr</t>
  </si>
  <si>
    <t>ΦΙΛΙΑΚΟΥΔΗ</t>
  </si>
  <si>
    <t>ΦΙΛΙΟΠΟΥΛΟΥ</t>
  </si>
  <si>
    <t>ΦΙΛΙΟΥΣΗ</t>
  </si>
  <si>
    <t>15ds.filiousi@gmail.com</t>
  </si>
  <si>
    <t>ΦΟΔΕΛΙΑΝΑΚΗΣ</t>
  </si>
  <si>
    <t>efodeli@gmail.com</t>
  </si>
  <si>
    <t>ΦΟΡΙΔΗΣ</t>
  </si>
  <si>
    <t>dfrayou@yahoo.gr</t>
  </si>
  <si>
    <t>stellafrantz@gmail.com</t>
  </si>
  <si>
    <t>mfroudaraki@yahoo.gr</t>
  </si>
  <si>
    <t>ΦΡΟΥΖΑΚΗΣ</t>
  </si>
  <si>
    <t>gfrouz@hotmail.com</t>
  </si>
  <si>
    <t>ΦΡΥΓΑΝΑΚΗ</t>
  </si>
  <si>
    <t>ΦΩΝΙΑΔΑΚΗ</t>
  </si>
  <si>
    <t>ΑΓΟΡΕΤΑ</t>
  </si>
  <si>
    <t>ΦΩΣΚΟΛΟΥ</t>
  </si>
  <si>
    <t>Lucaki_20@hotmail.com</t>
  </si>
  <si>
    <t>ΙΛΚΑ</t>
  </si>
  <si>
    <t>nikfotak@sch.gr</t>
  </si>
  <si>
    <t>argyroha@yahoo.gr</t>
  </si>
  <si>
    <t>mchalkiada@sch.gr</t>
  </si>
  <si>
    <t>ΧΑΛΚΙΔΟΥ</t>
  </si>
  <si>
    <t>ΟΛΥΜΠΙΑ ΣΤΥΛ</t>
  </si>
  <si>
    <t>stathisreth1@hotmail.com</t>
  </si>
  <si>
    <t>598/16-8-2007</t>
  </si>
  <si>
    <t>ΧΑΡΙΤΑΚΙ</t>
  </si>
  <si>
    <t>xrisaxaritaki@gmail.com</t>
  </si>
  <si>
    <t>mhatzaki1@gmail.com</t>
  </si>
  <si>
    <t>ΟΝΟΥΦΡΙΟΣ</t>
  </si>
  <si>
    <t>ΧΑΤΖΗΑΔΑΜΟΥ</t>
  </si>
  <si>
    <t>ΕΥΦΡΑΞΙΑ</t>
  </si>
  <si>
    <t>efhxa@yahoo.gr</t>
  </si>
  <si>
    <t>eviko24ster@yahoo.gr</t>
  </si>
  <si>
    <t>772  τΓ' 23-8-2010</t>
  </si>
  <si>
    <t>ΧΑΤΖΗΔΗΜΟΣ</t>
  </si>
  <si>
    <t>ΚΥΡΙΑΖΗΣ</t>
  </si>
  <si>
    <t>ΧΑΤΖΗΛΙΑ</t>
  </si>
  <si>
    <t>ΧΑΤΖΗΜΙΧΑΗΛΙΔΟΥ</t>
  </si>
  <si>
    <t>ΧΕΙΜΩΝΑΚΗ</t>
  </si>
  <si>
    <t>gewrgitsareth@hotmail.com</t>
  </si>
  <si>
    <t>ΧΙΛΑΪ</t>
  </si>
  <si>
    <t>ΒΛΑΝΤΙΜΙΡ</t>
  </si>
  <si>
    <t>ΓΚΕΖΙΜΕ</t>
  </si>
  <si>
    <t>angelachilai@gmail.com</t>
  </si>
  <si>
    <t>ΧΙΝΗ</t>
  </si>
  <si>
    <t>depyho@gmail.com</t>
  </si>
  <si>
    <t>ΧΟΡΕΥΤΑΚΗ</t>
  </si>
  <si>
    <t xml:space="preserve">ΑΝΤΩΝΙΟΣ </t>
  </si>
  <si>
    <t>ΧΟΥΧΛΙΑ</t>
  </si>
  <si>
    <t>ΝΗΠΙΑΓΩΓΕΙΟ ΑΠΛΑΔΙΑΝΩΝ - ΜΟΝΟΘΕΣΙΟ ΚΛΑΣΙΚΟ ΝΗΠΙΑΓΩΓΕΙΟ ΑΠΛΑΔΙΑΝΩΝ</t>
  </si>
  <si>
    <t>mail@nip-aplad.reth.sch.gr</t>
  </si>
  <si>
    <t>H_zoi_einai_oraia@yahoo.gr</t>
  </si>
  <si>
    <t>ΧΡΗΣΤΕΛΛΗ</t>
  </si>
  <si>
    <t>ΜΑΛΑΜΩ</t>
  </si>
  <si>
    <t>melinta@ret.forthnet.gr</t>
  </si>
  <si>
    <t>giannisx23@hotmail.com</t>
  </si>
  <si>
    <t>774/20/08/2008</t>
  </si>
  <si>
    <t>ΑΘΑΝΑΣΙΑ-ΔΗΜ</t>
  </si>
  <si>
    <t>rotsis.8@sch.gr</t>
  </si>
  <si>
    <t>diamantoulachris@hotmail.com</t>
  </si>
  <si>
    <t>aristotelitsa@hotmail.com</t>
  </si>
  <si>
    <t>ΠΑΝΑΓΙΩΤΑ ΕΚ</t>
  </si>
  <si>
    <t>ΣΤΑΥΡΟΥΛΑ ΑΝΝΑ</t>
  </si>
  <si>
    <t>ΧΡΥΣΑΦΙΔΟΥ</t>
  </si>
  <si>
    <t>ΨΑΘΑΚΗ</t>
  </si>
  <si>
    <t>ΨΑΡΟΠΟΥΛΟΥ</t>
  </si>
  <si>
    <t>fpsarop@gmail.com</t>
  </si>
  <si>
    <t xml:space="preserve">ΨΑΡΡΑ </t>
  </si>
  <si>
    <t>mapsarrou@gmail.com</t>
  </si>
  <si>
    <t>ΨΥΡΡΑ</t>
  </si>
  <si>
    <t>ΓΑΛΗΝΗ</t>
  </si>
  <si>
    <t>ΨΥΧΟΥΝΤΑΚΗΣ</t>
  </si>
  <si>
    <t>ΑΜΑΣΤΑΣΙΑ</t>
  </si>
  <si>
    <t>ΨΩΡΟΜΥΤΗ</t>
  </si>
  <si>
    <t>PYANKOVA</t>
  </si>
  <si>
    <t>KALINA</t>
  </si>
  <si>
    <t>IORDAN</t>
  </si>
  <si>
    <t>DIANA</t>
  </si>
  <si>
    <t>ΔΗΜΟΤΙΚΟ ΣΧΟΛΕΙΟ ΑΓΙΑΣ ΜΑΡΙΝΑΣ</t>
  </si>
  <si>
    <t>mail@dim-ag-marin.chan.sch.gr</t>
  </si>
  <si>
    <t>ΑΓΙΑΣ ΜΑΡΙΝΗΣ</t>
  </si>
  <si>
    <t>ΑΒΕΤΙΔΟΥ</t>
  </si>
  <si>
    <t>abchri18mai@gmail.com</t>
  </si>
  <si>
    <t>ΔΗΜΟΤΙΚΟ ΣΧΟΛΕΙΟ ΝΕΟΥ ΧΩΡΙΟΥ</t>
  </si>
  <si>
    <t>mail@dim-n-choriou.chan.sch.gr</t>
  </si>
  <si>
    <t>ΝΕΟΥ ΧΩΡΙΟΥ</t>
  </si>
  <si>
    <t>ΑΓΑΤΖΙΩΤΗ</t>
  </si>
  <si>
    <t>sofia.agat@yahoo.gr</t>
  </si>
  <si>
    <t>ΔΗΜΟΤΙΚΟ ΣΧΟΛΕΙΟ ΔΡΑΠΑΝΙΑ</t>
  </si>
  <si>
    <t>mail@dim-drapan.chan.sch.gr</t>
  </si>
  <si>
    <t>ΜΥΘΗΜΝΗΣ</t>
  </si>
  <si>
    <t>ΔΡΑΠΑΝΙΑ</t>
  </si>
  <si>
    <t>1ο ΔΗΜΟΤΙΚΟ ΣΧΟΛΕΙΟ ΚΟΥΝΟΥΠΙΔΙΑΝΩΝ</t>
  </si>
  <si>
    <t>mail@1dim-kounoup.chan.sch.gr</t>
  </si>
  <si>
    <t>1ο ΔΗΜΟΤΙΚΟ ΣΧΟΛΕΙΟ ΣΟΥΔΑΣ</t>
  </si>
  <si>
    <t>mail@1dim-soudas.chan.sch.gr</t>
  </si>
  <si>
    <t>ΔΗΜΟΤΙΚΟ ΣΧΟΛΕΙΟ ΕΛΟΥΣ</t>
  </si>
  <si>
    <t>mail@dim-elous.chan.sch.gr</t>
  </si>
  <si>
    <t>ΙΝΑΧΩΡΙΟΥ</t>
  </si>
  <si>
    <t>ΕΛΟΥΣ</t>
  </si>
  <si>
    <t>ΔΗΜΟΤΙΚΟ ΣΧΟΛΕΙΟ ΚΑΛΥΒΩΝ</t>
  </si>
  <si>
    <t>mail@dim-kalyv.chan.sch.gr</t>
  </si>
  <si>
    <t>ΚΑΛΥΒΩΝ</t>
  </si>
  <si>
    <t>ΑΓΓΕΛΟΥΛΗ</t>
  </si>
  <si>
    <t>ΟΛΟΗΜΕΡΟ ΝΗΠΙΑΓΩΓΕΙΟ ΒΑΤΟΛΑΚΚΟΥ</t>
  </si>
  <si>
    <t>mail@3nip-mousour.chan.sch.gr</t>
  </si>
  <si>
    <t>ΒΑΤΟΛΑΚΚΟΥ</t>
  </si>
  <si>
    <t>ΑΓΕΛΑΡΗ</t>
  </si>
  <si>
    <t>ΕΛΕΝΗ-ΙΩΑΝΝΑ</t>
  </si>
  <si>
    <t>ΑΓΙΑΝΟΓΛΟΥ</t>
  </si>
  <si>
    <t>ΔΗΜΟΤΙΚΟ ΣΧΟΛΕΙΟ ΧΩΡΑΦΑΚΙΩΝ</t>
  </si>
  <si>
    <t>mail@4dim-akrot.chan.sch.gr</t>
  </si>
  <si>
    <t>ΑΓΙΟΥ</t>
  </si>
  <si>
    <t>chagiou@gmail.com</t>
  </si>
  <si>
    <t>9ο ΔΗΜΟΤΙΚΟ ΣΧΟΛΕΙΟ ΧΑΝΙΩΝ</t>
  </si>
  <si>
    <t>9dimchancha@sch.gr</t>
  </si>
  <si>
    <t>ΑΓΙΩΤΟΥ</t>
  </si>
  <si>
    <t>ioannaagiotou@gmail.com</t>
  </si>
  <si>
    <t>5ο ΝΗΠΙΑΓΩΓΕΙΟ ΜΟΥΡΝΙΩΝ</t>
  </si>
  <si>
    <t>mail@5nip-mourn.chan.sch.gr</t>
  </si>
  <si>
    <t>4ο ΔΗΜΟΤΙΚΟ ΣΧΟΛΕΙΟ ΧΑΝΙΩΝ</t>
  </si>
  <si>
    <t>mail@4dim-chanion.chan.sch.gr</t>
  </si>
  <si>
    <t>ΑΓΟΡΑΣΤΟΥ</t>
  </si>
  <si>
    <t>ΕΠΑΜΕΙΝΩΝΤΑΣ</t>
  </si>
  <si>
    <t>ΔΗΜΟΤΙΚΟ ΣΧΟΛΕΙΟ ΒΑΜΟΥ</t>
  </si>
  <si>
    <t>mail@dim-vamou.chan.sch.gr</t>
  </si>
  <si>
    <t>10ο ΔΗΜΟΤΙΚΟ ΣΧΟΛΕΙΟ ΧΑΝΙΩΝ</t>
  </si>
  <si>
    <t>mail@10dim-chanion.chan.sch.gr</t>
  </si>
  <si>
    <t>ΑΓΡΙΜΑΚΗΣ</t>
  </si>
  <si>
    <t>agrimnik@gmail.com</t>
  </si>
  <si>
    <t>7ο ΔΗΜΟΤΙΚΟ ΣΧΟΛΕΙΟ ΧΑΝΙΩΝ</t>
  </si>
  <si>
    <t>mail@7dim-chanion.chan.sch.gr</t>
  </si>
  <si>
    <t>ΡΟΔΗ</t>
  </si>
  <si>
    <t>15ο ΔΗΜΟΤΙΚΟ ΣΧΟΛΕΙΟ ΧΑΝΙΩΝ</t>
  </si>
  <si>
    <t>mail@15dim-chanion.chan.sch.gr</t>
  </si>
  <si>
    <t>27ο ΝΗΠΙΑΓΩΓΕΙΟ ΧΑΝΙΩΝ</t>
  </si>
  <si>
    <t>mail@27nip-chanion.chan.sch.gr</t>
  </si>
  <si>
    <t>antoniathanasaki@gmail.com</t>
  </si>
  <si>
    <t>ΑΘΑΝΑΣΑΚΟΠΟΥΛΟΥ</t>
  </si>
  <si>
    <t>diminanadak@yahoo.gr</t>
  </si>
  <si>
    <t>2ο ΔΗΜΟΤΙΚΟ ΣΧΟΛΕΙΟ ΚΟΥΝΟΥΠΙΔΙΑΝΩΝ</t>
  </si>
  <si>
    <t>mail@2dim-kounoup.chan.sch.gr</t>
  </si>
  <si>
    <t>ΑΘΑΝΑΣΙΑΔΗ</t>
  </si>
  <si>
    <t>annetaathanasiadi@hotmail.com</t>
  </si>
  <si>
    <t>207/2003</t>
  </si>
  <si>
    <t>ΔΗΜΟΤΙΚΟ ΣΧΟΛΕΙΟ ΠΕΡΙΒΟΛΙΩΝ</t>
  </si>
  <si>
    <t>mail@dim-periv.chan.sch.gr</t>
  </si>
  <si>
    <t>ΘΕΡΙΣΟΥ</t>
  </si>
  <si>
    <t>ΠΕΡΙΒΟΛΙΩΝ ΚΥΔΩΝΙΑΣ</t>
  </si>
  <si>
    <t>ΔΗΜΟΤΙΚΟ ΣΧΟΛΕΙΟ ΠΛΑΤΑΝΙΑ ΧΑΝΙΩΝ</t>
  </si>
  <si>
    <t>mail@1dim-platan.chan.sch.gr</t>
  </si>
  <si>
    <t>ΝΗΠΙΑΓΩΓΕΙΟ ΒΡΥΣΩΝ ΑΠΟΚΟΡΩΝΟΥ</t>
  </si>
  <si>
    <t>nipvrysonchan@sch.gr</t>
  </si>
  <si>
    <t>ΑΘΙΑΝΑΣ</t>
  </si>
  <si>
    <t>ΔΗΜΟΤΙΚΟ ΣΧΟΛΕΙΟ ΓΕΩΡΓΙΟΥΠΟΛΗΣ</t>
  </si>
  <si>
    <t>mail@dim-georg.chan.sch.gr</t>
  </si>
  <si>
    <t>ΓΕΩΡΓΙΟΥΠΟΛΕΩΣ</t>
  </si>
  <si>
    <t>1ο ΝΗΠΙΑΓΩΓΕΙΟ ΝΕΑΣ ΚΥΔΩΝΙΑΣ</t>
  </si>
  <si>
    <t>mail@1nip-n-kydon.chan.sch.gr</t>
  </si>
  <si>
    <t>ΓΑΛΑΤΑ</t>
  </si>
  <si>
    <t>info@sevah.gr</t>
  </si>
  <si>
    <t>ΑΙΚΑΤΕΡΙΝΗΣ</t>
  </si>
  <si>
    <t>ΔΗΜΟΤΙΚΟ ΣΧΟΛΕΙΟ ΣΚΙΝΕ - ΦΟΥΡΝΕ</t>
  </si>
  <si>
    <t>mail@dim-fourn.chan.sch.gr</t>
  </si>
  <si>
    <t>ΣΚΙΝΕ</t>
  </si>
  <si>
    <t>ΑΚΡΙΤΙΔΗΣ</t>
  </si>
  <si>
    <t>2ο ΔΗΜΟΤΙΚΟ ΣΧΟΛΕΙΟ ΜΟΥΡΝΙΩΝ</t>
  </si>
  <si>
    <t>mail@2dim-mourn.chan.sch.gr</t>
  </si>
  <si>
    <t>2ο ΝΗΠΙΑΓΩΓΕΙΟ ΜΟΥΡΝΙΩΝ</t>
  </si>
  <si>
    <t>mail@2nip-mourn.chan.sch.gr</t>
  </si>
  <si>
    <t>ΑΛΕΞΗ</t>
  </si>
  <si>
    <t>3ο ΔΗΜΟΤΙΚΟ ΣΧΟΛΕΙΟ ΧΑΝΙΩΝ</t>
  </si>
  <si>
    <t>mail@3dim-chanion.chan.sch.gr</t>
  </si>
  <si>
    <t>ΑΛΟΓΔΙΑΝΑΚΗ</t>
  </si>
  <si>
    <t>niovix.86@hotmail.com</t>
  </si>
  <si>
    <t>1ο ΔΗΜΟΤΙΚΟ ΣΧΟΛΕΙΟ ΜΟΥΡΝΙΩΝ</t>
  </si>
  <si>
    <t>mail@1dim-mourn.chan.sch.gr</t>
  </si>
  <si>
    <t>ΝΗΠΙΑΓΩΓΕΙΟ ΤΑΥΡΩΝΙΤΗ</t>
  </si>
  <si>
    <t>mail@nip-tavron.chan.sch.gr</t>
  </si>
  <si>
    <t>ΤΑΥΡΩΝΙΤΟΥ</t>
  </si>
  <si>
    <t>ΑΛΥΓΙΖΑΚΗ</t>
  </si>
  <si>
    <t>eftixia.aligizaki@gmail.com</t>
  </si>
  <si>
    <t>13ο ΔΗΜΟΤΙΚΟ ΣΧΟΛΕΙΟ ΧΑΝΙΩΝ</t>
  </si>
  <si>
    <t>13dimchacha@sch.gr</t>
  </si>
  <si>
    <t>ΠΟΛΥΑΝΝΑ</t>
  </si>
  <si>
    <t>ΑΜΑΝΑΤΙΔΟΥ</t>
  </si>
  <si>
    <t>19ο ΔΗΜΟΤΙΚΟ ΣΧΟΛΕΙΟ ΧΑΝΙΩΝ</t>
  </si>
  <si>
    <t>19dimchacha@sch.gr</t>
  </si>
  <si>
    <t>ΑΜΟΥΝΤΖΑ</t>
  </si>
  <si>
    <t>ΝΗΠΙΑΓΩΓΕΙΟ ΒΟΥΚΟΛΙΩΝ</t>
  </si>
  <si>
    <t>mail@nip-voukol.chan.sch.gr</t>
  </si>
  <si>
    <t>ΝΗΠΙΑΓΩΓΕΙΟ ΡΟΔΟΒΑΝΙΟΥ</t>
  </si>
  <si>
    <t>mail@1nip-rodov.chan.sch.gr</t>
  </si>
  <si>
    <t>ΑΝΑΤΟΛΙΚΟΥ ΣΕΛΙΝΟΥ</t>
  </si>
  <si>
    <t>ΡΟΔΟΒΑΝΙΟΥ</t>
  </si>
  <si>
    <t>ΑΝΑΓΝΩΣΤΟΥΔΗ</t>
  </si>
  <si>
    <t>ΝΗΠΙΑΓΩΓΕΙΟ ΕΛΟΥΣ</t>
  </si>
  <si>
    <t>mail@nip-elous.chan.sch.gr</t>
  </si>
  <si>
    <t>ΝΗΠΙΑΓΩΓΕΙΟ ΑΛΙΚΙΑΝΟΥ</t>
  </si>
  <si>
    <t>mail@1nip-mousour.chan.sch.gr</t>
  </si>
  <si>
    <t>ΑΝΔΡΙΩΤΗΣ</t>
  </si>
  <si>
    <t>ΑΝΔΡΟΜΑΝΑΚΟΥ</t>
  </si>
  <si>
    <t>routa13@hotmail.com</t>
  </si>
  <si>
    <t>1ο ΝΗΠΙΑΓΩΓΕΙΟ ΧΑΝΙΩΝ</t>
  </si>
  <si>
    <t>mail@1nip-chanion.chan.sch.gr</t>
  </si>
  <si>
    <t>ΑΝΔΡΟΝΙΚΑΚΗΣ</t>
  </si>
  <si>
    <t>ΔΗΜΟΤΙΚΟ ΣΧΟΛΕΙΟ ΧΡΥΣΟΠΗΓΗΣ</t>
  </si>
  <si>
    <t>mail@dim-chrys.chan.sch.gr</t>
  </si>
  <si>
    <t>2ο ΔΗΜΟΤΙΚΟ ΣΧΟΛΕΙΟ ΣΟΥΔΑΣ</t>
  </si>
  <si>
    <t>mail@2dim-soudas.chan.sch.gr</t>
  </si>
  <si>
    <t>ΑΝΕΖΑΚΗΣ</t>
  </si>
  <si>
    <t>ΕΜΜΑΝΟΥ</t>
  </si>
  <si>
    <t>ΑΝΝΟΥΣΑΚΗ</t>
  </si>
  <si>
    <t>2ο ΔΗΜΟΤΙΚΟ ΣΧΟΛΕΙΟ ΚΙΣΑΜΟΥ</t>
  </si>
  <si>
    <t>mail@2dim-kisam.chan.sch.gr</t>
  </si>
  <si>
    <t>8ο ΔΗΜΟΤΙΚΟ ΣΧΟΛΕΙΟ ΧΑΝΙΩΝ</t>
  </si>
  <si>
    <t>8dimchancha@sch.gr</t>
  </si>
  <si>
    <t>ΑΝΤΙΟΧΟΥ</t>
  </si>
  <si>
    <t>ΜΑΡΙΝΑ-ΛΗΤΩ</t>
  </si>
  <si>
    <t>ΔΗΜΟΤΙΚΟ ΣΧΟΛΕΙΟ ΚΟΛΥΜΒΑΡΙΟΥ</t>
  </si>
  <si>
    <t>mail@dim-kolymv.chan.sch.gr</t>
  </si>
  <si>
    <t>ΔΗΜΟΤΙΚΟ ΣΧΟΛΕΙΟ ΒΑΡΥΠΕΤΡΟΥ</t>
  </si>
  <si>
    <t>mail@dim-varyp.chan.sch.gr</t>
  </si>
  <si>
    <t>ΒΑΡΥΠΕΤΡΟΥ</t>
  </si>
  <si>
    <t>ΑΝΤΩΝΑΤΟΥ</t>
  </si>
  <si>
    <t>ΟΣΙΑ</t>
  </si>
  <si>
    <t>gadonatou@gmail.com</t>
  </si>
  <si>
    <t>3ο ΝΗΠΙΑΓΩΓΕΙΟ ΝΕΑΣ ΚΥΔΩΝΙΑΣ</t>
  </si>
  <si>
    <t>mail@3nip-n-kydon.chan.sch.gr</t>
  </si>
  <si>
    <t>2ο ΔΗΜΟΤΙΚΟ ΣΧΟΛΕΙΟ ΧΡΥΣΟΠΗΓΗΣ</t>
  </si>
  <si>
    <t>1ο ΝΗΠΙΑΓΩΓΕΙΟ ΚΑΛΥΒΩΝ</t>
  </si>
  <si>
    <t>mail@1nip-kalyv.chan.sch.gr</t>
  </si>
  <si>
    <t>ΑΞΙΑΡΛΗ</t>
  </si>
  <si>
    <t>apoaspa1@gmail.com</t>
  </si>
  <si>
    <t>ΙΛΙΑΝΑ</t>
  </si>
  <si>
    <t>6ο ΔΗΜΟΤΙΚΟ ΣΧΟΛΕΙΟ ΧΑΝΙΩΝ</t>
  </si>
  <si>
    <t>mail@6dim-chanion.chan.sch.gr</t>
  </si>
  <si>
    <t>5ο ΔΗΜΟΤΙΚΟ ΣΧΟΛΕΙΟ ΧΑΝΙΩΝ</t>
  </si>
  <si>
    <t>mail@5dim-chanion.chan.sch.gr</t>
  </si>
  <si>
    <t>lefkikar@yahoo.gr</t>
  </si>
  <si>
    <t>ΔΗΜΟΤΙΚΟ ΣΧΟΛΕΙΟ ΣΤΕΡΝΩΝ</t>
  </si>
  <si>
    <t>mail@dim-stern.chan.sch.gr</t>
  </si>
  <si>
    <t>ΣΤΕΡΝΩΝ</t>
  </si>
  <si>
    <t>ΑΡΑΜΠΑΤΖΗΣ</t>
  </si>
  <si>
    <t>ΔΗΜΟΤΙΚΟ ΣΧΟΛΕΙΟ ΚΟΥΝΤΟΥΡΑΣ</t>
  </si>
  <si>
    <t>mail@1dim-pelek.chan.sch.gr</t>
  </si>
  <si>
    <t>ΒΟΥΤΑ</t>
  </si>
  <si>
    <t>ΑΡΑΠΑΚΟΥ</t>
  </si>
  <si>
    <t>ΚΑΛΟΜΟΙΡΑ-ΔΕΣΠΟΙΝΑ</t>
  </si>
  <si>
    <t>1ο ΔΗΜΟΤΙΚΟ ΣΧΟΛΕΙΟ ΝΕΑΣ ΚΥΔΩΝΙΑΣ</t>
  </si>
  <si>
    <t>mail@1dim-n-kydon.chan.sch.gr</t>
  </si>
  <si>
    <t>1ο ΕΙΔΙΚΟ ΔΗΜΟΤΙΚΟ ΣΧΟΛΕΙΟ ΧΑΝΙΑ - ΗΛΙΑΣ ΡΑΦΤΟΠΟΥΛΟΣ</t>
  </si>
  <si>
    <t>mail@1dim-eid-chanion.chan.sch.gr</t>
  </si>
  <si>
    <t>gianfrantz81@gmail.com</t>
  </si>
  <si>
    <t>3ο ΝΗΠΙΑΓΩΓΕΙΟ ΒΑΜΒΑΚΟΠΟΥΛΟΥ</t>
  </si>
  <si>
    <t>mail@3nip-vamvak.chan.sch.gr</t>
  </si>
  <si>
    <t>ΒΑΜΒΑΚΟΠΟΥΛΟΥ</t>
  </si>
  <si>
    <t>ΑΡΒΑΝΙΤΗΣ</t>
  </si>
  <si>
    <t>ΑΡΓΥΡΑΚΗ</t>
  </si>
  <si>
    <t>ΝΗΠΙΑΓΩΓΕΙΟ ΑΓΙΑΣ ΜΑΡΙΝΑΣ ΧΑΝΙΩΝ</t>
  </si>
  <si>
    <t>mail@5nip-n-kydon.chan.sch.gr</t>
  </si>
  <si>
    <t>ΔΗΜΟΤΙΚΟ ΣΧΟΛΕΙΟ ΑΛΙΚΙΑΝΟΥ</t>
  </si>
  <si>
    <t>mail@dim-alikian.chan.sch.gr</t>
  </si>
  <si>
    <t>ΔΕΣΠΟΙΝA</t>
  </si>
  <si>
    <t>159/30-8-1988</t>
  </si>
  <si>
    <t>1ο ΔΗΜΟΤΙΚΟ ΣΧΟΛΕΙΟ ΚΙΣΑΜΟΥ</t>
  </si>
  <si>
    <t>mail@1dim-kisam.chan.sch.gr</t>
  </si>
  <si>
    <t>ΔΗΜΟΤΙΚΟ ΣΧΟΛΕΙΟ ΝΕΡΟΚΟΥΡΟΥ</t>
  </si>
  <si>
    <t>mail@dim-nerok.chan.sch.gr</t>
  </si>
  <si>
    <t>ΑΡΣΕΝΑ</t>
  </si>
  <si>
    <t>3ο ΝΗΠΙΑΓΩΓΕΙΟ ΧΑΝΙΩΝ</t>
  </si>
  <si>
    <t>mail@3nip-chanion.chan.sch.gr</t>
  </si>
  <si>
    <t>ΑΡΤΣΙΔΑΚΗ</t>
  </si>
  <si>
    <t>alekisandora@gmail.com</t>
  </si>
  <si>
    <t>2ο  ΕΙΔΙΚΟ ΝΗΠΙΑΓΩΓΕΙΟ ΧΑΝΙΩΝ</t>
  </si>
  <si>
    <t>mail@2nip-eid-chanion.chan.sch.gr</t>
  </si>
  <si>
    <t>efartsi@yahoo.gr</t>
  </si>
  <si>
    <t>14ο ΔΗΜΟΤΙΚΟ ΣΧΟΛΕΙΟ ΧΑΝΙΩΝ</t>
  </si>
  <si>
    <t>14dimcha@sch.gr</t>
  </si>
  <si>
    <t>ΑΣΓΟΥΔΑΚΗ</t>
  </si>
  <si>
    <t>ΧΡΥΣΑ-ΝΙΚΟΛΙΑ</t>
  </si>
  <si>
    <t>ΔΗΜΟΤΙΚΟ ΣΧΟΛΕΙΟ ΚΟΥΡΝΑ</t>
  </si>
  <si>
    <t>mail@dim-kourn.chan.sch.gr</t>
  </si>
  <si>
    <t>ΚΟΥΡΝΑ</t>
  </si>
  <si>
    <t>georgaslanis@gmail.com</t>
  </si>
  <si>
    <t>ΔΗΜΟΤΙΚΟ ΣΧΟΛΕΙΟ ΠΛΑΤΑΝΟΥ ΚΙΣΑΜΟΥ</t>
  </si>
  <si>
    <t>mail@dim-platan.chan.sch.gr</t>
  </si>
  <si>
    <t>ΔΗΜΟΤΙΚΟ ΣΧΟΛΕΙΟ ΒΡΥΣΩΝ</t>
  </si>
  <si>
    <t>mail@dim-vryson.chan.sch.gr</t>
  </si>
  <si>
    <t>ΑΥΓΕΡΟΥ</t>
  </si>
  <si>
    <t>ΝΗΠΙΑΓΩΓΕΙΟ ΠΛΑΤΑΝΟΥ ΧΑΝΙΩΝ</t>
  </si>
  <si>
    <t>mail@nip-platan.chan.sch.gr</t>
  </si>
  <si>
    <t>ΑΧΛΑΔΙΑΝΑΚΗ</t>
  </si>
  <si>
    <t>ΝΗΠΙΑΓΩΓΕΙΟ ΔΡΑΜΙΩΝ</t>
  </si>
  <si>
    <t>mail@nip-kavrou.chan.sch.gr</t>
  </si>
  <si>
    <t>ΦΥΛΑΚΗΣ</t>
  </si>
  <si>
    <t>ΑΧΟΥΡΙΩΤΟΥ</t>
  </si>
  <si>
    <t>ΒΑΒΑΚΑΛΙΝΑ</t>
  </si>
  <si>
    <t>ΒΑΓΙΑΚΗ</t>
  </si>
  <si>
    <t>ΔΗΜΟΤΙΚΟ ΣΧΟΛΕΙΟ ΚΑΤΩΧΩΡΙΟΥ</t>
  </si>
  <si>
    <t>mail@1dim-keram.chan.sch.gr</t>
  </si>
  <si>
    <t>ΚΕΡΑΜΙΩΝ</t>
  </si>
  <si>
    <t>ΚΟΝΤΟΠΟΥΛΩΝ</t>
  </si>
  <si>
    <t>ΒΑΚΑΚΗ</t>
  </si>
  <si>
    <t>ΜΑΡΙΑ-ΜΕΛΜΠΑ</t>
  </si>
  <si>
    <t>ΒΑΚΚΑ</t>
  </si>
  <si>
    <t>dimitrita@hotmail.com</t>
  </si>
  <si>
    <t>1ο ΝΗΠΙΑΓΩΓΕΙΟ ΜΟΥΡΝΙΩΝ</t>
  </si>
  <si>
    <t>mail@1nip-mourn.chan.sch.gr</t>
  </si>
  <si>
    <t>ΒΑΛΑΡΗ</t>
  </si>
  <si>
    <t>ΞΑΚΟΥΣΤΗ</t>
  </si>
  <si>
    <t>ΒΑΜΒΑΤΣΙΚΟΥ</t>
  </si>
  <si>
    <t>ΑΣΗΜΟΥΛ</t>
  </si>
  <si>
    <t>marisa.melaki@gmail.com</t>
  </si>
  <si>
    <t>ΒΑΝΔΟΥΛΑΚΗ</t>
  </si>
  <si>
    <t>2ο ΝΗΠΙΑΓΩΓΕΙΟ ΑΡΩΝΙΟΥ</t>
  </si>
  <si>
    <t>mail@2nip-aroni.chan.sch.gr</t>
  </si>
  <si>
    <t>ΑΡΩΝΙΟΥ</t>
  </si>
  <si>
    <t>ΒΑΡΑΝΑΚΗ</t>
  </si>
  <si>
    <t>7ο ΝΗΠΙΑΓΩΓΕΙΟ ΧΑΝΙΩΝ</t>
  </si>
  <si>
    <t>mail@7nip-chanion.chan.sch.gr</t>
  </si>
  <si>
    <t>ΒΑΡΑΝΟΣ</t>
  </si>
  <si>
    <t>mail@dim-vouva.chan.sch.gr</t>
  </si>
  <si>
    <t>ΔΗΜΟΤΙΚΟ ΣΧΟΛΕΙΟ ΒΟΥΒΑ</t>
  </si>
  <si>
    <t>ΑΣΦΕΝΔΟΥ</t>
  </si>
  <si>
    <t>ΒΑΡΒΑΝΤΑΚΗ</t>
  </si>
  <si>
    <t>elpi11@yahoo.com</t>
  </si>
  <si>
    <t>18ο ΔΗΜΟΤΙΚΟ ΣΧΟΛΕΙΟ ΧΑΝΙΩΝ</t>
  </si>
  <si>
    <t>mail@18dim-chanion.chan.sch.gr</t>
  </si>
  <si>
    <t>ΒΑΡΔΑΚΟΥΛΗ</t>
  </si>
  <si>
    <t>ΔΗΜΟΤΙΚΟ ΣΧΟΛΕΙΟ ΓΕΡΑΝΙΟΥ ΧΑΝΙΩΝ</t>
  </si>
  <si>
    <t>mail@3dim-platan.chan.sch.gr</t>
  </si>
  <si>
    <t>ΒΑΡΥΠΑΤΑΚΗΣ</t>
  </si>
  <si>
    <t>ΔΗΜΟΤΙΚΟ ΣΧΟΛΕΙΟ ΤΑΥΡΩΝΙΤΗ</t>
  </si>
  <si>
    <t>mail@dim-tavron.chan.sch.gr</t>
  </si>
  <si>
    <t>ΒΑΣΙΛΑΚΟΥ</t>
  </si>
  <si>
    <t>ΝΗΠΙΑΓΩΓΕΙΟ ΠΛΑΤΑΝΙΑ ΧΑΝΙΩΝ</t>
  </si>
  <si>
    <t>mail@1nip-platan.chan.sch.gr</t>
  </si>
  <si>
    <t>231/31/8/2004</t>
  </si>
  <si>
    <t>ΝΗΠΙΑΓΩΓΕΙΟ ΣΤΥΛΟΥ</t>
  </si>
  <si>
    <t>mail@nip-stylou.chan.sch.gr</t>
  </si>
  <si>
    <t>ΣΤΥΛΟΥ</t>
  </si>
  <si>
    <t>v.vasileiou@gmail.com</t>
  </si>
  <si>
    <t>17ο ΔΗΜΟΤΙΚΟ ΣΧΟΛΕΙΟ ΧΑΝΙΩΝ</t>
  </si>
  <si>
    <t>mail@17dim-chanion.chan.sch.gr</t>
  </si>
  <si>
    <t>ΒΑΣΣΑΡΑ</t>
  </si>
  <si>
    <t>ΒΕΛΙΓΓΟΥ</t>
  </si>
  <si>
    <t>5ο ΝΗΠΙΑΓΩΓΕΙΟ ΧΑΝΙΩΝ</t>
  </si>
  <si>
    <t>mail@5nip-chanion.chan.sch.gr</t>
  </si>
  <si>
    <t>ΒΕΝΙΟΠΟΥΛΟΥ</t>
  </si>
  <si>
    <t>kveniopoulou@yahoo.com</t>
  </si>
  <si>
    <t>ΒΕΡΙΚΑΚΗ</t>
  </si>
  <si>
    <t>2ο ΝΗΠΙΑΓΩΓΕΙΟ ΚΟΥΝΟΥΠΙΔΙΑΝΩΝ</t>
  </si>
  <si>
    <t>mail@2nip-akrot.chan.sch.gr</t>
  </si>
  <si>
    <t>ΒΕΡΟΝΙΚΗΣ</t>
  </si>
  <si>
    <t>beronc@gmail.com</t>
  </si>
  <si>
    <t>3ο ΝΗΠΙΑΓΩΓΕΙΟ ΚΙΣΑΜΟΥ</t>
  </si>
  <si>
    <t>mail@3nip-kisam.chan.sch.gr</t>
  </si>
  <si>
    <t>ΙΡΙΣΑΝΤΩΝΙΑ</t>
  </si>
  <si>
    <t>ΟΥΡΣΟΥΛΑ</t>
  </si>
  <si>
    <t>iridavvv@yahoo.com</t>
  </si>
  <si>
    <t>ΒΕΤΣΟΥ</t>
  </si>
  <si>
    <t>ΝΗΠΙΑΓΩΓΕΙΟ ΠΟΤΙΣΤΗΡΙΩΝ</t>
  </si>
  <si>
    <t>mail@nip-potist.chan.sch.gr</t>
  </si>
  <si>
    <t>ΒΙΓΛΑΚΗ</t>
  </si>
  <si>
    <t>2ο ΝΗΠΙΑΓΩΓΕΙΟ ΝΕΑΣ ΚΥΔΩΝΙΑΣ</t>
  </si>
  <si>
    <t>mail@2nip-n-kydon.chan.sch.gr</t>
  </si>
  <si>
    <t>ΒΙΝΤΙΝΗ</t>
  </si>
  <si>
    <t>ΒΙΡΙΡΑΚΗ</t>
  </si>
  <si>
    <t>ΒΙΣΜΠΑΣ</t>
  </si>
  <si>
    <t>ΒΙΤΣΙΛΑΚΗ</t>
  </si>
  <si>
    <t>ΒΙΤΩΡΙΟΥ</t>
  </si>
  <si>
    <t>ΑΛΙΚΗ-ΕΥΤΕΡΠΗ</t>
  </si>
  <si>
    <t>ΒΛΑΧΟΓΙΑΝΝΗ</t>
  </si>
  <si>
    <t>eleni-v@hotmail.co.uk</t>
  </si>
  <si>
    <t>ΕΙΔΙΚΟ ΔΗΜΟΤΙΚΟ ΣΧΟΛΕΙΟ ΧΑΝΙΑ - ΚΕΝΤΡΟ ΑΠΟΚΑΤΑΣΤΑΣΗΣ ΠΑΙΔΙΩΝ ΚΑΙ ΝΕΩΝ ΚΡΗΤΗΣ</t>
  </si>
  <si>
    <t>dimkapnk@.sch.gr</t>
  </si>
  <si>
    <t>ΒΛΕΤΣΗΣ</t>
  </si>
  <si>
    <t>ΒΛΗΣΙΔΗ</t>
  </si>
  <si>
    <t>11ο ΝΗΠΙΑΓΩΓΕΙΟ ΧΑΝΙΩΝ</t>
  </si>
  <si>
    <t>mail@11nip-chanion.chan.sch.gr</t>
  </si>
  <si>
    <t>3ο ΝΗΠΙΑΓΩΓΕΙΟ ΜΟΥΡΝΙΩΝ</t>
  </si>
  <si>
    <t>mail@3nip-mourn.chan.sch.gr</t>
  </si>
  <si>
    <t>ΒΟΒΟΛΗ</t>
  </si>
  <si>
    <t>37ο ΝΗΠΙΑΓΩΓΕΙΟ ΧΑΝΙΩΝ</t>
  </si>
  <si>
    <t>mail@37nip-chanion.chan.sch.gr</t>
  </si>
  <si>
    <t>ΒΟΛΑΚΑΚΗ</t>
  </si>
  <si>
    <t>ΒΟΛΤΣΗΣ</t>
  </si>
  <si>
    <t>ΒΟΜΒΟΛΑΚΗ</t>
  </si>
  <si>
    <t>17ο ΝΗΠΙΑΓΩΓΕΙΟ ΧΑΝΙΩΝ</t>
  </si>
  <si>
    <t>mail@17nip-chanion.chan.sch.gr</t>
  </si>
  <si>
    <t>ΒΟΤΖΑΚΗ</t>
  </si>
  <si>
    <t>ΝΗΠΙΑΓΩΓΕΙΟ ΒΟΥΒΑ</t>
  </si>
  <si>
    <t>mail@nip-vouva.chan.sch.gr</t>
  </si>
  <si>
    <t>ΒΟΥΖΗ</t>
  </si>
  <si>
    <t>eirinivouzi@hotmail.com</t>
  </si>
  <si>
    <t>ΒΟΥΚΕΛΑΤΟΥ</t>
  </si>
  <si>
    <t>16ο ΝΗΠΙΑΓΩΓΕΙΟ ΧΑΝΙΩΝ</t>
  </si>
  <si>
    <t>mail@16nip-chanion.chan.sch.gr</t>
  </si>
  <si>
    <t>ΒΟΥΛΤΣΙΔΟΥ</t>
  </si>
  <si>
    <t>ΝΙΚΟΛΙΑ</t>
  </si>
  <si>
    <t>11ο ΔΗΜΟΤΙΚΟ ΣΧΟΛΕΙΟ ΧΑΝΙΩΝ</t>
  </si>
  <si>
    <t>mail@11dim-chanion.chan.sch.gr</t>
  </si>
  <si>
    <t>ΒΟΥΝΤΟΥΡΑΚΗΣ</t>
  </si>
  <si>
    <t>ΒΟΥΡΛΩΤΑΣ</t>
  </si>
  <si>
    <t>ΒΟΥΤΣΚΟΓΛΟΥ</t>
  </si>
  <si>
    <t>katvraka@yahoo.gr</t>
  </si>
  <si>
    <t>ΔΗΜΟΤΙΚΟ ΣΧΟΛΕΙΟ ΤΣΙΚΑΛΑΡΙΩΝ</t>
  </si>
  <si>
    <t>mail@dim-tsikal.chan.sch.gr</t>
  </si>
  <si>
    <t>ΤΣΙΚΑΛΑΡΙΩΝ</t>
  </si>
  <si>
    <t>ΒΡΑΝΑ</t>
  </si>
  <si>
    <t>vrana_sotiria@hotmail.com</t>
  </si>
  <si>
    <t>ΒΡΑΝΤΣΗ</t>
  </si>
  <si>
    <t>ΒΡΑΧΝΙΔΟΥ</t>
  </si>
  <si>
    <t>ΙΑΣΕΜΙ</t>
  </si>
  <si>
    <t>ΒΡΕΤΟΥΔΑΚΗ</t>
  </si>
  <si>
    <t>2ο ΝΗΠΙΑΓΩΓΕΙΟ ΧΑΝΙΩΝ</t>
  </si>
  <si>
    <t>mail@2nip-chanion.chan.sch.gr</t>
  </si>
  <si>
    <t>ΒΡΕΤΤΟΠΟΥΛΟΥ</t>
  </si>
  <si>
    <t>ΓΑΒΡΗΛΟΥ</t>
  </si>
  <si>
    <t>ΒΑΣΙΑ</t>
  </si>
  <si>
    <t>ΝΗΠΙΑΓΩΓΕΙΟ ΠΑΤΣΙΑΝΟΥ</t>
  </si>
  <si>
    <t>mail@nip-patsian.chan.sch.gr</t>
  </si>
  <si>
    <t>ΠΑΤΣΙΑΝΟΥ</t>
  </si>
  <si>
    <t>ΓΑΪΤΑΝΗ</t>
  </si>
  <si>
    <t>ΓΑΚΗΛΑΖΟΣ</t>
  </si>
  <si>
    <t>Ολοήμερο Δημοτικό Σχολείο Διαπολιτισμικής Εκπαίδευσης</t>
  </si>
  <si>
    <t>16ο ΔΗΜΟΤΙΚΟ ΣΧΟΛΕΙΟ ΧΑΝΙΩΝ ΔΙΑΠΟΛΙΤΙΣΜΙΚΗΣ ΕΚΠΑΙΔΕΥΣΗΣ</t>
  </si>
  <si>
    <t>mail@16dim-diap-chanion.chan.sch.gr</t>
  </si>
  <si>
    <t>6ο ΝΗΠΙΑΓΩΓΕΙΟ ΧΑΝΙΩΝ</t>
  </si>
  <si>
    <t>mail@6nip-chanion.chan.sch.gr</t>
  </si>
  <si>
    <t>ΓΑΛΛΗ</t>
  </si>
  <si>
    <t>ΘΩΜΗ</t>
  </si>
  <si>
    <t>thomigalli@hotmail.com</t>
  </si>
  <si>
    <t>772/23.08.10</t>
  </si>
  <si>
    <t>ΓΑΣΠΑΡΙΔΟΥ</t>
  </si>
  <si>
    <t>12ο ΔΗΜΟΤΙΚΟ ΣΧΟΛΕΙΟ ΧΑΝΙΩΝ</t>
  </si>
  <si>
    <t>mail@12dim-chanion.chan.sch.gr</t>
  </si>
  <si>
    <t>ΓΕΛΑΛΗΣ</t>
  </si>
  <si>
    <t>ΓΕΝΕΙΑΤΑΚΗ</t>
  </si>
  <si>
    <t>2ο ΝΗΠΙΑΓΩΓΕΙΟ ΑΓΡΟΚΗΠΙΟΥ</t>
  </si>
  <si>
    <t>mail@2nip-agrok.chan.sch.gr</t>
  </si>
  <si>
    <t>ΓΕΟΓΛΟΥ</t>
  </si>
  <si>
    <t>ΓΕΡΑΚΑΚΗ</t>
  </si>
  <si>
    <t>ΓΕΡΑΛΗ ΚΑΡΚΑΝΟΡΑΧΑΚΗ</t>
  </si>
  <si>
    <t>4ο ΝΗΠΙΑΓΩΓΕΙΟ ΜΟΥΡΝΙΩΝ</t>
  </si>
  <si>
    <t>mail@4nip-mourn.chan.sch.gr</t>
  </si>
  <si>
    <t>ΓΕΡΟΝΤΗ</t>
  </si>
  <si>
    <t>1ο ΔΗΜΟΤΙΚΟ ΣΧΟΛΕΙΟ ΧΑΝΙΩΝ</t>
  </si>
  <si>
    <t>mail@1dim-chanion.chan.sch.gr</t>
  </si>
  <si>
    <t>ΓΕΩΡΓΑΛΗ</t>
  </si>
  <si>
    <t>trgeorgali@yahoo.com</t>
  </si>
  <si>
    <t>ΓΕΩΡΓΑΝΤΑ</t>
  </si>
  <si>
    <t>mail@dipe.chan.sch.gr</t>
  </si>
  <si>
    <t>ΓΕΩΡΓΑΡΟΥΔΗ</t>
  </si>
  <si>
    <t>kalliopi.geo.78@gmail.com</t>
  </si>
  <si>
    <t>ΓΕΩΡΓΙΑΔΗ - ΑΝΔΡΕΑΔΑΚΗ</t>
  </si>
  <si>
    <t>2ο ΔΗΜΟΤΙΚΟ ΣΧΟΛΕΙΟ ΝΕΑΣ ΚΥΔΩΝΙΑΣ</t>
  </si>
  <si>
    <t>mail@2dim-n-kydon.chan.sch.gr</t>
  </si>
  <si>
    <t>ΕΙΔΙΚΟ ΔΗΜΟΤΙΚΟ ΣΧΟΛΕΙΟ ΧΑΝΙΩΝ - ΕΙΔΙΚΟ ΔΗΜΟΤΙΚΟ ΣΧΟΛΕΙΟ ΓΙΑ ΑΥΤΙΣΤΙΚΑ ΠΑΙΔΙΑ</t>
  </si>
  <si>
    <t>mail@dim-eid-chanion.chan.sch.gr</t>
  </si>
  <si>
    <t>georgiadoumar@yahoo.gr</t>
  </si>
  <si>
    <t>gogogeorgakakh@yahoo.gr</t>
  </si>
  <si>
    <t>ΓΕΩΡΓΙΑΝΝΑΚΗ</t>
  </si>
  <si>
    <t>ΓΕΩΡΓΙΛΑΚΗ</t>
  </si>
  <si>
    <t>crgeo65@otenet.gr</t>
  </si>
  <si>
    <t>ΔΗΜΟΤΙΚΟ ΣΧΟΛΕΙΟ ΠΑΖΙΝΟΥ</t>
  </si>
  <si>
    <t>dimpazichan@sch.gr</t>
  </si>
  <si>
    <t>ΔΗΜΟΤΙΚΟ ΣΧΟΛΕΙΟ ΑΓΡΟΚΗΠΙΟY</t>
  </si>
  <si>
    <t>dimagrok@sch.gr</t>
  </si>
  <si>
    <t>ΓΕΩΡΓΟΥΛΑΚΗ</t>
  </si>
  <si>
    <t>ΓΕΩΡΓΟΥΣΑΚΗ</t>
  </si>
  <si>
    <t>ΔΗΜΟΤΙΚΟ ΣΧΟΛΕΙΟ ΒΟΥΚΟΛΙΩΝ</t>
  </si>
  <si>
    <t>mail@dim-voukol.chan.sch.gr</t>
  </si>
  <si>
    <t>ΓΙΑΛΙΤΑΚΗ</t>
  </si>
  <si>
    <t>1ο ΝΗΠΙΑΓΩΓΕΙΟ ΑΡΩΝΙΟΥ</t>
  </si>
  <si>
    <t>mail@1nip-aroniou.chan.sch.gr</t>
  </si>
  <si>
    <t>ΓΙΑΝΓΚ</t>
  </si>
  <si>
    <t>ΝΤΩΝ ΑΝΝ</t>
  </si>
  <si>
    <t>ΡΑΙΜΟΝΤ</t>
  </si>
  <si>
    <t>ΒΑΛΕΡ</t>
  </si>
  <si>
    <t>ΓΙΑΝΔΙΚΙΔΟΥ</t>
  </si>
  <si>
    <t>29ο ΝΗΠΙΑΓΩΓΕΙΟ ΧΑΝΙΩΝ</t>
  </si>
  <si>
    <t>mail@29nip-chanion.chan.sch.gr</t>
  </si>
  <si>
    <t>ΓΙΑΝΝΑΚΑΡΑ</t>
  </si>
  <si>
    <t>1ο ΝΗΠΙΑΓΩΓΕΙΟ ΠΕΡΙΒΟΛΙΩΝ</t>
  </si>
  <si>
    <t>mail@1nip-periv.chan.sch.gr</t>
  </si>
  <si>
    <t xml:space="preserve">ΓΙΑΝΝΑΚΗ </t>
  </si>
  <si>
    <t>ΓΙΑΝΝΑΚΙΔΟΥ</t>
  </si>
  <si>
    <t>penny_yia@yahoo.com</t>
  </si>
  <si>
    <t>ΓΙΑΝΝΑΡΗ</t>
  </si>
  <si>
    <t>konstyann@gmail.com</t>
  </si>
  <si>
    <t>ΓΙΑΝΝΕΝΑΚΗΣ</t>
  </si>
  <si>
    <t>kosgia1980@yahoo.gr</t>
  </si>
  <si>
    <t>ΓΙΑΝΝΙΔΟΥ</t>
  </si>
  <si>
    <t>ariannakig@yahoo.gr</t>
  </si>
  <si>
    <t>trgian3@gmail.com</t>
  </si>
  <si>
    <t>ΓΙΑΝΝΟΥΣΟΠΟΥΛΟΥ</t>
  </si>
  <si>
    <t>giannousop@sch.gr</t>
  </si>
  <si>
    <t>ΓΙΩΤΑ</t>
  </si>
  <si>
    <t>ΓΡΑΜΜΑΤΙΑ</t>
  </si>
  <si>
    <t>ΠΟΛΥΔΩΡ</t>
  </si>
  <si>
    <t>ΓΚΑΓΚΛΑΚΗ</t>
  </si>
  <si>
    <t>ΓΚΑΝΑΔΑΚΗ</t>
  </si>
  <si>
    <t>ΣΤΑΜΑΤΙΑ ΕΛΕΝΗ</t>
  </si>
  <si>
    <t>ΓΚΑΡΝΕΤΑ</t>
  </si>
  <si>
    <t>elgarneta@gmail.com</t>
  </si>
  <si>
    <t>1ο ΕΙΔΙΚΟ ΝΗΠΙΑΓΩΓΕΙΟ ΧΑΝΙΩΝ</t>
  </si>
  <si>
    <t>mail@1nip-eid-chanion.chan.sch.gr</t>
  </si>
  <si>
    <t>ΓΚΑΡΤΖΟΝΙΚΑ</t>
  </si>
  <si>
    <t>2ο ΕΙΔΙΚΟ ΔΗΜΟΤΙΚΟ ΣΧΟΛΕΙΟ ΧΑΝΙΩΝ</t>
  </si>
  <si>
    <t>mail@2dim-eid-chan.chan.sch.gr</t>
  </si>
  <si>
    <t>ΓΚΕΝΩΣΗ</t>
  </si>
  <si>
    <t>ΔΗΜΟΤΙΚΟ ΣΧΟΛΕΙΟ ΒΑΜΒΑΚΟΠΟΥΛΟΥ</t>
  </si>
  <si>
    <t>mail@dim-vamvak.chan.sch.gr</t>
  </si>
  <si>
    <t xml:space="preserve">ΓΚΕΝΩΣΗ </t>
  </si>
  <si>
    <t xml:space="preserve">ΚΩΝΣΤΑΝΤΙΝΟΣ </t>
  </si>
  <si>
    <t>ΓΚΕΡΜΠΕΣΙΩΤΟΥ</t>
  </si>
  <si>
    <t>agkermpersiotou@gmail.com</t>
  </si>
  <si>
    <t>ΓΚΕΡΤΣΑΚΗΣ</t>
  </si>
  <si>
    <t>ΓΚΙΑΛΟΠΟΥΛΟΥ</t>
  </si>
  <si>
    <t>ΓΚΙΑΣΤΑ</t>
  </si>
  <si>
    <t>ΓΚΙΟΚΑ-ΣΕΜΑ</t>
  </si>
  <si>
    <t>ΑΝΤΕΛΙΝΑ</t>
  </si>
  <si>
    <t>ΧΑΡΕΤΙΝ</t>
  </si>
  <si>
    <t>ΓΚΙΟΥΖΕΛΑΚΗ</t>
  </si>
  <si>
    <t>ΓΚΙΡΤΖΙΜΑΝΗ</t>
  </si>
  <si>
    <t>ΠΕΤΡΟΝΕΛΛΑ</t>
  </si>
  <si>
    <t>1ο ΝΗΠΙΑΓΩΓΕΙΟ ΠΑΛΑΙΟΧΩΡΑΣ</t>
  </si>
  <si>
    <t>mail@1nip-palaioch.chan.sch.gr</t>
  </si>
  <si>
    <t>1ο ΝΗΠΙΑΓΩΓΕΙΟ ΚΙΣΑΜΟΥ</t>
  </si>
  <si>
    <t>mail@1nip-kisam.chan.sch.gr</t>
  </si>
  <si>
    <t>ΓΚΛΑΒΑ</t>
  </si>
  <si>
    <t>ΓΚΟΓΚΑ</t>
  </si>
  <si>
    <t>ΓΚΟΓΚΟΣ</t>
  </si>
  <si>
    <t>ΓΚΟΛΕΜΗ</t>
  </si>
  <si>
    <t>ΓΚΟΡΟΥ</t>
  </si>
  <si>
    <t>ΘΕΟΔΩΣΙΑ</t>
  </si>
  <si>
    <t>ΓΚΟΥΛΙΑΦΑ</t>
  </si>
  <si>
    <t>Katerina_far@yahoo.gr</t>
  </si>
  <si>
    <t>5ο ΝΗΠΙΑΓΩΓΕΙΟ ΚΙΣΑΜΟΥ</t>
  </si>
  <si>
    <t>mail@5nip-kissam.chan.sch.gr</t>
  </si>
  <si>
    <t>ΓΚΟΥΝΤΕΛΑ</t>
  </si>
  <si>
    <t>ΓΚΟΥΤΖΑ</t>
  </si>
  <si>
    <t>ΓΟΜΠΑΚΗ</t>
  </si>
  <si>
    <t>ggompaki@yahoo.gr</t>
  </si>
  <si>
    <t>ΓΟΝΑΛΑΚΗ</t>
  </si>
  <si>
    <t>ΓΟΥΒΕΡΑΚΗ</t>
  </si>
  <si>
    <t>ΓΟΥΝΑΡΗ</t>
  </si>
  <si>
    <t>efi86@windowslive.com</t>
  </si>
  <si>
    <t>ΓΟΥΠΟΥ</t>
  </si>
  <si>
    <t>ΓΟΥΣΙΑ</t>
  </si>
  <si>
    <t>ΚΩΝ/ΝΙΑ</t>
  </si>
  <si>
    <t>3ο ΔΗΜΟΤΙΚΟ ΣΧΟΛΕΙΟ ΚΟΥΝΟΥΠΙΔΙΑΝΩΝ</t>
  </si>
  <si>
    <t>ΓΡΑΜΜΑΤΙΚΟΠΟΥΛΟΥ</t>
  </si>
  <si>
    <t>ΚΩΝ/ΤΙΑ</t>
  </si>
  <si>
    <t>ΓΡΗΓΟΡΙΑΔΟΥ</t>
  </si>
  <si>
    <t>ΦΙΛΙΠΠΙΤΣΑ</t>
  </si>
  <si>
    <t>ΓΡΥΦΑΚΗ</t>
  </si>
  <si>
    <t>ΓΥΠΑΡΗ</t>
  </si>
  <si>
    <t>sgipari@mycosmos.gr</t>
  </si>
  <si>
    <t>gwniwtaki@gmail.com</t>
  </si>
  <si>
    <t>26ο ΝΗΠΙΑΓΩΓΕΙΟ ΧΑΝΙΩΝ</t>
  </si>
  <si>
    <t>mail@26nip-chanion.chan.sch.gr</t>
  </si>
  <si>
    <t>ΔΑΒΡΑΔΟΥ</t>
  </si>
  <si>
    <t>ΔΑΛΑΜΑΡΑΣ</t>
  </si>
  <si>
    <t>dalevan25@hotmail.com</t>
  </si>
  <si>
    <t>ΔΑΜΗΛΑΚΗ</t>
  </si>
  <si>
    <t>ΔΑΡΣΙΝΟΥ</t>
  </si>
  <si>
    <t>22ο ΝΗΠΙΑΓΩΓΕΙΟ ΧΑΝΙΩΝ</t>
  </si>
  <si>
    <t>mail@22nip-chanion.chan.sch.gr</t>
  </si>
  <si>
    <t>ΝΗΠΙΑΓΩΓΕΙΟ ΚΑΛΟΥΔΙΑΝΩΝ</t>
  </si>
  <si>
    <t>mail@nip-kaloud.chan.sch.gr</t>
  </si>
  <si>
    <t>ΚΑΛΟΥΔΙΑΝΩΝ</t>
  </si>
  <si>
    <t>ΜΑΡΙΝΑ ΣΟΦΙΑ</t>
  </si>
  <si>
    <t>marinitamarinita@hotmail.com</t>
  </si>
  <si>
    <t>720/τ. Γ'</t>
  </si>
  <si>
    <t>ioannisdask71@gmail.com</t>
  </si>
  <si>
    <t>218/Ο1</t>
  </si>
  <si>
    <t>ΔΕΔΗ</t>
  </si>
  <si>
    <t>ΔΕΛΗΓΕΩΡΓΑΚΗ</t>
  </si>
  <si>
    <t>31ο ΝΗΠΙΑΓΩΓΕΙΟ ΧΑΝΙΩΝ</t>
  </si>
  <si>
    <t>mail@31nip-chanion.chan.sch.gr</t>
  </si>
  <si>
    <t>ΔΗΜΟΤΙΚΟ ΣΧΟΛΕΙΟ ΦΡΕ</t>
  </si>
  <si>
    <t>mail@dim-fre.chan.sch.gr</t>
  </si>
  <si>
    <t>ΦΡΕ</t>
  </si>
  <si>
    <t>ΔΕΛΗΜΠΑΣΗΣ</t>
  </si>
  <si>
    <t>ΔΕΛΗΠΑΛΤΑ</t>
  </si>
  <si>
    <t>ΔΕΝΔΡΑΚΗ</t>
  </si>
  <si>
    <t>kalliopidendraki@gmail.com</t>
  </si>
  <si>
    <t>ΝΗΠΙΑΓΩΓΕΙΟ ΒΑΜΟΥ</t>
  </si>
  <si>
    <t>mail@nip-vamou.chan.sch.gr</t>
  </si>
  <si>
    <t>1ο ΝΗΠΙΑΓΩΓΕΙΟ ΤΣΙΚΑΛΑΡΙΩΝ</t>
  </si>
  <si>
    <t>mail@nip-tsikal.chan.sch.gr</t>
  </si>
  <si>
    <t>ΔΕΡΟΥΚΑΚΗ</t>
  </si>
  <si>
    <t>862/Τ.Γ</t>
  </si>
  <si>
    <t>ΝΗΠΙΑΓΩΓΕΙΟ ΑΣΗ ΓΩΝΙΑΣ</t>
  </si>
  <si>
    <t>mail@nip-asigon.chan.sch.gr</t>
  </si>
  <si>
    <t>ΑΣΗ ΓΩΝΙΑΣ</t>
  </si>
  <si>
    <t>ΔΗΜΗΤΡΟΥΛΑΚΗ</t>
  </si>
  <si>
    <t>ΔΗΜΟΓΕΡΟΝΤΑΚΗ</t>
  </si>
  <si>
    <t>katdimoger@gmail.com</t>
  </si>
  <si>
    <t>ΔΗΜΟΓΕΡΟΝΤΑΚΗΣ</t>
  </si>
  <si>
    <t>ΔΗΜΟΤΙΚΟ ΣΧΟΛΕΙΟ ΒΑΤΟΛΑΚΚΟΥ ΧΑΝΙΩΝ</t>
  </si>
  <si>
    <t>mail@dim-vatol.chan.sch.gr</t>
  </si>
  <si>
    <t>ΔΙΓΑΛΑΚΗ</t>
  </si>
  <si>
    <t>4ο ΝΗΠΙΑΓΩΓΕΙΟ ΝΕΑΣ ΚΥΔΩΝΙΑΣ - ΣΤΑΛΟΥ ΧΑΝΙΩΝ</t>
  </si>
  <si>
    <t>mail@4nip-n-kydon.chan.sch.gr</t>
  </si>
  <si>
    <t>ΣΤΑΛΟΥ</t>
  </si>
  <si>
    <t>ΔΙΓΩΝΗ</t>
  </si>
  <si>
    <t>2o ΝΗΠΙΑΓΩΓΕΙΟ ΧΡΥΣΟΠΗΓΗΣ</t>
  </si>
  <si>
    <t>mail@2nip-chrys.chan.sch.gr</t>
  </si>
  <si>
    <t>ΔΙΜΙΖΑ</t>
  </si>
  <si>
    <t>ΔΙΩΤΗ</t>
  </si>
  <si>
    <t>ΝΗΠΙΑΓΩΓΕΙΟ ΚΟΥΝΤΟΥΡΑΣ</t>
  </si>
  <si>
    <t>mail@nip-kount.chan.sch.gr</t>
  </si>
  <si>
    <t>ΔΟΒΡΟΣ</t>
  </si>
  <si>
    <t>ΔΟΛΑΠΤΣΗ</t>
  </si>
  <si>
    <t>ΘΕΟΔΟΥΛΟΣ</t>
  </si>
  <si>
    <t>ΔΟΛΓΥΡΑΣ</t>
  </si>
  <si>
    <t>steliosdol@yahoo.gr</t>
  </si>
  <si>
    <t>ΔΟΛΙΑΝΙΤΗ</t>
  </si>
  <si>
    <t>ΠΑΝΤΕΛΙΤΣΑ</t>
  </si>
  <si>
    <t>ΔΗΜΟΤΙΚΟ ΣΧΟΛΕΙΟ ΡΟΔΟΒΑΝΙΟΥ</t>
  </si>
  <si>
    <t>mail@dim-rodov.chan.sch.gr</t>
  </si>
  <si>
    <t>ΔΟΥΖΛΑΤΖΗ</t>
  </si>
  <si>
    <t>elenadouzlatzi@yahoo.com</t>
  </si>
  <si>
    <t>aggeliki83d@hotmail.com</t>
  </si>
  <si>
    <t>2ο ΔΗΜΟΤΙΚΟ ΣΧΟΛΕΙΟ ΧΑΝΙΩΝ</t>
  </si>
  <si>
    <t>mail@2dim-chanion.chan.sch.gr</t>
  </si>
  <si>
    <t>ΥΠΑΠΑΝΤΗ</t>
  </si>
  <si>
    <t>ΠΑΣΧΑΛΙΑ-ΕΙΡΗΝΗ</t>
  </si>
  <si>
    <t>ΤΟΥΡΙΝΤ</t>
  </si>
  <si>
    <t>ΔΟΥΛΓΕΡΗ</t>
  </si>
  <si>
    <t>ΔΟΥΛΓΚΕΡΗ</t>
  </si>
  <si>
    <t>6ο ΝΗΠΙΑΓΩΓΕΙΟ ΝΕΑΣ ΚΥΔΩΝΙΑΣ</t>
  </si>
  <si>
    <t>mail@6nip-n-kydon.chan.sch.gr</t>
  </si>
  <si>
    <t>ΔΟΥΜΟΥ</t>
  </si>
  <si>
    <t>ΕΛΠΙΝΙΚ</t>
  </si>
  <si>
    <t>ΔΟΥΝΑΒΗΣ</t>
  </si>
  <si>
    <t>ΔΟΥΡΜΟΥΣΟΓΛΟΥ</t>
  </si>
  <si>
    <t>tweetypd21@yahoo.gr</t>
  </si>
  <si>
    <t>759/Γ/07-09-2009</t>
  </si>
  <si>
    <t>ΝΗΠΙΑΓΩΓΕΙΟ ΧΩΡΑΦΑΚΙΩΝ</t>
  </si>
  <si>
    <t>mail@4nip-akrot.chan.sch.gr</t>
  </si>
  <si>
    <t>ddouflia@sch.gr</t>
  </si>
  <si>
    <t>ΔΡΑΚΑΚΑΚΗ</t>
  </si>
  <si>
    <t>ΣΟΦΙΑ-ΧΡΥΣΗ</t>
  </si>
  <si>
    <t>sofigreece@yahoo.com</t>
  </si>
  <si>
    <t>ΔΡΟΣΙΝΟΥ</t>
  </si>
  <si>
    <t>ΔΡΟΥΜΠΑΚΗ</t>
  </si>
  <si>
    <t>ΕΛΕΥΘΕΡΙΑΔΟΥ</t>
  </si>
  <si>
    <t>4ο ΝΗΠΙΑΓΩΓΕΙΟ ΚΙΣΑΜΟΥ</t>
  </si>
  <si>
    <t>mail@4nip-kisam.chan.sch.gr</t>
  </si>
  <si>
    <t>ΕΞΕΖΙΔΟΥ</t>
  </si>
  <si>
    <t>ΕΥΑΓΓΕΛΑΚΗ</t>
  </si>
  <si>
    <t>aevaggelaki@gmail.com</t>
  </si>
  <si>
    <t>ΝΗΠΙΑΓΩΓΕΙΟ ΣΚΙΝΕ - ΦΟΥΡΝΕ</t>
  </si>
  <si>
    <t>mail@2nip-mousour.chan.sch.gr</t>
  </si>
  <si>
    <t>ΕΥΔΟΚΗ</t>
  </si>
  <si>
    <t>evdoki@hotmail.com</t>
  </si>
  <si>
    <t>ΡΟΥΜΠΙΝ</t>
  </si>
  <si>
    <t>marianaethi@yahoo.gr</t>
  </si>
  <si>
    <t>ΖΑΓΚΑΝΑ</t>
  </si>
  <si>
    <t>ΖΑΓΟΡΑ</t>
  </si>
  <si>
    <t>8ο  ΝΗΠΙΑΓΩΓΕΙΟ ΧΑΝΙΩΝ</t>
  </si>
  <si>
    <t>mail@8nip-chanion.chan.sch.gr</t>
  </si>
  <si>
    <t>ΖΑΡΙΦΕΙΔΟΥ</t>
  </si>
  <si>
    <t>ΖΑΡΟΚΩΣΤΑ</t>
  </si>
  <si>
    <t>ΝΗΠΙΑΓΩΓΕΙΟ ΑΣΚΥΦΟΥ</t>
  </si>
  <si>
    <t>mail@nip-askyf.chan.sch.gr</t>
  </si>
  <si>
    <t>ΑΣΚΥΦΟΥ</t>
  </si>
  <si>
    <t>dafzax@yahoo.gr</t>
  </si>
  <si>
    <t>2ο ΝΗΠΙΑΓΩΓΕΙΟ ΚΑΛΥΒΩΝ</t>
  </si>
  <si>
    <t>mail@2nip-kalyv.chan.sch.gr</t>
  </si>
  <si>
    <t>ΖΑΧΑΡΟΥΔΗ</t>
  </si>
  <si>
    <t>johanangr@yahoo.gr</t>
  </si>
  <si>
    <t>ΝΗΠΙΑΓΩΓΕΙΟ ΑΓΙΑΣ</t>
  </si>
  <si>
    <t>mail@nip-agias.chan.sch.gr</t>
  </si>
  <si>
    <t>ΖΙΑΖΙΑΡΗ</t>
  </si>
  <si>
    <t>ΖΙΟΥΓΡΗ</t>
  </si>
  <si>
    <t>axilleaszorbas@gmail.com</t>
  </si>
  <si>
    <t>ΖΟΥΜΑΔΑΚΗ</t>
  </si>
  <si>
    <t>ΖΟΥΜΠΕΚΛΗ</t>
  </si>
  <si>
    <t>ioannazoump@windowslive.vom</t>
  </si>
  <si>
    <t>653/18-8-09 τ.Γ΄</t>
  </si>
  <si>
    <t>ΖΟΥΠΑΝΤΗ</t>
  </si>
  <si>
    <t>ΜΕΤΑΞΙΑ</t>
  </si>
  <si>
    <t>ΖΥΜΒΡΑΓΟΥΔΑΚΗΣ</t>
  </si>
  <si>
    <t>ΖΩΙΔΑΚΗ</t>
  </si>
  <si>
    <t>elinaz@grecian.net</t>
  </si>
  <si>
    <t>ΖΩΪΔΟΥ</t>
  </si>
  <si>
    <t>ΗΛΙΑ-ΔΗΜΟΠΟΥΛΟΥ</t>
  </si>
  <si>
    <t>nektaria-iliaki@yahoo.com</t>
  </si>
  <si>
    <t>ΘΕΟΔΟΥΛΟΥ</t>
  </si>
  <si>
    <t>4ο ΝΗΠΙΑΓΩΓΕΙΟ ΧΑΝΙΩΝ</t>
  </si>
  <si>
    <t>mail@4nip-chanion.chan.sch.gr</t>
  </si>
  <si>
    <t>772 τ. Γ΄</t>
  </si>
  <si>
    <t>ΘΕΟΔΩΡΑΚΟΥ</t>
  </si>
  <si>
    <t>ΦΩΤΟΥΛΑ</t>
  </si>
  <si>
    <t>ΘΕΟΣ</t>
  </si>
  <si>
    <t>the_chris@hotmail.com</t>
  </si>
  <si>
    <t>ΘΩΜΟΥ</t>
  </si>
  <si>
    <t>ΙΟΡΔΑΝΙΔΗΣ</t>
  </si>
  <si>
    <t>ΙΩΑΝΝΟΥ ΦΡΑΓΚΑΚΗ</t>
  </si>
  <si>
    <t>ΦΩΣΤΗΡΑ</t>
  </si>
  <si>
    <t>ΙΩΣΗΦΙΔΟΥ</t>
  </si>
  <si>
    <t>ΕΡΙΦΙΛΗ</t>
  </si>
  <si>
    <t>ΔΗΜΟΤΙΚΟ ΣΧΟΛΕΙΟ ΕΜΠΡΟΣΝΕΡΟΥ</t>
  </si>
  <si>
    <t>mail@dim-empros.chan.sch.gr</t>
  </si>
  <si>
    <t>ΕΜΠΡΟΣΝΕΡΟΥ</t>
  </si>
  <si>
    <t>ΚΑΒΑΖΙΔΟΥ</t>
  </si>
  <si>
    <t>ΚΑΒΑΛΟΥ</t>
  </si>
  <si>
    <t>ΔΗΜΟΤΙΚΟ ΣΧΟΛΕΙΟ ΜΑΛΕΜΕ</t>
  </si>
  <si>
    <t>mail@dim-malem.chan.sch.gr</t>
  </si>
  <si>
    <t>ΜΑΛΕΜΕ</t>
  </si>
  <si>
    <t>ΚΑΒΟΥΡΤΖΙΔΟΥ</t>
  </si>
  <si>
    <t>ΚΑΒΡΟΥΔΑΚΗ</t>
  </si>
  <si>
    <t>ΝΗΠΙΑΓΩΓΕΙΟ ΣΚΑΛΩΤΗΣ</t>
  </si>
  <si>
    <t>mail@nip-skalot.chan.sch.gr</t>
  </si>
  <si>
    <t>ΣΚΑΛΩΤΗΣ</t>
  </si>
  <si>
    <t>ΚΑΒΡΟΥΛΑΚΗ</t>
  </si>
  <si>
    <t>ΑΝΤΩΝΙΑ-ΜΑΡΙΑ</t>
  </si>
  <si>
    <t>donamak@gmail.com</t>
  </si>
  <si>
    <t>kavroulakirodanthi@hotmail.com</t>
  </si>
  <si>
    <t>ΚΑΓΙΟΓΛΙΔΟΥ</t>
  </si>
  <si>
    <t>ΝΙΚΟΛΕΤΑ-ΒΑΣΙΛΙΚΗ</t>
  </si>
  <si>
    <t>ΚΑΚΑΒΕΛΑΚΗ</t>
  </si>
  <si>
    <t>ΚΑΚΑΟΥΝΑΚΗ</t>
  </si>
  <si>
    <t>evitakakao@gmail.com</t>
  </si>
  <si>
    <t>2ο ΝΗΠΙΑΓΩΓΕΙΟ ΚΙΣΑΜΟΥ</t>
  </si>
  <si>
    <t>mail@2nip-kisam.chan.sch.gr</t>
  </si>
  <si>
    <t>ΚΑΚΑΡΩΝΗ</t>
  </si>
  <si>
    <t>1ο ΝΗΠΙΑΓΩΓΕΙΟ ΒΑΜΒΑΚΟΠΟΥΛΟΥ</t>
  </si>
  <si>
    <t>mail@1nip-vamvak.chan.sch.gr</t>
  </si>
  <si>
    <t>ΚΑΚΟΥΛΗ</t>
  </si>
  <si>
    <t>38ο ΝΗΠΙΑΓΩΓΕΙΟ ΧΑΝΙΩΝ</t>
  </si>
  <si>
    <t>mail@38nip-chanion.chan.sch.gr</t>
  </si>
  <si>
    <t>15ο ΝΗΠΙΑΓΩΓΕΙΟ ΧΑΝΙΩΝ</t>
  </si>
  <si>
    <t>mail@15nip-chanion.chan.sch.gr</t>
  </si>
  <si>
    <t>ΔΗΜΟΤΙΚΟ ΣΧΟΛΕΙΟ ΚΑΝΤΑΝΟΥ ΧΑΝΙΩΝ</t>
  </si>
  <si>
    <t>mail@dim-kantan.chan.sch.gr</t>
  </si>
  <si>
    <t>ΚΑΛΑΪΤΖΙΔΑΚΗ</t>
  </si>
  <si>
    <t>19ο ΝΗΠΙΑΓΩΓΕΙΟ ΧΑΝΙΩΝ</t>
  </si>
  <si>
    <t>mail@19nip-chanion.chan.sch.gr</t>
  </si>
  <si>
    <t>ΚΑΛΑΙΤΣΙΔΟΥ</t>
  </si>
  <si>
    <t>ΒΑΡΙΑΝΝΑ</t>
  </si>
  <si>
    <t>ΚΑΛΑΜΠΑΛΙΚΗΣ</t>
  </si>
  <si>
    <t>ΚΑΛΑΤΖΑΝΤΩΝΑΚΗΣ</t>
  </si>
  <si>
    <t>xrkalergi@gmail.com</t>
  </si>
  <si>
    <t>ΚΑΛΕΣΙΟΥ</t>
  </si>
  <si>
    <t>ΝΗΠΙΑΓΩΓΕΙΟ ΓΡΑΜΒΟΥΣΑΣ</t>
  </si>
  <si>
    <t>mail@nip-gramv.chan.sch.gr</t>
  </si>
  <si>
    <t>ΓΡΑΜΒΟΥΣΗΣ</t>
  </si>
  <si>
    <t>ΚΑΛΛΙΓΕΡΗΣ</t>
  </si>
  <si>
    <t>ΚΑΛΛΙΝΗ</t>
  </si>
  <si>
    <t>3o  ΔΗΜΟΤΙΚΟ  ΣΧΟΛΕΙΟ  ΚΙΣΑΜΟΥ</t>
  </si>
  <si>
    <t>mail@3dim-kisam.chan.sch.gr</t>
  </si>
  <si>
    <t>ΚΑΛΟΓΕΡΗ</t>
  </si>
  <si>
    <t>33ο ΝΗΠΙΑΓΩΓΕΙΟ ΧΑΝΙΩΝ</t>
  </si>
  <si>
    <t>mail@33nip-chanion.chan.sch.gr</t>
  </si>
  <si>
    <t>ΚΑΛΠΑΚΙΔΟΥ</t>
  </si>
  <si>
    <t>ΠΕΛΑΓIA</t>
  </si>
  <si>
    <t>ΚΑΛΤΣΙΔΟΥ</t>
  </si>
  <si>
    <t>ΚΑΜΑΡΗ</t>
  </si>
  <si>
    <t>ΔΗΜΟΤΙΚΟ ΣΧΟΛΕΙΟ ΠΑΛΑΙΟΧΩΡΑΣ</t>
  </si>
  <si>
    <t>mail@dim-palaioch.chan.sch.gr</t>
  </si>
  <si>
    <t>ΚΑΜΝΙΑΤΣΟΥ</t>
  </si>
  <si>
    <t>ΘΕΩΔΟΡΟΣ</t>
  </si>
  <si>
    <t>Padeleimons@yahoo.gr</t>
  </si>
  <si>
    <t>ΚΑΜΠΙΤΣΗ</t>
  </si>
  <si>
    <t>makampouraki@gmail.com</t>
  </si>
  <si>
    <t>ΚΑΜΠΟΥΡΙΔΟΥ</t>
  </si>
  <si>
    <t>ΕΙΡΗΝΗ-ΕΠΙΣΤΗΜΗ</t>
  </si>
  <si>
    <t>ΗΛΙΑΝΝΑ</t>
  </si>
  <si>
    <t>ΚΑΜΤΣΙΚΗ</t>
  </si>
  <si>
    <t>ΚΑΝΔΑΡΑΚΗΣ</t>
  </si>
  <si>
    <t>gkandar@otenet.gr</t>
  </si>
  <si>
    <t>ΚΑΝΔΗΛΙΔΟΥ</t>
  </si>
  <si>
    <t>ΝΗΠΙΑΓΩΓΕΙΟ ΚΟΥΡΝΑ</t>
  </si>
  <si>
    <t>mail@nip-kourn.chan.sch.gr</t>
  </si>
  <si>
    <t>ΚΑΝΔΥΛΗ</t>
  </si>
  <si>
    <t>mkanello83@gmail.com</t>
  </si>
  <si>
    <t>ΚΑΝΤΑΡΙΔΟΥ</t>
  </si>
  <si>
    <t>ΚΑΝΤΑΡΤΖΗ</t>
  </si>
  <si>
    <t>ΝΙΚΟΛ-ΣΙΜΟΝ</t>
  </si>
  <si>
    <t>ΚΑΠΑΝΤΑΪΔΑΚΗ</t>
  </si>
  <si>
    <t>ΚΑΠΕΝΕΚΑΚΗ</t>
  </si>
  <si>
    <t>ΚΑΠΕΤΑΝΑΚΗ ΡΟΥΤΖΑΚΗ</t>
  </si>
  <si>
    <t>ΚΑΠΙΚΗ</t>
  </si>
  <si>
    <t>daskala_3@hotmail.com</t>
  </si>
  <si>
    <t>ΚΑΠΙΡΝΑ</t>
  </si>
  <si>
    <t>kapnisakia@gmail.com</t>
  </si>
  <si>
    <t>ΚΑΠΟΔΙΣΤΡΙΑ</t>
  </si>
  <si>
    <t>1ο ΝΗΠΙΑΓΩΓΕΙΟ ΚΟΥΝΟΥΠΙΔΙΑΝΩΝ</t>
  </si>
  <si>
    <t>mail@1nip-akrot.chan.sch.gr</t>
  </si>
  <si>
    <t>ΚΑΠΡΙΔΑΚΗ</t>
  </si>
  <si>
    <t>maria_k18@yahoo.com</t>
  </si>
  <si>
    <t>ΚΑΡΑΒΑ</t>
  </si>
  <si>
    <t>ΚΑΡΑΒΑΡΑΚΗ</t>
  </si>
  <si>
    <t>ΚΑΡΑΒΑΣΙΛΗ</t>
  </si>
  <si>
    <t>ΚΑΡΑΒΙΤΑΚΗ</t>
  </si>
  <si>
    <t>32ο ΝΗΠΙΑΓΩΓΕΙΟ ΧΑΝΙΩΝ</t>
  </si>
  <si>
    <t>ΛΕΥΚΗ</t>
  </si>
  <si>
    <t>ΚΑΡΑΓΚΙΟΥΛΕ</t>
  </si>
  <si>
    <t>ΚΑΡΑΔΑΚΗΣ</t>
  </si>
  <si>
    <t>Karadakhs@gmail.com</t>
  </si>
  <si>
    <t>ΚΑΡΑΖΕΠΟΥΝΗ</t>
  </si>
  <si>
    <t>mkarazep@gmail.com</t>
  </si>
  <si>
    <t>ΚΑΡΑΘΑΝΟΥ</t>
  </si>
  <si>
    <t>ΒΙΟΛΕΤΤΑ ΣΠΥ</t>
  </si>
  <si>
    <t>meglet@otenet.gr</t>
  </si>
  <si>
    <t>ΝΗΠΙΑΓΩΓΕΙΟ ΓΕΩΡΓΙΟΥΠΟΛΗΣ</t>
  </si>
  <si>
    <t>mail@1nip-georg.chan.sch.gr</t>
  </si>
  <si>
    <t>ΚΑΡΑΪΣΚΟΥ</t>
  </si>
  <si>
    <t>ΚΑΡΑΚΑΣΗ</t>
  </si>
  <si>
    <t>ΚΑΡΑΚΥΚΛΑ</t>
  </si>
  <si>
    <t>ΚΑΡΑΜΟΥΣΛΗ</t>
  </si>
  <si>
    <t>ΚΑΡΑΜΠΙΝΑΚΗ</t>
  </si>
  <si>
    <t>zefi.karampinaki@gmail.com</t>
  </si>
  <si>
    <t>23ο ΝΗΠΙΑΓΩΓΕΙΟ ΧΑΝΙΩΝ</t>
  </si>
  <si>
    <t>mail@23nip-chanion.chan.sch.gr</t>
  </si>
  <si>
    <t>ΚΑΡΑΝΑΣΙΟΣ</t>
  </si>
  <si>
    <t>ΚΑΡΑΝΑΣΙΟΥ</t>
  </si>
  <si>
    <t>xrysakaranasiou@hotmail.com</t>
  </si>
  <si>
    <t>ΚΑΡΑΝΔΡΕΑ</t>
  </si>
  <si>
    <t>vickykar1983@yahoo.gr</t>
  </si>
  <si>
    <t>ΝΗΠΙΑΓΩΓΕΙΟ ΜΑΛΕΜΕ</t>
  </si>
  <si>
    <t>mail@2nip-malem.chan.sch.gr</t>
  </si>
  <si>
    <t>ΚΑΡΑΠΑΣΙΑ</t>
  </si>
  <si>
    <t>ΚΑΡΑΤΣΙΩΛΗ</t>
  </si>
  <si>
    <t>ΤΑΝΙΑ</t>
  </si>
  <si>
    <t>ΚΑΡΔΙΜΗ</t>
  </si>
  <si>
    <t>ΚΑΡΚΑΝΗ</t>
  </si>
  <si>
    <t>efthimaki@windowslive.com</t>
  </si>
  <si>
    <t>ΔΗΜΟΤΙΚΟ ΣΧΟΛΕΙΟ ΓΑΥΔΟΥ</t>
  </si>
  <si>
    <t>mail@dim-gavdou.chan.sch.gr</t>
  </si>
  <si>
    <t>ΓΑΥΔΟΥ</t>
  </si>
  <si>
    <t>ΚΑΡΜΟΙΡΗ</t>
  </si>
  <si>
    <t>ΚΑΡΟΛΕΜΕΑ</t>
  </si>
  <si>
    <t>ΚΑΡΠΑΤΣΗ</t>
  </si>
  <si>
    <t>ΚΑΡΤΑΛΗ</t>
  </si>
  <si>
    <t>1o ΝΗΠΙΑΓΩΓΕΙΟ ΣΟΥΔΑΣ</t>
  </si>
  <si>
    <t>mail@1nip-soudas.chan.sch.gr</t>
  </si>
  <si>
    <t>ΠΕ25</t>
  </si>
  <si>
    <t>ΣΧΟΛΙΚΟΙ ΝΟΣΗΛΕΥΤΕΣ</t>
  </si>
  <si>
    <t>ΚΑΣΣΑΡΗ</t>
  </si>
  <si>
    <t>13ο ΝΗΠΙΑΓΩΓΕΙΟ ΧΑΝΙΩΝ</t>
  </si>
  <si>
    <t>nipdetrcha@gmail.com</t>
  </si>
  <si>
    <t>ΚΑΣΤΑΝΑΡΑ</t>
  </si>
  <si>
    <t>ΚΑΣΤΑΝΟΠΟΥΛΑΚΗ</t>
  </si>
  <si>
    <t>ankastrinaki@icloud.com</t>
  </si>
  <si>
    <t>2ο  ΝΗΠΙΑΓΩΓΕΙΟ ΣΟΥΔΑΣ</t>
  </si>
  <si>
    <t>mail@2nip-soudas.chan.sch.gr</t>
  </si>
  <si>
    <t>ΚΑΤΖΟΥΝΗ</t>
  </si>
  <si>
    <t>ΝΗΠΙΑΓΩΓΕΙΟ ΚΟΛΥΜΒΑΡΙΟΥ</t>
  </si>
  <si>
    <t>mail@nip-kolymv.chan.sch.gr</t>
  </si>
  <si>
    <t>ΚΑΤΖΟΥΡΑΚΗ</t>
  </si>
  <si>
    <t>ΚΑΤΡΑΝΗ</t>
  </si>
  <si>
    <t>ΚΑΤΣΑΝΙΚΑΚΗ</t>
  </si>
  <si>
    <t>ΚΑΤΣΑΦΡΑΚΗ</t>
  </si>
  <si>
    <t>ΚΑΤΣΙΑΝΟΣ</t>
  </si>
  <si>
    <t>ΛΕΩΤΥΧΙΔΗΣ</t>
  </si>
  <si>
    <t>ΔΗΜΟΤΙΚΟ ΣΧΟΛΕΙΟ ΓΡΑΜΒΟΥΣΑΣ</t>
  </si>
  <si>
    <t>mail@dim-gramv.chan.sch.gr</t>
  </si>
  <si>
    <t>ΚΑΤΣΙΚΑΝΔΑΡΑΚΗ</t>
  </si>
  <si>
    <t>ΚΑΤΣΙΟΥΛΑ</t>
  </si>
  <si>
    <t>sofikatsoulaki@yahoo.com</t>
  </si>
  <si>
    <t>ΚΑΤΩΤΟΜΙΧΕΛΑΚΗΣ</t>
  </si>
  <si>
    <t>ΚΑΥΜΕΝΑΚΗΣ</t>
  </si>
  <si>
    <t>ΚΑΦΙΔΑ</t>
  </si>
  <si>
    <t>ΑΙΚΑΤΕΡΙΝΗ-Ν</t>
  </si>
  <si>
    <t>kkafiada@hottmail.com</t>
  </si>
  <si>
    <t>234/τ. Γ΄ 31-8-2006</t>
  </si>
  <si>
    <t>ΚΑΦΦΑΤΟΥ</t>
  </si>
  <si>
    <t>ΚΑΧΡΗΣ</t>
  </si>
  <si>
    <t>ΚΑΨΑΛΑΚΗ</t>
  </si>
  <si>
    <t>ΟΛΙΒΙΑ</t>
  </si>
  <si>
    <t>ΚΑΨΑΧΕΙΛΗ</t>
  </si>
  <si>
    <t>ΚΑΨΙΜΑΛΛΗ</t>
  </si>
  <si>
    <t>ΚΑΝΤΙΑ</t>
  </si>
  <si>
    <t>fkelaidi@gmail.com</t>
  </si>
  <si>
    <t>ΚΕΛΑΪΔΗΣ</t>
  </si>
  <si>
    <t>ΚΕΜΑΝΕΤΖΟΓΛΟΥ</t>
  </si>
  <si>
    <t>ΚΕΤΣΕΤΖΗ</t>
  </si>
  <si>
    <t>ΚΕΦΟΚΕΡΗ</t>
  </si>
  <si>
    <t>ΕΥΡΩΣΥΝΗ</t>
  </si>
  <si>
    <t>ΚΕΧΑΓΙΟΓΛΟΥ</t>
  </si>
  <si>
    <t>ΚΗΛΗ</t>
  </si>
  <si>
    <t>ΚΙΔΑΣ</t>
  </si>
  <si>
    <t>giank1s@hotmail.com</t>
  </si>
  <si>
    <t>ΚΙΚΙΔΗ</t>
  </si>
  <si>
    <t>ΚΙΚΙΛΗ</t>
  </si>
  <si>
    <t>ΚΙΚΙΛΙΑ</t>
  </si>
  <si>
    <t>ΡΟΔΑΜΗ</t>
  </si>
  <si>
    <t>imador08@yahoo.gr</t>
  </si>
  <si>
    <t>ΚΙΝΤΡΙΛΗ</t>
  </si>
  <si>
    <t>ΚΙΣΤΑΝΗΣ</t>
  </si>
  <si>
    <t>eleni_kitsiou@hotmail.com</t>
  </si>
  <si>
    <t>ΚΛΑΨΙΝΟΥ</t>
  </si>
  <si>
    <t>ΚΛΕΙΔΑΚΗ</t>
  </si>
  <si>
    <t>ΕΙΡΗΝΗ-ΑΙΚΑΤ</t>
  </si>
  <si>
    <t>ΚΛΗΜΑΤΣΑΚΗ</t>
  </si>
  <si>
    <t>mariaklim17@gmail.com</t>
  </si>
  <si>
    <t>ΚΛΗΡΟΝΟΜΟΥ</t>
  </si>
  <si>
    <t>ΚΛΩΚΟΥ</t>
  </si>
  <si>
    <t>ΚΟΓΙΑΝΝΑΚΗ</t>
  </si>
  <si>
    <t>ΚΟΓΧΥΛΑΚΗ</t>
  </si>
  <si>
    <t>ΚΟΖΑΚΗ</t>
  </si>
  <si>
    <t>spirosko@OTENET.GR</t>
  </si>
  <si>
    <t>ΚΟΚΟΓΙΑΝΝΑΚΗΣ</t>
  </si>
  <si>
    <t>ΚΟΚΟΛΟΓΙΑΝΝΗ</t>
  </si>
  <si>
    <t>5ο ΝΗΠΙΑΓΩΓΕΙΟ ΝΕΑΣ ΚΥΔΩΝΙΑΣ</t>
  </si>
  <si>
    <t>mail@5nip-n-kydon-dar.chan.sch.gr</t>
  </si>
  <si>
    <t>ΚΟΚΟΡΕΤΣΗΣ</t>
  </si>
  <si>
    <t>kokotsakimar@gmail.com</t>
  </si>
  <si>
    <t>ΚΟΛΕΖΗ</t>
  </si>
  <si>
    <t>ΕΡΙΟΛΑ</t>
  </si>
  <si>
    <t>ΓΙΩΡΓΑΚΗ</t>
  </si>
  <si>
    <t>kolezieri@gmail.com</t>
  </si>
  <si>
    <t>ΚΟΛΟΒΟΥ</t>
  </si>
  <si>
    <t>ΚΟΛΥΜΒΑΝΟΥ</t>
  </si>
  <si>
    <t>ΔΗΜΟΤΙΚΟ ΣΧΟΛΕΙΟ ΑΣΚΥΦΟΥ</t>
  </si>
  <si>
    <t>mail@dim-askyf.chan.sch.gr</t>
  </si>
  <si>
    <t>ΚΟΜΙΩΤΗ</t>
  </si>
  <si>
    <t>ΚΟΝΙΑΡΗ</t>
  </si>
  <si>
    <t>ΚΟΝΤΑΡΑΚΗΣ</t>
  </si>
  <si>
    <t>ΚΟΝΤΟΓΕΩΡΓΟΠΟΥΛΟΥ</t>
  </si>
  <si>
    <t>ΚΟΝΤΟΛΕΩΝ</t>
  </si>
  <si>
    <t>annakondoleon@gmail.com</t>
  </si>
  <si>
    <t>34ο ΝΗΠΙΑΓΩΓΕΙΟ ΧΑΝΙΩΝ</t>
  </si>
  <si>
    <t>mail@34nip-chanion.chan.sch.gr</t>
  </si>
  <si>
    <t>ΝΗΠΙΑΓΩΓΕΙΟ ΣΤΕΡΝΩΝ ΑΚΡΩΤΗΡΙΟΥ</t>
  </si>
  <si>
    <t>mail@3nip-akrot.chan.sch.gr</t>
  </si>
  <si>
    <t>ΚΟΡΝΙΖΑΚΗ</t>
  </si>
  <si>
    <t>5ο ΝΗΠΙΑΓΩΓΕΙΟ ΚΟΥΝΟΥΠΙΔΙΑΝΩΝ</t>
  </si>
  <si>
    <t>mail@5nip-kounoup.chan.sch.gr</t>
  </si>
  <si>
    <t>ΚΟΡΤΣΑΛΙΟΥΔΑΚΗ</t>
  </si>
  <si>
    <t>ΚΟΡΩΝΗ</t>
  </si>
  <si>
    <t>vkoroni@hotmail.com</t>
  </si>
  <si>
    <t>ΚΟΣΜΑ</t>
  </si>
  <si>
    <t>ΚΟΣΠΑΤΗ</t>
  </si>
  <si>
    <t>ΤΡΑΙΑΝΟΣ</t>
  </si>
  <si>
    <t>ΠΑΣΧΑΛΙ</t>
  </si>
  <si>
    <t>katekospati@gmail.com</t>
  </si>
  <si>
    <t>ΚΟΤΣΙΡΗ</t>
  </si>
  <si>
    <t>ΚΩΣΤΑΝΤΩ</t>
  </si>
  <si>
    <t>ΝΙΚ</t>
  </si>
  <si>
    <t>ΚΟΤΣΩΝΑ</t>
  </si>
  <si>
    <t>kotsonasp@yahoo.gr</t>
  </si>
  <si>
    <t>ΚΟΥΒΑΡΔΑ</t>
  </si>
  <si>
    <t>ΚΟΥΒΑΡΗ</t>
  </si>
  <si>
    <t>ΚΟΥΒΑΡΙΤΑΚΗ</t>
  </si>
  <si>
    <t>3ο ΝΗΠΙΑΓΩΓΕΙΟ ΚΟΥΝΟΥΠΙΔΙΑΝΩΝ</t>
  </si>
  <si>
    <t>mail@3nip-kounoup.chan.sch.gr</t>
  </si>
  <si>
    <t>ΚΟΥΒΑΡΙΤΑΚΗΣ</t>
  </si>
  <si>
    <t>ΚΟΥΓΕΝΤΑΚΗ</t>
  </si>
  <si>
    <t>ΚΟΥΓΙΟΥΜΤΖΙΔΟΥ</t>
  </si>
  <si>
    <t>ΚΟΥΓΙΟΥΤΑ</t>
  </si>
  <si>
    <t>ΚΟΥΔΕΡΗ</t>
  </si>
  <si>
    <t>ΚΟΥΪΡΟΥΚΙΔΟΥ</t>
  </si>
  <si>
    <t>ΚΟΥΚΛΙΝΟΣ</t>
  </si>
  <si>
    <t>ΚΟΥΚΟΥΜΗ</t>
  </si>
  <si>
    <t>elliaris@gmail.com</t>
  </si>
  <si>
    <t>ΚΟΥΚΩΛΗΣ</t>
  </si>
  <si>
    <t>ΚΟΥΜΑΔΩΡΑΚΗΣ</t>
  </si>
  <si>
    <t>ΚΟΥΜΑΝΔΡΑΚΗ</t>
  </si>
  <si>
    <t>36ο ΝΗΠΙΑΓΩΓΕΙΟ ΧΑΝΙΩΝ</t>
  </si>
  <si>
    <t>mail@36nip-chanion.chan.sch.gr</t>
  </si>
  <si>
    <t>ΚΟΥΜΙΩΤΑΚΗ</t>
  </si>
  <si>
    <t>ΚΟΥΝΤΟΥΡΑΚΗΣ</t>
  </si>
  <si>
    <t>ΚΟΥΡΑΣΜΕΝΑΚΗ</t>
  </si>
  <si>
    <t>ΚΟΥΡΓΙΑΛΑ</t>
  </si>
  <si>
    <t>ΚΟΥΡΚΟΥΛΟΥ</t>
  </si>
  <si>
    <t>ΚΟΥΡΚΟΥΝΑ</t>
  </si>
  <si>
    <t>ΔΗΜΟΤΙΚΟ ΣΧΟΛΕΙΟ ΧΩΡΑΣ ΣΦΑΚΙΩΝ</t>
  </si>
  <si>
    <t>mail@dim-choras.chan.sch.gr</t>
  </si>
  <si>
    <t>ΚΟΥΡΚΟΥΝΑΚΗΣ</t>
  </si>
  <si>
    <t>ΚΟΥΡΚΟΥΝΗ</t>
  </si>
  <si>
    <t>ΚΟΥΡΟΥΤΑΚΗ</t>
  </si>
  <si>
    <t>ΚΟΥΣΑΤΑΛΗ</t>
  </si>
  <si>
    <t>ΚΟΥΣΗ</t>
  </si>
  <si>
    <t>ΚΟΥΣΚΟΥΜΒΕΚΑΚΗΣ</t>
  </si>
  <si>
    <t>ΡΕΝΑΤΑ</t>
  </si>
  <si>
    <t>ΚΟΥΤΣΙΒΟΥ</t>
  </si>
  <si>
    <t>ΚΟΥΤΣΙΝΑ</t>
  </si>
  <si>
    <t>fani_kou@hotmail.com</t>
  </si>
  <si>
    <t>ΚΟΥΤΣΟΥΛΗ</t>
  </si>
  <si>
    <t>alkoutsounakh@yahoo.gr</t>
  </si>
  <si>
    <t>NHΠΙΑΓΩΓΕΙΟ  ΝΕΡΟΚΟΥΡΟΥ ΧΑΝΙΩΝ</t>
  </si>
  <si>
    <t>mail@nip-nerok.chan.sch.gr</t>
  </si>
  <si>
    <t>ΚΟΥΤΣΟΥΡΑ</t>
  </si>
  <si>
    <t>ΚΟΥΤΣΩΝΑ</t>
  </si>
  <si>
    <t>ΜΑΡΙΑ ΕΥΑΓΓΕ</t>
  </si>
  <si>
    <t>ΚΟΥΦΙΔΑΚΗΣ</t>
  </si>
  <si>
    <t>Konstakou@yahoo.gr</t>
  </si>
  <si>
    <t>218/2001</t>
  </si>
  <si>
    <t>ΚΟΦΙΤΣΑ</t>
  </si>
  <si>
    <t>mkofitsa@yahoo.gr</t>
  </si>
  <si>
    <t>ΚΡΑΝΙΑ</t>
  </si>
  <si>
    <t>ΚΡΙΘΙΝΑΚΗ</t>
  </si>
  <si>
    <t>ΚΡΥΩΝΑ</t>
  </si>
  <si>
    <t>nafsika.kriona@yahoo.gr</t>
  </si>
  <si>
    <t>ΚΥΝΗΓΟΠΟΥΛΟΥ</t>
  </si>
  <si>
    <t>ΚΥΝΗΓΟΥ</t>
  </si>
  <si>
    <t>ΚΥΡΓΙΑΚΟΥΔΗ</t>
  </si>
  <si>
    <t>ΚΥΡΙΑΚΕΛΛΗ</t>
  </si>
  <si>
    <t>ΘΕΟΦΑΝΩ</t>
  </si>
  <si>
    <t>ΚΥΡΚΟΠΟΥΛΟΥ</t>
  </si>
  <si>
    <t>ΚΥΡΟΥ</t>
  </si>
  <si>
    <t>ΜΑΝΟΥΕΛΑ</t>
  </si>
  <si>
    <t>ΜΑΝΟΛΕ</t>
  </si>
  <si>
    <t>ΝΙΚΟΥΛΙΝΑ</t>
  </si>
  <si>
    <t>ΚΩΝΣΤΑΝΤΑΡΑ</t>
  </si>
  <si>
    <t>korakies@gmail.com</t>
  </si>
  <si>
    <t>ΝΗΠΙΑΓΩΓΕΙΟ ΠΑΪΔΟΧΩΡΙΟΥ</t>
  </si>
  <si>
    <t>mail@nip-paidoch.chan.sch.gr</t>
  </si>
  <si>
    <t>ΠΑΪΔΟΧΩΡΙΟΥ</t>
  </si>
  <si>
    <t>28ο ΝΗΠΙΑΓΩΓΕΙΟ ΧΑΝΙΩΝ</t>
  </si>
  <si>
    <t>mail@28nip-chanion.chan.sch.gr</t>
  </si>
  <si>
    <t>ΚΩΝΣΤΑΝΤΟΥΛΑΚΗΣ</t>
  </si>
  <si>
    <t>ΚΩΣΤΗ</t>
  </si>
  <si>
    <t>kanellina-kostoula@hotmail.com</t>
  </si>
  <si>
    <t>ΜΑΡΙΑ-ΜΥΡΣΙΝ</t>
  </si>
  <si>
    <t>mircini_o6@hotmail.com</t>
  </si>
  <si>
    <t>ΚΩΣΤΟΥΡΑΚΗ</t>
  </si>
  <si>
    <t>ΚΩΣΤΟΥΡΟΥ</t>
  </si>
  <si>
    <t>ΚΩΤΣΟΠΟΥΛΟΥ</t>
  </si>
  <si>
    <t>ΛΑΓΚΑΔΙΑΝΟΥ</t>
  </si>
  <si>
    <t>21ο ΝΗΠΙΑΓΩΓΕΙΟ ΧΑΝΙΩΝ</t>
  </si>
  <si>
    <t>mail@21nip-chanion.chan.sch.gr</t>
  </si>
  <si>
    <t>ΒΑΣΙΛΙΚΗ-ΕΛΕ</t>
  </si>
  <si>
    <t>lvasilena@hotmail.com</t>
  </si>
  <si>
    <t>ΛΑΔΑΚΗΣ</t>
  </si>
  <si>
    <t>nladakis@sch.gr</t>
  </si>
  <si>
    <t>ΛΑΔΟΠΟΥΛΟΥ</t>
  </si>
  <si>
    <t>ΑΝΝΑ - ΚΥΡΙΑ</t>
  </si>
  <si>
    <t>korinaladopoulou@hotmail.com</t>
  </si>
  <si>
    <t>ΛΑΖΟΠΟΥΛΟΥ</t>
  </si>
  <si>
    <t>nektaria-lazopoulou3@gmail.com</t>
  </si>
  <si>
    <t>ΛΑΙΝΑΚΗ</t>
  </si>
  <si>
    <t>ΛΑΚΙΩΤΗ</t>
  </si>
  <si>
    <t>ΛΑΜΠΑΡΔΑΚΗΣ</t>
  </si>
  <si>
    <t>ΛΑΜΠΟΥΣΑΚΗ</t>
  </si>
  <si>
    <t>ΛΑΜΠΡΑΚΟΠΟΥΛΟΣ</t>
  </si>
  <si>
    <t>ΛΑΣΔΑ</t>
  </si>
  <si>
    <t>ΛΑΦΑΡΑ</t>
  </si>
  <si>
    <t>ΛΑΦΤΣΟΠΟΥΛΟΥ-ΜΠΙΣΔΑ</t>
  </si>
  <si>
    <t>arxontoula@sch.gr</t>
  </si>
  <si>
    <t>ΛΕΙΒΑΔΙΩΤΑΚΗ ΚΑΤΣΟΥΛΑΚΗ</t>
  </si>
  <si>
    <t>ΛΕΚΑΚΟΥ</t>
  </si>
  <si>
    <t>ΛΙΑΚΟΠΟΥΛΟΣ</t>
  </si>
  <si>
    <t>ΛΙΑΝΑ ΤΟΛΙΚΑ</t>
  </si>
  <si>
    <t>loukialiana@yahoo.gr</t>
  </si>
  <si>
    <t>ΛΙΒΙΑΚΗ</t>
  </si>
  <si>
    <t>anliviaki@yahoo.gr</t>
  </si>
  <si>
    <t>ΟΝΟΥΦΡΙΑ</t>
  </si>
  <si>
    <t>ΛΙΓΟΨΥΧΑΚΗ</t>
  </si>
  <si>
    <t>ΛΙΝΑΡΑΚΗ</t>
  </si>
  <si>
    <t>ΑΝΔΡΙ</t>
  </si>
  <si>
    <t>ΛΙΟΝΑΚΗ</t>
  </si>
  <si>
    <t>ΛΙΟΝΟΥΔΑΚΗ</t>
  </si>
  <si>
    <t>ΛΟΓΟΘΕΤΗΣ</t>
  </si>
  <si>
    <t>ΤΡΙΓΩΝΑ</t>
  </si>
  <si>
    <t>ΛΟΥΒΡΟΥ</t>
  </si>
  <si>
    <t>ΣΩΤΗΡΗΣ</t>
  </si>
  <si>
    <t>ΛΟΥΜΠΑΚΗΣ</t>
  </si>
  <si>
    <t>ΛΟΥΨΑΤΗ</t>
  </si>
  <si>
    <t>ΦΩΤΕΙΝΩ</t>
  </si>
  <si>
    <t>ΡΙΤΑ</t>
  </si>
  <si>
    <t>ΛΥΓΓΟΥΝΟΥ</t>
  </si>
  <si>
    <t>ΛΥΚΑΚΗΣ</t>
  </si>
  <si>
    <t>ΛΥΜΠΕΡΑΚΗ</t>
  </si>
  <si>
    <t>ΔΗΜΗΤΡΑΜΑΡΙ</t>
  </si>
  <si>
    <t>ΛΥΡΑΝΤΩΝΑΚΗ</t>
  </si>
  <si>
    <t>ΛΥΧΝΑΚΗ</t>
  </si>
  <si>
    <t>ΜΑΓΓΕΛΑ</t>
  </si>
  <si>
    <t>ΜΑΓΓΟΠΟΥΛΟΥ</t>
  </si>
  <si>
    <t>ΜΑΔΕΝΗ</t>
  </si>
  <si>
    <t>ΜΑΔΕΡΑΚΗ</t>
  </si>
  <si>
    <t>138/25-08-1993</t>
  </si>
  <si>
    <t>ΜΑΘΙΟΥ</t>
  </si>
  <si>
    <t>9ο ΝΗΠΙΑΓΩΓΕΙΟ ΧΑΝΙΩΝ</t>
  </si>
  <si>
    <t>mail@9nip-chanion.chan.sch.gr</t>
  </si>
  <si>
    <t>ΜΑΚΑΡΩΝΑΣ</t>
  </si>
  <si>
    <t>ΜΑΚΟΥ</t>
  </si>
  <si>
    <t>ioannamakou@gmail.com</t>
  </si>
  <si>
    <t>ΜΑΚΡΑΤΖΗ</t>
  </si>
  <si>
    <t>ΝΗΠΙΑΓΩΓΕΙΟ ΓΕΡΑΝΙΟΥ</t>
  </si>
  <si>
    <t>mail@3nip-platan.chan.sch.gr</t>
  </si>
  <si>
    <t>ΑΝΘΟΣ</t>
  </si>
  <si>
    <t>ΜΑΚΡΙΝΑΚΗ</t>
  </si>
  <si>
    <t>ΣΟΦΙΑ-ΜΑΡΙΑ</t>
  </si>
  <si>
    <t>ΜΑΚΡΟΠΟΥΛΟΥ</t>
  </si>
  <si>
    <t>ΜΑΚΡΥΓΙΩΡΓΑΚΗ</t>
  </si>
  <si>
    <t>ΜΗΛΙΤΣΑ</t>
  </si>
  <si>
    <t>malandrakicat@yahoo.gr</t>
  </si>
  <si>
    <t>ΜΑΛΑΞΙΑΝΑΚΗ</t>
  </si>
  <si>
    <t>ΜΑΛΕΚΑΚΗ</t>
  </si>
  <si>
    <t>alkyoni_mal@yahoo.gr</t>
  </si>
  <si>
    <t>ΜΑΛΙΝΔΡΕΤΟΥ</t>
  </si>
  <si>
    <t>ΜΑΜΑΝΤΑΚΗ</t>
  </si>
  <si>
    <t>35ο ΝΗΠΙΑΓΩΓΕΙΟ ΧΑΝΙΩΝ</t>
  </si>
  <si>
    <t>mail@35nip-chanion.chan.sch.gr</t>
  </si>
  <si>
    <t>ΜΑΜΑΣΗ</t>
  </si>
  <si>
    <t>ΜΑΜΟΥΝΑΚΗ</t>
  </si>
  <si>
    <t>ΜΑΝΑΓΑ</t>
  </si>
  <si>
    <t>ΜΑΝΔΟΥΡΑΡΗ</t>
  </si>
  <si>
    <t>ΝΗΠΙΑΓΩΓΕΙΟ ΣΠΗΛΙΑΣ</t>
  </si>
  <si>
    <t>mail@nip-spilias.chan.sch.gr</t>
  </si>
  <si>
    <t>christinamanioudaki@gmail.com</t>
  </si>
  <si>
    <t>ΜΑΝΙΩΤΟΥ</t>
  </si>
  <si>
    <t>ΜΑΝΟΥΣΑΚΑΚΗΣ</t>
  </si>
  <si>
    <t>manousakakis62@gmail.com</t>
  </si>
  <si>
    <t>ΜΑΝΟΥΣΑΚΑΣ</t>
  </si>
  <si>
    <t>manousosmail@gmail.com</t>
  </si>
  <si>
    <t>ΕΙΔΙΚΟ ΝΗΠΙΑΓΩΓΕΙΟ ΧΑΝΙΩΝ - ΕΙΔΙΚΟ ΑΥΤΙΣΤΙΚΩΝ</t>
  </si>
  <si>
    <t>mail@nip-eid-chanion.chan.sch.gr</t>
  </si>
  <si>
    <t>ΣΜΑΡΓ</t>
  </si>
  <si>
    <t>ΜΑΝΤΕΛΟΥ</t>
  </si>
  <si>
    <t>fmadelou@hotmail.com</t>
  </si>
  <si>
    <t>14ο ΝΗΠΙΑΓΩΓΕΙΟ ΧΑΝΙΩΝ</t>
  </si>
  <si>
    <t>mail@14nip-chanion.chan.sch.gr</t>
  </si>
  <si>
    <t>ΜΑΝΤΖΟΥΡΑΝΗΣ</t>
  </si>
  <si>
    <t>ΕΛΙΣΣΑΒ</t>
  </si>
  <si>
    <t>anestismatz67@gmail.com</t>
  </si>
  <si>
    <t>ΜΑΝΤΙΛ</t>
  </si>
  <si>
    <t>ΜΑΝΤΩΝΑΝΑΚΗ</t>
  </si>
  <si>
    <t>ΜΑΝΩΛΑΣ</t>
  </si>
  <si>
    <t>mangeorgios@gmail.com</t>
  </si>
  <si>
    <t>ΜΑΡΑΓΓΕΛΗ</t>
  </si>
  <si>
    <t>ΧΡΙΣΤΙΝΑ-ΑΝΝΑ</t>
  </si>
  <si>
    <t>maragoudaki9@gmail.com</t>
  </si>
  <si>
    <t>ΔΗΜΟΤΙΚΟ ΣΧΟΛΕΙΟ ΑΣΗ ΓΩΝΙΑΣ</t>
  </si>
  <si>
    <t>mail@dim-asigon.chan.sch.gr</t>
  </si>
  <si>
    <t>ΜΑΡΕΝΤΑΚΗ</t>
  </si>
  <si>
    <t>stilmarentaki@yahoo.com</t>
  </si>
  <si>
    <t>renia.marinaki@hotmail.com</t>
  </si>
  <si>
    <t>ΜΑΡΙΝΟΥ</t>
  </si>
  <si>
    <t>ΜΑΡΚΑΝΤΩΝΑΚΗΣ</t>
  </si>
  <si>
    <t>774/20-8-2008</t>
  </si>
  <si>
    <t>dou.27@hotmail.com</t>
  </si>
  <si>
    <t>772/23-08-2010 τ.Γ.</t>
  </si>
  <si>
    <t>12ο ΝΗΠΙΑΓΩΓΕΙΟ ΧΑΝΙΩΝ</t>
  </si>
  <si>
    <t>mail@12nip-chanion.chan.sch.gr</t>
  </si>
  <si>
    <t>ΜΑΡΟΥΣΑΚΗ</t>
  </si>
  <si>
    <t>chrysamarou@gmail.com</t>
  </si>
  <si>
    <t>amartsaki@yahoo.gr</t>
  </si>
  <si>
    <t>ΜΑΣΤΟΡΑΚΑΚΗ</t>
  </si>
  <si>
    <t>ΜΑΣΤΡΑΝΤΩΝΗ</t>
  </si>
  <si>
    <t>ΒΙΒΕΤΑ-ΑΚΡΙΒΗ</t>
  </si>
  <si>
    <t>ΜΑΣΤΡΟΓΙΑΝΝΙΔΟΥ</t>
  </si>
  <si>
    <t>mastrogiannidou@gmail.com</t>
  </si>
  <si>
    <t>ΜΑΤΙΑΚΗ</t>
  </si>
  <si>
    <t>ΑΙΚΑΤΑΤΕΡΙΝΗ</t>
  </si>
  <si>
    <t>ΜΑΤΟΥΛΑ</t>
  </si>
  <si>
    <t>1ο ΝΗΠΙΑΓΩΓΕΙΟ ΧΡΥΣΟΠΗΓΗΣ</t>
  </si>
  <si>
    <t>mail@1nip-chrys.chan.sch.gr</t>
  </si>
  <si>
    <t>ΜΑΤΣΙΓΚΟΣ</t>
  </si>
  <si>
    <t>ΜΑΤΣΟΥΚΑΣ</t>
  </si>
  <si>
    <t>ΕΡΑΣΜ</t>
  </si>
  <si>
    <t>ΜΑΥΡΙΚΗ</t>
  </si>
  <si>
    <t>ΜΑΥΡΙΤΣΑΚΗ</t>
  </si>
  <si>
    <t>gewr_mav@hotmail.com</t>
  </si>
  <si>
    <t>ΜΑΥΡΟΓΕΝΗ</t>
  </si>
  <si>
    <t>ΜΑΥΡΟΓΕΝΝΑΚΗΣ</t>
  </si>
  <si>
    <t>ΜΑΥΡΟΦΡΥΔΗ</t>
  </si>
  <si>
    <t>ΜΟΡΦΟΥΛ</t>
  </si>
  <si>
    <t>mxl@sch.gr</t>
  </si>
  <si>
    <t>ΜΕΛΑΚΗ</t>
  </si>
  <si>
    <t>ΕΥΡΥΚΛΕΙΑ</t>
  </si>
  <si>
    <t>ΜΕΛΕΜΕΝΗΣ</t>
  </si>
  <si>
    <t>ΜΕΛΙΣΣΙΝΟΥ</t>
  </si>
  <si>
    <t>ΜΕΛΛΙΟΥ</t>
  </si>
  <si>
    <t>amellie.9@gmail.com</t>
  </si>
  <si>
    <t>ΜΕΝΤΑΚΗ</t>
  </si>
  <si>
    <t>ΝΗΠΙΑΓΩΓΕΙΟ ΚΑΝΤΑΝΟΥ</t>
  </si>
  <si>
    <t>mail@nip-kantan.chan.sch.gr</t>
  </si>
  <si>
    <t>ΜΕΡΤΖΑΝΙΔΗΣ</t>
  </si>
  <si>
    <t>ΜΗΛΙΑΡΑΚΗΣ</t>
  </si>
  <si>
    <t>ΜΗΤΡΑΚΟΥ</t>
  </si>
  <si>
    <t>mahmitrop@gmail.com</t>
  </si>
  <si>
    <t>ΜΗΤΡΟΥΣΚΑ</t>
  </si>
  <si>
    <t>2ο ΝΗΠΙΑΓΩΓΕΙΟ ΠΑΛΑΙΟΧΩΡΑΣ</t>
  </si>
  <si>
    <t>mail@2nip-palaioch.chan.sch.gr</t>
  </si>
  <si>
    <t>2ο ΝΗΠΙΑΓΩΓΕΙΟ ΤΣΙΚΑΛΑΡΙΩΝ</t>
  </si>
  <si>
    <t>mail@2nip-tsikal.chan.sch.gr</t>
  </si>
  <si>
    <t>ΜΙΝΤΗ</t>
  </si>
  <si>
    <t>ΕΥΘΥΜΙΑΣ</t>
  </si>
  <si>
    <t>ΜΙΣΟΡΗΣ</t>
  </si>
  <si>
    <t>mariamichael310@gmail.com</t>
  </si>
  <si>
    <t>ΜΙΧΑΗΛΑΚΗ</t>
  </si>
  <si>
    <t>ΖΩΓΡΑΦΙΑ</t>
  </si>
  <si>
    <t>anastasiamchld@gmail.com</t>
  </si>
  <si>
    <t>ΜΙΧΑΛΑΚΟΠΟΥΛΟΥ</t>
  </si>
  <si>
    <t>antigone.mich@gmail.com</t>
  </si>
  <si>
    <t>ΜΙΧΑΛΟΓΙΑΝΝΗ</t>
  </si>
  <si>
    <t>ΣΤΥΛΙΑΝΟΣ-ΚΩΝΣΤΑΝΤΙΝΟΣ</t>
  </si>
  <si>
    <t>AΣΗΜΩ</t>
  </si>
  <si>
    <t>ΝΗΠΙΑΓΩΓΕΙΟ ΑΓΙΩΝ ΣΑΡΑΝΤΑ</t>
  </si>
  <si>
    <t>mail@nip-ag-sarant.chan.sch.gr</t>
  </si>
  <si>
    <t>ΜΟΚΑ</t>
  </si>
  <si>
    <t>ΜΟΝΙΑΚΗ</t>
  </si>
  <si>
    <t>4ο ΝΗΠΙΑΓΩΓΕΙΟ ΚΟΥΝΟΥΠΙΔΙΑΝΩΝ</t>
  </si>
  <si>
    <t>mail@4nip-kounoup.chan.sch.gr</t>
  </si>
  <si>
    <t>ΜΟΣΕΡ</t>
  </si>
  <si>
    <t>ΙΝΤΑ</t>
  </si>
  <si>
    <t>ΑΛΟΙΣ-ΡΟΥΝΤΟΛΦ</t>
  </si>
  <si>
    <t>ΜΟΛΙΤΣΑ</t>
  </si>
  <si>
    <t>ΜΟΥΔΙΟΥ</t>
  </si>
  <si>
    <t>ΑΡΣΗΝΟΗ</t>
  </si>
  <si>
    <t>ΜΟΥΛΑΚΑΚΗΣ</t>
  </si>
  <si>
    <t>ΜΟΥΝΤΗ</t>
  </si>
  <si>
    <t>ΜΟΥΡΙΚΗ</t>
  </si>
  <si>
    <t>ΜΟΥΣΤΑΚΑ</t>
  </si>
  <si>
    <t>ΜΟΥΣΤΑΚΙΔΗ</t>
  </si>
  <si>
    <t>ΜΟΥΣΤΑΚΟΠΟΥΛΟΥ</t>
  </si>
  <si>
    <t>eva-mous@hotmail.com</t>
  </si>
  <si>
    <t>ΜΟΥΣΤΑΦΑΟΓΛΟΥ</t>
  </si>
  <si>
    <t>ΓΚΙΚΑΛΗ</t>
  </si>
  <si>
    <t>ΡΕΤΖΕΠ</t>
  </si>
  <si>
    <t>ΣΟΥΚΡΙΕ</t>
  </si>
  <si>
    <t>ΜΟΧΛΑΚΗ</t>
  </si>
  <si>
    <t>ΜΠΑΓΑΚΗ</t>
  </si>
  <si>
    <t>207/03</t>
  </si>
  <si>
    <t>207Τ.Γ.</t>
  </si>
  <si>
    <t>ΜΠΑΓΚΛΑΜΑΓΙΑ</t>
  </si>
  <si>
    <t>ΕΡΤΑ</t>
  </si>
  <si>
    <t>ΑΛΜΠΕΡΤ</t>
  </si>
  <si>
    <t>ΕΜΑ</t>
  </si>
  <si>
    <t>ΜΠΑΔΕΚΑΣ</t>
  </si>
  <si>
    <t>ΧΡΗΣΤΟΣ-ΠΡΟΔΡΟΜΟΣ</t>
  </si>
  <si>
    <t>ΜΠΑΔΙΕΡΙΤΑΚΗ</t>
  </si>
  <si>
    <t>ΜΠΑΙΛΟΥ</t>
  </si>
  <si>
    <t>ΜΠΑΛΑ</t>
  </si>
  <si>
    <t>vasobala@yahoo.gr</t>
  </si>
  <si>
    <t>ΜΠΑΛΑΣΟΠΟΥΛΟΥ</t>
  </si>
  <si>
    <t>ΜΠΑΛΙΟΥ</t>
  </si>
  <si>
    <t>ΜΠΑΛΙΟΥΣΗ</t>
  </si>
  <si>
    <t>ΜΠΑΛΟΥ</t>
  </si>
  <si>
    <t>ΕΙΡΗΝΗ ΑΝΘΟΥΛΑ</t>
  </si>
  <si>
    <t>ΣΠΥΡΙΔΟ</t>
  </si>
  <si>
    <t>ΜΠΑΛΤΑΤΖΗ</t>
  </si>
  <si>
    <t>ΜΠΑΛΤΖΙΔΗΣ</t>
  </si>
  <si>
    <t>ΜΠΑΝΤΗ</t>
  </si>
  <si>
    <t>ΜΠΑΡΑΚΛΙΛΗ</t>
  </si>
  <si>
    <t>ΜΠΑΡΜΠΟΠΟΥΛΟΥ</t>
  </si>
  <si>
    <t>elina.barbop@gmail.com</t>
  </si>
  <si>
    <t>ΜΠΑΣΙΟΥ</t>
  </si>
  <si>
    <t>ΜΠΑΣΙΟΥΚΑ</t>
  </si>
  <si>
    <t>ΑΝΝΑ-ΦΩΤΕΙΝΗ</t>
  </si>
  <si>
    <t>ΜΠΑΣΤΑ</t>
  </si>
  <si>
    <t>ΜΠΑΤΑΓΙΑΝΝΗ</t>
  </si>
  <si>
    <t>ΜΠΑΤΙΔΗ</t>
  </si>
  <si>
    <t>ΜΠΑΤΟΥΔΑΚΗΣ</t>
  </si>
  <si>
    <t>ΜΠΑΤΣΑΚΗ</t>
  </si>
  <si>
    <t>ΜΠΑΤΣΑΡΗ</t>
  </si>
  <si>
    <t>ΝΙΚΟΥΛΑ</t>
  </si>
  <si>
    <t>ΜΠΑΧΟΥΝΤΑΚΗ</t>
  </si>
  <si>
    <t>ΜΠΕΖΥΡΤΖΗΣ</t>
  </si>
  <si>
    <t>ΑΘΗΝΑ ΒΑΣΙΛΙΚΗ</t>
  </si>
  <si>
    <t>ΚΑΡΛΑ</t>
  </si>
  <si>
    <t>ΒΑΣΙΛΕΙΑ-ΒΕΡΟΝΙΚΑ</t>
  </si>
  <si>
    <t>veronicabelo102@gmail.com</t>
  </si>
  <si>
    <t>ΜΠΕΝΑΚΗ</t>
  </si>
  <si>
    <t>10ο ΝΗΠΙΑΓΩΓΕΙΟ ΧΑΝΙΩΝ</t>
  </si>
  <si>
    <t>mail@10nip-chanion.chan.sch.gr</t>
  </si>
  <si>
    <t>ΜΠΕΣΗ</t>
  </si>
  <si>
    <t>ΝΕΚΤΑΡΙΟ</t>
  </si>
  <si>
    <t>ΜΠΙΚΟΥΒΑΡΗ</t>
  </si>
  <si>
    <t>25ο ΝΗΠΙΑΓΩΓΕΙΟ ΧΑΝΙΩΝ</t>
  </si>
  <si>
    <t>mail@25nip-chanion.chan.sch.gr</t>
  </si>
  <si>
    <t>ΜΠΙΤΖΑΝΑΚΗ</t>
  </si>
  <si>
    <t>ΜΠΙΤΣΗ</t>
  </si>
  <si>
    <t>maria@bitsis.gr</t>
  </si>
  <si>
    <t>eleniblazaki@gmail.com</t>
  </si>
  <si>
    <t>ΜΠΛΑΝΗ</t>
  </si>
  <si>
    <t>ΜΠΟΒΙΑΤΣΟΥ</t>
  </si>
  <si>
    <t>lampriniboviatsou@yahoo.com</t>
  </si>
  <si>
    <t>ΜΠΟΓΙΑΤΖΗΣ</t>
  </si>
  <si>
    <t>ΜΠΟΖΗ</t>
  </si>
  <si>
    <t>ΜΠΟΚΑΡΗ</t>
  </si>
  <si>
    <t>ΜΠΟΛΙΟΥΔΑΚΗΣ</t>
  </si>
  <si>
    <t>ΜΠΟΝΑΚΗ</t>
  </si>
  <si>
    <t>ΜΠΟΝΤΙΩΤΗ</t>
  </si>
  <si>
    <t>ΜΠΟΤΖΕΚΙΔΗΣ</t>
  </si>
  <si>
    <t>ΜΠΟΤΩΝΑΚΗ</t>
  </si>
  <si>
    <t>ΠΑΝΤΕΛΙ</t>
  </si>
  <si>
    <t>ΜΠΟΥΓΑ</t>
  </si>
  <si>
    <t>ΛΑΟΚΡΑΤΙΑ</t>
  </si>
  <si>
    <t>ΜΠΟΥΛΑΚΑ</t>
  </si>
  <si>
    <t>ΜΠΟΥΛΤΑΔΑΚΗ</t>
  </si>
  <si>
    <t>ΜΠΟΥΜΠΟΝΑΡΗ</t>
  </si>
  <si>
    <t>ΜΠΟΥΝΤΡΟΓΙΑΝΝΗ</t>
  </si>
  <si>
    <t>ΧΡΙΣΤΟΦΙΑ</t>
  </si>
  <si>
    <t>xristofiam@hotmail.com</t>
  </si>
  <si>
    <t>ΘΕΟΛΟΓΗΣ</t>
  </si>
  <si>
    <t>ΜΠΟΥΤΖΟΥΚΑΚΗ</t>
  </si>
  <si>
    <t>ΜΠΟΥΤΣΙΚΑΚΗ</t>
  </si>
  <si>
    <t>ΜΠΡΑΜΠΡΟΥΜΗ</t>
  </si>
  <si>
    <t>braoudakianastasia@yahoo.gr</t>
  </si>
  <si>
    <t>ΤΕΡΨΙΘΕΑ</t>
  </si>
  <si>
    <t>ΜΠΡΑΤΗΣ</t>
  </si>
  <si>
    <t>president@doe.gr</t>
  </si>
  <si>
    <t>ΜΠΡΟΥΣΚΑΡΗ</t>
  </si>
  <si>
    <t>ΝΙΚΟΜΑΧ</t>
  </si>
  <si>
    <t>dmilona1968@gmil.com</t>
  </si>
  <si>
    <t>parmylon@yahoo.gr</t>
  </si>
  <si>
    <t>168/1987</t>
  </si>
  <si>
    <t>ΚΩΝΣΤΑΝ</t>
  </si>
  <si>
    <t>ΜΥΛΩΝΟΓΙΑΝΝΗ</t>
  </si>
  <si>
    <t>ΜΥΝΤΙΛΑΚΗ</t>
  </si>
  <si>
    <t>ioannamintilaki@gmail.com</t>
  </si>
  <si>
    <t>ΜΥΡΩΤΗ</t>
  </si>
  <si>
    <t>ΜΩΣΑΪΔΟΥ</t>
  </si>
  <si>
    <t>ΜΩΥΣΙΑΔΟΥ</t>
  </si>
  <si>
    <t>ΝΑΞΑΚΗ</t>
  </si>
  <si>
    <t>ΝΕΜΠΑΥΛΑΚΗ</t>
  </si>
  <si>
    <t>ΜΕΛΕΤΙΟΣ</t>
  </si>
  <si>
    <t>annapro@otenet.gr</t>
  </si>
  <si>
    <t>ΝΕΝΤΙΔΟΥ</t>
  </si>
  <si>
    <t>ΝΗΠΙΑΓΩΓΕΙΟ ΒΑΡΥΠΕΤΡΟΥ</t>
  </si>
  <si>
    <t>mail@nip-varyp.chan.sch.gr</t>
  </si>
  <si>
    <t>ΝΗΣΟΥΔΗ</t>
  </si>
  <si>
    <t>ΑΝΕΣΤΙΑ</t>
  </si>
  <si>
    <t>ΝΙΑΟΥΝΑΚΗ</t>
  </si>
  <si>
    <t>ΝΙΚΗΦΟΡΙΔΟΥ</t>
  </si>
  <si>
    <t>marianna.n.84@gmail.com</t>
  </si>
  <si>
    <t>ΒΕΡΑ</t>
  </si>
  <si>
    <t>ΝΙΚΟΛΑΚΑΚΟΥ</t>
  </si>
  <si>
    <t>zoi_nikol@hotmail.com</t>
  </si>
  <si>
    <t>ΝΗΠΙΑΓΩΓΕΙΟ ΠΛΑΚΑΣ</t>
  </si>
  <si>
    <t>mail@nip-plakas.chan.sch.gr</t>
  </si>
  <si>
    <t>ΠΛΑΚΑΣ</t>
  </si>
  <si>
    <t>ΑΓΟΡΙΤΣΑ-ΟΛΓΑ</t>
  </si>
  <si>
    <t>179/1997</t>
  </si>
  <si>
    <t>ΝΙΚΟΛΟΥΔΗ</t>
  </si>
  <si>
    <t>ΝΙΚΟΛΤΣΗΣ</t>
  </si>
  <si>
    <t>ΔΗΜΟΣΘΕΝΗ</t>
  </si>
  <si>
    <t>nikolnikos@gmail.com</t>
  </si>
  <si>
    <t>ΝΙΟΛΑΚΗ</t>
  </si>
  <si>
    <t>ΓΕΩΡΓΙΑ ΖΑΜΠΙΑ</t>
  </si>
  <si>
    <t>24ο ΝΗΠΙΑΓΩΓΕΙΟ ΧΑΝΙΩΝ</t>
  </si>
  <si>
    <t>mail@24nip-chanion.chan.sch.gr</t>
  </si>
  <si>
    <t>ΝΟΥΛΗΣ</t>
  </si>
  <si>
    <t>ΝΤΑΓΚΟΥΝΑΚΗΣ</t>
  </si>
  <si>
    <t>ΝΤΑΝΟΠΟΥΛΟΥ</t>
  </si>
  <si>
    <t>ΝΤΑΝΤΙΝΑΚΗ</t>
  </si>
  <si>
    <t>ΧΑΡΙΚΛΕIA</t>
  </si>
  <si>
    <t>ΝΤΑΝΤΙΝΑΚΗΣ</t>
  </si>
  <si>
    <t>ΝΤΑΟΥΝΤΑΚΗ</t>
  </si>
  <si>
    <t>despoina.daoudaki@yahoo.gr</t>
  </si>
  <si>
    <t>ΝΤΕΓΙΑΝΝΑΚΗ</t>
  </si>
  <si>
    <t>ΝΤΕΡΕΚΑ</t>
  </si>
  <si>
    <t>ΝΤΖΙΟΣ</t>
  </si>
  <si>
    <t>ΝΤΟΥΝΤΟΥΛΑΚΗ</t>
  </si>
  <si>
    <t>mrf_d@hotmail.com</t>
  </si>
  <si>
    <t>ΑΛΚΙΝΟΟΣ</t>
  </si>
  <si>
    <t>ΝΤΟΥΡΜΑ</t>
  </si>
  <si>
    <t>ΝΤΟΥΣΑΚΗ</t>
  </si>
  <si>
    <t>ΝΥΣΤΑΖΑΚΗ</t>
  </si>
  <si>
    <t>nasosbaso@yahoo.gr</t>
  </si>
  <si>
    <t>ΞΑΝΘΙΔΗΣ</t>
  </si>
  <si>
    <t>ΞΑΝΘΟΠΟΥΛΟΣ</t>
  </si>
  <si>
    <t>ΞΕΡΟΥΔΑΚΗΣ</t>
  </si>
  <si>
    <t>ΞΙΑΡΧΟΓΙΑΝΝΟΠΟΥΛΟΥ</t>
  </si>
  <si>
    <t>ΞΙΑΡΧΟΥ</t>
  </si>
  <si>
    <t>ΞΥΓΚΑΚΗ</t>
  </si>
  <si>
    <t>ΞΥΔΑΚΗ</t>
  </si>
  <si>
    <t>ΞΥΛΙΚΑΚΗ</t>
  </si>
  <si>
    <t>ΞΥΝΟΡΟΔΟΥ</t>
  </si>
  <si>
    <t>xara.ksinorodou@hotmail.gr</t>
  </si>
  <si>
    <t>ΞΥΠΟΛΙΤΑΚΗ</t>
  </si>
  <si>
    <t>30ο ΝΗΠΙΑΓΩΓΕΙΟ ΧΑΝΙΩΝ</t>
  </si>
  <si>
    <t>mail@30nip-chanion.chan.sch.gr</t>
  </si>
  <si>
    <t>1ο ΝΗΠΙΑΓΩΓΕΙΟ ΑΓΡΟΚΗΠΙΟΥ</t>
  </si>
  <si>
    <t>mail@1nip-agrok.chan.sch.gr</t>
  </si>
  <si>
    <t>ΟΡΦΑΝΑΚΗ</t>
  </si>
  <si>
    <t>18ο ΝΗΠΙΑΓΩΓΕΙΟ ΧΑΝΙΩΝ</t>
  </si>
  <si>
    <t>mail@18nip-chanion.chan.sch.gr</t>
  </si>
  <si>
    <t>ΟΥΝΤΡΑΚΗ</t>
  </si>
  <si>
    <t>ΠΑΓΩΝΑΚΗ</t>
  </si>
  <si>
    <t>ΠΑΓΩΝΙΔΗΣ</t>
  </si>
  <si>
    <t>ΠΑΪΖΑΚΗ</t>
  </si>
  <si>
    <t>ΠΑΙΖΑΝΗ</t>
  </si>
  <si>
    <t>ΠΑΚΑΛΙΔΟΥ</t>
  </si>
  <si>
    <t>ΠΑΛΑΙΟΓΙΑΝΝΗ</t>
  </si>
  <si>
    <t>ΠΑΜΟΥΤΙΤΣΗ</t>
  </si>
  <si>
    <t>ΣΩΤΗΡΑ</t>
  </si>
  <si>
    <t>ΠΑΝΑΓΙΩΤΑΚΗ-ΡΩΜΑ</t>
  </si>
  <si>
    <t>myronas2012@hotmal.com</t>
  </si>
  <si>
    <t>ΕΥΚΛΕΙΔΗ</t>
  </si>
  <si>
    <t>christinella82@hotmail.com</t>
  </si>
  <si>
    <t>ΠΑΝΑΥΛΑΚΗ</t>
  </si>
  <si>
    <t>ΠΑΝΤΑΛΕΩΝ</t>
  </si>
  <si>
    <t>ΠΑΝΤΑΤΖΗ</t>
  </si>
  <si>
    <t>ΡΑΛΙΑ</t>
  </si>
  <si>
    <t>ΜΙΧΑΛΙΤΣΑ</t>
  </si>
  <si>
    <t>ΠΑΝΤΕΛΙΔΗ</t>
  </si>
  <si>
    <t>ΠΑΝΤΣΙΟΥ</t>
  </si>
  <si>
    <t>stamkep@yahoo.gr</t>
  </si>
  <si>
    <t>ΖΑΚΕΛΙΝΑ</t>
  </si>
  <si>
    <t>ΠΑΠΑΔΑΚΟΣ</t>
  </si>
  <si>
    <t>efypap@gmail.com</t>
  </si>
  <si>
    <t>ΠΑΠΑΔΕΡΑΚΗ</t>
  </si>
  <si>
    <t>ΠΑΠΑΔΗΜΗΤΡΑΚΗ</t>
  </si>
  <si>
    <t>ΠΑΠΑΔΙΑΜΑΝΤΟΠΟΥΛΟΥ-ΜΑΓΔΑΛΗΝΟΥ</t>
  </si>
  <si>
    <t>ΠΑΠΑΔΟΚΩΝΣΤΑΝΤΑΚΗ</t>
  </si>
  <si>
    <t>elenipap1989@hotmail.com</t>
  </si>
  <si>
    <t>ΕΡΩΔΙΑ</t>
  </si>
  <si>
    <t>ΔΗΜΟΤΙΚΟ ΣΧΟΛΕΙΟ ΑΓΙΑΣ</t>
  </si>
  <si>
    <t>mail@dim-agias.chan.sch.gr</t>
  </si>
  <si>
    <t>asteri1982@yahoo.gr</t>
  </si>
  <si>
    <t>ΠΑΠΑΔΟΥΛΑΚΗΣ</t>
  </si>
  <si>
    <t>ΠΑΠΑΕΥΘΥΜΙΟΥ</t>
  </si>
  <si>
    <t>ΠΑΠΑΖΩΗ</t>
  </si>
  <si>
    <t>ΠΑΠΑΘΩΜΟΠΟΥΛΟΣ</t>
  </si>
  <si>
    <t>ΠΑΠΑΚΕΙΠΗ</t>
  </si>
  <si>
    <t>pap20kiki@hotmail.com</t>
  </si>
  <si>
    <t>ΠΑΠΑΚΥΡΙΑΚΟΥ</t>
  </si>
  <si>
    <t>ΠΑΠΑΚΩΣΤΟΠΟΥΛΟΥ</t>
  </si>
  <si>
    <t>ΠΑΠΑΜΑΡΚΑΚΗΣ</t>
  </si>
  <si>
    <t>ΠΑΠΑΜΗΝΑ</t>
  </si>
  <si>
    <t>ΠΑΠΑΝΑΣΤΑΣΙΟΥ</t>
  </si>
  <si>
    <t>ΠΑΠΑΝΔΡΕΟΥ</t>
  </si>
  <si>
    <t>ΛΙΝΑ</t>
  </si>
  <si>
    <t>ΠΑΠΑΟΙΚΟΝΟΜΟΥ</t>
  </si>
  <si>
    <t>ΝΙΚΟΔΗΜΟΣ</t>
  </si>
  <si>
    <t>ΠΑΠΑΠΑΝΑΓΙΩΤΟΥ</t>
  </si>
  <si>
    <t>ΠΑΠΑΠΟΣΤΟΛΟΥ</t>
  </si>
  <si>
    <t>ΠΑΠΑΡΑ</t>
  </si>
  <si>
    <t>ΠΑΠΑΡΑΦΤΑΚΗ</t>
  </si>
  <si>
    <t>ΠΑΠΑΡΗΓΟΠΟΥΛΟΥ</t>
  </si>
  <si>
    <t>ΝΗΠΙΑΓΩΓΕΙΟ ΑΝΩΠΟΛΗΣ ΣΦΑΚΙΩΝ</t>
  </si>
  <si>
    <t>mail@nip-an-polis.chan.sch.gr</t>
  </si>
  <si>
    <t>ΠΑΠΑΤΖΕΛΟΥ</t>
  </si>
  <si>
    <t>ΠΑΠΑΧΑΝΤΖΗ</t>
  </si>
  <si>
    <t>ΠΑΠΑΧΡΟΝΗΣ</t>
  </si>
  <si>
    <t>ΠΑΠΙΚΑ</t>
  </si>
  <si>
    <t xml:space="preserve"> ΠΗΝΕΛΟΠΗ</t>
  </si>
  <si>
    <t>ΠΑΠΟΥΔΑΚΗΣ</t>
  </si>
  <si>
    <t>papoudakis@gmail.com</t>
  </si>
  <si>
    <t>ΠΑΠΟΥΛΙΑΣ</t>
  </si>
  <si>
    <t>ΔΡΟΣΟ</t>
  </si>
  <si>
    <t>c_papadakis@hotmail.com</t>
  </si>
  <si>
    <t>ΠΑΡΑΣΙΔΟΥ</t>
  </si>
  <si>
    <t>eirpa2009@yahoo.gr</t>
  </si>
  <si>
    <t>ΠΑΡΑΣΚΕΥΑΚΗ</t>
  </si>
  <si>
    <t>ΠΑΡΔΑΛΑΚΗΣ</t>
  </si>
  <si>
    <t>218/Γ</t>
  </si>
  <si>
    <t>ΠΑΡΡΑ</t>
  </si>
  <si>
    <t>ΜΑΡΙΑ-ΛΟΥΪΖΑ</t>
  </si>
  <si>
    <t>ΠΑΡΤΑΛΑ</t>
  </si>
  <si>
    <t>ΠΑΡΤΣΑΛΑΚΗ</t>
  </si>
  <si>
    <t>ΠΑΣΤΡΙΚΑΚΗ</t>
  </si>
  <si>
    <t>ΠΑΣΧΟΥΛΑΣ</t>
  </si>
  <si>
    <t>ΠΑΤΑΚΑΚΗ</t>
  </si>
  <si>
    <t>katerinakipa@gmal.com</t>
  </si>
  <si>
    <t>jps72003@gmail.com</t>
  </si>
  <si>
    <t>ΗΡΑΚΛΗ</t>
  </si>
  <si>
    <t>kepater@hotmail.gr</t>
  </si>
  <si>
    <t>ΠΑΤΕΡΟΥ</t>
  </si>
  <si>
    <t>ΠΑΤΡΕΛΑΚΗΣ</t>
  </si>
  <si>
    <t>geopatrel@gmail.com</t>
  </si>
  <si>
    <t>chpatrelak@sch.gr</t>
  </si>
  <si>
    <t>ΠΑΤΣΟΓΙΑΝΝΗ</t>
  </si>
  <si>
    <t>raniapat@otenet.gr</t>
  </si>
  <si>
    <t>patsou73@yahoo.gr</t>
  </si>
  <si>
    <t>ΠΑΥΛΙΔΑΚΗΣ</t>
  </si>
  <si>
    <t>ΠΕΚΗΣ</t>
  </si>
  <si>
    <t>tasspek@yahoo.gr</t>
  </si>
  <si>
    <t>ΠΕΛΑΝΤΑΚΗ</t>
  </si>
  <si>
    <t>20ο ΝΗΠΙΑΓΩΓΕΙΟ ΧΑΝΙΩΝ</t>
  </si>
  <si>
    <t>mail@20nip-chanion.chan.sch.gr</t>
  </si>
  <si>
    <t>ΠΕΠΟΝΗ</t>
  </si>
  <si>
    <t>annapeponi2@gmail.com</t>
  </si>
  <si>
    <t>ΠΕΡΚΟΥΛΙΔΟΥ</t>
  </si>
  <si>
    <t>ΠΕΡΟΥΛΑΚΗ</t>
  </si>
  <si>
    <t>mariaperraki@gmail.com</t>
  </si>
  <si>
    <t>ΠΕΤΡΑΚΑΚΗΣ</t>
  </si>
  <si>
    <t>ΧΡΥΣΟΒΑΛΑΝΤΟΥ-ΑΝΝΑ</t>
  </si>
  <si>
    <t>nekpetr@yahoo.gr</t>
  </si>
  <si>
    <t>filotheip@yahoo.com</t>
  </si>
  <si>
    <t>ΤΖΟΥΡΤΖΙΤΣΑ</t>
  </si>
  <si>
    <t>ΠΕΤΡΙΚΗ</t>
  </si>
  <si>
    <t>s_petriki@yahoo.gr</t>
  </si>
  <si>
    <t>ΠΕΤΡΟΥ</t>
  </si>
  <si>
    <t>ΦΙΛΩΤΑΣ</t>
  </si>
  <si>
    <t>ΠΕΤΣΚΟΥ</t>
  </si>
  <si>
    <t>ΠΙΛΑΤΟΥ</t>
  </si>
  <si>
    <t>2ο ΝΗΠΙΑΓΩΓΕΙΟ ΠΕΡΙΒΟΛΙΩΝ</t>
  </si>
  <si>
    <t>mail@2nip-periv.chan.sch.gr</t>
  </si>
  <si>
    <t>ΠΙΛΑΦΑ</t>
  </si>
  <si>
    <t>renapiperaki@yahoo.gr</t>
  </si>
  <si>
    <t>ΠΙΡΠΙΝΑΚΗ</t>
  </si>
  <si>
    <t>ΠΙΣΣΑΔΑΚΗ</t>
  </si>
  <si>
    <t>ΠΙΤΣΙΛΑΔΗ</t>
  </si>
  <si>
    <t>ΠΙΤΣΟΥ</t>
  </si>
  <si>
    <t>ΠΙΤΥΛΑΚΟΥ</t>
  </si>
  <si>
    <t>ΠΟΛΕΝΑΚΗ</t>
  </si>
  <si>
    <t>ΠΟΛΥΖΩΙΔΟΥ</t>
  </si>
  <si>
    <t>voulapol@yahoo.gr</t>
  </si>
  <si>
    <t>ΓΕΡΜΑΝΟΣ</t>
  </si>
  <si>
    <t>ΠΟΝΤΙΔΟΥ</t>
  </si>
  <si>
    <t>ΠΟΤΑΜΙΑΝΟΥ</t>
  </si>
  <si>
    <t>ΠΟΤΕΤΣΙΑΝΑΚΗ</t>
  </si>
  <si>
    <t>ΣΟΦΙΑ-ΑΡΧΟΝΤΟΥΛΑ</t>
  </si>
  <si>
    <t>ΠΟΥΛΑΣΟΥΧΙΔΟΥ</t>
  </si>
  <si>
    <t>ΠΟΥΛΙΝΑΚΗΣ</t>
  </si>
  <si>
    <t>ΚΡΙΤΟΛΑΟ</t>
  </si>
  <si>
    <t>kritolaos2000@yahoo.com</t>
  </si>
  <si>
    <t>ΠΟΥΜΠΛΑΚΗ</t>
  </si>
  <si>
    <t>ΠΟΥΣΙΑΣ</t>
  </si>
  <si>
    <t>ΠΡΑΜΑΤΕΥΤΑΚΗ</t>
  </si>
  <si>
    <t>ΠΡΑΣΑΚΗ</t>
  </si>
  <si>
    <t>PRASAviki@yahoo.gr</t>
  </si>
  <si>
    <t>ΠΡΕΒΕΝΤΑ</t>
  </si>
  <si>
    <t>ΠΡΕΒΕΝΤΑΣ</t>
  </si>
  <si>
    <t>ΠΡΙΝΙΑΝΑΚΗ</t>
  </si>
  <si>
    <t>ΠΡΙΝΤΖΗ</t>
  </si>
  <si>
    <t>ΠΥΡΕΝΗ</t>
  </si>
  <si>
    <t>ΡΑΦΑΗΛ</t>
  </si>
  <si>
    <t>ΡΕΚΟΥΝΑ</t>
  </si>
  <si>
    <t>ΡΕΝΙΕΡΗΣ</t>
  </si>
  <si>
    <t>ΡΗΝΟΥ</t>
  </si>
  <si>
    <t>217/01-09-2005</t>
  </si>
  <si>
    <t>ΡΟΔΟΛΑΚΗΣ</t>
  </si>
  <si>
    <t>ΡΟΔΟΥΣΑΚΗ</t>
  </si>
  <si>
    <t>ΡΟΖΑΚΗ</t>
  </si>
  <si>
    <t>rozakias@hotmail.com</t>
  </si>
  <si>
    <t>ΡΟΠΑΛΗ</t>
  </si>
  <si>
    <t>ΡΟΣΜΑΡΑΚΗ</t>
  </si>
  <si>
    <t>ΡΩΣΟΠΟΥΛΟΥ</t>
  </si>
  <si>
    <t>ΣΑΒΒΑΔΕΛΗ</t>
  </si>
  <si>
    <t>ΑΜΑΝΑΤΙΟ</t>
  </si>
  <si>
    <t>ΣΑΒΙΟΛΗ</t>
  </si>
  <si>
    <t>ΣΑΚΕΛΛΑΡΙΔΗΣ</t>
  </si>
  <si>
    <t>ΣΑΚΟΥΛΗ</t>
  </si>
  <si>
    <t>ΣΑΚΟΥΦΑΚΗ</t>
  </si>
  <si>
    <t>ΣΑΛΕΧ</t>
  </si>
  <si>
    <t>kat.saloustrou@gmail.com</t>
  </si>
  <si>
    <t>ΣΑΛΤΣΙΔΟΥ</t>
  </si>
  <si>
    <t>ΠΕΡΙΚΛΗ</t>
  </si>
  <si>
    <t>Samara.loukia@gmail.com</t>
  </si>
  <si>
    <t>ΣΑΜΑΤΑ ΚΛΑΠΑΚΗ</t>
  </si>
  <si>
    <t>ΣΑΜΠΡΟΒΑΛΑΚΗ</t>
  </si>
  <si>
    <t>ΣΑΝΑΙΔΟΥ</t>
  </si>
  <si>
    <t>ΣΑΠΟΥΝΑΚΗ</t>
  </si>
  <si>
    <t>ΣΑΡΑΝΤΗΣ</t>
  </si>
  <si>
    <t>saradismike@hotmail.gr</t>
  </si>
  <si>
    <t>ΣΑΡΑΣΙΔΟΥ</t>
  </si>
  <si>
    <t>ΣΑΡΒΑΝΗ</t>
  </si>
  <si>
    <t>ΣΑΡΗΒΑΣΙΛΗ</t>
  </si>
  <si>
    <t>geosarik@gmail.com</t>
  </si>
  <si>
    <t>ΣΑΡΟΓΛΟΥ</t>
  </si>
  <si>
    <t>ΣΑΡΤΖΕΤΑΚΗΣ</t>
  </si>
  <si>
    <t>298/Γ</t>
  </si>
  <si>
    <t>ΣΑΧΤΑΡΙΔΟΥ</t>
  </si>
  <si>
    <t>anastasiasachtaridou@gmail.com</t>
  </si>
  <si>
    <t>ΣΓΟΥΡΟΜΑΛΛΗ</t>
  </si>
  <si>
    <t>ΣΙΔΕΡΕΝΙΑ</t>
  </si>
  <si>
    <t>ΣΕΓΚΟΥ</t>
  </si>
  <si>
    <t>ΣΕΛΗΝΙΩΤΑΚΗΣ</t>
  </si>
  <si>
    <t>ΣΕΡΕΤΗ</t>
  </si>
  <si>
    <t>ΣΙΑΜΑΝΤΑ</t>
  </si>
  <si>
    <t>ΣΙΜΟΠΟΥΛΟΣ</t>
  </si>
  <si>
    <t>ΣΙΝΙΟΡΑΚΗ</t>
  </si>
  <si>
    <t>ΣΙΟΥΜΑΛΑ</t>
  </si>
  <si>
    <t>ΣΙΤΑΡΕΝΙΟΥ</t>
  </si>
  <si>
    <t>ΣΙΩΚΟΥ</t>
  </si>
  <si>
    <t>ΣΙΩΠΗ</t>
  </si>
  <si>
    <t>marseop@gmail.com</t>
  </si>
  <si>
    <t>ΣΚΑΛΙΩΤΟΥ</t>
  </si>
  <si>
    <t>ΣΚΟΡΔΥΛΗ</t>
  </si>
  <si>
    <t>mascor1@sch.gr</t>
  </si>
  <si>
    <t>ΜΑΡΙΑ Ε</t>
  </si>
  <si>
    <t>angskou@yahoo.gr</t>
  </si>
  <si>
    <t>ΕΛΕΥΘΕΡΙΑ-ΒΥΣΣΙΝΙΑ</t>
  </si>
  <si>
    <t>pelaskour@yahoo.gr</t>
  </si>
  <si>
    <t>ΣΚΟΥΡΕΛΙΩΤΗ</t>
  </si>
  <si>
    <t>ΣΚΟΥΡΟΥ</t>
  </si>
  <si>
    <t>ΣΚΟΥΤΑ</t>
  </si>
  <si>
    <t>ΣΚΟΥΦΙΔΟΥ</t>
  </si>
  <si>
    <t>ΣΚΡΙΜΠΟΝΗ</t>
  </si>
  <si>
    <t>ΣΜΥΡΛΑΚΗΣ</t>
  </si>
  <si>
    <t>ΜΑΡΚΟΣ-ΑΝΔΡΕΑΣ</t>
  </si>
  <si>
    <t>ΣΟΥΛΑΚΕΛΛΗ</t>
  </si>
  <si>
    <t>ΣΟΥΛΙΔΟΥ</t>
  </si>
  <si>
    <t>sofiagsoul@hotmail.com</t>
  </si>
  <si>
    <t>ΣΟΥΜΠΑΚΗ</t>
  </si>
  <si>
    <t>ΣΟΥΠΕΚΙΩΤΗ</t>
  </si>
  <si>
    <t>ΣΟΥΡΜΕΛΗΣ</t>
  </si>
  <si>
    <t>ΣΟΥΧΛΑΚΗ</t>
  </si>
  <si>
    <t>ΜΠΟΤΟΝΗΣ</t>
  </si>
  <si>
    <t>ΣΠΕΤΣΙΩΤΑΚΗ</t>
  </si>
  <si>
    <t>ΣΠΗΛΙΩΤΗ</t>
  </si>
  <si>
    <t>voulaspil@sch.gr</t>
  </si>
  <si>
    <t>ΣΠΥΡΙΔΩΝ ΙΩΑΝΝΗΣ</t>
  </si>
  <si>
    <t>ΣΤΑΗΣ</t>
  </si>
  <si>
    <t>ΣΤΑΘΑΤΟΥ</t>
  </si>
  <si>
    <t>ΦΕΒΡΟΝΙ</t>
  </si>
  <si>
    <t>ΚΑΛΛΗΡΟΗ</t>
  </si>
  <si>
    <t>ΔΗΜΟΤΙΚΟ ΣΧΟΛΕΙΟ ΑΝΩΠΟΛΗΣ</t>
  </si>
  <si>
    <t>mail@dim-an-polis.chan.sch.gr</t>
  </si>
  <si>
    <t>ΣΤΑΜΑΤΟΓΙΑΝΝΟΠΟΥΛΟΥ</t>
  </si>
  <si>
    <t>217Γ</t>
  </si>
  <si>
    <t>ΣΤΑΜΕΛΑΚΗ</t>
  </si>
  <si>
    <t>ΣΤΑΜΙΡΗ</t>
  </si>
  <si>
    <t>vstampol@yahoo.gr</t>
  </si>
  <si>
    <t>ΣΤΑΜΠΟΛΑΚΗΣ</t>
  </si>
  <si>
    <t>ΒΑΙΤΣΗΣ</t>
  </si>
  <si>
    <t>stabol68@otenet.gr</t>
  </si>
  <si>
    <t>ΣΤΑΥΡΑΝΤΩΝΗ</t>
  </si>
  <si>
    <t>ΣΤΑΥΡΟΥΔΑΚΗ</t>
  </si>
  <si>
    <t>ΣΤΕΜΠΙΛΗ</t>
  </si>
  <si>
    <t>ΣΤΕΦΑΝΑΚΟΥ</t>
  </si>
  <si>
    <t>ΕΥΓΕΝΙΑ-ΙΩΑΝΝΑ</t>
  </si>
  <si>
    <t>jstefanakou27@gmail.com</t>
  </si>
  <si>
    <t>ΣΤΕΦΑΝΗ</t>
  </si>
  <si>
    <t>ΣΤΕΦΟΠΟΥΛΟΥ</t>
  </si>
  <si>
    <t>ΕΥΦΡΩΣΥΝΗ</t>
  </si>
  <si>
    <t>ΣΤΕΦΟΥ</t>
  </si>
  <si>
    <t>stefou70@gmail.com</t>
  </si>
  <si>
    <t>ΣΤΗΜΑΔΩΡΑΚΗ</t>
  </si>
  <si>
    <t>stimadorakimaria@gmail.com</t>
  </si>
  <si>
    <t>ΣΤΡΑΒΟΥΔΑΚΗ</t>
  </si>
  <si>
    <t>estravoudaki@gmail.com</t>
  </si>
  <si>
    <t>ΣΤΡΑΤΗ</t>
  </si>
  <si>
    <t>ΣΤΡΑΤΙΝΑΚΗ</t>
  </si>
  <si>
    <t>ΣΤΥΛΙΑΝΑΚΑΚΗΣ</t>
  </si>
  <si>
    <t>ΣΥΚΙΩΤΟΥ</t>
  </si>
  <si>
    <t>ΣΥΝΝΕΦΑΚΗΣ</t>
  </si>
  <si>
    <t>csyn@otenet.gr</t>
  </si>
  <si>
    <t>ΣΥΡΟΚΑΚΗΣ</t>
  </si>
  <si>
    <t>ΓΕΡΑΣΙΜΙΝΑ</t>
  </si>
  <si>
    <t>ΣΦΑΚΙΩΤΑΚΗ</t>
  </si>
  <si>
    <t>ΣΦΕΛΙΝΙΩΤΟΥ</t>
  </si>
  <si>
    <t>ΣΦΥΡΙΔΑΚΗ</t>
  </si>
  <si>
    <t>ΣΧΟΙΝΑΣ</t>
  </si>
  <si>
    <t>dim28732@gmail.com</t>
  </si>
  <si>
    <t>ΚΥΡΙΑΚΗ-ΜΑΡΙΝΑ</t>
  </si>
  <si>
    <t>ΤΑΝΑΚΙΔΟΥ</t>
  </si>
  <si>
    <t>ΤΑΡΑΜΠΑΤΖΗ</t>
  </si>
  <si>
    <t>ΤΑΡΑΠΕΡΑ</t>
  </si>
  <si>
    <t>ΤΑΡΤΑΛΗ</t>
  </si>
  <si>
    <t>ΤΑΣΙΟΣ</t>
  </si>
  <si>
    <t>vasilinho84@gmail.com</t>
  </si>
  <si>
    <t>ΤΑΣΤΑΝΕΛΗ</t>
  </si>
  <si>
    <t>ΤΑΣΧΟΥΝΙΔΟΥ</t>
  </si>
  <si>
    <t>ΤΑΤΑΡΙΩΤΗ</t>
  </si>
  <si>
    <t>ΤΕΓΟΥΣΙΟΥ-ΚΑΡΑΓΙΑΝΝΗ</t>
  </si>
  <si>
    <t>ΤΕΡΖΟΠΟΥΛΟΣ</t>
  </si>
  <si>
    <t>ΑΡΗΣ-ΡΥΝΤΙΓΚΕΡ</t>
  </si>
  <si>
    <t>ΕΝΤΑ</t>
  </si>
  <si>
    <t>ΤΕΡΤΙΠΗΣ</t>
  </si>
  <si>
    <t>ΤΕΦΟΥ</t>
  </si>
  <si>
    <t>ΤΖΑΝΑ</t>
  </si>
  <si>
    <t>ΤΖΑΝΕΤΟΣ</t>
  </si>
  <si>
    <t>ΤΖΑΤΖΑΝΗ</t>
  </si>
  <si>
    <t>ΤΖΕΒΕΛΕΚΙΔΗΣ</t>
  </si>
  <si>
    <t>ΤΖΕΓΙΑΝΝΑΚΗ</t>
  </si>
  <si>
    <t>ΤΖΙΑΝΟΥΔΑΚΗ</t>
  </si>
  <si>
    <t>ΤΖΙΛΙΒΑΚΗ</t>
  </si>
  <si>
    <t>2ο ΝΗΠΙΑΓΩΓΕΙΟ ΒΑΜΒΑΚΟΠΟΥΛΟΥ</t>
  </si>
  <si>
    <t>mail@2nip-vamvak.chan.sch.gr</t>
  </si>
  <si>
    <t>tzilivak@yahoo.gr</t>
  </si>
  <si>
    <t>ΤΖΙΜΑ</t>
  </si>
  <si>
    <t>xanthitzima@hotmail.com</t>
  </si>
  <si>
    <t>ΤΖΙΝΕΥΡΑΚΗ</t>
  </si>
  <si>
    <t>ΣΟΥΛΑ</t>
  </si>
  <si>
    <t>ΤΖΙΤΖΙΚΑΛΑΚΗ</t>
  </si>
  <si>
    <t>ΣΤΑΜΑΤΟ</t>
  </si>
  <si>
    <t>ΤΖΙΦΑ</t>
  </si>
  <si>
    <t>sotiriatzifa@gmail.com</t>
  </si>
  <si>
    <t>ΤΖΟΚΑΣ</t>
  </si>
  <si>
    <t>tzompanaki@gmail.com</t>
  </si>
  <si>
    <t>ΤΖΟΥΓΑΝΑΚΗ</t>
  </si>
  <si>
    <t>ΤΖΟΥΓΚΑΡΑΚΗ</t>
  </si>
  <si>
    <t>ΝΗΠΙΑΓΩΓΕΙΟ ΕΜΠΡΟΣΝΕΡΟΥ</t>
  </si>
  <si>
    <t>mail@nip-empros.chan.sch.gr</t>
  </si>
  <si>
    <t>ΤΟΡΟΥΣΗ</t>
  </si>
  <si>
    <t>ΤΟΥΒΛΕΛΗ</t>
  </si>
  <si>
    <t>ΑΝΝΑ-ΜΑΡΙΑ-ΚΑΛΛΙΟΠΗ</t>
  </si>
  <si>
    <t>ΤΟΥΛΙΑ</t>
  </si>
  <si>
    <t>touliaeva@yahoo.gr</t>
  </si>
  <si>
    <t>ΤΟΥΡΝΟΠΕΤΡΑΚΗ</t>
  </si>
  <si>
    <t>ΕΠΙΜΕΝΕΙ</t>
  </si>
  <si>
    <t>ΤΟΥΦΕΓΓΟΠΟΥΛΟΥ</t>
  </si>
  <si>
    <t>ΤΡΑΓΟΥΔΑΣ</t>
  </si>
  <si>
    <t>kostlen@gmail.com</t>
  </si>
  <si>
    <t>ΤΡΑΚΟΣΙΑΡΗΣ</t>
  </si>
  <si>
    <t>Themistrak@gmail.com</t>
  </si>
  <si>
    <t>ΤΡΙΑΝΤΑΦΥΛΛΙΔΟΥ</t>
  </si>
  <si>
    <t>ΤΡΙΓΚΑΚΗΣ</t>
  </si>
  <si>
    <t>ΤΡΙΚΕΡΙΩΤΗ ΠΑΡΑΔΕΙΣΗ</t>
  </si>
  <si>
    <t>ΤΡΟΧΑΤΟΥ</t>
  </si>
  <si>
    <t>ΚΑΛΛΙΚΡΑΤΗΣ</t>
  </si>
  <si>
    <t>ΤΡΥΦΗΝΟΠΟΥΛΟΥ</t>
  </si>
  <si>
    <t>ΠΟΛΥΧΡΟΝΙΑ</t>
  </si>
  <si>
    <t>dimitrios_skitzis@hotmail.com</t>
  </si>
  <si>
    <t>ΤΣΑΓΑΝΗ</t>
  </si>
  <si>
    <t>ΤΣΑΓΡΑΚΗ</t>
  </si>
  <si>
    <t>ΤΣΑΚΙΡΑΚΗ</t>
  </si>
  <si>
    <t>ΕΛΕΑΝΘΗ-ΕΥΑΓΓΕΛΙΑ</t>
  </si>
  <si>
    <t>ΔΟΥΚΑΙΝΗ</t>
  </si>
  <si>
    <t>nopi_tsk@hotmail.com</t>
  </si>
  <si>
    <t>ΤΣΑΚΝΙΑ</t>
  </si>
  <si>
    <t>ΤΣΑΛΑΠΑΚΗ</t>
  </si>
  <si>
    <t>ΤΣΑΛΑΠΑΚΗΣ</t>
  </si>
  <si>
    <t>ΤΣΑΛΤΑΜΠΑΣΗ</t>
  </si>
  <si>
    <t>ΤΣΑΜΑΛΔΟΥΠΗ</t>
  </si>
  <si>
    <t>ΤΣΑΝΤΑΚΗ</t>
  </si>
  <si>
    <t>atsantaki@hotmail.com</t>
  </si>
  <si>
    <t>ΤΣΑΡΑΜΑΝΙΔΗΣ</t>
  </si>
  <si>
    <t>ΤΣΑΤΣΟΥ</t>
  </si>
  <si>
    <t>tsekourasyiannis@yahoo.gr</t>
  </si>
  <si>
    <t>ΤΣΕΛΕΠΗ</t>
  </si>
  <si>
    <t>masha12gr@gmail.com</t>
  </si>
  <si>
    <t>ΤΣΕΠΑΠΑΔΑΚΗ</t>
  </si>
  <si>
    <t>ΤΣΙΑΚΜΑΚΛΗ</t>
  </si>
  <si>
    <t>ΒΑΙΤΣΑ</t>
  </si>
  <si>
    <t>ΤΣΙΑΚΥΡΟΥΔΗ</t>
  </si>
  <si>
    <t>ΤΣΙΑΛΟΥ</t>
  </si>
  <si>
    <t>ΔΗΜΗΤΡΙΟΣ-ΠΑΝΑΓΙΩΤΗΣ</t>
  </si>
  <si>
    <t>ΤΣΙΑΜΗΤΡΟΥ</t>
  </si>
  <si>
    <t>ΤΣΙΑΜΠΑΛΗ</t>
  </si>
  <si>
    <t>ΤΣΙΑΟΥΣΗ</t>
  </si>
  <si>
    <t>ΤΣΙΒΟΥΛΑΣ</t>
  </si>
  <si>
    <t>ΤΣΙΓΑΡΑΣ</t>
  </si>
  <si>
    <t>ΤΣΙΓΩΝΑΚΗ</t>
  </si>
  <si>
    <t>ΤΣΙΚΑ</t>
  </si>
  <si>
    <t>euridiki.tsika@gmail.com</t>
  </si>
  <si>
    <t>sofoulio@gmail.com</t>
  </si>
  <si>
    <t>ΤΣΙΛΒΙΔΟΥ</t>
  </si>
  <si>
    <t>ΤΣΙΛΙΚΑ</t>
  </si>
  <si>
    <t>ΝΙΚΟΛΕΤΑ-ΜΑΡΙΑ</t>
  </si>
  <si>
    <t>ΤΣΙΡΑΝΤΩΝΑΚΗ</t>
  </si>
  <si>
    <t>stsirantonaki@gmail.com</t>
  </si>
  <si>
    <t>ΤΣΙΡΙΓΩΤΑΚΗΣ</t>
  </si>
  <si>
    <t>ΤΣΙΡΙΝΔΑΝΗ</t>
  </si>
  <si>
    <t>ΤΣΙΣΜΕΝΑΚΗ</t>
  </si>
  <si>
    <t>ΤΣΙΣΜΕΝΑΚΗΣ</t>
  </si>
  <si>
    <t>ΤΣΙΤΟΥΡΤΖΗ</t>
  </si>
  <si>
    <t>ΤΣΙΤΣΙΔΑΚΗ</t>
  </si>
  <si>
    <t>jtsitsidaki@gmail.com</t>
  </si>
  <si>
    <t>ΤΣΙΤΣΙΜΠΕΟΥ</t>
  </si>
  <si>
    <t>ΤΣΙΤΣΙΜΠΙΚΟΥ</t>
  </si>
  <si>
    <t>ΤΣΙΦΤΣΟΠΟΥΛΟΣ</t>
  </si>
  <si>
    <t>ΣΤΑΜΑΤΙ</t>
  </si>
  <si>
    <t>ΤΣΙΩΤΑ</t>
  </si>
  <si>
    <t>ΤΣΙΩΤΑΚΗ</t>
  </si>
  <si>
    <t>nikh7tsi@gmail.com</t>
  </si>
  <si>
    <t>ΤΣΟΓΚΑ</t>
  </si>
  <si>
    <t>ΤΣΟΛΑΚΗ</t>
  </si>
  <si>
    <t>tsolaki.m@gmail.com</t>
  </si>
  <si>
    <t>33/Γ/23-01-2017</t>
  </si>
  <si>
    <t>ΤΣΟΥΚΑΤΟΥ</t>
  </si>
  <si>
    <t>ΤΣΟΥΝΑΠΗ</t>
  </si>
  <si>
    <t>ΤΣΟΥΡΑΚΗ</t>
  </si>
  <si>
    <t>ΜΑΝΟΛΗΣ</t>
  </si>
  <si>
    <t>rodanthi_tsouraki@yahoo.gr</t>
  </si>
  <si>
    <t>ΤΣΟΥΤΣΗ</t>
  </si>
  <si>
    <t>efitsoutsi87@gmail.com</t>
  </si>
  <si>
    <t>ΤΣΩΤΟΥ</t>
  </si>
  <si>
    <t>ΥΨΗΛΑΝΤΗ</t>
  </si>
  <si>
    <t>ΦΑΝΟΥ</t>
  </si>
  <si>
    <t>ΦΑΝΤΑΚΗ</t>
  </si>
  <si>
    <t>ΦΑΡΑΝΤΑΚΗ</t>
  </si>
  <si>
    <t>farmakisg84@hotmail.com</t>
  </si>
  <si>
    <t>farsariel@gmail.com</t>
  </si>
  <si>
    <t>ΦΑΤΖΙΚΗ</t>
  </si>
  <si>
    <t>fatzikimaria@gmail.com</t>
  </si>
  <si>
    <t>ΦΕΙΜΗΣ</t>
  </si>
  <si>
    <t>ΦΕΛΕΚΗΣ</t>
  </si>
  <si>
    <t>ΕΙΔΙΚΟ ΝΗΠΙΑΓΩΓΕΙΟ ΧΑΝΙΩΝ - ΚΕΝΤΡΟ ΑΠΟΚΑΤΑΣΤΑΣΗΣ ΠΑΙΔΙΩΝ ΚΑΙ ΝΕΩΝ ΚΡΗΤΗΣ</t>
  </si>
  <si>
    <t>mail@nip-kapnk.chan.sch.gr</t>
  </si>
  <si>
    <t>ΦΙΛΩΝ</t>
  </si>
  <si>
    <t>ΝΟΡΜΑ</t>
  </si>
  <si>
    <t>eva.fiolitaki@gmail.com</t>
  </si>
  <si>
    <t>ΦΛΕΜΕΤΑΚΗ</t>
  </si>
  <si>
    <t>ΦΟΥΝΤΟΥ</t>
  </si>
  <si>
    <t>ΦΟΥΝΤΟΥΚΙΔΟΥ</t>
  </si>
  <si>
    <t>arnik28@yahoo.com</t>
  </si>
  <si>
    <t>ΕΛΕΝΗ-ΑΝΤΩΝΙΑ</t>
  </si>
  <si>
    <t>efountoulaki@yahoo.com</t>
  </si>
  <si>
    <t>afudul@otenet.gr</t>
  </si>
  <si>
    <t>ΦΟΥΣΚΟΛΑΓΟΥΔΑΚΗ</t>
  </si>
  <si>
    <t>ΦΟΥΤΣΙΤΖΙΔΟΥ</t>
  </si>
  <si>
    <t>ΦΡΑΓΓΕΔΑΚΗ</t>
  </si>
  <si>
    <t>ΦΡΑΓΚΑΛΑ</t>
  </si>
  <si>
    <t>ΜΑΡΙΑ-ΖΩΗ</t>
  </si>
  <si>
    <t>mariza-souda@yahoo.gr</t>
  </si>
  <si>
    <t>marios_frag@yahoo.gr</t>
  </si>
  <si>
    <t>ΤΑΞΙΑΡΧΗΣ</t>
  </si>
  <si>
    <t>ΦΤΥΛΙΤΑΚΗ</t>
  </si>
  <si>
    <t>ΝΥΜΦΟΔΩΡΑ</t>
  </si>
  <si>
    <t>ΦΩΤΑΚΗ</t>
  </si>
  <si>
    <t>ΦΩΤΕΙΝΟΠΟΥΛΟΥ</t>
  </si>
  <si>
    <t>ΧΑΒΑΛΕΔΑΚΗ</t>
  </si>
  <si>
    <t>ΧΑΖΝΑΤΑΡΗ</t>
  </si>
  <si>
    <t>ΧΑΪΔΑΛΗΣ</t>
  </si>
  <si>
    <t>ΧΑΙΔΕΜΕΝΑΚΗ</t>
  </si>
  <si>
    <t>ΧΑΛΑΖΙΑ</t>
  </si>
  <si>
    <t>200-2/9/86</t>
  </si>
  <si>
    <t>ΧΑΛΙΑΜΠΑΛΙΑ</t>
  </si>
  <si>
    <t>ΧΑΛΙΒΕΛΑΚΗ</t>
  </si>
  <si>
    <t>ΜΑΓΔΑΛΗΝΗ-ΜΑΡΙΑ</t>
  </si>
  <si>
    <t>ΧΑΜΑΡΑΚΗ</t>
  </si>
  <si>
    <t>ΧΑΝΤΑΜΠΑΚΗ</t>
  </si>
  <si>
    <t>charvas1@hotmail.com</t>
  </si>
  <si>
    <t>ΧΑΡΑΛΑΜΠΟΠΟΥΛΟΥ</t>
  </si>
  <si>
    <t>ΧΑΡΙΣΤΟΥ</t>
  </si>
  <si>
    <t>elenixartzoulaki@hotmail.com</t>
  </si>
  <si>
    <t>233/Τ.Γ. (31/8/2006)</t>
  </si>
  <si>
    <t>ΧΑΡΩΝΗ</t>
  </si>
  <si>
    <t>ΛΕΩΝΙ</t>
  </si>
  <si>
    <t>hliaxtida@gmail.com</t>
  </si>
  <si>
    <t>ΑΘΑΝΑΣΙΑ-ΚΑΡΟΛΙΝΑ</t>
  </si>
  <si>
    <t>karolina.xatzi@gmail.com</t>
  </si>
  <si>
    <t>ΧΑΤΖΗ-ΑΛΗ</t>
  </si>
  <si>
    <t>ΦΕΡΙΣΤΕ</t>
  </si>
  <si>
    <t>ΑΜΕΤ</t>
  </si>
  <si>
    <t>ΝΕΖΙΧΑ</t>
  </si>
  <si>
    <t>irenexatzi@hotmail.com</t>
  </si>
  <si>
    <t>ΧΑΤΖΗΘΕΟΔΩΡΙΔΟΥ</t>
  </si>
  <si>
    <t>ΧΑΤΖΗΘΕΟΔΩΡΟΥ</t>
  </si>
  <si>
    <t>ΧΑΤΖΗΘΕΟΛΟΓΟΥ</t>
  </si>
  <si>
    <t>nizaladani@yahoo.gr</t>
  </si>
  <si>
    <t>ΧΑΤΖΗΚΟΚΟΛΑΚΗ</t>
  </si>
  <si>
    <t>ΧΑΤΖΗΜΑΡΙΝΑΚΗ</t>
  </si>
  <si>
    <t>ΧΑΤΖΗΜΟΥΡΑΤ</t>
  </si>
  <si>
    <t>ΧΑΤΖΗΠΑΝΑΓΙΩΤΟΥ</t>
  </si>
  <si>
    <t>chatzipana@gmail.com</t>
  </si>
  <si>
    <t>ΚΕΡΑΤΣΩ</t>
  </si>
  <si>
    <t>ΧΑΧΟΠΟΥΛΟΥ</t>
  </si>
  <si>
    <t>ΧΕΙΜΩΝΙΔΟΥ</t>
  </si>
  <si>
    <t>ΧΕΛΙΟΥΔΑΚΗΣ</t>
  </si>
  <si>
    <t>chemanouil@gmail.com</t>
  </si>
  <si>
    <t>ΧΙΛΑΙ</t>
  </si>
  <si>
    <t>ΑΟΥΡΟΡΑ</t>
  </si>
  <si>
    <t>ΧΙΩΤΑΚΗ</t>
  </si>
  <si>
    <t>eichiotaki@gmail.com</t>
  </si>
  <si>
    <t>ΕΜΜΑΝΩΛΙΑ</t>
  </si>
  <si>
    <t>ΧΝΑΡΗ</t>
  </si>
  <si>
    <t>ΧΟΝΔΡΑΚΗ</t>
  </si>
  <si>
    <t>ΠΛΑΣΤΗΡΑ</t>
  </si>
  <si>
    <t>ΧΟΤΖΑΣ</t>
  </si>
  <si>
    <t>nichotzas@yahoo.gr</t>
  </si>
  <si>
    <t>ΧΟΥΧΟΥΝΙΚΟΥ</t>
  </si>
  <si>
    <t>ΧΡΙΣΤΙΑΝΑΚΗ ΤΣΕΣΜΕ</t>
  </si>
  <si>
    <t>tsema1@otenet.gr</t>
  </si>
  <si>
    <t>vchristo@hotmail.com</t>
  </si>
  <si>
    <t>ΧΡΙΣΤΟΥΛΑΚΗ</t>
  </si>
  <si>
    <t>ΧΡΙΣΤΟΥΛΑΚΗΣ</t>
  </si>
  <si>
    <t>ΜΑΝΟΥΗΛ</t>
  </si>
  <si>
    <t>agristofi@yahoo.gr</t>
  </si>
  <si>
    <t>ΣΙΡΜΑΛΟΥ</t>
  </si>
  <si>
    <t>ΠΛΑΤΩΝ</t>
  </si>
  <si>
    <t>ΧΡΥΣΑΝΘΑΚΟΠΟΥΛΟΥ</t>
  </si>
  <si>
    <t>ioannachris@gmail.com</t>
  </si>
  <si>
    <t>ΧΡΥΣΟΧΕΡΑΚΗ</t>
  </si>
  <si>
    <t>ΧΩΜΑΤΑΣ</t>
  </si>
  <si>
    <t>ΨΑΡΟΥ</t>
  </si>
  <si>
    <t>MPsarou42@gmail.com</t>
  </si>
  <si>
    <t>ΨΕΓΙΑΝΝΑΚΗ</t>
  </si>
  <si>
    <t>evgian@hotmail.com</t>
  </si>
  <si>
    <t>ΨΙΤΤΑΚΗ ΠΡΩΙΜΟΥ</t>
  </si>
  <si>
    <t>fterie.psillaki@yahoo.gr</t>
  </si>
  <si>
    <t>e.psillaki@hotmail.com</t>
  </si>
  <si>
    <t>ΚΑΝΕΛ</t>
  </si>
  <si>
    <t>ΨΥΧΟΥΝΤΑΚΗ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</si>
</sst>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0792"/>
  <sheetViews>
    <sheetView tabSelected="1" workbookViewId="0"/>
  </sheetViews>
  <sheetFormatPr defaultRowHeight="15"/>
  <sheetData>
    <row r="1" spans="1:5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>
      <c r="A2">
        <v>703450</v>
      </c>
      <c r="B2" t="str">
        <f>"079544314"</f>
        <v>079544314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tr">
        <f>" "</f>
        <v xml:space="preserve"> </v>
      </c>
      <c r="N2" t="s">
        <v>55</v>
      </c>
      <c r="O2" t="s">
        <v>56</v>
      </c>
      <c r="R2" t="s">
        <v>57</v>
      </c>
      <c r="S2">
        <v>16</v>
      </c>
      <c r="T2">
        <v>354</v>
      </c>
      <c r="U2" s="1">
        <v>30991</v>
      </c>
      <c r="X2" t="s">
        <v>58</v>
      </c>
      <c r="Y2">
        <v>21</v>
      </c>
      <c r="Z2" t="s">
        <v>59</v>
      </c>
      <c r="AA2" t="s">
        <v>59</v>
      </c>
      <c r="AB2" t="s">
        <v>59</v>
      </c>
      <c r="AC2" t="s">
        <v>59</v>
      </c>
      <c r="AD2" t="s">
        <v>59</v>
      </c>
      <c r="AF2" s="1">
        <v>31036</v>
      </c>
      <c r="AG2" t="s">
        <v>60</v>
      </c>
      <c r="AH2" t="s">
        <v>61</v>
      </c>
      <c r="AI2" t="str">
        <f>"9000648"</f>
        <v>9000648</v>
      </c>
      <c r="AJ2" t="s">
        <v>62</v>
      </c>
      <c r="AK2">
        <v>2831035185</v>
      </c>
      <c r="AL2" t="s">
        <v>63</v>
      </c>
      <c r="AM2" t="s">
        <v>64</v>
      </c>
      <c r="AN2" t="s">
        <v>65</v>
      </c>
      <c r="AO2" t="s">
        <v>65</v>
      </c>
      <c r="AP2" t="s">
        <v>65</v>
      </c>
      <c r="AR2" t="s">
        <v>66</v>
      </c>
      <c r="AS2" t="s">
        <v>67</v>
      </c>
      <c r="AT2" t="s">
        <v>58</v>
      </c>
      <c r="AU2" t="s">
        <v>68</v>
      </c>
      <c r="AV2" t="s">
        <v>69</v>
      </c>
      <c r="AW2" s="1">
        <v>19260</v>
      </c>
      <c r="AX2">
        <v>0</v>
      </c>
    </row>
    <row r="3" spans="1:50">
      <c r="A3">
        <v>603631</v>
      </c>
      <c r="B3" t="str">
        <f>"043051835"</f>
        <v>043051835</v>
      </c>
      <c r="C3" t="s">
        <v>50</v>
      </c>
      <c r="D3" t="s">
        <v>70</v>
      </c>
      <c r="E3" t="s">
        <v>71</v>
      </c>
      <c r="F3" t="s">
        <v>72</v>
      </c>
      <c r="G3" t="s">
        <v>73</v>
      </c>
      <c r="H3" t="str">
        <f>" "</f>
        <v xml:space="preserve"> </v>
      </c>
      <c r="N3" t="s">
        <v>74</v>
      </c>
      <c r="O3" t="s">
        <v>75</v>
      </c>
      <c r="R3" t="s">
        <v>57</v>
      </c>
      <c r="S3">
        <v>12</v>
      </c>
      <c r="T3">
        <v>201</v>
      </c>
      <c r="U3" s="1">
        <v>37503</v>
      </c>
      <c r="X3" t="s">
        <v>58</v>
      </c>
      <c r="Y3">
        <v>21</v>
      </c>
      <c r="Z3" t="s">
        <v>59</v>
      </c>
      <c r="AA3" t="s">
        <v>59</v>
      </c>
      <c r="AB3" t="s">
        <v>59</v>
      </c>
      <c r="AC3" t="s">
        <v>59</v>
      </c>
      <c r="AD3" t="s">
        <v>59</v>
      </c>
      <c r="AF3" s="1">
        <v>37508</v>
      </c>
      <c r="AG3" t="s">
        <v>60</v>
      </c>
      <c r="AH3" t="s">
        <v>61</v>
      </c>
      <c r="AI3" t="str">
        <f>"9000624"</f>
        <v>9000624</v>
      </c>
      <c r="AJ3" t="s">
        <v>76</v>
      </c>
      <c r="AK3">
        <v>2810215020</v>
      </c>
      <c r="AL3" t="s">
        <v>77</v>
      </c>
      <c r="AM3" t="s">
        <v>78</v>
      </c>
      <c r="AN3" t="s">
        <v>78</v>
      </c>
      <c r="AO3" t="s">
        <v>78</v>
      </c>
      <c r="AP3" t="s">
        <v>79</v>
      </c>
      <c r="AR3" t="s">
        <v>80</v>
      </c>
      <c r="AS3" t="s">
        <v>81</v>
      </c>
      <c r="AT3" t="s">
        <v>58</v>
      </c>
      <c r="AU3" t="s">
        <v>68</v>
      </c>
      <c r="AV3" t="s">
        <v>69</v>
      </c>
      <c r="AW3" s="1">
        <v>21508</v>
      </c>
      <c r="AX3">
        <v>0</v>
      </c>
    </row>
    <row r="4" spans="1:50">
      <c r="A4">
        <v>600645</v>
      </c>
      <c r="B4" t="str">
        <f>"113158004"</f>
        <v>113158004</v>
      </c>
      <c r="C4" t="s">
        <v>50</v>
      </c>
      <c r="D4" t="s">
        <v>82</v>
      </c>
      <c r="E4" t="s">
        <v>83</v>
      </c>
      <c r="F4" t="s">
        <v>84</v>
      </c>
      <c r="G4" t="s">
        <v>85</v>
      </c>
      <c r="H4" t="str">
        <f>"ΔΙΓΕΝΗ ΑΚΡΙΤΑ 6 ΧΑΝΙΑ"</f>
        <v>ΔΙΓΕΝΗ ΑΚΡΙΤΑ 6 ΧΑΝΙΑ</v>
      </c>
      <c r="I4">
        <v>73132</v>
      </c>
      <c r="J4">
        <v>2821055913</v>
      </c>
      <c r="K4">
        <v>6977845664</v>
      </c>
      <c r="N4" t="s">
        <v>55</v>
      </c>
      <c r="O4" t="s">
        <v>56</v>
      </c>
      <c r="R4" t="s">
        <v>57</v>
      </c>
      <c r="S4">
        <v>14</v>
      </c>
      <c r="T4">
        <v>81</v>
      </c>
      <c r="U4" s="1">
        <v>32288</v>
      </c>
      <c r="X4" t="s">
        <v>58</v>
      </c>
      <c r="Y4">
        <v>21</v>
      </c>
      <c r="Z4" t="s">
        <v>59</v>
      </c>
      <c r="AA4" t="s">
        <v>59</v>
      </c>
      <c r="AB4" t="s">
        <v>59</v>
      </c>
      <c r="AC4" t="s">
        <v>59</v>
      </c>
      <c r="AD4" t="s">
        <v>59</v>
      </c>
      <c r="AF4" s="1">
        <v>32288</v>
      </c>
      <c r="AG4" t="s">
        <v>60</v>
      </c>
      <c r="AH4" t="s">
        <v>61</v>
      </c>
      <c r="AI4" t="str">
        <f>"9000657"</f>
        <v>9000657</v>
      </c>
      <c r="AJ4" t="s">
        <v>86</v>
      </c>
      <c r="AK4">
        <v>2821054390</v>
      </c>
      <c r="AL4" t="s">
        <v>87</v>
      </c>
      <c r="AM4" t="s">
        <v>88</v>
      </c>
      <c r="AN4" t="s">
        <v>88</v>
      </c>
      <c r="AO4" t="s">
        <v>88</v>
      </c>
      <c r="AP4" t="s">
        <v>88</v>
      </c>
      <c r="AR4" t="s">
        <v>89</v>
      </c>
      <c r="AS4" t="s">
        <v>90</v>
      </c>
      <c r="AT4" t="s">
        <v>58</v>
      </c>
      <c r="AU4" t="s">
        <v>68</v>
      </c>
      <c r="AV4" t="s">
        <v>69</v>
      </c>
      <c r="AW4" s="1">
        <v>23836</v>
      </c>
      <c r="AX4">
        <v>0</v>
      </c>
    </row>
    <row r="5" spans="1:50">
      <c r="A5">
        <v>606881</v>
      </c>
      <c r="B5" t="str">
        <f>"073406207"</f>
        <v>073406207</v>
      </c>
      <c r="C5" t="s">
        <v>50</v>
      </c>
      <c r="D5" t="s">
        <v>91</v>
      </c>
      <c r="E5" t="s">
        <v>52</v>
      </c>
      <c r="F5" t="s">
        <v>92</v>
      </c>
      <c r="G5" t="s">
        <v>93</v>
      </c>
      <c r="H5" t="str">
        <f>" "</f>
        <v xml:space="preserve"> </v>
      </c>
      <c r="N5" t="s">
        <v>55</v>
      </c>
      <c r="O5" t="s">
        <v>56</v>
      </c>
      <c r="R5" t="s">
        <v>57</v>
      </c>
      <c r="S5">
        <v>7</v>
      </c>
      <c r="T5">
        <v>163</v>
      </c>
      <c r="U5" s="1">
        <v>37813</v>
      </c>
      <c r="X5" t="s">
        <v>58</v>
      </c>
      <c r="Y5">
        <v>22</v>
      </c>
      <c r="Z5" t="s">
        <v>59</v>
      </c>
      <c r="AA5" t="s">
        <v>59</v>
      </c>
      <c r="AB5" t="s">
        <v>59</v>
      </c>
      <c r="AC5" t="s">
        <v>59</v>
      </c>
      <c r="AD5" t="s">
        <v>59</v>
      </c>
      <c r="AF5" s="1">
        <v>37813</v>
      </c>
      <c r="AG5" t="s">
        <v>60</v>
      </c>
      <c r="AH5" t="s">
        <v>61</v>
      </c>
      <c r="AI5" t="str">
        <f>"9000624"</f>
        <v>9000624</v>
      </c>
      <c r="AJ5" t="s">
        <v>76</v>
      </c>
      <c r="AK5">
        <v>2810215020</v>
      </c>
      <c r="AL5" t="s">
        <v>77</v>
      </c>
      <c r="AM5" t="s">
        <v>78</v>
      </c>
      <c r="AN5" t="s">
        <v>78</v>
      </c>
      <c r="AO5" t="s">
        <v>78</v>
      </c>
      <c r="AP5" t="s">
        <v>79</v>
      </c>
      <c r="AR5" t="s">
        <v>80</v>
      </c>
      <c r="AS5" t="s">
        <v>81</v>
      </c>
      <c r="AT5" t="s">
        <v>58</v>
      </c>
      <c r="AU5" t="s">
        <v>68</v>
      </c>
      <c r="AV5" t="s">
        <v>69</v>
      </c>
      <c r="AW5" s="1">
        <v>28388</v>
      </c>
      <c r="AX5">
        <v>0</v>
      </c>
    </row>
    <row r="6" spans="1:50">
      <c r="A6">
        <v>603635</v>
      </c>
      <c r="B6" t="str">
        <f>"071988219"</f>
        <v>071988219</v>
      </c>
      <c r="C6" t="s">
        <v>50</v>
      </c>
      <c r="D6" t="s">
        <v>94</v>
      </c>
      <c r="E6" t="s">
        <v>83</v>
      </c>
      <c r="F6" t="s">
        <v>95</v>
      </c>
      <c r="G6" t="s">
        <v>96</v>
      </c>
      <c r="H6" t="str">
        <f>" "</f>
        <v xml:space="preserve"> </v>
      </c>
      <c r="N6" t="s">
        <v>74</v>
      </c>
      <c r="O6" t="s">
        <v>75</v>
      </c>
      <c r="R6" t="s">
        <v>57</v>
      </c>
      <c r="S6">
        <v>9</v>
      </c>
      <c r="T6">
        <v>163</v>
      </c>
      <c r="U6" s="1">
        <v>37813</v>
      </c>
      <c r="X6" t="s">
        <v>58</v>
      </c>
      <c r="Y6">
        <v>22</v>
      </c>
      <c r="Z6" t="s">
        <v>59</v>
      </c>
      <c r="AA6" t="s">
        <v>59</v>
      </c>
      <c r="AB6" t="s">
        <v>59</v>
      </c>
      <c r="AC6" t="s">
        <v>59</v>
      </c>
      <c r="AD6" t="s">
        <v>59</v>
      </c>
      <c r="AF6" s="1">
        <v>37813</v>
      </c>
      <c r="AG6" t="s">
        <v>60</v>
      </c>
      <c r="AH6" t="s">
        <v>61</v>
      </c>
      <c r="AI6" t="str">
        <f>"9000657"</f>
        <v>9000657</v>
      </c>
      <c r="AJ6" t="s">
        <v>86</v>
      </c>
      <c r="AK6">
        <v>2821054390</v>
      </c>
      <c r="AL6" t="s">
        <v>87</v>
      </c>
      <c r="AM6" t="s">
        <v>88</v>
      </c>
      <c r="AN6" t="s">
        <v>88</v>
      </c>
      <c r="AO6" t="s">
        <v>88</v>
      </c>
      <c r="AP6" t="s">
        <v>88</v>
      </c>
      <c r="AR6" t="s">
        <v>89</v>
      </c>
      <c r="AS6" t="s">
        <v>90</v>
      </c>
      <c r="AT6" t="s">
        <v>58</v>
      </c>
      <c r="AU6" t="s">
        <v>68</v>
      </c>
      <c r="AV6" t="s">
        <v>69</v>
      </c>
      <c r="AW6" s="1">
        <v>27135</v>
      </c>
      <c r="AX6">
        <v>0</v>
      </c>
    </row>
    <row r="7" spans="1:50">
      <c r="A7">
        <v>603637</v>
      </c>
      <c r="B7" t="str">
        <f>"046501790"</f>
        <v>046501790</v>
      </c>
      <c r="C7" t="s">
        <v>50</v>
      </c>
      <c r="D7" t="s">
        <v>97</v>
      </c>
      <c r="E7" t="s">
        <v>98</v>
      </c>
      <c r="F7" t="s">
        <v>99</v>
      </c>
      <c r="G7" t="s">
        <v>83</v>
      </c>
      <c r="H7" t="str">
        <f>" "</f>
        <v xml:space="preserve"> </v>
      </c>
      <c r="N7" t="s">
        <v>100</v>
      </c>
      <c r="O7" t="s">
        <v>101</v>
      </c>
      <c r="R7" t="s">
        <v>57</v>
      </c>
      <c r="S7">
        <v>7</v>
      </c>
      <c r="T7">
        <v>120</v>
      </c>
      <c r="U7" s="1">
        <v>37770</v>
      </c>
      <c r="X7" t="s">
        <v>58</v>
      </c>
      <c r="Y7">
        <v>22</v>
      </c>
      <c r="Z7" t="s">
        <v>59</v>
      </c>
      <c r="AA7" t="s">
        <v>59</v>
      </c>
      <c r="AB7" t="s">
        <v>59</v>
      </c>
      <c r="AC7" t="s">
        <v>59</v>
      </c>
      <c r="AD7" t="s">
        <v>59</v>
      </c>
      <c r="AF7" s="1">
        <v>37780</v>
      </c>
      <c r="AG7" t="s">
        <v>60</v>
      </c>
      <c r="AH7" t="s">
        <v>61</v>
      </c>
      <c r="AI7" t="str">
        <f>"9000624"</f>
        <v>9000624</v>
      </c>
      <c r="AJ7" t="s">
        <v>76</v>
      </c>
      <c r="AK7">
        <v>2810215020</v>
      </c>
      <c r="AL7" t="s">
        <v>77</v>
      </c>
      <c r="AM7" t="s">
        <v>78</v>
      </c>
      <c r="AN7" t="s">
        <v>78</v>
      </c>
      <c r="AO7" t="s">
        <v>78</v>
      </c>
      <c r="AP7" t="s">
        <v>79</v>
      </c>
      <c r="AR7" t="s">
        <v>80</v>
      </c>
      <c r="AS7" t="s">
        <v>81</v>
      </c>
      <c r="AT7" t="s">
        <v>58</v>
      </c>
      <c r="AU7" t="s">
        <v>68</v>
      </c>
      <c r="AV7" t="s">
        <v>69</v>
      </c>
      <c r="AW7" s="1">
        <v>25657</v>
      </c>
      <c r="AX7">
        <v>0</v>
      </c>
    </row>
    <row r="8" spans="1:50">
      <c r="A8">
        <v>603629</v>
      </c>
      <c r="B8" t="str">
        <f>"045279874"</f>
        <v>045279874</v>
      </c>
      <c r="C8" t="s">
        <v>50</v>
      </c>
      <c r="D8" t="s">
        <v>102</v>
      </c>
      <c r="E8" t="s">
        <v>103</v>
      </c>
      <c r="F8" t="s">
        <v>53</v>
      </c>
      <c r="G8" t="s">
        <v>104</v>
      </c>
      <c r="H8" t="str">
        <f>" "</f>
        <v xml:space="preserve"> </v>
      </c>
      <c r="N8" t="s">
        <v>74</v>
      </c>
      <c r="O8" t="s">
        <v>75</v>
      </c>
      <c r="R8" t="s">
        <v>57</v>
      </c>
      <c r="S8">
        <v>2</v>
      </c>
      <c r="T8">
        <v>201</v>
      </c>
      <c r="U8" s="1">
        <v>37503</v>
      </c>
      <c r="X8" t="s">
        <v>58</v>
      </c>
      <c r="Y8">
        <v>22</v>
      </c>
      <c r="Z8" t="s">
        <v>59</v>
      </c>
      <c r="AA8" t="s">
        <v>59</v>
      </c>
      <c r="AB8" t="s">
        <v>59</v>
      </c>
      <c r="AC8" t="s">
        <v>59</v>
      </c>
      <c r="AD8" t="s">
        <v>59</v>
      </c>
      <c r="AF8" s="1">
        <v>37503</v>
      </c>
      <c r="AG8" t="s">
        <v>60</v>
      </c>
      <c r="AH8" t="s">
        <v>61</v>
      </c>
      <c r="AI8" t="str">
        <f>"9000657"</f>
        <v>9000657</v>
      </c>
      <c r="AJ8" t="s">
        <v>86</v>
      </c>
      <c r="AK8">
        <v>2821054390</v>
      </c>
      <c r="AL8" t="s">
        <v>87</v>
      </c>
      <c r="AM8" t="s">
        <v>88</v>
      </c>
      <c r="AN8" t="s">
        <v>88</v>
      </c>
      <c r="AO8" t="s">
        <v>88</v>
      </c>
      <c r="AP8" t="s">
        <v>88</v>
      </c>
      <c r="AR8" t="s">
        <v>89</v>
      </c>
      <c r="AS8" t="s">
        <v>90</v>
      </c>
      <c r="AT8" t="s">
        <v>58</v>
      </c>
      <c r="AU8" t="s">
        <v>68</v>
      </c>
      <c r="AV8" t="s">
        <v>69</v>
      </c>
      <c r="AW8" s="1">
        <v>25204</v>
      </c>
      <c r="AX8">
        <v>0</v>
      </c>
    </row>
    <row r="9" spans="1:50">
      <c r="A9">
        <v>603633</v>
      </c>
      <c r="B9" t="str">
        <f>"050045831"</f>
        <v>050045831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tr">
        <f>" "</f>
        <v xml:space="preserve"> </v>
      </c>
      <c r="N9" t="s">
        <v>55</v>
      </c>
      <c r="O9" t="s">
        <v>56</v>
      </c>
      <c r="R9" t="s">
        <v>57</v>
      </c>
      <c r="S9">
        <v>13</v>
      </c>
      <c r="T9">
        <v>201</v>
      </c>
      <c r="U9" s="1">
        <v>37503</v>
      </c>
      <c r="X9" t="s">
        <v>58</v>
      </c>
      <c r="Y9">
        <v>21</v>
      </c>
      <c r="Z9" t="s">
        <v>59</v>
      </c>
      <c r="AA9" t="s">
        <v>59</v>
      </c>
      <c r="AB9" t="s">
        <v>59</v>
      </c>
      <c r="AC9" t="s">
        <v>59</v>
      </c>
      <c r="AD9" t="s">
        <v>59</v>
      </c>
      <c r="AF9" s="1">
        <v>37503</v>
      </c>
      <c r="AG9" t="s">
        <v>60</v>
      </c>
      <c r="AH9" t="s">
        <v>61</v>
      </c>
      <c r="AI9" t="str">
        <f>"9000624"</f>
        <v>9000624</v>
      </c>
      <c r="AJ9" t="s">
        <v>76</v>
      </c>
      <c r="AK9">
        <v>2810215020</v>
      </c>
      <c r="AL9" t="s">
        <v>77</v>
      </c>
      <c r="AM9" t="s">
        <v>78</v>
      </c>
      <c r="AN9" t="s">
        <v>78</v>
      </c>
      <c r="AO9" t="s">
        <v>78</v>
      </c>
      <c r="AP9" t="s">
        <v>79</v>
      </c>
      <c r="AR9" t="s">
        <v>80</v>
      </c>
      <c r="AS9" t="s">
        <v>81</v>
      </c>
      <c r="AT9" t="s">
        <v>58</v>
      </c>
      <c r="AU9" t="s">
        <v>68</v>
      </c>
      <c r="AV9" t="s">
        <v>69</v>
      </c>
      <c r="AW9" s="1">
        <v>24141</v>
      </c>
      <c r="AX9">
        <v>0</v>
      </c>
    </row>
    <row r="10" spans="1:50">
      <c r="A10">
        <v>606803</v>
      </c>
      <c r="B10" t="str">
        <f>"120062137"</f>
        <v>120062137</v>
      </c>
      <c r="C10" t="s">
        <v>105</v>
      </c>
      <c r="D10" t="s">
        <v>110</v>
      </c>
      <c r="E10" t="s">
        <v>111</v>
      </c>
      <c r="F10" t="s">
        <v>99</v>
      </c>
      <c r="G10" t="s">
        <v>112</v>
      </c>
      <c r="H10" t="str">
        <f>"ΚΟΚΚΙΝΗ ΧΑΝΙ "</f>
        <v xml:space="preserve">ΚΟΚΚΙΝΗ ΧΑΝΙ </v>
      </c>
      <c r="J10">
        <v>2810220994</v>
      </c>
      <c r="K10">
        <v>6972163064</v>
      </c>
      <c r="N10" t="s">
        <v>55</v>
      </c>
      <c r="O10" t="s">
        <v>56</v>
      </c>
      <c r="R10" t="s">
        <v>57</v>
      </c>
      <c r="S10">
        <v>7</v>
      </c>
      <c r="T10">
        <v>275</v>
      </c>
      <c r="U10" s="1">
        <v>37956</v>
      </c>
      <c r="X10" t="s">
        <v>58</v>
      </c>
      <c r="Y10">
        <v>23</v>
      </c>
      <c r="Z10" t="s">
        <v>59</v>
      </c>
      <c r="AA10" t="s">
        <v>59</v>
      </c>
      <c r="AB10" t="s">
        <v>59</v>
      </c>
      <c r="AC10" t="s">
        <v>59</v>
      </c>
      <c r="AD10" t="s">
        <v>59</v>
      </c>
      <c r="AF10" s="1">
        <v>37977</v>
      </c>
      <c r="AG10" t="s">
        <v>60</v>
      </c>
      <c r="AH10" t="s">
        <v>61</v>
      </c>
      <c r="AI10" t="str">
        <f>"9000624"</f>
        <v>9000624</v>
      </c>
      <c r="AJ10" t="s">
        <v>76</v>
      </c>
      <c r="AK10">
        <v>2810215020</v>
      </c>
      <c r="AL10" t="s">
        <v>77</v>
      </c>
      <c r="AM10" t="s">
        <v>78</v>
      </c>
      <c r="AN10" t="s">
        <v>78</v>
      </c>
      <c r="AO10" t="s">
        <v>78</v>
      </c>
      <c r="AP10" t="s">
        <v>79</v>
      </c>
      <c r="AR10" t="s">
        <v>80</v>
      </c>
      <c r="AS10" t="s">
        <v>81</v>
      </c>
      <c r="AT10" t="s">
        <v>58</v>
      </c>
      <c r="AU10" t="s">
        <v>68</v>
      </c>
      <c r="AV10" t="s">
        <v>69</v>
      </c>
      <c r="AW10" s="1">
        <v>28152</v>
      </c>
      <c r="AX10">
        <v>0</v>
      </c>
    </row>
    <row r="11" spans="1:50">
      <c r="A11">
        <v>603636</v>
      </c>
      <c r="B11" t="str">
        <f>"076396196"</f>
        <v>076396196</v>
      </c>
      <c r="C11" t="s">
        <v>50</v>
      </c>
      <c r="D11" t="s">
        <v>113</v>
      </c>
      <c r="E11" t="s">
        <v>52</v>
      </c>
      <c r="F11" t="s">
        <v>95</v>
      </c>
      <c r="G11" t="s">
        <v>114</v>
      </c>
      <c r="H11" t="str">
        <f>" "</f>
        <v xml:space="preserve"> </v>
      </c>
      <c r="N11" t="s">
        <v>74</v>
      </c>
      <c r="O11" t="s">
        <v>75</v>
      </c>
      <c r="R11" t="s">
        <v>57</v>
      </c>
      <c r="S11">
        <v>9</v>
      </c>
      <c r="T11">
        <v>163</v>
      </c>
      <c r="U11" s="1">
        <v>37813</v>
      </c>
      <c r="X11" t="s">
        <v>58</v>
      </c>
      <c r="Y11">
        <v>22</v>
      </c>
      <c r="Z11" t="s">
        <v>59</v>
      </c>
      <c r="AA11" t="s">
        <v>59</v>
      </c>
      <c r="AB11" t="s">
        <v>59</v>
      </c>
      <c r="AC11" t="s">
        <v>59</v>
      </c>
      <c r="AD11" t="s">
        <v>59</v>
      </c>
      <c r="AF11" s="1">
        <v>37830</v>
      </c>
      <c r="AG11" t="s">
        <v>60</v>
      </c>
      <c r="AH11" t="s">
        <v>61</v>
      </c>
      <c r="AI11" t="str">
        <f>"9000624"</f>
        <v>9000624</v>
      </c>
      <c r="AJ11" t="s">
        <v>76</v>
      </c>
      <c r="AK11">
        <v>2810215020</v>
      </c>
      <c r="AL11" t="s">
        <v>77</v>
      </c>
      <c r="AM11" t="s">
        <v>78</v>
      </c>
      <c r="AN11" t="s">
        <v>78</v>
      </c>
      <c r="AO11" t="s">
        <v>78</v>
      </c>
      <c r="AP11" t="s">
        <v>79</v>
      </c>
      <c r="AR11" t="s">
        <v>80</v>
      </c>
      <c r="AS11" t="s">
        <v>81</v>
      </c>
      <c r="AT11" t="s">
        <v>58</v>
      </c>
      <c r="AU11" t="s">
        <v>68</v>
      </c>
      <c r="AV11" t="s">
        <v>69</v>
      </c>
      <c r="AW11" s="1">
        <v>26821</v>
      </c>
      <c r="AX11">
        <v>0</v>
      </c>
    </row>
    <row r="12" spans="1:50">
      <c r="B12" t="str">
        <f>"156462837"</f>
        <v>156462837</v>
      </c>
      <c r="C12" t="s">
        <v>50</v>
      </c>
      <c r="D12" t="s">
        <v>115</v>
      </c>
      <c r="E12" t="s">
        <v>116</v>
      </c>
      <c r="F12" t="s">
        <v>117</v>
      </c>
      <c r="G12" t="s">
        <v>118</v>
      </c>
      <c r="H12" t="str">
        <f>" "</f>
        <v xml:space="preserve"> </v>
      </c>
      <c r="N12" t="s">
        <v>119</v>
      </c>
      <c r="O12" t="s">
        <v>120</v>
      </c>
      <c r="R12" t="s">
        <v>121</v>
      </c>
      <c r="S12">
        <v>1</v>
      </c>
      <c r="T12" t="s">
        <v>122</v>
      </c>
      <c r="U12" s="1">
        <v>43348</v>
      </c>
      <c r="V12" t="s">
        <v>123</v>
      </c>
      <c r="W12" t="s">
        <v>124</v>
      </c>
      <c r="X12" t="s">
        <v>58</v>
      </c>
      <c r="Y12">
        <v>23</v>
      </c>
      <c r="Z12" t="s">
        <v>59</v>
      </c>
      <c r="AD12" t="s">
        <v>59</v>
      </c>
      <c r="AF12" s="1">
        <v>43348</v>
      </c>
      <c r="AG12" t="s">
        <v>125</v>
      </c>
      <c r="AH12" t="s">
        <v>126</v>
      </c>
      <c r="AI12" t="str">
        <f>"1728010"</f>
        <v>1728010</v>
      </c>
      <c r="AJ12" t="s">
        <v>127</v>
      </c>
      <c r="AK12">
        <v>2810824651</v>
      </c>
      <c r="AL12" t="s">
        <v>128</v>
      </c>
      <c r="AM12" t="s">
        <v>78</v>
      </c>
      <c r="AN12" t="s">
        <v>129</v>
      </c>
      <c r="AO12" t="s">
        <v>130</v>
      </c>
      <c r="AP12" t="s">
        <v>130</v>
      </c>
      <c r="AQ12">
        <v>36</v>
      </c>
      <c r="AR12" t="s">
        <v>123</v>
      </c>
      <c r="AS12" t="s">
        <v>124</v>
      </c>
      <c r="AT12" t="s">
        <v>58</v>
      </c>
      <c r="AU12" t="s">
        <v>131</v>
      </c>
      <c r="AV12" t="s">
        <v>132</v>
      </c>
      <c r="AW12" s="1">
        <v>32840</v>
      </c>
      <c r="AX12">
        <v>2</v>
      </c>
    </row>
    <row r="13" spans="1:50">
      <c r="A13">
        <v>171855</v>
      </c>
      <c r="B13" t="str">
        <f>"031220251"</f>
        <v>031220251</v>
      </c>
      <c r="C13" t="s">
        <v>50</v>
      </c>
      <c r="D13" t="s">
        <v>133</v>
      </c>
      <c r="E13" t="s">
        <v>134</v>
      </c>
      <c r="F13" t="s">
        <v>92</v>
      </c>
      <c r="G13" t="s">
        <v>52</v>
      </c>
      <c r="H13" t="str">
        <f>"Ν. ΔΡΥΜΙΤΙΝΟΥ 33Α ΜΑΣΤΑΜΠΑΣ"</f>
        <v>Ν. ΔΡΥΜΙΤΙΝΟΥ 33Α ΜΑΣΤΑΜΠΑΣ</v>
      </c>
      <c r="I13">
        <v>71305</v>
      </c>
      <c r="J13">
        <v>2810256040</v>
      </c>
      <c r="K13">
        <v>6936983072</v>
      </c>
      <c r="N13" t="s">
        <v>135</v>
      </c>
      <c r="O13" t="s">
        <v>136</v>
      </c>
      <c r="R13" t="s">
        <v>57</v>
      </c>
      <c r="S13">
        <v>18</v>
      </c>
      <c r="T13">
        <v>184</v>
      </c>
      <c r="U13" s="1">
        <v>34941</v>
      </c>
      <c r="V13" t="s">
        <v>123</v>
      </c>
      <c r="W13" t="s">
        <v>124</v>
      </c>
      <c r="X13" t="s">
        <v>58</v>
      </c>
      <c r="Y13">
        <v>18</v>
      </c>
      <c r="Z13" t="s">
        <v>59</v>
      </c>
      <c r="AA13" t="s">
        <v>59</v>
      </c>
      <c r="AB13" t="s">
        <v>59</v>
      </c>
      <c r="AC13" t="s">
        <v>59</v>
      </c>
      <c r="AD13" t="s">
        <v>59</v>
      </c>
      <c r="AF13" s="1">
        <v>34946</v>
      </c>
      <c r="AG13" t="s">
        <v>137</v>
      </c>
      <c r="AH13" t="s">
        <v>138</v>
      </c>
      <c r="AI13" t="str">
        <f>"1740210"</f>
        <v>1740210</v>
      </c>
      <c r="AJ13" t="s">
        <v>139</v>
      </c>
      <c r="AK13">
        <v>2810318130</v>
      </c>
      <c r="AL13" t="s">
        <v>140</v>
      </c>
      <c r="AM13" t="s">
        <v>78</v>
      </c>
      <c r="AN13" t="s">
        <v>78</v>
      </c>
      <c r="AO13" t="s">
        <v>78</v>
      </c>
      <c r="AP13" t="s">
        <v>141</v>
      </c>
      <c r="AQ13">
        <v>7</v>
      </c>
      <c r="AR13" t="s">
        <v>123</v>
      </c>
      <c r="AS13" t="s">
        <v>124</v>
      </c>
      <c r="AT13" t="s">
        <v>58</v>
      </c>
      <c r="AU13" t="s">
        <v>68</v>
      </c>
      <c r="AV13" t="s">
        <v>69</v>
      </c>
      <c r="AW13" s="1">
        <v>23325</v>
      </c>
      <c r="AX13">
        <v>2</v>
      </c>
    </row>
    <row r="14" spans="1:50">
      <c r="A14">
        <v>152773</v>
      </c>
      <c r="B14" t="str">
        <f>"028871491"</f>
        <v>028871491</v>
      </c>
      <c r="C14" t="s">
        <v>50</v>
      </c>
      <c r="D14" t="s">
        <v>142</v>
      </c>
      <c r="E14" t="s">
        <v>143</v>
      </c>
      <c r="F14" t="s">
        <v>144</v>
      </c>
      <c r="G14" t="s">
        <v>73</v>
      </c>
      <c r="H14" t="str">
        <f>"ΧΡ. ΟΙΚΟΝΟΜΟΥ 11  ΗΡΑΚΛΕΙΟ"</f>
        <v>ΧΡ. ΟΙΚΟΝΟΜΟΥ 11  ΗΡΑΚΛΕΙΟ</v>
      </c>
      <c r="I14">
        <v>71201</v>
      </c>
      <c r="J14">
        <v>2810285659</v>
      </c>
      <c r="K14">
        <v>6945152635</v>
      </c>
      <c r="L14">
        <v>2810281639</v>
      </c>
      <c r="M14" t="s">
        <v>145</v>
      </c>
      <c r="N14" t="s">
        <v>146</v>
      </c>
      <c r="O14" t="s">
        <v>147</v>
      </c>
      <c r="R14" t="s">
        <v>57</v>
      </c>
      <c r="S14">
        <v>16</v>
      </c>
      <c r="T14">
        <v>166</v>
      </c>
      <c r="U14" s="1">
        <v>32010</v>
      </c>
      <c r="V14" t="s">
        <v>123</v>
      </c>
      <c r="W14" t="s">
        <v>124</v>
      </c>
      <c r="X14" t="s">
        <v>58</v>
      </c>
      <c r="Y14">
        <v>18</v>
      </c>
      <c r="Z14" t="s">
        <v>59</v>
      </c>
      <c r="AA14" t="s">
        <v>59</v>
      </c>
      <c r="AB14" t="s">
        <v>59</v>
      </c>
      <c r="AC14" t="s">
        <v>59</v>
      </c>
      <c r="AD14" t="s">
        <v>59</v>
      </c>
      <c r="AF14" s="1">
        <v>32023</v>
      </c>
      <c r="AG14" t="s">
        <v>148</v>
      </c>
      <c r="AH14" t="s">
        <v>149</v>
      </c>
      <c r="AI14" t="str">
        <f>"1751010"</f>
        <v>1751010</v>
      </c>
      <c r="AJ14" t="s">
        <v>150</v>
      </c>
      <c r="AK14">
        <v>2810346092</v>
      </c>
      <c r="AL14" t="s">
        <v>151</v>
      </c>
      <c r="AM14" t="s">
        <v>78</v>
      </c>
      <c r="AN14" t="s">
        <v>78</v>
      </c>
      <c r="AO14" t="s">
        <v>78</v>
      </c>
      <c r="AP14" t="s">
        <v>79</v>
      </c>
      <c r="AQ14">
        <v>1</v>
      </c>
      <c r="AR14" t="s">
        <v>123</v>
      </c>
      <c r="AS14" t="s">
        <v>124</v>
      </c>
      <c r="AT14" t="s">
        <v>58</v>
      </c>
      <c r="AU14" t="s">
        <v>68</v>
      </c>
      <c r="AV14" t="s">
        <v>69</v>
      </c>
      <c r="AW14" s="1">
        <v>21859</v>
      </c>
      <c r="AX14">
        <v>2</v>
      </c>
    </row>
    <row r="15" spans="1:50">
      <c r="B15" t="str">
        <f>"039923541"</f>
        <v>039923541</v>
      </c>
      <c r="C15" t="s">
        <v>105</v>
      </c>
      <c r="D15" t="s">
        <v>152</v>
      </c>
      <c r="E15" t="s">
        <v>153</v>
      </c>
      <c r="F15" t="s">
        <v>154</v>
      </c>
      <c r="G15" t="s">
        <v>155</v>
      </c>
      <c r="H15" t="str">
        <f>"ΜΙΛΤΙΑΔΟΥ 44 ΠΑΛΑΙΟ ΦΑΛΗΡΟ"</f>
        <v>ΜΙΛΤΙΑΔΟΥ 44 ΠΑΛΑΙΟ ΦΑΛΗΡΟ</v>
      </c>
      <c r="I15">
        <v>17563</v>
      </c>
      <c r="J15">
        <v>2109880964</v>
      </c>
      <c r="K15">
        <v>6943447301</v>
      </c>
      <c r="M15" t="s">
        <v>156</v>
      </c>
      <c r="N15" t="s">
        <v>157</v>
      </c>
      <c r="O15" t="s">
        <v>158</v>
      </c>
      <c r="R15" t="s">
        <v>159</v>
      </c>
      <c r="S15">
        <v>2</v>
      </c>
      <c r="T15" t="s">
        <v>160</v>
      </c>
      <c r="U15" s="1">
        <v>43364</v>
      </c>
      <c r="V15" t="s">
        <v>123</v>
      </c>
      <c r="W15" t="s">
        <v>124</v>
      </c>
      <c r="X15" t="s">
        <v>58</v>
      </c>
      <c r="Y15">
        <v>23</v>
      </c>
      <c r="Z15" t="s">
        <v>59</v>
      </c>
      <c r="AA15" t="s">
        <v>59</v>
      </c>
      <c r="AB15" t="s">
        <v>59</v>
      </c>
      <c r="AC15" t="s">
        <v>59</v>
      </c>
      <c r="AD15" t="s">
        <v>59</v>
      </c>
      <c r="AF15" s="1">
        <v>43367</v>
      </c>
      <c r="AG15" t="s">
        <v>125</v>
      </c>
      <c r="AH15" t="s">
        <v>126</v>
      </c>
      <c r="AI15" t="str">
        <f>"1701041"</f>
        <v>1701041</v>
      </c>
      <c r="AJ15" t="s">
        <v>161</v>
      </c>
      <c r="AK15">
        <v>2810327052</v>
      </c>
      <c r="AL15" t="s">
        <v>162</v>
      </c>
      <c r="AM15" t="s">
        <v>78</v>
      </c>
      <c r="AN15" t="s">
        <v>78</v>
      </c>
      <c r="AO15" t="s">
        <v>78</v>
      </c>
      <c r="AP15" t="s">
        <v>163</v>
      </c>
      <c r="AQ15">
        <v>5</v>
      </c>
      <c r="AR15" t="s">
        <v>123</v>
      </c>
      <c r="AS15" t="s">
        <v>124</v>
      </c>
      <c r="AT15" t="s">
        <v>58</v>
      </c>
      <c r="AU15" t="s">
        <v>164</v>
      </c>
      <c r="AV15" t="s">
        <v>132</v>
      </c>
      <c r="AW15" s="1">
        <v>22640</v>
      </c>
      <c r="AX15">
        <v>2</v>
      </c>
    </row>
    <row r="16" spans="1:50">
      <c r="A16">
        <v>177433</v>
      </c>
      <c r="B16" t="str">
        <f>"059164500"</f>
        <v>059164500</v>
      </c>
      <c r="C16" t="s">
        <v>105</v>
      </c>
      <c r="D16" t="s">
        <v>165</v>
      </c>
      <c r="E16" t="s">
        <v>84</v>
      </c>
      <c r="F16" t="s">
        <v>166</v>
      </c>
      <c r="G16" t="s">
        <v>167</v>
      </c>
      <c r="H16" t="str">
        <f>" "</f>
        <v xml:space="preserve"> </v>
      </c>
      <c r="N16" t="s">
        <v>168</v>
      </c>
      <c r="O16" t="s">
        <v>169</v>
      </c>
      <c r="R16" t="s">
        <v>57</v>
      </c>
      <c r="S16">
        <v>16</v>
      </c>
      <c r="T16">
        <v>180</v>
      </c>
      <c r="U16" s="1">
        <v>35674</v>
      </c>
      <c r="V16" t="s">
        <v>123</v>
      </c>
      <c r="W16" t="s">
        <v>124</v>
      </c>
      <c r="X16" t="s">
        <v>58</v>
      </c>
      <c r="Y16">
        <v>18</v>
      </c>
      <c r="Z16" t="s">
        <v>59</v>
      </c>
      <c r="AA16" t="s">
        <v>59</v>
      </c>
      <c r="AB16" t="s">
        <v>59</v>
      </c>
      <c r="AC16" t="s">
        <v>59</v>
      </c>
      <c r="AD16" t="s">
        <v>59</v>
      </c>
      <c r="AF16" s="1">
        <v>35677</v>
      </c>
      <c r="AG16" t="s">
        <v>137</v>
      </c>
      <c r="AH16" t="s">
        <v>138</v>
      </c>
      <c r="AI16" t="str">
        <f>"1750080"</f>
        <v>1750080</v>
      </c>
      <c r="AJ16" t="s">
        <v>170</v>
      </c>
      <c r="AK16">
        <v>2810234444</v>
      </c>
      <c r="AL16" t="s">
        <v>171</v>
      </c>
      <c r="AM16" t="s">
        <v>78</v>
      </c>
      <c r="AN16" t="s">
        <v>78</v>
      </c>
      <c r="AO16" t="s">
        <v>78</v>
      </c>
      <c r="AP16" t="s">
        <v>163</v>
      </c>
      <c r="AQ16">
        <v>9</v>
      </c>
      <c r="AR16" t="s">
        <v>123</v>
      </c>
      <c r="AS16" t="s">
        <v>124</v>
      </c>
      <c r="AT16" t="s">
        <v>58</v>
      </c>
      <c r="AU16" t="s">
        <v>68</v>
      </c>
      <c r="AV16" t="s">
        <v>69</v>
      </c>
      <c r="AW16" s="1">
        <v>23949</v>
      </c>
      <c r="AX16">
        <v>2</v>
      </c>
    </row>
    <row r="17" spans="1:50">
      <c r="A17">
        <v>163077</v>
      </c>
      <c r="B17" t="str">
        <f>"032156916"</f>
        <v>032156916</v>
      </c>
      <c r="C17" t="s">
        <v>105</v>
      </c>
      <c r="D17" t="s">
        <v>172</v>
      </c>
      <c r="E17" t="s">
        <v>92</v>
      </c>
      <c r="F17" t="s">
        <v>173</v>
      </c>
      <c r="G17" t="s">
        <v>174</v>
      </c>
      <c r="H17" t="str">
        <f>"ΚΑΤΩ ΚΑΛΕΣΑ ΚΑΤΩ ΚΑΛΕΣΑ"</f>
        <v>ΚΑΤΩ ΚΑΛΕΣΑ ΚΑΤΩ ΚΑΛΕΣΑ</v>
      </c>
      <c r="I17">
        <v>71500</v>
      </c>
      <c r="J17">
        <v>2810823728</v>
      </c>
      <c r="K17">
        <v>6997009264</v>
      </c>
      <c r="M17" t="s">
        <v>175</v>
      </c>
      <c r="N17" t="s">
        <v>176</v>
      </c>
      <c r="O17" t="s">
        <v>177</v>
      </c>
      <c r="R17" t="s">
        <v>57</v>
      </c>
      <c r="S17">
        <v>15</v>
      </c>
      <c r="T17">
        <v>132</v>
      </c>
      <c r="U17" s="1">
        <v>33456</v>
      </c>
      <c r="V17" t="s">
        <v>123</v>
      </c>
      <c r="W17" t="s">
        <v>124</v>
      </c>
      <c r="X17" t="s">
        <v>58</v>
      </c>
      <c r="Y17">
        <v>18</v>
      </c>
      <c r="Z17" t="s">
        <v>59</v>
      </c>
      <c r="AA17" t="s">
        <v>59</v>
      </c>
      <c r="AB17" t="s">
        <v>59</v>
      </c>
      <c r="AC17" t="s">
        <v>59</v>
      </c>
      <c r="AD17" t="s">
        <v>59</v>
      </c>
      <c r="AF17" s="1">
        <v>33483</v>
      </c>
      <c r="AG17" t="s">
        <v>148</v>
      </c>
      <c r="AH17" t="s">
        <v>149</v>
      </c>
      <c r="AI17" t="str">
        <f>"1751040"</f>
        <v>1751040</v>
      </c>
      <c r="AJ17" t="s">
        <v>178</v>
      </c>
      <c r="AK17">
        <v>2810252495</v>
      </c>
      <c r="AL17" t="s">
        <v>179</v>
      </c>
      <c r="AM17" t="s">
        <v>78</v>
      </c>
      <c r="AN17" t="s">
        <v>78</v>
      </c>
      <c r="AO17" t="s">
        <v>78</v>
      </c>
      <c r="AP17" t="s">
        <v>141</v>
      </c>
      <c r="AQ17">
        <v>3</v>
      </c>
      <c r="AR17" t="s">
        <v>123</v>
      </c>
      <c r="AS17" t="s">
        <v>124</v>
      </c>
      <c r="AT17" t="s">
        <v>58</v>
      </c>
      <c r="AU17" t="s">
        <v>68</v>
      </c>
      <c r="AV17" t="s">
        <v>69</v>
      </c>
      <c r="AW17" s="1">
        <v>22607</v>
      </c>
      <c r="AX17">
        <v>2</v>
      </c>
    </row>
    <row r="18" spans="1:50">
      <c r="A18">
        <v>195060</v>
      </c>
      <c r="B18" t="str">
        <f>"055476158"</f>
        <v>055476158</v>
      </c>
      <c r="C18" t="s">
        <v>105</v>
      </c>
      <c r="D18" t="s">
        <v>180</v>
      </c>
      <c r="E18" t="s">
        <v>108</v>
      </c>
      <c r="F18" t="s">
        <v>53</v>
      </c>
      <c r="G18" t="s">
        <v>181</v>
      </c>
      <c r="H18" t="str">
        <f>"ΓΚΕΓΚΡΕΖΟΥ ΞΥΛΟΥΡΗ 8 ΗΡΑΚΛΕΙΟΥ"</f>
        <v>ΓΚΕΓΚΡΕΖΟΥ ΞΥΛΟΥΡΗ 8 ΗΡΑΚΛΕΙΟΥ</v>
      </c>
      <c r="I18">
        <v>71305</v>
      </c>
      <c r="J18">
        <v>2810320336</v>
      </c>
      <c r="K18">
        <v>6973983847</v>
      </c>
      <c r="M18" t="s">
        <v>182</v>
      </c>
      <c r="N18" t="s">
        <v>146</v>
      </c>
      <c r="O18" t="s">
        <v>147</v>
      </c>
      <c r="R18" t="s">
        <v>57</v>
      </c>
      <c r="S18">
        <v>8</v>
      </c>
      <c r="T18">
        <v>194</v>
      </c>
      <c r="U18" s="1">
        <v>37497</v>
      </c>
      <c r="V18" t="s">
        <v>123</v>
      </c>
      <c r="W18" t="s">
        <v>124</v>
      </c>
      <c r="X18" t="s">
        <v>58</v>
      </c>
      <c r="Y18">
        <v>20</v>
      </c>
      <c r="Z18" t="s">
        <v>59</v>
      </c>
      <c r="AA18" t="s">
        <v>59</v>
      </c>
      <c r="AB18" t="s">
        <v>59</v>
      </c>
      <c r="AC18" t="s">
        <v>59</v>
      </c>
      <c r="AD18" t="s">
        <v>59</v>
      </c>
      <c r="AF18" s="1">
        <v>37501</v>
      </c>
      <c r="AG18" t="s">
        <v>125</v>
      </c>
      <c r="AH18" t="s">
        <v>126</v>
      </c>
      <c r="AI18" t="str">
        <f>"1701080"</f>
        <v>1701080</v>
      </c>
      <c r="AJ18" t="s">
        <v>183</v>
      </c>
      <c r="AK18">
        <v>2810721263</v>
      </c>
      <c r="AL18" t="s">
        <v>184</v>
      </c>
      <c r="AM18" t="s">
        <v>78</v>
      </c>
      <c r="AN18" t="s">
        <v>78</v>
      </c>
      <c r="AO18" t="s">
        <v>185</v>
      </c>
      <c r="AP18" t="s">
        <v>186</v>
      </c>
      <c r="AQ18">
        <v>29</v>
      </c>
      <c r="AR18" t="s">
        <v>123</v>
      </c>
      <c r="AS18" t="s">
        <v>124</v>
      </c>
      <c r="AT18" t="s">
        <v>58</v>
      </c>
      <c r="AU18" t="s">
        <v>68</v>
      </c>
      <c r="AV18" t="s">
        <v>69</v>
      </c>
      <c r="AW18" s="1">
        <v>25564</v>
      </c>
      <c r="AX18">
        <v>2</v>
      </c>
    </row>
    <row r="19" spans="1:50">
      <c r="A19">
        <v>221352</v>
      </c>
      <c r="B19" t="str">
        <f>"046848458"</f>
        <v>046848458</v>
      </c>
      <c r="C19" t="s">
        <v>50</v>
      </c>
      <c r="D19" t="s">
        <v>187</v>
      </c>
      <c r="E19" t="s">
        <v>143</v>
      </c>
      <c r="F19" t="s">
        <v>84</v>
      </c>
      <c r="G19" t="s">
        <v>188</v>
      </c>
      <c r="H19" t="str">
        <f>"ΑΝΔΡ. ΜΗΛΙΩΤΗ 83 ΗΡΑΚΛΕΙΟ"</f>
        <v>ΑΝΔΡ. ΜΗΛΙΩΤΗ 83 ΗΡΑΚΛΕΙΟ</v>
      </c>
      <c r="J19">
        <v>2810323796</v>
      </c>
      <c r="K19">
        <v>6939662724</v>
      </c>
      <c r="L19">
        <v>6975982211</v>
      </c>
      <c r="N19" t="s">
        <v>189</v>
      </c>
      <c r="O19" t="s">
        <v>190</v>
      </c>
      <c r="R19" t="s">
        <v>57</v>
      </c>
      <c r="S19">
        <v>5</v>
      </c>
      <c r="T19">
        <v>691</v>
      </c>
      <c r="U19" s="1">
        <v>39331</v>
      </c>
      <c r="V19" t="s">
        <v>123</v>
      </c>
      <c r="W19" t="s">
        <v>124</v>
      </c>
      <c r="X19" t="s">
        <v>58</v>
      </c>
      <c r="Y19">
        <v>21</v>
      </c>
      <c r="Z19" t="s">
        <v>59</v>
      </c>
      <c r="AA19" t="s">
        <v>59</v>
      </c>
      <c r="AB19" t="s">
        <v>59</v>
      </c>
      <c r="AC19" t="s">
        <v>59</v>
      </c>
      <c r="AD19" t="s">
        <v>59</v>
      </c>
      <c r="AF19" s="1">
        <v>39331</v>
      </c>
      <c r="AG19" t="s">
        <v>137</v>
      </c>
      <c r="AH19" t="s">
        <v>138</v>
      </c>
      <c r="AI19" t="str">
        <f>"1740210"</f>
        <v>1740210</v>
      </c>
      <c r="AJ19" t="s">
        <v>139</v>
      </c>
      <c r="AK19">
        <v>2810318130</v>
      </c>
      <c r="AL19" t="s">
        <v>140</v>
      </c>
      <c r="AM19" t="s">
        <v>78</v>
      </c>
      <c r="AN19" t="s">
        <v>78</v>
      </c>
      <c r="AO19" t="s">
        <v>78</v>
      </c>
      <c r="AP19" t="s">
        <v>141</v>
      </c>
      <c r="AQ19">
        <v>7</v>
      </c>
      <c r="AR19" t="s">
        <v>123</v>
      </c>
      <c r="AS19" t="s">
        <v>124</v>
      </c>
      <c r="AT19" t="s">
        <v>58</v>
      </c>
      <c r="AU19" t="s">
        <v>68</v>
      </c>
      <c r="AV19" t="s">
        <v>69</v>
      </c>
      <c r="AW19" s="1">
        <v>22669</v>
      </c>
      <c r="AX19">
        <v>2</v>
      </c>
    </row>
    <row r="20" spans="1:50">
      <c r="A20">
        <v>179061</v>
      </c>
      <c r="B20" t="str">
        <f>"043596294"</f>
        <v>043596294</v>
      </c>
      <c r="C20" t="s">
        <v>50</v>
      </c>
      <c r="D20" t="s">
        <v>187</v>
      </c>
      <c r="E20" t="s">
        <v>52</v>
      </c>
      <c r="F20" t="s">
        <v>166</v>
      </c>
      <c r="G20" t="s">
        <v>191</v>
      </c>
      <c r="H20" t="str">
        <f>"Θ. ΚΟΡΝΑΡΟΥ 12-14 ΗΡΑΚΛΕΙΟ"</f>
        <v>Θ. ΚΟΡΝΑΡΟΥ 12-14 ΗΡΑΚΛΕΙΟ</v>
      </c>
      <c r="I20">
        <v>71306</v>
      </c>
      <c r="J20">
        <v>2810235542</v>
      </c>
      <c r="K20">
        <v>6979433567</v>
      </c>
      <c r="M20" t="s">
        <v>192</v>
      </c>
      <c r="N20" t="s">
        <v>146</v>
      </c>
      <c r="O20" t="s">
        <v>147</v>
      </c>
      <c r="R20" t="s">
        <v>57</v>
      </c>
      <c r="S20">
        <v>9</v>
      </c>
      <c r="T20">
        <v>164</v>
      </c>
      <c r="U20" s="1">
        <v>36040</v>
      </c>
      <c r="V20" t="s">
        <v>123</v>
      </c>
      <c r="W20" t="s">
        <v>124</v>
      </c>
      <c r="X20" t="s">
        <v>58</v>
      </c>
      <c r="Y20">
        <v>18</v>
      </c>
      <c r="Z20" t="s">
        <v>59</v>
      </c>
      <c r="AA20" t="s">
        <v>59</v>
      </c>
      <c r="AB20" t="s">
        <v>59</v>
      </c>
      <c r="AC20" t="s">
        <v>59</v>
      </c>
      <c r="AD20" t="s">
        <v>59</v>
      </c>
      <c r="AF20" s="1">
        <v>36046</v>
      </c>
      <c r="AG20" t="s">
        <v>125</v>
      </c>
      <c r="AH20" t="s">
        <v>126</v>
      </c>
      <c r="AI20" t="str">
        <f>"1716010"</f>
        <v>1716010</v>
      </c>
      <c r="AJ20" t="s">
        <v>193</v>
      </c>
      <c r="AK20">
        <v>2810791374</v>
      </c>
      <c r="AL20" t="s">
        <v>194</v>
      </c>
      <c r="AM20" t="s">
        <v>78</v>
      </c>
      <c r="AN20" t="s">
        <v>78</v>
      </c>
      <c r="AO20" t="s">
        <v>195</v>
      </c>
      <c r="AP20" t="s">
        <v>196</v>
      </c>
      <c r="AQ20">
        <v>30</v>
      </c>
      <c r="AR20" t="s">
        <v>123</v>
      </c>
      <c r="AS20" t="s">
        <v>124</v>
      </c>
      <c r="AT20" t="s">
        <v>58</v>
      </c>
      <c r="AU20" t="s">
        <v>68</v>
      </c>
      <c r="AV20" t="s">
        <v>69</v>
      </c>
      <c r="AW20" s="1">
        <v>24232</v>
      </c>
      <c r="AX20">
        <v>2</v>
      </c>
    </row>
    <row r="21" spans="1:50">
      <c r="A21">
        <v>218645</v>
      </c>
      <c r="B21" t="str">
        <f>"114566986"</f>
        <v>114566986</v>
      </c>
      <c r="C21" t="s">
        <v>105</v>
      </c>
      <c r="D21" t="s">
        <v>197</v>
      </c>
      <c r="E21" t="s">
        <v>166</v>
      </c>
      <c r="F21" t="s">
        <v>53</v>
      </c>
      <c r="G21" t="s">
        <v>143</v>
      </c>
      <c r="H21" t="str">
        <f>"ΧΑΡΑΛΑΜΠΟΥ ΠΑΠΑΔΑΚΗ 16 ΗΡΑΚΛΕΙΟ"</f>
        <v>ΧΑΡΑΛΑΜΠΟΥ ΠΑΠΑΔΑΚΗ 16 ΗΡΑΚΛΕΙΟ</v>
      </c>
      <c r="I21">
        <v>71409</v>
      </c>
      <c r="J21">
        <v>2810235022</v>
      </c>
      <c r="K21">
        <v>6944608967</v>
      </c>
      <c r="M21" t="s">
        <v>198</v>
      </c>
      <c r="N21" t="s">
        <v>199</v>
      </c>
      <c r="O21" t="s">
        <v>200</v>
      </c>
      <c r="R21" t="s">
        <v>57</v>
      </c>
      <c r="S21">
        <v>6</v>
      </c>
      <c r="T21">
        <v>599</v>
      </c>
      <c r="U21" s="1">
        <v>39310</v>
      </c>
      <c r="V21" t="s">
        <v>123</v>
      </c>
      <c r="W21" t="s">
        <v>124</v>
      </c>
      <c r="X21" t="s">
        <v>58</v>
      </c>
      <c r="Y21">
        <v>20</v>
      </c>
      <c r="Z21" t="s">
        <v>59</v>
      </c>
      <c r="AA21" t="s">
        <v>59</v>
      </c>
      <c r="AB21" t="s">
        <v>59</v>
      </c>
      <c r="AC21" t="s">
        <v>59</v>
      </c>
      <c r="AD21" t="s">
        <v>59</v>
      </c>
      <c r="AF21" s="1">
        <v>39328</v>
      </c>
      <c r="AG21" t="s">
        <v>148</v>
      </c>
      <c r="AH21" t="s">
        <v>149</v>
      </c>
      <c r="AI21" t="str">
        <f>"1751040"</f>
        <v>1751040</v>
      </c>
      <c r="AJ21" t="s">
        <v>178</v>
      </c>
      <c r="AK21">
        <v>2810252495</v>
      </c>
      <c r="AL21" t="s">
        <v>179</v>
      </c>
      <c r="AM21" t="s">
        <v>78</v>
      </c>
      <c r="AN21" t="s">
        <v>78</v>
      </c>
      <c r="AO21" t="s">
        <v>78</v>
      </c>
      <c r="AP21" t="s">
        <v>141</v>
      </c>
      <c r="AQ21">
        <v>3</v>
      </c>
      <c r="AR21" t="s">
        <v>123</v>
      </c>
      <c r="AS21" t="s">
        <v>124</v>
      </c>
      <c r="AT21" t="s">
        <v>58</v>
      </c>
      <c r="AU21" t="s">
        <v>68</v>
      </c>
      <c r="AV21" t="s">
        <v>69</v>
      </c>
      <c r="AW21" s="1">
        <v>27301</v>
      </c>
      <c r="AX21">
        <v>2</v>
      </c>
    </row>
    <row r="22" spans="1:50">
      <c r="A22">
        <v>165336</v>
      </c>
      <c r="B22" t="str">
        <f>"027931494"</f>
        <v>027931494</v>
      </c>
      <c r="C22" t="s">
        <v>105</v>
      </c>
      <c r="D22" t="s">
        <v>197</v>
      </c>
      <c r="E22" t="s">
        <v>201</v>
      </c>
      <c r="F22" t="s">
        <v>202</v>
      </c>
      <c r="G22" t="s">
        <v>83</v>
      </c>
      <c r="H22" t="str">
        <f>"Λ. ΠΑΝΕΠΙΣΤΗΜΙΟΥ 145 "</f>
        <v xml:space="preserve">Λ. ΠΑΝΕΠΙΣΤΗΜΙΟΥ 145 </v>
      </c>
      <c r="I22">
        <v>70013</v>
      </c>
      <c r="K22">
        <v>6945808430</v>
      </c>
      <c r="M22" t="s">
        <v>203</v>
      </c>
      <c r="N22" t="s">
        <v>204</v>
      </c>
      <c r="O22" t="s">
        <v>205</v>
      </c>
      <c r="R22" t="s">
        <v>57</v>
      </c>
      <c r="S22">
        <v>13</v>
      </c>
      <c r="T22">
        <v>238</v>
      </c>
      <c r="U22" s="1">
        <v>33968</v>
      </c>
      <c r="V22" t="s">
        <v>123</v>
      </c>
      <c r="W22" t="s">
        <v>124</v>
      </c>
      <c r="X22" t="s">
        <v>58</v>
      </c>
      <c r="Y22">
        <v>18</v>
      </c>
      <c r="Z22" t="s">
        <v>59</v>
      </c>
      <c r="AA22" t="s">
        <v>59</v>
      </c>
      <c r="AB22" t="s">
        <v>59</v>
      </c>
      <c r="AC22" t="s">
        <v>59</v>
      </c>
      <c r="AD22" t="s">
        <v>59</v>
      </c>
      <c r="AF22" s="1">
        <v>33977</v>
      </c>
      <c r="AG22" t="s">
        <v>137</v>
      </c>
      <c r="AH22" t="s">
        <v>138</v>
      </c>
      <c r="AI22" t="str">
        <f>"1740070"</f>
        <v>1740070</v>
      </c>
      <c r="AJ22" t="s">
        <v>206</v>
      </c>
      <c r="AK22">
        <v>2810324880</v>
      </c>
      <c r="AL22" t="s">
        <v>207</v>
      </c>
      <c r="AM22" t="s">
        <v>78</v>
      </c>
      <c r="AN22" t="s">
        <v>78</v>
      </c>
      <c r="AO22" t="s">
        <v>78</v>
      </c>
      <c r="AP22" t="s">
        <v>163</v>
      </c>
      <c r="AQ22">
        <v>9</v>
      </c>
      <c r="AR22" t="s">
        <v>123</v>
      </c>
      <c r="AS22" t="s">
        <v>124</v>
      </c>
      <c r="AT22" t="s">
        <v>58</v>
      </c>
      <c r="AU22" t="s">
        <v>68</v>
      </c>
      <c r="AV22" t="s">
        <v>69</v>
      </c>
      <c r="AW22" s="1">
        <v>24493</v>
      </c>
      <c r="AX22">
        <v>2</v>
      </c>
    </row>
    <row r="23" spans="1:50">
      <c r="A23">
        <v>220222</v>
      </c>
      <c r="B23" t="str">
        <f>"079433000"</f>
        <v>079433000</v>
      </c>
      <c r="C23" t="s">
        <v>105</v>
      </c>
      <c r="D23" t="s">
        <v>208</v>
      </c>
      <c r="E23" t="s">
        <v>209</v>
      </c>
      <c r="F23" t="s">
        <v>72</v>
      </c>
      <c r="G23" t="s">
        <v>83</v>
      </c>
      <c r="H23" t="str">
        <f>"ΓΙΑΝΝΙΚΟΥ 30 ΗΡΑΚΛΕΙΟ"</f>
        <v>ΓΙΑΝΝΙΚΟΥ 30 ΗΡΑΚΛΕΙΟ</v>
      </c>
      <c r="I23">
        <v>71201</v>
      </c>
      <c r="J23">
        <v>2810343133</v>
      </c>
      <c r="K23">
        <v>6947040340</v>
      </c>
      <c r="M23" t="s">
        <v>210</v>
      </c>
      <c r="N23" t="s">
        <v>146</v>
      </c>
      <c r="O23" t="s">
        <v>147</v>
      </c>
      <c r="R23" t="s">
        <v>57</v>
      </c>
      <c r="S23">
        <v>7</v>
      </c>
      <c r="T23">
        <v>681</v>
      </c>
      <c r="U23" s="1">
        <v>39325</v>
      </c>
      <c r="V23" t="s">
        <v>123</v>
      </c>
      <c r="W23" t="s">
        <v>124</v>
      </c>
      <c r="X23" t="s">
        <v>58</v>
      </c>
      <c r="Y23">
        <v>21</v>
      </c>
      <c r="Z23" t="s">
        <v>59</v>
      </c>
      <c r="AA23" t="s">
        <v>59</v>
      </c>
      <c r="AB23" t="s">
        <v>59</v>
      </c>
      <c r="AC23" t="s">
        <v>59</v>
      </c>
      <c r="AD23" t="s">
        <v>59</v>
      </c>
      <c r="AF23" s="1">
        <v>39329</v>
      </c>
      <c r="AG23" t="s">
        <v>125</v>
      </c>
      <c r="AH23" t="s">
        <v>126</v>
      </c>
      <c r="AI23" t="str">
        <f>"1701056"</f>
        <v>1701056</v>
      </c>
      <c r="AJ23" t="s">
        <v>211</v>
      </c>
      <c r="AK23">
        <v>2810245445</v>
      </c>
      <c r="AL23" t="s">
        <v>212</v>
      </c>
      <c r="AM23" t="s">
        <v>78</v>
      </c>
      <c r="AN23" t="s">
        <v>78</v>
      </c>
      <c r="AO23" t="s">
        <v>78</v>
      </c>
      <c r="AP23" t="s">
        <v>213</v>
      </c>
      <c r="AQ23">
        <v>6</v>
      </c>
      <c r="AR23" t="s">
        <v>123</v>
      </c>
      <c r="AS23" t="s">
        <v>124</v>
      </c>
      <c r="AT23" t="s">
        <v>58</v>
      </c>
      <c r="AU23" t="s">
        <v>68</v>
      </c>
      <c r="AV23" t="s">
        <v>69</v>
      </c>
      <c r="AW23" s="1">
        <v>27275</v>
      </c>
      <c r="AX23">
        <v>2</v>
      </c>
    </row>
    <row r="24" spans="1:50">
      <c r="A24">
        <v>211808</v>
      </c>
      <c r="B24" t="str">
        <f>"074856622"</f>
        <v>074856622</v>
      </c>
      <c r="C24" t="s">
        <v>50</v>
      </c>
      <c r="D24" t="s">
        <v>214</v>
      </c>
      <c r="E24" t="s">
        <v>52</v>
      </c>
      <c r="F24" t="s">
        <v>166</v>
      </c>
      <c r="G24" t="s">
        <v>215</v>
      </c>
      <c r="H24" t="str">
        <f>"ΦΑΙΣΤΟΥ 17 ΗΡΑΚΛΕΙΟ"</f>
        <v>ΦΑΙΣΤΟΥ 17 ΗΡΑΚΛΕΙΟ</v>
      </c>
      <c r="I24">
        <v>71409</v>
      </c>
      <c r="J24">
        <v>2810214163</v>
      </c>
      <c r="K24">
        <v>6974961042</v>
      </c>
      <c r="M24" t="s">
        <v>216</v>
      </c>
      <c r="N24" t="s">
        <v>146</v>
      </c>
      <c r="O24" t="s">
        <v>147</v>
      </c>
      <c r="R24" t="s">
        <v>57</v>
      </c>
      <c r="S24">
        <v>12</v>
      </c>
      <c r="T24">
        <v>231</v>
      </c>
      <c r="U24" s="1">
        <v>38960</v>
      </c>
      <c r="V24" t="s">
        <v>123</v>
      </c>
      <c r="W24" t="s">
        <v>124</v>
      </c>
      <c r="X24" t="s">
        <v>58</v>
      </c>
      <c r="Y24">
        <v>20</v>
      </c>
      <c r="Z24" t="s">
        <v>59</v>
      </c>
      <c r="AA24" t="s">
        <v>59</v>
      </c>
      <c r="AB24" t="s">
        <v>59</v>
      </c>
      <c r="AC24" t="s">
        <v>59</v>
      </c>
      <c r="AD24" t="s">
        <v>59</v>
      </c>
      <c r="AF24" s="1">
        <v>38961</v>
      </c>
      <c r="AG24" t="s">
        <v>148</v>
      </c>
      <c r="AH24" t="s">
        <v>149</v>
      </c>
      <c r="AI24" t="str">
        <f>"1767011"</f>
        <v>1767011</v>
      </c>
      <c r="AJ24" t="s">
        <v>217</v>
      </c>
      <c r="AK24">
        <v>2897021055</v>
      </c>
      <c r="AL24" t="s">
        <v>218</v>
      </c>
      <c r="AM24" t="s">
        <v>78</v>
      </c>
      <c r="AN24" t="s">
        <v>219</v>
      </c>
      <c r="AO24" t="s">
        <v>219</v>
      </c>
      <c r="AP24" t="s">
        <v>220</v>
      </c>
      <c r="AQ24">
        <v>20</v>
      </c>
      <c r="AR24" t="s">
        <v>123</v>
      </c>
      <c r="AS24" t="s">
        <v>124</v>
      </c>
      <c r="AT24" t="s">
        <v>58</v>
      </c>
      <c r="AU24" t="s">
        <v>68</v>
      </c>
      <c r="AV24" t="s">
        <v>69</v>
      </c>
      <c r="AW24" s="1">
        <v>26746</v>
      </c>
      <c r="AX24">
        <v>2</v>
      </c>
    </row>
    <row r="25" spans="1:50">
      <c r="A25">
        <v>221712</v>
      </c>
      <c r="B25" t="str">
        <f>"063288805"</f>
        <v>063288805</v>
      </c>
      <c r="C25" t="s">
        <v>50</v>
      </c>
      <c r="D25" t="s">
        <v>214</v>
      </c>
      <c r="E25" t="s">
        <v>52</v>
      </c>
      <c r="F25" t="s">
        <v>72</v>
      </c>
      <c r="G25" t="s">
        <v>221</v>
      </c>
      <c r="H25" t="str">
        <f>"ΔΡΑΜΟΥΝΤΑΝΗ 30 θΕΡΙΣΣΟΣ"</f>
        <v>ΔΡΑΜΟΥΝΤΑΝΗ 30 θΕΡΙΣΣΟΣ</v>
      </c>
      <c r="I25">
        <v>71304</v>
      </c>
      <c r="J25">
        <v>2810318104</v>
      </c>
      <c r="K25">
        <v>6932730880</v>
      </c>
      <c r="M25" t="s">
        <v>222</v>
      </c>
      <c r="N25" t="s">
        <v>157</v>
      </c>
      <c r="O25" t="s">
        <v>158</v>
      </c>
      <c r="R25" t="s">
        <v>57</v>
      </c>
      <c r="S25">
        <v>4</v>
      </c>
      <c r="T25">
        <v>775</v>
      </c>
      <c r="U25" s="1">
        <v>39680</v>
      </c>
      <c r="V25" t="s">
        <v>123</v>
      </c>
      <c r="W25" t="s">
        <v>124</v>
      </c>
      <c r="X25" t="s">
        <v>58</v>
      </c>
      <c r="Y25">
        <v>21</v>
      </c>
      <c r="Z25" t="s">
        <v>59</v>
      </c>
      <c r="AA25" t="s">
        <v>59</v>
      </c>
      <c r="AB25" t="s">
        <v>59</v>
      </c>
      <c r="AC25" t="s">
        <v>59</v>
      </c>
      <c r="AD25" t="s">
        <v>59</v>
      </c>
      <c r="AF25" s="1">
        <v>39681</v>
      </c>
      <c r="AG25" t="s">
        <v>125</v>
      </c>
      <c r="AH25" t="s">
        <v>126</v>
      </c>
      <c r="AI25" t="str">
        <f>"1701052"</f>
        <v>1701052</v>
      </c>
      <c r="AJ25" t="s">
        <v>223</v>
      </c>
      <c r="AK25">
        <v>2810252514</v>
      </c>
      <c r="AL25" t="s">
        <v>224</v>
      </c>
      <c r="AM25" t="s">
        <v>78</v>
      </c>
      <c r="AN25" t="s">
        <v>78</v>
      </c>
      <c r="AO25" t="s">
        <v>78</v>
      </c>
      <c r="AP25" t="s">
        <v>141</v>
      </c>
      <c r="AQ25">
        <v>7</v>
      </c>
      <c r="AR25" t="s">
        <v>123</v>
      </c>
      <c r="AS25" t="s">
        <v>124</v>
      </c>
      <c r="AT25" t="s">
        <v>58</v>
      </c>
      <c r="AU25" t="s">
        <v>68</v>
      </c>
      <c r="AV25" t="s">
        <v>69</v>
      </c>
      <c r="AW25" s="1">
        <v>24836</v>
      </c>
      <c r="AX25">
        <v>2</v>
      </c>
    </row>
    <row r="26" spans="1:50">
      <c r="A26">
        <v>187592</v>
      </c>
      <c r="B26" t="str">
        <f>"063107795"</f>
        <v>063107795</v>
      </c>
      <c r="C26" t="s">
        <v>105</v>
      </c>
      <c r="D26" t="s">
        <v>225</v>
      </c>
      <c r="E26" t="s">
        <v>53</v>
      </c>
      <c r="F26" t="s">
        <v>154</v>
      </c>
      <c r="G26" t="s">
        <v>226</v>
      </c>
      <c r="H26" t="str">
        <f>"ΚΛΕΑΝΘΗ 2 "</f>
        <v xml:space="preserve">ΚΛΕΑΝΘΗ 2 </v>
      </c>
      <c r="I26">
        <v>71307</v>
      </c>
      <c r="J26">
        <v>2810214177</v>
      </c>
      <c r="K26">
        <v>6937941542</v>
      </c>
      <c r="M26" t="s">
        <v>227</v>
      </c>
      <c r="N26" t="s">
        <v>204</v>
      </c>
      <c r="O26" t="s">
        <v>205</v>
      </c>
      <c r="R26" t="s">
        <v>57</v>
      </c>
      <c r="S26">
        <v>11</v>
      </c>
      <c r="T26" t="s">
        <v>228</v>
      </c>
      <c r="U26" s="1">
        <v>36404</v>
      </c>
      <c r="V26" t="s">
        <v>123</v>
      </c>
      <c r="W26" t="s">
        <v>124</v>
      </c>
      <c r="X26" t="s">
        <v>58</v>
      </c>
      <c r="Y26">
        <v>20</v>
      </c>
      <c r="Z26" t="s">
        <v>59</v>
      </c>
      <c r="AA26" t="s">
        <v>59</v>
      </c>
      <c r="AB26" t="s">
        <v>59</v>
      </c>
      <c r="AC26" t="s">
        <v>59</v>
      </c>
      <c r="AD26" t="s">
        <v>59</v>
      </c>
      <c r="AF26" s="1">
        <v>36773</v>
      </c>
      <c r="AG26" t="s">
        <v>125</v>
      </c>
      <c r="AH26" t="s">
        <v>126</v>
      </c>
      <c r="AI26" t="str">
        <f>"1701041"</f>
        <v>1701041</v>
      </c>
      <c r="AJ26" t="s">
        <v>161</v>
      </c>
      <c r="AK26">
        <v>2810327052</v>
      </c>
      <c r="AL26" t="s">
        <v>162</v>
      </c>
      <c r="AM26" t="s">
        <v>78</v>
      </c>
      <c r="AN26" t="s">
        <v>78</v>
      </c>
      <c r="AO26" t="s">
        <v>78</v>
      </c>
      <c r="AP26" t="s">
        <v>163</v>
      </c>
      <c r="AQ26">
        <v>5</v>
      </c>
      <c r="AR26" t="s">
        <v>123</v>
      </c>
      <c r="AS26" t="s">
        <v>124</v>
      </c>
      <c r="AT26" t="s">
        <v>58</v>
      </c>
      <c r="AU26" t="s">
        <v>68</v>
      </c>
      <c r="AV26" t="s">
        <v>69</v>
      </c>
      <c r="AW26" s="1">
        <v>26570</v>
      </c>
      <c r="AX26">
        <v>2</v>
      </c>
    </row>
    <row r="27" spans="1:50">
      <c r="A27">
        <v>154328</v>
      </c>
      <c r="B27" t="str">
        <f>"029665160"</f>
        <v>029665160</v>
      </c>
      <c r="C27" t="s">
        <v>105</v>
      </c>
      <c r="D27" t="s">
        <v>229</v>
      </c>
      <c r="E27" t="s">
        <v>230</v>
      </c>
      <c r="F27" t="s">
        <v>53</v>
      </c>
      <c r="G27" t="s">
        <v>155</v>
      </c>
      <c r="H27" t="str">
        <f>"ΛΙΣΣΟΥ 14-16 ΘΕΡΙΣΣΟΣ"</f>
        <v>ΛΙΣΣΟΥ 14-16 ΘΕΡΙΣΣΟΣ</v>
      </c>
      <c r="I27">
        <v>71304</v>
      </c>
      <c r="J27">
        <v>2810313109</v>
      </c>
      <c r="K27">
        <v>6974816911</v>
      </c>
      <c r="M27" t="s">
        <v>231</v>
      </c>
      <c r="N27" t="s">
        <v>232</v>
      </c>
      <c r="O27" t="s">
        <v>233</v>
      </c>
      <c r="R27" t="s">
        <v>57</v>
      </c>
      <c r="S27">
        <v>14</v>
      </c>
      <c r="T27">
        <v>161</v>
      </c>
      <c r="U27" s="1">
        <v>32387</v>
      </c>
      <c r="V27" t="s">
        <v>123</v>
      </c>
      <c r="W27" t="s">
        <v>124</v>
      </c>
      <c r="X27" t="s">
        <v>58</v>
      </c>
      <c r="Y27">
        <v>18</v>
      </c>
      <c r="Z27" t="s">
        <v>59</v>
      </c>
      <c r="AA27" t="s">
        <v>59</v>
      </c>
      <c r="AB27" t="s">
        <v>59</v>
      </c>
      <c r="AC27" t="s">
        <v>59</v>
      </c>
      <c r="AD27" t="s">
        <v>59</v>
      </c>
      <c r="AF27" s="1">
        <v>32392</v>
      </c>
      <c r="AG27" t="s">
        <v>148</v>
      </c>
      <c r="AH27" t="s">
        <v>149</v>
      </c>
      <c r="AI27" t="str">
        <f>"1751030"</f>
        <v>1751030</v>
      </c>
      <c r="AJ27" t="s">
        <v>234</v>
      </c>
      <c r="AK27">
        <v>2810282911</v>
      </c>
      <c r="AL27" t="s">
        <v>235</v>
      </c>
      <c r="AM27" t="s">
        <v>78</v>
      </c>
      <c r="AN27" t="s">
        <v>78</v>
      </c>
      <c r="AO27" t="s">
        <v>78</v>
      </c>
      <c r="AP27" t="s">
        <v>163</v>
      </c>
      <c r="AQ27">
        <v>1</v>
      </c>
      <c r="AR27" t="s">
        <v>123</v>
      </c>
      <c r="AS27" t="s">
        <v>124</v>
      </c>
      <c r="AT27" t="s">
        <v>58</v>
      </c>
      <c r="AU27" t="s">
        <v>68</v>
      </c>
      <c r="AV27" t="s">
        <v>69</v>
      </c>
      <c r="AW27" s="1">
        <v>21337</v>
      </c>
      <c r="AX27">
        <v>2</v>
      </c>
    </row>
    <row r="28" spans="1:50">
      <c r="A28">
        <v>226330</v>
      </c>
      <c r="B28" t="str">
        <f>"118587101"</f>
        <v>118587101</v>
      </c>
      <c r="C28" t="s">
        <v>50</v>
      </c>
      <c r="D28" t="s">
        <v>236</v>
      </c>
      <c r="E28" t="s">
        <v>237</v>
      </c>
      <c r="F28" t="s">
        <v>53</v>
      </c>
      <c r="G28" t="s">
        <v>238</v>
      </c>
      <c r="H28" t="str">
        <f>"ΜΑΣΤΡΑΧΑ 6 ΜΟΙΡΕΣ"</f>
        <v>ΜΑΣΤΡΑΧΑ 6 ΜΟΙΡΕΣ</v>
      </c>
      <c r="I28">
        <v>70400</v>
      </c>
      <c r="J28">
        <v>2892025118</v>
      </c>
      <c r="K28">
        <v>6977977906</v>
      </c>
      <c r="M28" t="s">
        <v>239</v>
      </c>
      <c r="N28" t="s">
        <v>146</v>
      </c>
      <c r="O28" t="s">
        <v>147</v>
      </c>
      <c r="R28" t="s">
        <v>57</v>
      </c>
      <c r="S28">
        <v>7</v>
      </c>
      <c r="T28">
        <v>654</v>
      </c>
      <c r="U28" s="1">
        <v>40043</v>
      </c>
      <c r="V28" t="s">
        <v>123</v>
      </c>
      <c r="W28" t="s">
        <v>124</v>
      </c>
      <c r="X28" t="s">
        <v>58</v>
      </c>
      <c r="Y28">
        <v>21</v>
      </c>
      <c r="Z28" t="s">
        <v>59</v>
      </c>
      <c r="AA28" t="s">
        <v>59</v>
      </c>
      <c r="AB28" t="s">
        <v>59</v>
      </c>
      <c r="AC28" t="s">
        <v>59</v>
      </c>
      <c r="AD28" t="s">
        <v>59</v>
      </c>
      <c r="AF28" s="1">
        <v>40043</v>
      </c>
      <c r="AG28" t="s">
        <v>148</v>
      </c>
      <c r="AH28" t="s">
        <v>149</v>
      </c>
      <c r="AI28" t="str">
        <f>"1757010"</f>
        <v>1757010</v>
      </c>
      <c r="AJ28" t="s">
        <v>240</v>
      </c>
      <c r="AK28">
        <v>2892041388</v>
      </c>
      <c r="AL28" t="s">
        <v>241</v>
      </c>
      <c r="AM28" t="s">
        <v>78</v>
      </c>
      <c r="AN28" t="s">
        <v>242</v>
      </c>
      <c r="AO28" t="s">
        <v>243</v>
      </c>
      <c r="AP28" t="s">
        <v>244</v>
      </c>
      <c r="AQ28">
        <v>34</v>
      </c>
      <c r="AR28" t="s">
        <v>123</v>
      </c>
      <c r="AS28" t="s">
        <v>124</v>
      </c>
      <c r="AT28" t="s">
        <v>58</v>
      </c>
      <c r="AU28" t="s">
        <v>68</v>
      </c>
      <c r="AV28" t="s">
        <v>69</v>
      </c>
      <c r="AW28" s="1">
        <v>29602</v>
      </c>
      <c r="AX28">
        <v>2</v>
      </c>
    </row>
    <row r="29" spans="1:50">
      <c r="A29">
        <v>703193</v>
      </c>
      <c r="B29" t="str">
        <f>"118939356"</f>
        <v>118939356</v>
      </c>
      <c r="C29" t="s">
        <v>50</v>
      </c>
      <c r="D29" t="s">
        <v>245</v>
      </c>
      <c r="E29" t="s">
        <v>238</v>
      </c>
      <c r="F29" t="s">
        <v>166</v>
      </c>
      <c r="G29" t="s">
        <v>52</v>
      </c>
      <c r="H29" t="str">
        <f>"Επαμεινώνδα 23 ΗΡΑΚΛΕΙΟ"</f>
        <v>Επαμεινώνδα 23 ΗΡΑΚΛΕΙΟ</v>
      </c>
      <c r="I29">
        <v>71304</v>
      </c>
      <c r="J29">
        <v>2813014577</v>
      </c>
      <c r="K29">
        <v>6977003833</v>
      </c>
      <c r="N29" t="s">
        <v>246</v>
      </c>
      <c r="O29" t="s">
        <v>247</v>
      </c>
      <c r="R29" t="s">
        <v>57</v>
      </c>
      <c r="S29">
        <v>6</v>
      </c>
      <c r="T29">
        <v>588</v>
      </c>
      <c r="U29" s="1">
        <v>40778</v>
      </c>
      <c r="V29" t="s">
        <v>123</v>
      </c>
      <c r="W29" t="s">
        <v>124</v>
      </c>
      <c r="X29" t="s">
        <v>58</v>
      </c>
      <c r="Y29">
        <v>21</v>
      </c>
      <c r="Z29" t="s">
        <v>59</v>
      </c>
      <c r="AA29" t="s">
        <v>59</v>
      </c>
      <c r="AB29" t="s">
        <v>59</v>
      </c>
      <c r="AC29" t="s">
        <v>59</v>
      </c>
      <c r="AD29" t="s">
        <v>59</v>
      </c>
      <c r="AF29" s="1">
        <v>40784</v>
      </c>
      <c r="AG29" t="s">
        <v>125</v>
      </c>
      <c r="AH29" t="s">
        <v>126</v>
      </c>
      <c r="AI29" t="str">
        <f>"1701056"</f>
        <v>1701056</v>
      </c>
      <c r="AJ29" t="s">
        <v>211</v>
      </c>
      <c r="AK29">
        <v>2810245445</v>
      </c>
      <c r="AL29" t="s">
        <v>212</v>
      </c>
      <c r="AM29" t="s">
        <v>78</v>
      </c>
      <c r="AN29" t="s">
        <v>78</v>
      </c>
      <c r="AO29" t="s">
        <v>78</v>
      </c>
      <c r="AP29" t="s">
        <v>213</v>
      </c>
      <c r="AQ29">
        <v>6</v>
      </c>
      <c r="AR29" t="s">
        <v>123</v>
      </c>
      <c r="AS29" t="s">
        <v>124</v>
      </c>
      <c r="AT29" t="s">
        <v>58</v>
      </c>
      <c r="AU29" t="s">
        <v>68</v>
      </c>
      <c r="AV29" t="s">
        <v>69</v>
      </c>
      <c r="AW29" s="1">
        <v>30188</v>
      </c>
      <c r="AX29">
        <v>2</v>
      </c>
    </row>
    <row r="30" spans="1:50">
      <c r="A30">
        <v>190721</v>
      </c>
      <c r="B30" t="str">
        <f>"044195748"</f>
        <v>044195748</v>
      </c>
      <c r="C30" t="s">
        <v>50</v>
      </c>
      <c r="D30" t="s">
        <v>248</v>
      </c>
      <c r="E30" t="s">
        <v>249</v>
      </c>
      <c r="F30" t="s">
        <v>106</v>
      </c>
      <c r="G30" t="s">
        <v>250</v>
      </c>
      <c r="H30" t="str">
        <f>" "</f>
        <v xml:space="preserve"> </v>
      </c>
      <c r="J30">
        <v>2810370329</v>
      </c>
      <c r="K30">
        <v>6973038049</v>
      </c>
      <c r="M30" t="s">
        <v>251</v>
      </c>
      <c r="N30" t="s">
        <v>204</v>
      </c>
      <c r="O30" t="s">
        <v>205</v>
      </c>
      <c r="R30" t="s">
        <v>57</v>
      </c>
      <c r="S30">
        <v>11</v>
      </c>
      <c r="T30">
        <v>219</v>
      </c>
      <c r="U30" s="1">
        <v>37134</v>
      </c>
      <c r="V30" t="s">
        <v>123</v>
      </c>
      <c r="W30" t="s">
        <v>124</v>
      </c>
      <c r="X30" t="s">
        <v>58</v>
      </c>
      <c r="Y30">
        <v>18</v>
      </c>
      <c r="Z30" t="s">
        <v>59</v>
      </c>
      <c r="AA30" t="s">
        <v>59</v>
      </c>
      <c r="AB30" t="s">
        <v>59</v>
      </c>
      <c r="AC30" t="s">
        <v>59</v>
      </c>
      <c r="AD30" t="s">
        <v>59</v>
      </c>
      <c r="AF30" s="1">
        <v>37139</v>
      </c>
      <c r="AG30" t="s">
        <v>148</v>
      </c>
      <c r="AH30" t="s">
        <v>149</v>
      </c>
      <c r="AI30" t="str">
        <f>"1790100"</f>
        <v>1790100</v>
      </c>
      <c r="AJ30" t="s">
        <v>252</v>
      </c>
      <c r="AK30">
        <v>2810234876</v>
      </c>
      <c r="AL30" t="s">
        <v>253</v>
      </c>
      <c r="AM30" t="s">
        <v>78</v>
      </c>
      <c r="AN30" t="s">
        <v>78</v>
      </c>
      <c r="AO30" t="s">
        <v>78</v>
      </c>
      <c r="AP30" t="s">
        <v>163</v>
      </c>
      <c r="AQ30">
        <v>5</v>
      </c>
      <c r="AR30" t="s">
        <v>123</v>
      </c>
      <c r="AS30" t="s">
        <v>124</v>
      </c>
      <c r="AT30" t="s">
        <v>58</v>
      </c>
      <c r="AU30" t="s">
        <v>68</v>
      </c>
      <c r="AV30" t="s">
        <v>69</v>
      </c>
      <c r="AW30" s="1">
        <v>23473</v>
      </c>
      <c r="AX30">
        <v>2</v>
      </c>
    </row>
    <row r="31" spans="1:50">
      <c r="A31">
        <v>163052</v>
      </c>
      <c r="B31" t="str">
        <f>"062286550"</f>
        <v>062286550</v>
      </c>
      <c r="C31" t="s">
        <v>50</v>
      </c>
      <c r="D31" t="s">
        <v>254</v>
      </c>
      <c r="E31" t="s">
        <v>255</v>
      </c>
      <c r="F31" t="s">
        <v>95</v>
      </c>
      <c r="G31" t="s">
        <v>73</v>
      </c>
      <c r="H31" t="str">
        <f>"Γ. ΣΚΟΥΛΑ 28 ΜΑΣΤΑΜΠΑΣ"</f>
        <v>Γ. ΣΚΟΥΛΑ 28 ΜΑΣΤΑΜΠΑΣ</v>
      </c>
      <c r="I31">
        <v>71305</v>
      </c>
      <c r="J31">
        <v>2810232273</v>
      </c>
      <c r="K31">
        <v>6974632417</v>
      </c>
      <c r="M31" t="s">
        <v>256</v>
      </c>
      <c r="N31" t="s">
        <v>257</v>
      </c>
      <c r="O31" t="s">
        <v>258</v>
      </c>
      <c r="R31" t="s">
        <v>57</v>
      </c>
      <c r="S31">
        <v>13</v>
      </c>
      <c r="T31">
        <v>132</v>
      </c>
      <c r="U31" s="1">
        <v>33456</v>
      </c>
      <c r="V31" t="s">
        <v>123</v>
      </c>
      <c r="W31" t="s">
        <v>124</v>
      </c>
      <c r="X31" t="s">
        <v>58</v>
      </c>
      <c r="Y31">
        <v>18</v>
      </c>
      <c r="Z31" t="s">
        <v>59</v>
      </c>
      <c r="AA31" t="s">
        <v>59</v>
      </c>
      <c r="AB31" t="s">
        <v>59</v>
      </c>
      <c r="AC31" t="s">
        <v>59</v>
      </c>
      <c r="AD31" t="s">
        <v>59</v>
      </c>
      <c r="AF31" s="1">
        <v>33487</v>
      </c>
      <c r="AG31" t="s">
        <v>148</v>
      </c>
      <c r="AH31" t="s">
        <v>149</v>
      </c>
      <c r="AI31" t="str">
        <f>"1751051"</f>
        <v>1751051</v>
      </c>
      <c r="AJ31" t="s">
        <v>259</v>
      </c>
      <c r="AK31">
        <v>2810251794</v>
      </c>
      <c r="AL31" t="s">
        <v>260</v>
      </c>
      <c r="AM31" t="s">
        <v>78</v>
      </c>
      <c r="AN31" t="s">
        <v>78</v>
      </c>
      <c r="AO31" t="s">
        <v>78</v>
      </c>
      <c r="AP31" t="s">
        <v>141</v>
      </c>
      <c r="AQ31">
        <v>7</v>
      </c>
      <c r="AR31" t="s">
        <v>123</v>
      </c>
      <c r="AS31" t="s">
        <v>124</v>
      </c>
      <c r="AT31" t="s">
        <v>58</v>
      </c>
      <c r="AU31" t="s">
        <v>68</v>
      </c>
      <c r="AV31" t="s">
        <v>69</v>
      </c>
      <c r="AW31" s="1">
        <v>23811</v>
      </c>
      <c r="AX31">
        <v>2</v>
      </c>
    </row>
    <row r="32" spans="1:50">
      <c r="A32">
        <v>189095</v>
      </c>
      <c r="B32" t="str">
        <f>"043872404"</f>
        <v>043872404</v>
      </c>
      <c r="C32" t="s">
        <v>50</v>
      </c>
      <c r="D32" t="s">
        <v>261</v>
      </c>
      <c r="E32" t="s">
        <v>262</v>
      </c>
      <c r="F32" t="s">
        <v>72</v>
      </c>
      <c r="G32" t="s">
        <v>263</v>
      </c>
      <c r="H32" t="str">
        <f>" "</f>
        <v xml:space="preserve"> </v>
      </c>
      <c r="J32">
        <v>2810222983</v>
      </c>
      <c r="K32">
        <v>6977195881</v>
      </c>
      <c r="M32" t="s">
        <v>264</v>
      </c>
      <c r="N32" t="s">
        <v>146</v>
      </c>
      <c r="O32" t="s">
        <v>147</v>
      </c>
      <c r="R32" t="s">
        <v>57</v>
      </c>
      <c r="S32">
        <v>8</v>
      </c>
      <c r="T32">
        <v>219</v>
      </c>
      <c r="U32" s="1">
        <v>37134</v>
      </c>
      <c r="V32" t="s">
        <v>123</v>
      </c>
      <c r="W32" t="s">
        <v>124</v>
      </c>
      <c r="X32" t="s">
        <v>58</v>
      </c>
      <c r="Y32">
        <v>20</v>
      </c>
      <c r="Z32" t="s">
        <v>59</v>
      </c>
      <c r="AA32" t="s">
        <v>59</v>
      </c>
      <c r="AB32" t="s">
        <v>59</v>
      </c>
      <c r="AC32" t="s">
        <v>59</v>
      </c>
      <c r="AD32" t="s">
        <v>59</v>
      </c>
      <c r="AF32" s="1">
        <v>37139</v>
      </c>
      <c r="AG32" t="s">
        <v>125</v>
      </c>
      <c r="AH32" t="s">
        <v>126</v>
      </c>
      <c r="AI32" t="str">
        <f>"1726010"</f>
        <v>1726010</v>
      </c>
      <c r="AJ32" t="s">
        <v>265</v>
      </c>
      <c r="AK32">
        <v>2810831228</v>
      </c>
      <c r="AL32" t="s">
        <v>266</v>
      </c>
      <c r="AM32" t="s">
        <v>78</v>
      </c>
      <c r="AN32" t="s">
        <v>129</v>
      </c>
      <c r="AO32" t="s">
        <v>267</v>
      </c>
      <c r="AP32" t="s">
        <v>267</v>
      </c>
      <c r="AQ32">
        <v>27</v>
      </c>
      <c r="AR32" t="s">
        <v>123</v>
      </c>
      <c r="AS32" t="s">
        <v>124</v>
      </c>
      <c r="AT32" t="s">
        <v>58</v>
      </c>
      <c r="AU32" t="s">
        <v>68</v>
      </c>
      <c r="AV32" t="s">
        <v>69</v>
      </c>
      <c r="AW32" s="1">
        <v>23187</v>
      </c>
      <c r="AX32">
        <v>2</v>
      </c>
    </row>
    <row r="33" spans="1:50">
      <c r="A33">
        <v>155710</v>
      </c>
      <c r="B33" t="str">
        <f>"034216673"</f>
        <v>034216673</v>
      </c>
      <c r="C33" t="s">
        <v>50</v>
      </c>
      <c r="D33" t="s">
        <v>261</v>
      </c>
      <c r="E33" t="s">
        <v>268</v>
      </c>
      <c r="F33" t="s">
        <v>72</v>
      </c>
      <c r="G33" t="s">
        <v>238</v>
      </c>
      <c r="H33" t="str">
        <f>"ΠΑΡΟΔΟΣ ΣΗΦΑΚΑ 19 ΑΤΣΑΛΕΝΙΟ"</f>
        <v>ΠΑΡΟΔΟΣ ΣΗΦΑΚΑ 19 ΑΤΣΑΛΕΝΙΟ</v>
      </c>
      <c r="I33">
        <v>71306</v>
      </c>
      <c r="J33">
        <v>2810262330</v>
      </c>
      <c r="K33">
        <v>6972715382</v>
      </c>
      <c r="M33" t="s">
        <v>269</v>
      </c>
      <c r="N33" t="s">
        <v>146</v>
      </c>
      <c r="O33" t="s">
        <v>147</v>
      </c>
      <c r="R33" t="s">
        <v>57</v>
      </c>
      <c r="S33">
        <v>15</v>
      </c>
      <c r="T33">
        <v>188</v>
      </c>
      <c r="U33" s="1">
        <v>32752</v>
      </c>
      <c r="V33" t="s">
        <v>123</v>
      </c>
      <c r="W33" t="s">
        <v>124</v>
      </c>
      <c r="X33" t="s">
        <v>58</v>
      </c>
      <c r="Y33">
        <v>18</v>
      </c>
      <c r="Z33" t="s">
        <v>59</v>
      </c>
      <c r="AA33" t="s">
        <v>59</v>
      </c>
      <c r="AB33" t="s">
        <v>59</v>
      </c>
      <c r="AC33" t="s">
        <v>59</v>
      </c>
      <c r="AD33" t="s">
        <v>59</v>
      </c>
      <c r="AF33" s="1">
        <v>32756</v>
      </c>
      <c r="AG33" t="s">
        <v>125</v>
      </c>
      <c r="AH33" t="s">
        <v>126</v>
      </c>
      <c r="AI33" t="str">
        <f>"1701030"</f>
        <v>1701030</v>
      </c>
      <c r="AJ33" t="s">
        <v>270</v>
      </c>
      <c r="AK33">
        <v>2810361015</v>
      </c>
      <c r="AL33" t="s">
        <v>271</v>
      </c>
      <c r="AM33" t="s">
        <v>78</v>
      </c>
      <c r="AN33" t="s">
        <v>78</v>
      </c>
      <c r="AO33" t="s">
        <v>78</v>
      </c>
      <c r="AP33" t="s">
        <v>163</v>
      </c>
      <c r="AQ33">
        <v>2</v>
      </c>
      <c r="AR33" t="s">
        <v>123</v>
      </c>
      <c r="AS33" t="s">
        <v>124</v>
      </c>
      <c r="AT33" t="s">
        <v>58</v>
      </c>
      <c r="AU33" t="s">
        <v>68</v>
      </c>
      <c r="AV33" t="s">
        <v>69</v>
      </c>
      <c r="AW33" s="1">
        <v>23023</v>
      </c>
      <c r="AX33">
        <v>2</v>
      </c>
    </row>
    <row r="34" spans="1:50">
      <c r="A34">
        <v>210009</v>
      </c>
      <c r="B34" t="str">
        <f>"065283817"</f>
        <v>065283817</v>
      </c>
      <c r="C34" t="s">
        <v>105</v>
      </c>
      <c r="D34" t="s">
        <v>272</v>
      </c>
      <c r="E34" t="s">
        <v>72</v>
      </c>
      <c r="F34" t="s">
        <v>95</v>
      </c>
      <c r="G34" t="s">
        <v>215</v>
      </c>
      <c r="H34" t="str">
        <f>"ΙΔΟΜΕΝΕΩΣ 19 "</f>
        <v xml:space="preserve">ΙΔΟΜΕΝΕΩΣ 19 </v>
      </c>
      <c r="I34">
        <v>71202</v>
      </c>
      <c r="J34">
        <v>2814004144</v>
      </c>
      <c r="K34">
        <v>6947436096</v>
      </c>
      <c r="M34" t="s">
        <v>273</v>
      </c>
      <c r="N34" t="s">
        <v>232</v>
      </c>
      <c r="O34" t="s">
        <v>233</v>
      </c>
      <c r="R34" t="s">
        <v>57</v>
      </c>
      <c r="S34">
        <v>8</v>
      </c>
      <c r="T34">
        <v>228</v>
      </c>
      <c r="U34" s="1">
        <v>38608</v>
      </c>
      <c r="V34" t="s">
        <v>123</v>
      </c>
      <c r="W34" t="s">
        <v>124</v>
      </c>
      <c r="X34" t="s">
        <v>58</v>
      </c>
      <c r="Y34">
        <v>20</v>
      </c>
      <c r="Z34" t="s">
        <v>59</v>
      </c>
      <c r="AA34" t="s">
        <v>59</v>
      </c>
      <c r="AB34" t="s">
        <v>59</v>
      </c>
      <c r="AC34" t="s">
        <v>59</v>
      </c>
      <c r="AD34" t="s">
        <v>59</v>
      </c>
      <c r="AF34" s="1">
        <v>38611</v>
      </c>
      <c r="AG34" t="s">
        <v>148</v>
      </c>
      <c r="AH34" t="s">
        <v>149</v>
      </c>
      <c r="AI34" t="str">
        <f>"1755010"</f>
        <v>1755010</v>
      </c>
      <c r="AJ34" t="s">
        <v>274</v>
      </c>
      <c r="AK34">
        <v>2891031124</v>
      </c>
      <c r="AL34" t="s">
        <v>275</v>
      </c>
      <c r="AM34" t="s">
        <v>78</v>
      </c>
      <c r="AN34" t="s">
        <v>276</v>
      </c>
      <c r="AO34" t="s">
        <v>277</v>
      </c>
      <c r="AP34" t="s">
        <v>277</v>
      </c>
      <c r="AQ34">
        <v>17</v>
      </c>
      <c r="AR34" t="s">
        <v>123</v>
      </c>
      <c r="AS34" t="s">
        <v>124</v>
      </c>
      <c r="AT34" t="s">
        <v>58</v>
      </c>
      <c r="AU34" t="s">
        <v>68</v>
      </c>
      <c r="AV34" t="s">
        <v>69</v>
      </c>
      <c r="AW34" s="1">
        <v>28950</v>
      </c>
      <c r="AX34">
        <v>2</v>
      </c>
    </row>
    <row r="35" spans="1:50">
      <c r="A35">
        <v>211207</v>
      </c>
      <c r="B35" t="str">
        <f>"046481122"</f>
        <v>046481122</v>
      </c>
      <c r="C35" t="s">
        <v>105</v>
      </c>
      <c r="D35" t="s">
        <v>278</v>
      </c>
      <c r="E35" t="s">
        <v>95</v>
      </c>
      <c r="F35" t="s">
        <v>279</v>
      </c>
      <c r="G35" t="s">
        <v>280</v>
      </c>
      <c r="H35" t="str">
        <f>" "</f>
        <v xml:space="preserve"> </v>
      </c>
      <c r="K35">
        <v>6977006775</v>
      </c>
      <c r="M35" t="s">
        <v>281</v>
      </c>
      <c r="N35" t="s">
        <v>282</v>
      </c>
      <c r="O35" t="s">
        <v>283</v>
      </c>
      <c r="P35" t="s">
        <v>232</v>
      </c>
      <c r="Q35" t="s">
        <v>233</v>
      </c>
      <c r="R35" t="s">
        <v>57</v>
      </c>
      <c r="S35">
        <v>8</v>
      </c>
      <c r="T35">
        <v>299</v>
      </c>
      <c r="U35" s="1">
        <v>38670</v>
      </c>
      <c r="V35" t="s">
        <v>123</v>
      </c>
      <c r="W35" t="s">
        <v>124</v>
      </c>
      <c r="X35" t="s">
        <v>58</v>
      </c>
      <c r="Y35">
        <v>20</v>
      </c>
      <c r="Z35" t="s">
        <v>59</v>
      </c>
      <c r="AA35" t="s">
        <v>59</v>
      </c>
      <c r="AB35" t="s">
        <v>59</v>
      </c>
      <c r="AC35" t="s">
        <v>59</v>
      </c>
      <c r="AD35" t="s">
        <v>59</v>
      </c>
      <c r="AF35" s="1">
        <v>38670</v>
      </c>
      <c r="AG35" t="s">
        <v>137</v>
      </c>
      <c r="AH35" t="s">
        <v>138</v>
      </c>
      <c r="AI35" t="str">
        <f>"1740080"</f>
        <v>1740080</v>
      </c>
      <c r="AJ35" t="s">
        <v>284</v>
      </c>
      <c r="AK35">
        <v>2810220433</v>
      </c>
      <c r="AL35" t="s">
        <v>285</v>
      </c>
      <c r="AM35" t="s">
        <v>78</v>
      </c>
      <c r="AN35" t="s">
        <v>78</v>
      </c>
      <c r="AO35" t="s">
        <v>286</v>
      </c>
      <c r="AP35" t="s">
        <v>286</v>
      </c>
      <c r="AQ35">
        <v>12</v>
      </c>
      <c r="AR35" t="s">
        <v>123</v>
      </c>
      <c r="AS35" t="s">
        <v>124</v>
      </c>
      <c r="AT35" t="s">
        <v>58</v>
      </c>
      <c r="AU35" t="s">
        <v>68</v>
      </c>
      <c r="AV35" t="s">
        <v>69</v>
      </c>
      <c r="AW35" s="1">
        <v>27714</v>
      </c>
      <c r="AX35">
        <v>2</v>
      </c>
    </row>
    <row r="36" spans="1:50">
      <c r="A36">
        <v>207710</v>
      </c>
      <c r="B36" t="str">
        <f>"044805900"</f>
        <v>044805900</v>
      </c>
      <c r="C36" t="s">
        <v>50</v>
      </c>
      <c r="D36" t="s">
        <v>287</v>
      </c>
      <c r="E36" t="s">
        <v>73</v>
      </c>
      <c r="F36" t="s">
        <v>95</v>
      </c>
      <c r="G36" t="s">
        <v>52</v>
      </c>
      <c r="H36" t="str">
        <f>"ΠΙΤΣΟΥΛΑΚΗ 44 ΗΡΑΚΛΕΙΟΥ"</f>
        <v>ΠΙΤΣΟΥΛΑΚΗ 44 ΗΡΑΚΛΕΙΟΥ</v>
      </c>
      <c r="I36">
        <v>71307</v>
      </c>
      <c r="J36">
        <v>2810212843</v>
      </c>
      <c r="K36">
        <v>6972708223</v>
      </c>
      <c r="N36" t="s">
        <v>288</v>
      </c>
      <c r="O36" t="s">
        <v>289</v>
      </c>
      <c r="R36" t="s">
        <v>57</v>
      </c>
      <c r="S36">
        <v>9</v>
      </c>
      <c r="T36">
        <v>218</v>
      </c>
      <c r="U36" s="1">
        <v>38596</v>
      </c>
      <c r="V36" t="s">
        <v>123</v>
      </c>
      <c r="W36" t="s">
        <v>124</v>
      </c>
      <c r="X36" t="s">
        <v>58</v>
      </c>
      <c r="Y36">
        <v>20</v>
      </c>
      <c r="Z36" t="s">
        <v>59</v>
      </c>
      <c r="AA36" t="s">
        <v>59</v>
      </c>
      <c r="AB36" t="s">
        <v>59</v>
      </c>
      <c r="AC36" t="s">
        <v>59</v>
      </c>
      <c r="AD36" t="s">
        <v>59</v>
      </c>
      <c r="AF36" s="1">
        <v>38600</v>
      </c>
      <c r="AG36" t="s">
        <v>125</v>
      </c>
      <c r="AH36" t="s">
        <v>126</v>
      </c>
      <c r="AI36" t="str">
        <f>"1701056"</f>
        <v>1701056</v>
      </c>
      <c r="AJ36" t="s">
        <v>211</v>
      </c>
      <c r="AK36">
        <v>2810245445</v>
      </c>
      <c r="AL36" t="s">
        <v>212</v>
      </c>
      <c r="AM36" t="s">
        <v>78</v>
      </c>
      <c r="AN36" t="s">
        <v>78</v>
      </c>
      <c r="AO36" t="s">
        <v>78</v>
      </c>
      <c r="AP36" t="s">
        <v>213</v>
      </c>
      <c r="AQ36">
        <v>6</v>
      </c>
      <c r="AR36" t="s">
        <v>123</v>
      </c>
      <c r="AS36" t="s">
        <v>124</v>
      </c>
      <c r="AT36" t="s">
        <v>58</v>
      </c>
      <c r="AU36" t="s">
        <v>68</v>
      </c>
      <c r="AV36" t="s">
        <v>69</v>
      </c>
      <c r="AW36" s="1">
        <v>24450</v>
      </c>
      <c r="AX36">
        <v>2</v>
      </c>
    </row>
    <row r="37" spans="1:50">
      <c r="A37">
        <v>183709</v>
      </c>
      <c r="B37" t="str">
        <f>"059213270"</f>
        <v>059213270</v>
      </c>
      <c r="C37" t="s">
        <v>50</v>
      </c>
      <c r="D37" t="s">
        <v>287</v>
      </c>
      <c r="E37" t="s">
        <v>73</v>
      </c>
      <c r="F37" t="s">
        <v>166</v>
      </c>
      <c r="G37" t="s">
        <v>290</v>
      </c>
      <c r="H37" t="str">
        <f>"ΒΡΑΧΟΚΗΠΟΣ ΚΟΚΚΙΝΗ ΧΑΝΙ"</f>
        <v>ΒΡΑΧΟΚΗΠΟΣ ΚΟΚΚΙΝΗ ΧΑΝΙ</v>
      </c>
      <c r="I37">
        <v>71500</v>
      </c>
      <c r="J37">
        <v>2810222178</v>
      </c>
      <c r="K37">
        <v>6944398367</v>
      </c>
      <c r="M37" t="s">
        <v>291</v>
      </c>
      <c r="N37" t="s">
        <v>292</v>
      </c>
      <c r="O37" t="s">
        <v>293</v>
      </c>
      <c r="R37" t="s">
        <v>57</v>
      </c>
      <c r="S37">
        <v>11</v>
      </c>
      <c r="T37">
        <v>177</v>
      </c>
      <c r="U37" s="1">
        <v>36403</v>
      </c>
      <c r="V37" t="s">
        <v>123</v>
      </c>
      <c r="W37" t="s">
        <v>124</v>
      </c>
      <c r="X37" t="s">
        <v>58</v>
      </c>
      <c r="Y37">
        <v>18</v>
      </c>
      <c r="Z37" t="s">
        <v>59</v>
      </c>
      <c r="AA37" t="s">
        <v>59</v>
      </c>
      <c r="AB37" t="s">
        <v>59</v>
      </c>
      <c r="AC37" t="s">
        <v>59</v>
      </c>
      <c r="AD37" t="s">
        <v>59</v>
      </c>
      <c r="AF37" s="1">
        <v>36404</v>
      </c>
      <c r="AG37" t="s">
        <v>125</v>
      </c>
      <c r="AH37" t="s">
        <v>294</v>
      </c>
      <c r="AI37" t="str">
        <f>"1701015"</f>
        <v>1701015</v>
      </c>
      <c r="AJ37" t="s">
        <v>295</v>
      </c>
      <c r="AK37">
        <v>2810761696</v>
      </c>
      <c r="AL37" t="s">
        <v>296</v>
      </c>
      <c r="AM37" t="s">
        <v>78</v>
      </c>
      <c r="AN37" t="s">
        <v>219</v>
      </c>
      <c r="AO37" t="s">
        <v>297</v>
      </c>
      <c r="AP37" t="s">
        <v>297</v>
      </c>
      <c r="AQ37">
        <v>10</v>
      </c>
      <c r="AR37" t="s">
        <v>123</v>
      </c>
      <c r="AS37" t="s">
        <v>124</v>
      </c>
      <c r="AT37" t="s">
        <v>58</v>
      </c>
      <c r="AU37" t="s">
        <v>68</v>
      </c>
      <c r="AV37" t="s">
        <v>69</v>
      </c>
      <c r="AW37" s="1">
        <v>22098</v>
      </c>
      <c r="AX37">
        <v>2</v>
      </c>
    </row>
    <row r="38" spans="1:50">
      <c r="A38">
        <v>219956</v>
      </c>
      <c r="B38" t="str">
        <f>"141506934"</f>
        <v>141506934</v>
      </c>
      <c r="C38" t="s">
        <v>50</v>
      </c>
      <c r="D38" t="s">
        <v>287</v>
      </c>
      <c r="E38" t="s">
        <v>52</v>
      </c>
      <c r="F38" t="s">
        <v>99</v>
      </c>
      <c r="G38" t="s">
        <v>73</v>
      </c>
      <c r="H38" t="str">
        <f>"ΤΑΫΓΕΤΟΥ ΤΕΡΜΑ ΞΗΡΟΠΟΤΑΜΟΣ ΗΡΑΚΛΕΙΟΥ"</f>
        <v>ΤΑΫΓΕΤΟΥ ΤΕΡΜΑ ΞΗΡΟΠΟΤΑΜΟΣ ΗΡΑΚΛΕΙΟΥ</v>
      </c>
      <c r="I38">
        <v>71303</v>
      </c>
      <c r="J38">
        <v>2810528930</v>
      </c>
      <c r="K38">
        <v>6955063608</v>
      </c>
      <c r="M38" t="s">
        <v>298</v>
      </c>
      <c r="N38" t="s">
        <v>299</v>
      </c>
      <c r="O38" t="s">
        <v>300</v>
      </c>
      <c r="R38" t="s">
        <v>57</v>
      </c>
      <c r="S38">
        <v>5</v>
      </c>
      <c r="T38">
        <v>599</v>
      </c>
      <c r="U38" s="1">
        <v>39310</v>
      </c>
      <c r="V38" t="s">
        <v>123</v>
      </c>
      <c r="W38" t="s">
        <v>124</v>
      </c>
      <c r="X38" t="s">
        <v>58</v>
      </c>
      <c r="Y38">
        <v>21</v>
      </c>
      <c r="Z38" t="s">
        <v>59</v>
      </c>
      <c r="AA38" t="s">
        <v>59</v>
      </c>
      <c r="AB38" t="s">
        <v>59</v>
      </c>
      <c r="AC38" t="s">
        <v>59</v>
      </c>
      <c r="AD38" t="s">
        <v>59</v>
      </c>
      <c r="AF38" s="1">
        <v>39328</v>
      </c>
      <c r="AG38" t="s">
        <v>125</v>
      </c>
      <c r="AH38" t="s">
        <v>126</v>
      </c>
      <c r="AI38" t="str">
        <f>"1701055"</f>
        <v>1701055</v>
      </c>
      <c r="AJ38" t="s">
        <v>301</v>
      </c>
      <c r="AK38">
        <v>2810257353</v>
      </c>
      <c r="AL38" t="s">
        <v>302</v>
      </c>
      <c r="AM38" t="s">
        <v>78</v>
      </c>
      <c r="AN38" t="s">
        <v>78</v>
      </c>
      <c r="AO38" t="s">
        <v>78</v>
      </c>
      <c r="AP38" t="s">
        <v>141</v>
      </c>
      <c r="AQ38">
        <v>7</v>
      </c>
      <c r="AR38" t="s">
        <v>123</v>
      </c>
      <c r="AS38" t="s">
        <v>124</v>
      </c>
      <c r="AT38" t="s">
        <v>58</v>
      </c>
      <c r="AU38" t="s">
        <v>68</v>
      </c>
      <c r="AV38" t="s">
        <v>69</v>
      </c>
      <c r="AW38" s="1">
        <v>30944</v>
      </c>
      <c r="AX38">
        <v>2</v>
      </c>
    </row>
    <row r="39" spans="1:50">
      <c r="A39">
        <v>144578</v>
      </c>
      <c r="B39" t="str">
        <f>"049053434"</f>
        <v>049053434</v>
      </c>
      <c r="C39" t="s">
        <v>50</v>
      </c>
      <c r="D39" t="s">
        <v>303</v>
      </c>
      <c r="E39" t="s">
        <v>83</v>
      </c>
      <c r="F39" t="s">
        <v>304</v>
      </c>
      <c r="G39" t="s">
        <v>250</v>
      </c>
      <c r="H39" t="str">
        <f>"ΕΜΜΑΝΟΥΗΛ ΜΠΑΝΤΟΥΒΑ 55 ΠΑΤΕΛΕΣ"</f>
        <v>ΕΜΜΑΝΟΥΗΛ ΜΠΑΝΤΟΥΒΑ 55 ΠΑΤΕΛΕΣ</v>
      </c>
      <c r="I39">
        <v>71307</v>
      </c>
      <c r="J39">
        <v>2810237867</v>
      </c>
      <c r="K39">
        <v>6978292397</v>
      </c>
      <c r="M39" t="s">
        <v>305</v>
      </c>
      <c r="N39" t="s">
        <v>306</v>
      </c>
      <c r="O39" t="s">
        <v>307</v>
      </c>
      <c r="R39" t="s">
        <v>57</v>
      </c>
      <c r="S39">
        <v>19</v>
      </c>
      <c r="T39">
        <v>262</v>
      </c>
      <c r="U39" s="1">
        <v>30916</v>
      </c>
      <c r="V39" t="s">
        <v>123</v>
      </c>
      <c r="W39" t="s">
        <v>124</v>
      </c>
      <c r="X39" t="s">
        <v>58</v>
      </c>
      <c r="Y39">
        <v>18</v>
      </c>
      <c r="Z39" t="s">
        <v>59</v>
      </c>
      <c r="AA39" t="s">
        <v>59</v>
      </c>
      <c r="AB39" t="s">
        <v>59</v>
      </c>
      <c r="AC39" t="s">
        <v>59</v>
      </c>
      <c r="AD39" t="s">
        <v>59</v>
      </c>
      <c r="AF39" s="1">
        <v>30928</v>
      </c>
      <c r="AG39" t="s">
        <v>125</v>
      </c>
      <c r="AH39" t="s">
        <v>126</v>
      </c>
      <c r="AI39" t="str">
        <f>"1701030"</f>
        <v>1701030</v>
      </c>
      <c r="AJ39" t="s">
        <v>270</v>
      </c>
      <c r="AK39">
        <v>2810361015</v>
      </c>
      <c r="AL39" t="s">
        <v>271</v>
      </c>
      <c r="AM39" t="s">
        <v>78</v>
      </c>
      <c r="AN39" t="s">
        <v>78</v>
      </c>
      <c r="AO39" t="s">
        <v>78</v>
      </c>
      <c r="AP39" t="s">
        <v>163</v>
      </c>
      <c r="AQ39">
        <v>2</v>
      </c>
      <c r="AR39" t="s">
        <v>123</v>
      </c>
      <c r="AS39" t="s">
        <v>124</v>
      </c>
      <c r="AT39" t="s">
        <v>58</v>
      </c>
      <c r="AU39" t="s">
        <v>68</v>
      </c>
      <c r="AV39" t="s">
        <v>69</v>
      </c>
      <c r="AW39" s="1">
        <v>19746</v>
      </c>
      <c r="AX39">
        <v>2</v>
      </c>
    </row>
    <row r="40" spans="1:50">
      <c r="A40">
        <v>194974</v>
      </c>
      <c r="B40" t="str">
        <f>"065798689"</f>
        <v>065798689</v>
      </c>
      <c r="C40" t="s">
        <v>105</v>
      </c>
      <c r="D40" t="s">
        <v>308</v>
      </c>
      <c r="E40" t="s">
        <v>309</v>
      </c>
      <c r="F40" t="s">
        <v>84</v>
      </c>
      <c r="G40" t="s">
        <v>52</v>
      </c>
      <c r="H40" t="str">
        <f>"ΒΑΡΝΗΣ 12 ΗΡΑΚΛΕΙΟ"</f>
        <v>ΒΑΡΝΗΣ 12 ΗΡΑΚΛΕΙΟ</v>
      </c>
      <c r="I40">
        <v>71305</v>
      </c>
      <c r="J40">
        <v>2810312682</v>
      </c>
      <c r="K40">
        <v>6978597809</v>
      </c>
      <c r="M40" t="s">
        <v>310</v>
      </c>
      <c r="N40" t="s">
        <v>157</v>
      </c>
      <c r="O40" t="s">
        <v>158</v>
      </c>
      <c r="R40" t="s">
        <v>57</v>
      </c>
      <c r="S40">
        <v>13</v>
      </c>
      <c r="T40">
        <v>194</v>
      </c>
      <c r="U40" s="1">
        <v>37497</v>
      </c>
      <c r="V40" t="s">
        <v>123</v>
      </c>
      <c r="W40" t="s">
        <v>124</v>
      </c>
      <c r="X40" t="s">
        <v>58</v>
      </c>
      <c r="Y40">
        <v>20</v>
      </c>
      <c r="Z40" t="s">
        <v>59</v>
      </c>
      <c r="AA40" t="s">
        <v>59</v>
      </c>
      <c r="AB40" t="s">
        <v>59</v>
      </c>
      <c r="AC40" t="s">
        <v>59</v>
      </c>
      <c r="AD40" t="s">
        <v>59</v>
      </c>
      <c r="AF40" s="1">
        <v>37501</v>
      </c>
      <c r="AG40" t="s">
        <v>148</v>
      </c>
      <c r="AH40" t="s">
        <v>149</v>
      </c>
      <c r="AI40" t="str">
        <f>"1751040"</f>
        <v>1751040</v>
      </c>
      <c r="AJ40" t="s">
        <v>178</v>
      </c>
      <c r="AK40">
        <v>2810252495</v>
      </c>
      <c r="AL40" t="s">
        <v>179</v>
      </c>
      <c r="AM40" t="s">
        <v>78</v>
      </c>
      <c r="AN40" t="s">
        <v>78</v>
      </c>
      <c r="AO40" t="s">
        <v>78</v>
      </c>
      <c r="AP40" t="s">
        <v>141</v>
      </c>
      <c r="AQ40">
        <v>3</v>
      </c>
      <c r="AR40" t="s">
        <v>123</v>
      </c>
      <c r="AS40" t="s">
        <v>124</v>
      </c>
      <c r="AT40" t="s">
        <v>58</v>
      </c>
      <c r="AU40" t="s">
        <v>68</v>
      </c>
      <c r="AV40" t="s">
        <v>69</v>
      </c>
      <c r="AW40" s="1">
        <v>27324</v>
      </c>
      <c r="AX40">
        <v>2</v>
      </c>
    </row>
    <row r="41" spans="1:50">
      <c r="A41">
        <v>210010</v>
      </c>
      <c r="B41" t="str">
        <f>"114289905"</f>
        <v>114289905</v>
      </c>
      <c r="C41" t="s">
        <v>105</v>
      </c>
      <c r="D41" t="s">
        <v>308</v>
      </c>
      <c r="E41" t="s">
        <v>72</v>
      </c>
      <c r="F41" t="s">
        <v>311</v>
      </c>
      <c r="G41" t="s">
        <v>52</v>
      </c>
      <c r="H41" t="str">
        <f>"ΖΑΧΑΡΙΟΥΔΑΚΗ 16 ΗΡΑΚΛΕΙΟΥ"</f>
        <v>ΖΑΧΑΡΙΟΥΔΑΚΗ 16 ΗΡΑΚΛΕΙΟΥ</v>
      </c>
      <c r="I41">
        <v>71305</v>
      </c>
      <c r="J41">
        <v>2810321655</v>
      </c>
      <c r="K41">
        <v>6947926183</v>
      </c>
      <c r="N41" t="s">
        <v>232</v>
      </c>
      <c r="O41" t="s">
        <v>233</v>
      </c>
      <c r="R41" t="s">
        <v>57</v>
      </c>
      <c r="S41">
        <v>6</v>
      </c>
      <c r="T41">
        <v>228</v>
      </c>
      <c r="U41" s="1">
        <v>38608</v>
      </c>
      <c r="V41" t="s">
        <v>123</v>
      </c>
      <c r="W41" t="s">
        <v>124</v>
      </c>
      <c r="X41" t="s">
        <v>58</v>
      </c>
      <c r="Y41">
        <v>20</v>
      </c>
      <c r="Z41" t="s">
        <v>59</v>
      </c>
      <c r="AA41" t="s">
        <v>59</v>
      </c>
      <c r="AB41" t="s">
        <v>59</v>
      </c>
      <c r="AC41" t="s">
        <v>59</v>
      </c>
      <c r="AD41" t="s">
        <v>59</v>
      </c>
      <c r="AF41" s="1">
        <v>38609</v>
      </c>
      <c r="AG41" t="s">
        <v>148</v>
      </c>
      <c r="AH41" t="s">
        <v>149</v>
      </c>
      <c r="AI41" t="str">
        <f>"1767011"</f>
        <v>1767011</v>
      </c>
      <c r="AJ41" t="s">
        <v>217</v>
      </c>
      <c r="AK41">
        <v>2897021055</v>
      </c>
      <c r="AL41" t="s">
        <v>218</v>
      </c>
      <c r="AM41" t="s">
        <v>78</v>
      </c>
      <c r="AN41" t="s">
        <v>219</v>
      </c>
      <c r="AO41" t="s">
        <v>219</v>
      </c>
      <c r="AP41" t="s">
        <v>220</v>
      </c>
      <c r="AQ41">
        <v>20</v>
      </c>
      <c r="AR41" t="s">
        <v>123</v>
      </c>
      <c r="AS41" t="s">
        <v>124</v>
      </c>
      <c r="AT41" t="s">
        <v>58</v>
      </c>
      <c r="AU41" t="s">
        <v>68</v>
      </c>
      <c r="AV41" t="s">
        <v>69</v>
      </c>
      <c r="AW41" s="1">
        <v>24523</v>
      </c>
      <c r="AX41">
        <v>2</v>
      </c>
    </row>
    <row r="42" spans="1:50">
      <c r="A42">
        <v>209819</v>
      </c>
      <c r="B42" t="str">
        <f>"076563925"</f>
        <v>076563925</v>
      </c>
      <c r="C42" t="s">
        <v>105</v>
      </c>
      <c r="D42" t="s">
        <v>308</v>
      </c>
      <c r="E42" t="s">
        <v>72</v>
      </c>
      <c r="F42" t="s">
        <v>53</v>
      </c>
      <c r="G42" t="s">
        <v>255</v>
      </c>
      <c r="H42" t="str">
        <f>"ΛΙΝΟΠΕΡΑΜΑΤΑ ΓΑΖΙ"</f>
        <v>ΛΙΝΟΠΕΡΑΜΑΤΑ ΓΑΖΙ</v>
      </c>
      <c r="I42">
        <v>71414</v>
      </c>
      <c r="K42">
        <v>6948532890</v>
      </c>
      <c r="M42" t="s">
        <v>312</v>
      </c>
      <c r="N42" t="s">
        <v>292</v>
      </c>
      <c r="O42" t="s">
        <v>293</v>
      </c>
      <c r="R42" t="s">
        <v>57</v>
      </c>
      <c r="S42">
        <v>6</v>
      </c>
      <c r="T42">
        <v>225</v>
      </c>
      <c r="U42" s="1">
        <v>38604</v>
      </c>
      <c r="V42" t="s">
        <v>123</v>
      </c>
      <c r="W42" t="s">
        <v>124</v>
      </c>
      <c r="X42" t="s">
        <v>58</v>
      </c>
      <c r="Y42">
        <v>20</v>
      </c>
      <c r="Z42" t="s">
        <v>59</v>
      </c>
      <c r="AA42" t="s">
        <v>59</v>
      </c>
      <c r="AB42" t="s">
        <v>59</v>
      </c>
      <c r="AC42" t="s">
        <v>59</v>
      </c>
      <c r="AD42" t="s">
        <v>59</v>
      </c>
      <c r="AF42" s="1">
        <v>38607</v>
      </c>
      <c r="AG42" t="s">
        <v>148</v>
      </c>
      <c r="AH42" t="s">
        <v>149</v>
      </c>
      <c r="AI42" t="str">
        <f>"1751051"</f>
        <v>1751051</v>
      </c>
      <c r="AJ42" t="s">
        <v>259</v>
      </c>
      <c r="AK42">
        <v>2810251794</v>
      </c>
      <c r="AL42" t="s">
        <v>260</v>
      </c>
      <c r="AM42" t="s">
        <v>78</v>
      </c>
      <c r="AN42" t="s">
        <v>78</v>
      </c>
      <c r="AO42" t="s">
        <v>78</v>
      </c>
      <c r="AP42" t="s">
        <v>141</v>
      </c>
      <c r="AQ42">
        <v>7</v>
      </c>
      <c r="AR42" t="s">
        <v>123</v>
      </c>
      <c r="AS42" t="s">
        <v>124</v>
      </c>
      <c r="AT42" t="s">
        <v>58</v>
      </c>
      <c r="AU42" t="s">
        <v>68</v>
      </c>
      <c r="AV42" t="s">
        <v>69</v>
      </c>
      <c r="AW42" s="1">
        <v>26261</v>
      </c>
      <c r="AX42">
        <v>2</v>
      </c>
    </row>
    <row r="43" spans="1:50">
      <c r="A43">
        <v>192841</v>
      </c>
      <c r="B43" t="str">
        <f>"102692594"</f>
        <v>102692594</v>
      </c>
      <c r="C43" t="s">
        <v>50</v>
      </c>
      <c r="D43" t="s">
        <v>313</v>
      </c>
      <c r="E43" t="s">
        <v>314</v>
      </c>
      <c r="F43" t="s">
        <v>315</v>
      </c>
      <c r="G43" t="s">
        <v>316</v>
      </c>
      <c r="H43" t="str">
        <f>"Γιούχτα Βασιλειές"</f>
        <v>Γιούχτα Βασιλειές</v>
      </c>
      <c r="I43">
        <v>71500</v>
      </c>
      <c r="J43">
        <v>2221043023</v>
      </c>
      <c r="K43">
        <v>6976406221</v>
      </c>
      <c r="L43">
        <v>2810311063</v>
      </c>
      <c r="M43" t="s">
        <v>317</v>
      </c>
      <c r="N43" t="s">
        <v>146</v>
      </c>
      <c r="O43" t="s">
        <v>147</v>
      </c>
      <c r="R43" t="s">
        <v>57</v>
      </c>
      <c r="S43">
        <v>7</v>
      </c>
      <c r="T43">
        <v>193</v>
      </c>
      <c r="U43" s="1">
        <v>37497</v>
      </c>
      <c r="V43" t="s">
        <v>123</v>
      </c>
      <c r="W43" t="s">
        <v>124</v>
      </c>
      <c r="X43" t="s">
        <v>58</v>
      </c>
      <c r="Y43">
        <v>20</v>
      </c>
      <c r="Z43" t="s">
        <v>59</v>
      </c>
      <c r="AA43" t="s">
        <v>59</v>
      </c>
      <c r="AB43" t="s">
        <v>59</v>
      </c>
      <c r="AC43" t="s">
        <v>59</v>
      </c>
      <c r="AD43" t="s">
        <v>59</v>
      </c>
      <c r="AF43" s="1">
        <v>37501</v>
      </c>
      <c r="AG43" t="s">
        <v>125</v>
      </c>
      <c r="AH43" t="s">
        <v>126</v>
      </c>
      <c r="AI43" t="str">
        <f>"1701054"</f>
        <v>1701054</v>
      </c>
      <c r="AJ43" t="s">
        <v>318</v>
      </c>
      <c r="AK43">
        <v>2810252418</v>
      </c>
      <c r="AL43" t="s">
        <v>319</v>
      </c>
      <c r="AM43" t="s">
        <v>78</v>
      </c>
      <c r="AN43" t="s">
        <v>78</v>
      </c>
      <c r="AO43" t="s">
        <v>78</v>
      </c>
      <c r="AP43" t="s">
        <v>141</v>
      </c>
      <c r="AQ43">
        <v>7</v>
      </c>
      <c r="AR43" t="s">
        <v>123</v>
      </c>
      <c r="AS43" t="s">
        <v>124</v>
      </c>
      <c r="AT43" t="s">
        <v>58</v>
      </c>
      <c r="AU43" t="s">
        <v>68</v>
      </c>
      <c r="AV43" t="s">
        <v>69</v>
      </c>
      <c r="AW43" s="1">
        <v>28261</v>
      </c>
      <c r="AX43">
        <v>2</v>
      </c>
    </row>
    <row r="44" spans="1:50">
      <c r="A44">
        <v>700187</v>
      </c>
      <c r="B44" t="str">
        <f>"103516873"</f>
        <v>103516873</v>
      </c>
      <c r="C44" t="s">
        <v>50</v>
      </c>
      <c r="D44" t="s">
        <v>320</v>
      </c>
      <c r="E44" t="s">
        <v>316</v>
      </c>
      <c r="F44" t="s">
        <v>321</v>
      </c>
      <c r="G44" t="s">
        <v>237</v>
      </c>
      <c r="H44" t="str">
        <f>"ΕΥΒΟΙΑΣ 9 ΒΑΣΙΛΕΙΕΣ ΗΡΑΚΛΕΙΟΥ"</f>
        <v>ΕΥΒΟΙΑΣ 9 ΒΑΣΙΛΕΙΕΣ ΗΡΑΚΛΕΙΟΥ</v>
      </c>
      <c r="I44">
        <v>71500</v>
      </c>
      <c r="J44">
        <v>2810214244</v>
      </c>
      <c r="K44">
        <v>6945286862</v>
      </c>
      <c r="M44" t="s">
        <v>322</v>
      </c>
      <c r="N44" t="s">
        <v>146</v>
      </c>
      <c r="O44" t="s">
        <v>147</v>
      </c>
      <c r="R44" t="s">
        <v>57</v>
      </c>
      <c r="S44">
        <v>5</v>
      </c>
      <c r="T44">
        <v>772</v>
      </c>
      <c r="U44" s="1">
        <v>40413</v>
      </c>
      <c r="V44" t="s">
        <v>123</v>
      </c>
      <c r="W44" t="s">
        <v>124</v>
      </c>
      <c r="X44" t="s">
        <v>58</v>
      </c>
      <c r="Y44">
        <v>21</v>
      </c>
      <c r="Z44" t="s">
        <v>59</v>
      </c>
      <c r="AA44" t="s">
        <v>59</v>
      </c>
      <c r="AB44" t="s">
        <v>59</v>
      </c>
      <c r="AC44" t="s">
        <v>59</v>
      </c>
      <c r="AD44" t="s">
        <v>59</v>
      </c>
      <c r="AF44" s="1">
        <v>40413</v>
      </c>
      <c r="AG44" t="s">
        <v>125</v>
      </c>
      <c r="AH44" t="s">
        <v>126</v>
      </c>
      <c r="AI44" t="str">
        <f>"1701020"</f>
        <v>1701020</v>
      </c>
      <c r="AJ44" t="s">
        <v>323</v>
      </c>
      <c r="AK44">
        <v>2810252111</v>
      </c>
      <c r="AL44" t="s">
        <v>324</v>
      </c>
      <c r="AM44" t="s">
        <v>78</v>
      </c>
      <c r="AN44" t="s">
        <v>78</v>
      </c>
      <c r="AO44" t="s">
        <v>78</v>
      </c>
      <c r="AP44" t="s">
        <v>163</v>
      </c>
      <c r="AQ44">
        <v>3</v>
      </c>
      <c r="AR44" t="s">
        <v>123</v>
      </c>
      <c r="AS44" t="s">
        <v>124</v>
      </c>
      <c r="AT44" t="s">
        <v>58</v>
      </c>
      <c r="AU44" t="s">
        <v>68</v>
      </c>
      <c r="AV44" t="s">
        <v>69</v>
      </c>
      <c r="AW44" s="1">
        <v>25207</v>
      </c>
      <c r="AX44">
        <v>2</v>
      </c>
    </row>
    <row r="45" spans="1:50">
      <c r="A45">
        <v>213008</v>
      </c>
      <c r="B45" t="str">
        <f>"114587576"</f>
        <v>114587576</v>
      </c>
      <c r="C45" t="s">
        <v>50</v>
      </c>
      <c r="D45" t="s">
        <v>320</v>
      </c>
      <c r="E45" t="s">
        <v>325</v>
      </c>
      <c r="F45" t="s">
        <v>309</v>
      </c>
      <c r="G45" t="s">
        <v>326</v>
      </c>
      <c r="H45" t="str">
        <f>"ΑΝΤΩΝΙΟΥ ΚΑΣΤΡΙΝΑΚΗ 22 ΗΡΑΚΛΕΙΟ"</f>
        <v>ΑΝΤΩΝΙΟΥ ΚΑΣΤΡΙΝΑΚΗ 22 ΗΡΑΚΛΕΙΟ</v>
      </c>
      <c r="I45">
        <v>71305</v>
      </c>
      <c r="J45">
        <v>2810213073</v>
      </c>
      <c r="K45">
        <v>6984403311</v>
      </c>
      <c r="M45" t="s">
        <v>327</v>
      </c>
      <c r="N45" t="s">
        <v>232</v>
      </c>
      <c r="O45" t="s">
        <v>233</v>
      </c>
      <c r="R45" t="s">
        <v>57</v>
      </c>
      <c r="S45">
        <v>7</v>
      </c>
      <c r="T45">
        <v>231</v>
      </c>
      <c r="U45" s="1">
        <v>38960</v>
      </c>
      <c r="V45" t="s">
        <v>123</v>
      </c>
      <c r="W45" t="s">
        <v>124</v>
      </c>
      <c r="X45" t="s">
        <v>58</v>
      </c>
      <c r="Y45">
        <v>20</v>
      </c>
      <c r="Z45" t="s">
        <v>59</v>
      </c>
      <c r="AA45" t="s">
        <v>59</v>
      </c>
      <c r="AB45" t="s">
        <v>59</v>
      </c>
      <c r="AC45" t="s">
        <v>59</v>
      </c>
      <c r="AD45" t="s">
        <v>59</v>
      </c>
      <c r="AF45" s="1">
        <v>38961</v>
      </c>
      <c r="AG45" t="s">
        <v>148</v>
      </c>
      <c r="AH45" t="s">
        <v>149</v>
      </c>
      <c r="AI45" t="str">
        <f>"1751052"</f>
        <v>1751052</v>
      </c>
      <c r="AJ45" t="s">
        <v>328</v>
      </c>
      <c r="AK45">
        <v>2810213762</v>
      </c>
      <c r="AL45" t="s">
        <v>329</v>
      </c>
      <c r="AM45" t="s">
        <v>78</v>
      </c>
      <c r="AN45" t="s">
        <v>78</v>
      </c>
      <c r="AO45" t="s">
        <v>78</v>
      </c>
      <c r="AP45" t="s">
        <v>163</v>
      </c>
      <c r="AQ45">
        <v>8</v>
      </c>
      <c r="AR45" t="s">
        <v>123</v>
      </c>
      <c r="AS45" t="s">
        <v>124</v>
      </c>
      <c r="AT45" t="s">
        <v>58</v>
      </c>
      <c r="AU45" t="s">
        <v>68</v>
      </c>
      <c r="AV45" t="s">
        <v>69</v>
      </c>
      <c r="AW45" s="1">
        <v>23934</v>
      </c>
      <c r="AX45">
        <v>2</v>
      </c>
    </row>
    <row r="46" spans="1:50">
      <c r="A46">
        <v>166806</v>
      </c>
      <c r="B46" t="str">
        <f>"065195798"</f>
        <v>065195798</v>
      </c>
      <c r="C46" t="s">
        <v>50</v>
      </c>
      <c r="D46" t="s">
        <v>320</v>
      </c>
      <c r="E46" t="s">
        <v>52</v>
      </c>
      <c r="F46" t="s">
        <v>202</v>
      </c>
      <c r="G46" t="s">
        <v>330</v>
      </c>
      <c r="H46" t="str">
        <f>" "</f>
        <v xml:space="preserve"> </v>
      </c>
      <c r="N46" t="s">
        <v>331</v>
      </c>
      <c r="O46" t="s">
        <v>332</v>
      </c>
      <c r="R46" t="s">
        <v>57</v>
      </c>
      <c r="S46">
        <v>13</v>
      </c>
      <c r="T46">
        <v>137</v>
      </c>
      <c r="U46" s="1">
        <v>34206</v>
      </c>
      <c r="V46" t="s">
        <v>123</v>
      </c>
      <c r="W46" t="s">
        <v>124</v>
      </c>
      <c r="X46" t="s">
        <v>58</v>
      </c>
      <c r="Y46">
        <v>18</v>
      </c>
      <c r="Z46" t="s">
        <v>59</v>
      </c>
      <c r="AA46" t="s">
        <v>59</v>
      </c>
      <c r="AB46" t="s">
        <v>59</v>
      </c>
      <c r="AC46" t="s">
        <v>59</v>
      </c>
      <c r="AD46" t="s">
        <v>59</v>
      </c>
      <c r="AF46" s="1">
        <v>34214</v>
      </c>
      <c r="AG46" t="s">
        <v>137</v>
      </c>
      <c r="AH46" t="s">
        <v>138</v>
      </c>
      <c r="AI46" t="str">
        <f>"1750080"</f>
        <v>1750080</v>
      </c>
      <c r="AJ46" t="s">
        <v>170</v>
      </c>
      <c r="AK46">
        <v>2810234444</v>
      </c>
      <c r="AL46" t="s">
        <v>171</v>
      </c>
      <c r="AM46" t="s">
        <v>78</v>
      </c>
      <c r="AN46" t="s">
        <v>78</v>
      </c>
      <c r="AO46" t="s">
        <v>78</v>
      </c>
      <c r="AP46" t="s">
        <v>163</v>
      </c>
      <c r="AQ46">
        <v>9</v>
      </c>
      <c r="AR46" t="s">
        <v>123</v>
      </c>
      <c r="AS46" t="s">
        <v>124</v>
      </c>
      <c r="AT46" t="s">
        <v>58</v>
      </c>
      <c r="AU46" t="s">
        <v>68</v>
      </c>
      <c r="AV46" t="s">
        <v>69</v>
      </c>
      <c r="AW46" s="1">
        <v>23102</v>
      </c>
      <c r="AX46">
        <v>2</v>
      </c>
    </row>
    <row r="47" spans="1:50">
      <c r="A47">
        <v>217203</v>
      </c>
      <c r="B47" t="str">
        <f>"043339578"</f>
        <v>043339578</v>
      </c>
      <c r="C47" t="s">
        <v>50</v>
      </c>
      <c r="D47" t="s">
        <v>333</v>
      </c>
      <c r="E47" t="s">
        <v>334</v>
      </c>
      <c r="F47" t="s">
        <v>309</v>
      </c>
      <c r="G47" t="s">
        <v>335</v>
      </c>
      <c r="H47" t="str">
        <f>"ΧΑΝΔΑΚΟΣ 63 ΚΑΤΩ ΓΟΥΒΕΣ"</f>
        <v>ΧΑΝΔΑΚΟΣ 63 ΚΑΤΩ ΓΟΥΒΕΣ</v>
      </c>
      <c r="I47">
        <v>71202</v>
      </c>
      <c r="J47">
        <v>2897042653</v>
      </c>
      <c r="K47">
        <v>6981806367</v>
      </c>
      <c r="L47">
        <v>6973392497</v>
      </c>
      <c r="M47" t="s">
        <v>336</v>
      </c>
      <c r="N47" t="s">
        <v>337</v>
      </c>
      <c r="O47" t="s">
        <v>338</v>
      </c>
      <c r="R47" t="s">
        <v>57</v>
      </c>
      <c r="S47">
        <v>6</v>
      </c>
      <c r="T47">
        <v>254</v>
      </c>
      <c r="U47" s="1">
        <v>38973</v>
      </c>
      <c r="V47" t="s">
        <v>123</v>
      </c>
      <c r="W47" t="s">
        <v>124</v>
      </c>
      <c r="X47" t="s">
        <v>58</v>
      </c>
      <c r="Y47">
        <v>20</v>
      </c>
      <c r="Z47" t="s">
        <v>59</v>
      </c>
      <c r="AA47" t="s">
        <v>59</v>
      </c>
      <c r="AB47" t="s">
        <v>59</v>
      </c>
      <c r="AC47" t="s">
        <v>59</v>
      </c>
      <c r="AD47" t="s">
        <v>59</v>
      </c>
      <c r="AF47" s="1">
        <v>38975</v>
      </c>
      <c r="AG47" t="s">
        <v>125</v>
      </c>
      <c r="AH47" t="s">
        <v>126</v>
      </c>
      <c r="AI47" t="str">
        <f>"1701041"</f>
        <v>1701041</v>
      </c>
      <c r="AJ47" t="s">
        <v>161</v>
      </c>
      <c r="AK47">
        <v>2810327052</v>
      </c>
      <c r="AL47" t="s">
        <v>162</v>
      </c>
      <c r="AM47" t="s">
        <v>78</v>
      </c>
      <c r="AN47" t="s">
        <v>78</v>
      </c>
      <c r="AO47" t="s">
        <v>78</v>
      </c>
      <c r="AP47" t="s">
        <v>163</v>
      </c>
      <c r="AQ47">
        <v>5</v>
      </c>
      <c r="AR47" t="s">
        <v>123</v>
      </c>
      <c r="AS47" t="s">
        <v>124</v>
      </c>
      <c r="AT47" t="s">
        <v>58</v>
      </c>
      <c r="AU47" t="s">
        <v>68</v>
      </c>
      <c r="AV47" t="s">
        <v>69</v>
      </c>
      <c r="AW47" s="1">
        <v>24896</v>
      </c>
      <c r="AX47">
        <v>2</v>
      </c>
    </row>
    <row r="48" spans="1:50">
      <c r="B48" t="str">
        <f>"064556224"</f>
        <v>064556224</v>
      </c>
      <c r="C48" t="s">
        <v>50</v>
      </c>
      <c r="D48" t="s">
        <v>339</v>
      </c>
      <c r="E48" t="s">
        <v>340</v>
      </c>
      <c r="F48" t="s">
        <v>72</v>
      </c>
      <c r="G48" t="s">
        <v>341</v>
      </c>
      <c r="H48" t="str">
        <f>"ΑΕΡΟΠΗΣ 5 ΛΙΝΤΟ ΗΡΑΚΛΕΙΟ ΚΡΗΤΗΣ"</f>
        <v>ΑΕΡΟΠΗΣ 5 ΛΙΝΤΟ ΗΡΑΚΛΕΙΟ ΚΡΗΤΗΣ</v>
      </c>
      <c r="I48">
        <v>71303</v>
      </c>
      <c r="J48">
        <v>2810257358</v>
      </c>
      <c r="K48">
        <v>6944709381</v>
      </c>
      <c r="N48" t="s">
        <v>342</v>
      </c>
      <c r="O48" t="s">
        <v>343</v>
      </c>
      <c r="R48" t="s">
        <v>57</v>
      </c>
      <c r="S48">
        <v>7</v>
      </c>
      <c r="T48" t="s">
        <v>344</v>
      </c>
      <c r="U48" s="1">
        <v>43348</v>
      </c>
      <c r="V48" t="s">
        <v>123</v>
      </c>
      <c r="W48" t="s">
        <v>124</v>
      </c>
      <c r="X48" t="s">
        <v>58</v>
      </c>
      <c r="Y48">
        <v>21</v>
      </c>
      <c r="Z48" t="s">
        <v>59</v>
      </c>
      <c r="AA48" t="s">
        <v>59</v>
      </c>
      <c r="AB48" t="s">
        <v>59</v>
      </c>
      <c r="AC48" t="s">
        <v>59</v>
      </c>
      <c r="AD48" t="s">
        <v>59</v>
      </c>
      <c r="AF48" s="1">
        <v>43348</v>
      </c>
      <c r="AG48" t="s">
        <v>345</v>
      </c>
      <c r="AH48" t="s">
        <v>346</v>
      </c>
      <c r="AI48" t="str">
        <f>"1759011"</f>
        <v>1759011</v>
      </c>
      <c r="AJ48" t="s">
        <v>347</v>
      </c>
      <c r="AK48">
        <v>2892051103</v>
      </c>
      <c r="AL48" t="s">
        <v>348</v>
      </c>
      <c r="AM48" t="s">
        <v>78</v>
      </c>
      <c r="AN48" t="s">
        <v>242</v>
      </c>
      <c r="AO48" t="s">
        <v>349</v>
      </c>
      <c r="AP48" t="s">
        <v>349</v>
      </c>
      <c r="AQ48">
        <v>38</v>
      </c>
      <c r="AR48" t="s">
        <v>123</v>
      </c>
      <c r="AS48" t="s">
        <v>124</v>
      </c>
      <c r="AT48" t="s">
        <v>58</v>
      </c>
      <c r="AU48" t="s">
        <v>350</v>
      </c>
      <c r="AV48" t="s">
        <v>132</v>
      </c>
      <c r="AW48" s="1">
        <v>24031</v>
      </c>
      <c r="AX48">
        <v>2</v>
      </c>
    </row>
    <row r="49" spans="1:50">
      <c r="A49">
        <v>153813</v>
      </c>
      <c r="B49" t="str">
        <f>"114583215"</f>
        <v>114583215</v>
      </c>
      <c r="C49" t="s">
        <v>50</v>
      </c>
      <c r="D49" t="s">
        <v>351</v>
      </c>
      <c r="E49" t="s">
        <v>52</v>
      </c>
      <c r="F49" t="s">
        <v>99</v>
      </c>
      <c r="G49" t="s">
        <v>352</v>
      </c>
      <c r="H49" t="str">
        <f>"ΙΣΟΤΗΤΑΣ 19 ΗΡΑΚΛΕΙΟ"</f>
        <v>ΙΣΟΤΗΤΑΣ 19 ΗΡΑΚΛΕΙΟ</v>
      </c>
      <c r="I49">
        <v>71306</v>
      </c>
      <c r="J49">
        <v>2810214134</v>
      </c>
      <c r="K49">
        <v>6976060229</v>
      </c>
      <c r="N49" t="s">
        <v>146</v>
      </c>
      <c r="O49" t="s">
        <v>147</v>
      </c>
      <c r="R49" t="s">
        <v>57</v>
      </c>
      <c r="S49">
        <v>14</v>
      </c>
      <c r="T49">
        <v>161</v>
      </c>
      <c r="U49" s="1">
        <v>32387</v>
      </c>
      <c r="V49" t="s">
        <v>123</v>
      </c>
      <c r="W49" t="s">
        <v>124</v>
      </c>
      <c r="X49" t="s">
        <v>58</v>
      </c>
      <c r="Y49">
        <v>18</v>
      </c>
      <c r="Z49" t="s">
        <v>59</v>
      </c>
      <c r="AA49" t="s">
        <v>59</v>
      </c>
      <c r="AB49" t="s">
        <v>59</v>
      </c>
      <c r="AC49" t="s">
        <v>59</v>
      </c>
      <c r="AD49" t="s">
        <v>59</v>
      </c>
      <c r="AF49" s="1">
        <v>32391</v>
      </c>
      <c r="AG49" t="s">
        <v>148</v>
      </c>
      <c r="AH49" t="s">
        <v>149</v>
      </c>
      <c r="AI49" t="str">
        <f>"1751041"</f>
        <v>1751041</v>
      </c>
      <c r="AJ49" t="s">
        <v>353</v>
      </c>
      <c r="AK49">
        <v>2810230207</v>
      </c>
      <c r="AL49" t="s">
        <v>354</v>
      </c>
      <c r="AM49" t="s">
        <v>78</v>
      </c>
      <c r="AN49" t="s">
        <v>78</v>
      </c>
      <c r="AO49" t="s">
        <v>78</v>
      </c>
      <c r="AP49" t="s">
        <v>163</v>
      </c>
      <c r="AQ49">
        <v>2</v>
      </c>
      <c r="AR49" t="s">
        <v>123</v>
      </c>
      <c r="AS49" t="s">
        <v>124</v>
      </c>
      <c r="AT49" t="s">
        <v>58</v>
      </c>
      <c r="AU49" t="s">
        <v>68</v>
      </c>
      <c r="AV49" t="s">
        <v>69</v>
      </c>
      <c r="AW49" s="1">
        <v>22328</v>
      </c>
      <c r="AX49">
        <v>2</v>
      </c>
    </row>
    <row r="50" spans="1:50">
      <c r="A50">
        <v>214433</v>
      </c>
      <c r="B50" t="str">
        <f>"103831652"</f>
        <v>103831652</v>
      </c>
      <c r="C50" t="s">
        <v>105</v>
      </c>
      <c r="D50" t="s">
        <v>355</v>
      </c>
      <c r="E50" t="s">
        <v>53</v>
      </c>
      <c r="F50" t="s">
        <v>95</v>
      </c>
      <c r="G50" t="s">
        <v>52</v>
      </c>
      <c r="H50" t="str">
        <f>" "</f>
        <v xml:space="preserve"> </v>
      </c>
      <c r="J50">
        <v>2810324155</v>
      </c>
      <c r="K50">
        <v>6947530547</v>
      </c>
      <c r="M50" t="s">
        <v>356</v>
      </c>
      <c r="N50" t="s">
        <v>176</v>
      </c>
      <c r="O50" t="s">
        <v>177</v>
      </c>
      <c r="R50" t="s">
        <v>57</v>
      </c>
      <c r="S50">
        <v>5</v>
      </c>
      <c r="T50">
        <v>231</v>
      </c>
      <c r="U50" s="1">
        <v>38960</v>
      </c>
      <c r="V50" t="s">
        <v>123</v>
      </c>
      <c r="W50" t="s">
        <v>124</v>
      </c>
      <c r="X50" t="s">
        <v>58</v>
      </c>
      <c r="Y50">
        <v>21</v>
      </c>
      <c r="Z50" t="s">
        <v>59</v>
      </c>
      <c r="AA50" t="s">
        <v>59</v>
      </c>
      <c r="AB50" t="s">
        <v>59</v>
      </c>
      <c r="AC50" t="s">
        <v>59</v>
      </c>
      <c r="AD50" t="s">
        <v>59</v>
      </c>
      <c r="AF50" s="1">
        <v>38961</v>
      </c>
      <c r="AG50" t="s">
        <v>148</v>
      </c>
      <c r="AH50" t="s">
        <v>149</v>
      </c>
      <c r="AI50" t="str">
        <f>"1751041"</f>
        <v>1751041</v>
      </c>
      <c r="AJ50" t="s">
        <v>353</v>
      </c>
      <c r="AK50">
        <v>2810230207</v>
      </c>
      <c r="AL50" t="s">
        <v>354</v>
      </c>
      <c r="AM50" t="s">
        <v>78</v>
      </c>
      <c r="AN50" t="s">
        <v>78</v>
      </c>
      <c r="AO50" t="s">
        <v>78</v>
      </c>
      <c r="AP50" t="s">
        <v>163</v>
      </c>
      <c r="AQ50">
        <v>2</v>
      </c>
      <c r="AR50" t="s">
        <v>123</v>
      </c>
      <c r="AS50" t="s">
        <v>124</v>
      </c>
      <c r="AT50" t="s">
        <v>58</v>
      </c>
      <c r="AU50" t="s">
        <v>68</v>
      </c>
      <c r="AV50" t="s">
        <v>357</v>
      </c>
      <c r="AW50" s="1">
        <v>29355</v>
      </c>
      <c r="AX50">
        <v>2</v>
      </c>
    </row>
    <row r="51" spans="1:50">
      <c r="A51">
        <v>174807</v>
      </c>
      <c r="B51" t="str">
        <f>"072734788"</f>
        <v>072734788</v>
      </c>
      <c r="C51" t="s">
        <v>105</v>
      </c>
      <c r="D51" t="s">
        <v>355</v>
      </c>
      <c r="E51" t="s">
        <v>53</v>
      </c>
      <c r="F51" t="s">
        <v>106</v>
      </c>
      <c r="G51" t="s">
        <v>215</v>
      </c>
      <c r="H51" t="str">
        <f>" "</f>
        <v xml:space="preserve"> </v>
      </c>
      <c r="J51">
        <v>2810263698</v>
      </c>
      <c r="K51">
        <v>6944144233</v>
      </c>
      <c r="M51" t="s">
        <v>358</v>
      </c>
      <c r="N51" t="s">
        <v>204</v>
      </c>
      <c r="O51" t="s">
        <v>205</v>
      </c>
      <c r="P51" t="s">
        <v>232</v>
      </c>
      <c r="Q51" t="s">
        <v>233</v>
      </c>
      <c r="R51" t="s">
        <v>57</v>
      </c>
      <c r="S51">
        <v>11</v>
      </c>
      <c r="T51">
        <v>166</v>
      </c>
      <c r="U51" s="1">
        <v>35300</v>
      </c>
      <c r="V51" t="s">
        <v>123</v>
      </c>
      <c r="W51" t="s">
        <v>124</v>
      </c>
      <c r="X51" t="s">
        <v>58</v>
      </c>
      <c r="Y51">
        <v>18</v>
      </c>
      <c r="Z51" t="s">
        <v>59</v>
      </c>
      <c r="AA51" t="s">
        <v>59</v>
      </c>
      <c r="AB51" t="s">
        <v>59</v>
      </c>
      <c r="AC51" t="s">
        <v>59</v>
      </c>
      <c r="AD51" t="s">
        <v>59</v>
      </c>
      <c r="AF51" s="1">
        <v>35311</v>
      </c>
      <c r="AG51" t="s">
        <v>125</v>
      </c>
      <c r="AH51" t="s">
        <v>359</v>
      </c>
      <c r="AI51" t="str">
        <f>"1701060"</f>
        <v>1701060</v>
      </c>
      <c r="AJ51" t="s">
        <v>360</v>
      </c>
      <c r="AK51">
        <v>2810223424</v>
      </c>
      <c r="AL51" t="s">
        <v>361</v>
      </c>
      <c r="AM51" t="s">
        <v>78</v>
      </c>
      <c r="AN51" t="s">
        <v>78</v>
      </c>
      <c r="AO51" t="s">
        <v>78</v>
      </c>
      <c r="AP51" t="s">
        <v>79</v>
      </c>
      <c r="AQ51">
        <v>1</v>
      </c>
      <c r="AR51" t="s">
        <v>123</v>
      </c>
      <c r="AS51" t="s">
        <v>124</v>
      </c>
      <c r="AT51" t="s">
        <v>58</v>
      </c>
      <c r="AU51" t="s">
        <v>68</v>
      </c>
      <c r="AV51" t="s">
        <v>69</v>
      </c>
      <c r="AW51" s="1">
        <v>25810</v>
      </c>
      <c r="AX51">
        <v>2</v>
      </c>
    </row>
    <row r="52" spans="1:50">
      <c r="A52">
        <v>226086</v>
      </c>
      <c r="B52" t="str">
        <f>"125285997"</f>
        <v>125285997</v>
      </c>
      <c r="C52" t="s">
        <v>50</v>
      </c>
      <c r="D52" t="s">
        <v>362</v>
      </c>
      <c r="E52" t="s">
        <v>52</v>
      </c>
      <c r="F52" t="s">
        <v>108</v>
      </c>
      <c r="G52" t="s">
        <v>363</v>
      </c>
      <c r="H52" t="str">
        <f>"Θ. ΚΟΛΟΚΟΤΡΩΝΗ 24Α  Ν. ΑΛΙΚΑΡΝΑΣΣΟΣ"</f>
        <v>Θ. ΚΟΛΟΚΟΤΡΩΝΗ 24Α  Ν. ΑΛΙΚΑΡΝΑΣΣΟΣ</v>
      </c>
      <c r="I52">
        <v>71601</v>
      </c>
      <c r="J52">
        <v>2815005018</v>
      </c>
      <c r="K52">
        <v>6977925462</v>
      </c>
      <c r="L52">
        <v>2810761696</v>
      </c>
      <c r="M52" t="s">
        <v>364</v>
      </c>
      <c r="N52" t="s">
        <v>337</v>
      </c>
      <c r="O52" t="s">
        <v>338</v>
      </c>
      <c r="R52" t="s">
        <v>57</v>
      </c>
      <c r="S52">
        <v>6</v>
      </c>
      <c r="T52">
        <v>652</v>
      </c>
      <c r="U52" s="1">
        <v>40043</v>
      </c>
      <c r="V52" t="s">
        <v>123</v>
      </c>
      <c r="W52" t="s">
        <v>124</v>
      </c>
      <c r="X52" t="s">
        <v>58</v>
      </c>
      <c r="Y52">
        <v>20</v>
      </c>
      <c r="Z52" t="s">
        <v>59</v>
      </c>
      <c r="AA52" t="s">
        <v>59</v>
      </c>
      <c r="AB52" t="s">
        <v>59</v>
      </c>
      <c r="AC52" t="s">
        <v>59</v>
      </c>
      <c r="AD52" t="s">
        <v>59</v>
      </c>
      <c r="AF52" s="1">
        <v>40044</v>
      </c>
      <c r="AG52" t="s">
        <v>125</v>
      </c>
      <c r="AH52" t="s">
        <v>294</v>
      </c>
      <c r="AI52" t="str">
        <f>"1701015"</f>
        <v>1701015</v>
      </c>
      <c r="AJ52" t="s">
        <v>295</v>
      </c>
      <c r="AK52">
        <v>2810761696</v>
      </c>
      <c r="AL52" t="s">
        <v>296</v>
      </c>
      <c r="AM52" t="s">
        <v>78</v>
      </c>
      <c r="AN52" t="s">
        <v>219</v>
      </c>
      <c r="AO52" t="s">
        <v>297</v>
      </c>
      <c r="AP52" t="s">
        <v>297</v>
      </c>
      <c r="AQ52">
        <v>10</v>
      </c>
      <c r="AR52" t="s">
        <v>123</v>
      </c>
      <c r="AS52" t="s">
        <v>124</v>
      </c>
      <c r="AT52" t="s">
        <v>58</v>
      </c>
      <c r="AU52" t="s">
        <v>68</v>
      </c>
      <c r="AV52" t="s">
        <v>69</v>
      </c>
      <c r="AW52" s="1">
        <v>29943</v>
      </c>
      <c r="AX52">
        <v>2</v>
      </c>
    </row>
    <row r="53" spans="1:50">
      <c r="A53">
        <v>216456</v>
      </c>
      <c r="B53" t="str">
        <f>"054170817"</f>
        <v>054170817</v>
      </c>
      <c r="C53" t="s">
        <v>50</v>
      </c>
      <c r="D53" t="s">
        <v>365</v>
      </c>
      <c r="E53" t="s">
        <v>366</v>
      </c>
      <c r="F53" t="s">
        <v>95</v>
      </c>
      <c r="G53" t="s">
        <v>367</v>
      </c>
      <c r="H53" t="str">
        <f>"ΤΥΜΠΑΚΙ "</f>
        <v xml:space="preserve">ΤΥΜΠΑΚΙ </v>
      </c>
      <c r="I53">
        <v>70200</v>
      </c>
      <c r="J53">
        <v>2892053015</v>
      </c>
      <c r="K53">
        <v>6936550288</v>
      </c>
      <c r="M53" t="s">
        <v>368</v>
      </c>
      <c r="N53" t="s">
        <v>257</v>
      </c>
      <c r="O53" t="s">
        <v>258</v>
      </c>
      <c r="R53" t="s">
        <v>57</v>
      </c>
      <c r="S53">
        <v>5</v>
      </c>
      <c r="T53">
        <v>236</v>
      </c>
      <c r="U53" s="1">
        <v>38961</v>
      </c>
      <c r="V53" t="s">
        <v>123</v>
      </c>
      <c r="W53" t="s">
        <v>124</v>
      </c>
      <c r="X53" t="s">
        <v>58</v>
      </c>
      <c r="Y53">
        <v>20</v>
      </c>
      <c r="Z53" t="s">
        <v>59</v>
      </c>
      <c r="AA53" t="s">
        <v>59</v>
      </c>
      <c r="AB53" t="s">
        <v>59</v>
      </c>
      <c r="AC53" t="s">
        <v>59</v>
      </c>
      <c r="AD53" t="s">
        <v>59</v>
      </c>
      <c r="AF53" s="1">
        <v>38964</v>
      </c>
      <c r="AG53" t="s">
        <v>125</v>
      </c>
      <c r="AH53" t="s">
        <v>126</v>
      </c>
      <c r="AI53" t="str">
        <f>"1713010"</f>
        <v>1713010</v>
      </c>
      <c r="AJ53" t="s">
        <v>369</v>
      </c>
      <c r="AK53">
        <v>2892051686</v>
      </c>
      <c r="AL53" t="s">
        <v>370</v>
      </c>
      <c r="AM53" t="s">
        <v>78</v>
      </c>
      <c r="AN53" t="s">
        <v>242</v>
      </c>
      <c r="AO53" t="s">
        <v>349</v>
      </c>
      <c r="AP53" t="s">
        <v>349</v>
      </c>
      <c r="AQ53">
        <v>35</v>
      </c>
      <c r="AR53" t="s">
        <v>123</v>
      </c>
      <c r="AS53" t="s">
        <v>124</v>
      </c>
      <c r="AT53" t="s">
        <v>58</v>
      </c>
      <c r="AU53" t="s">
        <v>68</v>
      </c>
      <c r="AV53" t="s">
        <v>69</v>
      </c>
      <c r="AW53" s="1">
        <v>27705</v>
      </c>
      <c r="AX53">
        <v>2</v>
      </c>
    </row>
    <row r="54" spans="1:50">
      <c r="A54">
        <v>229890</v>
      </c>
      <c r="B54" t="str">
        <f>"061199099"</f>
        <v>061199099</v>
      </c>
      <c r="C54" t="s">
        <v>50</v>
      </c>
      <c r="D54" t="s">
        <v>371</v>
      </c>
      <c r="E54" t="s">
        <v>372</v>
      </c>
      <c r="F54" t="s">
        <v>95</v>
      </c>
      <c r="G54" t="s">
        <v>155</v>
      </c>
      <c r="H54" t="str">
        <f>"ΠΡΩΗΝ ΑΜΕΡΙΚΑΝΙΚΗ ΒΑΣΗ 817Β ΓΟΥΡΝΕΣ ΠΕΔΙΑΔΟΣ"</f>
        <v>ΠΡΩΗΝ ΑΜΕΡΙΚΑΝΙΚΗ ΒΑΣΗ 817Β ΓΟΥΡΝΕΣ ΠΕΔΙΑΔΟΣ</v>
      </c>
      <c r="I54">
        <v>71500</v>
      </c>
      <c r="J54">
        <v>2810761480</v>
      </c>
      <c r="K54">
        <v>6973367907</v>
      </c>
      <c r="M54" t="s">
        <v>373</v>
      </c>
      <c r="N54" t="s">
        <v>189</v>
      </c>
      <c r="O54" t="s">
        <v>190</v>
      </c>
      <c r="R54" t="s">
        <v>57</v>
      </c>
      <c r="S54">
        <v>8</v>
      </c>
      <c r="T54">
        <v>4</v>
      </c>
      <c r="U54" s="1">
        <v>40186</v>
      </c>
      <c r="V54" t="s">
        <v>123</v>
      </c>
      <c r="W54" t="s">
        <v>124</v>
      </c>
      <c r="X54" t="s">
        <v>58</v>
      </c>
      <c r="Y54">
        <v>21</v>
      </c>
      <c r="Z54" t="s">
        <v>59</v>
      </c>
      <c r="AA54" t="s">
        <v>59</v>
      </c>
      <c r="AB54" t="s">
        <v>59</v>
      </c>
      <c r="AC54" t="s">
        <v>59</v>
      </c>
      <c r="AD54" t="s">
        <v>59</v>
      </c>
      <c r="AF54" s="1">
        <v>40190</v>
      </c>
      <c r="AG54" t="s">
        <v>125</v>
      </c>
      <c r="AH54" t="s">
        <v>126</v>
      </c>
      <c r="AI54" t="str">
        <f>"1701010"</f>
        <v>1701010</v>
      </c>
      <c r="AJ54" t="s">
        <v>374</v>
      </c>
      <c r="AK54">
        <v>2810227148</v>
      </c>
      <c r="AL54" t="s">
        <v>375</v>
      </c>
      <c r="AM54" t="s">
        <v>78</v>
      </c>
      <c r="AN54" t="s">
        <v>78</v>
      </c>
      <c r="AO54" t="s">
        <v>78</v>
      </c>
      <c r="AP54" t="s">
        <v>79</v>
      </c>
      <c r="AQ54">
        <v>1</v>
      </c>
      <c r="AR54" t="s">
        <v>123</v>
      </c>
      <c r="AS54" t="s">
        <v>124</v>
      </c>
      <c r="AT54" t="s">
        <v>58</v>
      </c>
      <c r="AU54" t="s">
        <v>68</v>
      </c>
      <c r="AV54" t="s">
        <v>357</v>
      </c>
      <c r="AW54" s="1">
        <v>26473</v>
      </c>
      <c r="AX54">
        <v>2</v>
      </c>
    </row>
    <row r="55" spans="1:50">
      <c r="A55">
        <v>206883</v>
      </c>
      <c r="B55" t="str">
        <f>"034209381"</f>
        <v>034209381</v>
      </c>
      <c r="C55" t="s">
        <v>105</v>
      </c>
      <c r="D55" t="s">
        <v>376</v>
      </c>
      <c r="E55" t="s">
        <v>106</v>
      </c>
      <c r="F55" t="s">
        <v>377</v>
      </c>
      <c r="G55" t="s">
        <v>378</v>
      </c>
      <c r="H55" t="str">
        <f>"ΑΡΤΕΜΙΔΟΣ 22Α ΗΡΑΚΛΕΙΟ"</f>
        <v>ΑΡΤΕΜΙΔΟΣ 22Α ΗΡΑΚΛΕΙΟ</v>
      </c>
      <c r="I55">
        <v>71409</v>
      </c>
      <c r="J55">
        <v>2810237324</v>
      </c>
      <c r="K55">
        <v>6974502841</v>
      </c>
      <c r="N55" t="s">
        <v>292</v>
      </c>
      <c r="O55" t="s">
        <v>293</v>
      </c>
      <c r="R55" t="s">
        <v>57</v>
      </c>
      <c r="S55">
        <v>9</v>
      </c>
      <c r="T55">
        <v>218</v>
      </c>
      <c r="U55" s="1">
        <v>38596</v>
      </c>
      <c r="V55" t="s">
        <v>123</v>
      </c>
      <c r="W55" t="s">
        <v>124</v>
      </c>
      <c r="X55" t="s">
        <v>58</v>
      </c>
      <c r="Y55">
        <v>20</v>
      </c>
      <c r="Z55" t="s">
        <v>59</v>
      </c>
      <c r="AA55" t="s">
        <v>59</v>
      </c>
      <c r="AB55" t="s">
        <v>59</v>
      </c>
      <c r="AC55" t="s">
        <v>59</v>
      </c>
      <c r="AD55" t="s">
        <v>59</v>
      </c>
      <c r="AF55" s="1">
        <v>38604</v>
      </c>
      <c r="AG55" t="s">
        <v>125</v>
      </c>
      <c r="AH55" t="s">
        <v>126</v>
      </c>
      <c r="AI55" t="str">
        <f>"1701057"</f>
        <v>1701057</v>
      </c>
      <c r="AJ55" t="s">
        <v>379</v>
      </c>
      <c r="AK55">
        <v>2810234488</v>
      </c>
      <c r="AL55" t="s">
        <v>380</v>
      </c>
      <c r="AM55" t="s">
        <v>78</v>
      </c>
      <c r="AN55" t="s">
        <v>78</v>
      </c>
      <c r="AO55" t="s">
        <v>78</v>
      </c>
      <c r="AP55" t="s">
        <v>163</v>
      </c>
      <c r="AQ55">
        <v>8</v>
      </c>
      <c r="AR55" t="s">
        <v>123</v>
      </c>
      <c r="AS55" t="s">
        <v>124</v>
      </c>
      <c r="AT55" t="s">
        <v>58</v>
      </c>
      <c r="AU55" t="s">
        <v>68</v>
      </c>
      <c r="AV55" t="s">
        <v>69</v>
      </c>
      <c r="AW55" s="1">
        <v>20918</v>
      </c>
      <c r="AX55">
        <v>2</v>
      </c>
    </row>
    <row r="56" spans="1:50">
      <c r="A56">
        <v>225598</v>
      </c>
      <c r="B56" t="str">
        <f>"103810392"</f>
        <v>103810392</v>
      </c>
      <c r="C56" t="s">
        <v>50</v>
      </c>
      <c r="D56" t="s">
        <v>381</v>
      </c>
      <c r="E56" t="s">
        <v>382</v>
      </c>
      <c r="F56" t="s">
        <v>383</v>
      </c>
      <c r="G56" t="s">
        <v>237</v>
      </c>
      <c r="H56" t="str">
        <f>"ΑΝΔΡΕΑ ΠΑΠΑΝΔΡΕΟΥ 149 ΗΡΑΚΛΕΙΟ"</f>
        <v>ΑΝΔΡΕΑ ΠΑΠΑΝΔΡΕΟΥ 149 ΗΡΑΚΛΕΙΟ</v>
      </c>
      <c r="I56">
        <v>71305</v>
      </c>
      <c r="J56">
        <v>2810256306</v>
      </c>
      <c r="K56">
        <v>6944564759</v>
      </c>
      <c r="N56" t="s">
        <v>384</v>
      </c>
      <c r="O56" t="s">
        <v>385</v>
      </c>
      <c r="R56" t="s">
        <v>57</v>
      </c>
      <c r="S56">
        <v>9</v>
      </c>
      <c r="T56">
        <v>775</v>
      </c>
      <c r="U56" s="1">
        <v>39680</v>
      </c>
      <c r="V56" t="s">
        <v>123</v>
      </c>
      <c r="W56" t="s">
        <v>124</v>
      </c>
      <c r="X56" t="s">
        <v>58</v>
      </c>
      <c r="Y56">
        <v>20</v>
      </c>
      <c r="Z56" t="s">
        <v>59</v>
      </c>
      <c r="AA56" t="s">
        <v>59</v>
      </c>
      <c r="AB56" t="s">
        <v>59</v>
      </c>
      <c r="AC56" t="s">
        <v>59</v>
      </c>
      <c r="AD56" t="s">
        <v>59</v>
      </c>
      <c r="AF56" s="1">
        <v>39681</v>
      </c>
      <c r="AG56" t="s">
        <v>125</v>
      </c>
      <c r="AH56" t="s">
        <v>386</v>
      </c>
      <c r="AI56" t="str">
        <f>"1741002"</f>
        <v>1741002</v>
      </c>
      <c r="AJ56" t="s">
        <v>387</v>
      </c>
      <c r="AK56">
        <v>2810762610</v>
      </c>
      <c r="AL56" t="s">
        <v>388</v>
      </c>
      <c r="AM56" t="s">
        <v>78</v>
      </c>
      <c r="AN56" t="s">
        <v>219</v>
      </c>
      <c r="AO56" t="s">
        <v>297</v>
      </c>
      <c r="AP56" t="s">
        <v>297</v>
      </c>
      <c r="AQ56">
        <v>10</v>
      </c>
      <c r="AR56" t="s">
        <v>123</v>
      </c>
      <c r="AS56" t="s">
        <v>124</v>
      </c>
      <c r="AT56" t="s">
        <v>58</v>
      </c>
      <c r="AU56" t="s">
        <v>68</v>
      </c>
      <c r="AV56" t="s">
        <v>69</v>
      </c>
      <c r="AW56" s="1">
        <v>27223</v>
      </c>
      <c r="AX56">
        <v>2</v>
      </c>
    </row>
    <row r="57" spans="1:50">
      <c r="A57">
        <v>159712</v>
      </c>
      <c r="B57" t="str">
        <f>"030974315"</f>
        <v>030974315</v>
      </c>
      <c r="C57" t="s">
        <v>105</v>
      </c>
      <c r="D57" t="s">
        <v>389</v>
      </c>
      <c r="E57" t="s">
        <v>72</v>
      </c>
      <c r="F57" t="s">
        <v>95</v>
      </c>
      <c r="G57" t="s">
        <v>155</v>
      </c>
      <c r="H57" t="str">
        <f>" ΖΑΡΟΣ"</f>
        <v xml:space="preserve"> ΖΑΡΟΣ</v>
      </c>
      <c r="I57">
        <v>70002</v>
      </c>
      <c r="J57">
        <v>2894031537</v>
      </c>
      <c r="K57">
        <v>6972697051</v>
      </c>
      <c r="M57" t="s">
        <v>390</v>
      </c>
      <c r="N57" t="s">
        <v>292</v>
      </c>
      <c r="O57" t="s">
        <v>293</v>
      </c>
      <c r="R57" t="s">
        <v>57</v>
      </c>
      <c r="S57">
        <v>15</v>
      </c>
      <c r="T57">
        <v>161</v>
      </c>
      <c r="U57" s="1">
        <v>33119</v>
      </c>
      <c r="V57" t="s">
        <v>123</v>
      </c>
      <c r="W57" t="s">
        <v>124</v>
      </c>
      <c r="X57" t="s">
        <v>58</v>
      </c>
      <c r="Y57">
        <v>18</v>
      </c>
      <c r="Z57" t="s">
        <v>59</v>
      </c>
      <c r="AA57" t="s">
        <v>59</v>
      </c>
      <c r="AB57" t="s">
        <v>59</v>
      </c>
      <c r="AC57" t="s">
        <v>59</v>
      </c>
      <c r="AD57" t="s">
        <v>59</v>
      </c>
      <c r="AF57" s="1">
        <v>33123</v>
      </c>
      <c r="AG57" t="s">
        <v>125</v>
      </c>
      <c r="AH57" t="s">
        <v>126</v>
      </c>
      <c r="AI57" t="str">
        <f>"1706010"</f>
        <v>1706010</v>
      </c>
      <c r="AJ57" t="s">
        <v>391</v>
      </c>
      <c r="AK57">
        <v>2892022286</v>
      </c>
      <c r="AL57" t="s">
        <v>392</v>
      </c>
      <c r="AM57" t="s">
        <v>78</v>
      </c>
      <c r="AN57" t="s">
        <v>242</v>
      </c>
      <c r="AO57" t="s">
        <v>243</v>
      </c>
      <c r="AP57" t="s">
        <v>243</v>
      </c>
      <c r="AQ57">
        <v>33</v>
      </c>
      <c r="AR57" t="s">
        <v>123</v>
      </c>
      <c r="AS57" t="s">
        <v>124</v>
      </c>
      <c r="AT57" t="s">
        <v>58</v>
      </c>
      <c r="AU57" t="s">
        <v>68</v>
      </c>
      <c r="AV57" t="s">
        <v>69</v>
      </c>
      <c r="AW57" s="1">
        <v>20145</v>
      </c>
      <c r="AX57">
        <v>2</v>
      </c>
    </row>
    <row r="58" spans="1:50">
      <c r="A58">
        <v>197615</v>
      </c>
      <c r="B58" t="str">
        <f>"062424938"</f>
        <v>062424938</v>
      </c>
      <c r="C58" t="s">
        <v>50</v>
      </c>
      <c r="D58" t="s">
        <v>393</v>
      </c>
      <c r="E58" t="s">
        <v>394</v>
      </c>
      <c r="F58" t="s">
        <v>395</v>
      </c>
      <c r="G58" t="s">
        <v>396</v>
      </c>
      <c r="H58" t="str">
        <f>"ΠΤΟΛΕΜΑΙΩΝ 31 "</f>
        <v xml:space="preserve">ΠΤΟΛΕΜΑΙΩΝ 31 </v>
      </c>
      <c r="I58">
        <v>71409</v>
      </c>
      <c r="J58">
        <v>2810234648</v>
      </c>
      <c r="K58">
        <v>6946103486</v>
      </c>
      <c r="M58" t="s">
        <v>397</v>
      </c>
      <c r="N58" t="s">
        <v>292</v>
      </c>
      <c r="O58" t="s">
        <v>293</v>
      </c>
      <c r="R58" t="s">
        <v>57</v>
      </c>
      <c r="S58">
        <v>10</v>
      </c>
      <c r="T58">
        <v>206</v>
      </c>
      <c r="U58" s="1">
        <v>37866</v>
      </c>
      <c r="V58" t="s">
        <v>123</v>
      </c>
      <c r="W58" t="s">
        <v>124</v>
      </c>
      <c r="X58" t="s">
        <v>58</v>
      </c>
      <c r="Y58">
        <v>20</v>
      </c>
      <c r="Z58" t="s">
        <v>59</v>
      </c>
      <c r="AA58" t="s">
        <v>59</v>
      </c>
      <c r="AB58" t="s">
        <v>59</v>
      </c>
      <c r="AC58" t="s">
        <v>59</v>
      </c>
      <c r="AD58" t="s">
        <v>59</v>
      </c>
      <c r="AF58" s="1">
        <v>37869</v>
      </c>
      <c r="AG58" t="s">
        <v>125</v>
      </c>
      <c r="AH58" t="s">
        <v>126</v>
      </c>
      <c r="AI58" t="str">
        <f>"1701053"</f>
        <v>1701053</v>
      </c>
      <c r="AJ58" t="s">
        <v>398</v>
      </c>
      <c r="AK58">
        <v>2810251434</v>
      </c>
      <c r="AL58" t="s">
        <v>399</v>
      </c>
      <c r="AM58" t="s">
        <v>78</v>
      </c>
      <c r="AN58" t="s">
        <v>78</v>
      </c>
      <c r="AO58" t="s">
        <v>78</v>
      </c>
      <c r="AP58" t="s">
        <v>141</v>
      </c>
      <c r="AQ58">
        <v>7</v>
      </c>
      <c r="AR58" t="s">
        <v>123</v>
      </c>
      <c r="AS58" t="s">
        <v>124</v>
      </c>
      <c r="AT58" t="s">
        <v>58</v>
      </c>
      <c r="AU58" t="s">
        <v>68</v>
      </c>
      <c r="AV58" t="s">
        <v>69</v>
      </c>
      <c r="AW58" s="1">
        <v>27860</v>
      </c>
      <c r="AX58">
        <v>2</v>
      </c>
    </row>
    <row r="59" spans="1:50">
      <c r="A59">
        <v>194132</v>
      </c>
      <c r="B59" t="str">
        <f>"064354104"</f>
        <v>064354104</v>
      </c>
      <c r="C59" t="s">
        <v>50</v>
      </c>
      <c r="D59" t="s">
        <v>400</v>
      </c>
      <c r="E59" t="s">
        <v>54</v>
      </c>
      <c r="F59" t="s">
        <v>166</v>
      </c>
      <c r="G59" t="s">
        <v>401</v>
      </c>
      <c r="H59" t="str">
        <f>"ΑΓΙΑΣ ΠΑΡΑΣΚΕΥΗΣ 15Α ΗΡΑΚΛΕΙΟ"</f>
        <v>ΑΓΙΑΣ ΠΑΡΑΣΚΕΥΗΣ 15Α ΗΡΑΚΛΕΙΟ</v>
      </c>
      <c r="I59">
        <v>71307</v>
      </c>
      <c r="J59">
        <v>2810343019</v>
      </c>
      <c r="K59">
        <v>6974865441</v>
      </c>
      <c r="M59" t="s">
        <v>402</v>
      </c>
      <c r="N59" t="s">
        <v>299</v>
      </c>
      <c r="O59" t="s">
        <v>300</v>
      </c>
      <c r="R59" t="s">
        <v>57</v>
      </c>
      <c r="S59">
        <v>12</v>
      </c>
      <c r="T59">
        <v>193</v>
      </c>
      <c r="U59" s="1">
        <v>37497</v>
      </c>
      <c r="V59" t="s">
        <v>123</v>
      </c>
      <c r="W59" t="s">
        <v>124</v>
      </c>
      <c r="X59" t="s">
        <v>58</v>
      </c>
      <c r="Y59">
        <v>18</v>
      </c>
      <c r="Z59" t="s">
        <v>59</v>
      </c>
      <c r="AA59" t="s">
        <v>59</v>
      </c>
      <c r="AB59" t="s">
        <v>59</v>
      </c>
      <c r="AC59" t="s">
        <v>59</v>
      </c>
      <c r="AD59" t="s">
        <v>59</v>
      </c>
      <c r="AF59" s="1">
        <v>37497</v>
      </c>
      <c r="AG59" t="s">
        <v>148</v>
      </c>
      <c r="AH59" t="s">
        <v>149</v>
      </c>
      <c r="AI59" t="str">
        <f>"1759010"</f>
        <v>1759010</v>
      </c>
      <c r="AJ59" t="s">
        <v>403</v>
      </c>
      <c r="AK59">
        <v>2894022127</v>
      </c>
      <c r="AL59" t="s">
        <v>404</v>
      </c>
      <c r="AM59" t="s">
        <v>78</v>
      </c>
      <c r="AN59" t="s">
        <v>405</v>
      </c>
      <c r="AO59" t="s">
        <v>406</v>
      </c>
      <c r="AP59" t="s">
        <v>406</v>
      </c>
      <c r="AQ59">
        <v>30</v>
      </c>
      <c r="AR59" t="s">
        <v>123</v>
      </c>
      <c r="AS59" t="s">
        <v>124</v>
      </c>
      <c r="AT59" t="s">
        <v>58</v>
      </c>
      <c r="AU59" t="s">
        <v>68</v>
      </c>
      <c r="AV59" t="s">
        <v>69</v>
      </c>
      <c r="AW59" s="1">
        <v>19901</v>
      </c>
      <c r="AX59">
        <v>2</v>
      </c>
    </row>
    <row r="60" spans="1:50">
      <c r="A60">
        <v>214222</v>
      </c>
      <c r="B60" t="str">
        <f>"064689567"</f>
        <v>064689567</v>
      </c>
      <c r="C60" t="s">
        <v>105</v>
      </c>
      <c r="D60" t="s">
        <v>407</v>
      </c>
      <c r="E60" t="s">
        <v>95</v>
      </c>
      <c r="F60" t="s">
        <v>408</v>
      </c>
      <c r="G60" t="s">
        <v>366</v>
      </c>
      <c r="H60" t="str">
        <f>" "</f>
        <v xml:space="preserve"> </v>
      </c>
      <c r="J60">
        <v>2810237104</v>
      </c>
      <c r="K60">
        <v>6946333513</v>
      </c>
      <c r="M60" t="s">
        <v>409</v>
      </c>
      <c r="N60" t="s">
        <v>299</v>
      </c>
      <c r="O60" t="s">
        <v>300</v>
      </c>
      <c r="R60" t="s">
        <v>57</v>
      </c>
      <c r="S60">
        <v>5</v>
      </c>
      <c r="T60">
        <v>231</v>
      </c>
      <c r="U60" s="1">
        <v>38960</v>
      </c>
      <c r="V60" t="s">
        <v>123</v>
      </c>
      <c r="W60" t="s">
        <v>124</v>
      </c>
      <c r="X60" t="s">
        <v>58</v>
      </c>
      <c r="Y60">
        <v>20</v>
      </c>
      <c r="Z60" t="s">
        <v>59</v>
      </c>
      <c r="AA60" t="s">
        <v>59</v>
      </c>
      <c r="AB60" t="s">
        <v>59</v>
      </c>
      <c r="AC60" t="s">
        <v>59</v>
      </c>
      <c r="AD60" t="s">
        <v>59</v>
      </c>
      <c r="AF60" s="1">
        <v>38961</v>
      </c>
      <c r="AG60" t="s">
        <v>148</v>
      </c>
      <c r="AH60" t="s">
        <v>149</v>
      </c>
      <c r="AI60" t="str">
        <f>"1757010"</f>
        <v>1757010</v>
      </c>
      <c r="AJ60" t="s">
        <v>240</v>
      </c>
      <c r="AK60">
        <v>2892041388</v>
      </c>
      <c r="AL60" t="s">
        <v>241</v>
      </c>
      <c r="AM60" t="s">
        <v>78</v>
      </c>
      <c r="AN60" t="s">
        <v>242</v>
      </c>
      <c r="AO60" t="s">
        <v>243</v>
      </c>
      <c r="AP60" t="s">
        <v>244</v>
      </c>
      <c r="AQ60">
        <v>34</v>
      </c>
      <c r="AR60" t="s">
        <v>123</v>
      </c>
      <c r="AS60" t="s">
        <v>124</v>
      </c>
      <c r="AT60" t="s">
        <v>58</v>
      </c>
      <c r="AU60" t="s">
        <v>68</v>
      </c>
      <c r="AV60" t="s">
        <v>69</v>
      </c>
      <c r="AW60" s="1">
        <v>29307</v>
      </c>
      <c r="AX60">
        <v>2</v>
      </c>
    </row>
    <row r="61" spans="1:50">
      <c r="A61">
        <v>192033</v>
      </c>
      <c r="B61" t="str">
        <f>"039708287"</f>
        <v>039708287</v>
      </c>
      <c r="C61" t="s">
        <v>50</v>
      </c>
      <c r="D61" t="s">
        <v>410</v>
      </c>
      <c r="E61" t="s">
        <v>155</v>
      </c>
      <c r="F61" t="s">
        <v>99</v>
      </c>
      <c r="G61" t="s">
        <v>411</v>
      </c>
      <c r="H61" t="str">
        <f>"ΕΥΑΓΓΕΛΙΣΤΡΙΑΣ 62 ΗΡΑΚΛΕΙΟΥ	"</f>
        <v xml:space="preserve">ΕΥΑΓΓΕΛΙΣΤΡΙΑΣ 62 ΗΡΑΚΛΕΙΟΥ	</v>
      </c>
      <c r="I61">
        <v>71304</v>
      </c>
      <c r="J61">
        <v>2810320782</v>
      </c>
      <c r="K61">
        <v>6974603425</v>
      </c>
      <c r="M61" t="s">
        <v>412</v>
      </c>
      <c r="N61" t="s">
        <v>257</v>
      </c>
      <c r="O61" t="s">
        <v>258</v>
      </c>
      <c r="P61" t="s">
        <v>299</v>
      </c>
      <c r="Q61" t="s">
        <v>300</v>
      </c>
      <c r="R61" t="s">
        <v>57</v>
      </c>
      <c r="S61">
        <v>16</v>
      </c>
      <c r="T61">
        <v>291</v>
      </c>
      <c r="U61" s="1">
        <v>37218</v>
      </c>
      <c r="V61" t="s">
        <v>123</v>
      </c>
      <c r="W61" t="s">
        <v>124</v>
      </c>
      <c r="X61" t="s">
        <v>58</v>
      </c>
      <c r="Y61">
        <v>20</v>
      </c>
      <c r="Z61" t="s">
        <v>59</v>
      </c>
      <c r="AA61" t="s">
        <v>59</v>
      </c>
      <c r="AB61" t="s">
        <v>59</v>
      </c>
      <c r="AC61" t="s">
        <v>59</v>
      </c>
      <c r="AD61" t="s">
        <v>59</v>
      </c>
      <c r="AF61" s="1">
        <v>37223</v>
      </c>
      <c r="AG61" t="s">
        <v>125</v>
      </c>
      <c r="AH61" t="s">
        <v>386</v>
      </c>
      <c r="AI61" t="str">
        <f>"1741002"</f>
        <v>1741002</v>
      </c>
      <c r="AJ61" t="s">
        <v>387</v>
      </c>
      <c r="AK61">
        <v>2810762610</v>
      </c>
      <c r="AL61" t="s">
        <v>388</v>
      </c>
      <c r="AM61" t="s">
        <v>78</v>
      </c>
      <c r="AN61" t="s">
        <v>219</v>
      </c>
      <c r="AO61" t="s">
        <v>297</v>
      </c>
      <c r="AP61" t="s">
        <v>297</v>
      </c>
      <c r="AQ61">
        <v>10</v>
      </c>
      <c r="AR61" t="s">
        <v>123</v>
      </c>
      <c r="AS61" t="s">
        <v>124</v>
      </c>
      <c r="AT61" t="s">
        <v>58</v>
      </c>
      <c r="AU61" t="s">
        <v>68</v>
      </c>
      <c r="AV61" t="s">
        <v>69</v>
      </c>
      <c r="AW61" s="1">
        <v>21859</v>
      </c>
      <c r="AX61">
        <v>2</v>
      </c>
    </row>
    <row r="62" spans="1:50">
      <c r="B62" t="str">
        <f>"037128433"</f>
        <v>037128433</v>
      </c>
      <c r="C62" t="s">
        <v>50</v>
      </c>
      <c r="D62" t="s">
        <v>413</v>
      </c>
      <c r="E62" t="s">
        <v>237</v>
      </c>
      <c r="F62" t="s">
        <v>95</v>
      </c>
      <c r="G62" t="s">
        <v>414</v>
      </c>
      <c r="H62" t="str">
        <f>"ΜΑΡΚΟΥ ΑΥΓΕΡΗ 18 ΗΡΑΚΛΕΙΟ ΚΡΗΤΗΣ"</f>
        <v>ΜΑΡΚΟΥ ΑΥΓΕΡΗ 18 ΗΡΑΚΛΕΙΟ ΚΡΗΤΗΣ</v>
      </c>
      <c r="I62">
        <v>71202</v>
      </c>
      <c r="J62">
        <v>2810286421</v>
      </c>
      <c r="K62">
        <v>6937825743</v>
      </c>
      <c r="M62" t="s">
        <v>415</v>
      </c>
      <c r="N62" t="s">
        <v>199</v>
      </c>
      <c r="O62" t="s">
        <v>200</v>
      </c>
      <c r="R62" t="s">
        <v>57</v>
      </c>
      <c r="S62">
        <v>5</v>
      </c>
      <c r="T62" t="s">
        <v>416</v>
      </c>
      <c r="U62" s="1">
        <v>43349</v>
      </c>
      <c r="V62" t="s">
        <v>123</v>
      </c>
      <c r="W62" t="s">
        <v>124</v>
      </c>
      <c r="X62" t="s">
        <v>58</v>
      </c>
      <c r="Y62">
        <v>21</v>
      </c>
      <c r="Z62" t="s">
        <v>59</v>
      </c>
      <c r="AA62" t="s">
        <v>59</v>
      </c>
      <c r="AB62" t="s">
        <v>59</v>
      </c>
      <c r="AC62" t="s">
        <v>59</v>
      </c>
      <c r="AD62" t="s">
        <v>59</v>
      </c>
      <c r="AF62" s="1">
        <v>43349</v>
      </c>
      <c r="AG62" t="s">
        <v>148</v>
      </c>
      <c r="AH62" t="s">
        <v>149</v>
      </c>
      <c r="AI62" t="str">
        <f>"1790210"</f>
        <v>1790210</v>
      </c>
      <c r="AJ62" t="s">
        <v>417</v>
      </c>
      <c r="AK62">
        <v>2810252172</v>
      </c>
      <c r="AL62" t="s">
        <v>418</v>
      </c>
      <c r="AM62" t="s">
        <v>78</v>
      </c>
      <c r="AN62" t="s">
        <v>78</v>
      </c>
      <c r="AO62" t="s">
        <v>78</v>
      </c>
      <c r="AP62" t="s">
        <v>141</v>
      </c>
      <c r="AQ62">
        <v>7</v>
      </c>
      <c r="AR62" t="s">
        <v>123</v>
      </c>
      <c r="AS62" t="s">
        <v>124</v>
      </c>
      <c r="AT62" t="s">
        <v>58</v>
      </c>
      <c r="AU62" t="s">
        <v>419</v>
      </c>
      <c r="AV62" t="s">
        <v>132</v>
      </c>
      <c r="AW62" s="1">
        <v>23963</v>
      </c>
      <c r="AX62">
        <v>2</v>
      </c>
    </row>
    <row r="63" spans="1:50">
      <c r="A63">
        <v>210383</v>
      </c>
      <c r="B63" t="str">
        <f>"114269967"</f>
        <v>114269967</v>
      </c>
      <c r="C63" t="s">
        <v>50</v>
      </c>
      <c r="D63" t="s">
        <v>413</v>
      </c>
      <c r="E63" t="s">
        <v>420</v>
      </c>
      <c r="F63" t="s">
        <v>95</v>
      </c>
      <c r="G63" t="s">
        <v>155</v>
      </c>
      <c r="H63" t="str">
        <f>"ΙΩΝΙΑΣ 22 ΑΝΩ ΚΑΛΑΜΑΚΙ"</f>
        <v>ΙΩΝΙΑΣ 22 ΑΝΩ ΚΑΛΑΜΑΚΙ</v>
      </c>
      <c r="I63">
        <v>17456</v>
      </c>
      <c r="J63">
        <v>2109953445</v>
      </c>
      <c r="K63">
        <v>6937009339</v>
      </c>
      <c r="M63" t="s">
        <v>421</v>
      </c>
      <c r="N63" t="s">
        <v>299</v>
      </c>
      <c r="O63" t="s">
        <v>300</v>
      </c>
      <c r="R63" t="s">
        <v>57</v>
      </c>
      <c r="S63">
        <v>6</v>
      </c>
      <c r="T63">
        <v>235</v>
      </c>
      <c r="U63" s="1">
        <v>38611</v>
      </c>
      <c r="V63" t="s">
        <v>123</v>
      </c>
      <c r="W63" t="s">
        <v>124</v>
      </c>
      <c r="X63" t="s">
        <v>58</v>
      </c>
      <c r="Y63">
        <v>20</v>
      </c>
      <c r="Z63" t="s">
        <v>59</v>
      </c>
      <c r="AA63" t="s">
        <v>59</v>
      </c>
      <c r="AB63" t="s">
        <v>59</v>
      </c>
      <c r="AC63" t="s">
        <v>59</v>
      </c>
      <c r="AD63" t="s">
        <v>59</v>
      </c>
      <c r="AF63" s="1">
        <v>38615</v>
      </c>
      <c r="AG63" t="s">
        <v>125</v>
      </c>
      <c r="AH63" t="s">
        <v>126</v>
      </c>
      <c r="AI63" t="str">
        <f>"1703010"</f>
        <v>1703010</v>
      </c>
      <c r="AJ63" t="s">
        <v>422</v>
      </c>
      <c r="AK63">
        <v>2810751808</v>
      </c>
      <c r="AL63" t="s">
        <v>423</v>
      </c>
      <c r="AM63" t="s">
        <v>78</v>
      </c>
      <c r="AN63" t="s">
        <v>424</v>
      </c>
      <c r="AO63" t="s">
        <v>425</v>
      </c>
      <c r="AP63" t="s">
        <v>425</v>
      </c>
      <c r="AQ63">
        <v>13</v>
      </c>
      <c r="AR63" t="s">
        <v>123</v>
      </c>
      <c r="AS63" t="s">
        <v>124</v>
      </c>
      <c r="AT63" t="s">
        <v>58</v>
      </c>
      <c r="AU63" t="s">
        <v>68</v>
      </c>
      <c r="AV63" t="s">
        <v>69</v>
      </c>
      <c r="AW63" s="1">
        <v>30117</v>
      </c>
      <c r="AX63">
        <v>2</v>
      </c>
    </row>
    <row r="64" spans="1:50">
      <c r="B64" t="str">
        <f>"079231832"</f>
        <v>079231832</v>
      </c>
      <c r="C64" t="s">
        <v>50</v>
      </c>
      <c r="D64" t="s">
        <v>413</v>
      </c>
      <c r="E64" t="s">
        <v>181</v>
      </c>
      <c r="F64" t="s">
        <v>84</v>
      </c>
      <c r="G64" t="s">
        <v>52</v>
      </c>
      <c r="H64" t="str">
        <f>"ΙΝΙ "</f>
        <v xml:space="preserve">ΙΝΙ </v>
      </c>
      <c r="I64">
        <v>70300</v>
      </c>
      <c r="J64">
        <v>2891091267</v>
      </c>
      <c r="K64">
        <v>6979364601</v>
      </c>
      <c r="N64" t="s">
        <v>246</v>
      </c>
      <c r="O64" t="s">
        <v>247</v>
      </c>
      <c r="R64" t="s">
        <v>159</v>
      </c>
      <c r="S64">
        <v>4</v>
      </c>
      <c r="T64" t="s">
        <v>416</v>
      </c>
      <c r="U64" s="1">
        <v>43349</v>
      </c>
      <c r="V64" t="s">
        <v>123</v>
      </c>
      <c r="W64" t="s">
        <v>124</v>
      </c>
      <c r="X64" t="s">
        <v>58</v>
      </c>
      <c r="Y64">
        <v>21</v>
      </c>
      <c r="Z64" t="s">
        <v>59</v>
      </c>
      <c r="AA64" t="s">
        <v>59</v>
      </c>
      <c r="AB64" t="s">
        <v>59</v>
      </c>
      <c r="AC64" t="s">
        <v>59</v>
      </c>
      <c r="AD64" t="s">
        <v>59</v>
      </c>
      <c r="AF64" s="1">
        <v>43349</v>
      </c>
      <c r="AG64" t="s">
        <v>148</v>
      </c>
      <c r="AH64" t="s">
        <v>149</v>
      </c>
      <c r="AI64" t="str">
        <f>"1761010"</f>
        <v>1761010</v>
      </c>
      <c r="AJ64" t="s">
        <v>426</v>
      </c>
      <c r="AK64">
        <v>2810741356</v>
      </c>
      <c r="AL64" t="s">
        <v>427</v>
      </c>
      <c r="AM64" t="s">
        <v>78</v>
      </c>
      <c r="AN64" t="s">
        <v>424</v>
      </c>
      <c r="AO64" t="s">
        <v>428</v>
      </c>
      <c r="AP64" t="s">
        <v>429</v>
      </c>
      <c r="AQ64">
        <v>14</v>
      </c>
      <c r="AR64" t="s">
        <v>123</v>
      </c>
      <c r="AS64" t="s">
        <v>124</v>
      </c>
      <c r="AT64" t="s">
        <v>58</v>
      </c>
      <c r="AU64" t="s">
        <v>419</v>
      </c>
      <c r="AV64" t="s">
        <v>132</v>
      </c>
      <c r="AW64" s="1">
        <v>27271</v>
      </c>
      <c r="AX64">
        <v>2</v>
      </c>
    </row>
    <row r="65" spans="1:50">
      <c r="A65">
        <v>159033</v>
      </c>
      <c r="B65" t="str">
        <f>"035526870"</f>
        <v>035526870</v>
      </c>
      <c r="C65" t="s">
        <v>105</v>
      </c>
      <c r="D65" t="s">
        <v>430</v>
      </c>
      <c r="E65" t="s">
        <v>166</v>
      </c>
      <c r="F65" t="s">
        <v>154</v>
      </c>
      <c r="G65" t="s">
        <v>143</v>
      </c>
      <c r="H65" t="str">
        <f>"Α ΜΑΤΘΑΙΑΚΗ 79 ΜΑΣΤΑΜΠΑΣ"</f>
        <v>Α ΜΑΤΘΑΙΑΚΗ 79 ΜΑΣΤΑΜΠΑΣ</v>
      </c>
      <c r="I65">
        <v>71305</v>
      </c>
      <c r="J65">
        <v>2810360339</v>
      </c>
      <c r="K65">
        <v>6934684030</v>
      </c>
      <c r="M65" t="s">
        <v>431</v>
      </c>
      <c r="N65" t="s">
        <v>146</v>
      </c>
      <c r="O65" t="s">
        <v>147</v>
      </c>
      <c r="R65" t="s">
        <v>57</v>
      </c>
      <c r="S65">
        <v>19</v>
      </c>
      <c r="T65">
        <v>161</v>
      </c>
      <c r="U65" s="1">
        <v>33119</v>
      </c>
      <c r="V65" t="s">
        <v>123</v>
      </c>
      <c r="W65" t="s">
        <v>124</v>
      </c>
      <c r="X65" t="s">
        <v>58</v>
      </c>
      <c r="Y65">
        <v>18</v>
      </c>
      <c r="Z65" t="s">
        <v>59</v>
      </c>
      <c r="AA65" t="s">
        <v>59</v>
      </c>
      <c r="AB65" t="s">
        <v>59</v>
      </c>
      <c r="AC65" t="s">
        <v>59</v>
      </c>
      <c r="AD65" t="s">
        <v>59</v>
      </c>
      <c r="AF65" s="1">
        <v>33121</v>
      </c>
      <c r="AG65" t="s">
        <v>148</v>
      </c>
      <c r="AH65" t="s">
        <v>149</v>
      </c>
      <c r="AI65" t="str">
        <f>"1751040"</f>
        <v>1751040</v>
      </c>
      <c r="AJ65" t="s">
        <v>178</v>
      </c>
      <c r="AK65">
        <v>2810252495</v>
      </c>
      <c r="AL65" t="s">
        <v>179</v>
      </c>
      <c r="AM65" t="s">
        <v>78</v>
      </c>
      <c r="AN65" t="s">
        <v>78</v>
      </c>
      <c r="AO65" t="s">
        <v>78</v>
      </c>
      <c r="AP65" t="s">
        <v>141</v>
      </c>
      <c r="AQ65">
        <v>3</v>
      </c>
      <c r="AR65" t="s">
        <v>123</v>
      </c>
      <c r="AS65" t="s">
        <v>124</v>
      </c>
      <c r="AT65" t="s">
        <v>58</v>
      </c>
      <c r="AU65" t="s">
        <v>68</v>
      </c>
      <c r="AV65" t="s">
        <v>69</v>
      </c>
      <c r="AW65" s="1">
        <v>23179</v>
      </c>
      <c r="AX65">
        <v>2</v>
      </c>
    </row>
    <row r="66" spans="1:50">
      <c r="A66">
        <v>222800</v>
      </c>
      <c r="B66" t="str">
        <f>"064751238"</f>
        <v>064751238</v>
      </c>
      <c r="C66" t="s">
        <v>105</v>
      </c>
      <c r="D66" t="s">
        <v>430</v>
      </c>
      <c r="E66" t="s">
        <v>377</v>
      </c>
      <c r="F66" t="s">
        <v>377</v>
      </c>
      <c r="G66" t="s">
        <v>250</v>
      </c>
      <c r="H66" t="str">
        <f>"ΠΡΕΒΕΛΗΣ 7 "</f>
        <v xml:space="preserve">ΠΡΕΒΕΛΗΣ 7 </v>
      </c>
      <c r="I66">
        <v>71306</v>
      </c>
      <c r="J66">
        <v>2810242054</v>
      </c>
      <c r="K66">
        <v>6946586591</v>
      </c>
      <c r="L66">
        <v>2810286913</v>
      </c>
      <c r="M66" t="s">
        <v>432</v>
      </c>
      <c r="N66" t="s">
        <v>292</v>
      </c>
      <c r="O66" t="s">
        <v>293</v>
      </c>
      <c r="R66" t="s">
        <v>57</v>
      </c>
      <c r="S66">
        <v>5</v>
      </c>
      <c r="T66">
        <v>775</v>
      </c>
      <c r="U66" s="1">
        <v>39680</v>
      </c>
      <c r="V66" t="s">
        <v>123</v>
      </c>
      <c r="W66" t="s">
        <v>124</v>
      </c>
      <c r="X66" t="s">
        <v>58</v>
      </c>
      <c r="Y66">
        <v>21</v>
      </c>
      <c r="Z66" t="s">
        <v>59</v>
      </c>
      <c r="AA66" t="s">
        <v>59</v>
      </c>
      <c r="AB66" t="s">
        <v>59</v>
      </c>
      <c r="AC66" t="s">
        <v>59</v>
      </c>
      <c r="AD66" t="s">
        <v>59</v>
      </c>
      <c r="AF66" s="1">
        <v>39682</v>
      </c>
      <c r="AG66" t="s">
        <v>125</v>
      </c>
      <c r="AH66" t="s">
        <v>294</v>
      </c>
      <c r="AI66" t="str">
        <f>"1701015"</f>
        <v>1701015</v>
      </c>
      <c r="AJ66" t="s">
        <v>295</v>
      </c>
      <c r="AK66">
        <v>2810761696</v>
      </c>
      <c r="AL66" t="s">
        <v>296</v>
      </c>
      <c r="AM66" t="s">
        <v>78</v>
      </c>
      <c r="AN66" t="s">
        <v>219</v>
      </c>
      <c r="AO66" t="s">
        <v>297</v>
      </c>
      <c r="AP66" t="s">
        <v>297</v>
      </c>
      <c r="AQ66">
        <v>10</v>
      </c>
      <c r="AR66" t="s">
        <v>123</v>
      </c>
      <c r="AS66" t="s">
        <v>124</v>
      </c>
      <c r="AT66" t="s">
        <v>58</v>
      </c>
      <c r="AU66" t="s">
        <v>68</v>
      </c>
      <c r="AV66" t="s">
        <v>69</v>
      </c>
      <c r="AW66" s="1">
        <v>26568</v>
      </c>
      <c r="AX66">
        <v>2</v>
      </c>
    </row>
    <row r="67" spans="1:50">
      <c r="B67" t="str">
        <f>"053945039"</f>
        <v>053945039</v>
      </c>
      <c r="C67" t="s">
        <v>50</v>
      </c>
      <c r="D67" t="s">
        <v>433</v>
      </c>
      <c r="E67" t="s">
        <v>250</v>
      </c>
      <c r="F67" t="s">
        <v>99</v>
      </c>
      <c r="G67" t="s">
        <v>83</v>
      </c>
      <c r="H67" t="str">
        <f>"Μελετίου Δεσποτάκη 7 Κορακοβούνι"</f>
        <v>Μελετίου Δεσποτάκη 7 Κορακοβούνι</v>
      </c>
      <c r="I67">
        <v>71410</v>
      </c>
      <c r="J67">
        <v>2810370902</v>
      </c>
      <c r="K67">
        <v>6937009393</v>
      </c>
      <c r="M67" t="s">
        <v>434</v>
      </c>
      <c r="N67" t="s">
        <v>292</v>
      </c>
      <c r="O67" t="s">
        <v>293</v>
      </c>
      <c r="R67" t="s">
        <v>159</v>
      </c>
      <c r="S67">
        <v>4</v>
      </c>
      <c r="T67" t="s">
        <v>416</v>
      </c>
      <c r="U67" s="1">
        <v>43349</v>
      </c>
      <c r="V67" t="s">
        <v>123</v>
      </c>
      <c r="W67" t="s">
        <v>124</v>
      </c>
      <c r="X67" t="s">
        <v>58</v>
      </c>
      <c r="Y67">
        <v>21</v>
      </c>
      <c r="Z67" t="s">
        <v>59</v>
      </c>
      <c r="AA67" t="s">
        <v>59</v>
      </c>
      <c r="AB67" t="s">
        <v>59</v>
      </c>
      <c r="AC67" t="s">
        <v>59</v>
      </c>
      <c r="AD67" t="s">
        <v>59</v>
      </c>
      <c r="AF67" s="1">
        <v>43349</v>
      </c>
      <c r="AG67" t="s">
        <v>125</v>
      </c>
      <c r="AH67" t="s">
        <v>126</v>
      </c>
      <c r="AI67" t="str">
        <f>"1701090"</f>
        <v>1701090</v>
      </c>
      <c r="AJ67" t="s">
        <v>435</v>
      </c>
      <c r="AK67">
        <v>2810871288</v>
      </c>
      <c r="AL67" t="s">
        <v>436</v>
      </c>
      <c r="AM67" t="s">
        <v>78</v>
      </c>
      <c r="AN67" t="s">
        <v>78</v>
      </c>
      <c r="AO67" t="s">
        <v>437</v>
      </c>
      <c r="AP67" t="s">
        <v>438</v>
      </c>
      <c r="AQ67">
        <v>26</v>
      </c>
      <c r="AR67" t="s">
        <v>123</v>
      </c>
      <c r="AS67" t="s">
        <v>124</v>
      </c>
      <c r="AT67" t="s">
        <v>58</v>
      </c>
      <c r="AU67" t="s">
        <v>419</v>
      </c>
      <c r="AV67" t="s">
        <v>132</v>
      </c>
      <c r="AW67" s="1">
        <v>24016</v>
      </c>
      <c r="AX67">
        <v>2</v>
      </c>
    </row>
    <row r="68" spans="1:50">
      <c r="A68">
        <v>182875</v>
      </c>
      <c r="B68" t="str">
        <f>"045642028"</f>
        <v>045642028</v>
      </c>
      <c r="C68" t="s">
        <v>50</v>
      </c>
      <c r="D68" t="s">
        <v>439</v>
      </c>
      <c r="E68" t="s">
        <v>440</v>
      </c>
      <c r="F68" t="s">
        <v>72</v>
      </c>
      <c r="G68" t="s">
        <v>316</v>
      </c>
      <c r="H68" t="str">
        <f>"ΚΑΣΑΠΑΚΗ 14 ΗΡΑΚΛΕΙΟ"</f>
        <v>ΚΑΣΑΠΑΚΗ 14 ΗΡΑΚΛΕΙΟ</v>
      </c>
      <c r="I68">
        <v>71601</v>
      </c>
      <c r="J68">
        <v>2810330721</v>
      </c>
      <c r="K68">
        <v>6945429524</v>
      </c>
      <c r="M68" t="s">
        <v>441</v>
      </c>
      <c r="N68" t="s">
        <v>288</v>
      </c>
      <c r="O68" t="s">
        <v>289</v>
      </c>
      <c r="R68" t="s">
        <v>57</v>
      </c>
      <c r="S68">
        <v>11</v>
      </c>
      <c r="T68">
        <v>249</v>
      </c>
      <c r="U68" s="1">
        <v>36160</v>
      </c>
      <c r="V68" t="s">
        <v>123</v>
      </c>
      <c r="W68" t="s">
        <v>124</v>
      </c>
      <c r="X68" t="s">
        <v>58</v>
      </c>
      <c r="Y68">
        <v>20</v>
      </c>
      <c r="Z68" t="s">
        <v>59</v>
      </c>
      <c r="AA68" t="s">
        <v>59</v>
      </c>
      <c r="AB68" t="s">
        <v>59</v>
      </c>
      <c r="AC68" t="s">
        <v>59</v>
      </c>
      <c r="AD68" t="s">
        <v>59</v>
      </c>
      <c r="AF68" s="1">
        <v>36160</v>
      </c>
      <c r="AG68" t="s">
        <v>125</v>
      </c>
      <c r="AH68" t="s">
        <v>126</v>
      </c>
      <c r="AI68" t="str">
        <f>"1701041"</f>
        <v>1701041</v>
      </c>
      <c r="AJ68" t="s">
        <v>161</v>
      </c>
      <c r="AK68">
        <v>2810327052</v>
      </c>
      <c r="AL68" t="s">
        <v>162</v>
      </c>
      <c r="AM68" t="s">
        <v>78</v>
      </c>
      <c r="AN68" t="s">
        <v>78</v>
      </c>
      <c r="AO68" t="s">
        <v>78</v>
      </c>
      <c r="AP68" t="s">
        <v>163</v>
      </c>
      <c r="AQ68">
        <v>5</v>
      </c>
      <c r="AR68" t="s">
        <v>123</v>
      </c>
      <c r="AS68" t="s">
        <v>124</v>
      </c>
      <c r="AT68" t="s">
        <v>58</v>
      </c>
      <c r="AU68" t="s">
        <v>68</v>
      </c>
      <c r="AV68" t="s">
        <v>69</v>
      </c>
      <c r="AW68" s="1">
        <v>27198</v>
      </c>
      <c r="AX68">
        <v>2</v>
      </c>
    </row>
    <row r="69" spans="1:50">
      <c r="A69">
        <v>167896</v>
      </c>
      <c r="B69" t="str">
        <f>"030267725"</f>
        <v>030267725</v>
      </c>
      <c r="C69" t="s">
        <v>105</v>
      </c>
      <c r="D69" t="s">
        <v>442</v>
      </c>
      <c r="E69" t="s">
        <v>106</v>
      </c>
      <c r="F69" t="s">
        <v>166</v>
      </c>
      <c r="G69" t="s">
        <v>250</v>
      </c>
      <c r="H69" t="str">
        <f>"ΠΥΡΓΟΥ 2 ΗΡΑΚΛΕΙΟ"</f>
        <v>ΠΥΡΓΟΥ 2 ΗΡΑΚΛΕΙΟ</v>
      </c>
      <c r="I69">
        <v>71409</v>
      </c>
      <c r="K69">
        <v>6971895725</v>
      </c>
      <c r="N69" t="s">
        <v>292</v>
      </c>
      <c r="O69" t="s">
        <v>293</v>
      </c>
      <c r="R69" t="s">
        <v>57</v>
      </c>
      <c r="S69">
        <v>13</v>
      </c>
      <c r="T69">
        <v>159</v>
      </c>
      <c r="U69" s="1">
        <v>34582</v>
      </c>
      <c r="V69" t="s">
        <v>123</v>
      </c>
      <c r="W69" t="s">
        <v>124</v>
      </c>
      <c r="X69" t="s">
        <v>58</v>
      </c>
      <c r="Y69">
        <v>18</v>
      </c>
      <c r="Z69" t="s">
        <v>59</v>
      </c>
      <c r="AA69" t="s">
        <v>59</v>
      </c>
      <c r="AB69" t="s">
        <v>59</v>
      </c>
      <c r="AC69" t="s">
        <v>59</v>
      </c>
      <c r="AD69" t="s">
        <v>59</v>
      </c>
      <c r="AF69" s="1">
        <v>34582</v>
      </c>
      <c r="AG69" t="s">
        <v>125</v>
      </c>
      <c r="AH69" t="s">
        <v>126</v>
      </c>
      <c r="AI69" t="str">
        <f>"1701051"</f>
        <v>1701051</v>
      </c>
      <c r="AJ69" t="s">
        <v>443</v>
      </c>
      <c r="AK69">
        <v>2810325815</v>
      </c>
      <c r="AL69" t="s">
        <v>444</v>
      </c>
      <c r="AM69" t="s">
        <v>78</v>
      </c>
      <c r="AN69" t="s">
        <v>78</v>
      </c>
      <c r="AO69" t="s">
        <v>78</v>
      </c>
      <c r="AP69" t="s">
        <v>163</v>
      </c>
      <c r="AQ69">
        <v>5</v>
      </c>
      <c r="AR69" t="s">
        <v>123</v>
      </c>
      <c r="AS69" t="s">
        <v>124</v>
      </c>
      <c r="AT69" t="s">
        <v>58</v>
      </c>
      <c r="AU69" t="s">
        <v>68</v>
      </c>
      <c r="AV69" t="s">
        <v>69</v>
      </c>
      <c r="AW69" s="1">
        <v>21202</v>
      </c>
      <c r="AX69">
        <v>2</v>
      </c>
    </row>
    <row r="70" spans="1:50">
      <c r="B70" t="str">
        <f>"102512004"</f>
        <v>102512004</v>
      </c>
      <c r="C70" t="s">
        <v>50</v>
      </c>
      <c r="D70" t="s">
        <v>445</v>
      </c>
      <c r="E70" t="s">
        <v>112</v>
      </c>
      <c r="F70" t="s">
        <v>72</v>
      </c>
      <c r="G70" t="s">
        <v>446</v>
      </c>
      <c r="H70" t="str">
        <f>"ΜΕΛΙΝΑΣ ΜΕΡΚΟΥΡΗ 32 ΗΡΑΚΛΕΙΟ"</f>
        <v>ΜΕΛΙΝΑΣ ΜΕΡΚΟΥΡΗ 32 ΗΡΑΚΛΕΙΟ</v>
      </c>
      <c r="I70">
        <v>71305</v>
      </c>
      <c r="J70">
        <v>2810233249</v>
      </c>
      <c r="K70">
        <v>6942036578</v>
      </c>
      <c r="N70" t="s">
        <v>447</v>
      </c>
      <c r="O70" t="s">
        <v>448</v>
      </c>
      <c r="R70" t="s">
        <v>159</v>
      </c>
      <c r="S70">
        <v>4</v>
      </c>
      <c r="T70" t="s">
        <v>344</v>
      </c>
      <c r="U70" s="1">
        <v>43348</v>
      </c>
      <c r="V70" t="s">
        <v>123</v>
      </c>
      <c r="W70" t="s">
        <v>124</v>
      </c>
      <c r="X70" t="s">
        <v>58</v>
      </c>
      <c r="Y70">
        <v>23</v>
      </c>
      <c r="Z70" t="s">
        <v>59</v>
      </c>
      <c r="AA70" t="s">
        <v>59</v>
      </c>
      <c r="AB70" t="s">
        <v>59</v>
      </c>
      <c r="AC70" t="s">
        <v>59</v>
      </c>
      <c r="AD70" t="s">
        <v>59</v>
      </c>
      <c r="AF70" s="1">
        <v>43348</v>
      </c>
      <c r="AG70" t="s">
        <v>148</v>
      </c>
      <c r="AH70" t="s">
        <v>149</v>
      </c>
      <c r="AI70" t="str">
        <f>"1751052"</f>
        <v>1751052</v>
      </c>
      <c r="AJ70" t="s">
        <v>328</v>
      </c>
      <c r="AK70">
        <v>2810213762</v>
      </c>
      <c r="AL70" t="s">
        <v>329</v>
      </c>
      <c r="AM70" t="s">
        <v>78</v>
      </c>
      <c r="AN70" t="s">
        <v>78</v>
      </c>
      <c r="AO70" t="s">
        <v>78</v>
      </c>
      <c r="AP70" t="s">
        <v>163</v>
      </c>
      <c r="AQ70">
        <v>8</v>
      </c>
      <c r="AR70" t="s">
        <v>123</v>
      </c>
      <c r="AS70" t="s">
        <v>124</v>
      </c>
      <c r="AT70" t="s">
        <v>58</v>
      </c>
      <c r="AU70" t="s">
        <v>350</v>
      </c>
      <c r="AV70" t="s">
        <v>132</v>
      </c>
      <c r="AW70" s="1">
        <v>28664</v>
      </c>
      <c r="AX70">
        <v>2</v>
      </c>
    </row>
    <row r="71" spans="1:50">
      <c r="A71">
        <v>176772</v>
      </c>
      <c r="B71" t="str">
        <f>"059383074"</f>
        <v>059383074</v>
      </c>
      <c r="C71" t="s">
        <v>105</v>
      </c>
      <c r="D71" t="s">
        <v>449</v>
      </c>
      <c r="E71" t="s">
        <v>450</v>
      </c>
      <c r="F71" t="s">
        <v>53</v>
      </c>
      <c r="G71" t="s">
        <v>221</v>
      </c>
      <c r="H71" t="str">
        <f>" "</f>
        <v xml:space="preserve"> </v>
      </c>
      <c r="J71">
        <v>2810346910</v>
      </c>
      <c r="K71">
        <v>6972523558</v>
      </c>
      <c r="M71" t="s">
        <v>451</v>
      </c>
      <c r="N71" t="s">
        <v>288</v>
      </c>
      <c r="O71" t="s">
        <v>289</v>
      </c>
      <c r="R71" t="s">
        <v>57</v>
      </c>
      <c r="S71">
        <v>11</v>
      </c>
      <c r="T71">
        <v>180</v>
      </c>
      <c r="U71" s="1">
        <v>35674</v>
      </c>
      <c r="V71" t="s">
        <v>123</v>
      </c>
      <c r="W71" t="s">
        <v>124</v>
      </c>
      <c r="X71" t="s">
        <v>58</v>
      </c>
      <c r="Y71">
        <v>18</v>
      </c>
      <c r="Z71" t="s">
        <v>59</v>
      </c>
      <c r="AA71" t="s">
        <v>59</v>
      </c>
      <c r="AB71" t="s">
        <v>59</v>
      </c>
      <c r="AC71" t="s">
        <v>59</v>
      </c>
      <c r="AD71" t="s">
        <v>452</v>
      </c>
      <c r="AE71" s="1">
        <v>43708</v>
      </c>
      <c r="AF71" s="1">
        <v>35678</v>
      </c>
      <c r="AG71" t="s">
        <v>60</v>
      </c>
      <c r="AH71" t="s">
        <v>453</v>
      </c>
      <c r="AI71" t="str">
        <f>"1700105"</f>
        <v>1700105</v>
      </c>
      <c r="AJ71" t="s">
        <v>124</v>
      </c>
      <c r="AK71">
        <v>2810333720</v>
      </c>
      <c r="AL71" t="s">
        <v>454</v>
      </c>
      <c r="AM71" t="s">
        <v>78</v>
      </c>
      <c r="AN71" t="s">
        <v>78</v>
      </c>
      <c r="AO71" t="s">
        <v>78</v>
      </c>
      <c r="AP71" t="s">
        <v>79</v>
      </c>
      <c r="AS71" t="s">
        <v>124</v>
      </c>
      <c r="AT71" t="s">
        <v>58</v>
      </c>
      <c r="AU71" t="s">
        <v>68</v>
      </c>
      <c r="AV71" t="s">
        <v>455</v>
      </c>
      <c r="AW71" s="1">
        <v>23606</v>
      </c>
      <c r="AX71">
        <v>2</v>
      </c>
    </row>
    <row r="72" spans="1:50">
      <c r="A72">
        <v>217403</v>
      </c>
      <c r="B72" t="str">
        <f>"055351349"</f>
        <v>055351349</v>
      </c>
      <c r="C72" t="s">
        <v>50</v>
      </c>
      <c r="D72" t="s">
        <v>456</v>
      </c>
      <c r="E72" t="s">
        <v>54</v>
      </c>
      <c r="F72" t="s">
        <v>166</v>
      </c>
      <c r="G72" t="s">
        <v>96</v>
      </c>
      <c r="H72" t="str">
        <f>"ΔΑΒΑΚΗ 19 ΗΡΑΚΛΕΙΟ"</f>
        <v>ΔΑΒΑΚΗ 19 ΗΡΑΚΛΕΙΟ</v>
      </c>
      <c r="I72">
        <v>71307</v>
      </c>
      <c r="J72">
        <v>2815006513</v>
      </c>
      <c r="K72">
        <v>6972821219</v>
      </c>
      <c r="M72" t="s">
        <v>457</v>
      </c>
      <c r="N72" t="s">
        <v>146</v>
      </c>
      <c r="O72" t="s">
        <v>147</v>
      </c>
      <c r="R72" t="s">
        <v>57</v>
      </c>
      <c r="S72">
        <v>8</v>
      </c>
      <c r="T72">
        <v>599</v>
      </c>
      <c r="U72" s="1">
        <v>39310</v>
      </c>
      <c r="V72" t="s">
        <v>123</v>
      </c>
      <c r="W72" t="s">
        <v>124</v>
      </c>
      <c r="X72" t="s">
        <v>58</v>
      </c>
      <c r="Y72">
        <v>20</v>
      </c>
      <c r="Z72" t="s">
        <v>59</v>
      </c>
      <c r="AA72" t="s">
        <v>59</v>
      </c>
      <c r="AB72" t="s">
        <v>59</v>
      </c>
      <c r="AC72" t="s">
        <v>59</v>
      </c>
      <c r="AD72" t="s">
        <v>59</v>
      </c>
      <c r="AF72" s="1">
        <v>39328</v>
      </c>
      <c r="AG72" t="s">
        <v>125</v>
      </c>
      <c r="AH72" t="s">
        <v>126</v>
      </c>
      <c r="AI72" t="str">
        <f>"1701051"</f>
        <v>1701051</v>
      </c>
      <c r="AJ72" t="s">
        <v>443</v>
      </c>
      <c r="AK72">
        <v>2810325815</v>
      </c>
      <c r="AL72" t="s">
        <v>444</v>
      </c>
      <c r="AM72" t="s">
        <v>78</v>
      </c>
      <c r="AN72" t="s">
        <v>78</v>
      </c>
      <c r="AO72" t="s">
        <v>78</v>
      </c>
      <c r="AP72" t="s">
        <v>163</v>
      </c>
      <c r="AQ72">
        <v>5</v>
      </c>
      <c r="AR72" t="s">
        <v>123</v>
      </c>
      <c r="AS72" t="s">
        <v>124</v>
      </c>
      <c r="AT72" t="s">
        <v>58</v>
      </c>
      <c r="AU72" t="s">
        <v>68</v>
      </c>
      <c r="AV72" t="s">
        <v>69</v>
      </c>
      <c r="AW72" s="1">
        <v>25575</v>
      </c>
      <c r="AX72">
        <v>2</v>
      </c>
    </row>
    <row r="73" spans="1:50">
      <c r="A73">
        <v>229009</v>
      </c>
      <c r="B73" t="str">
        <f>"129257941"</f>
        <v>129257941</v>
      </c>
      <c r="C73" t="s">
        <v>50</v>
      </c>
      <c r="D73" t="s">
        <v>458</v>
      </c>
      <c r="E73" t="s">
        <v>237</v>
      </c>
      <c r="F73" t="s">
        <v>459</v>
      </c>
      <c r="G73" t="s">
        <v>460</v>
      </c>
      <c r="H73" t="str">
        <f>"ΜΑΧΗΣ ΚΡΗΤΗΣ 45 ΗΡΑΚΛΕΙΟ"</f>
        <v>ΜΑΧΗΣ ΚΡΗΤΗΣ 45 ΗΡΑΚΛΕΙΟ</v>
      </c>
      <c r="I73">
        <v>71303</v>
      </c>
      <c r="K73">
        <v>6943293139</v>
      </c>
      <c r="L73">
        <v>2510240552</v>
      </c>
      <c r="M73" t="s">
        <v>461</v>
      </c>
      <c r="N73" t="s">
        <v>306</v>
      </c>
      <c r="O73" t="s">
        <v>307</v>
      </c>
      <c r="R73" t="s">
        <v>57</v>
      </c>
      <c r="S73">
        <v>7</v>
      </c>
      <c r="T73">
        <v>720</v>
      </c>
      <c r="U73" s="1">
        <v>40059</v>
      </c>
      <c r="V73" t="s">
        <v>123</v>
      </c>
      <c r="W73" t="s">
        <v>124</v>
      </c>
      <c r="X73" t="s">
        <v>58</v>
      </c>
      <c r="Y73">
        <v>21</v>
      </c>
      <c r="Z73" t="s">
        <v>59</v>
      </c>
      <c r="AA73" t="s">
        <v>59</v>
      </c>
      <c r="AB73" t="s">
        <v>59</v>
      </c>
      <c r="AC73" t="s">
        <v>59</v>
      </c>
      <c r="AD73" t="s">
        <v>59</v>
      </c>
      <c r="AF73" s="1">
        <v>40063</v>
      </c>
      <c r="AG73" t="s">
        <v>125</v>
      </c>
      <c r="AH73" t="s">
        <v>126</v>
      </c>
      <c r="AI73" t="str">
        <f>"1721010"</f>
        <v>1721010</v>
      </c>
      <c r="AJ73" t="s">
        <v>462</v>
      </c>
      <c r="AK73">
        <v>2892031207</v>
      </c>
      <c r="AL73" t="s">
        <v>463</v>
      </c>
      <c r="AM73" t="s">
        <v>78</v>
      </c>
      <c r="AN73" t="s">
        <v>405</v>
      </c>
      <c r="AO73" t="s">
        <v>405</v>
      </c>
      <c r="AP73" t="s">
        <v>464</v>
      </c>
      <c r="AQ73">
        <v>33</v>
      </c>
      <c r="AR73" t="s">
        <v>123</v>
      </c>
      <c r="AS73" t="s">
        <v>124</v>
      </c>
      <c r="AT73" t="s">
        <v>58</v>
      </c>
      <c r="AU73" t="s">
        <v>68</v>
      </c>
      <c r="AV73" t="s">
        <v>69</v>
      </c>
      <c r="AW73" s="1">
        <v>30100</v>
      </c>
      <c r="AX73">
        <v>2</v>
      </c>
    </row>
    <row r="74" spans="1:50">
      <c r="A74">
        <v>905783</v>
      </c>
      <c r="B74" t="str">
        <f>"026482834"</f>
        <v>026482834</v>
      </c>
      <c r="C74" t="s">
        <v>105</v>
      </c>
      <c r="D74" t="s">
        <v>465</v>
      </c>
      <c r="E74" t="s">
        <v>106</v>
      </c>
      <c r="F74" t="s">
        <v>95</v>
      </c>
      <c r="G74" t="s">
        <v>237</v>
      </c>
      <c r="H74" t="str">
        <f>"Κ. ΑΡΧΑΝΕΣ "</f>
        <v xml:space="preserve">Κ. ΑΡΧΑΝΕΣ </v>
      </c>
      <c r="I74">
        <v>70100</v>
      </c>
      <c r="J74">
        <v>2810751381</v>
      </c>
      <c r="K74">
        <v>6946141309</v>
      </c>
      <c r="M74" t="s">
        <v>466</v>
      </c>
      <c r="N74" t="s">
        <v>146</v>
      </c>
      <c r="O74" t="s">
        <v>147</v>
      </c>
      <c r="R74" t="s">
        <v>57</v>
      </c>
      <c r="S74">
        <v>17</v>
      </c>
      <c r="T74">
        <v>262</v>
      </c>
      <c r="U74" s="1">
        <v>30916</v>
      </c>
      <c r="V74" t="s">
        <v>123</v>
      </c>
      <c r="W74" t="s">
        <v>124</v>
      </c>
      <c r="X74" t="s">
        <v>58</v>
      </c>
      <c r="Y74">
        <v>18</v>
      </c>
      <c r="Z74" t="s">
        <v>59</v>
      </c>
      <c r="AA74" t="s">
        <v>59</v>
      </c>
      <c r="AB74" t="s">
        <v>59</v>
      </c>
      <c r="AC74" t="s">
        <v>59</v>
      </c>
      <c r="AD74" t="s">
        <v>59</v>
      </c>
      <c r="AF74" s="1">
        <v>30928</v>
      </c>
      <c r="AG74" t="s">
        <v>125</v>
      </c>
      <c r="AH74" t="s">
        <v>126</v>
      </c>
      <c r="AI74" t="str">
        <f>"1703010"</f>
        <v>1703010</v>
      </c>
      <c r="AJ74" t="s">
        <v>422</v>
      </c>
      <c r="AK74">
        <v>2810751808</v>
      </c>
      <c r="AL74" t="s">
        <v>423</v>
      </c>
      <c r="AM74" t="s">
        <v>78</v>
      </c>
      <c r="AN74" t="s">
        <v>424</v>
      </c>
      <c r="AO74" t="s">
        <v>425</v>
      </c>
      <c r="AP74" t="s">
        <v>425</v>
      </c>
      <c r="AQ74">
        <v>13</v>
      </c>
      <c r="AR74" t="s">
        <v>123</v>
      </c>
      <c r="AS74" t="s">
        <v>124</v>
      </c>
      <c r="AT74" t="s">
        <v>58</v>
      </c>
      <c r="AU74" t="s">
        <v>68</v>
      </c>
      <c r="AV74" t="s">
        <v>69</v>
      </c>
      <c r="AW74" s="1">
        <v>22000</v>
      </c>
      <c r="AX74">
        <v>2</v>
      </c>
    </row>
    <row r="75" spans="1:50">
      <c r="A75">
        <v>161528</v>
      </c>
      <c r="B75" t="str">
        <f>"034629652"</f>
        <v>034629652</v>
      </c>
      <c r="C75" t="s">
        <v>50</v>
      </c>
      <c r="D75" t="s">
        <v>467</v>
      </c>
      <c r="E75" t="s">
        <v>52</v>
      </c>
      <c r="F75" t="s">
        <v>95</v>
      </c>
      <c r="G75" t="s">
        <v>109</v>
      </c>
      <c r="H75" t="str">
        <f>" "</f>
        <v xml:space="preserve"> </v>
      </c>
      <c r="M75" t="s">
        <v>468</v>
      </c>
      <c r="N75" t="s">
        <v>331</v>
      </c>
      <c r="O75" t="s">
        <v>332</v>
      </c>
      <c r="R75" t="s">
        <v>57</v>
      </c>
      <c r="S75">
        <v>16</v>
      </c>
      <c r="T75">
        <v>161</v>
      </c>
      <c r="U75" s="1">
        <v>33119</v>
      </c>
      <c r="V75" t="s">
        <v>123</v>
      </c>
      <c r="W75" t="s">
        <v>124</v>
      </c>
      <c r="X75" t="s">
        <v>58</v>
      </c>
      <c r="Y75">
        <v>18</v>
      </c>
      <c r="Z75" t="s">
        <v>59</v>
      </c>
      <c r="AA75" t="s">
        <v>59</v>
      </c>
      <c r="AB75" t="s">
        <v>59</v>
      </c>
      <c r="AC75" t="s">
        <v>59</v>
      </c>
      <c r="AD75" t="s">
        <v>59</v>
      </c>
      <c r="AF75" s="1">
        <v>33121</v>
      </c>
      <c r="AG75" t="s">
        <v>137</v>
      </c>
      <c r="AH75" t="s">
        <v>469</v>
      </c>
      <c r="AI75" t="str">
        <f>"1740200"</f>
        <v>1740200</v>
      </c>
      <c r="AJ75" t="s">
        <v>470</v>
      </c>
      <c r="AK75">
        <v>2810320770</v>
      </c>
      <c r="AL75" t="s">
        <v>471</v>
      </c>
      <c r="AM75" t="s">
        <v>78</v>
      </c>
      <c r="AN75" t="s">
        <v>78</v>
      </c>
      <c r="AO75" t="s">
        <v>78</v>
      </c>
      <c r="AP75" t="s">
        <v>163</v>
      </c>
      <c r="AQ75">
        <v>2</v>
      </c>
      <c r="AR75" t="s">
        <v>123</v>
      </c>
      <c r="AS75" t="s">
        <v>124</v>
      </c>
      <c r="AT75" t="s">
        <v>58</v>
      </c>
      <c r="AU75" t="s">
        <v>68</v>
      </c>
      <c r="AV75" t="s">
        <v>69</v>
      </c>
      <c r="AW75" s="1">
        <v>23519</v>
      </c>
      <c r="AX75">
        <v>2</v>
      </c>
    </row>
    <row r="76" spans="1:50">
      <c r="A76">
        <v>158039</v>
      </c>
      <c r="B76" t="str">
        <f>"035619865"</f>
        <v>035619865</v>
      </c>
      <c r="C76" t="s">
        <v>105</v>
      </c>
      <c r="D76" t="s">
        <v>472</v>
      </c>
      <c r="E76" t="s">
        <v>95</v>
      </c>
      <c r="F76" t="s">
        <v>53</v>
      </c>
      <c r="G76" t="s">
        <v>473</v>
      </c>
      <c r="H76" t="str">
        <f>"ΚΥΚΛΑΔΩΝ 66 (ΜΕΛΙΝΑΣ ΜΕΡΚΟΥΡΗ) ΘΕΡΙΣΟ"</f>
        <v>ΚΥΚΛΑΔΩΝ 66 (ΜΕΛΙΝΑΣ ΜΕΡΚΟΥΡΗ) ΘΕΡΙΣΟ</v>
      </c>
      <c r="I76">
        <v>71305</v>
      </c>
      <c r="J76">
        <v>2810253873</v>
      </c>
      <c r="K76">
        <v>6944172781</v>
      </c>
      <c r="N76" t="s">
        <v>189</v>
      </c>
      <c r="O76" t="s">
        <v>190</v>
      </c>
      <c r="R76" t="s">
        <v>57</v>
      </c>
      <c r="S76">
        <v>14</v>
      </c>
      <c r="T76">
        <v>188</v>
      </c>
      <c r="U76" s="1">
        <v>32752</v>
      </c>
      <c r="V76" t="s">
        <v>123</v>
      </c>
      <c r="W76" t="s">
        <v>124</v>
      </c>
      <c r="X76" t="s">
        <v>58</v>
      </c>
      <c r="Y76">
        <v>18</v>
      </c>
      <c r="Z76" t="s">
        <v>59</v>
      </c>
      <c r="AA76" t="s">
        <v>59</v>
      </c>
      <c r="AB76" t="s">
        <v>59</v>
      </c>
      <c r="AC76" t="s">
        <v>59</v>
      </c>
      <c r="AD76" t="s">
        <v>59</v>
      </c>
      <c r="AF76" s="1">
        <v>32752</v>
      </c>
      <c r="AG76" t="s">
        <v>137</v>
      </c>
      <c r="AH76" t="s">
        <v>138</v>
      </c>
      <c r="AI76" t="str">
        <f>"1740210"</f>
        <v>1740210</v>
      </c>
      <c r="AJ76" t="s">
        <v>139</v>
      </c>
      <c r="AK76">
        <v>2810318130</v>
      </c>
      <c r="AL76" t="s">
        <v>140</v>
      </c>
      <c r="AM76" t="s">
        <v>78</v>
      </c>
      <c r="AN76" t="s">
        <v>78</v>
      </c>
      <c r="AO76" t="s">
        <v>78</v>
      </c>
      <c r="AP76" t="s">
        <v>141</v>
      </c>
      <c r="AQ76">
        <v>7</v>
      </c>
      <c r="AR76" t="s">
        <v>123</v>
      </c>
      <c r="AS76" t="s">
        <v>124</v>
      </c>
      <c r="AT76" t="s">
        <v>58</v>
      </c>
      <c r="AU76" t="s">
        <v>68</v>
      </c>
      <c r="AV76" t="s">
        <v>69</v>
      </c>
      <c r="AW76" s="1">
        <v>20122</v>
      </c>
      <c r="AX76">
        <v>2</v>
      </c>
    </row>
    <row r="77" spans="1:50">
      <c r="A77">
        <v>177950</v>
      </c>
      <c r="B77" t="str">
        <f>"044795430"</f>
        <v>044795430</v>
      </c>
      <c r="C77" t="s">
        <v>105</v>
      </c>
      <c r="D77" t="s">
        <v>472</v>
      </c>
      <c r="E77" t="s">
        <v>474</v>
      </c>
      <c r="F77" t="s">
        <v>166</v>
      </c>
      <c r="G77" t="s">
        <v>263</v>
      </c>
      <c r="H77" t="str">
        <f>" "</f>
        <v xml:space="preserve"> </v>
      </c>
      <c r="N77" t="s">
        <v>204</v>
      </c>
      <c r="O77" t="s">
        <v>205</v>
      </c>
      <c r="R77" t="s">
        <v>57</v>
      </c>
      <c r="S77">
        <v>15</v>
      </c>
      <c r="T77">
        <v>180</v>
      </c>
      <c r="U77" s="1">
        <v>35674</v>
      </c>
      <c r="V77" t="s">
        <v>123</v>
      </c>
      <c r="W77" t="s">
        <v>124</v>
      </c>
      <c r="X77" t="s">
        <v>58</v>
      </c>
      <c r="Y77">
        <v>18</v>
      </c>
      <c r="Z77" t="s">
        <v>59</v>
      </c>
      <c r="AA77" t="s">
        <v>59</v>
      </c>
      <c r="AB77" t="s">
        <v>59</v>
      </c>
      <c r="AC77" t="s">
        <v>59</v>
      </c>
      <c r="AD77" t="s">
        <v>59</v>
      </c>
      <c r="AF77" s="1">
        <v>35674</v>
      </c>
      <c r="AG77" t="s">
        <v>137</v>
      </c>
      <c r="AH77" t="s">
        <v>469</v>
      </c>
      <c r="AI77" t="str">
        <f>"1740200"</f>
        <v>1740200</v>
      </c>
      <c r="AJ77" t="s">
        <v>470</v>
      </c>
      <c r="AK77">
        <v>2810320770</v>
      </c>
      <c r="AL77" t="s">
        <v>471</v>
      </c>
      <c r="AM77" t="s">
        <v>78</v>
      </c>
      <c r="AN77" t="s">
        <v>78</v>
      </c>
      <c r="AO77" t="s">
        <v>78</v>
      </c>
      <c r="AP77" t="s">
        <v>163</v>
      </c>
      <c r="AQ77">
        <v>2</v>
      </c>
      <c r="AR77" t="s">
        <v>123</v>
      </c>
      <c r="AS77" t="s">
        <v>124</v>
      </c>
      <c r="AT77" t="s">
        <v>58</v>
      </c>
      <c r="AU77" t="s">
        <v>68</v>
      </c>
      <c r="AV77" t="s">
        <v>69</v>
      </c>
      <c r="AW77" s="1">
        <v>23357</v>
      </c>
      <c r="AX77">
        <v>2</v>
      </c>
    </row>
    <row r="78" spans="1:50">
      <c r="A78">
        <v>227546</v>
      </c>
      <c r="B78" t="str">
        <f>"030171174"</f>
        <v>030171174</v>
      </c>
      <c r="C78" t="s">
        <v>50</v>
      </c>
      <c r="D78" t="s">
        <v>475</v>
      </c>
      <c r="E78" t="s">
        <v>476</v>
      </c>
      <c r="F78" t="s">
        <v>95</v>
      </c>
      <c r="G78" t="s">
        <v>52</v>
      </c>
      <c r="H78" t="str">
        <f>"ΤΣΑΚΙΡΗ 17 ΗΡΑΚΛΕΙΟ ΚΡΗΤΗΣ"</f>
        <v>ΤΣΑΚΙΡΗ 17 ΗΡΑΚΛΕΙΟ ΚΡΗΤΗΣ</v>
      </c>
      <c r="I78">
        <v>71202</v>
      </c>
      <c r="J78">
        <v>2810372516</v>
      </c>
      <c r="K78">
        <v>6974651163</v>
      </c>
      <c r="M78" t="s">
        <v>477</v>
      </c>
      <c r="N78" t="s">
        <v>478</v>
      </c>
      <c r="O78" t="s">
        <v>479</v>
      </c>
      <c r="R78" t="s">
        <v>57</v>
      </c>
      <c r="S78">
        <v>8</v>
      </c>
      <c r="T78">
        <v>654</v>
      </c>
      <c r="U78" s="1">
        <v>40043</v>
      </c>
      <c r="V78" t="s">
        <v>123</v>
      </c>
      <c r="W78" t="s">
        <v>124</v>
      </c>
      <c r="X78" t="s">
        <v>58</v>
      </c>
      <c r="Y78">
        <v>20</v>
      </c>
      <c r="Z78" t="s">
        <v>59</v>
      </c>
      <c r="AA78" t="s">
        <v>59</v>
      </c>
      <c r="AB78" t="s">
        <v>59</v>
      </c>
      <c r="AC78" t="s">
        <v>59</v>
      </c>
      <c r="AD78" t="s">
        <v>59</v>
      </c>
      <c r="AF78" s="1">
        <v>40044</v>
      </c>
      <c r="AG78" t="s">
        <v>125</v>
      </c>
      <c r="AH78" t="s">
        <v>126</v>
      </c>
      <c r="AI78" t="str">
        <f>"1704010"</f>
        <v>1704010</v>
      </c>
      <c r="AJ78" t="s">
        <v>480</v>
      </c>
      <c r="AK78">
        <v>2895022230</v>
      </c>
      <c r="AL78" t="s">
        <v>481</v>
      </c>
      <c r="AM78" t="s">
        <v>78</v>
      </c>
      <c r="AN78" t="s">
        <v>482</v>
      </c>
      <c r="AO78" t="s">
        <v>482</v>
      </c>
      <c r="AP78" t="s">
        <v>483</v>
      </c>
      <c r="AQ78">
        <v>16</v>
      </c>
      <c r="AR78" t="s">
        <v>123</v>
      </c>
      <c r="AS78" t="s">
        <v>124</v>
      </c>
      <c r="AT78" t="s">
        <v>58</v>
      </c>
      <c r="AU78" t="s">
        <v>68</v>
      </c>
      <c r="AV78" t="s">
        <v>69</v>
      </c>
      <c r="AW78" s="1">
        <v>27716</v>
      </c>
      <c r="AX78">
        <v>2</v>
      </c>
    </row>
    <row r="79" spans="1:50">
      <c r="A79">
        <v>159041</v>
      </c>
      <c r="B79" t="str">
        <f>"066373267"</f>
        <v>066373267</v>
      </c>
      <c r="C79" t="s">
        <v>50</v>
      </c>
      <c r="D79" t="s">
        <v>475</v>
      </c>
      <c r="E79" t="s">
        <v>255</v>
      </c>
      <c r="F79" t="s">
        <v>84</v>
      </c>
      <c r="G79" t="s">
        <v>484</v>
      </c>
      <c r="H79" t="str">
        <f>"ΠΑΡΑΣΚΕΥΟΠΟΥΛΟΥ 105 ΗΡΑΚΛΕΙΟ"</f>
        <v>ΠΑΡΑΣΚΕΥΟΠΟΥΛΟΥ 105 ΗΡΑΚΛΕΙΟ</v>
      </c>
      <c r="I79">
        <v>71305</v>
      </c>
      <c r="J79">
        <v>2810325376</v>
      </c>
      <c r="K79">
        <v>6934378087</v>
      </c>
      <c r="M79" t="s">
        <v>485</v>
      </c>
      <c r="N79" t="s">
        <v>146</v>
      </c>
      <c r="O79" t="s">
        <v>147</v>
      </c>
      <c r="R79" t="s">
        <v>57</v>
      </c>
      <c r="S79">
        <v>14</v>
      </c>
      <c r="T79">
        <v>161</v>
      </c>
      <c r="U79" s="1">
        <v>33119</v>
      </c>
      <c r="V79" t="s">
        <v>123</v>
      </c>
      <c r="W79" t="s">
        <v>124</v>
      </c>
      <c r="X79" t="s">
        <v>58</v>
      </c>
      <c r="Y79">
        <v>18</v>
      </c>
      <c r="Z79" t="s">
        <v>59</v>
      </c>
      <c r="AA79" t="s">
        <v>59</v>
      </c>
      <c r="AB79" t="s">
        <v>59</v>
      </c>
      <c r="AC79" t="s">
        <v>59</v>
      </c>
      <c r="AD79" t="s">
        <v>59</v>
      </c>
      <c r="AF79" s="1">
        <v>33122</v>
      </c>
      <c r="AG79" t="s">
        <v>148</v>
      </c>
      <c r="AH79" t="s">
        <v>149</v>
      </c>
      <c r="AI79" t="str">
        <f>"1751030"</f>
        <v>1751030</v>
      </c>
      <c r="AJ79" t="s">
        <v>234</v>
      </c>
      <c r="AK79">
        <v>2810282911</v>
      </c>
      <c r="AL79" t="s">
        <v>235</v>
      </c>
      <c r="AM79" t="s">
        <v>78</v>
      </c>
      <c r="AN79" t="s">
        <v>78</v>
      </c>
      <c r="AO79" t="s">
        <v>78</v>
      </c>
      <c r="AP79" t="s">
        <v>163</v>
      </c>
      <c r="AQ79">
        <v>1</v>
      </c>
      <c r="AR79" t="s">
        <v>123</v>
      </c>
      <c r="AS79" t="s">
        <v>124</v>
      </c>
      <c r="AT79" t="s">
        <v>58</v>
      </c>
      <c r="AU79" t="s">
        <v>68</v>
      </c>
      <c r="AV79" t="s">
        <v>69</v>
      </c>
      <c r="AW79" s="1">
        <v>23401</v>
      </c>
      <c r="AX79">
        <v>2</v>
      </c>
    </row>
    <row r="80" spans="1:50">
      <c r="A80">
        <v>201239</v>
      </c>
      <c r="B80" t="str">
        <f>"110135046"</f>
        <v>110135046</v>
      </c>
      <c r="C80" t="s">
        <v>50</v>
      </c>
      <c r="D80" t="s">
        <v>486</v>
      </c>
      <c r="E80" t="s">
        <v>215</v>
      </c>
      <c r="F80" t="s">
        <v>95</v>
      </c>
      <c r="G80" t="s">
        <v>250</v>
      </c>
      <c r="H80" t="str">
        <f>"ΖΩΦΟΡΟΙ ΠΕΔΙΑΔΑΣ ΠΕΔΙΑΔΑ"</f>
        <v>ΖΩΦΟΡΟΙ ΠΕΔΙΑΔΑΣ ΠΕΔΙΑΔΑ</v>
      </c>
      <c r="I80">
        <v>70006</v>
      </c>
      <c r="J80">
        <v>2891041297</v>
      </c>
      <c r="K80">
        <v>6970738634</v>
      </c>
      <c r="M80" t="s">
        <v>487</v>
      </c>
      <c r="N80" t="s">
        <v>146</v>
      </c>
      <c r="O80" t="s">
        <v>147</v>
      </c>
      <c r="R80" t="s">
        <v>57</v>
      </c>
      <c r="S80">
        <v>6</v>
      </c>
      <c r="T80">
        <v>231</v>
      </c>
      <c r="U80" s="1">
        <v>38230</v>
      </c>
      <c r="V80" t="s">
        <v>123</v>
      </c>
      <c r="W80" t="s">
        <v>124</v>
      </c>
      <c r="X80" t="s">
        <v>58</v>
      </c>
      <c r="Y80">
        <v>20</v>
      </c>
      <c r="Z80" t="s">
        <v>59</v>
      </c>
      <c r="AA80" t="s">
        <v>59</v>
      </c>
      <c r="AB80" t="s">
        <v>59</v>
      </c>
      <c r="AC80" t="s">
        <v>59</v>
      </c>
      <c r="AD80" t="s">
        <v>59</v>
      </c>
      <c r="AF80" s="1">
        <v>38232</v>
      </c>
      <c r="AG80" t="s">
        <v>137</v>
      </c>
      <c r="AH80" t="s">
        <v>138</v>
      </c>
      <c r="AI80" t="str">
        <f>"1740310"</f>
        <v>1740310</v>
      </c>
      <c r="AJ80" t="s">
        <v>488</v>
      </c>
      <c r="AK80">
        <v>2891024228</v>
      </c>
      <c r="AL80" t="s">
        <v>489</v>
      </c>
      <c r="AM80" t="s">
        <v>78</v>
      </c>
      <c r="AN80" t="s">
        <v>276</v>
      </c>
      <c r="AO80" t="s">
        <v>490</v>
      </c>
      <c r="AP80" t="s">
        <v>490</v>
      </c>
      <c r="AQ80">
        <v>15</v>
      </c>
      <c r="AR80" t="s">
        <v>123</v>
      </c>
      <c r="AS80" t="s">
        <v>124</v>
      </c>
      <c r="AT80" t="s">
        <v>58</v>
      </c>
      <c r="AU80" t="s">
        <v>68</v>
      </c>
      <c r="AV80" t="s">
        <v>69</v>
      </c>
      <c r="AW80" s="1">
        <v>27589</v>
      </c>
      <c r="AX80">
        <v>2</v>
      </c>
    </row>
    <row r="81" spans="1:50">
      <c r="A81">
        <v>218972</v>
      </c>
      <c r="B81" t="str">
        <f>"066367273"</f>
        <v>066367273</v>
      </c>
      <c r="C81" t="s">
        <v>50</v>
      </c>
      <c r="D81" t="s">
        <v>486</v>
      </c>
      <c r="E81" t="s">
        <v>52</v>
      </c>
      <c r="F81" t="s">
        <v>106</v>
      </c>
      <c r="G81" t="s">
        <v>491</v>
      </c>
      <c r="H81" t="str">
        <f>"ΙΕΡΟΛΟΧΙΤΩΝ 1 ΗΡΑΚΛΕΙΟ"</f>
        <v>ΙΕΡΟΛΟΧΙΤΩΝ 1 ΗΡΑΚΛΕΙΟ</v>
      </c>
      <c r="I81">
        <v>71305</v>
      </c>
      <c r="J81">
        <v>2810721615</v>
      </c>
      <c r="K81">
        <v>6932879000</v>
      </c>
      <c r="L81">
        <v>2810322577</v>
      </c>
      <c r="M81" t="s">
        <v>492</v>
      </c>
      <c r="N81" t="s">
        <v>478</v>
      </c>
      <c r="O81" t="s">
        <v>479</v>
      </c>
      <c r="P81" t="s">
        <v>257</v>
      </c>
      <c r="Q81" t="s">
        <v>258</v>
      </c>
      <c r="R81" t="s">
        <v>57</v>
      </c>
      <c r="S81">
        <v>7</v>
      </c>
      <c r="T81">
        <v>599</v>
      </c>
      <c r="U81" s="1">
        <v>39310</v>
      </c>
      <c r="V81" t="s">
        <v>123</v>
      </c>
      <c r="W81" t="s">
        <v>124</v>
      </c>
      <c r="X81" t="s">
        <v>58</v>
      </c>
      <c r="Y81">
        <v>21</v>
      </c>
      <c r="Z81" t="s">
        <v>59</v>
      </c>
      <c r="AA81" t="s">
        <v>59</v>
      </c>
      <c r="AB81" t="s">
        <v>59</v>
      </c>
      <c r="AC81" t="s">
        <v>59</v>
      </c>
      <c r="AD81" t="s">
        <v>59</v>
      </c>
      <c r="AF81" s="1">
        <v>39328</v>
      </c>
      <c r="AG81" t="s">
        <v>125</v>
      </c>
      <c r="AH81" t="s">
        <v>126</v>
      </c>
      <c r="AI81" t="str">
        <f>"1726010"</f>
        <v>1726010</v>
      </c>
      <c r="AJ81" t="s">
        <v>265</v>
      </c>
      <c r="AK81">
        <v>2810831228</v>
      </c>
      <c r="AL81" t="s">
        <v>266</v>
      </c>
      <c r="AM81" t="s">
        <v>78</v>
      </c>
      <c r="AN81" t="s">
        <v>129</v>
      </c>
      <c r="AO81" t="s">
        <v>267</v>
      </c>
      <c r="AP81" t="s">
        <v>267</v>
      </c>
      <c r="AQ81">
        <v>27</v>
      </c>
      <c r="AR81" t="s">
        <v>123</v>
      </c>
      <c r="AS81" t="s">
        <v>124</v>
      </c>
      <c r="AT81" t="s">
        <v>58</v>
      </c>
      <c r="AU81" t="s">
        <v>68</v>
      </c>
      <c r="AV81" t="s">
        <v>69</v>
      </c>
      <c r="AW81" s="1">
        <v>27317</v>
      </c>
      <c r="AX81">
        <v>2</v>
      </c>
    </row>
    <row r="82" spans="1:50">
      <c r="A82">
        <v>188934</v>
      </c>
      <c r="B82" t="str">
        <f>"073373313"</f>
        <v>073373313</v>
      </c>
      <c r="C82" t="s">
        <v>105</v>
      </c>
      <c r="D82" t="s">
        <v>493</v>
      </c>
      <c r="E82" t="s">
        <v>166</v>
      </c>
      <c r="F82" t="s">
        <v>95</v>
      </c>
      <c r="G82" t="s">
        <v>494</v>
      </c>
      <c r="H82" t="str">
        <f>" "</f>
        <v xml:space="preserve"> </v>
      </c>
      <c r="M82" t="s">
        <v>495</v>
      </c>
      <c r="N82" t="s">
        <v>204</v>
      </c>
      <c r="O82" t="s">
        <v>205</v>
      </c>
      <c r="R82" t="s">
        <v>57</v>
      </c>
      <c r="S82">
        <v>9</v>
      </c>
      <c r="T82">
        <v>26</v>
      </c>
      <c r="U82" s="1">
        <v>36922</v>
      </c>
      <c r="V82" t="s">
        <v>123</v>
      </c>
      <c r="W82" t="s">
        <v>124</v>
      </c>
      <c r="X82" t="s">
        <v>58</v>
      </c>
      <c r="Y82">
        <v>20</v>
      </c>
      <c r="Z82" t="s">
        <v>59</v>
      </c>
      <c r="AA82" t="s">
        <v>59</v>
      </c>
      <c r="AB82" t="s">
        <v>59</v>
      </c>
      <c r="AC82" t="s">
        <v>59</v>
      </c>
      <c r="AD82" t="s">
        <v>59</v>
      </c>
      <c r="AF82" s="1">
        <v>36930</v>
      </c>
      <c r="AG82" t="s">
        <v>137</v>
      </c>
      <c r="AH82" t="s">
        <v>469</v>
      </c>
      <c r="AI82" t="str">
        <f>"1740200"</f>
        <v>1740200</v>
      </c>
      <c r="AJ82" t="s">
        <v>470</v>
      </c>
      <c r="AK82">
        <v>2810320770</v>
      </c>
      <c r="AL82" t="s">
        <v>471</v>
      </c>
      <c r="AM82" t="s">
        <v>78</v>
      </c>
      <c r="AN82" t="s">
        <v>78</v>
      </c>
      <c r="AO82" t="s">
        <v>78</v>
      </c>
      <c r="AP82" t="s">
        <v>163</v>
      </c>
      <c r="AQ82">
        <v>2</v>
      </c>
      <c r="AR82" t="s">
        <v>123</v>
      </c>
      <c r="AS82" t="s">
        <v>124</v>
      </c>
      <c r="AT82" t="s">
        <v>58</v>
      </c>
      <c r="AU82" t="s">
        <v>68</v>
      </c>
      <c r="AV82" t="s">
        <v>69</v>
      </c>
      <c r="AW82" s="1">
        <v>24269</v>
      </c>
      <c r="AX82">
        <v>2</v>
      </c>
    </row>
    <row r="83" spans="1:50">
      <c r="A83">
        <v>197981</v>
      </c>
      <c r="B83" t="str">
        <f>"045847833"</f>
        <v>045847833</v>
      </c>
      <c r="C83" t="s">
        <v>105</v>
      </c>
      <c r="D83" t="s">
        <v>493</v>
      </c>
      <c r="E83" t="s">
        <v>496</v>
      </c>
      <c r="F83" t="s">
        <v>311</v>
      </c>
      <c r="G83" t="s">
        <v>52</v>
      </c>
      <c r="H83" t="str">
        <f>"ΑΝΘΕΩΝ 1 (ΠΑΓΝΗ)  ΗΡΑΚΛΕΙΟ"</f>
        <v>ΑΝΘΕΩΝ 1 (ΠΑΓΝΗ)  ΗΡΑΚΛΕΙΟ</v>
      </c>
      <c r="I83">
        <v>71500</v>
      </c>
      <c r="J83">
        <v>2810791692</v>
      </c>
      <c r="K83">
        <v>6948325046</v>
      </c>
      <c r="L83">
        <v>2810542076</v>
      </c>
      <c r="N83" t="s">
        <v>232</v>
      </c>
      <c r="O83" t="s">
        <v>233</v>
      </c>
      <c r="R83" t="s">
        <v>57</v>
      </c>
      <c r="S83">
        <v>7</v>
      </c>
      <c r="T83">
        <v>206</v>
      </c>
      <c r="U83" s="1">
        <v>37866</v>
      </c>
      <c r="V83" t="s">
        <v>123</v>
      </c>
      <c r="W83" t="s">
        <v>124</v>
      </c>
      <c r="X83" t="s">
        <v>58</v>
      </c>
      <c r="Y83">
        <v>20</v>
      </c>
      <c r="Z83" t="s">
        <v>59</v>
      </c>
      <c r="AA83" t="s">
        <v>59</v>
      </c>
      <c r="AB83" t="s">
        <v>59</v>
      </c>
      <c r="AC83" t="s">
        <v>59</v>
      </c>
      <c r="AD83" t="s">
        <v>59</v>
      </c>
      <c r="AF83" s="1">
        <v>37866</v>
      </c>
      <c r="AG83" t="s">
        <v>125</v>
      </c>
      <c r="AH83" t="s">
        <v>126</v>
      </c>
      <c r="AI83" t="str">
        <f>"1701051"</f>
        <v>1701051</v>
      </c>
      <c r="AJ83" t="s">
        <v>443</v>
      </c>
      <c r="AK83">
        <v>2810325815</v>
      </c>
      <c r="AL83" t="s">
        <v>444</v>
      </c>
      <c r="AM83" t="s">
        <v>78</v>
      </c>
      <c r="AN83" t="s">
        <v>78</v>
      </c>
      <c r="AO83" t="s">
        <v>78</v>
      </c>
      <c r="AP83" t="s">
        <v>163</v>
      </c>
      <c r="AQ83">
        <v>5</v>
      </c>
      <c r="AR83" t="s">
        <v>123</v>
      </c>
      <c r="AS83" t="s">
        <v>124</v>
      </c>
      <c r="AT83" t="s">
        <v>58</v>
      </c>
      <c r="AU83" t="s">
        <v>68</v>
      </c>
      <c r="AV83" t="s">
        <v>69</v>
      </c>
      <c r="AW83" s="1">
        <v>24532</v>
      </c>
      <c r="AX83">
        <v>2</v>
      </c>
    </row>
    <row r="84" spans="1:50">
      <c r="A84">
        <v>149187</v>
      </c>
      <c r="B84" t="str">
        <f>"028757393"</f>
        <v>028757393</v>
      </c>
      <c r="C84" t="s">
        <v>105</v>
      </c>
      <c r="D84" t="s">
        <v>497</v>
      </c>
      <c r="E84" t="s">
        <v>95</v>
      </c>
      <c r="F84" t="s">
        <v>92</v>
      </c>
      <c r="G84" t="s">
        <v>237</v>
      </c>
      <c r="H84" t="str">
        <f>"ΔΡΙΜΥΤΙΝΟΥ  4  ΗΡΑΚΛΕΙΟ"</f>
        <v>ΔΡΙΜΥΤΙΝΟΥ  4  ΗΡΑΚΛΕΙΟ</v>
      </c>
      <c r="I84">
        <v>71305</v>
      </c>
      <c r="J84">
        <v>2810315943</v>
      </c>
      <c r="K84">
        <v>6977664597</v>
      </c>
      <c r="M84" t="s">
        <v>498</v>
      </c>
      <c r="N84" t="s">
        <v>176</v>
      </c>
      <c r="O84" t="s">
        <v>177</v>
      </c>
      <c r="R84" t="s">
        <v>57</v>
      </c>
      <c r="S84">
        <v>17</v>
      </c>
      <c r="T84">
        <v>205</v>
      </c>
      <c r="U84" s="1">
        <v>31658</v>
      </c>
      <c r="V84" t="s">
        <v>123</v>
      </c>
      <c r="W84" t="s">
        <v>124</v>
      </c>
      <c r="X84" t="s">
        <v>58</v>
      </c>
      <c r="Y84">
        <v>18</v>
      </c>
      <c r="Z84" t="s">
        <v>59</v>
      </c>
      <c r="AA84" t="s">
        <v>59</v>
      </c>
      <c r="AB84" t="s">
        <v>59</v>
      </c>
      <c r="AC84" t="s">
        <v>59</v>
      </c>
      <c r="AD84" t="s">
        <v>59</v>
      </c>
      <c r="AF84" s="1">
        <v>31667</v>
      </c>
      <c r="AG84" t="s">
        <v>125</v>
      </c>
      <c r="AH84" t="s">
        <v>126</v>
      </c>
      <c r="AI84" t="str">
        <f>"1701020"</f>
        <v>1701020</v>
      </c>
      <c r="AJ84" t="s">
        <v>323</v>
      </c>
      <c r="AK84">
        <v>2810252111</v>
      </c>
      <c r="AL84" t="s">
        <v>324</v>
      </c>
      <c r="AM84" t="s">
        <v>78</v>
      </c>
      <c r="AN84" t="s">
        <v>78</v>
      </c>
      <c r="AO84" t="s">
        <v>78</v>
      </c>
      <c r="AP84" t="s">
        <v>163</v>
      </c>
      <c r="AQ84">
        <v>3</v>
      </c>
      <c r="AR84" t="s">
        <v>123</v>
      </c>
      <c r="AS84" t="s">
        <v>124</v>
      </c>
      <c r="AT84" t="s">
        <v>58</v>
      </c>
      <c r="AU84" t="s">
        <v>68</v>
      </c>
      <c r="AV84" t="s">
        <v>69</v>
      </c>
      <c r="AW84" s="1">
        <v>22522</v>
      </c>
      <c r="AX84">
        <v>2</v>
      </c>
    </row>
    <row r="85" spans="1:50">
      <c r="B85" t="str">
        <f>"118951056"</f>
        <v>118951056</v>
      </c>
      <c r="C85" t="s">
        <v>50</v>
      </c>
      <c r="D85" t="s">
        <v>499</v>
      </c>
      <c r="E85" t="s">
        <v>250</v>
      </c>
      <c r="F85" t="s">
        <v>315</v>
      </c>
      <c r="G85" t="s">
        <v>476</v>
      </c>
      <c r="H85" t="str">
        <f>" "</f>
        <v xml:space="preserve"> </v>
      </c>
      <c r="N85" t="s">
        <v>500</v>
      </c>
      <c r="O85" t="s">
        <v>501</v>
      </c>
      <c r="R85" t="s">
        <v>159</v>
      </c>
      <c r="S85">
        <v>1</v>
      </c>
      <c r="T85" t="s">
        <v>344</v>
      </c>
      <c r="U85" s="1">
        <v>43348</v>
      </c>
      <c r="V85" t="s">
        <v>123</v>
      </c>
      <c r="W85" t="s">
        <v>124</v>
      </c>
      <c r="X85" t="s">
        <v>58</v>
      </c>
      <c r="Y85">
        <v>23</v>
      </c>
      <c r="Z85" t="s">
        <v>59</v>
      </c>
      <c r="AA85" t="s">
        <v>59</v>
      </c>
      <c r="AB85" t="s">
        <v>59</v>
      </c>
      <c r="AC85" t="s">
        <v>59</v>
      </c>
      <c r="AD85" t="s">
        <v>59</v>
      </c>
      <c r="AF85" s="1">
        <v>43348</v>
      </c>
      <c r="AG85" t="s">
        <v>125</v>
      </c>
      <c r="AH85" t="s">
        <v>126</v>
      </c>
      <c r="AI85" t="str">
        <f>"1713010"</f>
        <v>1713010</v>
      </c>
      <c r="AJ85" t="s">
        <v>369</v>
      </c>
      <c r="AK85">
        <v>2892051686</v>
      </c>
      <c r="AL85" t="s">
        <v>370</v>
      </c>
      <c r="AM85" t="s">
        <v>78</v>
      </c>
      <c r="AN85" t="s">
        <v>242</v>
      </c>
      <c r="AO85" t="s">
        <v>349</v>
      </c>
      <c r="AP85" t="s">
        <v>349</v>
      </c>
      <c r="AQ85">
        <v>35</v>
      </c>
      <c r="AR85" t="s">
        <v>123</v>
      </c>
      <c r="AS85" t="s">
        <v>124</v>
      </c>
      <c r="AT85" t="s">
        <v>58</v>
      </c>
      <c r="AU85" t="s">
        <v>350</v>
      </c>
      <c r="AV85" t="s">
        <v>132</v>
      </c>
      <c r="AW85" s="1">
        <v>26918</v>
      </c>
      <c r="AX85">
        <v>2</v>
      </c>
    </row>
    <row r="86" spans="1:50">
      <c r="A86">
        <v>187832</v>
      </c>
      <c r="B86" t="str">
        <f>"047214908"</f>
        <v>047214908</v>
      </c>
      <c r="C86" t="s">
        <v>105</v>
      </c>
      <c r="D86" t="s">
        <v>502</v>
      </c>
      <c r="E86" t="s">
        <v>95</v>
      </c>
      <c r="F86" t="s">
        <v>166</v>
      </c>
      <c r="G86" t="s">
        <v>52</v>
      </c>
      <c r="H86" t="str">
        <f>"Τ.Θ. 15, Οικισμός ΑΤΕ Αμμούδι, Λυγαριάς"</f>
        <v>Τ.Θ. 15, Οικισμός ΑΤΕ Αμμούδι, Λυγαριάς</v>
      </c>
      <c r="I86">
        <v>71500</v>
      </c>
      <c r="J86">
        <v>2810814000</v>
      </c>
      <c r="K86">
        <v>6944141219</v>
      </c>
      <c r="M86" t="s">
        <v>503</v>
      </c>
      <c r="N86" t="s">
        <v>204</v>
      </c>
      <c r="O86" t="s">
        <v>205</v>
      </c>
      <c r="R86" t="s">
        <v>57</v>
      </c>
      <c r="S86">
        <v>9</v>
      </c>
      <c r="T86">
        <v>251</v>
      </c>
      <c r="U86" s="1">
        <v>36769</v>
      </c>
      <c r="V86" t="s">
        <v>123</v>
      </c>
      <c r="W86" t="s">
        <v>124</v>
      </c>
      <c r="X86" t="s">
        <v>58</v>
      </c>
      <c r="Y86">
        <v>20</v>
      </c>
      <c r="Z86" t="s">
        <v>59</v>
      </c>
      <c r="AA86" t="s">
        <v>59</v>
      </c>
      <c r="AB86" t="s">
        <v>59</v>
      </c>
      <c r="AC86" t="s">
        <v>59</v>
      </c>
      <c r="AD86" t="s">
        <v>59</v>
      </c>
      <c r="AF86" s="1">
        <v>36770</v>
      </c>
      <c r="AG86" t="s">
        <v>137</v>
      </c>
      <c r="AH86" t="s">
        <v>138</v>
      </c>
      <c r="AI86" t="str">
        <f>"1740070"</f>
        <v>1740070</v>
      </c>
      <c r="AJ86" t="s">
        <v>206</v>
      </c>
      <c r="AK86">
        <v>2810324880</v>
      </c>
      <c r="AL86" t="s">
        <v>207</v>
      </c>
      <c r="AM86" t="s">
        <v>78</v>
      </c>
      <c r="AN86" t="s">
        <v>78</v>
      </c>
      <c r="AO86" t="s">
        <v>78</v>
      </c>
      <c r="AP86" t="s">
        <v>163</v>
      </c>
      <c r="AQ86">
        <v>9</v>
      </c>
      <c r="AR86" t="s">
        <v>123</v>
      </c>
      <c r="AS86" t="s">
        <v>124</v>
      </c>
      <c r="AT86" t="s">
        <v>58</v>
      </c>
      <c r="AU86" t="s">
        <v>68</v>
      </c>
      <c r="AV86" t="s">
        <v>69</v>
      </c>
      <c r="AW86" s="1">
        <v>25938</v>
      </c>
      <c r="AX86">
        <v>2</v>
      </c>
    </row>
    <row r="87" spans="1:50">
      <c r="A87">
        <v>200285</v>
      </c>
      <c r="B87" t="str">
        <f>"066361625"</f>
        <v>066361625</v>
      </c>
      <c r="C87" t="s">
        <v>105</v>
      </c>
      <c r="D87" t="s">
        <v>502</v>
      </c>
      <c r="E87" t="s">
        <v>106</v>
      </c>
      <c r="F87" t="s">
        <v>166</v>
      </c>
      <c r="G87" t="s">
        <v>52</v>
      </c>
      <c r="H87" t="str">
        <f>"Οικισμός Αμούδι, Ψηλορείτη 2, ΤΘ15 Μαδέ, Λυγαριά, Ηράκλειο, Κρήτη"</f>
        <v>Οικισμός Αμούδι, Ψηλορείτη 2, ΤΘ15 Μαδέ, Λυγαριά, Ηράκλειο, Κρήτη</v>
      </c>
      <c r="I87">
        <v>71500</v>
      </c>
      <c r="J87">
        <v>2810814012</v>
      </c>
      <c r="K87">
        <v>6944742272</v>
      </c>
      <c r="M87" t="s">
        <v>504</v>
      </c>
      <c r="N87" t="s">
        <v>204</v>
      </c>
      <c r="O87" t="s">
        <v>205</v>
      </c>
      <c r="R87" t="s">
        <v>57</v>
      </c>
      <c r="S87">
        <v>9</v>
      </c>
      <c r="T87">
        <v>206</v>
      </c>
      <c r="U87" s="1">
        <v>37866</v>
      </c>
      <c r="V87" t="s">
        <v>123</v>
      </c>
      <c r="W87" t="s">
        <v>124</v>
      </c>
      <c r="X87" t="s">
        <v>58</v>
      </c>
      <c r="Y87">
        <v>20</v>
      </c>
      <c r="Z87" t="s">
        <v>59</v>
      </c>
      <c r="AA87" t="s">
        <v>59</v>
      </c>
      <c r="AB87" t="s">
        <v>59</v>
      </c>
      <c r="AC87" t="s">
        <v>59</v>
      </c>
      <c r="AD87" t="s">
        <v>452</v>
      </c>
      <c r="AE87" s="1">
        <v>43708</v>
      </c>
      <c r="AF87" s="1">
        <v>37866</v>
      </c>
      <c r="AG87" t="s">
        <v>60</v>
      </c>
      <c r="AH87" t="s">
        <v>453</v>
      </c>
      <c r="AI87" t="str">
        <f>"1700105"</f>
        <v>1700105</v>
      </c>
      <c r="AJ87" t="s">
        <v>124</v>
      </c>
      <c r="AK87">
        <v>2810333720</v>
      </c>
      <c r="AL87" t="s">
        <v>454</v>
      </c>
      <c r="AM87" t="s">
        <v>78</v>
      </c>
      <c r="AN87" t="s">
        <v>78</v>
      </c>
      <c r="AO87" t="s">
        <v>78</v>
      </c>
      <c r="AP87" t="s">
        <v>79</v>
      </c>
      <c r="AS87" t="s">
        <v>124</v>
      </c>
      <c r="AT87" t="s">
        <v>58</v>
      </c>
      <c r="AU87" t="s">
        <v>68</v>
      </c>
      <c r="AV87" t="s">
        <v>455</v>
      </c>
      <c r="AW87" s="1">
        <v>27197</v>
      </c>
      <c r="AX87">
        <v>2</v>
      </c>
    </row>
    <row r="88" spans="1:50">
      <c r="A88">
        <v>168254</v>
      </c>
      <c r="B88" t="str">
        <f>"065128880"</f>
        <v>065128880</v>
      </c>
      <c r="C88" t="s">
        <v>50</v>
      </c>
      <c r="D88" t="s">
        <v>505</v>
      </c>
      <c r="E88" t="s">
        <v>506</v>
      </c>
      <c r="F88" t="s">
        <v>99</v>
      </c>
      <c r="G88" t="s">
        <v>507</v>
      </c>
      <c r="H88" t="str">
        <f>"ΔΡΑΜΟΥΝΤΑΝΗ 10  ΘΕΡΙΣΣΟΣ"</f>
        <v>ΔΡΑΜΟΥΝΤΑΝΗ 10  ΘΕΡΙΣΣΟΣ</v>
      </c>
      <c r="I88">
        <v>71306</v>
      </c>
      <c r="J88">
        <v>2810316743</v>
      </c>
      <c r="K88">
        <v>6947371130</v>
      </c>
      <c r="M88" t="s">
        <v>508</v>
      </c>
      <c r="N88" t="s">
        <v>478</v>
      </c>
      <c r="O88" t="s">
        <v>479</v>
      </c>
      <c r="R88" t="s">
        <v>57</v>
      </c>
      <c r="S88">
        <v>14</v>
      </c>
      <c r="T88">
        <v>159</v>
      </c>
      <c r="U88" s="1">
        <v>34582</v>
      </c>
      <c r="V88" t="s">
        <v>123</v>
      </c>
      <c r="W88" t="s">
        <v>124</v>
      </c>
      <c r="X88" t="s">
        <v>58</v>
      </c>
      <c r="Y88">
        <v>18</v>
      </c>
      <c r="Z88" t="s">
        <v>59</v>
      </c>
      <c r="AA88" t="s">
        <v>59</v>
      </c>
      <c r="AB88" t="s">
        <v>59</v>
      </c>
      <c r="AC88" t="s">
        <v>59</v>
      </c>
      <c r="AD88" t="s">
        <v>59</v>
      </c>
      <c r="AF88" s="1">
        <v>34584</v>
      </c>
      <c r="AG88" t="s">
        <v>125</v>
      </c>
      <c r="AH88" t="s">
        <v>126</v>
      </c>
      <c r="AI88" t="str">
        <f>"1701054"</f>
        <v>1701054</v>
      </c>
      <c r="AJ88" t="s">
        <v>318</v>
      </c>
      <c r="AK88">
        <v>2810252418</v>
      </c>
      <c r="AL88" t="s">
        <v>319</v>
      </c>
      <c r="AM88" t="s">
        <v>78</v>
      </c>
      <c r="AN88" t="s">
        <v>78</v>
      </c>
      <c r="AO88" t="s">
        <v>78</v>
      </c>
      <c r="AP88" t="s">
        <v>141</v>
      </c>
      <c r="AQ88">
        <v>7</v>
      </c>
      <c r="AR88" t="s">
        <v>123</v>
      </c>
      <c r="AS88" t="s">
        <v>124</v>
      </c>
      <c r="AT88" t="s">
        <v>58</v>
      </c>
      <c r="AU88" t="s">
        <v>68</v>
      </c>
      <c r="AV88" t="s">
        <v>69</v>
      </c>
      <c r="AW88" s="1">
        <v>22272</v>
      </c>
      <c r="AX88">
        <v>2</v>
      </c>
    </row>
    <row r="89" spans="1:50">
      <c r="A89">
        <v>219720</v>
      </c>
      <c r="B89" t="str">
        <f>"065134707"</f>
        <v>065134707</v>
      </c>
      <c r="C89" t="s">
        <v>105</v>
      </c>
      <c r="D89" t="s">
        <v>509</v>
      </c>
      <c r="E89" t="s">
        <v>99</v>
      </c>
      <c r="F89" t="s">
        <v>510</v>
      </c>
      <c r="G89" t="s">
        <v>263</v>
      </c>
      <c r="H89" t="str">
        <f>"ΕΛ.ΒΕΝΙΖΕΛΟΥ 155 ΓΑΖΙ"</f>
        <v>ΕΛ.ΒΕΝΙΖΕΛΟΥ 155 ΓΑΖΙ</v>
      </c>
      <c r="J89">
        <v>2810822633</v>
      </c>
      <c r="K89">
        <v>6932739117</v>
      </c>
      <c r="M89" t="s">
        <v>511</v>
      </c>
      <c r="N89" t="s">
        <v>176</v>
      </c>
      <c r="O89" t="s">
        <v>177</v>
      </c>
      <c r="R89" t="s">
        <v>57</v>
      </c>
      <c r="S89">
        <v>6</v>
      </c>
      <c r="T89">
        <v>599</v>
      </c>
      <c r="U89" s="1">
        <v>39310</v>
      </c>
      <c r="V89" t="s">
        <v>123</v>
      </c>
      <c r="W89" t="s">
        <v>124</v>
      </c>
      <c r="X89" t="s">
        <v>58</v>
      </c>
      <c r="Y89">
        <v>20</v>
      </c>
      <c r="Z89" t="s">
        <v>59</v>
      </c>
      <c r="AA89" t="s">
        <v>59</v>
      </c>
      <c r="AB89" t="s">
        <v>59</v>
      </c>
      <c r="AC89" t="s">
        <v>59</v>
      </c>
      <c r="AD89" t="s">
        <v>59</v>
      </c>
      <c r="AF89" s="1">
        <v>39328</v>
      </c>
      <c r="AG89" t="s">
        <v>125</v>
      </c>
      <c r="AH89" t="s">
        <v>126</v>
      </c>
      <c r="AI89" t="str">
        <f>"1701053"</f>
        <v>1701053</v>
      </c>
      <c r="AJ89" t="s">
        <v>398</v>
      </c>
      <c r="AK89">
        <v>2810251434</v>
      </c>
      <c r="AL89" t="s">
        <v>399</v>
      </c>
      <c r="AM89" t="s">
        <v>78</v>
      </c>
      <c r="AN89" t="s">
        <v>78</v>
      </c>
      <c r="AO89" t="s">
        <v>78</v>
      </c>
      <c r="AP89" t="s">
        <v>141</v>
      </c>
      <c r="AQ89">
        <v>7</v>
      </c>
      <c r="AR89" t="s">
        <v>123</v>
      </c>
      <c r="AS89" t="s">
        <v>124</v>
      </c>
      <c r="AT89" t="s">
        <v>58</v>
      </c>
      <c r="AU89" t="s">
        <v>68</v>
      </c>
      <c r="AV89" t="s">
        <v>69</v>
      </c>
      <c r="AW89" s="1">
        <v>25612</v>
      </c>
      <c r="AX89">
        <v>2</v>
      </c>
    </row>
    <row r="90" spans="1:50">
      <c r="B90" t="str">
        <f>"138951084"</f>
        <v>138951084</v>
      </c>
      <c r="C90" t="s">
        <v>50</v>
      </c>
      <c r="D90" t="s">
        <v>512</v>
      </c>
      <c r="E90" t="s">
        <v>513</v>
      </c>
      <c r="F90" t="s">
        <v>166</v>
      </c>
      <c r="G90" t="s">
        <v>52</v>
      </c>
      <c r="H90" t="str">
        <f>"ΑΝΑΓΕΝΝΗΣΕΩΣ 23 Ν ΑΛΙΚΑΡΝΑΣΣΟΣ"</f>
        <v>ΑΝΑΓΕΝΝΗΣΕΩΣ 23 Ν ΑΛΙΚΑΡΝΑΣΣΟΣ</v>
      </c>
      <c r="I90">
        <v>74100</v>
      </c>
      <c r="J90">
        <v>2810244790</v>
      </c>
      <c r="K90">
        <v>6972729899</v>
      </c>
      <c r="M90" t="s">
        <v>514</v>
      </c>
      <c r="N90" t="s">
        <v>146</v>
      </c>
      <c r="O90" t="s">
        <v>147</v>
      </c>
      <c r="R90" t="s">
        <v>159</v>
      </c>
      <c r="S90">
        <v>3</v>
      </c>
      <c r="T90" t="s">
        <v>160</v>
      </c>
      <c r="U90" s="1">
        <v>43364</v>
      </c>
      <c r="V90" t="s">
        <v>123</v>
      </c>
      <c r="W90" t="s">
        <v>124</v>
      </c>
      <c r="X90" t="s">
        <v>58</v>
      </c>
      <c r="Y90">
        <v>23</v>
      </c>
      <c r="Z90" t="s">
        <v>59</v>
      </c>
      <c r="AA90" t="s">
        <v>59</v>
      </c>
      <c r="AB90" t="s">
        <v>59</v>
      </c>
      <c r="AC90" t="s">
        <v>59</v>
      </c>
      <c r="AD90" t="s">
        <v>59</v>
      </c>
      <c r="AF90" s="1">
        <v>43367</v>
      </c>
      <c r="AG90" t="s">
        <v>125</v>
      </c>
      <c r="AH90" t="s">
        <v>515</v>
      </c>
      <c r="AI90" t="str">
        <f>"1713015"</f>
        <v>1713015</v>
      </c>
      <c r="AJ90" t="s">
        <v>516</v>
      </c>
      <c r="AK90">
        <v>2892051870</v>
      </c>
      <c r="AL90" t="s">
        <v>517</v>
      </c>
      <c r="AM90" t="s">
        <v>78</v>
      </c>
      <c r="AN90" t="s">
        <v>242</v>
      </c>
      <c r="AO90" t="s">
        <v>349</v>
      </c>
      <c r="AP90" t="s">
        <v>349</v>
      </c>
      <c r="AQ90">
        <v>35</v>
      </c>
      <c r="AR90" t="s">
        <v>123</v>
      </c>
      <c r="AS90" t="s">
        <v>124</v>
      </c>
      <c r="AT90" t="s">
        <v>58</v>
      </c>
      <c r="AU90" t="s">
        <v>164</v>
      </c>
      <c r="AV90" t="s">
        <v>132</v>
      </c>
      <c r="AW90" s="1">
        <v>29911</v>
      </c>
      <c r="AX90">
        <v>2</v>
      </c>
    </row>
    <row r="91" spans="1:50">
      <c r="A91">
        <v>221879</v>
      </c>
      <c r="B91" t="str">
        <f>"076030985"</f>
        <v>076030985</v>
      </c>
      <c r="C91" t="s">
        <v>50</v>
      </c>
      <c r="D91" t="s">
        <v>512</v>
      </c>
      <c r="E91" t="s">
        <v>237</v>
      </c>
      <c r="F91" t="s">
        <v>95</v>
      </c>
      <c r="G91" t="s">
        <v>476</v>
      </c>
      <c r="H91" t="str">
        <f>"ΑΣΤΕΡΟΥΣΙΩΝ 8 ΗΡΑΚΛΕΙΟ"</f>
        <v>ΑΣΤΕΡΟΥΣΙΩΝ 8 ΗΡΑΚΛΕΙΟ</v>
      </c>
      <c r="J91">
        <v>2814001423</v>
      </c>
      <c r="K91">
        <v>6974412809</v>
      </c>
      <c r="M91" t="s">
        <v>518</v>
      </c>
      <c r="N91" t="s">
        <v>146</v>
      </c>
      <c r="O91" t="s">
        <v>147</v>
      </c>
      <c r="R91" t="s">
        <v>57</v>
      </c>
      <c r="S91">
        <v>7</v>
      </c>
      <c r="T91">
        <v>775</v>
      </c>
      <c r="U91" s="1">
        <v>39680</v>
      </c>
      <c r="V91" t="s">
        <v>123</v>
      </c>
      <c r="W91" t="s">
        <v>124</v>
      </c>
      <c r="X91" t="s">
        <v>58</v>
      </c>
      <c r="Y91">
        <v>21</v>
      </c>
      <c r="Z91" t="s">
        <v>59</v>
      </c>
      <c r="AA91" t="s">
        <v>59</v>
      </c>
      <c r="AB91" t="s">
        <v>59</v>
      </c>
      <c r="AC91" t="s">
        <v>59</v>
      </c>
      <c r="AD91" t="s">
        <v>59</v>
      </c>
      <c r="AF91" s="1">
        <v>39681</v>
      </c>
      <c r="AG91" t="s">
        <v>148</v>
      </c>
      <c r="AH91" t="s">
        <v>149</v>
      </c>
      <c r="AI91" t="str">
        <f>"1751040"</f>
        <v>1751040</v>
      </c>
      <c r="AJ91" t="s">
        <v>178</v>
      </c>
      <c r="AK91">
        <v>2810252495</v>
      </c>
      <c r="AL91" t="s">
        <v>179</v>
      </c>
      <c r="AM91" t="s">
        <v>78</v>
      </c>
      <c r="AN91" t="s">
        <v>78</v>
      </c>
      <c r="AO91" t="s">
        <v>78</v>
      </c>
      <c r="AP91" t="s">
        <v>141</v>
      </c>
      <c r="AQ91">
        <v>3</v>
      </c>
      <c r="AR91" t="s">
        <v>123</v>
      </c>
      <c r="AS91" t="s">
        <v>124</v>
      </c>
      <c r="AT91" t="s">
        <v>58</v>
      </c>
      <c r="AU91" t="s">
        <v>68</v>
      </c>
      <c r="AV91" t="s">
        <v>69</v>
      </c>
      <c r="AW91" s="1">
        <v>26593</v>
      </c>
      <c r="AX91">
        <v>2</v>
      </c>
    </row>
    <row r="92" spans="1:50">
      <c r="A92">
        <v>177955</v>
      </c>
      <c r="B92" t="str">
        <f>"033379648"</f>
        <v>033379648</v>
      </c>
      <c r="C92" t="s">
        <v>50</v>
      </c>
      <c r="D92" t="s">
        <v>519</v>
      </c>
      <c r="E92" t="s">
        <v>143</v>
      </c>
      <c r="F92" t="s">
        <v>95</v>
      </c>
      <c r="G92" t="s">
        <v>52</v>
      </c>
      <c r="H92" t="str">
        <f>"ΜΥΛΟΠΟΤΑΜΟΥ 6 ΚΕΝΤΡΟ"</f>
        <v>ΜΥΛΟΠΟΤΑΜΟΥ 6 ΚΕΝΤΡΟ</v>
      </c>
      <c r="I92">
        <v>71201</v>
      </c>
      <c r="J92">
        <v>2810283074</v>
      </c>
      <c r="K92">
        <v>6977630413</v>
      </c>
      <c r="M92" t="s">
        <v>520</v>
      </c>
      <c r="N92" t="s">
        <v>204</v>
      </c>
      <c r="O92" t="s">
        <v>205</v>
      </c>
      <c r="P92" t="s">
        <v>292</v>
      </c>
      <c r="Q92" t="s">
        <v>293</v>
      </c>
      <c r="R92" t="s">
        <v>57</v>
      </c>
      <c r="S92">
        <v>11</v>
      </c>
      <c r="T92">
        <v>180</v>
      </c>
      <c r="U92" s="1">
        <v>35674</v>
      </c>
      <c r="V92" t="s">
        <v>123</v>
      </c>
      <c r="W92" t="s">
        <v>124</v>
      </c>
      <c r="X92" t="s">
        <v>58</v>
      </c>
      <c r="Y92">
        <v>18</v>
      </c>
      <c r="Z92" t="s">
        <v>59</v>
      </c>
      <c r="AA92" t="s">
        <v>59</v>
      </c>
      <c r="AB92" t="s">
        <v>59</v>
      </c>
      <c r="AC92" t="s">
        <v>59</v>
      </c>
      <c r="AD92" t="s">
        <v>59</v>
      </c>
      <c r="AF92" s="1">
        <v>35678</v>
      </c>
      <c r="AG92" t="s">
        <v>125</v>
      </c>
      <c r="AH92" t="s">
        <v>126</v>
      </c>
      <c r="AI92" t="str">
        <f>"1728010"</f>
        <v>1728010</v>
      </c>
      <c r="AJ92" t="s">
        <v>127</v>
      </c>
      <c r="AK92">
        <v>2810824651</v>
      </c>
      <c r="AL92" t="s">
        <v>128</v>
      </c>
      <c r="AM92" t="s">
        <v>78</v>
      </c>
      <c r="AN92" t="s">
        <v>129</v>
      </c>
      <c r="AO92" t="s">
        <v>130</v>
      </c>
      <c r="AP92" t="s">
        <v>130</v>
      </c>
      <c r="AQ92">
        <v>36</v>
      </c>
      <c r="AR92" t="s">
        <v>123</v>
      </c>
      <c r="AS92" t="s">
        <v>124</v>
      </c>
      <c r="AT92" t="s">
        <v>58</v>
      </c>
      <c r="AU92" t="s">
        <v>68</v>
      </c>
      <c r="AV92" t="s">
        <v>69</v>
      </c>
      <c r="AW92" s="1">
        <v>23795</v>
      </c>
      <c r="AX92">
        <v>2</v>
      </c>
    </row>
    <row r="93" spans="1:50">
      <c r="A93">
        <v>224314</v>
      </c>
      <c r="B93" t="str">
        <f>"103681147"</f>
        <v>103681147</v>
      </c>
      <c r="C93" t="s">
        <v>50</v>
      </c>
      <c r="D93" t="s">
        <v>519</v>
      </c>
      <c r="E93" t="s">
        <v>143</v>
      </c>
      <c r="F93" t="s">
        <v>521</v>
      </c>
      <c r="G93" t="s">
        <v>513</v>
      </c>
      <c r="H93" t="str">
        <f>"ΡΟΥΒΑ 19 "</f>
        <v xml:space="preserve">ΡΟΥΒΑ 19 </v>
      </c>
      <c r="I93">
        <v>70400</v>
      </c>
      <c r="J93">
        <v>2892022267</v>
      </c>
      <c r="K93">
        <v>6936973220</v>
      </c>
      <c r="M93" t="s">
        <v>522</v>
      </c>
      <c r="N93" t="s">
        <v>288</v>
      </c>
      <c r="O93" t="s">
        <v>289</v>
      </c>
      <c r="R93" t="s">
        <v>57</v>
      </c>
      <c r="S93">
        <v>7</v>
      </c>
      <c r="T93">
        <v>775</v>
      </c>
      <c r="U93" s="1">
        <v>39680</v>
      </c>
      <c r="V93" t="s">
        <v>123</v>
      </c>
      <c r="W93" t="s">
        <v>124</v>
      </c>
      <c r="X93" t="s">
        <v>58</v>
      </c>
      <c r="Y93">
        <v>21</v>
      </c>
      <c r="Z93" t="s">
        <v>59</v>
      </c>
      <c r="AA93" t="s">
        <v>59</v>
      </c>
      <c r="AB93" t="s">
        <v>59</v>
      </c>
      <c r="AC93" t="s">
        <v>59</v>
      </c>
      <c r="AD93" t="s">
        <v>59</v>
      </c>
      <c r="AF93" s="1">
        <v>39682</v>
      </c>
      <c r="AG93" t="s">
        <v>125</v>
      </c>
      <c r="AH93" t="s">
        <v>126</v>
      </c>
      <c r="AI93" t="str">
        <f>"1706010"</f>
        <v>1706010</v>
      </c>
      <c r="AJ93" t="s">
        <v>391</v>
      </c>
      <c r="AK93">
        <v>2892022286</v>
      </c>
      <c r="AL93" t="s">
        <v>392</v>
      </c>
      <c r="AM93" t="s">
        <v>78</v>
      </c>
      <c r="AN93" t="s">
        <v>242</v>
      </c>
      <c r="AO93" t="s">
        <v>243</v>
      </c>
      <c r="AP93" t="s">
        <v>243</v>
      </c>
      <c r="AQ93">
        <v>33</v>
      </c>
      <c r="AR93" t="s">
        <v>123</v>
      </c>
      <c r="AS93" t="s">
        <v>124</v>
      </c>
      <c r="AT93" t="s">
        <v>58</v>
      </c>
      <c r="AU93" t="s">
        <v>68</v>
      </c>
      <c r="AV93" t="s">
        <v>69</v>
      </c>
      <c r="AW93" s="1">
        <v>29999</v>
      </c>
      <c r="AX93">
        <v>2</v>
      </c>
    </row>
    <row r="94" spans="1:50">
      <c r="A94">
        <v>227547</v>
      </c>
      <c r="B94" t="str">
        <f>"059327840"</f>
        <v>059327840</v>
      </c>
      <c r="C94" t="s">
        <v>50</v>
      </c>
      <c r="D94" t="s">
        <v>523</v>
      </c>
      <c r="E94" t="s">
        <v>237</v>
      </c>
      <c r="F94" t="s">
        <v>72</v>
      </c>
      <c r="G94" t="s">
        <v>112</v>
      </c>
      <c r="H94" t="str">
        <f>"ΨΑΡΟΜΗΛΙΓΓΩΝ 16 ΗΡΑΚΛΕΙΟ ΚΡΗΤΗΣ"</f>
        <v>ΨΑΡΟΜΗΛΙΓΓΩΝ 16 ΗΡΑΚΛΕΙΟ ΚΡΗΤΗΣ</v>
      </c>
      <c r="I94">
        <v>71202</v>
      </c>
      <c r="J94">
        <v>2810250039</v>
      </c>
      <c r="K94">
        <v>6978228985</v>
      </c>
      <c r="L94">
        <v>2810250039</v>
      </c>
      <c r="M94" t="s">
        <v>524</v>
      </c>
      <c r="N94" t="s">
        <v>478</v>
      </c>
      <c r="O94" t="s">
        <v>479</v>
      </c>
      <c r="R94" t="s">
        <v>57</v>
      </c>
      <c r="S94">
        <v>5</v>
      </c>
      <c r="T94">
        <v>654</v>
      </c>
      <c r="U94" s="1">
        <v>40043</v>
      </c>
      <c r="V94" t="s">
        <v>123</v>
      </c>
      <c r="W94" t="s">
        <v>124</v>
      </c>
      <c r="X94" t="s">
        <v>58</v>
      </c>
      <c r="Y94">
        <v>21</v>
      </c>
      <c r="Z94" t="s">
        <v>59</v>
      </c>
      <c r="AA94" t="s">
        <v>59</v>
      </c>
      <c r="AB94" t="s">
        <v>59</v>
      </c>
      <c r="AC94" t="s">
        <v>59</v>
      </c>
      <c r="AD94" t="s">
        <v>59</v>
      </c>
      <c r="AF94" s="1">
        <v>40045</v>
      </c>
      <c r="AG94" t="s">
        <v>125</v>
      </c>
      <c r="AH94" t="s">
        <v>126</v>
      </c>
      <c r="AI94" t="str">
        <f>"1712010"</f>
        <v>1712010</v>
      </c>
      <c r="AJ94" t="s">
        <v>525</v>
      </c>
      <c r="AK94">
        <v>2897061328</v>
      </c>
      <c r="AL94" t="s">
        <v>526</v>
      </c>
      <c r="AM94" t="s">
        <v>78</v>
      </c>
      <c r="AN94" t="s">
        <v>219</v>
      </c>
      <c r="AO94" t="s">
        <v>527</v>
      </c>
      <c r="AP94" t="s">
        <v>528</v>
      </c>
      <c r="AQ94">
        <v>19</v>
      </c>
      <c r="AR94" t="s">
        <v>123</v>
      </c>
      <c r="AS94" t="s">
        <v>124</v>
      </c>
      <c r="AT94" t="s">
        <v>58</v>
      </c>
      <c r="AU94" t="s">
        <v>68</v>
      </c>
      <c r="AV94" t="s">
        <v>69</v>
      </c>
      <c r="AW94" s="1">
        <v>24777</v>
      </c>
      <c r="AX94">
        <v>2</v>
      </c>
    </row>
    <row r="95" spans="1:50">
      <c r="B95" t="str">
        <f>"052245049"</f>
        <v>052245049</v>
      </c>
      <c r="C95" t="s">
        <v>50</v>
      </c>
      <c r="D95" t="s">
        <v>523</v>
      </c>
      <c r="E95" t="s">
        <v>529</v>
      </c>
      <c r="F95" t="s">
        <v>311</v>
      </c>
      <c r="G95" t="s">
        <v>530</v>
      </c>
      <c r="H95" t="str">
        <f>"ΜΕΛΙΝΑΣ ΜΕΡΚΟΥΡΗ 33 ΗΡΑΚΛΕΙΟ ΚΡΗΤΗΣ"</f>
        <v>ΜΕΛΙΝΑΣ ΜΕΡΚΟΥΡΗ 33 ΗΡΑΚΛΕΙΟ ΚΡΗΤΗΣ</v>
      </c>
      <c r="I95">
        <v>71305</v>
      </c>
      <c r="J95">
        <v>2810313814</v>
      </c>
      <c r="K95">
        <v>6936880530</v>
      </c>
      <c r="M95" t="s">
        <v>531</v>
      </c>
      <c r="N95" t="s">
        <v>146</v>
      </c>
      <c r="O95" t="s">
        <v>147</v>
      </c>
      <c r="R95" t="s">
        <v>159</v>
      </c>
      <c r="S95">
        <v>4</v>
      </c>
      <c r="T95" t="s">
        <v>160</v>
      </c>
      <c r="U95" s="1">
        <v>43364</v>
      </c>
      <c r="V95" t="s">
        <v>123</v>
      </c>
      <c r="W95" t="s">
        <v>124</v>
      </c>
      <c r="X95" t="s">
        <v>58</v>
      </c>
      <c r="Y95">
        <v>21</v>
      </c>
      <c r="Z95" t="s">
        <v>59</v>
      </c>
      <c r="AA95" t="s">
        <v>59</v>
      </c>
      <c r="AB95" t="s">
        <v>59</v>
      </c>
      <c r="AC95" t="s">
        <v>59</v>
      </c>
      <c r="AD95" t="s">
        <v>59</v>
      </c>
      <c r="AF95" s="1">
        <v>43367</v>
      </c>
      <c r="AG95" t="s">
        <v>148</v>
      </c>
      <c r="AH95" t="s">
        <v>149</v>
      </c>
      <c r="AI95" t="str">
        <f>"1751020"</f>
        <v>1751020</v>
      </c>
      <c r="AJ95" t="s">
        <v>532</v>
      </c>
      <c r="AK95">
        <v>2810372732</v>
      </c>
      <c r="AL95" t="s">
        <v>533</v>
      </c>
      <c r="AM95" t="s">
        <v>78</v>
      </c>
      <c r="AN95" t="s">
        <v>78</v>
      </c>
      <c r="AO95" t="s">
        <v>78</v>
      </c>
      <c r="AP95" t="s">
        <v>163</v>
      </c>
      <c r="AQ95">
        <v>3</v>
      </c>
      <c r="AR95" t="s">
        <v>123</v>
      </c>
      <c r="AS95" t="s">
        <v>124</v>
      </c>
      <c r="AT95" t="s">
        <v>58</v>
      </c>
      <c r="AU95" t="s">
        <v>164</v>
      </c>
      <c r="AV95" t="s">
        <v>132</v>
      </c>
      <c r="AW95" s="1">
        <v>25982</v>
      </c>
      <c r="AX95">
        <v>2</v>
      </c>
    </row>
    <row r="96" spans="1:50">
      <c r="B96" t="str">
        <f>"138989338"</f>
        <v>138989338</v>
      </c>
      <c r="C96" t="s">
        <v>50</v>
      </c>
      <c r="D96" t="s">
        <v>523</v>
      </c>
      <c r="E96" t="s">
        <v>534</v>
      </c>
      <c r="F96" t="s">
        <v>99</v>
      </c>
      <c r="G96" t="s">
        <v>103</v>
      </c>
      <c r="H96" t="str">
        <f>"Διαβάτη 5 Νέα Αλάτσατα"</f>
        <v>Διαβάτη 5 Νέα Αλάτσατα</v>
      </c>
      <c r="I96">
        <v>71409</v>
      </c>
      <c r="J96">
        <v>2810341884</v>
      </c>
      <c r="K96">
        <v>6945476708</v>
      </c>
      <c r="M96" t="s">
        <v>535</v>
      </c>
      <c r="N96" t="s">
        <v>536</v>
      </c>
      <c r="O96" t="s">
        <v>537</v>
      </c>
      <c r="R96" t="s">
        <v>159</v>
      </c>
      <c r="S96">
        <v>3</v>
      </c>
      <c r="T96" t="s">
        <v>344</v>
      </c>
      <c r="U96" s="1">
        <v>43348</v>
      </c>
      <c r="V96" t="s">
        <v>123</v>
      </c>
      <c r="W96" t="s">
        <v>124</v>
      </c>
      <c r="X96" t="s">
        <v>58</v>
      </c>
      <c r="Y96">
        <v>23</v>
      </c>
      <c r="Z96" t="s">
        <v>59</v>
      </c>
      <c r="AA96" t="s">
        <v>59</v>
      </c>
      <c r="AB96" t="s">
        <v>59</v>
      </c>
      <c r="AD96" t="s">
        <v>59</v>
      </c>
      <c r="AF96" s="1">
        <v>43348</v>
      </c>
      <c r="AG96" t="s">
        <v>125</v>
      </c>
      <c r="AH96" t="s">
        <v>538</v>
      </c>
      <c r="AI96" t="str">
        <f>"1701002"</f>
        <v>1701002</v>
      </c>
      <c r="AJ96" t="s">
        <v>539</v>
      </c>
      <c r="AK96">
        <v>2810213569</v>
      </c>
      <c r="AL96" t="s">
        <v>540</v>
      </c>
      <c r="AM96" t="s">
        <v>78</v>
      </c>
      <c r="AN96" t="s">
        <v>78</v>
      </c>
      <c r="AO96" t="s">
        <v>78</v>
      </c>
      <c r="AP96" t="s">
        <v>163</v>
      </c>
      <c r="AQ96">
        <v>11</v>
      </c>
      <c r="AR96" t="s">
        <v>123</v>
      </c>
      <c r="AS96" t="s">
        <v>124</v>
      </c>
      <c r="AT96" t="s">
        <v>58</v>
      </c>
      <c r="AU96" t="s">
        <v>350</v>
      </c>
      <c r="AV96" t="s">
        <v>132</v>
      </c>
      <c r="AW96" s="1">
        <v>32592</v>
      </c>
      <c r="AX96">
        <v>2</v>
      </c>
    </row>
    <row r="97" spans="1:50">
      <c r="A97">
        <v>218659</v>
      </c>
      <c r="B97" t="str">
        <f>"059079826"</f>
        <v>059079826</v>
      </c>
      <c r="C97" t="s">
        <v>50</v>
      </c>
      <c r="D97" t="s">
        <v>523</v>
      </c>
      <c r="E97" t="s">
        <v>541</v>
      </c>
      <c r="F97" t="s">
        <v>154</v>
      </c>
      <c r="G97" t="s">
        <v>191</v>
      </c>
      <c r="H97" t="str">
        <f>"Γ. ΠΑΠΑΝΔΡΕΟΥ 96 ΓΑΖΙ"</f>
        <v>Γ. ΠΑΠΑΝΔΡΕΟΥ 96 ΓΑΖΙ</v>
      </c>
      <c r="I97">
        <v>71414</v>
      </c>
      <c r="J97">
        <v>2810824322</v>
      </c>
      <c r="K97">
        <v>6982482162</v>
      </c>
      <c r="M97" t="s">
        <v>542</v>
      </c>
      <c r="N97" t="s">
        <v>199</v>
      </c>
      <c r="O97" t="s">
        <v>200</v>
      </c>
      <c r="R97" t="s">
        <v>57</v>
      </c>
      <c r="S97">
        <v>6</v>
      </c>
      <c r="T97">
        <v>599</v>
      </c>
      <c r="U97" s="1">
        <v>39310</v>
      </c>
      <c r="V97" t="s">
        <v>123</v>
      </c>
      <c r="W97" t="s">
        <v>124</v>
      </c>
      <c r="X97" t="s">
        <v>58</v>
      </c>
      <c r="Y97">
        <v>20</v>
      </c>
      <c r="Z97" t="s">
        <v>59</v>
      </c>
      <c r="AA97" t="s">
        <v>59</v>
      </c>
      <c r="AB97" t="s">
        <v>59</v>
      </c>
      <c r="AC97" t="s">
        <v>59</v>
      </c>
      <c r="AD97" t="s">
        <v>59</v>
      </c>
      <c r="AF97" s="1">
        <v>39328</v>
      </c>
      <c r="AG97" t="s">
        <v>137</v>
      </c>
      <c r="AH97" t="s">
        <v>138</v>
      </c>
      <c r="AI97" t="str">
        <f>"1740210"</f>
        <v>1740210</v>
      </c>
      <c r="AJ97" t="s">
        <v>139</v>
      </c>
      <c r="AK97">
        <v>2810318130</v>
      </c>
      <c r="AL97" t="s">
        <v>140</v>
      </c>
      <c r="AM97" t="s">
        <v>78</v>
      </c>
      <c r="AN97" t="s">
        <v>78</v>
      </c>
      <c r="AO97" t="s">
        <v>78</v>
      </c>
      <c r="AP97" t="s">
        <v>141</v>
      </c>
      <c r="AQ97">
        <v>7</v>
      </c>
      <c r="AR97" t="s">
        <v>123</v>
      </c>
      <c r="AS97" t="s">
        <v>124</v>
      </c>
      <c r="AT97" t="s">
        <v>58</v>
      </c>
      <c r="AU97" t="s">
        <v>68</v>
      </c>
      <c r="AV97" t="s">
        <v>69</v>
      </c>
      <c r="AW97" s="1">
        <v>25660</v>
      </c>
      <c r="AX97">
        <v>2</v>
      </c>
    </row>
    <row r="98" spans="1:50">
      <c r="A98">
        <v>175845</v>
      </c>
      <c r="B98" t="str">
        <f>"027931598"</f>
        <v>027931598</v>
      </c>
      <c r="C98" t="s">
        <v>105</v>
      </c>
      <c r="D98" t="s">
        <v>543</v>
      </c>
      <c r="E98" t="s">
        <v>166</v>
      </c>
      <c r="F98" t="s">
        <v>53</v>
      </c>
      <c r="G98" t="s">
        <v>52</v>
      </c>
      <c r="H98" t="str">
        <f>"ΔΡΑΜΟΥΝΤΑΝΗ 20 ΑΧΛΑΔΑ"</f>
        <v>ΔΡΑΜΟΥΝΤΑΝΗ 20 ΑΧΛΑΔΑ</v>
      </c>
      <c r="I98">
        <v>71304</v>
      </c>
      <c r="J98">
        <v>2810314371</v>
      </c>
      <c r="K98">
        <v>6932115060</v>
      </c>
      <c r="N98" t="s">
        <v>292</v>
      </c>
      <c r="O98" t="s">
        <v>293</v>
      </c>
      <c r="R98" t="s">
        <v>57</v>
      </c>
      <c r="S98">
        <v>12</v>
      </c>
      <c r="T98">
        <v>180</v>
      </c>
      <c r="U98" s="1">
        <v>35674</v>
      </c>
      <c r="V98" t="s">
        <v>123</v>
      </c>
      <c r="W98" t="s">
        <v>124</v>
      </c>
      <c r="X98" t="s">
        <v>58</v>
      </c>
      <c r="Y98">
        <v>18</v>
      </c>
      <c r="Z98" t="s">
        <v>59</v>
      </c>
      <c r="AA98" t="s">
        <v>59</v>
      </c>
      <c r="AB98" t="s">
        <v>59</v>
      </c>
      <c r="AC98" t="s">
        <v>59</v>
      </c>
      <c r="AD98" t="s">
        <v>59</v>
      </c>
      <c r="AF98" s="1">
        <v>35681</v>
      </c>
      <c r="AG98" t="s">
        <v>148</v>
      </c>
      <c r="AH98" t="s">
        <v>149</v>
      </c>
      <c r="AI98" t="str">
        <f>"1751010"</f>
        <v>1751010</v>
      </c>
      <c r="AJ98" t="s">
        <v>150</v>
      </c>
      <c r="AK98">
        <v>2810346092</v>
      </c>
      <c r="AL98" t="s">
        <v>151</v>
      </c>
      <c r="AM98" t="s">
        <v>78</v>
      </c>
      <c r="AN98" t="s">
        <v>78</v>
      </c>
      <c r="AO98" t="s">
        <v>78</v>
      </c>
      <c r="AP98" t="s">
        <v>79</v>
      </c>
      <c r="AQ98">
        <v>1</v>
      </c>
      <c r="AR98" t="s">
        <v>123</v>
      </c>
      <c r="AS98" t="s">
        <v>124</v>
      </c>
      <c r="AT98" t="s">
        <v>58</v>
      </c>
      <c r="AU98" t="s">
        <v>68</v>
      </c>
      <c r="AV98" t="s">
        <v>69</v>
      </c>
      <c r="AW98" s="1">
        <v>20952</v>
      </c>
      <c r="AX98">
        <v>2</v>
      </c>
    </row>
    <row r="99" spans="1:50">
      <c r="A99">
        <v>229766</v>
      </c>
      <c r="B99" t="str">
        <f>"124450985"</f>
        <v>124450985</v>
      </c>
      <c r="C99" t="s">
        <v>50</v>
      </c>
      <c r="D99" t="s">
        <v>544</v>
      </c>
      <c r="E99" t="s">
        <v>250</v>
      </c>
      <c r="F99" t="s">
        <v>53</v>
      </c>
      <c r="G99" t="s">
        <v>545</v>
      </c>
      <c r="H99" t="str">
        <f>"ΘΕΟΔΩΡΑΣ 10 ΑΓΙΟΣ ΙΩΑΝΝΗΣ ΧΩΣΤΟΣ"</f>
        <v>ΘΕΟΔΩΡΑΣ 10 ΑΓΙΟΣ ΙΩΑΝΝΗΣ ΧΩΣΤΟΣ</v>
      </c>
      <c r="I99">
        <v>71410</v>
      </c>
      <c r="J99">
        <v>2834092489</v>
      </c>
      <c r="K99">
        <v>6947354171</v>
      </c>
      <c r="M99" t="s">
        <v>546</v>
      </c>
      <c r="N99" t="s">
        <v>146</v>
      </c>
      <c r="O99" t="s">
        <v>147</v>
      </c>
      <c r="P99" t="s">
        <v>547</v>
      </c>
      <c r="Q99" t="s">
        <v>548</v>
      </c>
      <c r="R99" t="s">
        <v>57</v>
      </c>
      <c r="S99">
        <v>5</v>
      </c>
      <c r="T99">
        <v>988</v>
      </c>
      <c r="U99" s="1">
        <v>40157</v>
      </c>
      <c r="V99" t="s">
        <v>123</v>
      </c>
      <c r="W99" t="s">
        <v>124</v>
      </c>
      <c r="X99" t="s">
        <v>58</v>
      </c>
      <c r="Y99">
        <v>21</v>
      </c>
      <c r="Z99" t="s">
        <v>59</v>
      </c>
      <c r="AA99" t="s">
        <v>59</v>
      </c>
      <c r="AB99" t="s">
        <v>59</v>
      </c>
      <c r="AC99" t="s">
        <v>59</v>
      </c>
      <c r="AD99" t="s">
        <v>59</v>
      </c>
      <c r="AF99" s="1">
        <v>40157</v>
      </c>
      <c r="AG99" t="s">
        <v>125</v>
      </c>
      <c r="AH99" t="s">
        <v>126</v>
      </c>
      <c r="AI99" t="str">
        <f>"1722010"</f>
        <v>1722010</v>
      </c>
      <c r="AJ99" t="s">
        <v>549</v>
      </c>
      <c r="AK99">
        <v>2894041298</v>
      </c>
      <c r="AL99" t="s">
        <v>550</v>
      </c>
      <c r="AM99" t="s">
        <v>78</v>
      </c>
      <c r="AN99" t="s">
        <v>405</v>
      </c>
      <c r="AO99" t="s">
        <v>551</v>
      </c>
      <c r="AP99" t="s">
        <v>552</v>
      </c>
      <c r="AQ99">
        <v>31</v>
      </c>
      <c r="AR99" t="s">
        <v>123</v>
      </c>
      <c r="AS99" t="s">
        <v>124</v>
      </c>
      <c r="AT99" t="s">
        <v>58</v>
      </c>
      <c r="AU99" t="s">
        <v>68</v>
      </c>
      <c r="AV99" t="s">
        <v>69</v>
      </c>
      <c r="AW99" s="1">
        <v>27395</v>
      </c>
      <c r="AX99">
        <v>2</v>
      </c>
    </row>
    <row r="100" spans="1:50">
      <c r="A100">
        <v>181419</v>
      </c>
      <c r="B100" t="str">
        <f>"034942228"</f>
        <v>034942228</v>
      </c>
      <c r="C100" t="s">
        <v>50</v>
      </c>
      <c r="D100" t="s">
        <v>544</v>
      </c>
      <c r="E100" t="s">
        <v>553</v>
      </c>
      <c r="F100" t="s">
        <v>53</v>
      </c>
      <c r="G100" t="s">
        <v>554</v>
      </c>
      <c r="H100" t="str">
        <f>"ΜΙΛΤΙΑΔΟΥ 21 ΗΡΑΚΛΕΙΟ"</f>
        <v>ΜΙΛΤΙΑΔΟΥ 21 ΗΡΑΚΛΕΙΟ</v>
      </c>
      <c r="I100">
        <v>71307</v>
      </c>
      <c r="J100">
        <v>2810344041</v>
      </c>
      <c r="K100">
        <v>6976787316</v>
      </c>
      <c r="M100" t="s">
        <v>555</v>
      </c>
      <c r="N100" t="s">
        <v>299</v>
      </c>
      <c r="O100" t="s">
        <v>300</v>
      </c>
      <c r="R100" t="s">
        <v>57</v>
      </c>
      <c r="S100">
        <v>19</v>
      </c>
      <c r="T100">
        <v>164</v>
      </c>
      <c r="U100" s="1">
        <v>36040</v>
      </c>
      <c r="V100" t="s">
        <v>123</v>
      </c>
      <c r="W100" t="s">
        <v>124</v>
      </c>
      <c r="X100" t="s">
        <v>58</v>
      </c>
      <c r="Y100">
        <v>18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F100" s="1">
        <v>36066</v>
      </c>
      <c r="AG100" t="s">
        <v>137</v>
      </c>
      <c r="AH100" t="s">
        <v>138</v>
      </c>
      <c r="AI100" t="str">
        <f>"1740070"</f>
        <v>1740070</v>
      </c>
      <c r="AJ100" t="s">
        <v>206</v>
      </c>
      <c r="AK100">
        <v>2810324880</v>
      </c>
      <c r="AL100" t="s">
        <v>207</v>
      </c>
      <c r="AM100" t="s">
        <v>78</v>
      </c>
      <c r="AN100" t="s">
        <v>78</v>
      </c>
      <c r="AO100" t="s">
        <v>78</v>
      </c>
      <c r="AP100" t="s">
        <v>163</v>
      </c>
      <c r="AQ100">
        <v>9</v>
      </c>
      <c r="AR100" t="s">
        <v>123</v>
      </c>
      <c r="AS100" t="s">
        <v>124</v>
      </c>
      <c r="AT100" t="s">
        <v>58</v>
      </c>
      <c r="AU100" t="s">
        <v>68</v>
      </c>
      <c r="AV100" t="s">
        <v>69</v>
      </c>
      <c r="AW100" s="1">
        <v>22473</v>
      </c>
      <c r="AX100">
        <v>2</v>
      </c>
    </row>
    <row r="101" spans="1:50">
      <c r="A101">
        <v>149678</v>
      </c>
      <c r="B101" t="str">
        <f>"028871583"</f>
        <v>028871583</v>
      </c>
      <c r="C101" t="s">
        <v>105</v>
      </c>
      <c r="D101" t="s">
        <v>556</v>
      </c>
      <c r="E101" t="s">
        <v>166</v>
      </c>
      <c r="F101" t="s">
        <v>95</v>
      </c>
      <c r="G101" t="s">
        <v>73</v>
      </c>
      <c r="H101" t="str">
        <f>"ΑΝΘΕΩΝ 76 ΗΡΑΚΛΕΙΟ"</f>
        <v>ΑΝΘΕΩΝ 76 ΗΡΑΚΛΕΙΟ</v>
      </c>
      <c r="I101">
        <v>71409</v>
      </c>
      <c r="J101">
        <v>2810210211</v>
      </c>
      <c r="K101">
        <v>6973053616</v>
      </c>
      <c r="M101" t="s">
        <v>557</v>
      </c>
      <c r="N101" t="s">
        <v>146</v>
      </c>
      <c r="O101" t="s">
        <v>147</v>
      </c>
      <c r="R101" t="s">
        <v>57</v>
      </c>
      <c r="S101">
        <v>19</v>
      </c>
      <c r="T101">
        <v>228</v>
      </c>
      <c r="U101" s="1">
        <v>31684</v>
      </c>
      <c r="V101" t="s">
        <v>123</v>
      </c>
      <c r="W101" t="s">
        <v>124</v>
      </c>
      <c r="X101" t="s">
        <v>58</v>
      </c>
      <c r="Y101">
        <v>18</v>
      </c>
      <c r="Z101" t="s">
        <v>59</v>
      </c>
      <c r="AA101" t="s">
        <v>59</v>
      </c>
      <c r="AB101" t="s">
        <v>59</v>
      </c>
      <c r="AC101" t="s">
        <v>59</v>
      </c>
      <c r="AD101" t="s">
        <v>59</v>
      </c>
      <c r="AF101" s="1">
        <v>31691</v>
      </c>
      <c r="AG101" t="s">
        <v>148</v>
      </c>
      <c r="AH101" t="s">
        <v>149</v>
      </c>
      <c r="AI101" t="str">
        <f>"1751041"</f>
        <v>1751041</v>
      </c>
      <c r="AJ101" t="s">
        <v>353</v>
      </c>
      <c r="AK101">
        <v>2810230207</v>
      </c>
      <c r="AL101" t="s">
        <v>354</v>
      </c>
      <c r="AM101" t="s">
        <v>78</v>
      </c>
      <c r="AN101" t="s">
        <v>78</v>
      </c>
      <c r="AO101" t="s">
        <v>78</v>
      </c>
      <c r="AP101" t="s">
        <v>163</v>
      </c>
      <c r="AQ101">
        <v>2</v>
      </c>
      <c r="AR101" t="s">
        <v>123</v>
      </c>
      <c r="AS101" t="s">
        <v>124</v>
      </c>
      <c r="AT101" t="s">
        <v>58</v>
      </c>
      <c r="AU101" t="s">
        <v>68</v>
      </c>
      <c r="AV101" t="s">
        <v>69</v>
      </c>
      <c r="AW101" s="1">
        <v>21633</v>
      </c>
      <c r="AX101">
        <v>2</v>
      </c>
    </row>
    <row r="102" spans="1:50">
      <c r="A102">
        <v>700799</v>
      </c>
      <c r="B102" t="str">
        <f>"115916282"</f>
        <v>115916282</v>
      </c>
      <c r="C102" t="s">
        <v>105</v>
      </c>
      <c r="D102" t="s">
        <v>558</v>
      </c>
      <c r="E102" t="s">
        <v>309</v>
      </c>
      <c r="F102" t="s">
        <v>510</v>
      </c>
      <c r="G102" t="s">
        <v>52</v>
      </c>
      <c r="H102" t="str">
        <f>"Ι ΚΩΝΙΩΤΑΚΗ  ΤΥΜΠΑΚΙ ΦΑΙΣΤΟΥ"</f>
        <v>Ι ΚΩΝΙΩΤΑΚΗ  ΤΥΜΠΑΚΙ ΦΑΙΣΤΟΥ</v>
      </c>
      <c r="I102">
        <v>70200</v>
      </c>
      <c r="J102">
        <v>2892052982</v>
      </c>
      <c r="K102">
        <v>6978033204</v>
      </c>
      <c r="L102">
        <v>2106122047</v>
      </c>
      <c r="M102" t="s">
        <v>559</v>
      </c>
      <c r="N102" t="s">
        <v>146</v>
      </c>
      <c r="O102" t="s">
        <v>147</v>
      </c>
      <c r="R102" t="s">
        <v>57</v>
      </c>
      <c r="S102">
        <v>3</v>
      </c>
      <c r="T102">
        <v>772</v>
      </c>
      <c r="U102" s="1">
        <v>40413</v>
      </c>
      <c r="V102" t="s">
        <v>123</v>
      </c>
      <c r="W102" t="s">
        <v>124</v>
      </c>
      <c r="X102" t="s">
        <v>58</v>
      </c>
      <c r="Y102">
        <v>21</v>
      </c>
      <c r="Z102" t="s">
        <v>59</v>
      </c>
      <c r="AA102" t="s">
        <v>59</v>
      </c>
      <c r="AB102" t="s">
        <v>59</v>
      </c>
      <c r="AC102" t="s">
        <v>59</v>
      </c>
      <c r="AD102" t="s">
        <v>59</v>
      </c>
      <c r="AF102" s="1">
        <v>40413</v>
      </c>
      <c r="AG102" t="s">
        <v>148</v>
      </c>
      <c r="AH102" t="s">
        <v>149</v>
      </c>
      <c r="AI102" t="str">
        <f>"1763010"</f>
        <v>1763010</v>
      </c>
      <c r="AJ102" t="s">
        <v>560</v>
      </c>
      <c r="AK102">
        <v>2892051146</v>
      </c>
      <c r="AL102" t="s">
        <v>561</v>
      </c>
      <c r="AM102" t="s">
        <v>78</v>
      </c>
      <c r="AN102" t="s">
        <v>242</v>
      </c>
      <c r="AO102" t="s">
        <v>349</v>
      </c>
      <c r="AP102" t="s">
        <v>349</v>
      </c>
      <c r="AQ102">
        <v>35</v>
      </c>
      <c r="AR102" t="s">
        <v>123</v>
      </c>
      <c r="AS102" t="s">
        <v>124</v>
      </c>
      <c r="AT102" t="s">
        <v>58</v>
      </c>
      <c r="AU102" t="s">
        <v>68</v>
      </c>
      <c r="AV102" t="s">
        <v>69</v>
      </c>
      <c r="AW102" s="1">
        <v>30191</v>
      </c>
      <c r="AX102">
        <v>2</v>
      </c>
    </row>
    <row r="103" spans="1:50">
      <c r="A103">
        <v>219721</v>
      </c>
      <c r="B103" t="str">
        <f>"119117924"</f>
        <v>119117924</v>
      </c>
      <c r="C103" t="s">
        <v>50</v>
      </c>
      <c r="D103" t="s">
        <v>562</v>
      </c>
      <c r="E103" t="s">
        <v>563</v>
      </c>
      <c r="F103" t="s">
        <v>564</v>
      </c>
      <c r="G103" t="s">
        <v>215</v>
      </c>
      <c r="H103" t="str">
        <f>" "</f>
        <v xml:space="preserve"> </v>
      </c>
      <c r="J103">
        <v>2810242273</v>
      </c>
      <c r="K103">
        <v>6972263891</v>
      </c>
      <c r="N103" t="s">
        <v>176</v>
      </c>
      <c r="O103" t="s">
        <v>177</v>
      </c>
      <c r="R103" t="s">
        <v>57</v>
      </c>
      <c r="S103">
        <v>5</v>
      </c>
      <c r="T103">
        <v>599</v>
      </c>
      <c r="U103" s="1">
        <v>39310</v>
      </c>
      <c r="V103" t="s">
        <v>123</v>
      </c>
      <c r="W103" t="s">
        <v>124</v>
      </c>
      <c r="X103" t="s">
        <v>58</v>
      </c>
      <c r="Y103">
        <v>21</v>
      </c>
      <c r="Z103" t="s">
        <v>59</v>
      </c>
      <c r="AA103" t="s">
        <v>59</v>
      </c>
      <c r="AB103" t="s">
        <v>59</v>
      </c>
      <c r="AC103" t="s">
        <v>59</v>
      </c>
      <c r="AD103" t="s">
        <v>59</v>
      </c>
      <c r="AF103" s="1">
        <v>39328</v>
      </c>
      <c r="AG103" t="s">
        <v>137</v>
      </c>
      <c r="AH103" t="s">
        <v>138</v>
      </c>
      <c r="AI103" t="str">
        <f>"1750080"</f>
        <v>1750080</v>
      </c>
      <c r="AJ103" t="s">
        <v>170</v>
      </c>
      <c r="AK103">
        <v>2810234444</v>
      </c>
      <c r="AL103" t="s">
        <v>171</v>
      </c>
      <c r="AM103" t="s">
        <v>78</v>
      </c>
      <c r="AN103" t="s">
        <v>78</v>
      </c>
      <c r="AO103" t="s">
        <v>78</v>
      </c>
      <c r="AP103" t="s">
        <v>163</v>
      </c>
      <c r="AQ103">
        <v>9</v>
      </c>
      <c r="AR103" t="s">
        <v>123</v>
      </c>
      <c r="AS103" t="s">
        <v>124</v>
      </c>
      <c r="AT103" t="s">
        <v>58</v>
      </c>
      <c r="AU103" t="s">
        <v>68</v>
      </c>
      <c r="AV103" t="s">
        <v>69</v>
      </c>
      <c r="AW103" s="1">
        <v>29671</v>
      </c>
      <c r="AX103">
        <v>2</v>
      </c>
    </row>
    <row r="104" spans="1:50">
      <c r="A104">
        <v>215891</v>
      </c>
      <c r="B104" t="str">
        <f>"066370959"</f>
        <v>066370959</v>
      </c>
      <c r="C104" t="s">
        <v>105</v>
      </c>
      <c r="D104" t="s">
        <v>565</v>
      </c>
      <c r="E104" t="s">
        <v>99</v>
      </c>
      <c r="F104" t="s">
        <v>95</v>
      </c>
      <c r="G104" t="s">
        <v>566</v>
      </c>
      <c r="H104" t="str">
        <f>"ΜΥΡΣΥΝΗΣ 26 ΗΡΑΚΛΕΙΟ"</f>
        <v>ΜΥΡΣΥΝΗΣ 26 ΗΡΑΚΛΕΙΟ</v>
      </c>
      <c r="I104">
        <v>71303</v>
      </c>
      <c r="J104">
        <v>2810320723</v>
      </c>
      <c r="K104">
        <v>6944803377</v>
      </c>
      <c r="N104" t="s">
        <v>168</v>
      </c>
      <c r="O104" t="s">
        <v>169</v>
      </c>
      <c r="R104" t="s">
        <v>57</v>
      </c>
      <c r="S104">
        <v>8</v>
      </c>
      <c r="T104">
        <v>232</v>
      </c>
      <c r="U104" s="1">
        <v>38960</v>
      </c>
      <c r="V104" t="s">
        <v>123</v>
      </c>
      <c r="W104" t="s">
        <v>124</v>
      </c>
      <c r="X104" t="s">
        <v>58</v>
      </c>
      <c r="Y104">
        <v>20</v>
      </c>
      <c r="Z104" t="s">
        <v>59</v>
      </c>
      <c r="AA104" t="s">
        <v>59</v>
      </c>
      <c r="AB104" t="s">
        <v>59</v>
      </c>
      <c r="AC104" t="s">
        <v>59</v>
      </c>
      <c r="AD104" t="s">
        <v>59</v>
      </c>
      <c r="AF104" s="1">
        <v>38961</v>
      </c>
      <c r="AG104" t="s">
        <v>137</v>
      </c>
      <c r="AH104" t="s">
        <v>138</v>
      </c>
      <c r="AI104" t="str">
        <f>"1740210"</f>
        <v>1740210</v>
      </c>
      <c r="AJ104" t="s">
        <v>139</v>
      </c>
      <c r="AK104">
        <v>2810318130</v>
      </c>
      <c r="AL104" t="s">
        <v>140</v>
      </c>
      <c r="AM104" t="s">
        <v>78</v>
      </c>
      <c r="AN104" t="s">
        <v>78</v>
      </c>
      <c r="AO104" t="s">
        <v>78</v>
      </c>
      <c r="AP104" t="s">
        <v>141</v>
      </c>
      <c r="AQ104">
        <v>7</v>
      </c>
      <c r="AR104" t="s">
        <v>123</v>
      </c>
      <c r="AS104" t="s">
        <v>124</v>
      </c>
      <c r="AT104" t="s">
        <v>58</v>
      </c>
      <c r="AU104" t="s">
        <v>68</v>
      </c>
      <c r="AV104" t="s">
        <v>69</v>
      </c>
      <c r="AW104" s="1">
        <v>29142</v>
      </c>
      <c r="AX104">
        <v>2</v>
      </c>
    </row>
    <row r="105" spans="1:50">
      <c r="A105">
        <v>198120</v>
      </c>
      <c r="B105" t="str">
        <f>"071514837"</f>
        <v>071514837</v>
      </c>
      <c r="C105" t="s">
        <v>105</v>
      </c>
      <c r="D105" t="s">
        <v>565</v>
      </c>
      <c r="E105" t="s">
        <v>53</v>
      </c>
      <c r="F105" t="s">
        <v>106</v>
      </c>
      <c r="G105" t="s">
        <v>109</v>
      </c>
      <c r="H105" t="str">
        <f>"ΚΟΝΔΥΛΑΚΗ 40 ΗΡΑΚΛΕΙΟ"</f>
        <v>ΚΟΝΔΥΛΑΚΗ 40 ΗΡΑΚΛΕΙΟ</v>
      </c>
      <c r="I105">
        <v>71305</v>
      </c>
      <c r="J105">
        <v>2810257599</v>
      </c>
      <c r="K105">
        <v>6978704073</v>
      </c>
      <c r="M105" t="s">
        <v>567</v>
      </c>
      <c r="N105" t="s">
        <v>199</v>
      </c>
      <c r="O105" t="s">
        <v>200</v>
      </c>
      <c r="R105" t="s">
        <v>57</v>
      </c>
      <c r="S105">
        <v>7</v>
      </c>
      <c r="T105">
        <v>206</v>
      </c>
      <c r="U105" s="1">
        <v>37866</v>
      </c>
      <c r="V105" t="s">
        <v>123</v>
      </c>
      <c r="W105" t="s">
        <v>124</v>
      </c>
      <c r="X105" t="s">
        <v>58</v>
      </c>
      <c r="Y105">
        <v>20</v>
      </c>
      <c r="Z105" t="s">
        <v>59</v>
      </c>
      <c r="AA105" t="s">
        <v>59</v>
      </c>
      <c r="AB105" t="s">
        <v>59</v>
      </c>
      <c r="AC105" t="s">
        <v>59</v>
      </c>
      <c r="AD105" t="s">
        <v>59</v>
      </c>
      <c r="AF105" s="1">
        <v>37866</v>
      </c>
      <c r="AG105" t="s">
        <v>148</v>
      </c>
      <c r="AH105" t="s">
        <v>149</v>
      </c>
      <c r="AI105" t="str">
        <f>"1790100"</f>
        <v>1790100</v>
      </c>
      <c r="AJ105" t="s">
        <v>252</v>
      </c>
      <c r="AK105">
        <v>2810234876</v>
      </c>
      <c r="AL105" t="s">
        <v>253</v>
      </c>
      <c r="AM105" t="s">
        <v>78</v>
      </c>
      <c r="AN105" t="s">
        <v>78</v>
      </c>
      <c r="AO105" t="s">
        <v>78</v>
      </c>
      <c r="AP105" t="s">
        <v>163</v>
      </c>
      <c r="AQ105">
        <v>5</v>
      </c>
      <c r="AR105" t="s">
        <v>123</v>
      </c>
      <c r="AS105" t="s">
        <v>124</v>
      </c>
      <c r="AT105" t="s">
        <v>58</v>
      </c>
      <c r="AU105" t="s">
        <v>68</v>
      </c>
      <c r="AV105" t="s">
        <v>69</v>
      </c>
      <c r="AW105" s="1">
        <v>24625</v>
      </c>
      <c r="AX105">
        <v>2</v>
      </c>
    </row>
    <row r="106" spans="1:50">
      <c r="A106">
        <v>153406</v>
      </c>
      <c r="B106" t="str">
        <f>"028663733"</f>
        <v>028663733</v>
      </c>
      <c r="C106" t="s">
        <v>50</v>
      </c>
      <c r="D106" t="s">
        <v>568</v>
      </c>
      <c r="E106" t="s">
        <v>250</v>
      </c>
      <c r="F106" t="s">
        <v>72</v>
      </c>
      <c r="G106" t="s">
        <v>52</v>
      </c>
      <c r="H106" t="str">
        <f>" "</f>
        <v xml:space="preserve"> </v>
      </c>
      <c r="N106" t="s">
        <v>146</v>
      </c>
      <c r="O106" t="s">
        <v>147</v>
      </c>
      <c r="R106" t="s">
        <v>57</v>
      </c>
      <c r="S106">
        <v>16</v>
      </c>
      <c r="T106">
        <v>139</v>
      </c>
      <c r="U106" s="1">
        <v>32366</v>
      </c>
      <c r="V106" t="s">
        <v>123</v>
      </c>
      <c r="W106" t="s">
        <v>124</v>
      </c>
      <c r="X106" t="s">
        <v>58</v>
      </c>
      <c r="Y106">
        <v>18</v>
      </c>
      <c r="Z106" t="s">
        <v>59</v>
      </c>
      <c r="AA106" t="s">
        <v>59</v>
      </c>
      <c r="AB106" t="s">
        <v>59</v>
      </c>
      <c r="AC106" t="s">
        <v>59</v>
      </c>
      <c r="AD106" t="s">
        <v>59</v>
      </c>
      <c r="AF106" s="1">
        <v>32391</v>
      </c>
      <c r="AG106" t="s">
        <v>125</v>
      </c>
      <c r="AH106" t="s">
        <v>126</v>
      </c>
      <c r="AI106" t="str">
        <f>"1701057"</f>
        <v>1701057</v>
      </c>
      <c r="AJ106" t="s">
        <v>379</v>
      </c>
      <c r="AK106">
        <v>2810234488</v>
      </c>
      <c r="AL106" t="s">
        <v>380</v>
      </c>
      <c r="AM106" t="s">
        <v>78</v>
      </c>
      <c r="AN106" t="s">
        <v>78</v>
      </c>
      <c r="AO106" t="s">
        <v>78</v>
      </c>
      <c r="AP106" t="s">
        <v>163</v>
      </c>
      <c r="AQ106">
        <v>8</v>
      </c>
      <c r="AR106" t="s">
        <v>123</v>
      </c>
      <c r="AS106" t="s">
        <v>124</v>
      </c>
      <c r="AT106" t="s">
        <v>58</v>
      </c>
      <c r="AU106" t="s">
        <v>68</v>
      </c>
      <c r="AV106" t="s">
        <v>69</v>
      </c>
      <c r="AW106" s="1">
        <v>23090</v>
      </c>
      <c r="AX106">
        <v>2</v>
      </c>
    </row>
    <row r="107" spans="1:50">
      <c r="A107">
        <v>218660</v>
      </c>
      <c r="B107" t="str">
        <f>"061188141"</f>
        <v>061188141</v>
      </c>
      <c r="C107" t="s">
        <v>50</v>
      </c>
      <c r="D107" t="s">
        <v>568</v>
      </c>
      <c r="E107" t="s">
        <v>250</v>
      </c>
      <c r="F107" t="s">
        <v>108</v>
      </c>
      <c r="G107" t="s">
        <v>569</v>
      </c>
      <c r="H107" t="str">
        <f>"Γούρνες Τεμένους Τ.Θ 133 ΗΡΑΚΛΕΙΟΥ"</f>
        <v>Γούρνες Τεμένους Τ.Θ 133 ΗΡΑΚΛΕΙΟΥ</v>
      </c>
      <c r="I107">
        <v>71500</v>
      </c>
      <c r="J107">
        <v>2109419650</v>
      </c>
      <c r="K107">
        <v>6944658546</v>
      </c>
      <c r="M107" t="s">
        <v>570</v>
      </c>
      <c r="N107" t="s">
        <v>199</v>
      </c>
      <c r="O107" t="s">
        <v>200</v>
      </c>
      <c r="R107" t="s">
        <v>57</v>
      </c>
      <c r="S107">
        <v>5</v>
      </c>
      <c r="T107">
        <v>599</v>
      </c>
      <c r="U107" s="1">
        <v>39310</v>
      </c>
      <c r="V107" t="s">
        <v>123</v>
      </c>
      <c r="W107" t="s">
        <v>124</v>
      </c>
      <c r="X107" t="s">
        <v>58</v>
      </c>
      <c r="Y107">
        <v>21</v>
      </c>
      <c r="Z107" t="s">
        <v>59</v>
      </c>
      <c r="AA107" t="s">
        <v>59</v>
      </c>
      <c r="AB107" t="s">
        <v>59</v>
      </c>
      <c r="AC107" t="s">
        <v>59</v>
      </c>
      <c r="AD107" t="s">
        <v>59</v>
      </c>
      <c r="AF107" s="1">
        <v>39328</v>
      </c>
      <c r="AG107" t="s">
        <v>148</v>
      </c>
      <c r="AH107" t="s">
        <v>149</v>
      </c>
      <c r="AI107" t="str">
        <f>"1753010"</f>
        <v>1753010</v>
      </c>
      <c r="AJ107" t="s">
        <v>571</v>
      </c>
      <c r="AK107">
        <v>2810751528</v>
      </c>
      <c r="AL107" t="s">
        <v>572</v>
      </c>
      <c r="AM107" t="s">
        <v>78</v>
      </c>
      <c r="AN107" t="s">
        <v>424</v>
      </c>
      <c r="AO107" t="s">
        <v>425</v>
      </c>
      <c r="AP107" t="s">
        <v>425</v>
      </c>
      <c r="AQ107">
        <v>13</v>
      </c>
      <c r="AR107" t="s">
        <v>123</v>
      </c>
      <c r="AS107" t="s">
        <v>124</v>
      </c>
      <c r="AT107" t="s">
        <v>58</v>
      </c>
      <c r="AU107" t="s">
        <v>68</v>
      </c>
      <c r="AV107" t="s">
        <v>69</v>
      </c>
      <c r="AW107" s="1">
        <v>27823</v>
      </c>
      <c r="AX107">
        <v>2</v>
      </c>
    </row>
    <row r="108" spans="1:50">
      <c r="B108" t="str">
        <f>"124011927"</f>
        <v>124011927</v>
      </c>
      <c r="C108" t="s">
        <v>50</v>
      </c>
      <c r="D108" t="s">
        <v>568</v>
      </c>
      <c r="E108" t="s">
        <v>52</v>
      </c>
      <c r="F108" t="s">
        <v>53</v>
      </c>
      <c r="G108" t="s">
        <v>143</v>
      </c>
      <c r="H108" t="str">
        <f>"ΕΜ. ΛΑΜΠΡΑΚΗ 63 ΙΕΡΑΠΕΤΡΑ"</f>
        <v>ΕΜ. ΛΑΜΠΡΑΚΗ 63 ΙΕΡΑΠΕΤΡΑ</v>
      </c>
      <c r="I108">
        <v>72200</v>
      </c>
      <c r="J108">
        <v>2842028042</v>
      </c>
      <c r="K108">
        <v>6973731203</v>
      </c>
      <c r="M108" t="s">
        <v>573</v>
      </c>
      <c r="N108" t="s">
        <v>299</v>
      </c>
      <c r="O108" t="s">
        <v>300</v>
      </c>
      <c r="R108" t="s">
        <v>159</v>
      </c>
      <c r="S108">
        <v>2</v>
      </c>
      <c r="T108" t="s">
        <v>574</v>
      </c>
      <c r="U108" s="1">
        <v>43378</v>
      </c>
      <c r="V108" t="s">
        <v>123</v>
      </c>
      <c r="W108" t="s">
        <v>124</v>
      </c>
      <c r="X108" t="s">
        <v>58</v>
      </c>
      <c r="Y108">
        <v>23</v>
      </c>
      <c r="Z108" t="s">
        <v>59</v>
      </c>
      <c r="AA108" t="s">
        <v>59</v>
      </c>
      <c r="AB108" t="s">
        <v>59</v>
      </c>
      <c r="AC108" t="s">
        <v>59</v>
      </c>
      <c r="AD108" t="s">
        <v>59</v>
      </c>
      <c r="AF108" s="1">
        <v>43381</v>
      </c>
      <c r="AG108" t="s">
        <v>148</v>
      </c>
      <c r="AH108" t="s">
        <v>149</v>
      </c>
      <c r="AI108" t="str">
        <f>"1758010"</f>
        <v>1758010</v>
      </c>
      <c r="AJ108" t="s">
        <v>575</v>
      </c>
      <c r="AK108">
        <v>2893022145</v>
      </c>
      <c r="AL108" t="s">
        <v>576</v>
      </c>
      <c r="AM108" t="s">
        <v>78</v>
      </c>
      <c r="AN108" t="s">
        <v>424</v>
      </c>
      <c r="AO108" t="s">
        <v>577</v>
      </c>
      <c r="AP108" t="s">
        <v>578</v>
      </c>
      <c r="AQ108">
        <v>24</v>
      </c>
      <c r="AR108" t="s">
        <v>123</v>
      </c>
      <c r="AS108" t="s">
        <v>124</v>
      </c>
      <c r="AT108" t="s">
        <v>58</v>
      </c>
      <c r="AU108" t="s">
        <v>164</v>
      </c>
      <c r="AV108" t="s">
        <v>132</v>
      </c>
      <c r="AW108" s="1">
        <v>30447</v>
      </c>
      <c r="AX108">
        <v>2</v>
      </c>
    </row>
    <row r="109" spans="1:50">
      <c r="A109">
        <v>208907</v>
      </c>
      <c r="B109" t="str">
        <f>"042714281"</f>
        <v>042714281</v>
      </c>
      <c r="C109" t="s">
        <v>50</v>
      </c>
      <c r="D109" t="s">
        <v>579</v>
      </c>
      <c r="E109" t="s">
        <v>580</v>
      </c>
      <c r="F109" t="s">
        <v>581</v>
      </c>
      <c r="G109" t="s">
        <v>98</v>
      </c>
      <c r="H109" t="str">
        <f>"ΚΥΚΛΑΔΩΝ 26 ΗΡΑΚΛΕΙΟ"</f>
        <v>ΚΥΚΛΑΔΩΝ 26 ΗΡΑΚΛΕΙΟ</v>
      </c>
      <c r="I109">
        <v>71305</v>
      </c>
      <c r="J109">
        <v>2810210482</v>
      </c>
      <c r="K109">
        <v>6973023495</v>
      </c>
      <c r="M109" t="s">
        <v>582</v>
      </c>
      <c r="N109" t="s">
        <v>583</v>
      </c>
      <c r="O109" t="s">
        <v>584</v>
      </c>
      <c r="R109" t="s">
        <v>57</v>
      </c>
      <c r="S109">
        <v>8</v>
      </c>
      <c r="T109">
        <v>218</v>
      </c>
      <c r="U109" s="1">
        <v>38596</v>
      </c>
      <c r="V109" t="s">
        <v>123</v>
      </c>
      <c r="W109" t="s">
        <v>124</v>
      </c>
      <c r="X109" t="s">
        <v>58</v>
      </c>
      <c r="Y109">
        <v>20</v>
      </c>
      <c r="Z109" t="s">
        <v>59</v>
      </c>
      <c r="AA109" t="s">
        <v>59</v>
      </c>
      <c r="AB109" t="s">
        <v>59</v>
      </c>
      <c r="AC109" t="s">
        <v>59</v>
      </c>
      <c r="AD109" t="s">
        <v>59</v>
      </c>
      <c r="AF109" s="1">
        <v>38600</v>
      </c>
      <c r="AG109" t="s">
        <v>137</v>
      </c>
      <c r="AH109" t="s">
        <v>138</v>
      </c>
      <c r="AI109" t="str">
        <f>"1740080"</f>
        <v>1740080</v>
      </c>
      <c r="AJ109" t="s">
        <v>284</v>
      </c>
      <c r="AK109">
        <v>2810220433</v>
      </c>
      <c r="AL109" t="s">
        <v>285</v>
      </c>
      <c r="AM109" t="s">
        <v>78</v>
      </c>
      <c r="AN109" t="s">
        <v>78</v>
      </c>
      <c r="AO109" t="s">
        <v>286</v>
      </c>
      <c r="AP109" t="s">
        <v>286</v>
      </c>
      <c r="AQ109">
        <v>12</v>
      </c>
      <c r="AR109" t="s">
        <v>123</v>
      </c>
      <c r="AS109" t="s">
        <v>124</v>
      </c>
      <c r="AT109" t="s">
        <v>58</v>
      </c>
      <c r="AU109" t="s">
        <v>68</v>
      </c>
      <c r="AV109" t="s">
        <v>69</v>
      </c>
      <c r="AW109" s="1">
        <v>20752</v>
      </c>
      <c r="AX109">
        <v>2</v>
      </c>
    </row>
    <row r="110" spans="1:50">
      <c r="A110">
        <v>155259</v>
      </c>
      <c r="B110" t="str">
        <f>"038820542"</f>
        <v>038820542</v>
      </c>
      <c r="C110" t="s">
        <v>105</v>
      </c>
      <c r="D110" t="s">
        <v>585</v>
      </c>
      <c r="E110" t="s">
        <v>315</v>
      </c>
      <c r="F110" t="s">
        <v>95</v>
      </c>
      <c r="G110" t="s">
        <v>181</v>
      </c>
      <c r="H110" t="str">
        <f>" "</f>
        <v xml:space="preserve"> </v>
      </c>
      <c r="M110" t="s">
        <v>586</v>
      </c>
      <c r="N110" t="s">
        <v>587</v>
      </c>
      <c r="O110" t="s">
        <v>588</v>
      </c>
      <c r="R110" t="s">
        <v>57</v>
      </c>
      <c r="S110">
        <v>19</v>
      </c>
      <c r="T110">
        <v>161</v>
      </c>
      <c r="U110" s="1">
        <v>32387</v>
      </c>
      <c r="V110" t="s">
        <v>123</v>
      </c>
      <c r="W110" t="s">
        <v>124</v>
      </c>
      <c r="X110" t="s">
        <v>58</v>
      </c>
      <c r="Y110">
        <v>18</v>
      </c>
      <c r="Z110" t="s">
        <v>59</v>
      </c>
      <c r="AA110" t="s">
        <v>59</v>
      </c>
      <c r="AB110" t="s">
        <v>59</v>
      </c>
      <c r="AC110" t="s">
        <v>59</v>
      </c>
      <c r="AD110" t="s">
        <v>59</v>
      </c>
      <c r="AF110" s="1">
        <v>32387</v>
      </c>
      <c r="AG110" t="s">
        <v>137</v>
      </c>
      <c r="AH110" t="s">
        <v>138</v>
      </c>
      <c r="AI110" t="str">
        <f>"1740080"</f>
        <v>1740080</v>
      </c>
      <c r="AJ110" t="s">
        <v>284</v>
      </c>
      <c r="AK110">
        <v>2810220433</v>
      </c>
      <c r="AL110" t="s">
        <v>285</v>
      </c>
      <c r="AM110" t="s">
        <v>78</v>
      </c>
      <c r="AN110" t="s">
        <v>78</v>
      </c>
      <c r="AO110" t="s">
        <v>286</v>
      </c>
      <c r="AP110" t="s">
        <v>286</v>
      </c>
      <c r="AQ110">
        <v>12</v>
      </c>
      <c r="AR110" t="s">
        <v>123</v>
      </c>
      <c r="AS110" t="s">
        <v>124</v>
      </c>
      <c r="AT110" t="s">
        <v>58</v>
      </c>
      <c r="AU110" t="s">
        <v>68</v>
      </c>
      <c r="AV110" t="s">
        <v>69</v>
      </c>
      <c r="AW110" s="1">
        <v>21112</v>
      </c>
      <c r="AX110">
        <v>2</v>
      </c>
    </row>
    <row r="111" spans="1:50">
      <c r="B111" t="str">
        <f>"114591461"</f>
        <v>114591461</v>
      </c>
      <c r="C111" t="s">
        <v>50</v>
      </c>
      <c r="D111" t="s">
        <v>585</v>
      </c>
      <c r="E111" t="s">
        <v>52</v>
      </c>
      <c r="F111" t="s">
        <v>106</v>
      </c>
      <c r="G111" t="s">
        <v>589</v>
      </c>
      <c r="H111" t="str">
        <f>"ΝΗΡΕΩΣ 1 ΠΟΡΟΣ "</f>
        <v xml:space="preserve">ΝΗΡΕΩΣ 1 ΠΟΡΟΣ </v>
      </c>
      <c r="I111">
        <v>71307</v>
      </c>
      <c r="J111">
        <v>2810244503</v>
      </c>
      <c r="K111">
        <v>6945553637</v>
      </c>
      <c r="N111" t="s">
        <v>536</v>
      </c>
      <c r="O111" t="s">
        <v>537</v>
      </c>
      <c r="R111" t="s">
        <v>159</v>
      </c>
      <c r="S111">
        <v>5</v>
      </c>
      <c r="T111" t="s">
        <v>344</v>
      </c>
      <c r="U111" s="1">
        <v>43348</v>
      </c>
      <c r="V111" t="s">
        <v>123</v>
      </c>
      <c r="W111" t="s">
        <v>124</v>
      </c>
      <c r="X111" t="s">
        <v>58</v>
      </c>
      <c r="Y111">
        <v>23</v>
      </c>
      <c r="Z111" t="s">
        <v>59</v>
      </c>
      <c r="AA111" t="s">
        <v>59</v>
      </c>
      <c r="AB111" t="s">
        <v>59</v>
      </c>
      <c r="AC111" t="s">
        <v>59</v>
      </c>
      <c r="AD111" t="s">
        <v>59</v>
      </c>
      <c r="AF111" s="1">
        <v>43348</v>
      </c>
      <c r="AG111" t="s">
        <v>125</v>
      </c>
      <c r="AH111" t="s">
        <v>590</v>
      </c>
      <c r="AI111" t="str">
        <f>"1740060"</f>
        <v>1740060</v>
      </c>
      <c r="AJ111" t="s">
        <v>591</v>
      </c>
      <c r="AK111">
        <v>2810232117</v>
      </c>
      <c r="AL111" t="s">
        <v>592</v>
      </c>
      <c r="AM111" t="s">
        <v>78</v>
      </c>
      <c r="AN111" t="s">
        <v>78</v>
      </c>
      <c r="AO111" t="s">
        <v>78</v>
      </c>
      <c r="AP111" t="s">
        <v>141</v>
      </c>
      <c r="AQ111">
        <v>11</v>
      </c>
      <c r="AR111" t="s">
        <v>123</v>
      </c>
      <c r="AS111" t="s">
        <v>124</v>
      </c>
      <c r="AT111" t="s">
        <v>58</v>
      </c>
      <c r="AU111" t="s">
        <v>350</v>
      </c>
      <c r="AV111" t="s">
        <v>132</v>
      </c>
      <c r="AW111" s="1">
        <v>28512</v>
      </c>
      <c r="AX111">
        <v>2</v>
      </c>
    </row>
    <row r="112" spans="1:50">
      <c r="A112">
        <v>702611</v>
      </c>
      <c r="B112" t="str">
        <f>"079754250"</f>
        <v>079754250</v>
      </c>
      <c r="C112" t="s">
        <v>50</v>
      </c>
      <c r="D112" t="s">
        <v>593</v>
      </c>
      <c r="E112" t="s">
        <v>112</v>
      </c>
      <c r="F112" t="s">
        <v>154</v>
      </c>
      <c r="G112" t="s">
        <v>263</v>
      </c>
      <c r="H112" t="str">
        <f>"ΧΡΥΣΑΝΘΕΜΙΔΟΣ 7 ΗΡΑΚΛΕΙΟ"</f>
        <v>ΧΡΥΣΑΝΘΕΜΙΔΟΣ 7 ΗΡΑΚΛΕΙΟ</v>
      </c>
      <c r="I112">
        <v>71304</v>
      </c>
      <c r="J112">
        <v>2810262661</v>
      </c>
      <c r="K112">
        <v>6944556625</v>
      </c>
      <c r="M112" t="s">
        <v>594</v>
      </c>
      <c r="N112" t="s">
        <v>292</v>
      </c>
      <c r="O112" t="s">
        <v>293</v>
      </c>
      <c r="R112" t="s">
        <v>57</v>
      </c>
      <c r="S112">
        <v>5</v>
      </c>
      <c r="T112">
        <v>772</v>
      </c>
      <c r="U112" s="1">
        <v>40413</v>
      </c>
      <c r="V112" t="s">
        <v>123</v>
      </c>
      <c r="W112" t="s">
        <v>124</v>
      </c>
      <c r="X112" t="s">
        <v>58</v>
      </c>
      <c r="Y112">
        <v>21</v>
      </c>
      <c r="Z112" t="s">
        <v>59</v>
      </c>
      <c r="AA112" t="s">
        <v>59</v>
      </c>
      <c r="AB112" t="s">
        <v>59</v>
      </c>
      <c r="AC112" t="s">
        <v>59</v>
      </c>
      <c r="AD112" t="s">
        <v>59</v>
      </c>
      <c r="AF112" s="1">
        <v>40413</v>
      </c>
      <c r="AG112" t="s">
        <v>125</v>
      </c>
      <c r="AH112" t="s">
        <v>126</v>
      </c>
      <c r="AI112" t="str">
        <f>"1710010"</f>
        <v>1710010</v>
      </c>
      <c r="AJ112" t="s">
        <v>595</v>
      </c>
      <c r="AK112">
        <v>2810711220</v>
      </c>
      <c r="AL112" t="s">
        <v>596</v>
      </c>
      <c r="AM112" t="s">
        <v>78</v>
      </c>
      <c r="AN112" t="s">
        <v>129</v>
      </c>
      <c r="AO112" t="s">
        <v>597</v>
      </c>
      <c r="AP112" t="s">
        <v>598</v>
      </c>
      <c r="AQ112">
        <v>28</v>
      </c>
      <c r="AR112" t="s">
        <v>123</v>
      </c>
      <c r="AS112" t="s">
        <v>124</v>
      </c>
      <c r="AT112" t="s">
        <v>58</v>
      </c>
      <c r="AU112" t="s">
        <v>68</v>
      </c>
      <c r="AV112" t="s">
        <v>69</v>
      </c>
      <c r="AW112" s="1">
        <v>27963</v>
      </c>
      <c r="AX112">
        <v>2</v>
      </c>
    </row>
    <row r="113" spans="1:50">
      <c r="A113">
        <v>177959</v>
      </c>
      <c r="B113" t="str">
        <f>"054643846"</f>
        <v>054643846</v>
      </c>
      <c r="C113" t="s">
        <v>50</v>
      </c>
      <c r="D113" t="s">
        <v>599</v>
      </c>
      <c r="E113" t="s">
        <v>600</v>
      </c>
      <c r="F113" t="s">
        <v>95</v>
      </c>
      <c r="G113" t="s">
        <v>52</v>
      </c>
      <c r="H113" t="str">
        <f>" "</f>
        <v xml:space="preserve"> </v>
      </c>
      <c r="N113" t="s">
        <v>204</v>
      </c>
      <c r="O113" t="s">
        <v>205</v>
      </c>
      <c r="R113" t="s">
        <v>57</v>
      </c>
      <c r="S113">
        <v>11</v>
      </c>
      <c r="T113">
        <v>180</v>
      </c>
      <c r="U113" s="1">
        <v>35674</v>
      </c>
      <c r="V113" t="s">
        <v>123</v>
      </c>
      <c r="W113" t="s">
        <v>124</v>
      </c>
      <c r="X113" t="s">
        <v>58</v>
      </c>
      <c r="Y113">
        <v>18</v>
      </c>
      <c r="Z113" t="s">
        <v>59</v>
      </c>
      <c r="AA113" t="s">
        <v>59</v>
      </c>
      <c r="AB113" t="s">
        <v>59</v>
      </c>
      <c r="AC113" t="s">
        <v>59</v>
      </c>
      <c r="AD113" t="s">
        <v>59</v>
      </c>
      <c r="AF113" s="1">
        <v>35678</v>
      </c>
      <c r="AG113" t="s">
        <v>125</v>
      </c>
      <c r="AH113" t="s">
        <v>126</v>
      </c>
      <c r="AI113" t="str">
        <f>"1701057"</f>
        <v>1701057</v>
      </c>
      <c r="AJ113" t="s">
        <v>379</v>
      </c>
      <c r="AK113">
        <v>2810234488</v>
      </c>
      <c r="AL113" t="s">
        <v>380</v>
      </c>
      <c r="AM113" t="s">
        <v>78</v>
      </c>
      <c r="AN113" t="s">
        <v>78</v>
      </c>
      <c r="AO113" t="s">
        <v>78</v>
      </c>
      <c r="AP113" t="s">
        <v>163</v>
      </c>
      <c r="AQ113">
        <v>8</v>
      </c>
      <c r="AR113" t="s">
        <v>123</v>
      </c>
      <c r="AS113" t="s">
        <v>124</v>
      </c>
      <c r="AT113" t="s">
        <v>58</v>
      </c>
      <c r="AU113" t="s">
        <v>68</v>
      </c>
      <c r="AV113" t="s">
        <v>69</v>
      </c>
      <c r="AW113" s="1">
        <v>23233</v>
      </c>
      <c r="AX113">
        <v>2</v>
      </c>
    </row>
    <row r="114" spans="1:50">
      <c r="A114">
        <v>219400</v>
      </c>
      <c r="B114" t="str">
        <f>"075377239"</f>
        <v>075377239</v>
      </c>
      <c r="C114" t="s">
        <v>50</v>
      </c>
      <c r="D114" t="s">
        <v>601</v>
      </c>
      <c r="E114" t="s">
        <v>52</v>
      </c>
      <c r="F114" t="s">
        <v>53</v>
      </c>
      <c r="G114" t="s">
        <v>602</v>
      </c>
      <c r="H114" t="str">
        <f>"ΜΟΝΗ ΜΑΛΕΒΥΖΙΟΥ  ΤΥΛΙΣΟΣ"</f>
        <v>ΜΟΝΗ ΜΑΛΕΒΥΖΙΟΥ  ΤΥΛΙΣΟΣ</v>
      </c>
      <c r="I114">
        <v>71500</v>
      </c>
      <c r="J114">
        <v>2810831462</v>
      </c>
      <c r="K114">
        <v>6979255128</v>
      </c>
      <c r="M114" t="s">
        <v>603</v>
      </c>
      <c r="N114" t="s">
        <v>288</v>
      </c>
      <c r="O114" t="s">
        <v>289</v>
      </c>
      <c r="R114" t="s">
        <v>57</v>
      </c>
      <c r="S114">
        <v>6</v>
      </c>
      <c r="T114">
        <v>599</v>
      </c>
      <c r="U114" s="1">
        <v>39310</v>
      </c>
      <c r="V114" t="s">
        <v>123</v>
      </c>
      <c r="W114" t="s">
        <v>124</v>
      </c>
      <c r="X114" t="s">
        <v>58</v>
      </c>
      <c r="Y114">
        <v>20</v>
      </c>
      <c r="Z114" t="s">
        <v>59</v>
      </c>
      <c r="AA114" t="s">
        <v>59</v>
      </c>
      <c r="AB114" t="s">
        <v>59</v>
      </c>
      <c r="AC114" t="s">
        <v>59</v>
      </c>
      <c r="AD114" t="s">
        <v>59</v>
      </c>
      <c r="AF114" s="1">
        <v>39328</v>
      </c>
      <c r="AG114" t="s">
        <v>125</v>
      </c>
      <c r="AH114" t="s">
        <v>126</v>
      </c>
      <c r="AI114" t="str">
        <f>"1702010"</f>
        <v>1702010</v>
      </c>
      <c r="AJ114" t="s">
        <v>604</v>
      </c>
      <c r="AK114">
        <v>2891022228</v>
      </c>
      <c r="AL114" t="s">
        <v>605</v>
      </c>
      <c r="AM114" t="s">
        <v>78</v>
      </c>
      <c r="AN114" t="s">
        <v>276</v>
      </c>
      <c r="AO114" t="s">
        <v>490</v>
      </c>
      <c r="AP114" t="s">
        <v>490</v>
      </c>
      <c r="AQ114">
        <v>15</v>
      </c>
      <c r="AR114" t="s">
        <v>123</v>
      </c>
      <c r="AS114" t="s">
        <v>124</v>
      </c>
      <c r="AT114" t="s">
        <v>58</v>
      </c>
      <c r="AU114" t="s">
        <v>68</v>
      </c>
      <c r="AV114" t="s">
        <v>69</v>
      </c>
      <c r="AW114" s="1">
        <v>25933</v>
      </c>
      <c r="AX114">
        <v>2</v>
      </c>
    </row>
    <row r="115" spans="1:50">
      <c r="A115">
        <v>155741</v>
      </c>
      <c r="B115" t="str">
        <f>"031329938"</f>
        <v>031329938</v>
      </c>
      <c r="C115" t="s">
        <v>50</v>
      </c>
      <c r="D115" t="s">
        <v>606</v>
      </c>
      <c r="E115" t="s">
        <v>506</v>
      </c>
      <c r="F115" t="s">
        <v>95</v>
      </c>
      <c r="G115" t="s">
        <v>607</v>
      </c>
      <c r="H115" t="str">
        <f>"ΛΕΙΒΑΔΙΑΣ 4  "</f>
        <v xml:space="preserve">ΛΕΙΒΑΔΙΑΣ 4  </v>
      </c>
      <c r="J115">
        <v>2810324203</v>
      </c>
      <c r="K115">
        <v>6977215786</v>
      </c>
      <c r="M115" t="s">
        <v>608</v>
      </c>
      <c r="N115" t="s">
        <v>146</v>
      </c>
      <c r="O115" t="s">
        <v>147</v>
      </c>
      <c r="R115" t="s">
        <v>57</v>
      </c>
      <c r="S115">
        <v>15</v>
      </c>
      <c r="T115">
        <v>188</v>
      </c>
      <c r="U115" s="1">
        <v>32752</v>
      </c>
      <c r="V115" t="s">
        <v>123</v>
      </c>
      <c r="W115" t="s">
        <v>124</v>
      </c>
      <c r="X115" t="s">
        <v>58</v>
      </c>
      <c r="Y115">
        <v>18</v>
      </c>
      <c r="Z115" t="s">
        <v>59</v>
      </c>
      <c r="AA115" t="s">
        <v>59</v>
      </c>
      <c r="AB115" t="s">
        <v>59</v>
      </c>
      <c r="AC115" t="s">
        <v>59</v>
      </c>
      <c r="AD115" t="s">
        <v>59</v>
      </c>
      <c r="AF115" s="1">
        <v>32752</v>
      </c>
      <c r="AG115" t="s">
        <v>125</v>
      </c>
      <c r="AH115" t="s">
        <v>126</v>
      </c>
      <c r="AI115" t="str">
        <f>"1701041"</f>
        <v>1701041</v>
      </c>
      <c r="AJ115" t="s">
        <v>161</v>
      </c>
      <c r="AK115">
        <v>2810327052</v>
      </c>
      <c r="AL115" t="s">
        <v>162</v>
      </c>
      <c r="AM115" t="s">
        <v>78</v>
      </c>
      <c r="AN115" t="s">
        <v>78</v>
      </c>
      <c r="AO115" t="s">
        <v>78</v>
      </c>
      <c r="AP115" t="s">
        <v>163</v>
      </c>
      <c r="AQ115">
        <v>5</v>
      </c>
      <c r="AR115" t="s">
        <v>123</v>
      </c>
      <c r="AS115" t="s">
        <v>124</v>
      </c>
      <c r="AT115" t="s">
        <v>58</v>
      </c>
      <c r="AU115" t="s">
        <v>68</v>
      </c>
      <c r="AV115" t="s">
        <v>69</v>
      </c>
      <c r="AW115" s="1">
        <v>22446</v>
      </c>
      <c r="AX115">
        <v>2</v>
      </c>
    </row>
    <row r="116" spans="1:50">
      <c r="A116">
        <v>194209</v>
      </c>
      <c r="B116" t="str">
        <f>"043588534"</f>
        <v>043588534</v>
      </c>
      <c r="C116" t="s">
        <v>50</v>
      </c>
      <c r="D116" t="s">
        <v>606</v>
      </c>
      <c r="E116" t="s">
        <v>250</v>
      </c>
      <c r="F116" t="s">
        <v>609</v>
      </c>
      <c r="G116" t="s">
        <v>52</v>
      </c>
      <c r="H116" t="str">
        <f>" "</f>
        <v xml:space="preserve"> </v>
      </c>
      <c r="J116">
        <v>2810231663</v>
      </c>
      <c r="K116">
        <v>6944885651</v>
      </c>
      <c r="N116" t="s">
        <v>176</v>
      </c>
      <c r="O116" t="s">
        <v>177</v>
      </c>
      <c r="R116" t="s">
        <v>57</v>
      </c>
      <c r="S116">
        <v>11</v>
      </c>
      <c r="T116">
        <v>193</v>
      </c>
      <c r="U116" s="1">
        <v>37497</v>
      </c>
      <c r="V116" t="s">
        <v>123</v>
      </c>
      <c r="W116" t="s">
        <v>124</v>
      </c>
      <c r="X116" t="s">
        <v>58</v>
      </c>
      <c r="Y116">
        <v>18</v>
      </c>
      <c r="Z116" t="s">
        <v>59</v>
      </c>
      <c r="AA116" t="s">
        <v>59</v>
      </c>
      <c r="AB116" t="s">
        <v>59</v>
      </c>
      <c r="AC116" t="s">
        <v>59</v>
      </c>
      <c r="AD116" t="s">
        <v>59</v>
      </c>
      <c r="AF116" s="1">
        <v>37501</v>
      </c>
      <c r="AG116" t="s">
        <v>125</v>
      </c>
      <c r="AH116" t="s">
        <v>126</v>
      </c>
      <c r="AI116" t="str">
        <f>"1701056"</f>
        <v>1701056</v>
      </c>
      <c r="AJ116" t="s">
        <v>211</v>
      </c>
      <c r="AK116">
        <v>2810245445</v>
      </c>
      <c r="AL116" t="s">
        <v>212</v>
      </c>
      <c r="AM116" t="s">
        <v>78</v>
      </c>
      <c r="AN116" t="s">
        <v>78</v>
      </c>
      <c r="AO116" t="s">
        <v>78</v>
      </c>
      <c r="AP116" t="s">
        <v>213</v>
      </c>
      <c r="AQ116">
        <v>6</v>
      </c>
      <c r="AR116" t="s">
        <v>123</v>
      </c>
      <c r="AS116" t="s">
        <v>124</v>
      </c>
      <c r="AT116" t="s">
        <v>58</v>
      </c>
      <c r="AU116" t="s">
        <v>68</v>
      </c>
      <c r="AV116" t="s">
        <v>69</v>
      </c>
      <c r="AW116" s="1">
        <v>24105</v>
      </c>
      <c r="AX116">
        <v>2</v>
      </c>
    </row>
    <row r="117" spans="1:50">
      <c r="A117">
        <v>166310</v>
      </c>
      <c r="B117" t="str">
        <f>"036723980"</f>
        <v>036723980</v>
      </c>
      <c r="C117" t="s">
        <v>50</v>
      </c>
      <c r="D117" t="s">
        <v>606</v>
      </c>
      <c r="E117" t="s">
        <v>255</v>
      </c>
      <c r="F117" t="s">
        <v>72</v>
      </c>
      <c r="G117" t="s">
        <v>610</v>
      </c>
      <c r="H117" t="str">
        <f>"ΜΙΝΩΟΣ 28 "</f>
        <v xml:space="preserve">ΜΙΝΩΟΣ 28 </v>
      </c>
      <c r="I117">
        <v>71303</v>
      </c>
      <c r="J117">
        <v>2811115428</v>
      </c>
      <c r="K117">
        <v>6946207741</v>
      </c>
      <c r="M117" t="s">
        <v>611</v>
      </c>
      <c r="N117" t="s">
        <v>306</v>
      </c>
      <c r="O117" t="s">
        <v>307</v>
      </c>
      <c r="R117" t="s">
        <v>57</v>
      </c>
      <c r="S117">
        <v>14</v>
      </c>
      <c r="T117">
        <v>137</v>
      </c>
      <c r="U117" s="1">
        <v>34206</v>
      </c>
      <c r="V117" t="s">
        <v>123</v>
      </c>
      <c r="W117" t="s">
        <v>124</v>
      </c>
      <c r="X117" t="s">
        <v>58</v>
      </c>
      <c r="Y117">
        <v>18</v>
      </c>
      <c r="Z117" t="s">
        <v>59</v>
      </c>
      <c r="AA117" t="s">
        <v>59</v>
      </c>
      <c r="AB117" t="s">
        <v>59</v>
      </c>
      <c r="AC117" t="s">
        <v>59</v>
      </c>
      <c r="AD117" t="s">
        <v>59</v>
      </c>
      <c r="AF117" s="1">
        <v>34215</v>
      </c>
      <c r="AG117" t="s">
        <v>148</v>
      </c>
      <c r="AH117" t="s">
        <v>149</v>
      </c>
      <c r="AI117" t="str">
        <f>"1777010"</f>
        <v>1777010</v>
      </c>
      <c r="AJ117" t="s">
        <v>612</v>
      </c>
      <c r="AK117">
        <v>2810229220</v>
      </c>
      <c r="AL117" t="s">
        <v>613</v>
      </c>
      <c r="AM117" t="s">
        <v>78</v>
      </c>
      <c r="AN117" t="s">
        <v>78</v>
      </c>
      <c r="AO117" t="s">
        <v>286</v>
      </c>
      <c r="AP117" t="s">
        <v>286</v>
      </c>
      <c r="AQ117">
        <v>12</v>
      </c>
      <c r="AR117" t="s">
        <v>123</v>
      </c>
      <c r="AS117" t="s">
        <v>124</v>
      </c>
      <c r="AT117" t="s">
        <v>58</v>
      </c>
      <c r="AU117" t="s">
        <v>68</v>
      </c>
      <c r="AV117" t="s">
        <v>69</v>
      </c>
      <c r="AW117" s="1">
        <v>23982</v>
      </c>
      <c r="AX117">
        <v>2</v>
      </c>
    </row>
    <row r="118" spans="1:50">
      <c r="A118">
        <v>161629</v>
      </c>
      <c r="B118" t="str">
        <f>"064021310"</f>
        <v>064021310</v>
      </c>
      <c r="C118" t="s">
        <v>50</v>
      </c>
      <c r="D118" t="s">
        <v>606</v>
      </c>
      <c r="E118" t="s">
        <v>215</v>
      </c>
      <c r="F118" t="s">
        <v>95</v>
      </c>
      <c r="G118" t="s">
        <v>614</v>
      </c>
      <c r="H118" t="str">
        <f>" "</f>
        <v xml:space="preserve"> </v>
      </c>
      <c r="N118" t="s">
        <v>299</v>
      </c>
      <c r="O118" t="s">
        <v>300</v>
      </c>
      <c r="P118" t="s">
        <v>615</v>
      </c>
      <c r="Q118" t="s">
        <v>616</v>
      </c>
      <c r="R118" t="s">
        <v>57</v>
      </c>
      <c r="S118">
        <v>15</v>
      </c>
      <c r="T118">
        <v>161</v>
      </c>
      <c r="U118" s="1">
        <v>33119</v>
      </c>
      <c r="V118" t="s">
        <v>123</v>
      </c>
      <c r="W118" t="s">
        <v>124</v>
      </c>
      <c r="X118" t="s">
        <v>58</v>
      </c>
      <c r="Y118">
        <v>18</v>
      </c>
      <c r="Z118" t="s">
        <v>59</v>
      </c>
      <c r="AA118" t="s">
        <v>59</v>
      </c>
      <c r="AB118" t="s">
        <v>59</v>
      </c>
      <c r="AC118" t="s">
        <v>59</v>
      </c>
      <c r="AD118" t="s">
        <v>59</v>
      </c>
      <c r="AF118" s="1">
        <v>33121</v>
      </c>
      <c r="AG118" t="s">
        <v>137</v>
      </c>
      <c r="AH118" t="s">
        <v>138</v>
      </c>
      <c r="AI118" t="str">
        <f>"1740070"</f>
        <v>1740070</v>
      </c>
      <c r="AJ118" t="s">
        <v>206</v>
      </c>
      <c r="AK118">
        <v>2810324880</v>
      </c>
      <c r="AL118" t="s">
        <v>207</v>
      </c>
      <c r="AM118" t="s">
        <v>78</v>
      </c>
      <c r="AN118" t="s">
        <v>78</v>
      </c>
      <c r="AO118" t="s">
        <v>78</v>
      </c>
      <c r="AP118" t="s">
        <v>163</v>
      </c>
      <c r="AQ118">
        <v>9</v>
      </c>
      <c r="AR118" t="s">
        <v>123</v>
      </c>
      <c r="AS118" t="s">
        <v>124</v>
      </c>
      <c r="AT118" t="s">
        <v>58</v>
      </c>
      <c r="AU118" t="s">
        <v>68</v>
      </c>
      <c r="AV118" t="s">
        <v>69</v>
      </c>
      <c r="AW118" s="1">
        <v>20837</v>
      </c>
      <c r="AX118">
        <v>2</v>
      </c>
    </row>
    <row r="119" spans="1:50">
      <c r="A119">
        <v>194833</v>
      </c>
      <c r="B119" t="str">
        <f>"064590230"</f>
        <v>064590230</v>
      </c>
      <c r="C119" t="s">
        <v>50</v>
      </c>
      <c r="D119" t="s">
        <v>606</v>
      </c>
      <c r="E119" t="s">
        <v>52</v>
      </c>
      <c r="F119" t="s">
        <v>95</v>
      </c>
      <c r="G119" t="s">
        <v>83</v>
      </c>
      <c r="H119" t="str">
        <f>" "</f>
        <v xml:space="preserve"> </v>
      </c>
      <c r="J119">
        <v>2810237284</v>
      </c>
      <c r="K119">
        <v>6947784090</v>
      </c>
      <c r="M119" t="s">
        <v>617</v>
      </c>
      <c r="N119" t="s">
        <v>299</v>
      </c>
      <c r="O119" t="s">
        <v>300</v>
      </c>
      <c r="R119" t="s">
        <v>57</v>
      </c>
      <c r="S119">
        <v>12</v>
      </c>
      <c r="T119">
        <v>193</v>
      </c>
      <c r="U119" s="1">
        <v>37497</v>
      </c>
      <c r="V119" t="s">
        <v>123</v>
      </c>
      <c r="W119" t="s">
        <v>124</v>
      </c>
      <c r="X119" t="s">
        <v>58</v>
      </c>
      <c r="Y119">
        <v>18</v>
      </c>
      <c r="Z119" t="s">
        <v>59</v>
      </c>
      <c r="AA119" t="s">
        <v>59</v>
      </c>
      <c r="AB119" t="s">
        <v>59</v>
      </c>
      <c r="AC119" t="s">
        <v>59</v>
      </c>
      <c r="AD119" t="s">
        <v>59</v>
      </c>
      <c r="AF119" s="1">
        <v>37501</v>
      </c>
      <c r="AG119" t="s">
        <v>125</v>
      </c>
      <c r="AH119" t="s">
        <v>126</v>
      </c>
      <c r="AI119" t="str">
        <f>"1727010"</f>
        <v>1727010</v>
      </c>
      <c r="AJ119" t="s">
        <v>618</v>
      </c>
      <c r="AK119">
        <v>2810229231</v>
      </c>
      <c r="AL119" t="s">
        <v>619</v>
      </c>
      <c r="AM119" t="s">
        <v>78</v>
      </c>
      <c r="AN119" t="s">
        <v>78</v>
      </c>
      <c r="AO119" t="s">
        <v>286</v>
      </c>
      <c r="AP119" t="s">
        <v>286</v>
      </c>
      <c r="AQ119">
        <v>12</v>
      </c>
      <c r="AR119" t="s">
        <v>123</v>
      </c>
      <c r="AS119" t="s">
        <v>124</v>
      </c>
      <c r="AT119" t="s">
        <v>58</v>
      </c>
      <c r="AU119" t="s">
        <v>68</v>
      </c>
      <c r="AV119" t="s">
        <v>357</v>
      </c>
      <c r="AW119" s="1">
        <v>21483</v>
      </c>
      <c r="AX119">
        <v>2</v>
      </c>
    </row>
    <row r="120" spans="1:50">
      <c r="A120">
        <v>168337</v>
      </c>
      <c r="B120" t="str">
        <f>"039487277"</f>
        <v>039487277</v>
      </c>
      <c r="C120" t="s">
        <v>50</v>
      </c>
      <c r="D120" t="s">
        <v>606</v>
      </c>
      <c r="E120" t="s">
        <v>620</v>
      </c>
      <c r="F120" t="s">
        <v>106</v>
      </c>
      <c r="G120" t="s">
        <v>411</v>
      </c>
      <c r="H120" t="str">
        <f>"ΣΤΕΦ. ΝΙΚΟΛΑΪΔΗ 31 ΘΕΡΙΣΣΟΣ"</f>
        <v>ΣΤΕΦ. ΝΙΚΟΛΑΪΔΗ 31 ΘΕΡΙΣΣΟΣ</v>
      </c>
      <c r="I120">
        <v>71305</v>
      </c>
      <c r="J120">
        <v>2810312121</v>
      </c>
      <c r="K120">
        <v>6974589783</v>
      </c>
      <c r="M120" t="s">
        <v>621</v>
      </c>
      <c r="N120" t="s">
        <v>306</v>
      </c>
      <c r="O120" t="s">
        <v>307</v>
      </c>
      <c r="R120" t="s">
        <v>57</v>
      </c>
      <c r="S120">
        <v>15</v>
      </c>
      <c r="T120">
        <v>159</v>
      </c>
      <c r="U120" s="1">
        <v>34582</v>
      </c>
      <c r="V120" t="s">
        <v>123</v>
      </c>
      <c r="W120" t="s">
        <v>124</v>
      </c>
      <c r="X120" t="s">
        <v>58</v>
      </c>
      <c r="Y120">
        <v>18</v>
      </c>
      <c r="Z120" t="s">
        <v>59</v>
      </c>
      <c r="AA120" t="s">
        <v>59</v>
      </c>
      <c r="AB120" t="s">
        <v>59</v>
      </c>
      <c r="AC120" t="s">
        <v>59</v>
      </c>
      <c r="AD120" t="s">
        <v>59</v>
      </c>
      <c r="AF120" s="1">
        <v>34585</v>
      </c>
      <c r="AG120" t="s">
        <v>148</v>
      </c>
      <c r="AH120" t="s">
        <v>149</v>
      </c>
      <c r="AI120" t="str">
        <f>"1751020"</f>
        <v>1751020</v>
      </c>
      <c r="AJ120" t="s">
        <v>532</v>
      </c>
      <c r="AK120">
        <v>2810372732</v>
      </c>
      <c r="AL120" t="s">
        <v>533</v>
      </c>
      <c r="AM120" t="s">
        <v>78</v>
      </c>
      <c r="AN120" t="s">
        <v>78</v>
      </c>
      <c r="AO120" t="s">
        <v>78</v>
      </c>
      <c r="AP120" t="s">
        <v>163</v>
      </c>
      <c r="AQ120">
        <v>3</v>
      </c>
      <c r="AR120" t="s">
        <v>123</v>
      </c>
      <c r="AS120" t="s">
        <v>124</v>
      </c>
      <c r="AT120" t="s">
        <v>58</v>
      </c>
      <c r="AU120" t="s">
        <v>68</v>
      </c>
      <c r="AV120" t="s">
        <v>69</v>
      </c>
      <c r="AW120" s="1">
        <v>24831</v>
      </c>
      <c r="AX120">
        <v>2</v>
      </c>
    </row>
    <row r="121" spans="1:50">
      <c r="A121">
        <v>158317</v>
      </c>
      <c r="B121" t="str">
        <f>"025576158"</f>
        <v>025576158</v>
      </c>
      <c r="C121" t="s">
        <v>105</v>
      </c>
      <c r="D121" t="s">
        <v>622</v>
      </c>
      <c r="E121" t="s">
        <v>53</v>
      </c>
      <c r="F121" t="s">
        <v>154</v>
      </c>
      <c r="G121" t="s">
        <v>52</v>
      </c>
      <c r="H121" t="str">
        <f>"ΔΑΝΑΗΣ 15 ΗΡΑΚΛΕΙΟ"</f>
        <v>ΔΑΝΑΗΣ 15 ΗΡΑΚΛΕΙΟ</v>
      </c>
      <c r="I121">
        <v>71304</v>
      </c>
      <c r="J121">
        <v>2810310069</v>
      </c>
      <c r="K121">
        <v>6944192563</v>
      </c>
      <c r="M121" t="s">
        <v>623</v>
      </c>
      <c r="N121" t="s">
        <v>299</v>
      </c>
      <c r="O121" t="s">
        <v>300</v>
      </c>
      <c r="R121" t="s">
        <v>57</v>
      </c>
      <c r="S121">
        <v>16</v>
      </c>
      <c r="T121">
        <v>249</v>
      </c>
      <c r="U121" s="1">
        <v>32834</v>
      </c>
      <c r="V121" t="s">
        <v>123</v>
      </c>
      <c r="W121" t="s">
        <v>124</v>
      </c>
      <c r="X121" t="s">
        <v>58</v>
      </c>
      <c r="Y121">
        <v>18</v>
      </c>
      <c r="Z121" t="s">
        <v>59</v>
      </c>
      <c r="AA121" t="s">
        <v>59</v>
      </c>
      <c r="AB121" t="s">
        <v>59</v>
      </c>
      <c r="AC121" t="s">
        <v>59</v>
      </c>
      <c r="AD121" t="s">
        <v>59</v>
      </c>
      <c r="AF121" s="1">
        <v>32842</v>
      </c>
      <c r="AG121" t="s">
        <v>137</v>
      </c>
      <c r="AH121" t="s">
        <v>138</v>
      </c>
      <c r="AI121" t="str">
        <f>"1740080"</f>
        <v>1740080</v>
      </c>
      <c r="AJ121" t="s">
        <v>284</v>
      </c>
      <c r="AK121">
        <v>2810220433</v>
      </c>
      <c r="AL121" t="s">
        <v>285</v>
      </c>
      <c r="AM121" t="s">
        <v>78</v>
      </c>
      <c r="AN121" t="s">
        <v>78</v>
      </c>
      <c r="AO121" t="s">
        <v>286</v>
      </c>
      <c r="AP121" t="s">
        <v>286</v>
      </c>
      <c r="AQ121">
        <v>12</v>
      </c>
      <c r="AR121" t="s">
        <v>123</v>
      </c>
      <c r="AS121" t="s">
        <v>124</v>
      </c>
      <c r="AT121" t="s">
        <v>58</v>
      </c>
      <c r="AU121" t="s">
        <v>68</v>
      </c>
      <c r="AV121" t="s">
        <v>69</v>
      </c>
      <c r="AW121" s="1">
        <v>21341</v>
      </c>
      <c r="AX121">
        <v>2</v>
      </c>
    </row>
    <row r="122" spans="1:50">
      <c r="A122">
        <v>190335</v>
      </c>
      <c r="B122" t="str">
        <f>"031220853"</f>
        <v>031220853</v>
      </c>
      <c r="C122" t="s">
        <v>105</v>
      </c>
      <c r="D122" t="s">
        <v>622</v>
      </c>
      <c r="E122" t="s">
        <v>510</v>
      </c>
      <c r="F122" t="s">
        <v>315</v>
      </c>
      <c r="G122" t="s">
        <v>255</v>
      </c>
      <c r="H122" t="str">
        <f>"ΚΟΝΤΟΧΑ 32 ΑΝΩ ΑΡΧΑΝΕΣ"</f>
        <v>ΚΟΝΤΟΧΑ 32 ΑΝΩ ΑΡΧΑΝΕΣ</v>
      </c>
      <c r="I122">
        <v>70100</v>
      </c>
      <c r="J122">
        <v>2810752762</v>
      </c>
      <c r="K122">
        <v>6946001436</v>
      </c>
      <c r="M122" t="s">
        <v>624</v>
      </c>
      <c r="N122" t="s">
        <v>306</v>
      </c>
      <c r="O122" t="s">
        <v>307</v>
      </c>
      <c r="R122" t="s">
        <v>57</v>
      </c>
      <c r="S122">
        <v>9</v>
      </c>
      <c r="T122">
        <v>219</v>
      </c>
      <c r="U122" s="1">
        <v>37134</v>
      </c>
      <c r="V122" t="s">
        <v>123</v>
      </c>
      <c r="W122" t="s">
        <v>124</v>
      </c>
      <c r="X122" t="s">
        <v>58</v>
      </c>
      <c r="Y122">
        <v>20</v>
      </c>
      <c r="Z122" t="s">
        <v>59</v>
      </c>
      <c r="AA122" t="s">
        <v>59</v>
      </c>
      <c r="AB122" t="s">
        <v>59</v>
      </c>
      <c r="AC122" t="s">
        <v>59</v>
      </c>
      <c r="AD122" t="s">
        <v>59</v>
      </c>
      <c r="AF122" s="1">
        <v>37134</v>
      </c>
      <c r="AG122" t="s">
        <v>148</v>
      </c>
      <c r="AH122" t="s">
        <v>149</v>
      </c>
      <c r="AI122" t="str">
        <f>"1753010"</f>
        <v>1753010</v>
      </c>
      <c r="AJ122" t="s">
        <v>571</v>
      </c>
      <c r="AK122">
        <v>2810751528</v>
      </c>
      <c r="AL122" t="s">
        <v>572</v>
      </c>
      <c r="AM122" t="s">
        <v>78</v>
      </c>
      <c r="AN122" t="s">
        <v>424</v>
      </c>
      <c r="AO122" t="s">
        <v>425</v>
      </c>
      <c r="AP122" t="s">
        <v>425</v>
      </c>
      <c r="AQ122">
        <v>13</v>
      </c>
      <c r="AR122" t="s">
        <v>123</v>
      </c>
      <c r="AS122" t="s">
        <v>124</v>
      </c>
      <c r="AT122" t="s">
        <v>58</v>
      </c>
      <c r="AU122" t="s">
        <v>68</v>
      </c>
      <c r="AV122" t="s">
        <v>69</v>
      </c>
      <c r="AW122" s="1">
        <v>26934</v>
      </c>
      <c r="AX122">
        <v>2</v>
      </c>
    </row>
    <row r="123" spans="1:50">
      <c r="B123" t="str">
        <f>"126889115"</f>
        <v>126889115</v>
      </c>
      <c r="C123" t="s">
        <v>50</v>
      </c>
      <c r="D123" t="s">
        <v>625</v>
      </c>
      <c r="E123" t="s">
        <v>83</v>
      </c>
      <c r="F123" t="s">
        <v>95</v>
      </c>
      <c r="G123" t="s">
        <v>626</v>
      </c>
      <c r="H123" t="str">
        <f>"ΑΡΓΟΝΑΥΤΩΝ 61 "</f>
        <v xml:space="preserve">ΑΡΓΟΝΑΥΤΩΝ 61 </v>
      </c>
      <c r="I123">
        <v>15125</v>
      </c>
      <c r="J123">
        <v>2106121442</v>
      </c>
      <c r="K123">
        <v>6944990401</v>
      </c>
      <c r="N123" t="s">
        <v>627</v>
      </c>
      <c r="O123" t="s">
        <v>628</v>
      </c>
      <c r="R123" t="s">
        <v>159</v>
      </c>
      <c r="S123">
        <v>3</v>
      </c>
      <c r="T123" t="s">
        <v>344</v>
      </c>
      <c r="U123" s="1">
        <v>43348</v>
      </c>
      <c r="V123" t="s">
        <v>123</v>
      </c>
      <c r="W123" t="s">
        <v>124</v>
      </c>
      <c r="X123" t="s">
        <v>58</v>
      </c>
      <c r="Y123">
        <v>21</v>
      </c>
      <c r="Z123" t="s">
        <v>59</v>
      </c>
      <c r="AA123" t="s">
        <v>59</v>
      </c>
      <c r="AB123" t="s">
        <v>59</v>
      </c>
      <c r="AC123" t="s">
        <v>59</v>
      </c>
      <c r="AD123" t="s">
        <v>59</v>
      </c>
      <c r="AF123" s="1">
        <v>43348</v>
      </c>
      <c r="AG123" t="s">
        <v>345</v>
      </c>
      <c r="AH123" t="s">
        <v>346</v>
      </c>
      <c r="AI123" t="str">
        <f>"1759011"</f>
        <v>1759011</v>
      </c>
      <c r="AJ123" t="s">
        <v>347</v>
      </c>
      <c r="AK123">
        <v>2892051103</v>
      </c>
      <c r="AL123" t="s">
        <v>348</v>
      </c>
      <c r="AM123" t="s">
        <v>78</v>
      </c>
      <c r="AN123" t="s">
        <v>242</v>
      </c>
      <c r="AO123" t="s">
        <v>349</v>
      </c>
      <c r="AP123" t="s">
        <v>349</v>
      </c>
      <c r="AQ123">
        <v>38</v>
      </c>
      <c r="AR123" t="s">
        <v>123</v>
      </c>
      <c r="AS123" t="s">
        <v>124</v>
      </c>
      <c r="AT123" t="s">
        <v>58</v>
      </c>
      <c r="AU123" t="s">
        <v>350</v>
      </c>
      <c r="AV123" t="s">
        <v>132</v>
      </c>
      <c r="AW123" s="1">
        <v>30531</v>
      </c>
      <c r="AX123">
        <v>2</v>
      </c>
    </row>
    <row r="124" spans="1:50">
      <c r="A124">
        <v>226259</v>
      </c>
      <c r="B124" t="str">
        <f>"102717821"</f>
        <v>102717821</v>
      </c>
      <c r="C124" t="s">
        <v>50</v>
      </c>
      <c r="D124" t="s">
        <v>629</v>
      </c>
      <c r="E124" t="s">
        <v>630</v>
      </c>
      <c r="F124" t="s">
        <v>631</v>
      </c>
      <c r="G124" t="s">
        <v>52</v>
      </c>
      <c r="H124" t="str">
        <f>"Μ. ΑΣΙΑΣ 87 ΞΑΝΘΗ"</f>
        <v>Μ. ΑΣΙΑΣ 87 ΞΑΝΘΗ</v>
      </c>
      <c r="I124">
        <v>67100</v>
      </c>
      <c r="J124">
        <v>2541077512</v>
      </c>
      <c r="K124">
        <v>6936319165</v>
      </c>
      <c r="L124">
        <v>6947187157</v>
      </c>
      <c r="M124" t="s">
        <v>632</v>
      </c>
      <c r="N124" t="s">
        <v>157</v>
      </c>
      <c r="O124" t="s">
        <v>158</v>
      </c>
      <c r="R124" t="s">
        <v>57</v>
      </c>
      <c r="S124">
        <v>6</v>
      </c>
      <c r="T124">
        <v>654</v>
      </c>
      <c r="U124" s="1">
        <v>40043</v>
      </c>
      <c r="V124" t="s">
        <v>123</v>
      </c>
      <c r="W124" t="s">
        <v>124</v>
      </c>
      <c r="X124" t="s">
        <v>58</v>
      </c>
      <c r="Y124">
        <v>21</v>
      </c>
      <c r="Z124" t="s">
        <v>59</v>
      </c>
      <c r="AA124" t="s">
        <v>59</v>
      </c>
      <c r="AB124" t="s">
        <v>59</v>
      </c>
      <c r="AC124" t="s">
        <v>59</v>
      </c>
      <c r="AD124" t="s">
        <v>59</v>
      </c>
      <c r="AF124" s="1">
        <v>40045</v>
      </c>
      <c r="AG124" t="s">
        <v>125</v>
      </c>
      <c r="AH124" t="s">
        <v>126</v>
      </c>
      <c r="AI124" t="str">
        <f>"1714012"</f>
        <v>1714012</v>
      </c>
      <c r="AJ124" t="s">
        <v>633</v>
      </c>
      <c r="AK124">
        <v>2810762261</v>
      </c>
      <c r="AL124" t="s">
        <v>634</v>
      </c>
      <c r="AM124" t="s">
        <v>78</v>
      </c>
      <c r="AN124" t="s">
        <v>219</v>
      </c>
      <c r="AO124" t="s">
        <v>297</v>
      </c>
      <c r="AP124" t="s">
        <v>297</v>
      </c>
      <c r="AQ124">
        <v>37</v>
      </c>
      <c r="AR124" t="s">
        <v>123</v>
      </c>
      <c r="AS124" t="s">
        <v>124</v>
      </c>
      <c r="AT124" t="s">
        <v>58</v>
      </c>
      <c r="AU124" t="s">
        <v>68</v>
      </c>
      <c r="AV124" t="s">
        <v>69</v>
      </c>
      <c r="AW124" s="1">
        <v>24294</v>
      </c>
      <c r="AX124">
        <v>2</v>
      </c>
    </row>
    <row r="125" spans="1:50">
      <c r="A125">
        <v>203866</v>
      </c>
      <c r="B125" t="str">
        <f>"068064398"</f>
        <v>068064398</v>
      </c>
      <c r="C125" t="s">
        <v>50</v>
      </c>
      <c r="D125" t="s">
        <v>635</v>
      </c>
      <c r="E125" t="s">
        <v>54</v>
      </c>
      <c r="F125" t="s">
        <v>636</v>
      </c>
      <c r="G125" t="s">
        <v>237</v>
      </c>
      <c r="H125" t="str">
        <f>"ΔΕΞΙΘΕΑΣ 1  ΗΡΑΚΛΕΙΟ"</f>
        <v>ΔΕΞΙΘΕΑΣ 1  ΗΡΑΚΛΕΙΟ</v>
      </c>
      <c r="I125">
        <v>71305</v>
      </c>
      <c r="J125">
        <v>2810256334</v>
      </c>
      <c r="K125">
        <v>6977269698</v>
      </c>
      <c r="N125" t="s">
        <v>176</v>
      </c>
      <c r="O125" t="s">
        <v>177</v>
      </c>
      <c r="R125" t="s">
        <v>57</v>
      </c>
      <c r="S125">
        <v>8</v>
      </c>
      <c r="T125">
        <v>231</v>
      </c>
      <c r="U125" s="1">
        <v>38230</v>
      </c>
      <c r="V125" t="s">
        <v>123</v>
      </c>
      <c r="W125" t="s">
        <v>124</v>
      </c>
      <c r="X125" t="s">
        <v>58</v>
      </c>
      <c r="Y125">
        <v>20</v>
      </c>
      <c r="Z125" t="s">
        <v>59</v>
      </c>
      <c r="AA125" t="s">
        <v>59</v>
      </c>
      <c r="AB125" t="s">
        <v>59</v>
      </c>
      <c r="AC125" t="s">
        <v>59</v>
      </c>
      <c r="AD125" t="s">
        <v>59</v>
      </c>
      <c r="AF125" s="1">
        <v>38232</v>
      </c>
      <c r="AG125" t="s">
        <v>125</v>
      </c>
      <c r="AH125" t="s">
        <v>126</v>
      </c>
      <c r="AI125" t="str">
        <f>"1701056"</f>
        <v>1701056</v>
      </c>
      <c r="AJ125" t="s">
        <v>211</v>
      </c>
      <c r="AK125">
        <v>2810245445</v>
      </c>
      <c r="AL125" t="s">
        <v>212</v>
      </c>
      <c r="AM125" t="s">
        <v>78</v>
      </c>
      <c r="AN125" t="s">
        <v>78</v>
      </c>
      <c r="AO125" t="s">
        <v>78</v>
      </c>
      <c r="AP125" t="s">
        <v>213</v>
      </c>
      <c r="AQ125">
        <v>6</v>
      </c>
      <c r="AR125" t="s">
        <v>123</v>
      </c>
      <c r="AS125" t="s">
        <v>124</v>
      </c>
      <c r="AT125" t="s">
        <v>58</v>
      </c>
      <c r="AU125" t="s">
        <v>68</v>
      </c>
      <c r="AV125" t="s">
        <v>69</v>
      </c>
      <c r="AW125" s="1">
        <v>25189</v>
      </c>
      <c r="AX125">
        <v>2</v>
      </c>
    </row>
    <row r="126" spans="1:50">
      <c r="B126" t="str">
        <f>"043095518"</f>
        <v>043095518</v>
      </c>
      <c r="C126" t="s">
        <v>105</v>
      </c>
      <c r="D126" t="s">
        <v>637</v>
      </c>
      <c r="E126" t="s">
        <v>95</v>
      </c>
      <c r="F126" t="s">
        <v>84</v>
      </c>
      <c r="G126" t="s">
        <v>396</v>
      </c>
      <c r="H126" t="str">
        <f>"ΜΕΛ.ΜΕΡΚΟΥΡΗ ΗΡΑΚΛΕΙΟ"</f>
        <v>ΜΕΛ.ΜΕΡΚΟΥΡΗ ΗΡΑΚΛΕΙΟ</v>
      </c>
      <c r="I126">
        <v>71305</v>
      </c>
      <c r="J126">
        <v>2810253923</v>
      </c>
      <c r="K126">
        <v>6979961828</v>
      </c>
      <c r="M126" t="s">
        <v>638</v>
      </c>
      <c r="N126" t="s">
        <v>292</v>
      </c>
      <c r="O126" t="s">
        <v>293</v>
      </c>
      <c r="R126" t="s">
        <v>159</v>
      </c>
      <c r="S126">
        <v>3</v>
      </c>
      <c r="T126" t="s">
        <v>160</v>
      </c>
      <c r="U126" s="1">
        <v>43364</v>
      </c>
      <c r="V126" t="s">
        <v>123</v>
      </c>
      <c r="W126" t="s">
        <v>124</v>
      </c>
      <c r="X126" t="s">
        <v>58</v>
      </c>
      <c r="Y126">
        <v>23</v>
      </c>
      <c r="Z126" t="s">
        <v>59</v>
      </c>
      <c r="AA126" t="s">
        <v>59</v>
      </c>
      <c r="AB126" t="s">
        <v>59</v>
      </c>
      <c r="AC126" t="s">
        <v>59</v>
      </c>
      <c r="AD126" t="s">
        <v>59</v>
      </c>
      <c r="AF126" s="1">
        <v>43367</v>
      </c>
      <c r="AG126" t="s">
        <v>125</v>
      </c>
      <c r="AH126" t="s">
        <v>294</v>
      </c>
      <c r="AI126" t="str">
        <f>"1701015"</f>
        <v>1701015</v>
      </c>
      <c r="AJ126" t="s">
        <v>295</v>
      </c>
      <c r="AK126">
        <v>2810761696</v>
      </c>
      <c r="AL126" t="s">
        <v>296</v>
      </c>
      <c r="AM126" t="s">
        <v>78</v>
      </c>
      <c r="AN126" t="s">
        <v>219</v>
      </c>
      <c r="AO126" t="s">
        <v>297</v>
      </c>
      <c r="AP126" t="s">
        <v>297</v>
      </c>
      <c r="AQ126">
        <v>10</v>
      </c>
      <c r="AR126" t="s">
        <v>123</v>
      </c>
      <c r="AS126" t="s">
        <v>124</v>
      </c>
      <c r="AT126" t="s">
        <v>58</v>
      </c>
      <c r="AU126" t="s">
        <v>164</v>
      </c>
      <c r="AV126" t="s">
        <v>132</v>
      </c>
      <c r="AW126" s="1">
        <v>23386</v>
      </c>
      <c r="AX126">
        <v>2</v>
      </c>
    </row>
    <row r="127" spans="1:50">
      <c r="A127">
        <v>188261</v>
      </c>
      <c r="B127" t="str">
        <f>"048371592"</f>
        <v>048371592</v>
      </c>
      <c r="C127" t="s">
        <v>105</v>
      </c>
      <c r="D127" t="s">
        <v>637</v>
      </c>
      <c r="E127" t="s">
        <v>72</v>
      </c>
      <c r="F127" t="s">
        <v>95</v>
      </c>
      <c r="G127" t="s">
        <v>112</v>
      </c>
      <c r="H127" t="str">
        <f>" "</f>
        <v xml:space="preserve"> </v>
      </c>
      <c r="J127">
        <v>2810319766</v>
      </c>
      <c r="K127">
        <v>6944756730</v>
      </c>
      <c r="M127" t="s">
        <v>639</v>
      </c>
      <c r="N127" t="s">
        <v>204</v>
      </c>
      <c r="O127" t="s">
        <v>205</v>
      </c>
      <c r="R127" t="s">
        <v>57</v>
      </c>
      <c r="S127">
        <v>10</v>
      </c>
      <c r="T127">
        <v>251</v>
      </c>
      <c r="U127" s="1">
        <v>36769</v>
      </c>
      <c r="V127" t="s">
        <v>123</v>
      </c>
      <c r="W127" t="s">
        <v>124</v>
      </c>
      <c r="X127" t="s">
        <v>58</v>
      </c>
      <c r="Y127">
        <v>20</v>
      </c>
      <c r="Z127" t="s">
        <v>59</v>
      </c>
      <c r="AA127" t="s">
        <v>59</v>
      </c>
      <c r="AB127" t="s">
        <v>59</v>
      </c>
      <c r="AC127" t="s">
        <v>59</v>
      </c>
      <c r="AD127" t="s">
        <v>59</v>
      </c>
      <c r="AF127" s="1">
        <v>36770</v>
      </c>
      <c r="AG127" t="s">
        <v>137</v>
      </c>
      <c r="AH127" t="s">
        <v>469</v>
      </c>
      <c r="AI127" t="str">
        <f>"1740200"</f>
        <v>1740200</v>
      </c>
      <c r="AJ127" t="s">
        <v>470</v>
      </c>
      <c r="AK127">
        <v>2810320770</v>
      </c>
      <c r="AL127" t="s">
        <v>471</v>
      </c>
      <c r="AM127" t="s">
        <v>78</v>
      </c>
      <c r="AN127" t="s">
        <v>78</v>
      </c>
      <c r="AO127" t="s">
        <v>78</v>
      </c>
      <c r="AP127" t="s">
        <v>163</v>
      </c>
      <c r="AQ127">
        <v>2</v>
      </c>
      <c r="AR127" t="s">
        <v>123</v>
      </c>
      <c r="AS127" t="s">
        <v>124</v>
      </c>
      <c r="AT127" t="s">
        <v>58</v>
      </c>
      <c r="AU127" t="s">
        <v>68</v>
      </c>
      <c r="AV127" t="s">
        <v>69</v>
      </c>
      <c r="AW127" s="1">
        <v>27208</v>
      </c>
      <c r="AX127">
        <v>2</v>
      </c>
    </row>
    <row r="128" spans="1:50">
      <c r="A128">
        <v>189135</v>
      </c>
      <c r="B128" t="str">
        <f>"045477485"</f>
        <v>045477485</v>
      </c>
      <c r="C128" t="s">
        <v>50</v>
      </c>
      <c r="D128" t="s">
        <v>566</v>
      </c>
      <c r="E128" t="s">
        <v>506</v>
      </c>
      <c r="F128" t="s">
        <v>640</v>
      </c>
      <c r="G128" t="s">
        <v>600</v>
      </c>
      <c r="H128" t="str">
        <f>"ΤΖΕΔΑΚΗ 6 ΗΡΑΚΛΕΙΟ"</f>
        <v>ΤΖΕΔΑΚΗ 6 ΗΡΑΚΛΕΙΟ</v>
      </c>
      <c r="J128">
        <v>2810325672</v>
      </c>
      <c r="K128">
        <v>6973046289</v>
      </c>
      <c r="M128" t="s">
        <v>641</v>
      </c>
      <c r="N128" t="s">
        <v>146</v>
      </c>
      <c r="O128" t="s">
        <v>147</v>
      </c>
      <c r="P128" t="s">
        <v>615</v>
      </c>
      <c r="Q128" t="s">
        <v>616</v>
      </c>
      <c r="R128" t="s">
        <v>57</v>
      </c>
      <c r="S128">
        <v>10</v>
      </c>
      <c r="T128">
        <v>219</v>
      </c>
      <c r="U128" s="1">
        <v>37134</v>
      </c>
      <c r="V128" t="s">
        <v>123</v>
      </c>
      <c r="W128" t="s">
        <v>124</v>
      </c>
      <c r="X128" t="s">
        <v>58</v>
      </c>
      <c r="Y128">
        <v>18</v>
      </c>
      <c r="Z128" t="s">
        <v>59</v>
      </c>
      <c r="AA128" t="s">
        <v>59</v>
      </c>
      <c r="AB128" t="s">
        <v>59</v>
      </c>
      <c r="AC128" t="s">
        <v>59</v>
      </c>
      <c r="AD128" t="s">
        <v>59</v>
      </c>
      <c r="AF128" s="1">
        <v>37139</v>
      </c>
      <c r="AG128" t="s">
        <v>125</v>
      </c>
      <c r="AH128" t="s">
        <v>126</v>
      </c>
      <c r="AI128" t="str">
        <f>"1701051"</f>
        <v>1701051</v>
      </c>
      <c r="AJ128" t="s">
        <v>443</v>
      </c>
      <c r="AK128">
        <v>2810325815</v>
      </c>
      <c r="AL128" t="s">
        <v>444</v>
      </c>
      <c r="AM128" t="s">
        <v>78</v>
      </c>
      <c r="AN128" t="s">
        <v>78</v>
      </c>
      <c r="AO128" t="s">
        <v>78</v>
      </c>
      <c r="AP128" t="s">
        <v>163</v>
      </c>
      <c r="AQ128">
        <v>5</v>
      </c>
      <c r="AR128" t="s">
        <v>123</v>
      </c>
      <c r="AS128" t="s">
        <v>124</v>
      </c>
      <c r="AT128" t="s">
        <v>58</v>
      </c>
      <c r="AU128" t="s">
        <v>68</v>
      </c>
      <c r="AV128" t="s">
        <v>69</v>
      </c>
      <c r="AW128" s="1">
        <v>23541</v>
      </c>
      <c r="AX128">
        <v>2</v>
      </c>
    </row>
    <row r="129" spans="1:50">
      <c r="A129">
        <v>196918</v>
      </c>
      <c r="B129" t="str">
        <f>"071320490"</f>
        <v>071320490</v>
      </c>
      <c r="C129" t="s">
        <v>50</v>
      </c>
      <c r="D129" t="s">
        <v>566</v>
      </c>
      <c r="E129" t="s">
        <v>642</v>
      </c>
      <c r="F129" t="s">
        <v>99</v>
      </c>
      <c r="G129" t="s">
        <v>643</v>
      </c>
      <c r="H129" t="str">
        <f>" "</f>
        <v xml:space="preserve"> </v>
      </c>
      <c r="J129">
        <v>2645051571</v>
      </c>
      <c r="K129">
        <v>6979101160</v>
      </c>
      <c r="L129">
        <v>2107659070</v>
      </c>
      <c r="M129" t="s">
        <v>644</v>
      </c>
      <c r="N129" t="s">
        <v>146</v>
      </c>
      <c r="O129" t="s">
        <v>147</v>
      </c>
      <c r="R129" t="s">
        <v>57</v>
      </c>
      <c r="S129">
        <v>13</v>
      </c>
      <c r="T129">
        <v>206</v>
      </c>
      <c r="U129" s="1">
        <v>37866</v>
      </c>
      <c r="V129" t="s">
        <v>123</v>
      </c>
      <c r="W129" t="s">
        <v>124</v>
      </c>
      <c r="X129" t="s">
        <v>58</v>
      </c>
      <c r="Y129">
        <v>20</v>
      </c>
      <c r="Z129" t="s">
        <v>59</v>
      </c>
      <c r="AA129" t="s">
        <v>59</v>
      </c>
      <c r="AB129" t="s">
        <v>59</v>
      </c>
      <c r="AC129" t="s">
        <v>59</v>
      </c>
      <c r="AD129" t="s">
        <v>59</v>
      </c>
      <c r="AF129" s="1">
        <v>37866</v>
      </c>
      <c r="AG129" t="s">
        <v>125</v>
      </c>
      <c r="AH129" t="s">
        <v>126</v>
      </c>
      <c r="AI129" t="str">
        <f>"1704010"</f>
        <v>1704010</v>
      </c>
      <c r="AJ129" t="s">
        <v>480</v>
      </c>
      <c r="AK129">
        <v>2895022230</v>
      </c>
      <c r="AL129" t="s">
        <v>481</v>
      </c>
      <c r="AM129" t="s">
        <v>78</v>
      </c>
      <c r="AN129" t="s">
        <v>482</v>
      </c>
      <c r="AO129" t="s">
        <v>482</v>
      </c>
      <c r="AP129" t="s">
        <v>483</v>
      </c>
      <c r="AQ129">
        <v>16</v>
      </c>
      <c r="AR129" t="s">
        <v>123</v>
      </c>
      <c r="AS129" t="s">
        <v>124</v>
      </c>
      <c r="AT129" t="s">
        <v>58</v>
      </c>
      <c r="AU129" t="s">
        <v>68</v>
      </c>
      <c r="AV129" t="s">
        <v>69</v>
      </c>
      <c r="AW129" s="1">
        <v>24591</v>
      </c>
      <c r="AX129">
        <v>2</v>
      </c>
    </row>
    <row r="130" spans="1:50">
      <c r="A130">
        <v>175982</v>
      </c>
      <c r="B130" t="str">
        <f>"026682893"</f>
        <v>026682893</v>
      </c>
      <c r="C130" t="s">
        <v>105</v>
      </c>
      <c r="D130" t="s">
        <v>645</v>
      </c>
      <c r="E130" t="s">
        <v>95</v>
      </c>
      <c r="F130" t="s">
        <v>646</v>
      </c>
      <c r="G130" t="s">
        <v>647</v>
      </c>
      <c r="H130" t="str">
        <f>"ΣΗΤΕΙΑΣ 7 ΑΓΙΑ ΤΡΙΑΔΑ"</f>
        <v>ΣΗΤΕΙΑΣ 7 ΑΓΙΑ ΤΡΙΑΔΑ</v>
      </c>
      <c r="I130">
        <v>71202</v>
      </c>
      <c r="J130">
        <v>2810284114</v>
      </c>
      <c r="K130">
        <v>6973002811</v>
      </c>
      <c r="M130" t="s">
        <v>648</v>
      </c>
      <c r="N130" t="s">
        <v>232</v>
      </c>
      <c r="O130" t="s">
        <v>233</v>
      </c>
      <c r="R130" t="s">
        <v>57</v>
      </c>
      <c r="S130">
        <v>10</v>
      </c>
      <c r="T130">
        <v>180</v>
      </c>
      <c r="U130" s="1">
        <v>35674</v>
      </c>
      <c r="V130" t="s">
        <v>123</v>
      </c>
      <c r="W130" t="s">
        <v>124</v>
      </c>
      <c r="X130" t="s">
        <v>58</v>
      </c>
      <c r="Y130">
        <v>18</v>
      </c>
      <c r="Z130" t="s">
        <v>59</v>
      </c>
      <c r="AA130" t="s">
        <v>59</v>
      </c>
      <c r="AB130" t="s">
        <v>59</v>
      </c>
      <c r="AC130" t="s">
        <v>59</v>
      </c>
      <c r="AD130" t="s">
        <v>59</v>
      </c>
      <c r="AF130" s="1">
        <v>35678</v>
      </c>
      <c r="AG130" t="s">
        <v>148</v>
      </c>
      <c r="AH130" t="s">
        <v>149</v>
      </c>
      <c r="AI130" t="str">
        <f>"1777010"</f>
        <v>1777010</v>
      </c>
      <c r="AJ130" t="s">
        <v>612</v>
      </c>
      <c r="AK130">
        <v>2810229220</v>
      </c>
      <c r="AL130" t="s">
        <v>613</v>
      </c>
      <c r="AM130" t="s">
        <v>78</v>
      </c>
      <c r="AN130" t="s">
        <v>78</v>
      </c>
      <c r="AO130" t="s">
        <v>286</v>
      </c>
      <c r="AP130" t="s">
        <v>286</v>
      </c>
      <c r="AQ130">
        <v>12</v>
      </c>
      <c r="AR130" t="s">
        <v>123</v>
      </c>
      <c r="AS130" t="s">
        <v>124</v>
      </c>
      <c r="AT130" t="s">
        <v>58</v>
      </c>
      <c r="AU130" t="s">
        <v>68</v>
      </c>
      <c r="AV130" t="s">
        <v>69</v>
      </c>
      <c r="AW130" s="1">
        <v>20488</v>
      </c>
      <c r="AX130">
        <v>2</v>
      </c>
    </row>
    <row r="131" spans="1:50">
      <c r="A131">
        <v>214724</v>
      </c>
      <c r="B131" t="str">
        <f>"041559870"</f>
        <v>041559870</v>
      </c>
      <c r="C131" t="s">
        <v>50</v>
      </c>
      <c r="D131" t="s">
        <v>649</v>
      </c>
      <c r="E131" t="s">
        <v>650</v>
      </c>
      <c r="F131" t="s">
        <v>84</v>
      </c>
      <c r="G131" t="s">
        <v>52</v>
      </c>
      <c r="H131" t="str">
        <f>"Θ.ΔΙΑΚΟΝΟΥ 10 "</f>
        <v xml:space="preserve">Θ.ΔΙΑΚΟΝΟΥ 10 </v>
      </c>
      <c r="I131">
        <v>71305</v>
      </c>
      <c r="J131">
        <v>2810315692</v>
      </c>
      <c r="K131">
        <v>6976440437</v>
      </c>
      <c r="M131" t="s">
        <v>651</v>
      </c>
      <c r="N131" t="s">
        <v>189</v>
      </c>
      <c r="O131" t="s">
        <v>190</v>
      </c>
      <c r="R131" t="s">
        <v>57</v>
      </c>
      <c r="S131">
        <v>6</v>
      </c>
      <c r="T131">
        <v>231</v>
      </c>
      <c r="U131" s="1">
        <v>38960</v>
      </c>
      <c r="V131" t="s">
        <v>123</v>
      </c>
      <c r="W131" t="s">
        <v>124</v>
      </c>
      <c r="X131" t="s">
        <v>58</v>
      </c>
      <c r="Y131">
        <v>20</v>
      </c>
      <c r="Z131" t="s">
        <v>59</v>
      </c>
      <c r="AA131" t="s">
        <v>59</v>
      </c>
      <c r="AB131" t="s">
        <v>59</v>
      </c>
      <c r="AC131" t="s">
        <v>59</v>
      </c>
      <c r="AD131" t="s">
        <v>59</v>
      </c>
      <c r="AF131" s="1">
        <v>38961</v>
      </c>
      <c r="AG131" t="s">
        <v>125</v>
      </c>
      <c r="AH131" t="s">
        <v>126</v>
      </c>
      <c r="AI131" t="str">
        <f>"1701052"</f>
        <v>1701052</v>
      </c>
      <c r="AJ131" t="s">
        <v>223</v>
      </c>
      <c r="AK131">
        <v>2810252514</v>
      </c>
      <c r="AL131" t="s">
        <v>224</v>
      </c>
      <c r="AM131" t="s">
        <v>78</v>
      </c>
      <c r="AN131" t="s">
        <v>78</v>
      </c>
      <c r="AO131" t="s">
        <v>78</v>
      </c>
      <c r="AP131" t="s">
        <v>141</v>
      </c>
      <c r="AQ131">
        <v>7</v>
      </c>
      <c r="AR131" t="s">
        <v>123</v>
      </c>
      <c r="AS131" t="s">
        <v>124</v>
      </c>
      <c r="AT131" t="s">
        <v>58</v>
      </c>
      <c r="AU131" t="s">
        <v>68</v>
      </c>
      <c r="AV131" t="s">
        <v>357</v>
      </c>
      <c r="AW131" s="1">
        <v>24656</v>
      </c>
      <c r="AX131">
        <v>2</v>
      </c>
    </row>
    <row r="132" spans="1:50">
      <c r="A132">
        <v>214725</v>
      </c>
      <c r="B132" t="str">
        <f>"054580683"</f>
        <v>054580683</v>
      </c>
      <c r="C132" t="s">
        <v>50</v>
      </c>
      <c r="D132" t="s">
        <v>649</v>
      </c>
      <c r="E132" t="s">
        <v>52</v>
      </c>
      <c r="F132" t="s">
        <v>95</v>
      </c>
      <c r="G132" t="s">
        <v>83</v>
      </c>
      <c r="H132" t="str">
        <f>" "</f>
        <v xml:space="preserve"> </v>
      </c>
      <c r="J132">
        <v>2810309120</v>
      </c>
      <c r="L132">
        <v>2810222270</v>
      </c>
      <c r="N132" t="s">
        <v>189</v>
      </c>
      <c r="O132" t="s">
        <v>190</v>
      </c>
      <c r="R132" t="s">
        <v>57</v>
      </c>
      <c r="S132">
        <v>6</v>
      </c>
      <c r="T132">
        <v>231</v>
      </c>
      <c r="U132" s="1">
        <v>38960</v>
      </c>
      <c r="V132" t="s">
        <v>123</v>
      </c>
      <c r="W132" t="s">
        <v>124</v>
      </c>
      <c r="X132" t="s">
        <v>58</v>
      </c>
      <c r="Y132">
        <v>20</v>
      </c>
      <c r="Z132" t="s">
        <v>59</v>
      </c>
      <c r="AA132" t="s">
        <v>59</v>
      </c>
      <c r="AB132" t="s">
        <v>59</v>
      </c>
      <c r="AC132" t="s">
        <v>59</v>
      </c>
      <c r="AD132" t="s">
        <v>59</v>
      </c>
      <c r="AF132" s="1">
        <v>38961</v>
      </c>
      <c r="AG132" t="s">
        <v>137</v>
      </c>
      <c r="AH132" t="s">
        <v>138</v>
      </c>
      <c r="AI132" t="str">
        <f>"1750080"</f>
        <v>1750080</v>
      </c>
      <c r="AJ132" t="s">
        <v>170</v>
      </c>
      <c r="AK132">
        <v>2810234444</v>
      </c>
      <c r="AL132" t="s">
        <v>171</v>
      </c>
      <c r="AM132" t="s">
        <v>78</v>
      </c>
      <c r="AN132" t="s">
        <v>78</v>
      </c>
      <c r="AO132" t="s">
        <v>78</v>
      </c>
      <c r="AP132" t="s">
        <v>163</v>
      </c>
      <c r="AQ132">
        <v>9</v>
      </c>
      <c r="AR132" t="s">
        <v>123</v>
      </c>
      <c r="AS132" t="s">
        <v>124</v>
      </c>
      <c r="AT132" t="s">
        <v>58</v>
      </c>
      <c r="AU132" t="s">
        <v>68</v>
      </c>
      <c r="AV132" t="s">
        <v>69</v>
      </c>
      <c r="AW132" s="1">
        <v>27116</v>
      </c>
      <c r="AX132">
        <v>2</v>
      </c>
    </row>
    <row r="133" spans="1:50">
      <c r="B133" t="str">
        <f>"078143490"</f>
        <v>078143490</v>
      </c>
      <c r="C133" t="s">
        <v>50</v>
      </c>
      <c r="D133" t="s">
        <v>649</v>
      </c>
      <c r="E133" t="s">
        <v>54</v>
      </c>
      <c r="F133" t="s">
        <v>95</v>
      </c>
      <c r="G133" t="s">
        <v>83</v>
      </c>
      <c r="H133" t="str">
        <f>"ΑΡΙΑΔΝΗΣ 25 ΗΡΑΚΛΕΙΟ"</f>
        <v>ΑΡΙΑΔΝΗΣ 25 ΗΡΑΚΛΕΙΟ</v>
      </c>
      <c r="I133">
        <v>71202</v>
      </c>
      <c r="J133">
        <v>2810222270</v>
      </c>
      <c r="K133">
        <v>6974277505</v>
      </c>
      <c r="M133" t="s">
        <v>652</v>
      </c>
      <c r="N133" t="s">
        <v>653</v>
      </c>
      <c r="O133" t="s">
        <v>654</v>
      </c>
      <c r="R133" t="s">
        <v>159</v>
      </c>
      <c r="S133">
        <v>6</v>
      </c>
      <c r="T133" t="s">
        <v>344</v>
      </c>
      <c r="U133" s="1">
        <v>43348</v>
      </c>
      <c r="V133" t="s">
        <v>123</v>
      </c>
      <c r="W133" t="s">
        <v>124</v>
      </c>
      <c r="X133" t="s">
        <v>58</v>
      </c>
      <c r="Y133">
        <v>23</v>
      </c>
      <c r="Z133" t="s">
        <v>59</v>
      </c>
      <c r="AA133" t="s">
        <v>59</v>
      </c>
      <c r="AB133" t="s">
        <v>59</v>
      </c>
      <c r="AC133" t="s">
        <v>59</v>
      </c>
      <c r="AD133" t="s">
        <v>59</v>
      </c>
      <c r="AF133" s="1">
        <v>43348</v>
      </c>
      <c r="AG133" t="s">
        <v>345</v>
      </c>
      <c r="AH133" t="s">
        <v>346</v>
      </c>
      <c r="AI133" t="str">
        <f>"1741001"</f>
        <v>1741001</v>
      </c>
      <c r="AJ133" t="s">
        <v>655</v>
      </c>
      <c r="AK133">
        <v>2810360436</v>
      </c>
      <c r="AL133" t="s">
        <v>656</v>
      </c>
      <c r="AM133" t="s">
        <v>78</v>
      </c>
      <c r="AN133" t="s">
        <v>78</v>
      </c>
      <c r="AO133" t="s">
        <v>78</v>
      </c>
      <c r="AP133" t="s">
        <v>141</v>
      </c>
      <c r="AQ133">
        <v>11</v>
      </c>
      <c r="AR133" t="s">
        <v>123</v>
      </c>
      <c r="AS133" t="s">
        <v>124</v>
      </c>
      <c r="AT133" t="s">
        <v>58</v>
      </c>
      <c r="AU133" t="s">
        <v>350</v>
      </c>
      <c r="AV133" t="s">
        <v>132</v>
      </c>
      <c r="AW133" s="1">
        <v>28167</v>
      </c>
      <c r="AX133">
        <v>2</v>
      </c>
    </row>
    <row r="134" spans="1:50">
      <c r="A134">
        <v>163859</v>
      </c>
      <c r="B134" t="str">
        <f>"032695310"</f>
        <v>032695310</v>
      </c>
      <c r="C134" t="s">
        <v>50</v>
      </c>
      <c r="D134" t="s">
        <v>657</v>
      </c>
      <c r="E134" t="s">
        <v>658</v>
      </c>
      <c r="F134" t="s">
        <v>154</v>
      </c>
      <c r="G134" t="s">
        <v>659</v>
      </c>
      <c r="H134" t="str">
        <f>"ΒΡΥΟΥΛΩΝ 6 ΑΤΣΑΛΕΝΙΟ,ΗΡΑΚΛΕΙΟ"</f>
        <v>ΒΡΥΟΥΛΩΝ 6 ΑΤΣΑΛΕΝΙΟ,ΗΡΑΚΛΕΙΟ</v>
      </c>
      <c r="I134">
        <v>71306</v>
      </c>
      <c r="J134">
        <v>2810211587</v>
      </c>
      <c r="K134">
        <v>6971904433</v>
      </c>
      <c r="N134" t="s">
        <v>146</v>
      </c>
      <c r="O134" t="s">
        <v>147</v>
      </c>
      <c r="R134" t="s">
        <v>57</v>
      </c>
      <c r="S134">
        <v>15</v>
      </c>
      <c r="T134">
        <v>161</v>
      </c>
      <c r="U134" s="1">
        <v>33844</v>
      </c>
      <c r="V134" t="s">
        <v>123</v>
      </c>
      <c r="W134" t="s">
        <v>124</v>
      </c>
      <c r="X134" t="s">
        <v>58</v>
      </c>
      <c r="Y134">
        <v>18</v>
      </c>
      <c r="Z134" t="s">
        <v>59</v>
      </c>
      <c r="AA134" t="s">
        <v>59</v>
      </c>
      <c r="AB134" t="s">
        <v>59</v>
      </c>
      <c r="AC134" t="s">
        <v>59</v>
      </c>
      <c r="AD134" t="s">
        <v>59</v>
      </c>
      <c r="AF134" s="1">
        <v>33851</v>
      </c>
      <c r="AG134" t="s">
        <v>125</v>
      </c>
      <c r="AH134" t="s">
        <v>126</v>
      </c>
      <c r="AI134" t="str">
        <f>"1701050"</f>
        <v>1701050</v>
      </c>
      <c r="AJ134" t="s">
        <v>660</v>
      </c>
      <c r="AK134">
        <v>2810220729</v>
      </c>
      <c r="AL134" t="s">
        <v>661</v>
      </c>
      <c r="AM134" t="s">
        <v>78</v>
      </c>
      <c r="AN134" t="s">
        <v>78</v>
      </c>
      <c r="AO134" t="s">
        <v>78</v>
      </c>
      <c r="AP134" t="s">
        <v>79</v>
      </c>
      <c r="AQ134">
        <v>1</v>
      </c>
      <c r="AR134" t="s">
        <v>123</v>
      </c>
      <c r="AS134" t="s">
        <v>124</v>
      </c>
      <c r="AT134" t="s">
        <v>58</v>
      </c>
      <c r="AU134" t="s">
        <v>68</v>
      </c>
      <c r="AV134" t="s">
        <v>69</v>
      </c>
      <c r="AW134" s="1">
        <v>23694</v>
      </c>
      <c r="AX134">
        <v>2</v>
      </c>
    </row>
    <row r="135" spans="1:50">
      <c r="A135">
        <v>198329</v>
      </c>
      <c r="B135" t="str">
        <f>"119684365"</f>
        <v>119684365</v>
      </c>
      <c r="C135" t="s">
        <v>50</v>
      </c>
      <c r="D135" t="s">
        <v>662</v>
      </c>
      <c r="E135" t="s">
        <v>112</v>
      </c>
      <c r="F135" t="s">
        <v>106</v>
      </c>
      <c r="G135" t="s">
        <v>663</v>
      </c>
      <c r="H135" t="str">
        <f>"ΡΟΔΩΝ 10 ΗΡΑΚΛΕΙΟ"</f>
        <v>ΡΟΔΩΝ 10 ΗΡΑΚΛΕΙΟ</v>
      </c>
      <c r="J135">
        <v>2810344904</v>
      </c>
      <c r="K135">
        <v>6974935023</v>
      </c>
      <c r="L135">
        <v>6937870730</v>
      </c>
      <c r="M135" t="s">
        <v>664</v>
      </c>
      <c r="N135" t="s">
        <v>478</v>
      </c>
      <c r="O135" t="s">
        <v>479</v>
      </c>
      <c r="R135" t="s">
        <v>57</v>
      </c>
      <c r="S135">
        <v>10</v>
      </c>
      <c r="T135">
        <v>206</v>
      </c>
      <c r="U135" s="1">
        <v>37866</v>
      </c>
      <c r="V135" t="s">
        <v>123</v>
      </c>
      <c r="W135" t="s">
        <v>124</v>
      </c>
      <c r="X135" t="s">
        <v>58</v>
      </c>
      <c r="Y135">
        <v>18</v>
      </c>
      <c r="Z135" t="s">
        <v>59</v>
      </c>
      <c r="AA135" t="s">
        <v>59</v>
      </c>
      <c r="AB135" t="s">
        <v>59</v>
      </c>
      <c r="AC135" t="s">
        <v>59</v>
      </c>
      <c r="AD135" t="s">
        <v>59</v>
      </c>
      <c r="AF135" s="1">
        <v>37866</v>
      </c>
      <c r="AG135" t="s">
        <v>125</v>
      </c>
      <c r="AH135" t="s">
        <v>126</v>
      </c>
      <c r="AI135" t="str">
        <f>"1714012"</f>
        <v>1714012</v>
      </c>
      <c r="AJ135" t="s">
        <v>633</v>
      </c>
      <c r="AK135">
        <v>2810762261</v>
      </c>
      <c r="AL135" t="s">
        <v>634</v>
      </c>
      <c r="AM135" t="s">
        <v>78</v>
      </c>
      <c r="AN135" t="s">
        <v>219</v>
      </c>
      <c r="AO135" t="s">
        <v>297</v>
      </c>
      <c r="AP135" t="s">
        <v>297</v>
      </c>
      <c r="AQ135">
        <v>37</v>
      </c>
      <c r="AR135" t="s">
        <v>123</v>
      </c>
      <c r="AS135" t="s">
        <v>124</v>
      </c>
      <c r="AT135" t="s">
        <v>58</v>
      </c>
      <c r="AU135" t="s">
        <v>68</v>
      </c>
      <c r="AV135" t="s">
        <v>69</v>
      </c>
      <c r="AW135" s="1">
        <v>23176</v>
      </c>
      <c r="AX135">
        <v>2</v>
      </c>
    </row>
    <row r="136" spans="1:50">
      <c r="A136">
        <v>161931</v>
      </c>
      <c r="B136" t="str">
        <f>"064582950"</f>
        <v>064582950</v>
      </c>
      <c r="C136" t="s">
        <v>50</v>
      </c>
      <c r="D136" t="s">
        <v>665</v>
      </c>
      <c r="E136" t="s">
        <v>237</v>
      </c>
      <c r="F136" t="s">
        <v>72</v>
      </c>
      <c r="G136" t="s">
        <v>494</v>
      </c>
      <c r="H136" t="str">
        <f>" "</f>
        <v xml:space="preserve"> </v>
      </c>
      <c r="N136" t="s">
        <v>189</v>
      </c>
      <c r="O136" t="s">
        <v>190</v>
      </c>
      <c r="R136" t="s">
        <v>57</v>
      </c>
      <c r="S136">
        <v>17</v>
      </c>
      <c r="T136" t="s">
        <v>666</v>
      </c>
      <c r="U136" s="1">
        <v>32749</v>
      </c>
      <c r="V136" t="s">
        <v>123</v>
      </c>
      <c r="W136" t="s">
        <v>124</v>
      </c>
      <c r="X136" t="s">
        <v>58</v>
      </c>
      <c r="Y136">
        <v>18</v>
      </c>
      <c r="Z136" t="s">
        <v>59</v>
      </c>
      <c r="AA136" t="s">
        <v>59</v>
      </c>
      <c r="AB136" t="s">
        <v>59</v>
      </c>
      <c r="AC136" t="s">
        <v>59</v>
      </c>
      <c r="AD136" t="s">
        <v>59</v>
      </c>
      <c r="AF136" s="1">
        <v>32749</v>
      </c>
      <c r="AG136" t="s">
        <v>125</v>
      </c>
      <c r="AH136" t="s">
        <v>126</v>
      </c>
      <c r="AI136" t="str">
        <f>"1701057"</f>
        <v>1701057</v>
      </c>
      <c r="AJ136" t="s">
        <v>379</v>
      </c>
      <c r="AK136">
        <v>2810234488</v>
      </c>
      <c r="AL136" t="s">
        <v>380</v>
      </c>
      <c r="AM136" t="s">
        <v>78</v>
      </c>
      <c r="AN136" t="s">
        <v>78</v>
      </c>
      <c r="AO136" t="s">
        <v>78</v>
      </c>
      <c r="AP136" t="s">
        <v>163</v>
      </c>
      <c r="AQ136">
        <v>8</v>
      </c>
      <c r="AR136" t="s">
        <v>123</v>
      </c>
      <c r="AS136" t="s">
        <v>124</v>
      </c>
      <c r="AT136" t="s">
        <v>58</v>
      </c>
      <c r="AU136" t="s">
        <v>68</v>
      </c>
      <c r="AV136" t="s">
        <v>69</v>
      </c>
      <c r="AW136" s="1">
        <v>21451</v>
      </c>
      <c r="AX136">
        <v>2</v>
      </c>
    </row>
    <row r="137" spans="1:50">
      <c r="A137">
        <v>153693</v>
      </c>
      <c r="B137" t="str">
        <f>"025986111"</f>
        <v>025986111</v>
      </c>
      <c r="C137" t="s">
        <v>105</v>
      </c>
      <c r="D137" t="s">
        <v>667</v>
      </c>
      <c r="E137" t="s">
        <v>99</v>
      </c>
      <c r="F137" t="s">
        <v>72</v>
      </c>
      <c r="G137" t="s">
        <v>250</v>
      </c>
      <c r="H137" t="str">
        <f>"ΨΥΧΑΡΗ 2Α ΗΡΑΚΛΕΙΟ"</f>
        <v>ΨΥΧΑΡΗ 2Α ΗΡΑΚΛΕΙΟ</v>
      </c>
      <c r="I137">
        <v>71305</v>
      </c>
      <c r="J137">
        <v>2810257421</v>
      </c>
      <c r="K137">
        <v>6944276012</v>
      </c>
      <c r="L137">
        <v>6944276012</v>
      </c>
      <c r="M137" t="s">
        <v>668</v>
      </c>
      <c r="N137" t="s">
        <v>168</v>
      </c>
      <c r="O137" t="s">
        <v>169</v>
      </c>
      <c r="R137" t="s">
        <v>57</v>
      </c>
      <c r="S137">
        <v>19</v>
      </c>
      <c r="T137">
        <v>139</v>
      </c>
      <c r="U137" s="1">
        <v>32366</v>
      </c>
      <c r="V137" t="s">
        <v>123</v>
      </c>
      <c r="W137" t="s">
        <v>124</v>
      </c>
      <c r="X137" t="s">
        <v>58</v>
      </c>
      <c r="Y137">
        <v>18</v>
      </c>
      <c r="Z137" t="s">
        <v>59</v>
      </c>
      <c r="AA137" t="s">
        <v>59</v>
      </c>
      <c r="AB137" t="s">
        <v>59</v>
      </c>
      <c r="AC137" t="s">
        <v>59</v>
      </c>
      <c r="AD137" t="s">
        <v>59</v>
      </c>
      <c r="AF137" s="1">
        <v>32393</v>
      </c>
      <c r="AG137" t="s">
        <v>137</v>
      </c>
      <c r="AH137" t="s">
        <v>138</v>
      </c>
      <c r="AI137" t="str">
        <f>"1750080"</f>
        <v>1750080</v>
      </c>
      <c r="AJ137" t="s">
        <v>170</v>
      </c>
      <c r="AK137">
        <v>2810234444</v>
      </c>
      <c r="AL137" t="s">
        <v>171</v>
      </c>
      <c r="AM137" t="s">
        <v>78</v>
      </c>
      <c r="AN137" t="s">
        <v>78</v>
      </c>
      <c r="AO137" t="s">
        <v>78</v>
      </c>
      <c r="AP137" t="s">
        <v>163</v>
      </c>
      <c r="AQ137">
        <v>9</v>
      </c>
      <c r="AR137" t="s">
        <v>123</v>
      </c>
      <c r="AS137" t="s">
        <v>124</v>
      </c>
      <c r="AT137" t="s">
        <v>58</v>
      </c>
      <c r="AU137" t="s">
        <v>68</v>
      </c>
      <c r="AV137" t="s">
        <v>69</v>
      </c>
      <c r="AW137" s="1">
        <v>20066</v>
      </c>
      <c r="AX137">
        <v>2</v>
      </c>
    </row>
    <row r="138" spans="1:50">
      <c r="A138">
        <v>209314</v>
      </c>
      <c r="B138" t="str">
        <f>"049022943"</f>
        <v>049022943</v>
      </c>
      <c r="C138" t="s">
        <v>105</v>
      </c>
      <c r="D138" t="s">
        <v>669</v>
      </c>
      <c r="E138" t="s">
        <v>450</v>
      </c>
      <c r="F138" t="s">
        <v>670</v>
      </c>
      <c r="G138" t="s">
        <v>671</v>
      </c>
      <c r="H138" t="str">
        <f>"ΚΕΡΑΣΙΑ  ΔΑΦΝΕΣ"</f>
        <v>ΚΕΡΑΣΙΑ  ΔΑΦΝΕΣ</v>
      </c>
      <c r="I138">
        <v>70011</v>
      </c>
      <c r="K138">
        <v>6932119286</v>
      </c>
      <c r="N138" t="s">
        <v>157</v>
      </c>
      <c r="O138" t="s">
        <v>158</v>
      </c>
      <c r="P138" t="s">
        <v>146</v>
      </c>
      <c r="Q138" t="s">
        <v>147</v>
      </c>
      <c r="R138" t="s">
        <v>57</v>
      </c>
      <c r="S138">
        <v>13</v>
      </c>
      <c r="T138">
        <v>225</v>
      </c>
      <c r="U138" s="1">
        <v>38604</v>
      </c>
      <c r="V138" t="s">
        <v>123</v>
      </c>
      <c r="W138" t="s">
        <v>124</v>
      </c>
      <c r="X138" t="s">
        <v>58</v>
      </c>
      <c r="Y138">
        <v>20</v>
      </c>
      <c r="Z138" t="s">
        <v>59</v>
      </c>
      <c r="AA138" t="s">
        <v>59</v>
      </c>
      <c r="AB138" t="s">
        <v>59</v>
      </c>
      <c r="AC138" t="s">
        <v>59</v>
      </c>
      <c r="AD138" t="s">
        <v>59</v>
      </c>
      <c r="AF138" s="1">
        <v>38609</v>
      </c>
      <c r="AG138" t="s">
        <v>148</v>
      </c>
      <c r="AH138" t="s">
        <v>149</v>
      </c>
      <c r="AI138" t="str">
        <f>"1778010"</f>
        <v>1778010</v>
      </c>
      <c r="AJ138" t="s">
        <v>672</v>
      </c>
      <c r="AK138">
        <v>2810822455</v>
      </c>
      <c r="AL138" t="s">
        <v>673</v>
      </c>
      <c r="AM138" t="s">
        <v>78</v>
      </c>
      <c r="AN138" t="s">
        <v>129</v>
      </c>
      <c r="AO138" t="s">
        <v>130</v>
      </c>
      <c r="AP138" t="s">
        <v>130</v>
      </c>
      <c r="AQ138">
        <v>36</v>
      </c>
      <c r="AR138" t="s">
        <v>123</v>
      </c>
      <c r="AS138" t="s">
        <v>124</v>
      </c>
      <c r="AT138" t="s">
        <v>58</v>
      </c>
      <c r="AU138" t="s">
        <v>68</v>
      </c>
      <c r="AV138" t="s">
        <v>69</v>
      </c>
      <c r="AW138" s="1">
        <v>27844</v>
      </c>
      <c r="AX138">
        <v>2</v>
      </c>
    </row>
    <row r="139" spans="1:50">
      <c r="A139">
        <v>206527</v>
      </c>
      <c r="B139" t="str">
        <f>"063815100"</f>
        <v>063815100</v>
      </c>
      <c r="C139" t="s">
        <v>50</v>
      </c>
      <c r="D139" t="s">
        <v>674</v>
      </c>
      <c r="E139" t="s">
        <v>250</v>
      </c>
      <c r="F139" t="s">
        <v>53</v>
      </c>
      <c r="G139" t="s">
        <v>52</v>
      </c>
      <c r="H139" t="str">
        <f>"ΤΥΜΠΑΚΙ ΤΥΜΠΑΚΙ"</f>
        <v>ΤΥΜΠΑΚΙ ΤΥΜΠΑΚΙ</v>
      </c>
      <c r="I139">
        <v>70200</v>
      </c>
      <c r="J139">
        <v>2892051380</v>
      </c>
      <c r="K139">
        <v>6974407028</v>
      </c>
      <c r="L139">
        <v>6984132415</v>
      </c>
      <c r="M139" t="s">
        <v>675</v>
      </c>
      <c r="N139" t="s">
        <v>146</v>
      </c>
      <c r="O139" t="s">
        <v>147</v>
      </c>
      <c r="R139" t="s">
        <v>57</v>
      </c>
      <c r="S139">
        <v>8</v>
      </c>
      <c r="T139">
        <v>218</v>
      </c>
      <c r="U139" s="1">
        <v>38596</v>
      </c>
      <c r="V139" t="s">
        <v>123</v>
      </c>
      <c r="W139" t="s">
        <v>124</v>
      </c>
      <c r="X139" t="s">
        <v>58</v>
      </c>
      <c r="Y139">
        <v>20</v>
      </c>
      <c r="Z139" t="s">
        <v>59</v>
      </c>
      <c r="AA139" t="s">
        <v>59</v>
      </c>
      <c r="AB139" t="s">
        <v>59</v>
      </c>
      <c r="AC139" t="s">
        <v>59</v>
      </c>
      <c r="AD139" t="s">
        <v>59</v>
      </c>
      <c r="AF139" s="1">
        <v>38602</v>
      </c>
      <c r="AG139" t="s">
        <v>125</v>
      </c>
      <c r="AH139" t="s">
        <v>515</v>
      </c>
      <c r="AI139" t="str">
        <f>"1713015"</f>
        <v>1713015</v>
      </c>
      <c r="AJ139" t="s">
        <v>516</v>
      </c>
      <c r="AK139">
        <v>2892051870</v>
      </c>
      <c r="AL139" t="s">
        <v>517</v>
      </c>
      <c r="AM139" t="s">
        <v>78</v>
      </c>
      <c r="AN139" t="s">
        <v>242</v>
      </c>
      <c r="AO139" t="s">
        <v>349</v>
      </c>
      <c r="AP139" t="s">
        <v>349</v>
      </c>
      <c r="AQ139">
        <v>35</v>
      </c>
      <c r="AR139" t="s">
        <v>123</v>
      </c>
      <c r="AS139" t="s">
        <v>124</v>
      </c>
      <c r="AT139" t="s">
        <v>58</v>
      </c>
      <c r="AU139" t="s">
        <v>68</v>
      </c>
      <c r="AV139" t="s">
        <v>69</v>
      </c>
      <c r="AW139" s="1">
        <v>25793</v>
      </c>
      <c r="AX139">
        <v>2</v>
      </c>
    </row>
    <row r="140" spans="1:50">
      <c r="A140">
        <v>173250</v>
      </c>
      <c r="B140" t="str">
        <f>"044738237"</f>
        <v>044738237</v>
      </c>
      <c r="C140" t="s">
        <v>50</v>
      </c>
      <c r="D140" t="s">
        <v>676</v>
      </c>
      <c r="E140" t="s">
        <v>83</v>
      </c>
      <c r="F140" t="s">
        <v>640</v>
      </c>
      <c r="G140" t="s">
        <v>52</v>
      </c>
      <c r="H140" t="str">
        <f>"ΓΙΟΛΔΑΣΗ 15Β ΜΕΣΑΜΠΕΛΙΕΣ"</f>
        <v>ΓΙΟΛΔΑΣΗ 15Β ΜΕΣΑΜΠΕΛΙΕΣ</v>
      </c>
      <c r="J140">
        <v>2810320271</v>
      </c>
      <c r="K140">
        <v>6956373036</v>
      </c>
      <c r="M140" t="s">
        <v>677</v>
      </c>
      <c r="N140" t="s">
        <v>146</v>
      </c>
      <c r="O140" t="s">
        <v>147</v>
      </c>
      <c r="R140" t="s">
        <v>57</v>
      </c>
      <c r="S140">
        <v>12</v>
      </c>
      <c r="T140">
        <v>166</v>
      </c>
      <c r="U140" s="1">
        <v>35300</v>
      </c>
      <c r="V140" t="s">
        <v>123</v>
      </c>
      <c r="W140" t="s">
        <v>124</v>
      </c>
      <c r="X140" t="s">
        <v>58</v>
      </c>
      <c r="Y140">
        <v>18</v>
      </c>
      <c r="Z140" t="s">
        <v>59</v>
      </c>
      <c r="AA140" t="s">
        <v>59</v>
      </c>
      <c r="AB140" t="s">
        <v>59</v>
      </c>
      <c r="AC140" t="s">
        <v>59</v>
      </c>
      <c r="AD140" t="s">
        <v>59</v>
      </c>
      <c r="AF140" s="1">
        <v>35310</v>
      </c>
      <c r="AG140" t="s">
        <v>148</v>
      </c>
      <c r="AH140" t="s">
        <v>149</v>
      </c>
      <c r="AI140" t="str">
        <f>"1790100"</f>
        <v>1790100</v>
      </c>
      <c r="AJ140" t="s">
        <v>252</v>
      </c>
      <c r="AK140">
        <v>2810234876</v>
      </c>
      <c r="AL140" t="s">
        <v>253</v>
      </c>
      <c r="AM140" t="s">
        <v>78</v>
      </c>
      <c r="AN140" t="s">
        <v>78</v>
      </c>
      <c r="AO140" t="s">
        <v>78</v>
      </c>
      <c r="AP140" t="s">
        <v>163</v>
      </c>
      <c r="AQ140">
        <v>5</v>
      </c>
      <c r="AR140" t="s">
        <v>123</v>
      </c>
      <c r="AS140" t="s">
        <v>124</v>
      </c>
      <c r="AT140" t="s">
        <v>58</v>
      </c>
      <c r="AU140" t="s">
        <v>68</v>
      </c>
      <c r="AV140" t="s">
        <v>69</v>
      </c>
      <c r="AW140" s="1">
        <v>24546</v>
      </c>
      <c r="AX140">
        <v>2</v>
      </c>
    </row>
    <row r="141" spans="1:50">
      <c r="A141">
        <v>179907</v>
      </c>
      <c r="B141" t="str">
        <f>"034462048"</f>
        <v>034462048</v>
      </c>
      <c r="C141" t="s">
        <v>105</v>
      </c>
      <c r="D141" t="s">
        <v>678</v>
      </c>
      <c r="E141" t="s">
        <v>53</v>
      </c>
      <c r="F141" t="s">
        <v>72</v>
      </c>
      <c r="G141" t="s">
        <v>112</v>
      </c>
      <c r="H141" t="str">
        <f>"ΙΣΟΤΗΤΑΣ 14 "</f>
        <v xml:space="preserve">ΙΣΟΤΗΤΑΣ 14 </v>
      </c>
      <c r="J141">
        <v>2810324352</v>
      </c>
      <c r="K141">
        <v>6945312962</v>
      </c>
      <c r="M141" t="s">
        <v>679</v>
      </c>
      <c r="N141" t="s">
        <v>292</v>
      </c>
      <c r="O141" t="s">
        <v>293</v>
      </c>
      <c r="R141" t="s">
        <v>57</v>
      </c>
      <c r="S141">
        <v>10</v>
      </c>
      <c r="T141">
        <v>164</v>
      </c>
      <c r="U141" s="1">
        <v>36040</v>
      </c>
      <c r="V141" t="s">
        <v>123</v>
      </c>
      <c r="W141" t="s">
        <v>124</v>
      </c>
      <c r="X141" t="s">
        <v>58</v>
      </c>
      <c r="Y141">
        <v>18</v>
      </c>
      <c r="Z141" t="s">
        <v>59</v>
      </c>
      <c r="AA141" t="s">
        <v>59</v>
      </c>
      <c r="AB141" t="s">
        <v>59</v>
      </c>
      <c r="AC141" t="s">
        <v>59</v>
      </c>
      <c r="AD141" t="s">
        <v>59</v>
      </c>
      <c r="AF141" s="1">
        <v>36045</v>
      </c>
      <c r="AG141" t="s">
        <v>148</v>
      </c>
      <c r="AH141" t="s">
        <v>149</v>
      </c>
      <c r="AI141" t="str">
        <f>"1790100"</f>
        <v>1790100</v>
      </c>
      <c r="AJ141" t="s">
        <v>252</v>
      </c>
      <c r="AK141">
        <v>2810234876</v>
      </c>
      <c r="AL141" t="s">
        <v>253</v>
      </c>
      <c r="AM141" t="s">
        <v>78</v>
      </c>
      <c r="AN141" t="s">
        <v>78</v>
      </c>
      <c r="AO141" t="s">
        <v>78</v>
      </c>
      <c r="AP141" t="s">
        <v>163</v>
      </c>
      <c r="AQ141">
        <v>5</v>
      </c>
      <c r="AR141" t="s">
        <v>123</v>
      </c>
      <c r="AS141" t="s">
        <v>124</v>
      </c>
      <c r="AT141" t="s">
        <v>58</v>
      </c>
      <c r="AU141" t="s">
        <v>68</v>
      </c>
      <c r="AV141" t="s">
        <v>69</v>
      </c>
      <c r="AW141" s="1">
        <v>21372</v>
      </c>
      <c r="AX141">
        <v>2</v>
      </c>
    </row>
    <row r="142" spans="1:50">
      <c r="A142">
        <v>210202</v>
      </c>
      <c r="B142" t="str">
        <f>"118904203"</f>
        <v>118904203</v>
      </c>
      <c r="C142" t="s">
        <v>50</v>
      </c>
      <c r="D142" t="s">
        <v>680</v>
      </c>
      <c r="E142" t="s">
        <v>681</v>
      </c>
      <c r="F142" t="s">
        <v>72</v>
      </c>
      <c r="G142" t="s">
        <v>367</v>
      </c>
      <c r="H142" t="str">
        <f>"ΑΚΡΟΠΟΛΕΩΣ 12 ΑΤΤΙΚΗΣ"</f>
        <v>ΑΚΡΟΠΟΛΕΩΣ 12 ΑΤΤΙΚΗΣ</v>
      </c>
      <c r="I142">
        <v>14121</v>
      </c>
      <c r="J142">
        <v>2102709087</v>
      </c>
      <c r="K142">
        <v>6939346185</v>
      </c>
      <c r="L142">
        <v>2102709118</v>
      </c>
      <c r="M142" t="s">
        <v>682</v>
      </c>
      <c r="N142" t="s">
        <v>683</v>
      </c>
      <c r="O142" t="s">
        <v>684</v>
      </c>
      <c r="R142" t="s">
        <v>57</v>
      </c>
      <c r="S142">
        <v>8</v>
      </c>
      <c r="T142">
        <v>235</v>
      </c>
      <c r="U142" s="1">
        <v>38611</v>
      </c>
      <c r="V142" t="s">
        <v>123</v>
      </c>
      <c r="W142" t="s">
        <v>124</v>
      </c>
      <c r="X142" t="s">
        <v>58</v>
      </c>
      <c r="Y142">
        <v>20</v>
      </c>
      <c r="Z142" t="s">
        <v>59</v>
      </c>
      <c r="AA142" t="s">
        <v>59</v>
      </c>
      <c r="AB142" t="s">
        <v>59</v>
      </c>
      <c r="AC142" t="s">
        <v>59</v>
      </c>
      <c r="AD142" t="s">
        <v>59</v>
      </c>
      <c r="AF142" s="1">
        <v>38616</v>
      </c>
      <c r="AG142" t="s">
        <v>125</v>
      </c>
      <c r="AH142" t="s">
        <v>126</v>
      </c>
      <c r="AI142" t="str">
        <f>"1713010"</f>
        <v>1713010</v>
      </c>
      <c r="AJ142" t="s">
        <v>369</v>
      </c>
      <c r="AK142">
        <v>2892051686</v>
      </c>
      <c r="AL142" t="s">
        <v>370</v>
      </c>
      <c r="AM142" t="s">
        <v>78</v>
      </c>
      <c r="AN142" t="s">
        <v>242</v>
      </c>
      <c r="AO142" t="s">
        <v>349</v>
      </c>
      <c r="AP142" t="s">
        <v>349</v>
      </c>
      <c r="AQ142">
        <v>35</v>
      </c>
      <c r="AR142" t="s">
        <v>123</v>
      </c>
      <c r="AS142" t="s">
        <v>124</v>
      </c>
      <c r="AT142" t="s">
        <v>58</v>
      </c>
      <c r="AU142" t="s">
        <v>68</v>
      </c>
      <c r="AV142" t="s">
        <v>69</v>
      </c>
      <c r="AW142" s="1">
        <v>27403</v>
      </c>
      <c r="AX142">
        <v>2</v>
      </c>
    </row>
    <row r="143" spans="1:50">
      <c r="A143">
        <v>179108</v>
      </c>
      <c r="B143" t="str">
        <f>"041704185"</f>
        <v>041704185</v>
      </c>
      <c r="C143" t="s">
        <v>50</v>
      </c>
      <c r="D143" t="s">
        <v>685</v>
      </c>
      <c r="E143" t="s">
        <v>686</v>
      </c>
      <c r="F143" t="s">
        <v>92</v>
      </c>
      <c r="G143" t="s">
        <v>687</v>
      </c>
      <c r="H143" t="str">
        <f>"ΠΑΠΑΓΙΑΝΝΗ ΣΚΟΥΛΑ 57 ΗΡΑΚΛΕΙΟ"</f>
        <v>ΠΑΠΑΓΙΑΝΝΗ ΣΚΟΥΛΑ 57 ΗΡΑΚΛΕΙΟ</v>
      </c>
      <c r="J143">
        <v>2810360542</v>
      </c>
      <c r="K143">
        <v>6932586481</v>
      </c>
      <c r="M143" t="s">
        <v>688</v>
      </c>
      <c r="N143" t="s">
        <v>146</v>
      </c>
      <c r="O143" t="s">
        <v>147</v>
      </c>
      <c r="R143" t="s">
        <v>57</v>
      </c>
      <c r="S143">
        <v>15</v>
      </c>
      <c r="T143">
        <v>164</v>
      </c>
      <c r="U143" s="1">
        <v>36040</v>
      </c>
      <c r="V143" t="s">
        <v>123</v>
      </c>
      <c r="W143" t="s">
        <v>124</v>
      </c>
      <c r="X143" t="s">
        <v>58</v>
      </c>
      <c r="Y143">
        <v>20</v>
      </c>
      <c r="Z143" t="s">
        <v>59</v>
      </c>
      <c r="AA143" t="s">
        <v>59</v>
      </c>
      <c r="AB143" t="s">
        <v>59</v>
      </c>
      <c r="AC143" t="s">
        <v>59</v>
      </c>
      <c r="AD143" t="s">
        <v>452</v>
      </c>
      <c r="AE143" s="1">
        <v>43708</v>
      </c>
      <c r="AF143" s="1">
        <v>36040</v>
      </c>
      <c r="AG143" t="s">
        <v>60</v>
      </c>
      <c r="AH143" t="s">
        <v>453</v>
      </c>
      <c r="AI143" t="str">
        <f>"1700105"</f>
        <v>1700105</v>
      </c>
      <c r="AJ143" t="s">
        <v>124</v>
      </c>
      <c r="AK143">
        <v>2810333720</v>
      </c>
      <c r="AL143" t="s">
        <v>454</v>
      </c>
      <c r="AM143" t="s">
        <v>78</v>
      </c>
      <c r="AN143" t="s">
        <v>78</v>
      </c>
      <c r="AO143" t="s">
        <v>78</v>
      </c>
      <c r="AP143" t="s">
        <v>79</v>
      </c>
      <c r="AS143" t="s">
        <v>124</v>
      </c>
      <c r="AT143" t="s">
        <v>58</v>
      </c>
      <c r="AU143" t="s">
        <v>68</v>
      </c>
      <c r="AV143" t="s">
        <v>455</v>
      </c>
      <c r="AW143" s="1">
        <v>23702</v>
      </c>
      <c r="AX143">
        <v>2</v>
      </c>
    </row>
    <row r="144" spans="1:50">
      <c r="A144">
        <v>606752</v>
      </c>
      <c r="B144" t="str">
        <f>"067634617"</f>
        <v>067634617</v>
      </c>
      <c r="C144" t="s">
        <v>50</v>
      </c>
      <c r="D144" t="s">
        <v>689</v>
      </c>
      <c r="E144" t="s">
        <v>52</v>
      </c>
      <c r="F144" t="s">
        <v>72</v>
      </c>
      <c r="G144" t="s">
        <v>96</v>
      </c>
      <c r="H144" t="str">
        <f>"ΦΙΛΕΛΛΗΝΩΝ 14 ΚΗΠΟΥΠΟΛΗ"</f>
        <v>ΦΙΛΕΛΛΗΝΩΝ 14 ΚΗΠΟΥΠΟΛΗ</v>
      </c>
      <c r="I144">
        <v>71307</v>
      </c>
      <c r="K144">
        <v>6972461323</v>
      </c>
      <c r="M144" t="s">
        <v>690</v>
      </c>
      <c r="N144" t="s">
        <v>100</v>
      </c>
      <c r="O144" t="s">
        <v>101</v>
      </c>
      <c r="R144" t="s">
        <v>57</v>
      </c>
      <c r="S144">
        <v>9</v>
      </c>
      <c r="T144">
        <v>120</v>
      </c>
      <c r="U144" s="1">
        <v>37770</v>
      </c>
      <c r="V144" t="s">
        <v>123</v>
      </c>
      <c r="W144" t="s">
        <v>124</v>
      </c>
      <c r="X144" t="s">
        <v>58</v>
      </c>
      <c r="Y144">
        <v>22</v>
      </c>
      <c r="Z144" t="s">
        <v>59</v>
      </c>
      <c r="AA144" t="s">
        <v>59</v>
      </c>
      <c r="AB144" t="s">
        <v>59</v>
      </c>
      <c r="AC144" t="s">
        <v>59</v>
      </c>
      <c r="AD144" t="s">
        <v>59</v>
      </c>
      <c r="AF144" s="1">
        <v>37782</v>
      </c>
      <c r="AG144" t="s">
        <v>345</v>
      </c>
      <c r="AH144" t="s">
        <v>346</v>
      </c>
      <c r="AI144" t="str">
        <f>"1741001"</f>
        <v>1741001</v>
      </c>
      <c r="AJ144" t="s">
        <v>655</v>
      </c>
      <c r="AK144">
        <v>2810360436</v>
      </c>
      <c r="AL144" t="s">
        <v>656</v>
      </c>
      <c r="AM144" t="s">
        <v>78</v>
      </c>
      <c r="AN144" t="s">
        <v>78</v>
      </c>
      <c r="AO144" t="s">
        <v>78</v>
      </c>
      <c r="AP144" t="s">
        <v>141</v>
      </c>
      <c r="AQ144">
        <v>11</v>
      </c>
      <c r="AR144" t="s">
        <v>123</v>
      </c>
      <c r="AS144" t="s">
        <v>124</v>
      </c>
      <c r="AT144" t="s">
        <v>58</v>
      </c>
      <c r="AU144" t="s">
        <v>68</v>
      </c>
      <c r="AV144" t="s">
        <v>69</v>
      </c>
      <c r="AW144" s="1">
        <v>28946</v>
      </c>
      <c r="AX144">
        <v>2</v>
      </c>
    </row>
    <row r="145" spans="1:50">
      <c r="A145">
        <v>172396</v>
      </c>
      <c r="B145" t="str">
        <f>"051451646"</f>
        <v>051451646</v>
      </c>
      <c r="C145" t="s">
        <v>50</v>
      </c>
      <c r="D145" t="s">
        <v>691</v>
      </c>
      <c r="E145" t="s">
        <v>250</v>
      </c>
      <c r="F145" t="s">
        <v>166</v>
      </c>
      <c r="G145" t="s">
        <v>52</v>
      </c>
      <c r="H145" t="str">
        <f>"ΠΙΕΡΙΑΣ 8 ΠΟΡΟΣ"</f>
        <v>ΠΙΕΡΙΑΣ 8 ΠΟΡΟΣ</v>
      </c>
      <c r="I145">
        <v>71307</v>
      </c>
      <c r="J145">
        <v>2810346667</v>
      </c>
      <c r="K145">
        <v>6944148819</v>
      </c>
      <c r="M145" t="s">
        <v>692</v>
      </c>
      <c r="N145" t="s">
        <v>587</v>
      </c>
      <c r="O145" t="s">
        <v>588</v>
      </c>
      <c r="R145" t="s">
        <v>57</v>
      </c>
      <c r="S145">
        <v>12</v>
      </c>
      <c r="T145">
        <v>184</v>
      </c>
      <c r="U145" s="1">
        <v>34941</v>
      </c>
      <c r="V145" t="s">
        <v>123</v>
      </c>
      <c r="W145" t="s">
        <v>124</v>
      </c>
      <c r="X145" t="s">
        <v>58</v>
      </c>
      <c r="Y145">
        <v>18</v>
      </c>
      <c r="Z145" t="s">
        <v>59</v>
      </c>
      <c r="AA145" t="s">
        <v>59</v>
      </c>
      <c r="AB145" t="s">
        <v>59</v>
      </c>
      <c r="AC145" t="s">
        <v>59</v>
      </c>
      <c r="AD145" t="s">
        <v>59</v>
      </c>
      <c r="AF145" s="1">
        <v>34943</v>
      </c>
      <c r="AG145" t="s">
        <v>125</v>
      </c>
      <c r="AH145" t="s">
        <v>126</v>
      </c>
      <c r="AI145" t="str">
        <f>"1728010"</f>
        <v>1728010</v>
      </c>
      <c r="AJ145" t="s">
        <v>127</v>
      </c>
      <c r="AK145">
        <v>2810824651</v>
      </c>
      <c r="AL145" t="s">
        <v>128</v>
      </c>
      <c r="AM145" t="s">
        <v>78</v>
      </c>
      <c r="AN145" t="s">
        <v>129</v>
      </c>
      <c r="AO145" t="s">
        <v>130</v>
      </c>
      <c r="AP145" t="s">
        <v>130</v>
      </c>
      <c r="AQ145">
        <v>36</v>
      </c>
      <c r="AR145" t="s">
        <v>123</v>
      </c>
      <c r="AS145" t="s">
        <v>124</v>
      </c>
      <c r="AT145" t="s">
        <v>58</v>
      </c>
      <c r="AU145" t="s">
        <v>68</v>
      </c>
      <c r="AV145" t="s">
        <v>69</v>
      </c>
      <c r="AW145" s="1">
        <v>24717</v>
      </c>
      <c r="AX145">
        <v>2</v>
      </c>
    </row>
    <row r="146" spans="1:50">
      <c r="B146" t="str">
        <f>"141375757"</f>
        <v>141375757</v>
      </c>
      <c r="C146" t="s">
        <v>50</v>
      </c>
      <c r="D146" t="s">
        <v>691</v>
      </c>
      <c r="E146" t="s">
        <v>83</v>
      </c>
      <c r="F146" t="s">
        <v>693</v>
      </c>
      <c r="G146" t="s">
        <v>52</v>
      </c>
      <c r="H146" t="str">
        <f>"ΛΕΡΑΤΟΥ 20 ΗΡΑΚΛΕΙΟ"</f>
        <v>ΛΕΡΑΤΟΥ 20 ΗΡΑΚΛΕΙΟ</v>
      </c>
      <c r="I146">
        <v>71201</v>
      </c>
      <c r="J146">
        <v>2810285321</v>
      </c>
      <c r="K146">
        <v>6973028247</v>
      </c>
      <c r="M146" t="s">
        <v>694</v>
      </c>
      <c r="N146" t="s">
        <v>292</v>
      </c>
      <c r="O146" t="s">
        <v>293</v>
      </c>
      <c r="R146" t="s">
        <v>159</v>
      </c>
      <c r="S146">
        <v>4</v>
      </c>
      <c r="T146" t="s">
        <v>416</v>
      </c>
      <c r="U146" s="1">
        <v>43349</v>
      </c>
      <c r="V146" t="s">
        <v>123</v>
      </c>
      <c r="W146" t="s">
        <v>124</v>
      </c>
      <c r="X146" t="s">
        <v>58</v>
      </c>
      <c r="Y146">
        <v>21</v>
      </c>
      <c r="Z146" t="s">
        <v>59</v>
      </c>
      <c r="AA146" t="s">
        <v>59</v>
      </c>
      <c r="AB146" t="s">
        <v>59</v>
      </c>
      <c r="AC146" t="s">
        <v>59</v>
      </c>
      <c r="AD146" t="s">
        <v>59</v>
      </c>
      <c r="AF146" s="1">
        <v>43349</v>
      </c>
      <c r="AG146" t="s">
        <v>125</v>
      </c>
      <c r="AH146" t="s">
        <v>126</v>
      </c>
      <c r="AI146" t="str">
        <f>"1711010"</f>
        <v>1711010</v>
      </c>
      <c r="AJ146" t="s">
        <v>695</v>
      </c>
      <c r="AK146">
        <v>2810741301</v>
      </c>
      <c r="AL146" t="s">
        <v>696</v>
      </c>
      <c r="AM146" t="s">
        <v>78</v>
      </c>
      <c r="AN146" t="s">
        <v>424</v>
      </c>
      <c r="AO146" t="s">
        <v>428</v>
      </c>
      <c r="AP146" t="s">
        <v>429</v>
      </c>
      <c r="AQ146">
        <v>14</v>
      </c>
      <c r="AR146" t="s">
        <v>123</v>
      </c>
      <c r="AS146" t="s">
        <v>124</v>
      </c>
      <c r="AT146" t="s">
        <v>58</v>
      </c>
      <c r="AU146" t="s">
        <v>419</v>
      </c>
      <c r="AV146" t="s">
        <v>132</v>
      </c>
      <c r="AW146" s="1">
        <v>29049</v>
      </c>
      <c r="AX146">
        <v>2</v>
      </c>
    </row>
    <row r="147" spans="1:50">
      <c r="A147">
        <v>173792</v>
      </c>
      <c r="B147" t="str">
        <f>"029595778"</f>
        <v>029595778</v>
      </c>
      <c r="C147" t="s">
        <v>105</v>
      </c>
      <c r="D147" t="s">
        <v>697</v>
      </c>
      <c r="E147" t="s">
        <v>72</v>
      </c>
      <c r="F147" t="s">
        <v>698</v>
      </c>
      <c r="G147" t="s">
        <v>699</v>
      </c>
      <c r="H147" t="str">
        <f>" "</f>
        <v xml:space="preserve"> </v>
      </c>
      <c r="N147" t="s">
        <v>232</v>
      </c>
      <c r="O147" t="s">
        <v>233</v>
      </c>
      <c r="R147" t="s">
        <v>57</v>
      </c>
      <c r="S147">
        <v>14</v>
      </c>
      <c r="T147">
        <v>166</v>
      </c>
      <c r="U147" s="1">
        <v>35300</v>
      </c>
      <c r="V147" t="s">
        <v>123</v>
      </c>
      <c r="W147" t="s">
        <v>124</v>
      </c>
      <c r="X147" t="s">
        <v>58</v>
      </c>
      <c r="Y147">
        <v>18</v>
      </c>
      <c r="Z147" t="s">
        <v>59</v>
      </c>
      <c r="AA147" t="s">
        <v>59</v>
      </c>
      <c r="AB147" t="s">
        <v>59</v>
      </c>
      <c r="AC147" t="s">
        <v>59</v>
      </c>
      <c r="AD147" t="s">
        <v>59</v>
      </c>
      <c r="AF147" s="1">
        <v>35300</v>
      </c>
      <c r="AG147" t="s">
        <v>148</v>
      </c>
      <c r="AH147" t="s">
        <v>149</v>
      </c>
      <c r="AI147" t="str">
        <f>"1751020"</f>
        <v>1751020</v>
      </c>
      <c r="AJ147" t="s">
        <v>532</v>
      </c>
      <c r="AK147">
        <v>2810372732</v>
      </c>
      <c r="AL147" t="s">
        <v>533</v>
      </c>
      <c r="AM147" t="s">
        <v>78</v>
      </c>
      <c r="AN147" t="s">
        <v>78</v>
      </c>
      <c r="AO147" t="s">
        <v>78</v>
      </c>
      <c r="AP147" t="s">
        <v>163</v>
      </c>
      <c r="AQ147">
        <v>3</v>
      </c>
      <c r="AR147" t="s">
        <v>123</v>
      </c>
      <c r="AS147" t="s">
        <v>124</v>
      </c>
      <c r="AT147" t="s">
        <v>58</v>
      </c>
      <c r="AU147" t="s">
        <v>68</v>
      </c>
      <c r="AV147" t="s">
        <v>69</v>
      </c>
      <c r="AW147" s="1">
        <v>21991</v>
      </c>
      <c r="AX147">
        <v>2</v>
      </c>
    </row>
    <row r="148" spans="1:50">
      <c r="B148" t="str">
        <f>"118919751"</f>
        <v>118919751</v>
      </c>
      <c r="C148" t="s">
        <v>50</v>
      </c>
      <c r="D148" t="s">
        <v>700</v>
      </c>
      <c r="E148" t="s">
        <v>215</v>
      </c>
      <c r="F148" t="s">
        <v>95</v>
      </c>
      <c r="G148" t="s">
        <v>191</v>
      </c>
      <c r="H148" t="str">
        <f>"ΩΚΕΑΝΙΔΩΝ 6 ΑΜΟΥΔΑΡΑ ΓΑΖΙΟΥ"</f>
        <v>ΩΚΕΑΝΙΔΩΝ 6 ΑΜΟΥΔΑΡΑ ΓΑΖΙΟΥ</v>
      </c>
      <c r="I148">
        <v>71414</v>
      </c>
      <c r="J148">
        <v>2810251783</v>
      </c>
      <c r="K148">
        <v>6945568271</v>
      </c>
      <c r="N148" t="s">
        <v>146</v>
      </c>
      <c r="O148" t="s">
        <v>147</v>
      </c>
      <c r="R148" t="s">
        <v>159</v>
      </c>
      <c r="S148">
        <v>4</v>
      </c>
      <c r="T148" t="s">
        <v>160</v>
      </c>
      <c r="U148" s="1">
        <v>43364</v>
      </c>
      <c r="V148" t="s">
        <v>123</v>
      </c>
      <c r="W148" t="s">
        <v>124</v>
      </c>
      <c r="X148" t="s">
        <v>58</v>
      </c>
      <c r="Y148">
        <v>21</v>
      </c>
      <c r="Z148" t="s">
        <v>59</v>
      </c>
      <c r="AA148" t="s">
        <v>59</v>
      </c>
      <c r="AB148" t="s">
        <v>59</v>
      </c>
      <c r="AC148" t="s">
        <v>59</v>
      </c>
      <c r="AD148" t="s">
        <v>59</v>
      </c>
      <c r="AF148" s="1">
        <v>43367</v>
      </c>
      <c r="AG148" t="s">
        <v>148</v>
      </c>
      <c r="AH148" t="s">
        <v>149</v>
      </c>
      <c r="AI148" t="str">
        <f>"1760010"</f>
        <v>1760010</v>
      </c>
      <c r="AJ148" t="s">
        <v>701</v>
      </c>
      <c r="AK148">
        <v>2810711442</v>
      </c>
      <c r="AL148" t="s">
        <v>702</v>
      </c>
      <c r="AM148" t="s">
        <v>78</v>
      </c>
      <c r="AN148" t="s">
        <v>129</v>
      </c>
      <c r="AO148" t="s">
        <v>597</v>
      </c>
      <c r="AP148" t="s">
        <v>598</v>
      </c>
      <c r="AQ148">
        <v>28</v>
      </c>
      <c r="AR148" t="s">
        <v>123</v>
      </c>
      <c r="AS148" t="s">
        <v>124</v>
      </c>
      <c r="AT148" t="s">
        <v>58</v>
      </c>
      <c r="AU148" t="s">
        <v>164</v>
      </c>
      <c r="AV148" t="s">
        <v>132</v>
      </c>
      <c r="AW148" s="1">
        <v>26083</v>
      </c>
      <c r="AX148">
        <v>2</v>
      </c>
    </row>
    <row r="149" spans="1:50">
      <c r="A149">
        <v>220249</v>
      </c>
      <c r="B149" t="str">
        <f>"047830348"</f>
        <v>047830348</v>
      </c>
      <c r="C149" t="s">
        <v>50</v>
      </c>
      <c r="D149" t="s">
        <v>703</v>
      </c>
      <c r="E149" t="s">
        <v>263</v>
      </c>
      <c r="F149" t="s">
        <v>581</v>
      </c>
      <c r="G149" t="s">
        <v>250</v>
      </c>
      <c r="H149" t="str">
        <f>"ΕΛΑΣΣΟΝΑΣ  32 ΜΕΣΑΜΠΕΛΙΕΣ"</f>
        <v>ΕΛΑΣΣΟΝΑΣ  32 ΜΕΣΑΜΠΕΛΙΕΣ</v>
      </c>
      <c r="J149">
        <v>2810311442</v>
      </c>
      <c r="K149">
        <v>6974849260</v>
      </c>
      <c r="M149" t="s">
        <v>704</v>
      </c>
      <c r="N149" t="s">
        <v>146</v>
      </c>
      <c r="O149" t="s">
        <v>147</v>
      </c>
      <c r="R149" t="s">
        <v>57</v>
      </c>
      <c r="S149">
        <v>5</v>
      </c>
      <c r="T149">
        <v>681</v>
      </c>
      <c r="U149" s="1">
        <v>39325</v>
      </c>
      <c r="V149" t="s">
        <v>123</v>
      </c>
      <c r="W149" t="s">
        <v>124</v>
      </c>
      <c r="X149" t="s">
        <v>58</v>
      </c>
      <c r="Y149">
        <v>21</v>
      </c>
      <c r="Z149" t="s">
        <v>59</v>
      </c>
      <c r="AA149" t="s">
        <v>59</v>
      </c>
      <c r="AB149" t="s">
        <v>59</v>
      </c>
      <c r="AC149" t="s">
        <v>59</v>
      </c>
      <c r="AD149" t="s">
        <v>59</v>
      </c>
      <c r="AF149" s="1">
        <v>39329</v>
      </c>
      <c r="AG149" t="s">
        <v>125</v>
      </c>
      <c r="AH149" t="s">
        <v>126</v>
      </c>
      <c r="AI149" t="str">
        <f>"1726010"</f>
        <v>1726010</v>
      </c>
      <c r="AJ149" t="s">
        <v>265</v>
      </c>
      <c r="AK149">
        <v>2810831228</v>
      </c>
      <c r="AL149" t="s">
        <v>266</v>
      </c>
      <c r="AM149" t="s">
        <v>78</v>
      </c>
      <c r="AN149" t="s">
        <v>129</v>
      </c>
      <c r="AO149" t="s">
        <v>267</v>
      </c>
      <c r="AP149" t="s">
        <v>267</v>
      </c>
      <c r="AQ149">
        <v>27</v>
      </c>
      <c r="AR149" t="s">
        <v>123</v>
      </c>
      <c r="AS149" t="s">
        <v>124</v>
      </c>
      <c r="AT149" t="s">
        <v>58</v>
      </c>
      <c r="AU149" t="s">
        <v>68</v>
      </c>
      <c r="AV149" t="s">
        <v>69</v>
      </c>
      <c r="AW149" s="1">
        <v>27745</v>
      </c>
      <c r="AX149">
        <v>2</v>
      </c>
    </row>
    <row r="150" spans="1:50">
      <c r="A150">
        <v>201002</v>
      </c>
      <c r="B150" t="str">
        <f>"104905380"</f>
        <v>104905380</v>
      </c>
      <c r="C150" t="s">
        <v>50</v>
      </c>
      <c r="D150" t="s">
        <v>703</v>
      </c>
      <c r="E150" t="s">
        <v>250</v>
      </c>
      <c r="F150" t="s">
        <v>459</v>
      </c>
      <c r="G150" t="s">
        <v>705</v>
      </c>
      <c r="H150" t="str">
        <f>"4ο ΧΙΛ. ΜΟΙΡΩΝ-ΤΥΜΠΑΚΙΟΥ ΜΕΣΑΡΑ"</f>
        <v>4ο ΧΙΛ. ΜΟΙΡΩΝ-ΤΥΜΠΑΚΙΟΥ ΜΕΣΑΡΑ</v>
      </c>
      <c r="I150">
        <v>70400</v>
      </c>
      <c r="J150">
        <v>2892023736</v>
      </c>
      <c r="K150">
        <v>6947208695</v>
      </c>
      <c r="M150" t="s">
        <v>706</v>
      </c>
      <c r="N150" t="s">
        <v>157</v>
      </c>
      <c r="O150" t="s">
        <v>158</v>
      </c>
      <c r="R150" t="s">
        <v>57</v>
      </c>
      <c r="S150">
        <v>6</v>
      </c>
      <c r="T150">
        <v>231</v>
      </c>
      <c r="U150" s="1">
        <v>38230</v>
      </c>
      <c r="V150" t="s">
        <v>123</v>
      </c>
      <c r="W150" t="s">
        <v>124</v>
      </c>
      <c r="X150" t="s">
        <v>58</v>
      </c>
      <c r="Y150">
        <v>20</v>
      </c>
      <c r="Z150" t="s">
        <v>59</v>
      </c>
      <c r="AA150" t="s">
        <v>59</v>
      </c>
      <c r="AB150" t="s">
        <v>59</v>
      </c>
      <c r="AC150" t="s">
        <v>59</v>
      </c>
      <c r="AD150" t="s">
        <v>59</v>
      </c>
      <c r="AF150" s="1">
        <v>38236</v>
      </c>
      <c r="AG150" t="s">
        <v>125</v>
      </c>
      <c r="AH150" t="s">
        <v>126</v>
      </c>
      <c r="AI150" t="str">
        <f>"1706010"</f>
        <v>1706010</v>
      </c>
      <c r="AJ150" t="s">
        <v>391</v>
      </c>
      <c r="AK150">
        <v>2892022286</v>
      </c>
      <c r="AL150" t="s">
        <v>392</v>
      </c>
      <c r="AM150" t="s">
        <v>78</v>
      </c>
      <c r="AN150" t="s">
        <v>242</v>
      </c>
      <c r="AO150" t="s">
        <v>243</v>
      </c>
      <c r="AP150" t="s">
        <v>243</v>
      </c>
      <c r="AQ150">
        <v>33</v>
      </c>
      <c r="AR150" t="s">
        <v>123</v>
      </c>
      <c r="AS150" t="s">
        <v>124</v>
      </c>
      <c r="AT150" t="s">
        <v>58</v>
      </c>
      <c r="AU150" t="s">
        <v>68</v>
      </c>
      <c r="AV150" t="s">
        <v>69</v>
      </c>
      <c r="AW150" s="1">
        <v>25025</v>
      </c>
      <c r="AX150">
        <v>2</v>
      </c>
    </row>
    <row r="151" spans="1:50">
      <c r="A151">
        <v>701520</v>
      </c>
      <c r="B151" t="str">
        <f>"114269691"</f>
        <v>114269691</v>
      </c>
      <c r="C151" t="s">
        <v>50</v>
      </c>
      <c r="D151" t="s">
        <v>703</v>
      </c>
      <c r="E151" t="s">
        <v>707</v>
      </c>
      <c r="F151" t="s">
        <v>581</v>
      </c>
      <c r="G151" t="s">
        <v>250</v>
      </c>
      <c r="H151" t="str">
        <f>"ΔΗΜΑΚΟΠΟΥΛΟΥ 4 ΗΡΑΚΛΕΙΟ"</f>
        <v>ΔΗΜΑΚΟΠΟΥΛΟΥ 4 ΗΡΑΚΛΕΙΟ</v>
      </c>
      <c r="I151">
        <v>71304</v>
      </c>
      <c r="J151">
        <v>2810316555</v>
      </c>
      <c r="K151">
        <v>6948898542</v>
      </c>
      <c r="M151" t="s">
        <v>708</v>
      </c>
      <c r="N151" t="s">
        <v>146</v>
      </c>
      <c r="O151" t="s">
        <v>147</v>
      </c>
      <c r="R151" t="s">
        <v>57</v>
      </c>
      <c r="S151">
        <v>5</v>
      </c>
      <c r="T151">
        <v>772</v>
      </c>
      <c r="U151" s="1">
        <v>40413</v>
      </c>
      <c r="V151" t="s">
        <v>123</v>
      </c>
      <c r="W151" t="s">
        <v>124</v>
      </c>
      <c r="X151" t="s">
        <v>58</v>
      </c>
      <c r="Y151">
        <v>21</v>
      </c>
      <c r="Z151" t="s">
        <v>59</v>
      </c>
      <c r="AA151" t="s">
        <v>59</v>
      </c>
      <c r="AB151" t="s">
        <v>59</v>
      </c>
      <c r="AC151" t="s">
        <v>59</v>
      </c>
      <c r="AD151" t="s">
        <v>59</v>
      </c>
      <c r="AF151" s="1">
        <v>40413</v>
      </c>
      <c r="AG151" t="s">
        <v>125</v>
      </c>
      <c r="AH151" t="s">
        <v>126</v>
      </c>
      <c r="AI151" t="str">
        <f>"1710010"</f>
        <v>1710010</v>
      </c>
      <c r="AJ151" t="s">
        <v>595</v>
      </c>
      <c r="AK151">
        <v>2810711220</v>
      </c>
      <c r="AL151" t="s">
        <v>596</v>
      </c>
      <c r="AM151" t="s">
        <v>78</v>
      </c>
      <c r="AN151" t="s">
        <v>129</v>
      </c>
      <c r="AO151" t="s">
        <v>597</v>
      </c>
      <c r="AP151" t="s">
        <v>598</v>
      </c>
      <c r="AQ151">
        <v>28</v>
      </c>
      <c r="AR151" t="s">
        <v>123</v>
      </c>
      <c r="AS151" t="s">
        <v>124</v>
      </c>
      <c r="AT151" t="s">
        <v>58</v>
      </c>
      <c r="AU151" t="s">
        <v>68</v>
      </c>
      <c r="AV151" t="s">
        <v>69</v>
      </c>
      <c r="AW151" s="1">
        <v>27177</v>
      </c>
      <c r="AX151">
        <v>2</v>
      </c>
    </row>
    <row r="152" spans="1:50">
      <c r="A152">
        <v>204240</v>
      </c>
      <c r="B152" t="str">
        <f>"029241430"</f>
        <v>029241430</v>
      </c>
      <c r="C152" t="s">
        <v>50</v>
      </c>
      <c r="D152" t="s">
        <v>709</v>
      </c>
      <c r="E152" t="s">
        <v>710</v>
      </c>
      <c r="F152" t="s">
        <v>450</v>
      </c>
      <c r="G152" t="s">
        <v>711</v>
      </c>
      <c r="H152" t="str">
        <f>"ΔΟΥΚΟΣ ΜΠΟΦΩΡ 14 ΛΙΜΑΝΙ"</f>
        <v>ΔΟΥΚΟΣ ΜΠΟΦΩΡ 14 ΛΙΜΑΝΙ</v>
      </c>
      <c r="I152">
        <v>71202</v>
      </c>
      <c r="J152">
        <v>2810241624</v>
      </c>
      <c r="K152">
        <v>6985799440</v>
      </c>
      <c r="N152" t="s">
        <v>189</v>
      </c>
      <c r="O152" t="s">
        <v>190</v>
      </c>
      <c r="R152" t="s">
        <v>57</v>
      </c>
      <c r="S152">
        <v>8</v>
      </c>
      <c r="T152">
        <v>231</v>
      </c>
      <c r="U152" s="1">
        <v>38230</v>
      </c>
      <c r="V152" t="s">
        <v>123</v>
      </c>
      <c r="W152" t="s">
        <v>124</v>
      </c>
      <c r="X152" t="s">
        <v>58</v>
      </c>
      <c r="Y152">
        <v>20</v>
      </c>
      <c r="Z152" t="s">
        <v>59</v>
      </c>
      <c r="AA152" t="s">
        <v>59</v>
      </c>
      <c r="AB152" t="s">
        <v>59</v>
      </c>
      <c r="AC152" t="s">
        <v>59</v>
      </c>
      <c r="AD152" t="s">
        <v>59</v>
      </c>
      <c r="AF152" s="1">
        <v>38230</v>
      </c>
      <c r="AG152" t="s">
        <v>137</v>
      </c>
      <c r="AH152" t="s">
        <v>138</v>
      </c>
      <c r="AI152" t="str">
        <f>"1740210"</f>
        <v>1740210</v>
      </c>
      <c r="AJ152" t="s">
        <v>139</v>
      </c>
      <c r="AK152">
        <v>2810318130</v>
      </c>
      <c r="AL152" t="s">
        <v>140</v>
      </c>
      <c r="AM152" t="s">
        <v>78</v>
      </c>
      <c r="AN152" t="s">
        <v>78</v>
      </c>
      <c r="AO152" t="s">
        <v>78</v>
      </c>
      <c r="AP152" t="s">
        <v>141</v>
      </c>
      <c r="AQ152">
        <v>7</v>
      </c>
      <c r="AR152" t="s">
        <v>123</v>
      </c>
      <c r="AS152" t="s">
        <v>124</v>
      </c>
      <c r="AT152" t="s">
        <v>58</v>
      </c>
      <c r="AU152" t="s">
        <v>68</v>
      </c>
      <c r="AV152" t="s">
        <v>69</v>
      </c>
      <c r="AW152" s="1">
        <v>21170</v>
      </c>
      <c r="AX152">
        <v>2</v>
      </c>
    </row>
    <row r="153" spans="1:50">
      <c r="B153" t="str">
        <f>"057277558"</f>
        <v>057277558</v>
      </c>
      <c r="C153" t="s">
        <v>105</v>
      </c>
      <c r="D153" t="s">
        <v>712</v>
      </c>
      <c r="E153" t="s">
        <v>166</v>
      </c>
      <c r="F153" t="s">
        <v>95</v>
      </c>
      <c r="G153" t="s">
        <v>73</v>
      </c>
      <c r="H153" t="str">
        <f>"ΑΤΡΕΙΔΩΝ 34 "</f>
        <v xml:space="preserve">ΑΤΡΕΙΔΩΝ 34 </v>
      </c>
      <c r="I153">
        <v>11631</v>
      </c>
      <c r="J153">
        <v>2107520170</v>
      </c>
      <c r="K153">
        <v>6970322213</v>
      </c>
      <c r="N153" t="s">
        <v>683</v>
      </c>
      <c r="O153" t="s">
        <v>684</v>
      </c>
      <c r="R153" t="s">
        <v>159</v>
      </c>
      <c r="S153">
        <v>2</v>
      </c>
      <c r="T153" t="s">
        <v>344</v>
      </c>
      <c r="U153" s="1">
        <v>43348</v>
      </c>
      <c r="V153" t="s">
        <v>123</v>
      </c>
      <c r="W153" t="s">
        <v>124</v>
      </c>
      <c r="X153" t="s">
        <v>58</v>
      </c>
      <c r="Y153">
        <v>23</v>
      </c>
      <c r="Z153" t="s">
        <v>59</v>
      </c>
      <c r="AA153" t="s">
        <v>59</v>
      </c>
      <c r="AB153" t="s">
        <v>59</v>
      </c>
      <c r="AC153" t="s">
        <v>59</v>
      </c>
      <c r="AD153" t="s">
        <v>59</v>
      </c>
      <c r="AF153" s="1">
        <v>43348</v>
      </c>
      <c r="AG153" t="s">
        <v>125</v>
      </c>
      <c r="AH153" t="s">
        <v>590</v>
      </c>
      <c r="AI153" t="str">
        <f>"1740060"</f>
        <v>1740060</v>
      </c>
      <c r="AJ153" t="s">
        <v>591</v>
      </c>
      <c r="AK153">
        <v>2810232117</v>
      </c>
      <c r="AL153" t="s">
        <v>592</v>
      </c>
      <c r="AM153" t="s">
        <v>78</v>
      </c>
      <c r="AN153" t="s">
        <v>78</v>
      </c>
      <c r="AO153" t="s">
        <v>78</v>
      </c>
      <c r="AP153" t="s">
        <v>141</v>
      </c>
      <c r="AQ153">
        <v>11</v>
      </c>
      <c r="AR153" t="s">
        <v>123</v>
      </c>
      <c r="AS153" t="s">
        <v>124</v>
      </c>
      <c r="AT153" t="s">
        <v>58</v>
      </c>
      <c r="AU153" t="s">
        <v>350</v>
      </c>
      <c r="AV153" t="s">
        <v>132</v>
      </c>
      <c r="AW153" s="1">
        <v>27091</v>
      </c>
      <c r="AX153">
        <v>2</v>
      </c>
    </row>
    <row r="154" spans="1:50">
      <c r="A154">
        <v>223290</v>
      </c>
      <c r="B154" t="str">
        <f>"126244153"</f>
        <v>126244153</v>
      </c>
      <c r="C154" t="s">
        <v>50</v>
      </c>
      <c r="D154" t="s">
        <v>713</v>
      </c>
      <c r="E154" t="s">
        <v>714</v>
      </c>
      <c r="F154" t="s">
        <v>84</v>
      </c>
      <c r="G154" t="s">
        <v>715</v>
      </c>
      <c r="H154" t="str">
        <f>"Καμπιτάκη 25 Ηράκλειο"</f>
        <v>Καμπιτάκη 25 Ηράκλειο</v>
      </c>
      <c r="J154">
        <v>2810280166</v>
      </c>
      <c r="K154">
        <v>6937254627</v>
      </c>
      <c r="M154" t="s">
        <v>716</v>
      </c>
      <c r="N154" t="s">
        <v>232</v>
      </c>
      <c r="O154" t="s">
        <v>233</v>
      </c>
      <c r="R154" t="s">
        <v>57</v>
      </c>
      <c r="S154">
        <v>7</v>
      </c>
      <c r="T154">
        <v>775</v>
      </c>
      <c r="U154" s="1">
        <v>39680</v>
      </c>
      <c r="V154" t="s">
        <v>123</v>
      </c>
      <c r="W154" t="s">
        <v>124</v>
      </c>
      <c r="X154" t="s">
        <v>58</v>
      </c>
      <c r="Y154">
        <v>21</v>
      </c>
      <c r="Z154" t="s">
        <v>59</v>
      </c>
      <c r="AA154" t="s">
        <v>59</v>
      </c>
      <c r="AB154" t="s">
        <v>59</v>
      </c>
      <c r="AC154" t="s">
        <v>59</v>
      </c>
      <c r="AD154" t="s">
        <v>59</v>
      </c>
      <c r="AF154" s="1">
        <v>39681</v>
      </c>
      <c r="AG154" t="s">
        <v>125</v>
      </c>
      <c r="AH154" t="s">
        <v>538</v>
      </c>
      <c r="AI154" t="str">
        <f>"1701002"</f>
        <v>1701002</v>
      </c>
      <c r="AJ154" t="s">
        <v>539</v>
      </c>
      <c r="AK154">
        <v>2810213569</v>
      </c>
      <c r="AL154" t="s">
        <v>540</v>
      </c>
      <c r="AM154" t="s">
        <v>78</v>
      </c>
      <c r="AN154" t="s">
        <v>78</v>
      </c>
      <c r="AO154" t="s">
        <v>78</v>
      </c>
      <c r="AP154" t="s">
        <v>163</v>
      </c>
      <c r="AQ154">
        <v>11</v>
      </c>
      <c r="AR154" t="s">
        <v>123</v>
      </c>
      <c r="AS154" t="s">
        <v>124</v>
      </c>
      <c r="AT154" t="s">
        <v>58</v>
      </c>
      <c r="AU154" t="s">
        <v>68</v>
      </c>
      <c r="AV154" t="s">
        <v>69</v>
      </c>
      <c r="AW154" s="1">
        <v>29099</v>
      </c>
      <c r="AX154">
        <v>2</v>
      </c>
    </row>
    <row r="155" spans="1:50">
      <c r="A155">
        <v>202156</v>
      </c>
      <c r="B155" t="str">
        <f>"132962470"</f>
        <v>132962470</v>
      </c>
      <c r="C155" t="s">
        <v>105</v>
      </c>
      <c r="D155" t="s">
        <v>717</v>
      </c>
      <c r="E155" t="s">
        <v>166</v>
      </c>
      <c r="F155" t="s">
        <v>718</v>
      </c>
      <c r="G155" t="s">
        <v>215</v>
      </c>
      <c r="H155" t="str">
        <f>"ΕΥΜΑΘΙΟΥ 21 ΗΡΑΚΛΕΙΟ"</f>
        <v>ΕΥΜΑΘΙΟΥ 21 ΗΡΑΚΛΕΙΟ</v>
      </c>
      <c r="I155">
        <v>71409</v>
      </c>
      <c r="J155">
        <v>2810210438</v>
      </c>
      <c r="K155">
        <v>6972246232</v>
      </c>
      <c r="L155">
        <v>6946272483</v>
      </c>
      <c r="M155" t="s">
        <v>719</v>
      </c>
      <c r="N155" t="s">
        <v>292</v>
      </c>
      <c r="O155" t="s">
        <v>293</v>
      </c>
      <c r="R155" t="s">
        <v>57</v>
      </c>
      <c r="S155">
        <v>6</v>
      </c>
      <c r="T155">
        <v>231</v>
      </c>
      <c r="U155" s="1">
        <v>38230</v>
      </c>
      <c r="V155" t="s">
        <v>123</v>
      </c>
      <c r="W155" t="s">
        <v>124</v>
      </c>
      <c r="X155" t="s">
        <v>58</v>
      </c>
      <c r="Y155">
        <v>20</v>
      </c>
      <c r="Z155" t="s">
        <v>59</v>
      </c>
      <c r="AA155" t="s">
        <v>59</v>
      </c>
      <c r="AB155" t="s">
        <v>59</v>
      </c>
      <c r="AC155" t="s">
        <v>59</v>
      </c>
      <c r="AD155" t="s">
        <v>59</v>
      </c>
      <c r="AF155" s="1">
        <v>38233</v>
      </c>
      <c r="AG155" t="s">
        <v>125</v>
      </c>
      <c r="AH155" t="s">
        <v>359</v>
      </c>
      <c r="AI155" t="str">
        <f>"1701060"</f>
        <v>1701060</v>
      </c>
      <c r="AJ155" t="s">
        <v>360</v>
      </c>
      <c r="AK155">
        <v>2810223424</v>
      </c>
      <c r="AL155" t="s">
        <v>361</v>
      </c>
      <c r="AM155" t="s">
        <v>78</v>
      </c>
      <c r="AN155" t="s">
        <v>78</v>
      </c>
      <c r="AO155" t="s">
        <v>78</v>
      </c>
      <c r="AP155" t="s">
        <v>79</v>
      </c>
      <c r="AQ155">
        <v>1</v>
      </c>
      <c r="AR155" t="s">
        <v>123</v>
      </c>
      <c r="AS155" t="s">
        <v>124</v>
      </c>
      <c r="AT155" t="s">
        <v>58</v>
      </c>
      <c r="AU155" t="s">
        <v>68</v>
      </c>
      <c r="AV155" t="s">
        <v>69</v>
      </c>
      <c r="AW155" s="1">
        <v>27879</v>
      </c>
      <c r="AX155">
        <v>2</v>
      </c>
    </row>
    <row r="156" spans="1:50">
      <c r="A156">
        <v>218985</v>
      </c>
      <c r="B156" t="str">
        <f>"061687808"</f>
        <v>061687808</v>
      </c>
      <c r="C156" t="s">
        <v>50</v>
      </c>
      <c r="D156" t="s">
        <v>720</v>
      </c>
      <c r="E156" t="s">
        <v>52</v>
      </c>
      <c r="F156" t="s">
        <v>72</v>
      </c>
      <c r="G156" t="s">
        <v>155</v>
      </c>
      <c r="H156" t="str">
        <f>"ΤΑΚΗ ΟΙΚΟΝΟΜΙΔΗ 72 ΚΑΛΑΜΑΡΙΑ ΘΕΣΣΑΛΟΝΙΚΗΣ"</f>
        <v>ΤΑΚΗ ΟΙΚΟΝΟΜΙΔΗ 72 ΚΑΛΑΜΑΡΙΑ ΘΕΣΣΑΛΟΝΙΚΗΣ</v>
      </c>
      <c r="I156">
        <v>55131</v>
      </c>
      <c r="J156">
        <v>2310419050</v>
      </c>
      <c r="K156">
        <v>6977869259</v>
      </c>
      <c r="N156" t="s">
        <v>478</v>
      </c>
      <c r="O156" t="s">
        <v>479</v>
      </c>
      <c r="R156" t="s">
        <v>57</v>
      </c>
      <c r="S156">
        <v>8</v>
      </c>
      <c r="T156">
        <v>599</v>
      </c>
      <c r="U156" s="1">
        <v>39310</v>
      </c>
      <c r="V156" t="s">
        <v>123</v>
      </c>
      <c r="W156" t="s">
        <v>124</v>
      </c>
      <c r="X156" t="s">
        <v>58</v>
      </c>
      <c r="Y156">
        <v>20</v>
      </c>
      <c r="Z156" t="s">
        <v>59</v>
      </c>
      <c r="AA156" t="s">
        <v>59</v>
      </c>
      <c r="AB156" t="s">
        <v>59</v>
      </c>
      <c r="AC156" t="s">
        <v>59</v>
      </c>
      <c r="AD156" t="s">
        <v>59</v>
      </c>
      <c r="AF156" s="1">
        <v>39330</v>
      </c>
      <c r="AG156" t="s">
        <v>125</v>
      </c>
      <c r="AH156" t="s">
        <v>126</v>
      </c>
      <c r="AI156" t="str">
        <f>"1725010"</f>
        <v>1725010</v>
      </c>
      <c r="AJ156" t="s">
        <v>721</v>
      </c>
      <c r="AK156">
        <v>2893051228</v>
      </c>
      <c r="AL156" t="s">
        <v>722</v>
      </c>
      <c r="AM156" t="s">
        <v>78</v>
      </c>
      <c r="AN156" t="s">
        <v>424</v>
      </c>
      <c r="AO156" t="s">
        <v>577</v>
      </c>
      <c r="AP156" t="s">
        <v>723</v>
      </c>
      <c r="AQ156">
        <v>22</v>
      </c>
      <c r="AR156" t="s">
        <v>123</v>
      </c>
      <c r="AS156" t="s">
        <v>124</v>
      </c>
      <c r="AT156" t="s">
        <v>58</v>
      </c>
      <c r="AU156" t="s">
        <v>68</v>
      </c>
      <c r="AV156" t="s">
        <v>69</v>
      </c>
      <c r="AW156" s="1">
        <v>25969</v>
      </c>
      <c r="AX156">
        <v>2</v>
      </c>
    </row>
    <row r="157" spans="1:50">
      <c r="A157">
        <v>198451</v>
      </c>
      <c r="B157" t="str">
        <f>"073268501"</f>
        <v>073268501</v>
      </c>
      <c r="C157" t="s">
        <v>50</v>
      </c>
      <c r="D157" t="s">
        <v>724</v>
      </c>
      <c r="E157" t="s">
        <v>602</v>
      </c>
      <c r="F157" t="s">
        <v>108</v>
      </c>
      <c r="G157" t="s">
        <v>52</v>
      </c>
      <c r="H157" t="str">
        <f>"ΜΙΝΩΟΣ 4 ΗΡΑΚΛΕΙΟ"</f>
        <v>ΜΙΝΩΟΣ 4 ΗΡΑΚΛΕΙΟ</v>
      </c>
      <c r="I157">
        <v>71303</v>
      </c>
      <c r="J157">
        <v>2810316291</v>
      </c>
      <c r="K157">
        <v>6972091646</v>
      </c>
      <c r="M157" t="s">
        <v>725</v>
      </c>
      <c r="N157" t="s">
        <v>306</v>
      </c>
      <c r="O157" t="s">
        <v>307</v>
      </c>
      <c r="R157" t="s">
        <v>57</v>
      </c>
      <c r="S157">
        <v>12</v>
      </c>
      <c r="T157">
        <v>206</v>
      </c>
      <c r="U157" s="1">
        <v>37866</v>
      </c>
      <c r="V157" t="s">
        <v>123</v>
      </c>
      <c r="W157" t="s">
        <v>124</v>
      </c>
      <c r="X157" t="s">
        <v>58</v>
      </c>
      <c r="Y157">
        <v>20</v>
      </c>
      <c r="Z157" t="s">
        <v>59</v>
      </c>
      <c r="AA157" t="s">
        <v>59</v>
      </c>
      <c r="AB157" t="s">
        <v>59</v>
      </c>
      <c r="AC157" t="s">
        <v>59</v>
      </c>
      <c r="AD157" t="s">
        <v>59</v>
      </c>
      <c r="AF157" s="1">
        <v>37866</v>
      </c>
      <c r="AG157" t="s">
        <v>125</v>
      </c>
      <c r="AH157" t="s">
        <v>294</v>
      </c>
      <c r="AI157" t="str">
        <f>"1701015"</f>
        <v>1701015</v>
      </c>
      <c r="AJ157" t="s">
        <v>295</v>
      </c>
      <c r="AK157">
        <v>2810761696</v>
      </c>
      <c r="AL157" t="s">
        <v>296</v>
      </c>
      <c r="AM157" t="s">
        <v>78</v>
      </c>
      <c r="AN157" t="s">
        <v>219</v>
      </c>
      <c r="AO157" t="s">
        <v>297</v>
      </c>
      <c r="AP157" t="s">
        <v>297</v>
      </c>
      <c r="AQ157">
        <v>10</v>
      </c>
      <c r="AR157" t="s">
        <v>123</v>
      </c>
      <c r="AS157" t="s">
        <v>124</v>
      </c>
      <c r="AT157" t="s">
        <v>58</v>
      </c>
      <c r="AU157" t="s">
        <v>68</v>
      </c>
      <c r="AV157" t="s">
        <v>69</v>
      </c>
      <c r="AW157" s="1">
        <v>26178</v>
      </c>
      <c r="AX157">
        <v>2</v>
      </c>
    </row>
    <row r="158" spans="1:50">
      <c r="A158">
        <v>185932</v>
      </c>
      <c r="B158" t="str">
        <f>"032123670"</f>
        <v>032123670</v>
      </c>
      <c r="C158" t="s">
        <v>105</v>
      </c>
      <c r="D158" t="s">
        <v>726</v>
      </c>
      <c r="E158" t="s">
        <v>106</v>
      </c>
      <c r="F158" t="s">
        <v>209</v>
      </c>
      <c r="G158" t="s">
        <v>727</v>
      </c>
      <c r="H158" t="str">
        <f>"ΑΠΟΛΛΩΝΟς 2  ΗΡΑΚΛΕΙΟ"</f>
        <v>ΑΠΟΛΛΩΝΟς 2  ΗΡΑΚΛΕΙΟ</v>
      </c>
      <c r="I158">
        <v>71305</v>
      </c>
      <c r="J158">
        <v>2810320618</v>
      </c>
      <c r="K158">
        <v>6945976701</v>
      </c>
      <c r="N158" t="s">
        <v>292</v>
      </c>
      <c r="O158" t="s">
        <v>293</v>
      </c>
      <c r="R158" t="s">
        <v>57</v>
      </c>
      <c r="S158">
        <v>10</v>
      </c>
      <c r="T158">
        <v>250</v>
      </c>
      <c r="U158" s="1">
        <v>36769</v>
      </c>
      <c r="V158" t="s">
        <v>123</v>
      </c>
      <c r="W158" t="s">
        <v>124</v>
      </c>
      <c r="X158" t="s">
        <v>58</v>
      </c>
      <c r="Y158">
        <v>18</v>
      </c>
      <c r="Z158" t="s">
        <v>59</v>
      </c>
      <c r="AA158" t="s">
        <v>59</v>
      </c>
      <c r="AB158" t="s">
        <v>59</v>
      </c>
      <c r="AC158" t="s">
        <v>59</v>
      </c>
      <c r="AD158" t="s">
        <v>59</v>
      </c>
      <c r="AF158" s="1">
        <v>36770</v>
      </c>
      <c r="AG158" t="s">
        <v>148</v>
      </c>
      <c r="AH158" t="s">
        <v>149</v>
      </c>
      <c r="AI158" t="str">
        <f>"1751020"</f>
        <v>1751020</v>
      </c>
      <c r="AJ158" t="s">
        <v>532</v>
      </c>
      <c r="AK158">
        <v>2810372732</v>
      </c>
      <c r="AL158" t="s">
        <v>533</v>
      </c>
      <c r="AM158" t="s">
        <v>78</v>
      </c>
      <c r="AN158" t="s">
        <v>78</v>
      </c>
      <c r="AO158" t="s">
        <v>78</v>
      </c>
      <c r="AP158" t="s">
        <v>163</v>
      </c>
      <c r="AQ158">
        <v>3</v>
      </c>
      <c r="AR158" t="s">
        <v>123</v>
      </c>
      <c r="AS158" t="s">
        <v>124</v>
      </c>
      <c r="AT158" t="s">
        <v>58</v>
      </c>
      <c r="AU158" t="s">
        <v>68</v>
      </c>
      <c r="AV158" t="s">
        <v>69</v>
      </c>
      <c r="AW158" s="1">
        <v>22457</v>
      </c>
      <c r="AX158">
        <v>2</v>
      </c>
    </row>
    <row r="159" spans="1:50">
      <c r="A159">
        <v>187096</v>
      </c>
      <c r="B159" t="str">
        <f>"028432285"</f>
        <v>028432285</v>
      </c>
      <c r="C159" t="s">
        <v>105</v>
      </c>
      <c r="D159" t="s">
        <v>728</v>
      </c>
      <c r="E159" t="s">
        <v>729</v>
      </c>
      <c r="F159" t="s">
        <v>730</v>
      </c>
      <c r="G159" t="s">
        <v>731</v>
      </c>
      <c r="H159" t="str">
        <f>" "</f>
        <v xml:space="preserve"> </v>
      </c>
      <c r="K159">
        <v>6974127444</v>
      </c>
      <c r="M159" t="s">
        <v>732</v>
      </c>
      <c r="N159" t="s">
        <v>733</v>
      </c>
      <c r="O159" t="s">
        <v>734</v>
      </c>
      <c r="R159" t="s">
        <v>57</v>
      </c>
      <c r="S159">
        <v>11</v>
      </c>
      <c r="T159">
        <v>251</v>
      </c>
      <c r="U159" s="1">
        <v>36769</v>
      </c>
      <c r="V159" t="s">
        <v>123</v>
      </c>
      <c r="W159" t="s">
        <v>124</v>
      </c>
      <c r="X159" t="s">
        <v>58</v>
      </c>
      <c r="Y159">
        <v>20</v>
      </c>
      <c r="Z159" t="s">
        <v>59</v>
      </c>
      <c r="AA159" t="s">
        <v>59</v>
      </c>
      <c r="AB159" t="s">
        <v>59</v>
      </c>
      <c r="AC159" t="s">
        <v>59</v>
      </c>
      <c r="AD159" t="s">
        <v>59</v>
      </c>
      <c r="AF159" s="1">
        <v>36770</v>
      </c>
      <c r="AG159" t="s">
        <v>137</v>
      </c>
      <c r="AH159" t="s">
        <v>469</v>
      </c>
      <c r="AI159" t="str">
        <f>"1740200"</f>
        <v>1740200</v>
      </c>
      <c r="AJ159" t="s">
        <v>470</v>
      </c>
      <c r="AK159">
        <v>2810320770</v>
      </c>
      <c r="AL159" t="s">
        <v>471</v>
      </c>
      <c r="AM159" t="s">
        <v>78</v>
      </c>
      <c r="AN159" t="s">
        <v>78</v>
      </c>
      <c r="AO159" t="s">
        <v>78</v>
      </c>
      <c r="AP159" t="s">
        <v>163</v>
      </c>
      <c r="AQ159">
        <v>2</v>
      </c>
      <c r="AR159" t="s">
        <v>123</v>
      </c>
      <c r="AS159" t="s">
        <v>124</v>
      </c>
      <c r="AT159" t="s">
        <v>58</v>
      </c>
      <c r="AU159" t="s">
        <v>68</v>
      </c>
      <c r="AV159" t="s">
        <v>69</v>
      </c>
      <c r="AW159" s="1">
        <v>20763</v>
      </c>
      <c r="AX159">
        <v>2</v>
      </c>
    </row>
    <row r="160" spans="1:50">
      <c r="A160">
        <v>180728</v>
      </c>
      <c r="B160" t="str">
        <f>"045849090"</f>
        <v>045849090</v>
      </c>
      <c r="C160" t="s">
        <v>50</v>
      </c>
      <c r="D160" t="s">
        <v>728</v>
      </c>
      <c r="E160" t="s">
        <v>735</v>
      </c>
      <c r="F160" t="s">
        <v>730</v>
      </c>
      <c r="G160" t="s">
        <v>731</v>
      </c>
      <c r="H160" t="str">
        <f>" "</f>
        <v xml:space="preserve"> </v>
      </c>
      <c r="M160" t="s">
        <v>736</v>
      </c>
      <c r="N160" t="s">
        <v>478</v>
      </c>
      <c r="O160" t="s">
        <v>479</v>
      </c>
      <c r="R160" t="s">
        <v>57</v>
      </c>
      <c r="S160">
        <v>16</v>
      </c>
      <c r="T160">
        <v>164</v>
      </c>
      <c r="U160" s="1">
        <v>36040</v>
      </c>
      <c r="V160" t="s">
        <v>123</v>
      </c>
      <c r="W160" t="s">
        <v>124</v>
      </c>
      <c r="X160" t="s">
        <v>58</v>
      </c>
      <c r="Y160">
        <v>18</v>
      </c>
      <c r="Z160" t="s">
        <v>59</v>
      </c>
      <c r="AA160" t="s">
        <v>59</v>
      </c>
      <c r="AB160" t="s">
        <v>59</v>
      </c>
      <c r="AC160" t="s">
        <v>59</v>
      </c>
      <c r="AD160" t="s">
        <v>452</v>
      </c>
      <c r="AE160" s="1">
        <v>43708</v>
      </c>
      <c r="AF160" s="1">
        <v>36041</v>
      </c>
      <c r="AG160" t="s">
        <v>60</v>
      </c>
      <c r="AH160" t="s">
        <v>453</v>
      </c>
      <c r="AI160" t="str">
        <f>"1700105"</f>
        <v>1700105</v>
      </c>
      <c r="AJ160" t="s">
        <v>124</v>
      </c>
      <c r="AK160">
        <v>2810333720</v>
      </c>
      <c r="AL160" t="s">
        <v>454</v>
      </c>
      <c r="AM160" t="s">
        <v>78</v>
      </c>
      <c r="AN160" t="s">
        <v>78</v>
      </c>
      <c r="AO160" t="s">
        <v>78</v>
      </c>
      <c r="AP160" t="s">
        <v>79</v>
      </c>
      <c r="AS160" t="s">
        <v>124</v>
      </c>
      <c r="AT160" t="s">
        <v>58</v>
      </c>
      <c r="AU160" t="s">
        <v>68</v>
      </c>
      <c r="AV160" t="s">
        <v>455</v>
      </c>
      <c r="AW160" s="1">
        <v>23719</v>
      </c>
      <c r="AX160">
        <v>2</v>
      </c>
    </row>
    <row r="161" spans="1:50">
      <c r="A161">
        <v>190337</v>
      </c>
      <c r="B161" t="str">
        <f>"057797969"</f>
        <v>057797969</v>
      </c>
      <c r="C161" t="s">
        <v>50</v>
      </c>
      <c r="D161" t="s">
        <v>737</v>
      </c>
      <c r="E161" t="s">
        <v>188</v>
      </c>
      <c r="F161" t="s">
        <v>72</v>
      </c>
      <c r="G161" t="s">
        <v>52</v>
      </c>
      <c r="H161" t="str">
        <f>"ΑΡΙΑΔΝΗΣ 25 ΗΡΑΚΛΕΙΟΥ"</f>
        <v>ΑΡΙΑΔΝΗΣ 25 ΗΡΑΚΛΕΙΟΥ</v>
      </c>
      <c r="I161">
        <v>71202</v>
      </c>
      <c r="J161">
        <v>2810241422</v>
      </c>
      <c r="K161">
        <v>6973208609</v>
      </c>
      <c r="M161" t="s">
        <v>738</v>
      </c>
      <c r="N161" t="s">
        <v>306</v>
      </c>
      <c r="O161" t="s">
        <v>307</v>
      </c>
      <c r="R161" t="s">
        <v>57</v>
      </c>
      <c r="S161">
        <v>13</v>
      </c>
      <c r="T161">
        <v>219</v>
      </c>
      <c r="U161" s="1">
        <v>37134</v>
      </c>
      <c r="V161" t="s">
        <v>123</v>
      </c>
      <c r="W161" t="s">
        <v>124</v>
      </c>
      <c r="X161" t="s">
        <v>58</v>
      </c>
      <c r="Y161">
        <v>18</v>
      </c>
      <c r="Z161" t="s">
        <v>59</v>
      </c>
      <c r="AA161" t="s">
        <v>59</v>
      </c>
      <c r="AB161" t="s">
        <v>59</v>
      </c>
      <c r="AC161" t="s">
        <v>59</v>
      </c>
      <c r="AD161" t="s">
        <v>59</v>
      </c>
      <c r="AF161" s="1">
        <v>37137</v>
      </c>
      <c r="AG161" t="s">
        <v>148</v>
      </c>
      <c r="AH161" t="s">
        <v>149</v>
      </c>
      <c r="AI161" t="str">
        <f>"1751052"</f>
        <v>1751052</v>
      </c>
      <c r="AJ161" t="s">
        <v>328</v>
      </c>
      <c r="AK161">
        <v>2810213762</v>
      </c>
      <c r="AL161" t="s">
        <v>329</v>
      </c>
      <c r="AM161" t="s">
        <v>78</v>
      </c>
      <c r="AN161" t="s">
        <v>78</v>
      </c>
      <c r="AO161" t="s">
        <v>78</v>
      </c>
      <c r="AP161" t="s">
        <v>163</v>
      </c>
      <c r="AQ161">
        <v>8</v>
      </c>
      <c r="AR161" t="s">
        <v>123</v>
      </c>
      <c r="AS161" t="s">
        <v>124</v>
      </c>
      <c r="AT161" t="s">
        <v>58</v>
      </c>
      <c r="AU161" t="s">
        <v>68</v>
      </c>
      <c r="AV161" t="s">
        <v>69</v>
      </c>
      <c r="AW161" s="1">
        <v>25373</v>
      </c>
      <c r="AX161">
        <v>2</v>
      </c>
    </row>
    <row r="162" spans="1:50">
      <c r="A162">
        <v>159066</v>
      </c>
      <c r="B162" t="str">
        <f>"035051534"</f>
        <v>035051534</v>
      </c>
      <c r="C162" t="s">
        <v>50</v>
      </c>
      <c r="D162" t="s">
        <v>739</v>
      </c>
      <c r="E162" t="s">
        <v>155</v>
      </c>
      <c r="F162" t="s">
        <v>106</v>
      </c>
      <c r="G162" t="s">
        <v>740</v>
      </c>
      <c r="H162" t="str">
        <f>"Γ. ΓΕΝΝΗΜΑΤΑ 27 ΗΡΑΚΛΕΙΟ"</f>
        <v>Γ. ΓΕΝΝΗΜΑΤΑ 27 ΗΡΑΚΛΕΙΟ</v>
      </c>
      <c r="I162">
        <v>71305</v>
      </c>
      <c r="J162">
        <v>2810312518</v>
      </c>
      <c r="K162">
        <v>6973984579</v>
      </c>
      <c r="M162" t="s">
        <v>741</v>
      </c>
      <c r="N162" t="s">
        <v>146</v>
      </c>
      <c r="O162" t="s">
        <v>147</v>
      </c>
      <c r="R162" t="s">
        <v>57</v>
      </c>
      <c r="S162">
        <v>15</v>
      </c>
      <c r="T162">
        <v>161</v>
      </c>
      <c r="U162" s="1">
        <v>33119</v>
      </c>
      <c r="V162" t="s">
        <v>123</v>
      </c>
      <c r="W162" t="s">
        <v>124</v>
      </c>
      <c r="X162" t="s">
        <v>58</v>
      </c>
      <c r="Y162">
        <v>18</v>
      </c>
      <c r="Z162" t="s">
        <v>59</v>
      </c>
      <c r="AA162" t="s">
        <v>59</v>
      </c>
      <c r="AB162" t="s">
        <v>59</v>
      </c>
      <c r="AC162" t="s">
        <v>59</v>
      </c>
      <c r="AD162" t="s">
        <v>59</v>
      </c>
      <c r="AF162" s="1">
        <v>33123</v>
      </c>
      <c r="AG162" t="s">
        <v>125</v>
      </c>
      <c r="AH162" t="s">
        <v>126</v>
      </c>
      <c r="AI162" t="str">
        <f>"1701020"</f>
        <v>1701020</v>
      </c>
      <c r="AJ162" t="s">
        <v>323</v>
      </c>
      <c r="AK162">
        <v>2810252111</v>
      </c>
      <c r="AL162" t="s">
        <v>324</v>
      </c>
      <c r="AM162" t="s">
        <v>78</v>
      </c>
      <c r="AN162" t="s">
        <v>78</v>
      </c>
      <c r="AO162" t="s">
        <v>78</v>
      </c>
      <c r="AP162" t="s">
        <v>163</v>
      </c>
      <c r="AQ162">
        <v>3</v>
      </c>
      <c r="AR162" t="s">
        <v>123</v>
      </c>
      <c r="AS162" t="s">
        <v>124</v>
      </c>
      <c r="AT162" t="s">
        <v>58</v>
      </c>
      <c r="AU162" t="s">
        <v>68</v>
      </c>
      <c r="AV162" t="s">
        <v>69</v>
      </c>
      <c r="AW162" s="1">
        <v>23245</v>
      </c>
      <c r="AX162">
        <v>2</v>
      </c>
    </row>
    <row r="163" spans="1:50">
      <c r="A163">
        <v>193567</v>
      </c>
      <c r="B163" t="str">
        <f>"064564955"</f>
        <v>064564955</v>
      </c>
      <c r="C163" t="s">
        <v>50</v>
      </c>
      <c r="D163" t="s">
        <v>739</v>
      </c>
      <c r="E163" t="s">
        <v>742</v>
      </c>
      <c r="F163" t="s">
        <v>53</v>
      </c>
      <c r="G163" t="s">
        <v>52</v>
      </c>
      <c r="H163" t="str">
        <f>"ΓΙΑΝΝΗ ΑΘΗΤΑΚΗ 12 ΕΣΤΑΥΡΩΜΕΝΟΣ"</f>
        <v>ΓΙΑΝΝΗ ΑΘΗΤΑΚΗ 12 ΕΣΤΑΥΡΩΜΕΝΟΣ</v>
      </c>
      <c r="I163">
        <v>71410</v>
      </c>
      <c r="J163">
        <v>2810318024</v>
      </c>
      <c r="K163">
        <v>6972288695</v>
      </c>
      <c r="M163" t="s">
        <v>743</v>
      </c>
      <c r="N163" t="s">
        <v>232</v>
      </c>
      <c r="O163" t="s">
        <v>233</v>
      </c>
      <c r="R163" t="s">
        <v>57</v>
      </c>
      <c r="S163">
        <v>9</v>
      </c>
      <c r="T163">
        <v>193</v>
      </c>
      <c r="U163" s="1">
        <v>37497</v>
      </c>
      <c r="V163" t="s">
        <v>123</v>
      </c>
      <c r="W163" t="s">
        <v>124</v>
      </c>
      <c r="X163" t="s">
        <v>58</v>
      </c>
      <c r="Y163">
        <v>20</v>
      </c>
      <c r="Z163" t="s">
        <v>59</v>
      </c>
      <c r="AA163" t="s">
        <v>59</v>
      </c>
      <c r="AB163" t="s">
        <v>59</v>
      </c>
      <c r="AC163" t="s">
        <v>59</v>
      </c>
      <c r="AD163" t="s">
        <v>59</v>
      </c>
      <c r="AF163" s="1">
        <v>37497</v>
      </c>
      <c r="AG163" t="s">
        <v>148</v>
      </c>
      <c r="AH163" t="s">
        <v>149</v>
      </c>
      <c r="AI163" t="str">
        <f>"1751051"</f>
        <v>1751051</v>
      </c>
      <c r="AJ163" t="s">
        <v>259</v>
      </c>
      <c r="AK163">
        <v>2810251794</v>
      </c>
      <c r="AL163" t="s">
        <v>260</v>
      </c>
      <c r="AM163" t="s">
        <v>78</v>
      </c>
      <c r="AN163" t="s">
        <v>78</v>
      </c>
      <c r="AO163" t="s">
        <v>78</v>
      </c>
      <c r="AP163" t="s">
        <v>141</v>
      </c>
      <c r="AQ163">
        <v>7</v>
      </c>
      <c r="AR163" t="s">
        <v>123</v>
      </c>
      <c r="AS163" t="s">
        <v>124</v>
      </c>
      <c r="AT163" t="s">
        <v>58</v>
      </c>
      <c r="AU163" t="s">
        <v>68</v>
      </c>
      <c r="AV163" t="s">
        <v>69</v>
      </c>
      <c r="AW163" s="1">
        <v>23132</v>
      </c>
      <c r="AX163">
        <v>2</v>
      </c>
    </row>
    <row r="164" spans="1:50">
      <c r="A164">
        <v>209409</v>
      </c>
      <c r="B164" t="str">
        <f>"103836856"</f>
        <v>103836856</v>
      </c>
      <c r="C164" t="s">
        <v>105</v>
      </c>
      <c r="D164" t="s">
        <v>744</v>
      </c>
      <c r="E164" t="s">
        <v>154</v>
      </c>
      <c r="F164" t="s">
        <v>95</v>
      </c>
      <c r="G164" t="s">
        <v>372</v>
      </c>
      <c r="H164" t="str">
        <f>"ΕΛΕΥΘΕΡΙΟΥ ΒΕΝΙΖΕΛΟΥ 86  ΓΑΖΙ ΗΡΑΚΛΕΙΟΥ"</f>
        <v>ΕΛΕΥΘΕΡΙΟΥ ΒΕΝΙΖΕΛΟΥ 86  ΓΑΖΙ ΗΡΑΚΛΕΙΟΥ</v>
      </c>
      <c r="I164">
        <v>71414</v>
      </c>
      <c r="K164">
        <v>6948102569</v>
      </c>
      <c r="M164" t="s">
        <v>745</v>
      </c>
      <c r="N164" t="s">
        <v>146</v>
      </c>
      <c r="O164" t="s">
        <v>147</v>
      </c>
      <c r="R164" t="s">
        <v>57</v>
      </c>
      <c r="S164">
        <v>6</v>
      </c>
      <c r="T164">
        <v>225</v>
      </c>
      <c r="U164" s="1">
        <v>38597</v>
      </c>
      <c r="V164" t="s">
        <v>123</v>
      </c>
      <c r="W164" t="s">
        <v>124</v>
      </c>
      <c r="X164" t="s">
        <v>58</v>
      </c>
      <c r="Y164">
        <v>20</v>
      </c>
      <c r="Z164" t="s">
        <v>59</v>
      </c>
      <c r="AA164" t="s">
        <v>59</v>
      </c>
      <c r="AB164" t="s">
        <v>59</v>
      </c>
      <c r="AC164" t="s">
        <v>59</v>
      </c>
      <c r="AD164" t="s">
        <v>59</v>
      </c>
      <c r="AF164" s="1">
        <v>38607</v>
      </c>
      <c r="AG164" t="s">
        <v>148</v>
      </c>
      <c r="AH164" t="s">
        <v>149</v>
      </c>
      <c r="AI164" t="str">
        <f>"1767011"</f>
        <v>1767011</v>
      </c>
      <c r="AJ164" t="s">
        <v>217</v>
      </c>
      <c r="AK164">
        <v>2897021055</v>
      </c>
      <c r="AL164" t="s">
        <v>218</v>
      </c>
      <c r="AM164" t="s">
        <v>78</v>
      </c>
      <c r="AN164" t="s">
        <v>219</v>
      </c>
      <c r="AO164" t="s">
        <v>219</v>
      </c>
      <c r="AP164" t="s">
        <v>220</v>
      </c>
      <c r="AQ164">
        <v>20</v>
      </c>
      <c r="AR164" t="s">
        <v>123</v>
      </c>
      <c r="AS164" t="s">
        <v>124</v>
      </c>
      <c r="AT164" t="s">
        <v>58</v>
      </c>
      <c r="AU164" t="s">
        <v>68</v>
      </c>
      <c r="AV164" t="s">
        <v>69</v>
      </c>
      <c r="AW164" s="1">
        <v>25926</v>
      </c>
      <c r="AX164">
        <v>2</v>
      </c>
    </row>
    <row r="165" spans="1:50">
      <c r="A165">
        <v>201287</v>
      </c>
      <c r="B165" t="str">
        <f>"072867120"</f>
        <v>072867120</v>
      </c>
      <c r="C165" t="s">
        <v>50</v>
      </c>
      <c r="D165" t="s">
        <v>746</v>
      </c>
      <c r="E165" t="s">
        <v>263</v>
      </c>
      <c r="F165" t="s">
        <v>92</v>
      </c>
      <c r="G165" t="s">
        <v>52</v>
      </c>
      <c r="H165" t="str">
        <f>"ΛΙΣΣΟΥ 13 ΗΡΑΚΛΕΙΟ"</f>
        <v>ΛΙΣΣΟΥ 13 ΗΡΑΚΛΕΙΟ</v>
      </c>
      <c r="I165">
        <v>71304</v>
      </c>
      <c r="J165">
        <v>2810312737</v>
      </c>
      <c r="K165">
        <v>6977823424</v>
      </c>
      <c r="M165" t="s">
        <v>747</v>
      </c>
      <c r="N165" t="s">
        <v>146</v>
      </c>
      <c r="O165" t="s">
        <v>147</v>
      </c>
      <c r="R165" t="s">
        <v>57</v>
      </c>
      <c r="S165">
        <v>9</v>
      </c>
      <c r="T165">
        <v>231</v>
      </c>
      <c r="U165" s="1">
        <v>38230</v>
      </c>
      <c r="V165" t="s">
        <v>123</v>
      </c>
      <c r="W165" t="s">
        <v>124</v>
      </c>
      <c r="X165" t="s">
        <v>58</v>
      </c>
      <c r="Y165">
        <v>20</v>
      </c>
      <c r="Z165" t="s">
        <v>59</v>
      </c>
      <c r="AA165" t="s">
        <v>59</v>
      </c>
      <c r="AB165" t="s">
        <v>59</v>
      </c>
      <c r="AC165" t="s">
        <v>59</v>
      </c>
      <c r="AD165" t="s">
        <v>59</v>
      </c>
      <c r="AF165" s="1">
        <v>38232</v>
      </c>
      <c r="AG165" t="s">
        <v>125</v>
      </c>
      <c r="AH165" t="s">
        <v>126</v>
      </c>
      <c r="AI165" t="str">
        <f>"1701040"</f>
        <v>1701040</v>
      </c>
      <c r="AJ165" t="s">
        <v>748</v>
      </c>
      <c r="AK165">
        <v>2810252459</v>
      </c>
      <c r="AL165" t="s">
        <v>749</v>
      </c>
      <c r="AM165" t="s">
        <v>78</v>
      </c>
      <c r="AN165" t="s">
        <v>78</v>
      </c>
      <c r="AO165" t="s">
        <v>78</v>
      </c>
      <c r="AP165" t="s">
        <v>141</v>
      </c>
      <c r="AQ165">
        <v>3</v>
      </c>
      <c r="AR165" t="s">
        <v>123</v>
      </c>
      <c r="AS165" t="s">
        <v>124</v>
      </c>
      <c r="AT165" t="s">
        <v>58</v>
      </c>
      <c r="AU165" t="s">
        <v>68</v>
      </c>
      <c r="AV165" t="s">
        <v>69</v>
      </c>
      <c r="AW165" s="1">
        <v>24720</v>
      </c>
      <c r="AX165">
        <v>2</v>
      </c>
    </row>
    <row r="166" spans="1:50">
      <c r="A166">
        <v>198453</v>
      </c>
      <c r="B166" t="str">
        <f>"078240401"</f>
        <v>078240401</v>
      </c>
      <c r="C166" t="s">
        <v>50</v>
      </c>
      <c r="D166" t="s">
        <v>750</v>
      </c>
      <c r="E166" t="s">
        <v>580</v>
      </c>
      <c r="F166" t="s">
        <v>95</v>
      </c>
      <c r="G166" t="s">
        <v>52</v>
      </c>
      <c r="H166" t="str">
        <f>"ΣΗΦΑΚΑ 57 ΗΡΑΚΛΕΙΟ"</f>
        <v>ΣΗΦΑΚΑ 57 ΗΡΑΚΛΕΙΟ</v>
      </c>
      <c r="I166">
        <v>71306</v>
      </c>
      <c r="J166">
        <v>2810214024</v>
      </c>
      <c r="K166">
        <v>6977400027</v>
      </c>
      <c r="M166" t="s">
        <v>751</v>
      </c>
      <c r="N166" t="s">
        <v>306</v>
      </c>
      <c r="O166" t="s">
        <v>307</v>
      </c>
      <c r="R166" t="s">
        <v>57</v>
      </c>
      <c r="S166">
        <v>10</v>
      </c>
      <c r="T166">
        <v>206</v>
      </c>
      <c r="U166" s="1">
        <v>37866</v>
      </c>
      <c r="V166" t="s">
        <v>123</v>
      </c>
      <c r="W166" t="s">
        <v>124</v>
      </c>
      <c r="X166" t="s">
        <v>58</v>
      </c>
      <c r="Y166">
        <v>18</v>
      </c>
      <c r="Z166" t="s">
        <v>59</v>
      </c>
      <c r="AA166" t="s">
        <v>59</v>
      </c>
      <c r="AB166" t="s">
        <v>59</v>
      </c>
      <c r="AC166" t="s">
        <v>59</v>
      </c>
      <c r="AD166" t="s">
        <v>59</v>
      </c>
      <c r="AF166" s="1">
        <v>37866</v>
      </c>
      <c r="AG166" t="s">
        <v>137</v>
      </c>
      <c r="AH166" t="s">
        <v>138</v>
      </c>
      <c r="AI166" t="str">
        <f>"1740210"</f>
        <v>1740210</v>
      </c>
      <c r="AJ166" t="s">
        <v>139</v>
      </c>
      <c r="AK166">
        <v>2810318130</v>
      </c>
      <c r="AL166" t="s">
        <v>140</v>
      </c>
      <c r="AM166" t="s">
        <v>78</v>
      </c>
      <c r="AN166" t="s">
        <v>78</v>
      </c>
      <c r="AO166" t="s">
        <v>78</v>
      </c>
      <c r="AP166" t="s">
        <v>141</v>
      </c>
      <c r="AQ166">
        <v>7</v>
      </c>
      <c r="AR166" t="s">
        <v>123</v>
      </c>
      <c r="AS166" t="s">
        <v>124</v>
      </c>
      <c r="AT166" t="s">
        <v>58</v>
      </c>
      <c r="AU166" t="s">
        <v>68</v>
      </c>
      <c r="AV166" t="s">
        <v>69</v>
      </c>
      <c r="AW166" s="1">
        <v>26551</v>
      </c>
      <c r="AX166">
        <v>2</v>
      </c>
    </row>
    <row r="167" spans="1:50">
      <c r="A167">
        <v>703390</v>
      </c>
      <c r="B167" t="str">
        <f>"128318511"</f>
        <v>128318511</v>
      </c>
      <c r="C167" t="s">
        <v>50</v>
      </c>
      <c r="D167" t="s">
        <v>750</v>
      </c>
      <c r="E167" t="s">
        <v>316</v>
      </c>
      <c r="F167" t="s">
        <v>95</v>
      </c>
      <c r="G167" t="s">
        <v>255</v>
      </c>
      <c r="H167" t="str">
        <f>"ΑΓΙΩΝ ΑΝΑΡΓΥΡΩΝ 98 ΓΑΖΙ"</f>
        <v>ΑΓΙΩΝ ΑΝΑΡΓΥΡΩΝ 98 ΓΑΖΙ</v>
      </c>
      <c r="I167">
        <v>71414</v>
      </c>
      <c r="J167">
        <v>2810823938</v>
      </c>
      <c r="K167">
        <v>6972289045</v>
      </c>
      <c r="M167" t="s">
        <v>752</v>
      </c>
      <c r="N167" t="s">
        <v>292</v>
      </c>
      <c r="O167" t="s">
        <v>293</v>
      </c>
      <c r="R167" t="s">
        <v>57</v>
      </c>
      <c r="S167">
        <v>3</v>
      </c>
      <c r="T167">
        <v>588</v>
      </c>
      <c r="U167" s="1">
        <v>40778</v>
      </c>
      <c r="V167" t="s">
        <v>123</v>
      </c>
      <c r="W167" t="s">
        <v>124</v>
      </c>
      <c r="X167" t="s">
        <v>58</v>
      </c>
      <c r="Y167">
        <v>21</v>
      </c>
      <c r="Z167" t="s">
        <v>59</v>
      </c>
      <c r="AA167" t="s">
        <v>59</v>
      </c>
      <c r="AB167" t="s">
        <v>59</v>
      </c>
      <c r="AC167" t="s">
        <v>59</v>
      </c>
      <c r="AD167" t="s">
        <v>59</v>
      </c>
      <c r="AF167" s="1">
        <v>40787</v>
      </c>
      <c r="AG167" t="s">
        <v>125</v>
      </c>
      <c r="AH167" t="s">
        <v>126</v>
      </c>
      <c r="AI167" t="str">
        <f>"1726010"</f>
        <v>1726010</v>
      </c>
      <c r="AJ167" t="s">
        <v>265</v>
      </c>
      <c r="AK167">
        <v>2810831228</v>
      </c>
      <c r="AL167" t="s">
        <v>266</v>
      </c>
      <c r="AM167" t="s">
        <v>78</v>
      </c>
      <c r="AN167" t="s">
        <v>129</v>
      </c>
      <c r="AO167" t="s">
        <v>267</v>
      </c>
      <c r="AP167" t="s">
        <v>267</v>
      </c>
      <c r="AQ167">
        <v>27</v>
      </c>
      <c r="AR167" t="s">
        <v>123</v>
      </c>
      <c r="AS167" t="s">
        <v>124</v>
      </c>
      <c r="AT167" t="s">
        <v>58</v>
      </c>
      <c r="AU167" t="s">
        <v>68</v>
      </c>
      <c r="AV167" t="s">
        <v>69</v>
      </c>
      <c r="AW167" s="1">
        <v>27959</v>
      </c>
      <c r="AX167">
        <v>2</v>
      </c>
    </row>
    <row r="168" spans="1:50">
      <c r="A168">
        <v>192271</v>
      </c>
      <c r="B168" t="str">
        <f>"038616580"</f>
        <v>038616580</v>
      </c>
      <c r="C168" t="s">
        <v>50</v>
      </c>
      <c r="D168" t="s">
        <v>753</v>
      </c>
      <c r="E168" t="s">
        <v>314</v>
      </c>
      <c r="F168" t="s">
        <v>95</v>
      </c>
      <c r="G168" t="s">
        <v>52</v>
      </c>
      <c r="H168" t="str">
        <f>" "</f>
        <v xml:space="preserve"> </v>
      </c>
      <c r="N168" t="s">
        <v>135</v>
      </c>
      <c r="O168" t="s">
        <v>136</v>
      </c>
      <c r="R168" t="s">
        <v>57</v>
      </c>
      <c r="S168">
        <v>11</v>
      </c>
      <c r="T168">
        <v>312</v>
      </c>
      <c r="U168" s="1">
        <v>37239</v>
      </c>
      <c r="V168" t="s">
        <v>123</v>
      </c>
      <c r="W168" t="s">
        <v>124</v>
      </c>
      <c r="X168" t="s">
        <v>58</v>
      </c>
      <c r="Y168">
        <v>20</v>
      </c>
      <c r="Z168" t="s">
        <v>59</v>
      </c>
      <c r="AA168" t="s">
        <v>59</v>
      </c>
      <c r="AB168" t="s">
        <v>59</v>
      </c>
      <c r="AC168" t="s">
        <v>59</v>
      </c>
      <c r="AD168" t="s">
        <v>59</v>
      </c>
      <c r="AF168" s="1">
        <v>37242</v>
      </c>
      <c r="AG168" t="s">
        <v>125</v>
      </c>
      <c r="AH168" t="s">
        <v>126</v>
      </c>
      <c r="AI168" t="str">
        <f>"1711010"</f>
        <v>1711010</v>
      </c>
      <c r="AJ168" t="s">
        <v>695</v>
      </c>
      <c r="AK168">
        <v>2810741301</v>
      </c>
      <c r="AL168" t="s">
        <v>696</v>
      </c>
      <c r="AM168" t="s">
        <v>78</v>
      </c>
      <c r="AN168" t="s">
        <v>424</v>
      </c>
      <c r="AO168" t="s">
        <v>428</v>
      </c>
      <c r="AP168" t="s">
        <v>429</v>
      </c>
      <c r="AQ168">
        <v>14</v>
      </c>
      <c r="AR168" t="s">
        <v>123</v>
      </c>
      <c r="AS168" t="s">
        <v>124</v>
      </c>
      <c r="AT168" t="s">
        <v>58</v>
      </c>
      <c r="AU168" t="s">
        <v>68</v>
      </c>
      <c r="AV168" t="s">
        <v>69</v>
      </c>
      <c r="AW168" s="1">
        <v>23406</v>
      </c>
      <c r="AX168">
        <v>2</v>
      </c>
    </row>
    <row r="169" spans="1:50">
      <c r="A169">
        <v>701570</v>
      </c>
      <c r="B169" t="str">
        <f>"103801383"</f>
        <v>103801383</v>
      </c>
      <c r="C169" t="s">
        <v>50</v>
      </c>
      <c r="D169" t="s">
        <v>754</v>
      </c>
      <c r="E169" t="s">
        <v>755</v>
      </c>
      <c r="F169" t="s">
        <v>166</v>
      </c>
      <c r="G169" t="s">
        <v>52</v>
      </c>
      <c r="H169" t="str">
        <f>"ΜΙΝΩΟΣ 31Α ΗΡΑΚΛΕΙΟ"</f>
        <v>ΜΙΝΩΟΣ 31Α ΗΡΑΚΛΕΙΟ</v>
      </c>
      <c r="I169">
        <v>71303</v>
      </c>
      <c r="J169">
        <v>2810255341</v>
      </c>
      <c r="K169">
        <v>6993939360</v>
      </c>
      <c r="M169" t="s">
        <v>756</v>
      </c>
      <c r="N169" t="s">
        <v>146</v>
      </c>
      <c r="O169" t="s">
        <v>147</v>
      </c>
      <c r="R169" t="s">
        <v>57</v>
      </c>
      <c r="S169">
        <v>4</v>
      </c>
      <c r="T169">
        <v>772</v>
      </c>
      <c r="U169" s="1">
        <v>40413</v>
      </c>
      <c r="V169" t="s">
        <v>123</v>
      </c>
      <c r="W169" t="s">
        <v>124</v>
      </c>
      <c r="X169" t="s">
        <v>58</v>
      </c>
      <c r="Y169">
        <v>21</v>
      </c>
      <c r="Z169" t="s">
        <v>59</v>
      </c>
      <c r="AA169" t="s">
        <v>59</v>
      </c>
      <c r="AB169" t="s">
        <v>59</v>
      </c>
      <c r="AC169" t="s">
        <v>59</v>
      </c>
      <c r="AD169" t="s">
        <v>59</v>
      </c>
      <c r="AF169" s="1">
        <v>40413</v>
      </c>
      <c r="AG169" t="s">
        <v>125</v>
      </c>
      <c r="AH169" t="s">
        <v>126</v>
      </c>
      <c r="AI169" t="str">
        <f>"1707010"</f>
        <v>1707010</v>
      </c>
      <c r="AJ169" t="s">
        <v>757</v>
      </c>
      <c r="AK169">
        <v>2892041211</v>
      </c>
      <c r="AL169" t="s">
        <v>758</v>
      </c>
      <c r="AM169" t="s">
        <v>78</v>
      </c>
      <c r="AN169" t="s">
        <v>242</v>
      </c>
      <c r="AO169" t="s">
        <v>243</v>
      </c>
      <c r="AP169" t="s">
        <v>244</v>
      </c>
      <c r="AQ169">
        <v>34</v>
      </c>
      <c r="AR169" t="s">
        <v>123</v>
      </c>
      <c r="AS169" t="s">
        <v>124</v>
      </c>
      <c r="AT169" t="s">
        <v>58</v>
      </c>
      <c r="AU169" t="s">
        <v>68</v>
      </c>
      <c r="AV169" t="s">
        <v>69</v>
      </c>
      <c r="AW169" s="1">
        <v>27992</v>
      </c>
      <c r="AX169">
        <v>2</v>
      </c>
    </row>
    <row r="170" spans="1:50">
      <c r="A170">
        <v>193370</v>
      </c>
      <c r="B170" t="str">
        <f>"033347190"</f>
        <v>033347190</v>
      </c>
      <c r="C170" t="s">
        <v>105</v>
      </c>
      <c r="D170" t="s">
        <v>759</v>
      </c>
      <c r="E170" t="s">
        <v>760</v>
      </c>
      <c r="F170" t="s">
        <v>304</v>
      </c>
      <c r="G170" t="s">
        <v>83</v>
      </c>
      <c r="H170" t="str">
        <f>" "</f>
        <v xml:space="preserve"> </v>
      </c>
      <c r="J170">
        <v>2810322331</v>
      </c>
      <c r="K170">
        <v>6937372737</v>
      </c>
      <c r="M170" t="s">
        <v>761</v>
      </c>
      <c r="N170" t="s">
        <v>292</v>
      </c>
      <c r="O170" t="s">
        <v>293</v>
      </c>
      <c r="R170" t="s">
        <v>57</v>
      </c>
      <c r="S170">
        <v>11</v>
      </c>
      <c r="T170">
        <v>193</v>
      </c>
      <c r="U170" s="1">
        <v>37497</v>
      </c>
      <c r="V170" t="s">
        <v>123</v>
      </c>
      <c r="W170" t="s">
        <v>124</v>
      </c>
      <c r="X170" t="s">
        <v>58</v>
      </c>
      <c r="Y170">
        <v>20</v>
      </c>
      <c r="Z170" t="s">
        <v>59</v>
      </c>
      <c r="AA170" t="s">
        <v>59</v>
      </c>
      <c r="AB170" t="s">
        <v>59</v>
      </c>
      <c r="AC170" t="s">
        <v>59</v>
      </c>
      <c r="AD170" t="s">
        <v>452</v>
      </c>
      <c r="AE170" s="1">
        <v>43708</v>
      </c>
      <c r="AF170" s="1">
        <v>37503</v>
      </c>
      <c r="AG170" t="s">
        <v>60</v>
      </c>
      <c r="AH170" t="s">
        <v>453</v>
      </c>
      <c r="AI170" t="str">
        <f>"1700105"</f>
        <v>1700105</v>
      </c>
      <c r="AJ170" t="s">
        <v>124</v>
      </c>
      <c r="AK170">
        <v>2810333720</v>
      </c>
      <c r="AL170" t="s">
        <v>454</v>
      </c>
      <c r="AM170" t="s">
        <v>78</v>
      </c>
      <c r="AN170" t="s">
        <v>78</v>
      </c>
      <c r="AO170" t="s">
        <v>78</v>
      </c>
      <c r="AP170" t="s">
        <v>79</v>
      </c>
      <c r="AS170" t="s">
        <v>124</v>
      </c>
      <c r="AT170" t="s">
        <v>58</v>
      </c>
      <c r="AU170" t="s">
        <v>68</v>
      </c>
      <c r="AV170" t="s">
        <v>455</v>
      </c>
      <c r="AW170" s="1">
        <v>22034</v>
      </c>
      <c r="AX170">
        <v>2</v>
      </c>
    </row>
    <row r="171" spans="1:50">
      <c r="A171">
        <v>172465</v>
      </c>
      <c r="B171" t="str">
        <f>"031423459"</f>
        <v>031423459</v>
      </c>
      <c r="C171" t="s">
        <v>105</v>
      </c>
      <c r="D171" t="s">
        <v>759</v>
      </c>
      <c r="E171" t="s">
        <v>99</v>
      </c>
      <c r="F171" t="s">
        <v>304</v>
      </c>
      <c r="G171" t="s">
        <v>83</v>
      </c>
      <c r="H171" t="str">
        <f>"ΛΕΥΤΕΡΗ ΣΚΕΠΕΤΖΗ 1  ΚΗΠΟΥΠΟΛΗ"</f>
        <v>ΛΕΥΤΕΡΗ ΣΚΕΠΕΤΖΗ 1  ΚΗΠΟΥΠΟΛΗ</v>
      </c>
      <c r="I171">
        <v>71307</v>
      </c>
      <c r="J171">
        <v>2810211244</v>
      </c>
      <c r="K171">
        <v>6973409970</v>
      </c>
      <c r="M171" t="s">
        <v>762</v>
      </c>
      <c r="N171" t="s">
        <v>204</v>
      </c>
      <c r="O171" t="s">
        <v>205</v>
      </c>
      <c r="P171" t="s">
        <v>292</v>
      </c>
      <c r="Q171" t="s">
        <v>293</v>
      </c>
      <c r="R171" t="s">
        <v>57</v>
      </c>
      <c r="S171">
        <v>15</v>
      </c>
      <c r="T171">
        <v>184</v>
      </c>
      <c r="U171" s="1">
        <v>34941</v>
      </c>
      <c r="V171" t="s">
        <v>123</v>
      </c>
      <c r="W171" t="s">
        <v>124</v>
      </c>
      <c r="X171" t="s">
        <v>58</v>
      </c>
      <c r="Y171">
        <v>18</v>
      </c>
      <c r="Z171" t="s">
        <v>59</v>
      </c>
      <c r="AA171" t="s">
        <v>59</v>
      </c>
      <c r="AB171" t="s">
        <v>59</v>
      </c>
      <c r="AC171" t="s">
        <v>59</v>
      </c>
      <c r="AD171" t="s">
        <v>59</v>
      </c>
      <c r="AF171" s="1">
        <v>34947</v>
      </c>
      <c r="AG171" t="s">
        <v>125</v>
      </c>
      <c r="AH171" t="s">
        <v>126</v>
      </c>
      <c r="AI171" t="str">
        <f>"1727010"</f>
        <v>1727010</v>
      </c>
      <c r="AJ171" t="s">
        <v>618</v>
      </c>
      <c r="AK171">
        <v>2810229231</v>
      </c>
      <c r="AL171" t="s">
        <v>619</v>
      </c>
      <c r="AM171" t="s">
        <v>78</v>
      </c>
      <c r="AN171" t="s">
        <v>78</v>
      </c>
      <c r="AO171" t="s">
        <v>286</v>
      </c>
      <c r="AP171" t="s">
        <v>286</v>
      </c>
      <c r="AQ171">
        <v>12</v>
      </c>
      <c r="AR171" t="s">
        <v>123</v>
      </c>
      <c r="AS171" t="s">
        <v>124</v>
      </c>
      <c r="AT171" t="s">
        <v>58</v>
      </c>
      <c r="AU171" t="s">
        <v>68</v>
      </c>
      <c r="AV171" t="s">
        <v>69</v>
      </c>
      <c r="AW171" s="1">
        <v>21611</v>
      </c>
      <c r="AX171">
        <v>2</v>
      </c>
    </row>
    <row r="172" spans="1:50">
      <c r="A172">
        <v>220912</v>
      </c>
      <c r="B172" t="str">
        <f>"062465670"</f>
        <v>062465670</v>
      </c>
      <c r="C172" t="s">
        <v>50</v>
      </c>
      <c r="D172" t="s">
        <v>763</v>
      </c>
      <c r="E172" t="s">
        <v>215</v>
      </c>
      <c r="F172" t="s">
        <v>53</v>
      </c>
      <c r="G172" t="s">
        <v>764</v>
      </c>
      <c r="H172" t="str">
        <f>"ΕΥΑΝΘΟΥΣ 5  ΗΡΑΚΛΕΙΟ"</f>
        <v>ΕΥΑΝΘΟΥΣ 5  ΗΡΑΚΛΕΙΟ</v>
      </c>
      <c r="I172">
        <v>71305</v>
      </c>
      <c r="J172">
        <v>2810315084</v>
      </c>
      <c r="K172">
        <v>6947256555</v>
      </c>
      <c r="N172" t="s">
        <v>765</v>
      </c>
      <c r="O172" t="s">
        <v>766</v>
      </c>
      <c r="R172" t="s">
        <v>57</v>
      </c>
      <c r="S172">
        <v>5</v>
      </c>
      <c r="T172">
        <v>687</v>
      </c>
      <c r="U172" s="1">
        <v>39330</v>
      </c>
      <c r="V172" t="s">
        <v>123</v>
      </c>
      <c r="W172" t="s">
        <v>124</v>
      </c>
      <c r="X172" t="s">
        <v>58</v>
      </c>
      <c r="Y172">
        <v>20</v>
      </c>
      <c r="Z172" t="s">
        <v>59</v>
      </c>
      <c r="AA172" t="s">
        <v>59</v>
      </c>
      <c r="AB172" t="s">
        <v>59</v>
      </c>
      <c r="AC172" t="s">
        <v>59</v>
      </c>
      <c r="AD172" t="s">
        <v>59</v>
      </c>
      <c r="AF172" s="1">
        <v>39335</v>
      </c>
      <c r="AG172" t="s">
        <v>60</v>
      </c>
      <c r="AH172" t="s">
        <v>453</v>
      </c>
      <c r="AI172" t="str">
        <f>"1700105"</f>
        <v>1700105</v>
      </c>
      <c r="AJ172" t="s">
        <v>124</v>
      </c>
      <c r="AK172">
        <v>2810333720</v>
      </c>
      <c r="AL172" t="s">
        <v>454</v>
      </c>
      <c r="AM172" t="s">
        <v>78</v>
      </c>
      <c r="AN172" t="s">
        <v>78</v>
      </c>
      <c r="AO172" t="s">
        <v>78</v>
      </c>
      <c r="AP172" t="s">
        <v>79</v>
      </c>
      <c r="AS172" t="s">
        <v>124</v>
      </c>
      <c r="AT172" t="s">
        <v>58</v>
      </c>
      <c r="AU172" t="s">
        <v>68</v>
      </c>
      <c r="AV172" t="s">
        <v>455</v>
      </c>
      <c r="AW172" s="1">
        <v>27459</v>
      </c>
      <c r="AX172">
        <v>2</v>
      </c>
    </row>
    <row r="173" spans="1:50">
      <c r="A173">
        <v>224835</v>
      </c>
      <c r="B173" t="str">
        <f>"120142518"</f>
        <v>120142518</v>
      </c>
      <c r="C173" t="s">
        <v>50</v>
      </c>
      <c r="D173" t="s">
        <v>767</v>
      </c>
      <c r="E173" t="s">
        <v>250</v>
      </c>
      <c r="F173" t="s">
        <v>106</v>
      </c>
      <c r="G173" t="s">
        <v>255</v>
      </c>
      <c r="H173" t="str">
        <f>" "</f>
        <v xml:space="preserve"> </v>
      </c>
      <c r="J173">
        <v>2814001663</v>
      </c>
      <c r="K173">
        <v>6942434230</v>
      </c>
      <c r="M173" t="s">
        <v>768</v>
      </c>
      <c r="N173" t="s">
        <v>176</v>
      </c>
      <c r="O173" t="s">
        <v>177</v>
      </c>
      <c r="R173" t="s">
        <v>57</v>
      </c>
      <c r="S173">
        <v>8</v>
      </c>
      <c r="T173">
        <v>775</v>
      </c>
      <c r="U173" s="1">
        <v>39680</v>
      </c>
      <c r="V173" t="s">
        <v>123</v>
      </c>
      <c r="W173" t="s">
        <v>124</v>
      </c>
      <c r="X173" t="s">
        <v>58</v>
      </c>
      <c r="Y173">
        <v>20</v>
      </c>
      <c r="Z173" t="s">
        <v>59</v>
      </c>
      <c r="AA173" t="s">
        <v>59</v>
      </c>
      <c r="AB173" t="s">
        <v>59</v>
      </c>
      <c r="AC173" t="s">
        <v>59</v>
      </c>
      <c r="AD173" t="s">
        <v>59</v>
      </c>
      <c r="AF173" s="1">
        <v>39681</v>
      </c>
      <c r="AG173" t="s">
        <v>125</v>
      </c>
      <c r="AH173" t="s">
        <v>590</v>
      </c>
      <c r="AI173" t="str">
        <f>"1740060"</f>
        <v>1740060</v>
      </c>
      <c r="AJ173" t="s">
        <v>591</v>
      </c>
      <c r="AK173">
        <v>2810232117</v>
      </c>
      <c r="AL173" t="s">
        <v>592</v>
      </c>
      <c r="AM173" t="s">
        <v>78</v>
      </c>
      <c r="AN173" t="s">
        <v>78</v>
      </c>
      <c r="AO173" t="s">
        <v>78</v>
      </c>
      <c r="AP173" t="s">
        <v>141</v>
      </c>
      <c r="AQ173">
        <v>11</v>
      </c>
      <c r="AR173" t="s">
        <v>123</v>
      </c>
      <c r="AS173" t="s">
        <v>124</v>
      </c>
      <c r="AT173" t="s">
        <v>58</v>
      </c>
      <c r="AU173" t="s">
        <v>68</v>
      </c>
      <c r="AV173" t="s">
        <v>69</v>
      </c>
      <c r="AW173" s="1">
        <v>29061</v>
      </c>
      <c r="AX173">
        <v>2</v>
      </c>
    </row>
    <row r="174" spans="1:50">
      <c r="A174">
        <v>201003</v>
      </c>
      <c r="B174" t="str">
        <f>"048354800"</f>
        <v>048354800</v>
      </c>
      <c r="C174" t="s">
        <v>105</v>
      </c>
      <c r="D174" t="s">
        <v>769</v>
      </c>
      <c r="E174" t="s">
        <v>95</v>
      </c>
      <c r="F174" t="s">
        <v>106</v>
      </c>
      <c r="G174" t="s">
        <v>54</v>
      </c>
      <c r="H174" t="str">
        <f>"ΛΑΔΩΝΑ 21 ΜΕΣΑΜΠΕΛΙΕΣ"</f>
        <v>ΛΑΔΩΝΑ 21 ΜΕΣΑΜΠΕΛΙΕΣ</v>
      </c>
      <c r="I174">
        <v>71409</v>
      </c>
      <c r="J174">
        <v>2810212685</v>
      </c>
      <c r="K174">
        <v>6946290293</v>
      </c>
      <c r="M174" t="s">
        <v>770</v>
      </c>
      <c r="N174" t="s">
        <v>157</v>
      </c>
      <c r="O174" t="s">
        <v>158</v>
      </c>
      <c r="R174" t="s">
        <v>57</v>
      </c>
      <c r="S174">
        <v>6</v>
      </c>
      <c r="T174">
        <v>231</v>
      </c>
      <c r="U174" s="1">
        <v>38230</v>
      </c>
      <c r="V174" t="s">
        <v>123</v>
      </c>
      <c r="W174" t="s">
        <v>124</v>
      </c>
      <c r="X174" t="s">
        <v>58</v>
      </c>
      <c r="Y174">
        <v>20</v>
      </c>
      <c r="Z174" t="s">
        <v>59</v>
      </c>
      <c r="AA174" t="s">
        <v>59</v>
      </c>
      <c r="AB174" t="s">
        <v>59</v>
      </c>
      <c r="AC174" t="s">
        <v>59</v>
      </c>
      <c r="AD174" t="s">
        <v>59</v>
      </c>
      <c r="AF174" s="1">
        <v>38232</v>
      </c>
      <c r="AG174" t="s">
        <v>148</v>
      </c>
      <c r="AH174" t="s">
        <v>149</v>
      </c>
      <c r="AI174" t="str">
        <f>"1751030"</f>
        <v>1751030</v>
      </c>
      <c r="AJ174" t="s">
        <v>234</v>
      </c>
      <c r="AK174">
        <v>2810282911</v>
      </c>
      <c r="AL174" t="s">
        <v>235</v>
      </c>
      <c r="AM174" t="s">
        <v>78</v>
      </c>
      <c r="AN174" t="s">
        <v>78</v>
      </c>
      <c r="AO174" t="s">
        <v>78</v>
      </c>
      <c r="AP174" t="s">
        <v>163</v>
      </c>
      <c r="AQ174">
        <v>1</v>
      </c>
      <c r="AR174" t="s">
        <v>123</v>
      </c>
      <c r="AS174" t="s">
        <v>124</v>
      </c>
      <c r="AT174" t="s">
        <v>58</v>
      </c>
      <c r="AU174" t="s">
        <v>68</v>
      </c>
      <c r="AV174" t="s">
        <v>69</v>
      </c>
      <c r="AW174" s="1">
        <v>27095</v>
      </c>
      <c r="AX174">
        <v>2</v>
      </c>
    </row>
    <row r="175" spans="1:50">
      <c r="A175">
        <v>154167</v>
      </c>
      <c r="B175" t="str">
        <f>"021322813"</f>
        <v>021322813</v>
      </c>
      <c r="C175" t="s">
        <v>105</v>
      </c>
      <c r="D175" t="s">
        <v>769</v>
      </c>
      <c r="E175" t="s">
        <v>106</v>
      </c>
      <c r="F175" t="s">
        <v>166</v>
      </c>
      <c r="G175" t="s">
        <v>263</v>
      </c>
      <c r="H175" t="str">
        <f>" "</f>
        <v xml:space="preserve"> </v>
      </c>
      <c r="K175">
        <v>6977016161</v>
      </c>
      <c r="N175" t="s">
        <v>292</v>
      </c>
      <c r="O175" t="s">
        <v>293</v>
      </c>
      <c r="R175" t="s">
        <v>57</v>
      </c>
      <c r="S175">
        <v>15</v>
      </c>
      <c r="T175">
        <v>161</v>
      </c>
      <c r="U175" s="1">
        <v>32387</v>
      </c>
      <c r="V175" t="s">
        <v>123</v>
      </c>
      <c r="W175" t="s">
        <v>124</v>
      </c>
      <c r="X175" t="s">
        <v>58</v>
      </c>
      <c r="Y175">
        <v>18</v>
      </c>
      <c r="Z175" t="s">
        <v>59</v>
      </c>
      <c r="AA175" t="s">
        <v>59</v>
      </c>
      <c r="AB175" t="s">
        <v>59</v>
      </c>
      <c r="AC175" t="s">
        <v>59</v>
      </c>
      <c r="AD175" t="s">
        <v>59</v>
      </c>
      <c r="AF175" s="1">
        <v>32392</v>
      </c>
      <c r="AG175" t="s">
        <v>125</v>
      </c>
      <c r="AH175" t="s">
        <v>126</v>
      </c>
      <c r="AI175" t="str">
        <f>"1701057"</f>
        <v>1701057</v>
      </c>
      <c r="AJ175" t="s">
        <v>379</v>
      </c>
      <c r="AK175">
        <v>2810234488</v>
      </c>
      <c r="AL175" t="s">
        <v>380</v>
      </c>
      <c r="AM175" t="s">
        <v>78</v>
      </c>
      <c r="AN175" t="s">
        <v>78</v>
      </c>
      <c r="AO175" t="s">
        <v>78</v>
      </c>
      <c r="AP175" t="s">
        <v>163</v>
      </c>
      <c r="AQ175">
        <v>8</v>
      </c>
      <c r="AR175" t="s">
        <v>123</v>
      </c>
      <c r="AS175" t="s">
        <v>124</v>
      </c>
      <c r="AT175" t="s">
        <v>58</v>
      </c>
      <c r="AU175" t="s">
        <v>68</v>
      </c>
      <c r="AV175" t="s">
        <v>69</v>
      </c>
      <c r="AW175" s="1">
        <v>20769</v>
      </c>
      <c r="AX175">
        <v>2</v>
      </c>
    </row>
    <row r="176" spans="1:50">
      <c r="A176">
        <v>200893</v>
      </c>
      <c r="B176" t="str">
        <f>"101459960"</f>
        <v>101459960</v>
      </c>
      <c r="C176" t="s">
        <v>50</v>
      </c>
      <c r="D176" t="s">
        <v>771</v>
      </c>
      <c r="E176" t="s">
        <v>215</v>
      </c>
      <c r="F176" t="s">
        <v>99</v>
      </c>
      <c r="G176" t="s">
        <v>367</v>
      </c>
      <c r="H176" t="str">
        <f>"ΚΑΛΛΙΠΟΛΕΩΣ 66 ΗΡΑΚΛΕΙΟ"</f>
        <v>ΚΑΛΛΙΠΟΛΕΩΣ 66 ΗΡΑΚΛΕΙΟ</v>
      </c>
      <c r="I176">
        <v>71306</v>
      </c>
      <c r="J176">
        <v>2815004565</v>
      </c>
      <c r="K176">
        <v>6987532161</v>
      </c>
      <c r="M176" t="s">
        <v>772</v>
      </c>
      <c r="N176" t="s">
        <v>204</v>
      </c>
      <c r="O176" t="s">
        <v>205</v>
      </c>
      <c r="R176" t="s">
        <v>57</v>
      </c>
      <c r="S176">
        <v>7</v>
      </c>
      <c r="T176">
        <v>213</v>
      </c>
      <c r="U176" s="1">
        <v>37874</v>
      </c>
      <c r="V176" t="s">
        <v>123</v>
      </c>
      <c r="W176" t="s">
        <v>124</v>
      </c>
      <c r="X176" t="s">
        <v>58</v>
      </c>
      <c r="Y176">
        <v>20</v>
      </c>
      <c r="Z176" t="s">
        <v>59</v>
      </c>
      <c r="AA176" t="s">
        <v>59</v>
      </c>
      <c r="AB176" t="s">
        <v>59</v>
      </c>
      <c r="AC176" t="s">
        <v>59</v>
      </c>
      <c r="AD176" t="s">
        <v>59</v>
      </c>
      <c r="AF176" s="1">
        <v>37882</v>
      </c>
      <c r="AG176" t="s">
        <v>148</v>
      </c>
      <c r="AH176" t="s">
        <v>149</v>
      </c>
      <c r="AI176" t="str">
        <f>"1751040"</f>
        <v>1751040</v>
      </c>
      <c r="AJ176" t="s">
        <v>178</v>
      </c>
      <c r="AK176">
        <v>2810252495</v>
      </c>
      <c r="AL176" t="s">
        <v>179</v>
      </c>
      <c r="AM176" t="s">
        <v>78</v>
      </c>
      <c r="AN176" t="s">
        <v>78</v>
      </c>
      <c r="AO176" t="s">
        <v>78</v>
      </c>
      <c r="AP176" t="s">
        <v>141</v>
      </c>
      <c r="AQ176">
        <v>3</v>
      </c>
      <c r="AR176" t="s">
        <v>123</v>
      </c>
      <c r="AS176" t="s">
        <v>124</v>
      </c>
      <c r="AT176" t="s">
        <v>58</v>
      </c>
      <c r="AU176" t="s">
        <v>68</v>
      </c>
      <c r="AV176" t="s">
        <v>69</v>
      </c>
      <c r="AW176" s="1">
        <v>28004</v>
      </c>
      <c r="AX176">
        <v>2</v>
      </c>
    </row>
    <row r="177" spans="1:50">
      <c r="B177" t="str">
        <f>"100109070"</f>
        <v>100109070</v>
      </c>
      <c r="C177" t="s">
        <v>50</v>
      </c>
      <c r="D177" t="s">
        <v>771</v>
      </c>
      <c r="E177" t="s">
        <v>52</v>
      </c>
      <c r="F177" t="s">
        <v>106</v>
      </c>
      <c r="G177" t="s">
        <v>255</v>
      </c>
      <c r="H177" t="str">
        <f>"ΓΕΡΑΝΙΩΝ 7 ΗΡΑΚΛΕΙΟ"</f>
        <v>ΓΕΡΑΝΙΩΝ 7 ΗΡΑΚΛΕΙΟ</v>
      </c>
      <c r="I177">
        <v>71409</v>
      </c>
      <c r="J177">
        <v>2815003323</v>
      </c>
      <c r="K177">
        <v>6973056473</v>
      </c>
      <c r="M177" t="s">
        <v>773</v>
      </c>
      <c r="N177" t="s">
        <v>292</v>
      </c>
      <c r="O177" t="s">
        <v>293</v>
      </c>
      <c r="R177" t="s">
        <v>159</v>
      </c>
      <c r="S177">
        <v>4</v>
      </c>
      <c r="T177" t="s">
        <v>416</v>
      </c>
      <c r="U177" s="1">
        <v>43349</v>
      </c>
      <c r="V177" t="s">
        <v>123</v>
      </c>
      <c r="W177" t="s">
        <v>124</v>
      </c>
      <c r="X177" t="s">
        <v>58</v>
      </c>
      <c r="Y177">
        <v>21</v>
      </c>
      <c r="Z177" t="s">
        <v>59</v>
      </c>
      <c r="AA177" t="s">
        <v>59</v>
      </c>
      <c r="AB177" t="s">
        <v>59</v>
      </c>
      <c r="AC177" t="s">
        <v>59</v>
      </c>
      <c r="AD177" t="s">
        <v>59</v>
      </c>
      <c r="AF177" s="1">
        <v>43349</v>
      </c>
      <c r="AG177" t="s">
        <v>125</v>
      </c>
      <c r="AH177" t="s">
        <v>126</v>
      </c>
      <c r="AI177" t="str">
        <f>"1710010"</f>
        <v>1710010</v>
      </c>
      <c r="AJ177" t="s">
        <v>595</v>
      </c>
      <c r="AK177">
        <v>2810711220</v>
      </c>
      <c r="AL177" t="s">
        <v>596</v>
      </c>
      <c r="AM177" t="s">
        <v>78</v>
      </c>
      <c r="AN177" t="s">
        <v>129</v>
      </c>
      <c r="AO177" t="s">
        <v>597</v>
      </c>
      <c r="AP177" t="s">
        <v>598</v>
      </c>
      <c r="AQ177">
        <v>28</v>
      </c>
      <c r="AR177" t="s">
        <v>123</v>
      </c>
      <c r="AS177" t="s">
        <v>124</v>
      </c>
      <c r="AT177" t="s">
        <v>58</v>
      </c>
      <c r="AU177" t="s">
        <v>419</v>
      </c>
      <c r="AV177" t="s">
        <v>132</v>
      </c>
      <c r="AW177" s="1">
        <v>28604</v>
      </c>
      <c r="AX177">
        <v>2</v>
      </c>
    </row>
    <row r="178" spans="1:50">
      <c r="A178">
        <v>221912</v>
      </c>
      <c r="B178" t="str">
        <f>"054353591"</f>
        <v>054353591</v>
      </c>
      <c r="C178" t="s">
        <v>50</v>
      </c>
      <c r="D178" t="s">
        <v>771</v>
      </c>
      <c r="E178" t="s">
        <v>181</v>
      </c>
      <c r="F178" t="s">
        <v>95</v>
      </c>
      <c r="G178" t="s">
        <v>250</v>
      </c>
      <c r="H178" t="str">
        <f>"ΜΕΣΣΗΝΗΣ 19 ΜΕΣΑΜΠΕΛΙΕΣ"</f>
        <v>ΜΕΣΣΗΝΗΣ 19 ΜΕΣΑΜΠΕΛΙΕΣ</v>
      </c>
      <c r="I178">
        <v>71410</v>
      </c>
      <c r="J178">
        <v>2810232998</v>
      </c>
      <c r="K178">
        <v>6932152715</v>
      </c>
      <c r="M178" t="s">
        <v>774</v>
      </c>
      <c r="N178" t="s">
        <v>146</v>
      </c>
      <c r="O178" t="s">
        <v>147</v>
      </c>
      <c r="R178" t="s">
        <v>57</v>
      </c>
      <c r="S178">
        <v>8</v>
      </c>
      <c r="T178">
        <v>775</v>
      </c>
      <c r="U178" s="1">
        <v>39680</v>
      </c>
      <c r="V178" t="s">
        <v>123</v>
      </c>
      <c r="W178" t="s">
        <v>124</v>
      </c>
      <c r="X178" t="s">
        <v>58</v>
      </c>
      <c r="Y178">
        <v>20</v>
      </c>
      <c r="Z178" t="s">
        <v>59</v>
      </c>
      <c r="AA178" t="s">
        <v>59</v>
      </c>
      <c r="AB178" t="s">
        <v>59</v>
      </c>
      <c r="AC178" t="s">
        <v>59</v>
      </c>
      <c r="AD178" t="s">
        <v>59</v>
      </c>
      <c r="AF178" s="1">
        <v>39681</v>
      </c>
      <c r="AG178" t="s">
        <v>137</v>
      </c>
      <c r="AH178" t="s">
        <v>138</v>
      </c>
      <c r="AI178" t="str">
        <f>"1740210"</f>
        <v>1740210</v>
      </c>
      <c r="AJ178" t="s">
        <v>139</v>
      </c>
      <c r="AK178">
        <v>2810318130</v>
      </c>
      <c r="AL178" t="s">
        <v>140</v>
      </c>
      <c r="AM178" t="s">
        <v>78</v>
      </c>
      <c r="AN178" t="s">
        <v>78</v>
      </c>
      <c r="AO178" t="s">
        <v>78</v>
      </c>
      <c r="AP178" t="s">
        <v>141</v>
      </c>
      <c r="AQ178">
        <v>7</v>
      </c>
      <c r="AR178" t="s">
        <v>123</v>
      </c>
      <c r="AS178" t="s">
        <v>124</v>
      </c>
      <c r="AT178" t="s">
        <v>58</v>
      </c>
      <c r="AU178" t="s">
        <v>68</v>
      </c>
      <c r="AV178" t="s">
        <v>69</v>
      </c>
      <c r="AW178" s="1">
        <v>25553</v>
      </c>
      <c r="AX178">
        <v>2</v>
      </c>
    </row>
    <row r="179" spans="1:50">
      <c r="A179">
        <v>164961</v>
      </c>
      <c r="B179" t="str">
        <f>"035051442"</f>
        <v>035051442</v>
      </c>
      <c r="C179" t="s">
        <v>105</v>
      </c>
      <c r="D179" t="s">
        <v>775</v>
      </c>
      <c r="E179" t="s">
        <v>106</v>
      </c>
      <c r="F179" t="s">
        <v>776</v>
      </c>
      <c r="G179" t="s">
        <v>52</v>
      </c>
      <c r="H179" t="str">
        <f>"ΚΑΡΚΑΝΗ 4 ΚΑΛΛΙΘΕΑ"</f>
        <v>ΚΑΡΚΑΝΗ 4 ΚΑΛΛΙΘΕΑ</v>
      </c>
      <c r="I179">
        <v>71601</v>
      </c>
      <c r="J179">
        <v>2810381739</v>
      </c>
      <c r="K179">
        <v>6972112784</v>
      </c>
      <c r="M179" t="s">
        <v>777</v>
      </c>
      <c r="N179" t="s">
        <v>135</v>
      </c>
      <c r="O179" t="s">
        <v>136</v>
      </c>
      <c r="R179" t="s">
        <v>57</v>
      </c>
      <c r="S179">
        <v>14</v>
      </c>
      <c r="T179">
        <v>161</v>
      </c>
      <c r="U179" s="1">
        <v>33844</v>
      </c>
      <c r="V179" t="s">
        <v>123</v>
      </c>
      <c r="W179" t="s">
        <v>124</v>
      </c>
      <c r="X179" t="s">
        <v>58</v>
      </c>
      <c r="Y179">
        <v>18</v>
      </c>
      <c r="Z179" t="s">
        <v>59</v>
      </c>
      <c r="AA179" t="s">
        <v>59</v>
      </c>
      <c r="AB179" t="s">
        <v>59</v>
      </c>
      <c r="AC179" t="s">
        <v>59</v>
      </c>
      <c r="AD179" t="s">
        <v>59</v>
      </c>
      <c r="AF179" s="1">
        <v>33848</v>
      </c>
      <c r="AG179" t="s">
        <v>125</v>
      </c>
      <c r="AH179" t="s">
        <v>126</v>
      </c>
      <c r="AI179" t="str">
        <f>"1727010"</f>
        <v>1727010</v>
      </c>
      <c r="AJ179" t="s">
        <v>618</v>
      </c>
      <c r="AK179">
        <v>2810229231</v>
      </c>
      <c r="AL179" t="s">
        <v>619</v>
      </c>
      <c r="AM179" t="s">
        <v>78</v>
      </c>
      <c r="AN179" t="s">
        <v>78</v>
      </c>
      <c r="AO179" t="s">
        <v>286</v>
      </c>
      <c r="AP179" t="s">
        <v>286</v>
      </c>
      <c r="AQ179">
        <v>12</v>
      </c>
      <c r="AR179" t="s">
        <v>123</v>
      </c>
      <c r="AS179" t="s">
        <v>124</v>
      </c>
      <c r="AT179" t="s">
        <v>58</v>
      </c>
      <c r="AU179" t="s">
        <v>68</v>
      </c>
      <c r="AV179" t="s">
        <v>69</v>
      </c>
      <c r="AW179" s="1">
        <v>22249</v>
      </c>
      <c r="AX179">
        <v>2</v>
      </c>
    </row>
    <row r="180" spans="1:50">
      <c r="A180">
        <v>211210</v>
      </c>
      <c r="B180" t="str">
        <f>"079767454"</f>
        <v>079767454</v>
      </c>
      <c r="C180" t="s">
        <v>105</v>
      </c>
      <c r="D180" t="s">
        <v>775</v>
      </c>
      <c r="E180" t="s">
        <v>53</v>
      </c>
      <c r="F180" t="s">
        <v>153</v>
      </c>
      <c r="G180" t="s">
        <v>73</v>
      </c>
      <c r="H180" t="str">
        <f>"21 ΙΟΥΝΙΟΥ ΚΙΛΚΙΣ"</f>
        <v>21 ΙΟΥΝΙΟΥ ΚΙΛΚΙΣ</v>
      </c>
      <c r="I180">
        <v>61100</v>
      </c>
      <c r="K180">
        <v>6973989510</v>
      </c>
      <c r="M180" t="s">
        <v>778</v>
      </c>
      <c r="N180" t="s">
        <v>331</v>
      </c>
      <c r="O180" t="s">
        <v>332</v>
      </c>
      <c r="R180" t="s">
        <v>57</v>
      </c>
      <c r="S180">
        <v>6</v>
      </c>
      <c r="T180">
        <v>299</v>
      </c>
      <c r="U180" s="1">
        <v>38670</v>
      </c>
      <c r="V180" t="s">
        <v>123</v>
      </c>
      <c r="W180" t="s">
        <v>124</v>
      </c>
      <c r="X180" t="s">
        <v>58</v>
      </c>
      <c r="Y180">
        <v>20</v>
      </c>
      <c r="Z180" t="s">
        <v>59</v>
      </c>
      <c r="AA180" t="s">
        <v>59</v>
      </c>
      <c r="AB180" t="s">
        <v>59</v>
      </c>
      <c r="AC180" t="s">
        <v>59</v>
      </c>
      <c r="AD180" t="s">
        <v>59</v>
      </c>
      <c r="AF180" s="1">
        <v>38670</v>
      </c>
      <c r="AG180" t="s">
        <v>137</v>
      </c>
      <c r="AH180" t="s">
        <v>138</v>
      </c>
      <c r="AI180" t="str">
        <f>"1740310"</f>
        <v>1740310</v>
      </c>
      <c r="AJ180" t="s">
        <v>488</v>
      </c>
      <c r="AK180">
        <v>2891024228</v>
      </c>
      <c r="AL180" t="s">
        <v>489</v>
      </c>
      <c r="AM180" t="s">
        <v>78</v>
      </c>
      <c r="AN180" t="s">
        <v>276</v>
      </c>
      <c r="AO180" t="s">
        <v>490</v>
      </c>
      <c r="AP180" t="s">
        <v>490</v>
      </c>
      <c r="AQ180">
        <v>15</v>
      </c>
      <c r="AR180" t="s">
        <v>123</v>
      </c>
      <c r="AS180" t="s">
        <v>124</v>
      </c>
      <c r="AT180" t="s">
        <v>58</v>
      </c>
      <c r="AU180" t="s">
        <v>68</v>
      </c>
      <c r="AV180" t="s">
        <v>69</v>
      </c>
      <c r="AW180" s="1">
        <v>28518</v>
      </c>
      <c r="AX180">
        <v>2</v>
      </c>
    </row>
    <row r="181" spans="1:50">
      <c r="A181">
        <v>181992</v>
      </c>
      <c r="B181" t="str">
        <f>"073304553"</f>
        <v>073304553</v>
      </c>
      <c r="C181" t="s">
        <v>50</v>
      </c>
      <c r="D181" t="s">
        <v>779</v>
      </c>
      <c r="E181" t="s">
        <v>255</v>
      </c>
      <c r="F181" t="s">
        <v>95</v>
      </c>
      <c r="G181" t="s">
        <v>52</v>
      </c>
      <c r="H181" t="str">
        <f>"ΚΑΝΤΑΝΟΥ 93 "</f>
        <v xml:space="preserve">ΚΑΝΤΑΝΟΥ 93 </v>
      </c>
      <c r="J181">
        <v>2811107543</v>
      </c>
      <c r="K181">
        <v>6938730040</v>
      </c>
      <c r="M181" t="s">
        <v>780</v>
      </c>
      <c r="N181" t="s">
        <v>204</v>
      </c>
      <c r="O181" t="s">
        <v>205</v>
      </c>
      <c r="R181" t="s">
        <v>57</v>
      </c>
      <c r="S181">
        <v>10</v>
      </c>
      <c r="T181">
        <v>164</v>
      </c>
      <c r="U181" s="1">
        <v>36040</v>
      </c>
      <c r="V181" t="s">
        <v>123</v>
      </c>
      <c r="W181" t="s">
        <v>124</v>
      </c>
      <c r="X181" t="s">
        <v>58</v>
      </c>
      <c r="Y181">
        <v>18</v>
      </c>
      <c r="Z181" t="s">
        <v>59</v>
      </c>
      <c r="AA181" t="s">
        <v>59</v>
      </c>
      <c r="AB181" t="s">
        <v>59</v>
      </c>
      <c r="AC181" t="s">
        <v>59</v>
      </c>
      <c r="AD181" t="s">
        <v>59</v>
      </c>
      <c r="AF181" s="1">
        <v>36041</v>
      </c>
      <c r="AG181" t="s">
        <v>125</v>
      </c>
      <c r="AH181" t="s">
        <v>126</v>
      </c>
      <c r="AI181" t="str">
        <f>"1701055"</f>
        <v>1701055</v>
      </c>
      <c r="AJ181" t="s">
        <v>301</v>
      </c>
      <c r="AK181">
        <v>2810257353</v>
      </c>
      <c r="AL181" t="s">
        <v>302</v>
      </c>
      <c r="AM181" t="s">
        <v>78</v>
      </c>
      <c r="AN181" t="s">
        <v>78</v>
      </c>
      <c r="AO181" t="s">
        <v>78</v>
      </c>
      <c r="AP181" t="s">
        <v>141</v>
      </c>
      <c r="AQ181">
        <v>7</v>
      </c>
      <c r="AR181" t="s">
        <v>123</v>
      </c>
      <c r="AS181" t="s">
        <v>124</v>
      </c>
      <c r="AT181" t="s">
        <v>58</v>
      </c>
      <c r="AU181" t="s">
        <v>68</v>
      </c>
      <c r="AV181" t="s">
        <v>69</v>
      </c>
      <c r="AW181" s="1">
        <v>25491</v>
      </c>
      <c r="AX181">
        <v>2</v>
      </c>
    </row>
    <row r="182" spans="1:50">
      <c r="A182">
        <v>224836</v>
      </c>
      <c r="B182" t="str">
        <f>"039369132"</f>
        <v>039369132</v>
      </c>
      <c r="C182" t="s">
        <v>105</v>
      </c>
      <c r="D182" t="s">
        <v>781</v>
      </c>
      <c r="E182" t="s">
        <v>95</v>
      </c>
      <c r="F182" t="s">
        <v>782</v>
      </c>
      <c r="G182" t="s">
        <v>783</v>
      </c>
      <c r="H182" t="str">
        <f>"ΟΥΛΑΦ-ΠΑΛΜΕ 32 ΗΡΑΚΛΕΙΟ"</f>
        <v>ΟΥΛΑΦ-ΠΑΛΜΕ 32 ΗΡΑΚΛΕΙΟ</v>
      </c>
      <c r="I182">
        <v>71410</v>
      </c>
      <c r="J182">
        <v>2810232913</v>
      </c>
      <c r="K182">
        <v>6942444689</v>
      </c>
      <c r="M182" t="s">
        <v>784</v>
      </c>
      <c r="N182" t="s">
        <v>176</v>
      </c>
      <c r="O182" t="s">
        <v>177</v>
      </c>
      <c r="R182" t="s">
        <v>57</v>
      </c>
      <c r="S182">
        <v>7</v>
      </c>
      <c r="T182">
        <v>775</v>
      </c>
      <c r="U182" s="1">
        <v>39680</v>
      </c>
      <c r="V182" t="s">
        <v>123</v>
      </c>
      <c r="W182" t="s">
        <v>124</v>
      </c>
      <c r="X182" t="s">
        <v>58</v>
      </c>
      <c r="Y182">
        <v>20</v>
      </c>
      <c r="Z182" t="s">
        <v>59</v>
      </c>
      <c r="AA182" t="s">
        <v>59</v>
      </c>
      <c r="AB182" t="s">
        <v>59</v>
      </c>
      <c r="AC182" t="s">
        <v>59</v>
      </c>
      <c r="AD182" t="s">
        <v>59</v>
      </c>
      <c r="AF182" s="1">
        <v>39692</v>
      </c>
      <c r="AG182" t="s">
        <v>125</v>
      </c>
      <c r="AH182" t="s">
        <v>126</v>
      </c>
      <c r="AI182" t="str">
        <f>"1701055"</f>
        <v>1701055</v>
      </c>
      <c r="AJ182" t="s">
        <v>301</v>
      </c>
      <c r="AK182">
        <v>2810257353</v>
      </c>
      <c r="AL182" t="s">
        <v>302</v>
      </c>
      <c r="AM182" t="s">
        <v>78</v>
      </c>
      <c r="AN182" t="s">
        <v>78</v>
      </c>
      <c r="AO182" t="s">
        <v>78</v>
      </c>
      <c r="AP182" t="s">
        <v>141</v>
      </c>
      <c r="AQ182">
        <v>7</v>
      </c>
      <c r="AR182" t="s">
        <v>123</v>
      </c>
      <c r="AS182" t="s">
        <v>124</v>
      </c>
      <c r="AT182" t="s">
        <v>58</v>
      </c>
      <c r="AU182" t="s">
        <v>68</v>
      </c>
      <c r="AV182" t="s">
        <v>69</v>
      </c>
      <c r="AW182" s="1">
        <v>24138</v>
      </c>
      <c r="AX182">
        <v>2</v>
      </c>
    </row>
    <row r="183" spans="1:50">
      <c r="A183">
        <v>182216</v>
      </c>
      <c r="B183" t="str">
        <f>"035803306"</f>
        <v>035803306</v>
      </c>
      <c r="C183" t="s">
        <v>50</v>
      </c>
      <c r="D183" t="s">
        <v>785</v>
      </c>
      <c r="E183" t="s">
        <v>52</v>
      </c>
      <c r="F183" t="s">
        <v>786</v>
      </c>
      <c r="G183" t="s">
        <v>787</v>
      </c>
      <c r="H183" t="str">
        <f>"ΚΟΥΝΑΒΟΙ ΠΕΔΙΑΔΟΣ"</f>
        <v>ΚΟΥΝΑΒΟΙ ΠΕΔΙΑΔΟΣ</v>
      </c>
      <c r="I183">
        <v>70100</v>
      </c>
      <c r="K183">
        <v>6932375025</v>
      </c>
      <c r="M183" t="s">
        <v>788</v>
      </c>
      <c r="N183" t="s">
        <v>306</v>
      </c>
      <c r="O183" t="s">
        <v>307</v>
      </c>
      <c r="R183" t="s">
        <v>57</v>
      </c>
      <c r="S183">
        <v>14</v>
      </c>
      <c r="T183">
        <v>154</v>
      </c>
      <c r="U183" s="1">
        <v>34225</v>
      </c>
      <c r="V183" t="s">
        <v>123</v>
      </c>
      <c r="W183" t="s">
        <v>124</v>
      </c>
      <c r="X183" t="s">
        <v>58</v>
      </c>
      <c r="Y183">
        <v>18</v>
      </c>
      <c r="Z183" t="s">
        <v>59</v>
      </c>
      <c r="AA183" t="s">
        <v>59</v>
      </c>
      <c r="AB183" t="s">
        <v>59</v>
      </c>
      <c r="AC183" t="s">
        <v>59</v>
      </c>
      <c r="AD183" t="s">
        <v>59</v>
      </c>
      <c r="AF183" s="1">
        <v>34225</v>
      </c>
      <c r="AG183" t="s">
        <v>125</v>
      </c>
      <c r="AH183" t="s">
        <v>126</v>
      </c>
      <c r="AI183" t="str">
        <f>"1711010"</f>
        <v>1711010</v>
      </c>
      <c r="AJ183" t="s">
        <v>695</v>
      </c>
      <c r="AK183">
        <v>2810741301</v>
      </c>
      <c r="AL183" t="s">
        <v>696</v>
      </c>
      <c r="AM183" t="s">
        <v>78</v>
      </c>
      <c r="AN183" t="s">
        <v>424</v>
      </c>
      <c r="AO183" t="s">
        <v>428</v>
      </c>
      <c r="AP183" t="s">
        <v>429</v>
      </c>
      <c r="AQ183">
        <v>14</v>
      </c>
      <c r="AR183" t="s">
        <v>123</v>
      </c>
      <c r="AS183" t="s">
        <v>124</v>
      </c>
      <c r="AT183" t="s">
        <v>58</v>
      </c>
      <c r="AU183" t="s">
        <v>68</v>
      </c>
      <c r="AV183" t="s">
        <v>69</v>
      </c>
      <c r="AW183" s="1">
        <v>24402</v>
      </c>
      <c r="AX183">
        <v>2</v>
      </c>
    </row>
    <row r="184" spans="1:50">
      <c r="A184">
        <v>206535</v>
      </c>
      <c r="B184" t="str">
        <f>"113240000"</f>
        <v>113240000</v>
      </c>
      <c r="C184" t="s">
        <v>50</v>
      </c>
      <c r="D184" t="s">
        <v>789</v>
      </c>
      <c r="E184" t="s">
        <v>109</v>
      </c>
      <c r="F184" t="s">
        <v>53</v>
      </c>
      <c r="G184" t="s">
        <v>83</v>
      </c>
      <c r="H184" t="str">
        <f>" "</f>
        <v xml:space="preserve"> </v>
      </c>
      <c r="J184">
        <v>2810251934</v>
      </c>
      <c r="K184">
        <v>6946154178</v>
      </c>
      <c r="N184" t="s">
        <v>146</v>
      </c>
      <c r="O184" t="s">
        <v>147</v>
      </c>
      <c r="R184" t="s">
        <v>57</v>
      </c>
      <c r="S184">
        <v>7</v>
      </c>
      <c r="T184">
        <v>218</v>
      </c>
      <c r="U184" s="1">
        <v>38596</v>
      </c>
      <c r="V184" t="s">
        <v>123</v>
      </c>
      <c r="W184" t="s">
        <v>124</v>
      </c>
      <c r="X184" t="s">
        <v>58</v>
      </c>
      <c r="Y184">
        <v>20</v>
      </c>
      <c r="Z184" t="s">
        <v>59</v>
      </c>
      <c r="AA184" t="s">
        <v>59</v>
      </c>
      <c r="AB184" t="s">
        <v>59</v>
      </c>
      <c r="AC184" t="s">
        <v>59</v>
      </c>
      <c r="AD184" t="s">
        <v>59</v>
      </c>
      <c r="AF184" s="1">
        <v>38600</v>
      </c>
      <c r="AG184" t="s">
        <v>137</v>
      </c>
      <c r="AH184" t="s">
        <v>138</v>
      </c>
      <c r="AI184" t="str">
        <f>"1750080"</f>
        <v>1750080</v>
      </c>
      <c r="AJ184" t="s">
        <v>170</v>
      </c>
      <c r="AK184">
        <v>2810234444</v>
      </c>
      <c r="AL184" t="s">
        <v>171</v>
      </c>
      <c r="AM184" t="s">
        <v>78</v>
      </c>
      <c r="AN184" t="s">
        <v>78</v>
      </c>
      <c r="AO184" t="s">
        <v>78</v>
      </c>
      <c r="AP184" t="s">
        <v>163</v>
      </c>
      <c r="AQ184">
        <v>9</v>
      </c>
      <c r="AR184" t="s">
        <v>123</v>
      </c>
      <c r="AS184" t="s">
        <v>124</v>
      </c>
      <c r="AT184" t="s">
        <v>58</v>
      </c>
      <c r="AU184" t="s">
        <v>68</v>
      </c>
      <c r="AV184" t="s">
        <v>69</v>
      </c>
      <c r="AW184" s="1">
        <v>25129</v>
      </c>
      <c r="AX184">
        <v>2</v>
      </c>
    </row>
    <row r="185" spans="1:50">
      <c r="A185">
        <v>210025</v>
      </c>
      <c r="B185" t="str">
        <f>"109911116"</f>
        <v>109911116</v>
      </c>
      <c r="C185" t="s">
        <v>50</v>
      </c>
      <c r="D185" t="s">
        <v>790</v>
      </c>
      <c r="E185" t="s">
        <v>114</v>
      </c>
      <c r="F185" t="s">
        <v>698</v>
      </c>
      <c r="G185" t="s">
        <v>367</v>
      </c>
      <c r="H185" t="str">
        <f>"ΜΑΤΘΑΙΑΚΗ 46 ΗΡΑΚΛΕΙΟ"</f>
        <v>ΜΑΤΘΑΙΑΚΗ 46 ΗΡΑΚΛΕΙΟ</v>
      </c>
      <c r="I185">
        <v>71305</v>
      </c>
      <c r="J185">
        <v>2810311071</v>
      </c>
      <c r="K185">
        <v>6972286631</v>
      </c>
      <c r="L185">
        <v>2310228385</v>
      </c>
      <c r="M185" t="s">
        <v>791</v>
      </c>
      <c r="N185" t="s">
        <v>232</v>
      </c>
      <c r="O185" t="s">
        <v>233</v>
      </c>
      <c r="R185" t="s">
        <v>57</v>
      </c>
      <c r="S185">
        <v>8</v>
      </c>
      <c r="T185">
        <v>228</v>
      </c>
      <c r="U185" s="1">
        <v>38608</v>
      </c>
      <c r="V185" t="s">
        <v>123</v>
      </c>
      <c r="W185" t="s">
        <v>124</v>
      </c>
      <c r="X185" t="s">
        <v>58</v>
      </c>
      <c r="Y185">
        <v>20</v>
      </c>
      <c r="Z185" t="s">
        <v>59</v>
      </c>
      <c r="AA185" t="s">
        <v>59</v>
      </c>
      <c r="AB185" t="s">
        <v>59</v>
      </c>
      <c r="AC185" t="s">
        <v>59</v>
      </c>
      <c r="AD185" t="s">
        <v>59</v>
      </c>
      <c r="AF185" s="1">
        <v>38609</v>
      </c>
      <c r="AG185" t="s">
        <v>148</v>
      </c>
      <c r="AH185" t="s">
        <v>149</v>
      </c>
      <c r="AI185" t="str">
        <f>"1759010"</f>
        <v>1759010</v>
      </c>
      <c r="AJ185" t="s">
        <v>403</v>
      </c>
      <c r="AK185">
        <v>2894022127</v>
      </c>
      <c r="AL185" t="s">
        <v>404</v>
      </c>
      <c r="AM185" t="s">
        <v>78</v>
      </c>
      <c r="AN185" t="s">
        <v>405</v>
      </c>
      <c r="AO185" t="s">
        <v>406</v>
      </c>
      <c r="AP185" t="s">
        <v>406</v>
      </c>
      <c r="AQ185">
        <v>30</v>
      </c>
      <c r="AR185" t="s">
        <v>123</v>
      </c>
      <c r="AS185" t="s">
        <v>124</v>
      </c>
      <c r="AT185" t="s">
        <v>58</v>
      </c>
      <c r="AU185" t="s">
        <v>68</v>
      </c>
      <c r="AV185" t="s">
        <v>69</v>
      </c>
      <c r="AW185" s="1">
        <v>27144</v>
      </c>
      <c r="AX185">
        <v>2</v>
      </c>
    </row>
    <row r="186" spans="1:50">
      <c r="A186">
        <v>209411</v>
      </c>
      <c r="B186" t="str">
        <f>"105871450"</f>
        <v>105871450</v>
      </c>
      <c r="C186" t="s">
        <v>50</v>
      </c>
      <c r="D186" t="s">
        <v>790</v>
      </c>
      <c r="E186" t="s">
        <v>52</v>
      </c>
      <c r="F186" t="s">
        <v>698</v>
      </c>
      <c r="G186" t="s">
        <v>367</v>
      </c>
      <c r="H186" t="str">
        <f>"ΜΥΣΤΡΑ 10 ΗΡΑΚΛΕΙΟ"</f>
        <v>ΜΥΣΤΡΑ 10 ΗΡΑΚΛΕΙΟ</v>
      </c>
      <c r="I186">
        <v>71305</v>
      </c>
      <c r="J186">
        <v>2810311832</v>
      </c>
      <c r="K186">
        <v>6973382241</v>
      </c>
      <c r="M186" t="s">
        <v>792</v>
      </c>
      <c r="N186" t="s">
        <v>146</v>
      </c>
      <c r="O186" t="s">
        <v>147</v>
      </c>
      <c r="R186" t="s">
        <v>57</v>
      </c>
      <c r="S186">
        <v>8</v>
      </c>
      <c r="T186">
        <v>255</v>
      </c>
      <c r="U186" s="1">
        <v>38604</v>
      </c>
      <c r="V186" t="s">
        <v>123</v>
      </c>
      <c r="W186" t="s">
        <v>124</v>
      </c>
      <c r="X186" t="s">
        <v>58</v>
      </c>
      <c r="Y186">
        <v>20</v>
      </c>
      <c r="Z186" t="s">
        <v>59</v>
      </c>
      <c r="AA186" t="s">
        <v>59</v>
      </c>
      <c r="AB186" t="s">
        <v>59</v>
      </c>
      <c r="AC186" t="s">
        <v>59</v>
      </c>
      <c r="AD186" t="s">
        <v>59</v>
      </c>
      <c r="AF186" s="1">
        <v>38609</v>
      </c>
      <c r="AG186" t="s">
        <v>148</v>
      </c>
      <c r="AH186" t="s">
        <v>149</v>
      </c>
      <c r="AI186" t="str">
        <f>"1778010"</f>
        <v>1778010</v>
      </c>
      <c r="AJ186" t="s">
        <v>672</v>
      </c>
      <c r="AK186">
        <v>2810822455</v>
      </c>
      <c r="AL186" t="s">
        <v>673</v>
      </c>
      <c r="AM186" t="s">
        <v>78</v>
      </c>
      <c r="AN186" t="s">
        <v>129</v>
      </c>
      <c r="AO186" t="s">
        <v>130</v>
      </c>
      <c r="AP186" t="s">
        <v>130</v>
      </c>
      <c r="AQ186">
        <v>36</v>
      </c>
      <c r="AR186" t="s">
        <v>123</v>
      </c>
      <c r="AS186" t="s">
        <v>124</v>
      </c>
      <c r="AT186" t="s">
        <v>58</v>
      </c>
      <c r="AU186" t="s">
        <v>68</v>
      </c>
      <c r="AV186" t="s">
        <v>69</v>
      </c>
      <c r="AW186" s="1">
        <v>27855</v>
      </c>
      <c r="AX186">
        <v>2</v>
      </c>
    </row>
    <row r="187" spans="1:50">
      <c r="A187">
        <v>167498</v>
      </c>
      <c r="B187" t="str">
        <f>"047926936"</f>
        <v>047926936</v>
      </c>
      <c r="C187" t="s">
        <v>50</v>
      </c>
      <c r="D187" t="s">
        <v>793</v>
      </c>
      <c r="E187" t="s">
        <v>367</v>
      </c>
      <c r="F187" t="s">
        <v>794</v>
      </c>
      <c r="G187" t="s">
        <v>52</v>
      </c>
      <c r="H187" t="str">
        <f>"ΝΤΑΛΙΑΝΗ 32 ΗΡΑΚΛΕΙΟ"</f>
        <v>ΝΤΑΛΙΑΝΗ 32 ΗΡΑΚΛΕΙΟ</v>
      </c>
      <c r="I187">
        <v>71306</v>
      </c>
      <c r="J187">
        <v>2810285332</v>
      </c>
      <c r="K187">
        <v>6942719122</v>
      </c>
      <c r="M187" t="s">
        <v>795</v>
      </c>
      <c r="N187" t="s">
        <v>157</v>
      </c>
      <c r="O187" t="s">
        <v>158</v>
      </c>
      <c r="R187" t="s">
        <v>57</v>
      </c>
      <c r="S187">
        <v>13</v>
      </c>
      <c r="T187">
        <v>159</v>
      </c>
      <c r="U187" s="1">
        <v>34582</v>
      </c>
      <c r="V187" t="s">
        <v>123</v>
      </c>
      <c r="W187" t="s">
        <v>124</v>
      </c>
      <c r="X187" t="s">
        <v>58</v>
      </c>
      <c r="Y187">
        <v>18</v>
      </c>
      <c r="Z187" t="s">
        <v>59</v>
      </c>
      <c r="AA187" t="s">
        <v>59</v>
      </c>
      <c r="AB187" t="s">
        <v>59</v>
      </c>
      <c r="AC187" t="s">
        <v>59</v>
      </c>
      <c r="AD187" t="s">
        <v>59</v>
      </c>
      <c r="AF187" s="1">
        <v>34583</v>
      </c>
      <c r="AG187" t="s">
        <v>148</v>
      </c>
      <c r="AH187" t="s">
        <v>149</v>
      </c>
      <c r="AI187" t="str">
        <f>"1751010"</f>
        <v>1751010</v>
      </c>
      <c r="AJ187" t="s">
        <v>150</v>
      </c>
      <c r="AK187">
        <v>2810346092</v>
      </c>
      <c r="AL187" t="s">
        <v>151</v>
      </c>
      <c r="AM187" t="s">
        <v>78</v>
      </c>
      <c r="AN187" t="s">
        <v>78</v>
      </c>
      <c r="AO187" t="s">
        <v>78</v>
      </c>
      <c r="AP187" t="s">
        <v>79</v>
      </c>
      <c r="AQ187">
        <v>1</v>
      </c>
      <c r="AR187" t="s">
        <v>123</v>
      </c>
      <c r="AS187" t="s">
        <v>124</v>
      </c>
      <c r="AT187" t="s">
        <v>58</v>
      </c>
      <c r="AU187" t="s">
        <v>68</v>
      </c>
      <c r="AV187" t="s">
        <v>69</v>
      </c>
      <c r="AW187" s="1">
        <v>23562</v>
      </c>
      <c r="AX187">
        <v>2</v>
      </c>
    </row>
    <row r="188" spans="1:50">
      <c r="A188">
        <v>215877</v>
      </c>
      <c r="B188" t="str">
        <f>"110129746"</f>
        <v>110129746</v>
      </c>
      <c r="C188" t="s">
        <v>50</v>
      </c>
      <c r="D188" t="s">
        <v>796</v>
      </c>
      <c r="E188" t="s">
        <v>237</v>
      </c>
      <c r="F188" t="s">
        <v>166</v>
      </c>
      <c r="G188" t="s">
        <v>610</v>
      </c>
      <c r="H188" t="str">
        <f>" "</f>
        <v xml:space="preserve"> </v>
      </c>
      <c r="J188">
        <v>2810360408</v>
      </c>
      <c r="K188">
        <v>6972204236</v>
      </c>
      <c r="M188" t="s">
        <v>797</v>
      </c>
      <c r="N188" t="s">
        <v>798</v>
      </c>
      <c r="O188" t="s">
        <v>799</v>
      </c>
      <c r="R188" t="s">
        <v>57</v>
      </c>
      <c r="S188">
        <v>8</v>
      </c>
      <c r="T188">
        <v>232</v>
      </c>
      <c r="U188" s="1">
        <v>38960</v>
      </c>
      <c r="V188" t="s">
        <v>123</v>
      </c>
      <c r="W188" t="s">
        <v>124</v>
      </c>
      <c r="X188" t="s">
        <v>58</v>
      </c>
      <c r="Y188">
        <v>20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F188" s="1">
        <v>38964</v>
      </c>
      <c r="AG188" t="s">
        <v>137</v>
      </c>
      <c r="AH188" t="s">
        <v>138</v>
      </c>
      <c r="AI188" t="str">
        <f>"1740310"</f>
        <v>1740310</v>
      </c>
      <c r="AJ188" t="s">
        <v>488</v>
      </c>
      <c r="AK188">
        <v>2891024228</v>
      </c>
      <c r="AL188" t="s">
        <v>489</v>
      </c>
      <c r="AM188" t="s">
        <v>78</v>
      </c>
      <c r="AN188" t="s">
        <v>276</v>
      </c>
      <c r="AO188" t="s">
        <v>490</v>
      </c>
      <c r="AP188" t="s">
        <v>490</v>
      </c>
      <c r="AQ188">
        <v>15</v>
      </c>
      <c r="AR188" t="s">
        <v>123</v>
      </c>
      <c r="AS188" t="s">
        <v>124</v>
      </c>
      <c r="AT188" t="s">
        <v>58</v>
      </c>
      <c r="AU188" t="s">
        <v>68</v>
      </c>
      <c r="AV188" t="s">
        <v>69</v>
      </c>
      <c r="AW188" s="1">
        <v>27438</v>
      </c>
      <c r="AX188">
        <v>2</v>
      </c>
    </row>
    <row r="189" spans="1:50">
      <c r="A189">
        <v>180375</v>
      </c>
      <c r="B189" t="str">
        <f>"044831628"</f>
        <v>044831628</v>
      </c>
      <c r="C189" t="s">
        <v>50</v>
      </c>
      <c r="D189" t="s">
        <v>796</v>
      </c>
      <c r="E189" t="s">
        <v>255</v>
      </c>
      <c r="F189" t="s">
        <v>166</v>
      </c>
      <c r="G189" t="s">
        <v>250</v>
      </c>
      <c r="H189" t="str">
        <f>"ΣΤΥΛ. ΓΕΩΡΓΙΟΥ 7 "</f>
        <v xml:space="preserve">ΣΤΥΛ. ΓΕΩΡΓΙΟΥ 7 </v>
      </c>
      <c r="I189">
        <v>71305</v>
      </c>
      <c r="J189">
        <v>2810325634</v>
      </c>
      <c r="K189">
        <v>6979522534</v>
      </c>
      <c r="M189" t="s">
        <v>800</v>
      </c>
      <c r="N189" t="s">
        <v>232</v>
      </c>
      <c r="O189" t="s">
        <v>233</v>
      </c>
      <c r="R189" t="s">
        <v>57</v>
      </c>
      <c r="S189">
        <v>12</v>
      </c>
      <c r="T189">
        <v>164</v>
      </c>
      <c r="U189" s="1">
        <v>36040</v>
      </c>
      <c r="V189" t="s">
        <v>123</v>
      </c>
      <c r="W189" t="s">
        <v>124</v>
      </c>
      <c r="X189" t="s">
        <v>58</v>
      </c>
      <c r="Y189">
        <v>18</v>
      </c>
      <c r="Z189" t="s">
        <v>59</v>
      </c>
      <c r="AA189" t="s">
        <v>59</v>
      </c>
      <c r="AB189" t="s">
        <v>59</v>
      </c>
      <c r="AC189" t="s">
        <v>59</v>
      </c>
      <c r="AD189" t="s">
        <v>59</v>
      </c>
      <c r="AF189" s="1">
        <v>36046</v>
      </c>
      <c r="AG189" t="s">
        <v>125</v>
      </c>
      <c r="AH189" t="s">
        <v>126</v>
      </c>
      <c r="AI189" t="str">
        <f>"1701030"</f>
        <v>1701030</v>
      </c>
      <c r="AJ189" t="s">
        <v>270</v>
      </c>
      <c r="AK189">
        <v>2810361015</v>
      </c>
      <c r="AL189" t="s">
        <v>271</v>
      </c>
      <c r="AM189" t="s">
        <v>78</v>
      </c>
      <c r="AN189" t="s">
        <v>78</v>
      </c>
      <c r="AO189" t="s">
        <v>78</v>
      </c>
      <c r="AP189" t="s">
        <v>163</v>
      </c>
      <c r="AQ189">
        <v>2</v>
      </c>
      <c r="AR189" t="s">
        <v>123</v>
      </c>
      <c r="AS189" t="s">
        <v>124</v>
      </c>
      <c r="AT189" t="s">
        <v>58</v>
      </c>
      <c r="AU189" t="s">
        <v>68</v>
      </c>
      <c r="AV189" t="s">
        <v>69</v>
      </c>
      <c r="AW189" s="1">
        <v>22456</v>
      </c>
      <c r="AX189">
        <v>2</v>
      </c>
    </row>
    <row r="190" spans="1:50">
      <c r="A190">
        <v>703308</v>
      </c>
      <c r="B190" t="str">
        <f>"128327335"</f>
        <v>128327335</v>
      </c>
      <c r="C190" t="s">
        <v>50</v>
      </c>
      <c r="D190" t="s">
        <v>796</v>
      </c>
      <c r="E190" t="s">
        <v>52</v>
      </c>
      <c r="F190" t="s">
        <v>166</v>
      </c>
      <c r="G190" t="s">
        <v>801</v>
      </c>
      <c r="H190" t="str">
        <f>"ΔΟΜΟΚΟΥ 16 ΗΡΑΚΛΕΙΟ"</f>
        <v>ΔΟΜΟΚΟΥ 16 ΗΡΑΚΛΕΙΟ</v>
      </c>
      <c r="I190">
        <v>71309</v>
      </c>
      <c r="J190">
        <v>2810315873</v>
      </c>
      <c r="K190">
        <v>6944619603</v>
      </c>
      <c r="M190" t="s">
        <v>802</v>
      </c>
      <c r="N190" t="s">
        <v>146</v>
      </c>
      <c r="O190" t="s">
        <v>147</v>
      </c>
      <c r="R190" t="s">
        <v>57</v>
      </c>
      <c r="S190">
        <v>5</v>
      </c>
      <c r="T190">
        <v>588</v>
      </c>
      <c r="U190" s="1">
        <v>40778</v>
      </c>
      <c r="V190" t="s">
        <v>123</v>
      </c>
      <c r="W190" t="s">
        <v>124</v>
      </c>
      <c r="X190" t="s">
        <v>58</v>
      </c>
      <c r="Y190">
        <v>21</v>
      </c>
      <c r="Z190" t="s">
        <v>59</v>
      </c>
      <c r="AA190" t="s">
        <v>59</v>
      </c>
      <c r="AB190" t="s">
        <v>59</v>
      </c>
      <c r="AC190" t="s">
        <v>59</v>
      </c>
      <c r="AD190" t="s">
        <v>59</v>
      </c>
      <c r="AF190" s="1">
        <v>40787</v>
      </c>
      <c r="AG190" t="s">
        <v>148</v>
      </c>
      <c r="AH190" t="s">
        <v>149</v>
      </c>
      <c r="AI190" t="str">
        <f>"1765010"</f>
        <v>1765010</v>
      </c>
      <c r="AJ190" t="s">
        <v>803</v>
      </c>
      <c r="AK190">
        <v>2893031093</v>
      </c>
      <c r="AL190" t="s">
        <v>804</v>
      </c>
      <c r="AM190" t="s">
        <v>78</v>
      </c>
      <c r="AN190" t="s">
        <v>405</v>
      </c>
      <c r="AO190" t="s">
        <v>805</v>
      </c>
      <c r="AP190" t="s">
        <v>806</v>
      </c>
      <c r="AQ190">
        <v>25</v>
      </c>
      <c r="AR190" t="s">
        <v>123</v>
      </c>
      <c r="AS190" t="s">
        <v>124</v>
      </c>
      <c r="AT190" t="s">
        <v>58</v>
      </c>
      <c r="AU190" t="s">
        <v>68</v>
      </c>
      <c r="AV190" t="s">
        <v>69</v>
      </c>
      <c r="AW190" s="1">
        <v>30178</v>
      </c>
      <c r="AX190">
        <v>2</v>
      </c>
    </row>
    <row r="191" spans="1:50">
      <c r="A191">
        <v>166895</v>
      </c>
      <c r="B191" t="str">
        <f>"030171487"</f>
        <v>030171487</v>
      </c>
      <c r="C191" t="s">
        <v>50</v>
      </c>
      <c r="D191" t="s">
        <v>796</v>
      </c>
      <c r="E191" t="s">
        <v>52</v>
      </c>
      <c r="F191" t="s">
        <v>72</v>
      </c>
      <c r="G191" t="s">
        <v>215</v>
      </c>
      <c r="H191" t="str">
        <f>"ΝΙΚ.ΦΩΚΑ ΒΑΣΙΛΙΕΣ "</f>
        <v xml:space="preserve">ΝΙΚ.ΦΩΚΑ ΒΑΣΙΛΙΕΣ </v>
      </c>
      <c r="I191">
        <v>71500</v>
      </c>
      <c r="J191">
        <v>2810231449</v>
      </c>
      <c r="K191">
        <v>6973212223</v>
      </c>
      <c r="M191" t="s">
        <v>807</v>
      </c>
      <c r="N191" t="s">
        <v>189</v>
      </c>
      <c r="O191" t="s">
        <v>190</v>
      </c>
      <c r="P191" t="s">
        <v>615</v>
      </c>
      <c r="Q191" t="s">
        <v>616</v>
      </c>
      <c r="R191" t="s">
        <v>57</v>
      </c>
      <c r="S191">
        <v>12</v>
      </c>
      <c r="T191">
        <v>128</v>
      </c>
      <c r="U191" s="1">
        <v>34541</v>
      </c>
      <c r="V191" t="s">
        <v>123</v>
      </c>
      <c r="W191" t="s">
        <v>124</v>
      </c>
      <c r="X191" t="s">
        <v>58</v>
      </c>
      <c r="Y191">
        <v>18</v>
      </c>
      <c r="Z191" t="s">
        <v>59</v>
      </c>
      <c r="AA191" t="s">
        <v>59</v>
      </c>
      <c r="AB191" t="s">
        <v>59</v>
      </c>
      <c r="AC191" t="s">
        <v>59</v>
      </c>
      <c r="AD191" t="s">
        <v>59</v>
      </c>
      <c r="AF191" s="1">
        <v>34541</v>
      </c>
      <c r="AG191" t="s">
        <v>125</v>
      </c>
      <c r="AH191" t="s">
        <v>126</v>
      </c>
      <c r="AI191" t="str">
        <f>"1701010"</f>
        <v>1701010</v>
      </c>
      <c r="AJ191" t="s">
        <v>374</v>
      </c>
      <c r="AK191">
        <v>2810227148</v>
      </c>
      <c r="AL191" t="s">
        <v>375</v>
      </c>
      <c r="AM191" t="s">
        <v>78</v>
      </c>
      <c r="AN191" t="s">
        <v>78</v>
      </c>
      <c r="AO191" t="s">
        <v>78</v>
      </c>
      <c r="AP191" t="s">
        <v>79</v>
      </c>
      <c r="AQ191">
        <v>1</v>
      </c>
      <c r="AR191" t="s">
        <v>123</v>
      </c>
      <c r="AS191" t="s">
        <v>124</v>
      </c>
      <c r="AT191" t="s">
        <v>58</v>
      </c>
      <c r="AU191" t="s">
        <v>68</v>
      </c>
      <c r="AV191" t="s">
        <v>69</v>
      </c>
      <c r="AW191" s="1">
        <v>23178</v>
      </c>
      <c r="AX191">
        <v>2</v>
      </c>
    </row>
    <row r="192" spans="1:50">
      <c r="A192">
        <v>218347</v>
      </c>
      <c r="B192" t="str">
        <f>"133553820"</f>
        <v>133553820</v>
      </c>
      <c r="C192" t="s">
        <v>105</v>
      </c>
      <c r="D192" t="s">
        <v>808</v>
      </c>
      <c r="E192" t="s">
        <v>383</v>
      </c>
      <c r="F192" t="s">
        <v>106</v>
      </c>
      <c r="G192" t="s">
        <v>809</v>
      </c>
      <c r="H192" t="str">
        <f>" "</f>
        <v xml:space="preserve"> </v>
      </c>
      <c r="J192">
        <v>2891093144</v>
      </c>
      <c r="K192">
        <v>6941499975</v>
      </c>
      <c r="M192" t="s">
        <v>810</v>
      </c>
      <c r="N192" t="s">
        <v>232</v>
      </c>
      <c r="O192" t="s">
        <v>233</v>
      </c>
      <c r="R192" t="s">
        <v>57</v>
      </c>
      <c r="S192">
        <v>7</v>
      </c>
      <c r="T192">
        <v>599</v>
      </c>
      <c r="U192" s="1">
        <v>39310</v>
      </c>
      <c r="V192" t="s">
        <v>123</v>
      </c>
      <c r="W192" t="s">
        <v>124</v>
      </c>
      <c r="X192" t="s">
        <v>58</v>
      </c>
      <c r="Y192">
        <v>21</v>
      </c>
      <c r="Z192" t="s">
        <v>59</v>
      </c>
      <c r="AA192" t="s">
        <v>59</v>
      </c>
      <c r="AB192" t="s">
        <v>59</v>
      </c>
      <c r="AC192" t="s">
        <v>59</v>
      </c>
      <c r="AD192" t="s">
        <v>59</v>
      </c>
      <c r="AF192" s="1">
        <v>39328</v>
      </c>
      <c r="AG192" t="s">
        <v>137</v>
      </c>
      <c r="AH192" t="s">
        <v>138</v>
      </c>
      <c r="AI192" t="str">
        <f>"1740070"</f>
        <v>1740070</v>
      </c>
      <c r="AJ192" t="s">
        <v>206</v>
      </c>
      <c r="AK192">
        <v>2810324880</v>
      </c>
      <c r="AL192" t="s">
        <v>207</v>
      </c>
      <c r="AM192" t="s">
        <v>78</v>
      </c>
      <c r="AN192" t="s">
        <v>78</v>
      </c>
      <c r="AO192" t="s">
        <v>78</v>
      </c>
      <c r="AP192" t="s">
        <v>163</v>
      </c>
      <c r="AQ192">
        <v>9</v>
      </c>
      <c r="AR192" t="s">
        <v>123</v>
      </c>
      <c r="AS192" t="s">
        <v>124</v>
      </c>
      <c r="AT192" t="s">
        <v>58</v>
      </c>
      <c r="AU192" t="s">
        <v>68</v>
      </c>
      <c r="AV192" t="s">
        <v>69</v>
      </c>
      <c r="AW192" s="1">
        <v>28636</v>
      </c>
      <c r="AX192">
        <v>2</v>
      </c>
    </row>
    <row r="193" spans="1:50">
      <c r="A193">
        <v>702312</v>
      </c>
      <c r="B193" t="str">
        <f>"123169296"</f>
        <v>123169296</v>
      </c>
      <c r="C193" t="s">
        <v>105</v>
      </c>
      <c r="D193" t="s">
        <v>808</v>
      </c>
      <c r="E193" t="s">
        <v>95</v>
      </c>
      <c r="F193" t="s">
        <v>99</v>
      </c>
      <c r="G193" t="s">
        <v>181</v>
      </c>
      <c r="H193" t="str">
        <f>"Μ. ΑΛΕΞΑΝΔΡΟΥ 154 ΗΡΑΚΛΕΙΟ"</f>
        <v>Μ. ΑΛΕΞΑΝΔΡΟΥ 154 ΗΡΑΚΛΕΙΟ</v>
      </c>
      <c r="I193">
        <v>71306</v>
      </c>
      <c r="J193">
        <v>2815005738</v>
      </c>
      <c r="K193">
        <v>6937305738</v>
      </c>
      <c r="M193" t="s">
        <v>811</v>
      </c>
      <c r="N193" t="s">
        <v>146</v>
      </c>
      <c r="O193" t="s">
        <v>147</v>
      </c>
      <c r="R193" t="s">
        <v>57</v>
      </c>
      <c r="S193">
        <v>4</v>
      </c>
      <c r="T193">
        <v>772</v>
      </c>
      <c r="U193" s="1">
        <v>40413</v>
      </c>
      <c r="V193" t="s">
        <v>123</v>
      </c>
      <c r="W193" t="s">
        <v>124</v>
      </c>
      <c r="X193" t="s">
        <v>58</v>
      </c>
      <c r="Y193">
        <v>21</v>
      </c>
      <c r="Z193" t="s">
        <v>59</v>
      </c>
      <c r="AA193" t="s">
        <v>59</v>
      </c>
      <c r="AB193" t="s">
        <v>59</v>
      </c>
      <c r="AC193" t="s">
        <v>59</v>
      </c>
      <c r="AD193" t="s">
        <v>59</v>
      </c>
      <c r="AF193" s="1">
        <v>40422</v>
      </c>
      <c r="AG193" t="s">
        <v>125</v>
      </c>
      <c r="AH193" t="s">
        <v>126</v>
      </c>
      <c r="AI193" t="str">
        <f>"1715010"</f>
        <v>1715010</v>
      </c>
      <c r="AJ193" t="s">
        <v>812</v>
      </c>
      <c r="AK193">
        <v>2893031193</v>
      </c>
      <c r="AL193" t="s">
        <v>813</v>
      </c>
      <c r="AM193" t="s">
        <v>78</v>
      </c>
      <c r="AN193" t="s">
        <v>405</v>
      </c>
      <c r="AO193" t="s">
        <v>805</v>
      </c>
      <c r="AP193" t="s">
        <v>806</v>
      </c>
      <c r="AQ193">
        <v>25</v>
      </c>
      <c r="AR193" t="s">
        <v>123</v>
      </c>
      <c r="AS193" t="s">
        <v>124</v>
      </c>
      <c r="AT193" t="s">
        <v>58</v>
      </c>
      <c r="AU193" t="s">
        <v>68</v>
      </c>
      <c r="AV193" t="s">
        <v>69</v>
      </c>
      <c r="AW193" s="1">
        <v>27631</v>
      </c>
      <c r="AX193">
        <v>2</v>
      </c>
    </row>
    <row r="194" spans="1:50">
      <c r="A194">
        <v>906169</v>
      </c>
      <c r="B194" t="str">
        <f>"027194860"</f>
        <v>027194860</v>
      </c>
      <c r="C194" t="s">
        <v>105</v>
      </c>
      <c r="D194" t="s">
        <v>808</v>
      </c>
      <c r="E194" t="s">
        <v>72</v>
      </c>
      <c r="F194" t="s">
        <v>95</v>
      </c>
      <c r="G194" t="s">
        <v>494</v>
      </c>
      <c r="H194" t="str">
        <f>"1869 5 ΗΡΑΚΛΕΙΟ"</f>
        <v>1869 5 ΗΡΑΚΛΕΙΟ</v>
      </c>
      <c r="I194">
        <v>71304</v>
      </c>
      <c r="J194">
        <v>2810260918</v>
      </c>
      <c r="K194">
        <v>6977862802</v>
      </c>
      <c r="M194" t="s">
        <v>814</v>
      </c>
      <c r="N194" t="s">
        <v>232</v>
      </c>
      <c r="O194" t="s">
        <v>233</v>
      </c>
      <c r="R194" t="s">
        <v>57</v>
      </c>
      <c r="S194">
        <v>18</v>
      </c>
      <c r="T194">
        <v>262</v>
      </c>
      <c r="U194" s="1">
        <v>30916</v>
      </c>
      <c r="V194" t="s">
        <v>123</v>
      </c>
      <c r="W194" t="s">
        <v>124</v>
      </c>
      <c r="X194" t="s">
        <v>58</v>
      </c>
      <c r="Y194">
        <v>18</v>
      </c>
      <c r="Z194" t="s">
        <v>59</v>
      </c>
      <c r="AA194" t="s">
        <v>59</v>
      </c>
      <c r="AB194" t="s">
        <v>59</v>
      </c>
      <c r="AC194" t="s">
        <v>59</v>
      </c>
      <c r="AD194" t="s">
        <v>59</v>
      </c>
      <c r="AF194" s="1">
        <v>30916</v>
      </c>
      <c r="AG194" t="s">
        <v>148</v>
      </c>
      <c r="AH194" t="s">
        <v>149</v>
      </c>
      <c r="AI194" t="str">
        <f>"1751051"</f>
        <v>1751051</v>
      </c>
      <c r="AJ194" t="s">
        <v>259</v>
      </c>
      <c r="AK194">
        <v>2810251794</v>
      </c>
      <c r="AL194" t="s">
        <v>260</v>
      </c>
      <c r="AM194" t="s">
        <v>78</v>
      </c>
      <c r="AN194" t="s">
        <v>78</v>
      </c>
      <c r="AO194" t="s">
        <v>78</v>
      </c>
      <c r="AP194" t="s">
        <v>141</v>
      </c>
      <c r="AQ194">
        <v>7</v>
      </c>
      <c r="AR194" t="s">
        <v>123</v>
      </c>
      <c r="AS194" t="s">
        <v>124</v>
      </c>
      <c r="AT194" t="s">
        <v>58</v>
      </c>
      <c r="AU194" t="s">
        <v>68</v>
      </c>
      <c r="AV194" t="s">
        <v>69</v>
      </c>
      <c r="AW194" s="1">
        <v>20503</v>
      </c>
      <c r="AX194">
        <v>2</v>
      </c>
    </row>
    <row r="195" spans="1:50">
      <c r="A195">
        <v>170409</v>
      </c>
      <c r="B195" t="str">
        <f>"042447174"</f>
        <v>042447174</v>
      </c>
      <c r="C195" t="s">
        <v>105</v>
      </c>
      <c r="D195" t="s">
        <v>808</v>
      </c>
      <c r="E195" t="s">
        <v>53</v>
      </c>
      <c r="F195" t="s">
        <v>72</v>
      </c>
      <c r="G195" t="s">
        <v>815</v>
      </c>
      <c r="H195" t="str">
        <f>"ΕΜΜΑΝΟΥΗΛ ΤΖΑΝΕ 14 ΚΑΤΣΑΜΠΑΣ"</f>
        <v>ΕΜΜΑΝΟΥΗΛ ΤΖΑΝΕ 14 ΚΑΤΣΑΜΠΑΣ</v>
      </c>
      <c r="I195">
        <v>71307</v>
      </c>
      <c r="J195">
        <v>2810242378</v>
      </c>
      <c r="K195">
        <v>6972385630</v>
      </c>
      <c r="N195" t="s">
        <v>232</v>
      </c>
      <c r="O195" t="s">
        <v>233</v>
      </c>
      <c r="R195" t="s">
        <v>57</v>
      </c>
      <c r="S195">
        <v>13</v>
      </c>
      <c r="T195">
        <v>184</v>
      </c>
      <c r="U195" s="1">
        <v>34941</v>
      </c>
      <c r="V195" t="s">
        <v>123</v>
      </c>
      <c r="W195" t="s">
        <v>124</v>
      </c>
      <c r="X195" t="s">
        <v>58</v>
      </c>
      <c r="Y195">
        <v>18</v>
      </c>
      <c r="Z195" t="s">
        <v>59</v>
      </c>
      <c r="AA195" t="s">
        <v>59</v>
      </c>
      <c r="AB195" t="s">
        <v>59</v>
      </c>
      <c r="AC195" t="s">
        <v>59</v>
      </c>
      <c r="AD195" t="s">
        <v>59</v>
      </c>
      <c r="AF195" s="1">
        <v>34943</v>
      </c>
      <c r="AG195" t="s">
        <v>125</v>
      </c>
      <c r="AH195" t="s">
        <v>126</v>
      </c>
      <c r="AI195" t="str">
        <f>"1727010"</f>
        <v>1727010</v>
      </c>
      <c r="AJ195" t="s">
        <v>618</v>
      </c>
      <c r="AK195">
        <v>2810229231</v>
      </c>
      <c r="AL195" t="s">
        <v>619</v>
      </c>
      <c r="AM195" t="s">
        <v>78</v>
      </c>
      <c r="AN195" t="s">
        <v>78</v>
      </c>
      <c r="AO195" t="s">
        <v>286</v>
      </c>
      <c r="AP195" t="s">
        <v>286</v>
      </c>
      <c r="AQ195">
        <v>12</v>
      </c>
      <c r="AR195" t="s">
        <v>123</v>
      </c>
      <c r="AS195" t="s">
        <v>124</v>
      </c>
      <c r="AT195" t="s">
        <v>58</v>
      </c>
      <c r="AU195" t="s">
        <v>68</v>
      </c>
      <c r="AV195" t="s">
        <v>69</v>
      </c>
      <c r="AW195" s="1">
        <v>21947</v>
      </c>
      <c r="AX195">
        <v>2</v>
      </c>
    </row>
    <row r="196" spans="1:50">
      <c r="A196">
        <v>175846</v>
      </c>
      <c r="B196" t="str">
        <f>"026661178"</f>
        <v>026661178</v>
      </c>
      <c r="C196" t="s">
        <v>105</v>
      </c>
      <c r="D196" t="s">
        <v>808</v>
      </c>
      <c r="E196" t="s">
        <v>53</v>
      </c>
      <c r="F196" t="s">
        <v>106</v>
      </c>
      <c r="G196" t="s">
        <v>83</v>
      </c>
      <c r="H196" t="str">
        <f>"Λ. ΣΚΕΠΕΤΖΗ 37 ΚΗΠΟΥΠΟΛΗ"</f>
        <v>Λ. ΣΚΕΠΕΤΖΗ 37 ΚΗΠΟΥΠΟΛΗ</v>
      </c>
      <c r="I196">
        <v>71307</v>
      </c>
      <c r="J196">
        <v>2810322361</v>
      </c>
      <c r="K196">
        <v>6945206430</v>
      </c>
      <c r="M196" t="s">
        <v>816</v>
      </c>
      <c r="N196" t="s">
        <v>292</v>
      </c>
      <c r="O196" t="s">
        <v>293</v>
      </c>
      <c r="R196" t="s">
        <v>57</v>
      </c>
      <c r="S196">
        <v>10</v>
      </c>
      <c r="T196">
        <v>180</v>
      </c>
      <c r="U196" s="1">
        <v>35674</v>
      </c>
      <c r="V196" t="s">
        <v>123</v>
      </c>
      <c r="W196" t="s">
        <v>124</v>
      </c>
      <c r="X196" t="s">
        <v>58</v>
      </c>
      <c r="Y196">
        <v>18</v>
      </c>
      <c r="Z196" t="s">
        <v>59</v>
      </c>
      <c r="AA196" t="s">
        <v>59</v>
      </c>
      <c r="AB196" t="s">
        <v>59</v>
      </c>
      <c r="AC196" t="s">
        <v>59</v>
      </c>
      <c r="AD196" t="s">
        <v>59</v>
      </c>
      <c r="AF196" s="1">
        <v>35674</v>
      </c>
      <c r="AG196" t="s">
        <v>148</v>
      </c>
      <c r="AH196" t="s">
        <v>149</v>
      </c>
      <c r="AI196" t="str">
        <f>"1751041"</f>
        <v>1751041</v>
      </c>
      <c r="AJ196" t="s">
        <v>353</v>
      </c>
      <c r="AK196">
        <v>2810230207</v>
      </c>
      <c r="AL196" t="s">
        <v>354</v>
      </c>
      <c r="AM196" t="s">
        <v>78</v>
      </c>
      <c r="AN196" t="s">
        <v>78</v>
      </c>
      <c r="AO196" t="s">
        <v>78</v>
      </c>
      <c r="AP196" t="s">
        <v>163</v>
      </c>
      <c r="AQ196">
        <v>2</v>
      </c>
      <c r="AR196" t="s">
        <v>123</v>
      </c>
      <c r="AS196" t="s">
        <v>124</v>
      </c>
      <c r="AT196" t="s">
        <v>58</v>
      </c>
      <c r="AU196" t="s">
        <v>68</v>
      </c>
      <c r="AV196" t="s">
        <v>69</v>
      </c>
      <c r="AW196" s="1">
        <v>21948</v>
      </c>
      <c r="AX196">
        <v>2</v>
      </c>
    </row>
    <row r="197" spans="1:50">
      <c r="A197">
        <v>179913</v>
      </c>
      <c r="B197" t="str">
        <f>"034135916"</f>
        <v>034135916</v>
      </c>
      <c r="C197" t="s">
        <v>105</v>
      </c>
      <c r="D197" t="s">
        <v>808</v>
      </c>
      <c r="E197" t="s">
        <v>92</v>
      </c>
      <c r="F197" t="s">
        <v>166</v>
      </c>
      <c r="G197" t="s">
        <v>263</v>
      </c>
      <c r="H197" t="str">
        <f>"ΠΥΡΓΟΣ ΜΟΝΟΦΑΤΣΙΟΥ  ΜΕΣΣΑΡΑ"</f>
        <v>ΠΥΡΓΟΣ ΜΟΝΟΦΑΤΣΙΟΥ  ΜΕΣΣΑΡΑ</v>
      </c>
      <c r="J197">
        <v>2893023602</v>
      </c>
      <c r="K197">
        <v>6977401254</v>
      </c>
      <c r="M197" t="s">
        <v>817</v>
      </c>
      <c r="N197" t="s">
        <v>292</v>
      </c>
      <c r="O197" t="s">
        <v>293</v>
      </c>
      <c r="R197" t="s">
        <v>57</v>
      </c>
      <c r="S197">
        <v>12</v>
      </c>
      <c r="T197">
        <v>164</v>
      </c>
      <c r="U197" s="1">
        <v>36040</v>
      </c>
      <c r="V197" t="s">
        <v>123</v>
      </c>
      <c r="W197" t="s">
        <v>124</v>
      </c>
      <c r="X197" t="s">
        <v>58</v>
      </c>
      <c r="Y197">
        <v>18</v>
      </c>
      <c r="Z197" t="s">
        <v>59</v>
      </c>
      <c r="AA197" t="s">
        <v>59</v>
      </c>
      <c r="AB197" t="s">
        <v>59</v>
      </c>
      <c r="AC197" t="s">
        <v>59</v>
      </c>
      <c r="AD197" t="s">
        <v>59</v>
      </c>
      <c r="AF197" s="1">
        <v>36046</v>
      </c>
      <c r="AG197" t="s">
        <v>148</v>
      </c>
      <c r="AH197" t="s">
        <v>149</v>
      </c>
      <c r="AI197" t="str">
        <f>"1751041"</f>
        <v>1751041</v>
      </c>
      <c r="AJ197" t="s">
        <v>353</v>
      </c>
      <c r="AK197">
        <v>2810230207</v>
      </c>
      <c r="AL197" t="s">
        <v>354</v>
      </c>
      <c r="AM197" t="s">
        <v>78</v>
      </c>
      <c r="AN197" t="s">
        <v>78</v>
      </c>
      <c r="AO197" t="s">
        <v>78</v>
      </c>
      <c r="AP197" t="s">
        <v>163</v>
      </c>
      <c r="AQ197">
        <v>2</v>
      </c>
      <c r="AR197" t="s">
        <v>123</v>
      </c>
      <c r="AS197" t="s">
        <v>124</v>
      </c>
      <c r="AT197" t="s">
        <v>58</v>
      </c>
      <c r="AU197" t="s">
        <v>68</v>
      </c>
      <c r="AV197" t="s">
        <v>69</v>
      </c>
      <c r="AW197" s="1">
        <v>22072</v>
      </c>
      <c r="AX197">
        <v>2</v>
      </c>
    </row>
    <row r="198" spans="1:50">
      <c r="A198">
        <v>212601</v>
      </c>
      <c r="B198" t="str">
        <f>"061592291"</f>
        <v>061592291</v>
      </c>
      <c r="C198" t="s">
        <v>50</v>
      </c>
      <c r="D198" t="s">
        <v>818</v>
      </c>
      <c r="E198" t="s">
        <v>112</v>
      </c>
      <c r="F198" t="s">
        <v>99</v>
      </c>
      <c r="G198" t="s">
        <v>819</v>
      </c>
      <c r="H198" t="str">
        <f>"ΒΡΑΧΌΚΗΠΟΣ ΚΟΚΚΙΝΗ ΧΑΝΗ"</f>
        <v>ΒΡΑΧΌΚΗΠΟΣ ΚΟΚΚΙΝΗ ΧΑΝΗ</v>
      </c>
      <c r="I198" t="s">
        <v>820</v>
      </c>
      <c r="J198">
        <v>2810322370</v>
      </c>
      <c r="K198">
        <v>6947303278</v>
      </c>
      <c r="M198" t="s">
        <v>821</v>
      </c>
      <c r="N198" t="s">
        <v>292</v>
      </c>
      <c r="O198" t="s">
        <v>293</v>
      </c>
      <c r="R198" t="s">
        <v>57</v>
      </c>
      <c r="S198">
        <v>7</v>
      </c>
      <c r="T198">
        <v>231</v>
      </c>
      <c r="U198" s="1">
        <v>38960</v>
      </c>
      <c r="V198" t="s">
        <v>123</v>
      </c>
      <c r="W198" t="s">
        <v>124</v>
      </c>
      <c r="X198" t="s">
        <v>58</v>
      </c>
      <c r="Y198">
        <v>20</v>
      </c>
      <c r="Z198" t="s">
        <v>59</v>
      </c>
      <c r="AA198" t="s">
        <v>59</v>
      </c>
      <c r="AB198" t="s">
        <v>59</v>
      </c>
      <c r="AC198" t="s">
        <v>59</v>
      </c>
      <c r="AD198" t="s">
        <v>59</v>
      </c>
      <c r="AF198" s="1">
        <v>38961</v>
      </c>
      <c r="AG198" t="s">
        <v>125</v>
      </c>
      <c r="AH198" t="s">
        <v>126</v>
      </c>
      <c r="AI198" t="str">
        <f>"1701056"</f>
        <v>1701056</v>
      </c>
      <c r="AJ198" t="s">
        <v>211</v>
      </c>
      <c r="AK198">
        <v>2810245445</v>
      </c>
      <c r="AL198" t="s">
        <v>212</v>
      </c>
      <c r="AM198" t="s">
        <v>78</v>
      </c>
      <c r="AN198" t="s">
        <v>78</v>
      </c>
      <c r="AO198" t="s">
        <v>78</v>
      </c>
      <c r="AP198" t="s">
        <v>213</v>
      </c>
      <c r="AQ198">
        <v>6</v>
      </c>
      <c r="AR198" t="s">
        <v>123</v>
      </c>
      <c r="AS198" t="s">
        <v>124</v>
      </c>
      <c r="AT198" t="s">
        <v>58</v>
      </c>
      <c r="AU198" t="s">
        <v>68</v>
      </c>
      <c r="AV198" t="s">
        <v>357</v>
      </c>
      <c r="AW198" s="1">
        <v>25067</v>
      </c>
      <c r="AX198">
        <v>2</v>
      </c>
    </row>
    <row r="199" spans="1:50">
      <c r="A199">
        <v>211864</v>
      </c>
      <c r="B199" t="str">
        <f>"054158160"</f>
        <v>054158160</v>
      </c>
      <c r="C199" t="s">
        <v>50</v>
      </c>
      <c r="D199" t="s">
        <v>822</v>
      </c>
      <c r="E199" t="s">
        <v>620</v>
      </c>
      <c r="F199" t="s">
        <v>95</v>
      </c>
      <c r="G199" t="s">
        <v>823</v>
      </c>
      <c r="H199" t="str">
        <f>"Ασκληπιού 62 Πειραιάς"</f>
        <v>Ασκληπιού 62 Πειραιάς</v>
      </c>
      <c r="J199">
        <v>2104200378</v>
      </c>
      <c r="K199">
        <v>6945884718</v>
      </c>
      <c r="M199" t="s">
        <v>824</v>
      </c>
      <c r="N199" t="s">
        <v>146</v>
      </c>
      <c r="O199" t="s">
        <v>147</v>
      </c>
      <c r="P199" t="s">
        <v>384</v>
      </c>
      <c r="Q199" t="s">
        <v>385</v>
      </c>
      <c r="R199" t="s">
        <v>57</v>
      </c>
      <c r="S199">
        <v>6</v>
      </c>
      <c r="T199">
        <v>231</v>
      </c>
      <c r="U199" s="1">
        <v>38960</v>
      </c>
      <c r="V199" t="s">
        <v>123</v>
      </c>
      <c r="W199" t="s">
        <v>124</v>
      </c>
      <c r="X199" t="s">
        <v>58</v>
      </c>
      <c r="Y199">
        <v>20</v>
      </c>
      <c r="Z199" t="s">
        <v>59</v>
      </c>
      <c r="AA199" t="s">
        <v>59</v>
      </c>
      <c r="AB199" t="s">
        <v>452</v>
      </c>
      <c r="AC199" t="s">
        <v>59</v>
      </c>
      <c r="AD199" t="s">
        <v>59</v>
      </c>
      <c r="AF199" s="1">
        <v>38961</v>
      </c>
      <c r="AG199" t="s">
        <v>125</v>
      </c>
      <c r="AH199" t="s">
        <v>294</v>
      </c>
      <c r="AI199" t="str">
        <f>"1701015"</f>
        <v>1701015</v>
      </c>
      <c r="AJ199" t="s">
        <v>295</v>
      </c>
      <c r="AK199">
        <v>2810761696</v>
      </c>
      <c r="AL199" t="s">
        <v>296</v>
      </c>
      <c r="AM199" t="s">
        <v>78</v>
      </c>
      <c r="AN199" t="s">
        <v>219</v>
      </c>
      <c r="AO199" t="s">
        <v>297</v>
      </c>
      <c r="AP199" t="s">
        <v>297</v>
      </c>
      <c r="AQ199">
        <v>10</v>
      </c>
      <c r="AR199" t="s">
        <v>123</v>
      </c>
      <c r="AS199" t="s">
        <v>124</v>
      </c>
      <c r="AT199" t="s">
        <v>58</v>
      </c>
      <c r="AU199" t="s">
        <v>68</v>
      </c>
      <c r="AV199" t="s">
        <v>69</v>
      </c>
      <c r="AW199" s="1">
        <v>26658</v>
      </c>
      <c r="AX199">
        <v>2</v>
      </c>
    </row>
    <row r="200" spans="1:50">
      <c r="A200">
        <v>209413</v>
      </c>
      <c r="B200" t="str">
        <f>"123185468"</f>
        <v>123185468</v>
      </c>
      <c r="C200" t="s">
        <v>50</v>
      </c>
      <c r="D200" t="s">
        <v>825</v>
      </c>
      <c r="E200" t="s">
        <v>263</v>
      </c>
      <c r="F200" t="s">
        <v>53</v>
      </c>
      <c r="G200" t="s">
        <v>83</v>
      </c>
      <c r="H200" t="str">
        <f>"ΣΟΛΩΝΟΣ 5, ΑΜΜΟΥΔΑΡΑ ΑΜΜΟΥΔΑΡΑ"</f>
        <v>ΣΟΛΩΝΟΣ 5, ΑΜΜΟΥΔΑΡΑ ΑΜΜΟΥΔΑΡΑ</v>
      </c>
      <c r="I200">
        <v>71414</v>
      </c>
      <c r="J200">
        <v>2810823377</v>
      </c>
      <c r="K200">
        <v>6981439418</v>
      </c>
      <c r="M200" t="s">
        <v>826</v>
      </c>
      <c r="N200" t="s">
        <v>146</v>
      </c>
      <c r="O200" t="s">
        <v>147</v>
      </c>
      <c r="R200" t="s">
        <v>57</v>
      </c>
      <c r="S200">
        <v>6</v>
      </c>
      <c r="T200">
        <v>225</v>
      </c>
      <c r="U200" s="1">
        <v>38604</v>
      </c>
      <c r="V200" t="s">
        <v>123</v>
      </c>
      <c r="W200" t="s">
        <v>124</v>
      </c>
      <c r="X200" t="s">
        <v>58</v>
      </c>
      <c r="Y200">
        <v>20</v>
      </c>
      <c r="Z200" t="s">
        <v>59</v>
      </c>
      <c r="AA200" t="s">
        <v>59</v>
      </c>
      <c r="AB200" t="s">
        <v>59</v>
      </c>
      <c r="AC200" t="s">
        <v>59</v>
      </c>
      <c r="AD200" t="s">
        <v>59</v>
      </c>
      <c r="AF200" s="1">
        <v>38608</v>
      </c>
      <c r="AG200" t="s">
        <v>148</v>
      </c>
      <c r="AH200" t="s">
        <v>149</v>
      </c>
      <c r="AI200" t="str">
        <f>"1751051"</f>
        <v>1751051</v>
      </c>
      <c r="AJ200" t="s">
        <v>259</v>
      </c>
      <c r="AK200">
        <v>2810251794</v>
      </c>
      <c r="AL200" t="s">
        <v>260</v>
      </c>
      <c r="AM200" t="s">
        <v>78</v>
      </c>
      <c r="AN200" t="s">
        <v>78</v>
      </c>
      <c r="AO200" t="s">
        <v>78</v>
      </c>
      <c r="AP200" t="s">
        <v>141</v>
      </c>
      <c r="AQ200">
        <v>7</v>
      </c>
      <c r="AR200" t="s">
        <v>123</v>
      </c>
      <c r="AS200" t="s">
        <v>124</v>
      </c>
      <c r="AT200" t="s">
        <v>58</v>
      </c>
      <c r="AU200" t="s">
        <v>68</v>
      </c>
      <c r="AV200" t="s">
        <v>69</v>
      </c>
      <c r="AW200" s="1">
        <v>28523</v>
      </c>
      <c r="AX200">
        <v>2</v>
      </c>
    </row>
    <row r="201" spans="1:50">
      <c r="B201" t="str">
        <f>"126557993"</f>
        <v>126557993</v>
      </c>
      <c r="C201" t="s">
        <v>50</v>
      </c>
      <c r="D201" t="s">
        <v>827</v>
      </c>
      <c r="E201" t="s">
        <v>255</v>
      </c>
      <c r="F201" t="s">
        <v>383</v>
      </c>
      <c r="G201" t="s">
        <v>372</v>
      </c>
      <c r="H201" t="str">
        <f>"ΠΡΕΒΕΖΗΣ 126 ΙΛΙΟΝ (ή ΝΕΑ ΛΙΟΣΙΑ) ΑΤΤΙΚΗΣ"</f>
        <v>ΠΡΕΒΕΖΗΣ 126 ΙΛΙΟΝ (ή ΝΕΑ ΛΙΟΣΙΑ) ΑΤΤΙΚΗΣ</v>
      </c>
      <c r="I201">
        <v>13123</v>
      </c>
      <c r="K201">
        <v>6980272513</v>
      </c>
      <c r="M201" t="s">
        <v>828</v>
      </c>
      <c r="N201" t="s">
        <v>536</v>
      </c>
      <c r="O201" t="s">
        <v>537</v>
      </c>
      <c r="R201" t="s">
        <v>159</v>
      </c>
      <c r="S201">
        <v>5</v>
      </c>
      <c r="T201" t="s">
        <v>344</v>
      </c>
      <c r="U201" s="1">
        <v>43348</v>
      </c>
      <c r="V201" t="s">
        <v>123</v>
      </c>
      <c r="W201" t="s">
        <v>124</v>
      </c>
      <c r="X201" t="s">
        <v>58</v>
      </c>
      <c r="Y201">
        <v>21</v>
      </c>
      <c r="Z201" t="s">
        <v>59</v>
      </c>
      <c r="AA201" t="s">
        <v>59</v>
      </c>
      <c r="AB201" t="s">
        <v>59</v>
      </c>
      <c r="AC201" t="s">
        <v>59</v>
      </c>
      <c r="AD201" t="s">
        <v>59</v>
      </c>
      <c r="AF201" s="1">
        <v>43348</v>
      </c>
      <c r="AG201" t="s">
        <v>125</v>
      </c>
      <c r="AH201" t="s">
        <v>126</v>
      </c>
      <c r="AI201" t="str">
        <f>"1701053"</f>
        <v>1701053</v>
      </c>
      <c r="AJ201" t="s">
        <v>398</v>
      </c>
      <c r="AK201">
        <v>2810251434</v>
      </c>
      <c r="AL201" t="s">
        <v>399</v>
      </c>
      <c r="AM201" t="s">
        <v>78</v>
      </c>
      <c r="AN201" t="s">
        <v>78</v>
      </c>
      <c r="AO201" t="s">
        <v>78</v>
      </c>
      <c r="AP201" t="s">
        <v>141</v>
      </c>
      <c r="AQ201">
        <v>7</v>
      </c>
      <c r="AR201" t="s">
        <v>123</v>
      </c>
      <c r="AS201" t="s">
        <v>124</v>
      </c>
      <c r="AT201" t="s">
        <v>58</v>
      </c>
      <c r="AU201" t="s">
        <v>350</v>
      </c>
      <c r="AV201" t="s">
        <v>132</v>
      </c>
      <c r="AW201" s="1">
        <v>30547</v>
      </c>
      <c r="AX201">
        <v>2</v>
      </c>
    </row>
    <row r="202" spans="1:50">
      <c r="A202">
        <v>184226</v>
      </c>
      <c r="B202" t="str">
        <f>"042333540"</f>
        <v>042333540</v>
      </c>
      <c r="C202" t="s">
        <v>50</v>
      </c>
      <c r="D202" t="s">
        <v>829</v>
      </c>
      <c r="E202" t="s">
        <v>476</v>
      </c>
      <c r="F202" t="s">
        <v>830</v>
      </c>
      <c r="G202" t="s">
        <v>83</v>
      </c>
      <c r="H202" t="str">
        <f>"ΚΟΚΚΙΝΙ ΧΑΝΙ, ΤΘ748 "</f>
        <v xml:space="preserve">ΚΟΚΚΙΝΙ ΧΑΝΙ, ΤΘ748 </v>
      </c>
      <c r="I202">
        <v>70014</v>
      </c>
      <c r="J202">
        <v>2810763057</v>
      </c>
      <c r="K202">
        <v>6979930385</v>
      </c>
      <c r="M202" t="s">
        <v>831</v>
      </c>
      <c r="N202" t="s">
        <v>306</v>
      </c>
      <c r="O202" t="s">
        <v>307</v>
      </c>
      <c r="R202" t="s">
        <v>57</v>
      </c>
      <c r="S202">
        <v>10</v>
      </c>
      <c r="T202">
        <v>177</v>
      </c>
      <c r="U202" s="1">
        <v>36403</v>
      </c>
      <c r="V202" t="s">
        <v>123</v>
      </c>
      <c r="W202" t="s">
        <v>124</v>
      </c>
      <c r="X202" t="s">
        <v>58</v>
      </c>
      <c r="Y202">
        <v>18</v>
      </c>
      <c r="Z202" t="s">
        <v>59</v>
      </c>
      <c r="AA202" t="s">
        <v>59</v>
      </c>
      <c r="AB202" t="s">
        <v>59</v>
      </c>
      <c r="AC202" t="s">
        <v>59</v>
      </c>
      <c r="AD202" t="s">
        <v>59</v>
      </c>
      <c r="AF202" s="1">
        <v>36404</v>
      </c>
      <c r="AG202" t="s">
        <v>125</v>
      </c>
      <c r="AH202" t="s">
        <v>126</v>
      </c>
      <c r="AI202" t="str">
        <f>"1717011"</f>
        <v>1717011</v>
      </c>
      <c r="AJ202" t="s">
        <v>832</v>
      </c>
      <c r="AK202">
        <v>2897023311</v>
      </c>
      <c r="AL202" t="s">
        <v>833</v>
      </c>
      <c r="AM202" t="s">
        <v>78</v>
      </c>
      <c r="AN202" t="s">
        <v>219</v>
      </c>
      <c r="AO202" t="s">
        <v>219</v>
      </c>
      <c r="AP202" t="s">
        <v>220</v>
      </c>
      <c r="AQ202">
        <v>20</v>
      </c>
      <c r="AR202" t="s">
        <v>123</v>
      </c>
      <c r="AS202" t="s">
        <v>124</v>
      </c>
      <c r="AT202" t="s">
        <v>58</v>
      </c>
      <c r="AU202" t="s">
        <v>68</v>
      </c>
      <c r="AV202" t="s">
        <v>69</v>
      </c>
      <c r="AW202" s="1">
        <v>24593</v>
      </c>
      <c r="AX202">
        <v>2</v>
      </c>
    </row>
    <row r="203" spans="1:50">
      <c r="A203">
        <v>228340</v>
      </c>
      <c r="B203" t="str">
        <f>"030237211"</f>
        <v>030237211</v>
      </c>
      <c r="C203" t="s">
        <v>50</v>
      </c>
      <c r="D203" t="s">
        <v>829</v>
      </c>
      <c r="E203" t="s">
        <v>834</v>
      </c>
      <c r="F203" t="s">
        <v>53</v>
      </c>
      <c r="G203" t="s">
        <v>98</v>
      </c>
      <c r="H203" t="str">
        <f>"ΣΟΥΛΙΟΥ 7 ΗΡΑΚΛΕΙΟ ΚΡΗΤΗΣ"</f>
        <v>ΣΟΥΛΙΟΥ 7 ΗΡΑΚΛΕΙΟ ΚΡΗΤΗΣ</v>
      </c>
      <c r="I203">
        <v>71307</v>
      </c>
      <c r="J203">
        <v>2810245328</v>
      </c>
      <c r="K203">
        <v>6932728280</v>
      </c>
      <c r="M203" t="s">
        <v>835</v>
      </c>
      <c r="N203" t="s">
        <v>384</v>
      </c>
      <c r="O203" t="s">
        <v>385</v>
      </c>
      <c r="P203" t="s">
        <v>836</v>
      </c>
      <c r="Q203" t="s">
        <v>837</v>
      </c>
      <c r="R203" t="s">
        <v>57</v>
      </c>
      <c r="S203">
        <v>8</v>
      </c>
      <c r="T203">
        <v>654</v>
      </c>
      <c r="U203" s="1">
        <v>40043</v>
      </c>
      <c r="V203" t="s">
        <v>123</v>
      </c>
      <c r="W203" t="s">
        <v>124</v>
      </c>
      <c r="X203" t="s">
        <v>58</v>
      </c>
      <c r="Y203">
        <v>20</v>
      </c>
      <c r="Z203" t="s">
        <v>59</v>
      </c>
      <c r="AA203" t="s">
        <v>59</v>
      </c>
      <c r="AB203" t="s">
        <v>59</v>
      </c>
      <c r="AC203" t="s">
        <v>59</v>
      </c>
      <c r="AD203" t="s">
        <v>59</v>
      </c>
      <c r="AF203" s="1">
        <v>40043</v>
      </c>
      <c r="AG203" t="s">
        <v>148</v>
      </c>
      <c r="AH203" t="s">
        <v>149</v>
      </c>
      <c r="AI203" t="str">
        <f>"1751052"</f>
        <v>1751052</v>
      </c>
      <c r="AJ203" t="s">
        <v>328</v>
      </c>
      <c r="AK203">
        <v>2810213762</v>
      </c>
      <c r="AL203" t="s">
        <v>329</v>
      </c>
      <c r="AM203" t="s">
        <v>78</v>
      </c>
      <c r="AN203" t="s">
        <v>78</v>
      </c>
      <c r="AO203" t="s">
        <v>78</v>
      </c>
      <c r="AP203" t="s">
        <v>163</v>
      </c>
      <c r="AQ203">
        <v>8</v>
      </c>
      <c r="AR203" t="s">
        <v>123</v>
      </c>
      <c r="AS203" t="s">
        <v>124</v>
      </c>
      <c r="AT203" t="s">
        <v>58</v>
      </c>
      <c r="AU203" t="s">
        <v>68</v>
      </c>
      <c r="AV203" t="s">
        <v>69</v>
      </c>
      <c r="AW203" s="1">
        <v>21148</v>
      </c>
      <c r="AX203">
        <v>2</v>
      </c>
    </row>
    <row r="204" spans="1:50">
      <c r="A204">
        <v>213604</v>
      </c>
      <c r="B204" t="str">
        <f>"053267678"</f>
        <v>053267678</v>
      </c>
      <c r="C204" t="s">
        <v>50</v>
      </c>
      <c r="D204" t="s">
        <v>838</v>
      </c>
      <c r="E204" t="s">
        <v>181</v>
      </c>
      <c r="F204" t="s">
        <v>95</v>
      </c>
      <c r="G204" t="s">
        <v>839</v>
      </c>
      <c r="H204" t="str">
        <f>"ΚΑΘΗΓΗΤΗ ΡΩΣΙΔΗ ΚΑΡΑΠΟΥΡΝΑΚΙ"</f>
        <v>ΚΑΘΗΓΗΤΗ ΡΩΣΙΔΗ ΚΑΡΑΠΟΥΡΝΑΚΙ</v>
      </c>
      <c r="I204">
        <v>54655</v>
      </c>
      <c r="K204">
        <v>6947073979</v>
      </c>
      <c r="L204">
        <v>2310429139</v>
      </c>
      <c r="M204" t="s">
        <v>840</v>
      </c>
      <c r="N204" t="s">
        <v>306</v>
      </c>
      <c r="O204" t="s">
        <v>307</v>
      </c>
      <c r="R204" t="s">
        <v>57</v>
      </c>
      <c r="S204">
        <v>6</v>
      </c>
      <c r="T204">
        <v>231</v>
      </c>
      <c r="U204" s="1">
        <v>38960</v>
      </c>
      <c r="V204" t="s">
        <v>123</v>
      </c>
      <c r="W204" t="s">
        <v>124</v>
      </c>
      <c r="X204" t="s">
        <v>58</v>
      </c>
      <c r="Y204">
        <v>21</v>
      </c>
      <c r="Z204" t="s">
        <v>59</v>
      </c>
      <c r="AA204" t="s">
        <v>59</v>
      </c>
      <c r="AB204" t="s">
        <v>59</v>
      </c>
      <c r="AC204" t="s">
        <v>59</v>
      </c>
      <c r="AD204" t="s">
        <v>59</v>
      </c>
      <c r="AF204" s="1">
        <v>38961</v>
      </c>
      <c r="AG204" t="s">
        <v>125</v>
      </c>
      <c r="AH204" t="s">
        <v>126</v>
      </c>
      <c r="AI204" t="str">
        <f>"1707010"</f>
        <v>1707010</v>
      </c>
      <c r="AJ204" t="s">
        <v>757</v>
      </c>
      <c r="AK204">
        <v>2892041211</v>
      </c>
      <c r="AL204" t="s">
        <v>758</v>
      </c>
      <c r="AM204" t="s">
        <v>78</v>
      </c>
      <c r="AN204" t="s">
        <v>242</v>
      </c>
      <c r="AO204" t="s">
        <v>243</v>
      </c>
      <c r="AP204" t="s">
        <v>244</v>
      </c>
      <c r="AQ204">
        <v>34</v>
      </c>
      <c r="AR204" t="s">
        <v>123</v>
      </c>
      <c r="AS204" t="s">
        <v>124</v>
      </c>
      <c r="AT204" t="s">
        <v>58</v>
      </c>
      <c r="AU204" t="s">
        <v>68</v>
      </c>
      <c r="AV204" t="s">
        <v>69</v>
      </c>
      <c r="AW204" s="1">
        <v>27710</v>
      </c>
      <c r="AX204">
        <v>2</v>
      </c>
    </row>
    <row r="205" spans="1:50">
      <c r="A205">
        <v>217420</v>
      </c>
      <c r="B205" t="str">
        <f>"110715760"</f>
        <v>110715760</v>
      </c>
      <c r="C205" t="s">
        <v>50</v>
      </c>
      <c r="D205" t="s">
        <v>841</v>
      </c>
      <c r="E205" t="s">
        <v>842</v>
      </c>
      <c r="F205" t="s">
        <v>95</v>
      </c>
      <c r="G205" t="s">
        <v>414</v>
      </c>
      <c r="H205" t="str">
        <f>"ΑΓΡΙΑΝΑ ΧΕΡΣΟΝΗΣΟΣ"</f>
        <v>ΑΓΡΙΑΝΑ ΧΕΡΣΟΝΗΣΟΣ</v>
      </c>
      <c r="I205">
        <v>70014</v>
      </c>
      <c r="J205">
        <v>2897025098</v>
      </c>
      <c r="K205">
        <v>6932294277</v>
      </c>
      <c r="M205" t="s">
        <v>843</v>
      </c>
      <c r="N205" t="s">
        <v>146</v>
      </c>
      <c r="O205" t="s">
        <v>147</v>
      </c>
      <c r="P205" t="s">
        <v>615</v>
      </c>
      <c r="Q205" t="s">
        <v>616</v>
      </c>
      <c r="R205" t="s">
        <v>57</v>
      </c>
      <c r="S205">
        <v>6</v>
      </c>
      <c r="T205">
        <v>599</v>
      </c>
      <c r="U205" s="1">
        <v>39310</v>
      </c>
      <c r="V205" t="s">
        <v>123</v>
      </c>
      <c r="W205" t="s">
        <v>124</v>
      </c>
      <c r="X205" t="s">
        <v>58</v>
      </c>
      <c r="Y205">
        <v>20</v>
      </c>
      <c r="Z205" t="s">
        <v>59</v>
      </c>
      <c r="AA205" t="s">
        <v>59</v>
      </c>
      <c r="AB205" t="s">
        <v>59</v>
      </c>
      <c r="AC205" t="s">
        <v>59</v>
      </c>
      <c r="AD205" t="s">
        <v>59</v>
      </c>
      <c r="AF205" s="1">
        <v>39328</v>
      </c>
      <c r="AG205" t="s">
        <v>125</v>
      </c>
      <c r="AH205" t="s">
        <v>126</v>
      </c>
      <c r="AI205" t="str">
        <f>"1717011"</f>
        <v>1717011</v>
      </c>
      <c r="AJ205" t="s">
        <v>832</v>
      </c>
      <c r="AK205">
        <v>2897023311</v>
      </c>
      <c r="AL205" t="s">
        <v>833</v>
      </c>
      <c r="AM205" t="s">
        <v>78</v>
      </c>
      <c r="AN205" t="s">
        <v>219</v>
      </c>
      <c r="AO205" t="s">
        <v>219</v>
      </c>
      <c r="AP205" t="s">
        <v>220</v>
      </c>
      <c r="AQ205">
        <v>20</v>
      </c>
      <c r="AR205" t="s">
        <v>123</v>
      </c>
      <c r="AS205" t="s">
        <v>124</v>
      </c>
      <c r="AT205" t="s">
        <v>58</v>
      </c>
      <c r="AU205" t="s">
        <v>68</v>
      </c>
      <c r="AV205" t="s">
        <v>69</v>
      </c>
      <c r="AW205" s="1">
        <v>27521</v>
      </c>
      <c r="AX205">
        <v>2</v>
      </c>
    </row>
    <row r="206" spans="1:50">
      <c r="A206">
        <v>214462</v>
      </c>
      <c r="B206" t="str">
        <f>"076076404"</f>
        <v>076076404</v>
      </c>
      <c r="C206" t="s">
        <v>50</v>
      </c>
      <c r="D206" t="s">
        <v>844</v>
      </c>
      <c r="E206" t="s">
        <v>143</v>
      </c>
      <c r="F206" t="s">
        <v>95</v>
      </c>
      <c r="G206" t="s">
        <v>845</v>
      </c>
      <c r="H206" t="str">
        <f>"ΕΛΕΥΘΕΡΙΟΥ ΑΛΕΞΙΟΥ 2 "</f>
        <v xml:space="preserve">ΕΛΕΥΘΕΡΙΟΥ ΑΛΕΞΙΟΥ 2 </v>
      </c>
      <c r="J206">
        <v>2810232256</v>
      </c>
      <c r="K206">
        <v>6977464881</v>
      </c>
      <c r="M206" t="s">
        <v>846</v>
      </c>
      <c r="N206" t="s">
        <v>176</v>
      </c>
      <c r="O206" t="s">
        <v>177</v>
      </c>
      <c r="R206" t="s">
        <v>57</v>
      </c>
      <c r="S206">
        <v>8</v>
      </c>
      <c r="T206">
        <v>231</v>
      </c>
      <c r="U206" s="1">
        <v>38960</v>
      </c>
      <c r="V206" t="s">
        <v>123</v>
      </c>
      <c r="W206" t="s">
        <v>124</v>
      </c>
      <c r="X206" t="s">
        <v>58</v>
      </c>
      <c r="Y206">
        <v>20</v>
      </c>
      <c r="Z206" t="s">
        <v>59</v>
      </c>
      <c r="AA206" t="s">
        <v>59</v>
      </c>
      <c r="AB206" t="s">
        <v>59</v>
      </c>
      <c r="AC206" t="s">
        <v>59</v>
      </c>
      <c r="AD206" t="s">
        <v>59</v>
      </c>
      <c r="AF206" s="1">
        <v>38961</v>
      </c>
      <c r="AG206" t="s">
        <v>125</v>
      </c>
      <c r="AH206" t="s">
        <v>126</v>
      </c>
      <c r="AI206" t="str">
        <f>"1709010"</f>
        <v>1709010</v>
      </c>
      <c r="AJ206" t="s">
        <v>847</v>
      </c>
      <c r="AK206">
        <v>2894022227</v>
      </c>
      <c r="AL206" t="s">
        <v>848</v>
      </c>
      <c r="AM206" t="s">
        <v>78</v>
      </c>
      <c r="AN206" t="s">
        <v>405</v>
      </c>
      <c r="AO206" t="s">
        <v>406</v>
      </c>
      <c r="AP206" t="s">
        <v>406</v>
      </c>
      <c r="AQ206">
        <v>30</v>
      </c>
      <c r="AR206" t="s">
        <v>123</v>
      </c>
      <c r="AS206" t="s">
        <v>124</v>
      </c>
      <c r="AT206" t="s">
        <v>58</v>
      </c>
      <c r="AU206" t="s">
        <v>68</v>
      </c>
      <c r="AV206" t="s">
        <v>69</v>
      </c>
      <c r="AW206" s="1">
        <v>26284</v>
      </c>
      <c r="AX206">
        <v>2</v>
      </c>
    </row>
    <row r="207" spans="1:50">
      <c r="A207">
        <v>169573</v>
      </c>
      <c r="B207" t="str">
        <f>"043888371"</f>
        <v>043888371</v>
      </c>
      <c r="C207" t="s">
        <v>50</v>
      </c>
      <c r="D207" t="s">
        <v>849</v>
      </c>
      <c r="E207" t="s">
        <v>250</v>
      </c>
      <c r="F207" t="s">
        <v>850</v>
      </c>
      <c r="G207" t="s">
        <v>188</v>
      </c>
      <c r="H207" t="str">
        <f>"ΤΣΙΡΙΝΤΑΝΗΔΩΝ 61 ΗΡΑΚΛΕΙΟ"</f>
        <v>ΤΣΙΡΙΝΤΑΝΗΔΩΝ 61 ΗΡΑΚΛΕΙΟ</v>
      </c>
      <c r="I207">
        <v>71201</v>
      </c>
      <c r="J207">
        <v>2810287483</v>
      </c>
      <c r="K207">
        <v>6948046806</v>
      </c>
      <c r="M207" t="s">
        <v>851</v>
      </c>
      <c r="N207" t="s">
        <v>146</v>
      </c>
      <c r="O207" t="s">
        <v>147</v>
      </c>
      <c r="R207" t="s">
        <v>57</v>
      </c>
      <c r="S207">
        <v>13</v>
      </c>
      <c r="T207">
        <v>184</v>
      </c>
      <c r="U207" s="1">
        <v>34941</v>
      </c>
      <c r="V207" t="s">
        <v>123</v>
      </c>
      <c r="W207" t="s">
        <v>124</v>
      </c>
      <c r="X207" t="s">
        <v>58</v>
      </c>
      <c r="Y207">
        <v>18</v>
      </c>
      <c r="Z207" t="s">
        <v>59</v>
      </c>
      <c r="AA207" t="s">
        <v>59</v>
      </c>
      <c r="AB207" t="s">
        <v>59</v>
      </c>
      <c r="AC207" t="s">
        <v>59</v>
      </c>
      <c r="AD207" t="s">
        <v>59</v>
      </c>
      <c r="AF207" s="1">
        <v>34943</v>
      </c>
      <c r="AG207" t="s">
        <v>148</v>
      </c>
      <c r="AH207" t="s">
        <v>149</v>
      </c>
      <c r="AI207" t="str">
        <f>"1751030"</f>
        <v>1751030</v>
      </c>
      <c r="AJ207" t="s">
        <v>234</v>
      </c>
      <c r="AK207">
        <v>2810282911</v>
      </c>
      <c r="AL207" t="s">
        <v>235</v>
      </c>
      <c r="AM207" t="s">
        <v>78</v>
      </c>
      <c r="AN207" t="s">
        <v>78</v>
      </c>
      <c r="AO207" t="s">
        <v>78</v>
      </c>
      <c r="AP207" t="s">
        <v>163</v>
      </c>
      <c r="AQ207">
        <v>1</v>
      </c>
      <c r="AR207" t="s">
        <v>123</v>
      </c>
      <c r="AS207" t="s">
        <v>124</v>
      </c>
      <c r="AT207" t="s">
        <v>58</v>
      </c>
      <c r="AU207" t="s">
        <v>68</v>
      </c>
      <c r="AV207" t="s">
        <v>69</v>
      </c>
      <c r="AW207" s="1">
        <v>24159</v>
      </c>
      <c r="AX207">
        <v>2</v>
      </c>
    </row>
    <row r="208" spans="1:50">
      <c r="A208">
        <v>221922</v>
      </c>
      <c r="B208" t="str">
        <f>"063455704"</f>
        <v>063455704</v>
      </c>
      <c r="C208" t="s">
        <v>50</v>
      </c>
      <c r="D208" t="s">
        <v>849</v>
      </c>
      <c r="E208" t="s">
        <v>610</v>
      </c>
      <c r="F208" t="s">
        <v>84</v>
      </c>
      <c r="G208" t="s">
        <v>181</v>
      </c>
      <c r="H208" t="str">
        <f>"ΙΕΡΟΛΟΧΙΤΩΝ 12 ΗΡΑΚΛΕΙΟ"</f>
        <v>ΙΕΡΟΛΟΧΙΤΩΝ 12 ΗΡΑΚΛΕΙΟ</v>
      </c>
      <c r="I208">
        <v>71305</v>
      </c>
      <c r="J208">
        <v>2810320666</v>
      </c>
      <c r="K208">
        <v>6974758783</v>
      </c>
      <c r="M208" t="s">
        <v>852</v>
      </c>
      <c r="N208" t="s">
        <v>146</v>
      </c>
      <c r="O208" t="s">
        <v>147</v>
      </c>
      <c r="R208" t="s">
        <v>57</v>
      </c>
      <c r="S208">
        <v>6</v>
      </c>
      <c r="T208">
        <v>775</v>
      </c>
      <c r="U208" s="1">
        <v>39680</v>
      </c>
      <c r="V208" t="s">
        <v>123</v>
      </c>
      <c r="W208" t="s">
        <v>124</v>
      </c>
      <c r="X208" t="s">
        <v>58</v>
      </c>
      <c r="Y208">
        <v>20</v>
      </c>
      <c r="Z208" t="s">
        <v>59</v>
      </c>
      <c r="AA208" t="s">
        <v>59</v>
      </c>
      <c r="AB208" t="s">
        <v>59</v>
      </c>
      <c r="AC208" t="s">
        <v>59</v>
      </c>
      <c r="AD208" t="s">
        <v>59</v>
      </c>
      <c r="AF208" s="1">
        <v>39681</v>
      </c>
      <c r="AG208" t="s">
        <v>148</v>
      </c>
      <c r="AH208" t="s">
        <v>149</v>
      </c>
      <c r="AI208" t="str">
        <f>"1761010"</f>
        <v>1761010</v>
      </c>
      <c r="AJ208" t="s">
        <v>426</v>
      </c>
      <c r="AK208">
        <v>2810741356</v>
      </c>
      <c r="AL208" t="s">
        <v>427</v>
      </c>
      <c r="AM208" t="s">
        <v>78</v>
      </c>
      <c r="AN208" t="s">
        <v>424</v>
      </c>
      <c r="AO208" t="s">
        <v>428</v>
      </c>
      <c r="AP208" t="s">
        <v>429</v>
      </c>
      <c r="AQ208">
        <v>14</v>
      </c>
      <c r="AR208" t="s">
        <v>123</v>
      </c>
      <c r="AS208" t="s">
        <v>124</v>
      </c>
      <c r="AT208" t="s">
        <v>58</v>
      </c>
      <c r="AU208" t="s">
        <v>68</v>
      </c>
      <c r="AV208" t="s">
        <v>69</v>
      </c>
      <c r="AW208" s="1">
        <v>26400</v>
      </c>
      <c r="AX208">
        <v>2</v>
      </c>
    </row>
    <row r="209" spans="1:50">
      <c r="A209">
        <v>203656</v>
      </c>
      <c r="B209" t="str">
        <f>"032721497"</f>
        <v>032721497</v>
      </c>
      <c r="C209" t="s">
        <v>50</v>
      </c>
      <c r="D209" t="s">
        <v>853</v>
      </c>
      <c r="E209" t="s">
        <v>255</v>
      </c>
      <c r="F209" t="s">
        <v>95</v>
      </c>
      <c r="G209" t="s">
        <v>513</v>
      </c>
      <c r="H209" t="str">
        <f>"ΓΙΟΥΧΤΑ 16-18 ΗΡΑΚΛΕΙΟ"</f>
        <v>ΓΙΟΥΧΤΑ 16-18 ΗΡΑΚΛΕΙΟ</v>
      </c>
      <c r="I209">
        <v>71307</v>
      </c>
      <c r="J209">
        <v>2810254928</v>
      </c>
      <c r="K209">
        <v>6980729932</v>
      </c>
      <c r="M209" t="s">
        <v>854</v>
      </c>
      <c r="N209" t="s">
        <v>299</v>
      </c>
      <c r="O209" t="s">
        <v>300</v>
      </c>
      <c r="R209" t="s">
        <v>57</v>
      </c>
      <c r="S209">
        <v>8</v>
      </c>
      <c r="T209">
        <v>231</v>
      </c>
      <c r="U209" s="1">
        <v>38230</v>
      </c>
      <c r="V209" t="s">
        <v>123</v>
      </c>
      <c r="W209" t="s">
        <v>124</v>
      </c>
      <c r="X209" t="s">
        <v>58</v>
      </c>
      <c r="Y209">
        <v>20</v>
      </c>
      <c r="Z209" t="s">
        <v>59</v>
      </c>
      <c r="AA209" t="s">
        <v>59</v>
      </c>
      <c r="AB209" t="s">
        <v>59</v>
      </c>
      <c r="AC209" t="s">
        <v>59</v>
      </c>
      <c r="AD209" t="s">
        <v>59</v>
      </c>
      <c r="AF209" s="1">
        <v>38233</v>
      </c>
      <c r="AG209" t="s">
        <v>137</v>
      </c>
      <c r="AH209" t="s">
        <v>138</v>
      </c>
      <c r="AI209" t="str">
        <f>"1740310"</f>
        <v>1740310</v>
      </c>
      <c r="AJ209" t="s">
        <v>488</v>
      </c>
      <c r="AK209">
        <v>2891024228</v>
      </c>
      <c r="AL209" t="s">
        <v>489</v>
      </c>
      <c r="AM209" t="s">
        <v>78</v>
      </c>
      <c r="AN209" t="s">
        <v>276</v>
      </c>
      <c r="AO209" t="s">
        <v>490</v>
      </c>
      <c r="AP209" t="s">
        <v>490</v>
      </c>
      <c r="AQ209">
        <v>15</v>
      </c>
      <c r="AR209" t="s">
        <v>123</v>
      </c>
      <c r="AS209" t="s">
        <v>124</v>
      </c>
      <c r="AT209" t="s">
        <v>58</v>
      </c>
      <c r="AU209" t="s">
        <v>68</v>
      </c>
      <c r="AV209" t="s">
        <v>69</v>
      </c>
      <c r="AW209" s="1">
        <v>22188</v>
      </c>
      <c r="AX209">
        <v>2</v>
      </c>
    </row>
    <row r="210" spans="1:50">
      <c r="A210">
        <v>200725</v>
      </c>
      <c r="B210" t="str">
        <f>"037317508"</f>
        <v>037317508</v>
      </c>
      <c r="C210" t="s">
        <v>50</v>
      </c>
      <c r="D210" t="s">
        <v>853</v>
      </c>
      <c r="E210" t="s">
        <v>52</v>
      </c>
      <c r="F210" t="s">
        <v>154</v>
      </c>
      <c r="G210" t="s">
        <v>855</v>
      </c>
      <c r="H210" t="str">
        <f>" "</f>
        <v xml:space="preserve"> </v>
      </c>
      <c r="J210">
        <v>2810313332</v>
      </c>
      <c r="K210">
        <v>6977083193</v>
      </c>
      <c r="M210" t="s">
        <v>856</v>
      </c>
      <c r="N210" t="s">
        <v>168</v>
      </c>
      <c r="O210" t="s">
        <v>169</v>
      </c>
      <c r="R210" t="s">
        <v>57</v>
      </c>
      <c r="S210">
        <v>8</v>
      </c>
      <c r="T210">
        <v>213</v>
      </c>
      <c r="U210" s="1">
        <v>37874</v>
      </c>
      <c r="V210" t="s">
        <v>123</v>
      </c>
      <c r="W210" t="s">
        <v>124</v>
      </c>
      <c r="X210" t="s">
        <v>58</v>
      </c>
      <c r="Y210">
        <v>20</v>
      </c>
      <c r="Z210" t="s">
        <v>59</v>
      </c>
      <c r="AA210" t="s">
        <v>59</v>
      </c>
      <c r="AB210" t="s">
        <v>59</v>
      </c>
      <c r="AC210" t="s">
        <v>59</v>
      </c>
      <c r="AD210" t="s">
        <v>59</v>
      </c>
      <c r="AF210" s="1">
        <v>37876</v>
      </c>
      <c r="AG210" t="s">
        <v>137</v>
      </c>
      <c r="AH210" t="s">
        <v>138</v>
      </c>
      <c r="AI210" t="str">
        <f>"1740100"</f>
        <v>1740100</v>
      </c>
      <c r="AJ210" t="s">
        <v>857</v>
      </c>
      <c r="AK210">
        <v>2810360741</v>
      </c>
      <c r="AL210" t="s">
        <v>858</v>
      </c>
      <c r="AM210" t="s">
        <v>78</v>
      </c>
      <c r="AN210" t="s">
        <v>78</v>
      </c>
      <c r="AO210" t="s">
        <v>78</v>
      </c>
      <c r="AP210" t="s">
        <v>163</v>
      </c>
      <c r="AQ210">
        <v>5</v>
      </c>
      <c r="AR210" t="s">
        <v>123</v>
      </c>
      <c r="AS210" t="s">
        <v>124</v>
      </c>
      <c r="AT210" t="s">
        <v>58</v>
      </c>
      <c r="AU210" t="s">
        <v>68</v>
      </c>
      <c r="AV210" t="s">
        <v>69</v>
      </c>
      <c r="AW210" s="1">
        <v>23205</v>
      </c>
      <c r="AX210">
        <v>2</v>
      </c>
    </row>
    <row r="211" spans="1:50">
      <c r="A211">
        <v>181699</v>
      </c>
      <c r="B211" t="str">
        <f>"054545970"</f>
        <v>054545970</v>
      </c>
      <c r="C211" t="s">
        <v>50</v>
      </c>
      <c r="D211" t="s">
        <v>859</v>
      </c>
      <c r="E211" t="s">
        <v>860</v>
      </c>
      <c r="F211" t="s">
        <v>106</v>
      </c>
      <c r="G211" t="s">
        <v>83</v>
      </c>
      <c r="H211" t="str">
        <f>" "</f>
        <v xml:space="preserve"> </v>
      </c>
      <c r="M211" t="s">
        <v>861</v>
      </c>
      <c r="N211" t="s">
        <v>257</v>
      </c>
      <c r="O211" t="s">
        <v>258</v>
      </c>
      <c r="P211" t="s">
        <v>146</v>
      </c>
      <c r="Q211" t="s">
        <v>147</v>
      </c>
      <c r="R211" t="s">
        <v>57</v>
      </c>
      <c r="S211">
        <v>12</v>
      </c>
      <c r="T211">
        <v>164</v>
      </c>
      <c r="U211" s="1">
        <v>36040</v>
      </c>
      <c r="V211" t="s">
        <v>123</v>
      </c>
      <c r="W211" t="s">
        <v>124</v>
      </c>
      <c r="X211" t="s">
        <v>58</v>
      </c>
      <c r="Y211">
        <v>18</v>
      </c>
      <c r="Z211" t="s">
        <v>59</v>
      </c>
      <c r="AA211" t="s">
        <v>59</v>
      </c>
      <c r="AB211" t="s">
        <v>59</v>
      </c>
      <c r="AC211" t="s">
        <v>59</v>
      </c>
      <c r="AD211" t="s">
        <v>59</v>
      </c>
      <c r="AF211" s="1">
        <v>36045</v>
      </c>
      <c r="AG211" t="s">
        <v>137</v>
      </c>
      <c r="AH211" t="s">
        <v>138</v>
      </c>
      <c r="AI211" t="str">
        <f>"1740310"</f>
        <v>1740310</v>
      </c>
      <c r="AJ211" t="s">
        <v>488</v>
      </c>
      <c r="AK211">
        <v>2891024228</v>
      </c>
      <c r="AL211" t="s">
        <v>489</v>
      </c>
      <c r="AM211" t="s">
        <v>78</v>
      </c>
      <c r="AN211" t="s">
        <v>276</v>
      </c>
      <c r="AO211" t="s">
        <v>490</v>
      </c>
      <c r="AP211" t="s">
        <v>490</v>
      </c>
      <c r="AQ211">
        <v>15</v>
      </c>
      <c r="AR211" t="s">
        <v>123</v>
      </c>
      <c r="AS211" t="s">
        <v>124</v>
      </c>
      <c r="AT211" t="s">
        <v>58</v>
      </c>
      <c r="AU211" t="s">
        <v>68</v>
      </c>
      <c r="AV211" t="s">
        <v>69</v>
      </c>
      <c r="AW211" s="1">
        <v>23116</v>
      </c>
      <c r="AX211">
        <v>2</v>
      </c>
    </row>
    <row r="212" spans="1:50">
      <c r="A212">
        <v>199723</v>
      </c>
      <c r="B212" t="str">
        <f>"110108136"</f>
        <v>110108136</v>
      </c>
      <c r="C212" t="s">
        <v>105</v>
      </c>
      <c r="D212" t="s">
        <v>862</v>
      </c>
      <c r="E212" t="s">
        <v>95</v>
      </c>
      <c r="F212" t="s">
        <v>154</v>
      </c>
      <c r="G212" t="s">
        <v>143</v>
      </c>
      <c r="H212" t="str">
        <f>" "</f>
        <v xml:space="preserve"> </v>
      </c>
      <c r="M212" t="s">
        <v>863</v>
      </c>
      <c r="N212" t="s">
        <v>204</v>
      </c>
      <c r="O212" t="s">
        <v>205</v>
      </c>
      <c r="R212" t="s">
        <v>57</v>
      </c>
      <c r="S212">
        <v>8</v>
      </c>
      <c r="T212">
        <v>206</v>
      </c>
      <c r="U212" s="1">
        <v>37866</v>
      </c>
      <c r="V212" t="s">
        <v>123</v>
      </c>
      <c r="W212" t="s">
        <v>124</v>
      </c>
      <c r="X212" t="s">
        <v>58</v>
      </c>
      <c r="Y212">
        <v>20</v>
      </c>
      <c r="Z212" t="s">
        <v>59</v>
      </c>
      <c r="AA212" t="s">
        <v>59</v>
      </c>
      <c r="AB212" t="s">
        <v>59</v>
      </c>
      <c r="AC212" t="s">
        <v>59</v>
      </c>
      <c r="AD212" t="s">
        <v>59</v>
      </c>
      <c r="AF212" s="1">
        <v>37866</v>
      </c>
      <c r="AG212" t="s">
        <v>137</v>
      </c>
      <c r="AH212" t="s">
        <v>138</v>
      </c>
      <c r="AI212" t="str">
        <f>"1740100"</f>
        <v>1740100</v>
      </c>
      <c r="AJ212" t="s">
        <v>857</v>
      </c>
      <c r="AK212">
        <v>2810360741</v>
      </c>
      <c r="AL212" t="s">
        <v>858</v>
      </c>
      <c r="AM212" t="s">
        <v>78</v>
      </c>
      <c r="AN212" t="s">
        <v>78</v>
      </c>
      <c r="AO212" t="s">
        <v>78</v>
      </c>
      <c r="AP212" t="s">
        <v>163</v>
      </c>
      <c r="AQ212">
        <v>5</v>
      </c>
      <c r="AR212" t="s">
        <v>123</v>
      </c>
      <c r="AS212" t="s">
        <v>124</v>
      </c>
      <c r="AT212" t="s">
        <v>58</v>
      </c>
      <c r="AU212" t="s">
        <v>68</v>
      </c>
      <c r="AV212" t="s">
        <v>69</v>
      </c>
      <c r="AW212" s="1">
        <v>27539</v>
      </c>
      <c r="AX212">
        <v>2</v>
      </c>
    </row>
    <row r="213" spans="1:50">
      <c r="A213">
        <v>171301</v>
      </c>
      <c r="B213" t="str">
        <f>"046596226"</f>
        <v>046596226</v>
      </c>
      <c r="C213" t="s">
        <v>105</v>
      </c>
      <c r="D213" t="s">
        <v>864</v>
      </c>
      <c r="E213" t="s">
        <v>72</v>
      </c>
      <c r="F213" t="s">
        <v>53</v>
      </c>
      <c r="G213" t="s">
        <v>476</v>
      </c>
      <c r="H213" t="str">
        <f>" "</f>
        <v xml:space="preserve"> </v>
      </c>
      <c r="N213" t="s">
        <v>683</v>
      </c>
      <c r="O213" t="s">
        <v>684</v>
      </c>
      <c r="R213" t="s">
        <v>57</v>
      </c>
      <c r="S213">
        <v>11</v>
      </c>
      <c r="T213">
        <v>184</v>
      </c>
      <c r="U213" s="1">
        <v>34941</v>
      </c>
      <c r="V213" t="s">
        <v>123</v>
      </c>
      <c r="W213" t="s">
        <v>124</v>
      </c>
      <c r="X213" t="s">
        <v>58</v>
      </c>
      <c r="Y213">
        <v>18</v>
      </c>
      <c r="Z213" t="s">
        <v>59</v>
      </c>
      <c r="AA213" t="s">
        <v>59</v>
      </c>
      <c r="AB213" t="s">
        <v>59</v>
      </c>
      <c r="AC213" t="s">
        <v>59</v>
      </c>
      <c r="AD213" t="s">
        <v>59</v>
      </c>
      <c r="AF213" s="1">
        <v>34947</v>
      </c>
      <c r="AG213" t="s">
        <v>125</v>
      </c>
      <c r="AH213" t="s">
        <v>126</v>
      </c>
      <c r="AI213" t="str">
        <f>"1701050"</f>
        <v>1701050</v>
      </c>
      <c r="AJ213" t="s">
        <v>660</v>
      </c>
      <c r="AK213">
        <v>2810220729</v>
      </c>
      <c r="AL213" t="s">
        <v>661</v>
      </c>
      <c r="AM213" t="s">
        <v>78</v>
      </c>
      <c r="AN213" t="s">
        <v>78</v>
      </c>
      <c r="AO213" t="s">
        <v>78</v>
      </c>
      <c r="AP213" t="s">
        <v>79</v>
      </c>
      <c r="AQ213">
        <v>1</v>
      </c>
      <c r="AR213" t="s">
        <v>123</v>
      </c>
      <c r="AS213" t="s">
        <v>124</v>
      </c>
      <c r="AT213" t="s">
        <v>58</v>
      </c>
      <c r="AU213" t="s">
        <v>68</v>
      </c>
      <c r="AV213" t="s">
        <v>69</v>
      </c>
      <c r="AW213" s="1">
        <v>23826</v>
      </c>
      <c r="AX213">
        <v>2</v>
      </c>
    </row>
    <row r="214" spans="1:50">
      <c r="A214">
        <v>208020</v>
      </c>
      <c r="B214" t="str">
        <f>"055935251"</f>
        <v>055935251</v>
      </c>
      <c r="C214" t="s">
        <v>105</v>
      </c>
      <c r="D214" t="s">
        <v>865</v>
      </c>
      <c r="E214" t="s">
        <v>95</v>
      </c>
      <c r="F214" t="s">
        <v>99</v>
      </c>
      <c r="G214" t="s">
        <v>727</v>
      </c>
      <c r="H214" t="str">
        <f>"ΝΙΣΥΡΟΥ 7 "</f>
        <v xml:space="preserve">ΝΙΣΥΡΟΥ 7 </v>
      </c>
      <c r="I214">
        <v>71307</v>
      </c>
      <c r="J214">
        <v>2810228036</v>
      </c>
      <c r="K214">
        <v>6976787781</v>
      </c>
      <c r="M214" t="s">
        <v>866</v>
      </c>
      <c r="N214" t="s">
        <v>176</v>
      </c>
      <c r="O214" t="s">
        <v>177</v>
      </c>
      <c r="R214" t="s">
        <v>57</v>
      </c>
      <c r="S214">
        <v>9</v>
      </c>
      <c r="T214">
        <v>218</v>
      </c>
      <c r="U214" s="1">
        <v>38596</v>
      </c>
      <c r="V214" t="s">
        <v>123</v>
      </c>
      <c r="W214" t="s">
        <v>124</v>
      </c>
      <c r="X214" t="s">
        <v>58</v>
      </c>
      <c r="Y214">
        <v>20</v>
      </c>
      <c r="Z214" t="s">
        <v>59</v>
      </c>
      <c r="AA214" t="s">
        <v>59</v>
      </c>
      <c r="AB214" t="s">
        <v>59</v>
      </c>
      <c r="AC214" t="s">
        <v>59</v>
      </c>
      <c r="AD214" t="s">
        <v>59</v>
      </c>
      <c r="AF214" s="1">
        <v>38600</v>
      </c>
      <c r="AG214" t="s">
        <v>125</v>
      </c>
      <c r="AH214" t="s">
        <v>126</v>
      </c>
      <c r="AI214" t="str">
        <f>"1709010"</f>
        <v>1709010</v>
      </c>
      <c r="AJ214" t="s">
        <v>847</v>
      </c>
      <c r="AK214">
        <v>2894022227</v>
      </c>
      <c r="AL214" t="s">
        <v>848</v>
      </c>
      <c r="AM214" t="s">
        <v>78</v>
      </c>
      <c r="AN214" t="s">
        <v>405</v>
      </c>
      <c r="AO214" t="s">
        <v>406</v>
      </c>
      <c r="AP214" t="s">
        <v>406</v>
      </c>
      <c r="AQ214">
        <v>30</v>
      </c>
      <c r="AR214" t="s">
        <v>123</v>
      </c>
      <c r="AS214" t="s">
        <v>124</v>
      </c>
      <c r="AT214" t="s">
        <v>58</v>
      </c>
      <c r="AU214" t="s">
        <v>68</v>
      </c>
      <c r="AV214" t="s">
        <v>69</v>
      </c>
      <c r="AW214" s="1">
        <v>23630</v>
      </c>
      <c r="AX214">
        <v>2</v>
      </c>
    </row>
    <row r="215" spans="1:50">
      <c r="A215">
        <v>218348</v>
      </c>
      <c r="B215" t="str">
        <f>"103839951"</f>
        <v>103839951</v>
      </c>
      <c r="C215" t="s">
        <v>50</v>
      </c>
      <c r="D215" t="s">
        <v>867</v>
      </c>
      <c r="E215" t="s">
        <v>868</v>
      </c>
      <c r="F215" t="s">
        <v>53</v>
      </c>
      <c r="G215" t="s">
        <v>869</v>
      </c>
      <c r="H215" t="str">
        <f>"ΜΥΡΩΝΟΣ ΝΙΚΟΛΑΙΔ ΚΟΡΩΝΗ ΜΑΓΑΡΑ"</f>
        <v>ΜΥΡΩΝΟΣ ΝΙΚΟΛΑΙΔ ΚΟΡΩΝΗ ΜΑΓΑΡΑ</v>
      </c>
      <c r="I215">
        <v>71305</v>
      </c>
      <c r="J215">
        <v>2810263203</v>
      </c>
      <c r="K215">
        <v>6932646446</v>
      </c>
      <c r="N215" t="s">
        <v>232</v>
      </c>
      <c r="O215" t="s">
        <v>233</v>
      </c>
      <c r="R215" t="s">
        <v>57</v>
      </c>
      <c r="S215">
        <v>6</v>
      </c>
      <c r="T215">
        <v>599</v>
      </c>
      <c r="U215" s="1">
        <v>39310</v>
      </c>
      <c r="V215" t="s">
        <v>123</v>
      </c>
      <c r="W215" t="s">
        <v>124</v>
      </c>
      <c r="X215" t="s">
        <v>58</v>
      </c>
      <c r="Y215">
        <v>20</v>
      </c>
      <c r="Z215" t="s">
        <v>59</v>
      </c>
      <c r="AA215" t="s">
        <v>59</v>
      </c>
      <c r="AB215" t="s">
        <v>59</v>
      </c>
      <c r="AC215" t="s">
        <v>59</v>
      </c>
      <c r="AD215" t="s">
        <v>59</v>
      </c>
      <c r="AF215" s="1">
        <v>39310</v>
      </c>
      <c r="AG215" t="s">
        <v>125</v>
      </c>
      <c r="AH215" t="s">
        <v>590</v>
      </c>
      <c r="AI215" t="str">
        <f>"1740060"</f>
        <v>1740060</v>
      </c>
      <c r="AJ215" t="s">
        <v>591</v>
      </c>
      <c r="AK215">
        <v>2810232117</v>
      </c>
      <c r="AL215" t="s">
        <v>592</v>
      </c>
      <c r="AM215" t="s">
        <v>78</v>
      </c>
      <c r="AN215" t="s">
        <v>78</v>
      </c>
      <c r="AO215" t="s">
        <v>78</v>
      </c>
      <c r="AP215" t="s">
        <v>141</v>
      </c>
      <c r="AQ215">
        <v>11</v>
      </c>
      <c r="AR215" t="s">
        <v>123</v>
      </c>
      <c r="AS215" t="s">
        <v>124</v>
      </c>
      <c r="AT215" t="s">
        <v>58</v>
      </c>
      <c r="AU215" t="s">
        <v>68</v>
      </c>
      <c r="AV215" t="s">
        <v>69</v>
      </c>
      <c r="AW215" s="1">
        <v>27551</v>
      </c>
      <c r="AX215">
        <v>2</v>
      </c>
    </row>
    <row r="216" spans="1:50">
      <c r="A216">
        <v>185123</v>
      </c>
      <c r="B216" t="str">
        <f>"042952443"</f>
        <v>042952443</v>
      </c>
      <c r="C216" t="s">
        <v>105</v>
      </c>
      <c r="D216" t="s">
        <v>870</v>
      </c>
      <c r="E216" t="s">
        <v>95</v>
      </c>
      <c r="F216" t="s">
        <v>53</v>
      </c>
      <c r="G216" t="s">
        <v>73</v>
      </c>
      <c r="H216" t="str">
        <f>" "</f>
        <v xml:space="preserve"> </v>
      </c>
      <c r="J216">
        <v>2810360460</v>
      </c>
      <c r="K216">
        <v>6945149581</v>
      </c>
      <c r="M216" t="s">
        <v>871</v>
      </c>
      <c r="N216" t="s">
        <v>204</v>
      </c>
      <c r="O216" t="s">
        <v>205</v>
      </c>
      <c r="P216" t="s">
        <v>331</v>
      </c>
      <c r="Q216" t="s">
        <v>332</v>
      </c>
      <c r="R216" t="s">
        <v>57</v>
      </c>
      <c r="S216">
        <v>12</v>
      </c>
      <c r="T216">
        <v>177</v>
      </c>
      <c r="U216" s="1">
        <v>36403</v>
      </c>
      <c r="V216" t="s">
        <v>123</v>
      </c>
      <c r="W216" t="s">
        <v>124</v>
      </c>
      <c r="X216" t="s">
        <v>58</v>
      </c>
      <c r="Y216">
        <v>20</v>
      </c>
      <c r="Z216" t="s">
        <v>59</v>
      </c>
      <c r="AA216" t="s">
        <v>59</v>
      </c>
      <c r="AB216" t="s">
        <v>59</v>
      </c>
      <c r="AC216" t="s">
        <v>59</v>
      </c>
      <c r="AD216" t="s">
        <v>59</v>
      </c>
      <c r="AF216" s="1">
        <v>36404</v>
      </c>
      <c r="AG216" t="s">
        <v>125</v>
      </c>
      <c r="AH216" t="s">
        <v>126</v>
      </c>
      <c r="AI216" t="str">
        <f>"1701030"</f>
        <v>1701030</v>
      </c>
      <c r="AJ216" t="s">
        <v>270</v>
      </c>
      <c r="AK216">
        <v>2810361015</v>
      </c>
      <c r="AL216" t="s">
        <v>271</v>
      </c>
      <c r="AM216" t="s">
        <v>78</v>
      </c>
      <c r="AN216" t="s">
        <v>78</v>
      </c>
      <c r="AO216" t="s">
        <v>78</v>
      </c>
      <c r="AP216" t="s">
        <v>163</v>
      </c>
      <c r="AQ216">
        <v>2</v>
      </c>
      <c r="AR216" t="s">
        <v>123</v>
      </c>
      <c r="AS216" t="s">
        <v>124</v>
      </c>
      <c r="AT216" t="s">
        <v>58</v>
      </c>
      <c r="AU216" t="s">
        <v>68</v>
      </c>
      <c r="AV216" t="s">
        <v>69</v>
      </c>
      <c r="AW216" s="1">
        <v>22763</v>
      </c>
      <c r="AX216">
        <v>2</v>
      </c>
    </row>
    <row r="217" spans="1:50">
      <c r="B217" t="str">
        <f>"076658810"</f>
        <v>076658810</v>
      </c>
      <c r="C217" t="s">
        <v>105</v>
      </c>
      <c r="D217" t="s">
        <v>872</v>
      </c>
      <c r="E217" t="s">
        <v>53</v>
      </c>
      <c r="F217" t="s">
        <v>95</v>
      </c>
      <c r="G217" t="s">
        <v>367</v>
      </c>
      <c r="H217" t="str">
        <f>"ΜΕΣΟΛΟΓΓΙΟΥ 29 ΒΥΡΩΝΑΣ"</f>
        <v>ΜΕΣΟΛΟΓΓΙΟΥ 29 ΒΥΡΩΝΑΣ</v>
      </c>
      <c r="I217">
        <v>16231</v>
      </c>
      <c r="J217">
        <v>2107648878</v>
      </c>
      <c r="K217">
        <v>6907486403</v>
      </c>
      <c r="N217" t="s">
        <v>306</v>
      </c>
      <c r="O217" t="s">
        <v>307</v>
      </c>
      <c r="R217" t="s">
        <v>159</v>
      </c>
      <c r="S217">
        <v>4</v>
      </c>
      <c r="T217" t="s">
        <v>873</v>
      </c>
      <c r="U217" s="1">
        <v>43377</v>
      </c>
      <c r="V217" t="s">
        <v>123</v>
      </c>
      <c r="W217" t="s">
        <v>124</v>
      </c>
      <c r="X217" t="s">
        <v>58</v>
      </c>
      <c r="Y217">
        <v>21</v>
      </c>
      <c r="Z217" t="s">
        <v>59</v>
      </c>
      <c r="AA217" t="s">
        <v>59</v>
      </c>
      <c r="AB217" t="s">
        <v>59</v>
      </c>
      <c r="AC217" t="s">
        <v>59</v>
      </c>
      <c r="AD217" t="s">
        <v>59</v>
      </c>
      <c r="AF217" s="1">
        <v>43377</v>
      </c>
      <c r="AG217" t="s">
        <v>148</v>
      </c>
      <c r="AH217" t="s">
        <v>149</v>
      </c>
      <c r="AI217" t="str">
        <f>"1756010"</f>
        <v>1756010</v>
      </c>
      <c r="AJ217" t="s">
        <v>874</v>
      </c>
      <c r="AK217">
        <v>2892022976</v>
      </c>
      <c r="AL217" t="s">
        <v>875</v>
      </c>
      <c r="AM217" t="s">
        <v>78</v>
      </c>
      <c r="AN217" t="s">
        <v>242</v>
      </c>
      <c r="AO217" t="s">
        <v>243</v>
      </c>
      <c r="AP217" t="s">
        <v>243</v>
      </c>
      <c r="AQ217">
        <v>33</v>
      </c>
      <c r="AR217" t="s">
        <v>123</v>
      </c>
      <c r="AS217" t="s">
        <v>124</v>
      </c>
      <c r="AT217" t="s">
        <v>58</v>
      </c>
      <c r="AU217" t="s">
        <v>164</v>
      </c>
      <c r="AV217" t="s">
        <v>132</v>
      </c>
      <c r="AW217" s="1">
        <v>28572</v>
      </c>
      <c r="AX217">
        <v>2</v>
      </c>
    </row>
    <row r="218" spans="1:50">
      <c r="A218">
        <v>179130</v>
      </c>
      <c r="B218" t="str">
        <f>"042156912"</f>
        <v>042156912</v>
      </c>
      <c r="C218" t="s">
        <v>50</v>
      </c>
      <c r="D218" t="s">
        <v>876</v>
      </c>
      <c r="E218" t="s">
        <v>877</v>
      </c>
      <c r="F218" t="s">
        <v>72</v>
      </c>
      <c r="G218" t="s">
        <v>878</v>
      </c>
      <c r="H218" t="str">
        <f>"ΠΑΤΕΛΑΡΟΥ 2  ΜΑΣΤΑΜΠΑΣ"</f>
        <v>ΠΑΤΕΛΑΡΟΥ 2  ΜΑΣΤΑΜΠΑΣ</v>
      </c>
      <c r="I218">
        <v>71305</v>
      </c>
      <c r="J218">
        <v>2810234286</v>
      </c>
      <c r="K218">
        <v>6974316164</v>
      </c>
      <c r="L218">
        <v>697431664</v>
      </c>
      <c r="M218" t="s">
        <v>879</v>
      </c>
      <c r="N218" t="s">
        <v>146</v>
      </c>
      <c r="O218" t="s">
        <v>147</v>
      </c>
      <c r="R218" t="s">
        <v>57</v>
      </c>
      <c r="S218">
        <v>13</v>
      </c>
      <c r="T218">
        <v>164</v>
      </c>
      <c r="U218" s="1">
        <v>36040</v>
      </c>
      <c r="V218" t="s">
        <v>123</v>
      </c>
      <c r="W218" t="s">
        <v>124</v>
      </c>
      <c r="X218" t="s">
        <v>58</v>
      </c>
      <c r="Y218">
        <v>18</v>
      </c>
      <c r="Z218" t="s">
        <v>59</v>
      </c>
      <c r="AA218" t="s">
        <v>59</v>
      </c>
      <c r="AB218" t="s">
        <v>59</v>
      </c>
      <c r="AC218" t="s">
        <v>59</v>
      </c>
      <c r="AD218" t="s">
        <v>59</v>
      </c>
      <c r="AF218" s="1">
        <v>36042</v>
      </c>
      <c r="AG218" t="s">
        <v>148</v>
      </c>
      <c r="AH218" t="s">
        <v>149</v>
      </c>
      <c r="AI218" t="str">
        <f>"1777010"</f>
        <v>1777010</v>
      </c>
      <c r="AJ218" t="s">
        <v>612</v>
      </c>
      <c r="AK218">
        <v>2810229220</v>
      </c>
      <c r="AL218" t="s">
        <v>613</v>
      </c>
      <c r="AM218" t="s">
        <v>78</v>
      </c>
      <c r="AN218" t="s">
        <v>78</v>
      </c>
      <c r="AO218" t="s">
        <v>286</v>
      </c>
      <c r="AP218" t="s">
        <v>286</v>
      </c>
      <c r="AQ218">
        <v>12</v>
      </c>
      <c r="AR218" t="s">
        <v>123</v>
      </c>
      <c r="AS218" t="s">
        <v>124</v>
      </c>
      <c r="AT218" t="s">
        <v>58</v>
      </c>
      <c r="AU218" t="s">
        <v>68</v>
      </c>
      <c r="AV218" t="s">
        <v>69</v>
      </c>
      <c r="AW218" s="1">
        <v>24479</v>
      </c>
      <c r="AX218">
        <v>2</v>
      </c>
    </row>
    <row r="219" spans="1:50">
      <c r="A219">
        <v>702812</v>
      </c>
      <c r="B219" t="str">
        <f>"044814005"</f>
        <v>044814005</v>
      </c>
      <c r="C219" t="s">
        <v>50</v>
      </c>
      <c r="D219" t="s">
        <v>880</v>
      </c>
      <c r="E219" t="s">
        <v>109</v>
      </c>
      <c r="F219" t="s">
        <v>53</v>
      </c>
      <c r="G219" t="s">
        <v>52</v>
      </c>
      <c r="H219" t="str">
        <f>"Κωνσταντινίδη 43 Ηράκλειο"</f>
        <v>Κωνσταντινίδη 43 Ηράκλειο</v>
      </c>
      <c r="K219">
        <v>6976282432</v>
      </c>
      <c r="M219" t="s">
        <v>881</v>
      </c>
      <c r="N219" t="s">
        <v>74</v>
      </c>
      <c r="O219" t="s">
        <v>75</v>
      </c>
      <c r="R219" t="s">
        <v>57</v>
      </c>
      <c r="S219">
        <v>9</v>
      </c>
      <c r="T219">
        <v>1208</v>
      </c>
      <c r="U219" s="1">
        <v>40533</v>
      </c>
      <c r="V219" t="s">
        <v>123</v>
      </c>
      <c r="W219" t="s">
        <v>124</v>
      </c>
      <c r="X219" t="s">
        <v>58</v>
      </c>
      <c r="Y219">
        <v>24</v>
      </c>
      <c r="Z219" t="s">
        <v>59</v>
      </c>
      <c r="AA219" t="s">
        <v>59</v>
      </c>
      <c r="AB219" t="s">
        <v>59</v>
      </c>
      <c r="AC219" t="s">
        <v>59</v>
      </c>
      <c r="AD219" t="s">
        <v>59</v>
      </c>
      <c r="AF219" s="1">
        <v>40533</v>
      </c>
      <c r="AG219" t="s">
        <v>125</v>
      </c>
      <c r="AH219" t="s">
        <v>538</v>
      </c>
      <c r="AI219" t="str">
        <f>"1701002"</f>
        <v>1701002</v>
      </c>
      <c r="AJ219" t="s">
        <v>539</v>
      </c>
      <c r="AK219">
        <v>2810213569</v>
      </c>
      <c r="AL219" t="s">
        <v>540</v>
      </c>
      <c r="AM219" t="s">
        <v>78</v>
      </c>
      <c r="AN219" t="s">
        <v>78</v>
      </c>
      <c r="AO219" t="s">
        <v>78</v>
      </c>
      <c r="AP219" t="s">
        <v>163</v>
      </c>
      <c r="AQ219">
        <v>11</v>
      </c>
      <c r="AR219" t="s">
        <v>123</v>
      </c>
      <c r="AS219" t="s">
        <v>124</v>
      </c>
      <c r="AT219" t="s">
        <v>58</v>
      </c>
      <c r="AU219" t="s">
        <v>68</v>
      </c>
      <c r="AV219" t="s">
        <v>69</v>
      </c>
      <c r="AW219" s="1">
        <v>26215</v>
      </c>
      <c r="AX219">
        <v>2</v>
      </c>
    </row>
    <row r="220" spans="1:50">
      <c r="B220" t="str">
        <f>"070368082"</f>
        <v>070368082</v>
      </c>
      <c r="C220" t="s">
        <v>50</v>
      </c>
      <c r="D220" t="s">
        <v>882</v>
      </c>
      <c r="E220" t="s">
        <v>109</v>
      </c>
      <c r="F220" t="s">
        <v>760</v>
      </c>
      <c r="G220" t="s">
        <v>83</v>
      </c>
      <c r="H220" t="str">
        <f>"ΚΟΚΚΙΝΗ ΧΑΝΙ ΗΡΑΚΛΕΙΟ"</f>
        <v>ΚΟΚΚΙΝΗ ΧΑΝΙ ΗΡΑΚΛΕΙΟ</v>
      </c>
      <c r="I220">
        <v>71500</v>
      </c>
      <c r="J220">
        <v>2810762270</v>
      </c>
      <c r="K220">
        <v>6976065024</v>
      </c>
      <c r="N220" t="s">
        <v>883</v>
      </c>
      <c r="O220" t="s">
        <v>884</v>
      </c>
      <c r="R220" t="s">
        <v>159</v>
      </c>
      <c r="S220">
        <v>6</v>
      </c>
      <c r="T220" t="s">
        <v>344</v>
      </c>
      <c r="U220" s="1">
        <v>43348</v>
      </c>
      <c r="V220" t="s">
        <v>123</v>
      </c>
      <c r="W220" t="s">
        <v>124</v>
      </c>
      <c r="X220" t="s">
        <v>58</v>
      </c>
      <c r="Y220">
        <v>21</v>
      </c>
      <c r="Z220" t="s">
        <v>59</v>
      </c>
      <c r="AA220" t="s">
        <v>59</v>
      </c>
      <c r="AB220" t="s">
        <v>59</v>
      </c>
      <c r="AC220" t="s">
        <v>59</v>
      </c>
      <c r="AD220" t="s">
        <v>59</v>
      </c>
      <c r="AF220" s="1">
        <v>43348</v>
      </c>
      <c r="AG220" t="s">
        <v>125</v>
      </c>
      <c r="AH220" t="s">
        <v>126</v>
      </c>
      <c r="AI220" t="str">
        <f>"1703010"</f>
        <v>1703010</v>
      </c>
      <c r="AJ220" t="s">
        <v>422</v>
      </c>
      <c r="AK220">
        <v>2810751808</v>
      </c>
      <c r="AL220" t="s">
        <v>423</v>
      </c>
      <c r="AM220" t="s">
        <v>78</v>
      </c>
      <c r="AN220" t="s">
        <v>424</v>
      </c>
      <c r="AO220" t="s">
        <v>425</v>
      </c>
      <c r="AP220" t="s">
        <v>425</v>
      </c>
      <c r="AQ220">
        <v>13</v>
      </c>
      <c r="AR220" t="s">
        <v>123</v>
      </c>
      <c r="AS220" t="s">
        <v>124</v>
      </c>
      <c r="AT220" t="s">
        <v>58</v>
      </c>
      <c r="AU220" t="s">
        <v>350</v>
      </c>
      <c r="AV220" t="s">
        <v>132</v>
      </c>
      <c r="AW220" s="1">
        <v>24775</v>
      </c>
      <c r="AX220">
        <v>2</v>
      </c>
    </row>
    <row r="221" spans="1:50">
      <c r="A221">
        <v>201307</v>
      </c>
      <c r="B221" t="str">
        <f>"030170442"</f>
        <v>030170442</v>
      </c>
      <c r="C221" t="s">
        <v>50</v>
      </c>
      <c r="D221" t="s">
        <v>885</v>
      </c>
      <c r="E221" t="s">
        <v>255</v>
      </c>
      <c r="F221" t="s">
        <v>166</v>
      </c>
      <c r="G221" t="s">
        <v>886</v>
      </c>
      <c r="H221" t="str">
        <f>"ΚΩΝΣΤΑΝΤΙΝΙΔΗ 12 ΗΡΑΚΛΕΙΟ"</f>
        <v>ΚΩΝΣΤΑΝΤΙΝΙΔΗ 12 ΗΡΑΚΛΕΙΟ</v>
      </c>
      <c r="I221">
        <v>71306</v>
      </c>
      <c r="J221">
        <v>2810239950</v>
      </c>
      <c r="K221">
        <v>6932199407</v>
      </c>
      <c r="N221" t="s">
        <v>146</v>
      </c>
      <c r="O221" t="s">
        <v>147</v>
      </c>
      <c r="R221" t="s">
        <v>57</v>
      </c>
      <c r="S221">
        <v>9</v>
      </c>
      <c r="T221">
        <v>231</v>
      </c>
      <c r="U221" s="1">
        <v>38230</v>
      </c>
      <c r="V221" t="s">
        <v>123</v>
      </c>
      <c r="W221" t="s">
        <v>124</v>
      </c>
      <c r="X221" t="s">
        <v>58</v>
      </c>
      <c r="Y221">
        <v>20</v>
      </c>
      <c r="Z221" t="s">
        <v>59</v>
      </c>
      <c r="AA221" t="s">
        <v>59</v>
      </c>
      <c r="AB221" t="s">
        <v>59</v>
      </c>
      <c r="AC221" t="s">
        <v>59</v>
      </c>
      <c r="AD221" t="s">
        <v>59</v>
      </c>
      <c r="AF221" s="1">
        <v>38232</v>
      </c>
      <c r="AG221" t="s">
        <v>148</v>
      </c>
      <c r="AH221" t="s">
        <v>149</v>
      </c>
      <c r="AI221" t="str">
        <f>"1751030"</f>
        <v>1751030</v>
      </c>
      <c r="AJ221" t="s">
        <v>234</v>
      </c>
      <c r="AK221">
        <v>2810282911</v>
      </c>
      <c r="AL221" t="s">
        <v>235</v>
      </c>
      <c r="AM221" t="s">
        <v>78</v>
      </c>
      <c r="AN221" t="s">
        <v>78</v>
      </c>
      <c r="AO221" t="s">
        <v>78</v>
      </c>
      <c r="AP221" t="s">
        <v>163</v>
      </c>
      <c r="AQ221">
        <v>1</v>
      </c>
      <c r="AR221" t="s">
        <v>123</v>
      </c>
      <c r="AS221" t="s">
        <v>124</v>
      </c>
      <c r="AT221" t="s">
        <v>58</v>
      </c>
      <c r="AU221" t="s">
        <v>68</v>
      </c>
      <c r="AV221" t="s">
        <v>69</v>
      </c>
      <c r="AW221" s="1">
        <v>24394</v>
      </c>
      <c r="AX221">
        <v>2</v>
      </c>
    </row>
    <row r="222" spans="1:50">
      <c r="A222">
        <v>168541</v>
      </c>
      <c r="B222" t="str">
        <f>"035804689"</f>
        <v>035804689</v>
      </c>
      <c r="C222" t="s">
        <v>105</v>
      </c>
      <c r="D222" t="s">
        <v>887</v>
      </c>
      <c r="E222" t="s">
        <v>309</v>
      </c>
      <c r="F222" t="s">
        <v>95</v>
      </c>
      <c r="G222" t="s">
        <v>888</v>
      </c>
      <c r="H222" t="str">
        <f>"Παύλου Μελά 5 Κατσαμπάς"</f>
        <v>Παύλου Μελά 5 Κατσαμπάς</v>
      </c>
      <c r="N222" t="s">
        <v>683</v>
      </c>
      <c r="O222" t="s">
        <v>684</v>
      </c>
      <c r="R222" t="s">
        <v>57</v>
      </c>
      <c r="S222">
        <v>12</v>
      </c>
      <c r="T222">
        <v>159</v>
      </c>
      <c r="U222" s="1">
        <v>34582</v>
      </c>
      <c r="V222" t="s">
        <v>123</v>
      </c>
      <c r="W222" t="s">
        <v>124</v>
      </c>
      <c r="X222" t="s">
        <v>58</v>
      </c>
      <c r="Y222">
        <v>18</v>
      </c>
      <c r="Z222" t="s">
        <v>59</v>
      </c>
      <c r="AA222" t="s">
        <v>59</v>
      </c>
      <c r="AB222" t="s">
        <v>59</v>
      </c>
      <c r="AC222" t="s">
        <v>59</v>
      </c>
      <c r="AD222" t="s">
        <v>59</v>
      </c>
      <c r="AF222" s="1">
        <v>34583</v>
      </c>
      <c r="AG222" t="s">
        <v>125</v>
      </c>
      <c r="AH222" t="s">
        <v>386</v>
      </c>
      <c r="AI222" t="str">
        <f>"1741002"</f>
        <v>1741002</v>
      </c>
      <c r="AJ222" t="s">
        <v>387</v>
      </c>
      <c r="AK222">
        <v>2810762610</v>
      </c>
      <c r="AL222" t="s">
        <v>388</v>
      </c>
      <c r="AM222" t="s">
        <v>78</v>
      </c>
      <c r="AN222" t="s">
        <v>219</v>
      </c>
      <c r="AO222" t="s">
        <v>297</v>
      </c>
      <c r="AP222" t="s">
        <v>297</v>
      </c>
      <c r="AQ222">
        <v>10</v>
      </c>
      <c r="AR222" t="s">
        <v>123</v>
      </c>
      <c r="AS222" t="s">
        <v>124</v>
      </c>
      <c r="AT222" t="s">
        <v>58</v>
      </c>
      <c r="AU222" t="s">
        <v>68</v>
      </c>
      <c r="AV222" t="s">
        <v>69</v>
      </c>
      <c r="AW222" s="1">
        <v>23180</v>
      </c>
      <c r="AX222">
        <v>2</v>
      </c>
    </row>
    <row r="223" spans="1:50">
      <c r="A223">
        <v>702399</v>
      </c>
      <c r="B223" t="str">
        <f>"061110085"</f>
        <v>061110085</v>
      </c>
      <c r="C223" t="s">
        <v>105</v>
      </c>
      <c r="D223" t="s">
        <v>889</v>
      </c>
      <c r="E223" t="s">
        <v>760</v>
      </c>
      <c r="F223" t="s">
        <v>631</v>
      </c>
      <c r="G223" t="s">
        <v>52</v>
      </c>
      <c r="H223" t="str">
        <f>"ΔΗΜΟΚΡΑΤΙΑΣ 121 ΣΙΑΤΙΣΤΑ"</f>
        <v>ΔΗΜΟΚΡΑΤΙΑΣ 121 ΣΙΑΤΙΣΤΑ</v>
      </c>
      <c r="I223">
        <v>50300</v>
      </c>
      <c r="J223">
        <v>2465071196</v>
      </c>
      <c r="K223">
        <v>6947700143</v>
      </c>
      <c r="M223" t="s">
        <v>890</v>
      </c>
      <c r="N223" t="s">
        <v>157</v>
      </c>
      <c r="O223" t="s">
        <v>158</v>
      </c>
      <c r="R223" t="s">
        <v>57</v>
      </c>
      <c r="S223">
        <v>8</v>
      </c>
      <c r="T223">
        <v>772</v>
      </c>
      <c r="U223" s="1">
        <v>40413</v>
      </c>
      <c r="V223" t="s">
        <v>123</v>
      </c>
      <c r="W223" t="s">
        <v>124</v>
      </c>
      <c r="X223" t="s">
        <v>58</v>
      </c>
      <c r="Y223">
        <v>21</v>
      </c>
      <c r="Z223" t="s">
        <v>59</v>
      </c>
      <c r="AA223" t="s">
        <v>59</v>
      </c>
      <c r="AB223" t="s">
        <v>59</v>
      </c>
      <c r="AC223" t="s">
        <v>59</v>
      </c>
      <c r="AD223" t="s">
        <v>59</v>
      </c>
      <c r="AF223" s="1">
        <v>40422</v>
      </c>
      <c r="AG223" t="s">
        <v>125</v>
      </c>
      <c r="AH223" t="s">
        <v>126</v>
      </c>
      <c r="AI223" t="str">
        <f>"1701080"</f>
        <v>1701080</v>
      </c>
      <c r="AJ223" t="s">
        <v>183</v>
      </c>
      <c r="AK223">
        <v>2810721263</v>
      </c>
      <c r="AL223" t="s">
        <v>184</v>
      </c>
      <c r="AM223" t="s">
        <v>78</v>
      </c>
      <c r="AN223" t="s">
        <v>78</v>
      </c>
      <c r="AO223" t="s">
        <v>185</v>
      </c>
      <c r="AP223" t="s">
        <v>186</v>
      </c>
      <c r="AQ223">
        <v>29</v>
      </c>
      <c r="AR223" t="s">
        <v>123</v>
      </c>
      <c r="AS223" t="s">
        <v>124</v>
      </c>
      <c r="AT223" t="s">
        <v>58</v>
      </c>
      <c r="AU223" t="s">
        <v>68</v>
      </c>
      <c r="AV223" t="s">
        <v>69</v>
      </c>
      <c r="AW223" s="1">
        <v>27909</v>
      </c>
      <c r="AX223">
        <v>2</v>
      </c>
    </row>
    <row r="224" spans="1:50">
      <c r="A224">
        <v>700507</v>
      </c>
      <c r="B224" t="str">
        <f>"128311130"</f>
        <v>128311130</v>
      </c>
      <c r="C224" t="s">
        <v>50</v>
      </c>
      <c r="D224" t="s">
        <v>891</v>
      </c>
      <c r="E224" t="s">
        <v>892</v>
      </c>
      <c r="F224" t="s">
        <v>72</v>
      </c>
      <c r="G224" t="s">
        <v>112</v>
      </c>
      <c r="H224" t="str">
        <f>"ΕΡΜΗ 59 ΗΡΑΚΛΕΙΟ"</f>
        <v>ΕΡΜΗ 59 ΗΡΑΚΛΕΙΟ</v>
      </c>
      <c r="I224">
        <v>71409</v>
      </c>
      <c r="J224">
        <v>2810318242</v>
      </c>
      <c r="K224">
        <v>6947835155</v>
      </c>
      <c r="M224" t="s">
        <v>893</v>
      </c>
      <c r="N224" t="s">
        <v>146</v>
      </c>
      <c r="O224" t="s">
        <v>147</v>
      </c>
      <c r="R224" t="s">
        <v>57</v>
      </c>
      <c r="S224">
        <v>5</v>
      </c>
      <c r="T224">
        <v>772</v>
      </c>
      <c r="U224" s="1">
        <v>40413</v>
      </c>
      <c r="V224" t="s">
        <v>123</v>
      </c>
      <c r="W224" t="s">
        <v>124</v>
      </c>
      <c r="X224" t="s">
        <v>58</v>
      </c>
      <c r="Y224">
        <v>21</v>
      </c>
      <c r="Z224" t="s">
        <v>59</v>
      </c>
      <c r="AA224" t="s">
        <v>59</v>
      </c>
      <c r="AB224" t="s">
        <v>59</v>
      </c>
      <c r="AC224" t="s">
        <v>59</v>
      </c>
      <c r="AD224" t="s">
        <v>59</v>
      </c>
      <c r="AF224" s="1">
        <v>40421</v>
      </c>
      <c r="AG224" t="s">
        <v>125</v>
      </c>
      <c r="AH224" t="s">
        <v>126</v>
      </c>
      <c r="AI224" t="str">
        <f>"1702010"</f>
        <v>1702010</v>
      </c>
      <c r="AJ224" t="s">
        <v>604</v>
      </c>
      <c r="AK224">
        <v>2891022228</v>
      </c>
      <c r="AL224" t="s">
        <v>605</v>
      </c>
      <c r="AM224" t="s">
        <v>78</v>
      </c>
      <c r="AN224" t="s">
        <v>276</v>
      </c>
      <c r="AO224" t="s">
        <v>490</v>
      </c>
      <c r="AP224" t="s">
        <v>490</v>
      </c>
      <c r="AQ224">
        <v>15</v>
      </c>
      <c r="AR224" t="s">
        <v>123</v>
      </c>
      <c r="AS224" t="s">
        <v>124</v>
      </c>
      <c r="AT224" t="s">
        <v>58</v>
      </c>
      <c r="AU224" t="s">
        <v>68</v>
      </c>
      <c r="AV224" t="s">
        <v>357</v>
      </c>
      <c r="AW224" s="1">
        <v>28320</v>
      </c>
      <c r="AX224">
        <v>2</v>
      </c>
    </row>
    <row r="225" spans="1:50">
      <c r="A225">
        <v>219203</v>
      </c>
      <c r="B225" t="str">
        <f>"066177570"</f>
        <v>066177570</v>
      </c>
      <c r="C225" t="s">
        <v>50</v>
      </c>
      <c r="D225" t="s">
        <v>894</v>
      </c>
      <c r="E225" t="s">
        <v>372</v>
      </c>
      <c r="F225" t="s">
        <v>153</v>
      </c>
      <c r="G225" t="s">
        <v>714</v>
      </c>
      <c r="H225" t="str">
        <f>"ΙΑΝΗ ΞΕΝΑΚΗ 19 "</f>
        <v xml:space="preserve">ΙΑΝΗ ΞΕΝΑΚΗ 19 </v>
      </c>
      <c r="I225">
        <v>71410</v>
      </c>
      <c r="J225">
        <v>2331065750</v>
      </c>
      <c r="K225">
        <v>6973046779</v>
      </c>
      <c r="M225" t="s">
        <v>895</v>
      </c>
      <c r="N225" t="s">
        <v>306</v>
      </c>
      <c r="O225" t="s">
        <v>307</v>
      </c>
      <c r="R225" t="s">
        <v>57</v>
      </c>
      <c r="S225">
        <v>7</v>
      </c>
      <c r="T225">
        <v>599</v>
      </c>
      <c r="U225" s="1">
        <v>39310</v>
      </c>
      <c r="V225" t="s">
        <v>123</v>
      </c>
      <c r="W225" t="s">
        <v>124</v>
      </c>
      <c r="X225" t="s">
        <v>58</v>
      </c>
      <c r="Y225">
        <v>21</v>
      </c>
      <c r="Z225" t="s">
        <v>59</v>
      </c>
      <c r="AA225" t="s">
        <v>59</v>
      </c>
      <c r="AB225" t="s">
        <v>59</v>
      </c>
      <c r="AC225" t="s">
        <v>59</v>
      </c>
      <c r="AD225" t="s">
        <v>59</v>
      </c>
      <c r="AF225" s="1">
        <v>39328</v>
      </c>
      <c r="AG225" t="s">
        <v>148</v>
      </c>
      <c r="AH225" t="s">
        <v>149</v>
      </c>
      <c r="AI225" t="str">
        <f>"1752010"</f>
        <v>1752010</v>
      </c>
      <c r="AJ225" t="s">
        <v>896</v>
      </c>
      <c r="AK225">
        <v>2891022893</v>
      </c>
      <c r="AL225" t="s">
        <v>897</v>
      </c>
      <c r="AM225" t="s">
        <v>78</v>
      </c>
      <c r="AN225" t="s">
        <v>276</v>
      </c>
      <c r="AO225" t="s">
        <v>490</v>
      </c>
      <c r="AP225" t="s">
        <v>490</v>
      </c>
      <c r="AQ225">
        <v>15</v>
      </c>
      <c r="AR225" t="s">
        <v>123</v>
      </c>
      <c r="AS225" t="s">
        <v>124</v>
      </c>
      <c r="AT225" t="s">
        <v>58</v>
      </c>
      <c r="AU225" t="s">
        <v>68</v>
      </c>
      <c r="AV225" t="s">
        <v>69</v>
      </c>
      <c r="AW225" s="1">
        <v>28369</v>
      </c>
      <c r="AX225">
        <v>2</v>
      </c>
    </row>
    <row r="226" spans="1:50">
      <c r="B226" t="str">
        <f>"074559584"</f>
        <v>074559584</v>
      </c>
      <c r="C226" t="s">
        <v>50</v>
      </c>
      <c r="D226" t="s">
        <v>898</v>
      </c>
      <c r="E226" t="s">
        <v>237</v>
      </c>
      <c r="F226" t="s">
        <v>95</v>
      </c>
      <c r="G226" t="s">
        <v>52</v>
      </c>
      <c r="H226" t="str">
        <f>"ΠΙΚΡΟΔΑΦΝΗΣ 32 ΗΡΑΚΛΕΙΟ"</f>
        <v>ΠΙΚΡΟΔΑΦΝΗΣ 32 ΗΡΑΚΛΕΙΟ</v>
      </c>
      <c r="I226">
        <v>71419</v>
      </c>
      <c r="J226">
        <v>2810238288</v>
      </c>
      <c r="K226">
        <v>6936603308</v>
      </c>
      <c r="N226" t="s">
        <v>536</v>
      </c>
      <c r="O226" t="s">
        <v>537</v>
      </c>
      <c r="R226" t="s">
        <v>159</v>
      </c>
      <c r="S226">
        <v>4</v>
      </c>
      <c r="T226" t="s">
        <v>344</v>
      </c>
      <c r="U226" s="1">
        <v>43348</v>
      </c>
      <c r="V226" t="s">
        <v>123</v>
      </c>
      <c r="W226" t="s">
        <v>124</v>
      </c>
      <c r="X226" t="s">
        <v>58</v>
      </c>
      <c r="Y226">
        <v>23</v>
      </c>
      <c r="Z226" t="s">
        <v>59</v>
      </c>
      <c r="AA226" t="s">
        <v>59</v>
      </c>
      <c r="AB226" t="s">
        <v>59</v>
      </c>
      <c r="AC226" t="s">
        <v>59</v>
      </c>
      <c r="AD226" t="s">
        <v>59</v>
      </c>
      <c r="AF226" s="1">
        <v>43348</v>
      </c>
      <c r="AG226" t="s">
        <v>125</v>
      </c>
      <c r="AH226" t="s">
        <v>126</v>
      </c>
      <c r="AI226" t="str">
        <f>"1727010"</f>
        <v>1727010</v>
      </c>
      <c r="AJ226" t="s">
        <v>618</v>
      </c>
      <c r="AK226">
        <v>2810229231</v>
      </c>
      <c r="AL226" t="s">
        <v>619</v>
      </c>
      <c r="AM226" t="s">
        <v>78</v>
      </c>
      <c r="AN226" t="s">
        <v>78</v>
      </c>
      <c r="AO226" t="s">
        <v>286</v>
      </c>
      <c r="AP226" t="s">
        <v>286</v>
      </c>
      <c r="AQ226">
        <v>12</v>
      </c>
      <c r="AR226" t="s">
        <v>123</v>
      </c>
      <c r="AS226" t="s">
        <v>124</v>
      </c>
      <c r="AT226" t="s">
        <v>58</v>
      </c>
      <c r="AU226" t="s">
        <v>350</v>
      </c>
      <c r="AV226" t="s">
        <v>132</v>
      </c>
      <c r="AW226" s="1">
        <v>24879</v>
      </c>
      <c r="AX226">
        <v>2</v>
      </c>
    </row>
    <row r="227" spans="1:50">
      <c r="A227">
        <v>226382</v>
      </c>
      <c r="B227" t="str">
        <f>"103537807"</f>
        <v>103537807</v>
      </c>
      <c r="C227" t="s">
        <v>50</v>
      </c>
      <c r="D227" t="s">
        <v>899</v>
      </c>
      <c r="E227" t="s">
        <v>237</v>
      </c>
      <c r="F227" t="s">
        <v>900</v>
      </c>
      <c r="G227" t="s">
        <v>215</v>
      </c>
      <c r="H227" t="str">
        <f>"ΑΣΤΕΡΟΥΣΙΩΝ 39 ΗΡΑΚΛΕΙΟ"</f>
        <v>ΑΣΤΕΡΟΥΣΙΩΝ 39 ΗΡΑΚΛΕΙΟ</v>
      </c>
      <c r="I227">
        <v>71305</v>
      </c>
      <c r="J227">
        <v>2810312027</v>
      </c>
      <c r="K227">
        <v>6972857320</v>
      </c>
      <c r="M227" t="s">
        <v>901</v>
      </c>
      <c r="N227" t="s">
        <v>146</v>
      </c>
      <c r="O227" t="s">
        <v>147</v>
      </c>
      <c r="R227" t="s">
        <v>57</v>
      </c>
      <c r="S227">
        <v>4</v>
      </c>
      <c r="T227">
        <v>654</v>
      </c>
      <c r="U227" s="1">
        <v>40043</v>
      </c>
      <c r="V227" t="s">
        <v>123</v>
      </c>
      <c r="W227" t="s">
        <v>124</v>
      </c>
      <c r="X227" t="s">
        <v>58</v>
      </c>
      <c r="Y227">
        <v>21</v>
      </c>
      <c r="Z227" t="s">
        <v>59</v>
      </c>
      <c r="AA227" t="s">
        <v>59</v>
      </c>
      <c r="AB227" t="s">
        <v>59</v>
      </c>
      <c r="AC227" t="s">
        <v>59</v>
      </c>
      <c r="AD227" t="s">
        <v>59</v>
      </c>
      <c r="AF227" s="1">
        <v>40043</v>
      </c>
      <c r="AG227" t="s">
        <v>125</v>
      </c>
      <c r="AH227" t="s">
        <v>126</v>
      </c>
      <c r="AI227" t="str">
        <f>"1721010"</f>
        <v>1721010</v>
      </c>
      <c r="AJ227" t="s">
        <v>462</v>
      </c>
      <c r="AK227">
        <v>2892031207</v>
      </c>
      <c r="AL227" t="s">
        <v>463</v>
      </c>
      <c r="AM227" t="s">
        <v>78</v>
      </c>
      <c r="AN227" t="s">
        <v>405</v>
      </c>
      <c r="AO227" t="s">
        <v>405</v>
      </c>
      <c r="AP227" t="s">
        <v>464</v>
      </c>
      <c r="AQ227">
        <v>33</v>
      </c>
      <c r="AR227" t="s">
        <v>123</v>
      </c>
      <c r="AS227" t="s">
        <v>124</v>
      </c>
      <c r="AT227" t="s">
        <v>58</v>
      </c>
      <c r="AU227" t="s">
        <v>68</v>
      </c>
      <c r="AV227" t="s">
        <v>69</v>
      </c>
      <c r="AW227" s="1">
        <v>28162</v>
      </c>
      <c r="AX227">
        <v>2</v>
      </c>
    </row>
    <row r="228" spans="1:50">
      <c r="A228">
        <v>213048</v>
      </c>
      <c r="B228" t="str">
        <f>"070952772"</f>
        <v>070952772</v>
      </c>
      <c r="C228" t="s">
        <v>50</v>
      </c>
      <c r="D228" t="s">
        <v>899</v>
      </c>
      <c r="E228" t="s">
        <v>755</v>
      </c>
      <c r="F228" t="s">
        <v>106</v>
      </c>
      <c r="G228" t="s">
        <v>52</v>
      </c>
      <c r="H228" t="str">
        <f>"ΓΛΥΚΟΠΟΥΛΟΥ 31 ΚΗΠΟΥΠΟΛΗ"</f>
        <v>ΓΛΥΚΟΠΟΥΛΟΥ 31 ΚΗΠΟΥΠΟΛΗ</v>
      </c>
      <c r="I228">
        <v>71307</v>
      </c>
      <c r="J228">
        <v>2815009923</v>
      </c>
      <c r="K228">
        <v>6972531851</v>
      </c>
      <c r="M228" t="s">
        <v>902</v>
      </c>
      <c r="N228" t="s">
        <v>246</v>
      </c>
      <c r="O228" t="s">
        <v>247</v>
      </c>
      <c r="R228" t="s">
        <v>57</v>
      </c>
      <c r="S228">
        <v>10</v>
      </c>
      <c r="T228">
        <v>231</v>
      </c>
      <c r="U228" s="1">
        <v>38960</v>
      </c>
      <c r="V228" t="s">
        <v>123</v>
      </c>
      <c r="W228" t="s">
        <v>124</v>
      </c>
      <c r="X228" t="s">
        <v>58</v>
      </c>
      <c r="Y228">
        <v>20</v>
      </c>
      <c r="Z228" t="s">
        <v>59</v>
      </c>
      <c r="AA228" t="s">
        <v>59</v>
      </c>
      <c r="AB228" t="s">
        <v>59</v>
      </c>
      <c r="AC228" t="s">
        <v>59</v>
      </c>
      <c r="AD228" t="s">
        <v>59</v>
      </c>
      <c r="AF228" s="1">
        <v>38961</v>
      </c>
      <c r="AG228" t="s">
        <v>148</v>
      </c>
      <c r="AH228" t="s">
        <v>149</v>
      </c>
      <c r="AI228" t="str">
        <f>"1751041"</f>
        <v>1751041</v>
      </c>
      <c r="AJ228" t="s">
        <v>353</v>
      </c>
      <c r="AK228">
        <v>2810230207</v>
      </c>
      <c r="AL228" t="s">
        <v>354</v>
      </c>
      <c r="AM228" t="s">
        <v>78</v>
      </c>
      <c r="AN228" t="s">
        <v>78</v>
      </c>
      <c r="AO228" t="s">
        <v>78</v>
      </c>
      <c r="AP228" t="s">
        <v>163</v>
      </c>
      <c r="AQ228">
        <v>2</v>
      </c>
      <c r="AR228" t="s">
        <v>123</v>
      </c>
      <c r="AS228" t="s">
        <v>124</v>
      </c>
      <c r="AT228" t="s">
        <v>58</v>
      </c>
      <c r="AU228" t="s">
        <v>68</v>
      </c>
      <c r="AV228" t="s">
        <v>69</v>
      </c>
      <c r="AW228" s="1">
        <v>28210</v>
      </c>
      <c r="AX228">
        <v>2</v>
      </c>
    </row>
    <row r="229" spans="1:50">
      <c r="A229">
        <v>161338</v>
      </c>
      <c r="B229" t="str">
        <f>"064567816"</f>
        <v>064567816</v>
      </c>
      <c r="C229" t="s">
        <v>50</v>
      </c>
      <c r="D229" t="s">
        <v>899</v>
      </c>
      <c r="E229" t="s">
        <v>52</v>
      </c>
      <c r="F229" t="s">
        <v>106</v>
      </c>
      <c r="G229" t="s">
        <v>237</v>
      </c>
      <c r="H229" t="str">
        <f>"ΘΟΥΚΥΔΊΔΟΥ 33 ΗΡΑΚΛΕΙΟ"</f>
        <v>ΘΟΥΚΥΔΊΔΟΥ 33 ΗΡΑΚΛΕΙΟ</v>
      </c>
      <c r="I229">
        <v>71307</v>
      </c>
      <c r="J229">
        <v>2810228074</v>
      </c>
      <c r="K229">
        <v>6944564853</v>
      </c>
      <c r="M229" t="s">
        <v>903</v>
      </c>
      <c r="N229" t="s">
        <v>135</v>
      </c>
      <c r="O229" t="s">
        <v>136</v>
      </c>
      <c r="R229" t="s">
        <v>57</v>
      </c>
      <c r="S229">
        <v>14</v>
      </c>
      <c r="T229">
        <v>161</v>
      </c>
      <c r="U229" s="1">
        <v>33119</v>
      </c>
      <c r="V229" t="s">
        <v>123</v>
      </c>
      <c r="W229" t="s">
        <v>124</v>
      </c>
      <c r="X229" t="s">
        <v>58</v>
      </c>
      <c r="Y229">
        <v>18</v>
      </c>
      <c r="Z229" t="s">
        <v>59</v>
      </c>
      <c r="AA229" t="s">
        <v>59</v>
      </c>
      <c r="AB229" t="s">
        <v>59</v>
      </c>
      <c r="AC229" t="s">
        <v>59</v>
      </c>
      <c r="AD229" t="s">
        <v>59</v>
      </c>
      <c r="AF229" s="1">
        <v>33121</v>
      </c>
      <c r="AG229" t="s">
        <v>137</v>
      </c>
      <c r="AH229" t="s">
        <v>138</v>
      </c>
      <c r="AI229" t="str">
        <f>"1740210"</f>
        <v>1740210</v>
      </c>
      <c r="AJ229" t="s">
        <v>139</v>
      </c>
      <c r="AK229">
        <v>2810318130</v>
      </c>
      <c r="AL229" t="s">
        <v>140</v>
      </c>
      <c r="AM229" t="s">
        <v>78</v>
      </c>
      <c r="AN229" t="s">
        <v>78</v>
      </c>
      <c r="AO229" t="s">
        <v>78</v>
      </c>
      <c r="AP229" t="s">
        <v>141</v>
      </c>
      <c r="AQ229">
        <v>7</v>
      </c>
      <c r="AR229" t="s">
        <v>123</v>
      </c>
      <c r="AS229" t="s">
        <v>124</v>
      </c>
      <c r="AT229" t="s">
        <v>58</v>
      </c>
      <c r="AU229" t="s">
        <v>68</v>
      </c>
      <c r="AV229" t="s">
        <v>69</v>
      </c>
      <c r="AW229" s="1">
        <v>22856</v>
      </c>
      <c r="AX229">
        <v>2</v>
      </c>
    </row>
    <row r="230" spans="1:50">
      <c r="A230">
        <v>208787</v>
      </c>
      <c r="B230" t="str">
        <f>"103815086"</f>
        <v>103815086</v>
      </c>
      <c r="C230" t="s">
        <v>50</v>
      </c>
      <c r="D230" t="s">
        <v>899</v>
      </c>
      <c r="E230" t="s">
        <v>904</v>
      </c>
      <c r="F230" t="s">
        <v>95</v>
      </c>
      <c r="G230" t="s">
        <v>905</v>
      </c>
      <c r="H230" t="str">
        <f>" "</f>
        <v xml:space="preserve"> </v>
      </c>
      <c r="J230">
        <v>2810319021</v>
      </c>
      <c r="K230">
        <v>6945241044</v>
      </c>
      <c r="M230" t="s">
        <v>906</v>
      </c>
      <c r="N230" t="s">
        <v>907</v>
      </c>
      <c r="O230" t="s">
        <v>908</v>
      </c>
      <c r="R230" t="s">
        <v>57</v>
      </c>
      <c r="S230">
        <v>8</v>
      </c>
      <c r="T230">
        <v>218</v>
      </c>
      <c r="U230" s="1">
        <v>38596</v>
      </c>
      <c r="V230" t="s">
        <v>123</v>
      </c>
      <c r="W230" t="s">
        <v>124</v>
      </c>
      <c r="X230" t="s">
        <v>58</v>
      </c>
      <c r="Y230">
        <v>20</v>
      </c>
      <c r="Z230" t="s">
        <v>59</v>
      </c>
      <c r="AA230" t="s">
        <v>59</v>
      </c>
      <c r="AB230" t="s">
        <v>59</v>
      </c>
      <c r="AC230" t="s">
        <v>59</v>
      </c>
      <c r="AD230" t="s">
        <v>59</v>
      </c>
      <c r="AF230" s="1">
        <v>38604</v>
      </c>
      <c r="AG230" t="s">
        <v>137</v>
      </c>
      <c r="AH230" t="s">
        <v>138</v>
      </c>
      <c r="AI230" t="str">
        <f>"1740070"</f>
        <v>1740070</v>
      </c>
      <c r="AJ230" t="s">
        <v>206</v>
      </c>
      <c r="AK230">
        <v>2810324880</v>
      </c>
      <c r="AL230" t="s">
        <v>207</v>
      </c>
      <c r="AM230" t="s">
        <v>78</v>
      </c>
      <c r="AN230" t="s">
        <v>78</v>
      </c>
      <c r="AO230" t="s">
        <v>78</v>
      </c>
      <c r="AP230" t="s">
        <v>163</v>
      </c>
      <c r="AQ230">
        <v>9</v>
      </c>
      <c r="AR230" t="s">
        <v>123</v>
      </c>
      <c r="AS230" t="s">
        <v>124</v>
      </c>
      <c r="AT230" t="s">
        <v>58</v>
      </c>
      <c r="AU230" t="s">
        <v>68</v>
      </c>
      <c r="AV230" t="s">
        <v>69</v>
      </c>
      <c r="AW230" s="1">
        <v>24473</v>
      </c>
      <c r="AX230">
        <v>2</v>
      </c>
    </row>
    <row r="231" spans="1:50">
      <c r="B231" t="str">
        <f>"110149063"</f>
        <v>110149063</v>
      </c>
      <c r="C231" t="s">
        <v>105</v>
      </c>
      <c r="D231" t="s">
        <v>909</v>
      </c>
      <c r="E231" t="s">
        <v>95</v>
      </c>
      <c r="F231" t="s">
        <v>84</v>
      </c>
      <c r="G231" t="s">
        <v>910</v>
      </c>
      <c r="H231" t="str">
        <f>"ΚΑΣΤΡΟΦΥΛΑΚΩΝ 67 "</f>
        <v xml:space="preserve">ΚΑΣΤΡΟΦΥΛΑΚΩΝ 67 </v>
      </c>
      <c r="I231">
        <v>71307</v>
      </c>
      <c r="J231">
        <v>2815007653</v>
      </c>
      <c r="K231">
        <v>6972839092</v>
      </c>
      <c r="N231" t="s">
        <v>204</v>
      </c>
      <c r="O231" t="s">
        <v>205</v>
      </c>
      <c r="R231" t="s">
        <v>121</v>
      </c>
      <c r="S231">
        <v>1</v>
      </c>
      <c r="T231" t="s">
        <v>911</v>
      </c>
      <c r="U231" s="1">
        <v>43038</v>
      </c>
      <c r="V231" t="s">
        <v>123</v>
      </c>
      <c r="W231" t="s">
        <v>124</v>
      </c>
      <c r="X231" t="s">
        <v>58</v>
      </c>
      <c r="Y231">
        <v>7</v>
      </c>
      <c r="Z231" t="s">
        <v>59</v>
      </c>
      <c r="AA231" t="s">
        <v>59</v>
      </c>
      <c r="AB231" t="s">
        <v>59</v>
      </c>
      <c r="AC231" t="s">
        <v>59</v>
      </c>
      <c r="AD231" t="s">
        <v>59</v>
      </c>
      <c r="AF231" s="1">
        <v>43344</v>
      </c>
      <c r="AI231" t="str">
        <f>""</f>
        <v/>
      </c>
      <c r="AS231" t="s">
        <v>124</v>
      </c>
      <c r="AT231" t="s">
        <v>58</v>
      </c>
      <c r="AU231" t="s">
        <v>912</v>
      </c>
      <c r="AW231" s="1">
        <v>29678</v>
      </c>
      <c r="AX231">
        <v>2</v>
      </c>
    </row>
    <row r="232" spans="1:50">
      <c r="A232">
        <v>202162</v>
      </c>
      <c r="B232" t="str">
        <f>"075170290"</f>
        <v>075170290</v>
      </c>
      <c r="C232" t="s">
        <v>105</v>
      </c>
      <c r="D232" t="s">
        <v>909</v>
      </c>
      <c r="E232" t="s">
        <v>95</v>
      </c>
      <c r="F232" t="s">
        <v>106</v>
      </c>
      <c r="G232" t="s">
        <v>237</v>
      </c>
      <c r="H232" t="str">
        <f>"ΔΑΒΑΚΗ 1 ΗΡΑΚΛΕΙΟ"</f>
        <v>ΔΑΒΑΚΗ 1 ΗΡΑΚΛΕΙΟ</v>
      </c>
      <c r="I232">
        <v>71307</v>
      </c>
      <c r="J232">
        <v>2810225258</v>
      </c>
      <c r="K232">
        <v>6977268097</v>
      </c>
      <c r="M232" t="s">
        <v>913</v>
      </c>
      <c r="N232" t="s">
        <v>292</v>
      </c>
      <c r="O232" t="s">
        <v>293</v>
      </c>
      <c r="R232" t="s">
        <v>57</v>
      </c>
      <c r="S232">
        <v>7</v>
      </c>
      <c r="T232">
        <v>231</v>
      </c>
      <c r="U232" s="1">
        <v>38230</v>
      </c>
      <c r="V232" t="s">
        <v>123</v>
      </c>
      <c r="W232" t="s">
        <v>124</v>
      </c>
      <c r="X232" t="s">
        <v>58</v>
      </c>
      <c r="Y232">
        <v>20</v>
      </c>
      <c r="Z232" t="s">
        <v>59</v>
      </c>
      <c r="AA232" t="s">
        <v>59</v>
      </c>
      <c r="AB232" t="s">
        <v>59</v>
      </c>
      <c r="AC232" t="s">
        <v>59</v>
      </c>
      <c r="AD232" t="s">
        <v>59</v>
      </c>
      <c r="AF232" s="1">
        <v>38233</v>
      </c>
      <c r="AG232" t="s">
        <v>125</v>
      </c>
      <c r="AH232" t="s">
        <v>126</v>
      </c>
      <c r="AI232" t="str">
        <f>"1701041"</f>
        <v>1701041</v>
      </c>
      <c r="AJ232" t="s">
        <v>161</v>
      </c>
      <c r="AK232">
        <v>2810327052</v>
      </c>
      <c r="AL232" t="s">
        <v>162</v>
      </c>
      <c r="AM232" t="s">
        <v>78</v>
      </c>
      <c r="AN232" t="s">
        <v>78</v>
      </c>
      <c r="AO232" t="s">
        <v>78</v>
      </c>
      <c r="AP232" t="s">
        <v>163</v>
      </c>
      <c r="AQ232">
        <v>5</v>
      </c>
      <c r="AR232" t="s">
        <v>123</v>
      </c>
      <c r="AS232" t="s">
        <v>124</v>
      </c>
      <c r="AT232" t="s">
        <v>58</v>
      </c>
      <c r="AU232" t="s">
        <v>68</v>
      </c>
      <c r="AV232" t="s">
        <v>69</v>
      </c>
      <c r="AW232" s="1">
        <v>24525</v>
      </c>
      <c r="AX232">
        <v>2</v>
      </c>
    </row>
    <row r="233" spans="1:50">
      <c r="A233">
        <v>208974</v>
      </c>
      <c r="B233" t="str">
        <f>"036724583"</f>
        <v>036724583</v>
      </c>
      <c r="C233" t="s">
        <v>105</v>
      </c>
      <c r="D233" t="s">
        <v>909</v>
      </c>
      <c r="E233" t="s">
        <v>106</v>
      </c>
      <c r="F233" t="s">
        <v>311</v>
      </c>
      <c r="G233" t="s">
        <v>103</v>
      </c>
      <c r="H233" t="str">
        <f>" "</f>
        <v xml:space="preserve"> </v>
      </c>
      <c r="J233">
        <v>2810256248</v>
      </c>
      <c r="K233">
        <v>6978557360</v>
      </c>
      <c r="M233" t="s">
        <v>914</v>
      </c>
      <c r="N233" t="s">
        <v>204</v>
      </c>
      <c r="O233" t="s">
        <v>205</v>
      </c>
      <c r="R233" t="s">
        <v>57</v>
      </c>
      <c r="S233">
        <v>6</v>
      </c>
      <c r="T233">
        <v>218</v>
      </c>
      <c r="U233" s="1">
        <v>38596</v>
      </c>
      <c r="V233" t="s">
        <v>123</v>
      </c>
      <c r="W233" t="s">
        <v>124</v>
      </c>
      <c r="X233" t="s">
        <v>58</v>
      </c>
      <c r="Y233">
        <v>20</v>
      </c>
      <c r="Z233" t="s">
        <v>59</v>
      </c>
      <c r="AA233" t="s">
        <v>59</v>
      </c>
      <c r="AB233" t="s">
        <v>59</v>
      </c>
      <c r="AC233" t="s">
        <v>59</v>
      </c>
      <c r="AD233" t="s">
        <v>59</v>
      </c>
      <c r="AF233" s="1">
        <v>38596</v>
      </c>
      <c r="AG233" t="s">
        <v>148</v>
      </c>
      <c r="AH233" t="s">
        <v>149</v>
      </c>
      <c r="AI233" t="str">
        <f>"1771010"</f>
        <v>1771010</v>
      </c>
      <c r="AJ233" t="s">
        <v>915</v>
      </c>
      <c r="AK233">
        <v>2892031290</v>
      </c>
      <c r="AL233" t="s">
        <v>916</v>
      </c>
      <c r="AM233" t="s">
        <v>78</v>
      </c>
      <c r="AN233" t="s">
        <v>405</v>
      </c>
      <c r="AO233" t="s">
        <v>405</v>
      </c>
      <c r="AP233" t="s">
        <v>464</v>
      </c>
      <c r="AQ233">
        <v>33</v>
      </c>
      <c r="AR233" t="s">
        <v>123</v>
      </c>
      <c r="AS233" t="s">
        <v>124</v>
      </c>
      <c r="AT233" t="s">
        <v>58</v>
      </c>
      <c r="AU233" t="s">
        <v>68</v>
      </c>
      <c r="AV233" t="s">
        <v>69</v>
      </c>
      <c r="AW233" s="1">
        <v>24426</v>
      </c>
      <c r="AX233">
        <v>2</v>
      </c>
    </row>
    <row r="234" spans="1:50">
      <c r="A234">
        <v>210433</v>
      </c>
      <c r="B234" t="str">
        <f>"137155820"</f>
        <v>137155820</v>
      </c>
      <c r="C234" t="s">
        <v>50</v>
      </c>
      <c r="D234" t="s">
        <v>917</v>
      </c>
      <c r="E234" t="s">
        <v>809</v>
      </c>
      <c r="F234" t="s">
        <v>474</v>
      </c>
      <c r="G234" t="s">
        <v>484</v>
      </c>
      <c r="H234" t="str">
        <f>"ΑΓΓΕΛΑΚΗ 33  ΘΕΣΣΑΛΟΝΙΚΗ"</f>
        <v>ΑΓΓΕΛΑΚΗ 33  ΘΕΣΣΑΛΟΝΙΚΗ</v>
      </c>
      <c r="I234">
        <v>54621</v>
      </c>
      <c r="J234">
        <v>2310274255</v>
      </c>
      <c r="K234">
        <v>6980240935</v>
      </c>
      <c r="L234">
        <v>6985126913</v>
      </c>
      <c r="M234" t="s">
        <v>918</v>
      </c>
      <c r="N234" t="s">
        <v>306</v>
      </c>
      <c r="O234" t="s">
        <v>307</v>
      </c>
      <c r="R234" t="s">
        <v>57</v>
      </c>
      <c r="S234">
        <v>7</v>
      </c>
      <c r="T234">
        <v>249</v>
      </c>
      <c r="U234" s="1">
        <v>38617</v>
      </c>
      <c r="V234" t="s">
        <v>123</v>
      </c>
      <c r="W234" t="s">
        <v>124</v>
      </c>
      <c r="X234" t="s">
        <v>58</v>
      </c>
      <c r="Y234">
        <v>20</v>
      </c>
      <c r="Z234" t="s">
        <v>59</v>
      </c>
      <c r="AA234" t="s">
        <v>59</v>
      </c>
      <c r="AB234" t="s">
        <v>59</v>
      </c>
      <c r="AC234" t="s">
        <v>59</v>
      </c>
      <c r="AD234" t="s">
        <v>59</v>
      </c>
      <c r="AF234" s="1">
        <v>38621</v>
      </c>
      <c r="AG234" t="s">
        <v>125</v>
      </c>
      <c r="AH234" t="s">
        <v>126</v>
      </c>
      <c r="AI234" t="str">
        <f>"1702010"</f>
        <v>1702010</v>
      </c>
      <c r="AJ234" t="s">
        <v>604</v>
      </c>
      <c r="AK234">
        <v>2891022228</v>
      </c>
      <c r="AL234" t="s">
        <v>605</v>
      </c>
      <c r="AM234" t="s">
        <v>78</v>
      </c>
      <c r="AN234" t="s">
        <v>276</v>
      </c>
      <c r="AO234" t="s">
        <v>490</v>
      </c>
      <c r="AP234" t="s">
        <v>490</v>
      </c>
      <c r="AQ234">
        <v>15</v>
      </c>
      <c r="AR234" t="s">
        <v>123</v>
      </c>
      <c r="AS234" t="s">
        <v>124</v>
      </c>
      <c r="AT234" t="s">
        <v>58</v>
      </c>
      <c r="AU234" t="s">
        <v>68</v>
      </c>
      <c r="AV234" t="s">
        <v>69</v>
      </c>
      <c r="AW234" s="1">
        <v>29735</v>
      </c>
      <c r="AX234">
        <v>2</v>
      </c>
    </row>
    <row r="235" spans="1:50">
      <c r="A235">
        <v>164962</v>
      </c>
      <c r="B235" t="str">
        <f>"030600981"</f>
        <v>030600981</v>
      </c>
      <c r="C235" t="s">
        <v>105</v>
      </c>
      <c r="D235" t="s">
        <v>919</v>
      </c>
      <c r="E235" t="s">
        <v>95</v>
      </c>
      <c r="F235" t="s">
        <v>920</v>
      </c>
      <c r="G235" t="s">
        <v>52</v>
      </c>
      <c r="H235" t="str">
        <f>"ΘΕΟΤΟΚΟΠΟΥΛΟΥ 9 ΗΡΑΚΛΕΙΟ"</f>
        <v>ΘΕΟΤΟΚΟΠΟΥΛΟΥ 9 ΗΡΑΚΛΕΙΟ</v>
      </c>
      <c r="I235">
        <v>71202</v>
      </c>
      <c r="J235">
        <v>2810342042</v>
      </c>
      <c r="K235">
        <v>6970267502</v>
      </c>
      <c r="N235" t="s">
        <v>135</v>
      </c>
      <c r="O235" t="s">
        <v>136</v>
      </c>
      <c r="R235" t="s">
        <v>57</v>
      </c>
      <c r="S235">
        <v>17</v>
      </c>
      <c r="T235">
        <v>161</v>
      </c>
      <c r="U235" s="1">
        <v>33844</v>
      </c>
      <c r="V235" t="s">
        <v>123</v>
      </c>
      <c r="W235" t="s">
        <v>124</v>
      </c>
      <c r="X235" t="s">
        <v>58</v>
      </c>
      <c r="Y235">
        <v>18</v>
      </c>
      <c r="Z235" t="s">
        <v>59</v>
      </c>
      <c r="AA235" t="s">
        <v>59</v>
      </c>
      <c r="AB235" t="s">
        <v>59</v>
      </c>
      <c r="AC235" t="s">
        <v>59</v>
      </c>
      <c r="AD235" t="s">
        <v>59</v>
      </c>
      <c r="AF235" s="1">
        <v>33848</v>
      </c>
      <c r="AG235" t="s">
        <v>137</v>
      </c>
      <c r="AH235" t="s">
        <v>138</v>
      </c>
      <c r="AI235" t="str">
        <f>"1740210"</f>
        <v>1740210</v>
      </c>
      <c r="AJ235" t="s">
        <v>139</v>
      </c>
      <c r="AK235">
        <v>2810318130</v>
      </c>
      <c r="AL235" t="s">
        <v>140</v>
      </c>
      <c r="AM235" t="s">
        <v>78</v>
      </c>
      <c r="AN235" t="s">
        <v>78</v>
      </c>
      <c r="AO235" t="s">
        <v>78</v>
      </c>
      <c r="AP235" t="s">
        <v>141</v>
      </c>
      <c r="AQ235">
        <v>7</v>
      </c>
      <c r="AR235" t="s">
        <v>123</v>
      </c>
      <c r="AS235" t="s">
        <v>124</v>
      </c>
      <c r="AT235" t="s">
        <v>58</v>
      </c>
      <c r="AU235" t="s">
        <v>68</v>
      </c>
      <c r="AV235" t="s">
        <v>69</v>
      </c>
      <c r="AW235" s="1">
        <v>21600</v>
      </c>
      <c r="AX235">
        <v>2</v>
      </c>
    </row>
    <row r="236" spans="1:50">
      <c r="A236">
        <v>229023</v>
      </c>
      <c r="B236" t="str">
        <f>"128069735"</f>
        <v>128069735</v>
      </c>
      <c r="C236" t="s">
        <v>50</v>
      </c>
      <c r="D236" t="s">
        <v>921</v>
      </c>
      <c r="E236" t="s">
        <v>922</v>
      </c>
      <c r="F236" t="s">
        <v>72</v>
      </c>
      <c r="G236" t="s">
        <v>566</v>
      </c>
      <c r="H236" t="str">
        <f>"ΩΚΕΑΝΙΔΩΝ 2 ΘΕΣΣΑΛΟΝΙΚΗ"</f>
        <v>ΩΚΕΑΝΙΔΩΝ 2 ΘΕΣΣΑΛΟΝΙΚΗ</v>
      </c>
      <c r="I236">
        <v>54250</v>
      </c>
      <c r="J236">
        <v>2310306967</v>
      </c>
      <c r="K236">
        <v>6975588701</v>
      </c>
      <c r="M236" t="s">
        <v>923</v>
      </c>
      <c r="N236" t="s">
        <v>306</v>
      </c>
      <c r="O236" t="s">
        <v>307</v>
      </c>
      <c r="R236" t="s">
        <v>57</v>
      </c>
      <c r="S236">
        <v>4</v>
      </c>
      <c r="T236">
        <v>720</v>
      </c>
      <c r="U236" s="1">
        <v>40059</v>
      </c>
      <c r="V236" t="s">
        <v>123</v>
      </c>
      <c r="W236" t="s">
        <v>124</v>
      </c>
      <c r="X236" t="s">
        <v>58</v>
      </c>
      <c r="Y236">
        <v>21</v>
      </c>
      <c r="Z236" t="s">
        <v>59</v>
      </c>
      <c r="AA236" t="s">
        <v>59</v>
      </c>
      <c r="AB236" t="s">
        <v>59</v>
      </c>
      <c r="AC236" t="s">
        <v>59</v>
      </c>
      <c r="AD236" t="s">
        <v>59</v>
      </c>
      <c r="AF236" s="1">
        <v>40060</v>
      </c>
      <c r="AG236" t="s">
        <v>125</v>
      </c>
      <c r="AH236" t="s">
        <v>126</v>
      </c>
      <c r="AI236" t="str">
        <f>"1710010"</f>
        <v>1710010</v>
      </c>
      <c r="AJ236" t="s">
        <v>595</v>
      </c>
      <c r="AK236">
        <v>2810711220</v>
      </c>
      <c r="AL236" t="s">
        <v>596</v>
      </c>
      <c r="AM236" t="s">
        <v>78</v>
      </c>
      <c r="AN236" t="s">
        <v>129</v>
      </c>
      <c r="AO236" t="s">
        <v>597</v>
      </c>
      <c r="AP236" t="s">
        <v>598</v>
      </c>
      <c r="AQ236">
        <v>28</v>
      </c>
      <c r="AR236" t="s">
        <v>123</v>
      </c>
      <c r="AS236" t="s">
        <v>124</v>
      </c>
      <c r="AT236" t="s">
        <v>58</v>
      </c>
      <c r="AU236" t="s">
        <v>68</v>
      </c>
      <c r="AV236" t="s">
        <v>69</v>
      </c>
      <c r="AW236" s="1">
        <v>30709</v>
      </c>
      <c r="AX236">
        <v>2</v>
      </c>
    </row>
    <row r="237" spans="1:50">
      <c r="A237">
        <v>177194</v>
      </c>
      <c r="B237" t="str">
        <f>"053613776"</f>
        <v>053613776</v>
      </c>
      <c r="C237" t="s">
        <v>50</v>
      </c>
      <c r="D237" t="s">
        <v>924</v>
      </c>
      <c r="E237" t="s">
        <v>215</v>
      </c>
      <c r="F237" t="s">
        <v>106</v>
      </c>
      <c r="G237" t="s">
        <v>237</v>
      </c>
      <c r="H237" t="str">
        <f>"ΜΕΓΑΛΟΧΑΡΗΣ 3 "</f>
        <v xml:space="preserve">ΜΕΓΑΛΟΧΑΡΗΣ 3 </v>
      </c>
      <c r="I237">
        <v>71307</v>
      </c>
      <c r="J237">
        <v>2810325804</v>
      </c>
      <c r="K237">
        <v>6945397621</v>
      </c>
      <c r="M237" t="s">
        <v>925</v>
      </c>
      <c r="N237" t="s">
        <v>232</v>
      </c>
      <c r="O237" t="s">
        <v>233</v>
      </c>
      <c r="R237" t="s">
        <v>57</v>
      </c>
      <c r="S237">
        <v>13</v>
      </c>
      <c r="T237">
        <v>180</v>
      </c>
      <c r="U237" s="1">
        <v>35674</v>
      </c>
      <c r="V237" t="s">
        <v>123</v>
      </c>
      <c r="W237" t="s">
        <v>124</v>
      </c>
      <c r="X237" t="s">
        <v>58</v>
      </c>
      <c r="Y237">
        <v>18</v>
      </c>
      <c r="Z237" t="s">
        <v>59</v>
      </c>
      <c r="AA237" t="s">
        <v>59</v>
      </c>
      <c r="AB237" t="s">
        <v>59</v>
      </c>
      <c r="AC237" t="s">
        <v>59</v>
      </c>
      <c r="AD237" t="s">
        <v>59</v>
      </c>
      <c r="AF237" s="1">
        <v>35676</v>
      </c>
      <c r="AG237" t="s">
        <v>125</v>
      </c>
      <c r="AH237" t="s">
        <v>126</v>
      </c>
      <c r="AI237" t="str">
        <f>"1701053"</f>
        <v>1701053</v>
      </c>
      <c r="AJ237" t="s">
        <v>398</v>
      </c>
      <c r="AK237">
        <v>2810251434</v>
      </c>
      <c r="AL237" t="s">
        <v>399</v>
      </c>
      <c r="AM237" t="s">
        <v>78</v>
      </c>
      <c r="AN237" t="s">
        <v>78</v>
      </c>
      <c r="AO237" t="s">
        <v>78</v>
      </c>
      <c r="AP237" t="s">
        <v>141</v>
      </c>
      <c r="AQ237">
        <v>7</v>
      </c>
      <c r="AR237" t="s">
        <v>123</v>
      </c>
      <c r="AS237" t="s">
        <v>124</v>
      </c>
      <c r="AT237" t="s">
        <v>58</v>
      </c>
      <c r="AU237" t="s">
        <v>68</v>
      </c>
      <c r="AV237" t="s">
        <v>69</v>
      </c>
      <c r="AW237" s="1">
        <v>24022</v>
      </c>
      <c r="AX237">
        <v>2</v>
      </c>
    </row>
    <row r="238" spans="1:50">
      <c r="A238">
        <v>206084</v>
      </c>
      <c r="B238" t="str">
        <f>"104913692"</f>
        <v>104913692</v>
      </c>
      <c r="C238" t="s">
        <v>50</v>
      </c>
      <c r="D238" t="s">
        <v>926</v>
      </c>
      <c r="E238" t="s">
        <v>460</v>
      </c>
      <c r="F238" t="s">
        <v>99</v>
      </c>
      <c r="G238" t="s">
        <v>250</v>
      </c>
      <c r="H238" t="str">
        <f>"ΤΥΜΠΑΚΙ "</f>
        <v xml:space="preserve">ΤΥΜΠΑΚΙ </v>
      </c>
      <c r="I238">
        <v>70200</v>
      </c>
      <c r="J238">
        <v>2892051105</v>
      </c>
      <c r="K238">
        <v>6973809291</v>
      </c>
      <c r="M238" t="s">
        <v>927</v>
      </c>
      <c r="N238" t="s">
        <v>299</v>
      </c>
      <c r="O238" t="s">
        <v>300</v>
      </c>
      <c r="R238" t="s">
        <v>57</v>
      </c>
      <c r="S238">
        <v>7</v>
      </c>
      <c r="T238">
        <v>231</v>
      </c>
      <c r="U238" s="1">
        <v>38230</v>
      </c>
      <c r="V238" t="s">
        <v>123</v>
      </c>
      <c r="W238" t="s">
        <v>124</v>
      </c>
      <c r="X238" t="s">
        <v>58</v>
      </c>
      <c r="Y238">
        <v>20</v>
      </c>
      <c r="Z238" t="s">
        <v>59</v>
      </c>
      <c r="AA238" t="s">
        <v>59</v>
      </c>
      <c r="AB238" t="s">
        <v>59</v>
      </c>
      <c r="AC238" t="s">
        <v>59</v>
      </c>
      <c r="AD238" t="s">
        <v>59</v>
      </c>
      <c r="AF238" s="1">
        <v>38236</v>
      </c>
      <c r="AG238" t="s">
        <v>125</v>
      </c>
      <c r="AH238" t="s">
        <v>126</v>
      </c>
      <c r="AI238" t="str">
        <f>"1706010"</f>
        <v>1706010</v>
      </c>
      <c r="AJ238" t="s">
        <v>391</v>
      </c>
      <c r="AK238">
        <v>2892022286</v>
      </c>
      <c r="AL238" t="s">
        <v>392</v>
      </c>
      <c r="AM238" t="s">
        <v>78</v>
      </c>
      <c r="AN238" t="s">
        <v>242</v>
      </c>
      <c r="AO238" t="s">
        <v>243</v>
      </c>
      <c r="AP238" t="s">
        <v>243</v>
      </c>
      <c r="AQ238">
        <v>33</v>
      </c>
      <c r="AR238" t="s">
        <v>123</v>
      </c>
      <c r="AS238" t="s">
        <v>124</v>
      </c>
      <c r="AT238" t="s">
        <v>58</v>
      </c>
      <c r="AU238" t="s">
        <v>68</v>
      </c>
      <c r="AV238" t="s">
        <v>69</v>
      </c>
      <c r="AW238" s="1">
        <v>29522</v>
      </c>
      <c r="AX238">
        <v>2</v>
      </c>
    </row>
    <row r="239" spans="1:50">
      <c r="A239">
        <v>156526</v>
      </c>
      <c r="B239" t="str">
        <f>"062949964"</f>
        <v>062949964</v>
      </c>
      <c r="C239" t="s">
        <v>50</v>
      </c>
      <c r="D239" t="s">
        <v>928</v>
      </c>
      <c r="E239" t="s">
        <v>73</v>
      </c>
      <c r="F239" t="s">
        <v>53</v>
      </c>
      <c r="G239" t="s">
        <v>52</v>
      </c>
      <c r="H239" t="str">
        <f>" "</f>
        <v xml:space="preserve"> </v>
      </c>
      <c r="M239" t="s">
        <v>929</v>
      </c>
      <c r="N239" t="s">
        <v>292</v>
      </c>
      <c r="O239" t="s">
        <v>293</v>
      </c>
      <c r="R239" t="s">
        <v>57</v>
      </c>
      <c r="S239">
        <v>15</v>
      </c>
      <c r="T239">
        <v>188</v>
      </c>
      <c r="U239" s="1">
        <v>32752</v>
      </c>
      <c r="V239" t="s">
        <v>123</v>
      </c>
      <c r="W239" t="s">
        <v>124</v>
      </c>
      <c r="X239" t="s">
        <v>58</v>
      </c>
      <c r="Y239">
        <v>18</v>
      </c>
      <c r="Z239" t="s">
        <v>59</v>
      </c>
      <c r="AA239" t="s">
        <v>59</v>
      </c>
      <c r="AB239" t="s">
        <v>59</v>
      </c>
      <c r="AC239" t="s">
        <v>59</v>
      </c>
      <c r="AD239" t="s">
        <v>59</v>
      </c>
      <c r="AF239" s="1">
        <v>32756</v>
      </c>
      <c r="AG239" t="s">
        <v>148</v>
      </c>
      <c r="AH239" t="s">
        <v>149</v>
      </c>
      <c r="AI239" t="str">
        <f>"1751040"</f>
        <v>1751040</v>
      </c>
      <c r="AJ239" t="s">
        <v>178</v>
      </c>
      <c r="AK239">
        <v>2810252495</v>
      </c>
      <c r="AL239" t="s">
        <v>179</v>
      </c>
      <c r="AM239" t="s">
        <v>78</v>
      </c>
      <c r="AN239" t="s">
        <v>78</v>
      </c>
      <c r="AO239" t="s">
        <v>78</v>
      </c>
      <c r="AP239" t="s">
        <v>141</v>
      </c>
      <c r="AQ239">
        <v>3</v>
      </c>
      <c r="AR239" t="s">
        <v>123</v>
      </c>
      <c r="AS239" t="s">
        <v>124</v>
      </c>
      <c r="AT239" t="s">
        <v>58</v>
      </c>
      <c r="AU239" t="s">
        <v>68</v>
      </c>
      <c r="AV239" t="s">
        <v>69</v>
      </c>
      <c r="AW239" s="1">
        <v>20978</v>
      </c>
      <c r="AX239">
        <v>2</v>
      </c>
    </row>
    <row r="240" spans="1:50">
      <c r="B240" t="str">
        <f>"071577074"</f>
        <v>071577074</v>
      </c>
      <c r="C240" t="s">
        <v>50</v>
      </c>
      <c r="D240" t="s">
        <v>930</v>
      </c>
      <c r="E240" t="s">
        <v>860</v>
      </c>
      <c r="F240" t="s">
        <v>95</v>
      </c>
      <c r="G240" t="s">
        <v>931</v>
      </c>
      <c r="H240" t="str">
        <f>"ΘΕΟΤΟΚΟΠΟΥΛΟΥ 5 ΜΟΙΡΕΣ"</f>
        <v>ΘΕΟΤΟΚΟΠΟΥΛΟΥ 5 ΜΟΙΡΕΣ</v>
      </c>
      <c r="K240">
        <v>6981541013</v>
      </c>
      <c r="M240" t="s">
        <v>932</v>
      </c>
      <c r="N240" t="s">
        <v>246</v>
      </c>
      <c r="O240" t="s">
        <v>247</v>
      </c>
      <c r="R240" t="s">
        <v>159</v>
      </c>
      <c r="S240">
        <v>3</v>
      </c>
      <c r="T240" t="s">
        <v>160</v>
      </c>
      <c r="U240" s="1">
        <v>43364</v>
      </c>
      <c r="V240" t="s">
        <v>123</v>
      </c>
      <c r="W240" t="s">
        <v>124</v>
      </c>
      <c r="X240" t="s">
        <v>58</v>
      </c>
      <c r="Y240">
        <v>23</v>
      </c>
      <c r="Z240" t="s">
        <v>59</v>
      </c>
      <c r="AA240" t="s">
        <v>59</v>
      </c>
      <c r="AB240" t="s">
        <v>59</v>
      </c>
      <c r="AD240" t="s">
        <v>59</v>
      </c>
      <c r="AF240" s="1">
        <v>43367</v>
      </c>
      <c r="AG240" t="s">
        <v>148</v>
      </c>
      <c r="AH240" t="s">
        <v>149</v>
      </c>
      <c r="AI240" t="str">
        <f>"1756010"</f>
        <v>1756010</v>
      </c>
      <c r="AJ240" t="s">
        <v>874</v>
      </c>
      <c r="AK240">
        <v>2892022976</v>
      </c>
      <c r="AL240" t="s">
        <v>875</v>
      </c>
      <c r="AM240" t="s">
        <v>78</v>
      </c>
      <c r="AN240" t="s">
        <v>242</v>
      </c>
      <c r="AO240" t="s">
        <v>243</v>
      </c>
      <c r="AP240" t="s">
        <v>243</v>
      </c>
      <c r="AQ240">
        <v>33</v>
      </c>
      <c r="AR240" t="s">
        <v>123</v>
      </c>
      <c r="AS240" t="s">
        <v>124</v>
      </c>
      <c r="AT240" t="s">
        <v>58</v>
      </c>
      <c r="AU240" t="s">
        <v>164</v>
      </c>
      <c r="AV240" t="s">
        <v>132</v>
      </c>
      <c r="AW240" s="1">
        <v>30332</v>
      </c>
      <c r="AX240">
        <v>2</v>
      </c>
    </row>
    <row r="241" spans="1:50">
      <c r="A241">
        <v>219728</v>
      </c>
      <c r="B241" t="str">
        <f>"061864436"</f>
        <v>061864436</v>
      </c>
      <c r="C241" t="s">
        <v>50</v>
      </c>
      <c r="D241" t="s">
        <v>933</v>
      </c>
      <c r="E241" t="s">
        <v>181</v>
      </c>
      <c r="F241" t="s">
        <v>108</v>
      </c>
      <c r="G241" t="s">
        <v>934</v>
      </c>
      <c r="H241" t="str">
        <f>" "</f>
        <v xml:space="preserve"> </v>
      </c>
      <c r="K241">
        <v>6937060897</v>
      </c>
      <c r="N241" t="s">
        <v>176</v>
      </c>
      <c r="O241" t="s">
        <v>177</v>
      </c>
      <c r="R241" t="s">
        <v>57</v>
      </c>
      <c r="S241">
        <v>7</v>
      </c>
      <c r="T241">
        <v>599</v>
      </c>
      <c r="U241" s="1">
        <v>39310</v>
      </c>
      <c r="V241" t="s">
        <v>123</v>
      </c>
      <c r="W241" t="s">
        <v>124</v>
      </c>
      <c r="X241" t="s">
        <v>58</v>
      </c>
      <c r="Y241">
        <v>20</v>
      </c>
      <c r="Z241" t="s">
        <v>59</v>
      </c>
      <c r="AA241" t="s">
        <v>59</v>
      </c>
      <c r="AB241" t="s">
        <v>59</v>
      </c>
      <c r="AC241" t="s">
        <v>59</v>
      </c>
      <c r="AD241" t="s">
        <v>59</v>
      </c>
      <c r="AF241" s="1">
        <v>39328</v>
      </c>
      <c r="AG241" t="s">
        <v>137</v>
      </c>
      <c r="AH241" t="s">
        <v>138</v>
      </c>
      <c r="AI241" t="str">
        <f>"1750080"</f>
        <v>1750080</v>
      </c>
      <c r="AJ241" t="s">
        <v>170</v>
      </c>
      <c r="AK241">
        <v>2810234444</v>
      </c>
      <c r="AL241" t="s">
        <v>171</v>
      </c>
      <c r="AM241" t="s">
        <v>78</v>
      </c>
      <c r="AN241" t="s">
        <v>78</v>
      </c>
      <c r="AO241" t="s">
        <v>78</v>
      </c>
      <c r="AP241" t="s">
        <v>163</v>
      </c>
      <c r="AQ241">
        <v>9</v>
      </c>
      <c r="AR241" t="s">
        <v>123</v>
      </c>
      <c r="AS241" t="s">
        <v>124</v>
      </c>
      <c r="AT241" t="s">
        <v>58</v>
      </c>
      <c r="AU241" t="s">
        <v>68</v>
      </c>
      <c r="AV241" t="s">
        <v>69</v>
      </c>
      <c r="AW241" s="1">
        <v>26043</v>
      </c>
      <c r="AX241">
        <v>2</v>
      </c>
    </row>
    <row r="242" spans="1:50">
      <c r="A242">
        <v>701710</v>
      </c>
      <c r="B242" t="str">
        <f>"073312067"</f>
        <v>073312067</v>
      </c>
      <c r="C242" t="s">
        <v>105</v>
      </c>
      <c r="D242" t="s">
        <v>935</v>
      </c>
      <c r="E242" t="s">
        <v>936</v>
      </c>
      <c r="F242" t="s">
        <v>166</v>
      </c>
      <c r="G242" t="s">
        <v>52</v>
      </c>
      <c r="H242" t="str">
        <f>"ΗΡΑΚΛΕΙΟ, 10 ΗΡΑΚΛΕΙΟΥ"</f>
        <v>ΗΡΑΚΛΕΙΟ, 10 ΗΡΑΚΛΕΙΟΥ</v>
      </c>
      <c r="I242">
        <v>71500</v>
      </c>
      <c r="J242">
        <v>2810244202</v>
      </c>
      <c r="K242">
        <v>6946765254</v>
      </c>
      <c r="M242" t="s">
        <v>937</v>
      </c>
      <c r="N242" t="s">
        <v>146</v>
      </c>
      <c r="O242" t="s">
        <v>147</v>
      </c>
      <c r="R242" t="s">
        <v>57</v>
      </c>
      <c r="S242">
        <v>8</v>
      </c>
      <c r="T242" t="s">
        <v>938</v>
      </c>
      <c r="U242" s="1">
        <v>40420</v>
      </c>
      <c r="V242" t="s">
        <v>123</v>
      </c>
      <c r="W242" t="s">
        <v>124</v>
      </c>
      <c r="X242" t="s">
        <v>58</v>
      </c>
      <c r="Y242">
        <v>20</v>
      </c>
      <c r="Z242" t="s">
        <v>59</v>
      </c>
      <c r="AA242" t="s">
        <v>59</v>
      </c>
      <c r="AB242" t="s">
        <v>59</v>
      </c>
      <c r="AC242" t="s">
        <v>59</v>
      </c>
      <c r="AD242" t="s">
        <v>59</v>
      </c>
      <c r="AF242" s="1">
        <v>40429</v>
      </c>
      <c r="AG242" t="s">
        <v>125</v>
      </c>
      <c r="AH242" t="s">
        <v>294</v>
      </c>
      <c r="AI242" t="str">
        <f>"1701015"</f>
        <v>1701015</v>
      </c>
      <c r="AJ242" t="s">
        <v>295</v>
      </c>
      <c r="AK242">
        <v>2810761696</v>
      </c>
      <c r="AL242" t="s">
        <v>296</v>
      </c>
      <c r="AM242" t="s">
        <v>78</v>
      </c>
      <c r="AN242" t="s">
        <v>219</v>
      </c>
      <c r="AO242" t="s">
        <v>297</v>
      </c>
      <c r="AP242" t="s">
        <v>297</v>
      </c>
      <c r="AQ242">
        <v>10</v>
      </c>
      <c r="AR242" t="s">
        <v>123</v>
      </c>
      <c r="AS242" t="s">
        <v>124</v>
      </c>
      <c r="AT242" t="s">
        <v>58</v>
      </c>
      <c r="AU242" t="s">
        <v>68</v>
      </c>
      <c r="AV242" t="s">
        <v>69</v>
      </c>
      <c r="AW242" s="1">
        <v>26715</v>
      </c>
      <c r="AX242">
        <v>2</v>
      </c>
    </row>
    <row r="243" spans="1:50">
      <c r="A243">
        <v>219619</v>
      </c>
      <c r="B243" t="str">
        <f>"068877060"</f>
        <v>068877060</v>
      </c>
      <c r="C243" t="s">
        <v>105</v>
      </c>
      <c r="D243" t="s">
        <v>939</v>
      </c>
      <c r="E243" t="s">
        <v>95</v>
      </c>
      <c r="F243" t="s">
        <v>940</v>
      </c>
      <c r="G243" t="s">
        <v>238</v>
      </c>
      <c r="H243" t="str">
        <f>"ΜΕΛΕΤΙΟΥ ΠΗΓΑ 55Α ΑΤΣΑΛΕΝΙΟ"</f>
        <v>ΜΕΛΕΤΙΟΥ ΠΗΓΑ 55Α ΑΤΣΑΛΕΝΙΟ</v>
      </c>
      <c r="I243">
        <v>71306</v>
      </c>
      <c r="J243">
        <v>2810239949</v>
      </c>
      <c r="K243">
        <v>6947938546</v>
      </c>
      <c r="M243" t="s">
        <v>941</v>
      </c>
      <c r="N243" t="s">
        <v>299</v>
      </c>
      <c r="O243" t="s">
        <v>300</v>
      </c>
      <c r="R243" t="s">
        <v>57</v>
      </c>
      <c r="S243">
        <v>11</v>
      </c>
      <c r="T243">
        <v>599</v>
      </c>
      <c r="U243" s="1">
        <v>39310</v>
      </c>
      <c r="V243" t="s">
        <v>123</v>
      </c>
      <c r="W243" t="s">
        <v>124</v>
      </c>
      <c r="X243" t="s">
        <v>58</v>
      </c>
      <c r="Y243">
        <v>21</v>
      </c>
      <c r="Z243" t="s">
        <v>59</v>
      </c>
      <c r="AA243" t="s">
        <v>59</v>
      </c>
      <c r="AB243" t="s">
        <v>59</v>
      </c>
      <c r="AC243" t="s">
        <v>59</v>
      </c>
      <c r="AD243" t="s">
        <v>59</v>
      </c>
      <c r="AF243" s="1">
        <v>39328</v>
      </c>
      <c r="AG243" t="s">
        <v>148</v>
      </c>
      <c r="AH243" t="s">
        <v>149</v>
      </c>
      <c r="AI243" t="str">
        <f>"1762010"</f>
        <v>1762010</v>
      </c>
      <c r="AJ243" t="s">
        <v>942</v>
      </c>
      <c r="AK243">
        <v>2897061311</v>
      </c>
      <c r="AL243" t="s">
        <v>943</v>
      </c>
      <c r="AM243" t="s">
        <v>78</v>
      </c>
      <c r="AN243" t="s">
        <v>219</v>
      </c>
      <c r="AO243" t="s">
        <v>527</v>
      </c>
      <c r="AP243" t="s">
        <v>528</v>
      </c>
      <c r="AQ243">
        <v>19</v>
      </c>
      <c r="AR243" t="s">
        <v>123</v>
      </c>
      <c r="AS243" t="s">
        <v>124</v>
      </c>
      <c r="AT243" t="s">
        <v>58</v>
      </c>
      <c r="AU243" t="s">
        <v>68</v>
      </c>
      <c r="AV243" t="s">
        <v>69</v>
      </c>
      <c r="AW243" s="1">
        <v>28975</v>
      </c>
      <c r="AX243">
        <v>2</v>
      </c>
    </row>
    <row r="244" spans="1:50">
      <c r="A244">
        <v>209427</v>
      </c>
      <c r="B244" t="str">
        <f>"064062680"</f>
        <v>064062680</v>
      </c>
      <c r="C244" t="s">
        <v>50</v>
      </c>
      <c r="D244" t="s">
        <v>944</v>
      </c>
      <c r="E244" t="s">
        <v>314</v>
      </c>
      <c r="F244" t="s">
        <v>99</v>
      </c>
      <c r="G244" t="s">
        <v>237</v>
      </c>
      <c r="H244" t="str">
        <f>"Γ. ΜΑΡΙΝΑΚΗ ΑΡΧΑΝΕΣ ΗΡΑΚΛΕΙΟΥ"</f>
        <v>Γ. ΜΑΡΙΝΑΚΗ ΑΡΧΑΝΕΣ ΗΡΑΚΛΕΙΟΥ</v>
      </c>
      <c r="I244">
        <v>70100</v>
      </c>
      <c r="J244">
        <v>2810325303</v>
      </c>
      <c r="K244">
        <v>6977097730</v>
      </c>
      <c r="M244" t="s">
        <v>945</v>
      </c>
      <c r="N244" t="s">
        <v>146</v>
      </c>
      <c r="O244" t="s">
        <v>147</v>
      </c>
      <c r="R244" t="s">
        <v>57</v>
      </c>
      <c r="S244">
        <v>6</v>
      </c>
      <c r="T244">
        <v>225</v>
      </c>
      <c r="U244" s="1">
        <v>38604</v>
      </c>
      <c r="V244" t="s">
        <v>123</v>
      </c>
      <c r="W244" t="s">
        <v>124</v>
      </c>
      <c r="X244" t="s">
        <v>58</v>
      </c>
      <c r="Y244">
        <v>20</v>
      </c>
      <c r="Z244" t="s">
        <v>59</v>
      </c>
      <c r="AA244" t="s">
        <v>59</v>
      </c>
      <c r="AB244" t="s">
        <v>59</v>
      </c>
      <c r="AC244" t="s">
        <v>59</v>
      </c>
      <c r="AD244" t="s">
        <v>59</v>
      </c>
      <c r="AF244" s="1">
        <v>38607</v>
      </c>
      <c r="AG244" t="s">
        <v>148</v>
      </c>
      <c r="AH244" t="s">
        <v>149</v>
      </c>
      <c r="AI244" t="str">
        <f>"1753010"</f>
        <v>1753010</v>
      </c>
      <c r="AJ244" t="s">
        <v>571</v>
      </c>
      <c r="AK244">
        <v>2810751528</v>
      </c>
      <c r="AL244" t="s">
        <v>572</v>
      </c>
      <c r="AM244" t="s">
        <v>78</v>
      </c>
      <c r="AN244" t="s">
        <v>424</v>
      </c>
      <c r="AO244" t="s">
        <v>425</v>
      </c>
      <c r="AP244" t="s">
        <v>425</v>
      </c>
      <c r="AQ244">
        <v>13</v>
      </c>
      <c r="AR244" t="s">
        <v>123</v>
      </c>
      <c r="AS244" t="s">
        <v>124</v>
      </c>
      <c r="AT244" t="s">
        <v>58</v>
      </c>
      <c r="AU244" t="s">
        <v>68</v>
      </c>
      <c r="AV244" t="s">
        <v>69</v>
      </c>
      <c r="AW244" s="1">
        <v>26320</v>
      </c>
      <c r="AX244">
        <v>2</v>
      </c>
    </row>
    <row r="245" spans="1:50">
      <c r="A245">
        <v>219206</v>
      </c>
      <c r="B245" t="str">
        <f>"125583640"</f>
        <v>125583640</v>
      </c>
      <c r="C245" t="s">
        <v>50</v>
      </c>
      <c r="D245" t="s">
        <v>946</v>
      </c>
      <c r="E245" t="s">
        <v>191</v>
      </c>
      <c r="F245" t="s">
        <v>53</v>
      </c>
      <c r="G245" t="s">
        <v>610</v>
      </c>
      <c r="H245" t="str">
        <f>"ΠΑΤΕΛΑΡΟΥ 33Α ΜΑΣΤΑΜΠΑΣ"</f>
        <v>ΠΑΤΕΛΑΡΟΥ 33Α ΜΑΣΤΑΜΠΑΣ</v>
      </c>
      <c r="I245">
        <v>71305</v>
      </c>
      <c r="J245">
        <v>2810212010</v>
      </c>
      <c r="K245">
        <v>6974304866</v>
      </c>
      <c r="M245" t="s">
        <v>947</v>
      </c>
      <c r="N245" t="s">
        <v>306</v>
      </c>
      <c r="O245" t="s">
        <v>307</v>
      </c>
      <c r="R245" t="s">
        <v>57</v>
      </c>
      <c r="S245">
        <v>5</v>
      </c>
      <c r="T245">
        <v>599</v>
      </c>
      <c r="U245" s="1">
        <v>39310</v>
      </c>
      <c r="V245" t="s">
        <v>123</v>
      </c>
      <c r="W245" t="s">
        <v>124</v>
      </c>
      <c r="X245" t="s">
        <v>58</v>
      </c>
      <c r="Y245">
        <v>21</v>
      </c>
      <c r="Z245" t="s">
        <v>59</v>
      </c>
      <c r="AA245" t="s">
        <v>59</v>
      </c>
      <c r="AB245" t="s">
        <v>59</v>
      </c>
      <c r="AC245" t="s">
        <v>59</v>
      </c>
      <c r="AD245" t="s">
        <v>59</v>
      </c>
      <c r="AF245" s="1">
        <v>39328</v>
      </c>
      <c r="AG245" t="s">
        <v>148</v>
      </c>
      <c r="AH245" t="s">
        <v>149</v>
      </c>
      <c r="AI245" t="str">
        <f>"1767011"</f>
        <v>1767011</v>
      </c>
      <c r="AJ245" t="s">
        <v>217</v>
      </c>
      <c r="AK245">
        <v>2897021055</v>
      </c>
      <c r="AL245" t="s">
        <v>218</v>
      </c>
      <c r="AM245" t="s">
        <v>78</v>
      </c>
      <c r="AN245" t="s">
        <v>219</v>
      </c>
      <c r="AO245" t="s">
        <v>219</v>
      </c>
      <c r="AP245" t="s">
        <v>220</v>
      </c>
      <c r="AQ245">
        <v>20</v>
      </c>
      <c r="AR245" t="s">
        <v>123</v>
      </c>
      <c r="AS245" t="s">
        <v>124</v>
      </c>
      <c r="AT245" t="s">
        <v>58</v>
      </c>
      <c r="AU245" t="s">
        <v>68</v>
      </c>
      <c r="AV245" t="s">
        <v>69</v>
      </c>
      <c r="AW245" s="1">
        <v>30134</v>
      </c>
      <c r="AX245">
        <v>2</v>
      </c>
    </row>
    <row r="246" spans="1:50">
      <c r="A246">
        <v>206908</v>
      </c>
      <c r="B246" t="str">
        <f>"064567853"</f>
        <v>064567853</v>
      </c>
      <c r="C246" t="s">
        <v>50</v>
      </c>
      <c r="D246" t="s">
        <v>948</v>
      </c>
      <c r="E246" t="s">
        <v>52</v>
      </c>
      <c r="F246" t="s">
        <v>949</v>
      </c>
      <c r="G246" t="s">
        <v>950</v>
      </c>
      <c r="H246" t="str">
        <f>" "</f>
        <v xml:space="preserve"> </v>
      </c>
      <c r="J246">
        <v>2810282991</v>
      </c>
      <c r="K246">
        <v>6944985908</v>
      </c>
      <c r="M246" t="s">
        <v>951</v>
      </c>
      <c r="N246" t="s">
        <v>292</v>
      </c>
      <c r="O246" t="s">
        <v>293</v>
      </c>
      <c r="R246" t="s">
        <v>57</v>
      </c>
      <c r="S246">
        <v>9</v>
      </c>
      <c r="T246">
        <v>218</v>
      </c>
      <c r="U246" s="1">
        <v>38596</v>
      </c>
      <c r="V246" t="s">
        <v>123</v>
      </c>
      <c r="W246" t="s">
        <v>124</v>
      </c>
      <c r="X246" t="s">
        <v>58</v>
      </c>
      <c r="Y246">
        <v>20</v>
      </c>
      <c r="Z246" t="s">
        <v>59</v>
      </c>
      <c r="AA246" t="s">
        <v>59</v>
      </c>
      <c r="AB246" t="s">
        <v>59</v>
      </c>
      <c r="AC246" t="s">
        <v>59</v>
      </c>
      <c r="AD246" t="s">
        <v>59</v>
      </c>
      <c r="AF246" s="1">
        <v>38603</v>
      </c>
      <c r="AG246" t="s">
        <v>137</v>
      </c>
      <c r="AH246" t="s">
        <v>469</v>
      </c>
      <c r="AI246" t="str">
        <f>"1740200"</f>
        <v>1740200</v>
      </c>
      <c r="AJ246" t="s">
        <v>470</v>
      </c>
      <c r="AK246">
        <v>2810320770</v>
      </c>
      <c r="AL246" t="s">
        <v>471</v>
      </c>
      <c r="AM246" t="s">
        <v>78</v>
      </c>
      <c r="AN246" t="s">
        <v>78</v>
      </c>
      <c r="AO246" t="s">
        <v>78</v>
      </c>
      <c r="AP246" t="s">
        <v>163</v>
      </c>
      <c r="AQ246">
        <v>2</v>
      </c>
      <c r="AR246" t="s">
        <v>123</v>
      </c>
      <c r="AS246" t="s">
        <v>124</v>
      </c>
      <c r="AT246" t="s">
        <v>58</v>
      </c>
      <c r="AU246" t="s">
        <v>68</v>
      </c>
      <c r="AV246" t="s">
        <v>69</v>
      </c>
      <c r="AW246" s="1">
        <v>22947</v>
      </c>
      <c r="AX246">
        <v>2</v>
      </c>
    </row>
    <row r="247" spans="1:50">
      <c r="A247">
        <v>213059</v>
      </c>
      <c r="B247" t="str">
        <f>"035504503"</f>
        <v>035504503</v>
      </c>
      <c r="C247" t="s">
        <v>105</v>
      </c>
      <c r="D247" t="s">
        <v>952</v>
      </c>
      <c r="E247" t="s">
        <v>53</v>
      </c>
      <c r="F247" t="s">
        <v>949</v>
      </c>
      <c r="G247" t="s">
        <v>237</v>
      </c>
      <c r="H247" t="str">
        <f>"ΤΥΜΠΑΚΙ "</f>
        <v xml:space="preserve">ΤΥΜΠΑΚΙ </v>
      </c>
      <c r="I247">
        <v>70200</v>
      </c>
      <c r="J247">
        <v>2892053319</v>
      </c>
      <c r="K247">
        <v>6946062003</v>
      </c>
      <c r="M247" t="s">
        <v>953</v>
      </c>
      <c r="N247" t="s">
        <v>232</v>
      </c>
      <c r="O247" t="s">
        <v>233</v>
      </c>
      <c r="R247" t="s">
        <v>57</v>
      </c>
      <c r="S247">
        <v>8</v>
      </c>
      <c r="T247">
        <v>231</v>
      </c>
      <c r="U247" s="1">
        <v>38960</v>
      </c>
      <c r="V247" t="s">
        <v>123</v>
      </c>
      <c r="W247" t="s">
        <v>124</v>
      </c>
      <c r="X247" t="s">
        <v>58</v>
      </c>
      <c r="Y247">
        <v>20</v>
      </c>
      <c r="Z247" t="s">
        <v>59</v>
      </c>
      <c r="AA247" t="s">
        <v>59</v>
      </c>
      <c r="AB247" t="s">
        <v>59</v>
      </c>
      <c r="AC247" t="s">
        <v>59</v>
      </c>
      <c r="AD247" t="s">
        <v>59</v>
      </c>
      <c r="AF247" s="1">
        <v>38961</v>
      </c>
      <c r="AG247" t="s">
        <v>125</v>
      </c>
      <c r="AH247" t="s">
        <v>126</v>
      </c>
      <c r="AI247" t="str">
        <f>"1713010"</f>
        <v>1713010</v>
      </c>
      <c r="AJ247" t="s">
        <v>369</v>
      </c>
      <c r="AK247">
        <v>2892051686</v>
      </c>
      <c r="AL247" t="s">
        <v>370</v>
      </c>
      <c r="AM247" t="s">
        <v>78</v>
      </c>
      <c r="AN247" t="s">
        <v>242</v>
      </c>
      <c r="AO247" t="s">
        <v>349</v>
      </c>
      <c r="AP247" t="s">
        <v>349</v>
      </c>
      <c r="AQ247">
        <v>35</v>
      </c>
      <c r="AR247" t="s">
        <v>123</v>
      </c>
      <c r="AS247" t="s">
        <v>124</v>
      </c>
      <c r="AT247" t="s">
        <v>58</v>
      </c>
      <c r="AU247" t="s">
        <v>68</v>
      </c>
      <c r="AV247" t="s">
        <v>69</v>
      </c>
      <c r="AW247" s="1">
        <v>24736</v>
      </c>
      <c r="AX247">
        <v>2</v>
      </c>
    </row>
    <row r="248" spans="1:50">
      <c r="A248">
        <v>229026</v>
      </c>
      <c r="B248" t="str">
        <f>"104408337"</f>
        <v>104408337</v>
      </c>
      <c r="C248" t="s">
        <v>50</v>
      </c>
      <c r="D248" t="s">
        <v>954</v>
      </c>
      <c r="E248" t="s">
        <v>484</v>
      </c>
      <c r="F248" t="s">
        <v>510</v>
      </c>
      <c r="G248" t="s">
        <v>955</v>
      </c>
      <c r="H248" t="str">
        <f>"ΙΔΟΜΕΝΕΩΣ 19 ΓΑΖΙ"</f>
        <v>ΙΔΟΜΕΝΕΩΣ 19 ΓΑΖΙ</v>
      </c>
      <c r="I248">
        <v>71414</v>
      </c>
      <c r="J248">
        <v>2810223484</v>
      </c>
      <c r="K248">
        <v>6974648923</v>
      </c>
      <c r="N248" t="s">
        <v>306</v>
      </c>
      <c r="O248" t="s">
        <v>307</v>
      </c>
      <c r="R248" t="s">
        <v>57</v>
      </c>
      <c r="S248">
        <v>5</v>
      </c>
      <c r="T248">
        <v>720</v>
      </c>
      <c r="U248" s="1">
        <v>40059</v>
      </c>
      <c r="V248" t="s">
        <v>123</v>
      </c>
      <c r="W248" t="s">
        <v>124</v>
      </c>
      <c r="X248" t="s">
        <v>58</v>
      </c>
      <c r="Y248">
        <v>21</v>
      </c>
      <c r="Z248" t="s">
        <v>59</v>
      </c>
      <c r="AA248" t="s">
        <v>59</v>
      </c>
      <c r="AB248" t="s">
        <v>59</v>
      </c>
      <c r="AC248" t="s">
        <v>59</v>
      </c>
      <c r="AD248" t="s">
        <v>59</v>
      </c>
      <c r="AF248" s="1">
        <v>40060</v>
      </c>
      <c r="AG248" t="s">
        <v>137</v>
      </c>
      <c r="AH248" t="s">
        <v>138</v>
      </c>
      <c r="AI248" t="str">
        <f>"1740070"</f>
        <v>1740070</v>
      </c>
      <c r="AJ248" t="s">
        <v>206</v>
      </c>
      <c r="AK248">
        <v>2810324880</v>
      </c>
      <c r="AL248" t="s">
        <v>207</v>
      </c>
      <c r="AM248" t="s">
        <v>78</v>
      </c>
      <c r="AN248" t="s">
        <v>78</v>
      </c>
      <c r="AO248" t="s">
        <v>78</v>
      </c>
      <c r="AP248" t="s">
        <v>163</v>
      </c>
      <c r="AQ248">
        <v>9</v>
      </c>
      <c r="AR248" t="s">
        <v>123</v>
      </c>
      <c r="AS248" t="s">
        <v>124</v>
      </c>
      <c r="AT248" t="s">
        <v>58</v>
      </c>
      <c r="AU248" t="s">
        <v>68</v>
      </c>
      <c r="AV248" t="s">
        <v>69</v>
      </c>
      <c r="AW248" s="1">
        <v>28026</v>
      </c>
      <c r="AX248">
        <v>2</v>
      </c>
    </row>
    <row r="249" spans="1:50">
      <c r="A249">
        <v>171040</v>
      </c>
      <c r="B249" t="str">
        <f>"053478979"</f>
        <v>053478979</v>
      </c>
      <c r="C249" t="s">
        <v>105</v>
      </c>
      <c r="D249" t="s">
        <v>956</v>
      </c>
      <c r="E249" t="s">
        <v>920</v>
      </c>
      <c r="F249" t="s">
        <v>957</v>
      </c>
      <c r="G249" t="s">
        <v>155</v>
      </c>
      <c r="H249" t="str">
        <f>"ΜΟΝΗΣ ΤΟΠΛΟΥ 32 ΠΑΤΕΛΕΣ"</f>
        <v>ΜΟΝΗΣ ΤΟΠΛΟΥ 32 ΠΑΤΕΛΕΣ</v>
      </c>
      <c r="I249">
        <v>71307</v>
      </c>
      <c r="J249">
        <v>2810343672</v>
      </c>
      <c r="K249">
        <v>6947775250</v>
      </c>
      <c r="L249">
        <v>2810762261</v>
      </c>
      <c r="M249" t="s">
        <v>958</v>
      </c>
      <c r="N249" t="s">
        <v>306</v>
      </c>
      <c r="O249" t="s">
        <v>307</v>
      </c>
      <c r="R249" t="s">
        <v>57</v>
      </c>
      <c r="S249">
        <v>14</v>
      </c>
      <c r="T249">
        <v>184</v>
      </c>
      <c r="U249" s="1">
        <v>34941</v>
      </c>
      <c r="V249" t="s">
        <v>123</v>
      </c>
      <c r="W249" t="s">
        <v>124</v>
      </c>
      <c r="X249" t="s">
        <v>58</v>
      </c>
      <c r="Y249">
        <v>18</v>
      </c>
      <c r="Z249" t="s">
        <v>59</v>
      </c>
      <c r="AA249" t="s">
        <v>59</v>
      </c>
      <c r="AB249" t="s">
        <v>59</v>
      </c>
      <c r="AC249" t="s">
        <v>59</v>
      </c>
      <c r="AD249" t="s">
        <v>59</v>
      </c>
      <c r="AF249" s="1">
        <v>34947</v>
      </c>
      <c r="AG249" t="s">
        <v>148</v>
      </c>
      <c r="AH249" t="s">
        <v>149</v>
      </c>
      <c r="AI249" t="str">
        <f>"1751042"</f>
        <v>1751042</v>
      </c>
      <c r="AJ249" t="s">
        <v>959</v>
      </c>
      <c r="AK249">
        <v>2810220685</v>
      </c>
      <c r="AL249" t="s">
        <v>960</v>
      </c>
      <c r="AM249" t="s">
        <v>78</v>
      </c>
      <c r="AN249" t="s">
        <v>78</v>
      </c>
      <c r="AO249" t="s">
        <v>78</v>
      </c>
      <c r="AP249" t="s">
        <v>213</v>
      </c>
      <c r="AQ249">
        <v>6</v>
      </c>
      <c r="AR249" t="s">
        <v>123</v>
      </c>
      <c r="AS249" t="s">
        <v>124</v>
      </c>
      <c r="AT249" t="s">
        <v>58</v>
      </c>
      <c r="AU249" t="s">
        <v>68</v>
      </c>
      <c r="AV249" t="s">
        <v>69</v>
      </c>
      <c r="AW249" s="1">
        <v>22988</v>
      </c>
      <c r="AX249">
        <v>2</v>
      </c>
    </row>
    <row r="250" spans="1:50">
      <c r="A250">
        <v>210773</v>
      </c>
      <c r="B250" t="str">
        <f>"063924170"</f>
        <v>063924170</v>
      </c>
      <c r="C250" t="s">
        <v>50</v>
      </c>
      <c r="D250" t="s">
        <v>961</v>
      </c>
      <c r="E250" t="s">
        <v>73</v>
      </c>
      <c r="F250" t="s">
        <v>95</v>
      </c>
      <c r="G250" t="s">
        <v>263</v>
      </c>
      <c r="H250" t="str">
        <f>"ΠΡΑΞΙΤΕΛΟΥΣ 3  ΗΡΑΚΛΕΙΟ"</f>
        <v>ΠΡΑΞΙΤΕΛΟΥΣ 3  ΗΡΑΚΛΕΙΟ</v>
      </c>
      <c r="I250">
        <v>71409</v>
      </c>
      <c r="J250">
        <v>2810232681</v>
      </c>
      <c r="K250">
        <v>6974775936</v>
      </c>
      <c r="L250">
        <v>2810238826</v>
      </c>
      <c r="M250" t="s">
        <v>962</v>
      </c>
      <c r="N250" t="s">
        <v>204</v>
      </c>
      <c r="O250" t="s">
        <v>205</v>
      </c>
      <c r="P250" t="s">
        <v>232</v>
      </c>
      <c r="Q250" t="s">
        <v>233</v>
      </c>
      <c r="R250" t="s">
        <v>57</v>
      </c>
      <c r="S250">
        <v>6</v>
      </c>
      <c r="T250">
        <v>262</v>
      </c>
      <c r="U250" s="1">
        <v>38629</v>
      </c>
      <c r="V250" t="s">
        <v>123</v>
      </c>
      <c r="W250" t="s">
        <v>124</v>
      </c>
      <c r="X250" t="s">
        <v>58</v>
      </c>
      <c r="Y250">
        <v>20</v>
      </c>
      <c r="Z250" t="s">
        <v>59</v>
      </c>
      <c r="AA250" t="s">
        <v>59</v>
      </c>
      <c r="AB250" t="s">
        <v>59</v>
      </c>
      <c r="AC250" t="s">
        <v>59</v>
      </c>
      <c r="AD250" t="s">
        <v>59</v>
      </c>
      <c r="AF250" s="1">
        <v>38631</v>
      </c>
      <c r="AG250" t="s">
        <v>125</v>
      </c>
      <c r="AH250" t="s">
        <v>126</v>
      </c>
      <c r="AI250" t="str">
        <f>"1702010"</f>
        <v>1702010</v>
      </c>
      <c r="AJ250" t="s">
        <v>604</v>
      </c>
      <c r="AK250">
        <v>2891022228</v>
      </c>
      <c r="AL250" t="s">
        <v>605</v>
      </c>
      <c r="AM250" t="s">
        <v>78</v>
      </c>
      <c r="AN250" t="s">
        <v>276</v>
      </c>
      <c r="AO250" t="s">
        <v>490</v>
      </c>
      <c r="AP250" t="s">
        <v>490</v>
      </c>
      <c r="AQ250">
        <v>15</v>
      </c>
      <c r="AR250" t="s">
        <v>123</v>
      </c>
      <c r="AS250" t="s">
        <v>124</v>
      </c>
      <c r="AT250" t="s">
        <v>58</v>
      </c>
      <c r="AU250" t="s">
        <v>68</v>
      </c>
      <c r="AV250" t="s">
        <v>69</v>
      </c>
      <c r="AW250" s="1">
        <v>27087</v>
      </c>
      <c r="AX250">
        <v>2</v>
      </c>
    </row>
    <row r="251" spans="1:50">
      <c r="A251">
        <v>145678</v>
      </c>
      <c r="B251" t="str">
        <f>"048034409"</f>
        <v>048034409</v>
      </c>
      <c r="C251" t="s">
        <v>50</v>
      </c>
      <c r="D251" t="s">
        <v>963</v>
      </c>
      <c r="E251" t="s">
        <v>964</v>
      </c>
      <c r="F251" t="s">
        <v>965</v>
      </c>
      <c r="G251" t="s">
        <v>52</v>
      </c>
      <c r="H251" t="str">
        <f>" "</f>
        <v xml:space="preserve"> </v>
      </c>
      <c r="N251" t="s">
        <v>146</v>
      </c>
      <c r="O251" t="s">
        <v>147</v>
      </c>
      <c r="R251" t="s">
        <v>57</v>
      </c>
      <c r="S251">
        <v>16</v>
      </c>
      <c r="T251">
        <v>237</v>
      </c>
      <c r="U251" s="1">
        <v>31293</v>
      </c>
      <c r="V251" t="s">
        <v>123</v>
      </c>
      <c r="W251" t="s">
        <v>124</v>
      </c>
      <c r="X251" t="s">
        <v>58</v>
      </c>
      <c r="Y251">
        <v>18</v>
      </c>
      <c r="Z251" t="s">
        <v>59</v>
      </c>
      <c r="AA251" t="s">
        <v>59</v>
      </c>
      <c r="AB251" t="s">
        <v>59</v>
      </c>
      <c r="AC251" t="s">
        <v>59</v>
      </c>
      <c r="AD251" t="s">
        <v>59</v>
      </c>
      <c r="AF251" s="1">
        <v>31302</v>
      </c>
      <c r="AG251" t="s">
        <v>148</v>
      </c>
      <c r="AH251" t="s">
        <v>149</v>
      </c>
      <c r="AI251" t="str">
        <f>"1751040"</f>
        <v>1751040</v>
      </c>
      <c r="AJ251" t="s">
        <v>178</v>
      </c>
      <c r="AK251">
        <v>2810252495</v>
      </c>
      <c r="AL251" t="s">
        <v>179</v>
      </c>
      <c r="AM251" t="s">
        <v>78</v>
      </c>
      <c r="AN251" t="s">
        <v>78</v>
      </c>
      <c r="AO251" t="s">
        <v>78</v>
      </c>
      <c r="AP251" t="s">
        <v>141</v>
      </c>
      <c r="AQ251">
        <v>3</v>
      </c>
      <c r="AR251" t="s">
        <v>123</v>
      </c>
      <c r="AS251" t="s">
        <v>124</v>
      </c>
      <c r="AT251" t="s">
        <v>58</v>
      </c>
      <c r="AU251" t="s">
        <v>68</v>
      </c>
      <c r="AV251" t="s">
        <v>69</v>
      </c>
      <c r="AW251" s="1">
        <v>21567</v>
      </c>
      <c r="AX251">
        <v>2</v>
      </c>
    </row>
    <row r="252" spans="1:50">
      <c r="A252">
        <v>213060</v>
      </c>
      <c r="B252" t="str">
        <f>"053933538"</f>
        <v>053933538</v>
      </c>
      <c r="C252" t="s">
        <v>50</v>
      </c>
      <c r="D252" t="s">
        <v>966</v>
      </c>
      <c r="E252" t="s">
        <v>237</v>
      </c>
      <c r="F252" t="s">
        <v>965</v>
      </c>
      <c r="G252" t="s">
        <v>513</v>
      </c>
      <c r="H252" t="str">
        <f>"ΜΑΝΩΛΗ ΑΝΔΡΟΝΙΚΟΥ 20 ΓΙΟΦΥΡΟ ΗΡΑΚΛΕΙΟΥ"</f>
        <v>ΜΑΝΩΛΗ ΑΝΔΡΟΝΙΚΟΥ 20 ΓΙΟΦΥΡΟ ΗΡΑΚΛΕΙΟΥ</v>
      </c>
      <c r="I252">
        <v>71304</v>
      </c>
      <c r="J252">
        <v>2810316284</v>
      </c>
      <c r="K252">
        <v>6972973292</v>
      </c>
      <c r="M252" t="s">
        <v>967</v>
      </c>
      <c r="N252" t="s">
        <v>199</v>
      </c>
      <c r="O252" t="s">
        <v>200</v>
      </c>
      <c r="P252" t="s">
        <v>204</v>
      </c>
      <c r="Q252" t="s">
        <v>205</v>
      </c>
      <c r="R252" t="s">
        <v>57</v>
      </c>
      <c r="S252">
        <v>7</v>
      </c>
      <c r="T252">
        <v>231</v>
      </c>
      <c r="U252" s="1">
        <v>38960</v>
      </c>
      <c r="V252" t="s">
        <v>123</v>
      </c>
      <c r="W252" t="s">
        <v>124</v>
      </c>
      <c r="X252" t="s">
        <v>58</v>
      </c>
      <c r="Y252">
        <v>20</v>
      </c>
      <c r="Z252" t="s">
        <v>59</v>
      </c>
      <c r="AA252" t="s">
        <v>59</v>
      </c>
      <c r="AB252" t="s">
        <v>59</v>
      </c>
      <c r="AC252" t="s">
        <v>59</v>
      </c>
      <c r="AD252" t="s">
        <v>59</v>
      </c>
      <c r="AF252" s="1">
        <v>38961</v>
      </c>
      <c r="AG252" t="s">
        <v>125</v>
      </c>
      <c r="AH252" t="s">
        <v>126</v>
      </c>
      <c r="AI252" t="str">
        <f>"1701057"</f>
        <v>1701057</v>
      </c>
      <c r="AJ252" t="s">
        <v>379</v>
      </c>
      <c r="AK252">
        <v>2810234488</v>
      </c>
      <c r="AL252" t="s">
        <v>380</v>
      </c>
      <c r="AM252" t="s">
        <v>78</v>
      </c>
      <c r="AN252" t="s">
        <v>78</v>
      </c>
      <c r="AO252" t="s">
        <v>78</v>
      </c>
      <c r="AP252" t="s">
        <v>163</v>
      </c>
      <c r="AQ252">
        <v>8</v>
      </c>
      <c r="AR252" t="s">
        <v>123</v>
      </c>
      <c r="AS252" t="s">
        <v>124</v>
      </c>
      <c r="AT252" t="s">
        <v>58</v>
      </c>
      <c r="AU252" t="s">
        <v>68</v>
      </c>
      <c r="AV252" t="s">
        <v>69</v>
      </c>
      <c r="AW252" s="1">
        <v>25061</v>
      </c>
      <c r="AX252">
        <v>2</v>
      </c>
    </row>
    <row r="253" spans="1:50">
      <c r="A253">
        <v>216959</v>
      </c>
      <c r="B253" t="str">
        <f>"044830226"</f>
        <v>044830226</v>
      </c>
      <c r="C253" t="s">
        <v>105</v>
      </c>
      <c r="D253" t="s">
        <v>968</v>
      </c>
      <c r="E253" t="s">
        <v>166</v>
      </c>
      <c r="F253" t="s">
        <v>53</v>
      </c>
      <c r="G253" t="s">
        <v>250</v>
      </c>
      <c r="H253" t="str">
        <f>"ΗΛΕΙΑΣ 28 ΞΕΡΟΠΟΤΑΜΟΣ"</f>
        <v>ΗΛΕΙΑΣ 28 ΞΕΡΟΠΟΤΑΜΟΣ</v>
      </c>
      <c r="I253">
        <v>71303</v>
      </c>
      <c r="J253">
        <v>2810263558</v>
      </c>
      <c r="K253">
        <v>6936510827</v>
      </c>
      <c r="L253">
        <v>2810286010</v>
      </c>
      <c r="M253" t="s">
        <v>969</v>
      </c>
      <c r="N253" t="s">
        <v>337</v>
      </c>
      <c r="O253" t="s">
        <v>338</v>
      </c>
      <c r="R253" t="s">
        <v>57</v>
      </c>
      <c r="S253">
        <v>8</v>
      </c>
      <c r="T253">
        <v>298</v>
      </c>
      <c r="U253" s="1">
        <v>38985</v>
      </c>
      <c r="V253" t="s">
        <v>123</v>
      </c>
      <c r="W253" t="s">
        <v>124</v>
      </c>
      <c r="X253" t="s">
        <v>58</v>
      </c>
      <c r="Y253">
        <v>20</v>
      </c>
      <c r="Z253" t="s">
        <v>59</v>
      </c>
      <c r="AA253" t="s">
        <v>59</v>
      </c>
      <c r="AB253" t="s">
        <v>59</v>
      </c>
      <c r="AC253" t="s">
        <v>59</v>
      </c>
      <c r="AD253" t="s">
        <v>59</v>
      </c>
      <c r="AF253" s="1">
        <v>38985</v>
      </c>
      <c r="AG253" t="s">
        <v>125</v>
      </c>
      <c r="AH253" t="s">
        <v>294</v>
      </c>
      <c r="AI253" t="str">
        <f>"1701015"</f>
        <v>1701015</v>
      </c>
      <c r="AJ253" t="s">
        <v>295</v>
      </c>
      <c r="AK253">
        <v>2810761696</v>
      </c>
      <c r="AL253" t="s">
        <v>296</v>
      </c>
      <c r="AM253" t="s">
        <v>78</v>
      </c>
      <c r="AN253" t="s">
        <v>219</v>
      </c>
      <c r="AO253" t="s">
        <v>297</v>
      </c>
      <c r="AP253" t="s">
        <v>297</v>
      </c>
      <c r="AQ253">
        <v>10</v>
      </c>
      <c r="AR253" t="s">
        <v>123</v>
      </c>
      <c r="AS253" t="s">
        <v>124</v>
      </c>
      <c r="AT253" t="s">
        <v>58</v>
      </c>
      <c r="AU253" t="s">
        <v>68</v>
      </c>
      <c r="AV253" t="s">
        <v>69</v>
      </c>
      <c r="AW253" s="1">
        <v>24260</v>
      </c>
      <c r="AX253">
        <v>2</v>
      </c>
    </row>
    <row r="254" spans="1:50">
      <c r="A254">
        <v>193804</v>
      </c>
      <c r="B254" t="str">
        <f>"038824412"</f>
        <v>038824412</v>
      </c>
      <c r="C254" t="s">
        <v>50</v>
      </c>
      <c r="D254" t="s">
        <v>970</v>
      </c>
      <c r="E254" t="s">
        <v>727</v>
      </c>
      <c r="F254" t="s">
        <v>166</v>
      </c>
      <c r="G254" t="s">
        <v>112</v>
      </c>
      <c r="H254" t="str">
        <f>"ΔΕΛΗΜΑΡΚΟΥ 11 ΗΡΑΚΛΕΙΟ"</f>
        <v>ΔΕΛΗΜΑΡΚΟΥ 11 ΗΡΑΚΛΕΙΟ</v>
      </c>
      <c r="I254">
        <v>71202</v>
      </c>
      <c r="J254">
        <v>2810280904</v>
      </c>
      <c r="K254">
        <v>6937073114</v>
      </c>
      <c r="M254" t="s">
        <v>971</v>
      </c>
      <c r="N254" t="s">
        <v>478</v>
      </c>
      <c r="O254" t="s">
        <v>479</v>
      </c>
      <c r="R254" t="s">
        <v>57</v>
      </c>
      <c r="S254">
        <v>10</v>
      </c>
      <c r="T254">
        <v>193</v>
      </c>
      <c r="U254" s="1">
        <v>37497</v>
      </c>
      <c r="V254" t="s">
        <v>123</v>
      </c>
      <c r="W254" t="s">
        <v>124</v>
      </c>
      <c r="X254" t="s">
        <v>58</v>
      </c>
      <c r="Y254">
        <v>18</v>
      </c>
      <c r="Z254" t="s">
        <v>59</v>
      </c>
      <c r="AA254" t="s">
        <v>59</v>
      </c>
      <c r="AB254" t="s">
        <v>59</v>
      </c>
      <c r="AC254" t="s">
        <v>59</v>
      </c>
      <c r="AD254" t="s">
        <v>59</v>
      </c>
      <c r="AF254" s="1">
        <v>37501</v>
      </c>
      <c r="AG254" t="s">
        <v>125</v>
      </c>
      <c r="AH254" t="s">
        <v>126</v>
      </c>
      <c r="AI254" t="str">
        <f>"1727010"</f>
        <v>1727010</v>
      </c>
      <c r="AJ254" t="s">
        <v>618</v>
      </c>
      <c r="AK254">
        <v>2810229231</v>
      </c>
      <c r="AL254" t="s">
        <v>619</v>
      </c>
      <c r="AM254" t="s">
        <v>78</v>
      </c>
      <c r="AN254" t="s">
        <v>78</v>
      </c>
      <c r="AO254" t="s">
        <v>286</v>
      </c>
      <c r="AP254" t="s">
        <v>286</v>
      </c>
      <c r="AQ254">
        <v>12</v>
      </c>
      <c r="AR254" t="s">
        <v>123</v>
      </c>
      <c r="AS254" t="s">
        <v>124</v>
      </c>
      <c r="AT254" t="s">
        <v>58</v>
      </c>
      <c r="AU254" t="s">
        <v>68</v>
      </c>
      <c r="AV254" t="s">
        <v>69</v>
      </c>
      <c r="AW254" s="1">
        <v>23027</v>
      </c>
      <c r="AX254">
        <v>2</v>
      </c>
    </row>
    <row r="255" spans="1:50">
      <c r="A255">
        <v>701380</v>
      </c>
      <c r="B255" t="str">
        <f>"123676560"</f>
        <v>123676560</v>
      </c>
      <c r="C255" t="s">
        <v>105</v>
      </c>
      <c r="D255" t="s">
        <v>972</v>
      </c>
      <c r="E255" t="s">
        <v>53</v>
      </c>
      <c r="F255" t="s">
        <v>309</v>
      </c>
      <c r="G255" t="s">
        <v>52</v>
      </c>
      <c r="H255" t="str">
        <f>"Σήφακα 37 Ατσαλένιο"</f>
        <v>Σήφακα 37 Ατσαλένιο</v>
      </c>
      <c r="I255">
        <v>71306</v>
      </c>
      <c r="J255">
        <v>2811117493</v>
      </c>
      <c r="K255">
        <v>6974723085</v>
      </c>
      <c r="L255">
        <v>2892031281</v>
      </c>
      <c r="M255" t="s">
        <v>973</v>
      </c>
      <c r="N255" t="s">
        <v>292</v>
      </c>
      <c r="O255" t="s">
        <v>293</v>
      </c>
      <c r="R255" t="s">
        <v>57</v>
      </c>
      <c r="S255">
        <v>6</v>
      </c>
      <c r="T255">
        <v>772</v>
      </c>
      <c r="U255" s="1">
        <v>40413</v>
      </c>
      <c r="V255" t="s">
        <v>123</v>
      </c>
      <c r="W255" t="s">
        <v>124</v>
      </c>
      <c r="X255" t="s">
        <v>58</v>
      </c>
      <c r="Y255">
        <v>21</v>
      </c>
      <c r="Z255" t="s">
        <v>59</v>
      </c>
      <c r="AA255" t="s">
        <v>59</v>
      </c>
      <c r="AB255" t="s">
        <v>59</v>
      </c>
      <c r="AC255" t="s">
        <v>59</v>
      </c>
      <c r="AD255" t="s">
        <v>59</v>
      </c>
      <c r="AF255" s="1">
        <v>40414</v>
      </c>
      <c r="AG255" t="s">
        <v>148</v>
      </c>
      <c r="AH255" t="s">
        <v>149</v>
      </c>
      <c r="AI255" t="str">
        <f>"1778010"</f>
        <v>1778010</v>
      </c>
      <c r="AJ255" t="s">
        <v>672</v>
      </c>
      <c r="AK255">
        <v>2810822455</v>
      </c>
      <c r="AL255" t="s">
        <v>673</v>
      </c>
      <c r="AM255" t="s">
        <v>78</v>
      </c>
      <c r="AN255" t="s">
        <v>129</v>
      </c>
      <c r="AO255" t="s">
        <v>130</v>
      </c>
      <c r="AP255" t="s">
        <v>130</v>
      </c>
      <c r="AQ255">
        <v>36</v>
      </c>
      <c r="AR255" t="s">
        <v>123</v>
      </c>
      <c r="AS255" t="s">
        <v>124</v>
      </c>
      <c r="AT255" t="s">
        <v>58</v>
      </c>
      <c r="AU255" t="s">
        <v>68</v>
      </c>
      <c r="AV255" t="s">
        <v>69</v>
      </c>
      <c r="AW255" s="1">
        <v>29914</v>
      </c>
      <c r="AX255">
        <v>2</v>
      </c>
    </row>
    <row r="256" spans="1:50">
      <c r="A256">
        <v>700035</v>
      </c>
      <c r="B256" t="str">
        <f>"132300020"</f>
        <v>132300020</v>
      </c>
      <c r="C256" t="s">
        <v>50</v>
      </c>
      <c r="D256" t="s">
        <v>974</v>
      </c>
      <c r="E256" t="s">
        <v>103</v>
      </c>
      <c r="F256" t="s">
        <v>975</v>
      </c>
      <c r="G256" t="s">
        <v>801</v>
      </c>
      <c r="H256" t="str">
        <f>"ΑΝΑΣΤΑΣΕΩΣ 16 ΗΡΑΚΛΕΙΟ"</f>
        <v>ΑΝΑΣΤΑΣΕΩΣ 16 ΗΡΑΚΛΕΙΟ</v>
      </c>
      <c r="I256">
        <v>71307</v>
      </c>
      <c r="J256">
        <v>2810235068</v>
      </c>
      <c r="K256">
        <v>6974602527</v>
      </c>
      <c r="M256" t="s">
        <v>976</v>
      </c>
      <c r="N256" t="s">
        <v>146</v>
      </c>
      <c r="O256" t="s">
        <v>147</v>
      </c>
      <c r="R256" t="s">
        <v>57</v>
      </c>
      <c r="S256">
        <v>7</v>
      </c>
      <c r="T256">
        <v>772</v>
      </c>
      <c r="U256" s="1">
        <v>40413</v>
      </c>
      <c r="V256" t="s">
        <v>123</v>
      </c>
      <c r="W256" t="s">
        <v>124</v>
      </c>
      <c r="X256" t="s">
        <v>58</v>
      </c>
      <c r="Y256">
        <v>21</v>
      </c>
      <c r="Z256" t="s">
        <v>59</v>
      </c>
      <c r="AA256" t="s">
        <v>59</v>
      </c>
      <c r="AB256" t="s">
        <v>59</v>
      </c>
      <c r="AC256" t="s">
        <v>59</v>
      </c>
      <c r="AD256" t="s">
        <v>59</v>
      </c>
      <c r="AF256" s="1">
        <v>40413</v>
      </c>
      <c r="AG256" t="s">
        <v>125</v>
      </c>
      <c r="AH256" t="s">
        <v>126</v>
      </c>
      <c r="AI256" t="str">
        <f>"1712010"</f>
        <v>1712010</v>
      </c>
      <c r="AJ256" t="s">
        <v>525</v>
      </c>
      <c r="AK256">
        <v>2897061328</v>
      </c>
      <c r="AL256" t="s">
        <v>526</v>
      </c>
      <c r="AM256" t="s">
        <v>78</v>
      </c>
      <c r="AN256" t="s">
        <v>219</v>
      </c>
      <c r="AO256" t="s">
        <v>527</v>
      </c>
      <c r="AP256" t="s">
        <v>528</v>
      </c>
      <c r="AQ256">
        <v>19</v>
      </c>
      <c r="AR256" t="s">
        <v>123</v>
      </c>
      <c r="AS256" t="s">
        <v>124</v>
      </c>
      <c r="AT256" t="s">
        <v>58</v>
      </c>
      <c r="AU256" t="s">
        <v>68</v>
      </c>
      <c r="AV256" t="s">
        <v>69</v>
      </c>
      <c r="AW256" s="1">
        <v>28917</v>
      </c>
      <c r="AX256">
        <v>2</v>
      </c>
    </row>
    <row r="257" spans="1:50">
      <c r="B257" t="str">
        <f>"103520038"</f>
        <v>103520038</v>
      </c>
      <c r="C257" t="s">
        <v>50</v>
      </c>
      <c r="D257" t="s">
        <v>974</v>
      </c>
      <c r="E257" t="s">
        <v>52</v>
      </c>
      <c r="F257" t="s">
        <v>166</v>
      </c>
      <c r="G257" t="s">
        <v>181</v>
      </c>
      <c r="H257" t="str">
        <f>"ΑΡΙΑΔΝΗΣ 31 ΗΡΑΚΛΕΙΟ"</f>
        <v>ΑΡΙΑΔΝΗΣ 31 ΗΡΑΚΛΕΙΟ</v>
      </c>
      <c r="I257">
        <v>71202</v>
      </c>
      <c r="J257">
        <v>2810289566</v>
      </c>
      <c r="K257">
        <v>6974905937</v>
      </c>
      <c r="N257" t="s">
        <v>146</v>
      </c>
      <c r="O257" t="s">
        <v>147</v>
      </c>
      <c r="R257" t="s">
        <v>159</v>
      </c>
      <c r="S257">
        <v>4</v>
      </c>
      <c r="T257" t="s">
        <v>160</v>
      </c>
      <c r="U257" s="1">
        <v>43364</v>
      </c>
      <c r="V257" t="s">
        <v>123</v>
      </c>
      <c r="W257" t="s">
        <v>124</v>
      </c>
      <c r="X257" t="s">
        <v>58</v>
      </c>
      <c r="Y257">
        <v>21</v>
      </c>
      <c r="Z257" t="s">
        <v>59</v>
      </c>
      <c r="AA257" t="s">
        <v>59</v>
      </c>
      <c r="AB257" t="s">
        <v>59</v>
      </c>
      <c r="AC257" t="s">
        <v>59</v>
      </c>
      <c r="AD257" t="s">
        <v>59</v>
      </c>
      <c r="AF257" s="1">
        <v>43367</v>
      </c>
      <c r="AG257" t="s">
        <v>148</v>
      </c>
      <c r="AH257" t="s">
        <v>149</v>
      </c>
      <c r="AI257" t="str">
        <f>"1758010"</f>
        <v>1758010</v>
      </c>
      <c r="AJ257" t="s">
        <v>575</v>
      </c>
      <c r="AK257">
        <v>2893022145</v>
      </c>
      <c r="AL257" t="s">
        <v>576</v>
      </c>
      <c r="AM257" t="s">
        <v>78</v>
      </c>
      <c r="AN257" t="s">
        <v>424</v>
      </c>
      <c r="AO257" t="s">
        <v>577</v>
      </c>
      <c r="AP257" t="s">
        <v>578</v>
      </c>
      <c r="AQ257">
        <v>24</v>
      </c>
      <c r="AR257" t="s">
        <v>123</v>
      </c>
      <c r="AS257" t="s">
        <v>124</v>
      </c>
      <c r="AT257" t="s">
        <v>58</v>
      </c>
      <c r="AU257" t="s">
        <v>164</v>
      </c>
      <c r="AV257" t="s">
        <v>132</v>
      </c>
      <c r="AW257" s="1">
        <v>29710</v>
      </c>
      <c r="AX257">
        <v>2</v>
      </c>
    </row>
    <row r="258" spans="1:50">
      <c r="A258">
        <v>168891</v>
      </c>
      <c r="B258" t="str">
        <f>"033230830"</f>
        <v>033230830</v>
      </c>
      <c r="C258" t="s">
        <v>50</v>
      </c>
      <c r="D258" t="s">
        <v>974</v>
      </c>
      <c r="E258" t="s">
        <v>801</v>
      </c>
      <c r="F258" t="s">
        <v>166</v>
      </c>
      <c r="G258" t="s">
        <v>507</v>
      </c>
      <c r="H258" t="str">
        <f>" "</f>
        <v xml:space="preserve"> </v>
      </c>
      <c r="M258" t="s">
        <v>977</v>
      </c>
      <c r="N258" t="s">
        <v>204</v>
      </c>
      <c r="O258" t="s">
        <v>205</v>
      </c>
      <c r="P258" t="s">
        <v>232</v>
      </c>
      <c r="Q258" t="s">
        <v>233</v>
      </c>
      <c r="R258" t="s">
        <v>57</v>
      </c>
      <c r="S258">
        <v>15</v>
      </c>
      <c r="T258">
        <v>159</v>
      </c>
      <c r="U258" s="1">
        <v>34582</v>
      </c>
      <c r="V258" t="s">
        <v>123</v>
      </c>
      <c r="W258" t="s">
        <v>124</v>
      </c>
      <c r="X258" t="s">
        <v>58</v>
      </c>
      <c r="Y258">
        <v>18</v>
      </c>
      <c r="Z258" t="s">
        <v>59</v>
      </c>
      <c r="AA258" t="s">
        <v>59</v>
      </c>
      <c r="AB258" t="s">
        <v>59</v>
      </c>
      <c r="AC258" t="s">
        <v>59</v>
      </c>
      <c r="AD258" t="s">
        <v>59</v>
      </c>
      <c r="AF258" s="1">
        <v>34583</v>
      </c>
      <c r="AG258" t="s">
        <v>125</v>
      </c>
      <c r="AH258" t="s">
        <v>126</v>
      </c>
      <c r="AI258" t="str">
        <f>"1701040"</f>
        <v>1701040</v>
      </c>
      <c r="AJ258" t="s">
        <v>748</v>
      </c>
      <c r="AK258">
        <v>2810252459</v>
      </c>
      <c r="AL258" t="s">
        <v>749</v>
      </c>
      <c r="AM258" t="s">
        <v>78</v>
      </c>
      <c r="AN258" t="s">
        <v>78</v>
      </c>
      <c r="AO258" t="s">
        <v>78</v>
      </c>
      <c r="AP258" t="s">
        <v>141</v>
      </c>
      <c r="AQ258">
        <v>3</v>
      </c>
      <c r="AR258" t="s">
        <v>123</v>
      </c>
      <c r="AS258" t="s">
        <v>124</v>
      </c>
      <c r="AT258" t="s">
        <v>58</v>
      </c>
      <c r="AU258" t="s">
        <v>68</v>
      </c>
      <c r="AV258" t="s">
        <v>69</v>
      </c>
      <c r="AW258" s="1">
        <v>23438</v>
      </c>
      <c r="AX258">
        <v>2</v>
      </c>
    </row>
    <row r="259" spans="1:50">
      <c r="A259">
        <v>223608</v>
      </c>
      <c r="B259" t="str">
        <f>"110319892"</f>
        <v>110319892</v>
      </c>
      <c r="C259" t="s">
        <v>105</v>
      </c>
      <c r="D259" t="s">
        <v>978</v>
      </c>
      <c r="E259" t="s">
        <v>53</v>
      </c>
      <c r="F259" t="s">
        <v>383</v>
      </c>
      <c r="G259" t="s">
        <v>237</v>
      </c>
      <c r="H259" t="str">
        <f>" "</f>
        <v xml:space="preserve"> </v>
      </c>
      <c r="J259">
        <v>2810317068</v>
      </c>
      <c r="K259">
        <v>6938387584</v>
      </c>
      <c r="N259" t="s">
        <v>199</v>
      </c>
      <c r="O259" t="s">
        <v>200</v>
      </c>
      <c r="R259" t="s">
        <v>57</v>
      </c>
      <c r="S259">
        <v>7</v>
      </c>
      <c r="T259">
        <v>775</v>
      </c>
      <c r="U259" s="1">
        <v>39680</v>
      </c>
      <c r="V259" t="s">
        <v>123</v>
      </c>
      <c r="W259" t="s">
        <v>124</v>
      </c>
      <c r="X259" t="s">
        <v>58</v>
      </c>
      <c r="Y259">
        <v>21</v>
      </c>
      <c r="Z259" t="s">
        <v>59</v>
      </c>
      <c r="AA259" t="s">
        <v>59</v>
      </c>
      <c r="AB259" t="s">
        <v>59</v>
      </c>
      <c r="AC259" t="s">
        <v>59</v>
      </c>
      <c r="AD259" t="s">
        <v>59</v>
      </c>
      <c r="AF259" s="1">
        <v>39681</v>
      </c>
      <c r="AG259" t="s">
        <v>148</v>
      </c>
      <c r="AH259" t="s">
        <v>149</v>
      </c>
      <c r="AI259" t="str">
        <f>"1751020"</f>
        <v>1751020</v>
      </c>
      <c r="AJ259" t="s">
        <v>532</v>
      </c>
      <c r="AK259">
        <v>2810372732</v>
      </c>
      <c r="AL259" t="s">
        <v>533</v>
      </c>
      <c r="AM259" t="s">
        <v>78</v>
      </c>
      <c r="AN259" t="s">
        <v>78</v>
      </c>
      <c r="AO259" t="s">
        <v>78</v>
      </c>
      <c r="AP259" t="s">
        <v>163</v>
      </c>
      <c r="AQ259">
        <v>3</v>
      </c>
      <c r="AR259" t="s">
        <v>123</v>
      </c>
      <c r="AS259" t="s">
        <v>124</v>
      </c>
      <c r="AT259" t="s">
        <v>58</v>
      </c>
      <c r="AU259" t="s">
        <v>68</v>
      </c>
      <c r="AV259" t="s">
        <v>69</v>
      </c>
      <c r="AW259" s="1">
        <v>28379</v>
      </c>
      <c r="AX259">
        <v>2</v>
      </c>
    </row>
    <row r="260" spans="1:50">
      <c r="A260">
        <v>701501</v>
      </c>
      <c r="B260" t="str">
        <f>"302157555"</f>
        <v>302157555</v>
      </c>
      <c r="C260" t="s">
        <v>105</v>
      </c>
      <c r="D260" t="s">
        <v>978</v>
      </c>
      <c r="E260" t="s">
        <v>979</v>
      </c>
      <c r="F260" t="s">
        <v>72</v>
      </c>
      <c r="G260" t="s">
        <v>980</v>
      </c>
      <c r="H260" t="str">
        <f>"ΒΥΖΑΝΤΙΟΥ 22Β ΠΑΛΛΗΝΗ"</f>
        <v>ΒΥΖΑΝΤΙΟΥ 22Β ΠΑΛΛΗΝΗ</v>
      </c>
      <c r="I260">
        <v>15351</v>
      </c>
      <c r="J260">
        <v>2106667470</v>
      </c>
      <c r="K260">
        <v>6932401001</v>
      </c>
      <c r="M260" t="s">
        <v>981</v>
      </c>
      <c r="N260" t="s">
        <v>157</v>
      </c>
      <c r="O260" t="s">
        <v>158</v>
      </c>
      <c r="P260" t="s">
        <v>146</v>
      </c>
      <c r="Q260" t="s">
        <v>147</v>
      </c>
      <c r="R260" t="s">
        <v>57</v>
      </c>
      <c r="S260">
        <v>9</v>
      </c>
      <c r="T260">
        <v>772</v>
      </c>
      <c r="U260" s="1">
        <v>40413</v>
      </c>
      <c r="V260" t="s">
        <v>123</v>
      </c>
      <c r="W260" t="s">
        <v>124</v>
      </c>
      <c r="X260" t="s">
        <v>58</v>
      </c>
      <c r="Y260">
        <v>21</v>
      </c>
      <c r="Z260" t="s">
        <v>59</v>
      </c>
      <c r="AA260" t="s">
        <v>59</v>
      </c>
      <c r="AB260" t="s">
        <v>59</v>
      </c>
      <c r="AC260" t="s">
        <v>59</v>
      </c>
      <c r="AD260" t="s">
        <v>59</v>
      </c>
      <c r="AF260" s="1">
        <v>40414</v>
      </c>
      <c r="AG260" t="s">
        <v>125</v>
      </c>
      <c r="AH260" t="s">
        <v>126</v>
      </c>
      <c r="AI260" t="str">
        <f>"1711010"</f>
        <v>1711010</v>
      </c>
      <c r="AJ260" t="s">
        <v>695</v>
      </c>
      <c r="AK260">
        <v>2810741301</v>
      </c>
      <c r="AL260" t="s">
        <v>696</v>
      </c>
      <c r="AM260" t="s">
        <v>78</v>
      </c>
      <c r="AN260" t="s">
        <v>424</v>
      </c>
      <c r="AO260" t="s">
        <v>428</v>
      </c>
      <c r="AP260" t="s">
        <v>429</v>
      </c>
      <c r="AQ260">
        <v>14</v>
      </c>
      <c r="AR260" t="s">
        <v>123</v>
      </c>
      <c r="AS260" t="s">
        <v>124</v>
      </c>
      <c r="AT260" t="s">
        <v>58</v>
      </c>
      <c r="AU260" t="s">
        <v>68</v>
      </c>
      <c r="AV260" t="s">
        <v>69</v>
      </c>
      <c r="AW260" s="1">
        <v>28990</v>
      </c>
      <c r="AX260">
        <v>2</v>
      </c>
    </row>
    <row r="261" spans="1:50">
      <c r="A261">
        <v>183102</v>
      </c>
      <c r="B261" t="str">
        <f>"039315480"</f>
        <v>039315480</v>
      </c>
      <c r="C261" t="s">
        <v>105</v>
      </c>
      <c r="D261" t="s">
        <v>982</v>
      </c>
      <c r="E261" t="s">
        <v>450</v>
      </c>
      <c r="F261" t="s">
        <v>983</v>
      </c>
      <c r="G261" t="s">
        <v>494</v>
      </c>
      <c r="H261" t="str">
        <f>" "</f>
        <v xml:space="preserve"> </v>
      </c>
      <c r="N261" t="s">
        <v>204</v>
      </c>
      <c r="O261" t="s">
        <v>205</v>
      </c>
      <c r="R261" t="s">
        <v>57</v>
      </c>
      <c r="S261">
        <v>11</v>
      </c>
      <c r="T261" t="s">
        <v>984</v>
      </c>
      <c r="U261" s="1">
        <v>36714</v>
      </c>
      <c r="V261" t="s">
        <v>123</v>
      </c>
      <c r="W261" t="s">
        <v>124</v>
      </c>
      <c r="X261" t="s">
        <v>58</v>
      </c>
      <c r="Y261">
        <v>20</v>
      </c>
      <c r="Z261" t="s">
        <v>59</v>
      </c>
      <c r="AA261" t="s">
        <v>59</v>
      </c>
      <c r="AB261" t="s">
        <v>59</v>
      </c>
      <c r="AC261" t="s">
        <v>59</v>
      </c>
      <c r="AD261" t="s">
        <v>59</v>
      </c>
      <c r="AF261" s="1">
        <v>36714</v>
      </c>
      <c r="AG261" t="s">
        <v>137</v>
      </c>
      <c r="AH261" t="s">
        <v>138</v>
      </c>
      <c r="AI261" t="str">
        <f>"1740070"</f>
        <v>1740070</v>
      </c>
      <c r="AJ261" t="s">
        <v>206</v>
      </c>
      <c r="AK261">
        <v>2810324880</v>
      </c>
      <c r="AL261" t="s">
        <v>207</v>
      </c>
      <c r="AM261" t="s">
        <v>78</v>
      </c>
      <c r="AN261" t="s">
        <v>78</v>
      </c>
      <c r="AO261" t="s">
        <v>78</v>
      </c>
      <c r="AP261" t="s">
        <v>163</v>
      </c>
      <c r="AQ261">
        <v>9</v>
      </c>
      <c r="AR261" t="s">
        <v>123</v>
      </c>
      <c r="AS261" t="s">
        <v>124</v>
      </c>
      <c r="AT261" t="s">
        <v>58</v>
      </c>
      <c r="AU261" t="s">
        <v>68</v>
      </c>
      <c r="AV261" t="s">
        <v>69</v>
      </c>
      <c r="AW261" s="1">
        <v>24240</v>
      </c>
      <c r="AX261">
        <v>2</v>
      </c>
    </row>
    <row r="262" spans="1:50">
      <c r="A262">
        <v>173260</v>
      </c>
      <c r="B262" t="str">
        <f>"043811017"</f>
        <v>043811017</v>
      </c>
      <c r="C262" t="s">
        <v>50</v>
      </c>
      <c r="D262" t="s">
        <v>985</v>
      </c>
      <c r="E262" t="s">
        <v>237</v>
      </c>
      <c r="F262" t="s">
        <v>53</v>
      </c>
      <c r="G262" t="s">
        <v>73</v>
      </c>
      <c r="H262" t="str">
        <f>"ΕΛΙΚΩΝΙΑΔΩΝ ΜΟΥΣΩΝ 6  ΒΑΣΙΛΕΙΕΣ"</f>
        <v>ΕΛΙΚΩΝΙΑΔΩΝ ΜΟΥΣΩΝ 6  ΒΑΣΙΛΕΙΕΣ</v>
      </c>
      <c r="I262">
        <v>71500</v>
      </c>
      <c r="J262">
        <v>2810214233</v>
      </c>
      <c r="K262">
        <v>6936747910</v>
      </c>
      <c r="N262" t="s">
        <v>146</v>
      </c>
      <c r="O262" t="s">
        <v>147</v>
      </c>
      <c r="R262" t="s">
        <v>57</v>
      </c>
      <c r="S262">
        <v>12</v>
      </c>
      <c r="T262">
        <v>166</v>
      </c>
      <c r="U262" s="1">
        <v>35300</v>
      </c>
      <c r="V262" t="s">
        <v>123</v>
      </c>
      <c r="W262" t="s">
        <v>124</v>
      </c>
      <c r="X262" t="s">
        <v>58</v>
      </c>
      <c r="Y262">
        <v>18</v>
      </c>
      <c r="Z262" t="s">
        <v>59</v>
      </c>
      <c r="AA262" t="s">
        <v>59</v>
      </c>
      <c r="AB262" t="s">
        <v>59</v>
      </c>
      <c r="AC262" t="s">
        <v>59</v>
      </c>
      <c r="AD262" t="s">
        <v>59</v>
      </c>
      <c r="AF262" s="1">
        <v>35310</v>
      </c>
      <c r="AG262" t="s">
        <v>125</v>
      </c>
      <c r="AH262" t="s">
        <v>126</v>
      </c>
      <c r="AI262" t="str">
        <f>"1701041"</f>
        <v>1701041</v>
      </c>
      <c r="AJ262" t="s">
        <v>161</v>
      </c>
      <c r="AK262">
        <v>2810327052</v>
      </c>
      <c r="AL262" t="s">
        <v>162</v>
      </c>
      <c r="AM262" t="s">
        <v>78</v>
      </c>
      <c r="AN262" t="s">
        <v>78</v>
      </c>
      <c r="AO262" t="s">
        <v>78</v>
      </c>
      <c r="AP262" t="s">
        <v>163</v>
      </c>
      <c r="AQ262">
        <v>5</v>
      </c>
      <c r="AR262" t="s">
        <v>123</v>
      </c>
      <c r="AS262" t="s">
        <v>124</v>
      </c>
      <c r="AT262" t="s">
        <v>58</v>
      </c>
      <c r="AU262" t="s">
        <v>68</v>
      </c>
      <c r="AV262" t="s">
        <v>69</v>
      </c>
      <c r="AW262" s="1">
        <v>24099</v>
      </c>
      <c r="AX262">
        <v>2</v>
      </c>
    </row>
    <row r="263" spans="1:50">
      <c r="A263">
        <v>155793</v>
      </c>
      <c r="B263" t="str">
        <f>"030270521"</f>
        <v>030270521</v>
      </c>
      <c r="C263" t="s">
        <v>50</v>
      </c>
      <c r="D263" t="s">
        <v>985</v>
      </c>
      <c r="E263" t="s">
        <v>181</v>
      </c>
      <c r="F263" t="s">
        <v>95</v>
      </c>
      <c r="G263" t="s">
        <v>73</v>
      </c>
      <c r="H263" t="str">
        <f>"ΖΑΧΑΡΙΟΥΔΑΚΗ ΕΜΜ. 1 ΗΡΑΚΛΕΙΟ"</f>
        <v>ΖΑΧΑΡΙΟΥΔΑΚΗ ΕΜΜ. 1 ΗΡΑΚΛΕΙΟ</v>
      </c>
      <c r="I263">
        <v>71305</v>
      </c>
      <c r="J263">
        <v>2810228228</v>
      </c>
      <c r="K263">
        <v>6972252538</v>
      </c>
      <c r="N263" t="s">
        <v>146</v>
      </c>
      <c r="O263" t="s">
        <v>147</v>
      </c>
      <c r="R263" t="s">
        <v>57</v>
      </c>
      <c r="S263">
        <v>15</v>
      </c>
      <c r="T263">
        <v>188</v>
      </c>
      <c r="U263" s="1">
        <v>32752</v>
      </c>
      <c r="V263" t="s">
        <v>123</v>
      </c>
      <c r="W263" t="s">
        <v>124</v>
      </c>
      <c r="X263" t="s">
        <v>58</v>
      </c>
      <c r="Y263">
        <v>18</v>
      </c>
      <c r="Z263" t="s">
        <v>59</v>
      </c>
      <c r="AA263" t="s">
        <v>59</v>
      </c>
      <c r="AB263" t="s">
        <v>59</v>
      </c>
      <c r="AC263" t="s">
        <v>59</v>
      </c>
      <c r="AD263" t="s">
        <v>59</v>
      </c>
      <c r="AF263" s="1">
        <v>32756</v>
      </c>
      <c r="AG263" t="s">
        <v>125</v>
      </c>
      <c r="AH263" t="s">
        <v>126</v>
      </c>
      <c r="AI263" t="str">
        <f>"1701050"</f>
        <v>1701050</v>
      </c>
      <c r="AJ263" t="s">
        <v>660</v>
      </c>
      <c r="AK263">
        <v>2810220729</v>
      </c>
      <c r="AL263" t="s">
        <v>661</v>
      </c>
      <c r="AM263" t="s">
        <v>78</v>
      </c>
      <c r="AN263" t="s">
        <v>78</v>
      </c>
      <c r="AO263" t="s">
        <v>78</v>
      </c>
      <c r="AP263" t="s">
        <v>79</v>
      </c>
      <c r="AQ263">
        <v>1</v>
      </c>
      <c r="AR263" t="s">
        <v>123</v>
      </c>
      <c r="AS263" t="s">
        <v>124</v>
      </c>
      <c r="AT263" t="s">
        <v>58</v>
      </c>
      <c r="AU263" t="s">
        <v>68</v>
      </c>
      <c r="AV263" t="s">
        <v>69</v>
      </c>
      <c r="AW263" s="1">
        <v>22781</v>
      </c>
      <c r="AX263">
        <v>2</v>
      </c>
    </row>
    <row r="264" spans="1:50">
      <c r="A264">
        <v>214471</v>
      </c>
      <c r="B264" t="str">
        <f>"054050881"</f>
        <v>054050881</v>
      </c>
      <c r="C264" t="s">
        <v>105</v>
      </c>
      <c r="D264" t="s">
        <v>986</v>
      </c>
      <c r="E264" t="s">
        <v>95</v>
      </c>
      <c r="F264" t="s">
        <v>99</v>
      </c>
      <c r="G264" t="s">
        <v>191</v>
      </c>
      <c r="H264" t="str">
        <f>"ΠΡΩΤΗ ΣΕΡΡΩΝ  ΑΜΦΙΠΟΛΗ"</f>
        <v>ΠΡΩΤΗ ΣΕΡΡΩΝ  ΑΜΦΙΠΟΛΗ</v>
      </c>
      <c r="I264">
        <v>62047</v>
      </c>
      <c r="J264">
        <v>2324061608</v>
      </c>
      <c r="K264">
        <v>6976971190</v>
      </c>
      <c r="M264" t="s">
        <v>987</v>
      </c>
      <c r="N264" t="s">
        <v>176</v>
      </c>
      <c r="O264" t="s">
        <v>177</v>
      </c>
      <c r="R264" t="s">
        <v>57</v>
      </c>
      <c r="S264">
        <v>14</v>
      </c>
      <c r="T264">
        <v>231</v>
      </c>
      <c r="U264" s="1">
        <v>38960</v>
      </c>
      <c r="V264" t="s">
        <v>123</v>
      </c>
      <c r="W264" t="s">
        <v>124</v>
      </c>
      <c r="X264" t="s">
        <v>58</v>
      </c>
      <c r="Y264">
        <v>20</v>
      </c>
      <c r="Z264" t="s">
        <v>59</v>
      </c>
      <c r="AA264" t="s">
        <v>59</v>
      </c>
      <c r="AB264" t="s">
        <v>59</v>
      </c>
      <c r="AC264" t="s">
        <v>59</v>
      </c>
      <c r="AD264" t="s">
        <v>59</v>
      </c>
      <c r="AF264" s="1">
        <v>38964</v>
      </c>
      <c r="AG264" t="s">
        <v>148</v>
      </c>
      <c r="AH264" t="s">
        <v>149</v>
      </c>
      <c r="AI264" t="str">
        <f>"1755010"</f>
        <v>1755010</v>
      </c>
      <c r="AJ264" t="s">
        <v>274</v>
      </c>
      <c r="AK264">
        <v>2891031124</v>
      </c>
      <c r="AL264" t="s">
        <v>275</v>
      </c>
      <c r="AM264" t="s">
        <v>78</v>
      </c>
      <c r="AN264" t="s">
        <v>276</v>
      </c>
      <c r="AO264" t="s">
        <v>277</v>
      </c>
      <c r="AP264" t="s">
        <v>277</v>
      </c>
      <c r="AQ264">
        <v>17</v>
      </c>
      <c r="AR264" t="s">
        <v>123</v>
      </c>
      <c r="AS264" t="s">
        <v>124</v>
      </c>
      <c r="AT264" t="s">
        <v>58</v>
      </c>
      <c r="AU264" t="s">
        <v>68</v>
      </c>
      <c r="AV264" t="s">
        <v>69</v>
      </c>
      <c r="AW264" s="1">
        <v>24803</v>
      </c>
      <c r="AX264">
        <v>2</v>
      </c>
    </row>
    <row r="265" spans="1:50">
      <c r="A265">
        <v>178412</v>
      </c>
      <c r="B265" t="str">
        <f>"036121016"</f>
        <v>036121016</v>
      </c>
      <c r="C265" t="s">
        <v>50</v>
      </c>
      <c r="D265" t="s">
        <v>988</v>
      </c>
      <c r="E265" t="s">
        <v>263</v>
      </c>
      <c r="F265" t="s">
        <v>989</v>
      </c>
      <c r="G265" t="s">
        <v>658</v>
      </c>
      <c r="H265" t="str">
        <f>"Μ. ΒΛΑΧΟΥ 24 ΗΡΑΚΛΕΙΟ"</f>
        <v>Μ. ΒΛΑΧΟΥ 24 ΗΡΑΚΛΕΙΟ</v>
      </c>
      <c r="I265">
        <v>71305</v>
      </c>
      <c r="J265">
        <v>2810323424</v>
      </c>
      <c r="K265">
        <v>6972220541</v>
      </c>
      <c r="M265" t="s">
        <v>990</v>
      </c>
      <c r="N265" t="s">
        <v>146</v>
      </c>
      <c r="O265" t="s">
        <v>147</v>
      </c>
      <c r="R265" t="s">
        <v>57</v>
      </c>
      <c r="S265">
        <v>12</v>
      </c>
      <c r="T265">
        <v>181</v>
      </c>
      <c r="U265" s="1">
        <v>35674</v>
      </c>
      <c r="V265" t="s">
        <v>123</v>
      </c>
      <c r="W265" t="s">
        <v>124</v>
      </c>
      <c r="X265" t="s">
        <v>58</v>
      </c>
      <c r="Y265">
        <v>18</v>
      </c>
      <c r="Z265" t="s">
        <v>59</v>
      </c>
      <c r="AA265" t="s">
        <v>59</v>
      </c>
      <c r="AB265" t="s">
        <v>59</v>
      </c>
      <c r="AC265" t="s">
        <v>59</v>
      </c>
      <c r="AD265" t="s">
        <v>59</v>
      </c>
      <c r="AF265" s="1">
        <v>35676</v>
      </c>
      <c r="AG265" t="s">
        <v>125</v>
      </c>
      <c r="AH265" t="s">
        <v>126</v>
      </c>
      <c r="AI265" t="str">
        <f>"1701040"</f>
        <v>1701040</v>
      </c>
      <c r="AJ265" t="s">
        <v>748</v>
      </c>
      <c r="AK265">
        <v>2810252459</v>
      </c>
      <c r="AL265" t="s">
        <v>749</v>
      </c>
      <c r="AM265" t="s">
        <v>78</v>
      </c>
      <c r="AN265" t="s">
        <v>78</v>
      </c>
      <c r="AO265" t="s">
        <v>78</v>
      </c>
      <c r="AP265" t="s">
        <v>141</v>
      </c>
      <c r="AQ265">
        <v>3</v>
      </c>
      <c r="AR265" t="s">
        <v>123</v>
      </c>
      <c r="AS265" t="s">
        <v>124</v>
      </c>
      <c r="AT265" t="s">
        <v>58</v>
      </c>
      <c r="AU265" t="s">
        <v>68</v>
      </c>
      <c r="AV265" t="s">
        <v>69</v>
      </c>
      <c r="AW265" s="1">
        <v>24139</v>
      </c>
      <c r="AX265">
        <v>2</v>
      </c>
    </row>
    <row r="266" spans="1:50">
      <c r="A266">
        <v>208723</v>
      </c>
      <c r="B266" t="str">
        <f>"052221297"</f>
        <v>052221297</v>
      </c>
      <c r="C266" t="s">
        <v>50</v>
      </c>
      <c r="D266" t="s">
        <v>991</v>
      </c>
      <c r="E266" t="s">
        <v>237</v>
      </c>
      <c r="F266" t="s">
        <v>106</v>
      </c>
      <c r="G266" t="s">
        <v>52</v>
      </c>
      <c r="H266" t="str">
        <f>"ΕΛΕΥΘΕΡΝΗΣ 74 ΚΑΜΙΝΙΑ"</f>
        <v>ΕΛΕΥΘΕΡΝΗΣ 74 ΚΑΜΙΝΙΑ</v>
      </c>
      <c r="I266">
        <v>71303</v>
      </c>
      <c r="J266">
        <v>2810317292</v>
      </c>
      <c r="K266">
        <v>6945535413</v>
      </c>
      <c r="M266" t="s">
        <v>992</v>
      </c>
      <c r="N266" t="s">
        <v>299</v>
      </c>
      <c r="O266" t="s">
        <v>300</v>
      </c>
      <c r="R266" t="s">
        <v>57</v>
      </c>
      <c r="S266">
        <v>6</v>
      </c>
      <c r="T266">
        <v>218</v>
      </c>
      <c r="U266" s="1">
        <v>38596</v>
      </c>
      <c r="V266" t="s">
        <v>123</v>
      </c>
      <c r="W266" t="s">
        <v>124</v>
      </c>
      <c r="X266" t="s">
        <v>58</v>
      </c>
      <c r="Y266">
        <v>20</v>
      </c>
      <c r="Z266" t="s">
        <v>59</v>
      </c>
      <c r="AA266" t="s">
        <v>59</v>
      </c>
      <c r="AB266" t="s">
        <v>59</v>
      </c>
      <c r="AC266" t="s">
        <v>59</v>
      </c>
      <c r="AD266" t="s">
        <v>59</v>
      </c>
      <c r="AF266" s="1">
        <v>38600</v>
      </c>
      <c r="AG266" t="s">
        <v>137</v>
      </c>
      <c r="AH266" t="s">
        <v>138</v>
      </c>
      <c r="AI266" t="str">
        <f>"1740070"</f>
        <v>1740070</v>
      </c>
      <c r="AJ266" t="s">
        <v>206</v>
      </c>
      <c r="AK266">
        <v>2810324880</v>
      </c>
      <c r="AL266" t="s">
        <v>207</v>
      </c>
      <c r="AM266" t="s">
        <v>78</v>
      </c>
      <c r="AN266" t="s">
        <v>78</v>
      </c>
      <c r="AO266" t="s">
        <v>78</v>
      </c>
      <c r="AP266" t="s">
        <v>163</v>
      </c>
      <c r="AQ266">
        <v>9</v>
      </c>
      <c r="AR266" t="s">
        <v>123</v>
      </c>
      <c r="AS266" t="s">
        <v>124</v>
      </c>
      <c r="AT266" t="s">
        <v>58</v>
      </c>
      <c r="AU266" t="s">
        <v>68</v>
      </c>
      <c r="AV266" t="s">
        <v>69</v>
      </c>
      <c r="AW266" s="1">
        <v>25967</v>
      </c>
      <c r="AX266">
        <v>2</v>
      </c>
    </row>
    <row r="267" spans="1:50">
      <c r="A267">
        <v>225463</v>
      </c>
      <c r="B267" t="str">
        <f>"110734958"</f>
        <v>110734958</v>
      </c>
      <c r="C267" t="s">
        <v>50</v>
      </c>
      <c r="D267" t="s">
        <v>991</v>
      </c>
      <c r="E267" t="s">
        <v>993</v>
      </c>
      <c r="F267" t="s">
        <v>108</v>
      </c>
      <c r="G267" t="s">
        <v>221</v>
      </c>
      <c r="H267" t="str">
        <f>"ΙΦΙΓΕΝΕΙΑΣ 16 "</f>
        <v xml:space="preserve">ΙΦΙΓΕΝΕΙΑΣ 16 </v>
      </c>
      <c r="I267">
        <v>71304</v>
      </c>
      <c r="J267">
        <v>2810811182</v>
      </c>
      <c r="K267">
        <v>6944431611</v>
      </c>
      <c r="N267" t="s">
        <v>907</v>
      </c>
      <c r="O267" t="s">
        <v>908</v>
      </c>
      <c r="R267" t="s">
        <v>57</v>
      </c>
      <c r="S267">
        <v>9</v>
      </c>
      <c r="T267">
        <v>775</v>
      </c>
      <c r="U267" s="1">
        <v>39680</v>
      </c>
      <c r="V267" t="s">
        <v>123</v>
      </c>
      <c r="W267" t="s">
        <v>124</v>
      </c>
      <c r="X267" t="s">
        <v>58</v>
      </c>
      <c r="Y267">
        <v>20</v>
      </c>
      <c r="Z267" t="s">
        <v>59</v>
      </c>
      <c r="AA267" t="s">
        <v>59</v>
      </c>
      <c r="AB267" t="s">
        <v>59</v>
      </c>
      <c r="AC267" t="s">
        <v>59</v>
      </c>
      <c r="AD267" t="s">
        <v>59</v>
      </c>
      <c r="AF267" s="1">
        <v>39692</v>
      </c>
      <c r="AG267" t="s">
        <v>137</v>
      </c>
      <c r="AH267" t="s">
        <v>138</v>
      </c>
      <c r="AI267" t="str">
        <f>"1740070"</f>
        <v>1740070</v>
      </c>
      <c r="AJ267" t="s">
        <v>206</v>
      </c>
      <c r="AK267">
        <v>2810324880</v>
      </c>
      <c r="AL267" t="s">
        <v>207</v>
      </c>
      <c r="AM267" t="s">
        <v>78</v>
      </c>
      <c r="AN267" t="s">
        <v>78</v>
      </c>
      <c r="AO267" t="s">
        <v>78</v>
      </c>
      <c r="AP267" t="s">
        <v>163</v>
      </c>
      <c r="AQ267">
        <v>9</v>
      </c>
      <c r="AR267" t="s">
        <v>123</v>
      </c>
      <c r="AS267" t="s">
        <v>124</v>
      </c>
      <c r="AT267" t="s">
        <v>58</v>
      </c>
      <c r="AU267" t="s">
        <v>68</v>
      </c>
      <c r="AV267" t="s">
        <v>69</v>
      </c>
      <c r="AW267" s="1">
        <v>27653</v>
      </c>
      <c r="AX267">
        <v>2</v>
      </c>
    </row>
    <row r="268" spans="1:50">
      <c r="A268">
        <v>210032</v>
      </c>
      <c r="B268" t="str">
        <f>"074474447"</f>
        <v>074474447</v>
      </c>
      <c r="C268" t="s">
        <v>105</v>
      </c>
      <c r="D268" t="s">
        <v>994</v>
      </c>
      <c r="E268" t="s">
        <v>383</v>
      </c>
      <c r="F268" t="s">
        <v>995</v>
      </c>
      <c r="G268" t="s">
        <v>181</v>
      </c>
      <c r="H268" t="str">
        <f>"ΑΡΙΩΝΑ 5 ΗΡΑΚΛΕΙΟ"</f>
        <v>ΑΡΙΩΝΑ 5 ΗΡΑΚΛΕΙΟ</v>
      </c>
      <c r="I268">
        <v>71410</v>
      </c>
      <c r="J268">
        <v>2810258742</v>
      </c>
      <c r="K268">
        <v>6944530019</v>
      </c>
      <c r="M268" t="s">
        <v>996</v>
      </c>
      <c r="N268" t="s">
        <v>232</v>
      </c>
      <c r="O268" t="s">
        <v>233</v>
      </c>
      <c r="R268" t="s">
        <v>57</v>
      </c>
      <c r="S268">
        <v>8</v>
      </c>
      <c r="T268">
        <v>228</v>
      </c>
      <c r="U268" s="1">
        <v>38608</v>
      </c>
      <c r="V268" t="s">
        <v>123</v>
      </c>
      <c r="W268" t="s">
        <v>124</v>
      </c>
      <c r="X268" t="s">
        <v>58</v>
      </c>
      <c r="Y268">
        <v>20</v>
      </c>
      <c r="Z268" t="s">
        <v>59</v>
      </c>
      <c r="AA268" t="s">
        <v>59</v>
      </c>
      <c r="AB268" t="s">
        <v>59</v>
      </c>
      <c r="AC268" t="s">
        <v>59</v>
      </c>
      <c r="AD268" t="s">
        <v>59</v>
      </c>
      <c r="AF268" s="1">
        <v>38614</v>
      </c>
      <c r="AG268" t="s">
        <v>125</v>
      </c>
      <c r="AH268" t="s">
        <v>126</v>
      </c>
      <c r="AI268" t="str">
        <f>"1714010"</f>
        <v>1714010</v>
      </c>
      <c r="AJ268" t="s">
        <v>997</v>
      </c>
      <c r="AK268">
        <v>2894031333</v>
      </c>
      <c r="AL268" t="s">
        <v>998</v>
      </c>
      <c r="AM268" t="s">
        <v>78</v>
      </c>
      <c r="AN268" t="s">
        <v>242</v>
      </c>
      <c r="AO268" t="s">
        <v>999</v>
      </c>
      <c r="AP268" t="s">
        <v>999</v>
      </c>
      <c r="AQ268">
        <v>31</v>
      </c>
      <c r="AR268" t="s">
        <v>123</v>
      </c>
      <c r="AS268" t="s">
        <v>124</v>
      </c>
      <c r="AT268" t="s">
        <v>58</v>
      </c>
      <c r="AU268" t="s">
        <v>68</v>
      </c>
      <c r="AV268" t="s">
        <v>69</v>
      </c>
      <c r="AW268" s="1">
        <v>27833</v>
      </c>
      <c r="AX268">
        <v>2</v>
      </c>
    </row>
    <row r="269" spans="1:50">
      <c r="A269">
        <v>167223</v>
      </c>
      <c r="B269" t="str">
        <f>"042547228"</f>
        <v>042547228</v>
      </c>
      <c r="C269" t="s">
        <v>50</v>
      </c>
      <c r="D269" t="s">
        <v>1000</v>
      </c>
      <c r="E269" t="s">
        <v>1001</v>
      </c>
      <c r="F269" t="s">
        <v>510</v>
      </c>
      <c r="G269" t="s">
        <v>237</v>
      </c>
      <c r="H269" t="str">
        <f>"ΛΟΡΕΝΤΖΟΥ ΜΑΒΙΛΗ ΗΡΑΚΛΕΙΟ"</f>
        <v>ΛΟΡΕΝΤΖΟΥ ΜΑΒΙΛΗ ΗΡΑΚΛΕΙΟ</v>
      </c>
      <c r="I269">
        <v>71306</v>
      </c>
      <c r="J269">
        <v>2810212980</v>
      </c>
      <c r="K269">
        <v>6979773022</v>
      </c>
      <c r="M269" t="s">
        <v>1002</v>
      </c>
      <c r="N269" t="s">
        <v>478</v>
      </c>
      <c r="O269" t="s">
        <v>479</v>
      </c>
      <c r="R269" t="s">
        <v>57</v>
      </c>
      <c r="S269">
        <v>14</v>
      </c>
      <c r="T269">
        <v>174</v>
      </c>
      <c r="U269" s="1">
        <v>34250</v>
      </c>
      <c r="V269" t="s">
        <v>123</v>
      </c>
      <c r="W269" t="s">
        <v>124</v>
      </c>
      <c r="X269" t="s">
        <v>58</v>
      </c>
      <c r="Y269">
        <v>18</v>
      </c>
      <c r="Z269" t="s">
        <v>59</v>
      </c>
      <c r="AA269" t="s">
        <v>59</v>
      </c>
      <c r="AB269" t="s">
        <v>59</v>
      </c>
      <c r="AC269" t="s">
        <v>59</v>
      </c>
      <c r="AD269" t="s">
        <v>59</v>
      </c>
      <c r="AF269" s="1">
        <v>34261</v>
      </c>
      <c r="AG269" t="s">
        <v>125</v>
      </c>
      <c r="AH269" t="s">
        <v>126</v>
      </c>
      <c r="AI269" t="str">
        <f>"1701020"</f>
        <v>1701020</v>
      </c>
      <c r="AJ269" t="s">
        <v>323</v>
      </c>
      <c r="AK269">
        <v>2810252111</v>
      </c>
      <c r="AL269" t="s">
        <v>324</v>
      </c>
      <c r="AM269" t="s">
        <v>78</v>
      </c>
      <c r="AN269" t="s">
        <v>78</v>
      </c>
      <c r="AO269" t="s">
        <v>78</v>
      </c>
      <c r="AP269" t="s">
        <v>163</v>
      </c>
      <c r="AQ269">
        <v>3</v>
      </c>
      <c r="AR269" t="s">
        <v>123</v>
      </c>
      <c r="AS269" t="s">
        <v>124</v>
      </c>
      <c r="AT269" t="s">
        <v>58</v>
      </c>
      <c r="AU269" t="s">
        <v>68</v>
      </c>
      <c r="AV269" t="s">
        <v>69</v>
      </c>
      <c r="AW269" s="1">
        <v>21642</v>
      </c>
      <c r="AX269">
        <v>2</v>
      </c>
    </row>
    <row r="270" spans="1:50">
      <c r="A270">
        <v>200541</v>
      </c>
      <c r="B270" t="str">
        <f>"071944966"</f>
        <v>071944966</v>
      </c>
      <c r="C270" t="s">
        <v>50</v>
      </c>
      <c r="D270" t="s">
        <v>1003</v>
      </c>
      <c r="E270" t="s">
        <v>181</v>
      </c>
      <c r="F270" t="s">
        <v>99</v>
      </c>
      <c r="G270" t="s">
        <v>96</v>
      </c>
      <c r="H270" t="str">
        <f>"ΚΑΡΚΑΒΙΤΣΑ 18 ΓΑΖΙ ΗΡΑΚΛΕΙΟΥ"</f>
        <v>ΚΑΡΚΑΒΙΤΣΑ 18 ΓΑΖΙ ΗΡΑΚΛΕΙΟΥ</v>
      </c>
      <c r="I270">
        <v>71414</v>
      </c>
      <c r="J270">
        <v>2810316758</v>
      </c>
      <c r="K270">
        <v>6972985633</v>
      </c>
      <c r="L270">
        <v>6976596523</v>
      </c>
      <c r="M270" t="s">
        <v>1004</v>
      </c>
      <c r="N270" t="s">
        <v>299</v>
      </c>
      <c r="O270" t="s">
        <v>300</v>
      </c>
      <c r="R270" t="s">
        <v>57</v>
      </c>
      <c r="S270">
        <v>9</v>
      </c>
      <c r="T270">
        <v>213</v>
      </c>
      <c r="U270" s="1">
        <v>37874</v>
      </c>
      <c r="V270" t="s">
        <v>123</v>
      </c>
      <c r="W270" t="s">
        <v>124</v>
      </c>
      <c r="X270" t="s">
        <v>58</v>
      </c>
      <c r="Y270">
        <v>20</v>
      </c>
      <c r="Z270" t="s">
        <v>59</v>
      </c>
      <c r="AA270" t="s">
        <v>59</v>
      </c>
      <c r="AB270" t="s">
        <v>59</v>
      </c>
      <c r="AC270" t="s">
        <v>59</v>
      </c>
      <c r="AD270" t="s">
        <v>59</v>
      </c>
      <c r="AF270" s="1">
        <v>37876</v>
      </c>
      <c r="AG270" t="s">
        <v>148</v>
      </c>
      <c r="AH270" t="s">
        <v>149</v>
      </c>
      <c r="AI270" t="str">
        <f>"1752010"</f>
        <v>1752010</v>
      </c>
      <c r="AJ270" t="s">
        <v>896</v>
      </c>
      <c r="AK270">
        <v>2891022893</v>
      </c>
      <c r="AL270" t="s">
        <v>897</v>
      </c>
      <c r="AM270" t="s">
        <v>78</v>
      </c>
      <c r="AN270" t="s">
        <v>276</v>
      </c>
      <c r="AO270" t="s">
        <v>490</v>
      </c>
      <c r="AP270" t="s">
        <v>490</v>
      </c>
      <c r="AQ270">
        <v>15</v>
      </c>
      <c r="AR270" t="s">
        <v>123</v>
      </c>
      <c r="AS270" t="s">
        <v>124</v>
      </c>
      <c r="AT270" t="s">
        <v>58</v>
      </c>
      <c r="AU270" t="s">
        <v>68</v>
      </c>
      <c r="AV270" t="s">
        <v>69</v>
      </c>
      <c r="AW270" s="1">
        <v>25673</v>
      </c>
      <c r="AX270">
        <v>2</v>
      </c>
    </row>
    <row r="271" spans="1:50">
      <c r="A271">
        <v>191194</v>
      </c>
      <c r="B271" t="str">
        <f>"101466532"</f>
        <v>101466532</v>
      </c>
      <c r="C271" t="s">
        <v>105</v>
      </c>
      <c r="D271" t="s">
        <v>1005</v>
      </c>
      <c r="E271" t="s">
        <v>166</v>
      </c>
      <c r="F271" t="s">
        <v>95</v>
      </c>
      <c r="G271" t="s">
        <v>52</v>
      </c>
      <c r="H271" t="str">
        <f>" "</f>
        <v xml:space="preserve"> </v>
      </c>
      <c r="J271">
        <v>2810238639</v>
      </c>
      <c r="K271">
        <v>6944911184</v>
      </c>
      <c r="N271" t="s">
        <v>204</v>
      </c>
      <c r="O271" t="s">
        <v>205</v>
      </c>
      <c r="R271" t="s">
        <v>57</v>
      </c>
      <c r="S271">
        <v>10</v>
      </c>
      <c r="T271">
        <v>219</v>
      </c>
      <c r="U271" s="1">
        <v>37134</v>
      </c>
      <c r="V271" t="s">
        <v>123</v>
      </c>
      <c r="W271" t="s">
        <v>124</v>
      </c>
      <c r="X271" t="s">
        <v>58</v>
      </c>
      <c r="Y271">
        <v>20</v>
      </c>
      <c r="Z271" t="s">
        <v>59</v>
      </c>
      <c r="AA271" t="s">
        <v>59</v>
      </c>
      <c r="AB271" t="s">
        <v>59</v>
      </c>
      <c r="AC271" t="s">
        <v>59</v>
      </c>
      <c r="AD271" t="s">
        <v>59</v>
      </c>
      <c r="AF271" s="1">
        <v>37141</v>
      </c>
      <c r="AG271" t="s">
        <v>137</v>
      </c>
      <c r="AH271" t="s">
        <v>138</v>
      </c>
      <c r="AI271" t="str">
        <f>"1740070"</f>
        <v>1740070</v>
      </c>
      <c r="AJ271" t="s">
        <v>206</v>
      </c>
      <c r="AK271">
        <v>2810324880</v>
      </c>
      <c r="AL271" t="s">
        <v>207</v>
      </c>
      <c r="AM271" t="s">
        <v>78</v>
      </c>
      <c r="AN271" t="s">
        <v>78</v>
      </c>
      <c r="AO271" t="s">
        <v>78</v>
      </c>
      <c r="AP271" t="s">
        <v>163</v>
      </c>
      <c r="AQ271">
        <v>9</v>
      </c>
      <c r="AR271" t="s">
        <v>123</v>
      </c>
      <c r="AS271" t="s">
        <v>124</v>
      </c>
      <c r="AT271" t="s">
        <v>58</v>
      </c>
      <c r="AU271" t="s">
        <v>68</v>
      </c>
      <c r="AV271" t="s">
        <v>69</v>
      </c>
      <c r="AW271" s="1">
        <v>26955</v>
      </c>
      <c r="AX271">
        <v>2</v>
      </c>
    </row>
    <row r="272" spans="1:50">
      <c r="A272">
        <v>155797</v>
      </c>
      <c r="B272" t="str">
        <f>"114550560"</f>
        <v>114550560</v>
      </c>
      <c r="C272" t="s">
        <v>50</v>
      </c>
      <c r="D272" t="s">
        <v>1006</v>
      </c>
      <c r="E272" t="s">
        <v>83</v>
      </c>
      <c r="F272" t="s">
        <v>166</v>
      </c>
      <c r="G272" t="s">
        <v>191</v>
      </c>
      <c r="H272" t="str">
        <f>"ΠΑΤΕΛΑΡΟΥ 10 ΜΑΣΤΑΜΠΑΣ"</f>
        <v>ΠΑΤΕΛΑΡΟΥ 10 ΜΑΣΤΑΜΠΑΣ</v>
      </c>
      <c r="I272">
        <v>71305</v>
      </c>
      <c r="J272">
        <v>2810210097</v>
      </c>
      <c r="K272">
        <v>6972254389</v>
      </c>
      <c r="M272" t="s">
        <v>1007</v>
      </c>
      <c r="N272" t="s">
        <v>146</v>
      </c>
      <c r="O272" t="s">
        <v>147</v>
      </c>
      <c r="R272" t="s">
        <v>57</v>
      </c>
      <c r="S272">
        <v>15</v>
      </c>
      <c r="T272">
        <v>188</v>
      </c>
      <c r="U272" s="1">
        <v>32752</v>
      </c>
      <c r="V272" t="s">
        <v>123</v>
      </c>
      <c r="W272" t="s">
        <v>124</v>
      </c>
      <c r="X272" t="s">
        <v>58</v>
      </c>
      <c r="Y272">
        <v>18</v>
      </c>
      <c r="Z272" t="s">
        <v>59</v>
      </c>
      <c r="AA272" t="s">
        <v>59</v>
      </c>
      <c r="AB272" t="s">
        <v>59</v>
      </c>
      <c r="AC272" t="s">
        <v>59</v>
      </c>
      <c r="AD272" t="s">
        <v>59</v>
      </c>
      <c r="AF272" s="1">
        <v>32756</v>
      </c>
      <c r="AG272" t="s">
        <v>125</v>
      </c>
      <c r="AH272" t="s">
        <v>126</v>
      </c>
      <c r="AI272" t="str">
        <f>"1701020"</f>
        <v>1701020</v>
      </c>
      <c r="AJ272" t="s">
        <v>323</v>
      </c>
      <c r="AK272">
        <v>2810252111</v>
      </c>
      <c r="AL272" t="s">
        <v>324</v>
      </c>
      <c r="AM272" t="s">
        <v>78</v>
      </c>
      <c r="AN272" t="s">
        <v>78</v>
      </c>
      <c r="AO272" t="s">
        <v>78</v>
      </c>
      <c r="AP272" t="s">
        <v>163</v>
      </c>
      <c r="AQ272">
        <v>3</v>
      </c>
      <c r="AR272" t="s">
        <v>123</v>
      </c>
      <c r="AS272" t="s">
        <v>124</v>
      </c>
      <c r="AT272" t="s">
        <v>58</v>
      </c>
      <c r="AU272" t="s">
        <v>68</v>
      </c>
      <c r="AV272" t="s">
        <v>69</v>
      </c>
      <c r="AW272" s="1">
        <v>22491</v>
      </c>
      <c r="AX272">
        <v>2</v>
      </c>
    </row>
    <row r="273" spans="1:50">
      <c r="A273">
        <v>182128</v>
      </c>
      <c r="B273" t="str">
        <f>"073778212"</f>
        <v>073778212</v>
      </c>
      <c r="C273" t="s">
        <v>105</v>
      </c>
      <c r="D273" t="s">
        <v>1008</v>
      </c>
      <c r="E273" t="s">
        <v>315</v>
      </c>
      <c r="F273" t="s">
        <v>782</v>
      </c>
      <c r="G273" t="s">
        <v>476</v>
      </c>
      <c r="H273" t="str">
        <f>"Μ. ΚΩΝ/ΝΟΥ  20 ΠΟΡΟΣ"</f>
        <v>Μ. ΚΩΝ/ΝΟΥ  20 ΠΟΡΟΣ</v>
      </c>
      <c r="I273">
        <v>71307</v>
      </c>
      <c r="J273">
        <v>2810221245</v>
      </c>
      <c r="K273">
        <v>6973239094</v>
      </c>
      <c r="M273" t="s">
        <v>1009</v>
      </c>
      <c r="N273" t="s">
        <v>204</v>
      </c>
      <c r="O273" t="s">
        <v>205</v>
      </c>
      <c r="R273" t="s">
        <v>57</v>
      </c>
      <c r="S273">
        <v>10</v>
      </c>
      <c r="T273">
        <v>164</v>
      </c>
      <c r="U273" s="1">
        <v>36040</v>
      </c>
      <c r="V273" t="s">
        <v>123</v>
      </c>
      <c r="W273" t="s">
        <v>124</v>
      </c>
      <c r="X273" t="s">
        <v>58</v>
      </c>
      <c r="Y273">
        <v>18</v>
      </c>
      <c r="Z273" t="s">
        <v>59</v>
      </c>
      <c r="AA273" t="s">
        <v>59</v>
      </c>
      <c r="AB273" t="s">
        <v>59</v>
      </c>
      <c r="AC273" t="s">
        <v>59</v>
      </c>
      <c r="AD273" t="s">
        <v>59</v>
      </c>
      <c r="AF273" s="1">
        <v>36045</v>
      </c>
      <c r="AG273" t="s">
        <v>125</v>
      </c>
      <c r="AH273" t="s">
        <v>126</v>
      </c>
      <c r="AI273" t="str">
        <f>"1728010"</f>
        <v>1728010</v>
      </c>
      <c r="AJ273" t="s">
        <v>127</v>
      </c>
      <c r="AK273">
        <v>2810824651</v>
      </c>
      <c r="AL273" t="s">
        <v>128</v>
      </c>
      <c r="AM273" t="s">
        <v>78</v>
      </c>
      <c r="AN273" t="s">
        <v>129</v>
      </c>
      <c r="AO273" t="s">
        <v>130</v>
      </c>
      <c r="AP273" t="s">
        <v>130</v>
      </c>
      <c r="AQ273">
        <v>36</v>
      </c>
      <c r="AR273" t="s">
        <v>123</v>
      </c>
      <c r="AS273" t="s">
        <v>124</v>
      </c>
      <c r="AT273" t="s">
        <v>58</v>
      </c>
      <c r="AU273" t="s">
        <v>68</v>
      </c>
      <c r="AV273" t="s">
        <v>69</v>
      </c>
      <c r="AW273" s="1">
        <v>25083</v>
      </c>
      <c r="AX273">
        <v>2</v>
      </c>
    </row>
    <row r="274" spans="1:50">
      <c r="A274">
        <v>203882</v>
      </c>
      <c r="B274" t="str">
        <f>"054580333"</f>
        <v>054580333</v>
      </c>
      <c r="C274" t="s">
        <v>50</v>
      </c>
      <c r="D274" t="s">
        <v>1010</v>
      </c>
      <c r="E274" t="s">
        <v>905</v>
      </c>
      <c r="F274" t="s">
        <v>92</v>
      </c>
      <c r="G274" t="s">
        <v>414</v>
      </c>
      <c r="H274" t="str">
        <f>"25 ΜΑΡΤΙΟΥ 9 ΜΑΛΙΑ"</f>
        <v>25 ΜΑΡΤΙΟΥ 9 ΜΑΛΙΑ</v>
      </c>
      <c r="I274">
        <v>70007</v>
      </c>
      <c r="J274">
        <v>2897033739</v>
      </c>
      <c r="K274">
        <v>6973314718</v>
      </c>
      <c r="M274" t="s">
        <v>1011</v>
      </c>
      <c r="N274" t="s">
        <v>176</v>
      </c>
      <c r="O274" t="s">
        <v>177</v>
      </c>
      <c r="R274" t="s">
        <v>57</v>
      </c>
      <c r="S274">
        <v>9</v>
      </c>
      <c r="T274">
        <v>231</v>
      </c>
      <c r="U274" s="1">
        <v>38230</v>
      </c>
      <c r="V274" t="s">
        <v>123</v>
      </c>
      <c r="W274" t="s">
        <v>124</v>
      </c>
      <c r="X274" t="s">
        <v>58</v>
      </c>
      <c r="Y274">
        <v>20</v>
      </c>
      <c r="Z274" t="s">
        <v>59</v>
      </c>
      <c r="AA274" t="s">
        <v>59</v>
      </c>
      <c r="AB274" t="s">
        <v>59</v>
      </c>
      <c r="AC274" t="s">
        <v>59</v>
      </c>
      <c r="AD274" t="s">
        <v>59</v>
      </c>
      <c r="AF274" s="1">
        <v>38230</v>
      </c>
      <c r="AG274" t="s">
        <v>148</v>
      </c>
      <c r="AH274" t="s">
        <v>149</v>
      </c>
      <c r="AI274" t="str">
        <f>"1768010"</f>
        <v>1768010</v>
      </c>
      <c r="AJ274" t="s">
        <v>1012</v>
      </c>
      <c r="AK274">
        <v>2897032070</v>
      </c>
      <c r="AL274" t="s">
        <v>1013</v>
      </c>
      <c r="AM274" t="s">
        <v>78</v>
      </c>
      <c r="AN274" t="s">
        <v>219</v>
      </c>
      <c r="AO274" t="s">
        <v>527</v>
      </c>
      <c r="AP274" t="s">
        <v>527</v>
      </c>
      <c r="AQ274">
        <v>20</v>
      </c>
      <c r="AR274" t="s">
        <v>123</v>
      </c>
      <c r="AS274" t="s">
        <v>124</v>
      </c>
      <c r="AT274" t="s">
        <v>58</v>
      </c>
      <c r="AU274" t="s">
        <v>68</v>
      </c>
      <c r="AV274" t="s">
        <v>69</v>
      </c>
      <c r="AW274" s="1">
        <v>25746</v>
      </c>
      <c r="AX274">
        <v>2</v>
      </c>
    </row>
    <row r="275" spans="1:50">
      <c r="A275">
        <v>183736</v>
      </c>
      <c r="B275" t="str">
        <f>"029614214"</f>
        <v>029614214</v>
      </c>
      <c r="C275" t="s">
        <v>50</v>
      </c>
      <c r="D275" t="s">
        <v>1014</v>
      </c>
      <c r="E275" t="s">
        <v>143</v>
      </c>
      <c r="F275" t="s">
        <v>95</v>
      </c>
      <c r="G275" t="s">
        <v>52</v>
      </c>
      <c r="H275" t="str">
        <f>"ΜΟΝΗΣ ΚΟΥΔΟΥΜΑ 1 ΗΡΑΚΛΕΙΟ"</f>
        <v>ΜΟΝΗΣ ΚΟΥΔΟΥΜΑ 1 ΗΡΑΚΛΕΙΟ</v>
      </c>
      <c r="I275">
        <v>71305</v>
      </c>
      <c r="J275">
        <v>2810235993</v>
      </c>
      <c r="K275">
        <v>6976167432</v>
      </c>
      <c r="M275" t="s">
        <v>1015</v>
      </c>
      <c r="N275" t="s">
        <v>292</v>
      </c>
      <c r="O275" t="s">
        <v>293</v>
      </c>
      <c r="R275" t="s">
        <v>57</v>
      </c>
      <c r="S275">
        <v>11</v>
      </c>
      <c r="T275">
        <v>177</v>
      </c>
      <c r="U275" s="1">
        <v>36403</v>
      </c>
      <c r="V275" t="s">
        <v>123</v>
      </c>
      <c r="W275" t="s">
        <v>124</v>
      </c>
      <c r="X275" t="s">
        <v>58</v>
      </c>
      <c r="Y275">
        <v>18</v>
      </c>
      <c r="Z275" t="s">
        <v>59</v>
      </c>
      <c r="AA275" t="s">
        <v>59</v>
      </c>
      <c r="AB275" t="s">
        <v>59</v>
      </c>
      <c r="AC275" t="s">
        <v>59</v>
      </c>
      <c r="AD275" t="s">
        <v>59</v>
      </c>
      <c r="AF275" s="1">
        <v>36412</v>
      </c>
      <c r="AG275" t="s">
        <v>125</v>
      </c>
      <c r="AH275" t="s">
        <v>126</v>
      </c>
      <c r="AI275" t="str">
        <f>"1701041"</f>
        <v>1701041</v>
      </c>
      <c r="AJ275" t="s">
        <v>161</v>
      </c>
      <c r="AK275">
        <v>2810327052</v>
      </c>
      <c r="AL275" t="s">
        <v>162</v>
      </c>
      <c r="AM275" t="s">
        <v>78</v>
      </c>
      <c r="AN275" t="s">
        <v>78</v>
      </c>
      <c r="AO275" t="s">
        <v>78</v>
      </c>
      <c r="AP275" t="s">
        <v>163</v>
      </c>
      <c r="AQ275">
        <v>5</v>
      </c>
      <c r="AR275" t="s">
        <v>123</v>
      </c>
      <c r="AS275" t="s">
        <v>124</v>
      </c>
      <c r="AT275" t="s">
        <v>58</v>
      </c>
      <c r="AU275" t="s">
        <v>68</v>
      </c>
      <c r="AV275" t="s">
        <v>69</v>
      </c>
      <c r="AW275" s="1">
        <v>22206</v>
      </c>
      <c r="AX275">
        <v>2</v>
      </c>
    </row>
    <row r="276" spans="1:50">
      <c r="A276">
        <v>195106</v>
      </c>
      <c r="B276" t="str">
        <f>"103505477"</f>
        <v>103505477</v>
      </c>
      <c r="C276" t="s">
        <v>50</v>
      </c>
      <c r="D276" t="s">
        <v>1014</v>
      </c>
      <c r="E276" t="s">
        <v>96</v>
      </c>
      <c r="F276" t="s">
        <v>53</v>
      </c>
      <c r="G276" t="s">
        <v>83</v>
      </c>
      <c r="H276" t="str">
        <f>"ΙΕΡΟΛΟΧΙΤΩΝ 149 ΗΡΑΚΛΕΙΟ"</f>
        <v>ΙΕΡΟΛΟΧΙΤΩΝ 149 ΗΡΑΚΛΕΙΟ</v>
      </c>
      <c r="I276">
        <v>71305</v>
      </c>
      <c r="J276">
        <v>2810321879</v>
      </c>
      <c r="K276">
        <v>6944113909</v>
      </c>
      <c r="N276" t="s">
        <v>146</v>
      </c>
      <c r="O276" t="s">
        <v>147</v>
      </c>
      <c r="R276" t="s">
        <v>57</v>
      </c>
      <c r="S276">
        <v>8</v>
      </c>
      <c r="T276">
        <v>194</v>
      </c>
      <c r="U276" s="1">
        <v>37497</v>
      </c>
      <c r="V276" t="s">
        <v>123</v>
      </c>
      <c r="W276" t="s">
        <v>124</v>
      </c>
      <c r="X276" t="s">
        <v>58</v>
      </c>
      <c r="Y276">
        <v>20</v>
      </c>
      <c r="Z276" t="s">
        <v>59</v>
      </c>
      <c r="AA276" t="s">
        <v>59</v>
      </c>
      <c r="AB276" t="s">
        <v>59</v>
      </c>
      <c r="AC276" t="s">
        <v>59</v>
      </c>
      <c r="AD276" t="s">
        <v>59</v>
      </c>
      <c r="AF276" s="1">
        <v>37501</v>
      </c>
      <c r="AG276" t="s">
        <v>148</v>
      </c>
      <c r="AH276" t="s">
        <v>149</v>
      </c>
      <c r="AI276" t="str">
        <f>"1751042"</f>
        <v>1751042</v>
      </c>
      <c r="AJ276" t="s">
        <v>959</v>
      </c>
      <c r="AK276">
        <v>2810220685</v>
      </c>
      <c r="AL276" t="s">
        <v>960</v>
      </c>
      <c r="AM276" t="s">
        <v>78</v>
      </c>
      <c r="AN276" t="s">
        <v>78</v>
      </c>
      <c r="AO276" t="s">
        <v>78</v>
      </c>
      <c r="AP276" t="s">
        <v>213</v>
      </c>
      <c r="AQ276">
        <v>6</v>
      </c>
      <c r="AR276" t="s">
        <v>123</v>
      </c>
      <c r="AS276" t="s">
        <v>124</v>
      </c>
      <c r="AT276" t="s">
        <v>58</v>
      </c>
      <c r="AU276" t="s">
        <v>68</v>
      </c>
      <c r="AV276" t="s">
        <v>69</v>
      </c>
      <c r="AW276" s="1">
        <v>26685</v>
      </c>
      <c r="AX276">
        <v>2</v>
      </c>
    </row>
    <row r="277" spans="1:50">
      <c r="A277">
        <v>213067</v>
      </c>
      <c r="B277" t="str">
        <f>"045542982"</f>
        <v>045542982</v>
      </c>
      <c r="C277" t="s">
        <v>105</v>
      </c>
      <c r="D277" t="s">
        <v>1016</v>
      </c>
      <c r="E277" t="s">
        <v>99</v>
      </c>
      <c r="F277" t="s">
        <v>95</v>
      </c>
      <c r="G277" t="s">
        <v>52</v>
      </c>
      <c r="H277" t="str">
        <f>"ΕΥΒΟΙΑΣ 9 ΗΡΑΚΛΕΙΟΥ"</f>
        <v>ΕΥΒΟΙΑΣ 9 ΗΡΑΚΛΕΙΟΥ</v>
      </c>
      <c r="I277">
        <v>71500</v>
      </c>
      <c r="J277">
        <v>2810214244</v>
      </c>
      <c r="K277">
        <v>6945286862</v>
      </c>
      <c r="M277" t="s">
        <v>1017</v>
      </c>
      <c r="N277" t="s">
        <v>232</v>
      </c>
      <c r="O277" t="s">
        <v>233</v>
      </c>
      <c r="R277" t="s">
        <v>57</v>
      </c>
      <c r="S277">
        <v>7</v>
      </c>
      <c r="T277">
        <v>231</v>
      </c>
      <c r="U277" s="1">
        <v>38960</v>
      </c>
      <c r="V277" t="s">
        <v>123</v>
      </c>
      <c r="W277" t="s">
        <v>124</v>
      </c>
      <c r="X277" t="s">
        <v>58</v>
      </c>
      <c r="Y277">
        <v>20</v>
      </c>
      <c r="Z277" t="s">
        <v>59</v>
      </c>
      <c r="AA277" t="s">
        <v>59</v>
      </c>
      <c r="AB277" t="s">
        <v>59</v>
      </c>
      <c r="AC277" t="s">
        <v>59</v>
      </c>
      <c r="AD277" t="s">
        <v>59</v>
      </c>
      <c r="AF277" s="1">
        <v>38961</v>
      </c>
      <c r="AG277" t="s">
        <v>137</v>
      </c>
      <c r="AH277" t="s">
        <v>138</v>
      </c>
      <c r="AI277" t="str">
        <f>"1740080"</f>
        <v>1740080</v>
      </c>
      <c r="AJ277" t="s">
        <v>284</v>
      </c>
      <c r="AK277">
        <v>2810220433</v>
      </c>
      <c r="AL277" t="s">
        <v>285</v>
      </c>
      <c r="AM277" t="s">
        <v>78</v>
      </c>
      <c r="AN277" t="s">
        <v>78</v>
      </c>
      <c r="AO277" t="s">
        <v>286</v>
      </c>
      <c r="AP277" t="s">
        <v>286</v>
      </c>
      <c r="AQ277">
        <v>12</v>
      </c>
      <c r="AR277" t="s">
        <v>123</v>
      </c>
      <c r="AS277" t="s">
        <v>124</v>
      </c>
      <c r="AT277" t="s">
        <v>58</v>
      </c>
      <c r="AU277" t="s">
        <v>68</v>
      </c>
      <c r="AV277" t="s">
        <v>69</v>
      </c>
      <c r="AW277" s="1">
        <v>23111</v>
      </c>
      <c r="AX277">
        <v>2</v>
      </c>
    </row>
    <row r="278" spans="1:50">
      <c r="A278">
        <v>211890</v>
      </c>
      <c r="B278" t="str">
        <f>"075644819"</f>
        <v>075644819</v>
      </c>
      <c r="C278" t="s">
        <v>50</v>
      </c>
      <c r="D278" t="s">
        <v>1018</v>
      </c>
      <c r="E278" t="s">
        <v>1019</v>
      </c>
      <c r="F278" t="s">
        <v>95</v>
      </c>
      <c r="G278" t="s">
        <v>52</v>
      </c>
      <c r="H278" t="str">
        <f>"ΦΟΙΝΙΚΙΑ ΗΡΑΚΛΕΙΟΥ ΗΡΑΚΛΕΙΟΥ"</f>
        <v>ΦΟΙΝΙΚΙΑ ΗΡΑΚΛΕΙΟΥ ΗΡΑΚΛΕΙΟΥ</v>
      </c>
      <c r="I278">
        <v>71500</v>
      </c>
      <c r="J278">
        <v>2810360986</v>
      </c>
      <c r="K278">
        <v>6976611458</v>
      </c>
      <c r="M278" t="s">
        <v>1020</v>
      </c>
      <c r="N278" t="s">
        <v>146</v>
      </c>
      <c r="O278" t="s">
        <v>147</v>
      </c>
      <c r="R278" t="s">
        <v>57</v>
      </c>
      <c r="S278">
        <v>6</v>
      </c>
      <c r="T278">
        <v>231</v>
      </c>
      <c r="U278" s="1">
        <v>38960</v>
      </c>
      <c r="V278" t="s">
        <v>123</v>
      </c>
      <c r="W278" t="s">
        <v>124</v>
      </c>
      <c r="X278" t="s">
        <v>58</v>
      </c>
      <c r="Y278">
        <v>20</v>
      </c>
      <c r="Z278" t="s">
        <v>59</v>
      </c>
      <c r="AA278" t="s">
        <v>59</v>
      </c>
      <c r="AB278" t="s">
        <v>59</v>
      </c>
      <c r="AC278" t="s">
        <v>59</v>
      </c>
      <c r="AD278" t="s">
        <v>59</v>
      </c>
      <c r="AF278" s="1">
        <v>38961</v>
      </c>
      <c r="AG278" t="s">
        <v>148</v>
      </c>
      <c r="AH278" t="s">
        <v>149</v>
      </c>
      <c r="AI278" t="str">
        <f>"1751052"</f>
        <v>1751052</v>
      </c>
      <c r="AJ278" t="s">
        <v>328</v>
      </c>
      <c r="AK278">
        <v>2810213762</v>
      </c>
      <c r="AL278" t="s">
        <v>329</v>
      </c>
      <c r="AM278" t="s">
        <v>78</v>
      </c>
      <c r="AN278" t="s">
        <v>78</v>
      </c>
      <c r="AO278" t="s">
        <v>78</v>
      </c>
      <c r="AP278" t="s">
        <v>163</v>
      </c>
      <c r="AQ278">
        <v>8</v>
      </c>
      <c r="AR278" t="s">
        <v>123</v>
      </c>
      <c r="AS278" t="s">
        <v>124</v>
      </c>
      <c r="AT278" t="s">
        <v>58</v>
      </c>
      <c r="AU278" t="s">
        <v>68</v>
      </c>
      <c r="AV278" t="s">
        <v>69</v>
      </c>
      <c r="AW278" s="1">
        <v>27091</v>
      </c>
      <c r="AX278">
        <v>2</v>
      </c>
    </row>
    <row r="279" spans="1:50">
      <c r="A279">
        <v>169597</v>
      </c>
      <c r="B279" t="str">
        <f>"079876449"</f>
        <v>079876449</v>
      </c>
      <c r="C279" t="s">
        <v>50</v>
      </c>
      <c r="D279" t="s">
        <v>1021</v>
      </c>
      <c r="E279" t="s">
        <v>1022</v>
      </c>
      <c r="F279" t="s">
        <v>1023</v>
      </c>
      <c r="G279" t="s">
        <v>340</v>
      </c>
      <c r="H279" t="str">
        <f>"ΑΝΩΓΕΙΩΝ 81  ΘΕΡΙΣΣΟΣ"</f>
        <v>ΑΝΩΓΕΙΩΝ 81  ΘΕΡΙΣΣΟΣ</v>
      </c>
      <c r="J279">
        <v>2810310775</v>
      </c>
      <c r="K279">
        <v>6944293936</v>
      </c>
      <c r="M279" t="s">
        <v>1024</v>
      </c>
      <c r="N279" t="s">
        <v>146</v>
      </c>
      <c r="O279" t="s">
        <v>147</v>
      </c>
      <c r="R279" t="s">
        <v>57</v>
      </c>
      <c r="S279">
        <v>14</v>
      </c>
      <c r="T279">
        <v>184</v>
      </c>
      <c r="U279" s="1">
        <v>34941</v>
      </c>
      <c r="V279" t="s">
        <v>123</v>
      </c>
      <c r="W279" t="s">
        <v>124</v>
      </c>
      <c r="X279" t="s">
        <v>58</v>
      </c>
      <c r="Y279">
        <v>18</v>
      </c>
      <c r="Z279" t="s">
        <v>59</v>
      </c>
      <c r="AA279" t="s">
        <v>59</v>
      </c>
      <c r="AB279" t="s">
        <v>59</v>
      </c>
      <c r="AC279" t="s">
        <v>59</v>
      </c>
      <c r="AD279" t="s">
        <v>59</v>
      </c>
      <c r="AF279" s="1">
        <v>34947</v>
      </c>
      <c r="AG279" t="s">
        <v>148</v>
      </c>
      <c r="AH279" t="s">
        <v>149</v>
      </c>
      <c r="AI279" t="str">
        <f>"1790210"</f>
        <v>1790210</v>
      </c>
      <c r="AJ279" t="s">
        <v>417</v>
      </c>
      <c r="AK279">
        <v>2810252172</v>
      </c>
      <c r="AL279" t="s">
        <v>418</v>
      </c>
      <c r="AM279" t="s">
        <v>78</v>
      </c>
      <c r="AN279" t="s">
        <v>78</v>
      </c>
      <c r="AO279" t="s">
        <v>78</v>
      </c>
      <c r="AP279" t="s">
        <v>141</v>
      </c>
      <c r="AQ279">
        <v>7</v>
      </c>
      <c r="AR279" t="s">
        <v>123</v>
      </c>
      <c r="AS279" t="s">
        <v>124</v>
      </c>
      <c r="AT279" t="s">
        <v>58</v>
      </c>
      <c r="AU279" t="s">
        <v>68</v>
      </c>
      <c r="AV279" t="s">
        <v>69</v>
      </c>
      <c r="AW279" s="1">
        <v>24056</v>
      </c>
      <c r="AX279">
        <v>2</v>
      </c>
    </row>
    <row r="280" spans="1:50">
      <c r="A280">
        <v>215343</v>
      </c>
      <c r="B280" t="str">
        <f>"075410308"</f>
        <v>075410308</v>
      </c>
      <c r="C280" t="s">
        <v>105</v>
      </c>
      <c r="D280" t="s">
        <v>1025</v>
      </c>
      <c r="E280" t="s">
        <v>166</v>
      </c>
      <c r="F280" t="s">
        <v>920</v>
      </c>
      <c r="G280" t="s">
        <v>255</v>
      </c>
      <c r="H280" t="str">
        <f>"ΚΟΝΤΟΧΑ 8 ΑΡΧΑΝΕΣ ΗΡΑΚΛΕΙΟΥ ΚΡΗΤΗΣ"</f>
        <v>ΚΟΝΤΟΧΑ 8 ΑΡΧΑΝΕΣ ΗΡΑΚΛΕΙΟΥ ΚΡΗΤΗΣ</v>
      </c>
      <c r="I280">
        <v>70100</v>
      </c>
      <c r="J280">
        <v>2810752490</v>
      </c>
      <c r="K280">
        <v>6945337114</v>
      </c>
      <c r="M280" t="s">
        <v>1026</v>
      </c>
      <c r="N280" t="s">
        <v>204</v>
      </c>
      <c r="O280" t="s">
        <v>205</v>
      </c>
      <c r="R280" t="s">
        <v>57</v>
      </c>
      <c r="S280">
        <v>6</v>
      </c>
      <c r="T280">
        <v>231</v>
      </c>
      <c r="U280" s="1">
        <v>38960</v>
      </c>
      <c r="V280" t="s">
        <v>123</v>
      </c>
      <c r="W280" t="s">
        <v>124</v>
      </c>
      <c r="X280" t="s">
        <v>58</v>
      </c>
      <c r="Y280">
        <v>20</v>
      </c>
      <c r="Z280" t="s">
        <v>59</v>
      </c>
      <c r="AA280" t="s">
        <v>59</v>
      </c>
      <c r="AB280" t="s">
        <v>59</v>
      </c>
      <c r="AC280" t="s">
        <v>59</v>
      </c>
      <c r="AD280" t="s">
        <v>59</v>
      </c>
      <c r="AF280" s="1">
        <v>38961</v>
      </c>
      <c r="AG280" t="s">
        <v>148</v>
      </c>
      <c r="AH280" t="s">
        <v>149</v>
      </c>
      <c r="AI280" t="str">
        <f>"1758010"</f>
        <v>1758010</v>
      </c>
      <c r="AJ280" t="s">
        <v>575</v>
      </c>
      <c r="AK280">
        <v>2893022145</v>
      </c>
      <c r="AL280" t="s">
        <v>576</v>
      </c>
      <c r="AM280" t="s">
        <v>78</v>
      </c>
      <c r="AN280" t="s">
        <v>424</v>
      </c>
      <c r="AO280" t="s">
        <v>577</v>
      </c>
      <c r="AP280" t="s">
        <v>578</v>
      </c>
      <c r="AQ280">
        <v>24</v>
      </c>
      <c r="AR280" t="s">
        <v>123</v>
      </c>
      <c r="AS280" t="s">
        <v>124</v>
      </c>
      <c r="AT280" t="s">
        <v>58</v>
      </c>
      <c r="AU280" t="s">
        <v>68</v>
      </c>
      <c r="AV280" t="s">
        <v>69</v>
      </c>
      <c r="AW280" s="1">
        <v>28636</v>
      </c>
      <c r="AX280">
        <v>2</v>
      </c>
    </row>
    <row r="281" spans="1:50">
      <c r="A281">
        <v>172248</v>
      </c>
      <c r="B281" t="str">
        <f>"044167159"</f>
        <v>044167159</v>
      </c>
      <c r="C281" t="s">
        <v>50</v>
      </c>
      <c r="D281" t="s">
        <v>1027</v>
      </c>
      <c r="E281" t="s">
        <v>809</v>
      </c>
      <c r="F281" t="s">
        <v>84</v>
      </c>
      <c r="G281" t="s">
        <v>620</v>
      </c>
      <c r="H281" t="str">
        <f>" "</f>
        <v xml:space="preserve"> </v>
      </c>
      <c r="M281" t="s">
        <v>1028</v>
      </c>
      <c r="N281" t="s">
        <v>282</v>
      </c>
      <c r="O281" t="s">
        <v>283</v>
      </c>
      <c r="P281" t="s">
        <v>615</v>
      </c>
      <c r="Q281" t="s">
        <v>616</v>
      </c>
      <c r="R281" t="s">
        <v>57</v>
      </c>
      <c r="S281">
        <v>12</v>
      </c>
      <c r="T281">
        <v>184</v>
      </c>
      <c r="U281" s="1">
        <v>34941</v>
      </c>
      <c r="V281" t="s">
        <v>123</v>
      </c>
      <c r="W281" t="s">
        <v>124</v>
      </c>
      <c r="X281" t="s">
        <v>58</v>
      </c>
      <c r="Y281">
        <v>18</v>
      </c>
      <c r="Z281" t="s">
        <v>59</v>
      </c>
      <c r="AA281" t="s">
        <v>59</v>
      </c>
      <c r="AB281" t="s">
        <v>59</v>
      </c>
      <c r="AC281" t="s">
        <v>59</v>
      </c>
      <c r="AD281" t="s">
        <v>59</v>
      </c>
      <c r="AF281" s="1">
        <v>34943</v>
      </c>
      <c r="AG281" t="s">
        <v>125</v>
      </c>
      <c r="AH281" t="s">
        <v>126</v>
      </c>
      <c r="AI281" t="str">
        <f>"1701040"</f>
        <v>1701040</v>
      </c>
      <c r="AJ281" t="s">
        <v>748</v>
      </c>
      <c r="AK281">
        <v>2810252459</v>
      </c>
      <c r="AL281" t="s">
        <v>749</v>
      </c>
      <c r="AM281" t="s">
        <v>78</v>
      </c>
      <c r="AN281" t="s">
        <v>78</v>
      </c>
      <c r="AO281" t="s">
        <v>78</v>
      </c>
      <c r="AP281" t="s">
        <v>141</v>
      </c>
      <c r="AQ281">
        <v>3</v>
      </c>
      <c r="AR281" t="s">
        <v>123</v>
      </c>
      <c r="AS281" t="s">
        <v>124</v>
      </c>
      <c r="AT281" t="s">
        <v>58</v>
      </c>
      <c r="AU281" t="s">
        <v>68</v>
      </c>
      <c r="AV281" t="s">
        <v>69</v>
      </c>
      <c r="AW281" s="1">
        <v>22493</v>
      </c>
      <c r="AX281">
        <v>2</v>
      </c>
    </row>
    <row r="282" spans="1:50">
      <c r="B282" t="str">
        <f>"031603169"</f>
        <v>031603169</v>
      </c>
      <c r="C282" t="s">
        <v>50</v>
      </c>
      <c r="D282" t="s">
        <v>1027</v>
      </c>
      <c r="E282" t="s">
        <v>52</v>
      </c>
      <c r="F282" t="s">
        <v>510</v>
      </c>
      <c r="G282" t="s">
        <v>1029</v>
      </c>
      <c r="H282" t="str">
        <f>"ΑΝΔΡΕΑ ΠΑΠΑΝΔΡΕΟΥ 80 ΜΑΣΤΑΜΠΑΣ"</f>
        <v>ΑΝΔΡΕΑ ΠΑΠΑΝΔΡΕΟΥ 80 ΜΑΣΤΑΜΠΑΣ</v>
      </c>
      <c r="I282">
        <v>71305</v>
      </c>
      <c r="J282">
        <v>2810322780</v>
      </c>
      <c r="K282">
        <v>6974605067</v>
      </c>
      <c r="M282" t="s">
        <v>1030</v>
      </c>
      <c r="N282" t="s">
        <v>146</v>
      </c>
      <c r="O282" t="s">
        <v>147</v>
      </c>
      <c r="R282" t="s">
        <v>57</v>
      </c>
      <c r="S282">
        <v>6</v>
      </c>
      <c r="T282" t="s">
        <v>416</v>
      </c>
      <c r="U282" s="1">
        <v>43349</v>
      </c>
      <c r="V282" t="s">
        <v>123</v>
      </c>
      <c r="W282" t="s">
        <v>124</v>
      </c>
      <c r="X282" t="s">
        <v>58</v>
      </c>
      <c r="Y282">
        <v>21</v>
      </c>
      <c r="Z282" t="s">
        <v>59</v>
      </c>
      <c r="AA282" t="s">
        <v>59</v>
      </c>
      <c r="AB282" t="s">
        <v>59</v>
      </c>
      <c r="AC282" t="s">
        <v>59</v>
      </c>
      <c r="AD282" t="s">
        <v>59</v>
      </c>
      <c r="AF282" s="1">
        <v>43349</v>
      </c>
      <c r="AG282" t="s">
        <v>148</v>
      </c>
      <c r="AH282" t="s">
        <v>149</v>
      </c>
      <c r="AI282" t="str">
        <f>"1759010"</f>
        <v>1759010</v>
      </c>
      <c r="AJ282" t="s">
        <v>403</v>
      </c>
      <c r="AK282">
        <v>2894022127</v>
      </c>
      <c r="AL282" t="s">
        <v>404</v>
      </c>
      <c r="AM282" t="s">
        <v>78</v>
      </c>
      <c r="AN282" t="s">
        <v>405</v>
      </c>
      <c r="AO282" t="s">
        <v>406</v>
      </c>
      <c r="AP282" t="s">
        <v>406</v>
      </c>
      <c r="AQ282">
        <v>30</v>
      </c>
      <c r="AR282" t="s">
        <v>123</v>
      </c>
      <c r="AS282" t="s">
        <v>124</v>
      </c>
      <c r="AT282" t="s">
        <v>58</v>
      </c>
      <c r="AU282" t="s">
        <v>419</v>
      </c>
      <c r="AV282" t="s">
        <v>132</v>
      </c>
      <c r="AW282" s="1">
        <v>25303</v>
      </c>
      <c r="AX282">
        <v>2</v>
      </c>
    </row>
    <row r="283" spans="1:50">
      <c r="B283" t="str">
        <f>"130177711"</f>
        <v>130177711</v>
      </c>
      <c r="C283" t="s">
        <v>50</v>
      </c>
      <c r="D283" t="s">
        <v>1031</v>
      </c>
      <c r="E283" t="s">
        <v>188</v>
      </c>
      <c r="F283" t="s">
        <v>1032</v>
      </c>
      <c r="G283" t="s">
        <v>620</v>
      </c>
      <c r="H283" t="str">
        <f>"ΛΥΚΟΥΡΓΟΥ 8 ΗΡΑΚΛΕΙΟ"</f>
        <v>ΛΥΚΟΥΡΓΟΥ 8 ΗΡΑΚΛΕΙΟ</v>
      </c>
      <c r="I283">
        <v>71307</v>
      </c>
      <c r="J283">
        <v>2810761224</v>
      </c>
      <c r="K283">
        <v>6947770418</v>
      </c>
      <c r="M283" t="s">
        <v>1033</v>
      </c>
      <c r="N283" t="s">
        <v>146</v>
      </c>
      <c r="O283" t="s">
        <v>147</v>
      </c>
      <c r="R283" t="s">
        <v>159</v>
      </c>
      <c r="S283">
        <v>4</v>
      </c>
      <c r="T283" t="s">
        <v>416</v>
      </c>
      <c r="U283" s="1">
        <v>43349</v>
      </c>
      <c r="V283" t="s">
        <v>123</v>
      </c>
      <c r="W283" t="s">
        <v>124</v>
      </c>
      <c r="X283" t="s">
        <v>58</v>
      </c>
      <c r="Y283">
        <v>21</v>
      </c>
      <c r="Z283" t="s">
        <v>59</v>
      </c>
      <c r="AA283" t="s">
        <v>59</v>
      </c>
      <c r="AB283" t="s">
        <v>59</v>
      </c>
      <c r="AC283" t="s">
        <v>59</v>
      </c>
      <c r="AD283" t="s">
        <v>59</v>
      </c>
      <c r="AF283" s="1">
        <v>43349</v>
      </c>
      <c r="AG283" t="s">
        <v>125</v>
      </c>
      <c r="AH283" t="s">
        <v>386</v>
      </c>
      <c r="AI283" t="str">
        <f>"1741002"</f>
        <v>1741002</v>
      </c>
      <c r="AJ283" t="s">
        <v>387</v>
      </c>
      <c r="AK283">
        <v>2810762610</v>
      </c>
      <c r="AL283" t="s">
        <v>388</v>
      </c>
      <c r="AM283" t="s">
        <v>78</v>
      </c>
      <c r="AN283" t="s">
        <v>219</v>
      </c>
      <c r="AO283" t="s">
        <v>297</v>
      </c>
      <c r="AP283" t="s">
        <v>297</v>
      </c>
      <c r="AQ283">
        <v>10</v>
      </c>
      <c r="AR283" t="s">
        <v>123</v>
      </c>
      <c r="AS283" t="s">
        <v>124</v>
      </c>
      <c r="AT283" t="s">
        <v>58</v>
      </c>
      <c r="AU283" t="s">
        <v>419</v>
      </c>
      <c r="AV283" t="s">
        <v>132</v>
      </c>
      <c r="AW283" s="1">
        <v>30149</v>
      </c>
      <c r="AX283">
        <v>2</v>
      </c>
    </row>
    <row r="284" spans="1:50">
      <c r="A284">
        <v>169377</v>
      </c>
      <c r="B284" t="str">
        <f>"038585316"</f>
        <v>038585316</v>
      </c>
      <c r="C284" t="s">
        <v>105</v>
      </c>
      <c r="D284" t="s">
        <v>1034</v>
      </c>
      <c r="E284" t="s">
        <v>166</v>
      </c>
      <c r="F284" t="s">
        <v>321</v>
      </c>
      <c r="G284" t="s">
        <v>155</v>
      </c>
      <c r="H284" t="str">
        <f>"ΜΑΝΟΛΗ ΣΑΒΒΑΚΗ 8 ΗΡΑΚΛΕΙΟ"</f>
        <v>ΜΑΝΟΛΗ ΣΑΒΒΑΚΗ 8 ΗΡΑΚΛΕΙΟ</v>
      </c>
      <c r="J284">
        <v>2810323491</v>
      </c>
      <c r="K284">
        <v>6980016059</v>
      </c>
      <c r="M284" t="s">
        <v>1035</v>
      </c>
      <c r="N284" t="s">
        <v>157</v>
      </c>
      <c r="O284" t="s">
        <v>158</v>
      </c>
      <c r="R284" t="s">
        <v>57</v>
      </c>
      <c r="S284">
        <v>13</v>
      </c>
      <c r="T284">
        <v>184</v>
      </c>
      <c r="U284" s="1">
        <v>34941</v>
      </c>
      <c r="V284" t="s">
        <v>123</v>
      </c>
      <c r="W284" t="s">
        <v>124</v>
      </c>
      <c r="X284" t="s">
        <v>58</v>
      </c>
      <c r="Y284">
        <v>18</v>
      </c>
      <c r="Z284" t="s">
        <v>59</v>
      </c>
      <c r="AA284" t="s">
        <v>59</v>
      </c>
      <c r="AB284" t="s">
        <v>59</v>
      </c>
      <c r="AC284" t="s">
        <v>59</v>
      </c>
      <c r="AD284" t="s">
        <v>59</v>
      </c>
      <c r="AF284" s="1">
        <v>34947</v>
      </c>
      <c r="AG284" t="s">
        <v>125</v>
      </c>
      <c r="AH284" t="s">
        <v>359</v>
      </c>
      <c r="AI284" t="str">
        <f>"1701060"</f>
        <v>1701060</v>
      </c>
      <c r="AJ284" t="s">
        <v>360</v>
      </c>
      <c r="AK284">
        <v>2810223424</v>
      </c>
      <c r="AL284" t="s">
        <v>361</v>
      </c>
      <c r="AM284" t="s">
        <v>78</v>
      </c>
      <c r="AN284" t="s">
        <v>78</v>
      </c>
      <c r="AO284" t="s">
        <v>78</v>
      </c>
      <c r="AP284" t="s">
        <v>79</v>
      </c>
      <c r="AQ284">
        <v>1</v>
      </c>
      <c r="AR284" t="s">
        <v>123</v>
      </c>
      <c r="AS284" t="s">
        <v>124</v>
      </c>
      <c r="AT284" t="s">
        <v>58</v>
      </c>
      <c r="AU284" t="s">
        <v>68</v>
      </c>
      <c r="AV284" t="s">
        <v>69</v>
      </c>
      <c r="AW284" s="1">
        <v>23564</v>
      </c>
      <c r="AX284">
        <v>2</v>
      </c>
    </row>
    <row r="285" spans="1:50">
      <c r="A285">
        <v>215013</v>
      </c>
      <c r="B285" t="str">
        <f>"048012546"</f>
        <v>048012546</v>
      </c>
      <c r="C285" t="s">
        <v>105</v>
      </c>
      <c r="D285" t="s">
        <v>1036</v>
      </c>
      <c r="E285" t="s">
        <v>95</v>
      </c>
      <c r="F285" t="s">
        <v>383</v>
      </c>
      <c r="G285" t="s">
        <v>250</v>
      </c>
      <c r="H285" t="str">
        <f>" "</f>
        <v xml:space="preserve"> </v>
      </c>
      <c r="J285">
        <v>2810238048</v>
      </c>
      <c r="K285">
        <v>6972112740</v>
      </c>
      <c r="N285" t="s">
        <v>331</v>
      </c>
      <c r="O285" t="s">
        <v>332</v>
      </c>
      <c r="R285" t="s">
        <v>57</v>
      </c>
      <c r="S285">
        <v>9</v>
      </c>
      <c r="T285">
        <v>231</v>
      </c>
      <c r="U285" s="1">
        <v>38960</v>
      </c>
      <c r="V285" t="s">
        <v>123</v>
      </c>
      <c r="W285" t="s">
        <v>124</v>
      </c>
      <c r="X285" t="s">
        <v>58</v>
      </c>
      <c r="Y285">
        <v>20</v>
      </c>
      <c r="Z285" t="s">
        <v>59</v>
      </c>
      <c r="AA285" t="s">
        <v>59</v>
      </c>
      <c r="AB285" t="s">
        <v>59</v>
      </c>
      <c r="AC285" t="s">
        <v>59</v>
      </c>
      <c r="AD285" t="s">
        <v>59</v>
      </c>
      <c r="AF285" s="1">
        <v>38961</v>
      </c>
      <c r="AG285" t="s">
        <v>137</v>
      </c>
      <c r="AH285" t="s">
        <v>138</v>
      </c>
      <c r="AI285" t="str">
        <f>"1750080"</f>
        <v>1750080</v>
      </c>
      <c r="AJ285" t="s">
        <v>170</v>
      </c>
      <c r="AK285">
        <v>2810234444</v>
      </c>
      <c r="AL285" t="s">
        <v>171</v>
      </c>
      <c r="AM285" t="s">
        <v>78</v>
      </c>
      <c r="AN285" t="s">
        <v>78</v>
      </c>
      <c r="AO285" t="s">
        <v>78</v>
      </c>
      <c r="AP285" t="s">
        <v>163</v>
      </c>
      <c r="AQ285">
        <v>9</v>
      </c>
      <c r="AR285" t="s">
        <v>123</v>
      </c>
      <c r="AS285" t="s">
        <v>124</v>
      </c>
      <c r="AT285" t="s">
        <v>58</v>
      </c>
      <c r="AU285" t="s">
        <v>68</v>
      </c>
      <c r="AV285" t="s">
        <v>69</v>
      </c>
      <c r="AW285" s="1">
        <v>27628</v>
      </c>
      <c r="AX285">
        <v>2</v>
      </c>
    </row>
    <row r="286" spans="1:50">
      <c r="B286" t="str">
        <f>"070517670"</f>
        <v>070517670</v>
      </c>
      <c r="C286" t="s">
        <v>105</v>
      </c>
      <c r="D286" t="s">
        <v>1037</v>
      </c>
      <c r="E286" t="s">
        <v>99</v>
      </c>
      <c r="F286" t="s">
        <v>670</v>
      </c>
      <c r="G286" t="s">
        <v>476</v>
      </c>
      <c r="H286" t="str">
        <f>"ΒΑΡΝΑΣ 1 ΣΤΕΝΗΜΑΧΟΣ"</f>
        <v>ΒΑΡΝΑΣ 1 ΣΤΕΝΗΜΑΧΟΣ</v>
      </c>
      <c r="I286">
        <v>66100</v>
      </c>
      <c r="J286">
        <v>2521032820</v>
      </c>
      <c r="K286">
        <v>6936571572</v>
      </c>
      <c r="M286" t="s">
        <v>1038</v>
      </c>
      <c r="N286" t="s">
        <v>1039</v>
      </c>
      <c r="O286" t="s">
        <v>1040</v>
      </c>
      <c r="R286" t="s">
        <v>159</v>
      </c>
      <c r="S286">
        <v>5</v>
      </c>
      <c r="T286" t="s">
        <v>344</v>
      </c>
      <c r="U286" s="1">
        <v>43348</v>
      </c>
      <c r="V286" t="s">
        <v>123</v>
      </c>
      <c r="W286" t="s">
        <v>124</v>
      </c>
      <c r="X286" t="s">
        <v>58</v>
      </c>
      <c r="Y286">
        <v>23</v>
      </c>
      <c r="Z286" t="s">
        <v>59</v>
      </c>
      <c r="AA286" t="s">
        <v>59</v>
      </c>
      <c r="AB286" t="s">
        <v>59</v>
      </c>
      <c r="AC286" t="s">
        <v>59</v>
      </c>
      <c r="AD286" t="s">
        <v>59</v>
      </c>
      <c r="AF286" s="1">
        <v>43348</v>
      </c>
      <c r="AG286" t="s">
        <v>125</v>
      </c>
      <c r="AH286" t="s">
        <v>590</v>
      </c>
      <c r="AI286" t="str">
        <f>"1740060"</f>
        <v>1740060</v>
      </c>
      <c r="AJ286" t="s">
        <v>591</v>
      </c>
      <c r="AK286">
        <v>2810232117</v>
      </c>
      <c r="AL286" t="s">
        <v>592</v>
      </c>
      <c r="AM286" t="s">
        <v>78</v>
      </c>
      <c r="AN286" t="s">
        <v>78</v>
      </c>
      <c r="AO286" t="s">
        <v>78</v>
      </c>
      <c r="AP286" t="s">
        <v>141</v>
      </c>
      <c r="AQ286">
        <v>11</v>
      </c>
      <c r="AR286" t="s">
        <v>123</v>
      </c>
      <c r="AS286" t="s">
        <v>124</v>
      </c>
      <c r="AT286" t="s">
        <v>58</v>
      </c>
      <c r="AU286" t="s">
        <v>350</v>
      </c>
      <c r="AV286" t="s">
        <v>132</v>
      </c>
      <c r="AW286" s="1">
        <v>29657</v>
      </c>
      <c r="AX286">
        <v>2</v>
      </c>
    </row>
    <row r="287" spans="1:50">
      <c r="A287">
        <v>167116</v>
      </c>
      <c r="B287" t="str">
        <f>"044582750"</f>
        <v>044582750</v>
      </c>
      <c r="C287" t="s">
        <v>105</v>
      </c>
      <c r="D287" t="s">
        <v>1037</v>
      </c>
      <c r="E287" t="s">
        <v>1041</v>
      </c>
      <c r="F287" t="s">
        <v>989</v>
      </c>
      <c r="G287" t="s">
        <v>1042</v>
      </c>
      <c r="H287" t="str">
        <f>"Ηρακλή 72 Ηράκλειο"</f>
        <v>Ηρακλή 72 Ηράκλειο</v>
      </c>
      <c r="I287">
        <v>71305</v>
      </c>
      <c r="J287">
        <v>2810319498</v>
      </c>
      <c r="K287">
        <v>6978463538</v>
      </c>
      <c r="M287" t="s">
        <v>1043</v>
      </c>
      <c r="N287" t="s">
        <v>204</v>
      </c>
      <c r="O287" t="s">
        <v>205</v>
      </c>
      <c r="R287" t="s">
        <v>57</v>
      </c>
      <c r="S287">
        <v>12</v>
      </c>
      <c r="T287">
        <v>154</v>
      </c>
      <c r="U287" s="1">
        <v>34225</v>
      </c>
      <c r="V287" t="s">
        <v>123</v>
      </c>
      <c r="W287" t="s">
        <v>124</v>
      </c>
      <c r="X287" t="s">
        <v>58</v>
      </c>
      <c r="Y287">
        <v>18</v>
      </c>
      <c r="Z287" t="s">
        <v>59</v>
      </c>
      <c r="AA287" t="s">
        <v>59</v>
      </c>
      <c r="AB287" t="s">
        <v>59</v>
      </c>
      <c r="AC287" t="s">
        <v>59</v>
      </c>
      <c r="AD287" t="s">
        <v>452</v>
      </c>
      <c r="AE287" s="1">
        <v>43708</v>
      </c>
      <c r="AF287" s="1">
        <v>34226</v>
      </c>
      <c r="AG287" t="s">
        <v>60</v>
      </c>
      <c r="AH287" t="s">
        <v>453</v>
      </c>
      <c r="AI287" t="str">
        <f>"1700105"</f>
        <v>1700105</v>
      </c>
      <c r="AJ287" t="s">
        <v>124</v>
      </c>
      <c r="AK287">
        <v>2810333720</v>
      </c>
      <c r="AL287" t="s">
        <v>454</v>
      </c>
      <c r="AM287" t="s">
        <v>78</v>
      </c>
      <c r="AN287" t="s">
        <v>78</v>
      </c>
      <c r="AO287" t="s">
        <v>78</v>
      </c>
      <c r="AP287" t="s">
        <v>79</v>
      </c>
      <c r="AS287" t="s">
        <v>124</v>
      </c>
      <c r="AT287" t="s">
        <v>58</v>
      </c>
      <c r="AU287" t="s">
        <v>68</v>
      </c>
      <c r="AV287" t="s">
        <v>455</v>
      </c>
      <c r="AW287" s="1">
        <v>24163</v>
      </c>
      <c r="AX287">
        <v>2</v>
      </c>
    </row>
    <row r="288" spans="1:50">
      <c r="A288">
        <v>212622</v>
      </c>
      <c r="B288" t="str">
        <f>"051891781"</f>
        <v>051891781</v>
      </c>
      <c r="C288" t="s">
        <v>50</v>
      </c>
      <c r="D288" t="s">
        <v>1044</v>
      </c>
      <c r="E288" t="s">
        <v>54</v>
      </c>
      <c r="F288" t="s">
        <v>53</v>
      </c>
      <c r="G288" t="s">
        <v>237</v>
      </c>
      <c r="H288" t="str">
        <f>"ΘΕΟΓΝΗ 9 ΗΡΑΚΛΕΙΟ"</f>
        <v>ΘΕΟΓΝΗ 9 ΗΡΑΚΛΕΙΟ</v>
      </c>
      <c r="I288">
        <v>71409</v>
      </c>
      <c r="J288">
        <v>2810322399</v>
      </c>
      <c r="K288">
        <v>6944615423</v>
      </c>
      <c r="M288" t="s">
        <v>1045</v>
      </c>
      <c r="N288" t="s">
        <v>292</v>
      </c>
      <c r="O288" t="s">
        <v>293</v>
      </c>
      <c r="R288" t="s">
        <v>57</v>
      </c>
      <c r="S288">
        <v>5</v>
      </c>
      <c r="T288">
        <v>231</v>
      </c>
      <c r="U288" s="1">
        <v>38960</v>
      </c>
      <c r="V288" t="s">
        <v>123</v>
      </c>
      <c r="W288" t="s">
        <v>124</v>
      </c>
      <c r="X288" t="s">
        <v>58</v>
      </c>
      <c r="Y288">
        <v>20</v>
      </c>
      <c r="Z288" t="s">
        <v>59</v>
      </c>
      <c r="AA288" t="s">
        <v>59</v>
      </c>
      <c r="AB288" t="s">
        <v>59</v>
      </c>
      <c r="AC288" t="s">
        <v>59</v>
      </c>
      <c r="AD288" t="s">
        <v>59</v>
      </c>
      <c r="AF288" s="1">
        <v>38961</v>
      </c>
      <c r="AG288" t="s">
        <v>137</v>
      </c>
      <c r="AH288" t="s">
        <v>138</v>
      </c>
      <c r="AI288" t="str">
        <f>"1740100"</f>
        <v>1740100</v>
      </c>
      <c r="AJ288" t="s">
        <v>857</v>
      </c>
      <c r="AK288">
        <v>2810360741</v>
      </c>
      <c r="AL288" t="s">
        <v>858</v>
      </c>
      <c r="AM288" t="s">
        <v>78</v>
      </c>
      <c r="AN288" t="s">
        <v>78</v>
      </c>
      <c r="AO288" t="s">
        <v>78</v>
      </c>
      <c r="AP288" t="s">
        <v>163</v>
      </c>
      <c r="AQ288">
        <v>5</v>
      </c>
      <c r="AR288" t="s">
        <v>123</v>
      </c>
      <c r="AS288" t="s">
        <v>124</v>
      </c>
      <c r="AT288" t="s">
        <v>58</v>
      </c>
      <c r="AU288" t="s">
        <v>68</v>
      </c>
      <c r="AV288" t="s">
        <v>69</v>
      </c>
      <c r="AW288" s="1">
        <v>26241</v>
      </c>
      <c r="AX288">
        <v>2</v>
      </c>
    </row>
    <row r="289" spans="1:50">
      <c r="A289">
        <v>139986</v>
      </c>
      <c r="B289" t="str">
        <f>"027197001"</f>
        <v>027197001</v>
      </c>
      <c r="C289" t="s">
        <v>105</v>
      </c>
      <c r="D289" t="s">
        <v>1046</v>
      </c>
      <c r="E289" t="s">
        <v>166</v>
      </c>
      <c r="F289" t="s">
        <v>84</v>
      </c>
      <c r="G289" t="s">
        <v>255</v>
      </c>
      <c r="H289" t="str">
        <f>"Ι. ΣΚΟΥΝΤΗ 3 ΜΟΙΡΕΣ "</f>
        <v xml:space="preserve">Ι. ΣΚΟΥΝΤΗ 3 ΜΟΙΡΕΣ </v>
      </c>
      <c r="I289">
        <v>70400</v>
      </c>
      <c r="J289">
        <v>2892024160</v>
      </c>
      <c r="K289">
        <v>6974320839</v>
      </c>
      <c r="M289" t="s">
        <v>1047</v>
      </c>
      <c r="N289" t="s">
        <v>146</v>
      </c>
      <c r="O289" t="s">
        <v>147</v>
      </c>
      <c r="R289" t="s">
        <v>57</v>
      </c>
      <c r="S289">
        <v>18</v>
      </c>
      <c r="T289">
        <v>311</v>
      </c>
      <c r="U289" s="1">
        <v>30253</v>
      </c>
      <c r="V289" t="s">
        <v>123</v>
      </c>
      <c r="W289" t="s">
        <v>124</v>
      </c>
      <c r="X289" t="s">
        <v>58</v>
      </c>
      <c r="Y289">
        <v>18</v>
      </c>
      <c r="Z289" t="s">
        <v>59</v>
      </c>
      <c r="AA289" t="s">
        <v>59</v>
      </c>
      <c r="AB289" t="s">
        <v>59</v>
      </c>
      <c r="AC289" t="s">
        <v>59</v>
      </c>
      <c r="AD289" t="s">
        <v>59</v>
      </c>
      <c r="AF289" s="1">
        <v>30260</v>
      </c>
      <c r="AG289" t="s">
        <v>125</v>
      </c>
      <c r="AH289" t="s">
        <v>126</v>
      </c>
      <c r="AI289" t="str">
        <f>"1706010"</f>
        <v>1706010</v>
      </c>
      <c r="AJ289" t="s">
        <v>391</v>
      </c>
      <c r="AK289">
        <v>2892022286</v>
      </c>
      <c r="AL289" t="s">
        <v>392</v>
      </c>
      <c r="AM289" t="s">
        <v>78</v>
      </c>
      <c r="AN289" t="s">
        <v>242</v>
      </c>
      <c r="AO289" t="s">
        <v>243</v>
      </c>
      <c r="AP289" t="s">
        <v>243</v>
      </c>
      <c r="AQ289">
        <v>33</v>
      </c>
      <c r="AR289" t="s">
        <v>123</v>
      </c>
      <c r="AS289" t="s">
        <v>124</v>
      </c>
      <c r="AT289" t="s">
        <v>58</v>
      </c>
      <c r="AU289" t="s">
        <v>68</v>
      </c>
      <c r="AV289" t="s">
        <v>69</v>
      </c>
      <c r="AW289" s="1">
        <v>20904</v>
      </c>
      <c r="AX289">
        <v>2</v>
      </c>
    </row>
    <row r="290" spans="1:50">
      <c r="A290">
        <v>226266</v>
      </c>
      <c r="B290" t="str">
        <f>"065862840"</f>
        <v>065862840</v>
      </c>
      <c r="C290" t="s">
        <v>50</v>
      </c>
      <c r="D290" t="s">
        <v>1048</v>
      </c>
      <c r="E290" t="s">
        <v>1049</v>
      </c>
      <c r="F290" t="s">
        <v>154</v>
      </c>
      <c r="G290" t="s">
        <v>52</v>
      </c>
      <c r="H290" t="str">
        <f>"ΚΝΩΣΣΟΥ 72 &amp; ΠΑΠΑΔΙΑΜΑΝΤΗ 14 ΠΕΤΡΟΥΠΟΛΗ"</f>
        <v>ΚΝΩΣΣΟΥ 72 &amp; ΠΑΠΑΔΙΑΜΑΝΤΗ 14 ΠΕΤΡΟΥΠΟΛΗ</v>
      </c>
      <c r="I290">
        <v>13231</v>
      </c>
      <c r="J290">
        <v>2102710637</v>
      </c>
      <c r="K290">
        <v>6949122983</v>
      </c>
      <c r="M290" t="s">
        <v>1050</v>
      </c>
      <c r="N290" t="s">
        <v>157</v>
      </c>
      <c r="O290" t="s">
        <v>158</v>
      </c>
      <c r="P290" t="s">
        <v>146</v>
      </c>
      <c r="Q290" t="s">
        <v>147</v>
      </c>
      <c r="R290" t="s">
        <v>57</v>
      </c>
      <c r="S290">
        <v>7</v>
      </c>
      <c r="T290">
        <v>654</v>
      </c>
      <c r="U290" s="1">
        <v>40043</v>
      </c>
      <c r="V290" t="s">
        <v>123</v>
      </c>
      <c r="W290" t="s">
        <v>124</v>
      </c>
      <c r="X290" t="s">
        <v>58</v>
      </c>
      <c r="Y290">
        <v>21</v>
      </c>
      <c r="Z290" t="s">
        <v>59</v>
      </c>
      <c r="AA290" t="s">
        <v>59</v>
      </c>
      <c r="AB290" t="s">
        <v>59</v>
      </c>
      <c r="AC290" t="s">
        <v>59</v>
      </c>
      <c r="AD290" t="s">
        <v>59</v>
      </c>
      <c r="AF290" s="1">
        <v>40045</v>
      </c>
      <c r="AG290" t="s">
        <v>125</v>
      </c>
      <c r="AH290" t="s">
        <v>126</v>
      </c>
      <c r="AI290" t="str">
        <f>"1717011"</f>
        <v>1717011</v>
      </c>
      <c r="AJ290" t="s">
        <v>832</v>
      </c>
      <c r="AK290">
        <v>2897023311</v>
      </c>
      <c r="AL290" t="s">
        <v>833</v>
      </c>
      <c r="AM290" t="s">
        <v>78</v>
      </c>
      <c r="AN290" t="s">
        <v>219</v>
      </c>
      <c r="AO290" t="s">
        <v>219</v>
      </c>
      <c r="AP290" t="s">
        <v>220</v>
      </c>
      <c r="AQ290">
        <v>20</v>
      </c>
      <c r="AR290" t="s">
        <v>123</v>
      </c>
      <c r="AS290" t="s">
        <v>124</v>
      </c>
      <c r="AT290" t="s">
        <v>58</v>
      </c>
      <c r="AU290" t="s">
        <v>68</v>
      </c>
      <c r="AV290" t="s">
        <v>69</v>
      </c>
      <c r="AW290" s="1">
        <v>27857</v>
      </c>
      <c r="AX290">
        <v>2</v>
      </c>
    </row>
    <row r="291" spans="1:50">
      <c r="A291">
        <v>213620</v>
      </c>
      <c r="B291" t="str">
        <f>"118822676"</f>
        <v>118822676</v>
      </c>
      <c r="C291" t="s">
        <v>50</v>
      </c>
      <c r="D291" t="s">
        <v>1051</v>
      </c>
      <c r="E291" t="s">
        <v>255</v>
      </c>
      <c r="F291" t="s">
        <v>1052</v>
      </c>
      <c r="G291" t="s">
        <v>263</v>
      </c>
      <c r="H291" t="str">
        <f>"Α.ΣΑΜΑΡΑΚΗ 9 ΗΡΑΚΛΕΙΟ"</f>
        <v>Α.ΣΑΜΑΡΑΚΗ 9 ΗΡΑΚΛΕΙΟ</v>
      </c>
      <c r="I291">
        <v>71409</v>
      </c>
      <c r="J291">
        <v>2510247624</v>
      </c>
      <c r="K291">
        <v>6975823477</v>
      </c>
      <c r="L291">
        <v>2811107560</v>
      </c>
      <c r="N291" t="s">
        <v>306</v>
      </c>
      <c r="O291" t="s">
        <v>307</v>
      </c>
      <c r="R291" t="s">
        <v>57</v>
      </c>
      <c r="S291">
        <v>8</v>
      </c>
      <c r="T291">
        <v>231</v>
      </c>
      <c r="U291" s="1">
        <v>38960</v>
      </c>
      <c r="V291" t="s">
        <v>123</v>
      </c>
      <c r="W291" t="s">
        <v>124</v>
      </c>
      <c r="X291" t="s">
        <v>58</v>
      </c>
      <c r="Y291">
        <v>20</v>
      </c>
      <c r="Z291" t="s">
        <v>59</v>
      </c>
      <c r="AA291" t="s">
        <v>59</v>
      </c>
      <c r="AB291" t="s">
        <v>59</v>
      </c>
      <c r="AC291" t="s">
        <v>59</v>
      </c>
      <c r="AD291" t="s">
        <v>59</v>
      </c>
      <c r="AF291" s="1">
        <v>38961</v>
      </c>
      <c r="AG291" t="s">
        <v>148</v>
      </c>
      <c r="AH291" t="s">
        <v>1053</v>
      </c>
      <c r="AI291" t="str">
        <f>"1790200"</f>
        <v>1790200</v>
      </c>
      <c r="AJ291" t="s">
        <v>1054</v>
      </c>
      <c r="AK291">
        <v>2810360880</v>
      </c>
      <c r="AL291" t="s">
        <v>1055</v>
      </c>
      <c r="AM291" t="s">
        <v>78</v>
      </c>
      <c r="AN291" t="s">
        <v>78</v>
      </c>
      <c r="AO291" t="s">
        <v>78</v>
      </c>
      <c r="AP291" t="s">
        <v>163</v>
      </c>
      <c r="AQ291">
        <v>8</v>
      </c>
      <c r="AR291" t="s">
        <v>123</v>
      </c>
      <c r="AS291" t="s">
        <v>124</v>
      </c>
      <c r="AT291" t="s">
        <v>58</v>
      </c>
      <c r="AU291" t="s">
        <v>68</v>
      </c>
      <c r="AV291" t="s">
        <v>69</v>
      </c>
      <c r="AW291" s="1">
        <v>28247</v>
      </c>
      <c r="AX291">
        <v>2</v>
      </c>
    </row>
    <row r="292" spans="1:50">
      <c r="A292">
        <v>187619</v>
      </c>
      <c r="B292" t="str">
        <f>"047402053"</f>
        <v>047402053</v>
      </c>
      <c r="C292" t="s">
        <v>105</v>
      </c>
      <c r="D292" t="s">
        <v>1056</v>
      </c>
      <c r="E292" t="s">
        <v>95</v>
      </c>
      <c r="F292" t="s">
        <v>106</v>
      </c>
      <c r="G292" t="s">
        <v>73</v>
      </c>
      <c r="H292" t="str">
        <f>" "</f>
        <v xml:space="preserve"> </v>
      </c>
      <c r="N292" t="s">
        <v>204</v>
      </c>
      <c r="O292" t="s">
        <v>205</v>
      </c>
      <c r="R292" t="s">
        <v>57</v>
      </c>
      <c r="S292">
        <v>12</v>
      </c>
      <c r="T292">
        <v>251</v>
      </c>
      <c r="U292" s="1">
        <v>36769</v>
      </c>
      <c r="V292" t="s">
        <v>123</v>
      </c>
      <c r="W292" t="s">
        <v>124</v>
      </c>
      <c r="X292" t="s">
        <v>58</v>
      </c>
      <c r="Y292">
        <v>20</v>
      </c>
      <c r="Z292" t="s">
        <v>59</v>
      </c>
      <c r="AA292" t="s">
        <v>59</v>
      </c>
      <c r="AB292" t="s">
        <v>59</v>
      </c>
      <c r="AC292" t="s">
        <v>59</v>
      </c>
      <c r="AD292" t="s">
        <v>59</v>
      </c>
      <c r="AF292" s="1">
        <v>36769</v>
      </c>
      <c r="AG292" t="s">
        <v>148</v>
      </c>
      <c r="AH292" t="s">
        <v>149</v>
      </c>
      <c r="AI292" t="str">
        <f>"1778010"</f>
        <v>1778010</v>
      </c>
      <c r="AJ292" t="s">
        <v>672</v>
      </c>
      <c r="AK292">
        <v>2810822455</v>
      </c>
      <c r="AL292" t="s">
        <v>673</v>
      </c>
      <c r="AM292" t="s">
        <v>78</v>
      </c>
      <c r="AN292" t="s">
        <v>129</v>
      </c>
      <c r="AO292" t="s">
        <v>130</v>
      </c>
      <c r="AP292" t="s">
        <v>130</v>
      </c>
      <c r="AQ292">
        <v>36</v>
      </c>
      <c r="AR292" t="s">
        <v>123</v>
      </c>
      <c r="AS292" t="s">
        <v>124</v>
      </c>
      <c r="AT292" t="s">
        <v>58</v>
      </c>
      <c r="AU292" t="s">
        <v>68</v>
      </c>
      <c r="AV292" t="s">
        <v>69</v>
      </c>
      <c r="AW292" s="1">
        <v>26296</v>
      </c>
      <c r="AX292">
        <v>2</v>
      </c>
    </row>
    <row r="293" spans="1:50">
      <c r="A293">
        <v>218835</v>
      </c>
      <c r="B293" t="str">
        <f>"079065075"</f>
        <v>079065075</v>
      </c>
      <c r="C293" t="s">
        <v>105</v>
      </c>
      <c r="D293" t="s">
        <v>1056</v>
      </c>
      <c r="E293" t="s">
        <v>166</v>
      </c>
      <c r="F293" t="s">
        <v>72</v>
      </c>
      <c r="G293" t="s">
        <v>341</v>
      </c>
      <c r="H293" t="str">
        <f>"Γερανίων 7 Μεσαμπελιές"</f>
        <v>Γερανίων 7 Μεσαμπελιές</v>
      </c>
      <c r="I293">
        <v>71409</v>
      </c>
      <c r="J293">
        <v>2811758460</v>
      </c>
      <c r="K293">
        <v>6972054971</v>
      </c>
      <c r="M293" t="s">
        <v>1057</v>
      </c>
      <c r="N293" t="s">
        <v>246</v>
      </c>
      <c r="O293" t="s">
        <v>247</v>
      </c>
      <c r="R293" t="s">
        <v>57</v>
      </c>
      <c r="S293">
        <v>8</v>
      </c>
      <c r="T293">
        <v>599</v>
      </c>
      <c r="U293" s="1">
        <v>39310</v>
      </c>
      <c r="V293" t="s">
        <v>123</v>
      </c>
      <c r="W293" t="s">
        <v>124</v>
      </c>
      <c r="X293" t="s">
        <v>58</v>
      </c>
      <c r="Y293">
        <v>20</v>
      </c>
      <c r="Z293" t="s">
        <v>59</v>
      </c>
      <c r="AA293" t="s">
        <v>59</v>
      </c>
      <c r="AB293" t="s">
        <v>59</v>
      </c>
      <c r="AC293" t="s">
        <v>59</v>
      </c>
      <c r="AD293" t="s">
        <v>59</v>
      </c>
      <c r="AF293" s="1">
        <v>39328</v>
      </c>
      <c r="AG293" t="s">
        <v>148</v>
      </c>
      <c r="AH293" t="s">
        <v>149</v>
      </c>
      <c r="AI293" t="str">
        <f>"1764010"</f>
        <v>1764010</v>
      </c>
      <c r="AJ293" t="s">
        <v>1058</v>
      </c>
      <c r="AK293">
        <v>2810762862</v>
      </c>
      <c r="AL293" t="s">
        <v>1059</v>
      </c>
      <c r="AM293" t="s">
        <v>78</v>
      </c>
      <c r="AN293" t="s">
        <v>219</v>
      </c>
      <c r="AO293" t="s">
        <v>297</v>
      </c>
      <c r="AP293" t="s">
        <v>297</v>
      </c>
      <c r="AQ293">
        <v>37</v>
      </c>
      <c r="AR293" t="s">
        <v>123</v>
      </c>
      <c r="AS293" t="s">
        <v>124</v>
      </c>
      <c r="AT293" t="s">
        <v>58</v>
      </c>
      <c r="AU293" t="s">
        <v>68</v>
      </c>
      <c r="AV293" t="s">
        <v>69</v>
      </c>
      <c r="AW293" s="1">
        <v>26335</v>
      </c>
      <c r="AX293">
        <v>2</v>
      </c>
    </row>
    <row r="294" spans="1:50">
      <c r="A294">
        <v>205674</v>
      </c>
      <c r="B294" t="str">
        <f>"064180449"</f>
        <v>064180449</v>
      </c>
      <c r="C294" t="s">
        <v>50</v>
      </c>
      <c r="D294" t="s">
        <v>1060</v>
      </c>
      <c r="E294" t="s">
        <v>1061</v>
      </c>
      <c r="F294" t="s">
        <v>1062</v>
      </c>
      <c r="G294" t="s">
        <v>484</v>
      </c>
      <c r="H294" t="str">
        <f>"ΒΑΣΙΛΕΙΕΣ ΗΡΑΚΛΕΙΟ"</f>
        <v>ΒΑΣΙΛΕΙΕΣ ΗΡΑΚΛΕΙΟ</v>
      </c>
      <c r="I294">
        <v>71500</v>
      </c>
      <c r="K294">
        <v>6985560402</v>
      </c>
      <c r="M294" t="s">
        <v>1063</v>
      </c>
      <c r="N294" t="s">
        <v>204</v>
      </c>
      <c r="O294" t="s">
        <v>205</v>
      </c>
      <c r="R294" t="s">
        <v>57</v>
      </c>
      <c r="S294">
        <v>7</v>
      </c>
      <c r="T294">
        <v>231</v>
      </c>
      <c r="U294" s="1">
        <v>38230</v>
      </c>
      <c r="V294" t="s">
        <v>123</v>
      </c>
      <c r="W294" t="s">
        <v>124</v>
      </c>
      <c r="X294" t="s">
        <v>58</v>
      </c>
      <c r="Y294">
        <v>20</v>
      </c>
      <c r="Z294" t="s">
        <v>59</v>
      </c>
      <c r="AA294" t="s">
        <v>59</v>
      </c>
      <c r="AB294" t="s">
        <v>59</v>
      </c>
      <c r="AC294" t="s">
        <v>59</v>
      </c>
      <c r="AD294" t="s">
        <v>59</v>
      </c>
      <c r="AF294" s="1">
        <v>38232</v>
      </c>
      <c r="AG294" t="s">
        <v>125</v>
      </c>
      <c r="AH294" t="s">
        <v>126</v>
      </c>
      <c r="AI294" t="str">
        <f>"1709010"</f>
        <v>1709010</v>
      </c>
      <c r="AJ294" t="s">
        <v>847</v>
      </c>
      <c r="AK294">
        <v>2894022227</v>
      </c>
      <c r="AL294" t="s">
        <v>848</v>
      </c>
      <c r="AM294" t="s">
        <v>78</v>
      </c>
      <c r="AN294" t="s">
        <v>405</v>
      </c>
      <c r="AO294" t="s">
        <v>406</v>
      </c>
      <c r="AP294" t="s">
        <v>406</v>
      </c>
      <c r="AQ294">
        <v>30</v>
      </c>
      <c r="AR294" t="s">
        <v>123</v>
      </c>
      <c r="AS294" t="s">
        <v>124</v>
      </c>
      <c r="AT294" t="s">
        <v>58</v>
      </c>
      <c r="AU294" t="s">
        <v>68</v>
      </c>
      <c r="AV294" t="s">
        <v>69</v>
      </c>
      <c r="AW294" s="1">
        <v>29107</v>
      </c>
      <c r="AX294">
        <v>2</v>
      </c>
    </row>
    <row r="295" spans="1:50">
      <c r="A295">
        <v>161341</v>
      </c>
      <c r="B295" t="str">
        <f>"033950359"</f>
        <v>033950359</v>
      </c>
      <c r="C295" t="s">
        <v>50</v>
      </c>
      <c r="D295" t="s">
        <v>1064</v>
      </c>
      <c r="E295" t="s">
        <v>964</v>
      </c>
      <c r="F295" t="s">
        <v>72</v>
      </c>
      <c r="G295" t="s">
        <v>1065</v>
      </c>
      <c r="H295" t="str">
        <f>"ΕΡΜΗ 65 ΗΡΑΚΛΕΙΟ"</f>
        <v>ΕΡΜΗ 65 ΗΡΑΚΛΕΙΟ</v>
      </c>
      <c r="I295">
        <v>71409</v>
      </c>
      <c r="J295">
        <v>2810286717</v>
      </c>
      <c r="K295">
        <v>6947304454</v>
      </c>
      <c r="M295" t="s">
        <v>1066</v>
      </c>
      <c r="N295" t="s">
        <v>135</v>
      </c>
      <c r="O295" t="s">
        <v>136</v>
      </c>
      <c r="R295" t="s">
        <v>57</v>
      </c>
      <c r="S295">
        <v>14</v>
      </c>
      <c r="T295">
        <v>161</v>
      </c>
      <c r="U295" s="1">
        <v>33119</v>
      </c>
      <c r="V295" t="s">
        <v>123</v>
      </c>
      <c r="W295" t="s">
        <v>124</v>
      </c>
      <c r="X295" t="s">
        <v>58</v>
      </c>
      <c r="Y295">
        <v>18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F295" s="1">
        <v>33121</v>
      </c>
      <c r="AG295" t="s">
        <v>148</v>
      </c>
      <c r="AH295" t="s">
        <v>149</v>
      </c>
      <c r="AI295" t="str">
        <f>"1751010"</f>
        <v>1751010</v>
      </c>
      <c r="AJ295" t="s">
        <v>150</v>
      </c>
      <c r="AK295">
        <v>2810346092</v>
      </c>
      <c r="AL295" t="s">
        <v>151</v>
      </c>
      <c r="AM295" t="s">
        <v>78</v>
      </c>
      <c r="AN295" t="s">
        <v>78</v>
      </c>
      <c r="AO295" t="s">
        <v>78</v>
      </c>
      <c r="AP295" t="s">
        <v>79</v>
      </c>
      <c r="AQ295">
        <v>1</v>
      </c>
      <c r="AR295" t="s">
        <v>123</v>
      </c>
      <c r="AS295" t="s">
        <v>124</v>
      </c>
      <c r="AT295" t="s">
        <v>58</v>
      </c>
      <c r="AU295" t="s">
        <v>68</v>
      </c>
      <c r="AV295" t="s">
        <v>69</v>
      </c>
      <c r="AW295" s="1">
        <v>23066</v>
      </c>
      <c r="AX295">
        <v>2</v>
      </c>
    </row>
    <row r="296" spans="1:50">
      <c r="A296">
        <v>227407</v>
      </c>
      <c r="B296" t="str">
        <f>"114593153"</f>
        <v>114593153</v>
      </c>
      <c r="C296" t="s">
        <v>50</v>
      </c>
      <c r="D296" t="s">
        <v>1064</v>
      </c>
      <c r="E296" t="s">
        <v>1067</v>
      </c>
      <c r="F296" t="s">
        <v>166</v>
      </c>
      <c r="G296" t="s">
        <v>1068</v>
      </c>
      <c r="H296" t="str">
        <f>"ΔΙΔΟΥΣ 40 Ν. ΑΛΙΚΑΡΝΑΣΣΟΣ"</f>
        <v>ΔΙΔΟΥΣ 40 Ν. ΑΛΙΚΑΡΝΑΣΣΟΣ</v>
      </c>
      <c r="I296">
        <v>71601</v>
      </c>
      <c r="J296">
        <v>2810228738</v>
      </c>
      <c r="K296">
        <v>6974994487</v>
      </c>
      <c r="M296" t="s">
        <v>1069</v>
      </c>
      <c r="N296" t="s">
        <v>199</v>
      </c>
      <c r="O296" t="s">
        <v>200</v>
      </c>
      <c r="R296" t="s">
        <v>57</v>
      </c>
      <c r="S296">
        <v>6</v>
      </c>
      <c r="T296">
        <v>654</v>
      </c>
      <c r="U296" s="1">
        <v>40043</v>
      </c>
      <c r="V296" t="s">
        <v>123</v>
      </c>
      <c r="W296" t="s">
        <v>124</v>
      </c>
      <c r="X296" t="s">
        <v>58</v>
      </c>
      <c r="Y296">
        <v>21</v>
      </c>
      <c r="Z296" t="s">
        <v>59</v>
      </c>
      <c r="AA296" t="s">
        <v>59</v>
      </c>
      <c r="AB296" t="s">
        <v>59</v>
      </c>
      <c r="AC296" t="s">
        <v>59</v>
      </c>
      <c r="AD296" t="s">
        <v>59</v>
      </c>
      <c r="AF296" s="1">
        <v>40043</v>
      </c>
      <c r="AG296" t="s">
        <v>125</v>
      </c>
      <c r="AH296" t="s">
        <v>126</v>
      </c>
      <c r="AI296" t="str">
        <f>"1727010"</f>
        <v>1727010</v>
      </c>
      <c r="AJ296" t="s">
        <v>618</v>
      </c>
      <c r="AK296">
        <v>2810229231</v>
      </c>
      <c r="AL296" t="s">
        <v>619</v>
      </c>
      <c r="AM296" t="s">
        <v>78</v>
      </c>
      <c r="AN296" t="s">
        <v>78</v>
      </c>
      <c r="AO296" t="s">
        <v>286</v>
      </c>
      <c r="AP296" t="s">
        <v>286</v>
      </c>
      <c r="AQ296">
        <v>12</v>
      </c>
      <c r="AR296" t="s">
        <v>123</v>
      </c>
      <c r="AS296" t="s">
        <v>124</v>
      </c>
      <c r="AT296" t="s">
        <v>58</v>
      </c>
      <c r="AU296" t="s">
        <v>68</v>
      </c>
      <c r="AV296" t="s">
        <v>69</v>
      </c>
      <c r="AW296" s="1">
        <v>29202</v>
      </c>
      <c r="AX296">
        <v>2</v>
      </c>
    </row>
    <row r="297" spans="1:50">
      <c r="B297" t="str">
        <f>"055526640"</f>
        <v>055526640</v>
      </c>
      <c r="C297" t="s">
        <v>50</v>
      </c>
      <c r="D297" t="s">
        <v>1064</v>
      </c>
      <c r="E297" t="s">
        <v>52</v>
      </c>
      <c r="F297" t="s">
        <v>166</v>
      </c>
      <c r="G297" t="s">
        <v>250</v>
      </c>
      <c r="H297" t="str">
        <f>"ΟΛΥΜΠΙΑΣ 12 ΗΡΑΚΛΕΙΟ"</f>
        <v>ΟΛΥΜΠΙΑΣ 12 ΗΡΑΚΛΕΙΟ</v>
      </c>
      <c r="I297">
        <v>71409</v>
      </c>
      <c r="J297">
        <v>2810325490</v>
      </c>
      <c r="K297">
        <v>6977808824</v>
      </c>
      <c r="N297" t="s">
        <v>146</v>
      </c>
      <c r="O297" t="s">
        <v>147</v>
      </c>
      <c r="R297" t="s">
        <v>159</v>
      </c>
      <c r="S297">
        <v>4</v>
      </c>
      <c r="T297" t="s">
        <v>160</v>
      </c>
      <c r="U297" s="1">
        <v>43364</v>
      </c>
      <c r="V297" t="s">
        <v>123</v>
      </c>
      <c r="W297" t="s">
        <v>124</v>
      </c>
      <c r="X297" t="s">
        <v>58</v>
      </c>
      <c r="Y297">
        <v>21</v>
      </c>
      <c r="Z297" t="s">
        <v>59</v>
      </c>
      <c r="AA297" t="s">
        <v>59</v>
      </c>
      <c r="AB297" t="s">
        <v>59</v>
      </c>
      <c r="AC297" t="s">
        <v>59</v>
      </c>
      <c r="AD297" t="s">
        <v>59</v>
      </c>
      <c r="AF297" s="1">
        <v>43367</v>
      </c>
      <c r="AG297" t="s">
        <v>125</v>
      </c>
      <c r="AH297" t="s">
        <v>294</v>
      </c>
      <c r="AI297" t="str">
        <f>"1701015"</f>
        <v>1701015</v>
      </c>
      <c r="AJ297" t="s">
        <v>295</v>
      </c>
      <c r="AK297">
        <v>2810761696</v>
      </c>
      <c r="AL297" t="s">
        <v>296</v>
      </c>
      <c r="AM297" t="s">
        <v>78</v>
      </c>
      <c r="AN297" t="s">
        <v>219</v>
      </c>
      <c r="AO297" t="s">
        <v>297</v>
      </c>
      <c r="AP297" t="s">
        <v>297</v>
      </c>
      <c r="AQ297">
        <v>10</v>
      </c>
      <c r="AR297" t="s">
        <v>123</v>
      </c>
      <c r="AS297" t="s">
        <v>124</v>
      </c>
      <c r="AT297" t="s">
        <v>58</v>
      </c>
      <c r="AU297" t="s">
        <v>164</v>
      </c>
      <c r="AV297" t="s">
        <v>132</v>
      </c>
      <c r="AW297" s="1">
        <v>25470</v>
      </c>
      <c r="AX297">
        <v>2</v>
      </c>
    </row>
    <row r="298" spans="1:50">
      <c r="A298">
        <v>173268</v>
      </c>
      <c r="B298" t="str">
        <f>"036005910"</f>
        <v>036005910</v>
      </c>
      <c r="C298" t="s">
        <v>50</v>
      </c>
      <c r="D298" t="s">
        <v>1064</v>
      </c>
      <c r="E298" t="s">
        <v>52</v>
      </c>
      <c r="F298" t="s">
        <v>1070</v>
      </c>
      <c r="G298" t="s">
        <v>1071</v>
      </c>
      <c r="H298" t="str">
        <f>"ΑΝΔΡΟΥΤΣΟΥ 8 ΗΡΑΚΛΕΙΟΥ"</f>
        <v>ΑΝΔΡΟΥΤΣΟΥ 8 ΗΡΑΚΛΕΙΟΥ</v>
      </c>
      <c r="I298">
        <v>71601</v>
      </c>
      <c r="J298">
        <v>2810342459</v>
      </c>
      <c r="K298">
        <v>6976610632</v>
      </c>
      <c r="M298" t="s">
        <v>1072</v>
      </c>
      <c r="N298" t="s">
        <v>146</v>
      </c>
      <c r="O298" t="s">
        <v>147</v>
      </c>
      <c r="R298" t="s">
        <v>57</v>
      </c>
      <c r="S298">
        <v>13</v>
      </c>
      <c r="T298">
        <v>166</v>
      </c>
      <c r="U298" s="1">
        <v>35300</v>
      </c>
      <c r="V298" t="s">
        <v>123</v>
      </c>
      <c r="W298" t="s">
        <v>124</v>
      </c>
      <c r="X298" t="s">
        <v>58</v>
      </c>
      <c r="Y298">
        <v>18</v>
      </c>
      <c r="Z298" t="s">
        <v>59</v>
      </c>
      <c r="AA298" t="s">
        <v>59</v>
      </c>
      <c r="AB298" t="s">
        <v>59</v>
      </c>
      <c r="AC298" t="s">
        <v>59</v>
      </c>
      <c r="AD298" t="s">
        <v>59</v>
      </c>
      <c r="AF298" s="1">
        <v>35312</v>
      </c>
      <c r="AG298" t="s">
        <v>148</v>
      </c>
      <c r="AH298" t="s">
        <v>149</v>
      </c>
      <c r="AI298" t="str">
        <f>"1751052"</f>
        <v>1751052</v>
      </c>
      <c r="AJ298" t="s">
        <v>328</v>
      </c>
      <c r="AK298">
        <v>2810213762</v>
      </c>
      <c r="AL298" t="s">
        <v>329</v>
      </c>
      <c r="AM298" t="s">
        <v>78</v>
      </c>
      <c r="AN298" t="s">
        <v>78</v>
      </c>
      <c r="AO298" t="s">
        <v>78</v>
      </c>
      <c r="AP298" t="s">
        <v>163</v>
      </c>
      <c r="AQ298">
        <v>8</v>
      </c>
      <c r="AR298" t="s">
        <v>123</v>
      </c>
      <c r="AS298" t="s">
        <v>124</v>
      </c>
      <c r="AT298" t="s">
        <v>58</v>
      </c>
      <c r="AU298" t="s">
        <v>68</v>
      </c>
      <c r="AV298" t="s">
        <v>69</v>
      </c>
      <c r="AW298" s="1">
        <v>23964</v>
      </c>
      <c r="AX298">
        <v>2</v>
      </c>
    </row>
    <row r="299" spans="1:50">
      <c r="A299">
        <v>209433</v>
      </c>
      <c r="B299" t="str">
        <f>"114587503"</f>
        <v>114587503</v>
      </c>
      <c r="C299" t="s">
        <v>105</v>
      </c>
      <c r="D299" t="s">
        <v>1073</v>
      </c>
      <c r="E299" t="s">
        <v>154</v>
      </c>
      <c r="F299" t="s">
        <v>166</v>
      </c>
      <c r="G299" t="s">
        <v>1068</v>
      </c>
      <c r="H299" t="str">
        <f>"ΜΑΓΝΗΣΙΑΣ 12 ΜΑΣΤΑΜΠΑΣ ΗΡΑΚΛΕΙΟΥ"</f>
        <v>ΜΑΓΝΗΣΙΑΣ 12 ΜΑΣΤΑΜΠΑΣ ΗΡΑΚΛΕΙΟΥ</v>
      </c>
      <c r="I299">
        <v>71305</v>
      </c>
      <c r="J299">
        <v>2814003171</v>
      </c>
      <c r="K299">
        <v>6976085939</v>
      </c>
      <c r="N299" t="s">
        <v>146</v>
      </c>
      <c r="O299" t="s">
        <v>147</v>
      </c>
      <c r="R299" t="s">
        <v>57</v>
      </c>
      <c r="S299">
        <v>8</v>
      </c>
      <c r="T299">
        <v>225</v>
      </c>
      <c r="U299" s="1">
        <v>38604</v>
      </c>
      <c r="V299" t="s">
        <v>123</v>
      </c>
      <c r="W299" t="s">
        <v>124</v>
      </c>
      <c r="X299" t="s">
        <v>58</v>
      </c>
      <c r="Y299">
        <v>20</v>
      </c>
      <c r="Z299" t="s">
        <v>59</v>
      </c>
      <c r="AA299" t="s">
        <v>59</v>
      </c>
      <c r="AB299" t="s">
        <v>59</v>
      </c>
      <c r="AC299" t="s">
        <v>59</v>
      </c>
      <c r="AD299" t="s">
        <v>59</v>
      </c>
      <c r="AF299" s="1">
        <v>38607</v>
      </c>
      <c r="AG299" t="s">
        <v>125</v>
      </c>
      <c r="AH299" t="s">
        <v>126</v>
      </c>
      <c r="AI299" t="str">
        <f>"1711010"</f>
        <v>1711010</v>
      </c>
      <c r="AJ299" t="s">
        <v>695</v>
      </c>
      <c r="AK299">
        <v>2810741301</v>
      </c>
      <c r="AL299" t="s">
        <v>696</v>
      </c>
      <c r="AM299" t="s">
        <v>78</v>
      </c>
      <c r="AN299" t="s">
        <v>424</v>
      </c>
      <c r="AO299" t="s">
        <v>428</v>
      </c>
      <c r="AP299" t="s">
        <v>429</v>
      </c>
      <c r="AQ299">
        <v>14</v>
      </c>
      <c r="AR299" t="s">
        <v>123</v>
      </c>
      <c r="AS299" t="s">
        <v>124</v>
      </c>
      <c r="AT299" t="s">
        <v>58</v>
      </c>
      <c r="AU299" t="s">
        <v>68</v>
      </c>
      <c r="AV299" t="s">
        <v>69</v>
      </c>
      <c r="AW299" s="1">
        <v>28290</v>
      </c>
      <c r="AX299">
        <v>2</v>
      </c>
    </row>
    <row r="300" spans="1:50">
      <c r="A300">
        <v>219622</v>
      </c>
      <c r="B300" t="str">
        <f>"043578067"</f>
        <v>043578067</v>
      </c>
      <c r="C300" t="s">
        <v>105</v>
      </c>
      <c r="D300" t="s">
        <v>1073</v>
      </c>
      <c r="E300" t="s">
        <v>95</v>
      </c>
      <c r="F300" t="s">
        <v>166</v>
      </c>
      <c r="G300" t="s">
        <v>1074</v>
      </c>
      <c r="H300" t="str">
        <f>" "</f>
        <v xml:space="preserve"> </v>
      </c>
      <c r="J300">
        <v>2810312046</v>
      </c>
      <c r="K300">
        <v>6974987430</v>
      </c>
      <c r="M300" t="s">
        <v>1075</v>
      </c>
      <c r="N300" t="s">
        <v>299</v>
      </c>
      <c r="O300" t="s">
        <v>300</v>
      </c>
      <c r="R300" t="s">
        <v>57</v>
      </c>
      <c r="S300">
        <v>5</v>
      </c>
      <c r="T300">
        <v>599</v>
      </c>
      <c r="U300" s="1">
        <v>39310</v>
      </c>
      <c r="V300" t="s">
        <v>123</v>
      </c>
      <c r="W300" t="s">
        <v>124</v>
      </c>
      <c r="X300" t="s">
        <v>58</v>
      </c>
      <c r="Y300">
        <v>21</v>
      </c>
      <c r="Z300" t="s">
        <v>59</v>
      </c>
      <c r="AA300" t="s">
        <v>59</v>
      </c>
      <c r="AB300" t="s">
        <v>59</v>
      </c>
      <c r="AC300" t="s">
        <v>59</v>
      </c>
      <c r="AD300" t="s">
        <v>59</v>
      </c>
      <c r="AF300" s="1">
        <v>39330</v>
      </c>
      <c r="AG300" t="s">
        <v>148</v>
      </c>
      <c r="AH300" t="s">
        <v>149</v>
      </c>
      <c r="AI300" t="str">
        <f>"1751052"</f>
        <v>1751052</v>
      </c>
      <c r="AJ300" t="s">
        <v>328</v>
      </c>
      <c r="AK300">
        <v>2810213762</v>
      </c>
      <c r="AL300" t="s">
        <v>329</v>
      </c>
      <c r="AM300" t="s">
        <v>78</v>
      </c>
      <c r="AN300" t="s">
        <v>78</v>
      </c>
      <c r="AO300" t="s">
        <v>78</v>
      </c>
      <c r="AP300" t="s">
        <v>163</v>
      </c>
      <c r="AQ300">
        <v>8</v>
      </c>
      <c r="AR300" t="s">
        <v>123</v>
      </c>
      <c r="AS300" t="s">
        <v>124</v>
      </c>
      <c r="AT300" t="s">
        <v>58</v>
      </c>
      <c r="AU300" t="s">
        <v>68</v>
      </c>
      <c r="AV300" t="s">
        <v>69</v>
      </c>
      <c r="AW300" s="1">
        <v>23240</v>
      </c>
      <c r="AX300">
        <v>2</v>
      </c>
    </row>
    <row r="301" spans="1:50">
      <c r="A301">
        <v>218837</v>
      </c>
      <c r="B301" t="str">
        <f>"132301680"</f>
        <v>132301680</v>
      </c>
      <c r="C301" t="s">
        <v>105</v>
      </c>
      <c r="D301" t="s">
        <v>1073</v>
      </c>
      <c r="E301" t="s">
        <v>84</v>
      </c>
      <c r="F301" t="s">
        <v>72</v>
      </c>
      <c r="G301" t="s">
        <v>83</v>
      </c>
      <c r="H301" t="str">
        <f>"ΜΥΡΤΙΑ ΠΕΔΙΑΔΟΣ ΜΥΡΤΙΑ"</f>
        <v>ΜΥΡΤΙΑ ΠΕΔΙΑΔΟΣ ΜΥΡΤΙΑ</v>
      </c>
      <c r="I301">
        <v>70100</v>
      </c>
      <c r="J301">
        <v>2810824689</v>
      </c>
      <c r="K301">
        <v>6979403760</v>
      </c>
      <c r="L301">
        <v>6907187624</v>
      </c>
      <c r="M301" t="s">
        <v>1076</v>
      </c>
      <c r="N301" t="s">
        <v>246</v>
      </c>
      <c r="O301" t="s">
        <v>247</v>
      </c>
      <c r="R301" t="s">
        <v>57</v>
      </c>
      <c r="S301">
        <v>7</v>
      </c>
      <c r="T301">
        <v>599</v>
      </c>
      <c r="U301" s="1">
        <v>39310</v>
      </c>
      <c r="V301" t="s">
        <v>123</v>
      </c>
      <c r="W301" t="s">
        <v>124</v>
      </c>
      <c r="X301" t="s">
        <v>58</v>
      </c>
      <c r="Y301">
        <v>21</v>
      </c>
      <c r="Z301" t="s">
        <v>59</v>
      </c>
      <c r="AA301" t="s">
        <v>59</v>
      </c>
      <c r="AB301" t="s">
        <v>59</v>
      </c>
      <c r="AC301" t="s">
        <v>59</v>
      </c>
      <c r="AD301" t="s">
        <v>59</v>
      </c>
      <c r="AF301" s="1">
        <v>39328</v>
      </c>
      <c r="AG301" t="s">
        <v>125</v>
      </c>
      <c r="AH301" t="s">
        <v>126</v>
      </c>
      <c r="AI301" t="str">
        <f>"1701041"</f>
        <v>1701041</v>
      </c>
      <c r="AJ301" t="s">
        <v>161</v>
      </c>
      <c r="AK301">
        <v>2810327052</v>
      </c>
      <c r="AL301" t="s">
        <v>162</v>
      </c>
      <c r="AM301" t="s">
        <v>78</v>
      </c>
      <c r="AN301" t="s">
        <v>78</v>
      </c>
      <c r="AO301" t="s">
        <v>78</v>
      </c>
      <c r="AP301" t="s">
        <v>163</v>
      </c>
      <c r="AQ301">
        <v>5</v>
      </c>
      <c r="AR301" t="s">
        <v>123</v>
      </c>
      <c r="AS301" t="s">
        <v>124</v>
      </c>
      <c r="AT301" t="s">
        <v>58</v>
      </c>
      <c r="AU301" t="s">
        <v>68</v>
      </c>
      <c r="AV301" t="s">
        <v>69</v>
      </c>
      <c r="AW301" s="1">
        <v>29022</v>
      </c>
      <c r="AX301">
        <v>2</v>
      </c>
    </row>
    <row r="302" spans="1:50">
      <c r="A302">
        <v>192892</v>
      </c>
      <c r="B302" t="str">
        <f>"043585046"</f>
        <v>043585046</v>
      </c>
      <c r="C302" t="s">
        <v>50</v>
      </c>
      <c r="D302" t="s">
        <v>1077</v>
      </c>
      <c r="E302" t="s">
        <v>83</v>
      </c>
      <c r="F302" t="s">
        <v>383</v>
      </c>
      <c r="G302" t="s">
        <v>1078</v>
      </c>
      <c r="H302" t="str">
        <f>"ΜΥΣΤΡΑ 34 ΗΡΑΚΛΕΙΟ"</f>
        <v>ΜΥΣΤΡΑ 34 ΗΡΑΚΛΕΙΟ</v>
      </c>
      <c r="I302">
        <v>71305</v>
      </c>
      <c r="J302">
        <v>2810324719</v>
      </c>
      <c r="K302">
        <v>6942499015</v>
      </c>
      <c r="M302" t="s">
        <v>1079</v>
      </c>
      <c r="N302" t="s">
        <v>146</v>
      </c>
      <c r="O302" t="s">
        <v>147</v>
      </c>
      <c r="R302" t="s">
        <v>57</v>
      </c>
      <c r="S302">
        <v>10</v>
      </c>
      <c r="T302">
        <v>193</v>
      </c>
      <c r="U302" s="1">
        <v>37497</v>
      </c>
      <c r="V302" t="s">
        <v>123</v>
      </c>
      <c r="W302" t="s">
        <v>124</v>
      </c>
      <c r="X302" t="s">
        <v>58</v>
      </c>
      <c r="Y302">
        <v>18</v>
      </c>
      <c r="Z302" t="s">
        <v>59</v>
      </c>
      <c r="AA302" t="s">
        <v>59</v>
      </c>
      <c r="AB302" t="s">
        <v>59</v>
      </c>
      <c r="AC302" t="s">
        <v>59</v>
      </c>
      <c r="AD302" t="s">
        <v>59</v>
      </c>
      <c r="AF302" s="1">
        <v>37501</v>
      </c>
      <c r="AG302" t="s">
        <v>148</v>
      </c>
      <c r="AH302" t="s">
        <v>149</v>
      </c>
      <c r="AI302" t="str">
        <f>"1751051"</f>
        <v>1751051</v>
      </c>
      <c r="AJ302" t="s">
        <v>259</v>
      </c>
      <c r="AK302">
        <v>2810251794</v>
      </c>
      <c r="AL302" t="s">
        <v>260</v>
      </c>
      <c r="AM302" t="s">
        <v>78</v>
      </c>
      <c r="AN302" t="s">
        <v>78</v>
      </c>
      <c r="AO302" t="s">
        <v>78</v>
      </c>
      <c r="AP302" t="s">
        <v>141</v>
      </c>
      <c r="AQ302">
        <v>7</v>
      </c>
      <c r="AR302" t="s">
        <v>123</v>
      </c>
      <c r="AS302" t="s">
        <v>124</v>
      </c>
      <c r="AT302" t="s">
        <v>58</v>
      </c>
      <c r="AU302" t="s">
        <v>68</v>
      </c>
      <c r="AV302" t="s">
        <v>69</v>
      </c>
      <c r="AW302" s="1">
        <v>24631</v>
      </c>
      <c r="AX302">
        <v>2</v>
      </c>
    </row>
    <row r="303" spans="1:50">
      <c r="A303">
        <v>191698</v>
      </c>
      <c r="B303" t="str">
        <f>"103818039"</f>
        <v>103818039</v>
      </c>
      <c r="C303" t="s">
        <v>50</v>
      </c>
      <c r="D303" t="s">
        <v>1080</v>
      </c>
      <c r="E303" t="s">
        <v>52</v>
      </c>
      <c r="F303" t="s">
        <v>154</v>
      </c>
      <c r="G303" t="s">
        <v>181</v>
      </c>
      <c r="H303" t="str">
        <f>" "</f>
        <v xml:space="preserve"> </v>
      </c>
      <c r="M303" t="s">
        <v>1081</v>
      </c>
      <c r="N303" t="s">
        <v>168</v>
      </c>
      <c r="O303" t="s">
        <v>169</v>
      </c>
      <c r="R303" t="s">
        <v>57</v>
      </c>
      <c r="S303">
        <v>10</v>
      </c>
      <c r="T303">
        <v>291</v>
      </c>
      <c r="U303" s="1">
        <v>37218</v>
      </c>
      <c r="V303" t="s">
        <v>123</v>
      </c>
      <c r="W303" t="s">
        <v>124</v>
      </c>
      <c r="X303" t="s">
        <v>58</v>
      </c>
      <c r="Y303">
        <v>20</v>
      </c>
      <c r="Z303" t="s">
        <v>59</v>
      </c>
      <c r="AA303" t="s">
        <v>59</v>
      </c>
      <c r="AB303" t="s">
        <v>59</v>
      </c>
      <c r="AC303" t="s">
        <v>59</v>
      </c>
      <c r="AD303" t="s">
        <v>59</v>
      </c>
      <c r="AF303" s="1">
        <v>37221</v>
      </c>
      <c r="AG303" t="s">
        <v>137</v>
      </c>
      <c r="AH303" t="s">
        <v>138</v>
      </c>
      <c r="AI303" t="str">
        <f>"1740100"</f>
        <v>1740100</v>
      </c>
      <c r="AJ303" t="s">
        <v>857</v>
      </c>
      <c r="AK303">
        <v>2810360741</v>
      </c>
      <c r="AL303" t="s">
        <v>858</v>
      </c>
      <c r="AM303" t="s">
        <v>78</v>
      </c>
      <c r="AN303" t="s">
        <v>78</v>
      </c>
      <c r="AO303" t="s">
        <v>78</v>
      </c>
      <c r="AP303" t="s">
        <v>163</v>
      </c>
      <c r="AQ303">
        <v>5</v>
      </c>
      <c r="AR303" t="s">
        <v>123</v>
      </c>
      <c r="AS303" t="s">
        <v>124</v>
      </c>
      <c r="AT303" t="s">
        <v>58</v>
      </c>
      <c r="AU303" t="s">
        <v>68</v>
      </c>
      <c r="AV303" t="s">
        <v>69</v>
      </c>
      <c r="AW303" s="1">
        <v>27685</v>
      </c>
      <c r="AX303">
        <v>2</v>
      </c>
    </row>
    <row r="304" spans="1:50">
      <c r="A304">
        <v>229491</v>
      </c>
      <c r="B304" t="str">
        <f>"114295703"</f>
        <v>114295703</v>
      </c>
      <c r="C304" t="s">
        <v>105</v>
      </c>
      <c r="D304" t="s">
        <v>1082</v>
      </c>
      <c r="E304" t="s">
        <v>72</v>
      </c>
      <c r="F304" t="s">
        <v>760</v>
      </c>
      <c r="G304" t="s">
        <v>580</v>
      </c>
      <c r="H304" t="str">
        <f>"Κ.ΑΣΙΤΕΣ - ΓΟΡΓΟΛΑΙΝΗ ΗΡΑΚΛΕΙΟ"</f>
        <v>Κ.ΑΣΙΤΕΣ - ΓΟΡΓΟΛΑΙΝΗ ΗΡΑΚΛΕΙΟ</v>
      </c>
      <c r="I304">
        <v>70013</v>
      </c>
      <c r="J304">
        <v>2810861109</v>
      </c>
      <c r="K304">
        <v>6976265911</v>
      </c>
      <c r="M304" t="s">
        <v>1083</v>
      </c>
      <c r="N304" t="s">
        <v>292</v>
      </c>
      <c r="O304" t="s">
        <v>293</v>
      </c>
      <c r="R304" t="s">
        <v>57</v>
      </c>
      <c r="S304">
        <v>5</v>
      </c>
      <c r="T304">
        <v>926</v>
      </c>
      <c r="U304" s="1">
        <v>40130</v>
      </c>
      <c r="V304" t="s">
        <v>123</v>
      </c>
      <c r="W304" t="s">
        <v>124</v>
      </c>
      <c r="X304" t="s">
        <v>58</v>
      </c>
      <c r="Y304">
        <v>21</v>
      </c>
      <c r="Z304" t="s">
        <v>59</v>
      </c>
      <c r="AA304" t="s">
        <v>59</v>
      </c>
      <c r="AB304" t="s">
        <v>59</v>
      </c>
      <c r="AC304" t="s">
        <v>59</v>
      </c>
      <c r="AD304" t="s">
        <v>59</v>
      </c>
      <c r="AF304" s="1">
        <v>40133</v>
      </c>
      <c r="AG304" t="s">
        <v>125</v>
      </c>
      <c r="AH304" t="s">
        <v>126</v>
      </c>
      <c r="AI304" t="str">
        <f>"1709010"</f>
        <v>1709010</v>
      </c>
      <c r="AJ304" t="s">
        <v>847</v>
      </c>
      <c r="AK304">
        <v>2894022227</v>
      </c>
      <c r="AL304" t="s">
        <v>848</v>
      </c>
      <c r="AM304" t="s">
        <v>78</v>
      </c>
      <c r="AN304" t="s">
        <v>405</v>
      </c>
      <c r="AO304" t="s">
        <v>406</v>
      </c>
      <c r="AP304" t="s">
        <v>406</v>
      </c>
      <c r="AQ304">
        <v>30</v>
      </c>
      <c r="AR304" t="s">
        <v>123</v>
      </c>
      <c r="AS304" t="s">
        <v>124</v>
      </c>
      <c r="AT304" t="s">
        <v>58</v>
      </c>
      <c r="AU304" t="s">
        <v>68</v>
      </c>
      <c r="AV304" t="s">
        <v>69</v>
      </c>
      <c r="AW304" s="1">
        <v>28899</v>
      </c>
      <c r="AX304">
        <v>2</v>
      </c>
    </row>
    <row r="305" spans="1:50">
      <c r="A305">
        <v>216303</v>
      </c>
      <c r="B305" t="str">
        <f>"044548270"</f>
        <v>044548270</v>
      </c>
      <c r="C305" t="s">
        <v>50</v>
      </c>
      <c r="D305" t="s">
        <v>1084</v>
      </c>
      <c r="E305" t="s">
        <v>83</v>
      </c>
      <c r="F305" t="s">
        <v>377</v>
      </c>
      <c r="G305" t="s">
        <v>1085</v>
      </c>
      <c r="H305" t="str">
        <f>"ΠΑΤΕΛΑΡΟΥ 2  ΜΑΣΤΑΜΠΑΣ"</f>
        <v>ΠΑΤΕΛΑΡΟΥ 2  ΜΑΣΤΑΜΠΑΣ</v>
      </c>
      <c r="I305">
        <v>71305</v>
      </c>
      <c r="J305">
        <v>2810233472</v>
      </c>
      <c r="K305">
        <v>6939656881</v>
      </c>
      <c r="M305" t="s">
        <v>1086</v>
      </c>
      <c r="N305" t="s">
        <v>146</v>
      </c>
      <c r="O305" t="s">
        <v>147</v>
      </c>
      <c r="R305" t="s">
        <v>57</v>
      </c>
      <c r="S305">
        <v>5</v>
      </c>
      <c r="T305">
        <v>236</v>
      </c>
      <c r="U305" s="1">
        <v>38961</v>
      </c>
      <c r="V305" t="s">
        <v>123</v>
      </c>
      <c r="W305" t="s">
        <v>124</v>
      </c>
      <c r="X305" t="s">
        <v>58</v>
      </c>
      <c r="Y305">
        <v>20</v>
      </c>
      <c r="Z305" t="s">
        <v>59</v>
      </c>
      <c r="AA305" t="s">
        <v>59</v>
      </c>
      <c r="AB305" t="s">
        <v>59</v>
      </c>
      <c r="AC305" t="s">
        <v>59</v>
      </c>
      <c r="AD305" t="s">
        <v>59</v>
      </c>
      <c r="AF305" s="1">
        <v>38964</v>
      </c>
      <c r="AG305" t="s">
        <v>125</v>
      </c>
      <c r="AH305" t="s">
        <v>126</v>
      </c>
      <c r="AI305" t="str">
        <f>"1701054"</f>
        <v>1701054</v>
      </c>
      <c r="AJ305" t="s">
        <v>318</v>
      </c>
      <c r="AK305">
        <v>2810252418</v>
      </c>
      <c r="AL305" t="s">
        <v>319</v>
      </c>
      <c r="AM305" t="s">
        <v>78</v>
      </c>
      <c r="AN305" t="s">
        <v>78</v>
      </c>
      <c r="AO305" t="s">
        <v>78</v>
      </c>
      <c r="AP305" t="s">
        <v>141</v>
      </c>
      <c r="AQ305">
        <v>7</v>
      </c>
      <c r="AR305" t="s">
        <v>123</v>
      </c>
      <c r="AS305" t="s">
        <v>124</v>
      </c>
      <c r="AT305" t="s">
        <v>58</v>
      </c>
      <c r="AU305" t="s">
        <v>68</v>
      </c>
      <c r="AV305" t="s">
        <v>69</v>
      </c>
      <c r="AW305" s="1">
        <v>24921</v>
      </c>
      <c r="AX305">
        <v>2</v>
      </c>
    </row>
    <row r="306" spans="1:50">
      <c r="B306" t="str">
        <f>"044192170"</f>
        <v>044192170</v>
      </c>
      <c r="C306" t="s">
        <v>105</v>
      </c>
      <c r="D306" t="s">
        <v>1087</v>
      </c>
      <c r="E306" t="s">
        <v>53</v>
      </c>
      <c r="F306" t="s">
        <v>72</v>
      </c>
      <c r="G306" t="s">
        <v>155</v>
      </c>
      <c r="H306" t="str">
        <f>"ΣΚΟΡΔΥΛΩΝ 39 ΗΡΑΚΛΕΙΟ"</f>
        <v>ΣΚΟΡΔΥΛΩΝ 39 ΗΡΑΚΛΕΙΟ</v>
      </c>
      <c r="I306">
        <v>71202</v>
      </c>
      <c r="J306">
        <v>2810285644</v>
      </c>
      <c r="K306">
        <v>6979469633</v>
      </c>
      <c r="N306" t="s">
        <v>292</v>
      </c>
      <c r="O306" t="s">
        <v>293</v>
      </c>
      <c r="R306" t="s">
        <v>159</v>
      </c>
      <c r="S306">
        <v>4</v>
      </c>
      <c r="T306" t="s">
        <v>416</v>
      </c>
      <c r="U306" s="1">
        <v>43349</v>
      </c>
      <c r="V306" t="s">
        <v>123</v>
      </c>
      <c r="W306" t="s">
        <v>124</v>
      </c>
      <c r="X306" t="s">
        <v>58</v>
      </c>
      <c r="Y306">
        <v>21</v>
      </c>
      <c r="Z306" t="s">
        <v>59</v>
      </c>
      <c r="AA306" t="s">
        <v>59</v>
      </c>
      <c r="AB306" t="s">
        <v>59</v>
      </c>
      <c r="AC306" t="s">
        <v>59</v>
      </c>
      <c r="AD306" t="s">
        <v>59</v>
      </c>
      <c r="AF306" s="1">
        <v>43349</v>
      </c>
      <c r="AG306" t="s">
        <v>148</v>
      </c>
      <c r="AH306" t="s">
        <v>149</v>
      </c>
      <c r="AI306" t="str">
        <f>"1762010"</f>
        <v>1762010</v>
      </c>
      <c r="AJ306" t="s">
        <v>942</v>
      </c>
      <c r="AK306">
        <v>2897061311</v>
      </c>
      <c r="AL306" t="s">
        <v>943</v>
      </c>
      <c r="AM306" t="s">
        <v>78</v>
      </c>
      <c r="AN306" t="s">
        <v>219</v>
      </c>
      <c r="AO306" t="s">
        <v>527</v>
      </c>
      <c r="AP306" t="s">
        <v>528</v>
      </c>
      <c r="AQ306">
        <v>19</v>
      </c>
      <c r="AR306" t="s">
        <v>123</v>
      </c>
      <c r="AS306" t="s">
        <v>124</v>
      </c>
      <c r="AT306" t="s">
        <v>58</v>
      </c>
      <c r="AU306" t="s">
        <v>419</v>
      </c>
      <c r="AV306" t="s">
        <v>132</v>
      </c>
      <c r="AW306" s="1">
        <v>22362</v>
      </c>
      <c r="AX306">
        <v>2</v>
      </c>
    </row>
    <row r="307" spans="1:50">
      <c r="A307">
        <v>218362</v>
      </c>
      <c r="B307" t="str">
        <f>"103531784"</f>
        <v>103531784</v>
      </c>
      <c r="C307" t="s">
        <v>50</v>
      </c>
      <c r="D307" t="s">
        <v>1088</v>
      </c>
      <c r="E307" t="s">
        <v>215</v>
      </c>
      <c r="F307" t="s">
        <v>53</v>
      </c>
      <c r="G307" t="s">
        <v>620</v>
      </c>
      <c r="H307" t="str">
        <f>"ΙΣΙΔΩΡΟΥ 15 ΗΡΑΚΛΕΙΟ"</f>
        <v>ΙΣΙΔΩΡΟΥ 15 ΗΡΑΚΛΕΙΟ</v>
      </c>
      <c r="I307">
        <v>71306</v>
      </c>
      <c r="J307">
        <v>2810228581</v>
      </c>
      <c r="K307">
        <v>6942880084</v>
      </c>
      <c r="M307" t="s">
        <v>1089</v>
      </c>
      <c r="N307" t="s">
        <v>232</v>
      </c>
      <c r="O307" t="s">
        <v>233</v>
      </c>
      <c r="R307" t="s">
        <v>57</v>
      </c>
      <c r="S307">
        <v>7</v>
      </c>
      <c r="T307">
        <v>599</v>
      </c>
      <c r="U307" s="1">
        <v>39310</v>
      </c>
      <c r="V307" t="s">
        <v>123</v>
      </c>
      <c r="W307" t="s">
        <v>124</v>
      </c>
      <c r="X307" t="s">
        <v>58</v>
      </c>
      <c r="Y307">
        <v>21</v>
      </c>
      <c r="Z307" t="s">
        <v>59</v>
      </c>
      <c r="AA307" t="s">
        <v>59</v>
      </c>
      <c r="AB307" t="s">
        <v>59</v>
      </c>
      <c r="AC307" t="s">
        <v>59</v>
      </c>
      <c r="AD307" t="s">
        <v>59</v>
      </c>
      <c r="AF307" s="1">
        <v>39328</v>
      </c>
      <c r="AG307" t="s">
        <v>125</v>
      </c>
      <c r="AH307" t="s">
        <v>126</v>
      </c>
      <c r="AI307" t="str">
        <f>"1718010"</f>
        <v>1718010</v>
      </c>
      <c r="AJ307" t="s">
        <v>1090</v>
      </c>
      <c r="AK307">
        <v>2897031471</v>
      </c>
      <c r="AL307" t="s">
        <v>1091</v>
      </c>
      <c r="AM307" t="s">
        <v>78</v>
      </c>
      <c r="AN307" t="s">
        <v>219</v>
      </c>
      <c r="AO307" t="s">
        <v>527</v>
      </c>
      <c r="AP307" t="s">
        <v>527</v>
      </c>
      <c r="AQ307">
        <v>20</v>
      </c>
      <c r="AR307" t="s">
        <v>123</v>
      </c>
      <c r="AS307" t="s">
        <v>124</v>
      </c>
      <c r="AT307" t="s">
        <v>58</v>
      </c>
      <c r="AU307" t="s">
        <v>68</v>
      </c>
      <c r="AV307" t="s">
        <v>1092</v>
      </c>
      <c r="AW307" s="1">
        <v>29861</v>
      </c>
      <c r="AX307">
        <v>2</v>
      </c>
    </row>
    <row r="308" spans="1:50">
      <c r="A308">
        <v>206301</v>
      </c>
      <c r="B308" t="str">
        <f>"052221783"</f>
        <v>052221783</v>
      </c>
      <c r="C308" t="s">
        <v>50</v>
      </c>
      <c r="D308" t="s">
        <v>1088</v>
      </c>
      <c r="E308" t="s">
        <v>52</v>
      </c>
      <c r="F308" t="s">
        <v>1093</v>
      </c>
      <c r="G308" t="s">
        <v>250</v>
      </c>
      <c r="H308" t="str">
        <f>" "</f>
        <v xml:space="preserve"> </v>
      </c>
      <c r="J308">
        <v>2810211606</v>
      </c>
      <c r="K308">
        <v>6978440068</v>
      </c>
      <c r="M308" t="s">
        <v>1094</v>
      </c>
      <c r="N308" t="s">
        <v>1095</v>
      </c>
      <c r="O308" t="s">
        <v>1096</v>
      </c>
      <c r="R308" t="s">
        <v>57</v>
      </c>
      <c r="S308">
        <v>7</v>
      </c>
      <c r="T308">
        <v>341</v>
      </c>
      <c r="U308" s="1">
        <v>38350</v>
      </c>
      <c r="V308" t="s">
        <v>123</v>
      </c>
      <c r="W308" t="s">
        <v>124</v>
      </c>
      <c r="X308" t="s">
        <v>58</v>
      </c>
      <c r="Y308">
        <v>20</v>
      </c>
      <c r="Z308" t="s">
        <v>59</v>
      </c>
      <c r="AA308" t="s">
        <v>59</v>
      </c>
      <c r="AB308" t="s">
        <v>59</v>
      </c>
      <c r="AC308" t="s">
        <v>59</v>
      </c>
      <c r="AD308" t="s">
        <v>59</v>
      </c>
      <c r="AF308" s="1">
        <v>38362</v>
      </c>
      <c r="AG308" t="s">
        <v>137</v>
      </c>
      <c r="AH308" t="s">
        <v>138</v>
      </c>
      <c r="AI308" t="str">
        <f>"1740100"</f>
        <v>1740100</v>
      </c>
      <c r="AJ308" t="s">
        <v>857</v>
      </c>
      <c r="AK308">
        <v>2810360741</v>
      </c>
      <c r="AL308" t="s">
        <v>858</v>
      </c>
      <c r="AM308" t="s">
        <v>78</v>
      </c>
      <c r="AN308" t="s">
        <v>78</v>
      </c>
      <c r="AO308" t="s">
        <v>78</v>
      </c>
      <c r="AP308" t="s">
        <v>163</v>
      </c>
      <c r="AQ308">
        <v>5</v>
      </c>
      <c r="AR308" t="s">
        <v>123</v>
      </c>
      <c r="AS308" t="s">
        <v>124</v>
      </c>
      <c r="AT308" t="s">
        <v>58</v>
      </c>
      <c r="AU308" t="s">
        <v>68</v>
      </c>
      <c r="AV308" t="s">
        <v>69</v>
      </c>
      <c r="AW308" s="1">
        <v>24261</v>
      </c>
      <c r="AX308">
        <v>2</v>
      </c>
    </row>
    <row r="309" spans="1:50">
      <c r="A309">
        <v>201018</v>
      </c>
      <c r="B309" t="str">
        <f>"038960495"</f>
        <v>038960495</v>
      </c>
      <c r="C309" t="s">
        <v>105</v>
      </c>
      <c r="D309" t="s">
        <v>1097</v>
      </c>
      <c r="E309" t="s">
        <v>321</v>
      </c>
      <c r="F309" t="s">
        <v>84</v>
      </c>
      <c r="G309" t="s">
        <v>83</v>
      </c>
      <c r="H309" t="str">
        <f>"Λ.ΠΑΣΤΕΡ 9 "</f>
        <v xml:space="preserve">Λ.ΠΑΣΤΕΡ 9 </v>
      </c>
      <c r="I309">
        <v>71307</v>
      </c>
      <c r="J309">
        <v>2810210969</v>
      </c>
      <c r="K309">
        <v>6936410056</v>
      </c>
      <c r="M309" t="s">
        <v>1098</v>
      </c>
      <c r="N309" t="s">
        <v>157</v>
      </c>
      <c r="O309" t="s">
        <v>158</v>
      </c>
      <c r="R309" t="s">
        <v>57</v>
      </c>
      <c r="S309">
        <v>6</v>
      </c>
      <c r="T309">
        <v>231</v>
      </c>
      <c r="U309" s="1">
        <v>38230</v>
      </c>
      <c r="V309" t="s">
        <v>123</v>
      </c>
      <c r="W309" t="s">
        <v>124</v>
      </c>
      <c r="X309" t="s">
        <v>58</v>
      </c>
      <c r="Y309">
        <v>20</v>
      </c>
      <c r="Z309" t="s">
        <v>59</v>
      </c>
      <c r="AA309" t="s">
        <v>59</v>
      </c>
      <c r="AB309" t="s">
        <v>59</v>
      </c>
      <c r="AC309" t="s">
        <v>59</v>
      </c>
      <c r="AD309" t="s">
        <v>59</v>
      </c>
      <c r="AF309" s="1">
        <v>38236</v>
      </c>
      <c r="AG309" t="s">
        <v>148</v>
      </c>
      <c r="AH309" t="s">
        <v>149</v>
      </c>
      <c r="AI309" t="str">
        <f>"1751020"</f>
        <v>1751020</v>
      </c>
      <c r="AJ309" t="s">
        <v>532</v>
      </c>
      <c r="AK309">
        <v>2810372732</v>
      </c>
      <c r="AL309" t="s">
        <v>533</v>
      </c>
      <c r="AM309" t="s">
        <v>78</v>
      </c>
      <c r="AN309" t="s">
        <v>78</v>
      </c>
      <c r="AO309" t="s">
        <v>78</v>
      </c>
      <c r="AP309" t="s">
        <v>163</v>
      </c>
      <c r="AQ309">
        <v>3</v>
      </c>
      <c r="AR309" t="s">
        <v>123</v>
      </c>
      <c r="AS309" t="s">
        <v>124</v>
      </c>
      <c r="AT309" t="s">
        <v>58</v>
      </c>
      <c r="AU309" t="s">
        <v>68</v>
      </c>
      <c r="AV309" t="s">
        <v>69</v>
      </c>
      <c r="AW309" s="1">
        <v>23804</v>
      </c>
      <c r="AX309">
        <v>2</v>
      </c>
    </row>
    <row r="310" spans="1:50">
      <c r="A310">
        <v>700303</v>
      </c>
      <c r="B310" t="str">
        <f>"067193715"</f>
        <v>067193715</v>
      </c>
      <c r="C310" t="s">
        <v>50</v>
      </c>
      <c r="D310" t="s">
        <v>1099</v>
      </c>
      <c r="E310" t="s">
        <v>250</v>
      </c>
      <c r="F310" t="s">
        <v>309</v>
      </c>
      <c r="G310" t="s">
        <v>143</v>
      </c>
      <c r="H310" t="str">
        <f>"ΚΟΥΣΙΔΟΥ 89-91 ΖΩΓΡΑΦΟΥ "</f>
        <v xml:space="preserve">ΚΟΥΣΙΔΟΥ 89-91 ΖΩΓΡΑΦΟΥ </v>
      </c>
      <c r="I310">
        <v>15772</v>
      </c>
      <c r="J310">
        <v>2107782417</v>
      </c>
      <c r="K310">
        <v>6946762286</v>
      </c>
      <c r="M310" t="s">
        <v>1100</v>
      </c>
      <c r="N310" t="s">
        <v>146</v>
      </c>
      <c r="O310" t="s">
        <v>147</v>
      </c>
      <c r="R310" t="s">
        <v>57</v>
      </c>
      <c r="S310">
        <v>6</v>
      </c>
      <c r="T310">
        <v>772</v>
      </c>
      <c r="U310" s="1">
        <v>40413</v>
      </c>
      <c r="V310" t="s">
        <v>123</v>
      </c>
      <c r="W310" t="s">
        <v>124</v>
      </c>
      <c r="X310" t="s">
        <v>58</v>
      </c>
      <c r="Y310">
        <v>21</v>
      </c>
      <c r="Z310" t="s">
        <v>59</v>
      </c>
      <c r="AA310" t="s">
        <v>59</v>
      </c>
      <c r="AB310" t="s">
        <v>59</v>
      </c>
      <c r="AC310" t="s">
        <v>59</v>
      </c>
      <c r="AD310" t="s">
        <v>59</v>
      </c>
      <c r="AF310" s="1">
        <v>40413</v>
      </c>
      <c r="AG310" t="s">
        <v>148</v>
      </c>
      <c r="AH310" t="s">
        <v>149</v>
      </c>
      <c r="AI310" t="str">
        <f>"1762010"</f>
        <v>1762010</v>
      </c>
      <c r="AJ310" t="s">
        <v>942</v>
      </c>
      <c r="AK310">
        <v>2897061311</v>
      </c>
      <c r="AL310" t="s">
        <v>943</v>
      </c>
      <c r="AM310" t="s">
        <v>78</v>
      </c>
      <c r="AN310" t="s">
        <v>219</v>
      </c>
      <c r="AO310" t="s">
        <v>527</v>
      </c>
      <c r="AP310" t="s">
        <v>528</v>
      </c>
      <c r="AQ310">
        <v>19</v>
      </c>
      <c r="AR310" t="s">
        <v>123</v>
      </c>
      <c r="AS310" t="s">
        <v>124</v>
      </c>
      <c r="AT310" t="s">
        <v>58</v>
      </c>
      <c r="AU310" t="s">
        <v>68</v>
      </c>
      <c r="AV310" t="s">
        <v>69</v>
      </c>
      <c r="AW310" s="1">
        <v>26959</v>
      </c>
      <c r="AX310">
        <v>2</v>
      </c>
    </row>
    <row r="311" spans="1:50">
      <c r="A311">
        <v>195973</v>
      </c>
      <c r="B311" t="str">
        <f>"076287207"</f>
        <v>076287207</v>
      </c>
      <c r="C311" t="s">
        <v>50</v>
      </c>
      <c r="D311" t="s">
        <v>1099</v>
      </c>
      <c r="E311" t="s">
        <v>255</v>
      </c>
      <c r="F311" t="s">
        <v>72</v>
      </c>
      <c r="G311" t="s">
        <v>494</v>
      </c>
      <c r="H311" t="str">
        <f>" "</f>
        <v xml:space="preserve"> </v>
      </c>
      <c r="N311" t="s">
        <v>733</v>
      </c>
      <c r="O311" t="s">
        <v>734</v>
      </c>
      <c r="R311" t="s">
        <v>57</v>
      </c>
      <c r="S311">
        <v>12</v>
      </c>
      <c r="T311">
        <v>194</v>
      </c>
      <c r="U311" s="1">
        <v>37497</v>
      </c>
      <c r="V311" t="s">
        <v>123</v>
      </c>
      <c r="W311" t="s">
        <v>124</v>
      </c>
      <c r="X311" t="s">
        <v>58</v>
      </c>
      <c r="Y311">
        <v>20</v>
      </c>
      <c r="Z311" t="s">
        <v>59</v>
      </c>
      <c r="AA311" t="s">
        <v>59</v>
      </c>
      <c r="AB311" t="s">
        <v>59</v>
      </c>
      <c r="AC311" t="s">
        <v>59</v>
      </c>
      <c r="AD311" t="s">
        <v>59</v>
      </c>
      <c r="AF311" s="1">
        <v>37882</v>
      </c>
      <c r="AG311" t="s">
        <v>137</v>
      </c>
      <c r="AH311" t="s">
        <v>469</v>
      </c>
      <c r="AI311" t="str">
        <f>"1740200"</f>
        <v>1740200</v>
      </c>
      <c r="AJ311" t="s">
        <v>470</v>
      </c>
      <c r="AK311">
        <v>2810320770</v>
      </c>
      <c r="AL311" t="s">
        <v>471</v>
      </c>
      <c r="AM311" t="s">
        <v>78</v>
      </c>
      <c r="AN311" t="s">
        <v>78</v>
      </c>
      <c r="AO311" t="s">
        <v>78</v>
      </c>
      <c r="AP311" t="s">
        <v>163</v>
      </c>
      <c r="AQ311">
        <v>2</v>
      </c>
      <c r="AR311" t="s">
        <v>123</v>
      </c>
      <c r="AS311" t="s">
        <v>124</v>
      </c>
      <c r="AT311" t="s">
        <v>58</v>
      </c>
      <c r="AU311" t="s">
        <v>68</v>
      </c>
      <c r="AV311" t="s">
        <v>69</v>
      </c>
      <c r="AW311" s="1">
        <v>26299</v>
      </c>
      <c r="AX311">
        <v>2</v>
      </c>
    </row>
    <row r="312" spans="1:50">
      <c r="B312" t="str">
        <f>"137229524"</f>
        <v>137229524</v>
      </c>
      <c r="C312" t="s">
        <v>50</v>
      </c>
      <c r="D312" t="s">
        <v>1101</v>
      </c>
      <c r="E312" t="s">
        <v>52</v>
      </c>
      <c r="F312" t="s">
        <v>108</v>
      </c>
      <c r="G312" t="s">
        <v>250</v>
      </c>
      <c r="H312" t="str">
        <f>" "</f>
        <v xml:space="preserve"> </v>
      </c>
      <c r="N312" t="s">
        <v>536</v>
      </c>
      <c r="O312" t="s">
        <v>537</v>
      </c>
      <c r="R312" t="s">
        <v>121</v>
      </c>
      <c r="S312">
        <v>3</v>
      </c>
      <c r="T312" t="s">
        <v>344</v>
      </c>
      <c r="U312" s="1">
        <v>43348</v>
      </c>
      <c r="V312" t="s">
        <v>123</v>
      </c>
      <c r="W312" t="s">
        <v>124</v>
      </c>
      <c r="X312" t="s">
        <v>58</v>
      </c>
      <c r="Y312">
        <v>23</v>
      </c>
      <c r="Z312" t="s">
        <v>59</v>
      </c>
      <c r="AA312" t="s">
        <v>59</v>
      </c>
      <c r="AB312" t="s">
        <v>59</v>
      </c>
      <c r="AD312" t="s">
        <v>59</v>
      </c>
      <c r="AF312" s="1">
        <v>43348</v>
      </c>
      <c r="AG312" t="s">
        <v>125</v>
      </c>
      <c r="AH312" t="s">
        <v>126</v>
      </c>
      <c r="AI312" t="str">
        <f>"1722010"</f>
        <v>1722010</v>
      </c>
      <c r="AJ312" t="s">
        <v>549</v>
      </c>
      <c r="AK312">
        <v>2894041298</v>
      </c>
      <c r="AL312" t="s">
        <v>550</v>
      </c>
      <c r="AM312" t="s">
        <v>78</v>
      </c>
      <c r="AN312" t="s">
        <v>405</v>
      </c>
      <c r="AO312" t="s">
        <v>551</v>
      </c>
      <c r="AP312" t="s">
        <v>552</v>
      </c>
      <c r="AQ312">
        <v>31</v>
      </c>
      <c r="AR312" t="s">
        <v>123</v>
      </c>
      <c r="AS312" t="s">
        <v>124</v>
      </c>
      <c r="AT312" t="s">
        <v>58</v>
      </c>
      <c r="AU312" t="s">
        <v>350</v>
      </c>
      <c r="AV312" t="s">
        <v>132</v>
      </c>
      <c r="AW312" s="1">
        <v>31600</v>
      </c>
      <c r="AX312">
        <v>2</v>
      </c>
    </row>
    <row r="313" spans="1:50">
      <c r="A313">
        <v>174115</v>
      </c>
      <c r="B313" t="str">
        <f>"051746320"</f>
        <v>051746320</v>
      </c>
      <c r="C313" t="s">
        <v>50</v>
      </c>
      <c r="D313" t="s">
        <v>1101</v>
      </c>
      <c r="E313" t="s">
        <v>54</v>
      </c>
      <c r="F313" t="s">
        <v>166</v>
      </c>
      <c r="G313" t="s">
        <v>52</v>
      </c>
      <c r="H313" t="str">
        <f>"ΜΟΝΗΣ ΤΟΠΛΟΥ 32 ΗΡΑΚΛΕΙΟ"</f>
        <v>ΜΟΝΗΣ ΤΟΠΛΟΥ 32 ΗΡΑΚΛΕΙΟ</v>
      </c>
      <c r="I313">
        <v>71307</v>
      </c>
      <c r="J313">
        <v>2810343672</v>
      </c>
      <c r="K313">
        <v>6972014135</v>
      </c>
      <c r="M313" t="s">
        <v>1102</v>
      </c>
      <c r="N313" t="s">
        <v>306</v>
      </c>
      <c r="O313" t="s">
        <v>307</v>
      </c>
      <c r="R313" t="s">
        <v>57</v>
      </c>
      <c r="S313">
        <v>14</v>
      </c>
      <c r="T313">
        <v>166</v>
      </c>
      <c r="U313" s="1">
        <v>35300</v>
      </c>
      <c r="V313" t="s">
        <v>123</v>
      </c>
      <c r="W313" t="s">
        <v>124</v>
      </c>
      <c r="X313" t="s">
        <v>58</v>
      </c>
      <c r="Y313">
        <v>18</v>
      </c>
      <c r="Z313" t="s">
        <v>59</v>
      </c>
      <c r="AA313" t="s">
        <v>59</v>
      </c>
      <c r="AB313" t="s">
        <v>59</v>
      </c>
      <c r="AC313" t="s">
        <v>59</v>
      </c>
      <c r="AD313" t="s">
        <v>59</v>
      </c>
      <c r="AF313" s="1">
        <v>35310</v>
      </c>
      <c r="AG313" t="s">
        <v>148</v>
      </c>
      <c r="AH313" t="s">
        <v>149</v>
      </c>
      <c r="AI313" t="str">
        <f>"1751010"</f>
        <v>1751010</v>
      </c>
      <c r="AJ313" t="s">
        <v>150</v>
      </c>
      <c r="AK313">
        <v>2810346092</v>
      </c>
      <c r="AL313" t="s">
        <v>151</v>
      </c>
      <c r="AM313" t="s">
        <v>78</v>
      </c>
      <c r="AN313" t="s">
        <v>78</v>
      </c>
      <c r="AO313" t="s">
        <v>78</v>
      </c>
      <c r="AP313" t="s">
        <v>79</v>
      </c>
      <c r="AQ313">
        <v>1</v>
      </c>
      <c r="AR313" t="s">
        <v>123</v>
      </c>
      <c r="AS313" t="s">
        <v>124</v>
      </c>
      <c r="AT313" t="s">
        <v>58</v>
      </c>
      <c r="AU313" t="s">
        <v>68</v>
      </c>
      <c r="AV313" t="s">
        <v>69</v>
      </c>
      <c r="AW313" s="1">
        <v>25486</v>
      </c>
      <c r="AX313">
        <v>2</v>
      </c>
    </row>
    <row r="314" spans="1:50">
      <c r="A314">
        <v>207718</v>
      </c>
      <c r="B314" t="str">
        <f>"076661605"</f>
        <v>076661605</v>
      </c>
      <c r="C314" t="s">
        <v>50</v>
      </c>
      <c r="D314" t="s">
        <v>1103</v>
      </c>
      <c r="E314" t="s">
        <v>255</v>
      </c>
      <c r="F314" t="s">
        <v>154</v>
      </c>
      <c r="G314" t="s">
        <v>215</v>
      </c>
      <c r="H314" t="str">
        <f>"Επισκοπή  Χερσονήσου Ηράκλειο ΕΠΙΣΚΟΠΗ ΠΕΔΙΑΔΑΣ"</f>
        <v>Επισκοπή  Χερσονήσου Ηράκλειο ΕΠΙΣΚΟΠΗ ΠΕΔΙΑΔΑΣ</v>
      </c>
      <c r="I314">
        <v>70008</v>
      </c>
      <c r="J314">
        <v>2810263046</v>
      </c>
      <c r="K314">
        <v>6931797051</v>
      </c>
      <c r="M314" t="s">
        <v>1104</v>
      </c>
      <c r="N314" t="s">
        <v>288</v>
      </c>
      <c r="O314" t="s">
        <v>289</v>
      </c>
      <c r="R314" t="s">
        <v>57</v>
      </c>
      <c r="S314">
        <v>10</v>
      </c>
      <c r="T314">
        <v>218</v>
      </c>
      <c r="U314" s="1">
        <v>38596</v>
      </c>
      <c r="V314" t="s">
        <v>123</v>
      </c>
      <c r="W314" t="s">
        <v>124</v>
      </c>
      <c r="X314" t="s">
        <v>58</v>
      </c>
      <c r="Y314">
        <v>20</v>
      </c>
      <c r="Z314" t="s">
        <v>59</v>
      </c>
      <c r="AA314" t="s">
        <v>59</v>
      </c>
      <c r="AB314" t="s">
        <v>59</v>
      </c>
      <c r="AC314" t="s">
        <v>59</v>
      </c>
      <c r="AD314" t="s">
        <v>59</v>
      </c>
      <c r="AF314" s="1">
        <v>38601</v>
      </c>
      <c r="AG314" t="s">
        <v>125</v>
      </c>
      <c r="AH314" t="s">
        <v>126</v>
      </c>
      <c r="AI314" t="str">
        <f>"1701055"</f>
        <v>1701055</v>
      </c>
      <c r="AJ314" t="s">
        <v>301</v>
      </c>
      <c r="AK314">
        <v>2810257353</v>
      </c>
      <c r="AL314" t="s">
        <v>302</v>
      </c>
      <c r="AM314" t="s">
        <v>78</v>
      </c>
      <c r="AN314" t="s">
        <v>78</v>
      </c>
      <c r="AO314" t="s">
        <v>78</v>
      </c>
      <c r="AP314" t="s">
        <v>141</v>
      </c>
      <c r="AQ314">
        <v>7</v>
      </c>
      <c r="AR314" t="s">
        <v>123</v>
      </c>
      <c r="AS314" t="s">
        <v>124</v>
      </c>
      <c r="AT314" t="s">
        <v>58</v>
      </c>
      <c r="AU314" t="s">
        <v>68</v>
      </c>
      <c r="AV314" t="s">
        <v>69</v>
      </c>
      <c r="AW314" s="1">
        <v>26749</v>
      </c>
      <c r="AX314">
        <v>2</v>
      </c>
    </row>
    <row r="315" spans="1:50">
      <c r="A315">
        <v>184500</v>
      </c>
      <c r="B315" t="str">
        <f>"036444641"</f>
        <v>036444641</v>
      </c>
      <c r="C315" t="s">
        <v>50</v>
      </c>
      <c r="D315" t="s">
        <v>1103</v>
      </c>
      <c r="E315" t="s">
        <v>181</v>
      </c>
      <c r="F315" t="s">
        <v>154</v>
      </c>
      <c r="G315" t="s">
        <v>215</v>
      </c>
      <c r="H315" t="str">
        <f>"M. KΑΡΔΙΩΤΙΣΣΗΣ 36 ΚΑΜΑΡΑΚΙ"</f>
        <v>M. KΑΡΔΙΩΤΙΣΣΗΣ 36 ΚΑΜΑΡΑΚΙ</v>
      </c>
      <c r="I315">
        <v>71201</v>
      </c>
      <c r="J315">
        <v>2810284624</v>
      </c>
      <c r="K315">
        <v>6972763685</v>
      </c>
      <c r="M315" t="s">
        <v>1105</v>
      </c>
      <c r="N315" t="s">
        <v>288</v>
      </c>
      <c r="O315" t="s">
        <v>289</v>
      </c>
      <c r="R315" t="s">
        <v>57</v>
      </c>
      <c r="S315">
        <v>13</v>
      </c>
      <c r="T315">
        <v>177</v>
      </c>
      <c r="U315" s="1">
        <v>36403</v>
      </c>
      <c r="V315" t="s">
        <v>123</v>
      </c>
      <c r="W315" t="s">
        <v>124</v>
      </c>
      <c r="X315" t="s">
        <v>58</v>
      </c>
      <c r="Y315">
        <v>18</v>
      </c>
      <c r="Z315" t="s">
        <v>59</v>
      </c>
      <c r="AA315" t="s">
        <v>59</v>
      </c>
      <c r="AB315" t="s">
        <v>59</v>
      </c>
      <c r="AC315" t="s">
        <v>59</v>
      </c>
      <c r="AD315" t="s">
        <v>59</v>
      </c>
      <c r="AF315" s="1">
        <v>36404</v>
      </c>
      <c r="AG315" t="s">
        <v>125</v>
      </c>
      <c r="AH315" t="s">
        <v>126</v>
      </c>
      <c r="AI315" t="str">
        <f>"1728010"</f>
        <v>1728010</v>
      </c>
      <c r="AJ315" t="s">
        <v>127</v>
      </c>
      <c r="AK315">
        <v>2810824651</v>
      </c>
      <c r="AL315" t="s">
        <v>128</v>
      </c>
      <c r="AM315" t="s">
        <v>78</v>
      </c>
      <c r="AN315" t="s">
        <v>129</v>
      </c>
      <c r="AO315" t="s">
        <v>130</v>
      </c>
      <c r="AP315" t="s">
        <v>130</v>
      </c>
      <c r="AQ315">
        <v>36</v>
      </c>
      <c r="AR315" t="s">
        <v>123</v>
      </c>
      <c r="AS315" t="s">
        <v>124</v>
      </c>
      <c r="AT315" t="s">
        <v>58</v>
      </c>
      <c r="AU315" t="s">
        <v>68</v>
      </c>
      <c r="AV315" t="s">
        <v>69</v>
      </c>
      <c r="AW315" s="1">
        <v>24274</v>
      </c>
      <c r="AX315">
        <v>2</v>
      </c>
    </row>
    <row r="316" spans="1:50">
      <c r="A316">
        <v>164330</v>
      </c>
      <c r="B316" t="str">
        <f>"026971015"</f>
        <v>026971015</v>
      </c>
      <c r="C316" t="s">
        <v>105</v>
      </c>
      <c r="D316" t="s">
        <v>1106</v>
      </c>
      <c r="E316" t="s">
        <v>1107</v>
      </c>
      <c r="F316" t="s">
        <v>95</v>
      </c>
      <c r="G316" t="s">
        <v>1108</v>
      </c>
      <c r="H316" t="str">
        <f>"ΑΝΤΩΝΙΟΥ ΚΑΣΤΡΙΝΑΚΗ 112 ΗΡΑΚΛΕΙΟΥ"</f>
        <v>ΑΝΤΩΝΙΟΥ ΚΑΣΤΡΙΝΑΚΗ 112 ΗΡΑΚΛΕΙΟΥ</v>
      </c>
      <c r="I316">
        <v>71305</v>
      </c>
      <c r="J316">
        <v>2810321747</v>
      </c>
      <c r="K316">
        <v>6946392914</v>
      </c>
      <c r="M316" t="s">
        <v>1109</v>
      </c>
      <c r="N316" t="s">
        <v>292</v>
      </c>
      <c r="O316" t="s">
        <v>293</v>
      </c>
      <c r="R316" t="s">
        <v>57</v>
      </c>
      <c r="S316">
        <v>14</v>
      </c>
      <c r="T316">
        <v>161</v>
      </c>
      <c r="U316" s="1">
        <v>33844</v>
      </c>
      <c r="V316" t="s">
        <v>123</v>
      </c>
      <c r="W316" t="s">
        <v>124</v>
      </c>
      <c r="X316" t="s">
        <v>58</v>
      </c>
      <c r="Y316">
        <v>18</v>
      </c>
      <c r="Z316" t="s">
        <v>59</v>
      </c>
      <c r="AA316" t="s">
        <v>59</v>
      </c>
      <c r="AB316" t="s">
        <v>59</v>
      </c>
      <c r="AC316" t="s">
        <v>59</v>
      </c>
      <c r="AD316" t="s">
        <v>59</v>
      </c>
      <c r="AF316" s="1">
        <v>33850</v>
      </c>
      <c r="AG316" t="s">
        <v>148</v>
      </c>
      <c r="AH316" t="s">
        <v>149</v>
      </c>
      <c r="AI316" t="str">
        <f>"1751052"</f>
        <v>1751052</v>
      </c>
      <c r="AJ316" t="s">
        <v>328</v>
      </c>
      <c r="AK316">
        <v>2810213762</v>
      </c>
      <c r="AL316" t="s">
        <v>329</v>
      </c>
      <c r="AM316" t="s">
        <v>78</v>
      </c>
      <c r="AN316" t="s">
        <v>78</v>
      </c>
      <c r="AO316" t="s">
        <v>78</v>
      </c>
      <c r="AP316" t="s">
        <v>163</v>
      </c>
      <c r="AQ316">
        <v>8</v>
      </c>
      <c r="AR316" t="s">
        <v>123</v>
      </c>
      <c r="AS316" t="s">
        <v>124</v>
      </c>
      <c r="AT316" t="s">
        <v>58</v>
      </c>
      <c r="AU316" t="s">
        <v>68</v>
      </c>
      <c r="AV316" t="s">
        <v>69</v>
      </c>
      <c r="AW316" s="1">
        <v>20091</v>
      </c>
      <c r="AX316">
        <v>2</v>
      </c>
    </row>
    <row r="317" spans="1:50">
      <c r="A317">
        <v>182284</v>
      </c>
      <c r="B317" t="str">
        <f>"032699855"</f>
        <v>032699855</v>
      </c>
      <c r="C317" t="s">
        <v>105</v>
      </c>
      <c r="D317" t="s">
        <v>1110</v>
      </c>
      <c r="E317" t="s">
        <v>1111</v>
      </c>
      <c r="F317" t="s">
        <v>72</v>
      </c>
      <c r="G317" t="s">
        <v>787</v>
      </c>
      <c r="H317" t="str">
        <f>" "</f>
        <v xml:space="preserve"> </v>
      </c>
      <c r="M317" t="s">
        <v>1112</v>
      </c>
      <c r="N317" t="s">
        <v>176</v>
      </c>
      <c r="O317" t="s">
        <v>177</v>
      </c>
      <c r="R317" t="s">
        <v>57</v>
      </c>
      <c r="S317">
        <v>13</v>
      </c>
      <c r="T317">
        <v>184</v>
      </c>
      <c r="U317" s="1">
        <v>34941</v>
      </c>
      <c r="V317" t="s">
        <v>123</v>
      </c>
      <c r="W317" t="s">
        <v>124</v>
      </c>
      <c r="X317" t="s">
        <v>58</v>
      </c>
      <c r="Y317">
        <v>18</v>
      </c>
      <c r="Z317" t="s">
        <v>59</v>
      </c>
      <c r="AA317" t="s">
        <v>59</v>
      </c>
      <c r="AB317" t="s">
        <v>59</v>
      </c>
      <c r="AC317" t="s">
        <v>59</v>
      </c>
      <c r="AD317" t="s">
        <v>59</v>
      </c>
      <c r="AF317" s="1">
        <v>34943</v>
      </c>
      <c r="AG317" t="s">
        <v>125</v>
      </c>
      <c r="AH317" t="s">
        <v>126</v>
      </c>
      <c r="AI317" t="str">
        <f>"1701040"</f>
        <v>1701040</v>
      </c>
      <c r="AJ317" t="s">
        <v>748</v>
      </c>
      <c r="AK317">
        <v>2810252459</v>
      </c>
      <c r="AL317" t="s">
        <v>749</v>
      </c>
      <c r="AM317" t="s">
        <v>78</v>
      </c>
      <c r="AN317" t="s">
        <v>78</v>
      </c>
      <c r="AO317" t="s">
        <v>78</v>
      </c>
      <c r="AP317" t="s">
        <v>141</v>
      </c>
      <c r="AQ317">
        <v>3</v>
      </c>
      <c r="AR317" t="s">
        <v>123</v>
      </c>
      <c r="AS317" t="s">
        <v>124</v>
      </c>
      <c r="AT317" t="s">
        <v>58</v>
      </c>
      <c r="AU317" t="s">
        <v>68</v>
      </c>
      <c r="AV317" t="s">
        <v>69</v>
      </c>
      <c r="AW317" s="1">
        <v>23502</v>
      </c>
      <c r="AX317">
        <v>2</v>
      </c>
    </row>
    <row r="318" spans="1:50">
      <c r="A318">
        <v>221976</v>
      </c>
      <c r="B318" t="str">
        <f>"103812096"</f>
        <v>103812096</v>
      </c>
      <c r="C318" t="s">
        <v>50</v>
      </c>
      <c r="D318" t="s">
        <v>1113</v>
      </c>
      <c r="E318" t="s">
        <v>250</v>
      </c>
      <c r="F318" t="s">
        <v>166</v>
      </c>
      <c r="G318" t="s">
        <v>1114</v>
      </c>
      <c r="H318" t="str">
        <f>"ΠΡΟΦΗΤΗΣ ΗΛΙΑΣ ΤΕΜΕΝΟΥΣ ΗΡΑΚΛΕΙΟ"</f>
        <v>ΠΡΟΦΗΤΗΣ ΗΛΙΑΣ ΤΕΜΕΝΟΥΣ ΗΡΑΚΛΕΙΟ</v>
      </c>
      <c r="I318">
        <v>71500</v>
      </c>
      <c r="J318">
        <v>2831027422</v>
      </c>
      <c r="K318">
        <v>6972982265</v>
      </c>
      <c r="M318" t="s">
        <v>1115</v>
      </c>
      <c r="N318" t="s">
        <v>146</v>
      </c>
      <c r="O318" t="s">
        <v>147</v>
      </c>
      <c r="P318" t="s">
        <v>1116</v>
      </c>
      <c r="Q318" t="s">
        <v>1117</v>
      </c>
      <c r="R318" t="s">
        <v>57</v>
      </c>
      <c r="S318">
        <v>5</v>
      </c>
      <c r="T318">
        <v>775</v>
      </c>
      <c r="U318" s="1">
        <v>39680</v>
      </c>
      <c r="V318" t="s">
        <v>123</v>
      </c>
      <c r="W318" t="s">
        <v>124</v>
      </c>
      <c r="X318" t="s">
        <v>58</v>
      </c>
      <c r="Y318">
        <v>21</v>
      </c>
      <c r="Z318" t="s">
        <v>59</v>
      </c>
      <c r="AA318" t="s">
        <v>59</v>
      </c>
      <c r="AB318" t="s">
        <v>59</v>
      </c>
      <c r="AC318" t="s">
        <v>59</v>
      </c>
      <c r="AD318" t="s">
        <v>59</v>
      </c>
      <c r="AF318" s="1">
        <v>39681</v>
      </c>
      <c r="AG318" t="s">
        <v>148</v>
      </c>
      <c r="AH318" t="s">
        <v>149</v>
      </c>
      <c r="AI318" t="str">
        <f>"1768010"</f>
        <v>1768010</v>
      </c>
      <c r="AJ318" t="s">
        <v>1012</v>
      </c>
      <c r="AK318">
        <v>2897032070</v>
      </c>
      <c r="AL318" t="s">
        <v>1013</v>
      </c>
      <c r="AM318" t="s">
        <v>78</v>
      </c>
      <c r="AN318" t="s">
        <v>219</v>
      </c>
      <c r="AO318" t="s">
        <v>527</v>
      </c>
      <c r="AP318" t="s">
        <v>527</v>
      </c>
      <c r="AQ318">
        <v>20</v>
      </c>
      <c r="AR318" t="s">
        <v>123</v>
      </c>
      <c r="AS318" t="s">
        <v>124</v>
      </c>
      <c r="AT318" t="s">
        <v>58</v>
      </c>
      <c r="AU318" t="s">
        <v>68</v>
      </c>
      <c r="AV318" t="s">
        <v>69</v>
      </c>
      <c r="AW318" s="1">
        <v>29536</v>
      </c>
      <c r="AX318">
        <v>2</v>
      </c>
    </row>
    <row r="319" spans="1:50">
      <c r="A319">
        <v>211917</v>
      </c>
      <c r="B319" t="str">
        <f>"059845760"</f>
        <v>059845760</v>
      </c>
      <c r="C319" t="s">
        <v>105</v>
      </c>
      <c r="D319" t="s">
        <v>1118</v>
      </c>
      <c r="E319" t="s">
        <v>72</v>
      </c>
      <c r="F319" t="s">
        <v>84</v>
      </c>
      <c r="G319" t="s">
        <v>1001</v>
      </c>
      <c r="H319" t="str">
        <f>"ΜΑΙΑΝΔΡΟΥ 12 ΗΡΑΚΛΕΙΟ"</f>
        <v>ΜΑΙΑΝΔΡΟΥ 12 ΗΡΑΚΛΕΙΟ</v>
      </c>
      <c r="I319">
        <v>71305</v>
      </c>
      <c r="J319">
        <v>2810258366</v>
      </c>
      <c r="K319">
        <v>6937006373</v>
      </c>
      <c r="L319">
        <v>905343335296</v>
      </c>
      <c r="N319" t="s">
        <v>146</v>
      </c>
      <c r="O319" t="s">
        <v>147</v>
      </c>
      <c r="R319" t="s">
        <v>57</v>
      </c>
      <c r="S319">
        <v>10</v>
      </c>
      <c r="T319">
        <v>231</v>
      </c>
      <c r="U319" s="1">
        <v>38960</v>
      </c>
      <c r="V319" t="s">
        <v>123</v>
      </c>
      <c r="W319" t="s">
        <v>124</v>
      </c>
      <c r="X319" t="s">
        <v>58</v>
      </c>
      <c r="Y319">
        <v>20</v>
      </c>
      <c r="Z319" t="s">
        <v>59</v>
      </c>
      <c r="AA319" t="s">
        <v>59</v>
      </c>
      <c r="AB319" t="s">
        <v>59</v>
      </c>
      <c r="AC319" t="s">
        <v>59</v>
      </c>
      <c r="AD319" t="s">
        <v>59</v>
      </c>
      <c r="AF319" s="1">
        <v>38961</v>
      </c>
      <c r="AG319" t="s">
        <v>148</v>
      </c>
      <c r="AH319" t="s">
        <v>149</v>
      </c>
      <c r="AI319" t="str">
        <f>"1767011"</f>
        <v>1767011</v>
      </c>
      <c r="AJ319" t="s">
        <v>217</v>
      </c>
      <c r="AK319">
        <v>2897021055</v>
      </c>
      <c r="AL319" t="s">
        <v>218</v>
      </c>
      <c r="AM319" t="s">
        <v>78</v>
      </c>
      <c r="AN319" t="s">
        <v>219</v>
      </c>
      <c r="AO319" t="s">
        <v>219</v>
      </c>
      <c r="AP319" t="s">
        <v>220</v>
      </c>
      <c r="AQ319">
        <v>20</v>
      </c>
      <c r="AR319" t="s">
        <v>123</v>
      </c>
      <c r="AS319" t="s">
        <v>124</v>
      </c>
      <c r="AT319" t="s">
        <v>58</v>
      </c>
      <c r="AU319" t="s">
        <v>68</v>
      </c>
      <c r="AV319" t="s">
        <v>69</v>
      </c>
      <c r="AW319" s="1">
        <v>23565</v>
      </c>
      <c r="AX319">
        <v>2</v>
      </c>
    </row>
    <row r="320" spans="1:50">
      <c r="A320">
        <v>182006</v>
      </c>
      <c r="B320" t="str">
        <f>"051567201"</f>
        <v>051567201</v>
      </c>
      <c r="C320" t="s">
        <v>50</v>
      </c>
      <c r="D320" t="s">
        <v>1119</v>
      </c>
      <c r="E320" t="s">
        <v>52</v>
      </c>
      <c r="F320" t="s">
        <v>377</v>
      </c>
      <c r="G320" t="s">
        <v>1120</v>
      </c>
      <c r="H320" t="str">
        <f>" "</f>
        <v xml:space="preserve"> </v>
      </c>
      <c r="M320" t="s">
        <v>1121</v>
      </c>
      <c r="N320" t="s">
        <v>204</v>
      </c>
      <c r="O320" t="s">
        <v>205</v>
      </c>
      <c r="R320" t="s">
        <v>57</v>
      </c>
      <c r="S320">
        <v>11</v>
      </c>
      <c r="T320">
        <v>164</v>
      </c>
      <c r="U320" s="1">
        <v>36040</v>
      </c>
      <c r="V320" t="s">
        <v>123</v>
      </c>
      <c r="W320" t="s">
        <v>124</v>
      </c>
      <c r="X320" t="s">
        <v>58</v>
      </c>
      <c r="Y320">
        <v>18</v>
      </c>
      <c r="Z320" t="s">
        <v>59</v>
      </c>
      <c r="AA320" t="s">
        <v>59</v>
      </c>
      <c r="AB320" t="s">
        <v>59</v>
      </c>
      <c r="AC320" t="s">
        <v>59</v>
      </c>
      <c r="AD320" t="s">
        <v>59</v>
      </c>
      <c r="AF320" s="1">
        <v>36042</v>
      </c>
      <c r="AG320" t="s">
        <v>137</v>
      </c>
      <c r="AH320" t="s">
        <v>138</v>
      </c>
      <c r="AI320" t="str">
        <f>"1740100"</f>
        <v>1740100</v>
      </c>
      <c r="AJ320" t="s">
        <v>857</v>
      </c>
      <c r="AK320">
        <v>2810360741</v>
      </c>
      <c r="AL320" t="s">
        <v>858</v>
      </c>
      <c r="AM320" t="s">
        <v>78</v>
      </c>
      <c r="AN320" t="s">
        <v>78</v>
      </c>
      <c r="AO320" t="s">
        <v>78</v>
      </c>
      <c r="AP320" t="s">
        <v>163</v>
      </c>
      <c r="AQ320">
        <v>5</v>
      </c>
      <c r="AR320" t="s">
        <v>123</v>
      </c>
      <c r="AS320" t="s">
        <v>124</v>
      </c>
      <c r="AT320" t="s">
        <v>58</v>
      </c>
      <c r="AU320" t="s">
        <v>68</v>
      </c>
      <c r="AV320" t="s">
        <v>357</v>
      </c>
      <c r="AW320" s="1">
        <v>25494</v>
      </c>
      <c r="AX320">
        <v>2</v>
      </c>
    </row>
    <row r="321" spans="1:50">
      <c r="A321">
        <v>185936</v>
      </c>
      <c r="B321" t="str">
        <f>"033193320"</f>
        <v>033193320</v>
      </c>
      <c r="C321" t="s">
        <v>105</v>
      </c>
      <c r="D321" t="s">
        <v>1122</v>
      </c>
      <c r="E321" t="s">
        <v>95</v>
      </c>
      <c r="F321" t="s">
        <v>72</v>
      </c>
      <c r="G321" t="s">
        <v>215</v>
      </c>
      <c r="H321" t="str">
        <f>"HEERDTER-SANDBERG 15 DUSSELDORF ΓΕΡΜΑΝΙΑ"</f>
        <v>HEERDTER-SANDBERG 15 DUSSELDORF ΓΕΡΜΑΝΙΑ</v>
      </c>
      <c r="I321">
        <v>40549</v>
      </c>
      <c r="J321">
        <v>4921156635018</v>
      </c>
      <c r="K321">
        <v>491727202827</v>
      </c>
      <c r="L321">
        <v>4920286778</v>
      </c>
      <c r="N321" t="s">
        <v>292</v>
      </c>
      <c r="O321" t="s">
        <v>293</v>
      </c>
      <c r="R321" t="s">
        <v>57</v>
      </c>
      <c r="S321">
        <v>9</v>
      </c>
      <c r="T321">
        <v>250</v>
      </c>
      <c r="U321" s="1">
        <v>36769</v>
      </c>
      <c r="V321" t="s">
        <v>123</v>
      </c>
      <c r="W321" t="s">
        <v>124</v>
      </c>
      <c r="X321" t="s">
        <v>58</v>
      </c>
      <c r="Y321">
        <v>20</v>
      </c>
      <c r="Z321" t="s">
        <v>59</v>
      </c>
      <c r="AA321" t="s">
        <v>59</v>
      </c>
      <c r="AB321" t="s">
        <v>59</v>
      </c>
      <c r="AC321" t="s">
        <v>59</v>
      </c>
      <c r="AD321" t="s">
        <v>59</v>
      </c>
      <c r="AF321" s="1">
        <v>36774</v>
      </c>
      <c r="AG321" t="s">
        <v>148</v>
      </c>
      <c r="AH321" t="s">
        <v>149</v>
      </c>
      <c r="AI321" t="str">
        <f>"1751042"</f>
        <v>1751042</v>
      </c>
      <c r="AJ321" t="s">
        <v>959</v>
      </c>
      <c r="AK321">
        <v>2810220685</v>
      </c>
      <c r="AL321" t="s">
        <v>960</v>
      </c>
      <c r="AM321" t="s">
        <v>78</v>
      </c>
      <c r="AN321" t="s">
        <v>78</v>
      </c>
      <c r="AO321" t="s">
        <v>78</v>
      </c>
      <c r="AP321" t="s">
        <v>213</v>
      </c>
      <c r="AQ321">
        <v>6</v>
      </c>
      <c r="AR321" t="s">
        <v>123</v>
      </c>
      <c r="AS321" t="s">
        <v>124</v>
      </c>
      <c r="AT321" t="s">
        <v>58</v>
      </c>
      <c r="AU321" t="s">
        <v>68</v>
      </c>
      <c r="AV321" t="s">
        <v>69</v>
      </c>
      <c r="AW321" s="1">
        <v>22282</v>
      </c>
      <c r="AX321">
        <v>2</v>
      </c>
    </row>
    <row r="322" spans="1:50">
      <c r="B322" t="str">
        <f>"108617519"</f>
        <v>108617519</v>
      </c>
      <c r="C322" t="s">
        <v>50</v>
      </c>
      <c r="D322" t="s">
        <v>1123</v>
      </c>
      <c r="E322" t="s">
        <v>73</v>
      </c>
      <c r="F322" t="s">
        <v>72</v>
      </c>
      <c r="G322" t="s">
        <v>507</v>
      </c>
      <c r="H322" t="str">
        <f>"ΜΠΟΥΜΠΟΥΛΙΝΑΣ 1 ΝΑΟΥΣΑ"</f>
        <v>ΜΠΟΥΜΠΟΥΛΙΝΑΣ 1 ΝΑΟΥΣΑ</v>
      </c>
      <c r="I322">
        <v>59200</v>
      </c>
      <c r="J322">
        <v>2332026229</v>
      </c>
      <c r="K322">
        <v>6985073718</v>
      </c>
      <c r="M322" t="s">
        <v>1124</v>
      </c>
      <c r="N322" t="s">
        <v>1125</v>
      </c>
      <c r="O322" t="s">
        <v>1126</v>
      </c>
      <c r="R322" t="s">
        <v>159</v>
      </c>
      <c r="S322">
        <v>5</v>
      </c>
      <c r="T322" t="s">
        <v>344</v>
      </c>
      <c r="U322" s="1">
        <v>43348</v>
      </c>
      <c r="V322" t="s">
        <v>123</v>
      </c>
      <c r="W322" t="s">
        <v>124</v>
      </c>
      <c r="X322" t="s">
        <v>58</v>
      </c>
      <c r="Y322">
        <v>21</v>
      </c>
      <c r="Z322" t="s">
        <v>59</v>
      </c>
      <c r="AA322" t="s">
        <v>59</v>
      </c>
      <c r="AB322" t="s">
        <v>59</v>
      </c>
      <c r="AC322" t="s">
        <v>59</v>
      </c>
      <c r="AD322" t="s">
        <v>59</v>
      </c>
      <c r="AF322" s="1">
        <v>43348</v>
      </c>
      <c r="AG322" t="s">
        <v>125</v>
      </c>
      <c r="AH322" t="s">
        <v>538</v>
      </c>
      <c r="AI322" t="str">
        <f>"1701002"</f>
        <v>1701002</v>
      </c>
      <c r="AJ322" t="s">
        <v>539</v>
      </c>
      <c r="AK322">
        <v>2810213569</v>
      </c>
      <c r="AL322" t="s">
        <v>540</v>
      </c>
      <c r="AM322" t="s">
        <v>78</v>
      </c>
      <c r="AN322" t="s">
        <v>78</v>
      </c>
      <c r="AO322" t="s">
        <v>78</v>
      </c>
      <c r="AP322" t="s">
        <v>163</v>
      </c>
      <c r="AQ322">
        <v>11</v>
      </c>
      <c r="AR322" t="s">
        <v>123</v>
      </c>
      <c r="AS322" t="s">
        <v>124</v>
      </c>
      <c r="AT322" t="s">
        <v>58</v>
      </c>
      <c r="AU322" t="s">
        <v>350</v>
      </c>
      <c r="AV322" t="s">
        <v>132</v>
      </c>
      <c r="AW322" s="1">
        <v>29100</v>
      </c>
      <c r="AX322">
        <v>2</v>
      </c>
    </row>
    <row r="323" spans="1:50">
      <c r="A323">
        <v>226019</v>
      </c>
      <c r="B323" t="str">
        <f>"062506262"</f>
        <v>062506262</v>
      </c>
      <c r="C323" t="s">
        <v>105</v>
      </c>
      <c r="D323" t="s">
        <v>1127</v>
      </c>
      <c r="E323" t="s">
        <v>383</v>
      </c>
      <c r="F323" t="s">
        <v>95</v>
      </c>
      <c r="G323" t="s">
        <v>263</v>
      </c>
      <c r="H323" t="str">
        <f>" "</f>
        <v xml:space="preserve"> </v>
      </c>
      <c r="K323">
        <v>6974310506</v>
      </c>
      <c r="M323" t="s">
        <v>1128</v>
      </c>
      <c r="N323" t="s">
        <v>176</v>
      </c>
      <c r="O323" t="s">
        <v>177</v>
      </c>
      <c r="R323" t="s">
        <v>57</v>
      </c>
      <c r="S323">
        <v>9</v>
      </c>
      <c r="T323">
        <v>250</v>
      </c>
      <c r="U323" s="1">
        <v>36769</v>
      </c>
      <c r="V323" t="s">
        <v>123</v>
      </c>
      <c r="W323" t="s">
        <v>124</v>
      </c>
      <c r="X323" t="s">
        <v>58</v>
      </c>
      <c r="Y323">
        <v>20</v>
      </c>
      <c r="Z323" t="s">
        <v>59</v>
      </c>
      <c r="AA323" t="s">
        <v>59</v>
      </c>
      <c r="AB323" t="s">
        <v>59</v>
      </c>
      <c r="AC323" t="s">
        <v>59</v>
      </c>
      <c r="AD323" t="s">
        <v>59</v>
      </c>
      <c r="AF323" s="1">
        <v>36770</v>
      </c>
      <c r="AG323" t="s">
        <v>148</v>
      </c>
      <c r="AH323" t="s">
        <v>149</v>
      </c>
      <c r="AI323" t="str">
        <f>"1752010"</f>
        <v>1752010</v>
      </c>
      <c r="AJ323" t="s">
        <v>896</v>
      </c>
      <c r="AK323">
        <v>2891022893</v>
      </c>
      <c r="AL323" t="s">
        <v>897</v>
      </c>
      <c r="AM323" t="s">
        <v>78</v>
      </c>
      <c r="AN323" t="s">
        <v>276</v>
      </c>
      <c r="AO323" t="s">
        <v>490</v>
      </c>
      <c r="AP323" t="s">
        <v>490</v>
      </c>
      <c r="AQ323">
        <v>15</v>
      </c>
      <c r="AR323" t="s">
        <v>123</v>
      </c>
      <c r="AS323" t="s">
        <v>124</v>
      </c>
      <c r="AT323" t="s">
        <v>58</v>
      </c>
      <c r="AU323" t="s">
        <v>68</v>
      </c>
      <c r="AV323" t="s">
        <v>69</v>
      </c>
      <c r="AW323" s="1">
        <v>26372</v>
      </c>
      <c r="AX323">
        <v>2</v>
      </c>
    </row>
    <row r="324" spans="1:50">
      <c r="B324" t="str">
        <f>"118405579"</f>
        <v>118405579</v>
      </c>
      <c r="C324" t="s">
        <v>50</v>
      </c>
      <c r="D324" t="s">
        <v>1129</v>
      </c>
      <c r="E324" t="s">
        <v>155</v>
      </c>
      <c r="F324" t="s">
        <v>108</v>
      </c>
      <c r="G324" t="s">
        <v>52</v>
      </c>
      <c r="H324" t="str">
        <f>"ΑΡΓΥΡΙΑΔΗ 1 ΚΟΖΑΝΗ"</f>
        <v>ΑΡΓΥΡΙΑΔΗ 1 ΚΟΖΑΝΗ</v>
      </c>
      <c r="I324">
        <v>50100</v>
      </c>
      <c r="J324">
        <v>2461038085</v>
      </c>
      <c r="K324">
        <v>6946980410</v>
      </c>
      <c r="M324" t="s">
        <v>1130</v>
      </c>
      <c r="N324" t="s">
        <v>292</v>
      </c>
      <c r="O324" t="s">
        <v>293</v>
      </c>
      <c r="R324" t="s">
        <v>159</v>
      </c>
      <c r="S324">
        <v>2</v>
      </c>
      <c r="T324" t="s">
        <v>160</v>
      </c>
      <c r="U324" s="1">
        <v>43364</v>
      </c>
      <c r="V324" t="s">
        <v>123</v>
      </c>
      <c r="W324" t="s">
        <v>124</v>
      </c>
      <c r="X324" t="s">
        <v>58</v>
      </c>
      <c r="Y324">
        <v>23</v>
      </c>
      <c r="Z324" t="s">
        <v>59</v>
      </c>
      <c r="AA324" t="s">
        <v>59</v>
      </c>
      <c r="AB324" t="s">
        <v>59</v>
      </c>
      <c r="AC324" t="s">
        <v>59</v>
      </c>
      <c r="AD324" t="s">
        <v>59</v>
      </c>
      <c r="AF324" s="1">
        <v>43367</v>
      </c>
      <c r="AG324" t="s">
        <v>125</v>
      </c>
      <c r="AH324" t="s">
        <v>126</v>
      </c>
      <c r="AI324" t="str">
        <f>"1702010"</f>
        <v>1702010</v>
      </c>
      <c r="AJ324" t="s">
        <v>604</v>
      </c>
      <c r="AK324">
        <v>2891022228</v>
      </c>
      <c r="AL324" t="s">
        <v>605</v>
      </c>
      <c r="AM324" t="s">
        <v>78</v>
      </c>
      <c r="AN324" t="s">
        <v>276</v>
      </c>
      <c r="AO324" t="s">
        <v>490</v>
      </c>
      <c r="AP324" t="s">
        <v>490</v>
      </c>
      <c r="AQ324">
        <v>15</v>
      </c>
      <c r="AR324" t="s">
        <v>123</v>
      </c>
      <c r="AS324" t="s">
        <v>124</v>
      </c>
      <c r="AT324" t="s">
        <v>58</v>
      </c>
      <c r="AU324" t="s">
        <v>164</v>
      </c>
      <c r="AV324" t="s">
        <v>132</v>
      </c>
      <c r="AW324" s="1">
        <v>28704</v>
      </c>
      <c r="AX324">
        <v>2</v>
      </c>
    </row>
    <row r="325" spans="1:50">
      <c r="A325">
        <v>207555</v>
      </c>
      <c r="B325" t="str">
        <f>"076691580"</f>
        <v>076691580</v>
      </c>
      <c r="C325" t="s">
        <v>105</v>
      </c>
      <c r="D325" t="s">
        <v>1131</v>
      </c>
      <c r="E325" t="s">
        <v>459</v>
      </c>
      <c r="F325" t="s">
        <v>377</v>
      </c>
      <c r="G325" t="s">
        <v>109</v>
      </c>
      <c r="H325" t="str">
        <f>"ΠΑΣΙΦΑΗΣ 1 ΣΚΑΛΑΝΙ"</f>
        <v>ΠΑΣΙΦΑΗΣ 1 ΣΚΑΛΑΝΙ</v>
      </c>
      <c r="I325">
        <v>71500</v>
      </c>
      <c r="J325">
        <v>2810731638</v>
      </c>
      <c r="K325">
        <v>6973725528</v>
      </c>
      <c r="M325" t="s">
        <v>1132</v>
      </c>
      <c r="N325" t="s">
        <v>306</v>
      </c>
      <c r="O325" t="s">
        <v>307</v>
      </c>
      <c r="R325" t="s">
        <v>57</v>
      </c>
      <c r="S325">
        <v>8</v>
      </c>
      <c r="T325">
        <v>218</v>
      </c>
      <c r="U325" s="1">
        <v>38596</v>
      </c>
      <c r="V325" t="s">
        <v>123</v>
      </c>
      <c r="W325" t="s">
        <v>124</v>
      </c>
      <c r="X325" t="s">
        <v>58</v>
      </c>
      <c r="Y325">
        <v>20</v>
      </c>
      <c r="Z325" t="s">
        <v>59</v>
      </c>
      <c r="AA325" t="s">
        <v>59</v>
      </c>
      <c r="AB325" t="s">
        <v>59</v>
      </c>
      <c r="AC325" t="s">
        <v>59</v>
      </c>
      <c r="AD325" t="s">
        <v>59</v>
      </c>
      <c r="AF325" s="1">
        <v>38600</v>
      </c>
      <c r="AG325" t="s">
        <v>125</v>
      </c>
      <c r="AH325" t="s">
        <v>126</v>
      </c>
      <c r="AI325" t="str">
        <f>"1727010"</f>
        <v>1727010</v>
      </c>
      <c r="AJ325" t="s">
        <v>618</v>
      </c>
      <c r="AK325">
        <v>2810229231</v>
      </c>
      <c r="AL325" t="s">
        <v>619</v>
      </c>
      <c r="AM325" t="s">
        <v>78</v>
      </c>
      <c r="AN325" t="s">
        <v>78</v>
      </c>
      <c r="AO325" t="s">
        <v>286</v>
      </c>
      <c r="AP325" t="s">
        <v>286</v>
      </c>
      <c r="AQ325">
        <v>12</v>
      </c>
      <c r="AR325" t="s">
        <v>123</v>
      </c>
      <c r="AS325" t="s">
        <v>124</v>
      </c>
      <c r="AT325" t="s">
        <v>58</v>
      </c>
      <c r="AU325" t="s">
        <v>68</v>
      </c>
      <c r="AV325" t="s">
        <v>69</v>
      </c>
      <c r="AW325" s="1">
        <v>27419</v>
      </c>
      <c r="AX325">
        <v>2</v>
      </c>
    </row>
    <row r="326" spans="1:50">
      <c r="A326">
        <v>217449</v>
      </c>
      <c r="B326" t="str">
        <f>"078712212"</f>
        <v>078712212</v>
      </c>
      <c r="C326" t="s">
        <v>50</v>
      </c>
      <c r="D326" t="s">
        <v>1133</v>
      </c>
      <c r="E326" t="s">
        <v>1134</v>
      </c>
      <c r="F326" t="s">
        <v>166</v>
      </c>
      <c r="G326" t="s">
        <v>54</v>
      </c>
      <c r="H326" t="str">
        <f>"ΛΑΠΠΑ 4 ΗΡΑΚΛΕΙΟ"</f>
        <v>ΛΑΠΠΑ 4 ΗΡΑΚΛΕΙΟ</v>
      </c>
      <c r="I326">
        <v>71305</v>
      </c>
      <c r="J326">
        <v>2810252637</v>
      </c>
      <c r="K326">
        <v>6976563869</v>
      </c>
      <c r="N326" t="s">
        <v>146</v>
      </c>
      <c r="O326" t="s">
        <v>147</v>
      </c>
      <c r="R326" t="s">
        <v>57</v>
      </c>
      <c r="S326">
        <v>8</v>
      </c>
      <c r="T326">
        <v>599</v>
      </c>
      <c r="U326" s="1">
        <v>39310</v>
      </c>
      <c r="V326" t="s">
        <v>123</v>
      </c>
      <c r="W326" t="s">
        <v>124</v>
      </c>
      <c r="X326" t="s">
        <v>58</v>
      </c>
      <c r="Y326">
        <v>20</v>
      </c>
      <c r="Z326" t="s">
        <v>59</v>
      </c>
      <c r="AA326" t="s">
        <v>59</v>
      </c>
      <c r="AB326" t="s">
        <v>59</v>
      </c>
      <c r="AC326" t="s">
        <v>59</v>
      </c>
      <c r="AD326" t="s">
        <v>59</v>
      </c>
      <c r="AF326" s="1">
        <v>39328</v>
      </c>
      <c r="AG326" t="s">
        <v>125</v>
      </c>
      <c r="AH326" t="s">
        <v>126</v>
      </c>
      <c r="AI326" t="str">
        <f>"1701056"</f>
        <v>1701056</v>
      </c>
      <c r="AJ326" t="s">
        <v>211</v>
      </c>
      <c r="AK326">
        <v>2810245445</v>
      </c>
      <c r="AL326" t="s">
        <v>212</v>
      </c>
      <c r="AM326" t="s">
        <v>78</v>
      </c>
      <c r="AN326" t="s">
        <v>78</v>
      </c>
      <c r="AO326" t="s">
        <v>78</v>
      </c>
      <c r="AP326" t="s">
        <v>213</v>
      </c>
      <c r="AQ326">
        <v>6</v>
      </c>
      <c r="AR326" t="s">
        <v>123</v>
      </c>
      <c r="AS326" t="s">
        <v>124</v>
      </c>
      <c r="AT326" t="s">
        <v>58</v>
      </c>
      <c r="AU326" t="s">
        <v>68</v>
      </c>
      <c r="AV326" t="s">
        <v>69</v>
      </c>
      <c r="AW326" s="1">
        <v>27301</v>
      </c>
      <c r="AX326">
        <v>2</v>
      </c>
    </row>
    <row r="327" spans="1:50">
      <c r="A327">
        <v>195710</v>
      </c>
      <c r="B327" t="str">
        <f>"059374250"</f>
        <v>059374250</v>
      </c>
      <c r="C327" t="s">
        <v>50</v>
      </c>
      <c r="D327" t="s">
        <v>1135</v>
      </c>
      <c r="E327" t="s">
        <v>215</v>
      </c>
      <c r="F327" t="s">
        <v>1136</v>
      </c>
      <c r="G327" t="s">
        <v>787</v>
      </c>
      <c r="H327" t="str">
        <f>"ΠΡΑΣΑ "</f>
        <v xml:space="preserve">ΠΡΑΣΑ </v>
      </c>
      <c r="I327">
        <v>71500</v>
      </c>
      <c r="M327" t="s">
        <v>1137</v>
      </c>
      <c r="N327" t="s">
        <v>246</v>
      </c>
      <c r="O327" t="s">
        <v>247</v>
      </c>
      <c r="R327" t="s">
        <v>57</v>
      </c>
      <c r="S327">
        <v>14</v>
      </c>
      <c r="T327">
        <v>194</v>
      </c>
      <c r="U327" s="1">
        <v>37497</v>
      </c>
      <c r="V327" t="s">
        <v>123</v>
      </c>
      <c r="W327" t="s">
        <v>124</v>
      </c>
      <c r="X327" t="s">
        <v>58</v>
      </c>
      <c r="Y327">
        <v>20</v>
      </c>
      <c r="Z327" t="s">
        <v>59</v>
      </c>
      <c r="AA327" t="s">
        <v>59</v>
      </c>
      <c r="AB327" t="s">
        <v>59</v>
      </c>
      <c r="AC327" t="s">
        <v>59</v>
      </c>
      <c r="AD327" t="s">
        <v>59</v>
      </c>
      <c r="AF327" s="1">
        <v>37501</v>
      </c>
      <c r="AG327" t="s">
        <v>148</v>
      </c>
      <c r="AH327" t="s">
        <v>149</v>
      </c>
      <c r="AI327" t="str">
        <f>"1751020"</f>
        <v>1751020</v>
      </c>
      <c r="AJ327" t="s">
        <v>532</v>
      </c>
      <c r="AK327">
        <v>2810372732</v>
      </c>
      <c r="AL327" t="s">
        <v>533</v>
      </c>
      <c r="AM327" t="s">
        <v>78</v>
      </c>
      <c r="AN327" t="s">
        <v>78</v>
      </c>
      <c r="AO327" t="s">
        <v>78</v>
      </c>
      <c r="AP327" t="s">
        <v>163</v>
      </c>
      <c r="AQ327">
        <v>3</v>
      </c>
      <c r="AR327" t="s">
        <v>123</v>
      </c>
      <c r="AS327" t="s">
        <v>124</v>
      </c>
      <c r="AT327" t="s">
        <v>58</v>
      </c>
      <c r="AU327" t="s">
        <v>68</v>
      </c>
      <c r="AV327" t="s">
        <v>69</v>
      </c>
      <c r="AW327" s="1">
        <v>27475</v>
      </c>
      <c r="AX327">
        <v>2</v>
      </c>
    </row>
    <row r="328" spans="1:50">
      <c r="A328">
        <v>210446</v>
      </c>
      <c r="B328" t="str">
        <f>"122773902"</f>
        <v>122773902</v>
      </c>
      <c r="C328" t="s">
        <v>50</v>
      </c>
      <c r="D328" t="s">
        <v>1138</v>
      </c>
      <c r="E328" t="s">
        <v>109</v>
      </c>
      <c r="F328" t="s">
        <v>315</v>
      </c>
      <c r="G328" t="s">
        <v>1139</v>
      </c>
      <c r="H328" t="str">
        <f>"ΠΑΤΕΛΑΡΟΥ4 (ΠΑΛΙΌ:ΜΥΚΗΝΩΝ 10) ΗΡΑΚΛΕΙΟ"</f>
        <v>ΠΑΤΕΛΑΡΟΥ4 (ΠΑΛΙΌ:ΜΥΚΗΝΩΝ 10) ΗΡΑΚΛΕΙΟ</v>
      </c>
      <c r="I328">
        <v>71305</v>
      </c>
      <c r="J328">
        <v>2310758180</v>
      </c>
      <c r="K328">
        <v>6932704043</v>
      </c>
      <c r="N328" t="s">
        <v>306</v>
      </c>
      <c r="O328" t="s">
        <v>307</v>
      </c>
      <c r="R328" t="s">
        <v>57</v>
      </c>
      <c r="S328">
        <v>8</v>
      </c>
      <c r="T328">
        <v>249</v>
      </c>
      <c r="U328" s="1">
        <v>38617</v>
      </c>
      <c r="V328" t="s">
        <v>123</v>
      </c>
      <c r="W328" t="s">
        <v>124</v>
      </c>
      <c r="X328" t="s">
        <v>58</v>
      </c>
      <c r="Y328">
        <v>20</v>
      </c>
      <c r="Z328" t="s">
        <v>59</v>
      </c>
      <c r="AA328" t="s">
        <v>59</v>
      </c>
      <c r="AB328" t="s">
        <v>59</v>
      </c>
      <c r="AC328" t="s">
        <v>59</v>
      </c>
      <c r="AD328" t="s">
        <v>59</v>
      </c>
      <c r="AF328" s="1">
        <v>38621</v>
      </c>
      <c r="AG328" t="s">
        <v>125</v>
      </c>
      <c r="AH328" t="s">
        <v>126</v>
      </c>
      <c r="AI328" t="str">
        <f>"1701056"</f>
        <v>1701056</v>
      </c>
      <c r="AJ328" t="s">
        <v>211</v>
      </c>
      <c r="AK328">
        <v>2810245445</v>
      </c>
      <c r="AL328" t="s">
        <v>212</v>
      </c>
      <c r="AM328" t="s">
        <v>78</v>
      </c>
      <c r="AN328" t="s">
        <v>78</v>
      </c>
      <c r="AO328" t="s">
        <v>78</v>
      </c>
      <c r="AP328" t="s">
        <v>213</v>
      </c>
      <c r="AQ328">
        <v>6</v>
      </c>
      <c r="AR328" t="s">
        <v>123</v>
      </c>
      <c r="AS328" t="s">
        <v>124</v>
      </c>
      <c r="AT328" t="s">
        <v>58</v>
      </c>
      <c r="AU328" t="s">
        <v>68</v>
      </c>
      <c r="AV328" t="s">
        <v>69</v>
      </c>
      <c r="AW328" s="1">
        <v>28231</v>
      </c>
      <c r="AX328">
        <v>2</v>
      </c>
    </row>
    <row r="329" spans="1:50">
      <c r="A329">
        <v>177195</v>
      </c>
      <c r="B329" t="str">
        <f>"044224540"</f>
        <v>044224540</v>
      </c>
      <c r="C329" t="s">
        <v>105</v>
      </c>
      <c r="D329" t="s">
        <v>1140</v>
      </c>
      <c r="E329" t="s">
        <v>230</v>
      </c>
      <c r="F329" t="s">
        <v>1141</v>
      </c>
      <c r="G329" t="s">
        <v>1074</v>
      </c>
      <c r="H329" t="str">
        <f>"ΜΕΓΑΛΟΧΑΡΗΣ 3 ΗΡΑΚΛΕΙΟ"</f>
        <v>ΜΕΓΑΛΟΧΑΡΗΣ 3 ΗΡΑΚΛΕΙΟ</v>
      </c>
      <c r="I329">
        <v>71307</v>
      </c>
      <c r="J329">
        <v>2810325804</v>
      </c>
      <c r="K329">
        <v>6937124362</v>
      </c>
      <c r="M329" t="s">
        <v>1142</v>
      </c>
      <c r="N329" t="s">
        <v>232</v>
      </c>
      <c r="O329" t="s">
        <v>233</v>
      </c>
      <c r="R329" t="s">
        <v>57</v>
      </c>
      <c r="S329">
        <v>13</v>
      </c>
      <c r="T329">
        <v>180</v>
      </c>
      <c r="U329" s="1">
        <v>35674</v>
      </c>
      <c r="V329" t="s">
        <v>123</v>
      </c>
      <c r="W329" t="s">
        <v>124</v>
      </c>
      <c r="X329" t="s">
        <v>58</v>
      </c>
      <c r="Y329">
        <v>18</v>
      </c>
      <c r="Z329" t="s">
        <v>59</v>
      </c>
      <c r="AA329" t="s">
        <v>59</v>
      </c>
      <c r="AB329" t="s">
        <v>59</v>
      </c>
      <c r="AC329" t="s">
        <v>59</v>
      </c>
      <c r="AD329" t="s">
        <v>59</v>
      </c>
      <c r="AF329" s="1">
        <v>35676</v>
      </c>
      <c r="AG329" t="s">
        <v>148</v>
      </c>
      <c r="AH329" t="s">
        <v>149</v>
      </c>
      <c r="AI329" t="str">
        <f>"1751041"</f>
        <v>1751041</v>
      </c>
      <c r="AJ329" t="s">
        <v>353</v>
      </c>
      <c r="AK329">
        <v>2810230207</v>
      </c>
      <c r="AL329" t="s">
        <v>354</v>
      </c>
      <c r="AM329" t="s">
        <v>78</v>
      </c>
      <c r="AN329" t="s">
        <v>78</v>
      </c>
      <c r="AO329" t="s">
        <v>78</v>
      </c>
      <c r="AP329" t="s">
        <v>163</v>
      </c>
      <c r="AQ329">
        <v>2</v>
      </c>
      <c r="AR329" t="s">
        <v>123</v>
      </c>
      <c r="AS329" t="s">
        <v>124</v>
      </c>
      <c r="AT329" t="s">
        <v>58</v>
      </c>
      <c r="AU329" t="s">
        <v>68</v>
      </c>
      <c r="AV329" t="s">
        <v>69</v>
      </c>
      <c r="AW329" s="1">
        <v>23883</v>
      </c>
      <c r="AX329">
        <v>2</v>
      </c>
    </row>
    <row r="330" spans="1:50">
      <c r="A330">
        <v>163913</v>
      </c>
      <c r="B330" t="str">
        <f>"103826090"</f>
        <v>103826090</v>
      </c>
      <c r="C330" t="s">
        <v>50</v>
      </c>
      <c r="D330" t="s">
        <v>1143</v>
      </c>
      <c r="E330" t="s">
        <v>484</v>
      </c>
      <c r="F330" t="s">
        <v>377</v>
      </c>
      <c r="G330" t="s">
        <v>238</v>
      </c>
      <c r="H330" t="str">
        <f>"ΔΡΑΜΟΥΝΤΑΝΗ 20 ΗΡΑΚΛΕΙΟ"</f>
        <v>ΔΡΑΜΟΥΝΤΑΝΗ 20 ΗΡΑΚΛΕΙΟ</v>
      </c>
      <c r="I330">
        <v>71305</v>
      </c>
      <c r="J330">
        <v>2810314371</v>
      </c>
      <c r="K330">
        <v>6937074249</v>
      </c>
      <c r="M330" t="s">
        <v>1144</v>
      </c>
      <c r="N330" t="s">
        <v>146</v>
      </c>
      <c r="O330" t="s">
        <v>147</v>
      </c>
      <c r="R330" t="s">
        <v>57</v>
      </c>
      <c r="S330">
        <v>17</v>
      </c>
      <c r="T330">
        <v>161</v>
      </c>
      <c r="U330" s="1">
        <v>33844</v>
      </c>
      <c r="V330" t="s">
        <v>123</v>
      </c>
      <c r="W330" t="s">
        <v>124</v>
      </c>
      <c r="X330" t="s">
        <v>58</v>
      </c>
      <c r="Y330">
        <v>18</v>
      </c>
      <c r="Z330" t="s">
        <v>59</v>
      </c>
      <c r="AA330" t="s">
        <v>59</v>
      </c>
      <c r="AB330" t="s">
        <v>59</v>
      </c>
      <c r="AC330" t="s">
        <v>59</v>
      </c>
      <c r="AD330" t="s">
        <v>59</v>
      </c>
      <c r="AF330" s="1">
        <v>33851</v>
      </c>
      <c r="AG330" t="s">
        <v>125</v>
      </c>
      <c r="AH330" t="s">
        <v>126</v>
      </c>
      <c r="AI330" t="str">
        <f>"1701020"</f>
        <v>1701020</v>
      </c>
      <c r="AJ330" t="s">
        <v>323</v>
      </c>
      <c r="AK330">
        <v>2810252111</v>
      </c>
      <c r="AL330" t="s">
        <v>324</v>
      </c>
      <c r="AM330" t="s">
        <v>78</v>
      </c>
      <c r="AN330" t="s">
        <v>78</v>
      </c>
      <c r="AO330" t="s">
        <v>78</v>
      </c>
      <c r="AP330" t="s">
        <v>163</v>
      </c>
      <c r="AQ330">
        <v>3</v>
      </c>
      <c r="AR330" t="s">
        <v>123</v>
      </c>
      <c r="AS330" t="s">
        <v>124</v>
      </c>
      <c r="AT330" t="s">
        <v>58</v>
      </c>
      <c r="AU330" t="s">
        <v>68</v>
      </c>
      <c r="AV330" t="s">
        <v>69</v>
      </c>
      <c r="AW330" s="1">
        <v>22488</v>
      </c>
      <c r="AX330">
        <v>2</v>
      </c>
    </row>
    <row r="331" spans="1:50">
      <c r="A331">
        <v>219002</v>
      </c>
      <c r="B331" t="str">
        <f>"045573725"</f>
        <v>045573725</v>
      </c>
      <c r="C331" t="s">
        <v>50</v>
      </c>
      <c r="D331" t="s">
        <v>1145</v>
      </c>
      <c r="E331" t="s">
        <v>507</v>
      </c>
      <c r="F331" t="s">
        <v>670</v>
      </c>
      <c r="G331" t="s">
        <v>215</v>
      </c>
      <c r="H331" t="str">
        <f>"Ι.ΚΑΡΑΤΑΣΙΟΥ 5 ΑΓΙΟΣ ΜΑΜΑΣ ΧΑΛΚΙΔΙΚΗ"</f>
        <v>Ι.ΚΑΡΑΤΑΣΙΟΥ 5 ΑΓΙΟΣ ΜΑΜΑΣ ΧΑΛΚΙΔΙΚΗ</v>
      </c>
      <c r="I331">
        <v>63200</v>
      </c>
      <c r="J331">
        <v>2310915392</v>
      </c>
      <c r="K331">
        <v>6980309193</v>
      </c>
      <c r="M331" t="s">
        <v>1146</v>
      </c>
      <c r="N331" t="s">
        <v>478</v>
      </c>
      <c r="O331" t="s">
        <v>479</v>
      </c>
      <c r="R331" t="s">
        <v>57</v>
      </c>
      <c r="S331">
        <v>5</v>
      </c>
      <c r="T331">
        <v>599</v>
      </c>
      <c r="U331" s="1">
        <v>39310</v>
      </c>
      <c r="V331" t="s">
        <v>123</v>
      </c>
      <c r="W331" t="s">
        <v>124</v>
      </c>
      <c r="X331" t="s">
        <v>58</v>
      </c>
      <c r="Y331">
        <v>21</v>
      </c>
      <c r="Z331" t="s">
        <v>59</v>
      </c>
      <c r="AA331" t="s">
        <v>59</v>
      </c>
      <c r="AB331" t="s">
        <v>59</v>
      </c>
      <c r="AC331" t="s">
        <v>59</v>
      </c>
      <c r="AD331" t="s">
        <v>59</v>
      </c>
      <c r="AF331" s="1">
        <v>39328</v>
      </c>
      <c r="AG331" t="s">
        <v>125</v>
      </c>
      <c r="AH331" t="s">
        <v>126</v>
      </c>
      <c r="AI331" t="str">
        <f>"1708010"</f>
        <v>1708010</v>
      </c>
      <c r="AJ331" t="s">
        <v>1147</v>
      </c>
      <c r="AK331">
        <v>2893022204</v>
      </c>
      <c r="AL331" t="s">
        <v>1148</v>
      </c>
      <c r="AM331" t="s">
        <v>78</v>
      </c>
      <c r="AN331" t="s">
        <v>424</v>
      </c>
      <c r="AO331" t="s">
        <v>577</v>
      </c>
      <c r="AP331" t="s">
        <v>578</v>
      </c>
      <c r="AQ331">
        <v>24</v>
      </c>
      <c r="AR331" t="s">
        <v>123</v>
      </c>
      <c r="AS331" t="s">
        <v>124</v>
      </c>
      <c r="AT331" t="s">
        <v>58</v>
      </c>
      <c r="AU331" t="s">
        <v>68</v>
      </c>
      <c r="AV331" t="s">
        <v>69</v>
      </c>
      <c r="AW331" s="1">
        <v>25538</v>
      </c>
      <c r="AX331">
        <v>2</v>
      </c>
    </row>
    <row r="332" spans="1:50">
      <c r="A332">
        <v>216539</v>
      </c>
      <c r="B332" t="str">
        <f>"027177167"</f>
        <v>027177167</v>
      </c>
      <c r="C332" t="s">
        <v>105</v>
      </c>
      <c r="D332" t="s">
        <v>1149</v>
      </c>
      <c r="E332" t="s">
        <v>95</v>
      </c>
      <c r="F332" t="s">
        <v>53</v>
      </c>
      <c r="G332" t="s">
        <v>52</v>
      </c>
      <c r="H332" t="str">
        <f>"ΘΕΡΙΣΟΥ 27 ΗΡΑΚΛΕΙΟ"</f>
        <v>ΘΕΡΙΣΟΥ 27 ΗΡΑΚΛΕΙΟ</v>
      </c>
      <c r="J332">
        <v>2810260076</v>
      </c>
      <c r="K332">
        <v>6993503599</v>
      </c>
      <c r="M332" t="s">
        <v>1150</v>
      </c>
      <c r="N332" t="s">
        <v>257</v>
      </c>
      <c r="O332" t="s">
        <v>258</v>
      </c>
      <c r="R332" t="s">
        <v>57</v>
      </c>
      <c r="S332">
        <v>9</v>
      </c>
      <c r="T332">
        <v>236</v>
      </c>
      <c r="U332" s="1">
        <v>38961</v>
      </c>
      <c r="V332" t="s">
        <v>123</v>
      </c>
      <c r="W332" t="s">
        <v>124</v>
      </c>
      <c r="X332" t="s">
        <v>58</v>
      </c>
      <c r="Y332">
        <v>20</v>
      </c>
      <c r="Z332" t="s">
        <v>59</v>
      </c>
      <c r="AA332" t="s">
        <v>59</v>
      </c>
      <c r="AB332" t="s">
        <v>59</v>
      </c>
      <c r="AC332" t="s">
        <v>59</v>
      </c>
      <c r="AD332" t="s">
        <v>59</v>
      </c>
      <c r="AF332" s="1">
        <v>38965</v>
      </c>
      <c r="AG332" t="s">
        <v>148</v>
      </c>
      <c r="AH332" t="s">
        <v>149</v>
      </c>
      <c r="AI332" t="str">
        <f>"1790100"</f>
        <v>1790100</v>
      </c>
      <c r="AJ332" t="s">
        <v>252</v>
      </c>
      <c r="AK332">
        <v>2810234876</v>
      </c>
      <c r="AL332" t="s">
        <v>253</v>
      </c>
      <c r="AM332" t="s">
        <v>78</v>
      </c>
      <c r="AN332" t="s">
        <v>78</v>
      </c>
      <c r="AO332" t="s">
        <v>78</v>
      </c>
      <c r="AP332" t="s">
        <v>163</v>
      </c>
      <c r="AQ332">
        <v>5</v>
      </c>
      <c r="AR332" t="s">
        <v>123</v>
      </c>
      <c r="AS332" t="s">
        <v>124</v>
      </c>
      <c r="AT332" t="s">
        <v>58</v>
      </c>
      <c r="AU332" t="s">
        <v>68</v>
      </c>
      <c r="AV332" t="s">
        <v>69</v>
      </c>
      <c r="AW332" s="1">
        <v>20762</v>
      </c>
      <c r="AX332">
        <v>2</v>
      </c>
    </row>
    <row r="333" spans="1:50">
      <c r="A333">
        <v>178531</v>
      </c>
      <c r="B333" t="str">
        <f>"034596561"</f>
        <v>034596561</v>
      </c>
      <c r="C333" t="s">
        <v>105</v>
      </c>
      <c r="D333" t="s">
        <v>1151</v>
      </c>
      <c r="E333" t="s">
        <v>95</v>
      </c>
      <c r="F333" t="s">
        <v>99</v>
      </c>
      <c r="G333" t="s">
        <v>1152</v>
      </c>
      <c r="H333" t="str">
        <f>"ΜΙΧ.ΒΛΑΧΟΥ 31 ΗΡΑΚΛΕΙΟ"</f>
        <v>ΜΙΧ.ΒΛΑΧΟΥ 31 ΗΡΑΚΛΕΙΟ</v>
      </c>
      <c r="J333">
        <v>2810326374</v>
      </c>
      <c r="K333">
        <v>6945153313</v>
      </c>
      <c r="M333" t="s">
        <v>1153</v>
      </c>
      <c r="N333" t="s">
        <v>146</v>
      </c>
      <c r="O333" t="s">
        <v>147</v>
      </c>
      <c r="R333" t="s">
        <v>57</v>
      </c>
      <c r="S333">
        <v>18</v>
      </c>
      <c r="T333">
        <v>181</v>
      </c>
      <c r="U333" s="1">
        <v>35674</v>
      </c>
      <c r="V333" t="s">
        <v>123</v>
      </c>
      <c r="W333" t="s">
        <v>124</v>
      </c>
      <c r="X333" t="s">
        <v>58</v>
      </c>
      <c r="Y333">
        <v>18</v>
      </c>
      <c r="Z333" t="s">
        <v>59</v>
      </c>
      <c r="AA333" t="s">
        <v>59</v>
      </c>
      <c r="AB333" t="s">
        <v>59</v>
      </c>
      <c r="AC333" t="s">
        <v>59</v>
      </c>
      <c r="AD333" t="s">
        <v>59</v>
      </c>
      <c r="AF333" s="1">
        <v>35674</v>
      </c>
      <c r="AG333" t="s">
        <v>125</v>
      </c>
      <c r="AH333" t="s">
        <v>126</v>
      </c>
      <c r="AI333" t="str">
        <f>"1701053"</f>
        <v>1701053</v>
      </c>
      <c r="AJ333" t="s">
        <v>398</v>
      </c>
      <c r="AK333">
        <v>2810251434</v>
      </c>
      <c r="AL333" t="s">
        <v>399</v>
      </c>
      <c r="AM333" t="s">
        <v>78</v>
      </c>
      <c r="AN333" t="s">
        <v>78</v>
      </c>
      <c r="AO333" t="s">
        <v>78</v>
      </c>
      <c r="AP333" t="s">
        <v>141</v>
      </c>
      <c r="AQ333">
        <v>7</v>
      </c>
      <c r="AR333" t="s">
        <v>123</v>
      </c>
      <c r="AS333" t="s">
        <v>124</v>
      </c>
      <c r="AT333" t="s">
        <v>58</v>
      </c>
      <c r="AU333" t="s">
        <v>68</v>
      </c>
      <c r="AV333" t="s">
        <v>69</v>
      </c>
      <c r="AW333" s="1">
        <v>22686</v>
      </c>
      <c r="AX333">
        <v>2</v>
      </c>
    </row>
    <row r="334" spans="1:50">
      <c r="A334">
        <v>163401</v>
      </c>
      <c r="B334" t="str">
        <f>"103813253"</f>
        <v>103813253</v>
      </c>
      <c r="C334" t="s">
        <v>50</v>
      </c>
      <c r="D334" t="s">
        <v>1154</v>
      </c>
      <c r="E334" t="s">
        <v>1155</v>
      </c>
      <c r="F334" t="s">
        <v>166</v>
      </c>
      <c r="G334" t="s">
        <v>52</v>
      </c>
      <c r="H334" t="str">
        <f>"ΚΟΡΥΤΣΑΣ 66 ΟΑΣΗ"</f>
        <v>ΚΟΡΥΤΣΑΣ 66 ΟΑΣΗ</v>
      </c>
      <c r="I334">
        <v>71307</v>
      </c>
      <c r="J334">
        <v>2810284642</v>
      </c>
      <c r="N334" t="s">
        <v>189</v>
      </c>
      <c r="O334" t="s">
        <v>190</v>
      </c>
      <c r="R334" t="s">
        <v>57</v>
      </c>
      <c r="S334">
        <v>13</v>
      </c>
      <c r="T334">
        <v>132</v>
      </c>
      <c r="U334" s="1">
        <v>33456</v>
      </c>
      <c r="V334" t="s">
        <v>123</v>
      </c>
      <c r="W334" t="s">
        <v>124</v>
      </c>
      <c r="X334" t="s">
        <v>58</v>
      </c>
      <c r="Y334">
        <v>18</v>
      </c>
      <c r="Z334" t="s">
        <v>59</v>
      </c>
      <c r="AA334" t="s">
        <v>59</v>
      </c>
      <c r="AB334" t="s">
        <v>59</v>
      </c>
      <c r="AC334" t="s">
        <v>59</v>
      </c>
      <c r="AD334" t="s">
        <v>59</v>
      </c>
      <c r="AF334" s="1">
        <v>33456</v>
      </c>
      <c r="AG334" t="s">
        <v>137</v>
      </c>
      <c r="AH334" t="s">
        <v>138</v>
      </c>
      <c r="AI334" t="str">
        <f>"1740210"</f>
        <v>1740210</v>
      </c>
      <c r="AJ334" t="s">
        <v>139</v>
      </c>
      <c r="AK334">
        <v>2810318130</v>
      </c>
      <c r="AL334" t="s">
        <v>140</v>
      </c>
      <c r="AM334" t="s">
        <v>78</v>
      </c>
      <c r="AN334" t="s">
        <v>78</v>
      </c>
      <c r="AO334" t="s">
        <v>78</v>
      </c>
      <c r="AP334" t="s">
        <v>141</v>
      </c>
      <c r="AQ334">
        <v>7</v>
      </c>
      <c r="AR334" t="s">
        <v>123</v>
      </c>
      <c r="AS334" t="s">
        <v>124</v>
      </c>
      <c r="AT334" t="s">
        <v>58</v>
      </c>
      <c r="AU334" t="s">
        <v>68</v>
      </c>
      <c r="AV334" t="s">
        <v>69</v>
      </c>
      <c r="AW334" s="1">
        <v>20623</v>
      </c>
      <c r="AX334">
        <v>2</v>
      </c>
    </row>
    <row r="335" spans="1:50">
      <c r="A335">
        <v>218373</v>
      </c>
      <c r="B335" t="str">
        <f>"100090460"</f>
        <v>100090460</v>
      </c>
      <c r="C335" t="s">
        <v>105</v>
      </c>
      <c r="D335" t="s">
        <v>1156</v>
      </c>
      <c r="E335" t="s">
        <v>53</v>
      </c>
      <c r="F335" t="s">
        <v>321</v>
      </c>
      <c r="G335" t="s">
        <v>1157</v>
      </c>
      <c r="H335" t="str">
        <f>" "</f>
        <v xml:space="preserve"> </v>
      </c>
      <c r="K335">
        <v>6946742722</v>
      </c>
      <c r="M335" t="s">
        <v>1158</v>
      </c>
      <c r="N335" t="s">
        <v>232</v>
      </c>
      <c r="O335" t="s">
        <v>233</v>
      </c>
      <c r="R335" t="s">
        <v>57</v>
      </c>
      <c r="S335">
        <v>6</v>
      </c>
      <c r="T335">
        <v>599</v>
      </c>
      <c r="U335" s="1">
        <v>39310</v>
      </c>
      <c r="V335" t="s">
        <v>123</v>
      </c>
      <c r="W335" t="s">
        <v>124</v>
      </c>
      <c r="X335" t="s">
        <v>58</v>
      </c>
      <c r="Y335">
        <v>20</v>
      </c>
      <c r="Z335" t="s">
        <v>59</v>
      </c>
      <c r="AA335" t="s">
        <v>59</v>
      </c>
      <c r="AB335" t="s">
        <v>59</v>
      </c>
      <c r="AC335" t="s">
        <v>59</v>
      </c>
      <c r="AD335" t="s">
        <v>59</v>
      </c>
      <c r="AF335" s="1">
        <v>39328</v>
      </c>
      <c r="AG335" t="s">
        <v>137</v>
      </c>
      <c r="AH335" t="s">
        <v>138</v>
      </c>
      <c r="AI335" t="str">
        <f>"1740100"</f>
        <v>1740100</v>
      </c>
      <c r="AJ335" t="s">
        <v>857</v>
      </c>
      <c r="AK335">
        <v>2810360741</v>
      </c>
      <c r="AL335" t="s">
        <v>858</v>
      </c>
      <c r="AM335" t="s">
        <v>78</v>
      </c>
      <c r="AN335" t="s">
        <v>78</v>
      </c>
      <c r="AO335" t="s">
        <v>78</v>
      </c>
      <c r="AP335" t="s">
        <v>163</v>
      </c>
      <c r="AQ335">
        <v>5</v>
      </c>
      <c r="AR335" t="s">
        <v>123</v>
      </c>
      <c r="AS335" t="s">
        <v>124</v>
      </c>
      <c r="AT335" t="s">
        <v>58</v>
      </c>
      <c r="AU335" t="s">
        <v>68</v>
      </c>
      <c r="AV335" t="s">
        <v>69</v>
      </c>
      <c r="AW335" s="1">
        <v>27165</v>
      </c>
      <c r="AX335">
        <v>2</v>
      </c>
    </row>
    <row r="336" spans="1:50">
      <c r="A336">
        <v>196178</v>
      </c>
      <c r="B336" t="str">
        <f>"066549216"</f>
        <v>066549216</v>
      </c>
      <c r="C336" t="s">
        <v>105</v>
      </c>
      <c r="D336" t="s">
        <v>1159</v>
      </c>
      <c r="E336" t="s">
        <v>279</v>
      </c>
      <c r="F336" t="s">
        <v>53</v>
      </c>
      <c r="G336" t="s">
        <v>494</v>
      </c>
      <c r="H336" t="str">
        <f>" "</f>
        <v xml:space="preserve"> </v>
      </c>
      <c r="N336" t="s">
        <v>176</v>
      </c>
      <c r="O336" t="s">
        <v>177</v>
      </c>
      <c r="R336" t="s">
        <v>57</v>
      </c>
      <c r="S336">
        <v>8</v>
      </c>
      <c r="T336">
        <v>177</v>
      </c>
      <c r="U336" s="1">
        <v>36403</v>
      </c>
      <c r="V336" t="s">
        <v>123</v>
      </c>
      <c r="W336" t="s">
        <v>124</v>
      </c>
      <c r="X336" t="s">
        <v>58</v>
      </c>
      <c r="Y336">
        <v>20</v>
      </c>
      <c r="Z336" t="s">
        <v>59</v>
      </c>
      <c r="AA336" t="s">
        <v>59</v>
      </c>
      <c r="AB336" t="s">
        <v>59</v>
      </c>
      <c r="AC336" t="s">
        <v>59</v>
      </c>
      <c r="AD336" t="s">
        <v>59</v>
      </c>
      <c r="AF336" s="1">
        <v>36403</v>
      </c>
      <c r="AG336" t="s">
        <v>60</v>
      </c>
      <c r="AH336" t="s">
        <v>453</v>
      </c>
      <c r="AI336" t="str">
        <f>"1700105"</f>
        <v>1700105</v>
      </c>
      <c r="AJ336" t="s">
        <v>124</v>
      </c>
      <c r="AK336">
        <v>2810333720</v>
      </c>
      <c r="AL336" t="s">
        <v>454</v>
      </c>
      <c r="AM336" t="s">
        <v>78</v>
      </c>
      <c r="AN336" t="s">
        <v>78</v>
      </c>
      <c r="AO336" t="s">
        <v>78</v>
      </c>
      <c r="AP336" t="s">
        <v>79</v>
      </c>
      <c r="AS336" t="s">
        <v>124</v>
      </c>
      <c r="AT336" t="s">
        <v>58</v>
      </c>
      <c r="AU336" t="s">
        <v>68</v>
      </c>
      <c r="AV336" t="s">
        <v>455</v>
      </c>
      <c r="AW336" s="1">
        <v>24256</v>
      </c>
      <c r="AX336">
        <v>2</v>
      </c>
    </row>
    <row r="337" spans="1:50">
      <c r="A337">
        <v>201365</v>
      </c>
      <c r="B337" t="str">
        <f>"059535756"</f>
        <v>059535756</v>
      </c>
      <c r="C337" t="s">
        <v>50</v>
      </c>
      <c r="D337" t="s">
        <v>1160</v>
      </c>
      <c r="E337" t="s">
        <v>83</v>
      </c>
      <c r="F337" t="s">
        <v>949</v>
      </c>
      <c r="G337" t="s">
        <v>73</v>
      </c>
      <c r="H337" t="str">
        <f>"ΑΓ.ΑΡΤΕΜΙΟΥ 6 ΗΡΑΚΛΕΙΟΥ"</f>
        <v>ΑΓ.ΑΡΤΕΜΙΟΥ 6 ΗΡΑΚΛΕΙΟΥ</v>
      </c>
      <c r="I337">
        <v>71409</v>
      </c>
      <c r="J337">
        <v>2810237544</v>
      </c>
      <c r="K337">
        <v>6997009952</v>
      </c>
      <c r="M337" t="s">
        <v>1161</v>
      </c>
      <c r="N337" t="s">
        <v>146</v>
      </c>
      <c r="O337" t="s">
        <v>147</v>
      </c>
      <c r="R337" t="s">
        <v>57</v>
      </c>
      <c r="S337">
        <v>9</v>
      </c>
      <c r="T337">
        <v>231</v>
      </c>
      <c r="U337" s="1">
        <v>38230</v>
      </c>
      <c r="V337" t="s">
        <v>123</v>
      </c>
      <c r="W337" t="s">
        <v>124</v>
      </c>
      <c r="X337" t="s">
        <v>58</v>
      </c>
      <c r="Y337">
        <v>20</v>
      </c>
      <c r="Z337" t="s">
        <v>59</v>
      </c>
      <c r="AA337" t="s">
        <v>59</v>
      </c>
      <c r="AB337" t="s">
        <v>59</v>
      </c>
      <c r="AC337" t="s">
        <v>59</v>
      </c>
      <c r="AD337" t="s">
        <v>59</v>
      </c>
      <c r="AF337" s="1">
        <v>38232</v>
      </c>
      <c r="AG337" t="s">
        <v>148</v>
      </c>
      <c r="AH337" t="s">
        <v>149</v>
      </c>
      <c r="AI337" t="str">
        <f>"1751052"</f>
        <v>1751052</v>
      </c>
      <c r="AJ337" t="s">
        <v>328</v>
      </c>
      <c r="AK337">
        <v>2810213762</v>
      </c>
      <c r="AL337" t="s">
        <v>329</v>
      </c>
      <c r="AM337" t="s">
        <v>78</v>
      </c>
      <c r="AN337" t="s">
        <v>78</v>
      </c>
      <c r="AO337" t="s">
        <v>78</v>
      </c>
      <c r="AP337" t="s">
        <v>163</v>
      </c>
      <c r="AQ337">
        <v>8</v>
      </c>
      <c r="AR337" t="s">
        <v>123</v>
      </c>
      <c r="AS337" t="s">
        <v>124</v>
      </c>
      <c r="AT337" t="s">
        <v>58</v>
      </c>
      <c r="AU337" t="s">
        <v>68</v>
      </c>
      <c r="AV337" t="s">
        <v>69</v>
      </c>
      <c r="AW337" s="1">
        <v>24802</v>
      </c>
      <c r="AX337">
        <v>2</v>
      </c>
    </row>
    <row r="338" spans="1:50">
      <c r="A338">
        <v>192080</v>
      </c>
      <c r="B338" t="str">
        <f>"045382957"</f>
        <v>045382957</v>
      </c>
      <c r="C338" t="s">
        <v>50</v>
      </c>
      <c r="D338" t="s">
        <v>1162</v>
      </c>
      <c r="E338" t="s">
        <v>52</v>
      </c>
      <c r="F338" t="s">
        <v>84</v>
      </c>
      <c r="G338" t="s">
        <v>1068</v>
      </c>
      <c r="H338" t="str">
        <f>" "</f>
        <v xml:space="preserve"> </v>
      </c>
      <c r="N338" t="s">
        <v>176</v>
      </c>
      <c r="O338" t="s">
        <v>177</v>
      </c>
      <c r="P338" t="s">
        <v>907</v>
      </c>
      <c r="Q338" t="s">
        <v>908</v>
      </c>
      <c r="R338" t="s">
        <v>57</v>
      </c>
      <c r="S338">
        <v>9</v>
      </c>
      <c r="T338">
        <v>291</v>
      </c>
      <c r="U338" s="1">
        <v>37218</v>
      </c>
      <c r="V338" t="s">
        <v>123</v>
      </c>
      <c r="W338" t="s">
        <v>124</v>
      </c>
      <c r="X338" t="s">
        <v>58</v>
      </c>
      <c r="Y338">
        <v>20</v>
      </c>
      <c r="Z338" t="s">
        <v>59</v>
      </c>
      <c r="AA338" t="s">
        <v>59</v>
      </c>
      <c r="AB338" t="s">
        <v>59</v>
      </c>
      <c r="AC338" t="s">
        <v>59</v>
      </c>
      <c r="AD338" t="s">
        <v>59</v>
      </c>
      <c r="AF338" s="1">
        <v>37222</v>
      </c>
      <c r="AG338" t="s">
        <v>60</v>
      </c>
      <c r="AH338" t="s">
        <v>453</v>
      </c>
      <c r="AI338" t="str">
        <f>"1700105"</f>
        <v>1700105</v>
      </c>
      <c r="AJ338" t="s">
        <v>124</v>
      </c>
      <c r="AK338">
        <v>2810333720</v>
      </c>
      <c r="AL338" t="s">
        <v>454</v>
      </c>
      <c r="AM338" t="s">
        <v>78</v>
      </c>
      <c r="AN338" t="s">
        <v>78</v>
      </c>
      <c r="AO338" t="s">
        <v>78</v>
      </c>
      <c r="AP338" t="s">
        <v>79</v>
      </c>
      <c r="AS338" t="s">
        <v>124</v>
      </c>
      <c r="AT338" t="s">
        <v>58</v>
      </c>
      <c r="AU338" t="s">
        <v>68</v>
      </c>
      <c r="AV338" t="s">
        <v>455</v>
      </c>
      <c r="AW338" s="1">
        <v>25204</v>
      </c>
      <c r="AX338">
        <v>2</v>
      </c>
    </row>
    <row r="339" spans="1:50">
      <c r="A339">
        <v>194704</v>
      </c>
      <c r="B339" t="str">
        <f>"078402191"</f>
        <v>078402191</v>
      </c>
      <c r="C339" t="s">
        <v>105</v>
      </c>
      <c r="D339" t="s">
        <v>1163</v>
      </c>
      <c r="E339" t="s">
        <v>72</v>
      </c>
      <c r="F339" t="s">
        <v>92</v>
      </c>
      <c r="G339" t="s">
        <v>1164</v>
      </c>
      <c r="H339" t="str">
        <f>" "</f>
        <v xml:space="preserve"> </v>
      </c>
      <c r="J339">
        <v>2810287562</v>
      </c>
      <c r="K339">
        <v>6974231391</v>
      </c>
      <c r="M339" t="s">
        <v>1165</v>
      </c>
      <c r="N339" t="s">
        <v>168</v>
      </c>
      <c r="O339" t="s">
        <v>169</v>
      </c>
      <c r="R339" t="s">
        <v>57</v>
      </c>
      <c r="S339">
        <v>12</v>
      </c>
      <c r="T339">
        <v>193</v>
      </c>
      <c r="U339" s="1">
        <v>37497</v>
      </c>
      <c r="V339" t="s">
        <v>123</v>
      </c>
      <c r="W339" t="s">
        <v>124</v>
      </c>
      <c r="X339" t="s">
        <v>58</v>
      </c>
      <c r="Y339">
        <v>18</v>
      </c>
      <c r="Z339" t="s">
        <v>59</v>
      </c>
      <c r="AA339" t="s">
        <v>59</v>
      </c>
      <c r="AB339" t="s">
        <v>59</v>
      </c>
      <c r="AC339" t="s">
        <v>59</v>
      </c>
      <c r="AD339" t="s">
        <v>59</v>
      </c>
      <c r="AF339" s="1">
        <v>37500</v>
      </c>
      <c r="AG339" t="s">
        <v>137</v>
      </c>
      <c r="AH339" t="s">
        <v>469</v>
      </c>
      <c r="AI339" t="str">
        <f>"1740200"</f>
        <v>1740200</v>
      </c>
      <c r="AJ339" t="s">
        <v>470</v>
      </c>
      <c r="AK339">
        <v>2810320770</v>
      </c>
      <c r="AL339" t="s">
        <v>471</v>
      </c>
      <c r="AM339" t="s">
        <v>78</v>
      </c>
      <c r="AN339" t="s">
        <v>78</v>
      </c>
      <c r="AO339" t="s">
        <v>78</v>
      </c>
      <c r="AP339" t="s">
        <v>163</v>
      </c>
      <c r="AQ339">
        <v>2</v>
      </c>
      <c r="AR339" t="s">
        <v>123</v>
      </c>
      <c r="AS339" t="s">
        <v>124</v>
      </c>
      <c r="AT339" t="s">
        <v>58</v>
      </c>
      <c r="AU339" t="s">
        <v>68</v>
      </c>
      <c r="AV339" t="s">
        <v>69</v>
      </c>
      <c r="AW339" s="1">
        <v>26299</v>
      </c>
      <c r="AX339">
        <v>2</v>
      </c>
    </row>
    <row r="340" spans="1:50">
      <c r="A340">
        <v>226990</v>
      </c>
      <c r="B340" t="str">
        <f>"021566162"</f>
        <v>021566162</v>
      </c>
      <c r="C340" t="s">
        <v>50</v>
      </c>
      <c r="D340" t="s">
        <v>1166</v>
      </c>
      <c r="E340" t="s">
        <v>326</v>
      </c>
      <c r="F340" t="s">
        <v>92</v>
      </c>
      <c r="G340" t="s">
        <v>52</v>
      </c>
      <c r="H340" t="str">
        <f>"ΚΝΩΣΟΥ 46 ΗΡΑΚΛΕΙΟ"</f>
        <v>ΚΝΩΣΟΥ 46 ΗΡΑΚΛΕΙΟ</v>
      </c>
      <c r="I340">
        <v>71306</v>
      </c>
      <c r="J340">
        <v>2810234520</v>
      </c>
      <c r="K340">
        <v>6977718366</v>
      </c>
      <c r="N340" t="s">
        <v>292</v>
      </c>
      <c r="O340" t="s">
        <v>293</v>
      </c>
      <c r="R340" t="s">
        <v>57</v>
      </c>
      <c r="S340">
        <v>9</v>
      </c>
      <c r="T340">
        <v>654</v>
      </c>
      <c r="U340" s="1">
        <v>40043</v>
      </c>
      <c r="V340" t="s">
        <v>123</v>
      </c>
      <c r="W340" t="s">
        <v>124</v>
      </c>
      <c r="X340" t="s">
        <v>58</v>
      </c>
      <c r="Y340">
        <v>20</v>
      </c>
      <c r="Z340" t="s">
        <v>59</v>
      </c>
      <c r="AA340" t="s">
        <v>59</v>
      </c>
      <c r="AB340" t="s">
        <v>59</v>
      </c>
      <c r="AC340" t="s">
        <v>59</v>
      </c>
      <c r="AD340" t="s">
        <v>59</v>
      </c>
      <c r="AF340" s="1">
        <v>40044</v>
      </c>
      <c r="AG340" t="s">
        <v>148</v>
      </c>
      <c r="AH340" t="s">
        <v>149</v>
      </c>
      <c r="AI340" t="str">
        <f>"1754010"</f>
        <v>1754010</v>
      </c>
      <c r="AJ340" t="s">
        <v>1167</v>
      </c>
      <c r="AK340">
        <v>2895022277</v>
      </c>
      <c r="AL340" t="s">
        <v>1168</v>
      </c>
      <c r="AM340" t="s">
        <v>78</v>
      </c>
      <c r="AN340" t="s">
        <v>482</v>
      </c>
      <c r="AO340" t="s">
        <v>482</v>
      </c>
      <c r="AP340" t="s">
        <v>483</v>
      </c>
      <c r="AQ340">
        <v>16</v>
      </c>
      <c r="AR340" t="s">
        <v>123</v>
      </c>
      <c r="AS340" t="s">
        <v>124</v>
      </c>
      <c r="AT340" t="s">
        <v>58</v>
      </c>
      <c r="AU340" t="s">
        <v>68</v>
      </c>
      <c r="AV340" t="s">
        <v>69</v>
      </c>
      <c r="AW340" s="1">
        <v>24371</v>
      </c>
      <c r="AX340">
        <v>2</v>
      </c>
    </row>
    <row r="341" spans="1:50">
      <c r="A341">
        <v>205153</v>
      </c>
      <c r="B341" t="str">
        <f>"066373765"</f>
        <v>066373765</v>
      </c>
      <c r="C341" t="s">
        <v>50</v>
      </c>
      <c r="D341" t="s">
        <v>1169</v>
      </c>
      <c r="E341" t="s">
        <v>1170</v>
      </c>
      <c r="F341" t="s">
        <v>95</v>
      </c>
      <c r="G341" t="s">
        <v>52</v>
      </c>
      <c r="H341" t="str">
        <f>"ΚΑΛΟΓΝΩΜΟΝΟΣ 1 ΗΡΑΚΛΕΙΟ"</f>
        <v>ΚΑΛΟΓΝΩΜΟΝΟΣ 1 ΗΡΑΚΛΕΙΟ</v>
      </c>
      <c r="I341">
        <v>71305</v>
      </c>
      <c r="J341">
        <v>2810233033</v>
      </c>
      <c r="K341">
        <v>6974604184</v>
      </c>
      <c r="M341" t="s">
        <v>1171</v>
      </c>
      <c r="N341" t="s">
        <v>204</v>
      </c>
      <c r="O341" t="s">
        <v>205</v>
      </c>
      <c r="R341" t="s">
        <v>57</v>
      </c>
      <c r="S341">
        <v>7</v>
      </c>
      <c r="T341">
        <v>231</v>
      </c>
      <c r="U341" s="1">
        <v>38230</v>
      </c>
      <c r="V341" t="s">
        <v>123</v>
      </c>
      <c r="W341" t="s">
        <v>124</v>
      </c>
      <c r="X341" t="s">
        <v>58</v>
      </c>
      <c r="Y341">
        <v>20</v>
      </c>
      <c r="Z341" t="s">
        <v>59</v>
      </c>
      <c r="AA341" t="s">
        <v>59</v>
      </c>
      <c r="AB341" t="s">
        <v>59</v>
      </c>
      <c r="AC341" t="s">
        <v>59</v>
      </c>
      <c r="AD341" t="s">
        <v>59</v>
      </c>
      <c r="AF341" s="1">
        <v>38231</v>
      </c>
      <c r="AG341" t="s">
        <v>148</v>
      </c>
      <c r="AH341" t="s">
        <v>149</v>
      </c>
      <c r="AI341" t="str">
        <f>"1768010"</f>
        <v>1768010</v>
      </c>
      <c r="AJ341" t="s">
        <v>1012</v>
      </c>
      <c r="AK341">
        <v>2897032070</v>
      </c>
      <c r="AL341" t="s">
        <v>1013</v>
      </c>
      <c r="AM341" t="s">
        <v>78</v>
      </c>
      <c r="AN341" t="s">
        <v>219</v>
      </c>
      <c r="AO341" t="s">
        <v>527</v>
      </c>
      <c r="AP341" t="s">
        <v>527</v>
      </c>
      <c r="AQ341">
        <v>20</v>
      </c>
      <c r="AR341" t="s">
        <v>123</v>
      </c>
      <c r="AS341" t="s">
        <v>124</v>
      </c>
      <c r="AT341" t="s">
        <v>58</v>
      </c>
      <c r="AU341" t="s">
        <v>68</v>
      </c>
      <c r="AV341" t="s">
        <v>69</v>
      </c>
      <c r="AW341" s="1">
        <v>28654</v>
      </c>
      <c r="AX341">
        <v>2</v>
      </c>
    </row>
    <row r="342" spans="1:50">
      <c r="A342">
        <v>225946</v>
      </c>
      <c r="B342" t="str">
        <f>"101411404"</f>
        <v>101411404</v>
      </c>
      <c r="C342" t="s">
        <v>50</v>
      </c>
      <c r="D342" t="s">
        <v>1172</v>
      </c>
      <c r="E342" t="s">
        <v>1068</v>
      </c>
      <c r="F342" t="s">
        <v>154</v>
      </c>
      <c r="G342" t="s">
        <v>1173</v>
      </c>
      <c r="H342" t="str">
        <f>"ΕΥΚΛΕΙΔΟΥ 25 ΑΘΗΝΑ"</f>
        <v>ΕΥΚΛΕΙΔΟΥ 25 ΑΘΗΝΑ</v>
      </c>
      <c r="I342">
        <v>10442</v>
      </c>
      <c r="J342">
        <v>2105147308</v>
      </c>
      <c r="K342">
        <v>6944173046</v>
      </c>
      <c r="L342">
        <v>2810326816</v>
      </c>
      <c r="M342" t="s">
        <v>1174</v>
      </c>
      <c r="N342" t="s">
        <v>478</v>
      </c>
      <c r="O342" t="s">
        <v>479</v>
      </c>
      <c r="R342" t="s">
        <v>57</v>
      </c>
      <c r="S342">
        <v>7</v>
      </c>
      <c r="T342">
        <v>1189</v>
      </c>
      <c r="U342" s="1">
        <v>39813</v>
      </c>
      <c r="V342" t="s">
        <v>123</v>
      </c>
      <c r="W342" t="s">
        <v>124</v>
      </c>
      <c r="X342" t="s">
        <v>58</v>
      </c>
      <c r="Y342">
        <v>21</v>
      </c>
      <c r="Z342" t="s">
        <v>59</v>
      </c>
      <c r="AA342" t="s">
        <v>59</v>
      </c>
      <c r="AB342" t="s">
        <v>59</v>
      </c>
      <c r="AC342" t="s">
        <v>59</v>
      </c>
      <c r="AD342" t="s">
        <v>59</v>
      </c>
      <c r="AF342" s="1">
        <v>39828</v>
      </c>
      <c r="AG342" t="s">
        <v>125</v>
      </c>
      <c r="AH342" t="s">
        <v>126</v>
      </c>
      <c r="AI342" t="str">
        <f>"1722010"</f>
        <v>1722010</v>
      </c>
      <c r="AJ342" t="s">
        <v>549</v>
      </c>
      <c r="AK342">
        <v>2894041298</v>
      </c>
      <c r="AL342" t="s">
        <v>550</v>
      </c>
      <c r="AM342" t="s">
        <v>78</v>
      </c>
      <c r="AN342" t="s">
        <v>405</v>
      </c>
      <c r="AO342" t="s">
        <v>551</v>
      </c>
      <c r="AP342" t="s">
        <v>552</v>
      </c>
      <c r="AQ342">
        <v>31</v>
      </c>
      <c r="AR342" t="s">
        <v>123</v>
      </c>
      <c r="AS342" t="s">
        <v>124</v>
      </c>
      <c r="AT342" t="s">
        <v>58</v>
      </c>
      <c r="AU342" t="s">
        <v>68</v>
      </c>
      <c r="AV342" t="s">
        <v>69</v>
      </c>
      <c r="AW342" s="1">
        <v>28574</v>
      </c>
      <c r="AX342">
        <v>2</v>
      </c>
    </row>
    <row r="343" spans="1:50">
      <c r="A343">
        <v>195960</v>
      </c>
      <c r="B343" t="str">
        <f>"044192076"</f>
        <v>044192076</v>
      </c>
      <c r="C343" t="s">
        <v>50</v>
      </c>
      <c r="D343" t="s">
        <v>1175</v>
      </c>
      <c r="E343" t="s">
        <v>1176</v>
      </c>
      <c r="F343" t="s">
        <v>1070</v>
      </c>
      <c r="G343" t="s">
        <v>155</v>
      </c>
      <c r="H343" t="str">
        <f>"ΑΚΡΟΠΟΛΕΩΣ 10 "</f>
        <v xml:space="preserve">ΑΚΡΟΠΟΛΕΩΣ 10 </v>
      </c>
      <c r="I343">
        <v>71409</v>
      </c>
      <c r="J343">
        <v>2810323346</v>
      </c>
      <c r="K343">
        <v>6972223281</v>
      </c>
      <c r="M343" t="s">
        <v>1177</v>
      </c>
      <c r="N343" t="s">
        <v>257</v>
      </c>
      <c r="O343" t="s">
        <v>258</v>
      </c>
      <c r="R343" t="s">
        <v>57</v>
      </c>
      <c r="S343">
        <v>8</v>
      </c>
      <c r="T343">
        <v>194</v>
      </c>
      <c r="U343" s="1">
        <v>37497</v>
      </c>
      <c r="V343" t="s">
        <v>123</v>
      </c>
      <c r="W343" t="s">
        <v>124</v>
      </c>
      <c r="X343" t="s">
        <v>58</v>
      </c>
      <c r="Y343">
        <v>20</v>
      </c>
      <c r="Z343" t="s">
        <v>59</v>
      </c>
      <c r="AA343" t="s">
        <v>59</v>
      </c>
      <c r="AB343" t="s">
        <v>59</v>
      </c>
      <c r="AC343" t="s">
        <v>59</v>
      </c>
      <c r="AD343" t="s">
        <v>59</v>
      </c>
      <c r="AF343" s="1">
        <v>37501</v>
      </c>
      <c r="AG343" t="s">
        <v>148</v>
      </c>
      <c r="AH343" t="s">
        <v>149</v>
      </c>
      <c r="AI343" t="str">
        <f>"1751041"</f>
        <v>1751041</v>
      </c>
      <c r="AJ343" t="s">
        <v>353</v>
      </c>
      <c r="AK343">
        <v>2810230207</v>
      </c>
      <c r="AL343" t="s">
        <v>354</v>
      </c>
      <c r="AM343" t="s">
        <v>78</v>
      </c>
      <c r="AN343" t="s">
        <v>78</v>
      </c>
      <c r="AO343" t="s">
        <v>78</v>
      </c>
      <c r="AP343" t="s">
        <v>163</v>
      </c>
      <c r="AQ343">
        <v>2</v>
      </c>
      <c r="AR343" t="s">
        <v>123</v>
      </c>
      <c r="AS343" t="s">
        <v>124</v>
      </c>
      <c r="AT343" t="s">
        <v>58</v>
      </c>
      <c r="AU343" t="s">
        <v>68</v>
      </c>
      <c r="AV343" t="s">
        <v>69</v>
      </c>
      <c r="AW343" s="1">
        <v>23806</v>
      </c>
      <c r="AX343">
        <v>2</v>
      </c>
    </row>
    <row r="344" spans="1:50">
      <c r="A344">
        <v>192039</v>
      </c>
      <c r="B344" t="str">
        <f>"044806773"</f>
        <v>044806773</v>
      </c>
      <c r="C344" t="s">
        <v>105</v>
      </c>
      <c r="D344" t="s">
        <v>1178</v>
      </c>
      <c r="E344" t="s">
        <v>166</v>
      </c>
      <c r="F344" t="s">
        <v>989</v>
      </c>
      <c r="G344" t="s">
        <v>1179</v>
      </c>
      <c r="H344" t="str">
        <f>" "</f>
        <v xml:space="preserve"> </v>
      </c>
      <c r="J344">
        <v>2810212391</v>
      </c>
      <c r="K344">
        <v>6977891615</v>
      </c>
      <c r="N344" t="s">
        <v>299</v>
      </c>
      <c r="O344" t="s">
        <v>300</v>
      </c>
      <c r="R344" t="s">
        <v>57</v>
      </c>
      <c r="S344">
        <v>9</v>
      </c>
      <c r="T344">
        <v>291</v>
      </c>
      <c r="U344" s="1">
        <v>37218</v>
      </c>
      <c r="V344" t="s">
        <v>123</v>
      </c>
      <c r="W344" t="s">
        <v>124</v>
      </c>
      <c r="X344" t="s">
        <v>58</v>
      </c>
      <c r="Y344">
        <v>20</v>
      </c>
      <c r="Z344" t="s">
        <v>59</v>
      </c>
      <c r="AA344" t="s">
        <v>59</v>
      </c>
      <c r="AB344" t="s">
        <v>59</v>
      </c>
      <c r="AC344" t="s">
        <v>59</v>
      </c>
      <c r="AD344" t="s">
        <v>59</v>
      </c>
      <c r="AF344" s="1">
        <v>37222</v>
      </c>
      <c r="AG344" t="s">
        <v>137</v>
      </c>
      <c r="AH344" t="s">
        <v>138</v>
      </c>
      <c r="AI344" t="str">
        <f>"1740100"</f>
        <v>1740100</v>
      </c>
      <c r="AJ344" t="s">
        <v>857</v>
      </c>
      <c r="AK344">
        <v>2810360741</v>
      </c>
      <c r="AL344" t="s">
        <v>858</v>
      </c>
      <c r="AM344" t="s">
        <v>78</v>
      </c>
      <c r="AN344" t="s">
        <v>78</v>
      </c>
      <c r="AO344" t="s">
        <v>78</v>
      </c>
      <c r="AP344" t="s">
        <v>163</v>
      </c>
      <c r="AQ344">
        <v>5</v>
      </c>
      <c r="AR344" t="s">
        <v>123</v>
      </c>
      <c r="AS344" t="s">
        <v>124</v>
      </c>
      <c r="AT344" t="s">
        <v>58</v>
      </c>
      <c r="AU344" t="s">
        <v>68</v>
      </c>
      <c r="AV344" t="s">
        <v>69</v>
      </c>
      <c r="AW344" s="1">
        <v>23469</v>
      </c>
      <c r="AX344">
        <v>2</v>
      </c>
    </row>
    <row r="345" spans="1:50">
      <c r="A345">
        <v>176885</v>
      </c>
      <c r="B345" t="str">
        <f>"044107765"</f>
        <v>044107765</v>
      </c>
      <c r="C345" t="s">
        <v>50</v>
      </c>
      <c r="D345" t="s">
        <v>1180</v>
      </c>
      <c r="E345" t="s">
        <v>52</v>
      </c>
      <c r="F345" t="s">
        <v>609</v>
      </c>
      <c r="G345" t="s">
        <v>250</v>
      </c>
      <c r="H345" t="str">
        <f>" "</f>
        <v xml:space="preserve"> </v>
      </c>
      <c r="M345" t="s">
        <v>1181</v>
      </c>
      <c r="N345" t="s">
        <v>683</v>
      </c>
      <c r="O345" t="s">
        <v>684</v>
      </c>
      <c r="R345" t="s">
        <v>57</v>
      </c>
      <c r="S345">
        <v>13</v>
      </c>
      <c r="T345">
        <v>180</v>
      </c>
      <c r="U345" s="1">
        <v>35674</v>
      </c>
      <c r="V345" t="s">
        <v>123</v>
      </c>
      <c r="W345" t="s">
        <v>124</v>
      </c>
      <c r="X345" t="s">
        <v>58</v>
      </c>
      <c r="Y345">
        <v>18</v>
      </c>
      <c r="Z345" t="s">
        <v>59</v>
      </c>
      <c r="AA345" t="s">
        <v>59</v>
      </c>
      <c r="AB345" t="s">
        <v>59</v>
      </c>
      <c r="AC345" t="s">
        <v>59</v>
      </c>
      <c r="AD345" t="s">
        <v>452</v>
      </c>
      <c r="AE345" s="1">
        <v>43708</v>
      </c>
      <c r="AF345" s="1">
        <v>35678</v>
      </c>
      <c r="AG345" t="s">
        <v>60</v>
      </c>
      <c r="AH345" t="s">
        <v>453</v>
      </c>
      <c r="AI345" t="str">
        <f>"1700105"</f>
        <v>1700105</v>
      </c>
      <c r="AJ345" t="s">
        <v>124</v>
      </c>
      <c r="AK345">
        <v>2810333720</v>
      </c>
      <c r="AL345" t="s">
        <v>454</v>
      </c>
      <c r="AM345" t="s">
        <v>78</v>
      </c>
      <c r="AN345" t="s">
        <v>78</v>
      </c>
      <c r="AO345" t="s">
        <v>78</v>
      </c>
      <c r="AP345" t="s">
        <v>79</v>
      </c>
      <c r="AS345" t="s">
        <v>124</v>
      </c>
      <c r="AT345" t="s">
        <v>58</v>
      </c>
      <c r="AU345" t="s">
        <v>68</v>
      </c>
      <c r="AV345" t="s">
        <v>455</v>
      </c>
      <c r="AW345" s="1">
        <v>22701</v>
      </c>
      <c r="AX345">
        <v>2</v>
      </c>
    </row>
    <row r="346" spans="1:50">
      <c r="A346">
        <v>157504</v>
      </c>
      <c r="B346" t="str">
        <f>"032437671"</f>
        <v>032437671</v>
      </c>
      <c r="C346" t="s">
        <v>50</v>
      </c>
      <c r="D346" t="s">
        <v>1182</v>
      </c>
      <c r="E346" t="s">
        <v>52</v>
      </c>
      <c r="F346" t="s">
        <v>383</v>
      </c>
      <c r="G346" t="s">
        <v>699</v>
      </c>
      <c r="H346" t="str">
        <f>"Γ. ΓΕΝΝΗΜΑΤΑ 11 ΜΑΣΤΑΜΠΑΣ"</f>
        <v>Γ. ΓΕΝΝΗΜΑΤΑ 11 ΜΑΣΤΑΜΠΑΣ</v>
      </c>
      <c r="I346">
        <v>71305</v>
      </c>
      <c r="J346">
        <v>2810210229</v>
      </c>
      <c r="K346">
        <v>6936739847</v>
      </c>
      <c r="M346" t="s">
        <v>1183</v>
      </c>
      <c r="N346" t="s">
        <v>176</v>
      </c>
      <c r="O346" t="s">
        <v>177</v>
      </c>
      <c r="R346" t="s">
        <v>57</v>
      </c>
      <c r="S346">
        <v>15</v>
      </c>
      <c r="T346">
        <v>188</v>
      </c>
      <c r="U346" s="1">
        <v>32752</v>
      </c>
      <c r="V346" t="s">
        <v>123</v>
      </c>
      <c r="W346" t="s">
        <v>124</v>
      </c>
      <c r="X346" t="s">
        <v>58</v>
      </c>
      <c r="Y346">
        <v>18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F346" s="1">
        <v>32756</v>
      </c>
      <c r="AG346" t="s">
        <v>125</v>
      </c>
      <c r="AH346" t="s">
        <v>126</v>
      </c>
      <c r="AI346" t="str">
        <f>"1728010"</f>
        <v>1728010</v>
      </c>
      <c r="AJ346" t="s">
        <v>127</v>
      </c>
      <c r="AK346">
        <v>2810824651</v>
      </c>
      <c r="AL346" t="s">
        <v>128</v>
      </c>
      <c r="AM346" t="s">
        <v>78</v>
      </c>
      <c r="AN346" t="s">
        <v>129</v>
      </c>
      <c r="AO346" t="s">
        <v>130</v>
      </c>
      <c r="AP346" t="s">
        <v>130</v>
      </c>
      <c r="AQ346">
        <v>36</v>
      </c>
      <c r="AR346" t="s">
        <v>123</v>
      </c>
      <c r="AS346" t="s">
        <v>124</v>
      </c>
      <c r="AT346" t="s">
        <v>58</v>
      </c>
      <c r="AU346" t="s">
        <v>68</v>
      </c>
      <c r="AV346" t="s">
        <v>69</v>
      </c>
      <c r="AW346" s="1">
        <v>22890</v>
      </c>
      <c r="AX346">
        <v>2</v>
      </c>
    </row>
    <row r="347" spans="1:50">
      <c r="A347">
        <v>213484</v>
      </c>
      <c r="B347" t="str">
        <f>"049562738"</f>
        <v>049562738</v>
      </c>
      <c r="C347" t="s">
        <v>50</v>
      </c>
      <c r="D347" t="s">
        <v>1184</v>
      </c>
      <c r="E347" t="s">
        <v>134</v>
      </c>
      <c r="F347" t="s">
        <v>1185</v>
      </c>
      <c r="G347" t="s">
        <v>1186</v>
      </c>
      <c r="H347" t="str">
        <f>"ΤΑΓΓΑΡΙΟΥ 1 ΛΑΓΚΑΔΑΣ "</f>
        <v xml:space="preserve">ΤΑΓΓΑΡΙΟΥ 1 ΛΑΓΚΑΔΑΣ </v>
      </c>
      <c r="I347">
        <v>57200</v>
      </c>
      <c r="J347">
        <v>2394025133</v>
      </c>
      <c r="K347">
        <v>6978942245</v>
      </c>
      <c r="M347" t="s">
        <v>1187</v>
      </c>
      <c r="N347" t="s">
        <v>478</v>
      </c>
      <c r="O347" t="s">
        <v>479</v>
      </c>
      <c r="R347" t="s">
        <v>57</v>
      </c>
      <c r="S347">
        <v>6</v>
      </c>
      <c r="T347">
        <v>231</v>
      </c>
      <c r="U347" s="1">
        <v>38960</v>
      </c>
      <c r="V347" t="s">
        <v>123</v>
      </c>
      <c r="W347" t="s">
        <v>124</v>
      </c>
      <c r="X347" t="s">
        <v>58</v>
      </c>
      <c r="Y347">
        <v>20</v>
      </c>
      <c r="Z347" t="s">
        <v>59</v>
      </c>
      <c r="AA347" t="s">
        <v>59</v>
      </c>
      <c r="AB347" t="s">
        <v>59</v>
      </c>
      <c r="AC347" t="s">
        <v>59</v>
      </c>
      <c r="AD347" t="s">
        <v>59</v>
      </c>
      <c r="AF347" s="1">
        <v>38961</v>
      </c>
      <c r="AG347" t="s">
        <v>125</v>
      </c>
      <c r="AH347" t="s">
        <v>126</v>
      </c>
      <c r="AI347" t="str">
        <f>"1706010"</f>
        <v>1706010</v>
      </c>
      <c r="AJ347" t="s">
        <v>391</v>
      </c>
      <c r="AK347">
        <v>2892022286</v>
      </c>
      <c r="AL347" t="s">
        <v>392</v>
      </c>
      <c r="AM347" t="s">
        <v>78</v>
      </c>
      <c r="AN347" t="s">
        <v>242</v>
      </c>
      <c r="AO347" t="s">
        <v>243</v>
      </c>
      <c r="AP347" t="s">
        <v>243</v>
      </c>
      <c r="AQ347">
        <v>33</v>
      </c>
      <c r="AR347" t="s">
        <v>123</v>
      </c>
      <c r="AS347" t="s">
        <v>124</v>
      </c>
      <c r="AT347" t="s">
        <v>58</v>
      </c>
      <c r="AU347" t="s">
        <v>68</v>
      </c>
      <c r="AV347" t="s">
        <v>69</v>
      </c>
      <c r="AW347" s="1">
        <v>24080</v>
      </c>
      <c r="AX347">
        <v>2</v>
      </c>
    </row>
    <row r="348" spans="1:50">
      <c r="A348">
        <v>226428</v>
      </c>
      <c r="B348" t="str">
        <f>"123159101"</f>
        <v>123159101</v>
      </c>
      <c r="C348" t="s">
        <v>50</v>
      </c>
      <c r="D348" t="s">
        <v>1188</v>
      </c>
      <c r="E348" t="s">
        <v>250</v>
      </c>
      <c r="F348" t="s">
        <v>166</v>
      </c>
      <c r="G348" t="s">
        <v>1189</v>
      </c>
      <c r="H348" t="str">
        <f>"ΑΝΩ ΑΡΧΑΝΕΣ ΑΝΩ ΑΡΧΑΝΕΣ ΗΡΑΚΛΕΙΟΥ"</f>
        <v>ΑΝΩ ΑΡΧΑΝΕΣ ΑΝΩ ΑΡΧΑΝΕΣ ΗΡΑΚΛΕΙΟΥ</v>
      </c>
      <c r="I348">
        <v>70100</v>
      </c>
      <c r="J348">
        <v>2817700423</v>
      </c>
      <c r="K348">
        <v>6972075973</v>
      </c>
      <c r="M348" t="s">
        <v>1190</v>
      </c>
      <c r="N348" t="s">
        <v>146</v>
      </c>
      <c r="O348" t="s">
        <v>147</v>
      </c>
      <c r="R348" t="s">
        <v>57</v>
      </c>
      <c r="S348">
        <v>5</v>
      </c>
      <c r="T348">
        <v>654</v>
      </c>
      <c r="U348" s="1">
        <v>40043</v>
      </c>
      <c r="V348" t="s">
        <v>123</v>
      </c>
      <c r="W348" t="s">
        <v>124</v>
      </c>
      <c r="X348" t="s">
        <v>58</v>
      </c>
      <c r="Y348">
        <v>21</v>
      </c>
      <c r="Z348" t="s">
        <v>59</v>
      </c>
      <c r="AA348" t="s">
        <v>59</v>
      </c>
      <c r="AB348" t="s">
        <v>59</v>
      </c>
      <c r="AC348" t="s">
        <v>59</v>
      </c>
      <c r="AD348" t="s">
        <v>59</v>
      </c>
      <c r="AF348" s="1">
        <v>40045</v>
      </c>
      <c r="AG348" t="s">
        <v>125</v>
      </c>
      <c r="AH348" t="s">
        <v>126</v>
      </c>
      <c r="AI348" t="str">
        <f>"1711010"</f>
        <v>1711010</v>
      </c>
      <c r="AJ348" t="s">
        <v>695</v>
      </c>
      <c r="AK348">
        <v>2810741301</v>
      </c>
      <c r="AL348" t="s">
        <v>696</v>
      </c>
      <c r="AM348" t="s">
        <v>78</v>
      </c>
      <c r="AN348" t="s">
        <v>424</v>
      </c>
      <c r="AO348" t="s">
        <v>428</v>
      </c>
      <c r="AP348" t="s">
        <v>429</v>
      </c>
      <c r="AQ348">
        <v>14</v>
      </c>
      <c r="AR348" t="s">
        <v>123</v>
      </c>
      <c r="AS348" t="s">
        <v>124</v>
      </c>
      <c r="AT348" t="s">
        <v>58</v>
      </c>
      <c r="AU348" t="s">
        <v>68</v>
      </c>
      <c r="AV348" t="s">
        <v>69</v>
      </c>
      <c r="AW348" s="1">
        <v>28707</v>
      </c>
      <c r="AX348">
        <v>2</v>
      </c>
    </row>
    <row r="349" spans="1:50">
      <c r="A349">
        <v>192911</v>
      </c>
      <c r="B349" t="str">
        <f>"103531089"</f>
        <v>103531089</v>
      </c>
      <c r="C349" t="s">
        <v>50</v>
      </c>
      <c r="D349" t="s">
        <v>1191</v>
      </c>
      <c r="E349" t="s">
        <v>52</v>
      </c>
      <c r="F349" t="s">
        <v>166</v>
      </c>
      <c r="G349" t="s">
        <v>372</v>
      </c>
      <c r="H349" t="str">
        <f>"ΑΡΕΤΗΣ ΑΡΚΑΛΟΧΩΡΙ ΗΡΑΚΛΕΙΟΥ"</f>
        <v>ΑΡΕΤΗΣ ΑΡΚΑΛΟΧΩΡΙ ΗΡΑΚΛΕΙΟΥ</v>
      </c>
      <c r="I349">
        <v>70300</v>
      </c>
      <c r="J349">
        <v>2810230907</v>
      </c>
      <c r="K349">
        <v>6937777047</v>
      </c>
      <c r="L349">
        <v>2891022948</v>
      </c>
      <c r="M349" t="s">
        <v>1192</v>
      </c>
      <c r="N349" t="s">
        <v>146</v>
      </c>
      <c r="O349" t="s">
        <v>147</v>
      </c>
      <c r="R349" t="s">
        <v>57</v>
      </c>
      <c r="S349">
        <v>8</v>
      </c>
      <c r="T349">
        <v>193</v>
      </c>
      <c r="U349" s="1">
        <v>37497</v>
      </c>
      <c r="V349" t="s">
        <v>123</v>
      </c>
      <c r="W349" t="s">
        <v>124</v>
      </c>
      <c r="X349" t="s">
        <v>58</v>
      </c>
      <c r="Y349">
        <v>20</v>
      </c>
      <c r="Z349" t="s">
        <v>59</v>
      </c>
      <c r="AA349" t="s">
        <v>59</v>
      </c>
      <c r="AB349" t="s">
        <v>59</v>
      </c>
      <c r="AC349" t="s">
        <v>59</v>
      </c>
      <c r="AD349" t="s">
        <v>59</v>
      </c>
      <c r="AF349" s="1">
        <v>37503</v>
      </c>
      <c r="AG349" t="s">
        <v>125</v>
      </c>
      <c r="AH349" t="s">
        <v>126</v>
      </c>
      <c r="AI349" t="str">
        <f>"1702010"</f>
        <v>1702010</v>
      </c>
      <c r="AJ349" t="s">
        <v>604</v>
      </c>
      <c r="AK349">
        <v>2891022228</v>
      </c>
      <c r="AL349" t="s">
        <v>605</v>
      </c>
      <c r="AM349" t="s">
        <v>78</v>
      </c>
      <c r="AN349" t="s">
        <v>276</v>
      </c>
      <c r="AO349" t="s">
        <v>490</v>
      </c>
      <c r="AP349" t="s">
        <v>490</v>
      </c>
      <c r="AQ349">
        <v>15</v>
      </c>
      <c r="AR349" t="s">
        <v>123</v>
      </c>
      <c r="AS349" t="s">
        <v>124</v>
      </c>
      <c r="AT349" t="s">
        <v>58</v>
      </c>
      <c r="AU349" t="s">
        <v>68</v>
      </c>
      <c r="AV349" t="s">
        <v>69</v>
      </c>
      <c r="AW349" s="1">
        <v>27995</v>
      </c>
      <c r="AX349">
        <v>2</v>
      </c>
    </row>
    <row r="350" spans="1:50">
      <c r="A350">
        <v>147880</v>
      </c>
      <c r="B350" t="str">
        <f>"030172435"</f>
        <v>030172435</v>
      </c>
      <c r="C350" t="s">
        <v>105</v>
      </c>
      <c r="D350" t="s">
        <v>1193</v>
      </c>
      <c r="E350" t="s">
        <v>108</v>
      </c>
      <c r="F350" t="s">
        <v>154</v>
      </c>
      <c r="G350" t="s">
        <v>367</v>
      </c>
      <c r="H350" t="str">
        <f>"ΛΕΙΒΑΔΙΑΣ 4 ΗΡΑΚΛΕΙΟ"</f>
        <v>ΛΕΙΒΑΔΙΑΣ 4 ΗΡΑΚΛΕΙΟ</v>
      </c>
      <c r="I350">
        <v>71409</v>
      </c>
      <c r="J350">
        <v>2810324203</v>
      </c>
      <c r="K350">
        <v>6977715713</v>
      </c>
      <c r="M350" t="s">
        <v>1194</v>
      </c>
      <c r="N350" t="s">
        <v>176</v>
      </c>
      <c r="O350" t="s">
        <v>177</v>
      </c>
      <c r="R350" t="s">
        <v>57</v>
      </c>
      <c r="S350">
        <v>16</v>
      </c>
      <c r="T350">
        <v>237</v>
      </c>
      <c r="U350" s="1">
        <v>31293</v>
      </c>
      <c r="V350" t="s">
        <v>123</v>
      </c>
      <c r="W350" t="s">
        <v>124</v>
      </c>
      <c r="X350" t="s">
        <v>58</v>
      </c>
      <c r="Y350">
        <v>18</v>
      </c>
      <c r="Z350" t="s">
        <v>59</v>
      </c>
      <c r="AA350" t="s">
        <v>59</v>
      </c>
      <c r="AB350" t="s">
        <v>59</v>
      </c>
      <c r="AC350" t="s">
        <v>59</v>
      </c>
      <c r="AD350" t="s">
        <v>59</v>
      </c>
      <c r="AF350" s="1">
        <v>31303</v>
      </c>
      <c r="AG350" t="s">
        <v>125</v>
      </c>
      <c r="AH350" t="s">
        <v>126</v>
      </c>
      <c r="AI350" t="str">
        <f>"1702010"</f>
        <v>1702010</v>
      </c>
      <c r="AJ350" t="s">
        <v>604</v>
      </c>
      <c r="AK350">
        <v>2891022228</v>
      </c>
      <c r="AL350" t="s">
        <v>605</v>
      </c>
      <c r="AM350" t="s">
        <v>78</v>
      </c>
      <c r="AN350" t="s">
        <v>276</v>
      </c>
      <c r="AO350" t="s">
        <v>490</v>
      </c>
      <c r="AP350" t="s">
        <v>490</v>
      </c>
      <c r="AQ350">
        <v>15</v>
      </c>
      <c r="AR350" t="s">
        <v>123</v>
      </c>
      <c r="AS350" t="s">
        <v>124</v>
      </c>
      <c r="AT350" t="s">
        <v>58</v>
      </c>
      <c r="AU350" t="s">
        <v>68</v>
      </c>
      <c r="AV350" t="s">
        <v>69</v>
      </c>
      <c r="AW350" s="1">
        <v>21587</v>
      </c>
      <c r="AX350">
        <v>2</v>
      </c>
    </row>
    <row r="351" spans="1:50">
      <c r="A351">
        <v>186402</v>
      </c>
      <c r="B351" t="str">
        <f>"130438491"</f>
        <v>130438491</v>
      </c>
      <c r="C351" t="s">
        <v>50</v>
      </c>
      <c r="D351" t="s">
        <v>1195</v>
      </c>
      <c r="E351" t="s">
        <v>620</v>
      </c>
      <c r="F351" t="s">
        <v>92</v>
      </c>
      <c r="G351" t="s">
        <v>52</v>
      </c>
      <c r="H351" t="str">
        <f>"ΠΕΡΣΕΑ 11 ΒΑΣΙΛΙΕΣ ΗΡΑΚΛΕΙΟΥ"</f>
        <v>ΠΕΡΣΕΑ 11 ΒΑΣΙΛΙΕΣ ΗΡΑΚΛΕΙΟΥ</v>
      </c>
      <c r="I351">
        <v>71500</v>
      </c>
      <c r="J351">
        <v>2810328267</v>
      </c>
      <c r="K351">
        <v>6944205521</v>
      </c>
      <c r="M351" t="s">
        <v>1196</v>
      </c>
      <c r="N351" t="s">
        <v>146</v>
      </c>
      <c r="O351" t="s">
        <v>147</v>
      </c>
      <c r="R351" t="s">
        <v>57</v>
      </c>
      <c r="S351">
        <v>11</v>
      </c>
      <c r="T351">
        <v>251</v>
      </c>
      <c r="U351" s="1">
        <v>36769</v>
      </c>
      <c r="V351" t="s">
        <v>123</v>
      </c>
      <c r="W351" t="s">
        <v>124</v>
      </c>
      <c r="X351" t="s">
        <v>58</v>
      </c>
      <c r="Y351">
        <v>18</v>
      </c>
      <c r="Z351" t="s">
        <v>59</v>
      </c>
      <c r="AA351" t="s">
        <v>59</v>
      </c>
      <c r="AB351" t="s">
        <v>59</v>
      </c>
      <c r="AC351" t="s">
        <v>59</v>
      </c>
      <c r="AD351" t="s">
        <v>59</v>
      </c>
      <c r="AF351" s="1">
        <v>36773</v>
      </c>
      <c r="AG351" t="s">
        <v>148</v>
      </c>
      <c r="AH351" t="s">
        <v>149</v>
      </c>
      <c r="AI351" t="str">
        <f>"1751041"</f>
        <v>1751041</v>
      </c>
      <c r="AJ351" t="s">
        <v>353</v>
      </c>
      <c r="AK351">
        <v>2810230207</v>
      </c>
      <c r="AL351" t="s">
        <v>354</v>
      </c>
      <c r="AM351" t="s">
        <v>78</v>
      </c>
      <c r="AN351" t="s">
        <v>78</v>
      </c>
      <c r="AO351" t="s">
        <v>78</v>
      </c>
      <c r="AP351" t="s">
        <v>163</v>
      </c>
      <c r="AQ351">
        <v>2</v>
      </c>
      <c r="AR351" t="s">
        <v>123</v>
      </c>
      <c r="AS351" t="s">
        <v>124</v>
      </c>
      <c r="AT351" t="s">
        <v>58</v>
      </c>
      <c r="AU351" t="s">
        <v>68</v>
      </c>
      <c r="AV351" t="s">
        <v>69</v>
      </c>
      <c r="AW351" s="1">
        <v>24352</v>
      </c>
      <c r="AX351">
        <v>2</v>
      </c>
    </row>
    <row r="352" spans="1:50">
      <c r="B352" t="str">
        <f>"110730382"</f>
        <v>110730382</v>
      </c>
      <c r="C352" t="s">
        <v>50</v>
      </c>
      <c r="D352" t="s">
        <v>1197</v>
      </c>
      <c r="E352" t="s">
        <v>250</v>
      </c>
      <c r="F352" t="s">
        <v>95</v>
      </c>
      <c r="G352" t="s">
        <v>83</v>
      </c>
      <c r="H352" t="str">
        <f>"ΥΔΡΑΣ 9 ΗΡΑΚΛΕΙΟ"</f>
        <v>ΥΔΡΑΣ 9 ΗΡΑΚΛΕΙΟ</v>
      </c>
      <c r="I352">
        <v>71304</v>
      </c>
      <c r="J352">
        <v>2810262584</v>
      </c>
      <c r="K352">
        <v>6972877171</v>
      </c>
      <c r="N352" t="s">
        <v>119</v>
      </c>
      <c r="O352" t="s">
        <v>120</v>
      </c>
      <c r="R352" t="s">
        <v>159</v>
      </c>
      <c r="S352">
        <v>2</v>
      </c>
      <c r="T352" t="s">
        <v>122</v>
      </c>
      <c r="U352" s="1">
        <v>43348</v>
      </c>
      <c r="V352" t="s">
        <v>123</v>
      </c>
      <c r="W352" t="s">
        <v>124</v>
      </c>
      <c r="X352" t="s">
        <v>58</v>
      </c>
      <c r="Y352">
        <v>23</v>
      </c>
      <c r="Z352" t="s">
        <v>59</v>
      </c>
      <c r="AA352" t="s">
        <v>59</v>
      </c>
      <c r="AB352" t="s">
        <v>59</v>
      </c>
      <c r="AC352" t="s">
        <v>59</v>
      </c>
      <c r="AD352" t="s">
        <v>59</v>
      </c>
      <c r="AF352" s="1">
        <v>43348</v>
      </c>
      <c r="AG352" t="s">
        <v>125</v>
      </c>
      <c r="AH352" t="s">
        <v>126</v>
      </c>
      <c r="AI352" t="str">
        <f>"1701041"</f>
        <v>1701041</v>
      </c>
      <c r="AJ352" t="s">
        <v>161</v>
      </c>
      <c r="AK352">
        <v>2810327052</v>
      </c>
      <c r="AL352" t="s">
        <v>162</v>
      </c>
      <c r="AM352" t="s">
        <v>78</v>
      </c>
      <c r="AN352" t="s">
        <v>78</v>
      </c>
      <c r="AO352" t="s">
        <v>78</v>
      </c>
      <c r="AP352" t="s">
        <v>163</v>
      </c>
      <c r="AQ352">
        <v>5</v>
      </c>
      <c r="AR352" t="s">
        <v>123</v>
      </c>
      <c r="AS352" t="s">
        <v>124</v>
      </c>
      <c r="AT352" t="s">
        <v>58</v>
      </c>
      <c r="AU352" t="s">
        <v>131</v>
      </c>
      <c r="AV352" t="s">
        <v>132</v>
      </c>
      <c r="AW352" s="1">
        <v>30132</v>
      </c>
      <c r="AX352">
        <v>2</v>
      </c>
    </row>
    <row r="353" spans="1:50">
      <c r="A353">
        <v>206573</v>
      </c>
      <c r="B353" t="str">
        <f>"044196087"</f>
        <v>044196087</v>
      </c>
      <c r="C353" t="s">
        <v>50</v>
      </c>
      <c r="D353" t="s">
        <v>1198</v>
      </c>
      <c r="E353" t="s">
        <v>476</v>
      </c>
      <c r="F353" t="s">
        <v>166</v>
      </c>
      <c r="G353" t="s">
        <v>83</v>
      </c>
      <c r="H353" t="str">
        <f>"ΣΤΕΡΓΙΟΓΙΑΝΝΗ 34 ΜΑΣΤΑΜΠΑΣ"</f>
        <v>ΣΤΕΡΓΙΟΓΙΑΝΝΗ 34 ΜΑΣΤΑΜΠΑΣ</v>
      </c>
      <c r="I353">
        <v>71305</v>
      </c>
      <c r="J353">
        <v>2810313211</v>
      </c>
      <c r="K353">
        <v>6973699174</v>
      </c>
      <c r="M353" t="s">
        <v>1199</v>
      </c>
      <c r="N353" t="s">
        <v>146</v>
      </c>
      <c r="O353" t="s">
        <v>147</v>
      </c>
      <c r="R353" t="s">
        <v>57</v>
      </c>
      <c r="S353">
        <v>8</v>
      </c>
      <c r="T353">
        <v>218</v>
      </c>
      <c r="U353" s="1">
        <v>38596</v>
      </c>
      <c r="V353" t="s">
        <v>123</v>
      </c>
      <c r="W353" t="s">
        <v>124</v>
      </c>
      <c r="X353" t="s">
        <v>58</v>
      </c>
      <c r="Y353">
        <v>20</v>
      </c>
      <c r="Z353" t="s">
        <v>59</v>
      </c>
      <c r="AA353" t="s">
        <v>59</v>
      </c>
      <c r="AB353" t="s">
        <v>59</v>
      </c>
      <c r="AC353" t="s">
        <v>59</v>
      </c>
      <c r="AD353" t="s">
        <v>59</v>
      </c>
      <c r="AF353" s="1">
        <v>38600</v>
      </c>
      <c r="AG353" t="s">
        <v>148</v>
      </c>
      <c r="AH353" t="s">
        <v>149</v>
      </c>
      <c r="AI353" t="str">
        <f>"1790100"</f>
        <v>1790100</v>
      </c>
      <c r="AJ353" t="s">
        <v>252</v>
      </c>
      <c r="AK353">
        <v>2810234876</v>
      </c>
      <c r="AL353" t="s">
        <v>253</v>
      </c>
      <c r="AM353" t="s">
        <v>78</v>
      </c>
      <c r="AN353" t="s">
        <v>78</v>
      </c>
      <c r="AO353" t="s">
        <v>78</v>
      </c>
      <c r="AP353" t="s">
        <v>163</v>
      </c>
      <c r="AQ353">
        <v>5</v>
      </c>
      <c r="AR353" t="s">
        <v>123</v>
      </c>
      <c r="AS353" t="s">
        <v>124</v>
      </c>
      <c r="AT353" t="s">
        <v>58</v>
      </c>
      <c r="AU353" t="s">
        <v>68</v>
      </c>
      <c r="AV353" t="s">
        <v>357</v>
      </c>
      <c r="AW353" s="1">
        <v>24793</v>
      </c>
      <c r="AX353">
        <v>2</v>
      </c>
    </row>
    <row r="354" spans="1:50">
      <c r="A354">
        <v>152365</v>
      </c>
      <c r="B354" t="str">
        <f>"027572801"</f>
        <v>027572801</v>
      </c>
      <c r="C354" t="s">
        <v>105</v>
      </c>
      <c r="D354" t="s">
        <v>1200</v>
      </c>
      <c r="E354" t="s">
        <v>166</v>
      </c>
      <c r="F354" t="s">
        <v>95</v>
      </c>
      <c r="G354" t="s">
        <v>52</v>
      </c>
      <c r="H354" t="str">
        <f>"ΙΦΙΓΕΝΕΙΑΣ 9 ΗΡΑΚΛΕΙΟ"</f>
        <v>ΙΦΙΓΕΝΕΙΑΣ 9 ΗΡΑΚΛΕΙΟ</v>
      </c>
      <c r="I354">
        <v>71304</v>
      </c>
      <c r="J354">
        <v>2810312397</v>
      </c>
      <c r="K354">
        <v>6946883208</v>
      </c>
      <c r="M354" t="s">
        <v>1201</v>
      </c>
      <c r="N354" t="s">
        <v>292</v>
      </c>
      <c r="O354" t="s">
        <v>293</v>
      </c>
      <c r="R354" t="s">
        <v>57</v>
      </c>
      <c r="S354">
        <v>15</v>
      </c>
      <c r="T354">
        <v>193</v>
      </c>
      <c r="U354" s="1">
        <v>32042</v>
      </c>
      <c r="V354" t="s">
        <v>123</v>
      </c>
      <c r="W354" t="s">
        <v>124</v>
      </c>
      <c r="X354" t="s">
        <v>58</v>
      </c>
      <c r="Y354">
        <v>18</v>
      </c>
      <c r="Z354" t="s">
        <v>59</v>
      </c>
      <c r="AA354" t="s">
        <v>59</v>
      </c>
      <c r="AB354" t="s">
        <v>59</v>
      </c>
      <c r="AC354" t="s">
        <v>59</v>
      </c>
      <c r="AD354" t="s">
        <v>59</v>
      </c>
      <c r="AF354" s="1">
        <v>32048</v>
      </c>
      <c r="AG354" t="s">
        <v>125</v>
      </c>
      <c r="AH354" t="s">
        <v>126</v>
      </c>
      <c r="AI354" t="str">
        <f>"1701020"</f>
        <v>1701020</v>
      </c>
      <c r="AJ354" t="s">
        <v>323</v>
      </c>
      <c r="AK354">
        <v>2810252111</v>
      </c>
      <c r="AL354" t="s">
        <v>324</v>
      </c>
      <c r="AM354" t="s">
        <v>78</v>
      </c>
      <c r="AN354" t="s">
        <v>78</v>
      </c>
      <c r="AO354" t="s">
        <v>78</v>
      </c>
      <c r="AP354" t="s">
        <v>163</v>
      </c>
      <c r="AQ354">
        <v>3</v>
      </c>
      <c r="AR354" t="s">
        <v>123</v>
      </c>
      <c r="AS354" t="s">
        <v>124</v>
      </c>
      <c r="AT354" t="s">
        <v>58</v>
      </c>
      <c r="AU354" t="s">
        <v>68</v>
      </c>
      <c r="AV354" t="s">
        <v>69</v>
      </c>
      <c r="AW354" s="1">
        <v>20862</v>
      </c>
      <c r="AX354">
        <v>2</v>
      </c>
    </row>
    <row r="355" spans="1:50">
      <c r="A355">
        <v>213089</v>
      </c>
      <c r="B355" t="str">
        <f>"034353090"</f>
        <v>034353090</v>
      </c>
      <c r="C355" t="s">
        <v>50</v>
      </c>
      <c r="D355" t="s">
        <v>1202</v>
      </c>
      <c r="E355" t="s">
        <v>237</v>
      </c>
      <c r="F355" t="s">
        <v>166</v>
      </c>
      <c r="G355" t="s">
        <v>801</v>
      </c>
      <c r="H355" t="str">
        <f>"Ν. ΚΟΥΝΕΛΑΚΗ ΑΤΣΑΛΕΝΙΟ"</f>
        <v>Ν. ΚΟΥΝΕΛΑΚΗ ΑΤΣΑΛΕΝΙΟ</v>
      </c>
      <c r="I355">
        <v>71306</v>
      </c>
      <c r="J355">
        <v>2810328453</v>
      </c>
      <c r="K355">
        <v>6975020649</v>
      </c>
      <c r="N355" t="s">
        <v>232</v>
      </c>
      <c r="O355" t="s">
        <v>233</v>
      </c>
      <c r="R355" t="s">
        <v>57</v>
      </c>
      <c r="S355">
        <v>8</v>
      </c>
      <c r="T355">
        <v>231</v>
      </c>
      <c r="U355" s="1">
        <v>38960</v>
      </c>
      <c r="V355" t="s">
        <v>123</v>
      </c>
      <c r="W355" t="s">
        <v>124</v>
      </c>
      <c r="X355" t="s">
        <v>58</v>
      </c>
      <c r="Y355">
        <v>20</v>
      </c>
      <c r="Z355" t="s">
        <v>59</v>
      </c>
      <c r="AA355" t="s">
        <v>59</v>
      </c>
      <c r="AB355" t="s">
        <v>59</v>
      </c>
      <c r="AC355" t="s">
        <v>59</v>
      </c>
      <c r="AD355" t="s">
        <v>59</v>
      </c>
      <c r="AF355" s="1">
        <v>38961</v>
      </c>
      <c r="AG355" t="s">
        <v>137</v>
      </c>
      <c r="AH355" t="s">
        <v>138</v>
      </c>
      <c r="AI355" t="str">
        <f>"1740210"</f>
        <v>1740210</v>
      </c>
      <c r="AJ355" t="s">
        <v>139</v>
      </c>
      <c r="AK355">
        <v>2810318130</v>
      </c>
      <c r="AL355" t="s">
        <v>140</v>
      </c>
      <c r="AM355" t="s">
        <v>78</v>
      </c>
      <c r="AN355" t="s">
        <v>78</v>
      </c>
      <c r="AO355" t="s">
        <v>78</v>
      </c>
      <c r="AP355" t="s">
        <v>141</v>
      </c>
      <c r="AQ355">
        <v>7</v>
      </c>
      <c r="AR355" t="s">
        <v>123</v>
      </c>
      <c r="AS355" t="s">
        <v>124</v>
      </c>
      <c r="AT355" t="s">
        <v>58</v>
      </c>
      <c r="AU355" t="s">
        <v>68</v>
      </c>
      <c r="AV355" t="s">
        <v>69</v>
      </c>
      <c r="AW355" s="1">
        <v>22489</v>
      </c>
      <c r="AX355">
        <v>2</v>
      </c>
    </row>
    <row r="356" spans="1:50">
      <c r="A356">
        <v>196473</v>
      </c>
      <c r="B356" t="str">
        <f>"045942770"</f>
        <v>045942770</v>
      </c>
      <c r="C356" t="s">
        <v>50</v>
      </c>
      <c r="D356" t="s">
        <v>1203</v>
      </c>
      <c r="E356" t="s">
        <v>1204</v>
      </c>
      <c r="F356" t="s">
        <v>99</v>
      </c>
      <c r="G356" t="s">
        <v>506</v>
      </c>
      <c r="H356" t="str">
        <f>"ΣΠΟΡΑΔΩΝ 7  ΗΡΑΚΛΕΙΟ"</f>
        <v>ΣΠΟΡΑΔΩΝ 7  ΗΡΑΚΛΕΙΟ</v>
      </c>
      <c r="I356">
        <v>71409</v>
      </c>
      <c r="J356">
        <v>2810360435</v>
      </c>
      <c r="K356">
        <v>6945560630</v>
      </c>
      <c r="M356" t="s">
        <v>1205</v>
      </c>
      <c r="N356" t="s">
        <v>337</v>
      </c>
      <c r="O356" t="s">
        <v>338</v>
      </c>
      <c r="P356" t="s">
        <v>146</v>
      </c>
      <c r="Q356" t="s">
        <v>147</v>
      </c>
      <c r="R356" t="s">
        <v>57</v>
      </c>
      <c r="S356">
        <v>10</v>
      </c>
      <c r="T356">
        <v>273</v>
      </c>
      <c r="U356" s="1">
        <v>37596</v>
      </c>
      <c r="V356" t="s">
        <v>123</v>
      </c>
      <c r="W356" t="s">
        <v>124</v>
      </c>
      <c r="X356" t="s">
        <v>58</v>
      </c>
      <c r="Y356">
        <v>20</v>
      </c>
      <c r="Z356" t="s">
        <v>59</v>
      </c>
      <c r="AA356" t="s">
        <v>59</v>
      </c>
      <c r="AB356" t="s">
        <v>59</v>
      </c>
      <c r="AC356" t="s">
        <v>59</v>
      </c>
      <c r="AD356" t="s">
        <v>59</v>
      </c>
      <c r="AF356" s="1">
        <v>37606</v>
      </c>
      <c r="AG356" t="s">
        <v>125</v>
      </c>
      <c r="AH356" t="s">
        <v>294</v>
      </c>
      <c r="AI356" t="str">
        <f>"1701015"</f>
        <v>1701015</v>
      </c>
      <c r="AJ356" t="s">
        <v>295</v>
      </c>
      <c r="AK356">
        <v>2810761696</v>
      </c>
      <c r="AL356" t="s">
        <v>296</v>
      </c>
      <c r="AM356" t="s">
        <v>78</v>
      </c>
      <c r="AN356" t="s">
        <v>219</v>
      </c>
      <c r="AO356" t="s">
        <v>297</v>
      </c>
      <c r="AP356" t="s">
        <v>297</v>
      </c>
      <c r="AQ356">
        <v>10</v>
      </c>
      <c r="AR356" t="s">
        <v>123</v>
      </c>
      <c r="AS356" t="s">
        <v>124</v>
      </c>
      <c r="AT356" t="s">
        <v>58</v>
      </c>
      <c r="AU356" t="s">
        <v>68</v>
      </c>
      <c r="AV356" t="s">
        <v>69</v>
      </c>
      <c r="AW356" s="1">
        <v>24946</v>
      </c>
      <c r="AX356">
        <v>2</v>
      </c>
    </row>
    <row r="357" spans="1:50">
      <c r="A357">
        <v>195137</v>
      </c>
      <c r="B357" t="str">
        <f>"071433240"</f>
        <v>071433240</v>
      </c>
      <c r="C357" t="s">
        <v>50</v>
      </c>
      <c r="D357" t="s">
        <v>1206</v>
      </c>
      <c r="E357" t="s">
        <v>1207</v>
      </c>
      <c r="F357" t="s">
        <v>166</v>
      </c>
      <c r="G357" t="s">
        <v>1078</v>
      </c>
      <c r="H357" t="str">
        <f>"ΓΡ. ΛΑΜΠΡΑΚΗ 4 ΜΟΙΡΕΣ"</f>
        <v>ΓΡ. ΛΑΜΠΡΑΚΗ 4 ΜΟΙΡΕΣ</v>
      </c>
      <c r="I357">
        <v>70400</v>
      </c>
      <c r="J357">
        <v>2892025148</v>
      </c>
      <c r="K357">
        <v>6977408025</v>
      </c>
      <c r="M357" t="s">
        <v>1208</v>
      </c>
      <c r="N357" t="s">
        <v>146</v>
      </c>
      <c r="O357" t="s">
        <v>147</v>
      </c>
      <c r="R357" t="s">
        <v>57</v>
      </c>
      <c r="S357">
        <v>8</v>
      </c>
      <c r="T357">
        <v>194</v>
      </c>
      <c r="U357" s="1">
        <v>37497</v>
      </c>
      <c r="V357" t="s">
        <v>123</v>
      </c>
      <c r="W357" t="s">
        <v>124</v>
      </c>
      <c r="X357" t="s">
        <v>58</v>
      </c>
      <c r="Y357">
        <v>20</v>
      </c>
      <c r="Z357" t="s">
        <v>59</v>
      </c>
      <c r="AA357" t="s">
        <v>59</v>
      </c>
      <c r="AB357" t="s">
        <v>59</v>
      </c>
      <c r="AC357" t="s">
        <v>59</v>
      </c>
      <c r="AD357" t="s">
        <v>59</v>
      </c>
      <c r="AF357" s="1">
        <v>37501</v>
      </c>
      <c r="AG357" t="s">
        <v>148</v>
      </c>
      <c r="AH357" t="s">
        <v>149</v>
      </c>
      <c r="AI357" t="str">
        <f>"1756010"</f>
        <v>1756010</v>
      </c>
      <c r="AJ357" t="s">
        <v>874</v>
      </c>
      <c r="AK357">
        <v>2892022976</v>
      </c>
      <c r="AL357" t="s">
        <v>875</v>
      </c>
      <c r="AM357" t="s">
        <v>78</v>
      </c>
      <c r="AN357" t="s">
        <v>242</v>
      </c>
      <c r="AO357" t="s">
        <v>243</v>
      </c>
      <c r="AP357" t="s">
        <v>243</v>
      </c>
      <c r="AQ357">
        <v>33</v>
      </c>
      <c r="AR357" t="s">
        <v>123</v>
      </c>
      <c r="AS357" t="s">
        <v>124</v>
      </c>
      <c r="AT357" t="s">
        <v>58</v>
      </c>
      <c r="AU357" t="s">
        <v>68</v>
      </c>
      <c r="AV357" t="s">
        <v>69</v>
      </c>
      <c r="AW357" s="1">
        <v>26405</v>
      </c>
      <c r="AX357">
        <v>2</v>
      </c>
    </row>
    <row r="358" spans="1:50">
      <c r="B358" t="str">
        <f>"072907803"</f>
        <v>072907803</v>
      </c>
      <c r="C358" t="s">
        <v>50</v>
      </c>
      <c r="D358" t="s">
        <v>1209</v>
      </c>
      <c r="E358" t="s">
        <v>52</v>
      </c>
      <c r="F358" t="s">
        <v>995</v>
      </c>
      <c r="G358" t="s">
        <v>1210</v>
      </c>
      <c r="H358" t="str">
        <f>"ΑΓΗΣΙΛΑΟΥ 14Α ΙΛΙΟΝ"</f>
        <v>ΑΓΗΣΙΛΑΟΥ 14Α ΙΛΙΟΝ</v>
      </c>
      <c r="I358">
        <v>13231</v>
      </c>
      <c r="J358">
        <v>2105025334</v>
      </c>
      <c r="K358">
        <v>6946829627</v>
      </c>
      <c r="N358" t="s">
        <v>536</v>
      </c>
      <c r="O358" t="s">
        <v>537</v>
      </c>
      <c r="R358" t="s">
        <v>121</v>
      </c>
      <c r="S358">
        <v>3</v>
      </c>
      <c r="T358" t="s">
        <v>344</v>
      </c>
      <c r="U358" s="1">
        <v>43348</v>
      </c>
      <c r="V358" t="s">
        <v>123</v>
      </c>
      <c r="W358" t="s">
        <v>124</v>
      </c>
      <c r="X358" t="s">
        <v>58</v>
      </c>
      <c r="Y358">
        <v>23</v>
      </c>
      <c r="Z358" t="s">
        <v>59</v>
      </c>
      <c r="AA358" t="s">
        <v>59</v>
      </c>
      <c r="AB358" t="s">
        <v>59</v>
      </c>
      <c r="AC358" t="s">
        <v>59</v>
      </c>
      <c r="AD358" t="s">
        <v>59</v>
      </c>
      <c r="AF358" s="1">
        <v>43348</v>
      </c>
      <c r="AG358" t="s">
        <v>125</v>
      </c>
      <c r="AH358" t="s">
        <v>126</v>
      </c>
      <c r="AI358" t="str">
        <f>"1704010"</f>
        <v>1704010</v>
      </c>
      <c r="AJ358" t="s">
        <v>480</v>
      </c>
      <c r="AK358">
        <v>2895022230</v>
      </c>
      <c r="AL358" t="s">
        <v>481</v>
      </c>
      <c r="AM358" t="s">
        <v>78</v>
      </c>
      <c r="AN358" t="s">
        <v>482</v>
      </c>
      <c r="AO358" t="s">
        <v>482</v>
      </c>
      <c r="AP358" t="s">
        <v>483</v>
      </c>
      <c r="AQ358">
        <v>16</v>
      </c>
      <c r="AR358" t="s">
        <v>123</v>
      </c>
      <c r="AS358" t="s">
        <v>124</v>
      </c>
      <c r="AT358" t="s">
        <v>58</v>
      </c>
      <c r="AU358" t="s">
        <v>350</v>
      </c>
      <c r="AV358" t="s">
        <v>132</v>
      </c>
      <c r="AW358" s="1">
        <v>24561</v>
      </c>
      <c r="AX358">
        <v>2</v>
      </c>
    </row>
    <row r="359" spans="1:50">
      <c r="A359">
        <v>197667</v>
      </c>
      <c r="B359" t="str">
        <f>"103537611"</f>
        <v>103537611</v>
      </c>
      <c r="C359" t="s">
        <v>50</v>
      </c>
      <c r="D359" t="s">
        <v>1211</v>
      </c>
      <c r="E359" t="s">
        <v>181</v>
      </c>
      <c r="F359" t="s">
        <v>95</v>
      </c>
      <c r="G359" t="s">
        <v>250</v>
      </c>
      <c r="H359" t="str">
        <f>"ΜΟΥΣΩΝ 19 ΗΡΑΚΛΕΙΟ"</f>
        <v>ΜΟΥΣΩΝ 19 ΗΡΑΚΛΕΙΟ</v>
      </c>
      <c r="J359">
        <v>2810236538</v>
      </c>
      <c r="K359">
        <v>6978893053</v>
      </c>
      <c r="M359" t="s">
        <v>1212</v>
      </c>
      <c r="N359" t="s">
        <v>292</v>
      </c>
      <c r="O359" t="s">
        <v>293</v>
      </c>
      <c r="R359" t="s">
        <v>57</v>
      </c>
      <c r="S359">
        <v>10</v>
      </c>
      <c r="T359">
        <v>206</v>
      </c>
      <c r="U359" s="1">
        <v>37866</v>
      </c>
      <c r="V359" t="s">
        <v>123</v>
      </c>
      <c r="W359" t="s">
        <v>124</v>
      </c>
      <c r="X359" t="s">
        <v>58</v>
      </c>
      <c r="Y359">
        <v>20</v>
      </c>
      <c r="Z359" t="s">
        <v>59</v>
      </c>
      <c r="AA359" t="s">
        <v>59</v>
      </c>
      <c r="AB359" t="s">
        <v>59</v>
      </c>
      <c r="AC359" t="s">
        <v>59</v>
      </c>
      <c r="AD359" t="s">
        <v>59</v>
      </c>
      <c r="AF359" s="1">
        <v>37866</v>
      </c>
      <c r="AG359" t="s">
        <v>125</v>
      </c>
      <c r="AH359" t="s">
        <v>126</v>
      </c>
      <c r="AI359" t="str">
        <f>"1701020"</f>
        <v>1701020</v>
      </c>
      <c r="AJ359" t="s">
        <v>323</v>
      </c>
      <c r="AK359">
        <v>2810252111</v>
      </c>
      <c r="AL359" t="s">
        <v>324</v>
      </c>
      <c r="AM359" t="s">
        <v>78</v>
      </c>
      <c r="AN359" t="s">
        <v>78</v>
      </c>
      <c r="AO359" t="s">
        <v>78</v>
      </c>
      <c r="AP359" t="s">
        <v>163</v>
      </c>
      <c r="AQ359">
        <v>3</v>
      </c>
      <c r="AR359" t="s">
        <v>123</v>
      </c>
      <c r="AS359" t="s">
        <v>124</v>
      </c>
      <c r="AT359" t="s">
        <v>58</v>
      </c>
      <c r="AU359" t="s">
        <v>68</v>
      </c>
      <c r="AV359" t="s">
        <v>69</v>
      </c>
      <c r="AW359" s="1">
        <v>24664</v>
      </c>
      <c r="AX359">
        <v>2</v>
      </c>
    </row>
    <row r="360" spans="1:50">
      <c r="A360">
        <v>220308</v>
      </c>
      <c r="B360" t="str">
        <f>"103500445"</f>
        <v>103500445</v>
      </c>
      <c r="C360" t="s">
        <v>50</v>
      </c>
      <c r="D360" t="s">
        <v>1213</v>
      </c>
      <c r="E360" t="s">
        <v>237</v>
      </c>
      <c r="F360" t="s">
        <v>95</v>
      </c>
      <c r="G360" t="s">
        <v>83</v>
      </c>
      <c r="H360" t="str">
        <f>"ΟΥΛΩΦ ΠΑΛΜΕ 35 ΜΕΣΑΜΠΕΛΙΕΣ"</f>
        <v>ΟΥΛΩΦ ΠΑΛΜΕ 35 ΜΕΣΑΜΠΕΛΙΕΣ</v>
      </c>
      <c r="I360">
        <v>71410</v>
      </c>
      <c r="J360">
        <v>2810361790</v>
      </c>
      <c r="K360">
        <v>6972720935</v>
      </c>
      <c r="M360" t="s">
        <v>1214</v>
      </c>
      <c r="N360" t="s">
        <v>146</v>
      </c>
      <c r="O360" t="s">
        <v>147</v>
      </c>
      <c r="R360" t="s">
        <v>57</v>
      </c>
      <c r="S360">
        <v>7</v>
      </c>
      <c r="T360">
        <v>681</v>
      </c>
      <c r="U360" s="1">
        <v>39325</v>
      </c>
      <c r="V360" t="s">
        <v>123</v>
      </c>
      <c r="W360" t="s">
        <v>124</v>
      </c>
      <c r="X360" t="s">
        <v>58</v>
      </c>
      <c r="Y360">
        <v>21</v>
      </c>
      <c r="Z360" t="s">
        <v>59</v>
      </c>
      <c r="AA360" t="s">
        <v>59</v>
      </c>
      <c r="AB360" t="s">
        <v>59</v>
      </c>
      <c r="AC360" t="s">
        <v>59</v>
      </c>
      <c r="AD360" t="s">
        <v>59</v>
      </c>
      <c r="AF360" s="1">
        <v>39330</v>
      </c>
      <c r="AG360" t="s">
        <v>125</v>
      </c>
      <c r="AH360" t="s">
        <v>126</v>
      </c>
      <c r="AI360" t="str">
        <f>"1727010"</f>
        <v>1727010</v>
      </c>
      <c r="AJ360" t="s">
        <v>618</v>
      </c>
      <c r="AK360">
        <v>2810229231</v>
      </c>
      <c r="AL360" t="s">
        <v>619</v>
      </c>
      <c r="AM360" t="s">
        <v>78</v>
      </c>
      <c r="AN360" t="s">
        <v>78</v>
      </c>
      <c r="AO360" t="s">
        <v>286</v>
      </c>
      <c r="AP360" t="s">
        <v>286</v>
      </c>
      <c r="AQ360">
        <v>12</v>
      </c>
      <c r="AR360" t="s">
        <v>123</v>
      </c>
      <c r="AS360" t="s">
        <v>124</v>
      </c>
      <c r="AT360" t="s">
        <v>58</v>
      </c>
      <c r="AU360" t="s">
        <v>68</v>
      </c>
      <c r="AV360" t="s">
        <v>69</v>
      </c>
      <c r="AW360" s="1">
        <v>29276</v>
      </c>
      <c r="AX360">
        <v>2</v>
      </c>
    </row>
    <row r="361" spans="1:50">
      <c r="A361">
        <v>187205</v>
      </c>
      <c r="B361" t="str">
        <f>"041784814"</f>
        <v>041784814</v>
      </c>
      <c r="C361" t="s">
        <v>105</v>
      </c>
      <c r="D361" t="s">
        <v>1215</v>
      </c>
      <c r="E361" t="s">
        <v>95</v>
      </c>
      <c r="F361" t="s">
        <v>106</v>
      </c>
      <c r="G361" t="s">
        <v>83</v>
      </c>
      <c r="H361" t="str">
        <f>"2ο χιλ. Μοιρών-Γαλιάς ΓΑΛΙΑ"</f>
        <v>2ο χιλ. Μοιρών-Γαλιάς ΓΑΛΙΑ</v>
      </c>
      <c r="I361">
        <v>70400</v>
      </c>
      <c r="J361">
        <v>2892029996</v>
      </c>
      <c r="K361">
        <v>6974323589</v>
      </c>
      <c r="M361" t="s">
        <v>1216</v>
      </c>
      <c r="N361" t="s">
        <v>189</v>
      </c>
      <c r="O361" t="s">
        <v>190</v>
      </c>
      <c r="R361" t="s">
        <v>57</v>
      </c>
      <c r="S361">
        <v>10</v>
      </c>
      <c r="T361">
        <v>250</v>
      </c>
      <c r="U361" s="1">
        <v>36769</v>
      </c>
      <c r="V361" t="s">
        <v>123</v>
      </c>
      <c r="W361" t="s">
        <v>124</v>
      </c>
      <c r="X361" t="s">
        <v>58</v>
      </c>
      <c r="Y361">
        <v>20</v>
      </c>
      <c r="Z361" t="s">
        <v>59</v>
      </c>
      <c r="AA361" t="s">
        <v>59</v>
      </c>
      <c r="AB361" t="s">
        <v>59</v>
      </c>
      <c r="AC361" t="s">
        <v>59</v>
      </c>
      <c r="AD361" t="s">
        <v>59</v>
      </c>
      <c r="AF361" s="1">
        <v>36769</v>
      </c>
      <c r="AG361" t="s">
        <v>125</v>
      </c>
      <c r="AH361" t="s">
        <v>126</v>
      </c>
      <c r="AI361" t="str">
        <f>"1706010"</f>
        <v>1706010</v>
      </c>
      <c r="AJ361" t="s">
        <v>391</v>
      </c>
      <c r="AK361">
        <v>2892022286</v>
      </c>
      <c r="AL361" t="s">
        <v>392</v>
      </c>
      <c r="AM361" t="s">
        <v>78</v>
      </c>
      <c r="AN361" t="s">
        <v>242</v>
      </c>
      <c r="AO361" t="s">
        <v>243</v>
      </c>
      <c r="AP361" t="s">
        <v>243</v>
      </c>
      <c r="AQ361">
        <v>33</v>
      </c>
      <c r="AR361" t="s">
        <v>123</v>
      </c>
      <c r="AS361" t="s">
        <v>124</v>
      </c>
      <c r="AT361" t="s">
        <v>58</v>
      </c>
      <c r="AU361" t="s">
        <v>68</v>
      </c>
      <c r="AV361" t="s">
        <v>69</v>
      </c>
      <c r="AW361" s="1">
        <v>23151</v>
      </c>
      <c r="AX361">
        <v>2</v>
      </c>
    </row>
    <row r="362" spans="1:50">
      <c r="A362">
        <v>192273</v>
      </c>
      <c r="B362" t="str">
        <f>"043601898"</f>
        <v>043601898</v>
      </c>
      <c r="C362" t="s">
        <v>105</v>
      </c>
      <c r="D362" t="s">
        <v>1215</v>
      </c>
      <c r="E362" t="s">
        <v>53</v>
      </c>
      <c r="F362" t="s">
        <v>1217</v>
      </c>
      <c r="G362" t="s">
        <v>83</v>
      </c>
      <c r="H362" t="str">
        <f>"ΜΠΑΚΟΓΙΑΝΝΗ 70 ΗΡΑΚΛΕΙΟ"</f>
        <v>ΜΠΑΚΟΓΙΑΝΝΗ 70 ΗΡΑΚΛΕΙΟ</v>
      </c>
      <c r="I362">
        <v>71410</v>
      </c>
      <c r="K362">
        <v>6932792081</v>
      </c>
      <c r="N362" t="s">
        <v>135</v>
      </c>
      <c r="O362" t="s">
        <v>136</v>
      </c>
      <c r="R362" t="s">
        <v>57</v>
      </c>
      <c r="S362">
        <v>14</v>
      </c>
      <c r="T362">
        <v>312</v>
      </c>
      <c r="U362" s="1">
        <v>37239</v>
      </c>
      <c r="V362" t="s">
        <v>123</v>
      </c>
      <c r="W362" t="s">
        <v>124</v>
      </c>
      <c r="X362" t="s">
        <v>58</v>
      </c>
      <c r="Y362">
        <v>20</v>
      </c>
      <c r="Z362" t="s">
        <v>59</v>
      </c>
      <c r="AA362" t="s">
        <v>59</v>
      </c>
      <c r="AB362" t="s">
        <v>59</v>
      </c>
      <c r="AC362" t="s">
        <v>59</v>
      </c>
      <c r="AD362" t="s">
        <v>59</v>
      </c>
      <c r="AF362" s="1">
        <v>37239</v>
      </c>
      <c r="AG362" t="s">
        <v>125</v>
      </c>
      <c r="AH362" t="s">
        <v>126</v>
      </c>
      <c r="AI362" t="str">
        <f>"1701057"</f>
        <v>1701057</v>
      </c>
      <c r="AJ362" t="s">
        <v>379</v>
      </c>
      <c r="AK362">
        <v>2810234488</v>
      </c>
      <c r="AL362" t="s">
        <v>380</v>
      </c>
      <c r="AM362" t="s">
        <v>78</v>
      </c>
      <c r="AN362" t="s">
        <v>78</v>
      </c>
      <c r="AO362" t="s">
        <v>78</v>
      </c>
      <c r="AP362" t="s">
        <v>163</v>
      </c>
      <c r="AQ362">
        <v>8</v>
      </c>
      <c r="AR362" t="s">
        <v>123</v>
      </c>
      <c r="AS362" t="s">
        <v>124</v>
      </c>
      <c r="AT362" t="s">
        <v>58</v>
      </c>
      <c r="AU362" t="s">
        <v>68</v>
      </c>
      <c r="AV362" t="s">
        <v>69</v>
      </c>
      <c r="AW362" s="1">
        <v>23194</v>
      </c>
      <c r="AX362">
        <v>2</v>
      </c>
    </row>
    <row r="363" spans="1:50">
      <c r="A363">
        <v>176273</v>
      </c>
      <c r="B363" t="str">
        <f>"029555916"</f>
        <v>029555916</v>
      </c>
      <c r="C363" t="s">
        <v>50</v>
      </c>
      <c r="D363" t="s">
        <v>1218</v>
      </c>
      <c r="E363" t="s">
        <v>237</v>
      </c>
      <c r="F363" t="s">
        <v>106</v>
      </c>
      <c r="G363" t="s">
        <v>93</v>
      </c>
      <c r="H363" t="str">
        <f>"ΔΙΟΝΥΣΙΟΥ ΣΟΛΩΜΟΥ 33 ΗΡΑΚΛΕΙΟ"</f>
        <v>ΔΙΟΝΥΣΙΟΥ ΣΟΛΩΜΟΥ 33 ΗΡΑΚΛΕΙΟ</v>
      </c>
      <c r="I363">
        <v>71306</v>
      </c>
      <c r="J363">
        <v>2810322331</v>
      </c>
      <c r="K363">
        <v>6938938986</v>
      </c>
      <c r="M363" t="s">
        <v>761</v>
      </c>
      <c r="N363" t="s">
        <v>478</v>
      </c>
      <c r="O363" t="s">
        <v>479</v>
      </c>
      <c r="R363" t="s">
        <v>57</v>
      </c>
      <c r="S363">
        <v>10</v>
      </c>
      <c r="T363">
        <v>180</v>
      </c>
      <c r="U363" s="1">
        <v>35674</v>
      </c>
      <c r="V363" t="s">
        <v>123</v>
      </c>
      <c r="W363" t="s">
        <v>124</v>
      </c>
      <c r="X363" t="s">
        <v>58</v>
      </c>
      <c r="Y363">
        <v>18</v>
      </c>
      <c r="Z363" t="s">
        <v>59</v>
      </c>
      <c r="AA363" t="s">
        <v>59</v>
      </c>
      <c r="AB363" t="s">
        <v>59</v>
      </c>
      <c r="AC363" t="s">
        <v>59</v>
      </c>
      <c r="AD363" t="s">
        <v>59</v>
      </c>
      <c r="AF363" s="1">
        <v>35678</v>
      </c>
      <c r="AG363" t="s">
        <v>125</v>
      </c>
      <c r="AH363" t="s">
        <v>126</v>
      </c>
      <c r="AI363" t="str">
        <f>"1701010"</f>
        <v>1701010</v>
      </c>
      <c r="AJ363" t="s">
        <v>374</v>
      </c>
      <c r="AK363">
        <v>2810227148</v>
      </c>
      <c r="AL363" t="s">
        <v>375</v>
      </c>
      <c r="AM363" t="s">
        <v>78</v>
      </c>
      <c r="AN363" t="s">
        <v>78</v>
      </c>
      <c r="AO363" t="s">
        <v>78</v>
      </c>
      <c r="AP363" t="s">
        <v>79</v>
      </c>
      <c r="AQ363">
        <v>1</v>
      </c>
      <c r="AR363" t="s">
        <v>123</v>
      </c>
      <c r="AS363" t="s">
        <v>124</v>
      </c>
      <c r="AT363" t="s">
        <v>58</v>
      </c>
      <c r="AU363" t="s">
        <v>68</v>
      </c>
      <c r="AV363" t="s">
        <v>69</v>
      </c>
      <c r="AW363" s="1">
        <v>22884</v>
      </c>
      <c r="AX363">
        <v>2</v>
      </c>
    </row>
    <row r="364" spans="1:50">
      <c r="A364">
        <v>187902</v>
      </c>
      <c r="B364" t="str">
        <f>"073373915"</f>
        <v>073373915</v>
      </c>
      <c r="C364" t="s">
        <v>105</v>
      </c>
      <c r="D364" t="s">
        <v>1219</v>
      </c>
      <c r="E364" t="s">
        <v>99</v>
      </c>
      <c r="F364" t="s">
        <v>53</v>
      </c>
      <c r="G364" t="s">
        <v>188</v>
      </c>
      <c r="H364" t="str">
        <f>" "</f>
        <v xml:space="preserve"> </v>
      </c>
      <c r="M364" t="s">
        <v>1220</v>
      </c>
      <c r="N364" t="s">
        <v>204</v>
      </c>
      <c r="O364" t="s">
        <v>205</v>
      </c>
      <c r="R364" t="s">
        <v>57</v>
      </c>
      <c r="S364">
        <v>10</v>
      </c>
      <c r="T364">
        <v>251</v>
      </c>
      <c r="U364" s="1">
        <v>36769</v>
      </c>
      <c r="V364" t="s">
        <v>123</v>
      </c>
      <c r="W364" t="s">
        <v>124</v>
      </c>
      <c r="X364" t="s">
        <v>58</v>
      </c>
      <c r="Y364">
        <v>20</v>
      </c>
      <c r="Z364" t="s">
        <v>59</v>
      </c>
      <c r="AA364" t="s">
        <v>59</v>
      </c>
      <c r="AB364" t="s">
        <v>59</v>
      </c>
      <c r="AC364" t="s">
        <v>59</v>
      </c>
      <c r="AD364" t="s">
        <v>59</v>
      </c>
      <c r="AF364" s="1">
        <v>36770</v>
      </c>
      <c r="AG364" t="s">
        <v>137</v>
      </c>
      <c r="AH364" t="s">
        <v>469</v>
      </c>
      <c r="AI364" t="str">
        <f>"1740200"</f>
        <v>1740200</v>
      </c>
      <c r="AJ364" t="s">
        <v>470</v>
      </c>
      <c r="AK364">
        <v>2810320770</v>
      </c>
      <c r="AL364" t="s">
        <v>471</v>
      </c>
      <c r="AM364" t="s">
        <v>78</v>
      </c>
      <c r="AN364" t="s">
        <v>78</v>
      </c>
      <c r="AO364" t="s">
        <v>78</v>
      </c>
      <c r="AP364" t="s">
        <v>163</v>
      </c>
      <c r="AQ364">
        <v>2</v>
      </c>
      <c r="AR364" t="s">
        <v>123</v>
      </c>
      <c r="AS364" t="s">
        <v>124</v>
      </c>
      <c r="AT364" t="s">
        <v>58</v>
      </c>
      <c r="AU364" t="s">
        <v>68</v>
      </c>
      <c r="AV364" t="s">
        <v>69</v>
      </c>
      <c r="AW364" s="1">
        <v>26052</v>
      </c>
      <c r="AX364">
        <v>2</v>
      </c>
    </row>
    <row r="365" spans="1:50">
      <c r="A365">
        <v>227477</v>
      </c>
      <c r="B365" t="str">
        <f>"118909710"</f>
        <v>118909710</v>
      </c>
      <c r="C365" t="s">
        <v>50</v>
      </c>
      <c r="D365" t="s">
        <v>1221</v>
      </c>
      <c r="E365" t="s">
        <v>237</v>
      </c>
      <c r="F365" t="s">
        <v>154</v>
      </c>
      <c r="G365" t="s">
        <v>316</v>
      </c>
      <c r="H365" t="str">
        <f>"ΕΛΕΥΘΕΡΝΗΣ 32 ΗΡΑΚΛΕΙΟ"</f>
        <v>ΕΛΕΥΘΕΡΝΗΣ 32 ΗΡΑΚΛΕΙΟ</v>
      </c>
      <c r="I365">
        <v>71303</v>
      </c>
      <c r="J365">
        <v>2811752327</v>
      </c>
      <c r="K365">
        <v>6937228199</v>
      </c>
      <c r="L365" t="s">
        <v>1222</v>
      </c>
      <c r="M365" t="s">
        <v>1223</v>
      </c>
      <c r="N365" t="s">
        <v>246</v>
      </c>
      <c r="O365" t="s">
        <v>247</v>
      </c>
      <c r="R365" t="s">
        <v>57</v>
      </c>
      <c r="S365">
        <v>10</v>
      </c>
      <c r="T365">
        <v>654</v>
      </c>
      <c r="U365" s="1">
        <v>40043</v>
      </c>
      <c r="V365" t="s">
        <v>123</v>
      </c>
      <c r="W365" t="s">
        <v>124</v>
      </c>
      <c r="X365" t="s">
        <v>58</v>
      </c>
      <c r="Y365">
        <v>21</v>
      </c>
      <c r="Z365" t="s">
        <v>59</v>
      </c>
      <c r="AA365" t="s">
        <v>59</v>
      </c>
      <c r="AB365" t="s">
        <v>59</v>
      </c>
      <c r="AC365" t="s">
        <v>59</v>
      </c>
      <c r="AD365" t="s">
        <v>59</v>
      </c>
      <c r="AF365" s="1">
        <v>40057</v>
      </c>
      <c r="AG365" t="s">
        <v>148</v>
      </c>
      <c r="AH365" t="s">
        <v>149</v>
      </c>
      <c r="AI365" t="str">
        <f>"1751041"</f>
        <v>1751041</v>
      </c>
      <c r="AJ365" t="s">
        <v>353</v>
      </c>
      <c r="AK365">
        <v>2810230207</v>
      </c>
      <c r="AL365" t="s">
        <v>354</v>
      </c>
      <c r="AM365" t="s">
        <v>78</v>
      </c>
      <c r="AN365" t="s">
        <v>78</v>
      </c>
      <c r="AO365" t="s">
        <v>78</v>
      </c>
      <c r="AP365" t="s">
        <v>163</v>
      </c>
      <c r="AQ365">
        <v>2</v>
      </c>
      <c r="AR365" t="s">
        <v>123</v>
      </c>
      <c r="AS365" t="s">
        <v>124</v>
      </c>
      <c r="AT365" t="s">
        <v>58</v>
      </c>
      <c r="AU365" t="s">
        <v>68</v>
      </c>
      <c r="AV365" t="s">
        <v>69</v>
      </c>
      <c r="AW365" s="1">
        <v>30345</v>
      </c>
      <c r="AX365">
        <v>2</v>
      </c>
    </row>
    <row r="366" spans="1:50">
      <c r="A366">
        <v>211946</v>
      </c>
      <c r="B366" t="str">
        <f>"064572691"</f>
        <v>064572691</v>
      </c>
      <c r="C366" t="s">
        <v>50</v>
      </c>
      <c r="D366" t="s">
        <v>1221</v>
      </c>
      <c r="E366" t="s">
        <v>237</v>
      </c>
      <c r="F366" t="s">
        <v>383</v>
      </c>
      <c r="G366" t="s">
        <v>250</v>
      </c>
      <c r="H366" t="str">
        <f>"ΑΓΡΙΝΙΟΥ 3 ΗΡΑΚΛΕΙΟ "</f>
        <v xml:space="preserve">ΑΓΡΙΝΙΟΥ 3 ΗΡΑΚΛΕΙΟ </v>
      </c>
      <c r="I366">
        <v>71409</v>
      </c>
      <c r="J366">
        <v>2810322354</v>
      </c>
      <c r="K366">
        <v>6974911362</v>
      </c>
      <c r="N366" t="s">
        <v>146</v>
      </c>
      <c r="O366" t="s">
        <v>147</v>
      </c>
      <c r="R366" t="s">
        <v>57</v>
      </c>
      <c r="S366">
        <v>8</v>
      </c>
      <c r="T366">
        <v>231</v>
      </c>
      <c r="U366" s="1">
        <v>38960</v>
      </c>
      <c r="V366" t="s">
        <v>123</v>
      </c>
      <c r="W366" t="s">
        <v>124</v>
      </c>
      <c r="X366" t="s">
        <v>58</v>
      </c>
      <c r="Y366">
        <v>20</v>
      </c>
      <c r="Z366" t="s">
        <v>59</v>
      </c>
      <c r="AA366" t="s">
        <v>59</v>
      </c>
      <c r="AB366" t="s">
        <v>59</v>
      </c>
      <c r="AC366" t="s">
        <v>59</v>
      </c>
      <c r="AD366" t="s">
        <v>59</v>
      </c>
      <c r="AF366" s="1">
        <v>38961</v>
      </c>
      <c r="AG366" t="s">
        <v>125</v>
      </c>
      <c r="AH366" t="s">
        <v>126</v>
      </c>
      <c r="AI366" t="str">
        <f>"1711010"</f>
        <v>1711010</v>
      </c>
      <c r="AJ366" t="s">
        <v>695</v>
      </c>
      <c r="AK366">
        <v>2810741301</v>
      </c>
      <c r="AL366" t="s">
        <v>696</v>
      </c>
      <c r="AM366" t="s">
        <v>78</v>
      </c>
      <c r="AN366" t="s">
        <v>424</v>
      </c>
      <c r="AO366" t="s">
        <v>428</v>
      </c>
      <c r="AP366" t="s">
        <v>429</v>
      </c>
      <c r="AQ366">
        <v>14</v>
      </c>
      <c r="AR366" t="s">
        <v>123</v>
      </c>
      <c r="AS366" t="s">
        <v>124</v>
      </c>
      <c r="AT366" t="s">
        <v>58</v>
      </c>
      <c r="AU366" t="s">
        <v>68</v>
      </c>
      <c r="AV366" t="s">
        <v>69</v>
      </c>
      <c r="AW366" s="1">
        <v>24887</v>
      </c>
      <c r="AX366">
        <v>2</v>
      </c>
    </row>
    <row r="367" spans="1:50">
      <c r="A367">
        <v>206271</v>
      </c>
      <c r="B367" t="str">
        <f>"053457253"</f>
        <v>053457253</v>
      </c>
      <c r="C367" t="s">
        <v>50</v>
      </c>
      <c r="D367" t="s">
        <v>1221</v>
      </c>
      <c r="E367" t="s">
        <v>255</v>
      </c>
      <c r="F367" t="s">
        <v>95</v>
      </c>
      <c r="G367" t="s">
        <v>52</v>
      </c>
      <c r="H367" t="str">
        <f>"ΑΓΡΙΝΙΟΥ 9 ΗΡΑΚΛΕΙΟ"</f>
        <v>ΑΓΡΙΝΙΟΥ 9 ΗΡΑΚΛΕΙΟ</v>
      </c>
      <c r="I367">
        <v>71409</v>
      </c>
      <c r="J367">
        <v>2810325908</v>
      </c>
      <c r="K367">
        <v>6946462254</v>
      </c>
      <c r="N367" t="s">
        <v>257</v>
      </c>
      <c r="O367" t="s">
        <v>258</v>
      </c>
      <c r="R367" t="s">
        <v>57</v>
      </c>
      <c r="S367">
        <v>8</v>
      </c>
      <c r="T367">
        <v>301</v>
      </c>
      <c r="U367" s="1">
        <v>38302</v>
      </c>
      <c r="V367" t="s">
        <v>123</v>
      </c>
      <c r="W367" t="s">
        <v>124</v>
      </c>
      <c r="X367" t="s">
        <v>58</v>
      </c>
      <c r="Y367">
        <v>20</v>
      </c>
      <c r="Z367" t="s">
        <v>59</v>
      </c>
      <c r="AA367" t="s">
        <v>59</v>
      </c>
      <c r="AB367" t="s">
        <v>59</v>
      </c>
      <c r="AC367" t="s">
        <v>59</v>
      </c>
      <c r="AD367" t="s">
        <v>59</v>
      </c>
      <c r="AF367" s="1">
        <v>38302</v>
      </c>
      <c r="AG367" t="s">
        <v>148</v>
      </c>
      <c r="AH367" t="s">
        <v>149</v>
      </c>
      <c r="AI367" t="str">
        <f>"1778010"</f>
        <v>1778010</v>
      </c>
      <c r="AJ367" t="s">
        <v>672</v>
      </c>
      <c r="AK367">
        <v>2810822455</v>
      </c>
      <c r="AL367" t="s">
        <v>673</v>
      </c>
      <c r="AM367" t="s">
        <v>78</v>
      </c>
      <c r="AN367" t="s">
        <v>129</v>
      </c>
      <c r="AO367" t="s">
        <v>130</v>
      </c>
      <c r="AP367" t="s">
        <v>130</v>
      </c>
      <c r="AQ367">
        <v>36</v>
      </c>
      <c r="AR367" t="s">
        <v>123</v>
      </c>
      <c r="AS367" t="s">
        <v>124</v>
      </c>
      <c r="AT367" t="s">
        <v>58</v>
      </c>
      <c r="AU367" t="s">
        <v>68</v>
      </c>
      <c r="AV367" t="s">
        <v>69</v>
      </c>
      <c r="AW367" s="1">
        <v>23652</v>
      </c>
      <c r="AX367">
        <v>2</v>
      </c>
    </row>
    <row r="368" spans="1:50">
      <c r="B368" t="str">
        <f>"103817670"</f>
        <v>103817670</v>
      </c>
      <c r="C368" t="s">
        <v>50</v>
      </c>
      <c r="D368" t="s">
        <v>1221</v>
      </c>
      <c r="E368" t="s">
        <v>215</v>
      </c>
      <c r="F368" t="s">
        <v>1224</v>
      </c>
      <c r="G368" t="s">
        <v>414</v>
      </c>
      <c r="H368" t="str">
        <f>"ΔΑΜΙΑΝΟΥ 7 ΗΡΑΚΛΕΙΟ ΚΡΗΤΗΣ"</f>
        <v>ΔΑΜΙΑΝΟΥ 7 ΗΡΑΚΛΕΙΟ ΚΡΗΤΗΣ</v>
      </c>
      <c r="I368">
        <v>71202</v>
      </c>
      <c r="J368">
        <v>2810261366</v>
      </c>
      <c r="K368">
        <v>6976078965</v>
      </c>
      <c r="N368" t="s">
        <v>292</v>
      </c>
      <c r="O368" t="s">
        <v>293</v>
      </c>
      <c r="R368" t="s">
        <v>121</v>
      </c>
      <c r="S368">
        <v>1</v>
      </c>
      <c r="T368" t="s">
        <v>1225</v>
      </c>
      <c r="U368" s="1">
        <v>43360</v>
      </c>
      <c r="V368" t="s">
        <v>123</v>
      </c>
      <c r="W368" t="s">
        <v>124</v>
      </c>
      <c r="X368" t="s">
        <v>58</v>
      </c>
      <c r="Y368">
        <v>10</v>
      </c>
      <c r="Z368" t="s">
        <v>59</v>
      </c>
      <c r="AA368" t="s">
        <v>59</v>
      </c>
      <c r="AB368" t="s">
        <v>59</v>
      </c>
      <c r="AC368" t="s">
        <v>59</v>
      </c>
      <c r="AD368" t="s">
        <v>59</v>
      </c>
      <c r="AF368" s="1">
        <v>43360</v>
      </c>
      <c r="AI368" t="str">
        <f>""</f>
        <v/>
      </c>
      <c r="AS368" t="s">
        <v>124</v>
      </c>
      <c r="AT368" t="s">
        <v>58</v>
      </c>
      <c r="AU368" t="s">
        <v>1226</v>
      </c>
      <c r="AW368" s="1">
        <v>27030</v>
      </c>
      <c r="AX368">
        <v>2</v>
      </c>
    </row>
    <row r="369" spans="1:50">
      <c r="A369">
        <v>218679</v>
      </c>
      <c r="B369" t="str">
        <f>"110119753"</f>
        <v>110119753</v>
      </c>
      <c r="C369" t="s">
        <v>50</v>
      </c>
      <c r="D369" t="s">
        <v>1221</v>
      </c>
      <c r="E369" t="s">
        <v>188</v>
      </c>
      <c r="F369" t="s">
        <v>95</v>
      </c>
      <c r="G369" t="s">
        <v>335</v>
      </c>
      <c r="H369" t="str">
        <f>"ΖΩΟΔΟΧΟΥ ΠΗΓΗΣ 37 ΗΡΑΚΛΕΙΟ"</f>
        <v>ΖΩΟΔΟΧΟΥ ΠΗΓΗΣ 37 ΗΡΑΚΛΕΙΟ</v>
      </c>
      <c r="I369">
        <v>71307</v>
      </c>
      <c r="K369">
        <v>6973741600</v>
      </c>
      <c r="N369" t="s">
        <v>199</v>
      </c>
      <c r="O369" t="s">
        <v>200</v>
      </c>
      <c r="R369" t="s">
        <v>57</v>
      </c>
      <c r="S369">
        <v>5</v>
      </c>
      <c r="T369">
        <v>599</v>
      </c>
      <c r="U369" s="1">
        <v>39310</v>
      </c>
      <c r="V369" t="s">
        <v>123</v>
      </c>
      <c r="W369" t="s">
        <v>124</v>
      </c>
      <c r="X369" t="s">
        <v>58</v>
      </c>
      <c r="Y369">
        <v>21</v>
      </c>
      <c r="Z369" t="s">
        <v>59</v>
      </c>
      <c r="AA369" t="s">
        <v>59</v>
      </c>
      <c r="AB369" t="s">
        <v>59</v>
      </c>
      <c r="AC369" t="s">
        <v>59</v>
      </c>
      <c r="AD369" t="s">
        <v>59</v>
      </c>
      <c r="AF369" s="1">
        <v>39328</v>
      </c>
      <c r="AG369" t="s">
        <v>148</v>
      </c>
      <c r="AH369" t="s">
        <v>149</v>
      </c>
      <c r="AI369" t="str">
        <f>"1752010"</f>
        <v>1752010</v>
      </c>
      <c r="AJ369" t="s">
        <v>896</v>
      </c>
      <c r="AK369">
        <v>2891022893</v>
      </c>
      <c r="AL369" t="s">
        <v>897</v>
      </c>
      <c r="AM369" t="s">
        <v>78</v>
      </c>
      <c r="AN369" t="s">
        <v>276</v>
      </c>
      <c r="AO369" t="s">
        <v>490</v>
      </c>
      <c r="AP369" t="s">
        <v>490</v>
      </c>
      <c r="AQ369">
        <v>15</v>
      </c>
      <c r="AR369" t="s">
        <v>123</v>
      </c>
      <c r="AS369" t="s">
        <v>124</v>
      </c>
      <c r="AT369" t="s">
        <v>58</v>
      </c>
      <c r="AU369" t="s">
        <v>68</v>
      </c>
      <c r="AV369" t="s">
        <v>69</v>
      </c>
      <c r="AW369" s="1">
        <v>26943</v>
      </c>
      <c r="AX369">
        <v>2</v>
      </c>
    </row>
    <row r="370" spans="1:50">
      <c r="A370">
        <v>175324</v>
      </c>
      <c r="B370" t="str">
        <f>"043586786"</f>
        <v>043586786</v>
      </c>
      <c r="C370" t="s">
        <v>50</v>
      </c>
      <c r="D370" t="s">
        <v>1221</v>
      </c>
      <c r="E370" t="s">
        <v>188</v>
      </c>
      <c r="F370" t="s">
        <v>450</v>
      </c>
      <c r="G370" t="s">
        <v>1227</v>
      </c>
      <c r="H370" t="str">
        <f>"ΛΑΣΑΙΑΣ 2 ΗΡΑΚΛΕΙΟ"</f>
        <v>ΛΑΣΑΙΑΣ 2 ΗΡΑΚΛΕΙΟ</v>
      </c>
      <c r="I370">
        <v>71305</v>
      </c>
      <c r="J370">
        <v>2810240687</v>
      </c>
      <c r="K370">
        <v>6944240825</v>
      </c>
      <c r="M370" t="s">
        <v>1228</v>
      </c>
      <c r="N370" t="s">
        <v>146</v>
      </c>
      <c r="O370" t="s">
        <v>147</v>
      </c>
      <c r="P370" t="s">
        <v>1116</v>
      </c>
      <c r="Q370" t="s">
        <v>1117</v>
      </c>
      <c r="R370" t="s">
        <v>57</v>
      </c>
      <c r="S370">
        <v>11</v>
      </c>
      <c r="T370">
        <v>180</v>
      </c>
      <c r="U370" s="1">
        <v>35674</v>
      </c>
      <c r="V370" t="s">
        <v>123</v>
      </c>
      <c r="W370" t="s">
        <v>124</v>
      </c>
      <c r="X370" t="s">
        <v>58</v>
      </c>
      <c r="Y370">
        <v>18</v>
      </c>
      <c r="Z370" t="s">
        <v>59</v>
      </c>
      <c r="AA370" t="s">
        <v>59</v>
      </c>
      <c r="AB370" t="s">
        <v>59</v>
      </c>
      <c r="AC370" t="s">
        <v>59</v>
      </c>
      <c r="AD370" t="s">
        <v>59</v>
      </c>
      <c r="AF370" s="1">
        <v>35678</v>
      </c>
      <c r="AG370" t="s">
        <v>125</v>
      </c>
      <c r="AH370" t="s">
        <v>126</v>
      </c>
      <c r="AI370" t="str">
        <f>"1701020"</f>
        <v>1701020</v>
      </c>
      <c r="AJ370" t="s">
        <v>323</v>
      </c>
      <c r="AK370">
        <v>2810252111</v>
      </c>
      <c r="AL370" t="s">
        <v>324</v>
      </c>
      <c r="AM370" t="s">
        <v>78</v>
      </c>
      <c r="AN370" t="s">
        <v>78</v>
      </c>
      <c r="AO370" t="s">
        <v>78</v>
      </c>
      <c r="AP370" t="s">
        <v>163</v>
      </c>
      <c r="AQ370">
        <v>3</v>
      </c>
      <c r="AR370" t="s">
        <v>123</v>
      </c>
      <c r="AS370" t="s">
        <v>124</v>
      </c>
      <c r="AT370" t="s">
        <v>58</v>
      </c>
      <c r="AU370" t="s">
        <v>68</v>
      </c>
      <c r="AV370" t="s">
        <v>69</v>
      </c>
      <c r="AW370" s="1">
        <v>23492</v>
      </c>
      <c r="AX370">
        <v>2</v>
      </c>
    </row>
    <row r="371" spans="1:50">
      <c r="A371">
        <v>217456</v>
      </c>
      <c r="B371" t="str">
        <f>"062716124"</f>
        <v>062716124</v>
      </c>
      <c r="C371" t="s">
        <v>50</v>
      </c>
      <c r="D371" t="s">
        <v>1221</v>
      </c>
      <c r="E371" t="s">
        <v>181</v>
      </c>
      <c r="F371" t="s">
        <v>1229</v>
      </c>
      <c r="G371" t="s">
        <v>237</v>
      </c>
      <c r="H371" t="str">
        <f>" "</f>
        <v xml:space="preserve"> </v>
      </c>
      <c r="J371">
        <v>2810323747</v>
      </c>
      <c r="K371">
        <v>6932130596</v>
      </c>
      <c r="N371" t="s">
        <v>146</v>
      </c>
      <c r="O371" t="s">
        <v>147</v>
      </c>
      <c r="R371" t="s">
        <v>57</v>
      </c>
      <c r="S371">
        <v>6</v>
      </c>
      <c r="T371">
        <v>599</v>
      </c>
      <c r="U371" s="1">
        <v>39310</v>
      </c>
      <c r="V371" t="s">
        <v>123</v>
      </c>
      <c r="W371" t="s">
        <v>124</v>
      </c>
      <c r="X371" t="s">
        <v>58</v>
      </c>
      <c r="Y371">
        <v>20</v>
      </c>
      <c r="Z371" t="s">
        <v>59</v>
      </c>
      <c r="AA371" t="s">
        <v>59</v>
      </c>
      <c r="AB371" t="s">
        <v>59</v>
      </c>
      <c r="AC371" t="s">
        <v>59</v>
      </c>
      <c r="AD371" t="s">
        <v>59</v>
      </c>
      <c r="AF371" s="1">
        <v>39328</v>
      </c>
      <c r="AG371" t="s">
        <v>137</v>
      </c>
      <c r="AH371" t="s">
        <v>138</v>
      </c>
      <c r="AI371" t="str">
        <f>"1740070"</f>
        <v>1740070</v>
      </c>
      <c r="AJ371" t="s">
        <v>206</v>
      </c>
      <c r="AK371">
        <v>2810324880</v>
      </c>
      <c r="AL371" t="s">
        <v>207</v>
      </c>
      <c r="AM371" t="s">
        <v>78</v>
      </c>
      <c r="AN371" t="s">
        <v>78</v>
      </c>
      <c r="AO371" t="s">
        <v>78</v>
      </c>
      <c r="AP371" t="s">
        <v>163</v>
      </c>
      <c r="AQ371">
        <v>9</v>
      </c>
      <c r="AR371" t="s">
        <v>123</v>
      </c>
      <c r="AS371" t="s">
        <v>124</v>
      </c>
      <c r="AT371" t="s">
        <v>58</v>
      </c>
      <c r="AU371" t="s">
        <v>68</v>
      </c>
      <c r="AV371" t="s">
        <v>69</v>
      </c>
      <c r="AW371" s="1">
        <v>26387</v>
      </c>
      <c r="AX371">
        <v>2</v>
      </c>
    </row>
    <row r="372" spans="1:50">
      <c r="A372">
        <v>401438</v>
      </c>
      <c r="B372" t="str">
        <f>"046117987"</f>
        <v>046117987</v>
      </c>
      <c r="C372" t="s">
        <v>50</v>
      </c>
      <c r="D372" t="s">
        <v>1221</v>
      </c>
      <c r="E372" t="s">
        <v>801</v>
      </c>
      <c r="F372" t="s">
        <v>670</v>
      </c>
      <c r="G372" t="s">
        <v>255</v>
      </c>
      <c r="H372" t="str">
        <f>"ΚΑΛΛΙΠΟΛΕΩΣ 72 ΗΡΑΚΛΕΙΟ ΚΡΗΤΗΣ"</f>
        <v>ΚΑΛΛΙΠΟΛΕΩΣ 72 ΗΡΑΚΛΕΙΟ ΚΡΗΤΗΣ</v>
      </c>
      <c r="I372">
        <v>71306</v>
      </c>
      <c r="J372">
        <v>2810213618</v>
      </c>
      <c r="K372">
        <v>6942854395</v>
      </c>
      <c r="N372" t="s">
        <v>199</v>
      </c>
      <c r="O372" t="s">
        <v>200</v>
      </c>
      <c r="R372" t="s">
        <v>57</v>
      </c>
      <c r="S372">
        <v>7</v>
      </c>
      <c r="T372" t="s">
        <v>1230</v>
      </c>
      <c r="U372" s="1">
        <v>39913</v>
      </c>
      <c r="V372" t="s">
        <v>123</v>
      </c>
      <c r="W372" t="s">
        <v>124</v>
      </c>
      <c r="X372" t="s">
        <v>58</v>
      </c>
      <c r="Y372">
        <v>20</v>
      </c>
      <c r="Z372" t="s">
        <v>59</v>
      </c>
      <c r="AA372" t="s">
        <v>59</v>
      </c>
      <c r="AB372" t="s">
        <v>59</v>
      </c>
      <c r="AC372" t="s">
        <v>59</v>
      </c>
      <c r="AD372" t="s">
        <v>59</v>
      </c>
      <c r="AF372" s="1">
        <v>39946</v>
      </c>
      <c r="AG372" t="s">
        <v>137</v>
      </c>
      <c r="AH372" t="s">
        <v>138</v>
      </c>
      <c r="AI372" t="str">
        <f>"1750080"</f>
        <v>1750080</v>
      </c>
      <c r="AJ372" t="s">
        <v>170</v>
      </c>
      <c r="AK372">
        <v>2810234444</v>
      </c>
      <c r="AL372" t="s">
        <v>171</v>
      </c>
      <c r="AM372" t="s">
        <v>78</v>
      </c>
      <c r="AN372" t="s">
        <v>78</v>
      </c>
      <c r="AO372" t="s">
        <v>78</v>
      </c>
      <c r="AP372" t="s">
        <v>163</v>
      </c>
      <c r="AQ372">
        <v>9</v>
      </c>
      <c r="AR372" t="s">
        <v>123</v>
      </c>
      <c r="AS372" t="s">
        <v>124</v>
      </c>
      <c r="AT372" t="s">
        <v>58</v>
      </c>
      <c r="AU372" t="s">
        <v>68</v>
      </c>
      <c r="AV372" t="s">
        <v>69</v>
      </c>
      <c r="AW372" s="1">
        <v>25551</v>
      </c>
      <c r="AX372">
        <v>2</v>
      </c>
    </row>
    <row r="373" spans="1:50">
      <c r="A373">
        <v>178718</v>
      </c>
      <c r="B373" t="str">
        <f>"076662294"</f>
        <v>076662294</v>
      </c>
      <c r="C373" t="s">
        <v>50</v>
      </c>
      <c r="D373" t="s">
        <v>1221</v>
      </c>
      <c r="E373" t="s">
        <v>96</v>
      </c>
      <c r="F373" t="s">
        <v>166</v>
      </c>
      <c r="G373" t="s">
        <v>513</v>
      </c>
      <c r="H373" t="str">
        <f>" "</f>
        <v xml:space="preserve"> </v>
      </c>
      <c r="M373" t="s">
        <v>1231</v>
      </c>
      <c r="N373" t="s">
        <v>337</v>
      </c>
      <c r="O373" t="s">
        <v>338</v>
      </c>
      <c r="R373" t="s">
        <v>57</v>
      </c>
      <c r="S373">
        <v>10</v>
      </c>
      <c r="T373">
        <v>209</v>
      </c>
      <c r="U373" s="1">
        <v>35705</v>
      </c>
      <c r="V373" t="s">
        <v>123</v>
      </c>
      <c r="W373" t="s">
        <v>124</v>
      </c>
      <c r="X373" t="s">
        <v>58</v>
      </c>
      <c r="Y373">
        <v>18</v>
      </c>
      <c r="Z373" t="s">
        <v>59</v>
      </c>
      <c r="AA373" t="s">
        <v>59</v>
      </c>
      <c r="AB373" t="s">
        <v>59</v>
      </c>
      <c r="AC373" t="s">
        <v>59</v>
      </c>
      <c r="AD373" t="s">
        <v>59</v>
      </c>
      <c r="AF373" s="1">
        <v>35713</v>
      </c>
      <c r="AG373" t="s">
        <v>125</v>
      </c>
      <c r="AH373" t="s">
        <v>126</v>
      </c>
      <c r="AI373" t="str">
        <f>"1701040"</f>
        <v>1701040</v>
      </c>
      <c r="AJ373" t="s">
        <v>748</v>
      </c>
      <c r="AK373">
        <v>2810252459</v>
      </c>
      <c r="AL373" t="s">
        <v>749</v>
      </c>
      <c r="AM373" t="s">
        <v>78</v>
      </c>
      <c r="AN373" t="s">
        <v>78</v>
      </c>
      <c r="AO373" t="s">
        <v>78</v>
      </c>
      <c r="AP373" t="s">
        <v>141</v>
      </c>
      <c r="AQ373">
        <v>3</v>
      </c>
      <c r="AR373" t="s">
        <v>123</v>
      </c>
      <c r="AS373" t="s">
        <v>124</v>
      </c>
      <c r="AT373" t="s">
        <v>58</v>
      </c>
      <c r="AU373" t="s">
        <v>68</v>
      </c>
      <c r="AV373" t="s">
        <v>69</v>
      </c>
      <c r="AW373" s="1">
        <v>26653</v>
      </c>
      <c r="AX373">
        <v>2</v>
      </c>
    </row>
    <row r="374" spans="1:50">
      <c r="A374">
        <v>200790</v>
      </c>
      <c r="B374" t="str">
        <f>"110715655"</f>
        <v>110715655</v>
      </c>
      <c r="C374" t="s">
        <v>105</v>
      </c>
      <c r="D374" t="s">
        <v>1232</v>
      </c>
      <c r="E374" t="s">
        <v>166</v>
      </c>
      <c r="F374" t="s">
        <v>989</v>
      </c>
      <c r="G374" t="s">
        <v>255</v>
      </c>
      <c r="H374" t="str">
        <f>"Π. ΓΑΒΒΑΛΑ 45 ΗΡΑΚΛΕΙΟ"</f>
        <v>Π. ΓΑΒΒΑΛΑ 45 ΗΡΑΚΛΕΙΟ</v>
      </c>
      <c r="I374">
        <v>71409</v>
      </c>
      <c r="J374">
        <v>2810233611</v>
      </c>
      <c r="K374">
        <v>6938603697</v>
      </c>
      <c r="M374" t="s">
        <v>1233</v>
      </c>
      <c r="N374" t="s">
        <v>204</v>
      </c>
      <c r="O374" t="s">
        <v>205</v>
      </c>
      <c r="R374" t="s">
        <v>57</v>
      </c>
      <c r="S374">
        <v>8</v>
      </c>
      <c r="T374">
        <v>213</v>
      </c>
      <c r="U374" s="1">
        <v>37874</v>
      </c>
      <c r="V374" t="s">
        <v>123</v>
      </c>
      <c r="W374" t="s">
        <v>124</v>
      </c>
      <c r="X374" t="s">
        <v>58</v>
      </c>
      <c r="Y374">
        <v>20</v>
      </c>
      <c r="Z374" t="s">
        <v>59</v>
      </c>
      <c r="AA374" t="s">
        <v>59</v>
      </c>
      <c r="AB374" t="s">
        <v>59</v>
      </c>
      <c r="AC374" t="s">
        <v>59</v>
      </c>
      <c r="AD374" t="s">
        <v>59</v>
      </c>
      <c r="AF374" s="1">
        <v>37875</v>
      </c>
      <c r="AG374" t="s">
        <v>125</v>
      </c>
      <c r="AH374" t="s">
        <v>126</v>
      </c>
      <c r="AI374" t="str">
        <f>"1726010"</f>
        <v>1726010</v>
      </c>
      <c r="AJ374" t="s">
        <v>265</v>
      </c>
      <c r="AK374">
        <v>2810831228</v>
      </c>
      <c r="AL374" t="s">
        <v>266</v>
      </c>
      <c r="AM374" t="s">
        <v>78</v>
      </c>
      <c r="AN374" t="s">
        <v>129</v>
      </c>
      <c r="AO374" t="s">
        <v>267</v>
      </c>
      <c r="AP374" t="s">
        <v>267</v>
      </c>
      <c r="AQ374">
        <v>27</v>
      </c>
      <c r="AR374" t="s">
        <v>123</v>
      </c>
      <c r="AS374" t="s">
        <v>124</v>
      </c>
      <c r="AT374" t="s">
        <v>58</v>
      </c>
      <c r="AU374" t="s">
        <v>68</v>
      </c>
      <c r="AV374" t="s">
        <v>69</v>
      </c>
      <c r="AW374" s="1">
        <v>26485</v>
      </c>
      <c r="AX374">
        <v>2</v>
      </c>
    </row>
    <row r="375" spans="1:50">
      <c r="A375">
        <v>222876</v>
      </c>
      <c r="B375" t="str">
        <f>"115860313"</f>
        <v>115860313</v>
      </c>
      <c r="C375" t="s">
        <v>105</v>
      </c>
      <c r="D375" t="s">
        <v>1232</v>
      </c>
      <c r="E375" t="s">
        <v>106</v>
      </c>
      <c r="F375" t="s">
        <v>95</v>
      </c>
      <c r="G375" t="s">
        <v>109</v>
      </c>
      <c r="H375" t="str">
        <f>"ΙΩΑΝΝΗ ΛΙΜΠΡΙΤΗ 2 ΗΡΑΚΛΕΙΟ"</f>
        <v>ΙΩΑΝΝΗ ΛΙΜΠΡΙΤΗ 2 ΗΡΑΚΛΕΙΟ</v>
      </c>
      <c r="I375">
        <v>71409</v>
      </c>
      <c r="J375">
        <v>2109520328</v>
      </c>
      <c r="K375">
        <v>6977208986</v>
      </c>
      <c r="L375">
        <v>2893032082</v>
      </c>
      <c r="M375" t="s">
        <v>1234</v>
      </c>
      <c r="N375" t="s">
        <v>292</v>
      </c>
      <c r="O375" t="s">
        <v>293</v>
      </c>
      <c r="R375" t="s">
        <v>57</v>
      </c>
      <c r="S375">
        <v>7</v>
      </c>
      <c r="T375">
        <v>775</v>
      </c>
      <c r="U375" s="1">
        <v>39680</v>
      </c>
      <c r="V375" t="s">
        <v>123</v>
      </c>
      <c r="W375" t="s">
        <v>124</v>
      </c>
      <c r="X375" t="s">
        <v>58</v>
      </c>
      <c r="Y375">
        <v>21</v>
      </c>
      <c r="Z375" t="s">
        <v>59</v>
      </c>
      <c r="AA375" t="s">
        <v>59</v>
      </c>
      <c r="AB375" t="s">
        <v>59</v>
      </c>
      <c r="AC375" t="s">
        <v>59</v>
      </c>
      <c r="AD375" t="s">
        <v>59</v>
      </c>
      <c r="AF375" s="1">
        <v>39682</v>
      </c>
      <c r="AG375" t="s">
        <v>125</v>
      </c>
      <c r="AH375" t="s">
        <v>294</v>
      </c>
      <c r="AI375" t="str">
        <f>"1701015"</f>
        <v>1701015</v>
      </c>
      <c r="AJ375" t="s">
        <v>295</v>
      </c>
      <c r="AK375">
        <v>2810761696</v>
      </c>
      <c r="AL375" t="s">
        <v>296</v>
      </c>
      <c r="AM375" t="s">
        <v>78</v>
      </c>
      <c r="AN375" t="s">
        <v>219</v>
      </c>
      <c r="AO375" t="s">
        <v>297</v>
      </c>
      <c r="AP375" t="s">
        <v>297</v>
      </c>
      <c r="AQ375">
        <v>10</v>
      </c>
      <c r="AR375" t="s">
        <v>123</v>
      </c>
      <c r="AS375" t="s">
        <v>124</v>
      </c>
      <c r="AT375" t="s">
        <v>58</v>
      </c>
      <c r="AU375" t="s">
        <v>68</v>
      </c>
      <c r="AV375" t="s">
        <v>69</v>
      </c>
      <c r="AW375" s="1">
        <v>27603</v>
      </c>
      <c r="AX375">
        <v>2</v>
      </c>
    </row>
    <row r="376" spans="1:50">
      <c r="A376">
        <v>145329</v>
      </c>
      <c r="B376" t="str">
        <f>"034148647"</f>
        <v>034148647</v>
      </c>
      <c r="C376" t="s">
        <v>105</v>
      </c>
      <c r="D376" t="s">
        <v>1232</v>
      </c>
      <c r="E376" t="s">
        <v>106</v>
      </c>
      <c r="F376" t="s">
        <v>166</v>
      </c>
      <c r="G376" t="s">
        <v>1235</v>
      </c>
      <c r="H376" t="str">
        <f>"ΒΡΙΤΟΜΑΡΤΙΔΟΣ 12 ΗΡΑΚΛΕΙΟ"</f>
        <v>ΒΡΙΤΟΜΑΡΤΙΔΟΣ 12 ΗΡΑΚΛΕΙΟ</v>
      </c>
      <c r="I376">
        <v>71307</v>
      </c>
      <c r="J376">
        <v>2810230404</v>
      </c>
      <c r="K376">
        <v>6938289540</v>
      </c>
      <c r="M376" t="s">
        <v>1236</v>
      </c>
      <c r="N376" t="s">
        <v>157</v>
      </c>
      <c r="O376" t="s">
        <v>158</v>
      </c>
      <c r="R376" t="s">
        <v>57</v>
      </c>
      <c r="S376">
        <v>16</v>
      </c>
      <c r="T376">
        <v>237</v>
      </c>
      <c r="U376" s="1">
        <v>31293</v>
      </c>
      <c r="V376" t="s">
        <v>123</v>
      </c>
      <c r="W376" t="s">
        <v>124</v>
      </c>
      <c r="X376" t="s">
        <v>58</v>
      </c>
      <c r="Y376">
        <v>18</v>
      </c>
      <c r="Z376" t="s">
        <v>59</v>
      </c>
      <c r="AA376" t="s">
        <v>59</v>
      </c>
      <c r="AB376" t="s">
        <v>59</v>
      </c>
      <c r="AC376" t="s">
        <v>59</v>
      </c>
      <c r="AD376" t="s">
        <v>59</v>
      </c>
      <c r="AF376" s="1">
        <v>31300</v>
      </c>
      <c r="AG376" t="s">
        <v>125</v>
      </c>
      <c r="AH376" t="s">
        <v>126</v>
      </c>
      <c r="AI376" t="str">
        <f>"1701051"</f>
        <v>1701051</v>
      </c>
      <c r="AJ376" t="s">
        <v>443</v>
      </c>
      <c r="AK376">
        <v>2810325815</v>
      </c>
      <c r="AL376" t="s">
        <v>444</v>
      </c>
      <c r="AM376" t="s">
        <v>78</v>
      </c>
      <c r="AN376" t="s">
        <v>78</v>
      </c>
      <c r="AO376" t="s">
        <v>78</v>
      </c>
      <c r="AP376" t="s">
        <v>163</v>
      </c>
      <c r="AQ376">
        <v>5</v>
      </c>
      <c r="AR376" t="s">
        <v>123</v>
      </c>
      <c r="AS376" t="s">
        <v>124</v>
      </c>
      <c r="AT376" t="s">
        <v>58</v>
      </c>
      <c r="AU376" t="s">
        <v>68</v>
      </c>
      <c r="AV376" t="s">
        <v>69</v>
      </c>
      <c r="AW376" s="1">
        <v>21865</v>
      </c>
      <c r="AX376">
        <v>2</v>
      </c>
    </row>
    <row r="377" spans="1:50">
      <c r="A377">
        <v>218378</v>
      </c>
      <c r="B377" t="str">
        <f>"061554700"</f>
        <v>061554700</v>
      </c>
      <c r="C377" t="s">
        <v>105</v>
      </c>
      <c r="D377" t="s">
        <v>1232</v>
      </c>
      <c r="E377" t="s">
        <v>53</v>
      </c>
      <c r="F377" t="s">
        <v>1237</v>
      </c>
      <c r="G377" t="s">
        <v>1238</v>
      </c>
      <c r="H377" t="str">
        <f>"ΒΡΑΧΟΚΗΠΟΣ  ΗΡΑΚΛΕΙΟ"</f>
        <v>ΒΡΑΧΟΚΗΠΟΣ  ΗΡΑΚΛΕΙΟ</v>
      </c>
      <c r="I377">
        <v>71500</v>
      </c>
      <c r="J377">
        <v>2810326779</v>
      </c>
      <c r="K377">
        <v>6972852128</v>
      </c>
      <c r="M377" t="s">
        <v>1239</v>
      </c>
      <c r="N377" t="s">
        <v>232</v>
      </c>
      <c r="O377" t="s">
        <v>233</v>
      </c>
      <c r="R377" t="s">
        <v>57</v>
      </c>
      <c r="S377">
        <v>6</v>
      </c>
      <c r="T377">
        <v>599</v>
      </c>
      <c r="U377" s="1">
        <v>39310</v>
      </c>
      <c r="V377" t="s">
        <v>123</v>
      </c>
      <c r="W377" t="s">
        <v>124</v>
      </c>
      <c r="X377" t="s">
        <v>58</v>
      </c>
      <c r="Y377">
        <v>20</v>
      </c>
      <c r="Z377" t="s">
        <v>59</v>
      </c>
      <c r="AA377" t="s">
        <v>59</v>
      </c>
      <c r="AB377" t="s">
        <v>59</v>
      </c>
      <c r="AC377" t="s">
        <v>59</v>
      </c>
      <c r="AD377" t="s">
        <v>59</v>
      </c>
      <c r="AF377" s="1">
        <v>39328</v>
      </c>
      <c r="AG377" t="s">
        <v>125</v>
      </c>
      <c r="AH377" t="s">
        <v>294</v>
      </c>
      <c r="AI377" t="str">
        <f>"1701015"</f>
        <v>1701015</v>
      </c>
      <c r="AJ377" t="s">
        <v>295</v>
      </c>
      <c r="AK377">
        <v>2810761696</v>
      </c>
      <c r="AL377" t="s">
        <v>296</v>
      </c>
      <c r="AM377" t="s">
        <v>78</v>
      </c>
      <c r="AN377" t="s">
        <v>219</v>
      </c>
      <c r="AO377" t="s">
        <v>297</v>
      </c>
      <c r="AP377" t="s">
        <v>297</v>
      </c>
      <c r="AQ377">
        <v>10</v>
      </c>
      <c r="AR377" t="s">
        <v>123</v>
      </c>
      <c r="AS377" t="s">
        <v>124</v>
      </c>
      <c r="AT377" t="s">
        <v>58</v>
      </c>
      <c r="AU377" t="s">
        <v>68</v>
      </c>
      <c r="AV377" t="s">
        <v>69</v>
      </c>
      <c r="AW377" s="1">
        <v>26028</v>
      </c>
      <c r="AX377">
        <v>2</v>
      </c>
    </row>
    <row r="378" spans="1:50">
      <c r="A378">
        <v>199045</v>
      </c>
      <c r="B378" t="str">
        <f>"065198844"</f>
        <v>065198844</v>
      </c>
      <c r="C378" t="s">
        <v>105</v>
      </c>
      <c r="D378" t="s">
        <v>1232</v>
      </c>
      <c r="E378" t="s">
        <v>1240</v>
      </c>
      <c r="F378" t="s">
        <v>95</v>
      </c>
      <c r="G378" t="s">
        <v>52</v>
      </c>
      <c r="H378" t="str">
        <f>" Τ.Θ.19 ΑΝΩ ΑΡΧΑΝΕΣ"</f>
        <v xml:space="preserve"> Τ.Θ.19 ΑΝΩ ΑΡΧΑΝΕΣ</v>
      </c>
      <c r="I378">
        <v>70100</v>
      </c>
      <c r="J378">
        <v>2813010604</v>
      </c>
      <c r="K378">
        <v>6973547606</v>
      </c>
      <c r="M378" t="s">
        <v>1241</v>
      </c>
      <c r="N378" t="s">
        <v>176</v>
      </c>
      <c r="O378" t="s">
        <v>177</v>
      </c>
      <c r="R378" t="s">
        <v>57</v>
      </c>
      <c r="S378">
        <v>7</v>
      </c>
      <c r="T378">
        <v>206</v>
      </c>
      <c r="U378" s="1">
        <v>37866</v>
      </c>
      <c r="V378" t="s">
        <v>123</v>
      </c>
      <c r="W378" t="s">
        <v>124</v>
      </c>
      <c r="X378" t="s">
        <v>58</v>
      </c>
      <c r="Y378">
        <v>20</v>
      </c>
      <c r="Z378" t="s">
        <v>59</v>
      </c>
      <c r="AA378" t="s">
        <v>59</v>
      </c>
      <c r="AB378" t="s">
        <v>59</v>
      </c>
      <c r="AC378" t="s">
        <v>59</v>
      </c>
      <c r="AD378" t="s">
        <v>59</v>
      </c>
      <c r="AF378" s="1">
        <v>37866</v>
      </c>
      <c r="AG378" t="s">
        <v>148</v>
      </c>
      <c r="AH378" t="s">
        <v>149</v>
      </c>
      <c r="AI378" t="str">
        <f>"1753010"</f>
        <v>1753010</v>
      </c>
      <c r="AJ378" t="s">
        <v>571</v>
      </c>
      <c r="AK378">
        <v>2810751528</v>
      </c>
      <c r="AL378" t="s">
        <v>572</v>
      </c>
      <c r="AM378" t="s">
        <v>78</v>
      </c>
      <c r="AN378" t="s">
        <v>424</v>
      </c>
      <c r="AO378" t="s">
        <v>425</v>
      </c>
      <c r="AP378" t="s">
        <v>425</v>
      </c>
      <c r="AQ378">
        <v>13</v>
      </c>
      <c r="AR378" t="s">
        <v>123</v>
      </c>
      <c r="AS378" t="s">
        <v>124</v>
      </c>
      <c r="AT378" t="s">
        <v>58</v>
      </c>
      <c r="AU378" t="s">
        <v>68</v>
      </c>
      <c r="AV378" t="s">
        <v>69</v>
      </c>
      <c r="AW378" s="1">
        <v>27111</v>
      </c>
      <c r="AX378">
        <v>2</v>
      </c>
    </row>
    <row r="379" spans="1:50">
      <c r="A379">
        <v>175134</v>
      </c>
      <c r="B379" t="str">
        <f>"035141576"</f>
        <v>035141576</v>
      </c>
      <c r="C379" t="s">
        <v>105</v>
      </c>
      <c r="D379" t="s">
        <v>1232</v>
      </c>
      <c r="E379" t="s">
        <v>1217</v>
      </c>
      <c r="F379" t="s">
        <v>166</v>
      </c>
      <c r="G379" t="s">
        <v>563</v>
      </c>
      <c r="H379" t="str">
        <f>"ΠΥΡΓΟΣ ΠΥΡΓΟΣ ΗΡΑΚΛΕΙΟΥ"</f>
        <v>ΠΥΡΓΟΣ ΠΥΡΓΟΣ ΗΡΑΚΛΕΙΟΥ</v>
      </c>
      <c r="I379">
        <v>70010</v>
      </c>
      <c r="J379">
        <v>2893022026</v>
      </c>
      <c r="K379">
        <v>6974053358</v>
      </c>
      <c r="M379" t="s">
        <v>1242</v>
      </c>
      <c r="N379" t="s">
        <v>157</v>
      </c>
      <c r="O379" t="s">
        <v>158</v>
      </c>
      <c r="R379" t="s">
        <v>57</v>
      </c>
      <c r="S379">
        <v>10</v>
      </c>
      <c r="T379">
        <v>180</v>
      </c>
      <c r="U379" s="1">
        <v>35674</v>
      </c>
      <c r="V379" t="s">
        <v>123</v>
      </c>
      <c r="W379" t="s">
        <v>124</v>
      </c>
      <c r="X379" t="s">
        <v>58</v>
      </c>
      <c r="Y379">
        <v>18</v>
      </c>
      <c r="Z379" t="s">
        <v>59</v>
      </c>
      <c r="AA379" t="s">
        <v>59</v>
      </c>
      <c r="AB379" t="s">
        <v>59</v>
      </c>
      <c r="AC379" t="s">
        <v>59</v>
      </c>
      <c r="AD379" t="s">
        <v>59</v>
      </c>
      <c r="AF379" s="1">
        <v>35678</v>
      </c>
      <c r="AG379" t="s">
        <v>148</v>
      </c>
      <c r="AH379" t="s">
        <v>149</v>
      </c>
      <c r="AI379" t="str">
        <f>"1758010"</f>
        <v>1758010</v>
      </c>
      <c r="AJ379" t="s">
        <v>575</v>
      </c>
      <c r="AK379">
        <v>2893022145</v>
      </c>
      <c r="AL379" t="s">
        <v>576</v>
      </c>
      <c r="AM379" t="s">
        <v>78</v>
      </c>
      <c r="AN379" t="s">
        <v>424</v>
      </c>
      <c r="AO379" t="s">
        <v>577</v>
      </c>
      <c r="AP379" t="s">
        <v>578</v>
      </c>
      <c r="AQ379">
        <v>24</v>
      </c>
      <c r="AR379" t="s">
        <v>123</v>
      </c>
      <c r="AS379" t="s">
        <v>124</v>
      </c>
      <c r="AT379" t="s">
        <v>58</v>
      </c>
      <c r="AU379" t="s">
        <v>68</v>
      </c>
      <c r="AV379" t="s">
        <v>69</v>
      </c>
      <c r="AW379" s="1">
        <v>23437</v>
      </c>
      <c r="AX379">
        <v>2</v>
      </c>
    </row>
    <row r="380" spans="1:50">
      <c r="A380">
        <v>203228</v>
      </c>
      <c r="B380" t="str">
        <f>"061597471"</f>
        <v>061597471</v>
      </c>
      <c r="C380" t="s">
        <v>50</v>
      </c>
      <c r="D380" t="s">
        <v>1243</v>
      </c>
      <c r="E380" t="s">
        <v>83</v>
      </c>
      <c r="F380" t="s">
        <v>72</v>
      </c>
      <c r="G380" t="s">
        <v>659</v>
      </c>
      <c r="H380" t="str">
        <f>"ΠΕΤΡΟΜΠΕΗ ΜΑΥΡΟΜΙΧΑΛΗ 12 ΗΡΑΚΛΕΙΟ"</f>
        <v>ΠΕΤΡΟΜΠΕΗ ΜΑΥΡΟΜΙΧΑΛΗ 12 ΗΡΑΚΛΕΙΟ</v>
      </c>
      <c r="I380">
        <v>71305</v>
      </c>
      <c r="J380">
        <v>2810372861</v>
      </c>
      <c r="K380">
        <v>6944474937</v>
      </c>
      <c r="M380" t="s">
        <v>1244</v>
      </c>
      <c r="N380" t="s">
        <v>306</v>
      </c>
      <c r="O380" t="s">
        <v>307</v>
      </c>
      <c r="R380" t="s">
        <v>57</v>
      </c>
      <c r="S380">
        <v>8</v>
      </c>
      <c r="T380">
        <v>231</v>
      </c>
      <c r="U380" s="1">
        <v>38230</v>
      </c>
      <c r="V380" t="s">
        <v>123</v>
      </c>
      <c r="W380" t="s">
        <v>124</v>
      </c>
      <c r="X380" t="s">
        <v>58</v>
      </c>
      <c r="Y380">
        <v>20</v>
      </c>
      <c r="Z380" t="s">
        <v>59</v>
      </c>
      <c r="AA380" t="s">
        <v>59</v>
      </c>
      <c r="AB380" t="s">
        <v>59</v>
      </c>
      <c r="AC380" t="s">
        <v>59</v>
      </c>
      <c r="AD380" t="s">
        <v>59</v>
      </c>
      <c r="AF380" s="1">
        <v>38232</v>
      </c>
      <c r="AG380" t="s">
        <v>148</v>
      </c>
      <c r="AH380" t="s">
        <v>149</v>
      </c>
      <c r="AI380" t="str">
        <f>"1790210"</f>
        <v>1790210</v>
      </c>
      <c r="AJ380" t="s">
        <v>417</v>
      </c>
      <c r="AK380">
        <v>2810252172</v>
      </c>
      <c r="AL380" t="s">
        <v>418</v>
      </c>
      <c r="AM380" t="s">
        <v>78</v>
      </c>
      <c r="AN380" t="s">
        <v>78</v>
      </c>
      <c r="AO380" t="s">
        <v>78</v>
      </c>
      <c r="AP380" t="s">
        <v>141</v>
      </c>
      <c r="AQ380">
        <v>7</v>
      </c>
      <c r="AR380" t="s">
        <v>123</v>
      </c>
      <c r="AS380" t="s">
        <v>124</v>
      </c>
      <c r="AT380" t="s">
        <v>58</v>
      </c>
      <c r="AU380" t="s">
        <v>68</v>
      </c>
      <c r="AV380" t="s">
        <v>69</v>
      </c>
      <c r="AW380" s="1">
        <v>28271</v>
      </c>
      <c r="AX380">
        <v>2</v>
      </c>
    </row>
    <row r="381" spans="1:50">
      <c r="A381">
        <v>227788</v>
      </c>
      <c r="B381" t="str">
        <f>"111257914"</f>
        <v>111257914</v>
      </c>
      <c r="C381" t="s">
        <v>50</v>
      </c>
      <c r="D381" t="s">
        <v>1245</v>
      </c>
      <c r="E381" t="s">
        <v>396</v>
      </c>
      <c r="F381" t="s">
        <v>99</v>
      </c>
      <c r="G381" t="s">
        <v>263</v>
      </c>
      <c r="H381" t="str">
        <f>"ΠΑΡΟΔΟΣ ΑΓΙΟΚΑΜΠΟΥ ΑΓΙΑ ΛΑΡΙΣΑΣ"</f>
        <v>ΠΑΡΟΔΟΣ ΑΓΙΟΚΑΜΠΟΥ ΑΓΙΑ ΛΑΡΙΣΑΣ</v>
      </c>
      <c r="I381">
        <v>40003</v>
      </c>
      <c r="J381">
        <v>2494022765</v>
      </c>
      <c r="K381">
        <v>6945374653</v>
      </c>
      <c r="M381" t="s">
        <v>1246</v>
      </c>
      <c r="N381" t="s">
        <v>257</v>
      </c>
      <c r="O381" t="s">
        <v>258</v>
      </c>
      <c r="R381" t="s">
        <v>57</v>
      </c>
      <c r="S381">
        <v>7</v>
      </c>
      <c r="T381">
        <v>654</v>
      </c>
      <c r="U381" s="1">
        <v>40043</v>
      </c>
      <c r="V381" t="s">
        <v>123</v>
      </c>
      <c r="W381" t="s">
        <v>124</v>
      </c>
      <c r="X381" t="s">
        <v>58</v>
      </c>
      <c r="Y381">
        <v>21</v>
      </c>
      <c r="Z381" t="s">
        <v>59</v>
      </c>
      <c r="AA381" t="s">
        <v>59</v>
      </c>
      <c r="AB381" t="s">
        <v>59</v>
      </c>
      <c r="AC381" t="s">
        <v>59</v>
      </c>
      <c r="AD381" t="s">
        <v>59</v>
      </c>
      <c r="AF381" s="1">
        <v>40057</v>
      </c>
      <c r="AG381" t="s">
        <v>148</v>
      </c>
      <c r="AH381" t="s">
        <v>149</v>
      </c>
      <c r="AI381" t="str">
        <f>"1751030"</f>
        <v>1751030</v>
      </c>
      <c r="AJ381" t="s">
        <v>234</v>
      </c>
      <c r="AK381">
        <v>2810282911</v>
      </c>
      <c r="AL381" t="s">
        <v>235</v>
      </c>
      <c r="AM381" t="s">
        <v>78</v>
      </c>
      <c r="AN381" t="s">
        <v>78</v>
      </c>
      <c r="AO381" t="s">
        <v>78</v>
      </c>
      <c r="AP381" t="s">
        <v>163</v>
      </c>
      <c r="AQ381">
        <v>1</v>
      </c>
      <c r="AR381" t="s">
        <v>123</v>
      </c>
      <c r="AS381" t="s">
        <v>124</v>
      </c>
      <c r="AT381" t="s">
        <v>58</v>
      </c>
      <c r="AU381" t="s">
        <v>68</v>
      </c>
      <c r="AV381" t="s">
        <v>69</v>
      </c>
      <c r="AW381" s="1">
        <v>26590</v>
      </c>
      <c r="AX381">
        <v>2</v>
      </c>
    </row>
    <row r="382" spans="1:50">
      <c r="A382">
        <v>173806</v>
      </c>
      <c r="B382" t="str">
        <f>"033840969"</f>
        <v>033840969</v>
      </c>
      <c r="C382" t="s">
        <v>105</v>
      </c>
      <c r="D382" t="s">
        <v>1247</v>
      </c>
      <c r="E382" t="s">
        <v>92</v>
      </c>
      <c r="F382" t="s">
        <v>989</v>
      </c>
      <c r="G382" t="s">
        <v>1248</v>
      </c>
      <c r="H382" t="str">
        <f>"ΑΓ. ΤΡΥΦΩΝΟΣ  6 ΝΕΑ ΑΛΙΚΑΡΝΑΣΣΟΣ"</f>
        <v>ΑΓ. ΤΡΥΦΩΝΟΣ  6 ΝΕΑ ΑΛΙΚΑΡΝΑΣΣΟΣ</v>
      </c>
      <c r="I382">
        <v>71601</v>
      </c>
      <c r="J382">
        <v>2810342284</v>
      </c>
      <c r="K382">
        <v>6942466354</v>
      </c>
      <c r="M382" t="s">
        <v>1249</v>
      </c>
      <c r="N382" t="s">
        <v>232</v>
      </c>
      <c r="O382" t="s">
        <v>233</v>
      </c>
      <c r="R382" t="s">
        <v>57</v>
      </c>
      <c r="S382">
        <v>11</v>
      </c>
      <c r="T382">
        <v>166</v>
      </c>
      <c r="U382" s="1">
        <v>35300</v>
      </c>
      <c r="V382" t="s">
        <v>123</v>
      </c>
      <c r="W382" t="s">
        <v>124</v>
      </c>
      <c r="X382" t="s">
        <v>58</v>
      </c>
      <c r="Y382">
        <v>18</v>
      </c>
      <c r="Z382" t="s">
        <v>59</v>
      </c>
      <c r="AA382" t="s">
        <v>59</v>
      </c>
      <c r="AB382" t="s">
        <v>59</v>
      </c>
      <c r="AC382" t="s">
        <v>59</v>
      </c>
      <c r="AD382" t="s">
        <v>59</v>
      </c>
      <c r="AF382" s="1">
        <v>35311</v>
      </c>
      <c r="AG382" t="s">
        <v>125</v>
      </c>
      <c r="AH382" t="s">
        <v>126</v>
      </c>
      <c r="AI382" t="str">
        <f>"1727010"</f>
        <v>1727010</v>
      </c>
      <c r="AJ382" t="s">
        <v>618</v>
      </c>
      <c r="AK382">
        <v>2810229231</v>
      </c>
      <c r="AL382" t="s">
        <v>619</v>
      </c>
      <c r="AM382" t="s">
        <v>78</v>
      </c>
      <c r="AN382" t="s">
        <v>78</v>
      </c>
      <c r="AO382" t="s">
        <v>286</v>
      </c>
      <c r="AP382" t="s">
        <v>286</v>
      </c>
      <c r="AQ382">
        <v>12</v>
      </c>
      <c r="AR382" t="s">
        <v>123</v>
      </c>
      <c r="AS382" t="s">
        <v>124</v>
      </c>
      <c r="AT382" t="s">
        <v>58</v>
      </c>
      <c r="AU382" t="s">
        <v>68</v>
      </c>
      <c r="AV382" t="s">
        <v>69</v>
      </c>
      <c r="AW382" s="1">
        <v>22303</v>
      </c>
      <c r="AX382">
        <v>2</v>
      </c>
    </row>
    <row r="383" spans="1:50">
      <c r="A383">
        <v>154184</v>
      </c>
      <c r="B383" t="str">
        <f>"025334434"</f>
        <v>025334434</v>
      </c>
      <c r="C383" t="s">
        <v>105</v>
      </c>
      <c r="D383" t="s">
        <v>1250</v>
      </c>
      <c r="E383" t="s">
        <v>166</v>
      </c>
      <c r="F383" t="s">
        <v>95</v>
      </c>
      <c r="G383" t="s">
        <v>98</v>
      </c>
      <c r="H383" t="str">
        <f>"ΑΡΒΗΣ 20 ΗΡΑΚΛΕΙΟ"</f>
        <v>ΑΡΒΗΣ 20 ΗΡΑΚΛΕΙΟ</v>
      </c>
      <c r="I383">
        <v>71305</v>
      </c>
      <c r="J383">
        <v>2810313106</v>
      </c>
      <c r="K383">
        <v>6976003630</v>
      </c>
      <c r="N383" t="s">
        <v>292</v>
      </c>
      <c r="O383" t="s">
        <v>293</v>
      </c>
      <c r="R383" t="s">
        <v>57</v>
      </c>
      <c r="S383">
        <v>15</v>
      </c>
      <c r="T383">
        <v>161</v>
      </c>
      <c r="U383" s="1">
        <v>32387</v>
      </c>
      <c r="V383" t="s">
        <v>123</v>
      </c>
      <c r="W383" t="s">
        <v>124</v>
      </c>
      <c r="X383" t="s">
        <v>58</v>
      </c>
      <c r="Y383">
        <v>18</v>
      </c>
      <c r="Z383" t="s">
        <v>59</v>
      </c>
      <c r="AA383" t="s">
        <v>59</v>
      </c>
      <c r="AB383" t="s">
        <v>59</v>
      </c>
      <c r="AC383" t="s">
        <v>59</v>
      </c>
      <c r="AD383" t="s">
        <v>59</v>
      </c>
      <c r="AF383" s="1">
        <v>32475</v>
      </c>
      <c r="AG383" t="s">
        <v>148</v>
      </c>
      <c r="AH383" t="s">
        <v>149</v>
      </c>
      <c r="AI383" t="str">
        <f>"1751030"</f>
        <v>1751030</v>
      </c>
      <c r="AJ383" t="s">
        <v>234</v>
      </c>
      <c r="AK383">
        <v>2810282911</v>
      </c>
      <c r="AL383" t="s">
        <v>235</v>
      </c>
      <c r="AM383" t="s">
        <v>78</v>
      </c>
      <c r="AN383" t="s">
        <v>78</v>
      </c>
      <c r="AO383" t="s">
        <v>78</v>
      </c>
      <c r="AP383" t="s">
        <v>163</v>
      </c>
      <c r="AQ383">
        <v>1</v>
      </c>
      <c r="AR383" t="s">
        <v>123</v>
      </c>
      <c r="AS383" t="s">
        <v>124</v>
      </c>
      <c r="AT383" t="s">
        <v>58</v>
      </c>
      <c r="AU383" t="s">
        <v>68</v>
      </c>
      <c r="AV383" t="s">
        <v>69</v>
      </c>
      <c r="AW383" s="1">
        <v>20180</v>
      </c>
      <c r="AX383">
        <v>2</v>
      </c>
    </row>
    <row r="384" spans="1:50">
      <c r="A384">
        <v>145997</v>
      </c>
      <c r="B384" t="str">
        <f>"028715433"</f>
        <v>028715433</v>
      </c>
      <c r="C384" t="s">
        <v>50</v>
      </c>
      <c r="D384" t="s">
        <v>1251</v>
      </c>
      <c r="E384" t="s">
        <v>237</v>
      </c>
      <c r="F384" t="s">
        <v>95</v>
      </c>
      <c r="G384" t="s">
        <v>1189</v>
      </c>
      <c r="H384" t="str">
        <f>"ΚΕΡΑΣΙΑ "</f>
        <v xml:space="preserve">ΚΕΡΑΣΙΑ </v>
      </c>
      <c r="I384">
        <v>70011</v>
      </c>
      <c r="J384">
        <v>2810791792</v>
      </c>
      <c r="K384">
        <v>6987778680</v>
      </c>
      <c r="N384" t="s">
        <v>146</v>
      </c>
      <c r="O384" t="s">
        <v>147</v>
      </c>
      <c r="R384" t="s">
        <v>57</v>
      </c>
      <c r="S384">
        <v>16</v>
      </c>
      <c r="T384">
        <v>237</v>
      </c>
      <c r="U384" s="1">
        <v>31293</v>
      </c>
      <c r="V384" t="s">
        <v>123</v>
      </c>
      <c r="W384" t="s">
        <v>124</v>
      </c>
      <c r="X384" t="s">
        <v>58</v>
      </c>
      <c r="Y384">
        <v>18</v>
      </c>
      <c r="Z384" t="s">
        <v>59</v>
      </c>
      <c r="AA384" t="s">
        <v>59</v>
      </c>
      <c r="AB384" t="s">
        <v>59</v>
      </c>
      <c r="AC384" t="s">
        <v>59</v>
      </c>
      <c r="AD384" t="s">
        <v>59</v>
      </c>
      <c r="AF384" s="1">
        <v>31303</v>
      </c>
      <c r="AG384" t="s">
        <v>125</v>
      </c>
      <c r="AH384" t="s">
        <v>126</v>
      </c>
      <c r="AI384" t="str">
        <f>"1716010"</f>
        <v>1716010</v>
      </c>
      <c r="AJ384" t="s">
        <v>193</v>
      </c>
      <c r="AK384">
        <v>2810791374</v>
      </c>
      <c r="AL384" t="s">
        <v>194</v>
      </c>
      <c r="AM384" t="s">
        <v>78</v>
      </c>
      <c r="AN384" t="s">
        <v>78</v>
      </c>
      <c r="AO384" t="s">
        <v>195</v>
      </c>
      <c r="AP384" t="s">
        <v>196</v>
      </c>
      <c r="AQ384">
        <v>30</v>
      </c>
      <c r="AR384" t="s">
        <v>123</v>
      </c>
      <c r="AS384" t="s">
        <v>124</v>
      </c>
      <c r="AT384" t="s">
        <v>58</v>
      </c>
      <c r="AU384" t="s">
        <v>68</v>
      </c>
      <c r="AV384" t="s">
        <v>69</v>
      </c>
      <c r="AW384" s="1">
        <v>21575</v>
      </c>
      <c r="AX384">
        <v>2</v>
      </c>
    </row>
    <row r="385" spans="1:50">
      <c r="A385">
        <v>182953</v>
      </c>
      <c r="B385" t="str">
        <f>"038824577"</f>
        <v>038824577</v>
      </c>
      <c r="C385" t="s">
        <v>50</v>
      </c>
      <c r="D385" t="s">
        <v>1251</v>
      </c>
      <c r="E385" t="s">
        <v>1189</v>
      </c>
      <c r="F385" t="s">
        <v>166</v>
      </c>
      <c r="G385" t="s">
        <v>1252</v>
      </c>
      <c r="H385" t="str">
        <f>"ΑΘΑΝΑΤΟΙ "</f>
        <v xml:space="preserve">ΑΘΑΝΑΤΟΙ </v>
      </c>
      <c r="I385">
        <v>71500</v>
      </c>
      <c r="J385">
        <v>2810542623</v>
      </c>
      <c r="K385">
        <v>6977528501</v>
      </c>
      <c r="M385" t="s">
        <v>1253</v>
      </c>
      <c r="N385" t="s">
        <v>176</v>
      </c>
      <c r="O385" t="s">
        <v>177</v>
      </c>
      <c r="R385" t="s">
        <v>57</v>
      </c>
      <c r="S385">
        <v>11</v>
      </c>
      <c r="T385">
        <v>249</v>
      </c>
      <c r="U385" s="1">
        <v>36160</v>
      </c>
      <c r="V385" t="s">
        <v>123</v>
      </c>
      <c r="W385" t="s">
        <v>124</v>
      </c>
      <c r="X385" t="s">
        <v>58</v>
      </c>
      <c r="Y385">
        <v>18</v>
      </c>
      <c r="Z385" t="s">
        <v>59</v>
      </c>
      <c r="AA385" t="s">
        <v>59</v>
      </c>
      <c r="AB385" t="s">
        <v>59</v>
      </c>
      <c r="AC385" t="s">
        <v>59</v>
      </c>
      <c r="AD385" t="s">
        <v>59</v>
      </c>
      <c r="AF385" s="1">
        <v>36182</v>
      </c>
      <c r="AG385" t="s">
        <v>148</v>
      </c>
      <c r="AH385" t="s">
        <v>149</v>
      </c>
      <c r="AI385" t="str">
        <f>"1751051"</f>
        <v>1751051</v>
      </c>
      <c r="AJ385" t="s">
        <v>259</v>
      </c>
      <c r="AK385">
        <v>2810251794</v>
      </c>
      <c r="AL385" t="s">
        <v>260</v>
      </c>
      <c r="AM385" t="s">
        <v>78</v>
      </c>
      <c r="AN385" t="s">
        <v>78</v>
      </c>
      <c r="AO385" t="s">
        <v>78</v>
      </c>
      <c r="AP385" t="s">
        <v>141</v>
      </c>
      <c r="AQ385">
        <v>7</v>
      </c>
      <c r="AR385" t="s">
        <v>123</v>
      </c>
      <c r="AS385" t="s">
        <v>124</v>
      </c>
      <c r="AT385" t="s">
        <v>58</v>
      </c>
      <c r="AU385" t="s">
        <v>68</v>
      </c>
      <c r="AV385" t="s">
        <v>69</v>
      </c>
      <c r="AW385" s="1">
        <v>23918</v>
      </c>
      <c r="AX385">
        <v>2</v>
      </c>
    </row>
    <row r="386" spans="1:50">
      <c r="A386">
        <v>218381</v>
      </c>
      <c r="B386" t="str">
        <f>"074178900"</f>
        <v>074178900</v>
      </c>
      <c r="C386" t="s">
        <v>50</v>
      </c>
      <c r="D386" t="s">
        <v>1251</v>
      </c>
      <c r="E386" t="s">
        <v>250</v>
      </c>
      <c r="F386" t="s">
        <v>383</v>
      </c>
      <c r="G386" t="s">
        <v>96</v>
      </c>
      <c r="H386" t="str">
        <f>"ΚΑΛΕΣΣΑ ΗΡΑΚΛΕΙΟΥ ΗΡΑΚΛΕΙΟ"</f>
        <v>ΚΑΛΕΣΣΑ ΗΡΑΚΛΕΙΟΥ ΗΡΑΚΛΕΙΟ</v>
      </c>
      <c r="I386">
        <v>71500</v>
      </c>
      <c r="J386">
        <v>2810542716</v>
      </c>
      <c r="K386">
        <v>6944217562</v>
      </c>
      <c r="M386" t="s">
        <v>1254</v>
      </c>
      <c r="N386" t="s">
        <v>232</v>
      </c>
      <c r="O386" t="s">
        <v>233</v>
      </c>
      <c r="R386" t="s">
        <v>57</v>
      </c>
      <c r="S386">
        <v>12</v>
      </c>
      <c r="T386">
        <v>599</v>
      </c>
      <c r="U386" s="1">
        <v>39310</v>
      </c>
      <c r="V386" t="s">
        <v>123</v>
      </c>
      <c r="W386" t="s">
        <v>124</v>
      </c>
      <c r="X386" t="s">
        <v>58</v>
      </c>
      <c r="Y386">
        <v>21</v>
      </c>
      <c r="Z386" t="s">
        <v>59</v>
      </c>
      <c r="AA386" t="s">
        <v>59</v>
      </c>
      <c r="AB386" t="s">
        <v>59</v>
      </c>
      <c r="AC386" t="s">
        <v>59</v>
      </c>
      <c r="AD386" t="s">
        <v>59</v>
      </c>
      <c r="AF386" s="1">
        <v>39328</v>
      </c>
      <c r="AG386" t="s">
        <v>148</v>
      </c>
      <c r="AH386" t="s">
        <v>149</v>
      </c>
      <c r="AI386" t="str">
        <f>"1759010"</f>
        <v>1759010</v>
      </c>
      <c r="AJ386" t="s">
        <v>403</v>
      </c>
      <c r="AK386">
        <v>2894022127</v>
      </c>
      <c r="AL386" t="s">
        <v>404</v>
      </c>
      <c r="AM386" t="s">
        <v>78</v>
      </c>
      <c r="AN386" t="s">
        <v>405</v>
      </c>
      <c r="AO386" t="s">
        <v>406</v>
      </c>
      <c r="AP386" t="s">
        <v>406</v>
      </c>
      <c r="AQ386">
        <v>30</v>
      </c>
      <c r="AR386" t="s">
        <v>123</v>
      </c>
      <c r="AS386" t="s">
        <v>124</v>
      </c>
      <c r="AT386" t="s">
        <v>58</v>
      </c>
      <c r="AU386" t="s">
        <v>68</v>
      </c>
      <c r="AV386" t="s">
        <v>69</v>
      </c>
      <c r="AW386" s="1">
        <v>26619</v>
      </c>
      <c r="AX386">
        <v>2</v>
      </c>
    </row>
    <row r="387" spans="1:50">
      <c r="A387">
        <v>174755</v>
      </c>
      <c r="B387" t="str">
        <f>"032786300"</f>
        <v>032786300</v>
      </c>
      <c r="C387" t="s">
        <v>50</v>
      </c>
      <c r="D387" t="s">
        <v>1251</v>
      </c>
      <c r="E387" t="s">
        <v>215</v>
      </c>
      <c r="F387" t="s">
        <v>95</v>
      </c>
      <c r="G387" t="s">
        <v>83</v>
      </c>
      <c r="H387" t="str">
        <f>"Π.ΠΕΤΡΟΥ ΓΑΒΑΛΑ 81 ΗΡΑΚΛΕΙΟ"</f>
        <v>Π.ΠΕΤΡΟΥ ΓΑΒΑΛΑ 81 ΗΡΑΚΛΕΙΟ</v>
      </c>
      <c r="I387">
        <v>71409</v>
      </c>
      <c r="J387">
        <v>2810236412</v>
      </c>
      <c r="K387">
        <v>6974766232</v>
      </c>
      <c r="N387" t="s">
        <v>587</v>
      </c>
      <c r="O387" t="s">
        <v>588</v>
      </c>
      <c r="R387" t="s">
        <v>57</v>
      </c>
      <c r="S387">
        <v>11</v>
      </c>
      <c r="T387">
        <v>166</v>
      </c>
      <c r="U387" s="1">
        <v>35300</v>
      </c>
      <c r="V387" t="s">
        <v>123</v>
      </c>
      <c r="W387" t="s">
        <v>124</v>
      </c>
      <c r="X387" t="s">
        <v>58</v>
      </c>
      <c r="Y387">
        <v>18</v>
      </c>
      <c r="Z387" t="s">
        <v>59</v>
      </c>
      <c r="AA387" t="s">
        <v>59</v>
      </c>
      <c r="AB387" t="s">
        <v>59</v>
      </c>
      <c r="AC387" t="s">
        <v>59</v>
      </c>
      <c r="AD387" t="s">
        <v>59</v>
      </c>
      <c r="AF387" s="1">
        <v>35312</v>
      </c>
      <c r="AG387" t="s">
        <v>137</v>
      </c>
      <c r="AH387" t="s">
        <v>138</v>
      </c>
      <c r="AI387" t="str">
        <f>"1740210"</f>
        <v>1740210</v>
      </c>
      <c r="AJ387" t="s">
        <v>139</v>
      </c>
      <c r="AK387">
        <v>2810318130</v>
      </c>
      <c r="AL387" t="s">
        <v>140</v>
      </c>
      <c r="AM387" t="s">
        <v>78</v>
      </c>
      <c r="AN387" t="s">
        <v>78</v>
      </c>
      <c r="AO387" t="s">
        <v>78</v>
      </c>
      <c r="AP387" t="s">
        <v>141</v>
      </c>
      <c r="AQ387">
        <v>7</v>
      </c>
      <c r="AR387" t="s">
        <v>123</v>
      </c>
      <c r="AS387" t="s">
        <v>124</v>
      </c>
      <c r="AT387" t="s">
        <v>58</v>
      </c>
      <c r="AU387" t="s">
        <v>68</v>
      </c>
      <c r="AV387" t="s">
        <v>69</v>
      </c>
      <c r="AW387" s="1">
        <v>23262</v>
      </c>
      <c r="AX387">
        <v>2</v>
      </c>
    </row>
    <row r="388" spans="1:50">
      <c r="A388">
        <v>189220</v>
      </c>
      <c r="B388" t="str">
        <f>"036998895"</f>
        <v>036998895</v>
      </c>
      <c r="C388" t="s">
        <v>50</v>
      </c>
      <c r="D388" t="s">
        <v>1251</v>
      </c>
      <c r="E388" t="s">
        <v>707</v>
      </c>
      <c r="F388" t="s">
        <v>53</v>
      </c>
      <c r="G388" t="s">
        <v>109</v>
      </c>
      <c r="H388" t="str">
        <f>"Ι.ΤΖΕΤΖΗ 6 ΗΡΑΚΛΕΙΟ"</f>
        <v>Ι.ΤΖΕΤΖΗ 6 ΗΡΑΚΛΕΙΟ</v>
      </c>
      <c r="J388">
        <v>2810322033</v>
      </c>
      <c r="K388">
        <v>6945624106</v>
      </c>
      <c r="M388" t="s">
        <v>1255</v>
      </c>
      <c r="N388" t="s">
        <v>146</v>
      </c>
      <c r="O388" t="s">
        <v>147</v>
      </c>
      <c r="R388" t="s">
        <v>57</v>
      </c>
      <c r="S388">
        <v>12</v>
      </c>
      <c r="T388">
        <v>219</v>
      </c>
      <c r="U388" s="1">
        <v>37134</v>
      </c>
      <c r="V388" t="s">
        <v>123</v>
      </c>
      <c r="W388" t="s">
        <v>124</v>
      </c>
      <c r="X388" t="s">
        <v>58</v>
      </c>
      <c r="Y388">
        <v>18</v>
      </c>
      <c r="Z388" t="s">
        <v>59</v>
      </c>
      <c r="AA388" t="s">
        <v>59</v>
      </c>
      <c r="AB388" t="s">
        <v>59</v>
      </c>
      <c r="AC388" t="s">
        <v>59</v>
      </c>
      <c r="AD388" t="s">
        <v>59</v>
      </c>
      <c r="AF388" s="1">
        <v>37137</v>
      </c>
      <c r="AG388" t="s">
        <v>125</v>
      </c>
      <c r="AH388" t="s">
        <v>126</v>
      </c>
      <c r="AI388" t="str">
        <f>"1701051"</f>
        <v>1701051</v>
      </c>
      <c r="AJ388" t="s">
        <v>443</v>
      </c>
      <c r="AK388">
        <v>2810325815</v>
      </c>
      <c r="AL388" t="s">
        <v>444</v>
      </c>
      <c r="AM388" t="s">
        <v>78</v>
      </c>
      <c r="AN388" t="s">
        <v>78</v>
      </c>
      <c r="AO388" t="s">
        <v>78</v>
      </c>
      <c r="AP388" t="s">
        <v>163</v>
      </c>
      <c r="AQ388">
        <v>5</v>
      </c>
      <c r="AR388" t="s">
        <v>123</v>
      </c>
      <c r="AS388" t="s">
        <v>124</v>
      </c>
      <c r="AT388" t="s">
        <v>58</v>
      </c>
      <c r="AU388" t="s">
        <v>68</v>
      </c>
      <c r="AV388" t="s">
        <v>69</v>
      </c>
      <c r="AW388" s="1">
        <v>24751</v>
      </c>
      <c r="AX388">
        <v>2</v>
      </c>
    </row>
    <row r="389" spans="1:50">
      <c r="A389">
        <v>211956</v>
      </c>
      <c r="B389" t="str">
        <f>"066373009"</f>
        <v>066373009</v>
      </c>
      <c r="C389" t="s">
        <v>50</v>
      </c>
      <c r="D389" t="s">
        <v>1251</v>
      </c>
      <c r="E389" t="s">
        <v>460</v>
      </c>
      <c r="F389" t="s">
        <v>53</v>
      </c>
      <c r="G389" t="s">
        <v>566</v>
      </c>
      <c r="H389" t="str">
        <f>"ΕΜΜ. ΜΑΝΩΛΟΠΟΥΛΟΥ 33 ΗΡΑΚΛΕΙΟ"</f>
        <v>ΕΜΜ. ΜΑΝΩΛΟΠΟΥΛΟΥ 33 ΗΡΑΚΛΕΙΟ</v>
      </c>
      <c r="J389">
        <v>2810323269</v>
      </c>
      <c r="K389">
        <v>6937126594</v>
      </c>
      <c r="N389" t="s">
        <v>146</v>
      </c>
      <c r="O389" t="s">
        <v>147</v>
      </c>
      <c r="R389" t="s">
        <v>57</v>
      </c>
      <c r="S389">
        <v>8</v>
      </c>
      <c r="T389">
        <v>231</v>
      </c>
      <c r="U389" s="1">
        <v>38960</v>
      </c>
      <c r="V389" t="s">
        <v>123</v>
      </c>
      <c r="W389" t="s">
        <v>124</v>
      </c>
      <c r="X389" t="s">
        <v>58</v>
      </c>
      <c r="Y389">
        <v>20</v>
      </c>
      <c r="Z389" t="s">
        <v>59</v>
      </c>
      <c r="AA389" t="s">
        <v>59</v>
      </c>
      <c r="AB389" t="s">
        <v>59</v>
      </c>
      <c r="AC389" t="s">
        <v>59</v>
      </c>
      <c r="AD389" t="s">
        <v>59</v>
      </c>
      <c r="AF389" s="1">
        <v>38960</v>
      </c>
      <c r="AG389" t="s">
        <v>125</v>
      </c>
      <c r="AH389" t="s">
        <v>590</v>
      </c>
      <c r="AI389" t="str">
        <f>"1740060"</f>
        <v>1740060</v>
      </c>
      <c r="AJ389" t="s">
        <v>591</v>
      </c>
      <c r="AK389">
        <v>2810232117</v>
      </c>
      <c r="AL389" t="s">
        <v>592</v>
      </c>
      <c r="AM389" t="s">
        <v>78</v>
      </c>
      <c r="AN389" t="s">
        <v>78</v>
      </c>
      <c r="AO389" t="s">
        <v>78</v>
      </c>
      <c r="AP389" t="s">
        <v>141</v>
      </c>
      <c r="AQ389">
        <v>11</v>
      </c>
      <c r="AR389" t="s">
        <v>123</v>
      </c>
      <c r="AS389" t="s">
        <v>124</v>
      </c>
      <c r="AT389" t="s">
        <v>58</v>
      </c>
      <c r="AU389" t="s">
        <v>68</v>
      </c>
      <c r="AV389" t="s">
        <v>69</v>
      </c>
      <c r="AW389" s="1">
        <v>27086</v>
      </c>
      <c r="AX389">
        <v>2</v>
      </c>
    </row>
    <row r="390" spans="1:50">
      <c r="A390">
        <v>204462</v>
      </c>
      <c r="B390" t="str">
        <f>"079153849"</f>
        <v>079153849</v>
      </c>
      <c r="C390" t="s">
        <v>105</v>
      </c>
      <c r="D390" t="s">
        <v>1256</v>
      </c>
      <c r="E390" t="s">
        <v>99</v>
      </c>
      <c r="F390" t="s">
        <v>166</v>
      </c>
      <c r="G390" t="s">
        <v>83</v>
      </c>
      <c r="H390" t="str">
        <f>" "</f>
        <v xml:space="preserve"> </v>
      </c>
      <c r="J390">
        <v>2810262217</v>
      </c>
      <c r="K390">
        <v>6973972025</v>
      </c>
      <c r="N390" t="s">
        <v>337</v>
      </c>
      <c r="O390" t="s">
        <v>338</v>
      </c>
      <c r="R390" t="s">
        <v>57</v>
      </c>
      <c r="S390">
        <v>7</v>
      </c>
      <c r="T390">
        <v>231</v>
      </c>
      <c r="U390" s="1">
        <v>38230</v>
      </c>
      <c r="V390" t="s">
        <v>123</v>
      </c>
      <c r="W390" t="s">
        <v>124</v>
      </c>
      <c r="X390" t="s">
        <v>58</v>
      </c>
      <c r="Y390">
        <v>20</v>
      </c>
      <c r="Z390" t="s">
        <v>59</v>
      </c>
      <c r="AA390" t="s">
        <v>59</v>
      </c>
      <c r="AB390" t="s">
        <v>59</v>
      </c>
      <c r="AC390" t="s">
        <v>59</v>
      </c>
      <c r="AD390" t="s">
        <v>59</v>
      </c>
      <c r="AF390" s="1">
        <v>38233</v>
      </c>
      <c r="AG390" t="s">
        <v>125</v>
      </c>
      <c r="AH390" t="s">
        <v>126</v>
      </c>
      <c r="AI390" t="str">
        <f>"1701057"</f>
        <v>1701057</v>
      </c>
      <c r="AJ390" t="s">
        <v>379</v>
      </c>
      <c r="AK390">
        <v>2810234488</v>
      </c>
      <c r="AL390" t="s">
        <v>380</v>
      </c>
      <c r="AM390" t="s">
        <v>78</v>
      </c>
      <c r="AN390" t="s">
        <v>78</v>
      </c>
      <c r="AO390" t="s">
        <v>78</v>
      </c>
      <c r="AP390" t="s">
        <v>163</v>
      </c>
      <c r="AQ390">
        <v>8</v>
      </c>
      <c r="AR390" t="s">
        <v>123</v>
      </c>
      <c r="AS390" t="s">
        <v>124</v>
      </c>
      <c r="AT390" t="s">
        <v>58</v>
      </c>
      <c r="AU390" t="s">
        <v>68</v>
      </c>
      <c r="AV390" t="s">
        <v>69</v>
      </c>
      <c r="AW390" s="1">
        <v>26286</v>
      </c>
      <c r="AX390">
        <v>2</v>
      </c>
    </row>
    <row r="391" spans="1:50">
      <c r="A391">
        <v>208051</v>
      </c>
      <c r="B391" t="str">
        <f>"039283103"</f>
        <v>039283103</v>
      </c>
      <c r="C391" t="s">
        <v>105</v>
      </c>
      <c r="D391" t="s">
        <v>1257</v>
      </c>
      <c r="E391" t="s">
        <v>1258</v>
      </c>
      <c r="F391" t="s">
        <v>95</v>
      </c>
      <c r="G391" t="s">
        <v>507</v>
      </c>
      <c r="H391" t="str">
        <f>"Κ. ΚΑΒΑΦΗ 2 "</f>
        <v xml:space="preserve">Κ. ΚΑΒΑΦΗ 2 </v>
      </c>
      <c r="I391">
        <v>71303</v>
      </c>
      <c r="J391">
        <v>2810260199</v>
      </c>
      <c r="K391">
        <v>6979753219</v>
      </c>
      <c r="M391" t="s">
        <v>1259</v>
      </c>
      <c r="N391" t="s">
        <v>176</v>
      </c>
      <c r="O391" t="s">
        <v>177</v>
      </c>
      <c r="R391" t="s">
        <v>57</v>
      </c>
      <c r="S391">
        <v>8</v>
      </c>
      <c r="T391">
        <v>218</v>
      </c>
      <c r="U391" s="1">
        <v>38596</v>
      </c>
      <c r="V391" t="s">
        <v>123</v>
      </c>
      <c r="W391" t="s">
        <v>124</v>
      </c>
      <c r="X391" t="s">
        <v>58</v>
      </c>
      <c r="Y391">
        <v>20</v>
      </c>
      <c r="Z391" t="s">
        <v>59</v>
      </c>
      <c r="AA391" t="s">
        <v>59</v>
      </c>
      <c r="AB391" t="s">
        <v>59</v>
      </c>
      <c r="AC391" t="s">
        <v>59</v>
      </c>
      <c r="AD391" t="s">
        <v>59</v>
      </c>
      <c r="AF391" s="1">
        <v>38600</v>
      </c>
      <c r="AG391" t="s">
        <v>125</v>
      </c>
      <c r="AH391" t="s">
        <v>126</v>
      </c>
      <c r="AI391" t="str">
        <f>"1701054"</f>
        <v>1701054</v>
      </c>
      <c r="AJ391" t="s">
        <v>318</v>
      </c>
      <c r="AK391">
        <v>2810252418</v>
      </c>
      <c r="AL391" t="s">
        <v>319</v>
      </c>
      <c r="AM391" t="s">
        <v>78</v>
      </c>
      <c r="AN391" t="s">
        <v>78</v>
      </c>
      <c r="AO391" t="s">
        <v>78</v>
      </c>
      <c r="AP391" t="s">
        <v>141</v>
      </c>
      <c r="AQ391">
        <v>7</v>
      </c>
      <c r="AR391" t="s">
        <v>123</v>
      </c>
      <c r="AS391" t="s">
        <v>124</v>
      </c>
      <c r="AT391" t="s">
        <v>58</v>
      </c>
      <c r="AU391" t="s">
        <v>68</v>
      </c>
      <c r="AV391" t="s">
        <v>69</v>
      </c>
      <c r="AW391" s="1">
        <v>24491</v>
      </c>
      <c r="AX391">
        <v>2</v>
      </c>
    </row>
    <row r="392" spans="1:50">
      <c r="B392" t="str">
        <f>"075037847"</f>
        <v>075037847</v>
      </c>
      <c r="C392" t="s">
        <v>50</v>
      </c>
      <c r="D392" t="s">
        <v>1260</v>
      </c>
      <c r="E392" t="s">
        <v>250</v>
      </c>
      <c r="F392" t="s">
        <v>920</v>
      </c>
      <c r="G392" t="s">
        <v>215</v>
      </c>
      <c r="H392" t="str">
        <f>" "</f>
        <v xml:space="preserve"> </v>
      </c>
      <c r="N392" t="s">
        <v>536</v>
      </c>
      <c r="O392" t="s">
        <v>537</v>
      </c>
      <c r="R392" t="s">
        <v>121</v>
      </c>
      <c r="S392">
        <v>3</v>
      </c>
      <c r="T392" t="s">
        <v>344</v>
      </c>
      <c r="U392" s="1">
        <v>43348</v>
      </c>
      <c r="V392" t="s">
        <v>123</v>
      </c>
      <c r="W392" t="s">
        <v>124</v>
      </c>
      <c r="X392" t="s">
        <v>58</v>
      </c>
      <c r="Y392">
        <v>23</v>
      </c>
      <c r="Z392" t="s">
        <v>59</v>
      </c>
      <c r="AA392" t="s">
        <v>59</v>
      </c>
      <c r="AB392" t="s">
        <v>59</v>
      </c>
      <c r="AD392" t="s">
        <v>59</v>
      </c>
      <c r="AF392" s="1">
        <v>43348</v>
      </c>
      <c r="AG392" t="s">
        <v>125</v>
      </c>
      <c r="AH392" t="s">
        <v>126</v>
      </c>
      <c r="AI392" t="str">
        <f>"1701057"</f>
        <v>1701057</v>
      </c>
      <c r="AJ392" t="s">
        <v>379</v>
      </c>
      <c r="AK392">
        <v>2810234488</v>
      </c>
      <c r="AL392" t="s">
        <v>380</v>
      </c>
      <c r="AM392" t="s">
        <v>78</v>
      </c>
      <c r="AN392" t="s">
        <v>78</v>
      </c>
      <c r="AO392" t="s">
        <v>78</v>
      </c>
      <c r="AP392" t="s">
        <v>163</v>
      </c>
      <c r="AQ392">
        <v>8</v>
      </c>
      <c r="AR392" t="s">
        <v>123</v>
      </c>
      <c r="AS392" t="s">
        <v>124</v>
      </c>
      <c r="AT392" t="s">
        <v>58</v>
      </c>
      <c r="AU392" t="s">
        <v>350</v>
      </c>
      <c r="AV392" t="s">
        <v>132</v>
      </c>
      <c r="AW392" s="1">
        <v>31863</v>
      </c>
      <c r="AX392">
        <v>2</v>
      </c>
    </row>
    <row r="393" spans="1:50">
      <c r="A393">
        <v>205687</v>
      </c>
      <c r="B393" t="str">
        <f>"075263353"</f>
        <v>075263353</v>
      </c>
      <c r="C393" t="s">
        <v>105</v>
      </c>
      <c r="D393" t="s">
        <v>1261</v>
      </c>
      <c r="E393" t="s">
        <v>72</v>
      </c>
      <c r="F393" t="s">
        <v>84</v>
      </c>
      <c r="G393" t="s">
        <v>73</v>
      </c>
      <c r="H393" t="str">
        <f>"ΠΕΤΡΑΚΟΓΙΩΡΓΗ  48  ΜΟΙΡΕΣ"</f>
        <v>ΠΕΤΡΑΚΟΓΙΩΡΓΗ  48  ΜΟΙΡΕΣ</v>
      </c>
      <c r="I393">
        <v>70400</v>
      </c>
      <c r="J393">
        <v>2892022379</v>
      </c>
      <c r="K393">
        <v>6947073701</v>
      </c>
      <c r="L393">
        <v>2810221573</v>
      </c>
      <c r="M393" t="s">
        <v>1262</v>
      </c>
      <c r="N393" t="s">
        <v>204</v>
      </c>
      <c r="O393" t="s">
        <v>205</v>
      </c>
      <c r="R393" t="s">
        <v>57</v>
      </c>
      <c r="S393">
        <v>7</v>
      </c>
      <c r="T393">
        <v>231</v>
      </c>
      <c r="U393" s="1">
        <v>38230</v>
      </c>
      <c r="V393" t="s">
        <v>123</v>
      </c>
      <c r="W393" t="s">
        <v>124</v>
      </c>
      <c r="X393" t="s">
        <v>58</v>
      </c>
      <c r="Y393">
        <v>20</v>
      </c>
      <c r="Z393" t="s">
        <v>59</v>
      </c>
      <c r="AA393" t="s">
        <v>59</v>
      </c>
      <c r="AB393" t="s">
        <v>59</v>
      </c>
      <c r="AC393" t="s">
        <v>59</v>
      </c>
      <c r="AD393" t="s">
        <v>59</v>
      </c>
      <c r="AF393" s="1">
        <v>38233</v>
      </c>
      <c r="AG393" t="s">
        <v>148</v>
      </c>
      <c r="AH393" t="s">
        <v>149</v>
      </c>
      <c r="AI393" t="str">
        <f>"1756010"</f>
        <v>1756010</v>
      </c>
      <c r="AJ393" t="s">
        <v>874</v>
      </c>
      <c r="AK393">
        <v>2892022976</v>
      </c>
      <c r="AL393" t="s">
        <v>875</v>
      </c>
      <c r="AM393" t="s">
        <v>78</v>
      </c>
      <c r="AN393" t="s">
        <v>242</v>
      </c>
      <c r="AO393" t="s">
        <v>243</v>
      </c>
      <c r="AP393" t="s">
        <v>243</v>
      </c>
      <c r="AQ393">
        <v>33</v>
      </c>
      <c r="AR393" t="s">
        <v>123</v>
      </c>
      <c r="AS393" t="s">
        <v>124</v>
      </c>
      <c r="AT393" t="s">
        <v>58</v>
      </c>
      <c r="AU393" t="s">
        <v>68</v>
      </c>
      <c r="AV393" t="s">
        <v>69</v>
      </c>
      <c r="AW393" s="1">
        <v>25572</v>
      </c>
      <c r="AX393">
        <v>2</v>
      </c>
    </row>
    <row r="394" spans="1:50">
      <c r="A394">
        <v>179961</v>
      </c>
      <c r="B394" t="str">
        <f>"043581810"</f>
        <v>043581810</v>
      </c>
      <c r="C394" t="s">
        <v>50</v>
      </c>
      <c r="D394" t="s">
        <v>1263</v>
      </c>
      <c r="E394" t="s">
        <v>801</v>
      </c>
      <c r="F394" t="s">
        <v>72</v>
      </c>
      <c r="G394" t="s">
        <v>52</v>
      </c>
      <c r="H394" t="str">
        <f>"ΚΑΤΩ ΓΟΥΒΕΣ ΚΑΤΩ ΓΟΥΒΕΣ"</f>
        <v>ΚΑΤΩ ΓΟΥΒΕΣ ΚΑΤΩ ΓΟΥΒΕΣ</v>
      </c>
      <c r="I394">
        <v>70014</v>
      </c>
      <c r="J394">
        <v>2897041002</v>
      </c>
      <c r="K394">
        <v>6974280691</v>
      </c>
      <c r="M394" t="s">
        <v>1264</v>
      </c>
      <c r="N394" t="s">
        <v>292</v>
      </c>
      <c r="O394" t="s">
        <v>293</v>
      </c>
      <c r="R394" t="s">
        <v>57</v>
      </c>
      <c r="S394">
        <v>10</v>
      </c>
      <c r="T394">
        <v>164</v>
      </c>
      <c r="U394" s="1">
        <v>36040</v>
      </c>
      <c r="V394" t="s">
        <v>123</v>
      </c>
      <c r="W394" t="s">
        <v>124</v>
      </c>
      <c r="X394" t="s">
        <v>58</v>
      </c>
      <c r="Y394">
        <v>18</v>
      </c>
      <c r="Z394" t="s">
        <v>59</v>
      </c>
      <c r="AA394" t="s">
        <v>59</v>
      </c>
      <c r="AB394" t="s">
        <v>59</v>
      </c>
      <c r="AC394" t="s">
        <v>59</v>
      </c>
      <c r="AD394" t="s">
        <v>59</v>
      </c>
      <c r="AF394" s="1">
        <v>36046</v>
      </c>
      <c r="AG394" t="s">
        <v>125</v>
      </c>
      <c r="AH394" t="s">
        <v>126</v>
      </c>
      <c r="AI394" t="str">
        <f>"1714012"</f>
        <v>1714012</v>
      </c>
      <c r="AJ394" t="s">
        <v>633</v>
      </c>
      <c r="AK394">
        <v>2810762261</v>
      </c>
      <c r="AL394" t="s">
        <v>634</v>
      </c>
      <c r="AM394" t="s">
        <v>78</v>
      </c>
      <c r="AN394" t="s">
        <v>219</v>
      </c>
      <c r="AO394" t="s">
        <v>297</v>
      </c>
      <c r="AP394" t="s">
        <v>297</v>
      </c>
      <c r="AQ394">
        <v>37</v>
      </c>
      <c r="AR394" t="s">
        <v>123</v>
      </c>
      <c r="AS394" t="s">
        <v>124</v>
      </c>
      <c r="AT394" t="s">
        <v>58</v>
      </c>
      <c r="AU394" t="s">
        <v>68</v>
      </c>
      <c r="AV394" t="s">
        <v>69</v>
      </c>
      <c r="AW394" s="1">
        <v>20663</v>
      </c>
      <c r="AX394">
        <v>2</v>
      </c>
    </row>
    <row r="395" spans="1:50">
      <c r="A395">
        <v>174821</v>
      </c>
      <c r="B395" t="str">
        <f>"031589306"</f>
        <v>031589306</v>
      </c>
      <c r="C395" t="s">
        <v>105</v>
      </c>
      <c r="D395" t="s">
        <v>1265</v>
      </c>
      <c r="E395" t="s">
        <v>99</v>
      </c>
      <c r="F395" t="s">
        <v>581</v>
      </c>
      <c r="G395" t="s">
        <v>109</v>
      </c>
      <c r="H395" t="str">
        <f>"ΣΟΛΩΜΟΥ 27 ΗΡΑΚΛΕΙΟΥ"</f>
        <v>ΣΟΛΩΜΟΥ 27 ΗΡΑΚΛΕΙΟΥ</v>
      </c>
      <c r="I395">
        <v>71306</v>
      </c>
      <c r="J395">
        <v>2810213158</v>
      </c>
      <c r="K395">
        <v>6972078589</v>
      </c>
      <c r="M395" t="s">
        <v>1266</v>
      </c>
      <c r="N395" t="s">
        <v>204</v>
      </c>
      <c r="O395" t="s">
        <v>205</v>
      </c>
      <c r="P395" t="s">
        <v>292</v>
      </c>
      <c r="Q395" t="s">
        <v>293</v>
      </c>
      <c r="R395" t="s">
        <v>57</v>
      </c>
      <c r="S395">
        <v>15</v>
      </c>
      <c r="T395">
        <v>166</v>
      </c>
      <c r="U395" s="1">
        <v>35300</v>
      </c>
      <c r="V395" t="s">
        <v>123</v>
      </c>
      <c r="W395" t="s">
        <v>124</v>
      </c>
      <c r="X395" t="s">
        <v>58</v>
      </c>
      <c r="Y395">
        <v>18</v>
      </c>
      <c r="Z395" t="s">
        <v>59</v>
      </c>
      <c r="AA395" t="s">
        <v>59</v>
      </c>
      <c r="AB395" t="s">
        <v>59</v>
      </c>
      <c r="AC395" t="s">
        <v>59</v>
      </c>
      <c r="AD395" t="s">
        <v>59</v>
      </c>
      <c r="AF395" s="1">
        <v>35310</v>
      </c>
      <c r="AG395" t="s">
        <v>148</v>
      </c>
      <c r="AH395" t="s">
        <v>149</v>
      </c>
      <c r="AI395" t="str">
        <f>"1751052"</f>
        <v>1751052</v>
      </c>
      <c r="AJ395" t="s">
        <v>328</v>
      </c>
      <c r="AK395">
        <v>2810213762</v>
      </c>
      <c r="AL395" t="s">
        <v>329</v>
      </c>
      <c r="AM395" t="s">
        <v>78</v>
      </c>
      <c r="AN395" t="s">
        <v>78</v>
      </c>
      <c r="AO395" t="s">
        <v>78</v>
      </c>
      <c r="AP395" t="s">
        <v>163</v>
      </c>
      <c r="AQ395">
        <v>8</v>
      </c>
      <c r="AR395" t="s">
        <v>123</v>
      </c>
      <c r="AS395" t="s">
        <v>124</v>
      </c>
      <c r="AT395" t="s">
        <v>58</v>
      </c>
      <c r="AU395" t="s">
        <v>68</v>
      </c>
      <c r="AV395" t="s">
        <v>69</v>
      </c>
      <c r="AW395" s="1">
        <v>21870</v>
      </c>
      <c r="AX395">
        <v>2</v>
      </c>
    </row>
    <row r="396" spans="1:50">
      <c r="A396">
        <v>203912</v>
      </c>
      <c r="B396" t="str">
        <f>"039652171"</f>
        <v>039652171</v>
      </c>
      <c r="C396" t="s">
        <v>105</v>
      </c>
      <c r="D396" t="s">
        <v>1267</v>
      </c>
      <c r="E396" t="s">
        <v>72</v>
      </c>
      <c r="F396" t="s">
        <v>84</v>
      </c>
      <c r="G396" t="s">
        <v>869</v>
      </c>
      <c r="H396" t="str">
        <f>"ΔΡΑΜΑΣ  5 ΠΑΤΕΛΛΕΣ"</f>
        <v>ΔΡΑΜΑΣ  5 ΠΑΤΕΛΛΕΣ</v>
      </c>
      <c r="I396">
        <v>71307</v>
      </c>
      <c r="J396">
        <v>2814003439</v>
      </c>
      <c r="K396">
        <v>6972702201</v>
      </c>
      <c r="M396" t="s">
        <v>1268</v>
      </c>
      <c r="N396" t="s">
        <v>176</v>
      </c>
      <c r="O396" t="s">
        <v>177</v>
      </c>
      <c r="R396" t="s">
        <v>57</v>
      </c>
      <c r="S396">
        <v>9</v>
      </c>
      <c r="T396">
        <v>231</v>
      </c>
      <c r="U396" s="1">
        <v>38230</v>
      </c>
      <c r="V396" t="s">
        <v>123</v>
      </c>
      <c r="W396" t="s">
        <v>124</v>
      </c>
      <c r="X396" t="s">
        <v>58</v>
      </c>
      <c r="Y396">
        <v>20</v>
      </c>
      <c r="Z396" t="s">
        <v>59</v>
      </c>
      <c r="AA396" t="s">
        <v>59</v>
      </c>
      <c r="AB396" t="s">
        <v>59</v>
      </c>
      <c r="AC396" t="s">
        <v>59</v>
      </c>
      <c r="AD396" t="s">
        <v>59</v>
      </c>
      <c r="AF396" s="1">
        <v>38232</v>
      </c>
      <c r="AG396" t="s">
        <v>148</v>
      </c>
      <c r="AH396" t="s">
        <v>149</v>
      </c>
      <c r="AI396" t="str">
        <f>"1777010"</f>
        <v>1777010</v>
      </c>
      <c r="AJ396" t="s">
        <v>612</v>
      </c>
      <c r="AK396">
        <v>2810229220</v>
      </c>
      <c r="AL396" t="s">
        <v>613</v>
      </c>
      <c r="AM396" t="s">
        <v>78</v>
      </c>
      <c r="AN396" t="s">
        <v>78</v>
      </c>
      <c r="AO396" t="s">
        <v>286</v>
      </c>
      <c r="AP396" t="s">
        <v>286</v>
      </c>
      <c r="AQ396">
        <v>12</v>
      </c>
      <c r="AR396" t="s">
        <v>123</v>
      </c>
      <c r="AS396" t="s">
        <v>124</v>
      </c>
      <c r="AT396" t="s">
        <v>58</v>
      </c>
      <c r="AU396" t="s">
        <v>68</v>
      </c>
      <c r="AV396" t="s">
        <v>69</v>
      </c>
      <c r="AW396" s="1">
        <v>24418</v>
      </c>
      <c r="AX396">
        <v>2</v>
      </c>
    </row>
    <row r="397" spans="1:50">
      <c r="A397">
        <v>176000</v>
      </c>
      <c r="B397" t="str">
        <f>"030234478"</f>
        <v>030234478</v>
      </c>
      <c r="C397" t="s">
        <v>105</v>
      </c>
      <c r="D397" t="s">
        <v>1269</v>
      </c>
      <c r="E397" t="s">
        <v>72</v>
      </c>
      <c r="F397" t="s">
        <v>106</v>
      </c>
      <c r="G397" t="s">
        <v>1270</v>
      </c>
      <c r="H397" t="str">
        <f>"Μ. ΒΛΑΧΟΥ 8 "</f>
        <v xml:space="preserve">Μ. ΒΛΑΧΟΥ 8 </v>
      </c>
      <c r="I397">
        <v>71305</v>
      </c>
      <c r="J397">
        <v>2810323869</v>
      </c>
      <c r="K397">
        <v>6944568188</v>
      </c>
      <c r="M397" t="s">
        <v>1271</v>
      </c>
      <c r="N397" t="s">
        <v>232</v>
      </c>
      <c r="O397" t="s">
        <v>233</v>
      </c>
      <c r="R397" t="s">
        <v>57</v>
      </c>
      <c r="S397">
        <v>10</v>
      </c>
      <c r="T397">
        <v>180</v>
      </c>
      <c r="U397" s="1">
        <v>35674</v>
      </c>
      <c r="V397" t="s">
        <v>123</v>
      </c>
      <c r="W397" t="s">
        <v>124</v>
      </c>
      <c r="X397" t="s">
        <v>58</v>
      </c>
      <c r="Y397">
        <v>18</v>
      </c>
      <c r="Z397" t="s">
        <v>59</v>
      </c>
      <c r="AA397" t="s">
        <v>59</v>
      </c>
      <c r="AB397" t="s">
        <v>59</v>
      </c>
      <c r="AC397" t="s">
        <v>59</v>
      </c>
      <c r="AD397" t="s">
        <v>59</v>
      </c>
      <c r="AF397" s="1">
        <v>35674</v>
      </c>
      <c r="AG397" t="s">
        <v>148</v>
      </c>
      <c r="AH397" t="s">
        <v>149</v>
      </c>
      <c r="AI397" t="str">
        <f>"1751051"</f>
        <v>1751051</v>
      </c>
      <c r="AJ397" t="s">
        <v>259</v>
      </c>
      <c r="AK397">
        <v>2810251794</v>
      </c>
      <c r="AL397" t="s">
        <v>260</v>
      </c>
      <c r="AM397" t="s">
        <v>78</v>
      </c>
      <c r="AN397" t="s">
        <v>78</v>
      </c>
      <c r="AO397" t="s">
        <v>78</v>
      </c>
      <c r="AP397" t="s">
        <v>141</v>
      </c>
      <c r="AQ397">
        <v>7</v>
      </c>
      <c r="AR397" t="s">
        <v>123</v>
      </c>
      <c r="AS397" t="s">
        <v>124</v>
      </c>
      <c r="AT397" t="s">
        <v>58</v>
      </c>
      <c r="AU397" t="s">
        <v>68</v>
      </c>
      <c r="AV397" t="s">
        <v>69</v>
      </c>
      <c r="AW397" s="1">
        <v>21933</v>
      </c>
      <c r="AX397">
        <v>2</v>
      </c>
    </row>
    <row r="398" spans="1:50">
      <c r="A398">
        <v>700645</v>
      </c>
      <c r="B398" t="str">
        <f>"049091278"</f>
        <v>049091278</v>
      </c>
      <c r="C398" t="s">
        <v>105</v>
      </c>
      <c r="D398" t="s">
        <v>1272</v>
      </c>
      <c r="E398" t="s">
        <v>510</v>
      </c>
      <c r="F398" t="s">
        <v>450</v>
      </c>
      <c r="G398" t="s">
        <v>112</v>
      </c>
      <c r="H398" t="str">
        <f>"ΘΕΜΙΔΟΣ 5 ΑΘΑΝΑΤΟΙ, ΗΡΑΚΛΕΙΟ"</f>
        <v>ΘΕΜΙΔΟΣ 5 ΑΘΑΝΑΤΟΙ, ΗΡΑΚΛΕΙΟ</v>
      </c>
      <c r="I398">
        <v>71500</v>
      </c>
      <c r="J398">
        <v>2810542625</v>
      </c>
      <c r="K398">
        <v>6978097790</v>
      </c>
      <c r="M398" t="s">
        <v>1273</v>
      </c>
      <c r="N398" t="s">
        <v>146</v>
      </c>
      <c r="O398" t="s">
        <v>147</v>
      </c>
      <c r="P398" t="s">
        <v>257</v>
      </c>
      <c r="Q398" t="s">
        <v>258</v>
      </c>
      <c r="R398" t="s">
        <v>57</v>
      </c>
      <c r="S398">
        <v>6</v>
      </c>
      <c r="T398">
        <v>772</v>
      </c>
      <c r="U398" s="1">
        <v>40413</v>
      </c>
      <c r="V398" t="s">
        <v>123</v>
      </c>
      <c r="W398" t="s">
        <v>124</v>
      </c>
      <c r="X398" t="s">
        <v>58</v>
      </c>
      <c r="Y398">
        <v>21</v>
      </c>
      <c r="Z398" t="s">
        <v>59</v>
      </c>
      <c r="AA398" t="s">
        <v>59</v>
      </c>
      <c r="AB398" t="s">
        <v>59</v>
      </c>
      <c r="AC398" t="s">
        <v>59</v>
      </c>
      <c r="AD398" t="s">
        <v>59</v>
      </c>
      <c r="AF398" s="1">
        <v>40413</v>
      </c>
      <c r="AG398" t="s">
        <v>137</v>
      </c>
      <c r="AH398" t="s">
        <v>138</v>
      </c>
      <c r="AI398" t="str">
        <f>"1740300"</f>
        <v>1740300</v>
      </c>
      <c r="AJ398" t="s">
        <v>1274</v>
      </c>
      <c r="AK398">
        <v>2892022100</v>
      </c>
      <c r="AL398" t="s">
        <v>1275</v>
      </c>
      <c r="AM398" t="s">
        <v>78</v>
      </c>
      <c r="AN398" t="s">
        <v>242</v>
      </c>
      <c r="AO398" t="s">
        <v>243</v>
      </c>
      <c r="AP398" t="s">
        <v>243</v>
      </c>
      <c r="AQ398">
        <v>33</v>
      </c>
      <c r="AR398" t="s">
        <v>123</v>
      </c>
      <c r="AS398" t="s">
        <v>124</v>
      </c>
      <c r="AT398" t="s">
        <v>58</v>
      </c>
      <c r="AU398" t="s">
        <v>68</v>
      </c>
      <c r="AV398" t="s">
        <v>69</v>
      </c>
      <c r="AW398" s="1">
        <v>28851</v>
      </c>
      <c r="AX398">
        <v>2</v>
      </c>
    </row>
    <row r="399" spans="1:50">
      <c r="A399">
        <v>700210</v>
      </c>
      <c r="B399" t="str">
        <f>"066310975"</f>
        <v>066310975</v>
      </c>
      <c r="C399" t="s">
        <v>50</v>
      </c>
      <c r="D399" t="s">
        <v>1276</v>
      </c>
      <c r="E399" t="s">
        <v>1277</v>
      </c>
      <c r="F399" t="s">
        <v>154</v>
      </c>
      <c r="G399" t="s">
        <v>52</v>
      </c>
      <c r="H399" t="str">
        <f>"25 ΜΑΡΤΙΟΥ 225 ΜΟΙΡΕΣ"</f>
        <v>25 ΜΑΡΤΙΟΥ 225 ΜΟΙΡΕΣ</v>
      </c>
      <c r="I399">
        <v>70400</v>
      </c>
      <c r="J399">
        <v>2892024888</v>
      </c>
      <c r="K399">
        <v>6932231459</v>
      </c>
      <c r="N399" t="s">
        <v>146</v>
      </c>
      <c r="O399" t="s">
        <v>147</v>
      </c>
      <c r="R399" t="s">
        <v>57</v>
      </c>
      <c r="S399">
        <v>5</v>
      </c>
      <c r="T399">
        <v>772</v>
      </c>
      <c r="U399" s="1">
        <v>40413</v>
      </c>
      <c r="V399" t="s">
        <v>123</v>
      </c>
      <c r="W399" t="s">
        <v>124</v>
      </c>
      <c r="X399" t="s">
        <v>58</v>
      </c>
      <c r="Y399">
        <v>21</v>
      </c>
      <c r="Z399" t="s">
        <v>59</v>
      </c>
      <c r="AA399" t="s">
        <v>59</v>
      </c>
      <c r="AB399" t="s">
        <v>59</v>
      </c>
      <c r="AC399" t="s">
        <v>59</v>
      </c>
      <c r="AD399" t="s">
        <v>59</v>
      </c>
      <c r="AF399" s="1">
        <v>40414</v>
      </c>
      <c r="AG399" t="s">
        <v>148</v>
      </c>
      <c r="AH399" t="s">
        <v>149</v>
      </c>
      <c r="AI399" t="str">
        <f>"1757010"</f>
        <v>1757010</v>
      </c>
      <c r="AJ399" t="s">
        <v>240</v>
      </c>
      <c r="AK399">
        <v>2892041388</v>
      </c>
      <c r="AL399" t="s">
        <v>241</v>
      </c>
      <c r="AM399" t="s">
        <v>78</v>
      </c>
      <c r="AN399" t="s">
        <v>242</v>
      </c>
      <c r="AO399" t="s">
        <v>243</v>
      </c>
      <c r="AP399" t="s">
        <v>244</v>
      </c>
      <c r="AQ399">
        <v>34</v>
      </c>
      <c r="AR399" t="s">
        <v>123</v>
      </c>
      <c r="AS399" t="s">
        <v>124</v>
      </c>
      <c r="AT399" t="s">
        <v>58</v>
      </c>
      <c r="AU399" t="s">
        <v>68</v>
      </c>
      <c r="AV399" t="s">
        <v>69</v>
      </c>
      <c r="AW399" s="1">
        <v>27597</v>
      </c>
      <c r="AX399">
        <v>2</v>
      </c>
    </row>
    <row r="400" spans="1:50">
      <c r="A400">
        <v>218841</v>
      </c>
      <c r="B400" t="str">
        <f>"031846548"</f>
        <v>031846548</v>
      </c>
      <c r="C400" t="s">
        <v>50</v>
      </c>
      <c r="D400" t="s">
        <v>1278</v>
      </c>
      <c r="E400" t="s">
        <v>54</v>
      </c>
      <c r="F400" t="s">
        <v>321</v>
      </c>
      <c r="G400" t="s">
        <v>1279</v>
      </c>
      <c r="H400" t="str">
        <f>"ΚΟΚΚΙΝΗ ΧΑΝΙ ΓΟΥΒΕΣ"</f>
        <v>ΚΟΚΚΙΝΗ ΧΑΝΙ ΓΟΥΒΕΣ</v>
      </c>
      <c r="I400">
        <v>71500</v>
      </c>
      <c r="J400">
        <v>2810752344</v>
      </c>
      <c r="K400">
        <v>6945210543</v>
      </c>
      <c r="L400">
        <v>2810761975</v>
      </c>
      <c r="N400" t="s">
        <v>246</v>
      </c>
      <c r="O400" t="s">
        <v>247</v>
      </c>
      <c r="R400" t="s">
        <v>57</v>
      </c>
      <c r="S400">
        <v>6</v>
      </c>
      <c r="T400">
        <v>599</v>
      </c>
      <c r="U400" s="1">
        <v>39310</v>
      </c>
      <c r="V400" t="s">
        <v>123</v>
      </c>
      <c r="W400" t="s">
        <v>124</v>
      </c>
      <c r="X400" t="s">
        <v>58</v>
      </c>
      <c r="Y400">
        <v>20</v>
      </c>
      <c r="Z400" t="s">
        <v>59</v>
      </c>
      <c r="AA400" t="s">
        <v>59</v>
      </c>
      <c r="AB400" t="s">
        <v>59</v>
      </c>
      <c r="AC400" t="s">
        <v>59</v>
      </c>
      <c r="AD400" t="s">
        <v>59</v>
      </c>
      <c r="AF400" s="1">
        <v>39329</v>
      </c>
      <c r="AG400" t="s">
        <v>125</v>
      </c>
      <c r="AH400" t="s">
        <v>386</v>
      </c>
      <c r="AI400" t="str">
        <f>"1741002"</f>
        <v>1741002</v>
      </c>
      <c r="AJ400" t="s">
        <v>387</v>
      </c>
      <c r="AK400">
        <v>2810762610</v>
      </c>
      <c r="AL400" t="s">
        <v>388</v>
      </c>
      <c r="AM400" t="s">
        <v>78</v>
      </c>
      <c r="AN400" t="s">
        <v>219</v>
      </c>
      <c r="AO400" t="s">
        <v>297</v>
      </c>
      <c r="AP400" t="s">
        <v>297</v>
      </c>
      <c r="AQ400">
        <v>10</v>
      </c>
      <c r="AR400" t="s">
        <v>123</v>
      </c>
      <c r="AS400" t="s">
        <v>124</v>
      </c>
      <c r="AT400" t="s">
        <v>58</v>
      </c>
      <c r="AU400" t="s">
        <v>68</v>
      </c>
      <c r="AV400" t="s">
        <v>69</v>
      </c>
      <c r="AW400" s="1">
        <v>22841</v>
      </c>
      <c r="AX400">
        <v>2</v>
      </c>
    </row>
    <row r="401" spans="1:50">
      <c r="A401">
        <v>205980</v>
      </c>
      <c r="B401" t="str">
        <f>"110137863"</f>
        <v>110137863</v>
      </c>
      <c r="C401" t="s">
        <v>50</v>
      </c>
      <c r="D401" t="s">
        <v>1280</v>
      </c>
      <c r="E401" t="s">
        <v>1281</v>
      </c>
      <c r="F401" t="s">
        <v>99</v>
      </c>
      <c r="G401" t="s">
        <v>52</v>
      </c>
      <c r="H401" t="str">
        <f>" "</f>
        <v xml:space="preserve"> </v>
      </c>
      <c r="J401">
        <v>2810330620</v>
      </c>
      <c r="K401">
        <v>6972720703</v>
      </c>
      <c r="M401" t="s">
        <v>1282</v>
      </c>
      <c r="N401" t="s">
        <v>199</v>
      </c>
      <c r="O401" t="s">
        <v>200</v>
      </c>
      <c r="R401" t="s">
        <v>57</v>
      </c>
      <c r="S401">
        <v>7</v>
      </c>
      <c r="T401">
        <v>231</v>
      </c>
      <c r="U401" s="1">
        <v>38230</v>
      </c>
      <c r="V401" t="s">
        <v>123</v>
      </c>
      <c r="W401" t="s">
        <v>124</v>
      </c>
      <c r="X401" t="s">
        <v>58</v>
      </c>
      <c r="Y401">
        <v>20</v>
      </c>
      <c r="Z401" t="s">
        <v>59</v>
      </c>
      <c r="AA401" t="s">
        <v>59</v>
      </c>
      <c r="AB401" t="s">
        <v>59</v>
      </c>
      <c r="AC401" t="s">
        <v>59</v>
      </c>
      <c r="AD401" t="s">
        <v>59</v>
      </c>
      <c r="AF401" s="1">
        <v>38231</v>
      </c>
      <c r="AG401" t="s">
        <v>148</v>
      </c>
      <c r="AH401" t="s">
        <v>149</v>
      </c>
      <c r="AI401" t="str">
        <f>"1790070"</f>
        <v>1790070</v>
      </c>
      <c r="AJ401" t="s">
        <v>1283</v>
      </c>
      <c r="AK401">
        <v>2810252154</v>
      </c>
      <c r="AL401" t="s">
        <v>1284</v>
      </c>
      <c r="AM401" t="s">
        <v>78</v>
      </c>
      <c r="AN401" t="s">
        <v>78</v>
      </c>
      <c r="AO401" t="s">
        <v>78</v>
      </c>
      <c r="AP401" t="s">
        <v>141</v>
      </c>
      <c r="AQ401">
        <v>7</v>
      </c>
      <c r="AR401" t="s">
        <v>123</v>
      </c>
      <c r="AS401" t="s">
        <v>124</v>
      </c>
      <c r="AT401" t="s">
        <v>58</v>
      </c>
      <c r="AU401" t="s">
        <v>68</v>
      </c>
      <c r="AV401" t="s">
        <v>69</v>
      </c>
      <c r="AW401" s="1">
        <v>26469</v>
      </c>
      <c r="AX401">
        <v>2</v>
      </c>
    </row>
    <row r="402" spans="1:50">
      <c r="A402">
        <v>214494</v>
      </c>
      <c r="B402" t="str">
        <f>"073557949"</f>
        <v>073557949</v>
      </c>
      <c r="C402" t="s">
        <v>105</v>
      </c>
      <c r="D402" t="s">
        <v>1285</v>
      </c>
      <c r="E402" t="s">
        <v>72</v>
      </c>
      <c r="F402" t="s">
        <v>1286</v>
      </c>
      <c r="G402" t="s">
        <v>112</v>
      </c>
      <c r="H402" t="str">
        <f>"ΒΕΡΝΙΟΥ 38 ΗΡΑΚΛΕΙΟ"</f>
        <v>ΒΕΡΝΙΟΥ 38 ΗΡΑΚΛΕΙΟ</v>
      </c>
      <c r="I402">
        <v>71306</v>
      </c>
      <c r="J402">
        <v>2810258367</v>
      </c>
      <c r="K402">
        <v>6972703897</v>
      </c>
      <c r="N402" t="s">
        <v>176</v>
      </c>
      <c r="O402" t="s">
        <v>177</v>
      </c>
      <c r="R402" t="s">
        <v>57</v>
      </c>
      <c r="S402">
        <v>8</v>
      </c>
      <c r="T402">
        <v>231</v>
      </c>
      <c r="U402" s="1">
        <v>38960</v>
      </c>
      <c r="V402" t="s">
        <v>123</v>
      </c>
      <c r="W402" t="s">
        <v>124</v>
      </c>
      <c r="X402" t="s">
        <v>58</v>
      </c>
      <c r="Y402">
        <v>20</v>
      </c>
      <c r="Z402" t="s">
        <v>59</v>
      </c>
      <c r="AA402" t="s">
        <v>59</v>
      </c>
      <c r="AB402" t="s">
        <v>59</v>
      </c>
      <c r="AC402" t="s">
        <v>59</v>
      </c>
      <c r="AD402" t="s">
        <v>59</v>
      </c>
      <c r="AF402" s="1">
        <v>38961</v>
      </c>
      <c r="AG402" t="s">
        <v>137</v>
      </c>
      <c r="AH402" t="s">
        <v>138</v>
      </c>
      <c r="AI402" t="str">
        <f>"1740210"</f>
        <v>1740210</v>
      </c>
      <c r="AJ402" t="s">
        <v>139</v>
      </c>
      <c r="AK402">
        <v>2810318130</v>
      </c>
      <c r="AL402" t="s">
        <v>140</v>
      </c>
      <c r="AM402" t="s">
        <v>78</v>
      </c>
      <c r="AN402" t="s">
        <v>78</v>
      </c>
      <c r="AO402" t="s">
        <v>78</v>
      </c>
      <c r="AP402" t="s">
        <v>141</v>
      </c>
      <c r="AQ402">
        <v>7</v>
      </c>
      <c r="AR402" t="s">
        <v>123</v>
      </c>
      <c r="AS402" t="s">
        <v>124</v>
      </c>
      <c r="AT402" t="s">
        <v>58</v>
      </c>
      <c r="AU402" t="s">
        <v>68</v>
      </c>
      <c r="AV402" t="s">
        <v>69</v>
      </c>
      <c r="AW402" s="1">
        <v>25805</v>
      </c>
      <c r="AX402">
        <v>2</v>
      </c>
    </row>
    <row r="403" spans="1:50">
      <c r="A403">
        <v>206938</v>
      </c>
      <c r="B403" t="str">
        <f>"055505632"</f>
        <v>055505632</v>
      </c>
      <c r="C403" t="s">
        <v>50</v>
      </c>
      <c r="D403" t="s">
        <v>1287</v>
      </c>
      <c r="E403" t="s">
        <v>263</v>
      </c>
      <c r="F403" t="s">
        <v>989</v>
      </c>
      <c r="G403" t="s">
        <v>255</v>
      </c>
      <c r="H403" t="str">
        <f>"ΑΝΔΡΕΑ ΠΑΠΑΝΔΡΕΟΥ 37 ΜΑΣΤΑΜΠΑΣ"</f>
        <v>ΑΝΔΡΕΑ ΠΑΠΑΝΔΡΕΟΥ 37 ΜΑΣΤΑΜΠΑΣ</v>
      </c>
      <c r="I403">
        <v>71305</v>
      </c>
      <c r="J403">
        <v>2810285011</v>
      </c>
      <c r="K403">
        <v>6976798158</v>
      </c>
      <c r="M403" t="s">
        <v>1288</v>
      </c>
      <c r="N403" t="s">
        <v>292</v>
      </c>
      <c r="O403" t="s">
        <v>293</v>
      </c>
      <c r="R403" t="s">
        <v>57</v>
      </c>
      <c r="S403">
        <v>9</v>
      </c>
      <c r="T403">
        <v>218</v>
      </c>
      <c r="U403" s="1">
        <v>38596</v>
      </c>
      <c r="V403" t="s">
        <v>123</v>
      </c>
      <c r="W403" t="s">
        <v>124</v>
      </c>
      <c r="X403" t="s">
        <v>58</v>
      </c>
      <c r="Y403">
        <v>20</v>
      </c>
      <c r="Z403" t="s">
        <v>59</v>
      </c>
      <c r="AA403" t="s">
        <v>59</v>
      </c>
      <c r="AB403" t="s">
        <v>59</v>
      </c>
      <c r="AC403" t="s">
        <v>59</v>
      </c>
      <c r="AD403" t="s">
        <v>59</v>
      </c>
      <c r="AF403" s="1">
        <v>38602</v>
      </c>
      <c r="AG403" t="s">
        <v>125</v>
      </c>
      <c r="AH403" t="s">
        <v>126</v>
      </c>
      <c r="AI403" t="str">
        <f>"1701054"</f>
        <v>1701054</v>
      </c>
      <c r="AJ403" t="s">
        <v>318</v>
      </c>
      <c r="AK403">
        <v>2810252418</v>
      </c>
      <c r="AL403" t="s">
        <v>319</v>
      </c>
      <c r="AM403" t="s">
        <v>78</v>
      </c>
      <c r="AN403" t="s">
        <v>78</v>
      </c>
      <c r="AO403" t="s">
        <v>78</v>
      </c>
      <c r="AP403" t="s">
        <v>141</v>
      </c>
      <c r="AQ403">
        <v>7</v>
      </c>
      <c r="AR403" t="s">
        <v>123</v>
      </c>
      <c r="AS403" t="s">
        <v>124</v>
      </c>
      <c r="AT403" t="s">
        <v>58</v>
      </c>
      <c r="AU403" t="s">
        <v>68</v>
      </c>
      <c r="AV403" t="s">
        <v>69</v>
      </c>
      <c r="AW403" s="1">
        <v>22556</v>
      </c>
      <c r="AX403">
        <v>2</v>
      </c>
    </row>
    <row r="404" spans="1:50">
      <c r="B404" t="str">
        <f>"102758538"</f>
        <v>102758538</v>
      </c>
      <c r="C404" t="s">
        <v>50</v>
      </c>
      <c r="D404" t="s">
        <v>1287</v>
      </c>
      <c r="E404" t="s">
        <v>83</v>
      </c>
      <c r="F404" t="s">
        <v>95</v>
      </c>
      <c r="G404" t="s">
        <v>52</v>
      </c>
      <c r="H404" t="str">
        <f>"ΠΕΡΙΚΛΕΟΥΣ 107 ΑΘΗΝΑ/ ΧΑΛΑΝΔΡΙ"</f>
        <v>ΠΕΡΙΚΛΕΟΥΣ 107 ΑΘΗΝΑ/ ΧΑΛΑΝΔΡΙ</v>
      </c>
      <c r="I404">
        <v>15231</v>
      </c>
      <c r="J404">
        <v>2110180629</v>
      </c>
      <c r="K404">
        <v>6974064968</v>
      </c>
      <c r="M404" t="s">
        <v>1289</v>
      </c>
      <c r="N404" t="s">
        <v>146</v>
      </c>
      <c r="O404" t="s">
        <v>147</v>
      </c>
      <c r="R404" t="s">
        <v>159</v>
      </c>
      <c r="S404">
        <v>3</v>
      </c>
      <c r="T404" t="s">
        <v>160</v>
      </c>
      <c r="U404" s="1">
        <v>43364</v>
      </c>
      <c r="V404" t="s">
        <v>123</v>
      </c>
      <c r="W404" t="s">
        <v>124</v>
      </c>
      <c r="X404" t="s">
        <v>58</v>
      </c>
      <c r="Y404">
        <v>23</v>
      </c>
      <c r="Z404" t="s">
        <v>59</v>
      </c>
      <c r="AA404" t="s">
        <v>59</v>
      </c>
      <c r="AB404" t="s">
        <v>59</v>
      </c>
      <c r="AC404" t="s">
        <v>59</v>
      </c>
      <c r="AD404" t="s">
        <v>59</v>
      </c>
      <c r="AF404" s="1">
        <v>43367</v>
      </c>
      <c r="AG404" t="s">
        <v>148</v>
      </c>
      <c r="AH404" t="s">
        <v>149</v>
      </c>
      <c r="AI404" t="str">
        <f>"1755010"</f>
        <v>1755010</v>
      </c>
      <c r="AJ404" t="s">
        <v>274</v>
      </c>
      <c r="AK404">
        <v>2891031124</v>
      </c>
      <c r="AL404" t="s">
        <v>275</v>
      </c>
      <c r="AM404" t="s">
        <v>78</v>
      </c>
      <c r="AN404" t="s">
        <v>276</v>
      </c>
      <c r="AO404" t="s">
        <v>277</v>
      </c>
      <c r="AP404" t="s">
        <v>277</v>
      </c>
      <c r="AQ404">
        <v>17</v>
      </c>
      <c r="AR404" t="s">
        <v>123</v>
      </c>
      <c r="AS404" t="s">
        <v>124</v>
      </c>
      <c r="AT404" t="s">
        <v>58</v>
      </c>
      <c r="AU404" t="s">
        <v>164</v>
      </c>
      <c r="AV404" t="s">
        <v>132</v>
      </c>
      <c r="AW404" s="1">
        <v>28170</v>
      </c>
      <c r="AX404">
        <v>2</v>
      </c>
    </row>
    <row r="405" spans="1:50">
      <c r="A405">
        <v>229044</v>
      </c>
      <c r="B405" t="str">
        <f>"103540732"</f>
        <v>103540732</v>
      </c>
      <c r="C405" t="s">
        <v>50</v>
      </c>
      <c r="D405" t="s">
        <v>1290</v>
      </c>
      <c r="E405" t="s">
        <v>366</v>
      </c>
      <c r="F405" t="s">
        <v>99</v>
      </c>
      <c r="G405" t="s">
        <v>83</v>
      </c>
      <c r="H405" t="str">
        <f>"ΑΝΔΡΕΑ ΠΑΠΑΝΔΡΕΟΥ 146 ΗΡΑΚΛΕΙΟ"</f>
        <v>ΑΝΔΡΕΑ ΠΑΠΑΝΔΡΕΟΥ 146 ΗΡΑΚΛΕΙΟ</v>
      </c>
      <c r="I405">
        <v>71305</v>
      </c>
      <c r="J405">
        <v>2810260936</v>
      </c>
      <c r="K405">
        <v>6977387961</v>
      </c>
      <c r="M405" t="s">
        <v>1291</v>
      </c>
      <c r="N405" t="s">
        <v>306</v>
      </c>
      <c r="O405" t="s">
        <v>307</v>
      </c>
      <c r="R405" t="s">
        <v>57</v>
      </c>
      <c r="S405">
        <v>5</v>
      </c>
      <c r="T405">
        <v>720</v>
      </c>
      <c r="U405" s="1">
        <v>40059</v>
      </c>
      <c r="V405" t="s">
        <v>123</v>
      </c>
      <c r="W405" t="s">
        <v>124</v>
      </c>
      <c r="X405" t="s">
        <v>58</v>
      </c>
      <c r="Y405">
        <v>21</v>
      </c>
      <c r="Z405" t="s">
        <v>59</v>
      </c>
      <c r="AA405" t="s">
        <v>59</v>
      </c>
      <c r="AB405" t="s">
        <v>59</v>
      </c>
      <c r="AC405" t="s">
        <v>59</v>
      </c>
      <c r="AD405" t="s">
        <v>59</v>
      </c>
      <c r="AF405" s="1">
        <v>40060</v>
      </c>
      <c r="AG405" t="s">
        <v>125</v>
      </c>
      <c r="AH405" t="s">
        <v>126</v>
      </c>
      <c r="AI405" t="str">
        <f>"1701090"</f>
        <v>1701090</v>
      </c>
      <c r="AJ405" t="s">
        <v>435</v>
      </c>
      <c r="AK405">
        <v>2810871288</v>
      </c>
      <c r="AL405" t="s">
        <v>436</v>
      </c>
      <c r="AM405" t="s">
        <v>78</v>
      </c>
      <c r="AN405" t="s">
        <v>78</v>
      </c>
      <c r="AO405" t="s">
        <v>437</v>
      </c>
      <c r="AP405" t="s">
        <v>438</v>
      </c>
      <c r="AQ405">
        <v>26</v>
      </c>
      <c r="AR405" t="s">
        <v>123</v>
      </c>
      <c r="AS405" t="s">
        <v>124</v>
      </c>
      <c r="AT405" t="s">
        <v>58</v>
      </c>
      <c r="AU405" t="s">
        <v>68</v>
      </c>
      <c r="AV405" t="s">
        <v>69</v>
      </c>
      <c r="AW405" s="1">
        <v>28185</v>
      </c>
      <c r="AX405">
        <v>2</v>
      </c>
    </row>
    <row r="406" spans="1:50">
      <c r="A406">
        <v>224089</v>
      </c>
      <c r="B406" t="str">
        <f>"064980938"</f>
        <v>064980938</v>
      </c>
      <c r="C406" t="s">
        <v>50</v>
      </c>
      <c r="D406" t="s">
        <v>1292</v>
      </c>
      <c r="E406" t="s">
        <v>181</v>
      </c>
      <c r="F406" t="s">
        <v>166</v>
      </c>
      <c r="G406" t="s">
        <v>255</v>
      </c>
      <c r="H406" t="str">
        <f>"ΕΡΩΦΙΛΗΣ 6 ΘΕΡΙΣΣΟΣ"</f>
        <v>ΕΡΩΦΙΛΗΣ 6 ΘΕΡΙΣΣΟΣ</v>
      </c>
      <c r="I406">
        <v>71305</v>
      </c>
      <c r="J406">
        <v>2810327072</v>
      </c>
      <c r="K406">
        <v>6934595670</v>
      </c>
      <c r="N406" t="s">
        <v>306</v>
      </c>
      <c r="O406" t="s">
        <v>307</v>
      </c>
      <c r="R406" t="s">
        <v>57</v>
      </c>
      <c r="S406">
        <v>6</v>
      </c>
      <c r="T406">
        <v>775</v>
      </c>
      <c r="U406" s="1">
        <v>39680</v>
      </c>
      <c r="V406" t="s">
        <v>123</v>
      </c>
      <c r="W406" t="s">
        <v>124</v>
      </c>
      <c r="X406" t="s">
        <v>58</v>
      </c>
      <c r="Y406">
        <v>20</v>
      </c>
      <c r="Z406" t="s">
        <v>59</v>
      </c>
      <c r="AA406" t="s">
        <v>59</v>
      </c>
      <c r="AB406" t="s">
        <v>59</v>
      </c>
      <c r="AC406" t="s">
        <v>59</v>
      </c>
      <c r="AD406" t="s">
        <v>59</v>
      </c>
      <c r="AF406" s="1">
        <v>39682</v>
      </c>
      <c r="AG406" t="s">
        <v>125</v>
      </c>
      <c r="AH406" t="s">
        <v>126</v>
      </c>
      <c r="AI406" t="str">
        <f>"1701020"</f>
        <v>1701020</v>
      </c>
      <c r="AJ406" t="s">
        <v>323</v>
      </c>
      <c r="AK406">
        <v>2810252111</v>
      </c>
      <c r="AL406" t="s">
        <v>324</v>
      </c>
      <c r="AM406" t="s">
        <v>78</v>
      </c>
      <c r="AN406" t="s">
        <v>78</v>
      </c>
      <c r="AO406" t="s">
        <v>78</v>
      </c>
      <c r="AP406" t="s">
        <v>163</v>
      </c>
      <c r="AQ406">
        <v>3</v>
      </c>
      <c r="AR406" t="s">
        <v>123</v>
      </c>
      <c r="AS406" t="s">
        <v>124</v>
      </c>
      <c r="AT406" t="s">
        <v>58</v>
      </c>
      <c r="AU406" t="s">
        <v>68</v>
      </c>
      <c r="AV406" t="s">
        <v>69</v>
      </c>
      <c r="AW406" s="1">
        <v>26733</v>
      </c>
      <c r="AX406">
        <v>2</v>
      </c>
    </row>
    <row r="407" spans="1:50">
      <c r="A407">
        <v>197009</v>
      </c>
      <c r="B407" t="str">
        <f>"038567218"</f>
        <v>038567218</v>
      </c>
      <c r="C407" t="s">
        <v>105</v>
      </c>
      <c r="D407" t="s">
        <v>1293</v>
      </c>
      <c r="E407" t="s">
        <v>95</v>
      </c>
      <c r="F407" t="s">
        <v>53</v>
      </c>
      <c r="G407" t="s">
        <v>1001</v>
      </c>
      <c r="H407" t="str">
        <f>" "</f>
        <v xml:space="preserve"> </v>
      </c>
      <c r="J407">
        <v>2813018185</v>
      </c>
      <c r="K407">
        <v>6943758106</v>
      </c>
      <c r="M407" t="s">
        <v>1294</v>
      </c>
      <c r="N407" t="s">
        <v>146</v>
      </c>
      <c r="O407" t="s">
        <v>147</v>
      </c>
      <c r="R407" t="s">
        <v>57</v>
      </c>
      <c r="S407">
        <v>7</v>
      </c>
      <c r="T407">
        <v>206</v>
      </c>
      <c r="U407" s="1">
        <v>37866</v>
      </c>
      <c r="V407" t="s">
        <v>123</v>
      </c>
      <c r="W407" t="s">
        <v>124</v>
      </c>
      <c r="X407" t="s">
        <v>58</v>
      </c>
      <c r="Y407">
        <v>20</v>
      </c>
      <c r="Z407" t="s">
        <v>59</v>
      </c>
      <c r="AA407" t="s">
        <v>59</v>
      </c>
      <c r="AB407" t="s">
        <v>59</v>
      </c>
      <c r="AC407" t="s">
        <v>59</v>
      </c>
      <c r="AD407" t="s">
        <v>59</v>
      </c>
      <c r="AF407" s="1">
        <v>37866</v>
      </c>
      <c r="AG407" t="s">
        <v>148</v>
      </c>
      <c r="AH407" t="s">
        <v>149</v>
      </c>
      <c r="AI407" t="str">
        <f>"1756010"</f>
        <v>1756010</v>
      </c>
      <c r="AJ407" t="s">
        <v>874</v>
      </c>
      <c r="AK407">
        <v>2892022976</v>
      </c>
      <c r="AL407" t="s">
        <v>875</v>
      </c>
      <c r="AM407" t="s">
        <v>78</v>
      </c>
      <c r="AN407" t="s">
        <v>242</v>
      </c>
      <c r="AO407" t="s">
        <v>243</v>
      </c>
      <c r="AP407" t="s">
        <v>243</v>
      </c>
      <c r="AQ407">
        <v>33</v>
      </c>
      <c r="AR407" t="s">
        <v>123</v>
      </c>
      <c r="AS407" t="s">
        <v>124</v>
      </c>
      <c r="AT407" t="s">
        <v>58</v>
      </c>
      <c r="AU407" t="s">
        <v>68</v>
      </c>
      <c r="AV407" t="s">
        <v>69</v>
      </c>
      <c r="AW407" s="1">
        <v>22739</v>
      </c>
      <c r="AX407">
        <v>2</v>
      </c>
    </row>
    <row r="408" spans="1:50">
      <c r="A408">
        <v>211967</v>
      </c>
      <c r="B408" t="str">
        <f>"119652681"</f>
        <v>119652681</v>
      </c>
      <c r="C408" t="s">
        <v>50</v>
      </c>
      <c r="D408" t="s">
        <v>1295</v>
      </c>
      <c r="E408" t="s">
        <v>215</v>
      </c>
      <c r="F408" t="s">
        <v>166</v>
      </c>
      <c r="G408" t="s">
        <v>112</v>
      </c>
      <c r="H408" t="str">
        <f>"ΜΙΧ. ΜΩΡΑΪΤΗ 3 Ν. ΑΛΙΚΑΡΝΑΣΣΟΣ"</f>
        <v>ΜΙΧ. ΜΩΡΑΪΤΗ 3 Ν. ΑΛΙΚΑΡΝΑΣΣΟΣ</v>
      </c>
      <c r="I408">
        <v>71601</v>
      </c>
      <c r="J408">
        <v>2810288940</v>
      </c>
      <c r="K408">
        <v>6972386938</v>
      </c>
      <c r="M408" t="s">
        <v>1296</v>
      </c>
      <c r="N408" t="s">
        <v>146</v>
      </c>
      <c r="O408" t="s">
        <v>147</v>
      </c>
      <c r="R408" t="s">
        <v>57</v>
      </c>
      <c r="S408">
        <v>8</v>
      </c>
      <c r="T408">
        <v>231</v>
      </c>
      <c r="U408" s="1">
        <v>38960</v>
      </c>
      <c r="V408" t="s">
        <v>123</v>
      </c>
      <c r="W408" t="s">
        <v>124</v>
      </c>
      <c r="X408" t="s">
        <v>58</v>
      </c>
      <c r="Y408">
        <v>20</v>
      </c>
      <c r="Z408" t="s">
        <v>59</v>
      </c>
      <c r="AA408" t="s">
        <v>59</v>
      </c>
      <c r="AB408" t="s">
        <v>59</v>
      </c>
      <c r="AC408" t="s">
        <v>59</v>
      </c>
      <c r="AD408" t="s">
        <v>59</v>
      </c>
      <c r="AF408" s="1">
        <v>38961</v>
      </c>
      <c r="AG408" t="s">
        <v>148</v>
      </c>
      <c r="AH408" t="s">
        <v>149</v>
      </c>
      <c r="AI408" t="str">
        <f>"1771010"</f>
        <v>1771010</v>
      </c>
      <c r="AJ408" t="s">
        <v>915</v>
      </c>
      <c r="AK408">
        <v>2892031290</v>
      </c>
      <c r="AL408" t="s">
        <v>916</v>
      </c>
      <c r="AM408" t="s">
        <v>78</v>
      </c>
      <c r="AN408" t="s">
        <v>405</v>
      </c>
      <c r="AO408" t="s">
        <v>405</v>
      </c>
      <c r="AP408" t="s">
        <v>464</v>
      </c>
      <c r="AQ408">
        <v>33</v>
      </c>
      <c r="AR408" t="s">
        <v>123</v>
      </c>
      <c r="AS408" t="s">
        <v>124</v>
      </c>
      <c r="AT408" t="s">
        <v>58</v>
      </c>
      <c r="AU408" t="s">
        <v>68</v>
      </c>
      <c r="AV408" t="s">
        <v>69</v>
      </c>
      <c r="AW408" s="1">
        <v>27752</v>
      </c>
      <c r="AX408">
        <v>2</v>
      </c>
    </row>
    <row r="409" spans="1:50">
      <c r="A409">
        <v>196551</v>
      </c>
      <c r="B409" t="str">
        <f>"114566206"</f>
        <v>114566206</v>
      </c>
      <c r="C409" t="s">
        <v>105</v>
      </c>
      <c r="D409" t="s">
        <v>1297</v>
      </c>
      <c r="E409" t="s">
        <v>106</v>
      </c>
      <c r="F409" t="s">
        <v>1298</v>
      </c>
      <c r="G409" t="s">
        <v>96</v>
      </c>
      <c r="H409" t="str">
        <f>"ΚΝΩΣΣΟΥ 7 ΗΡΑΚΛΕΙΟΥ"</f>
        <v>ΚΝΩΣΣΟΥ 7 ΗΡΑΚΛΕΙΟΥ</v>
      </c>
      <c r="I409">
        <v>71306</v>
      </c>
      <c r="J409">
        <v>2810260318</v>
      </c>
      <c r="K409">
        <v>6932343828</v>
      </c>
      <c r="M409" t="s">
        <v>1299</v>
      </c>
      <c r="N409" t="s">
        <v>337</v>
      </c>
      <c r="O409" t="s">
        <v>338</v>
      </c>
      <c r="R409" t="s">
        <v>57</v>
      </c>
      <c r="S409">
        <v>7</v>
      </c>
      <c r="T409">
        <v>273</v>
      </c>
      <c r="U409" s="1">
        <v>37596</v>
      </c>
      <c r="V409" t="s">
        <v>123</v>
      </c>
      <c r="W409" t="s">
        <v>124</v>
      </c>
      <c r="X409" t="s">
        <v>58</v>
      </c>
      <c r="Y409">
        <v>20</v>
      </c>
      <c r="Z409" t="s">
        <v>59</v>
      </c>
      <c r="AA409" t="s">
        <v>59</v>
      </c>
      <c r="AB409" t="s">
        <v>59</v>
      </c>
      <c r="AC409" t="s">
        <v>59</v>
      </c>
      <c r="AD409" t="s">
        <v>59</v>
      </c>
      <c r="AF409" s="1">
        <v>37973</v>
      </c>
      <c r="AG409" t="s">
        <v>125</v>
      </c>
      <c r="AH409" t="s">
        <v>294</v>
      </c>
      <c r="AI409" t="str">
        <f>"1701015"</f>
        <v>1701015</v>
      </c>
      <c r="AJ409" t="s">
        <v>295</v>
      </c>
      <c r="AK409">
        <v>2810761696</v>
      </c>
      <c r="AL409" t="s">
        <v>296</v>
      </c>
      <c r="AM409" t="s">
        <v>78</v>
      </c>
      <c r="AN409" t="s">
        <v>219</v>
      </c>
      <c r="AO409" t="s">
        <v>297</v>
      </c>
      <c r="AP409" t="s">
        <v>297</v>
      </c>
      <c r="AQ409">
        <v>10</v>
      </c>
      <c r="AR409" t="s">
        <v>123</v>
      </c>
      <c r="AS409" t="s">
        <v>124</v>
      </c>
      <c r="AT409" t="s">
        <v>58</v>
      </c>
      <c r="AU409" t="s">
        <v>68</v>
      </c>
      <c r="AV409" t="s">
        <v>69</v>
      </c>
      <c r="AW409" s="1">
        <v>28331</v>
      </c>
      <c r="AX409">
        <v>2</v>
      </c>
    </row>
    <row r="410" spans="1:50">
      <c r="A410">
        <v>211968</v>
      </c>
      <c r="B410" t="str">
        <f>"045644519"</f>
        <v>045644519</v>
      </c>
      <c r="C410" t="s">
        <v>50</v>
      </c>
      <c r="D410" t="s">
        <v>1300</v>
      </c>
      <c r="E410" t="s">
        <v>1301</v>
      </c>
      <c r="F410" t="s">
        <v>95</v>
      </c>
      <c r="G410" t="s">
        <v>237</v>
      </c>
      <c r="H410" t="str">
        <f>"ΛΥΣΙΣΤΡΑΤΗΣ 25 "</f>
        <v xml:space="preserve">ΛΥΣΙΣΤΡΑΤΗΣ 25 </v>
      </c>
      <c r="I410">
        <v>71304</v>
      </c>
      <c r="J410">
        <v>2810260957</v>
      </c>
      <c r="K410">
        <v>6944472083</v>
      </c>
      <c r="M410" t="s">
        <v>1302</v>
      </c>
      <c r="N410" t="s">
        <v>146</v>
      </c>
      <c r="O410" t="s">
        <v>147</v>
      </c>
      <c r="R410" t="s">
        <v>57</v>
      </c>
      <c r="S410">
        <v>6</v>
      </c>
      <c r="T410">
        <v>231</v>
      </c>
      <c r="U410" s="1">
        <v>38960</v>
      </c>
      <c r="V410" t="s">
        <v>123</v>
      </c>
      <c r="W410" t="s">
        <v>124</v>
      </c>
      <c r="X410" t="s">
        <v>58</v>
      </c>
      <c r="Y410">
        <v>20</v>
      </c>
      <c r="Z410" t="s">
        <v>59</v>
      </c>
      <c r="AA410" t="s">
        <v>59</v>
      </c>
      <c r="AB410" t="s">
        <v>59</v>
      </c>
      <c r="AC410" t="s">
        <v>59</v>
      </c>
      <c r="AD410" t="s">
        <v>59</v>
      </c>
      <c r="AF410" s="1">
        <v>38961</v>
      </c>
      <c r="AG410" t="s">
        <v>125</v>
      </c>
      <c r="AH410" t="s">
        <v>126</v>
      </c>
      <c r="AI410" t="str">
        <f>"1716010"</f>
        <v>1716010</v>
      </c>
      <c r="AJ410" t="s">
        <v>193</v>
      </c>
      <c r="AK410">
        <v>2810791374</v>
      </c>
      <c r="AL410" t="s">
        <v>194</v>
      </c>
      <c r="AM410" t="s">
        <v>78</v>
      </c>
      <c r="AN410" t="s">
        <v>78</v>
      </c>
      <c r="AO410" t="s">
        <v>195</v>
      </c>
      <c r="AP410" t="s">
        <v>196</v>
      </c>
      <c r="AQ410">
        <v>30</v>
      </c>
      <c r="AR410" t="s">
        <v>123</v>
      </c>
      <c r="AS410" t="s">
        <v>124</v>
      </c>
      <c r="AT410" t="s">
        <v>58</v>
      </c>
      <c r="AU410" t="s">
        <v>68</v>
      </c>
      <c r="AV410" t="s">
        <v>69</v>
      </c>
      <c r="AW410" s="1">
        <v>24988</v>
      </c>
      <c r="AX410">
        <v>2</v>
      </c>
    </row>
    <row r="411" spans="1:50">
      <c r="A411">
        <v>215381</v>
      </c>
      <c r="B411" t="str">
        <f>"070990790"</f>
        <v>070990790</v>
      </c>
      <c r="C411" t="s">
        <v>105</v>
      </c>
      <c r="D411" t="s">
        <v>1303</v>
      </c>
      <c r="E411" t="s">
        <v>72</v>
      </c>
      <c r="F411" t="s">
        <v>95</v>
      </c>
      <c r="G411" t="s">
        <v>237</v>
      </c>
      <c r="H411" t="str">
        <f>"ΚΑΤΩ ΑΣΙΤΕΣ "</f>
        <v xml:space="preserve">ΚΑΤΩ ΑΣΙΤΕΣ </v>
      </c>
      <c r="I411">
        <v>70013</v>
      </c>
      <c r="K411">
        <v>6955199131</v>
      </c>
      <c r="M411" t="s">
        <v>1304</v>
      </c>
      <c r="N411" t="s">
        <v>204</v>
      </c>
      <c r="O411" t="s">
        <v>205</v>
      </c>
      <c r="R411" t="s">
        <v>57</v>
      </c>
      <c r="S411">
        <v>6</v>
      </c>
      <c r="T411">
        <v>231</v>
      </c>
      <c r="U411" s="1">
        <v>38960</v>
      </c>
      <c r="V411" t="s">
        <v>123</v>
      </c>
      <c r="W411" t="s">
        <v>124</v>
      </c>
      <c r="X411" t="s">
        <v>58</v>
      </c>
      <c r="Y411">
        <v>20</v>
      </c>
      <c r="Z411" t="s">
        <v>59</v>
      </c>
      <c r="AA411" t="s">
        <v>59</v>
      </c>
      <c r="AB411" t="s">
        <v>59</v>
      </c>
      <c r="AC411" t="s">
        <v>59</v>
      </c>
      <c r="AD411" t="s">
        <v>59</v>
      </c>
      <c r="AF411" s="1">
        <v>38961</v>
      </c>
      <c r="AG411" t="s">
        <v>137</v>
      </c>
      <c r="AH411" t="s">
        <v>138</v>
      </c>
      <c r="AI411" t="str">
        <f>"1740300"</f>
        <v>1740300</v>
      </c>
      <c r="AJ411" t="s">
        <v>1274</v>
      </c>
      <c r="AK411">
        <v>2892022100</v>
      </c>
      <c r="AL411" t="s">
        <v>1275</v>
      </c>
      <c r="AM411" t="s">
        <v>78</v>
      </c>
      <c r="AN411" t="s">
        <v>242</v>
      </c>
      <c r="AO411" t="s">
        <v>243</v>
      </c>
      <c r="AP411" t="s">
        <v>243</v>
      </c>
      <c r="AQ411">
        <v>33</v>
      </c>
      <c r="AR411" t="s">
        <v>123</v>
      </c>
      <c r="AS411" t="s">
        <v>124</v>
      </c>
      <c r="AT411" t="s">
        <v>58</v>
      </c>
      <c r="AU411" t="s">
        <v>68</v>
      </c>
      <c r="AV411" t="s">
        <v>69</v>
      </c>
      <c r="AW411" s="1">
        <v>29024</v>
      </c>
      <c r="AX411">
        <v>2</v>
      </c>
    </row>
    <row r="412" spans="1:50">
      <c r="A412">
        <v>203520</v>
      </c>
      <c r="B412" t="str">
        <f>"076142079"</f>
        <v>076142079</v>
      </c>
      <c r="C412" t="s">
        <v>50</v>
      </c>
      <c r="D412" t="s">
        <v>1305</v>
      </c>
      <c r="E412" t="s">
        <v>1074</v>
      </c>
      <c r="F412" t="s">
        <v>450</v>
      </c>
      <c r="G412" t="s">
        <v>1306</v>
      </c>
      <c r="H412" t="str">
        <f>"Γ. ΦΑΡΑΓΚΟΥΛΙΤΑΚΗ 34 ΑΓ. ΙΩΑΝΝΗΣ"</f>
        <v>Γ. ΦΑΡΑΓΚΟΥΛΙΤΑΚΗ 34 ΑΓ. ΙΩΑΝΝΗΣ</v>
      </c>
      <c r="I412">
        <v>71409</v>
      </c>
      <c r="J412">
        <v>2810318557</v>
      </c>
      <c r="K412">
        <v>6932500728</v>
      </c>
      <c r="N412" t="s">
        <v>288</v>
      </c>
      <c r="O412" t="s">
        <v>289</v>
      </c>
      <c r="R412" t="s">
        <v>57</v>
      </c>
      <c r="S412">
        <v>8</v>
      </c>
      <c r="T412">
        <v>231</v>
      </c>
      <c r="U412" s="1">
        <v>38230</v>
      </c>
      <c r="V412" t="s">
        <v>123</v>
      </c>
      <c r="W412" t="s">
        <v>124</v>
      </c>
      <c r="X412" t="s">
        <v>58</v>
      </c>
      <c r="Y412">
        <v>20</v>
      </c>
      <c r="Z412" t="s">
        <v>59</v>
      </c>
      <c r="AA412" t="s">
        <v>59</v>
      </c>
      <c r="AB412" t="s">
        <v>59</v>
      </c>
      <c r="AC412" t="s">
        <v>59</v>
      </c>
      <c r="AD412" t="s">
        <v>59</v>
      </c>
      <c r="AF412" s="1">
        <v>38236</v>
      </c>
      <c r="AG412" t="s">
        <v>125</v>
      </c>
      <c r="AH412" t="s">
        <v>126</v>
      </c>
      <c r="AI412" t="str">
        <f>"1701051"</f>
        <v>1701051</v>
      </c>
      <c r="AJ412" t="s">
        <v>443</v>
      </c>
      <c r="AK412">
        <v>2810325815</v>
      </c>
      <c r="AL412" t="s">
        <v>444</v>
      </c>
      <c r="AM412" t="s">
        <v>78</v>
      </c>
      <c r="AN412" t="s">
        <v>78</v>
      </c>
      <c r="AO412" t="s">
        <v>78</v>
      </c>
      <c r="AP412" t="s">
        <v>163</v>
      </c>
      <c r="AQ412">
        <v>5</v>
      </c>
      <c r="AR412" t="s">
        <v>123</v>
      </c>
      <c r="AS412" t="s">
        <v>124</v>
      </c>
      <c r="AT412" t="s">
        <v>58</v>
      </c>
      <c r="AU412" t="s">
        <v>68</v>
      </c>
      <c r="AV412" t="s">
        <v>69</v>
      </c>
      <c r="AW412" s="1">
        <v>26935</v>
      </c>
      <c r="AX412">
        <v>2</v>
      </c>
    </row>
    <row r="413" spans="1:50">
      <c r="A413">
        <v>165571</v>
      </c>
      <c r="B413" t="str">
        <f>"043640408"</f>
        <v>043640408</v>
      </c>
      <c r="C413" t="s">
        <v>50</v>
      </c>
      <c r="D413" t="s">
        <v>1307</v>
      </c>
      <c r="E413" t="s">
        <v>1306</v>
      </c>
      <c r="F413" t="s">
        <v>53</v>
      </c>
      <c r="G413" t="s">
        <v>250</v>
      </c>
      <c r="H413" t="str">
        <f>" "</f>
        <v xml:space="preserve"> </v>
      </c>
      <c r="N413" t="s">
        <v>146</v>
      </c>
      <c r="O413" t="s">
        <v>147</v>
      </c>
      <c r="R413" t="s">
        <v>57</v>
      </c>
      <c r="S413">
        <v>13</v>
      </c>
      <c r="T413">
        <v>137</v>
      </c>
      <c r="U413" s="1">
        <v>34206</v>
      </c>
      <c r="V413" t="s">
        <v>123</v>
      </c>
      <c r="W413" t="s">
        <v>124</v>
      </c>
      <c r="X413" t="s">
        <v>58</v>
      </c>
      <c r="Y413">
        <v>18</v>
      </c>
      <c r="Z413" t="s">
        <v>59</v>
      </c>
      <c r="AA413" t="s">
        <v>59</v>
      </c>
      <c r="AB413" t="s">
        <v>59</v>
      </c>
      <c r="AC413" t="s">
        <v>59</v>
      </c>
      <c r="AD413" t="s">
        <v>59</v>
      </c>
      <c r="AF413" s="1">
        <v>34215</v>
      </c>
      <c r="AG413" t="s">
        <v>125</v>
      </c>
      <c r="AH413" t="s">
        <v>126</v>
      </c>
      <c r="AI413" t="str">
        <f>"1701051"</f>
        <v>1701051</v>
      </c>
      <c r="AJ413" t="s">
        <v>443</v>
      </c>
      <c r="AK413">
        <v>2810325815</v>
      </c>
      <c r="AL413" t="s">
        <v>444</v>
      </c>
      <c r="AM413" t="s">
        <v>78</v>
      </c>
      <c r="AN413" t="s">
        <v>78</v>
      </c>
      <c r="AO413" t="s">
        <v>78</v>
      </c>
      <c r="AP413" t="s">
        <v>163</v>
      </c>
      <c r="AQ413">
        <v>5</v>
      </c>
      <c r="AR413" t="s">
        <v>123</v>
      </c>
      <c r="AS413" t="s">
        <v>124</v>
      </c>
      <c r="AT413" t="s">
        <v>58</v>
      </c>
      <c r="AU413" t="s">
        <v>68</v>
      </c>
      <c r="AV413" t="s">
        <v>69</v>
      </c>
      <c r="AW413" s="1">
        <v>23669</v>
      </c>
      <c r="AX413">
        <v>2</v>
      </c>
    </row>
    <row r="414" spans="1:50">
      <c r="A414">
        <v>217270</v>
      </c>
      <c r="B414" t="str">
        <f>"069457002"</f>
        <v>069457002</v>
      </c>
      <c r="C414" t="s">
        <v>50</v>
      </c>
      <c r="D414" t="s">
        <v>1308</v>
      </c>
      <c r="E414" t="s">
        <v>860</v>
      </c>
      <c r="F414" t="s">
        <v>108</v>
      </c>
      <c r="G414" t="s">
        <v>326</v>
      </c>
      <c r="H414" t="str">
        <f>" "</f>
        <v xml:space="preserve"> </v>
      </c>
      <c r="J414">
        <v>2109514928</v>
      </c>
      <c r="K414">
        <v>6973331159</v>
      </c>
      <c r="N414" t="s">
        <v>1309</v>
      </c>
      <c r="O414" t="s">
        <v>908</v>
      </c>
      <c r="R414" t="s">
        <v>57</v>
      </c>
      <c r="S414">
        <v>8</v>
      </c>
      <c r="T414">
        <v>457</v>
      </c>
      <c r="U414" s="1">
        <v>39055</v>
      </c>
      <c r="V414" t="s">
        <v>123</v>
      </c>
      <c r="W414" t="s">
        <v>124</v>
      </c>
      <c r="X414" t="s">
        <v>58</v>
      </c>
      <c r="Y414">
        <v>20</v>
      </c>
      <c r="Z414" t="s">
        <v>59</v>
      </c>
      <c r="AA414" t="s">
        <v>59</v>
      </c>
      <c r="AB414" t="s">
        <v>59</v>
      </c>
      <c r="AC414" t="s">
        <v>59</v>
      </c>
      <c r="AD414" t="s">
        <v>59</v>
      </c>
      <c r="AF414" s="1">
        <v>39055</v>
      </c>
      <c r="AG414" t="s">
        <v>137</v>
      </c>
      <c r="AH414" t="s">
        <v>138</v>
      </c>
      <c r="AI414" t="str">
        <f>"1740070"</f>
        <v>1740070</v>
      </c>
      <c r="AJ414" t="s">
        <v>206</v>
      </c>
      <c r="AK414">
        <v>2810324880</v>
      </c>
      <c r="AL414" t="s">
        <v>207</v>
      </c>
      <c r="AM414" t="s">
        <v>78</v>
      </c>
      <c r="AN414" t="s">
        <v>78</v>
      </c>
      <c r="AO414" t="s">
        <v>78</v>
      </c>
      <c r="AP414" t="s">
        <v>163</v>
      </c>
      <c r="AQ414">
        <v>9</v>
      </c>
      <c r="AR414" t="s">
        <v>123</v>
      </c>
      <c r="AS414" t="s">
        <v>124</v>
      </c>
      <c r="AT414" t="s">
        <v>58</v>
      </c>
      <c r="AU414" t="s">
        <v>68</v>
      </c>
      <c r="AV414" t="s">
        <v>69</v>
      </c>
      <c r="AW414" s="1">
        <v>18994</v>
      </c>
      <c r="AX414">
        <v>2</v>
      </c>
    </row>
    <row r="415" spans="1:50">
      <c r="A415">
        <v>192927</v>
      </c>
      <c r="B415" t="str">
        <f>"045650907"</f>
        <v>045650907</v>
      </c>
      <c r="C415" t="s">
        <v>50</v>
      </c>
      <c r="D415" t="s">
        <v>1308</v>
      </c>
      <c r="E415" t="s">
        <v>1310</v>
      </c>
      <c r="F415" t="s">
        <v>321</v>
      </c>
      <c r="G415" t="s">
        <v>52</v>
      </c>
      <c r="H415" t="str">
        <f>"ΩΚΕΑΝΙΔΩΝ 4  ΕΣΤΑΥΡΩΜΕΝΟΣ"</f>
        <v>ΩΚΕΑΝΙΔΩΝ 4  ΕΣΤΑΥΡΩΜΕΝΟΣ</v>
      </c>
      <c r="J415">
        <v>2251083275</v>
      </c>
      <c r="K415">
        <v>6932199698</v>
      </c>
      <c r="L415">
        <v>2810824999</v>
      </c>
      <c r="M415" t="s">
        <v>1311</v>
      </c>
      <c r="N415" t="s">
        <v>146</v>
      </c>
      <c r="O415" t="s">
        <v>147</v>
      </c>
      <c r="R415" t="s">
        <v>57</v>
      </c>
      <c r="S415">
        <v>10</v>
      </c>
      <c r="T415">
        <v>193</v>
      </c>
      <c r="U415" s="1">
        <v>37497</v>
      </c>
      <c r="V415" t="s">
        <v>123</v>
      </c>
      <c r="W415" t="s">
        <v>124</v>
      </c>
      <c r="X415" t="s">
        <v>58</v>
      </c>
      <c r="Y415">
        <v>18</v>
      </c>
      <c r="Z415" t="s">
        <v>59</v>
      </c>
      <c r="AA415" t="s">
        <v>59</v>
      </c>
      <c r="AB415" t="s">
        <v>59</v>
      </c>
      <c r="AC415" t="s">
        <v>59</v>
      </c>
      <c r="AD415" t="s">
        <v>59</v>
      </c>
      <c r="AF415" s="1">
        <v>37503</v>
      </c>
      <c r="AG415" t="s">
        <v>125</v>
      </c>
      <c r="AH415" t="s">
        <v>126</v>
      </c>
      <c r="AI415" t="str">
        <f>"1728010"</f>
        <v>1728010</v>
      </c>
      <c r="AJ415" t="s">
        <v>127</v>
      </c>
      <c r="AK415">
        <v>2810824651</v>
      </c>
      <c r="AL415" t="s">
        <v>128</v>
      </c>
      <c r="AM415" t="s">
        <v>78</v>
      </c>
      <c r="AN415" t="s">
        <v>129</v>
      </c>
      <c r="AO415" t="s">
        <v>130</v>
      </c>
      <c r="AP415" t="s">
        <v>130</v>
      </c>
      <c r="AQ415">
        <v>36</v>
      </c>
      <c r="AR415" t="s">
        <v>123</v>
      </c>
      <c r="AS415" t="s">
        <v>124</v>
      </c>
      <c r="AT415" t="s">
        <v>58</v>
      </c>
      <c r="AU415" t="s">
        <v>68</v>
      </c>
      <c r="AV415" t="s">
        <v>69</v>
      </c>
      <c r="AW415" s="1">
        <v>24970</v>
      </c>
      <c r="AX415">
        <v>2</v>
      </c>
    </row>
    <row r="416" spans="1:50">
      <c r="A416">
        <v>202203</v>
      </c>
      <c r="B416" t="str">
        <f>"045549762"</f>
        <v>045549762</v>
      </c>
      <c r="C416" t="s">
        <v>105</v>
      </c>
      <c r="D416" t="s">
        <v>1312</v>
      </c>
      <c r="E416" t="s">
        <v>72</v>
      </c>
      <c r="F416" t="s">
        <v>53</v>
      </c>
      <c r="G416" t="s">
        <v>1313</v>
      </c>
      <c r="H416" t="str">
        <f>"ΜΙΧΑΗΛ ΑΠΟΣΤΟΛΗ 33 ΗΡΑΚΛΕΙΟ"</f>
        <v>ΜΙΧΑΗΛ ΑΠΟΣΤΟΛΗ 33 ΗΡΑΚΛΕΙΟ</v>
      </c>
      <c r="I416">
        <v>71307</v>
      </c>
      <c r="J416">
        <v>2810323614</v>
      </c>
      <c r="K416">
        <v>6973374808</v>
      </c>
      <c r="M416" t="s">
        <v>1314</v>
      </c>
      <c r="N416" t="s">
        <v>292</v>
      </c>
      <c r="O416" t="s">
        <v>293</v>
      </c>
      <c r="R416" t="s">
        <v>57</v>
      </c>
      <c r="S416">
        <v>7</v>
      </c>
      <c r="T416">
        <v>231</v>
      </c>
      <c r="U416" s="1">
        <v>38230</v>
      </c>
      <c r="V416" t="s">
        <v>123</v>
      </c>
      <c r="W416" t="s">
        <v>124</v>
      </c>
      <c r="X416" t="s">
        <v>58</v>
      </c>
      <c r="Y416">
        <v>20</v>
      </c>
      <c r="Z416" t="s">
        <v>59</v>
      </c>
      <c r="AA416" t="s">
        <v>59</v>
      </c>
      <c r="AB416" t="s">
        <v>59</v>
      </c>
      <c r="AC416" t="s">
        <v>59</v>
      </c>
      <c r="AD416" t="s">
        <v>59</v>
      </c>
      <c r="AF416" s="1">
        <v>38232</v>
      </c>
      <c r="AG416" t="s">
        <v>137</v>
      </c>
      <c r="AH416" t="s">
        <v>138</v>
      </c>
      <c r="AI416" t="str">
        <f>"1740100"</f>
        <v>1740100</v>
      </c>
      <c r="AJ416" t="s">
        <v>857</v>
      </c>
      <c r="AK416">
        <v>2810360741</v>
      </c>
      <c r="AL416" t="s">
        <v>858</v>
      </c>
      <c r="AM416" t="s">
        <v>78</v>
      </c>
      <c r="AN416" t="s">
        <v>78</v>
      </c>
      <c r="AO416" t="s">
        <v>78</v>
      </c>
      <c r="AP416" t="s">
        <v>163</v>
      </c>
      <c r="AQ416">
        <v>5</v>
      </c>
      <c r="AR416" t="s">
        <v>123</v>
      </c>
      <c r="AS416" t="s">
        <v>124</v>
      </c>
      <c r="AT416" t="s">
        <v>58</v>
      </c>
      <c r="AU416" t="s">
        <v>68</v>
      </c>
      <c r="AV416" t="s">
        <v>69</v>
      </c>
      <c r="AW416" s="1">
        <v>21045</v>
      </c>
      <c r="AX416">
        <v>2</v>
      </c>
    </row>
    <row r="417" spans="1:50">
      <c r="A417">
        <v>214042</v>
      </c>
      <c r="B417" t="str">
        <f>"044813997"</f>
        <v>044813997</v>
      </c>
      <c r="C417" t="s">
        <v>50</v>
      </c>
      <c r="D417" t="s">
        <v>1315</v>
      </c>
      <c r="E417" t="s">
        <v>255</v>
      </c>
      <c r="F417" t="s">
        <v>1316</v>
      </c>
      <c r="G417" t="s">
        <v>1317</v>
      </c>
      <c r="H417" t="str">
        <f>"Τ.Θ.9 ΓΑΖΙ    ΑΧΛΑΔΑΣ"</f>
        <v>Τ.Θ.9 ΓΑΖΙ    ΑΧΛΑΔΑΣ</v>
      </c>
      <c r="I417">
        <v>71414</v>
      </c>
      <c r="J417">
        <v>2810811181</v>
      </c>
      <c r="K417">
        <v>6932985960</v>
      </c>
      <c r="M417" t="s">
        <v>1318</v>
      </c>
      <c r="N417" t="s">
        <v>288</v>
      </c>
      <c r="O417" t="s">
        <v>289</v>
      </c>
      <c r="R417" t="s">
        <v>57</v>
      </c>
      <c r="S417">
        <v>10</v>
      </c>
      <c r="T417">
        <v>231</v>
      </c>
      <c r="U417" s="1">
        <v>38960</v>
      </c>
      <c r="V417" t="s">
        <v>123</v>
      </c>
      <c r="W417" t="s">
        <v>124</v>
      </c>
      <c r="X417" t="s">
        <v>58</v>
      </c>
      <c r="Y417">
        <v>20</v>
      </c>
      <c r="Z417" t="s">
        <v>59</v>
      </c>
      <c r="AA417" t="s">
        <v>59</v>
      </c>
      <c r="AB417" t="s">
        <v>59</v>
      </c>
      <c r="AC417" t="s">
        <v>59</v>
      </c>
      <c r="AD417" t="s">
        <v>59</v>
      </c>
      <c r="AF417" s="1">
        <v>38961</v>
      </c>
      <c r="AG417" t="s">
        <v>125</v>
      </c>
      <c r="AH417" t="s">
        <v>126</v>
      </c>
      <c r="AI417" t="str">
        <f>"1701054"</f>
        <v>1701054</v>
      </c>
      <c r="AJ417" t="s">
        <v>318</v>
      </c>
      <c r="AK417">
        <v>2810252418</v>
      </c>
      <c r="AL417" t="s">
        <v>319</v>
      </c>
      <c r="AM417" t="s">
        <v>78</v>
      </c>
      <c r="AN417" t="s">
        <v>78</v>
      </c>
      <c r="AO417" t="s">
        <v>78</v>
      </c>
      <c r="AP417" t="s">
        <v>141</v>
      </c>
      <c r="AQ417">
        <v>7</v>
      </c>
      <c r="AR417" t="s">
        <v>123</v>
      </c>
      <c r="AS417" t="s">
        <v>124</v>
      </c>
      <c r="AT417" t="s">
        <v>58</v>
      </c>
      <c r="AU417" t="s">
        <v>68</v>
      </c>
      <c r="AV417" t="s">
        <v>69</v>
      </c>
      <c r="AW417" s="1">
        <v>25238</v>
      </c>
      <c r="AX417">
        <v>2</v>
      </c>
    </row>
    <row r="418" spans="1:50">
      <c r="A418">
        <v>195639</v>
      </c>
      <c r="B418" t="str">
        <f>"104921004"</f>
        <v>104921004</v>
      </c>
      <c r="C418" t="s">
        <v>50</v>
      </c>
      <c r="D418" t="s">
        <v>1319</v>
      </c>
      <c r="E418" t="s">
        <v>681</v>
      </c>
      <c r="F418" t="s">
        <v>1320</v>
      </c>
      <c r="G418" t="s">
        <v>494</v>
      </c>
      <c r="H418" t="str">
        <f>" "</f>
        <v xml:space="preserve"> </v>
      </c>
      <c r="I418">
        <v>70200</v>
      </c>
      <c r="J418">
        <v>2892052604</v>
      </c>
      <c r="K418">
        <v>6976033446</v>
      </c>
      <c r="N418" t="s">
        <v>199</v>
      </c>
      <c r="O418" t="s">
        <v>200</v>
      </c>
      <c r="R418" t="s">
        <v>57</v>
      </c>
      <c r="S418">
        <v>8</v>
      </c>
      <c r="T418">
        <v>194</v>
      </c>
      <c r="U418" s="1">
        <v>37497</v>
      </c>
      <c r="V418" t="s">
        <v>123</v>
      </c>
      <c r="W418" t="s">
        <v>124</v>
      </c>
      <c r="X418" t="s">
        <v>58</v>
      </c>
      <c r="Y418">
        <v>20</v>
      </c>
      <c r="Z418" t="s">
        <v>59</v>
      </c>
      <c r="AA418" t="s">
        <v>59</v>
      </c>
      <c r="AB418" t="s">
        <v>59</v>
      </c>
      <c r="AC418" t="s">
        <v>59</v>
      </c>
      <c r="AD418" t="s">
        <v>59</v>
      </c>
      <c r="AF418" s="1">
        <v>37501</v>
      </c>
      <c r="AG418" t="s">
        <v>148</v>
      </c>
      <c r="AH418" t="s">
        <v>149</v>
      </c>
      <c r="AI418" t="str">
        <f>"1763010"</f>
        <v>1763010</v>
      </c>
      <c r="AJ418" t="s">
        <v>560</v>
      </c>
      <c r="AK418">
        <v>2892051146</v>
      </c>
      <c r="AL418" t="s">
        <v>561</v>
      </c>
      <c r="AM418" t="s">
        <v>78</v>
      </c>
      <c r="AN418" t="s">
        <v>242</v>
      </c>
      <c r="AO418" t="s">
        <v>349</v>
      </c>
      <c r="AP418" t="s">
        <v>349</v>
      </c>
      <c r="AQ418">
        <v>35</v>
      </c>
      <c r="AR418" t="s">
        <v>123</v>
      </c>
      <c r="AS418" t="s">
        <v>124</v>
      </c>
      <c r="AT418" t="s">
        <v>58</v>
      </c>
      <c r="AU418" t="s">
        <v>68</v>
      </c>
      <c r="AV418" t="s">
        <v>69</v>
      </c>
      <c r="AW418" s="1">
        <v>25368</v>
      </c>
      <c r="AX418">
        <v>2</v>
      </c>
    </row>
    <row r="419" spans="1:50">
      <c r="A419">
        <v>191484</v>
      </c>
      <c r="B419" t="str">
        <f>"064553222"</f>
        <v>064553222</v>
      </c>
      <c r="C419" t="s">
        <v>50</v>
      </c>
      <c r="D419" t="s">
        <v>1321</v>
      </c>
      <c r="E419" t="s">
        <v>73</v>
      </c>
      <c r="F419" t="s">
        <v>84</v>
      </c>
      <c r="G419" t="s">
        <v>382</v>
      </c>
      <c r="H419" t="str">
        <f>" "</f>
        <v xml:space="preserve"> </v>
      </c>
      <c r="J419">
        <v>2810262184</v>
      </c>
      <c r="K419">
        <v>6972403903</v>
      </c>
      <c r="M419" t="s">
        <v>1322</v>
      </c>
      <c r="N419" t="s">
        <v>299</v>
      </c>
      <c r="O419" t="s">
        <v>300</v>
      </c>
      <c r="R419" t="s">
        <v>57</v>
      </c>
      <c r="S419">
        <v>11</v>
      </c>
      <c r="T419">
        <v>291</v>
      </c>
      <c r="U419" s="1">
        <v>37218</v>
      </c>
      <c r="V419" t="s">
        <v>123</v>
      </c>
      <c r="W419" t="s">
        <v>124</v>
      </c>
      <c r="X419" t="s">
        <v>58</v>
      </c>
      <c r="Y419">
        <v>20</v>
      </c>
      <c r="Z419" t="s">
        <v>59</v>
      </c>
      <c r="AA419" t="s">
        <v>59</v>
      </c>
      <c r="AB419" t="s">
        <v>59</v>
      </c>
      <c r="AC419" t="s">
        <v>59</v>
      </c>
      <c r="AD419" t="s">
        <v>452</v>
      </c>
      <c r="AE419" s="1">
        <v>43708</v>
      </c>
      <c r="AF419" s="1">
        <v>37221</v>
      </c>
      <c r="AG419" t="s">
        <v>60</v>
      </c>
      <c r="AH419" t="s">
        <v>453</v>
      </c>
      <c r="AI419" t="str">
        <f>"1700105"</f>
        <v>1700105</v>
      </c>
      <c r="AJ419" t="s">
        <v>124</v>
      </c>
      <c r="AK419">
        <v>2810333720</v>
      </c>
      <c r="AL419" t="s">
        <v>454</v>
      </c>
      <c r="AM419" t="s">
        <v>78</v>
      </c>
      <c r="AN419" t="s">
        <v>78</v>
      </c>
      <c r="AO419" t="s">
        <v>78</v>
      </c>
      <c r="AP419" t="s">
        <v>79</v>
      </c>
      <c r="AS419" t="s">
        <v>124</v>
      </c>
      <c r="AT419" t="s">
        <v>58</v>
      </c>
      <c r="AU419" t="s">
        <v>68</v>
      </c>
      <c r="AV419" t="s">
        <v>455</v>
      </c>
      <c r="AW419" s="1">
        <v>23619</v>
      </c>
      <c r="AX419">
        <v>2</v>
      </c>
    </row>
    <row r="420" spans="1:50">
      <c r="A420">
        <v>192930</v>
      </c>
      <c r="B420" t="str">
        <f>"054239710"</f>
        <v>054239710</v>
      </c>
      <c r="C420" t="s">
        <v>50</v>
      </c>
      <c r="D420" t="s">
        <v>1323</v>
      </c>
      <c r="E420" t="s">
        <v>237</v>
      </c>
      <c r="F420" t="s">
        <v>95</v>
      </c>
      <c r="G420" t="s">
        <v>54</v>
      </c>
      <c r="H420" t="str">
        <f>"ΠΑΤΣΙΔΕΣ "</f>
        <v xml:space="preserve">ΠΑΤΣΙΔΕΣ </v>
      </c>
      <c r="J420">
        <v>2810214030</v>
      </c>
      <c r="K420">
        <v>6973236890</v>
      </c>
      <c r="M420" t="s">
        <v>1324</v>
      </c>
      <c r="N420" t="s">
        <v>146</v>
      </c>
      <c r="O420" t="s">
        <v>147</v>
      </c>
      <c r="R420" t="s">
        <v>57</v>
      </c>
      <c r="S420">
        <v>11</v>
      </c>
      <c r="T420">
        <v>193</v>
      </c>
      <c r="U420" s="1">
        <v>37497</v>
      </c>
      <c r="V420" t="s">
        <v>123</v>
      </c>
      <c r="W420" t="s">
        <v>124</v>
      </c>
      <c r="X420" t="s">
        <v>58</v>
      </c>
      <c r="Y420">
        <v>18</v>
      </c>
      <c r="Z420" t="s">
        <v>59</v>
      </c>
      <c r="AA420" t="s">
        <v>59</v>
      </c>
      <c r="AB420" t="s">
        <v>59</v>
      </c>
      <c r="AC420" t="s">
        <v>59</v>
      </c>
      <c r="AD420" t="s">
        <v>59</v>
      </c>
      <c r="AF420" s="1">
        <v>37501</v>
      </c>
      <c r="AG420" t="s">
        <v>125</v>
      </c>
      <c r="AH420" t="s">
        <v>126</v>
      </c>
      <c r="AI420" t="str">
        <f>"1701010"</f>
        <v>1701010</v>
      </c>
      <c r="AJ420" t="s">
        <v>374</v>
      </c>
      <c r="AK420">
        <v>2810227148</v>
      </c>
      <c r="AL420" t="s">
        <v>375</v>
      </c>
      <c r="AM420" t="s">
        <v>78</v>
      </c>
      <c r="AN420" t="s">
        <v>78</v>
      </c>
      <c r="AO420" t="s">
        <v>78</v>
      </c>
      <c r="AP420" t="s">
        <v>79</v>
      </c>
      <c r="AQ420">
        <v>1</v>
      </c>
      <c r="AR420" t="s">
        <v>123</v>
      </c>
      <c r="AS420" t="s">
        <v>124</v>
      </c>
      <c r="AT420" t="s">
        <v>58</v>
      </c>
      <c r="AU420" t="s">
        <v>68</v>
      </c>
      <c r="AV420" t="s">
        <v>69</v>
      </c>
      <c r="AW420" s="1">
        <v>24582</v>
      </c>
      <c r="AX420">
        <v>2</v>
      </c>
    </row>
    <row r="421" spans="1:50">
      <c r="A421">
        <v>704138</v>
      </c>
      <c r="B421" t="str">
        <f>"066665400"</f>
        <v>066665400</v>
      </c>
      <c r="C421" t="s">
        <v>105</v>
      </c>
      <c r="D421" t="s">
        <v>1325</v>
      </c>
      <c r="E421" t="s">
        <v>510</v>
      </c>
      <c r="F421" t="s">
        <v>309</v>
      </c>
      <c r="G421" t="s">
        <v>52</v>
      </c>
      <c r="H421" t="str">
        <f>"ΚΟΚΚΙΝΗ ΧΑΝΙ ΗΡΑΚΛΕΙΟ"</f>
        <v>ΚΟΚΚΙΝΗ ΧΑΝΙ ΗΡΑΚΛΕΙΟ</v>
      </c>
      <c r="I421">
        <v>71500</v>
      </c>
      <c r="J421">
        <v>2541073368</v>
      </c>
      <c r="K421">
        <v>6977945667</v>
      </c>
      <c r="M421" t="s">
        <v>1326</v>
      </c>
      <c r="N421" t="s">
        <v>157</v>
      </c>
      <c r="O421" t="s">
        <v>158</v>
      </c>
      <c r="R421" t="s">
        <v>57</v>
      </c>
      <c r="S421">
        <v>4</v>
      </c>
      <c r="T421">
        <v>1350</v>
      </c>
      <c r="U421" s="1">
        <v>42732</v>
      </c>
      <c r="V421" t="s">
        <v>123</v>
      </c>
      <c r="W421" t="s">
        <v>124</v>
      </c>
      <c r="X421" t="s">
        <v>58</v>
      </c>
      <c r="Y421">
        <v>23</v>
      </c>
      <c r="Z421" t="s">
        <v>59</v>
      </c>
      <c r="AA421" t="s">
        <v>59</v>
      </c>
      <c r="AB421" t="s">
        <v>59</v>
      </c>
      <c r="AC421" t="s">
        <v>59</v>
      </c>
      <c r="AD421" t="s">
        <v>59</v>
      </c>
      <c r="AF421" s="1">
        <v>42739</v>
      </c>
      <c r="AG421" t="s">
        <v>148</v>
      </c>
      <c r="AH421" t="s">
        <v>149</v>
      </c>
      <c r="AI421" t="str">
        <f>"1764010"</f>
        <v>1764010</v>
      </c>
      <c r="AJ421" t="s">
        <v>1058</v>
      </c>
      <c r="AK421">
        <v>2810762862</v>
      </c>
      <c r="AL421" t="s">
        <v>1059</v>
      </c>
      <c r="AM421" t="s">
        <v>78</v>
      </c>
      <c r="AN421" t="s">
        <v>219</v>
      </c>
      <c r="AO421" t="s">
        <v>297</v>
      </c>
      <c r="AP421" t="s">
        <v>297</v>
      </c>
      <c r="AQ421">
        <v>37</v>
      </c>
      <c r="AR421" t="s">
        <v>123</v>
      </c>
      <c r="AS421" t="s">
        <v>124</v>
      </c>
      <c r="AT421" t="s">
        <v>58</v>
      </c>
      <c r="AU421" t="s">
        <v>68</v>
      </c>
      <c r="AV421" t="s">
        <v>69</v>
      </c>
      <c r="AW421" s="1">
        <v>29201</v>
      </c>
      <c r="AX421">
        <v>2</v>
      </c>
    </row>
    <row r="422" spans="1:50">
      <c r="A422">
        <v>213098</v>
      </c>
      <c r="B422" t="str">
        <f>"075412812"</f>
        <v>075412812</v>
      </c>
      <c r="C422" t="s">
        <v>50</v>
      </c>
      <c r="D422" t="s">
        <v>1327</v>
      </c>
      <c r="E422" t="s">
        <v>250</v>
      </c>
      <c r="F422" t="s">
        <v>1328</v>
      </c>
      <c r="G422" t="s">
        <v>1074</v>
      </c>
      <c r="H422" t="str">
        <f>"ΤΕΝΕΔΟΥ 15 ΗΡΑΚΛΕΙΟ"</f>
        <v>ΤΕΝΕΔΟΥ 15 ΗΡΑΚΛΕΙΟ</v>
      </c>
      <c r="I422">
        <v>71306</v>
      </c>
      <c r="J422">
        <v>2810222720</v>
      </c>
      <c r="K422">
        <v>6937008836</v>
      </c>
      <c r="N422" t="s">
        <v>232</v>
      </c>
      <c r="O422" t="s">
        <v>233</v>
      </c>
      <c r="R422" t="s">
        <v>57</v>
      </c>
      <c r="S422">
        <v>8</v>
      </c>
      <c r="T422">
        <v>231</v>
      </c>
      <c r="U422" s="1">
        <v>38960</v>
      </c>
      <c r="V422" t="s">
        <v>123</v>
      </c>
      <c r="W422" t="s">
        <v>124</v>
      </c>
      <c r="X422" t="s">
        <v>58</v>
      </c>
      <c r="Y422">
        <v>20</v>
      </c>
      <c r="Z422" t="s">
        <v>59</v>
      </c>
      <c r="AA422" t="s">
        <v>59</v>
      </c>
      <c r="AB422" t="s">
        <v>59</v>
      </c>
      <c r="AC422" t="s">
        <v>59</v>
      </c>
      <c r="AD422" t="s">
        <v>59</v>
      </c>
      <c r="AF422" s="1">
        <v>38961</v>
      </c>
      <c r="AG422" t="s">
        <v>148</v>
      </c>
      <c r="AH422" t="s">
        <v>149</v>
      </c>
      <c r="AI422" t="str">
        <f>"1751042"</f>
        <v>1751042</v>
      </c>
      <c r="AJ422" t="s">
        <v>959</v>
      </c>
      <c r="AK422">
        <v>2810220685</v>
      </c>
      <c r="AL422" t="s">
        <v>960</v>
      </c>
      <c r="AM422" t="s">
        <v>78</v>
      </c>
      <c r="AN422" t="s">
        <v>78</v>
      </c>
      <c r="AO422" t="s">
        <v>78</v>
      </c>
      <c r="AP422" t="s">
        <v>213</v>
      </c>
      <c r="AQ422">
        <v>6</v>
      </c>
      <c r="AR422" t="s">
        <v>123</v>
      </c>
      <c r="AS422" t="s">
        <v>124</v>
      </c>
      <c r="AT422" t="s">
        <v>58</v>
      </c>
      <c r="AU422" t="s">
        <v>68</v>
      </c>
      <c r="AV422" t="s">
        <v>69</v>
      </c>
      <c r="AW422" s="1">
        <v>24569</v>
      </c>
      <c r="AX422">
        <v>2</v>
      </c>
    </row>
    <row r="423" spans="1:50">
      <c r="A423">
        <v>197680</v>
      </c>
      <c r="B423" t="str">
        <f>"043092516"</f>
        <v>043092516</v>
      </c>
      <c r="C423" t="s">
        <v>105</v>
      </c>
      <c r="D423" t="s">
        <v>1329</v>
      </c>
      <c r="E423" t="s">
        <v>1330</v>
      </c>
      <c r="F423" t="s">
        <v>72</v>
      </c>
      <c r="G423" t="s">
        <v>237</v>
      </c>
      <c r="H423" t="str">
        <f>"ΣΑΘΑ 5 ΗΡΑΚΛΕΙΟ"</f>
        <v>ΣΑΘΑ 5 ΗΡΑΚΛΕΙΟ</v>
      </c>
      <c r="I423">
        <v>71201</v>
      </c>
      <c r="J423">
        <v>2810285086</v>
      </c>
      <c r="K423">
        <v>6978091469</v>
      </c>
      <c r="N423" t="s">
        <v>292</v>
      </c>
      <c r="O423" t="s">
        <v>293</v>
      </c>
      <c r="P423" t="s">
        <v>232</v>
      </c>
      <c r="Q423" t="s">
        <v>233</v>
      </c>
      <c r="R423" t="s">
        <v>57</v>
      </c>
      <c r="S423">
        <v>9</v>
      </c>
      <c r="T423">
        <v>206</v>
      </c>
      <c r="U423" s="1">
        <v>37866</v>
      </c>
      <c r="V423" t="s">
        <v>123</v>
      </c>
      <c r="W423" t="s">
        <v>124</v>
      </c>
      <c r="X423" t="s">
        <v>58</v>
      </c>
      <c r="Y423">
        <v>20</v>
      </c>
      <c r="Z423" t="s">
        <v>59</v>
      </c>
      <c r="AA423" t="s">
        <v>59</v>
      </c>
      <c r="AB423" t="s">
        <v>59</v>
      </c>
      <c r="AC423" t="s">
        <v>59</v>
      </c>
      <c r="AD423" t="s">
        <v>59</v>
      </c>
      <c r="AF423" s="1">
        <v>37866</v>
      </c>
      <c r="AG423" t="s">
        <v>125</v>
      </c>
      <c r="AH423" t="s">
        <v>126</v>
      </c>
      <c r="AI423" t="str">
        <f>"1701056"</f>
        <v>1701056</v>
      </c>
      <c r="AJ423" t="s">
        <v>211</v>
      </c>
      <c r="AK423">
        <v>2810245445</v>
      </c>
      <c r="AL423" t="s">
        <v>212</v>
      </c>
      <c r="AM423" t="s">
        <v>78</v>
      </c>
      <c r="AN423" t="s">
        <v>78</v>
      </c>
      <c r="AO423" t="s">
        <v>78</v>
      </c>
      <c r="AP423" t="s">
        <v>213</v>
      </c>
      <c r="AQ423">
        <v>6</v>
      </c>
      <c r="AR423" t="s">
        <v>123</v>
      </c>
      <c r="AS423" t="s">
        <v>124</v>
      </c>
      <c r="AT423" t="s">
        <v>58</v>
      </c>
      <c r="AU423" t="s">
        <v>68</v>
      </c>
      <c r="AV423" t="s">
        <v>69</v>
      </c>
      <c r="AW423" s="1">
        <v>22752</v>
      </c>
      <c r="AX423">
        <v>2</v>
      </c>
    </row>
    <row r="424" spans="1:50">
      <c r="B424" t="str">
        <f>"114592330"</f>
        <v>114592330</v>
      </c>
      <c r="C424" t="s">
        <v>50</v>
      </c>
      <c r="D424" t="s">
        <v>1331</v>
      </c>
      <c r="E424" t="s">
        <v>513</v>
      </c>
      <c r="F424" t="s">
        <v>72</v>
      </c>
      <c r="G424" t="s">
        <v>96</v>
      </c>
      <c r="H424" t="str">
        <f>"ΜΕΓ ΚΩΝΣΤΑΝΤΙΝΟΥ 20 ΗΡΑΚΛΕΙΟ"</f>
        <v>ΜΕΓ ΚΩΝΣΤΑΝΤΙΝΟΥ 20 ΗΡΑΚΛΕΙΟ</v>
      </c>
      <c r="I424">
        <v>71307</v>
      </c>
      <c r="J424">
        <v>2810221245</v>
      </c>
      <c r="K424">
        <v>6976430602</v>
      </c>
      <c r="N424" t="s">
        <v>765</v>
      </c>
      <c r="O424" t="s">
        <v>766</v>
      </c>
      <c r="R424" t="s">
        <v>57</v>
      </c>
      <c r="S424">
        <v>5</v>
      </c>
      <c r="T424" t="s">
        <v>416</v>
      </c>
      <c r="U424" s="1">
        <v>43349</v>
      </c>
      <c r="V424" t="s">
        <v>123</v>
      </c>
      <c r="W424" t="s">
        <v>124</v>
      </c>
      <c r="X424" t="s">
        <v>58</v>
      </c>
      <c r="Y424">
        <v>21</v>
      </c>
      <c r="Z424" t="s">
        <v>59</v>
      </c>
      <c r="AA424" t="s">
        <v>59</v>
      </c>
      <c r="AB424" t="s">
        <v>59</v>
      </c>
      <c r="AC424" t="s">
        <v>59</v>
      </c>
      <c r="AD424" t="s">
        <v>59</v>
      </c>
      <c r="AF424" s="1">
        <v>43349</v>
      </c>
      <c r="AG424" t="s">
        <v>137</v>
      </c>
      <c r="AH424" t="s">
        <v>138</v>
      </c>
      <c r="AI424" t="str">
        <f>"1740070"</f>
        <v>1740070</v>
      </c>
      <c r="AJ424" t="s">
        <v>206</v>
      </c>
      <c r="AK424">
        <v>2810324880</v>
      </c>
      <c r="AL424" t="s">
        <v>207</v>
      </c>
      <c r="AM424" t="s">
        <v>78</v>
      </c>
      <c r="AN424" t="s">
        <v>78</v>
      </c>
      <c r="AO424" t="s">
        <v>78</v>
      </c>
      <c r="AP424" t="s">
        <v>163</v>
      </c>
      <c r="AQ424">
        <v>9</v>
      </c>
      <c r="AR424" t="s">
        <v>123</v>
      </c>
      <c r="AS424" t="s">
        <v>124</v>
      </c>
      <c r="AT424" t="s">
        <v>58</v>
      </c>
      <c r="AU424" t="s">
        <v>419</v>
      </c>
      <c r="AV424" t="s">
        <v>132</v>
      </c>
      <c r="AW424" s="1">
        <v>26737</v>
      </c>
      <c r="AX424">
        <v>2</v>
      </c>
    </row>
    <row r="425" spans="1:50">
      <c r="B425" t="str">
        <f>"119677522"</f>
        <v>119677522</v>
      </c>
      <c r="C425" t="s">
        <v>50</v>
      </c>
      <c r="D425" t="s">
        <v>1331</v>
      </c>
      <c r="E425" t="s">
        <v>237</v>
      </c>
      <c r="F425" t="s">
        <v>72</v>
      </c>
      <c r="G425" t="s">
        <v>352</v>
      </c>
      <c r="H425" t="str">
        <f>"ΕΞΗΚΙΟΥ 13 ΗΡΑΚΛΕΙΟ"</f>
        <v>ΕΞΗΚΙΟΥ 13 ΗΡΑΚΛΕΙΟ</v>
      </c>
      <c r="I425">
        <v>71306</v>
      </c>
      <c r="J425">
        <v>2810221592</v>
      </c>
      <c r="K425">
        <v>6948576366</v>
      </c>
      <c r="M425" t="s">
        <v>1332</v>
      </c>
      <c r="N425" t="s">
        <v>292</v>
      </c>
      <c r="O425" t="s">
        <v>293</v>
      </c>
      <c r="R425" t="s">
        <v>57</v>
      </c>
      <c r="S425">
        <v>5</v>
      </c>
      <c r="T425" t="s">
        <v>416</v>
      </c>
      <c r="U425" s="1">
        <v>43349</v>
      </c>
      <c r="V425" t="s">
        <v>123</v>
      </c>
      <c r="W425" t="s">
        <v>124</v>
      </c>
      <c r="X425" t="s">
        <v>58</v>
      </c>
      <c r="Y425">
        <v>21</v>
      </c>
      <c r="Z425" t="s">
        <v>59</v>
      </c>
      <c r="AA425" t="s">
        <v>59</v>
      </c>
      <c r="AB425" t="s">
        <v>59</v>
      </c>
      <c r="AC425" t="s">
        <v>59</v>
      </c>
      <c r="AD425" t="s">
        <v>59</v>
      </c>
      <c r="AF425" s="1">
        <v>43349</v>
      </c>
      <c r="AG425" t="s">
        <v>148</v>
      </c>
      <c r="AH425" t="s">
        <v>149</v>
      </c>
      <c r="AI425" t="str">
        <f>"1760010"</f>
        <v>1760010</v>
      </c>
      <c r="AJ425" t="s">
        <v>701</v>
      </c>
      <c r="AK425">
        <v>2810711442</v>
      </c>
      <c r="AL425" t="s">
        <v>702</v>
      </c>
      <c r="AM425" t="s">
        <v>78</v>
      </c>
      <c r="AN425" t="s">
        <v>129</v>
      </c>
      <c r="AO425" t="s">
        <v>597</v>
      </c>
      <c r="AP425" t="s">
        <v>598</v>
      </c>
      <c r="AQ425">
        <v>28</v>
      </c>
      <c r="AR425" t="s">
        <v>123</v>
      </c>
      <c r="AS425" t="s">
        <v>124</v>
      </c>
      <c r="AT425" t="s">
        <v>58</v>
      </c>
      <c r="AU425" t="s">
        <v>419</v>
      </c>
      <c r="AV425" t="s">
        <v>132</v>
      </c>
      <c r="AW425" s="1">
        <v>23887</v>
      </c>
      <c r="AX425">
        <v>2</v>
      </c>
    </row>
    <row r="426" spans="1:50">
      <c r="A426">
        <v>227871</v>
      </c>
      <c r="B426" t="str">
        <f>"103676069"</f>
        <v>103676069</v>
      </c>
      <c r="C426" t="s">
        <v>50</v>
      </c>
      <c r="D426" t="s">
        <v>1331</v>
      </c>
      <c r="E426" t="s">
        <v>191</v>
      </c>
      <c r="F426" t="s">
        <v>154</v>
      </c>
      <c r="G426" t="s">
        <v>1108</v>
      </c>
      <c r="H426" t="str">
        <f>"ΖΑΡΟΣ ΗΡΑΚΛΕΙΟ ΚΡΗΤΗΣ"</f>
        <v>ΖΑΡΟΣ ΗΡΑΚΛΕΙΟ ΚΡΗΤΗΣ</v>
      </c>
      <c r="I426">
        <v>70002</v>
      </c>
      <c r="J426">
        <v>2894031888</v>
      </c>
      <c r="K426">
        <v>6974624867</v>
      </c>
      <c r="M426" t="s">
        <v>1333</v>
      </c>
      <c r="N426" t="s">
        <v>176</v>
      </c>
      <c r="O426" t="s">
        <v>177</v>
      </c>
      <c r="R426" t="s">
        <v>57</v>
      </c>
      <c r="S426">
        <v>5</v>
      </c>
      <c r="T426">
        <v>654</v>
      </c>
      <c r="U426" s="1">
        <v>40043</v>
      </c>
      <c r="V426" t="s">
        <v>123</v>
      </c>
      <c r="W426" t="s">
        <v>124</v>
      </c>
      <c r="X426" t="s">
        <v>58</v>
      </c>
      <c r="Y426">
        <v>21</v>
      </c>
      <c r="Z426" t="s">
        <v>59</v>
      </c>
      <c r="AA426" t="s">
        <v>59</v>
      </c>
      <c r="AB426" t="s">
        <v>59</v>
      </c>
      <c r="AC426" t="s">
        <v>59</v>
      </c>
      <c r="AD426" t="s">
        <v>59</v>
      </c>
      <c r="AF426" s="1">
        <v>40043</v>
      </c>
      <c r="AG426" t="s">
        <v>345</v>
      </c>
      <c r="AH426" t="s">
        <v>346</v>
      </c>
      <c r="AI426" t="str">
        <f>"1741001"</f>
        <v>1741001</v>
      </c>
      <c r="AJ426" t="s">
        <v>655</v>
      </c>
      <c r="AK426">
        <v>2810360436</v>
      </c>
      <c r="AL426" t="s">
        <v>656</v>
      </c>
      <c r="AM426" t="s">
        <v>78</v>
      </c>
      <c r="AN426" t="s">
        <v>78</v>
      </c>
      <c r="AO426" t="s">
        <v>78</v>
      </c>
      <c r="AP426" t="s">
        <v>141</v>
      </c>
      <c r="AQ426">
        <v>11</v>
      </c>
      <c r="AR426" t="s">
        <v>123</v>
      </c>
      <c r="AS426" t="s">
        <v>124</v>
      </c>
      <c r="AT426" t="s">
        <v>58</v>
      </c>
      <c r="AU426" t="s">
        <v>68</v>
      </c>
      <c r="AV426" t="s">
        <v>69</v>
      </c>
      <c r="AW426" s="1">
        <v>25192</v>
      </c>
      <c r="AX426">
        <v>2</v>
      </c>
    </row>
    <row r="427" spans="1:50">
      <c r="A427">
        <v>180400</v>
      </c>
      <c r="B427" t="str">
        <f>"026851804"</f>
        <v>026851804</v>
      </c>
      <c r="C427" t="s">
        <v>105</v>
      </c>
      <c r="D427" t="s">
        <v>1334</v>
      </c>
      <c r="E427" t="s">
        <v>95</v>
      </c>
      <c r="F427" t="s">
        <v>72</v>
      </c>
      <c r="G427" t="s">
        <v>352</v>
      </c>
      <c r="H427" t="str">
        <f>" "</f>
        <v xml:space="preserve"> </v>
      </c>
      <c r="J427">
        <v>2810312592</v>
      </c>
      <c r="K427">
        <v>6972108228</v>
      </c>
      <c r="N427" t="s">
        <v>232</v>
      </c>
      <c r="O427" t="s">
        <v>233</v>
      </c>
      <c r="R427" t="s">
        <v>57</v>
      </c>
      <c r="S427">
        <v>10</v>
      </c>
      <c r="T427">
        <v>164</v>
      </c>
      <c r="U427" s="1">
        <v>36040</v>
      </c>
      <c r="V427" t="s">
        <v>123</v>
      </c>
      <c r="W427" t="s">
        <v>124</v>
      </c>
      <c r="X427" t="s">
        <v>58</v>
      </c>
      <c r="Y427">
        <v>18</v>
      </c>
      <c r="Z427" t="s">
        <v>59</v>
      </c>
      <c r="AA427" t="s">
        <v>59</v>
      </c>
      <c r="AB427" t="s">
        <v>59</v>
      </c>
      <c r="AC427" t="s">
        <v>59</v>
      </c>
      <c r="AD427" t="s">
        <v>59</v>
      </c>
      <c r="AF427" s="1">
        <v>36045</v>
      </c>
      <c r="AG427" t="s">
        <v>148</v>
      </c>
      <c r="AH427" t="s">
        <v>149</v>
      </c>
      <c r="AI427" t="str">
        <f>"1751040"</f>
        <v>1751040</v>
      </c>
      <c r="AJ427" t="s">
        <v>178</v>
      </c>
      <c r="AK427">
        <v>2810252495</v>
      </c>
      <c r="AL427" t="s">
        <v>179</v>
      </c>
      <c r="AM427" t="s">
        <v>78</v>
      </c>
      <c r="AN427" t="s">
        <v>78</v>
      </c>
      <c r="AO427" t="s">
        <v>78</v>
      </c>
      <c r="AP427" t="s">
        <v>141</v>
      </c>
      <c r="AQ427">
        <v>3</v>
      </c>
      <c r="AR427" t="s">
        <v>123</v>
      </c>
      <c r="AS427" t="s">
        <v>124</v>
      </c>
      <c r="AT427" t="s">
        <v>58</v>
      </c>
      <c r="AU427" t="s">
        <v>68</v>
      </c>
      <c r="AV427" t="s">
        <v>69</v>
      </c>
      <c r="AW427" s="1">
        <v>22225</v>
      </c>
      <c r="AX427">
        <v>2</v>
      </c>
    </row>
    <row r="428" spans="1:50">
      <c r="A428">
        <v>222033</v>
      </c>
      <c r="B428" t="str">
        <f>"056705431"</f>
        <v>056705431</v>
      </c>
      <c r="C428" t="s">
        <v>105</v>
      </c>
      <c r="D428" t="s">
        <v>1335</v>
      </c>
      <c r="E428" t="s">
        <v>95</v>
      </c>
      <c r="F428" t="s">
        <v>1336</v>
      </c>
      <c r="G428" t="s">
        <v>396</v>
      </c>
      <c r="H428" t="str">
        <f>"ΑΝΘΕΜΙΟΥ 11 ΗΡΑΚΛΕΙΟ"</f>
        <v>ΑΝΘΕΜΙΟΥ 11 ΗΡΑΚΛΕΙΟ</v>
      </c>
      <c r="I428">
        <v>71306</v>
      </c>
      <c r="J428">
        <v>2813007768</v>
      </c>
      <c r="K428">
        <v>6948030104</v>
      </c>
      <c r="L428">
        <v>2811101272</v>
      </c>
      <c r="M428" t="s">
        <v>1337</v>
      </c>
      <c r="N428" t="s">
        <v>146</v>
      </c>
      <c r="O428" t="s">
        <v>147</v>
      </c>
      <c r="R428" t="s">
        <v>57</v>
      </c>
      <c r="S428">
        <v>4</v>
      </c>
      <c r="T428">
        <v>775</v>
      </c>
      <c r="U428" s="1">
        <v>39680</v>
      </c>
      <c r="V428" t="s">
        <v>123</v>
      </c>
      <c r="W428" t="s">
        <v>124</v>
      </c>
      <c r="X428" t="s">
        <v>58</v>
      </c>
      <c r="Y428">
        <v>21</v>
      </c>
      <c r="Z428" t="s">
        <v>59</v>
      </c>
      <c r="AA428" t="s">
        <v>59</v>
      </c>
      <c r="AB428" t="s">
        <v>59</v>
      </c>
      <c r="AC428" t="s">
        <v>59</v>
      </c>
      <c r="AD428" t="s">
        <v>59</v>
      </c>
      <c r="AF428" s="1">
        <v>39682</v>
      </c>
      <c r="AG428" t="s">
        <v>148</v>
      </c>
      <c r="AH428" t="s">
        <v>149</v>
      </c>
      <c r="AI428" t="str">
        <f>"1756010"</f>
        <v>1756010</v>
      </c>
      <c r="AJ428" t="s">
        <v>874</v>
      </c>
      <c r="AK428">
        <v>2892022976</v>
      </c>
      <c r="AL428" t="s">
        <v>875</v>
      </c>
      <c r="AM428" t="s">
        <v>78</v>
      </c>
      <c r="AN428" t="s">
        <v>242</v>
      </c>
      <c r="AO428" t="s">
        <v>243</v>
      </c>
      <c r="AP428" t="s">
        <v>243</v>
      </c>
      <c r="AQ428">
        <v>33</v>
      </c>
      <c r="AR428" t="s">
        <v>123</v>
      </c>
      <c r="AS428" t="s">
        <v>124</v>
      </c>
      <c r="AT428" t="s">
        <v>58</v>
      </c>
      <c r="AU428" t="s">
        <v>68</v>
      </c>
      <c r="AV428" t="s">
        <v>69</v>
      </c>
      <c r="AW428" s="1">
        <v>25906</v>
      </c>
      <c r="AX428">
        <v>2</v>
      </c>
    </row>
    <row r="429" spans="1:50">
      <c r="B429" t="str">
        <f>"110903132"</f>
        <v>110903132</v>
      </c>
      <c r="C429" t="s">
        <v>105</v>
      </c>
      <c r="D429" t="s">
        <v>1338</v>
      </c>
      <c r="E429" t="s">
        <v>383</v>
      </c>
      <c r="F429" t="s">
        <v>108</v>
      </c>
      <c r="G429" t="s">
        <v>155</v>
      </c>
      <c r="H429" t="str">
        <f>"ΣΠΥΡΟΥ ΓΟΥΡΝΑ 6 ΜΑΛΕΣΙΝΑ"</f>
        <v>ΣΠΥΡΟΥ ΓΟΥΡΝΑ 6 ΜΑΛΕΣΙΝΑ</v>
      </c>
      <c r="I429">
        <v>35001</v>
      </c>
      <c r="J429">
        <v>2233052039</v>
      </c>
      <c r="K429">
        <v>6972232456</v>
      </c>
      <c r="N429" t="s">
        <v>119</v>
      </c>
      <c r="O429" t="s">
        <v>120</v>
      </c>
      <c r="R429" t="s">
        <v>159</v>
      </c>
      <c r="S429">
        <v>3</v>
      </c>
      <c r="T429" t="s">
        <v>344</v>
      </c>
      <c r="U429" s="1">
        <v>43348</v>
      </c>
      <c r="V429" t="s">
        <v>123</v>
      </c>
      <c r="W429" t="s">
        <v>124</v>
      </c>
      <c r="X429" t="s">
        <v>58</v>
      </c>
      <c r="Y429">
        <v>23</v>
      </c>
      <c r="Z429" t="s">
        <v>59</v>
      </c>
      <c r="AA429" t="s">
        <v>59</v>
      </c>
      <c r="AB429" t="s">
        <v>59</v>
      </c>
      <c r="AC429" t="s">
        <v>59</v>
      </c>
      <c r="AD429" t="s">
        <v>59</v>
      </c>
      <c r="AF429" s="1">
        <v>43348</v>
      </c>
      <c r="AG429" t="s">
        <v>125</v>
      </c>
      <c r="AH429" t="s">
        <v>126</v>
      </c>
      <c r="AI429" t="str">
        <f>"1701056"</f>
        <v>1701056</v>
      </c>
      <c r="AJ429" t="s">
        <v>211</v>
      </c>
      <c r="AK429">
        <v>2810245445</v>
      </c>
      <c r="AL429" t="s">
        <v>212</v>
      </c>
      <c r="AM429" t="s">
        <v>78</v>
      </c>
      <c r="AN429" t="s">
        <v>78</v>
      </c>
      <c r="AO429" t="s">
        <v>78</v>
      </c>
      <c r="AP429" t="s">
        <v>213</v>
      </c>
      <c r="AQ429">
        <v>6</v>
      </c>
      <c r="AR429" t="s">
        <v>123</v>
      </c>
      <c r="AS429" t="s">
        <v>124</v>
      </c>
      <c r="AT429" t="s">
        <v>58</v>
      </c>
      <c r="AU429" t="s">
        <v>350</v>
      </c>
      <c r="AV429" t="s">
        <v>132</v>
      </c>
      <c r="AW429" s="1">
        <v>28997</v>
      </c>
      <c r="AX429">
        <v>2</v>
      </c>
    </row>
    <row r="430" spans="1:50">
      <c r="A430">
        <v>220005</v>
      </c>
      <c r="B430" t="str">
        <f>"073524710"</f>
        <v>073524710</v>
      </c>
      <c r="C430" t="s">
        <v>105</v>
      </c>
      <c r="D430" t="s">
        <v>1339</v>
      </c>
      <c r="E430" t="s">
        <v>900</v>
      </c>
      <c r="F430" t="s">
        <v>106</v>
      </c>
      <c r="G430" t="s">
        <v>255</v>
      </c>
      <c r="H430" t="str">
        <f>" "</f>
        <v xml:space="preserve"> </v>
      </c>
      <c r="J430">
        <v>2810262612</v>
      </c>
      <c r="K430">
        <v>6974054528</v>
      </c>
      <c r="M430" t="s">
        <v>1340</v>
      </c>
      <c r="N430" t="s">
        <v>168</v>
      </c>
      <c r="O430" t="s">
        <v>169</v>
      </c>
      <c r="R430" t="s">
        <v>57</v>
      </c>
      <c r="S430">
        <v>7</v>
      </c>
      <c r="T430">
        <v>599</v>
      </c>
      <c r="U430" s="1">
        <v>39310</v>
      </c>
      <c r="V430" t="s">
        <v>123</v>
      </c>
      <c r="W430" t="s">
        <v>124</v>
      </c>
      <c r="X430" t="s">
        <v>58</v>
      </c>
      <c r="Y430">
        <v>20</v>
      </c>
      <c r="Z430" t="s">
        <v>59</v>
      </c>
      <c r="AA430" t="s">
        <v>59</v>
      </c>
      <c r="AB430" t="s">
        <v>59</v>
      </c>
      <c r="AC430" t="s">
        <v>59</v>
      </c>
      <c r="AD430" t="s">
        <v>59</v>
      </c>
      <c r="AF430" s="1">
        <v>39328</v>
      </c>
      <c r="AG430" t="s">
        <v>137</v>
      </c>
      <c r="AH430" t="s">
        <v>138</v>
      </c>
      <c r="AI430" t="str">
        <f>"1740100"</f>
        <v>1740100</v>
      </c>
      <c r="AJ430" t="s">
        <v>857</v>
      </c>
      <c r="AK430">
        <v>2810360741</v>
      </c>
      <c r="AL430" t="s">
        <v>858</v>
      </c>
      <c r="AM430" t="s">
        <v>78</v>
      </c>
      <c r="AN430" t="s">
        <v>78</v>
      </c>
      <c r="AO430" t="s">
        <v>78</v>
      </c>
      <c r="AP430" t="s">
        <v>163</v>
      </c>
      <c r="AQ430">
        <v>5</v>
      </c>
      <c r="AR430" t="s">
        <v>123</v>
      </c>
      <c r="AS430" t="s">
        <v>124</v>
      </c>
      <c r="AT430" t="s">
        <v>58</v>
      </c>
      <c r="AU430" t="s">
        <v>68</v>
      </c>
      <c r="AV430" t="s">
        <v>69</v>
      </c>
      <c r="AW430" s="1">
        <v>25423</v>
      </c>
      <c r="AX430">
        <v>2</v>
      </c>
    </row>
    <row r="431" spans="1:50">
      <c r="A431">
        <v>149585</v>
      </c>
      <c r="B431" t="str">
        <f>"024359688"</f>
        <v>024359688</v>
      </c>
      <c r="C431" t="s">
        <v>50</v>
      </c>
      <c r="D431" t="s">
        <v>1341</v>
      </c>
      <c r="E431" t="s">
        <v>620</v>
      </c>
      <c r="F431" t="s">
        <v>383</v>
      </c>
      <c r="G431" t="s">
        <v>1342</v>
      </c>
      <c r="H431" t="str">
        <f>" "</f>
        <v xml:space="preserve"> </v>
      </c>
      <c r="M431" t="s">
        <v>1343</v>
      </c>
      <c r="N431" t="s">
        <v>299</v>
      </c>
      <c r="O431" t="s">
        <v>300</v>
      </c>
      <c r="R431" t="s">
        <v>57</v>
      </c>
      <c r="S431">
        <v>16</v>
      </c>
      <c r="T431">
        <v>205</v>
      </c>
      <c r="U431" s="1">
        <v>31658</v>
      </c>
      <c r="V431" t="s">
        <v>123</v>
      </c>
      <c r="W431" t="s">
        <v>124</v>
      </c>
      <c r="X431" t="s">
        <v>58</v>
      </c>
      <c r="Y431">
        <v>18</v>
      </c>
      <c r="Z431" t="s">
        <v>59</v>
      </c>
      <c r="AA431" t="s">
        <v>59</v>
      </c>
      <c r="AB431" t="s">
        <v>59</v>
      </c>
      <c r="AC431" t="s">
        <v>59</v>
      </c>
      <c r="AD431" t="s">
        <v>59</v>
      </c>
      <c r="AF431" s="1">
        <v>31658</v>
      </c>
      <c r="AG431" t="s">
        <v>137</v>
      </c>
      <c r="AH431" t="s">
        <v>469</v>
      </c>
      <c r="AI431" t="str">
        <f>"1740200"</f>
        <v>1740200</v>
      </c>
      <c r="AJ431" t="s">
        <v>470</v>
      </c>
      <c r="AK431">
        <v>2810320770</v>
      </c>
      <c r="AL431" t="s">
        <v>471</v>
      </c>
      <c r="AM431" t="s">
        <v>78</v>
      </c>
      <c r="AN431" t="s">
        <v>78</v>
      </c>
      <c r="AO431" t="s">
        <v>78</v>
      </c>
      <c r="AP431" t="s">
        <v>163</v>
      </c>
      <c r="AQ431">
        <v>2</v>
      </c>
      <c r="AR431" t="s">
        <v>123</v>
      </c>
      <c r="AS431" t="s">
        <v>124</v>
      </c>
      <c r="AT431" t="s">
        <v>58</v>
      </c>
      <c r="AU431" t="s">
        <v>68</v>
      </c>
      <c r="AV431" t="s">
        <v>69</v>
      </c>
      <c r="AW431" s="1">
        <v>21448</v>
      </c>
      <c r="AX431">
        <v>2</v>
      </c>
    </row>
    <row r="432" spans="1:50">
      <c r="A432">
        <v>154664</v>
      </c>
      <c r="B432" t="str">
        <f>"043091464"</f>
        <v>043091464</v>
      </c>
      <c r="C432" t="s">
        <v>105</v>
      </c>
      <c r="D432" t="s">
        <v>1344</v>
      </c>
      <c r="E432" t="s">
        <v>53</v>
      </c>
      <c r="F432" t="s">
        <v>166</v>
      </c>
      <c r="G432" t="s">
        <v>1345</v>
      </c>
      <c r="H432" t="str">
        <f>"ΑΝΩ ΑΡΧΑΝΕΣ ΑΡΧΑΝΩΝ"</f>
        <v>ΑΝΩ ΑΡΧΑΝΕΣ ΑΡΧΑΝΩΝ</v>
      </c>
      <c r="I432">
        <v>70100</v>
      </c>
      <c r="J432">
        <v>2810751664</v>
      </c>
      <c r="K432">
        <v>6944360066</v>
      </c>
      <c r="M432" t="s">
        <v>1346</v>
      </c>
      <c r="N432" t="s">
        <v>257</v>
      </c>
      <c r="O432" t="s">
        <v>258</v>
      </c>
      <c r="R432" t="s">
        <v>57</v>
      </c>
      <c r="S432">
        <v>19</v>
      </c>
      <c r="T432">
        <v>161</v>
      </c>
      <c r="U432" s="1">
        <v>32387</v>
      </c>
      <c r="V432" t="s">
        <v>123</v>
      </c>
      <c r="W432" t="s">
        <v>124</v>
      </c>
      <c r="X432" t="s">
        <v>58</v>
      </c>
      <c r="Y432">
        <v>18</v>
      </c>
      <c r="Z432" t="s">
        <v>59</v>
      </c>
      <c r="AA432" t="s">
        <v>59</v>
      </c>
      <c r="AB432" t="s">
        <v>59</v>
      </c>
      <c r="AC432" t="s">
        <v>59</v>
      </c>
      <c r="AD432" t="s">
        <v>59</v>
      </c>
      <c r="AF432" s="1">
        <v>32393</v>
      </c>
      <c r="AG432" t="s">
        <v>148</v>
      </c>
      <c r="AH432" t="s">
        <v>149</v>
      </c>
      <c r="AI432" t="str">
        <f>"1761010"</f>
        <v>1761010</v>
      </c>
      <c r="AJ432" t="s">
        <v>426</v>
      </c>
      <c r="AK432">
        <v>2810741356</v>
      </c>
      <c r="AL432" t="s">
        <v>427</v>
      </c>
      <c r="AM432" t="s">
        <v>78</v>
      </c>
      <c r="AN432" t="s">
        <v>424</v>
      </c>
      <c r="AO432" t="s">
        <v>428</v>
      </c>
      <c r="AP432" t="s">
        <v>429</v>
      </c>
      <c r="AQ432">
        <v>14</v>
      </c>
      <c r="AR432" t="s">
        <v>123</v>
      </c>
      <c r="AS432" t="s">
        <v>124</v>
      </c>
      <c r="AT432" t="s">
        <v>58</v>
      </c>
      <c r="AU432" t="s">
        <v>68</v>
      </c>
      <c r="AV432" t="s">
        <v>69</v>
      </c>
      <c r="AW432" s="1">
        <v>19876</v>
      </c>
      <c r="AX432">
        <v>2</v>
      </c>
    </row>
    <row r="433" spans="1:50">
      <c r="A433">
        <v>208857</v>
      </c>
      <c r="B433" t="str">
        <f>"044808649"</f>
        <v>044808649</v>
      </c>
      <c r="C433" t="s">
        <v>50</v>
      </c>
      <c r="D433" t="s">
        <v>1347</v>
      </c>
      <c r="E433" t="s">
        <v>1348</v>
      </c>
      <c r="F433" t="s">
        <v>53</v>
      </c>
      <c r="G433" t="s">
        <v>658</v>
      </c>
      <c r="H433" t="str">
        <f>"ΠΑΥΛΟΥ ΜΕΛΑ 6 "</f>
        <v xml:space="preserve">ΠΑΥΛΟΥ ΜΕΛΑ 6 </v>
      </c>
      <c r="I433">
        <v>71304</v>
      </c>
      <c r="J433">
        <v>2810289741</v>
      </c>
      <c r="K433">
        <v>6973740750</v>
      </c>
      <c r="M433" t="s">
        <v>1349</v>
      </c>
      <c r="N433" t="s">
        <v>587</v>
      </c>
      <c r="O433" t="s">
        <v>588</v>
      </c>
      <c r="R433" t="s">
        <v>57</v>
      </c>
      <c r="S433">
        <v>6</v>
      </c>
      <c r="T433">
        <v>218</v>
      </c>
      <c r="U433" s="1">
        <v>38596</v>
      </c>
      <c r="V433" t="s">
        <v>123</v>
      </c>
      <c r="W433" t="s">
        <v>124</v>
      </c>
      <c r="X433" t="s">
        <v>58</v>
      </c>
      <c r="Y433">
        <v>20</v>
      </c>
      <c r="Z433" t="s">
        <v>59</v>
      </c>
      <c r="AA433" t="s">
        <v>59</v>
      </c>
      <c r="AB433" t="s">
        <v>59</v>
      </c>
      <c r="AC433" t="s">
        <v>59</v>
      </c>
      <c r="AD433" t="s">
        <v>59</v>
      </c>
      <c r="AF433" s="1">
        <v>38600</v>
      </c>
      <c r="AG433" t="s">
        <v>125</v>
      </c>
      <c r="AH433" t="s">
        <v>126</v>
      </c>
      <c r="AI433" t="str">
        <f>"1701030"</f>
        <v>1701030</v>
      </c>
      <c r="AJ433" t="s">
        <v>270</v>
      </c>
      <c r="AK433">
        <v>2810361015</v>
      </c>
      <c r="AL433" t="s">
        <v>271</v>
      </c>
      <c r="AM433" t="s">
        <v>78</v>
      </c>
      <c r="AN433" t="s">
        <v>78</v>
      </c>
      <c r="AO433" t="s">
        <v>78</v>
      </c>
      <c r="AP433" t="s">
        <v>163</v>
      </c>
      <c r="AQ433">
        <v>2</v>
      </c>
      <c r="AR433" t="s">
        <v>123</v>
      </c>
      <c r="AS433" t="s">
        <v>124</v>
      </c>
      <c r="AT433" t="s">
        <v>58</v>
      </c>
      <c r="AU433" t="s">
        <v>68</v>
      </c>
      <c r="AV433" t="s">
        <v>69</v>
      </c>
      <c r="AW433" s="1">
        <v>24386</v>
      </c>
      <c r="AX433">
        <v>2</v>
      </c>
    </row>
    <row r="434" spans="1:50">
      <c r="A434">
        <v>200655</v>
      </c>
      <c r="B434" t="str">
        <f>"032450472"</f>
        <v>032450472</v>
      </c>
      <c r="C434" t="s">
        <v>50</v>
      </c>
      <c r="D434" t="s">
        <v>1350</v>
      </c>
      <c r="E434" t="s">
        <v>52</v>
      </c>
      <c r="F434" t="s">
        <v>95</v>
      </c>
      <c r="G434" t="s">
        <v>513</v>
      </c>
      <c r="H434" t="str">
        <f>" "</f>
        <v xml:space="preserve"> </v>
      </c>
      <c r="K434">
        <v>6977366763</v>
      </c>
      <c r="L434">
        <v>2109825059</v>
      </c>
      <c r="N434" t="s">
        <v>1351</v>
      </c>
      <c r="O434" t="s">
        <v>1352</v>
      </c>
      <c r="R434" t="s">
        <v>57</v>
      </c>
      <c r="S434">
        <v>17</v>
      </c>
      <c r="T434">
        <v>213</v>
      </c>
      <c r="U434" s="1">
        <v>37874</v>
      </c>
      <c r="V434" t="s">
        <v>123</v>
      </c>
      <c r="W434" t="s">
        <v>124</v>
      </c>
      <c r="X434" t="s">
        <v>58</v>
      </c>
      <c r="Y434">
        <v>20</v>
      </c>
      <c r="Z434" t="s">
        <v>59</v>
      </c>
      <c r="AA434" t="s">
        <v>59</v>
      </c>
      <c r="AB434" t="s">
        <v>59</v>
      </c>
      <c r="AC434" t="s">
        <v>59</v>
      </c>
      <c r="AD434" t="s">
        <v>59</v>
      </c>
      <c r="AF434" s="1">
        <v>37876</v>
      </c>
      <c r="AG434" t="s">
        <v>137</v>
      </c>
      <c r="AH434" t="s">
        <v>138</v>
      </c>
      <c r="AI434" t="str">
        <f>"1740070"</f>
        <v>1740070</v>
      </c>
      <c r="AJ434" t="s">
        <v>206</v>
      </c>
      <c r="AK434">
        <v>2810324880</v>
      </c>
      <c r="AL434" t="s">
        <v>207</v>
      </c>
      <c r="AM434" t="s">
        <v>78</v>
      </c>
      <c r="AN434" t="s">
        <v>78</v>
      </c>
      <c r="AO434" t="s">
        <v>78</v>
      </c>
      <c r="AP434" t="s">
        <v>163</v>
      </c>
      <c r="AQ434">
        <v>9</v>
      </c>
      <c r="AR434" t="s">
        <v>123</v>
      </c>
      <c r="AS434" t="s">
        <v>124</v>
      </c>
      <c r="AT434" t="s">
        <v>58</v>
      </c>
      <c r="AU434" t="s">
        <v>68</v>
      </c>
      <c r="AV434" t="s">
        <v>69</v>
      </c>
      <c r="AW434" s="1">
        <v>22282</v>
      </c>
      <c r="AX434">
        <v>2</v>
      </c>
    </row>
    <row r="435" spans="1:50">
      <c r="A435">
        <v>178341</v>
      </c>
      <c r="B435" t="str">
        <f>"045580894"</f>
        <v>045580894</v>
      </c>
      <c r="C435" t="s">
        <v>50</v>
      </c>
      <c r="D435" t="s">
        <v>1350</v>
      </c>
      <c r="E435" t="s">
        <v>52</v>
      </c>
      <c r="F435" t="s">
        <v>53</v>
      </c>
      <c r="G435" t="s">
        <v>263</v>
      </c>
      <c r="H435" t="str">
        <f>"ΙΕΡΟΛΟΧΙΤΩΝ 18 "</f>
        <v xml:space="preserve">ΙΕΡΟΛΟΧΙΤΩΝ 18 </v>
      </c>
      <c r="I435">
        <v>71305</v>
      </c>
      <c r="J435">
        <v>2810326901</v>
      </c>
      <c r="K435">
        <v>6948544613</v>
      </c>
      <c r="M435" t="s">
        <v>1353</v>
      </c>
      <c r="N435" t="s">
        <v>204</v>
      </c>
      <c r="O435" t="s">
        <v>205</v>
      </c>
      <c r="P435" t="s">
        <v>232</v>
      </c>
      <c r="Q435" t="s">
        <v>233</v>
      </c>
      <c r="R435" t="s">
        <v>57</v>
      </c>
      <c r="S435">
        <v>12</v>
      </c>
      <c r="T435">
        <v>180</v>
      </c>
      <c r="U435" s="1">
        <v>35674</v>
      </c>
      <c r="V435" t="s">
        <v>123</v>
      </c>
      <c r="W435" t="s">
        <v>124</v>
      </c>
      <c r="X435" t="s">
        <v>58</v>
      </c>
      <c r="Y435">
        <v>18</v>
      </c>
      <c r="Z435" t="s">
        <v>59</v>
      </c>
      <c r="AA435" t="s">
        <v>59</v>
      </c>
      <c r="AB435" t="s">
        <v>59</v>
      </c>
      <c r="AC435" t="s">
        <v>59</v>
      </c>
      <c r="AD435" t="s">
        <v>59</v>
      </c>
      <c r="AF435" s="1">
        <v>35677</v>
      </c>
      <c r="AG435" t="s">
        <v>125</v>
      </c>
      <c r="AH435" t="s">
        <v>126</v>
      </c>
      <c r="AI435" t="str">
        <f>"1701010"</f>
        <v>1701010</v>
      </c>
      <c r="AJ435" t="s">
        <v>374</v>
      </c>
      <c r="AK435">
        <v>2810227148</v>
      </c>
      <c r="AL435" t="s">
        <v>375</v>
      </c>
      <c r="AM435" t="s">
        <v>78</v>
      </c>
      <c r="AN435" t="s">
        <v>78</v>
      </c>
      <c r="AO435" t="s">
        <v>78</v>
      </c>
      <c r="AP435" t="s">
        <v>79</v>
      </c>
      <c r="AQ435">
        <v>1</v>
      </c>
      <c r="AR435" t="s">
        <v>123</v>
      </c>
      <c r="AS435" t="s">
        <v>124</v>
      </c>
      <c r="AT435" t="s">
        <v>58</v>
      </c>
      <c r="AU435" t="s">
        <v>68</v>
      </c>
      <c r="AV435" t="s">
        <v>69</v>
      </c>
      <c r="AW435" s="1">
        <v>24770</v>
      </c>
      <c r="AX435">
        <v>2</v>
      </c>
    </row>
    <row r="436" spans="1:50">
      <c r="A436">
        <v>179217</v>
      </c>
      <c r="B436" t="str">
        <f>"038465540"</f>
        <v>038465540</v>
      </c>
      <c r="C436" t="s">
        <v>50</v>
      </c>
      <c r="D436" t="s">
        <v>1354</v>
      </c>
      <c r="E436" t="s">
        <v>1355</v>
      </c>
      <c r="F436" t="s">
        <v>72</v>
      </c>
      <c r="G436" t="s">
        <v>396</v>
      </c>
      <c r="H436" t="str">
        <f>"ΚΑΤΕΡΙΝΗΣ 7 ΜΕΣΑΜΠΕΛΙΕΣ"</f>
        <v>ΚΑΤΕΡΙΝΗΣ 7 ΜΕΣΑΜΠΕΛΙΕΣ</v>
      </c>
      <c r="I436">
        <v>71409</v>
      </c>
      <c r="J436">
        <v>2810234973</v>
      </c>
      <c r="K436">
        <v>6972454881</v>
      </c>
      <c r="M436" t="s">
        <v>1356</v>
      </c>
      <c r="N436" t="s">
        <v>146</v>
      </c>
      <c r="O436" t="s">
        <v>147</v>
      </c>
      <c r="R436" t="s">
        <v>57</v>
      </c>
      <c r="S436">
        <v>12</v>
      </c>
      <c r="T436">
        <v>164</v>
      </c>
      <c r="U436" s="1">
        <v>36040</v>
      </c>
      <c r="V436" t="s">
        <v>123</v>
      </c>
      <c r="W436" t="s">
        <v>124</v>
      </c>
      <c r="X436" t="s">
        <v>58</v>
      </c>
      <c r="Y436">
        <v>18</v>
      </c>
      <c r="Z436" t="s">
        <v>59</v>
      </c>
      <c r="AA436" t="s">
        <v>59</v>
      </c>
      <c r="AB436" t="s">
        <v>59</v>
      </c>
      <c r="AC436" t="s">
        <v>59</v>
      </c>
      <c r="AD436" t="s">
        <v>59</v>
      </c>
      <c r="AF436" s="1">
        <v>36041</v>
      </c>
      <c r="AG436" t="s">
        <v>125</v>
      </c>
      <c r="AH436" t="s">
        <v>126</v>
      </c>
      <c r="AI436" t="str">
        <f>"1701052"</f>
        <v>1701052</v>
      </c>
      <c r="AJ436" t="s">
        <v>223</v>
      </c>
      <c r="AK436">
        <v>2810252514</v>
      </c>
      <c r="AL436" t="s">
        <v>224</v>
      </c>
      <c r="AM436" t="s">
        <v>78</v>
      </c>
      <c r="AN436" t="s">
        <v>78</v>
      </c>
      <c r="AO436" t="s">
        <v>78</v>
      </c>
      <c r="AP436" t="s">
        <v>141</v>
      </c>
      <c r="AQ436">
        <v>7</v>
      </c>
      <c r="AR436" t="s">
        <v>123</v>
      </c>
      <c r="AS436" t="s">
        <v>124</v>
      </c>
      <c r="AT436" t="s">
        <v>58</v>
      </c>
      <c r="AU436" t="s">
        <v>68</v>
      </c>
      <c r="AV436" t="s">
        <v>69</v>
      </c>
      <c r="AW436" s="1">
        <v>24505</v>
      </c>
      <c r="AX436">
        <v>2</v>
      </c>
    </row>
    <row r="437" spans="1:50">
      <c r="A437">
        <v>207723</v>
      </c>
      <c r="B437" t="str">
        <f>"037317453"</f>
        <v>037317453</v>
      </c>
      <c r="C437" t="s">
        <v>50</v>
      </c>
      <c r="D437" t="s">
        <v>1354</v>
      </c>
      <c r="E437" t="s">
        <v>263</v>
      </c>
      <c r="F437" t="s">
        <v>1357</v>
      </c>
      <c r="G437" t="s">
        <v>1358</v>
      </c>
      <c r="H437" t="str">
        <f>"ΕΜΜ. ΧΑΤΖΑΚΗ ΓΟΥΡΝΕΣ ΤΕΜΕΝΟΥΣ"</f>
        <v>ΕΜΜ. ΧΑΤΖΑΚΗ ΓΟΥΡΝΕΣ ΤΕΜΕΝΟΥΣ</v>
      </c>
      <c r="I437">
        <v>71500</v>
      </c>
      <c r="J437">
        <v>2810542733</v>
      </c>
      <c r="K437">
        <v>6947123856</v>
      </c>
      <c r="M437" t="s">
        <v>1359</v>
      </c>
      <c r="N437" t="s">
        <v>288</v>
      </c>
      <c r="O437" t="s">
        <v>289</v>
      </c>
      <c r="R437" t="s">
        <v>57</v>
      </c>
      <c r="S437">
        <v>8</v>
      </c>
      <c r="T437">
        <v>218</v>
      </c>
      <c r="U437" s="1">
        <v>38596</v>
      </c>
      <c r="V437" t="s">
        <v>123</v>
      </c>
      <c r="W437" t="s">
        <v>124</v>
      </c>
      <c r="X437" t="s">
        <v>58</v>
      </c>
      <c r="Y437">
        <v>20</v>
      </c>
      <c r="Z437" t="s">
        <v>59</v>
      </c>
      <c r="AA437" t="s">
        <v>59</v>
      </c>
      <c r="AB437" t="s">
        <v>59</v>
      </c>
      <c r="AC437" t="s">
        <v>59</v>
      </c>
      <c r="AD437" t="s">
        <v>59</v>
      </c>
      <c r="AF437" s="1">
        <v>38600</v>
      </c>
      <c r="AG437" t="s">
        <v>125</v>
      </c>
      <c r="AH437" t="s">
        <v>126</v>
      </c>
      <c r="AI437" t="str">
        <f>"1701052"</f>
        <v>1701052</v>
      </c>
      <c r="AJ437" t="s">
        <v>223</v>
      </c>
      <c r="AK437">
        <v>2810252514</v>
      </c>
      <c r="AL437" t="s">
        <v>224</v>
      </c>
      <c r="AM437" t="s">
        <v>78</v>
      </c>
      <c r="AN437" t="s">
        <v>78</v>
      </c>
      <c r="AO437" t="s">
        <v>78</v>
      </c>
      <c r="AP437" t="s">
        <v>141</v>
      </c>
      <c r="AQ437">
        <v>7</v>
      </c>
      <c r="AR437" t="s">
        <v>123</v>
      </c>
      <c r="AS437" t="s">
        <v>124</v>
      </c>
      <c r="AT437" t="s">
        <v>58</v>
      </c>
      <c r="AU437" t="s">
        <v>68</v>
      </c>
      <c r="AV437" t="s">
        <v>69</v>
      </c>
      <c r="AW437" s="1">
        <v>22187</v>
      </c>
      <c r="AX437">
        <v>2</v>
      </c>
    </row>
    <row r="438" spans="1:50">
      <c r="A438">
        <v>177441</v>
      </c>
      <c r="B438" t="str">
        <f>"045062894"</f>
        <v>045062894</v>
      </c>
      <c r="C438" t="s">
        <v>105</v>
      </c>
      <c r="D438" t="s">
        <v>1360</v>
      </c>
      <c r="E438" t="s">
        <v>106</v>
      </c>
      <c r="F438" t="s">
        <v>95</v>
      </c>
      <c r="G438" t="s">
        <v>1361</v>
      </c>
      <c r="H438" t="str">
        <f>" "</f>
        <v xml:space="preserve"> </v>
      </c>
      <c r="N438" t="s">
        <v>168</v>
      </c>
      <c r="O438" t="s">
        <v>169</v>
      </c>
      <c r="R438" t="s">
        <v>57</v>
      </c>
      <c r="S438">
        <v>15</v>
      </c>
      <c r="T438">
        <v>180</v>
      </c>
      <c r="U438" s="1">
        <v>35674</v>
      </c>
      <c r="V438" t="s">
        <v>123</v>
      </c>
      <c r="W438" t="s">
        <v>124</v>
      </c>
      <c r="X438" t="s">
        <v>58</v>
      </c>
      <c r="Y438">
        <v>18</v>
      </c>
      <c r="Z438" t="s">
        <v>59</v>
      </c>
      <c r="AA438" t="s">
        <v>59</v>
      </c>
      <c r="AB438" t="s">
        <v>59</v>
      </c>
      <c r="AC438" t="s">
        <v>59</v>
      </c>
      <c r="AD438" t="s">
        <v>59</v>
      </c>
      <c r="AF438" s="1">
        <v>35681</v>
      </c>
      <c r="AG438" t="s">
        <v>137</v>
      </c>
      <c r="AH438" t="s">
        <v>138</v>
      </c>
      <c r="AI438" t="str">
        <f>"1750080"</f>
        <v>1750080</v>
      </c>
      <c r="AJ438" t="s">
        <v>170</v>
      </c>
      <c r="AK438">
        <v>2810234444</v>
      </c>
      <c r="AL438" t="s">
        <v>171</v>
      </c>
      <c r="AM438" t="s">
        <v>78</v>
      </c>
      <c r="AN438" t="s">
        <v>78</v>
      </c>
      <c r="AO438" t="s">
        <v>78</v>
      </c>
      <c r="AP438" t="s">
        <v>163</v>
      </c>
      <c r="AQ438">
        <v>9</v>
      </c>
      <c r="AR438" t="s">
        <v>123</v>
      </c>
      <c r="AS438" t="s">
        <v>124</v>
      </c>
      <c r="AT438" t="s">
        <v>58</v>
      </c>
      <c r="AU438" t="s">
        <v>68</v>
      </c>
      <c r="AV438" t="s">
        <v>69</v>
      </c>
      <c r="AW438" s="1">
        <v>25500</v>
      </c>
      <c r="AX438">
        <v>2</v>
      </c>
    </row>
    <row r="439" spans="1:50">
      <c r="A439">
        <v>208061</v>
      </c>
      <c r="B439" t="str">
        <f>"045261570"</f>
        <v>045261570</v>
      </c>
      <c r="C439" t="s">
        <v>105</v>
      </c>
      <c r="D439" t="s">
        <v>1362</v>
      </c>
      <c r="E439" t="s">
        <v>1363</v>
      </c>
      <c r="F439" t="s">
        <v>920</v>
      </c>
      <c r="G439" t="s">
        <v>73</v>
      </c>
      <c r="H439" t="str">
        <f>"ΜΕΓΑΛΟΥ ΑΛΕΞΑΝΔΡΟΥ 42 ΘΕΡΜΑΪΚΟΥ"</f>
        <v>ΜΕΓΑΛΟΥ ΑΛΕΞΑΝΔΡΟΥ 42 ΘΕΡΜΑΪΚΟΥ</v>
      </c>
      <c r="I439">
        <v>57019</v>
      </c>
      <c r="J439">
        <v>2310912346</v>
      </c>
      <c r="K439">
        <v>6972257702</v>
      </c>
      <c r="N439" t="s">
        <v>176</v>
      </c>
      <c r="O439" t="s">
        <v>177</v>
      </c>
      <c r="R439" t="s">
        <v>57</v>
      </c>
      <c r="S439">
        <v>9</v>
      </c>
      <c r="T439">
        <v>218</v>
      </c>
      <c r="U439" s="1">
        <v>38596</v>
      </c>
      <c r="V439" t="s">
        <v>123</v>
      </c>
      <c r="W439" t="s">
        <v>124</v>
      </c>
      <c r="X439" t="s">
        <v>58</v>
      </c>
      <c r="Y439">
        <v>20</v>
      </c>
      <c r="Z439" t="s">
        <v>59</v>
      </c>
      <c r="AA439" t="s">
        <v>59</v>
      </c>
      <c r="AB439" t="s">
        <v>59</v>
      </c>
      <c r="AC439" t="s">
        <v>59</v>
      </c>
      <c r="AD439" t="s">
        <v>59</v>
      </c>
      <c r="AF439" s="1">
        <v>38603</v>
      </c>
      <c r="AG439" t="s">
        <v>125</v>
      </c>
      <c r="AH439" t="s">
        <v>126</v>
      </c>
      <c r="AI439" t="str">
        <f>"1714010"</f>
        <v>1714010</v>
      </c>
      <c r="AJ439" t="s">
        <v>997</v>
      </c>
      <c r="AK439">
        <v>2894031333</v>
      </c>
      <c r="AL439" t="s">
        <v>998</v>
      </c>
      <c r="AM439" t="s">
        <v>78</v>
      </c>
      <c r="AN439" t="s">
        <v>242</v>
      </c>
      <c r="AO439" t="s">
        <v>999</v>
      </c>
      <c r="AP439" t="s">
        <v>999</v>
      </c>
      <c r="AQ439">
        <v>31</v>
      </c>
      <c r="AR439" t="s">
        <v>123</v>
      </c>
      <c r="AS439" t="s">
        <v>124</v>
      </c>
      <c r="AT439" t="s">
        <v>58</v>
      </c>
      <c r="AU439" t="s">
        <v>68</v>
      </c>
      <c r="AV439" t="s">
        <v>69</v>
      </c>
      <c r="AW439" s="1">
        <v>24256</v>
      </c>
      <c r="AX439">
        <v>2</v>
      </c>
    </row>
    <row r="440" spans="1:50">
      <c r="B440" t="str">
        <f>"133563547"</f>
        <v>133563547</v>
      </c>
      <c r="C440" t="s">
        <v>50</v>
      </c>
      <c r="D440" t="s">
        <v>1364</v>
      </c>
      <c r="E440" t="s">
        <v>52</v>
      </c>
      <c r="F440" t="s">
        <v>72</v>
      </c>
      <c r="G440" t="s">
        <v>1001</v>
      </c>
      <c r="H440" t="str">
        <f>"ΣΟΛΩΜΟΥ 53 ΗΡΑΚΛΕΙΟ"</f>
        <v>ΣΟΛΩΜΟΥ 53 ΗΡΑΚΛΕΙΟ</v>
      </c>
      <c r="I440">
        <v>71307</v>
      </c>
      <c r="J440">
        <v>2895041485</v>
      </c>
      <c r="K440">
        <v>6985700476</v>
      </c>
      <c r="M440" t="s">
        <v>1365</v>
      </c>
      <c r="N440" t="s">
        <v>883</v>
      </c>
      <c r="O440" t="s">
        <v>884</v>
      </c>
      <c r="R440" t="s">
        <v>159</v>
      </c>
      <c r="S440">
        <v>2</v>
      </c>
      <c r="T440" t="s">
        <v>344</v>
      </c>
      <c r="U440" s="1">
        <v>43348</v>
      </c>
      <c r="V440" t="s">
        <v>123</v>
      </c>
      <c r="W440" t="s">
        <v>124</v>
      </c>
      <c r="X440" t="s">
        <v>58</v>
      </c>
      <c r="Y440">
        <v>23</v>
      </c>
      <c r="Z440" t="s">
        <v>59</v>
      </c>
      <c r="AA440" t="s">
        <v>59</v>
      </c>
      <c r="AB440" t="s">
        <v>59</v>
      </c>
      <c r="AC440" t="s">
        <v>59</v>
      </c>
      <c r="AD440" t="s">
        <v>59</v>
      </c>
      <c r="AF440" s="1">
        <v>43348</v>
      </c>
      <c r="AG440" t="s">
        <v>125</v>
      </c>
      <c r="AH440" t="s">
        <v>126</v>
      </c>
      <c r="AI440" t="str">
        <f>"1702010"</f>
        <v>1702010</v>
      </c>
      <c r="AJ440" t="s">
        <v>604</v>
      </c>
      <c r="AK440">
        <v>2891022228</v>
      </c>
      <c r="AL440" t="s">
        <v>605</v>
      </c>
      <c r="AM440" t="s">
        <v>78</v>
      </c>
      <c r="AN440" t="s">
        <v>276</v>
      </c>
      <c r="AO440" t="s">
        <v>490</v>
      </c>
      <c r="AP440" t="s">
        <v>490</v>
      </c>
      <c r="AQ440">
        <v>15</v>
      </c>
      <c r="AR440" t="s">
        <v>123</v>
      </c>
      <c r="AS440" t="s">
        <v>124</v>
      </c>
      <c r="AT440" t="s">
        <v>58</v>
      </c>
      <c r="AU440" t="s">
        <v>350</v>
      </c>
      <c r="AV440" t="s">
        <v>132</v>
      </c>
      <c r="AW440" s="1">
        <v>29791</v>
      </c>
      <c r="AX440">
        <v>2</v>
      </c>
    </row>
    <row r="441" spans="1:50">
      <c r="A441">
        <v>214155</v>
      </c>
      <c r="B441" t="str">
        <f>"067428860"</f>
        <v>067428860</v>
      </c>
      <c r="C441" t="s">
        <v>50</v>
      </c>
      <c r="D441" t="s">
        <v>1366</v>
      </c>
      <c r="E441" t="s">
        <v>191</v>
      </c>
      <c r="F441" t="s">
        <v>450</v>
      </c>
      <c r="G441" t="s">
        <v>1367</v>
      </c>
      <c r="H441" t="str">
        <f>" "</f>
        <v xml:space="preserve"> </v>
      </c>
      <c r="J441">
        <v>2102712238</v>
      </c>
      <c r="K441">
        <v>6946617252</v>
      </c>
      <c r="M441" t="s">
        <v>1368</v>
      </c>
      <c r="N441" t="s">
        <v>683</v>
      </c>
      <c r="O441" t="s">
        <v>684</v>
      </c>
      <c r="R441" t="s">
        <v>57</v>
      </c>
      <c r="S441">
        <v>6</v>
      </c>
      <c r="T441">
        <v>231</v>
      </c>
      <c r="U441" s="1">
        <v>38960</v>
      </c>
      <c r="V441" t="s">
        <v>123</v>
      </c>
      <c r="W441" t="s">
        <v>124</v>
      </c>
      <c r="X441" t="s">
        <v>58</v>
      </c>
      <c r="Y441">
        <v>20</v>
      </c>
      <c r="Z441" t="s">
        <v>59</v>
      </c>
      <c r="AA441" t="s">
        <v>59</v>
      </c>
      <c r="AB441" t="s">
        <v>59</v>
      </c>
      <c r="AC441" t="s">
        <v>59</v>
      </c>
      <c r="AD441" t="s">
        <v>59</v>
      </c>
      <c r="AF441" s="1">
        <v>38961</v>
      </c>
      <c r="AG441" t="s">
        <v>125</v>
      </c>
      <c r="AH441" t="s">
        <v>294</v>
      </c>
      <c r="AI441" t="str">
        <f>"1701015"</f>
        <v>1701015</v>
      </c>
      <c r="AJ441" t="s">
        <v>295</v>
      </c>
      <c r="AK441">
        <v>2810761696</v>
      </c>
      <c r="AL441" t="s">
        <v>296</v>
      </c>
      <c r="AM441" t="s">
        <v>78</v>
      </c>
      <c r="AN441" t="s">
        <v>219</v>
      </c>
      <c r="AO441" t="s">
        <v>297</v>
      </c>
      <c r="AP441" t="s">
        <v>297</v>
      </c>
      <c r="AQ441">
        <v>10</v>
      </c>
      <c r="AR441" t="s">
        <v>123</v>
      </c>
      <c r="AS441" t="s">
        <v>124</v>
      </c>
      <c r="AT441" t="s">
        <v>58</v>
      </c>
      <c r="AU441" t="s">
        <v>68</v>
      </c>
      <c r="AV441" t="s">
        <v>69</v>
      </c>
      <c r="AW441" s="1">
        <v>28405</v>
      </c>
      <c r="AX441">
        <v>2</v>
      </c>
    </row>
    <row r="442" spans="1:50">
      <c r="B442" t="str">
        <f>"103463980"</f>
        <v>103463980</v>
      </c>
      <c r="C442" t="s">
        <v>50</v>
      </c>
      <c r="D442" t="s">
        <v>1369</v>
      </c>
      <c r="E442" t="s">
        <v>507</v>
      </c>
      <c r="F442" t="s">
        <v>989</v>
      </c>
      <c r="G442" t="s">
        <v>809</v>
      </c>
      <c r="H442" t="str">
        <f>"25ΗΣ  ΣΕΠΤΕΜΒΡΙΟΥ  2 ΗΡΑΚΛΕΙΑ ΣΕΡΡΩΝ"</f>
        <v>25ΗΣ  ΣΕΠΤΕΜΒΡΙΟΥ  2 ΗΡΑΚΛΕΙΑ ΣΕΡΡΩΝ</v>
      </c>
      <c r="I442">
        <v>62400</v>
      </c>
      <c r="J442">
        <v>2325022536</v>
      </c>
      <c r="K442">
        <v>6973747866</v>
      </c>
      <c r="M442" t="s">
        <v>1370</v>
      </c>
      <c r="N442" t="s">
        <v>536</v>
      </c>
      <c r="O442" t="s">
        <v>537</v>
      </c>
      <c r="R442" t="s">
        <v>159</v>
      </c>
      <c r="S442">
        <v>5</v>
      </c>
      <c r="T442" t="s">
        <v>344</v>
      </c>
      <c r="U442" s="1">
        <v>43348</v>
      </c>
      <c r="V442" t="s">
        <v>123</v>
      </c>
      <c r="W442" t="s">
        <v>124</v>
      </c>
      <c r="X442" t="s">
        <v>58</v>
      </c>
      <c r="Y442">
        <v>21</v>
      </c>
      <c r="Z442" t="s">
        <v>59</v>
      </c>
      <c r="AA442" t="s">
        <v>59</v>
      </c>
      <c r="AB442" t="s">
        <v>59</v>
      </c>
      <c r="AC442" t="s">
        <v>59</v>
      </c>
      <c r="AD442" t="s">
        <v>59</v>
      </c>
      <c r="AF442" s="1">
        <v>43348</v>
      </c>
      <c r="AG442" t="s">
        <v>125</v>
      </c>
      <c r="AH442" t="s">
        <v>126</v>
      </c>
      <c r="AI442" t="str">
        <f>"1727010"</f>
        <v>1727010</v>
      </c>
      <c r="AJ442" t="s">
        <v>618</v>
      </c>
      <c r="AK442">
        <v>2810229231</v>
      </c>
      <c r="AL442" t="s">
        <v>619</v>
      </c>
      <c r="AM442" t="s">
        <v>78</v>
      </c>
      <c r="AN442" t="s">
        <v>78</v>
      </c>
      <c r="AO442" t="s">
        <v>286</v>
      </c>
      <c r="AP442" t="s">
        <v>286</v>
      </c>
      <c r="AQ442">
        <v>12</v>
      </c>
      <c r="AR442" t="s">
        <v>123</v>
      </c>
      <c r="AS442" t="s">
        <v>124</v>
      </c>
      <c r="AT442" t="s">
        <v>58</v>
      </c>
      <c r="AU442" t="s">
        <v>350</v>
      </c>
      <c r="AV442" t="s">
        <v>132</v>
      </c>
      <c r="AW442" s="1">
        <v>30659</v>
      </c>
      <c r="AX442">
        <v>2</v>
      </c>
    </row>
    <row r="443" spans="1:50">
      <c r="A443">
        <v>222891</v>
      </c>
      <c r="B443" t="str">
        <f>"035348380"</f>
        <v>035348380</v>
      </c>
      <c r="C443" t="s">
        <v>50</v>
      </c>
      <c r="D443" t="s">
        <v>1371</v>
      </c>
      <c r="E443" t="s">
        <v>396</v>
      </c>
      <c r="F443" t="s">
        <v>989</v>
      </c>
      <c r="G443" t="s">
        <v>1355</v>
      </c>
      <c r="H443" t="str">
        <f>"ΑΝΤΩΝΙΟΥ ΚΑΣΤΡΙΝΑΚΗ 77 ΗΡΑΚΛΕΙΟ"</f>
        <v>ΑΝΤΩΝΙΟΥ ΚΑΣΤΡΙΝΑΚΗ 77 ΗΡΑΚΛΕΙΟ</v>
      </c>
      <c r="I443">
        <v>71305</v>
      </c>
      <c r="J443">
        <v>2810235844</v>
      </c>
      <c r="K443">
        <v>6944827649</v>
      </c>
      <c r="L443">
        <v>6939365682</v>
      </c>
      <c r="N443" t="s">
        <v>292</v>
      </c>
      <c r="O443" t="s">
        <v>293</v>
      </c>
      <c r="R443" t="s">
        <v>57</v>
      </c>
      <c r="S443">
        <v>6</v>
      </c>
      <c r="T443">
        <v>775</v>
      </c>
      <c r="U443" s="1">
        <v>39680</v>
      </c>
      <c r="V443" t="s">
        <v>123</v>
      </c>
      <c r="W443" t="s">
        <v>124</v>
      </c>
      <c r="X443" t="s">
        <v>58</v>
      </c>
      <c r="Y443">
        <v>20</v>
      </c>
      <c r="Z443" t="s">
        <v>59</v>
      </c>
      <c r="AA443" t="s">
        <v>59</v>
      </c>
      <c r="AB443" t="s">
        <v>59</v>
      </c>
      <c r="AC443" t="s">
        <v>59</v>
      </c>
      <c r="AD443" t="s">
        <v>59</v>
      </c>
      <c r="AF443" s="1">
        <v>39681</v>
      </c>
      <c r="AG443" t="s">
        <v>137</v>
      </c>
      <c r="AH443" t="s">
        <v>138</v>
      </c>
      <c r="AI443" t="str">
        <f>"1740070"</f>
        <v>1740070</v>
      </c>
      <c r="AJ443" t="s">
        <v>206</v>
      </c>
      <c r="AK443">
        <v>2810324880</v>
      </c>
      <c r="AL443" t="s">
        <v>207</v>
      </c>
      <c r="AM443" t="s">
        <v>78</v>
      </c>
      <c r="AN443" t="s">
        <v>78</v>
      </c>
      <c r="AO443" t="s">
        <v>78</v>
      </c>
      <c r="AP443" t="s">
        <v>163</v>
      </c>
      <c r="AQ443">
        <v>9</v>
      </c>
      <c r="AR443" t="s">
        <v>123</v>
      </c>
      <c r="AS443" t="s">
        <v>124</v>
      </c>
      <c r="AT443" t="s">
        <v>58</v>
      </c>
      <c r="AU443" t="s">
        <v>68</v>
      </c>
      <c r="AV443" t="s">
        <v>69</v>
      </c>
      <c r="AW443" s="1">
        <v>26299</v>
      </c>
      <c r="AX443">
        <v>2</v>
      </c>
    </row>
    <row r="444" spans="1:50">
      <c r="B444" t="str">
        <f>"066944505"</f>
        <v>066944505</v>
      </c>
      <c r="C444" t="s">
        <v>105</v>
      </c>
      <c r="D444" t="s">
        <v>1372</v>
      </c>
      <c r="E444" t="s">
        <v>1373</v>
      </c>
      <c r="F444" t="s">
        <v>95</v>
      </c>
      <c r="G444" t="s">
        <v>143</v>
      </c>
      <c r="H444" t="str">
        <f>"ΑΡΓΥΡΟΥΠΟΛΕΩΣ 52 ΔΡΑΜΑ"</f>
        <v>ΑΡΓΥΡΟΥΠΟΛΕΩΣ 52 ΔΡΑΜΑ</v>
      </c>
      <c r="J444">
        <v>2109515616</v>
      </c>
      <c r="K444">
        <v>6996296405</v>
      </c>
      <c r="M444" t="s">
        <v>1374</v>
      </c>
      <c r="N444" t="s">
        <v>199</v>
      </c>
      <c r="O444" t="s">
        <v>200</v>
      </c>
      <c r="R444" t="s">
        <v>159</v>
      </c>
      <c r="S444">
        <v>3</v>
      </c>
      <c r="T444" t="s">
        <v>416</v>
      </c>
      <c r="U444" s="1">
        <v>43349</v>
      </c>
      <c r="V444" t="s">
        <v>123</v>
      </c>
      <c r="W444" t="s">
        <v>124</v>
      </c>
      <c r="X444" t="s">
        <v>58</v>
      </c>
      <c r="Y444">
        <v>23</v>
      </c>
      <c r="Z444" t="s">
        <v>59</v>
      </c>
      <c r="AA444" t="s">
        <v>59</v>
      </c>
      <c r="AB444" t="s">
        <v>59</v>
      </c>
      <c r="AC444" t="s">
        <v>59</v>
      </c>
      <c r="AD444" t="s">
        <v>59</v>
      </c>
      <c r="AF444" s="1">
        <v>43349</v>
      </c>
      <c r="AG444" t="s">
        <v>148</v>
      </c>
      <c r="AH444" t="s">
        <v>149</v>
      </c>
      <c r="AI444" t="str">
        <f>"1754010"</f>
        <v>1754010</v>
      </c>
      <c r="AJ444" t="s">
        <v>1167</v>
      </c>
      <c r="AK444">
        <v>2895022277</v>
      </c>
      <c r="AL444" t="s">
        <v>1168</v>
      </c>
      <c r="AM444" t="s">
        <v>78</v>
      </c>
      <c r="AN444" t="s">
        <v>482</v>
      </c>
      <c r="AO444" t="s">
        <v>482</v>
      </c>
      <c r="AP444" t="s">
        <v>483</v>
      </c>
      <c r="AQ444">
        <v>16</v>
      </c>
      <c r="AR444" t="s">
        <v>123</v>
      </c>
      <c r="AS444" t="s">
        <v>124</v>
      </c>
      <c r="AT444" t="s">
        <v>58</v>
      </c>
      <c r="AU444" t="s">
        <v>419</v>
      </c>
      <c r="AV444" t="s">
        <v>132</v>
      </c>
      <c r="AW444" s="1">
        <v>26008</v>
      </c>
      <c r="AX444">
        <v>2</v>
      </c>
    </row>
    <row r="445" spans="1:50">
      <c r="B445" t="str">
        <f>"068934384"</f>
        <v>068934384</v>
      </c>
      <c r="C445" t="s">
        <v>50</v>
      </c>
      <c r="D445" t="s">
        <v>1375</v>
      </c>
      <c r="E445" t="s">
        <v>1355</v>
      </c>
      <c r="F445" t="s">
        <v>1376</v>
      </c>
      <c r="G445" t="s">
        <v>1377</v>
      </c>
      <c r="H445" t="str">
        <f>"ΓΙΑΝΝΟΠΟΥΛΟΥ 19 ΠΕΙΡΑΙΑΣ"</f>
        <v>ΓΙΑΝΝΟΠΟΥΛΟΥ 19 ΠΕΙΡΑΙΑΣ</v>
      </c>
      <c r="I445">
        <v>18547</v>
      </c>
      <c r="J445">
        <v>2108056111</v>
      </c>
      <c r="K445">
        <v>6933367246</v>
      </c>
      <c r="N445" t="s">
        <v>447</v>
      </c>
      <c r="O445" t="s">
        <v>448</v>
      </c>
      <c r="R445" t="s">
        <v>159</v>
      </c>
      <c r="S445">
        <v>2</v>
      </c>
      <c r="T445" t="s">
        <v>344</v>
      </c>
      <c r="U445" s="1">
        <v>43348</v>
      </c>
      <c r="V445" t="s">
        <v>123</v>
      </c>
      <c r="W445" t="s">
        <v>124</v>
      </c>
      <c r="X445" t="s">
        <v>58</v>
      </c>
      <c r="Y445">
        <v>23</v>
      </c>
      <c r="Z445" t="s">
        <v>59</v>
      </c>
      <c r="AA445" t="s">
        <v>59</v>
      </c>
      <c r="AB445" t="s">
        <v>59</v>
      </c>
      <c r="AC445" t="s">
        <v>59</v>
      </c>
      <c r="AD445" t="s">
        <v>59</v>
      </c>
      <c r="AF445" s="1">
        <v>43348</v>
      </c>
      <c r="AG445" t="s">
        <v>137</v>
      </c>
      <c r="AH445" t="s">
        <v>138</v>
      </c>
      <c r="AI445" t="str">
        <f>"1750080"</f>
        <v>1750080</v>
      </c>
      <c r="AJ445" t="s">
        <v>170</v>
      </c>
      <c r="AK445">
        <v>2810234444</v>
      </c>
      <c r="AL445" t="s">
        <v>171</v>
      </c>
      <c r="AM445" t="s">
        <v>78</v>
      </c>
      <c r="AN445" t="s">
        <v>78</v>
      </c>
      <c r="AO445" t="s">
        <v>78</v>
      </c>
      <c r="AP445" t="s">
        <v>163</v>
      </c>
      <c r="AQ445">
        <v>9</v>
      </c>
      <c r="AR445" t="s">
        <v>123</v>
      </c>
      <c r="AS445" t="s">
        <v>124</v>
      </c>
      <c r="AT445" t="s">
        <v>58</v>
      </c>
      <c r="AU445" t="s">
        <v>350</v>
      </c>
      <c r="AV445" t="s">
        <v>132</v>
      </c>
      <c r="AW445" s="1">
        <v>26858</v>
      </c>
      <c r="AX445">
        <v>2</v>
      </c>
    </row>
    <row r="446" spans="1:50">
      <c r="A446">
        <v>183113</v>
      </c>
      <c r="B446" t="str">
        <f>"035047404"</f>
        <v>035047404</v>
      </c>
      <c r="C446" t="s">
        <v>50</v>
      </c>
      <c r="D446" t="s">
        <v>1378</v>
      </c>
      <c r="E446" t="s">
        <v>52</v>
      </c>
      <c r="F446" t="s">
        <v>166</v>
      </c>
      <c r="G446" t="s">
        <v>382</v>
      </c>
      <c r="H446" t="str">
        <f>"ΠΥΡΑΝΘΟΥ 4 ΗΡΑΚΛΕΙΟΥ"</f>
        <v>ΠΥΡΑΝΘΟΥ 4 ΗΡΑΚΛΕΙΟΥ</v>
      </c>
      <c r="I446">
        <v>71305</v>
      </c>
      <c r="J446">
        <v>2810262421</v>
      </c>
      <c r="K446">
        <v>6979409976</v>
      </c>
      <c r="M446" t="s">
        <v>1379</v>
      </c>
      <c r="N446" t="s">
        <v>199</v>
      </c>
      <c r="O446" t="s">
        <v>200</v>
      </c>
      <c r="R446" t="s">
        <v>57</v>
      </c>
      <c r="S446">
        <v>15</v>
      </c>
      <c r="T446" t="s">
        <v>1380</v>
      </c>
      <c r="U446" s="1">
        <v>31670</v>
      </c>
      <c r="V446" t="s">
        <v>123</v>
      </c>
      <c r="W446" t="s">
        <v>124</v>
      </c>
      <c r="X446" t="s">
        <v>58</v>
      </c>
      <c r="Y446">
        <v>18</v>
      </c>
      <c r="Z446" t="s">
        <v>59</v>
      </c>
      <c r="AA446" t="s">
        <v>59</v>
      </c>
      <c r="AB446" t="s">
        <v>59</v>
      </c>
      <c r="AC446" t="s">
        <v>59</v>
      </c>
      <c r="AD446" t="s">
        <v>59</v>
      </c>
      <c r="AF446" s="1">
        <v>31670</v>
      </c>
      <c r="AG446" t="s">
        <v>148</v>
      </c>
      <c r="AH446" t="s">
        <v>149</v>
      </c>
      <c r="AI446" t="str">
        <f>"1751052"</f>
        <v>1751052</v>
      </c>
      <c r="AJ446" t="s">
        <v>328</v>
      </c>
      <c r="AK446">
        <v>2810213762</v>
      </c>
      <c r="AL446" t="s">
        <v>329</v>
      </c>
      <c r="AM446" t="s">
        <v>78</v>
      </c>
      <c r="AN446" t="s">
        <v>78</v>
      </c>
      <c r="AO446" t="s">
        <v>78</v>
      </c>
      <c r="AP446" t="s">
        <v>163</v>
      </c>
      <c r="AQ446">
        <v>8</v>
      </c>
      <c r="AR446" t="s">
        <v>123</v>
      </c>
      <c r="AS446" t="s">
        <v>124</v>
      </c>
      <c r="AT446" t="s">
        <v>58</v>
      </c>
      <c r="AU446" t="s">
        <v>68</v>
      </c>
      <c r="AV446" t="s">
        <v>69</v>
      </c>
      <c r="AW446" s="1">
        <v>21795</v>
      </c>
      <c r="AX446">
        <v>2</v>
      </c>
    </row>
    <row r="447" spans="1:50">
      <c r="A447">
        <v>183953</v>
      </c>
      <c r="B447" t="str">
        <f>"051643552"</f>
        <v>051643552</v>
      </c>
      <c r="C447" t="s">
        <v>50</v>
      </c>
      <c r="D447" t="s">
        <v>1378</v>
      </c>
      <c r="E447" t="s">
        <v>1068</v>
      </c>
      <c r="F447" t="s">
        <v>166</v>
      </c>
      <c r="G447" t="s">
        <v>382</v>
      </c>
      <c r="H447" t="str">
        <f>"ΙΘΑΚΗΣ 9 ΗΡΑΚΛΕΙΟ"</f>
        <v>ΙΘΑΚΗΣ 9 ΗΡΑΚΛΕΙΟ</v>
      </c>
      <c r="I447">
        <v>71409</v>
      </c>
      <c r="J447">
        <v>2810743662</v>
      </c>
      <c r="K447">
        <v>6977092015</v>
      </c>
      <c r="N447" t="s">
        <v>232</v>
      </c>
      <c r="O447" t="s">
        <v>233</v>
      </c>
      <c r="R447" t="s">
        <v>57</v>
      </c>
      <c r="S447">
        <v>12</v>
      </c>
      <c r="T447">
        <v>177</v>
      </c>
      <c r="U447" s="1">
        <v>36403</v>
      </c>
      <c r="V447" t="s">
        <v>123</v>
      </c>
      <c r="W447" t="s">
        <v>124</v>
      </c>
      <c r="X447" t="s">
        <v>58</v>
      </c>
      <c r="Y447">
        <v>18</v>
      </c>
      <c r="Z447" t="s">
        <v>59</v>
      </c>
      <c r="AA447" t="s">
        <v>59</v>
      </c>
      <c r="AB447" t="s">
        <v>59</v>
      </c>
      <c r="AC447" t="s">
        <v>59</v>
      </c>
      <c r="AD447" t="s">
        <v>59</v>
      </c>
      <c r="AF447" s="1">
        <v>36412</v>
      </c>
      <c r="AG447" t="s">
        <v>125</v>
      </c>
      <c r="AH447" t="s">
        <v>126</v>
      </c>
      <c r="AI447" t="str">
        <f>"1701057"</f>
        <v>1701057</v>
      </c>
      <c r="AJ447" t="s">
        <v>379</v>
      </c>
      <c r="AK447">
        <v>2810234488</v>
      </c>
      <c r="AL447" t="s">
        <v>380</v>
      </c>
      <c r="AM447" t="s">
        <v>78</v>
      </c>
      <c r="AN447" t="s">
        <v>78</v>
      </c>
      <c r="AO447" t="s">
        <v>78</v>
      </c>
      <c r="AP447" t="s">
        <v>163</v>
      </c>
      <c r="AQ447">
        <v>8</v>
      </c>
      <c r="AR447" t="s">
        <v>123</v>
      </c>
      <c r="AS447" t="s">
        <v>124</v>
      </c>
      <c r="AT447" t="s">
        <v>58</v>
      </c>
      <c r="AU447" t="s">
        <v>68</v>
      </c>
      <c r="AV447" t="s">
        <v>69</v>
      </c>
      <c r="AW447" s="1">
        <v>22775</v>
      </c>
      <c r="AX447">
        <v>2</v>
      </c>
    </row>
    <row r="448" spans="1:50">
      <c r="A448">
        <v>156810</v>
      </c>
      <c r="B448" t="str">
        <f>"030715827"</f>
        <v>030715827</v>
      </c>
      <c r="C448" t="s">
        <v>105</v>
      </c>
      <c r="D448" t="s">
        <v>1381</v>
      </c>
      <c r="E448" t="s">
        <v>95</v>
      </c>
      <c r="F448" t="s">
        <v>166</v>
      </c>
      <c r="G448" t="s">
        <v>476</v>
      </c>
      <c r="H448" t="str">
        <f>" "</f>
        <v xml:space="preserve"> </v>
      </c>
      <c r="N448" t="s">
        <v>232</v>
      </c>
      <c r="O448" t="s">
        <v>233</v>
      </c>
      <c r="R448" t="s">
        <v>57</v>
      </c>
      <c r="S448">
        <v>15</v>
      </c>
      <c r="T448">
        <v>188</v>
      </c>
      <c r="U448" s="1">
        <v>32752</v>
      </c>
      <c r="V448" t="s">
        <v>123</v>
      </c>
      <c r="W448" t="s">
        <v>124</v>
      </c>
      <c r="X448" t="s">
        <v>58</v>
      </c>
      <c r="Y448">
        <v>18</v>
      </c>
      <c r="Z448" t="s">
        <v>59</v>
      </c>
      <c r="AA448" t="s">
        <v>59</v>
      </c>
      <c r="AB448" t="s">
        <v>59</v>
      </c>
      <c r="AC448" t="s">
        <v>59</v>
      </c>
      <c r="AD448" t="s">
        <v>59</v>
      </c>
      <c r="AF448" s="1">
        <v>32759</v>
      </c>
      <c r="AG448" t="s">
        <v>125</v>
      </c>
      <c r="AH448" t="s">
        <v>126</v>
      </c>
      <c r="AI448" t="str">
        <f>"1701051"</f>
        <v>1701051</v>
      </c>
      <c r="AJ448" t="s">
        <v>443</v>
      </c>
      <c r="AK448">
        <v>2810325815</v>
      </c>
      <c r="AL448" t="s">
        <v>444</v>
      </c>
      <c r="AM448" t="s">
        <v>78</v>
      </c>
      <c r="AN448" t="s">
        <v>78</v>
      </c>
      <c r="AO448" t="s">
        <v>78</v>
      </c>
      <c r="AP448" t="s">
        <v>163</v>
      </c>
      <c r="AQ448">
        <v>5</v>
      </c>
      <c r="AR448" t="s">
        <v>123</v>
      </c>
      <c r="AS448" t="s">
        <v>124</v>
      </c>
      <c r="AT448" t="s">
        <v>58</v>
      </c>
      <c r="AU448" t="s">
        <v>68</v>
      </c>
      <c r="AV448" t="s">
        <v>69</v>
      </c>
      <c r="AW448" s="1">
        <v>20265</v>
      </c>
      <c r="AX448">
        <v>2</v>
      </c>
    </row>
    <row r="449" spans="1:50">
      <c r="A449">
        <v>156811</v>
      </c>
      <c r="B449" t="str">
        <f>"031589400"</f>
        <v>031589400</v>
      </c>
      <c r="C449" t="s">
        <v>105</v>
      </c>
      <c r="D449" t="s">
        <v>1381</v>
      </c>
      <c r="E449" t="s">
        <v>936</v>
      </c>
      <c r="F449" t="s">
        <v>106</v>
      </c>
      <c r="G449" t="s">
        <v>188</v>
      </c>
      <c r="H449" t="str">
        <f>" "</f>
        <v xml:space="preserve"> </v>
      </c>
      <c r="K449">
        <v>6974644878</v>
      </c>
      <c r="N449" t="s">
        <v>232</v>
      </c>
      <c r="O449" t="s">
        <v>233</v>
      </c>
      <c r="P449" t="s">
        <v>199</v>
      </c>
      <c r="Q449" t="s">
        <v>200</v>
      </c>
      <c r="R449" t="s">
        <v>57</v>
      </c>
      <c r="S449">
        <v>17</v>
      </c>
      <c r="T449">
        <v>188</v>
      </c>
      <c r="U449" s="1">
        <v>32752</v>
      </c>
      <c r="V449" t="s">
        <v>123</v>
      </c>
      <c r="W449" t="s">
        <v>124</v>
      </c>
      <c r="X449" t="s">
        <v>58</v>
      </c>
      <c r="Y449">
        <v>18</v>
      </c>
      <c r="Z449" t="s">
        <v>59</v>
      </c>
      <c r="AA449" t="s">
        <v>59</v>
      </c>
      <c r="AB449" t="s">
        <v>59</v>
      </c>
      <c r="AC449" t="s">
        <v>59</v>
      </c>
      <c r="AD449" t="s">
        <v>59</v>
      </c>
      <c r="AF449" s="1">
        <v>32756</v>
      </c>
      <c r="AG449" t="s">
        <v>148</v>
      </c>
      <c r="AH449" t="s">
        <v>149</v>
      </c>
      <c r="AI449" t="str">
        <f>"1751041"</f>
        <v>1751041</v>
      </c>
      <c r="AJ449" t="s">
        <v>353</v>
      </c>
      <c r="AK449">
        <v>2810230207</v>
      </c>
      <c r="AL449" t="s">
        <v>354</v>
      </c>
      <c r="AM449" t="s">
        <v>78</v>
      </c>
      <c r="AN449" t="s">
        <v>78</v>
      </c>
      <c r="AO449" t="s">
        <v>78</v>
      </c>
      <c r="AP449" t="s">
        <v>163</v>
      </c>
      <c r="AQ449">
        <v>2</v>
      </c>
      <c r="AR449" t="s">
        <v>123</v>
      </c>
      <c r="AS449" t="s">
        <v>124</v>
      </c>
      <c r="AT449" t="s">
        <v>58</v>
      </c>
      <c r="AU449" t="s">
        <v>68</v>
      </c>
      <c r="AV449" t="s">
        <v>69</v>
      </c>
      <c r="AW449" s="1">
        <v>20758</v>
      </c>
      <c r="AX449">
        <v>2</v>
      </c>
    </row>
    <row r="450" spans="1:50">
      <c r="A450">
        <v>166118</v>
      </c>
      <c r="B450" t="str">
        <f>"119650767"</f>
        <v>119650767</v>
      </c>
      <c r="C450" t="s">
        <v>50</v>
      </c>
      <c r="D450" t="s">
        <v>1382</v>
      </c>
      <c r="E450" t="s">
        <v>112</v>
      </c>
      <c r="F450" t="s">
        <v>166</v>
      </c>
      <c r="G450" t="s">
        <v>1383</v>
      </c>
      <c r="H450" t="str">
        <f>" "</f>
        <v xml:space="preserve"> </v>
      </c>
      <c r="M450" t="s">
        <v>1384</v>
      </c>
      <c r="N450" t="s">
        <v>232</v>
      </c>
      <c r="O450" t="s">
        <v>233</v>
      </c>
      <c r="R450" t="s">
        <v>57</v>
      </c>
      <c r="S450">
        <v>13</v>
      </c>
      <c r="T450">
        <v>137</v>
      </c>
      <c r="U450" s="1">
        <v>34206</v>
      </c>
      <c r="V450" t="s">
        <v>123</v>
      </c>
      <c r="W450" t="s">
        <v>124</v>
      </c>
      <c r="X450" t="s">
        <v>58</v>
      </c>
      <c r="Y450">
        <v>18</v>
      </c>
      <c r="Z450" t="s">
        <v>59</v>
      </c>
      <c r="AA450" t="s">
        <v>59</v>
      </c>
      <c r="AB450" t="s">
        <v>59</v>
      </c>
      <c r="AC450" t="s">
        <v>59</v>
      </c>
      <c r="AD450" t="s">
        <v>59</v>
      </c>
      <c r="AF450" s="1">
        <v>34214</v>
      </c>
      <c r="AG450" t="s">
        <v>125</v>
      </c>
      <c r="AH450" t="s">
        <v>126</v>
      </c>
      <c r="AI450" t="str">
        <f>"1701040"</f>
        <v>1701040</v>
      </c>
      <c r="AJ450" t="s">
        <v>748</v>
      </c>
      <c r="AK450">
        <v>2810252459</v>
      </c>
      <c r="AL450" t="s">
        <v>749</v>
      </c>
      <c r="AM450" t="s">
        <v>78</v>
      </c>
      <c r="AN450" t="s">
        <v>78</v>
      </c>
      <c r="AO450" t="s">
        <v>78</v>
      </c>
      <c r="AP450" t="s">
        <v>141</v>
      </c>
      <c r="AQ450">
        <v>3</v>
      </c>
      <c r="AR450" t="s">
        <v>123</v>
      </c>
      <c r="AS450" t="s">
        <v>124</v>
      </c>
      <c r="AT450" t="s">
        <v>58</v>
      </c>
      <c r="AU450" t="s">
        <v>68</v>
      </c>
      <c r="AV450" t="s">
        <v>69</v>
      </c>
      <c r="AW450" s="1">
        <v>21128</v>
      </c>
      <c r="AX450">
        <v>2</v>
      </c>
    </row>
    <row r="451" spans="1:50">
      <c r="A451">
        <v>166650</v>
      </c>
      <c r="B451" t="str">
        <f>"034555959"</f>
        <v>034555959</v>
      </c>
      <c r="C451" t="s">
        <v>105</v>
      </c>
      <c r="D451" t="s">
        <v>1385</v>
      </c>
      <c r="E451" t="s">
        <v>95</v>
      </c>
      <c r="F451" t="s">
        <v>72</v>
      </c>
      <c r="G451" t="s">
        <v>263</v>
      </c>
      <c r="H451" t="str">
        <f>"ΤΥΜΠΑΚΙ "</f>
        <v xml:space="preserve">ΤΥΜΠΑΚΙ </v>
      </c>
      <c r="I451">
        <v>70200</v>
      </c>
      <c r="K451">
        <v>6945903995</v>
      </c>
      <c r="M451" t="s">
        <v>1386</v>
      </c>
      <c r="N451" t="s">
        <v>176</v>
      </c>
      <c r="O451" t="s">
        <v>177</v>
      </c>
      <c r="R451" t="s">
        <v>57</v>
      </c>
      <c r="S451">
        <v>14</v>
      </c>
      <c r="T451">
        <v>137</v>
      </c>
      <c r="U451" s="1">
        <v>34206</v>
      </c>
      <c r="V451" t="s">
        <v>123</v>
      </c>
      <c r="W451" t="s">
        <v>124</v>
      </c>
      <c r="X451" t="s">
        <v>58</v>
      </c>
      <c r="Y451">
        <v>18</v>
      </c>
      <c r="Z451" t="s">
        <v>59</v>
      </c>
      <c r="AA451" t="s">
        <v>59</v>
      </c>
      <c r="AB451" t="s">
        <v>59</v>
      </c>
      <c r="AC451" t="s">
        <v>59</v>
      </c>
      <c r="AD451" t="s">
        <v>59</v>
      </c>
      <c r="AF451" s="1">
        <v>34215</v>
      </c>
      <c r="AG451" t="s">
        <v>148</v>
      </c>
      <c r="AH451" t="s">
        <v>149</v>
      </c>
      <c r="AI451" t="str">
        <f>"1763010"</f>
        <v>1763010</v>
      </c>
      <c r="AJ451" t="s">
        <v>560</v>
      </c>
      <c r="AK451">
        <v>2892051146</v>
      </c>
      <c r="AL451" t="s">
        <v>561</v>
      </c>
      <c r="AM451" t="s">
        <v>78</v>
      </c>
      <c r="AN451" t="s">
        <v>242</v>
      </c>
      <c r="AO451" t="s">
        <v>349</v>
      </c>
      <c r="AP451" t="s">
        <v>349</v>
      </c>
      <c r="AQ451">
        <v>35</v>
      </c>
      <c r="AR451" t="s">
        <v>123</v>
      </c>
      <c r="AS451" t="s">
        <v>124</v>
      </c>
      <c r="AT451" t="s">
        <v>58</v>
      </c>
      <c r="AU451" t="s">
        <v>68</v>
      </c>
      <c r="AV451" t="s">
        <v>69</v>
      </c>
      <c r="AW451" s="1">
        <v>23240</v>
      </c>
      <c r="AX451">
        <v>2</v>
      </c>
    </row>
    <row r="452" spans="1:50">
      <c r="A452">
        <v>224899</v>
      </c>
      <c r="B452" t="str">
        <f>"052141691"</f>
        <v>052141691</v>
      </c>
      <c r="C452" t="s">
        <v>105</v>
      </c>
      <c r="D452" t="s">
        <v>1385</v>
      </c>
      <c r="E452" t="s">
        <v>84</v>
      </c>
      <c r="F452" t="s">
        <v>95</v>
      </c>
      <c r="G452" t="s">
        <v>1387</v>
      </c>
      <c r="H452" t="str">
        <f>"ΠΑΠΑΠΕΤΡΟΥ ΓΑΒΑΛΑ 90  ΗΡΑΚΛΕΙΟ ΚΡΗΤΗΣ"</f>
        <v>ΠΑΠΑΠΕΤΡΟΥ ΓΑΒΑΛΑ 90  ΗΡΑΚΛΕΙΟ ΚΡΗΤΗΣ</v>
      </c>
      <c r="I452">
        <v>71409</v>
      </c>
      <c r="J452">
        <v>2810317884</v>
      </c>
      <c r="K452">
        <v>6973412037</v>
      </c>
      <c r="M452" t="s">
        <v>1388</v>
      </c>
      <c r="N452" t="s">
        <v>176</v>
      </c>
      <c r="O452" t="s">
        <v>177</v>
      </c>
      <c r="R452" t="s">
        <v>57</v>
      </c>
      <c r="S452">
        <v>7</v>
      </c>
      <c r="T452">
        <v>775</v>
      </c>
      <c r="U452" s="1">
        <v>39680</v>
      </c>
      <c r="V452" t="s">
        <v>123</v>
      </c>
      <c r="W452" t="s">
        <v>124</v>
      </c>
      <c r="X452" t="s">
        <v>58</v>
      </c>
      <c r="Y452">
        <v>20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F452" s="1">
        <v>39685</v>
      </c>
      <c r="AG452" t="s">
        <v>125</v>
      </c>
      <c r="AH452" t="s">
        <v>126</v>
      </c>
      <c r="AI452" t="str">
        <f>"1712010"</f>
        <v>1712010</v>
      </c>
      <c r="AJ452" t="s">
        <v>525</v>
      </c>
      <c r="AK452">
        <v>2897061328</v>
      </c>
      <c r="AL452" t="s">
        <v>526</v>
      </c>
      <c r="AM452" t="s">
        <v>78</v>
      </c>
      <c r="AN452" t="s">
        <v>219</v>
      </c>
      <c r="AO452" t="s">
        <v>527</v>
      </c>
      <c r="AP452" t="s">
        <v>528</v>
      </c>
      <c r="AQ452">
        <v>19</v>
      </c>
      <c r="AR452" t="s">
        <v>123</v>
      </c>
      <c r="AS452" t="s">
        <v>124</v>
      </c>
      <c r="AT452" t="s">
        <v>58</v>
      </c>
      <c r="AU452" t="s">
        <v>68</v>
      </c>
      <c r="AV452" t="s">
        <v>69</v>
      </c>
      <c r="AW452" s="1">
        <v>24020</v>
      </c>
      <c r="AX452">
        <v>2</v>
      </c>
    </row>
    <row r="453" spans="1:50">
      <c r="A453">
        <v>213667</v>
      </c>
      <c r="B453" t="str">
        <f>"062550212"</f>
        <v>062550212</v>
      </c>
      <c r="C453" t="s">
        <v>105</v>
      </c>
      <c r="D453" t="s">
        <v>1389</v>
      </c>
      <c r="E453" t="s">
        <v>111</v>
      </c>
      <c r="F453" t="s">
        <v>84</v>
      </c>
      <c r="G453" t="s">
        <v>710</v>
      </c>
      <c r="H453" t="str">
        <f>"19ης ΜΑΪΟΥ 12 ΠΙΕΡΙΑΣ"</f>
        <v>19ης ΜΑΪΟΥ 12 ΠΙΕΡΙΑΣ</v>
      </c>
      <c r="I453">
        <v>60100</v>
      </c>
      <c r="J453">
        <v>2351026093</v>
      </c>
      <c r="K453">
        <v>6998487206</v>
      </c>
      <c r="M453" t="s">
        <v>1390</v>
      </c>
      <c r="N453" t="s">
        <v>306</v>
      </c>
      <c r="O453" t="s">
        <v>307</v>
      </c>
      <c r="R453" t="s">
        <v>57</v>
      </c>
      <c r="S453">
        <v>7</v>
      </c>
      <c r="T453">
        <v>231</v>
      </c>
      <c r="U453" s="1">
        <v>38960</v>
      </c>
      <c r="V453" t="s">
        <v>123</v>
      </c>
      <c r="W453" t="s">
        <v>124</v>
      </c>
      <c r="X453" t="s">
        <v>58</v>
      </c>
      <c r="Y453">
        <v>20</v>
      </c>
      <c r="Z453" t="s">
        <v>59</v>
      </c>
      <c r="AA453" t="s">
        <v>59</v>
      </c>
      <c r="AB453" t="s">
        <v>59</v>
      </c>
      <c r="AC453" t="s">
        <v>59</v>
      </c>
      <c r="AD453" t="s">
        <v>59</v>
      </c>
      <c r="AF453" s="1">
        <v>38961</v>
      </c>
      <c r="AG453" t="s">
        <v>148</v>
      </c>
      <c r="AH453" t="s">
        <v>149</v>
      </c>
      <c r="AI453" t="str">
        <f>"1756010"</f>
        <v>1756010</v>
      </c>
      <c r="AJ453" t="s">
        <v>874</v>
      </c>
      <c r="AK453">
        <v>2892022976</v>
      </c>
      <c r="AL453" t="s">
        <v>875</v>
      </c>
      <c r="AM453" t="s">
        <v>78</v>
      </c>
      <c r="AN453" t="s">
        <v>242</v>
      </c>
      <c r="AO453" t="s">
        <v>243</v>
      </c>
      <c r="AP453" t="s">
        <v>243</v>
      </c>
      <c r="AQ453">
        <v>33</v>
      </c>
      <c r="AR453" t="s">
        <v>123</v>
      </c>
      <c r="AS453" t="s">
        <v>124</v>
      </c>
      <c r="AT453" t="s">
        <v>58</v>
      </c>
      <c r="AU453" t="s">
        <v>68</v>
      </c>
      <c r="AV453" t="s">
        <v>69</v>
      </c>
      <c r="AW453" s="1">
        <v>28785</v>
      </c>
      <c r="AX453">
        <v>2</v>
      </c>
    </row>
    <row r="454" spans="1:50">
      <c r="A454">
        <v>217171</v>
      </c>
      <c r="B454" t="str">
        <f>"046123146"</f>
        <v>046123146</v>
      </c>
      <c r="C454" t="s">
        <v>105</v>
      </c>
      <c r="D454" t="s">
        <v>1391</v>
      </c>
      <c r="E454" t="s">
        <v>1392</v>
      </c>
      <c r="F454" t="s">
        <v>377</v>
      </c>
      <c r="G454" t="s">
        <v>934</v>
      </c>
      <c r="H454" t="str">
        <f>"ΚΩΝΣΤΑΝΤΙΝΙΔΗ 12 ΗΡΑΚΛΕΙΟ"</f>
        <v>ΚΩΝΣΤΑΝΤΙΝΙΔΗ 12 ΗΡΑΚΛΕΙΟ</v>
      </c>
      <c r="I454">
        <v>71306</v>
      </c>
      <c r="J454">
        <v>2810239950</v>
      </c>
      <c r="K454">
        <v>6938963051</v>
      </c>
      <c r="M454" t="s">
        <v>1393</v>
      </c>
      <c r="N454" t="s">
        <v>232</v>
      </c>
      <c r="O454" t="s">
        <v>233</v>
      </c>
      <c r="R454" t="s">
        <v>57</v>
      </c>
      <c r="S454">
        <v>7</v>
      </c>
      <c r="T454" t="s">
        <v>1394</v>
      </c>
      <c r="U454" s="1">
        <v>38230</v>
      </c>
      <c r="V454" t="s">
        <v>123</v>
      </c>
      <c r="W454" t="s">
        <v>124</v>
      </c>
      <c r="X454" t="s">
        <v>58</v>
      </c>
      <c r="Y454">
        <v>20</v>
      </c>
      <c r="Z454" t="s">
        <v>59</v>
      </c>
      <c r="AA454" t="s">
        <v>59</v>
      </c>
      <c r="AB454" t="s">
        <v>59</v>
      </c>
      <c r="AC454" t="s">
        <v>59</v>
      </c>
      <c r="AD454" t="s">
        <v>59</v>
      </c>
      <c r="AF454" s="1">
        <v>38981</v>
      </c>
      <c r="AG454" t="s">
        <v>148</v>
      </c>
      <c r="AH454" t="s">
        <v>149</v>
      </c>
      <c r="AI454" t="str">
        <f>"1751080"</f>
        <v>1751080</v>
      </c>
      <c r="AJ454" t="s">
        <v>1395</v>
      </c>
      <c r="AK454">
        <v>2810721380</v>
      </c>
      <c r="AL454" t="s">
        <v>1396</v>
      </c>
      <c r="AM454" t="s">
        <v>78</v>
      </c>
      <c r="AN454" t="s">
        <v>78</v>
      </c>
      <c r="AO454" t="s">
        <v>185</v>
      </c>
      <c r="AP454" t="s">
        <v>186</v>
      </c>
      <c r="AQ454">
        <v>29</v>
      </c>
      <c r="AR454" t="s">
        <v>123</v>
      </c>
      <c r="AS454" t="s">
        <v>124</v>
      </c>
      <c r="AT454" t="s">
        <v>58</v>
      </c>
      <c r="AU454" t="s">
        <v>68</v>
      </c>
      <c r="AV454" t="s">
        <v>69</v>
      </c>
      <c r="AW454" s="1">
        <v>24576</v>
      </c>
      <c r="AX454">
        <v>2</v>
      </c>
    </row>
    <row r="455" spans="1:50">
      <c r="A455">
        <v>169659</v>
      </c>
      <c r="B455" t="str">
        <f>"035443591"</f>
        <v>035443591</v>
      </c>
      <c r="C455" t="s">
        <v>105</v>
      </c>
      <c r="D455" t="s">
        <v>1391</v>
      </c>
      <c r="E455" t="s">
        <v>670</v>
      </c>
      <c r="F455" t="s">
        <v>377</v>
      </c>
      <c r="G455" t="s">
        <v>1397</v>
      </c>
      <c r="H455" t="str">
        <f>"ΑΝΑΓΕΝΝΗΣΕΩΣ 42 ΗΡΑΚΛΕΙΟ"</f>
        <v>ΑΝΑΓΕΝΝΗΣΕΩΣ 42 ΗΡΑΚΛΕΙΟ</v>
      </c>
      <c r="I455">
        <v>71305</v>
      </c>
      <c r="J455">
        <v>2810319518</v>
      </c>
      <c r="K455">
        <v>6951711319</v>
      </c>
      <c r="M455" t="s">
        <v>1398</v>
      </c>
      <c r="N455" t="s">
        <v>146</v>
      </c>
      <c r="O455" t="s">
        <v>147</v>
      </c>
      <c r="R455" t="s">
        <v>57</v>
      </c>
      <c r="S455">
        <v>13</v>
      </c>
      <c r="T455">
        <v>184</v>
      </c>
      <c r="U455" s="1">
        <v>34941</v>
      </c>
      <c r="V455" t="s">
        <v>123</v>
      </c>
      <c r="W455" t="s">
        <v>124</v>
      </c>
      <c r="X455" t="s">
        <v>58</v>
      </c>
      <c r="Y455">
        <v>18</v>
      </c>
      <c r="Z455" t="s">
        <v>59</v>
      </c>
      <c r="AA455" t="s">
        <v>59</v>
      </c>
      <c r="AB455" t="s">
        <v>59</v>
      </c>
      <c r="AC455" t="s">
        <v>59</v>
      </c>
      <c r="AD455" t="s">
        <v>59</v>
      </c>
      <c r="AF455" s="1">
        <v>34947</v>
      </c>
      <c r="AG455" t="s">
        <v>125</v>
      </c>
      <c r="AH455" t="s">
        <v>126</v>
      </c>
      <c r="AI455" t="str">
        <f>"1701050"</f>
        <v>1701050</v>
      </c>
      <c r="AJ455" t="s">
        <v>660</v>
      </c>
      <c r="AK455">
        <v>2810220729</v>
      </c>
      <c r="AL455" t="s">
        <v>661</v>
      </c>
      <c r="AM455" t="s">
        <v>78</v>
      </c>
      <c r="AN455" t="s">
        <v>78</v>
      </c>
      <c r="AO455" t="s">
        <v>78</v>
      </c>
      <c r="AP455" t="s">
        <v>79</v>
      </c>
      <c r="AQ455">
        <v>1</v>
      </c>
      <c r="AR455" t="s">
        <v>123</v>
      </c>
      <c r="AS455" t="s">
        <v>124</v>
      </c>
      <c r="AT455" t="s">
        <v>58</v>
      </c>
      <c r="AU455" t="s">
        <v>68</v>
      </c>
      <c r="AV455" t="s">
        <v>69</v>
      </c>
      <c r="AW455" s="1">
        <v>23874</v>
      </c>
      <c r="AX455">
        <v>2</v>
      </c>
    </row>
    <row r="456" spans="1:50">
      <c r="A456">
        <v>195150</v>
      </c>
      <c r="B456" t="str">
        <f>"055376227"</f>
        <v>055376227</v>
      </c>
      <c r="C456" t="s">
        <v>50</v>
      </c>
      <c r="D456" t="s">
        <v>1399</v>
      </c>
      <c r="E456" t="s">
        <v>630</v>
      </c>
      <c r="F456" t="s">
        <v>782</v>
      </c>
      <c r="G456" t="s">
        <v>255</v>
      </c>
      <c r="H456" t="str">
        <f>"ΒΩΡΟΙ "</f>
        <v xml:space="preserve">ΒΩΡΟΙ </v>
      </c>
      <c r="I456">
        <v>70200</v>
      </c>
      <c r="J456">
        <v>2892091315</v>
      </c>
      <c r="K456">
        <v>6934529410</v>
      </c>
      <c r="M456" t="s">
        <v>1400</v>
      </c>
      <c r="N456" t="s">
        <v>146</v>
      </c>
      <c r="O456" t="s">
        <v>147</v>
      </c>
      <c r="R456" t="s">
        <v>57</v>
      </c>
      <c r="S456">
        <v>10</v>
      </c>
      <c r="T456">
        <v>194</v>
      </c>
      <c r="U456" s="1">
        <v>37497</v>
      </c>
      <c r="V456" t="s">
        <v>123</v>
      </c>
      <c r="W456" t="s">
        <v>124</v>
      </c>
      <c r="X456" t="s">
        <v>58</v>
      </c>
      <c r="Y456">
        <v>20</v>
      </c>
      <c r="Z456" t="s">
        <v>59</v>
      </c>
      <c r="AA456" t="s">
        <v>59</v>
      </c>
      <c r="AB456" t="s">
        <v>59</v>
      </c>
      <c r="AC456" t="s">
        <v>59</v>
      </c>
      <c r="AD456" t="s">
        <v>59</v>
      </c>
      <c r="AF456" s="1">
        <v>37501</v>
      </c>
      <c r="AG456" t="s">
        <v>125</v>
      </c>
      <c r="AH456" t="s">
        <v>126</v>
      </c>
      <c r="AI456" t="str">
        <f>"1713010"</f>
        <v>1713010</v>
      </c>
      <c r="AJ456" t="s">
        <v>369</v>
      </c>
      <c r="AK456">
        <v>2892051686</v>
      </c>
      <c r="AL456" t="s">
        <v>370</v>
      </c>
      <c r="AM456" t="s">
        <v>78</v>
      </c>
      <c r="AN456" t="s">
        <v>242</v>
      </c>
      <c r="AO456" t="s">
        <v>349</v>
      </c>
      <c r="AP456" t="s">
        <v>349</v>
      </c>
      <c r="AQ456">
        <v>35</v>
      </c>
      <c r="AR456" t="s">
        <v>123</v>
      </c>
      <c r="AS456" t="s">
        <v>124</v>
      </c>
      <c r="AT456" t="s">
        <v>58</v>
      </c>
      <c r="AU456" t="s">
        <v>68</v>
      </c>
      <c r="AV456" t="s">
        <v>69</v>
      </c>
      <c r="AW456" s="1">
        <v>25978</v>
      </c>
      <c r="AX456">
        <v>2</v>
      </c>
    </row>
    <row r="457" spans="1:50">
      <c r="B457" t="str">
        <f>"117337220"</f>
        <v>117337220</v>
      </c>
      <c r="C457" t="s">
        <v>50</v>
      </c>
      <c r="D457" t="s">
        <v>1401</v>
      </c>
      <c r="E457" t="s">
        <v>460</v>
      </c>
      <c r="F457" t="s">
        <v>99</v>
      </c>
      <c r="G457" t="s">
        <v>52</v>
      </c>
      <c r="H457" t="str">
        <f>"ΧΡΥΣΟΣΤΟΜΟΥ 3 ΛΑΡΙΣΑ"</f>
        <v>ΧΡΥΣΟΣΤΟΜΟΥ 3 ΛΑΡΙΣΑ</v>
      </c>
      <c r="I457">
        <v>41447</v>
      </c>
      <c r="J457">
        <v>2410253345</v>
      </c>
      <c r="K457">
        <v>6932620887</v>
      </c>
      <c r="M457" t="s">
        <v>1402</v>
      </c>
      <c r="N457" t="s">
        <v>146</v>
      </c>
      <c r="O457" t="s">
        <v>147</v>
      </c>
      <c r="R457" t="s">
        <v>159</v>
      </c>
      <c r="S457">
        <v>3</v>
      </c>
      <c r="T457" t="s">
        <v>160</v>
      </c>
      <c r="U457" s="1">
        <v>43364</v>
      </c>
      <c r="V457" t="s">
        <v>123</v>
      </c>
      <c r="W457" t="s">
        <v>124</v>
      </c>
      <c r="X457" t="s">
        <v>58</v>
      </c>
      <c r="Y457">
        <v>23</v>
      </c>
      <c r="Z457" t="s">
        <v>59</v>
      </c>
      <c r="AA457" t="s">
        <v>59</v>
      </c>
      <c r="AB457" t="s">
        <v>59</v>
      </c>
      <c r="AC457" t="s">
        <v>59</v>
      </c>
      <c r="AD457" t="s">
        <v>59</v>
      </c>
      <c r="AF457" s="1">
        <v>43367</v>
      </c>
      <c r="AG457" t="s">
        <v>125</v>
      </c>
      <c r="AH457" t="s">
        <v>294</v>
      </c>
      <c r="AI457" t="str">
        <f>"1701015"</f>
        <v>1701015</v>
      </c>
      <c r="AJ457" t="s">
        <v>295</v>
      </c>
      <c r="AK457">
        <v>2810761696</v>
      </c>
      <c r="AL457" t="s">
        <v>296</v>
      </c>
      <c r="AM457" t="s">
        <v>78</v>
      </c>
      <c r="AN457" t="s">
        <v>219</v>
      </c>
      <c r="AO457" t="s">
        <v>297</v>
      </c>
      <c r="AP457" t="s">
        <v>297</v>
      </c>
      <c r="AQ457">
        <v>10</v>
      </c>
      <c r="AR457" t="s">
        <v>123</v>
      </c>
      <c r="AS457" t="s">
        <v>124</v>
      </c>
      <c r="AT457" t="s">
        <v>58</v>
      </c>
      <c r="AU457" t="s">
        <v>164</v>
      </c>
      <c r="AV457" t="s">
        <v>132</v>
      </c>
      <c r="AW457" s="1">
        <v>28856</v>
      </c>
      <c r="AX457">
        <v>2</v>
      </c>
    </row>
    <row r="458" spans="1:50">
      <c r="B458" t="str">
        <f>"139654456"</f>
        <v>139654456</v>
      </c>
      <c r="C458" t="s">
        <v>50</v>
      </c>
      <c r="D458" t="s">
        <v>1403</v>
      </c>
      <c r="E458" t="s">
        <v>73</v>
      </c>
      <c r="F458" t="s">
        <v>1404</v>
      </c>
      <c r="G458" t="s">
        <v>1405</v>
      </c>
      <c r="H458" t="str">
        <f>"ΠΕΡΙΣΣΟΥ 17 ΑΜΠΕΛΟΚΗΠΟΙ ΘΕΣΣΑΛΟΝΙΚΗΣ"</f>
        <v>ΠΕΡΙΣΣΟΥ 17 ΑΜΠΕΛΟΚΗΠΟΙ ΘΕΣΣΑΛΟΝΙΚΗΣ</v>
      </c>
      <c r="I458">
        <v>56123</v>
      </c>
      <c r="K458">
        <v>6995178399</v>
      </c>
      <c r="M458" t="s">
        <v>1406</v>
      </c>
      <c r="N458" t="s">
        <v>119</v>
      </c>
      <c r="O458" t="s">
        <v>120</v>
      </c>
      <c r="R458" t="s">
        <v>121</v>
      </c>
      <c r="S458">
        <v>1</v>
      </c>
      <c r="T458" t="s">
        <v>344</v>
      </c>
      <c r="U458" s="1">
        <v>43348</v>
      </c>
      <c r="V458" t="s">
        <v>123</v>
      </c>
      <c r="W458" t="s">
        <v>124</v>
      </c>
      <c r="X458" t="s">
        <v>58</v>
      </c>
      <c r="Y458">
        <v>23</v>
      </c>
      <c r="Z458" t="s">
        <v>59</v>
      </c>
      <c r="AA458" t="s">
        <v>59</v>
      </c>
      <c r="AB458" t="s">
        <v>59</v>
      </c>
      <c r="AD458" t="s">
        <v>59</v>
      </c>
      <c r="AF458" s="1">
        <v>43348</v>
      </c>
      <c r="AG458" t="s">
        <v>125</v>
      </c>
      <c r="AH458" t="s">
        <v>126</v>
      </c>
      <c r="AI458" t="str">
        <f>"1701030"</f>
        <v>1701030</v>
      </c>
      <c r="AJ458" t="s">
        <v>270</v>
      </c>
      <c r="AK458">
        <v>2810361015</v>
      </c>
      <c r="AL458" t="s">
        <v>271</v>
      </c>
      <c r="AM458" t="s">
        <v>78</v>
      </c>
      <c r="AN458" t="s">
        <v>78</v>
      </c>
      <c r="AO458" t="s">
        <v>78</v>
      </c>
      <c r="AP458" t="s">
        <v>163</v>
      </c>
      <c r="AQ458">
        <v>2</v>
      </c>
      <c r="AR458" t="s">
        <v>123</v>
      </c>
      <c r="AS458" t="s">
        <v>124</v>
      </c>
      <c r="AT458" t="s">
        <v>58</v>
      </c>
      <c r="AU458" t="s">
        <v>350</v>
      </c>
      <c r="AV458" t="s">
        <v>132</v>
      </c>
      <c r="AW458" s="1">
        <v>31114</v>
      </c>
      <c r="AX458">
        <v>2</v>
      </c>
    </row>
    <row r="459" spans="1:50">
      <c r="A459">
        <v>223757</v>
      </c>
      <c r="B459" t="str">
        <f>"045683152"</f>
        <v>045683152</v>
      </c>
      <c r="C459" t="s">
        <v>50</v>
      </c>
      <c r="D459" t="s">
        <v>1407</v>
      </c>
      <c r="E459" t="s">
        <v>181</v>
      </c>
      <c r="F459" t="s">
        <v>1408</v>
      </c>
      <c r="G459" t="s">
        <v>52</v>
      </c>
      <c r="H459" t="str">
        <f>"ΠΟΛΥΧΡΟΝΗ 6  ΗΡΑΚΛΕΙΟ"</f>
        <v>ΠΟΛΥΧΡΟΝΗ 6  ΗΡΑΚΛΕΙΟ</v>
      </c>
      <c r="I459">
        <v>71409</v>
      </c>
      <c r="J459">
        <v>2810322483</v>
      </c>
      <c r="K459">
        <v>6932614345</v>
      </c>
      <c r="M459" t="s">
        <v>1409</v>
      </c>
      <c r="N459" t="s">
        <v>246</v>
      </c>
      <c r="O459" t="s">
        <v>247</v>
      </c>
      <c r="R459" t="s">
        <v>57</v>
      </c>
      <c r="S459">
        <v>15</v>
      </c>
      <c r="T459">
        <v>775</v>
      </c>
      <c r="U459" s="1">
        <v>39680</v>
      </c>
      <c r="V459" t="s">
        <v>123</v>
      </c>
      <c r="W459" t="s">
        <v>124</v>
      </c>
      <c r="X459" t="s">
        <v>58</v>
      </c>
      <c r="Y459">
        <v>21</v>
      </c>
      <c r="Z459" t="s">
        <v>59</v>
      </c>
      <c r="AA459" t="s">
        <v>59</v>
      </c>
      <c r="AB459" t="s">
        <v>59</v>
      </c>
      <c r="AC459" t="s">
        <v>59</v>
      </c>
      <c r="AD459" t="s">
        <v>59</v>
      </c>
      <c r="AF459" s="1">
        <v>39681</v>
      </c>
      <c r="AG459" t="s">
        <v>148</v>
      </c>
      <c r="AH459" t="s">
        <v>149</v>
      </c>
      <c r="AI459" t="str">
        <f>"1790100"</f>
        <v>1790100</v>
      </c>
      <c r="AJ459" t="s">
        <v>252</v>
      </c>
      <c r="AK459">
        <v>2810234876</v>
      </c>
      <c r="AL459" t="s">
        <v>253</v>
      </c>
      <c r="AM459" t="s">
        <v>78</v>
      </c>
      <c r="AN459" t="s">
        <v>78</v>
      </c>
      <c r="AO459" t="s">
        <v>78</v>
      </c>
      <c r="AP459" t="s">
        <v>163</v>
      </c>
      <c r="AQ459">
        <v>5</v>
      </c>
      <c r="AR459" t="s">
        <v>123</v>
      </c>
      <c r="AS459" t="s">
        <v>124</v>
      </c>
      <c r="AT459" t="s">
        <v>58</v>
      </c>
      <c r="AU459" t="s">
        <v>68</v>
      </c>
      <c r="AV459" t="s">
        <v>69</v>
      </c>
      <c r="AW459" s="1">
        <v>22892</v>
      </c>
      <c r="AX459">
        <v>2</v>
      </c>
    </row>
    <row r="460" spans="1:50">
      <c r="A460">
        <v>401505</v>
      </c>
      <c r="B460" t="str">
        <f>"070363351"</f>
        <v>070363351</v>
      </c>
      <c r="C460" t="s">
        <v>105</v>
      </c>
      <c r="D460" t="s">
        <v>1410</v>
      </c>
      <c r="E460" t="s">
        <v>1328</v>
      </c>
      <c r="F460" t="s">
        <v>166</v>
      </c>
      <c r="G460" t="s">
        <v>215</v>
      </c>
      <c r="H460" t="str">
        <f>"ΠΕΤΡΑΚΟΓΙΩΡΓΗ 1 "</f>
        <v xml:space="preserve">ΠΕΤΡΑΚΟΓΙΩΡΓΗ 1 </v>
      </c>
      <c r="I460">
        <v>71305</v>
      </c>
      <c r="J460">
        <v>2810316869</v>
      </c>
      <c r="K460">
        <v>6974992377</v>
      </c>
      <c r="M460" t="s">
        <v>1411</v>
      </c>
      <c r="N460" t="s">
        <v>146</v>
      </c>
      <c r="O460" t="s">
        <v>147</v>
      </c>
      <c r="R460" t="s">
        <v>57</v>
      </c>
      <c r="S460">
        <v>6</v>
      </c>
      <c r="T460" t="s">
        <v>1230</v>
      </c>
      <c r="U460" s="1">
        <v>40121</v>
      </c>
      <c r="V460" t="s">
        <v>123</v>
      </c>
      <c r="W460" t="s">
        <v>124</v>
      </c>
      <c r="X460" t="s">
        <v>58</v>
      </c>
      <c r="Y460">
        <v>20</v>
      </c>
      <c r="Z460" t="s">
        <v>59</v>
      </c>
      <c r="AA460" t="s">
        <v>59</v>
      </c>
      <c r="AB460" t="s">
        <v>59</v>
      </c>
      <c r="AC460" t="s">
        <v>59</v>
      </c>
      <c r="AD460" t="s">
        <v>59</v>
      </c>
      <c r="AF460" s="1">
        <v>40218</v>
      </c>
      <c r="AG460" t="s">
        <v>125</v>
      </c>
      <c r="AH460" t="s">
        <v>126</v>
      </c>
      <c r="AI460" t="str">
        <f>"1701030"</f>
        <v>1701030</v>
      </c>
      <c r="AJ460" t="s">
        <v>270</v>
      </c>
      <c r="AK460">
        <v>2810361015</v>
      </c>
      <c r="AL460" t="s">
        <v>271</v>
      </c>
      <c r="AM460" t="s">
        <v>78</v>
      </c>
      <c r="AN460" t="s">
        <v>78</v>
      </c>
      <c r="AO460" t="s">
        <v>78</v>
      </c>
      <c r="AP460" t="s">
        <v>163</v>
      </c>
      <c r="AQ460">
        <v>2</v>
      </c>
      <c r="AR460" t="s">
        <v>123</v>
      </c>
      <c r="AS460" t="s">
        <v>124</v>
      </c>
      <c r="AT460" t="s">
        <v>58</v>
      </c>
      <c r="AU460" t="s">
        <v>68</v>
      </c>
      <c r="AV460" t="s">
        <v>69</v>
      </c>
      <c r="AW460" s="1">
        <v>27492</v>
      </c>
      <c r="AX460">
        <v>2</v>
      </c>
    </row>
    <row r="461" spans="1:50">
      <c r="A461">
        <v>190061</v>
      </c>
      <c r="B461" t="str">
        <f>"045551954"</f>
        <v>045551954</v>
      </c>
      <c r="C461" t="s">
        <v>105</v>
      </c>
      <c r="D461" t="s">
        <v>1412</v>
      </c>
      <c r="E461" t="s">
        <v>1413</v>
      </c>
      <c r="F461" t="s">
        <v>1414</v>
      </c>
      <c r="G461" t="s">
        <v>109</v>
      </c>
      <c r="H461" t="str">
        <f>" "</f>
        <v xml:space="preserve"> </v>
      </c>
      <c r="J461">
        <v>2810326901</v>
      </c>
      <c r="K461">
        <v>6939160693</v>
      </c>
      <c r="N461" t="s">
        <v>199</v>
      </c>
      <c r="O461" t="s">
        <v>200</v>
      </c>
      <c r="R461" t="s">
        <v>57</v>
      </c>
      <c r="S461">
        <v>16</v>
      </c>
      <c r="T461">
        <v>219</v>
      </c>
      <c r="U461" s="1">
        <v>37134</v>
      </c>
      <c r="V461" t="s">
        <v>123</v>
      </c>
      <c r="W461" t="s">
        <v>124</v>
      </c>
      <c r="X461" t="s">
        <v>58</v>
      </c>
      <c r="Y461">
        <v>20</v>
      </c>
      <c r="Z461" t="s">
        <v>59</v>
      </c>
      <c r="AA461" t="s">
        <v>59</v>
      </c>
      <c r="AB461" t="s">
        <v>59</v>
      </c>
      <c r="AC461" t="s">
        <v>59</v>
      </c>
      <c r="AD461" t="s">
        <v>59</v>
      </c>
      <c r="AF461" s="1">
        <v>37137</v>
      </c>
      <c r="AG461" t="s">
        <v>137</v>
      </c>
      <c r="AH461" t="s">
        <v>138</v>
      </c>
      <c r="AI461" t="str">
        <f>"1750080"</f>
        <v>1750080</v>
      </c>
      <c r="AJ461" t="s">
        <v>170</v>
      </c>
      <c r="AK461">
        <v>2810234444</v>
      </c>
      <c r="AL461" t="s">
        <v>171</v>
      </c>
      <c r="AM461" t="s">
        <v>78</v>
      </c>
      <c r="AN461" t="s">
        <v>78</v>
      </c>
      <c r="AO461" t="s">
        <v>78</v>
      </c>
      <c r="AP461" t="s">
        <v>163</v>
      </c>
      <c r="AQ461">
        <v>9</v>
      </c>
      <c r="AR461" t="s">
        <v>123</v>
      </c>
      <c r="AS461" t="s">
        <v>124</v>
      </c>
      <c r="AT461" t="s">
        <v>58</v>
      </c>
      <c r="AU461" t="s">
        <v>68</v>
      </c>
      <c r="AV461" t="s">
        <v>69</v>
      </c>
      <c r="AW461" s="1">
        <v>24935</v>
      </c>
      <c r="AX461">
        <v>2</v>
      </c>
    </row>
    <row r="462" spans="1:50">
      <c r="B462" t="str">
        <f>"073219881"</f>
        <v>073219881</v>
      </c>
      <c r="C462" t="s">
        <v>105</v>
      </c>
      <c r="D462" t="s">
        <v>1415</v>
      </c>
      <c r="E462" t="s">
        <v>95</v>
      </c>
      <c r="F462" t="s">
        <v>106</v>
      </c>
      <c r="G462" t="s">
        <v>112</v>
      </c>
      <c r="H462" t="str">
        <f>"ΚΟΝΔΥΛΑΚΗ 72 ΗΡΑΚΛΕΙΟ"</f>
        <v>ΚΟΝΔΥΛΑΚΗ 72 ΗΡΑΚΛΕΙΟ</v>
      </c>
      <c r="I462">
        <v>71305</v>
      </c>
      <c r="J462">
        <v>2810255479</v>
      </c>
      <c r="K462">
        <v>6947685232</v>
      </c>
      <c r="M462" t="s">
        <v>1416</v>
      </c>
      <c r="N462" t="s">
        <v>119</v>
      </c>
      <c r="O462" t="s">
        <v>120</v>
      </c>
      <c r="R462" t="s">
        <v>159</v>
      </c>
      <c r="S462">
        <v>5</v>
      </c>
      <c r="T462" t="s">
        <v>344</v>
      </c>
      <c r="U462" s="1">
        <v>43348</v>
      </c>
      <c r="V462" t="s">
        <v>123</v>
      </c>
      <c r="W462" t="s">
        <v>124</v>
      </c>
      <c r="X462" t="s">
        <v>58</v>
      </c>
      <c r="Y462">
        <v>21</v>
      </c>
      <c r="Z462" t="s">
        <v>59</v>
      </c>
      <c r="AA462" t="s">
        <v>59</v>
      </c>
      <c r="AB462" t="s">
        <v>59</v>
      </c>
      <c r="AC462" t="s">
        <v>59</v>
      </c>
      <c r="AD462" t="s">
        <v>59</v>
      </c>
      <c r="AF462" s="1">
        <v>43348</v>
      </c>
      <c r="AG462" t="s">
        <v>345</v>
      </c>
      <c r="AH462" t="s">
        <v>346</v>
      </c>
      <c r="AI462" t="str">
        <f>"1741001"</f>
        <v>1741001</v>
      </c>
      <c r="AJ462" t="s">
        <v>655</v>
      </c>
      <c r="AK462">
        <v>2810360436</v>
      </c>
      <c r="AL462" t="s">
        <v>656</v>
      </c>
      <c r="AM462" t="s">
        <v>78</v>
      </c>
      <c r="AN462" t="s">
        <v>78</v>
      </c>
      <c r="AO462" t="s">
        <v>78</v>
      </c>
      <c r="AP462" t="s">
        <v>141</v>
      </c>
      <c r="AQ462">
        <v>11</v>
      </c>
      <c r="AR462" t="s">
        <v>123</v>
      </c>
      <c r="AS462" t="s">
        <v>124</v>
      </c>
      <c r="AT462" t="s">
        <v>58</v>
      </c>
      <c r="AU462" t="s">
        <v>350</v>
      </c>
      <c r="AV462" t="s">
        <v>132</v>
      </c>
      <c r="AW462" s="1">
        <v>28059</v>
      </c>
      <c r="AX462">
        <v>2</v>
      </c>
    </row>
    <row r="463" spans="1:50">
      <c r="A463">
        <v>219025</v>
      </c>
      <c r="B463" t="str">
        <f>"104448199"</f>
        <v>104448199</v>
      </c>
      <c r="C463" t="s">
        <v>50</v>
      </c>
      <c r="D463" t="s">
        <v>1417</v>
      </c>
      <c r="E463" t="s">
        <v>181</v>
      </c>
      <c r="F463" t="s">
        <v>450</v>
      </c>
      <c r="G463" t="s">
        <v>1418</v>
      </c>
      <c r="H463" t="str">
        <f>"Κ.ΓΕΜΕΛΟΥ 318 ΝΙΚΑΙΑ"</f>
        <v>Κ.ΓΕΜΕΛΟΥ 318 ΝΙΚΑΙΑ</v>
      </c>
      <c r="I463">
        <v>18453</v>
      </c>
      <c r="J463">
        <v>2104930052</v>
      </c>
      <c r="K463">
        <v>6977215231</v>
      </c>
      <c r="M463" t="s">
        <v>1419</v>
      </c>
      <c r="N463" t="s">
        <v>478</v>
      </c>
      <c r="O463" t="s">
        <v>479</v>
      </c>
      <c r="R463" t="s">
        <v>57</v>
      </c>
      <c r="S463">
        <v>5</v>
      </c>
      <c r="T463">
        <v>599</v>
      </c>
      <c r="U463" s="1">
        <v>39310</v>
      </c>
      <c r="V463" t="s">
        <v>123</v>
      </c>
      <c r="W463" t="s">
        <v>124</v>
      </c>
      <c r="X463" t="s">
        <v>58</v>
      </c>
      <c r="Y463">
        <v>20</v>
      </c>
      <c r="Z463" t="s">
        <v>59</v>
      </c>
      <c r="AA463" t="s">
        <v>59</v>
      </c>
      <c r="AB463" t="s">
        <v>59</v>
      </c>
      <c r="AC463" t="s">
        <v>59</v>
      </c>
      <c r="AD463" t="s">
        <v>59</v>
      </c>
      <c r="AF463" s="1">
        <v>39329</v>
      </c>
      <c r="AG463" t="s">
        <v>148</v>
      </c>
      <c r="AH463" t="s">
        <v>149</v>
      </c>
      <c r="AI463" t="str">
        <f>"1765010"</f>
        <v>1765010</v>
      </c>
      <c r="AJ463" t="s">
        <v>803</v>
      </c>
      <c r="AK463">
        <v>2893031093</v>
      </c>
      <c r="AL463" t="s">
        <v>804</v>
      </c>
      <c r="AM463" t="s">
        <v>78</v>
      </c>
      <c r="AN463" t="s">
        <v>405</v>
      </c>
      <c r="AO463" t="s">
        <v>805</v>
      </c>
      <c r="AP463" t="s">
        <v>806</v>
      </c>
      <c r="AQ463">
        <v>25</v>
      </c>
      <c r="AR463" t="s">
        <v>123</v>
      </c>
      <c r="AS463" t="s">
        <v>124</v>
      </c>
      <c r="AT463" t="s">
        <v>58</v>
      </c>
      <c r="AU463" t="s">
        <v>68</v>
      </c>
      <c r="AV463" t="s">
        <v>69</v>
      </c>
      <c r="AW463" s="1">
        <v>29041</v>
      </c>
      <c r="AX463">
        <v>2</v>
      </c>
    </row>
    <row r="464" spans="1:50">
      <c r="A464">
        <v>205905</v>
      </c>
      <c r="B464" t="str">
        <f>"045552686"</f>
        <v>045552686</v>
      </c>
      <c r="C464" t="s">
        <v>50</v>
      </c>
      <c r="D464" t="s">
        <v>1420</v>
      </c>
      <c r="E464" t="s">
        <v>250</v>
      </c>
      <c r="F464" t="s">
        <v>106</v>
      </c>
      <c r="G464" t="s">
        <v>52</v>
      </c>
      <c r="H464" t="str">
        <f>"ΜΑΝΟΥΣΟΜΑΝΩΛΗ 2 ΗΡΑΚΛΕΙΟ"</f>
        <v>ΜΑΝΟΥΣΟΜΑΝΩΛΗ 2 ΗΡΑΚΛΕΙΟ</v>
      </c>
      <c r="I464">
        <v>71305</v>
      </c>
      <c r="J464">
        <v>2810312592</v>
      </c>
      <c r="K464">
        <v>6977736776</v>
      </c>
      <c r="M464" t="s">
        <v>1421</v>
      </c>
      <c r="N464" t="s">
        <v>292</v>
      </c>
      <c r="O464" t="s">
        <v>293</v>
      </c>
      <c r="R464" t="s">
        <v>57</v>
      </c>
      <c r="S464">
        <v>7</v>
      </c>
      <c r="T464" t="s">
        <v>1422</v>
      </c>
      <c r="U464" s="1">
        <v>37866</v>
      </c>
      <c r="V464" t="s">
        <v>123</v>
      </c>
      <c r="W464" t="s">
        <v>124</v>
      </c>
      <c r="X464" t="s">
        <v>58</v>
      </c>
      <c r="Y464">
        <v>20</v>
      </c>
      <c r="Z464" t="s">
        <v>59</v>
      </c>
      <c r="AA464" t="s">
        <v>59</v>
      </c>
      <c r="AB464" t="s">
        <v>59</v>
      </c>
      <c r="AC464" t="s">
        <v>59</v>
      </c>
      <c r="AD464" t="s">
        <v>59</v>
      </c>
      <c r="AF464" s="1">
        <v>38239</v>
      </c>
      <c r="AG464" t="s">
        <v>125</v>
      </c>
      <c r="AH464" t="s">
        <v>126</v>
      </c>
      <c r="AI464" t="str">
        <f>"1701053"</f>
        <v>1701053</v>
      </c>
      <c r="AJ464" t="s">
        <v>398</v>
      </c>
      <c r="AK464">
        <v>2810251434</v>
      </c>
      <c r="AL464" t="s">
        <v>399</v>
      </c>
      <c r="AM464" t="s">
        <v>78</v>
      </c>
      <c r="AN464" t="s">
        <v>78</v>
      </c>
      <c r="AO464" t="s">
        <v>78</v>
      </c>
      <c r="AP464" t="s">
        <v>141</v>
      </c>
      <c r="AQ464">
        <v>7</v>
      </c>
      <c r="AR464" t="s">
        <v>123</v>
      </c>
      <c r="AS464" t="s">
        <v>124</v>
      </c>
      <c r="AT464" t="s">
        <v>58</v>
      </c>
      <c r="AU464" t="s">
        <v>68</v>
      </c>
      <c r="AV464" t="s">
        <v>69</v>
      </c>
      <c r="AW464" s="1">
        <v>24041</v>
      </c>
      <c r="AX464">
        <v>2</v>
      </c>
    </row>
    <row r="465" spans="1:50">
      <c r="A465">
        <v>215972</v>
      </c>
      <c r="B465" t="str">
        <f>"037671386"</f>
        <v>037671386</v>
      </c>
      <c r="C465" t="s">
        <v>50</v>
      </c>
      <c r="D465" t="s">
        <v>1420</v>
      </c>
      <c r="E465" t="s">
        <v>109</v>
      </c>
      <c r="F465" t="s">
        <v>92</v>
      </c>
      <c r="G465" t="s">
        <v>52</v>
      </c>
      <c r="H465" t="str">
        <f>" "</f>
        <v xml:space="preserve"> </v>
      </c>
      <c r="J465">
        <v>2105613200</v>
      </c>
      <c r="K465">
        <v>6972968598</v>
      </c>
      <c r="M465" t="s">
        <v>1423</v>
      </c>
      <c r="N465" t="s">
        <v>1424</v>
      </c>
      <c r="O465" t="s">
        <v>1096</v>
      </c>
      <c r="R465" t="s">
        <v>57</v>
      </c>
      <c r="S465">
        <v>6</v>
      </c>
      <c r="T465">
        <v>232</v>
      </c>
      <c r="U465" s="1">
        <v>38960</v>
      </c>
      <c r="V465" t="s">
        <v>123</v>
      </c>
      <c r="W465" t="s">
        <v>124</v>
      </c>
      <c r="X465" t="s">
        <v>58</v>
      </c>
      <c r="Y465">
        <v>20</v>
      </c>
      <c r="Z465" t="s">
        <v>59</v>
      </c>
      <c r="AA465" t="s">
        <v>59</v>
      </c>
      <c r="AB465" t="s">
        <v>59</v>
      </c>
      <c r="AC465" t="s">
        <v>59</v>
      </c>
      <c r="AD465" t="s">
        <v>59</v>
      </c>
      <c r="AF465" s="1">
        <v>38966</v>
      </c>
      <c r="AG465" t="s">
        <v>137</v>
      </c>
      <c r="AH465" t="s">
        <v>138</v>
      </c>
      <c r="AI465" t="str">
        <f>"1740310"</f>
        <v>1740310</v>
      </c>
      <c r="AJ465" t="s">
        <v>488</v>
      </c>
      <c r="AK465">
        <v>2891024228</v>
      </c>
      <c r="AL465" t="s">
        <v>489</v>
      </c>
      <c r="AM465" t="s">
        <v>78</v>
      </c>
      <c r="AN465" t="s">
        <v>276</v>
      </c>
      <c r="AO465" t="s">
        <v>490</v>
      </c>
      <c r="AP465" t="s">
        <v>490</v>
      </c>
      <c r="AQ465">
        <v>15</v>
      </c>
      <c r="AR465" t="s">
        <v>123</v>
      </c>
      <c r="AS465" t="s">
        <v>124</v>
      </c>
      <c r="AT465" t="s">
        <v>58</v>
      </c>
      <c r="AU465" t="s">
        <v>68</v>
      </c>
      <c r="AV465" t="s">
        <v>69</v>
      </c>
      <c r="AW465" s="1">
        <v>22308</v>
      </c>
      <c r="AX465">
        <v>2</v>
      </c>
    </row>
    <row r="466" spans="1:50">
      <c r="B466" t="str">
        <f>"071114577"</f>
        <v>071114577</v>
      </c>
      <c r="C466" t="s">
        <v>50</v>
      </c>
      <c r="D466" t="s">
        <v>1420</v>
      </c>
      <c r="E466" t="s">
        <v>188</v>
      </c>
      <c r="F466" t="s">
        <v>84</v>
      </c>
      <c r="G466" t="s">
        <v>314</v>
      </c>
      <c r="H466" t="str">
        <f>"ΚΥΤΑΙΟΥ 43 "</f>
        <v xml:space="preserve">ΚΥΤΑΙΟΥ 43 </v>
      </c>
      <c r="I466">
        <v>71303</v>
      </c>
      <c r="J466">
        <v>2810371138</v>
      </c>
      <c r="K466">
        <v>6998704872</v>
      </c>
      <c r="M466" t="s">
        <v>1425</v>
      </c>
      <c r="N466" t="s">
        <v>342</v>
      </c>
      <c r="O466" t="s">
        <v>343</v>
      </c>
      <c r="R466" t="s">
        <v>57</v>
      </c>
      <c r="S466">
        <v>6</v>
      </c>
      <c r="T466" t="s">
        <v>344</v>
      </c>
      <c r="U466" s="1">
        <v>43348</v>
      </c>
      <c r="V466" t="s">
        <v>123</v>
      </c>
      <c r="W466" t="s">
        <v>124</v>
      </c>
      <c r="X466" t="s">
        <v>58</v>
      </c>
      <c r="Y466">
        <v>21</v>
      </c>
      <c r="Z466" t="s">
        <v>59</v>
      </c>
      <c r="AA466" t="s">
        <v>59</v>
      </c>
      <c r="AB466" t="s">
        <v>59</v>
      </c>
      <c r="AC466" t="s">
        <v>59</v>
      </c>
      <c r="AD466" t="s">
        <v>59</v>
      </c>
      <c r="AF466" s="1">
        <v>43348</v>
      </c>
      <c r="AG466" t="s">
        <v>345</v>
      </c>
      <c r="AH466" t="s">
        <v>346</v>
      </c>
      <c r="AI466" t="str">
        <f>"1741001"</f>
        <v>1741001</v>
      </c>
      <c r="AJ466" t="s">
        <v>655</v>
      </c>
      <c r="AK466">
        <v>2810360436</v>
      </c>
      <c r="AL466" t="s">
        <v>656</v>
      </c>
      <c r="AM466" t="s">
        <v>78</v>
      </c>
      <c r="AN466" t="s">
        <v>78</v>
      </c>
      <c r="AO466" t="s">
        <v>78</v>
      </c>
      <c r="AP466" t="s">
        <v>141</v>
      </c>
      <c r="AQ466">
        <v>11</v>
      </c>
      <c r="AR466" t="s">
        <v>123</v>
      </c>
      <c r="AS466" t="s">
        <v>124</v>
      </c>
      <c r="AT466" t="s">
        <v>58</v>
      </c>
      <c r="AU466" t="s">
        <v>350</v>
      </c>
      <c r="AV466" t="s">
        <v>132</v>
      </c>
      <c r="AW466" s="1">
        <v>27108</v>
      </c>
      <c r="AX466">
        <v>2</v>
      </c>
    </row>
    <row r="467" spans="1:50">
      <c r="A467">
        <v>167025</v>
      </c>
      <c r="B467" t="str">
        <f>"053943937"</f>
        <v>053943937</v>
      </c>
      <c r="C467" t="s">
        <v>50</v>
      </c>
      <c r="D467" t="s">
        <v>1420</v>
      </c>
      <c r="E467" t="s">
        <v>1029</v>
      </c>
      <c r="F467" t="s">
        <v>459</v>
      </c>
      <c r="G467" t="s">
        <v>52</v>
      </c>
      <c r="H467" t="str">
        <f>" "</f>
        <v xml:space="preserve"> </v>
      </c>
      <c r="M467" t="s">
        <v>1426</v>
      </c>
      <c r="N467" t="s">
        <v>204</v>
      </c>
      <c r="O467" t="s">
        <v>205</v>
      </c>
      <c r="R467" t="s">
        <v>57</v>
      </c>
      <c r="S467">
        <v>12</v>
      </c>
      <c r="T467">
        <v>154</v>
      </c>
      <c r="U467" s="1">
        <v>34225</v>
      </c>
      <c r="V467" t="s">
        <v>123</v>
      </c>
      <c r="W467" t="s">
        <v>124</v>
      </c>
      <c r="X467" t="s">
        <v>58</v>
      </c>
      <c r="Y467">
        <v>18</v>
      </c>
      <c r="Z467" t="s">
        <v>59</v>
      </c>
      <c r="AA467" t="s">
        <v>59</v>
      </c>
      <c r="AB467" t="s">
        <v>59</v>
      </c>
      <c r="AC467" t="s">
        <v>59</v>
      </c>
      <c r="AD467" t="s">
        <v>59</v>
      </c>
      <c r="AF467" s="1">
        <v>34225</v>
      </c>
      <c r="AG467" t="s">
        <v>125</v>
      </c>
      <c r="AH467" t="s">
        <v>126</v>
      </c>
      <c r="AI467" t="str">
        <f>"1701054"</f>
        <v>1701054</v>
      </c>
      <c r="AJ467" t="s">
        <v>318</v>
      </c>
      <c r="AK467">
        <v>2810252418</v>
      </c>
      <c r="AL467" t="s">
        <v>319</v>
      </c>
      <c r="AM467" t="s">
        <v>78</v>
      </c>
      <c r="AN467" t="s">
        <v>78</v>
      </c>
      <c r="AO467" t="s">
        <v>78</v>
      </c>
      <c r="AP467" t="s">
        <v>141</v>
      </c>
      <c r="AQ467">
        <v>7</v>
      </c>
      <c r="AR467" t="s">
        <v>123</v>
      </c>
      <c r="AS467" t="s">
        <v>124</v>
      </c>
      <c r="AT467" t="s">
        <v>58</v>
      </c>
      <c r="AU467" t="s">
        <v>68</v>
      </c>
      <c r="AV467" t="s">
        <v>69</v>
      </c>
      <c r="AW467" s="1">
        <v>23788</v>
      </c>
      <c r="AX467">
        <v>2</v>
      </c>
    </row>
    <row r="468" spans="1:50">
      <c r="A468">
        <v>184276</v>
      </c>
      <c r="B468" t="str">
        <f>"032110999"</f>
        <v>032110999</v>
      </c>
      <c r="C468" t="s">
        <v>50</v>
      </c>
      <c r="D468" t="s">
        <v>1427</v>
      </c>
      <c r="E468" t="s">
        <v>964</v>
      </c>
      <c r="F468" t="s">
        <v>53</v>
      </c>
      <c r="G468" t="s">
        <v>755</v>
      </c>
      <c r="H468" t="str">
        <f>"ΜΕΝΕΞΕΔΩΝ 20 "</f>
        <v xml:space="preserve">ΜΕΝΕΞΕΔΩΝ 20 </v>
      </c>
      <c r="I468">
        <v>71409</v>
      </c>
      <c r="J468">
        <v>2810333768</v>
      </c>
      <c r="K468">
        <v>6971899843</v>
      </c>
      <c r="N468" t="s">
        <v>306</v>
      </c>
      <c r="O468" t="s">
        <v>307</v>
      </c>
      <c r="R468" t="s">
        <v>57</v>
      </c>
      <c r="S468">
        <v>11</v>
      </c>
      <c r="T468">
        <v>177</v>
      </c>
      <c r="U468" s="1">
        <v>36403</v>
      </c>
      <c r="V468" t="s">
        <v>123</v>
      </c>
      <c r="W468" t="s">
        <v>124</v>
      </c>
      <c r="X468" t="s">
        <v>58</v>
      </c>
      <c r="Y468">
        <v>20</v>
      </c>
      <c r="Z468" t="s">
        <v>59</v>
      </c>
      <c r="AA468" t="s">
        <v>59</v>
      </c>
      <c r="AB468" t="s">
        <v>59</v>
      </c>
      <c r="AC468" t="s">
        <v>59</v>
      </c>
      <c r="AD468" t="s">
        <v>59</v>
      </c>
      <c r="AF468" s="1">
        <v>36403</v>
      </c>
      <c r="AG468" t="s">
        <v>125</v>
      </c>
      <c r="AH468" t="s">
        <v>126</v>
      </c>
      <c r="AI468" t="str">
        <f>"1701050"</f>
        <v>1701050</v>
      </c>
      <c r="AJ468" t="s">
        <v>660</v>
      </c>
      <c r="AK468">
        <v>2810220729</v>
      </c>
      <c r="AL468" t="s">
        <v>661</v>
      </c>
      <c r="AM468" t="s">
        <v>78</v>
      </c>
      <c r="AN468" t="s">
        <v>78</v>
      </c>
      <c r="AO468" t="s">
        <v>78</v>
      </c>
      <c r="AP468" t="s">
        <v>79</v>
      </c>
      <c r="AQ468">
        <v>1</v>
      </c>
      <c r="AR468" t="s">
        <v>123</v>
      </c>
      <c r="AS468" t="s">
        <v>124</v>
      </c>
      <c r="AT468" t="s">
        <v>58</v>
      </c>
      <c r="AU468" t="s">
        <v>68</v>
      </c>
      <c r="AV468" t="s">
        <v>69</v>
      </c>
      <c r="AW468" s="1">
        <v>22190</v>
      </c>
      <c r="AX468">
        <v>2</v>
      </c>
    </row>
    <row r="469" spans="1:50">
      <c r="A469">
        <v>159174</v>
      </c>
      <c r="B469" t="str">
        <f>"033432612"</f>
        <v>033432612</v>
      </c>
      <c r="C469" t="s">
        <v>105</v>
      </c>
      <c r="D469" t="s">
        <v>1428</v>
      </c>
      <c r="E469" t="s">
        <v>166</v>
      </c>
      <c r="F469" t="s">
        <v>72</v>
      </c>
      <c r="G469" t="s">
        <v>134</v>
      </c>
      <c r="H469" t="str">
        <f>"Τ.Θ. 1220 ΣΚΑΛΑΝΙ ΗΡΑΚΛΕΙΟΥ"</f>
        <v>Τ.Θ. 1220 ΣΚΑΛΑΝΙ ΗΡΑΚΛΕΙΟΥ</v>
      </c>
      <c r="I469">
        <v>71500</v>
      </c>
      <c r="J469">
        <v>2810742082</v>
      </c>
      <c r="K469">
        <v>6942292638</v>
      </c>
      <c r="M469" t="s">
        <v>1429</v>
      </c>
      <c r="N469" t="s">
        <v>146</v>
      </c>
      <c r="O469" t="s">
        <v>147</v>
      </c>
      <c r="R469" t="s">
        <v>57</v>
      </c>
      <c r="S469">
        <v>15</v>
      </c>
      <c r="T469">
        <v>161</v>
      </c>
      <c r="U469" s="1">
        <v>33119</v>
      </c>
      <c r="V469" t="s">
        <v>123</v>
      </c>
      <c r="W469" t="s">
        <v>124</v>
      </c>
      <c r="X469" t="s">
        <v>58</v>
      </c>
      <c r="Y469">
        <v>18</v>
      </c>
      <c r="Z469" t="s">
        <v>59</v>
      </c>
      <c r="AA469" t="s">
        <v>59</v>
      </c>
      <c r="AB469" t="s">
        <v>59</v>
      </c>
      <c r="AC469" t="s">
        <v>59</v>
      </c>
      <c r="AD469" t="s">
        <v>59</v>
      </c>
      <c r="AF469" s="1">
        <v>33123</v>
      </c>
      <c r="AG469" t="s">
        <v>137</v>
      </c>
      <c r="AH469" t="s">
        <v>469</v>
      </c>
      <c r="AI469" t="str">
        <f>"1740200"</f>
        <v>1740200</v>
      </c>
      <c r="AJ469" t="s">
        <v>470</v>
      </c>
      <c r="AK469">
        <v>2810320770</v>
      </c>
      <c r="AL469" t="s">
        <v>471</v>
      </c>
      <c r="AM469" t="s">
        <v>78</v>
      </c>
      <c r="AN469" t="s">
        <v>78</v>
      </c>
      <c r="AO469" t="s">
        <v>78</v>
      </c>
      <c r="AP469" t="s">
        <v>163</v>
      </c>
      <c r="AQ469">
        <v>2</v>
      </c>
      <c r="AR469" t="s">
        <v>123</v>
      </c>
      <c r="AS469" t="s">
        <v>124</v>
      </c>
      <c r="AT469" t="s">
        <v>58</v>
      </c>
      <c r="AU469" t="s">
        <v>68</v>
      </c>
      <c r="AV469" t="s">
        <v>69</v>
      </c>
      <c r="AW469" s="1">
        <v>21263</v>
      </c>
      <c r="AX469">
        <v>2</v>
      </c>
    </row>
    <row r="470" spans="1:50">
      <c r="A470">
        <v>223896</v>
      </c>
      <c r="B470" t="str">
        <f>"071114891"</f>
        <v>071114891</v>
      </c>
      <c r="C470" t="s">
        <v>50</v>
      </c>
      <c r="D470" t="s">
        <v>1430</v>
      </c>
      <c r="E470" t="s">
        <v>83</v>
      </c>
      <c r="F470" t="s">
        <v>377</v>
      </c>
      <c r="G470" t="s">
        <v>52</v>
      </c>
      <c r="H470" t="str">
        <f>"ΕΜ. ΖΕΡΒΟΥΔΑΚΗ 14  ΗΡΑΚΛΕΙΟ "</f>
        <v xml:space="preserve">ΕΜ. ΖΕΡΒΟΥΔΑΚΗ 14  ΗΡΑΚΛΕΙΟ </v>
      </c>
      <c r="I470">
        <v>71306</v>
      </c>
      <c r="J470">
        <v>2810242417</v>
      </c>
      <c r="K470">
        <v>6972232908</v>
      </c>
      <c r="M470" t="s">
        <v>1431</v>
      </c>
      <c r="N470" t="s">
        <v>478</v>
      </c>
      <c r="O470" t="s">
        <v>479</v>
      </c>
      <c r="P470" t="s">
        <v>146</v>
      </c>
      <c r="Q470" t="s">
        <v>147</v>
      </c>
      <c r="R470" t="s">
        <v>57</v>
      </c>
      <c r="S470">
        <v>7</v>
      </c>
      <c r="T470">
        <v>775</v>
      </c>
      <c r="U470" s="1">
        <v>39680</v>
      </c>
      <c r="V470" t="s">
        <v>123</v>
      </c>
      <c r="W470" t="s">
        <v>124</v>
      </c>
      <c r="X470" t="s">
        <v>58</v>
      </c>
      <c r="Y470">
        <v>20</v>
      </c>
      <c r="Z470" t="s">
        <v>59</v>
      </c>
      <c r="AA470" t="s">
        <v>59</v>
      </c>
      <c r="AB470" t="s">
        <v>59</v>
      </c>
      <c r="AC470" t="s">
        <v>59</v>
      </c>
      <c r="AD470" t="s">
        <v>59</v>
      </c>
      <c r="AF470" s="1">
        <v>39682</v>
      </c>
      <c r="AG470" t="s">
        <v>125</v>
      </c>
      <c r="AH470" t="s">
        <v>126</v>
      </c>
      <c r="AI470" t="str">
        <f>"1712010"</f>
        <v>1712010</v>
      </c>
      <c r="AJ470" t="s">
        <v>525</v>
      </c>
      <c r="AK470">
        <v>2897061328</v>
      </c>
      <c r="AL470" t="s">
        <v>526</v>
      </c>
      <c r="AM470" t="s">
        <v>78</v>
      </c>
      <c r="AN470" t="s">
        <v>219</v>
      </c>
      <c r="AO470" t="s">
        <v>527</v>
      </c>
      <c r="AP470" t="s">
        <v>528</v>
      </c>
      <c r="AQ470">
        <v>19</v>
      </c>
      <c r="AR470" t="s">
        <v>123</v>
      </c>
      <c r="AS470" t="s">
        <v>124</v>
      </c>
      <c r="AT470" t="s">
        <v>58</v>
      </c>
      <c r="AU470" t="s">
        <v>68</v>
      </c>
      <c r="AV470" t="s">
        <v>69</v>
      </c>
      <c r="AW470" s="1">
        <v>26082</v>
      </c>
      <c r="AX470">
        <v>2</v>
      </c>
    </row>
    <row r="471" spans="1:50">
      <c r="B471" t="str">
        <f>"123678275"</f>
        <v>123678275</v>
      </c>
      <c r="C471" t="s">
        <v>50</v>
      </c>
      <c r="D471" t="s">
        <v>1430</v>
      </c>
      <c r="E471" t="s">
        <v>188</v>
      </c>
      <c r="F471" t="s">
        <v>782</v>
      </c>
      <c r="G471" t="s">
        <v>255</v>
      </c>
      <c r="H471" t="str">
        <f>" "</f>
        <v xml:space="preserve"> </v>
      </c>
      <c r="K471">
        <v>6985661604</v>
      </c>
      <c r="M471" t="s">
        <v>1432</v>
      </c>
      <c r="N471" t="s">
        <v>119</v>
      </c>
      <c r="O471" t="s">
        <v>120</v>
      </c>
      <c r="R471" t="s">
        <v>159</v>
      </c>
      <c r="S471">
        <v>4</v>
      </c>
      <c r="T471" t="s">
        <v>344</v>
      </c>
      <c r="U471" s="1">
        <v>43348</v>
      </c>
      <c r="V471" t="s">
        <v>123</v>
      </c>
      <c r="W471" t="s">
        <v>124</v>
      </c>
      <c r="X471" t="s">
        <v>58</v>
      </c>
      <c r="Y471">
        <v>23</v>
      </c>
      <c r="Z471" t="s">
        <v>59</v>
      </c>
      <c r="AA471" t="s">
        <v>59</v>
      </c>
      <c r="AB471" t="s">
        <v>59</v>
      </c>
      <c r="AC471" t="s">
        <v>59</v>
      </c>
      <c r="AD471" t="s">
        <v>59</v>
      </c>
      <c r="AF471" s="1">
        <v>43348</v>
      </c>
      <c r="AG471" t="s">
        <v>125</v>
      </c>
      <c r="AH471" t="s">
        <v>538</v>
      </c>
      <c r="AI471" t="str">
        <f>"1701002"</f>
        <v>1701002</v>
      </c>
      <c r="AJ471" t="s">
        <v>539</v>
      </c>
      <c r="AK471">
        <v>2810213569</v>
      </c>
      <c r="AL471" t="s">
        <v>540</v>
      </c>
      <c r="AM471" t="s">
        <v>78</v>
      </c>
      <c r="AN471" t="s">
        <v>78</v>
      </c>
      <c r="AO471" t="s">
        <v>78</v>
      </c>
      <c r="AP471" t="s">
        <v>163</v>
      </c>
      <c r="AQ471">
        <v>11</v>
      </c>
      <c r="AR471" t="s">
        <v>123</v>
      </c>
      <c r="AS471" t="s">
        <v>124</v>
      </c>
      <c r="AT471" t="s">
        <v>58</v>
      </c>
      <c r="AU471" t="s">
        <v>350</v>
      </c>
      <c r="AV471" t="s">
        <v>132</v>
      </c>
      <c r="AW471" s="1">
        <v>31245</v>
      </c>
      <c r="AX471">
        <v>2</v>
      </c>
    </row>
    <row r="472" spans="1:50">
      <c r="A472">
        <v>164344</v>
      </c>
      <c r="B472" t="str">
        <f>"029468568"</f>
        <v>029468568</v>
      </c>
      <c r="C472" t="s">
        <v>105</v>
      </c>
      <c r="D472" t="s">
        <v>1433</v>
      </c>
      <c r="E472" t="s">
        <v>154</v>
      </c>
      <c r="F472" t="s">
        <v>166</v>
      </c>
      <c r="G472" t="s">
        <v>1078</v>
      </c>
      <c r="H472" t="str">
        <f>"ΕΛΙΑ ΠΕΔΙΑΔΟΣ ΕΛΙΑ ΠΕΔΙΑΔΟΣ"</f>
        <v>ΕΛΙΑ ΠΕΔΙΑΔΟΣ ΕΛΙΑ ΠΕΔΙΑΔΟΣ</v>
      </c>
      <c r="I472">
        <v>70008</v>
      </c>
      <c r="J472">
        <v>2810781395</v>
      </c>
      <c r="K472">
        <v>6973998556</v>
      </c>
      <c r="M472" t="s">
        <v>1434</v>
      </c>
      <c r="N472" t="s">
        <v>292</v>
      </c>
      <c r="O472" t="s">
        <v>293</v>
      </c>
      <c r="R472" t="s">
        <v>57</v>
      </c>
      <c r="S472">
        <v>14</v>
      </c>
      <c r="T472">
        <v>161</v>
      </c>
      <c r="U472" s="1">
        <v>33844</v>
      </c>
      <c r="V472" t="s">
        <v>123</v>
      </c>
      <c r="W472" t="s">
        <v>124</v>
      </c>
      <c r="X472" t="s">
        <v>58</v>
      </c>
      <c r="Y472">
        <v>18</v>
      </c>
      <c r="Z472" t="s">
        <v>59</v>
      </c>
      <c r="AA472" t="s">
        <v>59</v>
      </c>
      <c r="AB472" t="s">
        <v>59</v>
      </c>
      <c r="AC472" t="s">
        <v>59</v>
      </c>
      <c r="AD472" t="s">
        <v>59</v>
      </c>
      <c r="AF472" s="1">
        <v>33848</v>
      </c>
      <c r="AG472" t="s">
        <v>148</v>
      </c>
      <c r="AH472" t="s">
        <v>149</v>
      </c>
      <c r="AI472" t="str">
        <f>"1751070"</f>
        <v>1751070</v>
      </c>
      <c r="AJ472" t="s">
        <v>1435</v>
      </c>
      <c r="AK472">
        <v>2810771016</v>
      </c>
      <c r="AL472" t="s">
        <v>1436</v>
      </c>
      <c r="AM472" t="s">
        <v>78</v>
      </c>
      <c r="AN472" t="s">
        <v>219</v>
      </c>
      <c r="AO472" t="s">
        <v>1437</v>
      </c>
      <c r="AP472" t="s">
        <v>1437</v>
      </c>
      <c r="AQ472">
        <v>21</v>
      </c>
      <c r="AR472" t="s">
        <v>123</v>
      </c>
      <c r="AS472" t="s">
        <v>124</v>
      </c>
      <c r="AT472" t="s">
        <v>58</v>
      </c>
      <c r="AU472" t="s">
        <v>68</v>
      </c>
      <c r="AV472" t="s">
        <v>69</v>
      </c>
      <c r="AW472" s="1">
        <v>20893</v>
      </c>
      <c r="AX472">
        <v>2</v>
      </c>
    </row>
    <row r="473" spans="1:50">
      <c r="A473">
        <v>210832</v>
      </c>
      <c r="B473" t="str">
        <f>"074267077"</f>
        <v>074267077</v>
      </c>
      <c r="C473" t="s">
        <v>105</v>
      </c>
      <c r="D473" t="s">
        <v>1433</v>
      </c>
      <c r="E473" t="s">
        <v>377</v>
      </c>
      <c r="F473" t="s">
        <v>166</v>
      </c>
      <c r="G473" t="s">
        <v>1155</v>
      </c>
      <c r="H473" t="str">
        <f>"ΜΑΥΡΟΓΕΝΟΥΣ 1 "</f>
        <v xml:space="preserve">ΜΑΥΡΟΓΕΝΟΥΣ 1 </v>
      </c>
      <c r="I473">
        <v>71202</v>
      </c>
      <c r="J473">
        <v>2810283352</v>
      </c>
      <c r="K473">
        <v>6942712494</v>
      </c>
      <c r="M473" t="s">
        <v>1438</v>
      </c>
      <c r="N473" t="s">
        <v>204</v>
      </c>
      <c r="O473" t="s">
        <v>205</v>
      </c>
      <c r="R473" t="s">
        <v>57</v>
      </c>
      <c r="S473">
        <v>8</v>
      </c>
      <c r="T473">
        <v>262</v>
      </c>
      <c r="U473" s="1">
        <v>38629</v>
      </c>
      <c r="V473" t="s">
        <v>123</v>
      </c>
      <c r="W473" t="s">
        <v>124</v>
      </c>
      <c r="X473" t="s">
        <v>58</v>
      </c>
      <c r="Y473">
        <v>20</v>
      </c>
      <c r="Z473" t="s">
        <v>59</v>
      </c>
      <c r="AA473" t="s">
        <v>59</v>
      </c>
      <c r="AB473" t="s">
        <v>59</v>
      </c>
      <c r="AC473" t="s">
        <v>59</v>
      </c>
      <c r="AD473" t="s">
        <v>59</v>
      </c>
      <c r="AF473" s="1">
        <v>38629</v>
      </c>
      <c r="AG473" t="s">
        <v>148</v>
      </c>
      <c r="AH473" t="s">
        <v>149</v>
      </c>
      <c r="AI473" t="str">
        <f>"1752010"</f>
        <v>1752010</v>
      </c>
      <c r="AJ473" t="s">
        <v>896</v>
      </c>
      <c r="AK473">
        <v>2891022893</v>
      </c>
      <c r="AL473" t="s">
        <v>897</v>
      </c>
      <c r="AM473" t="s">
        <v>78</v>
      </c>
      <c r="AN473" t="s">
        <v>276</v>
      </c>
      <c r="AO473" t="s">
        <v>490</v>
      </c>
      <c r="AP473" t="s">
        <v>490</v>
      </c>
      <c r="AQ473">
        <v>15</v>
      </c>
      <c r="AR473" t="s">
        <v>123</v>
      </c>
      <c r="AS473" t="s">
        <v>124</v>
      </c>
      <c r="AT473" t="s">
        <v>58</v>
      </c>
      <c r="AU473" t="s">
        <v>68</v>
      </c>
      <c r="AV473" t="s">
        <v>69</v>
      </c>
      <c r="AW473" s="1">
        <v>28600</v>
      </c>
      <c r="AX473">
        <v>2</v>
      </c>
    </row>
    <row r="474" spans="1:50">
      <c r="B474" t="str">
        <f>"067183250"</f>
        <v>067183250</v>
      </c>
      <c r="C474" t="s">
        <v>50</v>
      </c>
      <c r="D474" t="s">
        <v>1439</v>
      </c>
      <c r="E474" t="s">
        <v>1440</v>
      </c>
      <c r="F474" t="s">
        <v>72</v>
      </c>
      <c r="G474" t="s">
        <v>215</v>
      </c>
      <c r="H474" t="str">
        <f>"ΑΔΡΙΑΝΟΥ 21 ΙΛΙΟΝ"</f>
        <v>ΑΔΡΙΑΝΟΥ 21 ΙΛΙΟΝ</v>
      </c>
      <c r="I474">
        <v>13121</v>
      </c>
      <c r="J474">
        <v>2105717527</v>
      </c>
      <c r="K474">
        <v>6977232624</v>
      </c>
      <c r="M474" t="s">
        <v>1441</v>
      </c>
      <c r="N474" t="s">
        <v>1039</v>
      </c>
      <c r="O474" t="s">
        <v>1040</v>
      </c>
      <c r="R474" t="s">
        <v>159</v>
      </c>
      <c r="S474">
        <v>4</v>
      </c>
      <c r="T474" t="s">
        <v>344</v>
      </c>
      <c r="U474" s="1">
        <v>43348</v>
      </c>
      <c r="V474" t="s">
        <v>123</v>
      </c>
      <c r="W474" t="s">
        <v>124</v>
      </c>
      <c r="X474" t="s">
        <v>58</v>
      </c>
      <c r="Y474">
        <v>21</v>
      </c>
      <c r="Z474" t="s">
        <v>59</v>
      </c>
      <c r="AA474" t="s">
        <v>59</v>
      </c>
      <c r="AB474" t="s">
        <v>59</v>
      </c>
      <c r="AC474" t="s">
        <v>59</v>
      </c>
      <c r="AD474" t="s">
        <v>59</v>
      </c>
      <c r="AF474" s="1">
        <v>43348</v>
      </c>
      <c r="AG474" t="s">
        <v>345</v>
      </c>
      <c r="AH474" t="s">
        <v>346</v>
      </c>
      <c r="AI474" t="str">
        <f>"1741001"</f>
        <v>1741001</v>
      </c>
      <c r="AJ474" t="s">
        <v>655</v>
      </c>
      <c r="AK474">
        <v>2810360436</v>
      </c>
      <c r="AL474" t="s">
        <v>656</v>
      </c>
      <c r="AM474" t="s">
        <v>78</v>
      </c>
      <c r="AN474" t="s">
        <v>78</v>
      </c>
      <c r="AO474" t="s">
        <v>78</v>
      </c>
      <c r="AP474" t="s">
        <v>141</v>
      </c>
      <c r="AQ474">
        <v>11</v>
      </c>
      <c r="AR474" t="s">
        <v>123</v>
      </c>
      <c r="AS474" t="s">
        <v>124</v>
      </c>
      <c r="AT474" t="s">
        <v>58</v>
      </c>
      <c r="AU474" t="s">
        <v>350</v>
      </c>
      <c r="AV474" t="s">
        <v>132</v>
      </c>
      <c r="AW474" s="1">
        <v>23468</v>
      </c>
      <c r="AX474">
        <v>2</v>
      </c>
    </row>
    <row r="475" spans="1:50">
      <c r="A475">
        <v>192948</v>
      </c>
      <c r="B475" t="str">
        <f>"044196038"</f>
        <v>044196038</v>
      </c>
      <c r="C475" t="s">
        <v>50</v>
      </c>
      <c r="D475" t="s">
        <v>1442</v>
      </c>
      <c r="E475" t="s">
        <v>1443</v>
      </c>
      <c r="F475" t="s">
        <v>95</v>
      </c>
      <c r="G475" t="s">
        <v>250</v>
      </c>
      <c r="H475" t="str">
        <f>"ΑΡΧΙΜΗΔΟΥΣ  67 ΝΕΑ ΑΛΙΚΑΡΝΑΣΣΟΣ"</f>
        <v>ΑΡΧΙΜΗΔΟΥΣ  67 ΝΕΑ ΑΛΙΚΑΡΝΑΣΣΟΣ</v>
      </c>
      <c r="I475">
        <v>71601</v>
      </c>
      <c r="J475">
        <v>2810223934</v>
      </c>
      <c r="K475">
        <v>6974600498</v>
      </c>
      <c r="M475" t="s">
        <v>1444</v>
      </c>
      <c r="N475" t="s">
        <v>146</v>
      </c>
      <c r="O475" t="s">
        <v>147</v>
      </c>
      <c r="R475" t="s">
        <v>57</v>
      </c>
      <c r="S475">
        <v>9</v>
      </c>
      <c r="T475">
        <v>193</v>
      </c>
      <c r="U475" s="1">
        <v>37497</v>
      </c>
      <c r="V475" t="s">
        <v>123</v>
      </c>
      <c r="W475" t="s">
        <v>124</v>
      </c>
      <c r="X475" t="s">
        <v>58</v>
      </c>
      <c r="Y475">
        <v>20</v>
      </c>
      <c r="Z475" t="s">
        <v>59</v>
      </c>
      <c r="AA475" t="s">
        <v>59</v>
      </c>
      <c r="AB475" t="s">
        <v>59</v>
      </c>
      <c r="AC475" t="s">
        <v>59</v>
      </c>
      <c r="AD475" t="s">
        <v>59</v>
      </c>
      <c r="AF475" s="1">
        <v>37503</v>
      </c>
      <c r="AG475" t="s">
        <v>148</v>
      </c>
      <c r="AH475" t="s">
        <v>149</v>
      </c>
      <c r="AI475" t="str">
        <f>"1777010"</f>
        <v>1777010</v>
      </c>
      <c r="AJ475" t="s">
        <v>612</v>
      </c>
      <c r="AK475">
        <v>2810229220</v>
      </c>
      <c r="AL475" t="s">
        <v>613</v>
      </c>
      <c r="AM475" t="s">
        <v>78</v>
      </c>
      <c r="AN475" t="s">
        <v>78</v>
      </c>
      <c r="AO475" t="s">
        <v>286</v>
      </c>
      <c r="AP475" t="s">
        <v>286</v>
      </c>
      <c r="AQ475">
        <v>12</v>
      </c>
      <c r="AR475" t="s">
        <v>123</v>
      </c>
      <c r="AS475" t="s">
        <v>124</v>
      </c>
      <c r="AT475" t="s">
        <v>58</v>
      </c>
      <c r="AU475" t="s">
        <v>68</v>
      </c>
      <c r="AV475" t="s">
        <v>69</v>
      </c>
      <c r="AW475" s="1">
        <v>25068</v>
      </c>
      <c r="AX475">
        <v>2</v>
      </c>
    </row>
    <row r="476" spans="1:50">
      <c r="A476">
        <v>201423</v>
      </c>
      <c r="B476" t="str">
        <f>"046118775"</f>
        <v>046118775</v>
      </c>
      <c r="C476" t="s">
        <v>50</v>
      </c>
      <c r="D476" t="s">
        <v>1442</v>
      </c>
      <c r="E476" t="s">
        <v>372</v>
      </c>
      <c r="F476" t="s">
        <v>95</v>
      </c>
      <c r="G476" t="s">
        <v>250</v>
      </c>
      <c r="H476" t="str">
        <f>" "</f>
        <v xml:space="preserve"> </v>
      </c>
      <c r="J476">
        <v>2810323397</v>
      </c>
      <c r="K476">
        <v>6978307678</v>
      </c>
      <c r="N476" t="s">
        <v>146</v>
      </c>
      <c r="O476" t="s">
        <v>147</v>
      </c>
      <c r="R476" t="s">
        <v>57</v>
      </c>
      <c r="S476">
        <v>7</v>
      </c>
      <c r="T476">
        <v>231</v>
      </c>
      <c r="U476" s="1">
        <v>38230</v>
      </c>
      <c r="V476" t="s">
        <v>123</v>
      </c>
      <c r="W476" t="s">
        <v>124</v>
      </c>
      <c r="X476" t="s">
        <v>58</v>
      </c>
      <c r="Y476">
        <v>20</v>
      </c>
      <c r="Z476" t="s">
        <v>59</v>
      </c>
      <c r="AA476" t="s">
        <v>59</v>
      </c>
      <c r="AB476" t="s">
        <v>59</v>
      </c>
      <c r="AC476" t="s">
        <v>59</v>
      </c>
      <c r="AD476" t="s">
        <v>59</v>
      </c>
      <c r="AF476" s="1">
        <v>38232</v>
      </c>
      <c r="AG476" t="s">
        <v>148</v>
      </c>
      <c r="AH476" t="s">
        <v>149</v>
      </c>
      <c r="AI476" t="str">
        <f>"1751070"</f>
        <v>1751070</v>
      </c>
      <c r="AJ476" t="s">
        <v>1435</v>
      </c>
      <c r="AK476">
        <v>2810771016</v>
      </c>
      <c r="AL476" t="s">
        <v>1436</v>
      </c>
      <c r="AM476" t="s">
        <v>78</v>
      </c>
      <c r="AN476" t="s">
        <v>219</v>
      </c>
      <c r="AO476" t="s">
        <v>1437</v>
      </c>
      <c r="AP476" t="s">
        <v>1437</v>
      </c>
      <c r="AQ476">
        <v>21</v>
      </c>
      <c r="AR476" t="s">
        <v>123</v>
      </c>
      <c r="AS476" t="s">
        <v>124</v>
      </c>
      <c r="AT476" t="s">
        <v>58</v>
      </c>
      <c r="AU476" t="s">
        <v>68</v>
      </c>
      <c r="AV476" t="s">
        <v>69</v>
      </c>
      <c r="AW476" s="1">
        <v>25792</v>
      </c>
      <c r="AX476">
        <v>2</v>
      </c>
    </row>
    <row r="477" spans="1:50">
      <c r="A477">
        <v>214969</v>
      </c>
      <c r="B477" t="str">
        <f>"062175284"</f>
        <v>062175284</v>
      </c>
      <c r="C477" t="s">
        <v>105</v>
      </c>
      <c r="D477" t="s">
        <v>1445</v>
      </c>
      <c r="E477" t="s">
        <v>95</v>
      </c>
      <c r="F477" t="s">
        <v>321</v>
      </c>
      <c r="G477" t="s">
        <v>755</v>
      </c>
      <c r="H477" t="str">
        <f>"ΚΩΝΣΤΑΝΤΙΝΟΥ ΠΑΛΑΜΑ 3 ΜΟΙΡΩΝ (Ν. ΗΡΑΚΛΕΙΟΥ)"</f>
        <v>ΚΩΝΣΤΑΝΤΙΝΟΥ ΠΑΛΑΜΑ 3 ΜΟΙΡΩΝ (Ν. ΗΡΑΚΛΕΙΟΥ)</v>
      </c>
      <c r="I477">
        <v>70400</v>
      </c>
      <c r="J477">
        <v>2892024179</v>
      </c>
      <c r="K477">
        <v>6977470715</v>
      </c>
      <c r="M477" t="s">
        <v>1446</v>
      </c>
      <c r="N477" t="s">
        <v>168</v>
      </c>
      <c r="O477" t="s">
        <v>169</v>
      </c>
      <c r="R477" t="s">
        <v>57</v>
      </c>
      <c r="S477">
        <v>7</v>
      </c>
      <c r="T477">
        <v>231</v>
      </c>
      <c r="U477" s="1">
        <v>38960</v>
      </c>
      <c r="V477" t="s">
        <v>123</v>
      </c>
      <c r="W477" t="s">
        <v>124</v>
      </c>
      <c r="X477" t="s">
        <v>58</v>
      </c>
      <c r="Y477">
        <v>20</v>
      </c>
      <c r="Z477" t="s">
        <v>59</v>
      </c>
      <c r="AA477" t="s">
        <v>59</v>
      </c>
      <c r="AB477" t="s">
        <v>59</v>
      </c>
      <c r="AC477" t="s">
        <v>59</v>
      </c>
      <c r="AD477" t="s">
        <v>59</v>
      </c>
      <c r="AF477" s="1">
        <v>38961</v>
      </c>
      <c r="AG477" t="s">
        <v>137</v>
      </c>
      <c r="AH477" t="s">
        <v>138</v>
      </c>
      <c r="AI477" t="str">
        <f>"1740300"</f>
        <v>1740300</v>
      </c>
      <c r="AJ477" t="s">
        <v>1274</v>
      </c>
      <c r="AK477">
        <v>2892022100</v>
      </c>
      <c r="AL477" t="s">
        <v>1275</v>
      </c>
      <c r="AM477" t="s">
        <v>78</v>
      </c>
      <c r="AN477" t="s">
        <v>242</v>
      </c>
      <c r="AO477" t="s">
        <v>243</v>
      </c>
      <c r="AP477" t="s">
        <v>243</v>
      </c>
      <c r="AQ477">
        <v>33</v>
      </c>
      <c r="AR477" t="s">
        <v>123</v>
      </c>
      <c r="AS477" t="s">
        <v>124</v>
      </c>
      <c r="AT477" t="s">
        <v>58</v>
      </c>
      <c r="AU477" t="s">
        <v>68</v>
      </c>
      <c r="AV477" t="s">
        <v>69</v>
      </c>
      <c r="AW477" s="1">
        <v>26139</v>
      </c>
      <c r="AX477">
        <v>2</v>
      </c>
    </row>
    <row r="478" spans="1:50">
      <c r="A478">
        <v>203938</v>
      </c>
      <c r="B478" t="str">
        <f>"103812834"</f>
        <v>103812834</v>
      </c>
      <c r="C478" t="s">
        <v>50</v>
      </c>
      <c r="D478" t="s">
        <v>1447</v>
      </c>
      <c r="E478" t="s">
        <v>1448</v>
      </c>
      <c r="F478" t="s">
        <v>53</v>
      </c>
      <c r="G478" t="s">
        <v>255</v>
      </c>
      <c r="H478" t="str">
        <f>"ΒΑΡΝΗΣ 12 ΗΡΑΚΛΕΙΟ"</f>
        <v>ΒΑΡΝΗΣ 12 ΗΡΑΚΛΕΙΟ</v>
      </c>
      <c r="I478">
        <v>71409</v>
      </c>
      <c r="J478">
        <v>2810310273</v>
      </c>
      <c r="K478">
        <v>6946964300</v>
      </c>
      <c r="M478" t="s">
        <v>1449</v>
      </c>
      <c r="N478" t="s">
        <v>176</v>
      </c>
      <c r="O478" t="s">
        <v>177</v>
      </c>
      <c r="R478" t="s">
        <v>57</v>
      </c>
      <c r="S478">
        <v>10</v>
      </c>
      <c r="T478">
        <v>231</v>
      </c>
      <c r="U478" s="1">
        <v>38230</v>
      </c>
      <c r="V478" t="s">
        <v>123</v>
      </c>
      <c r="W478" t="s">
        <v>124</v>
      </c>
      <c r="X478" t="s">
        <v>58</v>
      </c>
      <c r="Y478">
        <v>20</v>
      </c>
      <c r="Z478" t="s">
        <v>59</v>
      </c>
      <c r="AA478" t="s">
        <v>59</v>
      </c>
      <c r="AB478" t="s">
        <v>59</v>
      </c>
      <c r="AC478" t="s">
        <v>59</v>
      </c>
      <c r="AD478" t="s">
        <v>452</v>
      </c>
      <c r="AE478" s="1">
        <v>43708</v>
      </c>
      <c r="AF478" s="1">
        <v>38232</v>
      </c>
      <c r="AG478" t="s">
        <v>60</v>
      </c>
      <c r="AH478" t="s">
        <v>453</v>
      </c>
      <c r="AI478" t="str">
        <f>"1700105"</f>
        <v>1700105</v>
      </c>
      <c r="AJ478" t="s">
        <v>124</v>
      </c>
      <c r="AK478">
        <v>2810333720</v>
      </c>
      <c r="AL478" t="s">
        <v>454</v>
      </c>
      <c r="AM478" t="s">
        <v>78</v>
      </c>
      <c r="AN478" t="s">
        <v>78</v>
      </c>
      <c r="AO478" t="s">
        <v>78</v>
      </c>
      <c r="AP478" t="s">
        <v>79</v>
      </c>
      <c r="AS478" t="s">
        <v>124</v>
      </c>
      <c r="AT478" t="s">
        <v>58</v>
      </c>
      <c r="AU478" t="s">
        <v>68</v>
      </c>
      <c r="AV478" t="s">
        <v>455</v>
      </c>
      <c r="AW478" s="1">
        <v>27129</v>
      </c>
      <c r="AX478">
        <v>2</v>
      </c>
    </row>
    <row r="479" spans="1:50">
      <c r="B479" t="str">
        <f>"047793810"</f>
        <v>047793810</v>
      </c>
      <c r="C479" t="s">
        <v>50</v>
      </c>
      <c r="D479" t="s">
        <v>1447</v>
      </c>
      <c r="E479" t="s">
        <v>215</v>
      </c>
      <c r="F479" t="s">
        <v>99</v>
      </c>
      <c r="G479" t="s">
        <v>1450</v>
      </c>
      <c r="H479" t="str">
        <f>"ΜΙΧ ΑΡΧΑΓΓΕΛΟΥ 93 ΗΡΑΚΛΕΙΟ"</f>
        <v>ΜΙΧ ΑΡΧΑΓΓΕΛΟΥ 93 ΗΡΑΚΛΕΙΟ</v>
      </c>
      <c r="I479">
        <v>71304</v>
      </c>
      <c r="J479">
        <v>2810316615</v>
      </c>
      <c r="K479">
        <v>6972831509</v>
      </c>
      <c r="M479" t="s">
        <v>1451</v>
      </c>
      <c r="N479" t="s">
        <v>536</v>
      </c>
      <c r="O479" t="s">
        <v>537</v>
      </c>
      <c r="R479" t="s">
        <v>159</v>
      </c>
      <c r="S479">
        <v>5</v>
      </c>
      <c r="T479" t="s">
        <v>344</v>
      </c>
      <c r="U479" s="1">
        <v>43348</v>
      </c>
      <c r="V479" t="s">
        <v>123</v>
      </c>
      <c r="W479" t="s">
        <v>124</v>
      </c>
      <c r="X479" t="s">
        <v>58</v>
      </c>
      <c r="Y479">
        <v>21</v>
      </c>
      <c r="Z479" t="s">
        <v>59</v>
      </c>
      <c r="AA479" t="s">
        <v>59</v>
      </c>
      <c r="AB479" t="s">
        <v>59</v>
      </c>
      <c r="AC479" t="s">
        <v>59</v>
      </c>
      <c r="AD479" t="s">
        <v>59</v>
      </c>
      <c r="AF479" s="1">
        <v>43348</v>
      </c>
      <c r="AG479" t="s">
        <v>125</v>
      </c>
      <c r="AH479" t="s">
        <v>126</v>
      </c>
      <c r="AI479" t="str">
        <f>"1701053"</f>
        <v>1701053</v>
      </c>
      <c r="AJ479" t="s">
        <v>398</v>
      </c>
      <c r="AK479">
        <v>2810251434</v>
      </c>
      <c r="AL479" t="s">
        <v>399</v>
      </c>
      <c r="AM479" t="s">
        <v>78</v>
      </c>
      <c r="AN479" t="s">
        <v>78</v>
      </c>
      <c r="AO479" t="s">
        <v>78</v>
      </c>
      <c r="AP479" t="s">
        <v>141</v>
      </c>
      <c r="AQ479">
        <v>7</v>
      </c>
      <c r="AR479" t="s">
        <v>123</v>
      </c>
      <c r="AS479" t="s">
        <v>124</v>
      </c>
      <c r="AT479" t="s">
        <v>58</v>
      </c>
      <c r="AU479" t="s">
        <v>350</v>
      </c>
      <c r="AV479" t="s">
        <v>132</v>
      </c>
      <c r="AW479" s="1">
        <v>25806</v>
      </c>
      <c r="AX479">
        <v>2</v>
      </c>
    </row>
    <row r="480" spans="1:50">
      <c r="A480">
        <v>187919</v>
      </c>
      <c r="B480" t="str">
        <f>"079040345"</f>
        <v>079040345</v>
      </c>
      <c r="C480" t="s">
        <v>50</v>
      </c>
      <c r="D480" t="s">
        <v>1447</v>
      </c>
      <c r="E480" t="s">
        <v>809</v>
      </c>
      <c r="F480" t="s">
        <v>72</v>
      </c>
      <c r="G480" t="s">
        <v>1452</v>
      </c>
      <c r="H480" t="str">
        <f>" "</f>
        <v xml:space="preserve"> </v>
      </c>
      <c r="N480" t="s">
        <v>204</v>
      </c>
      <c r="O480" t="s">
        <v>205</v>
      </c>
      <c r="R480" t="s">
        <v>57</v>
      </c>
      <c r="S480">
        <v>11</v>
      </c>
      <c r="T480">
        <v>251</v>
      </c>
      <c r="U480" s="1">
        <v>36769</v>
      </c>
      <c r="V480" t="s">
        <v>123</v>
      </c>
      <c r="W480" t="s">
        <v>124</v>
      </c>
      <c r="X480" t="s">
        <v>58</v>
      </c>
      <c r="Y480">
        <v>20</v>
      </c>
      <c r="Z480" t="s">
        <v>59</v>
      </c>
      <c r="AA480" t="s">
        <v>59</v>
      </c>
      <c r="AB480" t="s">
        <v>59</v>
      </c>
      <c r="AC480" t="s">
        <v>59</v>
      </c>
      <c r="AD480" t="s">
        <v>59</v>
      </c>
      <c r="AF480" s="1">
        <v>36770</v>
      </c>
      <c r="AG480" t="s">
        <v>137</v>
      </c>
      <c r="AH480" t="s">
        <v>138</v>
      </c>
      <c r="AI480" t="str">
        <f>"1740070"</f>
        <v>1740070</v>
      </c>
      <c r="AJ480" t="s">
        <v>206</v>
      </c>
      <c r="AK480">
        <v>2810324880</v>
      </c>
      <c r="AL480" t="s">
        <v>207</v>
      </c>
      <c r="AM480" t="s">
        <v>78</v>
      </c>
      <c r="AN480" t="s">
        <v>78</v>
      </c>
      <c r="AO480" t="s">
        <v>78</v>
      </c>
      <c r="AP480" t="s">
        <v>163</v>
      </c>
      <c r="AQ480">
        <v>9</v>
      </c>
      <c r="AR480" t="s">
        <v>123</v>
      </c>
      <c r="AS480" t="s">
        <v>124</v>
      </c>
      <c r="AT480" t="s">
        <v>58</v>
      </c>
      <c r="AU480" t="s">
        <v>68</v>
      </c>
      <c r="AV480" t="s">
        <v>69</v>
      </c>
      <c r="AW480" s="1">
        <v>27259</v>
      </c>
      <c r="AX480">
        <v>2</v>
      </c>
    </row>
    <row r="481" spans="1:50">
      <c r="A481">
        <v>220920</v>
      </c>
      <c r="B481" t="str">
        <f>"073783768"</f>
        <v>073783768</v>
      </c>
      <c r="C481" t="s">
        <v>50</v>
      </c>
      <c r="D481" t="s">
        <v>1447</v>
      </c>
      <c r="E481" t="s">
        <v>52</v>
      </c>
      <c r="F481" t="s">
        <v>166</v>
      </c>
      <c r="G481" t="s">
        <v>964</v>
      </c>
      <c r="H481" t="str">
        <f>" "</f>
        <v xml:space="preserve"> </v>
      </c>
      <c r="J481">
        <v>2810380558</v>
      </c>
      <c r="K481">
        <v>6973794514</v>
      </c>
      <c r="N481" t="s">
        <v>765</v>
      </c>
      <c r="O481" t="s">
        <v>766</v>
      </c>
      <c r="R481" t="s">
        <v>57</v>
      </c>
      <c r="S481">
        <v>6</v>
      </c>
      <c r="T481">
        <v>687</v>
      </c>
      <c r="U481" s="1">
        <v>39330</v>
      </c>
      <c r="V481" t="s">
        <v>123</v>
      </c>
      <c r="W481" t="s">
        <v>124</v>
      </c>
      <c r="X481" t="s">
        <v>58</v>
      </c>
      <c r="Y481">
        <v>20</v>
      </c>
      <c r="Z481" t="s">
        <v>59</v>
      </c>
      <c r="AA481" t="s">
        <v>59</v>
      </c>
      <c r="AB481" t="s">
        <v>59</v>
      </c>
      <c r="AC481" t="s">
        <v>59</v>
      </c>
      <c r="AD481" t="s">
        <v>59</v>
      </c>
      <c r="AF481" s="1">
        <v>39335</v>
      </c>
      <c r="AG481" t="s">
        <v>60</v>
      </c>
      <c r="AH481" t="s">
        <v>453</v>
      </c>
      <c r="AI481" t="str">
        <f>"1700105"</f>
        <v>1700105</v>
      </c>
      <c r="AJ481" t="s">
        <v>124</v>
      </c>
      <c r="AK481">
        <v>2810333720</v>
      </c>
      <c r="AL481" t="s">
        <v>454</v>
      </c>
      <c r="AM481" t="s">
        <v>78</v>
      </c>
      <c r="AN481" t="s">
        <v>78</v>
      </c>
      <c r="AO481" t="s">
        <v>78</v>
      </c>
      <c r="AP481" t="s">
        <v>79</v>
      </c>
      <c r="AS481" t="s">
        <v>124</v>
      </c>
      <c r="AT481" t="s">
        <v>58</v>
      </c>
      <c r="AU481" t="s">
        <v>68</v>
      </c>
      <c r="AV481" t="s">
        <v>455</v>
      </c>
      <c r="AW481" s="1">
        <v>27030</v>
      </c>
      <c r="AX481">
        <v>2</v>
      </c>
    </row>
    <row r="482" spans="1:50">
      <c r="A482">
        <v>184735</v>
      </c>
      <c r="B482" t="str">
        <f>"033338795"</f>
        <v>033338795</v>
      </c>
      <c r="C482" t="s">
        <v>50</v>
      </c>
      <c r="D482" t="s">
        <v>1447</v>
      </c>
      <c r="E482" t="s">
        <v>52</v>
      </c>
      <c r="F482" t="s">
        <v>72</v>
      </c>
      <c r="G482" t="s">
        <v>237</v>
      </c>
      <c r="H482" t="str">
        <f>" "</f>
        <v xml:space="preserve"> </v>
      </c>
      <c r="N482" t="s">
        <v>257</v>
      </c>
      <c r="O482" t="s">
        <v>258</v>
      </c>
      <c r="R482" t="s">
        <v>57</v>
      </c>
      <c r="S482">
        <v>10</v>
      </c>
      <c r="T482">
        <v>177</v>
      </c>
      <c r="U482" s="1">
        <v>36403</v>
      </c>
      <c r="V482" t="s">
        <v>123</v>
      </c>
      <c r="W482" t="s">
        <v>124</v>
      </c>
      <c r="X482" t="s">
        <v>58</v>
      </c>
      <c r="Y482">
        <v>18</v>
      </c>
      <c r="Z482" t="s">
        <v>59</v>
      </c>
      <c r="AA482" t="s">
        <v>59</v>
      </c>
      <c r="AB482" t="s">
        <v>59</v>
      </c>
      <c r="AC482" t="s">
        <v>59</v>
      </c>
      <c r="AD482" t="s">
        <v>59</v>
      </c>
      <c r="AF482" s="1">
        <v>36404</v>
      </c>
      <c r="AG482" t="s">
        <v>125</v>
      </c>
      <c r="AH482" t="s">
        <v>126</v>
      </c>
      <c r="AI482" t="str">
        <f>"1701051"</f>
        <v>1701051</v>
      </c>
      <c r="AJ482" t="s">
        <v>443</v>
      </c>
      <c r="AK482">
        <v>2810325815</v>
      </c>
      <c r="AL482" t="s">
        <v>444</v>
      </c>
      <c r="AM482" t="s">
        <v>78</v>
      </c>
      <c r="AN482" t="s">
        <v>78</v>
      </c>
      <c r="AO482" t="s">
        <v>78</v>
      </c>
      <c r="AP482" t="s">
        <v>163</v>
      </c>
      <c r="AQ482">
        <v>5</v>
      </c>
      <c r="AR482" t="s">
        <v>123</v>
      </c>
      <c r="AS482" t="s">
        <v>124</v>
      </c>
      <c r="AT482" t="s">
        <v>58</v>
      </c>
      <c r="AU482" t="s">
        <v>68</v>
      </c>
      <c r="AV482" t="s">
        <v>69</v>
      </c>
      <c r="AW482" s="1">
        <v>23468</v>
      </c>
      <c r="AX482">
        <v>2</v>
      </c>
    </row>
    <row r="483" spans="1:50">
      <c r="B483" t="str">
        <f>"046849990"</f>
        <v>046849990</v>
      </c>
      <c r="C483" t="s">
        <v>105</v>
      </c>
      <c r="D483" t="s">
        <v>1453</v>
      </c>
      <c r="E483" t="s">
        <v>108</v>
      </c>
      <c r="F483" t="s">
        <v>99</v>
      </c>
      <c r="G483" t="s">
        <v>1078</v>
      </c>
      <c r="H483" t="str">
        <f>"ΜΙΧΑΗΛ ΑΡΧΑΓΓΕΛΟΥ 93 ΗΡΑΚΛΕΙΟ"</f>
        <v>ΜΙΧΑΗΛ ΑΡΧΑΓΓΕΛΟΥ 93 ΗΡΑΚΛΕΙΟ</v>
      </c>
      <c r="I483">
        <v>71304</v>
      </c>
      <c r="J483">
        <v>2810312421</v>
      </c>
      <c r="K483">
        <v>6993312421</v>
      </c>
      <c r="M483" t="s">
        <v>1454</v>
      </c>
      <c r="N483" t="s">
        <v>119</v>
      </c>
      <c r="O483" t="s">
        <v>120</v>
      </c>
      <c r="R483" t="s">
        <v>159</v>
      </c>
      <c r="S483">
        <v>5</v>
      </c>
      <c r="T483" t="s">
        <v>344</v>
      </c>
      <c r="U483" s="1">
        <v>43348</v>
      </c>
      <c r="V483" t="s">
        <v>123</v>
      </c>
      <c r="W483" t="s">
        <v>124</v>
      </c>
      <c r="X483" t="s">
        <v>58</v>
      </c>
      <c r="Y483">
        <v>21</v>
      </c>
      <c r="Z483" t="s">
        <v>59</v>
      </c>
      <c r="AA483" t="s">
        <v>59</v>
      </c>
      <c r="AB483" t="s">
        <v>59</v>
      </c>
      <c r="AC483" t="s">
        <v>59</v>
      </c>
      <c r="AD483" t="s">
        <v>59</v>
      </c>
      <c r="AF483" s="1">
        <v>43348</v>
      </c>
      <c r="AG483" t="s">
        <v>137</v>
      </c>
      <c r="AH483" t="s">
        <v>138</v>
      </c>
      <c r="AI483" t="str">
        <f>"1750080"</f>
        <v>1750080</v>
      </c>
      <c r="AJ483" t="s">
        <v>170</v>
      </c>
      <c r="AK483">
        <v>2810234444</v>
      </c>
      <c r="AL483" t="s">
        <v>171</v>
      </c>
      <c r="AM483" t="s">
        <v>78</v>
      </c>
      <c r="AN483" t="s">
        <v>78</v>
      </c>
      <c r="AO483" t="s">
        <v>78</v>
      </c>
      <c r="AP483" t="s">
        <v>163</v>
      </c>
      <c r="AQ483">
        <v>9</v>
      </c>
      <c r="AR483" t="s">
        <v>123</v>
      </c>
      <c r="AS483" t="s">
        <v>124</v>
      </c>
      <c r="AT483" t="s">
        <v>58</v>
      </c>
      <c r="AU483" t="s">
        <v>350</v>
      </c>
      <c r="AV483" t="s">
        <v>132</v>
      </c>
      <c r="AW483" s="1">
        <v>25353</v>
      </c>
      <c r="AX483">
        <v>2</v>
      </c>
    </row>
    <row r="484" spans="1:50">
      <c r="A484">
        <v>222058</v>
      </c>
      <c r="B484" t="str">
        <f>"110114630"</f>
        <v>110114630</v>
      </c>
      <c r="C484" t="s">
        <v>50</v>
      </c>
      <c r="D484" t="s">
        <v>1455</v>
      </c>
      <c r="E484" t="s">
        <v>755</v>
      </c>
      <c r="F484" t="s">
        <v>95</v>
      </c>
      <c r="G484" t="s">
        <v>52</v>
      </c>
      <c r="H484" t="str">
        <f>" "</f>
        <v xml:space="preserve"> </v>
      </c>
      <c r="J484">
        <v>2810330223</v>
      </c>
      <c r="K484">
        <v>6947366946</v>
      </c>
      <c r="M484" t="s">
        <v>1456</v>
      </c>
      <c r="N484" t="s">
        <v>146</v>
      </c>
      <c r="O484" t="s">
        <v>147</v>
      </c>
      <c r="R484" t="s">
        <v>57</v>
      </c>
      <c r="S484">
        <v>6</v>
      </c>
      <c r="T484">
        <v>775</v>
      </c>
      <c r="U484" s="1">
        <v>39680</v>
      </c>
      <c r="V484" t="s">
        <v>123</v>
      </c>
      <c r="W484" t="s">
        <v>124</v>
      </c>
      <c r="X484" t="s">
        <v>58</v>
      </c>
      <c r="Y484">
        <v>20</v>
      </c>
      <c r="Z484" t="s">
        <v>59</v>
      </c>
      <c r="AA484" t="s">
        <v>59</v>
      </c>
      <c r="AB484" t="s">
        <v>59</v>
      </c>
      <c r="AC484" t="s">
        <v>59</v>
      </c>
      <c r="AD484" t="s">
        <v>59</v>
      </c>
      <c r="AF484" s="1">
        <v>39681</v>
      </c>
      <c r="AG484" t="s">
        <v>148</v>
      </c>
      <c r="AH484" t="s">
        <v>1053</v>
      </c>
      <c r="AI484" t="str">
        <f>"1790200"</f>
        <v>1790200</v>
      </c>
      <c r="AJ484" t="s">
        <v>1054</v>
      </c>
      <c r="AK484">
        <v>2810360880</v>
      </c>
      <c r="AL484" t="s">
        <v>1055</v>
      </c>
      <c r="AM484" t="s">
        <v>78</v>
      </c>
      <c r="AN484" t="s">
        <v>78</v>
      </c>
      <c r="AO484" t="s">
        <v>78</v>
      </c>
      <c r="AP484" t="s">
        <v>163</v>
      </c>
      <c r="AQ484">
        <v>8</v>
      </c>
      <c r="AR484" t="s">
        <v>123</v>
      </c>
      <c r="AS484" t="s">
        <v>124</v>
      </c>
      <c r="AT484" t="s">
        <v>58</v>
      </c>
      <c r="AU484" t="s">
        <v>68</v>
      </c>
      <c r="AV484" t="s">
        <v>69</v>
      </c>
      <c r="AW484" s="1">
        <v>23981</v>
      </c>
      <c r="AX484">
        <v>2</v>
      </c>
    </row>
    <row r="485" spans="1:50">
      <c r="A485">
        <v>210360</v>
      </c>
      <c r="B485" t="str">
        <f>"066369579"</f>
        <v>066369579</v>
      </c>
      <c r="C485" t="s">
        <v>50</v>
      </c>
      <c r="D485" t="s">
        <v>1455</v>
      </c>
      <c r="E485" t="s">
        <v>221</v>
      </c>
      <c r="F485" t="s">
        <v>72</v>
      </c>
      <c r="G485" t="s">
        <v>83</v>
      </c>
      <c r="H485" t="str">
        <f>"ΑΙΝΕΙΑ 13 ΓΙΟΦΥΡΟ"</f>
        <v>ΑΙΝΕΙΑ 13 ΓΙΟΦΥΡΟ</v>
      </c>
      <c r="I485">
        <v>71304</v>
      </c>
      <c r="J485">
        <v>2810312782</v>
      </c>
      <c r="K485">
        <v>6948462842</v>
      </c>
      <c r="M485" t="s">
        <v>1457</v>
      </c>
      <c r="N485" t="s">
        <v>257</v>
      </c>
      <c r="O485" t="s">
        <v>258</v>
      </c>
      <c r="R485" t="s">
        <v>57</v>
      </c>
      <c r="S485">
        <v>8</v>
      </c>
      <c r="T485">
        <v>235</v>
      </c>
      <c r="U485" s="1">
        <v>38611</v>
      </c>
      <c r="V485" t="s">
        <v>123</v>
      </c>
      <c r="W485" t="s">
        <v>124</v>
      </c>
      <c r="X485" t="s">
        <v>58</v>
      </c>
      <c r="Y485">
        <v>20</v>
      </c>
      <c r="Z485" t="s">
        <v>59</v>
      </c>
      <c r="AA485" t="s">
        <v>59</v>
      </c>
      <c r="AB485" t="s">
        <v>59</v>
      </c>
      <c r="AC485" t="s">
        <v>59</v>
      </c>
      <c r="AD485" t="s">
        <v>59</v>
      </c>
      <c r="AF485" s="1">
        <v>38616</v>
      </c>
      <c r="AG485" t="s">
        <v>125</v>
      </c>
      <c r="AH485" t="s">
        <v>126</v>
      </c>
      <c r="AI485" t="str">
        <f>"1701054"</f>
        <v>1701054</v>
      </c>
      <c r="AJ485" t="s">
        <v>318</v>
      </c>
      <c r="AK485">
        <v>2810252418</v>
      </c>
      <c r="AL485" t="s">
        <v>319</v>
      </c>
      <c r="AM485" t="s">
        <v>78</v>
      </c>
      <c r="AN485" t="s">
        <v>78</v>
      </c>
      <c r="AO485" t="s">
        <v>78</v>
      </c>
      <c r="AP485" t="s">
        <v>141</v>
      </c>
      <c r="AQ485">
        <v>7</v>
      </c>
      <c r="AR485" t="s">
        <v>123</v>
      </c>
      <c r="AS485" t="s">
        <v>124</v>
      </c>
      <c r="AT485" t="s">
        <v>58</v>
      </c>
      <c r="AU485" t="s">
        <v>68</v>
      </c>
      <c r="AV485" t="s">
        <v>69</v>
      </c>
      <c r="AW485" s="1">
        <v>28135</v>
      </c>
      <c r="AX485">
        <v>2</v>
      </c>
    </row>
    <row r="486" spans="1:50">
      <c r="A486">
        <v>197040</v>
      </c>
      <c r="B486" t="str">
        <f>"071801863"</f>
        <v>071801863</v>
      </c>
      <c r="C486" t="s">
        <v>50</v>
      </c>
      <c r="D486" t="s">
        <v>1455</v>
      </c>
      <c r="E486" t="s">
        <v>1458</v>
      </c>
      <c r="F486" t="s">
        <v>309</v>
      </c>
      <c r="G486" t="s">
        <v>610</v>
      </c>
      <c r="H486" t="str">
        <f>"ΠΑΤΡΟΚΛΟΥ 6 ΗΡΑΚΛΕΙΟ"</f>
        <v>ΠΑΤΡΟΚΛΟΥ 6 ΗΡΑΚΛΕΙΟ</v>
      </c>
      <c r="I486">
        <v>71303</v>
      </c>
      <c r="J486">
        <v>2810312444</v>
      </c>
      <c r="K486">
        <v>6980335523</v>
      </c>
      <c r="L486">
        <v>2810316128</v>
      </c>
      <c r="N486" t="s">
        <v>146</v>
      </c>
      <c r="O486" t="s">
        <v>147</v>
      </c>
      <c r="R486" t="s">
        <v>57</v>
      </c>
      <c r="S486">
        <v>10</v>
      </c>
      <c r="T486">
        <v>206</v>
      </c>
      <c r="U486" s="1">
        <v>37866</v>
      </c>
      <c r="V486" t="s">
        <v>123</v>
      </c>
      <c r="W486" t="s">
        <v>124</v>
      </c>
      <c r="X486" t="s">
        <v>58</v>
      </c>
      <c r="Y486">
        <v>18</v>
      </c>
      <c r="Z486" t="s">
        <v>59</v>
      </c>
      <c r="AA486" t="s">
        <v>59</v>
      </c>
      <c r="AB486" t="s">
        <v>59</v>
      </c>
      <c r="AC486" t="s">
        <v>59</v>
      </c>
      <c r="AD486" t="s">
        <v>59</v>
      </c>
      <c r="AF486" s="1">
        <v>37866</v>
      </c>
      <c r="AG486" t="s">
        <v>137</v>
      </c>
      <c r="AH486" t="s">
        <v>138</v>
      </c>
      <c r="AI486" t="str">
        <f>"1740210"</f>
        <v>1740210</v>
      </c>
      <c r="AJ486" t="s">
        <v>139</v>
      </c>
      <c r="AK486">
        <v>2810318130</v>
      </c>
      <c r="AL486" t="s">
        <v>140</v>
      </c>
      <c r="AM486" t="s">
        <v>78</v>
      </c>
      <c r="AN486" t="s">
        <v>78</v>
      </c>
      <c r="AO486" t="s">
        <v>78</v>
      </c>
      <c r="AP486" t="s">
        <v>141</v>
      </c>
      <c r="AQ486">
        <v>7</v>
      </c>
      <c r="AR486" t="s">
        <v>123</v>
      </c>
      <c r="AS486" t="s">
        <v>124</v>
      </c>
      <c r="AT486" t="s">
        <v>58</v>
      </c>
      <c r="AU486" t="s">
        <v>68</v>
      </c>
      <c r="AV486" t="s">
        <v>69</v>
      </c>
      <c r="AW486" s="1">
        <v>24993</v>
      </c>
      <c r="AX486">
        <v>2</v>
      </c>
    </row>
    <row r="487" spans="1:50">
      <c r="B487" t="str">
        <f>"064573859"</f>
        <v>064573859</v>
      </c>
      <c r="C487" t="s">
        <v>50</v>
      </c>
      <c r="D487" t="s">
        <v>1459</v>
      </c>
      <c r="E487" t="s">
        <v>681</v>
      </c>
      <c r="F487" t="s">
        <v>99</v>
      </c>
      <c r="G487" t="s">
        <v>1355</v>
      </c>
      <c r="H487" t="str">
        <f>"ΜΗΝΑ ΔΗΜΑΚΗ 29 ΗΡΑΚΛΕΙΟ"</f>
        <v>ΜΗΝΑ ΔΗΜΑΚΗ 29 ΗΡΑΚΛΕΙΟ</v>
      </c>
      <c r="I487">
        <v>71409</v>
      </c>
      <c r="J487">
        <v>2810238537</v>
      </c>
      <c r="K487">
        <v>6943473599</v>
      </c>
      <c r="N487" t="s">
        <v>536</v>
      </c>
      <c r="O487" t="s">
        <v>537</v>
      </c>
      <c r="R487" t="s">
        <v>121</v>
      </c>
      <c r="S487">
        <v>3</v>
      </c>
      <c r="T487" t="s">
        <v>122</v>
      </c>
      <c r="U487" s="1">
        <v>43348</v>
      </c>
      <c r="V487" t="s">
        <v>123</v>
      </c>
      <c r="W487" t="s">
        <v>124</v>
      </c>
      <c r="X487" t="s">
        <v>58</v>
      </c>
      <c r="Y487">
        <v>23</v>
      </c>
      <c r="Z487" t="s">
        <v>59</v>
      </c>
      <c r="AA487" t="s">
        <v>59</v>
      </c>
      <c r="AB487" t="s">
        <v>59</v>
      </c>
      <c r="AC487" t="s">
        <v>59</v>
      </c>
      <c r="AD487" t="s">
        <v>59</v>
      </c>
      <c r="AF487" s="1">
        <v>43348</v>
      </c>
      <c r="AG487" t="s">
        <v>125</v>
      </c>
      <c r="AH487" t="s">
        <v>126</v>
      </c>
      <c r="AI487" t="str">
        <f>"1711010"</f>
        <v>1711010</v>
      </c>
      <c r="AJ487" t="s">
        <v>695</v>
      </c>
      <c r="AK487">
        <v>2810741301</v>
      </c>
      <c r="AL487" t="s">
        <v>696</v>
      </c>
      <c r="AM487" t="s">
        <v>78</v>
      </c>
      <c r="AN487" t="s">
        <v>424</v>
      </c>
      <c r="AO487" t="s">
        <v>428</v>
      </c>
      <c r="AP487" t="s">
        <v>429</v>
      </c>
      <c r="AQ487">
        <v>14</v>
      </c>
      <c r="AR487" t="s">
        <v>123</v>
      </c>
      <c r="AS487" t="s">
        <v>124</v>
      </c>
      <c r="AT487" t="s">
        <v>58</v>
      </c>
      <c r="AU487" t="s">
        <v>131</v>
      </c>
      <c r="AV487" t="s">
        <v>132</v>
      </c>
      <c r="AW487" s="1">
        <v>26782</v>
      </c>
      <c r="AX487">
        <v>2</v>
      </c>
    </row>
    <row r="488" spans="1:50">
      <c r="A488">
        <v>197691</v>
      </c>
      <c r="B488" t="str">
        <f>"037126300"</f>
        <v>037126300</v>
      </c>
      <c r="C488" t="s">
        <v>105</v>
      </c>
      <c r="D488" t="s">
        <v>1460</v>
      </c>
      <c r="E488" t="s">
        <v>95</v>
      </c>
      <c r="F488" t="s">
        <v>53</v>
      </c>
      <c r="G488" t="s">
        <v>52</v>
      </c>
      <c r="H488" t="str">
        <f>"ΡΑΥΤΟΠΟΥΛΟΥ 81 ΗΡΑΚΛΕΙΟ"</f>
        <v>ΡΑΥΤΟΠΟΥΛΟΥ 81 ΗΡΑΚΛΕΙΟ</v>
      </c>
      <c r="I488">
        <v>71305</v>
      </c>
      <c r="J488">
        <v>2810230455</v>
      </c>
      <c r="K488">
        <v>6937305744</v>
      </c>
      <c r="M488" t="s">
        <v>1461</v>
      </c>
      <c r="N488" t="s">
        <v>292</v>
      </c>
      <c r="O488" t="s">
        <v>293</v>
      </c>
      <c r="R488" t="s">
        <v>57</v>
      </c>
      <c r="S488">
        <v>7</v>
      </c>
      <c r="T488">
        <v>206</v>
      </c>
      <c r="U488" s="1">
        <v>37866</v>
      </c>
      <c r="V488" t="s">
        <v>123</v>
      </c>
      <c r="W488" t="s">
        <v>124</v>
      </c>
      <c r="X488" t="s">
        <v>58</v>
      </c>
      <c r="Y488">
        <v>20</v>
      </c>
      <c r="Z488" t="s">
        <v>59</v>
      </c>
      <c r="AA488" t="s">
        <v>59</v>
      </c>
      <c r="AB488" t="s">
        <v>59</v>
      </c>
      <c r="AC488" t="s">
        <v>59</v>
      </c>
      <c r="AD488" t="s">
        <v>59</v>
      </c>
      <c r="AF488" s="1">
        <v>37869</v>
      </c>
      <c r="AG488" t="s">
        <v>125</v>
      </c>
      <c r="AH488" t="s">
        <v>126</v>
      </c>
      <c r="AI488" t="str">
        <f>"1701041"</f>
        <v>1701041</v>
      </c>
      <c r="AJ488" t="s">
        <v>161</v>
      </c>
      <c r="AK488">
        <v>2810327052</v>
      </c>
      <c r="AL488" t="s">
        <v>162</v>
      </c>
      <c r="AM488" t="s">
        <v>78</v>
      </c>
      <c r="AN488" t="s">
        <v>78</v>
      </c>
      <c r="AO488" t="s">
        <v>78</v>
      </c>
      <c r="AP488" t="s">
        <v>163</v>
      </c>
      <c r="AQ488">
        <v>5</v>
      </c>
      <c r="AR488" t="s">
        <v>123</v>
      </c>
      <c r="AS488" t="s">
        <v>124</v>
      </c>
      <c r="AT488" t="s">
        <v>58</v>
      </c>
      <c r="AU488" t="s">
        <v>68</v>
      </c>
      <c r="AV488" t="s">
        <v>69</v>
      </c>
      <c r="AW488" s="1">
        <v>25156</v>
      </c>
      <c r="AX488">
        <v>2</v>
      </c>
    </row>
    <row r="489" spans="1:50">
      <c r="B489" t="str">
        <f>"075466992"</f>
        <v>075466992</v>
      </c>
      <c r="C489" t="s">
        <v>50</v>
      </c>
      <c r="D489" t="s">
        <v>1462</v>
      </c>
      <c r="E489" t="s">
        <v>52</v>
      </c>
      <c r="F489" t="s">
        <v>1041</v>
      </c>
      <c r="G489" t="s">
        <v>237</v>
      </c>
      <c r="H489" t="str">
        <f>"ΔΡΑΓΩΝΑΔΑΣ 6 ΗΡΑΚΛΕΙΟ"</f>
        <v>ΔΡΑΓΩΝΑΔΑΣ 6 ΗΡΑΚΛΕΙΟ</v>
      </c>
      <c r="I489">
        <v>71410</v>
      </c>
      <c r="J489">
        <v>2810250721</v>
      </c>
      <c r="K489">
        <v>6974807067</v>
      </c>
      <c r="N489" t="s">
        <v>1463</v>
      </c>
      <c r="O489" t="s">
        <v>1464</v>
      </c>
      <c r="R489" t="s">
        <v>159</v>
      </c>
      <c r="S489">
        <v>4</v>
      </c>
      <c r="T489" t="s">
        <v>344</v>
      </c>
      <c r="U489" s="1">
        <v>43348</v>
      </c>
      <c r="V489" t="s">
        <v>123</v>
      </c>
      <c r="W489" t="s">
        <v>124</v>
      </c>
      <c r="X489" t="s">
        <v>58</v>
      </c>
      <c r="Y489">
        <v>23</v>
      </c>
      <c r="Z489" t="s">
        <v>59</v>
      </c>
      <c r="AA489" t="s">
        <v>59</v>
      </c>
      <c r="AB489" t="s">
        <v>59</v>
      </c>
      <c r="AC489" t="s">
        <v>59</v>
      </c>
      <c r="AD489" t="s">
        <v>59</v>
      </c>
      <c r="AF489" s="1">
        <v>43348</v>
      </c>
      <c r="AG489" t="s">
        <v>345</v>
      </c>
      <c r="AH489" t="s">
        <v>346</v>
      </c>
      <c r="AI489" t="str">
        <f>"1759011"</f>
        <v>1759011</v>
      </c>
      <c r="AJ489" t="s">
        <v>347</v>
      </c>
      <c r="AK489">
        <v>2892051103</v>
      </c>
      <c r="AL489" t="s">
        <v>348</v>
      </c>
      <c r="AM489" t="s">
        <v>78</v>
      </c>
      <c r="AN489" t="s">
        <v>242</v>
      </c>
      <c r="AO489" t="s">
        <v>349</v>
      </c>
      <c r="AP489" t="s">
        <v>349</v>
      </c>
      <c r="AQ489">
        <v>38</v>
      </c>
      <c r="AR489" t="s">
        <v>123</v>
      </c>
      <c r="AS489" t="s">
        <v>124</v>
      </c>
      <c r="AT489" t="s">
        <v>58</v>
      </c>
      <c r="AU489" t="s">
        <v>350</v>
      </c>
      <c r="AV489" t="s">
        <v>132</v>
      </c>
      <c r="AW489" s="1">
        <v>28679</v>
      </c>
      <c r="AX489">
        <v>2</v>
      </c>
    </row>
    <row r="490" spans="1:50">
      <c r="A490">
        <v>174483</v>
      </c>
      <c r="B490" t="str">
        <f>"064554396"</f>
        <v>064554396</v>
      </c>
      <c r="C490" t="s">
        <v>50</v>
      </c>
      <c r="D490" t="s">
        <v>1465</v>
      </c>
      <c r="E490" t="s">
        <v>52</v>
      </c>
      <c r="F490" t="s">
        <v>383</v>
      </c>
      <c r="G490" t="s">
        <v>476</v>
      </c>
      <c r="H490" t="str">
        <f>"ΜΠΑΚΟΓΙΑΝΝΗ 70 ΑΜΦΙΘΕΑ"</f>
        <v>ΜΠΑΚΟΓΙΑΝΝΗ 70 ΑΜΦΙΘΕΑ</v>
      </c>
      <c r="I490">
        <v>71410</v>
      </c>
      <c r="J490">
        <v>2810260859</v>
      </c>
      <c r="K490">
        <v>6937036158</v>
      </c>
      <c r="M490" t="s">
        <v>1466</v>
      </c>
      <c r="N490" t="s">
        <v>135</v>
      </c>
      <c r="O490" t="s">
        <v>136</v>
      </c>
      <c r="R490" t="s">
        <v>57</v>
      </c>
      <c r="S490">
        <v>11</v>
      </c>
      <c r="T490">
        <v>166</v>
      </c>
      <c r="U490" s="1">
        <v>35300</v>
      </c>
      <c r="V490" t="s">
        <v>123</v>
      </c>
      <c r="W490" t="s">
        <v>124</v>
      </c>
      <c r="X490" t="s">
        <v>58</v>
      </c>
      <c r="Y490">
        <v>18</v>
      </c>
      <c r="Z490" t="s">
        <v>59</v>
      </c>
      <c r="AA490" t="s">
        <v>59</v>
      </c>
      <c r="AB490" t="s">
        <v>59</v>
      </c>
      <c r="AC490" t="s">
        <v>59</v>
      </c>
      <c r="AD490" t="s">
        <v>59</v>
      </c>
      <c r="AF490" s="1">
        <v>35311</v>
      </c>
      <c r="AG490" t="s">
        <v>125</v>
      </c>
      <c r="AH490" t="s">
        <v>126</v>
      </c>
      <c r="AI490" t="str">
        <f>"1728010"</f>
        <v>1728010</v>
      </c>
      <c r="AJ490" t="s">
        <v>127</v>
      </c>
      <c r="AK490">
        <v>2810824651</v>
      </c>
      <c r="AL490" t="s">
        <v>128</v>
      </c>
      <c r="AM490" t="s">
        <v>78</v>
      </c>
      <c r="AN490" t="s">
        <v>129</v>
      </c>
      <c r="AO490" t="s">
        <v>130</v>
      </c>
      <c r="AP490" t="s">
        <v>130</v>
      </c>
      <c r="AQ490">
        <v>36</v>
      </c>
      <c r="AR490" t="s">
        <v>123</v>
      </c>
      <c r="AS490" t="s">
        <v>124</v>
      </c>
      <c r="AT490" t="s">
        <v>58</v>
      </c>
      <c r="AU490" t="s">
        <v>68</v>
      </c>
      <c r="AV490" t="s">
        <v>357</v>
      </c>
      <c r="AW490" s="1">
        <v>23400</v>
      </c>
      <c r="AX490">
        <v>2</v>
      </c>
    </row>
    <row r="491" spans="1:50">
      <c r="A491">
        <v>199062</v>
      </c>
      <c r="B491" t="str">
        <f>"064564710"</f>
        <v>064564710</v>
      </c>
      <c r="C491" t="s">
        <v>105</v>
      </c>
      <c r="D491" t="s">
        <v>1467</v>
      </c>
      <c r="E491" t="s">
        <v>311</v>
      </c>
      <c r="F491" t="s">
        <v>99</v>
      </c>
      <c r="G491" t="s">
        <v>181</v>
      </c>
      <c r="H491" t="str">
        <f>"ΑΛ. ΠΑΠΑΝΑΣΤΑΣΙΟΥ 3 ΗΡΑΚΛΕΙΟΥ"</f>
        <v>ΑΛ. ΠΑΠΑΝΑΣΤΑΣΙΟΥ 3 ΗΡΑΚΛΕΙΟΥ</v>
      </c>
      <c r="I491">
        <v>71306</v>
      </c>
      <c r="J491">
        <v>2810360797</v>
      </c>
      <c r="K491">
        <v>6945991106</v>
      </c>
      <c r="N491" t="s">
        <v>176</v>
      </c>
      <c r="O491" t="s">
        <v>177</v>
      </c>
      <c r="R491" t="s">
        <v>57</v>
      </c>
      <c r="S491">
        <v>8</v>
      </c>
      <c r="T491">
        <v>206</v>
      </c>
      <c r="U491" s="1">
        <v>37866</v>
      </c>
      <c r="V491" t="s">
        <v>123</v>
      </c>
      <c r="W491" t="s">
        <v>124</v>
      </c>
      <c r="X491" t="s">
        <v>58</v>
      </c>
      <c r="Y491">
        <v>20</v>
      </c>
      <c r="Z491" t="s">
        <v>59</v>
      </c>
      <c r="AA491" t="s">
        <v>59</v>
      </c>
      <c r="AB491" t="s">
        <v>59</v>
      </c>
      <c r="AC491" t="s">
        <v>59</v>
      </c>
      <c r="AD491" t="s">
        <v>59</v>
      </c>
      <c r="AF491" s="1">
        <v>37866</v>
      </c>
      <c r="AG491" t="s">
        <v>125</v>
      </c>
      <c r="AH491" t="s">
        <v>126</v>
      </c>
      <c r="AI491" t="str">
        <f>"1701041"</f>
        <v>1701041</v>
      </c>
      <c r="AJ491" t="s">
        <v>161</v>
      </c>
      <c r="AK491">
        <v>2810327052</v>
      </c>
      <c r="AL491" t="s">
        <v>162</v>
      </c>
      <c r="AM491" t="s">
        <v>78</v>
      </c>
      <c r="AN491" t="s">
        <v>78</v>
      </c>
      <c r="AO491" t="s">
        <v>78</v>
      </c>
      <c r="AP491" t="s">
        <v>163</v>
      </c>
      <c r="AQ491">
        <v>5</v>
      </c>
      <c r="AR491" t="s">
        <v>123</v>
      </c>
      <c r="AS491" t="s">
        <v>124</v>
      </c>
      <c r="AT491" t="s">
        <v>58</v>
      </c>
      <c r="AU491" t="s">
        <v>68</v>
      </c>
      <c r="AV491" t="s">
        <v>69</v>
      </c>
      <c r="AW491" s="1">
        <v>26747</v>
      </c>
      <c r="AX491">
        <v>2</v>
      </c>
    </row>
    <row r="492" spans="1:50">
      <c r="A492">
        <v>222065</v>
      </c>
      <c r="B492" t="str">
        <f>"110728097"</f>
        <v>110728097</v>
      </c>
      <c r="C492" t="s">
        <v>50</v>
      </c>
      <c r="D492" t="s">
        <v>1468</v>
      </c>
      <c r="E492" t="s">
        <v>52</v>
      </c>
      <c r="F492" t="s">
        <v>154</v>
      </c>
      <c r="G492" t="s">
        <v>83</v>
      </c>
      <c r="H492" t="str">
        <f>"ΤΥΜΠΑΚΙΟΥ 16 ΗΡΑΚΛΕΙΟΥ"</f>
        <v>ΤΥΜΠΑΚΙΟΥ 16 ΗΡΑΚΛΕΙΟΥ</v>
      </c>
      <c r="I492">
        <v>71409</v>
      </c>
      <c r="J492">
        <v>2810233232</v>
      </c>
      <c r="K492">
        <v>6974839584</v>
      </c>
      <c r="M492" t="s">
        <v>1469</v>
      </c>
      <c r="N492" t="s">
        <v>146</v>
      </c>
      <c r="O492" t="s">
        <v>147</v>
      </c>
      <c r="R492" t="s">
        <v>57</v>
      </c>
      <c r="S492">
        <v>6</v>
      </c>
      <c r="T492">
        <v>775</v>
      </c>
      <c r="U492" s="1">
        <v>39680</v>
      </c>
      <c r="V492" t="s">
        <v>123</v>
      </c>
      <c r="W492" t="s">
        <v>124</v>
      </c>
      <c r="X492" t="s">
        <v>58</v>
      </c>
      <c r="Y492">
        <v>20</v>
      </c>
      <c r="Z492" t="s">
        <v>59</v>
      </c>
      <c r="AA492" t="s">
        <v>59</v>
      </c>
      <c r="AB492" t="s">
        <v>59</v>
      </c>
      <c r="AC492" t="s">
        <v>59</v>
      </c>
      <c r="AD492" t="s">
        <v>59</v>
      </c>
      <c r="AF492" s="1">
        <v>39681</v>
      </c>
      <c r="AG492" t="s">
        <v>125</v>
      </c>
      <c r="AH492" t="s">
        <v>126</v>
      </c>
      <c r="AI492" t="str">
        <f>"1701090"</f>
        <v>1701090</v>
      </c>
      <c r="AJ492" t="s">
        <v>435</v>
      </c>
      <c r="AK492">
        <v>2810871288</v>
      </c>
      <c r="AL492" t="s">
        <v>436</v>
      </c>
      <c r="AM492" t="s">
        <v>78</v>
      </c>
      <c r="AN492" t="s">
        <v>78</v>
      </c>
      <c r="AO492" t="s">
        <v>437</v>
      </c>
      <c r="AP492" t="s">
        <v>438</v>
      </c>
      <c r="AQ492">
        <v>26</v>
      </c>
      <c r="AR492" t="s">
        <v>123</v>
      </c>
      <c r="AS492" t="s">
        <v>124</v>
      </c>
      <c r="AT492" t="s">
        <v>58</v>
      </c>
      <c r="AU492" t="s">
        <v>68</v>
      </c>
      <c r="AV492" t="s">
        <v>69</v>
      </c>
      <c r="AW492" s="1">
        <v>25788</v>
      </c>
      <c r="AX492">
        <v>2</v>
      </c>
    </row>
    <row r="493" spans="1:50">
      <c r="A493">
        <v>187641</v>
      </c>
      <c r="B493" t="str">
        <f>"078480992"</f>
        <v>078480992</v>
      </c>
      <c r="C493" t="s">
        <v>105</v>
      </c>
      <c r="D493" t="s">
        <v>1470</v>
      </c>
      <c r="E493" t="s">
        <v>496</v>
      </c>
      <c r="F493" t="s">
        <v>99</v>
      </c>
      <c r="G493" t="s">
        <v>238</v>
      </c>
      <c r="H493" t="str">
        <f>"ΑΝΘΕΣΤΗΡΙΩΝ 5  ΚΟΥΝΑΒΟΙ"</f>
        <v>ΑΝΘΕΣΤΗΡΙΩΝ 5  ΚΟΥΝΑΒΟΙ</v>
      </c>
      <c r="I493">
        <v>70100</v>
      </c>
      <c r="J493">
        <v>2810741786</v>
      </c>
      <c r="K493">
        <v>6945643889</v>
      </c>
      <c r="M493" t="s">
        <v>1471</v>
      </c>
      <c r="N493" t="s">
        <v>204</v>
      </c>
      <c r="O493" t="s">
        <v>205</v>
      </c>
      <c r="R493" t="s">
        <v>57</v>
      </c>
      <c r="S493">
        <v>10</v>
      </c>
      <c r="T493" t="s">
        <v>228</v>
      </c>
      <c r="U493" s="1">
        <v>36404</v>
      </c>
      <c r="V493" t="s">
        <v>123</v>
      </c>
      <c r="W493" t="s">
        <v>124</v>
      </c>
      <c r="X493" t="s">
        <v>58</v>
      </c>
      <c r="Y493">
        <v>18</v>
      </c>
      <c r="Z493" t="s">
        <v>59</v>
      </c>
      <c r="AA493" t="s">
        <v>59</v>
      </c>
      <c r="AB493" t="s">
        <v>59</v>
      </c>
      <c r="AC493" t="s">
        <v>59</v>
      </c>
      <c r="AD493" t="s">
        <v>59</v>
      </c>
      <c r="AF493" s="1">
        <v>36404</v>
      </c>
      <c r="AG493" t="s">
        <v>137</v>
      </c>
      <c r="AH493" t="s">
        <v>138</v>
      </c>
      <c r="AI493" t="str">
        <f>"1740070"</f>
        <v>1740070</v>
      </c>
      <c r="AJ493" t="s">
        <v>206</v>
      </c>
      <c r="AK493">
        <v>2810324880</v>
      </c>
      <c r="AL493" t="s">
        <v>207</v>
      </c>
      <c r="AM493" t="s">
        <v>78</v>
      </c>
      <c r="AN493" t="s">
        <v>78</v>
      </c>
      <c r="AO493" t="s">
        <v>78</v>
      </c>
      <c r="AP493" t="s">
        <v>163</v>
      </c>
      <c r="AQ493">
        <v>9</v>
      </c>
      <c r="AR493" t="s">
        <v>123</v>
      </c>
      <c r="AS493" t="s">
        <v>124</v>
      </c>
      <c r="AT493" t="s">
        <v>58</v>
      </c>
      <c r="AU493" t="s">
        <v>68</v>
      </c>
      <c r="AV493" t="s">
        <v>69</v>
      </c>
      <c r="AW493" s="1">
        <v>26644</v>
      </c>
      <c r="AX493">
        <v>2</v>
      </c>
    </row>
    <row r="494" spans="1:50">
      <c r="A494">
        <v>183336</v>
      </c>
      <c r="B494" t="str">
        <f>"044707851"</f>
        <v>044707851</v>
      </c>
      <c r="C494" t="s">
        <v>50</v>
      </c>
      <c r="D494" t="s">
        <v>1472</v>
      </c>
      <c r="E494" t="s">
        <v>71</v>
      </c>
      <c r="F494" t="s">
        <v>1473</v>
      </c>
      <c r="G494" t="s">
        <v>484</v>
      </c>
      <c r="H494" t="str">
        <f>"ΕΤΕΟΚΡΗΤΩΝ 9 "</f>
        <v xml:space="preserve">ΕΤΕΟΚΡΗΤΩΝ 9 </v>
      </c>
      <c r="J494">
        <v>2810260220</v>
      </c>
      <c r="K494">
        <v>6949207139</v>
      </c>
      <c r="M494" t="s">
        <v>1474</v>
      </c>
      <c r="N494" t="s">
        <v>146</v>
      </c>
      <c r="O494" t="s">
        <v>147</v>
      </c>
      <c r="R494" t="s">
        <v>57</v>
      </c>
      <c r="S494">
        <v>11</v>
      </c>
      <c r="T494">
        <v>177</v>
      </c>
      <c r="U494" s="1">
        <v>36403</v>
      </c>
      <c r="V494" t="s">
        <v>123</v>
      </c>
      <c r="W494" t="s">
        <v>124</v>
      </c>
      <c r="X494" t="s">
        <v>58</v>
      </c>
      <c r="Y494">
        <v>18</v>
      </c>
      <c r="Z494" t="s">
        <v>59</v>
      </c>
      <c r="AA494" t="s">
        <v>59</v>
      </c>
      <c r="AB494" t="s">
        <v>59</v>
      </c>
      <c r="AC494" t="s">
        <v>59</v>
      </c>
      <c r="AD494" t="s">
        <v>59</v>
      </c>
      <c r="AF494" s="1">
        <v>36405</v>
      </c>
      <c r="AG494" t="s">
        <v>125</v>
      </c>
      <c r="AH494" t="s">
        <v>126</v>
      </c>
      <c r="AI494" t="str">
        <f>"1701040"</f>
        <v>1701040</v>
      </c>
      <c r="AJ494" t="s">
        <v>748</v>
      </c>
      <c r="AK494">
        <v>2810252459</v>
      </c>
      <c r="AL494" t="s">
        <v>749</v>
      </c>
      <c r="AM494" t="s">
        <v>78</v>
      </c>
      <c r="AN494" t="s">
        <v>78</v>
      </c>
      <c r="AO494" t="s">
        <v>78</v>
      </c>
      <c r="AP494" t="s">
        <v>141</v>
      </c>
      <c r="AQ494">
        <v>3</v>
      </c>
      <c r="AR494" t="s">
        <v>123</v>
      </c>
      <c r="AS494" t="s">
        <v>124</v>
      </c>
      <c r="AT494" t="s">
        <v>58</v>
      </c>
      <c r="AU494" t="s">
        <v>68</v>
      </c>
      <c r="AV494" t="s">
        <v>69</v>
      </c>
      <c r="AW494" s="1">
        <v>24852</v>
      </c>
      <c r="AX494">
        <v>2</v>
      </c>
    </row>
    <row r="495" spans="1:50">
      <c r="A495">
        <v>156817</v>
      </c>
      <c r="B495" t="str">
        <f>"024874545"</f>
        <v>024874545</v>
      </c>
      <c r="C495" t="s">
        <v>105</v>
      </c>
      <c r="D495" t="s">
        <v>1475</v>
      </c>
      <c r="E495" t="s">
        <v>95</v>
      </c>
      <c r="F495" t="s">
        <v>581</v>
      </c>
      <c r="G495" t="s">
        <v>52</v>
      </c>
      <c r="H495" t="str">
        <f>"Ναπ. Σουκατζίδη 21 ΗΡΑΚΛΕΙΟΥ"</f>
        <v>Ναπ. Σουκατζίδη 21 ΗΡΑΚΛΕΙΟΥ</v>
      </c>
      <c r="I495">
        <v>71305</v>
      </c>
      <c r="J495">
        <v>2810258768</v>
      </c>
      <c r="K495">
        <v>6947427704</v>
      </c>
      <c r="M495" t="s">
        <v>1476</v>
      </c>
      <c r="N495" t="s">
        <v>232</v>
      </c>
      <c r="O495" t="s">
        <v>233</v>
      </c>
      <c r="R495" t="s">
        <v>57</v>
      </c>
      <c r="S495">
        <v>15</v>
      </c>
      <c r="T495">
        <v>188</v>
      </c>
      <c r="U495" s="1">
        <v>32752</v>
      </c>
      <c r="V495" t="s">
        <v>123</v>
      </c>
      <c r="W495" t="s">
        <v>124</v>
      </c>
      <c r="X495" t="s">
        <v>58</v>
      </c>
      <c r="Y495">
        <v>18</v>
      </c>
      <c r="Z495" t="s">
        <v>59</v>
      </c>
      <c r="AA495" t="s">
        <v>59</v>
      </c>
      <c r="AB495" t="s">
        <v>59</v>
      </c>
      <c r="AC495" t="s">
        <v>59</v>
      </c>
      <c r="AD495" t="s">
        <v>59</v>
      </c>
      <c r="AF495" s="1">
        <v>32756</v>
      </c>
      <c r="AG495" t="s">
        <v>148</v>
      </c>
      <c r="AH495" t="s">
        <v>149</v>
      </c>
      <c r="AI495" t="str">
        <f>"1753010"</f>
        <v>1753010</v>
      </c>
      <c r="AJ495" t="s">
        <v>571</v>
      </c>
      <c r="AK495">
        <v>2810751528</v>
      </c>
      <c r="AL495" t="s">
        <v>572</v>
      </c>
      <c r="AM495" t="s">
        <v>78</v>
      </c>
      <c r="AN495" t="s">
        <v>424</v>
      </c>
      <c r="AO495" t="s">
        <v>425</v>
      </c>
      <c r="AP495" t="s">
        <v>425</v>
      </c>
      <c r="AQ495">
        <v>13</v>
      </c>
      <c r="AR495" t="s">
        <v>123</v>
      </c>
      <c r="AS495" t="s">
        <v>124</v>
      </c>
      <c r="AT495" t="s">
        <v>58</v>
      </c>
      <c r="AU495" t="s">
        <v>68</v>
      </c>
      <c r="AV495" t="s">
        <v>69</v>
      </c>
      <c r="AW495" s="1">
        <v>20651</v>
      </c>
      <c r="AX495">
        <v>2</v>
      </c>
    </row>
    <row r="496" spans="1:50">
      <c r="A496">
        <v>189726</v>
      </c>
      <c r="B496" t="str">
        <f>"055328856"</f>
        <v>055328856</v>
      </c>
      <c r="C496" t="s">
        <v>105</v>
      </c>
      <c r="D496" t="s">
        <v>1477</v>
      </c>
      <c r="E496" t="s">
        <v>72</v>
      </c>
      <c r="F496" t="s">
        <v>95</v>
      </c>
      <c r="G496" t="s">
        <v>1001</v>
      </c>
      <c r="H496" t="str">
        <f>"ΛΥΣΙΣΤΡΑΤΗΣ 25 ΗΡΑΚΛΕΙΟ"</f>
        <v>ΛΥΣΙΣΤΡΑΤΗΣ 25 ΗΡΑΚΛΕΙΟ</v>
      </c>
      <c r="I496">
        <v>71304</v>
      </c>
      <c r="J496">
        <v>2810260357</v>
      </c>
      <c r="L496">
        <v>6978692747</v>
      </c>
      <c r="M496" t="s">
        <v>1478</v>
      </c>
      <c r="N496" t="s">
        <v>292</v>
      </c>
      <c r="O496" t="s">
        <v>293</v>
      </c>
      <c r="R496" t="s">
        <v>57</v>
      </c>
      <c r="S496">
        <v>10</v>
      </c>
      <c r="T496">
        <v>219</v>
      </c>
      <c r="U496" s="1">
        <v>37134</v>
      </c>
      <c r="V496" t="s">
        <v>123</v>
      </c>
      <c r="W496" t="s">
        <v>124</v>
      </c>
      <c r="X496" t="s">
        <v>58</v>
      </c>
      <c r="Y496">
        <v>20</v>
      </c>
      <c r="Z496" t="s">
        <v>59</v>
      </c>
      <c r="AA496" t="s">
        <v>59</v>
      </c>
      <c r="AB496" t="s">
        <v>59</v>
      </c>
      <c r="AC496" t="s">
        <v>59</v>
      </c>
      <c r="AD496" t="s">
        <v>59</v>
      </c>
      <c r="AF496" s="1">
        <v>37140</v>
      </c>
      <c r="AG496" t="s">
        <v>148</v>
      </c>
      <c r="AH496" t="s">
        <v>149</v>
      </c>
      <c r="AI496" t="str">
        <f>"1790070"</f>
        <v>1790070</v>
      </c>
      <c r="AJ496" t="s">
        <v>1283</v>
      </c>
      <c r="AK496">
        <v>2810252154</v>
      </c>
      <c r="AL496" t="s">
        <v>1284</v>
      </c>
      <c r="AM496" t="s">
        <v>78</v>
      </c>
      <c r="AN496" t="s">
        <v>78</v>
      </c>
      <c r="AO496" t="s">
        <v>78</v>
      </c>
      <c r="AP496" t="s">
        <v>141</v>
      </c>
      <c r="AQ496">
        <v>7</v>
      </c>
      <c r="AR496" t="s">
        <v>123</v>
      </c>
      <c r="AS496" t="s">
        <v>124</v>
      </c>
      <c r="AT496" t="s">
        <v>58</v>
      </c>
      <c r="AU496" t="s">
        <v>68</v>
      </c>
      <c r="AV496" t="s">
        <v>69</v>
      </c>
      <c r="AW496" s="1">
        <v>24359</v>
      </c>
      <c r="AX496">
        <v>2</v>
      </c>
    </row>
    <row r="497" spans="1:50">
      <c r="A497">
        <v>189246</v>
      </c>
      <c r="B497" t="str">
        <f>"064740297"</f>
        <v>064740297</v>
      </c>
      <c r="C497" t="s">
        <v>50</v>
      </c>
      <c r="D497" t="s">
        <v>1479</v>
      </c>
      <c r="E497" t="s">
        <v>73</v>
      </c>
      <c r="F497" t="s">
        <v>95</v>
      </c>
      <c r="G497" t="s">
        <v>181</v>
      </c>
      <c r="H497" t="str">
        <f>"ΓΙΑΝΝΟΥΛΗ ΧΑΛΕΠΑ 17 ΑΤΣΑΛΕΝΙΟ ΗΡΑΚΛΕΙΟΥ"</f>
        <v>ΓΙΑΝΝΟΥΛΗ ΧΑΛΕΠΑ 17 ΑΤΣΑΛΕΝΙΟ ΗΡΑΚΛΕΙΟΥ</v>
      </c>
      <c r="I497">
        <v>71306</v>
      </c>
      <c r="M497" t="s">
        <v>1480</v>
      </c>
      <c r="N497" t="s">
        <v>146</v>
      </c>
      <c r="O497" t="s">
        <v>147</v>
      </c>
      <c r="R497" t="s">
        <v>57</v>
      </c>
      <c r="S497">
        <v>8</v>
      </c>
      <c r="T497">
        <v>219</v>
      </c>
      <c r="U497" s="1">
        <v>37134</v>
      </c>
      <c r="V497" t="s">
        <v>123</v>
      </c>
      <c r="W497" t="s">
        <v>124</v>
      </c>
      <c r="X497" t="s">
        <v>58</v>
      </c>
      <c r="Y497">
        <v>20</v>
      </c>
      <c r="Z497" t="s">
        <v>59</v>
      </c>
      <c r="AA497" t="s">
        <v>59</v>
      </c>
      <c r="AB497" t="s">
        <v>59</v>
      </c>
      <c r="AC497" t="s">
        <v>59</v>
      </c>
      <c r="AD497" t="s">
        <v>59</v>
      </c>
      <c r="AF497" s="1">
        <v>37138</v>
      </c>
      <c r="AG497" t="s">
        <v>148</v>
      </c>
      <c r="AH497" t="s">
        <v>149</v>
      </c>
      <c r="AI497" t="str">
        <f>"1790100"</f>
        <v>1790100</v>
      </c>
      <c r="AJ497" t="s">
        <v>252</v>
      </c>
      <c r="AK497">
        <v>2810234876</v>
      </c>
      <c r="AL497" t="s">
        <v>253</v>
      </c>
      <c r="AM497" t="s">
        <v>78</v>
      </c>
      <c r="AN497" t="s">
        <v>78</v>
      </c>
      <c r="AO497" t="s">
        <v>78</v>
      </c>
      <c r="AP497" t="s">
        <v>163</v>
      </c>
      <c r="AQ497">
        <v>5</v>
      </c>
      <c r="AR497" t="s">
        <v>123</v>
      </c>
      <c r="AS497" t="s">
        <v>124</v>
      </c>
      <c r="AT497" t="s">
        <v>58</v>
      </c>
      <c r="AU497" t="s">
        <v>68</v>
      </c>
      <c r="AV497" t="s">
        <v>69</v>
      </c>
      <c r="AW497" s="1">
        <v>26484</v>
      </c>
      <c r="AX497">
        <v>2</v>
      </c>
    </row>
    <row r="498" spans="1:50">
      <c r="A498">
        <v>224377</v>
      </c>
      <c r="B498" t="str">
        <f>"119684181"</f>
        <v>119684181</v>
      </c>
      <c r="C498" t="s">
        <v>50</v>
      </c>
      <c r="D498" t="s">
        <v>1479</v>
      </c>
      <c r="E498" t="s">
        <v>1481</v>
      </c>
      <c r="F498" t="s">
        <v>95</v>
      </c>
      <c r="G498" t="s">
        <v>237</v>
      </c>
      <c r="H498" t="str">
        <f>"ΓΙΑΝΝΗ ΡΙΤΣΟΥ 40 ΒΑΣΙΛΕΙΕΣ"</f>
        <v>ΓΙΑΝΝΗ ΡΙΤΣΟΥ 40 ΒΑΣΙΛΕΙΕΣ</v>
      </c>
      <c r="I498">
        <v>71500</v>
      </c>
      <c r="J498">
        <v>2810328039</v>
      </c>
      <c r="K498">
        <v>6972091306</v>
      </c>
      <c r="M498" t="s">
        <v>1482</v>
      </c>
      <c r="N498" t="s">
        <v>288</v>
      </c>
      <c r="O498" t="s">
        <v>289</v>
      </c>
      <c r="R498" t="s">
        <v>57</v>
      </c>
      <c r="S498">
        <v>7</v>
      </c>
      <c r="T498">
        <v>775</v>
      </c>
      <c r="U498" s="1">
        <v>39680</v>
      </c>
      <c r="V498" t="s">
        <v>123</v>
      </c>
      <c r="W498" t="s">
        <v>124</v>
      </c>
      <c r="X498" t="s">
        <v>58</v>
      </c>
      <c r="Y498">
        <v>21</v>
      </c>
      <c r="Z498" t="s">
        <v>59</v>
      </c>
      <c r="AA498" t="s">
        <v>59</v>
      </c>
      <c r="AB498" t="s">
        <v>59</v>
      </c>
      <c r="AC498" t="s">
        <v>59</v>
      </c>
      <c r="AD498" t="s">
        <v>59</v>
      </c>
      <c r="AF498" s="1">
        <v>39682</v>
      </c>
      <c r="AG498" t="s">
        <v>125</v>
      </c>
      <c r="AH498" t="s">
        <v>126</v>
      </c>
      <c r="AI498" t="str">
        <f>"1703010"</f>
        <v>1703010</v>
      </c>
      <c r="AJ498" t="s">
        <v>422</v>
      </c>
      <c r="AK498">
        <v>2810751808</v>
      </c>
      <c r="AL498" t="s">
        <v>423</v>
      </c>
      <c r="AM498" t="s">
        <v>78</v>
      </c>
      <c r="AN498" t="s">
        <v>424</v>
      </c>
      <c r="AO498" t="s">
        <v>425</v>
      </c>
      <c r="AP498" t="s">
        <v>425</v>
      </c>
      <c r="AQ498">
        <v>13</v>
      </c>
      <c r="AR498" t="s">
        <v>123</v>
      </c>
      <c r="AS498" t="s">
        <v>124</v>
      </c>
      <c r="AT498" t="s">
        <v>58</v>
      </c>
      <c r="AU498" t="s">
        <v>68</v>
      </c>
      <c r="AV498" t="s">
        <v>69</v>
      </c>
      <c r="AW498" s="1">
        <v>29099</v>
      </c>
      <c r="AX498">
        <v>2</v>
      </c>
    </row>
    <row r="499" spans="1:50">
      <c r="A499">
        <v>216994</v>
      </c>
      <c r="B499" t="str">
        <f>"072178800"</f>
        <v>072178800</v>
      </c>
      <c r="C499" t="s">
        <v>50</v>
      </c>
      <c r="D499" t="s">
        <v>1483</v>
      </c>
      <c r="E499" t="s">
        <v>52</v>
      </c>
      <c r="F499" t="s">
        <v>995</v>
      </c>
      <c r="G499" t="s">
        <v>1484</v>
      </c>
      <c r="H499" t="str">
        <f>"Ν. ΦΩΚΑ 6 ΑΝΩ ΑΡΧΑΝΕΣ"</f>
        <v>Ν. ΦΩΚΑ 6 ΑΝΩ ΑΡΧΑΝΕΣ</v>
      </c>
      <c r="I499">
        <v>70100</v>
      </c>
      <c r="J499">
        <v>2810752661</v>
      </c>
      <c r="K499">
        <v>6972819934</v>
      </c>
      <c r="M499" t="s">
        <v>1485</v>
      </c>
      <c r="N499" t="s">
        <v>337</v>
      </c>
      <c r="O499" t="s">
        <v>338</v>
      </c>
      <c r="R499" t="s">
        <v>57</v>
      </c>
      <c r="S499">
        <v>8</v>
      </c>
      <c r="T499">
        <v>298</v>
      </c>
      <c r="U499" s="1">
        <v>38985</v>
      </c>
      <c r="V499" t="s">
        <v>123</v>
      </c>
      <c r="W499" t="s">
        <v>124</v>
      </c>
      <c r="X499" t="s">
        <v>58</v>
      </c>
      <c r="Y499">
        <v>20</v>
      </c>
      <c r="Z499" t="s">
        <v>59</v>
      </c>
      <c r="AA499" t="s">
        <v>59</v>
      </c>
      <c r="AB499" t="s">
        <v>59</v>
      </c>
      <c r="AC499" t="s">
        <v>59</v>
      </c>
      <c r="AD499" t="s">
        <v>59</v>
      </c>
      <c r="AF499" s="1">
        <v>38986</v>
      </c>
      <c r="AG499" t="s">
        <v>125</v>
      </c>
      <c r="AH499" t="s">
        <v>294</v>
      </c>
      <c r="AI499" t="str">
        <f>"1701015"</f>
        <v>1701015</v>
      </c>
      <c r="AJ499" t="s">
        <v>295</v>
      </c>
      <c r="AK499">
        <v>2810761696</v>
      </c>
      <c r="AL499" t="s">
        <v>296</v>
      </c>
      <c r="AM499" t="s">
        <v>78</v>
      </c>
      <c r="AN499" t="s">
        <v>219</v>
      </c>
      <c r="AO499" t="s">
        <v>297</v>
      </c>
      <c r="AP499" t="s">
        <v>297</v>
      </c>
      <c r="AQ499">
        <v>10</v>
      </c>
      <c r="AR499" t="s">
        <v>123</v>
      </c>
      <c r="AS499" t="s">
        <v>124</v>
      </c>
      <c r="AT499" t="s">
        <v>58</v>
      </c>
      <c r="AU499" t="s">
        <v>68</v>
      </c>
      <c r="AV499" t="s">
        <v>69</v>
      </c>
      <c r="AW499" s="1">
        <v>25861</v>
      </c>
      <c r="AX499">
        <v>2</v>
      </c>
    </row>
    <row r="500" spans="1:50">
      <c r="A500">
        <v>217870</v>
      </c>
      <c r="B500" t="str">
        <f>"028469764"</f>
        <v>028469764</v>
      </c>
      <c r="C500" t="s">
        <v>105</v>
      </c>
      <c r="D500" t="s">
        <v>1486</v>
      </c>
      <c r="E500" t="s">
        <v>154</v>
      </c>
      <c r="F500" t="s">
        <v>84</v>
      </c>
      <c r="G500" t="s">
        <v>237</v>
      </c>
      <c r="H500" t="str">
        <f>"ΜΕΛΠΟΜΕΝΗΣ 3 "</f>
        <v xml:space="preserve">ΜΕΛΠΟΜΕΝΗΣ 3 </v>
      </c>
      <c r="I500">
        <v>71410</v>
      </c>
      <c r="J500">
        <v>2810259853</v>
      </c>
      <c r="K500">
        <v>6978223239</v>
      </c>
      <c r="N500" t="s">
        <v>292</v>
      </c>
      <c r="O500" t="s">
        <v>293</v>
      </c>
      <c r="R500" t="s">
        <v>57</v>
      </c>
      <c r="S500">
        <v>6</v>
      </c>
      <c r="T500">
        <v>599</v>
      </c>
      <c r="U500" s="1">
        <v>39310</v>
      </c>
      <c r="V500" t="s">
        <v>123</v>
      </c>
      <c r="W500" t="s">
        <v>124</v>
      </c>
      <c r="X500" t="s">
        <v>58</v>
      </c>
      <c r="Y500">
        <v>20</v>
      </c>
      <c r="Z500" t="s">
        <v>59</v>
      </c>
      <c r="AA500" t="s">
        <v>59</v>
      </c>
      <c r="AB500" t="s">
        <v>59</v>
      </c>
      <c r="AC500" t="s">
        <v>59</v>
      </c>
      <c r="AD500" t="s">
        <v>59</v>
      </c>
      <c r="AF500" s="1">
        <v>39328</v>
      </c>
      <c r="AG500" t="s">
        <v>125</v>
      </c>
      <c r="AH500" t="s">
        <v>126</v>
      </c>
      <c r="AI500" t="str">
        <f>"1728010"</f>
        <v>1728010</v>
      </c>
      <c r="AJ500" t="s">
        <v>127</v>
      </c>
      <c r="AK500">
        <v>2810824651</v>
      </c>
      <c r="AL500" t="s">
        <v>128</v>
      </c>
      <c r="AM500" t="s">
        <v>78</v>
      </c>
      <c r="AN500" t="s">
        <v>129</v>
      </c>
      <c r="AO500" t="s">
        <v>130</v>
      </c>
      <c r="AP500" t="s">
        <v>130</v>
      </c>
      <c r="AQ500">
        <v>36</v>
      </c>
      <c r="AR500" t="s">
        <v>123</v>
      </c>
      <c r="AS500" t="s">
        <v>124</v>
      </c>
      <c r="AT500" t="s">
        <v>58</v>
      </c>
      <c r="AU500" t="s">
        <v>68</v>
      </c>
      <c r="AV500" t="s">
        <v>357</v>
      </c>
      <c r="AW500" s="1">
        <v>20739</v>
      </c>
      <c r="AX500">
        <v>2</v>
      </c>
    </row>
    <row r="501" spans="1:50">
      <c r="B501" t="str">
        <f>"125583663"</f>
        <v>125583663</v>
      </c>
      <c r="C501" t="s">
        <v>50</v>
      </c>
      <c r="D501" t="s">
        <v>1487</v>
      </c>
      <c r="E501" t="s">
        <v>460</v>
      </c>
      <c r="F501" t="s">
        <v>72</v>
      </c>
      <c r="H501" t="str">
        <f>" "</f>
        <v xml:space="preserve"> </v>
      </c>
      <c r="N501" t="s">
        <v>536</v>
      </c>
      <c r="O501" t="s">
        <v>537</v>
      </c>
      <c r="R501" t="s">
        <v>159</v>
      </c>
      <c r="S501">
        <v>3</v>
      </c>
      <c r="T501" t="s">
        <v>344</v>
      </c>
      <c r="U501" s="1">
        <v>43348</v>
      </c>
      <c r="V501" t="s">
        <v>123</v>
      </c>
      <c r="W501" t="s">
        <v>124</v>
      </c>
      <c r="X501" t="s">
        <v>58</v>
      </c>
      <c r="Y501">
        <v>23</v>
      </c>
      <c r="Z501" t="s">
        <v>59</v>
      </c>
      <c r="AA501" t="s">
        <v>59</v>
      </c>
      <c r="AB501" t="s">
        <v>59</v>
      </c>
      <c r="AC501" t="s">
        <v>59</v>
      </c>
      <c r="AD501" t="s">
        <v>59</v>
      </c>
      <c r="AF501" s="1">
        <v>43348</v>
      </c>
      <c r="AG501" t="s">
        <v>125</v>
      </c>
      <c r="AH501" t="s">
        <v>126</v>
      </c>
      <c r="AI501" t="str">
        <f>"1728010"</f>
        <v>1728010</v>
      </c>
      <c r="AJ501" t="s">
        <v>127</v>
      </c>
      <c r="AK501">
        <v>2810824651</v>
      </c>
      <c r="AL501" t="s">
        <v>128</v>
      </c>
      <c r="AM501" t="s">
        <v>78</v>
      </c>
      <c r="AN501" t="s">
        <v>129</v>
      </c>
      <c r="AO501" t="s">
        <v>130</v>
      </c>
      <c r="AP501" t="s">
        <v>130</v>
      </c>
      <c r="AQ501">
        <v>36</v>
      </c>
      <c r="AR501" t="s">
        <v>123</v>
      </c>
      <c r="AS501" t="s">
        <v>124</v>
      </c>
      <c r="AT501" t="s">
        <v>58</v>
      </c>
      <c r="AU501" t="s">
        <v>350</v>
      </c>
      <c r="AV501" t="s">
        <v>132</v>
      </c>
      <c r="AW501" s="1">
        <v>31228</v>
      </c>
      <c r="AX501">
        <v>2</v>
      </c>
    </row>
    <row r="502" spans="1:50">
      <c r="A502">
        <v>195862</v>
      </c>
      <c r="B502" t="str">
        <f>"103374043"</f>
        <v>103374043</v>
      </c>
      <c r="C502" t="s">
        <v>50</v>
      </c>
      <c r="D502" t="s">
        <v>1488</v>
      </c>
      <c r="E502" t="s">
        <v>687</v>
      </c>
      <c r="F502" t="s">
        <v>202</v>
      </c>
      <c r="G502" t="s">
        <v>340</v>
      </c>
      <c r="H502" t="str">
        <f>"ΠΙΚΡΟΔΑΦΝΗΣ 34 ΗΡΑΚΛΕΙΟ ΚΡΗΤΗΣ"</f>
        <v>ΠΙΚΡΟΔΑΦΝΗΣ 34 ΗΡΑΚΛΕΙΟ ΚΡΗΤΗΣ</v>
      </c>
      <c r="I502">
        <v>71409</v>
      </c>
      <c r="J502">
        <v>2810212606</v>
      </c>
      <c r="K502">
        <v>6937643406</v>
      </c>
      <c r="M502" t="s">
        <v>1489</v>
      </c>
      <c r="N502" t="s">
        <v>176</v>
      </c>
      <c r="O502" t="s">
        <v>177</v>
      </c>
      <c r="R502" t="s">
        <v>57</v>
      </c>
      <c r="S502">
        <v>8</v>
      </c>
      <c r="T502">
        <v>194</v>
      </c>
      <c r="U502" s="1">
        <v>37497</v>
      </c>
      <c r="V502" t="s">
        <v>123</v>
      </c>
      <c r="W502" t="s">
        <v>124</v>
      </c>
      <c r="X502" t="s">
        <v>58</v>
      </c>
      <c r="Y502">
        <v>20</v>
      </c>
      <c r="Z502" t="s">
        <v>59</v>
      </c>
      <c r="AA502" t="s">
        <v>59</v>
      </c>
      <c r="AB502" t="s">
        <v>59</v>
      </c>
      <c r="AC502" t="s">
        <v>59</v>
      </c>
      <c r="AD502" t="s">
        <v>59</v>
      </c>
      <c r="AF502" s="1">
        <v>37504</v>
      </c>
      <c r="AG502" t="s">
        <v>125</v>
      </c>
      <c r="AH502" t="s">
        <v>126</v>
      </c>
      <c r="AI502" t="str">
        <f>"1701070"</f>
        <v>1701070</v>
      </c>
      <c r="AJ502" t="s">
        <v>1490</v>
      </c>
      <c r="AK502">
        <v>2810771241</v>
      </c>
      <c r="AL502" t="s">
        <v>1491</v>
      </c>
      <c r="AM502" t="s">
        <v>78</v>
      </c>
      <c r="AN502" t="s">
        <v>219</v>
      </c>
      <c r="AO502" t="s">
        <v>1437</v>
      </c>
      <c r="AP502" t="s">
        <v>1437</v>
      </c>
      <c r="AQ502">
        <v>21</v>
      </c>
      <c r="AR502" t="s">
        <v>123</v>
      </c>
      <c r="AS502" t="s">
        <v>124</v>
      </c>
      <c r="AT502" t="s">
        <v>58</v>
      </c>
      <c r="AU502" t="s">
        <v>68</v>
      </c>
      <c r="AV502" t="s">
        <v>69</v>
      </c>
      <c r="AW502" s="1">
        <v>27064</v>
      </c>
      <c r="AX502">
        <v>2</v>
      </c>
    </row>
    <row r="503" spans="1:50">
      <c r="A503">
        <v>207874</v>
      </c>
      <c r="B503" t="str">
        <f>"038723926"</f>
        <v>038723926</v>
      </c>
      <c r="C503" t="s">
        <v>105</v>
      </c>
      <c r="D503" t="s">
        <v>1492</v>
      </c>
      <c r="E503" t="s">
        <v>377</v>
      </c>
      <c r="F503" t="s">
        <v>1493</v>
      </c>
      <c r="G503" t="s">
        <v>215</v>
      </c>
      <c r="H503" t="str">
        <f>"ΑΝΔΡΕΑ ΝΑΘΕΝΑ 63 "</f>
        <v xml:space="preserve">ΑΝΔΡΕΑ ΝΑΘΕΝΑ 63 </v>
      </c>
      <c r="I503">
        <v>71409</v>
      </c>
      <c r="J503">
        <v>2810221004</v>
      </c>
      <c r="K503">
        <v>6942550583</v>
      </c>
      <c r="N503" t="s">
        <v>299</v>
      </c>
      <c r="O503" t="s">
        <v>300</v>
      </c>
      <c r="R503" t="s">
        <v>57</v>
      </c>
      <c r="S503">
        <v>6</v>
      </c>
      <c r="T503">
        <v>218</v>
      </c>
      <c r="U503" s="1">
        <v>38596</v>
      </c>
      <c r="V503" t="s">
        <v>123</v>
      </c>
      <c r="W503" t="s">
        <v>124</v>
      </c>
      <c r="X503" t="s">
        <v>58</v>
      </c>
      <c r="Y503">
        <v>20</v>
      </c>
      <c r="Z503" t="s">
        <v>59</v>
      </c>
      <c r="AA503" t="s">
        <v>59</v>
      </c>
      <c r="AB503" t="s">
        <v>59</v>
      </c>
      <c r="AC503" t="s">
        <v>59</v>
      </c>
      <c r="AD503" t="s">
        <v>59</v>
      </c>
      <c r="AF503" s="1">
        <v>38601</v>
      </c>
      <c r="AG503" t="s">
        <v>148</v>
      </c>
      <c r="AH503" t="s">
        <v>149</v>
      </c>
      <c r="AI503" t="str">
        <f>"1751030"</f>
        <v>1751030</v>
      </c>
      <c r="AJ503" t="s">
        <v>234</v>
      </c>
      <c r="AK503">
        <v>2810282911</v>
      </c>
      <c r="AL503" t="s">
        <v>235</v>
      </c>
      <c r="AM503" t="s">
        <v>78</v>
      </c>
      <c r="AN503" t="s">
        <v>78</v>
      </c>
      <c r="AO503" t="s">
        <v>78</v>
      </c>
      <c r="AP503" t="s">
        <v>163</v>
      </c>
      <c r="AQ503">
        <v>1</v>
      </c>
      <c r="AR503" t="s">
        <v>123</v>
      </c>
      <c r="AS503" t="s">
        <v>124</v>
      </c>
      <c r="AT503" t="s">
        <v>58</v>
      </c>
      <c r="AU503" t="s">
        <v>68</v>
      </c>
      <c r="AV503" t="s">
        <v>69</v>
      </c>
      <c r="AW503" s="1">
        <v>24188</v>
      </c>
      <c r="AX503">
        <v>2</v>
      </c>
    </row>
    <row r="504" spans="1:50">
      <c r="A504">
        <v>155406</v>
      </c>
      <c r="B504" t="str">
        <f>"048347266"</f>
        <v>048347266</v>
      </c>
      <c r="C504" t="s">
        <v>50</v>
      </c>
      <c r="D504" t="s">
        <v>1494</v>
      </c>
      <c r="E504" t="s">
        <v>83</v>
      </c>
      <c r="F504" t="s">
        <v>95</v>
      </c>
      <c r="G504" t="s">
        <v>494</v>
      </c>
      <c r="H504" t="str">
        <f>"ΡΟΔΙΑ Τ.Θ.117 ΡΟΔΙΑ"</f>
        <v>ΡΟΔΙΑ Τ.Θ.117 ΡΟΔΙΑ</v>
      </c>
      <c r="I504">
        <v>71414</v>
      </c>
      <c r="K504">
        <v>6974792492</v>
      </c>
      <c r="M504" t="s">
        <v>1495</v>
      </c>
      <c r="N504" t="s">
        <v>337</v>
      </c>
      <c r="O504" t="s">
        <v>338</v>
      </c>
      <c r="R504" t="s">
        <v>57</v>
      </c>
      <c r="S504">
        <v>14</v>
      </c>
      <c r="T504">
        <v>232</v>
      </c>
      <c r="U504" s="1">
        <v>32468</v>
      </c>
      <c r="V504" t="s">
        <v>123</v>
      </c>
      <c r="W504" t="s">
        <v>124</v>
      </c>
      <c r="X504" t="s">
        <v>58</v>
      </c>
      <c r="Y504">
        <v>18</v>
      </c>
      <c r="Z504" t="s">
        <v>59</v>
      </c>
      <c r="AA504" t="s">
        <v>59</v>
      </c>
      <c r="AB504" t="s">
        <v>59</v>
      </c>
      <c r="AC504" t="s">
        <v>59</v>
      </c>
      <c r="AD504" t="s">
        <v>59</v>
      </c>
      <c r="AF504" s="1">
        <v>32489</v>
      </c>
      <c r="AG504" t="s">
        <v>125</v>
      </c>
      <c r="AH504" t="s">
        <v>126</v>
      </c>
      <c r="AI504" t="str">
        <f>"1727010"</f>
        <v>1727010</v>
      </c>
      <c r="AJ504" t="s">
        <v>618</v>
      </c>
      <c r="AK504">
        <v>2810229231</v>
      </c>
      <c r="AL504" t="s">
        <v>619</v>
      </c>
      <c r="AM504" t="s">
        <v>78</v>
      </c>
      <c r="AN504" t="s">
        <v>78</v>
      </c>
      <c r="AO504" t="s">
        <v>286</v>
      </c>
      <c r="AP504" t="s">
        <v>286</v>
      </c>
      <c r="AQ504">
        <v>12</v>
      </c>
      <c r="AR504" t="s">
        <v>123</v>
      </c>
      <c r="AS504" t="s">
        <v>124</v>
      </c>
      <c r="AT504" t="s">
        <v>58</v>
      </c>
      <c r="AU504" t="s">
        <v>68</v>
      </c>
      <c r="AV504" t="s">
        <v>69</v>
      </c>
      <c r="AW504" s="1">
        <v>22525</v>
      </c>
      <c r="AX504">
        <v>2</v>
      </c>
    </row>
    <row r="505" spans="1:50">
      <c r="A505">
        <v>186448</v>
      </c>
      <c r="B505" t="str">
        <f>"052680975"</f>
        <v>052680975</v>
      </c>
      <c r="C505" t="s">
        <v>105</v>
      </c>
      <c r="D505" t="s">
        <v>1496</v>
      </c>
      <c r="E505" t="s">
        <v>95</v>
      </c>
      <c r="F505" t="s">
        <v>202</v>
      </c>
      <c r="G505" t="s">
        <v>1497</v>
      </c>
      <c r="H505" t="str">
        <f>" "</f>
        <v xml:space="preserve"> </v>
      </c>
      <c r="J505">
        <v>2815101093</v>
      </c>
      <c r="K505">
        <v>6974889078</v>
      </c>
      <c r="M505" t="s">
        <v>1498</v>
      </c>
      <c r="N505" t="s">
        <v>146</v>
      </c>
      <c r="O505" t="s">
        <v>147</v>
      </c>
      <c r="R505" t="s">
        <v>57</v>
      </c>
      <c r="S505">
        <v>12</v>
      </c>
      <c r="T505">
        <v>251</v>
      </c>
      <c r="U505" s="1">
        <v>36769</v>
      </c>
      <c r="V505" t="s">
        <v>123</v>
      </c>
      <c r="W505" t="s">
        <v>124</v>
      </c>
      <c r="X505" t="s">
        <v>58</v>
      </c>
      <c r="Y505">
        <v>18</v>
      </c>
      <c r="Z505" t="s">
        <v>59</v>
      </c>
      <c r="AA505" t="s">
        <v>59</v>
      </c>
      <c r="AB505" t="s">
        <v>59</v>
      </c>
      <c r="AC505" t="s">
        <v>59</v>
      </c>
      <c r="AD505" t="s">
        <v>59</v>
      </c>
      <c r="AF505" s="1">
        <v>36774</v>
      </c>
      <c r="AG505" t="s">
        <v>148</v>
      </c>
      <c r="AH505" t="s">
        <v>149</v>
      </c>
      <c r="AI505" t="str">
        <f>"1751040"</f>
        <v>1751040</v>
      </c>
      <c r="AJ505" t="s">
        <v>178</v>
      </c>
      <c r="AK505">
        <v>2810252495</v>
      </c>
      <c r="AL505" t="s">
        <v>179</v>
      </c>
      <c r="AM505" t="s">
        <v>78</v>
      </c>
      <c r="AN505" t="s">
        <v>78</v>
      </c>
      <c r="AO505" t="s">
        <v>78</v>
      </c>
      <c r="AP505" t="s">
        <v>141</v>
      </c>
      <c r="AQ505">
        <v>3</v>
      </c>
      <c r="AR505" t="s">
        <v>123</v>
      </c>
      <c r="AS505" t="s">
        <v>124</v>
      </c>
      <c r="AT505" t="s">
        <v>58</v>
      </c>
      <c r="AU505" t="s">
        <v>68</v>
      </c>
      <c r="AV505" t="s">
        <v>69</v>
      </c>
      <c r="AW505" s="1">
        <v>24221</v>
      </c>
      <c r="AX505">
        <v>2</v>
      </c>
    </row>
    <row r="506" spans="1:50">
      <c r="A506">
        <v>225339</v>
      </c>
      <c r="B506" t="str">
        <f>"045171841"</f>
        <v>045171841</v>
      </c>
      <c r="C506" t="s">
        <v>105</v>
      </c>
      <c r="D506" t="s">
        <v>1499</v>
      </c>
      <c r="E506" t="s">
        <v>1229</v>
      </c>
      <c r="F506" t="s">
        <v>1316</v>
      </c>
      <c r="G506" t="s">
        <v>934</v>
      </c>
      <c r="H506" t="str">
        <f>"ΠΑΛΑΙΟΚΑΠΑ 54 ΗΡΑΚΛΕΙΟ"</f>
        <v>ΠΑΛΑΙΟΚΑΠΑ 54 ΗΡΑΚΛΕΙΟ</v>
      </c>
      <c r="I506">
        <v>71305</v>
      </c>
      <c r="J506">
        <v>2810314156</v>
      </c>
      <c r="K506">
        <v>6972851052</v>
      </c>
      <c r="M506" t="s">
        <v>1500</v>
      </c>
      <c r="N506" t="s">
        <v>337</v>
      </c>
      <c r="O506" t="s">
        <v>338</v>
      </c>
      <c r="R506" t="s">
        <v>57</v>
      </c>
      <c r="S506">
        <v>6</v>
      </c>
      <c r="T506">
        <v>775</v>
      </c>
      <c r="U506" s="1">
        <v>39680</v>
      </c>
      <c r="V506" t="s">
        <v>123</v>
      </c>
      <c r="W506" t="s">
        <v>124</v>
      </c>
      <c r="X506" t="s">
        <v>58</v>
      </c>
      <c r="Y506">
        <v>20</v>
      </c>
      <c r="Z506" t="s">
        <v>59</v>
      </c>
      <c r="AA506" t="s">
        <v>59</v>
      </c>
      <c r="AB506" t="s">
        <v>59</v>
      </c>
      <c r="AC506" t="s">
        <v>59</v>
      </c>
      <c r="AD506" t="s">
        <v>59</v>
      </c>
      <c r="AF506" s="1">
        <v>39681</v>
      </c>
      <c r="AG506" t="s">
        <v>125</v>
      </c>
      <c r="AH506" t="s">
        <v>294</v>
      </c>
      <c r="AI506" t="str">
        <f>"1701015"</f>
        <v>1701015</v>
      </c>
      <c r="AJ506" t="s">
        <v>295</v>
      </c>
      <c r="AK506">
        <v>2810761696</v>
      </c>
      <c r="AL506" t="s">
        <v>296</v>
      </c>
      <c r="AM506" t="s">
        <v>78</v>
      </c>
      <c r="AN506" t="s">
        <v>219</v>
      </c>
      <c r="AO506" t="s">
        <v>297</v>
      </c>
      <c r="AP506" t="s">
        <v>297</v>
      </c>
      <c r="AQ506">
        <v>10</v>
      </c>
      <c r="AR506" t="s">
        <v>123</v>
      </c>
      <c r="AS506" t="s">
        <v>124</v>
      </c>
      <c r="AT506" t="s">
        <v>58</v>
      </c>
      <c r="AU506" t="s">
        <v>68</v>
      </c>
      <c r="AV506" t="s">
        <v>69</v>
      </c>
      <c r="AW506" s="1">
        <v>20937</v>
      </c>
      <c r="AX506">
        <v>2</v>
      </c>
    </row>
    <row r="507" spans="1:50">
      <c r="B507" t="str">
        <f>"118472475"</f>
        <v>118472475</v>
      </c>
      <c r="C507" t="s">
        <v>105</v>
      </c>
      <c r="D507" t="s">
        <v>1501</v>
      </c>
      <c r="E507" t="s">
        <v>84</v>
      </c>
      <c r="F507" t="s">
        <v>53</v>
      </c>
      <c r="G507" t="s">
        <v>52</v>
      </c>
      <c r="H507" t="str">
        <f>"ΒΑΜΟΣ - ΑΠΟΚΟΡΩΝΟΥ ΧΑΝΙΑ"</f>
        <v>ΒΑΜΟΣ - ΑΠΟΚΟΡΩΝΟΥ ΧΑΝΙΑ</v>
      </c>
      <c r="I507">
        <v>73008</v>
      </c>
      <c r="J507">
        <v>2825022283</v>
      </c>
      <c r="K507">
        <v>6974581130</v>
      </c>
      <c r="N507" t="s">
        <v>246</v>
      </c>
      <c r="O507" t="s">
        <v>247</v>
      </c>
      <c r="R507" t="s">
        <v>159</v>
      </c>
      <c r="S507">
        <v>4</v>
      </c>
      <c r="T507" t="s">
        <v>416</v>
      </c>
      <c r="U507" s="1">
        <v>43349</v>
      </c>
      <c r="V507" t="s">
        <v>123</v>
      </c>
      <c r="W507" t="s">
        <v>124</v>
      </c>
      <c r="X507" t="s">
        <v>58</v>
      </c>
      <c r="Y507">
        <v>21</v>
      </c>
      <c r="Z507" t="s">
        <v>59</v>
      </c>
      <c r="AA507" t="s">
        <v>59</v>
      </c>
      <c r="AB507" t="s">
        <v>59</v>
      </c>
      <c r="AC507" t="s">
        <v>59</v>
      </c>
      <c r="AD507" t="s">
        <v>59</v>
      </c>
      <c r="AF507" s="1">
        <v>43349</v>
      </c>
      <c r="AG507" t="s">
        <v>148</v>
      </c>
      <c r="AH507" t="s">
        <v>149</v>
      </c>
      <c r="AI507" t="str">
        <f>"1751040"</f>
        <v>1751040</v>
      </c>
      <c r="AJ507" t="s">
        <v>178</v>
      </c>
      <c r="AK507">
        <v>2810252495</v>
      </c>
      <c r="AL507" t="s">
        <v>179</v>
      </c>
      <c r="AM507" t="s">
        <v>78</v>
      </c>
      <c r="AN507" t="s">
        <v>78</v>
      </c>
      <c r="AO507" t="s">
        <v>78</v>
      </c>
      <c r="AP507" t="s">
        <v>141</v>
      </c>
      <c r="AQ507">
        <v>3</v>
      </c>
      <c r="AR507" t="s">
        <v>123</v>
      </c>
      <c r="AS507" t="s">
        <v>124</v>
      </c>
      <c r="AT507" t="s">
        <v>58</v>
      </c>
      <c r="AU507" t="s">
        <v>419</v>
      </c>
      <c r="AV507" t="s">
        <v>132</v>
      </c>
      <c r="AW507" s="1">
        <v>27584</v>
      </c>
      <c r="AX507">
        <v>2</v>
      </c>
    </row>
    <row r="508" spans="1:50">
      <c r="A508">
        <v>182815</v>
      </c>
      <c r="B508" t="str">
        <f>"038586429"</f>
        <v>038586429</v>
      </c>
      <c r="C508" t="s">
        <v>50</v>
      </c>
      <c r="D508" t="s">
        <v>1502</v>
      </c>
      <c r="E508" t="s">
        <v>215</v>
      </c>
      <c r="F508" t="s">
        <v>53</v>
      </c>
      <c r="G508" t="s">
        <v>237</v>
      </c>
      <c r="H508" t="str">
        <f>"ΚΙΛΕΛΕΡ 4 ΓΑΖΙ"</f>
        <v>ΚΙΛΕΛΕΡ 4 ΓΑΖΙ</v>
      </c>
      <c r="I508">
        <v>71414</v>
      </c>
      <c r="J508">
        <v>2810823911</v>
      </c>
      <c r="M508" t="s">
        <v>1503</v>
      </c>
      <c r="N508" t="s">
        <v>306</v>
      </c>
      <c r="O508" t="s">
        <v>307</v>
      </c>
      <c r="R508" t="s">
        <v>57</v>
      </c>
      <c r="S508">
        <v>11</v>
      </c>
      <c r="T508">
        <v>249</v>
      </c>
      <c r="U508" s="1">
        <v>36160</v>
      </c>
      <c r="V508" t="s">
        <v>123</v>
      </c>
      <c r="W508" t="s">
        <v>124</v>
      </c>
      <c r="X508" t="s">
        <v>58</v>
      </c>
      <c r="Y508">
        <v>18</v>
      </c>
      <c r="Z508" t="s">
        <v>59</v>
      </c>
      <c r="AA508" t="s">
        <v>59</v>
      </c>
      <c r="AB508" t="s">
        <v>59</v>
      </c>
      <c r="AC508" t="s">
        <v>59</v>
      </c>
      <c r="AD508" t="s">
        <v>59</v>
      </c>
      <c r="AF508" s="1">
        <v>36182</v>
      </c>
      <c r="AG508" t="s">
        <v>148</v>
      </c>
      <c r="AH508" t="s">
        <v>149</v>
      </c>
      <c r="AI508" t="str">
        <f>"1751040"</f>
        <v>1751040</v>
      </c>
      <c r="AJ508" t="s">
        <v>178</v>
      </c>
      <c r="AK508">
        <v>2810252495</v>
      </c>
      <c r="AL508" t="s">
        <v>179</v>
      </c>
      <c r="AM508" t="s">
        <v>78</v>
      </c>
      <c r="AN508" t="s">
        <v>78</v>
      </c>
      <c r="AO508" t="s">
        <v>78</v>
      </c>
      <c r="AP508" t="s">
        <v>141</v>
      </c>
      <c r="AQ508">
        <v>3</v>
      </c>
      <c r="AR508" t="s">
        <v>123</v>
      </c>
      <c r="AS508" t="s">
        <v>124</v>
      </c>
      <c r="AT508" t="s">
        <v>58</v>
      </c>
      <c r="AU508" t="s">
        <v>68</v>
      </c>
      <c r="AV508" t="s">
        <v>69</v>
      </c>
      <c r="AW508" s="1">
        <v>25998</v>
      </c>
      <c r="AX508">
        <v>2</v>
      </c>
    </row>
    <row r="509" spans="1:50">
      <c r="B509" t="str">
        <f>"107652296"</f>
        <v>107652296</v>
      </c>
      <c r="C509" t="s">
        <v>50</v>
      </c>
      <c r="D509" t="s">
        <v>1502</v>
      </c>
      <c r="E509" t="s">
        <v>52</v>
      </c>
      <c r="F509" t="s">
        <v>936</v>
      </c>
      <c r="G509" t="s">
        <v>255</v>
      </c>
      <c r="H509" t="str">
        <f>"ΠΟΛΥΓΝΩΤΟΥ 10 ΗΡΑΚΛΕΙΟ"</f>
        <v>ΠΟΛΥΓΝΩΤΟΥ 10 ΗΡΑΚΛΕΙΟ</v>
      </c>
      <c r="I509">
        <v>71410</v>
      </c>
      <c r="J509">
        <v>2811111672</v>
      </c>
      <c r="K509">
        <v>6974851865</v>
      </c>
      <c r="M509" t="s">
        <v>1504</v>
      </c>
      <c r="N509" t="s">
        <v>246</v>
      </c>
      <c r="O509" t="s">
        <v>247</v>
      </c>
      <c r="R509" t="s">
        <v>159</v>
      </c>
      <c r="S509">
        <v>8</v>
      </c>
      <c r="T509" t="s">
        <v>160</v>
      </c>
      <c r="U509" s="1">
        <v>43364</v>
      </c>
      <c r="V509" t="s">
        <v>123</v>
      </c>
      <c r="W509" t="s">
        <v>124</v>
      </c>
      <c r="X509" t="s">
        <v>58</v>
      </c>
      <c r="Y509">
        <v>23</v>
      </c>
      <c r="Z509" t="s">
        <v>59</v>
      </c>
      <c r="AA509" t="s">
        <v>59</v>
      </c>
      <c r="AB509" t="s">
        <v>59</v>
      </c>
      <c r="AC509" t="s">
        <v>59</v>
      </c>
      <c r="AD509" t="s">
        <v>59</v>
      </c>
      <c r="AF509" s="1">
        <v>43367</v>
      </c>
      <c r="AG509" t="s">
        <v>125</v>
      </c>
      <c r="AH509" t="s">
        <v>126</v>
      </c>
      <c r="AI509" t="str">
        <f>"1727010"</f>
        <v>1727010</v>
      </c>
      <c r="AJ509" t="s">
        <v>618</v>
      </c>
      <c r="AK509">
        <v>2810229231</v>
      </c>
      <c r="AL509" t="s">
        <v>619</v>
      </c>
      <c r="AM509" t="s">
        <v>78</v>
      </c>
      <c r="AN509" t="s">
        <v>78</v>
      </c>
      <c r="AO509" t="s">
        <v>286</v>
      </c>
      <c r="AP509" t="s">
        <v>286</v>
      </c>
      <c r="AQ509">
        <v>12</v>
      </c>
      <c r="AR509" t="s">
        <v>123</v>
      </c>
      <c r="AS509" t="s">
        <v>124</v>
      </c>
      <c r="AT509" t="s">
        <v>58</v>
      </c>
      <c r="AU509" t="s">
        <v>164</v>
      </c>
      <c r="AV509" t="s">
        <v>132</v>
      </c>
      <c r="AW509" s="1">
        <v>27409</v>
      </c>
      <c r="AX509">
        <v>2</v>
      </c>
    </row>
    <row r="510" spans="1:50">
      <c r="A510">
        <v>161202</v>
      </c>
      <c r="B510" t="str">
        <f>"029541727"</f>
        <v>029541727</v>
      </c>
      <c r="C510" t="s">
        <v>50</v>
      </c>
      <c r="D510" t="s">
        <v>1505</v>
      </c>
      <c r="E510" t="s">
        <v>215</v>
      </c>
      <c r="F510" t="s">
        <v>1506</v>
      </c>
      <c r="G510" t="s">
        <v>335</v>
      </c>
      <c r="H510" t="str">
        <f>"ΓΡΕΒΕΝΩΝ  24 ΗΡΑΚΛΕΙΟΥ"</f>
        <v>ΓΡΕΒΕΝΩΝ  24 ΗΡΑΚΛΕΙΟΥ</v>
      </c>
      <c r="I510">
        <v>71201</v>
      </c>
      <c r="J510">
        <v>2810283275</v>
      </c>
      <c r="K510">
        <v>6932643964</v>
      </c>
      <c r="N510" t="s">
        <v>257</v>
      </c>
      <c r="O510" t="s">
        <v>258</v>
      </c>
      <c r="R510" t="s">
        <v>57</v>
      </c>
      <c r="S510">
        <v>13</v>
      </c>
      <c r="T510">
        <v>161</v>
      </c>
      <c r="U510" s="1">
        <v>33119</v>
      </c>
      <c r="V510" t="s">
        <v>123</v>
      </c>
      <c r="W510" t="s">
        <v>124</v>
      </c>
      <c r="X510" t="s">
        <v>58</v>
      </c>
      <c r="Y510">
        <v>18</v>
      </c>
      <c r="Z510" t="s">
        <v>59</v>
      </c>
      <c r="AA510" t="s">
        <v>59</v>
      </c>
      <c r="AB510" t="s">
        <v>59</v>
      </c>
      <c r="AC510" t="s">
        <v>59</v>
      </c>
      <c r="AD510" t="s">
        <v>59</v>
      </c>
      <c r="AF510" s="1">
        <v>33121</v>
      </c>
      <c r="AG510" t="s">
        <v>148</v>
      </c>
      <c r="AH510" t="s">
        <v>149</v>
      </c>
      <c r="AI510" t="str">
        <f>"1777010"</f>
        <v>1777010</v>
      </c>
      <c r="AJ510" t="s">
        <v>612</v>
      </c>
      <c r="AK510">
        <v>2810229220</v>
      </c>
      <c r="AL510" t="s">
        <v>613</v>
      </c>
      <c r="AM510" t="s">
        <v>78</v>
      </c>
      <c r="AN510" t="s">
        <v>78</v>
      </c>
      <c r="AO510" t="s">
        <v>286</v>
      </c>
      <c r="AP510" t="s">
        <v>286</v>
      </c>
      <c r="AQ510">
        <v>12</v>
      </c>
      <c r="AR510" t="s">
        <v>123</v>
      </c>
      <c r="AS510" t="s">
        <v>124</v>
      </c>
      <c r="AT510" t="s">
        <v>58</v>
      </c>
      <c r="AU510" t="s">
        <v>68</v>
      </c>
      <c r="AV510" t="s">
        <v>69</v>
      </c>
      <c r="AW510" s="1">
        <v>21826</v>
      </c>
      <c r="AX510">
        <v>2</v>
      </c>
    </row>
    <row r="511" spans="1:50">
      <c r="A511">
        <v>203038</v>
      </c>
      <c r="B511" t="str">
        <f>"028121631"</f>
        <v>028121631</v>
      </c>
      <c r="C511" t="s">
        <v>50</v>
      </c>
      <c r="D511" t="s">
        <v>1507</v>
      </c>
      <c r="E511" t="s">
        <v>83</v>
      </c>
      <c r="F511" t="s">
        <v>72</v>
      </c>
      <c r="G511" t="s">
        <v>1508</v>
      </c>
      <c r="H511" t="str">
        <f>" "</f>
        <v xml:space="preserve"> </v>
      </c>
      <c r="J511">
        <v>2810320787</v>
      </c>
      <c r="K511">
        <v>6974785633</v>
      </c>
      <c r="N511" t="s">
        <v>478</v>
      </c>
      <c r="O511" t="s">
        <v>479</v>
      </c>
      <c r="R511" t="s">
        <v>57</v>
      </c>
      <c r="S511">
        <v>12</v>
      </c>
      <c r="T511">
        <v>231</v>
      </c>
      <c r="U511" s="1">
        <v>38230</v>
      </c>
      <c r="V511" t="s">
        <v>123</v>
      </c>
      <c r="W511" t="s">
        <v>124</v>
      </c>
      <c r="X511" t="s">
        <v>58</v>
      </c>
      <c r="Y511">
        <v>18</v>
      </c>
      <c r="Z511" t="s">
        <v>59</v>
      </c>
      <c r="AA511" t="s">
        <v>59</v>
      </c>
      <c r="AB511" t="s">
        <v>59</v>
      </c>
      <c r="AC511" t="s">
        <v>59</v>
      </c>
      <c r="AD511" t="s">
        <v>59</v>
      </c>
      <c r="AF511" s="1">
        <v>38231</v>
      </c>
      <c r="AG511" t="s">
        <v>125</v>
      </c>
      <c r="AH511" t="s">
        <v>126</v>
      </c>
      <c r="AI511" t="str">
        <f>"1701050"</f>
        <v>1701050</v>
      </c>
      <c r="AJ511" t="s">
        <v>660</v>
      </c>
      <c r="AK511">
        <v>2810220729</v>
      </c>
      <c r="AL511" t="s">
        <v>661</v>
      </c>
      <c r="AM511" t="s">
        <v>78</v>
      </c>
      <c r="AN511" t="s">
        <v>78</v>
      </c>
      <c r="AO511" t="s">
        <v>78</v>
      </c>
      <c r="AP511" t="s">
        <v>79</v>
      </c>
      <c r="AQ511">
        <v>1</v>
      </c>
      <c r="AR511" t="s">
        <v>123</v>
      </c>
      <c r="AS511" t="s">
        <v>124</v>
      </c>
      <c r="AT511" t="s">
        <v>58</v>
      </c>
      <c r="AU511" t="s">
        <v>68</v>
      </c>
      <c r="AV511" t="s">
        <v>69</v>
      </c>
      <c r="AW511" s="1">
        <v>23522</v>
      </c>
      <c r="AX511">
        <v>2</v>
      </c>
    </row>
    <row r="512" spans="1:50">
      <c r="A512">
        <v>219026</v>
      </c>
      <c r="B512" t="str">
        <f>"073615668"</f>
        <v>073615668</v>
      </c>
      <c r="C512" t="s">
        <v>50</v>
      </c>
      <c r="D512" t="s">
        <v>1509</v>
      </c>
      <c r="E512" t="s">
        <v>964</v>
      </c>
      <c r="F512" t="s">
        <v>1357</v>
      </c>
      <c r="G512" t="s">
        <v>155</v>
      </c>
      <c r="H512" t="str">
        <f>"ΑΝΘΕΩΝ  ΗΡΑΚΛΕΙΟ"</f>
        <v>ΑΝΘΕΩΝ  ΗΡΑΚΛΕΙΟ</v>
      </c>
      <c r="I512">
        <v>71409</v>
      </c>
      <c r="K512">
        <v>6989611893</v>
      </c>
      <c r="N512" t="s">
        <v>478</v>
      </c>
      <c r="O512" t="s">
        <v>479</v>
      </c>
      <c r="R512" t="s">
        <v>57</v>
      </c>
      <c r="S512">
        <v>5</v>
      </c>
      <c r="T512">
        <v>599</v>
      </c>
      <c r="U512" s="1">
        <v>39310</v>
      </c>
      <c r="V512" t="s">
        <v>123</v>
      </c>
      <c r="W512" t="s">
        <v>124</v>
      </c>
      <c r="X512" t="s">
        <v>58</v>
      </c>
      <c r="Y512">
        <v>20</v>
      </c>
      <c r="Z512" t="s">
        <v>59</v>
      </c>
      <c r="AA512" t="s">
        <v>59</v>
      </c>
      <c r="AB512" t="s">
        <v>59</v>
      </c>
      <c r="AC512" t="s">
        <v>59</v>
      </c>
      <c r="AD512" t="s">
        <v>59</v>
      </c>
      <c r="AF512" s="1">
        <v>39330</v>
      </c>
      <c r="AG512" t="s">
        <v>137</v>
      </c>
      <c r="AH512" t="s">
        <v>138</v>
      </c>
      <c r="AI512" t="str">
        <f>"1750080"</f>
        <v>1750080</v>
      </c>
      <c r="AJ512" t="s">
        <v>170</v>
      </c>
      <c r="AK512">
        <v>2810234444</v>
      </c>
      <c r="AL512" t="s">
        <v>171</v>
      </c>
      <c r="AM512" t="s">
        <v>78</v>
      </c>
      <c r="AN512" t="s">
        <v>78</v>
      </c>
      <c r="AO512" t="s">
        <v>78</v>
      </c>
      <c r="AP512" t="s">
        <v>163</v>
      </c>
      <c r="AQ512">
        <v>9</v>
      </c>
      <c r="AR512" t="s">
        <v>123</v>
      </c>
      <c r="AS512" t="s">
        <v>124</v>
      </c>
      <c r="AT512" t="s">
        <v>58</v>
      </c>
      <c r="AU512" t="s">
        <v>68</v>
      </c>
      <c r="AV512" t="s">
        <v>69</v>
      </c>
      <c r="AW512" s="1">
        <v>23888</v>
      </c>
      <c r="AX512">
        <v>2</v>
      </c>
    </row>
    <row r="513" spans="1:50">
      <c r="A513">
        <v>155901</v>
      </c>
      <c r="B513" t="str">
        <f>"028061090"</f>
        <v>028061090</v>
      </c>
      <c r="C513" t="s">
        <v>50</v>
      </c>
      <c r="D513" t="s">
        <v>1509</v>
      </c>
      <c r="E513" t="s">
        <v>73</v>
      </c>
      <c r="F513" t="s">
        <v>99</v>
      </c>
      <c r="G513" t="s">
        <v>255</v>
      </c>
      <c r="H513" t="str">
        <f>"ΜΕΡΩΝΑΣ ΑΜΑΡΙ"</f>
        <v>ΜΕΡΩΝΑΣ ΑΜΑΡΙ</v>
      </c>
      <c r="I513">
        <v>70200</v>
      </c>
      <c r="J513">
        <v>2892052257</v>
      </c>
      <c r="K513">
        <v>6973475004</v>
      </c>
      <c r="N513" t="s">
        <v>146</v>
      </c>
      <c r="O513" t="s">
        <v>147</v>
      </c>
      <c r="R513" t="s">
        <v>57</v>
      </c>
      <c r="S513">
        <v>14</v>
      </c>
      <c r="T513">
        <v>188</v>
      </c>
      <c r="U513" s="1">
        <v>32752</v>
      </c>
      <c r="V513" t="s">
        <v>123</v>
      </c>
      <c r="W513" t="s">
        <v>124</v>
      </c>
      <c r="X513" t="s">
        <v>58</v>
      </c>
      <c r="Y513">
        <v>18</v>
      </c>
      <c r="Z513" t="s">
        <v>59</v>
      </c>
      <c r="AA513" t="s">
        <v>59</v>
      </c>
      <c r="AB513" t="s">
        <v>59</v>
      </c>
      <c r="AC513" t="s">
        <v>59</v>
      </c>
      <c r="AD513" t="s">
        <v>59</v>
      </c>
      <c r="AF513" s="1">
        <v>32756</v>
      </c>
      <c r="AG513" t="s">
        <v>148</v>
      </c>
      <c r="AH513" t="s">
        <v>149</v>
      </c>
      <c r="AI513" t="str">
        <f>"1763010"</f>
        <v>1763010</v>
      </c>
      <c r="AJ513" t="s">
        <v>560</v>
      </c>
      <c r="AK513">
        <v>2892051146</v>
      </c>
      <c r="AL513" t="s">
        <v>561</v>
      </c>
      <c r="AM513" t="s">
        <v>78</v>
      </c>
      <c r="AN513" t="s">
        <v>242</v>
      </c>
      <c r="AO513" t="s">
        <v>349</v>
      </c>
      <c r="AP513" t="s">
        <v>349</v>
      </c>
      <c r="AQ513">
        <v>35</v>
      </c>
      <c r="AR513" t="s">
        <v>123</v>
      </c>
      <c r="AS513" t="s">
        <v>124</v>
      </c>
      <c r="AT513" t="s">
        <v>58</v>
      </c>
      <c r="AU513" t="s">
        <v>68</v>
      </c>
      <c r="AV513" t="s">
        <v>69</v>
      </c>
      <c r="AW513" s="1">
        <v>22539</v>
      </c>
      <c r="AX513">
        <v>2</v>
      </c>
    </row>
    <row r="514" spans="1:50">
      <c r="A514">
        <v>192961</v>
      </c>
      <c r="B514" t="str">
        <f>"064645939"</f>
        <v>064645939</v>
      </c>
      <c r="C514" t="s">
        <v>50</v>
      </c>
      <c r="D514" t="s">
        <v>1509</v>
      </c>
      <c r="E514" t="s">
        <v>1510</v>
      </c>
      <c r="F514" t="s">
        <v>72</v>
      </c>
      <c r="G514" t="s">
        <v>250</v>
      </c>
      <c r="H514" t="str">
        <f>"ΒΙΤΣΙ 52 "</f>
        <v xml:space="preserve">ΒΙΤΣΙ 52 </v>
      </c>
      <c r="J514">
        <v>2810330281</v>
      </c>
      <c r="K514">
        <v>6947239412</v>
      </c>
      <c r="M514" t="s">
        <v>1511</v>
      </c>
      <c r="N514" t="s">
        <v>146</v>
      </c>
      <c r="O514" t="s">
        <v>147</v>
      </c>
      <c r="R514" t="s">
        <v>57</v>
      </c>
      <c r="S514">
        <v>10</v>
      </c>
      <c r="T514">
        <v>193</v>
      </c>
      <c r="U514" s="1">
        <v>37497</v>
      </c>
      <c r="V514" t="s">
        <v>123</v>
      </c>
      <c r="W514" t="s">
        <v>124</v>
      </c>
      <c r="X514" t="s">
        <v>58</v>
      </c>
      <c r="Y514">
        <v>18</v>
      </c>
      <c r="Z514" t="s">
        <v>59</v>
      </c>
      <c r="AA514" t="s">
        <v>59</v>
      </c>
      <c r="AB514" t="s">
        <v>59</v>
      </c>
      <c r="AC514" t="s">
        <v>59</v>
      </c>
      <c r="AD514" t="s">
        <v>59</v>
      </c>
      <c r="AF514" s="1">
        <v>37502</v>
      </c>
      <c r="AG514" t="s">
        <v>125</v>
      </c>
      <c r="AH514" t="s">
        <v>126</v>
      </c>
      <c r="AI514" t="str">
        <f>"1701053"</f>
        <v>1701053</v>
      </c>
      <c r="AJ514" t="s">
        <v>398</v>
      </c>
      <c r="AK514">
        <v>2810251434</v>
      </c>
      <c r="AL514" t="s">
        <v>399</v>
      </c>
      <c r="AM514" t="s">
        <v>78</v>
      </c>
      <c r="AN514" t="s">
        <v>78</v>
      </c>
      <c r="AO514" t="s">
        <v>78</v>
      </c>
      <c r="AP514" t="s">
        <v>141</v>
      </c>
      <c r="AQ514">
        <v>7</v>
      </c>
      <c r="AR514" t="s">
        <v>123</v>
      </c>
      <c r="AS514" t="s">
        <v>124</v>
      </c>
      <c r="AT514" t="s">
        <v>58</v>
      </c>
      <c r="AU514" t="s">
        <v>68</v>
      </c>
      <c r="AV514" t="s">
        <v>69</v>
      </c>
      <c r="AW514" s="1">
        <v>24639</v>
      </c>
      <c r="AX514">
        <v>2</v>
      </c>
    </row>
    <row r="515" spans="1:50">
      <c r="B515" t="str">
        <f>"062787878"</f>
        <v>062787878</v>
      </c>
      <c r="C515" t="s">
        <v>50</v>
      </c>
      <c r="D515" t="s">
        <v>1509</v>
      </c>
      <c r="E515" t="s">
        <v>52</v>
      </c>
      <c r="F515" t="s">
        <v>1070</v>
      </c>
      <c r="G515" t="s">
        <v>1512</v>
      </c>
      <c r="H515" t="str">
        <f>"ΣΤΕΝΗΜΑΧΟΥ 39 ΗΡΑΚΛΕΙΟ"</f>
        <v>ΣΤΕΝΗΜΑΧΟΥ 39 ΗΡΑΚΛΕΙΟ</v>
      </c>
      <c r="I515">
        <v>71305</v>
      </c>
      <c r="J515">
        <v>2810256557</v>
      </c>
      <c r="K515">
        <v>6944900697</v>
      </c>
      <c r="M515" t="s">
        <v>1513</v>
      </c>
      <c r="N515" t="s">
        <v>1514</v>
      </c>
      <c r="O515" t="s">
        <v>1515</v>
      </c>
      <c r="R515" t="s">
        <v>57</v>
      </c>
      <c r="S515">
        <v>6</v>
      </c>
      <c r="T515" t="s">
        <v>344</v>
      </c>
      <c r="U515" s="1">
        <v>43348</v>
      </c>
      <c r="V515" t="s">
        <v>123</v>
      </c>
      <c r="W515" t="s">
        <v>124</v>
      </c>
      <c r="X515" t="s">
        <v>58</v>
      </c>
      <c r="Y515">
        <v>21</v>
      </c>
      <c r="Z515" t="s">
        <v>59</v>
      </c>
      <c r="AA515" t="s">
        <v>59</v>
      </c>
      <c r="AB515" t="s">
        <v>59</v>
      </c>
      <c r="AC515" t="s">
        <v>59</v>
      </c>
      <c r="AD515" t="s">
        <v>59</v>
      </c>
      <c r="AF515" s="1">
        <v>43348</v>
      </c>
      <c r="AG515" t="s">
        <v>345</v>
      </c>
      <c r="AH515" t="s">
        <v>346</v>
      </c>
      <c r="AI515" t="str">
        <f>"1741001"</f>
        <v>1741001</v>
      </c>
      <c r="AJ515" t="s">
        <v>655</v>
      </c>
      <c r="AK515">
        <v>2810360436</v>
      </c>
      <c r="AL515" t="s">
        <v>656</v>
      </c>
      <c r="AM515" t="s">
        <v>78</v>
      </c>
      <c r="AN515" t="s">
        <v>78</v>
      </c>
      <c r="AO515" t="s">
        <v>78</v>
      </c>
      <c r="AP515" t="s">
        <v>141</v>
      </c>
      <c r="AQ515">
        <v>11</v>
      </c>
      <c r="AR515" t="s">
        <v>123</v>
      </c>
      <c r="AS515" t="s">
        <v>124</v>
      </c>
      <c r="AT515" t="s">
        <v>58</v>
      </c>
      <c r="AU515" t="s">
        <v>350</v>
      </c>
      <c r="AV515" t="s">
        <v>132</v>
      </c>
      <c r="AW515" s="1">
        <v>23558</v>
      </c>
      <c r="AX515">
        <v>2</v>
      </c>
    </row>
    <row r="516" spans="1:50">
      <c r="A516">
        <v>192336</v>
      </c>
      <c r="B516" t="str">
        <f>"039345392"</f>
        <v>039345392</v>
      </c>
      <c r="C516" t="s">
        <v>50</v>
      </c>
      <c r="D516" t="s">
        <v>1509</v>
      </c>
      <c r="E516" t="s">
        <v>1068</v>
      </c>
      <c r="F516" t="s">
        <v>1516</v>
      </c>
      <c r="G516" t="s">
        <v>263</v>
      </c>
      <c r="H516" t="str">
        <f>" "</f>
        <v xml:space="preserve"> </v>
      </c>
      <c r="M516" t="s">
        <v>1517</v>
      </c>
      <c r="N516" t="s">
        <v>1351</v>
      </c>
      <c r="O516" t="s">
        <v>1352</v>
      </c>
      <c r="R516" t="s">
        <v>57</v>
      </c>
      <c r="S516">
        <v>13</v>
      </c>
      <c r="T516">
        <v>312</v>
      </c>
      <c r="U516" s="1">
        <v>37239</v>
      </c>
      <c r="V516" t="s">
        <v>123</v>
      </c>
      <c r="W516" t="s">
        <v>124</v>
      </c>
      <c r="X516" t="s">
        <v>58</v>
      </c>
      <c r="Y516">
        <v>20</v>
      </c>
      <c r="Z516" t="s">
        <v>59</v>
      </c>
      <c r="AA516" t="s">
        <v>59</v>
      </c>
      <c r="AB516" t="s">
        <v>59</v>
      </c>
      <c r="AC516" t="s">
        <v>59</v>
      </c>
      <c r="AD516" t="s">
        <v>59</v>
      </c>
      <c r="AF516" s="1">
        <v>37242</v>
      </c>
      <c r="AG516" t="s">
        <v>137</v>
      </c>
      <c r="AH516" t="s">
        <v>138</v>
      </c>
      <c r="AI516" t="str">
        <f>"1740100"</f>
        <v>1740100</v>
      </c>
      <c r="AJ516" t="s">
        <v>857</v>
      </c>
      <c r="AK516">
        <v>2810360741</v>
      </c>
      <c r="AL516" t="s">
        <v>858</v>
      </c>
      <c r="AM516" t="s">
        <v>78</v>
      </c>
      <c r="AN516" t="s">
        <v>78</v>
      </c>
      <c r="AO516" t="s">
        <v>78</v>
      </c>
      <c r="AP516" t="s">
        <v>163</v>
      </c>
      <c r="AQ516">
        <v>5</v>
      </c>
      <c r="AR516" t="s">
        <v>123</v>
      </c>
      <c r="AS516" t="s">
        <v>124</v>
      </c>
      <c r="AT516" t="s">
        <v>58</v>
      </c>
      <c r="AU516" t="s">
        <v>68</v>
      </c>
      <c r="AV516" t="s">
        <v>69</v>
      </c>
      <c r="AW516" s="1">
        <v>24313</v>
      </c>
      <c r="AX516">
        <v>2</v>
      </c>
    </row>
    <row r="517" spans="1:50">
      <c r="A517">
        <v>704140</v>
      </c>
      <c r="B517" t="str">
        <f>"055210725"</f>
        <v>055210725</v>
      </c>
      <c r="C517" t="s">
        <v>105</v>
      </c>
      <c r="D517" t="s">
        <v>1518</v>
      </c>
      <c r="E517" t="s">
        <v>1519</v>
      </c>
      <c r="F517" t="s">
        <v>53</v>
      </c>
      <c r="G517" t="s">
        <v>1520</v>
      </c>
      <c r="H517" t="str">
        <f>" "</f>
        <v xml:space="preserve"> </v>
      </c>
      <c r="K517">
        <v>6975302715</v>
      </c>
      <c r="M517" t="s">
        <v>1521</v>
      </c>
      <c r="N517" t="s">
        <v>157</v>
      </c>
      <c r="O517" t="s">
        <v>158</v>
      </c>
      <c r="R517" t="s">
        <v>57</v>
      </c>
      <c r="S517">
        <v>8</v>
      </c>
      <c r="T517">
        <v>1350</v>
      </c>
      <c r="U517" s="1">
        <v>42732</v>
      </c>
      <c r="V517" t="s">
        <v>123</v>
      </c>
      <c r="W517" t="s">
        <v>124</v>
      </c>
      <c r="X517" t="s">
        <v>58</v>
      </c>
      <c r="Y517">
        <v>23</v>
      </c>
      <c r="Z517" t="s">
        <v>59</v>
      </c>
      <c r="AA517" t="s">
        <v>59</v>
      </c>
      <c r="AB517" t="s">
        <v>59</v>
      </c>
      <c r="AD517" t="s">
        <v>59</v>
      </c>
      <c r="AF517" s="1">
        <v>42734</v>
      </c>
      <c r="AG517" t="s">
        <v>148</v>
      </c>
      <c r="AH517" t="s">
        <v>149</v>
      </c>
      <c r="AI517" t="str">
        <f>"1751040"</f>
        <v>1751040</v>
      </c>
      <c r="AJ517" t="s">
        <v>178</v>
      </c>
      <c r="AK517">
        <v>2810252495</v>
      </c>
      <c r="AL517" t="s">
        <v>179</v>
      </c>
      <c r="AM517" t="s">
        <v>78</v>
      </c>
      <c r="AN517" t="s">
        <v>78</v>
      </c>
      <c r="AO517" t="s">
        <v>78</v>
      </c>
      <c r="AP517" t="s">
        <v>141</v>
      </c>
      <c r="AQ517">
        <v>3</v>
      </c>
      <c r="AR517" t="s">
        <v>123</v>
      </c>
      <c r="AS517" t="s">
        <v>124</v>
      </c>
      <c r="AT517" t="s">
        <v>58</v>
      </c>
      <c r="AU517" t="s">
        <v>68</v>
      </c>
      <c r="AV517" t="s">
        <v>69</v>
      </c>
      <c r="AX517">
        <v>2</v>
      </c>
    </row>
    <row r="518" spans="1:50">
      <c r="A518">
        <v>184662</v>
      </c>
      <c r="B518" t="str">
        <f>"101729717"</f>
        <v>101729717</v>
      </c>
      <c r="C518" t="s">
        <v>50</v>
      </c>
      <c r="D518" t="s">
        <v>1522</v>
      </c>
      <c r="E518" t="s">
        <v>52</v>
      </c>
      <c r="F518" t="s">
        <v>1523</v>
      </c>
      <c r="G518" t="s">
        <v>250</v>
      </c>
      <c r="H518" t="str">
        <f>"ΣΙΚΥΩΝΟΣ 9 ΗΡΑΚΛΕΙΟΥ"</f>
        <v>ΣΙΚΥΩΝΟΣ 9 ΗΡΑΚΛΕΙΟΥ</v>
      </c>
      <c r="I518">
        <v>71409</v>
      </c>
      <c r="J518">
        <v>2810237767</v>
      </c>
      <c r="K518">
        <v>6936105232</v>
      </c>
      <c r="M518" t="s">
        <v>1524</v>
      </c>
      <c r="N518" t="s">
        <v>299</v>
      </c>
      <c r="O518" t="s">
        <v>300</v>
      </c>
      <c r="P518" t="s">
        <v>1525</v>
      </c>
      <c r="Q518" t="s">
        <v>1526</v>
      </c>
      <c r="R518" t="s">
        <v>57</v>
      </c>
      <c r="S518">
        <v>13</v>
      </c>
      <c r="T518">
        <v>177</v>
      </c>
      <c r="U518" s="1">
        <v>36403</v>
      </c>
      <c r="V518" t="s">
        <v>123</v>
      </c>
      <c r="W518" t="s">
        <v>124</v>
      </c>
      <c r="X518" t="s">
        <v>58</v>
      </c>
      <c r="Y518">
        <v>18</v>
      </c>
      <c r="Z518" t="s">
        <v>59</v>
      </c>
      <c r="AA518" t="s">
        <v>59</v>
      </c>
      <c r="AB518" t="s">
        <v>59</v>
      </c>
      <c r="AC518" t="s">
        <v>59</v>
      </c>
      <c r="AD518" t="s">
        <v>59</v>
      </c>
      <c r="AF518" s="1">
        <v>36411</v>
      </c>
      <c r="AG518" t="s">
        <v>137</v>
      </c>
      <c r="AH518" t="s">
        <v>138</v>
      </c>
      <c r="AI518" t="str">
        <f>"1740080"</f>
        <v>1740080</v>
      </c>
      <c r="AJ518" t="s">
        <v>284</v>
      </c>
      <c r="AK518">
        <v>2810220433</v>
      </c>
      <c r="AL518" t="s">
        <v>285</v>
      </c>
      <c r="AM518" t="s">
        <v>78</v>
      </c>
      <c r="AN518" t="s">
        <v>78</v>
      </c>
      <c r="AO518" t="s">
        <v>286</v>
      </c>
      <c r="AP518" t="s">
        <v>286</v>
      </c>
      <c r="AQ518">
        <v>12</v>
      </c>
      <c r="AR518" t="s">
        <v>123</v>
      </c>
      <c r="AS518" t="s">
        <v>124</v>
      </c>
      <c r="AT518" t="s">
        <v>58</v>
      </c>
      <c r="AU518" t="s">
        <v>68</v>
      </c>
      <c r="AV518" t="s">
        <v>69</v>
      </c>
      <c r="AW518" s="1">
        <v>24742</v>
      </c>
      <c r="AX518">
        <v>2</v>
      </c>
    </row>
    <row r="519" spans="1:50">
      <c r="A519">
        <v>195925</v>
      </c>
      <c r="B519" t="str">
        <f>"064608329"</f>
        <v>064608329</v>
      </c>
      <c r="C519" t="s">
        <v>105</v>
      </c>
      <c r="D519" t="s">
        <v>1527</v>
      </c>
      <c r="E519" t="s">
        <v>166</v>
      </c>
      <c r="F519" t="s">
        <v>1523</v>
      </c>
      <c r="G519" t="s">
        <v>250</v>
      </c>
      <c r="H519" t="str">
        <f>"ΣΙΚΥΩΝΟΣ 9 ΗΡΑΚΛΕΙΟ"</f>
        <v>ΣΙΚΥΩΝΟΣ 9 ΗΡΑΚΛΕΙΟ</v>
      </c>
      <c r="I519">
        <v>71409</v>
      </c>
      <c r="J519">
        <v>2810214097</v>
      </c>
      <c r="K519">
        <v>6936105223</v>
      </c>
      <c r="L519">
        <v>2891041219</v>
      </c>
      <c r="M519" t="s">
        <v>1528</v>
      </c>
      <c r="N519" t="s">
        <v>331</v>
      </c>
      <c r="O519" t="s">
        <v>332</v>
      </c>
      <c r="P519" t="s">
        <v>204</v>
      </c>
      <c r="Q519" t="s">
        <v>205</v>
      </c>
      <c r="R519" t="s">
        <v>57</v>
      </c>
      <c r="S519">
        <v>10</v>
      </c>
      <c r="T519">
        <v>194</v>
      </c>
      <c r="U519" s="1">
        <v>37497</v>
      </c>
      <c r="V519" t="s">
        <v>123</v>
      </c>
      <c r="W519" t="s">
        <v>124</v>
      </c>
      <c r="X519" t="s">
        <v>58</v>
      </c>
      <c r="Y519">
        <v>20</v>
      </c>
      <c r="Z519" t="s">
        <v>59</v>
      </c>
      <c r="AA519" t="s">
        <v>59</v>
      </c>
      <c r="AB519" t="s">
        <v>59</v>
      </c>
      <c r="AC519" t="s">
        <v>59</v>
      </c>
      <c r="AD519" t="s">
        <v>59</v>
      </c>
      <c r="AF519" s="1">
        <v>37501</v>
      </c>
      <c r="AG519" t="s">
        <v>137</v>
      </c>
      <c r="AH519" t="s">
        <v>469</v>
      </c>
      <c r="AI519" t="str">
        <f>"1740200"</f>
        <v>1740200</v>
      </c>
      <c r="AJ519" t="s">
        <v>470</v>
      </c>
      <c r="AK519">
        <v>2810320770</v>
      </c>
      <c r="AL519" t="s">
        <v>471</v>
      </c>
      <c r="AM519" t="s">
        <v>78</v>
      </c>
      <c r="AN519" t="s">
        <v>78</v>
      </c>
      <c r="AO519" t="s">
        <v>78</v>
      </c>
      <c r="AP519" t="s">
        <v>163</v>
      </c>
      <c r="AQ519">
        <v>2</v>
      </c>
      <c r="AR519" t="s">
        <v>123</v>
      </c>
      <c r="AS519" t="s">
        <v>124</v>
      </c>
      <c r="AT519" t="s">
        <v>58</v>
      </c>
      <c r="AU519" t="s">
        <v>68</v>
      </c>
      <c r="AV519" t="s">
        <v>69</v>
      </c>
      <c r="AW519" s="1">
        <v>26521</v>
      </c>
      <c r="AX519">
        <v>2</v>
      </c>
    </row>
    <row r="520" spans="1:50">
      <c r="B520" t="str">
        <f>"054834116"</f>
        <v>054834116</v>
      </c>
      <c r="C520" t="s">
        <v>50</v>
      </c>
      <c r="D520" t="s">
        <v>1529</v>
      </c>
      <c r="E520" t="s">
        <v>1458</v>
      </c>
      <c r="F520" t="s">
        <v>1182</v>
      </c>
      <c r="G520" t="s">
        <v>1530</v>
      </c>
      <c r="H520" t="str">
        <f>"ΠΑΠΑΝΙΚΟΛΑΟΥ 6 ΡΕΘΥΜΝΟ"</f>
        <v>ΠΑΠΑΝΙΚΟΛΑΟΥ 6 ΡΕΘΥΜΝΟ</v>
      </c>
      <c r="I520">
        <v>74100</v>
      </c>
      <c r="J520">
        <v>2831025039</v>
      </c>
      <c r="K520">
        <v>6977721802</v>
      </c>
      <c r="M520" t="s">
        <v>1531</v>
      </c>
      <c r="N520" t="s">
        <v>146</v>
      </c>
      <c r="O520" t="s">
        <v>147</v>
      </c>
      <c r="R520" t="s">
        <v>159</v>
      </c>
      <c r="S520">
        <v>4</v>
      </c>
      <c r="T520" t="s">
        <v>160</v>
      </c>
      <c r="U520" s="1">
        <v>43364</v>
      </c>
      <c r="V520" t="s">
        <v>123</v>
      </c>
      <c r="W520" t="s">
        <v>124</v>
      </c>
      <c r="X520" t="s">
        <v>58</v>
      </c>
      <c r="Y520">
        <v>21</v>
      </c>
      <c r="Z520" t="s">
        <v>59</v>
      </c>
      <c r="AA520" t="s">
        <v>59</v>
      </c>
      <c r="AB520" t="s">
        <v>59</v>
      </c>
      <c r="AC520" t="s">
        <v>59</v>
      </c>
      <c r="AD520" t="s">
        <v>59</v>
      </c>
      <c r="AF520" s="1">
        <v>43367</v>
      </c>
      <c r="AG520" t="s">
        <v>125</v>
      </c>
      <c r="AH520" t="s">
        <v>126</v>
      </c>
      <c r="AI520" t="str">
        <f>"1713010"</f>
        <v>1713010</v>
      </c>
      <c r="AJ520" t="s">
        <v>369</v>
      </c>
      <c r="AK520">
        <v>2892051686</v>
      </c>
      <c r="AL520" t="s">
        <v>370</v>
      </c>
      <c r="AM520" t="s">
        <v>78</v>
      </c>
      <c r="AN520" t="s">
        <v>242</v>
      </c>
      <c r="AO520" t="s">
        <v>349</v>
      </c>
      <c r="AP520" t="s">
        <v>349</v>
      </c>
      <c r="AQ520">
        <v>35</v>
      </c>
      <c r="AR520" t="s">
        <v>123</v>
      </c>
      <c r="AS520" t="s">
        <v>124</v>
      </c>
      <c r="AT520" t="s">
        <v>58</v>
      </c>
      <c r="AU520" t="s">
        <v>164</v>
      </c>
      <c r="AV520" t="s">
        <v>132</v>
      </c>
      <c r="AW520" s="1">
        <v>25085</v>
      </c>
      <c r="AX520">
        <v>2</v>
      </c>
    </row>
    <row r="521" spans="1:50">
      <c r="A521">
        <v>157186</v>
      </c>
      <c r="B521" t="str">
        <f>"065200997"</f>
        <v>065200997</v>
      </c>
      <c r="C521" t="s">
        <v>50</v>
      </c>
      <c r="D521" t="s">
        <v>1532</v>
      </c>
      <c r="E521" t="s">
        <v>255</v>
      </c>
      <c r="F521" t="s">
        <v>315</v>
      </c>
      <c r="G521" t="s">
        <v>191</v>
      </c>
      <c r="H521" t="str">
        <f>"ΤΙΜΟΧΑΡΟΥΣ 7 ΜΑΣΤΑΜΠΑΣ"</f>
        <v>ΤΙΜΟΧΑΡΟΥΣ 7 ΜΑΣΤΑΜΠΑΣ</v>
      </c>
      <c r="I521">
        <v>71305</v>
      </c>
      <c r="J521">
        <v>2810262151</v>
      </c>
      <c r="K521">
        <v>6972415324</v>
      </c>
      <c r="M521" t="s">
        <v>1533</v>
      </c>
      <c r="N521" t="s">
        <v>306</v>
      </c>
      <c r="O521" t="s">
        <v>307</v>
      </c>
      <c r="R521" t="s">
        <v>57</v>
      </c>
      <c r="S521">
        <v>15</v>
      </c>
      <c r="T521">
        <v>188</v>
      </c>
      <c r="U521" s="1">
        <v>32752</v>
      </c>
      <c r="V521" t="s">
        <v>123</v>
      </c>
      <c r="W521" t="s">
        <v>124</v>
      </c>
      <c r="X521" t="s">
        <v>58</v>
      </c>
      <c r="Y521">
        <v>18</v>
      </c>
      <c r="Z521" t="s">
        <v>59</v>
      </c>
      <c r="AA521" t="s">
        <v>59</v>
      </c>
      <c r="AB521" t="s">
        <v>59</v>
      </c>
      <c r="AC521" t="s">
        <v>59</v>
      </c>
      <c r="AD521" t="s">
        <v>59</v>
      </c>
      <c r="AF521" s="1">
        <v>32756</v>
      </c>
      <c r="AG521" t="s">
        <v>125</v>
      </c>
      <c r="AH521" t="s">
        <v>126</v>
      </c>
      <c r="AI521" t="str">
        <f>"1728010"</f>
        <v>1728010</v>
      </c>
      <c r="AJ521" t="s">
        <v>127</v>
      </c>
      <c r="AK521">
        <v>2810824651</v>
      </c>
      <c r="AL521" t="s">
        <v>128</v>
      </c>
      <c r="AM521" t="s">
        <v>78</v>
      </c>
      <c r="AN521" t="s">
        <v>129</v>
      </c>
      <c r="AO521" t="s">
        <v>130</v>
      </c>
      <c r="AP521" t="s">
        <v>130</v>
      </c>
      <c r="AQ521">
        <v>36</v>
      </c>
      <c r="AR521" t="s">
        <v>123</v>
      </c>
      <c r="AS521" t="s">
        <v>124</v>
      </c>
      <c r="AT521" t="s">
        <v>58</v>
      </c>
      <c r="AU521" t="s">
        <v>68</v>
      </c>
      <c r="AV521" t="s">
        <v>69</v>
      </c>
      <c r="AW521" s="1">
        <v>22282</v>
      </c>
      <c r="AX521">
        <v>2</v>
      </c>
    </row>
    <row r="522" spans="1:50">
      <c r="A522">
        <v>175384</v>
      </c>
      <c r="B522" t="str">
        <f>"036464492"</f>
        <v>036464492</v>
      </c>
      <c r="C522" t="s">
        <v>50</v>
      </c>
      <c r="D522" t="s">
        <v>1534</v>
      </c>
      <c r="E522" t="s">
        <v>215</v>
      </c>
      <c r="F522" t="s">
        <v>95</v>
      </c>
      <c r="G522" t="s">
        <v>553</v>
      </c>
      <c r="H522" t="str">
        <f>"ΚΟΚΚΙΝΗ ΧΑΝΙ ΚΟΚΚΙΝΗ ΧΑΝΙ"</f>
        <v>ΚΟΚΚΙΝΗ ΧΑΝΙ ΚΟΚΚΙΝΗ ΧΑΝΙ</v>
      </c>
      <c r="I522">
        <v>71500</v>
      </c>
      <c r="J522">
        <v>2810332060</v>
      </c>
      <c r="K522">
        <v>6973399979</v>
      </c>
      <c r="M522" t="s">
        <v>1535</v>
      </c>
      <c r="N522" t="s">
        <v>146</v>
      </c>
      <c r="O522" t="s">
        <v>147</v>
      </c>
      <c r="R522" t="s">
        <v>57</v>
      </c>
      <c r="S522">
        <v>12</v>
      </c>
      <c r="T522">
        <v>180</v>
      </c>
      <c r="U522" s="1">
        <v>35674</v>
      </c>
      <c r="V522" t="s">
        <v>123</v>
      </c>
      <c r="W522" t="s">
        <v>124</v>
      </c>
      <c r="X522" t="s">
        <v>58</v>
      </c>
      <c r="Y522">
        <v>18</v>
      </c>
      <c r="Z522" t="s">
        <v>59</v>
      </c>
      <c r="AA522" t="s">
        <v>59</v>
      </c>
      <c r="AB522" t="s">
        <v>59</v>
      </c>
      <c r="AC522" t="s">
        <v>59</v>
      </c>
      <c r="AD522" t="s">
        <v>59</v>
      </c>
      <c r="AF522" s="1">
        <v>35678</v>
      </c>
      <c r="AG522" t="s">
        <v>125</v>
      </c>
      <c r="AH522" t="s">
        <v>126</v>
      </c>
      <c r="AI522" t="str">
        <f>"1714012"</f>
        <v>1714012</v>
      </c>
      <c r="AJ522" t="s">
        <v>633</v>
      </c>
      <c r="AK522">
        <v>2810762261</v>
      </c>
      <c r="AL522" t="s">
        <v>634</v>
      </c>
      <c r="AM522" t="s">
        <v>78</v>
      </c>
      <c r="AN522" t="s">
        <v>219</v>
      </c>
      <c r="AO522" t="s">
        <v>297</v>
      </c>
      <c r="AP522" t="s">
        <v>297</v>
      </c>
      <c r="AQ522">
        <v>37</v>
      </c>
      <c r="AR522" t="s">
        <v>123</v>
      </c>
      <c r="AS522" t="s">
        <v>124</v>
      </c>
      <c r="AT522" t="s">
        <v>58</v>
      </c>
      <c r="AU522" t="s">
        <v>68</v>
      </c>
      <c r="AV522" t="s">
        <v>69</v>
      </c>
      <c r="AW522" s="1">
        <v>24469</v>
      </c>
      <c r="AX522">
        <v>2</v>
      </c>
    </row>
    <row r="523" spans="1:50">
      <c r="A523">
        <v>190536</v>
      </c>
      <c r="B523" t="str">
        <f>"065741114"</f>
        <v>065741114</v>
      </c>
      <c r="C523" t="s">
        <v>105</v>
      </c>
      <c r="D523" t="s">
        <v>1536</v>
      </c>
      <c r="E523" t="s">
        <v>95</v>
      </c>
      <c r="F523" t="s">
        <v>53</v>
      </c>
      <c r="G523" t="s">
        <v>1065</v>
      </c>
      <c r="H523" t="str">
        <f>"ΜΑΝΗΣ 1 ΚΑΒΑΛΑ"</f>
        <v>ΜΑΝΗΣ 1 ΚΑΒΑΛΑ</v>
      </c>
      <c r="I523">
        <v>65404</v>
      </c>
      <c r="K523">
        <v>6972553537</v>
      </c>
      <c r="M523" t="s">
        <v>1537</v>
      </c>
      <c r="N523" t="s">
        <v>176</v>
      </c>
      <c r="O523" t="s">
        <v>177</v>
      </c>
      <c r="R523" t="s">
        <v>57</v>
      </c>
      <c r="S523">
        <v>9</v>
      </c>
      <c r="T523">
        <v>219</v>
      </c>
      <c r="U523" s="1">
        <v>37134</v>
      </c>
      <c r="V523" t="s">
        <v>123</v>
      </c>
      <c r="W523" t="s">
        <v>124</v>
      </c>
      <c r="X523" t="s">
        <v>58</v>
      </c>
      <c r="Y523">
        <v>20</v>
      </c>
      <c r="Z523" t="s">
        <v>59</v>
      </c>
      <c r="AA523" t="s">
        <v>59</v>
      </c>
      <c r="AB523" t="s">
        <v>59</v>
      </c>
      <c r="AC523" t="s">
        <v>59</v>
      </c>
      <c r="AD523" t="s">
        <v>59</v>
      </c>
      <c r="AF523" s="1">
        <v>37140</v>
      </c>
      <c r="AG523" t="s">
        <v>148</v>
      </c>
      <c r="AH523" t="s">
        <v>149</v>
      </c>
      <c r="AI523" t="str">
        <f>"1758010"</f>
        <v>1758010</v>
      </c>
      <c r="AJ523" t="s">
        <v>575</v>
      </c>
      <c r="AK523">
        <v>2893022145</v>
      </c>
      <c r="AL523" t="s">
        <v>576</v>
      </c>
      <c r="AM523" t="s">
        <v>78</v>
      </c>
      <c r="AN523" t="s">
        <v>424</v>
      </c>
      <c r="AO523" t="s">
        <v>577</v>
      </c>
      <c r="AP523" t="s">
        <v>578</v>
      </c>
      <c r="AQ523">
        <v>24</v>
      </c>
      <c r="AR523" t="s">
        <v>123</v>
      </c>
      <c r="AS523" t="s">
        <v>124</v>
      </c>
      <c r="AT523" t="s">
        <v>58</v>
      </c>
      <c r="AU523" t="s">
        <v>68</v>
      </c>
      <c r="AV523" t="s">
        <v>357</v>
      </c>
      <c r="AW523" s="1">
        <v>26415</v>
      </c>
      <c r="AX523">
        <v>2</v>
      </c>
    </row>
    <row r="524" spans="1:50">
      <c r="B524" t="str">
        <f>"111451514"</f>
        <v>111451514</v>
      </c>
      <c r="C524" t="s">
        <v>50</v>
      </c>
      <c r="D524" t="s">
        <v>1538</v>
      </c>
      <c r="E524" t="s">
        <v>255</v>
      </c>
      <c r="F524" t="s">
        <v>53</v>
      </c>
      <c r="G524" t="s">
        <v>476</v>
      </c>
      <c r="H524" t="str">
        <f>"ΔΡΥΜΗΤΙΝΟΥ 50 ΗΡΑΚΛΕΙΟ"</f>
        <v>ΔΡΥΜΗΤΙΝΟΥ 50 ΗΡΑΚΛΕΙΟ</v>
      </c>
      <c r="I524">
        <v>71305</v>
      </c>
      <c r="J524">
        <v>2810370060</v>
      </c>
      <c r="K524">
        <v>6932104800</v>
      </c>
      <c r="M524" t="s">
        <v>1539</v>
      </c>
      <c r="N524" t="s">
        <v>292</v>
      </c>
      <c r="O524" t="s">
        <v>293</v>
      </c>
      <c r="R524" t="s">
        <v>159</v>
      </c>
      <c r="S524">
        <v>4</v>
      </c>
      <c r="T524" t="s">
        <v>160</v>
      </c>
      <c r="U524" s="1">
        <v>43364</v>
      </c>
      <c r="V524" t="s">
        <v>123</v>
      </c>
      <c r="W524" t="s">
        <v>124</v>
      </c>
      <c r="X524" t="s">
        <v>58</v>
      </c>
      <c r="Y524">
        <v>21</v>
      </c>
      <c r="Z524" t="s">
        <v>59</v>
      </c>
      <c r="AA524" t="s">
        <v>59</v>
      </c>
      <c r="AB524" t="s">
        <v>59</v>
      </c>
      <c r="AC524" t="s">
        <v>59</v>
      </c>
      <c r="AD524" t="s">
        <v>59</v>
      </c>
      <c r="AF524" s="1">
        <v>43367</v>
      </c>
      <c r="AG524" t="s">
        <v>125</v>
      </c>
      <c r="AH524" t="s">
        <v>126</v>
      </c>
      <c r="AI524" t="str">
        <f>"1706010"</f>
        <v>1706010</v>
      </c>
      <c r="AJ524" t="s">
        <v>391</v>
      </c>
      <c r="AK524">
        <v>2892022286</v>
      </c>
      <c r="AL524" t="s">
        <v>392</v>
      </c>
      <c r="AM524" t="s">
        <v>78</v>
      </c>
      <c r="AN524" t="s">
        <v>242</v>
      </c>
      <c r="AO524" t="s">
        <v>243</v>
      </c>
      <c r="AP524" t="s">
        <v>243</v>
      </c>
      <c r="AQ524">
        <v>33</v>
      </c>
      <c r="AR524" t="s">
        <v>123</v>
      </c>
      <c r="AS524" t="s">
        <v>124</v>
      </c>
      <c r="AT524" t="s">
        <v>58</v>
      </c>
      <c r="AU524" t="s">
        <v>164</v>
      </c>
      <c r="AV524" t="s">
        <v>132</v>
      </c>
      <c r="AW524" s="1">
        <v>27031</v>
      </c>
      <c r="AX524">
        <v>2</v>
      </c>
    </row>
    <row r="525" spans="1:50">
      <c r="A525">
        <v>163722</v>
      </c>
      <c r="B525" t="str">
        <f>"036464793"</f>
        <v>036464793</v>
      </c>
      <c r="C525" t="s">
        <v>50</v>
      </c>
      <c r="D525" t="s">
        <v>1540</v>
      </c>
      <c r="E525" t="s">
        <v>255</v>
      </c>
      <c r="F525" t="s">
        <v>95</v>
      </c>
      <c r="G525" t="s">
        <v>143</v>
      </c>
      <c r="H525" t="str">
        <f>"ΗΒΗΣ 10 ΗΡΑΚΛΕΙΟ"</f>
        <v>ΗΒΗΣ 10 ΗΡΑΚΛΕΙΟ</v>
      </c>
      <c r="I525">
        <v>71409</v>
      </c>
      <c r="J525">
        <v>2810237337</v>
      </c>
      <c r="K525">
        <v>6947270488</v>
      </c>
      <c r="M525" t="s">
        <v>1541</v>
      </c>
      <c r="N525" t="s">
        <v>157</v>
      </c>
      <c r="O525" t="s">
        <v>158</v>
      </c>
      <c r="P525" t="s">
        <v>146</v>
      </c>
      <c r="Q525" t="s">
        <v>147</v>
      </c>
      <c r="R525" t="s">
        <v>57</v>
      </c>
      <c r="S525">
        <v>14</v>
      </c>
      <c r="T525">
        <v>161</v>
      </c>
      <c r="U525" s="1">
        <v>33844</v>
      </c>
      <c r="V525" t="s">
        <v>123</v>
      </c>
      <c r="W525" t="s">
        <v>124</v>
      </c>
      <c r="X525" t="s">
        <v>58</v>
      </c>
      <c r="Y525">
        <v>18</v>
      </c>
      <c r="Z525" t="s">
        <v>59</v>
      </c>
      <c r="AA525" t="s">
        <v>59</v>
      </c>
      <c r="AB525" t="s">
        <v>59</v>
      </c>
      <c r="AC525" t="s">
        <v>59</v>
      </c>
      <c r="AD525" t="s">
        <v>59</v>
      </c>
      <c r="AF525" s="1">
        <v>33851</v>
      </c>
      <c r="AG525" t="s">
        <v>148</v>
      </c>
      <c r="AH525" t="s">
        <v>149</v>
      </c>
      <c r="AI525" t="str">
        <f>"1751052"</f>
        <v>1751052</v>
      </c>
      <c r="AJ525" t="s">
        <v>328</v>
      </c>
      <c r="AK525">
        <v>2810213762</v>
      </c>
      <c r="AL525" t="s">
        <v>329</v>
      </c>
      <c r="AM525" t="s">
        <v>78</v>
      </c>
      <c r="AN525" t="s">
        <v>78</v>
      </c>
      <c r="AO525" t="s">
        <v>78</v>
      </c>
      <c r="AP525" t="s">
        <v>163</v>
      </c>
      <c r="AQ525">
        <v>8</v>
      </c>
      <c r="AR525" t="s">
        <v>123</v>
      </c>
      <c r="AS525" t="s">
        <v>124</v>
      </c>
      <c r="AT525" t="s">
        <v>58</v>
      </c>
      <c r="AU525" t="s">
        <v>68</v>
      </c>
      <c r="AV525" t="s">
        <v>69</v>
      </c>
      <c r="AW525" s="1">
        <v>23805</v>
      </c>
      <c r="AX525">
        <v>2</v>
      </c>
    </row>
    <row r="526" spans="1:50">
      <c r="A526">
        <v>220138</v>
      </c>
      <c r="B526" t="str">
        <f>"078753267"</f>
        <v>078753267</v>
      </c>
      <c r="C526" t="s">
        <v>105</v>
      </c>
      <c r="D526" t="s">
        <v>1542</v>
      </c>
      <c r="E526" t="s">
        <v>1543</v>
      </c>
      <c r="F526" t="s">
        <v>99</v>
      </c>
      <c r="G526" t="s">
        <v>1544</v>
      </c>
      <c r="H526" t="str">
        <f>" "</f>
        <v xml:space="preserve"> </v>
      </c>
      <c r="J526">
        <v>2810212167</v>
      </c>
      <c r="K526">
        <v>6945759549</v>
      </c>
      <c r="M526" t="s">
        <v>1545</v>
      </c>
      <c r="N526" t="s">
        <v>168</v>
      </c>
      <c r="O526" t="s">
        <v>169</v>
      </c>
      <c r="R526" t="s">
        <v>57</v>
      </c>
      <c r="S526">
        <v>7</v>
      </c>
      <c r="T526">
        <v>599</v>
      </c>
      <c r="U526" s="1">
        <v>39310</v>
      </c>
      <c r="V526" t="s">
        <v>123</v>
      </c>
      <c r="W526" t="s">
        <v>124</v>
      </c>
      <c r="X526" t="s">
        <v>58</v>
      </c>
      <c r="Y526">
        <v>20</v>
      </c>
      <c r="Z526" t="s">
        <v>59</v>
      </c>
      <c r="AA526" t="s">
        <v>59</v>
      </c>
      <c r="AB526" t="s">
        <v>59</v>
      </c>
      <c r="AC526" t="s">
        <v>59</v>
      </c>
      <c r="AD526" t="s">
        <v>59</v>
      </c>
      <c r="AF526" s="1">
        <v>39310</v>
      </c>
      <c r="AG526" t="s">
        <v>137</v>
      </c>
      <c r="AH526" t="s">
        <v>469</v>
      </c>
      <c r="AI526" t="str">
        <f>"1740200"</f>
        <v>1740200</v>
      </c>
      <c r="AJ526" t="s">
        <v>470</v>
      </c>
      <c r="AK526">
        <v>2810320770</v>
      </c>
      <c r="AL526" t="s">
        <v>471</v>
      </c>
      <c r="AM526" t="s">
        <v>78</v>
      </c>
      <c r="AN526" t="s">
        <v>78</v>
      </c>
      <c r="AO526" t="s">
        <v>78</v>
      </c>
      <c r="AP526" t="s">
        <v>163</v>
      </c>
      <c r="AQ526">
        <v>2</v>
      </c>
      <c r="AR526" t="s">
        <v>123</v>
      </c>
      <c r="AS526" t="s">
        <v>124</v>
      </c>
      <c r="AT526" t="s">
        <v>58</v>
      </c>
      <c r="AU526" t="s">
        <v>68</v>
      </c>
      <c r="AV526" t="s">
        <v>69</v>
      </c>
      <c r="AW526" s="1">
        <v>27328</v>
      </c>
      <c r="AX526">
        <v>2</v>
      </c>
    </row>
    <row r="527" spans="1:50">
      <c r="A527">
        <v>206953</v>
      </c>
      <c r="B527" t="str">
        <f>"076373681"</f>
        <v>076373681</v>
      </c>
      <c r="C527" t="s">
        <v>105</v>
      </c>
      <c r="D527" t="s">
        <v>1546</v>
      </c>
      <c r="E527" t="s">
        <v>95</v>
      </c>
      <c r="F527" t="s">
        <v>166</v>
      </c>
      <c r="G527" t="s">
        <v>73</v>
      </c>
      <c r="H527" t="str">
        <f>"ΑΝΤ. ΜΗΛΙΑΡΑΚΗ 2 ΗΡΑΚΛΕΙΟ"</f>
        <v>ΑΝΤ. ΜΗΛΙΑΡΑΚΗ 2 ΗΡΑΚΛΕΙΟ</v>
      </c>
      <c r="I527">
        <v>71306</v>
      </c>
      <c r="J527">
        <v>2810228845</v>
      </c>
      <c r="K527">
        <v>6972070945</v>
      </c>
      <c r="N527" t="s">
        <v>292</v>
      </c>
      <c r="O527" t="s">
        <v>293</v>
      </c>
      <c r="P527" t="s">
        <v>204</v>
      </c>
      <c r="Q527" t="s">
        <v>205</v>
      </c>
      <c r="R527" t="s">
        <v>57</v>
      </c>
      <c r="S527">
        <v>8</v>
      </c>
      <c r="T527">
        <v>218</v>
      </c>
      <c r="U527" s="1">
        <v>38596</v>
      </c>
      <c r="V527" t="s">
        <v>123</v>
      </c>
      <c r="W527" t="s">
        <v>124</v>
      </c>
      <c r="X527" t="s">
        <v>58</v>
      </c>
      <c r="Y527">
        <v>20</v>
      </c>
      <c r="Z527" t="s">
        <v>59</v>
      </c>
      <c r="AA527" t="s">
        <v>59</v>
      </c>
      <c r="AB527" t="s">
        <v>59</v>
      </c>
      <c r="AC527" t="s">
        <v>59</v>
      </c>
      <c r="AD527" t="s">
        <v>59</v>
      </c>
      <c r="AF527" s="1">
        <v>38603</v>
      </c>
      <c r="AG527" t="s">
        <v>137</v>
      </c>
      <c r="AH527" t="s">
        <v>138</v>
      </c>
      <c r="AI527" t="str">
        <f>"1740210"</f>
        <v>1740210</v>
      </c>
      <c r="AJ527" t="s">
        <v>139</v>
      </c>
      <c r="AK527">
        <v>2810318130</v>
      </c>
      <c r="AL527" t="s">
        <v>140</v>
      </c>
      <c r="AM527" t="s">
        <v>78</v>
      </c>
      <c r="AN527" t="s">
        <v>78</v>
      </c>
      <c r="AO527" t="s">
        <v>78</v>
      </c>
      <c r="AP527" t="s">
        <v>141</v>
      </c>
      <c r="AQ527">
        <v>7</v>
      </c>
      <c r="AR527" t="s">
        <v>123</v>
      </c>
      <c r="AS527" t="s">
        <v>124</v>
      </c>
      <c r="AT527" t="s">
        <v>58</v>
      </c>
      <c r="AU527" t="s">
        <v>68</v>
      </c>
      <c r="AV527" t="s">
        <v>69</v>
      </c>
      <c r="AW527" s="1">
        <v>24381</v>
      </c>
      <c r="AX527">
        <v>2</v>
      </c>
    </row>
    <row r="528" spans="1:50">
      <c r="A528">
        <v>203561</v>
      </c>
      <c r="B528" t="str">
        <f>"123281272"</f>
        <v>123281272</v>
      </c>
      <c r="C528" t="s">
        <v>50</v>
      </c>
      <c r="D528" t="s">
        <v>1547</v>
      </c>
      <c r="E528" t="s">
        <v>52</v>
      </c>
      <c r="F528" t="s">
        <v>760</v>
      </c>
      <c r="G528" t="s">
        <v>1548</v>
      </c>
      <c r="H528" t="str">
        <f>"ΘΡΙΑΜΒΟΥ 22 ΗΡΑΚΛΕΙΟ"</f>
        <v>ΘΡΙΑΜΒΟΥ 22 ΗΡΑΚΛΕΙΟ</v>
      </c>
      <c r="I528">
        <v>71306</v>
      </c>
      <c r="J528">
        <v>2810213147</v>
      </c>
      <c r="K528">
        <v>6938093775</v>
      </c>
      <c r="M528" t="s">
        <v>1549</v>
      </c>
      <c r="N528" t="s">
        <v>683</v>
      </c>
      <c r="O528" t="s">
        <v>684</v>
      </c>
      <c r="R528" t="s">
        <v>57</v>
      </c>
      <c r="S528">
        <v>7</v>
      </c>
      <c r="T528">
        <v>231</v>
      </c>
      <c r="U528" s="1">
        <v>38230</v>
      </c>
      <c r="V528" t="s">
        <v>123</v>
      </c>
      <c r="W528" t="s">
        <v>124</v>
      </c>
      <c r="X528" t="s">
        <v>58</v>
      </c>
      <c r="Y528">
        <v>20</v>
      </c>
      <c r="Z528" t="s">
        <v>59</v>
      </c>
      <c r="AA528" t="s">
        <v>59</v>
      </c>
      <c r="AB528" t="s">
        <v>59</v>
      </c>
      <c r="AC528" t="s">
        <v>59</v>
      </c>
      <c r="AD528" t="s">
        <v>59</v>
      </c>
      <c r="AF528" s="1">
        <v>38232</v>
      </c>
      <c r="AG528" t="s">
        <v>125</v>
      </c>
      <c r="AH528" t="s">
        <v>126</v>
      </c>
      <c r="AI528" t="str">
        <f>"1701030"</f>
        <v>1701030</v>
      </c>
      <c r="AJ528" t="s">
        <v>270</v>
      </c>
      <c r="AK528">
        <v>2810361015</v>
      </c>
      <c r="AL528" t="s">
        <v>271</v>
      </c>
      <c r="AM528" t="s">
        <v>78</v>
      </c>
      <c r="AN528" t="s">
        <v>78</v>
      </c>
      <c r="AO528" t="s">
        <v>78</v>
      </c>
      <c r="AP528" t="s">
        <v>163</v>
      </c>
      <c r="AQ528">
        <v>2</v>
      </c>
      <c r="AR528" t="s">
        <v>123</v>
      </c>
      <c r="AS528" t="s">
        <v>124</v>
      </c>
      <c r="AT528" t="s">
        <v>58</v>
      </c>
      <c r="AU528" t="s">
        <v>68</v>
      </c>
      <c r="AV528" t="s">
        <v>69</v>
      </c>
      <c r="AW528" s="1">
        <v>27561</v>
      </c>
      <c r="AX528">
        <v>2</v>
      </c>
    </row>
    <row r="529" spans="1:50">
      <c r="A529">
        <v>219455</v>
      </c>
      <c r="B529" t="str">
        <f>"051280681"</f>
        <v>051280681</v>
      </c>
      <c r="C529" t="s">
        <v>50</v>
      </c>
      <c r="D529" t="s">
        <v>1550</v>
      </c>
      <c r="E529" t="s">
        <v>109</v>
      </c>
      <c r="F529" t="s">
        <v>84</v>
      </c>
      <c r="G529" t="s">
        <v>191</v>
      </c>
      <c r="H529" t="str">
        <f>"ΧΑΤΖΗΔΑΚΗ 9 ΗΡΑΚΛΕΙΟ"</f>
        <v>ΧΑΤΖΗΔΑΚΗ 9 ΗΡΑΚΛΕΙΟ</v>
      </c>
      <c r="I529">
        <v>71202</v>
      </c>
      <c r="J529">
        <v>2810244343</v>
      </c>
      <c r="K529">
        <v>6974921722</v>
      </c>
      <c r="M529" t="s">
        <v>1551</v>
      </c>
      <c r="N529" t="s">
        <v>288</v>
      </c>
      <c r="O529" t="s">
        <v>289</v>
      </c>
      <c r="R529" t="s">
        <v>57</v>
      </c>
      <c r="S529">
        <v>10</v>
      </c>
      <c r="T529">
        <v>599</v>
      </c>
      <c r="U529" s="1">
        <v>39310</v>
      </c>
      <c r="V529" t="s">
        <v>123</v>
      </c>
      <c r="W529" t="s">
        <v>124</v>
      </c>
      <c r="X529" t="s">
        <v>58</v>
      </c>
      <c r="Y529">
        <v>20</v>
      </c>
      <c r="Z529" t="s">
        <v>59</v>
      </c>
      <c r="AA529" t="s">
        <v>59</v>
      </c>
      <c r="AB529" t="s">
        <v>59</v>
      </c>
      <c r="AC529" t="s">
        <v>59</v>
      </c>
      <c r="AD529" t="s">
        <v>59</v>
      </c>
      <c r="AF529" s="1">
        <v>39328</v>
      </c>
      <c r="AG529" t="s">
        <v>125</v>
      </c>
      <c r="AH529" t="s">
        <v>386</v>
      </c>
      <c r="AI529" t="str">
        <f>"1741002"</f>
        <v>1741002</v>
      </c>
      <c r="AJ529" t="s">
        <v>387</v>
      </c>
      <c r="AK529">
        <v>2810762610</v>
      </c>
      <c r="AL529" t="s">
        <v>388</v>
      </c>
      <c r="AM529" t="s">
        <v>78</v>
      </c>
      <c r="AN529" t="s">
        <v>219</v>
      </c>
      <c r="AO529" t="s">
        <v>297</v>
      </c>
      <c r="AP529" t="s">
        <v>297</v>
      </c>
      <c r="AQ529">
        <v>10</v>
      </c>
      <c r="AR529" t="s">
        <v>123</v>
      </c>
      <c r="AS529" t="s">
        <v>124</v>
      </c>
      <c r="AT529" t="s">
        <v>58</v>
      </c>
      <c r="AU529" t="s">
        <v>68</v>
      </c>
      <c r="AV529" t="s">
        <v>69</v>
      </c>
      <c r="AW529" s="1">
        <v>27468</v>
      </c>
      <c r="AX529">
        <v>2</v>
      </c>
    </row>
    <row r="530" spans="1:50">
      <c r="A530">
        <v>207876</v>
      </c>
      <c r="B530" t="str">
        <f>"047288842"</f>
        <v>047288842</v>
      </c>
      <c r="C530" t="s">
        <v>50</v>
      </c>
      <c r="D530" t="s">
        <v>1552</v>
      </c>
      <c r="E530" t="s">
        <v>52</v>
      </c>
      <c r="F530" t="s">
        <v>99</v>
      </c>
      <c r="G530" t="s">
        <v>1553</v>
      </c>
      <c r="H530" t="str">
        <f>"ΑΡΧΑΝΕΣ ΗΡΑΚΛΕΙΟΥ"</f>
        <v>ΑΡΧΑΝΕΣ ΗΡΑΚΛΕΙΟΥ</v>
      </c>
      <c r="I530">
        <v>70100</v>
      </c>
      <c r="J530">
        <v>2810752309</v>
      </c>
      <c r="K530">
        <v>6976154191</v>
      </c>
      <c r="M530" t="s">
        <v>1554</v>
      </c>
      <c r="N530" t="s">
        <v>299</v>
      </c>
      <c r="O530" t="s">
        <v>300</v>
      </c>
      <c r="R530" t="s">
        <v>57</v>
      </c>
      <c r="S530">
        <v>6</v>
      </c>
      <c r="T530">
        <v>218</v>
      </c>
      <c r="U530" s="1">
        <v>38596</v>
      </c>
      <c r="V530" t="s">
        <v>123</v>
      </c>
      <c r="W530" t="s">
        <v>124</v>
      </c>
      <c r="X530" t="s">
        <v>58</v>
      </c>
      <c r="Y530">
        <v>20</v>
      </c>
      <c r="Z530" t="s">
        <v>59</v>
      </c>
      <c r="AA530" t="s">
        <v>59</v>
      </c>
      <c r="AB530" t="s">
        <v>59</v>
      </c>
      <c r="AC530" t="s">
        <v>59</v>
      </c>
      <c r="AD530" t="s">
        <v>59</v>
      </c>
      <c r="AF530" s="1">
        <v>38601</v>
      </c>
      <c r="AG530" t="s">
        <v>137</v>
      </c>
      <c r="AH530" t="s">
        <v>138</v>
      </c>
      <c r="AI530" t="str">
        <f>"1740210"</f>
        <v>1740210</v>
      </c>
      <c r="AJ530" t="s">
        <v>139</v>
      </c>
      <c r="AK530">
        <v>2810318130</v>
      </c>
      <c r="AL530" t="s">
        <v>140</v>
      </c>
      <c r="AM530" t="s">
        <v>78</v>
      </c>
      <c r="AN530" t="s">
        <v>78</v>
      </c>
      <c r="AO530" t="s">
        <v>78</v>
      </c>
      <c r="AP530" t="s">
        <v>141</v>
      </c>
      <c r="AQ530">
        <v>7</v>
      </c>
      <c r="AR530" t="s">
        <v>123</v>
      </c>
      <c r="AS530" t="s">
        <v>124</v>
      </c>
      <c r="AT530" t="s">
        <v>58</v>
      </c>
      <c r="AU530" t="s">
        <v>68</v>
      </c>
      <c r="AV530" t="s">
        <v>69</v>
      </c>
      <c r="AW530" s="1">
        <v>25177</v>
      </c>
      <c r="AX530">
        <v>2</v>
      </c>
    </row>
    <row r="531" spans="1:50">
      <c r="A531">
        <v>198228</v>
      </c>
      <c r="B531" t="str">
        <f>"065721489"</f>
        <v>065721489</v>
      </c>
      <c r="C531" t="s">
        <v>105</v>
      </c>
      <c r="D531" t="s">
        <v>1555</v>
      </c>
      <c r="E531" t="s">
        <v>1556</v>
      </c>
      <c r="F531" t="s">
        <v>72</v>
      </c>
      <c r="G531" t="s">
        <v>1355</v>
      </c>
      <c r="H531" t="str">
        <f>"ΚΥΒΕΛΗΣ 36 ΗΡΑΚΛΕΙΟ"</f>
        <v>ΚΥΒΕΛΗΣ 36 ΗΡΑΚΛΕΙΟ</v>
      </c>
      <c r="I531">
        <v>71303</v>
      </c>
      <c r="J531">
        <v>2107621268</v>
      </c>
      <c r="K531">
        <v>6976563903</v>
      </c>
      <c r="L531">
        <v>2810250033</v>
      </c>
      <c r="M531" t="s">
        <v>1557</v>
      </c>
      <c r="N531" t="s">
        <v>246</v>
      </c>
      <c r="O531" t="s">
        <v>247</v>
      </c>
      <c r="R531" t="s">
        <v>57</v>
      </c>
      <c r="S531">
        <v>8</v>
      </c>
      <c r="T531">
        <v>206</v>
      </c>
      <c r="U531" s="1">
        <v>37866</v>
      </c>
      <c r="V531" t="s">
        <v>123</v>
      </c>
      <c r="W531" t="s">
        <v>124</v>
      </c>
      <c r="X531" t="s">
        <v>58</v>
      </c>
      <c r="Y531">
        <v>20</v>
      </c>
      <c r="Z531" t="s">
        <v>59</v>
      </c>
      <c r="AA531" t="s">
        <v>59</v>
      </c>
      <c r="AB531" t="s">
        <v>59</v>
      </c>
      <c r="AC531" t="s">
        <v>59</v>
      </c>
      <c r="AD531" t="s">
        <v>59</v>
      </c>
      <c r="AF531" s="1">
        <v>37866</v>
      </c>
      <c r="AG531" t="s">
        <v>148</v>
      </c>
      <c r="AH531" t="s">
        <v>149</v>
      </c>
      <c r="AI531" t="str">
        <f>"1790100"</f>
        <v>1790100</v>
      </c>
      <c r="AJ531" t="s">
        <v>252</v>
      </c>
      <c r="AK531">
        <v>2810234876</v>
      </c>
      <c r="AL531" t="s">
        <v>253</v>
      </c>
      <c r="AM531" t="s">
        <v>78</v>
      </c>
      <c r="AN531" t="s">
        <v>78</v>
      </c>
      <c r="AO531" t="s">
        <v>78</v>
      </c>
      <c r="AP531" t="s">
        <v>163</v>
      </c>
      <c r="AQ531">
        <v>5</v>
      </c>
      <c r="AR531" t="s">
        <v>123</v>
      </c>
      <c r="AS531" t="s">
        <v>124</v>
      </c>
      <c r="AT531" t="s">
        <v>58</v>
      </c>
      <c r="AU531" t="s">
        <v>68</v>
      </c>
      <c r="AV531" t="s">
        <v>69</v>
      </c>
      <c r="AW531" s="1">
        <v>26157</v>
      </c>
      <c r="AX531">
        <v>2</v>
      </c>
    </row>
    <row r="532" spans="1:50">
      <c r="B532" t="str">
        <f>"107130421"</f>
        <v>107130421</v>
      </c>
      <c r="C532" t="s">
        <v>105</v>
      </c>
      <c r="D532" t="s">
        <v>1558</v>
      </c>
      <c r="E532" t="s">
        <v>1559</v>
      </c>
      <c r="F532" t="s">
        <v>1560</v>
      </c>
      <c r="G532" t="s">
        <v>52</v>
      </c>
      <c r="H532" t="str">
        <f>"ΔΡΑΚΟΠΟΥΛΟΥ 39 "</f>
        <v xml:space="preserve">ΔΡΑΚΟΠΟΥΛΟΥ 39 </v>
      </c>
      <c r="I532">
        <v>55132</v>
      </c>
      <c r="J532">
        <v>2310442377</v>
      </c>
      <c r="K532">
        <v>6932245525</v>
      </c>
      <c r="L532">
        <v>6980639510</v>
      </c>
      <c r="N532" t="s">
        <v>246</v>
      </c>
      <c r="O532" t="s">
        <v>247</v>
      </c>
      <c r="R532" t="s">
        <v>159</v>
      </c>
      <c r="S532">
        <v>4</v>
      </c>
      <c r="T532" t="s">
        <v>416</v>
      </c>
      <c r="U532" s="1">
        <v>43349</v>
      </c>
      <c r="V532" t="s">
        <v>123</v>
      </c>
      <c r="W532" t="s">
        <v>124</v>
      </c>
      <c r="X532" t="s">
        <v>58</v>
      </c>
      <c r="Y532">
        <v>21</v>
      </c>
      <c r="Z532" t="s">
        <v>59</v>
      </c>
      <c r="AA532" t="s">
        <v>59</v>
      </c>
      <c r="AB532" t="s">
        <v>59</v>
      </c>
      <c r="AC532" t="s">
        <v>59</v>
      </c>
      <c r="AD532" t="s">
        <v>59</v>
      </c>
      <c r="AF532" s="1">
        <v>43349</v>
      </c>
      <c r="AG532" t="s">
        <v>148</v>
      </c>
      <c r="AH532" t="s">
        <v>149</v>
      </c>
      <c r="AI532" t="str">
        <f>"1751030"</f>
        <v>1751030</v>
      </c>
      <c r="AJ532" t="s">
        <v>234</v>
      </c>
      <c r="AK532">
        <v>2810282911</v>
      </c>
      <c r="AL532" t="s">
        <v>235</v>
      </c>
      <c r="AM532" t="s">
        <v>78</v>
      </c>
      <c r="AN532" t="s">
        <v>78</v>
      </c>
      <c r="AO532" t="s">
        <v>78</v>
      </c>
      <c r="AP532" t="s">
        <v>163</v>
      </c>
      <c r="AQ532">
        <v>1</v>
      </c>
      <c r="AR532" t="s">
        <v>123</v>
      </c>
      <c r="AS532" t="s">
        <v>124</v>
      </c>
      <c r="AT532" t="s">
        <v>58</v>
      </c>
      <c r="AU532" t="s">
        <v>419</v>
      </c>
      <c r="AV532" t="s">
        <v>132</v>
      </c>
      <c r="AW532" s="1">
        <v>30051</v>
      </c>
      <c r="AX532">
        <v>2</v>
      </c>
    </row>
    <row r="533" spans="1:50">
      <c r="A533">
        <v>209055</v>
      </c>
      <c r="B533" t="str">
        <f>"061373360"</f>
        <v>061373360</v>
      </c>
      <c r="C533" t="s">
        <v>105</v>
      </c>
      <c r="D533" t="s">
        <v>1561</v>
      </c>
      <c r="E533" t="s">
        <v>92</v>
      </c>
      <c r="F533" t="s">
        <v>53</v>
      </c>
      <c r="G533" t="s">
        <v>1562</v>
      </c>
      <c r="H533" t="str">
        <f>"Αγιος Βλάσης Τ.Θ.851 Ηράκλειο"</f>
        <v>Αγιος Βλάσης Τ.Θ.851 Ηράκλειο</v>
      </c>
      <c r="I533">
        <v>71500</v>
      </c>
      <c r="J533">
        <v>2810881389</v>
      </c>
      <c r="K533">
        <v>6944699858</v>
      </c>
      <c r="M533" t="s">
        <v>1563</v>
      </c>
      <c r="N533" t="s">
        <v>204</v>
      </c>
      <c r="O533" t="s">
        <v>205</v>
      </c>
      <c r="R533" t="s">
        <v>57</v>
      </c>
      <c r="S533">
        <v>6</v>
      </c>
      <c r="T533">
        <v>218</v>
      </c>
      <c r="U533" s="1">
        <v>38596</v>
      </c>
      <c r="V533" t="s">
        <v>123</v>
      </c>
      <c r="W533" t="s">
        <v>124</v>
      </c>
      <c r="X533" t="s">
        <v>58</v>
      </c>
      <c r="Y533">
        <v>20</v>
      </c>
      <c r="Z533" t="s">
        <v>59</v>
      </c>
      <c r="AA533" t="s">
        <v>59</v>
      </c>
      <c r="AB533" t="s">
        <v>59</v>
      </c>
      <c r="AC533" t="s">
        <v>59</v>
      </c>
      <c r="AD533" t="s">
        <v>59</v>
      </c>
      <c r="AF533" s="1">
        <v>38600</v>
      </c>
      <c r="AG533" t="s">
        <v>148</v>
      </c>
      <c r="AH533" t="s">
        <v>149</v>
      </c>
      <c r="AI533" t="str">
        <f>"1752010"</f>
        <v>1752010</v>
      </c>
      <c r="AJ533" t="s">
        <v>896</v>
      </c>
      <c r="AK533">
        <v>2891022893</v>
      </c>
      <c r="AL533" t="s">
        <v>897</v>
      </c>
      <c r="AM533" t="s">
        <v>78</v>
      </c>
      <c r="AN533" t="s">
        <v>276</v>
      </c>
      <c r="AO533" t="s">
        <v>490</v>
      </c>
      <c r="AP533" t="s">
        <v>490</v>
      </c>
      <c r="AQ533">
        <v>15</v>
      </c>
      <c r="AR533" t="s">
        <v>123</v>
      </c>
      <c r="AS533" t="s">
        <v>124</v>
      </c>
      <c r="AT533" t="s">
        <v>58</v>
      </c>
      <c r="AU533" t="s">
        <v>68</v>
      </c>
      <c r="AV533" t="s">
        <v>69</v>
      </c>
      <c r="AW533" s="1">
        <v>28741</v>
      </c>
      <c r="AX533">
        <v>2</v>
      </c>
    </row>
    <row r="534" spans="1:50">
      <c r="A534">
        <v>204712</v>
      </c>
      <c r="B534" t="str">
        <f>"117406357"</f>
        <v>117406357</v>
      </c>
      <c r="C534" t="s">
        <v>105</v>
      </c>
      <c r="D534" t="s">
        <v>1564</v>
      </c>
      <c r="E534" t="s">
        <v>920</v>
      </c>
      <c r="F534" t="s">
        <v>72</v>
      </c>
      <c r="G534" t="s">
        <v>54</v>
      </c>
      <c r="H534" t="str">
        <f>" "</f>
        <v xml:space="preserve"> </v>
      </c>
      <c r="J534">
        <v>2810242707</v>
      </c>
      <c r="K534">
        <v>6977392275</v>
      </c>
      <c r="M534" t="s">
        <v>1565</v>
      </c>
      <c r="N534" t="s">
        <v>331</v>
      </c>
      <c r="O534" t="s">
        <v>332</v>
      </c>
      <c r="R534" t="s">
        <v>57</v>
      </c>
      <c r="S534">
        <v>10</v>
      </c>
      <c r="T534">
        <v>231</v>
      </c>
      <c r="U534" s="1">
        <v>38230</v>
      </c>
      <c r="V534" t="s">
        <v>123</v>
      </c>
      <c r="W534" t="s">
        <v>124</v>
      </c>
      <c r="X534" t="s">
        <v>58</v>
      </c>
      <c r="Y534">
        <v>20</v>
      </c>
      <c r="Z534" t="s">
        <v>59</v>
      </c>
      <c r="AA534" t="s">
        <v>59</v>
      </c>
      <c r="AB534" t="s">
        <v>59</v>
      </c>
      <c r="AC534" t="s">
        <v>59</v>
      </c>
      <c r="AD534" t="s">
        <v>59</v>
      </c>
      <c r="AF534" s="1">
        <v>38232</v>
      </c>
      <c r="AG534" t="s">
        <v>137</v>
      </c>
      <c r="AH534" t="s">
        <v>469</v>
      </c>
      <c r="AI534" t="str">
        <f>"1740200"</f>
        <v>1740200</v>
      </c>
      <c r="AJ534" t="s">
        <v>470</v>
      </c>
      <c r="AK534">
        <v>2810320770</v>
      </c>
      <c r="AL534" t="s">
        <v>471</v>
      </c>
      <c r="AM534" t="s">
        <v>78</v>
      </c>
      <c r="AN534" t="s">
        <v>78</v>
      </c>
      <c r="AO534" t="s">
        <v>78</v>
      </c>
      <c r="AP534" t="s">
        <v>163</v>
      </c>
      <c r="AQ534">
        <v>2</v>
      </c>
      <c r="AR534" t="s">
        <v>123</v>
      </c>
      <c r="AS534" t="s">
        <v>124</v>
      </c>
      <c r="AT534" t="s">
        <v>58</v>
      </c>
      <c r="AU534" t="s">
        <v>68</v>
      </c>
      <c r="AV534" t="s">
        <v>69</v>
      </c>
      <c r="AW534" s="1">
        <v>28434</v>
      </c>
      <c r="AX534">
        <v>2</v>
      </c>
    </row>
    <row r="535" spans="1:50">
      <c r="B535" t="str">
        <f>"073303187"</f>
        <v>073303187</v>
      </c>
      <c r="C535" t="s">
        <v>105</v>
      </c>
      <c r="D535" t="s">
        <v>1566</v>
      </c>
      <c r="E535" t="s">
        <v>760</v>
      </c>
      <c r="F535" t="s">
        <v>154</v>
      </c>
      <c r="G535" t="s">
        <v>54</v>
      </c>
      <c r="H535" t="str">
        <f>"ΚΑΛΛΙΠΟΛΕΩΣ 79 ΗΡΑΚΛΕΙΟ"</f>
        <v>ΚΑΛΛΙΠΟΛΕΩΣ 79 ΗΡΑΚΛΕΙΟ</v>
      </c>
      <c r="I535">
        <v>71306</v>
      </c>
      <c r="J535">
        <v>2810321109</v>
      </c>
      <c r="K535">
        <v>6972784433</v>
      </c>
      <c r="M535" t="s">
        <v>1567</v>
      </c>
      <c r="N535" t="s">
        <v>199</v>
      </c>
      <c r="O535" t="s">
        <v>200</v>
      </c>
      <c r="R535" t="s">
        <v>159</v>
      </c>
      <c r="S535">
        <v>2</v>
      </c>
      <c r="T535" t="s">
        <v>574</v>
      </c>
      <c r="U535" s="1">
        <v>43378</v>
      </c>
      <c r="V535" t="s">
        <v>123</v>
      </c>
      <c r="W535" t="s">
        <v>124</v>
      </c>
      <c r="X535" t="s">
        <v>58</v>
      </c>
      <c r="Y535">
        <v>23</v>
      </c>
      <c r="Z535" t="s">
        <v>59</v>
      </c>
      <c r="AA535" t="s">
        <v>59</v>
      </c>
      <c r="AB535" t="s">
        <v>59</v>
      </c>
      <c r="AC535" t="s">
        <v>59</v>
      </c>
      <c r="AD535" t="s">
        <v>59</v>
      </c>
      <c r="AF535" s="1">
        <v>43381</v>
      </c>
      <c r="AG535" t="s">
        <v>148</v>
      </c>
      <c r="AH535" t="s">
        <v>149</v>
      </c>
      <c r="AI535" t="str">
        <f>"1762010"</f>
        <v>1762010</v>
      </c>
      <c r="AJ535" t="s">
        <v>942</v>
      </c>
      <c r="AK535">
        <v>2897061311</v>
      </c>
      <c r="AL535" t="s">
        <v>943</v>
      </c>
      <c r="AM535" t="s">
        <v>78</v>
      </c>
      <c r="AN535" t="s">
        <v>219</v>
      </c>
      <c r="AO535" t="s">
        <v>527</v>
      </c>
      <c r="AP535" t="s">
        <v>528</v>
      </c>
      <c r="AQ535">
        <v>19</v>
      </c>
      <c r="AR535" t="s">
        <v>123</v>
      </c>
      <c r="AS535" t="s">
        <v>124</v>
      </c>
      <c r="AT535" t="s">
        <v>58</v>
      </c>
      <c r="AU535" t="s">
        <v>164</v>
      </c>
      <c r="AV535" t="s">
        <v>132</v>
      </c>
      <c r="AW535" s="1">
        <v>25462</v>
      </c>
      <c r="AX535">
        <v>2</v>
      </c>
    </row>
    <row r="536" spans="1:50">
      <c r="A536">
        <v>192277</v>
      </c>
      <c r="B536" t="str">
        <f>"034145701"</f>
        <v>034145701</v>
      </c>
      <c r="C536" t="s">
        <v>105</v>
      </c>
      <c r="D536" t="s">
        <v>1566</v>
      </c>
      <c r="E536" t="s">
        <v>99</v>
      </c>
      <c r="F536" t="s">
        <v>154</v>
      </c>
      <c r="G536" t="s">
        <v>104</v>
      </c>
      <c r="H536" t="str">
        <f>"ΒΕΡΜΙΟΥ 3 ΗΡΑΚΛΕΙΟ"</f>
        <v>ΒΕΡΜΙΟΥ 3 ΗΡΑΚΛΕΙΟ</v>
      </c>
      <c r="I536">
        <v>71306</v>
      </c>
      <c r="J536">
        <v>2810237926</v>
      </c>
      <c r="K536">
        <v>6973052627</v>
      </c>
      <c r="N536" t="s">
        <v>135</v>
      </c>
      <c r="O536" t="s">
        <v>136</v>
      </c>
      <c r="R536" t="s">
        <v>57</v>
      </c>
      <c r="S536">
        <v>9</v>
      </c>
      <c r="T536">
        <v>312</v>
      </c>
      <c r="U536" s="1">
        <v>37239</v>
      </c>
      <c r="V536" t="s">
        <v>123</v>
      </c>
      <c r="W536" t="s">
        <v>124</v>
      </c>
      <c r="X536" t="s">
        <v>58</v>
      </c>
      <c r="Y536">
        <v>20</v>
      </c>
      <c r="Z536" t="s">
        <v>59</v>
      </c>
      <c r="AA536" t="s">
        <v>59</v>
      </c>
      <c r="AB536" t="s">
        <v>59</v>
      </c>
      <c r="AC536" t="s">
        <v>59</v>
      </c>
      <c r="AD536" t="s">
        <v>59</v>
      </c>
      <c r="AF536" s="1">
        <v>37244</v>
      </c>
      <c r="AG536" t="s">
        <v>137</v>
      </c>
      <c r="AH536" t="s">
        <v>138</v>
      </c>
      <c r="AI536" t="str">
        <f>"1750080"</f>
        <v>1750080</v>
      </c>
      <c r="AJ536" t="s">
        <v>170</v>
      </c>
      <c r="AK536">
        <v>2810234444</v>
      </c>
      <c r="AL536" t="s">
        <v>171</v>
      </c>
      <c r="AM536" t="s">
        <v>78</v>
      </c>
      <c r="AN536" t="s">
        <v>78</v>
      </c>
      <c r="AO536" t="s">
        <v>78</v>
      </c>
      <c r="AP536" t="s">
        <v>163</v>
      </c>
      <c r="AQ536">
        <v>9</v>
      </c>
      <c r="AR536" t="s">
        <v>123</v>
      </c>
      <c r="AS536" t="s">
        <v>124</v>
      </c>
      <c r="AT536" t="s">
        <v>58</v>
      </c>
      <c r="AU536" t="s">
        <v>68</v>
      </c>
      <c r="AV536" t="s">
        <v>69</v>
      </c>
      <c r="AW536" s="1">
        <v>23042</v>
      </c>
      <c r="AX536">
        <v>2</v>
      </c>
    </row>
    <row r="537" spans="1:50">
      <c r="A537">
        <v>199837</v>
      </c>
      <c r="B537" t="str">
        <f>"114856001"</f>
        <v>114856001</v>
      </c>
      <c r="C537" t="s">
        <v>50</v>
      </c>
      <c r="D537" t="s">
        <v>1568</v>
      </c>
      <c r="E537" t="s">
        <v>52</v>
      </c>
      <c r="F537" t="s">
        <v>95</v>
      </c>
      <c r="G537" t="s">
        <v>1443</v>
      </c>
      <c r="H537" t="str">
        <f>" "</f>
        <v xml:space="preserve"> </v>
      </c>
      <c r="J537">
        <v>2892023395</v>
      </c>
      <c r="K537">
        <v>6937351538</v>
      </c>
      <c r="M537" t="s">
        <v>1569</v>
      </c>
      <c r="N537" t="s">
        <v>204</v>
      </c>
      <c r="O537" t="s">
        <v>205</v>
      </c>
      <c r="R537" t="s">
        <v>57</v>
      </c>
      <c r="S537">
        <v>10</v>
      </c>
      <c r="T537">
        <v>206</v>
      </c>
      <c r="U537" s="1">
        <v>37866</v>
      </c>
      <c r="V537" t="s">
        <v>123</v>
      </c>
      <c r="W537" t="s">
        <v>124</v>
      </c>
      <c r="X537" t="s">
        <v>58</v>
      </c>
      <c r="Y537">
        <v>20</v>
      </c>
      <c r="Z537" t="s">
        <v>59</v>
      </c>
      <c r="AA537" t="s">
        <v>59</v>
      </c>
      <c r="AB537" t="s">
        <v>59</v>
      </c>
      <c r="AC537" t="s">
        <v>59</v>
      </c>
      <c r="AD537" t="s">
        <v>59</v>
      </c>
      <c r="AF537" s="1">
        <v>37869</v>
      </c>
      <c r="AG537" t="s">
        <v>125</v>
      </c>
      <c r="AH537" t="s">
        <v>126</v>
      </c>
      <c r="AI537" t="str">
        <f>"1701070"</f>
        <v>1701070</v>
      </c>
      <c r="AJ537" t="s">
        <v>1490</v>
      </c>
      <c r="AK537">
        <v>2810771241</v>
      </c>
      <c r="AL537" t="s">
        <v>1491</v>
      </c>
      <c r="AM537" t="s">
        <v>78</v>
      </c>
      <c r="AN537" t="s">
        <v>219</v>
      </c>
      <c r="AO537" t="s">
        <v>1437</v>
      </c>
      <c r="AP537" t="s">
        <v>1437</v>
      </c>
      <c r="AQ537">
        <v>21</v>
      </c>
      <c r="AR537" t="s">
        <v>123</v>
      </c>
      <c r="AS537" t="s">
        <v>124</v>
      </c>
      <c r="AT537" t="s">
        <v>58</v>
      </c>
      <c r="AU537" t="s">
        <v>68</v>
      </c>
      <c r="AV537" t="s">
        <v>69</v>
      </c>
      <c r="AW537" s="1">
        <v>28473</v>
      </c>
      <c r="AX537">
        <v>2</v>
      </c>
    </row>
    <row r="538" spans="1:50">
      <c r="A538">
        <v>177524</v>
      </c>
      <c r="B538" t="str">
        <f>"059171410"</f>
        <v>059171410</v>
      </c>
      <c r="C538" t="s">
        <v>105</v>
      </c>
      <c r="D538" t="s">
        <v>1570</v>
      </c>
      <c r="E538" t="s">
        <v>166</v>
      </c>
      <c r="F538" t="s">
        <v>72</v>
      </c>
      <c r="G538" t="s">
        <v>1571</v>
      </c>
      <c r="H538" t="str">
        <f>" "</f>
        <v xml:space="preserve"> </v>
      </c>
      <c r="N538" t="s">
        <v>331</v>
      </c>
      <c r="O538" t="s">
        <v>332</v>
      </c>
      <c r="R538" t="s">
        <v>57</v>
      </c>
      <c r="S538">
        <v>15</v>
      </c>
      <c r="T538">
        <v>180</v>
      </c>
      <c r="U538" s="1">
        <v>35674</v>
      </c>
      <c r="V538" t="s">
        <v>123</v>
      </c>
      <c r="W538" t="s">
        <v>124</v>
      </c>
      <c r="X538" t="s">
        <v>58</v>
      </c>
      <c r="Y538">
        <v>18</v>
      </c>
      <c r="Z538" t="s">
        <v>59</v>
      </c>
      <c r="AA538" t="s">
        <v>59</v>
      </c>
      <c r="AB538" t="s">
        <v>59</v>
      </c>
      <c r="AC538" t="s">
        <v>59</v>
      </c>
      <c r="AD538" t="s">
        <v>59</v>
      </c>
      <c r="AF538" s="1">
        <v>35678</v>
      </c>
      <c r="AG538" t="s">
        <v>137</v>
      </c>
      <c r="AH538" t="s">
        <v>138</v>
      </c>
      <c r="AI538" t="str">
        <f>"1750080"</f>
        <v>1750080</v>
      </c>
      <c r="AJ538" t="s">
        <v>170</v>
      </c>
      <c r="AK538">
        <v>2810234444</v>
      </c>
      <c r="AL538" t="s">
        <v>171</v>
      </c>
      <c r="AM538" t="s">
        <v>78</v>
      </c>
      <c r="AN538" t="s">
        <v>78</v>
      </c>
      <c r="AO538" t="s">
        <v>78</v>
      </c>
      <c r="AP538" t="s">
        <v>163</v>
      </c>
      <c r="AQ538">
        <v>9</v>
      </c>
      <c r="AR538" t="s">
        <v>123</v>
      </c>
      <c r="AS538" t="s">
        <v>124</v>
      </c>
      <c r="AT538" t="s">
        <v>58</v>
      </c>
      <c r="AU538" t="s">
        <v>68</v>
      </c>
      <c r="AV538" t="s">
        <v>69</v>
      </c>
      <c r="AW538" s="1">
        <v>24434</v>
      </c>
      <c r="AX538">
        <v>2</v>
      </c>
    </row>
    <row r="539" spans="1:50">
      <c r="A539">
        <v>211696</v>
      </c>
      <c r="B539" t="str">
        <f>"105271001"</f>
        <v>105271001</v>
      </c>
      <c r="C539" t="s">
        <v>50</v>
      </c>
      <c r="D539" t="s">
        <v>1572</v>
      </c>
      <c r="E539" t="s">
        <v>109</v>
      </c>
      <c r="F539" t="s">
        <v>1573</v>
      </c>
      <c r="G539" t="s">
        <v>1574</v>
      </c>
      <c r="H539" t="str">
        <f>"ΘΕΡΜΟΠΥΛΩΝ 6 ΠΑΥΛΟΥ ΜΕΛΑ ΘΕΣΣΑΛΟΝΙΚΗ"</f>
        <v>ΘΕΡΜΟΠΥΛΩΝ 6 ΠΑΥΛΟΥ ΜΕΛΑ ΘΕΣΣΑΛΟΝΙΚΗ</v>
      </c>
      <c r="I539">
        <v>56430</v>
      </c>
      <c r="J539">
        <v>2310606157</v>
      </c>
      <c r="K539">
        <v>6942245302</v>
      </c>
      <c r="N539" t="s">
        <v>157</v>
      </c>
      <c r="O539" t="s">
        <v>158</v>
      </c>
      <c r="R539" t="s">
        <v>57</v>
      </c>
      <c r="S539">
        <v>7</v>
      </c>
      <c r="T539">
        <v>231</v>
      </c>
      <c r="U539" s="1">
        <v>38960</v>
      </c>
      <c r="V539" t="s">
        <v>123</v>
      </c>
      <c r="W539" t="s">
        <v>124</v>
      </c>
      <c r="X539" t="s">
        <v>58</v>
      </c>
      <c r="Y539">
        <v>20</v>
      </c>
      <c r="Z539" t="s">
        <v>59</v>
      </c>
      <c r="AA539" t="s">
        <v>59</v>
      </c>
      <c r="AB539" t="s">
        <v>59</v>
      </c>
      <c r="AC539" t="s">
        <v>59</v>
      </c>
      <c r="AD539" t="s">
        <v>59</v>
      </c>
      <c r="AF539" s="1">
        <v>38961</v>
      </c>
      <c r="AG539" t="s">
        <v>125</v>
      </c>
      <c r="AH539" t="s">
        <v>126</v>
      </c>
      <c r="AI539" t="str">
        <f>"1725010"</f>
        <v>1725010</v>
      </c>
      <c r="AJ539" t="s">
        <v>721</v>
      </c>
      <c r="AK539">
        <v>2893051228</v>
      </c>
      <c r="AL539" t="s">
        <v>722</v>
      </c>
      <c r="AM539" t="s">
        <v>78</v>
      </c>
      <c r="AN539" t="s">
        <v>424</v>
      </c>
      <c r="AO539" t="s">
        <v>577</v>
      </c>
      <c r="AP539" t="s">
        <v>723</v>
      </c>
      <c r="AQ539">
        <v>22</v>
      </c>
      <c r="AR539" t="s">
        <v>123</v>
      </c>
      <c r="AS539" t="s">
        <v>124</v>
      </c>
      <c r="AT539" t="s">
        <v>58</v>
      </c>
      <c r="AU539" t="s">
        <v>68</v>
      </c>
      <c r="AV539" t="s">
        <v>69</v>
      </c>
      <c r="AW539" s="1">
        <v>26202</v>
      </c>
      <c r="AX539">
        <v>2</v>
      </c>
    </row>
    <row r="540" spans="1:50">
      <c r="A540">
        <v>155556</v>
      </c>
      <c r="B540" t="str">
        <f>"103815523"</f>
        <v>103815523</v>
      </c>
      <c r="C540" t="s">
        <v>50</v>
      </c>
      <c r="D540" t="s">
        <v>1575</v>
      </c>
      <c r="E540" t="s">
        <v>1074</v>
      </c>
      <c r="F540" t="s">
        <v>154</v>
      </c>
      <c r="G540" t="s">
        <v>109</v>
      </c>
      <c r="H540" t="str">
        <f>"ΘΗΒΑΣ ΚΑΙ ΔΟΜΟΚΟΥ 11 "</f>
        <v xml:space="preserve">ΘΗΒΑΣ ΚΑΙ ΔΟΜΟΚΟΥ 11 </v>
      </c>
      <c r="I540">
        <v>71409</v>
      </c>
      <c r="J540">
        <v>2810237255</v>
      </c>
      <c r="K540">
        <v>6956129469</v>
      </c>
      <c r="M540" t="s">
        <v>1576</v>
      </c>
      <c r="N540" t="s">
        <v>157</v>
      </c>
      <c r="O540" t="s">
        <v>158</v>
      </c>
      <c r="R540" t="s">
        <v>57</v>
      </c>
      <c r="S540">
        <v>15</v>
      </c>
      <c r="T540">
        <v>188</v>
      </c>
      <c r="U540" s="1">
        <v>32752</v>
      </c>
      <c r="V540" t="s">
        <v>123</v>
      </c>
      <c r="W540" t="s">
        <v>124</v>
      </c>
      <c r="X540" t="s">
        <v>58</v>
      </c>
      <c r="Y540">
        <v>18</v>
      </c>
      <c r="Z540" t="s">
        <v>59</v>
      </c>
      <c r="AA540" t="s">
        <v>59</v>
      </c>
      <c r="AB540" t="s">
        <v>59</v>
      </c>
      <c r="AC540" t="s">
        <v>59</v>
      </c>
      <c r="AD540" t="s">
        <v>59</v>
      </c>
      <c r="AF540" s="1">
        <v>32762</v>
      </c>
      <c r="AG540" t="s">
        <v>125</v>
      </c>
      <c r="AH540" t="s">
        <v>126</v>
      </c>
      <c r="AI540" t="str">
        <f>"1701030"</f>
        <v>1701030</v>
      </c>
      <c r="AJ540" t="s">
        <v>270</v>
      </c>
      <c r="AK540">
        <v>2810361015</v>
      </c>
      <c r="AL540" t="s">
        <v>271</v>
      </c>
      <c r="AM540" t="s">
        <v>78</v>
      </c>
      <c r="AN540" t="s">
        <v>78</v>
      </c>
      <c r="AO540" t="s">
        <v>78</v>
      </c>
      <c r="AP540" t="s">
        <v>163</v>
      </c>
      <c r="AQ540">
        <v>2</v>
      </c>
      <c r="AR540" t="s">
        <v>123</v>
      </c>
      <c r="AS540" t="s">
        <v>124</v>
      </c>
      <c r="AT540" t="s">
        <v>58</v>
      </c>
      <c r="AU540" t="s">
        <v>68</v>
      </c>
      <c r="AV540" t="s">
        <v>69</v>
      </c>
      <c r="AW540" s="1">
        <v>22785</v>
      </c>
      <c r="AX540">
        <v>2</v>
      </c>
    </row>
    <row r="541" spans="1:50">
      <c r="A541">
        <v>191967</v>
      </c>
      <c r="B541" t="str">
        <f>"046242880"</f>
        <v>046242880</v>
      </c>
      <c r="C541" t="s">
        <v>105</v>
      </c>
      <c r="D541" t="s">
        <v>1577</v>
      </c>
      <c r="E541" t="s">
        <v>1023</v>
      </c>
      <c r="F541" t="s">
        <v>99</v>
      </c>
      <c r="G541" t="s">
        <v>727</v>
      </c>
      <c r="H541" t="str">
        <f>"ΤΥΜΠΑΚΙ "</f>
        <v xml:space="preserve">ΤΥΜΠΑΚΙ </v>
      </c>
      <c r="I541">
        <v>70200</v>
      </c>
      <c r="J541">
        <v>2892052604</v>
      </c>
      <c r="K541">
        <v>6977782347</v>
      </c>
      <c r="L541">
        <v>2892023416</v>
      </c>
      <c r="M541" t="s">
        <v>1578</v>
      </c>
      <c r="N541" t="s">
        <v>282</v>
      </c>
      <c r="O541" t="s">
        <v>283</v>
      </c>
      <c r="R541" t="s">
        <v>57</v>
      </c>
      <c r="S541">
        <v>8</v>
      </c>
      <c r="T541">
        <v>291</v>
      </c>
      <c r="U541" s="1">
        <v>37218</v>
      </c>
      <c r="V541" t="s">
        <v>123</v>
      </c>
      <c r="W541" t="s">
        <v>124</v>
      </c>
      <c r="X541" t="s">
        <v>58</v>
      </c>
      <c r="Y541">
        <v>20</v>
      </c>
      <c r="Z541" t="s">
        <v>59</v>
      </c>
      <c r="AA541" t="s">
        <v>59</v>
      </c>
      <c r="AB541" t="s">
        <v>59</v>
      </c>
      <c r="AC541" t="s">
        <v>59</v>
      </c>
      <c r="AD541" t="s">
        <v>59</v>
      </c>
      <c r="AF541" s="1">
        <v>37222</v>
      </c>
      <c r="AG541" t="s">
        <v>137</v>
      </c>
      <c r="AH541" t="s">
        <v>138</v>
      </c>
      <c r="AI541" t="str">
        <f>"1740300"</f>
        <v>1740300</v>
      </c>
      <c r="AJ541" t="s">
        <v>1274</v>
      </c>
      <c r="AK541">
        <v>2892022100</v>
      </c>
      <c r="AL541" t="s">
        <v>1275</v>
      </c>
      <c r="AM541" t="s">
        <v>78</v>
      </c>
      <c r="AN541" t="s">
        <v>242</v>
      </c>
      <c r="AO541" t="s">
        <v>243</v>
      </c>
      <c r="AP541" t="s">
        <v>243</v>
      </c>
      <c r="AQ541">
        <v>33</v>
      </c>
      <c r="AR541" t="s">
        <v>123</v>
      </c>
      <c r="AS541" t="s">
        <v>124</v>
      </c>
      <c r="AT541" t="s">
        <v>58</v>
      </c>
      <c r="AU541" t="s">
        <v>68</v>
      </c>
      <c r="AV541" t="s">
        <v>69</v>
      </c>
      <c r="AW541" s="1">
        <v>24665</v>
      </c>
      <c r="AX541">
        <v>2</v>
      </c>
    </row>
    <row r="542" spans="1:50">
      <c r="A542">
        <v>198015</v>
      </c>
      <c r="B542" t="str">
        <f>"078447264"</f>
        <v>078447264</v>
      </c>
      <c r="C542" t="s">
        <v>105</v>
      </c>
      <c r="D542" t="s">
        <v>1579</v>
      </c>
      <c r="E542" t="s">
        <v>1229</v>
      </c>
      <c r="F542" t="s">
        <v>377</v>
      </c>
      <c r="G542" t="s">
        <v>52</v>
      </c>
      <c r="H542" t="str">
        <f>"ΙΣΑΥΡΩΝ 79 ΗΡΑΚΛΕΙΟ"</f>
        <v>ΙΣΑΥΡΩΝ 79 ΗΡΑΚΛΕΙΟ</v>
      </c>
      <c r="I542">
        <v>71303</v>
      </c>
      <c r="J542">
        <v>2810312773</v>
      </c>
      <c r="K542">
        <v>6973328229</v>
      </c>
      <c r="M542" t="s">
        <v>1580</v>
      </c>
      <c r="N542" t="s">
        <v>232</v>
      </c>
      <c r="O542" t="s">
        <v>233</v>
      </c>
      <c r="R542" t="s">
        <v>57</v>
      </c>
      <c r="S542">
        <v>7</v>
      </c>
      <c r="T542">
        <v>206</v>
      </c>
      <c r="U542" s="1">
        <v>37866</v>
      </c>
      <c r="V542" t="s">
        <v>123</v>
      </c>
      <c r="W542" t="s">
        <v>124</v>
      </c>
      <c r="X542" t="s">
        <v>58</v>
      </c>
      <c r="Y542">
        <v>20</v>
      </c>
      <c r="Z542" t="s">
        <v>59</v>
      </c>
      <c r="AA542" t="s">
        <v>59</v>
      </c>
      <c r="AB542" t="s">
        <v>59</v>
      </c>
      <c r="AC542" t="s">
        <v>59</v>
      </c>
      <c r="AD542" t="s">
        <v>59</v>
      </c>
      <c r="AF542" s="1">
        <v>37866</v>
      </c>
      <c r="AG542" t="s">
        <v>148</v>
      </c>
      <c r="AH542" t="s">
        <v>149</v>
      </c>
      <c r="AI542" t="str">
        <f>"1771010"</f>
        <v>1771010</v>
      </c>
      <c r="AJ542" t="s">
        <v>915</v>
      </c>
      <c r="AK542">
        <v>2892031290</v>
      </c>
      <c r="AL542" t="s">
        <v>916</v>
      </c>
      <c r="AM542" t="s">
        <v>78</v>
      </c>
      <c r="AN542" t="s">
        <v>405</v>
      </c>
      <c r="AO542" t="s">
        <v>405</v>
      </c>
      <c r="AP542" t="s">
        <v>464</v>
      </c>
      <c r="AQ542">
        <v>33</v>
      </c>
      <c r="AR542" t="s">
        <v>123</v>
      </c>
      <c r="AS542" t="s">
        <v>124</v>
      </c>
      <c r="AT542" t="s">
        <v>58</v>
      </c>
      <c r="AU542" t="s">
        <v>68</v>
      </c>
      <c r="AV542" t="s">
        <v>69</v>
      </c>
      <c r="AW542" s="1">
        <v>25611</v>
      </c>
      <c r="AX542">
        <v>2</v>
      </c>
    </row>
    <row r="543" spans="1:50">
      <c r="A543">
        <v>171791</v>
      </c>
      <c r="B543" t="str">
        <f>"059718708"</f>
        <v>059718708</v>
      </c>
      <c r="C543" t="s">
        <v>105</v>
      </c>
      <c r="D543" t="s">
        <v>1581</v>
      </c>
      <c r="E543" t="s">
        <v>95</v>
      </c>
      <c r="F543" t="s">
        <v>309</v>
      </c>
      <c r="G543" t="s">
        <v>93</v>
      </c>
      <c r="H543" t="str">
        <f>" "</f>
        <v xml:space="preserve"> </v>
      </c>
      <c r="N543" t="s">
        <v>232</v>
      </c>
      <c r="O543" t="s">
        <v>233</v>
      </c>
      <c r="R543" t="s">
        <v>57</v>
      </c>
      <c r="S543">
        <v>13</v>
      </c>
      <c r="T543">
        <v>184</v>
      </c>
      <c r="U543" s="1">
        <v>34941</v>
      </c>
      <c r="V543" t="s">
        <v>123</v>
      </c>
      <c r="W543" t="s">
        <v>124</v>
      </c>
      <c r="X543" t="s">
        <v>58</v>
      </c>
      <c r="Y543">
        <v>18</v>
      </c>
      <c r="Z543" t="s">
        <v>59</v>
      </c>
      <c r="AA543" t="s">
        <v>59</v>
      </c>
      <c r="AB543" t="s">
        <v>59</v>
      </c>
      <c r="AC543" t="s">
        <v>59</v>
      </c>
      <c r="AD543" t="s">
        <v>59</v>
      </c>
      <c r="AF543" s="1">
        <v>34947</v>
      </c>
      <c r="AG543" t="s">
        <v>137</v>
      </c>
      <c r="AH543" t="s">
        <v>138</v>
      </c>
      <c r="AI543" t="str">
        <f>"1740070"</f>
        <v>1740070</v>
      </c>
      <c r="AJ543" t="s">
        <v>206</v>
      </c>
      <c r="AK543">
        <v>2810324880</v>
      </c>
      <c r="AL543" t="s">
        <v>207</v>
      </c>
      <c r="AM543" t="s">
        <v>78</v>
      </c>
      <c r="AN543" t="s">
        <v>78</v>
      </c>
      <c r="AO543" t="s">
        <v>78</v>
      </c>
      <c r="AP543" t="s">
        <v>163</v>
      </c>
      <c r="AQ543">
        <v>9</v>
      </c>
      <c r="AR543" t="s">
        <v>123</v>
      </c>
      <c r="AS543" t="s">
        <v>124</v>
      </c>
      <c r="AT543" t="s">
        <v>58</v>
      </c>
      <c r="AU543" t="s">
        <v>68</v>
      </c>
      <c r="AV543" t="s">
        <v>357</v>
      </c>
      <c r="AW543" s="1">
        <v>23863</v>
      </c>
      <c r="AX543">
        <v>2</v>
      </c>
    </row>
    <row r="544" spans="1:50">
      <c r="A544">
        <v>198515</v>
      </c>
      <c r="B544" t="str">
        <f>"065784300"</f>
        <v>065784300</v>
      </c>
      <c r="C544" t="s">
        <v>50</v>
      </c>
      <c r="D544" t="s">
        <v>1582</v>
      </c>
      <c r="E544" t="s">
        <v>263</v>
      </c>
      <c r="F544" t="s">
        <v>84</v>
      </c>
      <c r="G544" t="s">
        <v>440</v>
      </c>
      <c r="H544" t="str">
        <f>"ΗΡΑΚΛΗ 59 ΚΟΡΩΝΗ ΜΑΓΑΡΑ"</f>
        <v>ΗΡΑΚΛΗ 59 ΚΟΡΩΝΗ ΜΑΓΑΡΑ</v>
      </c>
      <c r="I544">
        <v>71305</v>
      </c>
      <c r="K544">
        <v>6977436828</v>
      </c>
      <c r="L544">
        <v>2106820622</v>
      </c>
      <c r="M544" t="s">
        <v>1583</v>
      </c>
      <c r="N544" t="s">
        <v>306</v>
      </c>
      <c r="O544" t="s">
        <v>307</v>
      </c>
      <c r="R544" t="s">
        <v>57</v>
      </c>
      <c r="S544">
        <v>10</v>
      </c>
      <c r="T544">
        <v>206</v>
      </c>
      <c r="U544" s="1">
        <v>37866</v>
      </c>
      <c r="V544" t="s">
        <v>123</v>
      </c>
      <c r="W544" t="s">
        <v>124</v>
      </c>
      <c r="X544" t="s">
        <v>58</v>
      </c>
      <c r="Y544">
        <v>20</v>
      </c>
      <c r="Z544" t="s">
        <v>59</v>
      </c>
      <c r="AA544" t="s">
        <v>59</v>
      </c>
      <c r="AB544" t="s">
        <v>59</v>
      </c>
      <c r="AC544" t="s">
        <v>59</v>
      </c>
      <c r="AD544" t="s">
        <v>59</v>
      </c>
      <c r="AF544" s="1">
        <v>37866</v>
      </c>
      <c r="AG544" t="s">
        <v>125</v>
      </c>
      <c r="AH544" t="s">
        <v>126</v>
      </c>
      <c r="AI544" t="str">
        <f>"1701056"</f>
        <v>1701056</v>
      </c>
      <c r="AJ544" t="s">
        <v>211</v>
      </c>
      <c r="AK544">
        <v>2810245445</v>
      </c>
      <c r="AL544" t="s">
        <v>212</v>
      </c>
      <c r="AM544" t="s">
        <v>78</v>
      </c>
      <c r="AN544" t="s">
        <v>78</v>
      </c>
      <c r="AO544" t="s">
        <v>78</v>
      </c>
      <c r="AP544" t="s">
        <v>213</v>
      </c>
      <c r="AQ544">
        <v>6</v>
      </c>
      <c r="AR544" t="s">
        <v>123</v>
      </c>
      <c r="AS544" t="s">
        <v>124</v>
      </c>
      <c r="AT544" t="s">
        <v>58</v>
      </c>
      <c r="AU544" t="s">
        <v>68</v>
      </c>
      <c r="AV544" t="s">
        <v>1092</v>
      </c>
      <c r="AW544" s="1">
        <v>27796</v>
      </c>
      <c r="AX544">
        <v>2</v>
      </c>
    </row>
    <row r="545" spans="1:50">
      <c r="A545">
        <v>209060</v>
      </c>
      <c r="B545" t="str">
        <f>"110114628"</f>
        <v>110114628</v>
      </c>
      <c r="C545" t="s">
        <v>105</v>
      </c>
      <c r="D545" t="s">
        <v>1584</v>
      </c>
      <c r="E545" t="s">
        <v>95</v>
      </c>
      <c r="F545" t="s">
        <v>1585</v>
      </c>
      <c r="G545" t="s">
        <v>134</v>
      </c>
      <c r="H545" t="str">
        <f>"ΦΟΙΝΙΚΟΣ 3 "</f>
        <v xml:space="preserve">ΦΟΙΝΙΚΟΣ 3 </v>
      </c>
      <c r="I545">
        <v>71305</v>
      </c>
      <c r="J545">
        <v>2810260068</v>
      </c>
      <c r="K545">
        <v>6974533441</v>
      </c>
      <c r="M545" t="s">
        <v>1586</v>
      </c>
      <c r="N545" t="s">
        <v>204</v>
      </c>
      <c r="O545" t="s">
        <v>205</v>
      </c>
      <c r="R545" t="s">
        <v>57</v>
      </c>
      <c r="S545">
        <v>7</v>
      </c>
      <c r="T545">
        <v>218</v>
      </c>
      <c r="U545" s="1">
        <v>38596</v>
      </c>
      <c r="V545" t="s">
        <v>123</v>
      </c>
      <c r="W545" t="s">
        <v>124</v>
      </c>
      <c r="X545" t="s">
        <v>58</v>
      </c>
      <c r="Y545">
        <v>20</v>
      </c>
      <c r="Z545" t="s">
        <v>59</v>
      </c>
      <c r="AA545" t="s">
        <v>59</v>
      </c>
      <c r="AB545" t="s">
        <v>59</v>
      </c>
      <c r="AC545" t="s">
        <v>59</v>
      </c>
      <c r="AD545" t="s">
        <v>59</v>
      </c>
      <c r="AF545" s="1">
        <v>38596</v>
      </c>
      <c r="AG545" t="s">
        <v>148</v>
      </c>
      <c r="AH545" t="s">
        <v>149</v>
      </c>
      <c r="AI545" t="str">
        <f>"1757010"</f>
        <v>1757010</v>
      </c>
      <c r="AJ545" t="s">
        <v>240</v>
      </c>
      <c r="AK545">
        <v>2892041388</v>
      </c>
      <c r="AL545" t="s">
        <v>241</v>
      </c>
      <c r="AM545" t="s">
        <v>78</v>
      </c>
      <c r="AN545" t="s">
        <v>242</v>
      </c>
      <c r="AO545" t="s">
        <v>243</v>
      </c>
      <c r="AP545" t="s">
        <v>244</v>
      </c>
      <c r="AQ545">
        <v>34</v>
      </c>
      <c r="AR545" t="s">
        <v>123</v>
      </c>
      <c r="AS545" t="s">
        <v>124</v>
      </c>
      <c r="AT545" t="s">
        <v>58</v>
      </c>
      <c r="AU545" t="s">
        <v>68</v>
      </c>
      <c r="AV545" t="s">
        <v>69</v>
      </c>
      <c r="AW545" s="1">
        <v>28382</v>
      </c>
      <c r="AX545">
        <v>2</v>
      </c>
    </row>
    <row r="546" spans="1:50">
      <c r="A546">
        <v>189264</v>
      </c>
      <c r="B546" t="str">
        <f>"056562810"</f>
        <v>056562810</v>
      </c>
      <c r="C546" t="s">
        <v>105</v>
      </c>
      <c r="D546" t="s">
        <v>1587</v>
      </c>
      <c r="E546" t="s">
        <v>309</v>
      </c>
      <c r="F546" t="s">
        <v>84</v>
      </c>
      <c r="G546" t="s">
        <v>1588</v>
      </c>
      <c r="H546" t="str">
        <f>"ΥΔΡΑΣ 13 "</f>
        <v xml:space="preserve">ΥΔΡΑΣ 13 </v>
      </c>
      <c r="I546">
        <v>71304</v>
      </c>
      <c r="J546">
        <v>2810258322</v>
      </c>
      <c r="K546">
        <v>6977856600</v>
      </c>
      <c r="M546" t="s">
        <v>1589</v>
      </c>
      <c r="N546" t="s">
        <v>146</v>
      </c>
      <c r="O546" t="s">
        <v>147</v>
      </c>
      <c r="R546" t="s">
        <v>57</v>
      </c>
      <c r="S546">
        <v>10</v>
      </c>
      <c r="T546">
        <v>219</v>
      </c>
      <c r="U546" s="1">
        <v>37134</v>
      </c>
      <c r="V546" t="s">
        <v>123</v>
      </c>
      <c r="W546" t="s">
        <v>124</v>
      </c>
      <c r="X546" t="s">
        <v>58</v>
      </c>
      <c r="Y546">
        <v>20</v>
      </c>
      <c r="Z546" t="s">
        <v>59</v>
      </c>
      <c r="AA546" t="s">
        <v>59</v>
      </c>
      <c r="AB546" t="s">
        <v>59</v>
      </c>
      <c r="AC546" t="s">
        <v>59</v>
      </c>
      <c r="AD546" t="s">
        <v>59</v>
      </c>
      <c r="AF546" s="1">
        <v>37137</v>
      </c>
      <c r="AG546" t="s">
        <v>148</v>
      </c>
      <c r="AH546" t="s">
        <v>149</v>
      </c>
      <c r="AI546" t="str">
        <f>"1790100"</f>
        <v>1790100</v>
      </c>
      <c r="AJ546" t="s">
        <v>252</v>
      </c>
      <c r="AK546">
        <v>2810234876</v>
      </c>
      <c r="AL546" t="s">
        <v>253</v>
      </c>
      <c r="AM546" t="s">
        <v>78</v>
      </c>
      <c r="AN546" t="s">
        <v>78</v>
      </c>
      <c r="AO546" t="s">
        <v>78</v>
      </c>
      <c r="AP546" t="s">
        <v>163</v>
      </c>
      <c r="AQ546">
        <v>5</v>
      </c>
      <c r="AR546" t="s">
        <v>123</v>
      </c>
      <c r="AS546" t="s">
        <v>124</v>
      </c>
      <c r="AT546" t="s">
        <v>58</v>
      </c>
      <c r="AU546" t="s">
        <v>68</v>
      </c>
      <c r="AV546" t="s">
        <v>69</v>
      </c>
      <c r="AW546" s="1">
        <v>26486</v>
      </c>
      <c r="AX546">
        <v>2</v>
      </c>
    </row>
    <row r="547" spans="1:50">
      <c r="A547">
        <v>211257</v>
      </c>
      <c r="B547" t="str">
        <f>"114251779"</f>
        <v>114251779</v>
      </c>
      <c r="C547" t="s">
        <v>105</v>
      </c>
      <c r="D547" t="s">
        <v>1590</v>
      </c>
      <c r="E547" t="s">
        <v>989</v>
      </c>
      <c r="F547" t="s">
        <v>450</v>
      </c>
      <c r="G547" t="s">
        <v>52</v>
      </c>
      <c r="H547" t="str">
        <f>" "</f>
        <v xml:space="preserve"> </v>
      </c>
      <c r="J547">
        <v>2810260657</v>
      </c>
      <c r="K547">
        <v>6974312024</v>
      </c>
      <c r="N547" t="s">
        <v>331</v>
      </c>
      <c r="O547" t="s">
        <v>332</v>
      </c>
      <c r="R547" t="s">
        <v>57</v>
      </c>
      <c r="S547">
        <v>8</v>
      </c>
      <c r="T547">
        <v>299</v>
      </c>
      <c r="U547" s="1">
        <v>38670</v>
      </c>
      <c r="V547" t="s">
        <v>123</v>
      </c>
      <c r="W547" t="s">
        <v>124</v>
      </c>
      <c r="X547" t="s">
        <v>58</v>
      </c>
      <c r="Y547">
        <v>20</v>
      </c>
      <c r="Z547" t="s">
        <v>59</v>
      </c>
      <c r="AA547" t="s">
        <v>59</v>
      </c>
      <c r="AB547" t="s">
        <v>59</v>
      </c>
      <c r="AC547" t="s">
        <v>59</v>
      </c>
      <c r="AD547" t="s">
        <v>59</v>
      </c>
      <c r="AF547" s="1">
        <v>38671</v>
      </c>
      <c r="AG547" t="s">
        <v>137</v>
      </c>
      <c r="AH547" t="s">
        <v>138</v>
      </c>
      <c r="AI547" t="str">
        <f>"1750080"</f>
        <v>1750080</v>
      </c>
      <c r="AJ547" t="s">
        <v>170</v>
      </c>
      <c r="AK547">
        <v>2810234444</v>
      </c>
      <c r="AL547" t="s">
        <v>171</v>
      </c>
      <c r="AM547" t="s">
        <v>78</v>
      </c>
      <c r="AN547" t="s">
        <v>78</v>
      </c>
      <c r="AO547" t="s">
        <v>78</v>
      </c>
      <c r="AP547" t="s">
        <v>163</v>
      </c>
      <c r="AQ547">
        <v>9</v>
      </c>
      <c r="AR547" t="s">
        <v>123</v>
      </c>
      <c r="AS547" t="s">
        <v>124</v>
      </c>
      <c r="AT547" t="s">
        <v>58</v>
      </c>
      <c r="AU547" t="s">
        <v>68</v>
      </c>
      <c r="AV547" t="s">
        <v>69</v>
      </c>
      <c r="AW547" s="1">
        <v>29571</v>
      </c>
      <c r="AX547">
        <v>2</v>
      </c>
    </row>
    <row r="548" spans="1:50">
      <c r="A548">
        <v>168378</v>
      </c>
      <c r="B548" t="str">
        <f>"055430330"</f>
        <v>055430330</v>
      </c>
      <c r="C548" t="s">
        <v>50</v>
      </c>
      <c r="D548" t="s">
        <v>1591</v>
      </c>
      <c r="E548" t="s">
        <v>52</v>
      </c>
      <c r="F548" t="s">
        <v>995</v>
      </c>
      <c r="G548" t="s">
        <v>1207</v>
      </c>
      <c r="H548" t="str">
        <f>"ΒΑΛΕΣΤΡΑ 69 ΗΡΑΚΛΕΙΟ"</f>
        <v>ΒΑΛΕΣΤΡΑ 69 ΗΡΑΚΛΕΙΟ</v>
      </c>
      <c r="I548">
        <v>71202</v>
      </c>
      <c r="J548">
        <v>2810346424</v>
      </c>
      <c r="K548">
        <v>6977238203</v>
      </c>
      <c r="M548" t="s">
        <v>1592</v>
      </c>
      <c r="N548" t="s">
        <v>306</v>
      </c>
      <c r="O548" t="s">
        <v>307</v>
      </c>
      <c r="R548" t="s">
        <v>57</v>
      </c>
      <c r="S548">
        <v>11</v>
      </c>
      <c r="T548">
        <v>159</v>
      </c>
      <c r="U548" s="1">
        <v>34582</v>
      </c>
      <c r="V548" t="s">
        <v>123</v>
      </c>
      <c r="W548" t="s">
        <v>124</v>
      </c>
      <c r="X548" t="s">
        <v>58</v>
      </c>
      <c r="Y548">
        <v>18</v>
      </c>
      <c r="Z548" t="s">
        <v>59</v>
      </c>
      <c r="AA548" t="s">
        <v>59</v>
      </c>
      <c r="AB548" t="s">
        <v>59</v>
      </c>
      <c r="AC548" t="s">
        <v>59</v>
      </c>
      <c r="AD548" t="s">
        <v>59</v>
      </c>
      <c r="AF548" s="1">
        <v>34583</v>
      </c>
      <c r="AG548" t="s">
        <v>125</v>
      </c>
      <c r="AH548" t="s">
        <v>126</v>
      </c>
      <c r="AI548" t="str">
        <f>"1701010"</f>
        <v>1701010</v>
      </c>
      <c r="AJ548" t="s">
        <v>374</v>
      </c>
      <c r="AK548">
        <v>2810227148</v>
      </c>
      <c r="AL548" t="s">
        <v>375</v>
      </c>
      <c r="AM548" t="s">
        <v>78</v>
      </c>
      <c r="AN548" t="s">
        <v>78</v>
      </c>
      <c r="AO548" t="s">
        <v>78</v>
      </c>
      <c r="AP548" t="s">
        <v>79</v>
      </c>
      <c r="AQ548">
        <v>1</v>
      </c>
      <c r="AR548" t="s">
        <v>123</v>
      </c>
      <c r="AS548" t="s">
        <v>124</v>
      </c>
      <c r="AT548" t="s">
        <v>58</v>
      </c>
      <c r="AU548" t="s">
        <v>68</v>
      </c>
      <c r="AV548" t="s">
        <v>69</v>
      </c>
      <c r="AW548" s="1">
        <v>24892</v>
      </c>
      <c r="AX548">
        <v>2</v>
      </c>
    </row>
    <row r="549" spans="1:50">
      <c r="A549">
        <v>218696</v>
      </c>
      <c r="B549" t="str">
        <f>"114253367"</f>
        <v>114253367</v>
      </c>
      <c r="C549" t="s">
        <v>50</v>
      </c>
      <c r="D549" t="s">
        <v>1593</v>
      </c>
      <c r="E549" t="s">
        <v>630</v>
      </c>
      <c r="F549" t="s">
        <v>72</v>
      </c>
      <c r="G549" t="s">
        <v>52</v>
      </c>
      <c r="H549" t="str">
        <f>"ΠΛΑΤΩΝΟΣ 9 "</f>
        <v xml:space="preserve">ΠΛΑΤΩΝΟΣ 9 </v>
      </c>
      <c r="I549">
        <v>71414</v>
      </c>
      <c r="J549">
        <v>2810824957</v>
      </c>
      <c r="K549">
        <v>6972153913</v>
      </c>
      <c r="M549" t="s">
        <v>1594</v>
      </c>
      <c r="N549" t="s">
        <v>199</v>
      </c>
      <c r="O549" t="s">
        <v>200</v>
      </c>
      <c r="R549" t="s">
        <v>57</v>
      </c>
      <c r="S549">
        <v>7</v>
      </c>
      <c r="T549">
        <v>599</v>
      </c>
      <c r="U549" s="1">
        <v>39310</v>
      </c>
      <c r="V549" t="s">
        <v>123</v>
      </c>
      <c r="W549" t="s">
        <v>124</v>
      </c>
      <c r="X549" t="s">
        <v>58</v>
      </c>
      <c r="Y549">
        <v>20</v>
      </c>
      <c r="Z549" t="s">
        <v>59</v>
      </c>
      <c r="AA549" t="s">
        <v>59</v>
      </c>
      <c r="AB549" t="s">
        <v>59</v>
      </c>
      <c r="AC549" t="s">
        <v>59</v>
      </c>
      <c r="AD549" t="s">
        <v>59</v>
      </c>
      <c r="AF549" s="1">
        <v>39328</v>
      </c>
      <c r="AG549" t="s">
        <v>125</v>
      </c>
      <c r="AH549" t="s">
        <v>126</v>
      </c>
      <c r="AI549" t="str">
        <f>"1701030"</f>
        <v>1701030</v>
      </c>
      <c r="AJ549" t="s">
        <v>270</v>
      </c>
      <c r="AK549">
        <v>2810361015</v>
      </c>
      <c r="AL549" t="s">
        <v>271</v>
      </c>
      <c r="AM549" t="s">
        <v>78</v>
      </c>
      <c r="AN549" t="s">
        <v>78</v>
      </c>
      <c r="AO549" t="s">
        <v>78</v>
      </c>
      <c r="AP549" t="s">
        <v>163</v>
      </c>
      <c r="AQ549">
        <v>2</v>
      </c>
      <c r="AR549" t="s">
        <v>123</v>
      </c>
      <c r="AS549" t="s">
        <v>124</v>
      </c>
      <c r="AT549" t="s">
        <v>58</v>
      </c>
      <c r="AU549" t="s">
        <v>68</v>
      </c>
      <c r="AV549" t="s">
        <v>69</v>
      </c>
      <c r="AW549" s="1">
        <v>27756</v>
      </c>
      <c r="AX549">
        <v>2</v>
      </c>
    </row>
    <row r="550" spans="1:50">
      <c r="A550">
        <v>227011</v>
      </c>
      <c r="B550" t="str">
        <f>"045644300"</f>
        <v>045644300</v>
      </c>
      <c r="C550" t="s">
        <v>105</v>
      </c>
      <c r="D550" t="s">
        <v>1595</v>
      </c>
      <c r="E550" t="s">
        <v>311</v>
      </c>
      <c r="F550" t="s">
        <v>166</v>
      </c>
      <c r="G550" t="s">
        <v>1074</v>
      </c>
      <c r="H550" t="str">
        <f>"ΜΗΝΑ ΓΕΩΡΓΙΑΔΗ 93 ΗΡΑΚΛΕΙΟ"</f>
        <v>ΜΗΝΑ ΓΕΩΡΓΙΑΔΗ 93 ΗΡΑΚΛΕΙΟ</v>
      </c>
      <c r="I550">
        <v>71306</v>
      </c>
      <c r="J550">
        <v>2810325156</v>
      </c>
      <c r="K550">
        <v>6945332793</v>
      </c>
      <c r="M550" t="s">
        <v>1596</v>
      </c>
      <c r="N550" t="s">
        <v>292</v>
      </c>
      <c r="O550" t="s">
        <v>293</v>
      </c>
      <c r="R550" t="s">
        <v>57</v>
      </c>
      <c r="S550">
        <v>5</v>
      </c>
      <c r="T550">
        <v>654</v>
      </c>
      <c r="U550" s="1">
        <v>40043</v>
      </c>
      <c r="V550" t="s">
        <v>123</v>
      </c>
      <c r="W550" t="s">
        <v>124</v>
      </c>
      <c r="X550" t="s">
        <v>58</v>
      </c>
      <c r="Y550">
        <v>21</v>
      </c>
      <c r="Z550" t="s">
        <v>59</v>
      </c>
      <c r="AA550" t="s">
        <v>59</v>
      </c>
      <c r="AB550" t="s">
        <v>59</v>
      </c>
      <c r="AC550" t="s">
        <v>59</v>
      </c>
      <c r="AD550" t="s">
        <v>59</v>
      </c>
      <c r="AF550" s="1">
        <v>40043</v>
      </c>
      <c r="AG550" t="s">
        <v>125</v>
      </c>
      <c r="AH550" t="s">
        <v>126</v>
      </c>
      <c r="AI550" t="str">
        <f>"1701055"</f>
        <v>1701055</v>
      </c>
      <c r="AJ550" t="s">
        <v>301</v>
      </c>
      <c r="AK550">
        <v>2810257353</v>
      </c>
      <c r="AL550" t="s">
        <v>302</v>
      </c>
      <c r="AM550" t="s">
        <v>78</v>
      </c>
      <c r="AN550" t="s">
        <v>78</v>
      </c>
      <c r="AO550" t="s">
        <v>78</v>
      </c>
      <c r="AP550" t="s">
        <v>141</v>
      </c>
      <c r="AQ550">
        <v>7</v>
      </c>
      <c r="AR550" t="s">
        <v>123</v>
      </c>
      <c r="AS550" t="s">
        <v>124</v>
      </c>
      <c r="AT550" t="s">
        <v>58</v>
      </c>
      <c r="AU550" t="s">
        <v>68</v>
      </c>
      <c r="AV550" t="s">
        <v>69</v>
      </c>
      <c r="AW550" s="1">
        <v>22840</v>
      </c>
      <c r="AX550">
        <v>2</v>
      </c>
    </row>
    <row r="551" spans="1:50">
      <c r="A551">
        <v>702273</v>
      </c>
      <c r="B551" t="str">
        <f>"103681344"</f>
        <v>103681344</v>
      </c>
      <c r="C551" t="s">
        <v>105</v>
      </c>
      <c r="D551" t="s">
        <v>1597</v>
      </c>
      <c r="E551" t="s">
        <v>99</v>
      </c>
      <c r="F551" t="s">
        <v>95</v>
      </c>
      <c r="G551" t="s">
        <v>237</v>
      </c>
      <c r="H551" t="str">
        <f>"ΑΝΔΡΕΑ ΠΑΠΑΝΔΡΕΟΥ 79 ΙΕΡΑΠΕΤΡΑΣ (Ν. ΛΑΣΙΘΙΟΥ)"</f>
        <v>ΑΝΔΡΕΑ ΠΑΠΑΝΔΡΕΟΥ 79 ΙΕΡΑΠΕΤΡΑΣ (Ν. ΛΑΣΙΘΙΟΥ)</v>
      </c>
      <c r="I551">
        <v>72200</v>
      </c>
      <c r="J551">
        <v>2842025431</v>
      </c>
      <c r="K551">
        <v>6944377601</v>
      </c>
      <c r="M551" t="s">
        <v>1598</v>
      </c>
      <c r="N551" t="s">
        <v>146</v>
      </c>
      <c r="O551" t="s">
        <v>147</v>
      </c>
      <c r="R551" t="s">
        <v>57</v>
      </c>
      <c r="S551">
        <v>6</v>
      </c>
      <c r="T551">
        <v>772</v>
      </c>
      <c r="U551" s="1">
        <v>40413</v>
      </c>
      <c r="V551" t="s">
        <v>123</v>
      </c>
      <c r="W551" t="s">
        <v>124</v>
      </c>
      <c r="X551" t="s">
        <v>58</v>
      </c>
      <c r="Y551">
        <v>21</v>
      </c>
      <c r="Z551" t="s">
        <v>59</v>
      </c>
      <c r="AA551" t="s">
        <v>59</v>
      </c>
      <c r="AB551" t="s">
        <v>59</v>
      </c>
      <c r="AC551" t="s">
        <v>59</v>
      </c>
      <c r="AD551" t="s">
        <v>59</v>
      </c>
      <c r="AF551" s="1">
        <v>40413</v>
      </c>
      <c r="AG551" t="s">
        <v>125</v>
      </c>
      <c r="AH551" t="s">
        <v>538</v>
      </c>
      <c r="AI551" t="str">
        <f>"1701002"</f>
        <v>1701002</v>
      </c>
      <c r="AJ551" t="s">
        <v>539</v>
      </c>
      <c r="AK551">
        <v>2810213569</v>
      </c>
      <c r="AL551" t="s">
        <v>540</v>
      </c>
      <c r="AM551" t="s">
        <v>78</v>
      </c>
      <c r="AN551" t="s">
        <v>78</v>
      </c>
      <c r="AO551" t="s">
        <v>78</v>
      </c>
      <c r="AP551" t="s">
        <v>163</v>
      </c>
      <c r="AQ551">
        <v>11</v>
      </c>
      <c r="AR551" t="s">
        <v>123</v>
      </c>
      <c r="AS551" t="s">
        <v>124</v>
      </c>
      <c r="AT551" t="s">
        <v>58</v>
      </c>
      <c r="AU551" t="s">
        <v>68</v>
      </c>
      <c r="AV551" t="s">
        <v>69</v>
      </c>
      <c r="AW551" s="1">
        <v>27611</v>
      </c>
      <c r="AX551">
        <v>2</v>
      </c>
    </row>
    <row r="552" spans="1:50">
      <c r="A552">
        <v>227012</v>
      </c>
      <c r="B552" t="str">
        <f>"059163502"</f>
        <v>059163502</v>
      </c>
      <c r="C552" t="s">
        <v>105</v>
      </c>
      <c r="D552" t="s">
        <v>1599</v>
      </c>
      <c r="E552" t="s">
        <v>670</v>
      </c>
      <c r="F552" t="s">
        <v>995</v>
      </c>
      <c r="G552" t="s">
        <v>112</v>
      </c>
      <c r="H552" t="str">
        <f>"ΑΓΗΣΙΛΑΟΥ 2 ΗΡΑΚΛΕΙΟ"</f>
        <v>ΑΓΗΣΙΛΑΟΥ 2 ΗΡΑΚΛΕΙΟ</v>
      </c>
      <c r="I552">
        <v>71307</v>
      </c>
      <c r="J552">
        <v>2810224185</v>
      </c>
      <c r="K552">
        <v>6945232511</v>
      </c>
      <c r="M552" t="s">
        <v>1600</v>
      </c>
      <c r="N552" t="s">
        <v>292</v>
      </c>
      <c r="O552" t="s">
        <v>293</v>
      </c>
      <c r="R552" t="s">
        <v>57</v>
      </c>
      <c r="S552">
        <v>5</v>
      </c>
      <c r="T552">
        <v>654</v>
      </c>
      <c r="U552" s="1">
        <v>40043</v>
      </c>
      <c r="V552" t="s">
        <v>123</v>
      </c>
      <c r="W552" t="s">
        <v>124</v>
      </c>
      <c r="X552" t="s">
        <v>58</v>
      </c>
      <c r="Y552">
        <v>21</v>
      </c>
      <c r="Z552" t="s">
        <v>59</v>
      </c>
      <c r="AA552" t="s">
        <v>59</v>
      </c>
      <c r="AB552" t="s">
        <v>59</v>
      </c>
      <c r="AC552" t="s">
        <v>59</v>
      </c>
      <c r="AD552" t="s">
        <v>59</v>
      </c>
      <c r="AF552" s="1">
        <v>40043</v>
      </c>
      <c r="AG552" t="s">
        <v>148</v>
      </c>
      <c r="AH552" t="s">
        <v>149</v>
      </c>
      <c r="AI552" t="str">
        <f>"1761010"</f>
        <v>1761010</v>
      </c>
      <c r="AJ552" t="s">
        <v>426</v>
      </c>
      <c r="AK552">
        <v>2810741356</v>
      </c>
      <c r="AL552" t="s">
        <v>427</v>
      </c>
      <c r="AM552" t="s">
        <v>78</v>
      </c>
      <c r="AN552" t="s">
        <v>424</v>
      </c>
      <c r="AO552" t="s">
        <v>428</v>
      </c>
      <c r="AP552" t="s">
        <v>429</v>
      </c>
      <c r="AQ552">
        <v>14</v>
      </c>
      <c r="AR552" t="s">
        <v>123</v>
      </c>
      <c r="AS552" t="s">
        <v>124</v>
      </c>
      <c r="AT552" t="s">
        <v>58</v>
      </c>
      <c r="AU552" t="s">
        <v>68</v>
      </c>
      <c r="AV552" t="s">
        <v>69</v>
      </c>
      <c r="AW552" s="1">
        <v>24507</v>
      </c>
      <c r="AX552">
        <v>2</v>
      </c>
    </row>
    <row r="553" spans="1:50">
      <c r="A553">
        <v>179271</v>
      </c>
      <c r="B553" t="str">
        <f>"050636575"</f>
        <v>050636575</v>
      </c>
      <c r="C553" t="s">
        <v>105</v>
      </c>
      <c r="D553" t="s">
        <v>1601</v>
      </c>
      <c r="E553" t="s">
        <v>202</v>
      </c>
      <c r="F553" t="s">
        <v>95</v>
      </c>
      <c r="G553" t="s">
        <v>263</v>
      </c>
      <c r="H553" t="str">
        <f>"ΚΑΤΕΡΙΝΗΣ 7 ΜΕΣΑΜΠΕΛΙΕΣ"</f>
        <v>ΚΑΤΕΡΙΝΗΣ 7 ΜΕΣΑΜΠΕΛΙΕΣ</v>
      </c>
      <c r="I553">
        <v>71409</v>
      </c>
      <c r="J553">
        <v>2810234973</v>
      </c>
      <c r="K553">
        <v>6972454881</v>
      </c>
      <c r="M553" t="s">
        <v>1602</v>
      </c>
      <c r="N553" t="s">
        <v>146</v>
      </c>
      <c r="O553" t="s">
        <v>147</v>
      </c>
      <c r="R553" t="s">
        <v>57</v>
      </c>
      <c r="S553">
        <v>12</v>
      </c>
      <c r="T553">
        <v>164</v>
      </c>
      <c r="U553" s="1">
        <v>36040</v>
      </c>
      <c r="V553" t="s">
        <v>123</v>
      </c>
      <c r="W553" t="s">
        <v>124</v>
      </c>
      <c r="X553" t="s">
        <v>58</v>
      </c>
      <c r="Y553">
        <v>18</v>
      </c>
      <c r="Z553" t="s">
        <v>59</v>
      </c>
      <c r="AA553" t="s">
        <v>59</v>
      </c>
      <c r="AB553" t="s">
        <v>59</v>
      </c>
      <c r="AC553" t="s">
        <v>59</v>
      </c>
      <c r="AD553" t="s">
        <v>59</v>
      </c>
      <c r="AF553" s="1">
        <v>36042</v>
      </c>
      <c r="AG553" t="s">
        <v>125</v>
      </c>
      <c r="AH553" t="s">
        <v>126</v>
      </c>
      <c r="AI553" t="str">
        <f>"1701052"</f>
        <v>1701052</v>
      </c>
      <c r="AJ553" t="s">
        <v>223</v>
      </c>
      <c r="AK553">
        <v>2810252514</v>
      </c>
      <c r="AL553" t="s">
        <v>224</v>
      </c>
      <c r="AM553" t="s">
        <v>78</v>
      </c>
      <c r="AN553" t="s">
        <v>78</v>
      </c>
      <c r="AO553" t="s">
        <v>78</v>
      </c>
      <c r="AP553" t="s">
        <v>141</v>
      </c>
      <c r="AQ553">
        <v>7</v>
      </c>
      <c r="AR553" t="s">
        <v>123</v>
      </c>
      <c r="AS553" t="s">
        <v>124</v>
      </c>
      <c r="AT553" t="s">
        <v>58</v>
      </c>
      <c r="AU553" t="s">
        <v>68</v>
      </c>
      <c r="AV553" t="s">
        <v>69</v>
      </c>
      <c r="AW553" s="1">
        <v>23671</v>
      </c>
      <c r="AX553">
        <v>2</v>
      </c>
    </row>
    <row r="554" spans="1:50">
      <c r="A554">
        <v>187933</v>
      </c>
      <c r="B554" t="str">
        <f>"046500128"</f>
        <v>046500128</v>
      </c>
      <c r="C554" t="s">
        <v>50</v>
      </c>
      <c r="D554" t="s">
        <v>1603</v>
      </c>
      <c r="E554" t="s">
        <v>868</v>
      </c>
      <c r="F554" t="s">
        <v>670</v>
      </c>
      <c r="G554" t="s">
        <v>1001</v>
      </c>
      <c r="H554" t="str">
        <f>"ΠΑΤΕΛΑΡΟΥ 31 "</f>
        <v xml:space="preserve">ΠΑΤΕΛΑΡΟΥ 31 </v>
      </c>
      <c r="I554">
        <v>71305</v>
      </c>
      <c r="J554">
        <v>2810210717</v>
      </c>
      <c r="K554">
        <v>6973264889</v>
      </c>
      <c r="M554" t="s">
        <v>1604</v>
      </c>
      <c r="N554" t="s">
        <v>204</v>
      </c>
      <c r="O554" t="s">
        <v>205</v>
      </c>
      <c r="R554" t="s">
        <v>57</v>
      </c>
      <c r="S554">
        <v>8</v>
      </c>
      <c r="T554">
        <v>251</v>
      </c>
      <c r="U554" s="1">
        <v>36769</v>
      </c>
      <c r="V554" t="s">
        <v>123</v>
      </c>
      <c r="W554" t="s">
        <v>124</v>
      </c>
      <c r="X554" t="s">
        <v>58</v>
      </c>
      <c r="Y554">
        <v>20</v>
      </c>
      <c r="Z554" t="s">
        <v>59</v>
      </c>
      <c r="AA554" t="s">
        <v>59</v>
      </c>
      <c r="AB554" t="s">
        <v>59</v>
      </c>
      <c r="AC554" t="s">
        <v>59</v>
      </c>
      <c r="AD554" t="s">
        <v>59</v>
      </c>
      <c r="AF554" s="1">
        <v>36770</v>
      </c>
      <c r="AG554" t="s">
        <v>148</v>
      </c>
      <c r="AH554" t="s">
        <v>149</v>
      </c>
      <c r="AI554" t="str">
        <f>"1751040"</f>
        <v>1751040</v>
      </c>
      <c r="AJ554" t="s">
        <v>178</v>
      </c>
      <c r="AK554">
        <v>2810252495</v>
      </c>
      <c r="AL554" t="s">
        <v>179</v>
      </c>
      <c r="AM554" t="s">
        <v>78</v>
      </c>
      <c r="AN554" t="s">
        <v>78</v>
      </c>
      <c r="AO554" t="s">
        <v>78</v>
      </c>
      <c r="AP554" t="s">
        <v>141</v>
      </c>
      <c r="AQ554">
        <v>3</v>
      </c>
      <c r="AR554" t="s">
        <v>123</v>
      </c>
      <c r="AS554" t="s">
        <v>124</v>
      </c>
      <c r="AT554" t="s">
        <v>58</v>
      </c>
      <c r="AU554" t="s">
        <v>68</v>
      </c>
      <c r="AV554" t="s">
        <v>69</v>
      </c>
      <c r="AW554" s="1">
        <v>26310</v>
      </c>
      <c r="AX554">
        <v>2</v>
      </c>
    </row>
    <row r="555" spans="1:50">
      <c r="A555">
        <v>180634</v>
      </c>
      <c r="B555" t="str">
        <f>"029032030"</f>
        <v>029032030</v>
      </c>
      <c r="C555" t="s">
        <v>50</v>
      </c>
      <c r="D555" t="s">
        <v>1605</v>
      </c>
      <c r="E555" t="s">
        <v>52</v>
      </c>
      <c r="F555" t="s">
        <v>166</v>
      </c>
      <c r="G555" t="s">
        <v>83</v>
      </c>
      <c r="H555" t="str">
        <f>"ΑΝΩ ΑΡΧΑΝΕΣ ΑΡΧΑΝΩΝ"</f>
        <v>ΑΝΩ ΑΡΧΑΝΕΣ ΑΡΧΑΝΩΝ</v>
      </c>
      <c r="I555">
        <v>70100</v>
      </c>
      <c r="K555">
        <v>6946500408</v>
      </c>
      <c r="M555" t="s">
        <v>1606</v>
      </c>
      <c r="N555" t="s">
        <v>246</v>
      </c>
      <c r="O555" t="s">
        <v>247</v>
      </c>
      <c r="R555" t="s">
        <v>57</v>
      </c>
      <c r="S555">
        <v>17</v>
      </c>
      <c r="T555">
        <v>164</v>
      </c>
      <c r="U555" s="1">
        <v>36040</v>
      </c>
      <c r="V555" t="s">
        <v>123</v>
      </c>
      <c r="W555" t="s">
        <v>124</v>
      </c>
      <c r="X555" t="s">
        <v>58</v>
      </c>
      <c r="Y555">
        <v>18</v>
      </c>
      <c r="Z555" t="s">
        <v>59</v>
      </c>
      <c r="AA555" t="s">
        <v>59</v>
      </c>
      <c r="AB555" t="s">
        <v>59</v>
      </c>
      <c r="AC555" t="s">
        <v>59</v>
      </c>
      <c r="AD555" t="s">
        <v>59</v>
      </c>
      <c r="AF555" s="1">
        <v>36046</v>
      </c>
      <c r="AG555" t="s">
        <v>148</v>
      </c>
      <c r="AH555" t="s">
        <v>149</v>
      </c>
      <c r="AI555" t="str">
        <f>"1761010"</f>
        <v>1761010</v>
      </c>
      <c r="AJ555" t="s">
        <v>426</v>
      </c>
      <c r="AK555">
        <v>2810741356</v>
      </c>
      <c r="AL555" t="s">
        <v>427</v>
      </c>
      <c r="AM555" t="s">
        <v>78</v>
      </c>
      <c r="AN555" t="s">
        <v>424</v>
      </c>
      <c r="AO555" t="s">
        <v>428</v>
      </c>
      <c r="AP555" t="s">
        <v>429</v>
      </c>
      <c r="AQ555">
        <v>14</v>
      </c>
      <c r="AR555" t="s">
        <v>123</v>
      </c>
      <c r="AS555" t="s">
        <v>124</v>
      </c>
      <c r="AT555" t="s">
        <v>58</v>
      </c>
      <c r="AU555" t="s">
        <v>68</v>
      </c>
      <c r="AV555" t="s">
        <v>69</v>
      </c>
      <c r="AW555" s="1">
        <v>22880</v>
      </c>
      <c r="AX555">
        <v>2</v>
      </c>
    </row>
    <row r="556" spans="1:50">
      <c r="A556">
        <v>193956</v>
      </c>
      <c r="B556" t="str">
        <f>"064565640"</f>
        <v>064565640</v>
      </c>
      <c r="C556" t="s">
        <v>50</v>
      </c>
      <c r="D556" t="s">
        <v>1605</v>
      </c>
      <c r="E556" t="s">
        <v>1001</v>
      </c>
      <c r="F556" t="s">
        <v>53</v>
      </c>
      <c r="G556" t="s">
        <v>237</v>
      </c>
      <c r="H556" t="str">
        <f>"Γ. ΕΛΕΥΘΕΡΑΚΗ  ΑΡΧΑΝΕΣ"</f>
        <v>Γ. ΕΛΕΥΘΕΡΑΚΗ  ΑΡΧΑΝΕΣ</v>
      </c>
      <c r="I556">
        <v>70100</v>
      </c>
      <c r="J556">
        <v>2810752153</v>
      </c>
      <c r="K556">
        <v>6973302107</v>
      </c>
      <c r="L556">
        <v>6983415954</v>
      </c>
      <c r="M556" t="s">
        <v>1607</v>
      </c>
      <c r="N556" t="s">
        <v>306</v>
      </c>
      <c r="O556" t="s">
        <v>307</v>
      </c>
      <c r="R556" t="s">
        <v>57</v>
      </c>
      <c r="S556">
        <v>11</v>
      </c>
      <c r="T556">
        <v>193</v>
      </c>
      <c r="U556" s="1">
        <v>37497</v>
      </c>
      <c r="V556" t="s">
        <v>123</v>
      </c>
      <c r="W556" t="s">
        <v>124</v>
      </c>
      <c r="X556" t="s">
        <v>58</v>
      </c>
      <c r="Y556">
        <v>18</v>
      </c>
      <c r="Z556" t="s">
        <v>59</v>
      </c>
      <c r="AA556" t="s">
        <v>59</v>
      </c>
      <c r="AB556" t="s">
        <v>59</v>
      </c>
      <c r="AC556" t="s">
        <v>59</v>
      </c>
      <c r="AD556" t="s">
        <v>59</v>
      </c>
      <c r="AF556" s="1">
        <v>37501</v>
      </c>
      <c r="AG556" t="s">
        <v>148</v>
      </c>
      <c r="AH556" t="s">
        <v>149</v>
      </c>
      <c r="AI556" t="str">
        <f>"1761010"</f>
        <v>1761010</v>
      </c>
      <c r="AJ556" t="s">
        <v>426</v>
      </c>
      <c r="AK556">
        <v>2810741356</v>
      </c>
      <c r="AL556" t="s">
        <v>427</v>
      </c>
      <c r="AM556" t="s">
        <v>78</v>
      </c>
      <c r="AN556" t="s">
        <v>424</v>
      </c>
      <c r="AO556" t="s">
        <v>428</v>
      </c>
      <c r="AP556" t="s">
        <v>429</v>
      </c>
      <c r="AQ556">
        <v>14</v>
      </c>
      <c r="AR556" t="s">
        <v>123</v>
      </c>
      <c r="AS556" t="s">
        <v>124</v>
      </c>
      <c r="AT556" t="s">
        <v>58</v>
      </c>
      <c r="AU556" t="s">
        <v>68</v>
      </c>
      <c r="AV556" t="s">
        <v>69</v>
      </c>
      <c r="AW556" s="1">
        <v>25154</v>
      </c>
      <c r="AX556">
        <v>2</v>
      </c>
    </row>
    <row r="557" spans="1:50">
      <c r="A557">
        <v>201048</v>
      </c>
      <c r="B557" t="str">
        <f>"059102385"</f>
        <v>059102385</v>
      </c>
      <c r="C557" t="s">
        <v>50</v>
      </c>
      <c r="D557" t="s">
        <v>1605</v>
      </c>
      <c r="E557" t="s">
        <v>335</v>
      </c>
      <c r="F557" t="s">
        <v>108</v>
      </c>
      <c r="G557" t="s">
        <v>237</v>
      </c>
      <c r="H557" t="str">
        <f>"ΑΦΘΟΝΙΟΥ ΝΤΡΕΤΑΚΗ ΣΥΛΛΑΜΟΣ"</f>
        <v>ΑΦΘΟΝΙΟΥ ΝΤΡΕΤΑΚΗ ΣΥΛΛΑΜΟΣ</v>
      </c>
      <c r="I557">
        <v>71500</v>
      </c>
      <c r="J557">
        <v>2810210837</v>
      </c>
      <c r="K557">
        <v>6973395861</v>
      </c>
      <c r="L557">
        <v>2810751475</v>
      </c>
      <c r="M557" t="s">
        <v>1608</v>
      </c>
      <c r="N557" t="s">
        <v>157</v>
      </c>
      <c r="O557" t="s">
        <v>158</v>
      </c>
      <c r="R557" t="s">
        <v>57</v>
      </c>
      <c r="S557">
        <v>7</v>
      </c>
      <c r="T557">
        <v>231</v>
      </c>
      <c r="U557" s="1">
        <v>38230</v>
      </c>
      <c r="V557" t="s">
        <v>123</v>
      </c>
      <c r="W557" t="s">
        <v>124</v>
      </c>
      <c r="X557" t="s">
        <v>58</v>
      </c>
      <c r="Y557">
        <v>20</v>
      </c>
      <c r="Z557" t="s">
        <v>59</v>
      </c>
      <c r="AA557" t="s">
        <v>59</v>
      </c>
      <c r="AB557" t="s">
        <v>59</v>
      </c>
      <c r="AC557" t="s">
        <v>59</v>
      </c>
      <c r="AD557" t="s">
        <v>59</v>
      </c>
      <c r="AF557" s="1">
        <v>38233</v>
      </c>
      <c r="AG557" t="s">
        <v>125</v>
      </c>
      <c r="AH557" t="s">
        <v>126</v>
      </c>
      <c r="AI557" t="str">
        <f>"1703010"</f>
        <v>1703010</v>
      </c>
      <c r="AJ557" t="s">
        <v>422</v>
      </c>
      <c r="AK557">
        <v>2810751808</v>
      </c>
      <c r="AL557" t="s">
        <v>423</v>
      </c>
      <c r="AM557" t="s">
        <v>78</v>
      </c>
      <c r="AN557" t="s">
        <v>424</v>
      </c>
      <c r="AO557" t="s">
        <v>425</v>
      </c>
      <c r="AP557" t="s">
        <v>425</v>
      </c>
      <c r="AQ557">
        <v>13</v>
      </c>
      <c r="AR557" t="s">
        <v>123</v>
      </c>
      <c r="AS557" t="s">
        <v>124</v>
      </c>
      <c r="AT557" t="s">
        <v>58</v>
      </c>
      <c r="AU557" t="s">
        <v>68</v>
      </c>
      <c r="AV557" t="s">
        <v>69</v>
      </c>
      <c r="AW557" s="1">
        <v>24857</v>
      </c>
      <c r="AX557">
        <v>2</v>
      </c>
    </row>
    <row r="558" spans="1:50">
      <c r="A558">
        <v>197075</v>
      </c>
      <c r="B558" t="str">
        <f>"074046103"</f>
        <v>074046103</v>
      </c>
      <c r="C558" t="s">
        <v>50</v>
      </c>
      <c r="D558" t="s">
        <v>1609</v>
      </c>
      <c r="E558" t="s">
        <v>250</v>
      </c>
      <c r="F558" t="s">
        <v>99</v>
      </c>
      <c r="G558" t="s">
        <v>83</v>
      </c>
      <c r="H558" t="str">
        <f>"ΟΔΥΣΣΕΩΣ 10 "</f>
        <v xml:space="preserve">ΟΔΥΣΣΕΩΣ 10 </v>
      </c>
      <c r="J558">
        <v>2810341056</v>
      </c>
      <c r="K558">
        <v>6932796069</v>
      </c>
      <c r="N558" t="s">
        <v>146</v>
      </c>
      <c r="O558" t="s">
        <v>147</v>
      </c>
      <c r="R558" t="s">
        <v>57</v>
      </c>
      <c r="S558">
        <v>7</v>
      </c>
      <c r="T558">
        <v>206</v>
      </c>
      <c r="U558" s="1">
        <v>37866</v>
      </c>
      <c r="V558" t="s">
        <v>123</v>
      </c>
      <c r="W558" t="s">
        <v>124</v>
      </c>
      <c r="X558" t="s">
        <v>58</v>
      </c>
      <c r="Y558">
        <v>20</v>
      </c>
      <c r="Z558" t="s">
        <v>59</v>
      </c>
      <c r="AA558" t="s">
        <v>59</v>
      </c>
      <c r="AB558" t="s">
        <v>59</v>
      </c>
      <c r="AC558" t="s">
        <v>59</v>
      </c>
      <c r="AD558" t="s">
        <v>59</v>
      </c>
      <c r="AF558" s="1">
        <v>37866</v>
      </c>
      <c r="AG558" t="s">
        <v>148</v>
      </c>
      <c r="AH558" t="s">
        <v>149</v>
      </c>
      <c r="AI558" t="str">
        <f>"1778010"</f>
        <v>1778010</v>
      </c>
      <c r="AJ558" t="s">
        <v>672</v>
      </c>
      <c r="AK558">
        <v>2810822455</v>
      </c>
      <c r="AL558" t="s">
        <v>673</v>
      </c>
      <c r="AM558" t="s">
        <v>78</v>
      </c>
      <c r="AN558" t="s">
        <v>129</v>
      </c>
      <c r="AO558" t="s">
        <v>130</v>
      </c>
      <c r="AP558" t="s">
        <v>130</v>
      </c>
      <c r="AQ558">
        <v>36</v>
      </c>
      <c r="AR558" t="s">
        <v>123</v>
      </c>
      <c r="AS558" t="s">
        <v>124</v>
      </c>
      <c r="AT558" t="s">
        <v>58</v>
      </c>
      <c r="AU558" t="s">
        <v>68</v>
      </c>
      <c r="AV558" t="s">
        <v>69</v>
      </c>
      <c r="AW558" s="1">
        <v>28040</v>
      </c>
      <c r="AX558">
        <v>2</v>
      </c>
    </row>
    <row r="559" spans="1:50">
      <c r="A559">
        <v>217484</v>
      </c>
      <c r="B559" t="str">
        <f>"028113090"</f>
        <v>028113090</v>
      </c>
      <c r="C559" t="s">
        <v>50</v>
      </c>
      <c r="D559" t="s">
        <v>1609</v>
      </c>
      <c r="E559" t="s">
        <v>52</v>
      </c>
      <c r="F559" t="s">
        <v>84</v>
      </c>
      <c r="G559" t="s">
        <v>73</v>
      </c>
      <c r="H559" t="str">
        <f>"ΘΕΡΙΣΣΟΥ 147 ΗΡΑΚΛΕΙΟ"</f>
        <v>ΘΕΡΙΣΣΟΥ 147 ΗΡΑΚΛΕΙΟ</v>
      </c>
      <c r="I559">
        <v>71305</v>
      </c>
      <c r="J559">
        <v>2810311043</v>
      </c>
      <c r="K559">
        <v>6977197796</v>
      </c>
      <c r="M559" t="s">
        <v>1610</v>
      </c>
      <c r="N559" t="s">
        <v>146</v>
      </c>
      <c r="O559" t="s">
        <v>147</v>
      </c>
      <c r="R559" t="s">
        <v>57</v>
      </c>
      <c r="S559">
        <v>8</v>
      </c>
      <c r="T559">
        <v>599</v>
      </c>
      <c r="U559" s="1">
        <v>39310</v>
      </c>
      <c r="V559" t="s">
        <v>123</v>
      </c>
      <c r="W559" t="s">
        <v>124</v>
      </c>
      <c r="X559" t="s">
        <v>58</v>
      </c>
      <c r="Y559">
        <v>20</v>
      </c>
      <c r="Z559" t="s">
        <v>59</v>
      </c>
      <c r="AA559" t="s">
        <v>59</v>
      </c>
      <c r="AB559" t="s">
        <v>59</v>
      </c>
      <c r="AC559" t="s">
        <v>59</v>
      </c>
      <c r="AD559" t="s">
        <v>59</v>
      </c>
      <c r="AF559" s="1">
        <v>39328</v>
      </c>
      <c r="AG559" t="s">
        <v>125</v>
      </c>
      <c r="AH559" t="s">
        <v>126</v>
      </c>
      <c r="AI559" t="str">
        <f>"1701010"</f>
        <v>1701010</v>
      </c>
      <c r="AJ559" t="s">
        <v>374</v>
      </c>
      <c r="AK559">
        <v>2810227148</v>
      </c>
      <c r="AL559" t="s">
        <v>375</v>
      </c>
      <c r="AM559" t="s">
        <v>78</v>
      </c>
      <c r="AN559" t="s">
        <v>78</v>
      </c>
      <c r="AO559" t="s">
        <v>78</v>
      </c>
      <c r="AP559" t="s">
        <v>79</v>
      </c>
      <c r="AQ559">
        <v>1</v>
      </c>
      <c r="AR559" t="s">
        <v>123</v>
      </c>
      <c r="AS559" t="s">
        <v>124</v>
      </c>
      <c r="AT559" t="s">
        <v>58</v>
      </c>
      <c r="AU559" t="s">
        <v>68</v>
      </c>
      <c r="AV559" t="s">
        <v>69</v>
      </c>
      <c r="AW559" s="1">
        <v>24320</v>
      </c>
      <c r="AX559">
        <v>2</v>
      </c>
    </row>
    <row r="560" spans="1:50">
      <c r="A560">
        <v>220342</v>
      </c>
      <c r="B560" t="str">
        <f>"064117448"</f>
        <v>064117448</v>
      </c>
      <c r="C560" t="s">
        <v>50</v>
      </c>
      <c r="D560" t="s">
        <v>1609</v>
      </c>
      <c r="E560" t="s">
        <v>52</v>
      </c>
      <c r="F560" t="s">
        <v>111</v>
      </c>
      <c r="G560" t="s">
        <v>237</v>
      </c>
      <c r="H560" t="str">
        <f>"ΠΡΙΑΝΣΟΥ 2 ΗΡΑΚΛΕΙΟ"</f>
        <v>ΠΡΙΑΝΣΟΥ 2 ΗΡΑΚΛΕΙΟ</v>
      </c>
      <c r="I560">
        <v>71304</v>
      </c>
      <c r="J560">
        <v>2810314422</v>
      </c>
      <c r="K560">
        <v>6977223049</v>
      </c>
      <c r="M560" t="s">
        <v>1611</v>
      </c>
      <c r="N560" t="s">
        <v>146</v>
      </c>
      <c r="O560" t="s">
        <v>147</v>
      </c>
      <c r="R560" t="s">
        <v>57</v>
      </c>
      <c r="S560">
        <v>8</v>
      </c>
      <c r="T560">
        <v>681</v>
      </c>
      <c r="U560" s="1">
        <v>39325</v>
      </c>
      <c r="V560" t="s">
        <v>123</v>
      </c>
      <c r="W560" t="s">
        <v>124</v>
      </c>
      <c r="X560" t="s">
        <v>58</v>
      </c>
      <c r="Y560">
        <v>20</v>
      </c>
      <c r="Z560" t="s">
        <v>59</v>
      </c>
      <c r="AA560" t="s">
        <v>59</v>
      </c>
      <c r="AB560" t="s">
        <v>59</v>
      </c>
      <c r="AC560" t="s">
        <v>59</v>
      </c>
      <c r="AD560" t="s">
        <v>59</v>
      </c>
      <c r="AF560" s="1">
        <v>39329</v>
      </c>
      <c r="AG560" t="s">
        <v>125</v>
      </c>
      <c r="AH560" t="s">
        <v>126</v>
      </c>
      <c r="AI560" t="str">
        <f>"1701070"</f>
        <v>1701070</v>
      </c>
      <c r="AJ560" t="s">
        <v>1490</v>
      </c>
      <c r="AK560">
        <v>2810771241</v>
      </c>
      <c r="AL560" t="s">
        <v>1491</v>
      </c>
      <c r="AM560" t="s">
        <v>78</v>
      </c>
      <c r="AN560" t="s">
        <v>219</v>
      </c>
      <c r="AO560" t="s">
        <v>1437</v>
      </c>
      <c r="AP560" t="s">
        <v>1437</v>
      </c>
      <c r="AQ560">
        <v>21</v>
      </c>
      <c r="AR560" t="s">
        <v>123</v>
      </c>
      <c r="AS560" t="s">
        <v>124</v>
      </c>
      <c r="AT560" t="s">
        <v>58</v>
      </c>
      <c r="AU560" t="s">
        <v>68</v>
      </c>
      <c r="AV560" t="s">
        <v>69</v>
      </c>
      <c r="AW560" s="1">
        <v>27142</v>
      </c>
      <c r="AX560">
        <v>2</v>
      </c>
    </row>
    <row r="561" spans="1:50">
      <c r="A561">
        <v>223349</v>
      </c>
      <c r="B561" t="str">
        <f>"073373221"</f>
        <v>073373221</v>
      </c>
      <c r="C561" t="s">
        <v>105</v>
      </c>
      <c r="D561" t="s">
        <v>1612</v>
      </c>
      <c r="E561" t="s">
        <v>154</v>
      </c>
      <c r="F561" t="s">
        <v>53</v>
      </c>
      <c r="G561" t="s">
        <v>96</v>
      </c>
      <c r="H561" t="str">
        <f>"ΝΤΑΛΙΑΝΗ 12 ΗΡΑΚΛΕΙΟ"</f>
        <v>ΝΤΑΛΙΑΝΗ 12 ΗΡΑΚΛΕΙΟ</v>
      </c>
      <c r="J561">
        <v>2810771418</v>
      </c>
      <c r="K561">
        <v>6981390814</v>
      </c>
      <c r="N561" t="s">
        <v>232</v>
      </c>
      <c r="O561" t="s">
        <v>233</v>
      </c>
      <c r="R561" t="s">
        <v>57</v>
      </c>
      <c r="S561">
        <v>8</v>
      </c>
      <c r="T561">
        <v>775</v>
      </c>
      <c r="U561" s="1">
        <v>39680</v>
      </c>
      <c r="V561" t="s">
        <v>123</v>
      </c>
      <c r="W561" t="s">
        <v>124</v>
      </c>
      <c r="X561" t="s">
        <v>58</v>
      </c>
      <c r="Y561">
        <v>20</v>
      </c>
      <c r="Z561" t="s">
        <v>59</v>
      </c>
      <c r="AA561" t="s">
        <v>59</v>
      </c>
      <c r="AB561" t="s">
        <v>59</v>
      </c>
      <c r="AC561" t="s">
        <v>59</v>
      </c>
      <c r="AD561" t="s">
        <v>59</v>
      </c>
      <c r="AF561" s="1">
        <v>39692</v>
      </c>
      <c r="AG561" t="s">
        <v>125</v>
      </c>
      <c r="AH561" t="s">
        <v>386</v>
      </c>
      <c r="AI561" t="str">
        <f>"1741002"</f>
        <v>1741002</v>
      </c>
      <c r="AJ561" t="s">
        <v>387</v>
      </c>
      <c r="AK561">
        <v>2810762610</v>
      </c>
      <c r="AL561" t="s">
        <v>388</v>
      </c>
      <c r="AM561" t="s">
        <v>78</v>
      </c>
      <c r="AN561" t="s">
        <v>219</v>
      </c>
      <c r="AO561" t="s">
        <v>297</v>
      </c>
      <c r="AP561" t="s">
        <v>297</v>
      </c>
      <c r="AQ561">
        <v>10</v>
      </c>
      <c r="AR561" t="s">
        <v>123</v>
      </c>
      <c r="AS561" t="s">
        <v>124</v>
      </c>
      <c r="AT561" t="s">
        <v>58</v>
      </c>
      <c r="AU561" t="s">
        <v>68</v>
      </c>
      <c r="AV561" t="s">
        <v>69</v>
      </c>
      <c r="AW561" s="1">
        <v>25222</v>
      </c>
      <c r="AX561">
        <v>2</v>
      </c>
    </row>
    <row r="562" spans="1:50">
      <c r="A562">
        <v>224919</v>
      </c>
      <c r="B562" t="str">
        <f>"103844383"</f>
        <v>103844383</v>
      </c>
      <c r="C562" t="s">
        <v>50</v>
      </c>
      <c r="D562" t="s">
        <v>1613</v>
      </c>
      <c r="E562" t="s">
        <v>710</v>
      </c>
      <c r="F562" t="s">
        <v>315</v>
      </c>
      <c r="G562" t="s">
        <v>1173</v>
      </c>
      <c r="H562" t="str">
        <f>"Κάλχα 9 Γιόφυρο  Ηράκλειο"</f>
        <v>Κάλχα 9 Γιόφυρο  Ηράκλειο</v>
      </c>
      <c r="I562">
        <v>71304</v>
      </c>
      <c r="J562">
        <v>2813006118</v>
      </c>
      <c r="K562">
        <v>6955320050</v>
      </c>
      <c r="M562" t="s">
        <v>1614</v>
      </c>
      <c r="N562" t="s">
        <v>176</v>
      </c>
      <c r="O562" t="s">
        <v>177</v>
      </c>
      <c r="R562" t="s">
        <v>57</v>
      </c>
      <c r="S562">
        <v>8</v>
      </c>
      <c r="T562">
        <v>775</v>
      </c>
      <c r="U562" s="1">
        <v>39680</v>
      </c>
      <c r="V562" t="s">
        <v>123</v>
      </c>
      <c r="W562" t="s">
        <v>124</v>
      </c>
      <c r="X562" t="s">
        <v>58</v>
      </c>
      <c r="Y562">
        <v>20</v>
      </c>
      <c r="Z562" t="s">
        <v>59</v>
      </c>
      <c r="AA562" t="s">
        <v>59</v>
      </c>
      <c r="AB562" t="s">
        <v>59</v>
      </c>
      <c r="AC562" t="s">
        <v>59</v>
      </c>
      <c r="AD562" t="s">
        <v>59</v>
      </c>
      <c r="AF562" s="1">
        <v>39685</v>
      </c>
      <c r="AG562" t="s">
        <v>125</v>
      </c>
      <c r="AH562" t="s">
        <v>126</v>
      </c>
      <c r="AI562" t="str">
        <f>"1722010"</f>
        <v>1722010</v>
      </c>
      <c r="AJ562" t="s">
        <v>549</v>
      </c>
      <c r="AK562">
        <v>2894041298</v>
      </c>
      <c r="AL562" t="s">
        <v>550</v>
      </c>
      <c r="AM562" t="s">
        <v>78</v>
      </c>
      <c r="AN562" t="s">
        <v>405</v>
      </c>
      <c r="AO562" t="s">
        <v>551</v>
      </c>
      <c r="AP562" t="s">
        <v>552</v>
      </c>
      <c r="AQ562">
        <v>31</v>
      </c>
      <c r="AR562" t="s">
        <v>123</v>
      </c>
      <c r="AS562" t="s">
        <v>124</v>
      </c>
      <c r="AT562" t="s">
        <v>58</v>
      </c>
      <c r="AU562" t="s">
        <v>68</v>
      </c>
      <c r="AV562" t="s">
        <v>69</v>
      </c>
      <c r="AW562" s="1">
        <v>28138</v>
      </c>
      <c r="AX562">
        <v>2</v>
      </c>
    </row>
    <row r="563" spans="1:50">
      <c r="A563">
        <v>220859</v>
      </c>
      <c r="B563" t="str">
        <f>"126270066"</f>
        <v>126270066</v>
      </c>
      <c r="C563" t="s">
        <v>50</v>
      </c>
      <c r="D563" t="s">
        <v>1615</v>
      </c>
      <c r="E563" t="s">
        <v>237</v>
      </c>
      <c r="F563" t="s">
        <v>670</v>
      </c>
      <c r="G563" t="s">
        <v>83</v>
      </c>
      <c r="H563" t="str">
        <f>" "</f>
        <v xml:space="preserve"> </v>
      </c>
      <c r="J563">
        <v>2108812767</v>
      </c>
      <c r="K563">
        <v>6942538414</v>
      </c>
      <c r="N563" t="s">
        <v>683</v>
      </c>
      <c r="O563" t="s">
        <v>684</v>
      </c>
      <c r="R563" t="s">
        <v>57</v>
      </c>
      <c r="S563">
        <v>5</v>
      </c>
      <c r="T563">
        <v>681</v>
      </c>
      <c r="U563" s="1">
        <v>39325</v>
      </c>
      <c r="V563" t="s">
        <v>123</v>
      </c>
      <c r="W563" t="s">
        <v>124</v>
      </c>
      <c r="X563" t="s">
        <v>58</v>
      </c>
      <c r="Y563">
        <v>21</v>
      </c>
      <c r="Z563" t="s">
        <v>59</v>
      </c>
      <c r="AA563" t="s">
        <v>59</v>
      </c>
      <c r="AB563" t="s">
        <v>59</v>
      </c>
      <c r="AC563" t="s">
        <v>59</v>
      </c>
      <c r="AD563" t="s">
        <v>59</v>
      </c>
      <c r="AF563" s="1">
        <v>39329</v>
      </c>
      <c r="AG563" t="s">
        <v>125</v>
      </c>
      <c r="AH563" t="s">
        <v>126</v>
      </c>
      <c r="AI563" t="str">
        <f>"1701057"</f>
        <v>1701057</v>
      </c>
      <c r="AJ563" t="s">
        <v>379</v>
      </c>
      <c r="AK563">
        <v>2810234488</v>
      </c>
      <c r="AL563" t="s">
        <v>380</v>
      </c>
      <c r="AM563" t="s">
        <v>78</v>
      </c>
      <c r="AN563" t="s">
        <v>78</v>
      </c>
      <c r="AO563" t="s">
        <v>78</v>
      </c>
      <c r="AP563" t="s">
        <v>163</v>
      </c>
      <c r="AQ563">
        <v>8</v>
      </c>
      <c r="AR563" t="s">
        <v>123</v>
      </c>
      <c r="AS563" t="s">
        <v>124</v>
      </c>
      <c r="AT563" t="s">
        <v>58</v>
      </c>
      <c r="AU563" t="s">
        <v>68</v>
      </c>
      <c r="AV563" t="s">
        <v>69</v>
      </c>
      <c r="AW563" s="1">
        <v>27171</v>
      </c>
      <c r="AX563">
        <v>2</v>
      </c>
    </row>
    <row r="564" spans="1:50">
      <c r="A564">
        <v>218404</v>
      </c>
      <c r="B564" t="str">
        <f>"110742370"</f>
        <v>110742370</v>
      </c>
      <c r="C564" t="s">
        <v>105</v>
      </c>
      <c r="D564" t="s">
        <v>1616</v>
      </c>
      <c r="E564" t="s">
        <v>99</v>
      </c>
      <c r="F564" t="s">
        <v>304</v>
      </c>
      <c r="G564" t="s">
        <v>1078</v>
      </c>
      <c r="H564" t="str">
        <f>"ΑΡΙΣΤΕΙΔΟΥ ΖΑΦΕΙΡΙΔΟΥ 22 ΗΡΑΚΛΕΙΟ"</f>
        <v>ΑΡΙΣΤΕΙΔΟΥ ΖΑΦΕΙΡΙΔΟΥ 22 ΗΡΑΚΛΕΙΟ</v>
      </c>
      <c r="I564">
        <v>71304</v>
      </c>
      <c r="J564">
        <v>2810259851</v>
      </c>
      <c r="K564">
        <v>6932206103</v>
      </c>
      <c r="M564" t="s">
        <v>1617</v>
      </c>
      <c r="N564" t="s">
        <v>232</v>
      </c>
      <c r="O564" t="s">
        <v>233</v>
      </c>
      <c r="R564" t="s">
        <v>57</v>
      </c>
      <c r="S564">
        <v>9</v>
      </c>
      <c r="T564">
        <v>599</v>
      </c>
      <c r="U564" s="1">
        <v>39310</v>
      </c>
      <c r="V564" t="s">
        <v>123</v>
      </c>
      <c r="W564" t="s">
        <v>124</v>
      </c>
      <c r="X564" t="s">
        <v>58</v>
      </c>
      <c r="Y564">
        <v>20</v>
      </c>
      <c r="Z564" t="s">
        <v>59</v>
      </c>
      <c r="AA564" t="s">
        <v>59</v>
      </c>
      <c r="AB564" t="s">
        <v>59</v>
      </c>
      <c r="AC564" t="s">
        <v>59</v>
      </c>
      <c r="AD564" t="s">
        <v>59</v>
      </c>
      <c r="AF564" s="1">
        <v>39328</v>
      </c>
      <c r="AG564" t="s">
        <v>148</v>
      </c>
      <c r="AH564" t="s">
        <v>149</v>
      </c>
      <c r="AI564" t="str">
        <f>"1778010"</f>
        <v>1778010</v>
      </c>
      <c r="AJ564" t="s">
        <v>672</v>
      </c>
      <c r="AK564">
        <v>2810822455</v>
      </c>
      <c r="AL564" t="s">
        <v>673</v>
      </c>
      <c r="AM564" t="s">
        <v>78</v>
      </c>
      <c r="AN564" t="s">
        <v>129</v>
      </c>
      <c r="AO564" t="s">
        <v>130</v>
      </c>
      <c r="AP564" t="s">
        <v>130</v>
      </c>
      <c r="AQ564">
        <v>36</v>
      </c>
      <c r="AR564" t="s">
        <v>123</v>
      </c>
      <c r="AS564" t="s">
        <v>124</v>
      </c>
      <c r="AT564" t="s">
        <v>58</v>
      </c>
      <c r="AU564" t="s">
        <v>68</v>
      </c>
      <c r="AV564" t="s">
        <v>357</v>
      </c>
      <c r="AW564" s="1">
        <v>26643</v>
      </c>
      <c r="AX564">
        <v>2</v>
      </c>
    </row>
    <row r="565" spans="1:50">
      <c r="B565" t="str">
        <f>"106969683"</f>
        <v>106969683</v>
      </c>
      <c r="C565" t="s">
        <v>50</v>
      </c>
      <c r="D565" t="s">
        <v>1618</v>
      </c>
      <c r="E565" t="s">
        <v>250</v>
      </c>
      <c r="F565" t="s">
        <v>95</v>
      </c>
      <c r="G565" t="s">
        <v>610</v>
      </c>
      <c r="H565" t="str">
        <f>"ΒΟΥΛΓΑΡΟΚΤΟΝΟΥ 3 "</f>
        <v xml:space="preserve">ΒΟΥΛΓΑΡΟΚΤΟΝΟΥ 3 </v>
      </c>
      <c r="I565">
        <v>17124</v>
      </c>
      <c r="J565">
        <v>2109325354</v>
      </c>
      <c r="K565">
        <v>6946176065</v>
      </c>
      <c r="N565" t="s">
        <v>536</v>
      </c>
      <c r="O565" t="s">
        <v>537</v>
      </c>
      <c r="R565" t="s">
        <v>159</v>
      </c>
      <c r="S565">
        <v>5</v>
      </c>
      <c r="T565" t="s">
        <v>344</v>
      </c>
      <c r="U565" s="1">
        <v>43348</v>
      </c>
      <c r="V565" t="s">
        <v>123</v>
      </c>
      <c r="W565" t="s">
        <v>124</v>
      </c>
      <c r="X565" t="s">
        <v>58</v>
      </c>
      <c r="Y565">
        <v>21</v>
      </c>
      <c r="Z565" t="s">
        <v>59</v>
      </c>
      <c r="AA565" t="s">
        <v>59</v>
      </c>
      <c r="AB565" t="s">
        <v>59</v>
      </c>
      <c r="AC565" t="s">
        <v>59</v>
      </c>
      <c r="AD565" t="s">
        <v>59</v>
      </c>
      <c r="AF565" s="1">
        <v>43348</v>
      </c>
      <c r="AG565" t="s">
        <v>125</v>
      </c>
      <c r="AH565" t="s">
        <v>126</v>
      </c>
      <c r="AI565" t="str">
        <f>"1703010"</f>
        <v>1703010</v>
      </c>
      <c r="AJ565" t="s">
        <v>422</v>
      </c>
      <c r="AK565">
        <v>2810751808</v>
      </c>
      <c r="AL565" t="s">
        <v>423</v>
      </c>
      <c r="AM565" t="s">
        <v>78</v>
      </c>
      <c r="AN565" t="s">
        <v>424</v>
      </c>
      <c r="AO565" t="s">
        <v>425</v>
      </c>
      <c r="AP565" t="s">
        <v>425</v>
      </c>
      <c r="AQ565">
        <v>13</v>
      </c>
      <c r="AR565" t="s">
        <v>123</v>
      </c>
      <c r="AS565" t="s">
        <v>124</v>
      </c>
      <c r="AT565" t="s">
        <v>58</v>
      </c>
      <c r="AU565" t="s">
        <v>350</v>
      </c>
      <c r="AV565" t="s">
        <v>132</v>
      </c>
      <c r="AW565" s="1">
        <v>29678</v>
      </c>
      <c r="AX565">
        <v>2</v>
      </c>
    </row>
    <row r="566" spans="1:50">
      <c r="A566">
        <v>225809</v>
      </c>
      <c r="B566" t="str">
        <f>"103653935"</f>
        <v>103653935</v>
      </c>
      <c r="C566" t="s">
        <v>50</v>
      </c>
      <c r="D566" t="s">
        <v>1619</v>
      </c>
      <c r="E566" t="s">
        <v>250</v>
      </c>
      <c r="F566" t="s">
        <v>72</v>
      </c>
      <c r="G566" t="s">
        <v>52</v>
      </c>
      <c r="H566" t="str">
        <f>"ΜΙΧΑΗΛ ΗΛΙΑΔΗ ΗΡΑΚΛΕΙΟ"</f>
        <v>ΜΙΧΑΗΛ ΗΛΙΑΔΗ ΗΡΑΚΛΕΙΟ</v>
      </c>
      <c r="I566">
        <v>71409</v>
      </c>
      <c r="J566">
        <v>2810322651</v>
      </c>
      <c r="K566">
        <v>6977977778</v>
      </c>
      <c r="M566" t="s">
        <v>1620</v>
      </c>
      <c r="N566" t="s">
        <v>288</v>
      </c>
      <c r="O566" t="s">
        <v>289</v>
      </c>
      <c r="R566" t="s">
        <v>57</v>
      </c>
      <c r="S566">
        <v>5</v>
      </c>
      <c r="T566">
        <v>862</v>
      </c>
      <c r="U566" s="1">
        <v>39706</v>
      </c>
      <c r="V566" t="s">
        <v>123</v>
      </c>
      <c r="W566" t="s">
        <v>124</v>
      </c>
      <c r="X566" t="s">
        <v>58</v>
      </c>
      <c r="Y566">
        <v>21</v>
      </c>
      <c r="Z566" t="s">
        <v>59</v>
      </c>
      <c r="AA566" t="s">
        <v>59</v>
      </c>
      <c r="AB566" t="s">
        <v>59</v>
      </c>
      <c r="AC566" t="s">
        <v>59</v>
      </c>
      <c r="AD566" t="s">
        <v>59</v>
      </c>
      <c r="AF566" s="1">
        <v>39707</v>
      </c>
      <c r="AG566" t="s">
        <v>125</v>
      </c>
      <c r="AH566" t="s">
        <v>126</v>
      </c>
      <c r="AI566" t="str">
        <f>"1701070"</f>
        <v>1701070</v>
      </c>
      <c r="AJ566" t="s">
        <v>1490</v>
      </c>
      <c r="AK566">
        <v>2810771241</v>
      </c>
      <c r="AL566" t="s">
        <v>1491</v>
      </c>
      <c r="AM566" t="s">
        <v>78</v>
      </c>
      <c r="AN566" t="s">
        <v>219</v>
      </c>
      <c r="AO566" t="s">
        <v>1437</v>
      </c>
      <c r="AP566" t="s">
        <v>1437</v>
      </c>
      <c r="AQ566">
        <v>21</v>
      </c>
      <c r="AR566" t="s">
        <v>123</v>
      </c>
      <c r="AS566" t="s">
        <v>124</v>
      </c>
      <c r="AT566" t="s">
        <v>58</v>
      </c>
      <c r="AU566" t="s">
        <v>68</v>
      </c>
      <c r="AV566" t="s">
        <v>69</v>
      </c>
      <c r="AW566" s="1">
        <v>29804</v>
      </c>
      <c r="AX566">
        <v>2</v>
      </c>
    </row>
    <row r="567" spans="1:50">
      <c r="A567">
        <v>215176</v>
      </c>
      <c r="B567" t="str">
        <f>"078465927"</f>
        <v>078465927</v>
      </c>
      <c r="C567" t="s">
        <v>50</v>
      </c>
      <c r="D567" t="s">
        <v>1621</v>
      </c>
      <c r="E567" t="s">
        <v>1383</v>
      </c>
      <c r="F567" t="s">
        <v>450</v>
      </c>
      <c r="G567" t="s">
        <v>83</v>
      </c>
      <c r="H567" t="str">
        <f>" "</f>
        <v xml:space="preserve"> </v>
      </c>
      <c r="J567">
        <v>2310617253</v>
      </c>
      <c r="K567">
        <v>6972057791</v>
      </c>
      <c r="N567" t="s">
        <v>1351</v>
      </c>
      <c r="O567" t="s">
        <v>1352</v>
      </c>
      <c r="R567" t="s">
        <v>57</v>
      </c>
      <c r="S567">
        <v>8</v>
      </c>
      <c r="T567">
        <v>231</v>
      </c>
      <c r="U567" s="1">
        <v>38960</v>
      </c>
      <c r="V567" t="s">
        <v>123</v>
      </c>
      <c r="W567" t="s">
        <v>124</v>
      </c>
      <c r="X567" t="s">
        <v>58</v>
      </c>
      <c r="Y567">
        <v>20</v>
      </c>
      <c r="Z567" t="s">
        <v>59</v>
      </c>
      <c r="AA567" t="s">
        <v>59</v>
      </c>
      <c r="AB567" t="s">
        <v>59</v>
      </c>
      <c r="AC567" t="s">
        <v>59</v>
      </c>
      <c r="AD567" t="s">
        <v>59</v>
      </c>
      <c r="AF567" s="1">
        <v>38961</v>
      </c>
      <c r="AG567" t="s">
        <v>137</v>
      </c>
      <c r="AH567" t="s">
        <v>469</v>
      </c>
      <c r="AI567" t="str">
        <f>"1740200"</f>
        <v>1740200</v>
      </c>
      <c r="AJ567" t="s">
        <v>470</v>
      </c>
      <c r="AK567">
        <v>2810320770</v>
      </c>
      <c r="AL567" t="s">
        <v>471</v>
      </c>
      <c r="AM567" t="s">
        <v>78</v>
      </c>
      <c r="AN567" t="s">
        <v>78</v>
      </c>
      <c r="AO567" t="s">
        <v>78</v>
      </c>
      <c r="AP567" t="s">
        <v>163</v>
      </c>
      <c r="AQ567">
        <v>2</v>
      </c>
      <c r="AR567" t="s">
        <v>123</v>
      </c>
      <c r="AS567" t="s">
        <v>124</v>
      </c>
      <c r="AT567" t="s">
        <v>58</v>
      </c>
      <c r="AU567" t="s">
        <v>68</v>
      </c>
      <c r="AV567" t="s">
        <v>69</v>
      </c>
      <c r="AW567" s="1">
        <v>26520</v>
      </c>
      <c r="AX567">
        <v>2</v>
      </c>
    </row>
    <row r="568" spans="1:50">
      <c r="B568" t="str">
        <f>"110715194"</f>
        <v>110715194</v>
      </c>
      <c r="C568" t="s">
        <v>105</v>
      </c>
      <c r="D568" t="s">
        <v>1622</v>
      </c>
      <c r="E568" t="s">
        <v>106</v>
      </c>
      <c r="F568" t="s">
        <v>99</v>
      </c>
      <c r="G568" t="s">
        <v>460</v>
      </c>
      <c r="H568" t="str">
        <f>"ΥΨΗΛΑΝΤΟΥ 30 ΗΡΑΚΛΕΙΟ"</f>
        <v>ΥΨΗΛΑΝΤΟΥ 30 ΗΡΑΚΛΕΙΟ</v>
      </c>
      <c r="I568">
        <v>71305</v>
      </c>
      <c r="J568">
        <v>2810259990</v>
      </c>
      <c r="K568">
        <v>6946077339</v>
      </c>
      <c r="N568" t="s">
        <v>883</v>
      </c>
      <c r="O568" t="s">
        <v>884</v>
      </c>
      <c r="R568" t="s">
        <v>121</v>
      </c>
      <c r="S568">
        <v>1</v>
      </c>
      <c r="T568" t="s">
        <v>122</v>
      </c>
      <c r="U568" s="1">
        <v>43348</v>
      </c>
      <c r="V568" t="s">
        <v>123</v>
      </c>
      <c r="W568" t="s">
        <v>124</v>
      </c>
      <c r="X568" t="s">
        <v>58</v>
      </c>
      <c r="Y568">
        <v>23</v>
      </c>
      <c r="Z568" t="s">
        <v>59</v>
      </c>
      <c r="AA568" t="s">
        <v>59</v>
      </c>
      <c r="AB568" t="s">
        <v>59</v>
      </c>
      <c r="AC568" t="s">
        <v>59</v>
      </c>
      <c r="AD568" t="s">
        <v>59</v>
      </c>
      <c r="AF568" s="1">
        <v>43348</v>
      </c>
      <c r="AG568" t="s">
        <v>125</v>
      </c>
      <c r="AH568" t="s">
        <v>126</v>
      </c>
      <c r="AI568" t="str">
        <f>"1726010"</f>
        <v>1726010</v>
      </c>
      <c r="AJ568" t="s">
        <v>265</v>
      </c>
      <c r="AK568">
        <v>2810831228</v>
      </c>
      <c r="AL568" t="s">
        <v>266</v>
      </c>
      <c r="AM568" t="s">
        <v>78</v>
      </c>
      <c r="AN568" t="s">
        <v>129</v>
      </c>
      <c r="AO568" t="s">
        <v>267</v>
      </c>
      <c r="AP568" t="s">
        <v>267</v>
      </c>
      <c r="AQ568">
        <v>27</v>
      </c>
      <c r="AR568" t="s">
        <v>123</v>
      </c>
      <c r="AS568" t="s">
        <v>124</v>
      </c>
      <c r="AT568" t="s">
        <v>58</v>
      </c>
      <c r="AU568" t="s">
        <v>131</v>
      </c>
      <c r="AV568" t="s">
        <v>132</v>
      </c>
      <c r="AW568" s="1">
        <v>29491</v>
      </c>
      <c r="AX568">
        <v>2</v>
      </c>
    </row>
    <row r="569" spans="1:50">
      <c r="A569">
        <v>178715</v>
      </c>
      <c r="B569" t="str">
        <f>"031327668"</f>
        <v>031327668</v>
      </c>
      <c r="C569" t="s">
        <v>50</v>
      </c>
      <c r="D569" t="s">
        <v>1623</v>
      </c>
      <c r="E569" t="s">
        <v>255</v>
      </c>
      <c r="F569" t="s">
        <v>166</v>
      </c>
      <c r="G569" t="s">
        <v>787</v>
      </c>
      <c r="H569" t="str">
        <f>"ΚΟΝΔΥΛΑΚΗ 10 ΗΡΑΚΛΕΙΟ"</f>
        <v>ΚΟΝΔΥΛΑΚΗ 10 ΗΡΑΚΛΕΙΟ</v>
      </c>
      <c r="J569">
        <v>2810313316</v>
      </c>
      <c r="K569">
        <v>6944507749</v>
      </c>
      <c r="M569" t="s">
        <v>1624</v>
      </c>
      <c r="N569" t="s">
        <v>337</v>
      </c>
      <c r="O569" t="s">
        <v>338</v>
      </c>
      <c r="R569" t="s">
        <v>57</v>
      </c>
      <c r="S569">
        <v>10</v>
      </c>
      <c r="T569">
        <v>209</v>
      </c>
      <c r="U569" s="1">
        <v>35705</v>
      </c>
      <c r="V569" t="s">
        <v>123</v>
      </c>
      <c r="W569" t="s">
        <v>124</v>
      </c>
      <c r="X569" t="s">
        <v>58</v>
      </c>
      <c r="Y569">
        <v>18</v>
      </c>
      <c r="Z569" t="s">
        <v>59</v>
      </c>
      <c r="AA569" t="s">
        <v>59</v>
      </c>
      <c r="AB569" t="s">
        <v>59</v>
      </c>
      <c r="AC569" t="s">
        <v>59</v>
      </c>
      <c r="AD569" t="s">
        <v>59</v>
      </c>
      <c r="AF569" s="1">
        <v>35713</v>
      </c>
      <c r="AG569" t="s">
        <v>125</v>
      </c>
      <c r="AH569" t="s">
        <v>294</v>
      </c>
      <c r="AI569" t="str">
        <f>"1701015"</f>
        <v>1701015</v>
      </c>
      <c r="AJ569" t="s">
        <v>295</v>
      </c>
      <c r="AK569">
        <v>2810761696</v>
      </c>
      <c r="AL569" t="s">
        <v>296</v>
      </c>
      <c r="AM569" t="s">
        <v>78</v>
      </c>
      <c r="AN569" t="s">
        <v>219</v>
      </c>
      <c r="AO569" t="s">
        <v>297</v>
      </c>
      <c r="AP569" t="s">
        <v>297</v>
      </c>
      <c r="AQ569">
        <v>10</v>
      </c>
      <c r="AR569" t="s">
        <v>123</v>
      </c>
      <c r="AS569" t="s">
        <v>124</v>
      </c>
      <c r="AT569" t="s">
        <v>58</v>
      </c>
      <c r="AU569" t="s">
        <v>68</v>
      </c>
      <c r="AV569" t="s">
        <v>69</v>
      </c>
      <c r="AW569" s="1">
        <v>26059</v>
      </c>
      <c r="AX569">
        <v>2</v>
      </c>
    </row>
    <row r="570" spans="1:50">
      <c r="A570">
        <v>182612</v>
      </c>
      <c r="B570" t="str">
        <f>"043086640"</f>
        <v>043086640</v>
      </c>
      <c r="C570" t="s">
        <v>50</v>
      </c>
      <c r="D570" t="s">
        <v>1625</v>
      </c>
      <c r="E570" t="s">
        <v>73</v>
      </c>
      <c r="F570" t="s">
        <v>989</v>
      </c>
      <c r="G570" t="s">
        <v>610</v>
      </c>
      <c r="H570" t="str">
        <f>"ΚΙΣΣΑΜΟΥ 8 ΗΡΑΚΛΕΙΟ"</f>
        <v>ΚΙΣΣΑΜΟΥ 8 ΗΡΑΚΛΕΙΟ</v>
      </c>
      <c r="I570">
        <v>71202</v>
      </c>
      <c r="J570">
        <v>2810283221</v>
      </c>
      <c r="K570">
        <v>6972376605</v>
      </c>
      <c r="M570" t="s">
        <v>1626</v>
      </c>
      <c r="N570" t="s">
        <v>292</v>
      </c>
      <c r="O570" t="s">
        <v>293</v>
      </c>
      <c r="R570" t="s">
        <v>57</v>
      </c>
      <c r="S570">
        <v>12</v>
      </c>
      <c r="T570">
        <v>249</v>
      </c>
      <c r="U570" s="1">
        <v>36160</v>
      </c>
      <c r="V570" t="s">
        <v>123</v>
      </c>
      <c r="W570" t="s">
        <v>124</v>
      </c>
      <c r="X570" t="s">
        <v>58</v>
      </c>
      <c r="Y570">
        <v>20</v>
      </c>
      <c r="Z570" t="s">
        <v>59</v>
      </c>
      <c r="AA570" t="s">
        <v>59</v>
      </c>
      <c r="AB570" t="s">
        <v>59</v>
      </c>
      <c r="AC570" t="s">
        <v>59</v>
      </c>
      <c r="AD570" t="s">
        <v>59</v>
      </c>
      <c r="AF570" s="1">
        <v>36173</v>
      </c>
      <c r="AG570" t="s">
        <v>125</v>
      </c>
      <c r="AH570" t="s">
        <v>126</v>
      </c>
      <c r="AI570" t="str">
        <f>"1701052"</f>
        <v>1701052</v>
      </c>
      <c r="AJ570" t="s">
        <v>223</v>
      </c>
      <c r="AK570">
        <v>2810252514</v>
      </c>
      <c r="AL570" t="s">
        <v>224</v>
      </c>
      <c r="AM570" t="s">
        <v>78</v>
      </c>
      <c r="AN570" t="s">
        <v>78</v>
      </c>
      <c r="AO570" t="s">
        <v>78</v>
      </c>
      <c r="AP570" t="s">
        <v>141</v>
      </c>
      <c r="AQ570">
        <v>7</v>
      </c>
      <c r="AR570" t="s">
        <v>123</v>
      </c>
      <c r="AS570" t="s">
        <v>124</v>
      </c>
      <c r="AT570" t="s">
        <v>58</v>
      </c>
      <c r="AU570" t="s">
        <v>68</v>
      </c>
      <c r="AV570" t="s">
        <v>69</v>
      </c>
      <c r="AW570" s="1">
        <v>24282</v>
      </c>
      <c r="AX570">
        <v>2</v>
      </c>
    </row>
    <row r="571" spans="1:50">
      <c r="B571" t="str">
        <f>"113635187"</f>
        <v>113635187</v>
      </c>
      <c r="C571" t="s">
        <v>50</v>
      </c>
      <c r="D571" t="s">
        <v>1627</v>
      </c>
      <c r="E571" t="s">
        <v>83</v>
      </c>
      <c r="F571" t="s">
        <v>989</v>
      </c>
      <c r="G571" t="s">
        <v>52</v>
      </c>
      <c r="H571" t="str">
        <f>"Κ.ΒΑΛΣΑΜΟΝΕΡΟ ΡΕΘΥΜΝΟ"</f>
        <v>Κ.ΒΑΛΣΑΜΟΝΕΡΟ ΡΕΘΥΜΝΟ</v>
      </c>
      <c r="I571">
        <v>74100</v>
      </c>
      <c r="J571">
        <v>2831031170</v>
      </c>
      <c r="K571">
        <v>6979983120</v>
      </c>
      <c r="N571" t="s">
        <v>1628</v>
      </c>
      <c r="O571" t="s">
        <v>1629</v>
      </c>
      <c r="R571" t="s">
        <v>159</v>
      </c>
      <c r="S571">
        <v>5</v>
      </c>
      <c r="T571" t="s">
        <v>344</v>
      </c>
      <c r="U571" s="1">
        <v>43348</v>
      </c>
      <c r="V571" t="s">
        <v>123</v>
      </c>
      <c r="W571" t="s">
        <v>124</v>
      </c>
      <c r="X571" t="s">
        <v>58</v>
      </c>
      <c r="Y571">
        <v>21</v>
      </c>
      <c r="Z571" t="s">
        <v>59</v>
      </c>
      <c r="AA571" t="s">
        <v>59</v>
      </c>
      <c r="AB571" t="s">
        <v>59</v>
      </c>
      <c r="AC571" t="s">
        <v>59</v>
      </c>
      <c r="AD571" t="s">
        <v>59</v>
      </c>
      <c r="AF571" s="1">
        <v>43348</v>
      </c>
      <c r="AG571" t="s">
        <v>345</v>
      </c>
      <c r="AH571" t="s">
        <v>346</v>
      </c>
      <c r="AI571" t="str">
        <f>"1741001"</f>
        <v>1741001</v>
      </c>
      <c r="AJ571" t="s">
        <v>655</v>
      </c>
      <c r="AK571">
        <v>2810360436</v>
      </c>
      <c r="AL571" t="s">
        <v>656</v>
      </c>
      <c r="AM571" t="s">
        <v>78</v>
      </c>
      <c r="AN571" t="s">
        <v>78</v>
      </c>
      <c r="AO571" t="s">
        <v>78</v>
      </c>
      <c r="AP571" t="s">
        <v>141</v>
      </c>
      <c r="AQ571">
        <v>11</v>
      </c>
      <c r="AR571" t="s">
        <v>123</v>
      </c>
      <c r="AS571" t="s">
        <v>124</v>
      </c>
      <c r="AT571" t="s">
        <v>58</v>
      </c>
      <c r="AU571" t="s">
        <v>350</v>
      </c>
      <c r="AV571" t="s">
        <v>132</v>
      </c>
      <c r="AW571" s="1">
        <v>30133</v>
      </c>
      <c r="AX571">
        <v>2</v>
      </c>
    </row>
    <row r="572" spans="1:50">
      <c r="A572">
        <v>168572</v>
      </c>
      <c r="B572" t="str">
        <f>"031479418"</f>
        <v>031479418</v>
      </c>
      <c r="C572" t="s">
        <v>105</v>
      </c>
      <c r="D572" t="s">
        <v>1630</v>
      </c>
      <c r="E572" t="s">
        <v>760</v>
      </c>
      <c r="F572" t="s">
        <v>106</v>
      </c>
      <c r="G572" t="s">
        <v>237</v>
      </c>
      <c r="H572" t="str">
        <f>"Διαβάτη 8  ΗΡΑΚΛΕΙΟΥ"</f>
        <v>Διαβάτη 8  ΗΡΑΚΛΕΙΟΥ</v>
      </c>
      <c r="I572">
        <v>71409</v>
      </c>
      <c r="J572">
        <v>2810321005</v>
      </c>
      <c r="K572">
        <v>6972215533</v>
      </c>
      <c r="M572" t="s">
        <v>1631</v>
      </c>
      <c r="N572" t="s">
        <v>299</v>
      </c>
      <c r="O572" t="s">
        <v>300</v>
      </c>
      <c r="R572" t="s">
        <v>57</v>
      </c>
      <c r="S572">
        <v>12</v>
      </c>
      <c r="T572">
        <v>159</v>
      </c>
      <c r="U572" s="1">
        <v>34582</v>
      </c>
      <c r="V572" t="s">
        <v>123</v>
      </c>
      <c r="W572" t="s">
        <v>124</v>
      </c>
      <c r="X572" t="s">
        <v>58</v>
      </c>
      <c r="Y572">
        <v>18</v>
      </c>
      <c r="Z572" t="s">
        <v>59</v>
      </c>
      <c r="AA572" t="s">
        <v>59</v>
      </c>
      <c r="AB572" t="s">
        <v>59</v>
      </c>
      <c r="AC572" t="s">
        <v>59</v>
      </c>
      <c r="AD572" t="s">
        <v>59</v>
      </c>
      <c r="AF572" s="1">
        <v>34583</v>
      </c>
      <c r="AG572" t="s">
        <v>148</v>
      </c>
      <c r="AH572" t="s">
        <v>149</v>
      </c>
      <c r="AI572" t="str">
        <f>"1753010"</f>
        <v>1753010</v>
      </c>
      <c r="AJ572" t="s">
        <v>571</v>
      </c>
      <c r="AK572">
        <v>2810751528</v>
      </c>
      <c r="AL572" t="s">
        <v>572</v>
      </c>
      <c r="AM572" t="s">
        <v>78</v>
      </c>
      <c r="AN572" t="s">
        <v>424</v>
      </c>
      <c r="AO572" t="s">
        <v>425</v>
      </c>
      <c r="AP572" t="s">
        <v>425</v>
      </c>
      <c r="AQ572">
        <v>13</v>
      </c>
      <c r="AR572" t="s">
        <v>123</v>
      </c>
      <c r="AS572" t="s">
        <v>124</v>
      </c>
      <c r="AT572" t="s">
        <v>58</v>
      </c>
      <c r="AU572" t="s">
        <v>68</v>
      </c>
      <c r="AV572" t="s">
        <v>69</v>
      </c>
      <c r="AW572" s="1">
        <v>20517</v>
      </c>
      <c r="AX572">
        <v>2</v>
      </c>
    </row>
    <row r="573" spans="1:50">
      <c r="A573">
        <v>180020</v>
      </c>
      <c r="B573" t="str">
        <f>"031478993"</f>
        <v>031478993</v>
      </c>
      <c r="C573" t="s">
        <v>105</v>
      </c>
      <c r="D573" t="s">
        <v>1630</v>
      </c>
      <c r="E573" t="s">
        <v>166</v>
      </c>
      <c r="F573" t="s">
        <v>95</v>
      </c>
      <c r="G573" t="s">
        <v>134</v>
      </c>
      <c r="H573" t="str">
        <f>"ΤΗΛ.ΠΛΕΥΡΗ 8 ΗΡΑΚΛΕΙΟ"</f>
        <v>ΤΗΛ.ΠΛΕΥΡΗ 8 ΗΡΑΚΛΕΙΟ</v>
      </c>
      <c r="J573">
        <v>2810346119</v>
      </c>
      <c r="K573">
        <v>6944285831</v>
      </c>
      <c r="M573" t="s">
        <v>1632</v>
      </c>
      <c r="N573" t="s">
        <v>292</v>
      </c>
      <c r="O573" t="s">
        <v>293</v>
      </c>
      <c r="R573" t="s">
        <v>57</v>
      </c>
      <c r="S573">
        <v>9</v>
      </c>
      <c r="T573">
        <v>164</v>
      </c>
      <c r="U573" s="1">
        <v>36040</v>
      </c>
      <c r="V573" t="s">
        <v>123</v>
      </c>
      <c r="W573" t="s">
        <v>124</v>
      </c>
      <c r="X573" t="s">
        <v>58</v>
      </c>
      <c r="Y573">
        <v>18</v>
      </c>
      <c r="Z573" t="s">
        <v>59</v>
      </c>
      <c r="AA573" t="s">
        <v>59</v>
      </c>
      <c r="AB573" t="s">
        <v>59</v>
      </c>
      <c r="AC573" t="s">
        <v>59</v>
      </c>
      <c r="AD573" t="s">
        <v>59</v>
      </c>
      <c r="AF573" s="1">
        <v>36041</v>
      </c>
      <c r="AG573" t="s">
        <v>125</v>
      </c>
      <c r="AH573" t="s">
        <v>126</v>
      </c>
      <c r="AI573" t="str">
        <f>"1701010"</f>
        <v>1701010</v>
      </c>
      <c r="AJ573" t="s">
        <v>374</v>
      </c>
      <c r="AK573">
        <v>2810227148</v>
      </c>
      <c r="AL573" t="s">
        <v>375</v>
      </c>
      <c r="AM573" t="s">
        <v>78</v>
      </c>
      <c r="AN573" t="s">
        <v>78</v>
      </c>
      <c r="AO573" t="s">
        <v>78</v>
      </c>
      <c r="AP573" t="s">
        <v>79</v>
      </c>
      <c r="AQ573">
        <v>1</v>
      </c>
      <c r="AR573" t="s">
        <v>123</v>
      </c>
      <c r="AS573" t="s">
        <v>124</v>
      </c>
      <c r="AT573" t="s">
        <v>58</v>
      </c>
      <c r="AU573" t="s">
        <v>68</v>
      </c>
      <c r="AV573" t="s">
        <v>69</v>
      </c>
      <c r="AW573" s="1">
        <v>20483</v>
      </c>
      <c r="AX573">
        <v>2</v>
      </c>
    </row>
    <row r="574" spans="1:50">
      <c r="A574">
        <v>182299</v>
      </c>
      <c r="B574" t="str">
        <f>"036868879"</f>
        <v>036868879</v>
      </c>
      <c r="C574" t="s">
        <v>105</v>
      </c>
      <c r="D574" t="s">
        <v>1630</v>
      </c>
      <c r="E574" t="s">
        <v>106</v>
      </c>
      <c r="F574" t="s">
        <v>95</v>
      </c>
      <c r="G574" t="s">
        <v>250</v>
      </c>
      <c r="H574" t="str">
        <f>"ΣΟΛΩΝΟΣ 191 ΗΡΑΚΛΕΙΟΥ"</f>
        <v>ΣΟΛΩΝΟΣ 191 ΗΡΑΚΛΕΙΟΥ</v>
      </c>
      <c r="I574">
        <v>71409</v>
      </c>
      <c r="J574">
        <v>2810325798</v>
      </c>
      <c r="K574">
        <v>6974660289</v>
      </c>
      <c r="M574" t="s">
        <v>1633</v>
      </c>
      <c r="N574" t="s">
        <v>176</v>
      </c>
      <c r="O574" t="s">
        <v>177</v>
      </c>
      <c r="R574" t="s">
        <v>57</v>
      </c>
      <c r="S574">
        <v>13</v>
      </c>
      <c r="T574">
        <v>184</v>
      </c>
      <c r="U574" s="1">
        <v>34941</v>
      </c>
      <c r="V574" t="s">
        <v>123</v>
      </c>
      <c r="W574" t="s">
        <v>124</v>
      </c>
      <c r="X574" t="s">
        <v>58</v>
      </c>
      <c r="Y574">
        <v>18</v>
      </c>
      <c r="Z574" t="s">
        <v>59</v>
      </c>
      <c r="AA574" t="s">
        <v>59</v>
      </c>
      <c r="AB574" t="s">
        <v>59</v>
      </c>
      <c r="AC574" t="s">
        <v>59</v>
      </c>
      <c r="AD574" t="s">
        <v>59</v>
      </c>
      <c r="AF574" s="1">
        <v>34943</v>
      </c>
      <c r="AG574" t="s">
        <v>148</v>
      </c>
      <c r="AH574" t="s">
        <v>149</v>
      </c>
      <c r="AI574" t="str">
        <f>"1751052"</f>
        <v>1751052</v>
      </c>
      <c r="AJ574" t="s">
        <v>328</v>
      </c>
      <c r="AK574">
        <v>2810213762</v>
      </c>
      <c r="AL574" t="s">
        <v>329</v>
      </c>
      <c r="AM574" t="s">
        <v>78</v>
      </c>
      <c r="AN574" t="s">
        <v>78</v>
      </c>
      <c r="AO574" t="s">
        <v>78</v>
      </c>
      <c r="AP574" t="s">
        <v>163</v>
      </c>
      <c r="AQ574">
        <v>8</v>
      </c>
      <c r="AR574" t="s">
        <v>123</v>
      </c>
      <c r="AS574" t="s">
        <v>124</v>
      </c>
      <c r="AT574" t="s">
        <v>58</v>
      </c>
      <c r="AU574" t="s">
        <v>68</v>
      </c>
      <c r="AV574" t="s">
        <v>69</v>
      </c>
      <c r="AW574" s="1">
        <v>23198</v>
      </c>
      <c r="AX574">
        <v>2</v>
      </c>
    </row>
    <row r="575" spans="1:50">
      <c r="A575">
        <v>217328</v>
      </c>
      <c r="B575" t="str">
        <f>"063035525"</f>
        <v>063035525</v>
      </c>
      <c r="C575" t="s">
        <v>50</v>
      </c>
      <c r="D575" t="s">
        <v>1634</v>
      </c>
      <c r="E575" t="s">
        <v>215</v>
      </c>
      <c r="F575" t="s">
        <v>84</v>
      </c>
      <c r="G575" t="s">
        <v>52</v>
      </c>
      <c r="H575" t="str">
        <f>" "</f>
        <v xml:space="preserve"> </v>
      </c>
      <c r="J575">
        <v>2895041429</v>
      </c>
      <c r="K575">
        <v>6973286705</v>
      </c>
      <c r="N575" t="s">
        <v>157</v>
      </c>
      <c r="O575" t="s">
        <v>158</v>
      </c>
      <c r="R575" t="s">
        <v>57</v>
      </c>
      <c r="S575">
        <v>6</v>
      </c>
      <c r="T575">
        <v>599</v>
      </c>
      <c r="U575" s="1">
        <v>39310</v>
      </c>
      <c r="V575" t="s">
        <v>123</v>
      </c>
      <c r="W575" t="s">
        <v>124</v>
      </c>
      <c r="X575" t="s">
        <v>58</v>
      </c>
      <c r="Y575">
        <v>20</v>
      </c>
      <c r="Z575" t="s">
        <v>59</v>
      </c>
      <c r="AA575" t="s">
        <v>59</v>
      </c>
      <c r="AB575" t="s">
        <v>59</v>
      </c>
      <c r="AC575" t="s">
        <v>59</v>
      </c>
      <c r="AD575" t="s">
        <v>59</v>
      </c>
      <c r="AF575" s="1">
        <v>39328</v>
      </c>
      <c r="AG575" t="s">
        <v>125</v>
      </c>
      <c r="AH575" t="s">
        <v>126</v>
      </c>
      <c r="AI575" t="str">
        <f>"1704010"</f>
        <v>1704010</v>
      </c>
      <c r="AJ575" t="s">
        <v>480</v>
      </c>
      <c r="AK575">
        <v>2895022230</v>
      </c>
      <c r="AL575" t="s">
        <v>481</v>
      </c>
      <c r="AM575" t="s">
        <v>78</v>
      </c>
      <c r="AN575" t="s">
        <v>482</v>
      </c>
      <c r="AO575" t="s">
        <v>482</v>
      </c>
      <c r="AP575" t="s">
        <v>483</v>
      </c>
      <c r="AQ575">
        <v>16</v>
      </c>
      <c r="AR575" t="s">
        <v>123</v>
      </c>
      <c r="AS575" t="s">
        <v>124</v>
      </c>
      <c r="AT575" t="s">
        <v>58</v>
      </c>
      <c r="AU575" t="s">
        <v>68</v>
      </c>
      <c r="AV575" t="s">
        <v>69</v>
      </c>
      <c r="AW575" s="1">
        <v>24819</v>
      </c>
      <c r="AX575">
        <v>2</v>
      </c>
    </row>
    <row r="576" spans="1:50">
      <c r="A576">
        <v>133000</v>
      </c>
      <c r="B576" t="str">
        <f>"064578578"</f>
        <v>064578578</v>
      </c>
      <c r="C576" t="s">
        <v>50</v>
      </c>
      <c r="D576" t="s">
        <v>1634</v>
      </c>
      <c r="E576" t="s">
        <v>1068</v>
      </c>
      <c r="F576" t="s">
        <v>92</v>
      </c>
      <c r="G576" t="s">
        <v>787</v>
      </c>
      <c r="H576" t="str">
        <f>"ΛΑΣΙΘΙΟΥ 37 ΗΡΑΚΛΕΙΟ"</f>
        <v>ΛΑΣΙΘΙΟΥ 37 ΗΡΑΚΛΕΙΟ</v>
      </c>
      <c r="J576">
        <v>2810286369</v>
      </c>
      <c r="K576">
        <v>6936117877</v>
      </c>
      <c r="N576" t="s">
        <v>146</v>
      </c>
      <c r="O576" t="s">
        <v>147</v>
      </c>
      <c r="R576" t="s">
        <v>57</v>
      </c>
      <c r="S576">
        <v>18</v>
      </c>
      <c r="T576">
        <v>248</v>
      </c>
      <c r="U576" s="1">
        <v>29830</v>
      </c>
      <c r="V576" t="s">
        <v>123</v>
      </c>
      <c r="W576" t="s">
        <v>124</v>
      </c>
      <c r="X576" t="s">
        <v>58</v>
      </c>
      <c r="Y576">
        <v>18</v>
      </c>
      <c r="Z576" t="s">
        <v>59</v>
      </c>
      <c r="AA576" t="s">
        <v>59</v>
      </c>
      <c r="AB576" t="s">
        <v>59</v>
      </c>
      <c r="AC576" t="s">
        <v>59</v>
      </c>
      <c r="AD576" t="s">
        <v>59</v>
      </c>
      <c r="AF576" s="1">
        <v>29833</v>
      </c>
      <c r="AG576" t="s">
        <v>148</v>
      </c>
      <c r="AH576" t="s">
        <v>149</v>
      </c>
      <c r="AI576" t="str">
        <f>"1751010"</f>
        <v>1751010</v>
      </c>
      <c r="AJ576" t="s">
        <v>150</v>
      </c>
      <c r="AK576">
        <v>2810346092</v>
      </c>
      <c r="AL576" t="s">
        <v>151</v>
      </c>
      <c r="AM576" t="s">
        <v>78</v>
      </c>
      <c r="AN576" t="s">
        <v>78</v>
      </c>
      <c r="AO576" t="s">
        <v>78</v>
      </c>
      <c r="AP576" t="s">
        <v>79</v>
      </c>
      <c r="AQ576">
        <v>1</v>
      </c>
      <c r="AR576" t="s">
        <v>123</v>
      </c>
      <c r="AS576" t="s">
        <v>124</v>
      </c>
      <c r="AT576" t="s">
        <v>58</v>
      </c>
      <c r="AU576" t="s">
        <v>68</v>
      </c>
      <c r="AV576" t="s">
        <v>69</v>
      </c>
      <c r="AW576" s="1">
        <v>20323</v>
      </c>
      <c r="AX576">
        <v>2</v>
      </c>
    </row>
    <row r="577" spans="1:50">
      <c r="A577">
        <v>702948</v>
      </c>
      <c r="B577" t="str">
        <f>"047643819"</f>
        <v>047643819</v>
      </c>
      <c r="C577" t="s">
        <v>50</v>
      </c>
      <c r="D577" t="s">
        <v>1634</v>
      </c>
      <c r="E577" t="s">
        <v>181</v>
      </c>
      <c r="F577" t="s">
        <v>95</v>
      </c>
      <c r="G577" t="s">
        <v>54</v>
      </c>
      <c r="H577" t="str">
        <f>"ΕΤΕΑΡΧΟΥ 10 ΗΡΑΚΛΕΙΟ"</f>
        <v>ΕΤΕΑΡΧΟΥ 10 ΗΡΑΚΛΕΙΟ</v>
      </c>
      <c r="I577">
        <v>71409</v>
      </c>
      <c r="J577">
        <v>2810320567</v>
      </c>
      <c r="K577">
        <v>6973337121</v>
      </c>
      <c r="N577" t="s">
        <v>292</v>
      </c>
      <c r="O577" t="s">
        <v>293</v>
      </c>
      <c r="R577" t="s">
        <v>57</v>
      </c>
      <c r="S577">
        <v>4</v>
      </c>
      <c r="T577">
        <v>588</v>
      </c>
      <c r="U577" s="1">
        <v>40778</v>
      </c>
      <c r="V577" t="s">
        <v>123</v>
      </c>
      <c r="W577" t="s">
        <v>124</v>
      </c>
      <c r="X577" t="s">
        <v>58</v>
      </c>
      <c r="Y577">
        <v>21</v>
      </c>
      <c r="Z577" t="s">
        <v>59</v>
      </c>
      <c r="AA577" t="s">
        <v>59</v>
      </c>
      <c r="AB577" t="s">
        <v>59</v>
      </c>
      <c r="AC577" t="s">
        <v>59</v>
      </c>
      <c r="AD577" t="s">
        <v>59</v>
      </c>
      <c r="AF577" s="1">
        <v>40781</v>
      </c>
      <c r="AG577" t="s">
        <v>125</v>
      </c>
      <c r="AH577" t="s">
        <v>126</v>
      </c>
      <c r="AI577" t="str">
        <f>"1704010"</f>
        <v>1704010</v>
      </c>
      <c r="AJ577" t="s">
        <v>480</v>
      </c>
      <c r="AK577">
        <v>2895022230</v>
      </c>
      <c r="AL577" t="s">
        <v>481</v>
      </c>
      <c r="AM577" t="s">
        <v>78</v>
      </c>
      <c r="AN577" t="s">
        <v>482</v>
      </c>
      <c r="AO577" t="s">
        <v>482</v>
      </c>
      <c r="AP577" t="s">
        <v>483</v>
      </c>
      <c r="AQ577">
        <v>16</v>
      </c>
      <c r="AR577" t="s">
        <v>123</v>
      </c>
      <c r="AS577" t="s">
        <v>124</v>
      </c>
      <c r="AT577" t="s">
        <v>58</v>
      </c>
      <c r="AU577" t="s">
        <v>68</v>
      </c>
      <c r="AV577" t="s">
        <v>69</v>
      </c>
      <c r="AW577" s="1">
        <v>25872</v>
      </c>
      <c r="AX577">
        <v>2</v>
      </c>
    </row>
    <row r="578" spans="1:50">
      <c r="A578">
        <v>212033</v>
      </c>
      <c r="B578" t="str">
        <f>"064576327"</f>
        <v>064576327</v>
      </c>
      <c r="C578" t="s">
        <v>50</v>
      </c>
      <c r="D578" t="s">
        <v>1634</v>
      </c>
      <c r="E578" t="s">
        <v>563</v>
      </c>
      <c r="F578" t="s">
        <v>166</v>
      </c>
      <c r="G578" t="s">
        <v>191</v>
      </c>
      <c r="H578" t="str">
        <f>" "</f>
        <v xml:space="preserve"> </v>
      </c>
      <c r="J578">
        <v>2810232798</v>
      </c>
      <c r="K578">
        <v>6976479497</v>
      </c>
      <c r="N578" t="s">
        <v>146</v>
      </c>
      <c r="O578" t="s">
        <v>147</v>
      </c>
      <c r="R578" t="s">
        <v>57</v>
      </c>
      <c r="S578">
        <v>6</v>
      </c>
      <c r="T578">
        <v>231</v>
      </c>
      <c r="U578" s="1">
        <v>38960</v>
      </c>
      <c r="V578" t="s">
        <v>123</v>
      </c>
      <c r="W578" t="s">
        <v>124</v>
      </c>
      <c r="X578" t="s">
        <v>58</v>
      </c>
      <c r="Y578">
        <v>20</v>
      </c>
      <c r="Z578" t="s">
        <v>59</v>
      </c>
      <c r="AA578" t="s">
        <v>59</v>
      </c>
      <c r="AB578" t="s">
        <v>59</v>
      </c>
      <c r="AC578" t="s">
        <v>59</v>
      </c>
      <c r="AD578" t="s">
        <v>59</v>
      </c>
      <c r="AF578" s="1">
        <v>38961</v>
      </c>
      <c r="AG578" t="s">
        <v>148</v>
      </c>
      <c r="AH578" t="s">
        <v>149</v>
      </c>
      <c r="AI578" t="str">
        <f>"1751070"</f>
        <v>1751070</v>
      </c>
      <c r="AJ578" t="s">
        <v>1435</v>
      </c>
      <c r="AK578">
        <v>2810771016</v>
      </c>
      <c r="AL578" t="s">
        <v>1436</v>
      </c>
      <c r="AM578" t="s">
        <v>78</v>
      </c>
      <c r="AN578" t="s">
        <v>219</v>
      </c>
      <c r="AO578" t="s">
        <v>1437</v>
      </c>
      <c r="AP578" t="s">
        <v>1437</v>
      </c>
      <c r="AQ578">
        <v>21</v>
      </c>
      <c r="AR578" t="s">
        <v>123</v>
      </c>
      <c r="AS578" t="s">
        <v>124</v>
      </c>
      <c r="AT578" t="s">
        <v>58</v>
      </c>
      <c r="AU578" t="s">
        <v>68</v>
      </c>
      <c r="AV578" t="s">
        <v>69</v>
      </c>
      <c r="AW578" s="1">
        <v>27070</v>
      </c>
      <c r="AX578">
        <v>2</v>
      </c>
    </row>
    <row r="579" spans="1:50">
      <c r="A579">
        <v>220882</v>
      </c>
      <c r="B579" t="str">
        <f>"034260229"</f>
        <v>034260229</v>
      </c>
      <c r="C579" t="s">
        <v>105</v>
      </c>
      <c r="D579" t="s">
        <v>1635</v>
      </c>
      <c r="E579" t="s">
        <v>166</v>
      </c>
      <c r="F579" t="s">
        <v>95</v>
      </c>
      <c r="G579" t="s">
        <v>83</v>
      </c>
      <c r="H579" t="str">
        <f>" "</f>
        <v xml:space="preserve"> </v>
      </c>
      <c r="J579">
        <v>2810235397</v>
      </c>
      <c r="K579">
        <v>6932430804</v>
      </c>
      <c r="N579" t="s">
        <v>1636</v>
      </c>
      <c r="O579" t="s">
        <v>1637</v>
      </c>
      <c r="P579" t="s">
        <v>1638</v>
      </c>
      <c r="Q579" t="s">
        <v>1639</v>
      </c>
      <c r="R579" t="s">
        <v>57</v>
      </c>
      <c r="S579">
        <v>5</v>
      </c>
      <c r="T579">
        <v>687</v>
      </c>
      <c r="U579" s="1">
        <v>39330</v>
      </c>
      <c r="V579" t="s">
        <v>123</v>
      </c>
      <c r="W579" t="s">
        <v>124</v>
      </c>
      <c r="X579" t="s">
        <v>58</v>
      </c>
      <c r="Y579">
        <v>30</v>
      </c>
      <c r="Z579" t="s">
        <v>59</v>
      </c>
      <c r="AA579" t="s">
        <v>59</v>
      </c>
      <c r="AB579" t="s">
        <v>59</v>
      </c>
      <c r="AC579" t="s">
        <v>59</v>
      </c>
      <c r="AD579" t="s">
        <v>59</v>
      </c>
      <c r="AF579" s="1">
        <v>39332</v>
      </c>
      <c r="AG579" t="s">
        <v>137</v>
      </c>
      <c r="AH579" t="s">
        <v>138</v>
      </c>
      <c r="AI579" t="str">
        <f>"1750080"</f>
        <v>1750080</v>
      </c>
      <c r="AJ579" t="s">
        <v>170</v>
      </c>
      <c r="AK579">
        <v>2810234444</v>
      </c>
      <c r="AL579" t="s">
        <v>171</v>
      </c>
      <c r="AM579" t="s">
        <v>78</v>
      </c>
      <c r="AN579" t="s">
        <v>78</v>
      </c>
      <c r="AO579" t="s">
        <v>78</v>
      </c>
      <c r="AP579" t="s">
        <v>163</v>
      </c>
      <c r="AQ579">
        <v>9</v>
      </c>
      <c r="AR579" t="s">
        <v>123</v>
      </c>
      <c r="AS579" t="s">
        <v>124</v>
      </c>
      <c r="AT579" t="s">
        <v>58</v>
      </c>
      <c r="AU579" t="s">
        <v>68</v>
      </c>
      <c r="AV579" t="s">
        <v>69</v>
      </c>
      <c r="AW579" s="1">
        <v>21551</v>
      </c>
      <c r="AX579">
        <v>2</v>
      </c>
    </row>
    <row r="580" spans="1:50">
      <c r="A580">
        <v>228503</v>
      </c>
      <c r="B580" t="str">
        <f>"125550590"</f>
        <v>125550590</v>
      </c>
      <c r="C580" t="s">
        <v>50</v>
      </c>
      <c r="D580" t="s">
        <v>1640</v>
      </c>
      <c r="E580" t="s">
        <v>1204</v>
      </c>
      <c r="F580" t="s">
        <v>1641</v>
      </c>
      <c r="G580" t="s">
        <v>112</v>
      </c>
      <c r="H580" t="str">
        <f>"ΜΟΝΗΣ ΚΟΥΔΟΥΜΑ 14 ΗΡΑΚΛΕΙΟ ΚΡΗΤΗΣ"</f>
        <v>ΜΟΝΗΣ ΚΟΥΔΟΥΜΑ 14 ΗΡΑΚΛΕΙΟ ΚΡΗΤΗΣ</v>
      </c>
      <c r="I580">
        <v>71305</v>
      </c>
      <c r="J580">
        <v>2810210017</v>
      </c>
      <c r="K580">
        <v>6976288481</v>
      </c>
      <c r="M580" t="s">
        <v>1642</v>
      </c>
      <c r="N580" t="s">
        <v>146</v>
      </c>
      <c r="O580" t="s">
        <v>147</v>
      </c>
      <c r="R580" t="s">
        <v>57</v>
      </c>
      <c r="S580">
        <v>5</v>
      </c>
      <c r="T580">
        <v>683</v>
      </c>
      <c r="U580" s="1">
        <v>40052</v>
      </c>
      <c r="V580" t="s">
        <v>123</v>
      </c>
      <c r="W580" t="s">
        <v>124</v>
      </c>
      <c r="X580" t="s">
        <v>58</v>
      </c>
      <c r="Y580">
        <v>21</v>
      </c>
      <c r="Z580" t="s">
        <v>59</v>
      </c>
      <c r="AA580" t="s">
        <v>59</v>
      </c>
      <c r="AB580" t="s">
        <v>59</v>
      </c>
      <c r="AC580" t="s">
        <v>59</v>
      </c>
      <c r="AD580" t="s">
        <v>59</v>
      </c>
      <c r="AF580" s="1">
        <v>40053</v>
      </c>
      <c r="AG580" t="s">
        <v>125</v>
      </c>
      <c r="AH580" t="s">
        <v>359</v>
      </c>
      <c r="AI580" t="str">
        <f>"1701060"</f>
        <v>1701060</v>
      </c>
      <c r="AJ580" t="s">
        <v>360</v>
      </c>
      <c r="AK580">
        <v>2810223424</v>
      </c>
      <c r="AL580" t="s">
        <v>361</v>
      </c>
      <c r="AM580" t="s">
        <v>78</v>
      </c>
      <c r="AN580" t="s">
        <v>78</v>
      </c>
      <c r="AO580" t="s">
        <v>78</v>
      </c>
      <c r="AP580" t="s">
        <v>79</v>
      </c>
      <c r="AQ580">
        <v>1</v>
      </c>
      <c r="AR580" t="s">
        <v>123</v>
      </c>
      <c r="AS580" t="s">
        <v>124</v>
      </c>
      <c r="AT580" t="s">
        <v>58</v>
      </c>
      <c r="AU580" t="s">
        <v>68</v>
      </c>
      <c r="AV580" t="s">
        <v>69</v>
      </c>
      <c r="AW580" s="1">
        <v>25667</v>
      </c>
      <c r="AX580">
        <v>2</v>
      </c>
    </row>
    <row r="581" spans="1:50">
      <c r="A581">
        <v>162237</v>
      </c>
      <c r="B581" t="str">
        <f>"079782906"</f>
        <v>079782906</v>
      </c>
      <c r="C581" t="s">
        <v>50</v>
      </c>
      <c r="D581" t="s">
        <v>1643</v>
      </c>
      <c r="E581" t="s">
        <v>1644</v>
      </c>
      <c r="F581" t="s">
        <v>95</v>
      </c>
      <c r="G581" t="s">
        <v>476</v>
      </c>
      <c r="H581" t="str">
        <f>"ΜΙΝΩΟΣ 102 ΗΡΑΚΛΕΙΟ"</f>
        <v>ΜΙΝΩΟΣ 102 ΗΡΑΚΛΕΙΟ</v>
      </c>
      <c r="I581">
        <v>71304</v>
      </c>
      <c r="K581">
        <v>6979930724</v>
      </c>
      <c r="N581" t="s">
        <v>146</v>
      </c>
      <c r="O581" t="s">
        <v>147</v>
      </c>
      <c r="R581" t="s">
        <v>57</v>
      </c>
      <c r="S581">
        <v>18</v>
      </c>
      <c r="T581">
        <v>132</v>
      </c>
      <c r="U581" s="1">
        <v>33456</v>
      </c>
      <c r="V581" t="s">
        <v>123</v>
      </c>
      <c r="W581" t="s">
        <v>124</v>
      </c>
      <c r="X581" t="s">
        <v>58</v>
      </c>
      <c r="Y581">
        <v>18</v>
      </c>
      <c r="Z581" t="s">
        <v>59</v>
      </c>
      <c r="AA581" t="s">
        <v>59</v>
      </c>
      <c r="AB581" t="s">
        <v>59</v>
      </c>
      <c r="AC581" t="s">
        <v>59</v>
      </c>
      <c r="AD581" t="s">
        <v>59</v>
      </c>
      <c r="AF581" s="1">
        <v>33619</v>
      </c>
      <c r="AG581" t="s">
        <v>125</v>
      </c>
      <c r="AH581" t="s">
        <v>126</v>
      </c>
      <c r="AI581" t="str">
        <f>"1701040"</f>
        <v>1701040</v>
      </c>
      <c r="AJ581" t="s">
        <v>748</v>
      </c>
      <c r="AK581">
        <v>2810252459</v>
      </c>
      <c r="AL581" t="s">
        <v>749</v>
      </c>
      <c r="AM581" t="s">
        <v>78</v>
      </c>
      <c r="AN581" t="s">
        <v>78</v>
      </c>
      <c r="AO581" t="s">
        <v>78</v>
      </c>
      <c r="AP581" t="s">
        <v>141</v>
      </c>
      <c r="AQ581">
        <v>3</v>
      </c>
      <c r="AR581" t="s">
        <v>123</v>
      </c>
      <c r="AS581" t="s">
        <v>124</v>
      </c>
      <c r="AT581" t="s">
        <v>58</v>
      </c>
      <c r="AU581" t="s">
        <v>68</v>
      </c>
      <c r="AV581" t="s">
        <v>69</v>
      </c>
      <c r="AW581" s="1">
        <v>22623</v>
      </c>
      <c r="AX581">
        <v>2</v>
      </c>
    </row>
    <row r="582" spans="1:50">
      <c r="A582">
        <v>198293</v>
      </c>
      <c r="B582" t="str">
        <f>"051746135"</f>
        <v>051746135</v>
      </c>
      <c r="C582" t="s">
        <v>105</v>
      </c>
      <c r="D582" t="s">
        <v>1645</v>
      </c>
      <c r="E582" t="s">
        <v>166</v>
      </c>
      <c r="F582" t="s">
        <v>311</v>
      </c>
      <c r="G582" t="s">
        <v>143</v>
      </c>
      <c r="H582" t="str">
        <f>"ΣΑΒΒΑΘΙΑΝΩΝ 17 "</f>
        <v xml:space="preserve">ΣΑΒΒΑΘΙΑΝΩΝ 17 </v>
      </c>
      <c r="I582">
        <v>71202</v>
      </c>
      <c r="J582">
        <v>2810300362</v>
      </c>
      <c r="K582">
        <v>6977987565</v>
      </c>
      <c r="M582" t="s">
        <v>1646</v>
      </c>
      <c r="N582" t="s">
        <v>1647</v>
      </c>
      <c r="O582" t="s">
        <v>1648</v>
      </c>
      <c r="R582" t="s">
        <v>57</v>
      </c>
      <c r="S582">
        <v>10</v>
      </c>
      <c r="T582">
        <v>206</v>
      </c>
      <c r="U582" s="1">
        <v>37866</v>
      </c>
      <c r="V582" t="s">
        <v>123</v>
      </c>
      <c r="W582" t="s">
        <v>124</v>
      </c>
      <c r="X582" t="s">
        <v>58</v>
      </c>
      <c r="Y582">
        <v>18</v>
      </c>
      <c r="Z582" t="s">
        <v>59</v>
      </c>
      <c r="AA582" t="s">
        <v>59</v>
      </c>
      <c r="AB582" t="s">
        <v>59</v>
      </c>
      <c r="AC582" t="s">
        <v>59</v>
      </c>
      <c r="AD582" t="s">
        <v>59</v>
      </c>
      <c r="AF582" s="1">
        <v>37866</v>
      </c>
      <c r="AG582" t="s">
        <v>125</v>
      </c>
      <c r="AH582" t="s">
        <v>126</v>
      </c>
      <c r="AI582" t="str">
        <f>"1701030"</f>
        <v>1701030</v>
      </c>
      <c r="AJ582" t="s">
        <v>270</v>
      </c>
      <c r="AK582">
        <v>2810361015</v>
      </c>
      <c r="AL582" t="s">
        <v>271</v>
      </c>
      <c r="AM582" t="s">
        <v>78</v>
      </c>
      <c r="AN582" t="s">
        <v>78</v>
      </c>
      <c r="AO582" t="s">
        <v>78</v>
      </c>
      <c r="AP582" t="s">
        <v>163</v>
      </c>
      <c r="AQ582">
        <v>2</v>
      </c>
      <c r="AR582" t="s">
        <v>123</v>
      </c>
      <c r="AS582" t="s">
        <v>124</v>
      </c>
      <c r="AT582" t="s">
        <v>58</v>
      </c>
      <c r="AU582" t="s">
        <v>68</v>
      </c>
      <c r="AV582" t="s">
        <v>69</v>
      </c>
      <c r="AW582" s="1">
        <v>20908</v>
      </c>
      <c r="AX582">
        <v>2</v>
      </c>
    </row>
    <row r="583" spans="1:50">
      <c r="A583">
        <v>700172</v>
      </c>
      <c r="B583" t="str">
        <f>"070953166"</f>
        <v>070953166</v>
      </c>
      <c r="C583" t="s">
        <v>50</v>
      </c>
      <c r="D583" t="s">
        <v>1649</v>
      </c>
      <c r="E583" t="s">
        <v>143</v>
      </c>
      <c r="F583" t="s">
        <v>383</v>
      </c>
      <c r="G583" t="s">
        <v>600</v>
      </c>
      <c r="H583" t="str">
        <f>"ΑΝΑΓΕΝΝΗΣΕΩΣ 10 ΝΕΑ ΑΛΙΚΑΡΝΑΣΣΟΣ"</f>
        <v>ΑΝΑΓΕΝΝΗΣΕΩΣ 10 ΝΕΑ ΑΛΙΚΑΡΝΑΣΣΟΣ</v>
      </c>
      <c r="I583">
        <v>71601</v>
      </c>
      <c r="J583">
        <v>2810226643</v>
      </c>
      <c r="K583">
        <v>6977743927</v>
      </c>
      <c r="M583" t="s">
        <v>1650</v>
      </c>
      <c r="N583" t="s">
        <v>146</v>
      </c>
      <c r="O583" t="s">
        <v>147</v>
      </c>
      <c r="R583" t="s">
        <v>57</v>
      </c>
      <c r="S583">
        <v>4</v>
      </c>
      <c r="T583">
        <v>772</v>
      </c>
      <c r="U583" s="1">
        <v>40413</v>
      </c>
      <c r="V583" t="s">
        <v>123</v>
      </c>
      <c r="W583" t="s">
        <v>124</v>
      </c>
      <c r="X583" t="s">
        <v>58</v>
      </c>
      <c r="Y583">
        <v>21</v>
      </c>
      <c r="Z583" t="s">
        <v>59</v>
      </c>
      <c r="AA583" t="s">
        <v>59</v>
      </c>
      <c r="AB583" t="s">
        <v>59</v>
      </c>
      <c r="AC583" t="s">
        <v>59</v>
      </c>
      <c r="AD583" t="s">
        <v>59</v>
      </c>
      <c r="AF583" s="1">
        <v>40413</v>
      </c>
      <c r="AG583" t="s">
        <v>148</v>
      </c>
      <c r="AH583" t="s">
        <v>149</v>
      </c>
      <c r="AI583" t="str">
        <f>"1765010"</f>
        <v>1765010</v>
      </c>
      <c r="AJ583" t="s">
        <v>803</v>
      </c>
      <c r="AK583">
        <v>2893031093</v>
      </c>
      <c r="AL583" t="s">
        <v>804</v>
      </c>
      <c r="AM583" t="s">
        <v>78</v>
      </c>
      <c r="AN583" t="s">
        <v>405</v>
      </c>
      <c r="AO583" t="s">
        <v>805</v>
      </c>
      <c r="AP583" t="s">
        <v>806</v>
      </c>
      <c r="AQ583">
        <v>25</v>
      </c>
      <c r="AR583" t="s">
        <v>123</v>
      </c>
      <c r="AS583" t="s">
        <v>124</v>
      </c>
      <c r="AT583" t="s">
        <v>58</v>
      </c>
      <c r="AU583" t="s">
        <v>68</v>
      </c>
      <c r="AV583" t="s">
        <v>69</v>
      </c>
      <c r="AW583" s="1">
        <v>27247</v>
      </c>
      <c r="AX583">
        <v>2</v>
      </c>
    </row>
    <row r="584" spans="1:50">
      <c r="A584">
        <v>217487</v>
      </c>
      <c r="B584" t="str">
        <f>"079189139"</f>
        <v>079189139</v>
      </c>
      <c r="C584" t="s">
        <v>50</v>
      </c>
      <c r="D584" t="s">
        <v>1649</v>
      </c>
      <c r="E584" t="s">
        <v>610</v>
      </c>
      <c r="F584" t="s">
        <v>1651</v>
      </c>
      <c r="G584" t="s">
        <v>396</v>
      </c>
      <c r="H584" t="str">
        <f>"ΑΝΤ. ΜΕΛΙΔΩΝΗ 5  ΗΡΑΚΛΕΙΟ"</f>
        <v>ΑΝΤ. ΜΕΛΙΔΩΝΗ 5  ΗΡΑΚΛΕΙΟ</v>
      </c>
      <c r="I584">
        <v>71202</v>
      </c>
      <c r="J584">
        <v>2810288727</v>
      </c>
      <c r="K584">
        <v>6945823001</v>
      </c>
      <c r="L584">
        <v>2810288727</v>
      </c>
      <c r="N584" t="s">
        <v>146</v>
      </c>
      <c r="O584" t="s">
        <v>147</v>
      </c>
      <c r="R584" t="s">
        <v>57</v>
      </c>
      <c r="S584">
        <v>6</v>
      </c>
      <c r="T584">
        <v>599</v>
      </c>
      <c r="U584" s="1">
        <v>39310</v>
      </c>
      <c r="V584" t="s">
        <v>123</v>
      </c>
      <c r="W584" t="s">
        <v>124</v>
      </c>
      <c r="X584" t="s">
        <v>58</v>
      </c>
      <c r="Y584">
        <v>20</v>
      </c>
      <c r="Z584" t="s">
        <v>59</v>
      </c>
      <c r="AA584" t="s">
        <v>59</v>
      </c>
      <c r="AB584" t="s">
        <v>59</v>
      </c>
      <c r="AC584" t="s">
        <v>59</v>
      </c>
      <c r="AD584" t="s">
        <v>59</v>
      </c>
      <c r="AF584" s="1">
        <v>39328</v>
      </c>
      <c r="AG584" t="s">
        <v>148</v>
      </c>
      <c r="AH584" t="s">
        <v>149</v>
      </c>
      <c r="AI584" t="str">
        <f>"1752010"</f>
        <v>1752010</v>
      </c>
      <c r="AJ584" t="s">
        <v>896</v>
      </c>
      <c r="AK584">
        <v>2891022893</v>
      </c>
      <c r="AL584" t="s">
        <v>897</v>
      </c>
      <c r="AM584" t="s">
        <v>78</v>
      </c>
      <c r="AN584" t="s">
        <v>276</v>
      </c>
      <c r="AO584" t="s">
        <v>490</v>
      </c>
      <c r="AP584" t="s">
        <v>490</v>
      </c>
      <c r="AQ584">
        <v>15</v>
      </c>
      <c r="AR584" t="s">
        <v>123</v>
      </c>
      <c r="AS584" t="s">
        <v>124</v>
      </c>
      <c r="AT584" t="s">
        <v>58</v>
      </c>
      <c r="AU584" t="s">
        <v>68</v>
      </c>
      <c r="AV584" t="s">
        <v>69</v>
      </c>
      <c r="AW584" s="1">
        <v>29038</v>
      </c>
      <c r="AX584">
        <v>2</v>
      </c>
    </row>
    <row r="585" spans="1:50">
      <c r="B585" t="str">
        <f>"137213680"</f>
        <v>137213680</v>
      </c>
      <c r="C585" t="s">
        <v>105</v>
      </c>
      <c r="D585" t="s">
        <v>1652</v>
      </c>
      <c r="E585" t="s">
        <v>95</v>
      </c>
      <c r="F585" t="s">
        <v>92</v>
      </c>
      <c r="G585" t="s">
        <v>52</v>
      </c>
      <c r="H585" t="str">
        <f>"ΠΡΟΦΗΤΗ ΗΛΙΑΣ "</f>
        <v xml:space="preserve">ΠΡΟΦΗΤΗ ΗΛΙΑΣ </v>
      </c>
      <c r="I585">
        <v>71500</v>
      </c>
      <c r="J585">
        <v>2810871071</v>
      </c>
      <c r="K585">
        <v>6944365371</v>
      </c>
      <c r="M585" t="s">
        <v>1653</v>
      </c>
      <c r="N585" t="s">
        <v>1463</v>
      </c>
      <c r="O585" t="s">
        <v>1464</v>
      </c>
      <c r="R585" t="s">
        <v>159</v>
      </c>
      <c r="S585">
        <v>2</v>
      </c>
      <c r="T585" t="s">
        <v>344</v>
      </c>
      <c r="U585" s="1">
        <v>43348</v>
      </c>
      <c r="V585" t="s">
        <v>123</v>
      </c>
      <c r="W585" t="s">
        <v>124</v>
      </c>
      <c r="X585" t="s">
        <v>58</v>
      </c>
      <c r="Y585">
        <v>23</v>
      </c>
      <c r="Z585" t="s">
        <v>59</v>
      </c>
      <c r="AA585" t="s">
        <v>59</v>
      </c>
      <c r="AB585" t="s">
        <v>59</v>
      </c>
      <c r="AC585" t="s">
        <v>59</v>
      </c>
      <c r="AD585" t="s">
        <v>59</v>
      </c>
      <c r="AF585" s="1">
        <v>43348</v>
      </c>
      <c r="AG585" t="s">
        <v>345</v>
      </c>
      <c r="AH585" t="s">
        <v>346</v>
      </c>
      <c r="AI585" t="str">
        <f>"1741001"</f>
        <v>1741001</v>
      </c>
      <c r="AJ585" t="s">
        <v>655</v>
      </c>
      <c r="AK585">
        <v>2810360436</v>
      </c>
      <c r="AL585" t="s">
        <v>656</v>
      </c>
      <c r="AM585" t="s">
        <v>78</v>
      </c>
      <c r="AN585" t="s">
        <v>78</v>
      </c>
      <c r="AO585" t="s">
        <v>78</v>
      </c>
      <c r="AP585" t="s">
        <v>141</v>
      </c>
      <c r="AQ585">
        <v>11</v>
      </c>
      <c r="AR585" t="s">
        <v>123</v>
      </c>
      <c r="AS585" t="s">
        <v>124</v>
      </c>
      <c r="AT585" t="s">
        <v>58</v>
      </c>
      <c r="AU585" t="s">
        <v>350</v>
      </c>
      <c r="AV585" t="s">
        <v>132</v>
      </c>
      <c r="AW585" s="1">
        <v>28184</v>
      </c>
      <c r="AX585">
        <v>2</v>
      </c>
    </row>
    <row r="586" spans="1:50">
      <c r="A586">
        <v>148481</v>
      </c>
      <c r="B586" t="str">
        <f>"026661596"</f>
        <v>026661596</v>
      </c>
      <c r="C586" t="s">
        <v>105</v>
      </c>
      <c r="D586" t="s">
        <v>1654</v>
      </c>
      <c r="E586" t="s">
        <v>920</v>
      </c>
      <c r="F586" t="s">
        <v>53</v>
      </c>
      <c r="G586" t="s">
        <v>221</v>
      </c>
      <c r="H586" t="str">
        <f>"ΕΡΥΘΡΑΙΑΣ 20 "</f>
        <v xml:space="preserve">ΕΡΥΘΡΑΙΑΣ 20 </v>
      </c>
      <c r="I586">
        <v>71306</v>
      </c>
      <c r="J586">
        <v>2810213033</v>
      </c>
      <c r="K586">
        <v>6948040851</v>
      </c>
      <c r="M586" t="s">
        <v>1655</v>
      </c>
      <c r="N586" t="s">
        <v>292</v>
      </c>
      <c r="O586" t="s">
        <v>293</v>
      </c>
      <c r="R586" t="s">
        <v>57</v>
      </c>
      <c r="S586">
        <v>17</v>
      </c>
      <c r="T586">
        <v>205</v>
      </c>
      <c r="U586" s="1">
        <v>31658</v>
      </c>
      <c r="V586" t="s">
        <v>123</v>
      </c>
      <c r="W586" t="s">
        <v>124</v>
      </c>
      <c r="X586" t="s">
        <v>58</v>
      </c>
      <c r="Y586">
        <v>18</v>
      </c>
      <c r="Z586" t="s">
        <v>59</v>
      </c>
      <c r="AA586" t="s">
        <v>59</v>
      </c>
      <c r="AB586" t="s">
        <v>59</v>
      </c>
      <c r="AC586" t="s">
        <v>59</v>
      </c>
      <c r="AD586" t="s">
        <v>59</v>
      </c>
      <c r="AF586" s="1">
        <v>31667</v>
      </c>
      <c r="AG586" t="s">
        <v>125</v>
      </c>
      <c r="AH586" t="s">
        <v>126</v>
      </c>
      <c r="AI586" t="str">
        <f>"1701030"</f>
        <v>1701030</v>
      </c>
      <c r="AJ586" t="s">
        <v>270</v>
      </c>
      <c r="AK586">
        <v>2810361015</v>
      </c>
      <c r="AL586" t="s">
        <v>271</v>
      </c>
      <c r="AM586" t="s">
        <v>78</v>
      </c>
      <c r="AN586" t="s">
        <v>78</v>
      </c>
      <c r="AO586" t="s">
        <v>78</v>
      </c>
      <c r="AP586" t="s">
        <v>163</v>
      </c>
      <c r="AQ586">
        <v>2</v>
      </c>
      <c r="AR586" t="s">
        <v>123</v>
      </c>
      <c r="AS586" t="s">
        <v>124</v>
      </c>
      <c r="AT586" t="s">
        <v>58</v>
      </c>
      <c r="AU586" t="s">
        <v>68</v>
      </c>
      <c r="AV586" t="s">
        <v>69</v>
      </c>
      <c r="AW586" s="1">
        <v>19551</v>
      </c>
      <c r="AX586">
        <v>2</v>
      </c>
    </row>
    <row r="587" spans="1:50">
      <c r="A587">
        <v>157514</v>
      </c>
      <c r="B587" t="str">
        <f>"063483948"</f>
        <v>063483948</v>
      </c>
      <c r="C587" t="s">
        <v>50</v>
      </c>
      <c r="D587" t="s">
        <v>1656</v>
      </c>
      <c r="E587" t="s">
        <v>52</v>
      </c>
      <c r="F587" t="s">
        <v>53</v>
      </c>
      <c r="G587" t="s">
        <v>610</v>
      </c>
      <c r="H587" t="str">
        <f>" "</f>
        <v xml:space="preserve"> </v>
      </c>
      <c r="N587" t="s">
        <v>176</v>
      </c>
      <c r="O587" t="s">
        <v>177</v>
      </c>
      <c r="R587" t="s">
        <v>57</v>
      </c>
      <c r="S587">
        <v>15</v>
      </c>
      <c r="T587">
        <v>188</v>
      </c>
      <c r="U587" s="1">
        <v>32752</v>
      </c>
      <c r="V587" t="s">
        <v>123</v>
      </c>
      <c r="W587" t="s">
        <v>124</v>
      </c>
      <c r="X587" t="s">
        <v>58</v>
      </c>
      <c r="Y587">
        <v>18</v>
      </c>
      <c r="Z587" t="s">
        <v>59</v>
      </c>
      <c r="AA587" t="s">
        <v>59</v>
      </c>
      <c r="AB587" t="s">
        <v>59</v>
      </c>
      <c r="AC587" t="s">
        <v>59</v>
      </c>
      <c r="AD587" t="s">
        <v>59</v>
      </c>
      <c r="AF587" s="1">
        <v>32756</v>
      </c>
      <c r="AG587" t="s">
        <v>148</v>
      </c>
      <c r="AH587" t="s">
        <v>149</v>
      </c>
      <c r="AI587" t="str">
        <f>"1751010"</f>
        <v>1751010</v>
      </c>
      <c r="AJ587" t="s">
        <v>150</v>
      </c>
      <c r="AK587">
        <v>2810346092</v>
      </c>
      <c r="AL587" t="s">
        <v>151</v>
      </c>
      <c r="AM587" t="s">
        <v>78</v>
      </c>
      <c r="AN587" t="s">
        <v>78</v>
      </c>
      <c r="AO587" t="s">
        <v>78</v>
      </c>
      <c r="AP587" t="s">
        <v>79</v>
      </c>
      <c r="AQ587">
        <v>1</v>
      </c>
      <c r="AR587" t="s">
        <v>123</v>
      </c>
      <c r="AS587" t="s">
        <v>124</v>
      </c>
      <c r="AT587" t="s">
        <v>58</v>
      </c>
      <c r="AU587" t="s">
        <v>68</v>
      </c>
      <c r="AV587" t="s">
        <v>69</v>
      </c>
      <c r="AW587" s="1">
        <v>23012</v>
      </c>
      <c r="AX587">
        <v>2</v>
      </c>
    </row>
    <row r="588" spans="1:50">
      <c r="A588">
        <v>196746</v>
      </c>
      <c r="B588" t="str">
        <f>"045838850"</f>
        <v>045838850</v>
      </c>
      <c r="C588" t="s">
        <v>50</v>
      </c>
      <c r="D588" t="s">
        <v>1657</v>
      </c>
      <c r="E588" t="s">
        <v>114</v>
      </c>
      <c r="F588" t="s">
        <v>92</v>
      </c>
      <c r="G588" t="s">
        <v>237</v>
      </c>
      <c r="H588" t="str">
        <f>"Γ.ΠΑΠΑΝΔΡΕΟΥ 7 ΜΟΙΡΕΣ"</f>
        <v>Γ.ΠΑΠΑΝΔΡΕΟΥ 7 ΜΟΙΡΕΣ</v>
      </c>
      <c r="I588">
        <v>70400</v>
      </c>
      <c r="J588">
        <v>2892024706</v>
      </c>
      <c r="K588">
        <v>6973308807</v>
      </c>
      <c r="M588" t="s">
        <v>1658</v>
      </c>
      <c r="N588" t="s">
        <v>146</v>
      </c>
      <c r="O588" t="s">
        <v>147</v>
      </c>
      <c r="R588" t="s">
        <v>57</v>
      </c>
      <c r="S588">
        <v>8</v>
      </c>
      <c r="T588">
        <v>206</v>
      </c>
      <c r="U588" s="1">
        <v>37866</v>
      </c>
      <c r="V588" t="s">
        <v>123</v>
      </c>
      <c r="W588" t="s">
        <v>124</v>
      </c>
      <c r="X588" t="s">
        <v>58</v>
      </c>
      <c r="Y588">
        <v>20</v>
      </c>
      <c r="Z588" t="s">
        <v>59</v>
      </c>
      <c r="AA588" t="s">
        <v>59</v>
      </c>
      <c r="AB588" t="s">
        <v>59</v>
      </c>
      <c r="AC588" t="s">
        <v>59</v>
      </c>
      <c r="AD588" t="s">
        <v>59</v>
      </c>
      <c r="AF588" s="1">
        <v>37867</v>
      </c>
      <c r="AG588" t="s">
        <v>148</v>
      </c>
      <c r="AH588" t="s">
        <v>149</v>
      </c>
      <c r="AI588" t="str">
        <f>"1756010"</f>
        <v>1756010</v>
      </c>
      <c r="AJ588" t="s">
        <v>874</v>
      </c>
      <c r="AK588">
        <v>2892022976</v>
      </c>
      <c r="AL588" t="s">
        <v>875</v>
      </c>
      <c r="AM588" t="s">
        <v>78</v>
      </c>
      <c r="AN588" t="s">
        <v>242</v>
      </c>
      <c r="AO588" t="s">
        <v>243</v>
      </c>
      <c r="AP588" t="s">
        <v>243</v>
      </c>
      <c r="AQ588">
        <v>33</v>
      </c>
      <c r="AR588" t="s">
        <v>123</v>
      </c>
      <c r="AS588" t="s">
        <v>124</v>
      </c>
      <c r="AT588" t="s">
        <v>58</v>
      </c>
      <c r="AU588" t="s">
        <v>68</v>
      </c>
      <c r="AV588" t="s">
        <v>69</v>
      </c>
      <c r="AW588" s="1">
        <v>25823</v>
      </c>
      <c r="AX588">
        <v>2</v>
      </c>
    </row>
    <row r="589" spans="1:50">
      <c r="A589">
        <v>155130</v>
      </c>
      <c r="B589" t="str">
        <f>"027829198"</f>
        <v>027829198</v>
      </c>
      <c r="C589" t="s">
        <v>105</v>
      </c>
      <c r="D589" t="s">
        <v>1659</v>
      </c>
      <c r="E589" t="s">
        <v>95</v>
      </c>
      <c r="F589" t="s">
        <v>377</v>
      </c>
      <c r="G589" t="s">
        <v>1660</v>
      </c>
      <c r="H589" t="str">
        <f>"ΑΓ. ΑΡΤΕΜΙΟΥ 18 ΗΡΑΚΛΕΙΟ"</f>
        <v>ΑΓ. ΑΡΤΕΜΙΟΥ 18 ΗΡΑΚΛΕΙΟ</v>
      </c>
      <c r="I589">
        <v>71409</v>
      </c>
      <c r="J589">
        <v>2810328311</v>
      </c>
      <c r="K589">
        <v>6971811257</v>
      </c>
      <c r="N589" t="s">
        <v>331</v>
      </c>
      <c r="O589" t="s">
        <v>332</v>
      </c>
      <c r="R589" t="s">
        <v>57</v>
      </c>
      <c r="S589">
        <v>16</v>
      </c>
      <c r="T589">
        <v>161</v>
      </c>
      <c r="U589" s="1">
        <v>32387</v>
      </c>
      <c r="V589" t="s">
        <v>123</v>
      </c>
      <c r="W589" t="s">
        <v>124</v>
      </c>
      <c r="X589" t="s">
        <v>58</v>
      </c>
      <c r="Y589">
        <v>18</v>
      </c>
      <c r="Z589" t="s">
        <v>59</v>
      </c>
      <c r="AA589" t="s">
        <v>59</v>
      </c>
      <c r="AB589" t="s">
        <v>59</v>
      </c>
      <c r="AC589" t="s">
        <v>59</v>
      </c>
      <c r="AD589" t="s">
        <v>59</v>
      </c>
      <c r="AF589" s="1">
        <v>32387</v>
      </c>
      <c r="AG589" t="s">
        <v>137</v>
      </c>
      <c r="AH589" t="s">
        <v>138</v>
      </c>
      <c r="AI589" t="str">
        <f>"1740210"</f>
        <v>1740210</v>
      </c>
      <c r="AJ589" t="s">
        <v>139</v>
      </c>
      <c r="AK589">
        <v>2810318130</v>
      </c>
      <c r="AL589" t="s">
        <v>140</v>
      </c>
      <c r="AM589" t="s">
        <v>78</v>
      </c>
      <c r="AN589" t="s">
        <v>78</v>
      </c>
      <c r="AO589" t="s">
        <v>78</v>
      </c>
      <c r="AP589" t="s">
        <v>141</v>
      </c>
      <c r="AQ589">
        <v>7</v>
      </c>
      <c r="AR589" t="s">
        <v>123</v>
      </c>
      <c r="AS589" t="s">
        <v>124</v>
      </c>
      <c r="AT589" t="s">
        <v>58</v>
      </c>
      <c r="AU589" t="s">
        <v>68</v>
      </c>
      <c r="AV589" t="s">
        <v>69</v>
      </c>
      <c r="AW589" s="1">
        <v>21011</v>
      </c>
      <c r="AX589">
        <v>2</v>
      </c>
    </row>
    <row r="590" spans="1:50">
      <c r="A590">
        <v>178045</v>
      </c>
      <c r="B590" t="str">
        <f>"072691888"</f>
        <v>072691888</v>
      </c>
      <c r="C590" t="s">
        <v>50</v>
      </c>
      <c r="D590" t="s">
        <v>1661</v>
      </c>
      <c r="E590" t="s">
        <v>255</v>
      </c>
      <c r="F590" t="s">
        <v>166</v>
      </c>
      <c r="G590" t="s">
        <v>250</v>
      </c>
      <c r="H590" t="str">
        <f>"Πάροδος Ιωάννου Παστρικάκη 2 Αρχανών"</f>
        <v>Πάροδος Ιωάννου Παστρικάκη 2 Αρχανών</v>
      </c>
      <c r="I590">
        <v>70100</v>
      </c>
      <c r="J590">
        <v>2810751042</v>
      </c>
      <c r="K590">
        <v>6974481917</v>
      </c>
      <c r="M590" t="s">
        <v>1662</v>
      </c>
      <c r="N590" t="s">
        <v>204</v>
      </c>
      <c r="O590" t="s">
        <v>205</v>
      </c>
      <c r="P590" t="s">
        <v>292</v>
      </c>
      <c r="Q590" t="s">
        <v>293</v>
      </c>
      <c r="R590" t="s">
        <v>57</v>
      </c>
      <c r="S590">
        <v>11</v>
      </c>
      <c r="T590">
        <v>180</v>
      </c>
      <c r="U590" s="1">
        <v>35674</v>
      </c>
      <c r="V590" t="s">
        <v>123</v>
      </c>
      <c r="W590" t="s">
        <v>124</v>
      </c>
      <c r="X590" t="s">
        <v>58</v>
      </c>
      <c r="Y590">
        <v>18</v>
      </c>
      <c r="Z590" t="s">
        <v>59</v>
      </c>
      <c r="AA590" t="s">
        <v>59</v>
      </c>
      <c r="AB590" t="s">
        <v>59</v>
      </c>
      <c r="AC590" t="s">
        <v>59</v>
      </c>
      <c r="AD590" t="s">
        <v>59</v>
      </c>
      <c r="AF590" s="1">
        <v>35678</v>
      </c>
      <c r="AG590" t="s">
        <v>125</v>
      </c>
      <c r="AH590" t="s">
        <v>126</v>
      </c>
      <c r="AI590" t="str">
        <f>"1701056"</f>
        <v>1701056</v>
      </c>
      <c r="AJ590" t="s">
        <v>211</v>
      </c>
      <c r="AK590">
        <v>2810245445</v>
      </c>
      <c r="AL590" t="s">
        <v>212</v>
      </c>
      <c r="AM590" t="s">
        <v>78</v>
      </c>
      <c r="AN590" t="s">
        <v>78</v>
      </c>
      <c r="AO590" t="s">
        <v>78</v>
      </c>
      <c r="AP590" t="s">
        <v>213</v>
      </c>
      <c r="AQ590">
        <v>6</v>
      </c>
      <c r="AR590" t="s">
        <v>123</v>
      </c>
      <c r="AS590" t="s">
        <v>124</v>
      </c>
      <c r="AT590" t="s">
        <v>58</v>
      </c>
      <c r="AU590" t="s">
        <v>68</v>
      </c>
      <c r="AV590" t="s">
        <v>69</v>
      </c>
      <c r="AW590" s="1">
        <v>25658</v>
      </c>
      <c r="AX590">
        <v>2</v>
      </c>
    </row>
    <row r="591" spans="1:50">
      <c r="A591">
        <v>157515</v>
      </c>
      <c r="B591" t="str">
        <f>"035495540"</f>
        <v>035495540</v>
      </c>
      <c r="C591" t="s">
        <v>105</v>
      </c>
      <c r="D591" t="s">
        <v>1663</v>
      </c>
      <c r="E591" t="s">
        <v>99</v>
      </c>
      <c r="F591" t="s">
        <v>670</v>
      </c>
      <c r="G591" t="s">
        <v>181</v>
      </c>
      <c r="H591" t="str">
        <f>"ΓΙΟΥΧΤΑ 4 ΚΗΠΟΥΠΟΛΗ"</f>
        <v>ΓΙΟΥΧΤΑ 4 ΚΗΠΟΥΠΟΛΗ</v>
      </c>
      <c r="I591">
        <v>71307</v>
      </c>
      <c r="J591">
        <v>2810321009</v>
      </c>
      <c r="K591">
        <v>6975855635</v>
      </c>
      <c r="M591" t="s">
        <v>1664</v>
      </c>
      <c r="N591" t="s">
        <v>176</v>
      </c>
      <c r="O591" t="s">
        <v>177</v>
      </c>
      <c r="R591" t="s">
        <v>57</v>
      </c>
      <c r="S591">
        <v>14</v>
      </c>
      <c r="T591">
        <v>188</v>
      </c>
      <c r="U591" s="1">
        <v>32752</v>
      </c>
      <c r="V591" t="s">
        <v>123</v>
      </c>
      <c r="W591" t="s">
        <v>124</v>
      </c>
      <c r="X591" t="s">
        <v>58</v>
      </c>
      <c r="Y591">
        <v>18</v>
      </c>
      <c r="Z591" t="s">
        <v>59</v>
      </c>
      <c r="AA591" t="s">
        <v>59</v>
      </c>
      <c r="AB591" t="s">
        <v>59</v>
      </c>
      <c r="AC591" t="s">
        <v>59</v>
      </c>
      <c r="AD591" t="s">
        <v>59</v>
      </c>
      <c r="AF591" s="1">
        <v>32756</v>
      </c>
      <c r="AG591" t="s">
        <v>148</v>
      </c>
      <c r="AH591" t="s">
        <v>149</v>
      </c>
      <c r="AI591" t="str">
        <f>"1751041"</f>
        <v>1751041</v>
      </c>
      <c r="AJ591" t="s">
        <v>353</v>
      </c>
      <c r="AK591">
        <v>2810230207</v>
      </c>
      <c r="AL591" t="s">
        <v>354</v>
      </c>
      <c r="AM591" t="s">
        <v>78</v>
      </c>
      <c r="AN591" t="s">
        <v>78</v>
      </c>
      <c r="AO591" t="s">
        <v>78</v>
      </c>
      <c r="AP591" t="s">
        <v>163</v>
      </c>
      <c r="AQ591">
        <v>2</v>
      </c>
      <c r="AR591" t="s">
        <v>123</v>
      </c>
      <c r="AS591" t="s">
        <v>124</v>
      </c>
      <c r="AT591" t="s">
        <v>58</v>
      </c>
      <c r="AU591" t="s">
        <v>68</v>
      </c>
      <c r="AV591" t="s">
        <v>69</v>
      </c>
      <c r="AW591" s="1">
        <v>21710</v>
      </c>
      <c r="AX591">
        <v>2</v>
      </c>
    </row>
    <row r="592" spans="1:50">
      <c r="B592" t="str">
        <f>"068876782"</f>
        <v>068876782</v>
      </c>
      <c r="C592" t="s">
        <v>105</v>
      </c>
      <c r="D592" t="s">
        <v>1665</v>
      </c>
      <c r="E592" t="s">
        <v>72</v>
      </c>
      <c r="F592" t="s">
        <v>99</v>
      </c>
      <c r="G592" t="s">
        <v>143</v>
      </c>
      <c r="H592" t="str">
        <f>"ΓΙΑΜΑΛΑΚΗ 8 ΗΡΑΚΛΕΙΟ"</f>
        <v>ΓΙΑΜΑΛΑΚΗ 8 ΗΡΑΚΛΕΙΟ</v>
      </c>
      <c r="I592">
        <v>71202</v>
      </c>
      <c r="J592">
        <v>2810285952</v>
      </c>
      <c r="K592">
        <v>6937090148</v>
      </c>
      <c r="N592" t="s">
        <v>146</v>
      </c>
      <c r="O592" t="s">
        <v>147</v>
      </c>
      <c r="R592" t="s">
        <v>159</v>
      </c>
      <c r="S592">
        <v>4</v>
      </c>
      <c r="T592" t="s">
        <v>160</v>
      </c>
      <c r="U592" s="1">
        <v>43364</v>
      </c>
      <c r="V592" t="s">
        <v>123</v>
      </c>
      <c r="W592" t="s">
        <v>124</v>
      </c>
      <c r="X592" t="s">
        <v>58</v>
      </c>
      <c r="Y592">
        <v>21</v>
      </c>
      <c r="Z592" t="s">
        <v>59</v>
      </c>
      <c r="AA592" t="s">
        <v>59</v>
      </c>
      <c r="AB592" t="s">
        <v>59</v>
      </c>
      <c r="AC592" t="s">
        <v>59</v>
      </c>
      <c r="AD592" t="s">
        <v>59</v>
      </c>
      <c r="AF592" s="1">
        <v>43367</v>
      </c>
      <c r="AG592" t="s">
        <v>125</v>
      </c>
      <c r="AH592" t="s">
        <v>126</v>
      </c>
      <c r="AI592" t="str">
        <f>"1725030"</f>
        <v>1725030</v>
      </c>
      <c r="AJ592" t="s">
        <v>1666</v>
      </c>
      <c r="AK592">
        <v>2893022872</v>
      </c>
      <c r="AL592" t="s">
        <v>1667</v>
      </c>
      <c r="AM592" t="s">
        <v>78</v>
      </c>
      <c r="AN592" t="s">
        <v>424</v>
      </c>
      <c r="AO592" t="s">
        <v>577</v>
      </c>
      <c r="AP592" t="s">
        <v>1668</v>
      </c>
      <c r="AQ592">
        <v>23</v>
      </c>
      <c r="AR592" t="s">
        <v>123</v>
      </c>
      <c r="AS592" t="s">
        <v>124</v>
      </c>
      <c r="AT592" t="s">
        <v>58</v>
      </c>
      <c r="AU592" t="s">
        <v>164</v>
      </c>
      <c r="AV592" t="s">
        <v>132</v>
      </c>
      <c r="AW592" s="1">
        <v>29365</v>
      </c>
      <c r="AX592">
        <v>2</v>
      </c>
    </row>
    <row r="593" spans="1:50">
      <c r="A593">
        <v>226485</v>
      </c>
      <c r="B593" t="str">
        <f>"045579649"</f>
        <v>045579649</v>
      </c>
      <c r="C593" t="s">
        <v>50</v>
      </c>
      <c r="D593" t="s">
        <v>1669</v>
      </c>
      <c r="E593" t="s">
        <v>83</v>
      </c>
      <c r="F593" t="s">
        <v>304</v>
      </c>
      <c r="G593" t="s">
        <v>181</v>
      </c>
      <c r="H593" t="str">
        <f>"ΜΥΡΩΝΟΣ  ΝΙΚΟΛΑΙΔΗ 6 ΗΡΑΚΛΕΙΟ"</f>
        <v>ΜΥΡΩΝΟΣ  ΝΙΚΟΛΑΙΔΗ 6 ΗΡΑΚΛΕΙΟ</v>
      </c>
      <c r="I593">
        <v>71305</v>
      </c>
      <c r="J593">
        <v>2810528497</v>
      </c>
      <c r="K593">
        <v>6944685772</v>
      </c>
      <c r="M593" t="s">
        <v>1670</v>
      </c>
      <c r="N593" t="s">
        <v>146</v>
      </c>
      <c r="O593" t="s">
        <v>147</v>
      </c>
      <c r="R593" t="s">
        <v>57</v>
      </c>
      <c r="S593">
        <v>5</v>
      </c>
      <c r="T593">
        <v>654</v>
      </c>
      <c r="U593" s="1">
        <v>40043</v>
      </c>
      <c r="V593" t="s">
        <v>123</v>
      </c>
      <c r="W593" t="s">
        <v>124</v>
      </c>
      <c r="X593" t="s">
        <v>58</v>
      </c>
      <c r="Y593">
        <v>21</v>
      </c>
      <c r="Z593" t="s">
        <v>59</v>
      </c>
      <c r="AA593" t="s">
        <v>59</v>
      </c>
      <c r="AB593" t="s">
        <v>59</v>
      </c>
      <c r="AC593" t="s">
        <v>59</v>
      </c>
      <c r="AD593" t="s">
        <v>59</v>
      </c>
      <c r="AF593" s="1">
        <v>40043</v>
      </c>
      <c r="AG593" t="s">
        <v>125</v>
      </c>
      <c r="AH593" t="s">
        <v>126</v>
      </c>
      <c r="AI593" t="str">
        <f>"1727010"</f>
        <v>1727010</v>
      </c>
      <c r="AJ593" t="s">
        <v>618</v>
      </c>
      <c r="AK593">
        <v>2810229231</v>
      </c>
      <c r="AL593" t="s">
        <v>619</v>
      </c>
      <c r="AM593" t="s">
        <v>78</v>
      </c>
      <c r="AN593" t="s">
        <v>78</v>
      </c>
      <c r="AO593" t="s">
        <v>286</v>
      </c>
      <c r="AP593" t="s">
        <v>286</v>
      </c>
      <c r="AQ593">
        <v>12</v>
      </c>
      <c r="AR593" t="s">
        <v>123</v>
      </c>
      <c r="AS593" t="s">
        <v>124</v>
      </c>
      <c r="AT593" t="s">
        <v>58</v>
      </c>
      <c r="AU593" t="s">
        <v>68</v>
      </c>
      <c r="AV593" t="s">
        <v>69</v>
      </c>
      <c r="AW593" s="1">
        <v>25149</v>
      </c>
      <c r="AX593">
        <v>2</v>
      </c>
    </row>
    <row r="594" spans="1:50">
      <c r="A594">
        <v>191469</v>
      </c>
      <c r="B594" t="str">
        <f>"039219596"</f>
        <v>039219596</v>
      </c>
      <c r="C594" t="s">
        <v>50</v>
      </c>
      <c r="D594" t="s">
        <v>1669</v>
      </c>
      <c r="E594" t="s">
        <v>255</v>
      </c>
      <c r="F594" t="s">
        <v>166</v>
      </c>
      <c r="G594" t="s">
        <v>112</v>
      </c>
      <c r="H594" t="str">
        <f>"ΜΙΛΤΙΑΔΟΥ 27  ΗΡΑΚΛΕΙΟ"</f>
        <v>ΜΙΛΤΙΑΔΟΥ 27  ΗΡΑΚΛΕΙΟ</v>
      </c>
      <c r="I594">
        <v>71307</v>
      </c>
      <c r="J594">
        <v>4961737029006</v>
      </c>
      <c r="K594">
        <v>4915150420391</v>
      </c>
      <c r="N594" t="s">
        <v>257</v>
      </c>
      <c r="O594" t="s">
        <v>258</v>
      </c>
      <c r="R594" t="s">
        <v>57</v>
      </c>
      <c r="S594">
        <v>15</v>
      </c>
      <c r="T594">
        <v>161</v>
      </c>
      <c r="U594" s="1">
        <v>33119</v>
      </c>
      <c r="V594" t="s">
        <v>123</v>
      </c>
      <c r="W594" t="s">
        <v>124</v>
      </c>
      <c r="X594" t="s">
        <v>58</v>
      </c>
      <c r="Y594">
        <v>18</v>
      </c>
      <c r="Z594" t="s">
        <v>59</v>
      </c>
      <c r="AA594" t="s">
        <v>59</v>
      </c>
      <c r="AB594" t="s">
        <v>59</v>
      </c>
      <c r="AC594" t="s">
        <v>59</v>
      </c>
      <c r="AD594" t="s">
        <v>59</v>
      </c>
      <c r="AF594" s="1">
        <v>33119</v>
      </c>
      <c r="AG594" t="s">
        <v>148</v>
      </c>
      <c r="AH594" t="s">
        <v>149</v>
      </c>
      <c r="AI594" t="str">
        <f>"1767011"</f>
        <v>1767011</v>
      </c>
      <c r="AJ594" t="s">
        <v>217</v>
      </c>
      <c r="AK594">
        <v>2897021055</v>
      </c>
      <c r="AL594" t="s">
        <v>218</v>
      </c>
      <c r="AM594" t="s">
        <v>78</v>
      </c>
      <c r="AN594" t="s">
        <v>219</v>
      </c>
      <c r="AO594" t="s">
        <v>219</v>
      </c>
      <c r="AP594" t="s">
        <v>220</v>
      </c>
      <c r="AQ594">
        <v>20</v>
      </c>
      <c r="AR594" t="s">
        <v>123</v>
      </c>
      <c r="AS594" t="s">
        <v>124</v>
      </c>
      <c r="AT594" t="s">
        <v>58</v>
      </c>
      <c r="AU594" t="s">
        <v>68</v>
      </c>
      <c r="AV594" t="s">
        <v>69</v>
      </c>
      <c r="AW594" s="1">
        <v>24378</v>
      </c>
      <c r="AX594">
        <v>2</v>
      </c>
    </row>
    <row r="595" spans="1:50">
      <c r="A595">
        <v>208392</v>
      </c>
      <c r="B595" t="str">
        <f>"046850282"</f>
        <v>046850282</v>
      </c>
      <c r="C595" t="s">
        <v>105</v>
      </c>
      <c r="D595" t="s">
        <v>1671</v>
      </c>
      <c r="E595" t="s">
        <v>95</v>
      </c>
      <c r="F595" t="s">
        <v>166</v>
      </c>
      <c r="G595" t="s">
        <v>860</v>
      </c>
      <c r="H595" t="str">
        <f>" "</f>
        <v xml:space="preserve"> </v>
      </c>
      <c r="J595">
        <v>2810315021</v>
      </c>
      <c r="K595">
        <v>6978449044</v>
      </c>
      <c r="L595">
        <v>2810315022</v>
      </c>
      <c r="N595" t="s">
        <v>331</v>
      </c>
      <c r="O595" t="s">
        <v>332</v>
      </c>
      <c r="R595" t="s">
        <v>57</v>
      </c>
      <c r="S595">
        <v>11</v>
      </c>
      <c r="T595">
        <v>218</v>
      </c>
      <c r="U595" s="1">
        <v>38596</v>
      </c>
      <c r="V595" t="s">
        <v>123</v>
      </c>
      <c r="W595" t="s">
        <v>124</v>
      </c>
      <c r="X595" t="s">
        <v>58</v>
      </c>
      <c r="Y595">
        <v>20</v>
      </c>
      <c r="Z595" t="s">
        <v>59</v>
      </c>
      <c r="AA595" t="s">
        <v>59</v>
      </c>
      <c r="AB595" t="s">
        <v>59</v>
      </c>
      <c r="AC595" t="s">
        <v>59</v>
      </c>
      <c r="AD595" t="s">
        <v>59</v>
      </c>
      <c r="AF595" s="1">
        <v>38600</v>
      </c>
      <c r="AG595" t="s">
        <v>148</v>
      </c>
      <c r="AH595" t="s">
        <v>149</v>
      </c>
      <c r="AI595" t="str">
        <f>"1751020"</f>
        <v>1751020</v>
      </c>
      <c r="AJ595" t="s">
        <v>532</v>
      </c>
      <c r="AK595">
        <v>2810372732</v>
      </c>
      <c r="AL595" t="s">
        <v>533</v>
      </c>
      <c r="AM595" t="s">
        <v>78</v>
      </c>
      <c r="AN595" t="s">
        <v>78</v>
      </c>
      <c r="AO595" t="s">
        <v>78</v>
      </c>
      <c r="AP595" t="s">
        <v>163</v>
      </c>
      <c r="AQ595">
        <v>3</v>
      </c>
      <c r="AR595" t="s">
        <v>123</v>
      </c>
      <c r="AS595" t="s">
        <v>124</v>
      </c>
      <c r="AT595" t="s">
        <v>58</v>
      </c>
      <c r="AU595" t="s">
        <v>68</v>
      </c>
      <c r="AV595" t="s">
        <v>69</v>
      </c>
      <c r="AW595" s="1">
        <v>24030</v>
      </c>
      <c r="AX595">
        <v>2</v>
      </c>
    </row>
    <row r="596" spans="1:50">
      <c r="A596">
        <v>195496</v>
      </c>
      <c r="B596" t="str">
        <f>"073522650"</f>
        <v>073522650</v>
      </c>
      <c r="C596" t="s">
        <v>105</v>
      </c>
      <c r="D596" t="s">
        <v>1671</v>
      </c>
      <c r="E596" t="s">
        <v>84</v>
      </c>
      <c r="F596" t="s">
        <v>166</v>
      </c>
      <c r="G596" t="s">
        <v>787</v>
      </c>
      <c r="H596" t="str">
        <f>" "</f>
        <v xml:space="preserve"> </v>
      </c>
      <c r="J596">
        <v>2810313021</v>
      </c>
      <c r="K596">
        <v>6944646715</v>
      </c>
      <c r="L596">
        <v>2810315022</v>
      </c>
      <c r="M596" t="s">
        <v>1672</v>
      </c>
      <c r="N596" t="s">
        <v>292</v>
      </c>
      <c r="O596" t="s">
        <v>293</v>
      </c>
      <c r="R596" t="s">
        <v>57</v>
      </c>
      <c r="S596">
        <v>14</v>
      </c>
      <c r="T596">
        <v>194</v>
      </c>
      <c r="U596" s="1">
        <v>37497</v>
      </c>
      <c r="V596" t="s">
        <v>123</v>
      </c>
      <c r="W596" t="s">
        <v>124</v>
      </c>
      <c r="X596" t="s">
        <v>58</v>
      </c>
      <c r="Y596">
        <v>20</v>
      </c>
      <c r="Z596" t="s">
        <v>59</v>
      </c>
      <c r="AA596" t="s">
        <v>59</v>
      </c>
      <c r="AB596" t="s">
        <v>59</v>
      </c>
      <c r="AC596" t="s">
        <v>59</v>
      </c>
      <c r="AD596" t="s">
        <v>59</v>
      </c>
      <c r="AF596" s="1">
        <v>37501</v>
      </c>
      <c r="AG596" t="s">
        <v>148</v>
      </c>
      <c r="AH596" t="s">
        <v>149</v>
      </c>
      <c r="AI596" t="str">
        <f>"1751010"</f>
        <v>1751010</v>
      </c>
      <c r="AJ596" t="s">
        <v>150</v>
      </c>
      <c r="AK596">
        <v>2810346092</v>
      </c>
      <c r="AL596" t="s">
        <v>151</v>
      </c>
      <c r="AM596" t="s">
        <v>78</v>
      </c>
      <c r="AN596" t="s">
        <v>78</v>
      </c>
      <c r="AO596" t="s">
        <v>78</v>
      </c>
      <c r="AP596" t="s">
        <v>79</v>
      </c>
      <c r="AQ596">
        <v>1</v>
      </c>
      <c r="AR596" t="s">
        <v>123</v>
      </c>
      <c r="AS596" t="s">
        <v>124</v>
      </c>
      <c r="AT596" t="s">
        <v>58</v>
      </c>
      <c r="AU596" t="s">
        <v>68</v>
      </c>
      <c r="AV596" t="s">
        <v>69</v>
      </c>
      <c r="AW596" s="1">
        <v>25279</v>
      </c>
      <c r="AX596">
        <v>2</v>
      </c>
    </row>
    <row r="597" spans="1:50">
      <c r="A597">
        <v>200347</v>
      </c>
      <c r="B597" t="str">
        <f>"070367165"</f>
        <v>070367165</v>
      </c>
      <c r="C597" t="s">
        <v>105</v>
      </c>
      <c r="D597" t="s">
        <v>1671</v>
      </c>
      <c r="E597" t="s">
        <v>166</v>
      </c>
      <c r="F597" t="s">
        <v>95</v>
      </c>
      <c r="G597" t="s">
        <v>1408</v>
      </c>
      <c r="H597" t="str">
        <f>" "</f>
        <v xml:space="preserve"> </v>
      </c>
      <c r="K597">
        <v>6948601609</v>
      </c>
      <c r="M597" t="s">
        <v>1673</v>
      </c>
      <c r="N597" t="s">
        <v>204</v>
      </c>
      <c r="O597" t="s">
        <v>205</v>
      </c>
      <c r="R597" t="s">
        <v>57</v>
      </c>
      <c r="S597">
        <v>10</v>
      </c>
      <c r="T597">
        <v>206</v>
      </c>
      <c r="U597" s="1">
        <v>37866</v>
      </c>
      <c r="V597" t="s">
        <v>123</v>
      </c>
      <c r="W597" t="s">
        <v>124</v>
      </c>
      <c r="X597" t="s">
        <v>58</v>
      </c>
      <c r="Y597">
        <v>20</v>
      </c>
      <c r="Z597" t="s">
        <v>59</v>
      </c>
      <c r="AA597" t="s">
        <v>59</v>
      </c>
      <c r="AB597" t="s">
        <v>59</v>
      </c>
      <c r="AC597" t="s">
        <v>59</v>
      </c>
      <c r="AD597" t="s">
        <v>59</v>
      </c>
      <c r="AF597" s="1">
        <v>37866</v>
      </c>
      <c r="AG597" t="s">
        <v>148</v>
      </c>
      <c r="AH597" t="s">
        <v>149</v>
      </c>
      <c r="AI597" t="str">
        <f>"1767011"</f>
        <v>1767011</v>
      </c>
      <c r="AJ597" t="s">
        <v>217</v>
      </c>
      <c r="AK597">
        <v>2897021055</v>
      </c>
      <c r="AL597" t="s">
        <v>218</v>
      </c>
      <c r="AM597" t="s">
        <v>78</v>
      </c>
      <c r="AN597" t="s">
        <v>219</v>
      </c>
      <c r="AO597" t="s">
        <v>219</v>
      </c>
      <c r="AP597" t="s">
        <v>220</v>
      </c>
      <c r="AQ597">
        <v>20</v>
      </c>
      <c r="AR597" t="s">
        <v>123</v>
      </c>
      <c r="AS597" t="s">
        <v>124</v>
      </c>
      <c r="AT597" t="s">
        <v>58</v>
      </c>
      <c r="AU597" t="s">
        <v>68</v>
      </c>
      <c r="AV597" t="s">
        <v>69</v>
      </c>
      <c r="AW597" s="1">
        <v>27459</v>
      </c>
      <c r="AX597">
        <v>2</v>
      </c>
    </row>
    <row r="598" spans="1:50">
      <c r="A598">
        <v>215433</v>
      </c>
      <c r="B598" t="str">
        <f>"127665916"</f>
        <v>127665916</v>
      </c>
      <c r="C598" t="s">
        <v>50</v>
      </c>
      <c r="D598" t="s">
        <v>1674</v>
      </c>
      <c r="E598" t="s">
        <v>52</v>
      </c>
      <c r="F598" t="s">
        <v>95</v>
      </c>
      <c r="G598" t="s">
        <v>181</v>
      </c>
      <c r="H598" t="str">
        <f>"ΑΓ. ΓΕΩΡΓΙΟΥ 55  ΜΟΙΡΕΣ"</f>
        <v>ΑΓ. ΓΕΩΡΓΙΟΥ 55  ΜΟΙΡΕΣ</v>
      </c>
      <c r="I598">
        <v>70400</v>
      </c>
      <c r="K598">
        <v>6938538415</v>
      </c>
      <c r="M598" t="s">
        <v>1675</v>
      </c>
      <c r="N598" t="s">
        <v>204</v>
      </c>
      <c r="O598" t="s">
        <v>205</v>
      </c>
      <c r="R598" t="s">
        <v>57</v>
      </c>
      <c r="S598">
        <v>6</v>
      </c>
      <c r="T598">
        <v>231</v>
      </c>
      <c r="U598" s="1">
        <v>38960</v>
      </c>
      <c r="V598" t="s">
        <v>123</v>
      </c>
      <c r="W598" t="s">
        <v>124</v>
      </c>
      <c r="X598" t="s">
        <v>58</v>
      </c>
      <c r="Y598">
        <v>20</v>
      </c>
      <c r="Z598" t="s">
        <v>59</v>
      </c>
      <c r="AA598" t="s">
        <v>59</v>
      </c>
      <c r="AB598" t="s">
        <v>59</v>
      </c>
      <c r="AC598" t="s">
        <v>59</v>
      </c>
      <c r="AD598" t="s">
        <v>59</v>
      </c>
      <c r="AF598" s="1">
        <v>38961</v>
      </c>
      <c r="AG598" t="s">
        <v>125</v>
      </c>
      <c r="AH598" t="s">
        <v>126</v>
      </c>
      <c r="AI598" t="str">
        <f>"1706010"</f>
        <v>1706010</v>
      </c>
      <c r="AJ598" t="s">
        <v>391</v>
      </c>
      <c r="AK598">
        <v>2892022286</v>
      </c>
      <c r="AL598" t="s">
        <v>392</v>
      </c>
      <c r="AM598" t="s">
        <v>78</v>
      </c>
      <c r="AN598" t="s">
        <v>242</v>
      </c>
      <c r="AO598" t="s">
        <v>243</v>
      </c>
      <c r="AP598" t="s">
        <v>243</v>
      </c>
      <c r="AQ598">
        <v>33</v>
      </c>
      <c r="AR598" t="s">
        <v>123</v>
      </c>
      <c r="AS598" t="s">
        <v>124</v>
      </c>
      <c r="AT598" t="s">
        <v>58</v>
      </c>
      <c r="AU598" t="s">
        <v>68</v>
      </c>
      <c r="AV598" t="s">
        <v>69</v>
      </c>
      <c r="AW598" s="1">
        <v>29172</v>
      </c>
      <c r="AX598">
        <v>2</v>
      </c>
    </row>
    <row r="599" spans="1:50">
      <c r="A599">
        <v>184599</v>
      </c>
      <c r="B599" t="str">
        <f>"076081426"</f>
        <v>076081426</v>
      </c>
      <c r="C599" t="s">
        <v>50</v>
      </c>
      <c r="D599" t="s">
        <v>1676</v>
      </c>
      <c r="E599" t="s">
        <v>1553</v>
      </c>
      <c r="F599" t="s">
        <v>95</v>
      </c>
      <c r="G599" t="s">
        <v>263</v>
      </c>
      <c r="H599" t="str">
        <f>"ΟΥΛΑΦ ΠΑΛΜΕ-ΦΑΛΙΕΡΟΥ "</f>
        <v xml:space="preserve">ΟΥΛΑΦ ΠΑΛΜΕ-ΦΑΛΙΕΡΟΥ </v>
      </c>
      <c r="I599">
        <v>71410</v>
      </c>
      <c r="J599">
        <v>2815000575</v>
      </c>
      <c r="K599">
        <v>6932273219</v>
      </c>
      <c r="M599" t="s">
        <v>1677</v>
      </c>
      <c r="N599" t="s">
        <v>683</v>
      </c>
      <c r="O599" t="s">
        <v>684</v>
      </c>
      <c r="R599" t="s">
        <v>57</v>
      </c>
      <c r="S599">
        <v>9</v>
      </c>
      <c r="T599">
        <v>177</v>
      </c>
      <c r="U599" s="1">
        <v>36403</v>
      </c>
      <c r="V599" t="s">
        <v>123</v>
      </c>
      <c r="W599" t="s">
        <v>124</v>
      </c>
      <c r="X599" t="s">
        <v>58</v>
      </c>
      <c r="Y599">
        <v>20</v>
      </c>
      <c r="Z599" t="s">
        <v>59</v>
      </c>
      <c r="AA599" t="s">
        <v>59</v>
      </c>
      <c r="AB599" t="s">
        <v>59</v>
      </c>
      <c r="AC599" t="s">
        <v>59</v>
      </c>
      <c r="AD599" t="s">
        <v>59</v>
      </c>
      <c r="AF599" s="1">
        <v>36405</v>
      </c>
      <c r="AG599" t="s">
        <v>125</v>
      </c>
      <c r="AH599" t="s">
        <v>126</v>
      </c>
      <c r="AI599" t="str">
        <f>"1701053"</f>
        <v>1701053</v>
      </c>
      <c r="AJ599" t="s">
        <v>398</v>
      </c>
      <c r="AK599">
        <v>2810251434</v>
      </c>
      <c r="AL599" t="s">
        <v>399</v>
      </c>
      <c r="AM599" t="s">
        <v>78</v>
      </c>
      <c r="AN599" t="s">
        <v>78</v>
      </c>
      <c r="AO599" t="s">
        <v>78</v>
      </c>
      <c r="AP599" t="s">
        <v>141</v>
      </c>
      <c r="AQ599">
        <v>7</v>
      </c>
      <c r="AR599" t="s">
        <v>123</v>
      </c>
      <c r="AS599" t="s">
        <v>124</v>
      </c>
      <c r="AT599" t="s">
        <v>58</v>
      </c>
      <c r="AU599" t="s">
        <v>68</v>
      </c>
      <c r="AV599" t="s">
        <v>69</v>
      </c>
      <c r="AW599" s="1">
        <v>26482</v>
      </c>
      <c r="AX599">
        <v>2</v>
      </c>
    </row>
    <row r="600" spans="1:50">
      <c r="A600">
        <v>212708</v>
      </c>
      <c r="B600" t="str">
        <f>"103823941"</f>
        <v>103823941</v>
      </c>
      <c r="C600" t="s">
        <v>105</v>
      </c>
      <c r="D600" t="s">
        <v>1678</v>
      </c>
      <c r="E600" t="s">
        <v>1679</v>
      </c>
      <c r="F600" t="s">
        <v>166</v>
      </c>
      <c r="G600" t="s">
        <v>905</v>
      </c>
      <c r="H600" t="str">
        <f>"ΕΡΓΑΝΗΣ 1 ΗΡΑΚΛΕΙΟ"</f>
        <v>ΕΡΓΑΝΗΣ 1 ΗΡΑΚΛΕΙΟ</v>
      </c>
      <c r="I600">
        <v>71307</v>
      </c>
      <c r="J600">
        <v>2810255740</v>
      </c>
      <c r="K600">
        <v>6944643826</v>
      </c>
      <c r="L600">
        <v>2810325526</v>
      </c>
      <c r="M600" t="s">
        <v>1680</v>
      </c>
      <c r="N600" t="s">
        <v>292</v>
      </c>
      <c r="O600" t="s">
        <v>293</v>
      </c>
      <c r="R600" t="s">
        <v>57</v>
      </c>
      <c r="S600">
        <v>8</v>
      </c>
      <c r="T600">
        <v>231</v>
      </c>
      <c r="U600" s="1">
        <v>38960</v>
      </c>
      <c r="V600" t="s">
        <v>123</v>
      </c>
      <c r="W600" t="s">
        <v>124</v>
      </c>
      <c r="X600" t="s">
        <v>58</v>
      </c>
      <c r="Y600">
        <v>20</v>
      </c>
      <c r="Z600" t="s">
        <v>59</v>
      </c>
      <c r="AA600" t="s">
        <v>59</v>
      </c>
      <c r="AB600" t="s">
        <v>59</v>
      </c>
      <c r="AC600" t="s">
        <v>59</v>
      </c>
      <c r="AD600" t="s">
        <v>59</v>
      </c>
      <c r="AF600" s="1">
        <v>38961</v>
      </c>
      <c r="AG600" t="s">
        <v>148</v>
      </c>
      <c r="AH600" t="s">
        <v>149</v>
      </c>
      <c r="AI600" t="str">
        <f>"1751010"</f>
        <v>1751010</v>
      </c>
      <c r="AJ600" t="s">
        <v>150</v>
      </c>
      <c r="AK600">
        <v>2810346092</v>
      </c>
      <c r="AL600" t="s">
        <v>151</v>
      </c>
      <c r="AM600" t="s">
        <v>78</v>
      </c>
      <c r="AN600" t="s">
        <v>78</v>
      </c>
      <c r="AO600" t="s">
        <v>78</v>
      </c>
      <c r="AP600" t="s">
        <v>79</v>
      </c>
      <c r="AQ600">
        <v>1</v>
      </c>
      <c r="AR600" t="s">
        <v>123</v>
      </c>
      <c r="AS600" t="s">
        <v>124</v>
      </c>
      <c r="AT600" t="s">
        <v>58</v>
      </c>
      <c r="AU600" t="s">
        <v>68</v>
      </c>
      <c r="AV600" t="s">
        <v>69</v>
      </c>
      <c r="AW600" s="1">
        <v>26912</v>
      </c>
      <c r="AX600">
        <v>2</v>
      </c>
    </row>
    <row r="601" spans="1:50">
      <c r="A601">
        <v>180024</v>
      </c>
      <c r="B601" t="str">
        <f>"041836378"</f>
        <v>041836378</v>
      </c>
      <c r="C601" t="s">
        <v>105</v>
      </c>
      <c r="D601" t="s">
        <v>1681</v>
      </c>
      <c r="E601" t="s">
        <v>166</v>
      </c>
      <c r="F601" t="s">
        <v>782</v>
      </c>
      <c r="G601" t="s">
        <v>215</v>
      </c>
      <c r="H601" t="str">
        <f>"ΙΩΝΙΑΣ 39 ΗΡΑΚΛΕΙΟ"</f>
        <v>ΙΩΝΙΑΣ 39 ΗΡΑΚΛΕΙΟ</v>
      </c>
      <c r="J601">
        <v>2810320482</v>
      </c>
      <c r="N601" t="s">
        <v>292</v>
      </c>
      <c r="O601" t="s">
        <v>293</v>
      </c>
      <c r="R601" t="s">
        <v>57</v>
      </c>
      <c r="S601">
        <v>10</v>
      </c>
      <c r="T601">
        <v>164</v>
      </c>
      <c r="U601" s="1">
        <v>36040</v>
      </c>
      <c r="V601" t="s">
        <v>123</v>
      </c>
      <c r="W601" t="s">
        <v>124</v>
      </c>
      <c r="X601" t="s">
        <v>58</v>
      </c>
      <c r="Y601">
        <v>18</v>
      </c>
      <c r="Z601" t="s">
        <v>59</v>
      </c>
      <c r="AA601" t="s">
        <v>59</v>
      </c>
      <c r="AB601" t="s">
        <v>59</v>
      </c>
      <c r="AC601" t="s">
        <v>59</v>
      </c>
      <c r="AD601" t="s">
        <v>59</v>
      </c>
      <c r="AF601" s="1">
        <v>36045</v>
      </c>
      <c r="AG601" t="s">
        <v>125</v>
      </c>
      <c r="AH601" t="s">
        <v>126</v>
      </c>
      <c r="AI601" t="str">
        <f>"1701050"</f>
        <v>1701050</v>
      </c>
      <c r="AJ601" t="s">
        <v>660</v>
      </c>
      <c r="AK601">
        <v>2810220729</v>
      </c>
      <c r="AL601" t="s">
        <v>661</v>
      </c>
      <c r="AM601" t="s">
        <v>78</v>
      </c>
      <c r="AN601" t="s">
        <v>78</v>
      </c>
      <c r="AO601" t="s">
        <v>78</v>
      </c>
      <c r="AP601" t="s">
        <v>79</v>
      </c>
      <c r="AQ601">
        <v>1</v>
      </c>
      <c r="AR601" t="s">
        <v>123</v>
      </c>
      <c r="AS601" t="s">
        <v>124</v>
      </c>
      <c r="AT601" t="s">
        <v>58</v>
      </c>
      <c r="AU601" t="s">
        <v>68</v>
      </c>
      <c r="AV601" t="s">
        <v>69</v>
      </c>
      <c r="AW601" s="1">
        <v>21879</v>
      </c>
      <c r="AX601">
        <v>2</v>
      </c>
    </row>
    <row r="602" spans="1:50">
      <c r="A602">
        <v>220352</v>
      </c>
      <c r="B602" t="str">
        <f>"047482847"</f>
        <v>047482847</v>
      </c>
      <c r="C602" t="s">
        <v>50</v>
      </c>
      <c r="D602" t="s">
        <v>1682</v>
      </c>
      <c r="E602" t="s">
        <v>181</v>
      </c>
      <c r="F602" t="s">
        <v>95</v>
      </c>
      <c r="G602" t="s">
        <v>83</v>
      </c>
      <c r="H602" t="str">
        <f>"Ι ΚΟΝΔΥΛΑΚΗ ΒΙΟΛΙ ΧΑΡΑΚΙ ΡΕΘΥΜΝΟ"</f>
        <v>Ι ΚΟΝΔΥΛΑΚΗ ΒΙΟΛΙ ΧΑΡΑΚΙ ΡΕΘΥΜΝΟ</v>
      </c>
      <c r="I602">
        <v>74100</v>
      </c>
      <c r="J602">
        <v>2831057992</v>
      </c>
      <c r="K602">
        <v>6937491800</v>
      </c>
      <c r="L602">
        <v>2102835468</v>
      </c>
      <c r="M602" t="s">
        <v>1683</v>
      </c>
      <c r="N602" t="s">
        <v>146</v>
      </c>
      <c r="O602" t="s">
        <v>147</v>
      </c>
      <c r="R602" t="s">
        <v>57</v>
      </c>
      <c r="S602">
        <v>6</v>
      </c>
      <c r="T602">
        <v>681</v>
      </c>
      <c r="U602" s="1">
        <v>39325</v>
      </c>
      <c r="V602" t="s">
        <v>123</v>
      </c>
      <c r="W602" t="s">
        <v>124</v>
      </c>
      <c r="X602" t="s">
        <v>58</v>
      </c>
      <c r="Y602">
        <v>20</v>
      </c>
      <c r="Z602" t="s">
        <v>59</v>
      </c>
      <c r="AA602" t="s">
        <v>59</v>
      </c>
      <c r="AB602" t="s">
        <v>452</v>
      </c>
      <c r="AC602" t="s">
        <v>59</v>
      </c>
      <c r="AD602" t="s">
        <v>59</v>
      </c>
      <c r="AF602" s="1">
        <v>39330</v>
      </c>
      <c r="AG602" t="s">
        <v>148</v>
      </c>
      <c r="AH602" t="s">
        <v>149</v>
      </c>
      <c r="AI602" t="str">
        <f>"1751080"</f>
        <v>1751080</v>
      </c>
      <c r="AJ602" t="s">
        <v>1395</v>
      </c>
      <c r="AK602">
        <v>2810721380</v>
      </c>
      <c r="AL602" t="s">
        <v>1396</v>
      </c>
      <c r="AM602" t="s">
        <v>78</v>
      </c>
      <c r="AN602" t="s">
        <v>78</v>
      </c>
      <c r="AO602" t="s">
        <v>185</v>
      </c>
      <c r="AP602" t="s">
        <v>186</v>
      </c>
      <c r="AQ602">
        <v>29</v>
      </c>
      <c r="AR602" t="s">
        <v>123</v>
      </c>
      <c r="AS602" t="s">
        <v>124</v>
      </c>
      <c r="AT602" t="s">
        <v>58</v>
      </c>
      <c r="AU602" t="s">
        <v>68</v>
      </c>
      <c r="AV602" t="s">
        <v>69</v>
      </c>
      <c r="AW602" s="1">
        <v>27212</v>
      </c>
      <c r="AX602">
        <v>2</v>
      </c>
    </row>
    <row r="603" spans="1:50">
      <c r="A603">
        <v>195179</v>
      </c>
      <c r="B603" t="str">
        <f>"114257502"</f>
        <v>114257502</v>
      </c>
      <c r="C603" t="s">
        <v>50</v>
      </c>
      <c r="D603" t="s">
        <v>1684</v>
      </c>
      <c r="E603" t="s">
        <v>83</v>
      </c>
      <c r="F603" t="s">
        <v>315</v>
      </c>
      <c r="G603" t="s">
        <v>181</v>
      </c>
      <c r="H603" t="str">
        <f>"ΛΟΥΔ. ΠΑΣΤΕΡ 32 ΗΡΑΚΛΕΙΟ"</f>
        <v>ΛΟΥΔ. ΠΑΣΤΕΡ 32 ΗΡΑΚΛΕΙΟ</v>
      </c>
      <c r="I603">
        <v>71307</v>
      </c>
      <c r="J603">
        <v>2810235429</v>
      </c>
      <c r="K603">
        <v>6945110183</v>
      </c>
      <c r="M603" t="s">
        <v>1685</v>
      </c>
      <c r="N603" t="s">
        <v>146</v>
      </c>
      <c r="O603" t="s">
        <v>147</v>
      </c>
      <c r="R603" t="s">
        <v>57</v>
      </c>
      <c r="S603">
        <v>8</v>
      </c>
      <c r="T603">
        <v>194</v>
      </c>
      <c r="U603" s="1">
        <v>37497</v>
      </c>
      <c r="V603" t="s">
        <v>123</v>
      </c>
      <c r="W603" t="s">
        <v>124</v>
      </c>
      <c r="X603" t="s">
        <v>58</v>
      </c>
      <c r="Y603">
        <v>20</v>
      </c>
      <c r="Z603" t="s">
        <v>59</v>
      </c>
      <c r="AA603" t="s">
        <v>59</v>
      </c>
      <c r="AB603" t="s">
        <v>59</v>
      </c>
      <c r="AC603" t="s">
        <v>59</v>
      </c>
      <c r="AD603" t="s">
        <v>59</v>
      </c>
      <c r="AF603" s="1">
        <v>37501</v>
      </c>
      <c r="AG603" t="s">
        <v>148</v>
      </c>
      <c r="AH603" t="s">
        <v>149</v>
      </c>
      <c r="AI603" t="str">
        <f>"1751010"</f>
        <v>1751010</v>
      </c>
      <c r="AJ603" t="s">
        <v>150</v>
      </c>
      <c r="AK603">
        <v>2810346092</v>
      </c>
      <c r="AL603" t="s">
        <v>151</v>
      </c>
      <c r="AM603" t="s">
        <v>78</v>
      </c>
      <c r="AN603" t="s">
        <v>78</v>
      </c>
      <c r="AO603" t="s">
        <v>78</v>
      </c>
      <c r="AP603" t="s">
        <v>79</v>
      </c>
      <c r="AQ603">
        <v>1</v>
      </c>
      <c r="AR603" t="s">
        <v>123</v>
      </c>
      <c r="AS603" t="s">
        <v>124</v>
      </c>
      <c r="AT603" t="s">
        <v>58</v>
      </c>
      <c r="AU603" t="s">
        <v>68</v>
      </c>
      <c r="AV603" t="s">
        <v>69</v>
      </c>
      <c r="AW603" s="1">
        <v>27103</v>
      </c>
      <c r="AX603">
        <v>2</v>
      </c>
    </row>
    <row r="604" spans="1:50">
      <c r="A604">
        <v>207230</v>
      </c>
      <c r="B604" t="str">
        <f>"036922631"</f>
        <v>036922631</v>
      </c>
      <c r="C604" t="s">
        <v>105</v>
      </c>
      <c r="D604" t="s">
        <v>1686</v>
      </c>
      <c r="E604" t="s">
        <v>900</v>
      </c>
      <c r="F604" t="s">
        <v>315</v>
      </c>
      <c r="G604" t="s">
        <v>181</v>
      </c>
      <c r="H604" t="str">
        <f>"ΑΝΤΩΝΙΟΥ ΜΠΕΤΕΙΝΑΚΗ 13 ΜΑΣΤΑΜΠΑΣ"</f>
        <v>ΑΝΤΩΝΙΟΥ ΜΠΕΤΕΙΝΑΚΗ 13 ΜΑΣΤΑΜΠΑΣ</v>
      </c>
      <c r="I604">
        <v>71305</v>
      </c>
      <c r="J604">
        <v>2810210085</v>
      </c>
      <c r="K604">
        <v>6945377190</v>
      </c>
      <c r="M604" t="s">
        <v>1687</v>
      </c>
      <c r="N604" t="s">
        <v>232</v>
      </c>
      <c r="O604" t="s">
        <v>233</v>
      </c>
      <c r="R604" t="s">
        <v>57</v>
      </c>
      <c r="S604">
        <v>10</v>
      </c>
      <c r="T604">
        <v>218</v>
      </c>
      <c r="U604" s="1">
        <v>38596</v>
      </c>
      <c r="V604" t="s">
        <v>123</v>
      </c>
      <c r="W604" t="s">
        <v>124</v>
      </c>
      <c r="X604" t="s">
        <v>58</v>
      </c>
      <c r="Y604">
        <v>20</v>
      </c>
      <c r="Z604" t="s">
        <v>59</v>
      </c>
      <c r="AA604" t="s">
        <v>59</v>
      </c>
      <c r="AB604" t="s">
        <v>59</v>
      </c>
      <c r="AC604" t="s">
        <v>59</v>
      </c>
      <c r="AD604" t="s">
        <v>59</v>
      </c>
      <c r="AF604" s="1">
        <v>38600</v>
      </c>
      <c r="AG604" t="s">
        <v>125</v>
      </c>
      <c r="AH604" t="s">
        <v>126</v>
      </c>
      <c r="AI604" t="str">
        <f>"1701090"</f>
        <v>1701090</v>
      </c>
      <c r="AJ604" t="s">
        <v>435</v>
      </c>
      <c r="AK604">
        <v>2810871288</v>
      </c>
      <c r="AL604" t="s">
        <v>436</v>
      </c>
      <c r="AM604" t="s">
        <v>78</v>
      </c>
      <c r="AN604" t="s">
        <v>78</v>
      </c>
      <c r="AO604" t="s">
        <v>437</v>
      </c>
      <c r="AP604" t="s">
        <v>438</v>
      </c>
      <c r="AQ604">
        <v>26</v>
      </c>
      <c r="AR604" t="s">
        <v>123</v>
      </c>
      <c r="AS604" t="s">
        <v>124</v>
      </c>
      <c r="AT604" t="s">
        <v>58</v>
      </c>
      <c r="AU604" t="s">
        <v>68</v>
      </c>
      <c r="AV604" t="s">
        <v>69</v>
      </c>
      <c r="AW604" s="1">
        <v>25914</v>
      </c>
      <c r="AX604">
        <v>2</v>
      </c>
    </row>
    <row r="605" spans="1:50">
      <c r="A605">
        <v>704137</v>
      </c>
      <c r="B605" t="str">
        <f>"131902738"</f>
        <v>131902738</v>
      </c>
      <c r="C605" t="s">
        <v>50</v>
      </c>
      <c r="D605" t="s">
        <v>1688</v>
      </c>
      <c r="E605" t="s">
        <v>1689</v>
      </c>
      <c r="F605" t="s">
        <v>99</v>
      </c>
      <c r="G605" t="s">
        <v>1690</v>
      </c>
      <c r="H605" t="str">
        <f>"ΘΕΑΓΕΝΟΥΣ ΧΑΡΙΣΗ 30 ΘΕΣ/ΝΙΚΗ"</f>
        <v>ΘΕΑΓΕΝΟΥΣ ΧΑΡΙΣΗ 30 ΘΕΣ/ΝΙΚΗ</v>
      </c>
      <c r="I605">
        <v>54639</v>
      </c>
      <c r="J605">
        <v>2510240176</v>
      </c>
      <c r="K605">
        <v>6934088085</v>
      </c>
      <c r="N605" t="s">
        <v>157</v>
      </c>
      <c r="O605" t="s">
        <v>158</v>
      </c>
      <c r="R605" t="s">
        <v>57</v>
      </c>
      <c r="S605">
        <v>2</v>
      </c>
      <c r="T605">
        <v>1350</v>
      </c>
      <c r="U605" s="1">
        <v>42732</v>
      </c>
      <c r="V605" t="s">
        <v>123</v>
      </c>
      <c r="W605" t="s">
        <v>124</v>
      </c>
      <c r="X605" t="s">
        <v>58</v>
      </c>
      <c r="Y605">
        <v>23</v>
      </c>
      <c r="Z605" t="s">
        <v>59</v>
      </c>
      <c r="AA605" t="s">
        <v>59</v>
      </c>
      <c r="AB605" t="s">
        <v>59</v>
      </c>
      <c r="AC605" t="s">
        <v>59</v>
      </c>
      <c r="AD605" t="s">
        <v>59</v>
      </c>
      <c r="AF605" s="1">
        <v>42734</v>
      </c>
      <c r="AG605" t="s">
        <v>125</v>
      </c>
      <c r="AH605" t="s">
        <v>126</v>
      </c>
      <c r="AI605" t="str">
        <f>"1718010"</f>
        <v>1718010</v>
      </c>
      <c r="AJ605" t="s">
        <v>1090</v>
      </c>
      <c r="AK605">
        <v>2897031471</v>
      </c>
      <c r="AL605" t="s">
        <v>1091</v>
      </c>
      <c r="AM605" t="s">
        <v>78</v>
      </c>
      <c r="AN605" t="s">
        <v>219</v>
      </c>
      <c r="AO605" t="s">
        <v>527</v>
      </c>
      <c r="AP605" t="s">
        <v>527</v>
      </c>
      <c r="AQ605">
        <v>20</v>
      </c>
      <c r="AR605" t="s">
        <v>123</v>
      </c>
      <c r="AS605" t="s">
        <v>124</v>
      </c>
      <c r="AT605" t="s">
        <v>58</v>
      </c>
      <c r="AU605" t="s">
        <v>68</v>
      </c>
      <c r="AV605" t="s">
        <v>69</v>
      </c>
      <c r="AW605" s="1">
        <v>29952</v>
      </c>
      <c r="AX605">
        <v>2</v>
      </c>
    </row>
    <row r="606" spans="1:50">
      <c r="A606">
        <v>177036</v>
      </c>
      <c r="B606" t="str">
        <f>"077004615"</f>
        <v>077004615</v>
      </c>
      <c r="C606" t="s">
        <v>50</v>
      </c>
      <c r="D606" t="s">
        <v>1691</v>
      </c>
      <c r="E606" t="s">
        <v>1189</v>
      </c>
      <c r="F606" t="s">
        <v>383</v>
      </c>
      <c r="G606" t="s">
        <v>83</v>
      </c>
      <c r="H606" t="str">
        <f>"ΜΕΛΕΤΙΟΥ ΠΗΓΑ 69 ΗΡΑΚΛΕΙΟΥ (Ν. ΗΡΑΚΛΕΙΟΥ)"</f>
        <v>ΜΕΛΕΤΙΟΥ ΠΗΓΑ 69 ΗΡΑΚΛΕΙΟΥ (Ν. ΗΡΑΚΛΕΙΟΥ)</v>
      </c>
      <c r="I606">
        <v>71306</v>
      </c>
      <c r="J606">
        <v>2810324836</v>
      </c>
      <c r="K606">
        <v>6938056722</v>
      </c>
      <c r="M606" t="s">
        <v>1692</v>
      </c>
      <c r="N606" t="s">
        <v>257</v>
      </c>
      <c r="O606" t="s">
        <v>258</v>
      </c>
      <c r="P606" t="s">
        <v>615</v>
      </c>
      <c r="Q606" t="s">
        <v>616</v>
      </c>
      <c r="R606" t="s">
        <v>57</v>
      </c>
      <c r="S606">
        <v>12</v>
      </c>
      <c r="T606">
        <v>180</v>
      </c>
      <c r="U606" s="1">
        <v>35674</v>
      </c>
      <c r="V606" t="s">
        <v>123</v>
      </c>
      <c r="W606" t="s">
        <v>124</v>
      </c>
      <c r="X606" t="s">
        <v>58</v>
      </c>
      <c r="Y606">
        <v>18</v>
      </c>
      <c r="Z606" t="s">
        <v>59</v>
      </c>
      <c r="AA606" t="s">
        <v>59</v>
      </c>
      <c r="AB606" t="s">
        <v>59</v>
      </c>
      <c r="AC606" t="s">
        <v>59</v>
      </c>
      <c r="AD606" t="s">
        <v>59</v>
      </c>
      <c r="AF606" s="1">
        <v>35678</v>
      </c>
      <c r="AG606" t="s">
        <v>125</v>
      </c>
      <c r="AH606" t="s">
        <v>126</v>
      </c>
      <c r="AI606" t="str">
        <f>"1701057"</f>
        <v>1701057</v>
      </c>
      <c r="AJ606" t="s">
        <v>379</v>
      </c>
      <c r="AK606">
        <v>2810234488</v>
      </c>
      <c r="AL606" t="s">
        <v>380</v>
      </c>
      <c r="AM606" t="s">
        <v>78</v>
      </c>
      <c r="AN606" t="s">
        <v>78</v>
      </c>
      <c r="AO606" t="s">
        <v>78</v>
      </c>
      <c r="AP606" t="s">
        <v>163</v>
      </c>
      <c r="AQ606">
        <v>8</v>
      </c>
      <c r="AR606" t="s">
        <v>123</v>
      </c>
      <c r="AS606" t="s">
        <v>124</v>
      </c>
      <c r="AT606" t="s">
        <v>58</v>
      </c>
      <c r="AU606" t="s">
        <v>68</v>
      </c>
      <c r="AV606" t="s">
        <v>69</v>
      </c>
      <c r="AW606" s="1">
        <v>25801</v>
      </c>
      <c r="AX606">
        <v>2</v>
      </c>
    </row>
    <row r="607" spans="1:50">
      <c r="A607">
        <v>198943</v>
      </c>
      <c r="B607" t="str">
        <f>"063132116"</f>
        <v>063132116</v>
      </c>
      <c r="C607" t="s">
        <v>50</v>
      </c>
      <c r="D607" t="s">
        <v>1691</v>
      </c>
      <c r="E607" t="s">
        <v>255</v>
      </c>
      <c r="F607" t="s">
        <v>99</v>
      </c>
      <c r="G607" t="s">
        <v>869</v>
      </c>
      <c r="H607" t="str">
        <f>" "</f>
        <v xml:space="preserve"> </v>
      </c>
      <c r="J607">
        <v>2810252794</v>
      </c>
      <c r="K607">
        <v>6972237356</v>
      </c>
      <c r="N607" t="s">
        <v>299</v>
      </c>
      <c r="O607" t="s">
        <v>300</v>
      </c>
      <c r="R607" t="s">
        <v>57</v>
      </c>
      <c r="S607">
        <v>10</v>
      </c>
      <c r="T607">
        <v>206</v>
      </c>
      <c r="U607" s="1">
        <v>37866</v>
      </c>
      <c r="V607" t="s">
        <v>123</v>
      </c>
      <c r="W607" t="s">
        <v>124</v>
      </c>
      <c r="X607" t="s">
        <v>58</v>
      </c>
      <c r="Y607">
        <v>18</v>
      </c>
      <c r="Z607" t="s">
        <v>59</v>
      </c>
      <c r="AA607" t="s">
        <v>59</v>
      </c>
      <c r="AB607" t="s">
        <v>59</v>
      </c>
      <c r="AC607" t="s">
        <v>59</v>
      </c>
      <c r="AD607" t="s">
        <v>59</v>
      </c>
      <c r="AF607" s="1">
        <v>37866</v>
      </c>
      <c r="AG607" t="s">
        <v>148</v>
      </c>
      <c r="AH607" t="s">
        <v>149</v>
      </c>
      <c r="AI607" t="str">
        <f>"1751020"</f>
        <v>1751020</v>
      </c>
      <c r="AJ607" t="s">
        <v>532</v>
      </c>
      <c r="AK607">
        <v>2810372732</v>
      </c>
      <c r="AL607" t="s">
        <v>533</v>
      </c>
      <c r="AM607" t="s">
        <v>78</v>
      </c>
      <c r="AN607" t="s">
        <v>78</v>
      </c>
      <c r="AO607" t="s">
        <v>78</v>
      </c>
      <c r="AP607" t="s">
        <v>163</v>
      </c>
      <c r="AQ607">
        <v>3</v>
      </c>
      <c r="AR607" t="s">
        <v>123</v>
      </c>
      <c r="AS607" t="s">
        <v>124</v>
      </c>
      <c r="AT607" t="s">
        <v>58</v>
      </c>
      <c r="AU607" t="s">
        <v>68</v>
      </c>
      <c r="AV607" t="s">
        <v>69</v>
      </c>
      <c r="AW607" s="1">
        <v>21095</v>
      </c>
      <c r="AX607">
        <v>2</v>
      </c>
    </row>
    <row r="608" spans="1:50">
      <c r="A608">
        <v>702954</v>
      </c>
      <c r="B608" t="str">
        <f>"123157039"</f>
        <v>123157039</v>
      </c>
      <c r="C608" t="s">
        <v>50</v>
      </c>
      <c r="D608" t="s">
        <v>1693</v>
      </c>
      <c r="E608" t="s">
        <v>263</v>
      </c>
      <c r="F608" t="s">
        <v>166</v>
      </c>
      <c r="G608" t="s">
        <v>1694</v>
      </c>
      <c r="H608" t="str">
        <f>"ΛΙΣΣΟΥ 12 ΗΡΑΚΛΕΙΟ"</f>
        <v>ΛΙΣΣΟΥ 12 ΗΡΑΚΛΕΙΟ</v>
      </c>
      <c r="I608">
        <v>71304</v>
      </c>
      <c r="J608">
        <v>2810371406</v>
      </c>
      <c r="K608">
        <v>6938286449</v>
      </c>
      <c r="L608">
        <v>6972280836</v>
      </c>
      <c r="N608" t="s">
        <v>146</v>
      </c>
      <c r="O608" t="s">
        <v>147</v>
      </c>
      <c r="R608" t="s">
        <v>57</v>
      </c>
      <c r="S608">
        <v>5</v>
      </c>
      <c r="T608">
        <v>588</v>
      </c>
      <c r="U608" s="1">
        <v>40778</v>
      </c>
      <c r="V608" t="s">
        <v>123</v>
      </c>
      <c r="W608" t="s">
        <v>124</v>
      </c>
      <c r="X608" t="s">
        <v>58</v>
      </c>
      <c r="Y608">
        <v>21</v>
      </c>
      <c r="Z608" t="s">
        <v>59</v>
      </c>
      <c r="AA608" t="s">
        <v>59</v>
      </c>
      <c r="AB608" t="s">
        <v>59</v>
      </c>
      <c r="AC608" t="s">
        <v>59</v>
      </c>
      <c r="AD608" t="s">
        <v>59</v>
      </c>
      <c r="AF608" s="1">
        <v>40781</v>
      </c>
      <c r="AG608" t="s">
        <v>148</v>
      </c>
      <c r="AH608" t="s">
        <v>149</v>
      </c>
      <c r="AI608" t="str">
        <f>"1759010"</f>
        <v>1759010</v>
      </c>
      <c r="AJ608" t="s">
        <v>403</v>
      </c>
      <c r="AK608">
        <v>2894022127</v>
      </c>
      <c r="AL608" t="s">
        <v>404</v>
      </c>
      <c r="AM608" t="s">
        <v>78</v>
      </c>
      <c r="AN608" t="s">
        <v>405</v>
      </c>
      <c r="AO608" t="s">
        <v>406</v>
      </c>
      <c r="AP608" t="s">
        <v>406</v>
      </c>
      <c r="AQ608">
        <v>30</v>
      </c>
      <c r="AR608" t="s">
        <v>123</v>
      </c>
      <c r="AS608" t="s">
        <v>124</v>
      </c>
      <c r="AT608" t="s">
        <v>58</v>
      </c>
      <c r="AU608" t="s">
        <v>68</v>
      </c>
      <c r="AV608" t="s">
        <v>69</v>
      </c>
      <c r="AW608" s="1">
        <v>25115</v>
      </c>
      <c r="AX608">
        <v>2</v>
      </c>
    </row>
    <row r="609" spans="1:50">
      <c r="A609">
        <v>136877</v>
      </c>
      <c r="B609" t="str">
        <f>"062669376"</f>
        <v>062669376</v>
      </c>
      <c r="C609" t="s">
        <v>50</v>
      </c>
      <c r="D609" t="s">
        <v>1693</v>
      </c>
      <c r="E609" t="s">
        <v>610</v>
      </c>
      <c r="F609" t="s">
        <v>95</v>
      </c>
      <c r="G609" t="s">
        <v>787</v>
      </c>
      <c r="H609" t="str">
        <f>"ΡΑΥΤΟΠΟΥΛΟΥ 20 ΗΡΑΚΛΕΙΟ"</f>
        <v>ΡΑΥΤΟΠΟΥΛΟΥ 20 ΗΡΑΚΛΕΙΟ</v>
      </c>
      <c r="J609">
        <v>2810239251</v>
      </c>
      <c r="K609">
        <v>6983009951</v>
      </c>
      <c r="M609" t="s">
        <v>1695</v>
      </c>
      <c r="N609" t="s">
        <v>146</v>
      </c>
      <c r="O609" t="s">
        <v>147</v>
      </c>
      <c r="R609" t="s">
        <v>57</v>
      </c>
      <c r="S609">
        <v>17</v>
      </c>
      <c r="T609">
        <v>271</v>
      </c>
      <c r="U609" s="1">
        <v>30195</v>
      </c>
      <c r="V609" t="s">
        <v>123</v>
      </c>
      <c r="W609" t="s">
        <v>124</v>
      </c>
      <c r="X609" t="s">
        <v>58</v>
      </c>
      <c r="Y609">
        <v>18</v>
      </c>
      <c r="Z609" t="s">
        <v>59</v>
      </c>
      <c r="AA609" t="s">
        <v>59</v>
      </c>
      <c r="AB609" t="s">
        <v>59</v>
      </c>
      <c r="AC609" t="s">
        <v>59</v>
      </c>
      <c r="AD609" t="s">
        <v>59</v>
      </c>
      <c r="AF609" s="1">
        <v>30207</v>
      </c>
      <c r="AG609" t="s">
        <v>125</v>
      </c>
      <c r="AH609" t="s">
        <v>126</v>
      </c>
      <c r="AI609" t="str">
        <f>"1701040"</f>
        <v>1701040</v>
      </c>
      <c r="AJ609" t="s">
        <v>748</v>
      </c>
      <c r="AK609">
        <v>2810252459</v>
      </c>
      <c r="AL609" t="s">
        <v>749</v>
      </c>
      <c r="AM609" t="s">
        <v>78</v>
      </c>
      <c r="AN609" t="s">
        <v>78</v>
      </c>
      <c r="AO609" t="s">
        <v>78</v>
      </c>
      <c r="AP609" t="s">
        <v>141</v>
      </c>
      <c r="AQ609">
        <v>3</v>
      </c>
      <c r="AR609" t="s">
        <v>123</v>
      </c>
      <c r="AS609" t="s">
        <v>124</v>
      </c>
      <c r="AT609" t="s">
        <v>58</v>
      </c>
      <c r="AU609" t="s">
        <v>68</v>
      </c>
      <c r="AV609" t="s">
        <v>69</v>
      </c>
      <c r="AW609" s="1">
        <v>19633</v>
      </c>
      <c r="AX609">
        <v>2</v>
      </c>
    </row>
    <row r="610" spans="1:50">
      <c r="A610">
        <v>167630</v>
      </c>
      <c r="B610" t="str">
        <f>"042318886"</f>
        <v>042318886</v>
      </c>
      <c r="C610" t="s">
        <v>50</v>
      </c>
      <c r="D610" t="s">
        <v>1693</v>
      </c>
      <c r="E610" t="s">
        <v>507</v>
      </c>
      <c r="F610" t="s">
        <v>154</v>
      </c>
      <c r="G610" t="s">
        <v>83</v>
      </c>
      <c r="H610" t="str">
        <f>"ΑΔΡΑΣΤΕΙΑΣ 4 ΗΡΑΚΛΕΙΟ"</f>
        <v>ΑΔΡΑΣΤΕΙΑΣ 4 ΗΡΑΚΛΕΙΟ</v>
      </c>
      <c r="I610">
        <v>71304</v>
      </c>
      <c r="J610">
        <v>2811758381</v>
      </c>
      <c r="K610">
        <v>6947994567</v>
      </c>
      <c r="M610" t="s">
        <v>1696</v>
      </c>
      <c r="N610" t="s">
        <v>146</v>
      </c>
      <c r="O610" t="s">
        <v>147</v>
      </c>
      <c r="R610" t="s">
        <v>57</v>
      </c>
      <c r="S610">
        <v>12</v>
      </c>
      <c r="T610">
        <v>159</v>
      </c>
      <c r="U610" s="1">
        <v>34582</v>
      </c>
      <c r="V610" t="s">
        <v>123</v>
      </c>
      <c r="W610" t="s">
        <v>124</v>
      </c>
      <c r="X610" t="s">
        <v>58</v>
      </c>
      <c r="Y610">
        <v>18</v>
      </c>
      <c r="Z610" t="s">
        <v>59</v>
      </c>
      <c r="AA610" t="s">
        <v>59</v>
      </c>
      <c r="AB610" t="s">
        <v>59</v>
      </c>
      <c r="AC610" t="s">
        <v>59</v>
      </c>
      <c r="AD610" t="s">
        <v>59</v>
      </c>
      <c r="AF610" s="1">
        <v>34583</v>
      </c>
      <c r="AG610" t="s">
        <v>125</v>
      </c>
      <c r="AH610" t="s">
        <v>126</v>
      </c>
      <c r="AI610" t="str">
        <f>"1701040"</f>
        <v>1701040</v>
      </c>
      <c r="AJ610" t="s">
        <v>748</v>
      </c>
      <c r="AK610">
        <v>2810252459</v>
      </c>
      <c r="AL610" t="s">
        <v>749</v>
      </c>
      <c r="AM610" t="s">
        <v>78</v>
      </c>
      <c r="AN610" t="s">
        <v>78</v>
      </c>
      <c r="AO610" t="s">
        <v>78</v>
      </c>
      <c r="AP610" t="s">
        <v>141</v>
      </c>
      <c r="AQ610">
        <v>3</v>
      </c>
      <c r="AR610" t="s">
        <v>123</v>
      </c>
      <c r="AS610" t="s">
        <v>124</v>
      </c>
      <c r="AT610" t="s">
        <v>58</v>
      </c>
      <c r="AU610" t="s">
        <v>68</v>
      </c>
      <c r="AV610" t="s">
        <v>69</v>
      </c>
      <c r="AW610" s="1">
        <v>22572</v>
      </c>
      <c r="AX610">
        <v>2</v>
      </c>
    </row>
    <row r="611" spans="1:50">
      <c r="A611">
        <v>216839</v>
      </c>
      <c r="B611" t="str">
        <f>"061304200"</f>
        <v>061304200</v>
      </c>
      <c r="C611" t="s">
        <v>105</v>
      </c>
      <c r="D611" t="s">
        <v>1697</v>
      </c>
      <c r="E611" t="s">
        <v>106</v>
      </c>
      <c r="F611" t="s">
        <v>99</v>
      </c>
      <c r="G611" t="s">
        <v>83</v>
      </c>
      <c r="H611" t="str">
        <f>" "</f>
        <v xml:space="preserve"> </v>
      </c>
      <c r="J611">
        <v>2811102395</v>
      </c>
      <c r="K611">
        <v>6972407837</v>
      </c>
      <c r="M611" t="s">
        <v>1698</v>
      </c>
      <c r="N611" t="s">
        <v>168</v>
      </c>
      <c r="O611" t="s">
        <v>169</v>
      </c>
      <c r="R611" t="s">
        <v>57</v>
      </c>
      <c r="S611">
        <v>6</v>
      </c>
      <c r="T611">
        <v>298</v>
      </c>
      <c r="U611" s="1">
        <v>38985</v>
      </c>
      <c r="V611" t="s">
        <v>123</v>
      </c>
      <c r="W611" t="s">
        <v>124</v>
      </c>
      <c r="X611" t="s">
        <v>58</v>
      </c>
      <c r="Y611">
        <v>20</v>
      </c>
      <c r="Z611" t="s">
        <v>59</v>
      </c>
      <c r="AA611" t="s">
        <v>59</v>
      </c>
      <c r="AB611" t="s">
        <v>59</v>
      </c>
      <c r="AC611" t="s">
        <v>59</v>
      </c>
      <c r="AD611" t="s">
        <v>59</v>
      </c>
      <c r="AF611" s="1">
        <v>38986</v>
      </c>
      <c r="AG611" t="s">
        <v>137</v>
      </c>
      <c r="AH611" t="s">
        <v>138</v>
      </c>
      <c r="AI611" t="str">
        <f>"1740080"</f>
        <v>1740080</v>
      </c>
      <c r="AJ611" t="s">
        <v>284</v>
      </c>
      <c r="AK611">
        <v>2810220433</v>
      </c>
      <c r="AL611" t="s">
        <v>285</v>
      </c>
      <c r="AM611" t="s">
        <v>78</v>
      </c>
      <c r="AN611" t="s">
        <v>78</v>
      </c>
      <c r="AO611" t="s">
        <v>286</v>
      </c>
      <c r="AP611" t="s">
        <v>286</v>
      </c>
      <c r="AQ611">
        <v>12</v>
      </c>
      <c r="AR611" t="s">
        <v>123</v>
      </c>
      <c r="AS611" t="s">
        <v>124</v>
      </c>
      <c r="AT611" t="s">
        <v>58</v>
      </c>
      <c r="AU611" t="s">
        <v>68</v>
      </c>
      <c r="AV611" t="s">
        <v>69</v>
      </c>
      <c r="AW611" s="1">
        <v>26073</v>
      </c>
      <c r="AX611">
        <v>2</v>
      </c>
    </row>
    <row r="612" spans="1:50">
      <c r="A612">
        <v>179284</v>
      </c>
      <c r="B612" t="str">
        <f>"030221089"</f>
        <v>030221089</v>
      </c>
      <c r="C612" t="s">
        <v>50</v>
      </c>
      <c r="D612" t="s">
        <v>1699</v>
      </c>
      <c r="E612" t="s">
        <v>1553</v>
      </c>
      <c r="F612" t="s">
        <v>315</v>
      </c>
      <c r="G612" t="s">
        <v>83</v>
      </c>
      <c r="H612" t="str">
        <f>"ΓΑΛΥΠΕ  ΗΡΑΚΛΕΙΟΥ"</f>
        <v>ΓΑΛΥΠΕ  ΗΡΑΚΛΕΙΟΥ</v>
      </c>
      <c r="I612">
        <v>70008</v>
      </c>
      <c r="J612">
        <v>2810232199</v>
      </c>
      <c r="K612">
        <v>6944251455</v>
      </c>
      <c r="M612" t="s">
        <v>1700</v>
      </c>
      <c r="N612" t="s">
        <v>146</v>
      </c>
      <c r="O612" t="s">
        <v>147</v>
      </c>
      <c r="R612" t="s">
        <v>57</v>
      </c>
      <c r="S612">
        <v>11</v>
      </c>
      <c r="T612">
        <v>164</v>
      </c>
      <c r="U612" s="1">
        <v>36040</v>
      </c>
      <c r="V612" t="s">
        <v>123</v>
      </c>
      <c r="W612" t="s">
        <v>124</v>
      </c>
      <c r="X612" t="s">
        <v>58</v>
      </c>
      <c r="Y612">
        <v>18</v>
      </c>
      <c r="Z612" t="s">
        <v>59</v>
      </c>
      <c r="AA612" t="s">
        <v>59</v>
      </c>
      <c r="AB612" t="s">
        <v>59</v>
      </c>
      <c r="AC612" t="s">
        <v>59</v>
      </c>
      <c r="AD612" t="s">
        <v>59</v>
      </c>
      <c r="AF612" s="1">
        <v>36042</v>
      </c>
      <c r="AG612" t="s">
        <v>148</v>
      </c>
      <c r="AH612" t="s">
        <v>149</v>
      </c>
      <c r="AI612" t="str">
        <f>"1751052"</f>
        <v>1751052</v>
      </c>
      <c r="AJ612" t="s">
        <v>328</v>
      </c>
      <c r="AK612">
        <v>2810213762</v>
      </c>
      <c r="AL612" t="s">
        <v>329</v>
      </c>
      <c r="AM612" t="s">
        <v>78</v>
      </c>
      <c r="AN612" t="s">
        <v>78</v>
      </c>
      <c r="AO612" t="s">
        <v>78</v>
      </c>
      <c r="AP612" t="s">
        <v>163</v>
      </c>
      <c r="AQ612">
        <v>8</v>
      </c>
      <c r="AR612" t="s">
        <v>123</v>
      </c>
      <c r="AS612" t="s">
        <v>124</v>
      </c>
      <c r="AT612" t="s">
        <v>58</v>
      </c>
      <c r="AU612" t="s">
        <v>68</v>
      </c>
      <c r="AV612" t="s">
        <v>357</v>
      </c>
      <c r="AW612" s="1">
        <v>24556</v>
      </c>
      <c r="AX612">
        <v>2</v>
      </c>
    </row>
    <row r="613" spans="1:50">
      <c r="A613">
        <v>195787</v>
      </c>
      <c r="B613" t="str">
        <f>"070953793"</f>
        <v>070953793</v>
      </c>
      <c r="C613" t="s">
        <v>50</v>
      </c>
      <c r="D613" t="s">
        <v>1699</v>
      </c>
      <c r="E613" t="s">
        <v>250</v>
      </c>
      <c r="F613" t="s">
        <v>106</v>
      </c>
      <c r="G613" t="s">
        <v>83</v>
      </c>
      <c r="H613" t="str">
        <f>"ΓΟΥΡΝΕΣ ΓΟΥΡΝΕΣ"</f>
        <v>ΓΟΥΡΝΕΣ ΓΟΥΡΝΕΣ</v>
      </c>
      <c r="I613">
        <v>71500</v>
      </c>
      <c r="J613">
        <v>2810221252</v>
      </c>
      <c r="K613">
        <v>6976806562</v>
      </c>
      <c r="M613" t="s">
        <v>1701</v>
      </c>
      <c r="N613" t="s">
        <v>306</v>
      </c>
      <c r="O613" t="s">
        <v>307</v>
      </c>
      <c r="R613" t="s">
        <v>57</v>
      </c>
      <c r="S613">
        <v>10</v>
      </c>
      <c r="T613">
        <v>194</v>
      </c>
      <c r="U613" s="1">
        <v>37497</v>
      </c>
      <c r="V613" t="s">
        <v>123</v>
      </c>
      <c r="W613" t="s">
        <v>124</v>
      </c>
      <c r="X613" t="s">
        <v>58</v>
      </c>
      <c r="Y613">
        <v>20</v>
      </c>
      <c r="Z613" t="s">
        <v>59</v>
      </c>
      <c r="AA613" t="s">
        <v>59</v>
      </c>
      <c r="AB613" t="s">
        <v>59</v>
      </c>
      <c r="AC613" t="s">
        <v>59</v>
      </c>
      <c r="AD613" t="s">
        <v>59</v>
      </c>
      <c r="AF613" s="1">
        <v>37501</v>
      </c>
      <c r="AG613" t="s">
        <v>125</v>
      </c>
      <c r="AH613" t="s">
        <v>126</v>
      </c>
      <c r="AI613" t="str">
        <f>"1714012"</f>
        <v>1714012</v>
      </c>
      <c r="AJ613" t="s">
        <v>633</v>
      </c>
      <c r="AK613">
        <v>2810762261</v>
      </c>
      <c r="AL613" t="s">
        <v>634</v>
      </c>
      <c r="AM613" t="s">
        <v>78</v>
      </c>
      <c r="AN613" t="s">
        <v>219</v>
      </c>
      <c r="AO613" t="s">
        <v>297</v>
      </c>
      <c r="AP613" t="s">
        <v>297</v>
      </c>
      <c r="AQ613">
        <v>37</v>
      </c>
      <c r="AR613" t="s">
        <v>123</v>
      </c>
      <c r="AS613" t="s">
        <v>124</v>
      </c>
      <c r="AT613" t="s">
        <v>58</v>
      </c>
      <c r="AU613" t="s">
        <v>68</v>
      </c>
      <c r="AV613" t="s">
        <v>69</v>
      </c>
      <c r="AW613" s="1">
        <v>28434</v>
      </c>
      <c r="AX613">
        <v>2</v>
      </c>
    </row>
    <row r="614" spans="1:50">
      <c r="A614">
        <v>190826</v>
      </c>
      <c r="B614" t="str">
        <f>"072527787"</f>
        <v>072527787</v>
      </c>
      <c r="C614" t="s">
        <v>50</v>
      </c>
      <c r="D614" t="s">
        <v>1699</v>
      </c>
      <c r="E614" t="s">
        <v>215</v>
      </c>
      <c r="F614" t="s">
        <v>154</v>
      </c>
      <c r="G614" t="s">
        <v>83</v>
      </c>
      <c r="H614" t="str">
        <f>"ΗΓΟΥΜΕΝΟΥ ΓΑΒΡΙΗΛ 16-18 ΗΡΑΚΛΕΙΟ"</f>
        <v>ΗΓΟΥΜΕΝΟΥ ΓΑΒΡΙΗΛ 16-18 ΗΡΑΚΛΕΙΟ</v>
      </c>
      <c r="I614">
        <v>71305</v>
      </c>
      <c r="J614">
        <v>2810257070</v>
      </c>
      <c r="K614">
        <v>6946435785</v>
      </c>
      <c r="N614" t="s">
        <v>204</v>
      </c>
      <c r="O614" t="s">
        <v>205</v>
      </c>
      <c r="P614" t="s">
        <v>232</v>
      </c>
      <c r="Q614" t="s">
        <v>233</v>
      </c>
      <c r="R614" t="s">
        <v>57</v>
      </c>
      <c r="S614">
        <v>10</v>
      </c>
      <c r="T614">
        <v>219</v>
      </c>
      <c r="U614" s="1">
        <v>37134</v>
      </c>
      <c r="V614" t="s">
        <v>123</v>
      </c>
      <c r="W614" t="s">
        <v>124</v>
      </c>
      <c r="X614" t="s">
        <v>58</v>
      </c>
      <c r="Y614">
        <v>20</v>
      </c>
      <c r="Z614" t="s">
        <v>59</v>
      </c>
      <c r="AA614" t="s">
        <v>59</v>
      </c>
      <c r="AB614" t="s">
        <v>59</v>
      </c>
      <c r="AC614" t="s">
        <v>59</v>
      </c>
      <c r="AD614" t="s">
        <v>59</v>
      </c>
      <c r="AF614" s="1">
        <v>37134</v>
      </c>
      <c r="AG614" t="s">
        <v>137</v>
      </c>
      <c r="AH614" t="s">
        <v>138</v>
      </c>
      <c r="AI614" t="str">
        <f>"1740210"</f>
        <v>1740210</v>
      </c>
      <c r="AJ614" t="s">
        <v>139</v>
      </c>
      <c r="AK614">
        <v>2810318130</v>
      </c>
      <c r="AL614" t="s">
        <v>140</v>
      </c>
      <c r="AM614" t="s">
        <v>78</v>
      </c>
      <c r="AN614" t="s">
        <v>78</v>
      </c>
      <c r="AO614" t="s">
        <v>78</v>
      </c>
      <c r="AP614" t="s">
        <v>141</v>
      </c>
      <c r="AQ614">
        <v>7</v>
      </c>
      <c r="AR614" t="s">
        <v>123</v>
      </c>
      <c r="AS614" t="s">
        <v>124</v>
      </c>
      <c r="AT614" t="s">
        <v>58</v>
      </c>
      <c r="AU614" t="s">
        <v>68</v>
      </c>
      <c r="AV614" t="s">
        <v>69</v>
      </c>
      <c r="AW614" s="1">
        <v>25691</v>
      </c>
      <c r="AX614">
        <v>2</v>
      </c>
    </row>
    <row r="615" spans="1:50">
      <c r="B615" t="str">
        <f>"104903188"</f>
        <v>104903188</v>
      </c>
      <c r="C615" t="s">
        <v>50</v>
      </c>
      <c r="D615" t="s">
        <v>1702</v>
      </c>
      <c r="E615" t="s">
        <v>1207</v>
      </c>
      <c r="F615" t="s">
        <v>72</v>
      </c>
      <c r="G615" t="s">
        <v>237</v>
      </c>
      <c r="H615" t="str">
        <f>"ΤΥΜΠΑΚΙ ΤΥΜΠΑΚΙ"</f>
        <v>ΤΥΜΠΑΚΙ ΤΥΜΠΑΚΙ</v>
      </c>
      <c r="I615">
        <v>70200</v>
      </c>
      <c r="J615">
        <v>2892052049</v>
      </c>
      <c r="K615">
        <v>6937010901</v>
      </c>
      <c r="M615" t="s">
        <v>1703</v>
      </c>
      <c r="N615" t="s">
        <v>146</v>
      </c>
      <c r="O615" t="s">
        <v>147</v>
      </c>
      <c r="R615" t="s">
        <v>159</v>
      </c>
      <c r="S615">
        <v>4</v>
      </c>
      <c r="T615" t="s">
        <v>416</v>
      </c>
      <c r="U615" s="1">
        <v>43349</v>
      </c>
      <c r="V615" t="s">
        <v>123</v>
      </c>
      <c r="W615" t="s">
        <v>124</v>
      </c>
      <c r="X615" t="s">
        <v>58</v>
      </c>
      <c r="Y615">
        <v>21</v>
      </c>
      <c r="Z615" t="s">
        <v>59</v>
      </c>
      <c r="AA615" t="s">
        <v>59</v>
      </c>
      <c r="AB615" t="s">
        <v>59</v>
      </c>
      <c r="AC615" t="s">
        <v>59</v>
      </c>
      <c r="AD615" t="s">
        <v>59</v>
      </c>
      <c r="AF615" s="1">
        <v>43349</v>
      </c>
      <c r="AG615" t="s">
        <v>125</v>
      </c>
      <c r="AH615" t="s">
        <v>126</v>
      </c>
      <c r="AI615" t="str">
        <f>"1713010"</f>
        <v>1713010</v>
      </c>
      <c r="AJ615" t="s">
        <v>369</v>
      </c>
      <c r="AK615">
        <v>2892051686</v>
      </c>
      <c r="AL615" t="s">
        <v>370</v>
      </c>
      <c r="AM615" t="s">
        <v>78</v>
      </c>
      <c r="AN615" t="s">
        <v>242</v>
      </c>
      <c r="AO615" t="s">
        <v>349</v>
      </c>
      <c r="AP615" t="s">
        <v>349</v>
      </c>
      <c r="AQ615">
        <v>35</v>
      </c>
      <c r="AR615" t="s">
        <v>123</v>
      </c>
      <c r="AS615" t="s">
        <v>124</v>
      </c>
      <c r="AT615" t="s">
        <v>58</v>
      </c>
      <c r="AU615" t="s">
        <v>419</v>
      </c>
      <c r="AV615" t="s">
        <v>132</v>
      </c>
      <c r="AW615" s="1">
        <v>27981</v>
      </c>
      <c r="AX615">
        <v>2</v>
      </c>
    </row>
    <row r="616" spans="1:50">
      <c r="A616">
        <v>223912</v>
      </c>
      <c r="B616" t="str">
        <f>"070530110"</f>
        <v>070530110</v>
      </c>
      <c r="C616" t="s">
        <v>50</v>
      </c>
      <c r="D616" t="s">
        <v>1704</v>
      </c>
      <c r="E616" t="s">
        <v>671</v>
      </c>
      <c r="F616" t="s">
        <v>1705</v>
      </c>
      <c r="G616" t="s">
        <v>476</v>
      </c>
      <c r="H616" t="str">
        <f>"ΧΑΙΡΙΑΝΩΝ 11 ΚΑΛΑΜΑΡΙΑ"</f>
        <v>ΧΑΙΡΙΑΝΩΝ 11 ΚΑΛΑΜΑΡΙΑ</v>
      </c>
      <c r="I616">
        <v>55133</v>
      </c>
      <c r="J616">
        <v>2311211220</v>
      </c>
      <c r="K616">
        <v>6974096830</v>
      </c>
      <c r="M616" t="s">
        <v>1706</v>
      </c>
      <c r="N616" t="s">
        <v>478</v>
      </c>
      <c r="O616" t="s">
        <v>479</v>
      </c>
      <c r="P616" t="s">
        <v>189</v>
      </c>
      <c r="Q616" t="s">
        <v>190</v>
      </c>
      <c r="R616" t="s">
        <v>57</v>
      </c>
      <c r="S616">
        <v>4</v>
      </c>
      <c r="T616">
        <v>775</v>
      </c>
      <c r="U616" s="1">
        <v>39680</v>
      </c>
      <c r="V616" t="s">
        <v>123</v>
      </c>
      <c r="W616" t="s">
        <v>124</v>
      </c>
      <c r="X616" t="s">
        <v>58</v>
      </c>
      <c r="Y616">
        <v>21</v>
      </c>
      <c r="Z616" t="s">
        <v>59</v>
      </c>
      <c r="AA616" t="s">
        <v>59</v>
      </c>
      <c r="AB616" t="s">
        <v>59</v>
      </c>
      <c r="AC616" t="s">
        <v>59</v>
      </c>
      <c r="AD616" t="s">
        <v>59</v>
      </c>
      <c r="AF616" s="1">
        <v>39682</v>
      </c>
      <c r="AG616" t="s">
        <v>125</v>
      </c>
      <c r="AH616" t="s">
        <v>126</v>
      </c>
      <c r="AI616" t="str">
        <f>"1706010"</f>
        <v>1706010</v>
      </c>
      <c r="AJ616" t="s">
        <v>391</v>
      </c>
      <c r="AK616">
        <v>2892022286</v>
      </c>
      <c r="AL616" t="s">
        <v>392</v>
      </c>
      <c r="AM616" t="s">
        <v>78</v>
      </c>
      <c r="AN616" t="s">
        <v>242</v>
      </c>
      <c r="AO616" t="s">
        <v>243</v>
      </c>
      <c r="AP616" t="s">
        <v>243</v>
      </c>
      <c r="AQ616">
        <v>33</v>
      </c>
      <c r="AR616" t="s">
        <v>123</v>
      </c>
      <c r="AS616" t="s">
        <v>124</v>
      </c>
      <c r="AT616" t="s">
        <v>58</v>
      </c>
      <c r="AU616" t="s">
        <v>68</v>
      </c>
      <c r="AV616" t="s">
        <v>69</v>
      </c>
      <c r="AW616" s="1">
        <v>29475</v>
      </c>
      <c r="AX616">
        <v>2</v>
      </c>
    </row>
    <row r="617" spans="1:50">
      <c r="A617">
        <v>137959</v>
      </c>
      <c r="B617" t="str">
        <f>"026798693"</f>
        <v>026798693</v>
      </c>
      <c r="C617" t="s">
        <v>105</v>
      </c>
      <c r="D617" t="s">
        <v>1707</v>
      </c>
      <c r="E617" t="s">
        <v>72</v>
      </c>
      <c r="F617" t="s">
        <v>99</v>
      </c>
      <c r="G617" t="s">
        <v>476</v>
      </c>
      <c r="H617" t="str">
        <f>"ΠΑΡΟΔΟΣ ΙΚΑΡΟΥ 28 ΝΕΑ ΑΛΙΚΑΡΝΑΣΣΟΣ"</f>
        <v>ΠΑΡΟΔΟΣ ΙΚΑΡΟΥ 28 ΝΕΑ ΑΛΙΚΑΡΝΑΣΣΟΣ</v>
      </c>
      <c r="I617">
        <v>71601</v>
      </c>
      <c r="J617">
        <v>2810241674</v>
      </c>
      <c r="K617">
        <v>6976885810</v>
      </c>
      <c r="M617" t="s">
        <v>1708</v>
      </c>
      <c r="N617" t="s">
        <v>292</v>
      </c>
      <c r="O617" t="s">
        <v>293</v>
      </c>
      <c r="R617" t="s">
        <v>57</v>
      </c>
      <c r="S617">
        <v>19</v>
      </c>
      <c r="T617">
        <v>271</v>
      </c>
      <c r="U617" s="1">
        <v>30195</v>
      </c>
      <c r="V617" t="s">
        <v>123</v>
      </c>
      <c r="W617" t="s">
        <v>124</v>
      </c>
      <c r="X617" t="s">
        <v>58</v>
      </c>
      <c r="Y617">
        <v>18</v>
      </c>
      <c r="Z617" t="s">
        <v>59</v>
      </c>
      <c r="AA617" t="s">
        <v>59</v>
      </c>
      <c r="AB617" t="s">
        <v>59</v>
      </c>
      <c r="AC617" t="s">
        <v>59</v>
      </c>
      <c r="AD617" t="s">
        <v>59</v>
      </c>
      <c r="AF617" s="1">
        <v>30207</v>
      </c>
      <c r="AG617" t="s">
        <v>148</v>
      </c>
      <c r="AH617" t="s">
        <v>149</v>
      </c>
      <c r="AI617" t="str">
        <f>"1777010"</f>
        <v>1777010</v>
      </c>
      <c r="AJ617" t="s">
        <v>612</v>
      </c>
      <c r="AK617">
        <v>2810229220</v>
      </c>
      <c r="AL617" t="s">
        <v>613</v>
      </c>
      <c r="AM617" t="s">
        <v>78</v>
      </c>
      <c r="AN617" t="s">
        <v>78</v>
      </c>
      <c r="AO617" t="s">
        <v>286</v>
      </c>
      <c r="AP617" t="s">
        <v>286</v>
      </c>
      <c r="AQ617">
        <v>12</v>
      </c>
      <c r="AR617" t="s">
        <v>123</v>
      </c>
      <c r="AS617" t="s">
        <v>124</v>
      </c>
      <c r="AT617" t="s">
        <v>58</v>
      </c>
      <c r="AU617" t="s">
        <v>68</v>
      </c>
      <c r="AV617" t="s">
        <v>69</v>
      </c>
      <c r="AW617" s="1">
        <v>20076</v>
      </c>
      <c r="AX617">
        <v>2</v>
      </c>
    </row>
    <row r="618" spans="1:50">
      <c r="A618">
        <v>187505</v>
      </c>
      <c r="B618" t="str">
        <f>"034948294"</f>
        <v>034948294</v>
      </c>
      <c r="C618" t="s">
        <v>50</v>
      </c>
      <c r="D618" t="s">
        <v>1709</v>
      </c>
      <c r="E618" t="s">
        <v>809</v>
      </c>
      <c r="F618" t="s">
        <v>450</v>
      </c>
      <c r="G618" t="s">
        <v>658</v>
      </c>
      <c r="H618" t="str">
        <f>"ΕΛΕΥΘΕΡΙΟΥ ΒΕΝΙΖΕΛΟΥ 190 ΓΑΖΙ"</f>
        <v>ΕΛΕΥΘΕΡΙΟΥ ΒΕΝΙΖΕΛΟΥ 190 ΓΑΖΙ</v>
      </c>
      <c r="I618">
        <v>71414</v>
      </c>
      <c r="J618">
        <v>2810823579</v>
      </c>
      <c r="K618">
        <v>6946895115</v>
      </c>
      <c r="L618">
        <v>2810823068</v>
      </c>
      <c r="N618" t="s">
        <v>587</v>
      </c>
      <c r="O618" t="s">
        <v>588</v>
      </c>
      <c r="P618" t="s">
        <v>1710</v>
      </c>
      <c r="Q618" t="s">
        <v>1711</v>
      </c>
      <c r="R618" t="s">
        <v>57</v>
      </c>
      <c r="S618">
        <v>11</v>
      </c>
      <c r="T618">
        <v>251</v>
      </c>
      <c r="U618" s="1">
        <v>36769</v>
      </c>
      <c r="V618" t="s">
        <v>123</v>
      </c>
      <c r="W618" t="s">
        <v>124</v>
      </c>
      <c r="X618" t="s">
        <v>58</v>
      </c>
      <c r="Y618">
        <v>18</v>
      </c>
      <c r="Z618" t="s">
        <v>59</v>
      </c>
      <c r="AA618" t="s">
        <v>59</v>
      </c>
      <c r="AB618" t="s">
        <v>59</v>
      </c>
      <c r="AC618" t="s">
        <v>59</v>
      </c>
      <c r="AD618" t="s">
        <v>59</v>
      </c>
      <c r="AF618" s="1">
        <v>36770</v>
      </c>
      <c r="AG618" t="s">
        <v>137</v>
      </c>
      <c r="AH618" t="s">
        <v>138</v>
      </c>
      <c r="AI618" t="str">
        <f>"1740210"</f>
        <v>1740210</v>
      </c>
      <c r="AJ618" t="s">
        <v>139</v>
      </c>
      <c r="AK618">
        <v>2810318130</v>
      </c>
      <c r="AL618" t="s">
        <v>140</v>
      </c>
      <c r="AM618" t="s">
        <v>78</v>
      </c>
      <c r="AN618" t="s">
        <v>78</v>
      </c>
      <c r="AO618" t="s">
        <v>78</v>
      </c>
      <c r="AP618" t="s">
        <v>141</v>
      </c>
      <c r="AQ618">
        <v>7</v>
      </c>
      <c r="AR618" t="s">
        <v>123</v>
      </c>
      <c r="AS618" t="s">
        <v>124</v>
      </c>
      <c r="AT618" t="s">
        <v>58</v>
      </c>
      <c r="AU618" t="s">
        <v>68</v>
      </c>
      <c r="AV618" t="s">
        <v>69</v>
      </c>
      <c r="AW618" s="1">
        <v>23839</v>
      </c>
      <c r="AX618">
        <v>2</v>
      </c>
    </row>
    <row r="619" spans="1:50">
      <c r="A619">
        <v>175408</v>
      </c>
      <c r="B619" t="str">
        <f>"037783568"</f>
        <v>037783568</v>
      </c>
      <c r="C619" t="s">
        <v>50</v>
      </c>
      <c r="D619" t="s">
        <v>1712</v>
      </c>
      <c r="E619" t="s">
        <v>1713</v>
      </c>
      <c r="F619" t="s">
        <v>900</v>
      </c>
      <c r="G619" t="s">
        <v>280</v>
      </c>
      <c r="H619" t="str">
        <f>"ΦΩΤΑΚΗ 5 "</f>
        <v xml:space="preserve">ΦΩΤΑΚΗ 5 </v>
      </c>
      <c r="I619">
        <v>71306</v>
      </c>
      <c r="J619">
        <v>2810324021</v>
      </c>
      <c r="K619">
        <v>6974067667</v>
      </c>
      <c r="M619" t="s">
        <v>1714</v>
      </c>
      <c r="N619" t="s">
        <v>146</v>
      </c>
      <c r="O619" t="s">
        <v>147</v>
      </c>
      <c r="R619" t="s">
        <v>57</v>
      </c>
      <c r="S619">
        <v>12</v>
      </c>
      <c r="T619">
        <v>180</v>
      </c>
      <c r="U619" s="1">
        <v>35674</v>
      </c>
      <c r="V619" t="s">
        <v>123</v>
      </c>
      <c r="W619" t="s">
        <v>124</v>
      </c>
      <c r="X619" t="s">
        <v>58</v>
      </c>
      <c r="Y619">
        <v>18</v>
      </c>
      <c r="Z619" t="s">
        <v>59</v>
      </c>
      <c r="AA619" t="s">
        <v>59</v>
      </c>
      <c r="AB619" t="s">
        <v>59</v>
      </c>
      <c r="AC619" t="s">
        <v>59</v>
      </c>
      <c r="AD619" t="s">
        <v>59</v>
      </c>
      <c r="AF619" s="1">
        <v>35678</v>
      </c>
      <c r="AG619" t="s">
        <v>125</v>
      </c>
      <c r="AH619" t="s">
        <v>126</v>
      </c>
      <c r="AI619" t="str">
        <f>"1726010"</f>
        <v>1726010</v>
      </c>
      <c r="AJ619" t="s">
        <v>265</v>
      </c>
      <c r="AK619">
        <v>2810831228</v>
      </c>
      <c r="AL619" t="s">
        <v>266</v>
      </c>
      <c r="AM619" t="s">
        <v>78</v>
      </c>
      <c r="AN619" t="s">
        <v>129</v>
      </c>
      <c r="AO619" t="s">
        <v>267</v>
      </c>
      <c r="AP619" t="s">
        <v>267</v>
      </c>
      <c r="AQ619">
        <v>27</v>
      </c>
      <c r="AR619" t="s">
        <v>123</v>
      </c>
      <c r="AS619" t="s">
        <v>124</v>
      </c>
      <c r="AT619" t="s">
        <v>58</v>
      </c>
      <c r="AU619" t="s">
        <v>68</v>
      </c>
      <c r="AV619" t="s">
        <v>69</v>
      </c>
      <c r="AW619" s="1">
        <v>23848</v>
      </c>
      <c r="AX619">
        <v>2</v>
      </c>
    </row>
    <row r="620" spans="1:50">
      <c r="A620">
        <v>162975</v>
      </c>
      <c r="B620" t="str">
        <f>"036233708"</f>
        <v>036233708</v>
      </c>
      <c r="C620" t="s">
        <v>50</v>
      </c>
      <c r="D620" t="s">
        <v>1715</v>
      </c>
      <c r="E620" t="s">
        <v>83</v>
      </c>
      <c r="F620" t="s">
        <v>1716</v>
      </c>
      <c r="G620" t="s">
        <v>52</v>
      </c>
      <c r="H620" t="str">
        <f>" "</f>
        <v xml:space="preserve"> </v>
      </c>
      <c r="M620" t="s">
        <v>1717</v>
      </c>
      <c r="N620" t="s">
        <v>683</v>
      </c>
      <c r="O620" t="s">
        <v>684</v>
      </c>
      <c r="R620" t="s">
        <v>57</v>
      </c>
      <c r="S620">
        <v>13</v>
      </c>
      <c r="T620">
        <v>132</v>
      </c>
      <c r="U620" s="1">
        <v>33456</v>
      </c>
      <c r="V620" t="s">
        <v>123</v>
      </c>
      <c r="W620" t="s">
        <v>124</v>
      </c>
      <c r="X620" t="s">
        <v>58</v>
      </c>
      <c r="Y620">
        <v>18</v>
      </c>
      <c r="Z620" t="s">
        <v>59</v>
      </c>
      <c r="AA620" t="s">
        <v>59</v>
      </c>
      <c r="AB620" t="s">
        <v>59</v>
      </c>
      <c r="AC620" t="s">
        <v>59</v>
      </c>
      <c r="AD620" t="s">
        <v>59</v>
      </c>
      <c r="AF620" s="1">
        <v>33485</v>
      </c>
      <c r="AG620" t="s">
        <v>125</v>
      </c>
      <c r="AH620" t="s">
        <v>126</v>
      </c>
      <c r="AI620" t="str">
        <f>"1701040"</f>
        <v>1701040</v>
      </c>
      <c r="AJ620" t="s">
        <v>748</v>
      </c>
      <c r="AK620">
        <v>2810252459</v>
      </c>
      <c r="AL620" t="s">
        <v>749</v>
      </c>
      <c r="AM620" t="s">
        <v>78</v>
      </c>
      <c r="AN620" t="s">
        <v>78</v>
      </c>
      <c r="AO620" t="s">
        <v>78</v>
      </c>
      <c r="AP620" t="s">
        <v>141</v>
      </c>
      <c r="AQ620">
        <v>3</v>
      </c>
      <c r="AR620" t="s">
        <v>123</v>
      </c>
      <c r="AS620" t="s">
        <v>124</v>
      </c>
      <c r="AT620" t="s">
        <v>58</v>
      </c>
      <c r="AU620" t="s">
        <v>68</v>
      </c>
      <c r="AV620" t="s">
        <v>69</v>
      </c>
      <c r="AW620" s="1">
        <v>24108</v>
      </c>
      <c r="AX620">
        <v>2</v>
      </c>
    </row>
    <row r="621" spans="1:50">
      <c r="A621">
        <v>145411</v>
      </c>
      <c r="B621" t="str">
        <f>"110123397"</f>
        <v>110123397</v>
      </c>
      <c r="C621" t="s">
        <v>50</v>
      </c>
      <c r="D621" t="s">
        <v>1715</v>
      </c>
      <c r="E621" t="s">
        <v>1718</v>
      </c>
      <c r="F621" t="s">
        <v>383</v>
      </c>
      <c r="G621" t="s">
        <v>396</v>
      </c>
      <c r="H621" t="str">
        <f>"ΑΛ. ΡΑΥΤΟΠΟΥΛΟΥ 32 ΗΡΑΚΛΕΙΟ"</f>
        <v>ΑΛ. ΡΑΥΤΟΠΟΥΛΟΥ 32 ΗΡΑΚΛΕΙΟ</v>
      </c>
      <c r="I621">
        <v>71305</v>
      </c>
      <c r="J621">
        <v>492115664469</v>
      </c>
      <c r="K621">
        <v>491625400594</v>
      </c>
      <c r="N621" t="s">
        <v>146</v>
      </c>
      <c r="O621" t="s">
        <v>147</v>
      </c>
      <c r="R621" t="s">
        <v>57</v>
      </c>
      <c r="S621">
        <v>17</v>
      </c>
      <c r="T621">
        <v>237</v>
      </c>
      <c r="U621" s="1">
        <v>31293</v>
      </c>
      <c r="V621" t="s">
        <v>123</v>
      </c>
      <c r="W621" t="s">
        <v>124</v>
      </c>
      <c r="X621" t="s">
        <v>58</v>
      </c>
      <c r="Y621">
        <v>18</v>
      </c>
      <c r="Z621" t="s">
        <v>59</v>
      </c>
      <c r="AA621" t="s">
        <v>59</v>
      </c>
      <c r="AB621" t="s">
        <v>59</v>
      </c>
      <c r="AC621" t="s">
        <v>59</v>
      </c>
      <c r="AD621" t="s">
        <v>59</v>
      </c>
      <c r="AF621" s="1">
        <v>31303</v>
      </c>
      <c r="AG621" t="s">
        <v>148</v>
      </c>
      <c r="AH621" t="s">
        <v>149</v>
      </c>
      <c r="AI621" t="str">
        <f>"1751020"</f>
        <v>1751020</v>
      </c>
      <c r="AJ621" t="s">
        <v>532</v>
      </c>
      <c r="AK621">
        <v>2810372732</v>
      </c>
      <c r="AL621" t="s">
        <v>533</v>
      </c>
      <c r="AM621" t="s">
        <v>78</v>
      </c>
      <c r="AN621" t="s">
        <v>78</v>
      </c>
      <c r="AO621" t="s">
        <v>78</v>
      </c>
      <c r="AP621" t="s">
        <v>163</v>
      </c>
      <c r="AQ621">
        <v>3</v>
      </c>
      <c r="AR621" t="s">
        <v>123</v>
      </c>
      <c r="AS621" t="s">
        <v>124</v>
      </c>
      <c r="AT621" t="s">
        <v>58</v>
      </c>
      <c r="AU621" t="s">
        <v>68</v>
      </c>
      <c r="AV621" t="s">
        <v>69</v>
      </c>
      <c r="AW621" s="1">
        <v>21751</v>
      </c>
      <c r="AX621">
        <v>2</v>
      </c>
    </row>
    <row r="622" spans="1:50">
      <c r="A622">
        <v>205701</v>
      </c>
      <c r="B622" t="str">
        <f>"066316088"</f>
        <v>066316088</v>
      </c>
      <c r="C622" t="s">
        <v>50</v>
      </c>
      <c r="D622" t="s">
        <v>1719</v>
      </c>
      <c r="E622" t="s">
        <v>460</v>
      </c>
      <c r="F622" t="s">
        <v>1720</v>
      </c>
      <c r="G622" t="s">
        <v>191</v>
      </c>
      <c r="H622" t="str">
        <f>"ΠΛΑΤΑΝΟΣ "</f>
        <v xml:space="preserve">ΠΛΑΤΑΝΟΣ </v>
      </c>
      <c r="I622">
        <v>70012</v>
      </c>
      <c r="J622">
        <v>2892031443</v>
      </c>
      <c r="K622">
        <v>6972778848</v>
      </c>
      <c r="M622" t="s">
        <v>1721</v>
      </c>
      <c r="N622" t="s">
        <v>204</v>
      </c>
      <c r="O622" t="s">
        <v>205</v>
      </c>
      <c r="R622" t="s">
        <v>57</v>
      </c>
      <c r="S622">
        <v>7</v>
      </c>
      <c r="T622">
        <v>231</v>
      </c>
      <c r="U622" s="1">
        <v>38230</v>
      </c>
      <c r="V622" t="s">
        <v>123</v>
      </c>
      <c r="W622" t="s">
        <v>124</v>
      </c>
      <c r="X622" t="s">
        <v>58</v>
      </c>
      <c r="Y622">
        <v>20</v>
      </c>
      <c r="Z622" t="s">
        <v>59</v>
      </c>
      <c r="AA622" t="s">
        <v>59</v>
      </c>
      <c r="AB622" t="s">
        <v>59</v>
      </c>
      <c r="AC622" t="s">
        <v>59</v>
      </c>
      <c r="AD622" t="s">
        <v>59</v>
      </c>
      <c r="AF622" s="1">
        <v>38232</v>
      </c>
      <c r="AG622" t="s">
        <v>125</v>
      </c>
      <c r="AH622" t="s">
        <v>126</v>
      </c>
      <c r="AI622" t="str">
        <f>"1713010"</f>
        <v>1713010</v>
      </c>
      <c r="AJ622" t="s">
        <v>369</v>
      </c>
      <c r="AK622">
        <v>2892051686</v>
      </c>
      <c r="AL622" t="s">
        <v>370</v>
      </c>
      <c r="AM622" t="s">
        <v>78</v>
      </c>
      <c r="AN622" t="s">
        <v>242</v>
      </c>
      <c r="AO622" t="s">
        <v>349</v>
      </c>
      <c r="AP622" t="s">
        <v>349</v>
      </c>
      <c r="AQ622">
        <v>35</v>
      </c>
      <c r="AR622" t="s">
        <v>123</v>
      </c>
      <c r="AS622" t="s">
        <v>124</v>
      </c>
      <c r="AT622" t="s">
        <v>58</v>
      </c>
      <c r="AU622" t="s">
        <v>68</v>
      </c>
      <c r="AV622" t="s">
        <v>69</v>
      </c>
      <c r="AW622" s="1">
        <v>29665</v>
      </c>
      <c r="AX622">
        <v>2</v>
      </c>
    </row>
    <row r="623" spans="1:50">
      <c r="B623" t="str">
        <f>"155394734"</f>
        <v>155394734</v>
      </c>
      <c r="C623" t="s">
        <v>50</v>
      </c>
      <c r="D623" t="s">
        <v>1722</v>
      </c>
      <c r="E623" t="s">
        <v>255</v>
      </c>
      <c r="F623" t="s">
        <v>92</v>
      </c>
      <c r="G623" t="s">
        <v>566</v>
      </c>
      <c r="H623" t="str">
        <f>" "</f>
        <v xml:space="preserve"> </v>
      </c>
      <c r="N623" t="s">
        <v>536</v>
      </c>
      <c r="O623" t="s">
        <v>537</v>
      </c>
      <c r="R623" t="s">
        <v>121</v>
      </c>
      <c r="S623">
        <v>3</v>
      </c>
      <c r="T623" t="s">
        <v>122</v>
      </c>
      <c r="U623" s="1">
        <v>43348</v>
      </c>
      <c r="V623" t="s">
        <v>123</v>
      </c>
      <c r="W623" t="s">
        <v>124</v>
      </c>
      <c r="X623" t="s">
        <v>58</v>
      </c>
      <c r="Y623">
        <v>23</v>
      </c>
      <c r="Z623" t="s">
        <v>59</v>
      </c>
      <c r="AA623" t="s">
        <v>59</v>
      </c>
      <c r="AB623" t="s">
        <v>59</v>
      </c>
      <c r="AD623" t="s">
        <v>59</v>
      </c>
      <c r="AF623" s="1">
        <v>43348</v>
      </c>
      <c r="AG623" t="s">
        <v>125</v>
      </c>
      <c r="AH623" t="s">
        <v>126</v>
      </c>
      <c r="AI623" t="str">
        <f>"1701090"</f>
        <v>1701090</v>
      </c>
      <c r="AJ623" t="s">
        <v>435</v>
      </c>
      <c r="AK623">
        <v>2810871288</v>
      </c>
      <c r="AL623" t="s">
        <v>436</v>
      </c>
      <c r="AM623" t="s">
        <v>78</v>
      </c>
      <c r="AN623" t="s">
        <v>78</v>
      </c>
      <c r="AO623" t="s">
        <v>437</v>
      </c>
      <c r="AP623" t="s">
        <v>438</v>
      </c>
      <c r="AQ623">
        <v>26</v>
      </c>
      <c r="AR623" t="s">
        <v>123</v>
      </c>
      <c r="AS623" t="s">
        <v>124</v>
      </c>
      <c r="AT623" t="s">
        <v>58</v>
      </c>
      <c r="AU623" t="s">
        <v>131</v>
      </c>
      <c r="AV623" t="s">
        <v>132</v>
      </c>
      <c r="AW623" s="1">
        <v>33347</v>
      </c>
      <c r="AX623">
        <v>2</v>
      </c>
    </row>
    <row r="624" spans="1:50">
      <c r="B624" t="str">
        <f>"123664523"</f>
        <v>123664523</v>
      </c>
      <c r="C624" t="s">
        <v>50</v>
      </c>
      <c r="D624" t="s">
        <v>1723</v>
      </c>
      <c r="E624" t="s">
        <v>109</v>
      </c>
      <c r="F624" t="s">
        <v>92</v>
      </c>
      <c r="G624" t="s">
        <v>1724</v>
      </c>
      <c r="H624" t="str">
        <f>"ΔΑΜΑΣΚΗΝΟΥ 33 ΗΡΑΚΛΕΙΟ"</f>
        <v>ΔΑΜΑΣΚΗΝΟΥ 33 ΗΡΑΚΛΕΙΟ</v>
      </c>
      <c r="I624">
        <v>71305</v>
      </c>
      <c r="J624">
        <v>2810260673</v>
      </c>
      <c r="K624">
        <v>6945074132</v>
      </c>
      <c r="N624" t="s">
        <v>536</v>
      </c>
      <c r="O624" t="s">
        <v>537</v>
      </c>
      <c r="R624" t="s">
        <v>57</v>
      </c>
      <c r="S624">
        <v>6</v>
      </c>
      <c r="T624" t="s">
        <v>344</v>
      </c>
      <c r="U624" s="1">
        <v>43348</v>
      </c>
      <c r="V624" t="s">
        <v>123</v>
      </c>
      <c r="W624" t="s">
        <v>124</v>
      </c>
      <c r="X624" t="s">
        <v>58</v>
      </c>
      <c r="Y624">
        <v>21</v>
      </c>
      <c r="Z624" t="s">
        <v>59</v>
      </c>
      <c r="AA624" t="s">
        <v>59</v>
      </c>
      <c r="AB624" t="s">
        <v>59</v>
      </c>
      <c r="AC624" t="s">
        <v>59</v>
      </c>
      <c r="AD624" t="s">
        <v>59</v>
      </c>
      <c r="AF624" s="1">
        <v>43348</v>
      </c>
      <c r="AG624" t="s">
        <v>148</v>
      </c>
      <c r="AH624" t="s">
        <v>149</v>
      </c>
      <c r="AI624" t="str">
        <f>"1751052"</f>
        <v>1751052</v>
      </c>
      <c r="AJ624" t="s">
        <v>328</v>
      </c>
      <c r="AK624">
        <v>2810213762</v>
      </c>
      <c r="AL624" t="s">
        <v>329</v>
      </c>
      <c r="AM624" t="s">
        <v>78</v>
      </c>
      <c r="AN624" t="s">
        <v>78</v>
      </c>
      <c r="AO624" t="s">
        <v>78</v>
      </c>
      <c r="AP624" t="s">
        <v>163</v>
      </c>
      <c r="AQ624">
        <v>8</v>
      </c>
      <c r="AR624" t="s">
        <v>123</v>
      </c>
      <c r="AS624" t="s">
        <v>124</v>
      </c>
      <c r="AT624" t="s">
        <v>58</v>
      </c>
      <c r="AU624" t="s">
        <v>350</v>
      </c>
      <c r="AV624" t="s">
        <v>132</v>
      </c>
      <c r="AW624" s="1">
        <v>30256</v>
      </c>
      <c r="AX624">
        <v>2</v>
      </c>
    </row>
    <row r="625" spans="1:50">
      <c r="A625">
        <v>195181</v>
      </c>
      <c r="B625" t="str">
        <f>"059467294"</f>
        <v>059467294</v>
      </c>
      <c r="C625" t="s">
        <v>50</v>
      </c>
      <c r="D625" t="s">
        <v>1723</v>
      </c>
      <c r="E625" t="s">
        <v>52</v>
      </c>
      <c r="F625" t="s">
        <v>92</v>
      </c>
      <c r="G625" t="s">
        <v>83</v>
      </c>
      <c r="H625" t="str">
        <f>"ΝΙΚΟΛΑΟΥ ΚΑΜΠΙΤΑΚΗ 29 "</f>
        <v xml:space="preserve">ΝΙΚΟΛΑΟΥ ΚΑΜΠΙΤΑΚΗ 29 </v>
      </c>
      <c r="I625">
        <v>71409</v>
      </c>
      <c r="J625">
        <v>2810236873</v>
      </c>
      <c r="K625">
        <v>6973742347</v>
      </c>
      <c r="M625" t="s">
        <v>1725</v>
      </c>
      <c r="N625" t="s">
        <v>146</v>
      </c>
      <c r="O625" t="s">
        <v>147</v>
      </c>
      <c r="R625" t="s">
        <v>57</v>
      </c>
      <c r="S625">
        <v>8</v>
      </c>
      <c r="T625">
        <v>194</v>
      </c>
      <c r="U625" s="1">
        <v>37497</v>
      </c>
      <c r="V625" t="s">
        <v>123</v>
      </c>
      <c r="W625" t="s">
        <v>124</v>
      </c>
      <c r="X625" t="s">
        <v>58</v>
      </c>
      <c r="Y625">
        <v>20</v>
      </c>
      <c r="Z625" t="s">
        <v>59</v>
      </c>
      <c r="AA625" t="s">
        <v>59</v>
      </c>
      <c r="AB625" t="s">
        <v>59</v>
      </c>
      <c r="AC625" t="s">
        <v>59</v>
      </c>
      <c r="AD625" t="s">
        <v>59</v>
      </c>
      <c r="AF625" s="1">
        <v>37501</v>
      </c>
      <c r="AG625" t="s">
        <v>125</v>
      </c>
      <c r="AH625" t="s">
        <v>126</v>
      </c>
      <c r="AI625" t="str">
        <f>"1701030"</f>
        <v>1701030</v>
      </c>
      <c r="AJ625" t="s">
        <v>270</v>
      </c>
      <c r="AK625">
        <v>2810361015</v>
      </c>
      <c r="AL625" t="s">
        <v>271</v>
      </c>
      <c r="AM625" t="s">
        <v>78</v>
      </c>
      <c r="AN625" t="s">
        <v>78</v>
      </c>
      <c r="AO625" t="s">
        <v>78</v>
      </c>
      <c r="AP625" t="s">
        <v>163</v>
      </c>
      <c r="AQ625">
        <v>2</v>
      </c>
      <c r="AR625" t="s">
        <v>123</v>
      </c>
      <c r="AS625" t="s">
        <v>124</v>
      </c>
      <c r="AT625" t="s">
        <v>58</v>
      </c>
      <c r="AU625" t="s">
        <v>68</v>
      </c>
      <c r="AV625" t="s">
        <v>69</v>
      </c>
      <c r="AW625" s="1">
        <v>26384</v>
      </c>
      <c r="AX625">
        <v>2</v>
      </c>
    </row>
    <row r="626" spans="1:50">
      <c r="A626">
        <v>192978</v>
      </c>
      <c r="B626" t="str">
        <f>"052406396"</f>
        <v>052406396</v>
      </c>
      <c r="C626" t="s">
        <v>105</v>
      </c>
      <c r="D626" t="s">
        <v>1726</v>
      </c>
      <c r="E626" t="s">
        <v>95</v>
      </c>
      <c r="F626" t="s">
        <v>936</v>
      </c>
      <c r="G626" t="s">
        <v>1727</v>
      </c>
      <c r="H626" t="str">
        <f>"ΧΡΥΣΟΣΤΟΜΟΥ 67  "</f>
        <v xml:space="preserve">ΧΡΥΣΟΣΤΟΜΟΥ 67  </v>
      </c>
      <c r="J626">
        <v>2810232848</v>
      </c>
      <c r="K626">
        <v>6946760180</v>
      </c>
      <c r="M626" t="s">
        <v>1728</v>
      </c>
      <c r="N626" t="s">
        <v>146</v>
      </c>
      <c r="O626" t="s">
        <v>147</v>
      </c>
      <c r="R626" t="s">
        <v>57</v>
      </c>
      <c r="S626">
        <v>11</v>
      </c>
      <c r="T626">
        <v>193</v>
      </c>
      <c r="U626" s="1">
        <v>37497</v>
      </c>
      <c r="V626" t="s">
        <v>123</v>
      </c>
      <c r="W626" t="s">
        <v>124</v>
      </c>
      <c r="X626" t="s">
        <v>58</v>
      </c>
      <c r="Y626">
        <v>18</v>
      </c>
      <c r="Z626" t="s">
        <v>59</v>
      </c>
      <c r="AA626" t="s">
        <v>59</v>
      </c>
      <c r="AB626" t="s">
        <v>59</v>
      </c>
      <c r="AC626" t="s">
        <v>59</v>
      </c>
      <c r="AD626" t="s">
        <v>59</v>
      </c>
      <c r="AF626" s="1">
        <v>37501</v>
      </c>
      <c r="AG626" t="s">
        <v>148</v>
      </c>
      <c r="AH626" t="s">
        <v>149</v>
      </c>
      <c r="AI626" t="str">
        <f>"1751040"</f>
        <v>1751040</v>
      </c>
      <c r="AJ626" t="s">
        <v>178</v>
      </c>
      <c r="AK626">
        <v>2810252495</v>
      </c>
      <c r="AL626" t="s">
        <v>179</v>
      </c>
      <c r="AM626" t="s">
        <v>78</v>
      </c>
      <c r="AN626" t="s">
        <v>78</v>
      </c>
      <c r="AO626" t="s">
        <v>78</v>
      </c>
      <c r="AP626" t="s">
        <v>141</v>
      </c>
      <c r="AQ626">
        <v>3</v>
      </c>
      <c r="AR626" t="s">
        <v>123</v>
      </c>
      <c r="AS626" t="s">
        <v>124</v>
      </c>
      <c r="AT626" t="s">
        <v>58</v>
      </c>
      <c r="AU626" t="s">
        <v>68</v>
      </c>
      <c r="AV626" t="s">
        <v>69</v>
      </c>
      <c r="AW626" s="1">
        <v>24861</v>
      </c>
      <c r="AX626">
        <v>2</v>
      </c>
    </row>
    <row r="627" spans="1:50">
      <c r="A627">
        <v>224401</v>
      </c>
      <c r="B627" t="str">
        <f>"123169063"</f>
        <v>123169063</v>
      </c>
      <c r="C627" t="s">
        <v>50</v>
      </c>
      <c r="D627" t="s">
        <v>1729</v>
      </c>
      <c r="E627" t="s">
        <v>316</v>
      </c>
      <c r="F627" t="s">
        <v>84</v>
      </c>
      <c r="G627" t="s">
        <v>71</v>
      </c>
      <c r="H627" t="str">
        <f>"ΣΥΝ.ΑΝΩ ΒΑΘΕΙΑΣ ΧΕΡΣΟΝΗΣΟΥ"</f>
        <v>ΣΥΝ.ΑΝΩ ΒΑΘΕΙΑΣ ΧΕΡΣΟΝΗΣΟΥ</v>
      </c>
      <c r="I627">
        <v>70008</v>
      </c>
      <c r="J627">
        <v>2810781572</v>
      </c>
      <c r="K627">
        <v>6973806787</v>
      </c>
      <c r="N627" t="s">
        <v>288</v>
      </c>
      <c r="O627" t="s">
        <v>289</v>
      </c>
      <c r="R627" t="s">
        <v>57</v>
      </c>
      <c r="S627">
        <v>5</v>
      </c>
      <c r="T627">
        <v>775</v>
      </c>
      <c r="U627" s="1">
        <v>39680</v>
      </c>
      <c r="V627" t="s">
        <v>123</v>
      </c>
      <c r="W627" t="s">
        <v>124</v>
      </c>
      <c r="X627" t="s">
        <v>58</v>
      </c>
      <c r="Y627">
        <v>21</v>
      </c>
      <c r="Z627" t="s">
        <v>59</v>
      </c>
      <c r="AA627" t="s">
        <v>59</v>
      </c>
      <c r="AB627" t="s">
        <v>59</v>
      </c>
      <c r="AC627" t="s">
        <v>59</v>
      </c>
      <c r="AD627" t="s">
        <v>59</v>
      </c>
      <c r="AF627" s="1">
        <v>39681</v>
      </c>
      <c r="AG627" t="s">
        <v>148</v>
      </c>
      <c r="AH627" t="s">
        <v>149</v>
      </c>
      <c r="AI627" t="str">
        <f>"1752010"</f>
        <v>1752010</v>
      </c>
      <c r="AJ627" t="s">
        <v>896</v>
      </c>
      <c r="AK627">
        <v>2891022893</v>
      </c>
      <c r="AL627" t="s">
        <v>897</v>
      </c>
      <c r="AM627" t="s">
        <v>78</v>
      </c>
      <c r="AN627" t="s">
        <v>276</v>
      </c>
      <c r="AO627" t="s">
        <v>490</v>
      </c>
      <c r="AP627" t="s">
        <v>490</v>
      </c>
      <c r="AQ627">
        <v>15</v>
      </c>
      <c r="AR627" t="s">
        <v>123</v>
      </c>
      <c r="AS627" t="s">
        <v>124</v>
      </c>
      <c r="AT627" t="s">
        <v>58</v>
      </c>
      <c r="AU627" t="s">
        <v>68</v>
      </c>
      <c r="AV627" t="s">
        <v>69</v>
      </c>
      <c r="AW627" s="1">
        <v>28317</v>
      </c>
      <c r="AX627">
        <v>2</v>
      </c>
    </row>
    <row r="628" spans="1:50">
      <c r="A628">
        <v>156969</v>
      </c>
      <c r="B628" t="str">
        <f>"031221247"</f>
        <v>031221247</v>
      </c>
      <c r="C628" t="s">
        <v>50</v>
      </c>
      <c r="D628" t="s">
        <v>1729</v>
      </c>
      <c r="E628" t="s">
        <v>52</v>
      </c>
      <c r="F628" t="s">
        <v>72</v>
      </c>
      <c r="G628" t="s">
        <v>73</v>
      </c>
      <c r="H628" t="str">
        <f>" "</f>
        <v xml:space="preserve"> </v>
      </c>
      <c r="N628" t="s">
        <v>199</v>
      </c>
      <c r="O628" t="s">
        <v>200</v>
      </c>
      <c r="R628" t="s">
        <v>57</v>
      </c>
      <c r="S628">
        <v>14</v>
      </c>
      <c r="T628">
        <v>188</v>
      </c>
      <c r="U628" s="1">
        <v>32752</v>
      </c>
      <c r="V628" t="s">
        <v>123</v>
      </c>
      <c r="W628" t="s">
        <v>124</v>
      </c>
      <c r="X628" t="s">
        <v>58</v>
      </c>
      <c r="Y628">
        <v>18</v>
      </c>
      <c r="Z628" t="s">
        <v>59</v>
      </c>
      <c r="AA628" t="s">
        <v>59</v>
      </c>
      <c r="AB628" t="s">
        <v>59</v>
      </c>
      <c r="AC628" t="s">
        <v>59</v>
      </c>
      <c r="AD628" t="s">
        <v>59</v>
      </c>
      <c r="AF628" s="1">
        <v>32757</v>
      </c>
      <c r="AG628" t="s">
        <v>148</v>
      </c>
      <c r="AH628" t="s">
        <v>149</v>
      </c>
      <c r="AI628" t="str">
        <f>"1751042"</f>
        <v>1751042</v>
      </c>
      <c r="AJ628" t="s">
        <v>959</v>
      </c>
      <c r="AK628">
        <v>2810220685</v>
      </c>
      <c r="AL628" t="s">
        <v>960</v>
      </c>
      <c r="AM628" t="s">
        <v>78</v>
      </c>
      <c r="AN628" t="s">
        <v>78</v>
      </c>
      <c r="AO628" t="s">
        <v>78</v>
      </c>
      <c r="AP628" t="s">
        <v>213</v>
      </c>
      <c r="AQ628">
        <v>6</v>
      </c>
      <c r="AR628" t="s">
        <v>123</v>
      </c>
      <c r="AS628" t="s">
        <v>124</v>
      </c>
      <c r="AT628" t="s">
        <v>58</v>
      </c>
      <c r="AU628" t="s">
        <v>68</v>
      </c>
      <c r="AV628" t="s">
        <v>69</v>
      </c>
      <c r="AW628" s="1">
        <v>19842</v>
      </c>
      <c r="AX628">
        <v>2</v>
      </c>
    </row>
    <row r="629" spans="1:50">
      <c r="A629">
        <v>168628</v>
      </c>
      <c r="B629" t="str">
        <f>"036325302"</f>
        <v>036325302</v>
      </c>
      <c r="C629" t="s">
        <v>105</v>
      </c>
      <c r="D629" t="s">
        <v>1730</v>
      </c>
      <c r="E629" t="s">
        <v>782</v>
      </c>
      <c r="F629" t="s">
        <v>72</v>
      </c>
      <c r="G629" t="s">
        <v>263</v>
      </c>
      <c r="H629" t="str">
        <f>" "</f>
        <v xml:space="preserve"> </v>
      </c>
      <c r="N629" t="s">
        <v>176</v>
      </c>
      <c r="O629" t="s">
        <v>177</v>
      </c>
      <c r="R629" t="s">
        <v>57</v>
      </c>
      <c r="S629">
        <v>14</v>
      </c>
      <c r="T629">
        <v>159</v>
      </c>
      <c r="U629" s="1">
        <v>34582</v>
      </c>
      <c r="V629" t="s">
        <v>123</v>
      </c>
      <c r="W629" t="s">
        <v>124</v>
      </c>
      <c r="X629" t="s">
        <v>58</v>
      </c>
      <c r="Y629">
        <v>18</v>
      </c>
      <c r="Z629" t="s">
        <v>59</v>
      </c>
      <c r="AA629" t="s">
        <v>59</v>
      </c>
      <c r="AB629" t="s">
        <v>59</v>
      </c>
      <c r="AC629" t="s">
        <v>59</v>
      </c>
      <c r="AD629" t="s">
        <v>59</v>
      </c>
      <c r="AF629" s="1">
        <v>34583</v>
      </c>
      <c r="AG629" t="s">
        <v>125</v>
      </c>
      <c r="AH629" t="s">
        <v>126</v>
      </c>
      <c r="AI629" t="str">
        <f>"1701051"</f>
        <v>1701051</v>
      </c>
      <c r="AJ629" t="s">
        <v>443</v>
      </c>
      <c r="AK629">
        <v>2810325815</v>
      </c>
      <c r="AL629" t="s">
        <v>444</v>
      </c>
      <c r="AM629" t="s">
        <v>78</v>
      </c>
      <c r="AN629" t="s">
        <v>78</v>
      </c>
      <c r="AO629" t="s">
        <v>78</v>
      </c>
      <c r="AP629" t="s">
        <v>163</v>
      </c>
      <c r="AQ629">
        <v>5</v>
      </c>
      <c r="AR629" t="s">
        <v>123</v>
      </c>
      <c r="AS629" t="s">
        <v>124</v>
      </c>
      <c r="AT629" t="s">
        <v>58</v>
      </c>
      <c r="AU629" t="s">
        <v>68</v>
      </c>
      <c r="AV629" t="s">
        <v>69</v>
      </c>
      <c r="AW629" s="1">
        <v>23704</v>
      </c>
      <c r="AX629">
        <v>2</v>
      </c>
    </row>
    <row r="630" spans="1:50">
      <c r="A630">
        <v>192979</v>
      </c>
      <c r="B630" t="str">
        <f>"054608739"</f>
        <v>054608739</v>
      </c>
      <c r="C630" t="s">
        <v>105</v>
      </c>
      <c r="D630" t="s">
        <v>1730</v>
      </c>
      <c r="E630" t="s">
        <v>106</v>
      </c>
      <c r="F630" t="s">
        <v>1357</v>
      </c>
      <c r="G630" t="s">
        <v>250</v>
      </c>
      <c r="H630" t="str">
        <f>"ΧΡΥΣΟΣΤΟΜΟΥ 51 ΗΡΑΚΛΕΙΟ"</f>
        <v>ΧΡΥΣΟΣΤΟΜΟΥ 51 ΗΡΑΚΛΕΙΟ</v>
      </c>
      <c r="I630">
        <v>71306</v>
      </c>
      <c r="J630">
        <v>2810321083</v>
      </c>
      <c r="K630">
        <v>6976518230</v>
      </c>
      <c r="N630" t="s">
        <v>146</v>
      </c>
      <c r="O630" t="s">
        <v>147</v>
      </c>
      <c r="R630" t="s">
        <v>57</v>
      </c>
      <c r="S630">
        <v>11</v>
      </c>
      <c r="T630">
        <v>193</v>
      </c>
      <c r="U630" s="1">
        <v>37497</v>
      </c>
      <c r="V630" t="s">
        <v>123</v>
      </c>
      <c r="W630" t="s">
        <v>124</v>
      </c>
      <c r="X630" t="s">
        <v>58</v>
      </c>
      <c r="Y630">
        <v>18</v>
      </c>
      <c r="Z630" t="s">
        <v>59</v>
      </c>
      <c r="AA630" t="s">
        <v>59</v>
      </c>
      <c r="AB630" t="s">
        <v>59</v>
      </c>
      <c r="AC630" t="s">
        <v>59</v>
      </c>
      <c r="AD630" t="s">
        <v>59</v>
      </c>
      <c r="AF630" s="1">
        <v>37501</v>
      </c>
      <c r="AG630" t="s">
        <v>125</v>
      </c>
      <c r="AH630" t="s">
        <v>126</v>
      </c>
      <c r="AI630" t="str">
        <f>"1701050"</f>
        <v>1701050</v>
      </c>
      <c r="AJ630" t="s">
        <v>660</v>
      </c>
      <c r="AK630">
        <v>2810220729</v>
      </c>
      <c r="AL630" t="s">
        <v>661</v>
      </c>
      <c r="AM630" t="s">
        <v>78</v>
      </c>
      <c r="AN630" t="s">
        <v>78</v>
      </c>
      <c r="AO630" t="s">
        <v>78</v>
      </c>
      <c r="AP630" t="s">
        <v>79</v>
      </c>
      <c r="AQ630">
        <v>1</v>
      </c>
      <c r="AR630" t="s">
        <v>123</v>
      </c>
      <c r="AS630" t="s">
        <v>124</v>
      </c>
      <c r="AT630" t="s">
        <v>58</v>
      </c>
      <c r="AU630" t="s">
        <v>68</v>
      </c>
      <c r="AV630" t="s">
        <v>69</v>
      </c>
      <c r="AW630" s="1">
        <v>23224</v>
      </c>
      <c r="AX630">
        <v>2</v>
      </c>
    </row>
    <row r="631" spans="1:50">
      <c r="A631">
        <v>208098</v>
      </c>
      <c r="B631" t="str">
        <f>"077388274"</f>
        <v>077388274</v>
      </c>
      <c r="C631" t="s">
        <v>105</v>
      </c>
      <c r="D631" t="s">
        <v>1730</v>
      </c>
      <c r="E631" t="s">
        <v>53</v>
      </c>
      <c r="F631" t="s">
        <v>72</v>
      </c>
      <c r="G631" t="s">
        <v>263</v>
      </c>
      <c r="H631" t="str">
        <f>"ΕΠΙΔΑΥΡΟΥ 6 ΜΕΣΑΜΠΕΛΙΕΣ"</f>
        <v>ΕΠΙΔΑΥΡΟΥ 6 ΜΕΣΑΜΠΕΛΙΕΣ</v>
      </c>
      <c r="I631">
        <v>71309</v>
      </c>
      <c r="J631">
        <v>2810211817</v>
      </c>
      <c r="K631">
        <v>6972419243</v>
      </c>
      <c r="M631" t="s">
        <v>1731</v>
      </c>
      <c r="N631" t="s">
        <v>176</v>
      </c>
      <c r="O631" t="s">
        <v>177</v>
      </c>
      <c r="R631" t="s">
        <v>57</v>
      </c>
      <c r="S631">
        <v>8</v>
      </c>
      <c r="T631">
        <v>218</v>
      </c>
      <c r="U631" s="1">
        <v>38596</v>
      </c>
      <c r="V631" t="s">
        <v>123</v>
      </c>
      <c r="W631" t="s">
        <v>124</v>
      </c>
      <c r="X631" t="s">
        <v>58</v>
      </c>
      <c r="Y631">
        <v>20</v>
      </c>
      <c r="Z631" t="s">
        <v>59</v>
      </c>
      <c r="AA631" t="s">
        <v>59</v>
      </c>
      <c r="AB631" t="s">
        <v>59</v>
      </c>
      <c r="AC631" t="s">
        <v>59</v>
      </c>
      <c r="AD631" t="s">
        <v>59</v>
      </c>
      <c r="AF631" s="1">
        <v>38600</v>
      </c>
      <c r="AG631" t="s">
        <v>125</v>
      </c>
      <c r="AH631" t="s">
        <v>126</v>
      </c>
      <c r="AI631" t="str">
        <f>"1727010"</f>
        <v>1727010</v>
      </c>
      <c r="AJ631" t="s">
        <v>618</v>
      </c>
      <c r="AK631">
        <v>2810229231</v>
      </c>
      <c r="AL631" t="s">
        <v>619</v>
      </c>
      <c r="AM631" t="s">
        <v>78</v>
      </c>
      <c r="AN631" t="s">
        <v>78</v>
      </c>
      <c r="AO631" t="s">
        <v>286</v>
      </c>
      <c r="AP631" t="s">
        <v>286</v>
      </c>
      <c r="AQ631">
        <v>12</v>
      </c>
      <c r="AR631" t="s">
        <v>123</v>
      </c>
      <c r="AS631" t="s">
        <v>124</v>
      </c>
      <c r="AT631" t="s">
        <v>58</v>
      </c>
      <c r="AU631" t="s">
        <v>68</v>
      </c>
      <c r="AV631" t="s">
        <v>69</v>
      </c>
      <c r="AW631" s="1">
        <v>25102</v>
      </c>
      <c r="AX631">
        <v>2</v>
      </c>
    </row>
    <row r="632" spans="1:50">
      <c r="A632">
        <v>222936</v>
      </c>
      <c r="B632" t="str">
        <f>"136225877"</f>
        <v>136225877</v>
      </c>
      <c r="C632" t="s">
        <v>50</v>
      </c>
      <c r="D632" t="s">
        <v>1732</v>
      </c>
      <c r="E632" t="s">
        <v>181</v>
      </c>
      <c r="F632" t="s">
        <v>84</v>
      </c>
      <c r="G632" t="s">
        <v>1733</v>
      </c>
      <c r="H632" t="str">
        <f>" "</f>
        <v xml:space="preserve"> </v>
      </c>
      <c r="K632">
        <v>6977750760</v>
      </c>
      <c r="M632" t="s">
        <v>1734</v>
      </c>
      <c r="N632" t="s">
        <v>292</v>
      </c>
      <c r="O632" t="s">
        <v>293</v>
      </c>
      <c r="R632" t="s">
        <v>57</v>
      </c>
      <c r="S632">
        <v>7</v>
      </c>
      <c r="T632">
        <v>775</v>
      </c>
      <c r="U632" s="1">
        <v>39680</v>
      </c>
      <c r="V632" t="s">
        <v>123</v>
      </c>
      <c r="W632" t="s">
        <v>124</v>
      </c>
      <c r="X632" t="s">
        <v>58</v>
      </c>
      <c r="Y632">
        <v>21</v>
      </c>
      <c r="Z632" t="s">
        <v>59</v>
      </c>
      <c r="AA632" t="s">
        <v>59</v>
      </c>
      <c r="AB632" t="s">
        <v>59</v>
      </c>
      <c r="AC632" t="s">
        <v>59</v>
      </c>
      <c r="AD632" t="s">
        <v>59</v>
      </c>
      <c r="AF632" s="1">
        <v>39681</v>
      </c>
      <c r="AG632" t="s">
        <v>137</v>
      </c>
      <c r="AH632" t="s">
        <v>138</v>
      </c>
      <c r="AI632" t="str">
        <f>"1740300"</f>
        <v>1740300</v>
      </c>
      <c r="AJ632" t="s">
        <v>1274</v>
      </c>
      <c r="AK632">
        <v>2892022100</v>
      </c>
      <c r="AL632" t="s">
        <v>1275</v>
      </c>
      <c r="AM632" t="s">
        <v>78</v>
      </c>
      <c r="AN632" t="s">
        <v>242</v>
      </c>
      <c r="AO632" t="s">
        <v>243</v>
      </c>
      <c r="AP632" t="s">
        <v>243</v>
      </c>
      <c r="AQ632">
        <v>33</v>
      </c>
      <c r="AR632" t="s">
        <v>123</v>
      </c>
      <c r="AS632" t="s">
        <v>124</v>
      </c>
      <c r="AT632" t="s">
        <v>58</v>
      </c>
      <c r="AU632" t="s">
        <v>68</v>
      </c>
      <c r="AV632" t="s">
        <v>69</v>
      </c>
      <c r="AW632" s="1">
        <v>30041</v>
      </c>
      <c r="AX632">
        <v>2</v>
      </c>
    </row>
    <row r="633" spans="1:50">
      <c r="A633">
        <v>187655</v>
      </c>
      <c r="B633" t="str">
        <f>"046851310"</f>
        <v>046851310</v>
      </c>
      <c r="C633" t="s">
        <v>50</v>
      </c>
      <c r="D633" t="s">
        <v>1735</v>
      </c>
      <c r="E633" t="s">
        <v>476</v>
      </c>
      <c r="F633" t="s">
        <v>173</v>
      </c>
      <c r="G633" t="s">
        <v>83</v>
      </c>
      <c r="H633" t="str">
        <f>" "</f>
        <v xml:space="preserve"> </v>
      </c>
      <c r="N633" t="s">
        <v>204</v>
      </c>
      <c r="O633" t="s">
        <v>205</v>
      </c>
      <c r="P633" t="s">
        <v>292</v>
      </c>
      <c r="Q633" t="s">
        <v>293</v>
      </c>
      <c r="R633" t="s">
        <v>57</v>
      </c>
      <c r="S633">
        <v>11</v>
      </c>
      <c r="T633">
        <v>251</v>
      </c>
      <c r="U633" s="1">
        <v>36769</v>
      </c>
      <c r="V633" t="s">
        <v>123</v>
      </c>
      <c r="W633" t="s">
        <v>124</v>
      </c>
      <c r="X633" t="s">
        <v>58</v>
      </c>
      <c r="Y633">
        <v>18</v>
      </c>
      <c r="Z633" t="s">
        <v>59</v>
      </c>
      <c r="AA633" t="s">
        <v>59</v>
      </c>
      <c r="AB633" t="s">
        <v>59</v>
      </c>
      <c r="AC633" t="s">
        <v>59</v>
      </c>
      <c r="AD633" t="s">
        <v>59</v>
      </c>
      <c r="AF633" s="1">
        <v>36770</v>
      </c>
      <c r="AG633" t="s">
        <v>137</v>
      </c>
      <c r="AH633" t="s">
        <v>138</v>
      </c>
      <c r="AI633" t="str">
        <f>"1740070"</f>
        <v>1740070</v>
      </c>
      <c r="AJ633" t="s">
        <v>206</v>
      </c>
      <c r="AK633">
        <v>2810324880</v>
      </c>
      <c r="AL633" t="s">
        <v>207</v>
      </c>
      <c r="AM633" t="s">
        <v>78</v>
      </c>
      <c r="AN633" t="s">
        <v>78</v>
      </c>
      <c r="AO633" t="s">
        <v>78</v>
      </c>
      <c r="AP633" t="s">
        <v>163</v>
      </c>
      <c r="AQ633">
        <v>9</v>
      </c>
      <c r="AR633" t="s">
        <v>123</v>
      </c>
      <c r="AS633" t="s">
        <v>124</v>
      </c>
      <c r="AT633" t="s">
        <v>58</v>
      </c>
      <c r="AU633" t="s">
        <v>68</v>
      </c>
      <c r="AV633" t="s">
        <v>69</v>
      </c>
      <c r="AW633" s="1">
        <v>22513</v>
      </c>
      <c r="AX633">
        <v>2</v>
      </c>
    </row>
    <row r="634" spans="1:50">
      <c r="A634">
        <v>191725</v>
      </c>
      <c r="B634" t="str">
        <f>"076396645"</f>
        <v>076396645</v>
      </c>
      <c r="C634" t="s">
        <v>105</v>
      </c>
      <c r="D634" t="s">
        <v>1736</v>
      </c>
      <c r="E634" t="s">
        <v>166</v>
      </c>
      <c r="F634" t="s">
        <v>84</v>
      </c>
      <c r="G634" t="s">
        <v>610</v>
      </c>
      <c r="H634" t="str">
        <f>" "</f>
        <v xml:space="preserve"> </v>
      </c>
      <c r="M634" t="s">
        <v>1565</v>
      </c>
      <c r="N634" t="s">
        <v>168</v>
      </c>
      <c r="O634" t="s">
        <v>169</v>
      </c>
      <c r="R634" t="s">
        <v>57</v>
      </c>
      <c r="S634">
        <v>10</v>
      </c>
      <c r="T634">
        <v>291</v>
      </c>
      <c r="U634" s="1">
        <v>37218</v>
      </c>
      <c r="V634" t="s">
        <v>123</v>
      </c>
      <c r="W634" t="s">
        <v>124</v>
      </c>
      <c r="X634" t="s">
        <v>58</v>
      </c>
      <c r="Y634">
        <v>20</v>
      </c>
      <c r="Z634" t="s">
        <v>59</v>
      </c>
      <c r="AA634" t="s">
        <v>59</v>
      </c>
      <c r="AB634" t="s">
        <v>59</v>
      </c>
      <c r="AC634" t="s">
        <v>59</v>
      </c>
      <c r="AD634" t="s">
        <v>59</v>
      </c>
      <c r="AF634" s="1">
        <v>37218</v>
      </c>
      <c r="AG634" t="s">
        <v>137</v>
      </c>
      <c r="AH634" t="s">
        <v>469</v>
      </c>
      <c r="AI634" t="str">
        <f>"1740200"</f>
        <v>1740200</v>
      </c>
      <c r="AJ634" t="s">
        <v>470</v>
      </c>
      <c r="AK634">
        <v>2810320770</v>
      </c>
      <c r="AL634" t="s">
        <v>471</v>
      </c>
      <c r="AM634" t="s">
        <v>78</v>
      </c>
      <c r="AN634" t="s">
        <v>78</v>
      </c>
      <c r="AO634" t="s">
        <v>78</v>
      </c>
      <c r="AP634" t="s">
        <v>163</v>
      </c>
      <c r="AQ634">
        <v>2</v>
      </c>
      <c r="AR634" t="s">
        <v>123</v>
      </c>
      <c r="AS634" t="s">
        <v>124</v>
      </c>
      <c r="AT634" t="s">
        <v>58</v>
      </c>
      <c r="AU634" t="s">
        <v>68</v>
      </c>
      <c r="AV634" t="s">
        <v>69</v>
      </c>
      <c r="AW634" s="1">
        <v>27850</v>
      </c>
      <c r="AX634">
        <v>2</v>
      </c>
    </row>
    <row r="635" spans="1:50">
      <c r="B635" t="str">
        <f>"068103816"</f>
        <v>068103816</v>
      </c>
      <c r="C635" t="s">
        <v>105</v>
      </c>
      <c r="D635" t="s">
        <v>1737</v>
      </c>
      <c r="E635" t="s">
        <v>99</v>
      </c>
      <c r="F635" t="s">
        <v>1716</v>
      </c>
      <c r="G635" t="s">
        <v>580</v>
      </c>
      <c r="H635" t="str">
        <f>"HOTEL ESPERIA ΚΑΡΛΟΒΑΣΙ"</f>
        <v>HOTEL ESPERIA ΚΑΡΛΟΒΑΣΙ</v>
      </c>
      <c r="I635">
        <v>83200</v>
      </c>
      <c r="K635">
        <v>6930438974</v>
      </c>
      <c r="M635" t="s">
        <v>1738</v>
      </c>
      <c r="N635" t="s">
        <v>500</v>
      </c>
      <c r="O635" t="s">
        <v>501</v>
      </c>
      <c r="R635" t="s">
        <v>159</v>
      </c>
      <c r="S635">
        <v>3</v>
      </c>
      <c r="T635" t="s">
        <v>344</v>
      </c>
      <c r="U635" s="1">
        <v>43348</v>
      </c>
      <c r="V635" t="s">
        <v>123</v>
      </c>
      <c r="W635" t="s">
        <v>124</v>
      </c>
      <c r="X635" t="s">
        <v>58</v>
      </c>
      <c r="Y635">
        <v>23</v>
      </c>
      <c r="Z635" t="s">
        <v>59</v>
      </c>
      <c r="AA635" t="s">
        <v>59</v>
      </c>
      <c r="AB635" t="s">
        <v>59</v>
      </c>
      <c r="AC635" t="s">
        <v>59</v>
      </c>
      <c r="AD635" t="s">
        <v>59</v>
      </c>
      <c r="AF635" s="1">
        <v>43348</v>
      </c>
      <c r="AG635" t="s">
        <v>125</v>
      </c>
      <c r="AH635" t="s">
        <v>126</v>
      </c>
      <c r="AI635" t="str">
        <f>"1706010"</f>
        <v>1706010</v>
      </c>
      <c r="AJ635" t="s">
        <v>391</v>
      </c>
      <c r="AK635">
        <v>2892022286</v>
      </c>
      <c r="AL635" t="s">
        <v>392</v>
      </c>
      <c r="AM635" t="s">
        <v>78</v>
      </c>
      <c r="AN635" t="s">
        <v>242</v>
      </c>
      <c r="AO635" t="s">
        <v>243</v>
      </c>
      <c r="AP635" t="s">
        <v>243</v>
      </c>
      <c r="AQ635">
        <v>33</v>
      </c>
      <c r="AR635" t="s">
        <v>123</v>
      </c>
      <c r="AS635" t="s">
        <v>124</v>
      </c>
      <c r="AT635" t="s">
        <v>58</v>
      </c>
      <c r="AU635" t="s">
        <v>350</v>
      </c>
      <c r="AV635" t="s">
        <v>132</v>
      </c>
      <c r="AW635" s="1">
        <v>29652</v>
      </c>
      <c r="AX635">
        <v>2</v>
      </c>
    </row>
    <row r="636" spans="1:50">
      <c r="B636" t="str">
        <f>"073784624"</f>
        <v>073784624</v>
      </c>
      <c r="C636" t="s">
        <v>105</v>
      </c>
      <c r="D636" t="s">
        <v>1739</v>
      </c>
      <c r="E636" t="s">
        <v>95</v>
      </c>
      <c r="F636" t="s">
        <v>166</v>
      </c>
      <c r="G636" t="s">
        <v>1740</v>
      </c>
      <c r="H636" t="str">
        <f>"Λ. ΧΡΥΣΟΣΤΟΜΟΥ 66 ΗΡΑΚΛΕΙΟ"</f>
        <v>Λ. ΧΡΥΣΟΣΤΟΜΟΥ 66 ΗΡΑΚΛΕΙΟ</v>
      </c>
      <c r="I636">
        <v>71306</v>
      </c>
      <c r="J636">
        <v>2810230412</v>
      </c>
      <c r="K636">
        <v>6973328204</v>
      </c>
      <c r="N636" t="s">
        <v>292</v>
      </c>
      <c r="O636" t="s">
        <v>293</v>
      </c>
      <c r="R636" t="s">
        <v>159</v>
      </c>
      <c r="S636">
        <v>4</v>
      </c>
      <c r="T636" t="s">
        <v>416</v>
      </c>
      <c r="U636" s="1">
        <v>43349</v>
      </c>
      <c r="V636" t="s">
        <v>123</v>
      </c>
      <c r="W636" t="s">
        <v>124</v>
      </c>
      <c r="X636" t="s">
        <v>58</v>
      </c>
      <c r="Y636">
        <v>21</v>
      </c>
      <c r="Z636" t="s">
        <v>59</v>
      </c>
      <c r="AA636" t="s">
        <v>59</v>
      </c>
      <c r="AB636" t="s">
        <v>59</v>
      </c>
      <c r="AC636" t="s">
        <v>59</v>
      </c>
      <c r="AD636" t="s">
        <v>59</v>
      </c>
      <c r="AF636" s="1">
        <v>43349</v>
      </c>
      <c r="AG636" t="s">
        <v>148</v>
      </c>
      <c r="AH636" t="s">
        <v>149</v>
      </c>
      <c r="AI636" t="str">
        <f>"1771010"</f>
        <v>1771010</v>
      </c>
      <c r="AJ636" t="s">
        <v>915</v>
      </c>
      <c r="AK636">
        <v>2892031290</v>
      </c>
      <c r="AL636" t="s">
        <v>916</v>
      </c>
      <c r="AM636" t="s">
        <v>78</v>
      </c>
      <c r="AN636" t="s">
        <v>405</v>
      </c>
      <c r="AO636" t="s">
        <v>405</v>
      </c>
      <c r="AP636" t="s">
        <v>464</v>
      </c>
      <c r="AQ636">
        <v>33</v>
      </c>
      <c r="AR636" t="s">
        <v>123</v>
      </c>
      <c r="AS636" t="s">
        <v>124</v>
      </c>
      <c r="AT636" t="s">
        <v>58</v>
      </c>
      <c r="AU636" t="s">
        <v>419</v>
      </c>
      <c r="AV636" t="s">
        <v>132</v>
      </c>
      <c r="AW636" s="1">
        <v>25690</v>
      </c>
      <c r="AX636">
        <v>2</v>
      </c>
    </row>
    <row r="637" spans="1:50">
      <c r="A637">
        <v>151582</v>
      </c>
      <c r="B637" t="str">
        <f>"027932128"</f>
        <v>027932128</v>
      </c>
      <c r="C637" t="s">
        <v>105</v>
      </c>
      <c r="D637" t="s">
        <v>1739</v>
      </c>
      <c r="E637" t="s">
        <v>95</v>
      </c>
      <c r="F637" t="s">
        <v>53</v>
      </c>
      <c r="G637" t="s">
        <v>250</v>
      </c>
      <c r="H637" t="str">
        <f>" "</f>
        <v xml:space="preserve"> </v>
      </c>
      <c r="M637" t="s">
        <v>1741</v>
      </c>
      <c r="N637" t="s">
        <v>299</v>
      </c>
      <c r="O637" t="s">
        <v>300</v>
      </c>
      <c r="R637" t="s">
        <v>57</v>
      </c>
      <c r="S637">
        <v>18</v>
      </c>
      <c r="T637">
        <v>170</v>
      </c>
      <c r="U637" s="1">
        <v>32016</v>
      </c>
      <c r="V637" t="s">
        <v>123</v>
      </c>
      <c r="W637" t="s">
        <v>124</v>
      </c>
      <c r="X637" t="s">
        <v>58</v>
      </c>
      <c r="Y637">
        <v>18</v>
      </c>
      <c r="Z637" t="s">
        <v>59</v>
      </c>
      <c r="AA637" t="s">
        <v>59</v>
      </c>
      <c r="AB637" t="s">
        <v>59</v>
      </c>
      <c r="AC637" t="s">
        <v>59</v>
      </c>
      <c r="AD637" t="s">
        <v>59</v>
      </c>
      <c r="AF637" s="1">
        <v>32021</v>
      </c>
      <c r="AG637" t="s">
        <v>137</v>
      </c>
      <c r="AH637" t="s">
        <v>138</v>
      </c>
      <c r="AI637" t="str">
        <f>"1740080"</f>
        <v>1740080</v>
      </c>
      <c r="AJ637" t="s">
        <v>284</v>
      </c>
      <c r="AK637">
        <v>2810220433</v>
      </c>
      <c r="AL637" t="s">
        <v>285</v>
      </c>
      <c r="AM637" t="s">
        <v>78</v>
      </c>
      <c r="AN637" t="s">
        <v>78</v>
      </c>
      <c r="AO637" t="s">
        <v>286</v>
      </c>
      <c r="AP637" t="s">
        <v>286</v>
      </c>
      <c r="AQ637">
        <v>12</v>
      </c>
      <c r="AR637" t="s">
        <v>123</v>
      </c>
      <c r="AS637" t="s">
        <v>124</v>
      </c>
      <c r="AT637" t="s">
        <v>58</v>
      </c>
      <c r="AU637" t="s">
        <v>68</v>
      </c>
      <c r="AV637" t="s">
        <v>69</v>
      </c>
      <c r="AW637" s="1">
        <v>20460</v>
      </c>
      <c r="AX637">
        <v>2</v>
      </c>
    </row>
    <row r="638" spans="1:50">
      <c r="A638">
        <v>206619</v>
      </c>
      <c r="B638" t="str">
        <f>"021566973"</f>
        <v>021566973</v>
      </c>
      <c r="C638" t="s">
        <v>105</v>
      </c>
      <c r="D638" t="s">
        <v>1742</v>
      </c>
      <c r="E638" t="s">
        <v>1743</v>
      </c>
      <c r="F638" t="s">
        <v>53</v>
      </c>
      <c r="G638" t="s">
        <v>1744</v>
      </c>
      <c r="H638" t="str">
        <f>"ΓΟΥΡΝΕΣ ΓΟΥΡΝΕΣ ΧΕΡΣ/ΣΟΥ"</f>
        <v>ΓΟΥΡΝΕΣ ΓΟΥΡΝΕΣ ΧΕΡΣ/ΣΟΥ</v>
      </c>
      <c r="I638">
        <v>71500</v>
      </c>
      <c r="J638">
        <v>2810763019</v>
      </c>
      <c r="K638">
        <v>6974012347</v>
      </c>
      <c r="M638" t="s">
        <v>1745</v>
      </c>
      <c r="N638" t="s">
        <v>146</v>
      </c>
      <c r="O638" t="s">
        <v>147</v>
      </c>
      <c r="R638" t="s">
        <v>57</v>
      </c>
      <c r="S638">
        <v>9</v>
      </c>
      <c r="T638">
        <v>218</v>
      </c>
      <c r="U638" s="1">
        <v>38596</v>
      </c>
      <c r="V638" t="s">
        <v>123</v>
      </c>
      <c r="W638" t="s">
        <v>124</v>
      </c>
      <c r="X638" t="s">
        <v>58</v>
      </c>
      <c r="Y638">
        <v>20</v>
      </c>
      <c r="Z638" t="s">
        <v>59</v>
      </c>
      <c r="AA638" t="s">
        <v>59</v>
      </c>
      <c r="AB638" t="s">
        <v>59</v>
      </c>
      <c r="AC638" t="s">
        <v>59</v>
      </c>
      <c r="AD638" t="s">
        <v>59</v>
      </c>
      <c r="AF638" s="1">
        <v>38601</v>
      </c>
      <c r="AG638" t="s">
        <v>125</v>
      </c>
      <c r="AH638" t="s">
        <v>126</v>
      </c>
      <c r="AI638" t="str">
        <f>"1714012"</f>
        <v>1714012</v>
      </c>
      <c r="AJ638" t="s">
        <v>633</v>
      </c>
      <c r="AK638">
        <v>2810762261</v>
      </c>
      <c r="AL638" t="s">
        <v>634</v>
      </c>
      <c r="AM638" t="s">
        <v>78</v>
      </c>
      <c r="AN638" t="s">
        <v>219</v>
      </c>
      <c r="AO638" t="s">
        <v>297</v>
      </c>
      <c r="AP638" t="s">
        <v>297</v>
      </c>
      <c r="AQ638">
        <v>37</v>
      </c>
      <c r="AR638" t="s">
        <v>123</v>
      </c>
      <c r="AS638" t="s">
        <v>124</v>
      </c>
      <c r="AT638" t="s">
        <v>58</v>
      </c>
      <c r="AU638" t="s">
        <v>68</v>
      </c>
      <c r="AV638" t="s">
        <v>69</v>
      </c>
      <c r="AW638" s="1">
        <v>18789</v>
      </c>
      <c r="AX638">
        <v>2</v>
      </c>
    </row>
    <row r="639" spans="1:50">
      <c r="A639">
        <v>190543</v>
      </c>
      <c r="B639" t="str">
        <f>"075987945"</f>
        <v>075987945</v>
      </c>
      <c r="C639" t="s">
        <v>105</v>
      </c>
      <c r="D639" t="s">
        <v>1746</v>
      </c>
      <c r="E639" t="s">
        <v>72</v>
      </c>
      <c r="F639" t="s">
        <v>53</v>
      </c>
      <c r="G639" t="s">
        <v>237</v>
      </c>
      <c r="H639" t="str">
        <f>"ΘΕΣΠΡΩΤΙΑΣ 14 "</f>
        <v xml:space="preserve">ΘΕΣΠΡΩΤΙΑΣ 14 </v>
      </c>
      <c r="I639">
        <v>71303</v>
      </c>
      <c r="J639">
        <v>2810319634</v>
      </c>
      <c r="K639">
        <v>6975109940</v>
      </c>
      <c r="M639" t="s">
        <v>1747</v>
      </c>
      <c r="N639" t="s">
        <v>176</v>
      </c>
      <c r="O639" t="s">
        <v>177</v>
      </c>
      <c r="R639" t="s">
        <v>57</v>
      </c>
      <c r="S639">
        <v>14</v>
      </c>
      <c r="T639">
        <v>219</v>
      </c>
      <c r="U639" s="1">
        <v>37134</v>
      </c>
      <c r="V639" t="s">
        <v>123</v>
      </c>
      <c r="W639" t="s">
        <v>124</v>
      </c>
      <c r="X639" t="s">
        <v>58</v>
      </c>
      <c r="Y639">
        <v>20</v>
      </c>
      <c r="Z639" t="s">
        <v>59</v>
      </c>
      <c r="AA639" t="s">
        <v>59</v>
      </c>
      <c r="AB639" t="s">
        <v>59</v>
      </c>
      <c r="AC639" t="s">
        <v>59</v>
      </c>
      <c r="AD639" t="s">
        <v>59</v>
      </c>
      <c r="AF639" s="1">
        <v>37139</v>
      </c>
      <c r="AG639" t="s">
        <v>125</v>
      </c>
      <c r="AH639" t="s">
        <v>126</v>
      </c>
      <c r="AI639" t="str">
        <f>"1701050"</f>
        <v>1701050</v>
      </c>
      <c r="AJ639" t="s">
        <v>660</v>
      </c>
      <c r="AK639">
        <v>2810220729</v>
      </c>
      <c r="AL639" t="s">
        <v>661</v>
      </c>
      <c r="AM639" t="s">
        <v>78</v>
      </c>
      <c r="AN639" t="s">
        <v>78</v>
      </c>
      <c r="AO639" t="s">
        <v>78</v>
      </c>
      <c r="AP639" t="s">
        <v>79</v>
      </c>
      <c r="AQ639">
        <v>1</v>
      </c>
      <c r="AR639" t="s">
        <v>123</v>
      </c>
      <c r="AS639" t="s">
        <v>124</v>
      </c>
      <c r="AT639" t="s">
        <v>58</v>
      </c>
      <c r="AU639" t="s">
        <v>68</v>
      </c>
      <c r="AV639" t="s">
        <v>69</v>
      </c>
      <c r="AW639" s="1">
        <v>24901</v>
      </c>
      <c r="AX639">
        <v>2</v>
      </c>
    </row>
    <row r="640" spans="1:50">
      <c r="A640">
        <v>229405</v>
      </c>
      <c r="B640" t="str">
        <f>"103826341"</f>
        <v>103826341</v>
      </c>
      <c r="C640" t="s">
        <v>50</v>
      </c>
      <c r="D640" t="s">
        <v>1748</v>
      </c>
      <c r="E640" t="s">
        <v>263</v>
      </c>
      <c r="F640" t="s">
        <v>72</v>
      </c>
      <c r="G640" t="s">
        <v>191</v>
      </c>
      <c r="H640" t="str">
        <f>"Μ.ΚΩΝ/ΝΟΥ 13  ΠΟΡΟΣ"</f>
        <v>Μ.ΚΩΝ/ΝΟΥ 13  ΠΟΡΟΣ</v>
      </c>
      <c r="I640">
        <v>71307</v>
      </c>
      <c r="J640">
        <v>2815105364</v>
      </c>
      <c r="K640">
        <v>6976443055</v>
      </c>
      <c r="L640">
        <v>2895051282</v>
      </c>
      <c r="M640" t="s">
        <v>1749</v>
      </c>
      <c r="N640" t="s">
        <v>292</v>
      </c>
      <c r="O640" t="s">
        <v>293</v>
      </c>
      <c r="R640" t="s">
        <v>57</v>
      </c>
      <c r="S640">
        <v>5</v>
      </c>
      <c r="T640">
        <v>573</v>
      </c>
      <c r="U640" s="1">
        <v>40018</v>
      </c>
      <c r="V640" t="s">
        <v>123</v>
      </c>
      <c r="W640" t="s">
        <v>124</v>
      </c>
      <c r="X640" t="s">
        <v>58</v>
      </c>
      <c r="Y640">
        <v>21</v>
      </c>
      <c r="Z640" t="s">
        <v>59</v>
      </c>
      <c r="AA640" t="s">
        <v>59</v>
      </c>
      <c r="AB640" t="s">
        <v>59</v>
      </c>
      <c r="AC640" t="s">
        <v>59</v>
      </c>
      <c r="AD640" t="s">
        <v>59</v>
      </c>
      <c r="AF640" s="1">
        <v>40024</v>
      </c>
      <c r="AG640" t="s">
        <v>125</v>
      </c>
      <c r="AH640" t="s">
        <v>126</v>
      </c>
      <c r="AI640" t="str">
        <f>"1702010"</f>
        <v>1702010</v>
      </c>
      <c r="AJ640" t="s">
        <v>604</v>
      </c>
      <c r="AK640">
        <v>2891022228</v>
      </c>
      <c r="AL640" t="s">
        <v>605</v>
      </c>
      <c r="AM640" t="s">
        <v>78</v>
      </c>
      <c r="AN640" t="s">
        <v>276</v>
      </c>
      <c r="AO640" t="s">
        <v>490</v>
      </c>
      <c r="AP640" t="s">
        <v>490</v>
      </c>
      <c r="AQ640">
        <v>15</v>
      </c>
      <c r="AR640" t="s">
        <v>123</v>
      </c>
      <c r="AS640" t="s">
        <v>124</v>
      </c>
      <c r="AT640" t="s">
        <v>58</v>
      </c>
      <c r="AU640" t="s">
        <v>68</v>
      </c>
      <c r="AV640" t="s">
        <v>357</v>
      </c>
      <c r="AW640" s="1">
        <v>28085</v>
      </c>
      <c r="AX640">
        <v>2</v>
      </c>
    </row>
    <row r="641" spans="1:50">
      <c r="A641">
        <v>228869</v>
      </c>
      <c r="B641" t="str">
        <f>"114599495"</f>
        <v>114599495</v>
      </c>
      <c r="C641" t="s">
        <v>50</v>
      </c>
      <c r="D641" t="s">
        <v>1748</v>
      </c>
      <c r="E641" t="s">
        <v>809</v>
      </c>
      <c r="F641" t="s">
        <v>830</v>
      </c>
      <c r="G641" t="s">
        <v>1644</v>
      </c>
      <c r="H641" t="str">
        <f>"ΜΙΧΑΗΛ ΚΟΥΡΜΟΥΛΗ 23 "</f>
        <v xml:space="preserve">ΜΙΧΑΗΛ ΚΟΥΡΜΟΥΛΗ 23 </v>
      </c>
      <c r="I641">
        <v>71410</v>
      </c>
      <c r="J641">
        <v>2810871326</v>
      </c>
      <c r="K641">
        <v>6976951453</v>
      </c>
      <c r="M641" t="s">
        <v>1750</v>
      </c>
      <c r="N641" t="s">
        <v>299</v>
      </c>
      <c r="O641" t="s">
        <v>300</v>
      </c>
      <c r="R641" t="s">
        <v>57</v>
      </c>
      <c r="S641">
        <v>6</v>
      </c>
      <c r="T641">
        <v>683</v>
      </c>
      <c r="U641" s="1">
        <v>40052</v>
      </c>
      <c r="V641" t="s">
        <v>123</v>
      </c>
      <c r="W641" t="s">
        <v>124</v>
      </c>
      <c r="X641" t="s">
        <v>58</v>
      </c>
      <c r="Y641">
        <v>21</v>
      </c>
      <c r="Z641" t="s">
        <v>59</v>
      </c>
      <c r="AA641" t="s">
        <v>59</v>
      </c>
      <c r="AB641" t="s">
        <v>59</v>
      </c>
      <c r="AC641" t="s">
        <v>59</v>
      </c>
      <c r="AD641" t="s">
        <v>59</v>
      </c>
      <c r="AF641" s="1">
        <v>40052</v>
      </c>
      <c r="AG641" t="s">
        <v>137</v>
      </c>
      <c r="AH641" t="s">
        <v>138</v>
      </c>
      <c r="AI641" t="str">
        <f>"1740070"</f>
        <v>1740070</v>
      </c>
      <c r="AJ641" t="s">
        <v>206</v>
      </c>
      <c r="AK641">
        <v>2810324880</v>
      </c>
      <c r="AL641" t="s">
        <v>207</v>
      </c>
      <c r="AM641" t="s">
        <v>78</v>
      </c>
      <c r="AN641" t="s">
        <v>78</v>
      </c>
      <c r="AO641" t="s">
        <v>78</v>
      </c>
      <c r="AP641" t="s">
        <v>163</v>
      </c>
      <c r="AQ641">
        <v>9</v>
      </c>
      <c r="AR641" t="s">
        <v>123</v>
      </c>
      <c r="AS641" t="s">
        <v>124</v>
      </c>
      <c r="AT641" t="s">
        <v>58</v>
      </c>
      <c r="AU641" t="s">
        <v>68</v>
      </c>
      <c r="AV641" t="s">
        <v>69</v>
      </c>
      <c r="AW641" s="1">
        <v>25381</v>
      </c>
      <c r="AX641">
        <v>2</v>
      </c>
    </row>
    <row r="642" spans="1:50">
      <c r="A642">
        <v>165951</v>
      </c>
      <c r="B642" t="str">
        <f>"025521983"</f>
        <v>025521983</v>
      </c>
      <c r="C642" t="s">
        <v>105</v>
      </c>
      <c r="D642" t="s">
        <v>1751</v>
      </c>
      <c r="E642" t="s">
        <v>95</v>
      </c>
      <c r="F642" t="s">
        <v>84</v>
      </c>
      <c r="G642" t="s">
        <v>1752</v>
      </c>
      <c r="H642" t="str">
        <f>"ΣΙΚΥΩΝΟΣ 9 ΗΡΑΚΛΕΙΟ"</f>
        <v>ΣΙΚΥΩΝΟΣ 9 ΗΡΑΚΛΕΙΟ</v>
      </c>
      <c r="J642">
        <v>2810237767</v>
      </c>
      <c r="K642">
        <v>6936105233</v>
      </c>
      <c r="M642" t="s">
        <v>1753</v>
      </c>
      <c r="N642" t="s">
        <v>292</v>
      </c>
      <c r="O642" t="s">
        <v>293</v>
      </c>
      <c r="R642" t="s">
        <v>57</v>
      </c>
      <c r="S642">
        <v>13</v>
      </c>
      <c r="T642">
        <v>137</v>
      </c>
      <c r="U642" s="1">
        <v>34206</v>
      </c>
      <c r="V642" t="s">
        <v>123</v>
      </c>
      <c r="W642" t="s">
        <v>124</v>
      </c>
      <c r="X642" t="s">
        <v>58</v>
      </c>
      <c r="Y642">
        <v>18</v>
      </c>
      <c r="Z642" t="s">
        <v>59</v>
      </c>
      <c r="AA642" t="s">
        <v>59</v>
      </c>
      <c r="AB642" t="s">
        <v>59</v>
      </c>
      <c r="AC642" t="s">
        <v>59</v>
      </c>
      <c r="AD642" t="s">
        <v>59</v>
      </c>
      <c r="AF642" s="1">
        <v>34213</v>
      </c>
      <c r="AG642" t="s">
        <v>148</v>
      </c>
      <c r="AH642" t="s">
        <v>149</v>
      </c>
      <c r="AI642" t="str">
        <f>"1790100"</f>
        <v>1790100</v>
      </c>
      <c r="AJ642" t="s">
        <v>252</v>
      </c>
      <c r="AK642">
        <v>2810234876</v>
      </c>
      <c r="AL642" t="s">
        <v>253</v>
      </c>
      <c r="AM642" t="s">
        <v>78</v>
      </c>
      <c r="AN642" t="s">
        <v>78</v>
      </c>
      <c r="AO642" t="s">
        <v>78</v>
      </c>
      <c r="AP642" t="s">
        <v>163</v>
      </c>
      <c r="AQ642">
        <v>5</v>
      </c>
      <c r="AR642" t="s">
        <v>123</v>
      </c>
      <c r="AS642" t="s">
        <v>124</v>
      </c>
      <c r="AT642" t="s">
        <v>58</v>
      </c>
      <c r="AU642" t="s">
        <v>68</v>
      </c>
      <c r="AV642" t="s">
        <v>69</v>
      </c>
      <c r="AW642" s="1">
        <v>19840</v>
      </c>
      <c r="AX642">
        <v>2</v>
      </c>
    </row>
    <row r="643" spans="1:50">
      <c r="A643">
        <v>206620</v>
      </c>
      <c r="B643" t="str">
        <f>"110732800"</f>
        <v>110732800</v>
      </c>
      <c r="C643" t="s">
        <v>50</v>
      </c>
      <c r="D643" t="s">
        <v>1754</v>
      </c>
      <c r="E643" t="s">
        <v>1755</v>
      </c>
      <c r="F643" t="s">
        <v>1093</v>
      </c>
      <c r="G643" t="s">
        <v>71</v>
      </c>
      <c r="H643" t="str">
        <f>"Μ. ΜΕΡΚΟΥΡΗ 36 ΜΑΣΤΑΜΠΑΣ"</f>
        <v>Μ. ΜΕΡΚΟΥΡΗ 36 ΜΑΣΤΑΜΠΑΣ</v>
      </c>
      <c r="I643">
        <v>71305</v>
      </c>
      <c r="J643">
        <v>2810312198</v>
      </c>
      <c r="K643">
        <v>6973704692</v>
      </c>
      <c r="N643" t="s">
        <v>146</v>
      </c>
      <c r="O643" t="s">
        <v>147</v>
      </c>
      <c r="R643" t="s">
        <v>57</v>
      </c>
      <c r="S643">
        <v>7</v>
      </c>
      <c r="T643">
        <v>218</v>
      </c>
      <c r="U643" s="1">
        <v>38596</v>
      </c>
      <c r="V643" t="s">
        <v>123</v>
      </c>
      <c r="W643" t="s">
        <v>124</v>
      </c>
      <c r="X643" t="s">
        <v>58</v>
      </c>
      <c r="Y643">
        <v>20</v>
      </c>
      <c r="Z643" t="s">
        <v>59</v>
      </c>
      <c r="AA643" t="s">
        <v>59</v>
      </c>
      <c r="AB643" t="s">
        <v>59</v>
      </c>
      <c r="AC643" t="s">
        <v>59</v>
      </c>
      <c r="AD643" t="s">
        <v>59</v>
      </c>
      <c r="AF643" s="1">
        <v>38600</v>
      </c>
      <c r="AG643" t="s">
        <v>148</v>
      </c>
      <c r="AH643" t="s">
        <v>149</v>
      </c>
      <c r="AI643" t="str">
        <f>"1751020"</f>
        <v>1751020</v>
      </c>
      <c r="AJ643" t="s">
        <v>532</v>
      </c>
      <c r="AK643">
        <v>2810372732</v>
      </c>
      <c r="AL643" t="s">
        <v>533</v>
      </c>
      <c r="AM643" t="s">
        <v>78</v>
      </c>
      <c r="AN643" t="s">
        <v>78</v>
      </c>
      <c r="AO643" t="s">
        <v>78</v>
      </c>
      <c r="AP643" t="s">
        <v>163</v>
      </c>
      <c r="AQ643">
        <v>3</v>
      </c>
      <c r="AR643" t="s">
        <v>123</v>
      </c>
      <c r="AS643" t="s">
        <v>124</v>
      </c>
      <c r="AT643" t="s">
        <v>58</v>
      </c>
      <c r="AU643" t="s">
        <v>68</v>
      </c>
      <c r="AV643" t="s">
        <v>69</v>
      </c>
      <c r="AW643" s="1">
        <v>24714</v>
      </c>
      <c r="AX643">
        <v>2</v>
      </c>
    </row>
    <row r="644" spans="1:50">
      <c r="A644">
        <v>176976</v>
      </c>
      <c r="B644" t="str">
        <f>"068140050"</f>
        <v>068140050</v>
      </c>
      <c r="C644" t="s">
        <v>50</v>
      </c>
      <c r="D644" t="s">
        <v>1756</v>
      </c>
      <c r="E644" t="s">
        <v>155</v>
      </c>
      <c r="F644" t="s">
        <v>510</v>
      </c>
      <c r="G644" t="s">
        <v>904</v>
      </c>
      <c r="H644" t="str">
        <f>"ΤΥΜΠΑΚΙ ΔΗΜΟΣ ΦΑΙΣΤΟΥ"</f>
        <v>ΤΥΜΠΑΚΙ ΔΗΜΟΣ ΦΑΙΣΤΟΥ</v>
      </c>
      <c r="I644">
        <v>70200</v>
      </c>
      <c r="J644">
        <v>2892053193</v>
      </c>
      <c r="K644">
        <v>6934392202</v>
      </c>
      <c r="N644" t="s">
        <v>299</v>
      </c>
      <c r="O644" t="s">
        <v>300</v>
      </c>
      <c r="R644" t="s">
        <v>57</v>
      </c>
      <c r="S644">
        <v>11</v>
      </c>
      <c r="T644">
        <v>180</v>
      </c>
      <c r="U644" s="1">
        <v>35674</v>
      </c>
      <c r="V644" t="s">
        <v>123</v>
      </c>
      <c r="W644" t="s">
        <v>124</v>
      </c>
      <c r="X644" t="s">
        <v>58</v>
      </c>
      <c r="Y644">
        <v>18</v>
      </c>
      <c r="Z644" t="s">
        <v>59</v>
      </c>
      <c r="AA644" t="s">
        <v>59</v>
      </c>
      <c r="AB644" t="s">
        <v>59</v>
      </c>
      <c r="AC644" t="s">
        <v>59</v>
      </c>
      <c r="AD644" t="s">
        <v>59</v>
      </c>
      <c r="AF644" s="1">
        <v>35678</v>
      </c>
      <c r="AG644" t="s">
        <v>148</v>
      </c>
      <c r="AH644" t="s">
        <v>149</v>
      </c>
      <c r="AI644" t="str">
        <f>"1763010"</f>
        <v>1763010</v>
      </c>
      <c r="AJ644" t="s">
        <v>560</v>
      </c>
      <c r="AK644">
        <v>2892051146</v>
      </c>
      <c r="AL644" t="s">
        <v>561</v>
      </c>
      <c r="AM644" t="s">
        <v>78</v>
      </c>
      <c r="AN644" t="s">
        <v>242</v>
      </c>
      <c r="AO644" t="s">
        <v>349</v>
      </c>
      <c r="AP644" t="s">
        <v>349</v>
      </c>
      <c r="AQ644">
        <v>35</v>
      </c>
      <c r="AR644" t="s">
        <v>123</v>
      </c>
      <c r="AS644" t="s">
        <v>124</v>
      </c>
      <c r="AT644" t="s">
        <v>58</v>
      </c>
      <c r="AU644" t="s">
        <v>68</v>
      </c>
      <c r="AV644" t="s">
        <v>69</v>
      </c>
      <c r="AW644" s="1">
        <v>22054</v>
      </c>
      <c r="AX644">
        <v>2</v>
      </c>
    </row>
    <row r="645" spans="1:50">
      <c r="A645">
        <v>213701</v>
      </c>
      <c r="B645" t="str">
        <f>"112780621"</f>
        <v>112780621</v>
      </c>
      <c r="C645" t="s">
        <v>50</v>
      </c>
      <c r="D645" t="s">
        <v>1757</v>
      </c>
      <c r="E645" t="s">
        <v>513</v>
      </c>
      <c r="F645" t="s">
        <v>84</v>
      </c>
      <c r="G645" t="s">
        <v>237</v>
      </c>
      <c r="H645" t="str">
        <f>"ΒΕΝΙΖΕΛΟΥ 44 ΜΟΙΡΕΣ"</f>
        <v>ΒΕΝΙΖΕΛΟΥ 44 ΜΟΙΡΕΣ</v>
      </c>
      <c r="J645">
        <v>2310933469</v>
      </c>
      <c r="K645">
        <v>6946532691</v>
      </c>
      <c r="M645" t="s">
        <v>1758</v>
      </c>
      <c r="N645" t="s">
        <v>306</v>
      </c>
      <c r="O645" t="s">
        <v>307</v>
      </c>
      <c r="R645" t="s">
        <v>57</v>
      </c>
      <c r="S645">
        <v>7</v>
      </c>
      <c r="T645">
        <v>231</v>
      </c>
      <c r="U645" s="1">
        <v>38960</v>
      </c>
      <c r="V645" t="s">
        <v>123</v>
      </c>
      <c r="W645" t="s">
        <v>124</v>
      </c>
      <c r="X645" t="s">
        <v>58</v>
      </c>
      <c r="Y645">
        <v>20</v>
      </c>
      <c r="Z645" t="s">
        <v>59</v>
      </c>
      <c r="AA645" t="s">
        <v>59</v>
      </c>
      <c r="AB645" t="s">
        <v>59</v>
      </c>
      <c r="AC645" t="s">
        <v>59</v>
      </c>
      <c r="AD645" t="s">
        <v>59</v>
      </c>
      <c r="AF645" s="1">
        <v>38961</v>
      </c>
      <c r="AG645" t="s">
        <v>148</v>
      </c>
      <c r="AH645" t="s">
        <v>149</v>
      </c>
      <c r="AI645" t="str">
        <f>"1757010"</f>
        <v>1757010</v>
      </c>
      <c r="AJ645" t="s">
        <v>240</v>
      </c>
      <c r="AK645">
        <v>2892041388</v>
      </c>
      <c r="AL645" t="s">
        <v>241</v>
      </c>
      <c r="AM645" t="s">
        <v>78</v>
      </c>
      <c r="AN645" t="s">
        <v>242</v>
      </c>
      <c r="AO645" t="s">
        <v>243</v>
      </c>
      <c r="AP645" t="s">
        <v>244</v>
      </c>
      <c r="AQ645">
        <v>34</v>
      </c>
      <c r="AR645" t="s">
        <v>123</v>
      </c>
      <c r="AS645" t="s">
        <v>124</v>
      </c>
      <c r="AT645" t="s">
        <v>58</v>
      </c>
      <c r="AU645" t="s">
        <v>68</v>
      </c>
      <c r="AV645" t="s">
        <v>69</v>
      </c>
      <c r="AW645" s="1">
        <v>30099</v>
      </c>
      <c r="AX645">
        <v>2</v>
      </c>
    </row>
    <row r="646" spans="1:50">
      <c r="A646">
        <v>222119</v>
      </c>
      <c r="B646" t="str">
        <f>"053582826"</f>
        <v>053582826</v>
      </c>
      <c r="C646" t="s">
        <v>50</v>
      </c>
      <c r="D646" t="s">
        <v>1759</v>
      </c>
      <c r="E646" t="s">
        <v>1760</v>
      </c>
      <c r="F646" t="s">
        <v>1761</v>
      </c>
      <c r="G646" t="s">
        <v>563</v>
      </c>
      <c r="H646" t="str">
        <f>"ΞΗΡΟΥΔΑΚΗ 14 ΗΡΑΚΛΕΙΟ"</f>
        <v>ΞΗΡΟΥΔΑΚΗ 14 ΗΡΑΚΛΕΙΟ</v>
      </c>
      <c r="I646">
        <v>71409</v>
      </c>
      <c r="J646">
        <v>2107715534</v>
      </c>
      <c r="K646">
        <v>6946608350</v>
      </c>
      <c r="L646">
        <v>2810212792</v>
      </c>
      <c r="M646" t="s">
        <v>1762</v>
      </c>
      <c r="N646" t="s">
        <v>146</v>
      </c>
      <c r="O646" t="s">
        <v>147</v>
      </c>
      <c r="R646" t="s">
        <v>57</v>
      </c>
      <c r="S646">
        <v>8</v>
      </c>
      <c r="T646">
        <v>775</v>
      </c>
      <c r="U646" s="1">
        <v>39680</v>
      </c>
      <c r="V646" t="s">
        <v>123</v>
      </c>
      <c r="W646" t="s">
        <v>124</v>
      </c>
      <c r="X646" t="s">
        <v>58</v>
      </c>
      <c r="Y646">
        <v>20</v>
      </c>
      <c r="Z646" t="s">
        <v>59</v>
      </c>
      <c r="AA646" t="s">
        <v>59</v>
      </c>
      <c r="AB646" t="s">
        <v>59</v>
      </c>
      <c r="AC646" t="s">
        <v>59</v>
      </c>
      <c r="AD646" t="s">
        <v>59</v>
      </c>
      <c r="AF646" s="1">
        <v>39681</v>
      </c>
      <c r="AG646" t="s">
        <v>125</v>
      </c>
      <c r="AH646" t="s">
        <v>126</v>
      </c>
      <c r="AI646" t="str">
        <f>"1714012"</f>
        <v>1714012</v>
      </c>
      <c r="AJ646" t="s">
        <v>633</v>
      </c>
      <c r="AK646">
        <v>2810762261</v>
      </c>
      <c r="AL646" t="s">
        <v>634</v>
      </c>
      <c r="AM646" t="s">
        <v>78</v>
      </c>
      <c r="AN646" t="s">
        <v>219</v>
      </c>
      <c r="AO646" t="s">
        <v>297</v>
      </c>
      <c r="AP646" t="s">
        <v>297</v>
      </c>
      <c r="AQ646">
        <v>37</v>
      </c>
      <c r="AR646" t="s">
        <v>123</v>
      </c>
      <c r="AS646" t="s">
        <v>124</v>
      </c>
      <c r="AT646" t="s">
        <v>58</v>
      </c>
      <c r="AU646" t="s">
        <v>68</v>
      </c>
      <c r="AV646" t="s">
        <v>69</v>
      </c>
      <c r="AW646" s="1">
        <v>28391</v>
      </c>
      <c r="AX646">
        <v>2</v>
      </c>
    </row>
    <row r="647" spans="1:50">
      <c r="A647">
        <v>204490</v>
      </c>
      <c r="B647" t="str">
        <f>"061804359"</f>
        <v>061804359</v>
      </c>
      <c r="C647" t="s">
        <v>50</v>
      </c>
      <c r="D647" t="s">
        <v>1763</v>
      </c>
      <c r="E647" t="s">
        <v>658</v>
      </c>
      <c r="F647" t="s">
        <v>670</v>
      </c>
      <c r="G647" t="s">
        <v>1764</v>
      </c>
      <c r="H647" t="str">
        <f>"ΚΛΕΙΣΘΕΝΟΥΣ 23  ΗΡΑΚΛΕΙΟ"</f>
        <v>ΚΛΕΙΣΘΕΝΟΥΣ 23  ΗΡΑΚΛΕΙΟ</v>
      </c>
      <c r="I647">
        <v>71409</v>
      </c>
      <c r="J647">
        <v>2810239861</v>
      </c>
      <c r="K647">
        <v>6937291645</v>
      </c>
      <c r="M647" t="s">
        <v>1765</v>
      </c>
      <c r="N647" t="s">
        <v>337</v>
      </c>
      <c r="O647" t="s">
        <v>338</v>
      </c>
      <c r="R647" t="s">
        <v>57</v>
      </c>
      <c r="S647">
        <v>9</v>
      </c>
      <c r="T647">
        <v>231</v>
      </c>
      <c r="U647" s="1">
        <v>38230</v>
      </c>
      <c r="V647" t="s">
        <v>123</v>
      </c>
      <c r="W647" t="s">
        <v>124</v>
      </c>
      <c r="X647" t="s">
        <v>58</v>
      </c>
      <c r="Y647">
        <v>20</v>
      </c>
      <c r="Z647" t="s">
        <v>59</v>
      </c>
      <c r="AA647" t="s">
        <v>59</v>
      </c>
      <c r="AB647" t="s">
        <v>59</v>
      </c>
      <c r="AC647" t="s">
        <v>59</v>
      </c>
      <c r="AD647" t="s">
        <v>59</v>
      </c>
      <c r="AF647" s="1">
        <v>38232</v>
      </c>
      <c r="AG647" t="s">
        <v>125</v>
      </c>
      <c r="AH647" t="s">
        <v>294</v>
      </c>
      <c r="AI647" t="str">
        <f>"1701015"</f>
        <v>1701015</v>
      </c>
      <c r="AJ647" t="s">
        <v>295</v>
      </c>
      <c r="AK647">
        <v>2810761696</v>
      </c>
      <c r="AL647" t="s">
        <v>296</v>
      </c>
      <c r="AM647" t="s">
        <v>78</v>
      </c>
      <c r="AN647" t="s">
        <v>219</v>
      </c>
      <c r="AO647" t="s">
        <v>297</v>
      </c>
      <c r="AP647" t="s">
        <v>297</v>
      </c>
      <c r="AQ647">
        <v>10</v>
      </c>
      <c r="AR647" t="s">
        <v>123</v>
      </c>
      <c r="AS647" t="s">
        <v>124</v>
      </c>
      <c r="AT647" t="s">
        <v>58</v>
      </c>
      <c r="AU647" t="s">
        <v>68</v>
      </c>
      <c r="AV647" t="s">
        <v>69</v>
      </c>
      <c r="AW647" s="1">
        <v>28484</v>
      </c>
      <c r="AX647">
        <v>2</v>
      </c>
    </row>
    <row r="648" spans="1:50">
      <c r="A648">
        <v>905101</v>
      </c>
      <c r="B648" t="str">
        <f>"063903150"</f>
        <v>063903150</v>
      </c>
      <c r="C648" t="s">
        <v>50</v>
      </c>
      <c r="D648" t="s">
        <v>1766</v>
      </c>
      <c r="E648" t="s">
        <v>1767</v>
      </c>
      <c r="F648" t="s">
        <v>95</v>
      </c>
      <c r="G648" t="s">
        <v>1763</v>
      </c>
      <c r="H648" t="str">
        <f>"ΦΕΙΔΩΝΟΣ 5 ΗΡΑΚΛΕΙΟ"</f>
        <v>ΦΕΙΔΩΝΟΣ 5 ΗΡΑΚΛΕΙΟ</v>
      </c>
      <c r="I648">
        <v>71307</v>
      </c>
      <c r="J648">
        <v>2810262151</v>
      </c>
      <c r="K648">
        <v>6973819151</v>
      </c>
      <c r="M648" t="s">
        <v>1768</v>
      </c>
      <c r="N648" t="s">
        <v>146</v>
      </c>
      <c r="O648" t="s">
        <v>147</v>
      </c>
      <c r="R648" t="s">
        <v>57</v>
      </c>
      <c r="S648">
        <v>17</v>
      </c>
      <c r="T648">
        <v>276</v>
      </c>
      <c r="U648" s="1">
        <v>30552</v>
      </c>
      <c r="V648" t="s">
        <v>123</v>
      </c>
      <c r="W648" t="s">
        <v>124</v>
      </c>
      <c r="X648" t="s">
        <v>58</v>
      </c>
      <c r="Y648">
        <v>18</v>
      </c>
      <c r="Z648" t="s">
        <v>59</v>
      </c>
      <c r="AA648" t="s">
        <v>59</v>
      </c>
      <c r="AB648" t="s">
        <v>59</v>
      </c>
      <c r="AC648" t="s">
        <v>59</v>
      </c>
      <c r="AD648" t="s">
        <v>59</v>
      </c>
      <c r="AF648" s="1">
        <v>30560</v>
      </c>
      <c r="AG648" t="s">
        <v>125</v>
      </c>
      <c r="AH648" t="s">
        <v>126</v>
      </c>
      <c r="AI648" t="str">
        <f>"1728010"</f>
        <v>1728010</v>
      </c>
      <c r="AJ648" t="s">
        <v>127</v>
      </c>
      <c r="AK648">
        <v>2810824651</v>
      </c>
      <c r="AL648" t="s">
        <v>128</v>
      </c>
      <c r="AM648" t="s">
        <v>78</v>
      </c>
      <c r="AN648" t="s">
        <v>129</v>
      </c>
      <c r="AO648" t="s">
        <v>130</v>
      </c>
      <c r="AP648" t="s">
        <v>130</v>
      </c>
      <c r="AQ648">
        <v>36</v>
      </c>
      <c r="AR648" t="s">
        <v>123</v>
      </c>
      <c r="AS648" t="s">
        <v>124</v>
      </c>
      <c r="AT648" t="s">
        <v>58</v>
      </c>
      <c r="AU648" t="s">
        <v>68</v>
      </c>
      <c r="AV648" t="s">
        <v>69</v>
      </c>
      <c r="AW648" s="1">
        <v>21364</v>
      </c>
      <c r="AX648">
        <v>2</v>
      </c>
    </row>
    <row r="649" spans="1:50">
      <c r="B649" t="str">
        <f>"128140280"</f>
        <v>128140280</v>
      </c>
      <c r="C649" t="s">
        <v>50</v>
      </c>
      <c r="D649" t="s">
        <v>1769</v>
      </c>
      <c r="E649" t="s">
        <v>237</v>
      </c>
      <c r="F649" t="s">
        <v>1705</v>
      </c>
      <c r="G649" t="s">
        <v>52</v>
      </c>
      <c r="H649" t="str">
        <f>"Γ.ΣΕΦΕΡΗ 1 ΩΡΑΙΟΚΑΣΤΡΟ ΘΕΣΣΑΛΟΝΙΚΗ"</f>
        <v>Γ.ΣΕΦΕΡΗ 1 ΩΡΑΙΟΚΑΣΤΡΟ ΘΕΣΣΑΛΟΝΙΚΗ</v>
      </c>
      <c r="I649">
        <v>57013</v>
      </c>
      <c r="J649">
        <v>2310698470</v>
      </c>
      <c r="K649">
        <v>6979107792</v>
      </c>
      <c r="M649" t="s">
        <v>1770</v>
      </c>
      <c r="N649" t="s">
        <v>306</v>
      </c>
      <c r="O649" t="s">
        <v>307</v>
      </c>
      <c r="R649" t="s">
        <v>159</v>
      </c>
      <c r="S649">
        <v>4</v>
      </c>
      <c r="T649" t="s">
        <v>873</v>
      </c>
      <c r="U649" s="1">
        <v>43377</v>
      </c>
      <c r="V649" t="s">
        <v>123</v>
      </c>
      <c r="W649" t="s">
        <v>124</v>
      </c>
      <c r="X649" t="s">
        <v>58</v>
      </c>
      <c r="Y649">
        <v>21</v>
      </c>
      <c r="Z649" t="s">
        <v>59</v>
      </c>
      <c r="AA649" t="s">
        <v>59</v>
      </c>
      <c r="AB649" t="s">
        <v>59</v>
      </c>
      <c r="AC649" t="s">
        <v>59</v>
      </c>
      <c r="AD649" t="s">
        <v>59</v>
      </c>
      <c r="AF649" s="1">
        <v>43377</v>
      </c>
      <c r="AG649" t="s">
        <v>148</v>
      </c>
      <c r="AH649" t="s">
        <v>149</v>
      </c>
      <c r="AI649" t="str">
        <f>"1751042"</f>
        <v>1751042</v>
      </c>
      <c r="AJ649" t="s">
        <v>959</v>
      </c>
      <c r="AK649">
        <v>2810220685</v>
      </c>
      <c r="AL649" t="s">
        <v>960</v>
      </c>
      <c r="AM649" t="s">
        <v>78</v>
      </c>
      <c r="AN649" t="s">
        <v>78</v>
      </c>
      <c r="AO649" t="s">
        <v>78</v>
      </c>
      <c r="AP649" t="s">
        <v>213</v>
      </c>
      <c r="AQ649">
        <v>6</v>
      </c>
      <c r="AR649" t="s">
        <v>123</v>
      </c>
      <c r="AS649" t="s">
        <v>124</v>
      </c>
      <c r="AT649" t="s">
        <v>58</v>
      </c>
      <c r="AU649" t="s">
        <v>164</v>
      </c>
      <c r="AV649" t="s">
        <v>132</v>
      </c>
      <c r="AW649" s="1">
        <v>28943</v>
      </c>
      <c r="AX649">
        <v>2</v>
      </c>
    </row>
    <row r="650" spans="1:50">
      <c r="A650">
        <v>185158</v>
      </c>
      <c r="B650" t="str">
        <f>"046850990"</f>
        <v>046850990</v>
      </c>
      <c r="C650" t="s">
        <v>105</v>
      </c>
      <c r="D650" t="s">
        <v>1771</v>
      </c>
      <c r="E650" t="s">
        <v>1136</v>
      </c>
      <c r="F650" t="s">
        <v>153</v>
      </c>
      <c r="G650" t="s">
        <v>52</v>
      </c>
      <c r="H650" t="str">
        <f>"ΑΝΝΑΓΕΝΗΣΕΩΣ 41  ΜΑΣΤΑΜΠΑΣ"</f>
        <v>ΑΝΝΑΓΕΝΗΣΕΩΣ 41  ΜΑΣΤΑΜΠΑΣ</v>
      </c>
      <c r="I650">
        <v>71305</v>
      </c>
      <c r="J650">
        <v>2810315334</v>
      </c>
      <c r="K650">
        <v>6972786415</v>
      </c>
      <c r="M650" t="s">
        <v>1772</v>
      </c>
      <c r="N650" t="s">
        <v>204</v>
      </c>
      <c r="O650" t="s">
        <v>205</v>
      </c>
      <c r="R650" t="s">
        <v>57</v>
      </c>
      <c r="S650">
        <v>10</v>
      </c>
      <c r="T650" t="s">
        <v>1773</v>
      </c>
      <c r="U650" s="1">
        <v>36039</v>
      </c>
      <c r="V650" t="s">
        <v>123</v>
      </c>
      <c r="W650" t="s">
        <v>124</v>
      </c>
      <c r="X650" t="s">
        <v>58</v>
      </c>
      <c r="Y650">
        <v>18</v>
      </c>
      <c r="Z650" t="s">
        <v>59</v>
      </c>
      <c r="AA650" t="s">
        <v>59</v>
      </c>
      <c r="AB650" t="s">
        <v>59</v>
      </c>
      <c r="AC650" t="s">
        <v>59</v>
      </c>
      <c r="AD650" t="s">
        <v>59</v>
      </c>
      <c r="AF650" s="1">
        <v>36040</v>
      </c>
      <c r="AG650" t="s">
        <v>148</v>
      </c>
      <c r="AH650" t="s">
        <v>149</v>
      </c>
      <c r="AI650" t="str">
        <f>"1751030"</f>
        <v>1751030</v>
      </c>
      <c r="AJ650" t="s">
        <v>234</v>
      </c>
      <c r="AK650">
        <v>2810282911</v>
      </c>
      <c r="AL650" t="s">
        <v>235</v>
      </c>
      <c r="AM650" t="s">
        <v>78</v>
      </c>
      <c r="AN650" t="s">
        <v>78</v>
      </c>
      <c r="AO650" t="s">
        <v>78</v>
      </c>
      <c r="AP650" t="s">
        <v>163</v>
      </c>
      <c r="AQ650">
        <v>1</v>
      </c>
      <c r="AR650" t="s">
        <v>123</v>
      </c>
      <c r="AS650" t="s">
        <v>124</v>
      </c>
      <c r="AT650" t="s">
        <v>58</v>
      </c>
      <c r="AU650" t="s">
        <v>68</v>
      </c>
      <c r="AV650" t="s">
        <v>69</v>
      </c>
      <c r="AW650" s="1">
        <v>25819</v>
      </c>
      <c r="AX650">
        <v>2</v>
      </c>
    </row>
    <row r="651" spans="1:50">
      <c r="A651">
        <v>213703</v>
      </c>
      <c r="B651" t="str">
        <f>"131134665"</f>
        <v>131134665</v>
      </c>
      <c r="C651" t="s">
        <v>50</v>
      </c>
      <c r="D651" t="s">
        <v>1774</v>
      </c>
      <c r="E651" t="s">
        <v>143</v>
      </c>
      <c r="F651" t="s">
        <v>84</v>
      </c>
      <c r="G651" t="s">
        <v>1074</v>
      </c>
      <c r="H651" t="str">
        <f>"ΚΟΥΜΠΙΑ 1Β ΘΕΣΣΑΛΟΝΙΚΗ"</f>
        <v>ΚΟΥΜΠΙΑ 1Β ΘΕΣΣΑΛΟΝΙΚΗ</v>
      </c>
      <c r="I651">
        <v>55132</v>
      </c>
      <c r="J651">
        <v>2310414335</v>
      </c>
      <c r="K651">
        <v>6945212474</v>
      </c>
      <c r="M651" t="s">
        <v>1775</v>
      </c>
      <c r="N651" t="s">
        <v>306</v>
      </c>
      <c r="O651" t="s">
        <v>307</v>
      </c>
      <c r="R651" t="s">
        <v>57</v>
      </c>
      <c r="S651">
        <v>7</v>
      </c>
      <c r="T651">
        <v>231</v>
      </c>
      <c r="U651" s="1">
        <v>38960</v>
      </c>
      <c r="V651" t="s">
        <v>123</v>
      </c>
      <c r="W651" t="s">
        <v>124</v>
      </c>
      <c r="X651" t="s">
        <v>58</v>
      </c>
      <c r="Y651">
        <v>20</v>
      </c>
      <c r="Z651" t="s">
        <v>59</v>
      </c>
      <c r="AA651" t="s">
        <v>59</v>
      </c>
      <c r="AB651" t="s">
        <v>59</v>
      </c>
      <c r="AC651" t="s">
        <v>59</v>
      </c>
      <c r="AD651" t="s">
        <v>59</v>
      </c>
      <c r="AF651" s="1">
        <v>38961</v>
      </c>
      <c r="AG651" t="s">
        <v>125</v>
      </c>
      <c r="AH651" t="s">
        <v>126</v>
      </c>
      <c r="AI651" t="str">
        <f>"1708010"</f>
        <v>1708010</v>
      </c>
      <c r="AJ651" t="s">
        <v>1147</v>
      </c>
      <c r="AK651">
        <v>2893022204</v>
      </c>
      <c r="AL651" t="s">
        <v>1148</v>
      </c>
      <c r="AM651" t="s">
        <v>78</v>
      </c>
      <c r="AN651" t="s">
        <v>424</v>
      </c>
      <c r="AO651" t="s">
        <v>577</v>
      </c>
      <c r="AP651" t="s">
        <v>578</v>
      </c>
      <c r="AQ651">
        <v>24</v>
      </c>
      <c r="AR651" t="s">
        <v>123</v>
      </c>
      <c r="AS651" t="s">
        <v>124</v>
      </c>
      <c r="AT651" t="s">
        <v>58</v>
      </c>
      <c r="AU651" t="s">
        <v>68</v>
      </c>
      <c r="AV651" t="s">
        <v>69</v>
      </c>
      <c r="AW651" s="1">
        <v>24999</v>
      </c>
      <c r="AX651">
        <v>2</v>
      </c>
    </row>
    <row r="652" spans="1:50">
      <c r="A652">
        <v>226121</v>
      </c>
      <c r="B652" t="str">
        <f>"128255114"</f>
        <v>128255114</v>
      </c>
      <c r="C652" t="s">
        <v>105</v>
      </c>
      <c r="D652" t="s">
        <v>1776</v>
      </c>
      <c r="E652" t="s">
        <v>95</v>
      </c>
      <c r="F652" t="s">
        <v>72</v>
      </c>
      <c r="G652" t="s">
        <v>1777</v>
      </c>
      <c r="H652" t="str">
        <f>"ΑΝΤ. ΜΕΛΙΔΩΝΗ 5 ΗΡΑΚΛΕΙΟ"</f>
        <v>ΑΝΤ. ΜΕΛΙΔΩΝΗ 5 ΗΡΑΚΛΕΙΟ</v>
      </c>
      <c r="I652">
        <v>71202</v>
      </c>
      <c r="J652">
        <v>2810288727</v>
      </c>
      <c r="K652">
        <v>6942226807</v>
      </c>
      <c r="L652">
        <v>2810288727</v>
      </c>
      <c r="M652" t="s">
        <v>1778</v>
      </c>
      <c r="N652" t="s">
        <v>337</v>
      </c>
      <c r="O652" t="s">
        <v>338</v>
      </c>
      <c r="P652" t="s">
        <v>299</v>
      </c>
      <c r="Q652" t="s">
        <v>300</v>
      </c>
      <c r="R652" t="s">
        <v>57</v>
      </c>
      <c r="S652">
        <v>5</v>
      </c>
      <c r="T652">
        <v>652</v>
      </c>
      <c r="U652" s="1">
        <v>40043</v>
      </c>
      <c r="V652" t="s">
        <v>123</v>
      </c>
      <c r="W652" t="s">
        <v>124</v>
      </c>
      <c r="X652" t="s">
        <v>58</v>
      </c>
      <c r="Y652">
        <v>21</v>
      </c>
      <c r="Z652" t="s">
        <v>59</v>
      </c>
      <c r="AA652" t="s">
        <v>59</v>
      </c>
      <c r="AB652" t="s">
        <v>59</v>
      </c>
      <c r="AC652" t="s">
        <v>59</v>
      </c>
      <c r="AD652" t="s">
        <v>59</v>
      </c>
      <c r="AF652" s="1">
        <v>40043</v>
      </c>
      <c r="AG652" t="s">
        <v>125</v>
      </c>
      <c r="AH652" t="s">
        <v>294</v>
      </c>
      <c r="AI652" t="str">
        <f>"1701015"</f>
        <v>1701015</v>
      </c>
      <c r="AJ652" t="s">
        <v>295</v>
      </c>
      <c r="AK652">
        <v>2810761696</v>
      </c>
      <c r="AL652" t="s">
        <v>296</v>
      </c>
      <c r="AM652" t="s">
        <v>78</v>
      </c>
      <c r="AN652" t="s">
        <v>219</v>
      </c>
      <c r="AO652" t="s">
        <v>297</v>
      </c>
      <c r="AP652" t="s">
        <v>297</v>
      </c>
      <c r="AQ652">
        <v>10</v>
      </c>
      <c r="AR652" t="s">
        <v>123</v>
      </c>
      <c r="AS652" t="s">
        <v>124</v>
      </c>
      <c r="AT652" t="s">
        <v>58</v>
      </c>
      <c r="AU652" t="s">
        <v>68</v>
      </c>
      <c r="AV652" t="s">
        <v>69</v>
      </c>
      <c r="AW652" s="1">
        <v>29132</v>
      </c>
      <c r="AX652">
        <v>2</v>
      </c>
    </row>
    <row r="653" spans="1:50">
      <c r="B653" t="str">
        <f>"129995765"</f>
        <v>129995765</v>
      </c>
      <c r="C653" t="s">
        <v>50</v>
      </c>
      <c r="D653" t="s">
        <v>1779</v>
      </c>
      <c r="E653" t="s">
        <v>396</v>
      </c>
      <c r="F653" t="s">
        <v>202</v>
      </c>
      <c r="G653" t="s">
        <v>566</v>
      </c>
      <c r="H653" t="str">
        <f>" "</f>
        <v xml:space="preserve"> </v>
      </c>
      <c r="N653" t="s">
        <v>282</v>
      </c>
      <c r="O653" t="s">
        <v>283</v>
      </c>
      <c r="R653" t="s">
        <v>121</v>
      </c>
      <c r="S653">
        <v>1</v>
      </c>
      <c r="T653" t="s">
        <v>416</v>
      </c>
      <c r="U653" s="1">
        <v>43349</v>
      </c>
      <c r="V653" t="s">
        <v>123</v>
      </c>
      <c r="W653" t="s">
        <v>124</v>
      </c>
      <c r="X653" t="s">
        <v>58</v>
      </c>
      <c r="Y653">
        <v>23</v>
      </c>
      <c r="Z653" t="s">
        <v>59</v>
      </c>
      <c r="AA653" t="s">
        <v>59</v>
      </c>
      <c r="AB653" t="s">
        <v>59</v>
      </c>
      <c r="AD653" t="s">
        <v>59</v>
      </c>
      <c r="AF653" s="1">
        <v>43349</v>
      </c>
      <c r="AG653" t="s">
        <v>137</v>
      </c>
      <c r="AH653" t="s">
        <v>469</v>
      </c>
      <c r="AI653" t="str">
        <f>"1740200"</f>
        <v>1740200</v>
      </c>
      <c r="AJ653" t="s">
        <v>470</v>
      </c>
      <c r="AK653">
        <v>2810320770</v>
      </c>
      <c r="AL653" t="s">
        <v>471</v>
      </c>
      <c r="AM653" t="s">
        <v>78</v>
      </c>
      <c r="AN653" t="s">
        <v>78</v>
      </c>
      <c r="AO653" t="s">
        <v>78</v>
      </c>
      <c r="AP653" t="s">
        <v>163</v>
      </c>
      <c r="AQ653">
        <v>2</v>
      </c>
      <c r="AR653" t="s">
        <v>123</v>
      </c>
      <c r="AS653" t="s">
        <v>124</v>
      </c>
      <c r="AT653" t="s">
        <v>58</v>
      </c>
      <c r="AU653" t="s">
        <v>419</v>
      </c>
      <c r="AV653" t="s">
        <v>132</v>
      </c>
      <c r="AW653" s="1">
        <v>32713</v>
      </c>
      <c r="AX653">
        <v>2</v>
      </c>
    </row>
    <row r="654" spans="1:50">
      <c r="A654">
        <v>205012</v>
      </c>
      <c r="B654" t="str">
        <f>"054160848"</f>
        <v>054160848</v>
      </c>
      <c r="C654" t="s">
        <v>50</v>
      </c>
      <c r="D654" t="s">
        <v>1780</v>
      </c>
      <c r="E654" t="s">
        <v>610</v>
      </c>
      <c r="F654" t="s">
        <v>383</v>
      </c>
      <c r="G654" t="s">
        <v>1781</v>
      </c>
      <c r="H654" t="str">
        <f>" "</f>
        <v xml:space="preserve"> </v>
      </c>
      <c r="J654">
        <v>2810330892</v>
      </c>
      <c r="K654">
        <v>6973629444</v>
      </c>
      <c r="M654" t="s">
        <v>1782</v>
      </c>
      <c r="N654" t="s">
        <v>547</v>
      </c>
      <c r="O654" t="s">
        <v>548</v>
      </c>
      <c r="R654" t="s">
        <v>57</v>
      </c>
      <c r="S654">
        <v>13</v>
      </c>
      <c r="T654">
        <v>231</v>
      </c>
      <c r="U654" s="1">
        <v>38230</v>
      </c>
      <c r="V654" t="s">
        <v>123</v>
      </c>
      <c r="W654" t="s">
        <v>124</v>
      </c>
      <c r="X654" t="s">
        <v>58</v>
      </c>
      <c r="Y654">
        <v>18</v>
      </c>
      <c r="Z654" t="s">
        <v>59</v>
      </c>
      <c r="AA654" t="s">
        <v>59</v>
      </c>
      <c r="AB654" t="s">
        <v>59</v>
      </c>
      <c r="AC654" t="s">
        <v>59</v>
      </c>
      <c r="AD654" t="s">
        <v>59</v>
      </c>
      <c r="AF654" s="1">
        <v>38232</v>
      </c>
      <c r="AG654" t="s">
        <v>137</v>
      </c>
      <c r="AH654" t="s">
        <v>469</v>
      </c>
      <c r="AI654" t="str">
        <f>"1740200"</f>
        <v>1740200</v>
      </c>
      <c r="AJ654" t="s">
        <v>470</v>
      </c>
      <c r="AK654">
        <v>2810320770</v>
      </c>
      <c r="AL654" t="s">
        <v>471</v>
      </c>
      <c r="AM654" t="s">
        <v>78</v>
      </c>
      <c r="AN654" t="s">
        <v>78</v>
      </c>
      <c r="AO654" t="s">
        <v>78</v>
      </c>
      <c r="AP654" t="s">
        <v>163</v>
      </c>
      <c r="AQ654">
        <v>2</v>
      </c>
      <c r="AR654" t="s">
        <v>123</v>
      </c>
      <c r="AS654" t="s">
        <v>124</v>
      </c>
      <c r="AT654" t="s">
        <v>58</v>
      </c>
      <c r="AU654" t="s">
        <v>68</v>
      </c>
      <c r="AV654" t="s">
        <v>69</v>
      </c>
      <c r="AW654" s="1">
        <v>24716</v>
      </c>
      <c r="AX654">
        <v>2</v>
      </c>
    </row>
    <row r="655" spans="1:50">
      <c r="B655" t="str">
        <f>"054148884"</f>
        <v>054148884</v>
      </c>
      <c r="C655" t="s">
        <v>105</v>
      </c>
      <c r="D655" t="s">
        <v>1783</v>
      </c>
      <c r="E655" t="s">
        <v>166</v>
      </c>
      <c r="F655" t="s">
        <v>383</v>
      </c>
      <c r="G655" t="s">
        <v>1781</v>
      </c>
      <c r="H655" t="str">
        <f>"ΑΝΘΕΩΝ 37 "</f>
        <v xml:space="preserve">ΑΝΘΕΩΝ 37 </v>
      </c>
      <c r="I655">
        <v>71409</v>
      </c>
      <c r="K655">
        <v>6980440444</v>
      </c>
      <c r="N655" t="s">
        <v>587</v>
      </c>
      <c r="O655" t="s">
        <v>588</v>
      </c>
      <c r="R655" t="s">
        <v>159</v>
      </c>
      <c r="S655">
        <v>7</v>
      </c>
      <c r="T655" t="s">
        <v>416</v>
      </c>
      <c r="U655" s="1">
        <v>43349</v>
      </c>
      <c r="V655" t="s">
        <v>123</v>
      </c>
      <c r="W655" t="s">
        <v>124</v>
      </c>
      <c r="X655" t="s">
        <v>58</v>
      </c>
      <c r="Y655">
        <v>23</v>
      </c>
      <c r="Z655" t="s">
        <v>59</v>
      </c>
      <c r="AA655" t="s">
        <v>59</v>
      </c>
      <c r="AB655" t="s">
        <v>59</v>
      </c>
      <c r="AC655" t="s">
        <v>59</v>
      </c>
      <c r="AD655" t="s">
        <v>59</v>
      </c>
      <c r="AF655" s="1">
        <v>43349</v>
      </c>
      <c r="AG655" t="s">
        <v>137</v>
      </c>
      <c r="AH655" t="s">
        <v>138</v>
      </c>
      <c r="AI655" t="str">
        <f>"1740310"</f>
        <v>1740310</v>
      </c>
      <c r="AJ655" t="s">
        <v>488</v>
      </c>
      <c r="AK655">
        <v>2891024228</v>
      </c>
      <c r="AL655" t="s">
        <v>489</v>
      </c>
      <c r="AM655" t="s">
        <v>78</v>
      </c>
      <c r="AN655" t="s">
        <v>276</v>
      </c>
      <c r="AO655" t="s">
        <v>490</v>
      </c>
      <c r="AP655" t="s">
        <v>490</v>
      </c>
      <c r="AQ655">
        <v>15</v>
      </c>
      <c r="AR655" t="s">
        <v>123</v>
      </c>
      <c r="AS655" t="s">
        <v>124</v>
      </c>
      <c r="AT655" t="s">
        <v>58</v>
      </c>
      <c r="AU655" t="s">
        <v>419</v>
      </c>
      <c r="AV655" t="s">
        <v>132</v>
      </c>
      <c r="AW655" s="1">
        <v>25609</v>
      </c>
      <c r="AX655">
        <v>2</v>
      </c>
    </row>
    <row r="656" spans="1:50">
      <c r="A656">
        <v>216686</v>
      </c>
      <c r="B656" t="str">
        <f>"104918000"</f>
        <v>104918000</v>
      </c>
      <c r="C656" t="s">
        <v>50</v>
      </c>
      <c r="D656" t="s">
        <v>1784</v>
      </c>
      <c r="E656" t="s">
        <v>476</v>
      </c>
      <c r="F656" t="s">
        <v>95</v>
      </c>
      <c r="G656" t="s">
        <v>250</v>
      </c>
      <c r="H656" t="str">
        <f>"ΤΥΜΠΑΚΙ "</f>
        <v xml:space="preserve">ΤΥΜΠΑΚΙ </v>
      </c>
      <c r="I656">
        <v>70200</v>
      </c>
      <c r="J656">
        <v>2892052773</v>
      </c>
      <c r="K656">
        <v>6936751073</v>
      </c>
      <c r="M656" t="s">
        <v>1785</v>
      </c>
      <c r="N656" t="s">
        <v>587</v>
      </c>
      <c r="O656" t="s">
        <v>588</v>
      </c>
      <c r="R656" t="s">
        <v>57</v>
      </c>
      <c r="S656">
        <v>7</v>
      </c>
      <c r="T656">
        <v>236</v>
      </c>
      <c r="U656" s="1">
        <v>38961</v>
      </c>
      <c r="V656" t="s">
        <v>123</v>
      </c>
      <c r="W656" t="s">
        <v>124</v>
      </c>
      <c r="X656" t="s">
        <v>58</v>
      </c>
      <c r="Y656">
        <v>20</v>
      </c>
      <c r="Z656" t="s">
        <v>59</v>
      </c>
      <c r="AA656" t="s">
        <v>59</v>
      </c>
      <c r="AB656" t="s">
        <v>59</v>
      </c>
      <c r="AC656" t="s">
        <v>59</v>
      </c>
      <c r="AD656" t="s">
        <v>59</v>
      </c>
      <c r="AF656" s="1">
        <v>38966</v>
      </c>
      <c r="AG656" t="s">
        <v>125</v>
      </c>
      <c r="AH656" t="s">
        <v>126</v>
      </c>
      <c r="AI656" t="str">
        <f>"1713010"</f>
        <v>1713010</v>
      </c>
      <c r="AJ656" t="s">
        <v>369</v>
      </c>
      <c r="AK656">
        <v>2892051686</v>
      </c>
      <c r="AL656" t="s">
        <v>370</v>
      </c>
      <c r="AM656" t="s">
        <v>78</v>
      </c>
      <c r="AN656" t="s">
        <v>242</v>
      </c>
      <c r="AO656" t="s">
        <v>349</v>
      </c>
      <c r="AP656" t="s">
        <v>349</v>
      </c>
      <c r="AQ656">
        <v>35</v>
      </c>
      <c r="AR656" t="s">
        <v>123</v>
      </c>
      <c r="AS656" t="s">
        <v>124</v>
      </c>
      <c r="AT656" t="s">
        <v>58</v>
      </c>
      <c r="AU656" t="s">
        <v>68</v>
      </c>
      <c r="AV656" t="s">
        <v>69</v>
      </c>
      <c r="AW656" s="1">
        <v>26701</v>
      </c>
      <c r="AX656">
        <v>2</v>
      </c>
    </row>
    <row r="657" spans="1:50">
      <c r="A657">
        <v>214522</v>
      </c>
      <c r="B657" t="str">
        <f>"131145250"</f>
        <v>131145250</v>
      </c>
      <c r="C657" t="s">
        <v>105</v>
      </c>
      <c r="D657" t="s">
        <v>1786</v>
      </c>
      <c r="E657" t="s">
        <v>84</v>
      </c>
      <c r="F657" t="s">
        <v>1787</v>
      </c>
      <c r="G657" t="s">
        <v>484</v>
      </c>
      <c r="H657" t="str">
        <f>"ΣΤΕΦ.ΝΙΚΟΛΑΙΔΗ 37 ΗΡΑΚΛΕΙΟ"</f>
        <v>ΣΤΕΦ.ΝΙΚΟΛΑΙΔΗ 37 ΗΡΑΚΛΕΙΟ</v>
      </c>
      <c r="I657">
        <v>71305</v>
      </c>
      <c r="J657">
        <v>2810263224</v>
      </c>
      <c r="K657">
        <v>6932991849</v>
      </c>
      <c r="M657" t="s">
        <v>1788</v>
      </c>
      <c r="N657" t="s">
        <v>176</v>
      </c>
      <c r="O657" t="s">
        <v>177</v>
      </c>
      <c r="R657" t="s">
        <v>57</v>
      </c>
      <c r="S657">
        <v>7</v>
      </c>
      <c r="T657">
        <v>231</v>
      </c>
      <c r="U657" s="1">
        <v>38960</v>
      </c>
      <c r="V657" t="s">
        <v>123</v>
      </c>
      <c r="W657" t="s">
        <v>124</v>
      </c>
      <c r="X657" t="s">
        <v>58</v>
      </c>
      <c r="Y657">
        <v>20</v>
      </c>
      <c r="Z657" t="s">
        <v>59</v>
      </c>
      <c r="AA657" t="s">
        <v>59</v>
      </c>
      <c r="AB657" t="s">
        <v>59</v>
      </c>
      <c r="AC657" t="s">
        <v>59</v>
      </c>
      <c r="AD657" t="s">
        <v>59</v>
      </c>
      <c r="AF657" s="1">
        <v>38961</v>
      </c>
      <c r="AG657" t="s">
        <v>125</v>
      </c>
      <c r="AH657" t="s">
        <v>126</v>
      </c>
      <c r="AI657" t="str">
        <f>"1710010"</f>
        <v>1710010</v>
      </c>
      <c r="AJ657" t="s">
        <v>595</v>
      </c>
      <c r="AK657">
        <v>2810711220</v>
      </c>
      <c r="AL657" t="s">
        <v>596</v>
      </c>
      <c r="AM657" t="s">
        <v>78</v>
      </c>
      <c r="AN657" t="s">
        <v>129</v>
      </c>
      <c r="AO657" t="s">
        <v>597</v>
      </c>
      <c r="AP657" t="s">
        <v>598</v>
      </c>
      <c r="AQ657">
        <v>28</v>
      </c>
      <c r="AR657" t="s">
        <v>123</v>
      </c>
      <c r="AS657" t="s">
        <v>124</v>
      </c>
      <c r="AT657" t="s">
        <v>58</v>
      </c>
      <c r="AU657" t="s">
        <v>68</v>
      </c>
      <c r="AV657" t="s">
        <v>69</v>
      </c>
      <c r="AW657" s="1">
        <v>29108</v>
      </c>
      <c r="AX657">
        <v>2</v>
      </c>
    </row>
    <row r="658" spans="1:50">
      <c r="A658">
        <v>161724</v>
      </c>
      <c r="B658" t="str">
        <f>"114561303"</f>
        <v>114561303</v>
      </c>
      <c r="C658" t="s">
        <v>50</v>
      </c>
      <c r="D658" t="s">
        <v>1789</v>
      </c>
      <c r="E658" t="s">
        <v>215</v>
      </c>
      <c r="F658" t="s">
        <v>609</v>
      </c>
      <c r="G658" t="s">
        <v>714</v>
      </c>
      <c r="H658" t="str">
        <f>"ΑΝΤ. ΚΑΣΤΡΙΝΑΚΗ 12 "</f>
        <v xml:space="preserve">ΑΝΤ. ΚΑΣΤΡΙΝΑΚΗ 12 </v>
      </c>
      <c r="I658">
        <v>71305</v>
      </c>
      <c r="J658">
        <v>2810239646</v>
      </c>
      <c r="K658">
        <v>6939400197</v>
      </c>
      <c r="M658" t="s">
        <v>1790</v>
      </c>
      <c r="N658" t="s">
        <v>587</v>
      </c>
      <c r="O658" t="s">
        <v>588</v>
      </c>
      <c r="R658" t="s">
        <v>57</v>
      </c>
      <c r="S658">
        <v>14</v>
      </c>
      <c r="T658">
        <v>161</v>
      </c>
      <c r="U658" s="1">
        <v>33119</v>
      </c>
      <c r="V658" t="s">
        <v>123</v>
      </c>
      <c r="W658" t="s">
        <v>124</v>
      </c>
      <c r="X658" t="s">
        <v>58</v>
      </c>
      <c r="Y658">
        <v>18</v>
      </c>
      <c r="Z658" t="s">
        <v>59</v>
      </c>
      <c r="AA658" t="s">
        <v>59</v>
      </c>
      <c r="AB658" t="s">
        <v>59</v>
      </c>
      <c r="AC658" t="s">
        <v>59</v>
      </c>
      <c r="AD658" t="s">
        <v>59</v>
      </c>
      <c r="AF658" s="1">
        <v>33120</v>
      </c>
      <c r="AG658" t="s">
        <v>125</v>
      </c>
      <c r="AH658" t="s">
        <v>126</v>
      </c>
      <c r="AI658" t="str">
        <f>"1701041"</f>
        <v>1701041</v>
      </c>
      <c r="AJ658" t="s">
        <v>161</v>
      </c>
      <c r="AK658">
        <v>2810327052</v>
      </c>
      <c r="AL658" t="s">
        <v>162</v>
      </c>
      <c r="AM658" t="s">
        <v>78</v>
      </c>
      <c r="AN658" t="s">
        <v>78</v>
      </c>
      <c r="AO658" t="s">
        <v>78</v>
      </c>
      <c r="AP658" t="s">
        <v>163</v>
      </c>
      <c r="AQ658">
        <v>5</v>
      </c>
      <c r="AR658" t="s">
        <v>123</v>
      </c>
      <c r="AS658" t="s">
        <v>124</v>
      </c>
      <c r="AT658" t="s">
        <v>58</v>
      </c>
      <c r="AU658" t="s">
        <v>68</v>
      </c>
      <c r="AV658" t="s">
        <v>69</v>
      </c>
      <c r="AW658" s="1">
        <v>23389</v>
      </c>
      <c r="AX658">
        <v>2</v>
      </c>
    </row>
    <row r="659" spans="1:50">
      <c r="A659">
        <v>219762</v>
      </c>
      <c r="B659" t="str">
        <f>"078800840"</f>
        <v>078800840</v>
      </c>
      <c r="C659" t="s">
        <v>50</v>
      </c>
      <c r="D659" t="s">
        <v>1791</v>
      </c>
      <c r="E659" t="s">
        <v>1792</v>
      </c>
      <c r="F659" t="s">
        <v>900</v>
      </c>
      <c r="G659" t="s">
        <v>1793</v>
      </c>
      <c r="H659" t="str">
        <f>"ΑΝΘΙΜΟΥ ΓΑΖΗ 23 ΠΕΡΙΣΤΕΡΙ"</f>
        <v>ΑΝΘΙΜΟΥ ΓΑΖΗ 23 ΠΕΡΙΣΤΕΡΙ</v>
      </c>
      <c r="I659">
        <v>12132</v>
      </c>
      <c r="J659">
        <v>2105717578</v>
      </c>
      <c r="K659">
        <v>6977405357</v>
      </c>
      <c r="L659">
        <v>6943293385</v>
      </c>
      <c r="M659" t="s">
        <v>1794</v>
      </c>
      <c r="N659" t="s">
        <v>176</v>
      </c>
      <c r="O659" t="s">
        <v>177</v>
      </c>
      <c r="R659" t="s">
        <v>57</v>
      </c>
      <c r="S659">
        <v>8</v>
      </c>
      <c r="T659">
        <v>599</v>
      </c>
      <c r="U659" s="1">
        <v>39310</v>
      </c>
      <c r="V659" t="s">
        <v>123</v>
      </c>
      <c r="W659" t="s">
        <v>124</v>
      </c>
      <c r="X659" t="s">
        <v>58</v>
      </c>
      <c r="Y659">
        <v>20</v>
      </c>
      <c r="Z659" t="s">
        <v>59</v>
      </c>
      <c r="AA659" t="s">
        <v>59</v>
      </c>
      <c r="AB659" t="s">
        <v>59</v>
      </c>
      <c r="AC659" t="s">
        <v>59</v>
      </c>
      <c r="AD659" t="s">
        <v>59</v>
      </c>
      <c r="AF659" s="1">
        <v>39328</v>
      </c>
      <c r="AG659" t="s">
        <v>125</v>
      </c>
      <c r="AH659" t="s">
        <v>386</v>
      </c>
      <c r="AI659" t="str">
        <f>"1741002"</f>
        <v>1741002</v>
      </c>
      <c r="AJ659" t="s">
        <v>387</v>
      </c>
      <c r="AK659">
        <v>2810762610</v>
      </c>
      <c r="AL659" t="s">
        <v>388</v>
      </c>
      <c r="AM659" t="s">
        <v>78</v>
      </c>
      <c r="AN659" t="s">
        <v>219</v>
      </c>
      <c r="AO659" t="s">
        <v>297</v>
      </c>
      <c r="AP659" t="s">
        <v>297</v>
      </c>
      <c r="AQ659">
        <v>10</v>
      </c>
      <c r="AR659" t="s">
        <v>123</v>
      </c>
      <c r="AS659" t="s">
        <v>124</v>
      </c>
      <c r="AT659" t="s">
        <v>58</v>
      </c>
      <c r="AU659" t="s">
        <v>68</v>
      </c>
      <c r="AV659" t="s">
        <v>69</v>
      </c>
      <c r="AW659" s="1">
        <v>25727</v>
      </c>
      <c r="AX659">
        <v>2</v>
      </c>
    </row>
    <row r="660" spans="1:50">
      <c r="A660">
        <v>175426</v>
      </c>
      <c r="B660" t="str">
        <f>"036057099"</f>
        <v>036057099</v>
      </c>
      <c r="C660" t="s">
        <v>50</v>
      </c>
      <c r="D660" t="s">
        <v>1795</v>
      </c>
      <c r="E660" t="s">
        <v>1796</v>
      </c>
      <c r="F660" t="s">
        <v>309</v>
      </c>
      <c r="G660" t="s">
        <v>476</v>
      </c>
      <c r="H660" t="str">
        <f>"ΚΑΠΑΡΙΑΝΑ ΜΟΙΡΕΣ"</f>
        <v>ΚΑΠΑΡΙΑΝΑ ΜΟΙΡΕΣ</v>
      </c>
      <c r="I660">
        <v>70400</v>
      </c>
      <c r="J660">
        <v>2892022037</v>
      </c>
      <c r="K660">
        <v>6978218386</v>
      </c>
      <c r="M660" t="s">
        <v>1797</v>
      </c>
      <c r="N660" t="s">
        <v>146</v>
      </c>
      <c r="O660" t="s">
        <v>147</v>
      </c>
      <c r="R660" t="s">
        <v>57</v>
      </c>
      <c r="S660">
        <v>13</v>
      </c>
      <c r="T660">
        <v>180</v>
      </c>
      <c r="U660" s="1">
        <v>35674</v>
      </c>
      <c r="V660" t="s">
        <v>123</v>
      </c>
      <c r="W660" t="s">
        <v>124</v>
      </c>
      <c r="X660" t="s">
        <v>58</v>
      </c>
      <c r="Y660">
        <v>18</v>
      </c>
      <c r="Z660" t="s">
        <v>59</v>
      </c>
      <c r="AA660" t="s">
        <v>59</v>
      </c>
      <c r="AB660" t="s">
        <v>59</v>
      </c>
      <c r="AC660" t="s">
        <v>59</v>
      </c>
      <c r="AD660" t="s">
        <v>59</v>
      </c>
      <c r="AF660" s="1">
        <v>35678</v>
      </c>
      <c r="AG660" t="s">
        <v>125</v>
      </c>
      <c r="AH660" t="s">
        <v>126</v>
      </c>
      <c r="AI660" t="str">
        <f>"1706010"</f>
        <v>1706010</v>
      </c>
      <c r="AJ660" t="s">
        <v>391</v>
      </c>
      <c r="AK660">
        <v>2892022286</v>
      </c>
      <c r="AL660" t="s">
        <v>392</v>
      </c>
      <c r="AM660" t="s">
        <v>78</v>
      </c>
      <c r="AN660" t="s">
        <v>242</v>
      </c>
      <c r="AO660" t="s">
        <v>243</v>
      </c>
      <c r="AP660" t="s">
        <v>243</v>
      </c>
      <c r="AQ660">
        <v>33</v>
      </c>
      <c r="AR660" t="s">
        <v>123</v>
      </c>
      <c r="AS660" t="s">
        <v>124</v>
      </c>
      <c r="AT660" t="s">
        <v>58</v>
      </c>
      <c r="AU660" t="s">
        <v>68</v>
      </c>
      <c r="AV660" t="s">
        <v>69</v>
      </c>
      <c r="AW660" s="1">
        <v>24248</v>
      </c>
      <c r="AX660">
        <v>2</v>
      </c>
    </row>
    <row r="661" spans="1:50">
      <c r="A661">
        <v>192993</v>
      </c>
      <c r="B661" t="str">
        <f>"052843049"</f>
        <v>052843049</v>
      </c>
      <c r="C661" t="s">
        <v>50</v>
      </c>
      <c r="D661" t="s">
        <v>1798</v>
      </c>
      <c r="E661" t="s">
        <v>255</v>
      </c>
      <c r="F661" t="s">
        <v>1651</v>
      </c>
      <c r="G661" t="s">
        <v>52</v>
      </c>
      <c r="H661" t="str">
        <f>"ΑΛΜΠΕΡΤ 67 ΗΡΑΚΛΕΙΟ"</f>
        <v>ΑΛΜΠΕΡΤ 67 ΗΡΑΚΛΕΙΟ</v>
      </c>
      <c r="I661">
        <v>71201</v>
      </c>
      <c r="J661">
        <v>2810288604</v>
      </c>
      <c r="L661">
        <v>2810283431</v>
      </c>
      <c r="M661" t="s">
        <v>1799</v>
      </c>
      <c r="N661" t="s">
        <v>146</v>
      </c>
      <c r="O661" t="s">
        <v>147</v>
      </c>
      <c r="R661" t="s">
        <v>57</v>
      </c>
      <c r="S661">
        <v>10</v>
      </c>
      <c r="T661">
        <v>193</v>
      </c>
      <c r="U661" s="1">
        <v>37497</v>
      </c>
      <c r="V661" t="s">
        <v>123</v>
      </c>
      <c r="W661" t="s">
        <v>124</v>
      </c>
      <c r="X661" t="s">
        <v>58</v>
      </c>
      <c r="Y661">
        <v>18</v>
      </c>
      <c r="Z661" t="s">
        <v>59</v>
      </c>
      <c r="AA661" t="s">
        <v>59</v>
      </c>
      <c r="AB661" t="s">
        <v>59</v>
      </c>
      <c r="AC661" t="s">
        <v>59</v>
      </c>
      <c r="AD661" t="s">
        <v>59</v>
      </c>
      <c r="AF661" s="1">
        <v>37501</v>
      </c>
      <c r="AG661" t="s">
        <v>125</v>
      </c>
      <c r="AH661" t="s">
        <v>126</v>
      </c>
      <c r="AI661" t="str">
        <f>"1701020"</f>
        <v>1701020</v>
      </c>
      <c r="AJ661" t="s">
        <v>323</v>
      </c>
      <c r="AK661">
        <v>2810252111</v>
      </c>
      <c r="AL661" t="s">
        <v>324</v>
      </c>
      <c r="AM661" t="s">
        <v>78</v>
      </c>
      <c r="AN661" t="s">
        <v>78</v>
      </c>
      <c r="AO661" t="s">
        <v>78</v>
      </c>
      <c r="AP661" t="s">
        <v>163</v>
      </c>
      <c r="AQ661">
        <v>3</v>
      </c>
      <c r="AR661" t="s">
        <v>123</v>
      </c>
      <c r="AS661" t="s">
        <v>124</v>
      </c>
      <c r="AT661" t="s">
        <v>58</v>
      </c>
      <c r="AU661" t="s">
        <v>68</v>
      </c>
      <c r="AV661" t="s">
        <v>69</v>
      </c>
      <c r="AW661" s="1">
        <v>24801</v>
      </c>
      <c r="AX661">
        <v>2</v>
      </c>
    </row>
    <row r="662" spans="1:50">
      <c r="B662" t="str">
        <f>"112762283"</f>
        <v>112762283</v>
      </c>
      <c r="C662" t="s">
        <v>105</v>
      </c>
      <c r="D662" t="s">
        <v>1800</v>
      </c>
      <c r="E662" t="s">
        <v>315</v>
      </c>
      <c r="F662" t="s">
        <v>84</v>
      </c>
      <c r="G662" t="s">
        <v>476</v>
      </c>
      <c r="H662" t="str">
        <f>"ΠΕΣΤΩΝ 66 ΘΕΣΣΑΛΟΝΙΚΗ"</f>
        <v>ΠΕΣΤΩΝ 66 ΘΕΣΣΑΛΟΝΙΚΗ</v>
      </c>
      <c r="I662">
        <v>54453</v>
      </c>
      <c r="J662">
        <v>2310926235</v>
      </c>
      <c r="K662">
        <v>6974303740</v>
      </c>
      <c r="M662" t="s">
        <v>1801</v>
      </c>
      <c r="N662" t="s">
        <v>292</v>
      </c>
      <c r="O662" t="s">
        <v>293</v>
      </c>
      <c r="R662" t="s">
        <v>159</v>
      </c>
      <c r="S662">
        <v>2</v>
      </c>
      <c r="T662" t="s">
        <v>160</v>
      </c>
      <c r="U662" s="1">
        <v>43364</v>
      </c>
      <c r="V662" t="s">
        <v>123</v>
      </c>
      <c r="W662" t="s">
        <v>124</v>
      </c>
      <c r="X662" t="s">
        <v>58</v>
      </c>
      <c r="Y662">
        <v>23</v>
      </c>
      <c r="Z662" t="s">
        <v>59</v>
      </c>
      <c r="AA662" t="s">
        <v>59</v>
      </c>
      <c r="AB662" t="s">
        <v>59</v>
      </c>
      <c r="AC662" t="s">
        <v>59</v>
      </c>
      <c r="AD662" t="s">
        <v>59</v>
      </c>
      <c r="AF662" s="1">
        <v>43367</v>
      </c>
      <c r="AG662" t="s">
        <v>125</v>
      </c>
      <c r="AH662" t="s">
        <v>126</v>
      </c>
      <c r="AI662" t="str">
        <f>"1721010"</f>
        <v>1721010</v>
      </c>
      <c r="AJ662" t="s">
        <v>462</v>
      </c>
      <c r="AK662">
        <v>2892031207</v>
      </c>
      <c r="AL662" t="s">
        <v>463</v>
      </c>
      <c r="AM662" t="s">
        <v>78</v>
      </c>
      <c r="AN662" t="s">
        <v>405</v>
      </c>
      <c r="AO662" t="s">
        <v>405</v>
      </c>
      <c r="AP662" t="s">
        <v>464</v>
      </c>
      <c r="AQ662">
        <v>33</v>
      </c>
      <c r="AR662" t="s">
        <v>123</v>
      </c>
      <c r="AS662" t="s">
        <v>124</v>
      </c>
      <c r="AT662" t="s">
        <v>58</v>
      </c>
      <c r="AU662" t="s">
        <v>164</v>
      </c>
      <c r="AV662" t="s">
        <v>132</v>
      </c>
      <c r="AW662" s="1">
        <v>28770</v>
      </c>
      <c r="AX662">
        <v>2</v>
      </c>
    </row>
    <row r="663" spans="1:50">
      <c r="A663">
        <v>220371</v>
      </c>
      <c r="B663" t="str">
        <f>"034260383"</f>
        <v>034260383</v>
      </c>
      <c r="C663" t="s">
        <v>50</v>
      </c>
      <c r="D663" t="s">
        <v>1802</v>
      </c>
      <c r="E663" t="s">
        <v>250</v>
      </c>
      <c r="F663" t="s">
        <v>521</v>
      </c>
      <c r="G663" t="s">
        <v>484</v>
      </c>
      <c r="H663" t="str">
        <f>"ΠΑΤΡΙΑΡΧΟΥ ΦΩΤΙΟΥ 56 ΗΡΑΚΛΕΙΟΥ (Ν. ΗΡΑΚΛΕΙΟΥ)"</f>
        <v>ΠΑΤΡΙΑΡΧΟΥ ΦΩΤΙΟΥ 56 ΗΡΑΚΛΕΙΟΥ (Ν. ΗΡΑΚΛΕΙΟΥ)</v>
      </c>
      <c r="I663">
        <v>71305</v>
      </c>
      <c r="J663">
        <v>2810528218</v>
      </c>
      <c r="K663">
        <v>6945817410</v>
      </c>
      <c r="M663" t="s">
        <v>1803</v>
      </c>
      <c r="N663" t="s">
        <v>146</v>
      </c>
      <c r="O663" t="s">
        <v>147</v>
      </c>
      <c r="R663" t="s">
        <v>57</v>
      </c>
      <c r="S663">
        <v>5</v>
      </c>
      <c r="T663">
        <v>681</v>
      </c>
      <c r="U663" s="1">
        <v>39325</v>
      </c>
      <c r="V663" t="s">
        <v>123</v>
      </c>
      <c r="W663" t="s">
        <v>124</v>
      </c>
      <c r="X663" t="s">
        <v>58</v>
      </c>
      <c r="Y663">
        <v>21</v>
      </c>
      <c r="Z663" t="s">
        <v>59</v>
      </c>
      <c r="AA663" t="s">
        <v>59</v>
      </c>
      <c r="AB663" t="s">
        <v>59</v>
      </c>
      <c r="AC663" t="s">
        <v>59</v>
      </c>
      <c r="AD663" t="s">
        <v>59</v>
      </c>
      <c r="AF663" s="1">
        <v>39329</v>
      </c>
      <c r="AG663" t="s">
        <v>148</v>
      </c>
      <c r="AH663" t="s">
        <v>149</v>
      </c>
      <c r="AI663" t="str">
        <f>"1751080"</f>
        <v>1751080</v>
      </c>
      <c r="AJ663" t="s">
        <v>1395</v>
      </c>
      <c r="AK663">
        <v>2810721380</v>
      </c>
      <c r="AL663" t="s">
        <v>1396</v>
      </c>
      <c r="AM663" t="s">
        <v>78</v>
      </c>
      <c r="AN663" t="s">
        <v>78</v>
      </c>
      <c r="AO663" t="s">
        <v>185</v>
      </c>
      <c r="AP663" t="s">
        <v>186</v>
      </c>
      <c r="AQ663">
        <v>29</v>
      </c>
      <c r="AR663" t="s">
        <v>123</v>
      </c>
      <c r="AS663" t="s">
        <v>124</v>
      </c>
      <c r="AT663" t="s">
        <v>58</v>
      </c>
      <c r="AU663" t="s">
        <v>68</v>
      </c>
      <c r="AV663" t="s">
        <v>69</v>
      </c>
      <c r="AW663" s="1">
        <v>25761</v>
      </c>
      <c r="AX663">
        <v>2</v>
      </c>
    </row>
    <row r="664" spans="1:50">
      <c r="A664">
        <v>196414</v>
      </c>
      <c r="B664" t="str">
        <f>"033827136"</f>
        <v>033827136</v>
      </c>
      <c r="C664" t="s">
        <v>105</v>
      </c>
      <c r="D664" t="s">
        <v>1804</v>
      </c>
      <c r="E664" t="s">
        <v>53</v>
      </c>
      <c r="F664" t="s">
        <v>99</v>
      </c>
      <c r="G664" t="s">
        <v>52</v>
      </c>
      <c r="H664" t="str">
        <f>"ΕΛΙΚΩΝΙΑΔΩΝ ΜΑΥΣΩΝ 4 ΒΑΣΙΛΕΙΕΣ"</f>
        <v>ΕΛΙΚΩΝΙΑΔΩΝ ΜΑΥΣΩΝ 4 ΒΑΣΙΛΕΙΕΣ</v>
      </c>
      <c r="K664">
        <v>6946442496</v>
      </c>
      <c r="M664" t="s">
        <v>1805</v>
      </c>
      <c r="N664" t="s">
        <v>337</v>
      </c>
      <c r="O664" t="s">
        <v>338</v>
      </c>
      <c r="R664" t="s">
        <v>57</v>
      </c>
      <c r="S664">
        <v>8</v>
      </c>
      <c r="T664">
        <v>46</v>
      </c>
      <c r="U664" s="1">
        <v>38050</v>
      </c>
      <c r="V664" t="s">
        <v>123</v>
      </c>
      <c r="W664" t="s">
        <v>124</v>
      </c>
      <c r="X664" t="s">
        <v>58</v>
      </c>
      <c r="Y664">
        <v>20</v>
      </c>
      <c r="Z664" t="s">
        <v>59</v>
      </c>
      <c r="AA664" t="s">
        <v>59</v>
      </c>
      <c r="AB664" t="s">
        <v>59</v>
      </c>
      <c r="AC664" t="s">
        <v>59</v>
      </c>
      <c r="AD664" t="s">
        <v>59</v>
      </c>
      <c r="AF664" s="1">
        <v>38059</v>
      </c>
      <c r="AG664" t="s">
        <v>125</v>
      </c>
      <c r="AH664" t="s">
        <v>294</v>
      </c>
      <c r="AI664" t="str">
        <f>"1701015"</f>
        <v>1701015</v>
      </c>
      <c r="AJ664" t="s">
        <v>295</v>
      </c>
      <c r="AK664">
        <v>2810761696</v>
      </c>
      <c r="AL664" t="s">
        <v>296</v>
      </c>
      <c r="AM664" t="s">
        <v>78</v>
      </c>
      <c r="AN664" t="s">
        <v>219</v>
      </c>
      <c r="AO664" t="s">
        <v>297</v>
      </c>
      <c r="AP664" t="s">
        <v>297</v>
      </c>
      <c r="AQ664">
        <v>10</v>
      </c>
      <c r="AR664" t="s">
        <v>123</v>
      </c>
      <c r="AS664" t="s">
        <v>124</v>
      </c>
      <c r="AT664" t="s">
        <v>58</v>
      </c>
      <c r="AU664" t="s">
        <v>68</v>
      </c>
      <c r="AV664" t="s">
        <v>69</v>
      </c>
      <c r="AW664" s="1">
        <v>26306</v>
      </c>
      <c r="AX664">
        <v>2</v>
      </c>
    </row>
    <row r="665" spans="1:50">
      <c r="A665">
        <v>181905</v>
      </c>
      <c r="B665" t="str">
        <f>"031590606"</f>
        <v>031590606</v>
      </c>
      <c r="C665" t="s">
        <v>50</v>
      </c>
      <c r="D665" t="s">
        <v>1806</v>
      </c>
      <c r="E665" t="s">
        <v>964</v>
      </c>
      <c r="F665" t="s">
        <v>53</v>
      </c>
      <c r="G665" t="s">
        <v>1306</v>
      </c>
      <c r="H665" t="str">
        <f>" "</f>
        <v xml:space="preserve"> </v>
      </c>
      <c r="N665" t="s">
        <v>204</v>
      </c>
      <c r="O665" t="s">
        <v>205</v>
      </c>
      <c r="P665" t="s">
        <v>292</v>
      </c>
      <c r="Q665" t="s">
        <v>293</v>
      </c>
      <c r="R665" t="s">
        <v>57</v>
      </c>
      <c r="S665">
        <v>13</v>
      </c>
      <c r="T665">
        <v>164</v>
      </c>
      <c r="U665" s="1">
        <v>36039</v>
      </c>
      <c r="V665" t="s">
        <v>123</v>
      </c>
      <c r="W665" t="s">
        <v>124</v>
      </c>
      <c r="X665" t="s">
        <v>58</v>
      </c>
      <c r="Y665">
        <v>18</v>
      </c>
      <c r="Z665" t="s">
        <v>59</v>
      </c>
      <c r="AA665" t="s">
        <v>59</v>
      </c>
      <c r="AB665" t="s">
        <v>59</v>
      </c>
      <c r="AC665" t="s">
        <v>59</v>
      </c>
      <c r="AD665" t="s">
        <v>59</v>
      </c>
      <c r="AF665" s="1">
        <v>36039</v>
      </c>
      <c r="AG665" t="s">
        <v>148</v>
      </c>
      <c r="AH665" t="s">
        <v>149</v>
      </c>
      <c r="AI665" t="str">
        <f>"1751020"</f>
        <v>1751020</v>
      </c>
      <c r="AJ665" t="s">
        <v>532</v>
      </c>
      <c r="AK665">
        <v>2810372732</v>
      </c>
      <c r="AL665" t="s">
        <v>533</v>
      </c>
      <c r="AM665" t="s">
        <v>78</v>
      </c>
      <c r="AN665" t="s">
        <v>78</v>
      </c>
      <c r="AO665" t="s">
        <v>78</v>
      </c>
      <c r="AP665" t="s">
        <v>163</v>
      </c>
      <c r="AQ665">
        <v>3</v>
      </c>
      <c r="AR665" t="s">
        <v>123</v>
      </c>
      <c r="AS665" t="s">
        <v>124</v>
      </c>
      <c r="AT665" t="s">
        <v>58</v>
      </c>
      <c r="AU665" t="s">
        <v>68</v>
      </c>
      <c r="AV665" t="s">
        <v>69</v>
      </c>
      <c r="AW665" s="1">
        <v>22155</v>
      </c>
      <c r="AX665">
        <v>2</v>
      </c>
    </row>
    <row r="666" spans="1:50">
      <c r="A666">
        <v>703284</v>
      </c>
      <c r="B666" t="str">
        <f>"114270099"</f>
        <v>114270099</v>
      </c>
      <c r="C666" t="s">
        <v>50</v>
      </c>
      <c r="D666" t="s">
        <v>1807</v>
      </c>
      <c r="E666" t="s">
        <v>238</v>
      </c>
      <c r="F666" t="s">
        <v>95</v>
      </c>
      <c r="G666" t="s">
        <v>96</v>
      </c>
      <c r="H666" t="str">
        <f>"ΕΛΛΗΣΠΟΝΤΟΥ 14 ΗΡΑΚΛΕΙΟ"</f>
        <v>ΕΛΛΗΣΠΟΝΤΟΥ 14 ΗΡΑΚΛΕΙΟ</v>
      </c>
      <c r="I666">
        <v>71307</v>
      </c>
      <c r="K666">
        <v>6946650792</v>
      </c>
      <c r="M666" t="s">
        <v>1808</v>
      </c>
      <c r="N666" t="s">
        <v>292</v>
      </c>
      <c r="O666" t="s">
        <v>293</v>
      </c>
      <c r="R666" t="s">
        <v>57</v>
      </c>
      <c r="S666">
        <v>4</v>
      </c>
      <c r="T666">
        <v>588</v>
      </c>
      <c r="U666" s="1">
        <v>40778</v>
      </c>
      <c r="V666" t="s">
        <v>123</v>
      </c>
      <c r="W666" t="s">
        <v>124</v>
      </c>
      <c r="X666" t="s">
        <v>58</v>
      </c>
      <c r="Y666">
        <v>21</v>
      </c>
      <c r="Z666" t="s">
        <v>59</v>
      </c>
      <c r="AA666" t="s">
        <v>59</v>
      </c>
      <c r="AB666" t="s">
        <v>59</v>
      </c>
      <c r="AC666" t="s">
        <v>59</v>
      </c>
      <c r="AD666" t="s">
        <v>59</v>
      </c>
      <c r="AF666" s="1">
        <v>40787</v>
      </c>
      <c r="AG666" t="s">
        <v>125</v>
      </c>
      <c r="AH666" t="s">
        <v>126</v>
      </c>
      <c r="AI666" t="str">
        <f>"1717011"</f>
        <v>1717011</v>
      </c>
      <c r="AJ666" t="s">
        <v>832</v>
      </c>
      <c r="AK666">
        <v>2897023311</v>
      </c>
      <c r="AL666" t="s">
        <v>833</v>
      </c>
      <c r="AM666" t="s">
        <v>78</v>
      </c>
      <c r="AN666" t="s">
        <v>219</v>
      </c>
      <c r="AO666" t="s">
        <v>219</v>
      </c>
      <c r="AP666" t="s">
        <v>220</v>
      </c>
      <c r="AQ666">
        <v>20</v>
      </c>
      <c r="AR666" t="s">
        <v>123</v>
      </c>
      <c r="AS666" t="s">
        <v>124</v>
      </c>
      <c r="AT666" t="s">
        <v>58</v>
      </c>
      <c r="AU666" t="s">
        <v>68</v>
      </c>
      <c r="AV666" t="s">
        <v>69</v>
      </c>
      <c r="AW666" s="1">
        <v>28069</v>
      </c>
      <c r="AX666">
        <v>2</v>
      </c>
    </row>
    <row r="667" spans="1:50">
      <c r="A667">
        <v>193963</v>
      </c>
      <c r="B667" t="str">
        <f>"074181208"</f>
        <v>074181208</v>
      </c>
      <c r="C667" t="s">
        <v>50</v>
      </c>
      <c r="D667" t="s">
        <v>1807</v>
      </c>
      <c r="E667" t="s">
        <v>83</v>
      </c>
      <c r="F667" t="s">
        <v>311</v>
      </c>
      <c r="G667" t="s">
        <v>658</v>
      </c>
      <c r="H667" t="str">
        <f>"ΒΕΡΓΙΝΑΣ 2 "</f>
        <v xml:space="preserve">ΒΕΡΓΙΝΑΣ 2 </v>
      </c>
      <c r="I667">
        <v>71409</v>
      </c>
      <c r="J667">
        <v>2810231811</v>
      </c>
      <c r="K667">
        <v>6945591205</v>
      </c>
      <c r="M667" t="s">
        <v>1809</v>
      </c>
      <c r="N667" t="s">
        <v>306</v>
      </c>
      <c r="O667" t="s">
        <v>307</v>
      </c>
      <c r="R667" t="s">
        <v>57</v>
      </c>
      <c r="S667">
        <v>10</v>
      </c>
      <c r="T667">
        <v>193</v>
      </c>
      <c r="U667" s="1">
        <v>37497</v>
      </c>
      <c r="V667" t="s">
        <v>123</v>
      </c>
      <c r="W667" t="s">
        <v>124</v>
      </c>
      <c r="X667" t="s">
        <v>58</v>
      </c>
      <c r="Y667">
        <v>18</v>
      </c>
      <c r="Z667" t="s">
        <v>59</v>
      </c>
      <c r="AA667" t="s">
        <v>59</v>
      </c>
      <c r="AB667" t="s">
        <v>59</v>
      </c>
      <c r="AC667" t="s">
        <v>59</v>
      </c>
      <c r="AD667" t="s">
        <v>59</v>
      </c>
      <c r="AF667" s="1">
        <v>37501</v>
      </c>
      <c r="AG667" t="s">
        <v>125</v>
      </c>
      <c r="AH667" t="s">
        <v>126</v>
      </c>
      <c r="AI667" t="str">
        <f>"1701030"</f>
        <v>1701030</v>
      </c>
      <c r="AJ667" t="s">
        <v>270</v>
      </c>
      <c r="AK667">
        <v>2810361015</v>
      </c>
      <c r="AL667" t="s">
        <v>271</v>
      </c>
      <c r="AM667" t="s">
        <v>78</v>
      </c>
      <c r="AN667" t="s">
        <v>78</v>
      </c>
      <c r="AO667" t="s">
        <v>78</v>
      </c>
      <c r="AP667" t="s">
        <v>163</v>
      </c>
      <c r="AQ667">
        <v>2</v>
      </c>
      <c r="AR667" t="s">
        <v>123</v>
      </c>
      <c r="AS667" t="s">
        <v>124</v>
      </c>
      <c r="AT667" t="s">
        <v>58</v>
      </c>
      <c r="AU667" t="s">
        <v>68</v>
      </c>
      <c r="AV667" t="s">
        <v>69</v>
      </c>
      <c r="AW667" s="1">
        <v>26049</v>
      </c>
      <c r="AX667">
        <v>2</v>
      </c>
    </row>
    <row r="668" spans="1:50">
      <c r="A668">
        <v>208111</v>
      </c>
      <c r="B668" t="str">
        <f>"050005845"</f>
        <v>050005845</v>
      </c>
      <c r="C668" t="s">
        <v>105</v>
      </c>
      <c r="D668" t="s">
        <v>1810</v>
      </c>
      <c r="E668" t="s">
        <v>92</v>
      </c>
      <c r="F668" t="s">
        <v>377</v>
      </c>
      <c r="G668" t="s">
        <v>513</v>
      </c>
      <c r="H668" t="str">
        <f>"ΜΕΑΝΔΡΟΥ 7 "</f>
        <v xml:space="preserve">ΜΕΑΝΔΡΟΥ 7 </v>
      </c>
      <c r="J668">
        <v>2810257671</v>
      </c>
      <c r="K668">
        <v>6973791170</v>
      </c>
      <c r="N668" t="s">
        <v>176</v>
      </c>
      <c r="O668" t="s">
        <v>177</v>
      </c>
      <c r="R668" t="s">
        <v>57</v>
      </c>
      <c r="S668">
        <v>9</v>
      </c>
      <c r="T668">
        <v>218</v>
      </c>
      <c r="U668" s="1">
        <v>38596</v>
      </c>
      <c r="V668" t="s">
        <v>123</v>
      </c>
      <c r="W668" t="s">
        <v>124</v>
      </c>
      <c r="X668" t="s">
        <v>58</v>
      </c>
      <c r="Y668">
        <v>20</v>
      </c>
      <c r="Z668" t="s">
        <v>59</v>
      </c>
      <c r="AA668" t="s">
        <v>59</v>
      </c>
      <c r="AB668" t="s">
        <v>59</v>
      </c>
      <c r="AC668" t="s">
        <v>59</v>
      </c>
      <c r="AD668" t="s">
        <v>59</v>
      </c>
      <c r="AF668" s="1">
        <v>38596</v>
      </c>
      <c r="AG668" t="s">
        <v>137</v>
      </c>
      <c r="AH668" t="s">
        <v>138</v>
      </c>
      <c r="AI668" t="str">
        <f>"1740210"</f>
        <v>1740210</v>
      </c>
      <c r="AJ668" t="s">
        <v>139</v>
      </c>
      <c r="AK668">
        <v>2810318130</v>
      </c>
      <c r="AL668" t="s">
        <v>140</v>
      </c>
      <c r="AM668" t="s">
        <v>78</v>
      </c>
      <c r="AN668" t="s">
        <v>78</v>
      </c>
      <c r="AO668" t="s">
        <v>78</v>
      </c>
      <c r="AP668" t="s">
        <v>141</v>
      </c>
      <c r="AQ668">
        <v>7</v>
      </c>
      <c r="AR668" t="s">
        <v>123</v>
      </c>
      <c r="AS668" t="s">
        <v>124</v>
      </c>
      <c r="AT668" t="s">
        <v>58</v>
      </c>
      <c r="AU668" t="s">
        <v>68</v>
      </c>
      <c r="AV668" t="s">
        <v>69</v>
      </c>
      <c r="AW668" s="1">
        <v>24068</v>
      </c>
      <c r="AX668">
        <v>2</v>
      </c>
    </row>
    <row r="669" spans="1:50">
      <c r="A669">
        <v>197120</v>
      </c>
      <c r="B669" t="str">
        <f>"118901747"</f>
        <v>118901747</v>
      </c>
      <c r="C669" t="s">
        <v>105</v>
      </c>
      <c r="D669" t="s">
        <v>1811</v>
      </c>
      <c r="E669" t="s">
        <v>166</v>
      </c>
      <c r="F669" t="s">
        <v>99</v>
      </c>
      <c r="G669" t="s">
        <v>181</v>
      </c>
      <c r="H669" t="str">
        <f>"ΟΔΟΣ 1878   20 "</f>
        <v xml:space="preserve">ΟΔΟΣ 1878   20 </v>
      </c>
      <c r="J669">
        <v>2810288670</v>
      </c>
      <c r="K669">
        <v>6973604023</v>
      </c>
      <c r="M669" t="s">
        <v>1812</v>
      </c>
      <c r="N669" t="s">
        <v>146</v>
      </c>
      <c r="O669" t="s">
        <v>147</v>
      </c>
      <c r="R669" t="s">
        <v>57</v>
      </c>
      <c r="S669">
        <v>7</v>
      </c>
      <c r="T669">
        <v>206</v>
      </c>
      <c r="U669" s="1">
        <v>37866</v>
      </c>
      <c r="V669" t="s">
        <v>123</v>
      </c>
      <c r="W669" t="s">
        <v>124</v>
      </c>
      <c r="X669" t="s">
        <v>58</v>
      </c>
      <c r="Y669">
        <v>20</v>
      </c>
      <c r="Z669" t="s">
        <v>59</v>
      </c>
      <c r="AA669" t="s">
        <v>59</v>
      </c>
      <c r="AB669" t="s">
        <v>59</v>
      </c>
      <c r="AC669" t="s">
        <v>59</v>
      </c>
      <c r="AD669" t="s">
        <v>59</v>
      </c>
      <c r="AF669" s="1">
        <v>37866</v>
      </c>
      <c r="AG669" t="s">
        <v>148</v>
      </c>
      <c r="AH669" t="s">
        <v>149</v>
      </c>
      <c r="AI669" t="str">
        <f>"1790210"</f>
        <v>1790210</v>
      </c>
      <c r="AJ669" t="s">
        <v>417</v>
      </c>
      <c r="AK669">
        <v>2810252172</v>
      </c>
      <c r="AL669" t="s">
        <v>418</v>
      </c>
      <c r="AM669" t="s">
        <v>78</v>
      </c>
      <c r="AN669" t="s">
        <v>78</v>
      </c>
      <c r="AO669" t="s">
        <v>78</v>
      </c>
      <c r="AP669" t="s">
        <v>141</v>
      </c>
      <c r="AQ669">
        <v>7</v>
      </c>
      <c r="AR669" t="s">
        <v>123</v>
      </c>
      <c r="AS669" t="s">
        <v>124</v>
      </c>
      <c r="AT669" t="s">
        <v>58</v>
      </c>
      <c r="AU669" t="s">
        <v>68</v>
      </c>
      <c r="AV669" t="s">
        <v>69</v>
      </c>
      <c r="AW669" s="1">
        <v>27575</v>
      </c>
      <c r="AX669">
        <v>2</v>
      </c>
    </row>
    <row r="670" spans="1:50">
      <c r="A670">
        <v>208112</v>
      </c>
      <c r="B670" t="str">
        <f>"054131607"</f>
        <v>054131607</v>
      </c>
      <c r="C670" t="s">
        <v>105</v>
      </c>
      <c r="D670" t="s">
        <v>1813</v>
      </c>
      <c r="E670" t="s">
        <v>99</v>
      </c>
      <c r="F670" t="s">
        <v>450</v>
      </c>
      <c r="G670" t="s">
        <v>727</v>
      </c>
      <c r="H670" t="str">
        <f>"ΒΕΡΓΙΝΑΣ 1 ΑΓΙΟΣ ΙΩΑΝΝΗΣ ΧΩΣΤΟΣ"</f>
        <v>ΒΕΡΓΙΝΑΣ 1 ΑΓΙΟΣ ΙΩΑΝΝΗΣ ΧΩΣΤΟΣ</v>
      </c>
      <c r="I670">
        <v>71410</v>
      </c>
      <c r="J670">
        <v>2810253014</v>
      </c>
      <c r="K670">
        <v>6944656847</v>
      </c>
      <c r="M670" t="s">
        <v>1814</v>
      </c>
      <c r="N670" t="s">
        <v>176</v>
      </c>
      <c r="O670" t="s">
        <v>177</v>
      </c>
      <c r="R670" t="s">
        <v>57</v>
      </c>
      <c r="S670">
        <v>8</v>
      </c>
      <c r="T670">
        <v>218</v>
      </c>
      <c r="U670" s="1">
        <v>38596</v>
      </c>
      <c r="V670" t="s">
        <v>123</v>
      </c>
      <c r="W670" t="s">
        <v>124</v>
      </c>
      <c r="X670" t="s">
        <v>58</v>
      </c>
      <c r="Y670">
        <v>20</v>
      </c>
      <c r="Z670" t="s">
        <v>59</v>
      </c>
      <c r="AA670" t="s">
        <v>59</v>
      </c>
      <c r="AB670" t="s">
        <v>59</v>
      </c>
      <c r="AC670" t="s">
        <v>59</v>
      </c>
      <c r="AD670" t="s">
        <v>59</v>
      </c>
      <c r="AF670" s="1">
        <v>38607</v>
      </c>
      <c r="AG670" t="s">
        <v>125</v>
      </c>
      <c r="AH670" t="s">
        <v>126</v>
      </c>
      <c r="AI670" t="str">
        <f>"1727010"</f>
        <v>1727010</v>
      </c>
      <c r="AJ670" t="s">
        <v>618</v>
      </c>
      <c r="AK670">
        <v>2810229231</v>
      </c>
      <c r="AL670" t="s">
        <v>619</v>
      </c>
      <c r="AM670" t="s">
        <v>78</v>
      </c>
      <c r="AN670" t="s">
        <v>78</v>
      </c>
      <c r="AO670" t="s">
        <v>286</v>
      </c>
      <c r="AP670" t="s">
        <v>286</v>
      </c>
      <c r="AQ670">
        <v>12</v>
      </c>
      <c r="AR670" t="s">
        <v>123</v>
      </c>
      <c r="AS670" t="s">
        <v>124</v>
      </c>
      <c r="AT670" t="s">
        <v>58</v>
      </c>
      <c r="AU670" t="s">
        <v>68</v>
      </c>
      <c r="AV670" t="s">
        <v>69</v>
      </c>
      <c r="AW670" s="1">
        <v>24431</v>
      </c>
      <c r="AX670">
        <v>2</v>
      </c>
    </row>
    <row r="671" spans="1:50">
      <c r="A671">
        <v>226506</v>
      </c>
      <c r="B671" t="str">
        <f>"070365504"</f>
        <v>070365504</v>
      </c>
      <c r="C671" t="s">
        <v>50</v>
      </c>
      <c r="D671" t="s">
        <v>1815</v>
      </c>
      <c r="E671" t="s">
        <v>181</v>
      </c>
      <c r="F671" t="s">
        <v>166</v>
      </c>
      <c r="G671" t="s">
        <v>215</v>
      </c>
      <c r="H671" t="str">
        <f>"ΕΚΑΤΗΣ 26 ΗΡΑΚΛΕΙΟ"</f>
        <v>ΕΚΑΤΗΣ 26 ΗΡΑΚΛΕΙΟ</v>
      </c>
      <c r="I671">
        <v>71306</v>
      </c>
      <c r="J671">
        <v>2810240902</v>
      </c>
      <c r="K671">
        <v>6972985577</v>
      </c>
      <c r="N671" t="s">
        <v>146</v>
      </c>
      <c r="O671" t="s">
        <v>147</v>
      </c>
      <c r="R671" t="s">
        <v>57</v>
      </c>
      <c r="S671">
        <v>5</v>
      </c>
      <c r="T671">
        <v>654</v>
      </c>
      <c r="U671" s="1">
        <v>40043</v>
      </c>
      <c r="V671" t="s">
        <v>123</v>
      </c>
      <c r="W671" t="s">
        <v>124</v>
      </c>
      <c r="X671" t="s">
        <v>58</v>
      </c>
      <c r="Y671">
        <v>21</v>
      </c>
      <c r="Z671" t="s">
        <v>59</v>
      </c>
      <c r="AA671" t="s">
        <v>59</v>
      </c>
      <c r="AB671" t="s">
        <v>59</v>
      </c>
      <c r="AC671" t="s">
        <v>59</v>
      </c>
      <c r="AD671" t="s">
        <v>59</v>
      </c>
      <c r="AF671" s="1">
        <v>40043</v>
      </c>
      <c r="AG671" t="s">
        <v>125</v>
      </c>
      <c r="AH671" t="s">
        <v>126</v>
      </c>
      <c r="AI671" t="str">
        <f>"1714012"</f>
        <v>1714012</v>
      </c>
      <c r="AJ671" t="s">
        <v>633</v>
      </c>
      <c r="AK671">
        <v>2810762261</v>
      </c>
      <c r="AL671" t="s">
        <v>634</v>
      </c>
      <c r="AM671" t="s">
        <v>78</v>
      </c>
      <c r="AN671" t="s">
        <v>219</v>
      </c>
      <c r="AO671" t="s">
        <v>297</v>
      </c>
      <c r="AP671" t="s">
        <v>297</v>
      </c>
      <c r="AQ671">
        <v>37</v>
      </c>
      <c r="AR671" t="s">
        <v>123</v>
      </c>
      <c r="AS671" t="s">
        <v>124</v>
      </c>
      <c r="AT671" t="s">
        <v>58</v>
      </c>
      <c r="AU671" t="s">
        <v>68</v>
      </c>
      <c r="AV671" t="s">
        <v>69</v>
      </c>
      <c r="AW671" s="1">
        <v>24967</v>
      </c>
      <c r="AX671">
        <v>2</v>
      </c>
    </row>
    <row r="672" spans="1:50">
      <c r="B672" t="str">
        <f>"118819150"</f>
        <v>118819150</v>
      </c>
      <c r="C672" t="s">
        <v>50</v>
      </c>
      <c r="D672" t="s">
        <v>1815</v>
      </c>
      <c r="E672" t="s">
        <v>181</v>
      </c>
      <c r="F672" t="s">
        <v>72</v>
      </c>
      <c r="G672" t="s">
        <v>1816</v>
      </c>
      <c r="H672" t="str">
        <f>"ΜΥΡΙΟΚΕΦΑΛΩΝ 8 ΗΡΑΚΛΕΙΟ"</f>
        <v>ΜΥΡΙΟΚΕΦΑΛΩΝ 8 ΗΡΑΚΛΕΙΟ</v>
      </c>
      <c r="I672">
        <v>71409</v>
      </c>
      <c r="J672">
        <v>2810233636</v>
      </c>
      <c r="K672">
        <v>6937932938</v>
      </c>
      <c r="N672" t="s">
        <v>1817</v>
      </c>
      <c r="O672" t="s">
        <v>1818</v>
      </c>
      <c r="R672" t="s">
        <v>159</v>
      </c>
      <c r="S672">
        <v>5</v>
      </c>
      <c r="T672" t="s">
        <v>344</v>
      </c>
      <c r="U672" s="1">
        <v>43348</v>
      </c>
      <c r="V672" t="s">
        <v>123</v>
      </c>
      <c r="W672" t="s">
        <v>124</v>
      </c>
      <c r="X672" t="s">
        <v>58</v>
      </c>
      <c r="Y672">
        <v>21</v>
      </c>
      <c r="Z672" t="s">
        <v>59</v>
      </c>
      <c r="AA672" t="s">
        <v>59</v>
      </c>
      <c r="AB672" t="s">
        <v>59</v>
      </c>
      <c r="AC672" t="s">
        <v>59</v>
      </c>
      <c r="AD672" t="s">
        <v>59</v>
      </c>
      <c r="AF672" s="1">
        <v>43348</v>
      </c>
      <c r="AG672" t="s">
        <v>345</v>
      </c>
      <c r="AH672" t="s">
        <v>346</v>
      </c>
      <c r="AI672" t="str">
        <f>"1741001"</f>
        <v>1741001</v>
      </c>
      <c r="AJ672" t="s">
        <v>655</v>
      </c>
      <c r="AK672">
        <v>2810360436</v>
      </c>
      <c r="AL672" t="s">
        <v>656</v>
      </c>
      <c r="AM672" t="s">
        <v>78</v>
      </c>
      <c r="AN672" t="s">
        <v>78</v>
      </c>
      <c r="AO672" t="s">
        <v>78</v>
      </c>
      <c r="AP672" t="s">
        <v>141</v>
      </c>
      <c r="AQ672">
        <v>11</v>
      </c>
      <c r="AR672" t="s">
        <v>123</v>
      </c>
      <c r="AS672" t="s">
        <v>124</v>
      </c>
      <c r="AT672" t="s">
        <v>58</v>
      </c>
      <c r="AU672" t="s">
        <v>350</v>
      </c>
      <c r="AV672" t="s">
        <v>132</v>
      </c>
      <c r="AW672" s="1">
        <v>28155</v>
      </c>
      <c r="AX672">
        <v>2</v>
      </c>
    </row>
    <row r="673" spans="1:50">
      <c r="A673">
        <v>181446</v>
      </c>
      <c r="B673" t="str">
        <f>"052946898"</f>
        <v>052946898</v>
      </c>
      <c r="C673" t="s">
        <v>105</v>
      </c>
      <c r="D673" t="s">
        <v>1819</v>
      </c>
      <c r="E673" t="s">
        <v>95</v>
      </c>
      <c r="F673" t="s">
        <v>53</v>
      </c>
      <c r="G673" t="s">
        <v>250</v>
      </c>
      <c r="H673" t="str">
        <f>"ΜΥΣΤΡΑ 27 ΗΡΑΚΛΕΙΟ"</f>
        <v>ΜΥΣΤΡΑ 27 ΗΡΑΚΛΕΙΟ</v>
      </c>
      <c r="I673">
        <v>71305</v>
      </c>
      <c r="J673">
        <v>2810319818</v>
      </c>
      <c r="K673">
        <v>6974328180</v>
      </c>
      <c r="M673" t="s">
        <v>1820</v>
      </c>
      <c r="N673" t="s">
        <v>299</v>
      </c>
      <c r="O673" t="s">
        <v>300</v>
      </c>
      <c r="R673" t="s">
        <v>57</v>
      </c>
      <c r="S673">
        <v>12</v>
      </c>
      <c r="T673">
        <v>164</v>
      </c>
      <c r="U673" s="1">
        <v>36040</v>
      </c>
      <c r="V673" t="s">
        <v>123</v>
      </c>
      <c r="W673" t="s">
        <v>124</v>
      </c>
      <c r="X673" t="s">
        <v>58</v>
      </c>
      <c r="Y673">
        <v>18</v>
      </c>
      <c r="Z673" t="s">
        <v>59</v>
      </c>
      <c r="AA673" t="s">
        <v>59</v>
      </c>
      <c r="AB673" t="s">
        <v>59</v>
      </c>
      <c r="AC673" t="s">
        <v>59</v>
      </c>
      <c r="AD673" t="s">
        <v>59</v>
      </c>
      <c r="AF673" s="1">
        <v>36040</v>
      </c>
      <c r="AG673" t="s">
        <v>148</v>
      </c>
      <c r="AH673" t="s">
        <v>149</v>
      </c>
      <c r="AI673" t="str">
        <f>"1778010"</f>
        <v>1778010</v>
      </c>
      <c r="AJ673" t="s">
        <v>672</v>
      </c>
      <c r="AK673">
        <v>2810822455</v>
      </c>
      <c r="AL673" t="s">
        <v>673</v>
      </c>
      <c r="AM673" t="s">
        <v>78</v>
      </c>
      <c r="AN673" t="s">
        <v>129</v>
      </c>
      <c r="AO673" t="s">
        <v>130</v>
      </c>
      <c r="AP673" t="s">
        <v>130</v>
      </c>
      <c r="AQ673">
        <v>36</v>
      </c>
      <c r="AR673" t="s">
        <v>123</v>
      </c>
      <c r="AS673" t="s">
        <v>124</v>
      </c>
      <c r="AT673" t="s">
        <v>58</v>
      </c>
      <c r="AU673" t="s">
        <v>68</v>
      </c>
      <c r="AV673" t="s">
        <v>69</v>
      </c>
      <c r="AW673" s="1">
        <v>21501</v>
      </c>
      <c r="AX673">
        <v>2</v>
      </c>
    </row>
    <row r="674" spans="1:50">
      <c r="A674">
        <v>700597</v>
      </c>
      <c r="B674" t="str">
        <f>"114599827"</f>
        <v>114599827</v>
      </c>
      <c r="C674" t="s">
        <v>105</v>
      </c>
      <c r="D674" t="s">
        <v>1821</v>
      </c>
      <c r="E674" t="s">
        <v>383</v>
      </c>
      <c r="F674" t="s">
        <v>166</v>
      </c>
      <c r="G674" t="s">
        <v>109</v>
      </c>
      <c r="H674" t="str">
        <f>"ΠΑΤΜΟΥ 36 ΗΡΑΚΛΕΙΟ"</f>
        <v>ΠΑΤΜΟΥ 36 ΗΡΑΚΛΕΙΟ</v>
      </c>
      <c r="I674">
        <v>71307</v>
      </c>
      <c r="J674">
        <v>2815205444</v>
      </c>
      <c r="K674">
        <v>6947992250</v>
      </c>
      <c r="M674" t="s">
        <v>1822</v>
      </c>
      <c r="N674" t="s">
        <v>337</v>
      </c>
      <c r="O674" t="s">
        <v>338</v>
      </c>
      <c r="R674" t="s">
        <v>57</v>
      </c>
      <c r="S674">
        <v>5</v>
      </c>
      <c r="T674">
        <v>772</v>
      </c>
      <c r="U674" s="1">
        <v>40413</v>
      </c>
      <c r="V674" t="s">
        <v>123</v>
      </c>
      <c r="W674" t="s">
        <v>124</v>
      </c>
      <c r="X674" t="s">
        <v>58</v>
      </c>
      <c r="Y674">
        <v>21</v>
      </c>
      <c r="Z674" t="s">
        <v>59</v>
      </c>
      <c r="AA674" t="s">
        <v>59</v>
      </c>
      <c r="AB674" t="s">
        <v>59</v>
      </c>
      <c r="AC674" t="s">
        <v>59</v>
      </c>
      <c r="AD674" t="s">
        <v>59</v>
      </c>
      <c r="AF674" s="1">
        <v>40413</v>
      </c>
      <c r="AG674" t="s">
        <v>125</v>
      </c>
      <c r="AH674" t="s">
        <v>126</v>
      </c>
      <c r="AI674" t="str">
        <f>"1709010"</f>
        <v>1709010</v>
      </c>
      <c r="AJ674" t="s">
        <v>847</v>
      </c>
      <c r="AK674">
        <v>2894022227</v>
      </c>
      <c r="AL674" t="s">
        <v>848</v>
      </c>
      <c r="AM674" t="s">
        <v>78</v>
      </c>
      <c r="AN674" t="s">
        <v>405</v>
      </c>
      <c r="AO674" t="s">
        <v>406</v>
      </c>
      <c r="AP674" t="s">
        <v>406</v>
      </c>
      <c r="AQ674">
        <v>30</v>
      </c>
      <c r="AR674" t="s">
        <v>123</v>
      </c>
      <c r="AS674" t="s">
        <v>124</v>
      </c>
      <c r="AT674" t="s">
        <v>58</v>
      </c>
      <c r="AU674" t="s">
        <v>68</v>
      </c>
      <c r="AV674" t="s">
        <v>69</v>
      </c>
      <c r="AW674" s="1">
        <v>29595</v>
      </c>
      <c r="AX674">
        <v>2</v>
      </c>
    </row>
    <row r="675" spans="1:50">
      <c r="A675">
        <v>182473</v>
      </c>
      <c r="B675" t="str">
        <f>"065814750"</f>
        <v>065814750</v>
      </c>
      <c r="C675" t="s">
        <v>50</v>
      </c>
      <c r="D675" t="s">
        <v>1823</v>
      </c>
      <c r="E675" t="s">
        <v>1824</v>
      </c>
      <c r="F675" t="s">
        <v>1825</v>
      </c>
      <c r="G675" t="s">
        <v>255</v>
      </c>
      <c r="H675" t="str">
        <f>"ΑΛΑΜΑΝΑΣ 13 ΗΡΑΚΛΕΙΟ"</f>
        <v>ΑΛΑΜΑΝΑΣ 13 ΗΡΑΚΛΕΙΟ</v>
      </c>
      <c r="I675">
        <v>71305</v>
      </c>
      <c r="J675">
        <v>2810324087</v>
      </c>
      <c r="K675">
        <v>6972808488</v>
      </c>
      <c r="N675" t="s">
        <v>146</v>
      </c>
      <c r="O675" t="s">
        <v>147</v>
      </c>
      <c r="R675" t="s">
        <v>57</v>
      </c>
      <c r="S675">
        <v>11</v>
      </c>
      <c r="T675">
        <v>249</v>
      </c>
      <c r="U675" s="1">
        <v>36160</v>
      </c>
      <c r="V675" t="s">
        <v>123</v>
      </c>
      <c r="W675" t="s">
        <v>124</v>
      </c>
      <c r="X675" t="s">
        <v>58</v>
      </c>
      <c r="Y675">
        <v>20</v>
      </c>
      <c r="Z675" t="s">
        <v>59</v>
      </c>
      <c r="AA675" t="s">
        <v>59</v>
      </c>
      <c r="AB675" t="s">
        <v>59</v>
      </c>
      <c r="AC675" t="s">
        <v>59</v>
      </c>
      <c r="AD675" t="s">
        <v>59</v>
      </c>
      <c r="AF675" s="1">
        <v>36182</v>
      </c>
      <c r="AG675" t="s">
        <v>148</v>
      </c>
      <c r="AH675" t="s">
        <v>149</v>
      </c>
      <c r="AI675" t="str">
        <f>"1778010"</f>
        <v>1778010</v>
      </c>
      <c r="AJ675" t="s">
        <v>672</v>
      </c>
      <c r="AK675">
        <v>2810822455</v>
      </c>
      <c r="AL675" t="s">
        <v>673</v>
      </c>
      <c r="AM675" t="s">
        <v>78</v>
      </c>
      <c r="AN675" t="s">
        <v>129</v>
      </c>
      <c r="AO675" t="s">
        <v>130</v>
      </c>
      <c r="AP675" t="s">
        <v>130</v>
      </c>
      <c r="AQ675">
        <v>36</v>
      </c>
      <c r="AR675" t="s">
        <v>123</v>
      </c>
      <c r="AS675" t="s">
        <v>124</v>
      </c>
      <c r="AT675" t="s">
        <v>58</v>
      </c>
      <c r="AU675" t="s">
        <v>68</v>
      </c>
      <c r="AV675" t="s">
        <v>69</v>
      </c>
      <c r="AW675" s="1">
        <v>27151</v>
      </c>
      <c r="AX675">
        <v>2</v>
      </c>
    </row>
    <row r="676" spans="1:50">
      <c r="A676">
        <v>190182</v>
      </c>
      <c r="B676" t="str">
        <f>"046171722"</f>
        <v>046171722</v>
      </c>
      <c r="C676" t="s">
        <v>50</v>
      </c>
      <c r="D676" t="s">
        <v>1826</v>
      </c>
      <c r="E676" t="s">
        <v>1827</v>
      </c>
      <c r="F676" t="s">
        <v>99</v>
      </c>
      <c r="G676" t="s">
        <v>367</v>
      </c>
      <c r="H676" t="str">
        <f>"ΑΡΧΙΕΠΙΣΚΟΠΟΥ ΕΥΓΕΝΙΟΥ 32 "</f>
        <v xml:space="preserve">ΑΡΧΙΕΠΙΣΚΟΠΟΥ ΕΥΓΕΝΙΟΥ 32 </v>
      </c>
      <c r="I676">
        <v>71409</v>
      </c>
      <c r="J676">
        <v>2810322226</v>
      </c>
      <c r="K676">
        <v>6972327229</v>
      </c>
      <c r="N676" t="s">
        <v>246</v>
      </c>
      <c r="O676" t="s">
        <v>247</v>
      </c>
      <c r="R676" t="s">
        <v>57</v>
      </c>
      <c r="S676">
        <v>14</v>
      </c>
      <c r="T676">
        <v>219</v>
      </c>
      <c r="U676" s="1">
        <v>37134</v>
      </c>
      <c r="V676" t="s">
        <v>123</v>
      </c>
      <c r="W676" t="s">
        <v>124</v>
      </c>
      <c r="X676" t="s">
        <v>58</v>
      </c>
      <c r="Y676">
        <v>20</v>
      </c>
      <c r="Z676" t="s">
        <v>59</v>
      </c>
      <c r="AA676" t="s">
        <v>59</v>
      </c>
      <c r="AB676" t="s">
        <v>59</v>
      </c>
      <c r="AC676" t="s">
        <v>59</v>
      </c>
      <c r="AD676" t="s">
        <v>59</v>
      </c>
      <c r="AF676" s="1">
        <v>37137</v>
      </c>
      <c r="AG676" t="s">
        <v>148</v>
      </c>
      <c r="AH676" t="s">
        <v>149</v>
      </c>
      <c r="AI676" t="str">
        <f>"1751020"</f>
        <v>1751020</v>
      </c>
      <c r="AJ676" t="s">
        <v>532</v>
      </c>
      <c r="AK676">
        <v>2810372732</v>
      </c>
      <c r="AL676" t="s">
        <v>533</v>
      </c>
      <c r="AM676" t="s">
        <v>78</v>
      </c>
      <c r="AN676" t="s">
        <v>78</v>
      </c>
      <c r="AO676" t="s">
        <v>78</v>
      </c>
      <c r="AP676" t="s">
        <v>163</v>
      </c>
      <c r="AQ676">
        <v>3</v>
      </c>
      <c r="AR676" t="s">
        <v>123</v>
      </c>
      <c r="AS676" t="s">
        <v>124</v>
      </c>
      <c r="AT676" t="s">
        <v>58</v>
      </c>
      <c r="AU676" t="s">
        <v>68</v>
      </c>
      <c r="AV676" t="s">
        <v>69</v>
      </c>
      <c r="AW676" s="1">
        <v>25696</v>
      </c>
      <c r="AX676">
        <v>2</v>
      </c>
    </row>
    <row r="677" spans="1:50">
      <c r="A677">
        <v>173333</v>
      </c>
      <c r="B677" t="str">
        <f>"035803564"</f>
        <v>035803564</v>
      </c>
      <c r="C677" t="s">
        <v>50</v>
      </c>
      <c r="D677" t="s">
        <v>1826</v>
      </c>
      <c r="E677" t="s">
        <v>54</v>
      </c>
      <c r="F677" t="s">
        <v>99</v>
      </c>
      <c r="G677" t="s">
        <v>367</v>
      </c>
      <c r="H677" t="str">
        <f>"ΑΡΧ.ΕΥΓΕΝΙΟΥ 32 ΗΡΑΚΛΕΙΟΥ"</f>
        <v>ΑΡΧ.ΕΥΓΕΝΙΟΥ 32 ΗΡΑΚΛΕΙΟΥ</v>
      </c>
      <c r="I677">
        <v>71409</v>
      </c>
      <c r="J677">
        <v>2810324954</v>
      </c>
      <c r="K677">
        <v>6972336316</v>
      </c>
      <c r="M677" t="s">
        <v>1828</v>
      </c>
      <c r="N677" t="s">
        <v>146</v>
      </c>
      <c r="O677" t="s">
        <v>147</v>
      </c>
      <c r="R677" t="s">
        <v>57</v>
      </c>
      <c r="S677">
        <v>13</v>
      </c>
      <c r="T677">
        <v>166</v>
      </c>
      <c r="U677" s="1">
        <v>35300</v>
      </c>
      <c r="V677" t="s">
        <v>123</v>
      </c>
      <c r="W677" t="s">
        <v>124</v>
      </c>
      <c r="X677" t="s">
        <v>58</v>
      </c>
      <c r="Y677">
        <v>18</v>
      </c>
      <c r="Z677" t="s">
        <v>59</v>
      </c>
      <c r="AA677" t="s">
        <v>59</v>
      </c>
      <c r="AB677" t="s">
        <v>59</v>
      </c>
      <c r="AC677" t="s">
        <v>59</v>
      </c>
      <c r="AD677" t="s">
        <v>59</v>
      </c>
      <c r="AF677" s="1">
        <v>35310</v>
      </c>
      <c r="AG677" t="s">
        <v>148</v>
      </c>
      <c r="AH677" t="s">
        <v>149</v>
      </c>
      <c r="AI677" t="str">
        <f>"1751052"</f>
        <v>1751052</v>
      </c>
      <c r="AJ677" t="s">
        <v>328</v>
      </c>
      <c r="AK677">
        <v>2810213762</v>
      </c>
      <c r="AL677" t="s">
        <v>329</v>
      </c>
      <c r="AM677" t="s">
        <v>78</v>
      </c>
      <c r="AN677" t="s">
        <v>78</v>
      </c>
      <c r="AO677" t="s">
        <v>78</v>
      </c>
      <c r="AP677" t="s">
        <v>163</v>
      </c>
      <c r="AQ677">
        <v>8</v>
      </c>
      <c r="AR677" t="s">
        <v>123</v>
      </c>
      <c r="AS677" t="s">
        <v>124</v>
      </c>
      <c r="AT677" t="s">
        <v>58</v>
      </c>
      <c r="AU677" t="s">
        <v>68</v>
      </c>
      <c r="AV677" t="s">
        <v>69</v>
      </c>
      <c r="AW677" s="1">
        <v>24247</v>
      </c>
      <c r="AX677">
        <v>2</v>
      </c>
    </row>
    <row r="678" spans="1:50">
      <c r="A678">
        <v>212720</v>
      </c>
      <c r="B678" t="str">
        <f>"075210685"</f>
        <v>075210685</v>
      </c>
      <c r="C678" t="s">
        <v>105</v>
      </c>
      <c r="D678" t="s">
        <v>1829</v>
      </c>
      <c r="E678" t="s">
        <v>1743</v>
      </c>
      <c r="F678" t="s">
        <v>106</v>
      </c>
      <c r="G678" t="s">
        <v>1830</v>
      </c>
      <c r="H678" t="str">
        <f>"Βραχόκηπος Κοκκίνη Χάνι"</f>
        <v>Βραχόκηπος Κοκκίνη Χάνι</v>
      </c>
      <c r="I678">
        <v>71500</v>
      </c>
      <c r="J678">
        <v>2810361187</v>
      </c>
      <c r="K678">
        <v>6944475003</v>
      </c>
      <c r="M678" t="s">
        <v>1831</v>
      </c>
      <c r="N678" t="s">
        <v>292</v>
      </c>
      <c r="O678" t="s">
        <v>293</v>
      </c>
      <c r="R678" t="s">
        <v>57</v>
      </c>
      <c r="S678">
        <v>6</v>
      </c>
      <c r="T678">
        <v>231</v>
      </c>
      <c r="U678" s="1">
        <v>38960</v>
      </c>
      <c r="V678" t="s">
        <v>123</v>
      </c>
      <c r="W678" t="s">
        <v>124</v>
      </c>
      <c r="X678" t="s">
        <v>58</v>
      </c>
      <c r="Y678">
        <v>20</v>
      </c>
      <c r="Z678" t="s">
        <v>59</v>
      </c>
      <c r="AA678" t="s">
        <v>59</v>
      </c>
      <c r="AB678" t="s">
        <v>59</v>
      </c>
      <c r="AC678" t="s">
        <v>59</v>
      </c>
      <c r="AD678" t="s">
        <v>59</v>
      </c>
      <c r="AF678" s="1">
        <v>38964</v>
      </c>
      <c r="AG678" t="s">
        <v>148</v>
      </c>
      <c r="AH678" t="s">
        <v>149</v>
      </c>
      <c r="AI678" t="str">
        <f>"1764010"</f>
        <v>1764010</v>
      </c>
      <c r="AJ678" t="s">
        <v>1058</v>
      </c>
      <c r="AK678">
        <v>2810762862</v>
      </c>
      <c r="AL678" t="s">
        <v>1059</v>
      </c>
      <c r="AM678" t="s">
        <v>78</v>
      </c>
      <c r="AN678" t="s">
        <v>219</v>
      </c>
      <c r="AO678" t="s">
        <v>297</v>
      </c>
      <c r="AP678" t="s">
        <v>297</v>
      </c>
      <c r="AQ678">
        <v>37</v>
      </c>
      <c r="AR678" t="s">
        <v>123</v>
      </c>
      <c r="AS678" t="s">
        <v>124</v>
      </c>
      <c r="AT678" t="s">
        <v>58</v>
      </c>
      <c r="AU678" t="s">
        <v>68</v>
      </c>
      <c r="AV678" t="s">
        <v>69</v>
      </c>
      <c r="AW678" s="1">
        <v>28028</v>
      </c>
      <c r="AX678">
        <v>2</v>
      </c>
    </row>
    <row r="679" spans="1:50">
      <c r="A679">
        <v>172237</v>
      </c>
      <c r="B679" t="str">
        <f>"037553056"</f>
        <v>037553056</v>
      </c>
      <c r="C679" t="s">
        <v>105</v>
      </c>
      <c r="D679" t="s">
        <v>1832</v>
      </c>
      <c r="E679" t="s">
        <v>166</v>
      </c>
      <c r="F679" t="s">
        <v>99</v>
      </c>
      <c r="G679" t="s">
        <v>411</v>
      </c>
      <c r="H679" t="str">
        <f>" "</f>
        <v xml:space="preserve"> </v>
      </c>
      <c r="M679" t="s">
        <v>1833</v>
      </c>
      <c r="N679" t="s">
        <v>331</v>
      </c>
      <c r="O679" t="s">
        <v>332</v>
      </c>
      <c r="P679" t="s">
        <v>232</v>
      </c>
      <c r="Q679" t="s">
        <v>233</v>
      </c>
      <c r="R679" t="s">
        <v>57</v>
      </c>
      <c r="S679">
        <v>18</v>
      </c>
      <c r="T679">
        <v>184</v>
      </c>
      <c r="U679" s="1">
        <v>34941</v>
      </c>
      <c r="V679" t="s">
        <v>123</v>
      </c>
      <c r="W679" t="s">
        <v>124</v>
      </c>
      <c r="X679" t="s">
        <v>58</v>
      </c>
      <c r="Y679">
        <v>18</v>
      </c>
      <c r="Z679" t="s">
        <v>59</v>
      </c>
      <c r="AA679" t="s">
        <v>59</v>
      </c>
      <c r="AB679" t="s">
        <v>59</v>
      </c>
      <c r="AC679" t="s">
        <v>59</v>
      </c>
      <c r="AD679" t="s">
        <v>59</v>
      </c>
      <c r="AF679" s="1">
        <v>34943</v>
      </c>
      <c r="AG679" t="s">
        <v>125</v>
      </c>
      <c r="AH679" t="s">
        <v>126</v>
      </c>
      <c r="AI679" t="str">
        <f>"1706010"</f>
        <v>1706010</v>
      </c>
      <c r="AJ679" t="s">
        <v>391</v>
      </c>
      <c r="AK679">
        <v>2892022286</v>
      </c>
      <c r="AL679" t="s">
        <v>392</v>
      </c>
      <c r="AM679" t="s">
        <v>78</v>
      </c>
      <c r="AN679" t="s">
        <v>242</v>
      </c>
      <c r="AO679" t="s">
        <v>243</v>
      </c>
      <c r="AP679" t="s">
        <v>243</v>
      </c>
      <c r="AQ679">
        <v>33</v>
      </c>
      <c r="AR679" t="s">
        <v>123</v>
      </c>
      <c r="AS679" t="s">
        <v>124</v>
      </c>
      <c r="AT679" t="s">
        <v>58</v>
      </c>
      <c r="AU679" t="s">
        <v>68</v>
      </c>
      <c r="AV679" t="s">
        <v>69</v>
      </c>
      <c r="AW679" s="1">
        <v>23441</v>
      </c>
      <c r="AX679">
        <v>2</v>
      </c>
    </row>
    <row r="680" spans="1:50">
      <c r="A680">
        <v>165221</v>
      </c>
      <c r="B680" t="str">
        <f>"033596378"</f>
        <v>033596378</v>
      </c>
      <c r="C680" t="s">
        <v>50</v>
      </c>
      <c r="D680" t="s">
        <v>1834</v>
      </c>
      <c r="E680" t="s">
        <v>237</v>
      </c>
      <c r="F680" t="s">
        <v>53</v>
      </c>
      <c r="G680" t="s">
        <v>1497</v>
      </c>
      <c r="H680" t="str">
        <f>"ΓΡΕΒΕΝΩΝ 26 ΗΡΑΚΛΕΙΟ"</f>
        <v>ΓΡΕΒΕΝΩΝ 26 ΗΡΑΚΛΕΙΟ</v>
      </c>
      <c r="I680">
        <v>71202</v>
      </c>
      <c r="J680">
        <v>2810343916</v>
      </c>
      <c r="K680">
        <v>6947431215</v>
      </c>
      <c r="M680" t="s">
        <v>1835</v>
      </c>
      <c r="N680" t="s">
        <v>306</v>
      </c>
      <c r="O680" t="s">
        <v>307</v>
      </c>
      <c r="R680" t="s">
        <v>57</v>
      </c>
      <c r="S680">
        <v>13</v>
      </c>
      <c r="T680">
        <v>238</v>
      </c>
      <c r="U680" s="1">
        <v>33968</v>
      </c>
      <c r="V680" t="s">
        <v>123</v>
      </c>
      <c r="W680" t="s">
        <v>124</v>
      </c>
      <c r="X680" t="s">
        <v>58</v>
      </c>
      <c r="Y680">
        <v>18</v>
      </c>
      <c r="Z680" t="s">
        <v>59</v>
      </c>
      <c r="AA680" t="s">
        <v>59</v>
      </c>
      <c r="AB680" t="s">
        <v>59</v>
      </c>
      <c r="AC680" t="s">
        <v>59</v>
      </c>
      <c r="AD680" t="s">
        <v>59</v>
      </c>
      <c r="AF680" s="1">
        <v>33977</v>
      </c>
      <c r="AG680" t="s">
        <v>125</v>
      </c>
      <c r="AH680" t="s">
        <v>126</v>
      </c>
      <c r="AI680" t="str">
        <f>"1701050"</f>
        <v>1701050</v>
      </c>
      <c r="AJ680" t="s">
        <v>660</v>
      </c>
      <c r="AK680">
        <v>2810220729</v>
      </c>
      <c r="AL680" t="s">
        <v>661</v>
      </c>
      <c r="AM680" t="s">
        <v>78</v>
      </c>
      <c r="AN680" t="s">
        <v>78</v>
      </c>
      <c r="AO680" t="s">
        <v>78</v>
      </c>
      <c r="AP680" t="s">
        <v>79</v>
      </c>
      <c r="AQ680">
        <v>1</v>
      </c>
      <c r="AR680" t="s">
        <v>123</v>
      </c>
      <c r="AS680" t="s">
        <v>124</v>
      </c>
      <c r="AT680" t="s">
        <v>58</v>
      </c>
      <c r="AU680" t="s">
        <v>68</v>
      </c>
      <c r="AV680" t="s">
        <v>69</v>
      </c>
      <c r="AW680" s="1">
        <v>24160</v>
      </c>
      <c r="AX680">
        <v>2</v>
      </c>
    </row>
    <row r="681" spans="1:50">
      <c r="A681">
        <v>172672</v>
      </c>
      <c r="B681" t="str">
        <f>"045847544"</f>
        <v>045847544</v>
      </c>
      <c r="C681" t="s">
        <v>105</v>
      </c>
      <c r="D681" t="s">
        <v>1836</v>
      </c>
      <c r="E681" t="s">
        <v>53</v>
      </c>
      <c r="F681" t="s">
        <v>581</v>
      </c>
      <c r="G681" t="s">
        <v>188</v>
      </c>
      <c r="H681" t="str">
        <f>"ΓΕΝΝΗΜΑΤΑ 32 ΜΑΣΤΑΜΠΑΣ"</f>
        <v>ΓΕΝΝΗΜΑΤΑ 32 ΜΑΣΤΑΜΠΑΣ</v>
      </c>
      <c r="I681">
        <v>71305</v>
      </c>
      <c r="J681">
        <v>2810311277</v>
      </c>
      <c r="K681">
        <v>6979780728</v>
      </c>
      <c r="M681" t="s">
        <v>1837</v>
      </c>
      <c r="N681" t="s">
        <v>204</v>
      </c>
      <c r="O681" t="s">
        <v>205</v>
      </c>
      <c r="R681" t="s">
        <v>57</v>
      </c>
      <c r="S681">
        <v>13</v>
      </c>
      <c r="T681">
        <v>184</v>
      </c>
      <c r="U681" s="1">
        <v>34941</v>
      </c>
      <c r="V681" t="s">
        <v>123</v>
      </c>
      <c r="W681" t="s">
        <v>124</v>
      </c>
      <c r="X681" t="s">
        <v>58</v>
      </c>
      <c r="Y681">
        <v>18</v>
      </c>
      <c r="Z681" t="s">
        <v>59</v>
      </c>
      <c r="AA681" t="s">
        <v>59</v>
      </c>
      <c r="AB681" t="s">
        <v>59</v>
      </c>
      <c r="AC681" t="s">
        <v>59</v>
      </c>
      <c r="AD681" t="s">
        <v>59</v>
      </c>
      <c r="AF681" s="1">
        <v>34947</v>
      </c>
      <c r="AG681" t="s">
        <v>125</v>
      </c>
      <c r="AH681" t="s">
        <v>126</v>
      </c>
      <c r="AI681" t="str">
        <f>"1727010"</f>
        <v>1727010</v>
      </c>
      <c r="AJ681" t="s">
        <v>618</v>
      </c>
      <c r="AK681">
        <v>2810229231</v>
      </c>
      <c r="AL681" t="s">
        <v>619</v>
      </c>
      <c r="AM681" t="s">
        <v>78</v>
      </c>
      <c r="AN681" t="s">
        <v>78</v>
      </c>
      <c r="AO681" t="s">
        <v>286</v>
      </c>
      <c r="AP681" t="s">
        <v>286</v>
      </c>
      <c r="AQ681">
        <v>12</v>
      </c>
      <c r="AR681" t="s">
        <v>123</v>
      </c>
      <c r="AS681" t="s">
        <v>124</v>
      </c>
      <c r="AT681" t="s">
        <v>58</v>
      </c>
      <c r="AU681" t="s">
        <v>68</v>
      </c>
      <c r="AV681" t="s">
        <v>69</v>
      </c>
      <c r="AW681" s="1">
        <v>24935</v>
      </c>
      <c r="AX681">
        <v>2</v>
      </c>
    </row>
    <row r="682" spans="1:50">
      <c r="A682">
        <v>193965</v>
      </c>
      <c r="B682" t="str">
        <f>"119657768"</f>
        <v>119657768</v>
      </c>
      <c r="C682" t="s">
        <v>50</v>
      </c>
      <c r="D682" t="s">
        <v>1838</v>
      </c>
      <c r="E682" t="s">
        <v>215</v>
      </c>
      <c r="F682" t="s">
        <v>99</v>
      </c>
      <c r="G682" t="s">
        <v>52</v>
      </c>
      <c r="H682" t="str">
        <f>"ΑΝΟΠΩΛΕΩΣ 16 "</f>
        <v xml:space="preserve">ΑΝΟΠΩΛΕΩΣ 16 </v>
      </c>
      <c r="I682">
        <v>71201</v>
      </c>
      <c r="J682">
        <v>2810824024</v>
      </c>
      <c r="K682">
        <v>6948003830</v>
      </c>
      <c r="M682" t="s">
        <v>1839</v>
      </c>
      <c r="N682" t="s">
        <v>306</v>
      </c>
      <c r="O682" t="s">
        <v>307</v>
      </c>
      <c r="R682" t="s">
        <v>57</v>
      </c>
      <c r="S682">
        <v>11</v>
      </c>
      <c r="T682">
        <v>193</v>
      </c>
      <c r="U682" s="1">
        <v>37497</v>
      </c>
      <c r="V682" t="s">
        <v>123</v>
      </c>
      <c r="W682" t="s">
        <v>124</v>
      </c>
      <c r="X682" t="s">
        <v>58</v>
      </c>
      <c r="Y682">
        <v>18</v>
      </c>
      <c r="Z682" t="s">
        <v>59</v>
      </c>
      <c r="AA682" t="s">
        <v>59</v>
      </c>
      <c r="AB682" t="s">
        <v>59</v>
      </c>
      <c r="AC682" t="s">
        <v>59</v>
      </c>
      <c r="AD682" t="s">
        <v>59</v>
      </c>
      <c r="AF682" s="1">
        <v>37497</v>
      </c>
      <c r="AG682" t="s">
        <v>125</v>
      </c>
      <c r="AH682" t="s">
        <v>126</v>
      </c>
      <c r="AI682" t="str">
        <f>"1701041"</f>
        <v>1701041</v>
      </c>
      <c r="AJ682" t="s">
        <v>161</v>
      </c>
      <c r="AK682">
        <v>2810327052</v>
      </c>
      <c r="AL682" t="s">
        <v>162</v>
      </c>
      <c r="AM682" t="s">
        <v>78</v>
      </c>
      <c r="AN682" t="s">
        <v>78</v>
      </c>
      <c r="AO682" t="s">
        <v>78</v>
      </c>
      <c r="AP682" t="s">
        <v>163</v>
      </c>
      <c r="AQ682">
        <v>5</v>
      </c>
      <c r="AR682" t="s">
        <v>123</v>
      </c>
      <c r="AS682" t="s">
        <v>124</v>
      </c>
      <c r="AT682" t="s">
        <v>58</v>
      </c>
      <c r="AU682" t="s">
        <v>68</v>
      </c>
      <c r="AV682" t="s">
        <v>69</v>
      </c>
      <c r="AW682" s="1">
        <v>22012</v>
      </c>
      <c r="AX682">
        <v>2</v>
      </c>
    </row>
    <row r="683" spans="1:50">
      <c r="A683">
        <v>195194</v>
      </c>
      <c r="B683" t="str">
        <f>"047287359"</f>
        <v>047287359</v>
      </c>
      <c r="C683" t="s">
        <v>50</v>
      </c>
      <c r="D683" t="s">
        <v>1840</v>
      </c>
      <c r="E683" t="s">
        <v>237</v>
      </c>
      <c r="F683" t="s">
        <v>1841</v>
      </c>
      <c r="G683" t="s">
        <v>52</v>
      </c>
      <c r="H683" t="str">
        <f>"ΣΜΠΩΚΟΥ 60 ΜΑΣΤΑΜΠΑΣ"</f>
        <v>ΣΜΠΩΚΟΥ 60 ΜΑΣΤΑΜΠΑΣ</v>
      </c>
      <c r="I683">
        <v>71305</v>
      </c>
      <c r="J683">
        <v>2810256219</v>
      </c>
      <c r="K683">
        <v>6937130411</v>
      </c>
      <c r="M683" t="s">
        <v>1842</v>
      </c>
      <c r="N683" t="s">
        <v>146</v>
      </c>
      <c r="O683" t="s">
        <v>147</v>
      </c>
      <c r="R683" t="s">
        <v>57</v>
      </c>
      <c r="S683">
        <v>7</v>
      </c>
      <c r="T683">
        <v>194</v>
      </c>
      <c r="U683" s="1">
        <v>37497</v>
      </c>
      <c r="V683" t="s">
        <v>123</v>
      </c>
      <c r="W683" t="s">
        <v>124</v>
      </c>
      <c r="X683" t="s">
        <v>58</v>
      </c>
      <c r="Y683">
        <v>20</v>
      </c>
      <c r="Z683" t="s">
        <v>59</v>
      </c>
      <c r="AA683" t="s">
        <v>59</v>
      </c>
      <c r="AB683" t="s">
        <v>59</v>
      </c>
      <c r="AC683" t="s">
        <v>59</v>
      </c>
      <c r="AD683" t="s">
        <v>59</v>
      </c>
      <c r="AF683" s="1">
        <v>37501</v>
      </c>
      <c r="AG683" t="s">
        <v>125</v>
      </c>
      <c r="AH683" t="s">
        <v>126</v>
      </c>
      <c r="AI683" t="str">
        <f>"1701020"</f>
        <v>1701020</v>
      </c>
      <c r="AJ683" t="s">
        <v>323</v>
      </c>
      <c r="AK683">
        <v>2810252111</v>
      </c>
      <c r="AL683" t="s">
        <v>324</v>
      </c>
      <c r="AM683" t="s">
        <v>78</v>
      </c>
      <c r="AN683" t="s">
        <v>78</v>
      </c>
      <c r="AO683" t="s">
        <v>78</v>
      </c>
      <c r="AP683" t="s">
        <v>163</v>
      </c>
      <c r="AQ683">
        <v>3</v>
      </c>
      <c r="AR683" t="s">
        <v>123</v>
      </c>
      <c r="AS683" t="s">
        <v>124</v>
      </c>
      <c r="AT683" t="s">
        <v>58</v>
      </c>
      <c r="AU683" t="s">
        <v>68</v>
      </c>
      <c r="AV683" t="s">
        <v>357</v>
      </c>
      <c r="AW683" s="1">
        <v>27191</v>
      </c>
      <c r="AX683">
        <v>2</v>
      </c>
    </row>
    <row r="684" spans="1:50">
      <c r="A684">
        <v>206626</v>
      </c>
      <c r="B684" t="str">
        <f>"044196628"</f>
        <v>044196628</v>
      </c>
      <c r="C684" t="s">
        <v>50</v>
      </c>
      <c r="D684" t="s">
        <v>1843</v>
      </c>
      <c r="E684" t="s">
        <v>112</v>
      </c>
      <c r="F684" t="s">
        <v>920</v>
      </c>
      <c r="G684" t="s">
        <v>83</v>
      </c>
      <c r="H684" t="str">
        <f>"ΠΕΤΡΑΚΟΓΙΩΡΓΗ 9 "</f>
        <v xml:space="preserve">ΠΕΤΡΑΚΟΓΙΩΡΓΗ 9 </v>
      </c>
      <c r="J684">
        <v>2810315921</v>
      </c>
      <c r="K684">
        <v>6972129868</v>
      </c>
      <c r="M684" t="s">
        <v>1844</v>
      </c>
      <c r="N684" t="s">
        <v>146</v>
      </c>
      <c r="O684" t="s">
        <v>147</v>
      </c>
      <c r="R684" t="s">
        <v>57</v>
      </c>
      <c r="S684">
        <v>7</v>
      </c>
      <c r="T684">
        <v>218</v>
      </c>
      <c r="U684" s="1">
        <v>38596</v>
      </c>
      <c r="V684" t="s">
        <v>123</v>
      </c>
      <c r="W684" t="s">
        <v>124</v>
      </c>
      <c r="X684" t="s">
        <v>58</v>
      </c>
      <c r="Y684">
        <v>20</v>
      </c>
      <c r="Z684" t="s">
        <v>59</v>
      </c>
      <c r="AA684" t="s">
        <v>59</v>
      </c>
      <c r="AB684" t="s">
        <v>59</v>
      </c>
      <c r="AC684" t="s">
        <v>59</v>
      </c>
      <c r="AD684" t="s">
        <v>59</v>
      </c>
      <c r="AF684" s="1">
        <v>38600</v>
      </c>
      <c r="AG684" t="s">
        <v>148</v>
      </c>
      <c r="AH684" t="s">
        <v>149</v>
      </c>
      <c r="AI684" t="str">
        <f>"1790070"</f>
        <v>1790070</v>
      </c>
      <c r="AJ684" t="s">
        <v>1283</v>
      </c>
      <c r="AK684">
        <v>2810252154</v>
      </c>
      <c r="AL684" t="s">
        <v>1284</v>
      </c>
      <c r="AM684" t="s">
        <v>78</v>
      </c>
      <c r="AN684" t="s">
        <v>78</v>
      </c>
      <c r="AO684" t="s">
        <v>78</v>
      </c>
      <c r="AP684" t="s">
        <v>141</v>
      </c>
      <c r="AQ684">
        <v>7</v>
      </c>
      <c r="AR684" t="s">
        <v>123</v>
      </c>
      <c r="AS684" t="s">
        <v>124</v>
      </c>
      <c r="AT684" t="s">
        <v>58</v>
      </c>
      <c r="AU684" t="s">
        <v>68</v>
      </c>
      <c r="AV684" t="s">
        <v>69</v>
      </c>
      <c r="AW684" s="1">
        <v>24621</v>
      </c>
      <c r="AX684">
        <v>2</v>
      </c>
    </row>
    <row r="685" spans="1:50">
      <c r="A685">
        <v>226510</v>
      </c>
      <c r="B685" t="str">
        <f>"072589507"</f>
        <v>072589507</v>
      </c>
      <c r="C685" t="s">
        <v>50</v>
      </c>
      <c r="D685" t="s">
        <v>1843</v>
      </c>
      <c r="E685" t="s">
        <v>1845</v>
      </c>
      <c r="F685" t="s">
        <v>920</v>
      </c>
      <c r="G685" t="s">
        <v>83</v>
      </c>
      <c r="H685" t="str">
        <f>"ΠΕΤΡΑΚΟΓΙΩΡΓΗ 9 ΗΡΑΚΛΕΙΟ"</f>
        <v>ΠΕΤΡΑΚΟΓΙΩΡΓΗ 9 ΗΡΑΚΛΕΙΟ</v>
      </c>
      <c r="I685">
        <v>71305</v>
      </c>
      <c r="J685">
        <v>2810258291</v>
      </c>
      <c r="K685">
        <v>6973328208</v>
      </c>
      <c r="L685">
        <v>2811101230</v>
      </c>
      <c r="M685" t="s">
        <v>1846</v>
      </c>
      <c r="N685" t="s">
        <v>146</v>
      </c>
      <c r="O685" t="s">
        <v>147</v>
      </c>
      <c r="R685" t="s">
        <v>57</v>
      </c>
      <c r="S685">
        <v>5</v>
      </c>
      <c r="T685">
        <v>654</v>
      </c>
      <c r="U685" s="1">
        <v>40043</v>
      </c>
      <c r="V685" t="s">
        <v>123</v>
      </c>
      <c r="W685" t="s">
        <v>124</v>
      </c>
      <c r="X685" t="s">
        <v>58</v>
      </c>
      <c r="Y685">
        <v>21</v>
      </c>
      <c r="Z685" t="s">
        <v>59</v>
      </c>
      <c r="AA685" t="s">
        <v>59</v>
      </c>
      <c r="AB685" t="s">
        <v>59</v>
      </c>
      <c r="AC685" t="s">
        <v>59</v>
      </c>
      <c r="AD685" t="s">
        <v>59</v>
      </c>
      <c r="AF685" s="1">
        <v>40046</v>
      </c>
      <c r="AG685" t="s">
        <v>148</v>
      </c>
      <c r="AH685" t="s">
        <v>149</v>
      </c>
      <c r="AI685" t="str">
        <f>"1790210"</f>
        <v>1790210</v>
      </c>
      <c r="AJ685" t="s">
        <v>417</v>
      </c>
      <c r="AK685">
        <v>2810252172</v>
      </c>
      <c r="AL685" t="s">
        <v>418</v>
      </c>
      <c r="AM685" t="s">
        <v>78</v>
      </c>
      <c r="AN685" t="s">
        <v>78</v>
      </c>
      <c r="AO685" t="s">
        <v>78</v>
      </c>
      <c r="AP685" t="s">
        <v>141</v>
      </c>
      <c r="AQ685">
        <v>7</v>
      </c>
      <c r="AR685" t="s">
        <v>123</v>
      </c>
      <c r="AS685" t="s">
        <v>124</v>
      </c>
      <c r="AT685" t="s">
        <v>58</v>
      </c>
      <c r="AU685" t="s">
        <v>68</v>
      </c>
      <c r="AV685" t="s">
        <v>69</v>
      </c>
      <c r="AW685" s="1">
        <v>26018</v>
      </c>
      <c r="AX685">
        <v>2</v>
      </c>
    </row>
    <row r="686" spans="1:50">
      <c r="A686">
        <v>178064</v>
      </c>
      <c r="B686" t="str">
        <f>"044197766"</f>
        <v>044197766</v>
      </c>
      <c r="C686" t="s">
        <v>105</v>
      </c>
      <c r="D686" t="s">
        <v>1847</v>
      </c>
      <c r="E686" t="s">
        <v>1848</v>
      </c>
      <c r="F686" t="s">
        <v>72</v>
      </c>
      <c r="G686" t="s">
        <v>181</v>
      </c>
      <c r="H686" t="str">
        <f>"ΑΝΑΛΗΨΗ ΧΕΡΣΟΝΗΣΟΥ "</f>
        <v xml:space="preserve">ΑΝΑΛΗΨΗ ΧΕΡΣΟΝΗΣΟΥ </v>
      </c>
      <c r="I686">
        <v>70014</v>
      </c>
      <c r="J686">
        <v>2897021737</v>
      </c>
      <c r="K686">
        <v>6974702517</v>
      </c>
      <c r="L686">
        <v>2897021671</v>
      </c>
      <c r="M686" t="s">
        <v>1849</v>
      </c>
      <c r="N686" t="s">
        <v>292</v>
      </c>
      <c r="O686" t="s">
        <v>293</v>
      </c>
      <c r="R686" t="s">
        <v>57</v>
      </c>
      <c r="S686">
        <v>11</v>
      </c>
      <c r="T686">
        <v>180</v>
      </c>
      <c r="U686" s="1">
        <v>35674</v>
      </c>
      <c r="V686" t="s">
        <v>123</v>
      </c>
      <c r="W686" t="s">
        <v>124</v>
      </c>
      <c r="X686" t="s">
        <v>58</v>
      </c>
      <c r="Y686">
        <v>18</v>
      </c>
      <c r="Z686" t="s">
        <v>59</v>
      </c>
      <c r="AA686" t="s">
        <v>59</v>
      </c>
      <c r="AB686" t="s">
        <v>59</v>
      </c>
      <c r="AC686" t="s">
        <v>59</v>
      </c>
      <c r="AD686" t="s">
        <v>59</v>
      </c>
      <c r="AF686" s="1">
        <v>35675</v>
      </c>
      <c r="AG686" t="s">
        <v>125</v>
      </c>
      <c r="AH686" t="s">
        <v>126</v>
      </c>
      <c r="AI686" t="str">
        <f>"1714012"</f>
        <v>1714012</v>
      </c>
      <c r="AJ686" t="s">
        <v>633</v>
      </c>
      <c r="AK686">
        <v>2810762261</v>
      </c>
      <c r="AL686" t="s">
        <v>634</v>
      </c>
      <c r="AM686" t="s">
        <v>78</v>
      </c>
      <c r="AN686" t="s">
        <v>219</v>
      </c>
      <c r="AO686" t="s">
        <v>297</v>
      </c>
      <c r="AP686" t="s">
        <v>297</v>
      </c>
      <c r="AQ686">
        <v>37</v>
      </c>
      <c r="AR686" t="s">
        <v>123</v>
      </c>
      <c r="AS686" t="s">
        <v>124</v>
      </c>
      <c r="AT686" t="s">
        <v>58</v>
      </c>
      <c r="AU686" t="s">
        <v>68</v>
      </c>
      <c r="AV686" t="s">
        <v>69</v>
      </c>
      <c r="AW686" s="1">
        <v>21801</v>
      </c>
      <c r="AX686">
        <v>2</v>
      </c>
    </row>
    <row r="687" spans="1:50">
      <c r="A687">
        <v>145507</v>
      </c>
      <c r="B687" t="str">
        <f>"025987783"</f>
        <v>025987783</v>
      </c>
      <c r="C687" t="s">
        <v>105</v>
      </c>
      <c r="D687" t="s">
        <v>1847</v>
      </c>
      <c r="E687" t="s">
        <v>154</v>
      </c>
      <c r="F687" t="s">
        <v>106</v>
      </c>
      <c r="G687" t="s">
        <v>52</v>
      </c>
      <c r="H687" t="str">
        <f>"ΣΟΥΜΕΡΛΗ 8 "</f>
        <v xml:space="preserve">ΣΟΥΜΕΡΛΗ 8 </v>
      </c>
      <c r="J687">
        <v>2810287003</v>
      </c>
      <c r="N687" t="s">
        <v>146</v>
      </c>
      <c r="O687" t="s">
        <v>147</v>
      </c>
      <c r="R687" t="s">
        <v>57</v>
      </c>
      <c r="S687">
        <v>17</v>
      </c>
      <c r="T687">
        <v>237</v>
      </c>
      <c r="U687" s="1">
        <v>31293</v>
      </c>
      <c r="V687" t="s">
        <v>123</v>
      </c>
      <c r="W687" t="s">
        <v>124</v>
      </c>
      <c r="X687" t="s">
        <v>58</v>
      </c>
      <c r="Y687">
        <v>18</v>
      </c>
      <c r="Z687" t="s">
        <v>59</v>
      </c>
      <c r="AA687" t="s">
        <v>59</v>
      </c>
      <c r="AB687" t="s">
        <v>59</v>
      </c>
      <c r="AC687" t="s">
        <v>59</v>
      </c>
      <c r="AD687" t="s">
        <v>59</v>
      </c>
      <c r="AF687" s="1">
        <v>31303</v>
      </c>
      <c r="AG687" t="s">
        <v>148</v>
      </c>
      <c r="AH687" t="s">
        <v>149</v>
      </c>
      <c r="AI687" t="str">
        <f>"1751020"</f>
        <v>1751020</v>
      </c>
      <c r="AJ687" t="s">
        <v>532</v>
      </c>
      <c r="AK687">
        <v>2810372732</v>
      </c>
      <c r="AL687" t="s">
        <v>533</v>
      </c>
      <c r="AM687" t="s">
        <v>78</v>
      </c>
      <c r="AN687" t="s">
        <v>78</v>
      </c>
      <c r="AO687" t="s">
        <v>78</v>
      </c>
      <c r="AP687" t="s">
        <v>163</v>
      </c>
      <c r="AQ687">
        <v>3</v>
      </c>
      <c r="AR687" t="s">
        <v>123</v>
      </c>
      <c r="AS687" t="s">
        <v>124</v>
      </c>
      <c r="AT687" t="s">
        <v>58</v>
      </c>
      <c r="AU687" t="s">
        <v>68</v>
      </c>
      <c r="AV687" t="s">
        <v>69</v>
      </c>
      <c r="AW687" s="1">
        <v>21876</v>
      </c>
      <c r="AX687">
        <v>2</v>
      </c>
    </row>
    <row r="688" spans="1:50">
      <c r="A688">
        <v>187958</v>
      </c>
      <c r="B688" t="str">
        <f>"047774371"</f>
        <v>047774371</v>
      </c>
      <c r="C688" t="s">
        <v>105</v>
      </c>
      <c r="D688" t="s">
        <v>1850</v>
      </c>
      <c r="E688" t="s">
        <v>53</v>
      </c>
      <c r="F688" t="s">
        <v>95</v>
      </c>
      <c r="G688" t="s">
        <v>507</v>
      </c>
      <c r="H688" t="str">
        <f>" "</f>
        <v xml:space="preserve"> </v>
      </c>
      <c r="J688">
        <v>2810212532</v>
      </c>
      <c r="K688">
        <v>6972751503</v>
      </c>
      <c r="M688" t="s">
        <v>1851</v>
      </c>
      <c r="N688" t="s">
        <v>204</v>
      </c>
      <c r="O688" t="s">
        <v>205</v>
      </c>
      <c r="P688" t="s">
        <v>292</v>
      </c>
      <c r="Q688" t="s">
        <v>293</v>
      </c>
      <c r="R688" t="s">
        <v>57</v>
      </c>
      <c r="S688">
        <v>11</v>
      </c>
      <c r="T688" t="s">
        <v>228</v>
      </c>
      <c r="U688" s="1">
        <v>36404</v>
      </c>
      <c r="V688" t="s">
        <v>123</v>
      </c>
      <c r="W688" t="s">
        <v>124</v>
      </c>
      <c r="X688" t="s">
        <v>58</v>
      </c>
      <c r="Y688">
        <v>20</v>
      </c>
      <c r="Z688" t="s">
        <v>59</v>
      </c>
      <c r="AA688" t="s">
        <v>59</v>
      </c>
      <c r="AB688" t="s">
        <v>59</v>
      </c>
      <c r="AC688" t="s">
        <v>59</v>
      </c>
      <c r="AD688" t="s">
        <v>59</v>
      </c>
      <c r="AF688" s="1">
        <v>36404</v>
      </c>
      <c r="AG688" t="s">
        <v>137</v>
      </c>
      <c r="AH688" t="s">
        <v>138</v>
      </c>
      <c r="AI688" t="str">
        <f>"1740100"</f>
        <v>1740100</v>
      </c>
      <c r="AJ688" t="s">
        <v>857</v>
      </c>
      <c r="AK688">
        <v>2810360741</v>
      </c>
      <c r="AL688" t="s">
        <v>858</v>
      </c>
      <c r="AM688" t="s">
        <v>78</v>
      </c>
      <c r="AN688" t="s">
        <v>78</v>
      </c>
      <c r="AO688" t="s">
        <v>78</v>
      </c>
      <c r="AP688" t="s">
        <v>163</v>
      </c>
      <c r="AQ688">
        <v>5</v>
      </c>
      <c r="AR688" t="s">
        <v>123</v>
      </c>
      <c r="AS688" t="s">
        <v>124</v>
      </c>
      <c r="AT688" t="s">
        <v>58</v>
      </c>
      <c r="AU688" t="s">
        <v>68</v>
      </c>
      <c r="AV688" t="s">
        <v>69</v>
      </c>
      <c r="AW688" s="1">
        <v>26917</v>
      </c>
      <c r="AX688">
        <v>2</v>
      </c>
    </row>
    <row r="689" spans="1:50">
      <c r="B689" t="str">
        <f>"063229147"</f>
        <v>063229147</v>
      </c>
      <c r="C689" t="s">
        <v>50</v>
      </c>
      <c r="D689" t="s">
        <v>1852</v>
      </c>
      <c r="E689" t="s">
        <v>396</v>
      </c>
      <c r="F689" t="s">
        <v>309</v>
      </c>
      <c r="G689" t="s">
        <v>314</v>
      </c>
      <c r="H689" t="str">
        <f>"ΕΡΥΘΡΑΙΑΣ 222 ΗΡΑΚΛΕΙΟ"</f>
        <v>ΕΡΥΘΡΑΙΑΣ 222 ΗΡΑΚΛΕΙΟ</v>
      </c>
      <c r="I689">
        <v>71409</v>
      </c>
      <c r="J689">
        <v>2810213137</v>
      </c>
      <c r="K689">
        <v>6946874126</v>
      </c>
      <c r="M689" t="s">
        <v>1853</v>
      </c>
      <c r="N689" t="s">
        <v>292</v>
      </c>
      <c r="O689" t="s">
        <v>293</v>
      </c>
      <c r="R689" t="s">
        <v>159</v>
      </c>
      <c r="S689">
        <v>4</v>
      </c>
      <c r="T689" t="s">
        <v>416</v>
      </c>
      <c r="U689" s="1">
        <v>43349</v>
      </c>
      <c r="V689" t="s">
        <v>123</v>
      </c>
      <c r="W689" t="s">
        <v>124</v>
      </c>
      <c r="X689" t="s">
        <v>58</v>
      </c>
      <c r="Y689">
        <v>21</v>
      </c>
      <c r="Z689" t="s">
        <v>59</v>
      </c>
      <c r="AA689" t="s">
        <v>59</v>
      </c>
      <c r="AB689" t="s">
        <v>59</v>
      </c>
      <c r="AC689" t="s">
        <v>59</v>
      </c>
      <c r="AD689" t="s">
        <v>59</v>
      </c>
      <c r="AF689" s="1">
        <v>43349</v>
      </c>
      <c r="AG689" t="s">
        <v>148</v>
      </c>
      <c r="AH689" t="s">
        <v>149</v>
      </c>
      <c r="AI689" t="str">
        <f>"1751030"</f>
        <v>1751030</v>
      </c>
      <c r="AJ689" t="s">
        <v>234</v>
      </c>
      <c r="AK689">
        <v>2810282911</v>
      </c>
      <c r="AL689" t="s">
        <v>235</v>
      </c>
      <c r="AM689" t="s">
        <v>78</v>
      </c>
      <c r="AN689" t="s">
        <v>78</v>
      </c>
      <c r="AO689" t="s">
        <v>78</v>
      </c>
      <c r="AP689" t="s">
        <v>163</v>
      </c>
      <c r="AQ689">
        <v>1</v>
      </c>
      <c r="AR689" t="s">
        <v>123</v>
      </c>
      <c r="AS689" t="s">
        <v>124</v>
      </c>
      <c r="AT689" t="s">
        <v>58</v>
      </c>
      <c r="AU689" t="s">
        <v>419</v>
      </c>
      <c r="AV689" t="s">
        <v>132</v>
      </c>
      <c r="AW689" s="1">
        <v>27279</v>
      </c>
      <c r="AX689">
        <v>2</v>
      </c>
    </row>
    <row r="690" spans="1:50">
      <c r="A690">
        <v>175892</v>
      </c>
      <c r="B690" t="str">
        <f>"041291940"</f>
        <v>041291940</v>
      </c>
      <c r="C690" t="s">
        <v>50</v>
      </c>
      <c r="D690" t="s">
        <v>1854</v>
      </c>
      <c r="E690" t="s">
        <v>255</v>
      </c>
      <c r="F690" t="s">
        <v>166</v>
      </c>
      <c r="G690" t="s">
        <v>96</v>
      </c>
      <c r="H690" t="str">
        <f>"ΑΡΚΑΛΟΧΩΡΙ "</f>
        <v xml:space="preserve">ΑΡΚΑΛΟΧΩΡΙ </v>
      </c>
      <c r="I690">
        <v>70300</v>
      </c>
      <c r="J690">
        <v>2891024267</v>
      </c>
      <c r="K690">
        <v>6974372755</v>
      </c>
      <c r="M690" t="s">
        <v>1855</v>
      </c>
      <c r="N690" t="s">
        <v>292</v>
      </c>
      <c r="O690" t="s">
        <v>293</v>
      </c>
      <c r="R690" t="s">
        <v>57</v>
      </c>
      <c r="S690">
        <v>10</v>
      </c>
      <c r="T690">
        <v>180</v>
      </c>
      <c r="U690" s="1">
        <v>35674</v>
      </c>
      <c r="V690" t="s">
        <v>123</v>
      </c>
      <c r="W690" t="s">
        <v>124</v>
      </c>
      <c r="X690" t="s">
        <v>58</v>
      </c>
      <c r="Y690">
        <v>18</v>
      </c>
      <c r="Z690" t="s">
        <v>59</v>
      </c>
      <c r="AA690" t="s">
        <v>59</v>
      </c>
      <c r="AB690" t="s">
        <v>59</v>
      </c>
      <c r="AC690" t="s">
        <v>59</v>
      </c>
      <c r="AD690" t="s">
        <v>59</v>
      </c>
      <c r="AF690" s="1">
        <v>35681</v>
      </c>
      <c r="AG690" t="s">
        <v>125</v>
      </c>
      <c r="AH690" t="s">
        <v>126</v>
      </c>
      <c r="AI690" t="str">
        <f>"1702010"</f>
        <v>1702010</v>
      </c>
      <c r="AJ690" t="s">
        <v>604</v>
      </c>
      <c r="AK690">
        <v>2891022228</v>
      </c>
      <c r="AL690" t="s">
        <v>605</v>
      </c>
      <c r="AM690" t="s">
        <v>78</v>
      </c>
      <c r="AN690" t="s">
        <v>276</v>
      </c>
      <c r="AO690" t="s">
        <v>490</v>
      </c>
      <c r="AP690" t="s">
        <v>490</v>
      </c>
      <c r="AQ690">
        <v>15</v>
      </c>
      <c r="AR690" t="s">
        <v>123</v>
      </c>
      <c r="AS690" t="s">
        <v>124</v>
      </c>
      <c r="AT690" t="s">
        <v>58</v>
      </c>
      <c r="AU690" t="s">
        <v>68</v>
      </c>
      <c r="AV690" t="s">
        <v>69</v>
      </c>
      <c r="AW690" s="1">
        <v>21234</v>
      </c>
      <c r="AX690">
        <v>2</v>
      </c>
    </row>
    <row r="691" spans="1:50">
      <c r="A691">
        <v>210871</v>
      </c>
      <c r="B691" t="str">
        <f>"049977298"</f>
        <v>049977298</v>
      </c>
      <c r="C691" t="s">
        <v>105</v>
      </c>
      <c r="D691" t="s">
        <v>1856</v>
      </c>
      <c r="E691" t="s">
        <v>106</v>
      </c>
      <c r="F691" t="s">
        <v>450</v>
      </c>
      <c r="G691" t="s">
        <v>221</v>
      </c>
      <c r="H691" t="str">
        <f>"ΦΟΙΝΙΚΟΣ ΣΥΛΛΑΜΟΣ-ΒΑΣΙΛΕΙΕΣ"</f>
        <v>ΦΟΙΝΙΚΟΣ ΣΥΛΛΑΜΟΣ-ΒΑΣΙΛΕΙΕΣ</v>
      </c>
      <c r="I691">
        <v>71500</v>
      </c>
      <c r="K691">
        <v>6973470147</v>
      </c>
      <c r="M691" t="s">
        <v>1857</v>
      </c>
      <c r="N691" t="s">
        <v>204</v>
      </c>
      <c r="O691" t="s">
        <v>205</v>
      </c>
      <c r="P691" t="s">
        <v>331</v>
      </c>
      <c r="Q691" t="s">
        <v>332</v>
      </c>
      <c r="R691" t="s">
        <v>57</v>
      </c>
      <c r="S691">
        <v>8</v>
      </c>
      <c r="T691">
        <v>262</v>
      </c>
      <c r="U691" s="1">
        <v>38629</v>
      </c>
      <c r="V691" t="s">
        <v>123</v>
      </c>
      <c r="W691" t="s">
        <v>124</v>
      </c>
      <c r="X691" t="s">
        <v>58</v>
      </c>
      <c r="Y691">
        <v>20</v>
      </c>
      <c r="Z691" t="s">
        <v>59</v>
      </c>
      <c r="AA691" t="s">
        <v>59</v>
      </c>
      <c r="AB691" t="s">
        <v>59</v>
      </c>
      <c r="AC691" t="s">
        <v>59</v>
      </c>
      <c r="AD691" t="s">
        <v>59</v>
      </c>
      <c r="AF691" s="1">
        <v>38630</v>
      </c>
      <c r="AG691" t="s">
        <v>148</v>
      </c>
      <c r="AH691" t="s">
        <v>149</v>
      </c>
      <c r="AI691" t="str">
        <f>"1751070"</f>
        <v>1751070</v>
      </c>
      <c r="AJ691" t="s">
        <v>1435</v>
      </c>
      <c r="AK691">
        <v>2810771016</v>
      </c>
      <c r="AL691" t="s">
        <v>1436</v>
      </c>
      <c r="AM691" t="s">
        <v>78</v>
      </c>
      <c r="AN691" t="s">
        <v>219</v>
      </c>
      <c r="AO691" t="s">
        <v>1437</v>
      </c>
      <c r="AP691" t="s">
        <v>1437</v>
      </c>
      <c r="AQ691">
        <v>21</v>
      </c>
      <c r="AR691" t="s">
        <v>123</v>
      </c>
      <c r="AS691" t="s">
        <v>124</v>
      </c>
      <c r="AT691" t="s">
        <v>58</v>
      </c>
      <c r="AU691" t="s">
        <v>68</v>
      </c>
      <c r="AV691" t="s">
        <v>69</v>
      </c>
      <c r="AW691" s="1">
        <v>28190</v>
      </c>
      <c r="AX691">
        <v>2</v>
      </c>
    </row>
    <row r="692" spans="1:50">
      <c r="A692">
        <v>700313</v>
      </c>
      <c r="B692" t="str">
        <f>"079092169"</f>
        <v>079092169</v>
      </c>
      <c r="C692" t="s">
        <v>50</v>
      </c>
      <c r="D692" t="s">
        <v>1858</v>
      </c>
      <c r="E692" t="s">
        <v>250</v>
      </c>
      <c r="F692" t="s">
        <v>72</v>
      </c>
      <c r="G692" t="s">
        <v>96</v>
      </c>
      <c r="H692" t="str">
        <f>"ΠΕΝΤΑΜΟΔΙ Δ ΓΟΡΓΟΛΑΪΝΗ ΗΡΑΚΛΕΙΟ "</f>
        <v xml:space="preserve">ΠΕΝΤΑΜΟΔΙ Δ ΓΟΡΓΟΛΑΪΝΗ ΗΡΑΚΛΕΙΟ </v>
      </c>
      <c r="I692">
        <v>70013</v>
      </c>
      <c r="J692">
        <v>2810721453</v>
      </c>
      <c r="K692">
        <v>6998476099</v>
      </c>
      <c r="M692" t="s">
        <v>1859</v>
      </c>
      <c r="N692" t="s">
        <v>146</v>
      </c>
      <c r="O692" t="s">
        <v>147</v>
      </c>
      <c r="R692" t="s">
        <v>57</v>
      </c>
      <c r="S692">
        <v>15</v>
      </c>
      <c r="T692">
        <v>772</v>
      </c>
      <c r="U692" s="1">
        <v>40413</v>
      </c>
      <c r="V692" t="s">
        <v>123</v>
      </c>
      <c r="W692" t="s">
        <v>124</v>
      </c>
      <c r="X692" t="s">
        <v>58</v>
      </c>
      <c r="Y692">
        <v>21</v>
      </c>
      <c r="Z692" t="s">
        <v>59</v>
      </c>
      <c r="AA692" t="s">
        <v>59</v>
      </c>
      <c r="AB692" t="s">
        <v>59</v>
      </c>
      <c r="AC692" t="s">
        <v>59</v>
      </c>
      <c r="AD692" t="s">
        <v>452</v>
      </c>
      <c r="AE692" s="1">
        <v>43708</v>
      </c>
      <c r="AF692" s="1">
        <v>40413</v>
      </c>
      <c r="AG692" t="s">
        <v>60</v>
      </c>
      <c r="AH692" t="s">
        <v>453</v>
      </c>
      <c r="AI692" t="str">
        <f>"1700105"</f>
        <v>1700105</v>
      </c>
      <c r="AJ692" t="s">
        <v>124</v>
      </c>
      <c r="AK692">
        <v>2810333720</v>
      </c>
      <c r="AL692" t="s">
        <v>454</v>
      </c>
      <c r="AM692" t="s">
        <v>78</v>
      </c>
      <c r="AN692" t="s">
        <v>78</v>
      </c>
      <c r="AO692" t="s">
        <v>78</v>
      </c>
      <c r="AP692" t="s">
        <v>79</v>
      </c>
      <c r="AS692" t="s">
        <v>124</v>
      </c>
      <c r="AT692" t="s">
        <v>58</v>
      </c>
      <c r="AU692" t="s">
        <v>68</v>
      </c>
      <c r="AV692" t="s">
        <v>455</v>
      </c>
      <c r="AW692" s="1">
        <v>26646</v>
      </c>
      <c r="AX692">
        <v>2</v>
      </c>
    </row>
    <row r="693" spans="1:50">
      <c r="A693">
        <v>222957</v>
      </c>
      <c r="B693" t="str">
        <f>"039360924"</f>
        <v>039360924</v>
      </c>
      <c r="C693" t="s">
        <v>105</v>
      </c>
      <c r="D693" t="s">
        <v>1860</v>
      </c>
      <c r="E693" t="s">
        <v>95</v>
      </c>
      <c r="F693" t="s">
        <v>99</v>
      </c>
      <c r="G693" t="s">
        <v>52</v>
      </c>
      <c r="H693" t="str">
        <f>"ΣΤΕΝΗΜΑΧΟΥ 39 ΗΡΑΚΛΕΙΟ"</f>
        <v>ΣΤΕΝΗΜΑΧΟΥ 39 ΗΡΑΚΛΕΙΟ</v>
      </c>
      <c r="I693">
        <v>71305</v>
      </c>
      <c r="J693">
        <v>2810262229</v>
      </c>
      <c r="K693">
        <v>6946962796</v>
      </c>
      <c r="M693" t="s">
        <v>1861</v>
      </c>
      <c r="N693" t="s">
        <v>292</v>
      </c>
      <c r="O693" t="s">
        <v>293</v>
      </c>
      <c r="R693" t="s">
        <v>57</v>
      </c>
      <c r="S693">
        <v>5</v>
      </c>
      <c r="T693">
        <v>775</v>
      </c>
      <c r="U693" s="1">
        <v>39680</v>
      </c>
      <c r="V693" t="s">
        <v>123</v>
      </c>
      <c r="W693" t="s">
        <v>124</v>
      </c>
      <c r="X693" t="s">
        <v>58</v>
      </c>
      <c r="Y693">
        <v>21</v>
      </c>
      <c r="Z693" t="s">
        <v>59</v>
      </c>
      <c r="AA693" t="s">
        <v>59</v>
      </c>
      <c r="AB693" t="s">
        <v>59</v>
      </c>
      <c r="AC693" t="s">
        <v>59</v>
      </c>
      <c r="AD693" t="s">
        <v>59</v>
      </c>
      <c r="AF693" s="1">
        <v>39682</v>
      </c>
      <c r="AG693" t="s">
        <v>148</v>
      </c>
      <c r="AH693" t="s">
        <v>149</v>
      </c>
      <c r="AI693" t="str">
        <f>"1751030"</f>
        <v>1751030</v>
      </c>
      <c r="AJ693" t="s">
        <v>234</v>
      </c>
      <c r="AK693">
        <v>2810282911</v>
      </c>
      <c r="AL693" t="s">
        <v>235</v>
      </c>
      <c r="AM693" t="s">
        <v>78</v>
      </c>
      <c r="AN693" t="s">
        <v>78</v>
      </c>
      <c r="AO693" t="s">
        <v>78</v>
      </c>
      <c r="AP693" t="s">
        <v>163</v>
      </c>
      <c r="AQ693">
        <v>1</v>
      </c>
      <c r="AR693" t="s">
        <v>123</v>
      </c>
      <c r="AS693" t="s">
        <v>124</v>
      </c>
      <c r="AT693" t="s">
        <v>58</v>
      </c>
      <c r="AU693" t="s">
        <v>68</v>
      </c>
      <c r="AV693" t="s">
        <v>69</v>
      </c>
      <c r="AW693" s="1">
        <v>24245</v>
      </c>
      <c r="AX693">
        <v>2</v>
      </c>
    </row>
    <row r="694" spans="1:50">
      <c r="A694">
        <v>209513</v>
      </c>
      <c r="B694" t="str">
        <f>"110707700"</f>
        <v>110707700</v>
      </c>
      <c r="C694" t="s">
        <v>50</v>
      </c>
      <c r="D694" t="s">
        <v>1862</v>
      </c>
      <c r="E694" t="s">
        <v>134</v>
      </c>
      <c r="F694" t="s">
        <v>670</v>
      </c>
      <c r="G694" t="s">
        <v>52</v>
      </c>
      <c r="H694" t="str">
        <f>" "</f>
        <v xml:space="preserve"> </v>
      </c>
      <c r="J694">
        <v>2810321327</v>
      </c>
      <c r="K694">
        <v>6947770180</v>
      </c>
      <c r="N694" t="s">
        <v>146</v>
      </c>
      <c r="O694" t="s">
        <v>147</v>
      </c>
      <c r="R694" t="s">
        <v>57</v>
      </c>
      <c r="S694">
        <v>6</v>
      </c>
      <c r="T694">
        <v>225</v>
      </c>
      <c r="U694" s="1">
        <v>38604</v>
      </c>
      <c r="V694" t="s">
        <v>123</v>
      </c>
      <c r="W694" t="s">
        <v>124</v>
      </c>
      <c r="X694" t="s">
        <v>58</v>
      </c>
      <c r="Y694">
        <v>20</v>
      </c>
      <c r="Z694" t="s">
        <v>59</v>
      </c>
      <c r="AA694" t="s">
        <v>59</v>
      </c>
      <c r="AB694" t="s">
        <v>59</v>
      </c>
      <c r="AC694" t="s">
        <v>59</v>
      </c>
      <c r="AD694" t="s">
        <v>59</v>
      </c>
      <c r="AF694" s="1">
        <v>38608</v>
      </c>
      <c r="AG694" t="s">
        <v>137</v>
      </c>
      <c r="AH694" t="s">
        <v>138</v>
      </c>
      <c r="AI694" t="str">
        <f>"1740070"</f>
        <v>1740070</v>
      </c>
      <c r="AJ694" t="s">
        <v>206</v>
      </c>
      <c r="AK694">
        <v>2810324880</v>
      </c>
      <c r="AL694" t="s">
        <v>207</v>
      </c>
      <c r="AM694" t="s">
        <v>78</v>
      </c>
      <c r="AN694" t="s">
        <v>78</v>
      </c>
      <c r="AO694" t="s">
        <v>78</v>
      </c>
      <c r="AP694" t="s">
        <v>163</v>
      </c>
      <c r="AQ694">
        <v>9</v>
      </c>
      <c r="AR694" t="s">
        <v>123</v>
      </c>
      <c r="AS694" t="s">
        <v>124</v>
      </c>
      <c r="AT694" t="s">
        <v>58</v>
      </c>
      <c r="AU694" t="s">
        <v>68</v>
      </c>
      <c r="AV694" t="s">
        <v>69</v>
      </c>
      <c r="AW694" s="1">
        <v>28340</v>
      </c>
      <c r="AX694">
        <v>2</v>
      </c>
    </row>
    <row r="695" spans="1:50">
      <c r="B695" t="str">
        <f>"114580655"</f>
        <v>114580655</v>
      </c>
      <c r="C695" t="s">
        <v>105</v>
      </c>
      <c r="D695" t="s">
        <v>1863</v>
      </c>
      <c r="E695" t="s">
        <v>84</v>
      </c>
      <c r="F695" t="s">
        <v>92</v>
      </c>
      <c r="G695" t="s">
        <v>1176</v>
      </c>
      <c r="H695" t="str">
        <f>"ΜΑΡΑΘΩΝΟΣ 12 ΗΡΑΚΛΕΙΟ"</f>
        <v>ΜΑΡΑΘΩΝΟΣ 12 ΗΡΑΚΛΕΙΟ</v>
      </c>
      <c r="I695">
        <v>71307</v>
      </c>
      <c r="J695">
        <v>2810227487</v>
      </c>
      <c r="K695">
        <v>6980837300</v>
      </c>
      <c r="M695" t="s">
        <v>1864</v>
      </c>
      <c r="N695" t="s">
        <v>246</v>
      </c>
      <c r="O695" t="s">
        <v>247</v>
      </c>
      <c r="R695" t="s">
        <v>159</v>
      </c>
      <c r="S695">
        <v>4</v>
      </c>
      <c r="T695" t="s">
        <v>160</v>
      </c>
      <c r="U695" s="1">
        <v>43364</v>
      </c>
      <c r="V695" t="s">
        <v>123</v>
      </c>
      <c r="W695" t="s">
        <v>124</v>
      </c>
      <c r="X695" t="s">
        <v>58</v>
      </c>
      <c r="Y695">
        <v>21</v>
      </c>
      <c r="Z695" t="s">
        <v>59</v>
      </c>
      <c r="AA695" t="s">
        <v>59</v>
      </c>
      <c r="AB695" t="s">
        <v>59</v>
      </c>
      <c r="AC695" t="s">
        <v>59</v>
      </c>
      <c r="AD695" t="s">
        <v>59</v>
      </c>
      <c r="AF695" s="1">
        <v>43367</v>
      </c>
      <c r="AG695" t="s">
        <v>148</v>
      </c>
      <c r="AH695" t="s">
        <v>149</v>
      </c>
      <c r="AI695" t="str">
        <f>"1751030"</f>
        <v>1751030</v>
      </c>
      <c r="AJ695" t="s">
        <v>234</v>
      </c>
      <c r="AK695">
        <v>2810282911</v>
      </c>
      <c r="AL695" t="s">
        <v>235</v>
      </c>
      <c r="AM695" t="s">
        <v>78</v>
      </c>
      <c r="AN695" t="s">
        <v>78</v>
      </c>
      <c r="AO695" t="s">
        <v>78</v>
      </c>
      <c r="AP695" t="s">
        <v>163</v>
      </c>
      <c r="AQ695">
        <v>1</v>
      </c>
      <c r="AR695" t="s">
        <v>123</v>
      </c>
      <c r="AS695" t="s">
        <v>124</v>
      </c>
      <c r="AT695" t="s">
        <v>58</v>
      </c>
      <c r="AU695" t="s">
        <v>164</v>
      </c>
      <c r="AV695" t="s">
        <v>132</v>
      </c>
      <c r="AW695" s="1">
        <v>29317</v>
      </c>
      <c r="AX695">
        <v>2</v>
      </c>
    </row>
    <row r="696" spans="1:50">
      <c r="A696">
        <v>160727</v>
      </c>
      <c r="B696" t="str">
        <f>"025475974"</f>
        <v>025475974</v>
      </c>
      <c r="C696" t="s">
        <v>105</v>
      </c>
      <c r="D696" t="s">
        <v>1865</v>
      </c>
      <c r="E696" t="s">
        <v>166</v>
      </c>
      <c r="F696" t="s">
        <v>1229</v>
      </c>
      <c r="G696" t="s">
        <v>1866</v>
      </c>
      <c r="H696" t="str">
        <f>"ΛΙΜΕΝΑΣ ΧΕΡΣΟΝΗΣΟΥ ΛΙΜΕΝΑΣ ΧΕΡΣΟΝΗΣΟΥ"</f>
        <v>ΛΙΜΕΝΑΣ ΧΕΡΣΟΝΗΣΟΥ ΛΙΜΕΝΑΣ ΧΕΡΣΟΝΗΣΟΥ</v>
      </c>
      <c r="I696">
        <v>70014</v>
      </c>
      <c r="J696">
        <v>2897023770</v>
      </c>
      <c r="K696">
        <v>6978525595</v>
      </c>
      <c r="M696" t="s">
        <v>1867</v>
      </c>
      <c r="N696" t="s">
        <v>299</v>
      </c>
      <c r="O696" t="s">
        <v>300</v>
      </c>
      <c r="R696" t="s">
        <v>57</v>
      </c>
      <c r="S696">
        <v>15</v>
      </c>
      <c r="T696">
        <v>161</v>
      </c>
      <c r="U696" s="1">
        <v>33119</v>
      </c>
      <c r="V696" t="s">
        <v>123</v>
      </c>
      <c r="W696" t="s">
        <v>124</v>
      </c>
      <c r="X696" t="s">
        <v>58</v>
      </c>
      <c r="Y696">
        <v>18</v>
      </c>
      <c r="Z696" t="s">
        <v>59</v>
      </c>
      <c r="AA696" t="s">
        <v>59</v>
      </c>
      <c r="AB696" t="s">
        <v>59</v>
      </c>
      <c r="AC696" t="s">
        <v>59</v>
      </c>
      <c r="AD696" t="s">
        <v>59</v>
      </c>
      <c r="AF696" s="1">
        <v>33120</v>
      </c>
      <c r="AG696" t="s">
        <v>148</v>
      </c>
      <c r="AH696" t="s">
        <v>149</v>
      </c>
      <c r="AI696" t="str">
        <f>"1768010"</f>
        <v>1768010</v>
      </c>
      <c r="AJ696" t="s">
        <v>1012</v>
      </c>
      <c r="AK696">
        <v>2897032070</v>
      </c>
      <c r="AL696" t="s">
        <v>1013</v>
      </c>
      <c r="AM696" t="s">
        <v>78</v>
      </c>
      <c r="AN696" t="s">
        <v>219</v>
      </c>
      <c r="AO696" t="s">
        <v>527</v>
      </c>
      <c r="AP696" t="s">
        <v>527</v>
      </c>
      <c r="AQ696">
        <v>20</v>
      </c>
      <c r="AR696" t="s">
        <v>123</v>
      </c>
      <c r="AS696" t="s">
        <v>124</v>
      </c>
      <c r="AT696" t="s">
        <v>58</v>
      </c>
      <c r="AU696" t="s">
        <v>68</v>
      </c>
      <c r="AV696" t="s">
        <v>69</v>
      </c>
      <c r="AW696" s="1">
        <v>22296</v>
      </c>
      <c r="AX696">
        <v>2</v>
      </c>
    </row>
    <row r="697" spans="1:50">
      <c r="A697">
        <v>160952</v>
      </c>
      <c r="B697" t="str">
        <f>"033559948"</f>
        <v>033559948</v>
      </c>
      <c r="C697" t="s">
        <v>105</v>
      </c>
      <c r="D697" t="s">
        <v>1865</v>
      </c>
      <c r="E697" t="s">
        <v>166</v>
      </c>
      <c r="F697" t="s">
        <v>1868</v>
      </c>
      <c r="G697" t="s">
        <v>250</v>
      </c>
      <c r="H697" t="str">
        <f>"Γ.Νιργιανού 2  ΜΕΣΑΜΠΕΛΙΕΣ"</f>
        <v>Γ.Νιργιανού 2  ΜΕΣΑΜΠΕΛΙΕΣ</v>
      </c>
      <c r="I697">
        <v>71409</v>
      </c>
      <c r="J697">
        <v>2810321960</v>
      </c>
      <c r="K697">
        <v>6948040853</v>
      </c>
      <c r="L697">
        <v>2895041263</v>
      </c>
      <c r="M697" t="s">
        <v>1869</v>
      </c>
      <c r="N697" t="s">
        <v>176</v>
      </c>
      <c r="O697" t="s">
        <v>177</v>
      </c>
      <c r="R697" t="s">
        <v>57</v>
      </c>
      <c r="S697">
        <v>15</v>
      </c>
      <c r="T697">
        <v>161</v>
      </c>
      <c r="U697" s="1">
        <v>33119</v>
      </c>
      <c r="V697" t="s">
        <v>123</v>
      </c>
      <c r="W697" t="s">
        <v>124</v>
      </c>
      <c r="X697" t="s">
        <v>58</v>
      </c>
      <c r="Y697">
        <v>18</v>
      </c>
      <c r="Z697" t="s">
        <v>59</v>
      </c>
      <c r="AA697" t="s">
        <v>59</v>
      </c>
      <c r="AB697" t="s">
        <v>59</v>
      </c>
      <c r="AC697" t="s">
        <v>59</v>
      </c>
      <c r="AD697" t="s">
        <v>59</v>
      </c>
      <c r="AF697" s="1">
        <v>33122</v>
      </c>
      <c r="AG697" t="s">
        <v>125</v>
      </c>
      <c r="AH697" t="s">
        <v>126</v>
      </c>
      <c r="AI697" t="str">
        <f>"1701057"</f>
        <v>1701057</v>
      </c>
      <c r="AJ697" t="s">
        <v>379</v>
      </c>
      <c r="AK697">
        <v>2810234488</v>
      </c>
      <c r="AL697" t="s">
        <v>380</v>
      </c>
      <c r="AM697" t="s">
        <v>78</v>
      </c>
      <c r="AN697" t="s">
        <v>78</v>
      </c>
      <c r="AO697" t="s">
        <v>78</v>
      </c>
      <c r="AP697" t="s">
        <v>163</v>
      </c>
      <c r="AQ697">
        <v>8</v>
      </c>
      <c r="AR697" t="s">
        <v>123</v>
      </c>
      <c r="AS697" t="s">
        <v>124</v>
      </c>
      <c r="AT697" t="s">
        <v>58</v>
      </c>
      <c r="AU697" t="s">
        <v>68</v>
      </c>
      <c r="AV697" t="s">
        <v>69</v>
      </c>
      <c r="AW697" s="1">
        <v>22189</v>
      </c>
      <c r="AX697">
        <v>2</v>
      </c>
    </row>
    <row r="698" spans="1:50">
      <c r="A698">
        <v>216071</v>
      </c>
      <c r="B698" t="str">
        <f>"075985430"</f>
        <v>075985430</v>
      </c>
      <c r="C698" t="s">
        <v>105</v>
      </c>
      <c r="D698" t="s">
        <v>1865</v>
      </c>
      <c r="E698" t="s">
        <v>989</v>
      </c>
      <c r="F698" t="s">
        <v>166</v>
      </c>
      <c r="G698" t="s">
        <v>52</v>
      </c>
      <c r="H698" t="str">
        <f>" "</f>
        <v xml:space="preserve"> </v>
      </c>
      <c r="M698" t="s">
        <v>1870</v>
      </c>
      <c r="N698" t="s">
        <v>204</v>
      </c>
      <c r="O698" t="s">
        <v>205</v>
      </c>
      <c r="R698" t="s">
        <v>57</v>
      </c>
      <c r="S698">
        <v>8</v>
      </c>
      <c r="T698">
        <v>232</v>
      </c>
      <c r="U698" s="1">
        <v>38960</v>
      </c>
      <c r="V698" t="s">
        <v>123</v>
      </c>
      <c r="W698" t="s">
        <v>124</v>
      </c>
      <c r="X698" t="s">
        <v>58</v>
      </c>
      <c r="Y698">
        <v>20</v>
      </c>
      <c r="Z698" t="s">
        <v>59</v>
      </c>
      <c r="AA698" t="s">
        <v>59</v>
      </c>
      <c r="AB698" t="s">
        <v>59</v>
      </c>
      <c r="AC698" t="s">
        <v>59</v>
      </c>
      <c r="AD698" t="s">
        <v>59</v>
      </c>
      <c r="AF698" s="1">
        <v>38964</v>
      </c>
      <c r="AG698" t="s">
        <v>137</v>
      </c>
      <c r="AH698" t="s">
        <v>138</v>
      </c>
      <c r="AI698" t="str">
        <f>"1740300"</f>
        <v>1740300</v>
      </c>
      <c r="AJ698" t="s">
        <v>1274</v>
      </c>
      <c r="AK698">
        <v>2892022100</v>
      </c>
      <c r="AL698" t="s">
        <v>1275</v>
      </c>
      <c r="AM698" t="s">
        <v>78</v>
      </c>
      <c r="AN698" t="s">
        <v>242</v>
      </c>
      <c r="AO698" t="s">
        <v>243</v>
      </c>
      <c r="AP698" t="s">
        <v>243</v>
      </c>
      <c r="AQ698">
        <v>33</v>
      </c>
      <c r="AR698" t="s">
        <v>123</v>
      </c>
      <c r="AS698" t="s">
        <v>124</v>
      </c>
      <c r="AT698" t="s">
        <v>58</v>
      </c>
      <c r="AU698" t="s">
        <v>68</v>
      </c>
      <c r="AV698" t="s">
        <v>69</v>
      </c>
      <c r="AW698" s="1">
        <v>28427</v>
      </c>
      <c r="AX698">
        <v>2</v>
      </c>
    </row>
    <row r="699" spans="1:50">
      <c r="A699">
        <v>201518</v>
      </c>
      <c r="B699" t="str">
        <f>"059943520"</f>
        <v>059943520</v>
      </c>
      <c r="C699" t="s">
        <v>50</v>
      </c>
      <c r="D699" t="s">
        <v>1871</v>
      </c>
      <c r="E699" t="s">
        <v>215</v>
      </c>
      <c r="F699" t="s">
        <v>84</v>
      </c>
      <c r="G699" t="s">
        <v>250</v>
      </c>
      <c r="H699" t="str">
        <f>" "</f>
        <v xml:space="preserve"> </v>
      </c>
      <c r="J699">
        <v>2841033979</v>
      </c>
      <c r="L699">
        <v>2897033571</v>
      </c>
      <c r="M699" t="s">
        <v>1872</v>
      </c>
      <c r="N699" t="s">
        <v>146</v>
      </c>
      <c r="O699" t="s">
        <v>147</v>
      </c>
      <c r="R699" t="s">
        <v>57</v>
      </c>
      <c r="S699">
        <v>9</v>
      </c>
      <c r="T699">
        <v>231</v>
      </c>
      <c r="U699" s="1">
        <v>38230</v>
      </c>
      <c r="V699" t="s">
        <v>123</v>
      </c>
      <c r="W699" t="s">
        <v>124</v>
      </c>
      <c r="X699" t="s">
        <v>58</v>
      </c>
      <c r="Y699">
        <v>20</v>
      </c>
      <c r="Z699" t="s">
        <v>59</v>
      </c>
      <c r="AA699" t="s">
        <v>59</v>
      </c>
      <c r="AB699" t="s">
        <v>59</v>
      </c>
      <c r="AC699" t="s">
        <v>59</v>
      </c>
      <c r="AD699" t="s">
        <v>59</v>
      </c>
      <c r="AF699" s="1">
        <v>38232</v>
      </c>
      <c r="AG699" t="s">
        <v>125</v>
      </c>
      <c r="AH699" t="s">
        <v>126</v>
      </c>
      <c r="AI699" t="str">
        <f>"1718010"</f>
        <v>1718010</v>
      </c>
      <c r="AJ699" t="s">
        <v>1090</v>
      </c>
      <c r="AK699">
        <v>2897031471</v>
      </c>
      <c r="AL699" t="s">
        <v>1091</v>
      </c>
      <c r="AM699" t="s">
        <v>78</v>
      </c>
      <c r="AN699" t="s">
        <v>219</v>
      </c>
      <c r="AO699" t="s">
        <v>527</v>
      </c>
      <c r="AP699" t="s">
        <v>527</v>
      </c>
      <c r="AQ699">
        <v>20</v>
      </c>
      <c r="AR699" t="s">
        <v>123</v>
      </c>
      <c r="AS699" t="s">
        <v>124</v>
      </c>
      <c r="AT699" t="s">
        <v>58</v>
      </c>
      <c r="AU699" t="s">
        <v>68</v>
      </c>
      <c r="AV699" t="s">
        <v>69</v>
      </c>
      <c r="AW699" s="1">
        <v>24425</v>
      </c>
      <c r="AX699">
        <v>2</v>
      </c>
    </row>
    <row r="700" spans="1:50">
      <c r="A700">
        <v>190852</v>
      </c>
      <c r="B700" t="str">
        <f>"103816568"</f>
        <v>103816568</v>
      </c>
      <c r="C700" t="s">
        <v>50</v>
      </c>
      <c r="D700" t="s">
        <v>1871</v>
      </c>
      <c r="E700" t="s">
        <v>181</v>
      </c>
      <c r="F700" t="s">
        <v>53</v>
      </c>
      <c r="G700" t="s">
        <v>671</v>
      </c>
      <c r="H700" t="str">
        <f>"ΜΝΗΣΙΚΛΗ 38 ΚΟΡΩΝΗ ΜΑΓΑΡΑ"</f>
        <v>ΜΝΗΣΙΚΛΗ 38 ΚΟΡΩΝΗ ΜΑΓΑΡΑ</v>
      </c>
      <c r="I700">
        <v>71305</v>
      </c>
      <c r="J700">
        <v>2810316286</v>
      </c>
      <c r="K700">
        <v>6946242023</v>
      </c>
      <c r="M700" t="s">
        <v>1873</v>
      </c>
      <c r="N700" t="s">
        <v>204</v>
      </c>
      <c r="O700" t="s">
        <v>205</v>
      </c>
      <c r="R700" t="s">
        <v>57</v>
      </c>
      <c r="S700">
        <v>11</v>
      </c>
      <c r="T700">
        <v>219</v>
      </c>
      <c r="U700" s="1">
        <v>37134</v>
      </c>
      <c r="V700" t="s">
        <v>123</v>
      </c>
      <c r="W700" t="s">
        <v>124</v>
      </c>
      <c r="X700" t="s">
        <v>58</v>
      </c>
      <c r="Y700">
        <v>20</v>
      </c>
      <c r="Z700" t="s">
        <v>59</v>
      </c>
      <c r="AA700" t="s">
        <v>59</v>
      </c>
      <c r="AB700" t="s">
        <v>59</v>
      </c>
      <c r="AC700" t="s">
        <v>59</v>
      </c>
      <c r="AD700" t="s">
        <v>59</v>
      </c>
      <c r="AF700" s="1">
        <v>37134</v>
      </c>
      <c r="AG700" t="s">
        <v>148</v>
      </c>
      <c r="AH700" t="s">
        <v>149</v>
      </c>
      <c r="AI700" t="str">
        <f>"1751051"</f>
        <v>1751051</v>
      </c>
      <c r="AJ700" t="s">
        <v>259</v>
      </c>
      <c r="AK700">
        <v>2810251794</v>
      </c>
      <c r="AL700" t="s">
        <v>260</v>
      </c>
      <c r="AM700" t="s">
        <v>78</v>
      </c>
      <c r="AN700" t="s">
        <v>78</v>
      </c>
      <c r="AO700" t="s">
        <v>78</v>
      </c>
      <c r="AP700" t="s">
        <v>141</v>
      </c>
      <c r="AQ700">
        <v>7</v>
      </c>
      <c r="AR700" t="s">
        <v>123</v>
      </c>
      <c r="AS700" t="s">
        <v>124</v>
      </c>
      <c r="AT700" t="s">
        <v>58</v>
      </c>
      <c r="AU700" t="s">
        <v>68</v>
      </c>
      <c r="AV700" t="s">
        <v>69</v>
      </c>
      <c r="AW700" s="1">
        <v>28334</v>
      </c>
      <c r="AX700">
        <v>2</v>
      </c>
    </row>
    <row r="701" spans="1:50">
      <c r="A701">
        <v>195596</v>
      </c>
      <c r="B701" t="str">
        <f>"054929117"</f>
        <v>054929117</v>
      </c>
      <c r="C701" t="s">
        <v>105</v>
      </c>
      <c r="D701" t="s">
        <v>1874</v>
      </c>
      <c r="E701" t="s">
        <v>84</v>
      </c>
      <c r="F701" t="s">
        <v>95</v>
      </c>
      <c r="G701" t="s">
        <v>181</v>
      </c>
      <c r="H701" t="str">
        <f>"ΣΕΦΕΡΗ 38 ΝΕΑ ΑΛΙΚΑΡΝΑΣΣΟΣ"</f>
        <v>ΣΕΦΕΡΗ 38 ΝΕΑ ΑΛΙΚΑΡΝΑΣΣΟΣ</v>
      </c>
      <c r="I701">
        <v>71601</v>
      </c>
      <c r="J701">
        <v>2810323838</v>
      </c>
      <c r="K701">
        <v>6932869283</v>
      </c>
      <c r="M701" t="s">
        <v>1875</v>
      </c>
      <c r="N701" t="s">
        <v>232</v>
      </c>
      <c r="O701" t="s">
        <v>233</v>
      </c>
      <c r="R701" t="s">
        <v>57</v>
      </c>
      <c r="S701">
        <v>8</v>
      </c>
      <c r="T701">
        <v>194</v>
      </c>
      <c r="U701" s="1">
        <v>37497</v>
      </c>
      <c r="V701" t="s">
        <v>123</v>
      </c>
      <c r="W701" t="s">
        <v>124</v>
      </c>
      <c r="X701" t="s">
        <v>58</v>
      </c>
      <c r="Y701">
        <v>20</v>
      </c>
      <c r="Z701" t="s">
        <v>59</v>
      </c>
      <c r="AA701" t="s">
        <v>59</v>
      </c>
      <c r="AB701" t="s">
        <v>59</v>
      </c>
      <c r="AC701" t="s">
        <v>59</v>
      </c>
      <c r="AD701" t="s">
        <v>59</v>
      </c>
      <c r="AF701" s="1">
        <v>37501</v>
      </c>
      <c r="AG701" t="s">
        <v>148</v>
      </c>
      <c r="AH701" t="s">
        <v>149</v>
      </c>
      <c r="AI701" t="str">
        <f>"1777010"</f>
        <v>1777010</v>
      </c>
      <c r="AJ701" t="s">
        <v>612</v>
      </c>
      <c r="AK701">
        <v>2810229220</v>
      </c>
      <c r="AL701" t="s">
        <v>613</v>
      </c>
      <c r="AM701" t="s">
        <v>78</v>
      </c>
      <c r="AN701" t="s">
        <v>78</v>
      </c>
      <c r="AO701" t="s">
        <v>286</v>
      </c>
      <c r="AP701" t="s">
        <v>286</v>
      </c>
      <c r="AQ701">
        <v>12</v>
      </c>
      <c r="AR701" t="s">
        <v>123</v>
      </c>
      <c r="AS701" t="s">
        <v>124</v>
      </c>
      <c r="AT701" t="s">
        <v>58</v>
      </c>
      <c r="AU701" t="s">
        <v>68</v>
      </c>
      <c r="AV701" t="s">
        <v>69</v>
      </c>
      <c r="AW701" s="1">
        <v>24635</v>
      </c>
      <c r="AX701">
        <v>2</v>
      </c>
    </row>
    <row r="702" spans="1:50">
      <c r="A702">
        <v>193763</v>
      </c>
      <c r="B702" t="str">
        <f>"033476946"</f>
        <v>033476946</v>
      </c>
      <c r="C702" t="s">
        <v>105</v>
      </c>
      <c r="D702" t="s">
        <v>1876</v>
      </c>
      <c r="E702" t="s">
        <v>72</v>
      </c>
      <c r="F702" t="s">
        <v>99</v>
      </c>
      <c r="G702" t="s">
        <v>83</v>
      </c>
      <c r="H702" t="str">
        <f>"ΟΔΥΣΣΕΩΣ 8 ΗΡΑΚΛΕΙΟ"</f>
        <v>ΟΔΥΣΣΕΩΣ 8 ΗΡΑΚΛΕΙΟ</v>
      </c>
      <c r="J702">
        <v>2810221300</v>
      </c>
      <c r="K702">
        <v>6978893279</v>
      </c>
      <c r="N702" t="s">
        <v>1647</v>
      </c>
      <c r="O702" t="s">
        <v>1648</v>
      </c>
      <c r="R702" t="s">
        <v>57</v>
      </c>
      <c r="S702">
        <v>11</v>
      </c>
      <c r="T702">
        <v>193</v>
      </c>
      <c r="U702" s="1">
        <v>37497</v>
      </c>
      <c r="V702" t="s">
        <v>123</v>
      </c>
      <c r="W702" t="s">
        <v>124</v>
      </c>
      <c r="X702" t="s">
        <v>58</v>
      </c>
      <c r="Y702">
        <v>18</v>
      </c>
      <c r="Z702" t="s">
        <v>59</v>
      </c>
      <c r="AA702" t="s">
        <v>59</v>
      </c>
      <c r="AB702" t="s">
        <v>59</v>
      </c>
      <c r="AC702" t="s">
        <v>59</v>
      </c>
      <c r="AD702" t="s">
        <v>59</v>
      </c>
      <c r="AF702" s="1">
        <v>37501</v>
      </c>
      <c r="AG702" t="s">
        <v>125</v>
      </c>
      <c r="AH702" t="s">
        <v>126</v>
      </c>
      <c r="AI702" t="str">
        <f>"1701010"</f>
        <v>1701010</v>
      </c>
      <c r="AJ702" t="s">
        <v>374</v>
      </c>
      <c r="AK702">
        <v>2810227148</v>
      </c>
      <c r="AL702" t="s">
        <v>375</v>
      </c>
      <c r="AM702" t="s">
        <v>78</v>
      </c>
      <c r="AN702" t="s">
        <v>78</v>
      </c>
      <c r="AO702" t="s">
        <v>78</v>
      </c>
      <c r="AP702" t="s">
        <v>79</v>
      </c>
      <c r="AQ702">
        <v>1</v>
      </c>
      <c r="AR702" t="s">
        <v>123</v>
      </c>
      <c r="AS702" t="s">
        <v>124</v>
      </c>
      <c r="AT702" t="s">
        <v>58</v>
      </c>
      <c r="AU702" t="s">
        <v>68</v>
      </c>
      <c r="AV702" t="s">
        <v>69</v>
      </c>
      <c r="AW702" s="1">
        <v>22254</v>
      </c>
      <c r="AX702">
        <v>2</v>
      </c>
    </row>
    <row r="703" spans="1:50">
      <c r="A703">
        <v>224116</v>
      </c>
      <c r="B703" t="str">
        <f>"119682163"</f>
        <v>119682163</v>
      </c>
      <c r="C703" t="s">
        <v>50</v>
      </c>
      <c r="D703" t="s">
        <v>1877</v>
      </c>
      <c r="E703" t="s">
        <v>215</v>
      </c>
      <c r="F703" t="s">
        <v>95</v>
      </c>
      <c r="G703" t="s">
        <v>1277</v>
      </c>
      <c r="H703" t="str">
        <f>"ΤΕΙΡΕΣΙΑΣ 2 ΓΙΟΦΥΡΟ"</f>
        <v>ΤΕΙΡΕΣΙΑΣ 2 ΓΙΟΦΥΡΟ</v>
      </c>
      <c r="I703">
        <v>71304</v>
      </c>
      <c r="J703">
        <v>2811118198</v>
      </c>
      <c r="K703">
        <v>6942237636</v>
      </c>
      <c r="L703">
        <v>2810528457</v>
      </c>
      <c r="N703" t="s">
        <v>306</v>
      </c>
      <c r="O703" t="s">
        <v>307</v>
      </c>
      <c r="R703" t="s">
        <v>57</v>
      </c>
      <c r="S703">
        <v>5</v>
      </c>
      <c r="T703">
        <v>775</v>
      </c>
      <c r="U703" s="1">
        <v>39680</v>
      </c>
      <c r="V703" t="s">
        <v>123</v>
      </c>
      <c r="W703" t="s">
        <v>124</v>
      </c>
      <c r="X703" t="s">
        <v>58</v>
      </c>
      <c r="Y703">
        <v>21</v>
      </c>
      <c r="Z703" t="s">
        <v>59</v>
      </c>
      <c r="AA703" t="s">
        <v>59</v>
      </c>
      <c r="AB703" t="s">
        <v>59</v>
      </c>
      <c r="AC703" t="s">
        <v>59</v>
      </c>
      <c r="AD703" t="s">
        <v>59</v>
      </c>
      <c r="AF703" s="1">
        <v>39682</v>
      </c>
      <c r="AG703" t="s">
        <v>137</v>
      </c>
      <c r="AH703" t="s">
        <v>138</v>
      </c>
      <c r="AI703" t="str">
        <f>"1750080"</f>
        <v>1750080</v>
      </c>
      <c r="AJ703" t="s">
        <v>170</v>
      </c>
      <c r="AK703">
        <v>2810234444</v>
      </c>
      <c r="AL703" t="s">
        <v>171</v>
      </c>
      <c r="AM703" t="s">
        <v>78</v>
      </c>
      <c r="AN703" t="s">
        <v>78</v>
      </c>
      <c r="AO703" t="s">
        <v>78</v>
      </c>
      <c r="AP703" t="s">
        <v>163</v>
      </c>
      <c r="AQ703">
        <v>9</v>
      </c>
      <c r="AR703" t="s">
        <v>123</v>
      </c>
      <c r="AS703" t="s">
        <v>124</v>
      </c>
      <c r="AT703" t="s">
        <v>58</v>
      </c>
      <c r="AU703" t="s">
        <v>68</v>
      </c>
      <c r="AV703" t="s">
        <v>69</v>
      </c>
      <c r="AW703" s="1">
        <v>29184</v>
      </c>
      <c r="AX703">
        <v>2</v>
      </c>
    </row>
    <row r="704" spans="1:50">
      <c r="A704">
        <v>190853</v>
      </c>
      <c r="B704" t="str">
        <f>"070995599"</f>
        <v>070995599</v>
      </c>
      <c r="C704" t="s">
        <v>50</v>
      </c>
      <c r="D704" t="s">
        <v>1878</v>
      </c>
      <c r="E704" t="s">
        <v>1879</v>
      </c>
      <c r="F704" t="s">
        <v>95</v>
      </c>
      <c r="G704" t="s">
        <v>783</v>
      </c>
      <c r="H704" t="str">
        <f>"ΜΙΧΑΗΛ ΑΡΧΑΓΓΕΛΟΥ 81 ΘΕΡΙΣΣΟΣ"</f>
        <v>ΜΙΧΑΗΛ ΑΡΧΑΓΓΕΛΟΥ 81 ΘΕΡΙΣΣΟΣ</v>
      </c>
      <c r="I704">
        <v>71304</v>
      </c>
      <c r="J704">
        <v>2810371211</v>
      </c>
      <c r="K704">
        <v>6977670252</v>
      </c>
      <c r="N704" t="s">
        <v>204</v>
      </c>
      <c r="O704" t="s">
        <v>205</v>
      </c>
      <c r="R704" t="s">
        <v>57</v>
      </c>
      <c r="S704">
        <v>10</v>
      </c>
      <c r="T704">
        <v>219</v>
      </c>
      <c r="U704" s="1">
        <v>37134</v>
      </c>
      <c r="V704" t="s">
        <v>123</v>
      </c>
      <c r="W704" t="s">
        <v>124</v>
      </c>
      <c r="X704" t="s">
        <v>58</v>
      </c>
      <c r="Y704">
        <v>20</v>
      </c>
      <c r="Z704" t="s">
        <v>59</v>
      </c>
      <c r="AA704" t="s">
        <v>59</v>
      </c>
      <c r="AB704" t="s">
        <v>59</v>
      </c>
      <c r="AC704" t="s">
        <v>59</v>
      </c>
      <c r="AD704" t="s">
        <v>59</v>
      </c>
      <c r="AF704" s="1">
        <v>37134</v>
      </c>
      <c r="AG704" t="s">
        <v>137</v>
      </c>
      <c r="AH704" t="s">
        <v>138</v>
      </c>
      <c r="AI704" t="str">
        <f>"1740210"</f>
        <v>1740210</v>
      </c>
      <c r="AJ704" t="s">
        <v>139</v>
      </c>
      <c r="AK704">
        <v>2810318130</v>
      </c>
      <c r="AL704" t="s">
        <v>140</v>
      </c>
      <c r="AM704" t="s">
        <v>78</v>
      </c>
      <c r="AN704" t="s">
        <v>78</v>
      </c>
      <c r="AO704" t="s">
        <v>78</v>
      </c>
      <c r="AP704" t="s">
        <v>141</v>
      </c>
      <c r="AQ704">
        <v>7</v>
      </c>
      <c r="AR704" t="s">
        <v>123</v>
      </c>
      <c r="AS704" t="s">
        <v>124</v>
      </c>
      <c r="AT704" t="s">
        <v>58</v>
      </c>
      <c r="AU704" t="s">
        <v>68</v>
      </c>
      <c r="AV704" t="s">
        <v>69</v>
      </c>
      <c r="AW704" s="1">
        <v>28315</v>
      </c>
      <c r="AX704">
        <v>2</v>
      </c>
    </row>
    <row r="705" spans="1:50">
      <c r="A705">
        <v>212722</v>
      </c>
      <c r="B705" t="str">
        <f>"054470469"</f>
        <v>054470469</v>
      </c>
      <c r="C705" t="s">
        <v>50</v>
      </c>
      <c r="D705" t="s">
        <v>1880</v>
      </c>
      <c r="E705" t="s">
        <v>52</v>
      </c>
      <c r="F705" t="s">
        <v>1320</v>
      </c>
      <c r="G705" t="s">
        <v>73</v>
      </c>
      <c r="H705" t="str">
        <f>"ΣΤΕΝΗΜΑΧΟΥ 39 ΜΑΣΤΑΜΠΑΣ"</f>
        <v>ΣΤΕΝΗΜΑΧΟΥ 39 ΜΑΣΤΑΜΠΑΣ</v>
      </c>
      <c r="J705">
        <v>2810251002</v>
      </c>
      <c r="K705">
        <v>6974600380</v>
      </c>
      <c r="M705" t="s">
        <v>1881</v>
      </c>
      <c r="N705" t="s">
        <v>292</v>
      </c>
      <c r="O705" t="s">
        <v>293</v>
      </c>
      <c r="R705" t="s">
        <v>57</v>
      </c>
      <c r="S705">
        <v>8</v>
      </c>
      <c r="T705">
        <v>231</v>
      </c>
      <c r="U705" s="1">
        <v>38960</v>
      </c>
      <c r="V705" t="s">
        <v>123</v>
      </c>
      <c r="W705" t="s">
        <v>124</v>
      </c>
      <c r="X705" t="s">
        <v>58</v>
      </c>
      <c r="Y705">
        <v>20</v>
      </c>
      <c r="Z705" t="s">
        <v>59</v>
      </c>
      <c r="AA705" t="s">
        <v>59</v>
      </c>
      <c r="AB705" t="s">
        <v>59</v>
      </c>
      <c r="AC705" t="s">
        <v>59</v>
      </c>
      <c r="AD705" t="s">
        <v>59</v>
      </c>
      <c r="AF705" s="1">
        <v>38961</v>
      </c>
      <c r="AG705" t="s">
        <v>148</v>
      </c>
      <c r="AH705" t="s">
        <v>149</v>
      </c>
      <c r="AI705" t="str">
        <f>"1751041"</f>
        <v>1751041</v>
      </c>
      <c r="AJ705" t="s">
        <v>353</v>
      </c>
      <c r="AK705">
        <v>2810230207</v>
      </c>
      <c r="AL705" t="s">
        <v>354</v>
      </c>
      <c r="AM705" t="s">
        <v>78</v>
      </c>
      <c r="AN705" t="s">
        <v>78</v>
      </c>
      <c r="AO705" t="s">
        <v>78</v>
      </c>
      <c r="AP705" t="s">
        <v>163</v>
      </c>
      <c r="AQ705">
        <v>2</v>
      </c>
      <c r="AR705" t="s">
        <v>123</v>
      </c>
      <c r="AS705" t="s">
        <v>124</v>
      </c>
      <c r="AT705" t="s">
        <v>58</v>
      </c>
      <c r="AU705" t="s">
        <v>68</v>
      </c>
      <c r="AV705" t="s">
        <v>357</v>
      </c>
      <c r="AW705" s="1">
        <v>22415</v>
      </c>
      <c r="AX705">
        <v>2</v>
      </c>
    </row>
    <row r="706" spans="1:50">
      <c r="A706">
        <v>195877</v>
      </c>
      <c r="B706" t="str">
        <f>"112571048"</f>
        <v>112571048</v>
      </c>
      <c r="C706" t="s">
        <v>50</v>
      </c>
      <c r="D706" t="s">
        <v>1882</v>
      </c>
      <c r="E706" t="s">
        <v>366</v>
      </c>
      <c r="F706" t="s">
        <v>309</v>
      </c>
      <c r="G706" t="s">
        <v>1883</v>
      </c>
      <c r="H706" t="str">
        <f>"ΕΔΜΟΝΔΟΥ ΑΜΠΟΤ  5 ΘΕΣΣΑΛΟΝΙΚΗ "</f>
        <v xml:space="preserve">ΕΔΜΟΝΔΟΥ ΑΜΠΟΤ  5 ΘΕΣΣΑΛΟΝΙΚΗ </v>
      </c>
      <c r="I706">
        <v>54643</v>
      </c>
      <c r="J706">
        <v>2811115209</v>
      </c>
      <c r="K706">
        <v>6972620792</v>
      </c>
      <c r="L706">
        <v>2310825872</v>
      </c>
      <c r="M706" t="s">
        <v>1884</v>
      </c>
      <c r="N706" t="s">
        <v>176</v>
      </c>
      <c r="O706" t="s">
        <v>177</v>
      </c>
      <c r="R706" t="s">
        <v>57</v>
      </c>
      <c r="S706">
        <v>8</v>
      </c>
      <c r="T706">
        <v>194</v>
      </c>
      <c r="U706" s="1">
        <v>37497</v>
      </c>
      <c r="V706" t="s">
        <v>123</v>
      </c>
      <c r="W706" t="s">
        <v>124</v>
      </c>
      <c r="X706" t="s">
        <v>58</v>
      </c>
      <c r="Y706">
        <v>20</v>
      </c>
      <c r="Z706" t="s">
        <v>59</v>
      </c>
      <c r="AA706" t="s">
        <v>59</v>
      </c>
      <c r="AB706" t="s">
        <v>59</v>
      </c>
      <c r="AC706" t="s">
        <v>59</v>
      </c>
      <c r="AD706" t="s">
        <v>59</v>
      </c>
      <c r="AF706" s="1">
        <v>37501</v>
      </c>
      <c r="AG706" t="s">
        <v>148</v>
      </c>
      <c r="AH706" t="s">
        <v>149</v>
      </c>
      <c r="AI706" t="str">
        <f>"1755010"</f>
        <v>1755010</v>
      </c>
      <c r="AJ706" t="s">
        <v>274</v>
      </c>
      <c r="AK706">
        <v>2891031124</v>
      </c>
      <c r="AL706" t="s">
        <v>275</v>
      </c>
      <c r="AM706" t="s">
        <v>78</v>
      </c>
      <c r="AN706" t="s">
        <v>276</v>
      </c>
      <c r="AO706" t="s">
        <v>277</v>
      </c>
      <c r="AP706" t="s">
        <v>277</v>
      </c>
      <c r="AQ706">
        <v>17</v>
      </c>
      <c r="AR706" t="s">
        <v>123</v>
      </c>
      <c r="AS706" t="s">
        <v>124</v>
      </c>
      <c r="AT706" t="s">
        <v>58</v>
      </c>
      <c r="AU706" t="s">
        <v>68</v>
      </c>
      <c r="AV706" t="s">
        <v>69</v>
      </c>
      <c r="AW706" s="1">
        <v>27838</v>
      </c>
      <c r="AX706">
        <v>2</v>
      </c>
    </row>
    <row r="707" spans="1:50">
      <c r="A707">
        <v>203817</v>
      </c>
      <c r="B707" t="str">
        <f>"106578623"</f>
        <v>106578623</v>
      </c>
      <c r="C707" t="s">
        <v>50</v>
      </c>
      <c r="D707" t="s">
        <v>1885</v>
      </c>
      <c r="E707" t="s">
        <v>620</v>
      </c>
      <c r="F707" t="s">
        <v>72</v>
      </c>
      <c r="G707" t="s">
        <v>237</v>
      </c>
      <c r="H707" t="str">
        <f>"ΜΑΥΣΩΛΟΥ 117Α &amp; ΒΟΣΠΟΡΟΥ ΝΕΑ ΑΛΙΚΑΡΝΑΣΣΟΣ"</f>
        <v>ΜΑΥΣΩΛΟΥ 117Α &amp; ΒΟΣΠΟΡΟΥ ΝΕΑ ΑΛΙΚΑΡΝΑΣΣΟΣ</v>
      </c>
      <c r="I707">
        <v>71601</v>
      </c>
      <c r="J707">
        <v>2810245710</v>
      </c>
      <c r="K707">
        <v>6944992067</v>
      </c>
      <c r="M707" t="s">
        <v>1886</v>
      </c>
      <c r="N707" t="s">
        <v>257</v>
      </c>
      <c r="O707" t="s">
        <v>258</v>
      </c>
      <c r="R707" t="s">
        <v>57</v>
      </c>
      <c r="S707">
        <v>11</v>
      </c>
      <c r="T707">
        <v>231</v>
      </c>
      <c r="U707" s="1">
        <v>38230</v>
      </c>
      <c r="V707" t="s">
        <v>123</v>
      </c>
      <c r="W707" t="s">
        <v>124</v>
      </c>
      <c r="X707" t="s">
        <v>58</v>
      </c>
      <c r="Y707">
        <v>20</v>
      </c>
      <c r="Z707" t="s">
        <v>59</v>
      </c>
      <c r="AA707" t="s">
        <v>59</v>
      </c>
      <c r="AB707" t="s">
        <v>59</v>
      </c>
      <c r="AC707" t="s">
        <v>59</v>
      </c>
      <c r="AD707" t="s">
        <v>59</v>
      </c>
      <c r="AF707" s="1">
        <v>38232</v>
      </c>
      <c r="AG707" t="s">
        <v>148</v>
      </c>
      <c r="AH707" t="s">
        <v>149</v>
      </c>
      <c r="AI707" t="str">
        <f>"1777010"</f>
        <v>1777010</v>
      </c>
      <c r="AJ707" t="s">
        <v>612</v>
      </c>
      <c r="AK707">
        <v>2810229220</v>
      </c>
      <c r="AL707" t="s">
        <v>613</v>
      </c>
      <c r="AM707" t="s">
        <v>78</v>
      </c>
      <c r="AN707" t="s">
        <v>78</v>
      </c>
      <c r="AO707" t="s">
        <v>286</v>
      </c>
      <c r="AP707" t="s">
        <v>286</v>
      </c>
      <c r="AQ707">
        <v>12</v>
      </c>
      <c r="AR707" t="s">
        <v>123</v>
      </c>
      <c r="AS707" t="s">
        <v>124</v>
      </c>
      <c r="AT707" t="s">
        <v>58</v>
      </c>
      <c r="AU707" t="s">
        <v>68</v>
      </c>
      <c r="AV707" t="s">
        <v>69</v>
      </c>
      <c r="AW707" s="1">
        <v>24162</v>
      </c>
      <c r="AX707">
        <v>2</v>
      </c>
    </row>
    <row r="708" spans="1:50">
      <c r="A708">
        <v>215849</v>
      </c>
      <c r="B708" t="str">
        <f>"118938292"</f>
        <v>118938292</v>
      </c>
      <c r="C708" t="s">
        <v>50</v>
      </c>
      <c r="D708" t="s">
        <v>1887</v>
      </c>
      <c r="E708" t="s">
        <v>52</v>
      </c>
      <c r="F708" t="s">
        <v>670</v>
      </c>
      <c r="G708" t="s">
        <v>340</v>
      </c>
      <c r="H708" t="str">
        <f>"ΦΙΛΙΠΠΙΔΗ 3 ΝΕΑ ΦΙΛΟΘΕΗ"</f>
        <v>ΦΙΛΙΠΠΙΔΗ 3 ΝΕΑ ΦΙΛΟΘΕΗ</v>
      </c>
      <c r="I708">
        <v>15235</v>
      </c>
      <c r="J708">
        <v>2110146990</v>
      </c>
      <c r="K708">
        <v>6976114495</v>
      </c>
      <c r="M708" t="s">
        <v>1888</v>
      </c>
      <c r="N708" t="s">
        <v>683</v>
      </c>
      <c r="O708" t="s">
        <v>684</v>
      </c>
      <c r="R708" t="s">
        <v>57</v>
      </c>
      <c r="S708">
        <v>6</v>
      </c>
      <c r="T708">
        <v>232</v>
      </c>
      <c r="U708" s="1">
        <v>38960</v>
      </c>
      <c r="V708" t="s">
        <v>123</v>
      </c>
      <c r="W708" t="s">
        <v>124</v>
      </c>
      <c r="X708" t="s">
        <v>58</v>
      </c>
      <c r="Y708">
        <v>20</v>
      </c>
      <c r="Z708" t="s">
        <v>59</v>
      </c>
      <c r="AA708" t="s">
        <v>59</v>
      </c>
      <c r="AB708" t="s">
        <v>59</v>
      </c>
      <c r="AC708" t="s">
        <v>59</v>
      </c>
      <c r="AD708" t="s">
        <v>59</v>
      </c>
      <c r="AF708" s="1">
        <v>38968</v>
      </c>
      <c r="AG708" t="s">
        <v>125</v>
      </c>
      <c r="AH708" t="s">
        <v>126</v>
      </c>
      <c r="AI708" t="str">
        <f>"1702010"</f>
        <v>1702010</v>
      </c>
      <c r="AJ708" t="s">
        <v>604</v>
      </c>
      <c r="AK708">
        <v>2891022228</v>
      </c>
      <c r="AL708" t="s">
        <v>605</v>
      </c>
      <c r="AM708" t="s">
        <v>78</v>
      </c>
      <c r="AN708" t="s">
        <v>276</v>
      </c>
      <c r="AO708" t="s">
        <v>490</v>
      </c>
      <c r="AP708" t="s">
        <v>490</v>
      </c>
      <c r="AQ708">
        <v>15</v>
      </c>
      <c r="AR708" t="s">
        <v>123</v>
      </c>
      <c r="AS708" t="s">
        <v>124</v>
      </c>
      <c r="AT708" t="s">
        <v>58</v>
      </c>
      <c r="AU708" t="s">
        <v>68</v>
      </c>
      <c r="AV708" t="s">
        <v>69</v>
      </c>
      <c r="AW708" s="1">
        <v>28084</v>
      </c>
      <c r="AX708">
        <v>2</v>
      </c>
    </row>
    <row r="709" spans="1:50">
      <c r="A709">
        <v>198027</v>
      </c>
      <c r="B709" t="str">
        <f>"037963310"</f>
        <v>037963310</v>
      </c>
      <c r="C709" t="s">
        <v>105</v>
      </c>
      <c r="D709" t="s">
        <v>1889</v>
      </c>
      <c r="E709" t="s">
        <v>166</v>
      </c>
      <c r="F709" t="s">
        <v>1890</v>
      </c>
      <c r="G709" t="s">
        <v>215</v>
      </c>
      <c r="H709" t="str">
        <f>"ΤΥΡΤΑΙΟΥ 29 ΗΡΑΚΛΕΙΟ"</f>
        <v>ΤΥΡΤΑΙΟΥ 29 ΗΡΑΚΛΕΙΟ</v>
      </c>
      <c r="I709">
        <v>71303</v>
      </c>
      <c r="J709">
        <v>2810315352</v>
      </c>
      <c r="K709">
        <v>6974600362</v>
      </c>
      <c r="N709" t="s">
        <v>232</v>
      </c>
      <c r="O709" t="s">
        <v>233</v>
      </c>
      <c r="R709" t="s">
        <v>57</v>
      </c>
      <c r="S709">
        <v>7</v>
      </c>
      <c r="T709">
        <v>206</v>
      </c>
      <c r="U709" s="1">
        <v>37866</v>
      </c>
      <c r="V709" t="s">
        <v>123</v>
      </c>
      <c r="W709" t="s">
        <v>124</v>
      </c>
      <c r="X709" t="s">
        <v>58</v>
      </c>
      <c r="Y709">
        <v>20</v>
      </c>
      <c r="Z709" t="s">
        <v>59</v>
      </c>
      <c r="AA709" t="s">
        <v>59</v>
      </c>
      <c r="AB709" t="s">
        <v>59</v>
      </c>
      <c r="AC709" t="s">
        <v>59</v>
      </c>
      <c r="AD709" t="s">
        <v>59</v>
      </c>
      <c r="AF709" s="1">
        <v>37866</v>
      </c>
      <c r="AG709" t="s">
        <v>148</v>
      </c>
      <c r="AH709" t="s">
        <v>149</v>
      </c>
      <c r="AI709" t="str">
        <f>"1751020"</f>
        <v>1751020</v>
      </c>
      <c r="AJ709" t="s">
        <v>532</v>
      </c>
      <c r="AK709">
        <v>2810372732</v>
      </c>
      <c r="AL709" t="s">
        <v>533</v>
      </c>
      <c r="AM709" t="s">
        <v>78</v>
      </c>
      <c r="AN709" t="s">
        <v>78</v>
      </c>
      <c r="AO709" t="s">
        <v>78</v>
      </c>
      <c r="AP709" t="s">
        <v>163</v>
      </c>
      <c r="AQ709">
        <v>3</v>
      </c>
      <c r="AR709" t="s">
        <v>123</v>
      </c>
      <c r="AS709" t="s">
        <v>124</v>
      </c>
      <c r="AT709" t="s">
        <v>58</v>
      </c>
      <c r="AU709" t="s">
        <v>68</v>
      </c>
      <c r="AV709" t="s">
        <v>69</v>
      </c>
      <c r="AW709" s="1">
        <v>25523</v>
      </c>
      <c r="AX709">
        <v>2</v>
      </c>
    </row>
    <row r="710" spans="1:50">
      <c r="A710">
        <v>179333</v>
      </c>
      <c r="B710" t="str">
        <f>"029517309"</f>
        <v>029517309</v>
      </c>
      <c r="C710" t="s">
        <v>105</v>
      </c>
      <c r="D710" t="s">
        <v>1889</v>
      </c>
      <c r="E710" t="s">
        <v>311</v>
      </c>
      <c r="F710" t="s">
        <v>95</v>
      </c>
      <c r="G710" t="s">
        <v>513</v>
      </c>
      <c r="H710" t="str">
        <f>"ΑΣΤΕΡΟΥΣΙΩΝ 4 ΗΡΑΚΛΕΙΟΥ"</f>
        <v>ΑΣΤΕΡΟΥΣΙΩΝ 4 ΗΡΑΚΛΕΙΟΥ</v>
      </c>
      <c r="I710">
        <v>71305</v>
      </c>
      <c r="J710">
        <v>2810253617</v>
      </c>
      <c r="K710">
        <v>6946907248</v>
      </c>
      <c r="M710" t="s">
        <v>1891</v>
      </c>
      <c r="N710" t="s">
        <v>146</v>
      </c>
      <c r="O710" t="s">
        <v>147</v>
      </c>
      <c r="R710" t="s">
        <v>57</v>
      </c>
      <c r="S710">
        <v>13</v>
      </c>
      <c r="T710">
        <v>164</v>
      </c>
      <c r="U710" s="1">
        <v>36040</v>
      </c>
      <c r="V710" t="s">
        <v>123</v>
      </c>
      <c r="W710" t="s">
        <v>124</v>
      </c>
      <c r="X710" t="s">
        <v>58</v>
      </c>
      <c r="Y710">
        <v>18</v>
      </c>
      <c r="Z710" t="s">
        <v>59</v>
      </c>
      <c r="AA710" t="s">
        <v>59</v>
      </c>
      <c r="AB710" t="s">
        <v>59</v>
      </c>
      <c r="AC710" t="s">
        <v>59</v>
      </c>
      <c r="AD710" t="s">
        <v>59</v>
      </c>
      <c r="AF710" s="1">
        <v>36041</v>
      </c>
      <c r="AG710" t="s">
        <v>148</v>
      </c>
      <c r="AH710" t="s">
        <v>149</v>
      </c>
      <c r="AI710" t="str">
        <f>"1751051"</f>
        <v>1751051</v>
      </c>
      <c r="AJ710" t="s">
        <v>259</v>
      </c>
      <c r="AK710">
        <v>2810251794</v>
      </c>
      <c r="AL710" t="s">
        <v>260</v>
      </c>
      <c r="AM710" t="s">
        <v>78</v>
      </c>
      <c r="AN710" t="s">
        <v>78</v>
      </c>
      <c r="AO710" t="s">
        <v>78</v>
      </c>
      <c r="AP710" t="s">
        <v>141</v>
      </c>
      <c r="AQ710">
        <v>7</v>
      </c>
      <c r="AR710" t="s">
        <v>123</v>
      </c>
      <c r="AS710" t="s">
        <v>124</v>
      </c>
      <c r="AT710" t="s">
        <v>58</v>
      </c>
      <c r="AU710" t="s">
        <v>68</v>
      </c>
      <c r="AV710" t="s">
        <v>69</v>
      </c>
      <c r="AW710" s="1">
        <v>22729</v>
      </c>
      <c r="AX710">
        <v>2</v>
      </c>
    </row>
    <row r="711" spans="1:50">
      <c r="A711">
        <v>184676</v>
      </c>
      <c r="B711" t="str">
        <f>"033559592"</f>
        <v>033559592</v>
      </c>
      <c r="C711" t="s">
        <v>50</v>
      </c>
      <c r="D711" t="s">
        <v>1892</v>
      </c>
      <c r="E711" t="s">
        <v>610</v>
      </c>
      <c r="F711" t="s">
        <v>304</v>
      </c>
      <c r="G711" t="s">
        <v>237</v>
      </c>
      <c r="H711" t="str">
        <f>" "</f>
        <v xml:space="preserve"> </v>
      </c>
      <c r="N711" t="s">
        <v>299</v>
      </c>
      <c r="O711" t="s">
        <v>300</v>
      </c>
      <c r="P711" t="s">
        <v>146</v>
      </c>
      <c r="Q711" t="s">
        <v>147</v>
      </c>
      <c r="R711" t="s">
        <v>57</v>
      </c>
      <c r="S711">
        <v>11</v>
      </c>
      <c r="T711">
        <v>177</v>
      </c>
      <c r="U711" s="1">
        <v>36403</v>
      </c>
      <c r="V711" t="s">
        <v>123</v>
      </c>
      <c r="W711" t="s">
        <v>124</v>
      </c>
      <c r="X711" t="s">
        <v>58</v>
      </c>
      <c r="Y711">
        <v>18</v>
      </c>
      <c r="Z711" t="s">
        <v>59</v>
      </c>
      <c r="AA711" t="s">
        <v>59</v>
      </c>
      <c r="AB711" t="s">
        <v>59</v>
      </c>
      <c r="AC711" t="s">
        <v>59</v>
      </c>
      <c r="AD711" t="s">
        <v>59</v>
      </c>
      <c r="AF711" s="1">
        <v>36416</v>
      </c>
      <c r="AG711" t="s">
        <v>137</v>
      </c>
      <c r="AH711" t="s">
        <v>138</v>
      </c>
      <c r="AI711" t="str">
        <f>"1740070"</f>
        <v>1740070</v>
      </c>
      <c r="AJ711" t="s">
        <v>206</v>
      </c>
      <c r="AK711">
        <v>2810324880</v>
      </c>
      <c r="AL711" t="s">
        <v>207</v>
      </c>
      <c r="AM711" t="s">
        <v>78</v>
      </c>
      <c r="AN711" t="s">
        <v>78</v>
      </c>
      <c r="AO711" t="s">
        <v>78</v>
      </c>
      <c r="AP711" t="s">
        <v>163</v>
      </c>
      <c r="AQ711">
        <v>9</v>
      </c>
      <c r="AR711" t="s">
        <v>123</v>
      </c>
      <c r="AS711" t="s">
        <v>124</v>
      </c>
      <c r="AT711" t="s">
        <v>58</v>
      </c>
      <c r="AU711" t="s">
        <v>68</v>
      </c>
      <c r="AV711" t="s">
        <v>69</v>
      </c>
      <c r="AW711" s="1">
        <v>23061</v>
      </c>
      <c r="AX711">
        <v>2</v>
      </c>
    </row>
    <row r="712" spans="1:50">
      <c r="A712">
        <v>192665</v>
      </c>
      <c r="B712" t="str">
        <f>"077819460"</f>
        <v>077819460</v>
      </c>
      <c r="C712" t="s">
        <v>105</v>
      </c>
      <c r="D712" t="s">
        <v>1893</v>
      </c>
      <c r="E712" t="s">
        <v>53</v>
      </c>
      <c r="F712" t="s">
        <v>84</v>
      </c>
      <c r="G712" t="s">
        <v>1894</v>
      </c>
      <c r="H712" t="str">
        <f>"ΧΑΡΑΛΑΜΠΟΥ ΠΑΠΑΔΑΚΗ 16 ΗΡΑΚΛΕΙΟ"</f>
        <v>ΧΑΡΑΛΑΜΠΟΥ ΠΑΠΑΔΑΚΗ 16 ΗΡΑΚΛΕΙΟ</v>
      </c>
      <c r="I712">
        <v>71409</v>
      </c>
      <c r="J712">
        <v>2810361141</v>
      </c>
      <c r="K712">
        <v>6932296190</v>
      </c>
      <c r="N712" t="s">
        <v>204</v>
      </c>
      <c r="O712" t="s">
        <v>205</v>
      </c>
      <c r="P712" t="s">
        <v>292</v>
      </c>
      <c r="Q712" t="s">
        <v>293</v>
      </c>
      <c r="R712" t="s">
        <v>57</v>
      </c>
      <c r="S712">
        <v>10</v>
      </c>
      <c r="T712">
        <v>192</v>
      </c>
      <c r="U712" s="1">
        <v>37497</v>
      </c>
      <c r="V712" t="s">
        <v>123</v>
      </c>
      <c r="W712" t="s">
        <v>124</v>
      </c>
      <c r="X712" t="s">
        <v>58</v>
      </c>
      <c r="Y712">
        <v>20</v>
      </c>
      <c r="Z712" t="s">
        <v>59</v>
      </c>
      <c r="AA712" t="s">
        <v>59</v>
      </c>
      <c r="AB712" t="s">
        <v>59</v>
      </c>
      <c r="AC712" t="s">
        <v>59</v>
      </c>
      <c r="AD712" t="s">
        <v>59</v>
      </c>
      <c r="AF712" s="1">
        <v>37504</v>
      </c>
      <c r="AG712" t="s">
        <v>137</v>
      </c>
      <c r="AH712" t="s">
        <v>138</v>
      </c>
      <c r="AI712" t="str">
        <f>"1740210"</f>
        <v>1740210</v>
      </c>
      <c r="AJ712" t="s">
        <v>139</v>
      </c>
      <c r="AK712">
        <v>2810318130</v>
      </c>
      <c r="AL712" t="s">
        <v>140</v>
      </c>
      <c r="AM712" t="s">
        <v>78</v>
      </c>
      <c r="AN712" t="s">
        <v>78</v>
      </c>
      <c r="AO712" t="s">
        <v>78</v>
      </c>
      <c r="AP712" t="s">
        <v>141</v>
      </c>
      <c r="AQ712">
        <v>7</v>
      </c>
      <c r="AR712" t="s">
        <v>123</v>
      </c>
      <c r="AS712" t="s">
        <v>124</v>
      </c>
      <c r="AT712" t="s">
        <v>58</v>
      </c>
      <c r="AU712" t="s">
        <v>68</v>
      </c>
      <c r="AV712" t="s">
        <v>69</v>
      </c>
      <c r="AW712" s="1">
        <v>26765</v>
      </c>
      <c r="AX712">
        <v>2</v>
      </c>
    </row>
    <row r="713" spans="1:50">
      <c r="B713" t="str">
        <f>"145132394"</f>
        <v>145132394</v>
      </c>
      <c r="C713" t="s">
        <v>50</v>
      </c>
      <c r="D713" t="s">
        <v>1895</v>
      </c>
      <c r="E713" t="s">
        <v>52</v>
      </c>
      <c r="F713" t="s">
        <v>95</v>
      </c>
      <c r="G713" t="s">
        <v>1418</v>
      </c>
      <c r="H713" t="str">
        <f>" "</f>
        <v xml:space="preserve"> </v>
      </c>
      <c r="N713" t="s">
        <v>536</v>
      </c>
      <c r="O713" t="s">
        <v>537</v>
      </c>
      <c r="R713" t="s">
        <v>121</v>
      </c>
      <c r="S713">
        <v>3</v>
      </c>
      <c r="T713" t="s">
        <v>344</v>
      </c>
      <c r="U713" s="1">
        <v>43348</v>
      </c>
      <c r="V713" t="s">
        <v>123</v>
      </c>
      <c r="W713" t="s">
        <v>124</v>
      </c>
      <c r="X713" t="s">
        <v>58</v>
      </c>
      <c r="Y713">
        <v>23</v>
      </c>
      <c r="Z713" t="s">
        <v>59</v>
      </c>
      <c r="AA713" t="s">
        <v>59</v>
      </c>
      <c r="AB713" t="s">
        <v>59</v>
      </c>
      <c r="AD713" t="s">
        <v>59</v>
      </c>
      <c r="AF713" s="1">
        <v>43348</v>
      </c>
      <c r="AG713" t="s">
        <v>125</v>
      </c>
      <c r="AH713" t="s">
        <v>126</v>
      </c>
      <c r="AI713" t="str">
        <f>"1715010"</f>
        <v>1715010</v>
      </c>
      <c r="AJ713" t="s">
        <v>812</v>
      </c>
      <c r="AK713">
        <v>2893031193</v>
      </c>
      <c r="AL713" t="s">
        <v>813</v>
      </c>
      <c r="AM713" t="s">
        <v>78</v>
      </c>
      <c r="AN713" t="s">
        <v>405</v>
      </c>
      <c r="AO713" t="s">
        <v>805</v>
      </c>
      <c r="AP713" t="s">
        <v>806</v>
      </c>
      <c r="AQ713">
        <v>25</v>
      </c>
      <c r="AR713" t="s">
        <v>123</v>
      </c>
      <c r="AS713" t="s">
        <v>124</v>
      </c>
      <c r="AT713" t="s">
        <v>58</v>
      </c>
      <c r="AU713" t="s">
        <v>350</v>
      </c>
      <c r="AV713" t="s">
        <v>132</v>
      </c>
      <c r="AW713" s="1">
        <v>31826</v>
      </c>
      <c r="AX713">
        <v>2</v>
      </c>
    </row>
    <row r="714" spans="1:50">
      <c r="A714">
        <v>193003</v>
      </c>
      <c r="B714" t="str">
        <f>"052315671"</f>
        <v>052315671</v>
      </c>
      <c r="C714" t="s">
        <v>50</v>
      </c>
      <c r="D714" t="s">
        <v>1895</v>
      </c>
      <c r="E714" t="s">
        <v>1896</v>
      </c>
      <c r="F714" t="s">
        <v>1897</v>
      </c>
      <c r="G714" t="s">
        <v>1898</v>
      </c>
      <c r="H714" t="str">
        <f>"ΦΟΔΕΛΕ 14 ΑΜΜΟΥΔΑΡΑ"</f>
        <v>ΦΟΔΕΛΕ 14 ΑΜΜΟΥΔΑΡΑ</v>
      </c>
      <c r="I714">
        <v>71414</v>
      </c>
      <c r="J714">
        <v>2810822519</v>
      </c>
      <c r="K714">
        <v>6973447895</v>
      </c>
      <c r="M714" t="s">
        <v>1899</v>
      </c>
      <c r="N714" t="s">
        <v>146</v>
      </c>
      <c r="O714" t="s">
        <v>147</v>
      </c>
      <c r="R714" t="s">
        <v>57</v>
      </c>
      <c r="S714">
        <v>11</v>
      </c>
      <c r="T714">
        <v>193</v>
      </c>
      <c r="U714" s="1">
        <v>37497</v>
      </c>
      <c r="V714" t="s">
        <v>123</v>
      </c>
      <c r="W714" t="s">
        <v>124</v>
      </c>
      <c r="X714" t="s">
        <v>58</v>
      </c>
      <c r="Y714">
        <v>18</v>
      </c>
      <c r="Z714" t="s">
        <v>59</v>
      </c>
      <c r="AA714" t="s">
        <v>59</v>
      </c>
      <c r="AB714" t="s">
        <v>59</v>
      </c>
      <c r="AC714" t="s">
        <v>59</v>
      </c>
      <c r="AD714" t="s">
        <v>59</v>
      </c>
      <c r="AF714" s="1">
        <v>37501</v>
      </c>
      <c r="AG714" t="s">
        <v>125</v>
      </c>
      <c r="AH714" t="s">
        <v>126</v>
      </c>
      <c r="AI714" t="str">
        <f>"1701052"</f>
        <v>1701052</v>
      </c>
      <c r="AJ714" t="s">
        <v>223</v>
      </c>
      <c r="AK714">
        <v>2810252514</v>
      </c>
      <c r="AL714" t="s">
        <v>224</v>
      </c>
      <c r="AM714" t="s">
        <v>78</v>
      </c>
      <c r="AN714" t="s">
        <v>78</v>
      </c>
      <c r="AO714" t="s">
        <v>78</v>
      </c>
      <c r="AP714" t="s">
        <v>141</v>
      </c>
      <c r="AQ714">
        <v>7</v>
      </c>
      <c r="AR714" t="s">
        <v>123</v>
      </c>
      <c r="AS714" t="s">
        <v>124</v>
      </c>
      <c r="AT714" t="s">
        <v>58</v>
      </c>
      <c r="AU714" t="s">
        <v>68</v>
      </c>
      <c r="AV714" t="s">
        <v>69</v>
      </c>
      <c r="AW714" s="1">
        <v>24612</v>
      </c>
      <c r="AX714">
        <v>2</v>
      </c>
    </row>
    <row r="715" spans="1:50">
      <c r="B715" t="str">
        <f>"146152053"</f>
        <v>146152053</v>
      </c>
      <c r="C715" t="s">
        <v>50</v>
      </c>
      <c r="D715" t="s">
        <v>1900</v>
      </c>
      <c r="E715" t="s">
        <v>1901</v>
      </c>
      <c r="F715" t="s">
        <v>670</v>
      </c>
      <c r="G715" t="s">
        <v>1902</v>
      </c>
      <c r="H715" t="str">
        <f>" "</f>
        <v xml:space="preserve"> </v>
      </c>
      <c r="N715" t="s">
        <v>536</v>
      </c>
      <c r="O715" t="s">
        <v>537</v>
      </c>
      <c r="R715" t="s">
        <v>121</v>
      </c>
      <c r="S715">
        <v>3</v>
      </c>
      <c r="T715" t="s">
        <v>122</v>
      </c>
      <c r="U715" s="1">
        <v>43348</v>
      </c>
      <c r="V715" t="s">
        <v>123</v>
      </c>
      <c r="W715" t="s">
        <v>124</v>
      </c>
      <c r="X715" t="s">
        <v>58</v>
      </c>
      <c r="Y715">
        <v>23</v>
      </c>
      <c r="Z715" t="s">
        <v>59</v>
      </c>
      <c r="AA715" t="s">
        <v>59</v>
      </c>
      <c r="AB715" t="s">
        <v>59</v>
      </c>
      <c r="AD715" t="s">
        <v>59</v>
      </c>
      <c r="AF715" s="1">
        <v>43348</v>
      </c>
      <c r="AG715" t="s">
        <v>125</v>
      </c>
      <c r="AH715" t="s">
        <v>126</v>
      </c>
      <c r="AI715" t="str">
        <f>"1701041"</f>
        <v>1701041</v>
      </c>
      <c r="AJ715" t="s">
        <v>161</v>
      </c>
      <c r="AK715">
        <v>2810327052</v>
      </c>
      <c r="AL715" t="s">
        <v>162</v>
      </c>
      <c r="AM715" t="s">
        <v>78</v>
      </c>
      <c r="AN715" t="s">
        <v>78</v>
      </c>
      <c r="AO715" t="s">
        <v>78</v>
      </c>
      <c r="AP715" t="s">
        <v>163</v>
      </c>
      <c r="AQ715">
        <v>5</v>
      </c>
      <c r="AR715" t="s">
        <v>123</v>
      </c>
      <c r="AS715" t="s">
        <v>124</v>
      </c>
      <c r="AT715" t="s">
        <v>58</v>
      </c>
      <c r="AU715" t="s">
        <v>131</v>
      </c>
      <c r="AV715" t="s">
        <v>132</v>
      </c>
      <c r="AW715" s="1">
        <v>32185</v>
      </c>
      <c r="AX715">
        <v>2</v>
      </c>
    </row>
    <row r="716" spans="1:50">
      <c r="A716">
        <v>703500</v>
      </c>
      <c r="B716" t="str">
        <f>"062424268"</f>
        <v>062424268</v>
      </c>
      <c r="C716" t="s">
        <v>50</v>
      </c>
      <c r="D716" t="s">
        <v>1903</v>
      </c>
      <c r="E716" t="s">
        <v>250</v>
      </c>
      <c r="F716" t="s">
        <v>95</v>
      </c>
      <c r="G716" t="s">
        <v>52</v>
      </c>
      <c r="H716" t="str">
        <f>"ΕΘΝ ΑΝΤΙΣΤΑΣΕΩΣ 156 ΗΡΑΚΛΕΙΟ ΚΡΗΤΗΣ"</f>
        <v>ΕΘΝ ΑΝΤΙΣΤΑΣΕΩΣ 156 ΗΡΑΚΛΕΙΟ ΚΡΗΤΗΣ</v>
      </c>
      <c r="I716">
        <v>71306</v>
      </c>
      <c r="J716">
        <v>2810244214</v>
      </c>
      <c r="K716">
        <v>6987085191</v>
      </c>
      <c r="M716" t="s">
        <v>1904</v>
      </c>
      <c r="N716" t="s">
        <v>146</v>
      </c>
      <c r="O716" t="s">
        <v>147</v>
      </c>
      <c r="R716" t="s">
        <v>57</v>
      </c>
      <c r="S716">
        <v>4</v>
      </c>
      <c r="T716">
        <v>925</v>
      </c>
      <c r="U716" s="1">
        <v>41158</v>
      </c>
      <c r="V716" t="s">
        <v>123</v>
      </c>
      <c r="W716" t="s">
        <v>124</v>
      </c>
      <c r="X716" t="s">
        <v>58</v>
      </c>
      <c r="Y716">
        <v>21</v>
      </c>
      <c r="Z716" t="s">
        <v>59</v>
      </c>
      <c r="AA716" t="s">
        <v>59</v>
      </c>
      <c r="AB716" t="s">
        <v>59</v>
      </c>
      <c r="AC716" t="s">
        <v>59</v>
      </c>
      <c r="AD716" t="s">
        <v>59</v>
      </c>
      <c r="AF716" s="1">
        <v>41159</v>
      </c>
      <c r="AG716" t="s">
        <v>125</v>
      </c>
      <c r="AH716" t="s">
        <v>126</v>
      </c>
      <c r="AI716" t="str">
        <f>"1718010"</f>
        <v>1718010</v>
      </c>
      <c r="AJ716" t="s">
        <v>1090</v>
      </c>
      <c r="AK716">
        <v>2897031471</v>
      </c>
      <c r="AL716" t="s">
        <v>1091</v>
      </c>
      <c r="AM716" t="s">
        <v>78</v>
      </c>
      <c r="AN716" t="s">
        <v>219</v>
      </c>
      <c r="AO716" t="s">
        <v>527</v>
      </c>
      <c r="AP716" t="s">
        <v>527</v>
      </c>
      <c r="AQ716">
        <v>20</v>
      </c>
      <c r="AR716" t="s">
        <v>123</v>
      </c>
      <c r="AS716" t="s">
        <v>124</v>
      </c>
      <c r="AT716" t="s">
        <v>58</v>
      </c>
      <c r="AU716" t="s">
        <v>68</v>
      </c>
      <c r="AV716" t="s">
        <v>69</v>
      </c>
      <c r="AW716" s="1">
        <v>26123</v>
      </c>
      <c r="AX716">
        <v>2</v>
      </c>
    </row>
    <row r="717" spans="1:50">
      <c r="A717">
        <v>213157</v>
      </c>
      <c r="B717" t="str">
        <f>"033559856"</f>
        <v>033559856</v>
      </c>
      <c r="C717" t="s">
        <v>105</v>
      </c>
      <c r="D717" t="s">
        <v>1905</v>
      </c>
      <c r="E717" t="s">
        <v>95</v>
      </c>
      <c r="F717" t="s">
        <v>99</v>
      </c>
      <c r="G717" t="s">
        <v>52</v>
      </c>
      <c r="H717" t="str">
        <f>"Φιλιππουπόλεως 62 Θέρισος"</f>
        <v>Φιλιππουπόλεως 62 Θέρισος</v>
      </c>
      <c r="I717">
        <v>71305</v>
      </c>
      <c r="J717">
        <v>2810233667</v>
      </c>
      <c r="K717">
        <v>6974000481</v>
      </c>
      <c r="L717">
        <v>2810252594</v>
      </c>
      <c r="M717" t="s">
        <v>1906</v>
      </c>
      <c r="N717" t="s">
        <v>232</v>
      </c>
      <c r="O717" t="s">
        <v>233</v>
      </c>
      <c r="R717" t="s">
        <v>57</v>
      </c>
      <c r="S717">
        <v>7</v>
      </c>
      <c r="T717">
        <v>231</v>
      </c>
      <c r="U717" s="1">
        <v>38960</v>
      </c>
      <c r="V717" t="s">
        <v>123</v>
      </c>
      <c r="W717" t="s">
        <v>124</v>
      </c>
      <c r="X717" t="s">
        <v>58</v>
      </c>
      <c r="Y717">
        <v>20</v>
      </c>
      <c r="Z717" t="s">
        <v>59</v>
      </c>
      <c r="AA717" t="s">
        <v>59</v>
      </c>
      <c r="AB717" t="s">
        <v>59</v>
      </c>
      <c r="AC717" t="s">
        <v>59</v>
      </c>
      <c r="AD717" t="s">
        <v>59</v>
      </c>
      <c r="AF717" s="1">
        <v>38961</v>
      </c>
      <c r="AG717" t="s">
        <v>148</v>
      </c>
      <c r="AH717" t="s">
        <v>149</v>
      </c>
      <c r="AI717" t="str">
        <f>"1764010"</f>
        <v>1764010</v>
      </c>
      <c r="AJ717" t="s">
        <v>1058</v>
      </c>
      <c r="AK717">
        <v>2810762862</v>
      </c>
      <c r="AL717" t="s">
        <v>1059</v>
      </c>
      <c r="AM717" t="s">
        <v>78</v>
      </c>
      <c r="AN717" t="s">
        <v>219</v>
      </c>
      <c r="AO717" t="s">
        <v>297</v>
      </c>
      <c r="AP717" t="s">
        <v>297</v>
      </c>
      <c r="AQ717">
        <v>37</v>
      </c>
      <c r="AR717" t="s">
        <v>123</v>
      </c>
      <c r="AS717" t="s">
        <v>124</v>
      </c>
      <c r="AT717" t="s">
        <v>58</v>
      </c>
      <c r="AU717" t="s">
        <v>68</v>
      </c>
      <c r="AV717" t="s">
        <v>69</v>
      </c>
      <c r="AW717" s="1">
        <v>25298</v>
      </c>
      <c r="AX717">
        <v>2</v>
      </c>
    </row>
    <row r="718" spans="1:50">
      <c r="B718" t="str">
        <f>"046173790"</f>
        <v>046173790</v>
      </c>
      <c r="C718" t="s">
        <v>105</v>
      </c>
      <c r="D718" t="s">
        <v>1905</v>
      </c>
      <c r="E718" t="s">
        <v>53</v>
      </c>
      <c r="F718" t="s">
        <v>84</v>
      </c>
      <c r="G718" t="s">
        <v>83</v>
      </c>
      <c r="H718" t="str">
        <f>"ΕΘΝΙΚΗΣ ΑΝΤΙΣΤΑΣΕΩ 92 ΗΡΑΚΛΕΙΟ"</f>
        <v>ΕΘΝΙΚΗΣ ΑΝΤΙΣΤΑΣΕΩ 92 ΗΡΑΚΛΕΙΟ</v>
      </c>
      <c r="I718">
        <v>71306</v>
      </c>
      <c r="J718">
        <v>2810228427</v>
      </c>
      <c r="K718">
        <v>6944196885</v>
      </c>
      <c r="M718" t="s">
        <v>1907</v>
      </c>
      <c r="N718" t="s">
        <v>337</v>
      </c>
      <c r="O718" t="s">
        <v>338</v>
      </c>
      <c r="R718" t="s">
        <v>159</v>
      </c>
      <c r="S718">
        <v>3</v>
      </c>
      <c r="T718" t="s">
        <v>1908</v>
      </c>
      <c r="U718" s="1">
        <v>43368</v>
      </c>
      <c r="V718" t="s">
        <v>123</v>
      </c>
      <c r="W718" t="s">
        <v>124</v>
      </c>
      <c r="X718" t="s">
        <v>58</v>
      </c>
      <c r="Y718">
        <v>21</v>
      </c>
      <c r="Z718" t="s">
        <v>59</v>
      </c>
      <c r="AA718" t="s">
        <v>59</v>
      </c>
      <c r="AB718" t="s">
        <v>59</v>
      </c>
      <c r="AC718" t="s">
        <v>59</v>
      </c>
      <c r="AD718" t="s">
        <v>59</v>
      </c>
      <c r="AF718" s="1">
        <v>43368</v>
      </c>
      <c r="AG718" t="s">
        <v>125</v>
      </c>
      <c r="AH718" t="s">
        <v>294</v>
      </c>
      <c r="AI718" t="str">
        <f>"1701015"</f>
        <v>1701015</v>
      </c>
      <c r="AJ718" t="s">
        <v>295</v>
      </c>
      <c r="AK718">
        <v>2810761696</v>
      </c>
      <c r="AL718" t="s">
        <v>296</v>
      </c>
      <c r="AM718" t="s">
        <v>78</v>
      </c>
      <c r="AN718" t="s">
        <v>219</v>
      </c>
      <c r="AO718" t="s">
        <v>297</v>
      </c>
      <c r="AP718" t="s">
        <v>297</v>
      </c>
      <c r="AQ718">
        <v>10</v>
      </c>
      <c r="AR718" t="s">
        <v>123</v>
      </c>
      <c r="AS718" t="s">
        <v>124</v>
      </c>
      <c r="AT718" t="s">
        <v>58</v>
      </c>
      <c r="AU718" t="s">
        <v>164</v>
      </c>
      <c r="AV718" t="s">
        <v>132</v>
      </c>
      <c r="AW718" s="1">
        <v>27052</v>
      </c>
      <c r="AX718">
        <v>2</v>
      </c>
    </row>
    <row r="719" spans="1:50">
      <c r="A719">
        <v>226518</v>
      </c>
      <c r="B719" t="str">
        <f>"114259925"</f>
        <v>114259925</v>
      </c>
      <c r="C719" t="s">
        <v>105</v>
      </c>
      <c r="D719" t="s">
        <v>1909</v>
      </c>
      <c r="E719" t="s">
        <v>510</v>
      </c>
      <c r="F719" t="s">
        <v>1316</v>
      </c>
      <c r="G719" t="s">
        <v>215</v>
      </c>
      <c r="H719" t="str">
        <f>"ΑΓ. ΘΩΜΑΣ ΗΡΑΚΛΕΙΟ"</f>
        <v>ΑΓ. ΘΩΜΑΣ ΗΡΑΚΛΕΙΟ</v>
      </c>
      <c r="I719">
        <v>70003</v>
      </c>
      <c r="J719">
        <v>2894023621</v>
      </c>
      <c r="K719">
        <v>6972514813</v>
      </c>
      <c r="M719" t="s">
        <v>1910</v>
      </c>
      <c r="N719" t="s">
        <v>146</v>
      </c>
      <c r="O719" t="s">
        <v>147</v>
      </c>
      <c r="R719" t="s">
        <v>57</v>
      </c>
      <c r="S719">
        <v>4</v>
      </c>
      <c r="T719">
        <v>654</v>
      </c>
      <c r="U719" s="1">
        <v>40043</v>
      </c>
      <c r="V719" t="s">
        <v>123</v>
      </c>
      <c r="W719" t="s">
        <v>124</v>
      </c>
      <c r="X719" t="s">
        <v>58</v>
      </c>
      <c r="Y719">
        <v>21</v>
      </c>
      <c r="Z719" t="s">
        <v>59</v>
      </c>
      <c r="AA719" t="s">
        <v>59</v>
      </c>
      <c r="AB719" t="s">
        <v>59</v>
      </c>
      <c r="AC719" t="s">
        <v>59</v>
      </c>
      <c r="AD719" t="s">
        <v>59</v>
      </c>
      <c r="AF719" s="1">
        <v>40057</v>
      </c>
      <c r="AG719" t="s">
        <v>125</v>
      </c>
      <c r="AH719" t="s">
        <v>126</v>
      </c>
      <c r="AI719" t="str">
        <f>"1715010"</f>
        <v>1715010</v>
      </c>
      <c r="AJ719" t="s">
        <v>812</v>
      </c>
      <c r="AK719">
        <v>2893031193</v>
      </c>
      <c r="AL719" t="s">
        <v>813</v>
      </c>
      <c r="AM719" t="s">
        <v>78</v>
      </c>
      <c r="AN719" t="s">
        <v>405</v>
      </c>
      <c r="AO719" t="s">
        <v>805</v>
      </c>
      <c r="AP719" t="s">
        <v>806</v>
      </c>
      <c r="AQ719">
        <v>25</v>
      </c>
      <c r="AR719" t="s">
        <v>123</v>
      </c>
      <c r="AS719" t="s">
        <v>124</v>
      </c>
      <c r="AT719" t="s">
        <v>58</v>
      </c>
      <c r="AU719" t="s">
        <v>68</v>
      </c>
      <c r="AV719" t="s">
        <v>69</v>
      </c>
      <c r="AW719" s="1">
        <v>27186</v>
      </c>
      <c r="AX719">
        <v>2</v>
      </c>
    </row>
    <row r="720" spans="1:50">
      <c r="B720" t="str">
        <f>"073814922"</f>
        <v>073814922</v>
      </c>
      <c r="C720" t="s">
        <v>50</v>
      </c>
      <c r="D720" t="s">
        <v>1911</v>
      </c>
      <c r="E720" t="s">
        <v>620</v>
      </c>
      <c r="F720" t="s">
        <v>95</v>
      </c>
      <c r="G720" t="s">
        <v>1912</v>
      </c>
      <c r="H720" t="str">
        <f>"Σ. ΠΕΤΡΟΥΛΙΑ 7Α ΡΕΘΥΜΝΟ"</f>
        <v>Σ. ΠΕΤΡΟΥΛΙΑ 7Α ΡΕΘΥΜΝΟ</v>
      </c>
      <c r="I720">
        <v>74100</v>
      </c>
      <c r="J720">
        <v>2831029986</v>
      </c>
      <c r="K720">
        <v>6972278435</v>
      </c>
      <c r="N720" t="s">
        <v>292</v>
      </c>
      <c r="O720" t="s">
        <v>293</v>
      </c>
      <c r="R720" t="s">
        <v>159</v>
      </c>
      <c r="S720">
        <v>3</v>
      </c>
      <c r="T720" t="s">
        <v>160</v>
      </c>
      <c r="U720" s="1">
        <v>43364</v>
      </c>
      <c r="V720" t="s">
        <v>123</v>
      </c>
      <c r="W720" t="s">
        <v>124</v>
      </c>
      <c r="X720" t="s">
        <v>58</v>
      </c>
      <c r="Y720">
        <v>23</v>
      </c>
      <c r="Z720" t="s">
        <v>59</v>
      </c>
      <c r="AA720" t="s">
        <v>59</v>
      </c>
      <c r="AB720" t="s">
        <v>59</v>
      </c>
      <c r="AC720" t="s">
        <v>59</v>
      </c>
      <c r="AD720" t="s">
        <v>59</v>
      </c>
      <c r="AF720" s="1">
        <v>43367</v>
      </c>
      <c r="AG720" t="s">
        <v>148</v>
      </c>
      <c r="AH720" t="s">
        <v>149</v>
      </c>
      <c r="AI720" t="str">
        <f>"1763010"</f>
        <v>1763010</v>
      </c>
      <c r="AJ720" t="s">
        <v>560</v>
      </c>
      <c r="AK720">
        <v>2892051146</v>
      </c>
      <c r="AL720" t="s">
        <v>561</v>
      </c>
      <c r="AM720" t="s">
        <v>78</v>
      </c>
      <c r="AN720" t="s">
        <v>242</v>
      </c>
      <c r="AO720" t="s">
        <v>349</v>
      </c>
      <c r="AP720" t="s">
        <v>349</v>
      </c>
      <c r="AQ720">
        <v>35</v>
      </c>
      <c r="AR720" t="s">
        <v>123</v>
      </c>
      <c r="AS720" t="s">
        <v>124</v>
      </c>
      <c r="AT720" t="s">
        <v>58</v>
      </c>
      <c r="AU720" t="s">
        <v>164</v>
      </c>
      <c r="AV720" t="s">
        <v>132</v>
      </c>
      <c r="AW720" s="1">
        <v>27352</v>
      </c>
      <c r="AX720">
        <v>2</v>
      </c>
    </row>
    <row r="721" spans="1:50">
      <c r="A721">
        <v>188576</v>
      </c>
      <c r="B721" t="str">
        <f>"056111689"</f>
        <v>056111689</v>
      </c>
      <c r="C721" t="s">
        <v>105</v>
      </c>
      <c r="D721" t="s">
        <v>1913</v>
      </c>
      <c r="E721" t="s">
        <v>108</v>
      </c>
      <c r="F721" t="s">
        <v>670</v>
      </c>
      <c r="G721" t="s">
        <v>143</v>
      </c>
      <c r="H721" t="str">
        <f>"ΔΙΓΕΝΗ 19 ΗΡΑΚΛΕΙΟ"</f>
        <v>ΔΙΓΕΝΗ 19 ΗΡΑΚΛΕΙΟ</v>
      </c>
      <c r="I721">
        <v>71306</v>
      </c>
      <c r="J721">
        <v>2810233277</v>
      </c>
      <c r="K721">
        <v>6985033667</v>
      </c>
      <c r="M721" t="s">
        <v>1914</v>
      </c>
      <c r="N721" t="s">
        <v>232</v>
      </c>
      <c r="O721" t="s">
        <v>233</v>
      </c>
      <c r="R721" t="s">
        <v>57</v>
      </c>
      <c r="S721">
        <v>15</v>
      </c>
      <c r="T721">
        <v>310</v>
      </c>
      <c r="U721" s="1">
        <v>36833</v>
      </c>
      <c r="V721" t="s">
        <v>123</v>
      </c>
      <c r="W721" t="s">
        <v>124</v>
      </c>
      <c r="X721" t="s">
        <v>58</v>
      </c>
      <c r="Y721">
        <v>20</v>
      </c>
      <c r="Z721" t="s">
        <v>59</v>
      </c>
      <c r="AA721" t="s">
        <v>59</v>
      </c>
      <c r="AB721" t="s">
        <v>59</v>
      </c>
      <c r="AC721" t="s">
        <v>59</v>
      </c>
      <c r="AD721" t="s">
        <v>59</v>
      </c>
      <c r="AF721" s="1">
        <v>36838</v>
      </c>
      <c r="AG721" t="s">
        <v>148</v>
      </c>
      <c r="AH721" t="s">
        <v>149</v>
      </c>
      <c r="AI721" t="str">
        <f>"1751040"</f>
        <v>1751040</v>
      </c>
      <c r="AJ721" t="s">
        <v>178</v>
      </c>
      <c r="AK721">
        <v>2810252495</v>
      </c>
      <c r="AL721" t="s">
        <v>179</v>
      </c>
      <c r="AM721" t="s">
        <v>78</v>
      </c>
      <c r="AN721" t="s">
        <v>78</v>
      </c>
      <c r="AO721" t="s">
        <v>78</v>
      </c>
      <c r="AP721" t="s">
        <v>141</v>
      </c>
      <c r="AQ721">
        <v>3</v>
      </c>
      <c r="AR721" t="s">
        <v>123</v>
      </c>
      <c r="AS721" t="s">
        <v>124</v>
      </c>
      <c r="AT721" t="s">
        <v>58</v>
      </c>
      <c r="AU721" t="s">
        <v>68</v>
      </c>
      <c r="AV721" t="s">
        <v>69</v>
      </c>
      <c r="AW721" s="1">
        <v>25042</v>
      </c>
      <c r="AX721">
        <v>2</v>
      </c>
    </row>
    <row r="722" spans="1:50">
      <c r="A722">
        <v>207252</v>
      </c>
      <c r="B722" t="str">
        <f>"119650792"</f>
        <v>119650792</v>
      </c>
      <c r="C722" t="s">
        <v>50</v>
      </c>
      <c r="D722" t="s">
        <v>1915</v>
      </c>
      <c r="E722" t="s">
        <v>714</v>
      </c>
      <c r="F722" t="s">
        <v>95</v>
      </c>
      <c r="G722" t="s">
        <v>52</v>
      </c>
      <c r="H722" t="str">
        <f>"Π. ΜΑΥΡΟΜΙΧΑΛΗ 5 ΗΡΑΚΛΕΙΟ"</f>
        <v>Π. ΜΑΥΡΟΜΙΧΑΛΗ 5 ΗΡΑΚΛΕΙΟ</v>
      </c>
      <c r="I722">
        <v>71305</v>
      </c>
      <c r="J722">
        <v>2810312716</v>
      </c>
      <c r="K722">
        <v>6972011602</v>
      </c>
      <c r="M722" t="s">
        <v>1916</v>
      </c>
      <c r="N722" t="s">
        <v>232</v>
      </c>
      <c r="O722" t="s">
        <v>233</v>
      </c>
      <c r="R722" t="s">
        <v>57</v>
      </c>
      <c r="S722">
        <v>6</v>
      </c>
      <c r="T722">
        <v>218</v>
      </c>
      <c r="U722" s="1">
        <v>38596</v>
      </c>
      <c r="V722" t="s">
        <v>123</v>
      </c>
      <c r="W722" t="s">
        <v>124</v>
      </c>
      <c r="X722" t="s">
        <v>58</v>
      </c>
      <c r="Y722">
        <v>20</v>
      </c>
      <c r="Z722" t="s">
        <v>59</v>
      </c>
      <c r="AA722" t="s">
        <v>59</v>
      </c>
      <c r="AB722" t="s">
        <v>59</v>
      </c>
      <c r="AC722" t="s">
        <v>59</v>
      </c>
      <c r="AD722" t="s">
        <v>59</v>
      </c>
      <c r="AF722" s="1">
        <v>38600</v>
      </c>
      <c r="AG722" t="s">
        <v>125</v>
      </c>
      <c r="AH722" t="s">
        <v>126</v>
      </c>
      <c r="AI722" t="str">
        <f>"1701020"</f>
        <v>1701020</v>
      </c>
      <c r="AJ722" t="s">
        <v>323</v>
      </c>
      <c r="AK722">
        <v>2810252111</v>
      </c>
      <c r="AL722" t="s">
        <v>324</v>
      </c>
      <c r="AM722" t="s">
        <v>78</v>
      </c>
      <c r="AN722" t="s">
        <v>78</v>
      </c>
      <c r="AO722" t="s">
        <v>78</v>
      </c>
      <c r="AP722" t="s">
        <v>163</v>
      </c>
      <c r="AQ722">
        <v>3</v>
      </c>
      <c r="AR722" t="s">
        <v>123</v>
      </c>
      <c r="AS722" t="s">
        <v>124</v>
      </c>
      <c r="AT722" t="s">
        <v>58</v>
      </c>
      <c r="AU722" t="s">
        <v>68</v>
      </c>
      <c r="AV722" t="s">
        <v>69</v>
      </c>
      <c r="AW722" s="1">
        <v>25685</v>
      </c>
      <c r="AX722">
        <v>2</v>
      </c>
    </row>
    <row r="723" spans="1:50">
      <c r="A723">
        <v>207589</v>
      </c>
      <c r="B723" t="str">
        <f>"064567202"</f>
        <v>064567202</v>
      </c>
      <c r="C723" t="s">
        <v>50</v>
      </c>
      <c r="D723" t="s">
        <v>1917</v>
      </c>
      <c r="E723" t="s">
        <v>237</v>
      </c>
      <c r="F723" t="s">
        <v>95</v>
      </c>
      <c r="G723" t="s">
        <v>181</v>
      </c>
      <c r="H723" t="str">
        <f>"ΑΤΛΑΝΤΙΔΟΣ 11 ΜΑΣΤΑΜΠΑΣ"</f>
        <v>ΑΤΛΑΝΤΙΔΟΣ 11 ΜΑΣΤΑΜΠΑΣ</v>
      </c>
      <c r="I723">
        <v>71304</v>
      </c>
      <c r="J723">
        <v>2810528919</v>
      </c>
      <c r="K723">
        <v>6932369434</v>
      </c>
      <c r="L723">
        <v>2892041419</v>
      </c>
      <c r="M723" t="s">
        <v>1918</v>
      </c>
      <c r="N723" t="s">
        <v>306</v>
      </c>
      <c r="O723" t="s">
        <v>307</v>
      </c>
      <c r="R723" t="s">
        <v>57</v>
      </c>
      <c r="S723">
        <v>8</v>
      </c>
      <c r="T723">
        <v>218</v>
      </c>
      <c r="U723" s="1">
        <v>38596</v>
      </c>
      <c r="V723" t="s">
        <v>123</v>
      </c>
      <c r="W723" t="s">
        <v>124</v>
      </c>
      <c r="X723" t="s">
        <v>58</v>
      </c>
      <c r="Y723">
        <v>20</v>
      </c>
      <c r="Z723" t="s">
        <v>59</v>
      </c>
      <c r="AA723" t="s">
        <v>59</v>
      </c>
      <c r="AB723" t="s">
        <v>59</v>
      </c>
      <c r="AC723" t="s">
        <v>59</v>
      </c>
      <c r="AD723" t="s">
        <v>59</v>
      </c>
      <c r="AF723" s="1">
        <v>38600</v>
      </c>
      <c r="AG723" t="s">
        <v>148</v>
      </c>
      <c r="AH723" t="s">
        <v>149</v>
      </c>
      <c r="AI723" t="str">
        <f>"1751040"</f>
        <v>1751040</v>
      </c>
      <c r="AJ723" t="s">
        <v>178</v>
      </c>
      <c r="AK723">
        <v>2810252495</v>
      </c>
      <c r="AL723" t="s">
        <v>179</v>
      </c>
      <c r="AM723" t="s">
        <v>78</v>
      </c>
      <c r="AN723" t="s">
        <v>78</v>
      </c>
      <c r="AO723" t="s">
        <v>78</v>
      </c>
      <c r="AP723" t="s">
        <v>141</v>
      </c>
      <c r="AQ723">
        <v>3</v>
      </c>
      <c r="AR723" t="s">
        <v>123</v>
      </c>
      <c r="AS723" t="s">
        <v>124</v>
      </c>
      <c r="AT723" t="s">
        <v>58</v>
      </c>
      <c r="AU723" t="s">
        <v>68</v>
      </c>
      <c r="AV723" t="s">
        <v>357</v>
      </c>
      <c r="AW723" s="1">
        <v>28001</v>
      </c>
      <c r="AX723">
        <v>2</v>
      </c>
    </row>
    <row r="724" spans="1:50">
      <c r="A724">
        <v>209516</v>
      </c>
      <c r="B724" t="str">
        <f>"078401262"</f>
        <v>078401262</v>
      </c>
      <c r="C724" t="s">
        <v>50</v>
      </c>
      <c r="D724" t="s">
        <v>1919</v>
      </c>
      <c r="E724" t="s">
        <v>610</v>
      </c>
      <c r="F724" t="s">
        <v>72</v>
      </c>
      <c r="G724" t="s">
        <v>52</v>
      </c>
      <c r="H724" t="str">
        <f>" ΠΑΠΑΝΑΣΤΑΣΙΟΥ 140 "</f>
        <v xml:space="preserve"> ΠΑΠΑΝΑΣΤΑΣΙΟΥ 140 </v>
      </c>
      <c r="I724">
        <v>71409</v>
      </c>
      <c r="J724">
        <v>2810318628</v>
      </c>
      <c r="K724">
        <v>6974075615</v>
      </c>
      <c r="L724">
        <v>2810318628</v>
      </c>
      <c r="M724" t="s">
        <v>1920</v>
      </c>
      <c r="N724" t="s">
        <v>146</v>
      </c>
      <c r="O724" t="s">
        <v>147</v>
      </c>
      <c r="R724" t="s">
        <v>57</v>
      </c>
      <c r="S724">
        <v>6</v>
      </c>
      <c r="T724">
        <v>225</v>
      </c>
      <c r="U724" s="1">
        <v>38604</v>
      </c>
      <c r="V724" t="s">
        <v>123</v>
      </c>
      <c r="W724" t="s">
        <v>124</v>
      </c>
      <c r="X724" t="s">
        <v>58</v>
      </c>
      <c r="Y724">
        <v>20</v>
      </c>
      <c r="Z724" t="s">
        <v>59</v>
      </c>
      <c r="AA724" t="s">
        <v>59</v>
      </c>
      <c r="AB724" t="s">
        <v>59</v>
      </c>
      <c r="AC724" t="s">
        <v>59</v>
      </c>
      <c r="AD724" t="s">
        <v>59</v>
      </c>
      <c r="AF724" s="1">
        <v>38608</v>
      </c>
      <c r="AG724" t="s">
        <v>125</v>
      </c>
      <c r="AH724" t="s">
        <v>126</v>
      </c>
      <c r="AI724" t="str">
        <f>"1701041"</f>
        <v>1701041</v>
      </c>
      <c r="AJ724" t="s">
        <v>161</v>
      </c>
      <c r="AK724">
        <v>2810327052</v>
      </c>
      <c r="AL724" t="s">
        <v>162</v>
      </c>
      <c r="AM724" t="s">
        <v>78</v>
      </c>
      <c r="AN724" t="s">
        <v>78</v>
      </c>
      <c r="AO724" t="s">
        <v>78</v>
      </c>
      <c r="AP724" t="s">
        <v>163</v>
      </c>
      <c r="AQ724">
        <v>5</v>
      </c>
      <c r="AR724" t="s">
        <v>123</v>
      </c>
      <c r="AS724" t="s">
        <v>124</v>
      </c>
      <c r="AT724" t="s">
        <v>58</v>
      </c>
      <c r="AU724" t="s">
        <v>68</v>
      </c>
      <c r="AV724" t="s">
        <v>357</v>
      </c>
      <c r="AW724" s="1">
        <v>25911</v>
      </c>
      <c r="AX724">
        <v>2</v>
      </c>
    </row>
    <row r="725" spans="1:50">
      <c r="A725">
        <v>210073</v>
      </c>
      <c r="B725" t="str">
        <f>"074530714"</f>
        <v>074530714</v>
      </c>
      <c r="C725" t="s">
        <v>105</v>
      </c>
      <c r="D725" t="s">
        <v>1921</v>
      </c>
      <c r="E725" t="s">
        <v>920</v>
      </c>
      <c r="F725" t="s">
        <v>72</v>
      </c>
      <c r="G725" t="s">
        <v>52</v>
      </c>
      <c r="H725" t="str">
        <f>"ΤΡΥΦΙΤΣΟΥ 3  ΑΡΧΑΝΕΣ ΗΡΑΚΛΕΙΟ"</f>
        <v>ΤΡΥΦΙΤΣΟΥ 3  ΑΡΧΑΝΕΣ ΗΡΑΚΛΕΙΟ</v>
      </c>
      <c r="I725">
        <v>70100</v>
      </c>
      <c r="J725">
        <v>2810752072</v>
      </c>
      <c r="K725">
        <v>6979594638</v>
      </c>
      <c r="M725" t="s">
        <v>1922</v>
      </c>
      <c r="N725" t="s">
        <v>232</v>
      </c>
      <c r="O725" t="s">
        <v>233</v>
      </c>
      <c r="R725" t="s">
        <v>57</v>
      </c>
      <c r="S725">
        <v>8</v>
      </c>
      <c r="T725">
        <v>228</v>
      </c>
      <c r="U725" s="1">
        <v>38608</v>
      </c>
      <c r="V725" t="s">
        <v>123</v>
      </c>
      <c r="W725" t="s">
        <v>124</v>
      </c>
      <c r="X725" t="s">
        <v>58</v>
      </c>
      <c r="Y725">
        <v>20</v>
      </c>
      <c r="Z725" t="s">
        <v>59</v>
      </c>
      <c r="AA725" t="s">
        <v>59</v>
      </c>
      <c r="AB725" t="s">
        <v>59</v>
      </c>
      <c r="AC725" t="s">
        <v>59</v>
      </c>
      <c r="AD725" t="s">
        <v>59</v>
      </c>
      <c r="AF725" s="1">
        <v>38610</v>
      </c>
      <c r="AG725" t="s">
        <v>125</v>
      </c>
      <c r="AH725" t="s">
        <v>126</v>
      </c>
      <c r="AI725" t="str">
        <f>"1703010"</f>
        <v>1703010</v>
      </c>
      <c r="AJ725" t="s">
        <v>422</v>
      </c>
      <c r="AK725">
        <v>2810751808</v>
      </c>
      <c r="AL725" t="s">
        <v>423</v>
      </c>
      <c r="AM725" t="s">
        <v>78</v>
      </c>
      <c r="AN725" t="s">
        <v>424</v>
      </c>
      <c r="AO725" t="s">
        <v>425</v>
      </c>
      <c r="AP725" t="s">
        <v>425</v>
      </c>
      <c r="AQ725">
        <v>13</v>
      </c>
      <c r="AR725" t="s">
        <v>123</v>
      </c>
      <c r="AS725" t="s">
        <v>124</v>
      </c>
      <c r="AT725" t="s">
        <v>58</v>
      </c>
      <c r="AU725" t="s">
        <v>68</v>
      </c>
      <c r="AV725" t="s">
        <v>69</v>
      </c>
      <c r="AW725" s="1">
        <v>25592</v>
      </c>
      <c r="AX725">
        <v>2</v>
      </c>
    </row>
    <row r="726" spans="1:50">
      <c r="A726">
        <v>173012</v>
      </c>
      <c r="B726" t="str">
        <f>"059995066"</f>
        <v>059995066</v>
      </c>
      <c r="C726" t="s">
        <v>50</v>
      </c>
      <c r="D726" t="s">
        <v>1923</v>
      </c>
      <c r="E726" t="s">
        <v>52</v>
      </c>
      <c r="F726" t="s">
        <v>53</v>
      </c>
      <c r="G726" t="s">
        <v>905</v>
      </c>
      <c r="H726" t="str">
        <f>"ΜΕΛΕΤΙΟΥ ΠΗΓΑ 25 ΗΡΑΚΛΕΙΟΥ"</f>
        <v>ΜΕΛΕΤΙΟΥ ΠΗΓΑ 25 ΗΡΑΚΛΕΙΟΥ</v>
      </c>
      <c r="I726">
        <v>71306</v>
      </c>
      <c r="J726">
        <v>2810320759</v>
      </c>
      <c r="K726">
        <v>6942202571</v>
      </c>
      <c r="M726" t="s">
        <v>1924</v>
      </c>
      <c r="N726" t="s">
        <v>337</v>
      </c>
      <c r="O726" t="s">
        <v>338</v>
      </c>
      <c r="R726" t="s">
        <v>57</v>
      </c>
      <c r="S726">
        <v>11</v>
      </c>
      <c r="T726">
        <v>65</v>
      </c>
      <c r="U726" s="1">
        <v>35147</v>
      </c>
      <c r="V726" t="s">
        <v>123</v>
      </c>
      <c r="W726" t="s">
        <v>124</v>
      </c>
      <c r="X726" t="s">
        <v>58</v>
      </c>
      <c r="Y726">
        <v>18</v>
      </c>
      <c r="Z726" t="s">
        <v>59</v>
      </c>
      <c r="AA726" t="s">
        <v>59</v>
      </c>
      <c r="AB726" t="s">
        <v>59</v>
      </c>
      <c r="AC726" t="s">
        <v>59</v>
      </c>
      <c r="AD726" t="s">
        <v>59</v>
      </c>
      <c r="AF726" s="1">
        <v>35177</v>
      </c>
      <c r="AG726" t="s">
        <v>125</v>
      </c>
      <c r="AH726" t="s">
        <v>126</v>
      </c>
      <c r="AI726" t="str">
        <f>"1701041"</f>
        <v>1701041</v>
      </c>
      <c r="AJ726" t="s">
        <v>161</v>
      </c>
      <c r="AK726">
        <v>2810327052</v>
      </c>
      <c r="AL726" t="s">
        <v>162</v>
      </c>
      <c r="AM726" t="s">
        <v>78</v>
      </c>
      <c r="AN726" t="s">
        <v>78</v>
      </c>
      <c r="AO726" t="s">
        <v>78</v>
      </c>
      <c r="AP726" t="s">
        <v>163</v>
      </c>
      <c r="AQ726">
        <v>5</v>
      </c>
      <c r="AR726" t="s">
        <v>123</v>
      </c>
      <c r="AS726" t="s">
        <v>124</v>
      </c>
      <c r="AT726" t="s">
        <v>58</v>
      </c>
      <c r="AU726" t="s">
        <v>68</v>
      </c>
      <c r="AV726" t="s">
        <v>69</v>
      </c>
      <c r="AW726" s="1">
        <v>26963</v>
      </c>
      <c r="AX726">
        <v>2</v>
      </c>
    </row>
    <row r="727" spans="1:50">
      <c r="A727">
        <v>199619</v>
      </c>
      <c r="B727" t="str">
        <f>"055326992"</f>
        <v>055326992</v>
      </c>
      <c r="C727" t="s">
        <v>50</v>
      </c>
      <c r="D727" t="s">
        <v>1923</v>
      </c>
      <c r="E727" t="s">
        <v>1925</v>
      </c>
      <c r="F727" t="s">
        <v>1926</v>
      </c>
      <c r="G727" t="s">
        <v>1927</v>
      </c>
      <c r="H727" t="str">
        <f>"ΑΓΙΟΥ ΑΡΤΕΜΙΟΥ 14 ΗΡΑΚΛΕΙΟ"</f>
        <v>ΑΓΙΟΥ ΑΡΤΕΜΙΟΥ 14 ΗΡΑΚΛΕΙΟ</v>
      </c>
      <c r="I727">
        <v>71409</v>
      </c>
      <c r="J727">
        <v>2810320537</v>
      </c>
      <c r="K727">
        <v>6932631226</v>
      </c>
      <c r="N727" t="s">
        <v>587</v>
      </c>
      <c r="O727" t="s">
        <v>588</v>
      </c>
      <c r="R727" t="s">
        <v>57</v>
      </c>
      <c r="S727">
        <v>8</v>
      </c>
      <c r="T727">
        <v>206</v>
      </c>
      <c r="U727" s="1">
        <v>37866</v>
      </c>
      <c r="V727" t="s">
        <v>123</v>
      </c>
      <c r="W727" t="s">
        <v>124</v>
      </c>
      <c r="X727" t="s">
        <v>58</v>
      </c>
      <c r="Y727">
        <v>20</v>
      </c>
      <c r="Z727" t="s">
        <v>59</v>
      </c>
      <c r="AA727" t="s">
        <v>59</v>
      </c>
      <c r="AB727" t="s">
        <v>59</v>
      </c>
      <c r="AC727" t="s">
        <v>59</v>
      </c>
      <c r="AD727" t="s">
        <v>59</v>
      </c>
      <c r="AF727" s="1">
        <v>37868</v>
      </c>
      <c r="AG727" t="s">
        <v>125</v>
      </c>
      <c r="AH727" t="s">
        <v>126</v>
      </c>
      <c r="AI727" t="str">
        <f>"1701053"</f>
        <v>1701053</v>
      </c>
      <c r="AJ727" t="s">
        <v>398</v>
      </c>
      <c r="AK727">
        <v>2810251434</v>
      </c>
      <c r="AL727" t="s">
        <v>399</v>
      </c>
      <c r="AM727" t="s">
        <v>78</v>
      </c>
      <c r="AN727" t="s">
        <v>78</v>
      </c>
      <c r="AO727" t="s">
        <v>78</v>
      </c>
      <c r="AP727" t="s">
        <v>141</v>
      </c>
      <c r="AQ727">
        <v>7</v>
      </c>
      <c r="AR727" t="s">
        <v>123</v>
      </c>
      <c r="AS727" t="s">
        <v>124</v>
      </c>
      <c r="AT727" t="s">
        <v>58</v>
      </c>
      <c r="AU727" t="s">
        <v>68</v>
      </c>
      <c r="AV727" t="s">
        <v>357</v>
      </c>
      <c r="AW727" s="1">
        <v>24924</v>
      </c>
      <c r="AX727">
        <v>2</v>
      </c>
    </row>
    <row r="728" spans="1:50">
      <c r="A728">
        <v>226525</v>
      </c>
      <c r="B728" t="str">
        <f>"065437036"</f>
        <v>065437036</v>
      </c>
      <c r="C728" t="s">
        <v>50</v>
      </c>
      <c r="D728" t="s">
        <v>1928</v>
      </c>
      <c r="E728" t="s">
        <v>440</v>
      </c>
      <c r="F728" t="s">
        <v>72</v>
      </c>
      <c r="G728" t="s">
        <v>1929</v>
      </c>
      <c r="H728" t="str">
        <f>"ΛΑΔΩΝΑ 21 ΜΕΣΑΜΠΕΛΙΕΣ"</f>
        <v>ΛΑΔΩΝΑ 21 ΜΕΣΑΜΠΕΛΙΕΣ</v>
      </c>
      <c r="J728">
        <v>2810212685</v>
      </c>
      <c r="K728">
        <v>6982699692</v>
      </c>
      <c r="M728" t="s">
        <v>1930</v>
      </c>
      <c r="N728" t="s">
        <v>146</v>
      </c>
      <c r="O728" t="s">
        <v>147</v>
      </c>
      <c r="R728" t="s">
        <v>57</v>
      </c>
      <c r="S728">
        <v>5</v>
      </c>
      <c r="T728">
        <v>654</v>
      </c>
      <c r="U728" s="1">
        <v>40043</v>
      </c>
      <c r="V728" t="s">
        <v>123</v>
      </c>
      <c r="W728" t="s">
        <v>124</v>
      </c>
      <c r="X728" t="s">
        <v>58</v>
      </c>
      <c r="Y728">
        <v>21</v>
      </c>
      <c r="Z728" t="s">
        <v>59</v>
      </c>
      <c r="AA728" t="s">
        <v>59</v>
      </c>
      <c r="AB728" t="s">
        <v>59</v>
      </c>
      <c r="AC728" t="s">
        <v>59</v>
      </c>
      <c r="AD728" t="s">
        <v>59</v>
      </c>
      <c r="AF728" s="1">
        <v>40046</v>
      </c>
      <c r="AG728" t="s">
        <v>125</v>
      </c>
      <c r="AH728" t="s">
        <v>126</v>
      </c>
      <c r="AI728" t="str">
        <f>"1710010"</f>
        <v>1710010</v>
      </c>
      <c r="AJ728" t="s">
        <v>595</v>
      </c>
      <c r="AK728">
        <v>2810711220</v>
      </c>
      <c r="AL728" t="s">
        <v>596</v>
      </c>
      <c r="AM728" t="s">
        <v>78</v>
      </c>
      <c r="AN728" t="s">
        <v>129</v>
      </c>
      <c r="AO728" t="s">
        <v>597</v>
      </c>
      <c r="AP728" t="s">
        <v>598</v>
      </c>
      <c r="AQ728">
        <v>28</v>
      </c>
      <c r="AR728" t="s">
        <v>123</v>
      </c>
      <c r="AS728" t="s">
        <v>124</v>
      </c>
      <c r="AT728" t="s">
        <v>58</v>
      </c>
      <c r="AU728" t="s">
        <v>68</v>
      </c>
      <c r="AV728" t="s">
        <v>69</v>
      </c>
      <c r="AW728" s="1">
        <v>26466</v>
      </c>
      <c r="AX728">
        <v>2</v>
      </c>
    </row>
    <row r="729" spans="1:50">
      <c r="A729">
        <v>199891</v>
      </c>
      <c r="B729" t="str">
        <f>"114592722"</f>
        <v>114592722</v>
      </c>
      <c r="C729" t="s">
        <v>50</v>
      </c>
      <c r="D729" t="s">
        <v>1931</v>
      </c>
      <c r="E729" t="s">
        <v>1932</v>
      </c>
      <c r="F729" t="s">
        <v>304</v>
      </c>
      <c r="G729" t="s">
        <v>1571</v>
      </c>
      <c r="H729" t="str">
        <f>" "</f>
        <v xml:space="preserve"> </v>
      </c>
      <c r="L729">
        <v>2810285764</v>
      </c>
      <c r="M729" t="s">
        <v>1933</v>
      </c>
      <c r="N729" t="s">
        <v>204</v>
      </c>
      <c r="O729" t="s">
        <v>205</v>
      </c>
      <c r="R729" t="s">
        <v>57</v>
      </c>
      <c r="S729">
        <v>9</v>
      </c>
      <c r="T729">
        <v>206</v>
      </c>
      <c r="U729" s="1">
        <v>37866</v>
      </c>
      <c r="V729" t="s">
        <v>123</v>
      </c>
      <c r="W729" t="s">
        <v>124</v>
      </c>
      <c r="X729" t="s">
        <v>58</v>
      </c>
      <c r="Y729">
        <v>20</v>
      </c>
      <c r="Z729" t="s">
        <v>59</v>
      </c>
      <c r="AA729" t="s">
        <v>59</v>
      </c>
      <c r="AB729" t="s">
        <v>59</v>
      </c>
      <c r="AC729" t="s">
        <v>59</v>
      </c>
      <c r="AD729" t="s">
        <v>59</v>
      </c>
      <c r="AF729" s="1">
        <v>37866</v>
      </c>
      <c r="AG729" t="s">
        <v>125</v>
      </c>
      <c r="AH729" t="s">
        <v>126</v>
      </c>
      <c r="AI729" t="str">
        <f>"1724010"</f>
        <v>1724010</v>
      </c>
      <c r="AJ729" t="s">
        <v>1934</v>
      </c>
      <c r="AK729">
        <v>2891041322</v>
      </c>
      <c r="AL729" t="s">
        <v>1935</v>
      </c>
      <c r="AM729" t="s">
        <v>78</v>
      </c>
      <c r="AN729" t="s">
        <v>276</v>
      </c>
      <c r="AO729" t="s">
        <v>1936</v>
      </c>
      <c r="AP729" t="s">
        <v>1936</v>
      </c>
      <c r="AQ729">
        <v>18</v>
      </c>
      <c r="AR729" t="s">
        <v>123</v>
      </c>
      <c r="AS729" t="s">
        <v>124</v>
      </c>
      <c r="AT729" t="s">
        <v>58</v>
      </c>
      <c r="AU729" t="s">
        <v>68</v>
      </c>
      <c r="AV729" t="s">
        <v>69</v>
      </c>
      <c r="AW729" s="1">
        <v>27952</v>
      </c>
      <c r="AX729">
        <v>2</v>
      </c>
    </row>
    <row r="730" spans="1:50">
      <c r="B730" t="str">
        <f>"037960749"</f>
        <v>037960749</v>
      </c>
      <c r="C730" t="s">
        <v>50</v>
      </c>
      <c r="D730" t="s">
        <v>1937</v>
      </c>
      <c r="E730" t="s">
        <v>52</v>
      </c>
      <c r="F730" t="s">
        <v>72</v>
      </c>
      <c r="G730" t="s">
        <v>181</v>
      </c>
      <c r="H730" t="str">
        <f>"Λ. ΔΗΜΟΚΡΑΤΙΑΣ 91 "</f>
        <v xml:space="preserve">Λ. ΔΗΜΟΚΡΑΤΙΑΣ 91 </v>
      </c>
      <c r="I730">
        <v>71306</v>
      </c>
      <c r="J730">
        <v>2810236731</v>
      </c>
      <c r="K730">
        <v>6947346599</v>
      </c>
      <c r="N730" t="s">
        <v>536</v>
      </c>
      <c r="O730" t="s">
        <v>537</v>
      </c>
      <c r="R730" t="s">
        <v>159</v>
      </c>
      <c r="S730">
        <v>5</v>
      </c>
      <c r="T730" t="s">
        <v>344</v>
      </c>
      <c r="U730" s="1">
        <v>43348</v>
      </c>
      <c r="V730" t="s">
        <v>123</v>
      </c>
      <c r="W730" t="s">
        <v>124</v>
      </c>
      <c r="X730" t="s">
        <v>58</v>
      </c>
      <c r="Y730">
        <v>21</v>
      </c>
      <c r="Z730" t="s">
        <v>59</v>
      </c>
      <c r="AA730" t="s">
        <v>59</v>
      </c>
      <c r="AB730" t="s">
        <v>59</v>
      </c>
      <c r="AC730" t="s">
        <v>59</v>
      </c>
      <c r="AD730" t="s">
        <v>59</v>
      </c>
      <c r="AF730" s="1">
        <v>43348</v>
      </c>
      <c r="AG730" t="s">
        <v>125</v>
      </c>
      <c r="AH730" t="s">
        <v>126</v>
      </c>
      <c r="AI730" t="str">
        <f>"1701050"</f>
        <v>1701050</v>
      </c>
      <c r="AJ730" t="s">
        <v>660</v>
      </c>
      <c r="AK730">
        <v>2810220729</v>
      </c>
      <c r="AL730" t="s">
        <v>661</v>
      </c>
      <c r="AM730" t="s">
        <v>78</v>
      </c>
      <c r="AN730" t="s">
        <v>78</v>
      </c>
      <c r="AO730" t="s">
        <v>78</v>
      </c>
      <c r="AP730" t="s">
        <v>79</v>
      </c>
      <c r="AQ730">
        <v>1</v>
      </c>
      <c r="AR730" t="s">
        <v>123</v>
      </c>
      <c r="AS730" t="s">
        <v>124</v>
      </c>
      <c r="AT730" t="s">
        <v>58</v>
      </c>
      <c r="AU730" t="s">
        <v>350</v>
      </c>
      <c r="AV730" t="s">
        <v>132</v>
      </c>
      <c r="AW730" s="1">
        <v>31061</v>
      </c>
      <c r="AX730">
        <v>2</v>
      </c>
    </row>
    <row r="731" spans="1:50">
      <c r="A731">
        <v>199892</v>
      </c>
      <c r="B731" t="str">
        <f>"043587390"</f>
        <v>043587390</v>
      </c>
      <c r="C731" t="s">
        <v>105</v>
      </c>
      <c r="D731" t="s">
        <v>1938</v>
      </c>
      <c r="E731" t="s">
        <v>450</v>
      </c>
      <c r="F731" t="s">
        <v>965</v>
      </c>
      <c r="G731" t="s">
        <v>1939</v>
      </c>
      <c r="H731" t="str">
        <f>"ΚΟΚΚΙΝΙ ΧΑΝΙ ΚΟΚΚΙΝΙ ΧΑΝΙ"</f>
        <v>ΚΟΚΚΙΝΙ ΧΑΝΙ ΚΟΚΚΙΝΙ ΧΑΝΙ</v>
      </c>
      <c r="I731">
        <v>71500</v>
      </c>
      <c r="K731">
        <v>6978589613</v>
      </c>
      <c r="M731" t="s">
        <v>1940</v>
      </c>
      <c r="N731" t="s">
        <v>292</v>
      </c>
      <c r="O731" t="s">
        <v>293</v>
      </c>
      <c r="R731" t="s">
        <v>57</v>
      </c>
      <c r="S731">
        <v>6</v>
      </c>
      <c r="T731" t="s">
        <v>1941</v>
      </c>
      <c r="U731" s="1">
        <v>38229</v>
      </c>
      <c r="V731" t="s">
        <v>123</v>
      </c>
      <c r="W731" t="s">
        <v>124</v>
      </c>
      <c r="X731" t="s">
        <v>58</v>
      </c>
      <c r="Y731">
        <v>20</v>
      </c>
      <c r="Z731" t="s">
        <v>59</v>
      </c>
      <c r="AA731" t="s">
        <v>59</v>
      </c>
      <c r="AB731" t="s">
        <v>59</v>
      </c>
      <c r="AC731" t="s">
        <v>59</v>
      </c>
      <c r="AD731" t="s">
        <v>59</v>
      </c>
      <c r="AF731" s="1">
        <v>38229</v>
      </c>
      <c r="AI731" t="str">
        <f>""</f>
        <v/>
      </c>
      <c r="AS731" t="s">
        <v>124</v>
      </c>
      <c r="AT731" t="s">
        <v>58</v>
      </c>
      <c r="AU731" t="s">
        <v>68</v>
      </c>
      <c r="AW731" s="1">
        <v>23772</v>
      </c>
      <c r="AX731">
        <v>2</v>
      </c>
    </row>
    <row r="732" spans="1:50">
      <c r="A732">
        <v>226528</v>
      </c>
      <c r="B732" t="str">
        <f>"075359037"</f>
        <v>075359037</v>
      </c>
      <c r="C732" t="s">
        <v>50</v>
      </c>
      <c r="D732" t="s">
        <v>1942</v>
      </c>
      <c r="E732" t="s">
        <v>460</v>
      </c>
      <c r="F732" t="s">
        <v>166</v>
      </c>
      <c r="G732" t="s">
        <v>755</v>
      </c>
      <c r="H732" t="str">
        <f>"ΛΕΩΦΟΡΟΣ ΙΩΝΝΙΑς 145 ΗΡΑΚΛΕΙΟ"</f>
        <v>ΛΕΩΦΟΡΟΣ ΙΩΝΝΙΑς 145 ΗΡΑΚΛΕΙΟ</v>
      </c>
      <c r="I732">
        <v>71306</v>
      </c>
      <c r="J732">
        <v>2810214571</v>
      </c>
      <c r="K732">
        <v>6976712912</v>
      </c>
      <c r="L732">
        <v>2821058862</v>
      </c>
      <c r="N732" t="s">
        <v>146</v>
      </c>
      <c r="O732" t="s">
        <v>147</v>
      </c>
      <c r="R732" t="s">
        <v>57</v>
      </c>
      <c r="S732">
        <v>6</v>
      </c>
      <c r="T732">
        <v>654</v>
      </c>
      <c r="U732" s="1">
        <v>40043</v>
      </c>
      <c r="V732" t="s">
        <v>123</v>
      </c>
      <c r="W732" t="s">
        <v>124</v>
      </c>
      <c r="X732" t="s">
        <v>58</v>
      </c>
      <c r="Y732">
        <v>21</v>
      </c>
      <c r="Z732" t="s">
        <v>59</v>
      </c>
      <c r="AA732" t="s">
        <v>59</v>
      </c>
      <c r="AB732" t="s">
        <v>59</v>
      </c>
      <c r="AC732" t="s">
        <v>59</v>
      </c>
      <c r="AD732" t="s">
        <v>59</v>
      </c>
      <c r="AF732" s="1">
        <v>40057</v>
      </c>
      <c r="AG732" t="s">
        <v>148</v>
      </c>
      <c r="AH732" t="s">
        <v>149</v>
      </c>
      <c r="AI732" t="str">
        <f>"1755010"</f>
        <v>1755010</v>
      </c>
      <c r="AJ732" t="s">
        <v>274</v>
      </c>
      <c r="AK732">
        <v>2891031124</v>
      </c>
      <c r="AL732" t="s">
        <v>275</v>
      </c>
      <c r="AM732" t="s">
        <v>78</v>
      </c>
      <c r="AN732" t="s">
        <v>276</v>
      </c>
      <c r="AO732" t="s">
        <v>277</v>
      </c>
      <c r="AP732" t="s">
        <v>277</v>
      </c>
      <c r="AQ732">
        <v>17</v>
      </c>
      <c r="AR732" t="s">
        <v>123</v>
      </c>
      <c r="AS732" t="s">
        <v>124</v>
      </c>
      <c r="AT732" t="s">
        <v>58</v>
      </c>
      <c r="AU732" t="s">
        <v>68</v>
      </c>
      <c r="AV732" t="s">
        <v>69</v>
      </c>
      <c r="AW732" s="1">
        <v>28245</v>
      </c>
      <c r="AX732">
        <v>2</v>
      </c>
    </row>
    <row r="733" spans="1:50">
      <c r="B733" t="str">
        <f>"101802267"</f>
        <v>101802267</v>
      </c>
      <c r="C733" t="s">
        <v>50</v>
      </c>
      <c r="D733" t="s">
        <v>1943</v>
      </c>
      <c r="E733" t="s">
        <v>250</v>
      </c>
      <c r="F733" t="s">
        <v>450</v>
      </c>
      <c r="G733" t="s">
        <v>742</v>
      </c>
      <c r="H733" t="str">
        <f>"ΔΗΜΟΣ ΛΕΥΚΤΡΟΥ ΑΓΙΟΣ ΝΙΚΟΛΑΟΣ"</f>
        <v>ΔΗΜΟΣ ΛΕΥΚΤΡΟΥ ΑΓΙΟΣ ΝΙΚΟΛΑΟΣ</v>
      </c>
      <c r="I733">
        <v>24024</v>
      </c>
      <c r="J733">
        <v>2721077567</v>
      </c>
      <c r="K733">
        <v>6973769005</v>
      </c>
      <c r="N733" t="s">
        <v>536</v>
      </c>
      <c r="O733" t="s">
        <v>537</v>
      </c>
      <c r="R733" t="s">
        <v>121</v>
      </c>
      <c r="S733">
        <v>3</v>
      </c>
      <c r="T733" t="s">
        <v>1944</v>
      </c>
      <c r="U733" s="1">
        <v>43364</v>
      </c>
      <c r="V733" t="s">
        <v>123</v>
      </c>
      <c r="W733" t="s">
        <v>124</v>
      </c>
      <c r="X733" t="s">
        <v>58</v>
      </c>
      <c r="Y733">
        <v>23</v>
      </c>
      <c r="Z733" t="s">
        <v>59</v>
      </c>
      <c r="AA733" t="s">
        <v>59</v>
      </c>
      <c r="AB733" t="s">
        <v>59</v>
      </c>
      <c r="AC733" t="s">
        <v>59</v>
      </c>
      <c r="AD733" t="s">
        <v>59</v>
      </c>
      <c r="AF733" s="1">
        <v>43367</v>
      </c>
      <c r="AG733" t="s">
        <v>345</v>
      </c>
      <c r="AH733" t="s">
        <v>346</v>
      </c>
      <c r="AI733" t="str">
        <f>"1741001"</f>
        <v>1741001</v>
      </c>
      <c r="AJ733" t="s">
        <v>655</v>
      </c>
      <c r="AK733">
        <v>2810360436</v>
      </c>
      <c r="AL733" t="s">
        <v>656</v>
      </c>
      <c r="AM733" t="s">
        <v>78</v>
      </c>
      <c r="AN733" t="s">
        <v>78</v>
      </c>
      <c r="AO733" t="s">
        <v>78</v>
      </c>
      <c r="AP733" t="s">
        <v>141</v>
      </c>
      <c r="AQ733">
        <v>11</v>
      </c>
      <c r="AR733" t="s">
        <v>123</v>
      </c>
      <c r="AS733" t="s">
        <v>124</v>
      </c>
      <c r="AT733" t="s">
        <v>58</v>
      </c>
      <c r="AU733" t="s">
        <v>350</v>
      </c>
      <c r="AV733" t="s">
        <v>132</v>
      </c>
      <c r="AW733" s="1">
        <v>29221</v>
      </c>
      <c r="AX733">
        <v>2</v>
      </c>
    </row>
    <row r="734" spans="1:50">
      <c r="A734">
        <v>186717</v>
      </c>
      <c r="B734" t="str">
        <f>"031589957"</f>
        <v>031589957</v>
      </c>
      <c r="C734" t="s">
        <v>105</v>
      </c>
      <c r="D734" t="s">
        <v>1945</v>
      </c>
      <c r="E734" t="s">
        <v>1392</v>
      </c>
      <c r="F734" t="s">
        <v>450</v>
      </c>
      <c r="G734" t="s">
        <v>1946</v>
      </c>
      <c r="H734" t="str">
        <f>"ΜΠΟΥΜΠΟΥΛΙΝΑΣ 18 "</f>
        <v xml:space="preserve">ΜΠΟΥΜΠΟΥΛΙΝΑΣ 18 </v>
      </c>
      <c r="I734">
        <v>71305</v>
      </c>
      <c r="K734">
        <v>6937118468</v>
      </c>
      <c r="M734" t="s">
        <v>1947</v>
      </c>
      <c r="N734" t="s">
        <v>246</v>
      </c>
      <c r="O734" t="s">
        <v>247</v>
      </c>
      <c r="R734" t="s">
        <v>57</v>
      </c>
      <c r="S734">
        <v>19</v>
      </c>
      <c r="T734">
        <v>251</v>
      </c>
      <c r="U734" s="1">
        <v>36769</v>
      </c>
      <c r="V734" t="s">
        <v>123</v>
      </c>
      <c r="W734" t="s">
        <v>124</v>
      </c>
      <c r="X734" t="s">
        <v>58</v>
      </c>
      <c r="Y734">
        <v>18</v>
      </c>
      <c r="Z734" t="s">
        <v>59</v>
      </c>
      <c r="AA734" t="s">
        <v>59</v>
      </c>
      <c r="AB734" t="s">
        <v>59</v>
      </c>
      <c r="AC734" t="s">
        <v>59</v>
      </c>
      <c r="AD734" t="s">
        <v>59</v>
      </c>
      <c r="AF734" s="1">
        <v>36770</v>
      </c>
      <c r="AG734" t="s">
        <v>148</v>
      </c>
      <c r="AH734" t="s">
        <v>149</v>
      </c>
      <c r="AI734" t="str">
        <f>"1751010"</f>
        <v>1751010</v>
      </c>
      <c r="AJ734" t="s">
        <v>150</v>
      </c>
      <c r="AK734">
        <v>2810346092</v>
      </c>
      <c r="AL734" t="s">
        <v>151</v>
      </c>
      <c r="AM734" t="s">
        <v>78</v>
      </c>
      <c r="AN734" t="s">
        <v>78</v>
      </c>
      <c r="AO734" t="s">
        <v>78</v>
      </c>
      <c r="AP734" t="s">
        <v>79</v>
      </c>
      <c r="AQ734">
        <v>1</v>
      </c>
      <c r="AR734" t="s">
        <v>123</v>
      </c>
      <c r="AS734" t="s">
        <v>124</v>
      </c>
      <c r="AT734" t="s">
        <v>58</v>
      </c>
      <c r="AU734" t="s">
        <v>68</v>
      </c>
      <c r="AV734" t="s">
        <v>69</v>
      </c>
      <c r="AW734" s="1">
        <v>21530</v>
      </c>
      <c r="AX734">
        <v>2</v>
      </c>
    </row>
    <row r="735" spans="1:50">
      <c r="A735">
        <v>189302</v>
      </c>
      <c r="B735" t="str">
        <f>"076163573"</f>
        <v>076163573</v>
      </c>
      <c r="C735" t="s">
        <v>50</v>
      </c>
      <c r="D735" t="s">
        <v>1948</v>
      </c>
      <c r="E735" t="s">
        <v>250</v>
      </c>
      <c r="F735" t="s">
        <v>95</v>
      </c>
      <c r="G735" t="s">
        <v>610</v>
      </c>
      <c r="H735" t="str">
        <f>" "</f>
        <v xml:space="preserve"> </v>
      </c>
      <c r="M735" t="s">
        <v>1949</v>
      </c>
      <c r="N735" t="s">
        <v>146</v>
      </c>
      <c r="O735" t="s">
        <v>147</v>
      </c>
      <c r="R735" t="s">
        <v>57</v>
      </c>
      <c r="S735">
        <v>14</v>
      </c>
      <c r="T735">
        <v>219</v>
      </c>
      <c r="U735" s="1">
        <v>37134</v>
      </c>
      <c r="V735" t="s">
        <v>123</v>
      </c>
      <c r="W735" t="s">
        <v>124</v>
      </c>
      <c r="X735" t="s">
        <v>58</v>
      </c>
      <c r="Y735">
        <v>20</v>
      </c>
      <c r="Z735" t="s">
        <v>59</v>
      </c>
      <c r="AA735" t="s">
        <v>59</v>
      </c>
      <c r="AB735" t="s">
        <v>59</v>
      </c>
      <c r="AC735" t="s">
        <v>59</v>
      </c>
      <c r="AD735" t="s">
        <v>59</v>
      </c>
      <c r="AF735" s="1">
        <v>37138</v>
      </c>
      <c r="AG735" t="s">
        <v>125</v>
      </c>
      <c r="AH735" t="s">
        <v>126</v>
      </c>
      <c r="AI735" t="str">
        <f>"1701070"</f>
        <v>1701070</v>
      </c>
      <c r="AJ735" t="s">
        <v>1490</v>
      </c>
      <c r="AK735">
        <v>2810771241</v>
      </c>
      <c r="AL735" t="s">
        <v>1491</v>
      </c>
      <c r="AM735" t="s">
        <v>78</v>
      </c>
      <c r="AN735" t="s">
        <v>219</v>
      </c>
      <c r="AO735" t="s">
        <v>1437</v>
      </c>
      <c r="AP735" t="s">
        <v>1437</v>
      </c>
      <c r="AQ735">
        <v>21</v>
      </c>
      <c r="AR735" t="s">
        <v>123</v>
      </c>
      <c r="AS735" t="s">
        <v>124</v>
      </c>
      <c r="AT735" t="s">
        <v>58</v>
      </c>
      <c r="AU735" t="s">
        <v>68</v>
      </c>
      <c r="AV735" t="s">
        <v>69</v>
      </c>
      <c r="AW735" s="1">
        <v>25748</v>
      </c>
      <c r="AX735">
        <v>2</v>
      </c>
    </row>
    <row r="736" spans="1:50">
      <c r="A736">
        <v>169082</v>
      </c>
      <c r="B736" t="str">
        <f>"054236755"</f>
        <v>054236755</v>
      </c>
      <c r="C736" t="s">
        <v>105</v>
      </c>
      <c r="D736" t="s">
        <v>1950</v>
      </c>
      <c r="E736" t="s">
        <v>166</v>
      </c>
      <c r="F736" t="s">
        <v>53</v>
      </c>
      <c r="G736" t="s">
        <v>237</v>
      </c>
      <c r="H736" t="str">
        <f>"ΝΑΞΟΥ 22 "</f>
        <v xml:space="preserve">ΝΑΞΟΥ 22 </v>
      </c>
      <c r="J736">
        <v>2810319309</v>
      </c>
      <c r="K736">
        <v>6936842048</v>
      </c>
      <c r="M736" t="s">
        <v>1951</v>
      </c>
      <c r="N736" t="s">
        <v>204</v>
      </c>
      <c r="O736" t="s">
        <v>205</v>
      </c>
      <c r="R736" t="s">
        <v>57</v>
      </c>
      <c r="S736">
        <v>12</v>
      </c>
      <c r="T736">
        <v>159</v>
      </c>
      <c r="U736" s="1">
        <v>34582</v>
      </c>
      <c r="V736" t="s">
        <v>123</v>
      </c>
      <c r="W736" t="s">
        <v>124</v>
      </c>
      <c r="X736" t="s">
        <v>58</v>
      </c>
      <c r="Y736">
        <v>18</v>
      </c>
      <c r="Z736" t="s">
        <v>59</v>
      </c>
      <c r="AA736" t="s">
        <v>59</v>
      </c>
      <c r="AB736" t="s">
        <v>59</v>
      </c>
      <c r="AC736" t="s">
        <v>59</v>
      </c>
      <c r="AD736" t="s">
        <v>59</v>
      </c>
      <c r="AF736" s="1">
        <v>34583</v>
      </c>
      <c r="AG736" t="s">
        <v>125</v>
      </c>
      <c r="AH736" t="s">
        <v>126</v>
      </c>
      <c r="AI736" t="str">
        <f>"1701052"</f>
        <v>1701052</v>
      </c>
      <c r="AJ736" t="s">
        <v>223</v>
      </c>
      <c r="AK736">
        <v>2810252514</v>
      </c>
      <c r="AL736" t="s">
        <v>224</v>
      </c>
      <c r="AM736" t="s">
        <v>78</v>
      </c>
      <c r="AN736" t="s">
        <v>78</v>
      </c>
      <c r="AO736" t="s">
        <v>78</v>
      </c>
      <c r="AP736" t="s">
        <v>141</v>
      </c>
      <c r="AQ736">
        <v>7</v>
      </c>
      <c r="AR736" t="s">
        <v>123</v>
      </c>
      <c r="AS736" t="s">
        <v>124</v>
      </c>
      <c r="AT736" t="s">
        <v>58</v>
      </c>
      <c r="AU736" t="s">
        <v>68</v>
      </c>
      <c r="AV736" t="s">
        <v>69</v>
      </c>
      <c r="AW736" s="1">
        <v>24442</v>
      </c>
      <c r="AX736">
        <v>2</v>
      </c>
    </row>
    <row r="737" spans="1:50">
      <c r="A737">
        <v>194332</v>
      </c>
      <c r="B737" t="str">
        <f>"036734042"</f>
        <v>036734042</v>
      </c>
      <c r="C737" t="s">
        <v>105</v>
      </c>
      <c r="D737" t="s">
        <v>1952</v>
      </c>
      <c r="E737" t="s">
        <v>92</v>
      </c>
      <c r="F737" t="s">
        <v>99</v>
      </c>
      <c r="G737" t="s">
        <v>1189</v>
      </c>
      <c r="H737" t="str">
        <f>" "</f>
        <v xml:space="preserve"> </v>
      </c>
      <c r="J737">
        <v>2810231729</v>
      </c>
      <c r="L737">
        <v>2810322349</v>
      </c>
      <c r="N737" t="s">
        <v>176</v>
      </c>
      <c r="O737" t="s">
        <v>177</v>
      </c>
      <c r="R737" t="s">
        <v>57</v>
      </c>
      <c r="S737">
        <v>12</v>
      </c>
      <c r="T737">
        <v>193</v>
      </c>
      <c r="U737" s="1">
        <v>37497</v>
      </c>
      <c r="V737" t="s">
        <v>123</v>
      </c>
      <c r="W737" t="s">
        <v>124</v>
      </c>
      <c r="X737" t="s">
        <v>58</v>
      </c>
      <c r="Y737">
        <v>18</v>
      </c>
      <c r="Z737" t="s">
        <v>59</v>
      </c>
      <c r="AA737" t="s">
        <v>59</v>
      </c>
      <c r="AB737" t="s">
        <v>59</v>
      </c>
      <c r="AC737" t="s">
        <v>59</v>
      </c>
      <c r="AD737" t="s">
        <v>59</v>
      </c>
      <c r="AF737" s="1">
        <v>37497</v>
      </c>
      <c r="AG737" t="s">
        <v>148</v>
      </c>
      <c r="AH737" t="s">
        <v>149</v>
      </c>
      <c r="AI737" t="str">
        <f>"1751020"</f>
        <v>1751020</v>
      </c>
      <c r="AJ737" t="s">
        <v>532</v>
      </c>
      <c r="AK737">
        <v>2810372732</v>
      </c>
      <c r="AL737" t="s">
        <v>533</v>
      </c>
      <c r="AM737" t="s">
        <v>78</v>
      </c>
      <c r="AN737" t="s">
        <v>78</v>
      </c>
      <c r="AO737" t="s">
        <v>78</v>
      </c>
      <c r="AP737" t="s">
        <v>163</v>
      </c>
      <c r="AQ737">
        <v>3</v>
      </c>
      <c r="AR737" t="s">
        <v>123</v>
      </c>
      <c r="AS737" t="s">
        <v>124</v>
      </c>
      <c r="AT737" t="s">
        <v>58</v>
      </c>
      <c r="AU737" t="s">
        <v>68</v>
      </c>
      <c r="AV737" t="s">
        <v>69</v>
      </c>
      <c r="AW737" s="1">
        <v>22580</v>
      </c>
      <c r="AX737">
        <v>2</v>
      </c>
    </row>
    <row r="738" spans="1:50">
      <c r="A738">
        <v>199895</v>
      </c>
      <c r="B738" t="str">
        <f>"076289679"</f>
        <v>076289679</v>
      </c>
      <c r="C738" t="s">
        <v>105</v>
      </c>
      <c r="D738" t="s">
        <v>1953</v>
      </c>
      <c r="E738" t="s">
        <v>1506</v>
      </c>
      <c r="F738" t="s">
        <v>1506</v>
      </c>
      <c r="G738" t="s">
        <v>1954</v>
      </c>
      <c r="H738" t="str">
        <f>" "</f>
        <v xml:space="preserve"> </v>
      </c>
      <c r="J738">
        <v>2834031188</v>
      </c>
      <c r="K738">
        <v>6977047511</v>
      </c>
      <c r="M738" t="s">
        <v>1955</v>
      </c>
      <c r="N738" t="s">
        <v>204</v>
      </c>
      <c r="O738" t="s">
        <v>205</v>
      </c>
      <c r="R738" t="s">
        <v>57</v>
      </c>
      <c r="S738">
        <v>7</v>
      </c>
      <c r="T738">
        <v>206</v>
      </c>
      <c r="U738" s="1">
        <v>37866</v>
      </c>
      <c r="V738" t="s">
        <v>123</v>
      </c>
      <c r="W738" t="s">
        <v>124</v>
      </c>
      <c r="X738" t="s">
        <v>58</v>
      </c>
      <c r="Y738">
        <v>20</v>
      </c>
      <c r="Z738" t="s">
        <v>59</v>
      </c>
      <c r="AA738" t="s">
        <v>59</v>
      </c>
      <c r="AB738" t="s">
        <v>59</v>
      </c>
      <c r="AC738" t="s">
        <v>59</v>
      </c>
      <c r="AD738" t="s">
        <v>59</v>
      </c>
      <c r="AF738" s="1">
        <v>37872</v>
      </c>
      <c r="AG738" t="s">
        <v>137</v>
      </c>
      <c r="AH738" t="s">
        <v>138</v>
      </c>
      <c r="AI738" t="str">
        <f>"1740300"</f>
        <v>1740300</v>
      </c>
      <c r="AJ738" t="s">
        <v>1274</v>
      </c>
      <c r="AK738">
        <v>2892022100</v>
      </c>
      <c r="AL738" t="s">
        <v>1275</v>
      </c>
      <c r="AM738" t="s">
        <v>78</v>
      </c>
      <c r="AN738" t="s">
        <v>242</v>
      </c>
      <c r="AO738" t="s">
        <v>243</v>
      </c>
      <c r="AP738" t="s">
        <v>243</v>
      </c>
      <c r="AQ738">
        <v>33</v>
      </c>
      <c r="AR738" t="s">
        <v>123</v>
      </c>
      <c r="AS738" t="s">
        <v>124</v>
      </c>
      <c r="AT738" t="s">
        <v>58</v>
      </c>
      <c r="AU738" t="s">
        <v>68</v>
      </c>
      <c r="AV738" t="s">
        <v>69</v>
      </c>
      <c r="AW738" s="1">
        <v>27603</v>
      </c>
      <c r="AX738">
        <v>2</v>
      </c>
    </row>
    <row r="739" spans="1:50">
      <c r="A739">
        <v>229621</v>
      </c>
      <c r="B739" t="str">
        <f>"146210860"</f>
        <v>146210860</v>
      </c>
      <c r="C739" t="s">
        <v>50</v>
      </c>
      <c r="D739" t="s">
        <v>1956</v>
      </c>
      <c r="E739" t="s">
        <v>52</v>
      </c>
      <c r="F739" t="s">
        <v>95</v>
      </c>
      <c r="G739" t="s">
        <v>143</v>
      </c>
      <c r="H739" t="str">
        <f>" "</f>
        <v xml:space="preserve"> </v>
      </c>
      <c r="J739">
        <v>2810320430</v>
      </c>
      <c r="K739">
        <v>6937753080</v>
      </c>
      <c r="N739" t="s">
        <v>331</v>
      </c>
      <c r="O739" t="s">
        <v>332</v>
      </c>
      <c r="P739" t="s">
        <v>204</v>
      </c>
      <c r="Q739" t="s">
        <v>205</v>
      </c>
      <c r="R739" t="s">
        <v>57</v>
      </c>
      <c r="S739">
        <v>4</v>
      </c>
      <c r="T739">
        <v>988</v>
      </c>
      <c r="U739" s="1">
        <v>40157</v>
      </c>
      <c r="V739" t="s">
        <v>123</v>
      </c>
      <c r="W739" t="s">
        <v>124</v>
      </c>
      <c r="X739" t="s">
        <v>58</v>
      </c>
      <c r="Y739">
        <v>21</v>
      </c>
      <c r="Z739" t="s">
        <v>59</v>
      </c>
      <c r="AA739" t="s">
        <v>59</v>
      </c>
      <c r="AB739" t="s">
        <v>59</v>
      </c>
      <c r="AC739" t="s">
        <v>59</v>
      </c>
      <c r="AD739" t="s">
        <v>59</v>
      </c>
      <c r="AF739" s="1">
        <v>40162</v>
      </c>
      <c r="AG739" t="s">
        <v>137</v>
      </c>
      <c r="AH739" t="s">
        <v>138</v>
      </c>
      <c r="AI739" t="str">
        <f>"1750080"</f>
        <v>1750080</v>
      </c>
      <c r="AJ739" t="s">
        <v>170</v>
      </c>
      <c r="AK739">
        <v>2810234444</v>
      </c>
      <c r="AL739" t="s">
        <v>171</v>
      </c>
      <c r="AM739" t="s">
        <v>78</v>
      </c>
      <c r="AN739" t="s">
        <v>78</v>
      </c>
      <c r="AO739" t="s">
        <v>78</v>
      </c>
      <c r="AP739" t="s">
        <v>163</v>
      </c>
      <c r="AQ739">
        <v>9</v>
      </c>
      <c r="AR739" t="s">
        <v>123</v>
      </c>
      <c r="AS739" t="s">
        <v>124</v>
      </c>
      <c r="AT739" t="s">
        <v>58</v>
      </c>
      <c r="AU739" t="s">
        <v>68</v>
      </c>
      <c r="AV739" t="s">
        <v>69</v>
      </c>
      <c r="AW739" s="1">
        <v>31484</v>
      </c>
      <c r="AX739">
        <v>2</v>
      </c>
    </row>
    <row r="740" spans="1:50">
      <c r="A740">
        <v>182030</v>
      </c>
      <c r="B740" t="str">
        <f>"044813740"</f>
        <v>044813740</v>
      </c>
      <c r="C740" t="s">
        <v>50</v>
      </c>
      <c r="D740" t="s">
        <v>1957</v>
      </c>
      <c r="E740" t="s">
        <v>563</v>
      </c>
      <c r="F740" t="s">
        <v>95</v>
      </c>
      <c r="G740" t="s">
        <v>367</v>
      </c>
      <c r="H740" t="str">
        <f>"ΠΑΤΡΙΑΡΧΟΥ ΦΩΤΙΟΥ 38 ΗΡΑΚΛΕΙΟ"</f>
        <v>ΠΑΤΡΙΑΡΧΟΥ ΦΩΤΙΟΥ 38 ΗΡΑΚΛΕΙΟ</v>
      </c>
      <c r="I740">
        <v>71305</v>
      </c>
      <c r="J740">
        <v>2810239403</v>
      </c>
      <c r="K740">
        <v>6942504121</v>
      </c>
      <c r="N740" t="s">
        <v>204</v>
      </c>
      <c r="O740" t="s">
        <v>205</v>
      </c>
      <c r="R740" t="s">
        <v>57</v>
      </c>
      <c r="S740">
        <v>9</v>
      </c>
      <c r="T740">
        <v>164</v>
      </c>
      <c r="U740" s="1">
        <v>36040</v>
      </c>
      <c r="V740" t="s">
        <v>123</v>
      </c>
      <c r="W740" t="s">
        <v>124</v>
      </c>
      <c r="X740" t="s">
        <v>58</v>
      </c>
      <c r="Y740">
        <v>18</v>
      </c>
      <c r="Z740" t="s">
        <v>59</v>
      </c>
      <c r="AA740" t="s">
        <v>59</v>
      </c>
      <c r="AB740" t="s">
        <v>59</v>
      </c>
      <c r="AC740" t="s">
        <v>59</v>
      </c>
      <c r="AD740" t="s">
        <v>59</v>
      </c>
      <c r="AF740" s="1">
        <v>36041</v>
      </c>
      <c r="AG740" t="s">
        <v>137</v>
      </c>
      <c r="AH740" t="s">
        <v>138</v>
      </c>
      <c r="AI740" t="str">
        <f>"1740210"</f>
        <v>1740210</v>
      </c>
      <c r="AJ740" t="s">
        <v>139</v>
      </c>
      <c r="AK740">
        <v>2810318130</v>
      </c>
      <c r="AL740" t="s">
        <v>140</v>
      </c>
      <c r="AM740" t="s">
        <v>78</v>
      </c>
      <c r="AN740" t="s">
        <v>78</v>
      </c>
      <c r="AO740" t="s">
        <v>78</v>
      </c>
      <c r="AP740" t="s">
        <v>141</v>
      </c>
      <c r="AQ740">
        <v>7</v>
      </c>
      <c r="AR740" t="s">
        <v>123</v>
      </c>
      <c r="AS740" t="s">
        <v>124</v>
      </c>
      <c r="AT740" t="s">
        <v>58</v>
      </c>
      <c r="AU740" t="s">
        <v>68</v>
      </c>
      <c r="AV740" t="s">
        <v>69</v>
      </c>
      <c r="AW740" s="1">
        <v>24994</v>
      </c>
      <c r="AX740">
        <v>2</v>
      </c>
    </row>
    <row r="741" spans="1:50">
      <c r="A741">
        <v>177243</v>
      </c>
      <c r="B741" t="str">
        <f>"119651371"</f>
        <v>119651371</v>
      </c>
      <c r="C741" t="s">
        <v>50</v>
      </c>
      <c r="D741" t="s">
        <v>1958</v>
      </c>
      <c r="E741" t="s">
        <v>181</v>
      </c>
      <c r="F741" t="s">
        <v>670</v>
      </c>
      <c r="G741" t="s">
        <v>1959</v>
      </c>
      <c r="H741" t="str">
        <f>" "</f>
        <v xml:space="preserve"> </v>
      </c>
      <c r="M741" t="s">
        <v>1960</v>
      </c>
      <c r="N741" t="s">
        <v>257</v>
      </c>
      <c r="O741" t="s">
        <v>258</v>
      </c>
      <c r="R741" t="s">
        <v>57</v>
      </c>
      <c r="S741">
        <v>10</v>
      </c>
      <c r="T741">
        <v>180</v>
      </c>
      <c r="U741" s="1">
        <v>35674</v>
      </c>
      <c r="V741" t="s">
        <v>123</v>
      </c>
      <c r="W741" t="s">
        <v>124</v>
      </c>
      <c r="X741" t="s">
        <v>58</v>
      </c>
      <c r="Y741">
        <v>18</v>
      </c>
      <c r="Z741" t="s">
        <v>59</v>
      </c>
      <c r="AA741" t="s">
        <v>59</v>
      </c>
      <c r="AB741" t="s">
        <v>59</v>
      </c>
      <c r="AC741" t="s">
        <v>59</v>
      </c>
      <c r="AD741" t="s">
        <v>59</v>
      </c>
      <c r="AF741" s="1">
        <v>35678</v>
      </c>
      <c r="AG741" t="s">
        <v>148</v>
      </c>
      <c r="AH741" t="s">
        <v>149</v>
      </c>
      <c r="AI741" t="str">
        <f>"1751040"</f>
        <v>1751040</v>
      </c>
      <c r="AJ741" t="s">
        <v>178</v>
      </c>
      <c r="AK741">
        <v>2810252495</v>
      </c>
      <c r="AL741" t="s">
        <v>179</v>
      </c>
      <c r="AM741" t="s">
        <v>78</v>
      </c>
      <c r="AN741" t="s">
        <v>78</v>
      </c>
      <c r="AO741" t="s">
        <v>78</v>
      </c>
      <c r="AP741" t="s">
        <v>141</v>
      </c>
      <c r="AQ741">
        <v>3</v>
      </c>
      <c r="AR741" t="s">
        <v>123</v>
      </c>
      <c r="AS741" t="s">
        <v>124</v>
      </c>
      <c r="AT741" t="s">
        <v>58</v>
      </c>
      <c r="AU741" t="s">
        <v>68</v>
      </c>
      <c r="AV741" t="s">
        <v>69</v>
      </c>
      <c r="AW741" s="1">
        <v>21703</v>
      </c>
      <c r="AX741">
        <v>2</v>
      </c>
    </row>
    <row r="742" spans="1:50">
      <c r="A742">
        <v>202266</v>
      </c>
      <c r="B742" t="str">
        <f>"044831942"</f>
        <v>044831942</v>
      </c>
      <c r="C742" t="s">
        <v>105</v>
      </c>
      <c r="D742" t="s">
        <v>1961</v>
      </c>
      <c r="E742" t="s">
        <v>1761</v>
      </c>
      <c r="F742" t="s">
        <v>521</v>
      </c>
      <c r="G742" t="s">
        <v>83</v>
      </c>
      <c r="H742" t="str">
        <f>"ΑΡΡΙΑΝΟΥ 7 ΑΓΟΣ ΙΩΑΝΝΗΣ"</f>
        <v>ΑΡΡΙΑΝΟΥ 7 ΑΓΟΣ ΙΩΑΝΝΗΣ</v>
      </c>
      <c r="I742">
        <v>71409</v>
      </c>
      <c r="J742">
        <v>2810232861</v>
      </c>
      <c r="K742">
        <v>6977693545</v>
      </c>
      <c r="M742" t="s">
        <v>1962</v>
      </c>
      <c r="N742" t="s">
        <v>292</v>
      </c>
      <c r="O742" t="s">
        <v>293</v>
      </c>
      <c r="R742" t="s">
        <v>57</v>
      </c>
      <c r="S742">
        <v>8</v>
      </c>
      <c r="T742">
        <v>231</v>
      </c>
      <c r="U742" s="1">
        <v>38230</v>
      </c>
      <c r="V742" t="s">
        <v>123</v>
      </c>
      <c r="W742" t="s">
        <v>124</v>
      </c>
      <c r="X742" t="s">
        <v>58</v>
      </c>
      <c r="Y742">
        <v>20</v>
      </c>
      <c r="Z742" t="s">
        <v>59</v>
      </c>
      <c r="AA742" t="s">
        <v>59</v>
      </c>
      <c r="AB742" t="s">
        <v>59</v>
      </c>
      <c r="AC742" t="s">
        <v>59</v>
      </c>
      <c r="AD742" t="s">
        <v>59</v>
      </c>
      <c r="AF742" s="1">
        <v>38231</v>
      </c>
      <c r="AG742" t="s">
        <v>125</v>
      </c>
      <c r="AH742" t="s">
        <v>126</v>
      </c>
      <c r="AI742" t="str">
        <f>"1727010"</f>
        <v>1727010</v>
      </c>
      <c r="AJ742" t="s">
        <v>618</v>
      </c>
      <c r="AK742">
        <v>2810229231</v>
      </c>
      <c r="AL742" t="s">
        <v>619</v>
      </c>
      <c r="AM742" t="s">
        <v>78</v>
      </c>
      <c r="AN742" t="s">
        <v>78</v>
      </c>
      <c r="AO742" t="s">
        <v>286</v>
      </c>
      <c r="AP742" t="s">
        <v>286</v>
      </c>
      <c r="AQ742">
        <v>12</v>
      </c>
      <c r="AR742" t="s">
        <v>123</v>
      </c>
      <c r="AS742" t="s">
        <v>124</v>
      </c>
      <c r="AT742" t="s">
        <v>58</v>
      </c>
      <c r="AU742" t="s">
        <v>68</v>
      </c>
      <c r="AV742" t="s">
        <v>69</v>
      </c>
      <c r="AW742" s="1">
        <v>22338</v>
      </c>
      <c r="AX742">
        <v>2</v>
      </c>
    </row>
    <row r="743" spans="1:50">
      <c r="A743">
        <v>223927</v>
      </c>
      <c r="B743" t="str">
        <f>"114574300"</f>
        <v>114574300</v>
      </c>
      <c r="C743" t="s">
        <v>50</v>
      </c>
      <c r="D743" t="s">
        <v>1963</v>
      </c>
      <c r="E743" t="s">
        <v>52</v>
      </c>
      <c r="F743" t="s">
        <v>95</v>
      </c>
      <c r="G743" t="s">
        <v>250</v>
      </c>
      <c r="H743" t="str">
        <f>"ΣΜΠΩΚΟΥ 76 ΗΡΑΚΛΕΙΟΥ"</f>
        <v>ΣΜΠΩΚΟΥ 76 ΗΡΑΚΛΕΙΟΥ</v>
      </c>
      <c r="I743">
        <v>71305</v>
      </c>
      <c r="J743">
        <v>2810237248</v>
      </c>
      <c r="K743">
        <v>6977753084</v>
      </c>
      <c r="M743" t="s">
        <v>1964</v>
      </c>
      <c r="N743" t="s">
        <v>478</v>
      </c>
      <c r="O743" t="s">
        <v>479</v>
      </c>
      <c r="R743" t="s">
        <v>57</v>
      </c>
      <c r="S743">
        <v>11</v>
      </c>
      <c r="T743">
        <v>775</v>
      </c>
      <c r="U743" s="1">
        <v>39680</v>
      </c>
      <c r="V743" t="s">
        <v>123</v>
      </c>
      <c r="W743" t="s">
        <v>124</v>
      </c>
      <c r="X743" t="s">
        <v>58</v>
      </c>
      <c r="Y743">
        <v>21</v>
      </c>
      <c r="Z743" t="s">
        <v>59</v>
      </c>
      <c r="AA743" t="s">
        <v>59</v>
      </c>
      <c r="AB743" t="s">
        <v>59</v>
      </c>
      <c r="AC743" t="s">
        <v>59</v>
      </c>
      <c r="AD743" t="s">
        <v>59</v>
      </c>
      <c r="AF743" s="1">
        <v>39682</v>
      </c>
      <c r="AG743" t="s">
        <v>125</v>
      </c>
      <c r="AH743" t="s">
        <v>126</v>
      </c>
      <c r="AI743" t="str">
        <f>"1709010"</f>
        <v>1709010</v>
      </c>
      <c r="AJ743" t="s">
        <v>847</v>
      </c>
      <c r="AK743">
        <v>2894022227</v>
      </c>
      <c r="AL743" t="s">
        <v>848</v>
      </c>
      <c r="AM743" t="s">
        <v>78</v>
      </c>
      <c r="AN743" t="s">
        <v>405</v>
      </c>
      <c r="AO743" t="s">
        <v>406</v>
      </c>
      <c r="AP743" t="s">
        <v>406</v>
      </c>
      <c r="AQ743">
        <v>30</v>
      </c>
      <c r="AR743" t="s">
        <v>123</v>
      </c>
      <c r="AS743" t="s">
        <v>124</v>
      </c>
      <c r="AT743" t="s">
        <v>58</v>
      </c>
      <c r="AU743" t="s">
        <v>68</v>
      </c>
      <c r="AV743" t="s">
        <v>69</v>
      </c>
      <c r="AW743" s="1">
        <v>29876</v>
      </c>
      <c r="AX743">
        <v>2</v>
      </c>
    </row>
    <row r="744" spans="1:50">
      <c r="A744">
        <v>216738</v>
      </c>
      <c r="B744" t="str">
        <f>"064581165"</f>
        <v>064581165</v>
      </c>
      <c r="C744" t="s">
        <v>50</v>
      </c>
      <c r="D744" t="s">
        <v>1965</v>
      </c>
      <c r="E744" t="s">
        <v>237</v>
      </c>
      <c r="F744" t="s">
        <v>564</v>
      </c>
      <c r="G744" t="s">
        <v>1966</v>
      </c>
      <c r="H744" t="str">
        <f>" "</f>
        <v xml:space="preserve"> </v>
      </c>
      <c r="J744">
        <v>2810220083</v>
      </c>
      <c r="K744">
        <v>6932480048</v>
      </c>
      <c r="M744" t="s">
        <v>1967</v>
      </c>
      <c r="N744" t="s">
        <v>146</v>
      </c>
      <c r="O744" t="s">
        <v>147</v>
      </c>
      <c r="R744" t="s">
        <v>57</v>
      </c>
      <c r="S744">
        <v>8</v>
      </c>
      <c r="T744">
        <v>298</v>
      </c>
      <c r="U744" s="1">
        <v>38985</v>
      </c>
      <c r="V744" t="s">
        <v>123</v>
      </c>
      <c r="W744" t="s">
        <v>124</v>
      </c>
      <c r="X744" t="s">
        <v>58</v>
      </c>
      <c r="Y744">
        <v>20</v>
      </c>
      <c r="Z744" t="s">
        <v>59</v>
      </c>
      <c r="AA744" t="s">
        <v>59</v>
      </c>
      <c r="AB744" t="s">
        <v>59</v>
      </c>
      <c r="AC744" t="s">
        <v>59</v>
      </c>
      <c r="AD744" t="s">
        <v>59</v>
      </c>
      <c r="AF744" s="1">
        <v>38987</v>
      </c>
      <c r="AG744" t="s">
        <v>125</v>
      </c>
      <c r="AH744" t="s">
        <v>126</v>
      </c>
      <c r="AI744" t="str">
        <f>"1701020"</f>
        <v>1701020</v>
      </c>
      <c r="AJ744" t="s">
        <v>323</v>
      </c>
      <c r="AK744">
        <v>2810252111</v>
      </c>
      <c r="AL744" t="s">
        <v>324</v>
      </c>
      <c r="AM744" t="s">
        <v>78</v>
      </c>
      <c r="AN744" t="s">
        <v>78</v>
      </c>
      <c r="AO744" t="s">
        <v>78</v>
      </c>
      <c r="AP744" t="s">
        <v>163</v>
      </c>
      <c r="AQ744">
        <v>3</v>
      </c>
      <c r="AR744" t="s">
        <v>123</v>
      </c>
      <c r="AS744" t="s">
        <v>124</v>
      </c>
      <c r="AT744" t="s">
        <v>58</v>
      </c>
      <c r="AU744" t="s">
        <v>68</v>
      </c>
      <c r="AV744" t="s">
        <v>69</v>
      </c>
      <c r="AW744" s="1">
        <v>28921</v>
      </c>
      <c r="AX744">
        <v>2</v>
      </c>
    </row>
    <row r="745" spans="1:50">
      <c r="A745">
        <v>703049</v>
      </c>
      <c r="B745" t="str">
        <f>"044833658"</f>
        <v>044833658</v>
      </c>
      <c r="C745" t="s">
        <v>50</v>
      </c>
      <c r="D745" t="s">
        <v>1968</v>
      </c>
      <c r="E745" t="s">
        <v>109</v>
      </c>
      <c r="F745" t="s">
        <v>474</v>
      </c>
      <c r="G745" t="s">
        <v>52</v>
      </c>
      <c r="H745" t="str">
        <f>"ΟΔΥΣΣΕΩΣ  3 ΗΡΑΚΛΕΙΟ"</f>
        <v>ΟΔΥΣΣΕΩΣ  3 ΗΡΑΚΛΕΙΟ</v>
      </c>
      <c r="I745">
        <v>71307</v>
      </c>
      <c r="J745">
        <v>2810223495</v>
      </c>
      <c r="K745">
        <v>6947021818</v>
      </c>
      <c r="N745" t="s">
        <v>292</v>
      </c>
      <c r="O745" t="s">
        <v>293</v>
      </c>
      <c r="R745" t="s">
        <v>57</v>
      </c>
      <c r="S745">
        <v>9</v>
      </c>
      <c r="T745">
        <v>588</v>
      </c>
      <c r="U745" s="1">
        <v>40778</v>
      </c>
      <c r="V745" t="s">
        <v>123</v>
      </c>
      <c r="W745" t="s">
        <v>124</v>
      </c>
      <c r="X745" t="s">
        <v>58</v>
      </c>
      <c r="Y745">
        <v>20</v>
      </c>
      <c r="Z745" t="s">
        <v>59</v>
      </c>
      <c r="AA745" t="s">
        <v>59</v>
      </c>
      <c r="AB745" t="s">
        <v>59</v>
      </c>
      <c r="AC745" t="s">
        <v>59</v>
      </c>
      <c r="AD745" t="s">
        <v>59</v>
      </c>
      <c r="AF745" s="1">
        <v>40787</v>
      </c>
      <c r="AG745" t="s">
        <v>60</v>
      </c>
      <c r="AH745" t="s">
        <v>61</v>
      </c>
      <c r="AI745" t="str">
        <f>"9000624"</f>
        <v>9000624</v>
      </c>
      <c r="AJ745" t="s">
        <v>76</v>
      </c>
      <c r="AK745">
        <v>2810215020</v>
      </c>
      <c r="AL745" t="s">
        <v>77</v>
      </c>
      <c r="AM745" t="s">
        <v>78</v>
      </c>
      <c r="AN745" t="s">
        <v>78</v>
      </c>
      <c r="AO745" t="s">
        <v>78</v>
      </c>
      <c r="AP745" t="s">
        <v>79</v>
      </c>
      <c r="AR745" t="s">
        <v>80</v>
      </c>
      <c r="AS745" t="s">
        <v>81</v>
      </c>
      <c r="AT745" t="s">
        <v>58</v>
      </c>
      <c r="AU745" t="s">
        <v>68</v>
      </c>
      <c r="AV745" t="s">
        <v>69</v>
      </c>
      <c r="AW745" s="1">
        <v>23582</v>
      </c>
      <c r="AX745">
        <v>0</v>
      </c>
    </row>
    <row r="746" spans="1:50">
      <c r="A746">
        <v>183388</v>
      </c>
      <c r="B746" t="str">
        <f>"043886642"</f>
        <v>043886642</v>
      </c>
      <c r="C746" t="s">
        <v>50</v>
      </c>
      <c r="D746" t="s">
        <v>1969</v>
      </c>
      <c r="E746" t="s">
        <v>73</v>
      </c>
      <c r="F746" t="s">
        <v>1970</v>
      </c>
      <c r="G746" t="s">
        <v>83</v>
      </c>
      <c r="H746" t="str">
        <f>"ΚΑΛΛΙΠΟΛΕΩΣ 74 ΑΤΣΑΛΕΝΙΟ,ΗΡΑΚΛΕΙΟ"</f>
        <v>ΚΑΛΛΙΠΟΛΕΩΣ 74 ΑΤΣΑΛΕΝΙΟ,ΗΡΑΚΛΕΙΟ</v>
      </c>
      <c r="I746">
        <v>71306</v>
      </c>
      <c r="J746">
        <v>2810261978</v>
      </c>
      <c r="K746">
        <v>6972780513</v>
      </c>
      <c r="M746" t="s">
        <v>1971</v>
      </c>
      <c r="N746" t="s">
        <v>146</v>
      </c>
      <c r="O746" t="s">
        <v>147</v>
      </c>
      <c r="R746" t="s">
        <v>57</v>
      </c>
      <c r="S746">
        <v>14</v>
      </c>
      <c r="T746">
        <v>177</v>
      </c>
      <c r="U746" s="1">
        <v>36403</v>
      </c>
      <c r="V746" t="s">
        <v>123</v>
      </c>
      <c r="W746" t="s">
        <v>124</v>
      </c>
      <c r="X746" t="s">
        <v>58</v>
      </c>
      <c r="Y746">
        <v>18</v>
      </c>
      <c r="Z746" t="s">
        <v>59</v>
      </c>
      <c r="AA746" t="s">
        <v>59</v>
      </c>
      <c r="AB746" t="s">
        <v>59</v>
      </c>
      <c r="AC746" t="s">
        <v>59</v>
      </c>
      <c r="AD746" t="s">
        <v>59</v>
      </c>
      <c r="AF746" s="1">
        <v>36405</v>
      </c>
      <c r="AG746" t="s">
        <v>125</v>
      </c>
      <c r="AH746" t="s">
        <v>126</v>
      </c>
      <c r="AI746" t="str">
        <f>"1701041"</f>
        <v>1701041</v>
      </c>
      <c r="AJ746" t="s">
        <v>161</v>
      </c>
      <c r="AK746">
        <v>2810327052</v>
      </c>
      <c r="AL746" t="s">
        <v>162</v>
      </c>
      <c r="AM746" t="s">
        <v>78</v>
      </c>
      <c r="AN746" t="s">
        <v>78</v>
      </c>
      <c r="AO746" t="s">
        <v>78</v>
      </c>
      <c r="AP746" t="s">
        <v>163</v>
      </c>
      <c r="AQ746">
        <v>5</v>
      </c>
      <c r="AR746" t="s">
        <v>123</v>
      </c>
      <c r="AS746" t="s">
        <v>124</v>
      </c>
      <c r="AT746" t="s">
        <v>58</v>
      </c>
      <c r="AU746" t="s">
        <v>68</v>
      </c>
      <c r="AV746" t="s">
        <v>69</v>
      </c>
      <c r="AW746" s="1">
        <v>24851</v>
      </c>
      <c r="AX746">
        <v>2</v>
      </c>
    </row>
    <row r="747" spans="1:50">
      <c r="A747">
        <v>189936</v>
      </c>
      <c r="B747" t="str">
        <f>"044191080"</f>
        <v>044191080</v>
      </c>
      <c r="C747" t="s">
        <v>50</v>
      </c>
      <c r="D747" t="s">
        <v>1972</v>
      </c>
      <c r="E747" t="s">
        <v>610</v>
      </c>
      <c r="F747" t="s">
        <v>760</v>
      </c>
      <c r="G747" t="s">
        <v>1973</v>
      </c>
      <c r="H747" t="str">
        <f>" "</f>
        <v xml:space="preserve"> </v>
      </c>
      <c r="N747" t="s">
        <v>232</v>
      </c>
      <c r="O747" t="s">
        <v>233</v>
      </c>
      <c r="R747" t="s">
        <v>57</v>
      </c>
      <c r="S747">
        <v>13</v>
      </c>
      <c r="T747">
        <v>219</v>
      </c>
      <c r="U747" s="1">
        <v>37134</v>
      </c>
      <c r="V747" t="s">
        <v>123</v>
      </c>
      <c r="W747" t="s">
        <v>124</v>
      </c>
      <c r="X747" t="s">
        <v>58</v>
      </c>
      <c r="Y747">
        <v>20</v>
      </c>
      <c r="Z747" t="s">
        <v>59</v>
      </c>
      <c r="AA747" t="s">
        <v>59</v>
      </c>
      <c r="AB747" t="s">
        <v>59</v>
      </c>
      <c r="AC747" t="s">
        <v>59</v>
      </c>
      <c r="AD747" t="s">
        <v>59</v>
      </c>
      <c r="AF747" s="1">
        <v>37137</v>
      </c>
      <c r="AG747" t="s">
        <v>148</v>
      </c>
      <c r="AH747" t="s">
        <v>149</v>
      </c>
      <c r="AI747" t="str">
        <f>"1751070"</f>
        <v>1751070</v>
      </c>
      <c r="AJ747" t="s">
        <v>1435</v>
      </c>
      <c r="AK747">
        <v>2810771016</v>
      </c>
      <c r="AL747" t="s">
        <v>1436</v>
      </c>
      <c r="AM747" t="s">
        <v>78</v>
      </c>
      <c r="AN747" t="s">
        <v>219</v>
      </c>
      <c r="AO747" t="s">
        <v>1437</v>
      </c>
      <c r="AP747" t="s">
        <v>1437</v>
      </c>
      <c r="AQ747">
        <v>21</v>
      </c>
      <c r="AR747" t="s">
        <v>123</v>
      </c>
      <c r="AS747" t="s">
        <v>124</v>
      </c>
      <c r="AT747" t="s">
        <v>58</v>
      </c>
      <c r="AU747" t="s">
        <v>68</v>
      </c>
      <c r="AV747" t="s">
        <v>69</v>
      </c>
      <c r="AW747" s="1">
        <v>23130</v>
      </c>
      <c r="AX747">
        <v>2</v>
      </c>
    </row>
    <row r="748" spans="1:50">
      <c r="A748">
        <v>221121</v>
      </c>
      <c r="B748" t="str">
        <f>"048281899"</f>
        <v>048281899</v>
      </c>
      <c r="C748" t="s">
        <v>50</v>
      </c>
      <c r="D748" t="s">
        <v>1974</v>
      </c>
      <c r="E748" t="s">
        <v>109</v>
      </c>
      <c r="F748" t="s">
        <v>1975</v>
      </c>
      <c r="G748" t="s">
        <v>1959</v>
      </c>
      <c r="H748" t="str">
        <f>"ΜΙΧΑΗΛ ΑΡΧΑΓΓΕΛΟΥ 81 "</f>
        <v xml:space="preserve">ΜΙΧΑΗΛ ΑΡΧΑΓΓΕΛΟΥ 81 </v>
      </c>
      <c r="I748">
        <v>71304</v>
      </c>
      <c r="J748">
        <v>2810259098</v>
      </c>
      <c r="K748">
        <v>6944961407</v>
      </c>
      <c r="M748" t="s">
        <v>1976</v>
      </c>
      <c r="N748" t="s">
        <v>292</v>
      </c>
      <c r="O748" t="s">
        <v>293</v>
      </c>
      <c r="R748" t="s">
        <v>57</v>
      </c>
      <c r="S748">
        <v>5</v>
      </c>
      <c r="T748">
        <v>691</v>
      </c>
      <c r="U748" s="1">
        <v>39331</v>
      </c>
      <c r="V748" t="s">
        <v>123</v>
      </c>
      <c r="W748" t="s">
        <v>124</v>
      </c>
      <c r="X748" t="s">
        <v>58</v>
      </c>
      <c r="Y748">
        <v>21</v>
      </c>
      <c r="Z748" t="s">
        <v>59</v>
      </c>
      <c r="AA748" t="s">
        <v>59</v>
      </c>
      <c r="AB748" t="s">
        <v>59</v>
      </c>
      <c r="AC748" t="s">
        <v>59</v>
      </c>
      <c r="AD748" t="s">
        <v>59</v>
      </c>
      <c r="AF748" s="1">
        <v>39332</v>
      </c>
      <c r="AG748" t="s">
        <v>125</v>
      </c>
      <c r="AH748" t="s">
        <v>126</v>
      </c>
      <c r="AI748" t="str">
        <f>"1701052"</f>
        <v>1701052</v>
      </c>
      <c r="AJ748" t="s">
        <v>223</v>
      </c>
      <c r="AK748">
        <v>2810252514</v>
      </c>
      <c r="AL748" t="s">
        <v>224</v>
      </c>
      <c r="AM748" t="s">
        <v>78</v>
      </c>
      <c r="AN748" t="s">
        <v>78</v>
      </c>
      <c r="AO748" t="s">
        <v>78</v>
      </c>
      <c r="AP748" t="s">
        <v>141</v>
      </c>
      <c r="AQ748">
        <v>7</v>
      </c>
      <c r="AR748" t="s">
        <v>123</v>
      </c>
      <c r="AS748" t="s">
        <v>124</v>
      </c>
      <c r="AT748" t="s">
        <v>58</v>
      </c>
      <c r="AU748" t="s">
        <v>68</v>
      </c>
      <c r="AV748" t="s">
        <v>69</v>
      </c>
      <c r="AW748" s="1">
        <v>25503</v>
      </c>
      <c r="AX748">
        <v>2</v>
      </c>
    </row>
    <row r="749" spans="1:50">
      <c r="A749">
        <v>168935</v>
      </c>
      <c r="B749" t="str">
        <f>"016331305"</f>
        <v>016331305</v>
      </c>
      <c r="C749" t="s">
        <v>105</v>
      </c>
      <c r="D749" t="s">
        <v>1977</v>
      </c>
      <c r="E749" t="s">
        <v>95</v>
      </c>
      <c r="F749" t="s">
        <v>1506</v>
      </c>
      <c r="G749" t="s">
        <v>473</v>
      </c>
      <c r="H749" t="str">
        <f>" "</f>
        <v xml:space="preserve"> </v>
      </c>
      <c r="N749" t="s">
        <v>204</v>
      </c>
      <c r="O749" t="s">
        <v>205</v>
      </c>
      <c r="P749" t="s">
        <v>292</v>
      </c>
      <c r="Q749" t="s">
        <v>293</v>
      </c>
      <c r="R749" t="s">
        <v>57</v>
      </c>
      <c r="S749">
        <v>13</v>
      </c>
      <c r="T749">
        <v>159</v>
      </c>
      <c r="U749" s="1">
        <v>34582</v>
      </c>
      <c r="V749" t="s">
        <v>123</v>
      </c>
      <c r="W749" t="s">
        <v>124</v>
      </c>
      <c r="X749" t="s">
        <v>58</v>
      </c>
      <c r="Y749">
        <v>18</v>
      </c>
      <c r="Z749" t="s">
        <v>59</v>
      </c>
      <c r="AA749" t="s">
        <v>59</v>
      </c>
      <c r="AB749" t="s">
        <v>59</v>
      </c>
      <c r="AC749" t="s">
        <v>59</v>
      </c>
      <c r="AD749" t="s">
        <v>59</v>
      </c>
      <c r="AF749" s="1">
        <v>34583</v>
      </c>
      <c r="AG749" t="s">
        <v>125</v>
      </c>
      <c r="AH749" t="s">
        <v>126</v>
      </c>
      <c r="AI749" t="str">
        <f>"1701051"</f>
        <v>1701051</v>
      </c>
      <c r="AJ749" t="s">
        <v>443</v>
      </c>
      <c r="AK749">
        <v>2810325815</v>
      </c>
      <c r="AL749" t="s">
        <v>444</v>
      </c>
      <c r="AM749" t="s">
        <v>78</v>
      </c>
      <c r="AN749" t="s">
        <v>78</v>
      </c>
      <c r="AO749" t="s">
        <v>78</v>
      </c>
      <c r="AP749" t="s">
        <v>163</v>
      </c>
      <c r="AQ749">
        <v>5</v>
      </c>
      <c r="AR749" t="s">
        <v>123</v>
      </c>
      <c r="AS749" t="s">
        <v>124</v>
      </c>
      <c r="AT749" t="s">
        <v>58</v>
      </c>
      <c r="AU749" t="s">
        <v>68</v>
      </c>
      <c r="AV749" t="s">
        <v>69</v>
      </c>
      <c r="AW749" s="1">
        <v>24592</v>
      </c>
      <c r="AX749">
        <v>2</v>
      </c>
    </row>
    <row r="750" spans="1:50">
      <c r="A750">
        <v>229660</v>
      </c>
      <c r="B750" t="str">
        <f>"073652744"</f>
        <v>073652744</v>
      </c>
      <c r="C750" t="s">
        <v>105</v>
      </c>
      <c r="D750" t="s">
        <v>1978</v>
      </c>
      <c r="E750" t="s">
        <v>315</v>
      </c>
      <c r="F750" t="s">
        <v>72</v>
      </c>
      <c r="G750" t="s">
        <v>476</v>
      </c>
      <c r="H750" t="str">
        <f>"ΟΥΡΑΝΟΥ 6 ΒΟΥΛΙΑΓΜΕΝΗ"</f>
        <v>ΟΥΡΑΝΟΥ 6 ΒΟΥΛΙΑΓΜΕΝΗ</v>
      </c>
      <c r="I750">
        <v>16671</v>
      </c>
      <c r="J750">
        <v>2108960627</v>
      </c>
      <c r="K750">
        <v>6940855330</v>
      </c>
      <c r="M750" t="s">
        <v>1979</v>
      </c>
      <c r="N750" t="s">
        <v>331</v>
      </c>
      <c r="O750" t="s">
        <v>332</v>
      </c>
      <c r="R750" t="s">
        <v>57</v>
      </c>
      <c r="S750">
        <v>5</v>
      </c>
      <c r="T750">
        <v>988</v>
      </c>
      <c r="U750" s="1">
        <v>40157</v>
      </c>
      <c r="V750" t="s">
        <v>123</v>
      </c>
      <c r="W750" t="s">
        <v>124</v>
      </c>
      <c r="X750" t="s">
        <v>58</v>
      </c>
      <c r="Y750">
        <v>21</v>
      </c>
      <c r="Z750" t="s">
        <v>59</v>
      </c>
      <c r="AA750" t="s">
        <v>59</v>
      </c>
      <c r="AB750" t="s">
        <v>59</v>
      </c>
      <c r="AC750" t="s">
        <v>59</v>
      </c>
      <c r="AD750" t="s">
        <v>59</v>
      </c>
      <c r="AF750" s="1">
        <v>40162</v>
      </c>
      <c r="AG750" t="s">
        <v>137</v>
      </c>
      <c r="AH750" t="s">
        <v>138</v>
      </c>
      <c r="AI750" t="str">
        <f>"1740300"</f>
        <v>1740300</v>
      </c>
      <c r="AJ750" t="s">
        <v>1274</v>
      </c>
      <c r="AK750">
        <v>2892022100</v>
      </c>
      <c r="AL750" t="s">
        <v>1275</v>
      </c>
      <c r="AM750" t="s">
        <v>78</v>
      </c>
      <c r="AN750" t="s">
        <v>242</v>
      </c>
      <c r="AO750" t="s">
        <v>243</v>
      </c>
      <c r="AP750" t="s">
        <v>243</v>
      </c>
      <c r="AQ750">
        <v>33</v>
      </c>
      <c r="AR750" t="s">
        <v>123</v>
      </c>
      <c r="AS750" t="s">
        <v>124</v>
      </c>
      <c r="AT750" t="s">
        <v>58</v>
      </c>
      <c r="AU750" t="s">
        <v>68</v>
      </c>
      <c r="AV750" t="s">
        <v>69</v>
      </c>
      <c r="AW750" s="1">
        <v>27679</v>
      </c>
      <c r="AX750">
        <v>2</v>
      </c>
    </row>
    <row r="751" spans="1:50">
      <c r="A751">
        <v>212082</v>
      </c>
      <c r="B751" t="str">
        <f>"048148578"</f>
        <v>048148578</v>
      </c>
      <c r="C751" t="s">
        <v>50</v>
      </c>
      <c r="D751" t="s">
        <v>1980</v>
      </c>
      <c r="E751" t="s">
        <v>1355</v>
      </c>
      <c r="F751" t="s">
        <v>670</v>
      </c>
      <c r="G751" t="s">
        <v>1981</v>
      </c>
      <c r="H751" t="str">
        <f>"ΚΑΤΩ ΓΟΥΒΕΣ ΚΑΤΩ ΓΟΥΒΕΣ"</f>
        <v>ΚΑΤΩ ΓΟΥΒΕΣ ΚΑΤΩ ΓΟΥΒΕΣ</v>
      </c>
      <c r="I751">
        <v>70014</v>
      </c>
      <c r="J751">
        <v>2431027853</v>
      </c>
      <c r="K751">
        <v>6942408965</v>
      </c>
      <c r="L751">
        <v>2897041173</v>
      </c>
      <c r="M751" t="s">
        <v>1982</v>
      </c>
      <c r="N751" t="s">
        <v>146</v>
      </c>
      <c r="O751" t="s">
        <v>147</v>
      </c>
      <c r="R751" t="s">
        <v>57</v>
      </c>
      <c r="S751">
        <v>6</v>
      </c>
      <c r="T751">
        <v>231</v>
      </c>
      <c r="U751" s="1">
        <v>38960</v>
      </c>
      <c r="V751" t="s">
        <v>123</v>
      </c>
      <c r="W751" t="s">
        <v>124</v>
      </c>
      <c r="X751" t="s">
        <v>58</v>
      </c>
      <c r="Y751">
        <v>20</v>
      </c>
      <c r="Z751" t="s">
        <v>59</v>
      </c>
      <c r="AA751" t="s">
        <v>59</v>
      </c>
      <c r="AB751" t="s">
        <v>59</v>
      </c>
      <c r="AC751" t="s">
        <v>59</v>
      </c>
      <c r="AD751" t="s">
        <v>59</v>
      </c>
      <c r="AF751" s="1">
        <v>38961</v>
      </c>
      <c r="AG751" t="s">
        <v>125</v>
      </c>
      <c r="AH751" t="s">
        <v>126</v>
      </c>
      <c r="AI751" t="str">
        <f>"1714012"</f>
        <v>1714012</v>
      </c>
      <c r="AJ751" t="s">
        <v>633</v>
      </c>
      <c r="AK751">
        <v>2810762261</v>
      </c>
      <c r="AL751" t="s">
        <v>634</v>
      </c>
      <c r="AM751" t="s">
        <v>78</v>
      </c>
      <c r="AN751" t="s">
        <v>219</v>
      </c>
      <c r="AO751" t="s">
        <v>297</v>
      </c>
      <c r="AP751" t="s">
        <v>297</v>
      </c>
      <c r="AQ751">
        <v>37</v>
      </c>
      <c r="AR751" t="s">
        <v>123</v>
      </c>
      <c r="AS751" t="s">
        <v>124</v>
      </c>
      <c r="AT751" t="s">
        <v>58</v>
      </c>
      <c r="AU751" t="s">
        <v>68</v>
      </c>
      <c r="AV751" t="s">
        <v>69</v>
      </c>
      <c r="AW751" s="1">
        <v>26522</v>
      </c>
      <c r="AX751">
        <v>2</v>
      </c>
    </row>
    <row r="752" spans="1:50">
      <c r="B752" t="str">
        <f>"114589023"</f>
        <v>114589023</v>
      </c>
      <c r="C752" t="s">
        <v>50</v>
      </c>
      <c r="D752" t="s">
        <v>1983</v>
      </c>
      <c r="E752" t="s">
        <v>181</v>
      </c>
      <c r="F752" t="s">
        <v>99</v>
      </c>
      <c r="G752" t="s">
        <v>52</v>
      </c>
      <c r="H752" t="str">
        <f>" "</f>
        <v xml:space="preserve"> </v>
      </c>
      <c r="M752" t="s">
        <v>1984</v>
      </c>
      <c r="N752" t="s">
        <v>246</v>
      </c>
      <c r="O752" t="s">
        <v>247</v>
      </c>
      <c r="R752" t="s">
        <v>159</v>
      </c>
      <c r="S752">
        <v>3</v>
      </c>
      <c r="T752" t="s">
        <v>574</v>
      </c>
      <c r="U752" s="1">
        <v>43378</v>
      </c>
      <c r="V752" t="s">
        <v>123</v>
      </c>
      <c r="W752" t="s">
        <v>124</v>
      </c>
      <c r="X752" t="s">
        <v>58</v>
      </c>
      <c r="Y752">
        <v>23</v>
      </c>
      <c r="Z752" t="s">
        <v>59</v>
      </c>
      <c r="AA752" t="s">
        <v>59</v>
      </c>
      <c r="AB752" t="s">
        <v>59</v>
      </c>
      <c r="AD752" t="s">
        <v>59</v>
      </c>
      <c r="AF752" s="1">
        <v>43381</v>
      </c>
      <c r="AG752" t="s">
        <v>148</v>
      </c>
      <c r="AH752" t="s">
        <v>149</v>
      </c>
      <c r="AI752" t="str">
        <f>"1751070"</f>
        <v>1751070</v>
      </c>
      <c r="AJ752" t="s">
        <v>1435</v>
      </c>
      <c r="AK752">
        <v>2810771016</v>
      </c>
      <c r="AL752" t="s">
        <v>1436</v>
      </c>
      <c r="AM752" t="s">
        <v>78</v>
      </c>
      <c r="AN752" t="s">
        <v>219</v>
      </c>
      <c r="AO752" t="s">
        <v>1437</v>
      </c>
      <c r="AP752" t="s">
        <v>1437</v>
      </c>
      <c r="AQ752">
        <v>21</v>
      </c>
      <c r="AR752" t="s">
        <v>123</v>
      </c>
      <c r="AS752" t="s">
        <v>124</v>
      </c>
      <c r="AT752" t="s">
        <v>58</v>
      </c>
      <c r="AU752" t="s">
        <v>164</v>
      </c>
      <c r="AV752" t="s">
        <v>132</v>
      </c>
      <c r="AW752" s="1">
        <v>28502</v>
      </c>
      <c r="AX752">
        <v>2</v>
      </c>
    </row>
    <row r="753" spans="1:50">
      <c r="A753">
        <v>163731</v>
      </c>
      <c r="B753" t="str">
        <f>"038911532"</f>
        <v>038911532</v>
      </c>
      <c r="C753" t="s">
        <v>50</v>
      </c>
      <c r="D753" t="s">
        <v>1985</v>
      </c>
      <c r="E753" t="s">
        <v>255</v>
      </c>
      <c r="F753" t="s">
        <v>106</v>
      </c>
      <c r="G753" t="s">
        <v>54</v>
      </c>
      <c r="H753" t="str">
        <f>"ΜΑΧΗΣ ΚΡΗΤΗΣ 101 ΗΡΑΚΛΕΙΟ"</f>
        <v>ΜΑΧΗΣ ΚΡΗΤΗΣ 101 ΗΡΑΚΛΕΙΟ</v>
      </c>
      <c r="I753">
        <v>71409</v>
      </c>
      <c r="J753">
        <v>2892022823</v>
      </c>
      <c r="K753">
        <v>6944700996</v>
      </c>
      <c r="M753" t="s">
        <v>1986</v>
      </c>
      <c r="N753" t="s">
        <v>157</v>
      </c>
      <c r="O753" t="s">
        <v>158</v>
      </c>
      <c r="R753" t="s">
        <v>57</v>
      </c>
      <c r="S753">
        <v>13</v>
      </c>
      <c r="T753">
        <v>161</v>
      </c>
      <c r="U753" s="1">
        <v>33844</v>
      </c>
      <c r="V753" t="s">
        <v>123</v>
      </c>
      <c r="W753" t="s">
        <v>124</v>
      </c>
      <c r="X753" t="s">
        <v>58</v>
      </c>
      <c r="Y753">
        <v>18</v>
      </c>
      <c r="Z753" t="s">
        <v>59</v>
      </c>
      <c r="AA753" t="s">
        <v>59</v>
      </c>
      <c r="AB753" t="s">
        <v>59</v>
      </c>
      <c r="AC753" t="s">
        <v>59</v>
      </c>
      <c r="AD753" t="s">
        <v>59</v>
      </c>
      <c r="AF753" s="1">
        <v>33848</v>
      </c>
      <c r="AG753" t="s">
        <v>148</v>
      </c>
      <c r="AH753" t="s">
        <v>149</v>
      </c>
      <c r="AI753" t="str">
        <f>"1790210"</f>
        <v>1790210</v>
      </c>
      <c r="AJ753" t="s">
        <v>417</v>
      </c>
      <c r="AK753">
        <v>2810252172</v>
      </c>
      <c r="AL753" t="s">
        <v>418</v>
      </c>
      <c r="AM753" t="s">
        <v>78</v>
      </c>
      <c r="AN753" t="s">
        <v>78</v>
      </c>
      <c r="AO753" t="s">
        <v>78</v>
      </c>
      <c r="AP753" t="s">
        <v>141</v>
      </c>
      <c r="AQ753">
        <v>7</v>
      </c>
      <c r="AR753" t="s">
        <v>123</v>
      </c>
      <c r="AS753" t="s">
        <v>124</v>
      </c>
      <c r="AT753" t="s">
        <v>58</v>
      </c>
      <c r="AU753" t="s">
        <v>68</v>
      </c>
      <c r="AV753" t="s">
        <v>69</v>
      </c>
      <c r="AW753" s="1">
        <v>23660</v>
      </c>
      <c r="AX753">
        <v>2</v>
      </c>
    </row>
    <row r="754" spans="1:50">
      <c r="A754">
        <v>229263</v>
      </c>
      <c r="B754" t="str">
        <f>"101130919"</f>
        <v>101130919</v>
      </c>
      <c r="C754" t="s">
        <v>50</v>
      </c>
      <c r="D754" t="s">
        <v>1987</v>
      </c>
      <c r="E754" t="s">
        <v>237</v>
      </c>
      <c r="F754" t="s">
        <v>53</v>
      </c>
      <c r="G754" t="s">
        <v>73</v>
      </c>
      <c r="H754" t="str">
        <f>"ΚΑΡΑΪΣΚΑΚΗ 22 ΘΕΣΣΑΛΟΝΙΚΗ"</f>
        <v>ΚΑΡΑΪΣΚΑΚΗ 22 ΘΕΣΣΑΛΟΝΙΚΗ</v>
      </c>
      <c r="I754">
        <v>54641</v>
      </c>
      <c r="J754">
        <v>2104321551</v>
      </c>
      <c r="K754">
        <v>6974721620</v>
      </c>
      <c r="M754" t="s">
        <v>1988</v>
      </c>
      <c r="N754" t="s">
        <v>683</v>
      </c>
      <c r="O754" t="s">
        <v>684</v>
      </c>
      <c r="P754" t="s">
        <v>1989</v>
      </c>
      <c r="Q754" t="s">
        <v>1990</v>
      </c>
      <c r="R754" t="s">
        <v>57</v>
      </c>
      <c r="S754">
        <v>4</v>
      </c>
      <c r="T754">
        <v>792</v>
      </c>
      <c r="U754" s="1">
        <v>40081</v>
      </c>
      <c r="V754" t="s">
        <v>123</v>
      </c>
      <c r="W754" t="s">
        <v>124</v>
      </c>
      <c r="X754" t="s">
        <v>58</v>
      </c>
      <c r="Y754">
        <v>21</v>
      </c>
      <c r="Z754" t="s">
        <v>59</v>
      </c>
      <c r="AA754" t="s">
        <v>59</v>
      </c>
      <c r="AB754" t="s">
        <v>59</v>
      </c>
      <c r="AC754" t="s">
        <v>59</v>
      </c>
      <c r="AD754" t="s">
        <v>59</v>
      </c>
      <c r="AF754" s="1">
        <v>40084</v>
      </c>
      <c r="AG754" t="s">
        <v>125</v>
      </c>
      <c r="AH754" t="s">
        <v>126</v>
      </c>
      <c r="AI754" t="str">
        <f>"1701056"</f>
        <v>1701056</v>
      </c>
      <c r="AJ754" t="s">
        <v>211</v>
      </c>
      <c r="AK754">
        <v>2810245445</v>
      </c>
      <c r="AL754" t="s">
        <v>212</v>
      </c>
      <c r="AM754" t="s">
        <v>78</v>
      </c>
      <c r="AN754" t="s">
        <v>78</v>
      </c>
      <c r="AO754" t="s">
        <v>78</v>
      </c>
      <c r="AP754" t="s">
        <v>213</v>
      </c>
      <c r="AQ754">
        <v>6</v>
      </c>
      <c r="AR754" t="s">
        <v>123</v>
      </c>
      <c r="AS754" t="s">
        <v>124</v>
      </c>
      <c r="AT754" t="s">
        <v>58</v>
      </c>
      <c r="AU754" t="s">
        <v>68</v>
      </c>
      <c r="AV754" t="s">
        <v>69</v>
      </c>
      <c r="AW754" s="1">
        <v>28158</v>
      </c>
      <c r="AX754">
        <v>2</v>
      </c>
    </row>
    <row r="755" spans="1:50">
      <c r="A755">
        <v>158617</v>
      </c>
      <c r="B755" t="str">
        <f>"041834846"</f>
        <v>041834846</v>
      </c>
      <c r="C755" t="s">
        <v>50</v>
      </c>
      <c r="D755" t="s">
        <v>1987</v>
      </c>
      <c r="E755" t="s">
        <v>506</v>
      </c>
      <c r="F755" t="s">
        <v>95</v>
      </c>
      <c r="G755" t="s">
        <v>494</v>
      </c>
      <c r="H755" t="str">
        <f>"ΠΑΤΡΑΣ 39 ΜΕΣΑΜΠΕΛΙΕΣ"</f>
        <v>ΠΑΤΡΑΣ 39 ΜΕΣΑΜΠΕΛΙΕΣ</v>
      </c>
      <c r="I755">
        <v>71409</v>
      </c>
      <c r="J755">
        <v>2810236376</v>
      </c>
      <c r="K755">
        <v>6948046507</v>
      </c>
      <c r="M755" t="s">
        <v>1991</v>
      </c>
      <c r="N755" t="s">
        <v>337</v>
      </c>
      <c r="O755" t="s">
        <v>338</v>
      </c>
      <c r="R755" t="s">
        <v>57</v>
      </c>
      <c r="S755">
        <v>14</v>
      </c>
      <c r="T755">
        <v>161</v>
      </c>
      <c r="U755" s="1">
        <v>33119</v>
      </c>
      <c r="V755" t="s">
        <v>123</v>
      </c>
      <c r="W755" t="s">
        <v>124</v>
      </c>
      <c r="X755" t="s">
        <v>58</v>
      </c>
      <c r="Y755">
        <v>18</v>
      </c>
      <c r="Z755" t="s">
        <v>59</v>
      </c>
      <c r="AA755" t="s">
        <v>59</v>
      </c>
      <c r="AB755" t="s">
        <v>59</v>
      </c>
      <c r="AC755" t="s">
        <v>59</v>
      </c>
      <c r="AD755" t="s">
        <v>59</v>
      </c>
      <c r="AF755" s="1">
        <v>33120</v>
      </c>
      <c r="AG755" t="s">
        <v>125</v>
      </c>
      <c r="AH755" t="s">
        <v>126</v>
      </c>
      <c r="AI755" t="str">
        <f>"1728010"</f>
        <v>1728010</v>
      </c>
      <c r="AJ755" t="s">
        <v>127</v>
      </c>
      <c r="AK755">
        <v>2810824651</v>
      </c>
      <c r="AL755" t="s">
        <v>128</v>
      </c>
      <c r="AM755" t="s">
        <v>78</v>
      </c>
      <c r="AN755" t="s">
        <v>129</v>
      </c>
      <c r="AO755" t="s">
        <v>130</v>
      </c>
      <c r="AP755" t="s">
        <v>130</v>
      </c>
      <c r="AQ755">
        <v>36</v>
      </c>
      <c r="AR755" t="s">
        <v>123</v>
      </c>
      <c r="AS755" t="s">
        <v>124</v>
      </c>
      <c r="AT755" t="s">
        <v>58</v>
      </c>
      <c r="AU755" t="s">
        <v>68</v>
      </c>
      <c r="AV755" t="s">
        <v>69</v>
      </c>
      <c r="AW755" s="1">
        <v>22685</v>
      </c>
      <c r="AX755">
        <v>2</v>
      </c>
    </row>
    <row r="756" spans="1:50">
      <c r="A756">
        <v>217939</v>
      </c>
      <c r="B756" t="str">
        <f>"114296748"</f>
        <v>114296748</v>
      </c>
      <c r="C756" t="s">
        <v>50</v>
      </c>
      <c r="D756" t="s">
        <v>1987</v>
      </c>
      <c r="E756" t="s">
        <v>1992</v>
      </c>
      <c r="F756" t="s">
        <v>106</v>
      </c>
      <c r="G756" t="s">
        <v>263</v>
      </c>
      <c r="H756" t="str">
        <f>"ΘΕΟΔΟΣΙΟΥ ΜΑΤΘΑΙΑΚΗ 74 ΗΡΑΚΛΕΙΟΥ"</f>
        <v>ΘΕΟΔΟΣΙΟΥ ΜΑΤΘΑΙΑΚΗ 74 ΗΡΑΚΛΕΙΟΥ</v>
      </c>
      <c r="I756">
        <v>71305</v>
      </c>
      <c r="J756">
        <v>2810245986</v>
      </c>
      <c r="K756">
        <v>6974195421</v>
      </c>
      <c r="M756" t="s">
        <v>1993</v>
      </c>
      <c r="N756" t="s">
        <v>292</v>
      </c>
      <c r="O756" t="s">
        <v>293</v>
      </c>
      <c r="R756" t="s">
        <v>57</v>
      </c>
      <c r="S756">
        <v>7</v>
      </c>
      <c r="T756">
        <v>599</v>
      </c>
      <c r="U756" s="1">
        <v>39310</v>
      </c>
      <c r="V756" t="s">
        <v>123</v>
      </c>
      <c r="W756" t="s">
        <v>124</v>
      </c>
      <c r="X756" t="s">
        <v>58</v>
      </c>
      <c r="Y756">
        <v>20</v>
      </c>
      <c r="Z756" t="s">
        <v>59</v>
      </c>
      <c r="AA756" t="s">
        <v>59</v>
      </c>
      <c r="AB756" t="s">
        <v>59</v>
      </c>
      <c r="AC756" t="s">
        <v>59</v>
      </c>
      <c r="AD756" t="s">
        <v>59</v>
      </c>
      <c r="AF756" s="1">
        <v>39328</v>
      </c>
      <c r="AG756" t="s">
        <v>148</v>
      </c>
      <c r="AH756" t="s">
        <v>149</v>
      </c>
      <c r="AI756" t="str">
        <f>"1751052"</f>
        <v>1751052</v>
      </c>
      <c r="AJ756" t="s">
        <v>328</v>
      </c>
      <c r="AK756">
        <v>2810213762</v>
      </c>
      <c r="AL756" t="s">
        <v>329</v>
      </c>
      <c r="AM756" t="s">
        <v>78</v>
      </c>
      <c r="AN756" t="s">
        <v>78</v>
      </c>
      <c r="AO756" t="s">
        <v>78</v>
      </c>
      <c r="AP756" t="s">
        <v>163</v>
      </c>
      <c r="AQ756">
        <v>8</v>
      </c>
      <c r="AR756" t="s">
        <v>123</v>
      </c>
      <c r="AS756" t="s">
        <v>124</v>
      </c>
      <c r="AT756" t="s">
        <v>58</v>
      </c>
      <c r="AU756" t="s">
        <v>68</v>
      </c>
      <c r="AV756" t="s">
        <v>357</v>
      </c>
      <c r="AW756" s="1">
        <v>28304</v>
      </c>
      <c r="AX756">
        <v>2</v>
      </c>
    </row>
    <row r="757" spans="1:50">
      <c r="A757">
        <v>199899</v>
      </c>
      <c r="B757" t="str">
        <f>"072132140"</f>
        <v>072132140</v>
      </c>
      <c r="C757" t="s">
        <v>105</v>
      </c>
      <c r="D757" t="s">
        <v>1994</v>
      </c>
      <c r="E757" t="s">
        <v>99</v>
      </c>
      <c r="F757" t="s">
        <v>1995</v>
      </c>
      <c r="G757" t="s">
        <v>314</v>
      </c>
      <c r="H757" t="str">
        <f>"Γ. ΓΕΝΝΗΜΑΤΑ 11 ΑΓ. ΜΑΡΙΝΑ ΓΑΖΙ"</f>
        <v>Γ. ΓΕΝΝΗΜΑΤΑ 11 ΑΓ. ΜΑΡΙΝΑ ΓΑΖΙ</v>
      </c>
      <c r="I757">
        <v>71414</v>
      </c>
      <c r="J757">
        <v>2810312805</v>
      </c>
      <c r="K757">
        <v>6947645628</v>
      </c>
      <c r="M757" t="s">
        <v>1996</v>
      </c>
      <c r="N757" t="s">
        <v>204</v>
      </c>
      <c r="O757" t="s">
        <v>205</v>
      </c>
      <c r="P757" t="s">
        <v>331</v>
      </c>
      <c r="Q757" t="s">
        <v>332</v>
      </c>
      <c r="R757" t="s">
        <v>57</v>
      </c>
      <c r="S757">
        <v>7</v>
      </c>
      <c r="T757">
        <v>206</v>
      </c>
      <c r="U757" s="1">
        <v>37866</v>
      </c>
      <c r="V757" t="s">
        <v>123</v>
      </c>
      <c r="W757" t="s">
        <v>124</v>
      </c>
      <c r="X757" t="s">
        <v>58</v>
      </c>
      <c r="Y757">
        <v>20</v>
      </c>
      <c r="Z757" t="s">
        <v>59</v>
      </c>
      <c r="AA757" t="s">
        <v>59</v>
      </c>
      <c r="AB757" t="s">
        <v>59</v>
      </c>
      <c r="AC757" t="s">
        <v>59</v>
      </c>
      <c r="AD757" t="s">
        <v>59</v>
      </c>
      <c r="AF757" s="1">
        <v>37866</v>
      </c>
      <c r="AG757" t="s">
        <v>125</v>
      </c>
      <c r="AH757" t="s">
        <v>126</v>
      </c>
      <c r="AI757" t="str">
        <f>"1701052"</f>
        <v>1701052</v>
      </c>
      <c r="AJ757" t="s">
        <v>223</v>
      </c>
      <c r="AK757">
        <v>2810252514</v>
      </c>
      <c r="AL757" t="s">
        <v>224</v>
      </c>
      <c r="AM757" t="s">
        <v>78</v>
      </c>
      <c r="AN757" t="s">
        <v>78</v>
      </c>
      <c r="AO757" t="s">
        <v>78</v>
      </c>
      <c r="AP757" t="s">
        <v>141</v>
      </c>
      <c r="AQ757">
        <v>7</v>
      </c>
      <c r="AR757" t="s">
        <v>123</v>
      </c>
      <c r="AS757" t="s">
        <v>124</v>
      </c>
      <c r="AT757" t="s">
        <v>58</v>
      </c>
      <c r="AU757" t="s">
        <v>68</v>
      </c>
      <c r="AV757" t="s">
        <v>69</v>
      </c>
      <c r="AW757" s="1">
        <v>25228</v>
      </c>
      <c r="AX757">
        <v>2</v>
      </c>
    </row>
    <row r="758" spans="1:50">
      <c r="A758">
        <v>225342</v>
      </c>
      <c r="B758" t="str">
        <f>"079043593"</f>
        <v>079043593</v>
      </c>
      <c r="C758" t="s">
        <v>50</v>
      </c>
      <c r="D758" t="s">
        <v>1997</v>
      </c>
      <c r="E758" t="s">
        <v>52</v>
      </c>
      <c r="F758" t="s">
        <v>311</v>
      </c>
      <c r="G758" t="s">
        <v>1355</v>
      </c>
      <c r="H758" t="str">
        <f>"ΛΟΥΚΑ ΠΕΤΡΑΚΗ 4 ΗΡΑΚΛΕΙΟ"</f>
        <v>ΛΟΥΚΑ ΠΕΤΡΑΚΗ 4 ΗΡΑΚΛΕΙΟ</v>
      </c>
      <c r="I758">
        <v>71306</v>
      </c>
      <c r="J758">
        <v>2810284441</v>
      </c>
      <c r="K758">
        <v>6934222929</v>
      </c>
      <c r="L758">
        <v>6945757287</v>
      </c>
      <c r="M758" t="s">
        <v>1998</v>
      </c>
      <c r="N758" t="s">
        <v>337</v>
      </c>
      <c r="O758" t="s">
        <v>338</v>
      </c>
      <c r="R758" t="s">
        <v>57</v>
      </c>
      <c r="S758">
        <v>8</v>
      </c>
      <c r="T758">
        <v>775</v>
      </c>
      <c r="U758" s="1">
        <v>39680</v>
      </c>
      <c r="V758" t="s">
        <v>123</v>
      </c>
      <c r="W758" t="s">
        <v>124</v>
      </c>
      <c r="X758" t="s">
        <v>58</v>
      </c>
      <c r="Y758">
        <v>20</v>
      </c>
      <c r="Z758" t="s">
        <v>59</v>
      </c>
      <c r="AA758" t="s">
        <v>59</v>
      </c>
      <c r="AB758" t="s">
        <v>59</v>
      </c>
      <c r="AC758" t="s">
        <v>59</v>
      </c>
      <c r="AD758" t="s">
        <v>59</v>
      </c>
      <c r="AF758" s="1">
        <v>39682</v>
      </c>
      <c r="AG758" t="s">
        <v>125</v>
      </c>
      <c r="AH758" t="s">
        <v>126</v>
      </c>
      <c r="AI758" t="str">
        <f>"1714012"</f>
        <v>1714012</v>
      </c>
      <c r="AJ758" t="s">
        <v>633</v>
      </c>
      <c r="AK758">
        <v>2810762261</v>
      </c>
      <c r="AL758" t="s">
        <v>634</v>
      </c>
      <c r="AM758" t="s">
        <v>78</v>
      </c>
      <c r="AN758" t="s">
        <v>219</v>
      </c>
      <c r="AO758" t="s">
        <v>297</v>
      </c>
      <c r="AP758" t="s">
        <v>297</v>
      </c>
      <c r="AQ758">
        <v>37</v>
      </c>
      <c r="AR758" t="s">
        <v>123</v>
      </c>
      <c r="AS758" t="s">
        <v>124</v>
      </c>
      <c r="AT758" t="s">
        <v>58</v>
      </c>
      <c r="AU758" t="s">
        <v>68</v>
      </c>
      <c r="AV758" t="s">
        <v>69</v>
      </c>
      <c r="AW758" s="1">
        <v>28844</v>
      </c>
      <c r="AX758">
        <v>2</v>
      </c>
    </row>
    <row r="759" spans="1:50">
      <c r="A759">
        <v>701613</v>
      </c>
      <c r="B759" t="str">
        <f>"131455645"</f>
        <v>131455645</v>
      </c>
      <c r="C759" t="s">
        <v>50</v>
      </c>
      <c r="D759" t="s">
        <v>1997</v>
      </c>
      <c r="E759" t="s">
        <v>707</v>
      </c>
      <c r="F759" t="s">
        <v>166</v>
      </c>
      <c r="G759" t="s">
        <v>250</v>
      </c>
      <c r="H759" t="str">
        <f>"ΖΑΧΑΡΙΟΥΔΑΚΗ 1 ΗΡΑΚΛΕΙΟ"</f>
        <v>ΖΑΧΑΡΙΟΥΔΑΚΗ 1 ΗΡΑΚΛΕΙΟ</v>
      </c>
      <c r="I759">
        <v>71305</v>
      </c>
      <c r="J759">
        <v>2810323604</v>
      </c>
      <c r="K759">
        <v>6944841699</v>
      </c>
      <c r="N759" t="s">
        <v>146</v>
      </c>
      <c r="O759" t="s">
        <v>147</v>
      </c>
      <c r="R759" t="s">
        <v>57</v>
      </c>
      <c r="S759">
        <v>6</v>
      </c>
      <c r="T759">
        <v>772</v>
      </c>
      <c r="U759" s="1">
        <v>40413</v>
      </c>
      <c r="V759" t="s">
        <v>123</v>
      </c>
      <c r="W759" t="s">
        <v>124</v>
      </c>
      <c r="X759" t="s">
        <v>58</v>
      </c>
      <c r="Y759">
        <v>21</v>
      </c>
      <c r="Z759" t="s">
        <v>59</v>
      </c>
      <c r="AA759" t="s">
        <v>59</v>
      </c>
      <c r="AB759" t="s">
        <v>59</v>
      </c>
      <c r="AC759" t="s">
        <v>59</v>
      </c>
      <c r="AD759" t="s">
        <v>59</v>
      </c>
      <c r="AF759" s="1">
        <v>40413</v>
      </c>
      <c r="AG759" t="s">
        <v>148</v>
      </c>
      <c r="AH759" t="s">
        <v>149</v>
      </c>
      <c r="AI759" t="str">
        <f>"1754010"</f>
        <v>1754010</v>
      </c>
      <c r="AJ759" t="s">
        <v>1167</v>
      </c>
      <c r="AK759">
        <v>2895022277</v>
      </c>
      <c r="AL759" t="s">
        <v>1168</v>
      </c>
      <c r="AM759" t="s">
        <v>78</v>
      </c>
      <c r="AN759" t="s">
        <v>482</v>
      </c>
      <c r="AO759" t="s">
        <v>482</v>
      </c>
      <c r="AP759" t="s">
        <v>483</v>
      </c>
      <c r="AQ759">
        <v>16</v>
      </c>
      <c r="AR759" t="s">
        <v>123</v>
      </c>
      <c r="AS759" t="s">
        <v>124</v>
      </c>
      <c r="AT759" t="s">
        <v>58</v>
      </c>
      <c r="AU759" t="s">
        <v>68</v>
      </c>
      <c r="AV759" t="s">
        <v>69</v>
      </c>
      <c r="AW759" s="1">
        <v>30797</v>
      </c>
      <c r="AX759">
        <v>2</v>
      </c>
    </row>
    <row r="760" spans="1:50">
      <c r="A760">
        <v>182210</v>
      </c>
      <c r="B760" t="str">
        <f>"025780920"</f>
        <v>025780920</v>
      </c>
      <c r="C760" t="s">
        <v>105</v>
      </c>
      <c r="D760" t="s">
        <v>1999</v>
      </c>
      <c r="E760" t="s">
        <v>166</v>
      </c>
      <c r="F760" t="s">
        <v>106</v>
      </c>
      <c r="G760" t="s">
        <v>54</v>
      </c>
      <c r="H760" t="str">
        <f>"ΖΑΧΑΡΙΟΥΔΑΚΗ ΕΜΜ 1 ΜΑΣΤΑΜΠΑΣ"</f>
        <v>ΖΑΧΑΡΙΟΥΔΑΚΗ ΕΜΜ 1 ΜΑΣΤΑΜΠΑΣ</v>
      </c>
      <c r="I760">
        <v>71305</v>
      </c>
      <c r="J760">
        <v>2810323604</v>
      </c>
      <c r="K760">
        <v>6944558211</v>
      </c>
      <c r="M760" t="s">
        <v>2000</v>
      </c>
      <c r="N760" t="s">
        <v>157</v>
      </c>
      <c r="O760" t="s">
        <v>158</v>
      </c>
      <c r="R760" t="s">
        <v>57</v>
      </c>
      <c r="S760">
        <v>18</v>
      </c>
      <c r="T760">
        <v>271</v>
      </c>
      <c r="U760" s="1">
        <v>30923</v>
      </c>
      <c r="V760" t="s">
        <v>123</v>
      </c>
      <c r="W760" t="s">
        <v>124</v>
      </c>
      <c r="X760" t="s">
        <v>58</v>
      </c>
      <c r="Y760">
        <v>18</v>
      </c>
      <c r="Z760" t="s">
        <v>59</v>
      </c>
      <c r="AA760" t="s">
        <v>59</v>
      </c>
      <c r="AB760" t="s">
        <v>59</v>
      </c>
      <c r="AC760" t="s">
        <v>59</v>
      </c>
      <c r="AD760" t="s">
        <v>59</v>
      </c>
      <c r="AF760" s="1">
        <v>30928</v>
      </c>
      <c r="AG760" t="s">
        <v>125</v>
      </c>
      <c r="AH760" t="s">
        <v>126</v>
      </c>
      <c r="AI760" t="str">
        <f>"1701057"</f>
        <v>1701057</v>
      </c>
      <c r="AJ760" t="s">
        <v>379</v>
      </c>
      <c r="AK760">
        <v>2810234488</v>
      </c>
      <c r="AL760" t="s">
        <v>380</v>
      </c>
      <c r="AM760" t="s">
        <v>78</v>
      </c>
      <c r="AN760" t="s">
        <v>78</v>
      </c>
      <c r="AO760" t="s">
        <v>78</v>
      </c>
      <c r="AP760" t="s">
        <v>163</v>
      </c>
      <c r="AQ760">
        <v>8</v>
      </c>
      <c r="AR760" t="s">
        <v>123</v>
      </c>
      <c r="AS760" t="s">
        <v>124</v>
      </c>
      <c r="AT760" t="s">
        <v>58</v>
      </c>
      <c r="AU760" t="s">
        <v>68</v>
      </c>
      <c r="AV760" t="s">
        <v>69</v>
      </c>
      <c r="AW760" s="1">
        <v>22304</v>
      </c>
      <c r="AX760">
        <v>2</v>
      </c>
    </row>
    <row r="761" spans="1:50">
      <c r="A761">
        <v>172739</v>
      </c>
      <c r="B761" t="str">
        <f>"029555941"</f>
        <v>029555941</v>
      </c>
      <c r="C761" t="s">
        <v>105</v>
      </c>
      <c r="D761" t="s">
        <v>2001</v>
      </c>
      <c r="E761" t="s">
        <v>2002</v>
      </c>
      <c r="F761" t="s">
        <v>95</v>
      </c>
      <c r="G761" t="s">
        <v>52</v>
      </c>
      <c r="H761" t="str">
        <f>"ΣΤΡΑΤΗ ΓΛΥΚΟΠΟΥΛΟΥ 27 ΗΡΑΚΛΕΙΟΥ (Ν. ΗΡΑΚΛΕΙΟΥ)"</f>
        <v>ΣΤΡΑΤΗ ΓΛΥΚΟΠΟΥΛΟΥ 27 ΗΡΑΚΛΕΙΟΥ (Ν. ΗΡΑΚΛΕΙΟΥ)</v>
      </c>
      <c r="I761">
        <v>71307</v>
      </c>
      <c r="J761">
        <v>2810212683</v>
      </c>
      <c r="K761">
        <v>6976557838</v>
      </c>
      <c r="M761" t="s">
        <v>2003</v>
      </c>
      <c r="N761" t="s">
        <v>2004</v>
      </c>
      <c r="O761" t="s">
        <v>2005</v>
      </c>
      <c r="R761" t="s">
        <v>57</v>
      </c>
      <c r="S761">
        <v>12</v>
      </c>
      <c r="T761">
        <v>184</v>
      </c>
      <c r="U761" s="1">
        <v>34941</v>
      </c>
      <c r="V761" t="s">
        <v>123</v>
      </c>
      <c r="W761" t="s">
        <v>124</v>
      </c>
      <c r="X761" t="s">
        <v>58</v>
      </c>
      <c r="Y761">
        <v>18</v>
      </c>
      <c r="Z761" t="s">
        <v>59</v>
      </c>
      <c r="AA761" t="s">
        <v>59</v>
      </c>
      <c r="AB761" t="s">
        <v>59</v>
      </c>
      <c r="AC761" t="s">
        <v>59</v>
      </c>
      <c r="AD761" t="s">
        <v>59</v>
      </c>
      <c r="AF761" s="1">
        <v>34943</v>
      </c>
      <c r="AG761" t="s">
        <v>137</v>
      </c>
      <c r="AH761" t="s">
        <v>469</v>
      </c>
      <c r="AI761" t="str">
        <f>"1740200"</f>
        <v>1740200</v>
      </c>
      <c r="AJ761" t="s">
        <v>470</v>
      </c>
      <c r="AK761">
        <v>2810320770</v>
      </c>
      <c r="AL761" t="s">
        <v>471</v>
      </c>
      <c r="AM761" t="s">
        <v>78</v>
      </c>
      <c r="AN761" t="s">
        <v>78</v>
      </c>
      <c r="AO761" t="s">
        <v>78</v>
      </c>
      <c r="AP761" t="s">
        <v>163</v>
      </c>
      <c r="AQ761">
        <v>2</v>
      </c>
      <c r="AR761" t="s">
        <v>123</v>
      </c>
      <c r="AS761" t="s">
        <v>124</v>
      </c>
      <c r="AT761" t="s">
        <v>58</v>
      </c>
      <c r="AU761" t="s">
        <v>68</v>
      </c>
      <c r="AV761" t="s">
        <v>69</v>
      </c>
      <c r="AW761" s="1">
        <v>24301</v>
      </c>
      <c r="AX761">
        <v>2</v>
      </c>
    </row>
    <row r="762" spans="1:50">
      <c r="A762">
        <v>185756</v>
      </c>
      <c r="B762" t="str">
        <f>"046270110"</f>
        <v>046270110</v>
      </c>
      <c r="C762" t="s">
        <v>50</v>
      </c>
      <c r="D762" t="s">
        <v>2006</v>
      </c>
      <c r="E762" t="s">
        <v>52</v>
      </c>
      <c r="F762" t="s">
        <v>72</v>
      </c>
      <c r="G762" t="s">
        <v>250</v>
      </c>
      <c r="H762" t="str">
        <f>"ΑΓΙΟΣ ΣΥΛΛΑΣ ΗΡΑΚΛΕΙΟ"</f>
        <v>ΑΓΙΟΣ ΣΥΛΛΑΣ ΗΡΑΚΛΕΙΟ</v>
      </c>
      <c r="I762">
        <v>71500</v>
      </c>
      <c r="J762">
        <v>2813007871</v>
      </c>
      <c r="K762">
        <v>6937339357</v>
      </c>
      <c r="M762" t="s">
        <v>2007</v>
      </c>
      <c r="N762" t="s">
        <v>146</v>
      </c>
      <c r="O762" t="s">
        <v>147</v>
      </c>
      <c r="R762" t="s">
        <v>57</v>
      </c>
      <c r="S762">
        <v>9</v>
      </c>
      <c r="T762">
        <v>250</v>
      </c>
      <c r="U762" s="1">
        <v>36769</v>
      </c>
      <c r="V762" t="s">
        <v>123</v>
      </c>
      <c r="W762" t="s">
        <v>124</v>
      </c>
      <c r="X762" t="s">
        <v>58</v>
      </c>
      <c r="Y762">
        <v>20</v>
      </c>
      <c r="Z762" t="s">
        <v>59</v>
      </c>
      <c r="AA762" t="s">
        <v>59</v>
      </c>
      <c r="AB762" t="s">
        <v>59</v>
      </c>
      <c r="AC762" t="s">
        <v>59</v>
      </c>
      <c r="AD762" t="s">
        <v>59</v>
      </c>
      <c r="AF762" s="1">
        <v>36770</v>
      </c>
      <c r="AG762" t="s">
        <v>148</v>
      </c>
      <c r="AH762" t="s">
        <v>149</v>
      </c>
      <c r="AI762" t="str">
        <f>"1790100"</f>
        <v>1790100</v>
      </c>
      <c r="AJ762" t="s">
        <v>252</v>
      </c>
      <c r="AK762">
        <v>2810234876</v>
      </c>
      <c r="AL762" t="s">
        <v>253</v>
      </c>
      <c r="AM762" t="s">
        <v>78</v>
      </c>
      <c r="AN762" t="s">
        <v>78</v>
      </c>
      <c r="AO762" t="s">
        <v>78</v>
      </c>
      <c r="AP762" t="s">
        <v>163</v>
      </c>
      <c r="AQ762">
        <v>5</v>
      </c>
      <c r="AR762" t="s">
        <v>123</v>
      </c>
      <c r="AS762" t="s">
        <v>124</v>
      </c>
      <c r="AT762" t="s">
        <v>58</v>
      </c>
      <c r="AU762" t="s">
        <v>68</v>
      </c>
      <c r="AV762" t="s">
        <v>69</v>
      </c>
      <c r="AW762" s="1">
        <v>25195</v>
      </c>
      <c r="AX762">
        <v>2</v>
      </c>
    </row>
    <row r="763" spans="1:50">
      <c r="A763">
        <v>196179</v>
      </c>
      <c r="B763" t="str">
        <f>"038779147"</f>
        <v>038779147</v>
      </c>
      <c r="C763" t="s">
        <v>105</v>
      </c>
      <c r="D763" t="s">
        <v>2008</v>
      </c>
      <c r="E763" t="s">
        <v>95</v>
      </c>
      <c r="F763" t="s">
        <v>72</v>
      </c>
      <c r="G763" t="s">
        <v>787</v>
      </c>
      <c r="H763" t="str">
        <f>"ΜΑΚΕΔΟΝΙΑΣ 16 "</f>
        <v xml:space="preserve">ΜΑΚΕΔΟΝΙΑΣ 16 </v>
      </c>
      <c r="I763">
        <v>71414</v>
      </c>
      <c r="J763">
        <v>2810822104</v>
      </c>
      <c r="K763">
        <v>6972616996</v>
      </c>
      <c r="M763" t="s">
        <v>2009</v>
      </c>
      <c r="N763" t="s">
        <v>176</v>
      </c>
      <c r="O763" t="s">
        <v>177</v>
      </c>
      <c r="R763" t="s">
        <v>57</v>
      </c>
      <c r="S763">
        <v>12</v>
      </c>
      <c r="T763">
        <v>184</v>
      </c>
      <c r="U763" s="1">
        <v>34941</v>
      </c>
      <c r="V763" t="s">
        <v>123</v>
      </c>
      <c r="W763" t="s">
        <v>124</v>
      </c>
      <c r="X763" t="s">
        <v>58</v>
      </c>
      <c r="Y763">
        <v>18</v>
      </c>
      <c r="Z763" t="s">
        <v>59</v>
      </c>
      <c r="AA763" t="s">
        <v>59</v>
      </c>
      <c r="AB763" t="s">
        <v>59</v>
      </c>
      <c r="AC763" t="s">
        <v>59</v>
      </c>
      <c r="AD763" t="s">
        <v>59</v>
      </c>
      <c r="AF763" s="1">
        <v>34943</v>
      </c>
      <c r="AG763" t="s">
        <v>125</v>
      </c>
      <c r="AH763" t="s">
        <v>126</v>
      </c>
      <c r="AI763" t="str">
        <f>"1701052"</f>
        <v>1701052</v>
      </c>
      <c r="AJ763" t="s">
        <v>223</v>
      </c>
      <c r="AK763">
        <v>2810252514</v>
      </c>
      <c r="AL763" t="s">
        <v>224</v>
      </c>
      <c r="AM763" t="s">
        <v>78</v>
      </c>
      <c r="AN763" t="s">
        <v>78</v>
      </c>
      <c r="AO763" t="s">
        <v>78</v>
      </c>
      <c r="AP763" t="s">
        <v>141</v>
      </c>
      <c r="AQ763">
        <v>7</v>
      </c>
      <c r="AR763" t="s">
        <v>123</v>
      </c>
      <c r="AS763" t="s">
        <v>124</v>
      </c>
      <c r="AT763" t="s">
        <v>58</v>
      </c>
      <c r="AU763" t="s">
        <v>68</v>
      </c>
      <c r="AV763" t="s">
        <v>69</v>
      </c>
      <c r="AW763" s="1">
        <v>23582</v>
      </c>
      <c r="AX763">
        <v>2</v>
      </c>
    </row>
    <row r="764" spans="1:50">
      <c r="A764">
        <v>217943</v>
      </c>
      <c r="B764" t="str">
        <f>"055431614"</f>
        <v>055431614</v>
      </c>
      <c r="C764" t="s">
        <v>50</v>
      </c>
      <c r="D764" t="s">
        <v>2010</v>
      </c>
      <c r="E764" t="s">
        <v>964</v>
      </c>
      <c r="F764" t="s">
        <v>53</v>
      </c>
      <c r="G764" t="s">
        <v>83</v>
      </c>
      <c r="H764" t="str">
        <f>" "</f>
        <v xml:space="preserve"> </v>
      </c>
      <c r="J764">
        <v>2810236165</v>
      </c>
      <c r="K764">
        <v>6932363405</v>
      </c>
      <c r="N764" t="s">
        <v>292</v>
      </c>
      <c r="O764" t="s">
        <v>293</v>
      </c>
      <c r="R764" t="s">
        <v>57</v>
      </c>
      <c r="S764">
        <v>7</v>
      </c>
      <c r="T764">
        <v>599</v>
      </c>
      <c r="U764" s="1">
        <v>39310</v>
      </c>
      <c r="V764" t="s">
        <v>123</v>
      </c>
      <c r="W764" t="s">
        <v>124</v>
      </c>
      <c r="X764" t="s">
        <v>58</v>
      </c>
      <c r="Y764">
        <v>20</v>
      </c>
      <c r="Z764" t="s">
        <v>59</v>
      </c>
      <c r="AA764" t="s">
        <v>59</v>
      </c>
      <c r="AB764" t="s">
        <v>59</v>
      </c>
      <c r="AC764" t="s">
        <v>59</v>
      </c>
      <c r="AD764" t="s">
        <v>59</v>
      </c>
      <c r="AF764" s="1">
        <v>39328</v>
      </c>
      <c r="AG764" t="s">
        <v>137</v>
      </c>
      <c r="AH764" t="s">
        <v>138</v>
      </c>
      <c r="AI764" t="str">
        <f>"1750080"</f>
        <v>1750080</v>
      </c>
      <c r="AJ764" t="s">
        <v>170</v>
      </c>
      <c r="AK764">
        <v>2810234444</v>
      </c>
      <c r="AL764" t="s">
        <v>171</v>
      </c>
      <c r="AM764" t="s">
        <v>78</v>
      </c>
      <c r="AN764" t="s">
        <v>78</v>
      </c>
      <c r="AO764" t="s">
        <v>78</v>
      </c>
      <c r="AP764" t="s">
        <v>163</v>
      </c>
      <c r="AQ764">
        <v>9</v>
      </c>
      <c r="AR764" t="s">
        <v>123</v>
      </c>
      <c r="AS764" t="s">
        <v>124</v>
      </c>
      <c r="AT764" t="s">
        <v>58</v>
      </c>
      <c r="AU764" t="s">
        <v>68</v>
      </c>
      <c r="AV764" t="s">
        <v>69</v>
      </c>
      <c r="AW764" s="1">
        <v>25161</v>
      </c>
      <c r="AX764">
        <v>2</v>
      </c>
    </row>
    <row r="765" spans="1:50">
      <c r="A765">
        <v>185008</v>
      </c>
      <c r="B765" t="str">
        <f>"047589153"</f>
        <v>047589153</v>
      </c>
      <c r="C765" t="s">
        <v>50</v>
      </c>
      <c r="D765" t="s">
        <v>2010</v>
      </c>
      <c r="E765" t="s">
        <v>52</v>
      </c>
      <c r="F765" t="s">
        <v>510</v>
      </c>
      <c r="G765" t="s">
        <v>658</v>
      </c>
      <c r="H765" t="str">
        <f>"ΚΟΜΝΗΝΩΝ 22 ΗΡΑΚΛΕΙΟ"</f>
        <v>ΚΟΜΝΗΝΩΝ 22 ΗΡΑΚΛΕΙΟ</v>
      </c>
      <c r="K765">
        <v>6936644717</v>
      </c>
      <c r="M765" t="s">
        <v>2011</v>
      </c>
      <c r="N765" t="s">
        <v>337</v>
      </c>
      <c r="O765" t="s">
        <v>338</v>
      </c>
      <c r="R765" t="s">
        <v>57</v>
      </c>
      <c r="S765">
        <v>9</v>
      </c>
      <c r="T765">
        <v>177</v>
      </c>
      <c r="U765" s="1">
        <v>36403</v>
      </c>
      <c r="V765" t="s">
        <v>123</v>
      </c>
      <c r="W765" t="s">
        <v>124</v>
      </c>
      <c r="X765" t="s">
        <v>58</v>
      </c>
      <c r="Y765">
        <v>20</v>
      </c>
      <c r="Z765" t="s">
        <v>59</v>
      </c>
      <c r="AA765" t="s">
        <v>59</v>
      </c>
      <c r="AB765" t="s">
        <v>59</v>
      </c>
      <c r="AC765" t="s">
        <v>59</v>
      </c>
      <c r="AD765" t="s">
        <v>59</v>
      </c>
      <c r="AF765" s="1">
        <v>36413</v>
      </c>
      <c r="AG765" t="s">
        <v>125</v>
      </c>
      <c r="AH765" t="s">
        <v>126</v>
      </c>
      <c r="AI765" t="str">
        <f>"1702010"</f>
        <v>1702010</v>
      </c>
      <c r="AJ765" t="s">
        <v>604</v>
      </c>
      <c r="AK765">
        <v>2891022228</v>
      </c>
      <c r="AL765" t="s">
        <v>605</v>
      </c>
      <c r="AM765" t="s">
        <v>78</v>
      </c>
      <c r="AN765" t="s">
        <v>276</v>
      </c>
      <c r="AO765" t="s">
        <v>490</v>
      </c>
      <c r="AP765" t="s">
        <v>490</v>
      </c>
      <c r="AQ765">
        <v>15</v>
      </c>
      <c r="AR765" t="s">
        <v>123</v>
      </c>
      <c r="AS765" t="s">
        <v>124</v>
      </c>
      <c r="AT765" t="s">
        <v>58</v>
      </c>
      <c r="AU765" t="s">
        <v>68</v>
      </c>
      <c r="AV765" t="s">
        <v>69</v>
      </c>
      <c r="AW765" s="1">
        <v>27106</v>
      </c>
      <c r="AX765">
        <v>2</v>
      </c>
    </row>
    <row r="766" spans="1:50">
      <c r="A766">
        <v>183787</v>
      </c>
      <c r="B766" t="str">
        <f>"042713247"</f>
        <v>042713247</v>
      </c>
      <c r="C766" t="s">
        <v>50</v>
      </c>
      <c r="D766" t="s">
        <v>2010</v>
      </c>
      <c r="E766" t="s">
        <v>460</v>
      </c>
      <c r="F766" t="s">
        <v>53</v>
      </c>
      <c r="G766" t="s">
        <v>83</v>
      </c>
      <c r="H766" t="str">
        <f>" "</f>
        <v xml:space="preserve"> </v>
      </c>
      <c r="M766" t="s">
        <v>2012</v>
      </c>
      <c r="N766" t="s">
        <v>292</v>
      </c>
      <c r="O766" t="s">
        <v>293</v>
      </c>
      <c r="R766" t="s">
        <v>57</v>
      </c>
      <c r="S766">
        <v>10</v>
      </c>
      <c r="T766">
        <v>177</v>
      </c>
      <c r="U766" s="1">
        <v>36403</v>
      </c>
      <c r="V766" t="s">
        <v>123</v>
      </c>
      <c r="W766" t="s">
        <v>124</v>
      </c>
      <c r="X766" t="s">
        <v>58</v>
      </c>
      <c r="Y766">
        <v>18</v>
      </c>
      <c r="Z766" t="s">
        <v>59</v>
      </c>
      <c r="AA766" t="s">
        <v>59</v>
      </c>
      <c r="AB766" t="s">
        <v>59</v>
      </c>
      <c r="AC766" t="s">
        <v>59</v>
      </c>
      <c r="AD766" t="s">
        <v>59</v>
      </c>
      <c r="AF766" s="1">
        <v>36409</v>
      </c>
      <c r="AG766" t="s">
        <v>125</v>
      </c>
      <c r="AH766" t="s">
        <v>126</v>
      </c>
      <c r="AI766" t="str">
        <f>"1701054"</f>
        <v>1701054</v>
      </c>
      <c r="AJ766" t="s">
        <v>318</v>
      </c>
      <c r="AK766">
        <v>2810252418</v>
      </c>
      <c r="AL766" t="s">
        <v>319</v>
      </c>
      <c r="AM766" t="s">
        <v>78</v>
      </c>
      <c r="AN766" t="s">
        <v>78</v>
      </c>
      <c r="AO766" t="s">
        <v>78</v>
      </c>
      <c r="AP766" t="s">
        <v>141</v>
      </c>
      <c r="AQ766">
        <v>7</v>
      </c>
      <c r="AR766" t="s">
        <v>123</v>
      </c>
      <c r="AS766" t="s">
        <v>124</v>
      </c>
      <c r="AT766" t="s">
        <v>58</v>
      </c>
      <c r="AU766" t="s">
        <v>68</v>
      </c>
      <c r="AV766" t="s">
        <v>69</v>
      </c>
      <c r="AW766" s="1">
        <v>22469</v>
      </c>
      <c r="AX766">
        <v>2</v>
      </c>
    </row>
    <row r="767" spans="1:50">
      <c r="A767">
        <v>215142</v>
      </c>
      <c r="B767" t="str">
        <f>"057793424"</f>
        <v>057793424</v>
      </c>
      <c r="C767" t="s">
        <v>50</v>
      </c>
      <c r="D767" t="s">
        <v>2013</v>
      </c>
      <c r="E767" t="s">
        <v>1078</v>
      </c>
      <c r="F767" t="s">
        <v>2014</v>
      </c>
      <c r="G767" t="s">
        <v>237</v>
      </c>
      <c r="H767" t="str">
        <f>" "</f>
        <v xml:space="preserve"> </v>
      </c>
      <c r="J767">
        <v>2810823352</v>
      </c>
      <c r="K767">
        <v>6934532748</v>
      </c>
      <c r="N767" t="s">
        <v>907</v>
      </c>
      <c r="O767" t="s">
        <v>908</v>
      </c>
      <c r="R767" t="s">
        <v>57</v>
      </c>
      <c r="S767">
        <v>7</v>
      </c>
      <c r="T767">
        <v>231</v>
      </c>
      <c r="U767" s="1">
        <v>38960</v>
      </c>
      <c r="V767" t="s">
        <v>123</v>
      </c>
      <c r="W767" t="s">
        <v>124</v>
      </c>
      <c r="X767" t="s">
        <v>58</v>
      </c>
      <c r="Y767">
        <v>20</v>
      </c>
      <c r="Z767" t="s">
        <v>59</v>
      </c>
      <c r="AA767" t="s">
        <v>59</v>
      </c>
      <c r="AB767" t="s">
        <v>59</v>
      </c>
      <c r="AC767" t="s">
        <v>59</v>
      </c>
      <c r="AD767" t="s">
        <v>59</v>
      </c>
      <c r="AF767" s="1">
        <v>38961</v>
      </c>
      <c r="AG767" t="s">
        <v>137</v>
      </c>
      <c r="AH767" t="s">
        <v>138</v>
      </c>
      <c r="AI767" t="str">
        <f>"1740070"</f>
        <v>1740070</v>
      </c>
      <c r="AJ767" t="s">
        <v>206</v>
      </c>
      <c r="AK767">
        <v>2810324880</v>
      </c>
      <c r="AL767" t="s">
        <v>207</v>
      </c>
      <c r="AM767" t="s">
        <v>78</v>
      </c>
      <c r="AN767" t="s">
        <v>78</v>
      </c>
      <c r="AO767" t="s">
        <v>78</v>
      </c>
      <c r="AP767" t="s">
        <v>163</v>
      </c>
      <c r="AQ767">
        <v>9</v>
      </c>
      <c r="AR767" t="s">
        <v>123</v>
      </c>
      <c r="AS767" t="s">
        <v>124</v>
      </c>
      <c r="AT767" t="s">
        <v>58</v>
      </c>
      <c r="AU767" t="s">
        <v>68</v>
      </c>
      <c r="AV767" t="s">
        <v>69</v>
      </c>
      <c r="AW767" s="1">
        <v>25569</v>
      </c>
      <c r="AX767">
        <v>2</v>
      </c>
    </row>
    <row r="768" spans="1:50">
      <c r="A768">
        <v>204790</v>
      </c>
      <c r="B768" t="str">
        <f>"044195564"</f>
        <v>044195564</v>
      </c>
      <c r="C768" t="s">
        <v>50</v>
      </c>
      <c r="D768" t="s">
        <v>2015</v>
      </c>
      <c r="E768" t="s">
        <v>237</v>
      </c>
      <c r="F768" t="s">
        <v>166</v>
      </c>
      <c r="G768" t="s">
        <v>112</v>
      </c>
      <c r="H768" t="str">
        <f>" "</f>
        <v xml:space="preserve"> </v>
      </c>
      <c r="M768" t="s">
        <v>2016</v>
      </c>
      <c r="N768" t="s">
        <v>168</v>
      </c>
      <c r="O768" t="s">
        <v>169</v>
      </c>
      <c r="R768" t="s">
        <v>57</v>
      </c>
      <c r="S768">
        <v>8</v>
      </c>
      <c r="T768">
        <v>231</v>
      </c>
      <c r="U768" s="1">
        <v>38230</v>
      </c>
      <c r="V768" t="s">
        <v>123</v>
      </c>
      <c r="W768" t="s">
        <v>124</v>
      </c>
      <c r="X768" t="s">
        <v>58</v>
      </c>
      <c r="Y768">
        <v>20</v>
      </c>
      <c r="Z768" t="s">
        <v>59</v>
      </c>
      <c r="AA768" t="s">
        <v>59</v>
      </c>
      <c r="AB768" t="s">
        <v>59</v>
      </c>
      <c r="AC768" t="s">
        <v>59</v>
      </c>
      <c r="AD768" t="s">
        <v>59</v>
      </c>
      <c r="AF768" s="1">
        <v>38232</v>
      </c>
      <c r="AG768" t="s">
        <v>137</v>
      </c>
      <c r="AH768" t="s">
        <v>138</v>
      </c>
      <c r="AI768" t="str">
        <f>"1740100"</f>
        <v>1740100</v>
      </c>
      <c r="AJ768" t="s">
        <v>857</v>
      </c>
      <c r="AK768">
        <v>2810360741</v>
      </c>
      <c r="AL768" t="s">
        <v>858</v>
      </c>
      <c r="AM768" t="s">
        <v>78</v>
      </c>
      <c r="AN768" t="s">
        <v>78</v>
      </c>
      <c r="AO768" t="s">
        <v>78</v>
      </c>
      <c r="AP768" t="s">
        <v>163</v>
      </c>
      <c r="AQ768">
        <v>5</v>
      </c>
      <c r="AR768" t="s">
        <v>123</v>
      </c>
      <c r="AS768" t="s">
        <v>124</v>
      </c>
      <c r="AT768" t="s">
        <v>58</v>
      </c>
      <c r="AU768" t="s">
        <v>68</v>
      </c>
      <c r="AV768" t="s">
        <v>69</v>
      </c>
      <c r="AW768" s="1">
        <v>23950</v>
      </c>
      <c r="AX768">
        <v>2</v>
      </c>
    </row>
    <row r="769" spans="1:50">
      <c r="A769">
        <v>152254</v>
      </c>
      <c r="B769" t="str">
        <f>"027318626"</f>
        <v>027318626</v>
      </c>
      <c r="C769" t="s">
        <v>50</v>
      </c>
      <c r="D769" t="s">
        <v>2015</v>
      </c>
      <c r="E769" t="s">
        <v>1179</v>
      </c>
      <c r="F769" t="s">
        <v>166</v>
      </c>
      <c r="G769" t="s">
        <v>83</v>
      </c>
      <c r="H769" t="str">
        <f>"ΠΑΤΣΙΔΕΣ  "</f>
        <v xml:space="preserve">ΠΑΤΣΙΔΕΣ  </v>
      </c>
      <c r="K769">
        <v>6974452555</v>
      </c>
      <c r="M769" t="s">
        <v>2017</v>
      </c>
      <c r="N769" t="s">
        <v>146</v>
      </c>
      <c r="O769" t="s">
        <v>147</v>
      </c>
      <c r="R769" t="s">
        <v>57</v>
      </c>
      <c r="S769">
        <v>16</v>
      </c>
      <c r="T769">
        <v>193</v>
      </c>
      <c r="U769" s="1">
        <v>32042</v>
      </c>
      <c r="V769" t="s">
        <v>123</v>
      </c>
      <c r="W769" t="s">
        <v>124</v>
      </c>
      <c r="X769" t="s">
        <v>58</v>
      </c>
      <c r="Y769">
        <v>18</v>
      </c>
      <c r="Z769" t="s">
        <v>59</v>
      </c>
      <c r="AA769" t="s">
        <v>59</v>
      </c>
      <c r="AB769" t="s">
        <v>59</v>
      </c>
      <c r="AC769" t="s">
        <v>59</v>
      </c>
      <c r="AD769" t="s">
        <v>59</v>
      </c>
      <c r="AF769" s="1">
        <v>32050</v>
      </c>
      <c r="AG769" t="s">
        <v>148</v>
      </c>
      <c r="AH769" t="s">
        <v>149</v>
      </c>
      <c r="AI769" t="str">
        <f>"1751041"</f>
        <v>1751041</v>
      </c>
      <c r="AJ769" t="s">
        <v>353</v>
      </c>
      <c r="AK769">
        <v>2810230207</v>
      </c>
      <c r="AL769" t="s">
        <v>354</v>
      </c>
      <c r="AM769" t="s">
        <v>78</v>
      </c>
      <c r="AN769" t="s">
        <v>78</v>
      </c>
      <c r="AO769" t="s">
        <v>78</v>
      </c>
      <c r="AP769" t="s">
        <v>163</v>
      </c>
      <c r="AQ769">
        <v>2</v>
      </c>
      <c r="AR769" t="s">
        <v>123</v>
      </c>
      <c r="AS769" t="s">
        <v>124</v>
      </c>
      <c r="AT769" t="s">
        <v>58</v>
      </c>
      <c r="AU769" t="s">
        <v>68</v>
      </c>
      <c r="AV769" t="s">
        <v>69</v>
      </c>
      <c r="AW769" s="1">
        <v>22121</v>
      </c>
      <c r="AX769">
        <v>2</v>
      </c>
    </row>
    <row r="770" spans="1:50">
      <c r="A770">
        <v>200808</v>
      </c>
      <c r="B770" t="str">
        <f>"100116927"</f>
        <v>100116927</v>
      </c>
      <c r="C770" t="s">
        <v>105</v>
      </c>
      <c r="D770" t="s">
        <v>2018</v>
      </c>
      <c r="E770" t="s">
        <v>95</v>
      </c>
      <c r="F770" t="s">
        <v>166</v>
      </c>
      <c r="G770" t="s">
        <v>237</v>
      </c>
      <c r="H770" t="str">
        <f>"Μαγγανάρηδων 19 Μασταμπάς"</f>
        <v>Μαγγανάρηδων 19 Μασταμπάς</v>
      </c>
      <c r="I770">
        <v>71305</v>
      </c>
      <c r="J770">
        <v>2810237775</v>
      </c>
      <c r="K770">
        <v>6974461073</v>
      </c>
      <c r="M770" t="s">
        <v>2019</v>
      </c>
      <c r="N770" t="s">
        <v>204</v>
      </c>
      <c r="O770" t="s">
        <v>205</v>
      </c>
      <c r="R770" t="s">
        <v>57</v>
      </c>
      <c r="S770">
        <v>8</v>
      </c>
      <c r="T770">
        <v>213</v>
      </c>
      <c r="U770" s="1">
        <v>37874</v>
      </c>
      <c r="V770" t="s">
        <v>123</v>
      </c>
      <c r="W770" t="s">
        <v>124</v>
      </c>
      <c r="X770" t="s">
        <v>58</v>
      </c>
      <c r="Y770">
        <v>20</v>
      </c>
      <c r="Z770" t="s">
        <v>59</v>
      </c>
      <c r="AA770" t="s">
        <v>59</v>
      </c>
      <c r="AB770" t="s">
        <v>59</v>
      </c>
      <c r="AC770" t="s">
        <v>59</v>
      </c>
      <c r="AD770" t="s">
        <v>59</v>
      </c>
      <c r="AF770" s="1">
        <v>37876</v>
      </c>
      <c r="AG770" t="s">
        <v>148</v>
      </c>
      <c r="AH770" t="s">
        <v>149</v>
      </c>
      <c r="AI770" t="str">
        <f>"1764010"</f>
        <v>1764010</v>
      </c>
      <c r="AJ770" t="s">
        <v>1058</v>
      </c>
      <c r="AK770">
        <v>2810762862</v>
      </c>
      <c r="AL770" t="s">
        <v>1059</v>
      </c>
      <c r="AM770" t="s">
        <v>78</v>
      </c>
      <c r="AN770" t="s">
        <v>219</v>
      </c>
      <c r="AO770" t="s">
        <v>297</v>
      </c>
      <c r="AP770" t="s">
        <v>297</v>
      </c>
      <c r="AQ770">
        <v>37</v>
      </c>
      <c r="AR770" t="s">
        <v>123</v>
      </c>
      <c r="AS770" t="s">
        <v>124</v>
      </c>
      <c r="AT770" t="s">
        <v>58</v>
      </c>
      <c r="AU770" t="s">
        <v>68</v>
      </c>
      <c r="AV770" t="s">
        <v>69</v>
      </c>
      <c r="AW770" s="1">
        <v>27088</v>
      </c>
      <c r="AX770">
        <v>2</v>
      </c>
    </row>
    <row r="771" spans="1:50">
      <c r="A771">
        <v>702665</v>
      </c>
      <c r="B771" t="str">
        <f>"079042584"</f>
        <v>079042584</v>
      </c>
      <c r="C771" t="s">
        <v>105</v>
      </c>
      <c r="D771" t="s">
        <v>2018</v>
      </c>
      <c r="E771" t="s">
        <v>106</v>
      </c>
      <c r="F771" t="s">
        <v>84</v>
      </c>
      <c r="G771" t="s">
        <v>255</v>
      </c>
      <c r="H771" t="str">
        <f>"ΑΝΩΓΕΙΩΝ 1 ΓΑΖΙ-ΗΡΑΚΛΕΙΟ"</f>
        <v>ΑΝΩΓΕΙΩΝ 1 ΓΑΖΙ-ΗΡΑΚΛΕΙΟ</v>
      </c>
      <c r="I771">
        <v>71414</v>
      </c>
      <c r="J771">
        <v>2810821022</v>
      </c>
      <c r="K771">
        <v>6973328223</v>
      </c>
      <c r="M771" t="s">
        <v>2020</v>
      </c>
      <c r="N771" t="s">
        <v>292</v>
      </c>
      <c r="O771" t="s">
        <v>293</v>
      </c>
      <c r="R771" t="s">
        <v>57</v>
      </c>
      <c r="S771">
        <v>4</v>
      </c>
      <c r="T771">
        <v>772</v>
      </c>
      <c r="U771" s="1">
        <v>40413</v>
      </c>
      <c r="V771" t="s">
        <v>123</v>
      </c>
      <c r="W771" t="s">
        <v>124</v>
      </c>
      <c r="X771" t="s">
        <v>58</v>
      </c>
      <c r="Y771">
        <v>21</v>
      </c>
      <c r="Z771" t="s">
        <v>59</v>
      </c>
      <c r="AA771" t="s">
        <v>59</v>
      </c>
      <c r="AB771" t="s">
        <v>59</v>
      </c>
      <c r="AC771" t="s">
        <v>59</v>
      </c>
      <c r="AD771" t="s">
        <v>59</v>
      </c>
      <c r="AF771" s="1">
        <v>40413</v>
      </c>
      <c r="AG771" t="s">
        <v>125</v>
      </c>
      <c r="AH771" t="s">
        <v>538</v>
      </c>
      <c r="AI771" t="str">
        <f>"1701002"</f>
        <v>1701002</v>
      </c>
      <c r="AJ771" t="s">
        <v>539</v>
      </c>
      <c r="AK771">
        <v>2810213569</v>
      </c>
      <c r="AL771" t="s">
        <v>540</v>
      </c>
      <c r="AM771" t="s">
        <v>78</v>
      </c>
      <c r="AN771" t="s">
        <v>78</v>
      </c>
      <c r="AO771" t="s">
        <v>78</v>
      </c>
      <c r="AP771" t="s">
        <v>163</v>
      </c>
      <c r="AQ771">
        <v>11</v>
      </c>
      <c r="AR771" t="s">
        <v>123</v>
      </c>
      <c r="AS771" t="s">
        <v>124</v>
      </c>
      <c r="AT771" t="s">
        <v>58</v>
      </c>
      <c r="AU771" t="s">
        <v>68</v>
      </c>
      <c r="AV771" t="s">
        <v>69</v>
      </c>
      <c r="AW771" s="1">
        <v>26589</v>
      </c>
      <c r="AX771">
        <v>2</v>
      </c>
    </row>
    <row r="772" spans="1:50">
      <c r="A772">
        <v>136181</v>
      </c>
      <c r="B772" t="str">
        <f>"025109661"</f>
        <v>025109661</v>
      </c>
      <c r="C772" t="s">
        <v>105</v>
      </c>
      <c r="D772" t="s">
        <v>2018</v>
      </c>
      <c r="E772" t="s">
        <v>106</v>
      </c>
      <c r="F772" t="s">
        <v>166</v>
      </c>
      <c r="G772" t="s">
        <v>83</v>
      </c>
      <c r="H772" t="str">
        <f>"ΑΓΙΑΣ ΜΑΡΙΝΑΣ 1 ΓΑΖΙ"</f>
        <v>ΑΓΙΑΣ ΜΑΡΙΝΑΣ 1 ΓΑΖΙ</v>
      </c>
      <c r="I772">
        <v>71414</v>
      </c>
      <c r="J772">
        <v>2810322415</v>
      </c>
      <c r="N772" t="s">
        <v>157</v>
      </c>
      <c r="O772" t="s">
        <v>158</v>
      </c>
      <c r="R772" t="s">
        <v>57</v>
      </c>
      <c r="S772">
        <v>17</v>
      </c>
      <c r="T772">
        <v>271</v>
      </c>
      <c r="U772" s="1">
        <v>30195</v>
      </c>
      <c r="V772" t="s">
        <v>123</v>
      </c>
      <c r="W772" t="s">
        <v>124</v>
      </c>
      <c r="X772" t="s">
        <v>58</v>
      </c>
      <c r="Y772">
        <v>18</v>
      </c>
      <c r="Z772" t="s">
        <v>59</v>
      </c>
      <c r="AA772" t="s">
        <v>59</v>
      </c>
      <c r="AB772" t="s">
        <v>59</v>
      </c>
      <c r="AC772" t="s">
        <v>59</v>
      </c>
      <c r="AD772" t="s">
        <v>59</v>
      </c>
      <c r="AF772" s="1">
        <v>30208</v>
      </c>
      <c r="AG772" t="s">
        <v>148</v>
      </c>
      <c r="AH772" t="s">
        <v>149</v>
      </c>
      <c r="AI772" t="str">
        <f>"1751051"</f>
        <v>1751051</v>
      </c>
      <c r="AJ772" t="s">
        <v>259</v>
      </c>
      <c r="AK772">
        <v>2810251794</v>
      </c>
      <c r="AL772" t="s">
        <v>260</v>
      </c>
      <c r="AM772" t="s">
        <v>78</v>
      </c>
      <c r="AN772" t="s">
        <v>78</v>
      </c>
      <c r="AO772" t="s">
        <v>78</v>
      </c>
      <c r="AP772" t="s">
        <v>141</v>
      </c>
      <c r="AQ772">
        <v>7</v>
      </c>
      <c r="AR772" t="s">
        <v>123</v>
      </c>
      <c r="AS772" t="s">
        <v>124</v>
      </c>
      <c r="AT772" t="s">
        <v>58</v>
      </c>
      <c r="AU772" t="s">
        <v>68</v>
      </c>
      <c r="AV772" t="s">
        <v>69</v>
      </c>
      <c r="AW772" s="1">
        <v>20977</v>
      </c>
      <c r="AX772">
        <v>2</v>
      </c>
    </row>
    <row r="773" spans="1:50">
      <c r="A773">
        <v>199900</v>
      </c>
      <c r="B773" t="str">
        <f>"056388501"</f>
        <v>056388501</v>
      </c>
      <c r="C773" t="s">
        <v>105</v>
      </c>
      <c r="D773" t="s">
        <v>2018</v>
      </c>
      <c r="E773" t="s">
        <v>496</v>
      </c>
      <c r="F773" t="s">
        <v>95</v>
      </c>
      <c r="G773" t="s">
        <v>255</v>
      </c>
      <c r="H773" t="str">
        <f>" "</f>
        <v xml:space="preserve"> </v>
      </c>
      <c r="J773">
        <v>2897033849</v>
      </c>
      <c r="K773">
        <v>6972234347</v>
      </c>
      <c r="M773" t="s">
        <v>2021</v>
      </c>
      <c r="N773" t="s">
        <v>204</v>
      </c>
      <c r="O773" t="s">
        <v>205</v>
      </c>
      <c r="P773" t="s">
        <v>299</v>
      </c>
      <c r="Q773" t="s">
        <v>300</v>
      </c>
      <c r="R773" t="s">
        <v>57</v>
      </c>
      <c r="S773">
        <v>7</v>
      </c>
      <c r="T773">
        <v>206</v>
      </c>
      <c r="U773" s="1">
        <v>37866</v>
      </c>
      <c r="V773" t="s">
        <v>123</v>
      </c>
      <c r="W773" t="s">
        <v>124</v>
      </c>
      <c r="X773" t="s">
        <v>58</v>
      </c>
      <c r="Y773">
        <v>20</v>
      </c>
      <c r="Z773" t="s">
        <v>59</v>
      </c>
      <c r="AA773" t="s">
        <v>59</v>
      </c>
      <c r="AB773" t="s">
        <v>59</v>
      </c>
      <c r="AC773" t="s">
        <v>59</v>
      </c>
      <c r="AD773" t="s">
        <v>59</v>
      </c>
      <c r="AF773" s="1">
        <v>37866</v>
      </c>
      <c r="AG773" t="s">
        <v>125</v>
      </c>
      <c r="AH773" t="s">
        <v>126</v>
      </c>
      <c r="AI773" t="str">
        <f>"1718010"</f>
        <v>1718010</v>
      </c>
      <c r="AJ773" t="s">
        <v>1090</v>
      </c>
      <c r="AK773">
        <v>2897031471</v>
      </c>
      <c r="AL773" t="s">
        <v>1091</v>
      </c>
      <c r="AM773" t="s">
        <v>78</v>
      </c>
      <c r="AN773" t="s">
        <v>219</v>
      </c>
      <c r="AO773" t="s">
        <v>527</v>
      </c>
      <c r="AP773" t="s">
        <v>527</v>
      </c>
      <c r="AQ773">
        <v>20</v>
      </c>
      <c r="AR773" t="s">
        <v>123</v>
      </c>
      <c r="AS773" t="s">
        <v>124</v>
      </c>
      <c r="AT773" t="s">
        <v>58</v>
      </c>
      <c r="AU773" t="s">
        <v>68</v>
      </c>
      <c r="AV773" t="s">
        <v>69</v>
      </c>
      <c r="AW773" s="1">
        <v>25733</v>
      </c>
      <c r="AX773">
        <v>2</v>
      </c>
    </row>
    <row r="774" spans="1:50">
      <c r="A774">
        <v>176326</v>
      </c>
      <c r="B774" t="str">
        <f>"033432464"</f>
        <v>033432464</v>
      </c>
      <c r="C774" t="s">
        <v>50</v>
      </c>
      <c r="D774" t="s">
        <v>2022</v>
      </c>
      <c r="E774" t="s">
        <v>755</v>
      </c>
      <c r="F774" t="s">
        <v>2023</v>
      </c>
      <c r="G774" t="s">
        <v>2024</v>
      </c>
      <c r="H774" t="str">
        <f>" "</f>
        <v xml:space="preserve"> </v>
      </c>
      <c r="J774">
        <v>2810301780</v>
      </c>
      <c r="K774">
        <v>6942537782</v>
      </c>
      <c r="M774" t="s">
        <v>2025</v>
      </c>
      <c r="N774" t="s">
        <v>478</v>
      </c>
      <c r="O774" t="s">
        <v>479</v>
      </c>
      <c r="R774" t="s">
        <v>57</v>
      </c>
      <c r="S774">
        <v>15</v>
      </c>
      <c r="T774">
        <v>180</v>
      </c>
      <c r="U774" s="1">
        <v>35674</v>
      </c>
      <c r="V774" t="s">
        <v>123</v>
      </c>
      <c r="W774" t="s">
        <v>124</v>
      </c>
      <c r="X774" t="s">
        <v>58</v>
      </c>
      <c r="Y774">
        <v>18</v>
      </c>
      <c r="Z774" t="s">
        <v>59</v>
      </c>
      <c r="AA774" t="s">
        <v>59</v>
      </c>
      <c r="AB774" t="s">
        <v>59</v>
      </c>
      <c r="AC774" t="s">
        <v>59</v>
      </c>
      <c r="AD774" t="s">
        <v>59</v>
      </c>
      <c r="AF774" s="1">
        <v>35678</v>
      </c>
      <c r="AG774" t="s">
        <v>125</v>
      </c>
      <c r="AH774" t="s">
        <v>126</v>
      </c>
      <c r="AI774" t="str">
        <f>"1701055"</f>
        <v>1701055</v>
      </c>
      <c r="AJ774" t="s">
        <v>301</v>
      </c>
      <c r="AK774">
        <v>2810257353</v>
      </c>
      <c r="AL774" t="s">
        <v>302</v>
      </c>
      <c r="AM774" t="s">
        <v>78</v>
      </c>
      <c r="AN774" t="s">
        <v>78</v>
      </c>
      <c r="AO774" t="s">
        <v>78</v>
      </c>
      <c r="AP774" t="s">
        <v>141</v>
      </c>
      <c r="AQ774">
        <v>7</v>
      </c>
      <c r="AR774" t="s">
        <v>123</v>
      </c>
      <c r="AS774" t="s">
        <v>124</v>
      </c>
      <c r="AT774" t="s">
        <v>58</v>
      </c>
      <c r="AU774" t="s">
        <v>68</v>
      </c>
      <c r="AV774" t="s">
        <v>69</v>
      </c>
      <c r="AW774" s="1">
        <v>22557</v>
      </c>
      <c r="AX774">
        <v>2</v>
      </c>
    </row>
    <row r="775" spans="1:50">
      <c r="A775">
        <v>152865</v>
      </c>
      <c r="B775" t="str">
        <f>"027177770"</f>
        <v>027177770</v>
      </c>
      <c r="C775" t="s">
        <v>50</v>
      </c>
      <c r="D775" t="s">
        <v>2026</v>
      </c>
      <c r="E775" t="s">
        <v>52</v>
      </c>
      <c r="F775" t="s">
        <v>2027</v>
      </c>
      <c r="G775" t="s">
        <v>255</v>
      </c>
      <c r="H775" t="str">
        <f>"ΕΡΜΗ 15 ΑΓ. ΙΩΑΝΝΗΣ"</f>
        <v>ΕΡΜΗ 15 ΑΓ. ΙΩΑΝΝΗΣ</v>
      </c>
      <c r="I775">
        <v>71409</v>
      </c>
      <c r="J775">
        <v>2810232987</v>
      </c>
      <c r="K775">
        <v>6977394156</v>
      </c>
      <c r="M775" t="s">
        <v>2028</v>
      </c>
      <c r="N775" t="s">
        <v>146</v>
      </c>
      <c r="O775" t="s">
        <v>147</v>
      </c>
      <c r="R775" t="s">
        <v>57</v>
      </c>
      <c r="S775">
        <v>16</v>
      </c>
      <c r="T775">
        <v>166</v>
      </c>
      <c r="U775" s="1">
        <v>32010</v>
      </c>
      <c r="V775" t="s">
        <v>123</v>
      </c>
      <c r="W775" t="s">
        <v>124</v>
      </c>
      <c r="X775" t="s">
        <v>58</v>
      </c>
      <c r="Y775">
        <v>18</v>
      </c>
      <c r="Z775" t="s">
        <v>59</v>
      </c>
      <c r="AA775" t="s">
        <v>59</v>
      </c>
      <c r="AB775" t="s">
        <v>59</v>
      </c>
      <c r="AC775" t="s">
        <v>59</v>
      </c>
      <c r="AD775" t="s">
        <v>59</v>
      </c>
      <c r="AF775" s="1">
        <v>32023</v>
      </c>
      <c r="AG775" t="s">
        <v>125</v>
      </c>
      <c r="AH775" t="s">
        <v>126</v>
      </c>
      <c r="AI775" t="str">
        <f>"1701057"</f>
        <v>1701057</v>
      </c>
      <c r="AJ775" t="s">
        <v>379</v>
      </c>
      <c r="AK775">
        <v>2810234488</v>
      </c>
      <c r="AL775" t="s">
        <v>380</v>
      </c>
      <c r="AM775" t="s">
        <v>78</v>
      </c>
      <c r="AN775" t="s">
        <v>78</v>
      </c>
      <c r="AO775" t="s">
        <v>78</v>
      </c>
      <c r="AP775" t="s">
        <v>163</v>
      </c>
      <c r="AQ775">
        <v>8</v>
      </c>
      <c r="AR775" t="s">
        <v>123</v>
      </c>
      <c r="AS775" t="s">
        <v>124</v>
      </c>
      <c r="AT775" t="s">
        <v>58</v>
      </c>
      <c r="AU775" t="s">
        <v>68</v>
      </c>
      <c r="AV775" t="s">
        <v>69</v>
      </c>
      <c r="AW775" s="1">
        <v>22186</v>
      </c>
      <c r="AX775">
        <v>2</v>
      </c>
    </row>
    <row r="776" spans="1:50">
      <c r="A776">
        <v>215240</v>
      </c>
      <c r="B776" t="str">
        <f>"105264870"</f>
        <v>105264870</v>
      </c>
      <c r="C776" t="s">
        <v>105</v>
      </c>
      <c r="D776" t="s">
        <v>2029</v>
      </c>
      <c r="E776" t="s">
        <v>1185</v>
      </c>
      <c r="F776" t="s">
        <v>2030</v>
      </c>
      <c r="G776" t="s">
        <v>2031</v>
      </c>
      <c r="H776" t="str">
        <f>" "</f>
        <v xml:space="preserve"> </v>
      </c>
      <c r="J776">
        <v>2841000049</v>
      </c>
      <c r="K776">
        <v>6936798344</v>
      </c>
      <c r="M776" t="s">
        <v>2032</v>
      </c>
      <c r="N776" t="s">
        <v>583</v>
      </c>
      <c r="O776" t="s">
        <v>584</v>
      </c>
      <c r="R776" t="s">
        <v>57</v>
      </c>
      <c r="S776">
        <v>7</v>
      </c>
      <c r="T776">
        <v>231</v>
      </c>
      <c r="U776" s="1">
        <v>38960</v>
      </c>
      <c r="V776" t="s">
        <v>123</v>
      </c>
      <c r="W776" t="s">
        <v>124</v>
      </c>
      <c r="X776" t="s">
        <v>58</v>
      </c>
      <c r="Y776">
        <v>20</v>
      </c>
      <c r="Z776" t="s">
        <v>59</v>
      </c>
      <c r="AA776" t="s">
        <v>59</v>
      </c>
      <c r="AB776" t="s">
        <v>59</v>
      </c>
      <c r="AC776" t="s">
        <v>59</v>
      </c>
      <c r="AD776" t="s">
        <v>59</v>
      </c>
      <c r="AF776" s="1">
        <v>38961</v>
      </c>
      <c r="AG776" t="s">
        <v>137</v>
      </c>
      <c r="AH776" t="s">
        <v>138</v>
      </c>
      <c r="AI776" t="str">
        <f>"1740100"</f>
        <v>1740100</v>
      </c>
      <c r="AJ776" t="s">
        <v>857</v>
      </c>
      <c r="AK776">
        <v>2810360741</v>
      </c>
      <c r="AL776" t="s">
        <v>858</v>
      </c>
      <c r="AM776" t="s">
        <v>78</v>
      </c>
      <c r="AN776" t="s">
        <v>78</v>
      </c>
      <c r="AO776" t="s">
        <v>78</v>
      </c>
      <c r="AP776" t="s">
        <v>163</v>
      </c>
      <c r="AQ776">
        <v>5</v>
      </c>
      <c r="AR776" t="s">
        <v>123</v>
      </c>
      <c r="AS776" t="s">
        <v>124</v>
      </c>
      <c r="AT776" t="s">
        <v>58</v>
      </c>
      <c r="AU776" t="s">
        <v>68</v>
      </c>
      <c r="AV776" t="s">
        <v>69</v>
      </c>
      <c r="AW776" s="1">
        <v>25498</v>
      </c>
      <c r="AX776">
        <v>2</v>
      </c>
    </row>
    <row r="777" spans="1:50">
      <c r="A777">
        <v>220389</v>
      </c>
      <c r="B777" t="str">
        <f>"119662705"</f>
        <v>119662705</v>
      </c>
      <c r="C777" t="s">
        <v>50</v>
      </c>
      <c r="D777" t="s">
        <v>2033</v>
      </c>
      <c r="E777" t="s">
        <v>255</v>
      </c>
      <c r="F777" t="s">
        <v>166</v>
      </c>
      <c r="G777" t="s">
        <v>237</v>
      </c>
      <c r="H777" t="str">
        <f>"ΙΛΑΡΙΩΝΟΣ ΚΑΤΣΟΥΛΗ 5 ΗΡΑΚΛΕΙΟ"</f>
        <v>ΙΛΑΡΙΩΝΟΣ ΚΑΤΣΟΥΛΗ 5 ΗΡΑΚΛΕΙΟ</v>
      </c>
      <c r="I777">
        <v>71305</v>
      </c>
      <c r="J777">
        <v>2810236802</v>
      </c>
      <c r="K777">
        <v>6978172284</v>
      </c>
      <c r="M777" t="s">
        <v>2034</v>
      </c>
      <c r="N777" t="s">
        <v>146</v>
      </c>
      <c r="O777" t="s">
        <v>147</v>
      </c>
      <c r="R777" t="s">
        <v>57</v>
      </c>
      <c r="S777">
        <v>5</v>
      </c>
      <c r="T777">
        <v>681</v>
      </c>
      <c r="U777" s="1">
        <v>39325</v>
      </c>
      <c r="V777" t="s">
        <v>123</v>
      </c>
      <c r="W777" t="s">
        <v>124</v>
      </c>
      <c r="X777" t="s">
        <v>58</v>
      </c>
      <c r="Y777">
        <v>21</v>
      </c>
      <c r="Z777" t="s">
        <v>59</v>
      </c>
      <c r="AA777" t="s">
        <v>59</v>
      </c>
      <c r="AB777" t="s">
        <v>59</v>
      </c>
      <c r="AC777" t="s">
        <v>59</v>
      </c>
      <c r="AD777" t="s">
        <v>59</v>
      </c>
      <c r="AF777" s="1">
        <v>39329</v>
      </c>
      <c r="AG777" t="s">
        <v>148</v>
      </c>
      <c r="AH777" t="s">
        <v>149</v>
      </c>
      <c r="AI777" t="str">
        <f>"1765010"</f>
        <v>1765010</v>
      </c>
      <c r="AJ777" t="s">
        <v>803</v>
      </c>
      <c r="AK777">
        <v>2893031093</v>
      </c>
      <c r="AL777" t="s">
        <v>804</v>
      </c>
      <c r="AM777" t="s">
        <v>78</v>
      </c>
      <c r="AN777" t="s">
        <v>405</v>
      </c>
      <c r="AO777" t="s">
        <v>805</v>
      </c>
      <c r="AP777" t="s">
        <v>806</v>
      </c>
      <c r="AQ777">
        <v>25</v>
      </c>
      <c r="AR777" t="s">
        <v>123</v>
      </c>
      <c r="AS777" t="s">
        <v>124</v>
      </c>
      <c r="AT777" t="s">
        <v>58</v>
      </c>
      <c r="AU777" t="s">
        <v>68</v>
      </c>
      <c r="AV777" t="s">
        <v>69</v>
      </c>
      <c r="AW777" s="1">
        <v>27901</v>
      </c>
      <c r="AX777">
        <v>2</v>
      </c>
    </row>
    <row r="778" spans="1:50">
      <c r="A778">
        <v>182231</v>
      </c>
      <c r="B778" t="str">
        <f>"132321327"</f>
        <v>132321327</v>
      </c>
      <c r="C778" t="s">
        <v>50</v>
      </c>
      <c r="D778" t="s">
        <v>2035</v>
      </c>
      <c r="E778" t="s">
        <v>83</v>
      </c>
      <c r="F778" t="s">
        <v>230</v>
      </c>
      <c r="G778" t="s">
        <v>316</v>
      </c>
      <c r="H778" t="str">
        <f>"ΑΛΚΜΑΙΩΝΟΣ 30 ΗΡΑΚΛΕΙΟΥ"</f>
        <v>ΑΛΚΜΑΙΩΝΟΣ 30 ΗΡΑΚΛΕΙΟΥ</v>
      </c>
      <c r="I778">
        <v>71409</v>
      </c>
      <c r="J778">
        <v>2810210606</v>
      </c>
      <c r="K778">
        <v>6978675467</v>
      </c>
      <c r="M778" t="s">
        <v>2036</v>
      </c>
      <c r="N778" t="s">
        <v>306</v>
      </c>
      <c r="O778" t="s">
        <v>307</v>
      </c>
      <c r="R778" t="s">
        <v>57</v>
      </c>
      <c r="S778">
        <v>14</v>
      </c>
      <c r="T778">
        <v>239</v>
      </c>
      <c r="U778" s="1">
        <v>33969</v>
      </c>
      <c r="V778" t="s">
        <v>123</v>
      </c>
      <c r="W778" t="s">
        <v>124</v>
      </c>
      <c r="X778" t="s">
        <v>58</v>
      </c>
      <c r="Y778">
        <v>18</v>
      </c>
      <c r="Z778" t="s">
        <v>59</v>
      </c>
      <c r="AA778" t="s">
        <v>59</v>
      </c>
      <c r="AB778" t="s">
        <v>59</v>
      </c>
      <c r="AC778" t="s">
        <v>59</v>
      </c>
      <c r="AD778" t="s">
        <v>59</v>
      </c>
      <c r="AF778" s="1">
        <v>33969</v>
      </c>
      <c r="AG778" t="s">
        <v>148</v>
      </c>
      <c r="AH778" t="s">
        <v>149</v>
      </c>
      <c r="AI778" t="str">
        <f>"1751052"</f>
        <v>1751052</v>
      </c>
      <c r="AJ778" t="s">
        <v>328</v>
      </c>
      <c r="AK778">
        <v>2810213762</v>
      </c>
      <c r="AL778" t="s">
        <v>329</v>
      </c>
      <c r="AM778" t="s">
        <v>78</v>
      </c>
      <c r="AN778" t="s">
        <v>78</v>
      </c>
      <c r="AO778" t="s">
        <v>78</v>
      </c>
      <c r="AP778" t="s">
        <v>163</v>
      </c>
      <c r="AQ778">
        <v>8</v>
      </c>
      <c r="AR778" t="s">
        <v>123</v>
      </c>
      <c r="AS778" t="s">
        <v>124</v>
      </c>
      <c r="AT778" t="s">
        <v>58</v>
      </c>
      <c r="AU778" t="s">
        <v>68</v>
      </c>
      <c r="AV778" t="s">
        <v>69</v>
      </c>
      <c r="AW778" s="1">
        <v>22566</v>
      </c>
      <c r="AX778">
        <v>2</v>
      </c>
    </row>
    <row r="779" spans="1:50">
      <c r="A779">
        <v>159257</v>
      </c>
      <c r="B779" t="str">
        <f>"047867446"</f>
        <v>047867446</v>
      </c>
      <c r="C779" t="s">
        <v>50</v>
      </c>
      <c r="D779" t="s">
        <v>2037</v>
      </c>
      <c r="E779" t="s">
        <v>237</v>
      </c>
      <c r="F779" t="s">
        <v>95</v>
      </c>
      <c r="G779" t="s">
        <v>707</v>
      </c>
      <c r="H779" t="str">
        <f>"ΔΗΜΟΚΡΑΤΙΑΣ 41 "</f>
        <v xml:space="preserve">ΔΗΜΟΚΡΑΤΙΑΣ 41 </v>
      </c>
      <c r="I779">
        <v>71306</v>
      </c>
      <c r="J779">
        <v>2810222634</v>
      </c>
      <c r="K779">
        <v>6977626274</v>
      </c>
      <c r="M779" t="s">
        <v>2038</v>
      </c>
      <c r="N779" t="s">
        <v>146</v>
      </c>
      <c r="O779" t="s">
        <v>147</v>
      </c>
      <c r="R779" t="s">
        <v>57</v>
      </c>
      <c r="S779">
        <v>18</v>
      </c>
      <c r="T779">
        <v>161</v>
      </c>
      <c r="U779" s="1">
        <v>33119</v>
      </c>
      <c r="V779" t="s">
        <v>123</v>
      </c>
      <c r="W779" t="s">
        <v>124</v>
      </c>
      <c r="X779" t="s">
        <v>58</v>
      </c>
      <c r="Y779">
        <v>18</v>
      </c>
      <c r="Z779" t="s">
        <v>59</v>
      </c>
      <c r="AA779" t="s">
        <v>59</v>
      </c>
      <c r="AB779" t="s">
        <v>59</v>
      </c>
      <c r="AC779" t="s">
        <v>59</v>
      </c>
      <c r="AD779" t="s">
        <v>59</v>
      </c>
      <c r="AF779" s="1">
        <v>33122</v>
      </c>
      <c r="AG779" t="s">
        <v>125</v>
      </c>
      <c r="AH779" t="s">
        <v>126</v>
      </c>
      <c r="AI779" t="str">
        <f>"1701030"</f>
        <v>1701030</v>
      </c>
      <c r="AJ779" t="s">
        <v>270</v>
      </c>
      <c r="AK779">
        <v>2810361015</v>
      </c>
      <c r="AL779" t="s">
        <v>271</v>
      </c>
      <c r="AM779" t="s">
        <v>78</v>
      </c>
      <c r="AN779" t="s">
        <v>78</v>
      </c>
      <c r="AO779" t="s">
        <v>78</v>
      </c>
      <c r="AP779" t="s">
        <v>163</v>
      </c>
      <c r="AQ779">
        <v>2</v>
      </c>
      <c r="AR779" t="s">
        <v>123</v>
      </c>
      <c r="AS779" t="s">
        <v>124</v>
      </c>
      <c r="AT779" t="s">
        <v>58</v>
      </c>
      <c r="AU779" t="s">
        <v>68</v>
      </c>
      <c r="AV779" t="s">
        <v>2039</v>
      </c>
      <c r="AW779" s="1">
        <v>20859</v>
      </c>
      <c r="AX779">
        <v>2</v>
      </c>
    </row>
    <row r="780" spans="1:50">
      <c r="A780">
        <v>157437</v>
      </c>
      <c r="B780" t="str">
        <f>"032277019"</f>
        <v>032277019</v>
      </c>
      <c r="C780" t="s">
        <v>105</v>
      </c>
      <c r="D780" t="s">
        <v>2040</v>
      </c>
      <c r="E780" t="s">
        <v>760</v>
      </c>
      <c r="F780" t="s">
        <v>920</v>
      </c>
      <c r="G780" t="s">
        <v>109</v>
      </c>
      <c r="H780" t="str">
        <f>"ΜΠΕΤΕΙΝΑΚΗ 45 ΗΡΑΚΛΕΙΟΥ"</f>
        <v>ΜΠΕΤΕΙΝΑΚΗ 45 ΗΡΑΚΛΕΙΟΥ</v>
      </c>
      <c r="I780">
        <v>71306</v>
      </c>
      <c r="J780">
        <v>2810237159</v>
      </c>
      <c r="K780">
        <v>6942687491</v>
      </c>
      <c r="M780" t="s">
        <v>2041</v>
      </c>
      <c r="N780" t="s">
        <v>257</v>
      </c>
      <c r="O780" t="s">
        <v>258</v>
      </c>
      <c r="R780" t="s">
        <v>57</v>
      </c>
      <c r="S780">
        <v>14</v>
      </c>
      <c r="T780">
        <v>188</v>
      </c>
      <c r="U780" s="1">
        <v>32752</v>
      </c>
      <c r="V780" t="s">
        <v>123</v>
      </c>
      <c r="W780" t="s">
        <v>124</v>
      </c>
      <c r="X780" t="s">
        <v>58</v>
      </c>
      <c r="Y780">
        <v>18</v>
      </c>
      <c r="Z780" t="s">
        <v>59</v>
      </c>
      <c r="AA780" t="s">
        <v>59</v>
      </c>
      <c r="AB780" t="s">
        <v>59</v>
      </c>
      <c r="AC780" t="s">
        <v>59</v>
      </c>
      <c r="AD780" t="s">
        <v>59</v>
      </c>
      <c r="AF780" s="1">
        <v>32757</v>
      </c>
      <c r="AG780" t="s">
        <v>148</v>
      </c>
      <c r="AH780" t="s">
        <v>149</v>
      </c>
      <c r="AI780" t="str">
        <f>"1751052"</f>
        <v>1751052</v>
      </c>
      <c r="AJ780" t="s">
        <v>328</v>
      </c>
      <c r="AK780">
        <v>2810213762</v>
      </c>
      <c r="AL780" t="s">
        <v>329</v>
      </c>
      <c r="AM780" t="s">
        <v>78</v>
      </c>
      <c r="AN780" t="s">
        <v>78</v>
      </c>
      <c r="AO780" t="s">
        <v>78</v>
      </c>
      <c r="AP780" t="s">
        <v>163</v>
      </c>
      <c r="AQ780">
        <v>8</v>
      </c>
      <c r="AR780" t="s">
        <v>123</v>
      </c>
      <c r="AS780" t="s">
        <v>124</v>
      </c>
      <c r="AT780" t="s">
        <v>58</v>
      </c>
      <c r="AU780" t="s">
        <v>68</v>
      </c>
      <c r="AV780" t="s">
        <v>69</v>
      </c>
      <c r="AW780" s="1">
        <v>23396</v>
      </c>
      <c r="AX780">
        <v>2</v>
      </c>
    </row>
    <row r="781" spans="1:50">
      <c r="A781">
        <v>173828</v>
      </c>
      <c r="B781" t="str">
        <f>"031323786"</f>
        <v>031323786</v>
      </c>
      <c r="C781" t="s">
        <v>105</v>
      </c>
      <c r="D781" t="s">
        <v>2042</v>
      </c>
      <c r="E781" t="s">
        <v>95</v>
      </c>
      <c r="F781" t="s">
        <v>72</v>
      </c>
      <c r="G781" t="s">
        <v>1497</v>
      </c>
      <c r="H781" t="str">
        <f>"ΝΙΚΟΛΑΪΔΗ 31 ΗΡΑΚΛΕΙΟΥ"</f>
        <v>ΝΙΚΟΛΑΪΔΗ 31 ΗΡΑΚΛΕΙΟΥ</v>
      </c>
      <c r="I781">
        <v>71305</v>
      </c>
      <c r="J781">
        <v>2810318906</v>
      </c>
      <c r="K781">
        <v>6948883229</v>
      </c>
      <c r="M781" t="s">
        <v>2043</v>
      </c>
      <c r="N781" t="s">
        <v>232</v>
      </c>
      <c r="O781" t="s">
        <v>233</v>
      </c>
      <c r="R781" t="s">
        <v>57</v>
      </c>
      <c r="S781">
        <v>15</v>
      </c>
      <c r="T781">
        <v>5906</v>
      </c>
      <c r="U781" s="1">
        <v>32056</v>
      </c>
      <c r="V781" t="s">
        <v>123</v>
      </c>
      <c r="W781" t="s">
        <v>124</v>
      </c>
      <c r="X781" t="s">
        <v>58</v>
      </c>
      <c r="Y781">
        <v>18</v>
      </c>
      <c r="Z781" t="s">
        <v>59</v>
      </c>
      <c r="AA781" t="s">
        <v>59</v>
      </c>
      <c r="AB781" t="s">
        <v>59</v>
      </c>
      <c r="AC781" t="s">
        <v>59</v>
      </c>
      <c r="AD781" t="s">
        <v>59</v>
      </c>
      <c r="AF781" s="1">
        <v>32056</v>
      </c>
      <c r="AG781" t="s">
        <v>148</v>
      </c>
      <c r="AH781" t="s">
        <v>149</v>
      </c>
      <c r="AI781" t="str">
        <f>"1751052"</f>
        <v>1751052</v>
      </c>
      <c r="AJ781" t="s">
        <v>328</v>
      </c>
      <c r="AK781">
        <v>2810213762</v>
      </c>
      <c r="AL781" t="s">
        <v>329</v>
      </c>
      <c r="AM781" t="s">
        <v>78</v>
      </c>
      <c r="AN781" t="s">
        <v>78</v>
      </c>
      <c r="AO781" t="s">
        <v>78</v>
      </c>
      <c r="AP781" t="s">
        <v>163</v>
      </c>
      <c r="AQ781">
        <v>8</v>
      </c>
      <c r="AR781" t="s">
        <v>123</v>
      </c>
      <c r="AS781" t="s">
        <v>124</v>
      </c>
      <c r="AT781" t="s">
        <v>58</v>
      </c>
      <c r="AU781" t="s">
        <v>68</v>
      </c>
      <c r="AV781" t="s">
        <v>69</v>
      </c>
      <c r="AW781" s="1">
        <v>20780</v>
      </c>
      <c r="AX781">
        <v>2</v>
      </c>
    </row>
    <row r="782" spans="1:50">
      <c r="A782">
        <v>149218</v>
      </c>
      <c r="B782" t="str">
        <f>"031479295"</f>
        <v>031479295</v>
      </c>
      <c r="C782" t="s">
        <v>105</v>
      </c>
      <c r="D782" t="s">
        <v>2044</v>
      </c>
      <c r="E782" t="s">
        <v>53</v>
      </c>
      <c r="F782" t="s">
        <v>72</v>
      </c>
      <c r="G782" t="s">
        <v>1068</v>
      </c>
      <c r="H782" t="str">
        <f>"Σ. ΝΙΚΟΛΑΪΔΗ 37 ΗΡΑΚΛΕΙΟ"</f>
        <v>Σ. ΝΙΚΟΛΑΪΔΗ 37 ΗΡΑΚΛΕΙΟ</v>
      </c>
      <c r="I782">
        <v>71305</v>
      </c>
      <c r="J782">
        <v>2810250288</v>
      </c>
      <c r="K782">
        <v>6974968396</v>
      </c>
      <c r="M782" t="s">
        <v>2045</v>
      </c>
      <c r="N782" t="s">
        <v>176</v>
      </c>
      <c r="O782" t="s">
        <v>177</v>
      </c>
      <c r="R782" t="s">
        <v>57</v>
      </c>
      <c r="S782">
        <v>16</v>
      </c>
      <c r="T782">
        <v>205</v>
      </c>
      <c r="U782" s="1">
        <v>31658</v>
      </c>
      <c r="V782" t="s">
        <v>123</v>
      </c>
      <c r="W782" t="s">
        <v>124</v>
      </c>
      <c r="X782" t="s">
        <v>58</v>
      </c>
      <c r="Y782">
        <v>18</v>
      </c>
      <c r="Z782" t="s">
        <v>59</v>
      </c>
      <c r="AA782" t="s">
        <v>59</v>
      </c>
      <c r="AB782" t="s">
        <v>59</v>
      </c>
      <c r="AC782" t="s">
        <v>59</v>
      </c>
      <c r="AD782" t="s">
        <v>59</v>
      </c>
      <c r="AF782" s="1">
        <v>31667</v>
      </c>
      <c r="AG782" t="s">
        <v>148</v>
      </c>
      <c r="AH782" t="s">
        <v>149</v>
      </c>
      <c r="AI782" t="str">
        <f>"1751020"</f>
        <v>1751020</v>
      </c>
      <c r="AJ782" t="s">
        <v>532</v>
      </c>
      <c r="AK782">
        <v>2810372732</v>
      </c>
      <c r="AL782" t="s">
        <v>533</v>
      </c>
      <c r="AM782" t="s">
        <v>78</v>
      </c>
      <c r="AN782" t="s">
        <v>78</v>
      </c>
      <c r="AO782" t="s">
        <v>78</v>
      </c>
      <c r="AP782" t="s">
        <v>163</v>
      </c>
      <c r="AQ782">
        <v>3</v>
      </c>
      <c r="AR782" t="s">
        <v>123</v>
      </c>
      <c r="AS782" t="s">
        <v>124</v>
      </c>
      <c r="AT782" t="s">
        <v>58</v>
      </c>
      <c r="AU782" t="s">
        <v>68</v>
      </c>
      <c r="AV782" t="s">
        <v>69</v>
      </c>
      <c r="AW782" s="1">
        <v>21986</v>
      </c>
      <c r="AX782">
        <v>2</v>
      </c>
    </row>
    <row r="783" spans="1:50">
      <c r="A783">
        <v>198553</v>
      </c>
      <c r="B783" t="str">
        <f>"064123732"</f>
        <v>064123732</v>
      </c>
      <c r="C783" t="s">
        <v>50</v>
      </c>
      <c r="D783" t="s">
        <v>2046</v>
      </c>
      <c r="E783" t="s">
        <v>52</v>
      </c>
      <c r="F783" t="s">
        <v>95</v>
      </c>
      <c r="G783" t="s">
        <v>237</v>
      </c>
      <c r="H783" t="str">
        <f>"ΜΥΣΤΡΑ 7  ΗΡΑΚΛΕΙΟ"</f>
        <v>ΜΥΣΤΡΑ 7  ΗΡΑΚΛΕΙΟ</v>
      </c>
      <c r="I783">
        <v>71305</v>
      </c>
      <c r="J783">
        <v>2810263145</v>
      </c>
      <c r="K783">
        <v>6972495787</v>
      </c>
      <c r="L783">
        <v>2810252102</v>
      </c>
      <c r="M783" t="s">
        <v>2047</v>
      </c>
      <c r="N783" t="s">
        <v>306</v>
      </c>
      <c r="O783" t="s">
        <v>307</v>
      </c>
      <c r="R783" t="s">
        <v>57</v>
      </c>
      <c r="S783">
        <v>8</v>
      </c>
      <c r="T783">
        <v>206</v>
      </c>
      <c r="U783" s="1">
        <v>37866</v>
      </c>
      <c r="V783" t="s">
        <v>123</v>
      </c>
      <c r="W783" t="s">
        <v>124</v>
      </c>
      <c r="X783" t="s">
        <v>58</v>
      </c>
      <c r="Y783">
        <v>20</v>
      </c>
      <c r="Z783" t="s">
        <v>59</v>
      </c>
      <c r="AA783" t="s">
        <v>59</v>
      </c>
      <c r="AB783" t="s">
        <v>59</v>
      </c>
      <c r="AC783" t="s">
        <v>59</v>
      </c>
      <c r="AD783" t="s">
        <v>59</v>
      </c>
      <c r="AF783" s="1">
        <v>37866</v>
      </c>
      <c r="AG783" t="s">
        <v>137</v>
      </c>
      <c r="AH783" t="s">
        <v>469</v>
      </c>
      <c r="AI783" t="str">
        <f>"1740200"</f>
        <v>1740200</v>
      </c>
      <c r="AJ783" t="s">
        <v>470</v>
      </c>
      <c r="AK783">
        <v>2810320770</v>
      </c>
      <c r="AL783" t="s">
        <v>471</v>
      </c>
      <c r="AM783" t="s">
        <v>78</v>
      </c>
      <c r="AN783" t="s">
        <v>78</v>
      </c>
      <c r="AO783" t="s">
        <v>78</v>
      </c>
      <c r="AP783" t="s">
        <v>163</v>
      </c>
      <c r="AQ783">
        <v>2</v>
      </c>
      <c r="AR783" t="s">
        <v>123</v>
      </c>
      <c r="AS783" t="s">
        <v>124</v>
      </c>
      <c r="AT783" t="s">
        <v>58</v>
      </c>
      <c r="AU783" t="s">
        <v>68</v>
      </c>
      <c r="AV783" t="s">
        <v>69</v>
      </c>
      <c r="AW783" s="1">
        <v>28039</v>
      </c>
      <c r="AX783">
        <v>2</v>
      </c>
    </row>
    <row r="784" spans="1:50">
      <c r="A784">
        <v>217190</v>
      </c>
      <c r="B784" t="str">
        <f>"042060902"</f>
        <v>042060902</v>
      </c>
      <c r="C784" t="s">
        <v>105</v>
      </c>
      <c r="D784" t="s">
        <v>2048</v>
      </c>
      <c r="E784" t="s">
        <v>166</v>
      </c>
      <c r="F784" t="s">
        <v>2049</v>
      </c>
      <c r="G784" t="s">
        <v>109</v>
      </c>
      <c r="H784" t="str">
        <f>"ΗΓΟΥΜ ΓΑΒΡΙΗΛ 13 "</f>
        <v xml:space="preserve">ΗΓΟΥΜ ΓΑΒΡΙΗΛ 13 </v>
      </c>
      <c r="I784">
        <v>71305</v>
      </c>
      <c r="J784">
        <v>2810235991</v>
      </c>
      <c r="K784">
        <v>6979480429</v>
      </c>
      <c r="M784" t="s">
        <v>2050</v>
      </c>
      <c r="N784" t="s">
        <v>232</v>
      </c>
      <c r="O784" t="s">
        <v>233</v>
      </c>
      <c r="R784" t="s">
        <v>57</v>
      </c>
      <c r="S784">
        <v>11</v>
      </c>
      <c r="T784">
        <v>179</v>
      </c>
      <c r="U784" s="1">
        <v>35674</v>
      </c>
      <c r="V784" t="s">
        <v>123</v>
      </c>
      <c r="W784" t="s">
        <v>124</v>
      </c>
      <c r="X784" t="s">
        <v>58</v>
      </c>
      <c r="Y784">
        <v>20</v>
      </c>
      <c r="Z784" t="s">
        <v>59</v>
      </c>
      <c r="AA784" t="s">
        <v>59</v>
      </c>
      <c r="AB784" t="s">
        <v>59</v>
      </c>
      <c r="AC784" t="s">
        <v>59</v>
      </c>
      <c r="AD784" t="s">
        <v>59</v>
      </c>
      <c r="AF784" s="1">
        <v>35675</v>
      </c>
      <c r="AG784" t="s">
        <v>137</v>
      </c>
      <c r="AH784" t="s">
        <v>469</v>
      </c>
      <c r="AI784" t="str">
        <f>"1740200"</f>
        <v>1740200</v>
      </c>
      <c r="AJ784" t="s">
        <v>470</v>
      </c>
      <c r="AK784">
        <v>2810320770</v>
      </c>
      <c r="AL784" t="s">
        <v>471</v>
      </c>
      <c r="AM784" t="s">
        <v>78</v>
      </c>
      <c r="AN784" t="s">
        <v>78</v>
      </c>
      <c r="AO784" t="s">
        <v>78</v>
      </c>
      <c r="AP784" t="s">
        <v>163</v>
      </c>
      <c r="AQ784">
        <v>2</v>
      </c>
      <c r="AR784" t="s">
        <v>123</v>
      </c>
      <c r="AS784" t="s">
        <v>124</v>
      </c>
      <c r="AT784" t="s">
        <v>58</v>
      </c>
      <c r="AU784" t="s">
        <v>68</v>
      </c>
      <c r="AV784" t="s">
        <v>69</v>
      </c>
      <c r="AW784" s="1">
        <v>23704</v>
      </c>
      <c r="AX784">
        <v>2</v>
      </c>
    </row>
    <row r="785" spans="1:50">
      <c r="A785">
        <v>189314</v>
      </c>
      <c r="B785" t="str">
        <f>"078480771"</f>
        <v>078480771</v>
      </c>
      <c r="C785" t="s">
        <v>50</v>
      </c>
      <c r="D785" t="s">
        <v>2051</v>
      </c>
      <c r="E785" t="s">
        <v>2052</v>
      </c>
      <c r="F785" t="s">
        <v>84</v>
      </c>
      <c r="G785" t="s">
        <v>54</v>
      </c>
      <c r="H785" t="str">
        <f>" "</f>
        <v xml:space="preserve"> </v>
      </c>
      <c r="N785" t="s">
        <v>146</v>
      </c>
      <c r="O785" t="s">
        <v>147</v>
      </c>
      <c r="R785" t="s">
        <v>57</v>
      </c>
      <c r="S785">
        <v>8</v>
      </c>
      <c r="T785">
        <v>219</v>
      </c>
      <c r="U785" s="1">
        <v>37134</v>
      </c>
      <c r="V785" t="s">
        <v>123</v>
      </c>
      <c r="W785" t="s">
        <v>124</v>
      </c>
      <c r="X785" t="s">
        <v>58</v>
      </c>
      <c r="Y785">
        <v>20</v>
      </c>
      <c r="Z785" t="s">
        <v>59</v>
      </c>
      <c r="AA785" t="s">
        <v>59</v>
      </c>
      <c r="AB785" t="s">
        <v>59</v>
      </c>
      <c r="AC785" t="s">
        <v>59</v>
      </c>
      <c r="AD785" t="s">
        <v>59</v>
      </c>
      <c r="AF785" s="1">
        <v>37141</v>
      </c>
      <c r="AG785" t="s">
        <v>148</v>
      </c>
      <c r="AH785" t="s">
        <v>149</v>
      </c>
      <c r="AI785" t="str">
        <f>"1751030"</f>
        <v>1751030</v>
      </c>
      <c r="AJ785" t="s">
        <v>234</v>
      </c>
      <c r="AK785">
        <v>2810282911</v>
      </c>
      <c r="AL785" t="s">
        <v>235</v>
      </c>
      <c r="AM785" t="s">
        <v>78</v>
      </c>
      <c r="AN785" t="s">
        <v>78</v>
      </c>
      <c r="AO785" t="s">
        <v>78</v>
      </c>
      <c r="AP785" t="s">
        <v>163</v>
      </c>
      <c r="AQ785">
        <v>1</v>
      </c>
      <c r="AR785" t="s">
        <v>123</v>
      </c>
      <c r="AS785" t="s">
        <v>124</v>
      </c>
      <c r="AT785" t="s">
        <v>58</v>
      </c>
      <c r="AU785" t="s">
        <v>68</v>
      </c>
      <c r="AV785" t="s">
        <v>69</v>
      </c>
      <c r="AW785" s="1">
        <v>26596</v>
      </c>
      <c r="AX785">
        <v>2</v>
      </c>
    </row>
    <row r="786" spans="1:50">
      <c r="B786" t="str">
        <f>"068657315"</f>
        <v>068657315</v>
      </c>
      <c r="C786" t="s">
        <v>50</v>
      </c>
      <c r="D786" t="s">
        <v>2053</v>
      </c>
      <c r="E786" t="s">
        <v>263</v>
      </c>
      <c r="F786" t="s">
        <v>230</v>
      </c>
      <c r="G786" t="s">
        <v>83</v>
      </c>
      <c r="H786" t="str">
        <f>"ΛΥΚΟΥΡΓΟΥ 141 ΚΑΛΛΙΘΕΑ"</f>
        <v>ΛΥΚΟΥΡΓΟΥ 141 ΚΑΛΛΙΘΕΑ</v>
      </c>
      <c r="I786">
        <v>17675</v>
      </c>
      <c r="J786">
        <v>2109584762</v>
      </c>
      <c r="K786">
        <v>6948277622</v>
      </c>
      <c r="N786" t="s">
        <v>337</v>
      </c>
      <c r="O786" t="s">
        <v>338</v>
      </c>
      <c r="R786" t="s">
        <v>57</v>
      </c>
      <c r="S786">
        <v>10</v>
      </c>
      <c r="T786" t="s">
        <v>1908</v>
      </c>
      <c r="U786" s="1">
        <v>43368</v>
      </c>
      <c r="V786" t="s">
        <v>123</v>
      </c>
      <c r="W786" t="s">
        <v>124</v>
      </c>
      <c r="X786" t="s">
        <v>58</v>
      </c>
      <c r="Y786">
        <v>15</v>
      </c>
      <c r="Z786" t="s">
        <v>59</v>
      </c>
      <c r="AA786" t="s">
        <v>59</v>
      </c>
      <c r="AB786" t="s">
        <v>59</v>
      </c>
      <c r="AC786" t="s">
        <v>59</v>
      </c>
      <c r="AD786" t="s">
        <v>59</v>
      </c>
      <c r="AF786" s="1">
        <v>43368</v>
      </c>
      <c r="AG786" t="s">
        <v>125</v>
      </c>
      <c r="AH786" t="s">
        <v>294</v>
      </c>
      <c r="AI786" t="str">
        <f>"1701015"</f>
        <v>1701015</v>
      </c>
      <c r="AJ786" t="s">
        <v>295</v>
      </c>
      <c r="AK786">
        <v>2810761696</v>
      </c>
      <c r="AL786" t="s">
        <v>296</v>
      </c>
      <c r="AM786" t="s">
        <v>78</v>
      </c>
      <c r="AN786" t="s">
        <v>219</v>
      </c>
      <c r="AO786" t="s">
        <v>297</v>
      </c>
      <c r="AP786" t="s">
        <v>297</v>
      </c>
      <c r="AQ786">
        <v>10</v>
      </c>
      <c r="AS786" t="s">
        <v>124</v>
      </c>
      <c r="AT786" t="s">
        <v>58</v>
      </c>
      <c r="AU786" t="s">
        <v>2054</v>
      </c>
      <c r="AW786" s="1">
        <v>27923</v>
      </c>
      <c r="AX786">
        <v>2</v>
      </c>
    </row>
    <row r="787" spans="1:50">
      <c r="A787">
        <v>154225</v>
      </c>
      <c r="B787" t="str">
        <f>"027025910"</f>
        <v>027025910</v>
      </c>
      <c r="C787" t="s">
        <v>105</v>
      </c>
      <c r="D787" t="s">
        <v>2055</v>
      </c>
      <c r="E787" t="s">
        <v>2056</v>
      </c>
      <c r="F787" t="s">
        <v>99</v>
      </c>
      <c r="G787" t="s">
        <v>250</v>
      </c>
      <c r="H787" t="str">
        <f>"ΠΑΠΑΔΙΑΜΑΝΤΗ 39 "</f>
        <v xml:space="preserve">ΠΑΠΑΔΙΑΜΑΝΤΗ 39 </v>
      </c>
      <c r="I787">
        <v>71414</v>
      </c>
      <c r="J787">
        <v>2810257225</v>
      </c>
      <c r="K787">
        <v>6947771114</v>
      </c>
      <c r="N787" t="s">
        <v>292</v>
      </c>
      <c r="O787" t="s">
        <v>293</v>
      </c>
      <c r="R787" t="s">
        <v>57</v>
      </c>
      <c r="S787">
        <v>15</v>
      </c>
      <c r="T787">
        <v>161</v>
      </c>
      <c r="U787" s="1">
        <v>32387</v>
      </c>
      <c r="V787" t="s">
        <v>123</v>
      </c>
      <c r="W787" t="s">
        <v>124</v>
      </c>
      <c r="X787" t="s">
        <v>58</v>
      </c>
      <c r="Y787">
        <v>18</v>
      </c>
      <c r="Z787" t="s">
        <v>59</v>
      </c>
      <c r="AA787" t="s">
        <v>59</v>
      </c>
      <c r="AB787" t="s">
        <v>59</v>
      </c>
      <c r="AC787" t="s">
        <v>59</v>
      </c>
      <c r="AD787" t="s">
        <v>59</v>
      </c>
      <c r="AF787" s="1">
        <v>32391</v>
      </c>
      <c r="AG787" t="s">
        <v>148</v>
      </c>
      <c r="AH787" t="s">
        <v>149</v>
      </c>
      <c r="AI787" t="str">
        <f>"1751040"</f>
        <v>1751040</v>
      </c>
      <c r="AJ787" t="s">
        <v>178</v>
      </c>
      <c r="AK787">
        <v>2810252495</v>
      </c>
      <c r="AL787" t="s">
        <v>179</v>
      </c>
      <c r="AM787" t="s">
        <v>78</v>
      </c>
      <c r="AN787" t="s">
        <v>78</v>
      </c>
      <c r="AO787" t="s">
        <v>78</v>
      </c>
      <c r="AP787" t="s">
        <v>141</v>
      </c>
      <c r="AQ787">
        <v>3</v>
      </c>
      <c r="AR787" t="s">
        <v>123</v>
      </c>
      <c r="AS787" t="s">
        <v>124</v>
      </c>
      <c r="AT787" t="s">
        <v>58</v>
      </c>
      <c r="AU787" t="s">
        <v>68</v>
      </c>
      <c r="AV787" t="s">
        <v>69</v>
      </c>
      <c r="AW787" s="1">
        <v>20472</v>
      </c>
      <c r="AX787">
        <v>2</v>
      </c>
    </row>
    <row r="788" spans="1:50">
      <c r="A788">
        <v>229299</v>
      </c>
      <c r="B788" t="str">
        <f>"132974314"</f>
        <v>132974314</v>
      </c>
      <c r="C788" t="s">
        <v>50</v>
      </c>
      <c r="D788" t="s">
        <v>2057</v>
      </c>
      <c r="E788" t="s">
        <v>250</v>
      </c>
      <c r="F788" t="s">
        <v>53</v>
      </c>
      <c r="G788" t="s">
        <v>52</v>
      </c>
      <c r="H788" t="str">
        <f>"ΑΓΙΟΥ ΝΕΚΤΑΡΙΟΥ 2 ΗΡΑΚΛΕΙΟ"</f>
        <v>ΑΓΙΟΥ ΝΕΚΤΑΡΙΟΥ 2 ΗΡΑΚΛΕΙΟ</v>
      </c>
      <c r="I788">
        <v>71307</v>
      </c>
      <c r="K788">
        <v>6978691981</v>
      </c>
      <c r="M788" t="s">
        <v>2058</v>
      </c>
      <c r="N788" t="s">
        <v>292</v>
      </c>
      <c r="O788" t="s">
        <v>293</v>
      </c>
      <c r="R788" t="s">
        <v>57</v>
      </c>
      <c r="S788">
        <v>4</v>
      </c>
      <c r="T788">
        <v>792</v>
      </c>
      <c r="U788" s="1">
        <v>40081</v>
      </c>
      <c r="V788" t="s">
        <v>123</v>
      </c>
      <c r="W788" t="s">
        <v>124</v>
      </c>
      <c r="X788" t="s">
        <v>58</v>
      </c>
      <c r="Y788">
        <v>21</v>
      </c>
      <c r="Z788" t="s">
        <v>59</v>
      </c>
      <c r="AA788" t="s">
        <v>59</v>
      </c>
      <c r="AB788" t="s">
        <v>59</v>
      </c>
      <c r="AC788" t="s">
        <v>59</v>
      </c>
      <c r="AD788" t="s">
        <v>59</v>
      </c>
      <c r="AF788" s="1">
        <v>40081</v>
      </c>
      <c r="AG788" t="s">
        <v>125</v>
      </c>
      <c r="AH788" t="s">
        <v>126</v>
      </c>
      <c r="AI788" t="str">
        <f>"1711010"</f>
        <v>1711010</v>
      </c>
      <c r="AJ788" t="s">
        <v>695</v>
      </c>
      <c r="AK788">
        <v>2810741301</v>
      </c>
      <c r="AL788" t="s">
        <v>696</v>
      </c>
      <c r="AM788" t="s">
        <v>78</v>
      </c>
      <c r="AN788" t="s">
        <v>424</v>
      </c>
      <c r="AO788" t="s">
        <v>428</v>
      </c>
      <c r="AP788" t="s">
        <v>429</v>
      </c>
      <c r="AQ788">
        <v>14</v>
      </c>
      <c r="AR788" t="s">
        <v>123</v>
      </c>
      <c r="AS788" t="s">
        <v>124</v>
      </c>
      <c r="AT788" t="s">
        <v>58</v>
      </c>
      <c r="AU788" t="s">
        <v>68</v>
      </c>
      <c r="AV788" t="s">
        <v>69</v>
      </c>
      <c r="AW788" s="1">
        <v>29081</v>
      </c>
      <c r="AX788">
        <v>2</v>
      </c>
    </row>
    <row r="789" spans="1:50">
      <c r="A789">
        <v>147513</v>
      </c>
      <c r="B789" t="str">
        <f>"064100189"</f>
        <v>064100189</v>
      </c>
      <c r="C789" t="s">
        <v>50</v>
      </c>
      <c r="D789" t="s">
        <v>2059</v>
      </c>
      <c r="E789" t="s">
        <v>2060</v>
      </c>
      <c r="F789" t="s">
        <v>670</v>
      </c>
      <c r="G789" t="s">
        <v>2061</v>
      </c>
      <c r="H789" t="str">
        <f>"Χ. ΔΑΣΚΑΛΑΚΗ ΗΡΑΚΛΕΙΟΥ"</f>
        <v>Χ. ΔΑΣΚΑΛΑΚΗ ΗΡΑΚΛΕΙΟΥ</v>
      </c>
      <c r="I789">
        <v>70300</v>
      </c>
      <c r="J789">
        <v>2891024571</v>
      </c>
      <c r="K789">
        <v>6945364929</v>
      </c>
      <c r="N789" t="s">
        <v>306</v>
      </c>
      <c r="O789" t="s">
        <v>307</v>
      </c>
      <c r="R789" t="s">
        <v>57</v>
      </c>
      <c r="S789">
        <v>17</v>
      </c>
      <c r="T789">
        <v>237</v>
      </c>
      <c r="U789" s="1">
        <v>31293</v>
      </c>
      <c r="V789" t="s">
        <v>123</v>
      </c>
      <c r="W789" t="s">
        <v>124</v>
      </c>
      <c r="X789" t="s">
        <v>58</v>
      </c>
      <c r="Y789">
        <v>18</v>
      </c>
      <c r="Z789" t="s">
        <v>59</v>
      </c>
      <c r="AA789" t="s">
        <v>59</v>
      </c>
      <c r="AB789" t="s">
        <v>59</v>
      </c>
      <c r="AC789" t="s">
        <v>59</v>
      </c>
      <c r="AD789" t="s">
        <v>59</v>
      </c>
      <c r="AF789" s="1">
        <v>31299</v>
      </c>
      <c r="AG789" t="s">
        <v>148</v>
      </c>
      <c r="AH789" t="s">
        <v>149</v>
      </c>
      <c r="AI789" t="str">
        <f>"1752010"</f>
        <v>1752010</v>
      </c>
      <c r="AJ789" t="s">
        <v>896</v>
      </c>
      <c r="AK789">
        <v>2891022893</v>
      </c>
      <c r="AL789" t="s">
        <v>897</v>
      </c>
      <c r="AM789" t="s">
        <v>78</v>
      </c>
      <c r="AN789" t="s">
        <v>276</v>
      </c>
      <c r="AO789" t="s">
        <v>490</v>
      </c>
      <c r="AP789" t="s">
        <v>490</v>
      </c>
      <c r="AQ789">
        <v>15</v>
      </c>
      <c r="AR789" t="s">
        <v>123</v>
      </c>
      <c r="AS789" t="s">
        <v>124</v>
      </c>
      <c r="AT789" t="s">
        <v>58</v>
      </c>
      <c r="AU789" t="s">
        <v>68</v>
      </c>
      <c r="AV789" t="s">
        <v>69</v>
      </c>
      <c r="AW789" s="1">
        <v>19931</v>
      </c>
      <c r="AX789">
        <v>2</v>
      </c>
    </row>
    <row r="790" spans="1:50">
      <c r="A790">
        <v>168096</v>
      </c>
      <c r="B790" t="str">
        <f>"110726239"</f>
        <v>110726239</v>
      </c>
      <c r="C790" t="s">
        <v>50</v>
      </c>
      <c r="D790" t="s">
        <v>2062</v>
      </c>
      <c r="E790" t="s">
        <v>316</v>
      </c>
      <c r="F790" t="s">
        <v>166</v>
      </c>
      <c r="G790" t="s">
        <v>52</v>
      </c>
      <c r="H790" t="str">
        <f>"Α. ΣΙΚΕΛΙΑΝΟΥ 3 ΤΣΑΛΙΚΑΚΙ"</f>
        <v>Α. ΣΙΚΕΛΙΑΝΟΥ 3 ΤΣΑΛΙΚΑΚΙ</v>
      </c>
      <c r="I790">
        <v>71414</v>
      </c>
      <c r="J790">
        <v>2810311223</v>
      </c>
      <c r="K790">
        <v>6973704698</v>
      </c>
      <c r="M790" t="s">
        <v>2063</v>
      </c>
      <c r="N790" t="s">
        <v>232</v>
      </c>
      <c r="O790" t="s">
        <v>233</v>
      </c>
      <c r="R790" t="s">
        <v>57</v>
      </c>
      <c r="S790">
        <v>14</v>
      </c>
      <c r="T790">
        <v>159</v>
      </c>
      <c r="U790" s="1">
        <v>34582</v>
      </c>
      <c r="V790" t="s">
        <v>123</v>
      </c>
      <c r="W790" t="s">
        <v>124</v>
      </c>
      <c r="X790" t="s">
        <v>58</v>
      </c>
      <c r="Y790">
        <v>18</v>
      </c>
      <c r="Z790" t="s">
        <v>59</v>
      </c>
      <c r="AA790" t="s">
        <v>59</v>
      </c>
      <c r="AB790" t="s">
        <v>59</v>
      </c>
      <c r="AC790" t="s">
        <v>59</v>
      </c>
      <c r="AD790" t="s">
        <v>59</v>
      </c>
      <c r="AF790" s="1">
        <v>34585</v>
      </c>
      <c r="AG790" t="s">
        <v>125</v>
      </c>
      <c r="AH790" t="s">
        <v>126</v>
      </c>
      <c r="AI790" t="str">
        <f>"1728010"</f>
        <v>1728010</v>
      </c>
      <c r="AJ790" t="s">
        <v>127</v>
      </c>
      <c r="AK790">
        <v>2810824651</v>
      </c>
      <c r="AL790" t="s">
        <v>128</v>
      </c>
      <c r="AM790" t="s">
        <v>78</v>
      </c>
      <c r="AN790" t="s">
        <v>129</v>
      </c>
      <c r="AO790" t="s">
        <v>130</v>
      </c>
      <c r="AP790" t="s">
        <v>130</v>
      </c>
      <c r="AQ790">
        <v>36</v>
      </c>
      <c r="AR790" t="s">
        <v>123</v>
      </c>
      <c r="AS790" t="s">
        <v>124</v>
      </c>
      <c r="AT790" t="s">
        <v>58</v>
      </c>
      <c r="AU790" t="s">
        <v>68</v>
      </c>
      <c r="AV790" t="s">
        <v>69</v>
      </c>
      <c r="AW790" s="1">
        <v>22486</v>
      </c>
      <c r="AX790">
        <v>2</v>
      </c>
    </row>
    <row r="791" spans="1:50">
      <c r="A791">
        <v>161226</v>
      </c>
      <c r="B791" t="str">
        <f>"044833609"</f>
        <v>044833609</v>
      </c>
      <c r="C791" t="s">
        <v>50</v>
      </c>
      <c r="D791" t="s">
        <v>2064</v>
      </c>
      <c r="E791" t="s">
        <v>237</v>
      </c>
      <c r="F791" t="s">
        <v>166</v>
      </c>
      <c r="G791" t="s">
        <v>1227</v>
      </c>
      <c r="H791" t="str">
        <f>"ΕΜΜΑΝΟΥΗΛ ΔΕΤΟΡΑΚΗ 3 "</f>
        <v xml:space="preserve">ΕΜΜΑΝΟΥΗΛ ΔΕΤΟΡΑΚΗ 3 </v>
      </c>
      <c r="I791">
        <v>71307</v>
      </c>
      <c r="J791">
        <v>2810211944</v>
      </c>
      <c r="K791">
        <v>6944256565</v>
      </c>
      <c r="M791" t="s">
        <v>151</v>
      </c>
      <c r="N791" t="s">
        <v>257</v>
      </c>
      <c r="O791" t="s">
        <v>258</v>
      </c>
      <c r="P791" t="s">
        <v>146</v>
      </c>
      <c r="Q791" t="s">
        <v>147</v>
      </c>
      <c r="R791" t="s">
        <v>57</v>
      </c>
      <c r="S791">
        <v>14</v>
      </c>
      <c r="T791">
        <v>161</v>
      </c>
      <c r="U791" s="1">
        <v>33119</v>
      </c>
      <c r="V791" t="s">
        <v>123</v>
      </c>
      <c r="W791" t="s">
        <v>124</v>
      </c>
      <c r="X791" t="s">
        <v>58</v>
      </c>
      <c r="Y791">
        <v>18</v>
      </c>
      <c r="Z791" t="s">
        <v>59</v>
      </c>
      <c r="AA791" t="s">
        <v>59</v>
      </c>
      <c r="AB791" t="s">
        <v>59</v>
      </c>
      <c r="AC791" t="s">
        <v>59</v>
      </c>
      <c r="AD791" t="s">
        <v>59</v>
      </c>
      <c r="AF791" s="1">
        <v>33121</v>
      </c>
      <c r="AG791" t="s">
        <v>148</v>
      </c>
      <c r="AH791" t="s">
        <v>149</v>
      </c>
      <c r="AI791" t="str">
        <f>"1751010"</f>
        <v>1751010</v>
      </c>
      <c r="AJ791" t="s">
        <v>150</v>
      </c>
      <c r="AK791">
        <v>2810346092</v>
      </c>
      <c r="AL791" t="s">
        <v>151</v>
      </c>
      <c r="AM791" t="s">
        <v>78</v>
      </c>
      <c r="AN791" t="s">
        <v>78</v>
      </c>
      <c r="AO791" t="s">
        <v>78</v>
      </c>
      <c r="AP791" t="s">
        <v>79</v>
      </c>
      <c r="AQ791">
        <v>1</v>
      </c>
      <c r="AR791" t="s">
        <v>123</v>
      </c>
      <c r="AS791" t="s">
        <v>124</v>
      </c>
      <c r="AT791" t="s">
        <v>58</v>
      </c>
      <c r="AU791" t="s">
        <v>68</v>
      </c>
      <c r="AV791" t="s">
        <v>69</v>
      </c>
      <c r="AW791" s="1">
        <v>22713</v>
      </c>
      <c r="AX791">
        <v>2</v>
      </c>
    </row>
    <row r="792" spans="1:50">
      <c r="A792">
        <v>208677</v>
      </c>
      <c r="B792" t="str">
        <f>"045241903"</f>
        <v>045241903</v>
      </c>
      <c r="C792" t="s">
        <v>105</v>
      </c>
      <c r="D792" t="s">
        <v>2065</v>
      </c>
      <c r="E792" t="s">
        <v>53</v>
      </c>
      <c r="F792" t="s">
        <v>377</v>
      </c>
      <c r="G792" t="s">
        <v>250</v>
      </c>
      <c r="H792" t="str">
        <f>" "</f>
        <v xml:space="preserve"> </v>
      </c>
      <c r="J792">
        <v>2892052170</v>
      </c>
      <c r="K792">
        <v>6972959594</v>
      </c>
      <c r="M792" t="s">
        <v>2066</v>
      </c>
      <c r="N792" t="s">
        <v>282</v>
      </c>
      <c r="O792" t="s">
        <v>283</v>
      </c>
      <c r="R792" t="s">
        <v>57</v>
      </c>
      <c r="S792">
        <v>7</v>
      </c>
      <c r="T792">
        <v>218</v>
      </c>
      <c r="U792" s="1">
        <v>38596</v>
      </c>
      <c r="V792" t="s">
        <v>123</v>
      </c>
      <c r="W792" t="s">
        <v>124</v>
      </c>
      <c r="X792" t="s">
        <v>58</v>
      </c>
      <c r="Y792">
        <v>20</v>
      </c>
      <c r="Z792" t="s">
        <v>59</v>
      </c>
      <c r="AA792" t="s">
        <v>59</v>
      </c>
      <c r="AB792" t="s">
        <v>59</v>
      </c>
      <c r="AC792" t="s">
        <v>59</v>
      </c>
      <c r="AD792" t="s">
        <v>59</v>
      </c>
      <c r="AF792" s="1">
        <v>38601</v>
      </c>
      <c r="AG792" t="s">
        <v>137</v>
      </c>
      <c r="AH792" t="s">
        <v>138</v>
      </c>
      <c r="AI792" t="str">
        <f>"1740300"</f>
        <v>1740300</v>
      </c>
      <c r="AJ792" t="s">
        <v>1274</v>
      </c>
      <c r="AK792">
        <v>2892022100</v>
      </c>
      <c r="AL792" t="s">
        <v>1275</v>
      </c>
      <c r="AM792" t="s">
        <v>78</v>
      </c>
      <c r="AN792" t="s">
        <v>242</v>
      </c>
      <c r="AO792" t="s">
        <v>243</v>
      </c>
      <c r="AP792" t="s">
        <v>243</v>
      </c>
      <c r="AQ792">
        <v>33</v>
      </c>
      <c r="AR792" t="s">
        <v>123</v>
      </c>
      <c r="AS792" t="s">
        <v>124</v>
      </c>
      <c r="AT792" t="s">
        <v>58</v>
      </c>
      <c r="AU792" t="s">
        <v>68</v>
      </c>
      <c r="AV792" t="s">
        <v>69</v>
      </c>
      <c r="AW792" s="1">
        <v>25912</v>
      </c>
      <c r="AX792">
        <v>2</v>
      </c>
    </row>
    <row r="793" spans="1:50">
      <c r="A793">
        <v>212092</v>
      </c>
      <c r="B793" t="str">
        <f>"110133030"</f>
        <v>110133030</v>
      </c>
      <c r="C793" t="s">
        <v>50</v>
      </c>
      <c r="D793" t="s">
        <v>2067</v>
      </c>
      <c r="E793" t="s">
        <v>52</v>
      </c>
      <c r="F793" t="s">
        <v>99</v>
      </c>
      <c r="G793" t="s">
        <v>191</v>
      </c>
      <c r="H793" t="str">
        <f>"ΑΛΕΞΑΝΔΡΕΙΑΣ 24 ΗΡΑΚΛΕΙΟΥ"</f>
        <v>ΑΛΕΞΑΝΔΡΕΙΑΣ 24 ΗΡΑΚΛΕΙΟΥ</v>
      </c>
      <c r="I793">
        <v>71306</v>
      </c>
      <c r="J793">
        <v>2810233180</v>
      </c>
      <c r="K793">
        <v>6972777499</v>
      </c>
      <c r="N793" t="s">
        <v>146</v>
      </c>
      <c r="O793" t="s">
        <v>147</v>
      </c>
      <c r="R793" t="s">
        <v>57</v>
      </c>
      <c r="S793">
        <v>5</v>
      </c>
      <c r="T793">
        <v>231</v>
      </c>
      <c r="U793" s="1">
        <v>38960</v>
      </c>
      <c r="V793" t="s">
        <v>123</v>
      </c>
      <c r="W793" t="s">
        <v>124</v>
      </c>
      <c r="X793" t="s">
        <v>58</v>
      </c>
      <c r="Y793">
        <v>20</v>
      </c>
      <c r="Z793" t="s">
        <v>59</v>
      </c>
      <c r="AA793" t="s">
        <v>59</v>
      </c>
      <c r="AB793" t="s">
        <v>59</v>
      </c>
      <c r="AC793" t="s">
        <v>59</v>
      </c>
      <c r="AD793" t="s">
        <v>59</v>
      </c>
      <c r="AF793" s="1">
        <v>38961</v>
      </c>
      <c r="AG793" t="s">
        <v>148</v>
      </c>
      <c r="AH793" t="s">
        <v>149</v>
      </c>
      <c r="AI793" t="str">
        <f>"1778010"</f>
        <v>1778010</v>
      </c>
      <c r="AJ793" t="s">
        <v>672</v>
      </c>
      <c r="AK793">
        <v>2810822455</v>
      </c>
      <c r="AL793" t="s">
        <v>673</v>
      </c>
      <c r="AM793" t="s">
        <v>78</v>
      </c>
      <c r="AN793" t="s">
        <v>129</v>
      </c>
      <c r="AO793" t="s">
        <v>130</v>
      </c>
      <c r="AP793" t="s">
        <v>130</v>
      </c>
      <c r="AQ793">
        <v>36</v>
      </c>
      <c r="AR793" t="s">
        <v>123</v>
      </c>
      <c r="AS793" t="s">
        <v>124</v>
      </c>
      <c r="AT793" t="s">
        <v>58</v>
      </c>
      <c r="AU793" t="s">
        <v>68</v>
      </c>
      <c r="AV793" t="s">
        <v>69</v>
      </c>
      <c r="AW793" s="1">
        <v>27708</v>
      </c>
      <c r="AX793">
        <v>2</v>
      </c>
    </row>
    <row r="794" spans="1:50">
      <c r="A794">
        <v>205283</v>
      </c>
      <c r="B794" t="str">
        <f>"064562335"</f>
        <v>064562335</v>
      </c>
      <c r="C794" t="s">
        <v>105</v>
      </c>
      <c r="D794" t="s">
        <v>2068</v>
      </c>
      <c r="E794" t="s">
        <v>383</v>
      </c>
      <c r="F794" t="s">
        <v>166</v>
      </c>
      <c r="G794" t="s">
        <v>52</v>
      </c>
      <c r="H794" t="str">
        <f>"ΛΥΣΙΣΤΡΑΤΗΣ 33 ΝΕΟΣ ΚΟΣΜΟΣ, ΗΡΑΚΛΕΙΟ"</f>
        <v>ΛΥΣΙΣΤΡΑΤΗΣ 33 ΝΕΟΣ ΚΟΣΜΟΣ, ΗΡΑΚΛΕΙΟ</v>
      </c>
      <c r="I794">
        <v>71304</v>
      </c>
      <c r="J794">
        <v>2815008826</v>
      </c>
      <c r="K794">
        <v>6973043797</v>
      </c>
      <c r="M794" t="s">
        <v>2069</v>
      </c>
      <c r="N794" t="s">
        <v>204</v>
      </c>
      <c r="O794" t="s">
        <v>205</v>
      </c>
      <c r="R794" t="s">
        <v>57</v>
      </c>
      <c r="S794">
        <v>8</v>
      </c>
      <c r="T794">
        <v>231</v>
      </c>
      <c r="U794" s="1">
        <v>38230</v>
      </c>
      <c r="V794" t="s">
        <v>123</v>
      </c>
      <c r="W794" t="s">
        <v>124</v>
      </c>
      <c r="X794" t="s">
        <v>58</v>
      </c>
      <c r="Y794">
        <v>20</v>
      </c>
      <c r="Z794" t="s">
        <v>59</v>
      </c>
      <c r="AA794" t="s">
        <v>59</v>
      </c>
      <c r="AB794" t="s">
        <v>59</v>
      </c>
      <c r="AC794" t="s">
        <v>59</v>
      </c>
      <c r="AD794" t="s">
        <v>59</v>
      </c>
      <c r="AF794" s="1">
        <v>38232</v>
      </c>
      <c r="AG794" t="s">
        <v>148</v>
      </c>
      <c r="AH794" t="s">
        <v>149</v>
      </c>
      <c r="AI794" t="str">
        <f>"1759010"</f>
        <v>1759010</v>
      </c>
      <c r="AJ794" t="s">
        <v>403</v>
      </c>
      <c r="AK794">
        <v>2894022127</v>
      </c>
      <c r="AL794" t="s">
        <v>404</v>
      </c>
      <c r="AM794" t="s">
        <v>78</v>
      </c>
      <c r="AN794" t="s">
        <v>405</v>
      </c>
      <c r="AO794" t="s">
        <v>406</v>
      </c>
      <c r="AP794" t="s">
        <v>406</v>
      </c>
      <c r="AQ794">
        <v>30</v>
      </c>
      <c r="AR794" t="s">
        <v>123</v>
      </c>
      <c r="AS794" t="s">
        <v>124</v>
      </c>
      <c r="AT794" t="s">
        <v>58</v>
      </c>
      <c r="AU794" t="s">
        <v>68</v>
      </c>
      <c r="AV794" t="s">
        <v>69</v>
      </c>
      <c r="AW794" s="1">
        <v>28353</v>
      </c>
      <c r="AX794">
        <v>2</v>
      </c>
    </row>
    <row r="795" spans="1:50">
      <c r="A795">
        <v>166402</v>
      </c>
      <c r="B795" t="str">
        <f>"112621093"</f>
        <v>112621093</v>
      </c>
      <c r="C795" t="s">
        <v>50</v>
      </c>
      <c r="D795" t="s">
        <v>2070</v>
      </c>
      <c r="E795" t="s">
        <v>52</v>
      </c>
      <c r="F795" t="s">
        <v>154</v>
      </c>
      <c r="G795" t="s">
        <v>237</v>
      </c>
      <c r="H795" t="str">
        <f>"ΑΧΕΠΑΝΣ 7 ΚΗΠΟΥΠΟΛΗ"</f>
        <v>ΑΧΕΠΑΝΣ 7 ΚΗΠΟΥΠΟΛΗ</v>
      </c>
      <c r="J795">
        <v>2810235484</v>
      </c>
      <c r="N795" t="s">
        <v>306</v>
      </c>
      <c r="O795" t="s">
        <v>307</v>
      </c>
      <c r="R795" t="s">
        <v>57</v>
      </c>
      <c r="S795">
        <v>12</v>
      </c>
      <c r="T795">
        <v>137</v>
      </c>
      <c r="U795" s="1">
        <v>34206</v>
      </c>
      <c r="V795" t="s">
        <v>123</v>
      </c>
      <c r="W795" t="s">
        <v>124</v>
      </c>
      <c r="X795" t="s">
        <v>58</v>
      </c>
      <c r="Y795">
        <v>18</v>
      </c>
      <c r="Z795" t="s">
        <v>59</v>
      </c>
      <c r="AA795" t="s">
        <v>59</v>
      </c>
      <c r="AB795" t="s">
        <v>59</v>
      </c>
      <c r="AC795" t="s">
        <v>59</v>
      </c>
      <c r="AD795" t="s">
        <v>59</v>
      </c>
      <c r="AF795" s="1">
        <v>34215</v>
      </c>
      <c r="AG795" t="s">
        <v>137</v>
      </c>
      <c r="AH795" t="s">
        <v>138</v>
      </c>
      <c r="AI795" t="str">
        <f>"1740070"</f>
        <v>1740070</v>
      </c>
      <c r="AJ795" t="s">
        <v>206</v>
      </c>
      <c r="AK795">
        <v>2810324880</v>
      </c>
      <c r="AL795" t="s">
        <v>207</v>
      </c>
      <c r="AM795" t="s">
        <v>78</v>
      </c>
      <c r="AN795" t="s">
        <v>78</v>
      </c>
      <c r="AO795" t="s">
        <v>78</v>
      </c>
      <c r="AP795" t="s">
        <v>163</v>
      </c>
      <c r="AQ795">
        <v>9</v>
      </c>
      <c r="AR795" t="s">
        <v>123</v>
      </c>
      <c r="AS795" t="s">
        <v>124</v>
      </c>
      <c r="AT795" t="s">
        <v>58</v>
      </c>
      <c r="AU795" t="s">
        <v>68</v>
      </c>
      <c r="AV795" t="s">
        <v>69</v>
      </c>
      <c r="AW795" s="1">
        <v>23334</v>
      </c>
      <c r="AX795">
        <v>2</v>
      </c>
    </row>
    <row r="796" spans="1:50">
      <c r="A796">
        <v>202603</v>
      </c>
      <c r="B796" t="str">
        <f>"036089884"</f>
        <v>036089884</v>
      </c>
      <c r="C796" t="s">
        <v>105</v>
      </c>
      <c r="D796" t="s">
        <v>2071</v>
      </c>
      <c r="E796" t="s">
        <v>670</v>
      </c>
      <c r="F796" t="s">
        <v>84</v>
      </c>
      <c r="G796" t="s">
        <v>83</v>
      </c>
      <c r="H796" t="str">
        <f>"ΓΙΟΔΑΣΗ 5  ΗΡΑΚΛΕΙΟ"</f>
        <v>ΓΙΟΔΑΣΗ 5  ΗΡΑΚΛΕΙΟ</v>
      </c>
      <c r="I796">
        <v>71409</v>
      </c>
      <c r="J796">
        <v>2810323233</v>
      </c>
      <c r="M796" t="s">
        <v>2072</v>
      </c>
      <c r="N796" t="s">
        <v>232</v>
      </c>
      <c r="O796" t="s">
        <v>233</v>
      </c>
      <c r="R796" t="s">
        <v>57</v>
      </c>
      <c r="S796">
        <v>10</v>
      </c>
      <c r="T796">
        <v>231</v>
      </c>
      <c r="U796" s="1">
        <v>38230</v>
      </c>
      <c r="V796" t="s">
        <v>123</v>
      </c>
      <c r="W796" t="s">
        <v>124</v>
      </c>
      <c r="X796" t="s">
        <v>58</v>
      </c>
      <c r="Y796">
        <v>20</v>
      </c>
      <c r="Z796" t="s">
        <v>59</v>
      </c>
      <c r="AA796" t="s">
        <v>59</v>
      </c>
      <c r="AB796" t="s">
        <v>59</v>
      </c>
      <c r="AC796" t="s">
        <v>59</v>
      </c>
      <c r="AD796" t="s">
        <v>59</v>
      </c>
      <c r="AF796" s="1">
        <v>38232</v>
      </c>
      <c r="AG796" t="s">
        <v>148</v>
      </c>
      <c r="AH796" t="s">
        <v>149</v>
      </c>
      <c r="AI796" t="str">
        <f>"1790100"</f>
        <v>1790100</v>
      </c>
      <c r="AJ796" t="s">
        <v>252</v>
      </c>
      <c r="AK796">
        <v>2810234876</v>
      </c>
      <c r="AL796" t="s">
        <v>253</v>
      </c>
      <c r="AM796" t="s">
        <v>78</v>
      </c>
      <c r="AN796" t="s">
        <v>78</v>
      </c>
      <c r="AO796" t="s">
        <v>78</v>
      </c>
      <c r="AP796" t="s">
        <v>163</v>
      </c>
      <c r="AQ796">
        <v>5</v>
      </c>
      <c r="AR796" t="s">
        <v>123</v>
      </c>
      <c r="AS796" t="s">
        <v>124</v>
      </c>
      <c r="AT796" t="s">
        <v>58</v>
      </c>
      <c r="AU796" t="s">
        <v>68</v>
      </c>
      <c r="AV796" t="s">
        <v>69</v>
      </c>
      <c r="AW796" s="1">
        <v>21974</v>
      </c>
      <c r="AX796">
        <v>2</v>
      </c>
    </row>
    <row r="797" spans="1:50">
      <c r="A797">
        <v>164016</v>
      </c>
      <c r="B797" t="str">
        <f>"062929800"</f>
        <v>062929800</v>
      </c>
      <c r="C797" t="s">
        <v>50</v>
      </c>
      <c r="D797" t="s">
        <v>2073</v>
      </c>
      <c r="E797" t="s">
        <v>255</v>
      </c>
      <c r="F797" t="s">
        <v>166</v>
      </c>
      <c r="G797" t="s">
        <v>237</v>
      </c>
      <c r="H797" t="str">
        <f>" "</f>
        <v xml:space="preserve"> </v>
      </c>
      <c r="M797" t="s">
        <v>2074</v>
      </c>
      <c r="N797" t="s">
        <v>146</v>
      </c>
      <c r="O797" t="s">
        <v>147</v>
      </c>
      <c r="R797" t="s">
        <v>57</v>
      </c>
      <c r="S797">
        <v>15</v>
      </c>
      <c r="T797">
        <v>161</v>
      </c>
      <c r="U797" s="1">
        <v>33844</v>
      </c>
      <c r="V797" t="s">
        <v>123</v>
      </c>
      <c r="W797" t="s">
        <v>124</v>
      </c>
      <c r="X797" t="s">
        <v>58</v>
      </c>
      <c r="Y797">
        <v>18</v>
      </c>
      <c r="Z797" t="s">
        <v>59</v>
      </c>
      <c r="AA797" t="s">
        <v>59</v>
      </c>
      <c r="AB797" t="s">
        <v>59</v>
      </c>
      <c r="AC797" t="s">
        <v>59</v>
      </c>
      <c r="AD797" t="s">
        <v>59</v>
      </c>
      <c r="AF797" s="1">
        <v>33851</v>
      </c>
      <c r="AG797" t="s">
        <v>125</v>
      </c>
      <c r="AH797" t="s">
        <v>126</v>
      </c>
      <c r="AI797" t="str">
        <f>"1701054"</f>
        <v>1701054</v>
      </c>
      <c r="AJ797" t="s">
        <v>318</v>
      </c>
      <c r="AK797">
        <v>2810252418</v>
      </c>
      <c r="AL797" t="s">
        <v>319</v>
      </c>
      <c r="AM797" t="s">
        <v>78</v>
      </c>
      <c r="AN797" t="s">
        <v>78</v>
      </c>
      <c r="AO797" t="s">
        <v>78</v>
      </c>
      <c r="AP797" t="s">
        <v>141</v>
      </c>
      <c r="AQ797">
        <v>7</v>
      </c>
      <c r="AR797" t="s">
        <v>123</v>
      </c>
      <c r="AS797" t="s">
        <v>124</v>
      </c>
      <c r="AT797" t="s">
        <v>58</v>
      </c>
      <c r="AU797" t="s">
        <v>68</v>
      </c>
      <c r="AV797" t="s">
        <v>69</v>
      </c>
      <c r="AW797" s="1">
        <v>23155</v>
      </c>
      <c r="AX797">
        <v>2</v>
      </c>
    </row>
    <row r="798" spans="1:50">
      <c r="A798">
        <v>192541</v>
      </c>
      <c r="B798" t="str">
        <f>"064791931"</f>
        <v>064791931</v>
      </c>
      <c r="C798" t="s">
        <v>50</v>
      </c>
      <c r="D798" t="s">
        <v>2075</v>
      </c>
      <c r="E798" t="s">
        <v>83</v>
      </c>
      <c r="F798" t="s">
        <v>166</v>
      </c>
      <c r="G798" t="s">
        <v>1189</v>
      </c>
      <c r="H798" t="str">
        <f>"ΑΡΙΑΔΝΗΣ 25  ΗΡΑΚΛΕΙΟ"</f>
        <v>ΑΡΙΑΔΝΗΣ 25  ΗΡΑΚΛΕΙΟ</v>
      </c>
      <c r="I798">
        <v>71202</v>
      </c>
      <c r="J798">
        <v>2810220043</v>
      </c>
      <c r="K798">
        <v>6972825087</v>
      </c>
      <c r="M798" t="s">
        <v>2076</v>
      </c>
      <c r="N798" t="s">
        <v>146</v>
      </c>
      <c r="O798" t="s">
        <v>147</v>
      </c>
      <c r="R798" t="s">
        <v>57</v>
      </c>
      <c r="S798">
        <v>13</v>
      </c>
      <c r="T798">
        <v>192</v>
      </c>
      <c r="U798" s="1">
        <v>37497</v>
      </c>
      <c r="V798" t="s">
        <v>123</v>
      </c>
      <c r="W798" t="s">
        <v>124</v>
      </c>
      <c r="X798" t="s">
        <v>58</v>
      </c>
      <c r="Y798">
        <v>20</v>
      </c>
      <c r="Z798" t="s">
        <v>59</v>
      </c>
      <c r="AA798" t="s">
        <v>59</v>
      </c>
      <c r="AB798" t="s">
        <v>59</v>
      </c>
      <c r="AC798" t="s">
        <v>59</v>
      </c>
      <c r="AD798" t="s">
        <v>59</v>
      </c>
      <c r="AF798" s="1">
        <v>37502</v>
      </c>
      <c r="AG798" t="s">
        <v>125</v>
      </c>
      <c r="AH798" t="s">
        <v>126</v>
      </c>
      <c r="AI798" t="str">
        <f>"1701050"</f>
        <v>1701050</v>
      </c>
      <c r="AJ798" t="s">
        <v>660</v>
      </c>
      <c r="AK798">
        <v>2810220729</v>
      </c>
      <c r="AL798" t="s">
        <v>661</v>
      </c>
      <c r="AM798" t="s">
        <v>78</v>
      </c>
      <c r="AN798" t="s">
        <v>78</v>
      </c>
      <c r="AO798" t="s">
        <v>78</v>
      </c>
      <c r="AP798" t="s">
        <v>79</v>
      </c>
      <c r="AQ798">
        <v>1</v>
      </c>
      <c r="AR798" t="s">
        <v>123</v>
      </c>
      <c r="AS798" t="s">
        <v>124</v>
      </c>
      <c r="AT798" t="s">
        <v>58</v>
      </c>
      <c r="AU798" t="s">
        <v>68</v>
      </c>
      <c r="AV798" t="s">
        <v>69</v>
      </c>
      <c r="AW798" s="1">
        <v>24437</v>
      </c>
      <c r="AX798">
        <v>2</v>
      </c>
    </row>
    <row r="799" spans="1:50">
      <c r="B799" t="str">
        <f>"075435002"</f>
        <v>075435002</v>
      </c>
      <c r="C799" t="s">
        <v>50</v>
      </c>
      <c r="D799" t="s">
        <v>2077</v>
      </c>
      <c r="E799" t="s">
        <v>114</v>
      </c>
      <c r="F799" t="s">
        <v>670</v>
      </c>
      <c r="G799" t="s">
        <v>52</v>
      </c>
      <c r="H799" t="str">
        <f>"Δ.Δ.ΑΜΠΕΛΟΚΗΠΩΝ Δ.ΖΑΚΥΝΘΙΩΝ ΖΑΚΥΝΘΟΣ"</f>
        <v>Δ.Δ.ΑΜΠΕΛΟΚΗΠΩΝ Δ.ΖΑΚΥΝΘΙΩΝ ΖΑΚΥΝΘΟΣ</v>
      </c>
      <c r="I799">
        <v>29100</v>
      </c>
      <c r="J799">
        <v>2695022370</v>
      </c>
      <c r="K799">
        <v>6944614690</v>
      </c>
      <c r="M799" t="s">
        <v>2078</v>
      </c>
      <c r="N799" t="s">
        <v>146</v>
      </c>
      <c r="O799" t="s">
        <v>147</v>
      </c>
      <c r="R799" t="s">
        <v>159</v>
      </c>
      <c r="S799">
        <v>3</v>
      </c>
      <c r="T799" t="s">
        <v>160</v>
      </c>
      <c r="U799" s="1">
        <v>43364</v>
      </c>
      <c r="V799" t="s">
        <v>123</v>
      </c>
      <c r="W799" t="s">
        <v>124</v>
      </c>
      <c r="X799" t="s">
        <v>58</v>
      </c>
      <c r="Y799">
        <v>21</v>
      </c>
      <c r="Z799" t="s">
        <v>59</v>
      </c>
      <c r="AA799" t="s">
        <v>59</v>
      </c>
      <c r="AB799" t="s">
        <v>59</v>
      </c>
      <c r="AC799" t="s">
        <v>59</v>
      </c>
      <c r="AD799" t="s">
        <v>59</v>
      </c>
      <c r="AF799" s="1">
        <v>43367</v>
      </c>
      <c r="AG799" t="s">
        <v>148</v>
      </c>
      <c r="AH799" t="s">
        <v>149</v>
      </c>
      <c r="AI799" t="str">
        <f>"1767011"</f>
        <v>1767011</v>
      </c>
      <c r="AJ799" t="s">
        <v>217</v>
      </c>
      <c r="AK799">
        <v>2897021055</v>
      </c>
      <c r="AL799" t="s">
        <v>218</v>
      </c>
      <c r="AM799" t="s">
        <v>78</v>
      </c>
      <c r="AN799" t="s">
        <v>219</v>
      </c>
      <c r="AO799" t="s">
        <v>219</v>
      </c>
      <c r="AP799" t="s">
        <v>220</v>
      </c>
      <c r="AQ799">
        <v>20</v>
      </c>
      <c r="AR799" t="s">
        <v>123</v>
      </c>
      <c r="AS799" t="s">
        <v>124</v>
      </c>
      <c r="AT799" t="s">
        <v>58</v>
      </c>
      <c r="AU799" t="s">
        <v>164</v>
      </c>
      <c r="AV799" t="s">
        <v>132</v>
      </c>
      <c r="AW799" s="1">
        <v>27027</v>
      </c>
      <c r="AX799">
        <v>2</v>
      </c>
    </row>
    <row r="800" spans="1:50">
      <c r="A800">
        <v>218714</v>
      </c>
      <c r="B800" t="str">
        <f>"061779280"</f>
        <v>061779280</v>
      </c>
      <c r="C800" t="s">
        <v>50</v>
      </c>
      <c r="D800" t="s">
        <v>2079</v>
      </c>
      <c r="E800" t="s">
        <v>83</v>
      </c>
      <c r="F800" t="s">
        <v>383</v>
      </c>
      <c r="G800" t="s">
        <v>2080</v>
      </c>
      <c r="H800" t="str">
        <f>" "</f>
        <v xml:space="preserve"> </v>
      </c>
      <c r="J800">
        <v>2821052498</v>
      </c>
      <c r="K800">
        <v>6972847024</v>
      </c>
      <c r="N800" t="s">
        <v>199</v>
      </c>
      <c r="O800" t="s">
        <v>200</v>
      </c>
      <c r="R800" t="s">
        <v>57</v>
      </c>
      <c r="S800">
        <v>9</v>
      </c>
      <c r="T800">
        <v>599</v>
      </c>
      <c r="U800" s="1">
        <v>39310</v>
      </c>
      <c r="V800" t="s">
        <v>123</v>
      </c>
      <c r="W800" t="s">
        <v>124</v>
      </c>
      <c r="X800" t="s">
        <v>58</v>
      </c>
      <c r="Y800">
        <v>20</v>
      </c>
      <c r="Z800" t="s">
        <v>59</v>
      </c>
      <c r="AA800" t="s">
        <v>59</v>
      </c>
      <c r="AB800" t="s">
        <v>59</v>
      </c>
      <c r="AC800" t="s">
        <v>59</v>
      </c>
      <c r="AD800" t="s">
        <v>59</v>
      </c>
      <c r="AF800" s="1">
        <v>39330</v>
      </c>
      <c r="AG800" t="s">
        <v>148</v>
      </c>
      <c r="AH800" t="s">
        <v>149</v>
      </c>
      <c r="AI800" t="str">
        <f>"1778010"</f>
        <v>1778010</v>
      </c>
      <c r="AJ800" t="s">
        <v>672</v>
      </c>
      <c r="AK800">
        <v>2810822455</v>
      </c>
      <c r="AL800" t="s">
        <v>673</v>
      </c>
      <c r="AM800" t="s">
        <v>78</v>
      </c>
      <c r="AN800" t="s">
        <v>129</v>
      </c>
      <c r="AO800" t="s">
        <v>130</v>
      </c>
      <c r="AP800" t="s">
        <v>130</v>
      </c>
      <c r="AQ800">
        <v>36</v>
      </c>
      <c r="AR800" t="s">
        <v>123</v>
      </c>
      <c r="AS800" t="s">
        <v>124</v>
      </c>
      <c r="AT800" t="s">
        <v>58</v>
      </c>
      <c r="AU800" t="s">
        <v>68</v>
      </c>
      <c r="AV800" t="s">
        <v>69</v>
      </c>
      <c r="AW800" s="1">
        <v>25583</v>
      </c>
      <c r="AX800">
        <v>2</v>
      </c>
    </row>
    <row r="801" spans="1:50">
      <c r="A801">
        <v>185601</v>
      </c>
      <c r="B801" t="str">
        <f>"028375170"</f>
        <v>028375170</v>
      </c>
      <c r="C801" t="s">
        <v>105</v>
      </c>
      <c r="D801" t="s">
        <v>2081</v>
      </c>
      <c r="E801" t="s">
        <v>95</v>
      </c>
      <c r="F801" t="s">
        <v>106</v>
      </c>
      <c r="G801" t="s">
        <v>1644</v>
      </c>
      <c r="H801" t="str">
        <f>"Γ. ΓΕΝΝΗΜΑΤΑ 48 ΗΡΑΚΛΕΙΟ"</f>
        <v>Γ. ΓΕΝΝΗΜΑΤΑ 48 ΗΡΑΚΛΕΙΟ</v>
      </c>
      <c r="J801">
        <v>2810313907</v>
      </c>
      <c r="K801">
        <v>6936511110</v>
      </c>
      <c r="M801" t="s">
        <v>2082</v>
      </c>
      <c r="N801" t="s">
        <v>146</v>
      </c>
      <c r="O801" t="s">
        <v>147</v>
      </c>
      <c r="P801" t="s">
        <v>615</v>
      </c>
      <c r="Q801" t="s">
        <v>616</v>
      </c>
      <c r="R801" t="s">
        <v>57</v>
      </c>
      <c r="S801">
        <v>19</v>
      </c>
      <c r="T801">
        <v>271</v>
      </c>
      <c r="U801" s="1">
        <v>30923</v>
      </c>
      <c r="V801" t="s">
        <v>123</v>
      </c>
      <c r="W801" t="s">
        <v>124</v>
      </c>
      <c r="X801" t="s">
        <v>58</v>
      </c>
      <c r="Y801">
        <v>18</v>
      </c>
      <c r="Z801" t="s">
        <v>59</v>
      </c>
      <c r="AA801" t="s">
        <v>59</v>
      </c>
      <c r="AB801" t="s">
        <v>59</v>
      </c>
      <c r="AC801" t="s">
        <v>59</v>
      </c>
      <c r="AD801" t="s">
        <v>59</v>
      </c>
      <c r="AF801" s="1">
        <v>30928</v>
      </c>
      <c r="AG801" t="s">
        <v>125</v>
      </c>
      <c r="AH801" t="s">
        <v>126</v>
      </c>
      <c r="AI801" t="str">
        <f>"1701020"</f>
        <v>1701020</v>
      </c>
      <c r="AJ801" t="s">
        <v>323</v>
      </c>
      <c r="AK801">
        <v>2810252111</v>
      </c>
      <c r="AL801" t="s">
        <v>324</v>
      </c>
      <c r="AM801" t="s">
        <v>78</v>
      </c>
      <c r="AN801" t="s">
        <v>78</v>
      </c>
      <c r="AO801" t="s">
        <v>78</v>
      </c>
      <c r="AP801" t="s">
        <v>163</v>
      </c>
      <c r="AQ801">
        <v>3</v>
      </c>
      <c r="AR801" t="s">
        <v>123</v>
      </c>
      <c r="AS801" t="s">
        <v>124</v>
      </c>
      <c r="AT801" t="s">
        <v>58</v>
      </c>
      <c r="AU801" t="s">
        <v>68</v>
      </c>
      <c r="AV801" t="s">
        <v>69</v>
      </c>
      <c r="AW801" s="1">
        <v>20677</v>
      </c>
      <c r="AX801">
        <v>2</v>
      </c>
    </row>
    <row r="802" spans="1:50">
      <c r="A802">
        <v>177922</v>
      </c>
      <c r="B802" t="str">
        <f>"103544823"</f>
        <v>103544823</v>
      </c>
      <c r="C802" t="s">
        <v>50</v>
      </c>
      <c r="D802" t="s">
        <v>2083</v>
      </c>
      <c r="E802" t="s">
        <v>2084</v>
      </c>
      <c r="F802" t="s">
        <v>106</v>
      </c>
      <c r="G802" t="s">
        <v>73</v>
      </c>
      <c r="H802" t="str">
        <f>" "</f>
        <v xml:space="preserve"> </v>
      </c>
      <c r="N802" t="s">
        <v>299</v>
      </c>
      <c r="O802" t="s">
        <v>300</v>
      </c>
      <c r="R802" t="s">
        <v>57</v>
      </c>
      <c r="S802">
        <v>13</v>
      </c>
      <c r="T802">
        <v>180</v>
      </c>
      <c r="U802" s="1">
        <v>35674</v>
      </c>
      <c r="V802" t="s">
        <v>123</v>
      </c>
      <c r="W802" t="s">
        <v>124</v>
      </c>
      <c r="X802" t="s">
        <v>58</v>
      </c>
      <c r="Y802">
        <v>18</v>
      </c>
      <c r="Z802" t="s">
        <v>59</v>
      </c>
      <c r="AA802" t="s">
        <v>59</v>
      </c>
      <c r="AB802" t="s">
        <v>59</v>
      </c>
      <c r="AC802" t="s">
        <v>59</v>
      </c>
      <c r="AD802" t="s">
        <v>59</v>
      </c>
      <c r="AF802" s="1">
        <v>35681</v>
      </c>
      <c r="AG802" t="s">
        <v>137</v>
      </c>
      <c r="AH802" t="s">
        <v>138</v>
      </c>
      <c r="AI802" t="str">
        <f>"1740070"</f>
        <v>1740070</v>
      </c>
      <c r="AJ802" t="s">
        <v>206</v>
      </c>
      <c r="AK802">
        <v>2810324880</v>
      </c>
      <c r="AL802" t="s">
        <v>207</v>
      </c>
      <c r="AM802" t="s">
        <v>78</v>
      </c>
      <c r="AN802" t="s">
        <v>78</v>
      </c>
      <c r="AO802" t="s">
        <v>78</v>
      </c>
      <c r="AP802" t="s">
        <v>163</v>
      </c>
      <c r="AQ802">
        <v>9</v>
      </c>
      <c r="AR802" t="s">
        <v>123</v>
      </c>
      <c r="AS802" t="s">
        <v>124</v>
      </c>
      <c r="AT802" t="s">
        <v>58</v>
      </c>
      <c r="AU802" t="s">
        <v>68</v>
      </c>
      <c r="AV802" t="s">
        <v>69</v>
      </c>
      <c r="AW802" s="1">
        <v>21751</v>
      </c>
      <c r="AX802">
        <v>2</v>
      </c>
    </row>
    <row r="803" spans="1:50">
      <c r="A803">
        <v>156007</v>
      </c>
      <c r="B803" t="str">
        <f>"033559600"</f>
        <v>033559600</v>
      </c>
      <c r="C803" t="s">
        <v>105</v>
      </c>
      <c r="D803" t="s">
        <v>2085</v>
      </c>
      <c r="E803" t="s">
        <v>309</v>
      </c>
      <c r="F803" t="s">
        <v>995</v>
      </c>
      <c r="G803" t="s">
        <v>237</v>
      </c>
      <c r="H803" t="str">
        <f>"ΣΠΑΡΤΗΣ  13 ΑΓΙΟΣ ΙΩΑΝΝΗΣ"</f>
        <v>ΣΠΑΡΤΗΣ  13 ΑΓΙΟΣ ΙΩΑΝΝΗΣ</v>
      </c>
      <c r="I803">
        <v>71409</v>
      </c>
      <c r="J803">
        <v>2810235024</v>
      </c>
      <c r="K803">
        <v>6937405019</v>
      </c>
      <c r="M803" t="s">
        <v>2086</v>
      </c>
      <c r="N803" t="s">
        <v>146</v>
      </c>
      <c r="O803" t="s">
        <v>147</v>
      </c>
      <c r="R803" t="s">
        <v>57</v>
      </c>
      <c r="S803">
        <v>14</v>
      </c>
      <c r="T803">
        <v>188</v>
      </c>
      <c r="U803" s="1">
        <v>32752</v>
      </c>
      <c r="V803" t="s">
        <v>123</v>
      </c>
      <c r="W803" t="s">
        <v>124</v>
      </c>
      <c r="X803" t="s">
        <v>58</v>
      </c>
      <c r="Y803">
        <v>18</v>
      </c>
      <c r="Z803" t="s">
        <v>59</v>
      </c>
      <c r="AA803" t="s">
        <v>59</v>
      </c>
      <c r="AB803" t="s">
        <v>59</v>
      </c>
      <c r="AC803" t="s">
        <v>59</v>
      </c>
      <c r="AD803" t="s">
        <v>59</v>
      </c>
      <c r="AF803" s="1">
        <v>32757</v>
      </c>
      <c r="AG803" t="s">
        <v>148</v>
      </c>
      <c r="AH803" t="s">
        <v>149</v>
      </c>
      <c r="AI803" t="str">
        <f>"1777010"</f>
        <v>1777010</v>
      </c>
      <c r="AJ803" t="s">
        <v>612</v>
      </c>
      <c r="AK803">
        <v>2810229220</v>
      </c>
      <c r="AL803" t="s">
        <v>613</v>
      </c>
      <c r="AM803" t="s">
        <v>78</v>
      </c>
      <c r="AN803" t="s">
        <v>78</v>
      </c>
      <c r="AO803" t="s">
        <v>286</v>
      </c>
      <c r="AP803" t="s">
        <v>286</v>
      </c>
      <c r="AQ803">
        <v>12</v>
      </c>
      <c r="AR803" t="s">
        <v>123</v>
      </c>
      <c r="AS803" t="s">
        <v>124</v>
      </c>
      <c r="AT803" t="s">
        <v>58</v>
      </c>
      <c r="AU803" t="s">
        <v>68</v>
      </c>
      <c r="AV803" t="s">
        <v>69</v>
      </c>
      <c r="AW803" s="1">
        <v>23725</v>
      </c>
      <c r="AX803">
        <v>2</v>
      </c>
    </row>
    <row r="804" spans="1:50">
      <c r="A804">
        <v>164019</v>
      </c>
      <c r="B804" t="str">
        <f>"033559807"</f>
        <v>033559807</v>
      </c>
      <c r="C804" t="s">
        <v>105</v>
      </c>
      <c r="D804" t="s">
        <v>2085</v>
      </c>
      <c r="E804" t="s">
        <v>166</v>
      </c>
      <c r="F804" t="s">
        <v>459</v>
      </c>
      <c r="G804" t="s">
        <v>52</v>
      </c>
      <c r="H804" t="str">
        <f>" "</f>
        <v xml:space="preserve"> </v>
      </c>
      <c r="N804" t="s">
        <v>146</v>
      </c>
      <c r="O804" t="s">
        <v>147</v>
      </c>
      <c r="R804" t="s">
        <v>57</v>
      </c>
      <c r="S804">
        <v>14</v>
      </c>
      <c r="T804">
        <v>161</v>
      </c>
      <c r="U804" s="1">
        <v>33844</v>
      </c>
      <c r="V804" t="s">
        <v>123</v>
      </c>
      <c r="W804" t="s">
        <v>124</v>
      </c>
      <c r="X804" t="s">
        <v>58</v>
      </c>
      <c r="Y804">
        <v>18</v>
      </c>
      <c r="Z804" t="s">
        <v>59</v>
      </c>
      <c r="AA804" t="s">
        <v>59</v>
      </c>
      <c r="AB804" t="s">
        <v>59</v>
      </c>
      <c r="AC804" t="s">
        <v>59</v>
      </c>
      <c r="AD804" t="s">
        <v>59</v>
      </c>
      <c r="AF804" s="1">
        <v>33851</v>
      </c>
      <c r="AG804" t="s">
        <v>148</v>
      </c>
      <c r="AH804" t="s">
        <v>149</v>
      </c>
      <c r="AI804" t="str">
        <f>"1751030"</f>
        <v>1751030</v>
      </c>
      <c r="AJ804" t="s">
        <v>234</v>
      </c>
      <c r="AK804">
        <v>2810282911</v>
      </c>
      <c r="AL804" t="s">
        <v>235</v>
      </c>
      <c r="AM804" t="s">
        <v>78</v>
      </c>
      <c r="AN804" t="s">
        <v>78</v>
      </c>
      <c r="AO804" t="s">
        <v>78</v>
      </c>
      <c r="AP804" t="s">
        <v>163</v>
      </c>
      <c r="AQ804">
        <v>1</v>
      </c>
      <c r="AR804" t="s">
        <v>123</v>
      </c>
      <c r="AS804" t="s">
        <v>124</v>
      </c>
      <c r="AT804" t="s">
        <v>58</v>
      </c>
      <c r="AU804" t="s">
        <v>68</v>
      </c>
      <c r="AV804" t="s">
        <v>69</v>
      </c>
      <c r="AW804" s="1">
        <v>23453</v>
      </c>
      <c r="AX804">
        <v>2</v>
      </c>
    </row>
    <row r="805" spans="1:50">
      <c r="A805">
        <v>179366</v>
      </c>
      <c r="B805" t="str">
        <f>"035375276"</f>
        <v>035375276</v>
      </c>
      <c r="C805" t="s">
        <v>50</v>
      </c>
      <c r="D805" t="s">
        <v>2087</v>
      </c>
      <c r="E805" t="s">
        <v>112</v>
      </c>
      <c r="F805" t="s">
        <v>53</v>
      </c>
      <c r="G805" t="s">
        <v>2088</v>
      </c>
      <c r="H805" t="str">
        <f>"ΒΑΣ.ΠΛΑΓΙΩΤΑΚΗ 6 ΗΡΑΚΛΕΙΟ"</f>
        <v>ΒΑΣ.ΠΛΑΓΙΩΤΑΚΗ 6 ΗΡΑΚΛΕΙΟ</v>
      </c>
      <c r="I805">
        <v>71409</v>
      </c>
      <c r="J805">
        <v>2810326646</v>
      </c>
      <c r="K805">
        <v>6977694974</v>
      </c>
      <c r="M805" t="s">
        <v>2089</v>
      </c>
      <c r="N805" t="s">
        <v>146</v>
      </c>
      <c r="O805" t="s">
        <v>147</v>
      </c>
      <c r="R805" t="s">
        <v>57</v>
      </c>
      <c r="S805">
        <v>13</v>
      </c>
      <c r="T805">
        <v>164</v>
      </c>
      <c r="U805" s="1">
        <v>36040</v>
      </c>
      <c r="V805" t="s">
        <v>123</v>
      </c>
      <c r="W805" t="s">
        <v>124</v>
      </c>
      <c r="X805" t="s">
        <v>58</v>
      </c>
      <c r="Y805">
        <v>18</v>
      </c>
      <c r="Z805" t="s">
        <v>59</v>
      </c>
      <c r="AA805" t="s">
        <v>59</v>
      </c>
      <c r="AB805" t="s">
        <v>59</v>
      </c>
      <c r="AC805" t="s">
        <v>59</v>
      </c>
      <c r="AD805" t="s">
        <v>59</v>
      </c>
      <c r="AF805" s="1">
        <v>36040</v>
      </c>
      <c r="AG805" t="s">
        <v>148</v>
      </c>
      <c r="AH805" t="s">
        <v>149</v>
      </c>
      <c r="AI805" t="str">
        <f>"1790100"</f>
        <v>1790100</v>
      </c>
      <c r="AJ805" t="s">
        <v>252</v>
      </c>
      <c r="AK805">
        <v>2810234876</v>
      </c>
      <c r="AL805" t="s">
        <v>253</v>
      </c>
      <c r="AM805" t="s">
        <v>78</v>
      </c>
      <c r="AN805" t="s">
        <v>78</v>
      </c>
      <c r="AO805" t="s">
        <v>78</v>
      </c>
      <c r="AP805" t="s">
        <v>163</v>
      </c>
      <c r="AQ805">
        <v>5</v>
      </c>
      <c r="AR805" t="s">
        <v>123</v>
      </c>
      <c r="AS805" t="s">
        <v>124</v>
      </c>
      <c r="AT805" t="s">
        <v>58</v>
      </c>
      <c r="AU805" t="s">
        <v>68</v>
      </c>
      <c r="AV805" t="s">
        <v>69</v>
      </c>
      <c r="AW805" s="1">
        <v>23395</v>
      </c>
      <c r="AX805">
        <v>2</v>
      </c>
    </row>
    <row r="806" spans="1:50">
      <c r="A806">
        <v>149221</v>
      </c>
      <c r="B806" t="str">
        <f>"029064920"</f>
        <v>029064920</v>
      </c>
      <c r="C806" t="s">
        <v>105</v>
      </c>
      <c r="D806" t="s">
        <v>2090</v>
      </c>
      <c r="E806" t="s">
        <v>99</v>
      </c>
      <c r="F806" t="s">
        <v>558</v>
      </c>
      <c r="G806" t="s">
        <v>2091</v>
      </c>
      <c r="H806" t="str">
        <f>" "</f>
        <v xml:space="preserve"> </v>
      </c>
      <c r="N806" t="s">
        <v>176</v>
      </c>
      <c r="O806" t="s">
        <v>177</v>
      </c>
      <c r="R806" t="s">
        <v>57</v>
      </c>
      <c r="S806">
        <v>16</v>
      </c>
      <c r="T806">
        <v>205</v>
      </c>
      <c r="U806" s="1">
        <v>31658</v>
      </c>
      <c r="V806" t="s">
        <v>123</v>
      </c>
      <c r="W806" t="s">
        <v>124</v>
      </c>
      <c r="X806" t="s">
        <v>58</v>
      </c>
      <c r="Y806">
        <v>18</v>
      </c>
      <c r="Z806" t="s">
        <v>59</v>
      </c>
      <c r="AA806" t="s">
        <v>59</v>
      </c>
      <c r="AB806" t="s">
        <v>59</v>
      </c>
      <c r="AC806" t="s">
        <v>59</v>
      </c>
      <c r="AD806" t="s">
        <v>59</v>
      </c>
      <c r="AF806" s="1">
        <v>31667</v>
      </c>
      <c r="AG806" t="s">
        <v>148</v>
      </c>
      <c r="AH806" t="s">
        <v>149</v>
      </c>
      <c r="AI806" t="str">
        <f>"1778010"</f>
        <v>1778010</v>
      </c>
      <c r="AJ806" t="s">
        <v>672</v>
      </c>
      <c r="AK806">
        <v>2810822455</v>
      </c>
      <c r="AL806" t="s">
        <v>673</v>
      </c>
      <c r="AM806" t="s">
        <v>78</v>
      </c>
      <c r="AN806" t="s">
        <v>129</v>
      </c>
      <c r="AO806" t="s">
        <v>130</v>
      </c>
      <c r="AP806" t="s">
        <v>130</v>
      </c>
      <c r="AQ806">
        <v>36</v>
      </c>
      <c r="AR806" t="s">
        <v>123</v>
      </c>
      <c r="AS806" t="s">
        <v>124</v>
      </c>
      <c r="AT806" t="s">
        <v>58</v>
      </c>
      <c r="AU806" t="s">
        <v>68</v>
      </c>
      <c r="AV806" t="s">
        <v>69</v>
      </c>
      <c r="AW806" s="1">
        <v>21805</v>
      </c>
      <c r="AX806">
        <v>2</v>
      </c>
    </row>
    <row r="807" spans="1:50">
      <c r="A807">
        <v>210691</v>
      </c>
      <c r="B807" t="str">
        <f>"118926705"</f>
        <v>118926705</v>
      </c>
      <c r="C807" t="s">
        <v>50</v>
      </c>
      <c r="D807" t="s">
        <v>2092</v>
      </c>
      <c r="E807" t="s">
        <v>83</v>
      </c>
      <c r="F807" t="s">
        <v>72</v>
      </c>
      <c r="G807" t="s">
        <v>950</v>
      </c>
      <c r="H807" t="str">
        <f>"ΔΙΑΓΟΡΑ 12 "</f>
        <v xml:space="preserve">ΔΙΑΓΟΡΑ 12 </v>
      </c>
      <c r="I807">
        <v>71304</v>
      </c>
      <c r="J807">
        <v>2810373360</v>
      </c>
      <c r="L807">
        <v>6987298836</v>
      </c>
      <c r="M807" t="s">
        <v>2093</v>
      </c>
      <c r="N807" t="s">
        <v>478</v>
      </c>
      <c r="O807" t="s">
        <v>479</v>
      </c>
      <c r="R807" t="s">
        <v>57</v>
      </c>
      <c r="S807">
        <v>8</v>
      </c>
      <c r="T807">
        <v>256</v>
      </c>
      <c r="U807" s="1">
        <v>38624</v>
      </c>
      <c r="V807" t="s">
        <v>123</v>
      </c>
      <c r="W807" t="s">
        <v>124</v>
      </c>
      <c r="X807" t="s">
        <v>58</v>
      </c>
      <c r="Y807">
        <v>20</v>
      </c>
      <c r="Z807" t="s">
        <v>59</v>
      </c>
      <c r="AA807" t="s">
        <v>59</v>
      </c>
      <c r="AB807" t="s">
        <v>59</v>
      </c>
      <c r="AC807" t="s">
        <v>59</v>
      </c>
      <c r="AD807" t="s">
        <v>59</v>
      </c>
      <c r="AF807" s="1">
        <v>38625</v>
      </c>
      <c r="AG807" t="s">
        <v>125</v>
      </c>
      <c r="AH807" t="s">
        <v>126</v>
      </c>
      <c r="AI807" t="str">
        <f>"1728010"</f>
        <v>1728010</v>
      </c>
      <c r="AJ807" t="s">
        <v>127</v>
      </c>
      <c r="AK807">
        <v>2810824651</v>
      </c>
      <c r="AL807" t="s">
        <v>128</v>
      </c>
      <c r="AM807" t="s">
        <v>78</v>
      </c>
      <c r="AN807" t="s">
        <v>129</v>
      </c>
      <c r="AO807" t="s">
        <v>130</v>
      </c>
      <c r="AP807" t="s">
        <v>130</v>
      </c>
      <c r="AQ807">
        <v>36</v>
      </c>
      <c r="AR807" t="s">
        <v>123</v>
      </c>
      <c r="AS807" t="s">
        <v>124</v>
      </c>
      <c r="AT807" t="s">
        <v>58</v>
      </c>
      <c r="AU807" t="s">
        <v>68</v>
      </c>
      <c r="AV807" t="s">
        <v>69</v>
      </c>
      <c r="AW807" s="1">
        <v>27599</v>
      </c>
      <c r="AX807">
        <v>2</v>
      </c>
    </row>
    <row r="808" spans="1:50">
      <c r="A808">
        <v>202605</v>
      </c>
      <c r="B808" t="str">
        <f>"045644439"</f>
        <v>045644439</v>
      </c>
      <c r="C808" t="s">
        <v>105</v>
      </c>
      <c r="D808" t="s">
        <v>2094</v>
      </c>
      <c r="E808" t="s">
        <v>510</v>
      </c>
      <c r="F808" t="s">
        <v>95</v>
      </c>
      <c r="G808" t="s">
        <v>52</v>
      </c>
      <c r="H808" t="str">
        <f>" "</f>
        <v xml:space="preserve"> </v>
      </c>
      <c r="J808">
        <v>2810259687</v>
      </c>
      <c r="K808">
        <v>6976670541</v>
      </c>
      <c r="M808" t="s">
        <v>2095</v>
      </c>
      <c r="N808" t="s">
        <v>232</v>
      </c>
      <c r="O808" t="s">
        <v>233</v>
      </c>
      <c r="R808" t="s">
        <v>57</v>
      </c>
      <c r="S808">
        <v>8</v>
      </c>
      <c r="T808">
        <v>231</v>
      </c>
      <c r="U808" s="1">
        <v>38230</v>
      </c>
      <c r="V808" t="s">
        <v>123</v>
      </c>
      <c r="W808" t="s">
        <v>124</v>
      </c>
      <c r="X808" t="s">
        <v>58</v>
      </c>
      <c r="Y808">
        <v>20</v>
      </c>
      <c r="Z808" t="s">
        <v>59</v>
      </c>
      <c r="AA808" t="s">
        <v>59</v>
      </c>
      <c r="AB808" t="s">
        <v>59</v>
      </c>
      <c r="AC808" t="s">
        <v>59</v>
      </c>
      <c r="AD808" t="s">
        <v>59</v>
      </c>
      <c r="AF808" s="1">
        <v>38232</v>
      </c>
      <c r="AG808" t="s">
        <v>125</v>
      </c>
      <c r="AH808" t="s">
        <v>126</v>
      </c>
      <c r="AI808" t="str">
        <f>"1701054"</f>
        <v>1701054</v>
      </c>
      <c r="AJ808" t="s">
        <v>318</v>
      </c>
      <c r="AK808">
        <v>2810252418</v>
      </c>
      <c r="AL808" t="s">
        <v>319</v>
      </c>
      <c r="AM808" t="s">
        <v>78</v>
      </c>
      <c r="AN808" t="s">
        <v>78</v>
      </c>
      <c r="AO808" t="s">
        <v>78</v>
      </c>
      <c r="AP808" t="s">
        <v>141</v>
      </c>
      <c r="AQ808">
        <v>7</v>
      </c>
      <c r="AR808" t="s">
        <v>123</v>
      </c>
      <c r="AS808" t="s">
        <v>124</v>
      </c>
      <c r="AT808" t="s">
        <v>58</v>
      </c>
      <c r="AU808" t="s">
        <v>68</v>
      </c>
      <c r="AV808" t="s">
        <v>69</v>
      </c>
      <c r="AW808" s="1">
        <v>24382</v>
      </c>
      <c r="AX808">
        <v>2</v>
      </c>
    </row>
    <row r="809" spans="1:50">
      <c r="B809" t="str">
        <f>"105264009"</f>
        <v>105264009</v>
      </c>
      <c r="C809" t="s">
        <v>50</v>
      </c>
      <c r="D809" t="s">
        <v>2096</v>
      </c>
      <c r="E809" t="s">
        <v>1553</v>
      </c>
      <c r="F809" t="s">
        <v>1841</v>
      </c>
      <c r="G809" t="s">
        <v>2097</v>
      </c>
      <c r="H809" t="str">
        <f>"Λασαίας 5 Ηράκλειο"</f>
        <v>Λασαίας 5 Ηράκλειο</v>
      </c>
      <c r="I809">
        <v>71305</v>
      </c>
      <c r="J809">
        <v>2815006618</v>
      </c>
      <c r="K809">
        <v>6947613152</v>
      </c>
      <c r="L809">
        <v>2467042203</v>
      </c>
      <c r="M809" t="s">
        <v>2098</v>
      </c>
      <c r="N809" t="s">
        <v>146</v>
      </c>
      <c r="O809" t="s">
        <v>147</v>
      </c>
      <c r="R809" t="s">
        <v>159</v>
      </c>
      <c r="S809">
        <v>4</v>
      </c>
      <c r="T809" t="s">
        <v>160</v>
      </c>
      <c r="U809" s="1">
        <v>43364</v>
      </c>
      <c r="V809" t="s">
        <v>123</v>
      </c>
      <c r="W809" t="s">
        <v>124</v>
      </c>
      <c r="X809" t="s">
        <v>58</v>
      </c>
      <c r="Y809">
        <v>21</v>
      </c>
      <c r="Z809" t="s">
        <v>59</v>
      </c>
      <c r="AA809" t="s">
        <v>59</v>
      </c>
      <c r="AB809" t="s">
        <v>59</v>
      </c>
      <c r="AC809" t="s">
        <v>59</v>
      </c>
      <c r="AD809" t="s">
        <v>59</v>
      </c>
      <c r="AF809" s="1">
        <v>43367</v>
      </c>
      <c r="AG809" t="s">
        <v>148</v>
      </c>
      <c r="AH809" t="s">
        <v>149</v>
      </c>
      <c r="AI809" t="str">
        <f>"1759010"</f>
        <v>1759010</v>
      </c>
      <c r="AJ809" t="s">
        <v>403</v>
      </c>
      <c r="AK809">
        <v>2894022127</v>
      </c>
      <c r="AL809" t="s">
        <v>404</v>
      </c>
      <c r="AM809" t="s">
        <v>78</v>
      </c>
      <c r="AN809" t="s">
        <v>405</v>
      </c>
      <c r="AO809" t="s">
        <v>406</v>
      </c>
      <c r="AP809" t="s">
        <v>406</v>
      </c>
      <c r="AQ809">
        <v>30</v>
      </c>
      <c r="AR809" t="s">
        <v>123</v>
      </c>
      <c r="AS809" t="s">
        <v>124</v>
      </c>
      <c r="AT809" t="s">
        <v>58</v>
      </c>
      <c r="AU809" t="s">
        <v>164</v>
      </c>
      <c r="AV809" t="s">
        <v>132</v>
      </c>
      <c r="AW809" s="1">
        <v>30120</v>
      </c>
      <c r="AX809">
        <v>2</v>
      </c>
    </row>
    <row r="810" spans="1:50">
      <c r="A810">
        <v>191495</v>
      </c>
      <c r="B810" t="str">
        <f>"046740517"</f>
        <v>046740517</v>
      </c>
      <c r="C810" t="s">
        <v>50</v>
      </c>
      <c r="D810" t="s">
        <v>2099</v>
      </c>
      <c r="E810" t="s">
        <v>1418</v>
      </c>
      <c r="F810" t="s">
        <v>95</v>
      </c>
      <c r="G810" t="s">
        <v>263</v>
      </c>
      <c r="H810" t="str">
        <f>" "</f>
        <v xml:space="preserve"> </v>
      </c>
      <c r="N810" t="s">
        <v>299</v>
      </c>
      <c r="O810" t="s">
        <v>300</v>
      </c>
      <c r="P810" t="s">
        <v>135</v>
      </c>
      <c r="Q810" t="s">
        <v>136</v>
      </c>
      <c r="R810" t="s">
        <v>57</v>
      </c>
      <c r="S810">
        <v>10</v>
      </c>
      <c r="T810">
        <v>291</v>
      </c>
      <c r="U810" s="1">
        <v>37218</v>
      </c>
      <c r="V810" t="s">
        <v>123</v>
      </c>
      <c r="W810" t="s">
        <v>124</v>
      </c>
      <c r="X810" t="s">
        <v>58</v>
      </c>
      <c r="Y810">
        <v>20</v>
      </c>
      <c r="Z810" t="s">
        <v>59</v>
      </c>
      <c r="AA810" t="s">
        <v>59</v>
      </c>
      <c r="AB810" t="s">
        <v>59</v>
      </c>
      <c r="AC810" t="s">
        <v>59</v>
      </c>
      <c r="AD810" t="s">
        <v>59</v>
      </c>
      <c r="AF810" s="1">
        <v>37221</v>
      </c>
      <c r="AG810" t="s">
        <v>137</v>
      </c>
      <c r="AH810" t="s">
        <v>138</v>
      </c>
      <c r="AI810" t="str">
        <f>"1740070"</f>
        <v>1740070</v>
      </c>
      <c r="AJ810" t="s">
        <v>206</v>
      </c>
      <c r="AK810">
        <v>2810324880</v>
      </c>
      <c r="AL810" t="s">
        <v>207</v>
      </c>
      <c r="AM810" t="s">
        <v>78</v>
      </c>
      <c r="AN810" t="s">
        <v>78</v>
      </c>
      <c r="AO810" t="s">
        <v>78</v>
      </c>
      <c r="AP810" t="s">
        <v>163</v>
      </c>
      <c r="AQ810">
        <v>9</v>
      </c>
      <c r="AR810" t="s">
        <v>123</v>
      </c>
      <c r="AS810" t="s">
        <v>124</v>
      </c>
      <c r="AT810" t="s">
        <v>58</v>
      </c>
      <c r="AU810" t="s">
        <v>68</v>
      </c>
      <c r="AV810" t="s">
        <v>69</v>
      </c>
      <c r="AW810" s="1">
        <v>23609</v>
      </c>
      <c r="AX810">
        <v>2</v>
      </c>
    </row>
    <row r="811" spans="1:50">
      <c r="A811">
        <v>704167</v>
      </c>
      <c r="B811" t="str">
        <f>"120131067"</f>
        <v>120131067</v>
      </c>
      <c r="C811" t="s">
        <v>105</v>
      </c>
      <c r="D811" t="s">
        <v>2100</v>
      </c>
      <c r="E811" t="s">
        <v>2101</v>
      </c>
      <c r="F811" t="s">
        <v>106</v>
      </c>
      <c r="G811" t="s">
        <v>155</v>
      </c>
      <c r="H811" t="str">
        <f>"ΙΠΠΟΚΡΑΤΟΥΣ 1 ΗΡΑΚΛΕΙΟ"</f>
        <v>ΙΠΠΟΚΡΑΤΟΥΣ 1 ΗΡΑΚΛΕΙΟ</v>
      </c>
      <c r="K811">
        <v>6942677201</v>
      </c>
      <c r="M811" t="s">
        <v>2102</v>
      </c>
      <c r="N811" t="s">
        <v>282</v>
      </c>
      <c r="O811" t="s">
        <v>283</v>
      </c>
      <c r="R811" t="s">
        <v>57</v>
      </c>
      <c r="S811">
        <v>3</v>
      </c>
      <c r="T811">
        <v>1350</v>
      </c>
      <c r="U811" s="1">
        <v>42732</v>
      </c>
      <c r="V811" t="s">
        <v>123</v>
      </c>
      <c r="W811" t="s">
        <v>124</v>
      </c>
      <c r="X811" t="s">
        <v>58</v>
      </c>
      <c r="Y811">
        <v>23</v>
      </c>
      <c r="Z811" t="s">
        <v>59</v>
      </c>
      <c r="AA811" t="s">
        <v>59</v>
      </c>
      <c r="AB811" t="s">
        <v>59</v>
      </c>
      <c r="AD811" t="s">
        <v>59</v>
      </c>
      <c r="AF811" s="1">
        <v>42734</v>
      </c>
      <c r="AG811" t="s">
        <v>125</v>
      </c>
      <c r="AH811" t="s">
        <v>126</v>
      </c>
      <c r="AI811" t="str">
        <f>"1715010"</f>
        <v>1715010</v>
      </c>
      <c r="AJ811" t="s">
        <v>812</v>
      </c>
      <c r="AK811">
        <v>2893031193</v>
      </c>
      <c r="AL811" t="s">
        <v>813</v>
      </c>
      <c r="AM811" t="s">
        <v>78</v>
      </c>
      <c r="AN811" t="s">
        <v>405</v>
      </c>
      <c r="AO811" t="s">
        <v>805</v>
      </c>
      <c r="AP811" t="s">
        <v>806</v>
      </c>
      <c r="AQ811">
        <v>25</v>
      </c>
      <c r="AR811" t="s">
        <v>123</v>
      </c>
      <c r="AS811" t="s">
        <v>124</v>
      </c>
      <c r="AT811" t="s">
        <v>58</v>
      </c>
      <c r="AU811" t="s">
        <v>68</v>
      </c>
      <c r="AV811" t="s">
        <v>69</v>
      </c>
      <c r="AX811">
        <v>2</v>
      </c>
    </row>
    <row r="812" spans="1:50">
      <c r="A812">
        <v>171579</v>
      </c>
      <c r="B812" t="str">
        <f>"035786920"</f>
        <v>035786920</v>
      </c>
      <c r="C812" t="s">
        <v>105</v>
      </c>
      <c r="D812" t="s">
        <v>2103</v>
      </c>
      <c r="E812" t="s">
        <v>99</v>
      </c>
      <c r="F812" t="s">
        <v>309</v>
      </c>
      <c r="G812" t="s">
        <v>52</v>
      </c>
      <c r="H812" t="str">
        <f>" "</f>
        <v xml:space="preserve"> </v>
      </c>
      <c r="M812" t="s">
        <v>2104</v>
      </c>
      <c r="N812" t="s">
        <v>176</v>
      </c>
      <c r="O812" t="s">
        <v>177</v>
      </c>
      <c r="R812" t="s">
        <v>57</v>
      </c>
      <c r="S812">
        <v>13</v>
      </c>
      <c r="T812">
        <v>184</v>
      </c>
      <c r="U812" s="1">
        <v>34941</v>
      </c>
      <c r="V812" t="s">
        <v>123</v>
      </c>
      <c r="W812" t="s">
        <v>124</v>
      </c>
      <c r="X812" t="s">
        <v>58</v>
      </c>
      <c r="Y812">
        <v>18</v>
      </c>
      <c r="Z812" t="s">
        <v>59</v>
      </c>
      <c r="AA812" t="s">
        <v>59</v>
      </c>
      <c r="AB812" t="s">
        <v>59</v>
      </c>
      <c r="AC812" t="s">
        <v>59</v>
      </c>
      <c r="AD812" t="s">
        <v>59</v>
      </c>
      <c r="AF812" s="1">
        <v>34947</v>
      </c>
      <c r="AG812" t="s">
        <v>125</v>
      </c>
      <c r="AH812" t="s">
        <v>126</v>
      </c>
      <c r="AI812" t="str">
        <f>"1701020"</f>
        <v>1701020</v>
      </c>
      <c r="AJ812" t="s">
        <v>323</v>
      </c>
      <c r="AK812">
        <v>2810252111</v>
      </c>
      <c r="AL812" t="s">
        <v>324</v>
      </c>
      <c r="AM812" t="s">
        <v>78</v>
      </c>
      <c r="AN812" t="s">
        <v>78</v>
      </c>
      <c r="AO812" t="s">
        <v>78</v>
      </c>
      <c r="AP812" t="s">
        <v>163</v>
      </c>
      <c r="AQ812">
        <v>3</v>
      </c>
      <c r="AR812" t="s">
        <v>123</v>
      </c>
      <c r="AS812" t="s">
        <v>124</v>
      </c>
      <c r="AT812" t="s">
        <v>58</v>
      </c>
      <c r="AU812" t="s">
        <v>68</v>
      </c>
      <c r="AV812" t="s">
        <v>69</v>
      </c>
      <c r="AW812" s="1">
        <v>23104</v>
      </c>
      <c r="AX812">
        <v>2</v>
      </c>
    </row>
    <row r="813" spans="1:50">
      <c r="A813">
        <v>169086</v>
      </c>
      <c r="B813" t="str">
        <f>"045278423"</f>
        <v>045278423</v>
      </c>
      <c r="C813" t="s">
        <v>105</v>
      </c>
      <c r="D813" t="s">
        <v>2105</v>
      </c>
      <c r="E813" t="s">
        <v>95</v>
      </c>
      <c r="F813" t="s">
        <v>166</v>
      </c>
      <c r="G813" t="s">
        <v>352</v>
      </c>
      <c r="H813" t="str">
        <f>"ΑΓΙΟΥ ΠΟΛΥΚΑΡΠΟΥ 21 ΠΕΡΙΣΤΕΡΙ"</f>
        <v>ΑΓΙΟΥ ΠΟΛΥΚΑΡΠΟΥ 21 ΠΕΡΙΣΤΕΡΙ</v>
      </c>
      <c r="I813">
        <v>12136</v>
      </c>
      <c r="K813">
        <v>6984030535</v>
      </c>
      <c r="L813">
        <v>6939072313</v>
      </c>
      <c r="M813" t="s">
        <v>2106</v>
      </c>
      <c r="N813" t="s">
        <v>204</v>
      </c>
      <c r="O813" t="s">
        <v>205</v>
      </c>
      <c r="R813" t="s">
        <v>57</v>
      </c>
      <c r="S813">
        <v>11</v>
      </c>
      <c r="T813">
        <v>159</v>
      </c>
      <c r="U813" s="1">
        <v>34582</v>
      </c>
      <c r="V813" t="s">
        <v>123</v>
      </c>
      <c r="W813" t="s">
        <v>124</v>
      </c>
      <c r="X813" t="s">
        <v>58</v>
      </c>
      <c r="Y813">
        <v>18</v>
      </c>
      <c r="Z813" t="s">
        <v>59</v>
      </c>
      <c r="AA813" t="s">
        <v>59</v>
      </c>
      <c r="AB813" t="s">
        <v>59</v>
      </c>
      <c r="AC813" t="s">
        <v>59</v>
      </c>
      <c r="AD813" t="s">
        <v>59</v>
      </c>
      <c r="AF813" s="1">
        <v>34584</v>
      </c>
      <c r="AG813" t="s">
        <v>148</v>
      </c>
      <c r="AH813" t="s">
        <v>149</v>
      </c>
      <c r="AI813" t="str">
        <f>"1756010"</f>
        <v>1756010</v>
      </c>
      <c r="AJ813" t="s">
        <v>874</v>
      </c>
      <c r="AK813">
        <v>2892022976</v>
      </c>
      <c r="AL813" t="s">
        <v>875</v>
      </c>
      <c r="AM813" t="s">
        <v>78</v>
      </c>
      <c r="AN813" t="s">
        <v>242</v>
      </c>
      <c r="AO813" t="s">
        <v>243</v>
      </c>
      <c r="AP813" t="s">
        <v>243</v>
      </c>
      <c r="AQ813">
        <v>33</v>
      </c>
      <c r="AR813" t="s">
        <v>123</v>
      </c>
      <c r="AS813" t="s">
        <v>124</v>
      </c>
      <c r="AT813" t="s">
        <v>58</v>
      </c>
      <c r="AU813" t="s">
        <v>68</v>
      </c>
      <c r="AV813" t="s">
        <v>69</v>
      </c>
      <c r="AW813" s="1">
        <v>25633</v>
      </c>
      <c r="AX813">
        <v>2</v>
      </c>
    </row>
    <row r="814" spans="1:50">
      <c r="A814">
        <v>179371</v>
      </c>
      <c r="B814" t="str">
        <f>"048003709"</f>
        <v>048003709</v>
      </c>
      <c r="C814" t="s">
        <v>50</v>
      </c>
      <c r="D814" t="s">
        <v>2107</v>
      </c>
      <c r="E814" t="s">
        <v>1440</v>
      </c>
      <c r="F814" t="s">
        <v>84</v>
      </c>
      <c r="G814" t="s">
        <v>2108</v>
      </c>
      <c r="H814" t="str">
        <f>"ΟΥΛΟΦ ΠΑΛΜΕ 113 ΗΡΑΚΛΕΙΟ"</f>
        <v>ΟΥΛΟΦ ΠΑΛΜΕ 113 ΗΡΑΚΛΕΙΟ</v>
      </c>
      <c r="J814">
        <v>2810232723</v>
      </c>
      <c r="M814" t="s">
        <v>2109</v>
      </c>
      <c r="N814" t="s">
        <v>146</v>
      </c>
      <c r="O814" t="s">
        <v>147</v>
      </c>
      <c r="P814" t="s">
        <v>257</v>
      </c>
      <c r="Q814" t="s">
        <v>258</v>
      </c>
      <c r="R814" t="s">
        <v>57</v>
      </c>
      <c r="S814">
        <v>14</v>
      </c>
      <c r="T814">
        <v>164</v>
      </c>
      <c r="U814" s="1">
        <v>36040</v>
      </c>
      <c r="V814" t="s">
        <v>123</v>
      </c>
      <c r="W814" t="s">
        <v>124</v>
      </c>
      <c r="X814" t="s">
        <v>58</v>
      </c>
      <c r="Y814">
        <v>18</v>
      </c>
      <c r="Z814" t="s">
        <v>59</v>
      </c>
      <c r="AA814" t="s">
        <v>59</v>
      </c>
      <c r="AB814" t="s">
        <v>59</v>
      </c>
      <c r="AC814" t="s">
        <v>59</v>
      </c>
      <c r="AD814" t="s">
        <v>59</v>
      </c>
      <c r="AF814" s="1">
        <v>36045</v>
      </c>
      <c r="AG814" t="s">
        <v>125</v>
      </c>
      <c r="AH814" t="s">
        <v>126</v>
      </c>
      <c r="AI814" t="str">
        <f>"1703010"</f>
        <v>1703010</v>
      </c>
      <c r="AJ814" t="s">
        <v>422</v>
      </c>
      <c r="AK814">
        <v>2810751808</v>
      </c>
      <c r="AL814" t="s">
        <v>423</v>
      </c>
      <c r="AM814" t="s">
        <v>78</v>
      </c>
      <c r="AN814" t="s">
        <v>424</v>
      </c>
      <c r="AO814" t="s">
        <v>425</v>
      </c>
      <c r="AP814" t="s">
        <v>425</v>
      </c>
      <c r="AQ814">
        <v>13</v>
      </c>
      <c r="AR814" t="s">
        <v>123</v>
      </c>
      <c r="AS814" t="s">
        <v>124</v>
      </c>
      <c r="AT814" t="s">
        <v>58</v>
      </c>
      <c r="AU814" t="s">
        <v>68</v>
      </c>
      <c r="AV814" t="s">
        <v>69</v>
      </c>
      <c r="AW814" s="1">
        <v>24516</v>
      </c>
      <c r="AX814">
        <v>2</v>
      </c>
    </row>
    <row r="815" spans="1:50">
      <c r="A815">
        <v>172255</v>
      </c>
      <c r="B815" t="str">
        <f>"043887522"</f>
        <v>043887522</v>
      </c>
      <c r="C815" t="s">
        <v>50</v>
      </c>
      <c r="D815" t="s">
        <v>2110</v>
      </c>
      <c r="E815" t="s">
        <v>484</v>
      </c>
      <c r="F815" t="s">
        <v>564</v>
      </c>
      <c r="G815" t="s">
        <v>104</v>
      </c>
      <c r="H815" t="str">
        <f>" "</f>
        <v xml:space="preserve"> </v>
      </c>
      <c r="J815">
        <v>2810321690</v>
      </c>
      <c r="K815">
        <v>6977249332</v>
      </c>
      <c r="N815" t="s">
        <v>1989</v>
      </c>
      <c r="O815" t="s">
        <v>1990</v>
      </c>
      <c r="R815" t="s">
        <v>57</v>
      </c>
      <c r="S815">
        <v>13</v>
      </c>
      <c r="T815">
        <v>184</v>
      </c>
      <c r="U815" s="1">
        <v>34941</v>
      </c>
      <c r="V815" t="s">
        <v>123</v>
      </c>
      <c r="W815" t="s">
        <v>124</v>
      </c>
      <c r="X815" t="s">
        <v>58</v>
      </c>
      <c r="Y815">
        <v>18</v>
      </c>
      <c r="Z815" t="s">
        <v>59</v>
      </c>
      <c r="AA815" t="s">
        <v>59</v>
      </c>
      <c r="AB815" t="s">
        <v>59</v>
      </c>
      <c r="AC815" t="s">
        <v>59</v>
      </c>
      <c r="AD815" t="s">
        <v>59</v>
      </c>
      <c r="AF815" s="1">
        <v>34941</v>
      </c>
      <c r="AG815" t="s">
        <v>137</v>
      </c>
      <c r="AH815" t="s">
        <v>138</v>
      </c>
      <c r="AI815" t="str">
        <f>"1740210"</f>
        <v>1740210</v>
      </c>
      <c r="AJ815" t="s">
        <v>139</v>
      </c>
      <c r="AK815">
        <v>2810318130</v>
      </c>
      <c r="AL815" t="s">
        <v>140</v>
      </c>
      <c r="AM815" t="s">
        <v>78</v>
      </c>
      <c r="AN815" t="s">
        <v>78</v>
      </c>
      <c r="AO815" t="s">
        <v>78</v>
      </c>
      <c r="AP815" t="s">
        <v>141</v>
      </c>
      <c r="AQ815">
        <v>7</v>
      </c>
      <c r="AR815" t="s">
        <v>123</v>
      </c>
      <c r="AS815" t="s">
        <v>124</v>
      </c>
      <c r="AT815" t="s">
        <v>58</v>
      </c>
      <c r="AU815" t="s">
        <v>68</v>
      </c>
      <c r="AV815" t="s">
        <v>69</v>
      </c>
      <c r="AW815" s="1">
        <v>22282</v>
      </c>
      <c r="AX815">
        <v>2</v>
      </c>
    </row>
    <row r="816" spans="1:50">
      <c r="A816">
        <v>205295</v>
      </c>
      <c r="B816" t="str">
        <f>"067081256"</f>
        <v>067081256</v>
      </c>
      <c r="C816" t="s">
        <v>50</v>
      </c>
      <c r="D816" t="s">
        <v>2111</v>
      </c>
      <c r="E816" t="s">
        <v>2112</v>
      </c>
      <c r="F816" t="s">
        <v>1328</v>
      </c>
      <c r="G816" t="s">
        <v>52</v>
      </c>
      <c r="H816" t="str">
        <f>"ΑΡΓΥΡΟΥΠΟΛΕΩΣ 90Α ΑΡΓΥΡΟΥΠΟΛΗ"</f>
        <v>ΑΡΓΥΡΟΥΠΟΛΕΩΣ 90Α ΑΡΓΥΡΟΥΠΟΛΗ</v>
      </c>
      <c r="I816">
        <v>16451</v>
      </c>
      <c r="J816">
        <v>2109944934</v>
      </c>
      <c r="L816">
        <v>2109926506</v>
      </c>
      <c r="N816" t="s">
        <v>204</v>
      </c>
      <c r="O816" t="s">
        <v>205</v>
      </c>
      <c r="P816" t="s">
        <v>331</v>
      </c>
      <c r="Q816" t="s">
        <v>332</v>
      </c>
      <c r="R816" t="s">
        <v>57</v>
      </c>
      <c r="S816">
        <v>7</v>
      </c>
      <c r="T816">
        <v>231</v>
      </c>
      <c r="U816" s="1">
        <v>38230</v>
      </c>
      <c r="V816" t="s">
        <v>123</v>
      </c>
      <c r="W816" t="s">
        <v>124</v>
      </c>
      <c r="X816" t="s">
        <v>58</v>
      </c>
      <c r="Y816">
        <v>20</v>
      </c>
      <c r="Z816" t="s">
        <v>59</v>
      </c>
      <c r="AA816" t="s">
        <v>59</v>
      </c>
      <c r="AB816" t="s">
        <v>59</v>
      </c>
      <c r="AC816" t="s">
        <v>59</v>
      </c>
      <c r="AD816" t="s">
        <v>59</v>
      </c>
      <c r="AF816" s="1">
        <v>38233</v>
      </c>
      <c r="AG816" t="s">
        <v>125</v>
      </c>
      <c r="AH816" t="s">
        <v>590</v>
      </c>
      <c r="AI816" t="str">
        <f>"1740060"</f>
        <v>1740060</v>
      </c>
      <c r="AJ816" t="s">
        <v>591</v>
      </c>
      <c r="AK816">
        <v>2810232117</v>
      </c>
      <c r="AL816" t="s">
        <v>592</v>
      </c>
      <c r="AM816" t="s">
        <v>78</v>
      </c>
      <c r="AN816" t="s">
        <v>78</v>
      </c>
      <c r="AO816" t="s">
        <v>78</v>
      </c>
      <c r="AP816" t="s">
        <v>141</v>
      </c>
      <c r="AQ816">
        <v>11</v>
      </c>
      <c r="AR816" t="s">
        <v>123</v>
      </c>
      <c r="AS816" t="s">
        <v>124</v>
      </c>
      <c r="AT816" t="s">
        <v>58</v>
      </c>
      <c r="AU816" t="s">
        <v>68</v>
      </c>
      <c r="AV816" t="s">
        <v>69</v>
      </c>
      <c r="AW816" s="1">
        <v>28326</v>
      </c>
      <c r="AX816">
        <v>2</v>
      </c>
    </row>
    <row r="817" spans="1:50">
      <c r="A817">
        <v>217335</v>
      </c>
      <c r="B817" t="str">
        <f>"074136599"</f>
        <v>074136599</v>
      </c>
      <c r="C817" t="s">
        <v>105</v>
      </c>
      <c r="D817" t="s">
        <v>2113</v>
      </c>
      <c r="E817" t="s">
        <v>2114</v>
      </c>
      <c r="F817" t="s">
        <v>53</v>
      </c>
      <c r="G817" t="s">
        <v>476</v>
      </c>
      <c r="H817" t="str">
        <f>"ΑΝΩ  ΚΑΛΕΣΑ "</f>
        <v xml:space="preserve">ΑΝΩ  ΚΑΛΕΣΑ </v>
      </c>
      <c r="I817">
        <v>71500</v>
      </c>
      <c r="J817">
        <v>2291070511</v>
      </c>
      <c r="K817">
        <v>6979861838</v>
      </c>
      <c r="M817" t="s">
        <v>2115</v>
      </c>
      <c r="N817" t="s">
        <v>157</v>
      </c>
      <c r="O817" t="s">
        <v>158</v>
      </c>
      <c r="R817" t="s">
        <v>57</v>
      </c>
      <c r="S817">
        <v>5</v>
      </c>
      <c r="T817">
        <v>599</v>
      </c>
      <c r="U817" s="1">
        <v>39310</v>
      </c>
      <c r="V817" t="s">
        <v>123</v>
      </c>
      <c r="W817" t="s">
        <v>124</v>
      </c>
      <c r="X817" t="s">
        <v>58</v>
      </c>
      <c r="Y817">
        <v>21</v>
      </c>
      <c r="Z817" t="s">
        <v>59</v>
      </c>
      <c r="AA817" t="s">
        <v>59</v>
      </c>
      <c r="AB817" t="s">
        <v>59</v>
      </c>
      <c r="AC817" t="s">
        <v>59</v>
      </c>
      <c r="AD817" t="s">
        <v>59</v>
      </c>
      <c r="AF817" s="1">
        <v>39329</v>
      </c>
      <c r="AG817" t="s">
        <v>125</v>
      </c>
      <c r="AH817" t="s">
        <v>126</v>
      </c>
      <c r="AI817" t="str">
        <f>"1726010"</f>
        <v>1726010</v>
      </c>
      <c r="AJ817" t="s">
        <v>265</v>
      </c>
      <c r="AK817">
        <v>2810831228</v>
      </c>
      <c r="AL817" t="s">
        <v>266</v>
      </c>
      <c r="AM817" t="s">
        <v>78</v>
      </c>
      <c r="AN817" t="s">
        <v>129</v>
      </c>
      <c r="AO817" t="s">
        <v>267</v>
      </c>
      <c r="AP817" t="s">
        <v>267</v>
      </c>
      <c r="AQ817">
        <v>27</v>
      </c>
      <c r="AR817" t="s">
        <v>123</v>
      </c>
      <c r="AS817" t="s">
        <v>124</v>
      </c>
      <c r="AT817" t="s">
        <v>58</v>
      </c>
      <c r="AU817" t="s">
        <v>68</v>
      </c>
      <c r="AV817" t="s">
        <v>69</v>
      </c>
      <c r="AW817" s="1">
        <v>25893</v>
      </c>
      <c r="AX817">
        <v>2</v>
      </c>
    </row>
    <row r="818" spans="1:50">
      <c r="A818">
        <v>222208</v>
      </c>
      <c r="B818" t="str">
        <f>"114569480"</f>
        <v>114569480</v>
      </c>
      <c r="C818" t="s">
        <v>50</v>
      </c>
      <c r="D818" t="s">
        <v>2116</v>
      </c>
      <c r="E818" t="s">
        <v>181</v>
      </c>
      <c r="F818" t="s">
        <v>510</v>
      </c>
      <c r="G818" t="s">
        <v>52</v>
      </c>
      <c r="H818" t="str">
        <f>"ΑΛ. ΡΑΦΤΟΠΟΥΛΟΥ 48 ΗΡΑΚΛΕΙΟ"</f>
        <v>ΑΛ. ΡΑΦΤΟΠΟΥΛΟΥ 48 ΗΡΑΚΛΕΙΟ</v>
      </c>
      <c r="I818">
        <v>71305</v>
      </c>
      <c r="J818">
        <v>2810320801</v>
      </c>
      <c r="K818">
        <v>6977126037</v>
      </c>
      <c r="L818">
        <v>2897021284</v>
      </c>
      <c r="M818" t="s">
        <v>2117</v>
      </c>
      <c r="N818" t="s">
        <v>146</v>
      </c>
      <c r="O818" t="s">
        <v>147</v>
      </c>
      <c r="R818" t="s">
        <v>57</v>
      </c>
      <c r="S818">
        <v>8</v>
      </c>
      <c r="T818">
        <v>775</v>
      </c>
      <c r="U818" s="1">
        <v>39680</v>
      </c>
      <c r="V818" t="s">
        <v>123</v>
      </c>
      <c r="W818" t="s">
        <v>124</v>
      </c>
      <c r="X818" t="s">
        <v>58</v>
      </c>
      <c r="Y818">
        <v>20</v>
      </c>
      <c r="Z818" t="s">
        <v>59</v>
      </c>
      <c r="AA818" t="s">
        <v>59</v>
      </c>
      <c r="AB818" t="s">
        <v>59</v>
      </c>
      <c r="AC818" t="s">
        <v>59</v>
      </c>
      <c r="AD818" t="s">
        <v>59</v>
      </c>
      <c r="AF818" s="1">
        <v>39681</v>
      </c>
      <c r="AG818" t="s">
        <v>148</v>
      </c>
      <c r="AH818" t="s">
        <v>149</v>
      </c>
      <c r="AI818" t="str">
        <f>"1752010"</f>
        <v>1752010</v>
      </c>
      <c r="AJ818" t="s">
        <v>896</v>
      </c>
      <c r="AK818">
        <v>2891022893</v>
      </c>
      <c r="AL818" t="s">
        <v>897</v>
      </c>
      <c r="AM818" t="s">
        <v>78</v>
      </c>
      <c r="AN818" t="s">
        <v>276</v>
      </c>
      <c r="AO818" t="s">
        <v>490</v>
      </c>
      <c r="AP818" t="s">
        <v>490</v>
      </c>
      <c r="AQ818">
        <v>15</v>
      </c>
      <c r="AR818" t="s">
        <v>123</v>
      </c>
      <c r="AS818" t="s">
        <v>124</v>
      </c>
      <c r="AT818" t="s">
        <v>58</v>
      </c>
      <c r="AU818" t="s">
        <v>68</v>
      </c>
      <c r="AV818" t="s">
        <v>69</v>
      </c>
      <c r="AW818" s="1">
        <v>28856</v>
      </c>
      <c r="AX818">
        <v>2</v>
      </c>
    </row>
    <row r="819" spans="1:50">
      <c r="A819">
        <v>225781</v>
      </c>
      <c r="B819" t="str">
        <f>"046067630"</f>
        <v>046067630</v>
      </c>
      <c r="C819" t="s">
        <v>50</v>
      </c>
      <c r="D819" t="s">
        <v>2118</v>
      </c>
      <c r="E819" t="s">
        <v>964</v>
      </c>
      <c r="F819" t="s">
        <v>309</v>
      </c>
      <c r="G819" t="s">
        <v>809</v>
      </c>
      <c r="H819" t="str">
        <f>"ΗΡΟΥΣ 15Α ΑΘΗΝΑ"</f>
        <v>ΗΡΟΥΣ 15Α ΑΘΗΝΑ</v>
      </c>
      <c r="I819">
        <v>10442</v>
      </c>
      <c r="J819">
        <v>2105138955</v>
      </c>
      <c r="K819">
        <v>6973448523</v>
      </c>
      <c r="M819" t="s">
        <v>2119</v>
      </c>
      <c r="N819" t="s">
        <v>478</v>
      </c>
      <c r="O819" t="s">
        <v>479</v>
      </c>
      <c r="R819" t="s">
        <v>57</v>
      </c>
      <c r="S819">
        <v>7</v>
      </c>
      <c r="T819">
        <v>862</v>
      </c>
      <c r="U819" s="1">
        <v>39706</v>
      </c>
      <c r="V819" t="s">
        <v>123</v>
      </c>
      <c r="W819" t="s">
        <v>124</v>
      </c>
      <c r="X819" t="s">
        <v>58</v>
      </c>
      <c r="Y819">
        <v>21</v>
      </c>
      <c r="Z819" t="s">
        <v>59</v>
      </c>
      <c r="AA819" t="s">
        <v>59</v>
      </c>
      <c r="AB819" t="s">
        <v>59</v>
      </c>
      <c r="AC819" t="s">
        <v>59</v>
      </c>
      <c r="AD819" t="s">
        <v>59</v>
      </c>
      <c r="AF819" s="1">
        <v>39708</v>
      </c>
      <c r="AG819" t="s">
        <v>125</v>
      </c>
      <c r="AH819" t="s">
        <v>126</v>
      </c>
      <c r="AI819" t="str">
        <f>"1714010"</f>
        <v>1714010</v>
      </c>
      <c r="AJ819" t="s">
        <v>997</v>
      </c>
      <c r="AK819">
        <v>2894031333</v>
      </c>
      <c r="AL819" t="s">
        <v>998</v>
      </c>
      <c r="AM819" t="s">
        <v>78</v>
      </c>
      <c r="AN819" t="s">
        <v>242</v>
      </c>
      <c r="AO819" t="s">
        <v>999</v>
      </c>
      <c r="AP819" t="s">
        <v>999</v>
      </c>
      <c r="AQ819">
        <v>31</v>
      </c>
      <c r="AR819" t="s">
        <v>123</v>
      </c>
      <c r="AS819" t="s">
        <v>124</v>
      </c>
      <c r="AT819" t="s">
        <v>58</v>
      </c>
      <c r="AU819" t="s">
        <v>68</v>
      </c>
      <c r="AV819" t="s">
        <v>69</v>
      </c>
      <c r="AW819" s="1">
        <v>24996</v>
      </c>
      <c r="AX819">
        <v>2</v>
      </c>
    </row>
    <row r="820" spans="1:50">
      <c r="B820" t="str">
        <f>"118906282"</f>
        <v>118906282</v>
      </c>
      <c r="C820" t="s">
        <v>50</v>
      </c>
      <c r="D820" t="s">
        <v>2120</v>
      </c>
      <c r="E820" t="s">
        <v>54</v>
      </c>
      <c r="F820" t="s">
        <v>521</v>
      </c>
      <c r="G820" t="s">
        <v>845</v>
      </c>
      <c r="H820" t="str">
        <f>"ΤΗΝΟΥ 2 ΗΡΑΚΛΕΙΟ"</f>
        <v>ΤΗΝΟΥ 2 ΗΡΑΚΛΕΙΟ</v>
      </c>
      <c r="I820">
        <v>71304</v>
      </c>
      <c r="J820">
        <v>2810257818</v>
      </c>
      <c r="K820">
        <v>6976167454</v>
      </c>
      <c r="M820" t="s">
        <v>2121</v>
      </c>
      <c r="N820" t="s">
        <v>146</v>
      </c>
      <c r="O820" t="s">
        <v>147</v>
      </c>
      <c r="R820" t="s">
        <v>159</v>
      </c>
      <c r="S820">
        <v>4</v>
      </c>
      <c r="T820" t="s">
        <v>416</v>
      </c>
      <c r="U820" s="1">
        <v>43349</v>
      </c>
      <c r="V820" t="s">
        <v>123</v>
      </c>
      <c r="W820" t="s">
        <v>124</v>
      </c>
      <c r="X820" t="s">
        <v>58</v>
      </c>
      <c r="Y820">
        <v>21</v>
      </c>
      <c r="Z820" t="s">
        <v>59</v>
      </c>
      <c r="AA820" t="s">
        <v>59</v>
      </c>
      <c r="AB820" t="s">
        <v>59</v>
      </c>
      <c r="AC820" t="s">
        <v>59</v>
      </c>
      <c r="AD820" t="s">
        <v>59</v>
      </c>
      <c r="AF820" s="1">
        <v>43349</v>
      </c>
      <c r="AG820" t="s">
        <v>125</v>
      </c>
      <c r="AH820" t="s">
        <v>126</v>
      </c>
      <c r="AI820" t="str">
        <f>"1726010"</f>
        <v>1726010</v>
      </c>
      <c r="AJ820" t="s">
        <v>265</v>
      </c>
      <c r="AK820">
        <v>2810831228</v>
      </c>
      <c r="AL820" t="s">
        <v>266</v>
      </c>
      <c r="AM820" t="s">
        <v>78</v>
      </c>
      <c r="AN820" t="s">
        <v>129</v>
      </c>
      <c r="AO820" t="s">
        <v>267</v>
      </c>
      <c r="AP820" t="s">
        <v>267</v>
      </c>
      <c r="AQ820">
        <v>27</v>
      </c>
      <c r="AR820" t="s">
        <v>123</v>
      </c>
      <c r="AS820" t="s">
        <v>124</v>
      </c>
      <c r="AT820" t="s">
        <v>58</v>
      </c>
      <c r="AU820" t="s">
        <v>419</v>
      </c>
      <c r="AV820" t="s">
        <v>132</v>
      </c>
      <c r="AW820" s="1">
        <v>27721</v>
      </c>
      <c r="AX820">
        <v>2</v>
      </c>
    </row>
    <row r="821" spans="1:50">
      <c r="A821">
        <v>175894</v>
      </c>
      <c r="B821" t="str">
        <f>"026369364"</f>
        <v>026369364</v>
      </c>
      <c r="C821" t="s">
        <v>105</v>
      </c>
      <c r="D821" t="s">
        <v>2122</v>
      </c>
      <c r="E821" t="s">
        <v>558</v>
      </c>
      <c r="F821" t="s">
        <v>154</v>
      </c>
      <c r="G821" t="s">
        <v>155</v>
      </c>
      <c r="H821" t="str">
        <f>"ΑΡΚΑΛΟΧΩΡΙ "</f>
        <v xml:space="preserve">ΑΡΚΑΛΟΧΩΡΙ </v>
      </c>
      <c r="I821">
        <v>70300</v>
      </c>
      <c r="J821">
        <v>2891024267</v>
      </c>
      <c r="K821">
        <v>6974372755</v>
      </c>
      <c r="M821" t="s">
        <v>2123</v>
      </c>
      <c r="N821" t="s">
        <v>292</v>
      </c>
      <c r="O821" t="s">
        <v>293</v>
      </c>
      <c r="R821" t="s">
        <v>57</v>
      </c>
      <c r="S821">
        <v>10</v>
      </c>
      <c r="T821">
        <v>180</v>
      </c>
      <c r="U821" s="1">
        <v>35674</v>
      </c>
      <c r="V821" t="s">
        <v>123</v>
      </c>
      <c r="W821" t="s">
        <v>124</v>
      </c>
      <c r="X821" t="s">
        <v>58</v>
      </c>
      <c r="Y821">
        <v>18</v>
      </c>
      <c r="Z821" t="s">
        <v>59</v>
      </c>
      <c r="AA821" t="s">
        <v>59</v>
      </c>
      <c r="AB821" t="s">
        <v>59</v>
      </c>
      <c r="AC821" t="s">
        <v>59</v>
      </c>
      <c r="AD821" t="s">
        <v>59</v>
      </c>
      <c r="AF821" s="1">
        <v>35681</v>
      </c>
      <c r="AG821" t="s">
        <v>125</v>
      </c>
      <c r="AH821" t="s">
        <v>126</v>
      </c>
      <c r="AI821" t="str">
        <f>"1702010"</f>
        <v>1702010</v>
      </c>
      <c r="AJ821" t="s">
        <v>604</v>
      </c>
      <c r="AK821">
        <v>2891022228</v>
      </c>
      <c r="AL821" t="s">
        <v>605</v>
      </c>
      <c r="AM821" t="s">
        <v>78</v>
      </c>
      <c r="AN821" t="s">
        <v>276</v>
      </c>
      <c r="AO821" t="s">
        <v>490</v>
      </c>
      <c r="AP821" t="s">
        <v>490</v>
      </c>
      <c r="AQ821">
        <v>15</v>
      </c>
      <c r="AR821" t="s">
        <v>123</v>
      </c>
      <c r="AS821" t="s">
        <v>124</v>
      </c>
      <c r="AT821" t="s">
        <v>58</v>
      </c>
      <c r="AU821" t="s">
        <v>68</v>
      </c>
      <c r="AV821" t="s">
        <v>69</v>
      </c>
      <c r="AW821" s="1">
        <v>21294</v>
      </c>
      <c r="AX821">
        <v>2</v>
      </c>
    </row>
    <row r="822" spans="1:50">
      <c r="A822">
        <v>224967</v>
      </c>
      <c r="B822" t="str">
        <f>"036275017"</f>
        <v>036275017</v>
      </c>
      <c r="C822" t="s">
        <v>50</v>
      </c>
      <c r="D822" t="s">
        <v>2124</v>
      </c>
      <c r="E822" t="s">
        <v>263</v>
      </c>
      <c r="F822" t="s">
        <v>936</v>
      </c>
      <c r="G822" t="s">
        <v>174</v>
      </c>
      <c r="H822" t="str">
        <f>"ΚΑΠΟΔΙΣΤΡΙΟΥ 27 ΗΡΑΚΛΕΙΟ"</f>
        <v>ΚΑΠΟΔΙΣΤΡΙΟΥ 27 ΗΡΑΚΛΕΙΟ</v>
      </c>
      <c r="I822">
        <v>71306</v>
      </c>
      <c r="J822">
        <v>2815006849</v>
      </c>
      <c r="K822">
        <v>6945154426</v>
      </c>
      <c r="M822" t="s">
        <v>2125</v>
      </c>
      <c r="N822" t="s">
        <v>176</v>
      </c>
      <c r="O822" t="s">
        <v>177</v>
      </c>
      <c r="R822" t="s">
        <v>57</v>
      </c>
      <c r="S822">
        <v>9</v>
      </c>
      <c r="T822">
        <v>775</v>
      </c>
      <c r="U822" s="1">
        <v>39680</v>
      </c>
      <c r="V822" t="s">
        <v>123</v>
      </c>
      <c r="W822" t="s">
        <v>124</v>
      </c>
      <c r="X822" t="s">
        <v>58</v>
      </c>
      <c r="Y822">
        <v>20</v>
      </c>
      <c r="Z822" t="s">
        <v>59</v>
      </c>
      <c r="AA822" t="s">
        <v>59</v>
      </c>
      <c r="AB822" t="s">
        <v>59</v>
      </c>
      <c r="AC822" t="s">
        <v>59</v>
      </c>
      <c r="AD822" t="s">
        <v>59</v>
      </c>
      <c r="AF822" s="1">
        <v>39685</v>
      </c>
      <c r="AG822" t="s">
        <v>125</v>
      </c>
      <c r="AH822" t="s">
        <v>126</v>
      </c>
      <c r="AI822" t="str">
        <f>"1717011"</f>
        <v>1717011</v>
      </c>
      <c r="AJ822" t="s">
        <v>832</v>
      </c>
      <c r="AK822">
        <v>2897023311</v>
      </c>
      <c r="AL822" t="s">
        <v>833</v>
      </c>
      <c r="AM822" t="s">
        <v>78</v>
      </c>
      <c r="AN822" t="s">
        <v>219</v>
      </c>
      <c r="AO822" t="s">
        <v>219</v>
      </c>
      <c r="AP822" t="s">
        <v>220</v>
      </c>
      <c r="AQ822">
        <v>20</v>
      </c>
      <c r="AR822" t="s">
        <v>123</v>
      </c>
      <c r="AS822" t="s">
        <v>124</v>
      </c>
      <c r="AT822" t="s">
        <v>58</v>
      </c>
      <c r="AU822" t="s">
        <v>68</v>
      </c>
      <c r="AV822" t="s">
        <v>69</v>
      </c>
      <c r="AW822" s="1">
        <v>23779</v>
      </c>
      <c r="AX822">
        <v>2</v>
      </c>
    </row>
    <row r="823" spans="1:50">
      <c r="A823">
        <v>177783</v>
      </c>
      <c r="B823" t="str">
        <f>"032076559"</f>
        <v>032076559</v>
      </c>
      <c r="C823" t="s">
        <v>50</v>
      </c>
      <c r="D823" t="s">
        <v>2126</v>
      </c>
      <c r="E823" t="s">
        <v>52</v>
      </c>
      <c r="F823" t="s">
        <v>95</v>
      </c>
      <c r="G823" t="s">
        <v>2127</v>
      </c>
      <c r="H823" t="str">
        <f>" "</f>
        <v xml:space="preserve"> </v>
      </c>
      <c r="M823" t="s">
        <v>2128</v>
      </c>
      <c r="N823" t="s">
        <v>1351</v>
      </c>
      <c r="O823" t="s">
        <v>1352</v>
      </c>
      <c r="R823" t="s">
        <v>57</v>
      </c>
      <c r="S823">
        <v>17</v>
      </c>
      <c r="T823">
        <v>180</v>
      </c>
      <c r="U823" s="1">
        <v>35674</v>
      </c>
      <c r="V823" t="s">
        <v>123</v>
      </c>
      <c r="W823" t="s">
        <v>124</v>
      </c>
      <c r="X823" t="s">
        <v>58</v>
      </c>
      <c r="Y823">
        <v>18</v>
      </c>
      <c r="Z823" t="s">
        <v>59</v>
      </c>
      <c r="AA823" t="s">
        <v>59</v>
      </c>
      <c r="AB823" t="s">
        <v>59</v>
      </c>
      <c r="AC823" t="s">
        <v>59</v>
      </c>
      <c r="AD823" t="s">
        <v>59</v>
      </c>
      <c r="AF823" s="1">
        <v>35678</v>
      </c>
      <c r="AG823" t="s">
        <v>137</v>
      </c>
      <c r="AH823" t="s">
        <v>138</v>
      </c>
      <c r="AI823" t="str">
        <f>"1740100"</f>
        <v>1740100</v>
      </c>
      <c r="AJ823" t="s">
        <v>857</v>
      </c>
      <c r="AK823">
        <v>2810360741</v>
      </c>
      <c r="AL823" t="s">
        <v>858</v>
      </c>
      <c r="AM823" t="s">
        <v>78</v>
      </c>
      <c r="AN823" t="s">
        <v>78</v>
      </c>
      <c r="AO823" t="s">
        <v>78</v>
      </c>
      <c r="AP823" t="s">
        <v>163</v>
      </c>
      <c r="AQ823">
        <v>5</v>
      </c>
      <c r="AR823" t="s">
        <v>123</v>
      </c>
      <c r="AS823" t="s">
        <v>124</v>
      </c>
      <c r="AT823" t="s">
        <v>58</v>
      </c>
      <c r="AU823" t="s">
        <v>68</v>
      </c>
      <c r="AV823" t="s">
        <v>69</v>
      </c>
      <c r="AW823" s="1">
        <v>23377</v>
      </c>
      <c r="AX823">
        <v>2</v>
      </c>
    </row>
    <row r="824" spans="1:50">
      <c r="A824">
        <v>173066</v>
      </c>
      <c r="B824" t="str">
        <f>"034202841"</f>
        <v>034202841</v>
      </c>
      <c r="C824" t="s">
        <v>50</v>
      </c>
      <c r="D824" t="s">
        <v>2126</v>
      </c>
      <c r="E824" t="s">
        <v>620</v>
      </c>
      <c r="F824" t="s">
        <v>153</v>
      </c>
      <c r="G824" t="s">
        <v>83</v>
      </c>
      <c r="H824" t="str">
        <f>" "</f>
        <v xml:space="preserve"> </v>
      </c>
      <c r="M824" t="s">
        <v>2129</v>
      </c>
      <c r="N824" t="s">
        <v>176</v>
      </c>
      <c r="O824" t="s">
        <v>177</v>
      </c>
      <c r="R824" t="s">
        <v>57</v>
      </c>
      <c r="S824">
        <v>14</v>
      </c>
      <c r="T824">
        <v>103</v>
      </c>
      <c r="U824" s="1">
        <v>34144</v>
      </c>
      <c r="V824" t="s">
        <v>123</v>
      </c>
      <c r="W824" t="s">
        <v>124</v>
      </c>
      <c r="X824" t="s">
        <v>58</v>
      </c>
      <c r="Y824">
        <v>18</v>
      </c>
      <c r="Z824" t="s">
        <v>59</v>
      </c>
      <c r="AA824" t="s">
        <v>59</v>
      </c>
      <c r="AB824" t="s">
        <v>59</v>
      </c>
      <c r="AC824" t="s">
        <v>59</v>
      </c>
      <c r="AD824" t="s">
        <v>59</v>
      </c>
      <c r="AF824" s="1">
        <v>34213</v>
      </c>
      <c r="AG824" t="s">
        <v>125</v>
      </c>
      <c r="AH824" t="s">
        <v>126</v>
      </c>
      <c r="AI824" t="str">
        <f>"1701054"</f>
        <v>1701054</v>
      </c>
      <c r="AJ824" t="s">
        <v>318</v>
      </c>
      <c r="AK824">
        <v>2810252418</v>
      </c>
      <c r="AL824" t="s">
        <v>319</v>
      </c>
      <c r="AM824" t="s">
        <v>78</v>
      </c>
      <c r="AN824" t="s">
        <v>78</v>
      </c>
      <c r="AO824" t="s">
        <v>78</v>
      </c>
      <c r="AP824" t="s">
        <v>141</v>
      </c>
      <c r="AQ824">
        <v>7</v>
      </c>
      <c r="AR824" t="s">
        <v>123</v>
      </c>
      <c r="AS824" t="s">
        <v>124</v>
      </c>
      <c r="AT824" t="s">
        <v>58</v>
      </c>
      <c r="AU824" t="s">
        <v>68</v>
      </c>
      <c r="AV824" t="s">
        <v>69</v>
      </c>
      <c r="AW824" s="1">
        <v>23780</v>
      </c>
      <c r="AX824">
        <v>2</v>
      </c>
    </row>
    <row r="825" spans="1:50">
      <c r="A825">
        <v>212116</v>
      </c>
      <c r="B825" t="str">
        <f>"073089406"</f>
        <v>073089406</v>
      </c>
      <c r="C825" t="s">
        <v>50</v>
      </c>
      <c r="D825" t="s">
        <v>2130</v>
      </c>
      <c r="E825" t="s">
        <v>237</v>
      </c>
      <c r="F825" t="s">
        <v>106</v>
      </c>
      <c r="G825" t="s">
        <v>52</v>
      </c>
      <c r="H825" t="str">
        <f>"ΑΝΘΕΩΝ 80 ΗΡΑΚΛΕΙΟ"</f>
        <v>ΑΝΘΕΩΝ 80 ΗΡΑΚΛΕΙΟ</v>
      </c>
      <c r="I825">
        <v>71409</v>
      </c>
      <c r="J825">
        <v>2810326464</v>
      </c>
      <c r="K825">
        <v>6973052920</v>
      </c>
      <c r="M825" t="s">
        <v>2131</v>
      </c>
      <c r="N825" t="s">
        <v>146</v>
      </c>
      <c r="O825" t="s">
        <v>147</v>
      </c>
      <c r="R825" t="s">
        <v>57</v>
      </c>
      <c r="S825">
        <v>9</v>
      </c>
      <c r="T825">
        <v>231</v>
      </c>
      <c r="U825" s="1">
        <v>38960</v>
      </c>
      <c r="V825" t="s">
        <v>123</v>
      </c>
      <c r="W825" t="s">
        <v>124</v>
      </c>
      <c r="X825" t="s">
        <v>58</v>
      </c>
      <c r="Y825">
        <v>20</v>
      </c>
      <c r="Z825" t="s">
        <v>59</v>
      </c>
      <c r="AA825" t="s">
        <v>59</v>
      </c>
      <c r="AB825" t="s">
        <v>59</v>
      </c>
      <c r="AC825" t="s">
        <v>59</v>
      </c>
      <c r="AD825" t="s">
        <v>452</v>
      </c>
      <c r="AE825" s="1">
        <v>43708</v>
      </c>
      <c r="AF825" s="1">
        <v>38961</v>
      </c>
      <c r="AG825" t="s">
        <v>60</v>
      </c>
      <c r="AH825" t="s">
        <v>453</v>
      </c>
      <c r="AI825" t="str">
        <f>"1700105"</f>
        <v>1700105</v>
      </c>
      <c r="AJ825" t="s">
        <v>124</v>
      </c>
      <c r="AK825">
        <v>2810333720</v>
      </c>
      <c r="AL825" t="s">
        <v>454</v>
      </c>
      <c r="AM825" t="s">
        <v>78</v>
      </c>
      <c r="AN825" t="s">
        <v>78</v>
      </c>
      <c r="AO825" t="s">
        <v>78</v>
      </c>
      <c r="AP825" t="s">
        <v>79</v>
      </c>
      <c r="AS825" t="s">
        <v>124</v>
      </c>
      <c r="AT825" t="s">
        <v>58</v>
      </c>
      <c r="AU825" t="s">
        <v>68</v>
      </c>
      <c r="AV825" t="s">
        <v>455</v>
      </c>
      <c r="AW825" s="1">
        <v>25300</v>
      </c>
      <c r="AX825">
        <v>2</v>
      </c>
    </row>
    <row r="826" spans="1:50">
      <c r="B826" t="str">
        <f>"132995623"</f>
        <v>132995623</v>
      </c>
      <c r="C826" t="s">
        <v>105</v>
      </c>
      <c r="D826" t="s">
        <v>2132</v>
      </c>
      <c r="E826" t="s">
        <v>72</v>
      </c>
      <c r="F826" t="s">
        <v>304</v>
      </c>
      <c r="G826" t="s">
        <v>52</v>
      </c>
      <c r="H826" t="str">
        <f>"ΒΟΙΩΤΙΑΣ 27 ΗΡΑΚΛΕΙΟ"</f>
        <v>ΒΟΙΩΤΙΑΣ 27 ΗΡΑΚΛΕΙΟ</v>
      </c>
      <c r="I826">
        <v>71304</v>
      </c>
      <c r="J826">
        <v>2810711011</v>
      </c>
      <c r="K826">
        <v>6944679693</v>
      </c>
      <c r="N826" t="s">
        <v>232</v>
      </c>
      <c r="O826" t="s">
        <v>233</v>
      </c>
      <c r="R826" t="s">
        <v>159</v>
      </c>
      <c r="S826">
        <v>3</v>
      </c>
      <c r="T826" t="s">
        <v>574</v>
      </c>
      <c r="U826" s="1">
        <v>43378</v>
      </c>
      <c r="V826" t="s">
        <v>123</v>
      </c>
      <c r="W826" t="s">
        <v>124</v>
      </c>
      <c r="X826" t="s">
        <v>58</v>
      </c>
      <c r="Y826">
        <v>23</v>
      </c>
      <c r="Z826" t="s">
        <v>59</v>
      </c>
      <c r="AA826" t="s">
        <v>59</v>
      </c>
      <c r="AB826" t="s">
        <v>59</v>
      </c>
      <c r="AC826" t="s">
        <v>59</v>
      </c>
      <c r="AD826" t="s">
        <v>59</v>
      </c>
      <c r="AF826" s="1">
        <v>43381</v>
      </c>
      <c r="AG826" t="s">
        <v>148</v>
      </c>
      <c r="AH826" t="s">
        <v>1053</v>
      </c>
      <c r="AI826" t="str">
        <f>"1790200"</f>
        <v>1790200</v>
      </c>
      <c r="AJ826" t="s">
        <v>1054</v>
      </c>
      <c r="AK826">
        <v>2810360880</v>
      </c>
      <c r="AL826" t="s">
        <v>1055</v>
      </c>
      <c r="AM826" t="s">
        <v>78</v>
      </c>
      <c r="AN826" t="s">
        <v>78</v>
      </c>
      <c r="AO826" t="s">
        <v>78</v>
      </c>
      <c r="AP826" t="s">
        <v>163</v>
      </c>
      <c r="AQ826">
        <v>8</v>
      </c>
      <c r="AR826" t="s">
        <v>123</v>
      </c>
      <c r="AS826" t="s">
        <v>124</v>
      </c>
      <c r="AT826" t="s">
        <v>58</v>
      </c>
      <c r="AU826" t="s">
        <v>164</v>
      </c>
      <c r="AV826" t="s">
        <v>132</v>
      </c>
      <c r="AW826" s="1">
        <v>27897</v>
      </c>
      <c r="AX826">
        <v>2</v>
      </c>
    </row>
    <row r="827" spans="1:50">
      <c r="A827">
        <v>194351</v>
      </c>
      <c r="B827" t="str">
        <f>"033379279"</f>
        <v>033379279</v>
      </c>
      <c r="C827" t="s">
        <v>105</v>
      </c>
      <c r="D827" t="s">
        <v>2133</v>
      </c>
      <c r="E827" t="s">
        <v>53</v>
      </c>
      <c r="F827" t="s">
        <v>450</v>
      </c>
      <c r="G827" t="s">
        <v>52</v>
      </c>
      <c r="H827" t="str">
        <f>" "</f>
        <v xml:space="preserve"> </v>
      </c>
      <c r="J827">
        <v>2810263234</v>
      </c>
      <c r="M827" t="s">
        <v>2134</v>
      </c>
      <c r="N827" t="s">
        <v>176</v>
      </c>
      <c r="O827" t="s">
        <v>177</v>
      </c>
      <c r="R827" t="s">
        <v>57</v>
      </c>
      <c r="S827">
        <v>10</v>
      </c>
      <c r="T827">
        <v>193</v>
      </c>
      <c r="U827" s="1">
        <v>37497</v>
      </c>
      <c r="V827" t="s">
        <v>123</v>
      </c>
      <c r="W827" t="s">
        <v>124</v>
      </c>
      <c r="X827" t="s">
        <v>58</v>
      </c>
      <c r="Y827">
        <v>18</v>
      </c>
      <c r="Z827" t="s">
        <v>59</v>
      </c>
      <c r="AA827" t="s">
        <v>59</v>
      </c>
      <c r="AB827" t="s">
        <v>59</v>
      </c>
      <c r="AC827" t="s">
        <v>59</v>
      </c>
      <c r="AD827" t="s">
        <v>59</v>
      </c>
      <c r="AF827" s="1">
        <v>37497</v>
      </c>
      <c r="AG827" t="s">
        <v>125</v>
      </c>
      <c r="AH827" t="s">
        <v>126</v>
      </c>
      <c r="AI827" t="str">
        <f>"1701090"</f>
        <v>1701090</v>
      </c>
      <c r="AJ827" t="s">
        <v>435</v>
      </c>
      <c r="AK827">
        <v>2810871288</v>
      </c>
      <c r="AL827" t="s">
        <v>436</v>
      </c>
      <c r="AM827" t="s">
        <v>78</v>
      </c>
      <c r="AN827" t="s">
        <v>78</v>
      </c>
      <c r="AO827" t="s">
        <v>437</v>
      </c>
      <c r="AP827" t="s">
        <v>438</v>
      </c>
      <c r="AQ827">
        <v>26</v>
      </c>
      <c r="AR827" t="s">
        <v>123</v>
      </c>
      <c r="AS827" t="s">
        <v>124</v>
      </c>
      <c r="AT827" t="s">
        <v>58</v>
      </c>
      <c r="AU827" t="s">
        <v>68</v>
      </c>
      <c r="AV827" t="s">
        <v>69</v>
      </c>
      <c r="AW827" s="1">
        <v>24862</v>
      </c>
      <c r="AX827">
        <v>2</v>
      </c>
    </row>
    <row r="828" spans="1:50">
      <c r="B828" t="str">
        <f>"138812791"</f>
        <v>138812791</v>
      </c>
      <c r="C828" t="s">
        <v>50</v>
      </c>
      <c r="D828" t="s">
        <v>2135</v>
      </c>
      <c r="E828" t="s">
        <v>2136</v>
      </c>
      <c r="F828" t="s">
        <v>99</v>
      </c>
      <c r="G828" t="s">
        <v>191</v>
      </c>
      <c r="H828" t="str">
        <f>"ΚΑΝΑΡΗ 55 "</f>
        <v xml:space="preserve">ΚΑΝΑΡΗ 55 </v>
      </c>
      <c r="I828">
        <v>13231</v>
      </c>
      <c r="J828">
        <v>2105017009</v>
      </c>
      <c r="K828">
        <v>6977088643</v>
      </c>
      <c r="L828">
        <v>2815103425</v>
      </c>
      <c r="M828" t="s">
        <v>2137</v>
      </c>
      <c r="N828" t="s">
        <v>119</v>
      </c>
      <c r="O828" t="s">
        <v>120</v>
      </c>
      <c r="R828" t="s">
        <v>159</v>
      </c>
      <c r="S828">
        <v>5</v>
      </c>
      <c r="T828" t="s">
        <v>344</v>
      </c>
      <c r="U828" s="1">
        <v>43348</v>
      </c>
      <c r="V828" t="s">
        <v>123</v>
      </c>
      <c r="W828" t="s">
        <v>124</v>
      </c>
      <c r="X828" t="s">
        <v>58</v>
      </c>
      <c r="Y828">
        <v>23</v>
      </c>
      <c r="Z828" t="s">
        <v>59</v>
      </c>
      <c r="AA828" t="s">
        <v>59</v>
      </c>
      <c r="AB828" t="s">
        <v>59</v>
      </c>
      <c r="AC828" t="s">
        <v>59</v>
      </c>
      <c r="AD828" t="s">
        <v>59</v>
      </c>
      <c r="AF828" s="1">
        <v>43348</v>
      </c>
      <c r="AG828" t="s">
        <v>148</v>
      </c>
      <c r="AH828" t="s">
        <v>149</v>
      </c>
      <c r="AI828" t="str">
        <f>"1751052"</f>
        <v>1751052</v>
      </c>
      <c r="AJ828" t="s">
        <v>328</v>
      </c>
      <c r="AK828">
        <v>2810213762</v>
      </c>
      <c r="AL828" t="s">
        <v>329</v>
      </c>
      <c r="AM828" t="s">
        <v>78</v>
      </c>
      <c r="AN828" t="s">
        <v>78</v>
      </c>
      <c r="AO828" t="s">
        <v>78</v>
      </c>
      <c r="AP828" t="s">
        <v>163</v>
      </c>
      <c r="AQ828">
        <v>8</v>
      </c>
      <c r="AR828" t="s">
        <v>123</v>
      </c>
      <c r="AS828" t="s">
        <v>124</v>
      </c>
      <c r="AT828" t="s">
        <v>58</v>
      </c>
      <c r="AU828" t="s">
        <v>350</v>
      </c>
      <c r="AV828" t="s">
        <v>132</v>
      </c>
      <c r="AW828" s="1">
        <v>29456</v>
      </c>
      <c r="AX828">
        <v>2</v>
      </c>
    </row>
    <row r="829" spans="1:50">
      <c r="A829">
        <v>183406</v>
      </c>
      <c r="B829" t="str">
        <f>"044807769"</f>
        <v>044807769</v>
      </c>
      <c r="C829" t="s">
        <v>50</v>
      </c>
      <c r="D829" t="s">
        <v>2138</v>
      </c>
      <c r="E829" t="s">
        <v>52</v>
      </c>
      <c r="F829" t="s">
        <v>1970</v>
      </c>
      <c r="G829" t="s">
        <v>2139</v>
      </c>
      <c r="H829" t="str">
        <f>" "</f>
        <v xml:space="preserve"> </v>
      </c>
      <c r="J829">
        <v>2810315821</v>
      </c>
      <c r="K829">
        <v>6977835123</v>
      </c>
      <c r="M829" t="s">
        <v>2140</v>
      </c>
      <c r="N829" t="s">
        <v>146</v>
      </c>
      <c r="O829" t="s">
        <v>147</v>
      </c>
      <c r="R829" t="s">
        <v>57</v>
      </c>
      <c r="S829">
        <v>10</v>
      </c>
      <c r="T829">
        <v>177</v>
      </c>
      <c r="U829" s="1">
        <v>36403</v>
      </c>
      <c r="V829" t="s">
        <v>123</v>
      </c>
      <c r="W829" t="s">
        <v>124</v>
      </c>
      <c r="X829" t="s">
        <v>58</v>
      </c>
      <c r="Y829">
        <v>18</v>
      </c>
      <c r="Z829" t="s">
        <v>59</v>
      </c>
      <c r="AA829" t="s">
        <v>59</v>
      </c>
      <c r="AB829" t="s">
        <v>59</v>
      </c>
      <c r="AC829" t="s">
        <v>59</v>
      </c>
      <c r="AD829" t="s">
        <v>59</v>
      </c>
      <c r="AF829" s="1">
        <v>36406</v>
      </c>
      <c r="AG829" t="s">
        <v>125</v>
      </c>
      <c r="AH829" t="s">
        <v>359</v>
      </c>
      <c r="AI829" t="str">
        <f>"1701060"</f>
        <v>1701060</v>
      </c>
      <c r="AJ829" t="s">
        <v>360</v>
      </c>
      <c r="AK829">
        <v>2810223424</v>
      </c>
      <c r="AL829" t="s">
        <v>361</v>
      </c>
      <c r="AM829" t="s">
        <v>78</v>
      </c>
      <c r="AN829" t="s">
        <v>78</v>
      </c>
      <c r="AO829" t="s">
        <v>78</v>
      </c>
      <c r="AP829" t="s">
        <v>79</v>
      </c>
      <c r="AQ829">
        <v>1</v>
      </c>
      <c r="AR829" t="s">
        <v>123</v>
      </c>
      <c r="AS829" t="s">
        <v>124</v>
      </c>
      <c r="AT829" t="s">
        <v>58</v>
      </c>
      <c r="AU829" t="s">
        <v>68</v>
      </c>
      <c r="AV829" t="s">
        <v>69</v>
      </c>
      <c r="AW829" s="1">
        <v>24617</v>
      </c>
      <c r="AX829">
        <v>2</v>
      </c>
    </row>
    <row r="830" spans="1:50">
      <c r="A830">
        <v>211328</v>
      </c>
      <c r="B830" t="str">
        <f>"052742275"</f>
        <v>052742275</v>
      </c>
      <c r="C830" t="s">
        <v>50</v>
      </c>
      <c r="D830" t="s">
        <v>2141</v>
      </c>
      <c r="E830" t="s">
        <v>250</v>
      </c>
      <c r="F830" t="s">
        <v>311</v>
      </c>
      <c r="G830" t="s">
        <v>73</v>
      </c>
      <c r="H830" t="str">
        <f>"ΧΑΤΖΑΚΗ 61 "</f>
        <v xml:space="preserve">ΧΑΤΖΑΚΗ 61 </v>
      </c>
      <c r="J830">
        <v>2810220872</v>
      </c>
      <c r="K830">
        <v>6972603042</v>
      </c>
      <c r="M830" t="s">
        <v>2142</v>
      </c>
      <c r="N830" t="s">
        <v>246</v>
      </c>
      <c r="O830" t="s">
        <v>247</v>
      </c>
      <c r="R830" t="s">
        <v>57</v>
      </c>
      <c r="S830">
        <v>6</v>
      </c>
      <c r="T830">
        <v>299</v>
      </c>
      <c r="U830" s="1">
        <v>38670</v>
      </c>
      <c r="V830" t="s">
        <v>123</v>
      </c>
      <c r="W830" t="s">
        <v>124</v>
      </c>
      <c r="X830" t="s">
        <v>58</v>
      </c>
      <c r="Y830">
        <v>20</v>
      </c>
      <c r="Z830" t="s">
        <v>59</v>
      </c>
      <c r="AA830" t="s">
        <v>59</v>
      </c>
      <c r="AB830" t="s">
        <v>59</v>
      </c>
      <c r="AC830" t="s">
        <v>59</v>
      </c>
      <c r="AD830" t="s">
        <v>59</v>
      </c>
      <c r="AF830" s="1">
        <v>38670</v>
      </c>
      <c r="AG830" t="s">
        <v>125</v>
      </c>
      <c r="AH830" t="s">
        <v>126</v>
      </c>
      <c r="AI830" t="str">
        <f>"1701020"</f>
        <v>1701020</v>
      </c>
      <c r="AJ830" t="s">
        <v>323</v>
      </c>
      <c r="AK830">
        <v>2810252111</v>
      </c>
      <c r="AL830" t="s">
        <v>324</v>
      </c>
      <c r="AM830" t="s">
        <v>78</v>
      </c>
      <c r="AN830" t="s">
        <v>78</v>
      </c>
      <c r="AO830" t="s">
        <v>78</v>
      </c>
      <c r="AP830" t="s">
        <v>163</v>
      </c>
      <c r="AQ830">
        <v>3</v>
      </c>
      <c r="AR830" t="s">
        <v>123</v>
      </c>
      <c r="AS830" t="s">
        <v>124</v>
      </c>
      <c r="AT830" t="s">
        <v>58</v>
      </c>
      <c r="AU830" t="s">
        <v>68</v>
      </c>
      <c r="AV830" t="s">
        <v>69</v>
      </c>
      <c r="AW830" s="1">
        <v>24255</v>
      </c>
      <c r="AX830">
        <v>2</v>
      </c>
    </row>
    <row r="831" spans="1:50">
      <c r="A831">
        <v>160150</v>
      </c>
      <c r="B831" t="str">
        <f>"030328201"</f>
        <v>030328201</v>
      </c>
      <c r="C831" t="s">
        <v>50</v>
      </c>
      <c r="D831" t="s">
        <v>2141</v>
      </c>
      <c r="E831" t="s">
        <v>460</v>
      </c>
      <c r="F831" t="s">
        <v>989</v>
      </c>
      <c r="G831" t="s">
        <v>1068</v>
      </c>
      <c r="H831" t="str">
        <f>"ΠΑΠΑΔΙΑΜΑΝΤΗ 2 ΗΡΑΚΛΕΙΟ"</f>
        <v>ΠΑΠΑΔΙΑΜΑΝΤΗ 2 ΗΡΑΚΛΕΙΟ</v>
      </c>
      <c r="I831">
        <v>71307</v>
      </c>
      <c r="J831">
        <v>2810324237</v>
      </c>
      <c r="K831">
        <v>6974406958</v>
      </c>
      <c r="M831" t="s">
        <v>2143</v>
      </c>
      <c r="N831" t="s">
        <v>232</v>
      </c>
      <c r="O831" t="s">
        <v>233</v>
      </c>
      <c r="R831" t="s">
        <v>57</v>
      </c>
      <c r="S831">
        <v>15</v>
      </c>
      <c r="T831">
        <v>161</v>
      </c>
      <c r="U831" s="1">
        <v>33119</v>
      </c>
      <c r="V831" t="s">
        <v>123</v>
      </c>
      <c r="W831" t="s">
        <v>124</v>
      </c>
      <c r="X831" t="s">
        <v>58</v>
      </c>
      <c r="Y831">
        <v>18</v>
      </c>
      <c r="Z831" t="s">
        <v>59</v>
      </c>
      <c r="AA831" t="s">
        <v>59</v>
      </c>
      <c r="AB831" t="s">
        <v>59</v>
      </c>
      <c r="AC831" t="s">
        <v>59</v>
      </c>
      <c r="AD831" t="s">
        <v>59</v>
      </c>
      <c r="AF831" s="1">
        <v>33123</v>
      </c>
      <c r="AG831" t="s">
        <v>125</v>
      </c>
      <c r="AH831" t="s">
        <v>126</v>
      </c>
      <c r="AI831" t="str">
        <f>"1701010"</f>
        <v>1701010</v>
      </c>
      <c r="AJ831" t="s">
        <v>374</v>
      </c>
      <c r="AK831">
        <v>2810227148</v>
      </c>
      <c r="AL831" t="s">
        <v>375</v>
      </c>
      <c r="AM831" t="s">
        <v>78</v>
      </c>
      <c r="AN831" t="s">
        <v>78</v>
      </c>
      <c r="AO831" t="s">
        <v>78</v>
      </c>
      <c r="AP831" t="s">
        <v>79</v>
      </c>
      <c r="AQ831">
        <v>1</v>
      </c>
      <c r="AR831" t="s">
        <v>123</v>
      </c>
      <c r="AS831" t="s">
        <v>124</v>
      </c>
      <c r="AT831" t="s">
        <v>58</v>
      </c>
      <c r="AU831" t="s">
        <v>68</v>
      </c>
      <c r="AV831" t="s">
        <v>69</v>
      </c>
      <c r="AW831" s="1">
        <v>21387</v>
      </c>
      <c r="AX831">
        <v>2</v>
      </c>
    </row>
    <row r="832" spans="1:50">
      <c r="A832">
        <v>221771</v>
      </c>
      <c r="B832" t="str">
        <f>"072117670"</f>
        <v>072117670</v>
      </c>
      <c r="C832" t="s">
        <v>105</v>
      </c>
      <c r="D832" t="s">
        <v>2144</v>
      </c>
      <c r="E832" t="s">
        <v>1679</v>
      </c>
      <c r="F832" t="s">
        <v>166</v>
      </c>
      <c r="G832" t="s">
        <v>2145</v>
      </c>
      <c r="H832" t="str">
        <f>"Παλλάδας 11 ΗΡΑΚΛΕΙΟ"</f>
        <v>Παλλάδας 11 ΗΡΑΚΛΕΙΟ</v>
      </c>
      <c r="I832">
        <v>74109</v>
      </c>
      <c r="J832">
        <v>2810238384</v>
      </c>
      <c r="K832">
        <v>6984858038</v>
      </c>
      <c r="N832" t="s">
        <v>157</v>
      </c>
      <c r="O832" t="s">
        <v>158</v>
      </c>
      <c r="R832" t="s">
        <v>57</v>
      </c>
      <c r="S832">
        <v>5</v>
      </c>
      <c r="T832">
        <v>775</v>
      </c>
      <c r="U832" s="1">
        <v>39680</v>
      </c>
      <c r="V832" t="s">
        <v>123</v>
      </c>
      <c r="W832" t="s">
        <v>124</v>
      </c>
      <c r="X832" t="s">
        <v>58</v>
      </c>
      <c r="Y832">
        <v>21</v>
      </c>
      <c r="Z832" t="s">
        <v>59</v>
      </c>
      <c r="AA832" t="s">
        <v>59</v>
      </c>
      <c r="AB832" t="s">
        <v>59</v>
      </c>
      <c r="AC832" t="s">
        <v>59</v>
      </c>
      <c r="AD832" t="s">
        <v>59</v>
      </c>
      <c r="AF832" s="1">
        <v>39681</v>
      </c>
      <c r="AG832" t="s">
        <v>125</v>
      </c>
      <c r="AH832" t="s">
        <v>126</v>
      </c>
      <c r="AI832" t="str">
        <f>"1701020"</f>
        <v>1701020</v>
      </c>
      <c r="AJ832" t="s">
        <v>323</v>
      </c>
      <c r="AK832">
        <v>2810252111</v>
      </c>
      <c r="AL832" t="s">
        <v>324</v>
      </c>
      <c r="AM832" t="s">
        <v>78</v>
      </c>
      <c r="AN832" t="s">
        <v>78</v>
      </c>
      <c r="AO832" t="s">
        <v>78</v>
      </c>
      <c r="AP832" t="s">
        <v>163</v>
      </c>
      <c r="AQ832">
        <v>3</v>
      </c>
      <c r="AR832" t="s">
        <v>123</v>
      </c>
      <c r="AS832" t="s">
        <v>124</v>
      </c>
      <c r="AT832" t="s">
        <v>58</v>
      </c>
      <c r="AU832" t="s">
        <v>68</v>
      </c>
      <c r="AV832" t="s">
        <v>69</v>
      </c>
      <c r="AW832" s="1">
        <v>24601</v>
      </c>
      <c r="AX832">
        <v>2</v>
      </c>
    </row>
    <row r="833" spans="1:50">
      <c r="A833">
        <v>197184</v>
      </c>
      <c r="B833" t="str">
        <f>"119665756"</f>
        <v>119665756</v>
      </c>
      <c r="C833" t="s">
        <v>105</v>
      </c>
      <c r="D833" t="s">
        <v>2146</v>
      </c>
      <c r="E833" t="s">
        <v>166</v>
      </c>
      <c r="F833" t="s">
        <v>202</v>
      </c>
      <c r="G833" t="s">
        <v>83</v>
      </c>
      <c r="H833" t="str">
        <f>"ΛΕΩΦ. ΠΑΝΕΠΙΣΤΗΜΙΟΥ 297  ΗΡΑΚΛΕΙΟ"</f>
        <v>ΛΕΩΦ. ΠΑΝΕΠΙΣΤΗΜΙΟΥ 297  ΗΡΑΚΛΕΙΟ</v>
      </c>
      <c r="J833">
        <v>2810721699</v>
      </c>
      <c r="K833">
        <v>6973379155</v>
      </c>
      <c r="M833" t="s">
        <v>2147</v>
      </c>
      <c r="N833" t="s">
        <v>146</v>
      </c>
      <c r="O833" t="s">
        <v>147</v>
      </c>
      <c r="R833" t="s">
        <v>57</v>
      </c>
      <c r="S833">
        <v>9</v>
      </c>
      <c r="T833">
        <v>206</v>
      </c>
      <c r="U833" s="1">
        <v>37866</v>
      </c>
      <c r="V833" t="s">
        <v>123</v>
      </c>
      <c r="W833" t="s">
        <v>124</v>
      </c>
      <c r="X833" t="s">
        <v>58</v>
      </c>
      <c r="Y833">
        <v>20</v>
      </c>
      <c r="Z833" t="s">
        <v>59</v>
      </c>
      <c r="AA833" t="s">
        <v>59</v>
      </c>
      <c r="AB833" t="s">
        <v>59</v>
      </c>
      <c r="AC833" t="s">
        <v>59</v>
      </c>
      <c r="AD833" t="s">
        <v>452</v>
      </c>
      <c r="AE833" s="1">
        <v>43708</v>
      </c>
      <c r="AF833" s="1">
        <v>37866</v>
      </c>
      <c r="AG833" t="s">
        <v>60</v>
      </c>
      <c r="AH833" t="s">
        <v>453</v>
      </c>
      <c r="AI833" t="str">
        <f>"1700105"</f>
        <v>1700105</v>
      </c>
      <c r="AJ833" t="s">
        <v>124</v>
      </c>
      <c r="AK833">
        <v>2810333720</v>
      </c>
      <c r="AL833" t="s">
        <v>454</v>
      </c>
      <c r="AM833" t="s">
        <v>78</v>
      </c>
      <c r="AN833" t="s">
        <v>78</v>
      </c>
      <c r="AO833" t="s">
        <v>78</v>
      </c>
      <c r="AP833" t="s">
        <v>79</v>
      </c>
      <c r="AS833" t="s">
        <v>124</v>
      </c>
      <c r="AT833" t="s">
        <v>58</v>
      </c>
      <c r="AU833" t="s">
        <v>68</v>
      </c>
      <c r="AV833" t="s">
        <v>455</v>
      </c>
      <c r="AW833" s="1">
        <v>27859</v>
      </c>
      <c r="AX833">
        <v>2</v>
      </c>
    </row>
    <row r="834" spans="1:50">
      <c r="A834">
        <v>165005</v>
      </c>
      <c r="B834" t="str">
        <f>"036034105"</f>
        <v>036034105</v>
      </c>
      <c r="C834" t="s">
        <v>50</v>
      </c>
      <c r="D834" t="s">
        <v>2148</v>
      </c>
      <c r="E834" t="s">
        <v>52</v>
      </c>
      <c r="F834" t="s">
        <v>309</v>
      </c>
      <c r="G834" t="s">
        <v>554</v>
      </c>
      <c r="H834" t="str">
        <f>"ΕΥΣΤΡΑΤΙΟΥ ΦΩΤΑΚΗ 14 "</f>
        <v xml:space="preserve">ΕΥΣΤΡΑΤΙΟΥ ΦΩΤΑΚΗ 14 </v>
      </c>
      <c r="J834">
        <v>2810236740</v>
      </c>
      <c r="K834">
        <v>6972872911</v>
      </c>
      <c r="M834" t="s">
        <v>2149</v>
      </c>
      <c r="N834" t="s">
        <v>299</v>
      </c>
      <c r="O834" t="s">
        <v>300</v>
      </c>
      <c r="R834" t="s">
        <v>57</v>
      </c>
      <c r="S834">
        <v>14</v>
      </c>
      <c r="T834">
        <v>161</v>
      </c>
      <c r="U834" s="1">
        <v>33844</v>
      </c>
      <c r="V834" t="s">
        <v>123</v>
      </c>
      <c r="W834" t="s">
        <v>124</v>
      </c>
      <c r="X834" t="s">
        <v>58</v>
      </c>
      <c r="Y834">
        <v>18</v>
      </c>
      <c r="Z834" t="s">
        <v>59</v>
      </c>
      <c r="AA834" t="s">
        <v>59</v>
      </c>
      <c r="AB834" t="s">
        <v>59</v>
      </c>
      <c r="AC834" t="s">
        <v>59</v>
      </c>
      <c r="AD834" t="s">
        <v>59</v>
      </c>
      <c r="AF834" s="1">
        <v>33850</v>
      </c>
      <c r="AG834" t="s">
        <v>125</v>
      </c>
      <c r="AH834" t="s">
        <v>126</v>
      </c>
      <c r="AI834" t="str">
        <f>"1701053"</f>
        <v>1701053</v>
      </c>
      <c r="AJ834" t="s">
        <v>398</v>
      </c>
      <c r="AK834">
        <v>2810251434</v>
      </c>
      <c r="AL834" t="s">
        <v>399</v>
      </c>
      <c r="AM834" t="s">
        <v>78</v>
      </c>
      <c r="AN834" t="s">
        <v>78</v>
      </c>
      <c r="AO834" t="s">
        <v>78</v>
      </c>
      <c r="AP834" t="s">
        <v>141</v>
      </c>
      <c r="AQ834">
        <v>7</v>
      </c>
      <c r="AR834" t="s">
        <v>123</v>
      </c>
      <c r="AS834" t="s">
        <v>124</v>
      </c>
      <c r="AT834" t="s">
        <v>58</v>
      </c>
      <c r="AU834" t="s">
        <v>68</v>
      </c>
      <c r="AV834" t="s">
        <v>69</v>
      </c>
      <c r="AW834" s="1">
        <v>24325</v>
      </c>
      <c r="AX834">
        <v>2</v>
      </c>
    </row>
    <row r="835" spans="1:50">
      <c r="A835">
        <v>194636</v>
      </c>
      <c r="B835" t="str">
        <f>"044775560"</f>
        <v>044775560</v>
      </c>
      <c r="C835" t="s">
        <v>50</v>
      </c>
      <c r="D835" t="s">
        <v>2150</v>
      </c>
      <c r="E835" t="s">
        <v>1383</v>
      </c>
      <c r="F835" t="s">
        <v>95</v>
      </c>
      <c r="G835" t="s">
        <v>52</v>
      </c>
      <c r="H835" t="str">
        <f>" "</f>
        <v xml:space="preserve"> </v>
      </c>
      <c r="J835">
        <v>2810237877</v>
      </c>
      <c r="K835">
        <v>6972737956</v>
      </c>
      <c r="N835" t="s">
        <v>189</v>
      </c>
      <c r="O835" t="s">
        <v>190</v>
      </c>
      <c r="R835" t="s">
        <v>57</v>
      </c>
      <c r="S835">
        <v>9</v>
      </c>
      <c r="T835">
        <v>193</v>
      </c>
      <c r="U835" s="1">
        <v>37497</v>
      </c>
      <c r="V835" t="s">
        <v>123</v>
      </c>
      <c r="W835" t="s">
        <v>124</v>
      </c>
      <c r="X835" t="s">
        <v>58</v>
      </c>
      <c r="Y835">
        <v>20</v>
      </c>
      <c r="Z835" t="s">
        <v>59</v>
      </c>
      <c r="AA835" t="s">
        <v>59</v>
      </c>
      <c r="AB835" t="s">
        <v>59</v>
      </c>
      <c r="AC835" t="s">
        <v>59</v>
      </c>
      <c r="AD835" t="s">
        <v>59</v>
      </c>
      <c r="AF835" s="1">
        <v>37503</v>
      </c>
      <c r="AG835" t="s">
        <v>125</v>
      </c>
      <c r="AH835" t="s">
        <v>126</v>
      </c>
      <c r="AI835" t="str">
        <f>"1701050"</f>
        <v>1701050</v>
      </c>
      <c r="AJ835" t="s">
        <v>660</v>
      </c>
      <c r="AK835">
        <v>2810220729</v>
      </c>
      <c r="AL835" t="s">
        <v>661</v>
      </c>
      <c r="AM835" t="s">
        <v>78</v>
      </c>
      <c r="AN835" t="s">
        <v>78</v>
      </c>
      <c r="AO835" t="s">
        <v>78</v>
      </c>
      <c r="AP835" t="s">
        <v>79</v>
      </c>
      <c r="AQ835">
        <v>1</v>
      </c>
      <c r="AR835" t="s">
        <v>123</v>
      </c>
      <c r="AS835" t="s">
        <v>124</v>
      </c>
      <c r="AT835" t="s">
        <v>58</v>
      </c>
      <c r="AU835" t="s">
        <v>68</v>
      </c>
      <c r="AV835" t="s">
        <v>357</v>
      </c>
      <c r="AW835" s="1">
        <v>22751</v>
      </c>
      <c r="AX835">
        <v>2</v>
      </c>
    </row>
    <row r="836" spans="1:50">
      <c r="A836">
        <v>224974</v>
      </c>
      <c r="B836" t="str">
        <f>"114555462"</f>
        <v>114555462</v>
      </c>
      <c r="C836" t="s">
        <v>105</v>
      </c>
      <c r="D836" t="s">
        <v>2151</v>
      </c>
      <c r="E836" t="s">
        <v>95</v>
      </c>
      <c r="F836" t="s">
        <v>72</v>
      </c>
      <c r="G836" t="s">
        <v>237</v>
      </c>
      <c r="H836" t="str">
        <f>"ΦΙΛΕΛΛΗΝΩΝ 10 "</f>
        <v xml:space="preserve">ΦΙΛΕΛΛΗΝΩΝ 10 </v>
      </c>
      <c r="I836">
        <v>71307</v>
      </c>
      <c r="J836">
        <v>2810326703</v>
      </c>
      <c r="K836">
        <v>6946053662</v>
      </c>
      <c r="M836" t="s">
        <v>2152</v>
      </c>
      <c r="N836" t="s">
        <v>176</v>
      </c>
      <c r="O836" t="s">
        <v>177</v>
      </c>
      <c r="R836" t="s">
        <v>57</v>
      </c>
      <c r="S836">
        <v>6</v>
      </c>
      <c r="T836">
        <v>775</v>
      </c>
      <c r="U836" s="1">
        <v>39680</v>
      </c>
      <c r="V836" t="s">
        <v>123</v>
      </c>
      <c r="W836" t="s">
        <v>124</v>
      </c>
      <c r="X836" t="s">
        <v>58</v>
      </c>
      <c r="Y836">
        <v>20</v>
      </c>
      <c r="Z836" t="s">
        <v>59</v>
      </c>
      <c r="AA836" t="s">
        <v>59</v>
      </c>
      <c r="AB836" t="s">
        <v>59</v>
      </c>
      <c r="AC836" t="s">
        <v>59</v>
      </c>
      <c r="AD836" t="s">
        <v>59</v>
      </c>
      <c r="AF836" s="1">
        <v>39685</v>
      </c>
      <c r="AG836" t="s">
        <v>125</v>
      </c>
      <c r="AH836" t="s">
        <v>126</v>
      </c>
      <c r="AI836" t="str">
        <f>"1706010"</f>
        <v>1706010</v>
      </c>
      <c r="AJ836" t="s">
        <v>391</v>
      </c>
      <c r="AK836">
        <v>2892022286</v>
      </c>
      <c r="AL836" t="s">
        <v>392</v>
      </c>
      <c r="AM836" t="s">
        <v>78</v>
      </c>
      <c r="AN836" t="s">
        <v>242</v>
      </c>
      <c r="AO836" t="s">
        <v>243</v>
      </c>
      <c r="AP836" t="s">
        <v>243</v>
      </c>
      <c r="AQ836">
        <v>33</v>
      </c>
      <c r="AR836" t="s">
        <v>123</v>
      </c>
      <c r="AS836" t="s">
        <v>124</v>
      </c>
      <c r="AT836" t="s">
        <v>58</v>
      </c>
      <c r="AU836" t="s">
        <v>68</v>
      </c>
      <c r="AV836" t="s">
        <v>69</v>
      </c>
      <c r="AW836" s="1">
        <v>27733</v>
      </c>
      <c r="AX836">
        <v>2</v>
      </c>
    </row>
    <row r="837" spans="1:50">
      <c r="A837">
        <v>217972</v>
      </c>
      <c r="B837" t="str">
        <f>"066317976"</f>
        <v>066317976</v>
      </c>
      <c r="C837" t="s">
        <v>105</v>
      </c>
      <c r="D837" t="s">
        <v>2151</v>
      </c>
      <c r="E837" t="s">
        <v>311</v>
      </c>
      <c r="F837" t="s">
        <v>154</v>
      </c>
      <c r="G837" t="s">
        <v>52</v>
      </c>
      <c r="H837" t="str">
        <f>" "</f>
        <v xml:space="preserve"> </v>
      </c>
      <c r="J837">
        <v>2892022531</v>
      </c>
      <c r="K837">
        <v>6932087837</v>
      </c>
      <c r="M837" t="s">
        <v>2153</v>
      </c>
      <c r="N837" t="s">
        <v>292</v>
      </c>
      <c r="O837" t="s">
        <v>293</v>
      </c>
      <c r="R837" t="s">
        <v>57</v>
      </c>
      <c r="S837">
        <v>6</v>
      </c>
      <c r="T837">
        <v>599</v>
      </c>
      <c r="U837" s="1">
        <v>39310</v>
      </c>
      <c r="V837" t="s">
        <v>123</v>
      </c>
      <c r="W837" t="s">
        <v>124</v>
      </c>
      <c r="X837" t="s">
        <v>58</v>
      </c>
      <c r="Y837">
        <v>20</v>
      </c>
      <c r="Z837" t="s">
        <v>59</v>
      </c>
      <c r="AA837" t="s">
        <v>59</v>
      </c>
      <c r="AB837" t="s">
        <v>59</v>
      </c>
      <c r="AC837" t="s">
        <v>59</v>
      </c>
      <c r="AD837" t="s">
        <v>59</v>
      </c>
      <c r="AF837" s="1">
        <v>39310</v>
      </c>
      <c r="AG837" t="s">
        <v>125</v>
      </c>
      <c r="AH837" t="s">
        <v>386</v>
      </c>
      <c r="AI837" t="str">
        <f>"1741002"</f>
        <v>1741002</v>
      </c>
      <c r="AJ837" t="s">
        <v>387</v>
      </c>
      <c r="AK837">
        <v>2810762610</v>
      </c>
      <c r="AL837" t="s">
        <v>388</v>
      </c>
      <c r="AM837" t="s">
        <v>78</v>
      </c>
      <c r="AN837" t="s">
        <v>219</v>
      </c>
      <c r="AO837" t="s">
        <v>297</v>
      </c>
      <c r="AP837" t="s">
        <v>297</v>
      </c>
      <c r="AQ837">
        <v>10</v>
      </c>
      <c r="AR837" t="s">
        <v>123</v>
      </c>
      <c r="AS837" t="s">
        <v>124</v>
      </c>
      <c r="AT837" t="s">
        <v>58</v>
      </c>
      <c r="AU837" t="s">
        <v>68</v>
      </c>
      <c r="AV837" t="s">
        <v>69</v>
      </c>
      <c r="AW837" s="1">
        <v>24828</v>
      </c>
      <c r="AX837">
        <v>2</v>
      </c>
    </row>
    <row r="838" spans="1:50">
      <c r="A838">
        <v>217975</v>
      </c>
      <c r="B838" t="str">
        <f>"070345020"</f>
        <v>070345020</v>
      </c>
      <c r="C838" t="s">
        <v>105</v>
      </c>
      <c r="D838" t="s">
        <v>2154</v>
      </c>
      <c r="E838" t="s">
        <v>72</v>
      </c>
      <c r="F838" t="s">
        <v>95</v>
      </c>
      <c r="G838" t="s">
        <v>96</v>
      </c>
      <c r="H838" t="str">
        <f>"ΔΕΛΦΩΝ 7 ΜΑΣΤΑΜΠΑΣ"</f>
        <v>ΔΕΛΦΩΝ 7 ΜΑΣΤΑΜΠΑΣ</v>
      </c>
      <c r="I838">
        <v>71305</v>
      </c>
      <c r="J838">
        <v>2810232692</v>
      </c>
      <c r="K838">
        <v>6974555451</v>
      </c>
      <c r="M838" t="s">
        <v>2155</v>
      </c>
      <c r="N838" t="s">
        <v>292</v>
      </c>
      <c r="O838" t="s">
        <v>293</v>
      </c>
      <c r="R838" t="s">
        <v>57</v>
      </c>
      <c r="S838">
        <v>5</v>
      </c>
      <c r="T838">
        <v>599</v>
      </c>
      <c r="U838" s="1">
        <v>39310</v>
      </c>
      <c r="V838" t="s">
        <v>123</v>
      </c>
      <c r="W838" t="s">
        <v>124</v>
      </c>
      <c r="X838" t="s">
        <v>58</v>
      </c>
      <c r="Y838">
        <v>21</v>
      </c>
      <c r="Z838" t="s">
        <v>59</v>
      </c>
      <c r="AA838" t="s">
        <v>59</v>
      </c>
      <c r="AB838" t="s">
        <v>59</v>
      </c>
      <c r="AC838" t="s">
        <v>59</v>
      </c>
      <c r="AD838" t="s">
        <v>59</v>
      </c>
      <c r="AF838" s="1">
        <v>39329</v>
      </c>
      <c r="AG838" t="s">
        <v>125</v>
      </c>
      <c r="AH838" t="s">
        <v>126</v>
      </c>
      <c r="AI838" t="str">
        <f>"1718010"</f>
        <v>1718010</v>
      </c>
      <c r="AJ838" t="s">
        <v>1090</v>
      </c>
      <c r="AK838">
        <v>2897031471</v>
      </c>
      <c r="AL838" t="s">
        <v>1091</v>
      </c>
      <c r="AM838" t="s">
        <v>78</v>
      </c>
      <c r="AN838" t="s">
        <v>219</v>
      </c>
      <c r="AO838" t="s">
        <v>527</v>
      </c>
      <c r="AP838" t="s">
        <v>527</v>
      </c>
      <c r="AQ838">
        <v>20</v>
      </c>
      <c r="AR838" t="s">
        <v>123</v>
      </c>
      <c r="AS838" t="s">
        <v>124</v>
      </c>
      <c r="AT838" t="s">
        <v>58</v>
      </c>
      <c r="AU838" t="s">
        <v>68</v>
      </c>
      <c r="AV838" t="s">
        <v>69</v>
      </c>
      <c r="AW838" s="1">
        <v>26859</v>
      </c>
      <c r="AX838">
        <v>2</v>
      </c>
    </row>
    <row r="839" spans="1:50">
      <c r="A839">
        <v>173350</v>
      </c>
      <c r="B839" t="str">
        <f>"035618727"</f>
        <v>035618727</v>
      </c>
      <c r="C839" t="s">
        <v>50</v>
      </c>
      <c r="D839" t="s">
        <v>2156</v>
      </c>
      <c r="E839" t="s">
        <v>52</v>
      </c>
      <c r="F839" t="s">
        <v>1679</v>
      </c>
      <c r="G839" t="s">
        <v>54</v>
      </c>
      <c r="H839" t="str">
        <f>"ΑΝΩΓΙΑΝΝΑΚΗ 42 ΗΡΑΚΛΕΙΟ"</f>
        <v>ΑΝΩΓΙΑΝΝΑΚΗ 42 ΗΡΑΚΛΕΙΟ</v>
      </c>
      <c r="I839">
        <v>71409</v>
      </c>
      <c r="J839">
        <v>2810363348</v>
      </c>
      <c r="K839">
        <v>6970073058</v>
      </c>
      <c r="N839" t="s">
        <v>146</v>
      </c>
      <c r="O839" t="s">
        <v>147</v>
      </c>
      <c r="R839" t="s">
        <v>57</v>
      </c>
      <c r="S839">
        <v>19</v>
      </c>
      <c r="T839">
        <v>166</v>
      </c>
      <c r="U839" s="1">
        <v>35300</v>
      </c>
      <c r="V839" t="s">
        <v>123</v>
      </c>
      <c r="W839" t="s">
        <v>124</v>
      </c>
      <c r="X839" t="s">
        <v>58</v>
      </c>
      <c r="Y839">
        <v>18</v>
      </c>
      <c r="Z839" t="s">
        <v>59</v>
      </c>
      <c r="AA839" t="s">
        <v>59</v>
      </c>
      <c r="AB839" t="s">
        <v>59</v>
      </c>
      <c r="AC839" t="s">
        <v>59</v>
      </c>
      <c r="AD839" t="s">
        <v>59</v>
      </c>
      <c r="AF839" s="1">
        <v>35310</v>
      </c>
      <c r="AG839" t="s">
        <v>125</v>
      </c>
      <c r="AH839" t="s">
        <v>126</v>
      </c>
      <c r="AI839" t="str">
        <f>"1701054"</f>
        <v>1701054</v>
      </c>
      <c r="AJ839" t="s">
        <v>318</v>
      </c>
      <c r="AK839">
        <v>2810252418</v>
      </c>
      <c r="AL839" t="s">
        <v>319</v>
      </c>
      <c r="AM839" t="s">
        <v>78</v>
      </c>
      <c r="AN839" t="s">
        <v>78</v>
      </c>
      <c r="AO839" t="s">
        <v>78</v>
      </c>
      <c r="AP839" t="s">
        <v>141</v>
      </c>
      <c r="AQ839">
        <v>7</v>
      </c>
      <c r="AR839" t="s">
        <v>123</v>
      </c>
      <c r="AS839" t="s">
        <v>124</v>
      </c>
      <c r="AT839" t="s">
        <v>58</v>
      </c>
      <c r="AU839" t="s">
        <v>68</v>
      </c>
      <c r="AV839" t="s">
        <v>69</v>
      </c>
      <c r="AW839" s="1">
        <v>23554</v>
      </c>
      <c r="AX839">
        <v>2</v>
      </c>
    </row>
    <row r="840" spans="1:50">
      <c r="A840">
        <v>171900</v>
      </c>
      <c r="B840" t="str">
        <f>"068133697"</f>
        <v>068133697</v>
      </c>
      <c r="C840" t="s">
        <v>50</v>
      </c>
      <c r="D840" t="s">
        <v>2156</v>
      </c>
      <c r="E840" t="s">
        <v>1562</v>
      </c>
      <c r="F840" t="s">
        <v>202</v>
      </c>
      <c r="G840" t="s">
        <v>52</v>
      </c>
      <c r="H840" t="str">
        <f>"ΓΕΡΓΕΡΗ ΗΡΑΚΛΕΙΟΥ ΓΕΡΓΕΡΗ ΗΡΑΚΛΕΙΟΥ"</f>
        <v>ΓΕΡΓΕΡΗ ΗΡΑΚΛΕΙΟΥ ΓΕΡΓΕΡΗ ΗΡΑΚΛΕΙΟΥ</v>
      </c>
      <c r="I840">
        <v>70003</v>
      </c>
      <c r="J840">
        <v>2894041423</v>
      </c>
      <c r="K840">
        <v>6972991261</v>
      </c>
      <c r="M840" t="s">
        <v>2157</v>
      </c>
      <c r="N840" t="s">
        <v>135</v>
      </c>
      <c r="O840" t="s">
        <v>136</v>
      </c>
      <c r="R840" t="s">
        <v>57</v>
      </c>
      <c r="S840">
        <v>17</v>
      </c>
      <c r="T840">
        <v>184</v>
      </c>
      <c r="U840" s="1">
        <v>34941</v>
      </c>
      <c r="V840" t="s">
        <v>123</v>
      </c>
      <c r="W840" t="s">
        <v>124</v>
      </c>
      <c r="X840" t="s">
        <v>58</v>
      </c>
      <c r="Y840">
        <v>18</v>
      </c>
      <c r="Z840" t="s">
        <v>59</v>
      </c>
      <c r="AA840" t="s">
        <v>59</v>
      </c>
      <c r="AB840" t="s">
        <v>59</v>
      </c>
      <c r="AC840" t="s">
        <v>59</v>
      </c>
      <c r="AD840" t="s">
        <v>59</v>
      </c>
      <c r="AF840" s="1">
        <v>34946</v>
      </c>
      <c r="AG840" t="s">
        <v>125</v>
      </c>
      <c r="AH840" t="s">
        <v>126</v>
      </c>
      <c r="AI840" t="str">
        <f>"1709010"</f>
        <v>1709010</v>
      </c>
      <c r="AJ840" t="s">
        <v>847</v>
      </c>
      <c r="AK840">
        <v>2894022227</v>
      </c>
      <c r="AL840" t="s">
        <v>848</v>
      </c>
      <c r="AM840" t="s">
        <v>78</v>
      </c>
      <c r="AN840" t="s">
        <v>405</v>
      </c>
      <c r="AO840" t="s">
        <v>406</v>
      </c>
      <c r="AP840" t="s">
        <v>406</v>
      </c>
      <c r="AQ840">
        <v>30</v>
      </c>
      <c r="AR840" t="s">
        <v>123</v>
      </c>
      <c r="AS840" t="s">
        <v>124</v>
      </c>
      <c r="AT840" t="s">
        <v>58</v>
      </c>
      <c r="AU840" t="s">
        <v>68</v>
      </c>
      <c r="AV840" t="s">
        <v>69</v>
      </c>
      <c r="AW840" s="1">
        <v>21381</v>
      </c>
      <c r="AX840">
        <v>2</v>
      </c>
    </row>
    <row r="841" spans="1:50">
      <c r="A841">
        <v>192104</v>
      </c>
      <c r="B841" t="str">
        <f>"046117858"</f>
        <v>046117858</v>
      </c>
      <c r="C841" t="s">
        <v>50</v>
      </c>
      <c r="D841" t="s">
        <v>2158</v>
      </c>
      <c r="E841" t="s">
        <v>1120</v>
      </c>
      <c r="F841" t="s">
        <v>99</v>
      </c>
      <c r="G841" t="s">
        <v>1497</v>
      </c>
      <c r="H841" t="str">
        <f>" "</f>
        <v xml:space="preserve"> </v>
      </c>
      <c r="M841" t="s">
        <v>2159</v>
      </c>
      <c r="N841" t="s">
        <v>2160</v>
      </c>
      <c r="O841" t="s">
        <v>2161</v>
      </c>
      <c r="R841" t="s">
        <v>57</v>
      </c>
      <c r="S841">
        <v>13</v>
      </c>
      <c r="T841">
        <v>291</v>
      </c>
      <c r="U841" s="1">
        <v>37218</v>
      </c>
      <c r="V841" t="s">
        <v>123</v>
      </c>
      <c r="W841" t="s">
        <v>124</v>
      </c>
      <c r="X841" t="s">
        <v>58</v>
      </c>
      <c r="Y841">
        <v>20</v>
      </c>
      <c r="Z841" t="s">
        <v>59</v>
      </c>
      <c r="AA841" t="s">
        <v>59</v>
      </c>
      <c r="AB841" t="s">
        <v>59</v>
      </c>
      <c r="AC841" t="s">
        <v>59</v>
      </c>
      <c r="AD841" t="s">
        <v>59</v>
      </c>
      <c r="AF841" s="1">
        <v>37223</v>
      </c>
      <c r="AG841" t="s">
        <v>137</v>
      </c>
      <c r="AH841" t="s">
        <v>138</v>
      </c>
      <c r="AI841" t="str">
        <f>"1740080"</f>
        <v>1740080</v>
      </c>
      <c r="AJ841" t="s">
        <v>284</v>
      </c>
      <c r="AK841">
        <v>2810220433</v>
      </c>
      <c r="AL841" t="s">
        <v>285</v>
      </c>
      <c r="AM841" t="s">
        <v>78</v>
      </c>
      <c r="AN841" t="s">
        <v>78</v>
      </c>
      <c r="AO841" t="s">
        <v>286</v>
      </c>
      <c r="AP841" t="s">
        <v>286</v>
      </c>
      <c r="AQ841">
        <v>12</v>
      </c>
      <c r="AR841" t="s">
        <v>123</v>
      </c>
      <c r="AS841" t="s">
        <v>124</v>
      </c>
      <c r="AT841" t="s">
        <v>58</v>
      </c>
      <c r="AU841" t="s">
        <v>68</v>
      </c>
      <c r="AV841" t="s">
        <v>69</v>
      </c>
      <c r="AW841" s="1">
        <v>22202</v>
      </c>
      <c r="AX841">
        <v>2</v>
      </c>
    </row>
    <row r="842" spans="1:50">
      <c r="A842">
        <v>223405</v>
      </c>
      <c r="B842" t="str">
        <f>"125562028"</f>
        <v>125562028</v>
      </c>
      <c r="C842" t="s">
        <v>50</v>
      </c>
      <c r="D842" t="s">
        <v>2162</v>
      </c>
      <c r="E842" t="s">
        <v>255</v>
      </c>
      <c r="F842" t="s">
        <v>309</v>
      </c>
      <c r="G842" t="s">
        <v>52</v>
      </c>
      <c r="H842" t="str">
        <f>"ΚΟΚΚΙΝΗ ΧΑΝΙ ΗΡΑΚΛΕΙΟ Τ.Θ. 396-11"</f>
        <v>ΚΟΚΚΙΝΗ ΧΑΝΙ ΗΡΑΚΛΕΙΟ Τ.Θ. 396-11</v>
      </c>
      <c r="I842">
        <v>71500</v>
      </c>
      <c r="J842">
        <v>2810222350</v>
      </c>
      <c r="K842">
        <v>6934001781</v>
      </c>
      <c r="M842" t="s">
        <v>2163</v>
      </c>
      <c r="N842" t="s">
        <v>232</v>
      </c>
      <c r="O842" t="s">
        <v>233</v>
      </c>
      <c r="R842" t="s">
        <v>57</v>
      </c>
      <c r="S842">
        <v>8</v>
      </c>
      <c r="T842">
        <v>775</v>
      </c>
      <c r="U842" s="1">
        <v>39680</v>
      </c>
      <c r="V842" t="s">
        <v>123</v>
      </c>
      <c r="W842" t="s">
        <v>124</v>
      </c>
      <c r="X842" t="s">
        <v>58</v>
      </c>
      <c r="Y842">
        <v>20</v>
      </c>
      <c r="Z842" t="s">
        <v>59</v>
      </c>
      <c r="AA842" t="s">
        <v>59</v>
      </c>
      <c r="AB842" t="s">
        <v>59</v>
      </c>
      <c r="AC842" t="s">
        <v>59</v>
      </c>
      <c r="AD842" t="s">
        <v>59</v>
      </c>
      <c r="AF842" s="1">
        <v>39680</v>
      </c>
      <c r="AG842" t="s">
        <v>148</v>
      </c>
      <c r="AH842" t="s">
        <v>149</v>
      </c>
      <c r="AI842" t="str">
        <f>"1777010"</f>
        <v>1777010</v>
      </c>
      <c r="AJ842" t="s">
        <v>612</v>
      </c>
      <c r="AK842">
        <v>2810229220</v>
      </c>
      <c r="AL842" t="s">
        <v>613</v>
      </c>
      <c r="AM842" t="s">
        <v>78</v>
      </c>
      <c r="AN842" t="s">
        <v>78</v>
      </c>
      <c r="AO842" t="s">
        <v>286</v>
      </c>
      <c r="AP842" t="s">
        <v>286</v>
      </c>
      <c r="AQ842">
        <v>12</v>
      </c>
      <c r="AR842" t="s">
        <v>123</v>
      </c>
      <c r="AS842" t="s">
        <v>124</v>
      </c>
      <c r="AT842" t="s">
        <v>58</v>
      </c>
      <c r="AU842" t="s">
        <v>68</v>
      </c>
      <c r="AV842" t="s">
        <v>357</v>
      </c>
      <c r="AW842" s="1">
        <v>26334</v>
      </c>
      <c r="AX842">
        <v>2</v>
      </c>
    </row>
    <row r="843" spans="1:50">
      <c r="A843">
        <v>173643</v>
      </c>
      <c r="B843" t="str">
        <f>"062842903"</f>
        <v>062842903</v>
      </c>
      <c r="C843" t="s">
        <v>50</v>
      </c>
      <c r="D843" t="s">
        <v>2164</v>
      </c>
      <c r="E843" t="s">
        <v>54</v>
      </c>
      <c r="F843" t="s">
        <v>2165</v>
      </c>
      <c r="G843" t="s">
        <v>263</v>
      </c>
      <c r="H843" t="str">
        <f>"ΜΗΤΣΟΤΑΚΗ 4 ΗΡΑΚΛΕΙΟ"</f>
        <v>ΜΗΤΣΟΤΑΚΗ 4 ΗΡΑΚΛΕΙΟ</v>
      </c>
      <c r="I843">
        <v>71202</v>
      </c>
      <c r="J843">
        <v>2810282040</v>
      </c>
      <c r="K843">
        <v>6944985296</v>
      </c>
      <c r="N843" t="s">
        <v>292</v>
      </c>
      <c r="O843" t="s">
        <v>293</v>
      </c>
      <c r="R843" t="s">
        <v>57</v>
      </c>
      <c r="S843">
        <v>13</v>
      </c>
      <c r="T843">
        <v>166</v>
      </c>
      <c r="U843" s="1">
        <v>35300</v>
      </c>
      <c r="V843" t="s">
        <v>123</v>
      </c>
      <c r="W843" t="s">
        <v>124</v>
      </c>
      <c r="X843" t="s">
        <v>58</v>
      </c>
      <c r="Y843">
        <v>18</v>
      </c>
      <c r="Z843" t="s">
        <v>59</v>
      </c>
      <c r="AA843" t="s">
        <v>59</v>
      </c>
      <c r="AB843" t="s">
        <v>59</v>
      </c>
      <c r="AC843" t="s">
        <v>59</v>
      </c>
      <c r="AD843" t="s">
        <v>59</v>
      </c>
      <c r="AF843" s="1">
        <v>35313</v>
      </c>
      <c r="AG843" t="s">
        <v>137</v>
      </c>
      <c r="AH843" t="s">
        <v>138</v>
      </c>
      <c r="AI843" t="str">
        <f>"1740210"</f>
        <v>1740210</v>
      </c>
      <c r="AJ843" t="s">
        <v>139</v>
      </c>
      <c r="AK843">
        <v>2810318130</v>
      </c>
      <c r="AL843" t="s">
        <v>140</v>
      </c>
      <c r="AM843" t="s">
        <v>78</v>
      </c>
      <c r="AN843" t="s">
        <v>78</v>
      </c>
      <c r="AO843" t="s">
        <v>78</v>
      </c>
      <c r="AP843" t="s">
        <v>141</v>
      </c>
      <c r="AQ843">
        <v>7</v>
      </c>
      <c r="AR843" t="s">
        <v>123</v>
      </c>
      <c r="AS843" t="s">
        <v>124</v>
      </c>
      <c r="AT843" t="s">
        <v>58</v>
      </c>
      <c r="AU843" t="s">
        <v>68</v>
      </c>
      <c r="AV843" t="s">
        <v>69</v>
      </c>
      <c r="AW843" s="1">
        <v>21266</v>
      </c>
      <c r="AX843">
        <v>2</v>
      </c>
    </row>
    <row r="844" spans="1:50">
      <c r="A844">
        <v>187684</v>
      </c>
      <c r="B844" t="str">
        <f>"059693709"</f>
        <v>059693709</v>
      </c>
      <c r="C844" t="s">
        <v>105</v>
      </c>
      <c r="D844" t="s">
        <v>2166</v>
      </c>
      <c r="E844" t="s">
        <v>95</v>
      </c>
      <c r="F844" t="s">
        <v>166</v>
      </c>
      <c r="G844" t="s">
        <v>83</v>
      </c>
      <c r="H844" t="str">
        <f>"ΚΑΣΤΕΛΛΙ ΠΕΔΙΑΔΟΣ ΗΡΑΚΛΕΙΟ"</f>
        <v>ΚΑΣΤΕΛΛΙ ΠΕΔΙΑΔΟΣ ΗΡΑΚΛΕΙΟ</v>
      </c>
      <c r="I844">
        <v>70006</v>
      </c>
      <c r="J844">
        <v>2891031184</v>
      </c>
      <c r="K844">
        <v>6944833909</v>
      </c>
      <c r="M844" t="s">
        <v>2167</v>
      </c>
      <c r="N844" t="s">
        <v>204</v>
      </c>
      <c r="O844" t="s">
        <v>205</v>
      </c>
      <c r="R844" t="s">
        <v>57</v>
      </c>
      <c r="S844">
        <v>10</v>
      </c>
      <c r="T844">
        <v>251</v>
      </c>
      <c r="U844" s="1">
        <v>36769</v>
      </c>
      <c r="V844" t="s">
        <v>123</v>
      </c>
      <c r="W844" t="s">
        <v>124</v>
      </c>
      <c r="X844" t="s">
        <v>58</v>
      </c>
      <c r="Y844">
        <v>18</v>
      </c>
      <c r="Z844" t="s">
        <v>59</v>
      </c>
      <c r="AA844" t="s">
        <v>59</v>
      </c>
      <c r="AB844" t="s">
        <v>59</v>
      </c>
      <c r="AC844" t="s">
        <v>59</v>
      </c>
      <c r="AD844" t="s">
        <v>59</v>
      </c>
      <c r="AF844" s="1">
        <v>36770</v>
      </c>
      <c r="AG844" t="s">
        <v>148</v>
      </c>
      <c r="AH844" t="s">
        <v>149</v>
      </c>
      <c r="AI844" t="str">
        <f>"1755010"</f>
        <v>1755010</v>
      </c>
      <c r="AJ844" t="s">
        <v>274</v>
      </c>
      <c r="AK844">
        <v>2891031124</v>
      </c>
      <c r="AL844" t="s">
        <v>275</v>
      </c>
      <c r="AM844" t="s">
        <v>78</v>
      </c>
      <c r="AN844" t="s">
        <v>276</v>
      </c>
      <c r="AO844" t="s">
        <v>277</v>
      </c>
      <c r="AP844" t="s">
        <v>277</v>
      </c>
      <c r="AQ844">
        <v>17</v>
      </c>
      <c r="AR844" t="s">
        <v>123</v>
      </c>
      <c r="AS844" t="s">
        <v>124</v>
      </c>
      <c r="AT844" t="s">
        <v>58</v>
      </c>
      <c r="AU844" t="s">
        <v>68</v>
      </c>
      <c r="AV844" t="s">
        <v>69</v>
      </c>
      <c r="AW844" s="1">
        <v>24942</v>
      </c>
      <c r="AX844">
        <v>2</v>
      </c>
    </row>
    <row r="845" spans="1:50">
      <c r="A845">
        <v>198042</v>
      </c>
      <c r="B845" t="str">
        <f>"046171261"</f>
        <v>046171261</v>
      </c>
      <c r="C845" t="s">
        <v>105</v>
      </c>
      <c r="D845" t="s">
        <v>2168</v>
      </c>
      <c r="E845" t="s">
        <v>166</v>
      </c>
      <c r="F845" t="s">
        <v>72</v>
      </c>
      <c r="G845" t="s">
        <v>52</v>
      </c>
      <c r="H845" t="str">
        <f>"ΕΛΛΗΣΠΟΝΤΟΥ 25  ΗΡΑΚΛΕΙΟ"</f>
        <v>ΕΛΛΗΣΠΟΝΤΟΥ 25  ΗΡΑΚΛΕΙΟ</v>
      </c>
      <c r="I845">
        <v>71307</v>
      </c>
      <c r="J845">
        <v>2810212205</v>
      </c>
      <c r="K845">
        <v>6973328226</v>
      </c>
      <c r="M845" t="s">
        <v>2169</v>
      </c>
      <c r="N845" t="s">
        <v>232</v>
      </c>
      <c r="O845" t="s">
        <v>233</v>
      </c>
      <c r="R845" t="s">
        <v>57</v>
      </c>
      <c r="S845">
        <v>7</v>
      </c>
      <c r="T845">
        <v>206</v>
      </c>
      <c r="U845" s="1">
        <v>37866</v>
      </c>
      <c r="V845" t="s">
        <v>123</v>
      </c>
      <c r="W845" t="s">
        <v>124</v>
      </c>
      <c r="X845" t="s">
        <v>58</v>
      </c>
      <c r="Y845">
        <v>20</v>
      </c>
      <c r="Z845" t="s">
        <v>59</v>
      </c>
      <c r="AA845" t="s">
        <v>59</v>
      </c>
      <c r="AB845" t="s">
        <v>59</v>
      </c>
      <c r="AC845" t="s">
        <v>59</v>
      </c>
      <c r="AD845" t="s">
        <v>59</v>
      </c>
      <c r="AF845" s="1">
        <v>37866</v>
      </c>
      <c r="AG845" t="s">
        <v>137</v>
      </c>
      <c r="AH845" t="s">
        <v>138</v>
      </c>
      <c r="AI845" t="str">
        <f>"1740100"</f>
        <v>1740100</v>
      </c>
      <c r="AJ845" t="s">
        <v>857</v>
      </c>
      <c r="AK845">
        <v>2810360741</v>
      </c>
      <c r="AL845" t="s">
        <v>858</v>
      </c>
      <c r="AM845" t="s">
        <v>78</v>
      </c>
      <c r="AN845" t="s">
        <v>78</v>
      </c>
      <c r="AO845" t="s">
        <v>78</v>
      </c>
      <c r="AP845" t="s">
        <v>163</v>
      </c>
      <c r="AQ845">
        <v>5</v>
      </c>
      <c r="AR845" t="s">
        <v>123</v>
      </c>
      <c r="AS845" t="s">
        <v>124</v>
      </c>
      <c r="AT845" t="s">
        <v>58</v>
      </c>
      <c r="AU845" t="s">
        <v>68</v>
      </c>
      <c r="AV845" t="s">
        <v>69</v>
      </c>
      <c r="AW845" s="1">
        <v>24949</v>
      </c>
      <c r="AX845">
        <v>2</v>
      </c>
    </row>
    <row r="846" spans="1:50">
      <c r="A846">
        <v>212126</v>
      </c>
      <c r="B846" t="str">
        <f>"047854948"</f>
        <v>047854948</v>
      </c>
      <c r="C846" t="s">
        <v>50</v>
      </c>
      <c r="D846" t="s">
        <v>2170</v>
      </c>
      <c r="E846" t="s">
        <v>237</v>
      </c>
      <c r="F846" t="s">
        <v>95</v>
      </c>
      <c r="G846" t="s">
        <v>396</v>
      </c>
      <c r="H846" t="str">
        <f>" "</f>
        <v xml:space="preserve"> </v>
      </c>
      <c r="J846">
        <v>2843028985</v>
      </c>
      <c r="K846">
        <v>6979553706</v>
      </c>
      <c r="M846" t="s">
        <v>2171</v>
      </c>
      <c r="N846" t="s">
        <v>146</v>
      </c>
      <c r="O846" t="s">
        <v>147</v>
      </c>
      <c r="R846" t="s">
        <v>57</v>
      </c>
      <c r="S846">
        <v>8</v>
      </c>
      <c r="T846">
        <v>231</v>
      </c>
      <c r="U846" s="1">
        <v>38960</v>
      </c>
      <c r="V846" t="s">
        <v>123</v>
      </c>
      <c r="W846" t="s">
        <v>124</v>
      </c>
      <c r="X846" t="s">
        <v>58</v>
      </c>
      <c r="Y846">
        <v>20</v>
      </c>
      <c r="Z846" t="s">
        <v>59</v>
      </c>
      <c r="AA846" t="s">
        <v>59</v>
      </c>
      <c r="AB846" t="s">
        <v>59</v>
      </c>
      <c r="AC846" t="s">
        <v>59</v>
      </c>
      <c r="AD846" t="s">
        <v>59</v>
      </c>
      <c r="AF846" s="1">
        <v>38960</v>
      </c>
      <c r="AG846" t="s">
        <v>125</v>
      </c>
      <c r="AH846" t="s">
        <v>294</v>
      </c>
      <c r="AI846" t="str">
        <f>"1701015"</f>
        <v>1701015</v>
      </c>
      <c r="AJ846" t="s">
        <v>295</v>
      </c>
      <c r="AK846">
        <v>2810761696</v>
      </c>
      <c r="AL846" t="s">
        <v>296</v>
      </c>
      <c r="AM846" t="s">
        <v>78</v>
      </c>
      <c r="AN846" t="s">
        <v>219</v>
      </c>
      <c r="AO846" t="s">
        <v>297</v>
      </c>
      <c r="AP846" t="s">
        <v>297</v>
      </c>
      <c r="AQ846">
        <v>10</v>
      </c>
      <c r="AR846" t="s">
        <v>123</v>
      </c>
      <c r="AS846" t="s">
        <v>124</v>
      </c>
      <c r="AT846" t="s">
        <v>58</v>
      </c>
      <c r="AU846" t="s">
        <v>68</v>
      </c>
      <c r="AV846" t="s">
        <v>69</v>
      </c>
      <c r="AW846" s="1">
        <v>26911</v>
      </c>
      <c r="AX846">
        <v>2</v>
      </c>
    </row>
    <row r="847" spans="1:50">
      <c r="A847">
        <v>224981</v>
      </c>
      <c r="B847" t="str">
        <f>"049286438"</f>
        <v>049286438</v>
      </c>
      <c r="C847" t="s">
        <v>105</v>
      </c>
      <c r="D847" t="s">
        <v>2172</v>
      </c>
      <c r="E847" t="s">
        <v>53</v>
      </c>
      <c r="F847" t="s">
        <v>95</v>
      </c>
      <c r="G847" t="s">
        <v>396</v>
      </c>
      <c r="H847" t="str">
        <f>"ΚΟΜΟΤΗΝΗΣ 3 "</f>
        <v xml:space="preserve">ΚΟΜΟΤΗΝΗΣ 3 </v>
      </c>
      <c r="I847">
        <v>71409</v>
      </c>
      <c r="J847">
        <v>2810210327</v>
      </c>
      <c r="K847">
        <v>6976688836</v>
      </c>
      <c r="M847" t="s">
        <v>2173</v>
      </c>
      <c r="N847" t="s">
        <v>176</v>
      </c>
      <c r="O847" t="s">
        <v>177</v>
      </c>
      <c r="R847" t="s">
        <v>57</v>
      </c>
      <c r="S847">
        <v>7</v>
      </c>
      <c r="T847">
        <v>775</v>
      </c>
      <c r="U847" s="1">
        <v>39680</v>
      </c>
      <c r="V847" t="s">
        <v>123</v>
      </c>
      <c r="W847" t="s">
        <v>124</v>
      </c>
      <c r="X847" t="s">
        <v>58</v>
      </c>
      <c r="Y847">
        <v>20</v>
      </c>
      <c r="Z847" t="s">
        <v>59</v>
      </c>
      <c r="AA847" t="s">
        <v>59</v>
      </c>
      <c r="AB847" t="s">
        <v>59</v>
      </c>
      <c r="AC847" t="s">
        <v>59</v>
      </c>
      <c r="AD847" t="s">
        <v>59</v>
      </c>
      <c r="AF847" s="1">
        <v>39685</v>
      </c>
      <c r="AG847" t="s">
        <v>125</v>
      </c>
      <c r="AH847" t="s">
        <v>386</v>
      </c>
      <c r="AI847" t="str">
        <f>"1741002"</f>
        <v>1741002</v>
      </c>
      <c r="AJ847" t="s">
        <v>387</v>
      </c>
      <c r="AK847">
        <v>2810762610</v>
      </c>
      <c r="AL847" t="s">
        <v>388</v>
      </c>
      <c r="AM847" t="s">
        <v>78</v>
      </c>
      <c r="AN847" t="s">
        <v>219</v>
      </c>
      <c r="AO847" t="s">
        <v>297</v>
      </c>
      <c r="AP847" t="s">
        <v>297</v>
      </c>
      <c r="AQ847">
        <v>10</v>
      </c>
      <c r="AR847" t="s">
        <v>123</v>
      </c>
      <c r="AS847" t="s">
        <v>124</v>
      </c>
      <c r="AT847" t="s">
        <v>58</v>
      </c>
      <c r="AU847" t="s">
        <v>68</v>
      </c>
      <c r="AV847" t="s">
        <v>69</v>
      </c>
      <c r="AW847" s="1">
        <v>28032</v>
      </c>
      <c r="AX847">
        <v>2</v>
      </c>
    </row>
    <row r="848" spans="1:50">
      <c r="A848">
        <v>165119</v>
      </c>
      <c r="B848" t="str">
        <f>"034418443"</f>
        <v>034418443</v>
      </c>
      <c r="C848" t="s">
        <v>50</v>
      </c>
      <c r="D848" t="s">
        <v>2174</v>
      </c>
      <c r="E848" t="s">
        <v>1176</v>
      </c>
      <c r="F848" t="s">
        <v>383</v>
      </c>
      <c r="G848" t="s">
        <v>52</v>
      </c>
      <c r="H848" t="str">
        <f>"ΣΤΡΑΤΗ ΤΣΙΡΚΑ 14 "</f>
        <v xml:space="preserve">ΣΤΡΑΤΗ ΤΣΙΡΚΑ 14 </v>
      </c>
      <c r="I848">
        <v>71409</v>
      </c>
      <c r="J848">
        <v>2810316565</v>
      </c>
      <c r="K848">
        <v>6975770980</v>
      </c>
      <c r="L848">
        <v>228522821</v>
      </c>
      <c r="N848" t="s">
        <v>587</v>
      </c>
      <c r="O848" t="s">
        <v>588</v>
      </c>
      <c r="R848" t="s">
        <v>57</v>
      </c>
      <c r="S848">
        <v>13</v>
      </c>
      <c r="T848">
        <v>161</v>
      </c>
      <c r="U848" s="1">
        <v>33844</v>
      </c>
      <c r="V848" t="s">
        <v>123</v>
      </c>
      <c r="W848" t="s">
        <v>124</v>
      </c>
      <c r="X848" t="s">
        <v>58</v>
      </c>
      <c r="Y848">
        <v>18</v>
      </c>
      <c r="Z848" t="s">
        <v>59</v>
      </c>
      <c r="AA848" t="s">
        <v>59</v>
      </c>
      <c r="AB848" t="s">
        <v>59</v>
      </c>
      <c r="AC848" t="s">
        <v>59</v>
      </c>
      <c r="AD848" t="s">
        <v>59</v>
      </c>
      <c r="AF848" s="1">
        <v>33849</v>
      </c>
      <c r="AG848" t="s">
        <v>137</v>
      </c>
      <c r="AH848" t="s">
        <v>138</v>
      </c>
      <c r="AI848" t="str">
        <f>"1740210"</f>
        <v>1740210</v>
      </c>
      <c r="AJ848" t="s">
        <v>139</v>
      </c>
      <c r="AK848">
        <v>2810318130</v>
      </c>
      <c r="AL848" t="s">
        <v>140</v>
      </c>
      <c r="AM848" t="s">
        <v>78</v>
      </c>
      <c r="AN848" t="s">
        <v>78</v>
      </c>
      <c r="AO848" t="s">
        <v>78</v>
      </c>
      <c r="AP848" t="s">
        <v>141</v>
      </c>
      <c r="AQ848">
        <v>7</v>
      </c>
      <c r="AR848" t="s">
        <v>123</v>
      </c>
      <c r="AS848" t="s">
        <v>124</v>
      </c>
      <c r="AT848" t="s">
        <v>58</v>
      </c>
      <c r="AU848" t="s">
        <v>68</v>
      </c>
      <c r="AV848" t="s">
        <v>69</v>
      </c>
      <c r="AW848" s="1">
        <v>20569</v>
      </c>
      <c r="AX848">
        <v>2</v>
      </c>
    </row>
    <row r="849" spans="1:50">
      <c r="A849">
        <v>227056</v>
      </c>
      <c r="B849" t="str">
        <f>"110288653"</f>
        <v>110288653</v>
      </c>
      <c r="C849" t="s">
        <v>50</v>
      </c>
      <c r="D849" t="s">
        <v>2175</v>
      </c>
      <c r="E849" t="s">
        <v>681</v>
      </c>
      <c r="F849" t="s">
        <v>99</v>
      </c>
      <c r="G849" t="s">
        <v>513</v>
      </c>
      <c r="H849" t="str">
        <f>"  ΑΝΔΡΕΑ ΝΑΘΕΝΑ 37 ΗΡΑΚΛΕΙΟ"</f>
        <v xml:space="preserve">  ΑΝΔΡΕΑ ΝΑΘΕΝΑ 37 ΗΡΑΚΛΕΙΟ</v>
      </c>
      <c r="J849">
        <v>2810327041</v>
      </c>
      <c r="K849">
        <v>6974646233</v>
      </c>
      <c r="N849" t="s">
        <v>292</v>
      </c>
      <c r="O849" t="s">
        <v>293</v>
      </c>
      <c r="R849" t="s">
        <v>57</v>
      </c>
      <c r="S849">
        <v>4</v>
      </c>
      <c r="T849">
        <v>654</v>
      </c>
      <c r="U849" s="1">
        <v>40043</v>
      </c>
      <c r="V849" t="s">
        <v>123</v>
      </c>
      <c r="W849" t="s">
        <v>124</v>
      </c>
      <c r="X849" t="s">
        <v>58</v>
      </c>
      <c r="Y849">
        <v>21</v>
      </c>
      <c r="Z849" t="s">
        <v>59</v>
      </c>
      <c r="AA849" t="s">
        <v>59</v>
      </c>
      <c r="AB849" t="s">
        <v>59</v>
      </c>
      <c r="AC849" t="s">
        <v>59</v>
      </c>
      <c r="AD849" t="s">
        <v>59</v>
      </c>
      <c r="AF849" s="1">
        <v>40043</v>
      </c>
      <c r="AG849" t="s">
        <v>148</v>
      </c>
      <c r="AH849" t="s">
        <v>149</v>
      </c>
      <c r="AI849" t="str">
        <f>"1760010"</f>
        <v>1760010</v>
      </c>
      <c r="AJ849" t="s">
        <v>701</v>
      </c>
      <c r="AK849">
        <v>2810711442</v>
      </c>
      <c r="AL849" t="s">
        <v>702</v>
      </c>
      <c r="AM849" t="s">
        <v>78</v>
      </c>
      <c r="AN849" t="s">
        <v>129</v>
      </c>
      <c r="AO849" t="s">
        <v>597</v>
      </c>
      <c r="AP849" t="s">
        <v>598</v>
      </c>
      <c r="AQ849">
        <v>28</v>
      </c>
      <c r="AR849" t="s">
        <v>123</v>
      </c>
      <c r="AS849" t="s">
        <v>124</v>
      </c>
      <c r="AT849" t="s">
        <v>58</v>
      </c>
      <c r="AU849" t="s">
        <v>68</v>
      </c>
      <c r="AV849" t="s">
        <v>69</v>
      </c>
      <c r="AW849" s="1">
        <v>28101</v>
      </c>
      <c r="AX849">
        <v>2</v>
      </c>
    </row>
    <row r="850" spans="1:50">
      <c r="A850">
        <v>224982</v>
      </c>
      <c r="B850" t="str">
        <f>"079620235"</f>
        <v>079620235</v>
      </c>
      <c r="C850" t="s">
        <v>50</v>
      </c>
      <c r="D850" t="s">
        <v>2176</v>
      </c>
      <c r="E850" t="s">
        <v>237</v>
      </c>
      <c r="F850" t="s">
        <v>450</v>
      </c>
      <c r="G850" t="s">
        <v>54</v>
      </c>
      <c r="H850" t="str">
        <f>"ΑΝΩ ΑΡΧΑΝΕΣ ΑΡΧΑΝΩΝ"</f>
        <v>ΑΝΩ ΑΡΧΑΝΕΣ ΑΡΧΑΝΩΝ</v>
      </c>
      <c r="I850">
        <v>70100</v>
      </c>
      <c r="J850">
        <v>2810314718</v>
      </c>
      <c r="K850">
        <v>6945774881</v>
      </c>
      <c r="M850" t="s">
        <v>2177</v>
      </c>
      <c r="N850" t="s">
        <v>176</v>
      </c>
      <c r="O850" t="s">
        <v>177</v>
      </c>
      <c r="R850" t="s">
        <v>57</v>
      </c>
      <c r="S850">
        <v>7</v>
      </c>
      <c r="T850">
        <v>775</v>
      </c>
      <c r="U850" s="1">
        <v>39680</v>
      </c>
      <c r="V850" t="s">
        <v>123</v>
      </c>
      <c r="W850" t="s">
        <v>124</v>
      </c>
      <c r="X850" t="s">
        <v>58</v>
      </c>
      <c r="Y850">
        <v>20</v>
      </c>
      <c r="Z850" t="s">
        <v>59</v>
      </c>
      <c r="AA850" t="s">
        <v>59</v>
      </c>
      <c r="AB850" t="s">
        <v>59</v>
      </c>
      <c r="AC850" t="s">
        <v>59</v>
      </c>
      <c r="AD850" t="s">
        <v>59</v>
      </c>
      <c r="AF850" s="1">
        <v>39685</v>
      </c>
      <c r="AG850" t="s">
        <v>148</v>
      </c>
      <c r="AH850" t="s">
        <v>149</v>
      </c>
      <c r="AI850" t="str">
        <f>"1761010"</f>
        <v>1761010</v>
      </c>
      <c r="AJ850" t="s">
        <v>426</v>
      </c>
      <c r="AK850">
        <v>2810741356</v>
      </c>
      <c r="AL850" t="s">
        <v>427</v>
      </c>
      <c r="AM850" t="s">
        <v>78</v>
      </c>
      <c r="AN850" t="s">
        <v>424</v>
      </c>
      <c r="AO850" t="s">
        <v>428</v>
      </c>
      <c r="AP850" t="s">
        <v>429</v>
      </c>
      <c r="AQ850">
        <v>14</v>
      </c>
      <c r="AR850" t="s">
        <v>123</v>
      </c>
      <c r="AS850" t="s">
        <v>124</v>
      </c>
      <c r="AT850" t="s">
        <v>58</v>
      </c>
      <c r="AU850" t="s">
        <v>68</v>
      </c>
      <c r="AV850" t="s">
        <v>69</v>
      </c>
      <c r="AW850" s="1">
        <v>27406</v>
      </c>
      <c r="AX850">
        <v>2</v>
      </c>
    </row>
    <row r="851" spans="1:50">
      <c r="A851">
        <v>221540</v>
      </c>
      <c r="B851" t="str">
        <f>"056387880"</f>
        <v>056387880</v>
      </c>
      <c r="C851" t="s">
        <v>50</v>
      </c>
      <c r="D851" t="s">
        <v>2178</v>
      </c>
      <c r="E851" t="s">
        <v>52</v>
      </c>
      <c r="F851" t="s">
        <v>166</v>
      </c>
      <c r="G851" t="s">
        <v>237</v>
      </c>
      <c r="H851" t="str">
        <f>"ΝΙΔΑΣ 2 ΗΡΑΚΛΕΙΟ ΚΡΗΤΗΣ"</f>
        <v>ΝΙΔΑΣ 2 ΗΡΑΚΛΕΙΟ ΚΡΗΤΗΣ</v>
      </c>
      <c r="I851">
        <v>71307</v>
      </c>
      <c r="J851">
        <v>2810226243</v>
      </c>
      <c r="K851">
        <v>6974642722</v>
      </c>
      <c r="N851" t="s">
        <v>176</v>
      </c>
      <c r="O851" t="s">
        <v>177</v>
      </c>
      <c r="R851" t="s">
        <v>57</v>
      </c>
      <c r="S851">
        <v>8</v>
      </c>
      <c r="T851">
        <v>193</v>
      </c>
      <c r="U851" s="1">
        <v>37497</v>
      </c>
      <c r="V851" t="s">
        <v>123</v>
      </c>
      <c r="W851" t="s">
        <v>124</v>
      </c>
      <c r="X851" t="s">
        <v>58</v>
      </c>
      <c r="Y851">
        <v>20</v>
      </c>
      <c r="Z851" t="s">
        <v>59</v>
      </c>
      <c r="AA851" t="s">
        <v>59</v>
      </c>
      <c r="AB851" t="s">
        <v>59</v>
      </c>
      <c r="AC851" t="s">
        <v>59</v>
      </c>
      <c r="AD851" t="s">
        <v>59</v>
      </c>
      <c r="AF851" s="1">
        <v>37501</v>
      </c>
      <c r="AG851" t="s">
        <v>148</v>
      </c>
      <c r="AH851" t="s">
        <v>149</v>
      </c>
      <c r="AI851" t="str">
        <f>"1751042"</f>
        <v>1751042</v>
      </c>
      <c r="AJ851" t="s">
        <v>959</v>
      </c>
      <c r="AK851">
        <v>2810220685</v>
      </c>
      <c r="AL851" t="s">
        <v>960</v>
      </c>
      <c r="AM851" t="s">
        <v>78</v>
      </c>
      <c r="AN851" t="s">
        <v>78</v>
      </c>
      <c r="AO851" t="s">
        <v>78</v>
      </c>
      <c r="AP851" t="s">
        <v>213</v>
      </c>
      <c r="AQ851">
        <v>6</v>
      </c>
      <c r="AR851" t="s">
        <v>123</v>
      </c>
      <c r="AS851" t="s">
        <v>124</v>
      </c>
      <c r="AT851" t="s">
        <v>58</v>
      </c>
      <c r="AU851" t="s">
        <v>68</v>
      </c>
      <c r="AV851" t="s">
        <v>69</v>
      </c>
      <c r="AW851" s="1">
        <v>25166</v>
      </c>
      <c r="AX851">
        <v>2</v>
      </c>
    </row>
    <row r="852" spans="1:50">
      <c r="A852">
        <v>194365</v>
      </c>
      <c r="B852" t="str">
        <f>"037537081"</f>
        <v>037537081</v>
      </c>
      <c r="C852" t="s">
        <v>50</v>
      </c>
      <c r="D852" t="s">
        <v>2178</v>
      </c>
      <c r="E852" t="s">
        <v>52</v>
      </c>
      <c r="F852" t="s">
        <v>72</v>
      </c>
      <c r="G852" t="s">
        <v>250</v>
      </c>
      <c r="H852" t="str">
        <f>" "</f>
        <v xml:space="preserve"> </v>
      </c>
      <c r="J852">
        <v>2810324009</v>
      </c>
      <c r="K852">
        <v>6976404927</v>
      </c>
      <c r="M852" t="s">
        <v>2179</v>
      </c>
      <c r="N852" t="s">
        <v>176</v>
      </c>
      <c r="O852" t="s">
        <v>177</v>
      </c>
      <c r="R852" t="s">
        <v>57</v>
      </c>
      <c r="S852">
        <v>10</v>
      </c>
      <c r="T852">
        <v>193</v>
      </c>
      <c r="U852" s="1">
        <v>37497</v>
      </c>
      <c r="V852" t="s">
        <v>123</v>
      </c>
      <c r="W852" t="s">
        <v>124</v>
      </c>
      <c r="X852" t="s">
        <v>58</v>
      </c>
      <c r="Y852">
        <v>18</v>
      </c>
      <c r="Z852" t="s">
        <v>59</v>
      </c>
      <c r="AA852" t="s">
        <v>59</v>
      </c>
      <c r="AB852" t="s">
        <v>59</v>
      </c>
      <c r="AC852" t="s">
        <v>59</v>
      </c>
      <c r="AD852" t="s">
        <v>59</v>
      </c>
      <c r="AF852" s="1">
        <v>37501</v>
      </c>
      <c r="AG852" t="s">
        <v>137</v>
      </c>
      <c r="AH852" t="s">
        <v>138</v>
      </c>
      <c r="AI852" t="str">
        <f>"1740080"</f>
        <v>1740080</v>
      </c>
      <c r="AJ852" t="s">
        <v>284</v>
      </c>
      <c r="AK852">
        <v>2810220433</v>
      </c>
      <c r="AL852" t="s">
        <v>285</v>
      </c>
      <c r="AM852" t="s">
        <v>78</v>
      </c>
      <c r="AN852" t="s">
        <v>78</v>
      </c>
      <c r="AO852" t="s">
        <v>286</v>
      </c>
      <c r="AP852" t="s">
        <v>286</v>
      </c>
      <c r="AQ852">
        <v>12</v>
      </c>
      <c r="AR852" t="s">
        <v>123</v>
      </c>
      <c r="AS852" t="s">
        <v>124</v>
      </c>
      <c r="AT852" t="s">
        <v>58</v>
      </c>
      <c r="AU852" t="s">
        <v>68</v>
      </c>
      <c r="AV852" t="s">
        <v>69</v>
      </c>
      <c r="AW852" s="1">
        <v>24646</v>
      </c>
      <c r="AX852">
        <v>2</v>
      </c>
    </row>
    <row r="853" spans="1:50">
      <c r="A853">
        <v>178513</v>
      </c>
      <c r="B853" t="str">
        <f>"043073380"</f>
        <v>043073380</v>
      </c>
      <c r="C853" t="s">
        <v>105</v>
      </c>
      <c r="D853" t="s">
        <v>2180</v>
      </c>
      <c r="E853" t="s">
        <v>72</v>
      </c>
      <c r="F853" t="s">
        <v>166</v>
      </c>
      <c r="G853" t="s">
        <v>52</v>
      </c>
      <c r="H853" t="str">
        <f>"Σταλίδα Σταλίδα"</f>
        <v>Σταλίδα Σταλίδα</v>
      </c>
      <c r="I853">
        <v>70007</v>
      </c>
      <c r="J853">
        <v>2897033270</v>
      </c>
      <c r="K853">
        <v>6994790099</v>
      </c>
      <c r="M853" t="s">
        <v>2181</v>
      </c>
      <c r="N853" t="s">
        <v>199</v>
      </c>
      <c r="O853" t="s">
        <v>200</v>
      </c>
      <c r="R853" t="s">
        <v>57</v>
      </c>
      <c r="S853">
        <v>12</v>
      </c>
      <c r="T853">
        <v>181</v>
      </c>
      <c r="U853" s="1">
        <v>35674</v>
      </c>
      <c r="V853" t="s">
        <v>123</v>
      </c>
      <c r="W853" t="s">
        <v>124</v>
      </c>
      <c r="X853" t="s">
        <v>58</v>
      </c>
      <c r="Y853">
        <v>18</v>
      </c>
      <c r="Z853" t="s">
        <v>59</v>
      </c>
      <c r="AA853" t="s">
        <v>59</v>
      </c>
      <c r="AB853" t="s">
        <v>59</v>
      </c>
      <c r="AC853" t="s">
        <v>59</v>
      </c>
      <c r="AD853" t="s">
        <v>59</v>
      </c>
      <c r="AF853" s="1">
        <v>35675</v>
      </c>
      <c r="AG853" t="s">
        <v>148</v>
      </c>
      <c r="AH853" t="s">
        <v>149</v>
      </c>
      <c r="AI853" t="str">
        <f>"1764010"</f>
        <v>1764010</v>
      </c>
      <c r="AJ853" t="s">
        <v>1058</v>
      </c>
      <c r="AK853">
        <v>2810762862</v>
      </c>
      <c r="AL853" t="s">
        <v>1059</v>
      </c>
      <c r="AM853" t="s">
        <v>78</v>
      </c>
      <c r="AN853" t="s">
        <v>219</v>
      </c>
      <c r="AO853" t="s">
        <v>297</v>
      </c>
      <c r="AP853" t="s">
        <v>297</v>
      </c>
      <c r="AQ853">
        <v>37</v>
      </c>
      <c r="AR853" t="s">
        <v>123</v>
      </c>
      <c r="AS853" t="s">
        <v>124</v>
      </c>
      <c r="AT853" t="s">
        <v>58</v>
      </c>
      <c r="AU853" t="s">
        <v>68</v>
      </c>
      <c r="AV853" t="s">
        <v>69</v>
      </c>
      <c r="AW853" s="1">
        <v>22678</v>
      </c>
      <c r="AX853">
        <v>2</v>
      </c>
    </row>
    <row r="854" spans="1:50">
      <c r="A854">
        <v>183410</v>
      </c>
      <c r="B854" t="str">
        <f>"039663100"</f>
        <v>039663100</v>
      </c>
      <c r="C854" t="s">
        <v>50</v>
      </c>
      <c r="D854" t="s">
        <v>2182</v>
      </c>
      <c r="E854" t="s">
        <v>134</v>
      </c>
      <c r="F854" t="s">
        <v>99</v>
      </c>
      <c r="G854" t="s">
        <v>96</v>
      </c>
      <c r="H854" t="str">
        <f>" "</f>
        <v xml:space="preserve"> </v>
      </c>
      <c r="N854" t="s">
        <v>146</v>
      </c>
      <c r="O854" t="s">
        <v>147</v>
      </c>
      <c r="R854" t="s">
        <v>57</v>
      </c>
      <c r="S854">
        <v>10</v>
      </c>
      <c r="T854">
        <v>177</v>
      </c>
      <c r="U854" s="1">
        <v>36403</v>
      </c>
      <c r="V854" t="s">
        <v>123</v>
      </c>
      <c r="W854" t="s">
        <v>124</v>
      </c>
      <c r="X854" t="s">
        <v>58</v>
      </c>
      <c r="Y854">
        <v>18</v>
      </c>
      <c r="Z854" t="s">
        <v>59</v>
      </c>
      <c r="AA854" t="s">
        <v>59</v>
      </c>
      <c r="AB854" t="s">
        <v>59</v>
      </c>
      <c r="AC854" t="s">
        <v>59</v>
      </c>
      <c r="AD854" t="s">
        <v>59</v>
      </c>
      <c r="AF854" s="1">
        <v>36404</v>
      </c>
      <c r="AG854" t="s">
        <v>148</v>
      </c>
      <c r="AH854" t="s">
        <v>149</v>
      </c>
      <c r="AI854" t="str">
        <f>"1751020"</f>
        <v>1751020</v>
      </c>
      <c r="AJ854" t="s">
        <v>532</v>
      </c>
      <c r="AK854">
        <v>2810372732</v>
      </c>
      <c r="AL854" t="s">
        <v>533</v>
      </c>
      <c r="AM854" t="s">
        <v>78</v>
      </c>
      <c r="AN854" t="s">
        <v>78</v>
      </c>
      <c r="AO854" t="s">
        <v>78</v>
      </c>
      <c r="AP854" t="s">
        <v>163</v>
      </c>
      <c r="AQ854">
        <v>3</v>
      </c>
      <c r="AR854" t="s">
        <v>123</v>
      </c>
      <c r="AS854" t="s">
        <v>124</v>
      </c>
      <c r="AT854" t="s">
        <v>58</v>
      </c>
      <c r="AU854" t="s">
        <v>68</v>
      </c>
      <c r="AV854" t="s">
        <v>69</v>
      </c>
      <c r="AW854" s="1">
        <v>24248</v>
      </c>
      <c r="AX854">
        <v>2</v>
      </c>
    </row>
    <row r="855" spans="1:50">
      <c r="A855">
        <v>224983</v>
      </c>
      <c r="B855" t="str">
        <f>"076867576"</f>
        <v>076867576</v>
      </c>
      <c r="C855" t="s">
        <v>105</v>
      </c>
      <c r="D855" t="s">
        <v>2183</v>
      </c>
      <c r="E855" t="s">
        <v>920</v>
      </c>
      <c r="F855" t="s">
        <v>2184</v>
      </c>
      <c r="G855" t="s">
        <v>2185</v>
      </c>
      <c r="H855" t="str">
        <f>" "</f>
        <v xml:space="preserve"> </v>
      </c>
      <c r="J855">
        <v>2262025131</v>
      </c>
      <c r="K855">
        <v>6945283798</v>
      </c>
      <c r="M855" t="s">
        <v>2186</v>
      </c>
      <c r="N855" t="s">
        <v>176</v>
      </c>
      <c r="O855" t="s">
        <v>177</v>
      </c>
      <c r="R855" t="s">
        <v>57</v>
      </c>
      <c r="S855">
        <v>7</v>
      </c>
      <c r="T855">
        <v>775</v>
      </c>
      <c r="U855" s="1">
        <v>39680</v>
      </c>
      <c r="V855" t="s">
        <v>123</v>
      </c>
      <c r="W855" t="s">
        <v>124</v>
      </c>
      <c r="X855" t="s">
        <v>58</v>
      </c>
      <c r="Y855">
        <v>20</v>
      </c>
      <c r="Z855" t="s">
        <v>59</v>
      </c>
      <c r="AA855" t="s">
        <v>59</v>
      </c>
      <c r="AB855" t="s">
        <v>59</v>
      </c>
      <c r="AC855" t="s">
        <v>59</v>
      </c>
      <c r="AD855" t="s">
        <v>59</v>
      </c>
      <c r="AF855" s="1">
        <v>39682</v>
      </c>
      <c r="AG855" t="s">
        <v>125</v>
      </c>
      <c r="AH855" t="s">
        <v>126</v>
      </c>
      <c r="AI855" t="str">
        <f>"1715010"</f>
        <v>1715010</v>
      </c>
      <c r="AJ855" t="s">
        <v>812</v>
      </c>
      <c r="AK855">
        <v>2893031193</v>
      </c>
      <c r="AL855" t="s">
        <v>813</v>
      </c>
      <c r="AM855" t="s">
        <v>78</v>
      </c>
      <c r="AN855" t="s">
        <v>405</v>
      </c>
      <c r="AO855" t="s">
        <v>805</v>
      </c>
      <c r="AP855" t="s">
        <v>806</v>
      </c>
      <c r="AQ855">
        <v>25</v>
      </c>
      <c r="AR855" t="s">
        <v>123</v>
      </c>
      <c r="AS855" t="s">
        <v>124</v>
      </c>
      <c r="AT855" t="s">
        <v>58</v>
      </c>
      <c r="AU855" t="s">
        <v>68</v>
      </c>
      <c r="AV855" t="s">
        <v>69</v>
      </c>
      <c r="AW855" s="1">
        <v>25861</v>
      </c>
      <c r="AX855">
        <v>2</v>
      </c>
    </row>
    <row r="856" spans="1:50">
      <c r="A856">
        <v>206996</v>
      </c>
      <c r="B856" t="str">
        <f>"034262327"</f>
        <v>034262327</v>
      </c>
      <c r="C856" t="s">
        <v>105</v>
      </c>
      <c r="D856" t="s">
        <v>2183</v>
      </c>
      <c r="E856" t="s">
        <v>1506</v>
      </c>
      <c r="F856" t="s">
        <v>99</v>
      </c>
      <c r="G856" t="s">
        <v>964</v>
      </c>
      <c r="H856" t="str">
        <f>"ΓΕΩΡΓΙΟΥ ΦΡΑΝΤΖΗ 11 ΗΡΑΚΛΕΙΟ"</f>
        <v>ΓΕΩΡΓΙΟΥ ΦΡΑΝΤΖΗ 11 ΗΡΑΚΛΕΙΟ</v>
      </c>
      <c r="I856">
        <v>71305</v>
      </c>
      <c r="J856">
        <v>2810313263</v>
      </c>
      <c r="K856">
        <v>6936482227</v>
      </c>
      <c r="L856">
        <v>6946379289</v>
      </c>
      <c r="N856" t="s">
        <v>292</v>
      </c>
      <c r="O856" t="s">
        <v>293</v>
      </c>
      <c r="R856" t="s">
        <v>57</v>
      </c>
      <c r="S856">
        <v>9</v>
      </c>
      <c r="T856">
        <v>218</v>
      </c>
      <c r="U856" s="1">
        <v>38596</v>
      </c>
      <c r="V856" t="s">
        <v>123</v>
      </c>
      <c r="W856" t="s">
        <v>124</v>
      </c>
      <c r="X856" t="s">
        <v>58</v>
      </c>
      <c r="Y856">
        <v>20</v>
      </c>
      <c r="Z856" t="s">
        <v>59</v>
      </c>
      <c r="AA856" t="s">
        <v>59</v>
      </c>
      <c r="AB856" t="s">
        <v>59</v>
      </c>
      <c r="AC856" t="s">
        <v>59</v>
      </c>
      <c r="AD856" t="s">
        <v>59</v>
      </c>
      <c r="AF856" s="1">
        <v>38600</v>
      </c>
      <c r="AG856" t="s">
        <v>148</v>
      </c>
      <c r="AH856" t="s">
        <v>149</v>
      </c>
      <c r="AI856" t="str">
        <f>"1751020"</f>
        <v>1751020</v>
      </c>
      <c r="AJ856" t="s">
        <v>532</v>
      </c>
      <c r="AK856">
        <v>2810372732</v>
      </c>
      <c r="AL856" t="s">
        <v>533</v>
      </c>
      <c r="AM856" t="s">
        <v>78</v>
      </c>
      <c r="AN856" t="s">
        <v>78</v>
      </c>
      <c r="AO856" t="s">
        <v>78</v>
      </c>
      <c r="AP856" t="s">
        <v>163</v>
      </c>
      <c r="AQ856">
        <v>3</v>
      </c>
      <c r="AR856" t="s">
        <v>123</v>
      </c>
      <c r="AS856" t="s">
        <v>124</v>
      </c>
      <c r="AT856" t="s">
        <v>58</v>
      </c>
      <c r="AU856" t="s">
        <v>68</v>
      </c>
      <c r="AV856" t="s">
        <v>69</v>
      </c>
      <c r="AW856" s="1">
        <v>20741</v>
      </c>
      <c r="AX856">
        <v>2</v>
      </c>
    </row>
    <row r="857" spans="1:50">
      <c r="A857">
        <v>205856</v>
      </c>
      <c r="B857" t="str">
        <f>"054349184"</f>
        <v>054349184</v>
      </c>
      <c r="C857" t="s">
        <v>50</v>
      </c>
      <c r="D857" t="s">
        <v>2187</v>
      </c>
      <c r="E857" t="s">
        <v>54</v>
      </c>
      <c r="F857" t="s">
        <v>106</v>
      </c>
      <c r="G857" t="s">
        <v>52</v>
      </c>
      <c r="H857" t="str">
        <f>"ΑΛΕΞΑΝΔΡΟΥ ΣΟΥΤΣΟΥ 15 ΗΡΑΚΛΕΙΟ"</f>
        <v>ΑΛΕΞΑΝΔΡΟΥ ΣΟΥΤΣΟΥ 15 ΗΡΑΚΛΕΙΟ</v>
      </c>
      <c r="J857">
        <v>2810325196</v>
      </c>
      <c r="K857">
        <v>6978062825</v>
      </c>
      <c r="M857" t="s">
        <v>2188</v>
      </c>
      <c r="N857" t="s">
        <v>146</v>
      </c>
      <c r="O857" t="s">
        <v>147</v>
      </c>
      <c r="R857" t="s">
        <v>57</v>
      </c>
      <c r="S857">
        <v>7</v>
      </c>
      <c r="T857" t="s">
        <v>2189</v>
      </c>
      <c r="U857" s="1">
        <v>37865</v>
      </c>
      <c r="V857" t="s">
        <v>123</v>
      </c>
      <c r="W857" t="s">
        <v>124</v>
      </c>
      <c r="X857" t="s">
        <v>58</v>
      </c>
      <c r="Y857">
        <v>20</v>
      </c>
      <c r="Z857" t="s">
        <v>59</v>
      </c>
      <c r="AA857" t="s">
        <v>59</v>
      </c>
      <c r="AB857" t="s">
        <v>59</v>
      </c>
      <c r="AC857" t="s">
        <v>59</v>
      </c>
      <c r="AD857" t="s">
        <v>59</v>
      </c>
      <c r="AF857" s="1">
        <v>38233</v>
      </c>
      <c r="AG857" t="s">
        <v>125</v>
      </c>
      <c r="AH857" t="s">
        <v>126</v>
      </c>
      <c r="AI857" t="str">
        <f>"1714012"</f>
        <v>1714012</v>
      </c>
      <c r="AJ857" t="s">
        <v>633</v>
      </c>
      <c r="AK857">
        <v>2810762261</v>
      </c>
      <c r="AL857" t="s">
        <v>634</v>
      </c>
      <c r="AM857" t="s">
        <v>78</v>
      </c>
      <c r="AN857" t="s">
        <v>219</v>
      </c>
      <c r="AO857" t="s">
        <v>297</v>
      </c>
      <c r="AP857" t="s">
        <v>297</v>
      </c>
      <c r="AQ857">
        <v>37</v>
      </c>
      <c r="AR857" t="s">
        <v>123</v>
      </c>
      <c r="AS857" t="s">
        <v>124</v>
      </c>
      <c r="AT857" t="s">
        <v>58</v>
      </c>
      <c r="AU857" t="s">
        <v>68</v>
      </c>
      <c r="AV857" t="s">
        <v>69</v>
      </c>
      <c r="AW857" s="1">
        <v>25651</v>
      </c>
      <c r="AX857">
        <v>2</v>
      </c>
    </row>
    <row r="858" spans="1:50">
      <c r="A858">
        <v>213201</v>
      </c>
      <c r="B858" t="str">
        <f>"026384865"</f>
        <v>026384865</v>
      </c>
      <c r="C858" t="s">
        <v>105</v>
      </c>
      <c r="D858" t="s">
        <v>2190</v>
      </c>
      <c r="E858" t="s">
        <v>53</v>
      </c>
      <c r="F858" t="s">
        <v>383</v>
      </c>
      <c r="G858" t="s">
        <v>215</v>
      </c>
      <c r="H858" t="str">
        <f>" "</f>
        <v xml:space="preserve"> </v>
      </c>
      <c r="J858">
        <v>2810321428</v>
      </c>
      <c r="K858">
        <v>6942408188</v>
      </c>
      <c r="M858" t="s">
        <v>2191</v>
      </c>
      <c r="N858" t="s">
        <v>232</v>
      </c>
      <c r="O858" t="s">
        <v>233</v>
      </c>
      <c r="R858" t="s">
        <v>57</v>
      </c>
      <c r="S858">
        <v>8</v>
      </c>
      <c r="T858">
        <v>231</v>
      </c>
      <c r="U858" s="1">
        <v>38960</v>
      </c>
      <c r="V858" t="s">
        <v>123</v>
      </c>
      <c r="W858" t="s">
        <v>124</v>
      </c>
      <c r="X858" t="s">
        <v>58</v>
      </c>
      <c r="Y858">
        <v>20</v>
      </c>
      <c r="Z858" t="s">
        <v>59</v>
      </c>
      <c r="AA858" t="s">
        <v>59</v>
      </c>
      <c r="AB858" t="s">
        <v>59</v>
      </c>
      <c r="AC858" t="s">
        <v>59</v>
      </c>
      <c r="AD858" t="s">
        <v>59</v>
      </c>
      <c r="AF858" s="1">
        <v>38961</v>
      </c>
      <c r="AG858" t="s">
        <v>125</v>
      </c>
      <c r="AH858" t="s">
        <v>359</v>
      </c>
      <c r="AI858" t="str">
        <f>"1701060"</f>
        <v>1701060</v>
      </c>
      <c r="AJ858" t="s">
        <v>360</v>
      </c>
      <c r="AK858">
        <v>2810223424</v>
      </c>
      <c r="AL858" t="s">
        <v>361</v>
      </c>
      <c r="AM858" t="s">
        <v>78</v>
      </c>
      <c r="AN858" t="s">
        <v>78</v>
      </c>
      <c r="AO858" t="s">
        <v>78</v>
      </c>
      <c r="AP858" t="s">
        <v>79</v>
      </c>
      <c r="AQ858">
        <v>1</v>
      </c>
      <c r="AR858" t="s">
        <v>123</v>
      </c>
      <c r="AS858" t="s">
        <v>124</v>
      </c>
      <c r="AT858" t="s">
        <v>58</v>
      </c>
      <c r="AU858" t="s">
        <v>68</v>
      </c>
      <c r="AV858" t="s">
        <v>69</v>
      </c>
      <c r="AW858" s="1">
        <v>24725</v>
      </c>
      <c r="AX858">
        <v>2</v>
      </c>
    </row>
    <row r="859" spans="1:50">
      <c r="A859">
        <v>197197</v>
      </c>
      <c r="B859" t="str">
        <f>"049323229"</f>
        <v>049323229</v>
      </c>
      <c r="C859" t="s">
        <v>50</v>
      </c>
      <c r="D859" t="s">
        <v>2192</v>
      </c>
      <c r="E859" t="s">
        <v>396</v>
      </c>
      <c r="F859" t="s">
        <v>99</v>
      </c>
      <c r="G859" t="s">
        <v>378</v>
      </c>
      <c r="H859" t="str">
        <f>" "</f>
        <v xml:space="preserve"> </v>
      </c>
      <c r="J859">
        <v>2810328059</v>
      </c>
      <c r="K859">
        <v>6976305756</v>
      </c>
      <c r="N859" t="s">
        <v>146</v>
      </c>
      <c r="O859" t="s">
        <v>147</v>
      </c>
      <c r="R859" t="s">
        <v>57</v>
      </c>
      <c r="S859">
        <v>9</v>
      </c>
      <c r="T859">
        <v>206</v>
      </c>
      <c r="U859" s="1">
        <v>37866</v>
      </c>
      <c r="V859" t="s">
        <v>123</v>
      </c>
      <c r="W859" t="s">
        <v>124</v>
      </c>
      <c r="X859" t="s">
        <v>58</v>
      </c>
      <c r="Y859">
        <v>20</v>
      </c>
      <c r="Z859" t="s">
        <v>59</v>
      </c>
      <c r="AA859" t="s">
        <v>59</v>
      </c>
      <c r="AB859" t="s">
        <v>59</v>
      </c>
      <c r="AC859" t="s">
        <v>59</v>
      </c>
      <c r="AD859" t="s">
        <v>59</v>
      </c>
      <c r="AF859" s="1">
        <v>37866</v>
      </c>
      <c r="AG859" t="s">
        <v>125</v>
      </c>
      <c r="AH859" t="s">
        <v>126</v>
      </c>
      <c r="AI859" t="str">
        <f>"1701050"</f>
        <v>1701050</v>
      </c>
      <c r="AJ859" t="s">
        <v>660</v>
      </c>
      <c r="AK859">
        <v>2810220729</v>
      </c>
      <c r="AL859" t="s">
        <v>661</v>
      </c>
      <c r="AM859" t="s">
        <v>78</v>
      </c>
      <c r="AN859" t="s">
        <v>78</v>
      </c>
      <c r="AO859" t="s">
        <v>78</v>
      </c>
      <c r="AP859" t="s">
        <v>79</v>
      </c>
      <c r="AQ859">
        <v>1</v>
      </c>
      <c r="AR859" t="s">
        <v>123</v>
      </c>
      <c r="AS859" t="s">
        <v>124</v>
      </c>
      <c r="AT859" t="s">
        <v>58</v>
      </c>
      <c r="AU859" t="s">
        <v>68</v>
      </c>
      <c r="AV859" t="s">
        <v>357</v>
      </c>
      <c r="AW859" s="1">
        <v>27797</v>
      </c>
      <c r="AX859">
        <v>2</v>
      </c>
    </row>
    <row r="860" spans="1:50">
      <c r="A860">
        <v>165306</v>
      </c>
      <c r="B860" t="str">
        <f>"050005060"</f>
        <v>050005060</v>
      </c>
      <c r="C860" t="s">
        <v>50</v>
      </c>
      <c r="D860" t="s">
        <v>2193</v>
      </c>
      <c r="E860" t="s">
        <v>109</v>
      </c>
      <c r="F860" t="s">
        <v>995</v>
      </c>
      <c r="G860" t="s">
        <v>2194</v>
      </c>
      <c r="H860" t="str">
        <f>"ΚΩΜΕΣ ΚΟΥΝΑΒΩΝ ΗΡΑΚΛΕΙΟ"</f>
        <v>ΚΩΜΕΣ ΚΟΥΝΑΒΩΝ ΗΡΑΚΛΕΙΟ</v>
      </c>
      <c r="I860">
        <v>70100</v>
      </c>
      <c r="J860">
        <v>2810743270</v>
      </c>
      <c r="K860">
        <v>6979485497</v>
      </c>
      <c r="L860">
        <v>2462028974</v>
      </c>
      <c r="N860" t="s">
        <v>204</v>
      </c>
      <c r="O860" t="s">
        <v>205</v>
      </c>
      <c r="R860" t="s">
        <v>57</v>
      </c>
      <c r="S860">
        <v>13</v>
      </c>
      <c r="T860">
        <v>238</v>
      </c>
      <c r="U860" s="1">
        <v>33968</v>
      </c>
      <c r="V860" t="s">
        <v>123</v>
      </c>
      <c r="W860" t="s">
        <v>124</v>
      </c>
      <c r="X860" t="s">
        <v>58</v>
      </c>
      <c r="Y860">
        <v>18</v>
      </c>
      <c r="Z860" t="s">
        <v>59</v>
      </c>
      <c r="AA860" t="s">
        <v>59</v>
      </c>
      <c r="AB860" t="s">
        <v>59</v>
      </c>
      <c r="AC860" t="s">
        <v>59</v>
      </c>
      <c r="AD860" t="s">
        <v>59</v>
      </c>
      <c r="AF860" s="1">
        <v>33977</v>
      </c>
      <c r="AG860" t="s">
        <v>137</v>
      </c>
      <c r="AH860" t="s">
        <v>138</v>
      </c>
      <c r="AI860" t="str">
        <f>"1740210"</f>
        <v>1740210</v>
      </c>
      <c r="AJ860" t="s">
        <v>139</v>
      </c>
      <c r="AK860">
        <v>2810318130</v>
      </c>
      <c r="AL860" t="s">
        <v>140</v>
      </c>
      <c r="AM860" t="s">
        <v>78</v>
      </c>
      <c r="AN860" t="s">
        <v>78</v>
      </c>
      <c r="AO860" t="s">
        <v>78</v>
      </c>
      <c r="AP860" t="s">
        <v>141</v>
      </c>
      <c r="AQ860">
        <v>7</v>
      </c>
      <c r="AR860" t="s">
        <v>123</v>
      </c>
      <c r="AS860" t="s">
        <v>124</v>
      </c>
      <c r="AT860" t="s">
        <v>58</v>
      </c>
      <c r="AU860" t="s">
        <v>68</v>
      </c>
      <c r="AV860" t="s">
        <v>69</v>
      </c>
      <c r="AW860" s="1">
        <v>24152</v>
      </c>
      <c r="AX860">
        <v>2</v>
      </c>
    </row>
    <row r="861" spans="1:50">
      <c r="A861">
        <v>199650</v>
      </c>
      <c r="B861" t="str">
        <f>"074611090"</f>
        <v>074611090</v>
      </c>
      <c r="C861" t="s">
        <v>105</v>
      </c>
      <c r="D861" t="s">
        <v>2195</v>
      </c>
      <c r="E861" t="s">
        <v>900</v>
      </c>
      <c r="F861" t="s">
        <v>72</v>
      </c>
      <c r="G861" t="s">
        <v>215</v>
      </c>
      <c r="H861" t="str">
        <f>"Μ. ΚΡΗΤΗΣ 8 Λ. ΧΕΡΣΟΝΗΣΟΥ"</f>
        <v>Μ. ΚΡΗΤΗΣ 8 Λ. ΧΕΡΣΟΝΗΣΟΥ</v>
      </c>
      <c r="J861">
        <v>2897023070</v>
      </c>
      <c r="K861">
        <v>6944714847</v>
      </c>
      <c r="L861">
        <v>2410258373</v>
      </c>
      <c r="N861" t="s">
        <v>1989</v>
      </c>
      <c r="O861" t="s">
        <v>1990</v>
      </c>
      <c r="R861" t="s">
        <v>57</v>
      </c>
      <c r="S861">
        <v>8</v>
      </c>
      <c r="T861">
        <v>206</v>
      </c>
      <c r="U861" s="1">
        <v>37866</v>
      </c>
      <c r="V861" t="s">
        <v>123</v>
      </c>
      <c r="W861" t="s">
        <v>124</v>
      </c>
      <c r="X861" t="s">
        <v>58</v>
      </c>
      <c r="Y861">
        <v>20</v>
      </c>
      <c r="Z861" t="s">
        <v>59</v>
      </c>
      <c r="AA861" t="s">
        <v>59</v>
      </c>
      <c r="AB861" t="s">
        <v>59</v>
      </c>
      <c r="AC861" t="s">
        <v>59</v>
      </c>
      <c r="AD861" t="s">
        <v>59</v>
      </c>
      <c r="AF861" s="1">
        <v>37866</v>
      </c>
      <c r="AG861" t="s">
        <v>137</v>
      </c>
      <c r="AH861" t="s">
        <v>138</v>
      </c>
      <c r="AI861" t="str">
        <f>"1740210"</f>
        <v>1740210</v>
      </c>
      <c r="AJ861" t="s">
        <v>139</v>
      </c>
      <c r="AK861">
        <v>2810318130</v>
      </c>
      <c r="AL861" t="s">
        <v>140</v>
      </c>
      <c r="AM861" t="s">
        <v>78</v>
      </c>
      <c r="AN861" t="s">
        <v>78</v>
      </c>
      <c r="AO861" t="s">
        <v>78</v>
      </c>
      <c r="AP861" t="s">
        <v>141</v>
      </c>
      <c r="AQ861">
        <v>7</v>
      </c>
      <c r="AR861" t="s">
        <v>123</v>
      </c>
      <c r="AS861" t="s">
        <v>124</v>
      </c>
      <c r="AT861" t="s">
        <v>58</v>
      </c>
      <c r="AU861" t="s">
        <v>68</v>
      </c>
      <c r="AV861" t="s">
        <v>69</v>
      </c>
      <c r="AW861" s="1">
        <v>23946</v>
      </c>
      <c r="AX861">
        <v>2</v>
      </c>
    </row>
    <row r="862" spans="1:50">
      <c r="A862">
        <v>212131</v>
      </c>
      <c r="B862" t="str">
        <f>"076184440"</f>
        <v>076184440</v>
      </c>
      <c r="C862" t="s">
        <v>50</v>
      </c>
      <c r="D862" t="s">
        <v>97</v>
      </c>
      <c r="E862" t="s">
        <v>316</v>
      </c>
      <c r="F862" t="s">
        <v>72</v>
      </c>
      <c r="G862" t="s">
        <v>52</v>
      </c>
      <c r="H862" t="str">
        <f>"Μ. ΜΩΡΑΙΤΗ 6  Ν.ΑΛΙΚΑΡΝΑΣΣΟΣ"</f>
        <v>Μ. ΜΩΡΑΙΤΗ 6  Ν.ΑΛΙΚΑΡΝΑΣΣΟΣ</v>
      </c>
      <c r="I862">
        <v>71408</v>
      </c>
      <c r="J862">
        <v>2810223850</v>
      </c>
      <c r="K862">
        <v>6972086370</v>
      </c>
      <c r="M862" t="s">
        <v>2196</v>
      </c>
      <c r="N862" t="s">
        <v>146</v>
      </c>
      <c r="O862" t="s">
        <v>147</v>
      </c>
      <c r="R862" t="s">
        <v>57</v>
      </c>
      <c r="S862">
        <v>6</v>
      </c>
      <c r="T862">
        <v>231</v>
      </c>
      <c r="U862" s="1">
        <v>38960</v>
      </c>
      <c r="V862" t="s">
        <v>123</v>
      </c>
      <c r="W862" t="s">
        <v>124</v>
      </c>
      <c r="X862" t="s">
        <v>58</v>
      </c>
      <c r="Y862">
        <v>20</v>
      </c>
      <c r="Z862" t="s">
        <v>59</v>
      </c>
      <c r="AA862" t="s">
        <v>59</v>
      </c>
      <c r="AB862" t="s">
        <v>59</v>
      </c>
      <c r="AC862" t="s">
        <v>59</v>
      </c>
      <c r="AD862" t="s">
        <v>59</v>
      </c>
      <c r="AF862" s="1">
        <v>38961</v>
      </c>
      <c r="AG862" t="s">
        <v>125</v>
      </c>
      <c r="AH862" t="s">
        <v>126</v>
      </c>
      <c r="AI862" t="str">
        <f>"1728010"</f>
        <v>1728010</v>
      </c>
      <c r="AJ862" t="s">
        <v>127</v>
      </c>
      <c r="AK862">
        <v>2810824651</v>
      </c>
      <c r="AL862" t="s">
        <v>128</v>
      </c>
      <c r="AM862" t="s">
        <v>78</v>
      </c>
      <c r="AN862" t="s">
        <v>129</v>
      </c>
      <c r="AO862" t="s">
        <v>130</v>
      </c>
      <c r="AP862" t="s">
        <v>130</v>
      </c>
      <c r="AQ862">
        <v>36</v>
      </c>
      <c r="AR862" t="s">
        <v>123</v>
      </c>
      <c r="AS862" t="s">
        <v>124</v>
      </c>
      <c r="AT862" t="s">
        <v>58</v>
      </c>
      <c r="AU862" t="s">
        <v>68</v>
      </c>
      <c r="AV862" t="s">
        <v>357</v>
      </c>
      <c r="AW862" s="1">
        <v>26299</v>
      </c>
      <c r="AX862">
        <v>2</v>
      </c>
    </row>
    <row r="863" spans="1:50">
      <c r="A863">
        <v>702325</v>
      </c>
      <c r="B863" t="str">
        <f>"070367743"</f>
        <v>070367743</v>
      </c>
      <c r="C863" t="s">
        <v>50</v>
      </c>
      <c r="D863" t="s">
        <v>97</v>
      </c>
      <c r="E863" t="s">
        <v>1644</v>
      </c>
      <c r="F863" t="s">
        <v>99</v>
      </c>
      <c r="G863" t="s">
        <v>250</v>
      </c>
      <c r="H863" t="str">
        <f>"ΚΑΛΛΙΠΟΛΕΩΣ 79 ΗΡΑΚΛΕΙΟ"</f>
        <v>ΚΑΛΛΙΠΟΛΕΩΣ 79 ΗΡΑΚΛΕΙΟ</v>
      </c>
      <c r="I863">
        <v>71306</v>
      </c>
      <c r="J863">
        <v>2810321109</v>
      </c>
      <c r="K863">
        <v>6978721714</v>
      </c>
      <c r="M863" t="s">
        <v>2197</v>
      </c>
      <c r="N863" t="s">
        <v>146</v>
      </c>
      <c r="O863" t="s">
        <v>147</v>
      </c>
      <c r="R863" t="s">
        <v>57</v>
      </c>
      <c r="S863">
        <v>5</v>
      </c>
      <c r="T863">
        <v>772</v>
      </c>
      <c r="U863" s="1">
        <v>40413</v>
      </c>
      <c r="V863" t="s">
        <v>123</v>
      </c>
      <c r="W863" t="s">
        <v>124</v>
      </c>
      <c r="X863" t="s">
        <v>58</v>
      </c>
      <c r="Y863">
        <v>21</v>
      </c>
      <c r="Z863" t="s">
        <v>59</v>
      </c>
      <c r="AA863" t="s">
        <v>59</v>
      </c>
      <c r="AB863" t="s">
        <v>59</v>
      </c>
      <c r="AC863" t="s">
        <v>59</v>
      </c>
      <c r="AD863" t="s">
        <v>59</v>
      </c>
      <c r="AF863" s="1">
        <v>40413</v>
      </c>
      <c r="AG863" t="s">
        <v>125</v>
      </c>
      <c r="AH863" t="s">
        <v>126</v>
      </c>
      <c r="AI863" t="str">
        <f>"1708010"</f>
        <v>1708010</v>
      </c>
      <c r="AJ863" t="s">
        <v>1147</v>
      </c>
      <c r="AK863">
        <v>2893022204</v>
      </c>
      <c r="AL863" t="s">
        <v>1148</v>
      </c>
      <c r="AM863" t="s">
        <v>78</v>
      </c>
      <c r="AN863" t="s">
        <v>424</v>
      </c>
      <c r="AO863" t="s">
        <v>577</v>
      </c>
      <c r="AP863" t="s">
        <v>578</v>
      </c>
      <c r="AQ863">
        <v>24</v>
      </c>
      <c r="AR863" t="s">
        <v>123</v>
      </c>
      <c r="AS863" t="s">
        <v>124</v>
      </c>
      <c r="AT863" t="s">
        <v>58</v>
      </c>
      <c r="AU863" t="s">
        <v>68</v>
      </c>
      <c r="AV863" t="s">
        <v>69</v>
      </c>
      <c r="AW863" s="1">
        <v>26154</v>
      </c>
      <c r="AX863">
        <v>2</v>
      </c>
    </row>
    <row r="864" spans="1:50">
      <c r="A864">
        <v>222993</v>
      </c>
      <c r="B864" t="str">
        <f>"035163730"</f>
        <v>035163730</v>
      </c>
      <c r="C864" t="s">
        <v>50</v>
      </c>
      <c r="D864" t="s">
        <v>97</v>
      </c>
      <c r="E864" t="s">
        <v>2198</v>
      </c>
      <c r="F864" t="s">
        <v>108</v>
      </c>
      <c r="G864" t="s">
        <v>83</v>
      </c>
      <c r="H864" t="str">
        <f>"ΕΘΝΙΚΗΣ ΑΝΤΙΣΤΑΣΕΩΣ 7Α ΗΡΑΚΛΕΙΟ"</f>
        <v>ΕΘΝΙΚΗΣ ΑΝΤΙΣΤΑΣΕΩΣ 7Α ΗΡΑΚΛΕΙΟ</v>
      </c>
      <c r="I864">
        <v>71306</v>
      </c>
      <c r="J864">
        <v>2810324825</v>
      </c>
      <c r="K864">
        <v>6946917104</v>
      </c>
      <c r="M864" t="s">
        <v>2199</v>
      </c>
      <c r="N864" t="s">
        <v>292</v>
      </c>
      <c r="O864" t="s">
        <v>293</v>
      </c>
      <c r="R864" t="s">
        <v>57</v>
      </c>
      <c r="S864">
        <v>5</v>
      </c>
      <c r="T864">
        <v>775</v>
      </c>
      <c r="U864" s="1">
        <v>39680</v>
      </c>
      <c r="V864" t="s">
        <v>123</v>
      </c>
      <c r="W864" t="s">
        <v>124</v>
      </c>
      <c r="X864" t="s">
        <v>58</v>
      </c>
      <c r="Y864">
        <v>21</v>
      </c>
      <c r="Z864" t="s">
        <v>59</v>
      </c>
      <c r="AA864" t="s">
        <v>59</v>
      </c>
      <c r="AB864" t="s">
        <v>59</v>
      </c>
      <c r="AC864" t="s">
        <v>59</v>
      </c>
      <c r="AD864" t="s">
        <v>59</v>
      </c>
      <c r="AF864" s="1">
        <v>39682</v>
      </c>
      <c r="AG864" t="s">
        <v>125</v>
      </c>
      <c r="AH864" t="s">
        <v>126</v>
      </c>
      <c r="AI864" t="str">
        <f>"1727010"</f>
        <v>1727010</v>
      </c>
      <c r="AJ864" t="s">
        <v>618</v>
      </c>
      <c r="AK864">
        <v>2810229231</v>
      </c>
      <c r="AL864" t="s">
        <v>619</v>
      </c>
      <c r="AM864" t="s">
        <v>78</v>
      </c>
      <c r="AN864" t="s">
        <v>78</v>
      </c>
      <c r="AO864" t="s">
        <v>286</v>
      </c>
      <c r="AP864" t="s">
        <v>286</v>
      </c>
      <c r="AQ864">
        <v>12</v>
      </c>
      <c r="AR864" t="s">
        <v>123</v>
      </c>
      <c r="AS864" t="s">
        <v>124</v>
      </c>
      <c r="AT864" t="s">
        <v>58</v>
      </c>
      <c r="AU864" t="s">
        <v>68</v>
      </c>
      <c r="AV864" t="s">
        <v>69</v>
      </c>
      <c r="AW864" s="1">
        <v>24019</v>
      </c>
      <c r="AX864">
        <v>2</v>
      </c>
    </row>
    <row r="865" spans="1:50">
      <c r="A865">
        <v>163602</v>
      </c>
      <c r="B865" t="str">
        <f>"028873226"</f>
        <v>028873226</v>
      </c>
      <c r="C865" t="s">
        <v>105</v>
      </c>
      <c r="D865" t="s">
        <v>2200</v>
      </c>
      <c r="E865" t="s">
        <v>106</v>
      </c>
      <c r="F865" t="s">
        <v>72</v>
      </c>
      <c r="G865" t="s">
        <v>1308</v>
      </c>
      <c r="H865" t="str">
        <f>"ΠΑΤΡΑΣ 37 "</f>
        <v xml:space="preserve">ΠΑΤΡΑΣ 37 </v>
      </c>
      <c r="I865">
        <v>71306</v>
      </c>
      <c r="J865">
        <v>2810236376</v>
      </c>
      <c r="K865">
        <v>6947932269</v>
      </c>
      <c r="M865" t="s">
        <v>2201</v>
      </c>
      <c r="N865" t="s">
        <v>337</v>
      </c>
      <c r="O865" t="s">
        <v>338</v>
      </c>
      <c r="R865" t="s">
        <v>57</v>
      </c>
      <c r="S865">
        <v>13</v>
      </c>
      <c r="T865">
        <v>134</v>
      </c>
      <c r="U865" s="1">
        <v>33456</v>
      </c>
      <c r="V865" t="s">
        <v>123</v>
      </c>
      <c r="W865" t="s">
        <v>124</v>
      </c>
      <c r="X865" t="s">
        <v>58</v>
      </c>
      <c r="Y865">
        <v>18</v>
      </c>
      <c r="Z865" t="s">
        <v>59</v>
      </c>
      <c r="AA865" t="s">
        <v>59</v>
      </c>
      <c r="AB865" t="s">
        <v>59</v>
      </c>
      <c r="AC865" t="s">
        <v>59</v>
      </c>
      <c r="AD865" t="s">
        <v>59</v>
      </c>
      <c r="AF865" s="1">
        <v>33483</v>
      </c>
      <c r="AG865" t="s">
        <v>125</v>
      </c>
      <c r="AH865" t="s">
        <v>126</v>
      </c>
      <c r="AI865" t="str">
        <f>"1701030"</f>
        <v>1701030</v>
      </c>
      <c r="AJ865" t="s">
        <v>270</v>
      </c>
      <c r="AK865">
        <v>2810361015</v>
      </c>
      <c r="AL865" t="s">
        <v>271</v>
      </c>
      <c r="AM865" t="s">
        <v>78</v>
      </c>
      <c r="AN865" t="s">
        <v>78</v>
      </c>
      <c r="AO865" t="s">
        <v>78</v>
      </c>
      <c r="AP865" t="s">
        <v>163</v>
      </c>
      <c r="AQ865">
        <v>2</v>
      </c>
      <c r="AR865" t="s">
        <v>123</v>
      </c>
      <c r="AS865" t="s">
        <v>124</v>
      </c>
      <c r="AT865" t="s">
        <v>58</v>
      </c>
      <c r="AU865" t="s">
        <v>68</v>
      </c>
      <c r="AV865" t="s">
        <v>69</v>
      </c>
      <c r="AW865" s="1">
        <v>22234</v>
      </c>
      <c r="AX865">
        <v>2</v>
      </c>
    </row>
    <row r="866" spans="1:50">
      <c r="A866">
        <v>152743</v>
      </c>
      <c r="B866" t="str">
        <f>"032452508"</f>
        <v>032452508</v>
      </c>
      <c r="C866" t="s">
        <v>105</v>
      </c>
      <c r="D866" t="s">
        <v>2202</v>
      </c>
      <c r="E866" t="s">
        <v>95</v>
      </c>
      <c r="F866" t="s">
        <v>106</v>
      </c>
      <c r="G866" t="s">
        <v>250</v>
      </c>
      <c r="H866" t="str">
        <f>"ΑΣΗΜΙ ΗΡΑΚΛΕΙΟΥ ΑΣΗΜΙ ΗΡΑΚΛΕΙΟΥ"</f>
        <v>ΑΣΗΜΙ ΗΡΑΚΛΕΙΟΥ ΑΣΗΜΙ ΗΡΑΚΛΕΙΟΥ</v>
      </c>
      <c r="I866">
        <v>70016</v>
      </c>
      <c r="J866">
        <v>2893031386</v>
      </c>
      <c r="K866">
        <v>6945601452</v>
      </c>
      <c r="M866" t="s">
        <v>2203</v>
      </c>
      <c r="N866" t="s">
        <v>157</v>
      </c>
      <c r="O866" t="s">
        <v>158</v>
      </c>
      <c r="R866" t="s">
        <v>57</v>
      </c>
      <c r="S866">
        <v>15</v>
      </c>
      <c r="T866">
        <v>166</v>
      </c>
      <c r="U866" s="1">
        <v>32010</v>
      </c>
      <c r="V866" t="s">
        <v>123</v>
      </c>
      <c r="W866" t="s">
        <v>124</v>
      </c>
      <c r="X866" t="s">
        <v>58</v>
      </c>
      <c r="Y866">
        <v>18</v>
      </c>
      <c r="Z866" t="s">
        <v>59</v>
      </c>
      <c r="AA866" t="s">
        <v>59</v>
      </c>
      <c r="AB866" t="s">
        <v>59</v>
      </c>
      <c r="AC866" t="s">
        <v>59</v>
      </c>
      <c r="AD866" t="s">
        <v>59</v>
      </c>
      <c r="AF866" s="1">
        <v>32023</v>
      </c>
      <c r="AG866" t="s">
        <v>125</v>
      </c>
      <c r="AH866" t="s">
        <v>126</v>
      </c>
      <c r="AI866" t="str">
        <f>"1715010"</f>
        <v>1715010</v>
      </c>
      <c r="AJ866" t="s">
        <v>812</v>
      </c>
      <c r="AK866">
        <v>2893031193</v>
      </c>
      <c r="AL866" t="s">
        <v>813</v>
      </c>
      <c r="AM866" t="s">
        <v>78</v>
      </c>
      <c r="AN866" t="s">
        <v>405</v>
      </c>
      <c r="AO866" t="s">
        <v>805</v>
      </c>
      <c r="AP866" t="s">
        <v>806</v>
      </c>
      <c r="AQ866">
        <v>25</v>
      </c>
      <c r="AR866" t="s">
        <v>123</v>
      </c>
      <c r="AS866" t="s">
        <v>124</v>
      </c>
      <c r="AT866" t="s">
        <v>58</v>
      </c>
      <c r="AU866" t="s">
        <v>68</v>
      </c>
      <c r="AV866" t="s">
        <v>69</v>
      </c>
      <c r="AW866" s="1">
        <v>21897</v>
      </c>
      <c r="AX866">
        <v>2</v>
      </c>
    </row>
    <row r="867" spans="1:50">
      <c r="A867">
        <v>184334</v>
      </c>
      <c r="B867" t="str">
        <f>"055789010"</f>
        <v>055789010</v>
      </c>
      <c r="C867" t="s">
        <v>50</v>
      </c>
      <c r="D867" t="s">
        <v>2204</v>
      </c>
      <c r="E867" t="s">
        <v>54</v>
      </c>
      <c r="F867" t="s">
        <v>53</v>
      </c>
      <c r="G867" t="s">
        <v>2205</v>
      </c>
      <c r="H867" t="str">
        <f>"ΛΙΓΟΡΤΥΝΟΣ 3 "</f>
        <v xml:space="preserve">ΛΙΓΟΡΤΥΝΟΣ 3 </v>
      </c>
      <c r="I867">
        <v>71409</v>
      </c>
      <c r="J867">
        <v>2810360439</v>
      </c>
      <c r="K867">
        <v>6937455019</v>
      </c>
      <c r="M867" t="s">
        <v>2206</v>
      </c>
      <c r="N867" t="s">
        <v>306</v>
      </c>
      <c r="O867" t="s">
        <v>307</v>
      </c>
      <c r="R867" t="s">
        <v>57</v>
      </c>
      <c r="S867">
        <v>11</v>
      </c>
      <c r="T867">
        <v>177</v>
      </c>
      <c r="U867" s="1">
        <v>36403</v>
      </c>
      <c r="V867" t="s">
        <v>123</v>
      </c>
      <c r="W867" t="s">
        <v>124</v>
      </c>
      <c r="X867" t="s">
        <v>58</v>
      </c>
      <c r="Y867">
        <v>20</v>
      </c>
      <c r="Z867" t="s">
        <v>59</v>
      </c>
      <c r="AA867" t="s">
        <v>59</v>
      </c>
      <c r="AB867" t="s">
        <v>59</v>
      </c>
      <c r="AC867" t="s">
        <v>59</v>
      </c>
      <c r="AD867" t="s">
        <v>59</v>
      </c>
      <c r="AF867" s="1">
        <v>36405</v>
      </c>
      <c r="AG867" t="s">
        <v>137</v>
      </c>
      <c r="AH867" t="s">
        <v>138</v>
      </c>
      <c r="AI867" t="str">
        <f>"1740100"</f>
        <v>1740100</v>
      </c>
      <c r="AJ867" t="s">
        <v>857</v>
      </c>
      <c r="AK867">
        <v>2810360741</v>
      </c>
      <c r="AL867" t="s">
        <v>858</v>
      </c>
      <c r="AM867" t="s">
        <v>78</v>
      </c>
      <c r="AN867" t="s">
        <v>78</v>
      </c>
      <c r="AO867" t="s">
        <v>78</v>
      </c>
      <c r="AP867" t="s">
        <v>163</v>
      </c>
      <c r="AQ867">
        <v>5</v>
      </c>
      <c r="AR867" t="s">
        <v>123</v>
      </c>
      <c r="AS867" t="s">
        <v>124</v>
      </c>
      <c r="AT867" t="s">
        <v>58</v>
      </c>
      <c r="AU867" t="s">
        <v>68</v>
      </c>
      <c r="AV867" t="s">
        <v>69</v>
      </c>
      <c r="AW867" s="1">
        <v>25996</v>
      </c>
      <c r="AX867">
        <v>2</v>
      </c>
    </row>
    <row r="868" spans="1:50">
      <c r="A868">
        <v>193626</v>
      </c>
      <c r="B868" t="str">
        <f>"058076328"</f>
        <v>058076328</v>
      </c>
      <c r="C868" t="s">
        <v>50</v>
      </c>
      <c r="D868" t="s">
        <v>2207</v>
      </c>
      <c r="E868" t="s">
        <v>2208</v>
      </c>
      <c r="F868" t="s">
        <v>95</v>
      </c>
      <c r="G868" t="s">
        <v>83</v>
      </c>
      <c r="H868" t="str">
        <f>"ΒΑΡΝΗΣ 12 ΜΑΣΤΑΜΠΑΣ"</f>
        <v>ΒΑΡΝΗΣ 12 ΜΑΣΤΑΜΠΑΣ</v>
      </c>
      <c r="I868">
        <v>71305</v>
      </c>
      <c r="J868">
        <v>2810250183</v>
      </c>
      <c r="K868">
        <v>6944681748</v>
      </c>
      <c r="M868" t="s">
        <v>2209</v>
      </c>
      <c r="N868" t="s">
        <v>232</v>
      </c>
      <c r="O868" t="s">
        <v>233</v>
      </c>
      <c r="R868" t="s">
        <v>57</v>
      </c>
      <c r="S868">
        <v>13</v>
      </c>
      <c r="T868">
        <v>193</v>
      </c>
      <c r="U868" s="1">
        <v>37497</v>
      </c>
      <c r="V868" t="s">
        <v>123</v>
      </c>
      <c r="W868" t="s">
        <v>124</v>
      </c>
      <c r="X868" t="s">
        <v>58</v>
      </c>
      <c r="Y868">
        <v>18</v>
      </c>
      <c r="Z868" t="s">
        <v>59</v>
      </c>
      <c r="AA868" t="s">
        <v>59</v>
      </c>
      <c r="AB868" t="s">
        <v>59</v>
      </c>
      <c r="AC868" t="s">
        <v>59</v>
      </c>
      <c r="AD868" t="s">
        <v>59</v>
      </c>
      <c r="AF868" s="1">
        <v>37501</v>
      </c>
      <c r="AG868" t="s">
        <v>125</v>
      </c>
      <c r="AH868" t="s">
        <v>126</v>
      </c>
      <c r="AI868" t="str">
        <f>"1701052"</f>
        <v>1701052</v>
      </c>
      <c r="AJ868" t="s">
        <v>223</v>
      </c>
      <c r="AK868">
        <v>2810252514</v>
      </c>
      <c r="AL868" t="s">
        <v>224</v>
      </c>
      <c r="AM868" t="s">
        <v>78</v>
      </c>
      <c r="AN868" t="s">
        <v>78</v>
      </c>
      <c r="AO868" t="s">
        <v>78</v>
      </c>
      <c r="AP868" t="s">
        <v>141</v>
      </c>
      <c r="AQ868">
        <v>7</v>
      </c>
      <c r="AR868" t="s">
        <v>123</v>
      </c>
      <c r="AS868" t="s">
        <v>124</v>
      </c>
      <c r="AT868" t="s">
        <v>58</v>
      </c>
      <c r="AU868" t="s">
        <v>68</v>
      </c>
      <c r="AV868" t="s">
        <v>69</v>
      </c>
      <c r="AW868" s="1">
        <v>22381</v>
      </c>
      <c r="AX868">
        <v>2</v>
      </c>
    </row>
    <row r="869" spans="1:50">
      <c r="A869">
        <v>213203</v>
      </c>
      <c r="B869" t="str">
        <f>"042718022"</f>
        <v>042718022</v>
      </c>
      <c r="C869" t="s">
        <v>50</v>
      </c>
      <c r="D869" t="s">
        <v>2210</v>
      </c>
      <c r="E869" t="s">
        <v>372</v>
      </c>
      <c r="F869" t="s">
        <v>111</v>
      </c>
      <c r="G869" t="s">
        <v>255</v>
      </c>
      <c r="H869" t="str">
        <f>"ΔΙΑΒΑΤΗ 8 ΗΡΑΚΛΕΙΟ"</f>
        <v>ΔΙΑΒΑΤΗ 8 ΗΡΑΚΛΕΙΟ</v>
      </c>
      <c r="I869">
        <v>71409</v>
      </c>
      <c r="J869">
        <v>2810213268</v>
      </c>
      <c r="K869">
        <v>6972878284</v>
      </c>
      <c r="M869" t="s">
        <v>2211</v>
      </c>
      <c r="N869" t="s">
        <v>1647</v>
      </c>
      <c r="O869" t="s">
        <v>1648</v>
      </c>
      <c r="R869" t="s">
        <v>57</v>
      </c>
      <c r="S869">
        <v>8</v>
      </c>
      <c r="T869">
        <v>231</v>
      </c>
      <c r="U869" s="1">
        <v>38960</v>
      </c>
      <c r="V869" t="s">
        <v>123</v>
      </c>
      <c r="W869" t="s">
        <v>124</v>
      </c>
      <c r="X869" t="s">
        <v>58</v>
      </c>
      <c r="Y869">
        <v>20</v>
      </c>
      <c r="Z869" t="s">
        <v>59</v>
      </c>
      <c r="AA869" t="s">
        <v>59</v>
      </c>
      <c r="AB869" t="s">
        <v>59</v>
      </c>
      <c r="AC869" t="s">
        <v>59</v>
      </c>
      <c r="AD869" t="s">
        <v>59</v>
      </c>
      <c r="AF869" s="1">
        <v>38961</v>
      </c>
      <c r="AG869" t="s">
        <v>125</v>
      </c>
      <c r="AH869" t="s">
        <v>126</v>
      </c>
      <c r="AI869" t="str">
        <f>"1701020"</f>
        <v>1701020</v>
      </c>
      <c r="AJ869" t="s">
        <v>323</v>
      </c>
      <c r="AK869">
        <v>2810252111</v>
      </c>
      <c r="AL869" t="s">
        <v>324</v>
      </c>
      <c r="AM869" t="s">
        <v>78</v>
      </c>
      <c r="AN869" t="s">
        <v>78</v>
      </c>
      <c r="AO869" t="s">
        <v>78</v>
      </c>
      <c r="AP869" t="s">
        <v>163</v>
      </c>
      <c r="AQ869">
        <v>3</v>
      </c>
      <c r="AR869" t="s">
        <v>123</v>
      </c>
      <c r="AS869" t="s">
        <v>124</v>
      </c>
      <c r="AT869" t="s">
        <v>58</v>
      </c>
      <c r="AU869" t="s">
        <v>68</v>
      </c>
      <c r="AV869" t="s">
        <v>69</v>
      </c>
      <c r="AW869" s="1">
        <v>22054</v>
      </c>
      <c r="AX869">
        <v>2</v>
      </c>
    </row>
    <row r="870" spans="1:50">
      <c r="A870">
        <v>173645</v>
      </c>
      <c r="B870" t="str">
        <f>"034050540"</f>
        <v>034050540</v>
      </c>
      <c r="C870" t="s">
        <v>105</v>
      </c>
      <c r="D870" t="s">
        <v>2212</v>
      </c>
      <c r="E870" t="s">
        <v>95</v>
      </c>
      <c r="F870" t="s">
        <v>111</v>
      </c>
      <c r="G870" t="s">
        <v>255</v>
      </c>
      <c r="H870" t="str">
        <f>"ΣΕΛΕΝΑΣ 10 ΗΡΑΚΛΕΙΟΥ"</f>
        <v>ΣΕΛΕΝΑΣ 10 ΗΡΑΚΛΕΙΟΥ</v>
      </c>
      <c r="I870">
        <v>71409</v>
      </c>
      <c r="J870">
        <v>2810360354</v>
      </c>
      <c r="K870">
        <v>6937145310</v>
      </c>
      <c r="M870" t="s">
        <v>2213</v>
      </c>
      <c r="N870" t="s">
        <v>292</v>
      </c>
      <c r="O870" t="s">
        <v>293</v>
      </c>
      <c r="R870" t="s">
        <v>57</v>
      </c>
      <c r="S870">
        <v>12</v>
      </c>
      <c r="T870">
        <v>166</v>
      </c>
      <c r="U870" s="1">
        <v>35300</v>
      </c>
      <c r="V870" t="s">
        <v>123</v>
      </c>
      <c r="W870" t="s">
        <v>124</v>
      </c>
      <c r="X870" t="s">
        <v>58</v>
      </c>
      <c r="Y870">
        <v>18</v>
      </c>
      <c r="Z870" t="s">
        <v>59</v>
      </c>
      <c r="AA870" t="s">
        <v>59</v>
      </c>
      <c r="AB870" t="s">
        <v>59</v>
      </c>
      <c r="AC870" t="s">
        <v>59</v>
      </c>
      <c r="AD870" t="s">
        <v>59</v>
      </c>
      <c r="AF870" s="1">
        <v>35312</v>
      </c>
      <c r="AG870" t="s">
        <v>148</v>
      </c>
      <c r="AH870" t="s">
        <v>149</v>
      </c>
      <c r="AI870" t="str">
        <f>"1751052"</f>
        <v>1751052</v>
      </c>
      <c r="AJ870" t="s">
        <v>328</v>
      </c>
      <c r="AK870">
        <v>2810213762</v>
      </c>
      <c r="AL870" t="s">
        <v>329</v>
      </c>
      <c r="AM870" t="s">
        <v>78</v>
      </c>
      <c r="AN870" t="s">
        <v>78</v>
      </c>
      <c r="AO870" t="s">
        <v>78</v>
      </c>
      <c r="AP870" t="s">
        <v>163</v>
      </c>
      <c r="AQ870">
        <v>8</v>
      </c>
      <c r="AR870" t="s">
        <v>123</v>
      </c>
      <c r="AS870" t="s">
        <v>124</v>
      </c>
      <c r="AT870" t="s">
        <v>58</v>
      </c>
      <c r="AU870" t="s">
        <v>68</v>
      </c>
      <c r="AV870" t="s">
        <v>69</v>
      </c>
      <c r="AW870" s="1">
        <v>21486</v>
      </c>
      <c r="AX870">
        <v>2</v>
      </c>
    </row>
    <row r="871" spans="1:50">
      <c r="A871">
        <v>199089</v>
      </c>
      <c r="B871" t="str">
        <f>"058615851"</f>
        <v>058615851</v>
      </c>
      <c r="C871" t="s">
        <v>105</v>
      </c>
      <c r="D871" t="s">
        <v>2214</v>
      </c>
      <c r="E871" t="s">
        <v>72</v>
      </c>
      <c r="F871" t="s">
        <v>53</v>
      </c>
      <c r="G871" t="s">
        <v>255</v>
      </c>
      <c r="H871" t="str">
        <f>"ΤΥΜΠΑΚΙ ΗΡΑΚΛΕΙΟΥ ΚΡΗΤΗΣ ΤΥΜΠΑΚΙ"</f>
        <v>ΤΥΜΠΑΚΙ ΗΡΑΚΛΕΙΟΥ ΚΡΗΤΗΣ ΤΥΜΠΑΚΙ</v>
      </c>
      <c r="I871">
        <v>70200</v>
      </c>
      <c r="J871">
        <v>2892051648</v>
      </c>
      <c r="K871">
        <v>6970808247</v>
      </c>
      <c r="M871" t="s">
        <v>2215</v>
      </c>
      <c r="N871" t="s">
        <v>176</v>
      </c>
      <c r="O871" t="s">
        <v>177</v>
      </c>
      <c r="R871" t="s">
        <v>57</v>
      </c>
      <c r="S871">
        <v>7</v>
      </c>
      <c r="T871">
        <v>206</v>
      </c>
      <c r="U871" s="1">
        <v>37866</v>
      </c>
      <c r="V871" t="s">
        <v>123</v>
      </c>
      <c r="W871" t="s">
        <v>124</v>
      </c>
      <c r="X871" t="s">
        <v>58</v>
      </c>
      <c r="Y871">
        <v>20</v>
      </c>
      <c r="Z871" t="s">
        <v>59</v>
      </c>
      <c r="AA871" t="s">
        <v>59</v>
      </c>
      <c r="AB871" t="s">
        <v>59</v>
      </c>
      <c r="AC871" t="s">
        <v>59</v>
      </c>
      <c r="AD871" t="s">
        <v>59</v>
      </c>
      <c r="AF871" s="1">
        <v>37866</v>
      </c>
      <c r="AG871" t="s">
        <v>125</v>
      </c>
      <c r="AH871" t="s">
        <v>126</v>
      </c>
      <c r="AI871" t="str">
        <f>"1713010"</f>
        <v>1713010</v>
      </c>
      <c r="AJ871" t="s">
        <v>369</v>
      </c>
      <c r="AK871">
        <v>2892051686</v>
      </c>
      <c r="AL871" t="s">
        <v>370</v>
      </c>
      <c r="AM871" t="s">
        <v>78</v>
      </c>
      <c r="AN871" t="s">
        <v>242</v>
      </c>
      <c r="AO871" t="s">
        <v>349</v>
      </c>
      <c r="AP871" t="s">
        <v>349</v>
      </c>
      <c r="AQ871">
        <v>35</v>
      </c>
      <c r="AR871" t="s">
        <v>123</v>
      </c>
      <c r="AS871" t="s">
        <v>124</v>
      </c>
      <c r="AT871" t="s">
        <v>58</v>
      </c>
      <c r="AU871" t="s">
        <v>68</v>
      </c>
      <c r="AV871" t="s">
        <v>69</v>
      </c>
      <c r="AW871" s="1">
        <v>25546</v>
      </c>
      <c r="AX871">
        <v>2</v>
      </c>
    </row>
    <row r="872" spans="1:50">
      <c r="A872">
        <v>213760</v>
      </c>
      <c r="B872" t="str">
        <f>"069233111"</f>
        <v>069233111</v>
      </c>
      <c r="C872" t="s">
        <v>50</v>
      </c>
      <c r="D872" t="s">
        <v>2216</v>
      </c>
      <c r="E872" t="s">
        <v>314</v>
      </c>
      <c r="F872" t="s">
        <v>698</v>
      </c>
      <c r="G872" t="s">
        <v>566</v>
      </c>
      <c r="H872" t="str">
        <f>"ΑΝΩ ΑΡΧΑΝΕΣ ΗΡΑΚΛΕΙΟΥ"</f>
        <v>ΑΝΩ ΑΡΧΑΝΕΣ ΗΡΑΚΛΕΙΟΥ</v>
      </c>
      <c r="I872">
        <v>71306</v>
      </c>
      <c r="J872">
        <v>2813012701</v>
      </c>
      <c r="K872">
        <v>6932447514</v>
      </c>
      <c r="M872" t="s">
        <v>2217</v>
      </c>
      <c r="N872" t="s">
        <v>306</v>
      </c>
      <c r="O872" t="s">
        <v>307</v>
      </c>
      <c r="R872" t="s">
        <v>57</v>
      </c>
      <c r="S872">
        <v>6</v>
      </c>
      <c r="T872">
        <v>231</v>
      </c>
      <c r="U872" s="1">
        <v>38960</v>
      </c>
      <c r="V872" t="s">
        <v>123</v>
      </c>
      <c r="W872" t="s">
        <v>124</v>
      </c>
      <c r="X872" t="s">
        <v>58</v>
      </c>
      <c r="Y872">
        <v>20</v>
      </c>
      <c r="Z872" t="s">
        <v>59</v>
      </c>
      <c r="AA872" t="s">
        <v>59</v>
      </c>
      <c r="AB872" t="s">
        <v>59</v>
      </c>
      <c r="AC872" t="s">
        <v>59</v>
      </c>
      <c r="AD872" t="s">
        <v>59</v>
      </c>
      <c r="AF872" s="1">
        <v>38961</v>
      </c>
      <c r="AG872" t="s">
        <v>125</v>
      </c>
      <c r="AH872" t="s">
        <v>126</v>
      </c>
      <c r="AI872" t="str">
        <f>"1701055"</f>
        <v>1701055</v>
      </c>
      <c r="AJ872" t="s">
        <v>301</v>
      </c>
      <c r="AK872">
        <v>2810257353</v>
      </c>
      <c r="AL872" t="s">
        <v>302</v>
      </c>
      <c r="AM872" t="s">
        <v>78</v>
      </c>
      <c r="AN872" t="s">
        <v>78</v>
      </c>
      <c r="AO872" t="s">
        <v>78</v>
      </c>
      <c r="AP872" t="s">
        <v>141</v>
      </c>
      <c r="AQ872">
        <v>7</v>
      </c>
      <c r="AR872" t="s">
        <v>123</v>
      </c>
      <c r="AS872" t="s">
        <v>124</v>
      </c>
      <c r="AT872" t="s">
        <v>58</v>
      </c>
      <c r="AU872" t="s">
        <v>68</v>
      </c>
      <c r="AV872" t="s">
        <v>69</v>
      </c>
      <c r="AW872" s="1">
        <v>27490</v>
      </c>
      <c r="AX872">
        <v>2</v>
      </c>
    </row>
    <row r="873" spans="1:50">
      <c r="A873">
        <v>159285</v>
      </c>
      <c r="B873" t="str">
        <f>"068140105"</f>
        <v>068140105</v>
      </c>
      <c r="C873" t="s">
        <v>50</v>
      </c>
      <c r="D873" t="s">
        <v>2218</v>
      </c>
      <c r="E873" t="s">
        <v>755</v>
      </c>
      <c r="F873" t="s">
        <v>2219</v>
      </c>
      <c r="G873" t="s">
        <v>255</v>
      </c>
      <c r="H873" t="str">
        <f>"ΟΥΛΑΦ ΠΑΛΜΕ 50 ΗΡΑΚΛΕΙΟ"</f>
        <v>ΟΥΛΑΦ ΠΑΛΜΕ 50 ΗΡΑΚΛΕΙΟ</v>
      </c>
      <c r="I873">
        <v>71410</v>
      </c>
      <c r="J873">
        <v>2810236279</v>
      </c>
      <c r="K873">
        <v>6949776647</v>
      </c>
      <c r="M873" t="s">
        <v>2220</v>
      </c>
      <c r="N873" t="s">
        <v>146</v>
      </c>
      <c r="O873" t="s">
        <v>147</v>
      </c>
      <c r="R873" t="s">
        <v>57</v>
      </c>
      <c r="S873">
        <v>14</v>
      </c>
      <c r="T873">
        <v>161</v>
      </c>
      <c r="U873" s="1">
        <v>33119</v>
      </c>
      <c r="V873" t="s">
        <v>123</v>
      </c>
      <c r="W873" t="s">
        <v>124</v>
      </c>
      <c r="X873" t="s">
        <v>58</v>
      </c>
      <c r="Y873">
        <v>18</v>
      </c>
      <c r="Z873" t="s">
        <v>59</v>
      </c>
      <c r="AA873" t="s">
        <v>59</v>
      </c>
      <c r="AB873" t="s">
        <v>59</v>
      </c>
      <c r="AC873" t="s">
        <v>59</v>
      </c>
      <c r="AD873" t="s">
        <v>59</v>
      </c>
      <c r="AF873" s="1">
        <v>33120</v>
      </c>
      <c r="AG873" t="s">
        <v>125</v>
      </c>
      <c r="AH873" t="s">
        <v>126</v>
      </c>
      <c r="AI873" t="str">
        <f>"1701041"</f>
        <v>1701041</v>
      </c>
      <c r="AJ873" t="s">
        <v>161</v>
      </c>
      <c r="AK873">
        <v>2810327052</v>
      </c>
      <c r="AL873" t="s">
        <v>162</v>
      </c>
      <c r="AM873" t="s">
        <v>78</v>
      </c>
      <c r="AN873" t="s">
        <v>78</v>
      </c>
      <c r="AO873" t="s">
        <v>78</v>
      </c>
      <c r="AP873" t="s">
        <v>163</v>
      </c>
      <c r="AQ873">
        <v>5</v>
      </c>
      <c r="AR873" t="s">
        <v>123</v>
      </c>
      <c r="AS873" t="s">
        <v>124</v>
      </c>
      <c r="AT873" t="s">
        <v>58</v>
      </c>
      <c r="AU873" t="s">
        <v>68</v>
      </c>
      <c r="AV873" t="s">
        <v>69</v>
      </c>
      <c r="AW873" s="1">
        <v>22654</v>
      </c>
      <c r="AX873">
        <v>2</v>
      </c>
    </row>
    <row r="874" spans="1:50">
      <c r="A874">
        <v>213206</v>
      </c>
      <c r="B874" t="str">
        <f>"070366003"</f>
        <v>070366003</v>
      </c>
      <c r="C874" t="s">
        <v>50</v>
      </c>
      <c r="D874" t="s">
        <v>2221</v>
      </c>
      <c r="E874" t="s">
        <v>143</v>
      </c>
      <c r="F874" t="s">
        <v>2222</v>
      </c>
      <c r="G874" t="s">
        <v>52</v>
      </c>
      <c r="H874" t="str">
        <f>"ΒΡΑΧΟΚΗΠΟΣ ΤΘ177 ΚΟΚΚΙΝΙ ΧΑΝΙ Ν. ΗΡΑΚΛΕΙΟΥ"</f>
        <v>ΒΡΑΧΟΚΗΠΟΣ ΤΘ177 ΚΟΚΚΙΝΙ ΧΑΝΙ Ν. ΗΡΑΚΛΕΙΟΥ</v>
      </c>
      <c r="I874">
        <v>71500</v>
      </c>
      <c r="J874">
        <v>2810763256</v>
      </c>
      <c r="K874">
        <v>6980263668</v>
      </c>
      <c r="M874" t="s">
        <v>2223</v>
      </c>
      <c r="N874" t="s">
        <v>199</v>
      </c>
      <c r="O874" t="s">
        <v>200</v>
      </c>
      <c r="R874" t="s">
        <v>57</v>
      </c>
      <c r="S874">
        <v>8</v>
      </c>
      <c r="T874">
        <v>231</v>
      </c>
      <c r="U874" s="1">
        <v>38960</v>
      </c>
      <c r="V874" t="s">
        <v>123</v>
      </c>
      <c r="W874" t="s">
        <v>124</v>
      </c>
      <c r="X874" t="s">
        <v>58</v>
      </c>
      <c r="Y874">
        <v>20</v>
      </c>
      <c r="Z874" t="s">
        <v>59</v>
      </c>
      <c r="AA874" t="s">
        <v>59</v>
      </c>
      <c r="AB874" t="s">
        <v>59</v>
      </c>
      <c r="AC874" t="s">
        <v>59</v>
      </c>
      <c r="AD874" t="s">
        <v>59</v>
      </c>
      <c r="AF874" s="1">
        <v>38964</v>
      </c>
      <c r="AG874" t="s">
        <v>125</v>
      </c>
      <c r="AH874" t="s">
        <v>126</v>
      </c>
      <c r="AI874" t="str">
        <f>"1717011"</f>
        <v>1717011</v>
      </c>
      <c r="AJ874" t="s">
        <v>832</v>
      </c>
      <c r="AK874">
        <v>2897023311</v>
      </c>
      <c r="AL874" t="s">
        <v>833</v>
      </c>
      <c r="AM874" t="s">
        <v>78</v>
      </c>
      <c r="AN874" t="s">
        <v>219</v>
      </c>
      <c r="AO874" t="s">
        <v>219</v>
      </c>
      <c r="AP874" t="s">
        <v>220</v>
      </c>
      <c r="AQ874">
        <v>20</v>
      </c>
      <c r="AR874" t="s">
        <v>123</v>
      </c>
      <c r="AS874" t="s">
        <v>124</v>
      </c>
      <c r="AT874" t="s">
        <v>58</v>
      </c>
      <c r="AU874" t="s">
        <v>68</v>
      </c>
      <c r="AV874" t="s">
        <v>69</v>
      </c>
      <c r="AW874" s="1">
        <v>27859</v>
      </c>
      <c r="AX874">
        <v>2</v>
      </c>
    </row>
    <row r="875" spans="1:50">
      <c r="A875">
        <v>197201</v>
      </c>
      <c r="B875" t="str">
        <f>"074177940"</f>
        <v>074177940</v>
      </c>
      <c r="C875" t="s">
        <v>50</v>
      </c>
      <c r="D875" t="s">
        <v>2224</v>
      </c>
      <c r="E875" t="s">
        <v>250</v>
      </c>
      <c r="F875" t="s">
        <v>53</v>
      </c>
      <c r="G875" t="s">
        <v>215</v>
      </c>
      <c r="H875" t="str">
        <f>"ΑΛ. ΣΟΥΤΣΟΥ 12 ΗΡΑΚΛΕΙΟ"</f>
        <v>ΑΛ. ΣΟΥΤΣΟΥ 12 ΗΡΑΚΛΕΙΟ</v>
      </c>
      <c r="I875">
        <v>71306</v>
      </c>
      <c r="J875">
        <v>2811115122</v>
      </c>
      <c r="K875">
        <v>6948810377</v>
      </c>
      <c r="M875" t="s">
        <v>2225</v>
      </c>
      <c r="N875" t="s">
        <v>146</v>
      </c>
      <c r="O875" t="s">
        <v>147</v>
      </c>
      <c r="R875" t="s">
        <v>57</v>
      </c>
      <c r="S875">
        <v>9</v>
      </c>
      <c r="T875">
        <v>206</v>
      </c>
      <c r="U875" s="1">
        <v>37866</v>
      </c>
      <c r="V875" t="s">
        <v>123</v>
      </c>
      <c r="W875" t="s">
        <v>124</v>
      </c>
      <c r="X875" t="s">
        <v>58</v>
      </c>
      <c r="Y875">
        <v>20</v>
      </c>
      <c r="Z875" t="s">
        <v>59</v>
      </c>
      <c r="AA875" t="s">
        <v>59</v>
      </c>
      <c r="AB875" t="s">
        <v>59</v>
      </c>
      <c r="AC875" t="s">
        <v>59</v>
      </c>
      <c r="AD875" t="s">
        <v>59</v>
      </c>
      <c r="AF875" s="1">
        <v>37866</v>
      </c>
      <c r="AG875" t="s">
        <v>148</v>
      </c>
      <c r="AH875" t="s">
        <v>149</v>
      </c>
      <c r="AI875" t="str">
        <f>"1751040"</f>
        <v>1751040</v>
      </c>
      <c r="AJ875" t="s">
        <v>178</v>
      </c>
      <c r="AK875">
        <v>2810252495</v>
      </c>
      <c r="AL875" t="s">
        <v>179</v>
      </c>
      <c r="AM875" t="s">
        <v>78</v>
      </c>
      <c r="AN875" t="s">
        <v>78</v>
      </c>
      <c r="AO875" t="s">
        <v>78</v>
      </c>
      <c r="AP875" t="s">
        <v>141</v>
      </c>
      <c r="AQ875">
        <v>3</v>
      </c>
      <c r="AR875" t="s">
        <v>123</v>
      </c>
      <c r="AS875" t="s">
        <v>124</v>
      </c>
      <c r="AT875" t="s">
        <v>58</v>
      </c>
      <c r="AU875" t="s">
        <v>68</v>
      </c>
      <c r="AV875" t="s">
        <v>69</v>
      </c>
      <c r="AW875" s="1">
        <v>26518</v>
      </c>
      <c r="AX875">
        <v>2</v>
      </c>
    </row>
    <row r="876" spans="1:50">
      <c r="A876">
        <v>229516</v>
      </c>
      <c r="B876" t="str">
        <f>"137232240"</f>
        <v>137232240</v>
      </c>
      <c r="C876" t="s">
        <v>105</v>
      </c>
      <c r="D876" t="s">
        <v>2226</v>
      </c>
      <c r="E876" t="s">
        <v>166</v>
      </c>
      <c r="F876" t="s">
        <v>2227</v>
      </c>
      <c r="G876" t="s">
        <v>181</v>
      </c>
      <c r="H876" t="str">
        <f>"ΟΥΛΩΦ ΠΑΛΜΕ 187 ΗΡΑΚΛΕΙΟ"</f>
        <v>ΟΥΛΩΦ ΠΑΛΜΕ 187 ΗΡΑΚΛΕΙΟ</v>
      </c>
      <c r="I876">
        <v>71409</v>
      </c>
      <c r="J876">
        <v>2810239053</v>
      </c>
      <c r="K876">
        <v>6993896296</v>
      </c>
      <c r="M876" t="s">
        <v>2228</v>
      </c>
      <c r="N876" t="s">
        <v>204</v>
      </c>
      <c r="O876" t="s">
        <v>205</v>
      </c>
      <c r="R876" t="s">
        <v>57</v>
      </c>
      <c r="S876">
        <v>7</v>
      </c>
      <c r="T876">
        <v>926</v>
      </c>
      <c r="U876" s="1">
        <v>40130</v>
      </c>
      <c r="V876" t="s">
        <v>123</v>
      </c>
      <c r="W876" t="s">
        <v>124</v>
      </c>
      <c r="X876" t="s">
        <v>58</v>
      </c>
      <c r="Y876">
        <v>21</v>
      </c>
      <c r="Z876" t="s">
        <v>59</v>
      </c>
      <c r="AA876" t="s">
        <v>59</v>
      </c>
      <c r="AB876" t="s">
        <v>59</v>
      </c>
      <c r="AC876" t="s">
        <v>59</v>
      </c>
      <c r="AD876" t="s">
        <v>59</v>
      </c>
      <c r="AF876" s="1">
        <v>40133</v>
      </c>
      <c r="AG876" t="s">
        <v>345</v>
      </c>
      <c r="AH876" t="s">
        <v>346</v>
      </c>
      <c r="AI876" t="str">
        <f>"1741001"</f>
        <v>1741001</v>
      </c>
      <c r="AJ876" t="s">
        <v>655</v>
      </c>
      <c r="AK876">
        <v>2810360436</v>
      </c>
      <c r="AL876" t="s">
        <v>656</v>
      </c>
      <c r="AM876" t="s">
        <v>78</v>
      </c>
      <c r="AN876" t="s">
        <v>78</v>
      </c>
      <c r="AO876" t="s">
        <v>78</v>
      </c>
      <c r="AP876" t="s">
        <v>141</v>
      </c>
      <c r="AQ876">
        <v>11</v>
      </c>
      <c r="AR876" t="s">
        <v>123</v>
      </c>
      <c r="AS876" t="s">
        <v>124</v>
      </c>
      <c r="AT876" t="s">
        <v>58</v>
      </c>
      <c r="AU876" t="s">
        <v>68</v>
      </c>
      <c r="AV876" t="s">
        <v>69</v>
      </c>
      <c r="AW876" s="1">
        <v>29008</v>
      </c>
      <c r="AX876">
        <v>2</v>
      </c>
    </row>
    <row r="877" spans="1:50">
      <c r="A877">
        <v>195512</v>
      </c>
      <c r="B877" t="str">
        <f>"132302491"</f>
        <v>132302491</v>
      </c>
      <c r="C877" t="s">
        <v>50</v>
      </c>
      <c r="D877" t="s">
        <v>2229</v>
      </c>
      <c r="E877" t="s">
        <v>109</v>
      </c>
      <c r="F877" t="s">
        <v>72</v>
      </c>
      <c r="G877" t="s">
        <v>52</v>
      </c>
      <c r="H877" t="str">
        <f>" "</f>
        <v xml:space="preserve"> </v>
      </c>
      <c r="J877">
        <v>2810258478</v>
      </c>
      <c r="K877">
        <v>6976689439</v>
      </c>
      <c r="N877" t="s">
        <v>292</v>
      </c>
      <c r="O877" t="s">
        <v>293</v>
      </c>
      <c r="R877" t="s">
        <v>57</v>
      </c>
      <c r="S877">
        <v>14</v>
      </c>
      <c r="T877">
        <v>194</v>
      </c>
      <c r="U877" s="1">
        <v>37497</v>
      </c>
      <c r="V877" t="s">
        <v>123</v>
      </c>
      <c r="W877" t="s">
        <v>124</v>
      </c>
      <c r="X877" t="s">
        <v>58</v>
      </c>
      <c r="Y877">
        <v>20</v>
      </c>
      <c r="Z877" t="s">
        <v>59</v>
      </c>
      <c r="AA877" t="s">
        <v>59</v>
      </c>
      <c r="AB877" t="s">
        <v>59</v>
      </c>
      <c r="AC877" t="s">
        <v>59</v>
      </c>
      <c r="AD877" t="s">
        <v>59</v>
      </c>
      <c r="AF877" s="1">
        <v>37501</v>
      </c>
      <c r="AG877" t="s">
        <v>148</v>
      </c>
      <c r="AH877" t="s">
        <v>149</v>
      </c>
      <c r="AI877" t="str">
        <f>"1751020"</f>
        <v>1751020</v>
      </c>
      <c r="AJ877" t="s">
        <v>532</v>
      </c>
      <c r="AK877">
        <v>2810372732</v>
      </c>
      <c r="AL877" t="s">
        <v>533</v>
      </c>
      <c r="AM877" t="s">
        <v>78</v>
      </c>
      <c r="AN877" t="s">
        <v>78</v>
      </c>
      <c r="AO877" t="s">
        <v>78</v>
      </c>
      <c r="AP877" t="s">
        <v>163</v>
      </c>
      <c r="AQ877">
        <v>3</v>
      </c>
      <c r="AR877" t="s">
        <v>123</v>
      </c>
      <c r="AS877" t="s">
        <v>124</v>
      </c>
      <c r="AT877" t="s">
        <v>58</v>
      </c>
      <c r="AU877" t="s">
        <v>68</v>
      </c>
      <c r="AV877" t="s">
        <v>357</v>
      </c>
      <c r="AW877" s="1">
        <v>25118</v>
      </c>
      <c r="AX877">
        <v>2</v>
      </c>
    </row>
    <row r="878" spans="1:50">
      <c r="A878">
        <v>205912</v>
      </c>
      <c r="B878" t="str">
        <f>"076327719"</f>
        <v>076327719</v>
      </c>
      <c r="C878" t="s">
        <v>105</v>
      </c>
      <c r="D878" t="s">
        <v>2230</v>
      </c>
      <c r="E878" t="s">
        <v>53</v>
      </c>
      <c r="F878" t="s">
        <v>72</v>
      </c>
      <c r="G878" t="s">
        <v>52</v>
      </c>
      <c r="H878" t="str">
        <f>"ΜΑΝΔΗΛΑΡΑ 9 ΗΡΑΚΛΕΙΟ"</f>
        <v>ΜΑΝΔΗΛΑΡΑ 9 ΗΡΑΚΛΕΙΟ</v>
      </c>
      <c r="I878">
        <v>71303</v>
      </c>
      <c r="J878">
        <v>2810313977</v>
      </c>
      <c r="K878">
        <v>6974357839</v>
      </c>
      <c r="M878" t="s">
        <v>2231</v>
      </c>
      <c r="N878" t="s">
        <v>292</v>
      </c>
      <c r="O878" t="s">
        <v>293</v>
      </c>
      <c r="R878" t="s">
        <v>57</v>
      </c>
      <c r="S878">
        <v>7</v>
      </c>
      <c r="T878" t="s">
        <v>1422</v>
      </c>
      <c r="U878" s="1">
        <v>37866</v>
      </c>
      <c r="V878" t="s">
        <v>123</v>
      </c>
      <c r="W878" t="s">
        <v>124</v>
      </c>
      <c r="X878" t="s">
        <v>58</v>
      </c>
      <c r="Y878">
        <v>20</v>
      </c>
      <c r="Z878" t="s">
        <v>59</v>
      </c>
      <c r="AA878" t="s">
        <v>59</v>
      </c>
      <c r="AB878" t="s">
        <v>59</v>
      </c>
      <c r="AC878" t="s">
        <v>59</v>
      </c>
      <c r="AD878" t="s">
        <v>59</v>
      </c>
      <c r="AF878" s="1">
        <v>38232</v>
      </c>
      <c r="AG878" t="s">
        <v>125</v>
      </c>
      <c r="AH878" t="s">
        <v>126</v>
      </c>
      <c r="AI878" t="str">
        <f>"1701057"</f>
        <v>1701057</v>
      </c>
      <c r="AJ878" t="s">
        <v>379</v>
      </c>
      <c r="AK878">
        <v>2810234488</v>
      </c>
      <c r="AL878" t="s">
        <v>380</v>
      </c>
      <c r="AM878" t="s">
        <v>78</v>
      </c>
      <c r="AN878" t="s">
        <v>78</v>
      </c>
      <c r="AO878" t="s">
        <v>78</v>
      </c>
      <c r="AP878" t="s">
        <v>163</v>
      </c>
      <c r="AQ878">
        <v>8</v>
      </c>
      <c r="AR878" t="s">
        <v>123</v>
      </c>
      <c r="AS878" t="s">
        <v>124</v>
      </c>
      <c r="AT878" t="s">
        <v>58</v>
      </c>
      <c r="AU878" t="s">
        <v>68</v>
      </c>
      <c r="AV878" t="s">
        <v>69</v>
      </c>
      <c r="AW878" s="1">
        <v>26383</v>
      </c>
      <c r="AX878">
        <v>2</v>
      </c>
    </row>
    <row r="879" spans="1:50">
      <c r="A879">
        <v>192773</v>
      </c>
      <c r="B879" t="str">
        <f>"065077561"</f>
        <v>065077561</v>
      </c>
      <c r="C879" t="s">
        <v>50</v>
      </c>
      <c r="D879" t="s">
        <v>2232</v>
      </c>
      <c r="E879" t="s">
        <v>367</v>
      </c>
      <c r="F879" t="s">
        <v>2233</v>
      </c>
      <c r="G879" t="s">
        <v>250</v>
      </c>
      <c r="H879" t="str">
        <f>"ΚΥΤΑΙΟΥ 32 "</f>
        <v xml:space="preserve">ΚΥΤΑΙΟΥ 32 </v>
      </c>
      <c r="I879">
        <v>71303</v>
      </c>
      <c r="J879">
        <v>2810315597</v>
      </c>
      <c r="K879">
        <v>6974202098</v>
      </c>
      <c r="L879">
        <v>6947140014</v>
      </c>
      <c r="M879" t="s">
        <v>2234</v>
      </c>
      <c r="N879" t="s">
        <v>157</v>
      </c>
      <c r="O879" t="s">
        <v>158</v>
      </c>
      <c r="R879" t="s">
        <v>57</v>
      </c>
      <c r="S879">
        <v>11</v>
      </c>
      <c r="T879">
        <v>193</v>
      </c>
      <c r="U879" s="1">
        <v>37497</v>
      </c>
      <c r="V879" t="s">
        <v>123</v>
      </c>
      <c r="W879" t="s">
        <v>124</v>
      </c>
      <c r="X879" t="s">
        <v>58</v>
      </c>
      <c r="Y879">
        <v>18</v>
      </c>
      <c r="Z879" t="s">
        <v>59</v>
      </c>
      <c r="AA879" t="s">
        <v>59</v>
      </c>
      <c r="AB879" t="s">
        <v>59</v>
      </c>
      <c r="AC879" t="s">
        <v>59</v>
      </c>
      <c r="AD879" t="s">
        <v>59</v>
      </c>
      <c r="AF879" s="1">
        <v>37501</v>
      </c>
      <c r="AG879" t="s">
        <v>148</v>
      </c>
      <c r="AH879" t="s">
        <v>149</v>
      </c>
      <c r="AI879" t="str">
        <f>"1751020"</f>
        <v>1751020</v>
      </c>
      <c r="AJ879" t="s">
        <v>532</v>
      </c>
      <c r="AK879">
        <v>2810372732</v>
      </c>
      <c r="AL879" t="s">
        <v>533</v>
      </c>
      <c r="AM879" t="s">
        <v>78</v>
      </c>
      <c r="AN879" t="s">
        <v>78</v>
      </c>
      <c r="AO879" t="s">
        <v>78</v>
      </c>
      <c r="AP879" t="s">
        <v>163</v>
      </c>
      <c r="AQ879">
        <v>3</v>
      </c>
      <c r="AR879" t="s">
        <v>123</v>
      </c>
      <c r="AS879" t="s">
        <v>124</v>
      </c>
      <c r="AT879" t="s">
        <v>58</v>
      </c>
      <c r="AU879" t="s">
        <v>68</v>
      </c>
      <c r="AV879" t="s">
        <v>69</v>
      </c>
      <c r="AW879" s="1">
        <v>23720</v>
      </c>
      <c r="AX879">
        <v>2</v>
      </c>
    </row>
    <row r="880" spans="1:50">
      <c r="A880">
        <v>226581</v>
      </c>
      <c r="B880" t="str">
        <f>"114572004"</f>
        <v>114572004</v>
      </c>
      <c r="C880" t="s">
        <v>50</v>
      </c>
      <c r="D880" t="s">
        <v>2232</v>
      </c>
      <c r="E880" t="s">
        <v>52</v>
      </c>
      <c r="F880" t="s">
        <v>154</v>
      </c>
      <c r="G880" t="s">
        <v>2235</v>
      </c>
      <c r="H880" t="str">
        <f>"ΑΓ. ΣΟΦΙΑΣ 41 ΗΡΑΚΛΕΙΟ"</f>
        <v>ΑΓ. ΣΟΦΙΑΣ 41 ΗΡΑΚΛΕΙΟ</v>
      </c>
      <c r="I880">
        <v>71414</v>
      </c>
      <c r="J880">
        <v>2810542304</v>
      </c>
      <c r="K880">
        <v>6981767457</v>
      </c>
      <c r="N880" t="s">
        <v>146</v>
      </c>
      <c r="O880" t="s">
        <v>147</v>
      </c>
      <c r="R880" t="s">
        <v>57</v>
      </c>
      <c r="S880">
        <v>5</v>
      </c>
      <c r="T880">
        <v>654</v>
      </c>
      <c r="U880" s="1">
        <v>40043</v>
      </c>
      <c r="V880" t="s">
        <v>123</v>
      </c>
      <c r="W880" t="s">
        <v>124</v>
      </c>
      <c r="X880" t="s">
        <v>58</v>
      </c>
      <c r="Y880">
        <v>21</v>
      </c>
      <c r="Z880" t="s">
        <v>59</v>
      </c>
      <c r="AA880" t="s">
        <v>59</v>
      </c>
      <c r="AB880" t="s">
        <v>59</v>
      </c>
      <c r="AC880" t="s">
        <v>59</v>
      </c>
      <c r="AD880" t="s">
        <v>59</v>
      </c>
      <c r="AF880" s="1">
        <v>40044</v>
      </c>
      <c r="AG880" t="s">
        <v>125</v>
      </c>
      <c r="AH880" t="s">
        <v>126</v>
      </c>
      <c r="AI880" t="str">
        <f>"1728010"</f>
        <v>1728010</v>
      </c>
      <c r="AJ880" t="s">
        <v>127</v>
      </c>
      <c r="AK880">
        <v>2810824651</v>
      </c>
      <c r="AL880" t="s">
        <v>128</v>
      </c>
      <c r="AM880" t="s">
        <v>78</v>
      </c>
      <c r="AN880" t="s">
        <v>129</v>
      </c>
      <c r="AO880" t="s">
        <v>130</v>
      </c>
      <c r="AP880" t="s">
        <v>130</v>
      </c>
      <c r="AQ880">
        <v>36</v>
      </c>
      <c r="AR880" t="s">
        <v>123</v>
      </c>
      <c r="AS880" t="s">
        <v>124</v>
      </c>
      <c r="AT880" t="s">
        <v>58</v>
      </c>
      <c r="AU880" t="s">
        <v>68</v>
      </c>
      <c r="AV880" t="s">
        <v>69</v>
      </c>
      <c r="AW880" s="1">
        <v>26647</v>
      </c>
      <c r="AX880">
        <v>2</v>
      </c>
    </row>
    <row r="881" spans="1:50">
      <c r="A881">
        <v>209551</v>
      </c>
      <c r="B881" t="str">
        <f>"073355960"</f>
        <v>073355960</v>
      </c>
      <c r="C881" t="s">
        <v>50</v>
      </c>
      <c r="D881" t="s">
        <v>2232</v>
      </c>
      <c r="E881" t="s">
        <v>801</v>
      </c>
      <c r="F881" t="s">
        <v>99</v>
      </c>
      <c r="G881" t="s">
        <v>52</v>
      </c>
      <c r="H881" t="str">
        <f>"ΜΙΧ. ΑΠΟΣΤΟΛΗ 11  ΗΡΑΚΛΕΙΟ"</f>
        <v>ΜΙΧ. ΑΠΟΣΤΟΛΗ 11  ΗΡΑΚΛΕΙΟ</v>
      </c>
      <c r="I881">
        <v>71307</v>
      </c>
      <c r="J881">
        <v>2241116277</v>
      </c>
      <c r="K881">
        <v>6944525865</v>
      </c>
      <c r="M881" t="s">
        <v>2236</v>
      </c>
      <c r="N881" t="s">
        <v>146</v>
      </c>
      <c r="O881" t="s">
        <v>147</v>
      </c>
      <c r="R881" t="s">
        <v>57</v>
      </c>
      <c r="S881">
        <v>9</v>
      </c>
      <c r="T881">
        <v>225</v>
      </c>
      <c r="U881" s="1">
        <v>38604</v>
      </c>
      <c r="V881" t="s">
        <v>123</v>
      </c>
      <c r="W881" t="s">
        <v>124</v>
      </c>
      <c r="X881" t="s">
        <v>58</v>
      </c>
      <c r="Y881">
        <v>20</v>
      </c>
      <c r="Z881" t="s">
        <v>59</v>
      </c>
      <c r="AA881" t="s">
        <v>59</v>
      </c>
      <c r="AB881" t="s">
        <v>59</v>
      </c>
      <c r="AC881" t="s">
        <v>59</v>
      </c>
      <c r="AD881" t="s">
        <v>59</v>
      </c>
      <c r="AF881" s="1">
        <v>38607</v>
      </c>
      <c r="AG881" t="s">
        <v>125</v>
      </c>
      <c r="AH881" t="s">
        <v>126</v>
      </c>
      <c r="AI881" t="str">
        <f>"1727010"</f>
        <v>1727010</v>
      </c>
      <c r="AJ881" t="s">
        <v>618</v>
      </c>
      <c r="AK881">
        <v>2810229231</v>
      </c>
      <c r="AL881" t="s">
        <v>619</v>
      </c>
      <c r="AM881" t="s">
        <v>78</v>
      </c>
      <c r="AN881" t="s">
        <v>78</v>
      </c>
      <c r="AO881" t="s">
        <v>286</v>
      </c>
      <c r="AP881" t="s">
        <v>286</v>
      </c>
      <c r="AQ881">
        <v>12</v>
      </c>
      <c r="AR881" t="s">
        <v>123</v>
      </c>
      <c r="AS881" t="s">
        <v>124</v>
      </c>
      <c r="AT881" t="s">
        <v>58</v>
      </c>
      <c r="AU881" t="s">
        <v>68</v>
      </c>
      <c r="AV881" t="s">
        <v>69</v>
      </c>
      <c r="AW881" s="1">
        <v>26637</v>
      </c>
      <c r="AX881">
        <v>2</v>
      </c>
    </row>
    <row r="882" spans="1:50">
      <c r="A882">
        <v>212753</v>
      </c>
      <c r="B882" t="str">
        <f>"042712183"</f>
        <v>042712183</v>
      </c>
      <c r="C882" t="s">
        <v>105</v>
      </c>
      <c r="D882" t="s">
        <v>2237</v>
      </c>
      <c r="E882" t="s">
        <v>72</v>
      </c>
      <c r="F882" t="s">
        <v>474</v>
      </c>
      <c r="G882" t="s">
        <v>73</v>
      </c>
      <c r="H882" t="str">
        <f>" "</f>
        <v xml:space="preserve"> </v>
      </c>
      <c r="J882">
        <v>2810232769</v>
      </c>
      <c r="K882">
        <v>6946216901</v>
      </c>
      <c r="N882" t="s">
        <v>292</v>
      </c>
      <c r="O882" t="s">
        <v>293</v>
      </c>
      <c r="R882" t="s">
        <v>57</v>
      </c>
      <c r="S882">
        <v>8</v>
      </c>
      <c r="T882">
        <v>231</v>
      </c>
      <c r="U882" s="1">
        <v>38960</v>
      </c>
      <c r="V882" t="s">
        <v>123</v>
      </c>
      <c r="W882" t="s">
        <v>124</v>
      </c>
      <c r="X882" t="s">
        <v>58</v>
      </c>
      <c r="Y882">
        <v>20</v>
      </c>
      <c r="Z882" t="s">
        <v>59</v>
      </c>
      <c r="AA882" t="s">
        <v>59</v>
      </c>
      <c r="AB882" t="s">
        <v>59</v>
      </c>
      <c r="AC882" t="s">
        <v>59</v>
      </c>
      <c r="AD882" t="s">
        <v>59</v>
      </c>
      <c r="AF882" s="1">
        <v>38961</v>
      </c>
      <c r="AG882" t="s">
        <v>137</v>
      </c>
      <c r="AH882" t="s">
        <v>138</v>
      </c>
      <c r="AI882" t="str">
        <f>"1740070"</f>
        <v>1740070</v>
      </c>
      <c r="AJ882" t="s">
        <v>206</v>
      </c>
      <c r="AK882">
        <v>2810324880</v>
      </c>
      <c r="AL882" t="s">
        <v>207</v>
      </c>
      <c r="AM882" t="s">
        <v>78</v>
      </c>
      <c r="AN882" t="s">
        <v>78</v>
      </c>
      <c r="AO882" t="s">
        <v>78</v>
      </c>
      <c r="AP882" t="s">
        <v>163</v>
      </c>
      <c r="AQ882">
        <v>9</v>
      </c>
      <c r="AR882" t="s">
        <v>123</v>
      </c>
      <c r="AS882" t="s">
        <v>124</v>
      </c>
      <c r="AT882" t="s">
        <v>58</v>
      </c>
      <c r="AU882" t="s">
        <v>68</v>
      </c>
      <c r="AV882" t="s">
        <v>69</v>
      </c>
      <c r="AW882" s="1">
        <v>21257</v>
      </c>
      <c r="AX882">
        <v>2</v>
      </c>
    </row>
    <row r="883" spans="1:50">
      <c r="A883">
        <v>202885</v>
      </c>
      <c r="B883" t="str">
        <f>"047275914"</f>
        <v>047275914</v>
      </c>
      <c r="C883" t="s">
        <v>105</v>
      </c>
      <c r="D883" t="s">
        <v>2237</v>
      </c>
      <c r="E883" t="s">
        <v>474</v>
      </c>
      <c r="F883" t="s">
        <v>95</v>
      </c>
      <c r="G883" t="s">
        <v>52</v>
      </c>
      <c r="H883" t="str">
        <f>" "</f>
        <v xml:space="preserve"> </v>
      </c>
      <c r="J883">
        <v>2810317632</v>
      </c>
      <c r="K883">
        <v>6945913076</v>
      </c>
      <c r="N883" t="s">
        <v>246</v>
      </c>
      <c r="O883" t="s">
        <v>247</v>
      </c>
      <c r="R883" t="s">
        <v>57</v>
      </c>
      <c r="S883">
        <v>6</v>
      </c>
      <c r="T883">
        <v>231</v>
      </c>
      <c r="U883" s="1">
        <v>38230</v>
      </c>
      <c r="V883" t="s">
        <v>123</v>
      </c>
      <c r="W883" t="s">
        <v>124</v>
      </c>
      <c r="X883" t="s">
        <v>58</v>
      </c>
      <c r="Y883">
        <v>20</v>
      </c>
      <c r="Z883" t="s">
        <v>59</v>
      </c>
      <c r="AA883" t="s">
        <v>59</v>
      </c>
      <c r="AB883" t="s">
        <v>59</v>
      </c>
      <c r="AC883" t="s">
        <v>59</v>
      </c>
      <c r="AD883" t="s">
        <v>59</v>
      </c>
      <c r="AF883" s="1">
        <v>38232</v>
      </c>
      <c r="AG883" t="s">
        <v>125</v>
      </c>
      <c r="AH883" t="s">
        <v>126</v>
      </c>
      <c r="AI883" t="str">
        <f>"1701053"</f>
        <v>1701053</v>
      </c>
      <c r="AJ883" t="s">
        <v>398</v>
      </c>
      <c r="AK883">
        <v>2810251434</v>
      </c>
      <c r="AL883" t="s">
        <v>399</v>
      </c>
      <c r="AM883" t="s">
        <v>78</v>
      </c>
      <c r="AN883" t="s">
        <v>78</v>
      </c>
      <c r="AO883" t="s">
        <v>78</v>
      </c>
      <c r="AP883" t="s">
        <v>141</v>
      </c>
      <c r="AQ883">
        <v>7</v>
      </c>
      <c r="AR883" t="s">
        <v>123</v>
      </c>
      <c r="AS883" t="s">
        <v>124</v>
      </c>
      <c r="AT883" t="s">
        <v>58</v>
      </c>
      <c r="AU883" t="s">
        <v>68</v>
      </c>
      <c r="AV883" t="s">
        <v>69</v>
      </c>
      <c r="AW883" s="1">
        <v>25786</v>
      </c>
      <c r="AX883">
        <v>2</v>
      </c>
    </row>
    <row r="884" spans="1:50">
      <c r="B884" t="str">
        <f>"150596240"</f>
        <v>150596240</v>
      </c>
      <c r="C884" t="s">
        <v>50</v>
      </c>
      <c r="D884" t="s">
        <v>2238</v>
      </c>
      <c r="E884" t="s">
        <v>2239</v>
      </c>
      <c r="F884" t="s">
        <v>383</v>
      </c>
      <c r="G884" t="s">
        <v>964</v>
      </c>
      <c r="H884" t="str">
        <f>" "</f>
        <v xml:space="preserve"> </v>
      </c>
      <c r="K884">
        <v>6973687852</v>
      </c>
      <c r="M884" t="s">
        <v>2240</v>
      </c>
      <c r="N884" t="s">
        <v>2241</v>
      </c>
      <c r="O884" t="s">
        <v>2242</v>
      </c>
      <c r="R884" t="s">
        <v>121</v>
      </c>
      <c r="S884">
        <v>1</v>
      </c>
      <c r="T884" t="s">
        <v>122</v>
      </c>
      <c r="U884" s="1">
        <v>43348</v>
      </c>
      <c r="V884" t="s">
        <v>123</v>
      </c>
      <c r="W884" t="s">
        <v>124</v>
      </c>
      <c r="X884" t="s">
        <v>58</v>
      </c>
      <c r="Y884">
        <v>23</v>
      </c>
      <c r="Z884" t="s">
        <v>59</v>
      </c>
      <c r="AD884" t="s">
        <v>59</v>
      </c>
      <c r="AF884" s="1">
        <v>43348</v>
      </c>
      <c r="AG884" t="s">
        <v>125</v>
      </c>
      <c r="AH884" t="s">
        <v>126</v>
      </c>
      <c r="AI884" t="str">
        <f>"1714012"</f>
        <v>1714012</v>
      </c>
      <c r="AJ884" t="s">
        <v>633</v>
      </c>
      <c r="AK884">
        <v>2810762261</v>
      </c>
      <c r="AL884" t="s">
        <v>634</v>
      </c>
      <c r="AM884" t="s">
        <v>78</v>
      </c>
      <c r="AN884" t="s">
        <v>219</v>
      </c>
      <c r="AO884" t="s">
        <v>297</v>
      </c>
      <c r="AP884" t="s">
        <v>297</v>
      </c>
      <c r="AQ884">
        <v>37</v>
      </c>
      <c r="AR884" t="s">
        <v>123</v>
      </c>
      <c r="AS884" t="s">
        <v>124</v>
      </c>
      <c r="AT884" t="s">
        <v>58</v>
      </c>
      <c r="AU884" t="s">
        <v>131</v>
      </c>
      <c r="AV884" t="s">
        <v>132</v>
      </c>
      <c r="AW884" s="1">
        <v>32548</v>
      </c>
      <c r="AX884">
        <v>2</v>
      </c>
    </row>
    <row r="885" spans="1:50">
      <c r="A885">
        <v>165678</v>
      </c>
      <c r="B885" t="str">
        <f>"063896417"</f>
        <v>063896417</v>
      </c>
      <c r="C885" t="s">
        <v>50</v>
      </c>
      <c r="D885" t="s">
        <v>2238</v>
      </c>
      <c r="E885" t="s">
        <v>2243</v>
      </c>
      <c r="F885" t="s">
        <v>1743</v>
      </c>
      <c r="G885" t="s">
        <v>2244</v>
      </c>
      <c r="H885" t="str">
        <f>" "</f>
        <v xml:space="preserve"> </v>
      </c>
      <c r="N885" t="s">
        <v>146</v>
      </c>
      <c r="O885" t="s">
        <v>147</v>
      </c>
      <c r="R885" t="s">
        <v>57</v>
      </c>
      <c r="S885">
        <v>14</v>
      </c>
      <c r="T885">
        <v>137</v>
      </c>
      <c r="U885" s="1">
        <v>34206</v>
      </c>
      <c r="V885" t="s">
        <v>123</v>
      </c>
      <c r="W885" t="s">
        <v>124</v>
      </c>
      <c r="X885" t="s">
        <v>58</v>
      </c>
      <c r="Y885">
        <v>18</v>
      </c>
      <c r="Z885" t="s">
        <v>59</v>
      </c>
      <c r="AA885" t="s">
        <v>59</v>
      </c>
      <c r="AB885" t="s">
        <v>59</v>
      </c>
      <c r="AC885" t="s">
        <v>59</v>
      </c>
      <c r="AD885" t="s">
        <v>59</v>
      </c>
      <c r="AF885" s="1">
        <v>34215</v>
      </c>
      <c r="AG885" t="s">
        <v>125</v>
      </c>
      <c r="AH885" t="s">
        <v>126</v>
      </c>
      <c r="AI885" t="str">
        <f>"1701051"</f>
        <v>1701051</v>
      </c>
      <c r="AJ885" t="s">
        <v>443</v>
      </c>
      <c r="AK885">
        <v>2810325815</v>
      </c>
      <c r="AL885" t="s">
        <v>444</v>
      </c>
      <c r="AM885" t="s">
        <v>78</v>
      </c>
      <c r="AN885" t="s">
        <v>78</v>
      </c>
      <c r="AO885" t="s">
        <v>78</v>
      </c>
      <c r="AP885" t="s">
        <v>163</v>
      </c>
      <c r="AQ885">
        <v>5</v>
      </c>
      <c r="AR885" t="s">
        <v>123</v>
      </c>
      <c r="AS885" t="s">
        <v>124</v>
      </c>
      <c r="AT885" t="s">
        <v>58</v>
      </c>
      <c r="AU885" t="s">
        <v>68</v>
      </c>
      <c r="AV885" t="s">
        <v>69</v>
      </c>
      <c r="AW885" s="1">
        <v>22870</v>
      </c>
      <c r="AX885">
        <v>2</v>
      </c>
    </row>
    <row r="886" spans="1:50">
      <c r="A886">
        <v>196785</v>
      </c>
      <c r="B886" t="str">
        <f>"068420569"</f>
        <v>068420569</v>
      </c>
      <c r="C886" t="s">
        <v>50</v>
      </c>
      <c r="D886" t="s">
        <v>2238</v>
      </c>
      <c r="E886" t="s">
        <v>263</v>
      </c>
      <c r="F886" t="s">
        <v>920</v>
      </c>
      <c r="G886" t="s">
        <v>1120</v>
      </c>
      <c r="H886" t="str">
        <f>" "</f>
        <v xml:space="preserve"> </v>
      </c>
      <c r="J886">
        <v>2895071287</v>
      </c>
      <c r="K886">
        <v>6982953262</v>
      </c>
      <c r="M886" t="s">
        <v>2245</v>
      </c>
      <c r="N886" t="s">
        <v>146</v>
      </c>
      <c r="O886" t="s">
        <v>147</v>
      </c>
      <c r="R886" t="s">
        <v>57</v>
      </c>
      <c r="S886">
        <v>7</v>
      </c>
      <c r="T886">
        <v>206</v>
      </c>
      <c r="U886" s="1">
        <v>37866</v>
      </c>
      <c r="V886" t="s">
        <v>123</v>
      </c>
      <c r="W886" t="s">
        <v>124</v>
      </c>
      <c r="X886" t="s">
        <v>58</v>
      </c>
      <c r="Y886">
        <v>20</v>
      </c>
      <c r="Z886" t="s">
        <v>59</v>
      </c>
      <c r="AA886" t="s">
        <v>59</v>
      </c>
      <c r="AB886" t="s">
        <v>59</v>
      </c>
      <c r="AC886" t="s">
        <v>59</v>
      </c>
      <c r="AD886" t="s">
        <v>59</v>
      </c>
      <c r="AF886" s="1">
        <v>37868</v>
      </c>
      <c r="AG886" t="s">
        <v>125</v>
      </c>
      <c r="AH886" t="s">
        <v>126</v>
      </c>
      <c r="AI886" t="str">
        <f>"1704010"</f>
        <v>1704010</v>
      </c>
      <c r="AJ886" t="s">
        <v>480</v>
      </c>
      <c r="AK886">
        <v>2895022230</v>
      </c>
      <c r="AL886" t="s">
        <v>481</v>
      </c>
      <c r="AM886" t="s">
        <v>78</v>
      </c>
      <c r="AN886" t="s">
        <v>482</v>
      </c>
      <c r="AO886" t="s">
        <v>482</v>
      </c>
      <c r="AP886" t="s">
        <v>483</v>
      </c>
      <c r="AQ886">
        <v>16</v>
      </c>
      <c r="AR886" t="s">
        <v>123</v>
      </c>
      <c r="AS886" t="s">
        <v>124</v>
      </c>
      <c r="AT886" t="s">
        <v>58</v>
      </c>
      <c r="AU886" t="s">
        <v>68</v>
      </c>
      <c r="AV886" t="s">
        <v>69</v>
      </c>
      <c r="AW886" s="1">
        <v>25998</v>
      </c>
      <c r="AX886">
        <v>2</v>
      </c>
    </row>
    <row r="887" spans="1:50">
      <c r="A887">
        <v>196154</v>
      </c>
      <c r="B887" t="str">
        <f>"103832716"</f>
        <v>103832716</v>
      </c>
      <c r="C887" t="s">
        <v>50</v>
      </c>
      <c r="D887" t="s">
        <v>2246</v>
      </c>
      <c r="E887" t="s">
        <v>255</v>
      </c>
      <c r="F887" t="s">
        <v>2247</v>
      </c>
      <c r="G887" t="s">
        <v>2248</v>
      </c>
      <c r="H887" t="str">
        <f>"Γ ΠΑΠΑΝΔΡΕΟΥ 59 ΗΡΑΚΛΕΙΟ"</f>
        <v>Γ ΠΑΠΑΝΔΡΕΟΥ 59 ΗΡΑΚΛΕΙΟ</v>
      </c>
      <c r="I887">
        <v>71305</v>
      </c>
      <c r="J887">
        <v>2810326941</v>
      </c>
      <c r="K887">
        <v>6972779167</v>
      </c>
      <c r="L887">
        <v>2810289229</v>
      </c>
      <c r="M887" t="s">
        <v>2249</v>
      </c>
      <c r="N887" t="s">
        <v>306</v>
      </c>
      <c r="O887" t="s">
        <v>307</v>
      </c>
      <c r="R887" t="s">
        <v>57</v>
      </c>
      <c r="S887">
        <v>8</v>
      </c>
      <c r="T887">
        <v>212</v>
      </c>
      <c r="U887" s="1">
        <v>37515</v>
      </c>
      <c r="V887" t="s">
        <v>123</v>
      </c>
      <c r="W887" t="s">
        <v>124</v>
      </c>
      <c r="X887" t="s">
        <v>58</v>
      </c>
      <c r="Y887">
        <v>20</v>
      </c>
      <c r="Z887" t="s">
        <v>59</v>
      </c>
      <c r="AA887" t="s">
        <v>59</v>
      </c>
      <c r="AB887" t="s">
        <v>59</v>
      </c>
      <c r="AC887" t="s">
        <v>59</v>
      </c>
      <c r="AD887" t="s">
        <v>59</v>
      </c>
      <c r="AF887" s="1">
        <v>37515</v>
      </c>
      <c r="AG887" t="s">
        <v>125</v>
      </c>
      <c r="AH887" t="s">
        <v>126</v>
      </c>
      <c r="AI887" t="str">
        <f>"1701020"</f>
        <v>1701020</v>
      </c>
      <c r="AJ887" t="s">
        <v>323</v>
      </c>
      <c r="AK887">
        <v>2810252111</v>
      </c>
      <c r="AL887" t="s">
        <v>324</v>
      </c>
      <c r="AM887" t="s">
        <v>78</v>
      </c>
      <c r="AN887" t="s">
        <v>78</v>
      </c>
      <c r="AO887" t="s">
        <v>78</v>
      </c>
      <c r="AP887" t="s">
        <v>163</v>
      </c>
      <c r="AQ887">
        <v>3</v>
      </c>
      <c r="AR887" t="s">
        <v>123</v>
      </c>
      <c r="AS887" t="s">
        <v>124</v>
      </c>
      <c r="AT887" t="s">
        <v>58</v>
      </c>
      <c r="AU887" t="s">
        <v>68</v>
      </c>
      <c r="AV887" t="s">
        <v>69</v>
      </c>
      <c r="AW887" s="1">
        <v>28243</v>
      </c>
      <c r="AX887">
        <v>2</v>
      </c>
    </row>
    <row r="888" spans="1:50">
      <c r="A888">
        <v>190878</v>
      </c>
      <c r="B888" t="str">
        <f>"065126793"</f>
        <v>065126793</v>
      </c>
      <c r="C888" t="s">
        <v>50</v>
      </c>
      <c r="D888" t="s">
        <v>2250</v>
      </c>
      <c r="E888" t="s">
        <v>191</v>
      </c>
      <c r="F888" t="s">
        <v>72</v>
      </c>
      <c r="G888" t="s">
        <v>2251</v>
      </c>
      <c r="H888" t="str">
        <f>" "</f>
        <v xml:space="preserve"> </v>
      </c>
      <c r="N888" t="s">
        <v>204</v>
      </c>
      <c r="O888" t="s">
        <v>205</v>
      </c>
      <c r="R888" t="s">
        <v>57</v>
      </c>
      <c r="S888">
        <v>8</v>
      </c>
      <c r="T888">
        <v>219</v>
      </c>
      <c r="U888" s="1">
        <v>37134</v>
      </c>
      <c r="V888" t="s">
        <v>123</v>
      </c>
      <c r="W888" t="s">
        <v>124</v>
      </c>
      <c r="X888" t="s">
        <v>58</v>
      </c>
      <c r="Y888">
        <v>20</v>
      </c>
      <c r="Z888" t="s">
        <v>59</v>
      </c>
      <c r="AA888" t="s">
        <v>59</v>
      </c>
      <c r="AB888" t="s">
        <v>59</v>
      </c>
      <c r="AC888" t="s">
        <v>59</v>
      </c>
      <c r="AD888" t="s">
        <v>59</v>
      </c>
      <c r="AF888" s="1">
        <v>37139</v>
      </c>
      <c r="AG888" t="s">
        <v>137</v>
      </c>
      <c r="AH888" t="s">
        <v>138</v>
      </c>
      <c r="AI888" t="str">
        <f>"1740070"</f>
        <v>1740070</v>
      </c>
      <c r="AJ888" t="s">
        <v>206</v>
      </c>
      <c r="AK888">
        <v>2810324880</v>
      </c>
      <c r="AL888" t="s">
        <v>207</v>
      </c>
      <c r="AM888" t="s">
        <v>78</v>
      </c>
      <c r="AN888" t="s">
        <v>78</v>
      </c>
      <c r="AO888" t="s">
        <v>78</v>
      </c>
      <c r="AP888" t="s">
        <v>163</v>
      </c>
      <c r="AQ888">
        <v>9</v>
      </c>
      <c r="AR888" t="s">
        <v>123</v>
      </c>
      <c r="AS888" t="s">
        <v>124</v>
      </c>
      <c r="AT888" t="s">
        <v>58</v>
      </c>
      <c r="AU888" t="s">
        <v>68</v>
      </c>
      <c r="AV888" t="s">
        <v>69</v>
      </c>
      <c r="AW888" s="1">
        <v>27585</v>
      </c>
      <c r="AX888">
        <v>2</v>
      </c>
    </row>
    <row r="889" spans="1:50">
      <c r="A889">
        <v>223651</v>
      </c>
      <c r="B889" t="str">
        <f>"078580991"</f>
        <v>078580991</v>
      </c>
      <c r="C889" t="s">
        <v>105</v>
      </c>
      <c r="D889" t="s">
        <v>2252</v>
      </c>
      <c r="E889" t="s">
        <v>154</v>
      </c>
      <c r="F889" t="s">
        <v>106</v>
      </c>
      <c r="G889" t="s">
        <v>1001</v>
      </c>
      <c r="H889" t="str">
        <f>"ΣΤ.ΣΑΧΛΙΚΗ 31 (ΞΗΡΟΠΟΤΑΜΟΣ) ΗΡΑΚΛΕΙΟΥ"</f>
        <v>ΣΤ.ΣΑΧΛΙΚΗ 31 (ΞΗΡΟΠΟΤΑΜΟΣ) ΗΡΑΚΛΕΙΟΥ</v>
      </c>
      <c r="I889">
        <v>71306</v>
      </c>
      <c r="J889">
        <v>2833031257</v>
      </c>
      <c r="K889">
        <v>6955049056</v>
      </c>
      <c r="M889" t="s">
        <v>2253</v>
      </c>
      <c r="N889" t="s">
        <v>199</v>
      </c>
      <c r="O889" t="s">
        <v>200</v>
      </c>
      <c r="R889" t="s">
        <v>57</v>
      </c>
      <c r="S889">
        <v>5</v>
      </c>
      <c r="T889">
        <v>775</v>
      </c>
      <c r="U889" s="1">
        <v>39680</v>
      </c>
      <c r="V889" t="s">
        <v>123</v>
      </c>
      <c r="W889" t="s">
        <v>124</v>
      </c>
      <c r="X889" t="s">
        <v>58</v>
      </c>
      <c r="Y889">
        <v>21</v>
      </c>
      <c r="Z889" t="s">
        <v>59</v>
      </c>
      <c r="AA889" t="s">
        <v>59</v>
      </c>
      <c r="AB889" t="s">
        <v>59</v>
      </c>
      <c r="AC889" t="s">
        <v>59</v>
      </c>
      <c r="AD889" t="s">
        <v>59</v>
      </c>
      <c r="AF889" s="1">
        <v>39681</v>
      </c>
      <c r="AG889" t="s">
        <v>125</v>
      </c>
      <c r="AH889" t="s">
        <v>126</v>
      </c>
      <c r="AI889" t="str">
        <f>"1701055"</f>
        <v>1701055</v>
      </c>
      <c r="AJ889" t="s">
        <v>301</v>
      </c>
      <c r="AK889">
        <v>2810257353</v>
      </c>
      <c r="AL889" t="s">
        <v>302</v>
      </c>
      <c r="AM889" t="s">
        <v>78</v>
      </c>
      <c r="AN889" t="s">
        <v>78</v>
      </c>
      <c r="AO889" t="s">
        <v>78</v>
      </c>
      <c r="AP889" t="s">
        <v>141</v>
      </c>
      <c r="AQ889">
        <v>7</v>
      </c>
      <c r="AR889" t="s">
        <v>123</v>
      </c>
      <c r="AS889" t="s">
        <v>124</v>
      </c>
      <c r="AT889" t="s">
        <v>58</v>
      </c>
      <c r="AU889" t="s">
        <v>68</v>
      </c>
      <c r="AV889" t="s">
        <v>69</v>
      </c>
      <c r="AW889" s="1">
        <v>25854</v>
      </c>
      <c r="AX889">
        <v>2</v>
      </c>
    </row>
    <row r="890" spans="1:50">
      <c r="A890">
        <v>156033</v>
      </c>
      <c r="B890" t="str">
        <f>"034629105"</f>
        <v>034629105</v>
      </c>
      <c r="C890" t="s">
        <v>105</v>
      </c>
      <c r="D890" t="s">
        <v>2254</v>
      </c>
      <c r="E890" t="s">
        <v>99</v>
      </c>
      <c r="F890" t="s">
        <v>2255</v>
      </c>
      <c r="G890" t="s">
        <v>2256</v>
      </c>
      <c r="H890" t="str">
        <f>" "</f>
        <v xml:space="preserve"> </v>
      </c>
      <c r="N890" t="s">
        <v>146</v>
      </c>
      <c r="O890" t="s">
        <v>147</v>
      </c>
      <c r="R890" t="s">
        <v>57</v>
      </c>
      <c r="S890">
        <v>19</v>
      </c>
      <c r="T890">
        <v>188</v>
      </c>
      <c r="U890" s="1">
        <v>32752</v>
      </c>
      <c r="V890" t="s">
        <v>123</v>
      </c>
      <c r="W890" t="s">
        <v>124</v>
      </c>
      <c r="X890" t="s">
        <v>58</v>
      </c>
      <c r="Y890">
        <v>18</v>
      </c>
      <c r="Z890" t="s">
        <v>59</v>
      </c>
      <c r="AA890" t="s">
        <v>59</v>
      </c>
      <c r="AB890" t="s">
        <v>59</v>
      </c>
      <c r="AC890" t="s">
        <v>59</v>
      </c>
      <c r="AD890" t="s">
        <v>59</v>
      </c>
      <c r="AF890" s="1">
        <v>32756</v>
      </c>
      <c r="AG890" t="s">
        <v>148</v>
      </c>
      <c r="AH890" t="s">
        <v>149</v>
      </c>
      <c r="AI890" t="str">
        <f>"1751030"</f>
        <v>1751030</v>
      </c>
      <c r="AJ890" t="s">
        <v>234</v>
      </c>
      <c r="AK890">
        <v>2810282911</v>
      </c>
      <c r="AL890" t="s">
        <v>235</v>
      </c>
      <c r="AM890" t="s">
        <v>78</v>
      </c>
      <c r="AN890" t="s">
        <v>78</v>
      </c>
      <c r="AO890" t="s">
        <v>78</v>
      </c>
      <c r="AP890" t="s">
        <v>163</v>
      </c>
      <c r="AQ890">
        <v>1</v>
      </c>
      <c r="AR890" t="s">
        <v>123</v>
      </c>
      <c r="AS890" t="s">
        <v>124</v>
      </c>
      <c r="AT890" t="s">
        <v>58</v>
      </c>
      <c r="AU890" t="s">
        <v>68</v>
      </c>
      <c r="AV890" t="s">
        <v>69</v>
      </c>
      <c r="AW890" s="1">
        <v>22596</v>
      </c>
      <c r="AX890">
        <v>2</v>
      </c>
    </row>
    <row r="891" spans="1:50">
      <c r="A891">
        <v>208591</v>
      </c>
      <c r="B891" t="str">
        <f>"031330673"</f>
        <v>031330673</v>
      </c>
      <c r="C891" t="s">
        <v>50</v>
      </c>
      <c r="D891" t="s">
        <v>2257</v>
      </c>
      <c r="E891" t="s">
        <v>237</v>
      </c>
      <c r="F891" t="s">
        <v>166</v>
      </c>
      <c r="G891" t="s">
        <v>2258</v>
      </c>
      <c r="H891" t="str">
        <f>" "</f>
        <v xml:space="preserve"> </v>
      </c>
      <c r="J891">
        <v>2810236523</v>
      </c>
      <c r="K891">
        <v>6974801906</v>
      </c>
      <c r="M891" t="s">
        <v>2259</v>
      </c>
      <c r="N891" t="s">
        <v>168</v>
      </c>
      <c r="O891" t="s">
        <v>169</v>
      </c>
      <c r="R891" t="s">
        <v>57</v>
      </c>
      <c r="S891">
        <v>8</v>
      </c>
      <c r="T891">
        <v>218</v>
      </c>
      <c r="U891" s="1">
        <v>38596</v>
      </c>
      <c r="V891" t="s">
        <v>123</v>
      </c>
      <c r="W891" t="s">
        <v>124</v>
      </c>
      <c r="X891" t="s">
        <v>58</v>
      </c>
      <c r="Y891">
        <v>20</v>
      </c>
      <c r="Z891" t="s">
        <v>59</v>
      </c>
      <c r="AA891" t="s">
        <v>59</v>
      </c>
      <c r="AB891" t="s">
        <v>59</v>
      </c>
      <c r="AC891" t="s">
        <v>59</v>
      </c>
      <c r="AD891" t="s">
        <v>59</v>
      </c>
      <c r="AF891" s="1">
        <v>38604</v>
      </c>
      <c r="AG891" t="s">
        <v>137</v>
      </c>
      <c r="AH891" t="s">
        <v>138</v>
      </c>
      <c r="AI891" t="str">
        <f>"1740080"</f>
        <v>1740080</v>
      </c>
      <c r="AJ891" t="s">
        <v>284</v>
      </c>
      <c r="AK891">
        <v>2810220433</v>
      </c>
      <c r="AL891" t="s">
        <v>285</v>
      </c>
      <c r="AM891" t="s">
        <v>78</v>
      </c>
      <c r="AN891" t="s">
        <v>78</v>
      </c>
      <c r="AO891" t="s">
        <v>286</v>
      </c>
      <c r="AP891" t="s">
        <v>286</v>
      </c>
      <c r="AQ891">
        <v>12</v>
      </c>
      <c r="AR891" t="s">
        <v>123</v>
      </c>
      <c r="AS891" t="s">
        <v>124</v>
      </c>
      <c r="AT891" t="s">
        <v>58</v>
      </c>
      <c r="AU891" t="s">
        <v>68</v>
      </c>
      <c r="AV891" t="s">
        <v>69</v>
      </c>
      <c r="AW891" s="1">
        <v>21906</v>
      </c>
      <c r="AX891">
        <v>2</v>
      </c>
    </row>
    <row r="892" spans="1:50">
      <c r="A892">
        <v>143110</v>
      </c>
      <c r="B892" t="str">
        <f>"103825240"</f>
        <v>103825240</v>
      </c>
      <c r="C892" t="s">
        <v>50</v>
      </c>
      <c r="D892" t="s">
        <v>2257</v>
      </c>
      <c r="E892" t="s">
        <v>52</v>
      </c>
      <c r="F892" t="s">
        <v>166</v>
      </c>
      <c r="G892" t="s">
        <v>2248</v>
      </c>
      <c r="H892" t="str">
        <f>"ΘΡΑΨΑΝΟ ΠΕΔΙΑΔΟΣ "</f>
        <v xml:space="preserve">ΘΡΑΨΑΝΟ ΠΕΔΙΑΔΟΣ </v>
      </c>
      <c r="I892">
        <v>70006</v>
      </c>
      <c r="J892">
        <v>2891041102</v>
      </c>
      <c r="K892">
        <v>6989630260</v>
      </c>
      <c r="M892" t="s">
        <v>2260</v>
      </c>
      <c r="N892" t="s">
        <v>292</v>
      </c>
      <c r="O892" t="s">
        <v>293</v>
      </c>
      <c r="R892" t="s">
        <v>57</v>
      </c>
      <c r="S892">
        <v>17</v>
      </c>
      <c r="T892">
        <v>274</v>
      </c>
      <c r="U892" s="1">
        <v>30550</v>
      </c>
      <c r="V892" t="s">
        <v>123</v>
      </c>
      <c r="W892" t="s">
        <v>124</v>
      </c>
      <c r="X892" t="s">
        <v>58</v>
      </c>
      <c r="Y892">
        <v>18</v>
      </c>
      <c r="Z892" t="s">
        <v>59</v>
      </c>
      <c r="AA892" t="s">
        <v>59</v>
      </c>
      <c r="AB892" t="s">
        <v>59</v>
      </c>
      <c r="AC892" t="s">
        <v>59</v>
      </c>
      <c r="AD892" t="s">
        <v>59</v>
      </c>
      <c r="AF892" s="1">
        <v>30560</v>
      </c>
      <c r="AG892" t="s">
        <v>125</v>
      </c>
      <c r="AH892" t="s">
        <v>359</v>
      </c>
      <c r="AI892" t="str">
        <f>"1701060"</f>
        <v>1701060</v>
      </c>
      <c r="AJ892" t="s">
        <v>360</v>
      </c>
      <c r="AK892">
        <v>2810223424</v>
      </c>
      <c r="AL892" t="s">
        <v>361</v>
      </c>
      <c r="AM892" t="s">
        <v>78</v>
      </c>
      <c r="AN892" t="s">
        <v>78</v>
      </c>
      <c r="AO892" t="s">
        <v>78</v>
      </c>
      <c r="AP892" t="s">
        <v>79</v>
      </c>
      <c r="AQ892">
        <v>1</v>
      </c>
      <c r="AR892" t="s">
        <v>123</v>
      </c>
      <c r="AS892" t="s">
        <v>124</v>
      </c>
      <c r="AT892" t="s">
        <v>58</v>
      </c>
      <c r="AU892" t="s">
        <v>68</v>
      </c>
      <c r="AV892" t="s">
        <v>69</v>
      </c>
      <c r="AW892" s="1">
        <v>20406</v>
      </c>
      <c r="AX892">
        <v>2</v>
      </c>
    </row>
    <row r="893" spans="1:50">
      <c r="B893" t="str">
        <f>"073220462"</f>
        <v>073220462</v>
      </c>
      <c r="C893" t="s">
        <v>50</v>
      </c>
      <c r="D893" t="s">
        <v>2257</v>
      </c>
      <c r="E893" t="s">
        <v>1068</v>
      </c>
      <c r="F893" t="s">
        <v>72</v>
      </c>
      <c r="G893" t="s">
        <v>316</v>
      </c>
      <c r="H893" t="str">
        <f>"ΧΑΤΖΗΣΠΥΡΟΥ 20 ΗΡΑΚΛΕΙΟ"</f>
        <v>ΧΑΤΖΗΣΠΥΡΟΥ 20 ΗΡΑΚΛΕΙΟ</v>
      </c>
      <c r="I893">
        <v>71305</v>
      </c>
      <c r="J893">
        <v>2810236883</v>
      </c>
      <c r="K893">
        <v>6977726893</v>
      </c>
      <c r="N893" t="s">
        <v>199</v>
      </c>
      <c r="O893" t="s">
        <v>200</v>
      </c>
      <c r="R893" t="s">
        <v>159</v>
      </c>
      <c r="S893">
        <v>3</v>
      </c>
      <c r="T893" t="s">
        <v>574</v>
      </c>
      <c r="U893" s="1">
        <v>43378</v>
      </c>
      <c r="V893" t="s">
        <v>123</v>
      </c>
      <c r="W893" t="s">
        <v>124</v>
      </c>
      <c r="X893" t="s">
        <v>58</v>
      </c>
      <c r="Y893">
        <v>23</v>
      </c>
      <c r="Z893" t="s">
        <v>59</v>
      </c>
      <c r="AA893" t="s">
        <v>59</v>
      </c>
      <c r="AB893" t="s">
        <v>59</v>
      </c>
      <c r="AC893" t="s">
        <v>59</v>
      </c>
      <c r="AD893" t="s">
        <v>59</v>
      </c>
      <c r="AF893" s="1">
        <v>43381</v>
      </c>
      <c r="AG893" t="s">
        <v>137</v>
      </c>
      <c r="AH893" t="s">
        <v>138</v>
      </c>
      <c r="AI893" t="str">
        <f>"1740100"</f>
        <v>1740100</v>
      </c>
      <c r="AJ893" t="s">
        <v>857</v>
      </c>
      <c r="AK893">
        <v>2810360741</v>
      </c>
      <c r="AL893" t="s">
        <v>858</v>
      </c>
      <c r="AM893" t="s">
        <v>78</v>
      </c>
      <c r="AN893" t="s">
        <v>78</v>
      </c>
      <c r="AO893" t="s">
        <v>78</v>
      </c>
      <c r="AP893" t="s">
        <v>163</v>
      </c>
      <c r="AQ893">
        <v>5</v>
      </c>
      <c r="AR893" t="s">
        <v>123</v>
      </c>
      <c r="AS893" t="s">
        <v>124</v>
      </c>
      <c r="AT893" t="s">
        <v>58</v>
      </c>
      <c r="AU893" t="s">
        <v>164</v>
      </c>
      <c r="AV893" t="s">
        <v>132</v>
      </c>
      <c r="AW893" s="1">
        <v>25957</v>
      </c>
      <c r="AX893">
        <v>2</v>
      </c>
    </row>
    <row r="894" spans="1:50">
      <c r="A894">
        <v>172522</v>
      </c>
      <c r="B894" t="str">
        <f>"043586393"</f>
        <v>043586393</v>
      </c>
      <c r="C894" t="s">
        <v>105</v>
      </c>
      <c r="D894" t="s">
        <v>2261</v>
      </c>
      <c r="E894" t="s">
        <v>72</v>
      </c>
      <c r="F894" t="s">
        <v>106</v>
      </c>
      <c r="G894" t="s">
        <v>250</v>
      </c>
      <c r="H894" t="str">
        <f>" "</f>
        <v xml:space="preserve"> </v>
      </c>
      <c r="N894" t="s">
        <v>204</v>
      </c>
      <c r="O894" t="s">
        <v>205</v>
      </c>
      <c r="R894" t="s">
        <v>57</v>
      </c>
      <c r="S894">
        <v>12</v>
      </c>
      <c r="T894">
        <v>184</v>
      </c>
      <c r="U894" s="1">
        <v>34941</v>
      </c>
      <c r="V894" t="s">
        <v>123</v>
      </c>
      <c r="W894" t="s">
        <v>124</v>
      </c>
      <c r="X894" t="s">
        <v>58</v>
      </c>
      <c r="Y894">
        <v>18</v>
      </c>
      <c r="Z894" t="s">
        <v>59</v>
      </c>
      <c r="AA894" t="s">
        <v>59</v>
      </c>
      <c r="AB894" t="s">
        <v>59</v>
      </c>
      <c r="AC894" t="s">
        <v>59</v>
      </c>
      <c r="AD894" t="s">
        <v>59</v>
      </c>
      <c r="AF894" s="1">
        <v>34941</v>
      </c>
      <c r="AG894" t="s">
        <v>125</v>
      </c>
      <c r="AH894" t="s">
        <v>126</v>
      </c>
      <c r="AI894" t="str">
        <f>"1701056"</f>
        <v>1701056</v>
      </c>
      <c r="AJ894" t="s">
        <v>211</v>
      </c>
      <c r="AK894">
        <v>2810245445</v>
      </c>
      <c r="AL894" t="s">
        <v>212</v>
      </c>
      <c r="AM894" t="s">
        <v>78</v>
      </c>
      <c r="AN894" t="s">
        <v>78</v>
      </c>
      <c r="AO894" t="s">
        <v>78</v>
      </c>
      <c r="AP894" t="s">
        <v>213</v>
      </c>
      <c r="AQ894">
        <v>6</v>
      </c>
      <c r="AR894" t="s">
        <v>123</v>
      </c>
      <c r="AS894" t="s">
        <v>124</v>
      </c>
      <c r="AT894" t="s">
        <v>58</v>
      </c>
      <c r="AU894" t="s">
        <v>68</v>
      </c>
      <c r="AV894" t="s">
        <v>69</v>
      </c>
      <c r="AW894" s="1">
        <v>22790</v>
      </c>
      <c r="AX894">
        <v>2</v>
      </c>
    </row>
    <row r="895" spans="1:50">
      <c r="A895">
        <v>228458</v>
      </c>
      <c r="B895" t="str">
        <f>"068337786"</f>
        <v>068337786</v>
      </c>
      <c r="C895" t="s">
        <v>105</v>
      </c>
      <c r="D895" t="s">
        <v>2261</v>
      </c>
      <c r="E895" t="s">
        <v>106</v>
      </c>
      <c r="F895" t="s">
        <v>646</v>
      </c>
      <c r="G895" t="s">
        <v>476</v>
      </c>
      <c r="H895" t="str">
        <f>"ΓΚΑΓΚΑΛΕΣ "</f>
        <v xml:space="preserve">ΓΚΑΓΚΑΛΕΣ </v>
      </c>
      <c r="J895">
        <v>2892031861</v>
      </c>
      <c r="K895">
        <v>6932333484</v>
      </c>
      <c r="N895" t="s">
        <v>157</v>
      </c>
      <c r="O895" t="s">
        <v>158</v>
      </c>
      <c r="R895" t="s">
        <v>57</v>
      </c>
      <c r="S895">
        <v>4</v>
      </c>
      <c r="T895">
        <v>683</v>
      </c>
      <c r="U895" s="1">
        <v>40052</v>
      </c>
      <c r="V895" t="s">
        <v>123</v>
      </c>
      <c r="W895" t="s">
        <v>124</v>
      </c>
      <c r="X895" t="s">
        <v>58</v>
      </c>
      <c r="Y895">
        <v>21</v>
      </c>
      <c r="Z895" t="s">
        <v>59</v>
      </c>
      <c r="AA895" t="s">
        <v>59</v>
      </c>
      <c r="AB895" t="s">
        <v>59</v>
      </c>
      <c r="AC895" t="s">
        <v>59</v>
      </c>
      <c r="AD895" t="s">
        <v>59</v>
      </c>
      <c r="AF895" s="1">
        <v>40056</v>
      </c>
      <c r="AG895" t="s">
        <v>125</v>
      </c>
      <c r="AH895" t="s">
        <v>126</v>
      </c>
      <c r="AI895" t="str">
        <f>"1702010"</f>
        <v>1702010</v>
      </c>
      <c r="AJ895" t="s">
        <v>604</v>
      </c>
      <c r="AK895">
        <v>2891022228</v>
      </c>
      <c r="AL895" t="s">
        <v>605</v>
      </c>
      <c r="AM895" t="s">
        <v>78</v>
      </c>
      <c r="AN895" t="s">
        <v>276</v>
      </c>
      <c r="AO895" t="s">
        <v>490</v>
      </c>
      <c r="AP895" t="s">
        <v>490</v>
      </c>
      <c r="AQ895">
        <v>15</v>
      </c>
      <c r="AR895" t="s">
        <v>123</v>
      </c>
      <c r="AS895" t="s">
        <v>124</v>
      </c>
      <c r="AT895" t="s">
        <v>58</v>
      </c>
      <c r="AU895" t="s">
        <v>68</v>
      </c>
      <c r="AV895" t="s">
        <v>69</v>
      </c>
      <c r="AW895" s="1">
        <v>27528</v>
      </c>
      <c r="AX895">
        <v>2</v>
      </c>
    </row>
    <row r="896" spans="1:50">
      <c r="A896">
        <v>183105</v>
      </c>
      <c r="B896" t="str">
        <f>"046595580"</f>
        <v>046595580</v>
      </c>
      <c r="C896" t="s">
        <v>105</v>
      </c>
      <c r="D896" t="s">
        <v>2262</v>
      </c>
      <c r="E896" t="s">
        <v>920</v>
      </c>
      <c r="F896" t="s">
        <v>95</v>
      </c>
      <c r="G896" t="s">
        <v>494</v>
      </c>
      <c r="H896" t="str">
        <f>" "</f>
        <v xml:space="preserve"> </v>
      </c>
      <c r="N896" t="s">
        <v>204</v>
      </c>
      <c r="O896" t="s">
        <v>205</v>
      </c>
      <c r="R896" t="s">
        <v>57</v>
      </c>
      <c r="S896">
        <v>12</v>
      </c>
      <c r="T896" t="s">
        <v>984</v>
      </c>
      <c r="U896" s="1">
        <v>36714</v>
      </c>
      <c r="V896" t="s">
        <v>123</v>
      </c>
      <c r="W896" t="s">
        <v>124</v>
      </c>
      <c r="X896" t="s">
        <v>58</v>
      </c>
      <c r="Y896">
        <v>20</v>
      </c>
      <c r="Z896" t="s">
        <v>59</v>
      </c>
      <c r="AA896" t="s">
        <v>59</v>
      </c>
      <c r="AB896" t="s">
        <v>59</v>
      </c>
      <c r="AC896" t="s">
        <v>59</v>
      </c>
      <c r="AD896" t="s">
        <v>59</v>
      </c>
      <c r="AF896" s="1">
        <v>36714</v>
      </c>
      <c r="AG896" t="s">
        <v>137</v>
      </c>
      <c r="AH896" t="s">
        <v>138</v>
      </c>
      <c r="AI896" t="str">
        <f>"1740070"</f>
        <v>1740070</v>
      </c>
      <c r="AJ896" t="s">
        <v>206</v>
      </c>
      <c r="AK896">
        <v>2810324880</v>
      </c>
      <c r="AL896" t="s">
        <v>207</v>
      </c>
      <c r="AM896" t="s">
        <v>78</v>
      </c>
      <c r="AN896" t="s">
        <v>78</v>
      </c>
      <c r="AO896" t="s">
        <v>78</v>
      </c>
      <c r="AP896" t="s">
        <v>163</v>
      </c>
      <c r="AQ896">
        <v>9</v>
      </c>
      <c r="AR896" t="s">
        <v>123</v>
      </c>
      <c r="AS896" t="s">
        <v>124</v>
      </c>
      <c r="AT896" t="s">
        <v>58</v>
      </c>
      <c r="AU896" t="s">
        <v>68</v>
      </c>
      <c r="AV896" t="s">
        <v>69</v>
      </c>
      <c r="AW896" s="1">
        <v>25364</v>
      </c>
      <c r="AX896">
        <v>2</v>
      </c>
    </row>
    <row r="897" spans="1:50">
      <c r="A897">
        <v>203720</v>
      </c>
      <c r="B897" t="str">
        <f>"075432964"</f>
        <v>075432964</v>
      </c>
      <c r="C897" t="s">
        <v>50</v>
      </c>
      <c r="D897" t="s">
        <v>2263</v>
      </c>
      <c r="E897" t="s">
        <v>2264</v>
      </c>
      <c r="F897" t="s">
        <v>670</v>
      </c>
      <c r="G897" t="s">
        <v>705</v>
      </c>
      <c r="H897" t="str">
        <f>"ΛΟΦΟΣ ΛΕΙΒΑΔΑΣ ΤΘ411 ΗΡΑΚΛΕΙΟ"</f>
        <v>ΛΟΦΟΣ ΛΕΙΒΑΔΑΣ ΤΘ411 ΗΡΑΚΛΕΙΟ</v>
      </c>
      <c r="I897">
        <v>70013</v>
      </c>
      <c r="J897">
        <v>2811392669</v>
      </c>
      <c r="K897">
        <v>6972490546</v>
      </c>
      <c r="L897">
        <v>2810211561</v>
      </c>
      <c r="M897" t="s">
        <v>2265</v>
      </c>
      <c r="N897" t="s">
        <v>299</v>
      </c>
      <c r="O897" t="s">
        <v>300</v>
      </c>
      <c r="R897" t="s">
        <v>57</v>
      </c>
      <c r="S897">
        <v>8</v>
      </c>
      <c r="T897">
        <v>231</v>
      </c>
      <c r="U897" s="1">
        <v>38230</v>
      </c>
      <c r="V897" t="s">
        <v>123</v>
      </c>
      <c r="W897" t="s">
        <v>124</v>
      </c>
      <c r="X897" t="s">
        <v>58</v>
      </c>
      <c r="Y897">
        <v>20</v>
      </c>
      <c r="Z897" t="s">
        <v>59</v>
      </c>
      <c r="AA897" t="s">
        <v>59</v>
      </c>
      <c r="AB897" t="s">
        <v>59</v>
      </c>
      <c r="AC897" t="s">
        <v>59</v>
      </c>
      <c r="AD897" t="s">
        <v>59</v>
      </c>
      <c r="AF897" s="1">
        <v>38236</v>
      </c>
      <c r="AG897" t="s">
        <v>148</v>
      </c>
      <c r="AH897" t="s">
        <v>149</v>
      </c>
      <c r="AI897" t="str">
        <f>"1778010"</f>
        <v>1778010</v>
      </c>
      <c r="AJ897" t="s">
        <v>672</v>
      </c>
      <c r="AK897">
        <v>2810822455</v>
      </c>
      <c r="AL897" t="s">
        <v>673</v>
      </c>
      <c r="AM897" t="s">
        <v>78</v>
      </c>
      <c r="AN897" t="s">
        <v>129</v>
      </c>
      <c r="AO897" t="s">
        <v>130</v>
      </c>
      <c r="AP897" t="s">
        <v>130</v>
      </c>
      <c r="AQ897">
        <v>36</v>
      </c>
      <c r="AR897" t="s">
        <v>123</v>
      </c>
      <c r="AS897" t="s">
        <v>124</v>
      </c>
      <c r="AT897" t="s">
        <v>58</v>
      </c>
      <c r="AU897" t="s">
        <v>68</v>
      </c>
      <c r="AV897" t="s">
        <v>69</v>
      </c>
      <c r="AW897" s="1">
        <v>26320</v>
      </c>
      <c r="AX897">
        <v>2</v>
      </c>
    </row>
    <row r="898" spans="1:50">
      <c r="A898">
        <v>207283</v>
      </c>
      <c r="B898" t="str">
        <f>"028745505"</f>
        <v>028745505</v>
      </c>
      <c r="C898" t="s">
        <v>105</v>
      </c>
      <c r="D898" t="s">
        <v>2266</v>
      </c>
      <c r="E898" t="s">
        <v>693</v>
      </c>
      <c r="F898" t="s">
        <v>1316</v>
      </c>
      <c r="G898" t="s">
        <v>396</v>
      </c>
      <c r="H898" t="str">
        <f>"ΚΟΚΚΙΝΗ ΧΑΝΙ ΗΡΑΚΛΕΙΟ "</f>
        <v xml:space="preserve">ΚΟΚΚΙΝΗ ΧΑΝΙ ΗΡΑΚΛΕΙΟ </v>
      </c>
      <c r="I898">
        <v>71500</v>
      </c>
      <c r="J898">
        <v>2810752344</v>
      </c>
      <c r="K898">
        <v>6972750450</v>
      </c>
      <c r="L898">
        <v>6945210543</v>
      </c>
      <c r="N898" t="s">
        <v>246</v>
      </c>
      <c r="O898" t="s">
        <v>247</v>
      </c>
      <c r="R898" t="s">
        <v>57</v>
      </c>
      <c r="S898">
        <v>8</v>
      </c>
      <c r="T898">
        <v>218</v>
      </c>
      <c r="U898" s="1">
        <v>38596</v>
      </c>
      <c r="V898" t="s">
        <v>123</v>
      </c>
      <c r="W898" t="s">
        <v>124</v>
      </c>
      <c r="X898" t="s">
        <v>58</v>
      </c>
      <c r="Y898">
        <v>20</v>
      </c>
      <c r="Z898" t="s">
        <v>59</v>
      </c>
      <c r="AA898" t="s">
        <v>59</v>
      </c>
      <c r="AB898" t="s">
        <v>59</v>
      </c>
      <c r="AC898" t="s">
        <v>59</v>
      </c>
      <c r="AD898" t="s">
        <v>59</v>
      </c>
      <c r="AF898" s="1">
        <v>38600</v>
      </c>
      <c r="AG898" t="s">
        <v>148</v>
      </c>
      <c r="AH898" t="s">
        <v>149</v>
      </c>
      <c r="AI898" t="str">
        <f>"1751010"</f>
        <v>1751010</v>
      </c>
      <c r="AJ898" t="s">
        <v>150</v>
      </c>
      <c r="AK898">
        <v>2810346092</v>
      </c>
      <c r="AL898" t="s">
        <v>151</v>
      </c>
      <c r="AM898" t="s">
        <v>78</v>
      </c>
      <c r="AN898" t="s">
        <v>78</v>
      </c>
      <c r="AO898" t="s">
        <v>78</v>
      </c>
      <c r="AP898" t="s">
        <v>79</v>
      </c>
      <c r="AQ898">
        <v>1</v>
      </c>
      <c r="AR898" t="s">
        <v>123</v>
      </c>
      <c r="AS898" t="s">
        <v>124</v>
      </c>
      <c r="AT898" t="s">
        <v>58</v>
      </c>
      <c r="AU898" t="s">
        <v>68</v>
      </c>
      <c r="AV898" t="s">
        <v>69</v>
      </c>
      <c r="AW898" s="1">
        <v>22075</v>
      </c>
      <c r="AX898">
        <v>2</v>
      </c>
    </row>
    <row r="899" spans="1:50">
      <c r="A899">
        <v>173834</v>
      </c>
      <c r="B899" t="str">
        <f>"030860115"</f>
        <v>030860115</v>
      </c>
      <c r="C899" t="s">
        <v>105</v>
      </c>
      <c r="D899" t="s">
        <v>2267</v>
      </c>
      <c r="E899" t="s">
        <v>95</v>
      </c>
      <c r="F899" t="s">
        <v>450</v>
      </c>
      <c r="G899" t="s">
        <v>109</v>
      </c>
      <c r="H899" t="str">
        <f>"ΑΡΤΕΜΙΣΙΑΣ 70 Ν. ΑΛΙΚΑΡΝΑΣΣΟΣ"</f>
        <v>ΑΡΤΕΜΙΣΙΑΣ 70 Ν. ΑΛΙΚΑΡΝΑΣΣΟΣ</v>
      </c>
      <c r="I899">
        <v>71601</v>
      </c>
      <c r="J899">
        <v>2810343139</v>
      </c>
      <c r="K899">
        <v>6977746640</v>
      </c>
      <c r="M899" t="s">
        <v>2268</v>
      </c>
      <c r="N899" t="s">
        <v>232</v>
      </c>
      <c r="O899" t="s">
        <v>233</v>
      </c>
      <c r="R899" t="s">
        <v>57</v>
      </c>
      <c r="S899">
        <v>11</v>
      </c>
      <c r="T899">
        <v>166</v>
      </c>
      <c r="U899" s="1">
        <v>35300</v>
      </c>
      <c r="V899" t="s">
        <v>123</v>
      </c>
      <c r="W899" t="s">
        <v>124</v>
      </c>
      <c r="X899" t="s">
        <v>58</v>
      </c>
      <c r="Y899">
        <v>18</v>
      </c>
      <c r="Z899" t="s">
        <v>59</v>
      </c>
      <c r="AA899" t="s">
        <v>59</v>
      </c>
      <c r="AB899" t="s">
        <v>59</v>
      </c>
      <c r="AC899" t="s">
        <v>59</v>
      </c>
      <c r="AD899" t="s">
        <v>59</v>
      </c>
      <c r="AF899" s="1">
        <v>35312</v>
      </c>
      <c r="AG899" t="s">
        <v>148</v>
      </c>
      <c r="AH899" t="s">
        <v>149</v>
      </c>
      <c r="AI899" t="str">
        <f>"1751030"</f>
        <v>1751030</v>
      </c>
      <c r="AJ899" t="s">
        <v>234</v>
      </c>
      <c r="AK899">
        <v>2810282911</v>
      </c>
      <c r="AL899" t="s">
        <v>235</v>
      </c>
      <c r="AM899" t="s">
        <v>78</v>
      </c>
      <c r="AN899" t="s">
        <v>78</v>
      </c>
      <c r="AO899" t="s">
        <v>78</v>
      </c>
      <c r="AP899" t="s">
        <v>163</v>
      </c>
      <c r="AQ899">
        <v>1</v>
      </c>
      <c r="AR899" t="s">
        <v>123</v>
      </c>
      <c r="AS899" t="s">
        <v>124</v>
      </c>
      <c r="AT899" t="s">
        <v>58</v>
      </c>
      <c r="AU899" t="s">
        <v>68</v>
      </c>
      <c r="AV899" t="s">
        <v>69</v>
      </c>
      <c r="AW899" s="1">
        <v>20455</v>
      </c>
      <c r="AX899">
        <v>2</v>
      </c>
    </row>
    <row r="900" spans="1:50">
      <c r="A900">
        <v>195658</v>
      </c>
      <c r="B900" t="str">
        <f>"109105432"</f>
        <v>109105432</v>
      </c>
      <c r="C900" t="s">
        <v>50</v>
      </c>
      <c r="D900" t="s">
        <v>2269</v>
      </c>
      <c r="E900" t="s">
        <v>255</v>
      </c>
      <c r="F900" t="s">
        <v>95</v>
      </c>
      <c r="G900" t="s">
        <v>1383</v>
      </c>
      <c r="H900" t="str">
        <f>"ΥΠΑΤΙΑΣ 5 ΗΡΑΚΛΕΙΟ"</f>
        <v>ΥΠΑΤΙΑΣ 5 ΗΡΑΚΛΕΙΟ</v>
      </c>
      <c r="I900">
        <v>71307</v>
      </c>
      <c r="J900">
        <v>2810321529</v>
      </c>
      <c r="K900">
        <v>6947563050</v>
      </c>
      <c r="M900" t="s">
        <v>2270</v>
      </c>
      <c r="N900" t="s">
        <v>199</v>
      </c>
      <c r="O900" t="s">
        <v>200</v>
      </c>
      <c r="R900" t="s">
        <v>57</v>
      </c>
      <c r="S900">
        <v>10</v>
      </c>
      <c r="T900">
        <v>194</v>
      </c>
      <c r="U900" s="1">
        <v>37497</v>
      </c>
      <c r="V900" t="s">
        <v>123</v>
      </c>
      <c r="W900" t="s">
        <v>124</v>
      </c>
      <c r="X900" t="s">
        <v>58</v>
      </c>
      <c r="Y900">
        <v>20</v>
      </c>
      <c r="Z900" t="s">
        <v>59</v>
      </c>
      <c r="AA900" t="s">
        <v>59</v>
      </c>
      <c r="AB900" t="s">
        <v>59</v>
      </c>
      <c r="AC900" t="s">
        <v>59</v>
      </c>
      <c r="AD900" t="s">
        <v>59</v>
      </c>
      <c r="AF900" s="1">
        <v>37501</v>
      </c>
      <c r="AG900" t="s">
        <v>125</v>
      </c>
      <c r="AH900" t="s">
        <v>126</v>
      </c>
      <c r="AI900" t="str">
        <f>"1701050"</f>
        <v>1701050</v>
      </c>
      <c r="AJ900" t="s">
        <v>660</v>
      </c>
      <c r="AK900">
        <v>2810220729</v>
      </c>
      <c r="AL900" t="s">
        <v>661</v>
      </c>
      <c r="AM900" t="s">
        <v>78</v>
      </c>
      <c r="AN900" t="s">
        <v>78</v>
      </c>
      <c r="AO900" t="s">
        <v>78</v>
      </c>
      <c r="AP900" t="s">
        <v>79</v>
      </c>
      <c r="AQ900">
        <v>1</v>
      </c>
      <c r="AR900" t="s">
        <v>123</v>
      </c>
      <c r="AS900" t="s">
        <v>124</v>
      </c>
      <c r="AT900" t="s">
        <v>58</v>
      </c>
      <c r="AU900" t="s">
        <v>68</v>
      </c>
      <c r="AV900" t="s">
        <v>69</v>
      </c>
      <c r="AW900" s="1">
        <v>27955</v>
      </c>
      <c r="AX900">
        <v>2</v>
      </c>
    </row>
    <row r="901" spans="1:50">
      <c r="A901">
        <v>204999</v>
      </c>
      <c r="B901" t="str">
        <f>"047953397"</f>
        <v>047953397</v>
      </c>
      <c r="C901" t="s">
        <v>50</v>
      </c>
      <c r="D901" t="s">
        <v>2271</v>
      </c>
      <c r="E901" t="s">
        <v>250</v>
      </c>
      <c r="F901" t="s">
        <v>53</v>
      </c>
      <c r="G901" t="s">
        <v>83</v>
      </c>
      <c r="H901" t="str">
        <f>" "</f>
        <v xml:space="preserve"> </v>
      </c>
      <c r="J901">
        <v>2810313366</v>
      </c>
      <c r="M901" t="s">
        <v>2272</v>
      </c>
      <c r="N901" t="s">
        <v>587</v>
      </c>
      <c r="O901" t="s">
        <v>588</v>
      </c>
      <c r="R901" t="s">
        <v>57</v>
      </c>
      <c r="S901">
        <v>6</v>
      </c>
      <c r="T901">
        <v>231</v>
      </c>
      <c r="U901" s="1">
        <v>38230</v>
      </c>
      <c r="V901" t="s">
        <v>123</v>
      </c>
      <c r="W901" t="s">
        <v>124</v>
      </c>
      <c r="X901" t="s">
        <v>58</v>
      </c>
      <c r="Y901">
        <v>20</v>
      </c>
      <c r="Z901" t="s">
        <v>59</v>
      </c>
      <c r="AA901" t="s">
        <v>59</v>
      </c>
      <c r="AB901" t="s">
        <v>59</v>
      </c>
      <c r="AC901" t="s">
        <v>59</v>
      </c>
      <c r="AD901" t="s">
        <v>59</v>
      </c>
      <c r="AF901" s="1">
        <v>38233</v>
      </c>
      <c r="AG901" t="s">
        <v>125</v>
      </c>
      <c r="AH901" t="s">
        <v>126</v>
      </c>
      <c r="AI901" t="str">
        <f>"1701020"</f>
        <v>1701020</v>
      </c>
      <c r="AJ901" t="s">
        <v>323</v>
      </c>
      <c r="AK901">
        <v>2810252111</v>
      </c>
      <c r="AL901" t="s">
        <v>324</v>
      </c>
      <c r="AM901" t="s">
        <v>78</v>
      </c>
      <c r="AN901" t="s">
        <v>78</v>
      </c>
      <c r="AO901" t="s">
        <v>78</v>
      </c>
      <c r="AP901" t="s">
        <v>163</v>
      </c>
      <c r="AQ901">
        <v>3</v>
      </c>
      <c r="AR901" t="s">
        <v>123</v>
      </c>
      <c r="AS901" t="s">
        <v>124</v>
      </c>
      <c r="AT901" t="s">
        <v>58</v>
      </c>
      <c r="AU901" t="s">
        <v>68</v>
      </c>
      <c r="AV901" t="s">
        <v>69</v>
      </c>
      <c r="AW901" s="1">
        <v>24241</v>
      </c>
      <c r="AX901">
        <v>2</v>
      </c>
    </row>
    <row r="902" spans="1:50">
      <c r="A902">
        <v>199097</v>
      </c>
      <c r="B902" t="str">
        <f>"054116106"</f>
        <v>054116106</v>
      </c>
      <c r="C902" t="s">
        <v>50</v>
      </c>
      <c r="D902" t="s">
        <v>2271</v>
      </c>
      <c r="E902" t="s">
        <v>52</v>
      </c>
      <c r="F902" t="s">
        <v>53</v>
      </c>
      <c r="G902" t="s">
        <v>83</v>
      </c>
      <c r="H902" t="str">
        <f>"Κ.ΠΟΛΥΧΡΟΝΑΚΗ 14 ΗΡΑΚΛΕΙΟΥ"</f>
        <v>Κ.ΠΟΛΥΧΡΟΝΑΚΗ 14 ΗΡΑΚΛΕΙΟΥ</v>
      </c>
      <c r="I902">
        <v>71305</v>
      </c>
      <c r="J902">
        <v>2810220011</v>
      </c>
      <c r="K902">
        <v>6973040957</v>
      </c>
      <c r="M902" t="s">
        <v>2273</v>
      </c>
      <c r="N902" t="s">
        <v>176</v>
      </c>
      <c r="O902" t="s">
        <v>177</v>
      </c>
      <c r="R902" t="s">
        <v>57</v>
      </c>
      <c r="S902">
        <v>10</v>
      </c>
      <c r="T902">
        <v>206</v>
      </c>
      <c r="U902" s="1">
        <v>37866</v>
      </c>
      <c r="V902" t="s">
        <v>123</v>
      </c>
      <c r="W902" t="s">
        <v>124</v>
      </c>
      <c r="X902" t="s">
        <v>58</v>
      </c>
      <c r="Y902">
        <v>20</v>
      </c>
      <c r="Z902" t="s">
        <v>59</v>
      </c>
      <c r="AA902" t="s">
        <v>59</v>
      </c>
      <c r="AB902" t="s">
        <v>59</v>
      </c>
      <c r="AC902" t="s">
        <v>59</v>
      </c>
      <c r="AD902" t="s">
        <v>59</v>
      </c>
      <c r="AF902" s="1">
        <v>37866</v>
      </c>
      <c r="AG902" t="s">
        <v>137</v>
      </c>
      <c r="AH902" t="s">
        <v>138</v>
      </c>
      <c r="AI902" t="str">
        <f>"1740100"</f>
        <v>1740100</v>
      </c>
      <c r="AJ902" t="s">
        <v>857</v>
      </c>
      <c r="AK902">
        <v>2810360741</v>
      </c>
      <c r="AL902" t="s">
        <v>858</v>
      </c>
      <c r="AM902" t="s">
        <v>78</v>
      </c>
      <c r="AN902" t="s">
        <v>78</v>
      </c>
      <c r="AO902" t="s">
        <v>78</v>
      </c>
      <c r="AP902" t="s">
        <v>163</v>
      </c>
      <c r="AQ902">
        <v>5</v>
      </c>
      <c r="AR902" t="s">
        <v>123</v>
      </c>
      <c r="AS902" t="s">
        <v>124</v>
      </c>
      <c r="AT902" t="s">
        <v>58</v>
      </c>
      <c r="AU902" t="s">
        <v>68</v>
      </c>
      <c r="AV902" t="s">
        <v>69</v>
      </c>
      <c r="AW902" s="1">
        <v>24912</v>
      </c>
      <c r="AX902">
        <v>2</v>
      </c>
    </row>
    <row r="903" spans="1:50">
      <c r="A903">
        <v>224638</v>
      </c>
      <c r="B903" t="str">
        <f>"070956680"</f>
        <v>070956680</v>
      </c>
      <c r="C903" t="s">
        <v>105</v>
      </c>
      <c r="D903" t="s">
        <v>2274</v>
      </c>
      <c r="E903" t="s">
        <v>95</v>
      </c>
      <c r="F903" t="s">
        <v>166</v>
      </c>
      <c r="G903" t="s">
        <v>255</v>
      </c>
      <c r="H903" t="str">
        <f>" "</f>
        <v xml:space="preserve"> </v>
      </c>
      <c r="J903">
        <v>2106997462</v>
      </c>
      <c r="K903">
        <v>6972270130</v>
      </c>
      <c r="N903" t="s">
        <v>683</v>
      </c>
      <c r="O903" t="s">
        <v>684</v>
      </c>
      <c r="R903" t="s">
        <v>57</v>
      </c>
      <c r="S903">
        <v>5</v>
      </c>
      <c r="T903">
        <v>775</v>
      </c>
      <c r="U903" s="1">
        <v>39680</v>
      </c>
      <c r="V903" t="s">
        <v>123</v>
      </c>
      <c r="W903" t="s">
        <v>124</v>
      </c>
      <c r="X903" t="s">
        <v>58</v>
      </c>
      <c r="Y903">
        <v>21</v>
      </c>
      <c r="Z903" t="s">
        <v>59</v>
      </c>
      <c r="AA903" t="s">
        <v>59</v>
      </c>
      <c r="AB903" t="s">
        <v>59</v>
      </c>
      <c r="AC903" t="s">
        <v>59</v>
      </c>
      <c r="AD903" t="s">
        <v>59</v>
      </c>
      <c r="AF903" s="1">
        <v>39682</v>
      </c>
      <c r="AG903" t="s">
        <v>125</v>
      </c>
      <c r="AH903" t="s">
        <v>126</v>
      </c>
      <c r="AI903" t="str">
        <f>"1711010"</f>
        <v>1711010</v>
      </c>
      <c r="AJ903" t="s">
        <v>695</v>
      </c>
      <c r="AK903">
        <v>2810741301</v>
      </c>
      <c r="AL903" t="s">
        <v>696</v>
      </c>
      <c r="AM903" t="s">
        <v>78</v>
      </c>
      <c r="AN903" t="s">
        <v>424</v>
      </c>
      <c r="AO903" t="s">
        <v>428</v>
      </c>
      <c r="AP903" t="s">
        <v>429</v>
      </c>
      <c r="AQ903">
        <v>14</v>
      </c>
      <c r="AR903" t="s">
        <v>123</v>
      </c>
      <c r="AS903" t="s">
        <v>124</v>
      </c>
      <c r="AT903" t="s">
        <v>58</v>
      </c>
      <c r="AU903" t="s">
        <v>68</v>
      </c>
      <c r="AV903" t="s">
        <v>69</v>
      </c>
      <c r="AW903" s="1">
        <v>28515</v>
      </c>
      <c r="AX903">
        <v>2</v>
      </c>
    </row>
    <row r="904" spans="1:50">
      <c r="A904">
        <v>222256</v>
      </c>
      <c r="B904" t="str">
        <f>"114583473"</f>
        <v>114583473</v>
      </c>
      <c r="C904" t="s">
        <v>50</v>
      </c>
      <c r="D904" t="s">
        <v>2275</v>
      </c>
      <c r="E904" t="s">
        <v>1029</v>
      </c>
      <c r="F904" t="s">
        <v>760</v>
      </c>
      <c r="G904" t="s">
        <v>109</v>
      </c>
      <c r="H904" t="str">
        <f>"ΑΓΙΟΥ ΑΡΤΕΜΙΟΥ 18 ΗΡΑΚΛΕΙΟ"</f>
        <v>ΑΓΙΟΥ ΑΡΤΕΜΙΟΥ 18 ΗΡΑΚΛΕΙΟ</v>
      </c>
      <c r="I904">
        <v>71409</v>
      </c>
      <c r="J904">
        <v>2810328311</v>
      </c>
      <c r="K904">
        <v>6972774301</v>
      </c>
      <c r="M904" t="s">
        <v>2276</v>
      </c>
      <c r="N904" t="s">
        <v>146</v>
      </c>
      <c r="O904" t="s">
        <v>147</v>
      </c>
      <c r="R904" t="s">
        <v>57</v>
      </c>
      <c r="S904">
        <v>5</v>
      </c>
      <c r="T904">
        <v>775</v>
      </c>
      <c r="U904" s="1">
        <v>39680</v>
      </c>
      <c r="V904" t="s">
        <v>123</v>
      </c>
      <c r="W904" t="s">
        <v>124</v>
      </c>
      <c r="X904" t="s">
        <v>58</v>
      </c>
      <c r="Y904">
        <v>21</v>
      </c>
      <c r="Z904" t="s">
        <v>59</v>
      </c>
      <c r="AA904" t="s">
        <v>59</v>
      </c>
      <c r="AB904" t="s">
        <v>59</v>
      </c>
      <c r="AC904" t="s">
        <v>59</v>
      </c>
      <c r="AD904" t="s">
        <v>59</v>
      </c>
      <c r="AF904" s="1">
        <v>39681</v>
      </c>
      <c r="AG904" t="s">
        <v>125</v>
      </c>
      <c r="AH904" t="s">
        <v>126</v>
      </c>
      <c r="AI904" t="str">
        <f>"1701054"</f>
        <v>1701054</v>
      </c>
      <c r="AJ904" t="s">
        <v>318</v>
      </c>
      <c r="AK904">
        <v>2810252418</v>
      </c>
      <c r="AL904" t="s">
        <v>319</v>
      </c>
      <c r="AM904" t="s">
        <v>78</v>
      </c>
      <c r="AN904" t="s">
        <v>78</v>
      </c>
      <c r="AO904" t="s">
        <v>78</v>
      </c>
      <c r="AP904" t="s">
        <v>141</v>
      </c>
      <c r="AQ904">
        <v>7</v>
      </c>
      <c r="AR904" t="s">
        <v>123</v>
      </c>
      <c r="AS904" t="s">
        <v>124</v>
      </c>
      <c r="AT904" t="s">
        <v>58</v>
      </c>
      <c r="AU904" t="s">
        <v>68</v>
      </c>
      <c r="AV904" t="s">
        <v>69</v>
      </c>
      <c r="AW904" s="1">
        <v>27737</v>
      </c>
      <c r="AX904">
        <v>2</v>
      </c>
    </row>
    <row r="905" spans="1:50">
      <c r="A905">
        <v>224995</v>
      </c>
      <c r="B905" t="str">
        <f>"078294894"</f>
        <v>078294894</v>
      </c>
      <c r="C905" t="s">
        <v>105</v>
      </c>
      <c r="D905" t="s">
        <v>2277</v>
      </c>
      <c r="E905" t="s">
        <v>72</v>
      </c>
      <c r="F905" t="s">
        <v>936</v>
      </c>
      <c r="G905" t="s">
        <v>52</v>
      </c>
      <c r="H905" t="str">
        <f>"ΚΙΡΚΗΣ 39 ΗΡΑΚΛΕΙΟ"</f>
        <v>ΚΙΡΚΗΣ 39 ΗΡΑΚΛΕΙΟ</v>
      </c>
      <c r="I905">
        <v>71304</v>
      </c>
      <c r="J905">
        <v>2810317247</v>
      </c>
      <c r="K905">
        <v>6944863851</v>
      </c>
      <c r="M905" t="s">
        <v>2278</v>
      </c>
      <c r="N905" t="s">
        <v>176</v>
      </c>
      <c r="O905" t="s">
        <v>177</v>
      </c>
      <c r="R905" t="s">
        <v>57</v>
      </c>
      <c r="S905">
        <v>6</v>
      </c>
      <c r="T905">
        <v>775</v>
      </c>
      <c r="U905" s="1">
        <v>39680</v>
      </c>
      <c r="V905" t="s">
        <v>123</v>
      </c>
      <c r="W905" t="s">
        <v>124</v>
      </c>
      <c r="X905" t="s">
        <v>58</v>
      </c>
      <c r="Y905">
        <v>20</v>
      </c>
      <c r="Z905" t="s">
        <v>59</v>
      </c>
      <c r="AA905" t="s">
        <v>59</v>
      </c>
      <c r="AB905" t="s">
        <v>59</v>
      </c>
      <c r="AC905" t="s">
        <v>59</v>
      </c>
      <c r="AD905" t="s">
        <v>59</v>
      </c>
      <c r="AF905" s="1">
        <v>39685</v>
      </c>
      <c r="AG905" t="s">
        <v>148</v>
      </c>
      <c r="AH905" t="s">
        <v>149</v>
      </c>
      <c r="AI905" t="str">
        <f>"1771010"</f>
        <v>1771010</v>
      </c>
      <c r="AJ905" t="s">
        <v>915</v>
      </c>
      <c r="AK905">
        <v>2892031290</v>
      </c>
      <c r="AL905" t="s">
        <v>916</v>
      </c>
      <c r="AM905" t="s">
        <v>78</v>
      </c>
      <c r="AN905" t="s">
        <v>405</v>
      </c>
      <c r="AO905" t="s">
        <v>405</v>
      </c>
      <c r="AP905" t="s">
        <v>464</v>
      </c>
      <c r="AQ905">
        <v>33</v>
      </c>
      <c r="AR905" t="s">
        <v>123</v>
      </c>
      <c r="AS905" t="s">
        <v>124</v>
      </c>
      <c r="AT905" t="s">
        <v>58</v>
      </c>
      <c r="AU905" t="s">
        <v>68</v>
      </c>
      <c r="AV905" t="s">
        <v>69</v>
      </c>
      <c r="AW905" s="1">
        <v>25726</v>
      </c>
      <c r="AX905">
        <v>2</v>
      </c>
    </row>
    <row r="906" spans="1:50">
      <c r="A906">
        <v>207604</v>
      </c>
      <c r="B906" t="str">
        <f>"061286287"</f>
        <v>061286287</v>
      </c>
      <c r="C906" t="s">
        <v>50</v>
      </c>
      <c r="D906" t="s">
        <v>2279</v>
      </c>
      <c r="E906" t="s">
        <v>181</v>
      </c>
      <c r="F906" t="s">
        <v>2280</v>
      </c>
      <c r="G906" t="s">
        <v>155</v>
      </c>
      <c r="H906" t="str">
        <f>"ΜΙΝΩΤΑΥΡΟΥ 12 ΗΡΑΚΛΕΙΟ"</f>
        <v>ΜΙΝΩΤΑΥΡΟΥ 12 ΗΡΑΚΛΕΙΟ</v>
      </c>
      <c r="J906">
        <v>2810263371</v>
      </c>
      <c r="K906">
        <v>6937660019</v>
      </c>
      <c r="M906" t="s">
        <v>2281</v>
      </c>
      <c r="N906" t="s">
        <v>306</v>
      </c>
      <c r="O906" t="s">
        <v>307</v>
      </c>
      <c r="R906" t="s">
        <v>57</v>
      </c>
      <c r="S906">
        <v>8</v>
      </c>
      <c r="T906">
        <v>218</v>
      </c>
      <c r="U906" s="1">
        <v>38596</v>
      </c>
      <c r="V906" t="s">
        <v>123</v>
      </c>
      <c r="W906" t="s">
        <v>124</v>
      </c>
      <c r="X906" t="s">
        <v>58</v>
      </c>
      <c r="Y906">
        <v>20</v>
      </c>
      <c r="Z906" t="s">
        <v>59</v>
      </c>
      <c r="AA906" t="s">
        <v>59</v>
      </c>
      <c r="AB906" t="s">
        <v>59</v>
      </c>
      <c r="AC906" t="s">
        <v>59</v>
      </c>
      <c r="AD906" t="s">
        <v>59</v>
      </c>
      <c r="AF906" s="1">
        <v>38601</v>
      </c>
      <c r="AG906" t="s">
        <v>148</v>
      </c>
      <c r="AH906" t="s">
        <v>149</v>
      </c>
      <c r="AI906" t="str">
        <f>"1760010"</f>
        <v>1760010</v>
      </c>
      <c r="AJ906" t="s">
        <v>701</v>
      </c>
      <c r="AK906">
        <v>2810711442</v>
      </c>
      <c r="AL906" t="s">
        <v>702</v>
      </c>
      <c r="AM906" t="s">
        <v>78</v>
      </c>
      <c r="AN906" t="s">
        <v>129</v>
      </c>
      <c r="AO906" t="s">
        <v>597</v>
      </c>
      <c r="AP906" t="s">
        <v>598</v>
      </c>
      <c r="AQ906">
        <v>28</v>
      </c>
      <c r="AR906" t="s">
        <v>123</v>
      </c>
      <c r="AS906" t="s">
        <v>124</v>
      </c>
      <c r="AT906" t="s">
        <v>58</v>
      </c>
      <c r="AU906" t="s">
        <v>68</v>
      </c>
      <c r="AV906" t="s">
        <v>69</v>
      </c>
      <c r="AW906" s="1">
        <v>26789</v>
      </c>
      <c r="AX906">
        <v>2</v>
      </c>
    </row>
    <row r="907" spans="1:50">
      <c r="A907">
        <v>701965</v>
      </c>
      <c r="B907" t="str">
        <f>"131092020"</f>
        <v>131092020</v>
      </c>
      <c r="C907" t="s">
        <v>50</v>
      </c>
      <c r="D907" t="s">
        <v>2282</v>
      </c>
      <c r="E907" t="s">
        <v>109</v>
      </c>
      <c r="F907" t="s">
        <v>72</v>
      </c>
      <c r="G907" t="s">
        <v>382</v>
      </c>
      <c r="H907" t="str">
        <f>"ΠΑΠΑΡΡΗΓΟΠΟΥΛΟΥ 28 ΝΙΚΑΙΑ"</f>
        <v>ΠΑΠΑΡΡΗΓΟΠΟΥΛΟΥ 28 ΝΙΚΑΙΑ</v>
      </c>
      <c r="I907">
        <v>18452</v>
      </c>
      <c r="J907">
        <v>2104973663</v>
      </c>
      <c r="K907">
        <v>6947618513</v>
      </c>
      <c r="M907" t="s">
        <v>2283</v>
      </c>
      <c r="N907" t="s">
        <v>146</v>
      </c>
      <c r="O907" t="s">
        <v>147</v>
      </c>
      <c r="R907" t="s">
        <v>57</v>
      </c>
      <c r="S907">
        <v>6</v>
      </c>
      <c r="T907">
        <v>772</v>
      </c>
      <c r="U907" s="1">
        <v>40413</v>
      </c>
      <c r="V907" t="s">
        <v>123</v>
      </c>
      <c r="W907" t="s">
        <v>124</v>
      </c>
      <c r="X907" t="s">
        <v>58</v>
      </c>
      <c r="Y907">
        <v>20</v>
      </c>
      <c r="Z907" t="s">
        <v>59</v>
      </c>
      <c r="AA907" t="s">
        <v>59</v>
      </c>
      <c r="AB907" t="s">
        <v>59</v>
      </c>
      <c r="AC907" t="s">
        <v>59</v>
      </c>
      <c r="AD907" t="s">
        <v>59</v>
      </c>
      <c r="AF907" s="1">
        <v>40413</v>
      </c>
      <c r="AG907" t="s">
        <v>125</v>
      </c>
      <c r="AH907" t="s">
        <v>126</v>
      </c>
      <c r="AI907" t="str">
        <f>"1717011"</f>
        <v>1717011</v>
      </c>
      <c r="AJ907" t="s">
        <v>832</v>
      </c>
      <c r="AK907">
        <v>2897023311</v>
      </c>
      <c r="AL907" t="s">
        <v>833</v>
      </c>
      <c r="AM907" t="s">
        <v>78</v>
      </c>
      <c r="AN907" t="s">
        <v>219</v>
      </c>
      <c r="AO907" t="s">
        <v>219</v>
      </c>
      <c r="AP907" t="s">
        <v>220</v>
      </c>
      <c r="AQ907">
        <v>20</v>
      </c>
      <c r="AR907" t="s">
        <v>123</v>
      </c>
      <c r="AS907" t="s">
        <v>124</v>
      </c>
      <c r="AT907" t="s">
        <v>58</v>
      </c>
      <c r="AU907" t="s">
        <v>68</v>
      </c>
      <c r="AV907" t="s">
        <v>69</v>
      </c>
      <c r="AW907" s="1">
        <v>29266</v>
      </c>
      <c r="AX907">
        <v>2</v>
      </c>
    </row>
    <row r="908" spans="1:50">
      <c r="A908">
        <v>905445</v>
      </c>
      <c r="B908" t="str">
        <f>"062370680"</f>
        <v>062370680</v>
      </c>
      <c r="C908" t="s">
        <v>50</v>
      </c>
      <c r="D908" t="s">
        <v>2284</v>
      </c>
      <c r="E908" t="s">
        <v>314</v>
      </c>
      <c r="F908" t="s">
        <v>99</v>
      </c>
      <c r="G908" t="s">
        <v>341</v>
      </c>
      <c r="H908" t="str">
        <f>"ΝΕΟΦΥΤΟΥ ΟΙΚΟΝΟΜΟΥ 38 ΗΡΑΚΛΕΙΟ"</f>
        <v>ΝΕΟΦΥΤΟΥ ΟΙΚΟΝΟΜΟΥ 38 ΗΡΑΚΛΕΙΟ</v>
      </c>
      <c r="J908">
        <v>2810210117</v>
      </c>
      <c r="N908" t="s">
        <v>146</v>
      </c>
      <c r="O908" t="s">
        <v>147</v>
      </c>
      <c r="R908" t="s">
        <v>57</v>
      </c>
      <c r="S908">
        <v>17</v>
      </c>
      <c r="T908">
        <v>388</v>
      </c>
      <c r="U908" s="1">
        <v>30650</v>
      </c>
      <c r="V908" t="s">
        <v>123</v>
      </c>
      <c r="W908" t="s">
        <v>124</v>
      </c>
      <c r="X908" t="s">
        <v>58</v>
      </c>
      <c r="Y908">
        <v>18</v>
      </c>
      <c r="Z908" t="s">
        <v>59</v>
      </c>
      <c r="AA908" t="s">
        <v>59</v>
      </c>
      <c r="AB908" t="s">
        <v>59</v>
      </c>
      <c r="AC908" t="s">
        <v>59</v>
      </c>
      <c r="AD908" t="s">
        <v>59</v>
      </c>
      <c r="AF908" s="1">
        <v>30651</v>
      </c>
      <c r="AG908" t="s">
        <v>148</v>
      </c>
      <c r="AH908" t="s">
        <v>149</v>
      </c>
      <c r="AI908" t="str">
        <f>"1790210"</f>
        <v>1790210</v>
      </c>
      <c r="AJ908" t="s">
        <v>417</v>
      </c>
      <c r="AK908">
        <v>2810252172</v>
      </c>
      <c r="AL908" t="s">
        <v>418</v>
      </c>
      <c r="AM908" t="s">
        <v>78</v>
      </c>
      <c r="AN908" t="s">
        <v>78</v>
      </c>
      <c r="AO908" t="s">
        <v>78</v>
      </c>
      <c r="AP908" t="s">
        <v>141</v>
      </c>
      <c r="AQ908">
        <v>7</v>
      </c>
      <c r="AR908" t="s">
        <v>123</v>
      </c>
      <c r="AS908" t="s">
        <v>124</v>
      </c>
      <c r="AT908" t="s">
        <v>58</v>
      </c>
      <c r="AU908" t="s">
        <v>68</v>
      </c>
      <c r="AV908" t="s">
        <v>69</v>
      </c>
      <c r="AW908" s="1">
        <v>20926</v>
      </c>
      <c r="AX908">
        <v>2</v>
      </c>
    </row>
    <row r="909" spans="1:50">
      <c r="A909">
        <v>223009</v>
      </c>
      <c r="B909" t="str">
        <f>"044835062"</f>
        <v>044835062</v>
      </c>
      <c r="C909" t="s">
        <v>105</v>
      </c>
      <c r="D909" t="s">
        <v>2285</v>
      </c>
      <c r="E909" t="s">
        <v>154</v>
      </c>
      <c r="F909" t="s">
        <v>166</v>
      </c>
      <c r="G909" t="s">
        <v>237</v>
      </c>
      <c r="H909" t="str">
        <f>"ΙΕΡΟΛΟΧΙΤΩΝ 30 ΓΑΖΙ"</f>
        <v>ΙΕΡΟΛΟΧΙΤΩΝ 30 ΓΑΖΙ</v>
      </c>
      <c r="J909">
        <v>2810324258</v>
      </c>
      <c r="K909">
        <v>6945883282</v>
      </c>
      <c r="M909" t="s">
        <v>2286</v>
      </c>
      <c r="N909" t="s">
        <v>292</v>
      </c>
      <c r="O909" t="s">
        <v>293</v>
      </c>
      <c r="R909" t="s">
        <v>57</v>
      </c>
      <c r="S909">
        <v>5</v>
      </c>
      <c r="T909">
        <v>775</v>
      </c>
      <c r="U909" s="1">
        <v>39680</v>
      </c>
      <c r="V909" t="s">
        <v>123</v>
      </c>
      <c r="W909" t="s">
        <v>124</v>
      </c>
      <c r="X909" t="s">
        <v>58</v>
      </c>
      <c r="Y909">
        <v>21</v>
      </c>
      <c r="Z909" t="s">
        <v>59</v>
      </c>
      <c r="AA909" t="s">
        <v>59</v>
      </c>
      <c r="AB909" t="s">
        <v>59</v>
      </c>
      <c r="AC909" t="s">
        <v>59</v>
      </c>
      <c r="AD909" t="s">
        <v>59</v>
      </c>
      <c r="AF909" s="1">
        <v>39682</v>
      </c>
      <c r="AG909" t="s">
        <v>125</v>
      </c>
      <c r="AH909" t="s">
        <v>590</v>
      </c>
      <c r="AI909" t="str">
        <f>"1740060"</f>
        <v>1740060</v>
      </c>
      <c r="AJ909" t="s">
        <v>591</v>
      </c>
      <c r="AK909">
        <v>2810232117</v>
      </c>
      <c r="AL909" t="s">
        <v>592</v>
      </c>
      <c r="AM909" t="s">
        <v>78</v>
      </c>
      <c r="AN909" t="s">
        <v>78</v>
      </c>
      <c r="AO909" t="s">
        <v>78</v>
      </c>
      <c r="AP909" t="s">
        <v>141</v>
      </c>
      <c r="AQ909">
        <v>11</v>
      </c>
      <c r="AR909" t="s">
        <v>123</v>
      </c>
      <c r="AS909" t="s">
        <v>124</v>
      </c>
      <c r="AT909" t="s">
        <v>58</v>
      </c>
      <c r="AU909" t="s">
        <v>68</v>
      </c>
      <c r="AV909" t="s">
        <v>69</v>
      </c>
      <c r="AW909" s="1">
        <v>22360</v>
      </c>
      <c r="AX909">
        <v>2</v>
      </c>
    </row>
    <row r="910" spans="1:50">
      <c r="A910">
        <v>194656</v>
      </c>
      <c r="B910" t="str">
        <f>"076665420"</f>
        <v>076665420</v>
      </c>
      <c r="C910" t="s">
        <v>105</v>
      </c>
      <c r="D910" t="s">
        <v>2285</v>
      </c>
      <c r="E910" t="s">
        <v>99</v>
      </c>
      <c r="F910" t="s">
        <v>72</v>
      </c>
      <c r="G910" t="s">
        <v>237</v>
      </c>
      <c r="H910" t="str">
        <f>" "</f>
        <v xml:space="preserve"> </v>
      </c>
      <c r="J910">
        <v>2810241091</v>
      </c>
      <c r="K910">
        <v>6972191036</v>
      </c>
      <c r="N910" t="s">
        <v>135</v>
      </c>
      <c r="O910" t="s">
        <v>136</v>
      </c>
      <c r="R910" t="s">
        <v>57</v>
      </c>
      <c r="S910">
        <v>9</v>
      </c>
      <c r="T910">
        <v>193</v>
      </c>
      <c r="U910" s="1">
        <v>37497</v>
      </c>
      <c r="V910" t="s">
        <v>123</v>
      </c>
      <c r="W910" t="s">
        <v>124</v>
      </c>
      <c r="X910" t="s">
        <v>58</v>
      </c>
      <c r="Y910">
        <v>20</v>
      </c>
      <c r="Z910" t="s">
        <v>59</v>
      </c>
      <c r="AA910" t="s">
        <v>59</v>
      </c>
      <c r="AB910" t="s">
        <v>59</v>
      </c>
      <c r="AC910" t="s">
        <v>59</v>
      </c>
      <c r="AD910" t="s">
        <v>59</v>
      </c>
      <c r="AF910" s="1">
        <v>37501</v>
      </c>
      <c r="AG910" t="s">
        <v>137</v>
      </c>
      <c r="AH910" t="s">
        <v>138</v>
      </c>
      <c r="AI910" t="str">
        <f>"1740210"</f>
        <v>1740210</v>
      </c>
      <c r="AJ910" t="s">
        <v>139</v>
      </c>
      <c r="AK910">
        <v>2810318130</v>
      </c>
      <c r="AL910" t="s">
        <v>140</v>
      </c>
      <c r="AM910" t="s">
        <v>78</v>
      </c>
      <c r="AN910" t="s">
        <v>78</v>
      </c>
      <c r="AO910" t="s">
        <v>78</v>
      </c>
      <c r="AP910" t="s">
        <v>141</v>
      </c>
      <c r="AQ910">
        <v>7</v>
      </c>
      <c r="AR910" t="s">
        <v>123</v>
      </c>
      <c r="AS910" t="s">
        <v>124</v>
      </c>
      <c r="AT910" t="s">
        <v>58</v>
      </c>
      <c r="AU910" t="s">
        <v>68</v>
      </c>
      <c r="AV910" t="s">
        <v>69</v>
      </c>
      <c r="AW910" s="1">
        <v>25895</v>
      </c>
      <c r="AX910">
        <v>2</v>
      </c>
    </row>
    <row r="911" spans="1:50">
      <c r="A911">
        <v>214553</v>
      </c>
      <c r="B911" t="str">
        <f>"063385875"</f>
        <v>063385875</v>
      </c>
      <c r="C911" t="s">
        <v>105</v>
      </c>
      <c r="D911" t="s">
        <v>2285</v>
      </c>
      <c r="E911" t="s">
        <v>92</v>
      </c>
      <c r="F911" t="s">
        <v>84</v>
      </c>
      <c r="G911" t="s">
        <v>52</v>
      </c>
      <c r="H911" t="str">
        <f>"ΚΑΤΩ ΓΟΥΒΕΣ "</f>
        <v xml:space="preserve">ΚΑΤΩ ΓΟΥΒΕΣ </v>
      </c>
      <c r="I911">
        <v>70014</v>
      </c>
      <c r="J911">
        <v>2897041670</v>
      </c>
      <c r="K911">
        <v>6946795301</v>
      </c>
      <c r="M911" t="s">
        <v>2287</v>
      </c>
      <c r="N911" t="s">
        <v>176</v>
      </c>
      <c r="O911" t="s">
        <v>177</v>
      </c>
      <c r="R911" t="s">
        <v>57</v>
      </c>
      <c r="S911">
        <v>7</v>
      </c>
      <c r="T911">
        <v>231</v>
      </c>
      <c r="U911" s="1">
        <v>38960</v>
      </c>
      <c r="V911" t="s">
        <v>123</v>
      </c>
      <c r="W911" t="s">
        <v>124</v>
      </c>
      <c r="X911" t="s">
        <v>58</v>
      </c>
      <c r="Y911">
        <v>20</v>
      </c>
      <c r="Z911" t="s">
        <v>59</v>
      </c>
      <c r="AA911" t="s">
        <v>59</v>
      </c>
      <c r="AB911" t="s">
        <v>59</v>
      </c>
      <c r="AC911" t="s">
        <v>59</v>
      </c>
      <c r="AD911" t="s">
        <v>59</v>
      </c>
      <c r="AF911" s="1">
        <v>38961</v>
      </c>
      <c r="AG911" t="s">
        <v>125</v>
      </c>
      <c r="AH911" t="s">
        <v>126</v>
      </c>
      <c r="AI911" t="str">
        <f>"1717011"</f>
        <v>1717011</v>
      </c>
      <c r="AJ911" t="s">
        <v>832</v>
      </c>
      <c r="AK911">
        <v>2897023311</v>
      </c>
      <c r="AL911" t="s">
        <v>833</v>
      </c>
      <c r="AM911" t="s">
        <v>78</v>
      </c>
      <c r="AN911" t="s">
        <v>219</v>
      </c>
      <c r="AO911" t="s">
        <v>219</v>
      </c>
      <c r="AP911" t="s">
        <v>220</v>
      </c>
      <c r="AQ911">
        <v>20</v>
      </c>
      <c r="AR911" t="s">
        <v>123</v>
      </c>
      <c r="AS911" t="s">
        <v>124</v>
      </c>
      <c r="AT911" t="s">
        <v>58</v>
      </c>
      <c r="AU911" t="s">
        <v>68</v>
      </c>
      <c r="AV911" t="s">
        <v>69</v>
      </c>
      <c r="AW911" s="1">
        <v>26148</v>
      </c>
      <c r="AX911">
        <v>2</v>
      </c>
    </row>
    <row r="912" spans="1:50">
      <c r="A912">
        <v>193631</v>
      </c>
      <c r="B912" t="str">
        <f>"064123707"</f>
        <v>064123707</v>
      </c>
      <c r="C912" t="s">
        <v>50</v>
      </c>
      <c r="D912" t="s">
        <v>2288</v>
      </c>
      <c r="E912" t="s">
        <v>83</v>
      </c>
      <c r="F912" t="s">
        <v>53</v>
      </c>
      <c r="G912" t="s">
        <v>250</v>
      </c>
      <c r="H912" t="str">
        <f>" "</f>
        <v xml:space="preserve"> </v>
      </c>
      <c r="M912" t="s">
        <v>2289</v>
      </c>
      <c r="N912" t="s">
        <v>232</v>
      </c>
      <c r="O912" t="s">
        <v>233</v>
      </c>
      <c r="R912" t="s">
        <v>57</v>
      </c>
      <c r="S912">
        <v>10</v>
      </c>
      <c r="T912">
        <v>193</v>
      </c>
      <c r="U912" s="1">
        <v>37497</v>
      </c>
      <c r="V912" t="s">
        <v>123</v>
      </c>
      <c r="W912" t="s">
        <v>124</v>
      </c>
      <c r="X912" t="s">
        <v>58</v>
      </c>
      <c r="Y912">
        <v>18</v>
      </c>
      <c r="Z912" t="s">
        <v>59</v>
      </c>
      <c r="AA912" t="s">
        <v>59</v>
      </c>
      <c r="AB912" t="s">
        <v>59</v>
      </c>
      <c r="AC912" t="s">
        <v>59</v>
      </c>
      <c r="AD912" t="s">
        <v>59</v>
      </c>
      <c r="AF912" s="1">
        <v>37501</v>
      </c>
      <c r="AG912" t="s">
        <v>125</v>
      </c>
      <c r="AH912" t="s">
        <v>126</v>
      </c>
      <c r="AI912" t="str">
        <f>"1701054"</f>
        <v>1701054</v>
      </c>
      <c r="AJ912" t="s">
        <v>318</v>
      </c>
      <c r="AK912">
        <v>2810252418</v>
      </c>
      <c r="AL912" t="s">
        <v>319</v>
      </c>
      <c r="AM912" t="s">
        <v>78</v>
      </c>
      <c r="AN912" t="s">
        <v>78</v>
      </c>
      <c r="AO912" t="s">
        <v>78</v>
      </c>
      <c r="AP912" t="s">
        <v>141</v>
      </c>
      <c r="AQ912">
        <v>7</v>
      </c>
      <c r="AR912" t="s">
        <v>123</v>
      </c>
      <c r="AS912" t="s">
        <v>124</v>
      </c>
      <c r="AT912" t="s">
        <v>58</v>
      </c>
      <c r="AU912" t="s">
        <v>68</v>
      </c>
      <c r="AV912" t="s">
        <v>69</v>
      </c>
      <c r="AW912" s="1">
        <v>23139</v>
      </c>
      <c r="AX912">
        <v>2</v>
      </c>
    </row>
    <row r="913" spans="1:50">
      <c r="A913">
        <v>158902</v>
      </c>
      <c r="B913" t="str">
        <f>"035214573"</f>
        <v>035214573</v>
      </c>
      <c r="C913" t="s">
        <v>105</v>
      </c>
      <c r="D913" t="s">
        <v>2290</v>
      </c>
      <c r="E913" t="s">
        <v>2291</v>
      </c>
      <c r="F913" t="s">
        <v>2292</v>
      </c>
      <c r="G913" t="s">
        <v>52</v>
      </c>
      <c r="H913" t="str">
        <f>"ΗΡΑΚΛΗ 31 "</f>
        <v xml:space="preserve">ΗΡΑΚΛΗ 31 </v>
      </c>
      <c r="I913">
        <v>71305</v>
      </c>
      <c r="J913">
        <v>2810263774</v>
      </c>
      <c r="K913">
        <v>6973761101</v>
      </c>
      <c r="M913" t="s">
        <v>2293</v>
      </c>
      <c r="N913" t="s">
        <v>157</v>
      </c>
      <c r="O913" t="s">
        <v>158</v>
      </c>
      <c r="P913" t="s">
        <v>146</v>
      </c>
      <c r="Q913" t="s">
        <v>147</v>
      </c>
      <c r="R913" t="s">
        <v>57</v>
      </c>
      <c r="S913">
        <v>14</v>
      </c>
      <c r="T913">
        <v>161</v>
      </c>
      <c r="U913" s="1">
        <v>33119</v>
      </c>
      <c r="V913" t="s">
        <v>123</v>
      </c>
      <c r="W913" t="s">
        <v>124</v>
      </c>
      <c r="X913" t="s">
        <v>58</v>
      </c>
      <c r="Y913">
        <v>18</v>
      </c>
      <c r="Z913" t="s">
        <v>59</v>
      </c>
      <c r="AA913" t="s">
        <v>59</v>
      </c>
      <c r="AB913" t="s">
        <v>59</v>
      </c>
      <c r="AC913" t="s">
        <v>59</v>
      </c>
      <c r="AD913" t="s">
        <v>59</v>
      </c>
      <c r="AF913" s="1">
        <v>33129</v>
      </c>
      <c r="AG913" t="s">
        <v>125</v>
      </c>
      <c r="AH913" t="s">
        <v>126</v>
      </c>
      <c r="AI913" t="str">
        <f>"1701052"</f>
        <v>1701052</v>
      </c>
      <c r="AJ913" t="s">
        <v>223</v>
      </c>
      <c r="AK913">
        <v>2810252514</v>
      </c>
      <c r="AL913" t="s">
        <v>224</v>
      </c>
      <c r="AM913" t="s">
        <v>78</v>
      </c>
      <c r="AN913" t="s">
        <v>78</v>
      </c>
      <c r="AO913" t="s">
        <v>78</v>
      </c>
      <c r="AP913" t="s">
        <v>141</v>
      </c>
      <c r="AQ913">
        <v>7</v>
      </c>
      <c r="AR913" t="s">
        <v>123</v>
      </c>
      <c r="AS913" t="s">
        <v>124</v>
      </c>
      <c r="AT913" t="s">
        <v>58</v>
      </c>
      <c r="AU913" t="s">
        <v>68</v>
      </c>
      <c r="AV913" t="s">
        <v>69</v>
      </c>
      <c r="AW913" s="1">
        <v>23140</v>
      </c>
      <c r="AX913">
        <v>2</v>
      </c>
    </row>
    <row r="914" spans="1:50">
      <c r="A914">
        <v>167684</v>
      </c>
      <c r="B914" t="str">
        <f>"032892747"</f>
        <v>032892747</v>
      </c>
      <c r="C914" t="s">
        <v>105</v>
      </c>
      <c r="D914" t="s">
        <v>2294</v>
      </c>
      <c r="E914" t="s">
        <v>450</v>
      </c>
      <c r="F914" t="s">
        <v>72</v>
      </c>
      <c r="G914" t="s">
        <v>155</v>
      </c>
      <c r="H914" t="str">
        <f>"ΠΑΤΣΙΔΕΣ ΑΡΧΑΝΩΝ ΑΡΧΑΝΩΝ"</f>
        <v>ΠΑΤΣΙΔΕΣ ΑΡΧΑΝΩΝ ΑΡΧΑΝΩΝ</v>
      </c>
      <c r="I914">
        <v>70100</v>
      </c>
      <c r="K914">
        <v>6948537834</v>
      </c>
      <c r="M914" t="s">
        <v>2295</v>
      </c>
      <c r="N914" t="s">
        <v>146</v>
      </c>
      <c r="O914" t="s">
        <v>147</v>
      </c>
      <c r="R914" t="s">
        <v>57</v>
      </c>
      <c r="S914">
        <v>12</v>
      </c>
      <c r="T914">
        <v>159</v>
      </c>
      <c r="U914" s="1">
        <v>34582</v>
      </c>
      <c r="V914" t="s">
        <v>123</v>
      </c>
      <c r="W914" t="s">
        <v>124</v>
      </c>
      <c r="X914" t="s">
        <v>58</v>
      </c>
      <c r="Y914">
        <v>18</v>
      </c>
      <c r="Z914" t="s">
        <v>59</v>
      </c>
      <c r="AA914" t="s">
        <v>59</v>
      </c>
      <c r="AB914" t="s">
        <v>59</v>
      </c>
      <c r="AC914" t="s">
        <v>59</v>
      </c>
      <c r="AD914" t="s">
        <v>59</v>
      </c>
      <c r="AF914" s="1">
        <v>34583</v>
      </c>
      <c r="AG914" t="s">
        <v>148</v>
      </c>
      <c r="AH914" t="s">
        <v>149</v>
      </c>
      <c r="AI914" t="str">
        <f>"1751052"</f>
        <v>1751052</v>
      </c>
      <c r="AJ914" t="s">
        <v>328</v>
      </c>
      <c r="AK914">
        <v>2810213762</v>
      </c>
      <c r="AL914" t="s">
        <v>329</v>
      </c>
      <c r="AM914" t="s">
        <v>78</v>
      </c>
      <c r="AN914" t="s">
        <v>78</v>
      </c>
      <c r="AO914" t="s">
        <v>78</v>
      </c>
      <c r="AP914" t="s">
        <v>163</v>
      </c>
      <c r="AQ914">
        <v>8</v>
      </c>
      <c r="AR914" t="s">
        <v>123</v>
      </c>
      <c r="AS914" t="s">
        <v>124</v>
      </c>
      <c r="AT914" t="s">
        <v>58</v>
      </c>
      <c r="AU914" t="s">
        <v>68</v>
      </c>
      <c r="AV914" t="s">
        <v>69</v>
      </c>
      <c r="AW914" s="1">
        <v>23541</v>
      </c>
      <c r="AX914">
        <v>2</v>
      </c>
    </row>
    <row r="915" spans="1:50">
      <c r="A915">
        <v>196611</v>
      </c>
      <c r="B915" t="str">
        <f>"076565840"</f>
        <v>076565840</v>
      </c>
      <c r="C915" t="s">
        <v>50</v>
      </c>
      <c r="D915" t="s">
        <v>2296</v>
      </c>
      <c r="E915" t="s">
        <v>980</v>
      </c>
      <c r="F915" t="s">
        <v>315</v>
      </c>
      <c r="G915" t="s">
        <v>2297</v>
      </c>
      <c r="H915" t="str">
        <f>"ΠΑΡΜΕΝΙΩΝΟΣ 6 ΑΓ. ΑΙΚΑΤΕΡΙΝΗ"</f>
        <v>ΠΑΡΜΕΝΙΩΝΟΣ 6 ΑΓ. ΑΙΚΑΤΕΡΙΝΗ</v>
      </c>
      <c r="I915">
        <v>71307</v>
      </c>
      <c r="J915">
        <v>2810235400</v>
      </c>
      <c r="K915">
        <v>6974005892</v>
      </c>
      <c r="N915" t="s">
        <v>135</v>
      </c>
      <c r="O915" t="s">
        <v>136</v>
      </c>
      <c r="R915" t="s">
        <v>57</v>
      </c>
      <c r="S915">
        <v>9</v>
      </c>
      <c r="T915">
        <v>25</v>
      </c>
      <c r="U915" s="1">
        <v>37659</v>
      </c>
      <c r="V915" t="s">
        <v>123</v>
      </c>
      <c r="W915" t="s">
        <v>124</v>
      </c>
      <c r="X915" t="s">
        <v>58</v>
      </c>
      <c r="Y915">
        <v>20</v>
      </c>
      <c r="Z915" t="s">
        <v>59</v>
      </c>
      <c r="AA915" t="s">
        <v>59</v>
      </c>
      <c r="AB915" t="s">
        <v>59</v>
      </c>
      <c r="AC915" t="s">
        <v>59</v>
      </c>
      <c r="AD915" t="s">
        <v>59</v>
      </c>
      <c r="AF915" s="1">
        <v>37672</v>
      </c>
      <c r="AG915" t="s">
        <v>137</v>
      </c>
      <c r="AH915" t="s">
        <v>138</v>
      </c>
      <c r="AI915" t="str">
        <f>"1740210"</f>
        <v>1740210</v>
      </c>
      <c r="AJ915" t="s">
        <v>139</v>
      </c>
      <c r="AK915">
        <v>2810318130</v>
      </c>
      <c r="AL915" t="s">
        <v>140</v>
      </c>
      <c r="AM915" t="s">
        <v>78</v>
      </c>
      <c r="AN915" t="s">
        <v>78</v>
      </c>
      <c r="AO915" t="s">
        <v>78</v>
      </c>
      <c r="AP915" t="s">
        <v>141</v>
      </c>
      <c r="AQ915">
        <v>7</v>
      </c>
      <c r="AR915" t="s">
        <v>123</v>
      </c>
      <c r="AS915" t="s">
        <v>124</v>
      </c>
      <c r="AT915" t="s">
        <v>58</v>
      </c>
      <c r="AU915" t="s">
        <v>68</v>
      </c>
      <c r="AV915" t="s">
        <v>69</v>
      </c>
      <c r="AW915" s="1">
        <v>25968</v>
      </c>
      <c r="AX915">
        <v>2</v>
      </c>
    </row>
    <row r="916" spans="1:50">
      <c r="A916">
        <v>218010</v>
      </c>
      <c r="B916" t="str">
        <f>"103806538"</f>
        <v>103806538</v>
      </c>
      <c r="C916" t="s">
        <v>105</v>
      </c>
      <c r="D916" t="s">
        <v>2298</v>
      </c>
      <c r="E916" t="s">
        <v>106</v>
      </c>
      <c r="F916" t="s">
        <v>166</v>
      </c>
      <c r="G916" t="s">
        <v>484</v>
      </c>
      <c r="H916" t="str">
        <f>"ΜΑΤΘΑΙΑΚΗ 74 "</f>
        <v xml:space="preserve">ΜΑΤΘΑΙΑΚΗ 74 </v>
      </c>
      <c r="J916">
        <v>2810245986</v>
      </c>
      <c r="K916">
        <v>6945232684</v>
      </c>
      <c r="M916" t="s">
        <v>2299</v>
      </c>
      <c r="N916" t="s">
        <v>292</v>
      </c>
      <c r="O916" t="s">
        <v>293</v>
      </c>
      <c r="R916" t="s">
        <v>57</v>
      </c>
      <c r="S916">
        <v>11</v>
      </c>
      <c r="T916">
        <v>599</v>
      </c>
      <c r="U916" s="1">
        <v>39310</v>
      </c>
      <c r="V916" t="s">
        <v>123</v>
      </c>
      <c r="W916" t="s">
        <v>124</v>
      </c>
      <c r="X916" t="s">
        <v>58</v>
      </c>
      <c r="Y916">
        <v>21</v>
      </c>
      <c r="Z916" t="s">
        <v>59</v>
      </c>
      <c r="AA916" t="s">
        <v>59</v>
      </c>
      <c r="AB916" t="s">
        <v>59</v>
      </c>
      <c r="AC916" t="s">
        <v>59</v>
      </c>
      <c r="AD916" t="s">
        <v>59</v>
      </c>
      <c r="AF916" s="1">
        <v>39328</v>
      </c>
      <c r="AG916" t="s">
        <v>148</v>
      </c>
      <c r="AH916" t="s">
        <v>149</v>
      </c>
      <c r="AI916" t="str">
        <f>"1751041"</f>
        <v>1751041</v>
      </c>
      <c r="AJ916" t="s">
        <v>353</v>
      </c>
      <c r="AK916">
        <v>2810230207</v>
      </c>
      <c r="AL916" t="s">
        <v>354</v>
      </c>
      <c r="AM916" t="s">
        <v>78</v>
      </c>
      <c r="AN916" t="s">
        <v>78</v>
      </c>
      <c r="AO916" t="s">
        <v>78</v>
      </c>
      <c r="AP916" t="s">
        <v>163</v>
      </c>
      <c r="AQ916">
        <v>2</v>
      </c>
      <c r="AR916" t="s">
        <v>123</v>
      </c>
      <c r="AS916" t="s">
        <v>124</v>
      </c>
      <c r="AT916" t="s">
        <v>58</v>
      </c>
      <c r="AU916" t="s">
        <v>68</v>
      </c>
      <c r="AV916" t="s">
        <v>357</v>
      </c>
      <c r="AW916" s="1">
        <v>28303</v>
      </c>
      <c r="AX916">
        <v>2</v>
      </c>
    </row>
    <row r="917" spans="1:50">
      <c r="A917">
        <v>219070</v>
      </c>
      <c r="B917" t="str">
        <f>"038394628"</f>
        <v>038394628</v>
      </c>
      <c r="C917" t="s">
        <v>50</v>
      </c>
      <c r="D917" t="s">
        <v>2300</v>
      </c>
      <c r="E917" t="s">
        <v>255</v>
      </c>
      <c r="F917" t="s">
        <v>84</v>
      </c>
      <c r="G917" t="s">
        <v>2301</v>
      </c>
      <c r="H917" t="str">
        <f>" "</f>
        <v xml:space="preserve"> </v>
      </c>
      <c r="J917">
        <v>2106534650</v>
      </c>
      <c r="K917">
        <v>6937238433</v>
      </c>
      <c r="M917" t="s">
        <v>2302</v>
      </c>
      <c r="N917" t="s">
        <v>478</v>
      </c>
      <c r="O917" t="s">
        <v>479</v>
      </c>
      <c r="R917" t="s">
        <v>57</v>
      </c>
      <c r="S917">
        <v>10</v>
      </c>
      <c r="T917">
        <v>599</v>
      </c>
      <c r="U917" s="1">
        <v>39310</v>
      </c>
      <c r="V917" t="s">
        <v>123</v>
      </c>
      <c r="W917" t="s">
        <v>124</v>
      </c>
      <c r="X917" t="s">
        <v>58</v>
      </c>
      <c r="Y917">
        <v>20</v>
      </c>
      <c r="Z917" t="s">
        <v>59</v>
      </c>
      <c r="AA917" t="s">
        <v>59</v>
      </c>
      <c r="AB917" t="s">
        <v>59</v>
      </c>
      <c r="AC917" t="s">
        <v>59</v>
      </c>
      <c r="AD917" t="s">
        <v>59</v>
      </c>
      <c r="AF917" s="1">
        <v>39328</v>
      </c>
      <c r="AG917" t="s">
        <v>148</v>
      </c>
      <c r="AH917" t="s">
        <v>149</v>
      </c>
      <c r="AI917" t="str">
        <f>"1757010"</f>
        <v>1757010</v>
      </c>
      <c r="AJ917" t="s">
        <v>240</v>
      </c>
      <c r="AK917">
        <v>2892041388</v>
      </c>
      <c r="AL917" t="s">
        <v>241</v>
      </c>
      <c r="AM917" t="s">
        <v>78</v>
      </c>
      <c r="AN917" t="s">
        <v>242</v>
      </c>
      <c r="AO917" t="s">
        <v>243</v>
      </c>
      <c r="AP917" t="s">
        <v>244</v>
      </c>
      <c r="AQ917">
        <v>34</v>
      </c>
      <c r="AR917" t="s">
        <v>123</v>
      </c>
      <c r="AS917" t="s">
        <v>124</v>
      </c>
      <c r="AT917" t="s">
        <v>58</v>
      </c>
      <c r="AU917" t="s">
        <v>68</v>
      </c>
      <c r="AV917" t="s">
        <v>69</v>
      </c>
      <c r="AW917" s="1">
        <v>24750</v>
      </c>
      <c r="AX917">
        <v>2</v>
      </c>
    </row>
    <row r="918" spans="1:50">
      <c r="A918">
        <v>197222</v>
      </c>
      <c r="B918" t="str">
        <f>"070953271"</f>
        <v>070953271</v>
      </c>
      <c r="C918" t="s">
        <v>50</v>
      </c>
      <c r="D918" t="s">
        <v>2303</v>
      </c>
      <c r="E918" t="s">
        <v>620</v>
      </c>
      <c r="F918" t="s">
        <v>95</v>
      </c>
      <c r="G918" t="s">
        <v>83</v>
      </c>
      <c r="H918" t="str">
        <f>"ΦΙΛΕΛΗΝΩΝ 2 "</f>
        <v xml:space="preserve">ΦΙΛΕΛΗΝΩΝ 2 </v>
      </c>
      <c r="I918">
        <v>71307</v>
      </c>
      <c r="J918">
        <v>2810234780</v>
      </c>
      <c r="K918">
        <v>6973681813</v>
      </c>
      <c r="L918">
        <v>2810233822</v>
      </c>
      <c r="M918" t="s">
        <v>2304</v>
      </c>
      <c r="N918" t="s">
        <v>146</v>
      </c>
      <c r="O918" t="s">
        <v>147</v>
      </c>
      <c r="R918" t="s">
        <v>57</v>
      </c>
      <c r="S918">
        <v>7</v>
      </c>
      <c r="T918">
        <v>206</v>
      </c>
      <c r="U918" s="1">
        <v>37866</v>
      </c>
      <c r="V918" t="s">
        <v>123</v>
      </c>
      <c r="W918" t="s">
        <v>124</v>
      </c>
      <c r="X918" t="s">
        <v>58</v>
      </c>
      <c r="Y918">
        <v>20</v>
      </c>
      <c r="Z918" t="s">
        <v>59</v>
      </c>
      <c r="AA918" t="s">
        <v>59</v>
      </c>
      <c r="AB918" t="s">
        <v>59</v>
      </c>
      <c r="AC918" t="s">
        <v>59</v>
      </c>
      <c r="AD918" t="s">
        <v>59</v>
      </c>
      <c r="AF918" s="1">
        <v>37866</v>
      </c>
      <c r="AG918" t="s">
        <v>148</v>
      </c>
      <c r="AH918" t="s">
        <v>149</v>
      </c>
      <c r="AI918" t="str">
        <f>"1751010"</f>
        <v>1751010</v>
      </c>
      <c r="AJ918" t="s">
        <v>150</v>
      </c>
      <c r="AK918">
        <v>2810346092</v>
      </c>
      <c r="AL918" t="s">
        <v>151</v>
      </c>
      <c r="AM918" t="s">
        <v>78</v>
      </c>
      <c r="AN918" t="s">
        <v>78</v>
      </c>
      <c r="AO918" t="s">
        <v>78</v>
      </c>
      <c r="AP918" t="s">
        <v>79</v>
      </c>
      <c r="AQ918">
        <v>1</v>
      </c>
      <c r="AR918" t="s">
        <v>123</v>
      </c>
      <c r="AS918" t="s">
        <v>124</v>
      </c>
      <c r="AT918" t="s">
        <v>58</v>
      </c>
      <c r="AU918" t="s">
        <v>68</v>
      </c>
      <c r="AV918" t="s">
        <v>69</v>
      </c>
      <c r="AW918" s="1">
        <v>28018</v>
      </c>
      <c r="AX918">
        <v>2</v>
      </c>
    </row>
    <row r="919" spans="1:50">
      <c r="A919">
        <v>159304</v>
      </c>
      <c r="B919" t="str">
        <f>"034943170"</f>
        <v>034943170</v>
      </c>
      <c r="C919" t="s">
        <v>50</v>
      </c>
      <c r="D919" t="s">
        <v>2305</v>
      </c>
      <c r="E919" t="s">
        <v>215</v>
      </c>
      <c r="F919" t="s">
        <v>95</v>
      </c>
      <c r="G919" t="s">
        <v>2306</v>
      </c>
      <c r="H919" t="str">
        <f>"ΔΡΑΚΟΝΤΟΠΟΥΛΟΥ 15 ΗΡΑΚΛΕΙΟ"</f>
        <v>ΔΡΑΚΟΝΤΟΠΟΥΛΟΥ 15 ΗΡΑΚΛΕΙΟ</v>
      </c>
      <c r="I919">
        <v>71306</v>
      </c>
      <c r="J919">
        <v>2810284657</v>
      </c>
      <c r="K919">
        <v>6944272267</v>
      </c>
      <c r="M919" t="s">
        <v>2307</v>
      </c>
      <c r="N919" t="s">
        <v>146</v>
      </c>
      <c r="O919" t="s">
        <v>147</v>
      </c>
      <c r="R919" t="s">
        <v>57</v>
      </c>
      <c r="S919">
        <v>15</v>
      </c>
      <c r="T919">
        <v>161</v>
      </c>
      <c r="U919" s="1">
        <v>33119</v>
      </c>
      <c r="V919" t="s">
        <v>123</v>
      </c>
      <c r="W919" t="s">
        <v>124</v>
      </c>
      <c r="X919" t="s">
        <v>58</v>
      </c>
      <c r="Y919">
        <v>18</v>
      </c>
      <c r="Z919" t="s">
        <v>59</v>
      </c>
      <c r="AA919" t="s">
        <v>59</v>
      </c>
      <c r="AB919" t="s">
        <v>59</v>
      </c>
      <c r="AC919" t="s">
        <v>59</v>
      </c>
      <c r="AD919" t="s">
        <v>59</v>
      </c>
      <c r="AF919" s="1">
        <v>33121</v>
      </c>
      <c r="AG919" t="s">
        <v>125</v>
      </c>
      <c r="AH919" t="s">
        <v>126</v>
      </c>
      <c r="AI919" t="str">
        <f>"1701010"</f>
        <v>1701010</v>
      </c>
      <c r="AJ919" t="s">
        <v>374</v>
      </c>
      <c r="AK919">
        <v>2810227148</v>
      </c>
      <c r="AL919" t="s">
        <v>375</v>
      </c>
      <c r="AM919" t="s">
        <v>78</v>
      </c>
      <c r="AN919" t="s">
        <v>78</v>
      </c>
      <c r="AO919" t="s">
        <v>78</v>
      </c>
      <c r="AP919" t="s">
        <v>79</v>
      </c>
      <c r="AQ919">
        <v>1</v>
      </c>
      <c r="AR919" t="s">
        <v>123</v>
      </c>
      <c r="AS919" t="s">
        <v>124</v>
      </c>
      <c r="AT919" t="s">
        <v>58</v>
      </c>
      <c r="AU919" t="s">
        <v>68</v>
      </c>
      <c r="AV919" t="s">
        <v>69</v>
      </c>
      <c r="AW919" s="1">
        <v>21986</v>
      </c>
      <c r="AX919">
        <v>2</v>
      </c>
    </row>
    <row r="920" spans="1:50">
      <c r="A920">
        <v>224151</v>
      </c>
      <c r="B920" t="str">
        <f>"115619693"</f>
        <v>115619693</v>
      </c>
      <c r="C920" t="s">
        <v>50</v>
      </c>
      <c r="D920" t="s">
        <v>2308</v>
      </c>
      <c r="E920" t="s">
        <v>1752</v>
      </c>
      <c r="F920" t="s">
        <v>670</v>
      </c>
      <c r="G920" t="s">
        <v>2309</v>
      </c>
      <c r="H920" t="str">
        <f>"ΕΥΕΡΓΕΤΩΝ 16 Π. ΦΑΛΗΡΟ"</f>
        <v>ΕΥΕΡΓΕΤΩΝ 16 Π. ΦΑΛΗΡΟ</v>
      </c>
      <c r="I920">
        <v>17563</v>
      </c>
      <c r="J920">
        <v>2109888176</v>
      </c>
      <c r="K920">
        <v>6944343269</v>
      </c>
      <c r="M920" t="s">
        <v>2310</v>
      </c>
      <c r="N920" t="s">
        <v>306</v>
      </c>
      <c r="O920" t="s">
        <v>307</v>
      </c>
      <c r="R920" t="s">
        <v>57</v>
      </c>
      <c r="S920">
        <v>8</v>
      </c>
      <c r="T920">
        <v>775</v>
      </c>
      <c r="U920" s="1">
        <v>39680</v>
      </c>
      <c r="V920" t="s">
        <v>123</v>
      </c>
      <c r="W920" t="s">
        <v>124</v>
      </c>
      <c r="X920" t="s">
        <v>58</v>
      </c>
      <c r="Y920">
        <v>20</v>
      </c>
      <c r="Z920" t="s">
        <v>59</v>
      </c>
      <c r="AA920" t="s">
        <v>59</v>
      </c>
      <c r="AB920" t="s">
        <v>59</v>
      </c>
      <c r="AC920" t="s">
        <v>59</v>
      </c>
      <c r="AD920" t="s">
        <v>59</v>
      </c>
      <c r="AF920" s="1">
        <v>39682</v>
      </c>
      <c r="AG920" t="s">
        <v>125</v>
      </c>
      <c r="AH920" t="s">
        <v>126</v>
      </c>
      <c r="AI920" t="str">
        <f>"1705010"</f>
        <v>1705010</v>
      </c>
      <c r="AJ920" t="s">
        <v>2311</v>
      </c>
      <c r="AK920">
        <v>2891031232</v>
      </c>
      <c r="AL920" t="s">
        <v>2312</v>
      </c>
      <c r="AM920" t="s">
        <v>78</v>
      </c>
      <c r="AN920" t="s">
        <v>276</v>
      </c>
      <c r="AO920" t="s">
        <v>277</v>
      </c>
      <c r="AP920" t="s">
        <v>277</v>
      </c>
      <c r="AQ920">
        <v>17</v>
      </c>
      <c r="AR920" t="s">
        <v>123</v>
      </c>
      <c r="AS920" t="s">
        <v>124</v>
      </c>
      <c r="AT920" t="s">
        <v>58</v>
      </c>
      <c r="AU920" t="s">
        <v>68</v>
      </c>
      <c r="AV920" t="s">
        <v>69</v>
      </c>
      <c r="AW920" s="1">
        <v>28566</v>
      </c>
      <c r="AX920">
        <v>2</v>
      </c>
    </row>
    <row r="921" spans="1:50">
      <c r="A921">
        <v>700575</v>
      </c>
      <c r="B921" t="str">
        <f>"066372443"</f>
        <v>066372443</v>
      </c>
      <c r="C921" t="s">
        <v>50</v>
      </c>
      <c r="D921" t="s">
        <v>2313</v>
      </c>
      <c r="E921" t="s">
        <v>2314</v>
      </c>
      <c r="F921" t="s">
        <v>670</v>
      </c>
      <c r="G921" t="s">
        <v>2315</v>
      </c>
      <c r="H921" t="str">
        <f>"ΑΘΑΝΑΤΟΙ ΗΡΑΚΛΕΙΟ"</f>
        <v>ΑΘΑΝΑΤΟΙ ΗΡΑΚΛΕΙΟ</v>
      </c>
      <c r="I921">
        <v>71500</v>
      </c>
      <c r="J921">
        <v>2810360567</v>
      </c>
      <c r="K921">
        <v>6976435063</v>
      </c>
      <c r="M921" t="s">
        <v>2316</v>
      </c>
      <c r="N921" t="s">
        <v>146</v>
      </c>
      <c r="O921" t="s">
        <v>147</v>
      </c>
      <c r="R921" t="s">
        <v>57</v>
      </c>
      <c r="S921">
        <v>7</v>
      </c>
      <c r="T921">
        <v>772</v>
      </c>
      <c r="U921" s="1">
        <v>40413</v>
      </c>
      <c r="V921" t="s">
        <v>123</v>
      </c>
      <c r="W921" t="s">
        <v>124</v>
      </c>
      <c r="X921" t="s">
        <v>58</v>
      </c>
      <c r="Y921">
        <v>21</v>
      </c>
      <c r="Z921" t="s">
        <v>59</v>
      </c>
      <c r="AA921" t="s">
        <v>59</v>
      </c>
      <c r="AB921" t="s">
        <v>59</v>
      </c>
      <c r="AC921" t="s">
        <v>59</v>
      </c>
      <c r="AD921" t="s">
        <v>59</v>
      </c>
      <c r="AF921" s="1">
        <v>40413</v>
      </c>
      <c r="AG921" t="s">
        <v>125</v>
      </c>
      <c r="AH921" t="s">
        <v>126</v>
      </c>
      <c r="AI921" t="str">
        <f>"1721010"</f>
        <v>1721010</v>
      </c>
      <c r="AJ921" t="s">
        <v>462</v>
      </c>
      <c r="AK921">
        <v>2892031207</v>
      </c>
      <c r="AL921" t="s">
        <v>463</v>
      </c>
      <c r="AM921" t="s">
        <v>78</v>
      </c>
      <c r="AN921" t="s">
        <v>405</v>
      </c>
      <c r="AO921" t="s">
        <v>405</v>
      </c>
      <c r="AP921" t="s">
        <v>464</v>
      </c>
      <c r="AQ921">
        <v>33</v>
      </c>
      <c r="AR921" t="s">
        <v>123</v>
      </c>
      <c r="AS921" t="s">
        <v>124</v>
      </c>
      <c r="AT921" t="s">
        <v>58</v>
      </c>
      <c r="AU921" t="s">
        <v>68</v>
      </c>
      <c r="AV921" t="s">
        <v>69</v>
      </c>
      <c r="AW921" s="1">
        <v>28270</v>
      </c>
      <c r="AX921">
        <v>2</v>
      </c>
    </row>
    <row r="922" spans="1:50">
      <c r="A922">
        <v>200580</v>
      </c>
      <c r="B922" t="str">
        <f>"045552256"</f>
        <v>045552256</v>
      </c>
      <c r="C922" t="s">
        <v>50</v>
      </c>
      <c r="D922" t="s">
        <v>2317</v>
      </c>
      <c r="E922" t="s">
        <v>1189</v>
      </c>
      <c r="F922" t="s">
        <v>304</v>
      </c>
      <c r="G922" t="s">
        <v>1727</v>
      </c>
      <c r="H922" t="str">
        <f>" "</f>
        <v xml:space="preserve"> </v>
      </c>
      <c r="J922">
        <v>2810211542</v>
      </c>
      <c r="K922">
        <v>6946282549</v>
      </c>
      <c r="M922" t="s">
        <v>2318</v>
      </c>
      <c r="N922" t="s">
        <v>299</v>
      </c>
      <c r="O922" t="s">
        <v>300</v>
      </c>
      <c r="R922" t="s">
        <v>57</v>
      </c>
      <c r="S922">
        <v>7</v>
      </c>
      <c r="T922">
        <v>213</v>
      </c>
      <c r="U922" s="1">
        <v>37874</v>
      </c>
      <c r="V922" t="s">
        <v>123</v>
      </c>
      <c r="W922" t="s">
        <v>124</v>
      </c>
      <c r="X922" t="s">
        <v>58</v>
      </c>
      <c r="Y922">
        <v>20</v>
      </c>
      <c r="Z922" t="s">
        <v>59</v>
      </c>
      <c r="AA922" t="s">
        <v>59</v>
      </c>
      <c r="AB922" t="s">
        <v>59</v>
      </c>
      <c r="AC922" t="s">
        <v>59</v>
      </c>
      <c r="AD922" t="s">
        <v>59</v>
      </c>
      <c r="AF922" s="1">
        <v>37875</v>
      </c>
      <c r="AG922" t="s">
        <v>137</v>
      </c>
      <c r="AH922" t="s">
        <v>138</v>
      </c>
      <c r="AI922" t="str">
        <f>"1740310"</f>
        <v>1740310</v>
      </c>
      <c r="AJ922" t="s">
        <v>488</v>
      </c>
      <c r="AK922">
        <v>2891024228</v>
      </c>
      <c r="AL922" t="s">
        <v>489</v>
      </c>
      <c r="AM922" t="s">
        <v>78</v>
      </c>
      <c r="AN922" t="s">
        <v>276</v>
      </c>
      <c r="AO922" t="s">
        <v>490</v>
      </c>
      <c r="AP922" t="s">
        <v>490</v>
      </c>
      <c r="AQ922">
        <v>15</v>
      </c>
      <c r="AR922" t="s">
        <v>123</v>
      </c>
      <c r="AS922" t="s">
        <v>124</v>
      </c>
      <c r="AT922" t="s">
        <v>58</v>
      </c>
      <c r="AU922" t="s">
        <v>68</v>
      </c>
      <c r="AV922" t="s">
        <v>69</v>
      </c>
      <c r="AW922" s="1">
        <v>21825</v>
      </c>
      <c r="AX922">
        <v>2</v>
      </c>
    </row>
    <row r="923" spans="1:50">
      <c r="A923">
        <v>180103</v>
      </c>
      <c r="B923" t="str">
        <f>"103509789"</f>
        <v>103509789</v>
      </c>
      <c r="C923" t="s">
        <v>50</v>
      </c>
      <c r="D923" t="s">
        <v>2319</v>
      </c>
      <c r="E923" t="s">
        <v>52</v>
      </c>
      <c r="F923" t="s">
        <v>2320</v>
      </c>
      <c r="G923" t="s">
        <v>1361</v>
      </c>
      <c r="H923" t="str">
        <f>" "</f>
        <v xml:space="preserve"> </v>
      </c>
      <c r="N923" t="s">
        <v>292</v>
      </c>
      <c r="O923" t="s">
        <v>293</v>
      </c>
      <c r="R923" t="s">
        <v>57</v>
      </c>
      <c r="S923">
        <v>12</v>
      </c>
      <c r="T923">
        <v>164</v>
      </c>
      <c r="U923" s="1">
        <v>36040</v>
      </c>
      <c r="V923" t="s">
        <v>123</v>
      </c>
      <c r="W923" t="s">
        <v>124</v>
      </c>
      <c r="X923" t="s">
        <v>58</v>
      </c>
      <c r="Y923">
        <v>18</v>
      </c>
      <c r="Z923" t="s">
        <v>59</v>
      </c>
      <c r="AA923" t="s">
        <v>59</v>
      </c>
      <c r="AB923" t="s">
        <v>59</v>
      </c>
      <c r="AC923" t="s">
        <v>59</v>
      </c>
      <c r="AD923" t="s">
        <v>59</v>
      </c>
      <c r="AF923" s="1">
        <v>36046</v>
      </c>
      <c r="AG923" t="s">
        <v>137</v>
      </c>
      <c r="AH923" t="s">
        <v>138</v>
      </c>
      <c r="AI923" t="str">
        <f>"1750080"</f>
        <v>1750080</v>
      </c>
      <c r="AJ923" t="s">
        <v>170</v>
      </c>
      <c r="AK923">
        <v>2810234444</v>
      </c>
      <c r="AL923" t="s">
        <v>171</v>
      </c>
      <c r="AM923" t="s">
        <v>78</v>
      </c>
      <c r="AN923" t="s">
        <v>78</v>
      </c>
      <c r="AO923" t="s">
        <v>78</v>
      </c>
      <c r="AP923" t="s">
        <v>163</v>
      </c>
      <c r="AQ923">
        <v>9</v>
      </c>
      <c r="AR923" t="s">
        <v>123</v>
      </c>
      <c r="AS923" t="s">
        <v>124</v>
      </c>
      <c r="AT923" t="s">
        <v>58</v>
      </c>
      <c r="AU923" t="s">
        <v>68</v>
      </c>
      <c r="AV923" t="s">
        <v>69</v>
      </c>
      <c r="AW923" s="1">
        <v>21400</v>
      </c>
      <c r="AX923">
        <v>2</v>
      </c>
    </row>
    <row r="924" spans="1:50">
      <c r="A924">
        <v>175490</v>
      </c>
      <c r="B924" t="str">
        <f>"039826071"</f>
        <v>039826071</v>
      </c>
      <c r="C924" t="s">
        <v>50</v>
      </c>
      <c r="D924" t="s">
        <v>2321</v>
      </c>
      <c r="E924" t="s">
        <v>566</v>
      </c>
      <c r="F924" t="s">
        <v>2322</v>
      </c>
      <c r="G924" t="s">
        <v>1345</v>
      </c>
      <c r="H924" t="str">
        <f>"ΓΑΖΙ "</f>
        <v xml:space="preserve">ΓΑΖΙ </v>
      </c>
      <c r="J924">
        <v>2810823374</v>
      </c>
      <c r="N924" t="s">
        <v>146</v>
      </c>
      <c r="O924" t="s">
        <v>147</v>
      </c>
      <c r="R924" t="s">
        <v>57</v>
      </c>
      <c r="S924">
        <v>11</v>
      </c>
      <c r="T924">
        <v>180</v>
      </c>
      <c r="U924" s="1">
        <v>35674</v>
      </c>
      <c r="V924" t="s">
        <v>123</v>
      </c>
      <c r="W924" t="s">
        <v>124</v>
      </c>
      <c r="X924" t="s">
        <v>58</v>
      </c>
      <c r="Y924">
        <v>18</v>
      </c>
      <c r="Z924" t="s">
        <v>59</v>
      </c>
      <c r="AA924" t="s">
        <v>59</v>
      </c>
      <c r="AB924" t="s">
        <v>59</v>
      </c>
      <c r="AC924" t="s">
        <v>59</v>
      </c>
      <c r="AD924" t="s">
        <v>59</v>
      </c>
      <c r="AF924" s="1">
        <v>35678</v>
      </c>
      <c r="AG924" t="s">
        <v>148</v>
      </c>
      <c r="AH924" t="s">
        <v>149</v>
      </c>
      <c r="AI924" t="str">
        <f>"1778010"</f>
        <v>1778010</v>
      </c>
      <c r="AJ924" t="s">
        <v>672</v>
      </c>
      <c r="AK924">
        <v>2810822455</v>
      </c>
      <c r="AL924" t="s">
        <v>673</v>
      </c>
      <c r="AM924" t="s">
        <v>78</v>
      </c>
      <c r="AN924" t="s">
        <v>129</v>
      </c>
      <c r="AO924" t="s">
        <v>130</v>
      </c>
      <c r="AP924" t="s">
        <v>130</v>
      </c>
      <c r="AQ924">
        <v>36</v>
      </c>
      <c r="AR924" t="s">
        <v>123</v>
      </c>
      <c r="AS924" t="s">
        <v>124</v>
      </c>
      <c r="AT924" t="s">
        <v>58</v>
      </c>
      <c r="AU924" t="s">
        <v>68</v>
      </c>
      <c r="AV924" t="s">
        <v>69</v>
      </c>
      <c r="AW924" s="1">
        <v>24027</v>
      </c>
      <c r="AX924">
        <v>2</v>
      </c>
    </row>
    <row r="925" spans="1:50">
      <c r="A925">
        <v>203064</v>
      </c>
      <c r="B925" t="str">
        <f>"043888438"</f>
        <v>043888438</v>
      </c>
      <c r="C925" t="s">
        <v>50</v>
      </c>
      <c r="D925" t="s">
        <v>2323</v>
      </c>
      <c r="E925" t="s">
        <v>2324</v>
      </c>
      <c r="F925" t="s">
        <v>106</v>
      </c>
      <c r="G925" t="s">
        <v>73</v>
      </c>
      <c r="H925" t="str">
        <f>"ΑΛΑΤΣΑΤΙΑΝΝΩΝ 21 "</f>
        <v xml:space="preserve">ΑΛΑΤΣΑΤΙΑΝΝΩΝ 21 </v>
      </c>
      <c r="I925">
        <v>71414</v>
      </c>
      <c r="J925">
        <v>2810822621</v>
      </c>
      <c r="K925">
        <v>6973249920</v>
      </c>
      <c r="M925" t="s">
        <v>2325</v>
      </c>
      <c r="N925" t="s">
        <v>478</v>
      </c>
      <c r="O925" t="s">
        <v>479</v>
      </c>
      <c r="R925" t="s">
        <v>57</v>
      </c>
      <c r="S925">
        <v>11</v>
      </c>
      <c r="T925">
        <v>231</v>
      </c>
      <c r="U925" s="1">
        <v>38230</v>
      </c>
      <c r="V925" t="s">
        <v>123</v>
      </c>
      <c r="W925" t="s">
        <v>124</v>
      </c>
      <c r="X925" t="s">
        <v>58</v>
      </c>
      <c r="Y925">
        <v>20</v>
      </c>
      <c r="Z925" t="s">
        <v>59</v>
      </c>
      <c r="AA925" t="s">
        <v>59</v>
      </c>
      <c r="AB925" t="s">
        <v>59</v>
      </c>
      <c r="AC925" t="s">
        <v>59</v>
      </c>
      <c r="AD925" t="s">
        <v>59</v>
      </c>
      <c r="AF925" s="1">
        <v>38232</v>
      </c>
      <c r="AG925" t="s">
        <v>125</v>
      </c>
      <c r="AH925" t="s">
        <v>126</v>
      </c>
      <c r="AI925" t="str">
        <f>"1701030"</f>
        <v>1701030</v>
      </c>
      <c r="AJ925" t="s">
        <v>270</v>
      </c>
      <c r="AK925">
        <v>2810361015</v>
      </c>
      <c r="AL925" t="s">
        <v>271</v>
      </c>
      <c r="AM925" t="s">
        <v>78</v>
      </c>
      <c r="AN925" t="s">
        <v>78</v>
      </c>
      <c r="AO925" t="s">
        <v>78</v>
      </c>
      <c r="AP925" t="s">
        <v>163</v>
      </c>
      <c r="AQ925">
        <v>2</v>
      </c>
      <c r="AR925" t="s">
        <v>123</v>
      </c>
      <c r="AS925" t="s">
        <v>124</v>
      </c>
      <c r="AT925" t="s">
        <v>58</v>
      </c>
      <c r="AU925" t="s">
        <v>68</v>
      </c>
      <c r="AV925" t="s">
        <v>69</v>
      </c>
      <c r="AW925" s="1">
        <v>24347</v>
      </c>
      <c r="AX925">
        <v>2</v>
      </c>
    </row>
    <row r="926" spans="1:50">
      <c r="A926">
        <v>176349</v>
      </c>
      <c r="B926" t="str">
        <f>"032849597"</f>
        <v>032849597</v>
      </c>
      <c r="C926" t="s">
        <v>50</v>
      </c>
      <c r="D926" t="s">
        <v>2323</v>
      </c>
      <c r="E926" t="s">
        <v>143</v>
      </c>
      <c r="F926" t="s">
        <v>106</v>
      </c>
      <c r="G926" t="s">
        <v>73</v>
      </c>
      <c r="H926" t="str">
        <f>"ΑΛΕΞΗ ΜΙΝΩΤΗ "</f>
        <v xml:space="preserve">ΑΛΕΞΗ ΜΙΝΩΤΗ </v>
      </c>
      <c r="J926">
        <v>2810372729</v>
      </c>
      <c r="K926">
        <v>6945905576</v>
      </c>
      <c r="M926" t="s">
        <v>2326</v>
      </c>
      <c r="N926" t="s">
        <v>478</v>
      </c>
      <c r="O926" t="s">
        <v>479</v>
      </c>
      <c r="R926" t="s">
        <v>57</v>
      </c>
      <c r="S926">
        <v>14</v>
      </c>
      <c r="T926">
        <v>180</v>
      </c>
      <c r="U926" s="1">
        <v>35674</v>
      </c>
      <c r="V926" t="s">
        <v>123</v>
      </c>
      <c r="W926" t="s">
        <v>124</v>
      </c>
      <c r="X926" t="s">
        <v>58</v>
      </c>
      <c r="Y926">
        <v>18</v>
      </c>
      <c r="Z926" t="s">
        <v>59</v>
      </c>
      <c r="AA926" t="s">
        <v>59</v>
      </c>
      <c r="AB926" t="s">
        <v>59</v>
      </c>
      <c r="AC926" t="s">
        <v>59</v>
      </c>
      <c r="AD926" t="s">
        <v>59</v>
      </c>
      <c r="AF926" s="1">
        <v>35678</v>
      </c>
      <c r="AG926" t="s">
        <v>125</v>
      </c>
      <c r="AH926" t="s">
        <v>126</v>
      </c>
      <c r="AI926" t="str">
        <f>"1701052"</f>
        <v>1701052</v>
      </c>
      <c r="AJ926" t="s">
        <v>223</v>
      </c>
      <c r="AK926">
        <v>2810252514</v>
      </c>
      <c r="AL926" t="s">
        <v>224</v>
      </c>
      <c r="AM926" t="s">
        <v>78</v>
      </c>
      <c r="AN926" t="s">
        <v>78</v>
      </c>
      <c r="AO926" t="s">
        <v>78</v>
      </c>
      <c r="AP926" t="s">
        <v>141</v>
      </c>
      <c r="AQ926">
        <v>7</v>
      </c>
      <c r="AR926" t="s">
        <v>123</v>
      </c>
      <c r="AS926" t="s">
        <v>124</v>
      </c>
      <c r="AT926" t="s">
        <v>58</v>
      </c>
      <c r="AU926" t="s">
        <v>68</v>
      </c>
      <c r="AV926" t="s">
        <v>69</v>
      </c>
      <c r="AW926" s="1">
        <v>22867</v>
      </c>
      <c r="AX926">
        <v>2</v>
      </c>
    </row>
    <row r="927" spans="1:50">
      <c r="B927" t="str">
        <f>"132985040"</f>
        <v>132985040</v>
      </c>
      <c r="C927" t="s">
        <v>50</v>
      </c>
      <c r="D927" t="s">
        <v>2327</v>
      </c>
      <c r="E927" t="s">
        <v>513</v>
      </c>
      <c r="F927" t="s">
        <v>311</v>
      </c>
      <c r="G927" t="s">
        <v>52</v>
      </c>
      <c r="H927" t="str">
        <f>"ΜΙΝΩΟΣ 81 ΘΕΡΙΣΟ"</f>
        <v>ΜΙΝΩΟΣ 81 ΘΕΡΙΣΟ</v>
      </c>
      <c r="I927">
        <v>71304</v>
      </c>
      <c r="J927">
        <v>2810370162</v>
      </c>
      <c r="K927">
        <v>6978279363</v>
      </c>
      <c r="M927" t="s">
        <v>2328</v>
      </c>
      <c r="N927" t="s">
        <v>536</v>
      </c>
      <c r="O927" t="s">
        <v>537</v>
      </c>
      <c r="R927" t="s">
        <v>159</v>
      </c>
      <c r="S927">
        <v>3</v>
      </c>
      <c r="T927" t="s">
        <v>344</v>
      </c>
      <c r="U927" s="1">
        <v>43348</v>
      </c>
      <c r="V927" t="s">
        <v>123</v>
      </c>
      <c r="W927" t="s">
        <v>124</v>
      </c>
      <c r="X927" t="s">
        <v>58</v>
      </c>
      <c r="Y927">
        <v>23</v>
      </c>
      <c r="Z927" t="s">
        <v>59</v>
      </c>
      <c r="AA927" t="s">
        <v>59</v>
      </c>
      <c r="AB927" t="s">
        <v>59</v>
      </c>
      <c r="AD927" t="s">
        <v>59</v>
      </c>
      <c r="AF927" s="1">
        <v>43348</v>
      </c>
      <c r="AG927" t="s">
        <v>125</v>
      </c>
      <c r="AH927" t="s">
        <v>126</v>
      </c>
      <c r="AI927" t="str">
        <f>"1701050"</f>
        <v>1701050</v>
      </c>
      <c r="AJ927" t="s">
        <v>660</v>
      </c>
      <c r="AK927">
        <v>2810220729</v>
      </c>
      <c r="AL927" t="s">
        <v>661</v>
      </c>
      <c r="AM927" t="s">
        <v>78</v>
      </c>
      <c r="AN927" t="s">
        <v>78</v>
      </c>
      <c r="AO927" t="s">
        <v>78</v>
      </c>
      <c r="AP927" t="s">
        <v>79</v>
      </c>
      <c r="AQ927">
        <v>1</v>
      </c>
      <c r="AR927" t="s">
        <v>123</v>
      </c>
      <c r="AS927" t="s">
        <v>124</v>
      </c>
      <c r="AT927" t="s">
        <v>58</v>
      </c>
      <c r="AU927" t="s">
        <v>350</v>
      </c>
      <c r="AV927" t="s">
        <v>132</v>
      </c>
      <c r="AW927" s="1">
        <v>30454</v>
      </c>
      <c r="AX927">
        <v>2</v>
      </c>
    </row>
    <row r="928" spans="1:50">
      <c r="A928">
        <v>193059</v>
      </c>
      <c r="B928" t="str">
        <f>"079726797"</f>
        <v>079726797</v>
      </c>
      <c r="C928" t="s">
        <v>50</v>
      </c>
      <c r="D928" t="s">
        <v>2327</v>
      </c>
      <c r="E928" t="s">
        <v>367</v>
      </c>
      <c r="F928" t="s">
        <v>760</v>
      </c>
      <c r="G928" t="s">
        <v>869</v>
      </c>
      <c r="H928" t="str">
        <f>" "</f>
        <v xml:space="preserve"> </v>
      </c>
      <c r="J928">
        <v>2810238438</v>
      </c>
      <c r="K928">
        <v>6972964993</v>
      </c>
      <c r="N928" t="s">
        <v>146</v>
      </c>
      <c r="O928" t="s">
        <v>147</v>
      </c>
      <c r="R928" t="s">
        <v>57</v>
      </c>
      <c r="S928">
        <v>10</v>
      </c>
      <c r="T928">
        <v>193</v>
      </c>
      <c r="U928" s="1">
        <v>37497</v>
      </c>
      <c r="V928" t="s">
        <v>123</v>
      </c>
      <c r="W928" t="s">
        <v>124</v>
      </c>
      <c r="X928" t="s">
        <v>58</v>
      </c>
      <c r="Y928">
        <v>18</v>
      </c>
      <c r="Z928" t="s">
        <v>59</v>
      </c>
      <c r="AA928" t="s">
        <v>59</v>
      </c>
      <c r="AB928" t="s">
        <v>59</v>
      </c>
      <c r="AC928" t="s">
        <v>59</v>
      </c>
      <c r="AD928" t="s">
        <v>59</v>
      </c>
      <c r="AF928" s="1">
        <v>37501</v>
      </c>
      <c r="AG928" t="s">
        <v>125</v>
      </c>
      <c r="AH928" t="s">
        <v>126</v>
      </c>
      <c r="AI928" t="str">
        <f>"1701051"</f>
        <v>1701051</v>
      </c>
      <c r="AJ928" t="s">
        <v>443</v>
      </c>
      <c r="AK928">
        <v>2810325815</v>
      </c>
      <c r="AL928" t="s">
        <v>444</v>
      </c>
      <c r="AM928" t="s">
        <v>78</v>
      </c>
      <c r="AN928" t="s">
        <v>78</v>
      </c>
      <c r="AO928" t="s">
        <v>78</v>
      </c>
      <c r="AP928" t="s">
        <v>163</v>
      </c>
      <c r="AQ928">
        <v>5</v>
      </c>
      <c r="AR928" t="s">
        <v>123</v>
      </c>
      <c r="AS928" t="s">
        <v>124</v>
      </c>
      <c r="AT928" t="s">
        <v>58</v>
      </c>
      <c r="AU928" t="s">
        <v>68</v>
      </c>
      <c r="AV928" t="s">
        <v>69</v>
      </c>
      <c r="AW928" s="1">
        <v>21523</v>
      </c>
      <c r="AX928">
        <v>2</v>
      </c>
    </row>
    <row r="929" spans="1:50">
      <c r="A929">
        <v>215536</v>
      </c>
      <c r="B929" t="str">
        <f>"078950564"</f>
        <v>078950564</v>
      </c>
      <c r="C929" t="s">
        <v>105</v>
      </c>
      <c r="D929" t="s">
        <v>2329</v>
      </c>
      <c r="E929" t="s">
        <v>95</v>
      </c>
      <c r="F929" t="s">
        <v>202</v>
      </c>
      <c r="G929" t="s">
        <v>2330</v>
      </c>
      <c r="H929" t="str">
        <f>" "</f>
        <v xml:space="preserve"> </v>
      </c>
      <c r="J929">
        <v>2810322956</v>
      </c>
      <c r="K929">
        <v>6976081302</v>
      </c>
      <c r="M929" t="s">
        <v>2331</v>
      </c>
      <c r="N929" t="s">
        <v>204</v>
      </c>
      <c r="O929" t="s">
        <v>205</v>
      </c>
      <c r="P929" t="s">
        <v>331</v>
      </c>
      <c r="Q929" t="s">
        <v>332</v>
      </c>
      <c r="R929" t="s">
        <v>57</v>
      </c>
      <c r="S929">
        <v>6</v>
      </c>
      <c r="T929">
        <v>231</v>
      </c>
      <c r="U929" s="1">
        <v>38960</v>
      </c>
      <c r="V929" t="s">
        <v>123</v>
      </c>
      <c r="W929" t="s">
        <v>124</v>
      </c>
      <c r="X929" t="s">
        <v>58</v>
      </c>
      <c r="Y929">
        <v>20</v>
      </c>
      <c r="Z929" t="s">
        <v>59</v>
      </c>
      <c r="AA929" t="s">
        <v>59</v>
      </c>
      <c r="AB929" t="s">
        <v>59</v>
      </c>
      <c r="AC929" t="s">
        <v>59</v>
      </c>
      <c r="AD929" t="s">
        <v>59</v>
      </c>
      <c r="AF929" s="1">
        <v>38961</v>
      </c>
      <c r="AG929" t="s">
        <v>137</v>
      </c>
      <c r="AH929" t="s">
        <v>138</v>
      </c>
      <c r="AI929" t="str">
        <f>"1740300"</f>
        <v>1740300</v>
      </c>
      <c r="AJ929" t="s">
        <v>1274</v>
      </c>
      <c r="AK929">
        <v>2892022100</v>
      </c>
      <c r="AL929" t="s">
        <v>1275</v>
      </c>
      <c r="AM929" t="s">
        <v>78</v>
      </c>
      <c r="AN929" t="s">
        <v>242</v>
      </c>
      <c r="AO929" t="s">
        <v>243</v>
      </c>
      <c r="AP929" t="s">
        <v>243</v>
      </c>
      <c r="AQ929">
        <v>33</v>
      </c>
      <c r="AR929" t="s">
        <v>123</v>
      </c>
      <c r="AS929" t="s">
        <v>124</v>
      </c>
      <c r="AT929" t="s">
        <v>58</v>
      </c>
      <c r="AU929" t="s">
        <v>68</v>
      </c>
      <c r="AV929" t="s">
        <v>69</v>
      </c>
      <c r="AW929" s="1">
        <v>26616</v>
      </c>
      <c r="AX929">
        <v>2</v>
      </c>
    </row>
    <row r="930" spans="1:50">
      <c r="A930">
        <v>157446</v>
      </c>
      <c r="B930" t="str">
        <f>"030254441"</f>
        <v>030254441</v>
      </c>
      <c r="C930" t="s">
        <v>50</v>
      </c>
      <c r="D930" t="s">
        <v>2332</v>
      </c>
      <c r="E930" t="s">
        <v>2333</v>
      </c>
      <c r="F930" t="s">
        <v>84</v>
      </c>
      <c r="G930" t="s">
        <v>367</v>
      </c>
      <c r="H930" t="str">
        <f>" "</f>
        <v xml:space="preserve"> </v>
      </c>
      <c r="N930" t="s">
        <v>257</v>
      </c>
      <c r="O930" t="s">
        <v>258</v>
      </c>
      <c r="R930" t="s">
        <v>57</v>
      </c>
      <c r="S930">
        <v>19</v>
      </c>
      <c r="T930">
        <v>188</v>
      </c>
      <c r="U930" s="1">
        <v>32752</v>
      </c>
      <c r="V930" t="s">
        <v>123</v>
      </c>
      <c r="W930" t="s">
        <v>124</v>
      </c>
      <c r="X930" t="s">
        <v>58</v>
      </c>
      <c r="Y930">
        <v>18</v>
      </c>
      <c r="Z930" t="s">
        <v>59</v>
      </c>
      <c r="AA930" t="s">
        <v>59</v>
      </c>
      <c r="AB930" t="s">
        <v>59</v>
      </c>
      <c r="AC930" t="s">
        <v>59</v>
      </c>
      <c r="AD930" t="s">
        <v>59</v>
      </c>
      <c r="AF930" s="1">
        <v>32756</v>
      </c>
      <c r="AG930" t="s">
        <v>148</v>
      </c>
      <c r="AH930" t="s">
        <v>149</v>
      </c>
      <c r="AI930" t="str">
        <f>"1778010"</f>
        <v>1778010</v>
      </c>
      <c r="AJ930" t="s">
        <v>672</v>
      </c>
      <c r="AK930">
        <v>2810822455</v>
      </c>
      <c r="AL930" t="s">
        <v>673</v>
      </c>
      <c r="AM930" t="s">
        <v>78</v>
      </c>
      <c r="AN930" t="s">
        <v>129</v>
      </c>
      <c r="AO930" t="s">
        <v>130</v>
      </c>
      <c r="AP930" t="s">
        <v>130</v>
      </c>
      <c r="AQ930">
        <v>36</v>
      </c>
      <c r="AR930" t="s">
        <v>123</v>
      </c>
      <c r="AS930" t="s">
        <v>124</v>
      </c>
      <c r="AT930" t="s">
        <v>58</v>
      </c>
      <c r="AU930" t="s">
        <v>68</v>
      </c>
      <c r="AV930" t="s">
        <v>69</v>
      </c>
      <c r="AW930" s="1">
        <v>22447</v>
      </c>
      <c r="AX930">
        <v>2</v>
      </c>
    </row>
    <row r="931" spans="1:50">
      <c r="A931">
        <v>199336</v>
      </c>
      <c r="B931" t="str">
        <f>"114281110"</f>
        <v>114281110</v>
      </c>
      <c r="C931" t="s">
        <v>50</v>
      </c>
      <c r="D931" t="s">
        <v>626</v>
      </c>
      <c r="E931" t="s">
        <v>134</v>
      </c>
      <c r="F931" t="s">
        <v>377</v>
      </c>
      <c r="G931" t="s">
        <v>314</v>
      </c>
      <c r="H931" t="str">
        <f>" "</f>
        <v xml:space="preserve"> </v>
      </c>
      <c r="J931">
        <v>2810761989</v>
      </c>
      <c r="K931">
        <v>6936947625</v>
      </c>
      <c r="N931" t="s">
        <v>299</v>
      </c>
      <c r="O931" t="s">
        <v>300</v>
      </c>
      <c r="R931" t="s">
        <v>57</v>
      </c>
      <c r="S931">
        <v>9</v>
      </c>
      <c r="T931">
        <v>206</v>
      </c>
      <c r="U931" s="1">
        <v>37866</v>
      </c>
      <c r="V931" t="s">
        <v>123</v>
      </c>
      <c r="W931" t="s">
        <v>124</v>
      </c>
      <c r="X931" t="s">
        <v>58</v>
      </c>
      <c r="Y931">
        <v>20</v>
      </c>
      <c r="Z931" t="s">
        <v>59</v>
      </c>
      <c r="AA931" t="s">
        <v>59</v>
      </c>
      <c r="AB931" t="s">
        <v>59</v>
      </c>
      <c r="AC931" t="s">
        <v>59</v>
      </c>
      <c r="AD931" t="s">
        <v>59</v>
      </c>
      <c r="AF931" s="1">
        <v>37866</v>
      </c>
      <c r="AG931" t="s">
        <v>125</v>
      </c>
      <c r="AH931" t="s">
        <v>126</v>
      </c>
      <c r="AI931" t="str">
        <f>"1701056"</f>
        <v>1701056</v>
      </c>
      <c r="AJ931" t="s">
        <v>211</v>
      </c>
      <c r="AK931">
        <v>2810245445</v>
      </c>
      <c r="AL931" t="s">
        <v>212</v>
      </c>
      <c r="AM931" t="s">
        <v>78</v>
      </c>
      <c r="AN931" t="s">
        <v>78</v>
      </c>
      <c r="AO931" t="s">
        <v>78</v>
      </c>
      <c r="AP931" t="s">
        <v>213</v>
      </c>
      <c r="AQ931">
        <v>6</v>
      </c>
      <c r="AR931" t="s">
        <v>123</v>
      </c>
      <c r="AS931" t="s">
        <v>124</v>
      </c>
      <c r="AT931" t="s">
        <v>58</v>
      </c>
      <c r="AU931" t="s">
        <v>68</v>
      </c>
      <c r="AV931" t="s">
        <v>69</v>
      </c>
      <c r="AW931" s="1">
        <v>29637</v>
      </c>
      <c r="AX931">
        <v>2</v>
      </c>
    </row>
    <row r="932" spans="1:50">
      <c r="B932" t="str">
        <f>"118914177"</f>
        <v>118914177</v>
      </c>
      <c r="C932" t="s">
        <v>50</v>
      </c>
      <c r="D932" t="s">
        <v>2334</v>
      </c>
      <c r="E932" t="s">
        <v>255</v>
      </c>
      <c r="F932" t="s">
        <v>95</v>
      </c>
      <c r="G932" t="s">
        <v>382</v>
      </c>
      <c r="H932" t="str">
        <f>"ΣΑΡΠΙΔΩΝΟΣ 17 "</f>
        <v xml:space="preserve">ΣΑΡΠΙΔΩΝΟΣ 17 </v>
      </c>
      <c r="I932">
        <v>71304</v>
      </c>
      <c r="J932">
        <v>2810253558</v>
      </c>
      <c r="K932">
        <v>6974482245</v>
      </c>
      <c r="N932" t="s">
        <v>536</v>
      </c>
      <c r="O932" t="s">
        <v>537</v>
      </c>
      <c r="R932" t="s">
        <v>159</v>
      </c>
      <c r="S932">
        <v>5</v>
      </c>
      <c r="T932" t="s">
        <v>344</v>
      </c>
      <c r="U932" s="1">
        <v>43348</v>
      </c>
      <c r="V932" t="s">
        <v>123</v>
      </c>
      <c r="W932" t="s">
        <v>124</v>
      </c>
      <c r="X932" t="s">
        <v>58</v>
      </c>
      <c r="Y932">
        <v>21</v>
      </c>
      <c r="Z932" t="s">
        <v>59</v>
      </c>
      <c r="AA932" t="s">
        <v>59</v>
      </c>
      <c r="AB932" t="s">
        <v>59</v>
      </c>
      <c r="AC932" t="s">
        <v>59</v>
      </c>
      <c r="AD932" t="s">
        <v>59</v>
      </c>
      <c r="AF932" s="1">
        <v>43348</v>
      </c>
      <c r="AG932" t="s">
        <v>125</v>
      </c>
      <c r="AH932" t="s">
        <v>126</v>
      </c>
      <c r="AI932" t="str">
        <f>"1728010"</f>
        <v>1728010</v>
      </c>
      <c r="AJ932" t="s">
        <v>127</v>
      </c>
      <c r="AK932">
        <v>2810824651</v>
      </c>
      <c r="AL932" t="s">
        <v>128</v>
      </c>
      <c r="AM932" t="s">
        <v>78</v>
      </c>
      <c r="AN932" t="s">
        <v>129</v>
      </c>
      <c r="AO932" t="s">
        <v>130</v>
      </c>
      <c r="AP932" t="s">
        <v>130</v>
      </c>
      <c r="AQ932">
        <v>36</v>
      </c>
      <c r="AR932" t="s">
        <v>123</v>
      </c>
      <c r="AS932" t="s">
        <v>124</v>
      </c>
      <c r="AT932" t="s">
        <v>58</v>
      </c>
      <c r="AU932" t="s">
        <v>350</v>
      </c>
      <c r="AV932" t="s">
        <v>132</v>
      </c>
      <c r="AW932" s="1">
        <v>30768</v>
      </c>
      <c r="AX932">
        <v>2</v>
      </c>
    </row>
    <row r="933" spans="1:50">
      <c r="A933">
        <v>208153</v>
      </c>
      <c r="B933" t="str">
        <f>"038081716"</f>
        <v>038081716</v>
      </c>
      <c r="C933" t="s">
        <v>50</v>
      </c>
      <c r="D933" t="s">
        <v>2334</v>
      </c>
      <c r="E933" t="s">
        <v>610</v>
      </c>
      <c r="F933" t="s">
        <v>106</v>
      </c>
      <c r="G933" t="s">
        <v>263</v>
      </c>
      <c r="H933" t="str">
        <f>"ΚΟΚΚΙΝΟΣ ΠΥΡΓΟΣ ΤΥΜΠΑΚΙ"</f>
        <v>ΚΟΚΚΙΝΟΣ ΠΥΡΓΟΣ ΤΥΜΠΑΚΙ</v>
      </c>
      <c r="I933">
        <v>70200</v>
      </c>
      <c r="J933">
        <v>2892052546</v>
      </c>
      <c r="K933">
        <v>6931018798</v>
      </c>
      <c r="M933" t="s">
        <v>2335</v>
      </c>
      <c r="N933" t="s">
        <v>176</v>
      </c>
      <c r="O933" t="s">
        <v>177</v>
      </c>
      <c r="R933" t="s">
        <v>57</v>
      </c>
      <c r="S933">
        <v>8</v>
      </c>
      <c r="T933">
        <v>218</v>
      </c>
      <c r="U933" s="1">
        <v>38596</v>
      </c>
      <c r="V933" t="s">
        <v>123</v>
      </c>
      <c r="W933" t="s">
        <v>124</v>
      </c>
      <c r="X933" t="s">
        <v>58</v>
      </c>
      <c r="Y933">
        <v>20</v>
      </c>
      <c r="Z933" t="s">
        <v>59</v>
      </c>
      <c r="AA933" t="s">
        <v>59</v>
      </c>
      <c r="AB933" t="s">
        <v>59</v>
      </c>
      <c r="AC933" t="s">
        <v>59</v>
      </c>
      <c r="AD933" t="s">
        <v>59</v>
      </c>
      <c r="AF933" s="1">
        <v>38601</v>
      </c>
      <c r="AG933" t="s">
        <v>148</v>
      </c>
      <c r="AH933" t="s">
        <v>149</v>
      </c>
      <c r="AI933" t="str">
        <f>"1757010"</f>
        <v>1757010</v>
      </c>
      <c r="AJ933" t="s">
        <v>240</v>
      </c>
      <c r="AK933">
        <v>2892041388</v>
      </c>
      <c r="AL933" t="s">
        <v>241</v>
      </c>
      <c r="AM933" t="s">
        <v>78</v>
      </c>
      <c r="AN933" t="s">
        <v>242</v>
      </c>
      <c r="AO933" t="s">
        <v>243</v>
      </c>
      <c r="AP933" t="s">
        <v>244</v>
      </c>
      <c r="AQ933">
        <v>34</v>
      </c>
      <c r="AR933" t="s">
        <v>123</v>
      </c>
      <c r="AS933" t="s">
        <v>124</v>
      </c>
      <c r="AT933" t="s">
        <v>58</v>
      </c>
      <c r="AU933" t="s">
        <v>68</v>
      </c>
      <c r="AV933" t="s">
        <v>69</v>
      </c>
      <c r="AW933" s="1">
        <v>24231</v>
      </c>
      <c r="AX933">
        <v>2</v>
      </c>
    </row>
    <row r="934" spans="1:50">
      <c r="A934">
        <v>169827</v>
      </c>
      <c r="B934" t="str">
        <f>"030874709"</f>
        <v>030874709</v>
      </c>
      <c r="C934" t="s">
        <v>105</v>
      </c>
      <c r="D934" t="s">
        <v>2336</v>
      </c>
      <c r="E934" t="s">
        <v>760</v>
      </c>
      <c r="F934" t="s">
        <v>2337</v>
      </c>
      <c r="G934" t="s">
        <v>112</v>
      </c>
      <c r="H934" t="str">
        <f>"ΥΔΡΑΣ 13 ΗΡΑΚΛΕΙΟΥ"</f>
        <v>ΥΔΡΑΣ 13 ΗΡΑΚΛΕΙΟΥ</v>
      </c>
      <c r="I934">
        <v>71304</v>
      </c>
      <c r="J934">
        <v>2810263816</v>
      </c>
      <c r="K934">
        <v>6946121022</v>
      </c>
      <c r="M934" t="s">
        <v>2338</v>
      </c>
      <c r="N934" t="s">
        <v>146</v>
      </c>
      <c r="O934" t="s">
        <v>147</v>
      </c>
      <c r="R934" t="s">
        <v>57</v>
      </c>
      <c r="S934">
        <v>11</v>
      </c>
      <c r="T934">
        <v>184</v>
      </c>
      <c r="U934" s="1">
        <v>34941</v>
      </c>
      <c r="V934" t="s">
        <v>123</v>
      </c>
      <c r="W934" t="s">
        <v>124</v>
      </c>
      <c r="X934" t="s">
        <v>58</v>
      </c>
      <c r="Y934">
        <v>18</v>
      </c>
      <c r="Z934" t="s">
        <v>59</v>
      </c>
      <c r="AA934" t="s">
        <v>59</v>
      </c>
      <c r="AB934" t="s">
        <v>59</v>
      </c>
      <c r="AC934" t="s">
        <v>59</v>
      </c>
      <c r="AD934" t="s">
        <v>59</v>
      </c>
      <c r="AF934" s="1">
        <v>34947</v>
      </c>
      <c r="AG934" t="s">
        <v>148</v>
      </c>
      <c r="AH934" t="s">
        <v>149</v>
      </c>
      <c r="AI934" t="str">
        <f>"1751040"</f>
        <v>1751040</v>
      </c>
      <c r="AJ934" t="s">
        <v>178</v>
      </c>
      <c r="AK934">
        <v>2810252495</v>
      </c>
      <c r="AL934" t="s">
        <v>179</v>
      </c>
      <c r="AM934" t="s">
        <v>78</v>
      </c>
      <c r="AN934" t="s">
        <v>78</v>
      </c>
      <c r="AO934" t="s">
        <v>78</v>
      </c>
      <c r="AP934" t="s">
        <v>141</v>
      </c>
      <c r="AQ934">
        <v>3</v>
      </c>
      <c r="AR934" t="s">
        <v>123</v>
      </c>
      <c r="AS934" t="s">
        <v>124</v>
      </c>
      <c r="AT934" t="s">
        <v>58</v>
      </c>
      <c r="AU934" t="s">
        <v>68</v>
      </c>
      <c r="AV934" t="s">
        <v>69</v>
      </c>
      <c r="AW934" s="1">
        <v>21885</v>
      </c>
      <c r="AX934">
        <v>2</v>
      </c>
    </row>
    <row r="935" spans="1:50">
      <c r="A935">
        <v>206674</v>
      </c>
      <c r="B935" t="str">
        <f>"039383415"</f>
        <v>039383415</v>
      </c>
      <c r="C935" t="s">
        <v>50</v>
      </c>
      <c r="D935" t="s">
        <v>2339</v>
      </c>
      <c r="E935" t="s">
        <v>314</v>
      </c>
      <c r="F935" t="s">
        <v>95</v>
      </c>
      <c r="G935" t="s">
        <v>52</v>
      </c>
      <c r="H935" t="str">
        <f>"ΕΛΕΥΘΕΡΝΗΣ 63 ΗΡΑΚΛΕΙΟ"</f>
        <v>ΕΛΕΥΘΕΡΝΗΣ 63 ΗΡΑΚΛΕΙΟ</v>
      </c>
      <c r="I935">
        <v>71303</v>
      </c>
      <c r="J935">
        <v>2810259102</v>
      </c>
      <c r="K935">
        <v>6977439738</v>
      </c>
      <c r="M935" t="s">
        <v>2340</v>
      </c>
      <c r="N935" t="s">
        <v>146</v>
      </c>
      <c r="O935" t="s">
        <v>147</v>
      </c>
      <c r="R935" t="s">
        <v>57</v>
      </c>
      <c r="S935">
        <v>7</v>
      </c>
      <c r="T935">
        <v>218</v>
      </c>
      <c r="U935" s="1">
        <v>38596</v>
      </c>
      <c r="V935" t="s">
        <v>123</v>
      </c>
      <c r="W935" t="s">
        <v>124</v>
      </c>
      <c r="X935" t="s">
        <v>58</v>
      </c>
      <c r="Y935">
        <v>20</v>
      </c>
      <c r="Z935" t="s">
        <v>59</v>
      </c>
      <c r="AA935" t="s">
        <v>59</v>
      </c>
      <c r="AB935" t="s">
        <v>59</v>
      </c>
      <c r="AC935" t="s">
        <v>59</v>
      </c>
      <c r="AD935" t="s">
        <v>59</v>
      </c>
      <c r="AF935" s="1">
        <v>38600</v>
      </c>
      <c r="AG935" t="s">
        <v>125</v>
      </c>
      <c r="AH935" t="s">
        <v>126</v>
      </c>
      <c r="AI935" t="str">
        <f>"1701052"</f>
        <v>1701052</v>
      </c>
      <c r="AJ935" t="s">
        <v>223</v>
      </c>
      <c r="AK935">
        <v>2810252514</v>
      </c>
      <c r="AL935" t="s">
        <v>224</v>
      </c>
      <c r="AM935" t="s">
        <v>78</v>
      </c>
      <c r="AN935" t="s">
        <v>78</v>
      </c>
      <c r="AO935" t="s">
        <v>78</v>
      </c>
      <c r="AP935" t="s">
        <v>141</v>
      </c>
      <c r="AQ935">
        <v>7</v>
      </c>
      <c r="AR935" t="s">
        <v>123</v>
      </c>
      <c r="AS935" t="s">
        <v>124</v>
      </c>
      <c r="AT935" t="s">
        <v>58</v>
      </c>
      <c r="AU935" t="s">
        <v>68</v>
      </c>
      <c r="AV935" t="s">
        <v>357</v>
      </c>
      <c r="AW935" s="1">
        <v>24850</v>
      </c>
      <c r="AX935">
        <v>2</v>
      </c>
    </row>
    <row r="936" spans="1:50">
      <c r="B936" t="str">
        <f>"072652887"</f>
        <v>072652887</v>
      </c>
      <c r="C936" t="s">
        <v>50</v>
      </c>
      <c r="D936" t="s">
        <v>2341</v>
      </c>
      <c r="E936" t="s">
        <v>382</v>
      </c>
      <c r="F936" t="s">
        <v>99</v>
      </c>
      <c r="G936" t="s">
        <v>340</v>
      </c>
      <c r="H936" t="str">
        <f>"Λ. ΙΩΝΙΑΣ 214 ΗΡΑΚΛΕΙΟ"</f>
        <v>Λ. ΙΩΝΙΑΣ 214 ΗΡΑΚΛΕΙΟ</v>
      </c>
      <c r="I936">
        <v>71306</v>
      </c>
      <c r="J936">
        <v>2810210950</v>
      </c>
      <c r="K936">
        <v>6945238416</v>
      </c>
      <c r="N936" t="s">
        <v>536</v>
      </c>
      <c r="O936" t="s">
        <v>537</v>
      </c>
      <c r="R936" t="s">
        <v>159</v>
      </c>
      <c r="S936">
        <v>5</v>
      </c>
      <c r="T936" t="s">
        <v>344</v>
      </c>
      <c r="U936" s="1">
        <v>43348</v>
      </c>
      <c r="V936" t="s">
        <v>123</v>
      </c>
      <c r="W936" t="s">
        <v>124</v>
      </c>
      <c r="X936" t="s">
        <v>58</v>
      </c>
      <c r="Y936">
        <v>21</v>
      </c>
      <c r="Z936" t="s">
        <v>59</v>
      </c>
      <c r="AA936" t="s">
        <v>59</v>
      </c>
      <c r="AB936" t="s">
        <v>59</v>
      </c>
      <c r="AC936" t="s">
        <v>59</v>
      </c>
      <c r="AD936" t="s">
        <v>59</v>
      </c>
      <c r="AF936" s="1">
        <v>43348</v>
      </c>
      <c r="AG936" t="s">
        <v>125</v>
      </c>
      <c r="AH936" t="s">
        <v>126</v>
      </c>
      <c r="AI936" t="str">
        <f>"1701010"</f>
        <v>1701010</v>
      </c>
      <c r="AJ936" t="s">
        <v>374</v>
      </c>
      <c r="AK936">
        <v>2810227148</v>
      </c>
      <c r="AL936" t="s">
        <v>375</v>
      </c>
      <c r="AM936" t="s">
        <v>78</v>
      </c>
      <c r="AN936" t="s">
        <v>78</v>
      </c>
      <c r="AO936" t="s">
        <v>78</v>
      </c>
      <c r="AP936" t="s">
        <v>79</v>
      </c>
      <c r="AQ936">
        <v>1</v>
      </c>
      <c r="AR936" t="s">
        <v>123</v>
      </c>
      <c r="AS936" t="s">
        <v>124</v>
      </c>
      <c r="AT936" t="s">
        <v>58</v>
      </c>
      <c r="AU936" t="s">
        <v>350</v>
      </c>
      <c r="AV936" t="s">
        <v>132</v>
      </c>
      <c r="AW936" s="1">
        <v>25466</v>
      </c>
      <c r="AX936">
        <v>2</v>
      </c>
    </row>
    <row r="937" spans="1:50">
      <c r="A937">
        <v>204992</v>
      </c>
      <c r="B937" t="str">
        <f>"047530179"</f>
        <v>047530179</v>
      </c>
      <c r="C937" t="s">
        <v>50</v>
      </c>
      <c r="D937" t="s">
        <v>2342</v>
      </c>
      <c r="E937" t="s">
        <v>83</v>
      </c>
      <c r="F937" t="s">
        <v>72</v>
      </c>
      <c r="G937" t="s">
        <v>2343</v>
      </c>
      <c r="H937" t="str">
        <f>"ΚΟΚΚΙΝΙ ΧΑΝΙ  "</f>
        <v xml:space="preserve">ΚΟΚΚΙΝΙ ΧΑΝΙ  </v>
      </c>
      <c r="I937">
        <v>71500</v>
      </c>
      <c r="K937">
        <v>6946982651</v>
      </c>
      <c r="N937" t="s">
        <v>1989</v>
      </c>
      <c r="O937" t="s">
        <v>1990</v>
      </c>
      <c r="R937" t="s">
        <v>57</v>
      </c>
      <c r="S937">
        <v>6</v>
      </c>
      <c r="T937">
        <v>231</v>
      </c>
      <c r="U937" s="1">
        <v>38230</v>
      </c>
      <c r="V937" t="s">
        <v>123</v>
      </c>
      <c r="W937" t="s">
        <v>124</v>
      </c>
      <c r="X937" t="s">
        <v>58</v>
      </c>
      <c r="Y937">
        <v>20</v>
      </c>
      <c r="Z937" t="s">
        <v>59</v>
      </c>
      <c r="AA937" t="s">
        <v>59</v>
      </c>
      <c r="AB937" t="s">
        <v>59</v>
      </c>
      <c r="AC937" t="s">
        <v>59</v>
      </c>
      <c r="AD937" t="s">
        <v>59</v>
      </c>
      <c r="AF937" s="1">
        <v>38233</v>
      </c>
      <c r="AG937" t="s">
        <v>137</v>
      </c>
      <c r="AH937" t="s">
        <v>138</v>
      </c>
      <c r="AI937" t="str">
        <f>"1740210"</f>
        <v>1740210</v>
      </c>
      <c r="AJ937" t="s">
        <v>139</v>
      </c>
      <c r="AK937">
        <v>2810318130</v>
      </c>
      <c r="AL937" t="s">
        <v>140</v>
      </c>
      <c r="AM937" t="s">
        <v>78</v>
      </c>
      <c r="AN937" t="s">
        <v>78</v>
      </c>
      <c r="AO937" t="s">
        <v>78</v>
      </c>
      <c r="AP937" t="s">
        <v>141</v>
      </c>
      <c r="AQ937">
        <v>7</v>
      </c>
      <c r="AR937" t="s">
        <v>123</v>
      </c>
      <c r="AS937" t="s">
        <v>124</v>
      </c>
      <c r="AT937" t="s">
        <v>58</v>
      </c>
      <c r="AU937" t="s">
        <v>68</v>
      </c>
      <c r="AV937" t="s">
        <v>69</v>
      </c>
      <c r="AW937" s="1">
        <v>27391</v>
      </c>
      <c r="AX937">
        <v>2</v>
      </c>
    </row>
    <row r="938" spans="1:50">
      <c r="A938">
        <v>220735</v>
      </c>
      <c r="B938" t="str">
        <f>"114296921"</f>
        <v>114296921</v>
      </c>
      <c r="C938" t="s">
        <v>50</v>
      </c>
      <c r="D938" t="s">
        <v>2344</v>
      </c>
      <c r="E938" t="s">
        <v>181</v>
      </c>
      <c r="F938" t="s">
        <v>95</v>
      </c>
      <c r="G938" t="s">
        <v>255</v>
      </c>
      <c r="H938" t="str">
        <f>"ΠΑΠΑΦΛΕΣΣΑ 8 ΓΑΖΙ"</f>
        <v>ΠΑΠΑΦΛΕΣΣΑ 8 ΓΑΖΙ</v>
      </c>
      <c r="I938">
        <v>71417</v>
      </c>
      <c r="J938">
        <v>2810372120</v>
      </c>
      <c r="K938">
        <v>6975933027</v>
      </c>
      <c r="M938" t="s">
        <v>2345</v>
      </c>
      <c r="N938" t="s">
        <v>288</v>
      </c>
      <c r="O938" t="s">
        <v>289</v>
      </c>
      <c r="R938" t="s">
        <v>57</v>
      </c>
      <c r="S938">
        <v>6</v>
      </c>
      <c r="T938">
        <v>681</v>
      </c>
      <c r="U938" s="1">
        <v>39325</v>
      </c>
      <c r="V938" t="s">
        <v>123</v>
      </c>
      <c r="W938" t="s">
        <v>124</v>
      </c>
      <c r="X938" t="s">
        <v>58</v>
      </c>
      <c r="Y938">
        <v>20</v>
      </c>
      <c r="Z938" t="s">
        <v>59</v>
      </c>
      <c r="AA938" t="s">
        <v>59</v>
      </c>
      <c r="AB938" t="s">
        <v>59</v>
      </c>
      <c r="AC938" t="s">
        <v>59</v>
      </c>
      <c r="AD938" t="s">
        <v>59</v>
      </c>
      <c r="AF938" s="1">
        <v>39329</v>
      </c>
      <c r="AG938" t="s">
        <v>125</v>
      </c>
      <c r="AH938" t="s">
        <v>126</v>
      </c>
      <c r="AI938" t="str">
        <f>"1709010"</f>
        <v>1709010</v>
      </c>
      <c r="AJ938" t="s">
        <v>847</v>
      </c>
      <c r="AK938">
        <v>2894022227</v>
      </c>
      <c r="AL938" t="s">
        <v>848</v>
      </c>
      <c r="AM938" t="s">
        <v>78</v>
      </c>
      <c r="AN938" t="s">
        <v>405</v>
      </c>
      <c r="AO938" t="s">
        <v>406</v>
      </c>
      <c r="AP938" t="s">
        <v>406</v>
      </c>
      <c r="AQ938">
        <v>30</v>
      </c>
      <c r="AR938" t="s">
        <v>123</v>
      </c>
      <c r="AS938" t="s">
        <v>124</v>
      </c>
      <c r="AT938" t="s">
        <v>58</v>
      </c>
      <c r="AU938" t="s">
        <v>68</v>
      </c>
      <c r="AV938" t="s">
        <v>69</v>
      </c>
      <c r="AW938" s="1">
        <v>23420</v>
      </c>
      <c r="AX938">
        <v>2</v>
      </c>
    </row>
    <row r="939" spans="1:50">
      <c r="A939">
        <v>194856</v>
      </c>
      <c r="B939" t="str">
        <f>"125599372"</f>
        <v>125599372</v>
      </c>
      <c r="C939" t="s">
        <v>50</v>
      </c>
      <c r="D939" t="s">
        <v>2346</v>
      </c>
      <c r="E939" t="s">
        <v>73</v>
      </c>
      <c r="F939" t="s">
        <v>108</v>
      </c>
      <c r="G939" t="s">
        <v>255</v>
      </c>
      <c r="H939" t="str">
        <f>" "</f>
        <v xml:space="preserve"> </v>
      </c>
      <c r="K939">
        <v>6974203579</v>
      </c>
      <c r="M939" t="s">
        <v>2347</v>
      </c>
      <c r="N939" t="s">
        <v>1424</v>
      </c>
      <c r="O939" t="s">
        <v>1096</v>
      </c>
      <c r="P939" t="s">
        <v>2348</v>
      </c>
      <c r="Q939" t="s">
        <v>2349</v>
      </c>
      <c r="R939" t="s">
        <v>57</v>
      </c>
      <c r="S939">
        <v>13</v>
      </c>
      <c r="T939">
        <v>193</v>
      </c>
      <c r="U939" s="1">
        <v>37497</v>
      </c>
      <c r="V939" t="s">
        <v>123</v>
      </c>
      <c r="W939" t="s">
        <v>124</v>
      </c>
      <c r="X939" t="s">
        <v>58</v>
      </c>
      <c r="Y939">
        <v>18</v>
      </c>
      <c r="Z939" t="s">
        <v>59</v>
      </c>
      <c r="AA939" t="s">
        <v>59</v>
      </c>
      <c r="AB939" t="s">
        <v>59</v>
      </c>
      <c r="AC939" t="s">
        <v>59</v>
      </c>
      <c r="AD939" t="s">
        <v>59</v>
      </c>
      <c r="AF939" s="1">
        <v>37502</v>
      </c>
      <c r="AG939" t="s">
        <v>137</v>
      </c>
      <c r="AH939" t="s">
        <v>138</v>
      </c>
      <c r="AI939" t="str">
        <f>"1740100"</f>
        <v>1740100</v>
      </c>
      <c r="AJ939" t="s">
        <v>857</v>
      </c>
      <c r="AK939">
        <v>2810360741</v>
      </c>
      <c r="AL939" t="s">
        <v>858</v>
      </c>
      <c r="AM939" t="s">
        <v>78</v>
      </c>
      <c r="AN939" t="s">
        <v>78</v>
      </c>
      <c r="AO939" t="s">
        <v>78</v>
      </c>
      <c r="AP939" t="s">
        <v>163</v>
      </c>
      <c r="AQ939">
        <v>5</v>
      </c>
      <c r="AR939" t="s">
        <v>123</v>
      </c>
      <c r="AS939" t="s">
        <v>124</v>
      </c>
      <c r="AT939" t="s">
        <v>58</v>
      </c>
      <c r="AU939" t="s">
        <v>68</v>
      </c>
      <c r="AV939" t="s">
        <v>69</v>
      </c>
      <c r="AW939" s="1">
        <v>23388</v>
      </c>
      <c r="AX939">
        <v>2</v>
      </c>
    </row>
    <row r="940" spans="1:50">
      <c r="A940">
        <v>199953</v>
      </c>
      <c r="B940" t="str">
        <f>"078479620"</f>
        <v>078479620</v>
      </c>
      <c r="C940" t="s">
        <v>50</v>
      </c>
      <c r="D940" t="s">
        <v>2350</v>
      </c>
      <c r="E940" t="s">
        <v>2351</v>
      </c>
      <c r="F940" t="s">
        <v>99</v>
      </c>
      <c r="G940" t="s">
        <v>52</v>
      </c>
      <c r="H940" t="str">
        <f>"ΑΡΤΕΜΙΔΟΣ 23 ΗΡΑΚΛΕΙΟ"</f>
        <v>ΑΡΤΕΜΙΔΟΣ 23 ΗΡΑΚΛΕΙΟ</v>
      </c>
      <c r="I940">
        <v>71409</v>
      </c>
      <c r="J940">
        <v>2810320115</v>
      </c>
      <c r="K940">
        <v>6974835270</v>
      </c>
      <c r="L940">
        <v>2810233131</v>
      </c>
      <c r="M940" t="s">
        <v>2352</v>
      </c>
      <c r="N940" t="s">
        <v>292</v>
      </c>
      <c r="O940" t="s">
        <v>293</v>
      </c>
      <c r="R940" t="s">
        <v>57</v>
      </c>
      <c r="S940">
        <v>10</v>
      </c>
      <c r="T940">
        <v>206</v>
      </c>
      <c r="U940" s="1">
        <v>37866</v>
      </c>
      <c r="V940" t="s">
        <v>123</v>
      </c>
      <c r="W940" t="s">
        <v>124</v>
      </c>
      <c r="X940" t="s">
        <v>58</v>
      </c>
      <c r="Y940">
        <v>20</v>
      </c>
      <c r="Z940" t="s">
        <v>59</v>
      </c>
      <c r="AA940" t="s">
        <v>59</v>
      </c>
      <c r="AB940" t="s">
        <v>59</v>
      </c>
      <c r="AC940" t="s">
        <v>59</v>
      </c>
      <c r="AD940" t="s">
        <v>59</v>
      </c>
      <c r="AF940" s="1">
        <v>37866</v>
      </c>
      <c r="AG940" t="s">
        <v>125</v>
      </c>
      <c r="AH940" t="s">
        <v>126</v>
      </c>
      <c r="AI940" t="str">
        <f>"1703010"</f>
        <v>1703010</v>
      </c>
      <c r="AJ940" t="s">
        <v>422</v>
      </c>
      <c r="AK940">
        <v>2810751808</v>
      </c>
      <c r="AL940" t="s">
        <v>423</v>
      </c>
      <c r="AM940" t="s">
        <v>78</v>
      </c>
      <c r="AN940" t="s">
        <v>424</v>
      </c>
      <c r="AO940" t="s">
        <v>425</v>
      </c>
      <c r="AP940" t="s">
        <v>425</v>
      </c>
      <c r="AQ940">
        <v>13</v>
      </c>
      <c r="AR940" t="s">
        <v>123</v>
      </c>
      <c r="AS940" t="s">
        <v>124</v>
      </c>
      <c r="AT940" t="s">
        <v>58</v>
      </c>
      <c r="AU940" t="s">
        <v>68</v>
      </c>
      <c r="AV940" t="s">
        <v>69</v>
      </c>
      <c r="AW940" s="1">
        <v>27547</v>
      </c>
      <c r="AX940">
        <v>2</v>
      </c>
    </row>
    <row r="941" spans="1:50">
      <c r="A941">
        <v>207009</v>
      </c>
      <c r="B941" t="str">
        <f>"042717283"</f>
        <v>042717283</v>
      </c>
      <c r="C941" t="s">
        <v>50</v>
      </c>
      <c r="D941" t="s">
        <v>2353</v>
      </c>
      <c r="E941" t="s">
        <v>52</v>
      </c>
      <c r="F941" t="s">
        <v>99</v>
      </c>
      <c r="G941" t="s">
        <v>83</v>
      </c>
      <c r="H941" t="str">
        <f>"Γ.ΦΡΑΝΤΖΗ 11 ΗΡΑΚΛΕΙΟ"</f>
        <v>Γ.ΦΡΑΝΤΖΗ 11 ΗΡΑΚΛΕΙΟ</v>
      </c>
      <c r="I941">
        <v>71305</v>
      </c>
      <c r="J941">
        <v>2810313263</v>
      </c>
      <c r="K941">
        <v>6936482227</v>
      </c>
      <c r="M941" t="s">
        <v>2354</v>
      </c>
      <c r="N941" t="s">
        <v>292</v>
      </c>
      <c r="O941" t="s">
        <v>293</v>
      </c>
      <c r="R941" t="s">
        <v>57</v>
      </c>
      <c r="S941">
        <v>8</v>
      </c>
      <c r="T941">
        <v>218</v>
      </c>
      <c r="U941" s="1">
        <v>38596</v>
      </c>
      <c r="V941" t="s">
        <v>123</v>
      </c>
      <c r="W941" t="s">
        <v>124</v>
      </c>
      <c r="X941" t="s">
        <v>58</v>
      </c>
      <c r="Y941">
        <v>20</v>
      </c>
      <c r="Z941" t="s">
        <v>59</v>
      </c>
      <c r="AA941" t="s">
        <v>59</v>
      </c>
      <c r="AB941" t="s">
        <v>59</v>
      </c>
      <c r="AC941" t="s">
        <v>59</v>
      </c>
      <c r="AD941" t="s">
        <v>59</v>
      </c>
      <c r="AF941" s="1">
        <v>38603</v>
      </c>
      <c r="AG941" t="s">
        <v>125</v>
      </c>
      <c r="AH941" t="s">
        <v>126</v>
      </c>
      <c r="AI941" t="str">
        <f>"1701040"</f>
        <v>1701040</v>
      </c>
      <c r="AJ941" t="s">
        <v>748</v>
      </c>
      <c r="AK941">
        <v>2810252459</v>
      </c>
      <c r="AL941" t="s">
        <v>749</v>
      </c>
      <c r="AM941" t="s">
        <v>78</v>
      </c>
      <c r="AN941" t="s">
        <v>78</v>
      </c>
      <c r="AO941" t="s">
        <v>78</v>
      </c>
      <c r="AP941" t="s">
        <v>141</v>
      </c>
      <c r="AQ941">
        <v>3</v>
      </c>
      <c r="AR941" t="s">
        <v>123</v>
      </c>
      <c r="AS941" t="s">
        <v>124</v>
      </c>
      <c r="AT941" t="s">
        <v>58</v>
      </c>
      <c r="AU941" t="s">
        <v>68</v>
      </c>
      <c r="AV941" t="s">
        <v>69</v>
      </c>
      <c r="AW941" s="1">
        <v>23386</v>
      </c>
      <c r="AX941">
        <v>2</v>
      </c>
    </row>
    <row r="942" spans="1:50">
      <c r="B942" t="str">
        <f>"052143033"</f>
        <v>052143033</v>
      </c>
      <c r="C942" t="s">
        <v>50</v>
      </c>
      <c r="D942" t="s">
        <v>2355</v>
      </c>
      <c r="E942" t="s">
        <v>237</v>
      </c>
      <c r="F942" t="s">
        <v>377</v>
      </c>
      <c r="G942" t="s">
        <v>71</v>
      </c>
      <c r="H942" t="str">
        <f>"ΠΡΕΚΑΤΣΟΥΝΗ 3 ΗΡΑΚΛΕΙΟ ΚΡΗΤΗΣ"</f>
        <v>ΠΡΕΚΑΤΣΟΥΝΗ 3 ΗΡΑΚΛΕΙΟ ΚΡΗΤΗΣ</v>
      </c>
      <c r="I942">
        <v>71201</v>
      </c>
      <c r="J942">
        <v>2810288720</v>
      </c>
      <c r="K942">
        <v>6974284400</v>
      </c>
      <c r="M942" t="s">
        <v>2356</v>
      </c>
      <c r="N942" t="s">
        <v>146</v>
      </c>
      <c r="O942" t="s">
        <v>147</v>
      </c>
      <c r="R942" t="s">
        <v>159</v>
      </c>
      <c r="S942">
        <v>4</v>
      </c>
      <c r="T942" t="s">
        <v>160</v>
      </c>
      <c r="U942" s="1">
        <v>43364</v>
      </c>
      <c r="V942" t="s">
        <v>123</v>
      </c>
      <c r="W942" t="s">
        <v>124</v>
      </c>
      <c r="X942" t="s">
        <v>58</v>
      </c>
      <c r="Y942">
        <v>21</v>
      </c>
      <c r="Z942" t="s">
        <v>59</v>
      </c>
      <c r="AA942" t="s">
        <v>59</v>
      </c>
      <c r="AB942" t="s">
        <v>59</v>
      </c>
      <c r="AC942" t="s">
        <v>59</v>
      </c>
      <c r="AD942" t="s">
        <v>59</v>
      </c>
      <c r="AF942" s="1">
        <v>43367</v>
      </c>
      <c r="AG942" t="s">
        <v>125</v>
      </c>
      <c r="AH942" t="s">
        <v>126</v>
      </c>
      <c r="AI942" t="str">
        <f>"1709010"</f>
        <v>1709010</v>
      </c>
      <c r="AJ942" t="s">
        <v>847</v>
      </c>
      <c r="AK942">
        <v>2894022227</v>
      </c>
      <c r="AL942" t="s">
        <v>848</v>
      </c>
      <c r="AM942" t="s">
        <v>78</v>
      </c>
      <c r="AN942" t="s">
        <v>405</v>
      </c>
      <c r="AO942" t="s">
        <v>406</v>
      </c>
      <c r="AP942" t="s">
        <v>406</v>
      </c>
      <c r="AQ942">
        <v>30</v>
      </c>
      <c r="AR942" t="s">
        <v>123</v>
      </c>
      <c r="AS942" t="s">
        <v>124</v>
      </c>
      <c r="AT942" t="s">
        <v>58</v>
      </c>
      <c r="AU942" t="s">
        <v>164</v>
      </c>
      <c r="AV942" t="s">
        <v>132</v>
      </c>
      <c r="AW942" s="1">
        <v>25463</v>
      </c>
      <c r="AX942">
        <v>2</v>
      </c>
    </row>
    <row r="943" spans="1:50">
      <c r="A943">
        <v>206677</v>
      </c>
      <c r="B943" t="str">
        <f>"064564918"</f>
        <v>064564918</v>
      </c>
      <c r="C943" t="s">
        <v>50</v>
      </c>
      <c r="D943" t="s">
        <v>2355</v>
      </c>
      <c r="E943" t="s">
        <v>83</v>
      </c>
      <c r="F943" t="s">
        <v>106</v>
      </c>
      <c r="G943" t="s">
        <v>476</v>
      </c>
      <c r="H943" t="str">
        <f>"ΔΩΡΙΕΩΝ 22 "</f>
        <v xml:space="preserve">ΔΩΡΙΕΩΝ 22 </v>
      </c>
      <c r="I943">
        <v>71303</v>
      </c>
      <c r="J943">
        <v>2721098097</v>
      </c>
      <c r="K943">
        <v>6977144342</v>
      </c>
      <c r="M943" t="s">
        <v>2357</v>
      </c>
      <c r="N943" t="s">
        <v>146</v>
      </c>
      <c r="O943" t="s">
        <v>147</v>
      </c>
      <c r="R943" t="s">
        <v>57</v>
      </c>
      <c r="S943">
        <v>6</v>
      </c>
      <c r="T943">
        <v>218</v>
      </c>
      <c r="U943" s="1">
        <v>38596</v>
      </c>
      <c r="V943" t="s">
        <v>123</v>
      </c>
      <c r="W943" t="s">
        <v>124</v>
      </c>
      <c r="X943" t="s">
        <v>58</v>
      </c>
      <c r="Y943">
        <v>20</v>
      </c>
      <c r="Z943" t="s">
        <v>59</v>
      </c>
      <c r="AA943" t="s">
        <v>59</v>
      </c>
      <c r="AB943" t="s">
        <v>59</v>
      </c>
      <c r="AC943" t="s">
        <v>59</v>
      </c>
      <c r="AD943" t="s">
        <v>59</v>
      </c>
      <c r="AF943" s="1">
        <v>38600</v>
      </c>
      <c r="AG943" t="s">
        <v>148</v>
      </c>
      <c r="AH943" t="s">
        <v>149</v>
      </c>
      <c r="AI943" t="str">
        <f>"1751020"</f>
        <v>1751020</v>
      </c>
      <c r="AJ943" t="s">
        <v>532</v>
      </c>
      <c r="AK943">
        <v>2810372732</v>
      </c>
      <c r="AL943" t="s">
        <v>533</v>
      </c>
      <c r="AM943" t="s">
        <v>78</v>
      </c>
      <c r="AN943" t="s">
        <v>78</v>
      </c>
      <c r="AO943" t="s">
        <v>78</v>
      </c>
      <c r="AP943" t="s">
        <v>163</v>
      </c>
      <c r="AQ943">
        <v>3</v>
      </c>
      <c r="AR943" t="s">
        <v>123</v>
      </c>
      <c r="AS943" t="s">
        <v>124</v>
      </c>
      <c r="AT943" t="s">
        <v>58</v>
      </c>
      <c r="AU943" t="s">
        <v>68</v>
      </c>
      <c r="AV943" t="s">
        <v>69</v>
      </c>
      <c r="AW943" s="1">
        <v>26694</v>
      </c>
      <c r="AX943">
        <v>2</v>
      </c>
    </row>
    <row r="944" spans="1:50">
      <c r="A944">
        <v>150423</v>
      </c>
      <c r="B944" t="str">
        <f>"027809857"</f>
        <v>027809857</v>
      </c>
      <c r="C944" t="s">
        <v>105</v>
      </c>
      <c r="D944" t="s">
        <v>2358</v>
      </c>
      <c r="E944" t="s">
        <v>95</v>
      </c>
      <c r="F944" t="s">
        <v>72</v>
      </c>
      <c r="G944" t="s">
        <v>191</v>
      </c>
      <c r="H944" t="str">
        <f>"ΑΓ. ΠΑΝΤΩΝ 3  ΚΑΛΛΙΘΕΑ"</f>
        <v>ΑΓ. ΠΑΝΤΩΝ 3  ΚΑΛΛΙΘΕΑ</v>
      </c>
      <c r="I944">
        <v>71601</v>
      </c>
      <c r="J944">
        <v>2810381349</v>
      </c>
      <c r="K944">
        <v>6937412140</v>
      </c>
      <c r="N944" t="s">
        <v>146</v>
      </c>
      <c r="O944" t="s">
        <v>147</v>
      </c>
      <c r="R944" t="s">
        <v>57</v>
      </c>
      <c r="S944">
        <v>16</v>
      </c>
      <c r="T944">
        <v>170</v>
      </c>
      <c r="U944" s="1">
        <v>32016</v>
      </c>
      <c r="V944" t="s">
        <v>123</v>
      </c>
      <c r="W944" t="s">
        <v>124</v>
      </c>
      <c r="X944" t="s">
        <v>58</v>
      </c>
      <c r="Y944">
        <v>18</v>
      </c>
      <c r="Z944" t="s">
        <v>59</v>
      </c>
      <c r="AA944" t="s">
        <v>59</v>
      </c>
      <c r="AB944" t="s">
        <v>59</v>
      </c>
      <c r="AC944" t="s">
        <v>59</v>
      </c>
      <c r="AD944" t="s">
        <v>59</v>
      </c>
      <c r="AF944" s="1">
        <v>32023</v>
      </c>
      <c r="AG944" t="s">
        <v>125</v>
      </c>
      <c r="AH944" t="s">
        <v>294</v>
      </c>
      <c r="AI944" t="str">
        <f>"1701015"</f>
        <v>1701015</v>
      </c>
      <c r="AJ944" t="s">
        <v>295</v>
      </c>
      <c r="AK944">
        <v>2810761696</v>
      </c>
      <c r="AL944" t="s">
        <v>296</v>
      </c>
      <c r="AM944" t="s">
        <v>78</v>
      </c>
      <c r="AN944" t="s">
        <v>219</v>
      </c>
      <c r="AO944" t="s">
        <v>297</v>
      </c>
      <c r="AP944" t="s">
        <v>297</v>
      </c>
      <c r="AQ944">
        <v>10</v>
      </c>
      <c r="AR944" t="s">
        <v>123</v>
      </c>
      <c r="AS944" t="s">
        <v>124</v>
      </c>
      <c r="AT944" t="s">
        <v>58</v>
      </c>
      <c r="AU944" t="s">
        <v>68</v>
      </c>
      <c r="AV944" t="s">
        <v>69</v>
      </c>
      <c r="AW944" s="1">
        <v>21782</v>
      </c>
      <c r="AX944">
        <v>2</v>
      </c>
    </row>
    <row r="945" spans="1:50">
      <c r="A945">
        <v>185780</v>
      </c>
      <c r="B945" t="str">
        <f>"054353984"</f>
        <v>054353984</v>
      </c>
      <c r="C945" t="s">
        <v>50</v>
      </c>
      <c r="D945" t="s">
        <v>2359</v>
      </c>
      <c r="E945" t="s">
        <v>52</v>
      </c>
      <c r="F945" t="s">
        <v>111</v>
      </c>
      <c r="G945" t="s">
        <v>250</v>
      </c>
      <c r="H945" t="str">
        <f>"ΜΟΝΗΣ ΑΓΚΑΡΑΘΟΥ 20 ΗΡΑΚΛΕΙΟΥ (Ν. ΗΡΑΚΛΕΙΟΥ)"</f>
        <v>ΜΟΝΗΣ ΑΓΚΑΡΑΘΟΥ 20 ΗΡΑΚΛΕΙΟΥ (Ν. ΗΡΑΚΛΕΙΟΥ)</v>
      </c>
      <c r="I945">
        <v>71202</v>
      </c>
      <c r="J945">
        <v>2810244998</v>
      </c>
      <c r="L945">
        <v>6979306760</v>
      </c>
      <c r="M945" t="s">
        <v>2360</v>
      </c>
      <c r="N945" t="s">
        <v>146</v>
      </c>
      <c r="O945" t="s">
        <v>147</v>
      </c>
      <c r="R945" t="s">
        <v>57</v>
      </c>
      <c r="S945">
        <v>10</v>
      </c>
      <c r="T945">
        <v>250</v>
      </c>
      <c r="U945" s="1">
        <v>36769</v>
      </c>
      <c r="V945" t="s">
        <v>123</v>
      </c>
      <c r="W945" t="s">
        <v>124</v>
      </c>
      <c r="X945" t="s">
        <v>58</v>
      </c>
      <c r="Y945">
        <v>20</v>
      </c>
      <c r="Z945" t="s">
        <v>59</v>
      </c>
      <c r="AA945" t="s">
        <v>59</v>
      </c>
      <c r="AB945" t="s">
        <v>59</v>
      </c>
      <c r="AC945" t="s">
        <v>59</v>
      </c>
      <c r="AD945" t="s">
        <v>59</v>
      </c>
      <c r="AF945" s="1">
        <v>36770</v>
      </c>
      <c r="AG945" t="s">
        <v>125</v>
      </c>
      <c r="AH945" t="s">
        <v>126</v>
      </c>
      <c r="AI945" t="str">
        <f>"1701050"</f>
        <v>1701050</v>
      </c>
      <c r="AJ945" t="s">
        <v>660</v>
      </c>
      <c r="AK945">
        <v>2810220729</v>
      </c>
      <c r="AL945" t="s">
        <v>661</v>
      </c>
      <c r="AM945" t="s">
        <v>78</v>
      </c>
      <c r="AN945" t="s">
        <v>78</v>
      </c>
      <c r="AO945" t="s">
        <v>78</v>
      </c>
      <c r="AP945" t="s">
        <v>79</v>
      </c>
      <c r="AQ945">
        <v>1</v>
      </c>
      <c r="AR945" t="s">
        <v>123</v>
      </c>
      <c r="AS945" t="s">
        <v>124</v>
      </c>
      <c r="AT945" t="s">
        <v>58</v>
      </c>
      <c r="AU945" t="s">
        <v>68</v>
      </c>
      <c r="AV945" t="s">
        <v>69</v>
      </c>
      <c r="AW945" s="1">
        <v>25111</v>
      </c>
      <c r="AX945">
        <v>2</v>
      </c>
    </row>
    <row r="946" spans="1:50">
      <c r="A946">
        <v>188802</v>
      </c>
      <c r="B946" t="str">
        <f>"077642557"</f>
        <v>077642557</v>
      </c>
      <c r="C946" t="s">
        <v>50</v>
      </c>
      <c r="D946" t="s">
        <v>2361</v>
      </c>
      <c r="E946" t="s">
        <v>1644</v>
      </c>
      <c r="F946" t="s">
        <v>72</v>
      </c>
      <c r="G946" t="s">
        <v>52</v>
      </c>
      <c r="H946" t="str">
        <f>"ΣΜΠΩΚΟΥ 20 ΗΡΑΚΛΕΙΟ"</f>
        <v>ΣΜΠΩΚΟΥ 20 ΗΡΑΚΛΕΙΟ</v>
      </c>
      <c r="I946">
        <v>71306</v>
      </c>
      <c r="J946">
        <v>2810210824</v>
      </c>
      <c r="K946">
        <v>6976701987</v>
      </c>
      <c r="M946" t="s">
        <v>2362</v>
      </c>
      <c r="N946" t="s">
        <v>204</v>
      </c>
      <c r="O946" t="s">
        <v>205</v>
      </c>
      <c r="R946" t="s">
        <v>57</v>
      </c>
      <c r="S946">
        <v>10</v>
      </c>
      <c r="T946" t="s">
        <v>2363</v>
      </c>
      <c r="U946" s="1">
        <v>36039</v>
      </c>
      <c r="V946" t="s">
        <v>123</v>
      </c>
      <c r="W946" t="s">
        <v>124</v>
      </c>
      <c r="X946" t="s">
        <v>58</v>
      </c>
      <c r="Y946">
        <v>18</v>
      </c>
      <c r="Z946" t="s">
        <v>59</v>
      </c>
      <c r="AA946" t="s">
        <v>59</v>
      </c>
      <c r="AB946" t="s">
        <v>59</v>
      </c>
      <c r="AC946" t="s">
        <v>59</v>
      </c>
      <c r="AD946" t="s">
        <v>59</v>
      </c>
      <c r="AF946" s="1">
        <v>36040</v>
      </c>
      <c r="AG946" t="s">
        <v>148</v>
      </c>
      <c r="AH946" t="s">
        <v>149</v>
      </c>
      <c r="AI946" t="str">
        <f>"1790070"</f>
        <v>1790070</v>
      </c>
      <c r="AJ946" t="s">
        <v>1283</v>
      </c>
      <c r="AK946">
        <v>2810252154</v>
      </c>
      <c r="AL946" t="s">
        <v>1284</v>
      </c>
      <c r="AM946" t="s">
        <v>78</v>
      </c>
      <c r="AN946" t="s">
        <v>78</v>
      </c>
      <c r="AO946" t="s">
        <v>78</v>
      </c>
      <c r="AP946" t="s">
        <v>141</v>
      </c>
      <c r="AQ946">
        <v>7</v>
      </c>
      <c r="AR946" t="s">
        <v>123</v>
      </c>
      <c r="AS946" t="s">
        <v>124</v>
      </c>
      <c r="AT946" t="s">
        <v>58</v>
      </c>
      <c r="AU946" t="s">
        <v>68</v>
      </c>
      <c r="AV946" t="s">
        <v>69</v>
      </c>
      <c r="AW946" s="1">
        <v>27395</v>
      </c>
      <c r="AX946">
        <v>2</v>
      </c>
    </row>
    <row r="947" spans="1:50">
      <c r="A947">
        <v>188342</v>
      </c>
      <c r="B947" t="str">
        <f>"078246718"</f>
        <v>078246718</v>
      </c>
      <c r="C947" t="s">
        <v>105</v>
      </c>
      <c r="D947" t="s">
        <v>2364</v>
      </c>
      <c r="E947" t="s">
        <v>377</v>
      </c>
      <c r="F947" t="s">
        <v>450</v>
      </c>
      <c r="G947" t="s">
        <v>2235</v>
      </c>
      <c r="H947" t="str">
        <f>" "</f>
        <v xml:space="preserve"> </v>
      </c>
      <c r="J947">
        <v>2810212310</v>
      </c>
      <c r="K947">
        <v>6972186044</v>
      </c>
      <c r="M947" t="s">
        <v>2365</v>
      </c>
      <c r="N947" t="s">
        <v>204</v>
      </c>
      <c r="O947" t="s">
        <v>205</v>
      </c>
      <c r="R947" t="s">
        <v>57</v>
      </c>
      <c r="S947">
        <v>10</v>
      </c>
      <c r="T947">
        <v>251</v>
      </c>
      <c r="U947" s="1">
        <v>36769</v>
      </c>
      <c r="V947" t="s">
        <v>123</v>
      </c>
      <c r="W947" t="s">
        <v>124</v>
      </c>
      <c r="X947" t="s">
        <v>58</v>
      </c>
      <c r="Y947">
        <v>18</v>
      </c>
      <c r="Z947" t="s">
        <v>59</v>
      </c>
      <c r="AA947" t="s">
        <v>59</v>
      </c>
      <c r="AB947" t="s">
        <v>59</v>
      </c>
      <c r="AC947" t="s">
        <v>59</v>
      </c>
      <c r="AD947" t="s">
        <v>59</v>
      </c>
      <c r="AF947" s="1">
        <v>36770</v>
      </c>
      <c r="AG947" t="s">
        <v>137</v>
      </c>
      <c r="AH947" t="s">
        <v>138</v>
      </c>
      <c r="AI947" t="str">
        <f>"1740070"</f>
        <v>1740070</v>
      </c>
      <c r="AJ947" t="s">
        <v>206</v>
      </c>
      <c r="AK947">
        <v>2810324880</v>
      </c>
      <c r="AL947" t="s">
        <v>207</v>
      </c>
      <c r="AM947" t="s">
        <v>78</v>
      </c>
      <c r="AN947" t="s">
        <v>78</v>
      </c>
      <c r="AO947" t="s">
        <v>78</v>
      </c>
      <c r="AP947" t="s">
        <v>163</v>
      </c>
      <c r="AQ947">
        <v>9</v>
      </c>
      <c r="AR947" t="s">
        <v>123</v>
      </c>
      <c r="AS947" t="s">
        <v>124</v>
      </c>
      <c r="AT947" t="s">
        <v>58</v>
      </c>
      <c r="AU947" t="s">
        <v>68</v>
      </c>
      <c r="AV947" t="s">
        <v>69</v>
      </c>
      <c r="AW947" s="1">
        <v>24977</v>
      </c>
      <c r="AX947">
        <v>2</v>
      </c>
    </row>
    <row r="948" spans="1:50">
      <c r="A948">
        <v>162300</v>
      </c>
      <c r="B948" t="str">
        <f>"031324840"</f>
        <v>031324840</v>
      </c>
      <c r="C948" t="s">
        <v>50</v>
      </c>
      <c r="D948" t="s">
        <v>2366</v>
      </c>
      <c r="E948" t="s">
        <v>372</v>
      </c>
      <c r="F948" t="s">
        <v>166</v>
      </c>
      <c r="G948" t="s">
        <v>263</v>
      </c>
      <c r="H948" t="str">
        <f>"ΜΙΧ. ΒΛΑΧΟΥ 31 ΗΡΑΚΛΕΙΟ"</f>
        <v>ΜΙΧ. ΒΛΑΧΟΥ 31 ΗΡΑΚΛΕΙΟ</v>
      </c>
      <c r="I948">
        <v>71305</v>
      </c>
      <c r="J948">
        <v>2810326374</v>
      </c>
      <c r="K948">
        <v>6945153313</v>
      </c>
      <c r="M948" t="s">
        <v>1153</v>
      </c>
      <c r="N948" t="s">
        <v>146</v>
      </c>
      <c r="O948" t="s">
        <v>147</v>
      </c>
      <c r="R948" t="s">
        <v>57</v>
      </c>
      <c r="S948">
        <v>15</v>
      </c>
      <c r="T948">
        <v>132</v>
      </c>
      <c r="U948" s="1">
        <v>33456</v>
      </c>
      <c r="V948" t="s">
        <v>123</v>
      </c>
      <c r="W948" t="s">
        <v>124</v>
      </c>
      <c r="X948" t="s">
        <v>58</v>
      </c>
      <c r="Y948">
        <v>18</v>
      </c>
      <c r="Z948" t="s">
        <v>59</v>
      </c>
      <c r="AA948" t="s">
        <v>59</v>
      </c>
      <c r="AB948" t="s">
        <v>59</v>
      </c>
      <c r="AC948" t="s">
        <v>59</v>
      </c>
      <c r="AD948" t="s">
        <v>59</v>
      </c>
      <c r="AF948" s="1">
        <v>33487</v>
      </c>
      <c r="AG948" t="s">
        <v>125</v>
      </c>
      <c r="AH948" t="s">
        <v>126</v>
      </c>
      <c r="AI948" t="str">
        <f>"1701041"</f>
        <v>1701041</v>
      </c>
      <c r="AJ948" t="s">
        <v>161</v>
      </c>
      <c r="AK948">
        <v>2810327052</v>
      </c>
      <c r="AL948" t="s">
        <v>162</v>
      </c>
      <c r="AM948" t="s">
        <v>78</v>
      </c>
      <c r="AN948" t="s">
        <v>78</v>
      </c>
      <c r="AO948" t="s">
        <v>78</v>
      </c>
      <c r="AP948" t="s">
        <v>163</v>
      </c>
      <c r="AQ948">
        <v>5</v>
      </c>
      <c r="AR948" t="s">
        <v>123</v>
      </c>
      <c r="AS948" t="s">
        <v>124</v>
      </c>
      <c r="AT948" t="s">
        <v>58</v>
      </c>
      <c r="AU948" t="s">
        <v>68</v>
      </c>
      <c r="AV948" t="s">
        <v>69</v>
      </c>
      <c r="AW948" s="1">
        <v>21361</v>
      </c>
      <c r="AX948">
        <v>2</v>
      </c>
    </row>
    <row r="949" spans="1:50">
      <c r="A949">
        <v>226035</v>
      </c>
      <c r="B949" t="str">
        <f>"048267021"</f>
        <v>048267021</v>
      </c>
      <c r="C949" t="s">
        <v>105</v>
      </c>
      <c r="D949" t="s">
        <v>2367</v>
      </c>
      <c r="E949" t="s">
        <v>670</v>
      </c>
      <c r="F949" t="s">
        <v>459</v>
      </c>
      <c r="G949" t="s">
        <v>52</v>
      </c>
      <c r="H949" t="str">
        <f>"ΦΕΙΔΙΟΥ 16 ΗΡΑΚΛΕΙΟ ΚΡΗΤΗΣ"</f>
        <v>ΦΕΙΔΙΟΥ 16 ΗΡΑΚΛΕΙΟ ΚΡΗΤΗΣ</v>
      </c>
      <c r="I949">
        <v>71409</v>
      </c>
      <c r="J949">
        <v>2810320877</v>
      </c>
      <c r="K949">
        <v>6973221733</v>
      </c>
      <c r="M949" t="s">
        <v>2368</v>
      </c>
      <c r="N949" t="s">
        <v>176</v>
      </c>
      <c r="O949" t="s">
        <v>177</v>
      </c>
      <c r="R949" t="s">
        <v>57</v>
      </c>
      <c r="S949">
        <v>8</v>
      </c>
      <c r="T949">
        <v>194</v>
      </c>
      <c r="U949" s="1">
        <v>37497</v>
      </c>
      <c r="V949" t="s">
        <v>123</v>
      </c>
      <c r="W949" t="s">
        <v>124</v>
      </c>
      <c r="X949" t="s">
        <v>58</v>
      </c>
      <c r="Y949">
        <v>20</v>
      </c>
      <c r="Z949" t="s">
        <v>59</v>
      </c>
      <c r="AA949" t="s">
        <v>59</v>
      </c>
      <c r="AB949" t="s">
        <v>59</v>
      </c>
      <c r="AC949" t="s">
        <v>59</v>
      </c>
      <c r="AD949" t="s">
        <v>59</v>
      </c>
      <c r="AF949" s="1">
        <v>37501</v>
      </c>
      <c r="AG949" t="s">
        <v>125</v>
      </c>
      <c r="AH949" t="s">
        <v>126</v>
      </c>
      <c r="AI949" t="str">
        <f>"1711010"</f>
        <v>1711010</v>
      </c>
      <c r="AJ949" t="s">
        <v>695</v>
      </c>
      <c r="AK949">
        <v>2810741301</v>
      </c>
      <c r="AL949" t="s">
        <v>696</v>
      </c>
      <c r="AM949" t="s">
        <v>78</v>
      </c>
      <c r="AN949" t="s">
        <v>424</v>
      </c>
      <c r="AO949" t="s">
        <v>428</v>
      </c>
      <c r="AP949" t="s">
        <v>429</v>
      </c>
      <c r="AQ949">
        <v>14</v>
      </c>
      <c r="AR949" t="s">
        <v>123</v>
      </c>
      <c r="AS949" t="s">
        <v>124</v>
      </c>
      <c r="AT949" t="s">
        <v>58</v>
      </c>
      <c r="AU949" t="s">
        <v>68</v>
      </c>
      <c r="AV949" t="s">
        <v>69</v>
      </c>
      <c r="AW949" s="1">
        <v>27653</v>
      </c>
      <c r="AX949">
        <v>2</v>
      </c>
    </row>
    <row r="950" spans="1:50">
      <c r="A950">
        <v>158906</v>
      </c>
      <c r="B950" t="str">
        <f>"034629154"</f>
        <v>034629154</v>
      </c>
      <c r="C950" t="s">
        <v>50</v>
      </c>
      <c r="D950" t="s">
        <v>2369</v>
      </c>
      <c r="E950" t="s">
        <v>2370</v>
      </c>
      <c r="F950" t="s">
        <v>989</v>
      </c>
      <c r="G950" t="s">
        <v>250</v>
      </c>
      <c r="H950" t="str">
        <f>"ΓΙΑΝΝΗ ΨΥΧΑΡΗ 46 "</f>
        <v xml:space="preserve">ΓΙΑΝΝΗ ΨΥΧΑΡΗ 46 </v>
      </c>
      <c r="I950">
        <v>71305</v>
      </c>
      <c r="J950">
        <v>2810258800</v>
      </c>
      <c r="K950">
        <v>6975629246</v>
      </c>
      <c r="M950" t="s">
        <v>2371</v>
      </c>
      <c r="N950" t="s">
        <v>157</v>
      </c>
      <c r="O950" t="s">
        <v>158</v>
      </c>
      <c r="R950" t="s">
        <v>57</v>
      </c>
      <c r="S950">
        <v>15</v>
      </c>
      <c r="T950">
        <v>161</v>
      </c>
      <c r="U950" s="1">
        <v>33119</v>
      </c>
      <c r="V950" t="s">
        <v>123</v>
      </c>
      <c r="W950" t="s">
        <v>124</v>
      </c>
      <c r="X950" t="s">
        <v>58</v>
      </c>
      <c r="Y950">
        <v>18</v>
      </c>
      <c r="Z950" t="s">
        <v>59</v>
      </c>
      <c r="AA950" t="s">
        <v>59</v>
      </c>
      <c r="AB950" t="s">
        <v>59</v>
      </c>
      <c r="AC950" t="s">
        <v>59</v>
      </c>
      <c r="AD950" t="s">
        <v>59</v>
      </c>
      <c r="AF950" s="1">
        <v>33122</v>
      </c>
      <c r="AG950" t="s">
        <v>125</v>
      </c>
      <c r="AH950" t="s">
        <v>126</v>
      </c>
      <c r="AI950" t="str">
        <f>"1728010"</f>
        <v>1728010</v>
      </c>
      <c r="AJ950" t="s">
        <v>127</v>
      </c>
      <c r="AK950">
        <v>2810824651</v>
      </c>
      <c r="AL950" t="s">
        <v>128</v>
      </c>
      <c r="AM950" t="s">
        <v>78</v>
      </c>
      <c r="AN950" t="s">
        <v>129</v>
      </c>
      <c r="AO950" t="s">
        <v>130</v>
      </c>
      <c r="AP950" t="s">
        <v>130</v>
      </c>
      <c r="AQ950">
        <v>36</v>
      </c>
      <c r="AR950" t="s">
        <v>123</v>
      </c>
      <c r="AS950" t="s">
        <v>124</v>
      </c>
      <c r="AT950" t="s">
        <v>58</v>
      </c>
      <c r="AU950" t="s">
        <v>68</v>
      </c>
      <c r="AV950" t="s">
        <v>69</v>
      </c>
      <c r="AW950" s="1">
        <v>23398</v>
      </c>
      <c r="AX950">
        <v>2</v>
      </c>
    </row>
    <row r="951" spans="1:50">
      <c r="A951">
        <v>184929</v>
      </c>
      <c r="B951" t="str">
        <f>"029468624"</f>
        <v>029468624</v>
      </c>
      <c r="C951" t="s">
        <v>50</v>
      </c>
      <c r="D951" t="s">
        <v>2372</v>
      </c>
      <c r="E951" t="s">
        <v>1520</v>
      </c>
      <c r="F951" t="s">
        <v>99</v>
      </c>
      <c r="G951" t="s">
        <v>52</v>
      </c>
      <c r="H951" t="str">
        <f>"ΠΡΕΒΕΛΑΚΗ 5 ΚΕΝΤΡΟ"</f>
        <v>ΠΡΕΒΕΛΑΚΗ 5 ΚΕΝΤΡΟ</v>
      </c>
      <c r="I951">
        <v>71202</v>
      </c>
      <c r="J951">
        <v>2810342193</v>
      </c>
      <c r="K951">
        <v>6977570817</v>
      </c>
      <c r="M951" t="s">
        <v>2373</v>
      </c>
      <c r="N951" t="s">
        <v>257</v>
      </c>
      <c r="O951" t="s">
        <v>258</v>
      </c>
      <c r="R951" t="s">
        <v>57</v>
      </c>
      <c r="S951">
        <v>9</v>
      </c>
      <c r="T951">
        <v>177</v>
      </c>
      <c r="U951" s="1">
        <v>36403</v>
      </c>
      <c r="V951" t="s">
        <v>123</v>
      </c>
      <c r="W951" t="s">
        <v>124</v>
      </c>
      <c r="X951" t="s">
        <v>58</v>
      </c>
      <c r="Y951">
        <v>18</v>
      </c>
      <c r="Z951" t="s">
        <v>59</v>
      </c>
      <c r="AA951" t="s">
        <v>59</v>
      </c>
      <c r="AB951" t="s">
        <v>59</v>
      </c>
      <c r="AC951" t="s">
        <v>59</v>
      </c>
      <c r="AD951" t="s">
        <v>59</v>
      </c>
      <c r="AF951" s="1">
        <v>36403</v>
      </c>
      <c r="AG951" t="s">
        <v>125</v>
      </c>
      <c r="AH951" t="s">
        <v>126</v>
      </c>
      <c r="AI951" t="str">
        <f>"1728010"</f>
        <v>1728010</v>
      </c>
      <c r="AJ951" t="s">
        <v>127</v>
      </c>
      <c r="AK951">
        <v>2810824651</v>
      </c>
      <c r="AL951" t="s">
        <v>128</v>
      </c>
      <c r="AM951" t="s">
        <v>78</v>
      </c>
      <c r="AN951" t="s">
        <v>129</v>
      </c>
      <c r="AO951" t="s">
        <v>130</v>
      </c>
      <c r="AP951" t="s">
        <v>130</v>
      </c>
      <c r="AQ951">
        <v>36</v>
      </c>
      <c r="AR951" t="s">
        <v>123</v>
      </c>
      <c r="AS951" t="s">
        <v>124</v>
      </c>
      <c r="AT951" t="s">
        <v>58</v>
      </c>
      <c r="AU951" t="s">
        <v>68</v>
      </c>
      <c r="AV951" t="s">
        <v>69</v>
      </c>
      <c r="AW951" s="1">
        <v>21978</v>
      </c>
      <c r="AX951">
        <v>2</v>
      </c>
    </row>
    <row r="952" spans="1:50">
      <c r="A952">
        <v>216573</v>
      </c>
      <c r="B952" t="str">
        <f>"103831418"</f>
        <v>103831418</v>
      </c>
      <c r="C952" t="s">
        <v>50</v>
      </c>
      <c r="D952" t="s">
        <v>2374</v>
      </c>
      <c r="E952" t="s">
        <v>52</v>
      </c>
      <c r="F952" t="s">
        <v>450</v>
      </c>
      <c r="G952" t="s">
        <v>250</v>
      </c>
      <c r="H952" t="str">
        <f>" "</f>
        <v xml:space="preserve"> </v>
      </c>
      <c r="J952">
        <v>2810257831</v>
      </c>
      <c r="K952">
        <v>6978189157</v>
      </c>
      <c r="M952" t="s">
        <v>2375</v>
      </c>
      <c r="N952" t="s">
        <v>733</v>
      </c>
      <c r="O952" t="s">
        <v>734</v>
      </c>
      <c r="R952" t="s">
        <v>57</v>
      </c>
      <c r="S952">
        <v>10</v>
      </c>
      <c r="T952">
        <v>236</v>
      </c>
      <c r="U952" s="1">
        <v>38961</v>
      </c>
      <c r="V952" t="s">
        <v>123</v>
      </c>
      <c r="W952" t="s">
        <v>124</v>
      </c>
      <c r="X952" t="s">
        <v>58</v>
      </c>
      <c r="Y952">
        <v>20</v>
      </c>
      <c r="Z952" t="s">
        <v>59</v>
      </c>
      <c r="AA952" t="s">
        <v>59</v>
      </c>
      <c r="AB952" t="s">
        <v>59</v>
      </c>
      <c r="AC952" t="s">
        <v>59</v>
      </c>
      <c r="AD952" t="s">
        <v>59</v>
      </c>
      <c r="AF952" s="1">
        <v>38965</v>
      </c>
      <c r="AG952" t="s">
        <v>137</v>
      </c>
      <c r="AH952" t="s">
        <v>138</v>
      </c>
      <c r="AI952" t="str">
        <f>"1740080"</f>
        <v>1740080</v>
      </c>
      <c r="AJ952" t="s">
        <v>284</v>
      </c>
      <c r="AK952">
        <v>2810220433</v>
      </c>
      <c r="AL952" t="s">
        <v>285</v>
      </c>
      <c r="AM952" t="s">
        <v>78</v>
      </c>
      <c r="AN952" t="s">
        <v>78</v>
      </c>
      <c r="AO952" t="s">
        <v>286</v>
      </c>
      <c r="AP952" t="s">
        <v>286</v>
      </c>
      <c r="AQ952">
        <v>12</v>
      </c>
      <c r="AR952" t="s">
        <v>123</v>
      </c>
      <c r="AS952" t="s">
        <v>124</v>
      </c>
      <c r="AT952" t="s">
        <v>58</v>
      </c>
      <c r="AU952" t="s">
        <v>68</v>
      </c>
      <c r="AV952" t="s">
        <v>69</v>
      </c>
      <c r="AW952" s="1">
        <v>25165</v>
      </c>
      <c r="AX952">
        <v>2</v>
      </c>
    </row>
    <row r="953" spans="1:50">
      <c r="A953">
        <v>197231</v>
      </c>
      <c r="B953" t="str">
        <f>"110125700"</f>
        <v>110125700</v>
      </c>
      <c r="C953" t="s">
        <v>50</v>
      </c>
      <c r="D953" t="s">
        <v>2376</v>
      </c>
      <c r="E953" t="s">
        <v>215</v>
      </c>
      <c r="F953" t="s">
        <v>2227</v>
      </c>
      <c r="G953" t="s">
        <v>801</v>
      </c>
      <c r="H953" t="str">
        <f>"ΜΕΛΕΤΙΟΥ ΠΗΓΑ 66 "</f>
        <v xml:space="preserve">ΜΕΛΕΤΙΟΥ ΠΗΓΑ 66 </v>
      </c>
      <c r="I953">
        <v>71306</v>
      </c>
      <c r="J953">
        <v>2810327157</v>
      </c>
      <c r="K953">
        <v>6974436563</v>
      </c>
      <c r="M953" t="s">
        <v>2377</v>
      </c>
      <c r="N953" t="s">
        <v>146</v>
      </c>
      <c r="O953" t="s">
        <v>147</v>
      </c>
      <c r="R953" t="s">
        <v>57</v>
      </c>
      <c r="S953">
        <v>7</v>
      </c>
      <c r="T953">
        <v>206</v>
      </c>
      <c r="U953" s="1">
        <v>37866</v>
      </c>
      <c r="V953" t="s">
        <v>123</v>
      </c>
      <c r="W953" t="s">
        <v>124</v>
      </c>
      <c r="X953" t="s">
        <v>58</v>
      </c>
      <c r="Y953">
        <v>20</v>
      </c>
      <c r="Z953" t="s">
        <v>59</v>
      </c>
      <c r="AA953" t="s">
        <v>59</v>
      </c>
      <c r="AB953" t="s">
        <v>59</v>
      </c>
      <c r="AC953" t="s">
        <v>59</v>
      </c>
      <c r="AD953" t="s">
        <v>59</v>
      </c>
      <c r="AF953" s="1">
        <v>37866</v>
      </c>
      <c r="AG953" t="s">
        <v>125</v>
      </c>
      <c r="AH953" t="s">
        <v>126</v>
      </c>
      <c r="AI953" t="str">
        <f>"1701052"</f>
        <v>1701052</v>
      </c>
      <c r="AJ953" t="s">
        <v>223</v>
      </c>
      <c r="AK953">
        <v>2810252514</v>
      </c>
      <c r="AL953" t="s">
        <v>224</v>
      </c>
      <c r="AM953" t="s">
        <v>78</v>
      </c>
      <c r="AN953" t="s">
        <v>78</v>
      </c>
      <c r="AO953" t="s">
        <v>78</v>
      </c>
      <c r="AP953" t="s">
        <v>141</v>
      </c>
      <c r="AQ953">
        <v>7</v>
      </c>
      <c r="AR953" t="s">
        <v>123</v>
      </c>
      <c r="AS953" t="s">
        <v>124</v>
      </c>
      <c r="AT953" t="s">
        <v>58</v>
      </c>
      <c r="AU953" t="s">
        <v>68</v>
      </c>
      <c r="AV953" t="s">
        <v>69</v>
      </c>
      <c r="AW953" s="1">
        <v>27710</v>
      </c>
      <c r="AX953">
        <v>2</v>
      </c>
    </row>
    <row r="954" spans="1:50">
      <c r="A954">
        <v>193633</v>
      </c>
      <c r="B954" t="str">
        <f>"064570728"</f>
        <v>064570728</v>
      </c>
      <c r="C954" t="s">
        <v>50</v>
      </c>
      <c r="D954" t="s">
        <v>2376</v>
      </c>
      <c r="E954" t="s">
        <v>52</v>
      </c>
      <c r="F954" t="s">
        <v>166</v>
      </c>
      <c r="G954" t="s">
        <v>869</v>
      </c>
      <c r="H954" t="str">
        <f>" "</f>
        <v xml:space="preserve"> </v>
      </c>
      <c r="J954">
        <v>2810239376</v>
      </c>
      <c r="K954">
        <v>6946472033</v>
      </c>
      <c r="N954" t="s">
        <v>232</v>
      </c>
      <c r="O954" t="s">
        <v>233</v>
      </c>
      <c r="R954" t="s">
        <v>57</v>
      </c>
      <c r="S954">
        <v>11</v>
      </c>
      <c r="T954">
        <v>193</v>
      </c>
      <c r="U954" s="1">
        <v>37497</v>
      </c>
      <c r="V954" t="s">
        <v>123</v>
      </c>
      <c r="W954" t="s">
        <v>124</v>
      </c>
      <c r="X954" t="s">
        <v>58</v>
      </c>
      <c r="Y954">
        <v>18</v>
      </c>
      <c r="Z954" t="s">
        <v>59</v>
      </c>
      <c r="AA954" t="s">
        <v>59</v>
      </c>
      <c r="AB954" t="s">
        <v>59</v>
      </c>
      <c r="AC954" t="s">
        <v>59</v>
      </c>
      <c r="AD954" t="s">
        <v>59</v>
      </c>
      <c r="AF954" s="1">
        <v>37497</v>
      </c>
      <c r="AG954" t="s">
        <v>125</v>
      </c>
      <c r="AH954" t="s">
        <v>126</v>
      </c>
      <c r="AI954" t="str">
        <f>"1701050"</f>
        <v>1701050</v>
      </c>
      <c r="AJ954" t="s">
        <v>660</v>
      </c>
      <c r="AK954">
        <v>2810220729</v>
      </c>
      <c r="AL954" t="s">
        <v>661</v>
      </c>
      <c r="AM954" t="s">
        <v>78</v>
      </c>
      <c r="AN954" t="s">
        <v>78</v>
      </c>
      <c r="AO954" t="s">
        <v>78</v>
      </c>
      <c r="AP954" t="s">
        <v>79</v>
      </c>
      <c r="AQ954">
        <v>1</v>
      </c>
      <c r="AR954" t="s">
        <v>123</v>
      </c>
      <c r="AS954" t="s">
        <v>124</v>
      </c>
      <c r="AT954" t="s">
        <v>58</v>
      </c>
      <c r="AU954" t="s">
        <v>68</v>
      </c>
      <c r="AV954" t="s">
        <v>69</v>
      </c>
      <c r="AW954" s="1">
        <v>22087</v>
      </c>
      <c r="AX954">
        <v>2</v>
      </c>
    </row>
    <row r="955" spans="1:50">
      <c r="A955">
        <v>168952</v>
      </c>
      <c r="B955" t="str">
        <f>"052350347"</f>
        <v>052350347</v>
      </c>
      <c r="C955" t="s">
        <v>105</v>
      </c>
      <c r="D955" t="s">
        <v>2378</v>
      </c>
      <c r="E955" t="s">
        <v>53</v>
      </c>
      <c r="F955" t="s">
        <v>2227</v>
      </c>
      <c r="G955" t="s">
        <v>52</v>
      </c>
      <c r="H955" t="str">
        <f>" "</f>
        <v xml:space="preserve"> </v>
      </c>
      <c r="M955" t="s">
        <v>2379</v>
      </c>
      <c r="N955" t="s">
        <v>204</v>
      </c>
      <c r="O955" t="s">
        <v>205</v>
      </c>
      <c r="P955" t="s">
        <v>292</v>
      </c>
      <c r="Q955" t="s">
        <v>293</v>
      </c>
      <c r="R955" t="s">
        <v>57</v>
      </c>
      <c r="S955">
        <v>11</v>
      </c>
      <c r="T955">
        <v>159</v>
      </c>
      <c r="U955" s="1">
        <v>34582</v>
      </c>
      <c r="V955" t="s">
        <v>123</v>
      </c>
      <c r="W955" t="s">
        <v>124</v>
      </c>
      <c r="X955" t="s">
        <v>58</v>
      </c>
      <c r="Y955">
        <v>18</v>
      </c>
      <c r="Z955" t="s">
        <v>59</v>
      </c>
      <c r="AA955" t="s">
        <v>59</v>
      </c>
      <c r="AB955" t="s">
        <v>59</v>
      </c>
      <c r="AC955" t="s">
        <v>59</v>
      </c>
      <c r="AD955" t="s">
        <v>59</v>
      </c>
      <c r="AF955" s="1">
        <v>34582</v>
      </c>
      <c r="AG955" t="s">
        <v>137</v>
      </c>
      <c r="AH955" t="s">
        <v>469</v>
      </c>
      <c r="AI955" t="str">
        <f>"1740200"</f>
        <v>1740200</v>
      </c>
      <c r="AJ955" t="s">
        <v>470</v>
      </c>
      <c r="AK955">
        <v>2810320770</v>
      </c>
      <c r="AL955" t="s">
        <v>471</v>
      </c>
      <c r="AM955" t="s">
        <v>78</v>
      </c>
      <c r="AN955" t="s">
        <v>78</v>
      </c>
      <c r="AO955" t="s">
        <v>78</v>
      </c>
      <c r="AP955" t="s">
        <v>163</v>
      </c>
      <c r="AQ955">
        <v>2</v>
      </c>
      <c r="AR955" t="s">
        <v>123</v>
      </c>
      <c r="AS955" t="s">
        <v>124</v>
      </c>
      <c r="AT955" t="s">
        <v>58</v>
      </c>
      <c r="AU955" t="s">
        <v>68</v>
      </c>
      <c r="AV955" t="s">
        <v>69</v>
      </c>
      <c r="AW955" s="1">
        <v>24235</v>
      </c>
      <c r="AX955">
        <v>2</v>
      </c>
    </row>
    <row r="956" spans="1:50">
      <c r="A956">
        <v>196587</v>
      </c>
      <c r="B956" t="str">
        <f>"059913993"</f>
        <v>059913993</v>
      </c>
      <c r="C956" t="s">
        <v>105</v>
      </c>
      <c r="D956" t="s">
        <v>2380</v>
      </c>
      <c r="E956" t="s">
        <v>106</v>
      </c>
      <c r="F956" t="s">
        <v>53</v>
      </c>
      <c r="G956" t="s">
        <v>2381</v>
      </c>
      <c r="H956" t="str">
        <f>"ΛΙΣΣΟΥ 14 ΗΡΑΚΛΕΙΟ"</f>
        <v>ΛΙΣΣΟΥ 14 ΗΡΑΚΛΕΙΟ</v>
      </c>
      <c r="I956">
        <v>71304</v>
      </c>
      <c r="J956">
        <v>2810313595</v>
      </c>
      <c r="K956">
        <v>6937022666</v>
      </c>
      <c r="M956" t="s">
        <v>2382</v>
      </c>
      <c r="N956" t="s">
        <v>232</v>
      </c>
      <c r="O956" t="s">
        <v>233</v>
      </c>
      <c r="R956" t="s">
        <v>57</v>
      </c>
      <c r="S956">
        <v>7</v>
      </c>
      <c r="T956">
        <v>25</v>
      </c>
      <c r="U956" s="1">
        <v>37659</v>
      </c>
      <c r="V956" t="s">
        <v>123</v>
      </c>
      <c r="W956" t="s">
        <v>124</v>
      </c>
      <c r="X956" t="s">
        <v>58</v>
      </c>
      <c r="Y956">
        <v>20</v>
      </c>
      <c r="Z956" t="s">
        <v>59</v>
      </c>
      <c r="AA956" t="s">
        <v>59</v>
      </c>
      <c r="AB956" t="s">
        <v>59</v>
      </c>
      <c r="AC956" t="s">
        <v>59</v>
      </c>
      <c r="AD956" t="s">
        <v>59</v>
      </c>
      <c r="AF956" s="1">
        <v>37672</v>
      </c>
      <c r="AG956" t="s">
        <v>148</v>
      </c>
      <c r="AH956" t="s">
        <v>149</v>
      </c>
      <c r="AI956" t="str">
        <f>"1790210"</f>
        <v>1790210</v>
      </c>
      <c r="AJ956" t="s">
        <v>417</v>
      </c>
      <c r="AK956">
        <v>2810252172</v>
      </c>
      <c r="AL956" t="s">
        <v>418</v>
      </c>
      <c r="AM956" t="s">
        <v>78</v>
      </c>
      <c r="AN956" t="s">
        <v>78</v>
      </c>
      <c r="AO956" t="s">
        <v>78</v>
      </c>
      <c r="AP956" t="s">
        <v>141</v>
      </c>
      <c r="AQ956">
        <v>7</v>
      </c>
      <c r="AR956" t="s">
        <v>123</v>
      </c>
      <c r="AS956" t="s">
        <v>124</v>
      </c>
      <c r="AT956" t="s">
        <v>58</v>
      </c>
      <c r="AU956" t="s">
        <v>68</v>
      </c>
      <c r="AV956" t="s">
        <v>69</v>
      </c>
      <c r="AW956" s="1">
        <v>24655</v>
      </c>
      <c r="AX956">
        <v>2</v>
      </c>
    </row>
    <row r="957" spans="1:50">
      <c r="A957">
        <v>206680</v>
      </c>
      <c r="B957" t="str">
        <f>"078352030"</f>
        <v>078352030</v>
      </c>
      <c r="C957" t="s">
        <v>50</v>
      </c>
      <c r="D957" t="s">
        <v>2383</v>
      </c>
      <c r="E957" t="s">
        <v>83</v>
      </c>
      <c r="F957" t="s">
        <v>95</v>
      </c>
      <c r="G957" t="s">
        <v>1019</v>
      </c>
      <c r="H957" t="str">
        <f>"Α. ΠΑΠΑΝΔΡΕΟΥ 65 ΓΑΖΙ"</f>
        <v>Α. ΠΑΠΑΝΔΡΕΟΥ 65 ΓΑΖΙ</v>
      </c>
      <c r="I957">
        <v>71414</v>
      </c>
      <c r="J957">
        <v>2810251901</v>
      </c>
      <c r="K957">
        <v>6946890409</v>
      </c>
      <c r="M957" t="s">
        <v>2384</v>
      </c>
      <c r="N957" t="s">
        <v>146</v>
      </c>
      <c r="O957" t="s">
        <v>147</v>
      </c>
      <c r="R957" t="s">
        <v>57</v>
      </c>
      <c r="S957">
        <v>7</v>
      </c>
      <c r="T957">
        <v>218</v>
      </c>
      <c r="U957" s="1">
        <v>38596</v>
      </c>
      <c r="V957" t="s">
        <v>123</v>
      </c>
      <c r="W957" t="s">
        <v>124</v>
      </c>
      <c r="X957" t="s">
        <v>58</v>
      </c>
      <c r="Y957">
        <v>20</v>
      </c>
      <c r="Z957" t="s">
        <v>59</v>
      </c>
      <c r="AA957" t="s">
        <v>59</v>
      </c>
      <c r="AB957" t="s">
        <v>59</v>
      </c>
      <c r="AC957" t="s">
        <v>59</v>
      </c>
      <c r="AD957" t="s">
        <v>59</v>
      </c>
      <c r="AF957" s="1">
        <v>38600</v>
      </c>
      <c r="AG957" t="s">
        <v>148</v>
      </c>
      <c r="AH957" t="s">
        <v>149</v>
      </c>
      <c r="AI957" t="str">
        <f>"1751051"</f>
        <v>1751051</v>
      </c>
      <c r="AJ957" t="s">
        <v>259</v>
      </c>
      <c r="AK957">
        <v>2810251794</v>
      </c>
      <c r="AL957" t="s">
        <v>260</v>
      </c>
      <c r="AM957" t="s">
        <v>78</v>
      </c>
      <c r="AN957" t="s">
        <v>78</v>
      </c>
      <c r="AO957" t="s">
        <v>78</v>
      </c>
      <c r="AP957" t="s">
        <v>141</v>
      </c>
      <c r="AQ957">
        <v>7</v>
      </c>
      <c r="AR957" t="s">
        <v>123</v>
      </c>
      <c r="AS957" t="s">
        <v>124</v>
      </c>
      <c r="AT957" t="s">
        <v>58</v>
      </c>
      <c r="AU957" t="s">
        <v>68</v>
      </c>
      <c r="AV957" t="s">
        <v>357</v>
      </c>
      <c r="AW957" s="1">
        <v>28546</v>
      </c>
      <c r="AX957">
        <v>2</v>
      </c>
    </row>
    <row r="958" spans="1:50">
      <c r="A958">
        <v>223022</v>
      </c>
      <c r="B958" t="str">
        <f>"034853508"</f>
        <v>034853508</v>
      </c>
      <c r="C958" t="s">
        <v>50</v>
      </c>
      <c r="D958" t="s">
        <v>2385</v>
      </c>
      <c r="E958" t="s">
        <v>114</v>
      </c>
      <c r="F958" t="s">
        <v>95</v>
      </c>
      <c r="G958" t="s">
        <v>112</v>
      </c>
      <c r="H958" t="str">
        <f>"ΚΑΠΕΤΑΝΑΚΗ 55 ΑΡΧΑΝΕΣ"</f>
        <v>ΚΑΠΕΤΑΝΑΚΗ 55 ΑΡΧΑΝΕΣ</v>
      </c>
      <c r="I958">
        <v>70100</v>
      </c>
      <c r="J958">
        <v>2810752655</v>
      </c>
      <c r="K958">
        <v>6948054289</v>
      </c>
      <c r="M958" t="s">
        <v>2386</v>
      </c>
      <c r="N958" t="s">
        <v>292</v>
      </c>
      <c r="O958" t="s">
        <v>293</v>
      </c>
      <c r="R958" t="s">
        <v>57</v>
      </c>
      <c r="S958">
        <v>4</v>
      </c>
      <c r="T958">
        <v>775</v>
      </c>
      <c r="U958" s="1">
        <v>39680</v>
      </c>
      <c r="V958" t="s">
        <v>123</v>
      </c>
      <c r="W958" t="s">
        <v>124</v>
      </c>
      <c r="X958" t="s">
        <v>58</v>
      </c>
      <c r="Y958">
        <v>21</v>
      </c>
      <c r="Z958" t="s">
        <v>59</v>
      </c>
      <c r="AA958" t="s">
        <v>59</v>
      </c>
      <c r="AB958" t="s">
        <v>59</v>
      </c>
      <c r="AC958" t="s">
        <v>59</v>
      </c>
      <c r="AD958" t="s">
        <v>59</v>
      </c>
      <c r="AF958" s="1">
        <v>39682</v>
      </c>
      <c r="AG958" t="s">
        <v>148</v>
      </c>
      <c r="AH958" t="s">
        <v>149</v>
      </c>
      <c r="AI958" t="str">
        <f>"1757010"</f>
        <v>1757010</v>
      </c>
      <c r="AJ958" t="s">
        <v>240</v>
      </c>
      <c r="AK958">
        <v>2892041388</v>
      </c>
      <c r="AL958" t="s">
        <v>241</v>
      </c>
      <c r="AM958" t="s">
        <v>78</v>
      </c>
      <c r="AN958" t="s">
        <v>242</v>
      </c>
      <c r="AO958" t="s">
        <v>243</v>
      </c>
      <c r="AP958" t="s">
        <v>244</v>
      </c>
      <c r="AQ958">
        <v>34</v>
      </c>
      <c r="AR958" t="s">
        <v>123</v>
      </c>
      <c r="AS958" t="s">
        <v>124</v>
      </c>
      <c r="AT958" t="s">
        <v>58</v>
      </c>
      <c r="AU958" t="s">
        <v>68</v>
      </c>
      <c r="AV958" t="s">
        <v>69</v>
      </c>
      <c r="AW958" s="1">
        <v>24931</v>
      </c>
      <c r="AX958">
        <v>2</v>
      </c>
    </row>
    <row r="959" spans="1:50">
      <c r="A959">
        <v>703247</v>
      </c>
      <c r="B959" t="str">
        <f>"103601601"</f>
        <v>103601601</v>
      </c>
      <c r="C959" t="s">
        <v>50</v>
      </c>
      <c r="D959" t="s">
        <v>2387</v>
      </c>
      <c r="E959" t="s">
        <v>819</v>
      </c>
      <c r="F959" t="s">
        <v>154</v>
      </c>
      <c r="G959" t="s">
        <v>109</v>
      </c>
      <c r="H959" t="str">
        <f>"ΒΙΣΤΑΓΗΣ 4  ΚΟΚΚΙΝΗ ΧΑΝΙ"</f>
        <v>ΒΙΣΤΑΓΗΣ 4  ΚΟΚΚΙΝΗ ΧΑΝΙ</v>
      </c>
      <c r="I959">
        <v>71500</v>
      </c>
      <c r="J959">
        <v>2810762749</v>
      </c>
      <c r="K959">
        <v>6973493339</v>
      </c>
      <c r="N959" t="s">
        <v>146</v>
      </c>
      <c r="O959" t="s">
        <v>147</v>
      </c>
      <c r="R959" t="s">
        <v>57</v>
      </c>
      <c r="S959">
        <v>5</v>
      </c>
      <c r="T959">
        <v>588</v>
      </c>
      <c r="U959" s="1">
        <v>40778</v>
      </c>
      <c r="V959" t="s">
        <v>123</v>
      </c>
      <c r="W959" t="s">
        <v>124</v>
      </c>
      <c r="X959" t="s">
        <v>58</v>
      </c>
      <c r="Y959">
        <v>21</v>
      </c>
      <c r="Z959" t="s">
        <v>59</v>
      </c>
      <c r="AA959" t="s">
        <v>59</v>
      </c>
      <c r="AB959" t="s">
        <v>59</v>
      </c>
      <c r="AC959" t="s">
        <v>59</v>
      </c>
      <c r="AD959" t="s">
        <v>59</v>
      </c>
      <c r="AF959" s="1">
        <v>40780</v>
      </c>
      <c r="AG959" t="s">
        <v>125</v>
      </c>
      <c r="AH959" t="s">
        <v>386</v>
      </c>
      <c r="AI959" t="str">
        <f>"1741002"</f>
        <v>1741002</v>
      </c>
      <c r="AJ959" t="s">
        <v>387</v>
      </c>
      <c r="AK959">
        <v>2810762610</v>
      </c>
      <c r="AL959" t="s">
        <v>388</v>
      </c>
      <c r="AM959" t="s">
        <v>78</v>
      </c>
      <c r="AN959" t="s">
        <v>219</v>
      </c>
      <c r="AO959" t="s">
        <v>297</v>
      </c>
      <c r="AP959" t="s">
        <v>297</v>
      </c>
      <c r="AQ959">
        <v>10</v>
      </c>
      <c r="AR959" t="s">
        <v>123</v>
      </c>
      <c r="AS959" t="s">
        <v>124</v>
      </c>
      <c r="AT959" t="s">
        <v>58</v>
      </c>
      <c r="AU959" t="s">
        <v>68</v>
      </c>
      <c r="AV959" t="s">
        <v>69</v>
      </c>
      <c r="AW959" s="1">
        <v>26876</v>
      </c>
      <c r="AX959">
        <v>2</v>
      </c>
    </row>
    <row r="960" spans="1:50">
      <c r="A960">
        <v>198593</v>
      </c>
      <c r="B960" t="str">
        <f>"064353709"</f>
        <v>064353709</v>
      </c>
      <c r="C960" t="s">
        <v>50</v>
      </c>
      <c r="D960" t="s">
        <v>2388</v>
      </c>
      <c r="E960" t="s">
        <v>54</v>
      </c>
      <c r="F960" t="s">
        <v>95</v>
      </c>
      <c r="G960" t="s">
        <v>1001</v>
      </c>
      <c r="H960" t="str">
        <f>"ΜΕΛΕΤΙΟΥ ΠΗΓΑ 55Α "</f>
        <v xml:space="preserve">ΜΕΛΕΤΙΟΥ ΠΗΓΑ 55Α </v>
      </c>
      <c r="I960">
        <v>71306</v>
      </c>
      <c r="J960">
        <v>2810239995</v>
      </c>
      <c r="K960">
        <v>6980198920</v>
      </c>
      <c r="L960">
        <v>6957205983</v>
      </c>
      <c r="M960" t="s">
        <v>2389</v>
      </c>
      <c r="N960" t="s">
        <v>306</v>
      </c>
      <c r="O960" t="s">
        <v>307</v>
      </c>
      <c r="R960" t="s">
        <v>57</v>
      </c>
      <c r="S960">
        <v>9</v>
      </c>
      <c r="T960">
        <v>206</v>
      </c>
      <c r="U960" s="1">
        <v>37866</v>
      </c>
      <c r="V960" t="s">
        <v>123</v>
      </c>
      <c r="W960" t="s">
        <v>124</v>
      </c>
      <c r="X960" t="s">
        <v>58</v>
      </c>
      <c r="Y960">
        <v>20</v>
      </c>
      <c r="Z960" t="s">
        <v>59</v>
      </c>
      <c r="AA960" t="s">
        <v>59</v>
      </c>
      <c r="AB960" t="s">
        <v>59</v>
      </c>
      <c r="AC960" t="s">
        <v>59</v>
      </c>
      <c r="AD960" t="s">
        <v>59</v>
      </c>
      <c r="AF960" s="1">
        <v>37866</v>
      </c>
      <c r="AG960" t="s">
        <v>125</v>
      </c>
      <c r="AH960" t="s">
        <v>126</v>
      </c>
      <c r="AI960" t="str">
        <f>"1701030"</f>
        <v>1701030</v>
      </c>
      <c r="AJ960" t="s">
        <v>270</v>
      </c>
      <c r="AK960">
        <v>2810361015</v>
      </c>
      <c r="AL960" t="s">
        <v>271</v>
      </c>
      <c r="AM960" t="s">
        <v>78</v>
      </c>
      <c r="AN960" t="s">
        <v>78</v>
      </c>
      <c r="AO960" t="s">
        <v>78</v>
      </c>
      <c r="AP960" t="s">
        <v>163</v>
      </c>
      <c r="AQ960">
        <v>2</v>
      </c>
      <c r="AR960" t="s">
        <v>123</v>
      </c>
      <c r="AS960" t="s">
        <v>124</v>
      </c>
      <c r="AT960" t="s">
        <v>58</v>
      </c>
      <c r="AU960" t="s">
        <v>68</v>
      </c>
      <c r="AV960" t="s">
        <v>69</v>
      </c>
      <c r="AW960" s="1">
        <v>29103</v>
      </c>
      <c r="AX960">
        <v>2</v>
      </c>
    </row>
    <row r="961" spans="1:50">
      <c r="B961" t="str">
        <f>"128304278"</f>
        <v>128304278</v>
      </c>
      <c r="C961" t="s">
        <v>50</v>
      </c>
      <c r="D961" t="s">
        <v>2390</v>
      </c>
      <c r="E961" t="s">
        <v>237</v>
      </c>
      <c r="F961" t="s">
        <v>53</v>
      </c>
      <c r="H961" t="str">
        <f>" "</f>
        <v xml:space="preserve"> </v>
      </c>
      <c r="N961" t="s">
        <v>536</v>
      </c>
      <c r="O961" t="s">
        <v>537</v>
      </c>
      <c r="R961" t="s">
        <v>159</v>
      </c>
      <c r="S961">
        <v>3</v>
      </c>
      <c r="T961" t="s">
        <v>344</v>
      </c>
      <c r="U961" s="1">
        <v>43348</v>
      </c>
      <c r="V961" t="s">
        <v>123</v>
      </c>
      <c r="W961" t="s">
        <v>124</v>
      </c>
      <c r="X961" t="s">
        <v>58</v>
      </c>
      <c r="Y961">
        <v>23</v>
      </c>
      <c r="Z961" t="s">
        <v>59</v>
      </c>
      <c r="AA961" t="s">
        <v>59</v>
      </c>
      <c r="AB961" t="s">
        <v>59</v>
      </c>
      <c r="AC961" t="s">
        <v>59</v>
      </c>
      <c r="AD961" t="s">
        <v>59</v>
      </c>
      <c r="AF961" s="1">
        <v>43348</v>
      </c>
      <c r="AG961" t="s">
        <v>125</v>
      </c>
      <c r="AH961" t="s">
        <v>538</v>
      </c>
      <c r="AI961" t="str">
        <f>"1701002"</f>
        <v>1701002</v>
      </c>
      <c r="AJ961" t="s">
        <v>539</v>
      </c>
      <c r="AK961">
        <v>2810213569</v>
      </c>
      <c r="AL961" t="s">
        <v>540</v>
      </c>
      <c r="AM961" t="s">
        <v>78</v>
      </c>
      <c r="AN961" t="s">
        <v>78</v>
      </c>
      <c r="AO961" t="s">
        <v>78</v>
      </c>
      <c r="AP961" t="s">
        <v>163</v>
      </c>
      <c r="AQ961">
        <v>11</v>
      </c>
      <c r="AR961" t="s">
        <v>123</v>
      </c>
      <c r="AS961" t="s">
        <v>124</v>
      </c>
      <c r="AT961" t="s">
        <v>58</v>
      </c>
      <c r="AU961" t="s">
        <v>350</v>
      </c>
      <c r="AV961" t="s">
        <v>132</v>
      </c>
      <c r="AW961" s="1">
        <v>30970</v>
      </c>
      <c r="AX961">
        <v>2</v>
      </c>
    </row>
    <row r="962" spans="1:50">
      <c r="B962" t="str">
        <f>"125274184"</f>
        <v>125274184</v>
      </c>
      <c r="C962" t="s">
        <v>50</v>
      </c>
      <c r="D962" t="s">
        <v>2391</v>
      </c>
      <c r="E962" t="s">
        <v>2297</v>
      </c>
      <c r="F962" t="s">
        <v>95</v>
      </c>
      <c r="G962" t="s">
        <v>143</v>
      </c>
      <c r="H962" t="str">
        <f>"ΔΙΟΝΥΣΙΟΥ ΣΟΛΩΜΟΥ 40 ΗΡΑΚΛΕΙΟ"</f>
        <v>ΔΙΟΝΥΣΙΟΥ ΣΟΛΩΜΟΥ 40 ΗΡΑΚΛΕΙΟ</v>
      </c>
      <c r="I962">
        <v>72300</v>
      </c>
      <c r="J962">
        <v>2810372941</v>
      </c>
      <c r="K962">
        <v>6934333841</v>
      </c>
      <c r="M962" t="s">
        <v>2392</v>
      </c>
      <c r="N962" t="s">
        <v>1514</v>
      </c>
      <c r="O962" t="s">
        <v>1515</v>
      </c>
      <c r="R962" t="s">
        <v>159</v>
      </c>
      <c r="S962">
        <v>4</v>
      </c>
      <c r="T962" t="s">
        <v>344</v>
      </c>
      <c r="U962" s="1">
        <v>43348</v>
      </c>
      <c r="V962" t="s">
        <v>123</v>
      </c>
      <c r="W962" t="s">
        <v>124</v>
      </c>
      <c r="X962" t="s">
        <v>58</v>
      </c>
      <c r="Y962">
        <v>23</v>
      </c>
      <c r="Z962" t="s">
        <v>59</v>
      </c>
      <c r="AA962" t="s">
        <v>59</v>
      </c>
      <c r="AB962" t="s">
        <v>59</v>
      </c>
      <c r="AC962" t="s">
        <v>59</v>
      </c>
      <c r="AD962" t="s">
        <v>59</v>
      </c>
      <c r="AF962" s="1">
        <v>43348</v>
      </c>
      <c r="AG962" t="s">
        <v>345</v>
      </c>
      <c r="AH962" t="s">
        <v>346</v>
      </c>
      <c r="AI962" t="str">
        <f>"1741001"</f>
        <v>1741001</v>
      </c>
      <c r="AJ962" t="s">
        <v>655</v>
      </c>
      <c r="AK962">
        <v>2810360436</v>
      </c>
      <c r="AL962" t="s">
        <v>656</v>
      </c>
      <c r="AM962" t="s">
        <v>78</v>
      </c>
      <c r="AN962" t="s">
        <v>78</v>
      </c>
      <c r="AO962" t="s">
        <v>78</v>
      </c>
      <c r="AP962" t="s">
        <v>141</v>
      </c>
      <c r="AQ962">
        <v>11</v>
      </c>
      <c r="AR962" t="s">
        <v>123</v>
      </c>
      <c r="AS962" t="s">
        <v>124</v>
      </c>
      <c r="AT962" t="s">
        <v>58</v>
      </c>
      <c r="AU962" t="s">
        <v>350</v>
      </c>
      <c r="AV962" t="s">
        <v>132</v>
      </c>
      <c r="AW962" s="1">
        <v>31041</v>
      </c>
      <c r="AX962">
        <v>2</v>
      </c>
    </row>
    <row r="963" spans="1:50">
      <c r="B963" t="str">
        <f>"064125830"</f>
        <v>064125830</v>
      </c>
      <c r="C963" t="s">
        <v>50</v>
      </c>
      <c r="D963" t="s">
        <v>2393</v>
      </c>
      <c r="E963" t="s">
        <v>877</v>
      </c>
      <c r="F963" t="s">
        <v>99</v>
      </c>
      <c r="G963" t="s">
        <v>83</v>
      </c>
      <c r="H963" t="str">
        <f>"Μ. ΔΗΜΑΚΗ 1 "</f>
        <v xml:space="preserve">Μ. ΔΗΜΑΚΗ 1 </v>
      </c>
      <c r="I963">
        <v>71409</v>
      </c>
      <c r="J963">
        <v>2810326524</v>
      </c>
      <c r="K963">
        <v>6947376097</v>
      </c>
      <c r="N963" t="s">
        <v>168</v>
      </c>
      <c r="O963" t="s">
        <v>169</v>
      </c>
      <c r="R963" t="s">
        <v>159</v>
      </c>
      <c r="S963">
        <v>2</v>
      </c>
      <c r="T963" t="s">
        <v>416</v>
      </c>
      <c r="U963" s="1">
        <v>43349</v>
      </c>
      <c r="V963" t="s">
        <v>123</v>
      </c>
      <c r="W963" t="s">
        <v>124</v>
      </c>
      <c r="X963" t="s">
        <v>58</v>
      </c>
      <c r="Y963">
        <v>23</v>
      </c>
      <c r="Z963" t="s">
        <v>59</v>
      </c>
      <c r="AA963" t="s">
        <v>59</v>
      </c>
      <c r="AB963" t="s">
        <v>59</v>
      </c>
      <c r="AC963" t="s">
        <v>59</v>
      </c>
      <c r="AD963" t="s">
        <v>59</v>
      </c>
      <c r="AF963" s="1">
        <v>43349</v>
      </c>
      <c r="AG963" t="s">
        <v>137</v>
      </c>
      <c r="AH963" t="s">
        <v>138</v>
      </c>
      <c r="AI963" t="str">
        <f>"1750080"</f>
        <v>1750080</v>
      </c>
      <c r="AJ963" t="s">
        <v>170</v>
      </c>
      <c r="AK963">
        <v>2810234444</v>
      </c>
      <c r="AL963" t="s">
        <v>171</v>
      </c>
      <c r="AM963" t="s">
        <v>78</v>
      </c>
      <c r="AN963" t="s">
        <v>78</v>
      </c>
      <c r="AO963" t="s">
        <v>78</v>
      </c>
      <c r="AP963" t="s">
        <v>163</v>
      </c>
      <c r="AQ963">
        <v>9</v>
      </c>
      <c r="AR963" t="s">
        <v>123</v>
      </c>
      <c r="AS963" t="s">
        <v>124</v>
      </c>
      <c r="AT963" t="s">
        <v>58</v>
      </c>
      <c r="AU963" t="s">
        <v>419</v>
      </c>
      <c r="AV963" t="s">
        <v>132</v>
      </c>
      <c r="AW963" s="1">
        <v>28132</v>
      </c>
      <c r="AX963">
        <v>2</v>
      </c>
    </row>
    <row r="964" spans="1:50">
      <c r="B964" t="str">
        <f>"152335570"</f>
        <v>152335570</v>
      </c>
      <c r="C964" t="s">
        <v>105</v>
      </c>
      <c r="D964" t="s">
        <v>2394</v>
      </c>
      <c r="E964" t="s">
        <v>900</v>
      </c>
      <c r="F964" t="s">
        <v>95</v>
      </c>
      <c r="G964" t="s">
        <v>1085</v>
      </c>
      <c r="H964" t="str">
        <f>" "</f>
        <v xml:space="preserve"> </v>
      </c>
      <c r="N964" t="s">
        <v>500</v>
      </c>
      <c r="O964" t="s">
        <v>501</v>
      </c>
      <c r="R964" t="s">
        <v>121</v>
      </c>
      <c r="S964">
        <v>1</v>
      </c>
      <c r="T964" t="s">
        <v>2395</v>
      </c>
      <c r="U964" s="1">
        <v>43364</v>
      </c>
      <c r="V964" t="s">
        <v>123</v>
      </c>
      <c r="W964" t="s">
        <v>124</v>
      </c>
      <c r="X964" t="s">
        <v>58</v>
      </c>
      <c r="Y964">
        <v>15</v>
      </c>
      <c r="Z964" t="s">
        <v>59</v>
      </c>
      <c r="AD964" t="s">
        <v>59</v>
      </c>
      <c r="AF964" s="1">
        <v>43367</v>
      </c>
      <c r="AG964" t="s">
        <v>125</v>
      </c>
      <c r="AH964" t="s">
        <v>126</v>
      </c>
      <c r="AI964" t="str">
        <f>"1717011"</f>
        <v>1717011</v>
      </c>
      <c r="AJ964" t="s">
        <v>832</v>
      </c>
      <c r="AK964">
        <v>2897023311</v>
      </c>
      <c r="AL964" t="s">
        <v>833</v>
      </c>
      <c r="AM964" t="s">
        <v>78</v>
      </c>
      <c r="AN964" t="s">
        <v>219</v>
      </c>
      <c r="AO964" t="s">
        <v>219</v>
      </c>
      <c r="AP964" t="s">
        <v>220</v>
      </c>
      <c r="AQ964">
        <v>20</v>
      </c>
      <c r="AR964" t="s">
        <v>123</v>
      </c>
      <c r="AS964" t="s">
        <v>124</v>
      </c>
      <c r="AT964" t="s">
        <v>58</v>
      </c>
      <c r="AU964" t="s">
        <v>2396</v>
      </c>
      <c r="AV964" t="s">
        <v>132</v>
      </c>
      <c r="AW964" s="1">
        <v>32045</v>
      </c>
      <c r="AX964">
        <v>2</v>
      </c>
    </row>
    <row r="965" spans="1:50">
      <c r="A965">
        <v>165705</v>
      </c>
      <c r="B965" t="str">
        <f>"033315260"</f>
        <v>033315260</v>
      </c>
      <c r="C965" t="s">
        <v>105</v>
      </c>
      <c r="D965" t="s">
        <v>2397</v>
      </c>
      <c r="E965" t="s">
        <v>84</v>
      </c>
      <c r="F965" t="s">
        <v>166</v>
      </c>
      <c r="G965" t="s">
        <v>2398</v>
      </c>
      <c r="H965" t="str">
        <f>"ΑΠΟΛΛΟΔΩΡΟΥ 9 "</f>
        <v xml:space="preserve">ΑΠΟΛΛΟΔΩΡΟΥ 9 </v>
      </c>
      <c r="J965">
        <v>2810324819</v>
      </c>
      <c r="K965">
        <v>6982985047</v>
      </c>
      <c r="N965" t="s">
        <v>146</v>
      </c>
      <c r="O965" t="s">
        <v>147</v>
      </c>
      <c r="R965" t="s">
        <v>57</v>
      </c>
      <c r="S965">
        <v>14</v>
      </c>
      <c r="T965">
        <v>137</v>
      </c>
      <c r="U965" s="1">
        <v>34206</v>
      </c>
      <c r="V965" t="s">
        <v>123</v>
      </c>
      <c r="W965" t="s">
        <v>124</v>
      </c>
      <c r="X965" t="s">
        <v>58</v>
      </c>
      <c r="Y965">
        <v>18</v>
      </c>
      <c r="Z965" t="s">
        <v>59</v>
      </c>
      <c r="AA965" t="s">
        <v>59</v>
      </c>
      <c r="AB965" t="s">
        <v>59</v>
      </c>
      <c r="AC965" t="s">
        <v>59</v>
      </c>
      <c r="AD965" t="s">
        <v>59</v>
      </c>
      <c r="AF965" s="1">
        <v>34215</v>
      </c>
      <c r="AG965" t="s">
        <v>125</v>
      </c>
      <c r="AH965" t="s">
        <v>126</v>
      </c>
      <c r="AI965" t="str">
        <f>"1705010"</f>
        <v>1705010</v>
      </c>
      <c r="AJ965" t="s">
        <v>2311</v>
      </c>
      <c r="AK965">
        <v>2891031232</v>
      </c>
      <c r="AL965" t="s">
        <v>2312</v>
      </c>
      <c r="AM965" t="s">
        <v>78</v>
      </c>
      <c r="AN965" t="s">
        <v>276</v>
      </c>
      <c r="AO965" t="s">
        <v>277</v>
      </c>
      <c r="AP965" t="s">
        <v>277</v>
      </c>
      <c r="AQ965">
        <v>17</v>
      </c>
      <c r="AR965" t="s">
        <v>123</v>
      </c>
      <c r="AS965" t="s">
        <v>124</v>
      </c>
      <c r="AT965" t="s">
        <v>58</v>
      </c>
      <c r="AU965" t="s">
        <v>68</v>
      </c>
      <c r="AV965" t="s">
        <v>69</v>
      </c>
      <c r="AW965" s="1">
        <v>22757</v>
      </c>
      <c r="AX965">
        <v>2</v>
      </c>
    </row>
    <row r="966" spans="1:50">
      <c r="B966" t="str">
        <f>"068508033"</f>
        <v>068508033</v>
      </c>
      <c r="C966" t="s">
        <v>105</v>
      </c>
      <c r="D966" t="s">
        <v>2399</v>
      </c>
      <c r="E966" t="s">
        <v>99</v>
      </c>
      <c r="F966" t="s">
        <v>166</v>
      </c>
      <c r="G966" t="s">
        <v>2400</v>
      </c>
      <c r="H966" t="str">
        <f>"ΣΚΟΠΕΛΟΥ 2 "</f>
        <v xml:space="preserve">ΣΚΟΠΕΛΟΥ 2 </v>
      </c>
      <c r="I966">
        <v>71306</v>
      </c>
      <c r="J966">
        <v>2810324441</v>
      </c>
      <c r="K966">
        <v>6944752280</v>
      </c>
      <c r="M966" t="s">
        <v>2401</v>
      </c>
      <c r="N966" t="s">
        <v>2241</v>
      </c>
      <c r="O966" t="s">
        <v>2242</v>
      </c>
      <c r="R966" t="s">
        <v>159</v>
      </c>
      <c r="S966">
        <v>5</v>
      </c>
      <c r="T966" t="s">
        <v>344</v>
      </c>
      <c r="U966" s="1">
        <v>43348</v>
      </c>
      <c r="V966" t="s">
        <v>123</v>
      </c>
      <c r="W966" t="s">
        <v>124</v>
      </c>
      <c r="X966" t="s">
        <v>58</v>
      </c>
      <c r="Y966">
        <v>21</v>
      </c>
      <c r="Z966" t="s">
        <v>59</v>
      </c>
      <c r="AA966" t="s">
        <v>59</v>
      </c>
      <c r="AB966" t="s">
        <v>59</v>
      </c>
      <c r="AC966" t="s">
        <v>59</v>
      </c>
      <c r="AD966" t="s">
        <v>59</v>
      </c>
      <c r="AF966" s="1">
        <v>43348</v>
      </c>
      <c r="AG966" t="s">
        <v>125</v>
      </c>
      <c r="AH966" t="s">
        <v>126</v>
      </c>
      <c r="AI966" t="str">
        <f>"1722010"</f>
        <v>1722010</v>
      </c>
      <c r="AJ966" t="s">
        <v>549</v>
      </c>
      <c r="AK966">
        <v>2894041298</v>
      </c>
      <c r="AL966" t="s">
        <v>550</v>
      </c>
      <c r="AM966" t="s">
        <v>78</v>
      </c>
      <c r="AN966" t="s">
        <v>405</v>
      </c>
      <c r="AO966" t="s">
        <v>551</v>
      </c>
      <c r="AP966" t="s">
        <v>552</v>
      </c>
      <c r="AQ966">
        <v>31</v>
      </c>
      <c r="AR966" t="s">
        <v>123</v>
      </c>
      <c r="AS966" t="s">
        <v>124</v>
      </c>
      <c r="AT966" t="s">
        <v>58</v>
      </c>
      <c r="AU966" t="s">
        <v>350</v>
      </c>
      <c r="AV966" t="s">
        <v>132</v>
      </c>
      <c r="AW966" s="1">
        <v>28829</v>
      </c>
      <c r="AX966">
        <v>2</v>
      </c>
    </row>
    <row r="967" spans="1:50">
      <c r="A967">
        <v>221777</v>
      </c>
      <c r="B967" t="str">
        <f>"103530290"</f>
        <v>103530290</v>
      </c>
      <c r="C967" t="s">
        <v>105</v>
      </c>
      <c r="D967" t="s">
        <v>2402</v>
      </c>
      <c r="E967" t="s">
        <v>920</v>
      </c>
      <c r="F967" t="s">
        <v>106</v>
      </c>
      <c r="G967" t="s">
        <v>727</v>
      </c>
      <c r="H967" t="str">
        <f>"ΑΝΤΩΝΗ ΣΑΜΑΡΑΚΗ 9 ΗΡΑΚΛΕΙΟ"</f>
        <v>ΑΝΤΩΝΗ ΣΑΜΑΡΑΚΗ 9 ΗΡΑΚΛΕΙΟ</v>
      </c>
      <c r="I967">
        <v>71409</v>
      </c>
      <c r="J967">
        <v>2810326297</v>
      </c>
      <c r="K967">
        <v>6944887617</v>
      </c>
      <c r="M967" t="s">
        <v>2403</v>
      </c>
      <c r="N967" t="s">
        <v>157</v>
      </c>
      <c r="O967" t="s">
        <v>158</v>
      </c>
      <c r="R967" t="s">
        <v>57</v>
      </c>
      <c r="S967">
        <v>7</v>
      </c>
      <c r="T967">
        <v>775</v>
      </c>
      <c r="U967" s="1">
        <v>39680</v>
      </c>
      <c r="V967" t="s">
        <v>123</v>
      </c>
      <c r="W967" t="s">
        <v>124</v>
      </c>
      <c r="X967" t="s">
        <v>58</v>
      </c>
      <c r="Y967">
        <v>20</v>
      </c>
      <c r="Z967" t="s">
        <v>59</v>
      </c>
      <c r="AA967" t="s">
        <v>59</v>
      </c>
      <c r="AB967" t="s">
        <v>59</v>
      </c>
      <c r="AC967" t="s">
        <v>59</v>
      </c>
      <c r="AD967" t="s">
        <v>59</v>
      </c>
      <c r="AF967" s="1">
        <v>39681</v>
      </c>
      <c r="AG967" t="s">
        <v>125</v>
      </c>
      <c r="AH967" t="s">
        <v>126</v>
      </c>
      <c r="AI967" t="str">
        <f>"1701010"</f>
        <v>1701010</v>
      </c>
      <c r="AJ967" t="s">
        <v>374</v>
      </c>
      <c r="AK967">
        <v>2810227148</v>
      </c>
      <c r="AL967" t="s">
        <v>375</v>
      </c>
      <c r="AM967" t="s">
        <v>78</v>
      </c>
      <c r="AN967" t="s">
        <v>78</v>
      </c>
      <c r="AO967" t="s">
        <v>78</v>
      </c>
      <c r="AP967" t="s">
        <v>79</v>
      </c>
      <c r="AQ967">
        <v>1</v>
      </c>
      <c r="AR967" t="s">
        <v>123</v>
      </c>
      <c r="AS967" t="s">
        <v>124</v>
      </c>
      <c r="AT967" t="s">
        <v>58</v>
      </c>
      <c r="AU967" t="s">
        <v>68</v>
      </c>
      <c r="AV967" t="s">
        <v>69</v>
      </c>
      <c r="AW967" s="1">
        <v>27500</v>
      </c>
      <c r="AX967">
        <v>2</v>
      </c>
    </row>
    <row r="968" spans="1:50">
      <c r="A968">
        <v>222285</v>
      </c>
      <c r="B968" t="str">
        <f>"057451319"</f>
        <v>057451319</v>
      </c>
      <c r="C968" t="s">
        <v>50</v>
      </c>
      <c r="D968" t="s">
        <v>2404</v>
      </c>
      <c r="E968" t="s">
        <v>255</v>
      </c>
      <c r="F968" t="s">
        <v>72</v>
      </c>
      <c r="G968" t="s">
        <v>237</v>
      </c>
      <c r="H968" t="str">
        <f>"ΤΕΓΕΑΣ 16 ΗΡΑΚΛΕΙΟ"</f>
        <v>ΤΕΓΕΑΣ 16 ΗΡΑΚΛΕΙΟ</v>
      </c>
      <c r="I968">
        <v>71409</v>
      </c>
      <c r="J968">
        <v>2811752631</v>
      </c>
      <c r="K968">
        <v>6944209198</v>
      </c>
      <c r="M968" t="s">
        <v>2405</v>
      </c>
      <c r="N968" t="s">
        <v>146</v>
      </c>
      <c r="O968" t="s">
        <v>147</v>
      </c>
      <c r="R968" t="s">
        <v>57</v>
      </c>
      <c r="S968">
        <v>5</v>
      </c>
      <c r="T968">
        <v>775</v>
      </c>
      <c r="U968" s="1">
        <v>39680</v>
      </c>
      <c r="V968" t="s">
        <v>123</v>
      </c>
      <c r="W968" t="s">
        <v>124</v>
      </c>
      <c r="X968" t="s">
        <v>58</v>
      </c>
      <c r="Y968">
        <v>21</v>
      </c>
      <c r="Z968" t="s">
        <v>59</v>
      </c>
      <c r="AA968" t="s">
        <v>59</v>
      </c>
      <c r="AB968" t="s">
        <v>59</v>
      </c>
      <c r="AC968" t="s">
        <v>59</v>
      </c>
      <c r="AD968" t="s">
        <v>59</v>
      </c>
      <c r="AF968" s="1">
        <v>39681</v>
      </c>
      <c r="AG968" t="s">
        <v>125</v>
      </c>
      <c r="AH968" t="s">
        <v>126</v>
      </c>
      <c r="AI968" t="str">
        <f>"1717011"</f>
        <v>1717011</v>
      </c>
      <c r="AJ968" t="s">
        <v>832</v>
      </c>
      <c r="AK968">
        <v>2897023311</v>
      </c>
      <c r="AL968" t="s">
        <v>833</v>
      </c>
      <c r="AM968" t="s">
        <v>78</v>
      </c>
      <c r="AN968" t="s">
        <v>219</v>
      </c>
      <c r="AO968" t="s">
        <v>219</v>
      </c>
      <c r="AP968" t="s">
        <v>220</v>
      </c>
      <c r="AQ968">
        <v>20</v>
      </c>
      <c r="AR968" t="s">
        <v>123</v>
      </c>
      <c r="AS968" t="s">
        <v>124</v>
      </c>
      <c r="AT968" t="s">
        <v>58</v>
      </c>
      <c r="AU968" t="s">
        <v>68</v>
      </c>
      <c r="AV968" t="s">
        <v>69</v>
      </c>
      <c r="AW968" s="1">
        <v>27146</v>
      </c>
      <c r="AX968">
        <v>2</v>
      </c>
    </row>
    <row r="969" spans="1:50">
      <c r="A969">
        <v>205343</v>
      </c>
      <c r="B969" t="str">
        <f>"047056730"</f>
        <v>047056730</v>
      </c>
      <c r="C969" t="s">
        <v>50</v>
      </c>
      <c r="D969" t="s">
        <v>2404</v>
      </c>
      <c r="E969" t="s">
        <v>2406</v>
      </c>
      <c r="F969" t="s">
        <v>95</v>
      </c>
      <c r="G969" t="s">
        <v>52</v>
      </c>
      <c r="H969" t="str">
        <f>"Ε.Ο.Κ. 10 ΗΡΑΚΛΕΙΟΥ"</f>
        <v>Ε.Ο.Κ. 10 ΗΡΑΚΛΕΙΟΥ</v>
      </c>
      <c r="I969">
        <v>71305</v>
      </c>
      <c r="J969">
        <v>2810371134</v>
      </c>
      <c r="K969">
        <v>6932599902</v>
      </c>
      <c r="M969" t="s">
        <v>2407</v>
      </c>
      <c r="N969" t="s">
        <v>204</v>
      </c>
      <c r="O969" t="s">
        <v>205</v>
      </c>
      <c r="P969" t="s">
        <v>331</v>
      </c>
      <c r="Q969" t="s">
        <v>332</v>
      </c>
      <c r="R969" t="s">
        <v>57</v>
      </c>
      <c r="S969">
        <v>9</v>
      </c>
      <c r="T969">
        <v>231</v>
      </c>
      <c r="U969" s="1">
        <v>38230</v>
      </c>
      <c r="V969" t="s">
        <v>123</v>
      </c>
      <c r="W969" t="s">
        <v>124</v>
      </c>
      <c r="X969" t="s">
        <v>58</v>
      </c>
      <c r="Y969">
        <v>20</v>
      </c>
      <c r="Z969" t="s">
        <v>59</v>
      </c>
      <c r="AA969" t="s">
        <v>59</v>
      </c>
      <c r="AB969" t="s">
        <v>59</v>
      </c>
      <c r="AC969" t="s">
        <v>59</v>
      </c>
      <c r="AD969" t="s">
        <v>59</v>
      </c>
      <c r="AF969" s="1">
        <v>38232</v>
      </c>
      <c r="AG969" t="s">
        <v>137</v>
      </c>
      <c r="AH969" t="s">
        <v>138</v>
      </c>
      <c r="AI969" t="str">
        <f>"1740070"</f>
        <v>1740070</v>
      </c>
      <c r="AJ969" t="s">
        <v>206</v>
      </c>
      <c r="AK969">
        <v>2810324880</v>
      </c>
      <c r="AL969" t="s">
        <v>207</v>
      </c>
      <c r="AM969" t="s">
        <v>78</v>
      </c>
      <c r="AN969" t="s">
        <v>78</v>
      </c>
      <c r="AO969" t="s">
        <v>78</v>
      </c>
      <c r="AP969" t="s">
        <v>163</v>
      </c>
      <c r="AQ969">
        <v>9</v>
      </c>
      <c r="AR969" t="s">
        <v>123</v>
      </c>
      <c r="AS969" t="s">
        <v>124</v>
      </c>
      <c r="AT969" t="s">
        <v>58</v>
      </c>
      <c r="AU969" t="s">
        <v>68</v>
      </c>
      <c r="AV969" t="s">
        <v>69</v>
      </c>
      <c r="AW969" s="1">
        <v>25695</v>
      </c>
      <c r="AX969">
        <v>2</v>
      </c>
    </row>
    <row r="970" spans="1:50">
      <c r="B970" t="str">
        <f>"062819790"</f>
        <v>062819790</v>
      </c>
      <c r="C970" t="s">
        <v>50</v>
      </c>
      <c r="D970" t="s">
        <v>2404</v>
      </c>
      <c r="E970" t="s">
        <v>52</v>
      </c>
      <c r="F970" t="s">
        <v>2408</v>
      </c>
      <c r="G970" t="s">
        <v>2409</v>
      </c>
      <c r="H970" t="str">
        <f>"Γρανικού 10 Φιλοθεη"</f>
        <v>Γρανικού 10 Φιλοθεη</v>
      </c>
      <c r="I970">
        <v>71409</v>
      </c>
      <c r="J970">
        <v>2811118809</v>
      </c>
      <c r="K970">
        <v>6945157211</v>
      </c>
      <c r="M970" t="s">
        <v>2410</v>
      </c>
      <c r="N970" t="s">
        <v>146</v>
      </c>
      <c r="O970" t="s">
        <v>147</v>
      </c>
      <c r="R970" t="s">
        <v>121</v>
      </c>
      <c r="S970">
        <v>11</v>
      </c>
      <c r="T970" t="s">
        <v>416</v>
      </c>
      <c r="U970" s="1">
        <v>43349</v>
      </c>
      <c r="V970" t="s">
        <v>123</v>
      </c>
      <c r="W970" t="s">
        <v>124</v>
      </c>
      <c r="X970" t="s">
        <v>58</v>
      </c>
      <c r="Y970">
        <v>23</v>
      </c>
      <c r="Z970" t="s">
        <v>59</v>
      </c>
      <c r="AA970" t="s">
        <v>59</v>
      </c>
      <c r="AB970" t="s">
        <v>59</v>
      </c>
      <c r="AC970" t="s">
        <v>59</v>
      </c>
      <c r="AD970" t="s">
        <v>59</v>
      </c>
      <c r="AF970" s="1">
        <v>43349</v>
      </c>
      <c r="AG970" t="s">
        <v>125</v>
      </c>
      <c r="AH970" t="s">
        <v>126</v>
      </c>
      <c r="AI970" t="str">
        <f>"1714012"</f>
        <v>1714012</v>
      </c>
      <c r="AJ970" t="s">
        <v>633</v>
      </c>
      <c r="AK970">
        <v>2810762261</v>
      </c>
      <c r="AL970" t="s">
        <v>634</v>
      </c>
      <c r="AM970" t="s">
        <v>78</v>
      </c>
      <c r="AN970" t="s">
        <v>219</v>
      </c>
      <c r="AO970" t="s">
        <v>297</v>
      </c>
      <c r="AP970" t="s">
        <v>297</v>
      </c>
      <c r="AQ970">
        <v>37</v>
      </c>
      <c r="AR970" t="s">
        <v>123</v>
      </c>
      <c r="AS970" t="s">
        <v>124</v>
      </c>
      <c r="AT970" t="s">
        <v>58</v>
      </c>
      <c r="AU970" t="s">
        <v>419</v>
      </c>
      <c r="AV970" t="s">
        <v>132</v>
      </c>
      <c r="AW970" s="1">
        <v>25346</v>
      </c>
      <c r="AX970">
        <v>2</v>
      </c>
    </row>
    <row r="971" spans="1:50">
      <c r="A971">
        <v>183813</v>
      </c>
      <c r="B971" t="str">
        <f>"043092332"</f>
        <v>043092332</v>
      </c>
      <c r="C971" t="s">
        <v>105</v>
      </c>
      <c r="D971" t="s">
        <v>2411</v>
      </c>
      <c r="E971" t="s">
        <v>1392</v>
      </c>
      <c r="F971" t="s">
        <v>166</v>
      </c>
      <c r="G971" t="s">
        <v>83</v>
      </c>
      <c r="H971" t="str">
        <f>"Δ. ΣΟΛΩΜΟΥ 43 ΗΡΑΚΛΕΙΟ"</f>
        <v>Δ. ΣΟΛΩΜΟΥ 43 ΗΡΑΚΛΕΙΟ</v>
      </c>
      <c r="I971">
        <v>71306</v>
      </c>
      <c r="J971">
        <v>2810234853</v>
      </c>
      <c r="N971" t="s">
        <v>292</v>
      </c>
      <c r="O971" t="s">
        <v>293</v>
      </c>
      <c r="R971" t="s">
        <v>57</v>
      </c>
      <c r="S971">
        <v>10</v>
      </c>
      <c r="T971">
        <v>177</v>
      </c>
      <c r="U971" s="1">
        <v>36403</v>
      </c>
      <c r="V971" t="s">
        <v>123</v>
      </c>
      <c r="W971" t="s">
        <v>124</v>
      </c>
      <c r="X971" t="s">
        <v>58</v>
      </c>
      <c r="Y971">
        <v>18</v>
      </c>
      <c r="Z971" t="s">
        <v>59</v>
      </c>
      <c r="AA971" t="s">
        <v>59</v>
      </c>
      <c r="AB971" t="s">
        <v>59</v>
      </c>
      <c r="AC971" t="s">
        <v>59</v>
      </c>
      <c r="AD971" t="s">
        <v>59</v>
      </c>
      <c r="AF971" s="1">
        <v>36412</v>
      </c>
      <c r="AG971" t="s">
        <v>125</v>
      </c>
      <c r="AH971" t="s">
        <v>126</v>
      </c>
      <c r="AI971" t="str">
        <f>"1701050"</f>
        <v>1701050</v>
      </c>
      <c r="AJ971" t="s">
        <v>660</v>
      </c>
      <c r="AK971">
        <v>2810220729</v>
      </c>
      <c r="AL971" t="s">
        <v>661</v>
      </c>
      <c r="AM971" t="s">
        <v>78</v>
      </c>
      <c r="AN971" t="s">
        <v>78</v>
      </c>
      <c r="AO971" t="s">
        <v>78</v>
      </c>
      <c r="AP971" t="s">
        <v>79</v>
      </c>
      <c r="AQ971">
        <v>1</v>
      </c>
      <c r="AR971" t="s">
        <v>123</v>
      </c>
      <c r="AS971" t="s">
        <v>124</v>
      </c>
      <c r="AT971" t="s">
        <v>58</v>
      </c>
      <c r="AU971" t="s">
        <v>68</v>
      </c>
      <c r="AV971" t="s">
        <v>69</v>
      </c>
      <c r="AW971" s="1">
        <v>21976</v>
      </c>
      <c r="AX971">
        <v>2</v>
      </c>
    </row>
    <row r="972" spans="1:50">
      <c r="A972">
        <v>145084</v>
      </c>
      <c r="B972" t="str">
        <f>"028790980"</f>
        <v>028790980</v>
      </c>
      <c r="C972" t="s">
        <v>105</v>
      </c>
      <c r="D972" t="s">
        <v>2411</v>
      </c>
      <c r="E972" t="s">
        <v>72</v>
      </c>
      <c r="F972" t="s">
        <v>95</v>
      </c>
      <c r="G972" t="s">
        <v>1361</v>
      </c>
      <c r="H972" t="str">
        <f>"ΑΡΚΑΛΩΧΩΡΙ "</f>
        <v xml:space="preserve">ΑΡΚΑΛΩΧΩΡΙ </v>
      </c>
      <c r="I972">
        <v>70300</v>
      </c>
      <c r="J972">
        <v>2891023177</v>
      </c>
      <c r="K972">
        <v>6976407296</v>
      </c>
      <c r="L972">
        <v>2891093340</v>
      </c>
      <c r="M972" t="s">
        <v>2412</v>
      </c>
      <c r="N972" t="s">
        <v>176</v>
      </c>
      <c r="O972" t="s">
        <v>177</v>
      </c>
      <c r="R972" t="s">
        <v>57</v>
      </c>
      <c r="S972">
        <v>16</v>
      </c>
      <c r="T972">
        <v>250</v>
      </c>
      <c r="U972" s="1">
        <v>30900</v>
      </c>
      <c r="V972" t="s">
        <v>123</v>
      </c>
      <c r="W972" t="s">
        <v>124</v>
      </c>
      <c r="X972" t="s">
        <v>58</v>
      </c>
      <c r="Y972">
        <v>18</v>
      </c>
      <c r="Z972" t="s">
        <v>59</v>
      </c>
      <c r="AA972" t="s">
        <v>59</v>
      </c>
      <c r="AB972" t="s">
        <v>59</v>
      </c>
      <c r="AC972" t="s">
        <v>59</v>
      </c>
      <c r="AD972" t="s">
        <v>59</v>
      </c>
      <c r="AF972" s="1">
        <v>30904</v>
      </c>
      <c r="AG972" t="s">
        <v>125</v>
      </c>
      <c r="AH972" t="s">
        <v>126</v>
      </c>
      <c r="AI972" t="str">
        <f>"1701030"</f>
        <v>1701030</v>
      </c>
      <c r="AJ972" t="s">
        <v>270</v>
      </c>
      <c r="AK972">
        <v>2810361015</v>
      </c>
      <c r="AL972" t="s">
        <v>271</v>
      </c>
      <c r="AM972" t="s">
        <v>78</v>
      </c>
      <c r="AN972" t="s">
        <v>78</v>
      </c>
      <c r="AO972" t="s">
        <v>78</v>
      </c>
      <c r="AP972" t="s">
        <v>163</v>
      </c>
      <c r="AQ972">
        <v>2</v>
      </c>
      <c r="AR972" t="s">
        <v>123</v>
      </c>
      <c r="AS972" t="s">
        <v>124</v>
      </c>
      <c r="AT972" t="s">
        <v>58</v>
      </c>
      <c r="AU972" t="s">
        <v>68</v>
      </c>
      <c r="AV972" t="s">
        <v>69</v>
      </c>
      <c r="AW972" s="1">
        <v>20153</v>
      </c>
      <c r="AX972">
        <v>2</v>
      </c>
    </row>
    <row r="973" spans="1:50">
      <c r="A973">
        <v>164947</v>
      </c>
      <c r="B973" t="str">
        <f>"032925887"</f>
        <v>032925887</v>
      </c>
      <c r="C973" t="s">
        <v>105</v>
      </c>
      <c r="D973" t="s">
        <v>2411</v>
      </c>
      <c r="E973" t="s">
        <v>106</v>
      </c>
      <c r="F973" t="s">
        <v>95</v>
      </c>
      <c r="G973" t="s">
        <v>255</v>
      </c>
      <c r="H973" t="str">
        <f>"Κ. ΠΑΛΑΜΑ 14-16 ΗΡΑΚΛΕΙΟ"</f>
        <v>Κ. ΠΑΛΑΜΑ 14-16 ΗΡΑΚΛΕΙΟ</v>
      </c>
      <c r="I973">
        <v>71306</v>
      </c>
      <c r="M973" t="s">
        <v>2413</v>
      </c>
      <c r="N973" t="s">
        <v>282</v>
      </c>
      <c r="O973" t="s">
        <v>283</v>
      </c>
      <c r="R973" t="s">
        <v>57</v>
      </c>
      <c r="S973">
        <v>15</v>
      </c>
      <c r="T973">
        <v>161</v>
      </c>
      <c r="U973" s="1">
        <v>33844</v>
      </c>
      <c r="V973" t="s">
        <v>123</v>
      </c>
      <c r="W973" t="s">
        <v>124</v>
      </c>
      <c r="X973" t="s">
        <v>58</v>
      </c>
      <c r="Y973">
        <v>18</v>
      </c>
      <c r="Z973" t="s">
        <v>59</v>
      </c>
      <c r="AA973" t="s">
        <v>59</v>
      </c>
      <c r="AB973" t="s">
        <v>59</v>
      </c>
      <c r="AC973" t="s">
        <v>59</v>
      </c>
      <c r="AD973" t="s">
        <v>59</v>
      </c>
      <c r="AF973" s="1">
        <v>33850</v>
      </c>
      <c r="AG973" t="s">
        <v>125</v>
      </c>
      <c r="AH973" t="s">
        <v>126</v>
      </c>
      <c r="AI973" t="str">
        <f>"1701020"</f>
        <v>1701020</v>
      </c>
      <c r="AJ973" t="s">
        <v>323</v>
      </c>
      <c r="AK973">
        <v>2810252111</v>
      </c>
      <c r="AL973" t="s">
        <v>324</v>
      </c>
      <c r="AM973" t="s">
        <v>78</v>
      </c>
      <c r="AN973" t="s">
        <v>78</v>
      </c>
      <c r="AO973" t="s">
        <v>78</v>
      </c>
      <c r="AP973" t="s">
        <v>163</v>
      </c>
      <c r="AQ973">
        <v>3</v>
      </c>
      <c r="AR973" t="s">
        <v>123</v>
      </c>
      <c r="AS973" t="s">
        <v>124</v>
      </c>
      <c r="AT973" t="s">
        <v>58</v>
      </c>
      <c r="AU973" t="s">
        <v>68</v>
      </c>
      <c r="AV973" t="s">
        <v>69</v>
      </c>
      <c r="AW973" s="1">
        <v>19746</v>
      </c>
      <c r="AX973">
        <v>2</v>
      </c>
    </row>
    <row r="974" spans="1:50">
      <c r="A974">
        <v>216360</v>
      </c>
      <c r="B974" t="str">
        <f>"044808570"</f>
        <v>044808570</v>
      </c>
      <c r="C974" t="s">
        <v>105</v>
      </c>
      <c r="D974" t="s">
        <v>2414</v>
      </c>
      <c r="E974" t="s">
        <v>84</v>
      </c>
      <c r="F974" t="s">
        <v>166</v>
      </c>
      <c r="G974" t="s">
        <v>237</v>
      </c>
      <c r="H974" t="str">
        <f>"ΕΘΝ. ΑΝΤΙΣΤΑΣΕΩΣ 8 "</f>
        <v xml:space="preserve">ΕΘΝ. ΑΝΤΙΣΤΑΣΕΩΣ 8 </v>
      </c>
      <c r="I974">
        <v>71414</v>
      </c>
      <c r="J974">
        <v>2810262487</v>
      </c>
      <c r="K974">
        <v>6984362259</v>
      </c>
      <c r="M974" t="s">
        <v>2415</v>
      </c>
      <c r="N974" t="s">
        <v>292</v>
      </c>
      <c r="O974" t="s">
        <v>293</v>
      </c>
      <c r="R974" t="s">
        <v>57</v>
      </c>
      <c r="S974">
        <v>5</v>
      </c>
      <c r="T974">
        <v>236</v>
      </c>
      <c r="U974" s="1">
        <v>38961</v>
      </c>
      <c r="V974" t="s">
        <v>123</v>
      </c>
      <c r="W974" t="s">
        <v>124</v>
      </c>
      <c r="X974" t="s">
        <v>58</v>
      </c>
      <c r="Y974">
        <v>20</v>
      </c>
      <c r="Z974" t="s">
        <v>59</v>
      </c>
      <c r="AA974" t="s">
        <v>59</v>
      </c>
      <c r="AB974" t="s">
        <v>59</v>
      </c>
      <c r="AC974" t="s">
        <v>59</v>
      </c>
      <c r="AD974" t="s">
        <v>59</v>
      </c>
      <c r="AF974" s="1">
        <v>38964</v>
      </c>
      <c r="AG974" t="s">
        <v>148</v>
      </c>
      <c r="AH974" t="s">
        <v>149</v>
      </c>
      <c r="AI974" t="str">
        <f>"1751051"</f>
        <v>1751051</v>
      </c>
      <c r="AJ974" t="s">
        <v>259</v>
      </c>
      <c r="AK974">
        <v>2810251794</v>
      </c>
      <c r="AL974" t="s">
        <v>260</v>
      </c>
      <c r="AM974" t="s">
        <v>78</v>
      </c>
      <c r="AN974" t="s">
        <v>78</v>
      </c>
      <c r="AO974" t="s">
        <v>78</v>
      </c>
      <c r="AP974" t="s">
        <v>141</v>
      </c>
      <c r="AQ974">
        <v>7</v>
      </c>
      <c r="AR974" t="s">
        <v>123</v>
      </c>
      <c r="AS974" t="s">
        <v>124</v>
      </c>
      <c r="AT974" t="s">
        <v>58</v>
      </c>
      <c r="AU974" t="s">
        <v>68</v>
      </c>
      <c r="AV974" t="s">
        <v>69</v>
      </c>
      <c r="AW974" s="1">
        <v>23103</v>
      </c>
      <c r="AX974">
        <v>2</v>
      </c>
    </row>
    <row r="975" spans="1:50">
      <c r="A975">
        <v>179438</v>
      </c>
      <c r="B975" t="str">
        <f>"064194835"</f>
        <v>064194835</v>
      </c>
      <c r="C975" t="s">
        <v>50</v>
      </c>
      <c r="D975" t="s">
        <v>2416</v>
      </c>
      <c r="E975" t="s">
        <v>73</v>
      </c>
      <c r="F975" t="s">
        <v>106</v>
      </c>
      <c r="G975" t="s">
        <v>316</v>
      </c>
      <c r="H975" t="str">
        <f>"Γ.ΣΚΟΥΛΑ 29 ΗΡΑΚΛΕΙΟ"</f>
        <v>Γ.ΣΚΟΥΛΑ 29 ΗΡΑΚΛΕΙΟ</v>
      </c>
      <c r="I975">
        <v>71305</v>
      </c>
      <c r="J975">
        <v>2813010411</v>
      </c>
      <c r="K975">
        <v>6942427772</v>
      </c>
      <c r="M975" t="s">
        <v>2417</v>
      </c>
      <c r="N975" t="s">
        <v>146</v>
      </c>
      <c r="O975" t="s">
        <v>147</v>
      </c>
      <c r="R975" t="s">
        <v>57</v>
      </c>
      <c r="S975">
        <v>14</v>
      </c>
      <c r="T975">
        <v>164</v>
      </c>
      <c r="U975" s="1">
        <v>36040</v>
      </c>
      <c r="V975" t="s">
        <v>123</v>
      </c>
      <c r="W975" t="s">
        <v>124</v>
      </c>
      <c r="X975" t="s">
        <v>58</v>
      </c>
      <c r="Y975">
        <v>18</v>
      </c>
      <c r="Z975" t="s">
        <v>59</v>
      </c>
      <c r="AA975" t="s">
        <v>59</v>
      </c>
      <c r="AB975" t="s">
        <v>59</v>
      </c>
      <c r="AC975" t="s">
        <v>59</v>
      </c>
      <c r="AD975" t="s">
        <v>59</v>
      </c>
      <c r="AF975" s="1">
        <v>36055</v>
      </c>
      <c r="AG975" t="s">
        <v>125</v>
      </c>
      <c r="AH975" t="s">
        <v>126</v>
      </c>
      <c r="AI975" t="str">
        <f>"1701040"</f>
        <v>1701040</v>
      </c>
      <c r="AJ975" t="s">
        <v>748</v>
      </c>
      <c r="AK975">
        <v>2810252459</v>
      </c>
      <c r="AL975" t="s">
        <v>749</v>
      </c>
      <c r="AM975" t="s">
        <v>78</v>
      </c>
      <c r="AN975" t="s">
        <v>78</v>
      </c>
      <c r="AO975" t="s">
        <v>78</v>
      </c>
      <c r="AP975" t="s">
        <v>141</v>
      </c>
      <c r="AQ975">
        <v>3</v>
      </c>
      <c r="AR975" t="s">
        <v>123</v>
      </c>
      <c r="AS975" t="s">
        <v>124</v>
      </c>
      <c r="AT975" t="s">
        <v>58</v>
      </c>
      <c r="AU975" t="s">
        <v>68</v>
      </c>
      <c r="AV975" t="s">
        <v>69</v>
      </c>
      <c r="AW975" s="1">
        <v>23897</v>
      </c>
      <c r="AX975">
        <v>2</v>
      </c>
    </row>
    <row r="976" spans="1:50">
      <c r="A976">
        <v>229736</v>
      </c>
      <c r="B976" t="str">
        <f>"035226142"</f>
        <v>035226142</v>
      </c>
      <c r="C976" t="s">
        <v>50</v>
      </c>
      <c r="D976" t="s">
        <v>2416</v>
      </c>
      <c r="E976" t="s">
        <v>263</v>
      </c>
      <c r="F976" t="s">
        <v>304</v>
      </c>
      <c r="G976" t="s">
        <v>52</v>
      </c>
      <c r="H976" t="str">
        <f>"ΠΙΝΔΑΡΟΥ 12 ΗΡΑΚΛΕΙΟ"</f>
        <v>ΠΙΝΔΑΡΟΥ 12 ΗΡΑΚΛΕΙΟ</v>
      </c>
      <c r="I976">
        <v>71202</v>
      </c>
      <c r="J976">
        <v>2810327257</v>
      </c>
      <c r="K976">
        <v>6944256519</v>
      </c>
      <c r="M976" t="s">
        <v>2418</v>
      </c>
      <c r="N976" t="s">
        <v>1351</v>
      </c>
      <c r="O976" t="s">
        <v>1352</v>
      </c>
      <c r="R976" t="s">
        <v>57</v>
      </c>
      <c r="S976">
        <v>11</v>
      </c>
      <c r="T976">
        <v>988</v>
      </c>
      <c r="U976" s="1">
        <v>40157</v>
      </c>
      <c r="V976" t="s">
        <v>123</v>
      </c>
      <c r="W976" t="s">
        <v>124</v>
      </c>
      <c r="X976" t="s">
        <v>58</v>
      </c>
      <c r="Y976">
        <v>20</v>
      </c>
      <c r="Z976" t="s">
        <v>59</v>
      </c>
      <c r="AA976" t="s">
        <v>59</v>
      </c>
      <c r="AB976" t="s">
        <v>59</v>
      </c>
      <c r="AC976" t="s">
        <v>59</v>
      </c>
      <c r="AD976" t="s">
        <v>59</v>
      </c>
      <c r="AF976" s="1">
        <v>40158</v>
      </c>
      <c r="AG976" t="s">
        <v>137</v>
      </c>
      <c r="AH976" t="s">
        <v>138</v>
      </c>
      <c r="AI976" t="str">
        <f>"1740310"</f>
        <v>1740310</v>
      </c>
      <c r="AJ976" t="s">
        <v>488</v>
      </c>
      <c r="AK976">
        <v>2891024228</v>
      </c>
      <c r="AL976" t="s">
        <v>489</v>
      </c>
      <c r="AM976" t="s">
        <v>78</v>
      </c>
      <c r="AN976" t="s">
        <v>276</v>
      </c>
      <c r="AO976" t="s">
        <v>490</v>
      </c>
      <c r="AP976" t="s">
        <v>490</v>
      </c>
      <c r="AQ976">
        <v>15</v>
      </c>
      <c r="AR976" t="s">
        <v>123</v>
      </c>
      <c r="AS976" t="s">
        <v>124</v>
      </c>
      <c r="AT976" t="s">
        <v>58</v>
      </c>
      <c r="AU976" t="s">
        <v>68</v>
      </c>
      <c r="AV976" t="s">
        <v>69</v>
      </c>
      <c r="AW976" s="1">
        <v>24108</v>
      </c>
      <c r="AX976">
        <v>2</v>
      </c>
    </row>
    <row r="977" spans="1:50">
      <c r="A977">
        <v>189375</v>
      </c>
      <c r="B977" t="str">
        <f>"068883841"</f>
        <v>068883841</v>
      </c>
      <c r="C977" t="s">
        <v>50</v>
      </c>
      <c r="D977" t="s">
        <v>2416</v>
      </c>
      <c r="E977" t="s">
        <v>83</v>
      </c>
      <c r="F977" t="s">
        <v>84</v>
      </c>
      <c r="G977" t="s">
        <v>52</v>
      </c>
      <c r="H977" t="str">
        <f>"ΑΡΧΟΝΤΙΚΟ ΑΡΚΑΛΟΧΩΡΙ"</f>
        <v>ΑΡΧΟΝΤΙΚΟ ΑΡΚΑΛΟΧΩΡΙ</v>
      </c>
      <c r="I977">
        <v>70300</v>
      </c>
      <c r="J977">
        <v>2891032927</v>
      </c>
      <c r="K977">
        <v>6972018208</v>
      </c>
      <c r="M977" t="s">
        <v>2419</v>
      </c>
      <c r="N977" t="s">
        <v>146</v>
      </c>
      <c r="O977" t="s">
        <v>147</v>
      </c>
      <c r="P977" t="s">
        <v>615</v>
      </c>
      <c r="Q977" t="s">
        <v>616</v>
      </c>
      <c r="R977" t="s">
        <v>57</v>
      </c>
      <c r="S977">
        <v>8</v>
      </c>
      <c r="T977">
        <v>219</v>
      </c>
      <c r="U977" s="1">
        <v>37134</v>
      </c>
      <c r="V977" t="s">
        <v>123</v>
      </c>
      <c r="W977" t="s">
        <v>124</v>
      </c>
      <c r="X977" t="s">
        <v>58</v>
      </c>
      <c r="Y977">
        <v>20</v>
      </c>
      <c r="Z977" t="s">
        <v>59</v>
      </c>
      <c r="AA977" t="s">
        <v>59</v>
      </c>
      <c r="AB977" t="s">
        <v>59</v>
      </c>
      <c r="AC977" t="s">
        <v>59</v>
      </c>
      <c r="AD977" t="s">
        <v>59</v>
      </c>
      <c r="AF977" s="1">
        <v>37141</v>
      </c>
      <c r="AG977" t="s">
        <v>125</v>
      </c>
      <c r="AH977" t="s">
        <v>126</v>
      </c>
      <c r="AI977" t="str">
        <f>"1703010"</f>
        <v>1703010</v>
      </c>
      <c r="AJ977" t="s">
        <v>422</v>
      </c>
      <c r="AK977">
        <v>2810751808</v>
      </c>
      <c r="AL977" t="s">
        <v>423</v>
      </c>
      <c r="AM977" t="s">
        <v>78</v>
      </c>
      <c r="AN977" t="s">
        <v>424</v>
      </c>
      <c r="AO977" t="s">
        <v>425</v>
      </c>
      <c r="AP977" t="s">
        <v>425</v>
      </c>
      <c r="AQ977">
        <v>13</v>
      </c>
      <c r="AR977" t="s">
        <v>123</v>
      </c>
      <c r="AS977" t="s">
        <v>124</v>
      </c>
      <c r="AT977" t="s">
        <v>58</v>
      </c>
      <c r="AU977" t="s">
        <v>68</v>
      </c>
      <c r="AV977" t="s">
        <v>69</v>
      </c>
      <c r="AW977" s="1">
        <v>26847</v>
      </c>
      <c r="AX977">
        <v>2</v>
      </c>
    </row>
    <row r="978" spans="1:50">
      <c r="A978">
        <v>174448</v>
      </c>
      <c r="B978" t="str">
        <f>"027538360"</f>
        <v>027538360</v>
      </c>
      <c r="C978" t="s">
        <v>50</v>
      </c>
      <c r="D978" t="s">
        <v>2416</v>
      </c>
      <c r="E978" t="s">
        <v>707</v>
      </c>
      <c r="F978" t="s">
        <v>53</v>
      </c>
      <c r="G978" t="s">
        <v>513</v>
      </c>
      <c r="H978" t="str">
        <f>"Γ.ΦΟΥΝΤΟΥΛΑΚΗ 6 ΗΡΑΚΛΕΙΟ"</f>
        <v>Γ.ΦΟΥΝΤΟΥΛΑΚΗ 6 ΗΡΑΚΛΕΙΟ</v>
      </c>
      <c r="I978">
        <v>71305</v>
      </c>
      <c r="J978">
        <v>2810322857</v>
      </c>
      <c r="K978">
        <v>6973509414</v>
      </c>
      <c r="M978" t="s">
        <v>2420</v>
      </c>
      <c r="N978" t="s">
        <v>257</v>
      </c>
      <c r="O978" t="s">
        <v>258</v>
      </c>
      <c r="R978" t="s">
        <v>57</v>
      </c>
      <c r="S978">
        <v>11</v>
      </c>
      <c r="T978">
        <v>166</v>
      </c>
      <c r="U978" s="1">
        <v>35300</v>
      </c>
      <c r="V978" t="s">
        <v>123</v>
      </c>
      <c r="W978" t="s">
        <v>124</v>
      </c>
      <c r="X978" t="s">
        <v>58</v>
      </c>
      <c r="Y978">
        <v>18</v>
      </c>
      <c r="Z978" t="s">
        <v>59</v>
      </c>
      <c r="AA978" t="s">
        <v>59</v>
      </c>
      <c r="AB978" t="s">
        <v>59</v>
      </c>
      <c r="AC978" t="s">
        <v>59</v>
      </c>
      <c r="AD978" t="s">
        <v>59</v>
      </c>
      <c r="AF978" s="1">
        <v>35310</v>
      </c>
      <c r="AG978" t="s">
        <v>148</v>
      </c>
      <c r="AH978" t="s">
        <v>149</v>
      </c>
      <c r="AI978" t="str">
        <f>"1751052"</f>
        <v>1751052</v>
      </c>
      <c r="AJ978" t="s">
        <v>328</v>
      </c>
      <c r="AK978">
        <v>2810213762</v>
      </c>
      <c r="AL978" t="s">
        <v>329</v>
      </c>
      <c r="AM978" t="s">
        <v>78</v>
      </c>
      <c r="AN978" t="s">
        <v>78</v>
      </c>
      <c r="AO978" t="s">
        <v>78</v>
      </c>
      <c r="AP978" t="s">
        <v>163</v>
      </c>
      <c r="AQ978">
        <v>8</v>
      </c>
      <c r="AR978" t="s">
        <v>123</v>
      </c>
      <c r="AS978" t="s">
        <v>124</v>
      </c>
      <c r="AT978" t="s">
        <v>58</v>
      </c>
      <c r="AU978" t="s">
        <v>68</v>
      </c>
      <c r="AV978" t="s">
        <v>69</v>
      </c>
      <c r="AW978" s="1">
        <v>23545</v>
      </c>
      <c r="AX978">
        <v>2</v>
      </c>
    </row>
    <row r="979" spans="1:50">
      <c r="A979">
        <v>160743</v>
      </c>
      <c r="B979" t="str">
        <f>"031172003"</f>
        <v>031172003</v>
      </c>
      <c r="C979" t="s">
        <v>50</v>
      </c>
      <c r="D979" t="s">
        <v>2416</v>
      </c>
      <c r="E979" t="s">
        <v>507</v>
      </c>
      <c r="F979" t="s">
        <v>99</v>
      </c>
      <c r="G979" t="s">
        <v>52</v>
      </c>
      <c r="H979" t="str">
        <f>" "</f>
        <v xml:space="preserve"> </v>
      </c>
      <c r="N979" t="s">
        <v>299</v>
      </c>
      <c r="O979" t="s">
        <v>300</v>
      </c>
      <c r="P979" t="s">
        <v>1525</v>
      </c>
      <c r="Q979" t="s">
        <v>1526</v>
      </c>
      <c r="R979" t="s">
        <v>57</v>
      </c>
      <c r="S979">
        <v>14</v>
      </c>
      <c r="T979">
        <v>161</v>
      </c>
      <c r="U979" s="1">
        <v>33119</v>
      </c>
      <c r="V979" t="s">
        <v>123</v>
      </c>
      <c r="W979" t="s">
        <v>124</v>
      </c>
      <c r="X979" t="s">
        <v>58</v>
      </c>
      <c r="Y979">
        <v>18</v>
      </c>
      <c r="Z979" t="s">
        <v>59</v>
      </c>
      <c r="AA979" t="s">
        <v>59</v>
      </c>
      <c r="AB979" t="s">
        <v>59</v>
      </c>
      <c r="AC979" t="s">
        <v>59</v>
      </c>
      <c r="AD979" t="s">
        <v>59</v>
      </c>
      <c r="AF979" s="1">
        <v>33129</v>
      </c>
      <c r="AG979" t="s">
        <v>137</v>
      </c>
      <c r="AH979" t="s">
        <v>138</v>
      </c>
      <c r="AI979" t="str">
        <f>"1740070"</f>
        <v>1740070</v>
      </c>
      <c r="AJ979" t="s">
        <v>206</v>
      </c>
      <c r="AK979">
        <v>2810324880</v>
      </c>
      <c r="AL979" t="s">
        <v>207</v>
      </c>
      <c r="AM979" t="s">
        <v>78</v>
      </c>
      <c r="AN979" t="s">
        <v>78</v>
      </c>
      <c r="AO979" t="s">
        <v>78</v>
      </c>
      <c r="AP979" t="s">
        <v>163</v>
      </c>
      <c r="AQ979">
        <v>9</v>
      </c>
      <c r="AR979" t="s">
        <v>123</v>
      </c>
      <c r="AS979" t="s">
        <v>124</v>
      </c>
      <c r="AT979" t="s">
        <v>58</v>
      </c>
      <c r="AU979" t="s">
        <v>68</v>
      </c>
      <c r="AV979" t="s">
        <v>69</v>
      </c>
      <c r="AW979" s="1">
        <v>21993</v>
      </c>
      <c r="AX979">
        <v>2</v>
      </c>
    </row>
    <row r="980" spans="1:50">
      <c r="A980">
        <v>196425</v>
      </c>
      <c r="B980" t="str">
        <f>"043073458"</f>
        <v>043073458</v>
      </c>
      <c r="C980" t="s">
        <v>105</v>
      </c>
      <c r="D980" t="s">
        <v>2421</v>
      </c>
      <c r="E980" t="s">
        <v>84</v>
      </c>
      <c r="F980" t="s">
        <v>53</v>
      </c>
      <c r="G980" t="s">
        <v>513</v>
      </c>
      <c r="H980" t="str">
        <f>"Γ. ΦΟΥΝΤΟΥΛΑΚΗ 6 ΗΡΑΚΛΕΙΟ"</f>
        <v>Γ. ΦΟΥΝΤΟΥΛΑΚΗ 6 ΗΡΑΚΛΕΙΟ</v>
      </c>
      <c r="I980">
        <v>71305</v>
      </c>
      <c r="J980">
        <v>2810210340</v>
      </c>
      <c r="K980">
        <v>6973404562</v>
      </c>
      <c r="L980">
        <v>2810252111</v>
      </c>
      <c r="M980" t="s">
        <v>2422</v>
      </c>
      <c r="N980" t="s">
        <v>337</v>
      </c>
      <c r="O980" t="s">
        <v>338</v>
      </c>
      <c r="P980" t="s">
        <v>168</v>
      </c>
      <c r="Q980" t="s">
        <v>169</v>
      </c>
      <c r="R980" t="s">
        <v>57</v>
      </c>
      <c r="S980">
        <v>7</v>
      </c>
      <c r="T980">
        <v>46</v>
      </c>
      <c r="U980" s="1">
        <v>37684</v>
      </c>
      <c r="V980" t="s">
        <v>123</v>
      </c>
      <c r="W980" t="s">
        <v>124</v>
      </c>
      <c r="X980" t="s">
        <v>58</v>
      </c>
      <c r="Y980">
        <v>20</v>
      </c>
      <c r="Z980" t="s">
        <v>59</v>
      </c>
      <c r="AA980" t="s">
        <v>59</v>
      </c>
      <c r="AB980" t="s">
        <v>59</v>
      </c>
      <c r="AC980" t="s">
        <v>59</v>
      </c>
      <c r="AD980" t="s">
        <v>59</v>
      </c>
      <c r="AF980" s="1">
        <v>37697</v>
      </c>
      <c r="AG980" t="s">
        <v>125</v>
      </c>
      <c r="AH980" t="s">
        <v>294</v>
      </c>
      <c r="AI980" t="str">
        <f>"1701015"</f>
        <v>1701015</v>
      </c>
      <c r="AJ980" t="s">
        <v>295</v>
      </c>
      <c r="AK980">
        <v>2810761696</v>
      </c>
      <c r="AL980" t="s">
        <v>296</v>
      </c>
      <c r="AM980" t="s">
        <v>78</v>
      </c>
      <c r="AN980" t="s">
        <v>219</v>
      </c>
      <c r="AO980" t="s">
        <v>297</v>
      </c>
      <c r="AP980" t="s">
        <v>297</v>
      </c>
      <c r="AQ980">
        <v>10</v>
      </c>
      <c r="AR980" t="s">
        <v>123</v>
      </c>
      <c r="AS980" t="s">
        <v>124</v>
      </c>
      <c r="AT980" t="s">
        <v>58</v>
      </c>
      <c r="AU980" t="s">
        <v>68</v>
      </c>
      <c r="AV980" t="s">
        <v>69</v>
      </c>
      <c r="AW980" s="1">
        <v>24429</v>
      </c>
      <c r="AX980">
        <v>2</v>
      </c>
    </row>
    <row r="981" spans="1:50">
      <c r="A981">
        <v>215549</v>
      </c>
      <c r="B981" t="str">
        <f>"066248630"</f>
        <v>066248630</v>
      </c>
      <c r="C981" t="s">
        <v>50</v>
      </c>
      <c r="D981" t="s">
        <v>2423</v>
      </c>
      <c r="E981" t="s">
        <v>73</v>
      </c>
      <c r="F981" t="s">
        <v>72</v>
      </c>
      <c r="G981" t="s">
        <v>83</v>
      </c>
      <c r="H981" t="str">
        <f>"ΜΕΛ.ΔΣΠΟΤΑΚΗ 3 ΗΡΑΚΛΕΙΟ"</f>
        <v>ΜΕΛ.ΔΣΠΟΤΑΚΗ 3 ΗΡΑΚΛΕΙΟ</v>
      </c>
      <c r="I981">
        <v>71410</v>
      </c>
      <c r="J981">
        <v>2810259390</v>
      </c>
      <c r="K981">
        <v>6947724954</v>
      </c>
      <c r="M981" t="s">
        <v>2424</v>
      </c>
      <c r="N981" t="s">
        <v>204</v>
      </c>
      <c r="O981" t="s">
        <v>205</v>
      </c>
      <c r="R981" t="s">
        <v>57</v>
      </c>
      <c r="S981">
        <v>8</v>
      </c>
      <c r="T981">
        <v>231</v>
      </c>
      <c r="U981" s="1">
        <v>38960</v>
      </c>
      <c r="V981" t="s">
        <v>123</v>
      </c>
      <c r="W981" t="s">
        <v>124</v>
      </c>
      <c r="X981" t="s">
        <v>58</v>
      </c>
      <c r="Y981">
        <v>20</v>
      </c>
      <c r="Z981" t="s">
        <v>59</v>
      </c>
      <c r="AA981" t="s">
        <v>59</v>
      </c>
      <c r="AB981" t="s">
        <v>59</v>
      </c>
      <c r="AC981" t="s">
        <v>59</v>
      </c>
      <c r="AD981" t="s">
        <v>59</v>
      </c>
      <c r="AF981" s="1">
        <v>38961</v>
      </c>
      <c r="AG981" t="s">
        <v>125</v>
      </c>
      <c r="AH981" t="s">
        <v>590</v>
      </c>
      <c r="AI981" t="str">
        <f>"1740060"</f>
        <v>1740060</v>
      </c>
      <c r="AJ981" t="s">
        <v>591</v>
      </c>
      <c r="AK981">
        <v>2810232117</v>
      </c>
      <c r="AL981" t="s">
        <v>592</v>
      </c>
      <c r="AM981" t="s">
        <v>78</v>
      </c>
      <c r="AN981" t="s">
        <v>78</v>
      </c>
      <c r="AO981" t="s">
        <v>78</v>
      </c>
      <c r="AP981" t="s">
        <v>141</v>
      </c>
      <c r="AQ981">
        <v>11</v>
      </c>
      <c r="AR981" t="s">
        <v>123</v>
      </c>
      <c r="AS981" t="s">
        <v>124</v>
      </c>
      <c r="AT981" t="s">
        <v>58</v>
      </c>
      <c r="AU981" t="s">
        <v>68</v>
      </c>
      <c r="AV981" t="s">
        <v>69</v>
      </c>
      <c r="AW981" s="1">
        <v>28973</v>
      </c>
      <c r="AX981">
        <v>2</v>
      </c>
    </row>
    <row r="982" spans="1:50">
      <c r="A982">
        <v>192779</v>
      </c>
      <c r="B982" t="str">
        <f>"051853881"</f>
        <v>051853881</v>
      </c>
      <c r="C982" t="s">
        <v>105</v>
      </c>
      <c r="D982" t="s">
        <v>2425</v>
      </c>
      <c r="E982" t="s">
        <v>166</v>
      </c>
      <c r="F982" t="s">
        <v>106</v>
      </c>
      <c r="G982" t="s">
        <v>255</v>
      </c>
      <c r="H982" t="str">
        <f>"ΚΑΡΚΑΒΙΤΣΑ 18 ΑΓΙΑ ΜΑΡΙΝΑ ΓΑΖΙ"</f>
        <v>ΚΑΡΚΑΒΙΤΣΑ 18 ΑΓΙΑ ΜΑΡΙΝΑ ΓΑΖΙ</v>
      </c>
      <c r="I982">
        <v>71414</v>
      </c>
      <c r="J982">
        <v>2810316758</v>
      </c>
      <c r="K982">
        <v>6972985633</v>
      </c>
      <c r="M982" t="s">
        <v>2426</v>
      </c>
      <c r="N982" t="s">
        <v>157</v>
      </c>
      <c r="O982" t="s">
        <v>158</v>
      </c>
      <c r="R982" t="s">
        <v>57</v>
      </c>
      <c r="S982">
        <v>11</v>
      </c>
      <c r="T982">
        <v>193</v>
      </c>
      <c r="U982" s="1">
        <v>37497</v>
      </c>
      <c r="V982" t="s">
        <v>123</v>
      </c>
      <c r="W982" t="s">
        <v>124</v>
      </c>
      <c r="X982" t="s">
        <v>58</v>
      </c>
      <c r="Y982">
        <v>18</v>
      </c>
      <c r="Z982" t="s">
        <v>59</v>
      </c>
      <c r="AA982" t="s">
        <v>59</v>
      </c>
      <c r="AB982" t="s">
        <v>59</v>
      </c>
      <c r="AC982" t="s">
        <v>59</v>
      </c>
      <c r="AD982" t="s">
        <v>59</v>
      </c>
      <c r="AF982" s="1">
        <v>37501</v>
      </c>
      <c r="AG982" t="s">
        <v>125</v>
      </c>
      <c r="AH982" t="s">
        <v>126</v>
      </c>
      <c r="AI982" t="str">
        <f>"1728010"</f>
        <v>1728010</v>
      </c>
      <c r="AJ982" t="s">
        <v>127</v>
      </c>
      <c r="AK982">
        <v>2810824651</v>
      </c>
      <c r="AL982" t="s">
        <v>128</v>
      </c>
      <c r="AM982" t="s">
        <v>78</v>
      </c>
      <c r="AN982" t="s">
        <v>129</v>
      </c>
      <c r="AO982" t="s">
        <v>130</v>
      </c>
      <c r="AP982" t="s">
        <v>130</v>
      </c>
      <c r="AQ982">
        <v>36</v>
      </c>
      <c r="AR982" t="s">
        <v>123</v>
      </c>
      <c r="AS982" t="s">
        <v>124</v>
      </c>
      <c r="AT982" t="s">
        <v>58</v>
      </c>
      <c r="AU982" t="s">
        <v>68</v>
      </c>
      <c r="AV982" t="s">
        <v>69</v>
      </c>
      <c r="AW982" s="1">
        <v>23821</v>
      </c>
      <c r="AX982">
        <v>2</v>
      </c>
    </row>
    <row r="983" spans="1:50">
      <c r="A983">
        <v>174663</v>
      </c>
      <c r="B983" t="str">
        <f>"030172724"</f>
        <v>030172724</v>
      </c>
      <c r="C983" t="s">
        <v>105</v>
      </c>
      <c r="D983" t="s">
        <v>2427</v>
      </c>
      <c r="E983" t="s">
        <v>106</v>
      </c>
      <c r="F983" t="s">
        <v>84</v>
      </c>
      <c r="G983" t="s">
        <v>845</v>
      </c>
      <c r="H983" t="str">
        <f>"ΦΩΤΗ ΚΟΝΤΟΓΛΟΥ 22 "</f>
        <v xml:space="preserve">ΦΩΤΗ ΚΟΝΤΟΓΛΟΥ 22 </v>
      </c>
      <c r="I983">
        <v>71303</v>
      </c>
      <c r="J983">
        <v>2810317310</v>
      </c>
      <c r="K983">
        <v>6972163396</v>
      </c>
      <c r="N983" t="s">
        <v>189</v>
      </c>
      <c r="O983" t="s">
        <v>190</v>
      </c>
      <c r="P983" t="s">
        <v>615</v>
      </c>
      <c r="Q983" t="s">
        <v>616</v>
      </c>
      <c r="R983" t="s">
        <v>57</v>
      </c>
      <c r="S983">
        <v>16</v>
      </c>
      <c r="T983">
        <v>166</v>
      </c>
      <c r="U983" s="1">
        <v>35300</v>
      </c>
      <c r="V983" t="s">
        <v>123</v>
      </c>
      <c r="W983" t="s">
        <v>124</v>
      </c>
      <c r="X983" t="s">
        <v>58</v>
      </c>
      <c r="Y983">
        <v>18</v>
      </c>
      <c r="Z983" t="s">
        <v>59</v>
      </c>
      <c r="AA983" t="s">
        <v>59</v>
      </c>
      <c r="AB983" t="s">
        <v>59</v>
      </c>
      <c r="AC983" t="s">
        <v>59</v>
      </c>
      <c r="AD983" t="s">
        <v>59</v>
      </c>
      <c r="AF983" s="1">
        <v>35300</v>
      </c>
      <c r="AG983" t="s">
        <v>125</v>
      </c>
      <c r="AH983" t="s">
        <v>126</v>
      </c>
      <c r="AI983" t="str">
        <f>"1701040"</f>
        <v>1701040</v>
      </c>
      <c r="AJ983" t="s">
        <v>748</v>
      </c>
      <c r="AK983">
        <v>2810252459</v>
      </c>
      <c r="AL983" t="s">
        <v>749</v>
      </c>
      <c r="AM983" t="s">
        <v>78</v>
      </c>
      <c r="AN983" t="s">
        <v>78</v>
      </c>
      <c r="AO983" t="s">
        <v>78</v>
      </c>
      <c r="AP983" t="s">
        <v>141</v>
      </c>
      <c r="AQ983">
        <v>3</v>
      </c>
      <c r="AR983" t="s">
        <v>123</v>
      </c>
      <c r="AS983" t="s">
        <v>124</v>
      </c>
      <c r="AT983" t="s">
        <v>58</v>
      </c>
      <c r="AU983" t="s">
        <v>68</v>
      </c>
      <c r="AV983" t="s">
        <v>69</v>
      </c>
      <c r="AW983" s="1">
        <v>21635</v>
      </c>
      <c r="AX983">
        <v>2</v>
      </c>
    </row>
    <row r="984" spans="1:50">
      <c r="A984">
        <v>186472</v>
      </c>
      <c r="B984" t="str">
        <f>"043886605"</f>
        <v>043886605</v>
      </c>
      <c r="C984" t="s">
        <v>50</v>
      </c>
      <c r="D984" t="s">
        <v>2428</v>
      </c>
      <c r="E984" t="s">
        <v>54</v>
      </c>
      <c r="F984" t="s">
        <v>72</v>
      </c>
      <c r="G984" t="s">
        <v>52</v>
      </c>
      <c r="H984" t="str">
        <f>"ΗΡΑΚΛΕΙΟ, 10 ΗΡΑΚΛΕΙΟΥ"</f>
        <v>ΗΡΑΚΛΕΙΟ, 10 ΗΡΑΚΛΕΙΟΥ</v>
      </c>
      <c r="I984">
        <v>71304</v>
      </c>
      <c r="J984">
        <v>2810310212</v>
      </c>
      <c r="K984">
        <v>6944884860</v>
      </c>
      <c r="M984" t="s">
        <v>2429</v>
      </c>
      <c r="N984" t="s">
        <v>146</v>
      </c>
      <c r="O984" t="s">
        <v>147</v>
      </c>
      <c r="R984" t="s">
        <v>57</v>
      </c>
      <c r="S984">
        <v>11</v>
      </c>
      <c r="T984">
        <v>251</v>
      </c>
      <c r="U984" s="1">
        <v>36769</v>
      </c>
      <c r="V984" t="s">
        <v>123</v>
      </c>
      <c r="W984" t="s">
        <v>124</v>
      </c>
      <c r="X984" t="s">
        <v>58</v>
      </c>
      <c r="Y984">
        <v>18</v>
      </c>
      <c r="Z984" t="s">
        <v>59</v>
      </c>
      <c r="AA984" t="s">
        <v>59</v>
      </c>
      <c r="AB984" t="s">
        <v>59</v>
      </c>
      <c r="AC984" t="s">
        <v>59</v>
      </c>
      <c r="AD984" t="s">
        <v>59</v>
      </c>
      <c r="AF984" s="1">
        <v>36774</v>
      </c>
      <c r="AG984" t="s">
        <v>125</v>
      </c>
      <c r="AH984" t="s">
        <v>126</v>
      </c>
      <c r="AI984" t="str">
        <f>"1728010"</f>
        <v>1728010</v>
      </c>
      <c r="AJ984" t="s">
        <v>127</v>
      </c>
      <c r="AK984">
        <v>2810824651</v>
      </c>
      <c r="AL984" t="s">
        <v>128</v>
      </c>
      <c r="AM984" t="s">
        <v>78</v>
      </c>
      <c r="AN984" t="s">
        <v>129</v>
      </c>
      <c r="AO984" t="s">
        <v>130</v>
      </c>
      <c r="AP984" t="s">
        <v>130</v>
      </c>
      <c r="AQ984">
        <v>36</v>
      </c>
      <c r="AR984" t="s">
        <v>123</v>
      </c>
      <c r="AS984" t="s">
        <v>124</v>
      </c>
      <c r="AT984" t="s">
        <v>58</v>
      </c>
      <c r="AU984" t="s">
        <v>68</v>
      </c>
      <c r="AV984" t="s">
        <v>69</v>
      </c>
      <c r="AW984" s="1">
        <v>24143</v>
      </c>
      <c r="AX984">
        <v>2</v>
      </c>
    </row>
    <row r="985" spans="1:50">
      <c r="B985" t="str">
        <f>"136411047"</f>
        <v>136411047</v>
      </c>
      <c r="C985" t="s">
        <v>50</v>
      </c>
      <c r="D985" t="s">
        <v>2430</v>
      </c>
      <c r="E985" t="s">
        <v>964</v>
      </c>
      <c r="F985" t="s">
        <v>154</v>
      </c>
      <c r="G985" t="s">
        <v>52</v>
      </c>
      <c r="H985" t="str">
        <f>" "</f>
        <v xml:space="preserve"> </v>
      </c>
      <c r="N985" t="s">
        <v>119</v>
      </c>
      <c r="O985" t="s">
        <v>120</v>
      </c>
      <c r="R985" t="s">
        <v>121</v>
      </c>
      <c r="S985">
        <v>3</v>
      </c>
      <c r="T985" t="s">
        <v>344</v>
      </c>
      <c r="U985" s="1">
        <v>43348</v>
      </c>
      <c r="V985" t="s">
        <v>123</v>
      </c>
      <c r="W985" t="s">
        <v>124</v>
      </c>
      <c r="X985" t="s">
        <v>58</v>
      </c>
      <c r="Y985">
        <v>23</v>
      </c>
      <c r="Z985" t="s">
        <v>59</v>
      </c>
      <c r="AA985" t="s">
        <v>59</v>
      </c>
      <c r="AB985" t="s">
        <v>59</v>
      </c>
      <c r="AD985" t="s">
        <v>59</v>
      </c>
      <c r="AF985" s="1">
        <v>43348</v>
      </c>
      <c r="AG985" t="s">
        <v>125</v>
      </c>
      <c r="AH985" t="s">
        <v>126</v>
      </c>
      <c r="AI985" t="str">
        <f>"1701052"</f>
        <v>1701052</v>
      </c>
      <c r="AJ985" t="s">
        <v>223</v>
      </c>
      <c r="AK985">
        <v>2810252514</v>
      </c>
      <c r="AL985" t="s">
        <v>224</v>
      </c>
      <c r="AM985" t="s">
        <v>78</v>
      </c>
      <c r="AN985" t="s">
        <v>78</v>
      </c>
      <c r="AO985" t="s">
        <v>78</v>
      </c>
      <c r="AP985" t="s">
        <v>141</v>
      </c>
      <c r="AQ985">
        <v>7</v>
      </c>
      <c r="AR985" t="s">
        <v>123</v>
      </c>
      <c r="AS985" t="s">
        <v>124</v>
      </c>
      <c r="AT985" t="s">
        <v>58</v>
      </c>
      <c r="AU985" t="s">
        <v>350</v>
      </c>
      <c r="AV985" t="s">
        <v>132</v>
      </c>
      <c r="AW985" s="1">
        <v>31499</v>
      </c>
      <c r="AX985">
        <v>2</v>
      </c>
    </row>
    <row r="986" spans="1:50">
      <c r="A986">
        <v>153145</v>
      </c>
      <c r="B986" t="str">
        <f>"034609456"</f>
        <v>034609456</v>
      </c>
      <c r="C986" t="s">
        <v>50</v>
      </c>
      <c r="D986" t="s">
        <v>2430</v>
      </c>
      <c r="E986" t="s">
        <v>52</v>
      </c>
      <c r="F986" t="s">
        <v>53</v>
      </c>
      <c r="G986" t="s">
        <v>2431</v>
      </c>
      <c r="H986" t="str">
        <f>" "</f>
        <v xml:space="preserve"> </v>
      </c>
      <c r="N986" t="s">
        <v>232</v>
      </c>
      <c r="O986" t="s">
        <v>233</v>
      </c>
      <c r="R986" t="s">
        <v>57</v>
      </c>
      <c r="S986">
        <v>15</v>
      </c>
      <c r="T986">
        <v>166</v>
      </c>
      <c r="U986" s="1">
        <v>32010</v>
      </c>
      <c r="V986" t="s">
        <v>123</v>
      </c>
      <c r="W986" t="s">
        <v>124</v>
      </c>
      <c r="X986" t="s">
        <v>58</v>
      </c>
      <c r="Y986">
        <v>18</v>
      </c>
      <c r="Z986" t="s">
        <v>59</v>
      </c>
      <c r="AA986" t="s">
        <v>59</v>
      </c>
      <c r="AB986" t="s">
        <v>59</v>
      </c>
      <c r="AC986" t="s">
        <v>59</v>
      </c>
      <c r="AD986" t="s">
        <v>59</v>
      </c>
      <c r="AF986" s="1">
        <v>32023</v>
      </c>
      <c r="AG986" t="s">
        <v>148</v>
      </c>
      <c r="AH986" t="s">
        <v>149</v>
      </c>
      <c r="AI986" t="str">
        <f>"1778010"</f>
        <v>1778010</v>
      </c>
      <c r="AJ986" t="s">
        <v>672</v>
      </c>
      <c r="AK986">
        <v>2810822455</v>
      </c>
      <c r="AL986" t="s">
        <v>673</v>
      </c>
      <c r="AM986" t="s">
        <v>78</v>
      </c>
      <c r="AN986" t="s">
        <v>129</v>
      </c>
      <c r="AO986" t="s">
        <v>130</v>
      </c>
      <c r="AP986" t="s">
        <v>130</v>
      </c>
      <c r="AQ986">
        <v>36</v>
      </c>
      <c r="AR986" t="s">
        <v>123</v>
      </c>
      <c r="AS986" t="s">
        <v>124</v>
      </c>
      <c r="AT986" t="s">
        <v>58</v>
      </c>
      <c r="AU986" t="s">
        <v>68</v>
      </c>
      <c r="AV986" t="s">
        <v>69</v>
      </c>
      <c r="AW986" s="1">
        <v>21428</v>
      </c>
      <c r="AX986">
        <v>2</v>
      </c>
    </row>
    <row r="987" spans="1:50">
      <c r="A987">
        <v>197785</v>
      </c>
      <c r="B987" t="str">
        <f>"035002400"</f>
        <v>035002400</v>
      </c>
      <c r="C987" t="s">
        <v>105</v>
      </c>
      <c r="D987" t="s">
        <v>2432</v>
      </c>
      <c r="E987" t="s">
        <v>166</v>
      </c>
      <c r="F987" t="s">
        <v>53</v>
      </c>
      <c r="G987" t="s">
        <v>513</v>
      </c>
      <c r="H987" t="str">
        <f>"ΚΑΤΕΧΑΚΗ ΡΟΥΒΑ 32 ΔΕΙΛΙΝΑ"</f>
        <v>ΚΑΤΕΧΑΚΗ ΡΟΥΒΑ 32 ΔΕΙΛΙΝΑ</v>
      </c>
      <c r="I987">
        <v>71304</v>
      </c>
      <c r="J987">
        <v>2810313784</v>
      </c>
      <c r="K987">
        <v>6945318817</v>
      </c>
      <c r="M987" t="s">
        <v>2433</v>
      </c>
      <c r="N987" t="s">
        <v>292</v>
      </c>
      <c r="O987" t="s">
        <v>293</v>
      </c>
      <c r="R987" t="s">
        <v>57</v>
      </c>
      <c r="S987">
        <v>8</v>
      </c>
      <c r="T987">
        <v>206</v>
      </c>
      <c r="U987" s="1">
        <v>37866</v>
      </c>
      <c r="V987" t="s">
        <v>123</v>
      </c>
      <c r="W987" t="s">
        <v>124</v>
      </c>
      <c r="X987" t="s">
        <v>58</v>
      </c>
      <c r="Y987">
        <v>20</v>
      </c>
      <c r="Z987" t="s">
        <v>59</v>
      </c>
      <c r="AA987" t="s">
        <v>59</v>
      </c>
      <c r="AB987" t="s">
        <v>59</v>
      </c>
      <c r="AC987" t="s">
        <v>59</v>
      </c>
      <c r="AD987" t="s">
        <v>59</v>
      </c>
      <c r="AF987" s="1">
        <v>37867</v>
      </c>
      <c r="AG987" t="s">
        <v>125</v>
      </c>
      <c r="AH987" t="s">
        <v>126</v>
      </c>
      <c r="AI987" t="str">
        <f>"1727010"</f>
        <v>1727010</v>
      </c>
      <c r="AJ987" t="s">
        <v>618</v>
      </c>
      <c r="AK987">
        <v>2810229231</v>
      </c>
      <c r="AL987" t="s">
        <v>619</v>
      </c>
      <c r="AM987" t="s">
        <v>78</v>
      </c>
      <c r="AN987" t="s">
        <v>78</v>
      </c>
      <c r="AO987" t="s">
        <v>286</v>
      </c>
      <c r="AP987" t="s">
        <v>286</v>
      </c>
      <c r="AQ987">
        <v>12</v>
      </c>
      <c r="AR987" t="s">
        <v>123</v>
      </c>
      <c r="AS987" t="s">
        <v>124</v>
      </c>
      <c r="AT987" t="s">
        <v>58</v>
      </c>
      <c r="AU987" t="s">
        <v>68</v>
      </c>
      <c r="AV987" t="s">
        <v>69</v>
      </c>
      <c r="AW987" s="1">
        <v>22498</v>
      </c>
      <c r="AX987">
        <v>2</v>
      </c>
    </row>
    <row r="988" spans="1:50">
      <c r="B988" t="str">
        <f>"133600050"</f>
        <v>133600050</v>
      </c>
      <c r="C988" t="s">
        <v>50</v>
      </c>
      <c r="D988" t="s">
        <v>2434</v>
      </c>
      <c r="E988" t="s">
        <v>476</v>
      </c>
      <c r="F988" t="s">
        <v>95</v>
      </c>
      <c r="G988" t="s">
        <v>191</v>
      </c>
      <c r="H988" t="str">
        <f>"Γ. ΓΕΝΝΗΜΑΤΑ ΒΥΡΩΝΑΣ"</f>
        <v>Γ. ΓΕΝΝΗΜΑΤΑ ΒΥΡΩΝΑΣ</v>
      </c>
      <c r="I988">
        <v>16231</v>
      </c>
      <c r="J988">
        <v>2107643778</v>
      </c>
      <c r="K988">
        <v>6944364037</v>
      </c>
      <c r="M988" t="s">
        <v>2435</v>
      </c>
      <c r="N988" t="s">
        <v>536</v>
      </c>
      <c r="O988" t="s">
        <v>537</v>
      </c>
      <c r="R988" t="s">
        <v>159</v>
      </c>
      <c r="S988">
        <v>5</v>
      </c>
      <c r="T988" t="s">
        <v>344</v>
      </c>
      <c r="U988" s="1">
        <v>43348</v>
      </c>
      <c r="V988" t="s">
        <v>123</v>
      </c>
      <c r="W988" t="s">
        <v>124</v>
      </c>
      <c r="X988" t="s">
        <v>58</v>
      </c>
      <c r="Y988">
        <v>21</v>
      </c>
      <c r="Z988" t="s">
        <v>59</v>
      </c>
      <c r="AA988" t="s">
        <v>59</v>
      </c>
      <c r="AB988" t="s">
        <v>59</v>
      </c>
      <c r="AC988" t="s">
        <v>59</v>
      </c>
      <c r="AD988" t="s">
        <v>59</v>
      </c>
      <c r="AF988" s="1">
        <v>43348</v>
      </c>
      <c r="AG988" t="s">
        <v>148</v>
      </c>
      <c r="AH988" t="s">
        <v>149</v>
      </c>
      <c r="AI988" t="str">
        <f>"1751030"</f>
        <v>1751030</v>
      </c>
      <c r="AJ988" t="s">
        <v>234</v>
      </c>
      <c r="AK988">
        <v>2810282911</v>
      </c>
      <c r="AL988" t="s">
        <v>235</v>
      </c>
      <c r="AM988" t="s">
        <v>78</v>
      </c>
      <c r="AN988" t="s">
        <v>78</v>
      </c>
      <c r="AO988" t="s">
        <v>78</v>
      </c>
      <c r="AP988" t="s">
        <v>163</v>
      </c>
      <c r="AQ988">
        <v>1</v>
      </c>
      <c r="AR988" t="s">
        <v>123</v>
      </c>
      <c r="AS988" t="s">
        <v>124</v>
      </c>
      <c r="AT988" t="s">
        <v>58</v>
      </c>
      <c r="AU988" t="s">
        <v>350</v>
      </c>
      <c r="AV988" t="s">
        <v>132</v>
      </c>
      <c r="AW988" s="1">
        <v>28654</v>
      </c>
      <c r="AX988">
        <v>2</v>
      </c>
    </row>
    <row r="989" spans="1:50">
      <c r="A989">
        <v>155597</v>
      </c>
      <c r="B989" t="str">
        <f>"033904171"</f>
        <v>033904171</v>
      </c>
      <c r="C989" t="s">
        <v>105</v>
      </c>
      <c r="D989" t="s">
        <v>2436</v>
      </c>
      <c r="E989" t="s">
        <v>321</v>
      </c>
      <c r="F989" t="s">
        <v>377</v>
      </c>
      <c r="G989" t="s">
        <v>237</v>
      </c>
      <c r="H989" t="str">
        <f>"ΑΝΤΩΝΙΟΥ ΚΑΣΤΡΙΝΑΚΗ 32 ΗΡΑΚΛΕΙΟ"</f>
        <v>ΑΝΤΩΝΙΟΥ ΚΑΣΤΡΙΝΑΚΗ 32 ΗΡΑΚΛΕΙΟ</v>
      </c>
      <c r="J989">
        <v>2463023648</v>
      </c>
      <c r="K989">
        <v>6948271824</v>
      </c>
      <c r="M989" t="s">
        <v>2437</v>
      </c>
      <c r="N989" t="s">
        <v>157</v>
      </c>
      <c r="O989" t="s">
        <v>158</v>
      </c>
      <c r="R989" t="s">
        <v>57</v>
      </c>
      <c r="S989">
        <v>15</v>
      </c>
      <c r="T989">
        <v>188</v>
      </c>
      <c r="U989" s="1">
        <v>32752</v>
      </c>
      <c r="V989" t="s">
        <v>123</v>
      </c>
      <c r="W989" t="s">
        <v>124</v>
      </c>
      <c r="X989" t="s">
        <v>58</v>
      </c>
      <c r="Y989">
        <v>18</v>
      </c>
      <c r="Z989" t="s">
        <v>59</v>
      </c>
      <c r="AA989" t="s">
        <v>59</v>
      </c>
      <c r="AB989" t="s">
        <v>59</v>
      </c>
      <c r="AC989" t="s">
        <v>59</v>
      </c>
      <c r="AD989" t="s">
        <v>59</v>
      </c>
      <c r="AF989" s="1">
        <v>32756</v>
      </c>
      <c r="AG989" t="s">
        <v>125</v>
      </c>
      <c r="AH989" t="s">
        <v>126</v>
      </c>
      <c r="AI989" t="str">
        <f>"1701050"</f>
        <v>1701050</v>
      </c>
      <c r="AJ989" t="s">
        <v>660</v>
      </c>
      <c r="AK989">
        <v>2810220729</v>
      </c>
      <c r="AL989" t="s">
        <v>661</v>
      </c>
      <c r="AM989" t="s">
        <v>78</v>
      </c>
      <c r="AN989" t="s">
        <v>78</v>
      </c>
      <c r="AO989" t="s">
        <v>78</v>
      </c>
      <c r="AP989" t="s">
        <v>79</v>
      </c>
      <c r="AQ989">
        <v>1</v>
      </c>
      <c r="AR989" t="s">
        <v>123</v>
      </c>
      <c r="AS989" t="s">
        <v>124</v>
      </c>
      <c r="AT989" t="s">
        <v>58</v>
      </c>
      <c r="AU989" t="s">
        <v>68</v>
      </c>
      <c r="AV989" t="s">
        <v>69</v>
      </c>
      <c r="AW989" s="1">
        <v>23456</v>
      </c>
      <c r="AX989">
        <v>2</v>
      </c>
    </row>
    <row r="990" spans="1:50">
      <c r="A990">
        <v>170488</v>
      </c>
      <c r="B990" t="str">
        <f>"028361755"</f>
        <v>028361755</v>
      </c>
      <c r="C990" t="s">
        <v>50</v>
      </c>
      <c r="D990" t="s">
        <v>2438</v>
      </c>
      <c r="E990" t="s">
        <v>473</v>
      </c>
      <c r="F990" t="s">
        <v>72</v>
      </c>
      <c r="G990" t="s">
        <v>888</v>
      </c>
      <c r="H990" t="str">
        <f>"ΣΟΦΟΚΛΕΟΥΣ 30 ΗΡΑΚΛΕΙΟ"</f>
        <v>ΣΟΦΟΚΛΕΟΥΣ 30 ΗΡΑΚΛΕΙΟ</v>
      </c>
      <c r="I990">
        <v>71306</v>
      </c>
      <c r="J990">
        <v>2810227229</v>
      </c>
      <c r="K990">
        <v>6936982198</v>
      </c>
      <c r="M990" t="s">
        <v>2439</v>
      </c>
      <c r="N990" t="s">
        <v>232</v>
      </c>
      <c r="O990" t="s">
        <v>233</v>
      </c>
      <c r="R990" t="s">
        <v>57</v>
      </c>
      <c r="S990">
        <v>13</v>
      </c>
      <c r="T990">
        <v>184</v>
      </c>
      <c r="U990" s="1">
        <v>34941</v>
      </c>
      <c r="V990" t="s">
        <v>123</v>
      </c>
      <c r="W990" t="s">
        <v>124</v>
      </c>
      <c r="X990" t="s">
        <v>58</v>
      </c>
      <c r="Y990">
        <v>18</v>
      </c>
      <c r="Z990" t="s">
        <v>59</v>
      </c>
      <c r="AA990" t="s">
        <v>59</v>
      </c>
      <c r="AB990" t="s">
        <v>59</v>
      </c>
      <c r="AC990" t="s">
        <v>59</v>
      </c>
      <c r="AD990" t="s">
        <v>59</v>
      </c>
      <c r="AF990" s="1">
        <v>34943</v>
      </c>
      <c r="AG990" t="s">
        <v>148</v>
      </c>
      <c r="AH990" t="s">
        <v>149</v>
      </c>
      <c r="AI990" t="str">
        <f>"1751010"</f>
        <v>1751010</v>
      </c>
      <c r="AJ990" t="s">
        <v>150</v>
      </c>
      <c r="AK990">
        <v>2810346092</v>
      </c>
      <c r="AL990" t="s">
        <v>151</v>
      </c>
      <c r="AM990" t="s">
        <v>78</v>
      </c>
      <c r="AN990" t="s">
        <v>78</v>
      </c>
      <c r="AO990" t="s">
        <v>78</v>
      </c>
      <c r="AP990" t="s">
        <v>79</v>
      </c>
      <c r="AQ990">
        <v>1</v>
      </c>
      <c r="AR990" t="s">
        <v>123</v>
      </c>
      <c r="AS990" t="s">
        <v>124</v>
      </c>
      <c r="AT990" t="s">
        <v>58</v>
      </c>
      <c r="AU990" t="s">
        <v>68</v>
      </c>
      <c r="AV990" t="s">
        <v>69</v>
      </c>
      <c r="AW990" s="1">
        <v>21436</v>
      </c>
      <c r="AX990">
        <v>2</v>
      </c>
    </row>
    <row r="991" spans="1:50">
      <c r="A991">
        <v>186924</v>
      </c>
      <c r="B991" t="str">
        <f>"031976552"</f>
        <v>031976552</v>
      </c>
      <c r="C991" t="s">
        <v>105</v>
      </c>
      <c r="D991" t="s">
        <v>2440</v>
      </c>
      <c r="E991" t="s">
        <v>95</v>
      </c>
      <c r="F991" t="s">
        <v>581</v>
      </c>
      <c r="G991" t="s">
        <v>237</v>
      </c>
      <c r="H991" t="str">
        <f>"ΖΑΪΜΗ 23 ΤΡΙΑΝΔΡΙΑ"</f>
        <v>ΖΑΪΜΗ 23 ΤΡΙΑΝΔΡΙΑ</v>
      </c>
      <c r="I991">
        <v>55337</v>
      </c>
      <c r="J991">
        <v>2310936672</v>
      </c>
      <c r="K991">
        <v>6946628991</v>
      </c>
      <c r="M991" t="s">
        <v>2441</v>
      </c>
      <c r="N991" t="s">
        <v>176</v>
      </c>
      <c r="O991" t="s">
        <v>177</v>
      </c>
      <c r="R991" t="s">
        <v>57</v>
      </c>
      <c r="S991">
        <v>10</v>
      </c>
      <c r="T991">
        <v>251</v>
      </c>
      <c r="U991" s="1">
        <v>36769</v>
      </c>
      <c r="V991" t="s">
        <v>123</v>
      </c>
      <c r="W991" t="s">
        <v>124</v>
      </c>
      <c r="X991" t="s">
        <v>58</v>
      </c>
      <c r="Y991">
        <v>20</v>
      </c>
      <c r="Z991" t="s">
        <v>59</v>
      </c>
      <c r="AA991" t="s">
        <v>59</v>
      </c>
      <c r="AB991" t="s">
        <v>59</v>
      </c>
      <c r="AC991" t="s">
        <v>59</v>
      </c>
      <c r="AD991" t="s">
        <v>59</v>
      </c>
      <c r="AF991" s="1">
        <v>36773</v>
      </c>
      <c r="AG991" t="s">
        <v>125</v>
      </c>
      <c r="AH991" t="s">
        <v>126</v>
      </c>
      <c r="AI991" t="str">
        <f>"1704010"</f>
        <v>1704010</v>
      </c>
      <c r="AJ991" t="s">
        <v>480</v>
      </c>
      <c r="AK991">
        <v>2895022230</v>
      </c>
      <c r="AL991" t="s">
        <v>481</v>
      </c>
      <c r="AM991" t="s">
        <v>78</v>
      </c>
      <c r="AN991" t="s">
        <v>482</v>
      </c>
      <c r="AO991" t="s">
        <v>482</v>
      </c>
      <c r="AP991" t="s">
        <v>483</v>
      </c>
      <c r="AQ991">
        <v>16</v>
      </c>
      <c r="AR991" t="s">
        <v>123</v>
      </c>
      <c r="AS991" t="s">
        <v>124</v>
      </c>
      <c r="AT991" t="s">
        <v>58</v>
      </c>
      <c r="AU991" t="s">
        <v>68</v>
      </c>
      <c r="AV991" t="s">
        <v>69</v>
      </c>
      <c r="AW991" s="1">
        <v>23880</v>
      </c>
      <c r="AX991">
        <v>2</v>
      </c>
    </row>
    <row r="992" spans="1:50">
      <c r="A992">
        <v>702614</v>
      </c>
      <c r="B992" t="str">
        <f>"103281336"</f>
        <v>103281336</v>
      </c>
      <c r="C992" t="s">
        <v>50</v>
      </c>
      <c r="D992" t="s">
        <v>2442</v>
      </c>
      <c r="E992" t="s">
        <v>83</v>
      </c>
      <c r="F992" t="s">
        <v>936</v>
      </c>
      <c r="G992" t="s">
        <v>237</v>
      </c>
      <c r="H992" t="str">
        <f>"ΤΥΜΠΑΚΙ "</f>
        <v xml:space="preserve">ΤΥΜΠΑΚΙ </v>
      </c>
      <c r="I992">
        <v>70200</v>
      </c>
      <c r="J992">
        <v>2897024267</v>
      </c>
      <c r="K992">
        <v>6948960396</v>
      </c>
      <c r="M992" t="s">
        <v>2443</v>
      </c>
      <c r="N992" t="s">
        <v>292</v>
      </c>
      <c r="O992" t="s">
        <v>293</v>
      </c>
      <c r="R992" t="s">
        <v>57</v>
      </c>
      <c r="S992">
        <v>5</v>
      </c>
      <c r="T992">
        <v>772</v>
      </c>
      <c r="U992" s="1">
        <v>40413</v>
      </c>
      <c r="V992" t="s">
        <v>123</v>
      </c>
      <c r="W992" t="s">
        <v>124</v>
      </c>
      <c r="X992" t="s">
        <v>58</v>
      </c>
      <c r="Y992">
        <v>21</v>
      </c>
      <c r="Z992" t="s">
        <v>59</v>
      </c>
      <c r="AA992" t="s">
        <v>59</v>
      </c>
      <c r="AB992" t="s">
        <v>59</v>
      </c>
      <c r="AC992" t="s">
        <v>59</v>
      </c>
      <c r="AD992" t="s">
        <v>59</v>
      </c>
      <c r="AF992" s="1">
        <v>40414</v>
      </c>
      <c r="AG992" t="s">
        <v>125</v>
      </c>
      <c r="AH992" t="s">
        <v>126</v>
      </c>
      <c r="AI992" t="str">
        <f>"1707010"</f>
        <v>1707010</v>
      </c>
      <c r="AJ992" t="s">
        <v>757</v>
      </c>
      <c r="AK992">
        <v>2892041211</v>
      </c>
      <c r="AL992" t="s">
        <v>758</v>
      </c>
      <c r="AM992" t="s">
        <v>78</v>
      </c>
      <c r="AN992" t="s">
        <v>242</v>
      </c>
      <c r="AO992" t="s">
        <v>243</v>
      </c>
      <c r="AP992" t="s">
        <v>244</v>
      </c>
      <c r="AQ992">
        <v>34</v>
      </c>
      <c r="AR992" t="s">
        <v>123</v>
      </c>
      <c r="AS992" t="s">
        <v>124</v>
      </c>
      <c r="AT992" t="s">
        <v>58</v>
      </c>
      <c r="AU992" t="s">
        <v>68</v>
      </c>
      <c r="AV992" t="s">
        <v>69</v>
      </c>
      <c r="AW992" s="1">
        <v>21206</v>
      </c>
      <c r="AX992">
        <v>2</v>
      </c>
    </row>
    <row r="993" spans="1:50">
      <c r="A993">
        <v>219294</v>
      </c>
      <c r="B993" t="str">
        <f>"132325930"</f>
        <v>132325930</v>
      </c>
      <c r="C993" t="s">
        <v>50</v>
      </c>
      <c r="D993" t="s">
        <v>2444</v>
      </c>
      <c r="E993" t="s">
        <v>143</v>
      </c>
      <c r="F993" t="s">
        <v>321</v>
      </c>
      <c r="G993" t="s">
        <v>52</v>
      </c>
      <c r="H993" t="str">
        <f>"ΟΛΥΜΠΟΥ 10 ΗΡΑΚΛΕΙΟ"</f>
        <v>ΟΛΥΜΠΟΥ 10 ΗΡΑΚΛΕΙΟ</v>
      </c>
      <c r="I993">
        <v>71307</v>
      </c>
      <c r="J993">
        <v>2810240314</v>
      </c>
      <c r="K993">
        <v>6945622410</v>
      </c>
      <c r="M993" t="s">
        <v>2445</v>
      </c>
      <c r="N993" t="s">
        <v>306</v>
      </c>
      <c r="O993" t="s">
        <v>307</v>
      </c>
      <c r="R993" t="s">
        <v>57</v>
      </c>
      <c r="S993">
        <v>7</v>
      </c>
      <c r="T993">
        <v>599</v>
      </c>
      <c r="U993" s="1">
        <v>39310</v>
      </c>
      <c r="V993" t="s">
        <v>123</v>
      </c>
      <c r="W993" t="s">
        <v>124</v>
      </c>
      <c r="X993" t="s">
        <v>58</v>
      </c>
      <c r="Y993">
        <v>21</v>
      </c>
      <c r="Z993" t="s">
        <v>59</v>
      </c>
      <c r="AA993" t="s">
        <v>59</v>
      </c>
      <c r="AB993" t="s">
        <v>59</v>
      </c>
      <c r="AC993" t="s">
        <v>59</v>
      </c>
      <c r="AD993" t="s">
        <v>59</v>
      </c>
      <c r="AF993" s="1">
        <v>39328</v>
      </c>
      <c r="AG993" t="s">
        <v>125</v>
      </c>
      <c r="AH993" t="s">
        <v>126</v>
      </c>
      <c r="AI993" t="str">
        <f>"1709010"</f>
        <v>1709010</v>
      </c>
      <c r="AJ993" t="s">
        <v>847</v>
      </c>
      <c r="AK993">
        <v>2894022227</v>
      </c>
      <c r="AL993" t="s">
        <v>848</v>
      </c>
      <c r="AM993" t="s">
        <v>78</v>
      </c>
      <c r="AN993" t="s">
        <v>405</v>
      </c>
      <c r="AO993" t="s">
        <v>406</v>
      </c>
      <c r="AP993" t="s">
        <v>406</v>
      </c>
      <c r="AQ993">
        <v>30</v>
      </c>
      <c r="AR993" t="s">
        <v>123</v>
      </c>
      <c r="AS993" t="s">
        <v>124</v>
      </c>
      <c r="AT993" t="s">
        <v>58</v>
      </c>
      <c r="AU993" t="s">
        <v>68</v>
      </c>
      <c r="AV993" t="s">
        <v>69</v>
      </c>
      <c r="AW993" s="1">
        <v>30574</v>
      </c>
      <c r="AX993">
        <v>2</v>
      </c>
    </row>
    <row r="994" spans="1:50">
      <c r="A994">
        <v>221779</v>
      </c>
      <c r="B994" t="str">
        <f>"101423962"</f>
        <v>101423962</v>
      </c>
      <c r="C994" t="s">
        <v>105</v>
      </c>
      <c r="D994" t="s">
        <v>2446</v>
      </c>
      <c r="E994" t="s">
        <v>154</v>
      </c>
      <c r="F994" t="s">
        <v>84</v>
      </c>
      <c r="G994" t="s">
        <v>600</v>
      </c>
      <c r="H994" t="str">
        <f>"ΒΑΛΗ "</f>
        <v xml:space="preserve">ΒΑΛΗ </v>
      </c>
      <c r="J994">
        <v>2892031130</v>
      </c>
      <c r="K994">
        <v>6932472885</v>
      </c>
      <c r="M994" t="s">
        <v>2447</v>
      </c>
      <c r="N994" t="s">
        <v>157</v>
      </c>
      <c r="O994" t="s">
        <v>158</v>
      </c>
      <c r="R994" t="s">
        <v>57</v>
      </c>
      <c r="S994">
        <v>5</v>
      </c>
      <c r="T994">
        <v>775</v>
      </c>
      <c r="U994" s="1">
        <v>39680</v>
      </c>
      <c r="V994" t="s">
        <v>123</v>
      </c>
      <c r="W994" t="s">
        <v>124</v>
      </c>
      <c r="X994" t="s">
        <v>58</v>
      </c>
      <c r="Y994">
        <v>21</v>
      </c>
      <c r="Z994" t="s">
        <v>59</v>
      </c>
      <c r="AA994" t="s">
        <v>59</v>
      </c>
      <c r="AB994" t="s">
        <v>59</v>
      </c>
      <c r="AC994" t="s">
        <v>59</v>
      </c>
      <c r="AD994" t="s">
        <v>59</v>
      </c>
      <c r="AF994" s="1">
        <v>39685</v>
      </c>
      <c r="AG994" t="s">
        <v>125</v>
      </c>
      <c r="AH994" t="s">
        <v>126</v>
      </c>
      <c r="AI994" t="str">
        <f>"1715010"</f>
        <v>1715010</v>
      </c>
      <c r="AJ994" t="s">
        <v>812</v>
      </c>
      <c r="AK994">
        <v>2893031193</v>
      </c>
      <c r="AL994" t="s">
        <v>813</v>
      </c>
      <c r="AM994" t="s">
        <v>78</v>
      </c>
      <c r="AN994" t="s">
        <v>405</v>
      </c>
      <c r="AO994" t="s">
        <v>805</v>
      </c>
      <c r="AP994" t="s">
        <v>806</v>
      </c>
      <c r="AQ994">
        <v>25</v>
      </c>
      <c r="AR994" t="s">
        <v>123</v>
      </c>
      <c r="AS994" t="s">
        <v>124</v>
      </c>
      <c r="AT994" t="s">
        <v>58</v>
      </c>
      <c r="AU994" t="s">
        <v>68</v>
      </c>
      <c r="AV994" t="s">
        <v>69</v>
      </c>
      <c r="AW994" s="1">
        <v>28355</v>
      </c>
      <c r="AX994">
        <v>2</v>
      </c>
    </row>
    <row r="995" spans="1:50">
      <c r="A995">
        <v>177249</v>
      </c>
      <c r="B995" t="str">
        <f>"064264344"</f>
        <v>064264344</v>
      </c>
      <c r="C995" t="s">
        <v>50</v>
      </c>
      <c r="D995" t="s">
        <v>2448</v>
      </c>
      <c r="E995" t="s">
        <v>1644</v>
      </c>
      <c r="F995" t="s">
        <v>72</v>
      </c>
      <c r="G995" t="s">
        <v>237</v>
      </c>
      <c r="H995" t="str">
        <f>" "</f>
        <v xml:space="preserve"> </v>
      </c>
      <c r="N995" t="s">
        <v>257</v>
      </c>
      <c r="O995" t="s">
        <v>258</v>
      </c>
      <c r="P995" t="s">
        <v>615</v>
      </c>
      <c r="Q995" t="s">
        <v>616</v>
      </c>
      <c r="R995" t="s">
        <v>57</v>
      </c>
      <c r="S995">
        <v>12</v>
      </c>
      <c r="T995">
        <v>180</v>
      </c>
      <c r="U995" s="1">
        <v>35674</v>
      </c>
      <c r="V995" t="s">
        <v>123</v>
      </c>
      <c r="W995" t="s">
        <v>124</v>
      </c>
      <c r="X995" t="s">
        <v>58</v>
      </c>
      <c r="Y995">
        <v>18</v>
      </c>
      <c r="Z995" t="s">
        <v>59</v>
      </c>
      <c r="AA995" t="s">
        <v>59</v>
      </c>
      <c r="AB995" t="s">
        <v>59</v>
      </c>
      <c r="AC995" t="s">
        <v>59</v>
      </c>
      <c r="AD995" t="s">
        <v>59</v>
      </c>
      <c r="AF995" s="1">
        <v>35674</v>
      </c>
      <c r="AG995" t="s">
        <v>148</v>
      </c>
      <c r="AH995" t="s">
        <v>149</v>
      </c>
      <c r="AI995" t="str">
        <f>"1751020"</f>
        <v>1751020</v>
      </c>
      <c r="AJ995" t="s">
        <v>532</v>
      </c>
      <c r="AK995">
        <v>2810372732</v>
      </c>
      <c r="AL995" t="s">
        <v>533</v>
      </c>
      <c r="AM995" t="s">
        <v>78</v>
      </c>
      <c r="AN995" t="s">
        <v>78</v>
      </c>
      <c r="AO995" t="s">
        <v>78</v>
      </c>
      <c r="AP995" t="s">
        <v>163</v>
      </c>
      <c r="AQ995">
        <v>3</v>
      </c>
      <c r="AR995" t="s">
        <v>123</v>
      </c>
      <c r="AS995" t="s">
        <v>124</v>
      </c>
      <c r="AT995" t="s">
        <v>58</v>
      </c>
      <c r="AU995" t="s">
        <v>68</v>
      </c>
      <c r="AV995" t="s">
        <v>69</v>
      </c>
      <c r="AW995" s="1">
        <v>22676</v>
      </c>
      <c r="AX995">
        <v>2</v>
      </c>
    </row>
    <row r="996" spans="1:50">
      <c r="A996">
        <v>195886</v>
      </c>
      <c r="B996" t="str">
        <f>"062485121"</f>
        <v>062485121</v>
      </c>
      <c r="C996" t="s">
        <v>50</v>
      </c>
      <c r="D996" t="s">
        <v>2448</v>
      </c>
      <c r="E996" t="s">
        <v>905</v>
      </c>
      <c r="F996" t="s">
        <v>106</v>
      </c>
      <c r="G996" t="s">
        <v>250</v>
      </c>
      <c r="H996" t="str">
        <f>"ΜΙΝΩΟΣ 14 ΗΡΑΚΛΕΙΟΥ"</f>
        <v>ΜΙΝΩΟΣ 14 ΗΡΑΚΛΕΙΟΥ</v>
      </c>
      <c r="I996">
        <v>71303</v>
      </c>
      <c r="J996">
        <v>2815007124</v>
      </c>
      <c r="K996">
        <v>6936842033</v>
      </c>
      <c r="M996" t="s">
        <v>2449</v>
      </c>
      <c r="N996" t="s">
        <v>176</v>
      </c>
      <c r="O996" t="s">
        <v>177</v>
      </c>
      <c r="R996" t="s">
        <v>57</v>
      </c>
      <c r="S996">
        <v>8</v>
      </c>
      <c r="T996">
        <v>194</v>
      </c>
      <c r="U996" s="1">
        <v>37497</v>
      </c>
      <c r="V996" t="s">
        <v>123</v>
      </c>
      <c r="W996" t="s">
        <v>124</v>
      </c>
      <c r="X996" t="s">
        <v>58</v>
      </c>
      <c r="Y996">
        <v>20</v>
      </c>
      <c r="Z996" t="s">
        <v>59</v>
      </c>
      <c r="AA996" t="s">
        <v>59</v>
      </c>
      <c r="AB996" t="s">
        <v>59</v>
      </c>
      <c r="AC996" t="s">
        <v>59</v>
      </c>
      <c r="AD996" t="s">
        <v>59</v>
      </c>
      <c r="AF996" s="1">
        <v>37501</v>
      </c>
      <c r="AG996" t="s">
        <v>148</v>
      </c>
      <c r="AH996" t="s">
        <v>149</v>
      </c>
      <c r="AI996" t="str">
        <f>"1760010"</f>
        <v>1760010</v>
      </c>
      <c r="AJ996" t="s">
        <v>701</v>
      </c>
      <c r="AK996">
        <v>2810711442</v>
      </c>
      <c r="AL996" t="s">
        <v>702</v>
      </c>
      <c r="AM996" t="s">
        <v>78</v>
      </c>
      <c r="AN996" t="s">
        <v>129</v>
      </c>
      <c r="AO996" t="s">
        <v>597</v>
      </c>
      <c r="AP996" t="s">
        <v>598</v>
      </c>
      <c r="AQ996">
        <v>28</v>
      </c>
      <c r="AR996" t="s">
        <v>123</v>
      </c>
      <c r="AS996" t="s">
        <v>124</v>
      </c>
      <c r="AT996" t="s">
        <v>58</v>
      </c>
      <c r="AU996" t="s">
        <v>68</v>
      </c>
      <c r="AV996" t="s">
        <v>69</v>
      </c>
      <c r="AW996" s="1">
        <v>26713</v>
      </c>
      <c r="AX996">
        <v>2</v>
      </c>
    </row>
    <row r="997" spans="1:50">
      <c r="A997">
        <v>198369</v>
      </c>
      <c r="B997" t="str">
        <f>"045863685"</f>
        <v>045863685</v>
      </c>
      <c r="C997" t="s">
        <v>105</v>
      </c>
      <c r="D997" t="s">
        <v>2450</v>
      </c>
      <c r="E997" t="s">
        <v>166</v>
      </c>
      <c r="F997" t="s">
        <v>900</v>
      </c>
      <c r="G997" t="s">
        <v>1108</v>
      </c>
      <c r="H997" t="str">
        <f>" "</f>
        <v xml:space="preserve"> </v>
      </c>
      <c r="J997">
        <v>2810283052</v>
      </c>
      <c r="K997">
        <v>6973239175</v>
      </c>
      <c r="N997" t="s">
        <v>478</v>
      </c>
      <c r="O997" t="s">
        <v>479</v>
      </c>
      <c r="R997" t="s">
        <v>57</v>
      </c>
      <c r="S997">
        <v>11</v>
      </c>
      <c r="T997">
        <v>206</v>
      </c>
      <c r="U997" s="1">
        <v>37866</v>
      </c>
      <c r="V997" t="s">
        <v>123</v>
      </c>
      <c r="W997" t="s">
        <v>124</v>
      </c>
      <c r="X997" t="s">
        <v>58</v>
      </c>
      <c r="Y997">
        <v>20</v>
      </c>
      <c r="Z997" t="s">
        <v>59</v>
      </c>
      <c r="AA997" t="s">
        <v>59</v>
      </c>
      <c r="AB997" t="s">
        <v>59</v>
      </c>
      <c r="AC997" t="s">
        <v>59</v>
      </c>
      <c r="AD997" t="s">
        <v>59</v>
      </c>
      <c r="AF997" s="1">
        <v>37866</v>
      </c>
      <c r="AG997" t="s">
        <v>125</v>
      </c>
      <c r="AH997" t="s">
        <v>126</v>
      </c>
      <c r="AI997" t="str">
        <f>"1701050"</f>
        <v>1701050</v>
      </c>
      <c r="AJ997" t="s">
        <v>660</v>
      </c>
      <c r="AK997">
        <v>2810220729</v>
      </c>
      <c r="AL997" t="s">
        <v>661</v>
      </c>
      <c r="AM997" t="s">
        <v>78</v>
      </c>
      <c r="AN997" t="s">
        <v>78</v>
      </c>
      <c r="AO997" t="s">
        <v>78</v>
      </c>
      <c r="AP997" t="s">
        <v>79</v>
      </c>
      <c r="AQ997">
        <v>1</v>
      </c>
      <c r="AR997" t="s">
        <v>123</v>
      </c>
      <c r="AS997" t="s">
        <v>124</v>
      </c>
      <c r="AT997" t="s">
        <v>58</v>
      </c>
      <c r="AU997" t="s">
        <v>68</v>
      </c>
      <c r="AV997" t="s">
        <v>69</v>
      </c>
      <c r="AW997" s="1">
        <v>25448</v>
      </c>
      <c r="AX997">
        <v>2</v>
      </c>
    </row>
    <row r="998" spans="1:50">
      <c r="A998">
        <v>169841</v>
      </c>
      <c r="B998" t="str">
        <f>"036381729"</f>
        <v>036381729</v>
      </c>
      <c r="C998" t="s">
        <v>50</v>
      </c>
      <c r="D998" t="s">
        <v>2451</v>
      </c>
      <c r="E998" t="s">
        <v>52</v>
      </c>
      <c r="F998" t="s">
        <v>377</v>
      </c>
      <c r="G998" t="s">
        <v>237</v>
      </c>
      <c r="H998" t="str">
        <f>"ΓΡ. ΛΑΜΠΡΑΚΗ 5 ΜΟΙΡΩΝ"</f>
        <v>ΓΡ. ΛΑΜΠΡΑΚΗ 5 ΜΟΙΡΩΝ</v>
      </c>
      <c r="I998">
        <v>70400</v>
      </c>
      <c r="J998">
        <v>2892022904</v>
      </c>
      <c r="K998">
        <v>6971929044</v>
      </c>
      <c r="M998" t="s">
        <v>2452</v>
      </c>
      <c r="N998" t="s">
        <v>146</v>
      </c>
      <c r="O998" t="s">
        <v>147</v>
      </c>
      <c r="R998" t="s">
        <v>57</v>
      </c>
      <c r="S998">
        <v>13</v>
      </c>
      <c r="T998">
        <v>184</v>
      </c>
      <c r="U998" s="1">
        <v>34941</v>
      </c>
      <c r="V998" t="s">
        <v>123</v>
      </c>
      <c r="W998" t="s">
        <v>124</v>
      </c>
      <c r="X998" t="s">
        <v>58</v>
      </c>
      <c r="Y998">
        <v>18</v>
      </c>
      <c r="Z998" t="s">
        <v>59</v>
      </c>
      <c r="AA998" t="s">
        <v>59</v>
      </c>
      <c r="AB998" t="s">
        <v>59</v>
      </c>
      <c r="AC998" t="s">
        <v>59</v>
      </c>
      <c r="AD998" t="s">
        <v>59</v>
      </c>
      <c r="AF998" s="1">
        <v>34947</v>
      </c>
      <c r="AG998" t="s">
        <v>125</v>
      </c>
      <c r="AH998" t="s">
        <v>126</v>
      </c>
      <c r="AI998" t="str">
        <f>"1706010"</f>
        <v>1706010</v>
      </c>
      <c r="AJ998" t="s">
        <v>391</v>
      </c>
      <c r="AK998">
        <v>2892022286</v>
      </c>
      <c r="AL998" t="s">
        <v>392</v>
      </c>
      <c r="AM998" t="s">
        <v>78</v>
      </c>
      <c r="AN998" t="s">
        <v>242</v>
      </c>
      <c r="AO998" t="s">
        <v>243</v>
      </c>
      <c r="AP998" t="s">
        <v>243</v>
      </c>
      <c r="AQ998">
        <v>33</v>
      </c>
      <c r="AR998" t="s">
        <v>123</v>
      </c>
      <c r="AS998" t="s">
        <v>124</v>
      </c>
      <c r="AT998" t="s">
        <v>58</v>
      </c>
      <c r="AU998" t="s">
        <v>68</v>
      </c>
      <c r="AV998" t="s">
        <v>69</v>
      </c>
      <c r="AW998" s="1">
        <v>23967</v>
      </c>
      <c r="AX998">
        <v>2</v>
      </c>
    </row>
    <row r="999" spans="1:50">
      <c r="A999">
        <v>196098</v>
      </c>
      <c r="B999" t="str">
        <f>"105663647"</f>
        <v>105663647</v>
      </c>
      <c r="C999" t="s">
        <v>50</v>
      </c>
      <c r="D999" t="s">
        <v>2451</v>
      </c>
      <c r="E999" t="s">
        <v>52</v>
      </c>
      <c r="F999" t="s">
        <v>106</v>
      </c>
      <c r="G999" t="s">
        <v>787</v>
      </c>
      <c r="H999" t="str">
        <f>"ΟΥΛΑΦ ΠΑΛΜΕ ΜΕΣΑΜΠΕΛΙΕΣ"</f>
        <v>ΟΥΛΑΦ ΠΑΛΜΕ ΜΕΣΑΜΠΕΛΙΕΣ</v>
      </c>
      <c r="J999">
        <v>2811754841</v>
      </c>
      <c r="K999">
        <v>6945470336</v>
      </c>
      <c r="M999" t="s">
        <v>2453</v>
      </c>
      <c r="N999" t="s">
        <v>204</v>
      </c>
      <c r="O999" t="s">
        <v>205</v>
      </c>
      <c r="R999" t="s">
        <v>57</v>
      </c>
      <c r="S999">
        <v>9</v>
      </c>
      <c r="T999">
        <v>194</v>
      </c>
      <c r="U999" s="1">
        <v>37497</v>
      </c>
      <c r="V999" t="s">
        <v>123</v>
      </c>
      <c r="W999" t="s">
        <v>124</v>
      </c>
      <c r="X999" t="s">
        <v>58</v>
      </c>
      <c r="Y999">
        <v>20</v>
      </c>
      <c r="Z999" t="s">
        <v>59</v>
      </c>
      <c r="AA999" t="s">
        <v>59</v>
      </c>
      <c r="AB999" t="s">
        <v>59</v>
      </c>
      <c r="AC999" t="s">
        <v>59</v>
      </c>
      <c r="AD999" t="s">
        <v>59</v>
      </c>
      <c r="AF999" s="1">
        <v>37501</v>
      </c>
      <c r="AG999" t="s">
        <v>148</v>
      </c>
      <c r="AH999" t="s">
        <v>149</v>
      </c>
      <c r="AI999" t="str">
        <f>"1751051"</f>
        <v>1751051</v>
      </c>
      <c r="AJ999" t="s">
        <v>259</v>
      </c>
      <c r="AK999">
        <v>2810251794</v>
      </c>
      <c r="AL999" t="s">
        <v>260</v>
      </c>
      <c r="AM999" t="s">
        <v>78</v>
      </c>
      <c r="AN999" t="s">
        <v>78</v>
      </c>
      <c r="AO999" t="s">
        <v>78</v>
      </c>
      <c r="AP999" t="s">
        <v>141</v>
      </c>
      <c r="AQ999">
        <v>7</v>
      </c>
      <c r="AR999" t="s">
        <v>123</v>
      </c>
      <c r="AS999" t="s">
        <v>124</v>
      </c>
      <c r="AT999" t="s">
        <v>58</v>
      </c>
      <c r="AU999" t="s">
        <v>68</v>
      </c>
      <c r="AV999" t="s">
        <v>69</v>
      </c>
      <c r="AW999" s="1">
        <v>27712</v>
      </c>
      <c r="AX999">
        <v>2</v>
      </c>
    </row>
    <row r="1000" spans="1:50">
      <c r="A1000">
        <v>222295</v>
      </c>
      <c r="B1000" t="str">
        <f>"046242842"</f>
        <v>046242842</v>
      </c>
      <c r="C1000" t="s">
        <v>50</v>
      </c>
      <c r="D1000" t="s">
        <v>2454</v>
      </c>
      <c r="E1000" t="s">
        <v>476</v>
      </c>
      <c r="F1000" t="s">
        <v>154</v>
      </c>
      <c r="G1000" t="s">
        <v>255</v>
      </c>
      <c r="H1000" t="str">
        <f>"ΑΛΚΗΝΗΣ 7 ΗΡΑΚΛΕΙΟ"</f>
        <v>ΑΛΚΗΝΗΣ 7 ΗΡΑΚΛΕΙΟ</v>
      </c>
      <c r="I1000">
        <v>71305</v>
      </c>
      <c r="J1000">
        <v>2810318548</v>
      </c>
      <c r="K1000">
        <v>6946388029</v>
      </c>
      <c r="M1000" t="s">
        <v>2455</v>
      </c>
      <c r="N1000" t="s">
        <v>146</v>
      </c>
      <c r="O1000" t="s">
        <v>147</v>
      </c>
      <c r="R1000" t="s">
        <v>57</v>
      </c>
      <c r="S1000">
        <v>7</v>
      </c>
      <c r="T1000">
        <v>775</v>
      </c>
      <c r="U1000" s="1">
        <v>39680</v>
      </c>
      <c r="V1000" t="s">
        <v>123</v>
      </c>
      <c r="W1000" t="s">
        <v>124</v>
      </c>
      <c r="X1000" t="s">
        <v>58</v>
      </c>
      <c r="Y1000">
        <v>21</v>
      </c>
      <c r="Z1000" t="s">
        <v>59</v>
      </c>
      <c r="AA1000" t="s">
        <v>59</v>
      </c>
      <c r="AB1000" t="s">
        <v>59</v>
      </c>
      <c r="AC1000" t="s">
        <v>59</v>
      </c>
      <c r="AD1000" t="s">
        <v>59</v>
      </c>
      <c r="AF1000" s="1">
        <v>39681</v>
      </c>
      <c r="AG1000" t="s">
        <v>125</v>
      </c>
      <c r="AH1000" t="s">
        <v>294</v>
      </c>
      <c r="AI1000" t="str">
        <f>"1701015"</f>
        <v>1701015</v>
      </c>
      <c r="AJ1000" t="s">
        <v>295</v>
      </c>
      <c r="AK1000">
        <v>2810761696</v>
      </c>
      <c r="AL1000" t="s">
        <v>296</v>
      </c>
      <c r="AM1000" t="s">
        <v>78</v>
      </c>
      <c r="AN1000" t="s">
        <v>219</v>
      </c>
      <c r="AO1000" t="s">
        <v>297</v>
      </c>
      <c r="AP1000" t="s">
        <v>297</v>
      </c>
      <c r="AQ1000">
        <v>10</v>
      </c>
      <c r="AR1000" t="s">
        <v>123</v>
      </c>
      <c r="AS1000" t="s">
        <v>124</v>
      </c>
      <c r="AT1000" t="s">
        <v>58</v>
      </c>
      <c r="AU1000" t="s">
        <v>68</v>
      </c>
      <c r="AV1000" t="s">
        <v>69</v>
      </c>
      <c r="AW1000" s="1">
        <v>25326</v>
      </c>
      <c r="AX1000">
        <v>2</v>
      </c>
    </row>
    <row r="1001" spans="1:50">
      <c r="A1001">
        <v>175911</v>
      </c>
      <c r="B1001" t="str">
        <f>"040506054"</f>
        <v>040506054</v>
      </c>
      <c r="C1001" t="s">
        <v>50</v>
      </c>
      <c r="D1001" t="s">
        <v>2454</v>
      </c>
      <c r="E1001" t="s">
        <v>83</v>
      </c>
      <c r="F1001" t="s">
        <v>53</v>
      </c>
      <c r="G1001" t="s">
        <v>513</v>
      </c>
      <c r="H1001" t="str">
        <f>"ΚΟΡΑΚΑ 133 ΜΟΙΡΕΣ "</f>
        <v xml:space="preserve">ΚΟΡΑΚΑ 133 ΜΟΙΡΕΣ </v>
      </c>
      <c r="I1001">
        <v>70400</v>
      </c>
      <c r="J1001">
        <v>2892022950</v>
      </c>
      <c r="K1001">
        <v>6979448095</v>
      </c>
      <c r="M1001" t="s">
        <v>2456</v>
      </c>
      <c r="N1001" t="s">
        <v>292</v>
      </c>
      <c r="O1001" t="s">
        <v>293</v>
      </c>
      <c r="R1001" t="s">
        <v>57</v>
      </c>
      <c r="S1001">
        <v>11</v>
      </c>
      <c r="T1001">
        <v>180</v>
      </c>
      <c r="U1001" s="1">
        <v>35674</v>
      </c>
      <c r="V1001" t="s">
        <v>123</v>
      </c>
      <c r="W1001" t="s">
        <v>124</v>
      </c>
      <c r="X1001" t="s">
        <v>58</v>
      </c>
      <c r="Y1001">
        <v>18</v>
      </c>
      <c r="Z1001" t="s">
        <v>59</v>
      </c>
      <c r="AA1001" t="s">
        <v>59</v>
      </c>
      <c r="AB1001" t="s">
        <v>59</v>
      </c>
      <c r="AC1001" t="s">
        <v>59</v>
      </c>
      <c r="AD1001" t="s">
        <v>59</v>
      </c>
      <c r="AF1001" s="1">
        <v>35681</v>
      </c>
      <c r="AG1001" t="s">
        <v>125</v>
      </c>
      <c r="AH1001" t="s">
        <v>126</v>
      </c>
      <c r="AI1001" t="str">
        <f>"1706010"</f>
        <v>1706010</v>
      </c>
      <c r="AJ1001" t="s">
        <v>391</v>
      </c>
      <c r="AK1001">
        <v>2892022286</v>
      </c>
      <c r="AL1001" t="s">
        <v>392</v>
      </c>
      <c r="AM1001" t="s">
        <v>78</v>
      </c>
      <c r="AN1001" t="s">
        <v>242</v>
      </c>
      <c r="AO1001" t="s">
        <v>243</v>
      </c>
      <c r="AP1001" t="s">
        <v>243</v>
      </c>
      <c r="AQ1001">
        <v>33</v>
      </c>
      <c r="AR1001" t="s">
        <v>123</v>
      </c>
      <c r="AS1001" t="s">
        <v>124</v>
      </c>
      <c r="AT1001" t="s">
        <v>58</v>
      </c>
      <c r="AU1001" t="s">
        <v>68</v>
      </c>
      <c r="AV1001" t="s">
        <v>69</v>
      </c>
      <c r="AW1001" s="1">
        <v>22226</v>
      </c>
      <c r="AX1001">
        <v>2</v>
      </c>
    </row>
    <row r="1002" spans="1:50">
      <c r="A1002">
        <v>204941</v>
      </c>
      <c r="B1002" t="str">
        <f>"036141457"</f>
        <v>036141457</v>
      </c>
      <c r="C1002" t="s">
        <v>50</v>
      </c>
      <c r="D1002" t="s">
        <v>2454</v>
      </c>
      <c r="E1002" t="s">
        <v>681</v>
      </c>
      <c r="F1002" t="s">
        <v>408</v>
      </c>
      <c r="G1002" t="s">
        <v>96</v>
      </c>
      <c r="H1002" t="str">
        <f>" "</f>
        <v xml:space="preserve"> </v>
      </c>
      <c r="J1002">
        <v>2810316759</v>
      </c>
      <c r="K1002">
        <v>6972826949</v>
      </c>
      <c r="M1002" t="s">
        <v>2457</v>
      </c>
      <c r="N1002" t="s">
        <v>1351</v>
      </c>
      <c r="O1002" t="s">
        <v>1352</v>
      </c>
      <c r="R1002" t="s">
        <v>57</v>
      </c>
      <c r="S1002">
        <v>14</v>
      </c>
      <c r="T1002">
        <v>231</v>
      </c>
      <c r="U1002" s="1">
        <v>38230</v>
      </c>
      <c r="V1002" t="s">
        <v>123</v>
      </c>
      <c r="W1002" t="s">
        <v>124</v>
      </c>
      <c r="X1002" t="s">
        <v>58</v>
      </c>
      <c r="Y1002">
        <v>20</v>
      </c>
      <c r="Z1002" t="s">
        <v>59</v>
      </c>
      <c r="AA1002" t="s">
        <v>59</v>
      </c>
      <c r="AB1002" t="s">
        <v>59</v>
      </c>
      <c r="AC1002" t="s">
        <v>59</v>
      </c>
      <c r="AD1002" t="s">
        <v>59</v>
      </c>
      <c r="AF1002" s="1">
        <v>38232</v>
      </c>
      <c r="AG1002" t="s">
        <v>137</v>
      </c>
      <c r="AH1002" t="s">
        <v>138</v>
      </c>
      <c r="AI1002" t="str">
        <f>"1740100"</f>
        <v>1740100</v>
      </c>
      <c r="AJ1002" t="s">
        <v>857</v>
      </c>
      <c r="AK1002">
        <v>2810360741</v>
      </c>
      <c r="AL1002" t="s">
        <v>858</v>
      </c>
      <c r="AM1002" t="s">
        <v>78</v>
      </c>
      <c r="AN1002" t="s">
        <v>78</v>
      </c>
      <c r="AO1002" t="s">
        <v>78</v>
      </c>
      <c r="AP1002" t="s">
        <v>163</v>
      </c>
      <c r="AQ1002">
        <v>5</v>
      </c>
      <c r="AR1002" t="s">
        <v>123</v>
      </c>
      <c r="AS1002" t="s">
        <v>124</v>
      </c>
      <c r="AT1002" t="s">
        <v>58</v>
      </c>
      <c r="AU1002" t="s">
        <v>68</v>
      </c>
      <c r="AV1002" t="s">
        <v>69</v>
      </c>
      <c r="AW1002" s="1">
        <v>24108</v>
      </c>
      <c r="AX1002">
        <v>2</v>
      </c>
    </row>
    <row r="1003" spans="1:50">
      <c r="A1003">
        <v>187699</v>
      </c>
      <c r="B1003" t="str">
        <f>"066318186"</f>
        <v>066318186</v>
      </c>
      <c r="C1003" t="s">
        <v>105</v>
      </c>
      <c r="D1003" t="s">
        <v>2458</v>
      </c>
      <c r="E1003" t="s">
        <v>383</v>
      </c>
      <c r="F1003" t="s">
        <v>53</v>
      </c>
      <c r="G1003" t="s">
        <v>513</v>
      </c>
      <c r="H1003" t="str">
        <f>" "</f>
        <v xml:space="preserve"> </v>
      </c>
      <c r="M1003" t="s">
        <v>2459</v>
      </c>
      <c r="N1003" t="s">
        <v>204</v>
      </c>
      <c r="O1003" t="s">
        <v>205</v>
      </c>
      <c r="R1003" t="s">
        <v>57</v>
      </c>
      <c r="S1003">
        <v>10</v>
      </c>
      <c r="T1003">
        <v>251</v>
      </c>
      <c r="U1003" s="1">
        <v>36769</v>
      </c>
      <c r="V1003" t="s">
        <v>123</v>
      </c>
      <c r="W1003" t="s">
        <v>124</v>
      </c>
      <c r="X1003" t="s">
        <v>58</v>
      </c>
      <c r="Y1003">
        <v>20</v>
      </c>
      <c r="Z1003" t="s">
        <v>59</v>
      </c>
      <c r="AA1003" t="s">
        <v>59</v>
      </c>
      <c r="AB1003" t="s">
        <v>59</v>
      </c>
      <c r="AC1003" t="s">
        <v>59</v>
      </c>
      <c r="AD1003" t="s">
        <v>59</v>
      </c>
      <c r="AF1003" s="1">
        <v>36770</v>
      </c>
      <c r="AG1003" t="s">
        <v>137</v>
      </c>
      <c r="AH1003" t="s">
        <v>469</v>
      </c>
      <c r="AI1003" t="str">
        <f>"1740200"</f>
        <v>1740200</v>
      </c>
      <c r="AJ1003" t="s">
        <v>470</v>
      </c>
      <c r="AK1003">
        <v>2810320770</v>
      </c>
      <c r="AL1003" t="s">
        <v>471</v>
      </c>
      <c r="AM1003" t="s">
        <v>78</v>
      </c>
      <c r="AN1003" t="s">
        <v>78</v>
      </c>
      <c r="AO1003" t="s">
        <v>78</v>
      </c>
      <c r="AP1003" t="s">
        <v>163</v>
      </c>
      <c r="AQ1003">
        <v>2</v>
      </c>
      <c r="AR1003" t="s">
        <v>123</v>
      </c>
      <c r="AS1003" t="s">
        <v>124</v>
      </c>
      <c r="AT1003" t="s">
        <v>58</v>
      </c>
      <c r="AU1003" t="s">
        <v>68</v>
      </c>
      <c r="AV1003" t="s">
        <v>69</v>
      </c>
      <c r="AW1003" s="1">
        <v>26800</v>
      </c>
      <c r="AX1003">
        <v>2</v>
      </c>
    </row>
    <row r="1004" spans="1:50">
      <c r="A1004">
        <v>153146</v>
      </c>
      <c r="B1004" t="str">
        <f>"028715851"</f>
        <v>028715851</v>
      </c>
      <c r="C1004" t="s">
        <v>105</v>
      </c>
      <c r="D1004" t="s">
        <v>2458</v>
      </c>
      <c r="E1004" t="s">
        <v>2460</v>
      </c>
      <c r="F1004" t="s">
        <v>53</v>
      </c>
      <c r="G1004" t="s">
        <v>513</v>
      </c>
      <c r="H1004" t="str">
        <f>"ΜΟΙΡΕΣ ΜΟΙΡΕΣ"</f>
        <v>ΜΟΙΡΕΣ ΜΟΙΡΕΣ</v>
      </c>
      <c r="I1004">
        <v>70400</v>
      </c>
      <c r="J1004">
        <v>2892022349</v>
      </c>
      <c r="K1004">
        <v>6973021533</v>
      </c>
      <c r="M1004" t="s">
        <v>2461</v>
      </c>
      <c r="N1004" t="s">
        <v>232</v>
      </c>
      <c r="O1004" t="s">
        <v>233</v>
      </c>
      <c r="R1004" t="s">
        <v>57</v>
      </c>
      <c r="S1004">
        <v>15</v>
      </c>
      <c r="T1004">
        <v>166</v>
      </c>
      <c r="U1004" s="1">
        <v>32010</v>
      </c>
      <c r="V1004" t="s">
        <v>123</v>
      </c>
      <c r="W1004" t="s">
        <v>124</v>
      </c>
      <c r="X1004" t="s">
        <v>58</v>
      </c>
      <c r="Y1004">
        <v>18</v>
      </c>
      <c r="Z1004" t="s">
        <v>59</v>
      </c>
      <c r="AA1004" t="s">
        <v>59</v>
      </c>
      <c r="AB1004" t="s">
        <v>59</v>
      </c>
      <c r="AC1004" t="s">
        <v>59</v>
      </c>
      <c r="AD1004" t="s">
        <v>59</v>
      </c>
      <c r="AF1004" s="1">
        <v>32023</v>
      </c>
      <c r="AG1004" t="s">
        <v>148</v>
      </c>
      <c r="AH1004" t="s">
        <v>149</v>
      </c>
      <c r="AI1004" t="str">
        <f>"1763010"</f>
        <v>1763010</v>
      </c>
      <c r="AJ1004" t="s">
        <v>560</v>
      </c>
      <c r="AK1004">
        <v>2892051146</v>
      </c>
      <c r="AL1004" t="s">
        <v>561</v>
      </c>
      <c r="AM1004" t="s">
        <v>78</v>
      </c>
      <c r="AN1004" t="s">
        <v>242</v>
      </c>
      <c r="AO1004" t="s">
        <v>349</v>
      </c>
      <c r="AP1004" t="s">
        <v>349</v>
      </c>
      <c r="AQ1004">
        <v>35</v>
      </c>
      <c r="AR1004" t="s">
        <v>123</v>
      </c>
      <c r="AS1004" t="s">
        <v>124</v>
      </c>
      <c r="AT1004" t="s">
        <v>58</v>
      </c>
      <c r="AU1004" t="s">
        <v>68</v>
      </c>
      <c r="AV1004" t="s">
        <v>69</v>
      </c>
      <c r="AW1004" s="1">
        <v>20942</v>
      </c>
      <c r="AX1004">
        <v>2</v>
      </c>
    </row>
    <row r="1005" spans="1:50">
      <c r="A1005">
        <v>155281</v>
      </c>
      <c r="B1005" t="str">
        <f>"027670357"</f>
        <v>027670357</v>
      </c>
      <c r="C1005" t="s">
        <v>105</v>
      </c>
      <c r="D1005" t="s">
        <v>2462</v>
      </c>
      <c r="E1005" t="s">
        <v>95</v>
      </c>
      <c r="F1005" t="s">
        <v>760</v>
      </c>
      <c r="G1005" t="s">
        <v>2463</v>
      </c>
      <c r="H1005" t="str">
        <f>"ΠΑΡΘΕΝΩΝΟΣ 11 ΗΡΑΚΛΕΙΟΥ"</f>
        <v>ΠΑΡΘΕΝΩΝΟΣ 11 ΗΡΑΚΛΕΙΟΥ</v>
      </c>
      <c r="I1005">
        <v>71409</v>
      </c>
      <c r="J1005">
        <v>2810238191</v>
      </c>
      <c r="K1005">
        <v>6977391337</v>
      </c>
      <c r="M1005" t="s">
        <v>2464</v>
      </c>
      <c r="N1005" t="s">
        <v>168</v>
      </c>
      <c r="O1005" t="s">
        <v>169</v>
      </c>
      <c r="R1005" t="s">
        <v>57</v>
      </c>
      <c r="S1005">
        <v>19</v>
      </c>
      <c r="T1005">
        <v>161</v>
      </c>
      <c r="U1005" s="1">
        <v>32387</v>
      </c>
      <c r="V1005" t="s">
        <v>123</v>
      </c>
      <c r="W1005" t="s">
        <v>124</v>
      </c>
      <c r="X1005" t="s">
        <v>58</v>
      </c>
      <c r="Y1005">
        <v>18</v>
      </c>
      <c r="Z1005" t="s">
        <v>59</v>
      </c>
      <c r="AA1005" t="s">
        <v>59</v>
      </c>
      <c r="AB1005" t="s">
        <v>59</v>
      </c>
      <c r="AC1005" t="s">
        <v>59</v>
      </c>
      <c r="AD1005" t="s">
        <v>59</v>
      </c>
      <c r="AF1005" s="1">
        <v>32391</v>
      </c>
      <c r="AG1005" t="s">
        <v>137</v>
      </c>
      <c r="AH1005" t="s">
        <v>138</v>
      </c>
      <c r="AI1005" t="str">
        <f>"1750080"</f>
        <v>1750080</v>
      </c>
      <c r="AJ1005" t="s">
        <v>170</v>
      </c>
      <c r="AK1005">
        <v>2810234444</v>
      </c>
      <c r="AL1005" t="s">
        <v>171</v>
      </c>
      <c r="AM1005" t="s">
        <v>78</v>
      </c>
      <c r="AN1005" t="s">
        <v>78</v>
      </c>
      <c r="AO1005" t="s">
        <v>78</v>
      </c>
      <c r="AP1005" t="s">
        <v>163</v>
      </c>
      <c r="AQ1005">
        <v>9</v>
      </c>
      <c r="AR1005" t="s">
        <v>123</v>
      </c>
      <c r="AS1005" t="s">
        <v>124</v>
      </c>
      <c r="AT1005" t="s">
        <v>58</v>
      </c>
      <c r="AU1005" t="s">
        <v>68</v>
      </c>
      <c r="AV1005" t="s">
        <v>69</v>
      </c>
      <c r="AW1005" s="1">
        <v>20524</v>
      </c>
      <c r="AX1005">
        <v>2</v>
      </c>
    </row>
    <row r="1006" spans="1:50">
      <c r="A1006">
        <v>164063</v>
      </c>
      <c r="B1006" t="str">
        <f>"033161395"</f>
        <v>033161395</v>
      </c>
      <c r="C1006" t="s">
        <v>50</v>
      </c>
      <c r="D1006" t="s">
        <v>2465</v>
      </c>
      <c r="E1006" t="s">
        <v>237</v>
      </c>
      <c r="F1006" t="s">
        <v>72</v>
      </c>
      <c r="G1006" t="s">
        <v>2466</v>
      </c>
      <c r="H1006" t="str">
        <f>"ΕΜΜ. ΖΑΧΑΡΙΟΥΔΑΚΗ 12 ΜΑΣΤΑΜΠΑΣ"</f>
        <v>ΕΜΜ. ΖΑΧΑΡΙΟΥΔΑΚΗ 12 ΜΑΣΤΑΜΠΑΣ</v>
      </c>
      <c r="I1006">
        <v>71305</v>
      </c>
      <c r="J1006">
        <v>2810237292</v>
      </c>
      <c r="K1006">
        <v>6977620287</v>
      </c>
      <c r="L1006">
        <v>2810234488</v>
      </c>
      <c r="M1006" t="s">
        <v>2467</v>
      </c>
      <c r="N1006" t="s">
        <v>146</v>
      </c>
      <c r="O1006" t="s">
        <v>147</v>
      </c>
      <c r="R1006" t="s">
        <v>57</v>
      </c>
      <c r="S1006">
        <v>18</v>
      </c>
      <c r="T1006">
        <v>161</v>
      </c>
      <c r="U1006" s="1">
        <v>33844</v>
      </c>
      <c r="V1006" t="s">
        <v>123</v>
      </c>
      <c r="W1006" t="s">
        <v>124</v>
      </c>
      <c r="X1006" t="s">
        <v>58</v>
      </c>
      <c r="Y1006">
        <v>18</v>
      </c>
      <c r="Z1006" t="s">
        <v>59</v>
      </c>
      <c r="AA1006" t="s">
        <v>59</v>
      </c>
      <c r="AB1006" t="s">
        <v>59</v>
      </c>
      <c r="AC1006" t="s">
        <v>59</v>
      </c>
      <c r="AD1006" t="s">
        <v>59</v>
      </c>
      <c r="AF1006" s="1">
        <v>33850</v>
      </c>
      <c r="AG1006" t="s">
        <v>125</v>
      </c>
      <c r="AH1006" t="s">
        <v>126</v>
      </c>
      <c r="AI1006" t="str">
        <f>"1701057"</f>
        <v>1701057</v>
      </c>
      <c r="AJ1006" t="s">
        <v>379</v>
      </c>
      <c r="AK1006">
        <v>2810234488</v>
      </c>
      <c r="AL1006" t="s">
        <v>380</v>
      </c>
      <c r="AM1006" t="s">
        <v>78</v>
      </c>
      <c r="AN1006" t="s">
        <v>78</v>
      </c>
      <c r="AO1006" t="s">
        <v>78</v>
      </c>
      <c r="AP1006" t="s">
        <v>163</v>
      </c>
      <c r="AQ1006">
        <v>8</v>
      </c>
      <c r="AR1006" t="s">
        <v>123</v>
      </c>
      <c r="AS1006" t="s">
        <v>124</v>
      </c>
      <c r="AT1006" t="s">
        <v>58</v>
      </c>
      <c r="AU1006" t="s">
        <v>68</v>
      </c>
      <c r="AV1006" t="s">
        <v>69</v>
      </c>
      <c r="AW1006" s="1">
        <v>22642</v>
      </c>
      <c r="AX1006">
        <v>2</v>
      </c>
    </row>
    <row r="1007" spans="1:50">
      <c r="A1007">
        <v>140976</v>
      </c>
      <c r="B1007" t="str">
        <f>"062835820"</f>
        <v>062835820</v>
      </c>
      <c r="C1007" t="s">
        <v>50</v>
      </c>
      <c r="D1007" t="s">
        <v>2468</v>
      </c>
      <c r="E1007" t="s">
        <v>372</v>
      </c>
      <c r="F1007" t="s">
        <v>2469</v>
      </c>
      <c r="G1007" t="s">
        <v>237</v>
      </c>
      <c r="H1007" t="str">
        <f>"ΑΓ. ΜΥΡΩΝΑΣ "</f>
        <v xml:space="preserve">ΑΓ. ΜΥΡΩΝΑΣ </v>
      </c>
      <c r="I1007">
        <v>70013</v>
      </c>
      <c r="J1007">
        <v>2810721798</v>
      </c>
      <c r="K1007">
        <v>6978220779</v>
      </c>
      <c r="M1007" t="s">
        <v>2470</v>
      </c>
      <c r="N1007" t="s">
        <v>292</v>
      </c>
      <c r="O1007" t="s">
        <v>293</v>
      </c>
      <c r="R1007" t="s">
        <v>57</v>
      </c>
      <c r="S1007">
        <v>18</v>
      </c>
      <c r="T1007">
        <v>331</v>
      </c>
      <c r="U1007" s="1">
        <v>30253</v>
      </c>
      <c r="V1007" t="s">
        <v>123</v>
      </c>
      <c r="W1007" t="s">
        <v>124</v>
      </c>
      <c r="X1007" t="s">
        <v>58</v>
      </c>
      <c r="Y1007">
        <v>18</v>
      </c>
      <c r="Z1007" t="s">
        <v>59</v>
      </c>
      <c r="AA1007" t="s">
        <v>59</v>
      </c>
      <c r="AB1007" t="s">
        <v>59</v>
      </c>
      <c r="AC1007" t="s">
        <v>59</v>
      </c>
      <c r="AD1007" t="s">
        <v>59</v>
      </c>
      <c r="AF1007" s="1">
        <v>30253</v>
      </c>
      <c r="AG1007" t="s">
        <v>148</v>
      </c>
      <c r="AH1007" t="s">
        <v>149</v>
      </c>
      <c r="AI1007" t="str">
        <f>"1751080"</f>
        <v>1751080</v>
      </c>
      <c r="AJ1007" t="s">
        <v>1395</v>
      </c>
      <c r="AK1007">
        <v>2810721380</v>
      </c>
      <c r="AL1007" t="s">
        <v>1396</v>
      </c>
      <c r="AM1007" t="s">
        <v>78</v>
      </c>
      <c r="AN1007" t="s">
        <v>78</v>
      </c>
      <c r="AO1007" t="s">
        <v>185</v>
      </c>
      <c r="AP1007" t="s">
        <v>186</v>
      </c>
      <c r="AQ1007">
        <v>29</v>
      </c>
      <c r="AR1007" t="s">
        <v>123</v>
      </c>
      <c r="AS1007" t="s">
        <v>124</v>
      </c>
      <c r="AT1007" t="s">
        <v>58</v>
      </c>
      <c r="AU1007" t="s">
        <v>68</v>
      </c>
      <c r="AV1007" t="s">
        <v>69</v>
      </c>
      <c r="AW1007" s="1">
        <v>20277</v>
      </c>
      <c r="AX1007">
        <v>2</v>
      </c>
    </row>
    <row r="1008" spans="1:50">
      <c r="A1008">
        <v>202891</v>
      </c>
      <c r="B1008" t="str">
        <f>"118900437"</f>
        <v>118900437</v>
      </c>
      <c r="C1008" t="s">
        <v>50</v>
      </c>
      <c r="D1008" t="s">
        <v>2471</v>
      </c>
      <c r="E1008" t="s">
        <v>263</v>
      </c>
      <c r="F1008" t="s">
        <v>670</v>
      </c>
      <c r="G1008" t="s">
        <v>910</v>
      </c>
      <c r="H1008" t="str">
        <f>"ΣΤΕΦΑΝΟΥ ΦΟΙΝΙΤΣΗ 46  ΚΟΡΑΚΟΒΟΥΝΙ"</f>
        <v>ΣΤΕΦΑΝΟΥ ΦΟΙΝΙΤΣΗ 46  ΚΟΡΑΚΟΒΟΥΝΙ</v>
      </c>
      <c r="I1008">
        <v>71500</v>
      </c>
      <c r="J1008">
        <v>2815101226</v>
      </c>
      <c r="K1008">
        <v>6976910541</v>
      </c>
      <c r="L1008">
        <v>2810234488</v>
      </c>
      <c r="M1008" t="s">
        <v>2472</v>
      </c>
      <c r="N1008" t="s">
        <v>246</v>
      </c>
      <c r="O1008" t="s">
        <v>247</v>
      </c>
      <c r="R1008" t="s">
        <v>57</v>
      </c>
      <c r="S1008">
        <v>7</v>
      </c>
      <c r="T1008">
        <v>231</v>
      </c>
      <c r="U1008" s="1">
        <v>38230</v>
      </c>
      <c r="V1008" t="s">
        <v>123</v>
      </c>
      <c r="W1008" t="s">
        <v>124</v>
      </c>
      <c r="X1008" t="s">
        <v>58</v>
      </c>
      <c r="Y1008">
        <v>20</v>
      </c>
      <c r="Z1008" t="s">
        <v>59</v>
      </c>
      <c r="AA1008" t="s">
        <v>59</v>
      </c>
      <c r="AB1008" t="s">
        <v>59</v>
      </c>
      <c r="AC1008" t="s">
        <v>59</v>
      </c>
      <c r="AD1008" t="s">
        <v>59</v>
      </c>
      <c r="AF1008" s="1">
        <v>38231</v>
      </c>
      <c r="AG1008" t="s">
        <v>125</v>
      </c>
      <c r="AH1008" t="s">
        <v>126</v>
      </c>
      <c r="AI1008" t="str">
        <f>"1701057"</f>
        <v>1701057</v>
      </c>
      <c r="AJ1008" t="s">
        <v>379</v>
      </c>
      <c r="AK1008">
        <v>2810234488</v>
      </c>
      <c r="AL1008" t="s">
        <v>380</v>
      </c>
      <c r="AM1008" t="s">
        <v>78</v>
      </c>
      <c r="AN1008" t="s">
        <v>78</v>
      </c>
      <c r="AO1008" t="s">
        <v>78</v>
      </c>
      <c r="AP1008" t="s">
        <v>163</v>
      </c>
      <c r="AQ1008">
        <v>8</v>
      </c>
      <c r="AR1008" t="s">
        <v>123</v>
      </c>
      <c r="AS1008" t="s">
        <v>124</v>
      </c>
      <c r="AT1008" t="s">
        <v>58</v>
      </c>
      <c r="AU1008" t="s">
        <v>68</v>
      </c>
      <c r="AV1008" t="s">
        <v>69</v>
      </c>
      <c r="AW1008" s="1">
        <v>28055</v>
      </c>
      <c r="AX1008">
        <v>2</v>
      </c>
    </row>
    <row r="1009" spans="1:50">
      <c r="A1009">
        <v>153638</v>
      </c>
      <c r="B1009" t="str">
        <f>"028569610"</f>
        <v>028569610</v>
      </c>
      <c r="C1009" t="s">
        <v>50</v>
      </c>
      <c r="D1009" t="s">
        <v>2473</v>
      </c>
      <c r="E1009" t="s">
        <v>2474</v>
      </c>
      <c r="F1009" t="s">
        <v>95</v>
      </c>
      <c r="G1009" t="s">
        <v>755</v>
      </c>
      <c r="H1009" t="str">
        <f>"ΑΡΙΣΤΟΦΑΝΟΥΣ 3 ΓΑΖΙ"</f>
        <v>ΑΡΙΣΤΟΦΑΝΟΥΣ 3 ΓΑΖΙ</v>
      </c>
      <c r="J1009">
        <v>2810261917</v>
      </c>
      <c r="K1009">
        <v>6988379805</v>
      </c>
      <c r="M1009" t="s">
        <v>2475</v>
      </c>
      <c r="N1009" t="s">
        <v>306</v>
      </c>
      <c r="O1009" t="s">
        <v>307</v>
      </c>
      <c r="R1009" t="s">
        <v>57</v>
      </c>
      <c r="S1009">
        <v>14</v>
      </c>
      <c r="T1009">
        <v>139</v>
      </c>
      <c r="U1009" s="1">
        <v>32366</v>
      </c>
      <c r="V1009" t="s">
        <v>123</v>
      </c>
      <c r="W1009" t="s">
        <v>124</v>
      </c>
      <c r="X1009" t="s">
        <v>58</v>
      </c>
      <c r="Y1009">
        <v>18</v>
      </c>
      <c r="Z1009" t="s">
        <v>59</v>
      </c>
      <c r="AA1009" t="s">
        <v>59</v>
      </c>
      <c r="AB1009" t="s">
        <v>59</v>
      </c>
      <c r="AC1009" t="s">
        <v>59</v>
      </c>
      <c r="AD1009" t="s">
        <v>59</v>
      </c>
      <c r="AF1009" s="1">
        <v>32391</v>
      </c>
      <c r="AG1009" t="s">
        <v>125</v>
      </c>
      <c r="AH1009" t="s">
        <v>126</v>
      </c>
      <c r="AI1009" t="str">
        <f>"1701054"</f>
        <v>1701054</v>
      </c>
      <c r="AJ1009" t="s">
        <v>318</v>
      </c>
      <c r="AK1009">
        <v>2810252418</v>
      </c>
      <c r="AL1009" t="s">
        <v>319</v>
      </c>
      <c r="AM1009" t="s">
        <v>78</v>
      </c>
      <c r="AN1009" t="s">
        <v>78</v>
      </c>
      <c r="AO1009" t="s">
        <v>78</v>
      </c>
      <c r="AP1009" t="s">
        <v>141</v>
      </c>
      <c r="AQ1009">
        <v>7</v>
      </c>
      <c r="AR1009" t="s">
        <v>123</v>
      </c>
      <c r="AS1009" t="s">
        <v>124</v>
      </c>
      <c r="AT1009" t="s">
        <v>58</v>
      </c>
      <c r="AU1009" t="s">
        <v>68</v>
      </c>
      <c r="AV1009" t="s">
        <v>69</v>
      </c>
      <c r="AW1009" s="1">
        <v>22397</v>
      </c>
      <c r="AX1009">
        <v>2</v>
      </c>
    </row>
    <row r="1010" spans="1:50">
      <c r="A1010">
        <v>201682</v>
      </c>
      <c r="B1010" t="str">
        <f>"055293840"</f>
        <v>055293840</v>
      </c>
      <c r="C1010" t="s">
        <v>50</v>
      </c>
      <c r="D1010" t="s">
        <v>2476</v>
      </c>
      <c r="E1010" t="s">
        <v>181</v>
      </c>
      <c r="F1010" t="s">
        <v>166</v>
      </c>
      <c r="G1010" t="s">
        <v>52</v>
      </c>
      <c r="H1010" t="str">
        <f>"ΔΑΜΑΣΚΗΝΟΥ 24 ΜΑΣΤΑΜΠΑΣ"</f>
        <v>ΔΑΜΑΣΚΗΝΟΥ 24 ΜΑΣΤΑΜΠΑΣ</v>
      </c>
      <c r="I1010">
        <v>71305</v>
      </c>
      <c r="J1010">
        <v>2810261759</v>
      </c>
      <c r="K1010">
        <v>6976902445</v>
      </c>
      <c r="N1010" t="s">
        <v>146</v>
      </c>
      <c r="O1010" t="s">
        <v>147</v>
      </c>
      <c r="R1010" t="s">
        <v>57</v>
      </c>
      <c r="S1010">
        <v>14</v>
      </c>
      <c r="T1010">
        <v>231</v>
      </c>
      <c r="U1010" s="1">
        <v>38230</v>
      </c>
      <c r="V1010" t="s">
        <v>123</v>
      </c>
      <c r="W1010" t="s">
        <v>124</v>
      </c>
      <c r="X1010" t="s">
        <v>58</v>
      </c>
      <c r="Y1010">
        <v>20</v>
      </c>
      <c r="Z1010" t="s">
        <v>59</v>
      </c>
      <c r="AA1010" t="s">
        <v>59</v>
      </c>
      <c r="AB1010" t="s">
        <v>59</v>
      </c>
      <c r="AC1010" t="s">
        <v>59</v>
      </c>
      <c r="AD1010" t="s">
        <v>59</v>
      </c>
      <c r="AF1010" s="1">
        <v>38232</v>
      </c>
      <c r="AG1010" t="s">
        <v>125</v>
      </c>
      <c r="AH1010" t="s">
        <v>126</v>
      </c>
      <c r="AI1010" t="str">
        <f>"1701056"</f>
        <v>1701056</v>
      </c>
      <c r="AJ1010" t="s">
        <v>211</v>
      </c>
      <c r="AK1010">
        <v>2810245445</v>
      </c>
      <c r="AL1010" t="s">
        <v>212</v>
      </c>
      <c r="AM1010" t="s">
        <v>78</v>
      </c>
      <c r="AN1010" t="s">
        <v>78</v>
      </c>
      <c r="AO1010" t="s">
        <v>78</v>
      </c>
      <c r="AP1010" t="s">
        <v>213</v>
      </c>
      <c r="AQ1010">
        <v>6</v>
      </c>
      <c r="AR1010" t="s">
        <v>123</v>
      </c>
      <c r="AS1010" t="s">
        <v>124</v>
      </c>
      <c r="AT1010" t="s">
        <v>58</v>
      </c>
      <c r="AU1010" t="s">
        <v>68</v>
      </c>
      <c r="AV1010" t="s">
        <v>69</v>
      </c>
      <c r="AW1010" s="1">
        <v>24914</v>
      </c>
      <c r="AX1010">
        <v>2</v>
      </c>
    </row>
    <row r="1011" spans="1:50">
      <c r="A1011">
        <v>218468</v>
      </c>
      <c r="B1011" t="str">
        <f>"120506472"</f>
        <v>120506472</v>
      </c>
      <c r="C1011" t="s">
        <v>50</v>
      </c>
      <c r="D1011" t="s">
        <v>2477</v>
      </c>
      <c r="E1011" t="s">
        <v>250</v>
      </c>
      <c r="F1011" t="s">
        <v>72</v>
      </c>
      <c r="G1011" t="s">
        <v>237</v>
      </c>
      <c r="H1011" t="str">
        <f>"Π. ΚΕΛΑΪΔΗ 32 ΗΡΑΚΛΕΙΟ"</f>
        <v>Π. ΚΕΛΑΪΔΗ 32 ΗΡΑΚΛΕΙΟ</v>
      </c>
      <c r="I1011">
        <v>71306</v>
      </c>
      <c r="J1011">
        <v>2815003715</v>
      </c>
      <c r="K1011">
        <v>6937033784</v>
      </c>
      <c r="L1011">
        <v>6937033790</v>
      </c>
      <c r="N1011" t="s">
        <v>232</v>
      </c>
      <c r="O1011" t="s">
        <v>233</v>
      </c>
      <c r="R1011" t="s">
        <v>57</v>
      </c>
      <c r="S1011">
        <v>7</v>
      </c>
      <c r="T1011">
        <v>599</v>
      </c>
      <c r="U1011" s="1">
        <v>39310</v>
      </c>
      <c r="V1011" t="s">
        <v>123</v>
      </c>
      <c r="W1011" t="s">
        <v>124</v>
      </c>
      <c r="X1011" t="s">
        <v>58</v>
      </c>
      <c r="Y1011">
        <v>20</v>
      </c>
      <c r="Z1011" t="s">
        <v>59</v>
      </c>
      <c r="AA1011" t="s">
        <v>59</v>
      </c>
      <c r="AB1011" t="s">
        <v>59</v>
      </c>
      <c r="AC1011" t="s">
        <v>59</v>
      </c>
      <c r="AD1011" t="s">
        <v>59</v>
      </c>
      <c r="AF1011" s="1">
        <v>39328</v>
      </c>
      <c r="AG1011" t="s">
        <v>137</v>
      </c>
      <c r="AH1011" t="s">
        <v>138</v>
      </c>
      <c r="AI1011" t="str">
        <f>"1740210"</f>
        <v>1740210</v>
      </c>
      <c r="AJ1011" t="s">
        <v>139</v>
      </c>
      <c r="AK1011">
        <v>2810318130</v>
      </c>
      <c r="AL1011" t="s">
        <v>140</v>
      </c>
      <c r="AM1011" t="s">
        <v>78</v>
      </c>
      <c r="AN1011" t="s">
        <v>78</v>
      </c>
      <c r="AO1011" t="s">
        <v>78</v>
      </c>
      <c r="AP1011" t="s">
        <v>141</v>
      </c>
      <c r="AQ1011">
        <v>7</v>
      </c>
      <c r="AR1011" t="s">
        <v>123</v>
      </c>
      <c r="AS1011" t="s">
        <v>124</v>
      </c>
      <c r="AT1011" t="s">
        <v>58</v>
      </c>
      <c r="AU1011" t="s">
        <v>68</v>
      </c>
      <c r="AV1011" t="s">
        <v>69</v>
      </c>
      <c r="AW1011" s="1">
        <v>23864</v>
      </c>
      <c r="AX1011">
        <v>2</v>
      </c>
    </row>
    <row r="1012" spans="1:50">
      <c r="A1012">
        <v>172058</v>
      </c>
      <c r="B1012" t="str">
        <f>"043584572"</f>
        <v>043584572</v>
      </c>
      <c r="C1012" t="s">
        <v>50</v>
      </c>
      <c r="D1012" t="s">
        <v>2478</v>
      </c>
      <c r="E1012" t="s">
        <v>2239</v>
      </c>
      <c r="F1012" t="s">
        <v>154</v>
      </c>
      <c r="G1012" t="s">
        <v>2479</v>
      </c>
      <c r="H1012" t="str">
        <f>" "</f>
        <v xml:space="preserve"> </v>
      </c>
      <c r="M1012" t="s">
        <v>2480</v>
      </c>
      <c r="N1012" t="s">
        <v>189</v>
      </c>
      <c r="O1012" t="s">
        <v>190</v>
      </c>
      <c r="R1012" t="s">
        <v>57</v>
      </c>
      <c r="S1012">
        <v>16</v>
      </c>
      <c r="T1012">
        <v>184</v>
      </c>
      <c r="U1012" s="1">
        <v>34941</v>
      </c>
      <c r="V1012" t="s">
        <v>123</v>
      </c>
      <c r="W1012" t="s">
        <v>124</v>
      </c>
      <c r="X1012" t="s">
        <v>58</v>
      </c>
      <c r="Y1012">
        <v>18</v>
      </c>
      <c r="Z1012" t="s">
        <v>59</v>
      </c>
      <c r="AA1012" t="s">
        <v>59</v>
      </c>
      <c r="AB1012" t="s">
        <v>59</v>
      </c>
      <c r="AC1012" t="s">
        <v>59</v>
      </c>
      <c r="AD1012" t="s">
        <v>59</v>
      </c>
      <c r="AF1012" s="1">
        <v>34943</v>
      </c>
      <c r="AG1012" t="s">
        <v>137</v>
      </c>
      <c r="AH1012" t="s">
        <v>469</v>
      </c>
      <c r="AI1012" t="str">
        <f>"1740200"</f>
        <v>1740200</v>
      </c>
      <c r="AJ1012" t="s">
        <v>470</v>
      </c>
      <c r="AK1012">
        <v>2810320770</v>
      </c>
      <c r="AL1012" t="s">
        <v>471</v>
      </c>
      <c r="AM1012" t="s">
        <v>78</v>
      </c>
      <c r="AN1012" t="s">
        <v>78</v>
      </c>
      <c r="AO1012" t="s">
        <v>78</v>
      </c>
      <c r="AP1012" t="s">
        <v>163</v>
      </c>
      <c r="AQ1012">
        <v>2</v>
      </c>
      <c r="AR1012" t="s">
        <v>123</v>
      </c>
      <c r="AS1012" t="s">
        <v>124</v>
      </c>
      <c r="AT1012" t="s">
        <v>58</v>
      </c>
      <c r="AU1012" t="s">
        <v>68</v>
      </c>
      <c r="AV1012" t="s">
        <v>69</v>
      </c>
      <c r="AW1012" s="1">
        <v>20883</v>
      </c>
      <c r="AX1012">
        <v>2</v>
      </c>
    </row>
    <row r="1013" spans="1:50">
      <c r="A1013">
        <v>201096</v>
      </c>
      <c r="B1013" t="str">
        <f>"079229431"</f>
        <v>079229431</v>
      </c>
      <c r="C1013" t="s">
        <v>105</v>
      </c>
      <c r="D1013" t="s">
        <v>2481</v>
      </c>
      <c r="E1013" t="s">
        <v>581</v>
      </c>
      <c r="F1013" t="s">
        <v>2482</v>
      </c>
      <c r="G1013" t="s">
        <v>250</v>
      </c>
      <c r="H1013" t="str">
        <f>"ΠΕΡΛΕΜΠΟΥΡΗ 63-ΚΟΚΚΙΝΙΔΗ 15 ΗΡΑΚΛΕΙΟ"</f>
        <v>ΠΕΡΛΕΜΠΟΥΡΗ 63-ΚΟΚΚΙΝΙΔΗ 15 ΗΡΑΚΛΕΙΟ</v>
      </c>
      <c r="J1013">
        <v>2810255627</v>
      </c>
      <c r="K1013">
        <v>6909291610</v>
      </c>
      <c r="L1013">
        <v>2815007561</v>
      </c>
      <c r="M1013" t="s">
        <v>2483</v>
      </c>
      <c r="N1013" t="s">
        <v>157</v>
      </c>
      <c r="O1013" t="s">
        <v>158</v>
      </c>
      <c r="R1013" t="s">
        <v>57</v>
      </c>
      <c r="S1013">
        <v>10</v>
      </c>
      <c r="T1013">
        <v>231</v>
      </c>
      <c r="U1013" s="1">
        <v>38230</v>
      </c>
      <c r="V1013" t="s">
        <v>123</v>
      </c>
      <c r="W1013" t="s">
        <v>124</v>
      </c>
      <c r="X1013" t="s">
        <v>58</v>
      </c>
      <c r="Y1013">
        <v>20</v>
      </c>
      <c r="Z1013" t="s">
        <v>59</v>
      </c>
      <c r="AA1013" t="s">
        <v>59</v>
      </c>
      <c r="AB1013" t="s">
        <v>59</v>
      </c>
      <c r="AC1013" t="s">
        <v>59</v>
      </c>
      <c r="AD1013" t="s">
        <v>59</v>
      </c>
      <c r="AF1013" s="1">
        <v>38232</v>
      </c>
      <c r="AG1013" t="s">
        <v>125</v>
      </c>
      <c r="AH1013" t="s">
        <v>126</v>
      </c>
      <c r="AI1013" t="str">
        <f>"1701010"</f>
        <v>1701010</v>
      </c>
      <c r="AJ1013" t="s">
        <v>374</v>
      </c>
      <c r="AK1013">
        <v>2810227148</v>
      </c>
      <c r="AL1013" t="s">
        <v>375</v>
      </c>
      <c r="AM1013" t="s">
        <v>78</v>
      </c>
      <c r="AN1013" t="s">
        <v>78</v>
      </c>
      <c r="AO1013" t="s">
        <v>78</v>
      </c>
      <c r="AP1013" t="s">
        <v>79</v>
      </c>
      <c r="AQ1013">
        <v>1</v>
      </c>
      <c r="AR1013" t="s">
        <v>123</v>
      </c>
      <c r="AS1013" t="s">
        <v>124</v>
      </c>
      <c r="AT1013" t="s">
        <v>58</v>
      </c>
      <c r="AU1013" t="s">
        <v>68</v>
      </c>
      <c r="AV1013" t="s">
        <v>69</v>
      </c>
      <c r="AW1013" s="1">
        <v>25348</v>
      </c>
      <c r="AX1013">
        <v>2</v>
      </c>
    </row>
    <row r="1014" spans="1:50">
      <c r="A1014">
        <v>207297</v>
      </c>
      <c r="B1014" t="str">
        <f>"034629500"</f>
        <v>034629500</v>
      </c>
      <c r="C1014" t="s">
        <v>105</v>
      </c>
      <c r="D1014" t="s">
        <v>2484</v>
      </c>
      <c r="E1014" t="s">
        <v>166</v>
      </c>
      <c r="F1014" t="s">
        <v>53</v>
      </c>
      <c r="G1014" t="s">
        <v>250</v>
      </c>
      <c r="H1014" t="str">
        <f>" ΠΛΑΤΑΝΟΣ"</f>
        <v xml:space="preserve"> ΠΛΑΤΑΝΟΣ</v>
      </c>
      <c r="I1014">
        <v>70012</v>
      </c>
      <c r="K1014">
        <v>6972215069</v>
      </c>
      <c r="M1014" t="s">
        <v>2485</v>
      </c>
      <c r="N1014" t="s">
        <v>232</v>
      </c>
      <c r="O1014" t="s">
        <v>233</v>
      </c>
      <c r="R1014" t="s">
        <v>57</v>
      </c>
      <c r="S1014">
        <v>9</v>
      </c>
      <c r="T1014">
        <v>218</v>
      </c>
      <c r="U1014" s="1">
        <v>38596</v>
      </c>
      <c r="V1014" t="s">
        <v>123</v>
      </c>
      <c r="W1014" t="s">
        <v>124</v>
      </c>
      <c r="X1014" t="s">
        <v>58</v>
      </c>
      <c r="Y1014">
        <v>20</v>
      </c>
      <c r="Z1014" t="s">
        <v>59</v>
      </c>
      <c r="AA1014" t="s">
        <v>59</v>
      </c>
      <c r="AB1014" t="s">
        <v>59</v>
      </c>
      <c r="AC1014" t="s">
        <v>59</v>
      </c>
      <c r="AD1014" t="s">
        <v>59</v>
      </c>
      <c r="AF1014" s="1">
        <v>38600</v>
      </c>
      <c r="AG1014" t="s">
        <v>125</v>
      </c>
      <c r="AH1014" t="s">
        <v>126</v>
      </c>
      <c r="AI1014" t="str">
        <f>"1721010"</f>
        <v>1721010</v>
      </c>
      <c r="AJ1014" t="s">
        <v>462</v>
      </c>
      <c r="AK1014">
        <v>2892031207</v>
      </c>
      <c r="AL1014" t="s">
        <v>463</v>
      </c>
      <c r="AM1014" t="s">
        <v>78</v>
      </c>
      <c r="AN1014" t="s">
        <v>405</v>
      </c>
      <c r="AO1014" t="s">
        <v>405</v>
      </c>
      <c r="AP1014" t="s">
        <v>464</v>
      </c>
      <c r="AQ1014">
        <v>33</v>
      </c>
      <c r="AR1014" t="s">
        <v>123</v>
      </c>
      <c r="AS1014" t="s">
        <v>124</v>
      </c>
      <c r="AT1014" t="s">
        <v>58</v>
      </c>
      <c r="AU1014" t="s">
        <v>68</v>
      </c>
      <c r="AV1014" t="s">
        <v>69</v>
      </c>
      <c r="AW1014" s="1">
        <v>22447</v>
      </c>
      <c r="AX1014">
        <v>2</v>
      </c>
    </row>
    <row r="1015" spans="1:50">
      <c r="A1015">
        <v>199587</v>
      </c>
      <c r="B1015" t="str">
        <f>"038816006"</f>
        <v>038816006</v>
      </c>
      <c r="C1015" t="s">
        <v>105</v>
      </c>
      <c r="D1015" t="s">
        <v>2486</v>
      </c>
      <c r="E1015" t="s">
        <v>99</v>
      </c>
      <c r="F1015" t="s">
        <v>72</v>
      </c>
      <c r="G1015" t="s">
        <v>237</v>
      </c>
      <c r="H1015" t="str">
        <f>" "</f>
        <v xml:space="preserve"> </v>
      </c>
      <c r="J1015">
        <v>2810282778</v>
      </c>
      <c r="K1015">
        <v>6945416399</v>
      </c>
      <c r="N1015" t="s">
        <v>907</v>
      </c>
      <c r="O1015" t="s">
        <v>908</v>
      </c>
      <c r="R1015" t="s">
        <v>57</v>
      </c>
      <c r="S1015">
        <v>8</v>
      </c>
      <c r="T1015">
        <v>206</v>
      </c>
      <c r="U1015" s="1">
        <v>37866</v>
      </c>
      <c r="V1015" t="s">
        <v>123</v>
      </c>
      <c r="W1015" t="s">
        <v>124</v>
      </c>
      <c r="X1015" t="s">
        <v>58</v>
      </c>
      <c r="Y1015">
        <v>20</v>
      </c>
      <c r="Z1015" t="s">
        <v>59</v>
      </c>
      <c r="AA1015" t="s">
        <v>59</v>
      </c>
      <c r="AB1015" t="s">
        <v>59</v>
      </c>
      <c r="AC1015" t="s">
        <v>59</v>
      </c>
      <c r="AD1015" t="s">
        <v>59</v>
      </c>
      <c r="AF1015" s="1">
        <v>37868</v>
      </c>
      <c r="AG1015" t="s">
        <v>137</v>
      </c>
      <c r="AH1015" t="s">
        <v>138</v>
      </c>
      <c r="AI1015" t="str">
        <f>"1740070"</f>
        <v>1740070</v>
      </c>
      <c r="AJ1015" t="s">
        <v>206</v>
      </c>
      <c r="AK1015">
        <v>2810324880</v>
      </c>
      <c r="AL1015" t="s">
        <v>207</v>
      </c>
      <c r="AM1015" t="s">
        <v>78</v>
      </c>
      <c r="AN1015" t="s">
        <v>78</v>
      </c>
      <c r="AO1015" t="s">
        <v>78</v>
      </c>
      <c r="AP1015" t="s">
        <v>163</v>
      </c>
      <c r="AQ1015">
        <v>9</v>
      </c>
      <c r="AR1015" t="s">
        <v>123</v>
      </c>
      <c r="AS1015" t="s">
        <v>124</v>
      </c>
      <c r="AT1015" t="s">
        <v>58</v>
      </c>
      <c r="AU1015" t="s">
        <v>68</v>
      </c>
      <c r="AV1015" t="s">
        <v>69</v>
      </c>
      <c r="AW1015" s="1">
        <v>24473</v>
      </c>
      <c r="AX1015">
        <v>2</v>
      </c>
    </row>
    <row r="1016" spans="1:50">
      <c r="A1016">
        <v>178119</v>
      </c>
      <c r="B1016" t="str">
        <f>"044733395"</f>
        <v>044733395</v>
      </c>
      <c r="C1016" t="s">
        <v>50</v>
      </c>
      <c r="D1016" t="s">
        <v>2487</v>
      </c>
      <c r="E1016" t="s">
        <v>54</v>
      </c>
      <c r="F1016" t="s">
        <v>99</v>
      </c>
      <c r="G1016" t="s">
        <v>52</v>
      </c>
      <c r="H1016" t="str">
        <f>"ΑΣΤΕΡΟΥΣΙΩΝ  04 ΗΡΑΚΛΕΙΟ"</f>
        <v>ΑΣΤΕΡΟΥΣΙΩΝ  04 ΗΡΑΚΛΕΙΟ</v>
      </c>
      <c r="I1016">
        <v>71305</v>
      </c>
      <c r="J1016">
        <v>2810315319</v>
      </c>
      <c r="K1016">
        <v>6976800164</v>
      </c>
      <c r="M1016" t="s">
        <v>2488</v>
      </c>
      <c r="N1016" t="s">
        <v>204</v>
      </c>
      <c r="O1016" t="s">
        <v>205</v>
      </c>
      <c r="P1016" t="s">
        <v>292</v>
      </c>
      <c r="Q1016" t="s">
        <v>293</v>
      </c>
      <c r="R1016" t="s">
        <v>57</v>
      </c>
      <c r="S1016">
        <v>11</v>
      </c>
      <c r="T1016">
        <v>180</v>
      </c>
      <c r="U1016" s="1">
        <v>35674</v>
      </c>
      <c r="V1016" t="s">
        <v>123</v>
      </c>
      <c r="W1016" t="s">
        <v>124</v>
      </c>
      <c r="X1016" t="s">
        <v>58</v>
      </c>
      <c r="Y1016">
        <v>18</v>
      </c>
      <c r="Z1016" t="s">
        <v>59</v>
      </c>
      <c r="AA1016" t="s">
        <v>59</v>
      </c>
      <c r="AB1016" t="s">
        <v>59</v>
      </c>
      <c r="AC1016" t="s">
        <v>59</v>
      </c>
      <c r="AD1016" t="s">
        <v>59</v>
      </c>
      <c r="AF1016" s="1">
        <v>35674</v>
      </c>
      <c r="AG1016" t="s">
        <v>125</v>
      </c>
      <c r="AH1016" t="s">
        <v>126</v>
      </c>
      <c r="AI1016" t="str">
        <f>"1701053"</f>
        <v>1701053</v>
      </c>
      <c r="AJ1016" t="s">
        <v>398</v>
      </c>
      <c r="AK1016">
        <v>2810251434</v>
      </c>
      <c r="AL1016" t="s">
        <v>399</v>
      </c>
      <c r="AM1016" t="s">
        <v>78</v>
      </c>
      <c r="AN1016" t="s">
        <v>78</v>
      </c>
      <c r="AO1016" t="s">
        <v>78</v>
      </c>
      <c r="AP1016" t="s">
        <v>141</v>
      </c>
      <c r="AQ1016">
        <v>7</v>
      </c>
      <c r="AR1016" t="s">
        <v>123</v>
      </c>
      <c r="AS1016" t="s">
        <v>124</v>
      </c>
      <c r="AT1016" t="s">
        <v>58</v>
      </c>
      <c r="AU1016" t="s">
        <v>68</v>
      </c>
      <c r="AV1016" t="s">
        <v>69</v>
      </c>
      <c r="AW1016" s="1">
        <v>22975</v>
      </c>
      <c r="AX1016">
        <v>2</v>
      </c>
    </row>
    <row r="1017" spans="1:50">
      <c r="A1017">
        <v>181120</v>
      </c>
      <c r="B1017" t="str">
        <f>"056304870"</f>
        <v>056304870</v>
      </c>
      <c r="C1017" t="s">
        <v>50</v>
      </c>
      <c r="D1017" t="s">
        <v>2489</v>
      </c>
      <c r="E1017" t="s">
        <v>263</v>
      </c>
      <c r="F1017" t="s">
        <v>53</v>
      </c>
      <c r="G1017" t="s">
        <v>109</v>
      </c>
      <c r="H1017" t="str">
        <f>"ΠΕΤΡΟΥΓΑΚΗ ΜΙΧΑΗΛ 3 ΗΡΑΚΛΕΙΟ"</f>
        <v>ΠΕΤΡΟΥΓΑΚΗ ΜΙΧΑΗΛ 3 ΗΡΑΚΛΕΙΟ</v>
      </c>
      <c r="I1017">
        <v>71409</v>
      </c>
      <c r="J1017">
        <v>2810328346</v>
      </c>
      <c r="K1017">
        <v>6944191106</v>
      </c>
      <c r="M1017" t="s">
        <v>2490</v>
      </c>
      <c r="N1017" t="s">
        <v>306</v>
      </c>
      <c r="O1017" t="s">
        <v>307</v>
      </c>
      <c r="R1017" t="s">
        <v>57</v>
      </c>
      <c r="S1017">
        <v>10</v>
      </c>
      <c r="T1017">
        <v>164</v>
      </c>
      <c r="U1017" s="1">
        <v>36040</v>
      </c>
      <c r="V1017" t="s">
        <v>123</v>
      </c>
      <c r="W1017" t="s">
        <v>124</v>
      </c>
      <c r="X1017" t="s">
        <v>58</v>
      </c>
      <c r="Y1017">
        <v>18</v>
      </c>
      <c r="Z1017" t="s">
        <v>59</v>
      </c>
      <c r="AA1017" t="s">
        <v>59</v>
      </c>
      <c r="AB1017" t="s">
        <v>59</v>
      </c>
      <c r="AC1017" t="s">
        <v>59</v>
      </c>
      <c r="AD1017" t="s">
        <v>59</v>
      </c>
      <c r="AF1017" s="1">
        <v>36042</v>
      </c>
      <c r="AG1017" t="s">
        <v>148</v>
      </c>
      <c r="AH1017" t="s">
        <v>149</v>
      </c>
      <c r="AI1017" t="str">
        <f>"1751030"</f>
        <v>1751030</v>
      </c>
      <c r="AJ1017" t="s">
        <v>234</v>
      </c>
      <c r="AK1017">
        <v>2810282911</v>
      </c>
      <c r="AL1017" t="s">
        <v>235</v>
      </c>
      <c r="AM1017" t="s">
        <v>78</v>
      </c>
      <c r="AN1017" t="s">
        <v>78</v>
      </c>
      <c r="AO1017" t="s">
        <v>78</v>
      </c>
      <c r="AP1017" t="s">
        <v>163</v>
      </c>
      <c r="AQ1017">
        <v>1</v>
      </c>
      <c r="AR1017" t="s">
        <v>123</v>
      </c>
      <c r="AS1017" t="s">
        <v>124</v>
      </c>
      <c r="AT1017" t="s">
        <v>58</v>
      </c>
      <c r="AU1017" t="s">
        <v>68</v>
      </c>
      <c r="AV1017" t="s">
        <v>69</v>
      </c>
      <c r="AW1017" s="1">
        <v>25188</v>
      </c>
      <c r="AX1017">
        <v>2</v>
      </c>
    </row>
    <row r="1018" spans="1:50">
      <c r="A1018">
        <v>184608</v>
      </c>
      <c r="B1018" t="str">
        <f>"056025425"</f>
        <v>056025425</v>
      </c>
      <c r="C1018" t="s">
        <v>105</v>
      </c>
      <c r="D1018" t="s">
        <v>2491</v>
      </c>
      <c r="E1018" t="s">
        <v>230</v>
      </c>
      <c r="F1018" t="s">
        <v>2492</v>
      </c>
      <c r="G1018" t="s">
        <v>316</v>
      </c>
      <c r="H1018" t="str">
        <f>"ΔΩΡΟΘΕΟΥ ΚΛΩΝΑΡΗ 63 ΦΙΛΟΘΕΗ"</f>
        <v>ΔΩΡΟΘΕΟΥ ΚΛΩΝΑΡΗ 63 ΦΙΛΟΘΕΗ</v>
      </c>
      <c r="I1018">
        <v>71307</v>
      </c>
      <c r="K1018">
        <v>6946982676</v>
      </c>
      <c r="L1018">
        <v>2810213569</v>
      </c>
      <c r="M1018" t="s">
        <v>2493</v>
      </c>
      <c r="N1018" t="s">
        <v>683</v>
      </c>
      <c r="O1018" t="s">
        <v>684</v>
      </c>
      <c r="R1018" t="s">
        <v>57</v>
      </c>
      <c r="S1018">
        <v>11</v>
      </c>
      <c r="T1018">
        <v>177</v>
      </c>
      <c r="U1018" s="1">
        <v>36403</v>
      </c>
      <c r="V1018" t="s">
        <v>123</v>
      </c>
      <c r="W1018" t="s">
        <v>124</v>
      </c>
      <c r="X1018" t="s">
        <v>58</v>
      </c>
      <c r="Y1018">
        <v>20</v>
      </c>
      <c r="Z1018" t="s">
        <v>59</v>
      </c>
      <c r="AA1018" t="s">
        <v>59</v>
      </c>
      <c r="AB1018" t="s">
        <v>59</v>
      </c>
      <c r="AC1018" t="s">
        <v>59</v>
      </c>
      <c r="AD1018" t="s">
        <v>59</v>
      </c>
      <c r="AF1018" s="1">
        <v>36416</v>
      </c>
      <c r="AG1018" t="s">
        <v>125</v>
      </c>
      <c r="AH1018" t="s">
        <v>538</v>
      </c>
      <c r="AI1018" t="str">
        <f>"1701002"</f>
        <v>1701002</v>
      </c>
      <c r="AJ1018" t="s">
        <v>539</v>
      </c>
      <c r="AK1018">
        <v>2810213569</v>
      </c>
      <c r="AL1018" t="s">
        <v>540</v>
      </c>
      <c r="AM1018" t="s">
        <v>78</v>
      </c>
      <c r="AN1018" t="s">
        <v>78</v>
      </c>
      <c r="AO1018" t="s">
        <v>78</v>
      </c>
      <c r="AP1018" t="s">
        <v>163</v>
      </c>
      <c r="AQ1018">
        <v>11</v>
      </c>
      <c r="AR1018" t="s">
        <v>123</v>
      </c>
      <c r="AS1018" t="s">
        <v>124</v>
      </c>
      <c r="AT1018" t="s">
        <v>58</v>
      </c>
      <c r="AU1018" t="s">
        <v>68</v>
      </c>
      <c r="AV1018" t="s">
        <v>69</v>
      </c>
      <c r="AW1018" s="1">
        <v>25253</v>
      </c>
      <c r="AX1018">
        <v>2</v>
      </c>
    </row>
    <row r="1019" spans="1:50">
      <c r="A1019">
        <v>213234</v>
      </c>
      <c r="B1019" t="str">
        <f>"047276019"</f>
        <v>047276019</v>
      </c>
      <c r="C1019" t="s">
        <v>50</v>
      </c>
      <c r="D1019" t="s">
        <v>2494</v>
      </c>
      <c r="E1019" t="s">
        <v>155</v>
      </c>
      <c r="F1019" t="s">
        <v>95</v>
      </c>
      <c r="G1019" t="s">
        <v>250</v>
      </c>
      <c r="H1019" t="str">
        <f>"ΜΑΧΗΣ ΚΡΗΤΗΣ 155 "</f>
        <v xml:space="preserve">ΜΑΧΗΣ ΚΡΗΤΗΣ 155 </v>
      </c>
      <c r="I1019">
        <v>71303</v>
      </c>
      <c r="J1019">
        <v>2810254789</v>
      </c>
      <c r="K1019">
        <v>6948069055</v>
      </c>
      <c r="M1019" t="s">
        <v>2495</v>
      </c>
      <c r="N1019" t="s">
        <v>199</v>
      </c>
      <c r="O1019" t="s">
        <v>200</v>
      </c>
      <c r="R1019" t="s">
        <v>57</v>
      </c>
      <c r="S1019">
        <v>6</v>
      </c>
      <c r="T1019">
        <v>231</v>
      </c>
      <c r="U1019" s="1">
        <v>38960</v>
      </c>
      <c r="V1019" t="s">
        <v>123</v>
      </c>
      <c r="W1019" t="s">
        <v>124</v>
      </c>
      <c r="X1019" t="s">
        <v>58</v>
      </c>
      <c r="Y1019">
        <v>20</v>
      </c>
      <c r="Z1019" t="s">
        <v>59</v>
      </c>
      <c r="AA1019" t="s">
        <v>59</v>
      </c>
      <c r="AB1019" t="s">
        <v>59</v>
      </c>
      <c r="AC1019" t="s">
        <v>59</v>
      </c>
      <c r="AD1019" t="s">
        <v>59</v>
      </c>
      <c r="AF1019" s="1">
        <v>38961</v>
      </c>
      <c r="AG1019" t="s">
        <v>137</v>
      </c>
      <c r="AH1019" t="s">
        <v>469</v>
      </c>
      <c r="AI1019" t="str">
        <f>"1740200"</f>
        <v>1740200</v>
      </c>
      <c r="AJ1019" t="s">
        <v>470</v>
      </c>
      <c r="AK1019">
        <v>2810320770</v>
      </c>
      <c r="AL1019" t="s">
        <v>471</v>
      </c>
      <c r="AM1019" t="s">
        <v>78</v>
      </c>
      <c r="AN1019" t="s">
        <v>78</v>
      </c>
      <c r="AO1019" t="s">
        <v>78</v>
      </c>
      <c r="AP1019" t="s">
        <v>163</v>
      </c>
      <c r="AQ1019">
        <v>2</v>
      </c>
      <c r="AR1019" t="s">
        <v>123</v>
      </c>
      <c r="AS1019" t="s">
        <v>124</v>
      </c>
      <c r="AT1019" t="s">
        <v>58</v>
      </c>
      <c r="AU1019" t="s">
        <v>68</v>
      </c>
      <c r="AV1019" t="s">
        <v>69</v>
      </c>
      <c r="AW1019" s="1">
        <v>26921</v>
      </c>
      <c r="AX1019">
        <v>2</v>
      </c>
    </row>
    <row r="1020" spans="1:50">
      <c r="A1020">
        <v>144868</v>
      </c>
      <c r="B1020" t="str">
        <f>"027365930"</f>
        <v>027365930</v>
      </c>
      <c r="C1020" t="s">
        <v>50</v>
      </c>
      <c r="D1020" t="s">
        <v>2496</v>
      </c>
      <c r="E1020" t="s">
        <v>263</v>
      </c>
      <c r="F1020" t="s">
        <v>1023</v>
      </c>
      <c r="G1020" t="s">
        <v>1553</v>
      </c>
      <c r="H1020" t="str">
        <f>"ΑΓΙΟΙ ΔΕΚΑ ΗΡΑΚΛΕΙΟΥ"</f>
        <v>ΑΓΙΟΙ ΔΕΚΑ ΗΡΑΚΛΕΙΟΥ</v>
      </c>
      <c r="I1020">
        <v>70012</v>
      </c>
      <c r="J1020">
        <v>2892031789</v>
      </c>
      <c r="K1020">
        <v>6988713130</v>
      </c>
      <c r="M1020" t="s">
        <v>2497</v>
      </c>
      <c r="N1020" t="s">
        <v>146</v>
      </c>
      <c r="O1020" t="s">
        <v>147</v>
      </c>
      <c r="R1020" t="s">
        <v>57</v>
      </c>
      <c r="S1020">
        <v>17</v>
      </c>
      <c r="T1020">
        <v>250</v>
      </c>
      <c r="U1020" s="1">
        <v>30900</v>
      </c>
      <c r="V1020" t="s">
        <v>123</v>
      </c>
      <c r="W1020" t="s">
        <v>124</v>
      </c>
      <c r="X1020" t="s">
        <v>58</v>
      </c>
      <c r="Y1020">
        <v>18</v>
      </c>
      <c r="Z1020" t="s">
        <v>59</v>
      </c>
      <c r="AA1020" t="s">
        <v>59</v>
      </c>
      <c r="AB1020" t="s">
        <v>59</v>
      </c>
      <c r="AC1020" t="s">
        <v>59</v>
      </c>
      <c r="AD1020" t="s">
        <v>59</v>
      </c>
      <c r="AF1020" s="1">
        <v>30904</v>
      </c>
      <c r="AG1020" t="s">
        <v>148</v>
      </c>
      <c r="AH1020" t="s">
        <v>149</v>
      </c>
      <c r="AI1020" t="str">
        <f>"1771010"</f>
        <v>1771010</v>
      </c>
      <c r="AJ1020" t="s">
        <v>915</v>
      </c>
      <c r="AK1020">
        <v>2892031290</v>
      </c>
      <c r="AL1020" t="s">
        <v>916</v>
      </c>
      <c r="AM1020" t="s">
        <v>78</v>
      </c>
      <c r="AN1020" t="s">
        <v>405</v>
      </c>
      <c r="AO1020" t="s">
        <v>405</v>
      </c>
      <c r="AP1020" t="s">
        <v>464</v>
      </c>
      <c r="AQ1020">
        <v>33</v>
      </c>
      <c r="AR1020" t="s">
        <v>123</v>
      </c>
      <c r="AS1020" t="s">
        <v>124</v>
      </c>
      <c r="AT1020" t="s">
        <v>58</v>
      </c>
      <c r="AU1020" t="s">
        <v>68</v>
      </c>
      <c r="AV1020" t="s">
        <v>69</v>
      </c>
      <c r="AW1020" s="1">
        <v>22276</v>
      </c>
      <c r="AX1020">
        <v>2</v>
      </c>
    </row>
    <row r="1021" spans="1:50">
      <c r="A1021">
        <v>156862</v>
      </c>
      <c r="B1021" t="str">
        <f>"027538278"</f>
        <v>027538278</v>
      </c>
      <c r="C1021" t="s">
        <v>105</v>
      </c>
      <c r="D1021" t="s">
        <v>2498</v>
      </c>
      <c r="E1021" t="s">
        <v>106</v>
      </c>
      <c r="F1021" t="s">
        <v>166</v>
      </c>
      <c r="G1021" t="s">
        <v>52</v>
      </c>
      <c r="H1021" t="str">
        <f>"Λυσιστράτης 31 Ηράκλειο"</f>
        <v>Λυσιστράτης 31 Ηράκλειο</v>
      </c>
      <c r="I1021">
        <v>71304</v>
      </c>
      <c r="J1021">
        <v>2810257734</v>
      </c>
      <c r="K1021">
        <v>6944720551</v>
      </c>
      <c r="L1021">
        <v>6944720551</v>
      </c>
      <c r="M1021" t="s">
        <v>2499</v>
      </c>
      <c r="N1021" t="s">
        <v>232</v>
      </c>
      <c r="O1021" t="s">
        <v>233</v>
      </c>
      <c r="R1021" t="s">
        <v>57</v>
      </c>
      <c r="S1021">
        <v>16</v>
      </c>
      <c r="T1021">
        <v>188</v>
      </c>
      <c r="U1021" s="1">
        <v>32752</v>
      </c>
      <c r="V1021" t="s">
        <v>123</v>
      </c>
      <c r="W1021" t="s">
        <v>124</v>
      </c>
      <c r="X1021" t="s">
        <v>58</v>
      </c>
      <c r="Y1021">
        <v>18</v>
      </c>
      <c r="Z1021" t="s">
        <v>59</v>
      </c>
      <c r="AA1021" t="s">
        <v>59</v>
      </c>
      <c r="AB1021" t="s">
        <v>59</v>
      </c>
      <c r="AC1021" t="s">
        <v>59</v>
      </c>
      <c r="AD1021" t="s">
        <v>59</v>
      </c>
      <c r="AF1021" s="1">
        <v>32757</v>
      </c>
      <c r="AG1021" t="s">
        <v>148</v>
      </c>
      <c r="AH1021" t="s">
        <v>149</v>
      </c>
      <c r="AI1021" t="str">
        <f>"1790100"</f>
        <v>1790100</v>
      </c>
      <c r="AJ1021" t="s">
        <v>252</v>
      </c>
      <c r="AK1021">
        <v>2810234876</v>
      </c>
      <c r="AL1021" t="s">
        <v>253</v>
      </c>
      <c r="AM1021" t="s">
        <v>78</v>
      </c>
      <c r="AN1021" t="s">
        <v>78</v>
      </c>
      <c r="AO1021" t="s">
        <v>78</v>
      </c>
      <c r="AP1021" t="s">
        <v>163</v>
      </c>
      <c r="AQ1021">
        <v>5</v>
      </c>
      <c r="AR1021" t="s">
        <v>123</v>
      </c>
      <c r="AS1021" t="s">
        <v>124</v>
      </c>
      <c r="AT1021" t="s">
        <v>58</v>
      </c>
      <c r="AU1021" t="s">
        <v>68</v>
      </c>
      <c r="AV1021" t="s">
        <v>69</v>
      </c>
      <c r="AW1021" s="1">
        <v>21165</v>
      </c>
      <c r="AX1021">
        <v>2</v>
      </c>
    </row>
    <row r="1022" spans="1:50">
      <c r="A1022">
        <v>192310</v>
      </c>
      <c r="B1022" t="str">
        <f>"043091532"</f>
        <v>043091532</v>
      </c>
      <c r="C1022" t="s">
        <v>50</v>
      </c>
      <c r="D1022" t="s">
        <v>2500</v>
      </c>
      <c r="E1022" t="s">
        <v>52</v>
      </c>
      <c r="F1022" t="s">
        <v>99</v>
      </c>
      <c r="G1022" t="s">
        <v>411</v>
      </c>
      <c r="H1022" t="str">
        <f>" "</f>
        <v xml:space="preserve"> </v>
      </c>
      <c r="M1022" t="s">
        <v>2501</v>
      </c>
      <c r="N1022" t="s">
        <v>189</v>
      </c>
      <c r="O1022" t="s">
        <v>190</v>
      </c>
      <c r="R1022" t="s">
        <v>57</v>
      </c>
      <c r="S1022">
        <v>12</v>
      </c>
      <c r="T1022">
        <v>312</v>
      </c>
      <c r="U1022" s="1">
        <v>37239</v>
      </c>
      <c r="V1022" t="s">
        <v>123</v>
      </c>
      <c r="W1022" t="s">
        <v>124</v>
      </c>
      <c r="X1022" t="s">
        <v>58</v>
      </c>
      <c r="Y1022">
        <v>18</v>
      </c>
      <c r="Z1022" t="s">
        <v>59</v>
      </c>
      <c r="AA1022" t="s">
        <v>59</v>
      </c>
      <c r="AB1022" t="s">
        <v>59</v>
      </c>
      <c r="AC1022" t="s">
        <v>59</v>
      </c>
      <c r="AD1022" t="s">
        <v>59</v>
      </c>
      <c r="AF1022" s="1">
        <v>37239</v>
      </c>
      <c r="AG1022" t="s">
        <v>137</v>
      </c>
      <c r="AH1022" t="s">
        <v>469</v>
      </c>
      <c r="AI1022" t="str">
        <f>"1740200"</f>
        <v>1740200</v>
      </c>
      <c r="AJ1022" t="s">
        <v>470</v>
      </c>
      <c r="AK1022">
        <v>2810320770</v>
      </c>
      <c r="AL1022" t="s">
        <v>471</v>
      </c>
      <c r="AM1022" t="s">
        <v>78</v>
      </c>
      <c r="AN1022" t="s">
        <v>78</v>
      </c>
      <c r="AO1022" t="s">
        <v>78</v>
      </c>
      <c r="AP1022" t="s">
        <v>163</v>
      </c>
      <c r="AQ1022">
        <v>2</v>
      </c>
      <c r="AR1022" t="s">
        <v>123</v>
      </c>
      <c r="AS1022" t="s">
        <v>124</v>
      </c>
      <c r="AT1022" t="s">
        <v>58</v>
      </c>
      <c r="AU1022" t="s">
        <v>68</v>
      </c>
      <c r="AV1022" t="s">
        <v>69</v>
      </c>
      <c r="AW1022" s="1">
        <v>24717</v>
      </c>
      <c r="AX1022">
        <v>2</v>
      </c>
    </row>
    <row r="1023" spans="1:50">
      <c r="A1023">
        <v>205961</v>
      </c>
      <c r="B1023" t="str">
        <f>"020502120"</f>
        <v>020502120</v>
      </c>
      <c r="C1023" t="s">
        <v>105</v>
      </c>
      <c r="D1023" t="s">
        <v>2502</v>
      </c>
      <c r="E1023" t="s">
        <v>2503</v>
      </c>
      <c r="F1023" t="s">
        <v>166</v>
      </c>
      <c r="G1023" t="s">
        <v>83</v>
      </c>
      <c r="H1023" t="str">
        <f>"Μιχ. Ηλιάσδη 62  ΗΡΑΚΛΕΙΟΥ"</f>
        <v>Μιχ. Ηλιάσδη 62  ΗΡΑΚΛΕΙΟΥ</v>
      </c>
      <c r="I1023">
        <v>71409</v>
      </c>
      <c r="J1023">
        <v>2810235605</v>
      </c>
      <c r="K1023">
        <v>6978894554</v>
      </c>
      <c r="M1023" t="s">
        <v>2504</v>
      </c>
      <c r="N1023" t="s">
        <v>232</v>
      </c>
      <c r="O1023" t="s">
        <v>233</v>
      </c>
      <c r="R1023" t="s">
        <v>57</v>
      </c>
      <c r="S1023">
        <v>6</v>
      </c>
      <c r="T1023">
        <v>231</v>
      </c>
      <c r="U1023" s="1">
        <v>38230</v>
      </c>
      <c r="V1023" t="s">
        <v>123</v>
      </c>
      <c r="W1023" t="s">
        <v>124</v>
      </c>
      <c r="X1023" t="s">
        <v>58</v>
      </c>
      <c r="Y1023">
        <v>20</v>
      </c>
      <c r="Z1023" t="s">
        <v>59</v>
      </c>
      <c r="AA1023" t="s">
        <v>59</v>
      </c>
      <c r="AB1023" t="s">
        <v>59</v>
      </c>
      <c r="AC1023" t="s">
        <v>59</v>
      </c>
      <c r="AD1023" t="s">
        <v>59</v>
      </c>
      <c r="AF1023" s="1">
        <v>38236</v>
      </c>
      <c r="AG1023" t="s">
        <v>148</v>
      </c>
      <c r="AH1023" t="s">
        <v>149</v>
      </c>
      <c r="AI1023" t="str">
        <f>"1753010"</f>
        <v>1753010</v>
      </c>
      <c r="AJ1023" t="s">
        <v>571</v>
      </c>
      <c r="AK1023">
        <v>2810751528</v>
      </c>
      <c r="AL1023" t="s">
        <v>572</v>
      </c>
      <c r="AM1023" t="s">
        <v>78</v>
      </c>
      <c r="AN1023" t="s">
        <v>424</v>
      </c>
      <c r="AO1023" t="s">
        <v>425</v>
      </c>
      <c r="AP1023" t="s">
        <v>425</v>
      </c>
      <c r="AQ1023">
        <v>13</v>
      </c>
      <c r="AR1023" t="s">
        <v>123</v>
      </c>
      <c r="AS1023" t="s">
        <v>124</v>
      </c>
      <c r="AT1023" t="s">
        <v>58</v>
      </c>
      <c r="AU1023" t="s">
        <v>68</v>
      </c>
      <c r="AV1023" t="s">
        <v>69</v>
      </c>
      <c r="AW1023" s="1">
        <v>25414</v>
      </c>
      <c r="AX1023">
        <v>2</v>
      </c>
    </row>
    <row r="1024" spans="1:50">
      <c r="A1024">
        <v>181637</v>
      </c>
      <c r="B1024" t="str">
        <f>"030377361"</f>
        <v>030377361</v>
      </c>
      <c r="C1024" t="s">
        <v>50</v>
      </c>
      <c r="D1024" t="s">
        <v>2505</v>
      </c>
      <c r="E1024" t="s">
        <v>83</v>
      </c>
      <c r="F1024" t="s">
        <v>53</v>
      </c>
      <c r="G1024" t="s">
        <v>54</v>
      </c>
      <c r="H1024" t="str">
        <f>"ΠΛΑΤΕΙΑ ΘΕΙΑΚΗ  2 (ΚΕΝΤΡΟ) ΗΡΑΚΛΕΙΟΥ"</f>
        <v>ΠΛΑΤΕΙΑ ΘΕΙΑΚΗ  2 (ΚΕΝΤΡΟ) ΗΡΑΚΛΕΙΟΥ</v>
      </c>
      <c r="I1024">
        <v>71202</v>
      </c>
      <c r="J1024">
        <v>2810320000</v>
      </c>
      <c r="K1024">
        <v>6934139436</v>
      </c>
      <c r="M1024" t="s">
        <v>2506</v>
      </c>
      <c r="N1024" t="s">
        <v>176</v>
      </c>
      <c r="O1024" t="s">
        <v>177</v>
      </c>
      <c r="R1024" t="s">
        <v>57</v>
      </c>
      <c r="S1024">
        <v>10</v>
      </c>
      <c r="T1024">
        <v>164</v>
      </c>
      <c r="U1024" s="1">
        <v>36040</v>
      </c>
      <c r="V1024" t="s">
        <v>123</v>
      </c>
      <c r="W1024" t="s">
        <v>124</v>
      </c>
      <c r="X1024" t="s">
        <v>58</v>
      </c>
      <c r="Y1024">
        <v>18</v>
      </c>
      <c r="Z1024" t="s">
        <v>59</v>
      </c>
      <c r="AA1024" t="s">
        <v>59</v>
      </c>
      <c r="AB1024" t="s">
        <v>59</v>
      </c>
      <c r="AC1024" t="s">
        <v>59</v>
      </c>
      <c r="AD1024" t="s">
        <v>59</v>
      </c>
      <c r="AF1024" s="1">
        <v>36045</v>
      </c>
      <c r="AG1024" t="s">
        <v>137</v>
      </c>
      <c r="AH1024" t="s">
        <v>138</v>
      </c>
      <c r="AI1024" t="str">
        <f>"1740100"</f>
        <v>1740100</v>
      </c>
      <c r="AJ1024" t="s">
        <v>857</v>
      </c>
      <c r="AK1024">
        <v>2810360741</v>
      </c>
      <c r="AL1024" t="s">
        <v>858</v>
      </c>
      <c r="AM1024" t="s">
        <v>78</v>
      </c>
      <c r="AN1024" t="s">
        <v>78</v>
      </c>
      <c r="AO1024" t="s">
        <v>78</v>
      </c>
      <c r="AP1024" t="s">
        <v>163</v>
      </c>
      <c r="AQ1024">
        <v>5</v>
      </c>
      <c r="AR1024" t="s">
        <v>123</v>
      </c>
      <c r="AS1024" t="s">
        <v>124</v>
      </c>
      <c r="AT1024" t="s">
        <v>58</v>
      </c>
      <c r="AU1024" t="s">
        <v>68</v>
      </c>
      <c r="AV1024" t="s">
        <v>69</v>
      </c>
      <c r="AW1024" s="1">
        <v>22106</v>
      </c>
      <c r="AX1024">
        <v>2</v>
      </c>
    </row>
    <row r="1025" spans="1:50">
      <c r="A1025">
        <v>202627</v>
      </c>
      <c r="B1025" t="str">
        <f>"056370405"</f>
        <v>056370405</v>
      </c>
      <c r="C1025" t="s">
        <v>105</v>
      </c>
      <c r="D1025" t="s">
        <v>2507</v>
      </c>
      <c r="E1025" t="s">
        <v>95</v>
      </c>
      <c r="F1025" t="s">
        <v>166</v>
      </c>
      <c r="G1025" t="s">
        <v>114</v>
      </c>
      <c r="H1025" t="str">
        <f>"ΠΑΠΑΠΕΤΡΟΥ ΓΑΒΑΛΑ 70 ΗΡΑΚΛΕΙΟ"</f>
        <v>ΠΑΠΑΠΕΤΡΟΥ ΓΑΒΑΛΑ 70 ΗΡΑΚΛΕΙΟ</v>
      </c>
      <c r="I1025">
        <v>71409</v>
      </c>
      <c r="J1025">
        <v>2810824447</v>
      </c>
      <c r="K1025">
        <v>6936608800</v>
      </c>
      <c r="M1025" t="s">
        <v>2508</v>
      </c>
      <c r="N1025" t="s">
        <v>232</v>
      </c>
      <c r="O1025" t="s">
        <v>233</v>
      </c>
      <c r="R1025" t="s">
        <v>57</v>
      </c>
      <c r="S1025">
        <v>9</v>
      </c>
      <c r="T1025">
        <v>231</v>
      </c>
      <c r="U1025" s="1">
        <v>38230</v>
      </c>
      <c r="V1025" t="s">
        <v>123</v>
      </c>
      <c r="W1025" t="s">
        <v>124</v>
      </c>
      <c r="X1025" t="s">
        <v>58</v>
      </c>
      <c r="Y1025">
        <v>20</v>
      </c>
      <c r="Z1025" t="s">
        <v>59</v>
      </c>
      <c r="AA1025" t="s">
        <v>59</v>
      </c>
      <c r="AB1025" t="s">
        <v>59</v>
      </c>
      <c r="AC1025" t="s">
        <v>59</v>
      </c>
      <c r="AD1025" t="s">
        <v>59</v>
      </c>
      <c r="AF1025" s="1">
        <v>38232</v>
      </c>
      <c r="AG1025" t="s">
        <v>148</v>
      </c>
      <c r="AH1025" t="s">
        <v>149</v>
      </c>
      <c r="AI1025" t="str">
        <f>"1760010"</f>
        <v>1760010</v>
      </c>
      <c r="AJ1025" t="s">
        <v>701</v>
      </c>
      <c r="AK1025">
        <v>2810711442</v>
      </c>
      <c r="AL1025" t="s">
        <v>702</v>
      </c>
      <c r="AM1025" t="s">
        <v>78</v>
      </c>
      <c r="AN1025" t="s">
        <v>129</v>
      </c>
      <c r="AO1025" t="s">
        <v>597</v>
      </c>
      <c r="AP1025" t="s">
        <v>598</v>
      </c>
      <c r="AQ1025">
        <v>28</v>
      </c>
      <c r="AR1025" t="s">
        <v>123</v>
      </c>
      <c r="AS1025" t="s">
        <v>124</v>
      </c>
      <c r="AT1025" t="s">
        <v>58</v>
      </c>
      <c r="AU1025" t="s">
        <v>68</v>
      </c>
      <c r="AV1025" t="s">
        <v>69</v>
      </c>
      <c r="AW1025" s="1">
        <v>27969</v>
      </c>
      <c r="AX1025">
        <v>2</v>
      </c>
    </row>
    <row r="1026" spans="1:50">
      <c r="B1026" t="str">
        <f>"138959520"</f>
        <v>138959520</v>
      </c>
      <c r="C1026" t="s">
        <v>105</v>
      </c>
      <c r="D1026" t="s">
        <v>2507</v>
      </c>
      <c r="E1026" t="s">
        <v>166</v>
      </c>
      <c r="F1026" t="s">
        <v>154</v>
      </c>
      <c r="G1026" t="s">
        <v>52</v>
      </c>
      <c r="H1026" t="str">
        <f>" "</f>
        <v xml:space="preserve"> </v>
      </c>
      <c r="M1026" t="s">
        <v>2509</v>
      </c>
      <c r="N1026" t="s">
        <v>337</v>
      </c>
      <c r="O1026" t="s">
        <v>338</v>
      </c>
      <c r="R1026" t="s">
        <v>121</v>
      </c>
      <c r="S1026">
        <v>1</v>
      </c>
      <c r="T1026" t="s">
        <v>1908</v>
      </c>
      <c r="U1026" s="1">
        <v>43368</v>
      </c>
      <c r="V1026" t="s">
        <v>123</v>
      </c>
      <c r="W1026" t="s">
        <v>124</v>
      </c>
      <c r="X1026" t="s">
        <v>58</v>
      </c>
      <c r="Y1026">
        <v>15</v>
      </c>
      <c r="Z1026" t="s">
        <v>59</v>
      </c>
      <c r="AA1026" t="s">
        <v>59</v>
      </c>
      <c r="AB1026" t="s">
        <v>59</v>
      </c>
      <c r="AD1026" t="s">
        <v>59</v>
      </c>
      <c r="AF1026" s="1">
        <v>43368</v>
      </c>
      <c r="AG1026" t="s">
        <v>125</v>
      </c>
      <c r="AH1026" t="s">
        <v>294</v>
      </c>
      <c r="AI1026" t="str">
        <f>"1701015"</f>
        <v>1701015</v>
      </c>
      <c r="AJ1026" t="s">
        <v>295</v>
      </c>
      <c r="AK1026">
        <v>2810761696</v>
      </c>
      <c r="AL1026" t="s">
        <v>296</v>
      </c>
      <c r="AM1026" t="s">
        <v>78</v>
      </c>
      <c r="AN1026" t="s">
        <v>219</v>
      </c>
      <c r="AO1026" t="s">
        <v>297</v>
      </c>
      <c r="AP1026" t="s">
        <v>297</v>
      </c>
      <c r="AQ1026">
        <v>10</v>
      </c>
      <c r="AR1026" t="s">
        <v>123</v>
      </c>
      <c r="AS1026" t="s">
        <v>124</v>
      </c>
      <c r="AT1026" t="s">
        <v>58</v>
      </c>
      <c r="AU1026" t="s">
        <v>2054</v>
      </c>
      <c r="AV1026" t="s">
        <v>132</v>
      </c>
      <c r="AW1026" s="1">
        <v>31048</v>
      </c>
      <c r="AX1026">
        <v>2</v>
      </c>
    </row>
    <row r="1027" spans="1:50">
      <c r="B1027" t="str">
        <f>"138951115"</f>
        <v>138951115</v>
      </c>
      <c r="C1027" t="s">
        <v>105</v>
      </c>
      <c r="D1027" t="s">
        <v>2510</v>
      </c>
      <c r="E1027" t="s">
        <v>900</v>
      </c>
      <c r="F1027" t="s">
        <v>153</v>
      </c>
      <c r="H1027" t="str">
        <f>" "</f>
        <v xml:space="preserve"> </v>
      </c>
      <c r="J1027">
        <v>2810230033</v>
      </c>
      <c r="K1027">
        <v>6976601403</v>
      </c>
      <c r="M1027" t="s">
        <v>2511</v>
      </c>
      <c r="N1027" t="s">
        <v>257</v>
      </c>
      <c r="O1027" t="s">
        <v>258</v>
      </c>
      <c r="R1027" t="s">
        <v>159</v>
      </c>
      <c r="S1027">
        <v>4</v>
      </c>
      <c r="T1027" t="s">
        <v>416</v>
      </c>
      <c r="U1027" s="1">
        <v>43349</v>
      </c>
      <c r="V1027" t="s">
        <v>123</v>
      </c>
      <c r="W1027" t="s">
        <v>124</v>
      </c>
      <c r="X1027" t="s">
        <v>58</v>
      </c>
      <c r="Y1027">
        <v>23</v>
      </c>
      <c r="Z1027" t="s">
        <v>59</v>
      </c>
      <c r="AA1027" t="s">
        <v>59</v>
      </c>
      <c r="AB1027" t="s">
        <v>59</v>
      </c>
      <c r="AC1027" t="s">
        <v>59</v>
      </c>
      <c r="AD1027" t="s">
        <v>59</v>
      </c>
      <c r="AF1027" s="1">
        <v>43349</v>
      </c>
      <c r="AG1027" t="s">
        <v>148</v>
      </c>
      <c r="AH1027" t="s">
        <v>149</v>
      </c>
      <c r="AI1027" t="str">
        <f>"1751051"</f>
        <v>1751051</v>
      </c>
      <c r="AJ1027" t="s">
        <v>259</v>
      </c>
      <c r="AK1027">
        <v>2810251794</v>
      </c>
      <c r="AL1027" t="s">
        <v>260</v>
      </c>
      <c r="AM1027" t="s">
        <v>78</v>
      </c>
      <c r="AN1027" t="s">
        <v>78</v>
      </c>
      <c r="AO1027" t="s">
        <v>78</v>
      </c>
      <c r="AP1027" t="s">
        <v>141</v>
      </c>
      <c r="AQ1027">
        <v>7</v>
      </c>
      <c r="AR1027" t="s">
        <v>123</v>
      </c>
      <c r="AS1027" t="s">
        <v>124</v>
      </c>
      <c r="AT1027" t="s">
        <v>58</v>
      </c>
      <c r="AU1027" t="s">
        <v>419</v>
      </c>
      <c r="AV1027" t="s">
        <v>132</v>
      </c>
      <c r="AW1027" s="1">
        <v>31430</v>
      </c>
      <c r="AX1027">
        <v>2</v>
      </c>
    </row>
    <row r="1028" spans="1:50">
      <c r="A1028">
        <v>195606</v>
      </c>
      <c r="B1028" t="str">
        <f>"056167845"</f>
        <v>056167845</v>
      </c>
      <c r="C1028" t="s">
        <v>105</v>
      </c>
      <c r="D1028" t="s">
        <v>2510</v>
      </c>
      <c r="E1028" t="s">
        <v>377</v>
      </c>
      <c r="F1028" t="s">
        <v>989</v>
      </c>
      <c r="G1028" t="s">
        <v>255</v>
      </c>
      <c r="H1028" t="str">
        <f>"ΣΤΕΡΓΙΟΓΙΑΝΝΗ ΗΡΑΚΛΕΙΟ"</f>
        <v>ΣΤΕΡΓΙΟΓΙΑΝΝΗ ΗΡΑΚΛΕΙΟ</v>
      </c>
      <c r="I1028">
        <v>71305</v>
      </c>
      <c r="J1028">
        <v>2810313250</v>
      </c>
      <c r="K1028">
        <v>6979623260</v>
      </c>
      <c r="L1028">
        <v>2810360880</v>
      </c>
      <c r="M1028" t="s">
        <v>2512</v>
      </c>
      <c r="N1028" t="s">
        <v>232</v>
      </c>
      <c r="O1028" t="s">
        <v>233</v>
      </c>
      <c r="P1028" t="s">
        <v>292</v>
      </c>
      <c r="Q1028" t="s">
        <v>293</v>
      </c>
      <c r="R1028" t="s">
        <v>57</v>
      </c>
      <c r="S1028">
        <v>11</v>
      </c>
      <c r="T1028">
        <v>194</v>
      </c>
      <c r="U1028" s="1">
        <v>37497</v>
      </c>
      <c r="V1028" t="s">
        <v>123</v>
      </c>
      <c r="W1028" t="s">
        <v>124</v>
      </c>
      <c r="X1028" t="s">
        <v>58</v>
      </c>
      <c r="Y1028">
        <v>20</v>
      </c>
      <c r="Z1028" t="s">
        <v>59</v>
      </c>
      <c r="AA1028" t="s">
        <v>59</v>
      </c>
      <c r="AB1028" t="s">
        <v>59</v>
      </c>
      <c r="AC1028" t="s">
        <v>59</v>
      </c>
      <c r="AD1028" t="s">
        <v>59</v>
      </c>
      <c r="AF1028" s="1">
        <v>37501</v>
      </c>
      <c r="AG1028" t="s">
        <v>148</v>
      </c>
      <c r="AH1028" t="s">
        <v>1053</v>
      </c>
      <c r="AI1028" t="str">
        <f>"1790200"</f>
        <v>1790200</v>
      </c>
      <c r="AJ1028" t="s">
        <v>1054</v>
      </c>
      <c r="AK1028">
        <v>2810360880</v>
      </c>
      <c r="AL1028" t="s">
        <v>1055</v>
      </c>
      <c r="AM1028" t="s">
        <v>78</v>
      </c>
      <c r="AN1028" t="s">
        <v>78</v>
      </c>
      <c r="AO1028" t="s">
        <v>78</v>
      </c>
      <c r="AP1028" t="s">
        <v>163</v>
      </c>
      <c r="AQ1028">
        <v>8</v>
      </c>
      <c r="AR1028" t="s">
        <v>123</v>
      </c>
      <c r="AS1028" t="s">
        <v>124</v>
      </c>
      <c r="AT1028" t="s">
        <v>58</v>
      </c>
      <c r="AU1028" t="s">
        <v>68</v>
      </c>
      <c r="AV1028" t="s">
        <v>69</v>
      </c>
      <c r="AW1028" s="1">
        <v>25118</v>
      </c>
      <c r="AX1028">
        <v>2</v>
      </c>
    </row>
    <row r="1029" spans="1:50">
      <c r="A1029">
        <v>165991</v>
      </c>
      <c r="B1029" t="str">
        <f>"031329914"</f>
        <v>031329914</v>
      </c>
      <c r="C1029" t="s">
        <v>105</v>
      </c>
      <c r="D1029" t="s">
        <v>2513</v>
      </c>
      <c r="E1029" t="s">
        <v>309</v>
      </c>
      <c r="F1029" t="s">
        <v>900</v>
      </c>
      <c r="G1029" t="s">
        <v>143</v>
      </c>
      <c r="H1029" t="str">
        <f>"ΠΑΠΑΝΑΣΤΑΣΙΟΥ  4 ΑΡΚΑΛΟΧΩΡΙ"</f>
        <v>ΠΑΠΑΝΑΣΤΑΣΙΟΥ  4 ΑΡΚΑΛΟΧΩΡΙ</v>
      </c>
      <c r="I1029">
        <v>70300</v>
      </c>
      <c r="J1029">
        <v>2891024516</v>
      </c>
      <c r="K1029">
        <v>6974247998</v>
      </c>
      <c r="M1029" t="s">
        <v>2514</v>
      </c>
      <c r="N1029" t="s">
        <v>292</v>
      </c>
      <c r="O1029" t="s">
        <v>293</v>
      </c>
      <c r="R1029" t="s">
        <v>57</v>
      </c>
      <c r="S1029">
        <v>14</v>
      </c>
      <c r="T1029">
        <v>137</v>
      </c>
      <c r="U1029" s="1">
        <v>34206</v>
      </c>
      <c r="V1029" t="s">
        <v>123</v>
      </c>
      <c r="W1029" t="s">
        <v>124</v>
      </c>
      <c r="X1029" t="s">
        <v>58</v>
      </c>
      <c r="Y1029">
        <v>18</v>
      </c>
      <c r="Z1029" t="s">
        <v>59</v>
      </c>
      <c r="AA1029" t="s">
        <v>59</v>
      </c>
      <c r="AB1029" t="s">
        <v>59</v>
      </c>
      <c r="AC1029" t="s">
        <v>59</v>
      </c>
      <c r="AD1029" t="s">
        <v>59</v>
      </c>
      <c r="AF1029" s="1">
        <v>34213</v>
      </c>
      <c r="AG1029" t="s">
        <v>148</v>
      </c>
      <c r="AH1029" t="s">
        <v>149</v>
      </c>
      <c r="AI1029" t="str">
        <f>"1752010"</f>
        <v>1752010</v>
      </c>
      <c r="AJ1029" t="s">
        <v>896</v>
      </c>
      <c r="AK1029">
        <v>2891022893</v>
      </c>
      <c r="AL1029" t="s">
        <v>897</v>
      </c>
      <c r="AM1029" t="s">
        <v>78</v>
      </c>
      <c r="AN1029" t="s">
        <v>276</v>
      </c>
      <c r="AO1029" t="s">
        <v>490</v>
      </c>
      <c r="AP1029" t="s">
        <v>490</v>
      </c>
      <c r="AQ1029">
        <v>15</v>
      </c>
      <c r="AR1029" t="s">
        <v>123</v>
      </c>
      <c r="AS1029" t="s">
        <v>124</v>
      </c>
      <c r="AT1029" t="s">
        <v>58</v>
      </c>
      <c r="AU1029" t="s">
        <v>68</v>
      </c>
      <c r="AV1029" t="s">
        <v>69</v>
      </c>
      <c r="AW1029" s="1">
        <v>21424</v>
      </c>
      <c r="AX1029">
        <v>2</v>
      </c>
    </row>
    <row r="1030" spans="1:50">
      <c r="A1030">
        <v>144016</v>
      </c>
      <c r="B1030" t="str">
        <f>"022695560"</f>
        <v>022695560</v>
      </c>
      <c r="C1030" t="s">
        <v>105</v>
      </c>
      <c r="D1030" t="s">
        <v>2513</v>
      </c>
      <c r="E1030" t="s">
        <v>309</v>
      </c>
      <c r="F1030" t="s">
        <v>95</v>
      </c>
      <c r="G1030" t="s">
        <v>237</v>
      </c>
      <c r="H1030" t="str">
        <f>"Γ.ΓΕΩΡΓΙΑΔΗ 31 ΗΡΑΚΛΕΙΟ"</f>
        <v>Γ.ΓΕΩΡΓΙΑΔΗ 31 ΗΡΑΚΛΕΙΟ</v>
      </c>
      <c r="I1030">
        <v>71305</v>
      </c>
      <c r="J1030">
        <v>2810320843</v>
      </c>
      <c r="K1030">
        <v>6973828421</v>
      </c>
      <c r="M1030" t="s">
        <v>2515</v>
      </c>
      <c r="N1030" t="s">
        <v>157</v>
      </c>
      <c r="O1030" t="s">
        <v>158</v>
      </c>
      <c r="R1030" t="s">
        <v>57</v>
      </c>
      <c r="S1030">
        <v>17</v>
      </c>
      <c r="T1030">
        <v>262</v>
      </c>
      <c r="U1030" s="1">
        <v>30916</v>
      </c>
      <c r="V1030" t="s">
        <v>123</v>
      </c>
      <c r="W1030" t="s">
        <v>124</v>
      </c>
      <c r="X1030" t="s">
        <v>58</v>
      </c>
      <c r="Y1030">
        <v>18</v>
      </c>
      <c r="Z1030" t="s">
        <v>59</v>
      </c>
      <c r="AA1030" t="s">
        <v>59</v>
      </c>
      <c r="AB1030" t="s">
        <v>59</v>
      </c>
      <c r="AC1030" t="s">
        <v>59</v>
      </c>
      <c r="AD1030" t="s">
        <v>59</v>
      </c>
      <c r="AF1030" s="1">
        <v>30929</v>
      </c>
      <c r="AG1030" t="s">
        <v>125</v>
      </c>
      <c r="AH1030" t="s">
        <v>126</v>
      </c>
      <c r="AI1030" t="str">
        <f>"1701020"</f>
        <v>1701020</v>
      </c>
      <c r="AJ1030" t="s">
        <v>323</v>
      </c>
      <c r="AK1030">
        <v>2810252111</v>
      </c>
      <c r="AL1030" t="s">
        <v>324</v>
      </c>
      <c r="AM1030" t="s">
        <v>78</v>
      </c>
      <c r="AN1030" t="s">
        <v>78</v>
      </c>
      <c r="AO1030" t="s">
        <v>78</v>
      </c>
      <c r="AP1030" t="s">
        <v>163</v>
      </c>
      <c r="AQ1030">
        <v>3</v>
      </c>
      <c r="AR1030" t="s">
        <v>123</v>
      </c>
      <c r="AS1030" t="s">
        <v>124</v>
      </c>
      <c r="AT1030" t="s">
        <v>58</v>
      </c>
      <c r="AU1030" t="s">
        <v>68</v>
      </c>
      <c r="AV1030" t="s">
        <v>69</v>
      </c>
      <c r="AW1030" s="1">
        <v>20795</v>
      </c>
      <c r="AX1030">
        <v>2</v>
      </c>
    </row>
    <row r="1031" spans="1:50">
      <c r="A1031">
        <v>214982</v>
      </c>
      <c r="B1031" t="str">
        <f>"106888938"</f>
        <v>106888938</v>
      </c>
      <c r="C1031" t="s">
        <v>105</v>
      </c>
      <c r="D1031" t="s">
        <v>2516</v>
      </c>
      <c r="E1031" t="s">
        <v>53</v>
      </c>
      <c r="F1031" t="s">
        <v>99</v>
      </c>
      <c r="G1031" t="s">
        <v>52</v>
      </c>
      <c r="H1031" t="str">
        <f>" "</f>
        <v xml:space="preserve"> </v>
      </c>
      <c r="J1031">
        <v>2106016773</v>
      </c>
      <c r="K1031">
        <v>6946824884</v>
      </c>
      <c r="M1031" t="s">
        <v>2517</v>
      </c>
      <c r="N1031" t="s">
        <v>168</v>
      </c>
      <c r="O1031" t="s">
        <v>169</v>
      </c>
      <c r="R1031" t="s">
        <v>57</v>
      </c>
      <c r="S1031">
        <v>8</v>
      </c>
      <c r="T1031">
        <v>231</v>
      </c>
      <c r="U1031" s="1">
        <v>38960</v>
      </c>
      <c r="V1031" t="s">
        <v>123</v>
      </c>
      <c r="W1031" t="s">
        <v>124</v>
      </c>
      <c r="X1031" t="s">
        <v>58</v>
      </c>
      <c r="Y1031">
        <v>20</v>
      </c>
      <c r="Z1031" t="s">
        <v>59</v>
      </c>
      <c r="AA1031" t="s">
        <v>59</v>
      </c>
      <c r="AB1031" t="s">
        <v>59</v>
      </c>
      <c r="AC1031" t="s">
        <v>59</v>
      </c>
      <c r="AD1031" t="s">
        <v>59</v>
      </c>
      <c r="AF1031" s="1">
        <v>38961</v>
      </c>
      <c r="AG1031" t="s">
        <v>137</v>
      </c>
      <c r="AH1031" t="s">
        <v>138</v>
      </c>
      <c r="AI1031" t="str">
        <f>"1740100"</f>
        <v>1740100</v>
      </c>
      <c r="AJ1031" t="s">
        <v>857</v>
      </c>
      <c r="AK1031">
        <v>2810360741</v>
      </c>
      <c r="AL1031" t="s">
        <v>858</v>
      </c>
      <c r="AM1031" t="s">
        <v>78</v>
      </c>
      <c r="AN1031" t="s">
        <v>78</v>
      </c>
      <c r="AO1031" t="s">
        <v>78</v>
      </c>
      <c r="AP1031" t="s">
        <v>163</v>
      </c>
      <c r="AQ1031">
        <v>5</v>
      </c>
      <c r="AR1031" t="s">
        <v>123</v>
      </c>
      <c r="AS1031" t="s">
        <v>124</v>
      </c>
      <c r="AT1031" t="s">
        <v>58</v>
      </c>
      <c r="AU1031" t="s">
        <v>68</v>
      </c>
      <c r="AV1031" t="s">
        <v>69</v>
      </c>
      <c r="AW1031" s="1">
        <v>27225</v>
      </c>
      <c r="AX1031">
        <v>2</v>
      </c>
    </row>
    <row r="1032" spans="1:50">
      <c r="A1032">
        <v>187562</v>
      </c>
      <c r="B1032" t="str">
        <f>"035513966"</f>
        <v>035513966</v>
      </c>
      <c r="C1032" t="s">
        <v>50</v>
      </c>
      <c r="D1032" t="s">
        <v>2518</v>
      </c>
      <c r="E1032" t="s">
        <v>52</v>
      </c>
      <c r="F1032" t="s">
        <v>72</v>
      </c>
      <c r="G1032" t="s">
        <v>250</v>
      </c>
      <c r="H1032" t="str">
        <f>" "</f>
        <v xml:space="preserve"> </v>
      </c>
      <c r="M1032" t="s">
        <v>2519</v>
      </c>
      <c r="N1032" t="s">
        <v>547</v>
      </c>
      <c r="O1032" t="s">
        <v>548</v>
      </c>
      <c r="P1032" t="s">
        <v>1351</v>
      </c>
      <c r="Q1032" t="s">
        <v>1352</v>
      </c>
      <c r="R1032" t="s">
        <v>57</v>
      </c>
      <c r="S1032">
        <v>14</v>
      </c>
      <c r="T1032">
        <v>251</v>
      </c>
      <c r="U1032" s="1">
        <v>36769</v>
      </c>
      <c r="V1032" t="s">
        <v>123</v>
      </c>
      <c r="W1032" t="s">
        <v>124</v>
      </c>
      <c r="X1032" t="s">
        <v>58</v>
      </c>
      <c r="Y1032">
        <v>20</v>
      </c>
      <c r="Z1032" t="s">
        <v>59</v>
      </c>
      <c r="AA1032" t="s">
        <v>59</v>
      </c>
      <c r="AB1032" t="s">
        <v>59</v>
      </c>
      <c r="AC1032" t="s">
        <v>59</v>
      </c>
      <c r="AD1032" t="s">
        <v>59</v>
      </c>
      <c r="AF1032" s="1">
        <v>36770</v>
      </c>
      <c r="AG1032" t="s">
        <v>137</v>
      </c>
      <c r="AH1032" t="s">
        <v>138</v>
      </c>
      <c r="AI1032" t="str">
        <f>"1740100"</f>
        <v>1740100</v>
      </c>
      <c r="AJ1032" t="s">
        <v>857</v>
      </c>
      <c r="AK1032">
        <v>2810360741</v>
      </c>
      <c r="AL1032" t="s">
        <v>858</v>
      </c>
      <c r="AM1032" t="s">
        <v>78</v>
      </c>
      <c r="AN1032" t="s">
        <v>78</v>
      </c>
      <c r="AO1032" t="s">
        <v>78</v>
      </c>
      <c r="AP1032" t="s">
        <v>163</v>
      </c>
      <c r="AQ1032">
        <v>5</v>
      </c>
      <c r="AR1032" t="s">
        <v>123</v>
      </c>
      <c r="AS1032" t="s">
        <v>124</v>
      </c>
      <c r="AT1032" t="s">
        <v>58</v>
      </c>
      <c r="AU1032" t="s">
        <v>68</v>
      </c>
      <c r="AV1032" t="s">
        <v>69</v>
      </c>
      <c r="AW1032" s="1">
        <v>23377</v>
      </c>
      <c r="AX1032">
        <v>2</v>
      </c>
    </row>
    <row r="1033" spans="1:50">
      <c r="A1033">
        <v>147819</v>
      </c>
      <c r="B1033" t="str">
        <f>"030217992"</f>
        <v>030217992</v>
      </c>
      <c r="C1033" t="s">
        <v>105</v>
      </c>
      <c r="D1033" t="s">
        <v>2520</v>
      </c>
      <c r="E1033" t="s">
        <v>166</v>
      </c>
      <c r="F1033" t="s">
        <v>72</v>
      </c>
      <c r="G1033" t="s">
        <v>2088</v>
      </c>
      <c r="H1033" t="str">
        <f>" "</f>
        <v xml:space="preserve"> </v>
      </c>
      <c r="N1033" t="s">
        <v>176</v>
      </c>
      <c r="O1033" t="s">
        <v>177</v>
      </c>
      <c r="R1033" t="s">
        <v>57</v>
      </c>
      <c r="S1033">
        <v>16</v>
      </c>
      <c r="T1033">
        <v>237</v>
      </c>
      <c r="U1033" s="1">
        <v>31293</v>
      </c>
      <c r="V1033" t="s">
        <v>123</v>
      </c>
      <c r="W1033" t="s">
        <v>124</v>
      </c>
      <c r="X1033" t="s">
        <v>58</v>
      </c>
      <c r="Y1033">
        <v>18</v>
      </c>
      <c r="Z1033" t="s">
        <v>59</v>
      </c>
      <c r="AA1033" t="s">
        <v>59</v>
      </c>
      <c r="AB1033" t="s">
        <v>59</v>
      </c>
      <c r="AC1033" t="s">
        <v>59</v>
      </c>
      <c r="AD1033" t="s">
        <v>59</v>
      </c>
      <c r="AF1033" s="1">
        <v>31303</v>
      </c>
      <c r="AG1033" t="s">
        <v>148</v>
      </c>
      <c r="AH1033" t="s">
        <v>149</v>
      </c>
      <c r="AI1033" t="str">
        <f>"1751020"</f>
        <v>1751020</v>
      </c>
      <c r="AJ1033" t="s">
        <v>532</v>
      </c>
      <c r="AK1033">
        <v>2810372732</v>
      </c>
      <c r="AL1033" t="s">
        <v>533</v>
      </c>
      <c r="AM1033" t="s">
        <v>78</v>
      </c>
      <c r="AN1033" t="s">
        <v>78</v>
      </c>
      <c r="AO1033" t="s">
        <v>78</v>
      </c>
      <c r="AP1033" t="s">
        <v>163</v>
      </c>
      <c r="AQ1033">
        <v>3</v>
      </c>
      <c r="AR1033" t="s">
        <v>123</v>
      </c>
      <c r="AS1033" t="s">
        <v>124</v>
      </c>
      <c r="AT1033" t="s">
        <v>58</v>
      </c>
      <c r="AU1033" t="s">
        <v>68</v>
      </c>
      <c r="AV1033" t="s">
        <v>69</v>
      </c>
      <c r="AW1033" s="1">
        <v>21725</v>
      </c>
      <c r="AX1033">
        <v>2</v>
      </c>
    </row>
    <row r="1034" spans="1:50">
      <c r="A1034">
        <v>188699</v>
      </c>
      <c r="B1034" t="str">
        <f>"038817316"</f>
        <v>038817316</v>
      </c>
      <c r="C1034" t="s">
        <v>105</v>
      </c>
      <c r="D1034" t="s">
        <v>2520</v>
      </c>
      <c r="E1034" t="s">
        <v>72</v>
      </c>
      <c r="F1034" t="s">
        <v>95</v>
      </c>
      <c r="G1034" t="s">
        <v>255</v>
      </c>
      <c r="H1034" t="str">
        <f>" "</f>
        <v xml:space="preserve"> </v>
      </c>
      <c r="J1034">
        <v>2810325607</v>
      </c>
      <c r="K1034">
        <v>6946764403</v>
      </c>
      <c r="N1034" t="s">
        <v>299</v>
      </c>
      <c r="O1034" t="s">
        <v>300</v>
      </c>
      <c r="P1034" t="s">
        <v>1525</v>
      </c>
      <c r="Q1034" t="s">
        <v>1526</v>
      </c>
      <c r="R1034" t="s">
        <v>57</v>
      </c>
      <c r="S1034">
        <v>10</v>
      </c>
      <c r="T1034">
        <v>310</v>
      </c>
      <c r="U1034" s="1">
        <v>36833</v>
      </c>
      <c r="V1034" t="s">
        <v>123</v>
      </c>
      <c r="W1034" t="s">
        <v>124</v>
      </c>
      <c r="X1034" t="s">
        <v>58</v>
      </c>
      <c r="Y1034">
        <v>18</v>
      </c>
      <c r="Z1034" t="s">
        <v>59</v>
      </c>
      <c r="AA1034" t="s">
        <v>59</v>
      </c>
      <c r="AB1034" t="s">
        <v>59</v>
      </c>
      <c r="AC1034" t="s">
        <v>59</v>
      </c>
      <c r="AD1034" t="s">
        <v>59</v>
      </c>
      <c r="AF1034" s="1">
        <v>36838</v>
      </c>
      <c r="AG1034" t="s">
        <v>137</v>
      </c>
      <c r="AH1034" t="s">
        <v>138</v>
      </c>
      <c r="AI1034" t="str">
        <f>"1740070"</f>
        <v>1740070</v>
      </c>
      <c r="AJ1034" t="s">
        <v>206</v>
      </c>
      <c r="AK1034">
        <v>2810324880</v>
      </c>
      <c r="AL1034" t="s">
        <v>207</v>
      </c>
      <c r="AM1034" t="s">
        <v>78</v>
      </c>
      <c r="AN1034" t="s">
        <v>78</v>
      </c>
      <c r="AO1034" t="s">
        <v>78</v>
      </c>
      <c r="AP1034" t="s">
        <v>163</v>
      </c>
      <c r="AQ1034">
        <v>9</v>
      </c>
      <c r="AR1034" t="s">
        <v>123</v>
      </c>
      <c r="AS1034" t="s">
        <v>124</v>
      </c>
      <c r="AT1034" t="s">
        <v>58</v>
      </c>
      <c r="AU1034" t="s">
        <v>68</v>
      </c>
      <c r="AV1034" t="s">
        <v>69</v>
      </c>
      <c r="AW1034" s="1">
        <v>23776</v>
      </c>
      <c r="AX1034">
        <v>2</v>
      </c>
    </row>
    <row r="1035" spans="1:50">
      <c r="B1035" t="str">
        <f>"100985125"</f>
        <v>100985125</v>
      </c>
      <c r="C1035" t="s">
        <v>50</v>
      </c>
      <c r="D1035" t="s">
        <v>2521</v>
      </c>
      <c r="E1035" t="s">
        <v>109</v>
      </c>
      <c r="F1035" t="s">
        <v>1041</v>
      </c>
      <c r="G1035" t="s">
        <v>155</v>
      </c>
      <c r="H1035" t="str">
        <f>"ΠΑΠΑΓΟΥ 5 ΚΑΡΔΙΤΣΑ"</f>
        <v>ΠΑΠΑΓΟΥ 5 ΚΑΡΔΙΤΣΑ</v>
      </c>
      <c r="I1035">
        <v>43100</v>
      </c>
      <c r="J1035">
        <v>2441025379</v>
      </c>
      <c r="K1035">
        <v>6974905619</v>
      </c>
      <c r="M1035" t="s">
        <v>2522</v>
      </c>
      <c r="N1035" t="s">
        <v>146</v>
      </c>
      <c r="O1035" t="s">
        <v>147</v>
      </c>
      <c r="R1035" t="s">
        <v>159</v>
      </c>
      <c r="S1035">
        <v>4</v>
      </c>
      <c r="T1035" t="s">
        <v>416</v>
      </c>
      <c r="U1035" s="1">
        <v>43349</v>
      </c>
      <c r="V1035" t="s">
        <v>123</v>
      </c>
      <c r="W1035" t="s">
        <v>124</v>
      </c>
      <c r="X1035" t="s">
        <v>58</v>
      </c>
      <c r="Y1035">
        <v>21</v>
      </c>
      <c r="Z1035" t="s">
        <v>59</v>
      </c>
      <c r="AA1035" t="s">
        <v>59</v>
      </c>
      <c r="AB1035" t="s">
        <v>59</v>
      </c>
      <c r="AC1035" t="s">
        <v>59</v>
      </c>
      <c r="AD1035" t="s">
        <v>59</v>
      </c>
      <c r="AF1035" s="1">
        <v>43349</v>
      </c>
      <c r="AG1035" t="s">
        <v>148</v>
      </c>
      <c r="AH1035" t="s">
        <v>149</v>
      </c>
      <c r="AI1035" t="str">
        <f>"1760010"</f>
        <v>1760010</v>
      </c>
      <c r="AJ1035" t="s">
        <v>701</v>
      </c>
      <c r="AK1035">
        <v>2810711442</v>
      </c>
      <c r="AL1035" t="s">
        <v>702</v>
      </c>
      <c r="AM1035" t="s">
        <v>78</v>
      </c>
      <c r="AN1035" t="s">
        <v>129</v>
      </c>
      <c r="AO1035" t="s">
        <v>597</v>
      </c>
      <c r="AP1035" t="s">
        <v>598</v>
      </c>
      <c r="AQ1035">
        <v>28</v>
      </c>
      <c r="AR1035" t="s">
        <v>123</v>
      </c>
      <c r="AS1035" t="s">
        <v>124</v>
      </c>
      <c r="AT1035" t="s">
        <v>58</v>
      </c>
      <c r="AU1035" t="s">
        <v>419</v>
      </c>
      <c r="AV1035" t="s">
        <v>132</v>
      </c>
      <c r="AW1035" s="1">
        <v>27743</v>
      </c>
      <c r="AX1035">
        <v>2</v>
      </c>
    </row>
    <row r="1036" spans="1:50">
      <c r="A1036">
        <v>202894</v>
      </c>
      <c r="B1036" t="str">
        <f>"054940183"</f>
        <v>054940183</v>
      </c>
      <c r="C1036" t="s">
        <v>50</v>
      </c>
      <c r="D1036" t="s">
        <v>2523</v>
      </c>
      <c r="E1036" t="s">
        <v>52</v>
      </c>
      <c r="F1036" t="s">
        <v>450</v>
      </c>
      <c r="G1036" t="s">
        <v>2524</v>
      </c>
      <c r="H1036" t="str">
        <f>"ΠΑΤΡ. ΦΩΤΙΟΥ  9 ΜΑΣΤΑΜΠΑΣ"</f>
        <v>ΠΑΤΡ. ΦΩΤΙΟΥ  9 ΜΑΣΤΑΜΠΑΣ</v>
      </c>
      <c r="I1036">
        <v>71305</v>
      </c>
      <c r="J1036">
        <v>2810210780</v>
      </c>
      <c r="K1036">
        <v>6944295215</v>
      </c>
      <c r="M1036" t="s">
        <v>2525</v>
      </c>
      <c r="N1036" t="s">
        <v>246</v>
      </c>
      <c r="O1036" t="s">
        <v>247</v>
      </c>
      <c r="R1036" t="s">
        <v>57</v>
      </c>
      <c r="S1036">
        <v>6</v>
      </c>
      <c r="T1036">
        <v>231</v>
      </c>
      <c r="U1036" s="1">
        <v>38230</v>
      </c>
      <c r="V1036" t="s">
        <v>123</v>
      </c>
      <c r="W1036" t="s">
        <v>124</v>
      </c>
      <c r="X1036" t="s">
        <v>58</v>
      </c>
      <c r="Y1036">
        <v>20</v>
      </c>
      <c r="Z1036" t="s">
        <v>59</v>
      </c>
      <c r="AA1036" t="s">
        <v>59</v>
      </c>
      <c r="AB1036" t="s">
        <v>59</v>
      </c>
      <c r="AC1036" t="s">
        <v>59</v>
      </c>
      <c r="AD1036" t="s">
        <v>59</v>
      </c>
      <c r="AF1036" s="1">
        <v>38232</v>
      </c>
      <c r="AG1036" t="s">
        <v>148</v>
      </c>
      <c r="AH1036" t="s">
        <v>149</v>
      </c>
      <c r="AI1036" t="str">
        <f>"1777010"</f>
        <v>1777010</v>
      </c>
      <c r="AJ1036" t="s">
        <v>612</v>
      </c>
      <c r="AK1036">
        <v>2810229220</v>
      </c>
      <c r="AL1036" t="s">
        <v>613</v>
      </c>
      <c r="AM1036" t="s">
        <v>78</v>
      </c>
      <c r="AN1036" t="s">
        <v>78</v>
      </c>
      <c r="AO1036" t="s">
        <v>286</v>
      </c>
      <c r="AP1036" t="s">
        <v>286</v>
      </c>
      <c r="AQ1036">
        <v>12</v>
      </c>
      <c r="AR1036" t="s">
        <v>123</v>
      </c>
      <c r="AS1036" t="s">
        <v>124</v>
      </c>
      <c r="AT1036" t="s">
        <v>58</v>
      </c>
      <c r="AU1036" t="s">
        <v>68</v>
      </c>
      <c r="AV1036" t="s">
        <v>69</v>
      </c>
      <c r="AW1036" s="1">
        <v>25861</v>
      </c>
      <c r="AX1036">
        <v>2</v>
      </c>
    </row>
    <row r="1037" spans="1:50">
      <c r="A1037">
        <v>170696</v>
      </c>
      <c r="B1037" t="str">
        <f>"024865376"</f>
        <v>024865376</v>
      </c>
      <c r="C1037" t="s">
        <v>105</v>
      </c>
      <c r="D1037" t="s">
        <v>2526</v>
      </c>
      <c r="E1037" t="s">
        <v>92</v>
      </c>
      <c r="F1037" t="s">
        <v>106</v>
      </c>
      <c r="G1037" t="s">
        <v>52</v>
      </c>
      <c r="H1037" t="str">
        <f>"Ιωνιας ΗΡΑΚΛΕΙΟ"</f>
        <v>Ιωνιας ΗΡΑΚΛΕΙΟ</v>
      </c>
      <c r="I1037">
        <v>71306</v>
      </c>
      <c r="J1037">
        <v>2810231596</v>
      </c>
      <c r="K1037">
        <v>6972027242</v>
      </c>
      <c r="M1037" t="s">
        <v>2527</v>
      </c>
      <c r="N1037" t="s">
        <v>1647</v>
      </c>
      <c r="O1037" t="s">
        <v>1648</v>
      </c>
      <c r="R1037" t="s">
        <v>57</v>
      </c>
      <c r="S1037">
        <v>11</v>
      </c>
      <c r="T1037">
        <v>184</v>
      </c>
      <c r="U1037" s="1">
        <v>34941</v>
      </c>
      <c r="V1037" t="s">
        <v>123</v>
      </c>
      <c r="W1037" t="s">
        <v>124</v>
      </c>
      <c r="X1037" t="s">
        <v>58</v>
      </c>
      <c r="Y1037">
        <v>18</v>
      </c>
      <c r="Z1037" t="s">
        <v>59</v>
      </c>
      <c r="AA1037" t="s">
        <v>59</v>
      </c>
      <c r="AB1037" t="s">
        <v>59</v>
      </c>
      <c r="AC1037" t="s">
        <v>59</v>
      </c>
      <c r="AD1037" t="s">
        <v>59</v>
      </c>
      <c r="AF1037" s="1">
        <v>34943</v>
      </c>
      <c r="AG1037" t="s">
        <v>125</v>
      </c>
      <c r="AH1037" t="s">
        <v>359</v>
      </c>
      <c r="AI1037" t="str">
        <f>"1701060"</f>
        <v>1701060</v>
      </c>
      <c r="AJ1037" t="s">
        <v>360</v>
      </c>
      <c r="AK1037">
        <v>2810223424</v>
      </c>
      <c r="AL1037" t="s">
        <v>361</v>
      </c>
      <c r="AM1037" t="s">
        <v>78</v>
      </c>
      <c r="AN1037" t="s">
        <v>78</v>
      </c>
      <c r="AO1037" t="s">
        <v>78</v>
      </c>
      <c r="AP1037" t="s">
        <v>79</v>
      </c>
      <c r="AQ1037">
        <v>1</v>
      </c>
      <c r="AR1037" t="s">
        <v>123</v>
      </c>
      <c r="AS1037" t="s">
        <v>124</v>
      </c>
      <c r="AT1037" t="s">
        <v>58</v>
      </c>
      <c r="AU1037" t="s">
        <v>68</v>
      </c>
      <c r="AV1037" t="s">
        <v>69</v>
      </c>
      <c r="AW1037" s="1">
        <v>21400</v>
      </c>
      <c r="AX1037">
        <v>2</v>
      </c>
    </row>
    <row r="1038" spans="1:50">
      <c r="A1038">
        <v>199497</v>
      </c>
      <c r="B1038" t="str">
        <f>"036263393"</f>
        <v>036263393</v>
      </c>
      <c r="C1038" t="s">
        <v>105</v>
      </c>
      <c r="D1038" t="s">
        <v>2528</v>
      </c>
      <c r="E1038" t="s">
        <v>99</v>
      </c>
      <c r="F1038" t="s">
        <v>304</v>
      </c>
      <c r="G1038" t="s">
        <v>96</v>
      </c>
      <c r="H1038" t="str">
        <f>" "</f>
        <v xml:space="preserve"> </v>
      </c>
      <c r="J1038">
        <v>2810322472</v>
      </c>
      <c r="K1038">
        <v>6977248431</v>
      </c>
      <c r="M1038" t="s">
        <v>2529</v>
      </c>
      <c r="N1038" t="s">
        <v>168</v>
      </c>
      <c r="O1038" t="s">
        <v>169</v>
      </c>
      <c r="R1038" t="s">
        <v>57</v>
      </c>
      <c r="S1038">
        <v>11</v>
      </c>
      <c r="T1038">
        <v>206</v>
      </c>
      <c r="U1038" s="1">
        <v>37866</v>
      </c>
      <c r="V1038" t="s">
        <v>123</v>
      </c>
      <c r="W1038" t="s">
        <v>124</v>
      </c>
      <c r="X1038" t="s">
        <v>58</v>
      </c>
      <c r="Y1038">
        <v>20</v>
      </c>
      <c r="Z1038" t="s">
        <v>59</v>
      </c>
      <c r="AA1038" t="s">
        <v>59</v>
      </c>
      <c r="AB1038" t="s">
        <v>59</v>
      </c>
      <c r="AC1038" t="s">
        <v>59</v>
      </c>
      <c r="AD1038" t="s">
        <v>59</v>
      </c>
      <c r="AF1038" s="1">
        <v>37866</v>
      </c>
      <c r="AG1038" t="s">
        <v>137</v>
      </c>
      <c r="AH1038" t="s">
        <v>469</v>
      </c>
      <c r="AI1038" t="str">
        <f>"1740200"</f>
        <v>1740200</v>
      </c>
      <c r="AJ1038" t="s">
        <v>470</v>
      </c>
      <c r="AK1038">
        <v>2810320770</v>
      </c>
      <c r="AL1038" t="s">
        <v>471</v>
      </c>
      <c r="AM1038" t="s">
        <v>78</v>
      </c>
      <c r="AN1038" t="s">
        <v>78</v>
      </c>
      <c r="AO1038" t="s">
        <v>78</v>
      </c>
      <c r="AP1038" t="s">
        <v>163</v>
      </c>
      <c r="AQ1038">
        <v>2</v>
      </c>
      <c r="AR1038" t="s">
        <v>123</v>
      </c>
      <c r="AS1038" t="s">
        <v>124</v>
      </c>
      <c r="AT1038" t="s">
        <v>58</v>
      </c>
      <c r="AU1038" t="s">
        <v>68</v>
      </c>
      <c r="AV1038" t="s">
        <v>69</v>
      </c>
      <c r="AW1038" s="1">
        <v>22485</v>
      </c>
      <c r="AX1038">
        <v>2</v>
      </c>
    </row>
    <row r="1039" spans="1:50">
      <c r="A1039">
        <v>188349</v>
      </c>
      <c r="B1039" t="str">
        <f>"077517250"</f>
        <v>077517250</v>
      </c>
      <c r="C1039" t="s">
        <v>50</v>
      </c>
      <c r="D1039" t="s">
        <v>2530</v>
      </c>
      <c r="E1039" t="s">
        <v>314</v>
      </c>
      <c r="F1039" t="s">
        <v>1841</v>
      </c>
      <c r="G1039" t="s">
        <v>382</v>
      </c>
      <c r="H1039" t="str">
        <f>"ΛΕΩΦΟΡΟΣ ΚΝΩΣΟΥ 84 ΗΡΑΚΛΕΙΟ"</f>
        <v>ΛΕΩΦΟΡΟΣ ΚΝΩΣΟΥ 84 ΗΡΑΚΛΕΙΟ</v>
      </c>
      <c r="I1039">
        <v>71306</v>
      </c>
      <c r="K1039">
        <v>6937484869</v>
      </c>
      <c r="N1039" t="s">
        <v>204</v>
      </c>
      <c r="O1039" t="s">
        <v>205</v>
      </c>
      <c r="R1039" t="s">
        <v>57</v>
      </c>
      <c r="S1039">
        <v>11</v>
      </c>
      <c r="T1039">
        <v>251</v>
      </c>
      <c r="U1039" s="1">
        <v>36769</v>
      </c>
      <c r="V1039" t="s">
        <v>123</v>
      </c>
      <c r="W1039" t="s">
        <v>124</v>
      </c>
      <c r="X1039" t="s">
        <v>58</v>
      </c>
      <c r="Y1039">
        <v>20</v>
      </c>
      <c r="Z1039" t="s">
        <v>59</v>
      </c>
      <c r="AA1039" t="s">
        <v>59</v>
      </c>
      <c r="AB1039" t="s">
        <v>59</v>
      </c>
      <c r="AC1039" t="s">
        <v>59</v>
      </c>
      <c r="AD1039" t="s">
        <v>59</v>
      </c>
      <c r="AF1039" s="1">
        <v>36770</v>
      </c>
      <c r="AG1039" t="s">
        <v>148</v>
      </c>
      <c r="AH1039" t="s">
        <v>149</v>
      </c>
      <c r="AI1039" t="str">
        <f>"1751070"</f>
        <v>1751070</v>
      </c>
      <c r="AJ1039" t="s">
        <v>1435</v>
      </c>
      <c r="AK1039">
        <v>2810771016</v>
      </c>
      <c r="AL1039" t="s">
        <v>1436</v>
      </c>
      <c r="AM1039" t="s">
        <v>78</v>
      </c>
      <c r="AN1039" t="s">
        <v>219</v>
      </c>
      <c r="AO1039" t="s">
        <v>1437</v>
      </c>
      <c r="AP1039" t="s">
        <v>1437</v>
      </c>
      <c r="AQ1039">
        <v>21</v>
      </c>
      <c r="AR1039" t="s">
        <v>123</v>
      </c>
      <c r="AS1039" t="s">
        <v>124</v>
      </c>
      <c r="AT1039" t="s">
        <v>58</v>
      </c>
      <c r="AU1039" t="s">
        <v>68</v>
      </c>
      <c r="AV1039" t="s">
        <v>69</v>
      </c>
      <c r="AW1039" s="1">
        <v>26374</v>
      </c>
      <c r="AX1039">
        <v>2</v>
      </c>
    </row>
    <row r="1040" spans="1:50">
      <c r="A1040">
        <v>223029</v>
      </c>
      <c r="B1040" t="str">
        <f>"064071884"</f>
        <v>064071884</v>
      </c>
      <c r="C1040" t="s">
        <v>105</v>
      </c>
      <c r="D1040" t="s">
        <v>2531</v>
      </c>
      <c r="E1040" t="s">
        <v>166</v>
      </c>
      <c r="F1040" t="s">
        <v>383</v>
      </c>
      <c r="G1040" t="s">
        <v>52</v>
      </c>
      <c r="H1040" t="str">
        <f>"ΠΑΠΑΝΑΣΤΑΣΙΟΥ 63 ΗΡΑΚΛΕΙΟ"</f>
        <v>ΠΑΠΑΝΑΣΤΑΣΙΟΥ 63 ΗΡΑΚΛΕΙΟ</v>
      </c>
      <c r="J1040">
        <v>2842051294</v>
      </c>
      <c r="K1040">
        <v>6945657736</v>
      </c>
      <c r="M1040" t="s">
        <v>2532</v>
      </c>
      <c r="N1040" t="s">
        <v>292</v>
      </c>
      <c r="O1040" t="s">
        <v>293</v>
      </c>
      <c r="R1040" t="s">
        <v>57</v>
      </c>
      <c r="S1040">
        <v>6</v>
      </c>
      <c r="T1040">
        <v>775</v>
      </c>
      <c r="U1040" s="1">
        <v>39680</v>
      </c>
      <c r="V1040" t="s">
        <v>123</v>
      </c>
      <c r="W1040" t="s">
        <v>124</v>
      </c>
      <c r="X1040" t="s">
        <v>58</v>
      </c>
      <c r="Y1040">
        <v>20</v>
      </c>
      <c r="Z1040" t="s">
        <v>59</v>
      </c>
      <c r="AA1040" t="s">
        <v>59</v>
      </c>
      <c r="AB1040" t="s">
        <v>59</v>
      </c>
      <c r="AC1040" t="s">
        <v>59</v>
      </c>
      <c r="AD1040" t="s">
        <v>59</v>
      </c>
      <c r="AF1040" s="1">
        <v>39682</v>
      </c>
      <c r="AG1040" t="s">
        <v>148</v>
      </c>
      <c r="AH1040" t="s">
        <v>149</v>
      </c>
      <c r="AI1040" t="str">
        <f>"1752010"</f>
        <v>1752010</v>
      </c>
      <c r="AJ1040" t="s">
        <v>896</v>
      </c>
      <c r="AK1040">
        <v>2891022893</v>
      </c>
      <c r="AL1040" t="s">
        <v>897</v>
      </c>
      <c r="AM1040" t="s">
        <v>78</v>
      </c>
      <c r="AN1040" t="s">
        <v>276</v>
      </c>
      <c r="AO1040" t="s">
        <v>490</v>
      </c>
      <c r="AP1040" t="s">
        <v>490</v>
      </c>
      <c r="AQ1040">
        <v>15</v>
      </c>
      <c r="AR1040" t="s">
        <v>123</v>
      </c>
      <c r="AS1040" t="s">
        <v>124</v>
      </c>
      <c r="AT1040" t="s">
        <v>58</v>
      </c>
      <c r="AU1040" t="s">
        <v>68</v>
      </c>
      <c r="AV1040" t="s">
        <v>69</v>
      </c>
      <c r="AW1040" s="1">
        <v>26397</v>
      </c>
      <c r="AX1040">
        <v>2</v>
      </c>
    </row>
    <row r="1041" spans="1:50">
      <c r="A1041">
        <v>188350</v>
      </c>
      <c r="B1041" t="str">
        <f>"076140603"</f>
        <v>076140603</v>
      </c>
      <c r="C1041" t="s">
        <v>105</v>
      </c>
      <c r="D1041" t="s">
        <v>2533</v>
      </c>
      <c r="E1041" t="s">
        <v>95</v>
      </c>
      <c r="F1041" t="s">
        <v>154</v>
      </c>
      <c r="G1041" t="s">
        <v>2534</v>
      </c>
      <c r="H1041" t="str">
        <f>"ΚΟΚΚΙΝΗ ΧΑΝΙ ΗΡΑΚΛΕΙΟΥ ΓΟΥΒΕΣ"</f>
        <v>ΚΟΚΚΙΝΗ ΧΑΝΙ ΗΡΑΚΛΕΙΟΥ ΓΟΥΒΕΣ</v>
      </c>
      <c r="I1041">
        <v>71500</v>
      </c>
      <c r="J1041">
        <v>2810762609</v>
      </c>
      <c r="K1041">
        <v>6972056722</v>
      </c>
      <c r="M1041" t="s">
        <v>2535</v>
      </c>
      <c r="N1041" t="s">
        <v>204</v>
      </c>
      <c r="O1041" t="s">
        <v>205</v>
      </c>
      <c r="R1041" t="s">
        <v>57</v>
      </c>
      <c r="S1041">
        <v>11</v>
      </c>
      <c r="T1041">
        <v>251</v>
      </c>
      <c r="U1041" s="1">
        <v>36769</v>
      </c>
      <c r="V1041" t="s">
        <v>123</v>
      </c>
      <c r="W1041" t="s">
        <v>124</v>
      </c>
      <c r="X1041" t="s">
        <v>58</v>
      </c>
      <c r="Y1041">
        <v>20</v>
      </c>
      <c r="Z1041" t="s">
        <v>59</v>
      </c>
      <c r="AA1041" t="s">
        <v>59</v>
      </c>
      <c r="AB1041" t="s">
        <v>59</v>
      </c>
      <c r="AC1041" t="s">
        <v>59</v>
      </c>
      <c r="AD1041" t="s">
        <v>59</v>
      </c>
      <c r="AF1041" s="1">
        <v>36770</v>
      </c>
      <c r="AG1041" t="s">
        <v>125</v>
      </c>
      <c r="AH1041" t="s">
        <v>126</v>
      </c>
      <c r="AI1041" t="str">
        <f>"1714012"</f>
        <v>1714012</v>
      </c>
      <c r="AJ1041" t="s">
        <v>633</v>
      </c>
      <c r="AK1041">
        <v>2810762261</v>
      </c>
      <c r="AL1041" t="s">
        <v>634</v>
      </c>
      <c r="AM1041" t="s">
        <v>78</v>
      </c>
      <c r="AN1041" t="s">
        <v>219</v>
      </c>
      <c r="AO1041" t="s">
        <v>297</v>
      </c>
      <c r="AP1041" t="s">
        <v>297</v>
      </c>
      <c r="AQ1041">
        <v>37</v>
      </c>
      <c r="AR1041" t="s">
        <v>123</v>
      </c>
      <c r="AS1041" t="s">
        <v>124</v>
      </c>
      <c r="AT1041" t="s">
        <v>58</v>
      </c>
      <c r="AU1041" t="s">
        <v>68</v>
      </c>
      <c r="AV1041" t="s">
        <v>69</v>
      </c>
      <c r="AW1041" s="1">
        <v>26230</v>
      </c>
      <c r="AX1041">
        <v>2</v>
      </c>
    </row>
    <row r="1042" spans="1:50">
      <c r="A1042">
        <v>159886</v>
      </c>
      <c r="B1042" t="str">
        <f>"063919539"</f>
        <v>063919539</v>
      </c>
      <c r="C1042" t="s">
        <v>50</v>
      </c>
      <c r="D1042" t="s">
        <v>2536</v>
      </c>
      <c r="E1042" t="s">
        <v>85</v>
      </c>
      <c r="F1042" t="s">
        <v>111</v>
      </c>
      <c r="G1042" t="s">
        <v>411</v>
      </c>
      <c r="H1042" t="str">
        <f>"ΠΡΑΙΤΩΡΙΑ "</f>
        <v xml:space="preserve">ΠΡΑΙΤΩΡΙΑ </v>
      </c>
      <c r="I1042">
        <v>70010</v>
      </c>
      <c r="M1042" t="s">
        <v>2537</v>
      </c>
      <c r="N1042" t="s">
        <v>292</v>
      </c>
      <c r="O1042" t="s">
        <v>293</v>
      </c>
      <c r="R1042" t="s">
        <v>57</v>
      </c>
      <c r="S1042">
        <v>14</v>
      </c>
      <c r="T1042">
        <v>161</v>
      </c>
      <c r="U1042" s="1">
        <v>33119</v>
      </c>
      <c r="V1042" t="s">
        <v>123</v>
      </c>
      <c r="W1042" t="s">
        <v>124</v>
      </c>
      <c r="X1042" t="s">
        <v>58</v>
      </c>
      <c r="Y1042">
        <v>18</v>
      </c>
      <c r="Z1042" t="s">
        <v>59</v>
      </c>
      <c r="AA1042" t="s">
        <v>59</v>
      </c>
      <c r="AB1042" t="s">
        <v>59</v>
      </c>
      <c r="AC1042" t="s">
        <v>59</v>
      </c>
      <c r="AD1042" t="s">
        <v>59</v>
      </c>
      <c r="AF1042" s="1">
        <v>33120</v>
      </c>
      <c r="AG1042" t="s">
        <v>125</v>
      </c>
      <c r="AH1042" t="s">
        <v>126</v>
      </c>
      <c r="AI1042" t="str">
        <f>"1715010"</f>
        <v>1715010</v>
      </c>
      <c r="AJ1042" t="s">
        <v>812</v>
      </c>
      <c r="AK1042">
        <v>2893031193</v>
      </c>
      <c r="AL1042" t="s">
        <v>813</v>
      </c>
      <c r="AM1042" t="s">
        <v>78</v>
      </c>
      <c r="AN1042" t="s">
        <v>405</v>
      </c>
      <c r="AO1042" t="s">
        <v>805</v>
      </c>
      <c r="AP1042" t="s">
        <v>806</v>
      </c>
      <c r="AQ1042">
        <v>25</v>
      </c>
      <c r="AR1042" t="s">
        <v>123</v>
      </c>
      <c r="AS1042" t="s">
        <v>124</v>
      </c>
      <c r="AT1042" t="s">
        <v>58</v>
      </c>
      <c r="AU1042" t="s">
        <v>68</v>
      </c>
      <c r="AV1042" t="s">
        <v>69</v>
      </c>
      <c r="AW1042" s="1">
        <v>20529</v>
      </c>
      <c r="AX1042">
        <v>2</v>
      </c>
    </row>
    <row r="1043" spans="1:50">
      <c r="A1043">
        <v>198051</v>
      </c>
      <c r="B1043" t="str">
        <f>"032767229"</f>
        <v>032767229</v>
      </c>
      <c r="C1043" t="s">
        <v>105</v>
      </c>
      <c r="D1043" t="s">
        <v>2538</v>
      </c>
      <c r="E1043" t="s">
        <v>95</v>
      </c>
      <c r="F1043" t="s">
        <v>99</v>
      </c>
      <c r="G1043" t="s">
        <v>1078</v>
      </c>
      <c r="H1043" t="str">
        <f>"ΚΑΛΕΣΑ ΗΡΑΚΛΕΙΟΥ "</f>
        <v xml:space="preserve">ΚΑΛΕΣΑ ΗΡΑΚΛΕΙΟΥ </v>
      </c>
      <c r="J1043">
        <v>2810822773</v>
      </c>
      <c r="K1043">
        <v>6944574608</v>
      </c>
      <c r="M1043" t="s">
        <v>2539</v>
      </c>
      <c r="N1043" t="s">
        <v>232</v>
      </c>
      <c r="O1043" t="s">
        <v>233</v>
      </c>
      <c r="R1043" t="s">
        <v>57</v>
      </c>
      <c r="S1043">
        <v>9</v>
      </c>
      <c r="T1043">
        <v>206</v>
      </c>
      <c r="U1043" s="1">
        <v>37866</v>
      </c>
      <c r="V1043" t="s">
        <v>123</v>
      </c>
      <c r="W1043" t="s">
        <v>124</v>
      </c>
      <c r="X1043" t="s">
        <v>58</v>
      </c>
      <c r="Y1043">
        <v>20</v>
      </c>
      <c r="Z1043" t="s">
        <v>59</v>
      </c>
      <c r="AA1043" t="s">
        <v>59</v>
      </c>
      <c r="AB1043" t="s">
        <v>59</v>
      </c>
      <c r="AC1043" t="s">
        <v>59</v>
      </c>
      <c r="AD1043" t="s">
        <v>452</v>
      </c>
      <c r="AE1043" s="1">
        <v>43708</v>
      </c>
      <c r="AF1043" s="1">
        <v>37866</v>
      </c>
      <c r="AG1043" t="s">
        <v>60</v>
      </c>
      <c r="AH1043" t="s">
        <v>453</v>
      </c>
      <c r="AI1043" t="str">
        <f>"1700105"</f>
        <v>1700105</v>
      </c>
      <c r="AJ1043" t="s">
        <v>124</v>
      </c>
      <c r="AK1043">
        <v>2810333720</v>
      </c>
      <c r="AL1043" t="s">
        <v>454</v>
      </c>
      <c r="AM1043" t="s">
        <v>78</v>
      </c>
      <c r="AN1043" t="s">
        <v>78</v>
      </c>
      <c r="AO1043" t="s">
        <v>78</v>
      </c>
      <c r="AP1043" t="s">
        <v>79</v>
      </c>
      <c r="AS1043" t="s">
        <v>124</v>
      </c>
      <c r="AT1043" t="s">
        <v>58</v>
      </c>
      <c r="AU1043" t="s">
        <v>68</v>
      </c>
      <c r="AV1043" t="s">
        <v>455</v>
      </c>
      <c r="AW1043" s="1">
        <v>22974</v>
      </c>
      <c r="AX1043">
        <v>2</v>
      </c>
    </row>
    <row r="1044" spans="1:50">
      <c r="A1044">
        <v>156639</v>
      </c>
      <c r="B1044" t="str">
        <f>"025959514"</f>
        <v>025959514</v>
      </c>
      <c r="C1044" t="s">
        <v>105</v>
      </c>
      <c r="D1044" t="s">
        <v>2538</v>
      </c>
      <c r="E1044" t="s">
        <v>166</v>
      </c>
      <c r="F1044" t="s">
        <v>72</v>
      </c>
      <c r="G1044" t="s">
        <v>52</v>
      </c>
      <c r="H1044" t="str">
        <f>"ΦΕΙΔΩΝΟΣ 5 "</f>
        <v xml:space="preserve">ΦΕΙΔΩΝΟΣ 5 </v>
      </c>
      <c r="K1044">
        <v>6978790544</v>
      </c>
      <c r="M1044" t="s">
        <v>2540</v>
      </c>
      <c r="N1044" t="s">
        <v>292</v>
      </c>
      <c r="O1044" t="s">
        <v>293</v>
      </c>
      <c r="R1044" t="s">
        <v>57</v>
      </c>
      <c r="S1044">
        <v>16</v>
      </c>
      <c r="T1044">
        <v>188</v>
      </c>
      <c r="U1044" s="1">
        <v>32752</v>
      </c>
      <c r="V1044" t="s">
        <v>123</v>
      </c>
      <c r="W1044" t="s">
        <v>124</v>
      </c>
      <c r="X1044" t="s">
        <v>58</v>
      </c>
      <c r="Y1044">
        <v>18</v>
      </c>
      <c r="Z1044" t="s">
        <v>59</v>
      </c>
      <c r="AA1044" t="s">
        <v>59</v>
      </c>
      <c r="AB1044" t="s">
        <v>59</v>
      </c>
      <c r="AC1044" t="s">
        <v>59</v>
      </c>
      <c r="AD1044" t="s">
        <v>59</v>
      </c>
      <c r="AF1044" s="1">
        <v>32756</v>
      </c>
      <c r="AG1044" t="s">
        <v>125</v>
      </c>
      <c r="AH1044" t="s">
        <v>126</v>
      </c>
      <c r="AI1044" t="str">
        <f>"1701051"</f>
        <v>1701051</v>
      </c>
      <c r="AJ1044" t="s">
        <v>443</v>
      </c>
      <c r="AK1044">
        <v>2810325815</v>
      </c>
      <c r="AL1044" t="s">
        <v>444</v>
      </c>
      <c r="AM1044" t="s">
        <v>78</v>
      </c>
      <c r="AN1044" t="s">
        <v>78</v>
      </c>
      <c r="AO1044" t="s">
        <v>78</v>
      </c>
      <c r="AP1044" t="s">
        <v>163</v>
      </c>
      <c r="AQ1044">
        <v>5</v>
      </c>
      <c r="AR1044" t="s">
        <v>123</v>
      </c>
      <c r="AS1044" t="s">
        <v>124</v>
      </c>
      <c r="AT1044" t="s">
        <v>58</v>
      </c>
      <c r="AU1044" t="s">
        <v>68</v>
      </c>
      <c r="AV1044" t="s">
        <v>69</v>
      </c>
      <c r="AW1044" s="1">
        <v>20290</v>
      </c>
      <c r="AX1044">
        <v>2</v>
      </c>
    </row>
    <row r="1045" spans="1:50">
      <c r="A1045">
        <v>195607</v>
      </c>
      <c r="B1045" t="str">
        <f>"046242485"</f>
        <v>046242485</v>
      </c>
      <c r="C1045" t="s">
        <v>105</v>
      </c>
      <c r="D1045" t="s">
        <v>2541</v>
      </c>
      <c r="E1045" t="s">
        <v>53</v>
      </c>
      <c r="F1045" t="s">
        <v>166</v>
      </c>
      <c r="G1045" t="s">
        <v>787</v>
      </c>
      <c r="H1045" t="str">
        <f>"ΤΥΜΠΑΚΙ "</f>
        <v xml:space="preserve">ΤΥΜΠΑΚΙ </v>
      </c>
      <c r="I1045">
        <v>70200</v>
      </c>
      <c r="J1045">
        <v>2892052049</v>
      </c>
      <c r="K1045">
        <v>6937010901</v>
      </c>
      <c r="M1045" t="s">
        <v>2542</v>
      </c>
      <c r="N1045" t="s">
        <v>232</v>
      </c>
      <c r="O1045" t="s">
        <v>233</v>
      </c>
      <c r="R1045" t="s">
        <v>57</v>
      </c>
      <c r="S1045">
        <v>8</v>
      </c>
      <c r="T1045">
        <v>194</v>
      </c>
      <c r="U1045" s="1">
        <v>37497</v>
      </c>
      <c r="V1045" t="s">
        <v>123</v>
      </c>
      <c r="W1045" t="s">
        <v>124</v>
      </c>
      <c r="X1045" t="s">
        <v>58</v>
      </c>
      <c r="Y1045">
        <v>20</v>
      </c>
      <c r="Z1045" t="s">
        <v>59</v>
      </c>
      <c r="AA1045" t="s">
        <v>59</v>
      </c>
      <c r="AB1045" t="s">
        <v>59</v>
      </c>
      <c r="AC1045" t="s">
        <v>59</v>
      </c>
      <c r="AD1045" t="s">
        <v>59</v>
      </c>
      <c r="AF1045" s="1">
        <v>37497</v>
      </c>
      <c r="AG1045" t="s">
        <v>125</v>
      </c>
      <c r="AH1045" t="s">
        <v>126</v>
      </c>
      <c r="AI1045" t="str">
        <f>"1713010"</f>
        <v>1713010</v>
      </c>
      <c r="AJ1045" t="s">
        <v>369</v>
      </c>
      <c r="AK1045">
        <v>2892051686</v>
      </c>
      <c r="AL1045" t="s">
        <v>370</v>
      </c>
      <c r="AM1045" t="s">
        <v>78</v>
      </c>
      <c r="AN1045" t="s">
        <v>242</v>
      </c>
      <c r="AO1045" t="s">
        <v>349</v>
      </c>
      <c r="AP1045" t="s">
        <v>349</v>
      </c>
      <c r="AQ1045">
        <v>35</v>
      </c>
      <c r="AR1045" t="s">
        <v>123</v>
      </c>
      <c r="AS1045" t="s">
        <v>124</v>
      </c>
      <c r="AT1045" t="s">
        <v>58</v>
      </c>
      <c r="AU1045" t="s">
        <v>68</v>
      </c>
      <c r="AV1045" t="s">
        <v>69</v>
      </c>
      <c r="AW1045" s="1">
        <v>24547</v>
      </c>
      <c r="AX1045">
        <v>2</v>
      </c>
    </row>
    <row r="1046" spans="1:50">
      <c r="A1046">
        <v>174155</v>
      </c>
      <c r="B1046" t="str">
        <f>"036216908"</f>
        <v>036216908</v>
      </c>
      <c r="C1046" t="s">
        <v>50</v>
      </c>
      <c r="D1046" t="s">
        <v>2543</v>
      </c>
      <c r="E1046" t="s">
        <v>52</v>
      </c>
      <c r="F1046" t="s">
        <v>95</v>
      </c>
      <c r="G1046" t="s">
        <v>112</v>
      </c>
      <c r="H1046" t="str">
        <f>" "</f>
        <v xml:space="preserve"> </v>
      </c>
      <c r="N1046" t="s">
        <v>288</v>
      </c>
      <c r="O1046" t="s">
        <v>289</v>
      </c>
      <c r="P1046" t="s">
        <v>615</v>
      </c>
      <c r="Q1046" t="s">
        <v>616</v>
      </c>
      <c r="R1046" t="s">
        <v>57</v>
      </c>
      <c r="S1046">
        <v>1</v>
      </c>
      <c r="T1046">
        <v>166</v>
      </c>
      <c r="U1046" s="1">
        <v>35300</v>
      </c>
      <c r="V1046" t="s">
        <v>123</v>
      </c>
      <c r="W1046" t="s">
        <v>124</v>
      </c>
      <c r="X1046" t="s">
        <v>58</v>
      </c>
      <c r="Y1046">
        <v>18</v>
      </c>
      <c r="Z1046" t="s">
        <v>59</v>
      </c>
      <c r="AA1046" t="s">
        <v>59</v>
      </c>
      <c r="AB1046" t="s">
        <v>59</v>
      </c>
      <c r="AC1046" t="s">
        <v>59</v>
      </c>
      <c r="AD1046" t="s">
        <v>59</v>
      </c>
      <c r="AF1046" s="1">
        <v>35312</v>
      </c>
      <c r="AG1046" t="s">
        <v>125</v>
      </c>
      <c r="AH1046" t="s">
        <v>126</v>
      </c>
      <c r="AI1046" t="str">
        <f>"1701050"</f>
        <v>1701050</v>
      </c>
      <c r="AJ1046" t="s">
        <v>660</v>
      </c>
      <c r="AK1046">
        <v>2810220729</v>
      </c>
      <c r="AL1046" t="s">
        <v>661</v>
      </c>
      <c r="AM1046" t="s">
        <v>78</v>
      </c>
      <c r="AN1046" t="s">
        <v>78</v>
      </c>
      <c r="AO1046" t="s">
        <v>78</v>
      </c>
      <c r="AP1046" t="s">
        <v>79</v>
      </c>
      <c r="AQ1046">
        <v>1</v>
      </c>
      <c r="AR1046" t="s">
        <v>123</v>
      </c>
      <c r="AS1046" t="s">
        <v>124</v>
      </c>
      <c r="AT1046" t="s">
        <v>58</v>
      </c>
      <c r="AU1046" t="s">
        <v>68</v>
      </c>
      <c r="AV1046" t="s">
        <v>69</v>
      </c>
      <c r="AW1046" s="1">
        <v>21916</v>
      </c>
      <c r="AX1046">
        <v>2</v>
      </c>
    </row>
    <row r="1047" spans="1:50">
      <c r="A1047">
        <v>212195</v>
      </c>
      <c r="B1047" t="str">
        <f>"067142844"</f>
        <v>067142844</v>
      </c>
      <c r="C1047" t="s">
        <v>50</v>
      </c>
      <c r="D1047" t="s">
        <v>2544</v>
      </c>
      <c r="E1047" t="s">
        <v>263</v>
      </c>
      <c r="F1047" t="s">
        <v>581</v>
      </c>
      <c r="G1047" t="s">
        <v>476</v>
      </c>
      <c r="H1047" t="str">
        <f>"ΑΦΡΟΔΙΤΗΣ 6 ΘΗΒΑ"</f>
        <v>ΑΦΡΟΔΙΤΗΣ 6 ΘΗΒΑ</v>
      </c>
      <c r="I1047">
        <v>32200</v>
      </c>
      <c r="J1047">
        <v>2262027977</v>
      </c>
      <c r="K1047">
        <v>6972549352</v>
      </c>
      <c r="M1047" t="s">
        <v>2545</v>
      </c>
      <c r="N1047" t="s">
        <v>146</v>
      </c>
      <c r="O1047" t="s">
        <v>147</v>
      </c>
      <c r="R1047" t="s">
        <v>57</v>
      </c>
      <c r="S1047">
        <v>6</v>
      </c>
      <c r="T1047">
        <v>231</v>
      </c>
      <c r="U1047" s="1">
        <v>38960</v>
      </c>
      <c r="V1047" t="s">
        <v>123</v>
      </c>
      <c r="W1047" t="s">
        <v>124</v>
      </c>
      <c r="X1047" t="s">
        <v>58</v>
      </c>
      <c r="Y1047">
        <v>20</v>
      </c>
      <c r="Z1047" t="s">
        <v>59</v>
      </c>
      <c r="AA1047" t="s">
        <v>59</v>
      </c>
      <c r="AB1047" t="s">
        <v>59</v>
      </c>
      <c r="AC1047" t="s">
        <v>59</v>
      </c>
      <c r="AD1047" t="s">
        <v>59</v>
      </c>
      <c r="AF1047" s="1">
        <v>38961</v>
      </c>
      <c r="AG1047" t="s">
        <v>148</v>
      </c>
      <c r="AH1047" t="s">
        <v>149</v>
      </c>
      <c r="AI1047" t="str">
        <f>"1753010"</f>
        <v>1753010</v>
      </c>
      <c r="AJ1047" t="s">
        <v>571</v>
      </c>
      <c r="AK1047">
        <v>2810751528</v>
      </c>
      <c r="AL1047" t="s">
        <v>572</v>
      </c>
      <c r="AM1047" t="s">
        <v>78</v>
      </c>
      <c r="AN1047" t="s">
        <v>424</v>
      </c>
      <c r="AO1047" t="s">
        <v>425</v>
      </c>
      <c r="AP1047" t="s">
        <v>425</v>
      </c>
      <c r="AQ1047">
        <v>13</v>
      </c>
      <c r="AR1047" t="s">
        <v>123</v>
      </c>
      <c r="AS1047" t="s">
        <v>124</v>
      </c>
      <c r="AT1047" t="s">
        <v>58</v>
      </c>
      <c r="AU1047" t="s">
        <v>68</v>
      </c>
      <c r="AV1047" t="s">
        <v>69</v>
      </c>
      <c r="AW1047" s="1">
        <v>24976</v>
      </c>
      <c r="AX1047">
        <v>2</v>
      </c>
    </row>
    <row r="1048" spans="1:50">
      <c r="B1048" t="str">
        <f>"070863070"</f>
        <v>070863070</v>
      </c>
      <c r="C1048" t="s">
        <v>50</v>
      </c>
      <c r="D1048" t="s">
        <v>2544</v>
      </c>
      <c r="E1048" t="s">
        <v>2546</v>
      </c>
      <c r="F1048" t="s">
        <v>166</v>
      </c>
      <c r="G1048" t="s">
        <v>372</v>
      </c>
      <c r="H1048" t="str">
        <f>"ΑΞΙΟΥΠΟΛΕΩΣ  20 ΑΘΗΝΑ"</f>
        <v>ΑΞΙΟΥΠΟΛΕΩΣ  20 ΑΘΗΝΑ</v>
      </c>
      <c r="I1048">
        <v>11142</v>
      </c>
      <c r="J1048">
        <v>2810255479</v>
      </c>
      <c r="K1048">
        <v>6932225403</v>
      </c>
      <c r="M1048" t="s">
        <v>2547</v>
      </c>
      <c r="N1048" t="s">
        <v>119</v>
      </c>
      <c r="O1048" t="s">
        <v>120</v>
      </c>
      <c r="R1048" t="s">
        <v>159</v>
      </c>
      <c r="S1048">
        <v>4</v>
      </c>
      <c r="T1048" t="s">
        <v>344</v>
      </c>
      <c r="U1048" s="1">
        <v>43348</v>
      </c>
      <c r="V1048" t="s">
        <v>123</v>
      </c>
      <c r="W1048" t="s">
        <v>124</v>
      </c>
      <c r="X1048" t="s">
        <v>58</v>
      </c>
      <c r="Y1048">
        <v>23</v>
      </c>
      <c r="Z1048" t="s">
        <v>59</v>
      </c>
      <c r="AA1048" t="s">
        <v>59</v>
      </c>
      <c r="AB1048" t="s">
        <v>59</v>
      </c>
      <c r="AC1048" t="s">
        <v>59</v>
      </c>
      <c r="AD1048" t="s">
        <v>59</v>
      </c>
      <c r="AF1048" s="1">
        <v>43348</v>
      </c>
      <c r="AG1048" t="s">
        <v>125</v>
      </c>
      <c r="AH1048" t="s">
        <v>126</v>
      </c>
      <c r="AI1048" t="str">
        <f>"1715010"</f>
        <v>1715010</v>
      </c>
      <c r="AJ1048" t="s">
        <v>812</v>
      </c>
      <c r="AK1048">
        <v>2893031193</v>
      </c>
      <c r="AL1048" t="s">
        <v>813</v>
      </c>
      <c r="AM1048" t="s">
        <v>78</v>
      </c>
      <c r="AN1048" t="s">
        <v>405</v>
      </c>
      <c r="AO1048" t="s">
        <v>805</v>
      </c>
      <c r="AP1048" t="s">
        <v>806</v>
      </c>
      <c r="AQ1048">
        <v>25</v>
      </c>
      <c r="AR1048" t="s">
        <v>123</v>
      </c>
      <c r="AS1048" t="s">
        <v>124</v>
      </c>
      <c r="AT1048" t="s">
        <v>58</v>
      </c>
      <c r="AU1048" t="s">
        <v>350</v>
      </c>
      <c r="AV1048" t="s">
        <v>132</v>
      </c>
      <c r="AW1048" s="1">
        <v>28241</v>
      </c>
      <c r="AX1048">
        <v>2</v>
      </c>
    </row>
    <row r="1049" spans="1:50">
      <c r="A1049">
        <v>170605</v>
      </c>
      <c r="B1049" t="str">
        <f>"027819015"</f>
        <v>027819015</v>
      </c>
      <c r="C1049" t="s">
        <v>105</v>
      </c>
      <c r="D1049" t="s">
        <v>2548</v>
      </c>
      <c r="E1049" t="s">
        <v>1363</v>
      </c>
      <c r="F1049" t="s">
        <v>95</v>
      </c>
      <c r="G1049" t="s">
        <v>1361</v>
      </c>
      <c r="H1049" t="str">
        <f>" "</f>
        <v xml:space="preserve"> </v>
      </c>
      <c r="M1049" t="s">
        <v>2549</v>
      </c>
      <c r="N1049" t="s">
        <v>199</v>
      </c>
      <c r="O1049" t="s">
        <v>200</v>
      </c>
      <c r="R1049" t="s">
        <v>57</v>
      </c>
      <c r="S1049">
        <v>18</v>
      </c>
      <c r="T1049">
        <v>184</v>
      </c>
      <c r="U1049" s="1">
        <v>34941</v>
      </c>
      <c r="V1049" t="s">
        <v>123</v>
      </c>
      <c r="W1049" t="s">
        <v>124</v>
      </c>
      <c r="X1049" t="s">
        <v>58</v>
      </c>
      <c r="Y1049">
        <v>18</v>
      </c>
      <c r="Z1049" t="s">
        <v>59</v>
      </c>
      <c r="AA1049" t="s">
        <v>59</v>
      </c>
      <c r="AB1049" t="s">
        <v>59</v>
      </c>
      <c r="AC1049" t="s">
        <v>59</v>
      </c>
      <c r="AD1049" t="s">
        <v>452</v>
      </c>
      <c r="AE1049" s="1">
        <v>43708</v>
      </c>
      <c r="AF1049" s="1">
        <v>34943</v>
      </c>
      <c r="AG1049" t="s">
        <v>60</v>
      </c>
      <c r="AH1049" t="s">
        <v>453</v>
      </c>
      <c r="AI1049" t="str">
        <f>"1700105"</f>
        <v>1700105</v>
      </c>
      <c r="AJ1049" t="s">
        <v>124</v>
      </c>
      <c r="AK1049">
        <v>2810333720</v>
      </c>
      <c r="AL1049" t="s">
        <v>454</v>
      </c>
      <c r="AM1049" t="s">
        <v>78</v>
      </c>
      <c r="AN1049" t="s">
        <v>78</v>
      </c>
      <c r="AO1049" t="s">
        <v>78</v>
      </c>
      <c r="AP1049" t="s">
        <v>79</v>
      </c>
      <c r="AS1049" t="s">
        <v>124</v>
      </c>
      <c r="AT1049" t="s">
        <v>58</v>
      </c>
      <c r="AU1049" t="s">
        <v>68</v>
      </c>
      <c r="AV1049" t="s">
        <v>455</v>
      </c>
      <c r="AW1049" s="1">
        <v>22012</v>
      </c>
      <c r="AX1049">
        <v>2</v>
      </c>
    </row>
    <row r="1050" spans="1:50">
      <c r="A1050">
        <v>208596</v>
      </c>
      <c r="B1050" t="str">
        <f>"047403234"</f>
        <v>047403234</v>
      </c>
      <c r="C1050" t="s">
        <v>105</v>
      </c>
      <c r="D1050" t="s">
        <v>2550</v>
      </c>
      <c r="E1050" t="s">
        <v>377</v>
      </c>
      <c r="F1050" t="s">
        <v>72</v>
      </c>
      <c r="G1050" t="s">
        <v>52</v>
      </c>
      <c r="H1050" t="str">
        <f>" "</f>
        <v xml:space="preserve"> </v>
      </c>
      <c r="J1050">
        <v>2810871417</v>
      </c>
      <c r="K1050">
        <v>6937010235</v>
      </c>
      <c r="N1050" t="s">
        <v>168</v>
      </c>
      <c r="O1050" t="s">
        <v>169</v>
      </c>
      <c r="R1050" t="s">
        <v>57</v>
      </c>
      <c r="S1050">
        <v>8</v>
      </c>
      <c r="T1050">
        <v>218</v>
      </c>
      <c r="U1050" s="1">
        <v>38596</v>
      </c>
      <c r="V1050" t="s">
        <v>123</v>
      </c>
      <c r="W1050" t="s">
        <v>124</v>
      </c>
      <c r="X1050" t="s">
        <v>58</v>
      </c>
      <c r="Y1050">
        <v>20</v>
      </c>
      <c r="Z1050" t="s">
        <v>59</v>
      </c>
      <c r="AA1050" t="s">
        <v>59</v>
      </c>
      <c r="AB1050" t="s">
        <v>59</v>
      </c>
      <c r="AC1050" t="s">
        <v>59</v>
      </c>
      <c r="AD1050" t="s">
        <v>59</v>
      </c>
      <c r="AF1050" s="1">
        <v>38600</v>
      </c>
      <c r="AG1050" t="s">
        <v>137</v>
      </c>
      <c r="AH1050" t="s">
        <v>138</v>
      </c>
      <c r="AI1050" t="str">
        <f>"1750080"</f>
        <v>1750080</v>
      </c>
      <c r="AJ1050" t="s">
        <v>170</v>
      </c>
      <c r="AK1050">
        <v>2810234444</v>
      </c>
      <c r="AL1050" t="s">
        <v>171</v>
      </c>
      <c r="AM1050" t="s">
        <v>78</v>
      </c>
      <c r="AN1050" t="s">
        <v>78</v>
      </c>
      <c r="AO1050" t="s">
        <v>78</v>
      </c>
      <c r="AP1050" t="s">
        <v>163</v>
      </c>
      <c r="AQ1050">
        <v>9</v>
      </c>
      <c r="AR1050" t="s">
        <v>123</v>
      </c>
      <c r="AS1050" t="s">
        <v>124</v>
      </c>
      <c r="AT1050" t="s">
        <v>58</v>
      </c>
      <c r="AU1050" t="s">
        <v>68</v>
      </c>
      <c r="AV1050" t="s">
        <v>69</v>
      </c>
      <c r="AW1050" s="1">
        <v>25815</v>
      </c>
      <c r="AX1050">
        <v>2</v>
      </c>
    </row>
    <row r="1051" spans="1:50">
      <c r="A1051">
        <v>198873</v>
      </c>
      <c r="B1051" t="str">
        <f>"111118729"</f>
        <v>111118729</v>
      </c>
      <c r="C1051" t="s">
        <v>105</v>
      </c>
      <c r="D1051" t="s">
        <v>1523</v>
      </c>
      <c r="E1051" t="s">
        <v>496</v>
      </c>
      <c r="F1051" t="s">
        <v>450</v>
      </c>
      <c r="G1051" t="s">
        <v>263</v>
      </c>
      <c r="H1051" t="str">
        <f>"Ναρσή 20 "</f>
        <v xml:space="preserve">Ναρσή 20 </v>
      </c>
      <c r="J1051">
        <v>2108211286</v>
      </c>
      <c r="K1051">
        <v>6976676694</v>
      </c>
      <c r="N1051" t="s">
        <v>683</v>
      </c>
      <c r="O1051" t="s">
        <v>684</v>
      </c>
      <c r="R1051" t="s">
        <v>57</v>
      </c>
      <c r="S1051">
        <v>7</v>
      </c>
      <c r="T1051">
        <v>206</v>
      </c>
      <c r="U1051" s="1">
        <v>37866</v>
      </c>
      <c r="V1051" t="s">
        <v>123</v>
      </c>
      <c r="W1051" t="s">
        <v>124</v>
      </c>
      <c r="X1051" t="s">
        <v>58</v>
      </c>
      <c r="Y1051">
        <v>20</v>
      </c>
      <c r="Z1051" t="s">
        <v>59</v>
      </c>
      <c r="AA1051" t="s">
        <v>59</v>
      </c>
      <c r="AB1051" t="s">
        <v>59</v>
      </c>
      <c r="AC1051" t="s">
        <v>59</v>
      </c>
      <c r="AD1051" t="s">
        <v>59</v>
      </c>
      <c r="AF1051" s="1">
        <v>37867</v>
      </c>
      <c r="AG1051" t="s">
        <v>125</v>
      </c>
      <c r="AH1051" t="s">
        <v>386</v>
      </c>
      <c r="AI1051" t="str">
        <f>"1741002"</f>
        <v>1741002</v>
      </c>
      <c r="AJ1051" t="s">
        <v>387</v>
      </c>
      <c r="AK1051">
        <v>2810762610</v>
      </c>
      <c r="AL1051" t="s">
        <v>388</v>
      </c>
      <c r="AM1051" t="s">
        <v>78</v>
      </c>
      <c r="AN1051" t="s">
        <v>219</v>
      </c>
      <c r="AO1051" t="s">
        <v>297</v>
      </c>
      <c r="AP1051" t="s">
        <v>297</v>
      </c>
      <c r="AQ1051">
        <v>10</v>
      </c>
      <c r="AR1051" t="s">
        <v>123</v>
      </c>
      <c r="AS1051" t="s">
        <v>124</v>
      </c>
      <c r="AT1051" t="s">
        <v>58</v>
      </c>
      <c r="AU1051" t="s">
        <v>68</v>
      </c>
      <c r="AV1051" t="s">
        <v>69</v>
      </c>
      <c r="AW1051" s="1">
        <v>26827</v>
      </c>
      <c r="AX1051">
        <v>2</v>
      </c>
    </row>
    <row r="1052" spans="1:50">
      <c r="A1052">
        <v>206307</v>
      </c>
      <c r="B1052" t="str">
        <f>"065127730"</f>
        <v>065127730</v>
      </c>
      <c r="C1052" t="s">
        <v>50</v>
      </c>
      <c r="D1052" t="s">
        <v>2551</v>
      </c>
      <c r="E1052" t="s">
        <v>109</v>
      </c>
      <c r="F1052" t="s">
        <v>99</v>
      </c>
      <c r="G1052" t="s">
        <v>215</v>
      </c>
      <c r="H1052" t="str">
        <f>"ΓΙΑΜΑΛΑΚΗ 50 ΗΡΑΚΛΕΙΟ"</f>
        <v>ΓΙΑΜΑΛΑΚΗ 50 ΗΡΑΚΛΕΙΟ</v>
      </c>
      <c r="I1052">
        <v>71202</v>
      </c>
      <c r="J1052">
        <v>2810286335</v>
      </c>
      <c r="K1052">
        <v>6948350724</v>
      </c>
      <c r="M1052" t="s">
        <v>2552</v>
      </c>
      <c r="N1052" t="s">
        <v>292</v>
      </c>
      <c r="O1052" t="s">
        <v>293</v>
      </c>
      <c r="R1052" t="s">
        <v>57</v>
      </c>
      <c r="S1052">
        <v>6</v>
      </c>
      <c r="T1052">
        <v>294</v>
      </c>
      <c r="U1052" s="1">
        <v>38295</v>
      </c>
      <c r="V1052" t="s">
        <v>123</v>
      </c>
      <c r="W1052" t="s">
        <v>124</v>
      </c>
      <c r="X1052" t="s">
        <v>58</v>
      </c>
      <c r="Y1052">
        <v>20</v>
      </c>
      <c r="Z1052" t="s">
        <v>59</v>
      </c>
      <c r="AA1052" t="s">
        <v>59</v>
      </c>
      <c r="AB1052" t="s">
        <v>59</v>
      </c>
      <c r="AC1052" t="s">
        <v>59</v>
      </c>
      <c r="AD1052" t="s">
        <v>59</v>
      </c>
      <c r="AF1052" s="1">
        <v>38300</v>
      </c>
      <c r="AG1052" t="s">
        <v>125</v>
      </c>
      <c r="AH1052" t="s">
        <v>126</v>
      </c>
      <c r="AI1052" t="str">
        <f>"1701020"</f>
        <v>1701020</v>
      </c>
      <c r="AJ1052" t="s">
        <v>323</v>
      </c>
      <c r="AK1052">
        <v>2810252111</v>
      </c>
      <c r="AL1052" t="s">
        <v>324</v>
      </c>
      <c r="AM1052" t="s">
        <v>78</v>
      </c>
      <c r="AN1052" t="s">
        <v>78</v>
      </c>
      <c r="AO1052" t="s">
        <v>78</v>
      </c>
      <c r="AP1052" t="s">
        <v>163</v>
      </c>
      <c r="AQ1052">
        <v>3</v>
      </c>
      <c r="AR1052" t="s">
        <v>123</v>
      </c>
      <c r="AS1052" t="s">
        <v>124</v>
      </c>
      <c r="AT1052" t="s">
        <v>58</v>
      </c>
      <c r="AU1052" t="s">
        <v>68</v>
      </c>
      <c r="AV1052" t="s">
        <v>69</v>
      </c>
      <c r="AW1052" s="1">
        <v>24538</v>
      </c>
      <c r="AX1052">
        <v>2</v>
      </c>
    </row>
    <row r="1053" spans="1:50">
      <c r="A1053">
        <v>201699</v>
      </c>
      <c r="B1053" t="str">
        <f>"079156760"</f>
        <v>079156760</v>
      </c>
      <c r="C1053" t="s">
        <v>50</v>
      </c>
      <c r="D1053" t="s">
        <v>2551</v>
      </c>
      <c r="E1053" t="s">
        <v>52</v>
      </c>
      <c r="F1053" t="s">
        <v>72</v>
      </c>
      <c r="G1053" t="s">
        <v>255</v>
      </c>
      <c r="H1053" t="str">
        <f>"ΕΘΝΙΚΗΣ ΑΝΤΙΣΤΑΣΕΩΣ 64 "</f>
        <v xml:space="preserve">ΕΘΝΙΚΗΣ ΑΝΤΙΣΤΑΣΕΩΣ 64 </v>
      </c>
      <c r="J1053">
        <v>2810360099</v>
      </c>
      <c r="K1053">
        <v>6948543451</v>
      </c>
      <c r="M1053" t="s">
        <v>2553</v>
      </c>
      <c r="N1053" t="s">
        <v>146</v>
      </c>
      <c r="O1053" t="s">
        <v>147</v>
      </c>
      <c r="R1053" t="s">
        <v>57</v>
      </c>
      <c r="S1053">
        <v>7</v>
      </c>
      <c r="T1053">
        <v>231</v>
      </c>
      <c r="U1053" s="1">
        <v>38230</v>
      </c>
      <c r="V1053" t="s">
        <v>123</v>
      </c>
      <c r="W1053" t="s">
        <v>124</v>
      </c>
      <c r="X1053" t="s">
        <v>58</v>
      </c>
      <c r="Y1053">
        <v>20</v>
      </c>
      <c r="Z1053" t="s">
        <v>59</v>
      </c>
      <c r="AA1053" t="s">
        <v>59</v>
      </c>
      <c r="AB1053" t="s">
        <v>59</v>
      </c>
      <c r="AC1053" t="s">
        <v>59</v>
      </c>
      <c r="AD1053" t="s">
        <v>59</v>
      </c>
      <c r="AF1053" s="1">
        <v>38232</v>
      </c>
      <c r="AG1053" t="s">
        <v>148</v>
      </c>
      <c r="AH1053" t="s">
        <v>149</v>
      </c>
      <c r="AI1053" t="str">
        <f>"1790100"</f>
        <v>1790100</v>
      </c>
      <c r="AJ1053" t="s">
        <v>252</v>
      </c>
      <c r="AK1053">
        <v>2810234876</v>
      </c>
      <c r="AL1053" t="s">
        <v>253</v>
      </c>
      <c r="AM1053" t="s">
        <v>78</v>
      </c>
      <c r="AN1053" t="s">
        <v>78</v>
      </c>
      <c r="AO1053" t="s">
        <v>78</v>
      </c>
      <c r="AP1053" t="s">
        <v>163</v>
      </c>
      <c r="AQ1053">
        <v>5</v>
      </c>
      <c r="AR1053" t="s">
        <v>123</v>
      </c>
      <c r="AS1053" t="s">
        <v>124</v>
      </c>
      <c r="AT1053" t="s">
        <v>58</v>
      </c>
      <c r="AU1053" t="s">
        <v>68</v>
      </c>
      <c r="AV1053" t="s">
        <v>69</v>
      </c>
      <c r="AW1053" s="1">
        <v>26715</v>
      </c>
      <c r="AX1053">
        <v>2</v>
      </c>
    </row>
    <row r="1054" spans="1:50">
      <c r="A1054">
        <v>192392</v>
      </c>
      <c r="B1054" t="str">
        <f>"038815870"</f>
        <v>038815870</v>
      </c>
      <c r="C1054" t="s">
        <v>50</v>
      </c>
      <c r="D1054" t="s">
        <v>2551</v>
      </c>
      <c r="E1054" t="s">
        <v>54</v>
      </c>
      <c r="F1054" t="s">
        <v>108</v>
      </c>
      <c r="G1054" t="s">
        <v>83</v>
      </c>
      <c r="H1054" t="str">
        <f>"ΜΕΛΕΤΙΟΥ ΠΗΓΑ 6  ΗΡΑΚΛΕΙΟ"</f>
        <v>ΜΕΛΕΤΙΟΥ ΠΗΓΑ 6  ΗΡΑΚΛΕΙΟ</v>
      </c>
      <c r="I1054">
        <v>71306</v>
      </c>
      <c r="J1054">
        <v>2810323412</v>
      </c>
      <c r="K1054">
        <v>6980306887</v>
      </c>
      <c r="M1054" t="s">
        <v>2554</v>
      </c>
      <c r="N1054" t="s">
        <v>587</v>
      </c>
      <c r="O1054" t="s">
        <v>588</v>
      </c>
      <c r="R1054" t="s">
        <v>57</v>
      </c>
      <c r="S1054">
        <v>8</v>
      </c>
      <c r="T1054">
        <v>312</v>
      </c>
      <c r="U1054" s="1">
        <v>37239</v>
      </c>
      <c r="V1054" t="s">
        <v>123</v>
      </c>
      <c r="W1054" t="s">
        <v>124</v>
      </c>
      <c r="X1054" t="s">
        <v>58</v>
      </c>
      <c r="Y1054">
        <v>20</v>
      </c>
      <c r="Z1054" t="s">
        <v>59</v>
      </c>
      <c r="AA1054" t="s">
        <v>59</v>
      </c>
      <c r="AB1054" t="s">
        <v>59</v>
      </c>
      <c r="AC1054" t="s">
        <v>59</v>
      </c>
      <c r="AD1054" t="s">
        <v>59</v>
      </c>
      <c r="AF1054" s="1">
        <v>37242</v>
      </c>
      <c r="AG1054" t="s">
        <v>125</v>
      </c>
      <c r="AH1054" t="s">
        <v>126</v>
      </c>
      <c r="AI1054" t="str">
        <f>"1701041"</f>
        <v>1701041</v>
      </c>
      <c r="AJ1054" t="s">
        <v>161</v>
      </c>
      <c r="AK1054">
        <v>2810327052</v>
      </c>
      <c r="AL1054" t="s">
        <v>162</v>
      </c>
      <c r="AM1054" t="s">
        <v>78</v>
      </c>
      <c r="AN1054" t="s">
        <v>78</v>
      </c>
      <c r="AO1054" t="s">
        <v>78</v>
      </c>
      <c r="AP1054" t="s">
        <v>163</v>
      </c>
      <c r="AQ1054">
        <v>5</v>
      </c>
      <c r="AR1054" t="s">
        <v>123</v>
      </c>
      <c r="AS1054" t="s">
        <v>124</v>
      </c>
      <c r="AT1054" t="s">
        <v>58</v>
      </c>
      <c r="AU1054" t="s">
        <v>68</v>
      </c>
      <c r="AV1054" t="s">
        <v>69</v>
      </c>
      <c r="AW1054" s="1">
        <v>25083</v>
      </c>
      <c r="AX1054">
        <v>2</v>
      </c>
    </row>
    <row r="1055" spans="1:50">
      <c r="A1055">
        <v>210554</v>
      </c>
      <c r="B1055" t="str">
        <f>"044813752"</f>
        <v>044813752</v>
      </c>
      <c r="C1055" t="s">
        <v>50</v>
      </c>
      <c r="D1055" t="s">
        <v>2551</v>
      </c>
      <c r="E1055" t="s">
        <v>2555</v>
      </c>
      <c r="F1055" t="s">
        <v>95</v>
      </c>
      <c r="G1055" t="s">
        <v>705</v>
      </c>
      <c r="H1055" t="str">
        <f>"ΑΡΒΗΣ 20 ΘΕΡΙΣΣΟΣ"</f>
        <v>ΑΡΒΗΣ 20 ΘΕΡΙΣΣΟΣ</v>
      </c>
      <c r="I1055">
        <v>71305</v>
      </c>
      <c r="J1055">
        <v>2810313106</v>
      </c>
      <c r="K1055">
        <v>6977405846</v>
      </c>
      <c r="M1055" t="s">
        <v>2556</v>
      </c>
      <c r="N1055" t="s">
        <v>306</v>
      </c>
      <c r="O1055" t="s">
        <v>307</v>
      </c>
      <c r="R1055" t="s">
        <v>57</v>
      </c>
      <c r="S1055">
        <v>14</v>
      </c>
      <c r="T1055">
        <v>249</v>
      </c>
      <c r="U1055" s="1">
        <v>38617</v>
      </c>
      <c r="V1055" t="s">
        <v>123</v>
      </c>
      <c r="W1055" t="s">
        <v>124</v>
      </c>
      <c r="X1055" t="s">
        <v>58</v>
      </c>
      <c r="Y1055">
        <v>18</v>
      </c>
      <c r="Z1055" t="s">
        <v>59</v>
      </c>
      <c r="AA1055" t="s">
        <v>59</v>
      </c>
      <c r="AB1055" t="s">
        <v>59</v>
      </c>
      <c r="AC1055" t="s">
        <v>59</v>
      </c>
      <c r="AD1055" t="s">
        <v>452</v>
      </c>
      <c r="AE1055" s="1">
        <v>43708</v>
      </c>
      <c r="AF1055" s="1">
        <v>38618</v>
      </c>
      <c r="AG1055" t="s">
        <v>60</v>
      </c>
      <c r="AH1055" t="s">
        <v>453</v>
      </c>
      <c r="AI1055" t="str">
        <f>"1700105"</f>
        <v>1700105</v>
      </c>
      <c r="AJ1055" t="s">
        <v>124</v>
      </c>
      <c r="AK1055">
        <v>2810333720</v>
      </c>
      <c r="AL1055" t="s">
        <v>454</v>
      </c>
      <c r="AM1055" t="s">
        <v>78</v>
      </c>
      <c r="AN1055" t="s">
        <v>78</v>
      </c>
      <c r="AO1055" t="s">
        <v>78</v>
      </c>
      <c r="AP1055" t="s">
        <v>79</v>
      </c>
      <c r="AS1055" t="s">
        <v>124</v>
      </c>
      <c r="AT1055" t="s">
        <v>58</v>
      </c>
      <c r="AU1055" t="s">
        <v>68</v>
      </c>
      <c r="AV1055" t="s">
        <v>455</v>
      </c>
      <c r="AW1055" s="1">
        <v>24874</v>
      </c>
      <c r="AX1055">
        <v>2</v>
      </c>
    </row>
    <row r="1056" spans="1:50">
      <c r="A1056">
        <v>198956</v>
      </c>
      <c r="B1056" t="str">
        <f>"035495458"</f>
        <v>035495458</v>
      </c>
      <c r="C1056" t="s">
        <v>105</v>
      </c>
      <c r="D1056" t="s">
        <v>2557</v>
      </c>
      <c r="E1056" t="s">
        <v>1573</v>
      </c>
      <c r="F1056" t="s">
        <v>95</v>
      </c>
      <c r="G1056" t="s">
        <v>255</v>
      </c>
      <c r="H1056" t="str">
        <f>"ΘΕΝΩΝ 6 ΗΡΑΚΛΕΙΟ"</f>
        <v>ΘΕΝΩΝ 6 ΗΡΑΚΛΕΙΟ</v>
      </c>
      <c r="I1056">
        <v>71305</v>
      </c>
      <c r="J1056">
        <v>2810253172</v>
      </c>
      <c r="K1056">
        <v>6976624998</v>
      </c>
      <c r="L1056">
        <v>2810315363</v>
      </c>
      <c r="M1056" t="s">
        <v>2558</v>
      </c>
      <c r="N1056" t="s">
        <v>299</v>
      </c>
      <c r="O1056" t="s">
        <v>300</v>
      </c>
      <c r="R1056" t="s">
        <v>57</v>
      </c>
      <c r="S1056">
        <v>9</v>
      </c>
      <c r="T1056">
        <v>206</v>
      </c>
      <c r="U1056" s="1">
        <v>37866</v>
      </c>
      <c r="V1056" t="s">
        <v>123</v>
      </c>
      <c r="W1056" t="s">
        <v>124</v>
      </c>
      <c r="X1056" t="s">
        <v>58</v>
      </c>
      <c r="Y1056">
        <v>20</v>
      </c>
      <c r="Z1056" t="s">
        <v>59</v>
      </c>
      <c r="AA1056" t="s">
        <v>59</v>
      </c>
      <c r="AB1056" t="s">
        <v>59</v>
      </c>
      <c r="AC1056" t="s">
        <v>59</v>
      </c>
      <c r="AD1056" t="s">
        <v>59</v>
      </c>
      <c r="AF1056" s="1">
        <v>37866</v>
      </c>
      <c r="AG1056" t="s">
        <v>148</v>
      </c>
      <c r="AH1056" t="s">
        <v>149</v>
      </c>
      <c r="AI1056" t="str">
        <f>"1790070"</f>
        <v>1790070</v>
      </c>
      <c r="AJ1056" t="s">
        <v>1283</v>
      </c>
      <c r="AK1056">
        <v>2810252154</v>
      </c>
      <c r="AL1056" t="s">
        <v>1284</v>
      </c>
      <c r="AM1056" t="s">
        <v>78</v>
      </c>
      <c r="AN1056" t="s">
        <v>78</v>
      </c>
      <c r="AO1056" t="s">
        <v>78</v>
      </c>
      <c r="AP1056" t="s">
        <v>141</v>
      </c>
      <c r="AQ1056">
        <v>7</v>
      </c>
      <c r="AR1056" t="s">
        <v>123</v>
      </c>
      <c r="AS1056" t="s">
        <v>124</v>
      </c>
      <c r="AT1056" t="s">
        <v>58</v>
      </c>
      <c r="AU1056" t="s">
        <v>68</v>
      </c>
      <c r="AV1056" t="s">
        <v>69</v>
      </c>
      <c r="AW1056" s="1">
        <v>22673</v>
      </c>
      <c r="AX1056">
        <v>2</v>
      </c>
    </row>
    <row r="1057" spans="1:50">
      <c r="B1057" t="str">
        <f>"043093119"</f>
        <v>043093119</v>
      </c>
      <c r="C1057" t="s">
        <v>105</v>
      </c>
      <c r="D1057" t="s">
        <v>2557</v>
      </c>
      <c r="E1057" t="s">
        <v>53</v>
      </c>
      <c r="F1057" t="s">
        <v>989</v>
      </c>
      <c r="G1057" t="s">
        <v>255</v>
      </c>
      <c r="H1057" t="str">
        <f>"ΕΡΥΘΡΑΙΑΣ 41 ΗΡΑΚΛΕΙΟ"</f>
        <v>ΕΡΥΘΡΑΙΑΣ 41 ΗΡΑΚΛΕΙΟ</v>
      </c>
      <c r="I1057">
        <v>71306</v>
      </c>
      <c r="J1057">
        <v>2810321523</v>
      </c>
      <c r="K1057">
        <v>6932239082</v>
      </c>
      <c r="M1057" t="s">
        <v>2559</v>
      </c>
      <c r="N1057" t="s">
        <v>282</v>
      </c>
      <c r="O1057" t="s">
        <v>283</v>
      </c>
      <c r="R1057" t="s">
        <v>159</v>
      </c>
      <c r="S1057">
        <v>3</v>
      </c>
      <c r="T1057" t="s">
        <v>574</v>
      </c>
      <c r="U1057" s="1">
        <v>43378</v>
      </c>
      <c r="V1057" t="s">
        <v>123</v>
      </c>
      <c r="W1057" t="s">
        <v>124</v>
      </c>
      <c r="X1057" t="s">
        <v>58</v>
      </c>
      <c r="Y1057">
        <v>23</v>
      </c>
      <c r="Z1057" t="s">
        <v>59</v>
      </c>
      <c r="AA1057" t="s">
        <v>59</v>
      </c>
      <c r="AB1057" t="s">
        <v>59</v>
      </c>
      <c r="AC1057" t="s">
        <v>59</v>
      </c>
      <c r="AD1057" t="s">
        <v>59</v>
      </c>
      <c r="AF1057" s="1">
        <v>43381</v>
      </c>
      <c r="AG1057" t="s">
        <v>137</v>
      </c>
      <c r="AH1057" t="s">
        <v>138</v>
      </c>
      <c r="AI1057" t="str">
        <f>"1740310"</f>
        <v>1740310</v>
      </c>
      <c r="AJ1057" t="s">
        <v>488</v>
      </c>
      <c r="AK1057">
        <v>2891024228</v>
      </c>
      <c r="AL1057" t="s">
        <v>489</v>
      </c>
      <c r="AM1057" t="s">
        <v>78</v>
      </c>
      <c r="AN1057" t="s">
        <v>276</v>
      </c>
      <c r="AO1057" t="s">
        <v>490</v>
      </c>
      <c r="AP1057" t="s">
        <v>490</v>
      </c>
      <c r="AQ1057">
        <v>15</v>
      </c>
      <c r="AR1057" t="s">
        <v>123</v>
      </c>
      <c r="AS1057" t="s">
        <v>124</v>
      </c>
      <c r="AT1057" t="s">
        <v>58</v>
      </c>
      <c r="AU1057" t="s">
        <v>164</v>
      </c>
      <c r="AV1057" t="s">
        <v>132</v>
      </c>
      <c r="AW1057" s="1">
        <v>23964</v>
      </c>
      <c r="AX1057">
        <v>2</v>
      </c>
    </row>
    <row r="1058" spans="1:50">
      <c r="A1058">
        <v>195267</v>
      </c>
      <c r="B1058" t="str">
        <f>"066387420"</f>
        <v>066387420</v>
      </c>
      <c r="C1058" t="s">
        <v>50</v>
      </c>
      <c r="D1058" t="s">
        <v>2560</v>
      </c>
      <c r="E1058" t="s">
        <v>181</v>
      </c>
      <c r="F1058" t="s">
        <v>698</v>
      </c>
      <c r="G1058" t="s">
        <v>52</v>
      </c>
      <c r="H1058" t="str">
        <f>" "</f>
        <v xml:space="preserve"> </v>
      </c>
      <c r="J1058">
        <v>2841032856</v>
      </c>
      <c r="K1058">
        <v>6945622427</v>
      </c>
      <c r="N1058" t="s">
        <v>146</v>
      </c>
      <c r="O1058" t="s">
        <v>147</v>
      </c>
      <c r="R1058" t="s">
        <v>57</v>
      </c>
      <c r="S1058">
        <v>8</v>
      </c>
      <c r="T1058">
        <v>194</v>
      </c>
      <c r="U1058" s="1">
        <v>37497</v>
      </c>
      <c r="V1058" t="s">
        <v>123</v>
      </c>
      <c r="W1058" t="s">
        <v>124</v>
      </c>
      <c r="X1058" t="s">
        <v>58</v>
      </c>
      <c r="Y1058">
        <v>20</v>
      </c>
      <c r="Z1058" t="s">
        <v>59</v>
      </c>
      <c r="AA1058" t="s">
        <v>59</v>
      </c>
      <c r="AB1058" t="s">
        <v>59</v>
      </c>
      <c r="AC1058" t="s">
        <v>59</v>
      </c>
      <c r="AD1058" t="s">
        <v>59</v>
      </c>
      <c r="AF1058" s="1">
        <v>37501</v>
      </c>
      <c r="AG1058" t="s">
        <v>148</v>
      </c>
      <c r="AH1058" t="s">
        <v>149</v>
      </c>
      <c r="AI1058" t="str">
        <f>"1767011"</f>
        <v>1767011</v>
      </c>
      <c r="AJ1058" t="s">
        <v>217</v>
      </c>
      <c r="AK1058">
        <v>2897021055</v>
      </c>
      <c r="AL1058" t="s">
        <v>218</v>
      </c>
      <c r="AM1058" t="s">
        <v>78</v>
      </c>
      <c r="AN1058" t="s">
        <v>219</v>
      </c>
      <c r="AO1058" t="s">
        <v>219</v>
      </c>
      <c r="AP1058" t="s">
        <v>220</v>
      </c>
      <c r="AQ1058">
        <v>20</v>
      </c>
      <c r="AR1058" t="s">
        <v>123</v>
      </c>
      <c r="AS1058" t="s">
        <v>124</v>
      </c>
      <c r="AT1058" t="s">
        <v>58</v>
      </c>
      <c r="AU1058" t="s">
        <v>68</v>
      </c>
      <c r="AV1058" t="s">
        <v>69</v>
      </c>
      <c r="AW1058" s="1">
        <v>26978</v>
      </c>
      <c r="AX1058">
        <v>2</v>
      </c>
    </row>
    <row r="1059" spans="1:50">
      <c r="A1059">
        <v>212792</v>
      </c>
      <c r="B1059" t="str">
        <f>"066364965"</f>
        <v>066364965</v>
      </c>
      <c r="C1059" t="s">
        <v>105</v>
      </c>
      <c r="D1059" t="s">
        <v>2561</v>
      </c>
      <c r="E1059" t="s">
        <v>53</v>
      </c>
      <c r="F1059" t="s">
        <v>111</v>
      </c>
      <c r="G1059" t="s">
        <v>580</v>
      </c>
      <c r="H1059" t="str">
        <f>"ΤΗΝΟΥ 9 ΗΡΑΚΛΕΙΟ"</f>
        <v>ΤΗΝΟΥ 9 ΗΡΑΚΛΕΙΟ</v>
      </c>
      <c r="I1059">
        <v>71304</v>
      </c>
      <c r="J1059">
        <v>2810314153</v>
      </c>
      <c r="K1059">
        <v>6976707722</v>
      </c>
      <c r="M1059" t="s">
        <v>2562</v>
      </c>
      <c r="N1059" t="s">
        <v>292</v>
      </c>
      <c r="O1059" t="s">
        <v>293</v>
      </c>
      <c r="R1059" t="s">
        <v>57</v>
      </c>
      <c r="S1059">
        <v>6</v>
      </c>
      <c r="T1059">
        <v>231</v>
      </c>
      <c r="U1059" s="1">
        <v>38960</v>
      </c>
      <c r="V1059" t="s">
        <v>123</v>
      </c>
      <c r="W1059" t="s">
        <v>124</v>
      </c>
      <c r="X1059" t="s">
        <v>58</v>
      </c>
      <c r="Y1059">
        <v>20</v>
      </c>
      <c r="Z1059" t="s">
        <v>59</v>
      </c>
      <c r="AA1059" t="s">
        <v>59</v>
      </c>
      <c r="AB1059" t="s">
        <v>59</v>
      </c>
      <c r="AC1059" t="s">
        <v>59</v>
      </c>
      <c r="AD1059" t="s">
        <v>59</v>
      </c>
      <c r="AF1059" s="1">
        <v>38961</v>
      </c>
      <c r="AG1059" t="s">
        <v>148</v>
      </c>
      <c r="AH1059" t="s">
        <v>149</v>
      </c>
      <c r="AI1059" t="str">
        <f>"1790070"</f>
        <v>1790070</v>
      </c>
      <c r="AJ1059" t="s">
        <v>1283</v>
      </c>
      <c r="AK1059">
        <v>2810252154</v>
      </c>
      <c r="AL1059" t="s">
        <v>1284</v>
      </c>
      <c r="AM1059" t="s">
        <v>78</v>
      </c>
      <c r="AN1059" t="s">
        <v>78</v>
      </c>
      <c r="AO1059" t="s">
        <v>78</v>
      </c>
      <c r="AP1059" t="s">
        <v>141</v>
      </c>
      <c r="AQ1059">
        <v>7</v>
      </c>
      <c r="AR1059" t="s">
        <v>123</v>
      </c>
      <c r="AS1059" t="s">
        <v>124</v>
      </c>
      <c r="AT1059" t="s">
        <v>58</v>
      </c>
      <c r="AU1059" t="s">
        <v>68</v>
      </c>
      <c r="AV1059" t="s">
        <v>357</v>
      </c>
      <c r="AW1059" s="1">
        <v>27150</v>
      </c>
      <c r="AX1059">
        <v>2</v>
      </c>
    </row>
    <row r="1060" spans="1:50">
      <c r="A1060">
        <v>169093</v>
      </c>
      <c r="B1060" t="str">
        <f>"038514409"</f>
        <v>038514409</v>
      </c>
      <c r="C1060" t="s">
        <v>105</v>
      </c>
      <c r="D1060" t="s">
        <v>2563</v>
      </c>
      <c r="E1060" t="s">
        <v>99</v>
      </c>
      <c r="F1060" t="s">
        <v>92</v>
      </c>
      <c r="G1060" t="s">
        <v>2564</v>
      </c>
      <c r="H1060" t="str">
        <f>"ΧΟΡΤΑΤΣΗ 7 ΛΙΜ. ΧΕΡΣΟΝΗΣΟΥ"</f>
        <v>ΧΟΡΤΑΤΣΗ 7 ΛΙΜ. ΧΕΡΣΟΝΗΣΟΥ</v>
      </c>
      <c r="J1060">
        <v>2897023573</v>
      </c>
      <c r="M1060" t="s">
        <v>2565</v>
      </c>
      <c r="N1060" t="s">
        <v>204</v>
      </c>
      <c r="O1060" t="s">
        <v>205</v>
      </c>
      <c r="R1060" t="s">
        <v>57</v>
      </c>
      <c r="S1060">
        <v>11</v>
      </c>
      <c r="T1060">
        <v>159</v>
      </c>
      <c r="U1060" s="1">
        <v>34582</v>
      </c>
      <c r="V1060" t="s">
        <v>123</v>
      </c>
      <c r="W1060" t="s">
        <v>124</v>
      </c>
      <c r="X1060" t="s">
        <v>58</v>
      </c>
      <c r="Y1060">
        <v>18</v>
      </c>
      <c r="Z1060" t="s">
        <v>59</v>
      </c>
      <c r="AA1060" t="s">
        <v>59</v>
      </c>
      <c r="AB1060" t="s">
        <v>59</v>
      </c>
      <c r="AC1060" t="s">
        <v>59</v>
      </c>
      <c r="AD1060" t="s">
        <v>59</v>
      </c>
      <c r="AF1060" s="1">
        <v>34582</v>
      </c>
      <c r="AG1060" t="s">
        <v>125</v>
      </c>
      <c r="AH1060" t="s">
        <v>294</v>
      </c>
      <c r="AI1060" t="str">
        <f>"1701015"</f>
        <v>1701015</v>
      </c>
      <c r="AJ1060" t="s">
        <v>295</v>
      </c>
      <c r="AK1060">
        <v>2810761696</v>
      </c>
      <c r="AL1060" t="s">
        <v>296</v>
      </c>
      <c r="AM1060" t="s">
        <v>78</v>
      </c>
      <c r="AN1060" t="s">
        <v>219</v>
      </c>
      <c r="AO1060" t="s">
        <v>297</v>
      </c>
      <c r="AP1060" t="s">
        <v>297</v>
      </c>
      <c r="AQ1060">
        <v>10</v>
      </c>
      <c r="AR1060" t="s">
        <v>123</v>
      </c>
      <c r="AS1060" t="s">
        <v>124</v>
      </c>
      <c r="AT1060" t="s">
        <v>58</v>
      </c>
      <c r="AU1060" t="s">
        <v>68</v>
      </c>
      <c r="AV1060" t="s">
        <v>69</v>
      </c>
      <c r="AW1060" s="1">
        <v>23462</v>
      </c>
      <c r="AX1060">
        <v>2</v>
      </c>
    </row>
    <row r="1061" spans="1:50">
      <c r="A1061">
        <v>214825</v>
      </c>
      <c r="B1061" t="str">
        <f>"077580993"</f>
        <v>077580993</v>
      </c>
      <c r="C1061" t="s">
        <v>50</v>
      </c>
      <c r="D1061" t="s">
        <v>2566</v>
      </c>
      <c r="E1061" t="s">
        <v>513</v>
      </c>
      <c r="F1061" t="s">
        <v>154</v>
      </c>
      <c r="G1061" t="s">
        <v>52</v>
      </c>
      <c r="H1061" t="str">
        <f>"ΠΕΤΛΕΜΠΟΥΡΗ 86 ΗΡΑΚΛΕΙΟ"</f>
        <v>ΠΕΤΛΕΜΠΟΥΡΗ 86 ΗΡΑΚΛΕΙΟ</v>
      </c>
      <c r="I1061">
        <v>71303</v>
      </c>
      <c r="J1061">
        <v>2810260287</v>
      </c>
      <c r="K1061">
        <v>6947265376</v>
      </c>
      <c r="M1061" t="s">
        <v>2567</v>
      </c>
      <c r="N1061" t="s">
        <v>257</v>
      </c>
      <c r="O1061" t="s">
        <v>258</v>
      </c>
      <c r="R1061" t="s">
        <v>57</v>
      </c>
      <c r="S1061">
        <v>7</v>
      </c>
      <c r="T1061">
        <v>231</v>
      </c>
      <c r="U1061" s="1">
        <v>38960</v>
      </c>
      <c r="V1061" t="s">
        <v>123</v>
      </c>
      <c r="W1061" t="s">
        <v>124</v>
      </c>
      <c r="X1061" t="s">
        <v>58</v>
      </c>
      <c r="Y1061">
        <v>20</v>
      </c>
      <c r="Z1061" t="s">
        <v>59</v>
      </c>
      <c r="AA1061" t="s">
        <v>59</v>
      </c>
      <c r="AB1061" t="s">
        <v>59</v>
      </c>
      <c r="AC1061" t="s">
        <v>59</v>
      </c>
      <c r="AD1061" t="s">
        <v>59</v>
      </c>
      <c r="AF1061" s="1">
        <v>38960</v>
      </c>
      <c r="AG1061" t="s">
        <v>148</v>
      </c>
      <c r="AH1061" t="s">
        <v>149</v>
      </c>
      <c r="AI1061" t="str">
        <f>"1759010"</f>
        <v>1759010</v>
      </c>
      <c r="AJ1061" t="s">
        <v>403</v>
      </c>
      <c r="AK1061">
        <v>2894022127</v>
      </c>
      <c r="AL1061" t="s">
        <v>404</v>
      </c>
      <c r="AM1061" t="s">
        <v>78</v>
      </c>
      <c r="AN1061" t="s">
        <v>405</v>
      </c>
      <c r="AO1061" t="s">
        <v>406</v>
      </c>
      <c r="AP1061" t="s">
        <v>406</v>
      </c>
      <c r="AQ1061">
        <v>30</v>
      </c>
      <c r="AR1061" t="s">
        <v>123</v>
      </c>
      <c r="AS1061" t="s">
        <v>124</v>
      </c>
      <c r="AT1061" t="s">
        <v>58</v>
      </c>
      <c r="AU1061" t="s">
        <v>68</v>
      </c>
      <c r="AV1061" t="s">
        <v>69</v>
      </c>
      <c r="AW1061" s="1">
        <v>26065</v>
      </c>
      <c r="AX1061">
        <v>2</v>
      </c>
    </row>
    <row r="1062" spans="1:50">
      <c r="A1062">
        <v>198161</v>
      </c>
      <c r="B1062" t="str">
        <f>"044192248"</f>
        <v>044192248</v>
      </c>
      <c r="C1062" t="s">
        <v>105</v>
      </c>
      <c r="D1062" t="s">
        <v>2568</v>
      </c>
      <c r="E1062" t="s">
        <v>166</v>
      </c>
      <c r="F1062" t="s">
        <v>154</v>
      </c>
      <c r="G1062" t="s">
        <v>52</v>
      </c>
      <c r="H1062" t="str">
        <f>"Γ, ΓΕΝΝΗΜΑΤΑ 34 ΜΑΣΤΑΜΠΑΣ"</f>
        <v>Γ, ΓΕΝΝΗΜΑΤΑ 34 ΜΑΣΤΑΜΠΑΣ</v>
      </c>
      <c r="I1062">
        <v>71305</v>
      </c>
      <c r="J1062">
        <v>2810262591</v>
      </c>
      <c r="K1062">
        <v>6937691807</v>
      </c>
      <c r="L1062">
        <v>6944415657</v>
      </c>
      <c r="M1062" t="s">
        <v>2569</v>
      </c>
      <c r="N1062" t="s">
        <v>199</v>
      </c>
      <c r="O1062" t="s">
        <v>200</v>
      </c>
      <c r="R1062" t="s">
        <v>57</v>
      </c>
      <c r="S1062">
        <v>14</v>
      </c>
      <c r="T1062">
        <v>206</v>
      </c>
      <c r="U1062" s="1">
        <v>37866</v>
      </c>
      <c r="V1062" t="s">
        <v>123</v>
      </c>
      <c r="W1062" t="s">
        <v>124</v>
      </c>
      <c r="X1062" t="s">
        <v>58</v>
      </c>
      <c r="Y1062">
        <v>20</v>
      </c>
      <c r="Z1062" t="s">
        <v>59</v>
      </c>
      <c r="AA1062" t="s">
        <v>59</v>
      </c>
      <c r="AB1062" t="s">
        <v>59</v>
      </c>
      <c r="AC1062" t="s">
        <v>59</v>
      </c>
      <c r="AD1062" t="s">
        <v>59</v>
      </c>
      <c r="AF1062" s="1">
        <v>37872</v>
      </c>
      <c r="AG1062" t="s">
        <v>125</v>
      </c>
      <c r="AH1062" t="s">
        <v>126</v>
      </c>
      <c r="AI1062" t="str">
        <f>"1701010"</f>
        <v>1701010</v>
      </c>
      <c r="AJ1062" t="s">
        <v>374</v>
      </c>
      <c r="AK1062">
        <v>2810227148</v>
      </c>
      <c r="AL1062" t="s">
        <v>375</v>
      </c>
      <c r="AM1062" t="s">
        <v>78</v>
      </c>
      <c r="AN1062" t="s">
        <v>78</v>
      </c>
      <c r="AO1062" t="s">
        <v>78</v>
      </c>
      <c r="AP1062" t="s">
        <v>79</v>
      </c>
      <c r="AQ1062">
        <v>1</v>
      </c>
      <c r="AR1062" t="s">
        <v>123</v>
      </c>
      <c r="AS1062" t="s">
        <v>124</v>
      </c>
      <c r="AT1062" t="s">
        <v>58</v>
      </c>
      <c r="AU1062" t="s">
        <v>68</v>
      </c>
      <c r="AV1062" t="s">
        <v>69</v>
      </c>
      <c r="AW1062" s="1">
        <v>23505</v>
      </c>
      <c r="AX1062">
        <v>2</v>
      </c>
    </row>
    <row r="1063" spans="1:50">
      <c r="A1063">
        <v>177251</v>
      </c>
      <c r="B1063" t="str">
        <f>"032320260"</f>
        <v>032320260</v>
      </c>
      <c r="C1063" t="s">
        <v>50</v>
      </c>
      <c r="D1063" t="s">
        <v>2570</v>
      </c>
      <c r="E1063" t="s">
        <v>372</v>
      </c>
      <c r="F1063" t="s">
        <v>72</v>
      </c>
      <c r="G1063" t="s">
        <v>2571</v>
      </c>
      <c r="H1063" t="str">
        <f>" "</f>
        <v xml:space="preserve"> </v>
      </c>
      <c r="J1063">
        <v>2810731677</v>
      </c>
      <c r="K1063">
        <v>6976415306</v>
      </c>
      <c r="M1063" t="s">
        <v>2572</v>
      </c>
      <c r="N1063" t="s">
        <v>257</v>
      </c>
      <c r="O1063" t="s">
        <v>258</v>
      </c>
      <c r="P1063" t="s">
        <v>615</v>
      </c>
      <c r="Q1063" t="s">
        <v>616</v>
      </c>
      <c r="R1063" t="s">
        <v>57</v>
      </c>
      <c r="S1063">
        <v>12</v>
      </c>
      <c r="T1063">
        <v>180</v>
      </c>
      <c r="U1063" s="1">
        <v>35674</v>
      </c>
      <c r="V1063" t="s">
        <v>123</v>
      </c>
      <c r="W1063" t="s">
        <v>124</v>
      </c>
      <c r="X1063" t="s">
        <v>58</v>
      </c>
      <c r="Y1063">
        <v>18</v>
      </c>
      <c r="Z1063" t="s">
        <v>59</v>
      </c>
      <c r="AA1063" t="s">
        <v>59</v>
      </c>
      <c r="AB1063" t="s">
        <v>59</v>
      </c>
      <c r="AC1063" t="s">
        <v>59</v>
      </c>
      <c r="AD1063" t="s">
        <v>59</v>
      </c>
      <c r="AF1063" s="1">
        <v>35678</v>
      </c>
      <c r="AG1063" t="s">
        <v>125</v>
      </c>
      <c r="AH1063" t="s">
        <v>126</v>
      </c>
      <c r="AI1063" t="str">
        <f>"1701050"</f>
        <v>1701050</v>
      </c>
      <c r="AJ1063" t="s">
        <v>660</v>
      </c>
      <c r="AK1063">
        <v>2810220729</v>
      </c>
      <c r="AL1063" t="s">
        <v>661</v>
      </c>
      <c r="AM1063" t="s">
        <v>78</v>
      </c>
      <c r="AN1063" t="s">
        <v>78</v>
      </c>
      <c r="AO1063" t="s">
        <v>78</v>
      </c>
      <c r="AP1063" t="s">
        <v>79</v>
      </c>
      <c r="AQ1063">
        <v>1</v>
      </c>
      <c r="AR1063" t="s">
        <v>123</v>
      </c>
      <c r="AS1063" t="s">
        <v>124</v>
      </c>
      <c r="AT1063" t="s">
        <v>58</v>
      </c>
      <c r="AU1063" t="s">
        <v>68</v>
      </c>
      <c r="AV1063" t="s">
        <v>69</v>
      </c>
      <c r="AW1063" s="1">
        <v>23083</v>
      </c>
      <c r="AX1063">
        <v>2</v>
      </c>
    </row>
    <row r="1064" spans="1:50">
      <c r="A1064">
        <v>207614</v>
      </c>
      <c r="B1064" t="str">
        <f>"110138571"</f>
        <v>110138571</v>
      </c>
      <c r="C1064" t="s">
        <v>50</v>
      </c>
      <c r="D1064" t="s">
        <v>2573</v>
      </c>
      <c r="E1064" t="s">
        <v>2574</v>
      </c>
      <c r="F1064" t="s">
        <v>2575</v>
      </c>
      <c r="G1064" t="s">
        <v>2576</v>
      </c>
      <c r="H1064" t="str">
        <f>"ΝΤΑΛΙΑΝΗ 21 ΗΡΑΚΛΕΙΟ"</f>
        <v>ΝΤΑΛΙΑΝΗ 21 ΗΡΑΚΛΕΙΟ</v>
      </c>
      <c r="I1064">
        <v>71306</v>
      </c>
      <c r="J1064">
        <v>2811115093</v>
      </c>
      <c r="K1064">
        <v>6979328801</v>
      </c>
      <c r="L1064">
        <v>2810234425</v>
      </c>
      <c r="M1064" t="s">
        <v>2577</v>
      </c>
      <c r="N1064" t="s">
        <v>306</v>
      </c>
      <c r="O1064" t="s">
        <v>307</v>
      </c>
      <c r="R1064" t="s">
        <v>57</v>
      </c>
      <c r="S1064">
        <v>11</v>
      </c>
      <c r="T1064">
        <v>218</v>
      </c>
      <c r="U1064" s="1">
        <v>38596</v>
      </c>
      <c r="V1064" t="s">
        <v>123</v>
      </c>
      <c r="W1064" t="s">
        <v>124</v>
      </c>
      <c r="X1064" t="s">
        <v>58</v>
      </c>
      <c r="Y1064">
        <v>18</v>
      </c>
      <c r="Z1064" t="s">
        <v>59</v>
      </c>
      <c r="AA1064" t="s">
        <v>59</v>
      </c>
      <c r="AB1064" t="s">
        <v>59</v>
      </c>
      <c r="AC1064" t="s">
        <v>59</v>
      </c>
      <c r="AD1064" t="s">
        <v>59</v>
      </c>
      <c r="AF1064" s="1">
        <v>38600</v>
      </c>
      <c r="AG1064" t="s">
        <v>148</v>
      </c>
      <c r="AH1064" t="s">
        <v>149</v>
      </c>
      <c r="AI1064" t="str">
        <f>"1751030"</f>
        <v>1751030</v>
      </c>
      <c r="AJ1064" t="s">
        <v>234</v>
      </c>
      <c r="AK1064">
        <v>2810282911</v>
      </c>
      <c r="AL1064" t="s">
        <v>235</v>
      </c>
      <c r="AM1064" t="s">
        <v>78</v>
      </c>
      <c r="AN1064" t="s">
        <v>78</v>
      </c>
      <c r="AO1064" t="s">
        <v>78</v>
      </c>
      <c r="AP1064" t="s">
        <v>163</v>
      </c>
      <c r="AQ1064">
        <v>1</v>
      </c>
      <c r="AR1064" t="s">
        <v>123</v>
      </c>
      <c r="AS1064" t="s">
        <v>124</v>
      </c>
      <c r="AT1064" t="s">
        <v>58</v>
      </c>
      <c r="AU1064" t="s">
        <v>68</v>
      </c>
      <c r="AV1064" t="s">
        <v>69</v>
      </c>
      <c r="AW1064" s="1">
        <v>20886</v>
      </c>
      <c r="AX1064">
        <v>2</v>
      </c>
    </row>
    <row r="1065" spans="1:50">
      <c r="A1065">
        <v>217557</v>
      </c>
      <c r="B1065" t="str">
        <f>"046172903"</f>
        <v>046172903</v>
      </c>
      <c r="C1065" t="s">
        <v>105</v>
      </c>
      <c r="D1065" t="s">
        <v>2578</v>
      </c>
      <c r="E1065" t="s">
        <v>95</v>
      </c>
      <c r="F1065" t="s">
        <v>166</v>
      </c>
      <c r="G1065" t="s">
        <v>112</v>
      </c>
      <c r="H1065" t="str">
        <f>"ΙΩΑΚΕΙΜ 7  ΗΡΑΚΛΕΙΟ"</f>
        <v>ΙΩΑΚΕΙΜ 7  ΗΡΑΚΛΕΙΟ</v>
      </c>
      <c r="I1065">
        <v>71409</v>
      </c>
      <c r="J1065">
        <v>2810324556</v>
      </c>
      <c r="K1065">
        <v>6972720929</v>
      </c>
      <c r="M1065" t="s">
        <v>2579</v>
      </c>
      <c r="N1065" t="s">
        <v>146</v>
      </c>
      <c r="O1065" t="s">
        <v>147</v>
      </c>
      <c r="R1065" t="s">
        <v>57</v>
      </c>
      <c r="S1065">
        <v>6</v>
      </c>
      <c r="T1065">
        <v>599</v>
      </c>
      <c r="U1065" s="1">
        <v>39310</v>
      </c>
      <c r="V1065" t="s">
        <v>123</v>
      </c>
      <c r="W1065" t="s">
        <v>124</v>
      </c>
      <c r="X1065" t="s">
        <v>58</v>
      </c>
      <c r="Y1065">
        <v>20</v>
      </c>
      <c r="Z1065" t="s">
        <v>59</v>
      </c>
      <c r="AA1065" t="s">
        <v>59</v>
      </c>
      <c r="AB1065" t="s">
        <v>59</v>
      </c>
      <c r="AC1065" t="s">
        <v>59</v>
      </c>
      <c r="AD1065" t="s">
        <v>59</v>
      </c>
      <c r="AF1065" s="1">
        <v>39328</v>
      </c>
      <c r="AG1065" t="s">
        <v>148</v>
      </c>
      <c r="AH1065" t="s">
        <v>149</v>
      </c>
      <c r="AI1065" t="str">
        <f>"1751042"</f>
        <v>1751042</v>
      </c>
      <c r="AJ1065" t="s">
        <v>959</v>
      </c>
      <c r="AK1065">
        <v>2810220685</v>
      </c>
      <c r="AL1065" t="s">
        <v>960</v>
      </c>
      <c r="AM1065" t="s">
        <v>78</v>
      </c>
      <c r="AN1065" t="s">
        <v>78</v>
      </c>
      <c r="AO1065" t="s">
        <v>78</v>
      </c>
      <c r="AP1065" t="s">
        <v>213</v>
      </c>
      <c r="AQ1065">
        <v>6</v>
      </c>
      <c r="AR1065" t="s">
        <v>123</v>
      </c>
      <c r="AS1065" t="s">
        <v>124</v>
      </c>
      <c r="AT1065" t="s">
        <v>58</v>
      </c>
      <c r="AU1065" t="s">
        <v>68</v>
      </c>
      <c r="AV1065" t="s">
        <v>69</v>
      </c>
      <c r="AW1065" s="1">
        <v>25366</v>
      </c>
      <c r="AX1065">
        <v>2</v>
      </c>
    </row>
    <row r="1066" spans="1:50">
      <c r="A1066">
        <v>205000</v>
      </c>
      <c r="B1066" t="str">
        <f>"051721073"</f>
        <v>051721073</v>
      </c>
      <c r="C1066" t="s">
        <v>105</v>
      </c>
      <c r="D1066" t="s">
        <v>474</v>
      </c>
      <c r="E1066" t="s">
        <v>2580</v>
      </c>
      <c r="F1066" t="s">
        <v>84</v>
      </c>
      <c r="G1066" t="s">
        <v>191</v>
      </c>
      <c r="H1066" t="str">
        <f>" "</f>
        <v xml:space="preserve"> </v>
      </c>
      <c r="J1066">
        <v>2810313366</v>
      </c>
      <c r="K1066">
        <v>6977360749</v>
      </c>
      <c r="M1066" t="s">
        <v>2581</v>
      </c>
      <c r="N1066" t="s">
        <v>587</v>
      </c>
      <c r="O1066" t="s">
        <v>588</v>
      </c>
      <c r="R1066" t="s">
        <v>57</v>
      </c>
      <c r="S1066">
        <v>6</v>
      </c>
      <c r="T1066">
        <v>231</v>
      </c>
      <c r="U1066" s="1">
        <v>38230</v>
      </c>
      <c r="V1066" t="s">
        <v>123</v>
      </c>
      <c r="W1066" t="s">
        <v>124</v>
      </c>
      <c r="X1066" t="s">
        <v>58</v>
      </c>
      <c r="Y1066">
        <v>20</v>
      </c>
      <c r="Z1066" t="s">
        <v>59</v>
      </c>
      <c r="AA1066" t="s">
        <v>59</v>
      </c>
      <c r="AB1066" t="s">
        <v>59</v>
      </c>
      <c r="AC1066" t="s">
        <v>59</v>
      </c>
      <c r="AD1066" t="s">
        <v>59</v>
      </c>
      <c r="AF1066" s="1">
        <v>38236</v>
      </c>
      <c r="AG1066" t="s">
        <v>125</v>
      </c>
      <c r="AH1066" t="s">
        <v>126</v>
      </c>
      <c r="AI1066" t="str">
        <f>"1701051"</f>
        <v>1701051</v>
      </c>
      <c r="AJ1066" t="s">
        <v>443</v>
      </c>
      <c r="AK1066">
        <v>2810325815</v>
      </c>
      <c r="AL1066" t="s">
        <v>444</v>
      </c>
      <c r="AM1066" t="s">
        <v>78</v>
      </c>
      <c r="AN1066" t="s">
        <v>78</v>
      </c>
      <c r="AO1066" t="s">
        <v>78</v>
      </c>
      <c r="AP1066" t="s">
        <v>163</v>
      </c>
      <c r="AQ1066">
        <v>5</v>
      </c>
      <c r="AR1066" t="s">
        <v>123</v>
      </c>
      <c r="AS1066" t="s">
        <v>124</v>
      </c>
      <c r="AT1066" t="s">
        <v>58</v>
      </c>
      <c r="AU1066" t="s">
        <v>68</v>
      </c>
      <c r="AV1066" t="s">
        <v>69</v>
      </c>
      <c r="AW1066" s="1">
        <v>24674</v>
      </c>
      <c r="AX1066">
        <v>2</v>
      </c>
    </row>
    <row r="1067" spans="1:50">
      <c r="A1067">
        <v>223032</v>
      </c>
      <c r="B1067" t="str">
        <f>"065076670"</f>
        <v>065076670</v>
      </c>
      <c r="C1067" t="s">
        <v>50</v>
      </c>
      <c r="D1067" t="s">
        <v>2582</v>
      </c>
      <c r="E1067" t="s">
        <v>340</v>
      </c>
      <c r="F1067" t="s">
        <v>95</v>
      </c>
      <c r="G1067" t="s">
        <v>109</v>
      </c>
      <c r="H1067" t="str">
        <f>"ΣΠΙΝΑΛΟΓΚΑΣ 4 ΗΡΑΚΛΕΙΟ"</f>
        <v>ΣΠΙΝΑΛΟΓΚΑΣ 4 ΗΡΑΚΛΕΙΟ</v>
      </c>
      <c r="I1067">
        <v>71201</v>
      </c>
      <c r="J1067">
        <v>2810256604</v>
      </c>
      <c r="K1067">
        <v>6942257675</v>
      </c>
      <c r="M1067" t="s">
        <v>2583</v>
      </c>
      <c r="N1067" t="s">
        <v>292</v>
      </c>
      <c r="O1067" t="s">
        <v>293</v>
      </c>
      <c r="R1067" t="s">
        <v>57</v>
      </c>
      <c r="S1067">
        <v>5</v>
      </c>
      <c r="T1067">
        <v>775</v>
      </c>
      <c r="U1067" s="1">
        <v>39680</v>
      </c>
      <c r="V1067" t="s">
        <v>123</v>
      </c>
      <c r="W1067" t="s">
        <v>124</v>
      </c>
      <c r="X1067" t="s">
        <v>58</v>
      </c>
      <c r="Y1067">
        <v>21</v>
      </c>
      <c r="Z1067" t="s">
        <v>59</v>
      </c>
      <c r="AA1067" t="s">
        <v>59</v>
      </c>
      <c r="AB1067" t="s">
        <v>59</v>
      </c>
      <c r="AC1067" t="s">
        <v>59</v>
      </c>
      <c r="AD1067" t="s">
        <v>59</v>
      </c>
      <c r="AF1067" s="1">
        <v>39682</v>
      </c>
      <c r="AG1067" t="s">
        <v>137</v>
      </c>
      <c r="AH1067" t="s">
        <v>138</v>
      </c>
      <c r="AI1067" t="str">
        <f>"1740210"</f>
        <v>1740210</v>
      </c>
      <c r="AJ1067" t="s">
        <v>139</v>
      </c>
      <c r="AK1067">
        <v>2810318130</v>
      </c>
      <c r="AL1067" t="s">
        <v>140</v>
      </c>
      <c r="AM1067" t="s">
        <v>78</v>
      </c>
      <c r="AN1067" t="s">
        <v>78</v>
      </c>
      <c r="AO1067" t="s">
        <v>78</v>
      </c>
      <c r="AP1067" t="s">
        <v>141</v>
      </c>
      <c r="AQ1067">
        <v>7</v>
      </c>
      <c r="AR1067" t="s">
        <v>123</v>
      </c>
      <c r="AS1067" t="s">
        <v>124</v>
      </c>
      <c r="AT1067" t="s">
        <v>58</v>
      </c>
      <c r="AU1067" t="s">
        <v>68</v>
      </c>
      <c r="AV1067" t="s">
        <v>69</v>
      </c>
      <c r="AW1067" s="1">
        <v>27234</v>
      </c>
      <c r="AX1067">
        <v>2</v>
      </c>
    </row>
    <row r="1068" spans="1:50">
      <c r="A1068">
        <v>204032</v>
      </c>
      <c r="B1068" t="str">
        <f>"037546194"</f>
        <v>037546194</v>
      </c>
      <c r="C1068" t="s">
        <v>105</v>
      </c>
      <c r="D1068" t="s">
        <v>2582</v>
      </c>
      <c r="E1068" t="s">
        <v>1543</v>
      </c>
      <c r="F1068" t="s">
        <v>166</v>
      </c>
      <c r="G1068" t="s">
        <v>96</v>
      </c>
      <c r="H1068" t="str">
        <f>" "</f>
        <v xml:space="preserve"> </v>
      </c>
      <c r="J1068">
        <v>2810230512</v>
      </c>
      <c r="K1068">
        <v>6936745104</v>
      </c>
      <c r="M1068" t="s">
        <v>2584</v>
      </c>
      <c r="N1068" t="s">
        <v>176</v>
      </c>
      <c r="O1068" t="s">
        <v>177</v>
      </c>
      <c r="R1068" t="s">
        <v>57</v>
      </c>
      <c r="S1068">
        <v>9</v>
      </c>
      <c r="T1068">
        <v>231</v>
      </c>
      <c r="U1068" s="1">
        <v>38230</v>
      </c>
      <c r="V1068" t="s">
        <v>123</v>
      </c>
      <c r="W1068" t="s">
        <v>124</v>
      </c>
      <c r="X1068" t="s">
        <v>58</v>
      </c>
      <c r="Y1068">
        <v>20</v>
      </c>
      <c r="Z1068" t="s">
        <v>59</v>
      </c>
      <c r="AA1068" t="s">
        <v>59</v>
      </c>
      <c r="AB1068" t="s">
        <v>59</v>
      </c>
      <c r="AC1068" t="s">
        <v>59</v>
      </c>
      <c r="AD1068" t="s">
        <v>59</v>
      </c>
      <c r="AF1068" s="1">
        <v>38236</v>
      </c>
      <c r="AG1068" t="s">
        <v>148</v>
      </c>
      <c r="AH1068" t="s">
        <v>149</v>
      </c>
      <c r="AI1068" t="str">
        <f>"1751080"</f>
        <v>1751080</v>
      </c>
      <c r="AJ1068" t="s">
        <v>1395</v>
      </c>
      <c r="AK1068">
        <v>2810721380</v>
      </c>
      <c r="AL1068" t="s">
        <v>1396</v>
      </c>
      <c r="AM1068" t="s">
        <v>78</v>
      </c>
      <c r="AN1068" t="s">
        <v>78</v>
      </c>
      <c r="AO1068" t="s">
        <v>185</v>
      </c>
      <c r="AP1068" t="s">
        <v>186</v>
      </c>
      <c r="AQ1068">
        <v>29</v>
      </c>
      <c r="AR1068" t="s">
        <v>123</v>
      </c>
      <c r="AS1068" t="s">
        <v>124</v>
      </c>
      <c r="AT1068" t="s">
        <v>58</v>
      </c>
      <c r="AU1068" t="s">
        <v>68</v>
      </c>
      <c r="AV1068" t="s">
        <v>69</v>
      </c>
      <c r="AW1068" s="1">
        <v>23471</v>
      </c>
      <c r="AX1068">
        <v>2</v>
      </c>
    </row>
    <row r="1069" spans="1:50">
      <c r="A1069">
        <v>209590</v>
      </c>
      <c r="B1069" t="str">
        <f>"054035299"</f>
        <v>054035299</v>
      </c>
      <c r="C1069" t="s">
        <v>50</v>
      </c>
      <c r="D1069" t="s">
        <v>2582</v>
      </c>
      <c r="E1069" t="s">
        <v>52</v>
      </c>
      <c r="F1069" t="s">
        <v>510</v>
      </c>
      <c r="G1069" t="s">
        <v>1588</v>
      </c>
      <c r="H1069" t="str">
        <f>"ΑΠΟΛΛΩΝΙΟΥ ΡΟΔΙΟΥ 90 "</f>
        <v xml:space="preserve">ΑΠΟΛΛΩΝΙΟΥ ΡΟΔΙΟΥ 90 </v>
      </c>
      <c r="J1069">
        <v>2810237658</v>
      </c>
      <c r="K1069">
        <v>6972866887</v>
      </c>
      <c r="M1069" t="s">
        <v>2585</v>
      </c>
      <c r="N1069" t="s">
        <v>146</v>
      </c>
      <c r="O1069" t="s">
        <v>147</v>
      </c>
      <c r="R1069" t="s">
        <v>57</v>
      </c>
      <c r="S1069">
        <v>11</v>
      </c>
      <c r="T1069">
        <v>225</v>
      </c>
      <c r="U1069" s="1">
        <v>38604</v>
      </c>
      <c r="V1069" t="s">
        <v>123</v>
      </c>
      <c r="W1069" t="s">
        <v>124</v>
      </c>
      <c r="X1069" t="s">
        <v>58</v>
      </c>
      <c r="Y1069">
        <v>18</v>
      </c>
      <c r="Z1069" t="s">
        <v>59</v>
      </c>
      <c r="AA1069" t="s">
        <v>59</v>
      </c>
      <c r="AB1069" t="s">
        <v>59</v>
      </c>
      <c r="AC1069" t="s">
        <v>59</v>
      </c>
      <c r="AD1069" t="s">
        <v>59</v>
      </c>
      <c r="AF1069" s="1">
        <v>38604</v>
      </c>
      <c r="AG1069" t="s">
        <v>125</v>
      </c>
      <c r="AH1069" t="s">
        <v>126</v>
      </c>
      <c r="AI1069" t="str">
        <f>"1701041"</f>
        <v>1701041</v>
      </c>
      <c r="AJ1069" t="s">
        <v>161</v>
      </c>
      <c r="AK1069">
        <v>2810327052</v>
      </c>
      <c r="AL1069" t="s">
        <v>162</v>
      </c>
      <c r="AM1069" t="s">
        <v>78</v>
      </c>
      <c r="AN1069" t="s">
        <v>78</v>
      </c>
      <c r="AO1069" t="s">
        <v>78</v>
      </c>
      <c r="AP1069" t="s">
        <v>163</v>
      </c>
      <c r="AQ1069">
        <v>5</v>
      </c>
      <c r="AR1069" t="s">
        <v>123</v>
      </c>
      <c r="AS1069" t="s">
        <v>124</v>
      </c>
      <c r="AT1069" t="s">
        <v>58</v>
      </c>
      <c r="AU1069" t="s">
        <v>68</v>
      </c>
      <c r="AV1069" t="s">
        <v>69</v>
      </c>
      <c r="AW1069" s="1">
        <v>25537</v>
      </c>
      <c r="AX1069">
        <v>2</v>
      </c>
    </row>
    <row r="1070" spans="1:50">
      <c r="A1070">
        <v>196791</v>
      </c>
      <c r="B1070" t="str">
        <f>"101881371"</f>
        <v>101881371</v>
      </c>
      <c r="C1070" t="s">
        <v>105</v>
      </c>
      <c r="D1070" t="s">
        <v>2582</v>
      </c>
      <c r="E1070" t="s">
        <v>474</v>
      </c>
      <c r="F1070" t="s">
        <v>2023</v>
      </c>
      <c r="G1070" t="s">
        <v>255</v>
      </c>
      <c r="H1070" t="str">
        <f>"ΚΟΡΑΚΑ 16 ΜΟΙΡΕΣ"</f>
        <v>ΚΟΡΑΚΑ 16 ΜΟΙΡΕΣ</v>
      </c>
      <c r="I1070">
        <v>70400</v>
      </c>
      <c r="J1070">
        <v>2892025118</v>
      </c>
      <c r="K1070">
        <v>6977977906</v>
      </c>
      <c r="M1070" t="s">
        <v>2586</v>
      </c>
      <c r="N1070" t="s">
        <v>157</v>
      </c>
      <c r="O1070" t="s">
        <v>158</v>
      </c>
      <c r="P1070" t="s">
        <v>146</v>
      </c>
      <c r="Q1070" t="s">
        <v>147</v>
      </c>
      <c r="R1070" t="s">
        <v>57</v>
      </c>
      <c r="S1070">
        <v>7</v>
      </c>
      <c r="T1070">
        <v>206</v>
      </c>
      <c r="U1070" s="1">
        <v>37866</v>
      </c>
      <c r="V1070" t="s">
        <v>123</v>
      </c>
      <c r="W1070" t="s">
        <v>124</v>
      </c>
      <c r="X1070" t="s">
        <v>58</v>
      </c>
      <c r="Y1070">
        <v>20</v>
      </c>
      <c r="Z1070" t="s">
        <v>59</v>
      </c>
      <c r="AA1070" t="s">
        <v>59</v>
      </c>
      <c r="AB1070" t="s">
        <v>59</v>
      </c>
      <c r="AC1070" t="s">
        <v>59</v>
      </c>
      <c r="AD1070" t="s">
        <v>59</v>
      </c>
      <c r="AF1070" s="1">
        <v>37866</v>
      </c>
      <c r="AG1070" t="s">
        <v>125</v>
      </c>
      <c r="AH1070" t="s">
        <v>126</v>
      </c>
      <c r="AI1070" t="str">
        <f>"1721010"</f>
        <v>1721010</v>
      </c>
      <c r="AJ1070" t="s">
        <v>462</v>
      </c>
      <c r="AK1070">
        <v>2892031207</v>
      </c>
      <c r="AL1070" t="s">
        <v>463</v>
      </c>
      <c r="AM1070" t="s">
        <v>78</v>
      </c>
      <c r="AN1070" t="s">
        <v>405</v>
      </c>
      <c r="AO1070" t="s">
        <v>405</v>
      </c>
      <c r="AP1070" t="s">
        <v>464</v>
      </c>
      <c r="AQ1070">
        <v>33</v>
      </c>
      <c r="AR1070" t="s">
        <v>123</v>
      </c>
      <c r="AS1070" t="s">
        <v>124</v>
      </c>
      <c r="AT1070" t="s">
        <v>58</v>
      </c>
      <c r="AU1070" t="s">
        <v>68</v>
      </c>
      <c r="AV1070" t="s">
        <v>69</v>
      </c>
      <c r="AW1070" s="1">
        <v>26506</v>
      </c>
      <c r="AX1070">
        <v>2</v>
      </c>
    </row>
    <row r="1071" spans="1:50">
      <c r="A1071">
        <v>158914</v>
      </c>
      <c r="B1071" t="str">
        <f>"036381348"</f>
        <v>036381348</v>
      </c>
      <c r="C1071" t="s">
        <v>105</v>
      </c>
      <c r="D1071" t="s">
        <v>2587</v>
      </c>
      <c r="E1071" t="s">
        <v>1070</v>
      </c>
      <c r="F1071" t="s">
        <v>1070</v>
      </c>
      <c r="G1071" t="s">
        <v>238</v>
      </c>
      <c r="H1071" t="str">
        <f>"ΠΑΠΑΠΕΤΡΟΥ ΓΑΒΑΛΑ 44 Α "</f>
        <v xml:space="preserve">ΠΑΠΑΠΕΤΡΟΥ ΓΑΒΑΛΑ 44 Α </v>
      </c>
      <c r="J1071">
        <v>2810211473</v>
      </c>
      <c r="K1071">
        <v>6932969380</v>
      </c>
      <c r="N1071" t="s">
        <v>157</v>
      </c>
      <c r="O1071" t="s">
        <v>158</v>
      </c>
      <c r="R1071" t="s">
        <v>57</v>
      </c>
      <c r="S1071">
        <v>14</v>
      </c>
      <c r="T1071">
        <v>161</v>
      </c>
      <c r="U1071" s="1">
        <v>33119</v>
      </c>
      <c r="V1071" t="s">
        <v>123</v>
      </c>
      <c r="W1071" t="s">
        <v>124</v>
      </c>
      <c r="X1071" t="s">
        <v>58</v>
      </c>
      <c r="Y1071">
        <v>18</v>
      </c>
      <c r="Z1071" t="s">
        <v>59</v>
      </c>
      <c r="AA1071" t="s">
        <v>59</v>
      </c>
      <c r="AB1071" t="s">
        <v>59</v>
      </c>
      <c r="AC1071" t="s">
        <v>59</v>
      </c>
      <c r="AD1071" t="s">
        <v>59</v>
      </c>
      <c r="AF1071" s="1">
        <v>33121</v>
      </c>
      <c r="AG1071" t="s">
        <v>148</v>
      </c>
      <c r="AH1071" t="s">
        <v>149</v>
      </c>
      <c r="AI1071" t="str">
        <f>"1790100"</f>
        <v>1790100</v>
      </c>
      <c r="AJ1071" t="s">
        <v>252</v>
      </c>
      <c r="AK1071">
        <v>2810234876</v>
      </c>
      <c r="AL1071" t="s">
        <v>253</v>
      </c>
      <c r="AM1071" t="s">
        <v>78</v>
      </c>
      <c r="AN1071" t="s">
        <v>78</v>
      </c>
      <c r="AO1071" t="s">
        <v>78</v>
      </c>
      <c r="AP1071" t="s">
        <v>163</v>
      </c>
      <c r="AQ1071">
        <v>5</v>
      </c>
      <c r="AR1071" t="s">
        <v>123</v>
      </c>
      <c r="AS1071" t="s">
        <v>124</v>
      </c>
      <c r="AT1071" t="s">
        <v>58</v>
      </c>
      <c r="AU1071" t="s">
        <v>68</v>
      </c>
      <c r="AV1071" t="s">
        <v>69</v>
      </c>
      <c r="AW1071" s="1">
        <v>23420</v>
      </c>
      <c r="AX1071">
        <v>2</v>
      </c>
    </row>
    <row r="1072" spans="1:50">
      <c r="B1072" t="str">
        <f>"125587533"</f>
        <v>125587533</v>
      </c>
      <c r="C1072" t="s">
        <v>105</v>
      </c>
      <c r="D1072" t="s">
        <v>2587</v>
      </c>
      <c r="E1072" t="s">
        <v>53</v>
      </c>
      <c r="F1072" t="s">
        <v>84</v>
      </c>
      <c r="G1072" t="s">
        <v>714</v>
      </c>
      <c r="H1072" t="str">
        <f>"ΜΕΛΕΤΙΟΥ ΜΕΤΑΞΑΚΗ 18 ΡΕΘΥΜΝΟ"</f>
        <v>ΜΕΛΕΤΙΟΥ ΜΕΤΑΞΑΚΗ 18 ΡΕΘΥΜΝΟ</v>
      </c>
      <c r="I1072">
        <v>74100</v>
      </c>
      <c r="K1072">
        <v>6978820733</v>
      </c>
      <c r="L1072">
        <v>6986574525</v>
      </c>
      <c r="M1072" t="s">
        <v>2588</v>
      </c>
      <c r="N1072" t="s">
        <v>119</v>
      </c>
      <c r="O1072" t="s">
        <v>120</v>
      </c>
      <c r="R1072" t="s">
        <v>159</v>
      </c>
      <c r="S1072">
        <v>7</v>
      </c>
      <c r="T1072" t="s">
        <v>344</v>
      </c>
      <c r="U1072" s="1">
        <v>43348</v>
      </c>
      <c r="V1072" t="s">
        <v>123</v>
      </c>
      <c r="W1072" t="s">
        <v>124</v>
      </c>
      <c r="X1072" t="s">
        <v>58</v>
      </c>
      <c r="Y1072">
        <v>23</v>
      </c>
      <c r="Z1072" t="s">
        <v>59</v>
      </c>
      <c r="AA1072" t="s">
        <v>59</v>
      </c>
      <c r="AB1072" t="s">
        <v>59</v>
      </c>
      <c r="AC1072" t="s">
        <v>59</v>
      </c>
      <c r="AD1072" t="s">
        <v>59</v>
      </c>
      <c r="AF1072" s="1">
        <v>43348</v>
      </c>
      <c r="AG1072" t="s">
        <v>125</v>
      </c>
      <c r="AH1072" t="s">
        <v>126</v>
      </c>
      <c r="AI1072" t="str">
        <f>"1706010"</f>
        <v>1706010</v>
      </c>
      <c r="AJ1072" t="s">
        <v>391</v>
      </c>
      <c r="AK1072">
        <v>2892022286</v>
      </c>
      <c r="AL1072" t="s">
        <v>392</v>
      </c>
      <c r="AM1072" t="s">
        <v>78</v>
      </c>
      <c r="AN1072" t="s">
        <v>242</v>
      </c>
      <c r="AO1072" t="s">
        <v>243</v>
      </c>
      <c r="AP1072" t="s">
        <v>243</v>
      </c>
      <c r="AQ1072">
        <v>33</v>
      </c>
      <c r="AR1072" t="s">
        <v>123</v>
      </c>
      <c r="AS1072" t="s">
        <v>124</v>
      </c>
      <c r="AT1072" t="s">
        <v>58</v>
      </c>
      <c r="AU1072" t="s">
        <v>350</v>
      </c>
      <c r="AV1072" t="s">
        <v>132</v>
      </c>
      <c r="AW1072" s="1">
        <v>27936</v>
      </c>
      <c r="AX1072">
        <v>2</v>
      </c>
    </row>
    <row r="1073" spans="1:50">
      <c r="A1073">
        <v>170606</v>
      </c>
      <c r="B1073" t="str">
        <f>"030327591"</f>
        <v>030327591</v>
      </c>
      <c r="C1073" t="s">
        <v>105</v>
      </c>
      <c r="D1073" t="s">
        <v>2587</v>
      </c>
      <c r="E1073" t="s">
        <v>53</v>
      </c>
      <c r="F1073" t="s">
        <v>510</v>
      </c>
      <c r="G1073" t="s">
        <v>250</v>
      </c>
      <c r="H1073" t="str">
        <f>"ΠΥΡΑΝΘΟΥ 4 ΗΡΑΚΛΕΙΟΥ"</f>
        <v>ΠΥΡΑΝΘΟΥ 4 ΗΡΑΚΛΕΙΟΥ</v>
      </c>
      <c r="I1073">
        <v>71305</v>
      </c>
      <c r="J1073">
        <v>2810262421</v>
      </c>
      <c r="K1073">
        <v>6972717690</v>
      </c>
      <c r="M1073" t="s">
        <v>1379</v>
      </c>
      <c r="N1073" t="s">
        <v>199</v>
      </c>
      <c r="O1073" t="s">
        <v>200</v>
      </c>
      <c r="R1073" t="s">
        <v>57</v>
      </c>
      <c r="S1073">
        <v>13</v>
      </c>
      <c r="T1073">
        <v>184</v>
      </c>
      <c r="U1073" s="1">
        <v>34941</v>
      </c>
      <c r="V1073" t="s">
        <v>123</v>
      </c>
      <c r="W1073" t="s">
        <v>124</v>
      </c>
      <c r="X1073" t="s">
        <v>58</v>
      </c>
      <c r="Y1073">
        <v>18</v>
      </c>
      <c r="Z1073" t="s">
        <v>59</v>
      </c>
      <c r="AA1073" t="s">
        <v>59</v>
      </c>
      <c r="AB1073" t="s">
        <v>59</v>
      </c>
      <c r="AC1073" t="s">
        <v>59</v>
      </c>
      <c r="AD1073" t="s">
        <v>59</v>
      </c>
      <c r="AF1073" s="1">
        <v>34943</v>
      </c>
      <c r="AG1073" t="s">
        <v>148</v>
      </c>
      <c r="AH1073" t="s">
        <v>149</v>
      </c>
      <c r="AI1073" t="str">
        <f>"1751010"</f>
        <v>1751010</v>
      </c>
      <c r="AJ1073" t="s">
        <v>150</v>
      </c>
      <c r="AK1073">
        <v>2810346092</v>
      </c>
      <c r="AL1073" t="s">
        <v>151</v>
      </c>
      <c r="AM1073" t="s">
        <v>78</v>
      </c>
      <c r="AN1073" t="s">
        <v>78</v>
      </c>
      <c r="AO1073" t="s">
        <v>78</v>
      </c>
      <c r="AP1073" t="s">
        <v>79</v>
      </c>
      <c r="AQ1073">
        <v>1</v>
      </c>
      <c r="AR1073" t="s">
        <v>123</v>
      </c>
      <c r="AS1073" t="s">
        <v>124</v>
      </c>
      <c r="AT1073" t="s">
        <v>58</v>
      </c>
      <c r="AU1073" t="s">
        <v>68</v>
      </c>
      <c r="AV1073" t="s">
        <v>69</v>
      </c>
      <c r="AW1073" s="1">
        <v>22135</v>
      </c>
      <c r="AX1073">
        <v>2</v>
      </c>
    </row>
    <row r="1074" spans="1:50">
      <c r="A1074">
        <v>159344</v>
      </c>
      <c r="B1074" t="str">
        <f>"043688176"</f>
        <v>043688176</v>
      </c>
      <c r="C1074" t="s">
        <v>50</v>
      </c>
      <c r="D1074" t="s">
        <v>2589</v>
      </c>
      <c r="E1074" t="s">
        <v>755</v>
      </c>
      <c r="F1074" t="s">
        <v>99</v>
      </c>
      <c r="G1074" t="s">
        <v>52</v>
      </c>
      <c r="H1074" t="str">
        <f>"ΑΓ. ΑΝΤΩΝΙΟΥ&amp;ΝΙΚΟΛΑΟΥ 42 "</f>
        <v xml:space="preserve">ΑΓ. ΑΝΤΩΝΙΟΥ&amp;ΝΙΚΟΛΑΟΥ 42 </v>
      </c>
      <c r="I1074">
        <v>71410</v>
      </c>
      <c r="J1074">
        <v>2810250272</v>
      </c>
      <c r="K1074">
        <v>6971952773</v>
      </c>
      <c r="M1074" t="s">
        <v>2590</v>
      </c>
      <c r="N1074" t="s">
        <v>146</v>
      </c>
      <c r="O1074" t="s">
        <v>147</v>
      </c>
      <c r="R1074" t="s">
        <v>57</v>
      </c>
      <c r="S1074">
        <v>16</v>
      </c>
      <c r="T1074">
        <v>161</v>
      </c>
      <c r="U1074" s="1">
        <v>33119</v>
      </c>
      <c r="V1074" t="s">
        <v>123</v>
      </c>
      <c r="W1074" t="s">
        <v>124</v>
      </c>
      <c r="X1074" t="s">
        <v>58</v>
      </c>
      <c r="Y1074">
        <v>18</v>
      </c>
      <c r="Z1074" t="s">
        <v>59</v>
      </c>
      <c r="AA1074" t="s">
        <v>59</v>
      </c>
      <c r="AB1074" t="s">
        <v>59</v>
      </c>
      <c r="AC1074" t="s">
        <v>59</v>
      </c>
      <c r="AD1074" t="s">
        <v>59</v>
      </c>
      <c r="AF1074" s="1">
        <v>33120</v>
      </c>
      <c r="AG1074" t="s">
        <v>125</v>
      </c>
      <c r="AH1074" t="s">
        <v>126</v>
      </c>
      <c r="AI1074" t="str">
        <f>"1701020"</f>
        <v>1701020</v>
      </c>
      <c r="AJ1074" t="s">
        <v>323</v>
      </c>
      <c r="AK1074">
        <v>2810252111</v>
      </c>
      <c r="AL1074" t="s">
        <v>324</v>
      </c>
      <c r="AM1074" t="s">
        <v>78</v>
      </c>
      <c r="AN1074" t="s">
        <v>78</v>
      </c>
      <c r="AO1074" t="s">
        <v>78</v>
      </c>
      <c r="AP1074" t="s">
        <v>163</v>
      </c>
      <c r="AQ1074">
        <v>3</v>
      </c>
      <c r="AR1074" t="s">
        <v>123</v>
      </c>
      <c r="AS1074" t="s">
        <v>124</v>
      </c>
      <c r="AT1074" t="s">
        <v>58</v>
      </c>
      <c r="AU1074" t="s">
        <v>68</v>
      </c>
      <c r="AV1074" t="s">
        <v>69</v>
      </c>
      <c r="AW1074" s="1">
        <v>23743</v>
      </c>
      <c r="AX1074">
        <v>2</v>
      </c>
    </row>
    <row r="1075" spans="1:50">
      <c r="A1075">
        <v>202333</v>
      </c>
      <c r="B1075" t="str">
        <f>"038816922"</f>
        <v>038816922</v>
      </c>
      <c r="C1075" t="s">
        <v>50</v>
      </c>
      <c r="D1075" t="s">
        <v>2591</v>
      </c>
      <c r="E1075" t="s">
        <v>52</v>
      </c>
      <c r="F1075" t="s">
        <v>72</v>
      </c>
      <c r="G1075" t="s">
        <v>1001</v>
      </c>
      <c r="H1075" t="str">
        <f>"ΕΜΜΑΝΟΥΗΛ ΜΑΝΩΛΟΠΟΥΛΟΥ 31 ΗΡΑΚΛΕΙΟΥ"</f>
        <v>ΕΜΜΑΝΟΥΗΛ ΜΑΝΩΛΟΠΟΥΛΟΥ 31 ΗΡΑΚΛΕΙΟΥ</v>
      </c>
      <c r="I1075">
        <v>71409</v>
      </c>
      <c r="J1075">
        <v>2810324774</v>
      </c>
      <c r="K1075">
        <v>6972323290</v>
      </c>
      <c r="M1075" t="s">
        <v>2592</v>
      </c>
      <c r="N1075" t="s">
        <v>292</v>
      </c>
      <c r="O1075" t="s">
        <v>293</v>
      </c>
      <c r="R1075" t="s">
        <v>57</v>
      </c>
      <c r="S1075">
        <v>10</v>
      </c>
      <c r="T1075">
        <v>231</v>
      </c>
      <c r="U1075" s="1">
        <v>38230</v>
      </c>
      <c r="V1075" t="s">
        <v>123</v>
      </c>
      <c r="W1075" t="s">
        <v>124</v>
      </c>
      <c r="X1075" t="s">
        <v>58</v>
      </c>
      <c r="Y1075">
        <v>20</v>
      </c>
      <c r="Z1075" t="s">
        <v>59</v>
      </c>
      <c r="AA1075" t="s">
        <v>59</v>
      </c>
      <c r="AB1075" t="s">
        <v>59</v>
      </c>
      <c r="AC1075" t="s">
        <v>59</v>
      </c>
      <c r="AD1075" t="s">
        <v>59</v>
      </c>
      <c r="AF1075" s="1">
        <v>38233</v>
      </c>
      <c r="AG1075" t="s">
        <v>148</v>
      </c>
      <c r="AH1075" t="s">
        <v>149</v>
      </c>
      <c r="AI1075" t="str">
        <f>"1753010"</f>
        <v>1753010</v>
      </c>
      <c r="AJ1075" t="s">
        <v>571</v>
      </c>
      <c r="AK1075">
        <v>2810751528</v>
      </c>
      <c r="AL1075" t="s">
        <v>572</v>
      </c>
      <c r="AM1075" t="s">
        <v>78</v>
      </c>
      <c r="AN1075" t="s">
        <v>424</v>
      </c>
      <c r="AO1075" t="s">
        <v>425</v>
      </c>
      <c r="AP1075" t="s">
        <v>425</v>
      </c>
      <c r="AQ1075">
        <v>13</v>
      </c>
      <c r="AR1075" t="s">
        <v>123</v>
      </c>
      <c r="AS1075" t="s">
        <v>124</v>
      </c>
      <c r="AT1075" t="s">
        <v>58</v>
      </c>
      <c r="AU1075" t="s">
        <v>68</v>
      </c>
      <c r="AV1075" t="s">
        <v>69</v>
      </c>
      <c r="AW1075" s="1">
        <v>24679</v>
      </c>
      <c r="AX1075">
        <v>2</v>
      </c>
    </row>
    <row r="1076" spans="1:50">
      <c r="A1076">
        <v>193094</v>
      </c>
      <c r="B1076" t="str">
        <f>"036724915"</f>
        <v>036724915</v>
      </c>
      <c r="C1076" t="s">
        <v>50</v>
      </c>
      <c r="D1076" t="s">
        <v>2593</v>
      </c>
      <c r="E1076" t="s">
        <v>1078</v>
      </c>
      <c r="F1076" t="s">
        <v>95</v>
      </c>
      <c r="G1076" t="s">
        <v>83</v>
      </c>
      <c r="H1076" t="str">
        <f>"ΣΟΚΑΡΑΣ "</f>
        <v xml:space="preserve">ΣΟΚΑΡΑΣ </v>
      </c>
      <c r="I1076">
        <v>70016</v>
      </c>
      <c r="J1076">
        <v>2841033564</v>
      </c>
      <c r="K1076">
        <v>6980276345</v>
      </c>
      <c r="L1076">
        <v>2893032164</v>
      </c>
      <c r="M1076" t="s">
        <v>2594</v>
      </c>
      <c r="N1076" t="s">
        <v>146</v>
      </c>
      <c r="O1076" t="s">
        <v>147</v>
      </c>
      <c r="R1076" t="s">
        <v>57</v>
      </c>
      <c r="S1076">
        <v>12</v>
      </c>
      <c r="T1076">
        <v>193</v>
      </c>
      <c r="U1076" s="1">
        <v>37497</v>
      </c>
      <c r="V1076" t="s">
        <v>123</v>
      </c>
      <c r="W1076" t="s">
        <v>124</v>
      </c>
      <c r="X1076" t="s">
        <v>58</v>
      </c>
      <c r="Y1076">
        <v>18</v>
      </c>
      <c r="Z1076" t="s">
        <v>59</v>
      </c>
      <c r="AA1076" t="s">
        <v>59</v>
      </c>
      <c r="AB1076" t="s">
        <v>59</v>
      </c>
      <c r="AC1076" t="s">
        <v>59</v>
      </c>
      <c r="AD1076" t="s">
        <v>59</v>
      </c>
      <c r="AF1076" s="1">
        <v>37501</v>
      </c>
      <c r="AG1076" t="s">
        <v>125</v>
      </c>
      <c r="AH1076" t="s">
        <v>126</v>
      </c>
      <c r="AI1076" t="str">
        <f>"1715010"</f>
        <v>1715010</v>
      </c>
      <c r="AJ1076" t="s">
        <v>812</v>
      </c>
      <c r="AK1076">
        <v>2893031193</v>
      </c>
      <c r="AL1076" t="s">
        <v>813</v>
      </c>
      <c r="AM1076" t="s">
        <v>78</v>
      </c>
      <c r="AN1076" t="s">
        <v>405</v>
      </c>
      <c r="AO1076" t="s">
        <v>805</v>
      </c>
      <c r="AP1076" t="s">
        <v>806</v>
      </c>
      <c r="AQ1076">
        <v>25</v>
      </c>
      <c r="AR1076" t="s">
        <v>123</v>
      </c>
      <c r="AS1076" t="s">
        <v>124</v>
      </c>
      <c r="AT1076" t="s">
        <v>58</v>
      </c>
      <c r="AU1076" t="s">
        <v>68</v>
      </c>
      <c r="AV1076" t="s">
        <v>69</v>
      </c>
      <c r="AW1076" s="1">
        <v>24297</v>
      </c>
      <c r="AX1076">
        <v>2</v>
      </c>
    </row>
    <row r="1077" spans="1:50">
      <c r="A1077">
        <v>201702</v>
      </c>
      <c r="B1077" t="str">
        <f>"078303780"</f>
        <v>078303780</v>
      </c>
      <c r="C1077" t="s">
        <v>50</v>
      </c>
      <c r="D1077" t="s">
        <v>2595</v>
      </c>
      <c r="E1077" t="s">
        <v>73</v>
      </c>
      <c r="F1077" t="s">
        <v>92</v>
      </c>
      <c r="G1077" t="s">
        <v>54</v>
      </c>
      <c r="H1077" t="str">
        <f>" "</f>
        <v xml:space="preserve"> </v>
      </c>
      <c r="N1077" t="s">
        <v>146</v>
      </c>
      <c r="O1077" t="s">
        <v>147</v>
      </c>
      <c r="R1077" t="s">
        <v>57</v>
      </c>
      <c r="S1077">
        <v>9</v>
      </c>
      <c r="T1077">
        <v>231</v>
      </c>
      <c r="U1077" s="1">
        <v>38230</v>
      </c>
      <c r="V1077" t="s">
        <v>123</v>
      </c>
      <c r="W1077" t="s">
        <v>124</v>
      </c>
      <c r="X1077" t="s">
        <v>58</v>
      </c>
      <c r="Y1077">
        <v>20</v>
      </c>
      <c r="Z1077" t="s">
        <v>59</v>
      </c>
      <c r="AA1077" t="s">
        <v>59</v>
      </c>
      <c r="AB1077" t="s">
        <v>59</v>
      </c>
      <c r="AC1077" t="s">
        <v>59</v>
      </c>
      <c r="AD1077" t="s">
        <v>59</v>
      </c>
      <c r="AF1077" s="1">
        <v>38236</v>
      </c>
      <c r="AG1077" t="s">
        <v>125</v>
      </c>
      <c r="AH1077" t="s">
        <v>126</v>
      </c>
      <c r="AI1077" t="str">
        <f>"1701041"</f>
        <v>1701041</v>
      </c>
      <c r="AJ1077" t="s">
        <v>161</v>
      </c>
      <c r="AK1077">
        <v>2810327052</v>
      </c>
      <c r="AL1077" t="s">
        <v>162</v>
      </c>
      <c r="AM1077" t="s">
        <v>78</v>
      </c>
      <c r="AN1077" t="s">
        <v>78</v>
      </c>
      <c r="AO1077" t="s">
        <v>78</v>
      </c>
      <c r="AP1077" t="s">
        <v>163</v>
      </c>
      <c r="AQ1077">
        <v>5</v>
      </c>
      <c r="AR1077" t="s">
        <v>123</v>
      </c>
      <c r="AS1077" t="s">
        <v>124</v>
      </c>
      <c r="AT1077" t="s">
        <v>58</v>
      </c>
      <c r="AU1077" t="s">
        <v>68</v>
      </c>
      <c r="AV1077" t="s">
        <v>69</v>
      </c>
      <c r="AW1077" s="1">
        <v>28410</v>
      </c>
      <c r="AX1077">
        <v>2</v>
      </c>
    </row>
    <row r="1078" spans="1:50">
      <c r="A1078">
        <v>173390</v>
      </c>
      <c r="B1078" t="str">
        <f>"071116104"</f>
        <v>071116104</v>
      </c>
      <c r="C1078" t="s">
        <v>50</v>
      </c>
      <c r="D1078" t="s">
        <v>2596</v>
      </c>
      <c r="E1078" t="s">
        <v>263</v>
      </c>
      <c r="F1078" t="s">
        <v>166</v>
      </c>
      <c r="G1078" t="s">
        <v>52</v>
      </c>
      <c r="H1078" t="str">
        <f>" "</f>
        <v xml:space="preserve"> </v>
      </c>
      <c r="K1078">
        <v>6948568852</v>
      </c>
      <c r="L1078">
        <v>2651083972</v>
      </c>
      <c r="M1078" t="s">
        <v>2597</v>
      </c>
      <c r="N1078" t="s">
        <v>146</v>
      </c>
      <c r="O1078" t="s">
        <v>147</v>
      </c>
      <c r="R1078" t="s">
        <v>57</v>
      </c>
      <c r="S1078">
        <v>10</v>
      </c>
      <c r="T1078">
        <v>166</v>
      </c>
      <c r="U1078" s="1">
        <v>35300</v>
      </c>
      <c r="V1078" t="s">
        <v>123</v>
      </c>
      <c r="W1078" t="s">
        <v>124</v>
      </c>
      <c r="X1078" t="s">
        <v>58</v>
      </c>
      <c r="Y1078">
        <v>20</v>
      </c>
      <c r="Z1078" t="s">
        <v>59</v>
      </c>
      <c r="AA1078" t="s">
        <v>59</v>
      </c>
      <c r="AB1078" t="s">
        <v>59</v>
      </c>
      <c r="AC1078" t="s">
        <v>59</v>
      </c>
      <c r="AD1078" t="s">
        <v>59</v>
      </c>
      <c r="AF1078" s="1">
        <v>35312</v>
      </c>
      <c r="AG1078" t="s">
        <v>125</v>
      </c>
      <c r="AH1078" t="s">
        <v>126</v>
      </c>
      <c r="AI1078" t="str">
        <f>"1710010"</f>
        <v>1710010</v>
      </c>
      <c r="AJ1078" t="s">
        <v>595</v>
      </c>
      <c r="AK1078">
        <v>2810711220</v>
      </c>
      <c r="AL1078" t="s">
        <v>596</v>
      </c>
      <c r="AM1078" t="s">
        <v>78</v>
      </c>
      <c r="AN1078" t="s">
        <v>129</v>
      </c>
      <c r="AO1078" t="s">
        <v>597</v>
      </c>
      <c r="AP1078" t="s">
        <v>598</v>
      </c>
      <c r="AQ1078">
        <v>28</v>
      </c>
      <c r="AR1078" t="s">
        <v>123</v>
      </c>
      <c r="AS1078" t="s">
        <v>124</v>
      </c>
      <c r="AT1078" t="s">
        <v>58</v>
      </c>
      <c r="AU1078" t="s">
        <v>68</v>
      </c>
      <c r="AV1078" t="s">
        <v>69</v>
      </c>
      <c r="AW1078" s="1">
        <v>23534</v>
      </c>
      <c r="AX1078">
        <v>2</v>
      </c>
    </row>
    <row r="1079" spans="1:50">
      <c r="A1079">
        <v>194400</v>
      </c>
      <c r="B1079" t="str">
        <f>"041838046"</f>
        <v>041838046</v>
      </c>
      <c r="C1079" t="s">
        <v>50</v>
      </c>
      <c r="D1079" t="s">
        <v>2598</v>
      </c>
      <c r="E1079" t="s">
        <v>372</v>
      </c>
      <c r="F1079" t="s">
        <v>95</v>
      </c>
      <c r="G1079" t="s">
        <v>2599</v>
      </c>
      <c r="H1079" t="str">
        <f>" "</f>
        <v xml:space="preserve"> </v>
      </c>
      <c r="J1079">
        <v>2810232042</v>
      </c>
      <c r="M1079" t="s">
        <v>2600</v>
      </c>
      <c r="N1079" t="s">
        <v>176</v>
      </c>
      <c r="O1079" t="s">
        <v>177</v>
      </c>
      <c r="R1079" t="s">
        <v>57</v>
      </c>
      <c r="S1079">
        <v>11</v>
      </c>
      <c r="T1079">
        <v>193</v>
      </c>
      <c r="U1079" s="1">
        <v>37497</v>
      </c>
      <c r="V1079" t="s">
        <v>123</v>
      </c>
      <c r="W1079" t="s">
        <v>124</v>
      </c>
      <c r="X1079" t="s">
        <v>58</v>
      </c>
      <c r="Y1079">
        <v>18</v>
      </c>
      <c r="Z1079" t="s">
        <v>59</v>
      </c>
      <c r="AA1079" t="s">
        <v>59</v>
      </c>
      <c r="AB1079" t="s">
        <v>59</v>
      </c>
      <c r="AC1079" t="s">
        <v>59</v>
      </c>
      <c r="AD1079" t="s">
        <v>59</v>
      </c>
      <c r="AF1079" s="1">
        <v>37500</v>
      </c>
      <c r="AG1079" t="s">
        <v>148</v>
      </c>
      <c r="AH1079" t="s">
        <v>149</v>
      </c>
      <c r="AI1079" t="str">
        <f>"1790100"</f>
        <v>1790100</v>
      </c>
      <c r="AJ1079" t="s">
        <v>252</v>
      </c>
      <c r="AK1079">
        <v>2810234876</v>
      </c>
      <c r="AL1079" t="s">
        <v>253</v>
      </c>
      <c r="AM1079" t="s">
        <v>78</v>
      </c>
      <c r="AN1079" t="s">
        <v>78</v>
      </c>
      <c r="AO1079" t="s">
        <v>78</v>
      </c>
      <c r="AP1079" t="s">
        <v>163</v>
      </c>
      <c r="AQ1079">
        <v>5</v>
      </c>
      <c r="AR1079" t="s">
        <v>123</v>
      </c>
      <c r="AS1079" t="s">
        <v>124</v>
      </c>
      <c r="AT1079" t="s">
        <v>58</v>
      </c>
      <c r="AU1079" t="s">
        <v>68</v>
      </c>
      <c r="AV1079" t="s">
        <v>69</v>
      </c>
      <c r="AW1079" s="1">
        <v>21897</v>
      </c>
      <c r="AX1079">
        <v>2</v>
      </c>
    </row>
    <row r="1080" spans="1:50">
      <c r="A1080">
        <v>210105</v>
      </c>
      <c r="B1080" t="str">
        <f>"114553120"</f>
        <v>114553120</v>
      </c>
      <c r="C1080" t="s">
        <v>50</v>
      </c>
      <c r="D1080" t="s">
        <v>2601</v>
      </c>
      <c r="E1080" t="s">
        <v>250</v>
      </c>
      <c r="F1080" t="s">
        <v>72</v>
      </c>
      <c r="G1080" t="s">
        <v>1443</v>
      </c>
      <c r="H1080" t="str">
        <f>"ΣΚΟΠΕΛΟΥ 2 ΑΤΣΑΛΕΝΙΟ"</f>
        <v>ΣΚΟΠΕΛΟΥ 2 ΑΤΣΑΛΕΝΙΟ</v>
      </c>
      <c r="I1080">
        <v>71306</v>
      </c>
      <c r="J1080">
        <v>2810235559</v>
      </c>
      <c r="K1080">
        <v>6976776342</v>
      </c>
      <c r="N1080" t="s">
        <v>232</v>
      </c>
      <c r="O1080" t="s">
        <v>233</v>
      </c>
      <c r="R1080" t="s">
        <v>57</v>
      </c>
      <c r="S1080">
        <v>9</v>
      </c>
      <c r="T1080">
        <v>228</v>
      </c>
      <c r="U1080" s="1">
        <v>38608</v>
      </c>
      <c r="V1080" t="s">
        <v>123</v>
      </c>
      <c r="W1080" t="s">
        <v>124</v>
      </c>
      <c r="X1080" t="s">
        <v>58</v>
      </c>
      <c r="Y1080">
        <v>20</v>
      </c>
      <c r="Z1080" t="s">
        <v>59</v>
      </c>
      <c r="AA1080" t="s">
        <v>59</v>
      </c>
      <c r="AB1080" t="s">
        <v>59</v>
      </c>
      <c r="AC1080" t="s">
        <v>59</v>
      </c>
      <c r="AD1080" t="s">
        <v>59</v>
      </c>
      <c r="AF1080" s="1">
        <v>38609</v>
      </c>
      <c r="AG1080" t="s">
        <v>137</v>
      </c>
      <c r="AH1080" t="s">
        <v>138</v>
      </c>
      <c r="AI1080" t="str">
        <f>"1750080"</f>
        <v>1750080</v>
      </c>
      <c r="AJ1080" t="s">
        <v>170</v>
      </c>
      <c r="AK1080">
        <v>2810234444</v>
      </c>
      <c r="AL1080" t="s">
        <v>171</v>
      </c>
      <c r="AM1080" t="s">
        <v>78</v>
      </c>
      <c r="AN1080" t="s">
        <v>78</v>
      </c>
      <c r="AO1080" t="s">
        <v>78</v>
      </c>
      <c r="AP1080" t="s">
        <v>163</v>
      </c>
      <c r="AQ1080">
        <v>9</v>
      </c>
      <c r="AR1080" t="s">
        <v>123</v>
      </c>
      <c r="AS1080" t="s">
        <v>124</v>
      </c>
      <c r="AT1080" t="s">
        <v>58</v>
      </c>
      <c r="AU1080" t="s">
        <v>68</v>
      </c>
      <c r="AV1080" t="s">
        <v>69</v>
      </c>
      <c r="AW1080" s="1">
        <v>28580</v>
      </c>
      <c r="AX1080">
        <v>2</v>
      </c>
    </row>
    <row r="1081" spans="1:50">
      <c r="A1081">
        <v>169220</v>
      </c>
      <c r="B1081" t="str">
        <f>"030218651"</f>
        <v>030218651</v>
      </c>
      <c r="C1081" t="s">
        <v>50</v>
      </c>
      <c r="D1081" t="s">
        <v>2601</v>
      </c>
      <c r="E1081" t="s">
        <v>114</v>
      </c>
      <c r="F1081" t="s">
        <v>95</v>
      </c>
      <c r="G1081" t="s">
        <v>255</v>
      </c>
      <c r="H1081" t="str">
        <f>"ΕΥΡΩΠΗΣ 22 ΗΡΑΚΛΕΙΟ"</f>
        <v>ΕΥΡΩΠΗΣ 22 ΗΡΑΚΛΕΙΟ</v>
      </c>
      <c r="J1081">
        <v>2810229715</v>
      </c>
      <c r="K1081">
        <v>6977333555</v>
      </c>
      <c r="M1081" t="s">
        <v>2602</v>
      </c>
      <c r="N1081" t="s">
        <v>306</v>
      </c>
      <c r="O1081" t="s">
        <v>307</v>
      </c>
      <c r="R1081" t="s">
        <v>57</v>
      </c>
      <c r="S1081">
        <v>14</v>
      </c>
      <c r="T1081">
        <v>239</v>
      </c>
      <c r="U1081" s="1">
        <v>33969</v>
      </c>
      <c r="V1081" t="s">
        <v>123</v>
      </c>
      <c r="W1081" t="s">
        <v>124</v>
      </c>
      <c r="X1081" t="s">
        <v>58</v>
      </c>
      <c r="Y1081">
        <v>18</v>
      </c>
      <c r="Z1081" t="s">
        <v>59</v>
      </c>
      <c r="AA1081" t="s">
        <v>59</v>
      </c>
      <c r="AB1081" t="s">
        <v>59</v>
      </c>
      <c r="AC1081" t="s">
        <v>59</v>
      </c>
      <c r="AD1081" t="s">
        <v>59</v>
      </c>
      <c r="AF1081" s="1">
        <v>33977</v>
      </c>
      <c r="AG1081" t="s">
        <v>125</v>
      </c>
      <c r="AH1081" t="s">
        <v>126</v>
      </c>
      <c r="AI1081" t="str">
        <f>"1702010"</f>
        <v>1702010</v>
      </c>
      <c r="AJ1081" t="s">
        <v>604</v>
      </c>
      <c r="AK1081">
        <v>2891022228</v>
      </c>
      <c r="AL1081" t="s">
        <v>605</v>
      </c>
      <c r="AM1081" t="s">
        <v>78</v>
      </c>
      <c r="AN1081" t="s">
        <v>276</v>
      </c>
      <c r="AO1081" t="s">
        <v>490</v>
      </c>
      <c r="AP1081" t="s">
        <v>490</v>
      </c>
      <c r="AQ1081">
        <v>15</v>
      </c>
      <c r="AR1081" t="s">
        <v>123</v>
      </c>
      <c r="AS1081" t="s">
        <v>124</v>
      </c>
      <c r="AT1081" t="s">
        <v>58</v>
      </c>
      <c r="AU1081" t="s">
        <v>68</v>
      </c>
      <c r="AV1081" t="s">
        <v>69</v>
      </c>
      <c r="AW1081" s="1">
        <v>24240</v>
      </c>
      <c r="AX1081">
        <v>2</v>
      </c>
    </row>
    <row r="1082" spans="1:50">
      <c r="A1082">
        <v>219298</v>
      </c>
      <c r="B1082" t="str">
        <f>"125586689"</f>
        <v>125586689</v>
      </c>
      <c r="C1082" t="s">
        <v>50</v>
      </c>
      <c r="D1082" t="s">
        <v>2601</v>
      </c>
      <c r="E1082" t="s">
        <v>809</v>
      </c>
      <c r="F1082" t="s">
        <v>53</v>
      </c>
      <c r="G1082" t="s">
        <v>109</v>
      </c>
      <c r="H1082" t="str">
        <f>"ΦΟΙΝΙΚΟΣ 22 ΜΑΣΤΑΜΠΑΣ"</f>
        <v>ΦΟΙΝΙΚΟΣ 22 ΜΑΣΤΑΜΠΑΣ</v>
      </c>
      <c r="I1082">
        <v>71305</v>
      </c>
      <c r="J1082">
        <v>2810262348</v>
      </c>
      <c r="K1082">
        <v>6937460436</v>
      </c>
      <c r="M1082" t="s">
        <v>2603</v>
      </c>
      <c r="N1082" t="s">
        <v>306</v>
      </c>
      <c r="O1082" t="s">
        <v>307</v>
      </c>
      <c r="R1082" t="s">
        <v>57</v>
      </c>
      <c r="S1082">
        <v>8</v>
      </c>
      <c r="T1082">
        <v>599</v>
      </c>
      <c r="U1082" s="1">
        <v>39310</v>
      </c>
      <c r="V1082" t="s">
        <v>123</v>
      </c>
      <c r="W1082" t="s">
        <v>124</v>
      </c>
      <c r="X1082" t="s">
        <v>58</v>
      </c>
      <c r="Y1082">
        <v>20</v>
      </c>
      <c r="Z1082" t="s">
        <v>59</v>
      </c>
      <c r="AA1082" t="s">
        <v>59</v>
      </c>
      <c r="AB1082" t="s">
        <v>59</v>
      </c>
      <c r="AC1082" t="s">
        <v>59</v>
      </c>
      <c r="AD1082" t="s">
        <v>59</v>
      </c>
      <c r="AF1082" s="1">
        <v>39328</v>
      </c>
      <c r="AG1082" t="s">
        <v>148</v>
      </c>
      <c r="AH1082" t="s">
        <v>149</v>
      </c>
      <c r="AI1082" t="str">
        <f>"1751080"</f>
        <v>1751080</v>
      </c>
      <c r="AJ1082" t="s">
        <v>1395</v>
      </c>
      <c r="AK1082">
        <v>2810721380</v>
      </c>
      <c r="AL1082" t="s">
        <v>1396</v>
      </c>
      <c r="AM1082" t="s">
        <v>78</v>
      </c>
      <c r="AN1082" t="s">
        <v>78</v>
      </c>
      <c r="AO1082" t="s">
        <v>185</v>
      </c>
      <c r="AP1082" t="s">
        <v>186</v>
      </c>
      <c r="AQ1082">
        <v>29</v>
      </c>
      <c r="AR1082" t="s">
        <v>123</v>
      </c>
      <c r="AS1082" t="s">
        <v>124</v>
      </c>
      <c r="AT1082" t="s">
        <v>58</v>
      </c>
      <c r="AU1082" t="s">
        <v>68</v>
      </c>
      <c r="AV1082" t="s">
        <v>69</v>
      </c>
      <c r="AW1082" s="1">
        <v>28963</v>
      </c>
      <c r="AX1082">
        <v>2</v>
      </c>
    </row>
    <row r="1083" spans="1:50">
      <c r="A1083">
        <v>191765</v>
      </c>
      <c r="B1083" t="str">
        <f>"070340847"</f>
        <v>070340847</v>
      </c>
      <c r="C1083" t="s">
        <v>50</v>
      </c>
      <c r="D1083" t="s">
        <v>2604</v>
      </c>
      <c r="E1083" t="s">
        <v>52</v>
      </c>
      <c r="F1083" t="s">
        <v>311</v>
      </c>
      <c r="G1083" t="s">
        <v>188</v>
      </c>
      <c r="H1083" t="str">
        <f>" "</f>
        <v xml:space="preserve"> </v>
      </c>
      <c r="N1083" t="s">
        <v>168</v>
      </c>
      <c r="O1083" t="s">
        <v>169</v>
      </c>
      <c r="R1083" t="s">
        <v>57</v>
      </c>
      <c r="S1083">
        <v>10</v>
      </c>
      <c r="T1083">
        <v>291</v>
      </c>
      <c r="U1083" s="1">
        <v>37218</v>
      </c>
      <c r="V1083" t="s">
        <v>123</v>
      </c>
      <c r="W1083" t="s">
        <v>124</v>
      </c>
      <c r="X1083" t="s">
        <v>58</v>
      </c>
      <c r="Y1083">
        <v>20</v>
      </c>
      <c r="Z1083" t="s">
        <v>59</v>
      </c>
      <c r="AA1083" t="s">
        <v>59</v>
      </c>
      <c r="AB1083" t="s">
        <v>59</v>
      </c>
      <c r="AC1083" t="s">
        <v>59</v>
      </c>
      <c r="AD1083" t="s">
        <v>59</v>
      </c>
      <c r="AF1083" s="1">
        <v>37222</v>
      </c>
      <c r="AG1083" t="s">
        <v>137</v>
      </c>
      <c r="AH1083" t="s">
        <v>138</v>
      </c>
      <c r="AI1083" t="str">
        <f>"1750080"</f>
        <v>1750080</v>
      </c>
      <c r="AJ1083" t="s">
        <v>170</v>
      </c>
      <c r="AK1083">
        <v>2810234444</v>
      </c>
      <c r="AL1083" t="s">
        <v>171</v>
      </c>
      <c r="AM1083" t="s">
        <v>78</v>
      </c>
      <c r="AN1083" t="s">
        <v>78</v>
      </c>
      <c r="AO1083" t="s">
        <v>78</v>
      </c>
      <c r="AP1083" t="s">
        <v>163</v>
      </c>
      <c r="AQ1083">
        <v>9</v>
      </c>
      <c r="AR1083" t="s">
        <v>123</v>
      </c>
      <c r="AS1083" t="s">
        <v>124</v>
      </c>
      <c r="AT1083" t="s">
        <v>58</v>
      </c>
      <c r="AU1083" t="s">
        <v>68</v>
      </c>
      <c r="AV1083" t="s">
        <v>69</v>
      </c>
      <c r="AW1083" s="1">
        <v>27949</v>
      </c>
      <c r="AX1083">
        <v>2</v>
      </c>
    </row>
    <row r="1084" spans="1:50">
      <c r="A1084">
        <v>700027</v>
      </c>
      <c r="B1084" t="str">
        <f>"103543501"</f>
        <v>103543501</v>
      </c>
      <c r="C1084" t="s">
        <v>50</v>
      </c>
      <c r="D1084" t="s">
        <v>2605</v>
      </c>
      <c r="E1084" t="s">
        <v>52</v>
      </c>
      <c r="F1084" t="s">
        <v>631</v>
      </c>
      <c r="G1084" t="s">
        <v>143</v>
      </c>
      <c r="H1084" t="str">
        <f>"ΛΟΥΡΟΥ 5 ΗΡΑΚΛΕΙΟ"</f>
        <v>ΛΟΥΡΟΥ 5 ΗΡΑΚΛΕΙΟ</v>
      </c>
      <c r="I1084">
        <v>71409</v>
      </c>
      <c r="J1084">
        <v>2810326044</v>
      </c>
      <c r="K1084">
        <v>6977087790</v>
      </c>
      <c r="M1084" t="s">
        <v>2606</v>
      </c>
      <c r="N1084" t="s">
        <v>146</v>
      </c>
      <c r="O1084" t="s">
        <v>147</v>
      </c>
      <c r="R1084" t="s">
        <v>57</v>
      </c>
      <c r="S1084">
        <v>5</v>
      </c>
      <c r="T1084">
        <v>772</v>
      </c>
      <c r="U1084" s="1">
        <v>40413</v>
      </c>
      <c r="V1084" t="s">
        <v>123</v>
      </c>
      <c r="W1084" t="s">
        <v>124</v>
      </c>
      <c r="X1084" t="s">
        <v>58</v>
      </c>
      <c r="Y1084">
        <v>21</v>
      </c>
      <c r="Z1084" t="s">
        <v>59</v>
      </c>
      <c r="AA1084" t="s">
        <v>59</v>
      </c>
      <c r="AB1084" t="s">
        <v>59</v>
      </c>
      <c r="AC1084" t="s">
        <v>59</v>
      </c>
      <c r="AD1084" t="s">
        <v>59</v>
      </c>
      <c r="AF1084" s="1">
        <v>40413</v>
      </c>
      <c r="AG1084" t="s">
        <v>125</v>
      </c>
      <c r="AH1084" t="s">
        <v>126</v>
      </c>
      <c r="AI1084" t="str">
        <f>"1701080"</f>
        <v>1701080</v>
      </c>
      <c r="AJ1084" t="s">
        <v>183</v>
      </c>
      <c r="AK1084">
        <v>2810721263</v>
      </c>
      <c r="AL1084" t="s">
        <v>184</v>
      </c>
      <c r="AM1084" t="s">
        <v>78</v>
      </c>
      <c r="AN1084" t="s">
        <v>78</v>
      </c>
      <c r="AO1084" t="s">
        <v>185</v>
      </c>
      <c r="AP1084" t="s">
        <v>186</v>
      </c>
      <c r="AQ1084">
        <v>29</v>
      </c>
      <c r="AR1084" t="s">
        <v>123</v>
      </c>
      <c r="AS1084" t="s">
        <v>124</v>
      </c>
      <c r="AT1084" t="s">
        <v>58</v>
      </c>
      <c r="AU1084" t="s">
        <v>68</v>
      </c>
      <c r="AV1084" t="s">
        <v>357</v>
      </c>
      <c r="AW1084" s="1">
        <v>27446</v>
      </c>
      <c r="AX1084">
        <v>2</v>
      </c>
    </row>
    <row r="1085" spans="1:50">
      <c r="A1085">
        <v>192311</v>
      </c>
      <c r="B1085" t="str">
        <f>"041856408"</f>
        <v>041856408</v>
      </c>
      <c r="C1085" t="s">
        <v>50</v>
      </c>
      <c r="D1085" t="s">
        <v>2605</v>
      </c>
      <c r="E1085" t="s">
        <v>620</v>
      </c>
      <c r="F1085" t="s">
        <v>304</v>
      </c>
      <c r="G1085" t="s">
        <v>52</v>
      </c>
      <c r="H1085" t="str">
        <f>"ΑΝΩ ΒΙΑΝΝΟΣ ΒΙΑΝΝΟΥ"</f>
        <v>ΑΝΩ ΒΙΑΝΝΟΣ ΒΙΑΝΝΟΥ</v>
      </c>
      <c r="I1085">
        <v>70004</v>
      </c>
      <c r="J1085">
        <v>2895022449</v>
      </c>
      <c r="K1085">
        <v>6949984148</v>
      </c>
      <c r="M1085" t="s">
        <v>2607</v>
      </c>
      <c r="N1085" t="s">
        <v>189</v>
      </c>
      <c r="O1085" t="s">
        <v>190</v>
      </c>
      <c r="R1085" t="s">
        <v>57</v>
      </c>
      <c r="S1085">
        <v>9</v>
      </c>
      <c r="T1085">
        <v>312</v>
      </c>
      <c r="U1085" s="1">
        <v>37239</v>
      </c>
      <c r="V1085" t="s">
        <v>123</v>
      </c>
      <c r="W1085" t="s">
        <v>124</v>
      </c>
      <c r="X1085" t="s">
        <v>58</v>
      </c>
      <c r="Y1085">
        <v>20</v>
      </c>
      <c r="Z1085" t="s">
        <v>59</v>
      </c>
      <c r="AA1085" t="s">
        <v>59</v>
      </c>
      <c r="AB1085" t="s">
        <v>59</v>
      </c>
      <c r="AC1085" t="s">
        <v>59</v>
      </c>
      <c r="AD1085" t="s">
        <v>59</v>
      </c>
      <c r="AF1085" s="1">
        <v>37242</v>
      </c>
      <c r="AG1085" t="s">
        <v>125</v>
      </c>
      <c r="AH1085" t="s">
        <v>126</v>
      </c>
      <c r="AI1085" t="str">
        <f>"1702010"</f>
        <v>1702010</v>
      </c>
      <c r="AJ1085" t="s">
        <v>604</v>
      </c>
      <c r="AK1085">
        <v>2891022228</v>
      </c>
      <c r="AL1085" t="s">
        <v>605</v>
      </c>
      <c r="AM1085" t="s">
        <v>78</v>
      </c>
      <c r="AN1085" t="s">
        <v>276</v>
      </c>
      <c r="AO1085" t="s">
        <v>490</v>
      </c>
      <c r="AP1085" t="s">
        <v>490</v>
      </c>
      <c r="AQ1085">
        <v>15</v>
      </c>
      <c r="AR1085" t="s">
        <v>123</v>
      </c>
      <c r="AS1085" t="s">
        <v>124</v>
      </c>
      <c r="AT1085" t="s">
        <v>58</v>
      </c>
      <c r="AU1085" t="s">
        <v>68</v>
      </c>
      <c r="AV1085" t="s">
        <v>69</v>
      </c>
      <c r="AW1085" s="1">
        <v>20821</v>
      </c>
      <c r="AX1085">
        <v>2</v>
      </c>
    </row>
    <row r="1086" spans="1:50">
      <c r="A1086">
        <v>192285</v>
      </c>
      <c r="B1086" t="str">
        <f>"031941459"</f>
        <v>031941459</v>
      </c>
      <c r="C1086" t="s">
        <v>105</v>
      </c>
      <c r="D1086" t="s">
        <v>2608</v>
      </c>
      <c r="E1086" t="s">
        <v>108</v>
      </c>
      <c r="F1086" t="s">
        <v>166</v>
      </c>
      <c r="G1086" t="s">
        <v>237</v>
      </c>
      <c r="H1086" t="str">
        <f>"ΑΛ. ΡΑΦΤΟΠΟΥΛΟΥ 32 "</f>
        <v xml:space="preserve">ΑΛ. ΡΑΦΤΟΠΟΥΛΟΥ 32 </v>
      </c>
      <c r="I1086">
        <v>71305</v>
      </c>
      <c r="J1086">
        <v>2810235915</v>
      </c>
      <c r="K1086">
        <v>6944885022</v>
      </c>
      <c r="M1086" t="s">
        <v>2609</v>
      </c>
      <c r="N1086" t="s">
        <v>135</v>
      </c>
      <c r="O1086" t="s">
        <v>136</v>
      </c>
      <c r="R1086" t="s">
        <v>57</v>
      </c>
      <c r="S1086">
        <v>12</v>
      </c>
      <c r="T1086">
        <v>312</v>
      </c>
      <c r="U1086" s="1">
        <v>37239</v>
      </c>
      <c r="V1086" t="s">
        <v>123</v>
      </c>
      <c r="W1086" t="s">
        <v>124</v>
      </c>
      <c r="X1086" t="s">
        <v>58</v>
      </c>
      <c r="Y1086">
        <v>18</v>
      </c>
      <c r="Z1086" t="s">
        <v>59</v>
      </c>
      <c r="AA1086" t="s">
        <v>59</v>
      </c>
      <c r="AB1086" t="s">
        <v>59</v>
      </c>
      <c r="AC1086" t="s">
        <v>59</v>
      </c>
      <c r="AD1086" t="s">
        <v>59</v>
      </c>
      <c r="AF1086" s="1">
        <v>37245</v>
      </c>
      <c r="AG1086" t="s">
        <v>137</v>
      </c>
      <c r="AH1086" t="s">
        <v>138</v>
      </c>
      <c r="AI1086" t="str">
        <f>"1740210"</f>
        <v>1740210</v>
      </c>
      <c r="AJ1086" t="s">
        <v>139</v>
      </c>
      <c r="AK1086">
        <v>2810318130</v>
      </c>
      <c r="AL1086" t="s">
        <v>140</v>
      </c>
      <c r="AM1086" t="s">
        <v>78</v>
      </c>
      <c r="AN1086" t="s">
        <v>78</v>
      </c>
      <c r="AO1086" t="s">
        <v>78</v>
      </c>
      <c r="AP1086" t="s">
        <v>141</v>
      </c>
      <c r="AQ1086">
        <v>7</v>
      </c>
      <c r="AR1086" t="s">
        <v>123</v>
      </c>
      <c r="AS1086" t="s">
        <v>124</v>
      </c>
      <c r="AT1086" t="s">
        <v>58</v>
      </c>
      <c r="AU1086" t="s">
        <v>68</v>
      </c>
      <c r="AV1086" t="s">
        <v>69</v>
      </c>
      <c r="AW1086" s="1">
        <v>21798</v>
      </c>
      <c r="AX1086">
        <v>2</v>
      </c>
    </row>
    <row r="1087" spans="1:50">
      <c r="A1087">
        <v>207903</v>
      </c>
      <c r="B1087" t="str">
        <f>"073775105"</f>
        <v>073775105</v>
      </c>
      <c r="C1087" t="s">
        <v>50</v>
      </c>
      <c r="D1087" t="s">
        <v>2610</v>
      </c>
      <c r="E1087" t="s">
        <v>396</v>
      </c>
      <c r="F1087" t="s">
        <v>1523</v>
      </c>
      <c r="G1087" t="s">
        <v>114</v>
      </c>
      <c r="H1087" t="str">
        <f>"ΚΑΝΤΑΝΟΥ 83  ΗΡΑΚΛΕΙΟ ΚΡΗΤΗΣ "</f>
        <v xml:space="preserve">ΚΑΝΤΑΝΟΥ 83  ΗΡΑΚΛΕΙΟ ΚΡΗΤΗΣ </v>
      </c>
      <c r="I1087">
        <v>71303</v>
      </c>
      <c r="J1087">
        <v>2810311807</v>
      </c>
      <c r="K1087">
        <v>6974995573</v>
      </c>
      <c r="L1087">
        <v>2810370388</v>
      </c>
      <c r="M1087" t="s">
        <v>2611</v>
      </c>
      <c r="N1087" t="s">
        <v>299</v>
      </c>
      <c r="O1087" t="s">
        <v>300</v>
      </c>
      <c r="R1087" t="s">
        <v>57</v>
      </c>
      <c r="S1087">
        <v>11</v>
      </c>
      <c r="T1087">
        <v>218</v>
      </c>
      <c r="U1087" s="1">
        <v>38596</v>
      </c>
      <c r="V1087" t="s">
        <v>123</v>
      </c>
      <c r="W1087" t="s">
        <v>124</v>
      </c>
      <c r="X1087" t="s">
        <v>58</v>
      </c>
      <c r="Y1087">
        <v>20</v>
      </c>
      <c r="Z1087" t="s">
        <v>59</v>
      </c>
      <c r="AA1087" t="s">
        <v>59</v>
      </c>
      <c r="AB1087" t="s">
        <v>59</v>
      </c>
      <c r="AC1087" t="s">
        <v>59</v>
      </c>
      <c r="AD1087" t="s">
        <v>59</v>
      </c>
      <c r="AF1087" s="1">
        <v>38603</v>
      </c>
      <c r="AG1087" t="s">
        <v>125</v>
      </c>
      <c r="AH1087" t="s">
        <v>126</v>
      </c>
      <c r="AI1087" t="str">
        <f>"1701041"</f>
        <v>1701041</v>
      </c>
      <c r="AJ1087" t="s">
        <v>161</v>
      </c>
      <c r="AK1087">
        <v>2810327052</v>
      </c>
      <c r="AL1087" t="s">
        <v>162</v>
      </c>
      <c r="AM1087" t="s">
        <v>78</v>
      </c>
      <c r="AN1087" t="s">
        <v>78</v>
      </c>
      <c r="AO1087" t="s">
        <v>78</v>
      </c>
      <c r="AP1087" t="s">
        <v>163</v>
      </c>
      <c r="AQ1087">
        <v>5</v>
      </c>
      <c r="AR1087" t="s">
        <v>123</v>
      </c>
      <c r="AS1087" t="s">
        <v>124</v>
      </c>
      <c r="AT1087" t="s">
        <v>58</v>
      </c>
      <c r="AU1087" t="s">
        <v>68</v>
      </c>
      <c r="AV1087" t="s">
        <v>357</v>
      </c>
      <c r="AW1087" s="1">
        <v>25758</v>
      </c>
      <c r="AX1087">
        <v>2</v>
      </c>
    </row>
    <row r="1088" spans="1:50">
      <c r="A1088">
        <v>193100</v>
      </c>
      <c r="B1088" t="str">
        <f>"054090320"</f>
        <v>054090320</v>
      </c>
      <c r="C1088" t="s">
        <v>50</v>
      </c>
      <c r="D1088" t="s">
        <v>2612</v>
      </c>
      <c r="E1088" t="s">
        <v>109</v>
      </c>
      <c r="F1088" t="s">
        <v>95</v>
      </c>
      <c r="G1088" t="s">
        <v>52</v>
      </c>
      <c r="H1088" t="str">
        <f>" "</f>
        <v xml:space="preserve"> </v>
      </c>
      <c r="J1088">
        <v>2810226216</v>
      </c>
      <c r="K1088">
        <v>6973218517</v>
      </c>
      <c r="M1088" t="s">
        <v>2613</v>
      </c>
      <c r="N1088" t="s">
        <v>146</v>
      </c>
      <c r="O1088" t="s">
        <v>147</v>
      </c>
      <c r="R1088" t="s">
        <v>57</v>
      </c>
      <c r="S1088">
        <v>11</v>
      </c>
      <c r="T1088">
        <v>193</v>
      </c>
      <c r="U1088" s="1">
        <v>37497</v>
      </c>
      <c r="V1088" t="s">
        <v>123</v>
      </c>
      <c r="W1088" t="s">
        <v>124</v>
      </c>
      <c r="X1088" t="s">
        <v>58</v>
      </c>
      <c r="Y1088">
        <v>18</v>
      </c>
      <c r="Z1088" t="s">
        <v>59</v>
      </c>
      <c r="AA1088" t="s">
        <v>59</v>
      </c>
      <c r="AB1088" t="s">
        <v>59</v>
      </c>
      <c r="AC1088" t="s">
        <v>59</v>
      </c>
      <c r="AD1088" t="s">
        <v>59</v>
      </c>
      <c r="AF1088" s="1">
        <v>37501</v>
      </c>
      <c r="AG1088" t="s">
        <v>137</v>
      </c>
      <c r="AH1088" t="s">
        <v>138</v>
      </c>
      <c r="AI1088" t="str">
        <f>"1740080"</f>
        <v>1740080</v>
      </c>
      <c r="AJ1088" t="s">
        <v>284</v>
      </c>
      <c r="AK1088">
        <v>2810220433</v>
      </c>
      <c r="AL1088" t="s">
        <v>285</v>
      </c>
      <c r="AM1088" t="s">
        <v>78</v>
      </c>
      <c r="AN1088" t="s">
        <v>78</v>
      </c>
      <c r="AO1088" t="s">
        <v>286</v>
      </c>
      <c r="AP1088" t="s">
        <v>286</v>
      </c>
      <c r="AQ1088">
        <v>12</v>
      </c>
      <c r="AR1088" t="s">
        <v>123</v>
      </c>
      <c r="AS1088" t="s">
        <v>124</v>
      </c>
      <c r="AT1088" t="s">
        <v>58</v>
      </c>
      <c r="AU1088" t="s">
        <v>68</v>
      </c>
      <c r="AV1088" t="s">
        <v>69</v>
      </c>
      <c r="AW1088" s="1">
        <v>24845</v>
      </c>
      <c r="AX1088">
        <v>2</v>
      </c>
    </row>
    <row r="1089" spans="1:50">
      <c r="A1089">
        <v>186668</v>
      </c>
      <c r="B1089" t="str">
        <f>"029193488"</f>
        <v>029193488</v>
      </c>
      <c r="C1089" t="s">
        <v>105</v>
      </c>
      <c r="D1089" t="s">
        <v>2614</v>
      </c>
      <c r="E1089" t="s">
        <v>72</v>
      </c>
      <c r="F1089" t="s">
        <v>166</v>
      </c>
      <c r="G1089" t="s">
        <v>250</v>
      </c>
      <c r="H1089" t="str">
        <f>"ΣΤΑΜΝΟΙ ΕΠΙΣΚΟΠΗΣ "</f>
        <v xml:space="preserve">ΣΤΑΜΝΟΙ ΕΠΙΣΚΟΠΗΣ </v>
      </c>
      <c r="I1089">
        <v>70008</v>
      </c>
      <c r="J1089">
        <v>2810772192</v>
      </c>
      <c r="K1089">
        <v>6948210624</v>
      </c>
      <c r="M1089" t="s">
        <v>2615</v>
      </c>
      <c r="N1089" t="s">
        <v>232</v>
      </c>
      <c r="O1089" t="s">
        <v>233</v>
      </c>
      <c r="R1089" t="s">
        <v>57</v>
      </c>
      <c r="S1089">
        <v>8</v>
      </c>
      <c r="T1089">
        <v>251</v>
      </c>
      <c r="U1089" s="1">
        <v>36769</v>
      </c>
      <c r="V1089" t="s">
        <v>123</v>
      </c>
      <c r="W1089" t="s">
        <v>124</v>
      </c>
      <c r="X1089" t="s">
        <v>58</v>
      </c>
      <c r="Y1089">
        <v>20</v>
      </c>
      <c r="Z1089" t="s">
        <v>59</v>
      </c>
      <c r="AA1089" t="s">
        <v>59</v>
      </c>
      <c r="AB1089" t="s">
        <v>59</v>
      </c>
      <c r="AC1089" t="s">
        <v>59</v>
      </c>
      <c r="AD1089" t="s">
        <v>59</v>
      </c>
      <c r="AF1089" s="1">
        <v>36770</v>
      </c>
      <c r="AG1089" t="s">
        <v>125</v>
      </c>
      <c r="AH1089" t="s">
        <v>126</v>
      </c>
      <c r="AI1089" t="str">
        <f>"1714012"</f>
        <v>1714012</v>
      </c>
      <c r="AJ1089" t="s">
        <v>633</v>
      </c>
      <c r="AK1089">
        <v>2810762261</v>
      </c>
      <c r="AL1089" t="s">
        <v>634</v>
      </c>
      <c r="AM1089" t="s">
        <v>78</v>
      </c>
      <c r="AN1089" t="s">
        <v>219</v>
      </c>
      <c r="AO1089" t="s">
        <v>297</v>
      </c>
      <c r="AP1089" t="s">
        <v>297</v>
      </c>
      <c r="AQ1089">
        <v>37</v>
      </c>
      <c r="AR1089" t="s">
        <v>123</v>
      </c>
      <c r="AS1089" t="s">
        <v>124</v>
      </c>
      <c r="AT1089" t="s">
        <v>58</v>
      </c>
      <c r="AU1089" t="s">
        <v>68</v>
      </c>
      <c r="AV1089" t="s">
        <v>69</v>
      </c>
      <c r="AW1089" s="1">
        <v>20642</v>
      </c>
      <c r="AX1089">
        <v>2</v>
      </c>
    </row>
    <row r="1090" spans="1:50">
      <c r="A1090">
        <v>175520</v>
      </c>
      <c r="B1090" t="str">
        <f>"045553081"</f>
        <v>045553081</v>
      </c>
      <c r="C1090" t="s">
        <v>50</v>
      </c>
      <c r="D1090" t="s">
        <v>102</v>
      </c>
      <c r="E1090" t="s">
        <v>755</v>
      </c>
      <c r="F1090" t="s">
        <v>72</v>
      </c>
      <c r="G1090" t="s">
        <v>237</v>
      </c>
      <c r="H1090" t="str">
        <f>"ΒΛΥΧΙΑ  ΚΝΩΣΣΟΣ"</f>
        <v>ΒΛΥΧΙΑ  ΚΝΩΣΣΟΣ</v>
      </c>
      <c r="I1090">
        <v>71500</v>
      </c>
      <c r="J1090">
        <v>2810233854</v>
      </c>
      <c r="K1090">
        <v>6974039373</v>
      </c>
      <c r="N1090" t="s">
        <v>146</v>
      </c>
      <c r="O1090" t="s">
        <v>147</v>
      </c>
      <c r="R1090" t="s">
        <v>57</v>
      </c>
      <c r="S1090">
        <v>13</v>
      </c>
      <c r="T1090">
        <v>180</v>
      </c>
      <c r="U1090" s="1">
        <v>35674</v>
      </c>
      <c r="V1090" t="s">
        <v>123</v>
      </c>
      <c r="W1090" t="s">
        <v>124</v>
      </c>
      <c r="X1090" t="s">
        <v>58</v>
      </c>
      <c r="Y1090">
        <v>18</v>
      </c>
      <c r="Z1090" t="s">
        <v>59</v>
      </c>
      <c r="AA1090" t="s">
        <v>59</v>
      </c>
      <c r="AB1090" t="s">
        <v>59</v>
      </c>
      <c r="AC1090" t="s">
        <v>59</v>
      </c>
      <c r="AD1090" t="s">
        <v>59</v>
      </c>
      <c r="AF1090" s="1">
        <v>35678</v>
      </c>
      <c r="AG1090" t="s">
        <v>125</v>
      </c>
      <c r="AH1090" t="s">
        <v>126</v>
      </c>
      <c r="AI1090" t="str">
        <f>"1701051"</f>
        <v>1701051</v>
      </c>
      <c r="AJ1090" t="s">
        <v>443</v>
      </c>
      <c r="AK1090">
        <v>2810325815</v>
      </c>
      <c r="AL1090" t="s">
        <v>444</v>
      </c>
      <c r="AM1090" t="s">
        <v>78</v>
      </c>
      <c r="AN1090" t="s">
        <v>78</v>
      </c>
      <c r="AO1090" t="s">
        <v>78</v>
      </c>
      <c r="AP1090" t="s">
        <v>163</v>
      </c>
      <c r="AQ1090">
        <v>5</v>
      </c>
      <c r="AR1090" t="s">
        <v>123</v>
      </c>
      <c r="AS1090" t="s">
        <v>124</v>
      </c>
      <c r="AT1090" t="s">
        <v>58</v>
      </c>
      <c r="AU1090" t="s">
        <v>68</v>
      </c>
      <c r="AV1090" t="s">
        <v>69</v>
      </c>
      <c r="AW1090" s="1">
        <v>24016</v>
      </c>
      <c r="AX1090">
        <v>2</v>
      </c>
    </row>
    <row r="1091" spans="1:50">
      <c r="B1091" t="str">
        <f>"046740425"</f>
        <v>046740425</v>
      </c>
      <c r="C1091" t="s">
        <v>50</v>
      </c>
      <c r="D1091" t="s">
        <v>102</v>
      </c>
      <c r="E1091" t="s">
        <v>181</v>
      </c>
      <c r="F1091" t="s">
        <v>95</v>
      </c>
      <c r="G1091" t="s">
        <v>2616</v>
      </c>
      <c r="H1091" t="str">
        <f>"ΛΑΜΙΑΣ 8 ΗΡΑΚΛΕΙΟ"</f>
        <v>ΛΑΜΙΑΣ 8 ΗΡΑΚΛΕΙΟ</v>
      </c>
      <c r="I1091">
        <v>71409</v>
      </c>
      <c r="J1091">
        <v>2810214554</v>
      </c>
      <c r="K1091">
        <v>6942057476</v>
      </c>
      <c r="M1091" t="s">
        <v>2617</v>
      </c>
      <c r="N1091" t="s">
        <v>292</v>
      </c>
      <c r="O1091" t="s">
        <v>293</v>
      </c>
      <c r="R1091" t="s">
        <v>159</v>
      </c>
      <c r="S1091">
        <v>3</v>
      </c>
      <c r="T1091" t="s">
        <v>160</v>
      </c>
      <c r="U1091" s="1">
        <v>43364</v>
      </c>
      <c r="V1091" t="s">
        <v>123</v>
      </c>
      <c r="W1091" t="s">
        <v>124</v>
      </c>
      <c r="X1091" t="s">
        <v>58</v>
      </c>
      <c r="Y1091">
        <v>23</v>
      </c>
      <c r="Z1091" t="s">
        <v>59</v>
      </c>
      <c r="AA1091" t="s">
        <v>59</v>
      </c>
      <c r="AB1091" t="s">
        <v>59</v>
      </c>
      <c r="AC1091" t="s">
        <v>59</v>
      </c>
      <c r="AD1091" t="s">
        <v>59</v>
      </c>
      <c r="AF1091" s="1">
        <v>43367</v>
      </c>
      <c r="AG1091" t="s">
        <v>148</v>
      </c>
      <c r="AH1091" t="s">
        <v>149</v>
      </c>
      <c r="AI1091" t="str">
        <f>"1790100"</f>
        <v>1790100</v>
      </c>
      <c r="AJ1091" t="s">
        <v>252</v>
      </c>
      <c r="AK1091">
        <v>2810234876</v>
      </c>
      <c r="AL1091" t="s">
        <v>253</v>
      </c>
      <c r="AM1091" t="s">
        <v>78</v>
      </c>
      <c r="AN1091" t="s">
        <v>78</v>
      </c>
      <c r="AO1091" t="s">
        <v>78</v>
      </c>
      <c r="AP1091" t="s">
        <v>163</v>
      </c>
      <c r="AQ1091">
        <v>5</v>
      </c>
      <c r="AR1091" t="s">
        <v>123</v>
      </c>
      <c r="AS1091" t="s">
        <v>124</v>
      </c>
      <c r="AT1091" t="s">
        <v>58</v>
      </c>
      <c r="AU1091" t="s">
        <v>164</v>
      </c>
      <c r="AV1091" t="s">
        <v>132</v>
      </c>
      <c r="AW1091" s="1">
        <v>27854</v>
      </c>
      <c r="AX1091">
        <v>2</v>
      </c>
    </row>
    <row r="1092" spans="1:50">
      <c r="A1092">
        <v>197266</v>
      </c>
      <c r="B1092" t="str">
        <f>"103545499"</f>
        <v>103545499</v>
      </c>
      <c r="C1092" t="s">
        <v>50</v>
      </c>
      <c r="D1092" t="s">
        <v>2618</v>
      </c>
      <c r="E1092" t="s">
        <v>52</v>
      </c>
      <c r="F1092" t="s">
        <v>2619</v>
      </c>
      <c r="G1092" t="s">
        <v>1358</v>
      </c>
      <c r="H1092" t="str">
        <f>"Κάτω Γούβες Κάτω Γούβες"</f>
        <v>Κάτω Γούβες Κάτω Γούβες</v>
      </c>
      <c r="I1092">
        <v>70014</v>
      </c>
      <c r="J1092">
        <v>2897041670</v>
      </c>
      <c r="K1092">
        <v>6946521824</v>
      </c>
      <c r="M1092" t="s">
        <v>2620</v>
      </c>
      <c r="N1092" t="s">
        <v>146</v>
      </c>
      <c r="O1092" t="s">
        <v>147</v>
      </c>
      <c r="R1092" t="s">
        <v>57</v>
      </c>
      <c r="S1092">
        <v>8</v>
      </c>
      <c r="T1092">
        <v>206</v>
      </c>
      <c r="U1092" s="1">
        <v>37866</v>
      </c>
      <c r="V1092" t="s">
        <v>123</v>
      </c>
      <c r="W1092" t="s">
        <v>124</v>
      </c>
      <c r="X1092" t="s">
        <v>58</v>
      </c>
      <c r="Y1092">
        <v>20</v>
      </c>
      <c r="Z1092" t="s">
        <v>59</v>
      </c>
      <c r="AA1092" t="s">
        <v>59</v>
      </c>
      <c r="AB1092" t="s">
        <v>59</v>
      </c>
      <c r="AC1092" t="s">
        <v>59</v>
      </c>
      <c r="AD1092" t="s">
        <v>59</v>
      </c>
      <c r="AF1092" s="1">
        <v>37866</v>
      </c>
      <c r="AG1092" t="s">
        <v>148</v>
      </c>
      <c r="AH1092" t="s">
        <v>149</v>
      </c>
      <c r="AI1092" t="str">
        <f>"1764010"</f>
        <v>1764010</v>
      </c>
      <c r="AJ1092" t="s">
        <v>1058</v>
      </c>
      <c r="AK1092">
        <v>2810762862</v>
      </c>
      <c r="AL1092" t="s">
        <v>1059</v>
      </c>
      <c r="AM1092" t="s">
        <v>78</v>
      </c>
      <c r="AN1092" t="s">
        <v>219</v>
      </c>
      <c r="AO1092" t="s">
        <v>297</v>
      </c>
      <c r="AP1092" t="s">
        <v>297</v>
      </c>
      <c r="AQ1092">
        <v>37</v>
      </c>
      <c r="AR1092" t="s">
        <v>123</v>
      </c>
      <c r="AS1092" t="s">
        <v>124</v>
      </c>
      <c r="AT1092" t="s">
        <v>58</v>
      </c>
      <c r="AU1092" t="s">
        <v>68</v>
      </c>
      <c r="AV1092" t="s">
        <v>69</v>
      </c>
      <c r="AW1092" s="1">
        <v>27778</v>
      </c>
      <c r="AX1092">
        <v>2</v>
      </c>
    </row>
    <row r="1093" spans="1:50">
      <c r="A1093">
        <v>202339</v>
      </c>
      <c r="B1093" t="str">
        <f>"034104510"</f>
        <v>034104510</v>
      </c>
      <c r="C1093" t="s">
        <v>105</v>
      </c>
      <c r="D1093" t="s">
        <v>2621</v>
      </c>
      <c r="E1093" t="s">
        <v>564</v>
      </c>
      <c r="F1093" t="s">
        <v>1868</v>
      </c>
      <c r="G1093" t="s">
        <v>476</v>
      </c>
      <c r="H1093" t="str">
        <f>"ΠΑΤΕΛΑΡΟΥ 1 ΗΡΑΚΛΕΙΟ"</f>
        <v>ΠΑΤΕΛΑΡΟΥ 1 ΗΡΑΚΛΕΙΟ</v>
      </c>
      <c r="J1093">
        <v>2810231556</v>
      </c>
      <c r="K1093">
        <v>6943143892</v>
      </c>
      <c r="L1093">
        <v>6945834208</v>
      </c>
      <c r="M1093" t="s">
        <v>2622</v>
      </c>
      <c r="N1093" t="s">
        <v>292</v>
      </c>
      <c r="O1093" t="s">
        <v>293</v>
      </c>
      <c r="R1093" t="s">
        <v>57</v>
      </c>
      <c r="S1093">
        <v>8</v>
      </c>
      <c r="T1093">
        <v>231</v>
      </c>
      <c r="U1093" s="1">
        <v>38230</v>
      </c>
      <c r="V1093" t="s">
        <v>123</v>
      </c>
      <c r="W1093" t="s">
        <v>124</v>
      </c>
      <c r="X1093" t="s">
        <v>58</v>
      </c>
      <c r="Y1093">
        <v>20</v>
      </c>
      <c r="Z1093" t="s">
        <v>59</v>
      </c>
      <c r="AA1093" t="s">
        <v>59</v>
      </c>
      <c r="AB1093" t="s">
        <v>59</v>
      </c>
      <c r="AC1093" t="s">
        <v>59</v>
      </c>
      <c r="AD1093" t="s">
        <v>59</v>
      </c>
      <c r="AF1093" s="1">
        <v>38236</v>
      </c>
      <c r="AG1093" t="s">
        <v>148</v>
      </c>
      <c r="AH1093" t="s">
        <v>1053</v>
      </c>
      <c r="AI1093" t="str">
        <f>"1790200"</f>
        <v>1790200</v>
      </c>
      <c r="AJ1093" t="s">
        <v>1054</v>
      </c>
      <c r="AK1093">
        <v>2810360880</v>
      </c>
      <c r="AL1093" t="s">
        <v>1055</v>
      </c>
      <c r="AM1093" t="s">
        <v>78</v>
      </c>
      <c r="AN1093" t="s">
        <v>78</v>
      </c>
      <c r="AO1093" t="s">
        <v>78</v>
      </c>
      <c r="AP1093" t="s">
        <v>163</v>
      </c>
      <c r="AQ1093">
        <v>8</v>
      </c>
      <c r="AR1093" t="s">
        <v>123</v>
      </c>
      <c r="AS1093" t="s">
        <v>124</v>
      </c>
      <c r="AT1093" t="s">
        <v>58</v>
      </c>
      <c r="AU1093" t="s">
        <v>68</v>
      </c>
      <c r="AV1093" t="s">
        <v>69</v>
      </c>
      <c r="AW1093" s="1">
        <v>21943</v>
      </c>
      <c r="AX1093">
        <v>2</v>
      </c>
    </row>
    <row r="1094" spans="1:50">
      <c r="A1094">
        <v>205369</v>
      </c>
      <c r="B1094" t="str">
        <f>"105811998"</f>
        <v>105811998</v>
      </c>
      <c r="C1094" t="s">
        <v>50</v>
      </c>
      <c r="D1094" t="s">
        <v>2623</v>
      </c>
      <c r="E1094" t="s">
        <v>255</v>
      </c>
      <c r="F1094" t="s">
        <v>72</v>
      </c>
      <c r="G1094" t="s">
        <v>155</v>
      </c>
      <c r="H1094" t="str">
        <f>"ΜΥΣΤΡΑ 23Α ΗΡΑΚΛΕΙΟ"</f>
        <v>ΜΥΣΤΡΑ 23Α ΗΡΑΚΛΕΙΟ</v>
      </c>
      <c r="I1094">
        <v>71305</v>
      </c>
      <c r="J1094">
        <v>2810313573</v>
      </c>
      <c r="K1094">
        <v>6974634778</v>
      </c>
      <c r="M1094" t="s">
        <v>2624</v>
      </c>
      <c r="N1094" t="s">
        <v>204</v>
      </c>
      <c r="O1094" t="s">
        <v>205</v>
      </c>
      <c r="R1094" t="s">
        <v>57</v>
      </c>
      <c r="S1094">
        <v>8</v>
      </c>
      <c r="T1094">
        <v>231</v>
      </c>
      <c r="U1094" s="1">
        <v>38230</v>
      </c>
      <c r="V1094" t="s">
        <v>123</v>
      </c>
      <c r="W1094" t="s">
        <v>124</v>
      </c>
      <c r="X1094" t="s">
        <v>58</v>
      </c>
      <c r="Y1094">
        <v>20</v>
      </c>
      <c r="Z1094" t="s">
        <v>59</v>
      </c>
      <c r="AA1094" t="s">
        <v>59</v>
      </c>
      <c r="AB1094" t="s">
        <v>59</v>
      </c>
      <c r="AC1094" t="s">
        <v>59</v>
      </c>
      <c r="AD1094" t="s">
        <v>59</v>
      </c>
      <c r="AF1094" s="1">
        <v>38231</v>
      </c>
      <c r="AG1094" t="s">
        <v>137</v>
      </c>
      <c r="AH1094" t="s">
        <v>138</v>
      </c>
      <c r="AI1094" t="str">
        <f>"1740310"</f>
        <v>1740310</v>
      </c>
      <c r="AJ1094" t="s">
        <v>488</v>
      </c>
      <c r="AK1094">
        <v>2891024228</v>
      </c>
      <c r="AL1094" t="s">
        <v>489</v>
      </c>
      <c r="AM1094" t="s">
        <v>78</v>
      </c>
      <c r="AN1094" t="s">
        <v>276</v>
      </c>
      <c r="AO1094" t="s">
        <v>490</v>
      </c>
      <c r="AP1094" t="s">
        <v>490</v>
      </c>
      <c r="AQ1094">
        <v>15</v>
      </c>
      <c r="AR1094" t="s">
        <v>123</v>
      </c>
      <c r="AS1094" t="s">
        <v>124</v>
      </c>
      <c r="AT1094" t="s">
        <v>58</v>
      </c>
      <c r="AU1094" t="s">
        <v>68</v>
      </c>
      <c r="AV1094" t="s">
        <v>69</v>
      </c>
      <c r="AW1094" s="1">
        <v>27539</v>
      </c>
      <c r="AX1094">
        <v>2</v>
      </c>
    </row>
    <row r="1095" spans="1:50">
      <c r="A1095">
        <v>197267</v>
      </c>
      <c r="B1095" t="str">
        <f>"036381545"</f>
        <v>036381545</v>
      </c>
      <c r="C1095" t="s">
        <v>50</v>
      </c>
      <c r="D1095" t="s">
        <v>2625</v>
      </c>
      <c r="E1095" t="s">
        <v>727</v>
      </c>
      <c r="F1095" t="s">
        <v>95</v>
      </c>
      <c r="G1095" t="s">
        <v>83</v>
      </c>
      <c r="H1095" t="str">
        <f>"ΙΣΑΥΡΩΝ 36 ΗΡΑΚΛΕΙΟ"</f>
        <v>ΙΣΑΥΡΩΝ 36 ΗΡΑΚΛΕΙΟ</v>
      </c>
      <c r="J1095">
        <v>2810259162</v>
      </c>
      <c r="K1095">
        <v>6973328218</v>
      </c>
      <c r="N1095" t="s">
        <v>146</v>
      </c>
      <c r="O1095" t="s">
        <v>147</v>
      </c>
      <c r="R1095" t="s">
        <v>57</v>
      </c>
      <c r="S1095">
        <v>10</v>
      </c>
      <c r="T1095">
        <v>206</v>
      </c>
      <c r="U1095" s="1">
        <v>37866</v>
      </c>
      <c r="V1095" t="s">
        <v>123</v>
      </c>
      <c r="W1095" t="s">
        <v>124</v>
      </c>
      <c r="X1095" t="s">
        <v>58</v>
      </c>
      <c r="Y1095">
        <v>20</v>
      </c>
      <c r="Z1095" t="s">
        <v>59</v>
      </c>
      <c r="AA1095" t="s">
        <v>59</v>
      </c>
      <c r="AB1095" t="s">
        <v>59</v>
      </c>
      <c r="AC1095" t="s">
        <v>59</v>
      </c>
      <c r="AD1095" t="s">
        <v>59</v>
      </c>
      <c r="AF1095" s="1">
        <v>37866</v>
      </c>
      <c r="AG1095" t="s">
        <v>148</v>
      </c>
      <c r="AH1095" t="s">
        <v>149</v>
      </c>
      <c r="AI1095" t="str">
        <f>"1751020"</f>
        <v>1751020</v>
      </c>
      <c r="AJ1095" t="s">
        <v>532</v>
      </c>
      <c r="AK1095">
        <v>2810372732</v>
      </c>
      <c r="AL1095" t="s">
        <v>533</v>
      </c>
      <c r="AM1095" t="s">
        <v>78</v>
      </c>
      <c r="AN1095" t="s">
        <v>78</v>
      </c>
      <c r="AO1095" t="s">
        <v>78</v>
      </c>
      <c r="AP1095" t="s">
        <v>163</v>
      </c>
      <c r="AQ1095">
        <v>3</v>
      </c>
      <c r="AR1095" t="s">
        <v>123</v>
      </c>
      <c r="AS1095" t="s">
        <v>124</v>
      </c>
      <c r="AT1095" t="s">
        <v>58</v>
      </c>
      <c r="AU1095" t="s">
        <v>68</v>
      </c>
      <c r="AV1095" t="s">
        <v>69</v>
      </c>
      <c r="AW1095" s="1">
        <v>25031</v>
      </c>
      <c r="AX1095">
        <v>2</v>
      </c>
    </row>
    <row r="1096" spans="1:50">
      <c r="A1096">
        <v>209594</v>
      </c>
      <c r="B1096" t="str">
        <f>"100080428"</f>
        <v>100080428</v>
      </c>
      <c r="C1096" t="s">
        <v>50</v>
      </c>
      <c r="D1096" t="s">
        <v>2626</v>
      </c>
      <c r="E1096" t="s">
        <v>263</v>
      </c>
      <c r="F1096" t="s">
        <v>2627</v>
      </c>
      <c r="G1096" t="s">
        <v>1001</v>
      </c>
      <c r="H1096" t="str">
        <f>"ΠΑΡΘΕΝΙΟΥ ΚΕΛΑΪΔΗ 47 ΑΤΣΑΛΕΝΙΟ"</f>
        <v>ΠΑΡΘΕΝΙΟΥ ΚΕΛΑΪΔΗ 47 ΑΤΣΑΛΕΝΙΟ</v>
      </c>
      <c r="I1096">
        <v>71306</v>
      </c>
      <c r="J1096">
        <v>2810238920</v>
      </c>
      <c r="K1096">
        <v>6977921127</v>
      </c>
      <c r="M1096" t="s">
        <v>2628</v>
      </c>
      <c r="N1096" t="s">
        <v>146</v>
      </c>
      <c r="O1096" t="s">
        <v>147</v>
      </c>
      <c r="R1096" t="s">
        <v>57</v>
      </c>
      <c r="S1096">
        <v>8</v>
      </c>
      <c r="T1096">
        <v>225</v>
      </c>
      <c r="U1096" s="1">
        <v>38604</v>
      </c>
      <c r="V1096" t="s">
        <v>123</v>
      </c>
      <c r="W1096" t="s">
        <v>124</v>
      </c>
      <c r="X1096" t="s">
        <v>58</v>
      </c>
      <c r="Y1096">
        <v>20</v>
      </c>
      <c r="Z1096" t="s">
        <v>59</v>
      </c>
      <c r="AA1096" t="s">
        <v>59</v>
      </c>
      <c r="AB1096" t="s">
        <v>59</v>
      </c>
      <c r="AC1096" t="s">
        <v>59</v>
      </c>
      <c r="AD1096" t="s">
        <v>59</v>
      </c>
      <c r="AF1096" s="1">
        <v>38607</v>
      </c>
      <c r="AG1096" t="s">
        <v>125</v>
      </c>
      <c r="AH1096" t="s">
        <v>126</v>
      </c>
      <c r="AI1096" t="str">
        <f>"1727010"</f>
        <v>1727010</v>
      </c>
      <c r="AJ1096" t="s">
        <v>618</v>
      </c>
      <c r="AK1096">
        <v>2810229231</v>
      </c>
      <c r="AL1096" t="s">
        <v>619</v>
      </c>
      <c r="AM1096" t="s">
        <v>78</v>
      </c>
      <c r="AN1096" t="s">
        <v>78</v>
      </c>
      <c r="AO1096" t="s">
        <v>286</v>
      </c>
      <c r="AP1096" t="s">
        <v>286</v>
      </c>
      <c r="AQ1096">
        <v>12</v>
      </c>
      <c r="AR1096" t="s">
        <v>123</v>
      </c>
      <c r="AS1096" t="s">
        <v>124</v>
      </c>
      <c r="AT1096" t="s">
        <v>58</v>
      </c>
      <c r="AU1096" t="s">
        <v>68</v>
      </c>
      <c r="AV1096" t="s">
        <v>357</v>
      </c>
      <c r="AW1096" s="1">
        <v>28459</v>
      </c>
      <c r="AX1096">
        <v>2</v>
      </c>
    </row>
    <row r="1097" spans="1:50">
      <c r="A1097">
        <v>165718</v>
      </c>
      <c r="B1097" t="str">
        <f>"065199785"</f>
        <v>065199785</v>
      </c>
      <c r="C1097" t="s">
        <v>50</v>
      </c>
      <c r="D1097" t="s">
        <v>2626</v>
      </c>
      <c r="E1097" t="s">
        <v>83</v>
      </c>
      <c r="F1097" t="s">
        <v>2227</v>
      </c>
      <c r="G1097" t="s">
        <v>52</v>
      </c>
      <c r="H1097" t="str">
        <f>"Μ.ΠΡΕΒΕΛΗΣ 51 "</f>
        <v xml:space="preserve">Μ.ΠΡΕΒΕΛΗΣ 51 </v>
      </c>
      <c r="I1097">
        <v>71305</v>
      </c>
      <c r="J1097">
        <v>2810240546</v>
      </c>
      <c r="K1097">
        <v>6977267181</v>
      </c>
      <c r="M1097" t="s">
        <v>2629</v>
      </c>
      <c r="N1097" t="s">
        <v>146</v>
      </c>
      <c r="O1097" t="s">
        <v>147</v>
      </c>
      <c r="R1097" t="s">
        <v>57</v>
      </c>
      <c r="S1097">
        <v>13</v>
      </c>
      <c r="T1097">
        <v>137</v>
      </c>
      <c r="U1097" s="1">
        <v>34206</v>
      </c>
      <c r="V1097" t="s">
        <v>123</v>
      </c>
      <c r="W1097" t="s">
        <v>124</v>
      </c>
      <c r="X1097" t="s">
        <v>58</v>
      </c>
      <c r="Y1097">
        <v>18</v>
      </c>
      <c r="Z1097" t="s">
        <v>59</v>
      </c>
      <c r="AA1097" t="s">
        <v>59</v>
      </c>
      <c r="AB1097" t="s">
        <v>59</v>
      </c>
      <c r="AC1097" t="s">
        <v>59</v>
      </c>
      <c r="AD1097" t="s">
        <v>59</v>
      </c>
      <c r="AF1097" s="1">
        <v>34218</v>
      </c>
      <c r="AG1097" t="s">
        <v>125</v>
      </c>
      <c r="AH1097" t="s">
        <v>126</v>
      </c>
      <c r="AI1097" t="str">
        <f>"1701010"</f>
        <v>1701010</v>
      </c>
      <c r="AJ1097" t="s">
        <v>374</v>
      </c>
      <c r="AK1097">
        <v>2810227148</v>
      </c>
      <c r="AL1097" t="s">
        <v>375</v>
      </c>
      <c r="AM1097" t="s">
        <v>78</v>
      </c>
      <c r="AN1097" t="s">
        <v>78</v>
      </c>
      <c r="AO1097" t="s">
        <v>78</v>
      </c>
      <c r="AP1097" t="s">
        <v>79</v>
      </c>
      <c r="AQ1097">
        <v>1</v>
      </c>
      <c r="AR1097" t="s">
        <v>123</v>
      </c>
      <c r="AS1097" t="s">
        <v>124</v>
      </c>
      <c r="AT1097" t="s">
        <v>58</v>
      </c>
      <c r="AU1097" t="s">
        <v>68</v>
      </c>
      <c r="AV1097" t="s">
        <v>69</v>
      </c>
      <c r="AW1097" s="1">
        <v>24044</v>
      </c>
      <c r="AX1097">
        <v>2</v>
      </c>
    </row>
    <row r="1098" spans="1:50">
      <c r="A1098">
        <v>171130</v>
      </c>
      <c r="B1098" t="str">
        <f>"051209041"</f>
        <v>051209041</v>
      </c>
      <c r="C1098" t="s">
        <v>50</v>
      </c>
      <c r="D1098" t="s">
        <v>2626</v>
      </c>
      <c r="E1098" t="s">
        <v>52</v>
      </c>
      <c r="F1098" t="s">
        <v>106</v>
      </c>
      <c r="G1098" t="s">
        <v>250</v>
      </c>
      <c r="H1098" t="str">
        <f>"Γ. ΧΑΛΚΙΑΔΑΚΗ 5 ΗΡΑΚΛΕΙΟ"</f>
        <v>Γ. ΧΑΛΚΙΑΔΑΚΗ 5 ΗΡΑΚΛΕΙΟ</v>
      </c>
      <c r="J1098">
        <v>2810324487</v>
      </c>
      <c r="K1098">
        <v>6947126785</v>
      </c>
      <c r="M1098" t="s">
        <v>2630</v>
      </c>
      <c r="N1098" t="s">
        <v>306</v>
      </c>
      <c r="O1098" t="s">
        <v>307</v>
      </c>
      <c r="R1098" t="s">
        <v>57</v>
      </c>
      <c r="S1098">
        <v>12</v>
      </c>
      <c r="T1098">
        <v>184</v>
      </c>
      <c r="U1098" s="1">
        <v>34941</v>
      </c>
      <c r="V1098" t="s">
        <v>123</v>
      </c>
      <c r="W1098" t="s">
        <v>124</v>
      </c>
      <c r="X1098" t="s">
        <v>58</v>
      </c>
      <c r="Y1098">
        <v>18</v>
      </c>
      <c r="Z1098" t="s">
        <v>59</v>
      </c>
      <c r="AA1098" t="s">
        <v>59</v>
      </c>
      <c r="AB1098" t="s">
        <v>59</v>
      </c>
      <c r="AC1098" t="s">
        <v>59</v>
      </c>
      <c r="AD1098" t="s">
        <v>59</v>
      </c>
      <c r="AF1098" s="1">
        <v>34947</v>
      </c>
      <c r="AG1098" t="s">
        <v>125</v>
      </c>
      <c r="AH1098" t="s">
        <v>359</v>
      </c>
      <c r="AI1098" t="str">
        <f>"1701060"</f>
        <v>1701060</v>
      </c>
      <c r="AJ1098" t="s">
        <v>360</v>
      </c>
      <c r="AK1098">
        <v>2810223424</v>
      </c>
      <c r="AL1098" t="s">
        <v>361</v>
      </c>
      <c r="AM1098" t="s">
        <v>78</v>
      </c>
      <c r="AN1098" t="s">
        <v>78</v>
      </c>
      <c r="AO1098" t="s">
        <v>78</v>
      </c>
      <c r="AP1098" t="s">
        <v>79</v>
      </c>
      <c r="AQ1098">
        <v>1</v>
      </c>
      <c r="AR1098" t="s">
        <v>123</v>
      </c>
      <c r="AS1098" t="s">
        <v>124</v>
      </c>
      <c r="AT1098" t="s">
        <v>58</v>
      </c>
      <c r="AU1098" t="s">
        <v>68</v>
      </c>
      <c r="AV1098" t="s">
        <v>357</v>
      </c>
      <c r="AW1098" s="1">
        <v>24967</v>
      </c>
      <c r="AX1098">
        <v>2</v>
      </c>
    </row>
    <row r="1099" spans="1:50">
      <c r="A1099">
        <v>207309</v>
      </c>
      <c r="B1099" t="str">
        <f>"035495502"</f>
        <v>035495502</v>
      </c>
      <c r="C1099" t="s">
        <v>105</v>
      </c>
      <c r="D1099" t="s">
        <v>2631</v>
      </c>
      <c r="E1099" t="s">
        <v>166</v>
      </c>
      <c r="F1099" t="s">
        <v>2632</v>
      </c>
      <c r="G1099" t="s">
        <v>1440</v>
      </c>
      <c r="H1099" t="str">
        <f>"ΓΡΗΓΟΡΙΟΥ ΛΑΜΠΡΑΚΗ 32 ΗΡΑΚΛΕΙΟ"</f>
        <v>ΓΡΗΓΟΡΙΟΥ ΛΑΜΠΡΑΚΗ 32 ΗΡΑΚΛΕΙΟ</v>
      </c>
      <c r="I1099">
        <v>71500</v>
      </c>
      <c r="J1099">
        <v>2810823031</v>
      </c>
      <c r="M1099" t="s">
        <v>2633</v>
      </c>
      <c r="N1099" t="s">
        <v>232</v>
      </c>
      <c r="O1099" t="s">
        <v>233</v>
      </c>
      <c r="R1099" t="s">
        <v>57</v>
      </c>
      <c r="S1099">
        <v>9</v>
      </c>
      <c r="T1099">
        <v>218</v>
      </c>
      <c r="U1099" s="1">
        <v>38596</v>
      </c>
      <c r="V1099" t="s">
        <v>123</v>
      </c>
      <c r="W1099" t="s">
        <v>124</v>
      </c>
      <c r="X1099" t="s">
        <v>58</v>
      </c>
      <c r="Y1099">
        <v>20</v>
      </c>
      <c r="Z1099" t="s">
        <v>59</v>
      </c>
      <c r="AA1099" t="s">
        <v>59</v>
      </c>
      <c r="AB1099" t="s">
        <v>59</v>
      </c>
      <c r="AC1099" t="s">
        <v>59</v>
      </c>
      <c r="AD1099" t="s">
        <v>59</v>
      </c>
      <c r="AF1099" s="1">
        <v>38600</v>
      </c>
      <c r="AG1099" t="s">
        <v>125</v>
      </c>
      <c r="AH1099" t="s">
        <v>126</v>
      </c>
      <c r="AI1099" t="str">
        <f>"1726010"</f>
        <v>1726010</v>
      </c>
      <c r="AJ1099" t="s">
        <v>265</v>
      </c>
      <c r="AK1099">
        <v>2810831228</v>
      </c>
      <c r="AL1099" t="s">
        <v>266</v>
      </c>
      <c r="AM1099" t="s">
        <v>78</v>
      </c>
      <c r="AN1099" t="s">
        <v>129</v>
      </c>
      <c r="AO1099" t="s">
        <v>267</v>
      </c>
      <c r="AP1099" t="s">
        <v>267</v>
      </c>
      <c r="AQ1099">
        <v>27</v>
      </c>
      <c r="AR1099" t="s">
        <v>123</v>
      </c>
      <c r="AS1099" t="s">
        <v>124</v>
      </c>
      <c r="AT1099" t="s">
        <v>58</v>
      </c>
      <c r="AU1099" t="s">
        <v>68</v>
      </c>
      <c r="AV1099" t="s">
        <v>69</v>
      </c>
      <c r="AW1099" s="1">
        <v>23183</v>
      </c>
      <c r="AX1099">
        <v>2</v>
      </c>
    </row>
    <row r="1100" spans="1:50">
      <c r="A1100">
        <v>198606</v>
      </c>
      <c r="B1100" t="str">
        <f>"061426424"</f>
        <v>061426424</v>
      </c>
      <c r="C1100" t="s">
        <v>50</v>
      </c>
      <c r="D1100" t="s">
        <v>2634</v>
      </c>
      <c r="E1100" t="s">
        <v>73</v>
      </c>
      <c r="F1100" t="s">
        <v>2635</v>
      </c>
      <c r="G1100" t="s">
        <v>103</v>
      </c>
      <c r="H1100" t="str">
        <f>"ΔΑΦΝΕΣ ΗΡΑΚΛΕΙΟ"</f>
        <v>ΔΑΦΝΕΣ ΗΡΑΚΛΕΙΟ</v>
      </c>
      <c r="I1100">
        <v>70011</v>
      </c>
      <c r="J1100">
        <v>2810310448</v>
      </c>
      <c r="K1100">
        <v>6932703226</v>
      </c>
      <c r="M1100" t="s">
        <v>2636</v>
      </c>
      <c r="N1100" t="s">
        <v>306</v>
      </c>
      <c r="O1100" t="s">
        <v>307</v>
      </c>
      <c r="R1100" t="s">
        <v>57</v>
      </c>
      <c r="S1100">
        <v>9</v>
      </c>
      <c r="T1100">
        <v>206</v>
      </c>
      <c r="U1100" s="1">
        <v>37866</v>
      </c>
      <c r="V1100" t="s">
        <v>123</v>
      </c>
      <c r="W1100" t="s">
        <v>124</v>
      </c>
      <c r="X1100" t="s">
        <v>58</v>
      </c>
      <c r="Y1100">
        <v>20</v>
      </c>
      <c r="Z1100" t="s">
        <v>59</v>
      </c>
      <c r="AA1100" t="s">
        <v>59</v>
      </c>
      <c r="AB1100" t="s">
        <v>59</v>
      </c>
      <c r="AC1100" t="s">
        <v>59</v>
      </c>
      <c r="AD1100" t="s">
        <v>59</v>
      </c>
      <c r="AF1100" s="1">
        <v>37866</v>
      </c>
      <c r="AG1100" t="s">
        <v>125</v>
      </c>
      <c r="AH1100" t="s">
        <v>126</v>
      </c>
      <c r="AI1100" t="str">
        <f>"1716010"</f>
        <v>1716010</v>
      </c>
      <c r="AJ1100" t="s">
        <v>193</v>
      </c>
      <c r="AK1100">
        <v>2810791374</v>
      </c>
      <c r="AL1100" t="s">
        <v>194</v>
      </c>
      <c r="AM1100" t="s">
        <v>78</v>
      </c>
      <c r="AN1100" t="s">
        <v>78</v>
      </c>
      <c r="AO1100" t="s">
        <v>195</v>
      </c>
      <c r="AP1100" t="s">
        <v>196</v>
      </c>
      <c r="AQ1100">
        <v>30</v>
      </c>
      <c r="AR1100" t="s">
        <v>123</v>
      </c>
      <c r="AS1100" t="s">
        <v>124</v>
      </c>
      <c r="AT1100" t="s">
        <v>58</v>
      </c>
      <c r="AU1100" t="s">
        <v>68</v>
      </c>
      <c r="AV1100" t="s">
        <v>69</v>
      </c>
      <c r="AW1100" s="1">
        <v>27267</v>
      </c>
      <c r="AX1100">
        <v>2</v>
      </c>
    </row>
    <row r="1101" spans="1:50">
      <c r="A1101">
        <v>203731</v>
      </c>
      <c r="B1101" t="str">
        <f>"103652780"</f>
        <v>103652780</v>
      </c>
      <c r="C1101" t="s">
        <v>50</v>
      </c>
      <c r="D1101" t="s">
        <v>2637</v>
      </c>
      <c r="E1101" t="s">
        <v>114</v>
      </c>
      <c r="F1101" t="s">
        <v>95</v>
      </c>
      <c r="G1101" t="s">
        <v>250</v>
      </c>
      <c r="H1101" t="str">
        <f>"ΚΟΡΑΚΑ 148-150 ΜΟΙΡΕΣ"</f>
        <v>ΚΟΡΑΚΑ 148-150 ΜΟΙΡΕΣ</v>
      </c>
      <c r="I1101">
        <v>70400</v>
      </c>
      <c r="J1101">
        <v>2892023338</v>
      </c>
      <c r="K1101">
        <v>6972435562</v>
      </c>
      <c r="M1101" t="s">
        <v>2638</v>
      </c>
      <c r="N1101" t="s">
        <v>299</v>
      </c>
      <c r="O1101" t="s">
        <v>300</v>
      </c>
      <c r="R1101" t="s">
        <v>57</v>
      </c>
      <c r="S1101">
        <v>8</v>
      </c>
      <c r="T1101">
        <v>231</v>
      </c>
      <c r="U1101" s="1">
        <v>38230</v>
      </c>
      <c r="V1101" t="s">
        <v>123</v>
      </c>
      <c r="W1101" t="s">
        <v>124</v>
      </c>
      <c r="X1101" t="s">
        <v>58</v>
      </c>
      <c r="Y1101">
        <v>20</v>
      </c>
      <c r="Z1101" t="s">
        <v>59</v>
      </c>
      <c r="AA1101" t="s">
        <v>59</v>
      </c>
      <c r="AB1101" t="s">
        <v>59</v>
      </c>
      <c r="AC1101" t="s">
        <v>59</v>
      </c>
      <c r="AD1101" t="s">
        <v>59</v>
      </c>
      <c r="AF1101" s="1">
        <v>38236</v>
      </c>
      <c r="AG1101" t="s">
        <v>137</v>
      </c>
      <c r="AH1101" t="s">
        <v>138</v>
      </c>
      <c r="AI1101" t="str">
        <f>"1740300"</f>
        <v>1740300</v>
      </c>
      <c r="AJ1101" t="s">
        <v>1274</v>
      </c>
      <c r="AK1101">
        <v>2892022100</v>
      </c>
      <c r="AL1101" t="s">
        <v>1275</v>
      </c>
      <c r="AM1101" t="s">
        <v>78</v>
      </c>
      <c r="AN1101" t="s">
        <v>242</v>
      </c>
      <c r="AO1101" t="s">
        <v>243</v>
      </c>
      <c r="AP1101" t="s">
        <v>243</v>
      </c>
      <c r="AQ1101">
        <v>33</v>
      </c>
      <c r="AR1101" t="s">
        <v>123</v>
      </c>
      <c r="AS1101" t="s">
        <v>124</v>
      </c>
      <c r="AT1101" t="s">
        <v>58</v>
      </c>
      <c r="AU1101" t="s">
        <v>68</v>
      </c>
      <c r="AV1101" t="s">
        <v>69</v>
      </c>
      <c r="AW1101" s="1">
        <v>28263</v>
      </c>
      <c r="AX1101">
        <v>2</v>
      </c>
    </row>
    <row r="1102" spans="1:50">
      <c r="B1102" t="str">
        <f>"065204450"</f>
        <v>065204450</v>
      </c>
      <c r="C1102" t="s">
        <v>50</v>
      </c>
      <c r="D1102" t="s">
        <v>2639</v>
      </c>
      <c r="E1102" t="s">
        <v>367</v>
      </c>
      <c r="F1102" t="s">
        <v>383</v>
      </c>
      <c r="G1102" t="s">
        <v>366</v>
      </c>
      <c r="H1102" t="str">
        <f>"-1 ΣΑΝΑ ΧΑΛΚΙΔΙΚΗΣ"</f>
        <v>-1 ΣΑΝΑ ΧΑΛΚΙΔΙΚΗΣ</v>
      </c>
      <c r="I1102">
        <v>63073</v>
      </c>
      <c r="J1102">
        <v>2371092135</v>
      </c>
      <c r="K1102">
        <v>6937659087</v>
      </c>
      <c r="M1102" t="s">
        <v>2640</v>
      </c>
      <c r="N1102" t="s">
        <v>146</v>
      </c>
      <c r="O1102" t="s">
        <v>147</v>
      </c>
      <c r="R1102" t="s">
        <v>159</v>
      </c>
      <c r="S1102">
        <v>4</v>
      </c>
      <c r="T1102" t="s">
        <v>416</v>
      </c>
      <c r="U1102" s="1">
        <v>43349</v>
      </c>
      <c r="V1102" t="s">
        <v>123</v>
      </c>
      <c r="W1102" t="s">
        <v>124</v>
      </c>
      <c r="X1102" t="s">
        <v>58</v>
      </c>
      <c r="Y1102">
        <v>21</v>
      </c>
      <c r="Z1102" t="s">
        <v>59</v>
      </c>
      <c r="AA1102" t="s">
        <v>59</v>
      </c>
      <c r="AB1102" t="s">
        <v>59</v>
      </c>
      <c r="AC1102" t="s">
        <v>59</v>
      </c>
      <c r="AD1102" t="s">
        <v>59</v>
      </c>
      <c r="AF1102" s="1">
        <v>43349</v>
      </c>
      <c r="AG1102" t="s">
        <v>125</v>
      </c>
      <c r="AH1102" t="s">
        <v>126</v>
      </c>
      <c r="AI1102" t="str">
        <f>"1702010"</f>
        <v>1702010</v>
      </c>
      <c r="AJ1102" t="s">
        <v>604</v>
      </c>
      <c r="AK1102">
        <v>2891022228</v>
      </c>
      <c r="AL1102" t="s">
        <v>605</v>
      </c>
      <c r="AM1102" t="s">
        <v>78</v>
      </c>
      <c r="AN1102" t="s">
        <v>276</v>
      </c>
      <c r="AO1102" t="s">
        <v>490</v>
      </c>
      <c r="AP1102" t="s">
        <v>490</v>
      </c>
      <c r="AQ1102">
        <v>15</v>
      </c>
      <c r="AR1102" t="s">
        <v>123</v>
      </c>
      <c r="AS1102" t="s">
        <v>124</v>
      </c>
      <c r="AT1102" t="s">
        <v>58</v>
      </c>
      <c r="AU1102" t="s">
        <v>419</v>
      </c>
      <c r="AV1102" t="s">
        <v>132</v>
      </c>
      <c r="AW1102" s="1">
        <v>27355</v>
      </c>
      <c r="AX1102">
        <v>2</v>
      </c>
    </row>
    <row r="1103" spans="1:50">
      <c r="A1103">
        <v>162322</v>
      </c>
      <c r="B1103" t="str">
        <f>"065197189"</f>
        <v>065197189</v>
      </c>
      <c r="C1103" t="s">
        <v>50</v>
      </c>
      <c r="D1103" t="s">
        <v>2641</v>
      </c>
      <c r="E1103" t="s">
        <v>2642</v>
      </c>
      <c r="F1103" t="s">
        <v>383</v>
      </c>
      <c r="G1103" t="s">
        <v>316</v>
      </c>
      <c r="H1103" t="str">
        <f>"ΔΡΑΚΟΝΤΟΠΟΥΛΟΥ 11 ΗΡΑΚΛΕΙΟ"</f>
        <v>ΔΡΑΚΟΝΤΟΠΟΥΛΟΥ 11 ΗΡΑΚΛΕΙΟ</v>
      </c>
      <c r="J1103">
        <v>2810289442</v>
      </c>
      <c r="K1103">
        <v>6973842544</v>
      </c>
      <c r="M1103" t="s">
        <v>2643</v>
      </c>
      <c r="N1103" t="s">
        <v>146</v>
      </c>
      <c r="O1103" t="s">
        <v>147</v>
      </c>
      <c r="R1103" t="s">
        <v>57</v>
      </c>
      <c r="S1103">
        <v>15</v>
      </c>
      <c r="T1103">
        <v>132</v>
      </c>
      <c r="U1103" s="1">
        <v>33456</v>
      </c>
      <c r="V1103" t="s">
        <v>123</v>
      </c>
      <c r="W1103" t="s">
        <v>124</v>
      </c>
      <c r="X1103" t="s">
        <v>58</v>
      </c>
      <c r="Y1103">
        <v>18</v>
      </c>
      <c r="Z1103" t="s">
        <v>59</v>
      </c>
      <c r="AA1103" t="s">
        <v>59</v>
      </c>
      <c r="AB1103" t="s">
        <v>59</v>
      </c>
      <c r="AC1103" t="s">
        <v>59</v>
      </c>
      <c r="AD1103" t="s">
        <v>59</v>
      </c>
      <c r="AF1103" s="1">
        <v>33487</v>
      </c>
      <c r="AG1103" t="s">
        <v>148</v>
      </c>
      <c r="AH1103" t="s">
        <v>149</v>
      </c>
      <c r="AI1103" t="str">
        <f>"1751041"</f>
        <v>1751041</v>
      </c>
      <c r="AJ1103" t="s">
        <v>353</v>
      </c>
      <c r="AK1103">
        <v>2810230207</v>
      </c>
      <c r="AL1103" t="s">
        <v>354</v>
      </c>
      <c r="AM1103" t="s">
        <v>78</v>
      </c>
      <c r="AN1103" t="s">
        <v>78</v>
      </c>
      <c r="AO1103" t="s">
        <v>78</v>
      </c>
      <c r="AP1103" t="s">
        <v>163</v>
      </c>
      <c r="AQ1103">
        <v>2</v>
      </c>
      <c r="AR1103" t="s">
        <v>123</v>
      </c>
      <c r="AS1103" t="s">
        <v>124</v>
      </c>
      <c r="AT1103" t="s">
        <v>58</v>
      </c>
      <c r="AU1103" t="s">
        <v>68</v>
      </c>
      <c r="AV1103" t="s">
        <v>69</v>
      </c>
      <c r="AW1103" s="1">
        <v>23295</v>
      </c>
      <c r="AX1103">
        <v>2</v>
      </c>
    </row>
    <row r="1104" spans="1:50">
      <c r="B1104" t="str">
        <f>"070509633"</f>
        <v>070509633</v>
      </c>
      <c r="C1104" t="s">
        <v>105</v>
      </c>
      <c r="D1104" t="s">
        <v>2644</v>
      </c>
      <c r="E1104" t="s">
        <v>53</v>
      </c>
      <c r="F1104" t="s">
        <v>84</v>
      </c>
      <c r="G1104" t="s">
        <v>1306</v>
      </c>
      <c r="H1104" t="str">
        <f>"ΑΓΡΑΦΙΩΤΟΥ 05 ΠΕΙΡΑΙΑΣ ΑΤΤΙΚΗΣ"</f>
        <v>ΑΓΡΑΦΙΩΤΟΥ 05 ΠΕΙΡΑΙΑΣ ΑΤΤΙΚΗΣ</v>
      </c>
      <c r="I1104">
        <v>18541</v>
      </c>
      <c r="J1104">
        <v>2104822508</v>
      </c>
      <c r="K1104">
        <v>6978132694</v>
      </c>
      <c r="M1104" t="s">
        <v>2645</v>
      </c>
      <c r="N1104" t="s">
        <v>199</v>
      </c>
      <c r="O1104" t="s">
        <v>200</v>
      </c>
      <c r="R1104" t="s">
        <v>159</v>
      </c>
      <c r="S1104">
        <v>9</v>
      </c>
      <c r="T1104" t="s">
        <v>416</v>
      </c>
      <c r="U1104" s="1">
        <v>43349</v>
      </c>
      <c r="V1104" t="s">
        <v>123</v>
      </c>
      <c r="W1104" t="s">
        <v>124</v>
      </c>
      <c r="X1104" t="s">
        <v>58</v>
      </c>
      <c r="Y1104">
        <v>21</v>
      </c>
      <c r="Z1104" t="s">
        <v>59</v>
      </c>
      <c r="AA1104" t="s">
        <v>59</v>
      </c>
      <c r="AB1104" t="s">
        <v>59</v>
      </c>
      <c r="AC1104" t="s">
        <v>59</v>
      </c>
      <c r="AD1104" t="s">
        <v>59</v>
      </c>
      <c r="AF1104" s="1">
        <v>43349</v>
      </c>
      <c r="AG1104" t="s">
        <v>125</v>
      </c>
      <c r="AH1104" t="s">
        <v>386</v>
      </c>
      <c r="AI1104" t="str">
        <f>"1741002"</f>
        <v>1741002</v>
      </c>
      <c r="AJ1104" t="s">
        <v>387</v>
      </c>
      <c r="AK1104">
        <v>2810762610</v>
      </c>
      <c r="AL1104" t="s">
        <v>388</v>
      </c>
      <c r="AM1104" t="s">
        <v>78</v>
      </c>
      <c r="AN1104" t="s">
        <v>219</v>
      </c>
      <c r="AO1104" t="s">
        <v>297</v>
      </c>
      <c r="AP1104" t="s">
        <v>297</v>
      </c>
      <c r="AQ1104">
        <v>10</v>
      </c>
      <c r="AR1104" t="s">
        <v>123</v>
      </c>
      <c r="AS1104" t="s">
        <v>124</v>
      </c>
      <c r="AT1104" t="s">
        <v>58</v>
      </c>
      <c r="AU1104" t="s">
        <v>419</v>
      </c>
      <c r="AV1104" t="s">
        <v>132</v>
      </c>
      <c r="AW1104" s="1">
        <v>28887</v>
      </c>
      <c r="AX1104">
        <v>2</v>
      </c>
    </row>
    <row r="1105" spans="1:50">
      <c r="A1105">
        <v>197268</v>
      </c>
      <c r="B1105" t="str">
        <f>"063077239"</f>
        <v>063077239</v>
      </c>
      <c r="C1105" t="s">
        <v>50</v>
      </c>
      <c r="D1105" t="s">
        <v>2646</v>
      </c>
      <c r="E1105" t="s">
        <v>1440</v>
      </c>
      <c r="F1105" t="s">
        <v>108</v>
      </c>
      <c r="G1105" t="s">
        <v>2647</v>
      </c>
      <c r="H1105" t="str">
        <f>"ΑΡΙΣΤΟΤΕΛΗ ΩΝΑΣΗ ΗΡΑΚΛΕΙΟ"</f>
        <v>ΑΡΙΣΤΟΤΕΛΗ ΩΝΑΣΗ ΗΡΑΚΛΕΙΟ</v>
      </c>
      <c r="I1105">
        <v>71409</v>
      </c>
      <c r="J1105">
        <v>2810261079</v>
      </c>
      <c r="K1105">
        <v>6972758385</v>
      </c>
      <c r="N1105" t="s">
        <v>146</v>
      </c>
      <c r="O1105" t="s">
        <v>147</v>
      </c>
      <c r="R1105" t="s">
        <v>57</v>
      </c>
      <c r="S1105">
        <v>7</v>
      </c>
      <c r="T1105">
        <v>206</v>
      </c>
      <c r="U1105" s="1">
        <v>37866</v>
      </c>
      <c r="V1105" t="s">
        <v>123</v>
      </c>
      <c r="W1105" t="s">
        <v>124</v>
      </c>
      <c r="X1105" t="s">
        <v>58</v>
      </c>
      <c r="Y1105">
        <v>20</v>
      </c>
      <c r="Z1105" t="s">
        <v>59</v>
      </c>
      <c r="AA1105" t="s">
        <v>59</v>
      </c>
      <c r="AB1105" t="s">
        <v>59</v>
      </c>
      <c r="AC1105" t="s">
        <v>59</v>
      </c>
      <c r="AD1105" t="s">
        <v>59</v>
      </c>
      <c r="AF1105" s="1">
        <v>37866</v>
      </c>
      <c r="AG1105" t="s">
        <v>125</v>
      </c>
      <c r="AH1105" t="s">
        <v>126</v>
      </c>
      <c r="AI1105" t="str">
        <f>"1701051"</f>
        <v>1701051</v>
      </c>
      <c r="AJ1105" t="s">
        <v>443</v>
      </c>
      <c r="AK1105">
        <v>2810325815</v>
      </c>
      <c r="AL1105" t="s">
        <v>444</v>
      </c>
      <c r="AM1105" t="s">
        <v>78</v>
      </c>
      <c r="AN1105" t="s">
        <v>78</v>
      </c>
      <c r="AO1105" t="s">
        <v>78</v>
      </c>
      <c r="AP1105" t="s">
        <v>163</v>
      </c>
      <c r="AQ1105">
        <v>5</v>
      </c>
      <c r="AR1105" t="s">
        <v>123</v>
      </c>
      <c r="AS1105" t="s">
        <v>124</v>
      </c>
      <c r="AT1105" t="s">
        <v>58</v>
      </c>
      <c r="AU1105" t="s">
        <v>68</v>
      </c>
      <c r="AV1105" t="s">
        <v>69</v>
      </c>
      <c r="AW1105" s="1">
        <v>25938</v>
      </c>
      <c r="AX1105">
        <v>2</v>
      </c>
    </row>
    <row r="1106" spans="1:50">
      <c r="A1106">
        <v>205373</v>
      </c>
      <c r="B1106" t="str">
        <f>"110114339"</f>
        <v>110114339</v>
      </c>
      <c r="C1106" t="s">
        <v>105</v>
      </c>
      <c r="D1106" t="s">
        <v>2648</v>
      </c>
      <c r="E1106" t="s">
        <v>315</v>
      </c>
      <c r="F1106" t="s">
        <v>2649</v>
      </c>
      <c r="G1106" t="s">
        <v>2650</v>
      </c>
      <c r="H1106" t="str">
        <f>"ΜΥΡΙΟΚΕΦΑΛΩΝ 8 ΗΡΑΚΛΕΙΟ"</f>
        <v>ΜΥΡΙΟΚΕΦΑΛΩΝ 8 ΗΡΑΚΛΕΙΟ</v>
      </c>
      <c r="I1106">
        <v>71409</v>
      </c>
      <c r="J1106">
        <v>2810233636</v>
      </c>
      <c r="K1106">
        <v>6978555189</v>
      </c>
      <c r="M1106" t="s">
        <v>2651</v>
      </c>
      <c r="N1106" t="s">
        <v>204</v>
      </c>
      <c r="O1106" t="s">
        <v>205</v>
      </c>
      <c r="R1106" t="s">
        <v>57</v>
      </c>
      <c r="S1106">
        <v>9</v>
      </c>
      <c r="T1106">
        <v>231</v>
      </c>
      <c r="U1106" s="1">
        <v>38230</v>
      </c>
      <c r="V1106" t="s">
        <v>123</v>
      </c>
      <c r="W1106" t="s">
        <v>124</v>
      </c>
      <c r="X1106" t="s">
        <v>58</v>
      </c>
      <c r="Y1106">
        <v>20</v>
      </c>
      <c r="Z1106" t="s">
        <v>59</v>
      </c>
      <c r="AA1106" t="s">
        <v>59</v>
      </c>
      <c r="AB1106" t="s">
        <v>59</v>
      </c>
      <c r="AC1106" t="s">
        <v>59</v>
      </c>
      <c r="AD1106" t="s">
        <v>59</v>
      </c>
      <c r="AF1106" s="1">
        <v>38231</v>
      </c>
      <c r="AG1106" t="s">
        <v>125</v>
      </c>
      <c r="AH1106" t="s">
        <v>590</v>
      </c>
      <c r="AI1106" t="str">
        <f>"1740060"</f>
        <v>1740060</v>
      </c>
      <c r="AJ1106" t="s">
        <v>591</v>
      </c>
      <c r="AK1106">
        <v>2810232117</v>
      </c>
      <c r="AL1106" t="s">
        <v>592</v>
      </c>
      <c r="AM1106" t="s">
        <v>78</v>
      </c>
      <c r="AN1106" t="s">
        <v>78</v>
      </c>
      <c r="AO1106" t="s">
        <v>78</v>
      </c>
      <c r="AP1106" t="s">
        <v>141</v>
      </c>
      <c r="AQ1106">
        <v>11</v>
      </c>
      <c r="AR1106" t="s">
        <v>123</v>
      </c>
      <c r="AS1106" t="s">
        <v>124</v>
      </c>
      <c r="AT1106" t="s">
        <v>58</v>
      </c>
      <c r="AU1106" t="s">
        <v>68</v>
      </c>
      <c r="AV1106" t="s">
        <v>69</v>
      </c>
      <c r="AW1106" s="1">
        <v>28277</v>
      </c>
      <c r="AX1106">
        <v>2</v>
      </c>
    </row>
    <row r="1107" spans="1:50">
      <c r="A1107">
        <v>175917</v>
      </c>
      <c r="B1107" t="str">
        <f>"033399579"</f>
        <v>033399579</v>
      </c>
      <c r="C1107" t="s">
        <v>105</v>
      </c>
      <c r="D1107" t="s">
        <v>2652</v>
      </c>
      <c r="E1107" t="s">
        <v>106</v>
      </c>
      <c r="F1107" t="s">
        <v>53</v>
      </c>
      <c r="G1107" t="s">
        <v>2653</v>
      </c>
      <c r="H1107" t="str">
        <f>" "</f>
        <v xml:space="preserve"> </v>
      </c>
      <c r="N1107" t="s">
        <v>292</v>
      </c>
      <c r="O1107" t="s">
        <v>293</v>
      </c>
      <c r="R1107" t="s">
        <v>57</v>
      </c>
      <c r="S1107">
        <v>11</v>
      </c>
      <c r="T1107">
        <v>180</v>
      </c>
      <c r="U1107" s="1">
        <v>35674</v>
      </c>
      <c r="V1107" t="s">
        <v>123</v>
      </c>
      <c r="W1107" t="s">
        <v>124</v>
      </c>
      <c r="X1107" t="s">
        <v>58</v>
      </c>
      <c r="Y1107">
        <v>18</v>
      </c>
      <c r="Z1107" t="s">
        <v>59</v>
      </c>
      <c r="AA1107" t="s">
        <v>59</v>
      </c>
      <c r="AB1107" t="s">
        <v>59</v>
      </c>
      <c r="AC1107" t="s">
        <v>59</v>
      </c>
      <c r="AD1107" t="s">
        <v>59</v>
      </c>
      <c r="AF1107" s="1">
        <v>35681</v>
      </c>
      <c r="AG1107" t="s">
        <v>148</v>
      </c>
      <c r="AH1107" t="s">
        <v>149</v>
      </c>
      <c r="AI1107" t="str">
        <f>"1751010"</f>
        <v>1751010</v>
      </c>
      <c r="AJ1107" t="s">
        <v>150</v>
      </c>
      <c r="AK1107">
        <v>2810346092</v>
      </c>
      <c r="AL1107" t="s">
        <v>151</v>
      </c>
      <c r="AM1107" t="s">
        <v>78</v>
      </c>
      <c r="AN1107" t="s">
        <v>78</v>
      </c>
      <c r="AO1107" t="s">
        <v>78</v>
      </c>
      <c r="AP1107" t="s">
        <v>79</v>
      </c>
      <c r="AQ1107">
        <v>1</v>
      </c>
      <c r="AR1107" t="s">
        <v>123</v>
      </c>
      <c r="AS1107" t="s">
        <v>124</v>
      </c>
      <c r="AT1107" t="s">
        <v>58</v>
      </c>
      <c r="AU1107" t="s">
        <v>68</v>
      </c>
      <c r="AV1107" t="s">
        <v>69</v>
      </c>
      <c r="AW1107" s="1">
        <v>21650</v>
      </c>
      <c r="AX1107">
        <v>2</v>
      </c>
    </row>
    <row r="1108" spans="1:50">
      <c r="B1108" t="str">
        <f>"103519390"</f>
        <v>103519390</v>
      </c>
      <c r="C1108" t="s">
        <v>50</v>
      </c>
      <c r="D1108" t="s">
        <v>2654</v>
      </c>
      <c r="E1108" t="s">
        <v>250</v>
      </c>
      <c r="F1108" t="s">
        <v>95</v>
      </c>
      <c r="G1108" t="s">
        <v>112</v>
      </c>
      <c r="H1108" t="str">
        <f>"ΣΥΡΟΥ 2 ΗΡΑΚΛΕΙΟ"</f>
        <v>ΣΥΡΟΥ 2 ΗΡΑΚΛΕΙΟ</v>
      </c>
      <c r="I1108">
        <v>71414</v>
      </c>
      <c r="J1108">
        <v>2810824424</v>
      </c>
      <c r="K1108">
        <v>6948201635</v>
      </c>
      <c r="M1108" t="s">
        <v>2655</v>
      </c>
      <c r="N1108" t="s">
        <v>146</v>
      </c>
      <c r="O1108" t="s">
        <v>147</v>
      </c>
      <c r="R1108" t="s">
        <v>159</v>
      </c>
      <c r="S1108">
        <v>4</v>
      </c>
      <c r="T1108" t="s">
        <v>160</v>
      </c>
      <c r="U1108" s="1">
        <v>43364</v>
      </c>
      <c r="V1108" t="s">
        <v>123</v>
      </c>
      <c r="W1108" t="s">
        <v>124</v>
      </c>
      <c r="X1108" t="s">
        <v>58</v>
      </c>
      <c r="Y1108">
        <v>21</v>
      </c>
      <c r="Z1108" t="s">
        <v>59</v>
      </c>
      <c r="AA1108" t="s">
        <v>59</v>
      </c>
      <c r="AB1108" t="s">
        <v>59</v>
      </c>
      <c r="AC1108" t="s">
        <v>59</v>
      </c>
      <c r="AD1108" t="s">
        <v>59</v>
      </c>
      <c r="AF1108" s="1">
        <v>43367</v>
      </c>
      <c r="AG1108" t="s">
        <v>125</v>
      </c>
      <c r="AH1108" t="s">
        <v>126</v>
      </c>
      <c r="AI1108" t="str">
        <f>"1701070"</f>
        <v>1701070</v>
      </c>
      <c r="AJ1108" t="s">
        <v>1490</v>
      </c>
      <c r="AK1108">
        <v>2810771241</v>
      </c>
      <c r="AL1108" t="s">
        <v>1491</v>
      </c>
      <c r="AM1108" t="s">
        <v>78</v>
      </c>
      <c r="AN1108" t="s">
        <v>219</v>
      </c>
      <c r="AO1108" t="s">
        <v>1437</v>
      </c>
      <c r="AP1108" t="s">
        <v>1437</v>
      </c>
      <c r="AQ1108">
        <v>21</v>
      </c>
      <c r="AR1108" t="s">
        <v>123</v>
      </c>
      <c r="AS1108" t="s">
        <v>124</v>
      </c>
      <c r="AT1108" t="s">
        <v>58</v>
      </c>
      <c r="AU1108" t="s">
        <v>164</v>
      </c>
      <c r="AV1108" t="s">
        <v>132</v>
      </c>
      <c r="AW1108" s="1">
        <v>28737</v>
      </c>
      <c r="AX1108">
        <v>2</v>
      </c>
    </row>
    <row r="1109" spans="1:50">
      <c r="A1109">
        <v>212207</v>
      </c>
      <c r="B1109" t="str">
        <f>"114594149"</f>
        <v>114594149</v>
      </c>
      <c r="C1109" t="s">
        <v>50</v>
      </c>
      <c r="D1109" t="s">
        <v>2654</v>
      </c>
      <c r="E1109" t="s">
        <v>114</v>
      </c>
      <c r="F1109" t="s">
        <v>166</v>
      </c>
      <c r="G1109" t="s">
        <v>134</v>
      </c>
      <c r="H1109" t="str">
        <f>"ΒΕΝΕΡΑΤΟΥ 4 - ΑΓ.ΙΩΑΝΝΗΣ ΗΡΑΚΛΕΙΟ"</f>
        <v>ΒΕΝΕΡΑΤΟΥ 4 - ΑΓ.ΙΩΑΝΝΗΣ ΗΡΑΚΛΕΙΟ</v>
      </c>
      <c r="I1109">
        <v>71409</v>
      </c>
      <c r="J1109">
        <v>2810213701</v>
      </c>
      <c r="K1109">
        <v>6976012269</v>
      </c>
      <c r="M1109" t="s">
        <v>2656</v>
      </c>
      <c r="N1109" t="s">
        <v>146</v>
      </c>
      <c r="O1109" t="s">
        <v>147</v>
      </c>
      <c r="R1109" t="s">
        <v>57</v>
      </c>
      <c r="S1109">
        <v>6</v>
      </c>
      <c r="T1109">
        <v>231</v>
      </c>
      <c r="U1109" s="1">
        <v>38960</v>
      </c>
      <c r="V1109" t="s">
        <v>123</v>
      </c>
      <c r="W1109" t="s">
        <v>124</v>
      </c>
      <c r="X1109" t="s">
        <v>58</v>
      </c>
      <c r="Y1109">
        <v>20</v>
      </c>
      <c r="Z1109" t="s">
        <v>59</v>
      </c>
      <c r="AA1109" t="s">
        <v>59</v>
      </c>
      <c r="AB1109" t="s">
        <v>59</v>
      </c>
      <c r="AC1109" t="s">
        <v>59</v>
      </c>
      <c r="AD1109" t="s">
        <v>59</v>
      </c>
      <c r="AF1109" s="1">
        <v>38961</v>
      </c>
      <c r="AG1109" t="s">
        <v>137</v>
      </c>
      <c r="AH1109" t="s">
        <v>138</v>
      </c>
      <c r="AI1109" t="str">
        <f>"1740100"</f>
        <v>1740100</v>
      </c>
      <c r="AJ1109" t="s">
        <v>857</v>
      </c>
      <c r="AK1109">
        <v>2810360741</v>
      </c>
      <c r="AL1109" t="s">
        <v>858</v>
      </c>
      <c r="AM1109" t="s">
        <v>78</v>
      </c>
      <c r="AN1109" t="s">
        <v>78</v>
      </c>
      <c r="AO1109" t="s">
        <v>78</v>
      </c>
      <c r="AP1109" t="s">
        <v>163</v>
      </c>
      <c r="AQ1109">
        <v>5</v>
      </c>
      <c r="AR1109" t="s">
        <v>123</v>
      </c>
      <c r="AS1109" t="s">
        <v>124</v>
      </c>
      <c r="AT1109" t="s">
        <v>58</v>
      </c>
      <c r="AU1109" t="s">
        <v>68</v>
      </c>
      <c r="AV1109" t="s">
        <v>69</v>
      </c>
      <c r="AW1109" s="1">
        <v>28399</v>
      </c>
      <c r="AX1109">
        <v>2</v>
      </c>
    </row>
    <row r="1110" spans="1:50">
      <c r="A1110">
        <v>169860</v>
      </c>
      <c r="B1110" t="str">
        <f>"118910500"</f>
        <v>118910500</v>
      </c>
      <c r="C1110" t="s">
        <v>50</v>
      </c>
      <c r="D1110" t="s">
        <v>2657</v>
      </c>
      <c r="E1110" t="s">
        <v>2658</v>
      </c>
      <c r="F1110" t="s">
        <v>2659</v>
      </c>
      <c r="G1110" t="s">
        <v>460</v>
      </c>
      <c r="H1110" t="str">
        <f>"ΑΣΙΑΣ   4 ΜΑΣΤΑΜΠΑΣ"</f>
        <v>ΑΣΙΑΣ   4 ΜΑΣΤΑΜΠΑΣ</v>
      </c>
      <c r="I1110">
        <v>71305</v>
      </c>
      <c r="J1110">
        <v>2810210767</v>
      </c>
      <c r="K1110">
        <v>6934138669</v>
      </c>
      <c r="M1110" t="s">
        <v>2660</v>
      </c>
      <c r="N1110" t="s">
        <v>146</v>
      </c>
      <c r="O1110" t="s">
        <v>147</v>
      </c>
      <c r="R1110" t="s">
        <v>57</v>
      </c>
      <c r="S1110">
        <v>13</v>
      </c>
      <c r="T1110">
        <v>184</v>
      </c>
      <c r="U1110" s="1">
        <v>34942</v>
      </c>
      <c r="V1110" t="s">
        <v>123</v>
      </c>
      <c r="W1110" t="s">
        <v>124</v>
      </c>
      <c r="X1110" t="s">
        <v>58</v>
      </c>
      <c r="Y1110">
        <v>18</v>
      </c>
      <c r="Z1110" t="s">
        <v>59</v>
      </c>
      <c r="AA1110" t="s">
        <v>59</v>
      </c>
      <c r="AB1110" t="s">
        <v>59</v>
      </c>
      <c r="AC1110" t="s">
        <v>59</v>
      </c>
      <c r="AD1110" t="s">
        <v>59</v>
      </c>
      <c r="AF1110" s="1">
        <v>34943</v>
      </c>
      <c r="AG1110" t="s">
        <v>148</v>
      </c>
      <c r="AH1110" t="s">
        <v>149</v>
      </c>
      <c r="AI1110" t="str">
        <f>"1777010"</f>
        <v>1777010</v>
      </c>
      <c r="AJ1110" t="s">
        <v>612</v>
      </c>
      <c r="AK1110">
        <v>2810229220</v>
      </c>
      <c r="AL1110" t="s">
        <v>613</v>
      </c>
      <c r="AM1110" t="s">
        <v>78</v>
      </c>
      <c r="AN1110" t="s">
        <v>78</v>
      </c>
      <c r="AO1110" t="s">
        <v>286</v>
      </c>
      <c r="AP1110" t="s">
        <v>286</v>
      </c>
      <c r="AQ1110">
        <v>12</v>
      </c>
      <c r="AR1110" t="s">
        <v>123</v>
      </c>
      <c r="AS1110" t="s">
        <v>124</v>
      </c>
      <c r="AT1110" t="s">
        <v>58</v>
      </c>
      <c r="AU1110" t="s">
        <v>68</v>
      </c>
      <c r="AV1110" t="s">
        <v>69</v>
      </c>
      <c r="AW1110" s="1">
        <v>24108</v>
      </c>
      <c r="AX1110">
        <v>2</v>
      </c>
    </row>
    <row r="1111" spans="1:50">
      <c r="A1111">
        <v>164397</v>
      </c>
      <c r="B1111" t="str">
        <f>"028947059"</f>
        <v>028947059</v>
      </c>
      <c r="C1111" t="s">
        <v>50</v>
      </c>
      <c r="D1111" t="s">
        <v>2661</v>
      </c>
      <c r="E1111" t="s">
        <v>83</v>
      </c>
      <c r="F1111" t="s">
        <v>106</v>
      </c>
      <c r="G1111" t="s">
        <v>1744</v>
      </c>
      <c r="H1111" t="str">
        <f>"Μ.ΑΛΕΞΑΝΔΡΟΥ 127 "</f>
        <v xml:space="preserve">Μ.ΑΛΕΞΑΝΔΡΟΥ 127 </v>
      </c>
      <c r="I1111">
        <v>71306</v>
      </c>
      <c r="J1111">
        <v>2810211203</v>
      </c>
      <c r="K1111">
        <v>6979073322</v>
      </c>
      <c r="M1111" t="s">
        <v>2662</v>
      </c>
      <c r="N1111" t="s">
        <v>292</v>
      </c>
      <c r="O1111" t="s">
        <v>293</v>
      </c>
      <c r="R1111" t="s">
        <v>57</v>
      </c>
      <c r="S1111">
        <v>14</v>
      </c>
      <c r="T1111">
        <v>161</v>
      </c>
      <c r="U1111" s="1">
        <v>33844</v>
      </c>
      <c r="V1111" t="s">
        <v>123</v>
      </c>
      <c r="W1111" t="s">
        <v>124</v>
      </c>
      <c r="X1111" t="s">
        <v>58</v>
      </c>
      <c r="Y1111">
        <v>18</v>
      </c>
      <c r="Z1111" t="s">
        <v>59</v>
      </c>
      <c r="AA1111" t="s">
        <v>59</v>
      </c>
      <c r="AB1111" t="s">
        <v>59</v>
      </c>
      <c r="AC1111" t="s">
        <v>59</v>
      </c>
      <c r="AD1111" t="s">
        <v>59</v>
      </c>
      <c r="AF1111" s="1">
        <v>33848</v>
      </c>
      <c r="AG1111" t="s">
        <v>125</v>
      </c>
      <c r="AH1111" t="s">
        <v>126</v>
      </c>
      <c r="AI1111" t="str">
        <f>"1701010"</f>
        <v>1701010</v>
      </c>
      <c r="AJ1111" t="s">
        <v>374</v>
      </c>
      <c r="AK1111">
        <v>2810227148</v>
      </c>
      <c r="AL1111" t="s">
        <v>375</v>
      </c>
      <c r="AM1111" t="s">
        <v>78</v>
      </c>
      <c r="AN1111" t="s">
        <v>78</v>
      </c>
      <c r="AO1111" t="s">
        <v>78</v>
      </c>
      <c r="AP1111" t="s">
        <v>79</v>
      </c>
      <c r="AQ1111">
        <v>1</v>
      </c>
      <c r="AR1111" t="s">
        <v>123</v>
      </c>
      <c r="AS1111" t="s">
        <v>124</v>
      </c>
      <c r="AT1111" t="s">
        <v>58</v>
      </c>
      <c r="AU1111" t="s">
        <v>68</v>
      </c>
      <c r="AV1111" t="s">
        <v>69</v>
      </c>
      <c r="AW1111" s="1">
        <v>21418</v>
      </c>
      <c r="AX1111">
        <v>2</v>
      </c>
    </row>
    <row r="1112" spans="1:50">
      <c r="A1112">
        <v>213252</v>
      </c>
      <c r="B1112" t="str">
        <f>"110744374"</f>
        <v>110744374</v>
      </c>
      <c r="C1112" t="s">
        <v>105</v>
      </c>
      <c r="D1112" t="s">
        <v>2663</v>
      </c>
      <c r="E1112" t="s">
        <v>95</v>
      </c>
      <c r="F1112" t="s">
        <v>53</v>
      </c>
      <c r="G1112" t="s">
        <v>630</v>
      </c>
      <c r="H1112" t="str">
        <f>"ΚΟΚΚΙΝΙΔΗ 27 ΗΡΑΚΛΕΙΟ"</f>
        <v>ΚΟΚΚΙΝΙΔΗ 27 ΗΡΑΚΛΕΙΟ</v>
      </c>
      <c r="I1112">
        <v>71202</v>
      </c>
      <c r="J1112">
        <v>2810286557</v>
      </c>
      <c r="K1112">
        <v>6977528295</v>
      </c>
      <c r="L1112">
        <v>2810342939</v>
      </c>
      <c r="N1112" t="s">
        <v>199</v>
      </c>
      <c r="O1112" t="s">
        <v>200</v>
      </c>
      <c r="R1112" t="s">
        <v>57</v>
      </c>
      <c r="S1112">
        <v>7</v>
      </c>
      <c r="T1112">
        <v>231</v>
      </c>
      <c r="U1112" s="1">
        <v>38960</v>
      </c>
      <c r="V1112" t="s">
        <v>123</v>
      </c>
      <c r="W1112" t="s">
        <v>124</v>
      </c>
      <c r="X1112" t="s">
        <v>58</v>
      </c>
      <c r="Y1112">
        <v>20</v>
      </c>
      <c r="Z1112" t="s">
        <v>59</v>
      </c>
      <c r="AA1112" t="s">
        <v>59</v>
      </c>
      <c r="AB1112" t="s">
        <v>59</v>
      </c>
      <c r="AC1112" t="s">
        <v>59</v>
      </c>
      <c r="AD1112" t="s">
        <v>59</v>
      </c>
      <c r="AF1112" s="1">
        <v>38961</v>
      </c>
      <c r="AG1112" t="s">
        <v>125</v>
      </c>
      <c r="AH1112" t="s">
        <v>126</v>
      </c>
      <c r="AI1112" t="str">
        <f>"1701056"</f>
        <v>1701056</v>
      </c>
      <c r="AJ1112" t="s">
        <v>211</v>
      </c>
      <c r="AK1112">
        <v>2810245445</v>
      </c>
      <c r="AL1112" t="s">
        <v>212</v>
      </c>
      <c r="AM1112" t="s">
        <v>78</v>
      </c>
      <c r="AN1112" t="s">
        <v>78</v>
      </c>
      <c r="AO1112" t="s">
        <v>78</v>
      </c>
      <c r="AP1112" t="s">
        <v>213</v>
      </c>
      <c r="AQ1112">
        <v>6</v>
      </c>
      <c r="AR1112" t="s">
        <v>123</v>
      </c>
      <c r="AS1112" t="s">
        <v>124</v>
      </c>
      <c r="AT1112" t="s">
        <v>58</v>
      </c>
      <c r="AU1112" t="s">
        <v>68</v>
      </c>
      <c r="AV1112" t="s">
        <v>69</v>
      </c>
      <c r="AW1112" s="1">
        <v>27434</v>
      </c>
      <c r="AX1112">
        <v>2</v>
      </c>
    </row>
    <row r="1113" spans="1:50">
      <c r="A1113">
        <v>209137</v>
      </c>
      <c r="B1113" t="str">
        <f>"077717025"</f>
        <v>077717025</v>
      </c>
      <c r="C1113" t="s">
        <v>105</v>
      </c>
      <c r="D1113" t="s">
        <v>2664</v>
      </c>
      <c r="E1113" t="s">
        <v>304</v>
      </c>
      <c r="F1113" t="s">
        <v>166</v>
      </c>
      <c r="G1113" t="s">
        <v>237</v>
      </c>
      <c r="H1113" t="str">
        <f>"ΕΙΛΕΙΘΥΙΑΣ 16 ΑΓ. ΙΩΑΝΝΗΣ"</f>
        <v>ΕΙΛΕΙΘΥΙΑΣ 16 ΑΓ. ΙΩΑΝΝΗΣ</v>
      </c>
      <c r="I1113">
        <v>71409</v>
      </c>
      <c r="J1113">
        <v>2810327401</v>
      </c>
      <c r="K1113">
        <v>6972115721</v>
      </c>
      <c r="M1113" t="s">
        <v>2665</v>
      </c>
      <c r="N1113" t="s">
        <v>204</v>
      </c>
      <c r="O1113" t="s">
        <v>205</v>
      </c>
      <c r="R1113" t="s">
        <v>57</v>
      </c>
      <c r="S1113">
        <v>7</v>
      </c>
      <c r="T1113">
        <v>218</v>
      </c>
      <c r="U1113" s="1">
        <v>38596</v>
      </c>
      <c r="V1113" t="s">
        <v>123</v>
      </c>
      <c r="W1113" t="s">
        <v>124</v>
      </c>
      <c r="X1113" t="s">
        <v>58</v>
      </c>
      <c r="Y1113">
        <v>20</v>
      </c>
      <c r="Z1113" t="s">
        <v>59</v>
      </c>
      <c r="AA1113" t="s">
        <v>59</v>
      </c>
      <c r="AB1113" t="s">
        <v>59</v>
      </c>
      <c r="AC1113" t="s">
        <v>59</v>
      </c>
      <c r="AD1113" t="s">
        <v>59</v>
      </c>
      <c r="AF1113" s="1">
        <v>38601</v>
      </c>
      <c r="AG1113" t="s">
        <v>125</v>
      </c>
      <c r="AH1113" t="s">
        <v>126</v>
      </c>
      <c r="AI1113" t="str">
        <f>"1717011"</f>
        <v>1717011</v>
      </c>
      <c r="AJ1113" t="s">
        <v>832</v>
      </c>
      <c r="AK1113">
        <v>2897023311</v>
      </c>
      <c r="AL1113" t="s">
        <v>833</v>
      </c>
      <c r="AM1113" t="s">
        <v>78</v>
      </c>
      <c r="AN1113" t="s">
        <v>219</v>
      </c>
      <c r="AO1113" t="s">
        <v>219</v>
      </c>
      <c r="AP1113" t="s">
        <v>220</v>
      </c>
      <c r="AQ1113">
        <v>20</v>
      </c>
      <c r="AR1113" t="s">
        <v>123</v>
      </c>
      <c r="AS1113" t="s">
        <v>124</v>
      </c>
      <c r="AT1113" t="s">
        <v>58</v>
      </c>
      <c r="AU1113" t="s">
        <v>68</v>
      </c>
      <c r="AV1113" t="s">
        <v>69</v>
      </c>
      <c r="AW1113" s="1">
        <v>26971</v>
      </c>
      <c r="AX1113">
        <v>2</v>
      </c>
    </row>
    <row r="1114" spans="1:50">
      <c r="A1114">
        <v>177045</v>
      </c>
      <c r="B1114" t="str">
        <f>"074908893"</f>
        <v>074908893</v>
      </c>
      <c r="C1114" t="s">
        <v>50</v>
      </c>
      <c r="D1114" t="s">
        <v>2666</v>
      </c>
      <c r="E1114" t="s">
        <v>2667</v>
      </c>
      <c r="F1114" t="s">
        <v>965</v>
      </c>
      <c r="G1114" t="s">
        <v>83</v>
      </c>
      <c r="H1114" t="str">
        <f>" "</f>
        <v xml:space="preserve"> </v>
      </c>
      <c r="N1114" t="s">
        <v>257</v>
      </c>
      <c r="O1114" t="s">
        <v>258</v>
      </c>
      <c r="P1114" t="s">
        <v>74</v>
      </c>
      <c r="Q1114" t="s">
        <v>75</v>
      </c>
      <c r="R1114" t="s">
        <v>57</v>
      </c>
      <c r="S1114">
        <v>10</v>
      </c>
      <c r="T1114">
        <v>180</v>
      </c>
      <c r="U1114" s="1">
        <v>35674</v>
      </c>
      <c r="V1114" t="s">
        <v>123</v>
      </c>
      <c r="W1114" t="s">
        <v>124</v>
      </c>
      <c r="X1114" t="s">
        <v>58</v>
      </c>
      <c r="Y1114">
        <v>18</v>
      </c>
      <c r="Z1114" t="s">
        <v>59</v>
      </c>
      <c r="AA1114" t="s">
        <v>59</v>
      </c>
      <c r="AB1114" t="s">
        <v>59</v>
      </c>
      <c r="AC1114" t="s">
        <v>59</v>
      </c>
      <c r="AD1114" t="s">
        <v>59</v>
      </c>
      <c r="AF1114" s="1">
        <v>35678</v>
      </c>
      <c r="AG1114" t="s">
        <v>148</v>
      </c>
      <c r="AH1114" t="s">
        <v>149</v>
      </c>
      <c r="AI1114" t="str">
        <f>"1751020"</f>
        <v>1751020</v>
      </c>
      <c r="AJ1114" t="s">
        <v>532</v>
      </c>
      <c r="AK1114">
        <v>2810372732</v>
      </c>
      <c r="AL1114" t="s">
        <v>533</v>
      </c>
      <c r="AM1114" t="s">
        <v>78</v>
      </c>
      <c r="AN1114" t="s">
        <v>78</v>
      </c>
      <c r="AO1114" t="s">
        <v>78</v>
      </c>
      <c r="AP1114" t="s">
        <v>163</v>
      </c>
      <c r="AQ1114">
        <v>3</v>
      </c>
      <c r="AR1114" t="s">
        <v>123</v>
      </c>
      <c r="AS1114" t="s">
        <v>124</v>
      </c>
      <c r="AT1114" t="s">
        <v>58</v>
      </c>
      <c r="AU1114" t="s">
        <v>68</v>
      </c>
      <c r="AV1114" t="s">
        <v>69</v>
      </c>
      <c r="AW1114" s="1">
        <v>26064</v>
      </c>
      <c r="AX1114">
        <v>2</v>
      </c>
    </row>
    <row r="1115" spans="1:50">
      <c r="A1115">
        <v>183171</v>
      </c>
      <c r="B1115" t="str">
        <f>"038830178"</f>
        <v>038830178</v>
      </c>
      <c r="C1115" t="s">
        <v>105</v>
      </c>
      <c r="D1115" t="s">
        <v>2668</v>
      </c>
      <c r="E1115" t="s">
        <v>72</v>
      </c>
      <c r="F1115" t="s">
        <v>900</v>
      </c>
      <c r="G1115" t="s">
        <v>250</v>
      </c>
      <c r="H1115" t="str">
        <f>"ΠΑΓΚΟΣΜΙΑΣ ΕΙΡΗΝΗΣ 13-ΑΓΙΑ ΑΙΚΑΤΕΡΙΝΗ "</f>
        <v xml:space="preserve">ΠΑΓΚΟΣΜΙΑΣ ΕΙΡΗΝΗΣ 13-ΑΓΙΑ ΑΙΚΑΤΕΡΙΝΗ </v>
      </c>
      <c r="J1115">
        <v>2810242435</v>
      </c>
      <c r="K1115">
        <v>6932817471</v>
      </c>
      <c r="M1115" t="s">
        <v>2669</v>
      </c>
      <c r="N1115" t="s">
        <v>157</v>
      </c>
      <c r="O1115" t="s">
        <v>158</v>
      </c>
      <c r="R1115" t="s">
        <v>57</v>
      </c>
      <c r="S1115">
        <v>11</v>
      </c>
      <c r="T1115">
        <v>177</v>
      </c>
      <c r="U1115" s="1">
        <v>36403</v>
      </c>
      <c r="V1115" t="s">
        <v>123</v>
      </c>
      <c r="W1115" t="s">
        <v>124</v>
      </c>
      <c r="X1115" t="s">
        <v>58</v>
      </c>
      <c r="Y1115">
        <v>18</v>
      </c>
      <c r="Z1115" t="s">
        <v>59</v>
      </c>
      <c r="AA1115" t="s">
        <v>59</v>
      </c>
      <c r="AB1115" t="s">
        <v>59</v>
      </c>
      <c r="AC1115" t="s">
        <v>59</v>
      </c>
      <c r="AD1115" t="s">
        <v>59</v>
      </c>
      <c r="AF1115" s="1">
        <v>36404</v>
      </c>
      <c r="AG1115" t="s">
        <v>148</v>
      </c>
      <c r="AH1115" t="s">
        <v>149</v>
      </c>
      <c r="AI1115" t="str">
        <f>"1790070"</f>
        <v>1790070</v>
      </c>
      <c r="AJ1115" t="s">
        <v>1283</v>
      </c>
      <c r="AK1115">
        <v>2810252154</v>
      </c>
      <c r="AL1115" t="s">
        <v>1284</v>
      </c>
      <c r="AM1115" t="s">
        <v>78</v>
      </c>
      <c r="AN1115" t="s">
        <v>78</v>
      </c>
      <c r="AO1115" t="s">
        <v>78</v>
      </c>
      <c r="AP1115" t="s">
        <v>141</v>
      </c>
      <c r="AQ1115">
        <v>7</v>
      </c>
      <c r="AR1115" t="s">
        <v>123</v>
      </c>
      <c r="AS1115" t="s">
        <v>124</v>
      </c>
      <c r="AT1115" t="s">
        <v>58</v>
      </c>
      <c r="AU1115" t="s">
        <v>68</v>
      </c>
      <c r="AV1115" t="s">
        <v>69</v>
      </c>
      <c r="AW1115" s="1">
        <v>23065</v>
      </c>
      <c r="AX1115">
        <v>2</v>
      </c>
    </row>
    <row r="1116" spans="1:50">
      <c r="A1116">
        <v>212806</v>
      </c>
      <c r="B1116" t="str">
        <f>"055758291"</f>
        <v>055758291</v>
      </c>
      <c r="C1116" t="s">
        <v>105</v>
      </c>
      <c r="D1116" t="s">
        <v>2670</v>
      </c>
      <c r="E1116" t="s">
        <v>760</v>
      </c>
      <c r="F1116" t="s">
        <v>95</v>
      </c>
      <c r="G1116" t="s">
        <v>237</v>
      </c>
      <c r="H1116" t="str">
        <f>"Αρχιμήδους 67 Ν. Αλικαρνασσός"</f>
        <v>Αρχιμήδους 67 Ν. Αλικαρνασσός</v>
      </c>
      <c r="I1116">
        <v>71601</v>
      </c>
      <c r="J1116">
        <v>2810223934</v>
      </c>
      <c r="K1116">
        <v>6974600399</v>
      </c>
      <c r="M1116" t="s">
        <v>2671</v>
      </c>
      <c r="N1116" t="s">
        <v>292</v>
      </c>
      <c r="O1116" t="s">
        <v>293</v>
      </c>
      <c r="R1116" t="s">
        <v>57</v>
      </c>
      <c r="S1116">
        <v>5</v>
      </c>
      <c r="T1116">
        <v>231</v>
      </c>
      <c r="U1116" s="1">
        <v>38960</v>
      </c>
      <c r="V1116" t="s">
        <v>123</v>
      </c>
      <c r="W1116" t="s">
        <v>124</v>
      </c>
      <c r="X1116" t="s">
        <v>58</v>
      </c>
      <c r="Y1116">
        <v>20</v>
      </c>
      <c r="Z1116" t="s">
        <v>59</v>
      </c>
      <c r="AA1116" t="s">
        <v>59</v>
      </c>
      <c r="AB1116" t="s">
        <v>59</v>
      </c>
      <c r="AC1116" t="s">
        <v>59</v>
      </c>
      <c r="AD1116" t="s">
        <v>59</v>
      </c>
      <c r="AF1116" s="1">
        <v>38961</v>
      </c>
      <c r="AG1116" t="s">
        <v>148</v>
      </c>
      <c r="AH1116" t="s">
        <v>149</v>
      </c>
      <c r="AI1116" t="str">
        <f>"1764010"</f>
        <v>1764010</v>
      </c>
      <c r="AJ1116" t="s">
        <v>1058</v>
      </c>
      <c r="AK1116">
        <v>2810762862</v>
      </c>
      <c r="AL1116" t="s">
        <v>1059</v>
      </c>
      <c r="AM1116" t="s">
        <v>78</v>
      </c>
      <c r="AN1116" t="s">
        <v>219</v>
      </c>
      <c r="AO1116" t="s">
        <v>297</v>
      </c>
      <c r="AP1116" t="s">
        <v>297</v>
      </c>
      <c r="AQ1116">
        <v>37</v>
      </c>
      <c r="AR1116" t="s">
        <v>123</v>
      </c>
      <c r="AS1116" t="s">
        <v>124</v>
      </c>
      <c r="AT1116" t="s">
        <v>58</v>
      </c>
      <c r="AU1116" t="s">
        <v>68</v>
      </c>
      <c r="AV1116" t="s">
        <v>69</v>
      </c>
      <c r="AW1116" s="1">
        <v>24616</v>
      </c>
      <c r="AX1116">
        <v>2</v>
      </c>
    </row>
    <row r="1117" spans="1:50">
      <c r="A1117">
        <v>177360</v>
      </c>
      <c r="B1117" t="str">
        <f>"072666695"</f>
        <v>072666695</v>
      </c>
      <c r="C1117" t="s">
        <v>105</v>
      </c>
      <c r="D1117" t="s">
        <v>2670</v>
      </c>
      <c r="E1117" t="s">
        <v>99</v>
      </c>
      <c r="F1117" t="s">
        <v>84</v>
      </c>
      <c r="G1117" t="s">
        <v>2672</v>
      </c>
      <c r="H1117" t="str">
        <f>"62 ΜΑΡΤΥΡΩΝ 13Β "</f>
        <v xml:space="preserve">62 ΜΑΡΤΥΡΩΝ 13Β </v>
      </c>
      <c r="J1117">
        <v>2810315760</v>
      </c>
      <c r="K1117">
        <v>6972995929</v>
      </c>
      <c r="M1117" t="s">
        <v>2673</v>
      </c>
      <c r="N1117" t="s">
        <v>299</v>
      </c>
      <c r="O1117" t="s">
        <v>300</v>
      </c>
      <c r="R1117" t="s">
        <v>57</v>
      </c>
      <c r="S1117">
        <v>11</v>
      </c>
      <c r="T1117">
        <v>180</v>
      </c>
      <c r="U1117" s="1">
        <v>35674</v>
      </c>
      <c r="V1117" t="s">
        <v>123</v>
      </c>
      <c r="W1117" t="s">
        <v>124</v>
      </c>
      <c r="X1117" t="s">
        <v>58</v>
      </c>
      <c r="Y1117">
        <v>18</v>
      </c>
      <c r="Z1117" t="s">
        <v>59</v>
      </c>
      <c r="AA1117" t="s">
        <v>59</v>
      </c>
      <c r="AB1117" t="s">
        <v>59</v>
      </c>
      <c r="AC1117" t="s">
        <v>59</v>
      </c>
      <c r="AD1117" t="s">
        <v>59</v>
      </c>
      <c r="AF1117" s="1">
        <v>35681</v>
      </c>
      <c r="AG1117" t="s">
        <v>125</v>
      </c>
      <c r="AH1117" t="s">
        <v>126</v>
      </c>
      <c r="AI1117" t="str">
        <f>"1701052"</f>
        <v>1701052</v>
      </c>
      <c r="AJ1117" t="s">
        <v>223</v>
      </c>
      <c r="AK1117">
        <v>2810252514</v>
      </c>
      <c r="AL1117" t="s">
        <v>224</v>
      </c>
      <c r="AM1117" t="s">
        <v>78</v>
      </c>
      <c r="AN1117" t="s">
        <v>78</v>
      </c>
      <c r="AO1117" t="s">
        <v>78</v>
      </c>
      <c r="AP1117" t="s">
        <v>141</v>
      </c>
      <c r="AQ1117">
        <v>7</v>
      </c>
      <c r="AR1117" t="s">
        <v>123</v>
      </c>
      <c r="AS1117" t="s">
        <v>124</v>
      </c>
      <c r="AT1117" t="s">
        <v>58</v>
      </c>
      <c r="AU1117" t="s">
        <v>68</v>
      </c>
      <c r="AV1117" t="s">
        <v>69</v>
      </c>
      <c r="AW1117" s="1">
        <v>23182</v>
      </c>
      <c r="AX1117">
        <v>2</v>
      </c>
    </row>
    <row r="1118" spans="1:50">
      <c r="A1118">
        <v>201101</v>
      </c>
      <c r="B1118" t="str">
        <f>"110117317"</f>
        <v>110117317</v>
      </c>
      <c r="C1118" t="s">
        <v>50</v>
      </c>
      <c r="D1118" t="s">
        <v>2674</v>
      </c>
      <c r="E1118" t="s">
        <v>801</v>
      </c>
      <c r="F1118" t="s">
        <v>304</v>
      </c>
      <c r="G1118" t="s">
        <v>237</v>
      </c>
      <c r="H1118" t="str">
        <f>"ΝΙΚ.ΣΠΑΘΑΡΙΟΥ 6Β "</f>
        <v xml:space="preserve">ΝΙΚ.ΣΠΑΘΑΡΙΟΥ 6Β </v>
      </c>
      <c r="I1118">
        <v>71307</v>
      </c>
      <c r="J1118">
        <v>2810245150</v>
      </c>
      <c r="K1118">
        <v>6972606909</v>
      </c>
      <c r="N1118" t="s">
        <v>157</v>
      </c>
      <c r="O1118" t="s">
        <v>158</v>
      </c>
      <c r="R1118" t="s">
        <v>57</v>
      </c>
      <c r="S1118">
        <v>7</v>
      </c>
      <c r="T1118">
        <v>231</v>
      </c>
      <c r="U1118" s="1">
        <v>38230</v>
      </c>
      <c r="V1118" t="s">
        <v>123</v>
      </c>
      <c r="W1118" t="s">
        <v>124</v>
      </c>
      <c r="X1118" t="s">
        <v>58</v>
      </c>
      <c r="Y1118">
        <v>20</v>
      </c>
      <c r="Z1118" t="s">
        <v>59</v>
      </c>
      <c r="AA1118" t="s">
        <v>59</v>
      </c>
      <c r="AB1118" t="s">
        <v>59</v>
      </c>
      <c r="AC1118" t="s">
        <v>59</v>
      </c>
      <c r="AD1118" t="s">
        <v>59</v>
      </c>
      <c r="AF1118" s="1">
        <v>38232</v>
      </c>
      <c r="AG1118" t="s">
        <v>148</v>
      </c>
      <c r="AH1118" t="s">
        <v>149</v>
      </c>
      <c r="AI1118" t="str">
        <f>"1751042"</f>
        <v>1751042</v>
      </c>
      <c r="AJ1118" t="s">
        <v>959</v>
      </c>
      <c r="AK1118">
        <v>2810220685</v>
      </c>
      <c r="AL1118" t="s">
        <v>960</v>
      </c>
      <c r="AM1118" t="s">
        <v>78</v>
      </c>
      <c r="AN1118" t="s">
        <v>78</v>
      </c>
      <c r="AO1118" t="s">
        <v>78</v>
      </c>
      <c r="AP1118" t="s">
        <v>213</v>
      </c>
      <c r="AQ1118">
        <v>6</v>
      </c>
      <c r="AR1118" t="s">
        <v>123</v>
      </c>
      <c r="AS1118" t="s">
        <v>124</v>
      </c>
      <c r="AT1118" t="s">
        <v>58</v>
      </c>
      <c r="AU1118" t="s">
        <v>68</v>
      </c>
      <c r="AV1118" t="s">
        <v>69</v>
      </c>
      <c r="AW1118" s="1">
        <v>27602</v>
      </c>
      <c r="AX1118">
        <v>2</v>
      </c>
    </row>
    <row r="1119" spans="1:50">
      <c r="A1119">
        <v>205020</v>
      </c>
      <c r="B1119" t="str">
        <f>"053957179"</f>
        <v>053957179</v>
      </c>
      <c r="C1119" t="s">
        <v>50</v>
      </c>
      <c r="D1119" t="s">
        <v>2675</v>
      </c>
      <c r="E1119" t="s">
        <v>83</v>
      </c>
      <c r="F1119" t="s">
        <v>95</v>
      </c>
      <c r="G1119" t="s">
        <v>460</v>
      </c>
      <c r="H1119" t="str">
        <f>" "</f>
        <v xml:space="preserve"> </v>
      </c>
      <c r="M1119" t="s">
        <v>2676</v>
      </c>
      <c r="N1119" t="s">
        <v>547</v>
      </c>
      <c r="O1119" t="s">
        <v>548</v>
      </c>
      <c r="R1119" t="s">
        <v>57</v>
      </c>
      <c r="S1119">
        <v>11</v>
      </c>
      <c r="T1119">
        <v>231</v>
      </c>
      <c r="U1119" s="1">
        <v>38230</v>
      </c>
      <c r="V1119" t="s">
        <v>123</v>
      </c>
      <c r="W1119" t="s">
        <v>124</v>
      </c>
      <c r="X1119" t="s">
        <v>58</v>
      </c>
      <c r="Y1119">
        <v>18</v>
      </c>
      <c r="Z1119" t="s">
        <v>59</v>
      </c>
      <c r="AA1119" t="s">
        <v>59</v>
      </c>
      <c r="AB1119" t="s">
        <v>59</v>
      </c>
      <c r="AC1119" t="s">
        <v>59</v>
      </c>
      <c r="AD1119" t="s">
        <v>59</v>
      </c>
      <c r="AF1119" s="1">
        <v>38232</v>
      </c>
      <c r="AG1119" t="s">
        <v>137</v>
      </c>
      <c r="AH1119" t="s">
        <v>469</v>
      </c>
      <c r="AI1119" t="str">
        <f>"1740200"</f>
        <v>1740200</v>
      </c>
      <c r="AJ1119" t="s">
        <v>470</v>
      </c>
      <c r="AK1119">
        <v>2810320770</v>
      </c>
      <c r="AL1119" t="s">
        <v>471</v>
      </c>
      <c r="AM1119" t="s">
        <v>78</v>
      </c>
      <c r="AN1119" t="s">
        <v>78</v>
      </c>
      <c r="AO1119" t="s">
        <v>78</v>
      </c>
      <c r="AP1119" t="s">
        <v>163</v>
      </c>
      <c r="AQ1119">
        <v>2</v>
      </c>
      <c r="AR1119" t="s">
        <v>123</v>
      </c>
      <c r="AS1119" t="s">
        <v>124</v>
      </c>
      <c r="AT1119" t="s">
        <v>58</v>
      </c>
      <c r="AU1119" t="s">
        <v>68</v>
      </c>
      <c r="AV1119" t="s">
        <v>69</v>
      </c>
      <c r="AW1119" s="1">
        <v>25871</v>
      </c>
      <c r="AX1119">
        <v>2</v>
      </c>
    </row>
    <row r="1120" spans="1:50">
      <c r="A1120">
        <v>213525</v>
      </c>
      <c r="B1120" t="str">
        <f>"078400450"</f>
        <v>078400450</v>
      </c>
      <c r="C1120" t="s">
        <v>50</v>
      </c>
      <c r="D1120" t="s">
        <v>2677</v>
      </c>
      <c r="E1120" t="s">
        <v>73</v>
      </c>
      <c r="F1120" t="s">
        <v>95</v>
      </c>
      <c r="G1120" t="s">
        <v>809</v>
      </c>
      <c r="H1120" t="str">
        <f>"ΜΕΛΕΤΙΟΥ ΠΗΓΑ 10 "</f>
        <v xml:space="preserve">ΜΕΛΕΤΙΟΥ ΠΗΓΑ 10 </v>
      </c>
      <c r="I1120">
        <v>71306</v>
      </c>
      <c r="J1120">
        <v>2810326149</v>
      </c>
      <c r="K1120">
        <v>6945978724</v>
      </c>
      <c r="M1120" t="s">
        <v>2678</v>
      </c>
      <c r="N1120" t="s">
        <v>478</v>
      </c>
      <c r="O1120" t="s">
        <v>479</v>
      </c>
      <c r="P1120" t="s">
        <v>1116</v>
      </c>
      <c r="Q1120" t="s">
        <v>1117</v>
      </c>
      <c r="R1120" t="s">
        <v>57</v>
      </c>
      <c r="S1120">
        <v>7</v>
      </c>
      <c r="T1120">
        <v>231</v>
      </c>
      <c r="U1120" s="1">
        <v>38960</v>
      </c>
      <c r="V1120" t="s">
        <v>123</v>
      </c>
      <c r="W1120" t="s">
        <v>124</v>
      </c>
      <c r="X1120" t="s">
        <v>58</v>
      </c>
      <c r="Y1120">
        <v>20</v>
      </c>
      <c r="Z1120" t="s">
        <v>59</v>
      </c>
      <c r="AA1120" t="s">
        <v>59</v>
      </c>
      <c r="AB1120" t="s">
        <v>59</v>
      </c>
      <c r="AC1120" t="s">
        <v>59</v>
      </c>
      <c r="AD1120" t="s">
        <v>59</v>
      </c>
      <c r="AF1120" s="1">
        <v>38961</v>
      </c>
      <c r="AG1120" t="s">
        <v>125</v>
      </c>
      <c r="AH1120" t="s">
        <v>126</v>
      </c>
      <c r="AI1120" t="str">
        <f>"1710010"</f>
        <v>1710010</v>
      </c>
      <c r="AJ1120" t="s">
        <v>595</v>
      </c>
      <c r="AK1120">
        <v>2810711220</v>
      </c>
      <c r="AL1120" t="s">
        <v>596</v>
      </c>
      <c r="AM1120" t="s">
        <v>78</v>
      </c>
      <c r="AN1120" t="s">
        <v>129</v>
      </c>
      <c r="AO1120" t="s">
        <v>597</v>
      </c>
      <c r="AP1120" t="s">
        <v>598</v>
      </c>
      <c r="AQ1120">
        <v>28</v>
      </c>
      <c r="AR1120" t="s">
        <v>123</v>
      </c>
      <c r="AS1120" t="s">
        <v>124</v>
      </c>
      <c r="AT1120" t="s">
        <v>58</v>
      </c>
      <c r="AU1120" t="s">
        <v>68</v>
      </c>
      <c r="AV1120" t="s">
        <v>69</v>
      </c>
      <c r="AW1120" s="1">
        <v>26374</v>
      </c>
      <c r="AX1120">
        <v>2</v>
      </c>
    </row>
    <row r="1121" spans="1:50">
      <c r="A1121">
        <v>222328</v>
      </c>
      <c r="B1121" t="str">
        <f>"110126904"</f>
        <v>110126904</v>
      </c>
      <c r="C1121" t="s">
        <v>50</v>
      </c>
      <c r="D1121" t="s">
        <v>2679</v>
      </c>
      <c r="E1121" t="s">
        <v>255</v>
      </c>
      <c r="F1121" t="s">
        <v>166</v>
      </c>
      <c r="G1121" t="s">
        <v>83</v>
      </c>
      <c r="H1121" t="str">
        <f>" "</f>
        <v xml:space="preserve"> </v>
      </c>
      <c r="J1121">
        <v>2810225483</v>
      </c>
      <c r="K1121">
        <v>6946504343</v>
      </c>
      <c r="M1121" t="s">
        <v>2680</v>
      </c>
      <c r="N1121" t="s">
        <v>146</v>
      </c>
      <c r="O1121" t="s">
        <v>147</v>
      </c>
      <c r="R1121" t="s">
        <v>57</v>
      </c>
      <c r="S1121">
        <v>10</v>
      </c>
      <c r="T1121">
        <v>775</v>
      </c>
      <c r="U1121" s="1">
        <v>39680</v>
      </c>
      <c r="V1121" t="s">
        <v>123</v>
      </c>
      <c r="W1121" t="s">
        <v>124</v>
      </c>
      <c r="X1121" t="s">
        <v>58</v>
      </c>
      <c r="Y1121">
        <v>21</v>
      </c>
      <c r="Z1121" t="s">
        <v>59</v>
      </c>
      <c r="AA1121" t="s">
        <v>59</v>
      </c>
      <c r="AB1121" t="s">
        <v>59</v>
      </c>
      <c r="AC1121" t="s">
        <v>59</v>
      </c>
      <c r="AD1121" t="s">
        <v>59</v>
      </c>
      <c r="AF1121" s="1">
        <v>39681</v>
      </c>
      <c r="AG1121" t="s">
        <v>125</v>
      </c>
      <c r="AH1121" t="s">
        <v>126</v>
      </c>
      <c r="AI1121" t="str">
        <f>"1709010"</f>
        <v>1709010</v>
      </c>
      <c r="AJ1121" t="s">
        <v>847</v>
      </c>
      <c r="AK1121">
        <v>2894022227</v>
      </c>
      <c r="AL1121" t="s">
        <v>848</v>
      </c>
      <c r="AM1121" t="s">
        <v>78</v>
      </c>
      <c r="AN1121" t="s">
        <v>405</v>
      </c>
      <c r="AO1121" t="s">
        <v>406</v>
      </c>
      <c r="AP1121" t="s">
        <v>406</v>
      </c>
      <c r="AQ1121">
        <v>30</v>
      </c>
      <c r="AR1121" t="s">
        <v>123</v>
      </c>
      <c r="AS1121" t="s">
        <v>124</v>
      </c>
      <c r="AT1121" t="s">
        <v>58</v>
      </c>
      <c r="AU1121" t="s">
        <v>68</v>
      </c>
      <c r="AV1121" t="s">
        <v>69</v>
      </c>
      <c r="AW1121" s="1">
        <v>27938</v>
      </c>
      <c r="AX1121">
        <v>2</v>
      </c>
    </row>
    <row r="1122" spans="1:50">
      <c r="A1122">
        <v>220969</v>
      </c>
      <c r="B1122" t="str">
        <f>"044733696"</f>
        <v>044733696</v>
      </c>
      <c r="C1122" t="s">
        <v>105</v>
      </c>
      <c r="D1122" t="s">
        <v>2681</v>
      </c>
      <c r="E1122" t="s">
        <v>106</v>
      </c>
      <c r="F1122" t="s">
        <v>154</v>
      </c>
      <c r="G1122" t="s">
        <v>250</v>
      </c>
      <c r="H1122" t="str">
        <f>" "</f>
        <v xml:space="preserve"> </v>
      </c>
      <c r="J1122">
        <v>2810261241</v>
      </c>
      <c r="K1122">
        <v>6973990952</v>
      </c>
      <c r="M1122" t="s">
        <v>2682</v>
      </c>
      <c r="N1122" t="s">
        <v>2683</v>
      </c>
      <c r="O1122" t="s">
        <v>2684</v>
      </c>
      <c r="R1122" t="s">
        <v>57</v>
      </c>
      <c r="S1122">
        <v>7</v>
      </c>
      <c r="T1122">
        <v>687</v>
      </c>
      <c r="U1122" s="1">
        <v>39330</v>
      </c>
      <c r="V1122" t="s">
        <v>123</v>
      </c>
      <c r="W1122" t="s">
        <v>124</v>
      </c>
      <c r="X1122" t="s">
        <v>58</v>
      </c>
      <c r="Y1122">
        <v>20</v>
      </c>
      <c r="Z1122" t="s">
        <v>59</v>
      </c>
      <c r="AA1122" t="s">
        <v>59</v>
      </c>
      <c r="AB1122" t="s">
        <v>59</v>
      </c>
      <c r="AC1122" t="s">
        <v>59</v>
      </c>
      <c r="AD1122" t="s">
        <v>59</v>
      </c>
      <c r="AF1122" s="1">
        <v>39331</v>
      </c>
      <c r="AG1122" t="s">
        <v>137</v>
      </c>
      <c r="AH1122" t="s">
        <v>138</v>
      </c>
      <c r="AI1122" t="str">
        <f>"1740100"</f>
        <v>1740100</v>
      </c>
      <c r="AJ1122" t="s">
        <v>857</v>
      </c>
      <c r="AK1122">
        <v>2810360741</v>
      </c>
      <c r="AL1122" t="s">
        <v>858</v>
      </c>
      <c r="AM1122" t="s">
        <v>78</v>
      </c>
      <c r="AN1122" t="s">
        <v>78</v>
      </c>
      <c r="AO1122" t="s">
        <v>78</v>
      </c>
      <c r="AP1122" t="s">
        <v>163</v>
      </c>
      <c r="AQ1122">
        <v>5</v>
      </c>
      <c r="AR1122" t="s">
        <v>123</v>
      </c>
      <c r="AS1122" t="s">
        <v>124</v>
      </c>
      <c r="AT1122" t="s">
        <v>58</v>
      </c>
      <c r="AU1122" t="s">
        <v>68</v>
      </c>
      <c r="AV1122" t="s">
        <v>69</v>
      </c>
      <c r="AW1122" s="1">
        <v>25194</v>
      </c>
      <c r="AX1122">
        <v>2</v>
      </c>
    </row>
    <row r="1123" spans="1:50">
      <c r="B1123" t="str">
        <f>"064001022"</f>
        <v>064001022</v>
      </c>
      <c r="C1123" t="s">
        <v>50</v>
      </c>
      <c r="D1123" t="s">
        <v>2685</v>
      </c>
      <c r="E1123" t="s">
        <v>52</v>
      </c>
      <c r="F1123" t="s">
        <v>72</v>
      </c>
      <c r="G1123" t="s">
        <v>255</v>
      </c>
      <c r="H1123" t="str">
        <f>"ΠΕΤΡΑΚΟΓΙΩΡΓΗ 57 ΗΡΑΚΛΕΙΟ"</f>
        <v>ΠΕΤΡΑΚΟΓΙΩΡΓΗ 57 ΗΡΑΚΛΕΙΟ</v>
      </c>
      <c r="I1123">
        <v>71305</v>
      </c>
      <c r="J1123">
        <v>2810257183</v>
      </c>
      <c r="K1123">
        <v>6974990734</v>
      </c>
      <c r="N1123" t="s">
        <v>199</v>
      </c>
      <c r="O1123" t="s">
        <v>200</v>
      </c>
      <c r="R1123" t="s">
        <v>57</v>
      </c>
      <c r="S1123">
        <v>5</v>
      </c>
      <c r="T1123" t="s">
        <v>574</v>
      </c>
      <c r="U1123" s="1">
        <v>43378</v>
      </c>
      <c r="V1123" t="s">
        <v>123</v>
      </c>
      <c r="W1123" t="s">
        <v>124</v>
      </c>
      <c r="X1123" t="s">
        <v>58</v>
      </c>
      <c r="Y1123">
        <v>23</v>
      </c>
      <c r="Z1123" t="s">
        <v>59</v>
      </c>
      <c r="AA1123" t="s">
        <v>59</v>
      </c>
      <c r="AB1123" t="s">
        <v>59</v>
      </c>
      <c r="AC1123" t="s">
        <v>59</v>
      </c>
      <c r="AD1123" t="s">
        <v>59</v>
      </c>
      <c r="AF1123" s="1">
        <v>43381</v>
      </c>
      <c r="AG1123" t="s">
        <v>148</v>
      </c>
      <c r="AH1123" t="s">
        <v>149</v>
      </c>
      <c r="AI1123" t="str">
        <f>"1765010"</f>
        <v>1765010</v>
      </c>
      <c r="AJ1123" t="s">
        <v>803</v>
      </c>
      <c r="AK1123">
        <v>2893031093</v>
      </c>
      <c r="AL1123" t="s">
        <v>804</v>
      </c>
      <c r="AM1123" t="s">
        <v>78</v>
      </c>
      <c r="AN1123" t="s">
        <v>405</v>
      </c>
      <c r="AO1123" t="s">
        <v>805</v>
      </c>
      <c r="AP1123" t="s">
        <v>806</v>
      </c>
      <c r="AQ1123">
        <v>25</v>
      </c>
      <c r="AR1123" t="s">
        <v>123</v>
      </c>
      <c r="AS1123" t="s">
        <v>124</v>
      </c>
      <c r="AT1123" t="s">
        <v>58</v>
      </c>
      <c r="AU1123" t="s">
        <v>164</v>
      </c>
      <c r="AV1123" t="s">
        <v>132</v>
      </c>
      <c r="AW1123" s="1">
        <v>27327</v>
      </c>
      <c r="AX1123">
        <v>2</v>
      </c>
    </row>
    <row r="1124" spans="1:50">
      <c r="A1124">
        <v>185020</v>
      </c>
      <c r="B1124" t="str">
        <f>"056827968"</f>
        <v>056827968</v>
      </c>
      <c r="C1124" t="s">
        <v>50</v>
      </c>
      <c r="D1124" t="s">
        <v>2686</v>
      </c>
      <c r="E1124" t="s">
        <v>52</v>
      </c>
      <c r="F1124" t="s">
        <v>84</v>
      </c>
      <c r="G1124" t="s">
        <v>109</v>
      </c>
      <c r="H1124" t="str">
        <f>" "</f>
        <v xml:space="preserve"> </v>
      </c>
      <c r="N1124" t="s">
        <v>337</v>
      </c>
      <c r="O1124" t="s">
        <v>338</v>
      </c>
      <c r="R1124" t="s">
        <v>57</v>
      </c>
      <c r="S1124">
        <v>9</v>
      </c>
      <c r="T1124">
        <v>177</v>
      </c>
      <c r="U1124" s="1">
        <v>36403</v>
      </c>
      <c r="V1124" t="s">
        <v>123</v>
      </c>
      <c r="W1124" t="s">
        <v>124</v>
      </c>
      <c r="X1124" t="s">
        <v>58</v>
      </c>
      <c r="Y1124">
        <v>20</v>
      </c>
      <c r="Z1124" t="s">
        <v>59</v>
      </c>
      <c r="AA1124" t="s">
        <v>59</v>
      </c>
      <c r="AB1124" t="s">
        <v>59</v>
      </c>
      <c r="AC1124" t="s">
        <v>59</v>
      </c>
      <c r="AD1124" t="s">
        <v>59</v>
      </c>
      <c r="AF1124" s="1">
        <v>36404</v>
      </c>
      <c r="AG1124" t="s">
        <v>125</v>
      </c>
      <c r="AH1124" t="s">
        <v>126</v>
      </c>
      <c r="AI1124" t="str">
        <f>"1701050"</f>
        <v>1701050</v>
      </c>
      <c r="AJ1124" t="s">
        <v>660</v>
      </c>
      <c r="AK1124">
        <v>2810220729</v>
      </c>
      <c r="AL1124" t="s">
        <v>661</v>
      </c>
      <c r="AM1124" t="s">
        <v>78</v>
      </c>
      <c r="AN1124" t="s">
        <v>78</v>
      </c>
      <c r="AO1124" t="s">
        <v>78</v>
      </c>
      <c r="AP1124" t="s">
        <v>79</v>
      </c>
      <c r="AQ1124">
        <v>1</v>
      </c>
      <c r="AR1124" t="s">
        <v>123</v>
      </c>
      <c r="AS1124" t="s">
        <v>124</v>
      </c>
      <c r="AT1124" t="s">
        <v>58</v>
      </c>
      <c r="AU1124" t="s">
        <v>68</v>
      </c>
      <c r="AV1124" t="s">
        <v>69</v>
      </c>
      <c r="AW1124" s="1">
        <v>24516</v>
      </c>
      <c r="AX1124">
        <v>2</v>
      </c>
    </row>
    <row r="1125" spans="1:50">
      <c r="A1125">
        <v>209914</v>
      </c>
      <c r="B1125" t="str">
        <f>"071515822"</f>
        <v>071515822</v>
      </c>
      <c r="C1125" t="s">
        <v>50</v>
      </c>
      <c r="D1125" t="s">
        <v>2687</v>
      </c>
      <c r="E1125" t="s">
        <v>1074</v>
      </c>
      <c r="F1125" t="s">
        <v>72</v>
      </c>
      <c r="G1125" t="s">
        <v>2688</v>
      </c>
      <c r="H1125" t="str">
        <f>"Αγησιλάου 12 Κατσαμπάς"</f>
        <v>Αγησιλάου 12 Κατσαμπάς</v>
      </c>
      <c r="I1125">
        <v>71307</v>
      </c>
      <c r="J1125">
        <v>2810241650</v>
      </c>
      <c r="K1125">
        <v>6974116883</v>
      </c>
      <c r="M1125" t="s">
        <v>2689</v>
      </c>
      <c r="N1125" t="s">
        <v>292</v>
      </c>
      <c r="O1125" t="s">
        <v>293</v>
      </c>
      <c r="R1125" t="s">
        <v>57</v>
      </c>
      <c r="S1125">
        <v>6</v>
      </c>
      <c r="T1125">
        <v>225</v>
      </c>
      <c r="U1125" s="1">
        <v>38604</v>
      </c>
      <c r="V1125" t="s">
        <v>123</v>
      </c>
      <c r="W1125" t="s">
        <v>124</v>
      </c>
      <c r="X1125" t="s">
        <v>58</v>
      </c>
      <c r="Y1125">
        <v>20</v>
      </c>
      <c r="Z1125" t="s">
        <v>59</v>
      </c>
      <c r="AA1125" t="s">
        <v>59</v>
      </c>
      <c r="AB1125" t="s">
        <v>59</v>
      </c>
      <c r="AC1125" t="s">
        <v>59</v>
      </c>
      <c r="AD1125" t="s">
        <v>59</v>
      </c>
      <c r="AF1125" s="1">
        <v>38608</v>
      </c>
      <c r="AG1125" t="s">
        <v>137</v>
      </c>
      <c r="AH1125" t="s">
        <v>138</v>
      </c>
      <c r="AI1125" t="str">
        <f>"1740080"</f>
        <v>1740080</v>
      </c>
      <c r="AJ1125" t="s">
        <v>284</v>
      </c>
      <c r="AK1125">
        <v>2810220433</v>
      </c>
      <c r="AL1125" t="s">
        <v>285</v>
      </c>
      <c r="AM1125" t="s">
        <v>78</v>
      </c>
      <c r="AN1125" t="s">
        <v>78</v>
      </c>
      <c r="AO1125" t="s">
        <v>286</v>
      </c>
      <c r="AP1125" t="s">
        <v>286</v>
      </c>
      <c r="AQ1125">
        <v>12</v>
      </c>
      <c r="AR1125" t="s">
        <v>123</v>
      </c>
      <c r="AS1125" t="s">
        <v>124</v>
      </c>
      <c r="AT1125" t="s">
        <v>58</v>
      </c>
      <c r="AU1125" t="s">
        <v>68</v>
      </c>
      <c r="AV1125" t="s">
        <v>69</v>
      </c>
      <c r="AW1125" s="1">
        <v>24243</v>
      </c>
      <c r="AX1125">
        <v>2</v>
      </c>
    </row>
    <row r="1126" spans="1:50">
      <c r="A1126">
        <v>223039</v>
      </c>
      <c r="B1126" t="str">
        <f>"114567774"</f>
        <v>114567774</v>
      </c>
      <c r="C1126" t="s">
        <v>50</v>
      </c>
      <c r="D1126" t="s">
        <v>2690</v>
      </c>
      <c r="E1126" t="s">
        <v>83</v>
      </c>
      <c r="F1126" t="s">
        <v>95</v>
      </c>
      <c r="G1126" t="s">
        <v>238</v>
      </c>
      <c r="H1126" t="str">
        <f>"ΠΑΛΛΑΔΑ 11 ΗΡΑΚΛΕΙΟ"</f>
        <v>ΠΑΛΛΑΔΑ 11 ΗΡΑΚΛΕΙΟ</v>
      </c>
      <c r="I1126">
        <v>71409</v>
      </c>
      <c r="J1126">
        <v>2810238384</v>
      </c>
      <c r="K1126">
        <v>6946066771</v>
      </c>
      <c r="M1126" t="s">
        <v>2691</v>
      </c>
      <c r="N1126" t="s">
        <v>292</v>
      </c>
      <c r="O1126" t="s">
        <v>293</v>
      </c>
      <c r="R1126" t="s">
        <v>57</v>
      </c>
      <c r="S1126">
        <v>8</v>
      </c>
      <c r="T1126">
        <v>775</v>
      </c>
      <c r="U1126" s="1">
        <v>39680</v>
      </c>
      <c r="V1126" t="s">
        <v>123</v>
      </c>
      <c r="W1126" t="s">
        <v>124</v>
      </c>
      <c r="X1126" t="s">
        <v>58</v>
      </c>
      <c r="Y1126">
        <v>20</v>
      </c>
      <c r="Z1126" t="s">
        <v>59</v>
      </c>
      <c r="AA1126" t="s">
        <v>59</v>
      </c>
      <c r="AB1126" t="s">
        <v>59</v>
      </c>
      <c r="AC1126" t="s">
        <v>59</v>
      </c>
      <c r="AD1126" t="s">
        <v>59</v>
      </c>
      <c r="AF1126" s="1">
        <v>39680</v>
      </c>
      <c r="AG1126" t="s">
        <v>125</v>
      </c>
      <c r="AH1126" t="s">
        <v>126</v>
      </c>
      <c r="AI1126" t="str">
        <f>"1709010"</f>
        <v>1709010</v>
      </c>
      <c r="AJ1126" t="s">
        <v>847</v>
      </c>
      <c r="AK1126">
        <v>2894022227</v>
      </c>
      <c r="AL1126" t="s">
        <v>848</v>
      </c>
      <c r="AM1126" t="s">
        <v>78</v>
      </c>
      <c r="AN1126" t="s">
        <v>405</v>
      </c>
      <c r="AO1126" t="s">
        <v>406</v>
      </c>
      <c r="AP1126" t="s">
        <v>406</v>
      </c>
      <c r="AQ1126">
        <v>30</v>
      </c>
      <c r="AR1126" t="s">
        <v>123</v>
      </c>
      <c r="AS1126" t="s">
        <v>124</v>
      </c>
      <c r="AT1126" t="s">
        <v>58</v>
      </c>
      <c r="AU1126" t="s">
        <v>68</v>
      </c>
      <c r="AV1126" t="s">
        <v>69</v>
      </c>
      <c r="AW1126" s="1">
        <v>29047</v>
      </c>
      <c r="AX1126">
        <v>2</v>
      </c>
    </row>
    <row r="1127" spans="1:50">
      <c r="A1127">
        <v>153470</v>
      </c>
      <c r="B1127" t="str">
        <f>"079917160"</f>
        <v>079917160</v>
      </c>
      <c r="C1127" t="s">
        <v>50</v>
      </c>
      <c r="D1127" t="s">
        <v>2690</v>
      </c>
      <c r="E1127" t="s">
        <v>2692</v>
      </c>
      <c r="F1127" t="s">
        <v>166</v>
      </c>
      <c r="G1127" t="s">
        <v>290</v>
      </c>
      <c r="H1127" t="str">
        <f>"Κ. ΚΟΥΝΤΑΚΗ 30 ΦΙΛΟΘΕΗ"</f>
        <v>Κ. ΚΟΥΝΤΑΚΗ 30 ΦΙΛΟΘΕΗ</v>
      </c>
      <c r="I1127">
        <v>71409</v>
      </c>
      <c r="J1127">
        <v>2810210403</v>
      </c>
      <c r="K1127">
        <v>6942422421</v>
      </c>
      <c r="M1127" t="s">
        <v>2693</v>
      </c>
      <c r="N1127" t="s">
        <v>146</v>
      </c>
      <c r="O1127" t="s">
        <v>147</v>
      </c>
      <c r="R1127" t="s">
        <v>57</v>
      </c>
      <c r="S1127">
        <v>16</v>
      </c>
      <c r="T1127">
        <v>139</v>
      </c>
      <c r="U1127" s="1">
        <v>32366</v>
      </c>
      <c r="V1127" t="s">
        <v>123</v>
      </c>
      <c r="W1127" t="s">
        <v>124</v>
      </c>
      <c r="X1127" t="s">
        <v>58</v>
      </c>
      <c r="Y1127">
        <v>18</v>
      </c>
      <c r="Z1127" t="s">
        <v>59</v>
      </c>
      <c r="AA1127" t="s">
        <v>59</v>
      </c>
      <c r="AB1127" t="s">
        <v>59</v>
      </c>
      <c r="AC1127" t="s">
        <v>59</v>
      </c>
      <c r="AD1127" t="s">
        <v>59</v>
      </c>
      <c r="AF1127" s="1">
        <v>32391</v>
      </c>
      <c r="AG1127" t="s">
        <v>125</v>
      </c>
      <c r="AH1127" t="s">
        <v>126</v>
      </c>
      <c r="AI1127" t="str">
        <f>"1727010"</f>
        <v>1727010</v>
      </c>
      <c r="AJ1127" t="s">
        <v>618</v>
      </c>
      <c r="AK1127">
        <v>2810229231</v>
      </c>
      <c r="AL1127" t="s">
        <v>619</v>
      </c>
      <c r="AM1127" t="s">
        <v>78</v>
      </c>
      <c r="AN1127" t="s">
        <v>78</v>
      </c>
      <c r="AO1127" t="s">
        <v>286</v>
      </c>
      <c r="AP1127" t="s">
        <v>286</v>
      </c>
      <c r="AQ1127">
        <v>12</v>
      </c>
      <c r="AR1127" t="s">
        <v>123</v>
      </c>
      <c r="AS1127" t="s">
        <v>124</v>
      </c>
      <c r="AT1127" t="s">
        <v>58</v>
      </c>
      <c r="AU1127" t="s">
        <v>68</v>
      </c>
      <c r="AV1127" t="s">
        <v>69</v>
      </c>
      <c r="AW1127" s="1">
        <v>22449</v>
      </c>
      <c r="AX1127">
        <v>2</v>
      </c>
    </row>
    <row r="1128" spans="1:50">
      <c r="A1128">
        <v>223439</v>
      </c>
      <c r="B1128" t="str">
        <f>"039062238"</f>
        <v>039062238</v>
      </c>
      <c r="C1128" t="s">
        <v>105</v>
      </c>
      <c r="D1128" t="s">
        <v>2694</v>
      </c>
      <c r="E1128" t="s">
        <v>95</v>
      </c>
      <c r="F1128" t="s">
        <v>166</v>
      </c>
      <c r="G1128" t="s">
        <v>620</v>
      </c>
      <c r="H1128" t="str">
        <f>"ΤΕΝΕΔΟΥ 13 ΗΡΑΚΛΕΙΟ"</f>
        <v>ΤΕΝΕΔΟΥ 13 ΗΡΑΚΛΕΙΟ</v>
      </c>
      <c r="I1128">
        <v>71306</v>
      </c>
      <c r="J1128">
        <v>2810330827</v>
      </c>
      <c r="K1128">
        <v>6972521868</v>
      </c>
      <c r="M1128" t="s">
        <v>2695</v>
      </c>
      <c r="N1128" t="s">
        <v>232</v>
      </c>
      <c r="O1128" t="s">
        <v>233</v>
      </c>
      <c r="R1128" t="s">
        <v>57</v>
      </c>
      <c r="S1128">
        <v>8</v>
      </c>
      <c r="T1128">
        <v>775</v>
      </c>
      <c r="U1128" s="1">
        <v>39680</v>
      </c>
      <c r="V1128" t="s">
        <v>123</v>
      </c>
      <c r="W1128" t="s">
        <v>124</v>
      </c>
      <c r="X1128" t="s">
        <v>58</v>
      </c>
      <c r="Y1128">
        <v>20</v>
      </c>
      <c r="Z1128" t="s">
        <v>59</v>
      </c>
      <c r="AA1128" t="s">
        <v>59</v>
      </c>
      <c r="AB1128" t="s">
        <v>59</v>
      </c>
      <c r="AC1128" t="s">
        <v>59</v>
      </c>
      <c r="AD1128" t="s">
        <v>59</v>
      </c>
      <c r="AF1128" s="1">
        <v>39681</v>
      </c>
      <c r="AG1128" t="s">
        <v>125</v>
      </c>
      <c r="AH1128" t="s">
        <v>126</v>
      </c>
      <c r="AI1128" t="str">
        <f>"1702010"</f>
        <v>1702010</v>
      </c>
      <c r="AJ1128" t="s">
        <v>604</v>
      </c>
      <c r="AK1128">
        <v>2891022228</v>
      </c>
      <c r="AL1128" t="s">
        <v>605</v>
      </c>
      <c r="AM1128" t="s">
        <v>78</v>
      </c>
      <c r="AN1128" t="s">
        <v>276</v>
      </c>
      <c r="AO1128" t="s">
        <v>490</v>
      </c>
      <c r="AP1128" t="s">
        <v>490</v>
      </c>
      <c r="AQ1128">
        <v>15</v>
      </c>
      <c r="AR1128" t="s">
        <v>123</v>
      </c>
      <c r="AS1128" t="s">
        <v>124</v>
      </c>
      <c r="AT1128" t="s">
        <v>58</v>
      </c>
      <c r="AU1128" t="s">
        <v>68</v>
      </c>
      <c r="AV1128" t="s">
        <v>69</v>
      </c>
      <c r="AW1128" s="1">
        <v>23387</v>
      </c>
      <c r="AX1128">
        <v>2</v>
      </c>
    </row>
    <row r="1129" spans="1:50">
      <c r="A1129">
        <v>153076</v>
      </c>
      <c r="B1129" t="str">
        <f>"025963299"</f>
        <v>025963299</v>
      </c>
      <c r="C1129" t="s">
        <v>105</v>
      </c>
      <c r="D1129" t="s">
        <v>2694</v>
      </c>
      <c r="E1129" t="s">
        <v>166</v>
      </c>
      <c r="F1129" t="s">
        <v>1229</v>
      </c>
      <c r="G1129" t="s">
        <v>1358</v>
      </c>
      <c r="H1129" t="str">
        <f>"ΑΡΧΙΜΗΔΟΥΣ 45 ΝΕΑ ΑΛΙΚΑΡΝΑΣΣΟΣ"</f>
        <v>ΑΡΧΙΜΗΔΟΥΣ 45 ΝΕΑ ΑΛΙΚΑΡΝΑΣΣΟΣ</v>
      </c>
      <c r="I1129">
        <v>71601</v>
      </c>
      <c r="J1129">
        <v>2810221148</v>
      </c>
      <c r="K1129">
        <v>6977933331</v>
      </c>
      <c r="M1129" t="s">
        <v>2696</v>
      </c>
      <c r="N1129" t="s">
        <v>292</v>
      </c>
      <c r="O1129" t="s">
        <v>293</v>
      </c>
      <c r="R1129" t="s">
        <v>57</v>
      </c>
      <c r="S1129">
        <v>18</v>
      </c>
      <c r="T1129">
        <v>166</v>
      </c>
      <c r="U1129" s="1">
        <v>32010</v>
      </c>
      <c r="V1129" t="s">
        <v>123</v>
      </c>
      <c r="W1129" t="s">
        <v>124</v>
      </c>
      <c r="X1129" t="s">
        <v>58</v>
      </c>
      <c r="Y1129">
        <v>18</v>
      </c>
      <c r="Z1129" t="s">
        <v>59</v>
      </c>
      <c r="AA1129" t="s">
        <v>59</v>
      </c>
      <c r="AB1129" t="s">
        <v>59</v>
      </c>
      <c r="AC1129" t="s">
        <v>59</v>
      </c>
      <c r="AD1129" t="s">
        <v>59</v>
      </c>
      <c r="AF1129" s="1">
        <v>32023</v>
      </c>
      <c r="AG1129" t="s">
        <v>148</v>
      </c>
      <c r="AH1129" t="s">
        <v>149</v>
      </c>
      <c r="AI1129" t="str">
        <f>"1777010"</f>
        <v>1777010</v>
      </c>
      <c r="AJ1129" t="s">
        <v>612</v>
      </c>
      <c r="AK1129">
        <v>2810229220</v>
      </c>
      <c r="AL1129" t="s">
        <v>613</v>
      </c>
      <c r="AM1129" t="s">
        <v>78</v>
      </c>
      <c r="AN1129" t="s">
        <v>78</v>
      </c>
      <c r="AO1129" t="s">
        <v>286</v>
      </c>
      <c r="AP1129" t="s">
        <v>286</v>
      </c>
      <c r="AQ1129">
        <v>12</v>
      </c>
      <c r="AR1129" t="s">
        <v>123</v>
      </c>
      <c r="AS1129" t="s">
        <v>124</v>
      </c>
      <c r="AT1129" t="s">
        <v>58</v>
      </c>
      <c r="AU1129" t="s">
        <v>68</v>
      </c>
      <c r="AV1129" t="s">
        <v>69</v>
      </c>
      <c r="AW1129" s="1">
        <v>20018</v>
      </c>
      <c r="AX1129">
        <v>2</v>
      </c>
    </row>
    <row r="1130" spans="1:50">
      <c r="A1130">
        <v>206705</v>
      </c>
      <c r="B1130" t="str">
        <f>"058994940"</f>
        <v>058994940</v>
      </c>
      <c r="C1130" t="s">
        <v>50</v>
      </c>
      <c r="D1130" t="s">
        <v>2697</v>
      </c>
      <c r="E1130" t="s">
        <v>73</v>
      </c>
      <c r="F1130" t="s">
        <v>383</v>
      </c>
      <c r="G1130" t="s">
        <v>1277</v>
      </c>
      <c r="H1130" t="str">
        <f>"ΣΚΛΑΒΟΚΑΜΠΟΥ  25 ΓΑΖΙ"</f>
        <v>ΣΚΛΑΒΟΚΑΜΠΟΥ  25 ΓΑΖΙ</v>
      </c>
      <c r="I1130">
        <v>71414</v>
      </c>
      <c r="J1130">
        <v>2810824439</v>
      </c>
      <c r="K1130">
        <v>6978502066</v>
      </c>
      <c r="M1130" t="s">
        <v>2698</v>
      </c>
      <c r="N1130" t="s">
        <v>146</v>
      </c>
      <c r="O1130" t="s">
        <v>147</v>
      </c>
      <c r="R1130" t="s">
        <v>57</v>
      </c>
      <c r="S1130">
        <v>7</v>
      </c>
      <c r="T1130">
        <v>218</v>
      </c>
      <c r="U1130" s="1">
        <v>38596</v>
      </c>
      <c r="V1130" t="s">
        <v>123</v>
      </c>
      <c r="W1130" t="s">
        <v>124</v>
      </c>
      <c r="X1130" t="s">
        <v>58</v>
      </c>
      <c r="Y1130">
        <v>20</v>
      </c>
      <c r="Z1130" t="s">
        <v>59</v>
      </c>
      <c r="AA1130" t="s">
        <v>59</v>
      </c>
      <c r="AB1130" t="s">
        <v>59</v>
      </c>
      <c r="AC1130" t="s">
        <v>59</v>
      </c>
      <c r="AD1130" t="s">
        <v>59</v>
      </c>
      <c r="AF1130" s="1">
        <v>38600</v>
      </c>
      <c r="AG1130" t="s">
        <v>125</v>
      </c>
      <c r="AH1130" t="s">
        <v>126</v>
      </c>
      <c r="AI1130" t="str">
        <f>"1728010"</f>
        <v>1728010</v>
      </c>
      <c r="AJ1130" t="s">
        <v>127</v>
      </c>
      <c r="AK1130">
        <v>2810824651</v>
      </c>
      <c r="AL1130" t="s">
        <v>128</v>
      </c>
      <c r="AM1130" t="s">
        <v>78</v>
      </c>
      <c r="AN1130" t="s">
        <v>129</v>
      </c>
      <c r="AO1130" t="s">
        <v>130</v>
      </c>
      <c r="AP1130" t="s">
        <v>130</v>
      </c>
      <c r="AQ1130">
        <v>36</v>
      </c>
      <c r="AR1130" t="s">
        <v>123</v>
      </c>
      <c r="AS1130" t="s">
        <v>124</v>
      </c>
      <c r="AT1130" t="s">
        <v>58</v>
      </c>
      <c r="AU1130" t="s">
        <v>68</v>
      </c>
      <c r="AV1130" t="s">
        <v>69</v>
      </c>
      <c r="AW1130" s="1">
        <v>25481</v>
      </c>
      <c r="AX1130">
        <v>2</v>
      </c>
    </row>
    <row r="1131" spans="1:50">
      <c r="A1131">
        <v>182249</v>
      </c>
      <c r="B1131" t="str">
        <f>"110738910"</f>
        <v>110738910</v>
      </c>
      <c r="C1131" t="s">
        <v>50</v>
      </c>
      <c r="D1131" t="s">
        <v>2699</v>
      </c>
      <c r="E1131" t="s">
        <v>52</v>
      </c>
      <c r="F1131" t="s">
        <v>95</v>
      </c>
      <c r="G1131" t="s">
        <v>1553</v>
      </c>
      <c r="H1131" t="str">
        <f>"ΣΜΠΩΚΟΥ 01 ΗΡΑΚΛΕΙΟ"</f>
        <v>ΣΜΠΩΚΟΥ 01 ΗΡΑΚΛΕΙΟ</v>
      </c>
      <c r="I1131">
        <v>71306</v>
      </c>
      <c r="J1131">
        <v>2810213976</v>
      </c>
      <c r="K1131">
        <v>6944269706</v>
      </c>
      <c r="M1131" t="s">
        <v>2700</v>
      </c>
      <c r="N1131" t="s">
        <v>306</v>
      </c>
      <c r="O1131" t="s">
        <v>307</v>
      </c>
      <c r="R1131" t="s">
        <v>57</v>
      </c>
      <c r="S1131">
        <v>12</v>
      </c>
      <c r="T1131">
        <v>154</v>
      </c>
      <c r="U1131" s="1">
        <v>34225</v>
      </c>
      <c r="V1131" t="s">
        <v>123</v>
      </c>
      <c r="W1131" t="s">
        <v>124</v>
      </c>
      <c r="X1131" t="s">
        <v>58</v>
      </c>
      <c r="Y1131">
        <v>18</v>
      </c>
      <c r="Z1131" t="s">
        <v>59</v>
      </c>
      <c r="AA1131" t="s">
        <v>59</v>
      </c>
      <c r="AB1131" t="s">
        <v>59</v>
      </c>
      <c r="AC1131" t="s">
        <v>59</v>
      </c>
      <c r="AD1131" t="s">
        <v>59</v>
      </c>
      <c r="AF1131" s="1">
        <v>34226</v>
      </c>
      <c r="AG1131" t="s">
        <v>148</v>
      </c>
      <c r="AH1131" t="s">
        <v>149</v>
      </c>
      <c r="AI1131" t="str">
        <f>"1790100"</f>
        <v>1790100</v>
      </c>
      <c r="AJ1131" t="s">
        <v>252</v>
      </c>
      <c r="AK1131">
        <v>2810234876</v>
      </c>
      <c r="AL1131" t="s">
        <v>253</v>
      </c>
      <c r="AM1131" t="s">
        <v>78</v>
      </c>
      <c r="AN1131" t="s">
        <v>78</v>
      </c>
      <c r="AO1131" t="s">
        <v>78</v>
      </c>
      <c r="AP1131" t="s">
        <v>163</v>
      </c>
      <c r="AQ1131">
        <v>5</v>
      </c>
      <c r="AR1131" t="s">
        <v>123</v>
      </c>
      <c r="AS1131" t="s">
        <v>124</v>
      </c>
      <c r="AT1131" t="s">
        <v>58</v>
      </c>
      <c r="AU1131" t="s">
        <v>68</v>
      </c>
      <c r="AV1131" t="s">
        <v>69</v>
      </c>
      <c r="AW1131" s="1">
        <v>24882</v>
      </c>
      <c r="AX1131">
        <v>2</v>
      </c>
    </row>
    <row r="1132" spans="1:50">
      <c r="A1132">
        <v>177254</v>
      </c>
      <c r="B1132" t="str">
        <f>"062530540"</f>
        <v>062530540</v>
      </c>
      <c r="C1132" t="s">
        <v>50</v>
      </c>
      <c r="D1132" t="s">
        <v>2701</v>
      </c>
      <c r="E1132" t="s">
        <v>255</v>
      </c>
      <c r="F1132" t="s">
        <v>53</v>
      </c>
      <c r="G1132" t="s">
        <v>905</v>
      </c>
      <c r="H1132" t="str">
        <f>"ΠΑΠΑΝΙΚΟΛΑΟΥ 7 "</f>
        <v xml:space="preserve">ΠΑΠΑΝΙΚΟΛΑΟΥ 7 </v>
      </c>
      <c r="I1132">
        <v>71307</v>
      </c>
      <c r="J1132">
        <v>2810253038</v>
      </c>
      <c r="K1132">
        <v>6945950790</v>
      </c>
      <c r="L1132">
        <v>2810233038</v>
      </c>
      <c r="M1132" t="s">
        <v>2702</v>
      </c>
      <c r="N1132" t="s">
        <v>257</v>
      </c>
      <c r="O1132" t="s">
        <v>258</v>
      </c>
      <c r="P1132" t="s">
        <v>615</v>
      </c>
      <c r="Q1132" t="s">
        <v>616</v>
      </c>
      <c r="R1132" t="s">
        <v>57</v>
      </c>
      <c r="S1132">
        <v>12</v>
      </c>
      <c r="T1132">
        <v>180</v>
      </c>
      <c r="U1132" s="1">
        <v>35674</v>
      </c>
      <c r="V1132" t="s">
        <v>123</v>
      </c>
      <c r="W1132" t="s">
        <v>124</v>
      </c>
      <c r="X1132" t="s">
        <v>58</v>
      </c>
      <c r="Y1132">
        <v>18</v>
      </c>
      <c r="Z1132" t="s">
        <v>59</v>
      </c>
      <c r="AA1132" t="s">
        <v>59</v>
      </c>
      <c r="AB1132" t="s">
        <v>59</v>
      </c>
      <c r="AC1132" t="s">
        <v>59</v>
      </c>
      <c r="AD1132" t="s">
        <v>59</v>
      </c>
      <c r="AF1132" s="1">
        <v>35678</v>
      </c>
      <c r="AG1132" t="s">
        <v>125</v>
      </c>
      <c r="AH1132" t="s">
        <v>126</v>
      </c>
      <c r="AI1132" t="str">
        <f>"1701030"</f>
        <v>1701030</v>
      </c>
      <c r="AJ1132" t="s">
        <v>270</v>
      </c>
      <c r="AK1132">
        <v>2810361015</v>
      </c>
      <c r="AL1132" t="s">
        <v>271</v>
      </c>
      <c r="AM1132" t="s">
        <v>78</v>
      </c>
      <c r="AN1132" t="s">
        <v>78</v>
      </c>
      <c r="AO1132" t="s">
        <v>78</v>
      </c>
      <c r="AP1132" t="s">
        <v>163</v>
      </c>
      <c r="AQ1132">
        <v>2</v>
      </c>
      <c r="AR1132" t="s">
        <v>123</v>
      </c>
      <c r="AS1132" t="s">
        <v>124</v>
      </c>
      <c r="AT1132" t="s">
        <v>58</v>
      </c>
      <c r="AU1132" t="s">
        <v>68</v>
      </c>
      <c r="AV1132" t="s">
        <v>69</v>
      </c>
      <c r="AW1132" s="1">
        <v>21209</v>
      </c>
      <c r="AX1132">
        <v>2</v>
      </c>
    </row>
    <row r="1133" spans="1:50">
      <c r="B1133" t="str">
        <f>"103818899"</f>
        <v>103818899</v>
      </c>
      <c r="C1133" t="s">
        <v>50</v>
      </c>
      <c r="D1133" t="s">
        <v>2703</v>
      </c>
      <c r="E1133" t="s">
        <v>143</v>
      </c>
      <c r="F1133" t="s">
        <v>72</v>
      </c>
      <c r="G1133" t="s">
        <v>250</v>
      </c>
      <c r="H1133" t="str">
        <f>" "</f>
        <v xml:space="preserve"> </v>
      </c>
      <c r="N1133" t="s">
        <v>292</v>
      </c>
      <c r="O1133" t="s">
        <v>293</v>
      </c>
      <c r="R1133" t="s">
        <v>121</v>
      </c>
      <c r="S1133">
        <v>1</v>
      </c>
      <c r="T1133" t="s">
        <v>416</v>
      </c>
      <c r="U1133" s="1">
        <v>43349</v>
      </c>
      <c r="V1133" t="s">
        <v>123</v>
      </c>
      <c r="W1133" t="s">
        <v>124</v>
      </c>
      <c r="X1133" t="s">
        <v>58</v>
      </c>
      <c r="Y1133">
        <v>23</v>
      </c>
      <c r="Z1133" t="s">
        <v>59</v>
      </c>
      <c r="AA1133" t="s">
        <v>59</v>
      </c>
      <c r="AB1133" t="s">
        <v>59</v>
      </c>
      <c r="AD1133" t="s">
        <v>59</v>
      </c>
      <c r="AF1133" s="1">
        <v>43349</v>
      </c>
      <c r="AG1133" t="s">
        <v>125</v>
      </c>
      <c r="AH1133" t="s">
        <v>386</v>
      </c>
      <c r="AI1133" t="str">
        <f>"1741002"</f>
        <v>1741002</v>
      </c>
      <c r="AJ1133" t="s">
        <v>387</v>
      </c>
      <c r="AK1133">
        <v>2810762610</v>
      </c>
      <c r="AL1133" t="s">
        <v>388</v>
      </c>
      <c r="AM1133" t="s">
        <v>78</v>
      </c>
      <c r="AN1133" t="s">
        <v>219</v>
      </c>
      <c r="AO1133" t="s">
        <v>297</v>
      </c>
      <c r="AP1133" t="s">
        <v>297</v>
      </c>
      <c r="AQ1133">
        <v>10</v>
      </c>
      <c r="AR1133" t="s">
        <v>123</v>
      </c>
      <c r="AS1133" t="s">
        <v>124</v>
      </c>
      <c r="AT1133" t="s">
        <v>58</v>
      </c>
      <c r="AU1133" t="s">
        <v>419</v>
      </c>
      <c r="AV1133" t="s">
        <v>132</v>
      </c>
      <c r="AW1133" s="1">
        <v>29120</v>
      </c>
      <c r="AX1133">
        <v>2</v>
      </c>
    </row>
    <row r="1134" spans="1:50">
      <c r="A1134">
        <v>215940</v>
      </c>
      <c r="B1134" t="str">
        <f>"114271569"</f>
        <v>114271569</v>
      </c>
      <c r="C1134" t="s">
        <v>50</v>
      </c>
      <c r="D1134" t="s">
        <v>2704</v>
      </c>
      <c r="E1134" t="s">
        <v>143</v>
      </c>
      <c r="F1134" t="s">
        <v>95</v>
      </c>
      <c r="G1134" t="s">
        <v>83</v>
      </c>
      <c r="H1134" t="str">
        <f>" "</f>
        <v xml:space="preserve"> </v>
      </c>
      <c r="J1134">
        <v>2810861239</v>
      </c>
      <c r="K1134">
        <v>6972318571</v>
      </c>
      <c r="M1134" t="s">
        <v>2705</v>
      </c>
      <c r="N1134" t="s">
        <v>331</v>
      </c>
      <c r="O1134" t="s">
        <v>332</v>
      </c>
      <c r="R1134" t="s">
        <v>57</v>
      </c>
      <c r="S1134">
        <v>8</v>
      </c>
      <c r="T1134">
        <v>232</v>
      </c>
      <c r="U1134" s="1">
        <v>38960</v>
      </c>
      <c r="V1134" t="s">
        <v>123</v>
      </c>
      <c r="W1134" t="s">
        <v>124</v>
      </c>
      <c r="X1134" t="s">
        <v>58</v>
      </c>
      <c r="Y1134">
        <v>20</v>
      </c>
      <c r="Z1134" t="s">
        <v>59</v>
      </c>
      <c r="AA1134" t="s">
        <v>59</v>
      </c>
      <c r="AB1134" t="s">
        <v>59</v>
      </c>
      <c r="AC1134" t="s">
        <v>59</v>
      </c>
      <c r="AD1134" t="s">
        <v>59</v>
      </c>
      <c r="AF1134" s="1">
        <v>38964</v>
      </c>
      <c r="AG1134" t="s">
        <v>125</v>
      </c>
      <c r="AH1134" t="s">
        <v>126</v>
      </c>
      <c r="AI1134" t="str">
        <f>"1701051"</f>
        <v>1701051</v>
      </c>
      <c r="AJ1134" t="s">
        <v>443</v>
      </c>
      <c r="AK1134">
        <v>2810325815</v>
      </c>
      <c r="AL1134" t="s">
        <v>444</v>
      </c>
      <c r="AM1134" t="s">
        <v>78</v>
      </c>
      <c r="AN1134" t="s">
        <v>78</v>
      </c>
      <c r="AO1134" t="s">
        <v>78</v>
      </c>
      <c r="AP1134" t="s">
        <v>163</v>
      </c>
      <c r="AQ1134">
        <v>5</v>
      </c>
      <c r="AR1134" t="s">
        <v>123</v>
      </c>
      <c r="AS1134" t="s">
        <v>124</v>
      </c>
      <c r="AT1134" t="s">
        <v>58</v>
      </c>
      <c r="AU1134" t="s">
        <v>68</v>
      </c>
      <c r="AV1134" t="s">
        <v>69</v>
      </c>
      <c r="AW1134" s="1">
        <v>29076</v>
      </c>
      <c r="AX1134">
        <v>2</v>
      </c>
    </row>
    <row r="1135" spans="1:50">
      <c r="A1135">
        <v>152898</v>
      </c>
      <c r="B1135" t="str">
        <f>"064114090"</f>
        <v>064114090</v>
      </c>
      <c r="C1135" t="s">
        <v>50</v>
      </c>
      <c r="D1135" t="s">
        <v>2704</v>
      </c>
      <c r="E1135" t="s">
        <v>109</v>
      </c>
      <c r="F1135" t="s">
        <v>84</v>
      </c>
      <c r="G1135" t="s">
        <v>83</v>
      </c>
      <c r="H1135" t="str">
        <f>"ΘΕΝΩΝ 26 ΗΡΑΚΛΕΙΟ"</f>
        <v>ΘΕΝΩΝ 26 ΗΡΑΚΛΕΙΟ</v>
      </c>
      <c r="J1135">
        <v>2810311791</v>
      </c>
      <c r="N1135" t="s">
        <v>146</v>
      </c>
      <c r="O1135" t="s">
        <v>147</v>
      </c>
      <c r="R1135" t="s">
        <v>57</v>
      </c>
      <c r="S1135">
        <v>16</v>
      </c>
      <c r="T1135">
        <v>166</v>
      </c>
      <c r="U1135" s="1">
        <v>32010</v>
      </c>
      <c r="V1135" t="s">
        <v>123</v>
      </c>
      <c r="W1135" t="s">
        <v>124</v>
      </c>
      <c r="X1135" t="s">
        <v>58</v>
      </c>
      <c r="Y1135">
        <v>18</v>
      </c>
      <c r="Z1135" t="s">
        <v>59</v>
      </c>
      <c r="AA1135" t="s">
        <v>59</v>
      </c>
      <c r="AB1135" t="s">
        <v>59</v>
      </c>
      <c r="AC1135" t="s">
        <v>59</v>
      </c>
      <c r="AD1135" t="s">
        <v>59</v>
      </c>
      <c r="AF1135" s="1">
        <v>32023</v>
      </c>
      <c r="AG1135" t="s">
        <v>148</v>
      </c>
      <c r="AH1135" t="s">
        <v>149</v>
      </c>
      <c r="AI1135" t="str">
        <f>"1751020"</f>
        <v>1751020</v>
      </c>
      <c r="AJ1135" t="s">
        <v>532</v>
      </c>
      <c r="AK1135">
        <v>2810372732</v>
      </c>
      <c r="AL1135" t="s">
        <v>533</v>
      </c>
      <c r="AM1135" t="s">
        <v>78</v>
      </c>
      <c r="AN1135" t="s">
        <v>78</v>
      </c>
      <c r="AO1135" t="s">
        <v>78</v>
      </c>
      <c r="AP1135" t="s">
        <v>163</v>
      </c>
      <c r="AQ1135">
        <v>3</v>
      </c>
      <c r="AR1135" t="s">
        <v>123</v>
      </c>
      <c r="AS1135" t="s">
        <v>124</v>
      </c>
      <c r="AT1135" t="s">
        <v>58</v>
      </c>
      <c r="AU1135" t="s">
        <v>68</v>
      </c>
      <c r="AV1135" t="s">
        <v>69</v>
      </c>
      <c r="AW1135" s="1">
        <v>20546</v>
      </c>
      <c r="AX1135">
        <v>2</v>
      </c>
    </row>
    <row r="1136" spans="1:50">
      <c r="A1136">
        <v>149659</v>
      </c>
      <c r="B1136" t="str">
        <f>"032355721"</f>
        <v>032355721</v>
      </c>
      <c r="C1136" t="s">
        <v>105</v>
      </c>
      <c r="D1136" t="s">
        <v>2706</v>
      </c>
      <c r="E1136" t="s">
        <v>99</v>
      </c>
      <c r="F1136" t="s">
        <v>95</v>
      </c>
      <c r="G1136" t="s">
        <v>566</v>
      </c>
      <c r="H1136" t="str">
        <f>"ΔΡΥΜΗΤΙΝΟΥ 1-3 ΗΡΑΚΛΕΙΟΥ"</f>
        <v>ΔΡΥΜΗΤΙΝΟΥ 1-3 ΗΡΑΚΛΕΙΟΥ</v>
      </c>
      <c r="I1136">
        <v>71305</v>
      </c>
      <c r="J1136">
        <v>2810791295</v>
      </c>
      <c r="K1136">
        <v>6953046718</v>
      </c>
      <c r="L1136">
        <v>2813012235</v>
      </c>
      <c r="M1136" t="s">
        <v>2707</v>
      </c>
      <c r="N1136" t="s">
        <v>157</v>
      </c>
      <c r="O1136" t="s">
        <v>158</v>
      </c>
      <c r="R1136" t="s">
        <v>57</v>
      </c>
      <c r="S1136">
        <v>15</v>
      </c>
      <c r="T1136">
        <v>228</v>
      </c>
      <c r="U1136" s="1">
        <v>31684</v>
      </c>
      <c r="V1136" t="s">
        <v>123</v>
      </c>
      <c r="W1136" t="s">
        <v>124</v>
      </c>
      <c r="X1136" t="s">
        <v>58</v>
      </c>
      <c r="Y1136">
        <v>18</v>
      </c>
      <c r="Z1136" t="s">
        <v>59</v>
      </c>
      <c r="AA1136" t="s">
        <v>59</v>
      </c>
      <c r="AB1136" t="s">
        <v>59</v>
      </c>
      <c r="AC1136" t="s">
        <v>59</v>
      </c>
      <c r="AD1136" t="s">
        <v>59</v>
      </c>
      <c r="AF1136" s="1">
        <v>31695</v>
      </c>
      <c r="AG1136" t="s">
        <v>125</v>
      </c>
      <c r="AH1136" t="s">
        <v>126</v>
      </c>
      <c r="AI1136" t="str">
        <f>"1701041"</f>
        <v>1701041</v>
      </c>
      <c r="AJ1136" t="s">
        <v>161</v>
      </c>
      <c r="AK1136">
        <v>2810327052</v>
      </c>
      <c r="AL1136" t="s">
        <v>162</v>
      </c>
      <c r="AM1136" t="s">
        <v>78</v>
      </c>
      <c r="AN1136" t="s">
        <v>78</v>
      </c>
      <c r="AO1136" t="s">
        <v>78</v>
      </c>
      <c r="AP1136" t="s">
        <v>163</v>
      </c>
      <c r="AQ1136">
        <v>5</v>
      </c>
      <c r="AR1136" t="s">
        <v>123</v>
      </c>
      <c r="AS1136" t="s">
        <v>124</v>
      </c>
      <c r="AT1136" t="s">
        <v>58</v>
      </c>
      <c r="AU1136" t="s">
        <v>68</v>
      </c>
      <c r="AV1136" t="s">
        <v>69</v>
      </c>
      <c r="AW1136" s="1">
        <v>21877</v>
      </c>
      <c r="AX1136">
        <v>2</v>
      </c>
    </row>
    <row r="1137" spans="1:50">
      <c r="A1137">
        <v>163610</v>
      </c>
      <c r="B1137" t="str">
        <f>"023155320"</f>
        <v>023155320</v>
      </c>
      <c r="C1137" t="s">
        <v>50</v>
      </c>
      <c r="D1137" t="s">
        <v>2708</v>
      </c>
      <c r="E1137" t="s">
        <v>2709</v>
      </c>
      <c r="F1137" t="s">
        <v>1516</v>
      </c>
      <c r="G1137" t="s">
        <v>494</v>
      </c>
      <c r="H1137" t="str">
        <f>" "</f>
        <v xml:space="preserve"> </v>
      </c>
      <c r="M1137" t="s">
        <v>2710</v>
      </c>
      <c r="N1137" t="s">
        <v>337</v>
      </c>
      <c r="O1137" t="s">
        <v>338</v>
      </c>
      <c r="R1137" t="s">
        <v>57</v>
      </c>
      <c r="S1137">
        <v>13</v>
      </c>
      <c r="T1137">
        <v>96</v>
      </c>
      <c r="U1137" s="1">
        <v>33393</v>
      </c>
      <c r="V1137" t="s">
        <v>123</v>
      </c>
      <c r="W1137" t="s">
        <v>124</v>
      </c>
      <c r="X1137" t="s">
        <v>58</v>
      </c>
      <c r="Y1137">
        <v>18</v>
      </c>
      <c r="Z1137" t="s">
        <v>59</v>
      </c>
      <c r="AA1137" t="s">
        <v>59</v>
      </c>
      <c r="AB1137" t="s">
        <v>59</v>
      </c>
      <c r="AC1137" t="s">
        <v>59</v>
      </c>
      <c r="AD1137" t="s">
        <v>59</v>
      </c>
      <c r="AF1137" s="1">
        <v>33485</v>
      </c>
      <c r="AG1137" t="s">
        <v>125</v>
      </c>
      <c r="AH1137" t="s">
        <v>126</v>
      </c>
      <c r="AI1137" t="str">
        <f>"1701054"</f>
        <v>1701054</v>
      </c>
      <c r="AJ1137" t="s">
        <v>318</v>
      </c>
      <c r="AK1137">
        <v>2810252418</v>
      </c>
      <c r="AL1137" t="s">
        <v>319</v>
      </c>
      <c r="AM1137" t="s">
        <v>78</v>
      </c>
      <c r="AN1137" t="s">
        <v>78</v>
      </c>
      <c r="AO1137" t="s">
        <v>78</v>
      </c>
      <c r="AP1137" t="s">
        <v>141</v>
      </c>
      <c r="AQ1137">
        <v>7</v>
      </c>
      <c r="AR1137" t="s">
        <v>123</v>
      </c>
      <c r="AS1137" t="s">
        <v>124</v>
      </c>
      <c r="AT1137" t="s">
        <v>58</v>
      </c>
      <c r="AU1137" t="s">
        <v>68</v>
      </c>
      <c r="AV1137" t="s">
        <v>69</v>
      </c>
      <c r="AW1137" s="1">
        <v>23611</v>
      </c>
      <c r="AX1137">
        <v>2</v>
      </c>
    </row>
    <row r="1138" spans="1:50">
      <c r="A1138">
        <v>188359</v>
      </c>
      <c r="B1138" t="str">
        <f>"035950367"</f>
        <v>035950367</v>
      </c>
      <c r="C1138" t="s">
        <v>105</v>
      </c>
      <c r="D1138" t="s">
        <v>2711</v>
      </c>
      <c r="E1138" t="s">
        <v>166</v>
      </c>
      <c r="F1138" t="s">
        <v>202</v>
      </c>
      <c r="G1138" t="s">
        <v>52</v>
      </c>
      <c r="H1138" t="str">
        <f>" "</f>
        <v xml:space="preserve"> </v>
      </c>
      <c r="J1138">
        <v>2810315236</v>
      </c>
      <c r="K1138">
        <v>6942239141</v>
      </c>
      <c r="M1138" t="s">
        <v>2712</v>
      </c>
      <c r="N1138" t="s">
        <v>204</v>
      </c>
      <c r="O1138" t="s">
        <v>205</v>
      </c>
      <c r="P1138" t="s">
        <v>2713</v>
      </c>
      <c r="Q1138" t="s">
        <v>2714</v>
      </c>
      <c r="R1138" t="s">
        <v>57</v>
      </c>
      <c r="S1138">
        <v>9</v>
      </c>
      <c r="T1138">
        <v>251</v>
      </c>
      <c r="U1138" s="1">
        <v>36769</v>
      </c>
      <c r="V1138" t="s">
        <v>123</v>
      </c>
      <c r="W1138" t="s">
        <v>124</v>
      </c>
      <c r="X1138" t="s">
        <v>58</v>
      </c>
      <c r="Y1138">
        <v>20</v>
      </c>
      <c r="Z1138" t="s">
        <v>59</v>
      </c>
      <c r="AA1138" t="s">
        <v>59</v>
      </c>
      <c r="AB1138" t="s">
        <v>59</v>
      </c>
      <c r="AC1138" t="s">
        <v>59</v>
      </c>
      <c r="AD1138" t="s">
        <v>59</v>
      </c>
      <c r="AF1138" s="1">
        <v>36773</v>
      </c>
      <c r="AG1138" t="s">
        <v>137</v>
      </c>
      <c r="AH1138" t="s">
        <v>138</v>
      </c>
      <c r="AI1138" t="str">
        <f>"1740080"</f>
        <v>1740080</v>
      </c>
      <c r="AJ1138" t="s">
        <v>284</v>
      </c>
      <c r="AK1138">
        <v>2810220433</v>
      </c>
      <c r="AL1138" t="s">
        <v>285</v>
      </c>
      <c r="AM1138" t="s">
        <v>78</v>
      </c>
      <c r="AN1138" t="s">
        <v>78</v>
      </c>
      <c r="AO1138" t="s">
        <v>286</v>
      </c>
      <c r="AP1138" t="s">
        <v>286</v>
      </c>
      <c r="AQ1138">
        <v>12</v>
      </c>
      <c r="AR1138" t="s">
        <v>123</v>
      </c>
      <c r="AS1138" t="s">
        <v>124</v>
      </c>
      <c r="AT1138" t="s">
        <v>58</v>
      </c>
      <c r="AU1138" t="s">
        <v>68</v>
      </c>
      <c r="AV1138" t="s">
        <v>69</v>
      </c>
      <c r="AW1138" s="1">
        <v>25567</v>
      </c>
      <c r="AX1138">
        <v>2</v>
      </c>
    </row>
    <row r="1139" spans="1:50">
      <c r="A1139">
        <v>174567</v>
      </c>
      <c r="B1139" t="str">
        <f>"025029568"</f>
        <v>025029568</v>
      </c>
      <c r="C1139" t="s">
        <v>105</v>
      </c>
      <c r="D1139" t="s">
        <v>2715</v>
      </c>
      <c r="E1139" t="s">
        <v>95</v>
      </c>
      <c r="F1139" t="s">
        <v>315</v>
      </c>
      <c r="G1139" t="s">
        <v>237</v>
      </c>
      <c r="H1139" t="str">
        <f>" ΑΡΓΥΡΟΚΑΣΤΡΟΥ 87 "</f>
        <v xml:space="preserve"> ΑΡΓΥΡΟΚΑΣΤΡΟΥ 87 </v>
      </c>
      <c r="I1139">
        <v>71307</v>
      </c>
      <c r="J1139">
        <v>2810220170</v>
      </c>
      <c r="K1139">
        <v>6973053345</v>
      </c>
      <c r="M1139" t="s">
        <v>2716</v>
      </c>
      <c r="N1139" t="s">
        <v>189</v>
      </c>
      <c r="O1139" t="s">
        <v>190</v>
      </c>
      <c r="P1139" t="s">
        <v>615</v>
      </c>
      <c r="Q1139" t="s">
        <v>616</v>
      </c>
      <c r="R1139" t="s">
        <v>57</v>
      </c>
      <c r="S1139">
        <v>16</v>
      </c>
      <c r="T1139">
        <v>166</v>
      </c>
      <c r="U1139" s="1">
        <v>35300</v>
      </c>
      <c r="V1139" t="s">
        <v>123</v>
      </c>
      <c r="W1139" t="s">
        <v>124</v>
      </c>
      <c r="X1139" t="s">
        <v>58</v>
      </c>
      <c r="Y1139">
        <v>18</v>
      </c>
      <c r="Z1139" t="s">
        <v>59</v>
      </c>
      <c r="AA1139" t="s">
        <v>59</v>
      </c>
      <c r="AB1139" t="s">
        <v>59</v>
      </c>
      <c r="AC1139" t="s">
        <v>59</v>
      </c>
      <c r="AD1139" t="s">
        <v>59</v>
      </c>
      <c r="AF1139" s="1">
        <v>35310</v>
      </c>
      <c r="AG1139" t="s">
        <v>125</v>
      </c>
      <c r="AH1139" t="s">
        <v>126</v>
      </c>
      <c r="AI1139" t="str">
        <f>"1701030"</f>
        <v>1701030</v>
      </c>
      <c r="AJ1139" t="s">
        <v>270</v>
      </c>
      <c r="AK1139">
        <v>2810361015</v>
      </c>
      <c r="AL1139" t="s">
        <v>271</v>
      </c>
      <c r="AM1139" t="s">
        <v>78</v>
      </c>
      <c r="AN1139" t="s">
        <v>78</v>
      </c>
      <c r="AO1139" t="s">
        <v>78</v>
      </c>
      <c r="AP1139" t="s">
        <v>163</v>
      </c>
      <c r="AQ1139">
        <v>2</v>
      </c>
      <c r="AR1139" t="s">
        <v>123</v>
      </c>
      <c r="AS1139" t="s">
        <v>124</v>
      </c>
      <c r="AT1139" t="s">
        <v>58</v>
      </c>
      <c r="AU1139" t="s">
        <v>68</v>
      </c>
      <c r="AV1139" t="s">
        <v>69</v>
      </c>
      <c r="AW1139" s="1">
        <v>21082</v>
      </c>
      <c r="AX1139">
        <v>2</v>
      </c>
    </row>
    <row r="1140" spans="1:50">
      <c r="B1140" t="str">
        <f>"144304125"</f>
        <v>144304125</v>
      </c>
      <c r="C1140" t="s">
        <v>50</v>
      </c>
      <c r="D1140" t="s">
        <v>2717</v>
      </c>
      <c r="E1140" t="s">
        <v>52</v>
      </c>
      <c r="F1140" t="s">
        <v>95</v>
      </c>
      <c r="G1140" t="s">
        <v>2061</v>
      </c>
      <c r="H1140" t="str">
        <f>" "</f>
        <v xml:space="preserve"> </v>
      </c>
      <c r="K1140">
        <v>6948050117</v>
      </c>
      <c r="N1140" t="s">
        <v>500</v>
      </c>
      <c r="O1140" t="s">
        <v>501</v>
      </c>
      <c r="R1140" t="s">
        <v>159</v>
      </c>
      <c r="S1140">
        <v>1</v>
      </c>
      <c r="T1140" t="s">
        <v>344</v>
      </c>
      <c r="U1140" s="1">
        <v>43348</v>
      </c>
      <c r="V1140" t="s">
        <v>123</v>
      </c>
      <c r="W1140" t="s">
        <v>124</v>
      </c>
      <c r="X1140" t="s">
        <v>58</v>
      </c>
      <c r="Y1140">
        <v>23</v>
      </c>
      <c r="Z1140" t="s">
        <v>59</v>
      </c>
      <c r="AA1140" t="s">
        <v>59</v>
      </c>
      <c r="AB1140" t="s">
        <v>59</v>
      </c>
      <c r="AD1140" t="s">
        <v>59</v>
      </c>
      <c r="AF1140" s="1">
        <v>43348</v>
      </c>
      <c r="AG1140" t="s">
        <v>125</v>
      </c>
      <c r="AH1140" t="s">
        <v>126</v>
      </c>
      <c r="AI1140" t="str">
        <f>"1727010"</f>
        <v>1727010</v>
      </c>
      <c r="AJ1140" t="s">
        <v>618</v>
      </c>
      <c r="AK1140">
        <v>2810229231</v>
      </c>
      <c r="AL1140" t="s">
        <v>619</v>
      </c>
      <c r="AM1140" t="s">
        <v>78</v>
      </c>
      <c r="AN1140" t="s">
        <v>78</v>
      </c>
      <c r="AO1140" t="s">
        <v>286</v>
      </c>
      <c r="AP1140" t="s">
        <v>286</v>
      </c>
      <c r="AQ1140">
        <v>12</v>
      </c>
      <c r="AR1140" t="s">
        <v>123</v>
      </c>
      <c r="AS1140" t="s">
        <v>124</v>
      </c>
      <c r="AT1140" t="s">
        <v>58</v>
      </c>
      <c r="AU1140" t="s">
        <v>350</v>
      </c>
      <c r="AV1140" t="s">
        <v>132</v>
      </c>
      <c r="AW1140" s="1">
        <v>32056</v>
      </c>
      <c r="AX1140">
        <v>2</v>
      </c>
    </row>
    <row r="1141" spans="1:50">
      <c r="A1141">
        <v>145733</v>
      </c>
      <c r="B1141" t="str">
        <f>"026786400"</f>
        <v>026786400</v>
      </c>
      <c r="C1141" t="s">
        <v>50</v>
      </c>
      <c r="D1141" t="s">
        <v>2718</v>
      </c>
      <c r="E1141" t="s">
        <v>83</v>
      </c>
      <c r="F1141" t="s">
        <v>95</v>
      </c>
      <c r="G1141" t="s">
        <v>2719</v>
      </c>
      <c r="H1141" t="str">
        <f>"ΑΓΙΑΣ ΛΑΥΡΑΣ  4 ΠΟΡΟΣ"</f>
        <v>ΑΓΙΑΣ ΛΑΥΡΑΣ  4 ΠΟΡΟΣ</v>
      </c>
      <c r="I1141">
        <v>71307</v>
      </c>
      <c r="J1141">
        <v>2810245386</v>
      </c>
      <c r="K1141">
        <v>6944732852</v>
      </c>
      <c r="M1141" t="s">
        <v>2720</v>
      </c>
      <c r="N1141" t="s">
        <v>146</v>
      </c>
      <c r="O1141" t="s">
        <v>147</v>
      </c>
      <c r="R1141" t="s">
        <v>57</v>
      </c>
      <c r="S1141">
        <v>16</v>
      </c>
      <c r="T1141">
        <v>237</v>
      </c>
      <c r="U1141" s="1">
        <v>31293</v>
      </c>
      <c r="V1141" t="s">
        <v>123</v>
      </c>
      <c r="W1141" t="s">
        <v>124</v>
      </c>
      <c r="X1141" t="s">
        <v>58</v>
      </c>
      <c r="Y1141">
        <v>18</v>
      </c>
      <c r="Z1141" t="s">
        <v>59</v>
      </c>
      <c r="AA1141" t="s">
        <v>59</v>
      </c>
      <c r="AB1141" t="s">
        <v>59</v>
      </c>
      <c r="AC1141" t="s">
        <v>59</v>
      </c>
      <c r="AD1141" t="s">
        <v>59</v>
      </c>
      <c r="AF1141" s="1">
        <v>31303</v>
      </c>
      <c r="AG1141" t="s">
        <v>148</v>
      </c>
      <c r="AH1141" t="s">
        <v>149</v>
      </c>
      <c r="AI1141" t="str">
        <f>"1777010"</f>
        <v>1777010</v>
      </c>
      <c r="AJ1141" t="s">
        <v>612</v>
      </c>
      <c r="AK1141">
        <v>2810229220</v>
      </c>
      <c r="AL1141" t="s">
        <v>613</v>
      </c>
      <c r="AM1141" t="s">
        <v>78</v>
      </c>
      <c r="AN1141" t="s">
        <v>78</v>
      </c>
      <c r="AO1141" t="s">
        <v>286</v>
      </c>
      <c r="AP1141" t="s">
        <v>286</v>
      </c>
      <c r="AQ1141">
        <v>12</v>
      </c>
      <c r="AR1141" t="s">
        <v>123</v>
      </c>
      <c r="AS1141" t="s">
        <v>124</v>
      </c>
      <c r="AT1141" t="s">
        <v>58</v>
      </c>
      <c r="AU1141" t="s">
        <v>68</v>
      </c>
      <c r="AV1141" t="s">
        <v>69</v>
      </c>
      <c r="AW1141" s="1">
        <v>21458</v>
      </c>
      <c r="AX1141">
        <v>2</v>
      </c>
    </row>
    <row r="1142" spans="1:50">
      <c r="A1142">
        <v>213255</v>
      </c>
      <c r="B1142" t="str">
        <f>"047216176"</f>
        <v>047216176</v>
      </c>
      <c r="C1142" t="s">
        <v>50</v>
      </c>
      <c r="D1142" t="s">
        <v>2721</v>
      </c>
      <c r="E1142" t="s">
        <v>801</v>
      </c>
      <c r="F1142" t="s">
        <v>95</v>
      </c>
      <c r="G1142" t="s">
        <v>2722</v>
      </c>
      <c r="H1142" t="str">
        <f>"ΝΤΑΛΙΑΝΗ 27 "</f>
        <v xml:space="preserve">ΝΤΑΛΙΑΝΗ 27 </v>
      </c>
      <c r="I1142">
        <v>71306</v>
      </c>
      <c r="J1142">
        <v>2810286940</v>
      </c>
      <c r="K1142">
        <v>6977173284</v>
      </c>
      <c r="M1142" t="s">
        <v>2723</v>
      </c>
      <c r="N1142" t="s">
        <v>232</v>
      </c>
      <c r="O1142" t="s">
        <v>233</v>
      </c>
      <c r="R1142" t="s">
        <v>57</v>
      </c>
      <c r="S1142">
        <v>7</v>
      </c>
      <c r="T1142">
        <v>231</v>
      </c>
      <c r="U1142" s="1">
        <v>38960</v>
      </c>
      <c r="V1142" t="s">
        <v>123</v>
      </c>
      <c r="W1142" t="s">
        <v>124</v>
      </c>
      <c r="X1142" t="s">
        <v>58</v>
      </c>
      <c r="Y1142">
        <v>20</v>
      </c>
      <c r="Z1142" t="s">
        <v>59</v>
      </c>
      <c r="AA1142" t="s">
        <v>59</v>
      </c>
      <c r="AB1142" t="s">
        <v>59</v>
      </c>
      <c r="AC1142" t="s">
        <v>59</v>
      </c>
      <c r="AD1142" t="s">
        <v>59</v>
      </c>
      <c r="AF1142" s="1">
        <v>38961</v>
      </c>
      <c r="AG1142" t="s">
        <v>125</v>
      </c>
      <c r="AH1142" t="s">
        <v>126</v>
      </c>
      <c r="AI1142" t="str">
        <f>"1701030"</f>
        <v>1701030</v>
      </c>
      <c r="AJ1142" t="s">
        <v>270</v>
      </c>
      <c r="AK1142">
        <v>2810361015</v>
      </c>
      <c r="AL1142" t="s">
        <v>271</v>
      </c>
      <c r="AM1142" t="s">
        <v>78</v>
      </c>
      <c r="AN1142" t="s">
        <v>78</v>
      </c>
      <c r="AO1142" t="s">
        <v>78</v>
      </c>
      <c r="AP1142" t="s">
        <v>163</v>
      </c>
      <c r="AQ1142">
        <v>2</v>
      </c>
      <c r="AR1142" t="s">
        <v>123</v>
      </c>
      <c r="AS1142" t="s">
        <v>124</v>
      </c>
      <c r="AT1142" t="s">
        <v>58</v>
      </c>
      <c r="AU1142" t="s">
        <v>68</v>
      </c>
      <c r="AV1142" t="s">
        <v>357</v>
      </c>
      <c r="AW1142" s="1">
        <v>25182</v>
      </c>
      <c r="AX1142">
        <v>2</v>
      </c>
    </row>
    <row r="1143" spans="1:50">
      <c r="A1143">
        <v>147891</v>
      </c>
      <c r="B1143" t="str">
        <f>"063609144"</f>
        <v>063609144</v>
      </c>
      <c r="C1143" t="s">
        <v>50</v>
      </c>
      <c r="D1143" t="s">
        <v>2724</v>
      </c>
      <c r="E1143" t="s">
        <v>181</v>
      </c>
      <c r="F1143" t="s">
        <v>99</v>
      </c>
      <c r="G1143" t="s">
        <v>2725</v>
      </c>
      <c r="H1143" t="str">
        <f>"ΣΗΦΑΚΑ 82 ΗΡΑΚΛΕΙΟΥ"</f>
        <v>ΣΗΦΑΚΑ 82 ΗΡΑΚΛΕΙΟΥ</v>
      </c>
      <c r="I1143">
        <v>71306</v>
      </c>
      <c r="J1143">
        <v>2810320323</v>
      </c>
      <c r="K1143">
        <v>6986153234</v>
      </c>
      <c r="M1143" t="s">
        <v>2726</v>
      </c>
      <c r="N1143" t="s">
        <v>176</v>
      </c>
      <c r="O1143" t="s">
        <v>177</v>
      </c>
      <c r="R1143" t="s">
        <v>57</v>
      </c>
      <c r="S1143">
        <v>16</v>
      </c>
      <c r="T1143">
        <v>237</v>
      </c>
      <c r="U1143" s="1">
        <v>31293</v>
      </c>
      <c r="V1143" t="s">
        <v>123</v>
      </c>
      <c r="W1143" t="s">
        <v>124</v>
      </c>
      <c r="X1143" t="s">
        <v>58</v>
      </c>
      <c r="Y1143">
        <v>18</v>
      </c>
      <c r="Z1143" t="s">
        <v>59</v>
      </c>
      <c r="AA1143" t="s">
        <v>59</v>
      </c>
      <c r="AB1143" t="s">
        <v>59</v>
      </c>
      <c r="AC1143" t="s">
        <v>59</v>
      </c>
      <c r="AD1143" t="s">
        <v>59</v>
      </c>
      <c r="AF1143" s="1">
        <v>31303</v>
      </c>
      <c r="AG1143" t="s">
        <v>125</v>
      </c>
      <c r="AH1143" t="s">
        <v>126</v>
      </c>
      <c r="AI1143" t="str">
        <f>"1701053"</f>
        <v>1701053</v>
      </c>
      <c r="AJ1143" t="s">
        <v>398</v>
      </c>
      <c r="AK1143">
        <v>2810251434</v>
      </c>
      <c r="AL1143" t="s">
        <v>399</v>
      </c>
      <c r="AM1143" t="s">
        <v>78</v>
      </c>
      <c r="AN1143" t="s">
        <v>78</v>
      </c>
      <c r="AO1143" t="s">
        <v>78</v>
      </c>
      <c r="AP1143" t="s">
        <v>141</v>
      </c>
      <c r="AQ1143">
        <v>7</v>
      </c>
      <c r="AR1143" t="s">
        <v>123</v>
      </c>
      <c r="AS1143" t="s">
        <v>124</v>
      </c>
      <c r="AT1143" t="s">
        <v>58</v>
      </c>
      <c r="AU1143" t="s">
        <v>68</v>
      </c>
      <c r="AV1143" t="s">
        <v>69</v>
      </c>
      <c r="AW1143" s="1">
        <v>21736</v>
      </c>
      <c r="AX1143">
        <v>2</v>
      </c>
    </row>
    <row r="1144" spans="1:50">
      <c r="A1144">
        <v>162327</v>
      </c>
      <c r="B1144" t="str">
        <f>"034149540"</f>
        <v>034149540</v>
      </c>
      <c r="C1144" t="s">
        <v>50</v>
      </c>
      <c r="D1144" t="s">
        <v>2727</v>
      </c>
      <c r="E1144" t="s">
        <v>237</v>
      </c>
      <c r="F1144" t="s">
        <v>72</v>
      </c>
      <c r="G1144" t="s">
        <v>52</v>
      </c>
      <c r="H1144" t="str">
        <f>"ΕΟΚ 52 ΜΑΣΤΑΜΠΑΣ"</f>
        <v>ΕΟΚ 52 ΜΑΣΤΑΜΠΑΣ</v>
      </c>
      <c r="I1144">
        <v>71305</v>
      </c>
      <c r="J1144">
        <v>2810262477</v>
      </c>
      <c r="N1144" t="s">
        <v>146</v>
      </c>
      <c r="O1144" t="s">
        <v>147</v>
      </c>
      <c r="R1144" t="s">
        <v>57</v>
      </c>
      <c r="S1144">
        <v>17</v>
      </c>
      <c r="T1144">
        <v>132</v>
      </c>
      <c r="U1144" s="1">
        <v>33456</v>
      </c>
      <c r="V1144" t="s">
        <v>123</v>
      </c>
      <c r="W1144" t="s">
        <v>124</v>
      </c>
      <c r="X1144" t="s">
        <v>58</v>
      </c>
      <c r="Y1144">
        <v>18</v>
      </c>
      <c r="Z1144" t="s">
        <v>59</v>
      </c>
      <c r="AA1144" t="s">
        <v>59</v>
      </c>
      <c r="AB1144" t="s">
        <v>59</v>
      </c>
      <c r="AC1144" t="s">
        <v>59</v>
      </c>
      <c r="AD1144" t="s">
        <v>59</v>
      </c>
      <c r="AF1144" s="1">
        <v>33487</v>
      </c>
      <c r="AG1144" t="s">
        <v>148</v>
      </c>
      <c r="AH1144" t="s">
        <v>149</v>
      </c>
      <c r="AI1144" t="str">
        <f>"1751020"</f>
        <v>1751020</v>
      </c>
      <c r="AJ1144" t="s">
        <v>532</v>
      </c>
      <c r="AK1144">
        <v>2810372732</v>
      </c>
      <c r="AL1144" t="s">
        <v>533</v>
      </c>
      <c r="AM1144" t="s">
        <v>78</v>
      </c>
      <c r="AN1144" t="s">
        <v>78</v>
      </c>
      <c r="AO1144" t="s">
        <v>78</v>
      </c>
      <c r="AP1144" t="s">
        <v>163</v>
      </c>
      <c r="AQ1144">
        <v>3</v>
      </c>
      <c r="AR1144" t="s">
        <v>123</v>
      </c>
      <c r="AS1144" t="s">
        <v>124</v>
      </c>
      <c r="AT1144" t="s">
        <v>58</v>
      </c>
      <c r="AU1144" t="s">
        <v>68</v>
      </c>
      <c r="AV1144" t="s">
        <v>69</v>
      </c>
      <c r="AW1144" s="1">
        <v>23440</v>
      </c>
      <c r="AX1144">
        <v>2</v>
      </c>
    </row>
    <row r="1145" spans="1:50">
      <c r="A1145">
        <v>199117</v>
      </c>
      <c r="B1145" t="str">
        <f>"059250634"</f>
        <v>059250634</v>
      </c>
      <c r="C1145" t="s">
        <v>105</v>
      </c>
      <c r="D1145" t="s">
        <v>2728</v>
      </c>
      <c r="E1145" t="s">
        <v>95</v>
      </c>
      <c r="F1145" t="s">
        <v>106</v>
      </c>
      <c r="G1145" t="s">
        <v>255</v>
      </c>
      <c r="H1145" t="str">
        <f>"ΕΛΕΥΘ. ΑΛΕΞΙΟΥ 2 ΑΤΣΑΛΕΝΙΟ"</f>
        <v>ΕΛΕΥΘ. ΑΛΕΞΙΟΥ 2 ΑΤΣΑΛΕΝΙΟ</v>
      </c>
      <c r="I1145">
        <v>71306</v>
      </c>
      <c r="J1145">
        <v>2810232256</v>
      </c>
      <c r="K1145">
        <v>6985071701</v>
      </c>
      <c r="L1145">
        <v>6985071701</v>
      </c>
      <c r="M1145" t="s">
        <v>2729</v>
      </c>
      <c r="N1145" t="s">
        <v>176</v>
      </c>
      <c r="O1145" t="s">
        <v>177</v>
      </c>
      <c r="R1145" t="s">
        <v>57</v>
      </c>
      <c r="S1145">
        <v>9</v>
      </c>
      <c r="T1145">
        <v>206</v>
      </c>
      <c r="U1145" s="1">
        <v>37866</v>
      </c>
      <c r="V1145" t="s">
        <v>123</v>
      </c>
      <c r="W1145" t="s">
        <v>124</v>
      </c>
      <c r="X1145" t="s">
        <v>58</v>
      </c>
      <c r="Y1145">
        <v>20</v>
      </c>
      <c r="Z1145" t="s">
        <v>59</v>
      </c>
      <c r="AA1145" t="s">
        <v>59</v>
      </c>
      <c r="AB1145" t="s">
        <v>59</v>
      </c>
      <c r="AC1145" t="s">
        <v>59</v>
      </c>
      <c r="AD1145" t="s">
        <v>59</v>
      </c>
      <c r="AF1145" s="1">
        <v>37866</v>
      </c>
      <c r="AG1145" t="s">
        <v>125</v>
      </c>
      <c r="AH1145" t="s">
        <v>126</v>
      </c>
      <c r="AI1145" t="str">
        <f>"1728010"</f>
        <v>1728010</v>
      </c>
      <c r="AJ1145" t="s">
        <v>127</v>
      </c>
      <c r="AK1145">
        <v>2810824651</v>
      </c>
      <c r="AL1145" t="s">
        <v>128</v>
      </c>
      <c r="AM1145" t="s">
        <v>78</v>
      </c>
      <c r="AN1145" t="s">
        <v>129</v>
      </c>
      <c r="AO1145" t="s">
        <v>130</v>
      </c>
      <c r="AP1145" t="s">
        <v>130</v>
      </c>
      <c r="AQ1145">
        <v>36</v>
      </c>
      <c r="AR1145" t="s">
        <v>123</v>
      </c>
      <c r="AS1145" t="s">
        <v>124</v>
      </c>
      <c r="AT1145" t="s">
        <v>58</v>
      </c>
      <c r="AU1145" t="s">
        <v>68</v>
      </c>
      <c r="AV1145" t="s">
        <v>69</v>
      </c>
      <c r="AW1145" s="1">
        <v>24538</v>
      </c>
      <c r="AX1145">
        <v>2</v>
      </c>
    </row>
    <row r="1146" spans="1:50">
      <c r="A1146">
        <v>178978</v>
      </c>
      <c r="B1146" t="str">
        <f>"051556468"</f>
        <v>051556468</v>
      </c>
      <c r="C1146" t="s">
        <v>50</v>
      </c>
      <c r="D1146" t="s">
        <v>2730</v>
      </c>
      <c r="E1146" t="s">
        <v>52</v>
      </c>
      <c r="F1146" t="s">
        <v>377</v>
      </c>
      <c r="G1146" t="s">
        <v>263</v>
      </c>
      <c r="H1146" t="str">
        <f>"ΕΜΜ. ΔΕΤΟΡΑΚΗ 5 "</f>
        <v xml:space="preserve">ΕΜΜ. ΔΕΤΟΡΑΚΗ 5 </v>
      </c>
      <c r="I1146">
        <v>71409</v>
      </c>
      <c r="J1146">
        <v>2810228994</v>
      </c>
      <c r="K1146">
        <v>6974878246</v>
      </c>
      <c r="M1146" t="s">
        <v>2731</v>
      </c>
      <c r="N1146" t="s">
        <v>157</v>
      </c>
      <c r="O1146" t="s">
        <v>158</v>
      </c>
      <c r="R1146" t="s">
        <v>57</v>
      </c>
      <c r="S1146">
        <v>12</v>
      </c>
      <c r="T1146">
        <v>164</v>
      </c>
      <c r="U1146" s="1">
        <v>36040</v>
      </c>
      <c r="V1146" t="s">
        <v>123</v>
      </c>
      <c r="W1146" t="s">
        <v>124</v>
      </c>
      <c r="X1146" t="s">
        <v>58</v>
      </c>
      <c r="Y1146">
        <v>18</v>
      </c>
      <c r="Z1146" t="s">
        <v>59</v>
      </c>
      <c r="AA1146" t="s">
        <v>59</v>
      </c>
      <c r="AB1146" t="s">
        <v>59</v>
      </c>
      <c r="AC1146" t="s">
        <v>59</v>
      </c>
      <c r="AD1146" t="s">
        <v>59</v>
      </c>
      <c r="AF1146" s="1">
        <v>36040</v>
      </c>
      <c r="AG1146" t="s">
        <v>125</v>
      </c>
      <c r="AH1146" t="s">
        <v>126</v>
      </c>
      <c r="AI1146" t="str">
        <f>"1701030"</f>
        <v>1701030</v>
      </c>
      <c r="AJ1146" t="s">
        <v>270</v>
      </c>
      <c r="AK1146">
        <v>2810361015</v>
      </c>
      <c r="AL1146" t="s">
        <v>271</v>
      </c>
      <c r="AM1146" t="s">
        <v>78</v>
      </c>
      <c r="AN1146" t="s">
        <v>78</v>
      </c>
      <c r="AO1146" t="s">
        <v>78</v>
      </c>
      <c r="AP1146" t="s">
        <v>163</v>
      </c>
      <c r="AQ1146">
        <v>2</v>
      </c>
      <c r="AR1146" t="s">
        <v>123</v>
      </c>
      <c r="AS1146" t="s">
        <v>124</v>
      </c>
      <c r="AT1146" t="s">
        <v>58</v>
      </c>
      <c r="AU1146" t="s">
        <v>68</v>
      </c>
      <c r="AV1146" t="s">
        <v>69</v>
      </c>
      <c r="AW1146" s="1">
        <v>24012</v>
      </c>
      <c r="AX1146">
        <v>2</v>
      </c>
    </row>
    <row r="1147" spans="1:50">
      <c r="A1147">
        <v>703534</v>
      </c>
      <c r="B1147" t="str">
        <f>"052472977"</f>
        <v>052472977</v>
      </c>
      <c r="C1147" t="s">
        <v>50</v>
      </c>
      <c r="D1147" t="s">
        <v>2732</v>
      </c>
      <c r="E1147" t="s">
        <v>1061</v>
      </c>
      <c r="F1147" t="s">
        <v>2733</v>
      </c>
      <c r="G1147" t="s">
        <v>809</v>
      </c>
      <c r="H1147" t="str">
        <f>"ΜΗΝΑ ΓΕΩΡΓΙΑΔΟΥ 25 ΗΡΑΚΛΕΙΟ"</f>
        <v>ΜΗΝΑ ΓΕΩΡΓΙΑΔΟΥ 25 ΗΡΑΚΛΕΙΟ</v>
      </c>
      <c r="I1147">
        <v>71306</v>
      </c>
      <c r="J1147">
        <v>2810239020</v>
      </c>
      <c r="K1147">
        <v>6974182565</v>
      </c>
      <c r="N1147" t="s">
        <v>146</v>
      </c>
      <c r="O1147" t="s">
        <v>147</v>
      </c>
      <c r="R1147" t="s">
        <v>57</v>
      </c>
      <c r="S1147">
        <v>7</v>
      </c>
      <c r="T1147">
        <v>925</v>
      </c>
      <c r="U1147" s="1">
        <v>41158</v>
      </c>
      <c r="V1147" t="s">
        <v>123</v>
      </c>
      <c r="W1147" t="s">
        <v>124</v>
      </c>
      <c r="X1147" t="s">
        <v>58</v>
      </c>
      <c r="Y1147">
        <v>21</v>
      </c>
      <c r="Z1147" t="s">
        <v>59</v>
      </c>
      <c r="AA1147" t="s">
        <v>59</v>
      </c>
      <c r="AB1147" t="s">
        <v>59</v>
      </c>
      <c r="AC1147" t="s">
        <v>59</v>
      </c>
      <c r="AD1147" t="s">
        <v>59</v>
      </c>
      <c r="AF1147" s="1">
        <v>41159</v>
      </c>
      <c r="AG1147" t="s">
        <v>125</v>
      </c>
      <c r="AH1147" t="s">
        <v>126</v>
      </c>
      <c r="AI1147" t="str">
        <f>"1725010"</f>
        <v>1725010</v>
      </c>
      <c r="AJ1147" t="s">
        <v>721</v>
      </c>
      <c r="AK1147">
        <v>2893051228</v>
      </c>
      <c r="AL1147" t="s">
        <v>722</v>
      </c>
      <c r="AM1147" t="s">
        <v>78</v>
      </c>
      <c r="AN1147" t="s">
        <v>424</v>
      </c>
      <c r="AO1147" t="s">
        <v>577</v>
      </c>
      <c r="AP1147" t="s">
        <v>723</v>
      </c>
      <c r="AQ1147">
        <v>22</v>
      </c>
      <c r="AR1147" t="s">
        <v>123</v>
      </c>
      <c r="AS1147" t="s">
        <v>124</v>
      </c>
      <c r="AT1147" t="s">
        <v>58</v>
      </c>
      <c r="AU1147" t="s">
        <v>68</v>
      </c>
      <c r="AV1147" t="s">
        <v>69</v>
      </c>
      <c r="AW1147" s="1">
        <v>26481</v>
      </c>
      <c r="AX1147">
        <v>2</v>
      </c>
    </row>
    <row r="1148" spans="1:50">
      <c r="A1148">
        <v>218485</v>
      </c>
      <c r="B1148" t="str">
        <f>"118920995"</f>
        <v>118920995</v>
      </c>
      <c r="C1148" t="s">
        <v>105</v>
      </c>
      <c r="D1148" t="s">
        <v>2734</v>
      </c>
      <c r="E1148" t="s">
        <v>99</v>
      </c>
      <c r="F1148" t="s">
        <v>920</v>
      </c>
      <c r="G1148" t="s">
        <v>476</v>
      </c>
      <c r="H1148" t="str">
        <f>"ΠΟΛΥΓΝΩΤΟΥ 4 ΗΡΑΚΛΕΙΟΥ"</f>
        <v>ΠΟΛΥΓΝΩΤΟΥ 4 ΗΡΑΚΛΕΙΟΥ</v>
      </c>
      <c r="I1148">
        <v>71410</v>
      </c>
      <c r="J1148">
        <v>2810315774</v>
      </c>
      <c r="K1148">
        <v>6937676829</v>
      </c>
      <c r="M1148" t="s">
        <v>2735</v>
      </c>
      <c r="N1148" t="s">
        <v>232</v>
      </c>
      <c r="O1148" t="s">
        <v>233</v>
      </c>
      <c r="R1148" t="s">
        <v>57</v>
      </c>
      <c r="S1148">
        <v>5</v>
      </c>
      <c r="T1148">
        <v>599</v>
      </c>
      <c r="U1148" s="1">
        <v>39310</v>
      </c>
      <c r="V1148" t="s">
        <v>123</v>
      </c>
      <c r="W1148" t="s">
        <v>124</v>
      </c>
      <c r="X1148" t="s">
        <v>58</v>
      </c>
      <c r="Y1148">
        <v>21</v>
      </c>
      <c r="Z1148" t="s">
        <v>59</v>
      </c>
      <c r="AA1148" t="s">
        <v>59</v>
      </c>
      <c r="AB1148" t="s">
        <v>59</v>
      </c>
      <c r="AC1148" t="s">
        <v>59</v>
      </c>
      <c r="AD1148" t="s">
        <v>59</v>
      </c>
      <c r="AF1148" s="1">
        <v>39328</v>
      </c>
      <c r="AG1148" t="s">
        <v>148</v>
      </c>
      <c r="AH1148" t="s">
        <v>149</v>
      </c>
      <c r="AI1148" t="str">
        <f>"1758010"</f>
        <v>1758010</v>
      </c>
      <c r="AJ1148" t="s">
        <v>575</v>
      </c>
      <c r="AK1148">
        <v>2893022145</v>
      </c>
      <c r="AL1148" t="s">
        <v>576</v>
      </c>
      <c r="AM1148" t="s">
        <v>78</v>
      </c>
      <c r="AN1148" t="s">
        <v>424</v>
      </c>
      <c r="AO1148" t="s">
        <v>577</v>
      </c>
      <c r="AP1148" t="s">
        <v>578</v>
      </c>
      <c r="AQ1148">
        <v>24</v>
      </c>
      <c r="AR1148" t="s">
        <v>123</v>
      </c>
      <c r="AS1148" t="s">
        <v>124</v>
      </c>
      <c r="AT1148" t="s">
        <v>58</v>
      </c>
      <c r="AU1148" t="s">
        <v>68</v>
      </c>
      <c r="AV1148" t="s">
        <v>69</v>
      </c>
      <c r="AW1148" s="1">
        <v>27470</v>
      </c>
      <c r="AX1148">
        <v>2</v>
      </c>
    </row>
    <row r="1149" spans="1:50">
      <c r="A1149">
        <v>185541</v>
      </c>
      <c r="B1149" t="str">
        <f>"042907263"</f>
        <v>042907263</v>
      </c>
      <c r="C1149" t="s">
        <v>50</v>
      </c>
      <c r="D1149" t="s">
        <v>2736</v>
      </c>
      <c r="E1149" t="s">
        <v>2737</v>
      </c>
      <c r="F1149" t="s">
        <v>106</v>
      </c>
      <c r="G1149" t="s">
        <v>600</v>
      </c>
      <c r="H1149" t="str">
        <f>"ΓΟΥΒΕΣ ΗΡΑΚΛΕΙΟ"</f>
        <v>ΓΟΥΒΕΣ ΗΡΑΚΛΕΙΟ</v>
      </c>
      <c r="J1149">
        <v>2831024599</v>
      </c>
      <c r="K1149">
        <v>6978651074</v>
      </c>
      <c r="M1149" t="s">
        <v>2738</v>
      </c>
      <c r="N1149" t="s">
        <v>337</v>
      </c>
      <c r="O1149" t="s">
        <v>338</v>
      </c>
      <c r="R1149" t="s">
        <v>57</v>
      </c>
      <c r="S1149">
        <v>11</v>
      </c>
      <c r="T1149">
        <v>178</v>
      </c>
      <c r="U1149" s="1">
        <v>36403</v>
      </c>
      <c r="V1149" t="s">
        <v>123</v>
      </c>
      <c r="W1149" t="s">
        <v>124</v>
      </c>
      <c r="X1149" t="s">
        <v>58</v>
      </c>
      <c r="Y1149">
        <v>18</v>
      </c>
      <c r="Z1149" t="s">
        <v>59</v>
      </c>
      <c r="AA1149" t="s">
        <v>59</v>
      </c>
      <c r="AB1149" t="s">
        <v>59</v>
      </c>
      <c r="AC1149" t="s">
        <v>59</v>
      </c>
      <c r="AD1149" t="s">
        <v>59</v>
      </c>
      <c r="AF1149" s="1">
        <v>36403</v>
      </c>
      <c r="AG1149" t="s">
        <v>125</v>
      </c>
      <c r="AH1149" t="s">
        <v>294</v>
      </c>
      <c r="AI1149" t="str">
        <f>"1701015"</f>
        <v>1701015</v>
      </c>
      <c r="AJ1149" t="s">
        <v>295</v>
      </c>
      <c r="AK1149">
        <v>2810761696</v>
      </c>
      <c r="AL1149" t="s">
        <v>296</v>
      </c>
      <c r="AM1149" t="s">
        <v>78</v>
      </c>
      <c r="AN1149" t="s">
        <v>219</v>
      </c>
      <c r="AO1149" t="s">
        <v>297</v>
      </c>
      <c r="AP1149" t="s">
        <v>297</v>
      </c>
      <c r="AQ1149">
        <v>10</v>
      </c>
      <c r="AR1149" t="s">
        <v>123</v>
      </c>
      <c r="AS1149" t="s">
        <v>124</v>
      </c>
      <c r="AT1149" t="s">
        <v>58</v>
      </c>
      <c r="AU1149" t="s">
        <v>68</v>
      </c>
      <c r="AV1149" t="s">
        <v>69</v>
      </c>
      <c r="AW1149" s="1">
        <v>23122</v>
      </c>
      <c r="AX1149">
        <v>2</v>
      </c>
    </row>
    <row r="1150" spans="1:50">
      <c r="A1150">
        <v>187709</v>
      </c>
      <c r="B1150" t="str">
        <f>"055758950"</f>
        <v>055758950</v>
      </c>
      <c r="C1150" t="s">
        <v>50</v>
      </c>
      <c r="D1150" t="s">
        <v>2739</v>
      </c>
      <c r="E1150" t="s">
        <v>316</v>
      </c>
      <c r="F1150" t="s">
        <v>450</v>
      </c>
      <c r="G1150" t="s">
        <v>2555</v>
      </c>
      <c r="H1150" t="str">
        <f>" "</f>
        <v xml:space="preserve"> </v>
      </c>
      <c r="N1150" t="s">
        <v>204</v>
      </c>
      <c r="O1150" t="s">
        <v>205</v>
      </c>
      <c r="R1150" t="s">
        <v>57</v>
      </c>
      <c r="S1150">
        <v>11</v>
      </c>
      <c r="T1150">
        <v>251</v>
      </c>
      <c r="U1150" s="1">
        <v>36769</v>
      </c>
      <c r="V1150" t="s">
        <v>123</v>
      </c>
      <c r="W1150" t="s">
        <v>124</v>
      </c>
      <c r="X1150" t="s">
        <v>58</v>
      </c>
      <c r="Y1150">
        <v>20</v>
      </c>
      <c r="Z1150" t="s">
        <v>59</v>
      </c>
      <c r="AA1150" t="s">
        <v>59</v>
      </c>
      <c r="AB1150" t="s">
        <v>59</v>
      </c>
      <c r="AC1150" t="s">
        <v>59</v>
      </c>
      <c r="AD1150" t="s">
        <v>59</v>
      </c>
      <c r="AF1150" s="1">
        <v>36770</v>
      </c>
      <c r="AG1150" t="s">
        <v>137</v>
      </c>
      <c r="AH1150" t="s">
        <v>138</v>
      </c>
      <c r="AI1150" t="str">
        <f>"1750080"</f>
        <v>1750080</v>
      </c>
      <c r="AJ1150" t="s">
        <v>170</v>
      </c>
      <c r="AK1150">
        <v>2810234444</v>
      </c>
      <c r="AL1150" t="s">
        <v>171</v>
      </c>
      <c r="AM1150" t="s">
        <v>78</v>
      </c>
      <c r="AN1150" t="s">
        <v>78</v>
      </c>
      <c r="AO1150" t="s">
        <v>78</v>
      </c>
      <c r="AP1150" t="s">
        <v>163</v>
      </c>
      <c r="AQ1150">
        <v>9</v>
      </c>
      <c r="AR1150" t="s">
        <v>123</v>
      </c>
      <c r="AS1150" t="s">
        <v>124</v>
      </c>
      <c r="AT1150" t="s">
        <v>58</v>
      </c>
      <c r="AU1150" t="s">
        <v>68</v>
      </c>
      <c r="AV1150" t="s">
        <v>69</v>
      </c>
      <c r="AW1150" s="1">
        <v>25134</v>
      </c>
      <c r="AX1150">
        <v>2</v>
      </c>
    </row>
    <row r="1151" spans="1:50">
      <c r="A1151">
        <v>207970</v>
      </c>
      <c r="B1151" t="str">
        <f>"079727782"</f>
        <v>079727782</v>
      </c>
      <c r="C1151" t="s">
        <v>50</v>
      </c>
      <c r="D1151" t="s">
        <v>2740</v>
      </c>
      <c r="E1151" t="s">
        <v>964</v>
      </c>
      <c r="F1151" t="s">
        <v>450</v>
      </c>
      <c r="G1151" t="s">
        <v>563</v>
      </c>
      <c r="H1151" t="str">
        <f>"ΓΟΥΡΝΕΣ ΠΕΔΙΑΔΟΣ  "</f>
        <v xml:space="preserve">ΓΟΥΡΝΕΣ ΠΕΔΙΑΔΟΣ  </v>
      </c>
      <c r="I1151">
        <v>71500</v>
      </c>
      <c r="J1151">
        <v>2810761925</v>
      </c>
      <c r="K1151">
        <v>6946346879</v>
      </c>
      <c r="M1151" t="s">
        <v>2741</v>
      </c>
      <c r="N1151" t="s">
        <v>257</v>
      </c>
      <c r="O1151" t="s">
        <v>258</v>
      </c>
      <c r="R1151" t="s">
        <v>57</v>
      </c>
      <c r="S1151">
        <v>8</v>
      </c>
      <c r="T1151">
        <v>218</v>
      </c>
      <c r="U1151" s="1">
        <v>38596</v>
      </c>
      <c r="V1151" t="s">
        <v>123</v>
      </c>
      <c r="W1151" t="s">
        <v>124</v>
      </c>
      <c r="X1151" t="s">
        <v>58</v>
      </c>
      <c r="Y1151">
        <v>20</v>
      </c>
      <c r="Z1151" t="s">
        <v>59</v>
      </c>
      <c r="AA1151" t="s">
        <v>59</v>
      </c>
      <c r="AB1151" t="s">
        <v>59</v>
      </c>
      <c r="AC1151" t="s">
        <v>59</v>
      </c>
      <c r="AD1151" t="s">
        <v>59</v>
      </c>
      <c r="AF1151" s="1">
        <v>38597</v>
      </c>
      <c r="AG1151" t="s">
        <v>148</v>
      </c>
      <c r="AH1151" t="s">
        <v>149</v>
      </c>
      <c r="AI1151" t="str">
        <f>"1751041"</f>
        <v>1751041</v>
      </c>
      <c r="AJ1151" t="s">
        <v>353</v>
      </c>
      <c r="AK1151">
        <v>2810230207</v>
      </c>
      <c r="AL1151" t="s">
        <v>354</v>
      </c>
      <c r="AM1151" t="s">
        <v>78</v>
      </c>
      <c r="AN1151" t="s">
        <v>78</v>
      </c>
      <c r="AO1151" t="s">
        <v>78</v>
      </c>
      <c r="AP1151" t="s">
        <v>163</v>
      </c>
      <c r="AQ1151">
        <v>2</v>
      </c>
      <c r="AR1151" t="s">
        <v>123</v>
      </c>
      <c r="AS1151" t="s">
        <v>124</v>
      </c>
      <c r="AT1151" t="s">
        <v>58</v>
      </c>
      <c r="AU1151" t="s">
        <v>68</v>
      </c>
      <c r="AV1151" t="s">
        <v>69</v>
      </c>
      <c r="AW1151" s="1">
        <v>25031</v>
      </c>
      <c r="AX1151">
        <v>2</v>
      </c>
    </row>
    <row r="1152" spans="1:50">
      <c r="A1152">
        <v>207743</v>
      </c>
      <c r="B1152" t="str">
        <f>"052205605"</f>
        <v>052205605</v>
      </c>
      <c r="C1152" t="s">
        <v>50</v>
      </c>
      <c r="D1152" t="s">
        <v>2742</v>
      </c>
      <c r="E1152" t="s">
        <v>396</v>
      </c>
      <c r="F1152" t="s">
        <v>2743</v>
      </c>
      <c r="G1152" t="s">
        <v>143</v>
      </c>
      <c r="H1152" t="str">
        <f>"ΕΜΜΑΝ. ΚΑΣΤΡΙΝΑΚΗ 4 ΤΡΙΑ ΠΕΥΚΑ"</f>
        <v>ΕΜΜΑΝ. ΚΑΣΤΡΙΝΑΚΗ 4 ΤΡΙΑ ΠΕΥΚΑ</v>
      </c>
      <c r="I1152">
        <v>71306</v>
      </c>
      <c r="J1152">
        <v>2810224235</v>
      </c>
      <c r="K1152">
        <v>6977459144</v>
      </c>
      <c r="L1152">
        <v>2810224235</v>
      </c>
      <c r="M1152" t="s">
        <v>2744</v>
      </c>
      <c r="N1152" t="s">
        <v>288</v>
      </c>
      <c r="O1152" t="s">
        <v>289</v>
      </c>
      <c r="R1152" t="s">
        <v>57</v>
      </c>
      <c r="S1152">
        <v>9</v>
      </c>
      <c r="T1152">
        <v>218</v>
      </c>
      <c r="U1152" s="1">
        <v>38596</v>
      </c>
      <c r="V1152" t="s">
        <v>123</v>
      </c>
      <c r="W1152" t="s">
        <v>124</v>
      </c>
      <c r="X1152" t="s">
        <v>58</v>
      </c>
      <c r="Y1152">
        <v>20</v>
      </c>
      <c r="Z1152" t="s">
        <v>59</v>
      </c>
      <c r="AA1152" t="s">
        <v>59</v>
      </c>
      <c r="AB1152" t="s">
        <v>59</v>
      </c>
      <c r="AC1152" t="s">
        <v>59</v>
      </c>
      <c r="AD1152" t="s">
        <v>59</v>
      </c>
      <c r="AF1152" s="1">
        <v>38600</v>
      </c>
      <c r="AG1152" t="s">
        <v>125</v>
      </c>
      <c r="AH1152" t="s">
        <v>126</v>
      </c>
      <c r="AI1152" t="str">
        <f>"1727010"</f>
        <v>1727010</v>
      </c>
      <c r="AJ1152" t="s">
        <v>618</v>
      </c>
      <c r="AK1152">
        <v>2810229231</v>
      </c>
      <c r="AL1152" t="s">
        <v>619</v>
      </c>
      <c r="AM1152" t="s">
        <v>78</v>
      </c>
      <c r="AN1152" t="s">
        <v>78</v>
      </c>
      <c r="AO1152" t="s">
        <v>286</v>
      </c>
      <c r="AP1152" t="s">
        <v>286</v>
      </c>
      <c r="AQ1152">
        <v>12</v>
      </c>
      <c r="AR1152" t="s">
        <v>123</v>
      </c>
      <c r="AS1152" t="s">
        <v>124</v>
      </c>
      <c r="AT1152" t="s">
        <v>58</v>
      </c>
      <c r="AU1152" t="s">
        <v>68</v>
      </c>
      <c r="AV1152" t="s">
        <v>69</v>
      </c>
      <c r="AW1152" s="1">
        <v>25164</v>
      </c>
      <c r="AX1152">
        <v>2</v>
      </c>
    </row>
    <row r="1153" spans="1:50">
      <c r="A1153">
        <v>173675</v>
      </c>
      <c r="B1153" t="str">
        <f>"079415774"</f>
        <v>079415774</v>
      </c>
      <c r="C1153" t="s">
        <v>50</v>
      </c>
      <c r="D1153" t="s">
        <v>2742</v>
      </c>
      <c r="E1153" t="s">
        <v>52</v>
      </c>
      <c r="F1153" t="s">
        <v>377</v>
      </c>
      <c r="G1153" t="s">
        <v>191</v>
      </c>
      <c r="H1153" t="str">
        <f>"Γ. ΔΙΛΒΟΗ 33 ΗΡΑΚΛΕΙΟ"</f>
        <v>Γ. ΔΙΛΒΟΗ 33 ΗΡΑΚΛΕΙΟ</v>
      </c>
      <c r="I1153">
        <v>71306</v>
      </c>
      <c r="J1153">
        <v>2810327705</v>
      </c>
      <c r="M1153" t="s">
        <v>2745</v>
      </c>
      <c r="N1153" t="s">
        <v>292</v>
      </c>
      <c r="O1153" t="s">
        <v>293</v>
      </c>
      <c r="R1153" t="s">
        <v>57</v>
      </c>
      <c r="S1153">
        <v>12</v>
      </c>
      <c r="T1153">
        <v>166</v>
      </c>
      <c r="U1153" s="1">
        <v>35300</v>
      </c>
      <c r="V1153" t="s">
        <v>123</v>
      </c>
      <c r="W1153" t="s">
        <v>124</v>
      </c>
      <c r="X1153" t="s">
        <v>58</v>
      </c>
      <c r="Y1153">
        <v>18</v>
      </c>
      <c r="Z1153" t="s">
        <v>59</v>
      </c>
      <c r="AA1153" t="s">
        <v>59</v>
      </c>
      <c r="AB1153" t="s">
        <v>59</v>
      </c>
      <c r="AC1153" t="s">
        <v>59</v>
      </c>
      <c r="AD1153" t="s">
        <v>59</v>
      </c>
      <c r="AF1153" s="1">
        <v>35313</v>
      </c>
      <c r="AG1153" t="s">
        <v>148</v>
      </c>
      <c r="AH1153" t="s">
        <v>149</v>
      </c>
      <c r="AI1153" t="str">
        <f>"1790100"</f>
        <v>1790100</v>
      </c>
      <c r="AJ1153" t="s">
        <v>252</v>
      </c>
      <c r="AK1153">
        <v>2810234876</v>
      </c>
      <c r="AL1153" t="s">
        <v>253</v>
      </c>
      <c r="AM1153" t="s">
        <v>78</v>
      </c>
      <c r="AN1153" t="s">
        <v>78</v>
      </c>
      <c r="AO1153" t="s">
        <v>78</v>
      </c>
      <c r="AP1153" t="s">
        <v>163</v>
      </c>
      <c r="AQ1153">
        <v>5</v>
      </c>
      <c r="AR1153" t="s">
        <v>123</v>
      </c>
      <c r="AS1153" t="s">
        <v>124</v>
      </c>
      <c r="AT1153" t="s">
        <v>58</v>
      </c>
      <c r="AU1153" t="s">
        <v>68</v>
      </c>
      <c r="AV1153" t="s">
        <v>69</v>
      </c>
      <c r="AW1153" s="1">
        <v>20152</v>
      </c>
      <c r="AX1153">
        <v>2</v>
      </c>
    </row>
    <row r="1154" spans="1:50">
      <c r="B1154" t="str">
        <f>"031785225"</f>
        <v>031785225</v>
      </c>
      <c r="C1154" t="s">
        <v>105</v>
      </c>
      <c r="D1154" t="s">
        <v>2746</v>
      </c>
      <c r="E1154" t="s">
        <v>95</v>
      </c>
      <c r="F1154" t="s">
        <v>72</v>
      </c>
      <c r="G1154" t="s">
        <v>250</v>
      </c>
      <c r="H1154" t="str">
        <f>" "</f>
        <v xml:space="preserve"> </v>
      </c>
      <c r="K1154">
        <v>6945911725</v>
      </c>
      <c r="M1154" t="s">
        <v>2747</v>
      </c>
      <c r="N1154" t="s">
        <v>1647</v>
      </c>
      <c r="O1154" t="s">
        <v>1648</v>
      </c>
      <c r="R1154" t="s">
        <v>57</v>
      </c>
      <c r="S1154">
        <v>6</v>
      </c>
      <c r="T1154" t="s">
        <v>416</v>
      </c>
      <c r="U1154" s="1">
        <v>43349</v>
      </c>
      <c r="V1154" t="s">
        <v>123</v>
      </c>
      <c r="W1154" t="s">
        <v>124</v>
      </c>
      <c r="X1154" t="s">
        <v>58</v>
      </c>
      <c r="Y1154">
        <v>20</v>
      </c>
      <c r="Z1154" t="s">
        <v>59</v>
      </c>
      <c r="AA1154" t="s">
        <v>59</v>
      </c>
      <c r="AB1154" t="s">
        <v>59</v>
      </c>
      <c r="AC1154" t="s">
        <v>59</v>
      </c>
      <c r="AD1154" t="s">
        <v>59</v>
      </c>
      <c r="AF1154" s="1">
        <v>43349</v>
      </c>
      <c r="AG1154" t="s">
        <v>125</v>
      </c>
      <c r="AH1154" t="s">
        <v>126</v>
      </c>
      <c r="AI1154" t="str">
        <f>"1717011"</f>
        <v>1717011</v>
      </c>
      <c r="AJ1154" t="s">
        <v>832</v>
      </c>
      <c r="AK1154">
        <v>2897023311</v>
      </c>
      <c r="AL1154" t="s">
        <v>833</v>
      </c>
      <c r="AM1154" t="s">
        <v>78</v>
      </c>
      <c r="AN1154" t="s">
        <v>219</v>
      </c>
      <c r="AO1154" t="s">
        <v>219</v>
      </c>
      <c r="AP1154" t="s">
        <v>220</v>
      </c>
      <c r="AQ1154">
        <v>20</v>
      </c>
      <c r="AR1154" t="s">
        <v>123</v>
      </c>
      <c r="AS1154" t="s">
        <v>124</v>
      </c>
      <c r="AT1154" t="s">
        <v>58</v>
      </c>
      <c r="AU1154" t="s">
        <v>419</v>
      </c>
      <c r="AV1154" t="s">
        <v>132</v>
      </c>
      <c r="AW1154" s="1">
        <v>22489</v>
      </c>
      <c r="AX1154">
        <v>2</v>
      </c>
    </row>
    <row r="1155" spans="1:50">
      <c r="A1155">
        <v>176992</v>
      </c>
      <c r="B1155" t="str">
        <f>"064152149"</f>
        <v>064152149</v>
      </c>
      <c r="C1155" t="s">
        <v>50</v>
      </c>
      <c r="D1155" t="s">
        <v>2748</v>
      </c>
      <c r="E1155" t="s">
        <v>2749</v>
      </c>
      <c r="F1155" t="s">
        <v>1062</v>
      </c>
      <c r="G1155" t="s">
        <v>1927</v>
      </c>
      <c r="H1155" t="str">
        <f>"ΜΑΚΕΔΟΝΙΑΣ 42 ΓΑΖΙ ΗΡΑΚΛΕΙΟΥ"</f>
        <v>ΜΑΚΕΔΟΝΙΑΣ 42 ΓΑΖΙ ΗΡΑΚΛΕΙΟΥ</v>
      </c>
      <c r="I1155">
        <v>71414</v>
      </c>
      <c r="J1155">
        <v>2810821285</v>
      </c>
      <c r="K1155">
        <v>6972260745</v>
      </c>
      <c r="M1155" t="s">
        <v>2750</v>
      </c>
      <c r="N1155" t="s">
        <v>299</v>
      </c>
      <c r="O1155" t="s">
        <v>300</v>
      </c>
      <c r="P1155" t="s">
        <v>615</v>
      </c>
      <c r="Q1155" t="s">
        <v>616</v>
      </c>
      <c r="R1155" t="s">
        <v>57</v>
      </c>
      <c r="S1155">
        <v>13</v>
      </c>
      <c r="T1155">
        <v>180</v>
      </c>
      <c r="U1155" s="1">
        <v>35674</v>
      </c>
      <c r="V1155" t="s">
        <v>123</v>
      </c>
      <c r="W1155" t="s">
        <v>124</v>
      </c>
      <c r="X1155" t="s">
        <v>58</v>
      </c>
      <c r="Y1155">
        <v>18</v>
      </c>
      <c r="Z1155" t="s">
        <v>59</v>
      </c>
      <c r="AA1155" t="s">
        <v>59</v>
      </c>
      <c r="AB1155" t="s">
        <v>59</v>
      </c>
      <c r="AC1155" t="s">
        <v>59</v>
      </c>
      <c r="AD1155" t="s">
        <v>59</v>
      </c>
      <c r="AF1155" s="1">
        <v>35678</v>
      </c>
      <c r="AG1155" t="s">
        <v>148</v>
      </c>
      <c r="AH1155" t="s">
        <v>149</v>
      </c>
      <c r="AI1155" t="str">
        <f>"1751042"</f>
        <v>1751042</v>
      </c>
      <c r="AJ1155" t="s">
        <v>959</v>
      </c>
      <c r="AK1155">
        <v>2810220685</v>
      </c>
      <c r="AL1155" t="s">
        <v>960</v>
      </c>
      <c r="AM1155" t="s">
        <v>78</v>
      </c>
      <c r="AN1155" t="s">
        <v>78</v>
      </c>
      <c r="AO1155" t="s">
        <v>78</v>
      </c>
      <c r="AP1155" t="s">
        <v>213</v>
      </c>
      <c r="AQ1155">
        <v>6</v>
      </c>
      <c r="AR1155" t="s">
        <v>123</v>
      </c>
      <c r="AS1155" t="s">
        <v>124</v>
      </c>
      <c r="AT1155" t="s">
        <v>58</v>
      </c>
      <c r="AU1155" t="s">
        <v>68</v>
      </c>
      <c r="AV1155" t="s">
        <v>69</v>
      </c>
      <c r="AW1155" s="1">
        <v>22360</v>
      </c>
      <c r="AX1155">
        <v>2</v>
      </c>
    </row>
    <row r="1156" spans="1:50">
      <c r="A1156">
        <v>208757</v>
      </c>
      <c r="B1156" t="str">
        <f>"054031448"</f>
        <v>054031448</v>
      </c>
      <c r="C1156" t="s">
        <v>50</v>
      </c>
      <c r="D1156" t="s">
        <v>2751</v>
      </c>
      <c r="E1156" t="s">
        <v>476</v>
      </c>
      <c r="F1156" t="s">
        <v>99</v>
      </c>
      <c r="G1156" t="s">
        <v>73</v>
      </c>
      <c r="H1156" t="str">
        <f>" "</f>
        <v xml:space="preserve"> </v>
      </c>
      <c r="J1156">
        <v>2810251898</v>
      </c>
      <c r="K1156">
        <v>6936957024</v>
      </c>
      <c r="M1156" t="s">
        <v>2752</v>
      </c>
      <c r="N1156" t="s">
        <v>299</v>
      </c>
      <c r="O1156" t="s">
        <v>300</v>
      </c>
      <c r="R1156" t="s">
        <v>57</v>
      </c>
      <c r="S1156">
        <v>6</v>
      </c>
      <c r="T1156">
        <v>218</v>
      </c>
      <c r="U1156" s="1">
        <v>38596</v>
      </c>
      <c r="V1156" t="s">
        <v>123</v>
      </c>
      <c r="W1156" t="s">
        <v>124</v>
      </c>
      <c r="X1156" t="s">
        <v>58</v>
      </c>
      <c r="Y1156">
        <v>20</v>
      </c>
      <c r="Z1156" t="s">
        <v>59</v>
      </c>
      <c r="AA1156" t="s">
        <v>59</v>
      </c>
      <c r="AB1156" t="s">
        <v>59</v>
      </c>
      <c r="AC1156" t="s">
        <v>59</v>
      </c>
      <c r="AD1156" t="s">
        <v>59</v>
      </c>
      <c r="AF1156" s="1">
        <v>38600</v>
      </c>
      <c r="AG1156" t="s">
        <v>137</v>
      </c>
      <c r="AH1156" t="s">
        <v>138</v>
      </c>
      <c r="AI1156" t="str">
        <f>"1740080"</f>
        <v>1740080</v>
      </c>
      <c r="AJ1156" t="s">
        <v>284</v>
      </c>
      <c r="AK1156">
        <v>2810220433</v>
      </c>
      <c r="AL1156" t="s">
        <v>285</v>
      </c>
      <c r="AM1156" t="s">
        <v>78</v>
      </c>
      <c r="AN1156" t="s">
        <v>78</v>
      </c>
      <c r="AO1156" t="s">
        <v>286</v>
      </c>
      <c r="AP1156" t="s">
        <v>286</v>
      </c>
      <c r="AQ1156">
        <v>12</v>
      </c>
      <c r="AR1156" t="s">
        <v>123</v>
      </c>
      <c r="AS1156" t="s">
        <v>124</v>
      </c>
      <c r="AT1156" t="s">
        <v>58</v>
      </c>
      <c r="AU1156" t="s">
        <v>68</v>
      </c>
      <c r="AV1156" t="s">
        <v>69</v>
      </c>
      <c r="AW1156" s="1">
        <v>23383</v>
      </c>
      <c r="AX1156">
        <v>2</v>
      </c>
    </row>
    <row r="1157" spans="1:50">
      <c r="A1157">
        <v>152903</v>
      </c>
      <c r="B1157" t="str">
        <f>"026786450"</f>
        <v>026786450</v>
      </c>
      <c r="C1157" t="s">
        <v>50</v>
      </c>
      <c r="D1157" t="s">
        <v>2753</v>
      </c>
      <c r="E1157" t="s">
        <v>2754</v>
      </c>
      <c r="F1157" t="s">
        <v>2755</v>
      </c>
      <c r="G1157" t="s">
        <v>888</v>
      </c>
      <c r="H1157" t="str">
        <f>" "</f>
        <v xml:space="preserve"> </v>
      </c>
      <c r="N1157" t="s">
        <v>146</v>
      </c>
      <c r="O1157" t="s">
        <v>147</v>
      </c>
      <c r="R1157" t="s">
        <v>57</v>
      </c>
      <c r="S1157">
        <v>17</v>
      </c>
      <c r="T1157">
        <v>166</v>
      </c>
      <c r="U1157" s="1">
        <v>32010</v>
      </c>
      <c r="V1157" t="s">
        <v>123</v>
      </c>
      <c r="W1157" t="s">
        <v>124</v>
      </c>
      <c r="X1157" t="s">
        <v>58</v>
      </c>
      <c r="Y1157">
        <v>18</v>
      </c>
      <c r="Z1157" t="s">
        <v>59</v>
      </c>
      <c r="AA1157" t="s">
        <v>59</v>
      </c>
      <c r="AB1157" t="s">
        <v>59</v>
      </c>
      <c r="AC1157" t="s">
        <v>59</v>
      </c>
      <c r="AD1157" t="s">
        <v>59</v>
      </c>
      <c r="AF1157" s="1">
        <v>32023</v>
      </c>
      <c r="AG1157" t="s">
        <v>148</v>
      </c>
      <c r="AH1157" t="s">
        <v>149</v>
      </c>
      <c r="AI1157" t="str">
        <f>"1751042"</f>
        <v>1751042</v>
      </c>
      <c r="AJ1157" t="s">
        <v>959</v>
      </c>
      <c r="AK1157">
        <v>2810220685</v>
      </c>
      <c r="AL1157" t="s">
        <v>960</v>
      </c>
      <c r="AM1157" t="s">
        <v>78</v>
      </c>
      <c r="AN1157" t="s">
        <v>78</v>
      </c>
      <c r="AO1157" t="s">
        <v>78</v>
      </c>
      <c r="AP1157" t="s">
        <v>213</v>
      </c>
      <c r="AQ1157">
        <v>6</v>
      </c>
      <c r="AR1157" t="s">
        <v>123</v>
      </c>
      <c r="AS1157" t="s">
        <v>124</v>
      </c>
      <c r="AT1157" t="s">
        <v>58</v>
      </c>
      <c r="AU1157" t="s">
        <v>68</v>
      </c>
      <c r="AV1157" t="s">
        <v>69</v>
      </c>
      <c r="AW1157" s="1">
        <v>25767</v>
      </c>
      <c r="AX1157">
        <v>2</v>
      </c>
    </row>
    <row r="1158" spans="1:50">
      <c r="B1158" t="str">
        <f>"155396518"</f>
        <v>155396518</v>
      </c>
      <c r="C1158" t="s">
        <v>50</v>
      </c>
      <c r="D1158" t="s">
        <v>2756</v>
      </c>
      <c r="E1158" t="s">
        <v>83</v>
      </c>
      <c r="F1158" t="s">
        <v>99</v>
      </c>
      <c r="G1158" t="s">
        <v>52</v>
      </c>
      <c r="H1158" t="str">
        <f>" "</f>
        <v xml:space="preserve"> </v>
      </c>
      <c r="N1158" t="s">
        <v>2757</v>
      </c>
      <c r="O1158" t="s">
        <v>2758</v>
      </c>
      <c r="R1158" t="s">
        <v>121</v>
      </c>
      <c r="S1158">
        <v>1</v>
      </c>
      <c r="T1158" t="s">
        <v>1944</v>
      </c>
      <c r="U1158" s="1">
        <v>43364</v>
      </c>
      <c r="V1158" t="s">
        <v>123</v>
      </c>
      <c r="W1158" t="s">
        <v>124</v>
      </c>
      <c r="X1158" t="s">
        <v>58</v>
      </c>
      <c r="Y1158">
        <v>23</v>
      </c>
      <c r="Z1158" t="s">
        <v>59</v>
      </c>
      <c r="AD1158" t="s">
        <v>59</v>
      </c>
      <c r="AF1158" s="1">
        <v>43367</v>
      </c>
      <c r="AG1158" t="s">
        <v>125</v>
      </c>
      <c r="AH1158" t="s">
        <v>538</v>
      </c>
      <c r="AI1158" t="str">
        <f>"1701002"</f>
        <v>1701002</v>
      </c>
      <c r="AJ1158" t="s">
        <v>539</v>
      </c>
      <c r="AK1158">
        <v>2810213569</v>
      </c>
      <c r="AL1158" t="s">
        <v>540</v>
      </c>
      <c r="AM1158" t="s">
        <v>78</v>
      </c>
      <c r="AN1158" t="s">
        <v>78</v>
      </c>
      <c r="AO1158" t="s">
        <v>78</v>
      </c>
      <c r="AP1158" t="s">
        <v>163</v>
      </c>
      <c r="AQ1158">
        <v>11</v>
      </c>
      <c r="AR1158" t="s">
        <v>123</v>
      </c>
      <c r="AS1158" t="s">
        <v>124</v>
      </c>
      <c r="AT1158" t="s">
        <v>58</v>
      </c>
      <c r="AU1158" t="s">
        <v>350</v>
      </c>
      <c r="AV1158" t="s">
        <v>132</v>
      </c>
      <c r="AW1158" s="1">
        <v>33705</v>
      </c>
      <c r="AX1158">
        <v>2</v>
      </c>
    </row>
    <row r="1159" spans="1:50">
      <c r="B1159" t="str">
        <f>"047758242"</f>
        <v>047758242</v>
      </c>
      <c r="C1159" t="s">
        <v>50</v>
      </c>
      <c r="D1159" t="s">
        <v>2759</v>
      </c>
      <c r="E1159" t="s">
        <v>2760</v>
      </c>
      <c r="F1159" t="s">
        <v>450</v>
      </c>
      <c r="G1159" t="s">
        <v>143</v>
      </c>
      <c r="H1159" t="str">
        <f>"ΟΡΦΕΩΣ 66 ΞΑΝΘΗ"</f>
        <v>ΟΡΦΕΩΣ 66 ΞΑΝΘΗ</v>
      </c>
      <c r="I1159">
        <v>67100</v>
      </c>
      <c r="J1159">
        <v>2810327702</v>
      </c>
      <c r="K1159">
        <v>6986611505</v>
      </c>
      <c r="N1159" t="s">
        <v>146</v>
      </c>
      <c r="O1159" t="s">
        <v>147</v>
      </c>
      <c r="R1159" t="s">
        <v>121</v>
      </c>
      <c r="S1159">
        <v>1</v>
      </c>
      <c r="T1159" t="s">
        <v>416</v>
      </c>
      <c r="U1159" s="1">
        <v>43349</v>
      </c>
      <c r="V1159" t="s">
        <v>123</v>
      </c>
      <c r="W1159" t="s">
        <v>124</v>
      </c>
      <c r="X1159" t="s">
        <v>58</v>
      </c>
      <c r="Y1159">
        <v>23</v>
      </c>
      <c r="Z1159" t="s">
        <v>59</v>
      </c>
      <c r="AA1159" t="s">
        <v>59</v>
      </c>
      <c r="AB1159" t="s">
        <v>59</v>
      </c>
      <c r="AC1159" t="s">
        <v>59</v>
      </c>
      <c r="AD1159" t="s">
        <v>59</v>
      </c>
      <c r="AF1159" s="1">
        <v>43349</v>
      </c>
      <c r="AG1159" t="s">
        <v>148</v>
      </c>
      <c r="AH1159" t="s">
        <v>149</v>
      </c>
      <c r="AI1159" t="str">
        <f>"1751030"</f>
        <v>1751030</v>
      </c>
      <c r="AJ1159" t="s">
        <v>234</v>
      </c>
      <c r="AK1159">
        <v>2810282911</v>
      </c>
      <c r="AL1159" t="s">
        <v>235</v>
      </c>
      <c r="AM1159" t="s">
        <v>78</v>
      </c>
      <c r="AN1159" t="s">
        <v>78</v>
      </c>
      <c r="AO1159" t="s">
        <v>78</v>
      </c>
      <c r="AP1159" t="s">
        <v>163</v>
      </c>
      <c r="AQ1159">
        <v>1</v>
      </c>
      <c r="AR1159" t="s">
        <v>123</v>
      </c>
      <c r="AS1159" t="s">
        <v>124</v>
      </c>
      <c r="AT1159" t="s">
        <v>58</v>
      </c>
      <c r="AU1159" t="s">
        <v>419</v>
      </c>
      <c r="AV1159" t="s">
        <v>132</v>
      </c>
      <c r="AW1159" s="1">
        <v>25599</v>
      </c>
      <c r="AX1159">
        <v>2</v>
      </c>
    </row>
    <row r="1160" spans="1:50">
      <c r="A1160">
        <v>206714</v>
      </c>
      <c r="B1160" t="str">
        <f>"123154873"</f>
        <v>123154873</v>
      </c>
      <c r="C1160" t="s">
        <v>50</v>
      </c>
      <c r="D1160" t="s">
        <v>2761</v>
      </c>
      <c r="E1160" t="s">
        <v>314</v>
      </c>
      <c r="F1160" t="s">
        <v>72</v>
      </c>
      <c r="G1160" t="s">
        <v>964</v>
      </c>
      <c r="H1160" t="str">
        <f>"ΕΘΝ ΑΝΤΙΣΤΑΣΕΩΣ 9Α "</f>
        <v xml:space="preserve">ΕΘΝ ΑΝΤΙΣΤΑΣΕΩΣ 9Α </v>
      </c>
      <c r="I1160">
        <v>71306</v>
      </c>
      <c r="J1160">
        <v>2815001485</v>
      </c>
      <c r="K1160">
        <v>6946462152</v>
      </c>
      <c r="M1160" t="s">
        <v>2762</v>
      </c>
      <c r="N1160" t="s">
        <v>146</v>
      </c>
      <c r="O1160" t="s">
        <v>147</v>
      </c>
      <c r="R1160" t="s">
        <v>57</v>
      </c>
      <c r="S1160">
        <v>9</v>
      </c>
      <c r="T1160">
        <v>218</v>
      </c>
      <c r="U1160" s="1">
        <v>38596</v>
      </c>
      <c r="V1160" t="s">
        <v>123</v>
      </c>
      <c r="W1160" t="s">
        <v>124</v>
      </c>
      <c r="X1160" t="s">
        <v>58</v>
      </c>
      <c r="Y1160">
        <v>20</v>
      </c>
      <c r="Z1160" t="s">
        <v>59</v>
      </c>
      <c r="AA1160" t="s">
        <v>59</v>
      </c>
      <c r="AB1160" t="s">
        <v>59</v>
      </c>
      <c r="AC1160" t="s">
        <v>59</v>
      </c>
      <c r="AD1160" t="s">
        <v>59</v>
      </c>
      <c r="AF1160" s="1">
        <v>38600</v>
      </c>
      <c r="AG1160" t="s">
        <v>125</v>
      </c>
      <c r="AH1160" t="s">
        <v>126</v>
      </c>
      <c r="AI1160" t="str">
        <f>"1701030"</f>
        <v>1701030</v>
      </c>
      <c r="AJ1160" t="s">
        <v>270</v>
      </c>
      <c r="AK1160">
        <v>2810361015</v>
      </c>
      <c r="AL1160" t="s">
        <v>271</v>
      </c>
      <c r="AM1160" t="s">
        <v>78</v>
      </c>
      <c r="AN1160" t="s">
        <v>78</v>
      </c>
      <c r="AO1160" t="s">
        <v>78</v>
      </c>
      <c r="AP1160" t="s">
        <v>163</v>
      </c>
      <c r="AQ1160">
        <v>2</v>
      </c>
      <c r="AR1160" t="s">
        <v>123</v>
      </c>
      <c r="AS1160" t="s">
        <v>124</v>
      </c>
      <c r="AT1160" t="s">
        <v>58</v>
      </c>
      <c r="AU1160" t="s">
        <v>68</v>
      </c>
      <c r="AV1160" t="s">
        <v>2039</v>
      </c>
      <c r="AW1160" s="1">
        <v>27815</v>
      </c>
      <c r="AX1160">
        <v>2</v>
      </c>
    </row>
    <row r="1161" spans="1:50">
      <c r="A1161">
        <v>189780</v>
      </c>
      <c r="B1161" t="str">
        <f>"034440161"</f>
        <v>034440161</v>
      </c>
      <c r="C1161" t="s">
        <v>105</v>
      </c>
      <c r="D1161" t="s">
        <v>2763</v>
      </c>
      <c r="E1161" t="s">
        <v>72</v>
      </c>
      <c r="F1161" t="s">
        <v>383</v>
      </c>
      <c r="G1161" t="s">
        <v>215</v>
      </c>
      <c r="H1161" t="str">
        <f>"ΘΕΟΓΝΗ 9 ΗΡΑΚΛΕΙΟΥ"</f>
        <v>ΘΕΟΓΝΗ 9 ΗΡΑΚΛΕΙΟΥ</v>
      </c>
      <c r="I1161">
        <v>71409</v>
      </c>
      <c r="J1161">
        <v>2810322399</v>
      </c>
      <c r="K1161">
        <v>6977549875</v>
      </c>
      <c r="M1161" t="s">
        <v>2764</v>
      </c>
      <c r="N1161" t="s">
        <v>292</v>
      </c>
      <c r="O1161" t="s">
        <v>293</v>
      </c>
      <c r="R1161" t="s">
        <v>57</v>
      </c>
      <c r="S1161">
        <v>8</v>
      </c>
      <c r="T1161">
        <v>219</v>
      </c>
      <c r="U1161" s="1">
        <v>37134</v>
      </c>
      <c r="V1161" t="s">
        <v>123</v>
      </c>
      <c r="W1161" t="s">
        <v>124</v>
      </c>
      <c r="X1161" t="s">
        <v>58</v>
      </c>
      <c r="Y1161">
        <v>20</v>
      </c>
      <c r="Z1161" t="s">
        <v>59</v>
      </c>
      <c r="AA1161" t="s">
        <v>59</v>
      </c>
      <c r="AB1161" t="s">
        <v>59</v>
      </c>
      <c r="AC1161" t="s">
        <v>59</v>
      </c>
      <c r="AD1161" t="s">
        <v>59</v>
      </c>
      <c r="AF1161" s="1">
        <v>37140</v>
      </c>
      <c r="AG1161" t="s">
        <v>148</v>
      </c>
      <c r="AH1161" t="s">
        <v>149</v>
      </c>
      <c r="AI1161" t="str">
        <f>"1751040"</f>
        <v>1751040</v>
      </c>
      <c r="AJ1161" t="s">
        <v>178</v>
      </c>
      <c r="AK1161">
        <v>2810252495</v>
      </c>
      <c r="AL1161" t="s">
        <v>179</v>
      </c>
      <c r="AM1161" t="s">
        <v>78</v>
      </c>
      <c r="AN1161" t="s">
        <v>78</v>
      </c>
      <c r="AO1161" t="s">
        <v>78</v>
      </c>
      <c r="AP1161" t="s">
        <v>141</v>
      </c>
      <c r="AQ1161">
        <v>3</v>
      </c>
      <c r="AR1161" t="s">
        <v>123</v>
      </c>
      <c r="AS1161" t="s">
        <v>124</v>
      </c>
      <c r="AT1161" t="s">
        <v>58</v>
      </c>
      <c r="AU1161" t="s">
        <v>68</v>
      </c>
      <c r="AV1161" t="s">
        <v>69</v>
      </c>
      <c r="AW1161" s="1">
        <v>23112</v>
      </c>
      <c r="AX1161">
        <v>2</v>
      </c>
    </row>
    <row r="1162" spans="1:50">
      <c r="A1162">
        <v>222350</v>
      </c>
      <c r="B1162" t="str">
        <f>"113622456"</f>
        <v>113622456</v>
      </c>
      <c r="C1162" t="s">
        <v>50</v>
      </c>
      <c r="D1162" t="s">
        <v>2765</v>
      </c>
      <c r="E1162" t="s">
        <v>155</v>
      </c>
      <c r="F1162" t="s">
        <v>450</v>
      </c>
      <c r="G1162" t="s">
        <v>143</v>
      </c>
      <c r="H1162" t="str">
        <f>"ΦΩΣΚΟΛΟΥ 26 ΗΡΑΚΛΕΙΟΥ"</f>
        <v>ΦΩΣΚΟΛΟΥ 26 ΗΡΑΚΛΕΙΟΥ</v>
      </c>
      <c r="I1162">
        <v>71306</v>
      </c>
      <c r="J1162">
        <v>2831051371</v>
      </c>
      <c r="K1162">
        <v>6947124892</v>
      </c>
      <c r="L1162">
        <v>2811111616</v>
      </c>
      <c r="M1162" t="s">
        <v>2766</v>
      </c>
      <c r="N1162" t="s">
        <v>146</v>
      </c>
      <c r="O1162" t="s">
        <v>147</v>
      </c>
      <c r="R1162" t="s">
        <v>57</v>
      </c>
      <c r="S1162">
        <v>7</v>
      </c>
      <c r="T1162">
        <v>775</v>
      </c>
      <c r="U1162" s="1">
        <v>39680</v>
      </c>
      <c r="V1162" t="s">
        <v>123</v>
      </c>
      <c r="W1162" t="s">
        <v>124</v>
      </c>
      <c r="X1162" t="s">
        <v>58</v>
      </c>
      <c r="Y1162">
        <v>21</v>
      </c>
      <c r="Z1162" t="s">
        <v>59</v>
      </c>
      <c r="AA1162" t="s">
        <v>59</v>
      </c>
      <c r="AB1162" t="s">
        <v>59</v>
      </c>
      <c r="AC1162" t="s">
        <v>59</v>
      </c>
      <c r="AD1162" t="s">
        <v>59</v>
      </c>
      <c r="AF1162" s="1">
        <v>39681</v>
      </c>
      <c r="AG1162" t="s">
        <v>148</v>
      </c>
      <c r="AH1162" t="s">
        <v>149</v>
      </c>
      <c r="AI1162" t="str">
        <f>"1751070"</f>
        <v>1751070</v>
      </c>
      <c r="AJ1162" t="s">
        <v>1435</v>
      </c>
      <c r="AK1162">
        <v>2810771016</v>
      </c>
      <c r="AL1162" t="s">
        <v>1436</v>
      </c>
      <c r="AM1162" t="s">
        <v>78</v>
      </c>
      <c r="AN1162" t="s">
        <v>219</v>
      </c>
      <c r="AO1162" t="s">
        <v>1437</v>
      </c>
      <c r="AP1162" t="s">
        <v>1437</v>
      </c>
      <c r="AQ1162">
        <v>21</v>
      </c>
      <c r="AR1162" t="s">
        <v>123</v>
      </c>
      <c r="AS1162" t="s">
        <v>124</v>
      </c>
      <c r="AT1162" t="s">
        <v>58</v>
      </c>
      <c r="AU1162" t="s">
        <v>68</v>
      </c>
      <c r="AV1162" t="s">
        <v>69</v>
      </c>
      <c r="AW1162" s="1">
        <v>29645</v>
      </c>
      <c r="AX1162">
        <v>2</v>
      </c>
    </row>
    <row r="1163" spans="1:50">
      <c r="A1163">
        <v>181558</v>
      </c>
      <c r="B1163" t="str">
        <f>"079820558"</f>
        <v>079820558</v>
      </c>
      <c r="C1163" t="s">
        <v>50</v>
      </c>
      <c r="D1163" t="s">
        <v>2767</v>
      </c>
      <c r="E1163" t="s">
        <v>255</v>
      </c>
      <c r="F1163" t="s">
        <v>989</v>
      </c>
      <c r="G1163" t="s">
        <v>484</v>
      </c>
      <c r="H1163" t="str">
        <f>"ΑΝΕΞΑΡΤΗΣΙΑΣ 16 "</f>
        <v xml:space="preserve">ΑΝΕΞΑΡΤΗΣΙΑΣ 16 </v>
      </c>
      <c r="I1163">
        <v>71409</v>
      </c>
      <c r="J1163">
        <v>2810324252</v>
      </c>
      <c r="K1163">
        <v>6945192739</v>
      </c>
      <c r="M1163" t="s">
        <v>2768</v>
      </c>
      <c r="N1163" t="s">
        <v>257</v>
      </c>
      <c r="O1163" t="s">
        <v>258</v>
      </c>
      <c r="R1163" t="s">
        <v>57</v>
      </c>
      <c r="S1163">
        <v>10</v>
      </c>
      <c r="T1163">
        <v>164</v>
      </c>
      <c r="U1163" s="1">
        <v>36040</v>
      </c>
      <c r="V1163" t="s">
        <v>123</v>
      </c>
      <c r="W1163" t="s">
        <v>124</v>
      </c>
      <c r="X1163" t="s">
        <v>58</v>
      </c>
      <c r="Y1163">
        <v>18</v>
      </c>
      <c r="Z1163" t="s">
        <v>59</v>
      </c>
      <c r="AA1163" t="s">
        <v>59</v>
      </c>
      <c r="AB1163" t="s">
        <v>59</v>
      </c>
      <c r="AC1163" t="s">
        <v>59</v>
      </c>
      <c r="AD1163" t="s">
        <v>59</v>
      </c>
      <c r="AF1163" s="1">
        <v>36042</v>
      </c>
      <c r="AG1163" t="s">
        <v>137</v>
      </c>
      <c r="AH1163" t="s">
        <v>138</v>
      </c>
      <c r="AI1163" t="str">
        <f>"1740100"</f>
        <v>1740100</v>
      </c>
      <c r="AJ1163" t="s">
        <v>857</v>
      </c>
      <c r="AK1163">
        <v>2810360741</v>
      </c>
      <c r="AL1163" t="s">
        <v>858</v>
      </c>
      <c r="AM1163" t="s">
        <v>78</v>
      </c>
      <c r="AN1163" t="s">
        <v>78</v>
      </c>
      <c r="AO1163" t="s">
        <v>78</v>
      </c>
      <c r="AP1163" t="s">
        <v>163</v>
      </c>
      <c r="AQ1163">
        <v>5</v>
      </c>
      <c r="AR1163" t="s">
        <v>123</v>
      </c>
      <c r="AS1163" t="s">
        <v>124</v>
      </c>
      <c r="AT1163" t="s">
        <v>58</v>
      </c>
      <c r="AU1163" t="s">
        <v>68</v>
      </c>
      <c r="AV1163" t="s">
        <v>69</v>
      </c>
      <c r="AW1163" s="1">
        <v>23546</v>
      </c>
      <c r="AX1163">
        <v>2</v>
      </c>
    </row>
    <row r="1164" spans="1:50">
      <c r="A1164">
        <v>226652</v>
      </c>
      <c r="B1164" t="str">
        <f>"075273113"</f>
        <v>075273113</v>
      </c>
      <c r="C1164" t="s">
        <v>50</v>
      </c>
      <c r="D1164" t="s">
        <v>2769</v>
      </c>
      <c r="E1164" t="s">
        <v>250</v>
      </c>
      <c r="F1164" t="s">
        <v>84</v>
      </c>
      <c r="G1164" t="s">
        <v>188</v>
      </c>
      <c r="H1164" t="str">
        <f>" Ν. ΣΑΧΛΑΜΠΑΝΗ 54 ΗΡΑΚΛΕΙΟ"</f>
        <v xml:space="preserve"> Ν. ΣΑΧΛΑΜΠΑΝΗ 54 ΗΡΑΚΛΕΙΟ</v>
      </c>
      <c r="I1164">
        <v>71307</v>
      </c>
      <c r="J1164">
        <v>2810243967</v>
      </c>
      <c r="K1164">
        <v>6939664550</v>
      </c>
      <c r="N1164" t="s">
        <v>146</v>
      </c>
      <c r="O1164" t="s">
        <v>147</v>
      </c>
      <c r="R1164" t="s">
        <v>57</v>
      </c>
      <c r="S1164">
        <v>5</v>
      </c>
      <c r="T1164">
        <v>654</v>
      </c>
      <c r="U1164" s="1">
        <v>40043</v>
      </c>
      <c r="V1164" t="s">
        <v>123</v>
      </c>
      <c r="W1164" t="s">
        <v>124</v>
      </c>
      <c r="X1164" t="s">
        <v>58</v>
      </c>
      <c r="Y1164">
        <v>21</v>
      </c>
      <c r="Z1164" t="s">
        <v>59</v>
      </c>
      <c r="AA1164" t="s">
        <v>59</v>
      </c>
      <c r="AB1164" t="s">
        <v>59</v>
      </c>
      <c r="AC1164" t="s">
        <v>59</v>
      </c>
      <c r="AD1164" t="s">
        <v>59</v>
      </c>
      <c r="AF1164" s="1">
        <v>40043</v>
      </c>
      <c r="AG1164" t="s">
        <v>125</v>
      </c>
      <c r="AH1164" t="s">
        <v>126</v>
      </c>
      <c r="AI1164" t="str">
        <f>"1701056"</f>
        <v>1701056</v>
      </c>
      <c r="AJ1164" t="s">
        <v>211</v>
      </c>
      <c r="AK1164">
        <v>2810245445</v>
      </c>
      <c r="AL1164" t="s">
        <v>212</v>
      </c>
      <c r="AM1164" t="s">
        <v>78</v>
      </c>
      <c r="AN1164" t="s">
        <v>78</v>
      </c>
      <c r="AO1164" t="s">
        <v>78</v>
      </c>
      <c r="AP1164" t="s">
        <v>213</v>
      </c>
      <c r="AQ1164">
        <v>6</v>
      </c>
      <c r="AR1164" t="s">
        <v>123</v>
      </c>
      <c r="AS1164" t="s">
        <v>124</v>
      </c>
      <c r="AT1164" t="s">
        <v>58</v>
      </c>
      <c r="AU1164" t="s">
        <v>68</v>
      </c>
      <c r="AV1164" t="s">
        <v>69</v>
      </c>
      <c r="AW1164" s="1">
        <v>25095</v>
      </c>
      <c r="AX1164">
        <v>2</v>
      </c>
    </row>
    <row r="1165" spans="1:50">
      <c r="A1165">
        <v>197287</v>
      </c>
      <c r="B1165" t="str">
        <f>"073374021"</f>
        <v>073374021</v>
      </c>
      <c r="C1165" t="s">
        <v>105</v>
      </c>
      <c r="D1165" t="s">
        <v>2770</v>
      </c>
      <c r="E1165" t="s">
        <v>166</v>
      </c>
      <c r="F1165" t="s">
        <v>84</v>
      </c>
      <c r="G1165" t="s">
        <v>2771</v>
      </c>
      <c r="H1165" t="str">
        <f>"ΑΛ.ΣΟΥΤΣΟΥ 12 ΗΡΑΚΛΕΙΟ"</f>
        <v>ΑΛ.ΣΟΥΤΣΟΥ 12 ΗΡΑΚΛΕΙΟ</v>
      </c>
      <c r="I1165">
        <v>71306</v>
      </c>
      <c r="K1165">
        <v>6946398921</v>
      </c>
      <c r="L1165">
        <v>2811115122</v>
      </c>
      <c r="M1165" t="s">
        <v>2772</v>
      </c>
      <c r="N1165" t="s">
        <v>146</v>
      </c>
      <c r="O1165" t="s">
        <v>147</v>
      </c>
      <c r="R1165" t="s">
        <v>57</v>
      </c>
      <c r="S1165">
        <v>9</v>
      </c>
      <c r="T1165">
        <v>206</v>
      </c>
      <c r="U1165" s="1">
        <v>37866</v>
      </c>
      <c r="V1165" t="s">
        <v>123</v>
      </c>
      <c r="W1165" t="s">
        <v>124</v>
      </c>
      <c r="X1165" t="s">
        <v>58</v>
      </c>
      <c r="Y1165">
        <v>20</v>
      </c>
      <c r="Z1165" t="s">
        <v>59</v>
      </c>
      <c r="AA1165" t="s">
        <v>59</v>
      </c>
      <c r="AB1165" t="s">
        <v>59</v>
      </c>
      <c r="AC1165" t="s">
        <v>59</v>
      </c>
      <c r="AD1165" t="s">
        <v>59</v>
      </c>
      <c r="AF1165" s="1">
        <v>37866</v>
      </c>
      <c r="AG1165" t="s">
        <v>148</v>
      </c>
      <c r="AH1165" t="s">
        <v>149</v>
      </c>
      <c r="AI1165" t="str">
        <f>"1778010"</f>
        <v>1778010</v>
      </c>
      <c r="AJ1165" t="s">
        <v>672</v>
      </c>
      <c r="AK1165">
        <v>2810822455</v>
      </c>
      <c r="AL1165" t="s">
        <v>673</v>
      </c>
      <c r="AM1165" t="s">
        <v>78</v>
      </c>
      <c r="AN1165" t="s">
        <v>129</v>
      </c>
      <c r="AO1165" t="s">
        <v>130</v>
      </c>
      <c r="AP1165" t="s">
        <v>130</v>
      </c>
      <c r="AQ1165">
        <v>36</v>
      </c>
      <c r="AR1165" t="s">
        <v>123</v>
      </c>
      <c r="AS1165" t="s">
        <v>124</v>
      </c>
      <c r="AT1165" t="s">
        <v>58</v>
      </c>
      <c r="AU1165" t="s">
        <v>68</v>
      </c>
      <c r="AV1165" t="s">
        <v>69</v>
      </c>
      <c r="AW1165" s="1">
        <v>26619</v>
      </c>
      <c r="AX1165">
        <v>2</v>
      </c>
    </row>
    <row r="1166" spans="1:50">
      <c r="A1166">
        <v>198618</v>
      </c>
      <c r="B1166" t="str">
        <f>"070366710"</f>
        <v>070366710</v>
      </c>
      <c r="C1166" t="s">
        <v>50</v>
      </c>
      <c r="D1166" t="s">
        <v>2773</v>
      </c>
      <c r="E1166" t="s">
        <v>83</v>
      </c>
      <c r="F1166" t="s">
        <v>166</v>
      </c>
      <c r="G1166" t="s">
        <v>2774</v>
      </c>
      <c r="H1166" t="str">
        <f>"ΔΑΜΑΣΚΗΝΟΥ 3 ΜΑΣΤΑΜΠΑΣ"</f>
        <v>ΔΑΜΑΣΚΗΝΟΥ 3 ΜΑΣΤΑΜΠΑΣ</v>
      </c>
      <c r="I1166">
        <v>71305</v>
      </c>
      <c r="J1166">
        <v>2810370483</v>
      </c>
      <c r="K1166">
        <v>6977071639</v>
      </c>
      <c r="M1166" t="s">
        <v>2775</v>
      </c>
      <c r="N1166" t="s">
        <v>306</v>
      </c>
      <c r="O1166" t="s">
        <v>307</v>
      </c>
      <c r="R1166" t="s">
        <v>57</v>
      </c>
      <c r="S1166">
        <v>7</v>
      </c>
      <c r="T1166">
        <v>206</v>
      </c>
      <c r="U1166" s="1">
        <v>37866</v>
      </c>
      <c r="V1166" t="s">
        <v>123</v>
      </c>
      <c r="W1166" t="s">
        <v>124</v>
      </c>
      <c r="X1166" t="s">
        <v>58</v>
      </c>
      <c r="Y1166">
        <v>20</v>
      </c>
      <c r="Z1166" t="s">
        <v>59</v>
      </c>
      <c r="AA1166" t="s">
        <v>59</v>
      </c>
      <c r="AB1166" t="s">
        <v>59</v>
      </c>
      <c r="AC1166" t="s">
        <v>59</v>
      </c>
      <c r="AD1166" t="s">
        <v>59</v>
      </c>
      <c r="AF1166" s="1">
        <v>37866</v>
      </c>
      <c r="AG1166" t="s">
        <v>148</v>
      </c>
      <c r="AH1166" t="s">
        <v>149</v>
      </c>
      <c r="AI1166" t="str">
        <f>"1778010"</f>
        <v>1778010</v>
      </c>
      <c r="AJ1166" t="s">
        <v>672</v>
      </c>
      <c r="AK1166">
        <v>2810822455</v>
      </c>
      <c r="AL1166" t="s">
        <v>673</v>
      </c>
      <c r="AM1166" t="s">
        <v>78</v>
      </c>
      <c r="AN1166" t="s">
        <v>129</v>
      </c>
      <c r="AO1166" t="s">
        <v>130</v>
      </c>
      <c r="AP1166" t="s">
        <v>130</v>
      </c>
      <c r="AQ1166">
        <v>36</v>
      </c>
      <c r="AR1166" t="s">
        <v>123</v>
      </c>
      <c r="AS1166" t="s">
        <v>124</v>
      </c>
      <c r="AT1166" t="s">
        <v>58</v>
      </c>
      <c r="AU1166" t="s">
        <v>68</v>
      </c>
      <c r="AV1166" t="s">
        <v>69</v>
      </c>
      <c r="AW1166" s="1">
        <v>29568</v>
      </c>
      <c r="AX1166">
        <v>2</v>
      </c>
    </row>
    <row r="1167" spans="1:50">
      <c r="A1167">
        <v>192552</v>
      </c>
      <c r="B1167" t="str">
        <f>"034760771"</f>
        <v>034760771</v>
      </c>
      <c r="C1167" t="s">
        <v>50</v>
      </c>
      <c r="D1167" t="s">
        <v>2776</v>
      </c>
      <c r="E1167" t="s">
        <v>52</v>
      </c>
      <c r="F1167" t="s">
        <v>383</v>
      </c>
      <c r="G1167" t="s">
        <v>787</v>
      </c>
      <c r="H1167" t="str">
        <f>"Χορτάτζη 7 Λ. Χερσονήσου"</f>
        <v>Χορτάτζη 7 Λ. Χερσονήσου</v>
      </c>
      <c r="I1167">
        <v>70014</v>
      </c>
      <c r="K1167">
        <v>6978557954</v>
      </c>
      <c r="M1167" t="s">
        <v>2565</v>
      </c>
      <c r="N1167" t="s">
        <v>146</v>
      </c>
      <c r="O1167" t="s">
        <v>147</v>
      </c>
      <c r="R1167" t="s">
        <v>57</v>
      </c>
      <c r="S1167">
        <v>8</v>
      </c>
      <c r="T1167">
        <v>192</v>
      </c>
      <c r="U1167" s="1">
        <v>37497</v>
      </c>
      <c r="V1167" t="s">
        <v>123</v>
      </c>
      <c r="W1167" t="s">
        <v>124</v>
      </c>
      <c r="X1167" t="s">
        <v>58</v>
      </c>
      <c r="Y1167">
        <v>20</v>
      </c>
      <c r="Z1167" t="s">
        <v>59</v>
      </c>
      <c r="AA1167" t="s">
        <v>59</v>
      </c>
      <c r="AB1167" t="s">
        <v>59</v>
      </c>
      <c r="AC1167" t="s">
        <v>59</v>
      </c>
      <c r="AD1167" t="s">
        <v>59</v>
      </c>
      <c r="AF1167" s="1">
        <v>37501</v>
      </c>
      <c r="AG1167" t="s">
        <v>148</v>
      </c>
      <c r="AH1167" t="s">
        <v>149</v>
      </c>
      <c r="AI1167" t="str">
        <f>"1764010"</f>
        <v>1764010</v>
      </c>
      <c r="AJ1167" t="s">
        <v>1058</v>
      </c>
      <c r="AK1167">
        <v>2810762862</v>
      </c>
      <c r="AL1167" t="s">
        <v>1059</v>
      </c>
      <c r="AM1167" t="s">
        <v>78</v>
      </c>
      <c r="AN1167" t="s">
        <v>219</v>
      </c>
      <c r="AO1167" t="s">
        <v>297</v>
      </c>
      <c r="AP1167" t="s">
        <v>297</v>
      </c>
      <c r="AQ1167">
        <v>37</v>
      </c>
      <c r="AR1167" t="s">
        <v>123</v>
      </c>
      <c r="AS1167" t="s">
        <v>124</v>
      </c>
      <c r="AT1167" t="s">
        <v>58</v>
      </c>
      <c r="AU1167" t="s">
        <v>68</v>
      </c>
      <c r="AV1167" t="s">
        <v>69</v>
      </c>
      <c r="AW1167" s="1">
        <v>24479</v>
      </c>
      <c r="AX1167">
        <v>2</v>
      </c>
    </row>
    <row r="1168" spans="1:50">
      <c r="A1168">
        <v>162624</v>
      </c>
      <c r="B1168" t="str">
        <f>"062955172"</f>
        <v>062955172</v>
      </c>
      <c r="C1168" t="s">
        <v>50</v>
      </c>
      <c r="D1168" t="s">
        <v>2776</v>
      </c>
      <c r="E1168" t="s">
        <v>52</v>
      </c>
      <c r="F1168" t="s">
        <v>99</v>
      </c>
      <c r="G1168" t="s">
        <v>1452</v>
      </c>
      <c r="H1168" t="str">
        <f>"ΑΝΔΡΕΑΔΑΚΗ 8 "</f>
        <v xml:space="preserve">ΑΝΔΡΕΑΔΑΚΗ 8 </v>
      </c>
      <c r="I1168">
        <v>71202</v>
      </c>
      <c r="J1168">
        <v>2810280143</v>
      </c>
      <c r="K1168">
        <v>6978556534</v>
      </c>
      <c r="M1168" t="s">
        <v>2777</v>
      </c>
      <c r="N1168" t="s">
        <v>292</v>
      </c>
      <c r="O1168" t="s">
        <v>293</v>
      </c>
      <c r="R1168" t="s">
        <v>57</v>
      </c>
      <c r="S1168">
        <v>14</v>
      </c>
      <c r="T1168">
        <v>132</v>
      </c>
      <c r="U1168" s="1">
        <v>33456</v>
      </c>
      <c r="V1168" t="s">
        <v>123</v>
      </c>
      <c r="W1168" t="s">
        <v>124</v>
      </c>
      <c r="X1168" t="s">
        <v>58</v>
      </c>
      <c r="Y1168">
        <v>18</v>
      </c>
      <c r="Z1168" t="s">
        <v>59</v>
      </c>
      <c r="AA1168" t="s">
        <v>59</v>
      </c>
      <c r="AB1168" t="s">
        <v>59</v>
      </c>
      <c r="AC1168" t="s">
        <v>59</v>
      </c>
      <c r="AD1168" t="s">
        <v>59</v>
      </c>
      <c r="AF1168" s="1">
        <v>33490</v>
      </c>
      <c r="AG1168" t="s">
        <v>148</v>
      </c>
      <c r="AH1168" t="s">
        <v>149</v>
      </c>
      <c r="AI1168" t="str">
        <f>"1751010"</f>
        <v>1751010</v>
      </c>
      <c r="AJ1168" t="s">
        <v>150</v>
      </c>
      <c r="AK1168">
        <v>2810346092</v>
      </c>
      <c r="AL1168" t="s">
        <v>151</v>
      </c>
      <c r="AM1168" t="s">
        <v>78</v>
      </c>
      <c r="AN1168" t="s">
        <v>78</v>
      </c>
      <c r="AO1168" t="s">
        <v>78</v>
      </c>
      <c r="AP1168" t="s">
        <v>79</v>
      </c>
      <c r="AQ1168">
        <v>1</v>
      </c>
      <c r="AR1168" t="s">
        <v>123</v>
      </c>
      <c r="AS1168" t="s">
        <v>124</v>
      </c>
      <c r="AT1168" t="s">
        <v>58</v>
      </c>
      <c r="AU1168" t="s">
        <v>68</v>
      </c>
      <c r="AV1168" t="s">
        <v>69</v>
      </c>
      <c r="AW1168" s="1">
        <v>21208</v>
      </c>
      <c r="AX1168">
        <v>2</v>
      </c>
    </row>
    <row r="1169" spans="1:50">
      <c r="A1169">
        <v>154786</v>
      </c>
      <c r="B1169" t="str">
        <f>"030874920"</f>
        <v>030874920</v>
      </c>
      <c r="C1169" t="s">
        <v>105</v>
      </c>
      <c r="D1169" t="s">
        <v>2778</v>
      </c>
      <c r="E1169" t="s">
        <v>95</v>
      </c>
      <c r="F1169" t="s">
        <v>111</v>
      </c>
      <c r="G1169" t="s">
        <v>964</v>
      </c>
      <c r="H1169" t="str">
        <f>"ΕΠΟΝ 7 ΗΡΑΚΛΕΙΟΥ"</f>
        <v>ΕΠΟΝ 7 ΗΡΑΚΛΕΙΟΥ</v>
      </c>
      <c r="I1169">
        <v>71409</v>
      </c>
      <c r="J1169">
        <v>2810210428</v>
      </c>
      <c r="K1169">
        <v>6976693957</v>
      </c>
      <c r="M1169" t="s">
        <v>2779</v>
      </c>
      <c r="N1169" t="s">
        <v>176</v>
      </c>
      <c r="O1169" t="s">
        <v>177</v>
      </c>
      <c r="R1169" t="s">
        <v>57</v>
      </c>
      <c r="S1169">
        <v>16</v>
      </c>
      <c r="T1169">
        <v>161</v>
      </c>
      <c r="U1169" s="1">
        <v>32387</v>
      </c>
      <c r="V1169" t="s">
        <v>123</v>
      </c>
      <c r="W1169" t="s">
        <v>124</v>
      </c>
      <c r="X1169" t="s">
        <v>58</v>
      </c>
      <c r="Y1169">
        <v>18</v>
      </c>
      <c r="Z1169" t="s">
        <v>59</v>
      </c>
      <c r="AA1169" t="s">
        <v>59</v>
      </c>
      <c r="AB1169" t="s">
        <v>59</v>
      </c>
      <c r="AC1169" t="s">
        <v>59</v>
      </c>
      <c r="AD1169" t="s">
        <v>59</v>
      </c>
      <c r="AF1169" s="1">
        <v>32392</v>
      </c>
      <c r="AG1169" t="s">
        <v>148</v>
      </c>
      <c r="AH1169" t="s">
        <v>149</v>
      </c>
      <c r="AI1169" t="str">
        <f>"1751052"</f>
        <v>1751052</v>
      </c>
      <c r="AJ1169" t="s">
        <v>328</v>
      </c>
      <c r="AK1169">
        <v>2810213762</v>
      </c>
      <c r="AL1169" t="s">
        <v>329</v>
      </c>
      <c r="AM1169" t="s">
        <v>78</v>
      </c>
      <c r="AN1169" t="s">
        <v>78</v>
      </c>
      <c r="AO1169" t="s">
        <v>78</v>
      </c>
      <c r="AP1169" t="s">
        <v>163</v>
      </c>
      <c r="AQ1169">
        <v>8</v>
      </c>
      <c r="AR1169" t="s">
        <v>123</v>
      </c>
      <c r="AS1169" t="s">
        <v>124</v>
      </c>
      <c r="AT1169" t="s">
        <v>58</v>
      </c>
      <c r="AU1169" t="s">
        <v>68</v>
      </c>
      <c r="AV1169" t="s">
        <v>69</v>
      </c>
      <c r="AW1169" s="1">
        <v>22723</v>
      </c>
      <c r="AX1169">
        <v>2</v>
      </c>
    </row>
    <row r="1170" spans="1:50">
      <c r="B1170" t="str">
        <f>"046393804"</f>
        <v>046393804</v>
      </c>
      <c r="C1170" t="s">
        <v>50</v>
      </c>
      <c r="D1170" t="s">
        <v>2780</v>
      </c>
      <c r="E1170" t="s">
        <v>109</v>
      </c>
      <c r="F1170" t="s">
        <v>84</v>
      </c>
      <c r="G1170" t="s">
        <v>143</v>
      </c>
      <c r="H1170" t="str">
        <f>"Τ.Θ.175 ΒΡΑΧΟΚΗΠΟΣ-ΚΟΚΚΙΝΙ ΗΡΑΚΛΕΙΟ"</f>
        <v>Τ.Θ.175 ΒΡΑΧΟΚΗΠΟΣ-ΚΟΚΚΙΝΙ ΗΡΑΚΛΕΙΟ</v>
      </c>
      <c r="I1170">
        <v>71500</v>
      </c>
      <c r="J1170">
        <v>2810239519</v>
      </c>
      <c r="K1170">
        <v>6976126215</v>
      </c>
      <c r="M1170" t="s">
        <v>2781</v>
      </c>
      <c r="N1170" t="s">
        <v>292</v>
      </c>
      <c r="O1170" t="s">
        <v>293</v>
      </c>
      <c r="R1170" t="s">
        <v>159</v>
      </c>
      <c r="S1170">
        <v>3</v>
      </c>
      <c r="T1170" t="s">
        <v>160</v>
      </c>
      <c r="U1170" s="1">
        <v>43364</v>
      </c>
      <c r="V1170" t="s">
        <v>123</v>
      </c>
      <c r="W1170" t="s">
        <v>124</v>
      </c>
      <c r="X1170" t="s">
        <v>58</v>
      </c>
      <c r="Y1170">
        <v>23</v>
      </c>
      <c r="Z1170" t="s">
        <v>59</v>
      </c>
      <c r="AA1170" t="s">
        <v>59</v>
      </c>
      <c r="AB1170" t="s">
        <v>59</v>
      </c>
      <c r="AC1170" t="s">
        <v>59</v>
      </c>
      <c r="AD1170" t="s">
        <v>59</v>
      </c>
      <c r="AF1170" s="1">
        <v>43367</v>
      </c>
      <c r="AG1170" t="s">
        <v>148</v>
      </c>
      <c r="AH1170" t="s">
        <v>2782</v>
      </c>
      <c r="AI1170" t="str">
        <f>"1751001"</f>
        <v>1751001</v>
      </c>
      <c r="AJ1170" t="s">
        <v>2783</v>
      </c>
      <c r="AK1170">
        <v>2810261985</v>
      </c>
      <c r="AL1170" t="s">
        <v>2784</v>
      </c>
      <c r="AM1170" t="s">
        <v>78</v>
      </c>
      <c r="AN1170" t="s">
        <v>78</v>
      </c>
      <c r="AO1170" t="s">
        <v>78</v>
      </c>
      <c r="AP1170" t="s">
        <v>141</v>
      </c>
      <c r="AQ1170">
        <v>4</v>
      </c>
      <c r="AR1170" t="s">
        <v>123</v>
      </c>
      <c r="AS1170" t="s">
        <v>124</v>
      </c>
      <c r="AT1170" t="s">
        <v>58</v>
      </c>
      <c r="AU1170" t="s">
        <v>164</v>
      </c>
      <c r="AV1170" t="s">
        <v>132</v>
      </c>
      <c r="AW1170" s="1">
        <v>25693</v>
      </c>
      <c r="AX1170">
        <v>2</v>
      </c>
    </row>
    <row r="1171" spans="1:50">
      <c r="A1171">
        <v>171605</v>
      </c>
      <c r="B1171" t="str">
        <f>"028666041"</f>
        <v>028666041</v>
      </c>
      <c r="C1171" t="s">
        <v>50</v>
      </c>
      <c r="D1171" t="s">
        <v>2785</v>
      </c>
      <c r="E1171" t="s">
        <v>188</v>
      </c>
      <c r="F1171" t="s">
        <v>609</v>
      </c>
      <c r="G1171" t="s">
        <v>52</v>
      </c>
      <c r="H1171" t="str">
        <f>"ΣΤΟ ΔΡΟΜΟ ΓΙΑ ΑΡΚΑΛΙ "</f>
        <v xml:space="preserve">ΣΤΟ ΔΡΟΜΟ ΓΙΑ ΑΡΚΑΛΙ </v>
      </c>
      <c r="I1171">
        <v>70300</v>
      </c>
      <c r="K1171">
        <v>6972377039</v>
      </c>
      <c r="M1171" t="s">
        <v>2786</v>
      </c>
      <c r="N1171" t="s">
        <v>176</v>
      </c>
      <c r="O1171" t="s">
        <v>177</v>
      </c>
      <c r="R1171" t="s">
        <v>57</v>
      </c>
      <c r="S1171">
        <v>13</v>
      </c>
      <c r="T1171">
        <v>184</v>
      </c>
      <c r="U1171" s="1">
        <v>34941</v>
      </c>
      <c r="V1171" t="s">
        <v>123</v>
      </c>
      <c r="W1171" t="s">
        <v>124</v>
      </c>
      <c r="X1171" t="s">
        <v>58</v>
      </c>
      <c r="Y1171">
        <v>18</v>
      </c>
      <c r="Z1171" t="s">
        <v>59</v>
      </c>
      <c r="AA1171" t="s">
        <v>59</v>
      </c>
      <c r="AB1171" t="s">
        <v>59</v>
      </c>
      <c r="AC1171" t="s">
        <v>59</v>
      </c>
      <c r="AD1171" t="s">
        <v>59</v>
      </c>
      <c r="AF1171" s="1">
        <v>34947</v>
      </c>
      <c r="AG1171" t="s">
        <v>148</v>
      </c>
      <c r="AH1171" t="s">
        <v>149</v>
      </c>
      <c r="AI1171" t="str">
        <f>"1752010"</f>
        <v>1752010</v>
      </c>
      <c r="AJ1171" t="s">
        <v>896</v>
      </c>
      <c r="AK1171">
        <v>2891022893</v>
      </c>
      <c r="AL1171" t="s">
        <v>897</v>
      </c>
      <c r="AM1171" t="s">
        <v>78</v>
      </c>
      <c r="AN1171" t="s">
        <v>276</v>
      </c>
      <c r="AO1171" t="s">
        <v>490</v>
      </c>
      <c r="AP1171" t="s">
        <v>490</v>
      </c>
      <c r="AQ1171">
        <v>15</v>
      </c>
      <c r="AR1171" t="s">
        <v>123</v>
      </c>
      <c r="AS1171" t="s">
        <v>124</v>
      </c>
      <c r="AT1171" t="s">
        <v>58</v>
      </c>
      <c r="AU1171" t="s">
        <v>68</v>
      </c>
      <c r="AV1171" t="s">
        <v>69</v>
      </c>
      <c r="AW1171" s="1">
        <v>23276</v>
      </c>
      <c r="AX1171">
        <v>2</v>
      </c>
    </row>
    <row r="1172" spans="1:50">
      <c r="A1172">
        <v>166453</v>
      </c>
      <c r="B1172" t="str">
        <f>"110145248"</f>
        <v>110145248</v>
      </c>
      <c r="C1172" t="s">
        <v>50</v>
      </c>
      <c r="D1172" t="s">
        <v>2787</v>
      </c>
      <c r="E1172" t="s">
        <v>964</v>
      </c>
      <c r="F1172" t="s">
        <v>450</v>
      </c>
      <c r="G1172" t="s">
        <v>52</v>
      </c>
      <c r="H1172" t="str">
        <f>"ΣΜΠΩΚΟΥ 38 "</f>
        <v xml:space="preserve">ΣΜΠΩΚΟΥ 38 </v>
      </c>
      <c r="I1172">
        <v>71306</v>
      </c>
      <c r="J1172">
        <v>2810212833</v>
      </c>
      <c r="K1172">
        <v>6941507510</v>
      </c>
      <c r="M1172" t="s">
        <v>2788</v>
      </c>
      <c r="N1172" t="s">
        <v>306</v>
      </c>
      <c r="O1172" t="s">
        <v>307</v>
      </c>
      <c r="R1172" t="s">
        <v>57</v>
      </c>
      <c r="S1172">
        <v>12</v>
      </c>
      <c r="T1172">
        <v>137</v>
      </c>
      <c r="U1172" s="1">
        <v>34206</v>
      </c>
      <c r="V1172" t="s">
        <v>123</v>
      </c>
      <c r="W1172" t="s">
        <v>124</v>
      </c>
      <c r="X1172" t="s">
        <v>58</v>
      </c>
      <c r="Y1172">
        <v>18</v>
      </c>
      <c r="Z1172" t="s">
        <v>59</v>
      </c>
      <c r="AA1172" t="s">
        <v>59</v>
      </c>
      <c r="AB1172" t="s">
        <v>59</v>
      </c>
      <c r="AC1172" t="s">
        <v>59</v>
      </c>
      <c r="AD1172" t="s">
        <v>59</v>
      </c>
      <c r="AF1172" s="1">
        <v>34215</v>
      </c>
      <c r="AG1172" t="s">
        <v>125</v>
      </c>
      <c r="AH1172" t="s">
        <v>126</v>
      </c>
      <c r="AI1172" t="str">
        <f>"1701041"</f>
        <v>1701041</v>
      </c>
      <c r="AJ1172" t="s">
        <v>161</v>
      </c>
      <c r="AK1172">
        <v>2810327052</v>
      </c>
      <c r="AL1172" t="s">
        <v>162</v>
      </c>
      <c r="AM1172" t="s">
        <v>78</v>
      </c>
      <c r="AN1172" t="s">
        <v>78</v>
      </c>
      <c r="AO1172" t="s">
        <v>78</v>
      </c>
      <c r="AP1172" t="s">
        <v>163</v>
      </c>
      <c r="AQ1172">
        <v>5</v>
      </c>
      <c r="AR1172" t="s">
        <v>123</v>
      </c>
      <c r="AS1172" t="s">
        <v>124</v>
      </c>
      <c r="AT1172" t="s">
        <v>58</v>
      </c>
      <c r="AU1172" t="s">
        <v>68</v>
      </c>
      <c r="AV1172" t="s">
        <v>69</v>
      </c>
      <c r="AW1172" s="1">
        <v>24416</v>
      </c>
      <c r="AX1172">
        <v>2</v>
      </c>
    </row>
    <row r="1173" spans="1:50">
      <c r="A1173">
        <v>197291</v>
      </c>
      <c r="B1173" t="str">
        <f>"061508767"</f>
        <v>061508767</v>
      </c>
      <c r="C1173" t="s">
        <v>50</v>
      </c>
      <c r="D1173" t="s">
        <v>2789</v>
      </c>
      <c r="E1173" t="s">
        <v>566</v>
      </c>
      <c r="F1173" t="s">
        <v>1376</v>
      </c>
      <c r="G1173" t="s">
        <v>237</v>
      </c>
      <c r="H1173" t="str">
        <f>" "</f>
        <v xml:space="preserve"> </v>
      </c>
      <c r="J1173">
        <v>2810263262</v>
      </c>
      <c r="K1173">
        <v>6976000555</v>
      </c>
      <c r="M1173" t="s">
        <v>2790</v>
      </c>
      <c r="N1173" t="s">
        <v>146</v>
      </c>
      <c r="O1173" t="s">
        <v>147</v>
      </c>
      <c r="R1173" t="s">
        <v>57</v>
      </c>
      <c r="S1173">
        <v>7</v>
      </c>
      <c r="T1173">
        <v>206</v>
      </c>
      <c r="U1173" s="1">
        <v>37866</v>
      </c>
      <c r="V1173" t="s">
        <v>123</v>
      </c>
      <c r="W1173" t="s">
        <v>124</v>
      </c>
      <c r="X1173" t="s">
        <v>58</v>
      </c>
      <c r="Y1173">
        <v>20</v>
      </c>
      <c r="Z1173" t="s">
        <v>59</v>
      </c>
      <c r="AA1173" t="s">
        <v>59</v>
      </c>
      <c r="AB1173" t="s">
        <v>59</v>
      </c>
      <c r="AC1173" t="s">
        <v>59</v>
      </c>
      <c r="AD1173" t="s">
        <v>59</v>
      </c>
      <c r="AF1173" s="1">
        <v>37866</v>
      </c>
      <c r="AG1173" t="s">
        <v>125</v>
      </c>
      <c r="AH1173" t="s">
        <v>126</v>
      </c>
      <c r="AI1173" t="str">
        <f>"1701040"</f>
        <v>1701040</v>
      </c>
      <c r="AJ1173" t="s">
        <v>748</v>
      </c>
      <c r="AK1173">
        <v>2810252459</v>
      </c>
      <c r="AL1173" t="s">
        <v>749</v>
      </c>
      <c r="AM1173" t="s">
        <v>78</v>
      </c>
      <c r="AN1173" t="s">
        <v>78</v>
      </c>
      <c r="AO1173" t="s">
        <v>78</v>
      </c>
      <c r="AP1173" t="s">
        <v>141</v>
      </c>
      <c r="AQ1173">
        <v>3</v>
      </c>
      <c r="AR1173" t="s">
        <v>123</v>
      </c>
      <c r="AS1173" t="s">
        <v>124</v>
      </c>
      <c r="AT1173" t="s">
        <v>58</v>
      </c>
      <c r="AU1173" t="s">
        <v>68</v>
      </c>
      <c r="AV1173" t="s">
        <v>69</v>
      </c>
      <c r="AW1173" s="1">
        <v>26476</v>
      </c>
      <c r="AX1173">
        <v>2</v>
      </c>
    </row>
    <row r="1174" spans="1:50">
      <c r="A1174">
        <v>229598</v>
      </c>
      <c r="B1174" t="str">
        <f>"068572749"</f>
        <v>068572749</v>
      </c>
      <c r="C1174" t="s">
        <v>50</v>
      </c>
      <c r="D1174" t="s">
        <v>2791</v>
      </c>
      <c r="E1174" t="s">
        <v>1484</v>
      </c>
      <c r="F1174" t="s">
        <v>95</v>
      </c>
      <c r="G1174" t="s">
        <v>610</v>
      </c>
      <c r="H1174" t="str">
        <f>"ΒΟΥΔΙΚΛΑΡΗ 36 ΧΑΛΚΙΔΑ"</f>
        <v>ΒΟΥΔΙΚΛΑΡΗ 36 ΧΑΛΚΙΔΑ</v>
      </c>
      <c r="I1174">
        <v>34100</v>
      </c>
      <c r="J1174">
        <v>2221020323</v>
      </c>
      <c r="K1174">
        <v>6945106463</v>
      </c>
      <c r="L1174">
        <v>2106756738</v>
      </c>
      <c r="M1174" t="s">
        <v>2792</v>
      </c>
      <c r="N1174" t="s">
        <v>384</v>
      </c>
      <c r="O1174" t="s">
        <v>385</v>
      </c>
      <c r="R1174" t="s">
        <v>57</v>
      </c>
      <c r="S1174">
        <v>5</v>
      </c>
      <c r="T1174">
        <v>926</v>
      </c>
      <c r="U1174" s="1">
        <v>40130</v>
      </c>
      <c r="V1174" t="s">
        <v>123</v>
      </c>
      <c r="W1174" t="s">
        <v>124</v>
      </c>
      <c r="X1174" t="s">
        <v>58</v>
      </c>
      <c r="Y1174">
        <v>21</v>
      </c>
      <c r="Z1174" t="s">
        <v>59</v>
      </c>
      <c r="AA1174" t="s">
        <v>59</v>
      </c>
      <c r="AB1174" t="s">
        <v>59</v>
      </c>
      <c r="AC1174" t="s">
        <v>59</v>
      </c>
      <c r="AD1174" t="s">
        <v>59</v>
      </c>
      <c r="AF1174" s="1">
        <v>40135</v>
      </c>
      <c r="AG1174" t="s">
        <v>148</v>
      </c>
      <c r="AH1174" t="s">
        <v>149</v>
      </c>
      <c r="AI1174" t="str">
        <f>"1751020"</f>
        <v>1751020</v>
      </c>
      <c r="AJ1174" t="s">
        <v>532</v>
      </c>
      <c r="AK1174">
        <v>2810372732</v>
      </c>
      <c r="AL1174" t="s">
        <v>533</v>
      </c>
      <c r="AM1174" t="s">
        <v>78</v>
      </c>
      <c r="AN1174" t="s">
        <v>78</v>
      </c>
      <c r="AO1174" t="s">
        <v>78</v>
      </c>
      <c r="AP1174" t="s">
        <v>163</v>
      </c>
      <c r="AQ1174">
        <v>3</v>
      </c>
      <c r="AR1174" t="s">
        <v>123</v>
      </c>
      <c r="AS1174" t="s">
        <v>124</v>
      </c>
      <c r="AT1174" t="s">
        <v>58</v>
      </c>
      <c r="AU1174" t="s">
        <v>68</v>
      </c>
      <c r="AV1174" t="s">
        <v>69</v>
      </c>
      <c r="AW1174" s="1">
        <v>27936</v>
      </c>
      <c r="AX1174">
        <v>2</v>
      </c>
    </row>
    <row r="1175" spans="1:50">
      <c r="B1175" t="str">
        <f>"130187220"</f>
        <v>130187220</v>
      </c>
      <c r="C1175" t="s">
        <v>50</v>
      </c>
      <c r="D1175" t="s">
        <v>2793</v>
      </c>
      <c r="E1175" t="s">
        <v>396</v>
      </c>
      <c r="F1175" t="s">
        <v>111</v>
      </c>
      <c r="H1175" t="str">
        <f>" "</f>
        <v xml:space="preserve"> </v>
      </c>
      <c r="N1175" t="s">
        <v>536</v>
      </c>
      <c r="O1175" t="s">
        <v>537</v>
      </c>
      <c r="R1175" t="s">
        <v>159</v>
      </c>
      <c r="S1175">
        <v>3</v>
      </c>
      <c r="T1175" t="s">
        <v>344</v>
      </c>
      <c r="U1175" s="1">
        <v>43348</v>
      </c>
      <c r="V1175" t="s">
        <v>123</v>
      </c>
      <c r="W1175" t="s">
        <v>124</v>
      </c>
      <c r="X1175" t="s">
        <v>58</v>
      </c>
      <c r="Y1175">
        <v>23</v>
      </c>
      <c r="Z1175" t="s">
        <v>59</v>
      </c>
      <c r="AA1175" t="s">
        <v>59</v>
      </c>
      <c r="AB1175" t="s">
        <v>59</v>
      </c>
      <c r="AC1175" t="s">
        <v>59</v>
      </c>
      <c r="AD1175" t="s">
        <v>59</v>
      </c>
      <c r="AF1175" s="1">
        <v>43348</v>
      </c>
      <c r="AG1175" t="s">
        <v>125</v>
      </c>
      <c r="AH1175" t="s">
        <v>590</v>
      </c>
      <c r="AI1175" t="str">
        <f>"1740060"</f>
        <v>1740060</v>
      </c>
      <c r="AJ1175" t="s">
        <v>591</v>
      </c>
      <c r="AK1175">
        <v>2810232117</v>
      </c>
      <c r="AL1175" t="s">
        <v>592</v>
      </c>
      <c r="AM1175" t="s">
        <v>78</v>
      </c>
      <c r="AN1175" t="s">
        <v>78</v>
      </c>
      <c r="AO1175" t="s">
        <v>78</v>
      </c>
      <c r="AP1175" t="s">
        <v>141</v>
      </c>
      <c r="AQ1175">
        <v>11</v>
      </c>
      <c r="AR1175" t="s">
        <v>123</v>
      </c>
      <c r="AS1175" t="s">
        <v>124</v>
      </c>
      <c r="AT1175" t="s">
        <v>58</v>
      </c>
      <c r="AU1175" t="s">
        <v>350</v>
      </c>
      <c r="AV1175" t="s">
        <v>132</v>
      </c>
      <c r="AW1175" s="1">
        <v>29435</v>
      </c>
      <c r="AX1175">
        <v>2</v>
      </c>
    </row>
    <row r="1176" spans="1:50">
      <c r="A1176">
        <v>190103</v>
      </c>
      <c r="B1176" t="str">
        <f>"103539339"</f>
        <v>103539339</v>
      </c>
      <c r="C1176" t="s">
        <v>50</v>
      </c>
      <c r="D1176" t="s">
        <v>2794</v>
      </c>
      <c r="E1176" t="s">
        <v>600</v>
      </c>
      <c r="F1176" t="s">
        <v>1316</v>
      </c>
      <c r="G1176" t="s">
        <v>529</v>
      </c>
      <c r="H1176" t="str">
        <f>" "</f>
        <v xml:space="preserve"> </v>
      </c>
      <c r="M1176" t="s">
        <v>2795</v>
      </c>
      <c r="N1176" t="s">
        <v>199</v>
      </c>
      <c r="O1176" t="s">
        <v>200</v>
      </c>
      <c r="R1176" t="s">
        <v>57</v>
      </c>
      <c r="S1176">
        <v>16</v>
      </c>
      <c r="T1176">
        <v>219</v>
      </c>
      <c r="U1176" s="1">
        <v>37134</v>
      </c>
      <c r="V1176" t="s">
        <v>123</v>
      </c>
      <c r="W1176" t="s">
        <v>124</v>
      </c>
      <c r="X1176" t="s">
        <v>58</v>
      </c>
      <c r="Y1176">
        <v>20</v>
      </c>
      <c r="Z1176" t="s">
        <v>59</v>
      </c>
      <c r="AA1176" t="s">
        <v>59</v>
      </c>
      <c r="AB1176" t="s">
        <v>59</v>
      </c>
      <c r="AC1176" t="s">
        <v>59</v>
      </c>
      <c r="AD1176" t="s">
        <v>452</v>
      </c>
      <c r="AE1176" s="1">
        <v>43708</v>
      </c>
      <c r="AF1176" s="1">
        <v>37137</v>
      </c>
      <c r="AG1176" t="s">
        <v>60</v>
      </c>
      <c r="AH1176" t="s">
        <v>453</v>
      </c>
      <c r="AI1176" t="str">
        <f>"1700105"</f>
        <v>1700105</v>
      </c>
      <c r="AJ1176" t="s">
        <v>124</v>
      </c>
      <c r="AK1176">
        <v>2810333720</v>
      </c>
      <c r="AL1176" t="s">
        <v>454</v>
      </c>
      <c r="AM1176" t="s">
        <v>78</v>
      </c>
      <c r="AN1176" t="s">
        <v>78</v>
      </c>
      <c r="AO1176" t="s">
        <v>78</v>
      </c>
      <c r="AP1176" t="s">
        <v>79</v>
      </c>
      <c r="AS1176" t="s">
        <v>124</v>
      </c>
      <c r="AT1176" t="s">
        <v>58</v>
      </c>
      <c r="AU1176" t="s">
        <v>68</v>
      </c>
      <c r="AV1176" t="s">
        <v>455</v>
      </c>
      <c r="AW1176" s="1">
        <v>22939</v>
      </c>
      <c r="AX1176">
        <v>2</v>
      </c>
    </row>
    <row r="1177" spans="1:50">
      <c r="A1177">
        <v>703645</v>
      </c>
      <c r="B1177" t="str">
        <f>"129604771"</f>
        <v>129604771</v>
      </c>
      <c r="C1177" t="s">
        <v>50</v>
      </c>
      <c r="D1177" t="s">
        <v>2796</v>
      </c>
      <c r="E1177" t="s">
        <v>964</v>
      </c>
      <c r="F1177" t="s">
        <v>670</v>
      </c>
      <c r="G1177" t="s">
        <v>155</v>
      </c>
      <c r="H1177" t="str">
        <f>"ΓΡΥΠΑΡΗ 12 "</f>
        <v xml:space="preserve">ΓΡΥΠΑΡΗ 12 </v>
      </c>
      <c r="I1177">
        <v>16345</v>
      </c>
      <c r="J1177">
        <v>2109755273</v>
      </c>
      <c r="K1177">
        <v>6945601535</v>
      </c>
      <c r="N1177" t="s">
        <v>146</v>
      </c>
      <c r="O1177" t="s">
        <v>147</v>
      </c>
      <c r="R1177" t="s">
        <v>57</v>
      </c>
      <c r="S1177">
        <v>3</v>
      </c>
      <c r="T1177">
        <v>1229</v>
      </c>
      <c r="U1177" s="1">
        <v>41233</v>
      </c>
      <c r="V1177" t="s">
        <v>123</v>
      </c>
      <c r="W1177" t="s">
        <v>124</v>
      </c>
      <c r="X1177" t="s">
        <v>58</v>
      </c>
      <c r="Y1177">
        <v>23</v>
      </c>
      <c r="Z1177" t="s">
        <v>59</v>
      </c>
      <c r="AA1177" t="s">
        <v>59</v>
      </c>
      <c r="AB1177" t="s">
        <v>59</v>
      </c>
      <c r="AC1177" t="s">
        <v>59</v>
      </c>
      <c r="AD1177" t="s">
        <v>59</v>
      </c>
      <c r="AF1177" s="1">
        <v>41233</v>
      </c>
      <c r="AG1177" t="s">
        <v>125</v>
      </c>
      <c r="AH1177" t="s">
        <v>126</v>
      </c>
      <c r="AI1177" t="str">
        <f>"1714010"</f>
        <v>1714010</v>
      </c>
      <c r="AJ1177" t="s">
        <v>997</v>
      </c>
      <c r="AK1177">
        <v>2894031333</v>
      </c>
      <c r="AL1177" t="s">
        <v>998</v>
      </c>
      <c r="AM1177" t="s">
        <v>78</v>
      </c>
      <c r="AN1177" t="s">
        <v>242</v>
      </c>
      <c r="AO1177" t="s">
        <v>999</v>
      </c>
      <c r="AP1177" t="s">
        <v>999</v>
      </c>
      <c r="AQ1177">
        <v>31</v>
      </c>
      <c r="AR1177" t="s">
        <v>123</v>
      </c>
      <c r="AS1177" t="s">
        <v>124</v>
      </c>
      <c r="AT1177" t="s">
        <v>58</v>
      </c>
      <c r="AU1177" t="s">
        <v>68</v>
      </c>
      <c r="AV1177" t="s">
        <v>69</v>
      </c>
      <c r="AW1177" s="1">
        <v>29799</v>
      </c>
      <c r="AX1177">
        <v>2</v>
      </c>
    </row>
    <row r="1178" spans="1:50">
      <c r="A1178">
        <v>218073</v>
      </c>
      <c r="B1178" t="str">
        <f>"118857062"</f>
        <v>118857062</v>
      </c>
      <c r="C1178" t="s">
        <v>105</v>
      </c>
      <c r="D1178" t="s">
        <v>2797</v>
      </c>
      <c r="E1178" t="s">
        <v>309</v>
      </c>
      <c r="F1178" t="s">
        <v>53</v>
      </c>
      <c r="G1178" t="s">
        <v>1189</v>
      </c>
      <c r="H1178" t="str">
        <f>" "</f>
        <v xml:space="preserve"> </v>
      </c>
      <c r="J1178">
        <v>2228031300</v>
      </c>
      <c r="K1178">
        <v>6974505380</v>
      </c>
      <c r="M1178" t="s">
        <v>2798</v>
      </c>
      <c r="N1178" t="s">
        <v>292</v>
      </c>
      <c r="O1178" t="s">
        <v>293</v>
      </c>
      <c r="R1178" t="s">
        <v>57</v>
      </c>
      <c r="S1178">
        <v>7</v>
      </c>
      <c r="T1178">
        <v>599</v>
      </c>
      <c r="U1178" s="1">
        <v>39310</v>
      </c>
      <c r="V1178" t="s">
        <v>123</v>
      </c>
      <c r="W1178" t="s">
        <v>124</v>
      </c>
      <c r="X1178" t="s">
        <v>58</v>
      </c>
      <c r="Y1178">
        <v>21</v>
      </c>
      <c r="Z1178" t="s">
        <v>59</v>
      </c>
      <c r="AA1178" t="s">
        <v>59</v>
      </c>
      <c r="AB1178" t="s">
        <v>59</v>
      </c>
      <c r="AC1178" t="s">
        <v>59</v>
      </c>
      <c r="AD1178" t="s">
        <v>59</v>
      </c>
      <c r="AF1178" s="1">
        <v>39330</v>
      </c>
      <c r="AG1178" t="s">
        <v>137</v>
      </c>
      <c r="AH1178" t="s">
        <v>469</v>
      </c>
      <c r="AI1178" t="str">
        <f>"1740200"</f>
        <v>1740200</v>
      </c>
      <c r="AJ1178" t="s">
        <v>470</v>
      </c>
      <c r="AK1178">
        <v>2810320770</v>
      </c>
      <c r="AL1178" t="s">
        <v>471</v>
      </c>
      <c r="AM1178" t="s">
        <v>78</v>
      </c>
      <c r="AN1178" t="s">
        <v>78</v>
      </c>
      <c r="AO1178" t="s">
        <v>78</v>
      </c>
      <c r="AP1178" t="s">
        <v>163</v>
      </c>
      <c r="AQ1178">
        <v>2</v>
      </c>
      <c r="AR1178" t="s">
        <v>123</v>
      </c>
      <c r="AS1178" t="s">
        <v>124</v>
      </c>
      <c r="AT1178" t="s">
        <v>58</v>
      </c>
      <c r="AU1178" t="s">
        <v>68</v>
      </c>
      <c r="AV1178" t="s">
        <v>69</v>
      </c>
      <c r="AW1178" s="1">
        <v>28184</v>
      </c>
      <c r="AX1178">
        <v>2</v>
      </c>
    </row>
    <row r="1179" spans="1:50">
      <c r="A1179">
        <v>186489</v>
      </c>
      <c r="B1179" t="str">
        <f>"038515013"</f>
        <v>038515013</v>
      </c>
      <c r="C1179" t="s">
        <v>50</v>
      </c>
      <c r="D1179" t="s">
        <v>2799</v>
      </c>
      <c r="E1179" t="s">
        <v>671</v>
      </c>
      <c r="F1179" t="s">
        <v>84</v>
      </c>
      <c r="G1179" t="s">
        <v>109</v>
      </c>
      <c r="H1179" t="str">
        <f>" "</f>
        <v xml:space="preserve"> </v>
      </c>
      <c r="N1179" t="s">
        <v>146</v>
      </c>
      <c r="O1179" t="s">
        <v>147</v>
      </c>
      <c r="R1179" t="s">
        <v>57</v>
      </c>
      <c r="S1179">
        <v>12</v>
      </c>
      <c r="T1179">
        <v>251</v>
      </c>
      <c r="U1179" s="1">
        <v>36769</v>
      </c>
      <c r="V1179" t="s">
        <v>123</v>
      </c>
      <c r="W1179" t="s">
        <v>124</v>
      </c>
      <c r="X1179" t="s">
        <v>58</v>
      </c>
      <c r="Y1179">
        <v>18</v>
      </c>
      <c r="Z1179" t="s">
        <v>59</v>
      </c>
      <c r="AA1179" t="s">
        <v>59</v>
      </c>
      <c r="AB1179" t="s">
        <v>59</v>
      </c>
      <c r="AC1179" t="s">
        <v>59</v>
      </c>
      <c r="AD1179" t="s">
        <v>59</v>
      </c>
      <c r="AF1179" s="1">
        <v>36774</v>
      </c>
      <c r="AG1179" t="s">
        <v>125</v>
      </c>
      <c r="AH1179" t="s">
        <v>126</v>
      </c>
      <c r="AI1179" t="str">
        <f>"1701050"</f>
        <v>1701050</v>
      </c>
      <c r="AJ1179" t="s">
        <v>660</v>
      </c>
      <c r="AK1179">
        <v>2810220729</v>
      </c>
      <c r="AL1179" t="s">
        <v>661</v>
      </c>
      <c r="AM1179" t="s">
        <v>78</v>
      </c>
      <c r="AN1179" t="s">
        <v>78</v>
      </c>
      <c r="AO1179" t="s">
        <v>78</v>
      </c>
      <c r="AP1179" t="s">
        <v>79</v>
      </c>
      <c r="AQ1179">
        <v>1</v>
      </c>
      <c r="AR1179" t="s">
        <v>123</v>
      </c>
      <c r="AS1179" t="s">
        <v>124</v>
      </c>
      <c r="AT1179" t="s">
        <v>58</v>
      </c>
      <c r="AU1179" t="s">
        <v>68</v>
      </c>
      <c r="AV1179" t="s">
        <v>69</v>
      </c>
      <c r="AW1179" s="1">
        <v>24274</v>
      </c>
      <c r="AX1179">
        <v>2</v>
      </c>
    </row>
    <row r="1180" spans="1:50">
      <c r="A1180">
        <v>186625</v>
      </c>
      <c r="B1180" t="str">
        <f>"114268497"</f>
        <v>114268497</v>
      </c>
      <c r="C1180" t="s">
        <v>50</v>
      </c>
      <c r="D1180" t="s">
        <v>2800</v>
      </c>
      <c r="E1180" t="s">
        <v>473</v>
      </c>
      <c r="F1180" t="s">
        <v>84</v>
      </c>
      <c r="G1180" t="s">
        <v>507</v>
      </c>
      <c r="H1180" t="str">
        <f>" "</f>
        <v xml:space="preserve"> </v>
      </c>
      <c r="N1180" t="s">
        <v>292</v>
      </c>
      <c r="O1180" t="s">
        <v>293</v>
      </c>
      <c r="R1180" t="s">
        <v>57</v>
      </c>
      <c r="S1180">
        <v>9</v>
      </c>
      <c r="T1180">
        <v>251</v>
      </c>
      <c r="U1180" s="1">
        <v>36769</v>
      </c>
      <c r="V1180" t="s">
        <v>123</v>
      </c>
      <c r="W1180" t="s">
        <v>124</v>
      </c>
      <c r="X1180" t="s">
        <v>58</v>
      </c>
      <c r="Y1180">
        <v>20</v>
      </c>
      <c r="Z1180" t="s">
        <v>59</v>
      </c>
      <c r="AA1180" t="s">
        <v>59</v>
      </c>
      <c r="AB1180" t="s">
        <v>59</v>
      </c>
      <c r="AC1180" t="s">
        <v>59</v>
      </c>
      <c r="AD1180" t="s">
        <v>59</v>
      </c>
      <c r="AF1180" s="1">
        <v>36770</v>
      </c>
      <c r="AG1180" t="s">
        <v>148</v>
      </c>
      <c r="AH1180" t="s">
        <v>149</v>
      </c>
      <c r="AI1180" t="str">
        <f>"1751020"</f>
        <v>1751020</v>
      </c>
      <c r="AJ1180" t="s">
        <v>532</v>
      </c>
      <c r="AK1180">
        <v>2810372732</v>
      </c>
      <c r="AL1180" t="s">
        <v>533</v>
      </c>
      <c r="AM1180" t="s">
        <v>78</v>
      </c>
      <c r="AN1180" t="s">
        <v>78</v>
      </c>
      <c r="AO1180" t="s">
        <v>78</v>
      </c>
      <c r="AP1180" t="s">
        <v>163</v>
      </c>
      <c r="AQ1180">
        <v>3</v>
      </c>
      <c r="AR1180" t="s">
        <v>123</v>
      </c>
      <c r="AS1180" t="s">
        <v>124</v>
      </c>
      <c r="AT1180" t="s">
        <v>58</v>
      </c>
      <c r="AU1180" t="s">
        <v>68</v>
      </c>
      <c r="AV1180" t="s">
        <v>69</v>
      </c>
      <c r="AW1180" s="1">
        <v>21953</v>
      </c>
      <c r="AX1180">
        <v>2</v>
      </c>
    </row>
    <row r="1181" spans="1:50">
      <c r="A1181">
        <v>181134</v>
      </c>
      <c r="B1181" t="str">
        <f>"056705500"</f>
        <v>056705500</v>
      </c>
      <c r="C1181" t="s">
        <v>50</v>
      </c>
      <c r="D1181" t="s">
        <v>2801</v>
      </c>
      <c r="E1181" t="s">
        <v>237</v>
      </c>
      <c r="F1181" t="s">
        <v>1506</v>
      </c>
      <c r="G1181" t="s">
        <v>2802</v>
      </c>
      <c r="H1181" t="str">
        <f>"Γ.ΓΕΝΝΗΜΑΤΑ 21 ΗΡΑΚΛΕΙΟ"</f>
        <v>Γ.ΓΕΝΝΗΜΑΤΑ 21 ΗΡΑΚΛΕΙΟ</v>
      </c>
      <c r="I1181">
        <v>71305</v>
      </c>
      <c r="J1181">
        <v>2810214458</v>
      </c>
      <c r="K1181">
        <v>6977237695</v>
      </c>
      <c r="M1181" t="s">
        <v>2803</v>
      </c>
      <c r="N1181" t="s">
        <v>306</v>
      </c>
      <c r="O1181" t="s">
        <v>307</v>
      </c>
      <c r="R1181" t="s">
        <v>57</v>
      </c>
      <c r="S1181">
        <v>11</v>
      </c>
      <c r="T1181">
        <v>164</v>
      </c>
      <c r="U1181" s="1">
        <v>36040</v>
      </c>
      <c r="V1181" t="s">
        <v>123</v>
      </c>
      <c r="W1181" t="s">
        <v>124</v>
      </c>
      <c r="X1181" t="s">
        <v>58</v>
      </c>
      <c r="Y1181">
        <v>18</v>
      </c>
      <c r="Z1181" t="s">
        <v>59</v>
      </c>
      <c r="AA1181" t="s">
        <v>59</v>
      </c>
      <c r="AB1181" t="s">
        <v>59</v>
      </c>
      <c r="AC1181" t="s">
        <v>59</v>
      </c>
      <c r="AD1181" t="s">
        <v>59</v>
      </c>
      <c r="AF1181" s="1">
        <v>36041</v>
      </c>
      <c r="AG1181" t="s">
        <v>125</v>
      </c>
      <c r="AH1181" t="s">
        <v>126</v>
      </c>
      <c r="AI1181" t="str">
        <f>"1701040"</f>
        <v>1701040</v>
      </c>
      <c r="AJ1181" t="s">
        <v>748</v>
      </c>
      <c r="AK1181">
        <v>2810252459</v>
      </c>
      <c r="AL1181" t="s">
        <v>749</v>
      </c>
      <c r="AM1181" t="s">
        <v>78</v>
      </c>
      <c r="AN1181" t="s">
        <v>78</v>
      </c>
      <c r="AO1181" t="s">
        <v>78</v>
      </c>
      <c r="AP1181" t="s">
        <v>141</v>
      </c>
      <c r="AQ1181">
        <v>3</v>
      </c>
      <c r="AR1181" t="s">
        <v>123</v>
      </c>
      <c r="AS1181" t="s">
        <v>124</v>
      </c>
      <c r="AT1181" t="s">
        <v>58</v>
      </c>
      <c r="AU1181" t="s">
        <v>68</v>
      </c>
      <c r="AV1181" t="s">
        <v>69</v>
      </c>
      <c r="AW1181" s="1">
        <v>25530</v>
      </c>
      <c r="AX1181">
        <v>2</v>
      </c>
    </row>
    <row r="1182" spans="1:50">
      <c r="A1182">
        <v>218497</v>
      </c>
      <c r="B1182" t="str">
        <f>"103828856"</f>
        <v>103828856</v>
      </c>
      <c r="C1182" t="s">
        <v>50</v>
      </c>
      <c r="D1182" t="s">
        <v>2804</v>
      </c>
      <c r="E1182" t="s">
        <v>1001</v>
      </c>
      <c r="F1182" t="s">
        <v>106</v>
      </c>
      <c r="G1182" t="s">
        <v>52</v>
      </c>
      <c r="H1182" t="str">
        <f>"ΑΠΟΛΛΩΝΙΑΣ 3  ΓΑΖΙ"</f>
        <v>ΑΠΟΛΛΩΝΙΑΣ 3  ΓΑΖΙ</v>
      </c>
      <c r="I1182">
        <v>71414</v>
      </c>
      <c r="J1182">
        <v>2810254052</v>
      </c>
      <c r="K1182">
        <v>6948301714</v>
      </c>
      <c r="M1182" t="s">
        <v>2805</v>
      </c>
      <c r="N1182" t="s">
        <v>232</v>
      </c>
      <c r="O1182" t="s">
        <v>233</v>
      </c>
      <c r="R1182" t="s">
        <v>57</v>
      </c>
      <c r="S1182">
        <v>7</v>
      </c>
      <c r="T1182">
        <v>599</v>
      </c>
      <c r="U1182" s="1">
        <v>39310</v>
      </c>
      <c r="V1182" t="s">
        <v>123</v>
      </c>
      <c r="W1182" t="s">
        <v>124</v>
      </c>
      <c r="X1182" t="s">
        <v>58</v>
      </c>
      <c r="Y1182">
        <v>20</v>
      </c>
      <c r="Z1182" t="s">
        <v>59</v>
      </c>
      <c r="AA1182" t="s">
        <v>59</v>
      </c>
      <c r="AB1182" t="s">
        <v>59</v>
      </c>
      <c r="AC1182" t="s">
        <v>59</v>
      </c>
      <c r="AD1182" t="s">
        <v>59</v>
      </c>
      <c r="AF1182" s="1">
        <v>39328</v>
      </c>
      <c r="AG1182" t="s">
        <v>125</v>
      </c>
      <c r="AH1182" t="s">
        <v>126</v>
      </c>
      <c r="AI1182" t="str">
        <f>"1709010"</f>
        <v>1709010</v>
      </c>
      <c r="AJ1182" t="s">
        <v>847</v>
      </c>
      <c r="AK1182">
        <v>2894022227</v>
      </c>
      <c r="AL1182" t="s">
        <v>848</v>
      </c>
      <c r="AM1182" t="s">
        <v>78</v>
      </c>
      <c r="AN1182" t="s">
        <v>405</v>
      </c>
      <c r="AO1182" t="s">
        <v>406</v>
      </c>
      <c r="AP1182" t="s">
        <v>406</v>
      </c>
      <c r="AQ1182">
        <v>30</v>
      </c>
      <c r="AR1182" t="s">
        <v>123</v>
      </c>
      <c r="AS1182" t="s">
        <v>124</v>
      </c>
      <c r="AT1182" t="s">
        <v>58</v>
      </c>
      <c r="AU1182" t="s">
        <v>68</v>
      </c>
      <c r="AV1182" t="s">
        <v>69</v>
      </c>
      <c r="AW1182" s="1">
        <v>23023</v>
      </c>
      <c r="AX1182">
        <v>2</v>
      </c>
    </row>
    <row r="1183" spans="1:50">
      <c r="A1183">
        <v>213266</v>
      </c>
      <c r="B1183" t="str">
        <f>"106917601"</f>
        <v>106917601</v>
      </c>
      <c r="C1183" t="s">
        <v>105</v>
      </c>
      <c r="D1183" t="s">
        <v>2806</v>
      </c>
      <c r="E1183" t="s">
        <v>383</v>
      </c>
      <c r="F1183" t="s">
        <v>84</v>
      </c>
      <c r="G1183" t="s">
        <v>2807</v>
      </c>
      <c r="H1183" t="str">
        <f>"ΓΛΗΝΟΥ 23 "</f>
        <v xml:space="preserve">ΓΛΗΝΟΥ 23 </v>
      </c>
      <c r="I1183">
        <v>71304</v>
      </c>
      <c r="J1183">
        <v>2810344656</v>
      </c>
      <c r="K1183">
        <v>6936867043</v>
      </c>
      <c r="M1183" t="s">
        <v>2808</v>
      </c>
      <c r="N1183" t="s">
        <v>246</v>
      </c>
      <c r="O1183" t="s">
        <v>247</v>
      </c>
      <c r="R1183" t="s">
        <v>57</v>
      </c>
      <c r="S1183">
        <v>7</v>
      </c>
      <c r="T1183">
        <v>231</v>
      </c>
      <c r="U1183" s="1">
        <v>38960</v>
      </c>
      <c r="V1183" t="s">
        <v>123</v>
      </c>
      <c r="W1183" t="s">
        <v>124</v>
      </c>
      <c r="X1183" t="s">
        <v>58</v>
      </c>
      <c r="Y1183">
        <v>20</v>
      </c>
      <c r="Z1183" t="s">
        <v>59</v>
      </c>
      <c r="AA1183" t="s">
        <v>59</v>
      </c>
      <c r="AB1183" t="s">
        <v>59</v>
      </c>
      <c r="AC1183" t="s">
        <v>59</v>
      </c>
      <c r="AD1183" t="s">
        <v>59</v>
      </c>
      <c r="AF1183" s="1">
        <v>38961</v>
      </c>
      <c r="AG1183" t="s">
        <v>148</v>
      </c>
      <c r="AH1183" t="s">
        <v>149</v>
      </c>
      <c r="AI1183" t="str">
        <f>"1751051"</f>
        <v>1751051</v>
      </c>
      <c r="AJ1183" t="s">
        <v>259</v>
      </c>
      <c r="AK1183">
        <v>2810251794</v>
      </c>
      <c r="AL1183" t="s">
        <v>260</v>
      </c>
      <c r="AM1183" t="s">
        <v>78</v>
      </c>
      <c r="AN1183" t="s">
        <v>78</v>
      </c>
      <c r="AO1183" t="s">
        <v>78</v>
      </c>
      <c r="AP1183" t="s">
        <v>141</v>
      </c>
      <c r="AQ1183">
        <v>7</v>
      </c>
      <c r="AR1183" t="s">
        <v>123</v>
      </c>
      <c r="AS1183" t="s">
        <v>124</v>
      </c>
      <c r="AT1183" t="s">
        <v>58</v>
      </c>
      <c r="AU1183" t="s">
        <v>68</v>
      </c>
      <c r="AV1183" t="s">
        <v>69</v>
      </c>
      <c r="AW1183" s="1">
        <v>27254</v>
      </c>
      <c r="AX1183">
        <v>2</v>
      </c>
    </row>
    <row r="1184" spans="1:50">
      <c r="B1184" t="str">
        <f>"128335311"</f>
        <v>128335311</v>
      </c>
      <c r="C1184" t="s">
        <v>50</v>
      </c>
      <c r="D1184" t="s">
        <v>2809</v>
      </c>
      <c r="E1184" t="s">
        <v>215</v>
      </c>
      <c r="F1184" t="s">
        <v>84</v>
      </c>
      <c r="G1184" t="s">
        <v>155</v>
      </c>
      <c r="H1184" t="str">
        <f>"ΘΕΡΙΣΣΟΥ 99 ΗΡΑΚΛΕΙΟ"</f>
        <v>ΘΕΡΙΣΣΟΥ 99 ΗΡΑΚΛΕΙΟ</v>
      </c>
      <c r="I1184">
        <v>71305</v>
      </c>
      <c r="J1184">
        <v>2810317430</v>
      </c>
      <c r="K1184">
        <v>6947420386</v>
      </c>
      <c r="N1184" t="s">
        <v>536</v>
      </c>
      <c r="O1184" t="s">
        <v>537</v>
      </c>
      <c r="R1184" t="s">
        <v>121</v>
      </c>
      <c r="S1184">
        <v>1</v>
      </c>
      <c r="T1184" t="s">
        <v>122</v>
      </c>
      <c r="U1184" s="1">
        <v>43348</v>
      </c>
      <c r="V1184" t="s">
        <v>123</v>
      </c>
      <c r="W1184" t="s">
        <v>124</v>
      </c>
      <c r="X1184" t="s">
        <v>58</v>
      </c>
      <c r="Y1184">
        <v>23</v>
      </c>
      <c r="Z1184" t="s">
        <v>59</v>
      </c>
      <c r="AA1184" t="s">
        <v>59</v>
      </c>
      <c r="AB1184" t="s">
        <v>59</v>
      </c>
      <c r="AC1184" t="s">
        <v>59</v>
      </c>
      <c r="AD1184" t="s">
        <v>59</v>
      </c>
      <c r="AF1184" s="1">
        <v>43348</v>
      </c>
      <c r="AG1184" t="s">
        <v>148</v>
      </c>
      <c r="AH1184" t="s">
        <v>149</v>
      </c>
      <c r="AI1184" t="str">
        <f>"1751010"</f>
        <v>1751010</v>
      </c>
      <c r="AJ1184" t="s">
        <v>150</v>
      </c>
      <c r="AK1184">
        <v>2810346092</v>
      </c>
      <c r="AL1184" t="s">
        <v>151</v>
      </c>
      <c r="AM1184" t="s">
        <v>78</v>
      </c>
      <c r="AN1184" t="s">
        <v>78</v>
      </c>
      <c r="AO1184" t="s">
        <v>78</v>
      </c>
      <c r="AP1184" t="s">
        <v>79</v>
      </c>
      <c r="AQ1184">
        <v>1</v>
      </c>
      <c r="AR1184" t="s">
        <v>123</v>
      </c>
      <c r="AS1184" t="s">
        <v>124</v>
      </c>
      <c r="AT1184" t="s">
        <v>58</v>
      </c>
      <c r="AU1184" t="s">
        <v>131</v>
      </c>
      <c r="AV1184" t="s">
        <v>132</v>
      </c>
      <c r="AW1184" s="1">
        <v>30341</v>
      </c>
      <c r="AX1184">
        <v>2</v>
      </c>
    </row>
    <row r="1185" spans="1:50">
      <c r="B1185" t="str">
        <f>"055463058"</f>
        <v>055463058</v>
      </c>
      <c r="C1185" t="s">
        <v>105</v>
      </c>
      <c r="D1185" t="s">
        <v>2810</v>
      </c>
      <c r="E1185" t="s">
        <v>84</v>
      </c>
      <c r="F1185" t="s">
        <v>2811</v>
      </c>
      <c r="G1185" t="s">
        <v>2812</v>
      </c>
      <c r="H1185" t="str">
        <f>"ΑΜΑΛΙΑΣ 69 ΘΕΣ/ΝΙΚΗ"</f>
        <v>ΑΜΑΛΙΑΣ 69 ΘΕΣ/ΝΙΚΗ</v>
      </c>
      <c r="I1185">
        <v>54640</v>
      </c>
      <c r="J1185">
        <v>2310818261</v>
      </c>
      <c r="K1185">
        <v>6937464548</v>
      </c>
      <c r="M1185" t="s">
        <v>2813</v>
      </c>
      <c r="N1185" t="s">
        <v>1351</v>
      </c>
      <c r="O1185" t="s">
        <v>1352</v>
      </c>
      <c r="R1185" t="s">
        <v>159</v>
      </c>
      <c r="S1185">
        <v>3</v>
      </c>
      <c r="T1185" t="s">
        <v>416</v>
      </c>
      <c r="U1185" s="1">
        <v>43349</v>
      </c>
      <c r="V1185" t="s">
        <v>123</v>
      </c>
      <c r="W1185" t="s">
        <v>124</v>
      </c>
      <c r="X1185" t="s">
        <v>58</v>
      </c>
      <c r="Y1185">
        <v>20</v>
      </c>
      <c r="Z1185" t="s">
        <v>59</v>
      </c>
      <c r="AA1185" t="s">
        <v>59</v>
      </c>
      <c r="AB1185" t="s">
        <v>59</v>
      </c>
      <c r="AC1185" t="s">
        <v>59</v>
      </c>
      <c r="AD1185" t="s">
        <v>59</v>
      </c>
      <c r="AF1185" s="1">
        <v>43349</v>
      </c>
      <c r="AG1185" t="s">
        <v>137</v>
      </c>
      <c r="AH1185" t="s">
        <v>469</v>
      </c>
      <c r="AI1185" t="str">
        <f>"1740200"</f>
        <v>1740200</v>
      </c>
      <c r="AJ1185" t="s">
        <v>470</v>
      </c>
      <c r="AK1185">
        <v>2810320770</v>
      </c>
      <c r="AL1185" t="s">
        <v>471</v>
      </c>
      <c r="AM1185" t="s">
        <v>78</v>
      </c>
      <c r="AN1185" t="s">
        <v>78</v>
      </c>
      <c r="AO1185" t="s">
        <v>78</v>
      </c>
      <c r="AP1185" t="s">
        <v>163</v>
      </c>
      <c r="AQ1185">
        <v>2</v>
      </c>
      <c r="AR1185" t="s">
        <v>123</v>
      </c>
      <c r="AS1185" t="s">
        <v>124</v>
      </c>
      <c r="AT1185" t="s">
        <v>58</v>
      </c>
      <c r="AU1185" t="s">
        <v>419</v>
      </c>
      <c r="AV1185" t="s">
        <v>132</v>
      </c>
      <c r="AW1185" s="1">
        <v>25057</v>
      </c>
      <c r="AX1185">
        <v>2</v>
      </c>
    </row>
    <row r="1186" spans="1:50">
      <c r="A1186">
        <v>183835</v>
      </c>
      <c r="B1186" t="str">
        <f>"032484346"</f>
        <v>032484346</v>
      </c>
      <c r="C1186" t="s">
        <v>105</v>
      </c>
      <c r="D1186" t="s">
        <v>2814</v>
      </c>
      <c r="E1186" t="s">
        <v>53</v>
      </c>
      <c r="F1186" t="s">
        <v>1506</v>
      </c>
      <c r="G1186" t="s">
        <v>325</v>
      </c>
      <c r="H1186" t="str">
        <f>"Λ. ΙΚΑΡΟΥ 82 ΗΡΑΚΛΕΙΟ"</f>
        <v>Λ. ΙΚΑΡΟΥ 82 ΗΡΑΚΛΕΙΟ</v>
      </c>
      <c r="I1186">
        <v>71307</v>
      </c>
      <c r="J1186">
        <v>2810229093</v>
      </c>
      <c r="K1186">
        <v>6974869991</v>
      </c>
      <c r="M1186" t="s">
        <v>2815</v>
      </c>
      <c r="N1186" t="s">
        <v>292</v>
      </c>
      <c r="O1186" t="s">
        <v>293</v>
      </c>
      <c r="R1186" t="s">
        <v>57</v>
      </c>
      <c r="S1186">
        <v>9</v>
      </c>
      <c r="T1186">
        <v>177</v>
      </c>
      <c r="U1186" s="1">
        <v>36403</v>
      </c>
      <c r="V1186" t="s">
        <v>123</v>
      </c>
      <c r="W1186" t="s">
        <v>124</v>
      </c>
      <c r="X1186" t="s">
        <v>58</v>
      </c>
      <c r="Y1186">
        <v>20</v>
      </c>
      <c r="Z1186" t="s">
        <v>59</v>
      </c>
      <c r="AA1186" t="s">
        <v>59</v>
      </c>
      <c r="AB1186" t="s">
        <v>59</v>
      </c>
      <c r="AC1186" t="s">
        <v>59</v>
      </c>
      <c r="AD1186" t="s">
        <v>59</v>
      </c>
      <c r="AF1186" s="1">
        <v>36411</v>
      </c>
      <c r="AG1186" t="s">
        <v>148</v>
      </c>
      <c r="AH1186" t="s">
        <v>149</v>
      </c>
      <c r="AI1186" t="str">
        <f>"1751052"</f>
        <v>1751052</v>
      </c>
      <c r="AJ1186" t="s">
        <v>328</v>
      </c>
      <c r="AK1186">
        <v>2810213762</v>
      </c>
      <c r="AL1186" t="s">
        <v>329</v>
      </c>
      <c r="AM1186" t="s">
        <v>78</v>
      </c>
      <c r="AN1186" t="s">
        <v>78</v>
      </c>
      <c r="AO1186" t="s">
        <v>78</v>
      </c>
      <c r="AP1186" t="s">
        <v>163</v>
      </c>
      <c r="AQ1186">
        <v>8</v>
      </c>
      <c r="AR1186" t="s">
        <v>123</v>
      </c>
      <c r="AS1186" t="s">
        <v>124</v>
      </c>
      <c r="AT1186" t="s">
        <v>58</v>
      </c>
      <c r="AU1186" t="s">
        <v>68</v>
      </c>
      <c r="AV1186" t="s">
        <v>69</v>
      </c>
      <c r="AW1186" s="1">
        <v>22052</v>
      </c>
      <c r="AX1186">
        <v>2</v>
      </c>
    </row>
    <row r="1187" spans="1:50">
      <c r="A1187">
        <v>163763</v>
      </c>
      <c r="B1187" t="str">
        <f>"062176594"</f>
        <v>062176594</v>
      </c>
      <c r="C1187" t="s">
        <v>50</v>
      </c>
      <c r="D1187" t="s">
        <v>2816</v>
      </c>
      <c r="E1187" t="s">
        <v>335</v>
      </c>
      <c r="F1187" t="s">
        <v>153</v>
      </c>
      <c r="G1187" t="s">
        <v>237</v>
      </c>
      <c r="H1187" t="str">
        <f>"ΠΑΠΑΝΑΣΤΑΣΙΟΥ ΑΡΚΑΛΟΧΩΡΙ  "</f>
        <v xml:space="preserve">ΠΑΠΑΝΑΣΤΑΣΙΟΥ ΑΡΚΑΛΟΧΩΡΙ  </v>
      </c>
      <c r="I1187">
        <v>70300</v>
      </c>
      <c r="J1187">
        <v>2891024516</v>
      </c>
      <c r="K1187">
        <v>6975752606</v>
      </c>
      <c r="N1187" t="s">
        <v>157</v>
      </c>
      <c r="O1187" t="s">
        <v>158</v>
      </c>
      <c r="R1187" t="s">
        <v>57</v>
      </c>
      <c r="S1187">
        <v>14</v>
      </c>
      <c r="T1187">
        <v>161</v>
      </c>
      <c r="U1187" s="1">
        <v>33844</v>
      </c>
      <c r="V1187" t="s">
        <v>123</v>
      </c>
      <c r="W1187" t="s">
        <v>124</v>
      </c>
      <c r="X1187" t="s">
        <v>58</v>
      </c>
      <c r="Y1187">
        <v>18</v>
      </c>
      <c r="Z1187" t="s">
        <v>59</v>
      </c>
      <c r="AA1187" t="s">
        <v>59</v>
      </c>
      <c r="AB1187" t="s">
        <v>59</v>
      </c>
      <c r="AC1187" t="s">
        <v>59</v>
      </c>
      <c r="AD1187" t="s">
        <v>59</v>
      </c>
      <c r="AF1187" s="1">
        <v>33851</v>
      </c>
      <c r="AG1187" t="s">
        <v>148</v>
      </c>
      <c r="AH1187" t="s">
        <v>149</v>
      </c>
      <c r="AI1187" t="str">
        <f>"1752010"</f>
        <v>1752010</v>
      </c>
      <c r="AJ1187" t="s">
        <v>896</v>
      </c>
      <c r="AK1187">
        <v>2891022893</v>
      </c>
      <c r="AL1187" t="s">
        <v>897</v>
      </c>
      <c r="AM1187" t="s">
        <v>78</v>
      </c>
      <c r="AN1187" t="s">
        <v>276</v>
      </c>
      <c r="AO1187" t="s">
        <v>490</v>
      </c>
      <c r="AP1187" t="s">
        <v>490</v>
      </c>
      <c r="AQ1187">
        <v>15</v>
      </c>
      <c r="AR1187" t="s">
        <v>123</v>
      </c>
      <c r="AS1187" t="s">
        <v>124</v>
      </c>
      <c r="AT1187" t="s">
        <v>58</v>
      </c>
      <c r="AU1187" t="s">
        <v>68</v>
      </c>
      <c r="AV1187" t="s">
        <v>69</v>
      </c>
      <c r="AW1187" s="1">
        <v>22941</v>
      </c>
      <c r="AX1187">
        <v>2</v>
      </c>
    </row>
    <row r="1188" spans="1:50">
      <c r="B1188" t="str">
        <f>"108652626"</f>
        <v>108652626</v>
      </c>
      <c r="C1188" t="s">
        <v>105</v>
      </c>
      <c r="D1188" t="s">
        <v>2817</v>
      </c>
      <c r="E1188" t="s">
        <v>84</v>
      </c>
      <c r="F1188" t="s">
        <v>450</v>
      </c>
      <c r="G1188" t="s">
        <v>52</v>
      </c>
      <c r="H1188" t="str">
        <f>"ΚΟΛΟΚΟΤΡΩΝΗ  39 ΤΡΙΚΑΛΑ"</f>
        <v>ΚΟΛΟΚΟΤΡΩΝΗ  39 ΤΡΙΚΑΛΑ</v>
      </c>
      <c r="I1188">
        <v>42100</v>
      </c>
      <c r="J1188">
        <v>2431020695</v>
      </c>
      <c r="K1188">
        <v>6972718103</v>
      </c>
      <c r="M1188" t="s">
        <v>2818</v>
      </c>
      <c r="N1188" t="s">
        <v>536</v>
      </c>
      <c r="O1188" t="s">
        <v>537</v>
      </c>
      <c r="R1188" t="s">
        <v>159</v>
      </c>
      <c r="S1188">
        <v>4</v>
      </c>
      <c r="T1188" t="s">
        <v>344</v>
      </c>
      <c r="U1188" s="1">
        <v>43348</v>
      </c>
      <c r="V1188" t="s">
        <v>123</v>
      </c>
      <c r="W1188" t="s">
        <v>124</v>
      </c>
      <c r="X1188" t="s">
        <v>58</v>
      </c>
      <c r="Y1188">
        <v>23</v>
      </c>
      <c r="Z1188" t="s">
        <v>59</v>
      </c>
      <c r="AA1188" t="s">
        <v>59</v>
      </c>
      <c r="AB1188" t="s">
        <v>59</v>
      </c>
      <c r="AC1188" t="s">
        <v>59</v>
      </c>
      <c r="AD1188" t="s">
        <v>59</v>
      </c>
      <c r="AF1188" s="1">
        <v>43348</v>
      </c>
      <c r="AG1188" t="s">
        <v>125</v>
      </c>
      <c r="AH1188" t="s">
        <v>126</v>
      </c>
      <c r="AI1188" t="str">
        <f>"1701056"</f>
        <v>1701056</v>
      </c>
      <c r="AJ1188" t="s">
        <v>211</v>
      </c>
      <c r="AK1188">
        <v>2810245445</v>
      </c>
      <c r="AL1188" t="s">
        <v>212</v>
      </c>
      <c r="AM1188" t="s">
        <v>78</v>
      </c>
      <c r="AN1188" t="s">
        <v>78</v>
      </c>
      <c r="AO1188" t="s">
        <v>78</v>
      </c>
      <c r="AP1188" t="s">
        <v>213</v>
      </c>
      <c r="AQ1188">
        <v>6</v>
      </c>
      <c r="AR1188" t="s">
        <v>123</v>
      </c>
      <c r="AS1188" t="s">
        <v>124</v>
      </c>
      <c r="AT1188" t="s">
        <v>58</v>
      </c>
      <c r="AU1188" t="s">
        <v>350</v>
      </c>
      <c r="AV1188" t="s">
        <v>132</v>
      </c>
      <c r="AW1188" s="1">
        <v>29857</v>
      </c>
      <c r="AX1188">
        <v>2</v>
      </c>
    </row>
    <row r="1189" spans="1:50">
      <c r="A1189">
        <v>222366</v>
      </c>
      <c r="B1189" t="str">
        <f>"115954919"</f>
        <v>115954919</v>
      </c>
      <c r="C1189" t="s">
        <v>105</v>
      </c>
      <c r="D1189" t="s">
        <v>2819</v>
      </c>
      <c r="E1189" t="s">
        <v>900</v>
      </c>
      <c r="F1189" t="s">
        <v>99</v>
      </c>
      <c r="G1189" t="s">
        <v>255</v>
      </c>
      <c r="H1189" t="str">
        <f>"ΑΝΤΙΟΧΕΙΑΣ 54 ΜΑΣΤΑΜΠΑΣ"</f>
        <v>ΑΝΤΙΟΧΕΙΑΣ 54 ΜΑΣΤΑΜΠΑΣ</v>
      </c>
      <c r="J1189">
        <v>2102932818</v>
      </c>
      <c r="K1189">
        <v>6979058932</v>
      </c>
      <c r="L1189">
        <v>2815100179</v>
      </c>
      <c r="M1189" t="s">
        <v>2820</v>
      </c>
      <c r="N1189" t="s">
        <v>146</v>
      </c>
      <c r="O1189" t="s">
        <v>147</v>
      </c>
      <c r="R1189" t="s">
        <v>57</v>
      </c>
      <c r="S1189">
        <v>6</v>
      </c>
      <c r="T1189">
        <v>775</v>
      </c>
      <c r="U1189" s="1">
        <v>39680</v>
      </c>
      <c r="V1189" t="s">
        <v>123</v>
      </c>
      <c r="W1189" t="s">
        <v>124</v>
      </c>
      <c r="X1189" t="s">
        <v>58</v>
      </c>
      <c r="Y1189">
        <v>21</v>
      </c>
      <c r="Z1189" t="s">
        <v>59</v>
      </c>
      <c r="AA1189" t="s">
        <v>59</v>
      </c>
      <c r="AB1189" t="s">
        <v>59</v>
      </c>
      <c r="AC1189" t="s">
        <v>59</v>
      </c>
      <c r="AD1189" t="s">
        <v>59</v>
      </c>
      <c r="AF1189" s="1">
        <v>39682</v>
      </c>
      <c r="AG1189" t="s">
        <v>148</v>
      </c>
      <c r="AH1189" t="s">
        <v>149</v>
      </c>
      <c r="AI1189" t="str">
        <f>"1771010"</f>
        <v>1771010</v>
      </c>
      <c r="AJ1189" t="s">
        <v>915</v>
      </c>
      <c r="AK1189">
        <v>2892031290</v>
      </c>
      <c r="AL1189" t="s">
        <v>916</v>
      </c>
      <c r="AM1189" t="s">
        <v>78</v>
      </c>
      <c r="AN1189" t="s">
        <v>405</v>
      </c>
      <c r="AO1189" t="s">
        <v>405</v>
      </c>
      <c r="AP1189" t="s">
        <v>464</v>
      </c>
      <c r="AQ1189">
        <v>33</v>
      </c>
      <c r="AR1189" t="s">
        <v>123</v>
      </c>
      <c r="AS1189" t="s">
        <v>124</v>
      </c>
      <c r="AT1189" t="s">
        <v>58</v>
      </c>
      <c r="AU1189" t="s">
        <v>68</v>
      </c>
      <c r="AV1189" t="s">
        <v>69</v>
      </c>
      <c r="AW1189" s="1">
        <v>30081</v>
      </c>
      <c r="AX1189">
        <v>2</v>
      </c>
    </row>
    <row r="1190" spans="1:50">
      <c r="A1190">
        <v>904453</v>
      </c>
      <c r="B1190" t="str">
        <f>"026901768"</f>
        <v>026901768</v>
      </c>
      <c r="C1190" t="s">
        <v>50</v>
      </c>
      <c r="D1190" t="s">
        <v>2821</v>
      </c>
      <c r="E1190" t="s">
        <v>372</v>
      </c>
      <c r="F1190" t="s">
        <v>106</v>
      </c>
      <c r="G1190" t="s">
        <v>1644</v>
      </c>
      <c r="H1190" t="str">
        <f>"ΑΝΤ. ΓΡΗΓΟΡΑΚΗ 5 ΗΡΑΚΛΕΙΟ"</f>
        <v>ΑΝΤ. ΓΡΗΓΟΡΑΚΗ 5 ΗΡΑΚΛΕΙΟ</v>
      </c>
      <c r="J1190">
        <v>2810210294</v>
      </c>
      <c r="M1190" t="s">
        <v>2822</v>
      </c>
      <c r="N1190" t="s">
        <v>146</v>
      </c>
      <c r="O1190" t="s">
        <v>147</v>
      </c>
      <c r="R1190" t="s">
        <v>57</v>
      </c>
      <c r="S1190">
        <v>18</v>
      </c>
      <c r="T1190">
        <v>296</v>
      </c>
      <c r="U1190" s="1">
        <v>30552</v>
      </c>
      <c r="V1190" t="s">
        <v>123</v>
      </c>
      <c r="W1190" t="s">
        <v>124</v>
      </c>
      <c r="X1190" t="s">
        <v>58</v>
      </c>
      <c r="Y1190">
        <v>18</v>
      </c>
      <c r="Z1190" t="s">
        <v>59</v>
      </c>
      <c r="AA1190" t="s">
        <v>59</v>
      </c>
      <c r="AB1190" t="s">
        <v>59</v>
      </c>
      <c r="AC1190" t="s">
        <v>59</v>
      </c>
      <c r="AD1190" t="s">
        <v>59</v>
      </c>
      <c r="AF1190" s="1">
        <v>30560</v>
      </c>
      <c r="AG1190" t="s">
        <v>148</v>
      </c>
      <c r="AH1190" t="s">
        <v>149</v>
      </c>
      <c r="AI1190" t="str">
        <f>"1790100"</f>
        <v>1790100</v>
      </c>
      <c r="AJ1190" t="s">
        <v>252</v>
      </c>
      <c r="AK1190">
        <v>2810234876</v>
      </c>
      <c r="AL1190" t="s">
        <v>253</v>
      </c>
      <c r="AM1190" t="s">
        <v>78</v>
      </c>
      <c r="AN1190" t="s">
        <v>78</v>
      </c>
      <c r="AO1190" t="s">
        <v>78</v>
      </c>
      <c r="AP1190" t="s">
        <v>163</v>
      </c>
      <c r="AQ1190">
        <v>5</v>
      </c>
      <c r="AR1190" t="s">
        <v>123</v>
      </c>
      <c r="AS1190" t="s">
        <v>124</v>
      </c>
      <c r="AT1190" t="s">
        <v>58</v>
      </c>
      <c r="AU1190" t="s">
        <v>68</v>
      </c>
      <c r="AV1190" t="s">
        <v>69</v>
      </c>
      <c r="AW1190" s="1">
        <v>20888</v>
      </c>
      <c r="AX1190">
        <v>2</v>
      </c>
    </row>
    <row r="1191" spans="1:50">
      <c r="A1191">
        <v>199545</v>
      </c>
      <c r="B1191" t="str">
        <f>"038757550"</f>
        <v>038757550</v>
      </c>
      <c r="C1191" t="s">
        <v>50</v>
      </c>
      <c r="D1191" t="s">
        <v>2823</v>
      </c>
      <c r="E1191" t="s">
        <v>188</v>
      </c>
      <c r="F1191" t="s">
        <v>53</v>
      </c>
      <c r="G1191" t="s">
        <v>215</v>
      </c>
      <c r="H1191" t="str">
        <f>" "</f>
        <v xml:space="preserve"> </v>
      </c>
      <c r="J1191">
        <v>2810323417</v>
      </c>
      <c r="K1191">
        <v>6942289626</v>
      </c>
      <c r="N1191" t="s">
        <v>282</v>
      </c>
      <c r="O1191" t="s">
        <v>283</v>
      </c>
      <c r="R1191" t="s">
        <v>57</v>
      </c>
      <c r="S1191">
        <v>9</v>
      </c>
      <c r="T1191">
        <v>206</v>
      </c>
      <c r="U1191" s="1">
        <v>37866</v>
      </c>
      <c r="V1191" t="s">
        <v>123</v>
      </c>
      <c r="W1191" t="s">
        <v>124</v>
      </c>
      <c r="X1191" t="s">
        <v>58</v>
      </c>
      <c r="Y1191">
        <v>20</v>
      </c>
      <c r="Z1191" t="s">
        <v>59</v>
      </c>
      <c r="AA1191" t="s">
        <v>59</v>
      </c>
      <c r="AB1191" t="s">
        <v>59</v>
      </c>
      <c r="AC1191" t="s">
        <v>59</v>
      </c>
      <c r="AD1191" t="s">
        <v>59</v>
      </c>
      <c r="AF1191" s="1">
        <v>37866</v>
      </c>
      <c r="AG1191" t="s">
        <v>137</v>
      </c>
      <c r="AH1191" t="s">
        <v>138</v>
      </c>
      <c r="AI1191" t="str">
        <f>"1750080"</f>
        <v>1750080</v>
      </c>
      <c r="AJ1191" t="s">
        <v>170</v>
      </c>
      <c r="AK1191">
        <v>2810234444</v>
      </c>
      <c r="AL1191" t="s">
        <v>171</v>
      </c>
      <c r="AM1191" t="s">
        <v>78</v>
      </c>
      <c r="AN1191" t="s">
        <v>78</v>
      </c>
      <c r="AO1191" t="s">
        <v>78</v>
      </c>
      <c r="AP1191" t="s">
        <v>163</v>
      </c>
      <c r="AQ1191">
        <v>9</v>
      </c>
      <c r="AR1191" t="s">
        <v>123</v>
      </c>
      <c r="AS1191" t="s">
        <v>124</v>
      </c>
      <c r="AT1191" t="s">
        <v>58</v>
      </c>
      <c r="AU1191" t="s">
        <v>68</v>
      </c>
      <c r="AV1191" t="s">
        <v>69</v>
      </c>
      <c r="AW1191" s="1">
        <v>25133</v>
      </c>
      <c r="AX1191">
        <v>2</v>
      </c>
    </row>
    <row r="1192" spans="1:50">
      <c r="A1192">
        <v>221567</v>
      </c>
      <c r="B1192" t="str">
        <f>"034772075"</f>
        <v>034772075</v>
      </c>
      <c r="C1192" t="s">
        <v>105</v>
      </c>
      <c r="D1192" t="s">
        <v>2824</v>
      </c>
      <c r="E1192" t="s">
        <v>2320</v>
      </c>
      <c r="F1192" t="s">
        <v>450</v>
      </c>
      <c r="G1192" t="s">
        <v>494</v>
      </c>
      <c r="H1192" t="str">
        <f>" "</f>
        <v xml:space="preserve"> </v>
      </c>
      <c r="J1192">
        <v>2810261071</v>
      </c>
      <c r="K1192">
        <v>6974948600</v>
      </c>
      <c r="N1192" t="s">
        <v>176</v>
      </c>
      <c r="O1192" t="s">
        <v>177</v>
      </c>
      <c r="R1192" t="s">
        <v>57</v>
      </c>
      <c r="S1192">
        <v>15</v>
      </c>
      <c r="T1192">
        <v>251</v>
      </c>
      <c r="U1192" s="1">
        <v>36769</v>
      </c>
      <c r="V1192" t="s">
        <v>123</v>
      </c>
      <c r="W1192" t="s">
        <v>124</v>
      </c>
      <c r="X1192" t="s">
        <v>58</v>
      </c>
      <c r="Y1192">
        <v>18</v>
      </c>
      <c r="Z1192" t="s">
        <v>59</v>
      </c>
      <c r="AA1192" t="s">
        <v>59</v>
      </c>
      <c r="AB1192" t="s">
        <v>59</v>
      </c>
      <c r="AC1192" t="s">
        <v>59</v>
      </c>
      <c r="AD1192" t="s">
        <v>59</v>
      </c>
      <c r="AF1192" s="1">
        <v>36770</v>
      </c>
      <c r="AG1192" t="s">
        <v>148</v>
      </c>
      <c r="AH1192" t="s">
        <v>149</v>
      </c>
      <c r="AI1192" t="str">
        <f>"1767011"</f>
        <v>1767011</v>
      </c>
      <c r="AJ1192" t="s">
        <v>217</v>
      </c>
      <c r="AK1192">
        <v>2897021055</v>
      </c>
      <c r="AL1192" t="s">
        <v>218</v>
      </c>
      <c r="AM1192" t="s">
        <v>78</v>
      </c>
      <c r="AN1192" t="s">
        <v>219</v>
      </c>
      <c r="AO1192" t="s">
        <v>219</v>
      </c>
      <c r="AP1192" t="s">
        <v>220</v>
      </c>
      <c r="AQ1192">
        <v>20</v>
      </c>
      <c r="AR1192" t="s">
        <v>123</v>
      </c>
      <c r="AS1192" t="s">
        <v>124</v>
      </c>
      <c r="AT1192" t="s">
        <v>58</v>
      </c>
      <c r="AU1192" t="s">
        <v>68</v>
      </c>
      <c r="AV1192" t="s">
        <v>69</v>
      </c>
      <c r="AW1192" s="1">
        <v>24353</v>
      </c>
      <c r="AX1192">
        <v>2</v>
      </c>
    </row>
    <row r="1193" spans="1:50">
      <c r="B1193" t="str">
        <f>"064223509"</f>
        <v>064223509</v>
      </c>
      <c r="C1193" t="s">
        <v>50</v>
      </c>
      <c r="D1193" t="s">
        <v>2825</v>
      </c>
      <c r="E1193" t="s">
        <v>52</v>
      </c>
      <c r="F1193" t="s">
        <v>230</v>
      </c>
      <c r="G1193" t="s">
        <v>255</v>
      </c>
      <c r="H1193" t="str">
        <f>"ΛΟΥΚΑ ΠΕΤΡΑΚΗ 8 ΗΡΑΚΛΕΙΟ"</f>
        <v>ΛΟΥΚΑ ΠΕΤΡΑΚΗ 8 ΗΡΑΚΛΕΙΟ</v>
      </c>
      <c r="I1193">
        <v>71306</v>
      </c>
      <c r="J1193">
        <v>2810286767</v>
      </c>
      <c r="K1193">
        <v>6974005753</v>
      </c>
      <c r="M1193" t="s">
        <v>2826</v>
      </c>
      <c r="N1193" t="s">
        <v>292</v>
      </c>
      <c r="O1193" t="s">
        <v>293</v>
      </c>
      <c r="R1193" t="s">
        <v>159</v>
      </c>
      <c r="S1193">
        <v>3</v>
      </c>
      <c r="T1193" t="s">
        <v>160</v>
      </c>
      <c r="U1193" s="1">
        <v>43364</v>
      </c>
      <c r="V1193" t="s">
        <v>123</v>
      </c>
      <c r="W1193" t="s">
        <v>124</v>
      </c>
      <c r="X1193" t="s">
        <v>58</v>
      </c>
      <c r="Y1193">
        <v>23</v>
      </c>
      <c r="Z1193" t="s">
        <v>59</v>
      </c>
      <c r="AA1193" t="s">
        <v>59</v>
      </c>
      <c r="AB1193" t="s">
        <v>59</v>
      </c>
      <c r="AC1193" t="s">
        <v>59</v>
      </c>
      <c r="AD1193" t="s">
        <v>59</v>
      </c>
      <c r="AF1193" s="1">
        <v>43367</v>
      </c>
      <c r="AG1193" t="s">
        <v>137</v>
      </c>
      <c r="AH1193" t="s">
        <v>138</v>
      </c>
      <c r="AI1193" t="str">
        <f>"1740310"</f>
        <v>1740310</v>
      </c>
      <c r="AJ1193" t="s">
        <v>488</v>
      </c>
      <c r="AK1193">
        <v>2891024228</v>
      </c>
      <c r="AL1193" t="s">
        <v>489</v>
      </c>
      <c r="AM1193" t="s">
        <v>78</v>
      </c>
      <c r="AN1193" t="s">
        <v>276</v>
      </c>
      <c r="AO1193" t="s">
        <v>490</v>
      </c>
      <c r="AP1193" t="s">
        <v>490</v>
      </c>
      <c r="AQ1193">
        <v>15</v>
      </c>
      <c r="AR1193" t="s">
        <v>123</v>
      </c>
      <c r="AS1193" t="s">
        <v>124</v>
      </c>
      <c r="AT1193" t="s">
        <v>58</v>
      </c>
      <c r="AU1193" t="s">
        <v>164</v>
      </c>
      <c r="AV1193" t="s">
        <v>132</v>
      </c>
      <c r="AW1193" s="1">
        <v>23971</v>
      </c>
      <c r="AX1193">
        <v>2</v>
      </c>
    </row>
    <row r="1194" spans="1:50">
      <c r="A1194">
        <v>164096</v>
      </c>
      <c r="B1194" t="str">
        <f>"031429396"</f>
        <v>031429396</v>
      </c>
      <c r="C1194" t="s">
        <v>50</v>
      </c>
      <c r="D1194" t="s">
        <v>2827</v>
      </c>
      <c r="E1194" t="s">
        <v>83</v>
      </c>
      <c r="F1194" t="s">
        <v>670</v>
      </c>
      <c r="G1194" t="s">
        <v>396</v>
      </c>
      <c r="H1194" t="str">
        <f>"Α. ΜΗΛΙΩΤΗ 65 ΗΡΑΚΛΕΙΟ"</f>
        <v>Α. ΜΗΛΙΩΤΗ 65 ΗΡΑΚΛΕΙΟ</v>
      </c>
      <c r="I1194">
        <v>71306</v>
      </c>
      <c r="J1194">
        <v>2810325954</v>
      </c>
      <c r="K1194">
        <v>6941665821</v>
      </c>
      <c r="M1194" t="s">
        <v>2828</v>
      </c>
      <c r="N1194" t="s">
        <v>146</v>
      </c>
      <c r="O1194" t="s">
        <v>147</v>
      </c>
      <c r="R1194" t="s">
        <v>57</v>
      </c>
      <c r="S1194">
        <v>15</v>
      </c>
      <c r="T1194">
        <v>161</v>
      </c>
      <c r="U1194" s="1">
        <v>33844</v>
      </c>
      <c r="V1194" t="s">
        <v>123</v>
      </c>
      <c r="W1194" t="s">
        <v>124</v>
      </c>
      <c r="X1194" t="s">
        <v>58</v>
      </c>
      <c r="Y1194">
        <v>18</v>
      </c>
      <c r="Z1194" t="s">
        <v>59</v>
      </c>
      <c r="AA1194" t="s">
        <v>59</v>
      </c>
      <c r="AB1194" t="s">
        <v>59</v>
      </c>
      <c r="AC1194" t="s">
        <v>59</v>
      </c>
      <c r="AD1194" t="s">
        <v>59</v>
      </c>
      <c r="AF1194" s="1">
        <v>33848</v>
      </c>
      <c r="AG1194" t="s">
        <v>125</v>
      </c>
      <c r="AH1194" t="s">
        <v>359</v>
      </c>
      <c r="AI1194" t="str">
        <f>"1701060"</f>
        <v>1701060</v>
      </c>
      <c r="AJ1194" t="s">
        <v>360</v>
      </c>
      <c r="AK1194">
        <v>2810223424</v>
      </c>
      <c r="AL1194" t="s">
        <v>361</v>
      </c>
      <c r="AM1194" t="s">
        <v>78</v>
      </c>
      <c r="AN1194" t="s">
        <v>78</v>
      </c>
      <c r="AO1194" t="s">
        <v>78</v>
      </c>
      <c r="AP1194" t="s">
        <v>79</v>
      </c>
      <c r="AQ1194">
        <v>1</v>
      </c>
      <c r="AR1194" t="s">
        <v>123</v>
      </c>
      <c r="AS1194" t="s">
        <v>124</v>
      </c>
      <c r="AT1194" t="s">
        <v>58</v>
      </c>
      <c r="AU1194" t="s">
        <v>68</v>
      </c>
      <c r="AV1194" t="s">
        <v>69</v>
      </c>
      <c r="AW1194" s="1">
        <v>23662</v>
      </c>
      <c r="AX1194">
        <v>2</v>
      </c>
    </row>
    <row r="1195" spans="1:50">
      <c r="B1195" t="str">
        <f>"128302377"</f>
        <v>128302377</v>
      </c>
      <c r="C1195" t="s">
        <v>50</v>
      </c>
      <c r="D1195" t="s">
        <v>2829</v>
      </c>
      <c r="E1195" t="s">
        <v>237</v>
      </c>
      <c r="F1195" t="s">
        <v>166</v>
      </c>
      <c r="G1195" t="s">
        <v>52</v>
      </c>
      <c r="H1195" t="str">
        <f>" "</f>
        <v xml:space="preserve"> </v>
      </c>
      <c r="N1195" t="s">
        <v>536</v>
      </c>
      <c r="O1195" t="s">
        <v>537</v>
      </c>
      <c r="R1195" t="s">
        <v>159</v>
      </c>
      <c r="S1195">
        <v>3</v>
      </c>
      <c r="T1195" t="s">
        <v>344</v>
      </c>
      <c r="U1195" s="1">
        <v>43348</v>
      </c>
      <c r="V1195" t="s">
        <v>123</v>
      </c>
      <c r="W1195" t="s">
        <v>124</v>
      </c>
      <c r="X1195" t="s">
        <v>58</v>
      </c>
      <c r="Y1195">
        <v>23</v>
      </c>
      <c r="Z1195" t="s">
        <v>59</v>
      </c>
      <c r="AA1195" t="s">
        <v>59</v>
      </c>
      <c r="AB1195" t="s">
        <v>59</v>
      </c>
      <c r="AD1195" t="s">
        <v>59</v>
      </c>
      <c r="AF1195" s="1">
        <v>43348</v>
      </c>
      <c r="AG1195" t="s">
        <v>125</v>
      </c>
      <c r="AH1195" t="s">
        <v>126</v>
      </c>
      <c r="AI1195" t="str">
        <f>"1702010"</f>
        <v>1702010</v>
      </c>
      <c r="AJ1195" t="s">
        <v>604</v>
      </c>
      <c r="AK1195">
        <v>2891022228</v>
      </c>
      <c r="AL1195" t="s">
        <v>605</v>
      </c>
      <c r="AM1195" t="s">
        <v>78</v>
      </c>
      <c r="AN1195" t="s">
        <v>276</v>
      </c>
      <c r="AO1195" t="s">
        <v>490</v>
      </c>
      <c r="AP1195" t="s">
        <v>490</v>
      </c>
      <c r="AQ1195">
        <v>15</v>
      </c>
      <c r="AR1195" t="s">
        <v>123</v>
      </c>
      <c r="AS1195" t="s">
        <v>124</v>
      </c>
      <c r="AT1195" t="s">
        <v>58</v>
      </c>
      <c r="AU1195" t="s">
        <v>350</v>
      </c>
      <c r="AV1195" t="s">
        <v>132</v>
      </c>
      <c r="AW1195" s="1">
        <v>30649</v>
      </c>
      <c r="AX1195">
        <v>2</v>
      </c>
    </row>
    <row r="1196" spans="1:50">
      <c r="A1196">
        <v>180149</v>
      </c>
      <c r="B1196" t="str">
        <f>"038778279"</f>
        <v>038778279</v>
      </c>
      <c r="C1196" t="s">
        <v>105</v>
      </c>
      <c r="D1196" t="s">
        <v>2830</v>
      </c>
      <c r="E1196" t="s">
        <v>95</v>
      </c>
      <c r="F1196" t="s">
        <v>166</v>
      </c>
      <c r="G1196" t="s">
        <v>892</v>
      </c>
      <c r="H1196" t="str">
        <f>"ΣΚΕΠΕΤΖΗ 11 "</f>
        <v xml:space="preserve">ΣΚΕΠΕΤΖΗ 11 </v>
      </c>
      <c r="I1196">
        <v>71307</v>
      </c>
      <c r="J1196">
        <v>2810320641</v>
      </c>
      <c r="K1196">
        <v>6948237483</v>
      </c>
      <c r="M1196" t="s">
        <v>2831</v>
      </c>
      <c r="N1196" t="s">
        <v>292</v>
      </c>
      <c r="O1196" t="s">
        <v>293</v>
      </c>
      <c r="R1196" t="s">
        <v>57</v>
      </c>
      <c r="S1196">
        <v>11</v>
      </c>
      <c r="T1196">
        <v>164</v>
      </c>
      <c r="U1196" s="1">
        <v>36040</v>
      </c>
      <c r="V1196" t="s">
        <v>123</v>
      </c>
      <c r="W1196" t="s">
        <v>124</v>
      </c>
      <c r="X1196" t="s">
        <v>58</v>
      </c>
      <c r="Y1196">
        <v>18</v>
      </c>
      <c r="Z1196" t="s">
        <v>59</v>
      </c>
      <c r="AA1196" t="s">
        <v>59</v>
      </c>
      <c r="AB1196" t="s">
        <v>59</v>
      </c>
      <c r="AC1196" t="s">
        <v>59</v>
      </c>
      <c r="AD1196" t="s">
        <v>59</v>
      </c>
      <c r="AF1196" s="1">
        <v>36045</v>
      </c>
      <c r="AG1196" t="s">
        <v>125</v>
      </c>
      <c r="AH1196" t="s">
        <v>126</v>
      </c>
      <c r="AI1196" t="str">
        <f>"1701030"</f>
        <v>1701030</v>
      </c>
      <c r="AJ1196" t="s">
        <v>270</v>
      </c>
      <c r="AK1196">
        <v>2810361015</v>
      </c>
      <c r="AL1196" t="s">
        <v>271</v>
      </c>
      <c r="AM1196" t="s">
        <v>78</v>
      </c>
      <c r="AN1196" t="s">
        <v>78</v>
      </c>
      <c r="AO1196" t="s">
        <v>78</v>
      </c>
      <c r="AP1196" t="s">
        <v>163</v>
      </c>
      <c r="AQ1196">
        <v>2</v>
      </c>
      <c r="AR1196" t="s">
        <v>123</v>
      </c>
      <c r="AS1196" t="s">
        <v>124</v>
      </c>
      <c r="AT1196" t="s">
        <v>58</v>
      </c>
      <c r="AU1196" t="s">
        <v>68</v>
      </c>
      <c r="AV1196" t="s">
        <v>69</v>
      </c>
      <c r="AW1196" s="1">
        <v>22006</v>
      </c>
      <c r="AX1196">
        <v>2</v>
      </c>
    </row>
    <row r="1197" spans="1:50">
      <c r="B1197" t="str">
        <f>"070451387"</f>
        <v>070451387</v>
      </c>
      <c r="C1197" t="s">
        <v>50</v>
      </c>
      <c r="D1197" t="s">
        <v>2832</v>
      </c>
      <c r="E1197" t="s">
        <v>83</v>
      </c>
      <c r="F1197" t="s">
        <v>99</v>
      </c>
      <c r="G1197" t="s">
        <v>1355</v>
      </c>
      <c r="H1197" t="str">
        <f>"ΑΙΣΧΥΛΟΥ ΚΑΙ ΑΧΙΛΛΕΩΣ ΛΙΒΑΔΕΙΑ"</f>
        <v>ΑΙΣΧΥΛΟΥ ΚΑΙ ΑΧΙΛΛΕΩΣ ΛΙΒΑΔΕΙΑ</v>
      </c>
      <c r="I1197">
        <v>32100</v>
      </c>
      <c r="J1197">
        <v>2261081693</v>
      </c>
      <c r="K1197">
        <v>6974004679</v>
      </c>
      <c r="M1197" t="s">
        <v>2833</v>
      </c>
      <c r="N1197" t="s">
        <v>146</v>
      </c>
      <c r="O1197" t="s">
        <v>147</v>
      </c>
      <c r="R1197" t="s">
        <v>159</v>
      </c>
      <c r="S1197">
        <v>4</v>
      </c>
      <c r="T1197" t="s">
        <v>416</v>
      </c>
      <c r="U1197" s="1">
        <v>43349</v>
      </c>
      <c r="V1197" t="s">
        <v>123</v>
      </c>
      <c r="W1197" t="s">
        <v>124</v>
      </c>
      <c r="X1197" t="s">
        <v>58</v>
      </c>
      <c r="Y1197">
        <v>21</v>
      </c>
      <c r="Z1197" t="s">
        <v>59</v>
      </c>
      <c r="AA1197" t="s">
        <v>59</v>
      </c>
      <c r="AB1197" t="s">
        <v>59</v>
      </c>
      <c r="AC1197" t="s">
        <v>59</v>
      </c>
      <c r="AD1197" t="s">
        <v>59</v>
      </c>
      <c r="AF1197" s="1">
        <v>43349</v>
      </c>
      <c r="AG1197" t="s">
        <v>148</v>
      </c>
      <c r="AH1197" t="s">
        <v>149</v>
      </c>
      <c r="AI1197" t="str">
        <f>"1761010"</f>
        <v>1761010</v>
      </c>
      <c r="AJ1197" t="s">
        <v>426</v>
      </c>
      <c r="AK1197">
        <v>2810741356</v>
      </c>
      <c r="AL1197" t="s">
        <v>427</v>
      </c>
      <c r="AM1197" t="s">
        <v>78</v>
      </c>
      <c r="AN1197" t="s">
        <v>424</v>
      </c>
      <c r="AO1197" t="s">
        <v>428</v>
      </c>
      <c r="AP1197" t="s">
        <v>429</v>
      </c>
      <c r="AQ1197">
        <v>14</v>
      </c>
      <c r="AR1197" t="s">
        <v>123</v>
      </c>
      <c r="AS1197" t="s">
        <v>124</v>
      </c>
      <c r="AT1197" t="s">
        <v>58</v>
      </c>
      <c r="AU1197" t="s">
        <v>419</v>
      </c>
      <c r="AV1197" t="s">
        <v>132</v>
      </c>
      <c r="AW1197" s="1">
        <v>28849</v>
      </c>
      <c r="AX1197">
        <v>2</v>
      </c>
    </row>
    <row r="1198" spans="1:50">
      <c r="A1198">
        <v>212241</v>
      </c>
      <c r="B1198" t="str">
        <f>"077319324"</f>
        <v>077319324</v>
      </c>
      <c r="C1198" t="s">
        <v>50</v>
      </c>
      <c r="D1198" t="s">
        <v>2834</v>
      </c>
      <c r="E1198" t="s">
        <v>1085</v>
      </c>
      <c r="F1198" t="s">
        <v>1229</v>
      </c>
      <c r="G1198" t="s">
        <v>314</v>
      </c>
      <c r="H1198" t="str">
        <f>"ΟΔΟΣ ΓΙΟΥΧΤΑ ΒΑΣΙΛΕΙΕΣ ΗΡΑΚΛΕΙΟΥ"</f>
        <v>ΟΔΟΣ ΓΙΟΥΧΤΑ ΒΑΣΙΛΕΙΕΣ ΗΡΑΚΛΕΙΟΥ</v>
      </c>
      <c r="I1198">
        <v>71500</v>
      </c>
      <c r="J1198">
        <v>2810312519</v>
      </c>
      <c r="K1198">
        <v>6944269455</v>
      </c>
      <c r="M1198" t="s">
        <v>2835</v>
      </c>
      <c r="N1198" t="s">
        <v>146</v>
      </c>
      <c r="O1198" t="s">
        <v>147</v>
      </c>
      <c r="R1198" t="s">
        <v>57</v>
      </c>
      <c r="S1198">
        <v>6</v>
      </c>
      <c r="T1198">
        <v>231</v>
      </c>
      <c r="U1198" s="1">
        <v>38960</v>
      </c>
      <c r="V1198" t="s">
        <v>123</v>
      </c>
      <c r="W1198" t="s">
        <v>124</v>
      </c>
      <c r="X1198" t="s">
        <v>58</v>
      </c>
      <c r="Y1198">
        <v>20</v>
      </c>
      <c r="Z1198" t="s">
        <v>59</v>
      </c>
      <c r="AA1198" t="s">
        <v>59</v>
      </c>
      <c r="AB1198" t="s">
        <v>59</v>
      </c>
      <c r="AC1198" t="s">
        <v>59</v>
      </c>
      <c r="AD1198" t="s">
        <v>59</v>
      </c>
      <c r="AF1198" s="1">
        <v>38961</v>
      </c>
      <c r="AG1198" t="s">
        <v>125</v>
      </c>
      <c r="AH1198" t="s">
        <v>126</v>
      </c>
      <c r="AI1198" t="str">
        <f>"1701055"</f>
        <v>1701055</v>
      </c>
      <c r="AJ1198" t="s">
        <v>301</v>
      </c>
      <c r="AK1198">
        <v>2810257353</v>
      </c>
      <c r="AL1198" t="s">
        <v>302</v>
      </c>
      <c r="AM1198" t="s">
        <v>78</v>
      </c>
      <c r="AN1198" t="s">
        <v>78</v>
      </c>
      <c r="AO1198" t="s">
        <v>78</v>
      </c>
      <c r="AP1198" t="s">
        <v>141</v>
      </c>
      <c r="AQ1198">
        <v>7</v>
      </c>
      <c r="AR1198" t="s">
        <v>123</v>
      </c>
      <c r="AS1198" t="s">
        <v>124</v>
      </c>
      <c r="AT1198" t="s">
        <v>58</v>
      </c>
      <c r="AU1198" t="s">
        <v>68</v>
      </c>
      <c r="AV1198" t="s">
        <v>69</v>
      </c>
      <c r="AW1198" s="1">
        <v>26252</v>
      </c>
      <c r="AX1198">
        <v>2</v>
      </c>
    </row>
    <row r="1199" spans="1:50">
      <c r="A1199">
        <v>700253</v>
      </c>
      <c r="B1199" t="str">
        <f>"119677811"</f>
        <v>119677811</v>
      </c>
      <c r="C1199" t="s">
        <v>50</v>
      </c>
      <c r="D1199" t="s">
        <v>2834</v>
      </c>
      <c r="E1199" t="s">
        <v>460</v>
      </c>
      <c r="F1199" t="s">
        <v>154</v>
      </c>
      <c r="G1199" t="s">
        <v>52</v>
      </c>
      <c r="H1199" t="str">
        <f>"ΒΡΥΕΝΙΟΥ ΙΩΣΗΦ 14 ΗΡΑΚΛΕΙΟ"</f>
        <v>ΒΡΥΕΝΙΟΥ ΙΩΣΗΦ 14 ΗΡΑΚΛΕΙΟ</v>
      </c>
      <c r="I1199">
        <v>71409</v>
      </c>
      <c r="J1199">
        <v>2810361415</v>
      </c>
      <c r="K1199">
        <v>6973668310</v>
      </c>
      <c r="M1199" t="s">
        <v>2836</v>
      </c>
      <c r="N1199" t="s">
        <v>292</v>
      </c>
      <c r="O1199" t="s">
        <v>293</v>
      </c>
      <c r="R1199" t="s">
        <v>57</v>
      </c>
      <c r="S1199">
        <v>3</v>
      </c>
      <c r="T1199">
        <v>772</v>
      </c>
      <c r="U1199" s="1">
        <v>40413</v>
      </c>
      <c r="V1199" t="s">
        <v>123</v>
      </c>
      <c r="W1199" t="s">
        <v>124</v>
      </c>
      <c r="X1199" t="s">
        <v>58</v>
      </c>
      <c r="Y1199">
        <v>21</v>
      </c>
      <c r="Z1199" t="s">
        <v>59</v>
      </c>
      <c r="AA1199" t="s">
        <v>59</v>
      </c>
      <c r="AB1199" t="s">
        <v>59</v>
      </c>
      <c r="AC1199" t="s">
        <v>59</v>
      </c>
      <c r="AD1199" t="s">
        <v>59</v>
      </c>
      <c r="AF1199" s="1">
        <v>40413</v>
      </c>
      <c r="AG1199" t="s">
        <v>148</v>
      </c>
      <c r="AH1199" t="s">
        <v>149</v>
      </c>
      <c r="AI1199" t="str">
        <f>"1759010"</f>
        <v>1759010</v>
      </c>
      <c r="AJ1199" t="s">
        <v>403</v>
      </c>
      <c r="AK1199">
        <v>2894022127</v>
      </c>
      <c r="AL1199" t="s">
        <v>404</v>
      </c>
      <c r="AM1199" t="s">
        <v>78</v>
      </c>
      <c r="AN1199" t="s">
        <v>405</v>
      </c>
      <c r="AO1199" t="s">
        <v>406</v>
      </c>
      <c r="AP1199" t="s">
        <v>406</v>
      </c>
      <c r="AQ1199">
        <v>30</v>
      </c>
      <c r="AR1199" t="s">
        <v>123</v>
      </c>
      <c r="AS1199" t="s">
        <v>124</v>
      </c>
      <c r="AT1199" t="s">
        <v>58</v>
      </c>
      <c r="AU1199" t="s">
        <v>68</v>
      </c>
      <c r="AV1199" t="s">
        <v>69</v>
      </c>
      <c r="AW1199" s="1">
        <v>29574</v>
      </c>
      <c r="AX1199">
        <v>2</v>
      </c>
    </row>
    <row r="1200" spans="1:50">
      <c r="A1200">
        <v>228738</v>
      </c>
      <c r="B1200" t="str">
        <f>"054623430"</f>
        <v>054623430</v>
      </c>
      <c r="C1200" t="s">
        <v>50</v>
      </c>
      <c r="D1200" t="s">
        <v>2837</v>
      </c>
      <c r="E1200" t="s">
        <v>1078</v>
      </c>
      <c r="F1200" t="s">
        <v>99</v>
      </c>
      <c r="G1200" t="s">
        <v>263</v>
      </c>
      <c r="H1200" t="str">
        <f>"ΦΙΛΕΛΛΗΝΩΝ 6 ΜΑΛΙΑ ΚΡΗΤΗΣ"</f>
        <v>ΦΙΛΕΛΛΗΝΩΝ 6 ΜΑΛΙΑ ΚΡΗΤΗΣ</v>
      </c>
      <c r="I1200">
        <v>70007</v>
      </c>
      <c r="J1200">
        <v>2897033849</v>
      </c>
      <c r="K1200">
        <v>6978508081</v>
      </c>
      <c r="L1200">
        <v>6972234347</v>
      </c>
      <c r="M1200" t="s">
        <v>2838</v>
      </c>
      <c r="N1200" t="s">
        <v>176</v>
      </c>
      <c r="O1200" t="s">
        <v>177</v>
      </c>
      <c r="R1200" t="s">
        <v>57</v>
      </c>
      <c r="S1200">
        <v>4</v>
      </c>
      <c r="T1200">
        <v>683</v>
      </c>
      <c r="U1200" s="1">
        <v>40052</v>
      </c>
      <c r="V1200" t="s">
        <v>123</v>
      </c>
      <c r="W1200" t="s">
        <v>124</v>
      </c>
      <c r="X1200" t="s">
        <v>58</v>
      </c>
      <c r="Y1200">
        <v>21</v>
      </c>
      <c r="Z1200" t="s">
        <v>59</v>
      </c>
      <c r="AA1200" t="s">
        <v>59</v>
      </c>
      <c r="AB1200" t="s">
        <v>59</v>
      </c>
      <c r="AC1200" t="s">
        <v>59</v>
      </c>
      <c r="AD1200" t="s">
        <v>59</v>
      </c>
      <c r="AF1200" s="1">
        <v>40053</v>
      </c>
      <c r="AG1200" t="s">
        <v>148</v>
      </c>
      <c r="AH1200" t="s">
        <v>149</v>
      </c>
      <c r="AI1200" t="str">
        <f>"1767011"</f>
        <v>1767011</v>
      </c>
      <c r="AJ1200" t="s">
        <v>217</v>
      </c>
      <c r="AK1200">
        <v>2897021055</v>
      </c>
      <c r="AL1200" t="s">
        <v>218</v>
      </c>
      <c r="AM1200" t="s">
        <v>78</v>
      </c>
      <c r="AN1200" t="s">
        <v>219</v>
      </c>
      <c r="AO1200" t="s">
        <v>219</v>
      </c>
      <c r="AP1200" t="s">
        <v>220</v>
      </c>
      <c r="AQ1200">
        <v>20</v>
      </c>
      <c r="AR1200" t="s">
        <v>123</v>
      </c>
      <c r="AS1200" t="s">
        <v>124</v>
      </c>
      <c r="AT1200" t="s">
        <v>58</v>
      </c>
      <c r="AU1200" t="s">
        <v>68</v>
      </c>
      <c r="AV1200" t="s">
        <v>69</v>
      </c>
      <c r="AW1200" s="1">
        <v>25850</v>
      </c>
      <c r="AX1200">
        <v>2</v>
      </c>
    </row>
    <row r="1201" spans="1:50">
      <c r="A1201">
        <v>213826</v>
      </c>
      <c r="B1201" t="str">
        <f>"023158518"</f>
        <v>023158518</v>
      </c>
      <c r="C1201" t="s">
        <v>50</v>
      </c>
      <c r="D1201" t="s">
        <v>2839</v>
      </c>
      <c r="E1201" t="s">
        <v>143</v>
      </c>
      <c r="F1201" t="s">
        <v>166</v>
      </c>
      <c r="G1201" t="s">
        <v>1277</v>
      </c>
      <c r="H1201" t="str">
        <f>"ΓΙΟΦΥΡΑΚΙΑ "</f>
        <v xml:space="preserve">ΓΙΟΦΥΡΑΚΙΑ </v>
      </c>
      <c r="I1201">
        <v>70013</v>
      </c>
      <c r="J1201">
        <v>2810545568</v>
      </c>
      <c r="K1201">
        <v>6944837888</v>
      </c>
      <c r="M1201" t="s">
        <v>2840</v>
      </c>
      <c r="N1201" t="s">
        <v>306</v>
      </c>
      <c r="O1201" t="s">
        <v>307</v>
      </c>
      <c r="P1201" t="s">
        <v>146</v>
      </c>
      <c r="Q1201" t="s">
        <v>147</v>
      </c>
      <c r="R1201" t="s">
        <v>57</v>
      </c>
      <c r="S1201">
        <v>8</v>
      </c>
      <c r="T1201">
        <v>231</v>
      </c>
      <c r="U1201" s="1">
        <v>38960</v>
      </c>
      <c r="V1201" t="s">
        <v>123</v>
      </c>
      <c r="W1201" t="s">
        <v>124</v>
      </c>
      <c r="X1201" t="s">
        <v>58</v>
      </c>
      <c r="Y1201">
        <v>20</v>
      </c>
      <c r="Z1201" t="s">
        <v>59</v>
      </c>
      <c r="AA1201" t="s">
        <v>59</v>
      </c>
      <c r="AB1201" t="s">
        <v>59</v>
      </c>
      <c r="AC1201" t="s">
        <v>59</v>
      </c>
      <c r="AD1201" t="s">
        <v>59</v>
      </c>
      <c r="AF1201" s="1">
        <v>38961</v>
      </c>
      <c r="AG1201" t="s">
        <v>137</v>
      </c>
      <c r="AH1201" t="s">
        <v>138</v>
      </c>
      <c r="AI1201" t="str">
        <f>"1750080"</f>
        <v>1750080</v>
      </c>
      <c r="AJ1201" t="s">
        <v>170</v>
      </c>
      <c r="AK1201">
        <v>2810234444</v>
      </c>
      <c r="AL1201" t="s">
        <v>171</v>
      </c>
      <c r="AM1201" t="s">
        <v>78</v>
      </c>
      <c r="AN1201" t="s">
        <v>78</v>
      </c>
      <c r="AO1201" t="s">
        <v>78</v>
      </c>
      <c r="AP1201" t="s">
        <v>163</v>
      </c>
      <c r="AQ1201">
        <v>9</v>
      </c>
      <c r="AR1201" t="s">
        <v>123</v>
      </c>
      <c r="AS1201" t="s">
        <v>124</v>
      </c>
      <c r="AT1201" t="s">
        <v>58</v>
      </c>
      <c r="AU1201" t="s">
        <v>68</v>
      </c>
      <c r="AV1201" t="s">
        <v>69</v>
      </c>
      <c r="AW1201" s="1">
        <v>21180</v>
      </c>
      <c r="AX1201">
        <v>2</v>
      </c>
    </row>
    <row r="1202" spans="1:50">
      <c r="A1202">
        <v>204064</v>
      </c>
      <c r="B1202" t="str">
        <f>"047882449"</f>
        <v>047882449</v>
      </c>
      <c r="C1202" t="s">
        <v>50</v>
      </c>
      <c r="D1202" t="s">
        <v>2839</v>
      </c>
      <c r="E1202" t="s">
        <v>715</v>
      </c>
      <c r="F1202" t="s">
        <v>92</v>
      </c>
      <c r="G1202" t="s">
        <v>2841</v>
      </c>
      <c r="H1202" t="str">
        <f>"ΛΥΣΣΟΥ 8 ΘΕΡΙΣΣΟΣ"</f>
        <v>ΛΥΣΣΟΥ 8 ΘΕΡΙΣΣΟΣ</v>
      </c>
      <c r="I1202">
        <v>71304</v>
      </c>
      <c r="J1202">
        <v>2810318142</v>
      </c>
      <c r="K1202">
        <v>6947109612</v>
      </c>
      <c r="M1202" t="s">
        <v>2842</v>
      </c>
      <c r="N1202" t="s">
        <v>176</v>
      </c>
      <c r="O1202" t="s">
        <v>177</v>
      </c>
      <c r="R1202" t="s">
        <v>57</v>
      </c>
      <c r="S1202">
        <v>7</v>
      </c>
      <c r="T1202">
        <v>231</v>
      </c>
      <c r="U1202" s="1">
        <v>38230</v>
      </c>
      <c r="V1202" t="s">
        <v>123</v>
      </c>
      <c r="W1202" t="s">
        <v>124</v>
      </c>
      <c r="X1202" t="s">
        <v>58</v>
      </c>
      <c r="Y1202">
        <v>20</v>
      </c>
      <c r="Z1202" t="s">
        <v>59</v>
      </c>
      <c r="AA1202" t="s">
        <v>59</v>
      </c>
      <c r="AB1202" t="s">
        <v>59</v>
      </c>
      <c r="AC1202" t="s">
        <v>59</v>
      </c>
      <c r="AD1202" t="s">
        <v>59</v>
      </c>
      <c r="AF1202" s="1">
        <v>38232</v>
      </c>
      <c r="AG1202" t="s">
        <v>125</v>
      </c>
      <c r="AH1202" t="s">
        <v>126</v>
      </c>
      <c r="AI1202" t="str">
        <f>"1701051"</f>
        <v>1701051</v>
      </c>
      <c r="AJ1202" t="s">
        <v>443</v>
      </c>
      <c r="AK1202">
        <v>2810325815</v>
      </c>
      <c r="AL1202" t="s">
        <v>444</v>
      </c>
      <c r="AM1202" t="s">
        <v>78</v>
      </c>
      <c r="AN1202" t="s">
        <v>78</v>
      </c>
      <c r="AO1202" t="s">
        <v>78</v>
      </c>
      <c r="AP1202" t="s">
        <v>163</v>
      </c>
      <c r="AQ1202">
        <v>5</v>
      </c>
      <c r="AR1202" t="s">
        <v>123</v>
      </c>
      <c r="AS1202" t="s">
        <v>124</v>
      </c>
      <c r="AT1202" t="s">
        <v>58</v>
      </c>
      <c r="AU1202" t="s">
        <v>68</v>
      </c>
      <c r="AV1202" t="s">
        <v>69</v>
      </c>
      <c r="AW1202" s="1">
        <v>26653</v>
      </c>
      <c r="AX1202">
        <v>2</v>
      </c>
    </row>
    <row r="1203" spans="1:50">
      <c r="A1203">
        <v>189425</v>
      </c>
      <c r="B1203" t="str">
        <f>"079047924"</f>
        <v>079047924</v>
      </c>
      <c r="C1203" t="s">
        <v>50</v>
      </c>
      <c r="D1203" t="s">
        <v>2839</v>
      </c>
      <c r="E1203" t="s">
        <v>188</v>
      </c>
      <c r="F1203" t="s">
        <v>53</v>
      </c>
      <c r="G1203" t="s">
        <v>237</v>
      </c>
      <c r="H1203" t="str">
        <f>"ΣΤΕΦ. ΝΙΚΟΛΑΊΔΗ 37  ΘΕΡΙΣΣΟΣ"</f>
        <v>ΣΤΕΦ. ΝΙΚΟΛΑΊΔΗ 37  ΘΕΡΙΣΣΟΣ</v>
      </c>
      <c r="I1203">
        <v>71305</v>
      </c>
      <c r="J1203">
        <v>2810311465</v>
      </c>
      <c r="K1203">
        <v>6934385999</v>
      </c>
      <c r="M1203" t="s">
        <v>2843</v>
      </c>
      <c r="N1203" t="s">
        <v>146</v>
      </c>
      <c r="O1203" t="s">
        <v>147</v>
      </c>
      <c r="R1203" t="s">
        <v>57</v>
      </c>
      <c r="S1203">
        <v>8</v>
      </c>
      <c r="T1203">
        <v>219</v>
      </c>
      <c r="U1203" s="1">
        <v>37134</v>
      </c>
      <c r="V1203" t="s">
        <v>123</v>
      </c>
      <c r="W1203" t="s">
        <v>124</v>
      </c>
      <c r="X1203" t="s">
        <v>58</v>
      </c>
      <c r="Y1203">
        <v>20</v>
      </c>
      <c r="Z1203" t="s">
        <v>59</v>
      </c>
      <c r="AA1203" t="s">
        <v>59</v>
      </c>
      <c r="AB1203" t="s">
        <v>59</v>
      </c>
      <c r="AC1203" t="s">
        <v>59</v>
      </c>
      <c r="AD1203" t="s">
        <v>59</v>
      </c>
      <c r="AF1203" s="1">
        <v>37138</v>
      </c>
      <c r="AG1203" t="s">
        <v>148</v>
      </c>
      <c r="AH1203" t="s">
        <v>149</v>
      </c>
      <c r="AI1203" t="str">
        <f>"1790070"</f>
        <v>1790070</v>
      </c>
      <c r="AJ1203" t="s">
        <v>1283</v>
      </c>
      <c r="AK1203">
        <v>2810252154</v>
      </c>
      <c r="AL1203" t="s">
        <v>1284</v>
      </c>
      <c r="AM1203" t="s">
        <v>78</v>
      </c>
      <c r="AN1203" t="s">
        <v>78</v>
      </c>
      <c r="AO1203" t="s">
        <v>78</v>
      </c>
      <c r="AP1203" t="s">
        <v>141</v>
      </c>
      <c r="AQ1203">
        <v>7</v>
      </c>
      <c r="AR1203" t="s">
        <v>123</v>
      </c>
      <c r="AS1203" t="s">
        <v>124</v>
      </c>
      <c r="AT1203" t="s">
        <v>58</v>
      </c>
      <c r="AU1203" t="s">
        <v>68</v>
      </c>
      <c r="AV1203" t="s">
        <v>69</v>
      </c>
      <c r="AW1203" s="1">
        <v>27303</v>
      </c>
      <c r="AX1203">
        <v>2</v>
      </c>
    </row>
    <row r="1204" spans="1:50">
      <c r="A1204">
        <v>208875</v>
      </c>
      <c r="B1204" t="str">
        <f>"035526962"</f>
        <v>035526962</v>
      </c>
      <c r="C1204" t="s">
        <v>50</v>
      </c>
      <c r="D1204" t="s">
        <v>2844</v>
      </c>
      <c r="E1204" t="s">
        <v>2845</v>
      </c>
      <c r="F1204" t="s">
        <v>72</v>
      </c>
      <c r="G1204" t="s">
        <v>143</v>
      </c>
      <c r="H1204" t="str">
        <f>"ΜΝΗΣΙΚΛΗ 2 ΜΑΣΤΑΜΠΑΣ"</f>
        <v>ΜΝΗΣΙΚΛΗ 2 ΜΑΣΤΑΜΠΑΣ</v>
      </c>
      <c r="I1204">
        <v>71305</v>
      </c>
      <c r="J1204">
        <v>2811113889</v>
      </c>
      <c r="K1204">
        <v>6985797821</v>
      </c>
      <c r="N1204" t="s">
        <v>587</v>
      </c>
      <c r="O1204" t="s">
        <v>588</v>
      </c>
      <c r="P1204" t="s">
        <v>1116</v>
      </c>
      <c r="Q1204" t="s">
        <v>1117</v>
      </c>
      <c r="R1204" t="s">
        <v>57</v>
      </c>
      <c r="S1204">
        <v>8</v>
      </c>
      <c r="T1204">
        <v>218</v>
      </c>
      <c r="U1204" s="1">
        <v>38596</v>
      </c>
      <c r="V1204" t="s">
        <v>123</v>
      </c>
      <c r="W1204" t="s">
        <v>124</v>
      </c>
      <c r="X1204" t="s">
        <v>58</v>
      </c>
      <c r="Y1204">
        <v>20</v>
      </c>
      <c r="Z1204" t="s">
        <v>59</v>
      </c>
      <c r="AA1204" t="s">
        <v>59</v>
      </c>
      <c r="AB1204" t="s">
        <v>59</v>
      </c>
      <c r="AC1204" t="s">
        <v>59</v>
      </c>
      <c r="AD1204" t="s">
        <v>59</v>
      </c>
      <c r="AF1204" s="1">
        <v>38600</v>
      </c>
      <c r="AG1204" t="s">
        <v>137</v>
      </c>
      <c r="AH1204" t="s">
        <v>138</v>
      </c>
      <c r="AI1204" t="str">
        <f>"1740210"</f>
        <v>1740210</v>
      </c>
      <c r="AJ1204" t="s">
        <v>139</v>
      </c>
      <c r="AK1204">
        <v>2810318130</v>
      </c>
      <c r="AL1204" t="s">
        <v>140</v>
      </c>
      <c r="AM1204" t="s">
        <v>78</v>
      </c>
      <c r="AN1204" t="s">
        <v>78</v>
      </c>
      <c r="AO1204" t="s">
        <v>78</v>
      </c>
      <c r="AP1204" t="s">
        <v>141</v>
      </c>
      <c r="AQ1204">
        <v>7</v>
      </c>
      <c r="AR1204" t="s">
        <v>123</v>
      </c>
      <c r="AS1204" t="s">
        <v>124</v>
      </c>
      <c r="AT1204" t="s">
        <v>58</v>
      </c>
      <c r="AU1204" t="s">
        <v>68</v>
      </c>
      <c r="AV1204" t="s">
        <v>69</v>
      </c>
      <c r="AW1204" s="1">
        <v>23830</v>
      </c>
      <c r="AX1204">
        <v>2</v>
      </c>
    </row>
    <row r="1205" spans="1:50">
      <c r="A1205">
        <v>180152</v>
      </c>
      <c r="B1205" t="str">
        <f>"032709830"</f>
        <v>032709830</v>
      </c>
      <c r="C1205" t="s">
        <v>105</v>
      </c>
      <c r="D1205" t="s">
        <v>2846</v>
      </c>
      <c r="E1205" t="s">
        <v>53</v>
      </c>
      <c r="F1205" t="s">
        <v>2847</v>
      </c>
      <c r="G1205" t="s">
        <v>2848</v>
      </c>
      <c r="H1205" t="str">
        <f>" "</f>
        <v xml:space="preserve"> </v>
      </c>
      <c r="N1205" t="s">
        <v>292</v>
      </c>
      <c r="O1205" t="s">
        <v>293</v>
      </c>
      <c r="R1205" t="s">
        <v>57</v>
      </c>
      <c r="S1205">
        <v>15</v>
      </c>
      <c r="T1205">
        <v>164</v>
      </c>
      <c r="U1205" s="1">
        <v>36040</v>
      </c>
      <c r="V1205" t="s">
        <v>123</v>
      </c>
      <c r="W1205" t="s">
        <v>124</v>
      </c>
      <c r="X1205" t="s">
        <v>58</v>
      </c>
      <c r="Y1205">
        <v>18</v>
      </c>
      <c r="Z1205" t="s">
        <v>59</v>
      </c>
      <c r="AA1205" t="s">
        <v>59</v>
      </c>
      <c r="AB1205" t="s">
        <v>59</v>
      </c>
      <c r="AC1205" t="s">
        <v>59</v>
      </c>
      <c r="AD1205" t="s">
        <v>59</v>
      </c>
      <c r="AF1205" s="1">
        <v>36045</v>
      </c>
      <c r="AG1205" t="s">
        <v>137</v>
      </c>
      <c r="AH1205" t="s">
        <v>138</v>
      </c>
      <c r="AI1205" t="str">
        <f>"1750080"</f>
        <v>1750080</v>
      </c>
      <c r="AJ1205" t="s">
        <v>170</v>
      </c>
      <c r="AK1205">
        <v>2810234444</v>
      </c>
      <c r="AL1205" t="s">
        <v>171</v>
      </c>
      <c r="AM1205" t="s">
        <v>78</v>
      </c>
      <c r="AN1205" t="s">
        <v>78</v>
      </c>
      <c r="AO1205" t="s">
        <v>78</v>
      </c>
      <c r="AP1205" t="s">
        <v>163</v>
      </c>
      <c r="AQ1205">
        <v>9</v>
      </c>
      <c r="AR1205" t="s">
        <v>123</v>
      </c>
      <c r="AS1205" t="s">
        <v>124</v>
      </c>
      <c r="AT1205" t="s">
        <v>58</v>
      </c>
      <c r="AU1205" t="s">
        <v>68</v>
      </c>
      <c r="AV1205" t="s">
        <v>69</v>
      </c>
      <c r="AW1205" s="1">
        <v>22641</v>
      </c>
      <c r="AX1205">
        <v>2</v>
      </c>
    </row>
    <row r="1206" spans="1:50">
      <c r="A1206">
        <v>160761</v>
      </c>
      <c r="B1206" t="str">
        <f>"031717462"</f>
        <v>031717462</v>
      </c>
      <c r="C1206" t="s">
        <v>105</v>
      </c>
      <c r="D1206" t="s">
        <v>2849</v>
      </c>
      <c r="E1206" t="s">
        <v>106</v>
      </c>
      <c r="F1206" t="s">
        <v>72</v>
      </c>
      <c r="G1206" t="s">
        <v>1361</v>
      </c>
      <c r="H1206" t="str">
        <f>" "</f>
        <v xml:space="preserve"> </v>
      </c>
      <c r="N1206" t="s">
        <v>299</v>
      </c>
      <c r="O1206" t="s">
        <v>300</v>
      </c>
      <c r="R1206" t="s">
        <v>57</v>
      </c>
      <c r="S1206">
        <v>13</v>
      </c>
      <c r="T1206">
        <v>161</v>
      </c>
      <c r="U1206" s="1">
        <v>33119</v>
      </c>
      <c r="V1206" t="s">
        <v>123</v>
      </c>
      <c r="W1206" t="s">
        <v>124</v>
      </c>
      <c r="X1206" t="s">
        <v>58</v>
      </c>
      <c r="Y1206">
        <v>18</v>
      </c>
      <c r="Z1206" t="s">
        <v>59</v>
      </c>
      <c r="AA1206" t="s">
        <v>59</v>
      </c>
      <c r="AB1206" t="s">
        <v>59</v>
      </c>
      <c r="AC1206" t="s">
        <v>59</v>
      </c>
      <c r="AD1206" t="s">
        <v>59</v>
      </c>
      <c r="AF1206" s="1">
        <v>33121</v>
      </c>
      <c r="AG1206" t="s">
        <v>148</v>
      </c>
      <c r="AH1206" t="s">
        <v>149</v>
      </c>
      <c r="AI1206" t="str">
        <f>"1751020"</f>
        <v>1751020</v>
      </c>
      <c r="AJ1206" t="s">
        <v>532</v>
      </c>
      <c r="AK1206">
        <v>2810372732</v>
      </c>
      <c r="AL1206" t="s">
        <v>533</v>
      </c>
      <c r="AM1206" t="s">
        <v>78</v>
      </c>
      <c r="AN1206" t="s">
        <v>78</v>
      </c>
      <c r="AO1206" t="s">
        <v>78</v>
      </c>
      <c r="AP1206" t="s">
        <v>163</v>
      </c>
      <c r="AQ1206">
        <v>3</v>
      </c>
      <c r="AR1206" t="s">
        <v>123</v>
      </c>
      <c r="AS1206" t="s">
        <v>124</v>
      </c>
      <c r="AT1206" t="s">
        <v>58</v>
      </c>
      <c r="AU1206" t="s">
        <v>68</v>
      </c>
      <c r="AV1206" t="s">
        <v>69</v>
      </c>
      <c r="AW1206" s="1">
        <v>22490</v>
      </c>
      <c r="AX1206">
        <v>2</v>
      </c>
    </row>
    <row r="1207" spans="1:50">
      <c r="A1207">
        <v>208643</v>
      </c>
      <c r="B1207" t="str">
        <f>"038630410"</f>
        <v>038630410</v>
      </c>
      <c r="C1207" t="s">
        <v>50</v>
      </c>
      <c r="D1207" t="s">
        <v>2850</v>
      </c>
      <c r="E1207" t="s">
        <v>699</v>
      </c>
      <c r="F1207" t="s">
        <v>95</v>
      </c>
      <c r="G1207" t="s">
        <v>2851</v>
      </c>
      <c r="H1207" t="str">
        <f>"ΣΠΥΡΟΥ ΜΑΡΙΝΑΤΟΥ 3 ΗΡΑΚΛΕΙΟ"</f>
        <v>ΣΠΥΡΟΥ ΜΑΡΙΝΑΤΟΥ 3 ΗΡΑΚΛΕΙΟ</v>
      </c>
      <c r="I1207">
        <v>71307</v>
      </c>
      <c r="J1207">
        <v>2105984958</v>
      </c>
      <c r="K1207">
        <v>6937156014</v>
      </c>
      <c r="L1207">
        <v>2810236389</v>
      </c>
      <c r="N1207" t="s">
        <v>331</v>
      </c>
      <c r="O1207" t="s">
        <v>332</v>
      </c>
      <c r="R1207" t="s">
        <v>57</v>
      </c>
      <c r="S1207">
        <v>7</v>
      </c>
      <c r="T1207">
        <v>218</v>
      </c>
      <c r="U1207" s="1">
        <v>38596</v>
      </c>
      <c r="V1207" t="s">
        <v>123</v>
      </c>
      <c r="W1207" t="s">
        <v>124</v>
      </c>
      <c r="X1207" t="s">
        <v>58</v>
      </c>
      <c r="Y1207">
        <v>20</v>
      </c>
      <c r="Z1207" t="s">
        <v>59</v>
      </c>
      <c r="AA1207" t="s">
        <v>59</v>
      </c>
      <c r="AB1207" t="s">
        <v>59</v>
      </c>
      <c r="AC1207" t="s">
        <v>59</v>
      </c>
      <c r="AD1207" t="s">
        <v>59</v>
      </c>
      <c r="AF1207" s="1">
        <v>38601</v>
      </c>
      <c r="AG1207" t="s">
        <v>137</v>
      </c>
      <c r="AH1207" t="s">
        <v>138</v>
      </c>
      <c r="AI1207" t="str">
        <f>"1750080"</f>
        <v>1750080</v>
      </c>
      <c r="AJ1207" t="s">
        <v>170</v>
      </c>
      <c r="AK1207">
        <v>2810234444</v>
      </c>
      <c r="AL1207" t="s">
        <v>171</v>
      </c>
      <c r="AM1207" t="s">
        <v>78</v>
      </c>
      <c r="AN1207" t="s">
        <v>78</v>
      </c>
      <c r="AO1207" t="s">
        <v>78</v>
      </c>
      <c r="AP1207" t="s">
        <v>163</v>
      </c>
      <c r="AQ1207">
        <v>9</v>
      </c>
      <c r="AR1207" t="s">
        <v>123</v>
      </c>
      <c r="AS1207" t="s">
        <v>124</v>
      </c>
      <c r="AT1207" t="s">
        <v>58</v>
      </c>
      <c r="AU1207" t="s">
        <v>68</v>
      </c>
      <c r="AV1207" t="s">
        <v>69</v>
      </c>
      <c r="AW1207" s="1">
        <v>26893</v>
      </c>
      <c r="AX1207">
        <v>2</v>
      </c>
    </row>
    <row r="1208" spans="1:50">
      <c r="A1208">
        <v>226674</v>
      </c>
      <c r="B1208" t="str">
        <f>"044804208"</f>
        <v>044804208</v>
      </c>
      <c r="C1208" t="s">
        <v>50</v>
      </c>
      <c r="D1208" t="s">
        <v>2852</v>
      </c>
      <c r="E1208" t="s">
        <v>600</v>
      </c>
      <c r="F1208" t="s">
        <v>84</v>
      </c>
      <c r="G1208" t="s">
        <v>250</v>
      </c>
      <c r="H1208" t="str">
        <f>"ΠΟΝΤΟΥ 6 ΗΡΑΚΛΕΙΙΟ"</f>
        <v>ΠΟΝΤΟΥ 6 ΗΡΑΚΛΕΙΙΟ</v>
      </c>
      <c r="I1208">
        <v>71306</v>
      </c>
      <c r="J1208">
        <v>2810323826</v>
      </c>
      <c r="K1208">
        <v>6945818690</v>
      </c>
      <c r="M1208" t="s">
        <v>2853</v>
      </c>
      <c r="N1208" t="s">
        <v>146</v>
      </c>
      <c r="O1208" t="s">
        <v>147</v>
      </c>
      <c r="R1208" t="s">
        <v>57</v>
      </c>
      <c r="S1208">
        <v>4</v>
      </c>
      <c r="T1208">
        <v>654</v>
      </c>
      <c r="U1208" s="1">
        <v>40043</v>
      </c>
      <c r="V1208" t="s">
        <v>123</v>
      </c>
      <c r="W1208" t="s">
        <v>124</v>
      </c>
      <c r="X1208" t="s">
        <v>58</v>
      </c>
      <c r="Y1208">
        <v>21</v>
      </c>
      <c r="Z1208" t="s">
        <v>59</v>
      </c>
      <c r="AA1208" t="s">
        <v>59</v>
      </c>
      <c r="AB1208" t="s">
        <v>59</v>
      </c>
      <c r="AC1208" t="s">
        <v>59</v>
      </c>
      <c r="AD1208" t="s">
        <v>59</v>
      </c>
      <c r="AF1208" s="1">
        <v>40043</v>
      </c>
      <c r="AG1208" t="s">
        <v>148</v>
      </c>
      <c r="AH1208" t="s">
        <v>149</v>
      </c>
      <c r="AI1208" t="str">
        <f>"1758010"</f>
        <v>1758010</v>
      </c>
      <c r="AJ1208" t="s">
        <v>575</v>
      </c>
      <c r="AK1208">
        <v>2893022145</v>
      </c>
      <c r="AL1208" t="s">
        <v>576</v>
      </c>
      <c r="AM1208" t="s">
        <v>78</v>
      </c>
      <c r="AN1208" t="s">
        <v>424</v>
      </c>
      <c r="AO1208" t="s">
        <v>577</v>
      </c>
      <c r="AP1208" t="s">
        <v>578</v>
      </c>
      <c r="AQ1208">
        <v>24</v>
      </c>
      <c r="AR1208" t="s">
        <v>123</v>
      </c>
      <c r="AS1208" t="s">
        <v>124</v>
      </c>
      <c r="AT1208" t="s">
        <v>58</v>
      </c>
      <c r="AU1208" t="s">
        <v>68</v>
      </c>
      <c r="AV1208" t="s">
        <v>69</v>
      </c>
      <c r="AW1208" s="1">
        <v>25936</v>
      </c>
      <c r="AX1208">
        <v>2</v>
      </c>
    </row>
    <row r="1209" spans="1:50">
      <c r="A1209">
        <v>173415</v>
      </c>
      <c r="B1209" t="str">
        <f>"038817119"</f>
        <v>038817119</v>
      </c>
      <c r="C1209" t="s">
        <v>50</v>
      </c>
      <c r="D1209" t="s">
        <v>2852</v>
      </c>
      <c r="E1209" t="s">
        <v>2854</v>
      </c>
      <c r="F1209" t="s">
        <v>72</v>
      </c>
      <c r="G1209" t="s">
        <v>71</v>
      </c>
      <c r="H1209" t="str">
        <f>"ΣΤΡΑΤΗ ΓΛΥΚΟΠΟΥΛΟΥ 27 ΚΗΠΟΥΠΟΛΗ"</f>
        <v>ΣΤΡΑΤΗ ΓΛΥΚΟΠΟΥΛΟΥ 27 ΚΗΠΟΥΠΟΛΗ</v>
      </c>
      <c r="I1209">
        <v>71307</v>
      </c>
      <c r="J1209">
        <v>2810236307</v>
      </c>
      <c r="K1209">
        <v>6944212504</v>
      </c>
      <c r="L1209">
        <v>2810234488</v>
      </c>
      <c r="M1209" t="s">
        <v>2855</v>
      </c>
      <c r="N1209" t="s">
        <v>146</v>
      </c>
      <c r="O1209" t="s">
        <v>147</v>
      </c>
      <c r="R1209" t="s">
        <v>57</v>
      </c>
      <c r="S1209">
        <v>12</v>
      </c>
      <c r="T1209">
        <v>166</v>
      </c>
      <c r="U1209" s="1">
        <v>35300</v>
      </c>
      <c r="V1209" t="s">
        <v>123</v>
      </c>
      <c r="W1209" t="s">
        <v>124</v>
      </c>
      <c r="X1209" t="s">
        <v>58</v>
      </c>
      <c r="Y1209">
        <v>18</v>
      </c>
      <c r="Z1209" t="s">
        <v>59</v>
      </c>
      <c r="AA1209" t="s">
        <v>59</v>
      </c>
      <c r="AB1209" t="s">
        <v>59</v>
      </c>
      <c r="AC1209" t="s">
        <v>59</v>
      </c>
      <c r="AD1209" t="s">
        <v>59</v>
      </c>
      <c r="AF1209" s="1">
        <v>35310</v>
      </c>
      <c r="AG1209" t="s">
        <v>125</v>
      </c>
      <c r="AH1209" t="s">
        <v>126</v>
      </c>
      <c r="AI1209" t="str">
        <f>"1701057"</f>
        <v>1701057</v>
      </c>
      <c r="AJ1209" t="s">
        <v>379</v>
      </c>
      <c r="AK1209">
        <v>2810234488</v>
      </c>
      <c r="AL1209" t="s">
        <v>380</v>
      </c>
      <c r="AM1209" t="s">
        <v>78</v>
      </c>
      <c r="AN1209" t="s">
        <v>78</v>
      </c>
      <c r="AO1209" t="s">
        <v>78</v>
      </c>
      <c r="AP1209" t="s">
        <v>163</v>
      </c>
      <c r="AQ1209">
        <v>8</v>
      </c>
      <c r="AR1209" t="s">
        <v>123</v>
      </c>
      <c r="AS1209" t="s">
        <v>124</v>
      </c>
      <c r="AT1209" t="s">
        <v>58</v>
      </c>
      <c r="AU1209" t="s">
        <v>68</v>
      </c>
      <c r="AV1209" t="s">
        <v>69</v>
      </c>
      <c r="AW1209" s="1">
        <v>24093</v>
      </c>
      <c r="AX1209">
        <v>2</v>
      </c>
    </row>
    <row r="1210" spans="1:50">
      <c r="A1210">
        <v>166830</v>
      </c>
      <c r="B1210" t="str">
        <f>"054239364"</f>
        <v>054239364</v>
      </c>
      <c r="C1210" t="s">
        <v>50</v>
      </c>
      <c r="D1210" t="s">
        <v>2852</v>
      </c>
      <c r="E1210" t="s">
        <v>1068</v>
      </c>
      <c r="F1210" t="s">
        <v>949</v>
      </c>
      <c r="G1210" t="s">
        <v>112</v>
      </c>
      <c r="H1210" t="str">
        <f>" "</f>
        <v xml:space="preserve"> </v>
      </c>
      <c r="J1210">
        <v>2891031437</v>
      </c>
      <c r="K1210">
        <v>6945736041</v>
      </c>
      <c r="M1210" t="s">
        <v>2856</v>
      </c>
      <c r="N1210" t="s">
        <v>282</v>
      </c>
      <c r="O1210" t="s">
        <v>283</v>
      </c>
      <c r="P1210" t="s">
        <v>232</v>
      </c>
      <c r="Q1210" t="s">
        <v>233</v>
      </c>
      <c r="R1210" t="s">
        <v>57</v>
      </c>
      <c r="S1210">
        <v>18</v>
      </c>
      <c r="T1210">
        <v>137</v>
      </c>
      <c r="U1210" s="1">
        <v>34206</v>
      </c>
      <c r="V1210" t="s">
        <v>123</v>
      </c>
      <c r="W1210" t="s">
        <v>124</v>
      </c>
      <c r="X1210" t="s">
        <v>58</v>
      </c>
      <c r="Y1210">
        <v>18</v>
      </c>
      <c r="Z1210" t="s">
        <v>59</v>
      </c>
      <c r="AA1210" t="s">
        <v>59</v>
      </c>
      <c r="AB1210" t="s">
        <v>59</v>
      </c>
      <c r="AC1210" t="s">
        <v>59</v>
      </c>
      <c r="AD1210" t="s">
        <v>59</v>
      </c>
      <c r="AF1210" s="1">
        <v>34213</v>
      </c>
      <c r="AG1210" t="s">
        <v>125</v>
      </c>
      <c r="AH1210" t="s">
        <v>126</v>
      </c>
      <c r="AI1210" t="str">
        <f>"1701055"</f>
        <v>1701055</v>
      </c>
      <c r="AJ1210" t="s">
        <v>301</v>
      </c>
      <c r="AK1210">
        <v>2810257353</v>
      </c>
      <c r="AL1210" t="s">
        <v>302</v>
      </c>
      <c r="AM1210" t="s">
        <v>78</v>
      </c>
      <c r="AN1210" t="s">
        <v>78</v>
      </c>
      <c r="AO1210" t="s">
        <v>78</v>
      </c>
      <c r="AP1210" t="s">
        <v>141</v>
      </c>
      <c r="AQ1210">
        <v>7</v>
      </c>
      <c r="AR1210" t="s">
        <v>123</v>
      </c>
      <c r="AS1210" t="s">
        <v>124</v>
      </c>
      <c r="AT1210" t="s">
        <v>58</v>
      </c>
      <c r="AU1210" t="s">
        <v>68</v>
      </c>
      <c r="AV1210" t="s">
        <v>69</v>
      </c>
      <c r="AW1210" s="1">
        <v>23568</v>
      </c>
      <c r="AX1210">
        <v>2</v>
      </c>
    </row>
    <row r="1211" spans="1:50">
      <c r="A1211">
        <v>160841</v>
      </c>
      <c r="B1211" t="str">
        <f>"036494146"</f>
        <v>036494146</v>
      </c>
      <c r="C1211" t="s">
        <v>50</v>
      </c>
      <c r="D1211" t="s">
        <v>2857</v>
      </c>
      <c r="E1211" t="s">
        <v>83</v>
      </c>
      <c r="F1211" t="s">
        <v>99</v>
      </c>
      <c r="G1211" t="s">
        <v>553</v>
      </c>
      <c r="H1211" t="str">
        <f>" "</f>
        <v xml:space="preserve"> </v>
      </c>
      <c r="M1211" t="s">
        <v>2858</v>
      </c>
      <c r="N1211" t="s">
        <v>257</v>
      </c>
      <c r="O1211" t="s">
        <v>258</v>
      </c>
      <c r="R1211" t="s">
        <v>57</v>
      </c>
      <c r="S1211">
        <v>14</v>
      </c>
      <c r="T1211">
        <v>161</v>
      </c>
      <c r="U1211" s="1">
        <v>33119</v>
      </c>
      <c r="V1211" t="s">
        <v>123</v>
      </c>
      <c r="W1211" t="s">
        <v>124</v>
      </c>
      <c r="X1211" t="s">
        <v>58</v>
      </c>
      <c r="Y1211">
        <v>18</v>
      </c>
      <c r="Z1211" t="s">
        <v>59</v>
      </c>
      <c r="AA1211" t="s">
        <v>59</v>
      </c>
      <c r="AB1211" t="s">
        <v>59</v>
      </c>
      <c r="AC1211" t="s">
        <v>59</v>
      </c>
      <c r="AD1211" t="s">
        <v>59</v>
      </c>
      <c r="AF1211" s="1">
        <v>33120</v>
      </c>
      <c r="AG1211" t="s">
        <v>125</v>
      </c>
      <c r="AH1211" t="s">
        <v>126</v>
      </c>
      <c r="AI1211" t="str">
        <f>"1701040"</f>
        <v>1701040</v>
      </c>
      <c r="AJ1211" t="s">
        <v>748</v>
      </c>
      <c r="AK1211">
        <v>2810252459</v>
      </c>
      <c r="AL1211" t="s">
        <v>749</v>
      </c>
      <c r="AM1211" t="s">
        <v>78</v>
      </c>
      <c r="AN1211" t="s">
        <v>78</v>
      </c>
      <c r="AO1211" t="s">
        <v>78</v>
      </c>
      <c r="AP1211" t="s">
        <v>141</v>
      </c>
      <c r="AQ1211">
        <v>3</v>
      </c>
      <c r="AR1211" t="s">
        <v>123</v>
      </c>
      <c r="AS1211" t="s">
        <v>124</v>
      </c>
      <c r="AT1211" t="s">
        <v>58</v>
      </c>
      <c r="AU1211" t="s">
        <v>68</v>
      </c>
      <c r="AV1211" t="s">
        <v>69</v>
      </c>
      <c r="AW1211" s="1">
        <v>23241</v>
      </c>
      <c r="AX1211">
        <v>2</v>
      </c>
    </row>
    <row r="1212" spans="1:50">
      <c r="A1212">
        <v>195533</v>
      </c>
      <c r="B1212" t="str">
        <f>"044832822"</f>
        <v>044832822</v>
      </c>
      <c r="C1212" t="s">
        <v>105</v>
      </c>
      <c r="D1212" t="s">
        <v>2859</v>
      </c>
      <c r="E1212" t="s">
        <v>166</v>
      </c>
      <c r="F1212" t="s">
        <v>53</v>
      </c>
      <c r="G1212" t="s">
        <v>2860</v>
      </c>
      <c r="H1212" t="str">
        <f>"ΣΑΠΦΟΥΣ 2 Ν. ΑΛΙΚΑΡΝΑΣΣΟΣ"</f>
        <v>ΣΑΠΦΟΥΣ 2 Ν. ΑΛΙΚΑΡΝΑΣΣΟΣ</v>
      </c>
      <c r="I1212">
        <v>71409</v>
      </c>
      <c r="J1212">
        <v>2810286384</v>
      </c>
      <c r="K1212">
        <v>6978224678</v>
      </c>
      <c r="M1212" t="s">
        <v>2861</v>
      </c>
      <c r="N1212" t="s">
        <v>292</v>
      </c>
      <c r="O1212" t="s">
        <v>293</v>
      </c>
      <c r="R1212" t="s">
        <v>57</v>
      </c>
      <c r="S1212">
        <v>9</v>
      </c>
      <c r="T1212">
        <v>194</v>
      </c>
      <c r="U1212" s="1">
        <v>37497</v>
      </c>
      <c r="V1212" t="s">
        <v>123</v>
      </c>
      <c r="W1212" t="s">
        <v>124</v>
      </c>
      <c r="X1212" t="s">
        <v>58</v>
      </c>
      <c r="Y1212">
        <v>20</v>
      </c>
      <c r="Z1212" t="s">
        <v>59</v>
      </c>
      <c r="AA1212" t="s">
        <v>59</v>
      </c>
      <c r="AB1212" t="s">
        <v>59</v>
      </c>
      <c r="AC1212" t="s">
        <v>59</v>
      </c>
      <c r="AD1212" t="s">
        <v>59</v>
      </c>
      <c r="AF1212" s="1">
        <v>37501</v>
      </c>
      <c r="AG1212" t="s">
        <v>148</v>
      </c>
      <c r="AH1212" t="s">
        <v>149</v>
      </c>
      <c r="AI1212" t="str">
        <f>"1790100"</f>
        <v>1790100</v>
      </c>
      <c r="AJ1212" t="s">
        <v>252</v>
      </c>
      <c r="AK1212">
        <v>2810234876</v>
      </c>
      <c r="AL1212" t="s">
        <v>253</v>
      </c>
      <c r="AM1212" t="s">
        <v>78</v>
      </c>
      <c r="AN1212" t="s">
        <v>78</v>
      </c>
      <c r="AO1212" t="s">
        <v>78</v>
      </c>
      <c r="AP1212" t="s">
        <v>163</v>
      </c>
      <c r="AQ1212">
        <v>5</v>
      </c>
      <c r="AR1212" t="s">
        <v>123</v>
      </c>
      <c r="AS1212" t="s">
        <v>124</v>
      </c>
      <c r="AT1212" t="s">
        <v>58</v>
      </c>
      <c r="AU1212" t="s">
        <v>68</v>
      </c>
      <c r="AV1212" t="s">
        <v>69</v>
      </c>
      <c r="AW1212" s="1">
        <v>23562</v>
      </c>
      <c r="AX1212">
        <v>2</v>
      </c>
    </row>
    <row r="1213" spans="1:50">
      <c r="A1213">
        <v>185449</v>
      </c>
      <c r="B1213" t="str">
        <f>"035036973"</f>
        <v>035036973</v>
      </c>
      <c r="C1213" t="s">
        <v>50</v>
      </c>
      <c r="D1213" t="s">
        <v>2862</v>
      </c>
      <c r="E1213" t="s">
        <v>1078</v>
      </c>
      <c r="F1213" t="s">
        <v>311</v>
      </c>
      <c r="G1213" t="s">
        <v>580</v>
      </c>
      <c r="H1213" t="str">
        <f>"Γ. ΧΑΛΚΙΑΔΑΚΗ 1 ΗΡΑΚΛΕΙΟ"</f>
        <v>Γ. ΧΑΛΚΙΑΔΑΚΗ 1 ΗΡΑΚΛΕΙΟ</v>
      </c>
      <c r="I1213">
        <v>71307</v>
      </c>
      <c r="J1213">
        <v>2810320462</v>
      </c>
      <c r="K1213">
        <v>6976244410</v>
      </c>
      <c r="M1213" t="s">
        <v>2863</v>
      </c>
      <c r="N1213" t="s">
        <v>176</v>
      </c>
      <c r="O1213" t="s">
        <v>177</v>
      </c>
      <c r="R1213" t="s">
        <v>57</v>
      </c>
      <c r="S1213">
        <v>13</v>
      </c>
      <c r="T1213">
        <v>180</v>
      </c>
      <c r="U1213" s="1">
        <v>35674</v>
      </c>
      <c r="V1213" t="s">
        <v>123</v>
      </c>
      <c r="W1213" t="s">
        <v>124</v>
      </c>
      <c r="X1213" t="s">
        <v>58</v>
      </c>
      <c r="Y1213">
        <v>18</v>
      </c>
      <c r="Z1213" t="s">
        <v>59</v>
      </c>
      <c r="AA1213" t="s">
        <v>59</v>
      </c>
      <c r="AB1213" t="s">
        <v>59</v>
      </c>
      <c r="AC1213" t="s">
        <v>59</v>
      </c>
      <c r="AD1213" t="s">
        <v>59</v>
      </c>
      <c r="AF1213" s="1">
        <v>35676</v>
      </c>
      <c r="AG1213" t="s">
        <v>125</v>
      </c>
      <c r="AH1213" t="s">
        <v>126</v>
      </c>
      <c r="AI1213" t="str">
        <f>"1701010"</f>
        <v>1701010</v>
      </c>
      <c r="AJ1213" t="s">
        <v>374</v>
      </c>
      <c r="AK1213">
        <v>2810227148</v>
      </c>
      <c r="AL1213" t="s">
        <v>375</v>
      </c>
      <c r="AM1213" t="s">
        <v>78</v>
      </c>
      <c r="AN1213" t="s">
        <v>78</v>
      </c>
      <c r="AO1213" t="s">
        <v>78</v>
      </c>
      <c r="AP1213" t="s">
        <v>79</v>
      </c>
      <c r="AQ1213">
        <v>1</v>
      </c>
      <c r="AR1213" t="s">
        <v>123</v>
      </c>
      <c r="AS1213" t="s">
        <v>124</v>
      </c>
      <c r="AT1213" t="s">
        <v>58</v>
      </c>
      <c r="AU1213" t="s">
        <v>68</v>
      </c>
      <c r="AV1213" t="s">
        <v>69</v>
      </c>
      <c r="AW1213" s="1">
        <v>23861</v>
      </c>
      <c r="AX1213">
        <v>2</v>
      </c>
    </row>
    <row r="1214" spans="1:50">
      <c r="A1214">
        <v>219313</v>
      </c>
      <c r="B1214" t="str">
        <f>"066252838"</f>
        <v>066252838</v>
      </c>
      <c r="C1214" t="s">
        <v>50</v>
      </c>
      <c r="D1214" t="s">
        <v>2864</v>
      </c>
      <c r="E1214" t="s">
        <v>52</v>
      </c>
      <c r="F1214" t="s">
        <v>99</v>
      </c>
      <c r="G1214" t="s">
        <v>964</v>
      </c>
      <c r="H1214" t="str">
        <f>"ΣΩΚΡΑΤΟΥΣ 2 ΠΟΛΥΓΥΡΟΣ"</f>
        <v>ΣΩΚΡΑΤΟΥΣ 2 ΠΟΛΥΓΥΡΟΣ</v>
      </c>
      <c r="I1214">
        <v>63100</v>
      </c>
      <c r="J1214">
        <v>2310947817</v>
      </c>
      <c r="K1214">
        <v>6944683738</v>
      </c>
      <c r="M1214" t="s">
        <v>2865</v>
      </c>
      <c r="N1214" t="s">
        <v>306</v>
      </c>
      <c r="O1214" t="s">
        <v>307</v>
      </c>
      <c r="R1214" t="s">
        <v>57</v>
      </c>
      <c r="S1214">
        <v>7</v>
      </c>
      <c r="T1214">
        <v>599</v>
      </c>
      <c r="U1214" s="1">
        <v>39310</v>
      </c>
      <c r="V1214" t="s">
        <v>123</v>
      </c>
      <c r="W1214" t="s">
        <v>124</v>
      </c>
      <c r="X1214" t="s">
        <v>58</v>
      </c>
      <c r="Y1214">
        <v>21</v>
      </c>
      <c r="Z1214" t="s">
        <v>59</v>
      </c>
      <c r="AA1214" t="s">
        <v>59</v>
      </c>
      <c r="AB1214" t="s">
        <v>59</v>
      </c>
      <c r="AC1214" t="s">
        <v>59</v>
      </c>
      <c r="AD1214" t="s">
        <v>59</v>
      </c>
      <c r="AF1214" s="1">
        <v>39329</v>
      </c>
      <c r="AG1214" t="s">
        <v>125</v>
      </c>
      <c r="AH1214" t="s">
        <v>126</v>
      </c>
      <c r="AI1214" t="str">
        <f>"1713010"</f>
        <v>1713010</v>
      </c>
      <c r="AJ1214" t="s">
        <v>369</v>
      </c>
      <c r="AK1214">
        <v>2892051686</v>
      </c>
      <c r="AL1214" t="s">
        <v>370</v>
      </c>
      <c r="AM1214" t="s">
        <v>78</v>
      </c>
      <c r="AN1214" t="s">
        <v>242</v>
      </c>
      <c r="AO1214" t="s">
        <v>349</v>
      </c>
      <c r="AP1214" t="s">
        <v>349</v>
      </c>
      <c r="AQ1214">
        <v>35</v>
      </c>
      <c r="AR1214" t="s">
        <v>123</v>
      </c>
      <c r="AS1214" t="s">
        <v>124</v>
      </c>
      <c r="AT1214" t="s">
        <v>58</v>
      </c>
      <c r="AU1214" t="s">
        <v>68</v>
      </c>
      <c r="AV1214" t="s">
        <v>69</v>
      </c>
      <c r="AW1214" s="1">
        <v>29668</v>
      </c>
      <c r="AX1214">
        <v>2</v>
      </c>
    </row>
    <row r="1215" spans="1:50">
      <c r="A1215">
        <v>226675</v>
      </c>
      <c r="B1215" t="str">
        <f>"121436402"</f>
        <v>121436402</v>
      </c>
      <c r="C1215" t="s">
        <v>105</v>
      </c>
      <c r="D1215" t="s">
        <v>2866</v>
      </c>
      <c r="E1215" t="s">
        <v>53</v>
      </c>
      <c r="F1215" t="s">
        <v>95</v>
      </c>
      <c r="G1215" t="s">
        <v>714</v>
      </c>
      <c r="H1215" t="str">
        <f>"ΠΑΠΑΓΟΥ 7 ΠΕΛΛΑ"</f>
        <v>ΠΑΠΑΓΟΥ 7 ΠΕΛΛΑ</v>
      </c>
      <c r="I1215">
        <v>58100</v>
      </c>
      <c r="J1215">
        <v>2382023770</v>
      </c>
      <c r="K1215">
        <v>6972394758</v>
      </c>
      <c r="M1215" t="s">
        <v>2867</v>
      </c>
      <c r="N1215" t="s">
        <v>146</v>
      </c>
      <c r="O1215" t="s">
        <v>147</v>
      </c>
      <c r="R1215" t="s">
        <v>57</v>
      </c>
      <c r="S1215">
        <v>4</v>
      </c>
      <c r="T1215">
        <v>654</v>
      </c>
      <c r="U1215" s="1">
        <v>40043</v>
      </c>
      <c r="V1215" t="s">
        <v>123</v>
      </c>
      <c r="W1215" t="s">
        <v>124</v>
      </c>
      <c r="X1215" t="s">
        <v>58</v>
      </c>
      <c r="Y1215">
        <v>21</v>
      </c>
      <c r="Z1215" t="s">
        <v>59</v>
      </c>
      <c r="AA1215" t="s">
        <v>59</v>
      </c>
      <c r="AB1215" t="s">
        <v>59</v>
      </c>
      <c r="AC1215" t="s">
        <v>59</v>
      </c>
      <c r="AD1215" t="s">
        <v>59</v>
      </c>
      <c r="AF1215" s="1">
        <v>40046</v>
      </c>
      <c r="AG1215" t="s">
        <v>125</v>
      </c>
      <c r="AH1215" t="s">
        <v>126</v>
      </c>
      <c r="AI1215" t="str">
        <f>"1713010"</f>
        <v>1713010</v>
      </c>
      <c r="AJ1215" t="s">
        <v>369</v>
      </c>
      <c r="AK1215">
        <v>2892051686</v>
      </c>
      <c r="AL1215" t="s">
        <v>370</v>
      </c>
      <c r="AM1215" t="s">
        <v>78</v>
      </c>
      <c r="AN1215" t="s">
        <v>242</v>
      </c>
      <c r="AO1215" t="s">
        <v>349</v>
      </c>
      <c r="AP1215" t="s">
        <v>349</v>
      </c>
      <c r="AQ1215">
        <v>35</v>
      </c>
      <c r="AR1215" t="s">
        <v>123</v>
      </c>
      <c r="AS1215" t="s">
        <v>124</v>
      </c>
      <c r="AT1215" t="s">
        <v>58</v>
      </c>
      <c r="AU1215" t="s">
        <v>68</v>
      </c>
      <c r="AV1215" t="s">
        <v>69</v>
      </c>
      <c r="AW1215" s="1">
        <v>27947</v>
      </c>
      <c r="AX1215">
        <v>2</v>
      </c>
    </row>
    <row r="1216" spans="1:50">
      <c r="A1216">
        <v>221424</v>
      </c>
      <c r="B1216" t="str">
        <f>"103812103"</f>
        <v>103812103</v>
      </c>
      <c r="C1216" t="s">
        <v>50</v>
      </c>
      <c r="D1216" t="s">
        <v>2868</v>
      </c>
      <c r="E1216" t="s">
        <v>2869</v>
      </c>
      <c r="F1216" t="s">
        <v>202</v>
      </c>
      <c r="G1216" t="s">
        <v>630</v>
      </c>
      <c r="H1216" t="str">
        <f>" "</f>
        <v xml:space="preserve"> </v>
      </c>
      <c r="J1216">
        <v>2810260501</v>
      </c>
      <c r="K1216">
        <v>6978679846</v>
      </c>
      <c r="M1216" t="s">
        <v>2870</v>
      </c>
      <c r="N1216" t="s">
        <v>2871</v>
      </c>
      <c r="O1216" t="s">
        <v>2872</v>
      </c>
      <c r="P1216" t="s">
        <v>2348</v>
      </c>
      <c r="Q1216" t="s">
        <v>2349</v>
      </c>
      <c r="R1216" t="s">
        <v>57</v>
      </c>
      <c r="S1216">
        <v>5</v>
      </c>
      <c r="T1216">
        <v>691</v>
      </c>
      <c r="U1216" s="1">
        <v>39331</v>
      </c>
      <c r="V1216" t="s">
        <v>123</v>
      </c>
      <c r="W1216" t="s">
        <v>124</v>
      </c>
      <c r="X1216" t="s">
        <v>58</v>
      </c>
      <c r="Y1216">
        <v>21</v>
      </c>
      <c r="Z1216" t="s">
        <v>59</v>
      </c>
      <c r="AA1216" t="s">
        <v>59</v>
      </c>
      <c r="AB1216" t="s">
        <v>59</v>
      </c>
      <c r="AC1216" t="s">
        <v>59</v>
      </c>
      <c r="AD1216" t="s">
        <v>59</v>
      </c>
      <c r="AF1216" s="1">
        <v>39332</v>
      </c>
      <c r="AG1216" t="s">
        <v>137</v>
      </c>
      <c r="AH1216" t="s">
        <v>138</v>
      </c>
      <c r="AI1216" t="str">
        <f>"1740100"</f>
        <v>1740100</v>
      </c>
      <c r="AJ1216" t="s">
        <v>857</v>
      </c>
      <c r="AK1216">
        <v>2810360741</v>
      </c>
      <c r="AL1216" t="s">
        <v>858</v>
      </c>
      <c r="AM1216" t="s">
        <v>78</v>
      </c>
      <c r="AN1216" t="s">
        <v>78</v>
      </c>
      <c r="AO1216" t="s">
        <v>78</v>
      </c>
      <c r="AP1216" t="s">
        <v>163</v>
      </c>
      <c r="AQ1216">
        <v>5</v>
      </c>
      <c r="AR1216" t="s">
        <v>123</v>
      </c>
      <c r="AS1216" t="s">
        <v>124</v>
      </c>
      <c r="AT1216" t="s">
        <v>58</v>
      </c>
      <c r="AU1216" t="s">
        <v>68</v>
      </c>
      <c r="AV1216" t="s">
        <v>69</v>
      </c>
      <c r="AW1216" s="1">
        <v>24829</v>
      </c>
      <c r="AX1216">
        <v>2</v>
      </c>
    </row>
    <row r="1217" spans="1:50">
      <c r="A1217">
        <v>226677</v>
      </c>
      <c r="B1217" t="str">
        <f>"067932701"</f>
        <v>067932701</v>
      </c>
      <c r="C1217" t="s">
        <v>50</v>
      </c>
      <c r="D1217" t="s">
        <v>2873</v>
      </c>
      <c r="E1217" t="s">
        <v>1440</v>
      </c>
      <c r="F1217" t="s">
        <v>84</v>
      </c>
      <c r="G1217" t="s">
        <v>600</v>
      </c>
      <c r="H1217" t="str">
        <f>"ΞΑΝΘΟΥ 25 Ν. ΙΩΝΙΑ"</f>
        <v>ΞΑΝΘΟΥ 25 Ν. ΙΩΝΙΑ</v>
      </c>
      <c r="I1217">
        <v>14232</v>
      </c>
      <c r="J1217">
        <v>2102525914</v>
      </c>
      <c r="K1217">
        <v>6977211202</v>
      </c>
      <c r="M1217" t="s">
        <v>2874</v>
      </c>
      <c r="N1217" t="s">
        <v>146</v>
      </c>
      <c r="O1217" t="s">
        <v>147</v>
      </c>
      <c r="R1217" t="s">
        <v>57</v>
      </c>
      <c r="S1217">
        <v>11</v>
      </c>
      <c r="T1217">
        <v>654</v>
      </c>
      <c r="U1217" s="1">
        <v>40043</v>
      </c>
      <c r="V1217" t="s">
        <v>123</v>
      </c>
      <c r="W1217" t="s">
        <v>124</v>
      </c>
      <c r="X1217" t="s">
        <v>58</v>
      </c>
      <c r="Y1217">
        <v>21</v>
      </c>
      <c r="Z1217" t="s">
        <v>59</v>
      </c>
      <c r="AA1217" t="s">
        <v>59</v>
      </c>
      <c r="AB1217" t="s">
        <v>59</v>
      </c>
      <c r="AC1217" t="s">
        <v>59</v>
      </c>
      <c r="AD1217" t="s">
        <v>59</v>
      </c>
      <c r="AF1217" s="1">
        <v>40045</v>
      </c>
      <c r="AG1217" t="s">
        <v>125</v>
      </c>
      <c r="AH1217" t="s">
        <v>126</v>
      </c>
      <c r="AI1217" t="str">
        <f>"1705010"</f>
        <v>1705010</v>
      </c>
      <c r="AJ1217" t="s">
        <v>2311</v>
      </c>
      <c r="AK1217">
        <v>2891031232</v>
      </c>
      <c r="AL1217" t="s">
        <v>2312</v>
      </c>
      <c r="AM1217" t="s">
        <v>78</v>
      </c>
      <c r="AN1217" t="s">
        <v>276</v>
      </c>
      <c r="AO1217" t="s">
        <v>277</v>
      </c>
      <c r="AP1217" t="s">
        <v>277</v>
      </c>
      <c r="AQ1217">
        <v>17</v>
      </c>
      <c r="AR1217" t="s">
        <v>123</v>
      </c>
      <c r="AS1217" t="s">
        <v>124</v>
      </c>
      <c r="AT1217" t="s">
        <v>58</v>
      </c>
      <c r="AU1217" t="s">
        <v>68</v>
      </c>
      <c r="AV1217" t="s">
        <v>69</v>
      </c>
      <c r="AW1217" s="1">
        <v>27140</v>
      </c>
      <c r="AX1217">
        <v>2</v>
      </c>
    </row>
    <row r="1218" spans="1:50">
      <c r="A1218">
        <v>701150</v>
      </c>
      <c r="B1218" t="str">
        <f>"103509046"</f>
        <v>103509046</v>
      </c>
      <c r="C1218" t="s">
        <v>50</v>
      </c>
      <c r="D1218" t="s">
        <v>2875</v>
      </c>
      <c r="E1218" t="s">
        <v>2876</v>
      </c>
      <c r="F1218" t="s">
        <v>95</v>
      </c>
      <c r="G1218" t="s">
        <v>460</v>
      </c>
      <c r="H1218" t="str">
        <f>"ΣΚΑΛΑΝΙ ΘΥΡΙΔΑ 1220 "</f>
        <v xml:space="preserve">ΣΚΑΛΑΝΙ ΘΥΡΙΔΑ 1220 </v>
      </c>
      <c r="I1218">
        <v>71500</v>
      </c>
      <c r="J1218">
        <v>2810731781</v>
      </c>
      <c r="K1218">
        <v>6947121969</v>
      </c>
      <c r="M1218" t="s">
        <v>2877</v>
      </c>
      <c r="N1218" t="s">
        <v>146</v>
      </c>
      <c r="O1218" t="s">
        <v>147</v>
      </c>
      <c r="R1218" t="s">
        <v>57</v>
      </c>
      <c r="S1218">
        <v>4</v>
      </c>
      <c r="T1218">
        <v>772</v>
      </c>
      <c r="U1218" s="1">
        <v>40413</v>
      </c>
      <c r="V1218" t="s">
        <v>123</v>
      </c>
      <c r="W1218" t="s">
        <v>124</v>
      </c>
      <c r="X1218" t="s">
        <v>58</v>
      </c>
      <c r="Y1218">
        <v>21</v>
      </c>
      <c r="Z1218" t="s">
        <v>59</v>
      </c>
      <c r="AA1218" t="s">
        <v>59</v>
      </c>
      <c r="AB1218" t="s">
        <v>59</v>
      </c>
      <c r="AC1218" t="s">
        <v>59</v>
      </c>
      <c r="AD1218" t="s">
        <v>59</v>
      </c>
      <c r="AF1218" s="1">
        <v>40413</v>
      </c>
      <c r="AG1218" t="s">
        <v>125</v>
      </c>
      <c r="AH1218" t="s">
        <v>386</v>
      </c>
      <c r="AI1218" t="str">
        <f>"1741002"</f>
        <v>1741002</v>
      </c>
      <c r="AJ1218" t="s">
        <v>387</v>
      </c>
      <c r="AK1218">
        <v>2810762610</v>
      </c>
      <c r="AL1218" t="s">
        <v>388</v>
      </c>
      <c r="AM1218" t="s">
        <v>78</v>
      </c>
      <c r="AN1218" t="s">
        <v>219</v>
      </c>
      <c r="AO1218" t="s">
        <v>297</v>
      </c>
      <c r="AP1218" t="s">
        <v>297</v>
      </c>
      <c r="AQ1218">
        <v>10</v>
      </c>
      <c r="AR1218" t="s">
        <v>123</v>
      </c>
      <c r="AS1218" t="s">
        <v>124</v>
      </c>
      <c r="AT1218" t="s">
        <v>58</v>
      </c>
      <c r="AU1218" t="s">
        <v>68</v>
      </c>
      <c r="AV1218" t="s">
        <v>69</v>
      </c>
      <c r="AW1218" s="1">
        <v>30346</v>
      </c>
      <c r="AX1218">
        <v>2</v>
      </c>
    </row>
    <row r="1219" spans="1:50">
      <c r="A1219">
        <v>153476</v>
      </c>
      <c r="B1219" t="str">
        <f>"118919462"</f>
        <v>118919462</v>
      </c>
      <c r="C1219" t="s">
        <v>50</v>
      </c>
      <c r="D1219" t="s">
        <v>2878</v>
      </c>
      <c r="E1219" t="s">
        <v>620</v>
      </c>
      <c r="F1219" t="s">
        <v>99</v>
      </c>
      <c r="G1219" t="s">
        <v>52</v>
      </c>
      <c r="H1219" t="str">
        <f>"ΑΡΒΗΣ 35 ΘΕΡΙΣΣΟΣ"</f>
        <v>ΑΡΒΗΣ 35 ΘΕΡΙΣΣΟΣ</v>
      </c>
      <c r="I1219">
        <v>71305</v>
      </c>
      <c r="J1219">
        <v>2810312080</v>
      </c>
      <c r="K1219">
        <v>6944880477</v>
      </c>
      <c r="M1219" t="s">
        <v>2879</v>
      </c>
      <c r="N1219" t="s">
        <v>146</v>
      </c>
      <c r="O1219" t="s">
        <v>147</v>
      </c>
      <c r="R1219" t="s">
        <v>57</v>
      </c>
      <c r="S1219">
        <v>16</v>
      </c>
      <c r="T1219">
        <v>139</v>
      </c>
      <c r="U1219" s="1">
        <v>32366</v>
      </c>
      <c r="V1219" t="s">
        <v>123</v>
      </c>
      <c r="W1219" t="s">
        <v>124</v>
      </c>
      <c r="X1219" t="s">
        <v>58</v>
      </c>
      <c r="Y1219">
        <v>18</v>
      </c>
      <c r="Z1219" t="s">
        <v>59</v>
      </c>
      <c r="AA1219" t="s">
        <v>59</v>
      </c>
      <c r="AB1219" t="s">
        <v>59</v>
      </c>
      <c r="AC1219" t="s">
        <v>59</v>
      </c>
      <c r="AD1219" t="s">
        <v>59</v>
      </c>
      <c r="AF1219" s="1">
        <v>32391</v>
      </c>
      <c r="AG1219" t="s">
        <v>125</v>
      </c>
      <c r="AH1219" t="s">
        <v>126</v>
      </c>
      <c r="AI1219" t="str">
        <f>"1728010"</f>
        <v>1728010</v>
      </c>
      <c r="AJ1219" t="s">
        <v>127</v>
      </c>
      <c r="AK1219">
        <v>2810824651</v>
      </c>
      <c r="AL1219" t="s">
        <v>128</v>
      </c>
      <c r="AM1219" t="s">
        <v>78</v>
      </c>
      <c r="AN1219" t="s">
        <v>129</v>
      </c>
      <c r="AO1219" t="s">
        <v>130</v>
      </c>
      <c r="AP1219" t="s">
        <v>130</v>
      </c>
      <c r="AQ1219">
        <v>36</v>
      </c>
      <c r="AR1219" t="s">
        <v>123</v>
      </c>
      <c r="AS1219" t="s">
        <v>124</v>
      </c>
      <c r="AT1219" t="s">
        <v>58</v>
      </c>
      <c r="AU1219" t="s">
        <v>68</v>
      </c>
      <c r="AV1219" t="s">
        <v>69</v>
      </c>
      <c r="AW1219" s="1">
        <v>22368</v>
      </c>
      <c r="AX1219">
        <v>2</v>
      </c>
    </row>
    <row r="1220" spans="1:50">
      <c r="A1220">
        <v>703783</v>
      </c>
      <c r="B1220" t="str">
        <f>"103810670"</f>
        <v>103810670</v>
      </c>
      <c r="C1220" t="s">
        <v>50</v>
      </c>
      <c r="D1220" t="s">
        <v>2880</v>
      </c>
      <c r="E1220" t="s">
        <v>134</v>
      </c>
      <c r="F1220" t="s">
        <v>95</v>
      </c>
      <c r="G1220" t="s">
        <v>600</v>
      </c>
      <c r="H1220" t="str">
        <f>"ΩΚΕΑΝΟΥ 4 ΗΡΑΚΛΕΙΟ"</f>
        <v>ΩΚΕΑΝΟΥ 4 ΗΡΑΚΛΕΙΟ</v>
      </c>
      <c r="I1220">
        <v>71303</v>
      </c>
      <c r="J1220">
        <v>2810316715</v>
      </c>
      <c r="K1220">
        <v>6947472432</v>
      </c>
      <c r="M1220" t="s">
        <v>2881</v>
      </c>
      <c r="N1220" t="s">
        <v>168</v>
      </c>
      <c r="O1220" t="s">
        <v>169</v>
      </c>
      <c r="R1220" t="s">
        <v>57</v>
      </c>
      <c r="S1220">
        <v>4</v>
      </c>
      <c r="T1220">
        <v>225</v>
      </c>
      <c r="U1220" s="1">
        <v>41695</v>
      </c>
      <c r="V1220" t="s">
        <v>123</v>
      </c>
      <c r="W1220" t="s">
        <v>124</v>
      </c>
      <c r="X1220" t="s">
        <v>58</v>
      </c>
      <c r="Y1220">
        <v>21</v>
      </c>
      <c r="Z1220" t="s">
        <v>59</v>
      </c>
      <c r="AA1220" t="s">
        <v>59</v>
      </c>
      <c r="AB1220" t="s">
        <v>59</v>
      </c>
      <c r="AC1220" t="s">
        <v>59</v>
      </c>
      <c r="AD1220" t="s">
        <v>59</v>
      </c>
      <c r="AF1220" s="1">
        <v>41695</v>
      </c>
      <c r="AG1220" t="s">
        <v>125</v>
      </c>
      <c r="AH1220" t="s">
        <v>126</v>
      </c>
      <c r="AI1220" t="str">
        <f>"1726010"</f>
        <v>1726010</v>
      </c>
      <c r="AJ1220" t="s">
        <v>265</v>
      </c>
      <c r="AK1220">
        <v>2810831228</v>
      </c>
      <c r="AL1220" t="s">
        <v>266</v>
      </c>
      <c r="AM1220" t="s">
        <v>78</v>
      </c>
      <c r="AN1220" t="s">
        <v>129</v>
      </c>
      <c r="AO1220" t="s">
        <v>267</v>
      </c>
      <c r="AP1220" t="s">
        <v>267</v>
      </c>
      <c r="AQ1220">
        <v>27</v>
      </c>
      <c r="AR1220" t="s">
        <v>123</v>
      </c>
      <c r="AS1220" t="s">
        <v>124</v>
      </c>
      <c r="AT1220" t="s">
        <v>58</v>
      </c>
      <c r="AU1220" t="s">
        <v>68</v>
      </c>
      <c r="AV1220" t="s">
        <v>69</v>
      </c>
      <c r="AW1220" s="1">
        <v>21916</v>
      </c>
      <c r="AX1220">
        <v>2</v>
      </c>
    </row>
    <row r="1221" spans="1:50">
      <c r="A1221">
        <v>208761</v>
      </c>
      <c r="B1221" t="str">
        <f>"064637522"</f>
        <v>064637522</v>
      </c>
      <c r="C1221" t="s">
        <v>50</v>
      </c>
      <c r="D1221" t="s">
        <v>2882</v>
      </c>
      <c r="E1221" t="s">
        <v>83</v>
      </c>
      <c r="F1221" t="s">
        <v>99</v>
      </c>
      <c r="G1221" t="s">
        <v>181</v>
      </c>
      <c r="H1221" t="str">
        <f>" "</f>
        <v xml:space="preserve"> </v>
      </c>
      <c r="J1221">
        <v>2810285263</v>
      </c>
      <c r="K1221">
        <v>6947600928</v>
      </c>
      <c r="M1221" t="s">
        <v>2883</v>
      </c>
      <c r="N1221" t="s">
        <v>299</v>
      </c>
      <c r="O1221" t="s">
        <v>300</v>
      </c>
      <c r="R1221" t="s">
        <v>57</v>
      </c>
      <c r="S1221">
        <v>6</v>
      </c>
      <c r="T1221">
        <v>218</v>
      </c>
      <c r="U1221" s="1">
        <v>38596</v>
      </c>
      <c r="V1221" t="s">
        <v>123</v>
      </c>
      <c r="W1221" t="s">
        <v>124</v>
      </c>
      <c r="X1221" t="s">
        <v>58</v>
      </c>
      <c r="Y1221">
        <v>20</v>
      </c>
      <c r="Z1221" t="s">
        <v>59</v>
      </c>
      <c r="AA1221" t="s">
        <v>59</v>
      </c>
      <c r="AB1221" t="s">
        <v>59</v>
      </c>
      <c r="AC1221" t="s">
        <v>59</v>
      </c>
      <c r="AD1221" t="s">
        <v>59</v>
      </c>
      <c r="AF1221" s="1">
        <v>38596</v>
      </c>
      <c r="AG1221" t="s">
        <v>137</v>
      </c>
      <c r="AH1221" t="s">
        <v>469</v>
      </c>
      <c r="AI1221" t="str">
        <f>"1740200"</f>
        <v>1740200</v>
      </c>
      <c r="AJ1221" t="s">
        <v>470</v>
      </c>
      <c r="AK1221">
        <v>2810320770</v>
      </c>
      <c r="AL1221" t="s">
        <v>471</v>
      </c>
      <c r="AM1221" t="s">
        <v>78</v>
      </c>
      <c r="AN1221" t="s">
        <v>78</v>
      </c>
      <c r="AO1221" t="s">
        <v>78</v>
      </c>
      <c r="AP1221" t="s">
        <v>163</v>
      </c>
      <c r="AQ1221">
        <v>2</v>
      </c>
      <c r="AR1221" t="s">
        <v>123</v>
      </c>
      <c r="AS1221" t="s">
        <v>124</v>
      </c>
      <c r="AT1221" t="s">
        <v>58</v>
      </c>
      <c r="AU1221" t="s">
        <v>68</v>
      </c>
      <c r="AV1221" t="s">
        <v>69</v>
      </c>
      <c r="AW1221" s="1">
        <v>24272</v>
      </c>
      <c r="AX1221">
        <v>2</v>
      </c>
    </row>
    <row r="1222" spans="1:50">
      <c r="A1222">
        <v>186092</v>
      </c>
      <c r="B1222" t="str">
        <f>"047036417"</f>
        <v>047036417</v>
      </c>
      <c r="C1222" t="s">
        <v>50</v>
      </c>
      <c r="D1222" t="s">
        <v>2884</v>
      </c>
      <c r="E1222" t="s">
        <v>83</v>
      </c>
      <c r="F1222" t="s">
        <v>1651</v>
      </c>
      <c r="G1222" t="s">
        <v>476</v>
      </c>
      <c r="H1222" t="str">
        <f>"ΚΩΝ/ΝΟΥ ΠΑΛΑΜΑ 50 ΜΟΙΡΕΣ"</f>
        <v>ΚΩΝ/ΝΟΥ ΠΑΛΑΜΑ 50 ΜΟΙΡΕΣ</v>
      </c>
      <c r="I1222">
        <v>70400</v>
      </c>
      <c r="J1222">
        <v>2892022345</v>
      </c>
      <c r="K1222">
        <v>6944581408</v>
      </c>
      <c r="M1222" t="s">
        <v>2885</v>
      </c>
      <c r="N1222" t="s">
        <v>306</v>
      </c>
      <c r="O1222" t="s">
        <v>307</v>
      </c>
      <c r="R1222" t="s">
        <v>57</v>
      </c>
      <c r="S1222">
        <v>9</v>
      </c>
      <c r="T1222">
        <v>250</v>
      </c>
      <c r="U1222" s="1">
        <v>36769</v>
      </c>
      <c r="V1222" t="s">
        <v>123</v>
      </c>
      <c r="W1222" t="s">
        <v>124</v>
      </c>
      <c r="X1222" t="s">
        <v>58</v>
      </c>
      <c r="Y1222">
        <v>20</v>
      </c>
      <c r="Z1222" t="s">
        <v>59</v>
      </c>
      <c r="AA1222" t="s">
        <v>59</v>
      </c>
      <c r="AB1222" t="s">
        <v>59</v>
      </c>
      <c r="AC1222" t="s">
        <v>59</v>
      </c>
      <c r="AD1222" t="s">
        <v>59</v>
      </c>
      <c r="AF1222" s="1">
        <v>36769</v>
      </c>
      <c r="AG1222" t="s">
        <v>125</v>
      </c>
      <c r="AH1222" t="s">
        <v>126</v>
      </c>
      <c r="AI1222" t="str">
        <f>"1706010"</f>
        <v>1706010</v>
      </c>
      <c r="AJ1222" t="s">
        <v>391</v>
      </c>
      <c r="AK1222">
        <v>2892022286</v>
      </c>
      <c r="AL1222" t="s">
        <v>392</v>
      </c>
      <c r="AM1222" t="s">
        <v>78</v>
      </c>
      <c r="AN1222" t="s">
        <v>242</v>
      </c>
      <c r="AO1222" t="s">
        <v>243</v>
      </c>
      <c r="AP1222" t="s">
        <v>243</v>
      </c>
      <c r="AQ1222">
        <v>33</v>
      </c>
      <c r="AR1222" t="s">
        <v>123</v>
      </c>
      <c r="AS1222" t="s">
        <v>124</v>
      </c>
      <c r="AT1222" t="s">
        <v>58</v>
      </c>
      <c r="AU1222" t="s">
        <v>68</v>
      </c>
      <c r="AV1222" t="s">
        <v>69</v>
      </c>
      <c r="AW1222" s="1">
        <v>26538</v>
      </c>
      <c r="AX1222">
        <v>2</v>
      </c>
    </row>
    <row r="1223" spans="1:50">
      <c r="A1223">
        <v>189432</v>
      </c>
      <c r="B1223" t="str">
        <f>"061091423"</f>
        <v>061091423</v>
      </c>
      <c r="C1223" t="s">
        <v>50</v>
      </c>
      <c r="D1223" t="s">
        <v>2886</v>
      </c>
      <c r="E1223" t="s">
        <v>476</v>
      </c>
      <c r="F1223" t="s">
        <v>383</v>
      </c>
      <c r="G1223" t="s">
        <v>155</v>
      </c>
      <c r="H1223" t="str">
        <f>"ΚΑΡΟΥΖΟΜΙΧΑΛΗ ΚΑΤΩ ΚΑΛΕΣΑ - ΓΑΖΙ"</f>
        <v>ΚΑΡΟΥΖΟΜΙΧΑΛΗ ΚΑΤΩ ΚΑΛΕΣΑ - ΓΑΖΙ</v>
      </c>
      <c r="I1223">
        <v>71414</v>
      </c>
      <c r="J1223">
        <v>2810313467</v>
      </c>
      <c r="K1223">
        <v>6973036933</v>
      </c>
      <c r="N1223" t="s">
        <v>146</v>
      </c>
      <c r="O1223" t="s">
        <v>147</v>
      </c>
      <c r="R1223" t="s">
        <v>57</v>
      </c>
      <c r="S1223">
        <v>10</v>
      </c>
      <c r="T1223">
        <v>219</v>
      </c>
      <c r="U1223" s="1">
        <v>37134</v>
      </c>
      <c r="V1223" t="s">
        <v>123</v>
      </c>
      <c r="W1223" t="s">
        <v>124</v>
      </c>
      <c r="X1223" t="s">
        <v>58</v>
      </c>
      <c r="Y1223">
        <v>20</v>
      </c>
      <c r="Z1223" t="s">
        <v>59</v>
      </c>
      <c r="AA1223" t="s">
        <v>59</v>
      </c>
      <c r="AB1223" t="s">
        <v>59</v>
      </c>
      <c r="AC1223" t="s">
        <v>59</v>
      </c>
      <c r="AD1223" t="s">
        <v>59</v>
      </c>
      <c r="AF1223" s="1">
        <v>37139</v>
      </c>
      <c r="AG1223" t="s">
        <v>148</v>
      </c>
      <c r="AH1223" t="s">
        <v>149</v>
      </c>
      <c r="AI1223" t="str">
        <f>"1778010"</f>
        <v>1778010</v>
      </c>
      <c r="AJ1223" t="s">
        <v>672</v>
      </c>
      <c r="AK1223">
        <v>2810822455</v>
      </c>
      <c r="AL1223" t="s">
        <v>673</v>
      </c>
      <c r="AM1223" t="s">
        <v>78</v>
      </c>
      <c r="AN1223" t="s">
        <v>129</v>
      </c>
      <c r="AO1223" t="s">
        <v>130</v>
      </c>
      <c r="AP1223" t="s">
        <v>130</v>
      </c>
      <c r="AQ1223">
        <v>36</v>
      </c>
      <c r="AR1223" t="s">
        <v>123</v>
      </c>
      <c r="AS1223" t="s">
        <v>124</v>
      </c>
      <c r="AT1223" t="s">
        <v>58</v>
      </c>
      <c r="AU1223" t="s">
        <v>68</v>
      </c>
      <c r="AV1223" t="s">
        <v>69</v>
      </c>
      <c r="AW1223" s="1">
        <v>27004</v>
      </c>
      <c r="AX1223">
        <v>2</v>
      </c>
    </row>
    <row r="1224" spans="1:50">
      <c r="A1224">
        <v>227445</v>
      </c>
      <c r="B1224" t="str">
        <f>"038801400"</f>
        <v>038801400</v>
      </c>
      <c r="C1224" t="s">
        <v>50</v>
      </c>
      <c r="D1224" t="s">
        <v>2887</v>
      </c>
      <c r="E1224" t="s">
        <v>255</v>
      </c>
      <c r="F1224" t="s">
        <v>53</v>
      </c>
      <c r="G1224" t="s">
        <v>1345</v>
      </c>
      <c r="H1224" t="str">
        <f>"ΚΑΒΑΦΗ 18 ΗΡΑΚΛΕΙΟ"</f>
        <v>ΚΑΒΑΦΗ 18 ΗΡΑΚΛΕΙΟ</v>
      </c>
      <c r="I1224">
        <v>71303</v>
      </c>
      <c r="J1224">
        <v>2810259687</v>
      </c>
      <c r="K1224">
        <v>6946302628</v>
      </c>
      <c r="M1224" t="s">
        <v>2888</v>
      </c>
      <c r="N1224" t="s">
        <v>199</v>
      </c>
      <c r="O1224" t="s">
        <v>200</v>
      </c>
      <c r="R1224" t="s">
        <v>57</v>
      </c>
      <c r="S1224">
        <v>5</v>
      </c>
      <c r="T1224">
        <v>654</v>
      </c>
      <c r="U1224" s="1">
        <v>40043</v>
      </c>
      <c r="V1224" t="s">
        <v>123</v>
      </c>
      <c r="W1224" t="s">
        <v>124</v>
      </c>
      <c r="X1224" t="s">
        <v>58</v>
      </c>
      <c r="Y1224">
        <v>21</v>
      </c>
      <c r="Z1224" t="s">
        <v>59</v>
      </c>
      <c r="AA1224" t="s">
        <v>59</v>
      </c>
      <c r="AB1224" t="s">
        <v>59</v>
      </c>
      <c r="AC1224" t="s">
        <v>59</v>
      </c>
      <c r="AD1224" t="s">
        <v>59</v>
      </c>
      <c r="AF1224" s="1">
        <v>40043</v>
      </c>
      <c r="AG1224" t="s">
        <v>148</v>
      </c>
      <c r="AH1224" t="s">
        <v>149</v>
      </c>
      <c r="AI1224" t="str">
        <f>"1751080"</f>
        <v>1751080</v>
      </c>
      <c r="AJ1224" t="s">
        <v>1395</v>
      </c>
      <c r="AK1224">
        <v>2810721380</v>
      </c>
      <c r="AL1224" t="s">
        <v>1396</v>
      </c>
      <c r="AM1224" t="s">
        <v>78</v>
      </c>
      <c r="AN1224" t="s">
        <v>78</v>
      </c>
      <c r="AO1224" t="s">
        <v>185</v>
      </c>
      <c r="AP1224" t="s">
        <v>186</v>
      </c>
      <c r="AQ1224">
        <v>29</v>
      </c>
      <c r="AR1224" t="s">
        <v>123</v>
      </c>
      <c r="AS1224" t="s">
        <v>124</v>
      </c>
      <c r="AT1224" t="s">
        <v>58</v>
      </c>
      <c r="AU1224" t="s">
        <v>68</v>
      </c>
      <c r="AV1224" t="s">
        <v>69</v>
      </c>
      <c r="AW1224" s="1">
        <v>24574</v>
      </c>
      <c r="AX1224">
        <v>2</v>
      </c>
    </row>
    <row r="1225" spans="1:50">
      <c r="A1225">
        <v>174597</v>
      </c>
      <c r="B1225" t="str">
        <f>"038958438"</f>
        <v>038958438</v>
      </c>
      <c r="C1225" t="s">
        <v>105</v>
      </c>
      <c r="D1225" t="s">
        <v>2889</v>
      </c>
      <c r="E1225" t="s">
        <v>1330</v>
      </c>
      <c r="F1225" t="s">
        <v>53</v>
      </c>
      <c r="G1225" t="s">
        <v>1345</v>
      </c>
      <c r="H1225" t="str">
        <f>" "</f>
        <v xml:space="preserve"> </v>
      </c>
      <c r="N1225" t="s">
        <v>168</v>
      </c>
      <c r="O1225" t="s">
        <v>169</v>
      </c>
      <c r="R1225" t="s">
        <v>57</v>
      </c>
      <c r="S1225">
        <v>14</v>
      </c>
      <c r="T1225">
        <v>166</v>
      </c>
      <c r="U1225" s="1">
        <v>35300</v>
      </c>
      <c r="V1225" t="s">
        <v>123</v>
      </c>
      <c r="W1225" t="s">
        <v>124</v>
      </c>
      <c r="X1225" t="s">
        <v>58</v>
      </c>
      <c r="Y1225">
        <v>18</v>
      </c>
      <c r="Z1225" t="s">
        <v>59</v>
      </c>
      <c r="AA1225" t="s">
        <v>59</v>
      </c>
      <c r="AB1225" t="s">
        <v>59</v>
      </c>
      <c r="AC1225" t="s">
        <v>59</v>
      </c>
      <c r="AD1225" t="s">
        <v>59</v>
      </c>
      <c r="AF1225" s="1">
        <v>35310</v>
      </c>
      <c r="AG1225" t="s">
        <v>137</v>
      </c>
      <c r="AH1225" t="s">
        <v>138</v>
      </c>
      <c r="AI1225" t="str">
        <f>"1750080"</f>
        <v>1750080</v>
      </c>
      <c r="AJ1225" t="s">
        <v>170</v>
      </c>
      <c r="AK1225">
        <v>2810234444</v>
      </c>
      <c r="AL1225" t="s">
        <v>171</v>
      </c>
      <c r="AM1225" t="s">
        <v>78</v>
      </c>
      <c r="AN1225" t="s">
        <v>78</v>
      </c>
      <c r="AO1225" t="s">
        <v>78</v>
      </c>
      <c r="AP1225" t="s">
        <v>163</v>
      </c>
      <c r="AQ1225">
        <v>9</v>
      </c>
      <c r="AR1225" t="s">
        <v>123</v>
      </c>
      <c r="AS1225" t="s">
        <v>124</v>
      </c>
      <c r="AT1225" t="s">
        <v>58</v>
      </c>
      <c r="AU1225" t="s">
        <v>68</v>
      </c>
      <c r="AV1225" t="s">
        <v>69</v>
      </c>
      <c r="AW1225" s="1">
        <v>23632</v>
      </c>
      <c r="AX1225">
        <v>2</v>
      </c>
    </row>
    <row r="1226" spans="1:50">
      <c r="A1226">
        <v>703387</v>
      </c>
      <c r="B1226" t="str">
        <f>"138991198"</f>
        <v>138991198</v>
      </c>
      <c r="C1226" t="s">
        <v>50</v>
      </c>
      <c r="D1226" t="s">
        <v>2890</v>
      </c>
      <c r="E1226" t="s">
        <v>188</v>
      </c>
      <c r="F1226" t="s">
        <v>311</v>
      </c>
      <c r="G1226" t="s">
        <v>52</v>
      </c>
      <c r="H1226" t="str">
        <f>"ΣΩΚΡΑΤΟΥΣ 10 ΗΡΑΚΛΕΙΟΥ"</f>
        <v>ΣΩΚΡΑΤΟΥΣ 10 ΗΡΑΚΛΕΙΟΥ</v>
      </c>
      <c r="I1226">
        <v>71601</v>
      </c>
      <c r="J1226">
        <v>2810240212</v>
      </c>
      <c r="K1226">
        <v>6947653643</v>
      </c>
      <c r="M1226" t="s">
        <v>2891</v>
      </c>
      <c r="N1226" t="s">
        <v>146</v>
      </c>
      <c r="O1226" t="s">
        <v>147</v>
      </c>
      <c r="R1226" t="s">
        <v>57</v>
      </c>
      <c r="S1226">
        <v>5</v>
      </c>
      <c r="T1226" t="s">
        <v>2892</v>
      </c>
      <c r="U1226" s="1">
        <v>40413</v>
      </c>
      <c r="V1226" t="s">
        <v>123</v>
      </c>
      <c r="W1226" t="s">
        <v>124</v>
      </c>
      <c r="X1226" t="s">
        <v>58</v>
      </c>
      <c r="Y1226">
        <v>21</v>
      </c>
      <c r="Z1226" t="s">
        <v>59</v>
      </c>
      <c r="AA1226" t="s">
        <v>59</v>
      </c>
      <c r="AB1226" t="s">
        <v>59</v>
      </c>
      <c r="AC1226" t="s">
        <v>59</v>
      </c>
      <c r="AD1226" t="s">
        <v>59</v>
      </c>
      <c r="AF1226" s="1">
        <v>40779</v>
      </c>
      <c r="AG1226" t="s">
        <v>125</v>
      </c>
      <c r="AH1226" t="s">
        <v>126</v>
      </c>
      <c r="AI1226" t="str">
        <f>"1720010"</f>
        <v>1720010</v>
      </c>
      <c r="AJ1226" t="s">
        <v>2893</v>
      </c>
      <c r="AK1226">
        <v>2893034185</v>
      </c>
      <c r="AL1226" t="s">
        <v>2894</v>
      </c>
      <c r="AM1226" t="s">
        <v>78</v>
      </c>
      <c r="AN1226" t="s">
        <v>405</v>
      </c>
      <c r="AO1226" t="s">
        <v>405</v>
      </c>
      <c r="AP1226" t="s">
        <v>2895</v>
      </c>
      <c r="AQ1226">
        <v>32</v>
      </c>
      <c r="AR1226" t="s">
        <v>123</v>
      </c>
      <c r="AS1226" t="s">
        <v>124</v>
      </c>
      <c r="AT1226" t="s">
        <v>58</v>
      </c>
      <c r="AU1226" t="s">
        <v>68</v>
      </c>
      <c r="AV1226" t="s">
        <v>69</v>
      </c>
      <c r="AW1226" s="1">
        <v>31254</v>
      </c>
      <c r="AX1226">
        <v>2</v>
      </c>
    </row>
    <row r="1227" spans="1:50">
      <c r="A1227">
        <v>164409</v>
      </c>
      <c r="B1227" t="str">
        <f>"027881498"</f>
        <v>027881498</v>
      </c>
      <c r="C1227" t="s">
        <v>105</v>
      </c>
      <c r="D1227" t="s">
        <v>2896</v>
      </c>
      <c r="E1227" t="s">
        <v>377</v>
      </c>
      <c r="F1227" t="s">
        <v>72</v>
      </c>
      <c r="G1227" t="s">
        <v>255</v>
      </c>
      <c r="H1227" t="str">
        <f>"ΕΜΜ.ΠΕΤΡΑΚΗ 1 ΑΓΙΟΣ ΙΩΑΝΝΗΣ ΚΝΩΣΣΟΥ"</f>
        <v>ΕΜΜ.ΠΕΤΡΑΚΗ 1 ΑΓΙΟΣ ΙΩΑΝΝΗΣ ΚΝΩΣΣΟΥ</v>
      </c>
      <c r="I1227">
        <v>71409</v>
      </c>
      <c r="M1227" t="s">
        <v>2897</v>
      </c>
      <c r="N1227" t="s">
        <v>292</v>
      </c>
      <c r="O1227" t="s">
        <v>293</v>
      </c>
      <c r="R1227" t="s">
        <v>57</v>
      </c>
      <c r="S1227">
        <v>15</v>
      </c>
      <c r="T1227">
        <v>161</v>
      </c>
      <c r="U1227" s="1">
        <v>33844</v>
      </c>
      <c r="V1227" t="s">
        <v>123</v>
      </c>
      <c r="W1227" t="s">
        <v>124</v>
      </c>
      <c r="X1227" t="s">
        <v>58</v>
      </c>
      <c r="Y1227">
        <v>18</v>
      </c>
      <c r="Z1227" t="s">
        <v>59</v>
      </c>
      <c r="AA1227" t="s">
        <v>59</v>
      </c>
      <c r="AB1227" t="s">
        <v>59</v>
      </c>
      <c r="AC1227" t="s">
        <v>59</v>
      </c>
      <c r="AD1227" t="s">
        <v>59</v>
      </c>
      <c r="AF1227" s="1">
        <v>33847</v>
      </c>
      <c r="AG1227" t="s">
        <v>148</v>
      </c>
      <c r="AH1227" t="s">
        <v>149</v>
      </c>
      <c r="AI1227" t="str">
        <f>"1751052"</f>
        <v>1751052</v>
      </c>
      <c r="AJ1227" t="s">
        <v>328</v>
      </c>
      <c r="AK1227">
        <v>2810213762</v>
      </c>
      <c r="AL1227" t="s">
        <v>329</v>
      </c>
      <c r="AM1227" t="s">
        <v>78</v>
      </c>
      <c r="AN1227" t="s">
        <v>78</v>
      </c>
      <c r="AO1227" t="s">
        <v>78</v>
      </c>
      <c r="AP1227" t="s">
        <v>163</v>
      </c>
      <c r="AQ1227">
        <v>8</v>
      </c>
      <c r="AR1227" t="s">
        <v>123</v>
      </c>
      <c r="AS1227" t="s">
        <v>124</v>
      </c>
      <c r="AT1227" t="s">
        <v>58</v>
      </c>
      <c r="AU1227" t="s">
        <v>68</v>
      </c>
      <c r="AV1227" t="s">
        <v>69</v>
      </c>
      <c r="AW1227" s="1">
        <v>21261</v>
      </c>
      <c r="AX1227">
        <v>2</v>
      </c>
    </row>
    <row r="1228" spans="1:50">
      <c r="A1228">
        <v>181850</v>
      </c>
      <c r="B1228" t="str">
        <f>"074186070"</f>
        <v>074186070</v>
      </c>
      <c r="C1228" t="s">
        <v>50</v>
      </c>
      <c r="D1228" t="s">
        <v>2898</v>
      </c>
      <c r="E1228" t="s">
        <v>1644</v>
      </c>
      <c r="F1228" t="s">
        <v>72</v>
      </c>
      <c r="G1228" t="s">
        <v>52</v>
      </c>
      <c r="H1228" t="str">
        <f>"ΜΑΛΙΚΟΥΤΗ 3 "</f>
        <v xml:space="preserve">ΜΑΛΙΚΟΥΤΗ 3 </v>
      </c>
      <c r="I1228">
        <v>71202</v>
      </c>
      <c r="J1228">
        <v>2810229828</v>
      </c>
      <c r="K1228">
        <v>6972423842</v>
      </c>
      <c r="M1228" t="s">
        <v>2899</v>
      </c>
      <c r="N1228" t="s">
        <v>337</v>
      </c>
      <c r="O1228" t="s">
        <v>338</v>
      </c>
      <c r="R1228" t="s">
        <v>57</v>
      </c>
      <c r="S1228">
        <v>15</v>
      </c>
      <c r="T1228">
        <v>164</v>
      </c>
      <c r="U1228" s="1">
        <v>36040</v>
      </c>
      <c r="V1228" t="s">
        <v>123</v>
      </c>
      <c r="W1228" t="s">
        <v>124</v>
      </c>
      <c r="X1228" t="s">
        <v>58</v>
      </c>
      <c r="Y1228">
        <v>20</v>
      </c>
      <c r="Z1228" t="s">
        <v>59</v>
      </c>
      <c r="AA1228" t="s">
        <v>59</v>
      </c>
      <c r="AB1228" t="s">
        <v>59</v>
      </c>
      <c r="AC1228" t="s">
        <v>59</v>
      </c>
      <c r="AD1228" t="s">
        <v>59</v>
      </c>
      <c r="AF1228" s="1">
        <v>36045</v>
      </c>
      <c r="AG1228" t="s">
        <v>125</v>
      </c>
      <c r="AH1228" t="s">
        <v>126</v>
      </c>
      <c r="AI1228" t="str">
        <f>"1701052"</f>
        <v>1701052</v>
      </c>
      <c r="AJ1228" t="s">
        <v>223</v>
      </c>
      <c r="AK1228">
        <v>2810252514</v>
      </c>
      <c r="AL1228" t="s">
        <v>224</v>
      </c>
      <c r="AM1228" t="s">
        <v>78</v>
      </c>
      <c r="AN1228" t="s">
        <v>78</v>
      </c>
      <c r="AO1228" t="s">
        <v>78</v>
      </c>
      <c r="AP1228" t="s">
        <v>141</v>
      </c>
      <c r="AQ1228">
        <v>7</v>
      </c>
      <c r="AR1228" t="s">
        <v>123</v>
      </c>
      <c r="AS1228" t="s">
        <v>124</v>
      </c>
      <c r="AT1228" t="s">
        <v>58</v>
      </c>
      <c r="AU1228" t="s">
        <v>68</v>
      </c>
      <c r="AV1228" t="s">
        <v>69</v>
      </c>
      <c r="AW1228" s="1">
        <v>26630</v>
      </c>
      <c r="AX1228">
        <v>2</v>
      </c>
    </row>
    <row r="1229" spans="1:50">
      <c r="A1229">
        <v>211643</v>
      </c>
      <c r="B1229" t="str">
        <f>"035065993"</f>
        <v>035065993</v>
      </c>
      <c r="C1229" t="s">
        <v>50</v>
      </c>
      <c r="D1229" t="s">
        <v>2898</v>
      </c>
      <c r="E1229" t="s">
        <v>143</v>
      </c>
      <c r="F1229" t="s">
        <v>72</v>
      </c>
      <c r="G1229" t="s">
        <v>52</v>
      </c>
      <c r="H1229" t="str">
        <f>" "</f>
        <v xml:space="preserve"> </v>
      </c>
      <c r="J1229">
        <v>2810242750</v>
      </c>
      <c r="K1229">
        <v>6973453224</v>
      </c>
      <c r="M1229" t="s">
        <v>2900</v>
      </c>
      <c r="N1229" t="s">
        <v>733</v>
      </c>
      <c r="O1229" t="s">
        <v>734</v>
      </c>
      <c r="P1229" t="s">
        <v>1116</v>
      </c>
      <c r="Q1229" t="s">
        <v>1117</v>
      </c>
      <c r="R1229" t="s">
        <v>57</v>
      </c>
      <c r="S1229">
        <v>12</v>
      </c>
      <c r="T1229">
        <v>103</v>
      </c>
      <c r="U1229" s="1">
        <v>34144</v>
      </c>
      <c r="V1229" t="s">
        <v>123</v>
      </c>
      <c r="W1229" t="s">
        <v>124</v>
      </c>
      <c r="X1229" t="s">
        <v>58</v>
      </c>
      <c r="Y1229">
        <v>18</v>
      </c>
      <c r="Z1229" t="s">
        <v>59</v>
      </c>
      <c r="AA1229" t="s">
        <v>59</v>
      </c>
      <c r="AB1229" t="s">
        <v>59</v>
      </c>
      <c r="AC1229" t="s">
        <v>59</v>
      </c>
      <c r="AD1229" t="s">
        <v>59</v>
      </c>
      <c r="AF1229" s="1">
        <v>34213</v>
      </c>
      <c r="AG1229" t="s">
        <v>137</v>
      </c>
      <c r="AH1229" t="s">
        <v>138</v>
      </c>
      <c r="AI1229" t="str">
        <f>"1740100"</f>
        <v>1740100</v>
      </c>
      <c r="AJ1229" t="s">
        <v>857</v>
      </c>
      <c r="AK1229">
        <v>2810360741</v>
      </c>
      <c r="AL1229" t="s">
        <v>858</v>
      </c>
      <c r="AM1229" t="s">
        <v>78</v>
      </c>
      <c r="AN1229" t="s">
        <v>78</v>
      </c>
      <c r="AO1229" t="s">
        <v>78</v>
      </c>
      <c r="AP1229" t="s">
        <v>163</v>
      </c>
      <c r="AQ1229">
        <v>5</v>
      </c>
      <c r="AR1229" t="s">
        <v>123</v>
      </c>
      <c r="AS1229" t="s">
        <v>124</v>
      </c>
      <c r="AT1229" t="s">
        <v>58</v>
      </c>
      <c r="AU1229" t="s">
        <v>68</v>
      </c>
      <c r="AV1229" t="s">
        <v>69</v>
      </c>
      <c r="AW1229" s="1">
        <v>25204</v>
      </c>
      <c r="AX1229">
        <v>2</v>
      </c>
    </row>
    <row r="1230" spans="1:50">
      <c r="A1230">
        <v>177363</v>
      </c>
      <c r="B1230" t="str">
        <f>"050441970"</f>
        <v>050441970</v>
      </c>
      <c r="C1230" t="s">
        <v>50</v>
      </c>
      <c r="D1230" t="s">
        <v>2898</v>
      </c>
      <c r="E1230" t="s">
        <v>2400</v>
      </c>
      <c r="F1230" t="s">
        <v>84</v>
      </c>
      <c r="G1230" t="s">
        <v>83</v>
      </c>
      <c r="H1230" t="str">
        <f>"ΑΡΚΑΛΟΧΩΡΙ "</f>
        <v xml:space="preserve">ΑΡΚΑΛΟΧΩΡΙ </v>
      </c>
      <c r="I1230">
        <v>70300</v>
      </c>
      <c r="J1230">
        <v>2891024544</v>
      </c>
      <c r="K1230">
        <v>6973613076</v>
      </c>
      <c r="L1230">
        <v>6985069660</v>
      </c>
      <c r="M1230" t="s">
        <v>2901</v>
      </c>
      <c r="N1230" t="s">
        <v>299</v>
      </c>
      <c r="O1230" t="s">
        <v>300</v>
      </c>
      <c r="R1230" t="s">
        <v>57</v>
      </c>
      <c r="S1230">
        <v>11</v>
      </c>
      <c r="T1230">
        <v>180</v>
      </c>
      <c r="U1230" s="1">
        <v>35674</v>
      </c>
      <c r="V1230" t="s">
        <v>123</v>
      </c>
      <c r="W1230" t="s">
        <v>124</v>
      </c>
      <c r="X1230" t="s">
        <v>58</v>
      </c>
      <c r="Y1230">
        <v>18</v>
      </c>
      <c r="Z1230" t="s">
        <v>59</v>
      </c>
      <c r="AA1230" t="s">
        <v>59</v>
      </c>
      <c r="AB1230" t="s">
        <v>59</v>
      </c>
      <c r="AC1230" t="s">
        <v>59</v>
      </c>
      <c r="AD1230" t="s">
        <v>59</v>
      </c>
      <c r="AF1230" s="1">
        <v>35678</v>
      </c>
      <c r="AG1230" t="s">
        <v>125</v>
      </c>
      <c r="AH1230" t="s">
        <v>126</v>
      </c>
      <c r="AI1230" t="str">
        <f>"1702010"</f>
        <v>1702010</v>
      </c>
      <c r="AJ1230" t="s">
        <v>604</v>
      </c>
      <c r="AK1230">
        <v>2891022228</v>
      </c>
      <c r="AL1230" t="s">
        <v>605</v>
      </c>
      <c r="AM1230" t="s">
        <v>78</v>
      </c>
      <c r="AN1230" t="s">
        <v>276</v>
      </c>
      <c r="AO1230" t="s">
        <v>490</v>
      </c>
      <c r="AP1230" t="s">
        <v>490</v>
      </c>
      <c r="AQ1230">
        <v>15</v>
      </c>
      <c r="AR1230" t="s">
        <v>123</v>
      </c>
      <c r="AS1230" t="s">
        <v>124</v>
      </c>
      <c r="AT1230" t="s">
        <v>58</v>
      </c>
      <c r="AU1230" t="s">
        <v>68</v>
      </c>
      <c r="AV1230" t="s">
        <v>69</v>
      </c>
      <c r="AW1230" s="1">
        <v>25786</v>
      </c>
      <c r="AX1230">
        <v>2</v>
      </c>
    </row>
    <row r="1231" spans="1:50">
      <c r="A1231">
        <v>145942</v>
      </c>
      <c r="B1231" t="str">
        <f>"064000086"</f>
        <v>064000086</v>
      </c>
      <c r="C1231" t="s">
        <v>50</v>
      </c>
      <c r="D1231" t="s">
        <v>2902</v>
      </c>
      <c r="E1231" t="s">
        <v>473</v>
      </c>
      <c r="F1231" t="s">
        <v>95</v>
      </c>
      <c r="G1231" t="s">
        <v>52</v>
      </c>
      <c r="H1231" t="str">
        <f>"ΗΓΟΥΜΕΝΟΥ ΓΑΒΡΙΗΛ 1 ΗΡΑΚΛΕΙΟ"</f>
        <v>ΗΓΟΥΜΕΝΟΥ ΓΑΒΡΙΗΛ 1 ΗΡΑΚΛΕΙΟ</v>
      </c>
      <c r="I1231">
        <v>71305</v>
      </c>
      <c r="J1231">
        <v>2810261993</v>
      </c>
      <c r="K1231">
        <v>6944560506</v>
      </c>
      <c r="M1231" t="s">
        <v>2903</v>
      </c>
      <c r="N1231" t="s">
        <v>146</v>
      </c>
      <c r="O1231" t="s">
        <v>147</v>
      </c>
      <c r="R1231" t="s">
        <v>57</v>
      </c>
      <c r="S1231">
        <v>16</v>
      </c>
      <c r="T1231">
        <v>237</v>
      </c>
      <c r="U1231" s="1">
        <v>31293</v>
      </c>
      <c r="V1231" t="s">
        <v>123</v>
      </c>
      <c r="W1231" t="s">
        <v>124</v>
      </c>
      <c r="X1231" t="s">
        <v>58</v>
      </c>
      <c r="Y1231">
        <v>18</v>
      </c>
      <c r="Z1231" t="s">
        <v>59</v>
      </c>
      <c r="AA1231" t="s">
        <v>59</v>
      </c>
      <c r="AB1231" t="s">
        <v>59</v>
      </c>
      <c r="AC1231" t="s">
        <v>59</v>
      </c>
      <c r="AD1231" t="s">
        <v>59</v>
      </c>
      <c r="AF1231" s="1">
        <v>31303</v>
      </c>
      <c r="AG1231" t="s">
        <v>148</v>
      </c>
      <c r="AH1231" t="s">
        <v>149</v>
      </c>
      <c r="AI1231" t="str">
        <f>"1751030"</f>
        <v>1751030</v>
      </c>
      <c r="AJ1231" t="s">
        <v>234</v>
      </c>
      <c r="AK1231">
        <v>2810282911</v>
      </c>
      <c r="AL1231" t="s">
        <v>235</v>
      </c>
      <c r="AM1231" t="s">
        <v>78</v>
      </c>
      <c r="AN1231" t="s">
        <v>78</v>
      </c>
      <c r="AO1231" t="s">
        <v>78</v>
      </c>
      <c r="AP1231" t="s">
        <v>163</v>
      </c>
      <c r="AQ1231">
        <v>1</v>
      </c>
      <c r="AR1231" t="s">
        <v>123</v>
      </c>
      <c r="AS1231" t="s">
        <v>124</v>
      </c>
      <c r="AT1231" t="s">
        <v>58</v>
      </c>
      <c r="AU1231" t="s">
        <v>68</v>
      </c>
      <c r="AV1231" t="s">
        <v>69</v>
      </c>
      <c r="AW1231" s="1">
        <v>21152</v>
      </c>
      <c r="AX1231">
        <v>2</v>
      </c>
    </row>
    <row r="1232" spans="1:50">
      <c r="A1232">
        <v>226683</v>
      </c>
      <c r="B1232" t="str">
        <f>"046117926"</f>
        <v>046117926</v>
      </c>
      <c r="C1232" t="s">
        <v>50</v>
      </c>
      <c r="D1232" t="s">
        <v>2904</v>
      </c>
      <c r="E1232" t="s">
        <v>52</v>
      </c>
      <c r="F1232" t="s">
        <v>95</v>
      </c>
      <c r="G1232" t="s">
        <v>215</v>
      </c>
      <c r="H1232" t="str">
        <f>"ΓΕΩΡΓΙΟΥ ΒΑΣΙΛΑΚΗ 51 ΗΡΑΚΛΕΙΟ"</f>
        <v>ΓΕΩΡΓΙΟΥ ΒΑΣΙΛΑΚΗ 51 ΗΡΑΚΛΕΙΟ</v>
      </c>
      <c r="I1232">
        <v>71500</v>
      </c>
      <c r="J1232">
        <v>2810372748</v>
      </c>
      <c r="K1232">
        <v>6938097524</v>
      </c>
      <c r="M1232" t="s">
        <v>2905</v>
      </c>
      <c r="N1232" t="s">
        <v>146</v>
      </c>
      <c r="O1232" t="s">
        <v>147</v>
      </c>
      <c r="R1232" t="s">
        <v>57</v>
      </c>
      <c r="S1232">
        <v>5</v>
      </c>
      <c r="T1232">
        <v>654</v>
      </c>
      <c r="U1232" s="1">
        <v>40043</v>
      </c>
      <c r="V1232" t="s">
        <v>123</v>
      </c>
      <c r="W1232" t="s">
        <v>124</v>
      </c>
      <c r="X1232" t="s">
        <v>58</v>
      </c>
      <c r="Y1232">
        <v>21</v>
      </c>
      <c r="Z1232" t="s">
        <v>59</v>
      </c>
      <c r="AA1232" t="s">
        <v>59</v>
      </c>
      <c r="AB1232" t="s">
        <v>59</v>
      </c>
      <c r="AC1232" t="s">
        <v>59</v>
      </c>
      <c r="AD1232" t="s">
        <v>59</v>
      </c>
      <c r="AF1232" s="1">
        <v>40043</v>
      </c>
      <c r="AG1232" t="s">
        <v>125</v>
      </c>
      <c r="AH1232" t="s">
        <v>126</v>
      </c>
      <c r="AI1232" t="str">
        <f>"1717011"</f>
        <v>1717011</v>
      </c>
      <c r="AJ1232" t="s">
        <v>832</v>
      </c>
      <c r="AK1232">
        <v>2897023311</v>
      </c>
      <c r="AL1232" t="s">
        <v>833</v>
      </c>
      <c r="AM1232" t="s">
        <v>78</v>
      </c>
      <c r="AN1232" t="s">
        <v>219</v>
      </c>
      <c r="AO1232" t="s">
        <v>219</v>
      </c>
      <c r="AP1232" t="s">
        <v>220</v>
      </c>
      <c r="AQ1232">
        <v>20</v>
      </c>
      <c r="AR1232" t="s">
        <v>123</v>
      </c>
      <c r="AS1232" t="s">
        <v>124</v>
      </c>
      <c r="AT1232" t="s">
        <v>58</v>
      </c>
      <c r="AU1232" t="s">
        <v>68</v>
      </c>
      <c r="AV1232" t="s">
        <v>69</v>
      </c>
      <c r="AW1232" s="1">
        <v>25059</v>
      </c>
      <c r="AX1232">
        <v>2</v>
      </c>
    </row>
    <row r="1233" spans="1:50">
      <c r="B1233" t="str">
        <f>"115674633"</f>
        <v>115674633</v>
      </c>
      <c r="C1233" t="s">
        <v>50</v>
      </c>
      <c r="D1233" t="s">
        <v>2906</v>
      </c>
      <c r="E1233" t="s">
        <v>143</v>
      </c>
      <c r="F1233" t="s">
        <v>782</v>
      </c>
      <c r="G1233" t="s">
        <v>367</v>
      </c>
      <c r="H1233" t="str">
        <f>"ΑΙΣΧΥΛΟΥ 3 ΑΘΗΝΑ"</f>
        <v>ΑΙΣΧΥΛΟΥ 3 ΑΘΗΝΑ</v>
      </c>
      <c r="I1233">
        <v>14122</v>
      </c>
      <c r="J1233">
        <v>2102816826</v>
      </c>
      <c r="K1233">
        <v>6934529278</v>
      </c>
      <c r="M1233" t="s">
        <v>2907</v>
      </c>
      <c r="N1233" t="s">
        <v>536</v>
      </c>
      <c r="O1233" t="s">
        <v>537</v>
      </c>
      <c r="R1233" t="s">
        <v>57</v>
      </c>
      <c r="S1233">
        <v>6</v>
      </c>
      <c r="T1233" t="s">
        <v>344</v>
      </c>
      <c r="U1233" s="1">
        <v>43348</v>
      </c>
      <c r="V1233" t="s">
        <v>123</v>
      </c>
      <c r="W1233" t="s">
        <v>124</v>
      </c>
      <c r="X1233" t="s">
        <v>58</v>
      </c>
      <c r="Y1233">
        <v>21</v>
      </c>
      <c r="Z1233" t="s">
        <v>59</v>
      </c>
      <c r="AA1233" t="s">
        <v>59</v>
      </c>
      <c r="AB1233" t="s">
        <v>59</v>
      </c>
      <c r="AC1233" t="s">
        <v>59</v>
      </c>
      <c r="AD1233" t="s">
        <v>59</v>
      </c>
      <c r="AF1233" s="1">
        <v>43348</v>
      </c>
      <c r="AG1233" t="s">
        <v>125</v>
      </c>
      <c r="AH1233" t="s">
        <v>538</v>
      </c>
      <c r="AI1233" t="str">
        <f>"1701002"</f>
        <v>1701002</v>
      </c>
      <c r="AJ1233" t="s">
        <v>539</v>
      </c>
      <c r="AK1233">
        <v>2810213569</v>
      </c>
      <c r="AL1233" t="s">
        <v>540</v>
      </c>
      <c r="AM1233" t="s">
        <v>78</v>
      </c>
      <c r="AN1233" t="s">
        <v>78</v>
      </c>
      <c r="AO1233" t="s">
        <v>78</v>
      </c>
      <c r="AP1233" t="s">
        <v>163</v>
      </c>
      <c r="AQ1233">
        <v>11</v>
      </c>
      <c r="AR1233" t="s">
        <v>123</v>
      </c>
      <c r="AS1233" t="s">
        <v>124</v>
      </c>
      <c r="AT1233" t="s">
        <v>58</v>
      </c>
      <c r="AU1233" t="s">
        <v>350</v>
      </c>
      <c r="AV1233" t="s">
        <v>132</v>
      </c>
      <c r="AW1233" s="1">
        <v>27860</v>
      </c>
      <c r="AX1233">
        <v>2</v>
      </c>
    </row>
    <row r="1234" spans="1:50">
      <c r="B1234" t="str">
        <f>"066854550"</f>
        <v>066854550</v>
      </c>
      <c r="C1234" t="s">
        <v>50</v>
      </c>
      <c r="D1234" t="s">
        <v>2908</v>
      </c>
      <c r="E1234" t="s">
        <v>484</v>
      </c>
      <c r="F1234" t="s">
        <v>53</v>
      </c>
      <c r="G1234" t="s">
        <v>414</v>
      </c>
      <c r="H1234" t="str">
        <f>"ΚΡΑΒΒΑΡΙΤΟΥ ΚΑΙ ΠΗΛΙΟΥ ΛΑΜΙΑ"</f>
        <v>ΚΡΑΒΒΑΡΙΤΟΥ ΚΑΙ ΠΗΛΙΟΥ ΛΑΜΙΑ</v>
      </c>
      <c r="I1234">
        <v>35100</v>
      </c>
      <c r="J1234">
        <v>2231045655</v>
      </c>
      <c r="K1234">
        <v>6974031039</v>
      </c>
      <c r="N1234" t="s">
        <v>146</v>
      </c>
      <c r="O1234" t="s">
        <v>147</v>
      </c>
      <c r="R1234" t="s">
        <v>57</v>
      </c>
      <c r="S1234">
        <v>5</v>
      </c>
      <c r="T1234" t="s">
        <v>416</v>
      </c>
      <c r="U1234" s="1">
        <v>43349</v>
      </c>
      <c r="V1234" t="s">
        <v>123</v>
      </c>
      <c r="W1234" t="s">
        <v>124</v>
      </c>
      <c r="X1234" t="s">
        <v>58</v>
      </c>
      <c r="Y1234">
        <v>21</v>
      </c>
      <c r="Z1234" t="s">
        <v>59</v>
      </c>
      <c r="AA1234" t="s">
        <v>59</v>
      </c>
      <c r="AB1234" t="s">
        <v>59</v>
      </c>
      <c r="AC1234" t="s">
        <v>59</v>
      </c>
      <c r="AD1234" t="s">
        <v>59</v>
      </c>
      <c r="AF1234" s="1">
        <v>43349</v>
      </c>
      <c r="AG1234" t="s">
        <v>148</v>
      </c>
      <c r="AH1234" t="s">
        <v>149</v>
      </c>
      <c r="AI1234" t="str">
        <f>"1751070"</f>
        <v>1751070</v>
      </c>
      <c r="AJ1234" t="s">
        <v>1435</v>
      </c>
      <c r="AK1234">
        <v>2810771016</v>
      </c>
      <c r="AL1234" t="s">
        <v>1436</v>
      </c>
      <c r="AM1234" t="s">
        <v>78</v>
      </c>
      <c r="AN1234" t="s">
        <v>219</v>
      </c>
      <c r="AO1234" t="s">
        <v>1437</v>
      </c>
      <c r="AP1234" t="s">
        <v>1437</v>
      </c>
      <c r="AQ1234">
        <v>21</v>
      </c>
      <c r="AR1234" t="s">
        <v>123</v>
      </c>
      <c r="AS1234" t="s">
        <v>124</v>
      </c>
      <c r="AT1234" t="s">
        <v>58</v>
      </c>
      <c r="AU1234" t="s">
        <v>419</v>
      </c>
      <c r="AV1234" t="s">
        <v>132</v>
      </c>
      <c r="AW1234" s="1">
        <v>26805</v>
      </c>
      <c r="AX1234">
        <v>2</v>
      </c>
    </row>
    <row r="1235" spans="1:50">
      <c r="A1235">
        <v>156883</v>
      </c>
      <c r="B1235" t="str">
        <f>"034136347"</f>
        <v>034136347</v>
      </c>
      <c r="C1235" t="s">
        <v>105</v>
      </c>
      <c r="D1235" t="s">
        <v>2909</v>
      </c>
      <c r="E1235" t="s">
        <v>53</v>
      </c>
      <c r="F1235" t="s">
        <v>760</v>
      </c>
      <c r="G1235" t="s">
        <v>255</v>
      </c>
      <c r="H1235" t="str">
        <f>"ΚΑΠΑΡΙΑΝΑ "</f>
        <v xml:space="preserve">ΚΑΠΑΡΙΑΝΑ </v>
      </c>
      <c r="I1235">
        <v>70400</v>
      </c>
      <c r="J1235">
        <v>2892022037</v>
      </c>
      <c r="K1235">
        <v>6972080513</v>
      </c>
      <c r="N1235" t="s">
        <v>232</v>
      </c>
      <c r="O1235" t="s">
        <v>233</v>
      </c>
      <c r="R1235" t="s">
        <v>57</v>
      </c>
      <c r="S1235">
        <v>15</v>
      </c>
      <c r="T1235">
        <v>188</v>
      </c>
      <c r="U1235" s="1">
        <v>32752</v>
      </c>
      <c r="V1235" t="s">
        <v>123</v>
      </c>
      <c r="W1235" t="s">
        <v>124</v>
      </c>
      <c r="X1235" t="s">
        <v>58</v>
      </c>
      <c r="Y1235">
        <v>18</v>
      </c>
      <c r="Z1235" t="s">
        <v>59</v>
      </c>
      <c r="AA1235" t="s">
        <v>59</v>
      </c>
      <c r="AB1235" t="s">
        <v>59</v>
      </c>
      <c r="AC1235" t="s">
        <v>59</v>
      </c>
      <c r="AD1235" t="s">
        <v>59</v>
      </c>
      <c r="AF1235" s="1">
        <v>32757</v>
      </c>
      <c r="AG1235" t="s">
        <v>125</v>
      </c>
      <c r="AH1235" t="s">
        <v>126</v>
      </c>
      <c r="AI1235" t="str">
        <f>"1706010"</f>
        <v>1706010</v>
      </c>
      <c r="AJ1235" t="s">
        <v>391</v>
      </c>
      <c r="AK1235">
        <v>2892022286</v>
      </c>
      <c r="AL1235" t="s">
        <v>392</v>
      </c>
      <c r="AM1235" t="s">
        <v>78</v>
      </c>
      <c r="AN1235" t="s">
        <v>242</v>
      </c>
      <c r="AO1235" t="s">
        <v>243</v>
      </c>
      <c r="AP1235" t="s">
        <v>243</v>
      </c>
      <c r="AQ1235">
        <v>33</v>
      </c>
      <c r="AR1235" t="s">
        <v>123</v>
      </c>
      <c r="AS1235" t="s">
        <v>124</v>
      </c>
      <c r="AT1235" t="s">
        <v>58</v>
      </c>
      <c r="AU1235" t="s">
        <v>68</v>
      </c>
      <c r="AV1235" t="s">
        <v>69</v>
      </c>
      <c r="AW1235" s="1">
        <v>20742</v>
      </c>
      <c r="AX1235">
        <v>2</v>
      </c>
    </row>
    <row r="1236" spans="1:50">
      <c r="A1236">
        <v>192020</v>
      </c>
      <c r="B1236" t="str">
        <f>"046595395"</f>
        <v>046595395</v>
      </c>
      <c r="C1236" t="s">
        <v>105</v>
      </c>
      <c r="D1236" t="s">
        <v>2910</v>
      </c>
      <c r="E1236" t="s">
        <v>99</v>
      </c>
      <c r="F1236" t="s">
        <v>989</v>
      </c>
      <c r="G1236" t="s">
        <v>83</v>
      </c>
      <c r="H1236" t="str">
        <f>"ΓΡΕΒΕΝΩΝ 19 ΗΡΑΚΛΕΙΟ"</f>
        <v>ΓΡΕΒΕΝΩΝ 19 ΗΡΑΚΛΕΙΟ</v>
      </c>
      <c r="I1236">
        <v>71201</v>
      </c>
      <c r="J1236">
        <v>2810342487</v>
      </c>
      <c r="K1236">
        <v>6947633883</v>
      </c>
      <c r="N1236" t="s">
        <v>1989</v>
      </c>
      <c r="O1236" t="s">
        <v>1990</v>
      </c>
      <c r="R1236" t="s">
        <v>57</v>
      </c>
      <c r="S1236">
        <v>10</v>
      </c>
      <c r="T1236">
        <v>291</v>
      </c>
      <c r="U1236" s="1">
        <v>37218</v>
      </c>
      <c r="V1236" t="s">
        <v>123</v>
      </c>
      <c r="W1236" t="s">
        <v>124</v>
      </c>
      <c r="X1236" t="s">
        <v>58</v>
      </c>
      <c r="Y1236">
        <v>20</v>
      </c>
      <c r="Z1236" t="s">
        <v>59</v>
      </c>
      <c r="AA1236" t="s">
        <v>59</v>
      </c>
      <c r="AB1236" t="s">
        <v>59</v>
      </c>
      <c r="AC1236" t="s">
        <v>59</v>
      </c>
      <c r="AD1236" t="s">
        <v>59</v>
      </c>
      <c r="AF1236" s="1">
        <v>37218</v>
      </c>
      <c r="AG1236" t="s">
        <v>137</v>
      </c>
      <c r="AH1236" t="s">
        <v>138</v>
      </c>
      <c r="AI1236" t="str">
        <f>"1740210"</f>
        <v>1740210</v>
      </c>
      <c r="AJ1236" t="s">
        <v>139</v>
      </c>
      <c r="AK1236">
        <v>2810318130</v>
      </c>
      <c r="AL1236" t="s">
        <v>140</v>
      </c>
      <c r="AM1236" t="s">
        <v>78</v>
      </c>
      <c r="AN1236" t="s">
        <v>78</v>
      </c>
      <c r="AO1236" t="s">
        <v>78</v>
      </c>
      <c r="AP1236" t="s">
        <v>141</v>
      </c>
      <c r="AQ1236">
        <v>7</v>
      </c>
      <c r="AR1236" t="s">
        <v>123</v>
      </c>
      <c r="AS1236" t="s">
        <v>124</v>
      </c>
      <c r="AT1236" t="s">
        <v>58</v>
      </c>
      <c r="AU1236" t="s">
        <v>68</v>
      </c>
      <c r="AV1236" t="s">
        <v>69</v>
      </c>
      <c r="AW1236" s="1">
        <v>24424</v>
      </c>
      <c r="AX1236">
        <v>2</v>
      </c>
    </row>
    <row r="1237" spans="1:50">
      <c r="A1237">
        <v>221150</v>
      </c>
      <c r="B1237" t="str">
        <f>"036688660"</f>
        <v>036688660</v>
      </c>
      <c r="C1237" t="s">
        <v>105</v>
      </c>
      <c r="D1237" t="s">
        <v>2911</v>
      </c>
      <c r="E1237" t="s">
        <v>106</v>
      </c>
      <c r="F1237" t="s">
        <v>92</v>
      </c>
      <c r="G1237" t="s">
        <v>964</v>
      </c>
      <c r="H1237" t="str">
        <f>"ΚΑΠΑΡΙΑΝΑ "</f>
        <v xml:space="preserve">ΚΑΠΑΡΙΑΝΑ </v>
      </c>
      <c r="I1237">
        <v>70400</v>
      </c>
      <c r="J1237">
        <v>2892025041</v>
      </c>
      <c r="K1237">
        <v>6972301972</v>
      </c>
      <c r="M1237" t="s">
        <v>2912</v>
      </c>
      <c r="N1237" t="s">
        <v>232</v>
      </c>
      <c r="O1237" t="s">
        <v>233</v>
      </c>
      <c r="R1237" t="s">
        <v>57</v>
      </c>
      <c r="S1237">
        <v>5</v>
      </c>
      <c r="T1237">
        <v>691</v>
      </c>
      <c r="U1237" s="1">
        <v>39331</v>
      </c>
      <c r="V1237" t="s">
        <v>123</v>
      </c>
      <c r="W1237" t="s">
        <v>124</v>
      </c>
      <c r="X1237" t="s">
        <v>58</v>
      </c>
      <c r="Y1237">
        <v>20</v>
      </c>
      <c r="Z1237" t="s">
        <v>59</v>
      </c>
      <c r="AA1237" t="s">
        <v>59</v>
      </c>
      <c r="AB1237" t="s">
        <v>59</v>
      </c>
      <c r="AC1237" t="s">
        <v>59</v>
      </c>
      <c r="AD1237" t="s">
        <v>59</v>
      </c>
      <c r="AF1237" s="1">
        <v>39331</v>
      </c>
      <c r="AG1237" t="s">
        <v>125</v>
      </c>
      <c r="AH1237" t="s">
        <v>126</v>
      </c>
      <c r="AI1237" t="str">
        <f>"1706010"</f>
        <v>1706010</v>
      </c>
      <c r="AJ1237" t="s">
        <v>391</v>
      </c>
      <c r="AK1237">
        <v>2892022286</v>
      </c>
      <c r="AL1237" t="s">
        <v>392</v>
      </c>
      <c r="AM1237" t="s">
        <v>78</v>
      </c>
      <c r="AN1237" t="s">
        <v>242</v>
      </c>
      <c r="AO1237" t="s">
        <v>243</v>
      </c>
      <c r="AP1237" t="s">
        <v>243</v>
      </c>
      <c r="AQ1237">
        <v>33</v>
      </c>
      <c r="AR1237" t="s">
        <v>123</v>
      </c>
      <c r="AS1237" t="s">
        <v>124</v>
      </c>
      <c r="AT1237" t="s">
        <v>58</v>
      </c>
      <c r="AU1237" t="s">
        <v>68</v>
      </c>
      <c r="AV1237" t="s">
        <v>69</v>
      </c>
      <c r="AW1237" s="1">
        <v>23825</v>
      </c>
      <c r="AX1237">
        <v>2</v>
      </c>
    </row>
    <row r="1238" spans="1:50">
      <c r="A1238">
        <v>185190</v>
      </c>
      <c r="B1238" t="str">
        <f>"059626144"</f>
        <v>059626144</v>
      </c>
      <c r="C1238" t="s">
        <v>105</v>
      </c>
      <c r="D1238" t="s">
        <v>2913</v>
      </c>
      <c r="E1238" t="s">
        <v>72</v>
      </c>
      <c r="F1238" t="s">
        <v>106</v>
      </c>
      <c r="G1238" t="s">
        <v>964</v>
      </c>
      <c r="H1238" t="str">
        <f>"ΣΚΕΠΕΤΖΗ-ΕΣΤΙΑΣ 2 "</f>
        <v xml:space="preserve">ΣΚΕΠΕΤΖΗ-ΕΣΤΙΑΣ 2 </v>
      </c>
      <c r="I1238">
        <v>71307</v>
      </c>
      <c r="J1238">
        <v>2810323178</v>
      </c>
      <c r="K1238">
        <v>6955669999</v>
      </c>
      <c r="M1238" t="s">
        <v>2914</v>
      </c>
      <c r="N1238" t="s">
        <v>204</v>
      </c>
      <c r="O1238" t="s">
        <v>205</v>
      </c>
      <c r="R1238" t="s">
        <v>57</v>
      </c>
      <c r="S1238">
        <v>11</v>
      </c>
      <c r="T1238">
        <v>177</v>
      </c>
      <c r="U1238" s="1">
        <v>36403</v>
      </c>
      <c r="V1238" t="s">
        <v>123</v>
      </c>
      <c r="W1238" t="s">
        <v>124</v>
      </c>
      <c r="X1238" t="s">
        <v>58</v>
      </c>
      <c r="Y1238">
        <v>18</v>
      </c>
      <c r="Z1238" t="s">
        <v>59</v>
      </c>
      <c r="AA1238" t="s">
        <v>59</v>
      </c>
      <c r="AB1238" t="s">
        <v>59</v>
      </c>
      <c r="AC1238" t="s">
        <v>59</v>
      </c>
      <c r="AD1238" t="s">
        <v>59</v>
      </c>
      <c r="AF1238" s="1">
        <v>36404</v>
      </c>
      <c r="AG1238" t="s">
        <v>125</v>
      </c>
      <c r="AH1238" t="s">
        <v>126</v>
      </c>
      <c r="AI1238" t="str">
        <f>"1701030"</f>
        <v>1701030</v>
      </c>
      <c r="AJ1238" t="s">
        <v>270</v>
      </c>
      <c r="AK1238">
        <v>2810361015</v>
      </c>
      <c r="AL1238" t="s">
        <v>271</v>
      </c>
      <c r="AM1238" t="s">
        <v>78</v>
      </c>
      <c r="AN1238" t="s">
        <v>78</v>
      </c>
      <c r="AO1238" t="s">
        <v>78</v>
      </c>
      <c r="AP1238" t="s">
        <v>163</v>
      </c>
      <c r="AQ1238">
        <v>2</v>
      </c>
      <c r="AR1238" t="s">
        <v>123</v>
      </c>
      <c r="AS1238" t="s">
        <v>124</v>
      </c>
      <c r="AT1238" t="s">
        <v>58</v>
      </c>
      <c r="AU1238" t="s">
        <v>68</v>
      </c>
      <c r="AV1238" t="s">
        <v>69</v>
      </c>
      <c r="AW1238" s="1">
        <v>24560</v>
      </c>
      <c r="AX1238">
        <v>2</v>
      </c>
    </row>
    <row r="1239" spans="1:50">
      <c r="A1239">
        <v>217253</v>
      </c>
      <c r="B1239" t="str">
        <f>"044807143"</f>
        <v>044807143</v>
      </c>
      <c r="C1239" t="s">
        <v>50</v>
      </c>
      <c r="D1239" t="s">
        <v>2915</v>
      </c>
      <c r="E1239" t="s">
        <v>191</v>
      </c>
      <c r="F1239" t="s">
        <v>1493</v>
      </c>
      <c r="G1239" t="s">
        <v>52</v>
      </c>
      <c r="H1239" t="str">
        <f>" "</f>
        <v xml:space="preserve"> </v>
      </c>
      <c r="N1239" t="s">
        <v>765</v>
      </c>
      <c r="O1239" t="s">
        <v>766</v>
      </c>
      <c r="R1239" t="s">
        <v>57</v>
      </c>
      <c r="S1239">
        <v>6</v>
      </c>
      <c r="T1239">
        <v>457</v>
      </c>
      <c r="U1239" s="1">
        <v>39055</v>
      </c>
      <c r="V1239" t="s">
        <v>123</v>
      </c>
      <c r="W1239" t="s">
        <v>124</v>
      </c>
      <c r="X1239" t="s">
        <v>58</v>
      </c>
      <c r="Y1239">
        <v>20</v>
      </c>
      <c r="Z1239" t="s">
        <v>59</v>
      </c>
      <c r="AA1239" t="s">
        <v>59</v>
      </c>
      <c r="AB1239" t="s">
        <v>59</v>
      </c>
      <c r="AC1239" t="s">
        <v>59</v>
      </c>
      <c r="AD1239" t="s">
        <v>59</v>
      </c>
      <c r="AF1239" s="1">
        <v>39055</v>
      </c>
      <c r="AG1239" t="s">
        <v>60</v>
      </c>
      <c r="AH1239" t="s">
        <v>453</v>
      </c>
      <c r="AI1239" t="str">
        <f>"1700105"</f>
        <v>1700105</v>
      </c>
      <c r="AJ1239" t="s">
        <v>124</v>
      </c>
      <c r="AK1239">
        <v>2810333720</v>
      </c>
      <c r="AL1239" t="s">
        <v>454</v>
      </c>
      <c r="AM1239" t="s">
        <v>78</v>
      </c>
      <c r="AN1239" t="s">
        <v>78</v>
      </c>
      <c r="AO1239" t="s">
        <v>78</v>
      </c>
      <c r="AP1239" t="s">
        <v>79</v>
      </c>
      <c r="AS1239" t="s">
        <v>124</v>
      </c>
      <c r="AT1239" t="s">
        <v>58</v>
      </c>
      <c r="AU1239" t="s">
        <v>68</v>
      </c>
      <c r="AV1239" t="s">
        <v>455</v>
      </c>
      <c r="AW1239" s="1">
        <v>25946</v>
      </c>
      <c r="AX1239">
        <v>2</v>
      </c>
    </row>
    <row r="1240" spans="1:50">
      <c r="A1240">
        <v>218092</v>
      </c>
      <c r="B1240" t="str">
        <f>"045951520"</f>
        <v>045951520</v>
      </c>
      <c r="C1240" t="s">
        <v>50</v>
      </c>
      <c r="D1240" t="s">
        <v>2916</v>
      </c>
      <c r="E1240" t="s">
        <v>237</v>
      </c>
      <c r="F1240" t="s">
        <v>95</v>
      </c>
      <c r="G1240" t="s">
        <v>83</v>
      </c>
      <c r="H1240" t="str">
        <f>"ΦΕΙΔΙΠΙΔΟΥ 45 ΗΡΑΚΛΕΙΟΥ"</f>
        <v>ΦΕΙΔΙΠΙΔΟΥ 45 ΗΡΑΚΛΕΙΟΥ</v>
      </c>
      <c r="I1240">
        <v>71409</v>
      </c>
      <c r="J1240">
        <v>2810212491</v>
      </c>
      <c r="K1240">
        <v>6972294390</v>
      </c>
      <c r="M1240" t="s">
        <v>2917</v>
      </c>
      <c r="N1240" t="s">
        <v>292</v>
      </c>
      <c r="O1240" t="s">
        <v>293</v>
      </c>
      <c r="R1240" t="s">
        <v>57</v>
      </c>
      <c r="S1240">
        <v>6</v>
      </c>
      <c r="T1240">
        <v>599</v>
      </c>
      <c r="U1240" s="1">
        <v>39310</v>
      </c>
      <c r="V1240" t="s">
        <v>123</v>
      </c>
      <c r="W1240" t="s">
        <v>124</v>
      </c>
      <c r="X1240" t="s">
        <v>58</v>
      </c>
      <c r="Y1240">
        <v>20</v>
      </c>
      <c r="Z1240" t="s">
        <v>59</v>
      </c>
      <c r="AA1240" t="s">
        <v>59</v>
      </c>
      <c r="AB1240" t="s">
        <v>59</v>
      </c>
      <c r="AC1240" t="s">
        <v>59</v>
      </c>
      <c r="AD1240" t="s">
        <v>59</v>
      </c>
      <c r="AF1240" s="1">
        <v>39328</v>
      </c>
      <c r="AG1240" t="s">
        <v>125</v>
      </c>
      <c r="AH1240" t="s">
        <v>126</v>
      </c>
      <c r="AI1240" t="str">
        <f>"1701090"</f>
        <v>1701090</v>
      </c>
      <c r="AJ1240" t="s">
        <v>435</v>
      </c>
      <c r="AK1240">
        <v>2810871288</v>
      </c>
      <c r="AL1240" t="s">
        <v>436</v>
      </c>
      <c r="AM1240" t="s">
        <v>78</v>
      </c>
      <c r="AN1240" t="s">
        <v>78</v>
      </c>
      <c r="AO1240" t="s">
        <v>437</v>
      </c>
      <c r="AP1240" t="s">
        <v>438</v>
      </c>
      <c r="AQ1240">
        <v>26</v>
      </c>
      <c r="AR1240" t="s">
        <v>123</v>
      </c>
      <c r="AS1240" t="s">
        <v>124</v>
      </c>
      <c r="AT1240" t="s">
        <v>58</v>
      </c>
      <c r="AU1240" t="s">
        <v>68</v>
      </c>
      <c r="AV1240" t="s">
        <v>69</v>
      </c>
      <c r="AW1240" s="1">
        <v>24295</v>
      </c>
      <c r="AX1240">
        <v>2</v>
      </c>
    </row>
    <row r="1241" spans="1:50">
      <c r="A1241">
        <v>223963</v>
      </c>
      <c r="B1241" t="str">
        <f>"054354330"</f>
        <v>054354330</v>
      </c>
      <c r="C1241" t="s">
        <v>50</v>
      </c>
      <c r="D1241" t="s">
        <v>2918</v>
      </c>
      <c r="E1241" t="s">
        <v>83</v>
      </c>
      <c r="F1241" t="s">
        <v>95</v>
      </c>
      <c r="G1241" t="s">
        <v>237</v>
      </c>
      <c r="H1241" t="str">
        <f>" "</f>
        <v xml:space="preserve"> </v>
      </c>
      <c r="J1241">
        <v>2810232309</v>
      </c>
      <c r="K1241">
        <v>6945358700</v>
      </c>
      <c r="M1241" t="s">
        <v>2919</v>
      </c>
      <c r="N1241" t="s">
        <v>478</v>
      </c>
      <c r="O1241" t="s">
        <v>479</v>
      </c>
      <c r="R1241" t="s">
        <v>57</v>
      </c>
      <c r="S1241">
        <v>5</v>
      </c>
      <c r="T1241">
        <v>775</v>
      </c>
      <c r="U1241" s="1">
        <v>39680</v>
      </c>
      <c r="V1241" t="s">
        <v>123</v>
      </c>
      <c r="W1241" t="s">
        <v>124</v>
      </c>
      <c r="X1241" t="s">
        <v>58</v>
      </c>
      <c r="Y1241">
        <v>21</v>
      </c>
      <c r="Z1241" t="s">
        <v>59</v>
      </c>
      <c r="AA1241" t="s">
        <v>59</v>
      </c>
      <c r="AB1241" t="s">
        <v>59</v>
      </c>
      <c r="AC1241" t="s">
        <v>59</v>
      </c>
      <c r="AD1241" t="s">
        <v>59</v>
      </c>
      <c r="AF1241" s="1">
        <v>39682</v>
      </c>
      <c r="AG1241" t="s">
        <v>125</v>
      </c>
      <c r="AH1241" t="s">
        <v>126</v>
      </c>
      <c r="AI1241" t="str">
        <f>"1716010"</f>
        <v>1716010</v>
      </c>
      <c r="AJ1241" t="s">
        <v>193</v>
      </c>
      <c r="AK1241">
        <v>2810791374</v>
      </c>
      <c r="AL1241" t="s">
        <v>194</v>
      </c>
      <c r="AM1241" t="s">
        <v>78</v>
      </c>
      <c r="AN1241" t="s">
        <v>78</v>
      </c>
      <c r="AO1241" t="s">
        <v>195</v>
      </c>
      <c r="AP1241" t="s">
        <v>196</v>
      </c>
      <c r="AQ1241">
        <v>30</v>
      </c>
      <c r="AR1241" t="s">
        <v>123</v>
      </c>
      <c r="AS1241" t="s">
        <v>124</v>
      </c>
      <c r="AT1241" t="s">
        <v>58</v>
      </c>
      <c r="AU1241" t="s">
        <v>68</v>
      </c>
      <c r="AV1241" t="s">
        <v>69</v>
      </c>
      <c r="AW1241" s="1">
        <v>25614</v>
      </c>
      <c r="AX1241">
        <v>2</v>
      </c>
    </row>
    <row r="1242" spans="1:50">
      <c r="A1242">
        <v>188060</v>
      </c>
      <c r="B1242" t="str">
        <f>"062516138"</f>
        <v>062516138</v>
      </c>
      <c r="C1242" t="s">
        <v>50</v>
      </c>
      <c r="D1242" t="s">
        <v>2920</v>
      </c>
      <c r="E1242" t="s">
        <v>1189</v>
      </c>
      <c r="F1242" t="s">
        <v>99</v>
      </c>
      <c r="G1242" t="s">
        <v>52</v>
      </c>
      <c r="H1242" t="str">
        <f>"ΑΝΩ ΑΡΧΑΝΕΣ "</f>
        <v xml:space="preserve">ΑΝΩ ΑΡΧΑΝΕΣ </v>
      </c>
      <c r="J1242">
        <v>2810326526</v>
      </c>
      <c r="K1242">
        <v>6944898189</v>
      </c>
      <c r="M1242" t="s">
        <v>2921</v>
      </c>
      <c r="N1242" t="s">
        <v>204</v>
      </c>
      <c r="O1242" t="s">
        <v>205</v>
      </c>
      <c r="R1242" t="s">
        <v>57</v>
      </c>
      <c r="S1242">
        <v>11</v>
      </c>
      <c r="T1242">
        <v>251</v>
      </c>
      <c r="U1242" s="1">
        <v>36769</v>
      </c>
      <c r="V1242" t="s">
        <v>123</v>
      </c>
      <c r="W1242" t="s">
        <v>124</v>
      </c>
      <c r="X1242" t="s">
        <v>58</v>
      </c>
      <c r="Y1242">
        <v>20</v>
      </c>
      <c r="Z1242" t="s">
        <v>59</v>
      </c>
      <c r="AA1242" t="s">
        <v>59</v>
      </c>
      <c r="AB1242" t="s">
        <v>59</v>
      </c>
      <c r="AC1242" t="s">
        <v>59</v>
      </c>
      <c r="AD1242" t="s">
        <v>59</v>
      </c>
      <c r="AF1242" s="1">
        <v>36769</v>
      </c>
      <c r="AG1242" t="s">
        <v>125</v>
      </c>
      <c r="AH1242" t="s">
        <v>126</v>
      </c>
      <c r="AI1242" t="str">
        <f>"1703010"</f>
        <v>1703010</v>
      </c>
      <c r="AJ1242" t="s">
        <v>422</v>
      </c>
      <c r="AK1242">
        <v>2810751808</v>
      </c>
      <c r="AL1242" t="s">
        <v>423</v>
      </c>
      <c r="AM1242" t="s">
        <v>78</v>
      </c>
      <c r="AN1242" t="s">
        <v>424</v>
      </c>
      <c r="AO1242" t="s">
        <v>425</v>
      </c>
      <c r="AP1242" t="s">
        <v>425</v>
      </c>
      <c r="AQ1242">
        <v>13</v>
      </c>
      <c r="AR1242" t="s">
        <v>123</v>
      </c>
      <c r="AS1242" t="s">
        <v>124</v>
      </c>
      <c r="AT1242" t="s">
        <v>58</v>
      </c>
      <c r="AU1242" t="s">
        <v>68</v>
      </c>
      <c r="AV1242" t="s">
        <v>69</v>
      </c>
      <c r="AW1242" s="1">
        <v>27114</v>
      </c>
      <c r="AX1242">
        <v>2</v>
      </c>
    </row>
    <row r="1243" spans="1:50">
      <c r="A1243">
        <v>211736</v>
      </c>
      <c r="B1243" t="str">
        <f>"073623607"</f>
        <v>073623607</v>
      </c>
      <c r="C1243" t="s">
        <v>50</v>
      </c>
      <c r="D1243" t="s">
        <v>2922</v>
      </c>
      <c r="E1243" t="s">
        <v>238</v>
      </c>
      <c r="F1243" t="s">
        <v>84</v>
      </c>
      <c r="G1243" t="s">
        <v>2923</v>
      </c>
      <c r="H1243" t="str">
        <f>"ΑΓ. ΓΕΩΡΓΙΟΥ 2 (ΠΑΡΟΔΟΣ) ΜΟΙΡΕΣ"</f>
        <v>ΑΓ. ΓΕΩΡΓΙΟΥ 2 (ΠΑΡΟΔΟΣ) ΜΟΙΡΕΣ</v>
      </c>
      <c r="I1243">
        <v>70400</v>
      </c>
      <c r="K1243">
        <v>6978395550</v>
      </c>
      <c r="M1243" t="s">
        <v>2924</v>
      </c>
      <c r="N1243" t="s">
        <v>157</v>
      </c>
      <c r="O1243" t="s">
        <v>158</v>
      </c>
      <c r="R1243" t="s">
        <v>57</v>
      </c>
      <c r="S1243">
        <v>7</v>
      </c>
      <c r="T1243">
        <v>231</v>
      </c>
      <c r="U1243" s="1">
        <v>38960</v>
      </c>
      <c r="V1243" t="s">
        <v>123</v>
      </c>
      <c r="W1243" t="s">
        <v>124</v>
      </c>
      <c r="X1243" t="s">
        <v>58</v>
      </c>
      <c r="Y1243">
        <v>20</v>
      </c>
      <c r="Z1243" t="s">
        <v>59</v>
      </c>
      <c r="AA1243" t="s">
        <v>59</v>
      </c>
      <c r="AB1243" t="s">
        <v>59</v>
      </c>
      <c r="AC1243" t="s">
        <v>59</v>
      </c>
      <c r="AD1243" t="s">
        <v>59</v>
      </c>
      <c r="AF1243" s="1">
        <v>38961</v>
      </c>
      <c r="AG1243" t="s">
        <v>125</v>
      </c>
      <c r="AH1243" t="s">
        <v>126</v>
      </c>
      <c r="AI1243" t="str">
        <f>"1707010"</f>
        <v>1707010</v>
      </c>
      <c r="AJ1243" t="s">
        <v>757</v>
      </c>
      <c r="AK1243">
        <v>2892041211</v>
      </c>
      <c r="AL1243" t="s">
        <v>758</v>
      </c>
      <c r="AM1243" t="s">
        <v>78</v>
      </c>
      <c r="AN1243" t="s">
        <v>242</v>
      </c>
      <c r="AO1243" t="s">
        <v>243</v>
      </c>
      <c r="AP1243" t="s">
        <v>244</v>
      </c>
      <c r="AQ1243">
        <v>34</v>
      </c>
      <c r="AR1243" t="s">
        <v>123</v>
      </c>
      <c r="AS1243" t="s">
        <v>124</v>
      </c>
      <c r="AT1243" t="s">
        <v>58</v>
      </c>
      <c r="AU1243" t="s">
        <v>68</v>
      </c>
      <c r="AV1243" t="s">
        <v>69</v>
      </c>
      <c r="AW1243" s="1">
        <v>24870</v>
      </c>
      <c r="AX1243">
        <v>2</v>
      </c>
    </row>
    <row r="1244" spans="1:50">
      <c r="A1244">
        <v>159398</v>
      </c>
      <c r="B1244" t="str">
        <f>"032709496"</f>
        <v>032709496</v>
      </c>
      <c r="C1244" t="s">
        <v>50</v>
      </c>
      <c r="D1244" t="s">
        <v>2922</v>
      </c>
      <c r="E1244" t="s">
        <v>52</v>
      </c>
      <c r="F1244" t="s">
        <v>304</v>
      </c>
      <c r="G1244" t="s">
        <v>83</v>
      </c>
      <c r="H1244" t="str">
        <f>" "</f>
        <v xml:space="preserve"> </v>
      </c>
      <c r="N1244" t="s">
        <v>146</v>
      </c>
      <c r="O1244" t="s">
        <v>147</v>
      </c>
      <c r="R1244" t="s">
        <v>57</v>
      </c>
      <c r="S1244">
        <v>15</v>
      </c>
      <c r="T1244">
        <v>161</v>
      </c>
      <c r="U1244" s="1">
        <v>33119</v>
      </c>
      <c r="V1244" t="s">
        <v>123</v>
      </c>
      <c r="W1244" t="s">
        <v>124</v>
      </c>
      <c r="X1244" t="s">
        <v>58</v>
      </c>
      <c r="Y1244">
        <v>18</v>
      </c>
      <c r="Z1244" t="s">
        <v>59</v>
      </c>
      <c r="AA1244" t="s">
        <v>59</v>
      </c>
      <c r="AB1244" t="s">
        <v>59</v>
      </c>
      <c r="AC1244" t="s">
        <v>59</v>
      </c>
      <c r="AD1244" t="s">
        <v>59</v>
      </c>
      <c r="AF1244" s="1">
        <v>33123</v>
      </c>
      <c r="AG1244" t="s">
        <v>148</v>
      </c>
      <c r="AH1244" t="s">
        <v>149</v>
      </c>
      <c r="AI1244" t="str">
        <f>"1751042"</f>
        <v>1751042</v>
      </c>
      <c r="AJ1244" t="s">
        <v>959</v>
      </c>
      <c r="AK1244">
        <v>2810220685</v>
      </c>
      <c r="AL1244" t="s">
        <v>960</v>
      </c>
      <c r="AM1244" t="s">
        <v>78</v>
      </c>
      <c r="AN1244" t="s">
        <v>78</v>
      </c>
      <c r="AO1244" t="s">
        <v>78</v>
      </c>
      <c r="AP1244" t="s">
        <v>213</v>
      </c>
      <c r="AQ1244">
        <v>6</v>
      </c>
      <c r="AR1244" t="s">
        <v>123</v>
      </c>
      <c r="AS1244" t="s">
        <v>124</v>
      </c>
      <c r="AT1244" t="s">
        <v>58</v>
      </c>
      <c r="AU1244" t="s">
        <v>68</v>
      </c>
      <c r="AV1244" t="s">
        <v>69</v>
      </c>
      <c r="AW1244" s="1">
        <v>23612</v>
      </c>
      <c r="AX1244">
        <v>2</v>
      </c>
    </row>
    <row r="1245" spans="1:50">
      <c r="A1245">
        <v>206246</v>
      </c>
      <c r="B1245" t="str">
        <f>"070550525"</f>
        <v>070550525</v>
      </c>
      <c r="C1245" t="s">
        <v>50</v>
      </c>
      <c r="D1245" t="s">
        <v>2925</v>
      </c>
      <c r="E1245" t="s">
        <v>563</v>
      </c>
      <c r="F1245" t="s">
        <v>202</v>
      </c>
      <c r="G1245" t="s">
        <v>367</v>
      </c>
      <c r="H1245" t="str">
        <f>"ΑΙΑΝΤΟΣ 13-15 ΑΤΤΙΚΗ"</f>
        <v>ΑΙΑΝΤΟΣ 13-15 ΑΤΤΙΚΗ</v>
      </c>
      <c r="I1245">
        <v>11631</v>
      </c>
      <c r="J1245">
        <v>2107512477</v>
      </c>
      <c r="K1245">
        <v>6945850624</v>
      </c>
      <c r="M1245" t="s">
        <v>2926</v>
      </c>
      <c r="N1245" t="s">
        <v>306</v>
      </c>
      <c r="O1245" t="s">
        <v>307</v>
      </c>
      <c r="R1245" t="s">
        <v>57</v>
      </c>
      <c r="S1245">
        <v>6</v>
      </c>
      <c r="T1245">
        <v>301</v>
      </c>
      <c r="U1245" s="1">
        <v>38302</v>
      </c>
      <c r="V1245" t="s">
        <v>123</v>
      </c>
      <c r="W1245" t="s">
        <v>124</v>
      </c>
      <c r="X1245" t="s">
        <v>58</v>
      </c>
      <c r="Y1245">
        <v>20</v>
      </c>
      <c r="Z1245" t="s">
        <v>59</v>
      </c>
      <c r="AA1245" t="s">
        <v>59</v>
      </c>
      <c r="AB1245" t="s">
        <v>59</v>
      </c>
      <c r="AC1245" t="s">
        <v>59</v>
      </c>
      <c r="AD1245" t="s">
        <v>59</v>
      </c>
      <c r="AF1245" s="1">
        <v>38303</v>
      </c>
      <c r="AG1245" t="s">
        <v>125</v>
      </c>
      <c r="AH1245" t="s">
        <v>126</v>
      </c>
      <c r="AI1245" t="str">
        <f>"1704010"</f>
        <v>1704010</v>
      </c>
      <c r="AJ1245" t="s">
        <v>480</v>
      </c>
      <c r="AK1245">
        <v>2895022230</v>
      </c>
      <c r="AL1245" t="s">
        <v>481</v>
      </c>
      <c r="AM1245" t="s">
        <v>78</v>
      </c>
      <c r="AN1245" t="s">
        <v>482</v>
      </c>
      <c r="AO1245" t="s">
        <v>482</v>
      </c>
      <c r="AP1245" t="s">
        <v>483</v>
      </c>
      <c r="AQ1245">
        <v>16</v>
      </c>
      <c r="AR1245" t="s">
        <v>123</v>
      </c>
      <c r="AS1245" t="s">
        <v>124</v>
      </c>
      <c r="AT1245" t="s">
        <v>58</v>
      </c>
      <c r="AU1245" t="s">
        <v>68</v>
      </c>
      <c r="AV1245" t="s">
        <v>69</v>
      </c>
      <c r="AW1245" s="1">
        <v>29024</v>
      </c>
      <c r="AX1245">
        <v>2</v>
      </c>
    </row>
    <row r="1246" spans="1:50">
      <c r="A1246">
        <v>202905</v>
      </c>
      <c r="B1246" t="str">
        <f>"046201491"</f>
        <v>046201491</v>
      </c>
      <c r="C1246" t="s">
        <v>50</v>
      </c>
      <c r="D1246" t="s">
        <v>2927</v>
      </c>
      <c r="E1246" t="s">
        <v>73</v>
      </c>
      <c r="F1246" t="s">
        <v>84</v>
      </c>
      <c r="G1246" t="s">
        <v>237</v>
      </c>
      <c r="H1246" t="str">
        <f>"ΣΤΕΦΑΝΟΥ ΠΝΕΥΜΑΤΙΚΟΥ 5 ΠΑΝΟΡΑΜΑ ΑΤΣΙΠΟΠΟΥΛΟΥ -ΡΕΘΥΜΝΟ"</f>
        <v>ΣΤΕΦΑΝΟΥ ΠΝΕΥΜΑΤΙΚΟΥ 5 ΠΑΝΟΡΑΜΑ ΑΤΣΙΠΟΠΟΥΛΟΥ -ΡΕΘΥΜΝΟ</v>
      </c>
      <c r="I1246">
        <v>74100</v>
      </c>
      <c r="J1246">
        <v>2831023509</v>
      </c>
      <c r="K1246">
        <v>6945742823</v>
      </c>
      <c r="M1246" t="s">
        <v>2928</v>
      </c>
      <c r="N1246" t="s">
        <v>246</v>
      </c>
      <c r="O1246" t="s">
        <v>247</v>
      </c>
      <c r="R1246" t="s">
        <v>57</v>
      </c>
      <c r="S1246">
        <v>13</v>
      </c>
      <c r="T1246">
        <v>231</v>
      </c>
      <c r="U1246" s="1">
        <v>38230</v>
      </c>
      <c r="V1246" t="s">
        <v>123</v>
      </c>
      <c r="W1246" t="s">
        <v>124</v>
      </c>
      <c r="X1246" t="s">
        <v>58</v>
      </c>
      <c r="Y1246">
        <v>20</v>
      </c>
      <c r="Z1246" t="s">
        <v>59</v>
      </c>
      <c r="AA1246" t="s">
        <v>59</v>
      </c>
      <c r="AB1246" t="s">
        <v>59</v>
      </c>
      <c r="AC1246" t="s">
        <v>59</v>
      </c>
      <c r="AD1246" t="s">
        <v>59</v>
      </c>
      <c r="AF1246" s="1">
        <v>38230</v>
      </c>
      <c r="AG1246" t="s">
        <v>125</v>
      </c>
      <c r="AH1246" t="s">
        <v>126</v>
      </c>
      <c r="AI1246" t="str">
        <f>"1701050"</f>
        <v>1701050</v>
      </c>
      <c r="AJ1246" t="s">
        <v>660</v>
      </c>
      <c r="AK1246">
        <v>2810220729</v>
      </c>
      <c r="AL1246" t="s">
        <v>661</v>
      </c>
      <c r="AM1246" t="s">
        <v>78</v>
      </c>
      <c r="AN1246" t="s">
        <v>78</v>
      </c>
      <c r="AO1246" t="s">
        <v>78</v>
      </c>
      <c r="AP1246" t="s">
        <v>79</v>
      </c>
      <c r="AQ1246">
        <v>1</v>
      </c>
      <c r="AR1246" t="s">
        <v>123</v>
      </c>
      <c r="AS1246" t="s">
        <v>124</v>
      </c>
      <c r="AT1246" t="s">
        <v>58</v>
      </c>
      <c r="AU1246" t="s">
        <v>68</v>
      </c>
      <c r="AV1246" t="s">
        <v>69</v>
      </c>
      <c r="AW1246" s="1">
        <v>24987</v>
      </c>
      <c r="AX1246">
        <v>2</v>
      </c>
    </row>
    <row r="1247" spans="1:50">
      <c r="A1247">
        <v>169915</v>
      </c>
      <c r="B1247" t="str">
        <f>"036388663"</f>
        <v>036388663</v>
      </c>
      <c r="C1247" t="s">
        <v>50</v>
      </c>
      <c r="D1247" t="s">
        <v>2929</v>
      </c>
      <c r="E1247" t="s">
        <v>263</v>
      </c>
      <c r="F1247" t="s">
        <v>794</v>
      </c>
      <c r="G1247" t="s">
        <v>181</v>
      </c>
      <c r="H1247" t="str">
        <f>"ΣΤΕΡΓΙΟΓΙΑΝΝΗ 56 ΗΡΑΚΛΕΙΟ"</f>
        <v>ΣΤΕΡΓΙΟΓΙΑΝΝΗ 56 ΗΡΑΚΛΕΙΟ</v>
      </c>
      <c r="I1247">
        <v>71305</v>
      </c>
      <c r="J1247">
        <v>2810252703</v>
      </c>
      <c r="K1247">
        <v>6973404784</v>
      </c>
      <c r="M1247" t="s">
        <v>2930</v>
      </c>
      <c r="N1247" t="s">
        <v>146</v>
      </c>
      <c r="O1247" t="s">
        <v>147</v>
      </c>
      <c r="R1247" t="s">
        <v>57</v>
      </c>
      <c r="S1247">
        <v>13</v>
      </c>
      <c r="T1247">
        <v>184</v>
      </c>
      <c r="U1247" s="1">
        <v>34941</v>
      </c>
      <c r="V1247" t="s">
        <v>123</v>
      </c>
      <c r="W1247" t="s">
        <v>124</v>
      </c>
      <c r="X1247" t="s">
        <v>58</v>
      </c>
      <c r="Y1247">
        <v>18</v>
      </c>
      <c r="Z1247" t="s">
        <v>59</v>
      </c>
      <c r="AA1247" t="s">
        <v>59</v>
      </c>
      <c r="AB1247" t="s">
        <v>59</v>
      </c>
      <c r="AC1247" t="s">
        <v>59</v>
      </c>
      <c r="AD1247" t="s">
        <v>59</v>
      </c>
      <c r="AF1247" s="1">
        <v>34947</v>
      </c>
      <c r="AG1247" t="s">
        <v>125</v>
      </c>
      <c r="AH1247" t="s">
        <v>126</v>
      </c>
      <c r="AI1247" t="str">
        <f>"1701053"</f>
        <v>1701053</v>
      </c>
      <c r="AJ1247" t="s">
        <v>398</v>
      </c>
      <c r="AK1247">
        <v>2810251434</v>
      </c>
      <c r="AL1247" t="s">
        <v>399</v>
      </c>
      <c r="AM1247" t="s">
        <v>78</v>
      </c>
      <c r="AN1247" t="s">
        <v>78</v>
      </c>
      <c r="AO1247" t="s">
        <v>78</v>
      </c>
      <c r="AP1247" t="s">
        <v>141</v>
      </c>
      <c r="AQ1247">
        <v>7</v>
      </c>
      <c r="AR1247" t="s">
        <v>123</v>
      </c>
      <c r="AS1247" t="s">
        <v>124</v>
      </c>
      <c r="AT1247" t="s">
        <v>58</v>
      </c>
      <c r="AU1247" t="s">
        <v>68</v>
      </c>
      <c r="AV1247" t="s">
        <v>69</v>
      </c>
      <c r="AW1247" s="1">
        <v>23902</v>
      </c>
      <c r="AX1247">
        <v>2</v>
      </c>
    </row>
    <row r="1248" spans="1:50">
      <c r="A1248">
        <v>214180</v>
      </c>
      <c r="B1248" t="str">
        <f>"076140050"</f>
        <v>076140050</v>
      </c>
      <c r="C1248" t="s">
        <v>50</v>
      </c>
      <c r="D1248" t="s">
        <v>2931</v>
      </c>
      <c r="E1248" t="s">
        <v>191</v>
      </c>
      <c r="F1248" t="s">
        <v>53</v>
      </c>
      <c r="G1248" t="s">
        <v>255</v>
      </c>
      <c r="H1248" t="str">
        <f>"ΑΧΑΡΝΩΝ 376 ΑΘΗΝΑ"</f>
        <v>ΑΧΑΡΝΩΝ 376 ΑΘΗΝΑ</v>
      </c>
      <c r="I1248">
        <v>11145</v>
      </c>
      <c r="J1248">
        <v>2810280183</v>
      </c>
      <c r="K1248">
        <v>6974202039</v>
      </c>
      <c r="L1248">
        <v>2102017858</v>
      </c>
      <c r="N1248" t="s">
        <v>683</v>
      </c>
      <c r="O1248" t="s">
        <v>684</v>
      </c>
      <c r="R1248" t="s">
        <v>57</v>
      </c>
      <c r="S1248">
        <v>6</v>
      </c>
      <c r="T1248">
        <v>231</v>
      </c>
      <c r="U1248" s="1">
        <v>38960</v>
      </c>
      <c r="V1248" t="s">
        <v>123</v>
      </c>
      <c r="W1248" t="s">
        <v>124</v>
      </c>
      <c r="X1248" t="s">
        <v>58</v>
      </c>
      <c r="Y1248">
        <v>20</v>
      </c>
      <c r="Z1248" t="s">
        <v>59</v>
      </c>
      <c r="AA1248" t="s">
        <v>59</v>
      </c>
      <c r="AB1248" t="s">
        <v>59</v>
      </c>
      <c r="AC1248" t="s">
        <v>59</v>
      </c>
      <c r="AD1248" t="s">
        <v>59</v>
      </c>
      <c r="AF1248" s="1">
        <v>38961</v>
      </c>
      <c r="AG1248" t="s">
        <v>125</v>
      </c>
      <c r="AH1248" t="s">
        <v>126</v>
      </c>
      <c r="AI1248" t="str">
        <f>"1717011"</f>
        <v>1717011</v>
      </c>
      <c r="AJ1248" t="s">
        <v>832</v>
      </c>
      <c r="AK1248">
        <v>2897023311</v>
      </c>
      <c r="AL1248" t="s">
        <v>833</v>
      </c>
      <c r="AM1248" t="s">
        <v>78</v>
      </c>
      <c r="AN1248" t="s">
        <v>219</v>
      </c>
      <c r="AO1248" t="s">
        <v>219</v>
      </c>
      <c r="AP1248" t="s">
        <v>220</v>
      </c>
      <c r="AQ1248">
        <v>20</v>
      </c>
      <c r="AR1248" t="s">
        <v>123</v>
      </c>
      <c r="AS1248" t="s">
        <v>124</v>
      </c>
      <c r="AT1248" t="s">
        <v>58</v>
      </c>
      <c r="AU1248" t="s">
        <v>68</v>
      </c>
      <c r="AV1248" t="s">
        <v>69</v>
      </c>
      <c r="AW1248" s="1">
        <v>27637</v>
      </c>
      <c r="AX1248">
        <v>2</v>
      </c>
    </row>
    <row r="1249" spans="1:50">
      <c r="A1249">
        <v>216157</v>
      </c>
      <c r="B1249" t="str">
        <f>"073355762"</f>
        <v>073355762</v>
      </c>
      <c r="C1249" t="s">
        <v>105</v>
      </c>
      <c r="D1249" t="s">
        <v>2932</v>
      </c>
      <c r="E1249" t="s">
        <v>53</v>
      </c>
      <c r="F1249" t="s">
        <v>2933</v>
      </c>
      <c r="G1249" t="s">
        <v>103</v>
      </c>
      <c r="H1249" t="str">
        <f>"ΠΥΡΓΟΣ ΜΟΝΟΦΑΤΣΙΟΥ ΗΡΑΚΛΕΙΟ ΚΡΗΤΗΣ"</f>
        <v>ΠΥΡΓΟΣ ΜΟΝΟΦΑΤΣΙΟΥ ΗΡΑΚΛΕΙΟ ΚΡΗΤΗΣ</v>
      </c>
      <c r="I1249">
        <v>70010</v>
      </c>
      <c r="J1249">
        <v>2810323010</v>
      </c>
      <c r="K1249">
        <v>6985630888</v>
      </c>
      <c r="M1249" t="s">
        <v>2934</v>
      </c>
      <c r="N1249" t="s">
        <v>204</v>
      </c>
      <c r="O1249" t="s">
        <v>205</v>
      </c>
      <c r="R1249" t="s">
        <v>57</v>
      </c>
      <c r="S1249">
        <v>6</v>
      </c>
      <c r="T1249">
        <v>232</v>
      </c>
      <c r="U1249" s="1">
        <v>38960</v>
      </c>
      <c r="V1249" t="s">
        <v>123</v>
      </c>
      <c r="W1249" t="s">
        <v>124</v>
      </c>
      <c r="X1249" t="s">
        <v>58</v>
      </c>
      <c r="Y1249">
        <v>20</v>
      </c>
      <c r="Z1249" t="s">
        <v>59</v>
      </c>
      <c r="AA1249" t="s">
        <v>59</v>
      </c>
      <c r="AB1249" t="s">
        <v>59</v>
      </c>
      <c r="AC1249" t="s">
        <v>59</v>
      </c>
      <c r="AD1249" t="s">
        <v>59</v>
      </c>
      <c r="AF1249" s="1">
        <v>38965</v>
      </c>
      <c r="AG1249" t="s">
        <v>137</v>
      </c>
      <c r="AH1249" t="s">
        <v>138</v>
      </c>
      <c r="AI1249" t="str">
        <f>"1740310"</f>
        <v>1740310</v>
      </c>
      <c r="AJ1249" t="s">
        <v>488</v>
      </c>
      <c r="AK1249">
        <v>2891024228</v>
      </c>
      <c r="AL1249" t="s">
        <v>489</v>
      </c>
      <c r="AM1249" t="s">
        <v>78</v>
      </c>
      <c r="AN1249" t="s">
        <v>276</v>
      </c>
      <c r="AO1249" t="s">
        <v>490</v>
      </c>
      <c r="AP1249" t="s">
        <v>490</v>
      </c>
      <c r="AQ1249">
        <v>15</v>
      </c>
      <c r="AR1249" t="s">
        <v>123</v>
      </c>
      <c r="AS1249" t="s">
        <v>124</v>
      </c>
      <c r="AT1249" t="s">
        <v>58</v>
      </c>
      <c r="AU1249" t="s">
        <v>68</v>
      </c>
      <c r="AV1249" t="s">
        <v>69</v>
      </c>
      <c r="AW1249" s="1">
        <v>28063</v>
      </c>
      <c r="AX1249">
        <v>2</v>
      </c>
    </row>
    <row r="1250" spans="1:50">
      <c r="A1250">
        <v>150511</v>
      </c>
      <c r="B1250" t="str">
        <f>"034135443"</f>
        <v>034135443</v>
      </c>
      <c r="C1250" t="s">
        <v>50</v>
      </c>
      <c r="D1250" t="s">
        <v>2935</v>
      </c>
      <c r="E1250" t="s">
        <v>1051</v>
      </c>
      <c r="F1250" t="s">
        <v>2936</v>
      </c>
      <c r="G1250" t="s">
        <v>83</v>
      </c>
      <c r="H1250" t="str">
        <f>"ΑΝΑΛΗΨΗ ΧΕΡΣΟΝΗΣΟΥ, ΤΘ1027 "</f>
        <v xml:space="preserve">ΑΝΑΛΗΨΗ ΧΕΡΣΟΝΗΣΟΥ, ΤΘ1027 </v>
      </c>
      <c r="I1250">
        <v>70014</v>
      </c>
      <c r="J1250">
        <v>2897024393</v>
      </c>
      <c r="K1250">
        <v>6977438583</v>
      </c>
      <c r="M1250" t="s">
        <v>2937</v>
      </c>
      <c r="N1250" t="s">
        <v>146</v>
      </c>
      <c r="O1250" t="s">
        <v>147</v>
      </c>
      <c r="R1250" t="s">
        <v>57</v>
      </c>
      <c r="S1250">
        <v>15</v>
      </c>
      <c r="T1250">
        <v>170</v>
      </c>
      <c r="U1250" s="1">
        <v>32016</v>
      </c>
      <c r="V1250" t="s">
        <v>123</v>
      </c>
      <c r="W1250" t="s">
        <v>124</v>
      </c>
      <c r="X1250" t="s">
        <v>58</v>
      </c>
      <c r="Y1250">
        <v>18</v>
      </c>
      <c r="Z1250" t="s">
        <v>59</v>
      </c>
      <c r="AA1250" t="s">
        <v>59</v>
      </c>
      <c r="AB1250" t="s">
        <v>59</v>
      </c>
      <c r="AC1250" t="s">
        <v>59</v>
      </c>
      <c r="AD1250" t="s">
        <v>59</v>
      </c>
      <c r="AF1250" s="1">
        <v>32027</v>
      </c>
      <c r="AG1250" t="s">
        <v>125</v>
      </c>
      <c r="AH1250" t="s">
        <v>126</v>
      </c>
      <c r="AI1250" t="str">
        <f>"1717011"</f>
        <v>1717011</v>
      </c>
      <c r="AJ1250" t="s">
        <v>832</v>
      </c>
      <c r="AK1250">
        <v>2897023311</v>
      </c>
      <c r="AL1250" t="s">
        <v>833</v>
      </c>
      <c r="AM1250" t="s">
        <v>78</v>
      </c>
      <c r="AN1250" t="s">
        <v>219</v>
      </c>
      <c r="AO1250" t="s">
        <v>219</v>
      </c>
      <c r="AP1250" t="s">
        <v>220</v>
      </c>
      <c r="AQ1250">
        <v>20</v>
      </c>
      <c r="AR1250" t="s">
        <v>123</v>
      </c>
      <c r="AS1250" t="s">
        <v>124</v>
      </c>
      <c r="AT1250" t="s">
        <v>58</v>
      </c>
      <c r="AU1250" t="s">
        <v>68</v>
      </c>
      <c r="AV1250" t="s">
        <v>69</v>
      </c>
      <c r="AW1250" s="1">
        <v>22196</v>
      </c>
      <c r="AX1250">
        <v>2</v>
      </c>
    </row>
    <row r="1251" spans="1:50">
      <c r="A1251">
        <v>218508</v>
      </c>
      <c r="B1251" t="str">
        <f>"079047623"</f>
        <v>079047623</v>
      </c>
      <c r="C1251" t="s">
        <v>50</v>
      </c>
      <c r="D1251" t="s">
        <v>2938</v>
      </c>
      <c r="E1251" t="s">
        <v>112</v>
      </c>
      <c r="F1251" t="s">
        <v>166</v>
      </c>
      <c r="G1251" t="s">
        <v>892</v>
      </c>
      <c r="H1251" t="str">
        <f>"ΑΡ ΒΑΛΑΩΡΙΤΗ 4 ΗΡΑΚΛΕΙΟ"</f>
        <v>ΑΡ ΒΑΛΑΩΡΙΤΗ 4 ΗΡΑΚΛΕΙΟ</v>
      </c>
      <c r="I1251">
        <v>71303</v>
      </c>
      <c r="J1251">
        <v>2810263162</v>
      </c>
      <c r="K1251">
        <v>6946006632</v>
      </c>
      <c r="M1251" t="s">
        <v>2939</v>
      </c>
      <c r="N1251" t="s">
        <v>232</v>
      </c>
      <c r="O1251" t="s">
        <v>233</v>
      </c>
      <c r="R1251" t="s">
        <v>57</v>
      </c>
      <c r="S1251">
        <v>7</v>
      </c>
      <c r="T1251">
        <v>599</v>
      </c>
      <c r="U1251" s="1">
        <v>39310</v>
      </c>
      <c r="V1251" t="s">
        <v>123</v>
      </c>
      <c r="W1251" t="s">
        <v>124</v>
      </c>
      <c r="X1251" t="s">
        <v>58</v>
      </c>
      <c r="Y1251">
        <v>20</v>
      </c>
      <c r="Z1251" t="s">
        <v>59</v>
      </c>
      <c r="AA1251" t="s">
        <v>59</v>
      </c>
      <c r="AB1251" t="s">
        <v>59</v>
      </c>
      <c r="AC1251" t="s">
        <v>59</v>
      </c>
      <c r="AD1251" t="s">
        <v>59</v>
      </c>
      <c r="AF1251" s="1">
        <v>39328</v>
      </c>
      <c r="AG1251" t="s">
        <v>125</v>
      </c>
      <c r="AH1251" t="s">
        <v>126</v>
      </c>
      <c r="AI1251" t="str">
        <f>"1728010"</f>
        <v>1728010</v>
      </c>
      <c r="AJ1251" t="s">
        <v>127</v>
      </c>
      <c r="AK1251">
        <v>2810824651</v>
      </c>
      <c r="AL1251" t="s">
        <v>128</v>
      </c>
      <c r="AM1251" t="s">
        <v>78</v>
      </c>
      <c r="AN1251" t="s">
        <v>129</v>
      </c>
      <c r="AO1251" t="s">
        <v>130</v>
      </c>
      <c r="AP1251" t="s">
        <v>130</v>
      </c>
      <c r="AQ1251">
        <v>36</v>
      </c>
      <c r="AR1251" t="s">
        <v>123</v>
      </c>
      <c r="AS1251" t="s">
        <v>124</v>
      </c>
      <c r="AT1251" t="s">
        <v>58</v>
      </c>
      <c r="AU1251" t="s">
        <v>68</v>
      </c>
      <c r="AV1251" t="s">
        <v>357</v>
      </c>
      <c r="AW1251" s="1">
        <v>23734</v>
      </c>
      <c r="AX1251">
        <v>2</v>
      </c>
    </row>
    <row r="1252" spans="1:50">
      <c r="A1252">
        <v>178159</v>
      </c>
      <c r="B1252" t="str">
        <f>"055229530"</f>
        <v>055229530</v>
      </c>
      <c r="C1252" t="s">
        <v>50</v>
      </c>
      <c r="D1252" t="s">
        <v>2940</v>
      </c>
      <c r="E1252" t="s">
        <v>237</v>
      </c>
      <c r="F1252" t="s">
        <v>670</v>
      </c>
      <c r="G1252" t="s">
        <v>964</v>
      </c>
      <c r="H1252" t="str">
        <f>"ΔΑΒΑΚΗ 1 ΗΡΑΚΛΕΙΟ"</f>
        <v>ΔΑΒΑΚΗ 1 ΗΡΑΚΛΕΙΟ</v>
      </c>
      <c r="I1252">
        <v>71307</v>
      </c>
      <c r="J1252">
        <v>2810315334</v>
      </c>
      <c r="K1252">
        <v>6974170766</v>
      </c>
      <c r="M1252" t="s">
        <v>2941</v>
      </c>
      <c r="N1252" t="s">
        <v>204</v>
      </c>
      <c r="O1252" t="s">
        <v>205</v>
      </c>
      <c r="R1252" t="s">
        <v>57</v>
      </c>
      <c r="S1252">
        <v>11</v>
      </c>
      <c r="T1252">
        <v>180</v>
      </c>
      <c r="U1252" s="1">
        <v>35674</v>
      </c>
      <c r="V1252" t="s">
        <v>123</v>
      </c>
      <c r="W1252" t="s">
        <v>124</v>
      </c>
      <c r="X1252" t="s">
        <v>58</v>
      </c>
      <c r="Y1252">
        <v>18</v>
      </c>
      <c r="Z1252" t="s">
        <v>59</v>
      </c>
      <c r="AA1252" t="s">
        <v>59</v>
      </c>
      <c r="AB1252" t="s">
        <v>59</v>
      </c>
      <c r="AC1252" t="s">
        <v>59</v>
      </c>
      <c r="AD1252" t="s">
        <v>59</v>
      </c>
      <c r="AF1252" s="1">
        <v>35678</v>
      </c>
      <c r="AG1252" t="s">
        <v>125</v>
      </c>
      <c r="AH1252" t="s">
        <v>126</v>
      </c>
      <c r="AI1252" t="str">
        <f>"1701052"</f>
        <v>1701052</v>
      </c>
      <c r="AJ1252" t="s">
        <v>223</v>
      </c>
      <c r="AK1252">
        <v>2810252514</v>
      </c>
      <c r="AL1252" t="s">
        <v>224</v>
      </c>
      <c r="AM1252" t="s">
        <v>78</v>
      </c>
      <c r="AN1252" t="s">
        <v>78</v>
      </c>
      <c r="AO1252" t="s">
        <v>78</v>
      </c>
      <c r="AP1252" t="s">
        <v>141</v>
      </c>
      <c r="AQ1252">
        <v>7</v>
      </c>
      <c r="AR1252" t="s">
        <v>123</v>
      </c>
      <c r="AS1252" t="s">
        <v>124</v>
      </c>
      <c r="AT1252" t="s">
        <v>58</v>
      </c>
      <c r="AU1252" t="s">
        <v>68</v>
      </c>
      <c r="AV1252" t="s">
        <v>69</v>
      </c>
      <c r="AW1252" s="1">
        <v>26154</v>
      </c>
      <c r="AX1252">
        <v>2</v>
      </c>
    </row>
    <row r="1253" spans="1:50">
      <c r="A1253">
        <v>223079</v>
      </c>
      <c r="B1253" t="str">
        <f>"046498480"</f>
        <v>046498480</v>
      </c>
      <c r="C1253" t="s">
        <v>50</v>
      </c>
      <c r="D1253" t="s">
        <v>2942</v>
      </c>
      <c r="E1253" t="s">
        <v>513</v>
      </c>
      <c r="F1253" t="s">
        <v>106</v>
      </c>
      <c r="G1253" t="s">
        <v>610</v>
      </c>
      <c r="H1253" t="str">
        <f>"ΑΝΤΙΣΘΕΝΟΥΣ 8 ΗΡΑΚΛΕΙΟΥ"</f>
        <v>ΑΝΤΙΣΘΕΝΟΥΣ 8 ΗΡΑΚΛΕΙΟΥ</v>
      </c>
      <c r="I1253">
        <v>71409</v>
      </c>
      <c r="J1253">
        <v>2810213735</v>
      </c>
      <c r="K1253">
        <v>6936860390</v>
      </c>
      <c r="M1253" t="s">
        <v>2943</v>
      </c>
      <c r="N1253" t="s">
        <v>292</v>
      </c>
      <c r="O1253" t="s">
        <v>293</v>
      </c>
      <c r="R1253" t="s">
        <v>57</v>
      </c>
      <c r="S1253">
        <v>5</v>
      </c>
      <c r="T1253">
        <v>775</v>
      </c>
      <c r="U1253" s="1">
        <v>39680</v>
      </c>
      <c r="V1253" t="s">
        <v>123</v>
      </c>
      <c r="W1253" t="s">
        <v>124</v>
      </c>
      <c r="X1253" t="s">
        <v>58</v>
      </c>
      <c r="Y1253">
        <v>21</v>
      </c>
      <c r="Z1253" t="s">
        <v>59</v>
      </c>
      <c r="AA1253" t="s">
        <v>59</v>
      </c>
      <c r="AB1253" t="s">
        <v>59</v>
      </c>
      <c r="AC1253" t="s">
        <v>59</v>
      </c>
      <c r="AD1253" t="s">
        <v>59</v>
      </c>
      <c r="AF1253" s="1">
        <v>39682</v>
      </c>
      <c r="AG1253" t="s">
        <v>148</v>
      </c>
      <c r="AH1253" t="s">
        <v>149</v>
      </c>
      <c r="AI1253" t="str">
        <f>"1755010"</f>
        <v>1755010</v>
      </c>
      <c r="AJ1253" t="s">
        <v>274</v>
      </c>
      <c r="AK1253">
        <v>2891031124</v>
      </c>
      <c r="AL1253" t="s">
        <v>275</v>
      </c>
      <c r="AM1253" t="s">
        <v>78</v>
      </c>
      <c r="AN1253" t="s">
        <v>276</v>
      </c>
      <c r="AO1253" t="s">
        <v>277</v>
      </c>
      <c r="AP1253" t="s">
        <v>277</v>
      </c>
      <c r="AQ1253">
        <v>17</v>
      </c>
      <c r="AR1253" t="s">
        <v>123</v>
      </c>
      <c r="AS1253" t="s">
        <v>124</v>
      </c>
      <c r="AT1253" t="s">
        <v>58</v>
      </c>
      <c r="AU1253" t="s">
        <v>68</v>
      </c>
      <c r="AV1253" t="s">
        <v>69</v>
      </c>
      <c r="AW1253" s="1">
        <v>25850</v>
      </c>
      <c r="AX1253">
        <v>2</v>
      </c>
    </row>
    <row r="1254" spans="1:50">
      <c r="A1254">
        <v>219823</v>
      </c>
      <c r="B1254" t="str">
        <f>"118407075"</f>
        <v>118407075</v>
      </c>
      <c r="C1254" t="s">
        <v>105</v>
      </c>
      <c r="D1254" t="s">
        <v>2944</v>
      </c>
      <c r="E1254" t="s">
        <v>309</v>
      </c>
      <c r="F1254" t="s">
        <v>1543</v>
      </c>
      <c r="G1254" t="s">
        <v>2945</v>
      </c>
      <c r="H1254" t="str">
        <f>"Φ.ΑΔΑΜΑΝΤΙΔΟΥ 10-12 "</f>
        <v xml:space="preserve">Φ.ΑΔΑΜΑΝΤΙΔΟΥ 10-12 </v>
      </c>
      <c r="I1254">
        <v>50100</v>
      </c>
      <c r="J1254">
        <v>2461037127</v>
      </c>
      <c r="L1254">
        <v>6945894158</v>
      </c>
      <c r="M1254" t="s">
        <v>2946</v>
      </c>
      <c r="N1254" t="s">
        <v>176</v>
      </c>
      <c r="O1254" t="s">
        <v>177</v>
      </c>
      <c r="R1254" t="s">
        <v>57</v>
      </c>
      <c r="S1254">
        <v>7</v>
      </c>
      <c r="T1254">
        <v>599</v>
      </c>
      <c r="U1254" s="1">
        <v>39310</v>
      </c>
      <c r="V1254" t="s">
        <v>123</v>
      </c>
      <c r="W1254" t="s">
        <v>124</v>
      </c>
      <c r="X1254" t="s">
        <v>58</v>
      </c>
      <c r="Y1254">
        <v>21</v>
      </c>
      <c r="Z1254" t="s">
        <v>59</v>
      </c>
      <c r="AA1254" t="s">
        <v>59</v>
      </c>
      <c r="AB1254" t="s">
        <v>59</v>
      </c>
      <c r="AC1254" t="s">
        <v>59</v>
      </c>
      <c r="AD1254" t="s">
        <v>59</v>
      </c>
      <c r="AF1254" s="1">
        <v>39328</v>
      </c>
      <c r="AG1254" t="s">
        <v>125</v>
      </c>
      <c r="AH1254" t="s">
        <v>126</v>
      </c>
      <c r="AI1254" t="str">
        <f>"1713010"</f>
        <v>1713010</v>
      </c>
      <c r="AJ1254" t="s">
        <v>369</v>
      </c>
      <c r="AK1254">
        <v>2892051686</v>
      </c>
      <c r="AL1254" t="s">
        <v>370</v>
      </c>
      <c r="AM1254" t="s">
        <v>78</v>
      </c>
      <c r="AN1254" t="s">
        <v>242</v>
      </c>
      <c r="AO1254" t="s">
        <v>349</v>
      </c>
      <c r="AP1254" t="s">
        <v>349</v>
      </c>
      <c r="AQ1254">
        <v>35</v>
      </c>
      <c r="AR1254" t="s">
        <v>123</v>
      </c>
      <c r="AS1254" t="s">
        <v>124</v>
      </c>
      <c r="AT1254" t="s">
        <v>58</v>
      </c>
      <c r="AU1254" t="s">
        <v>68</v>
      </c>
      <c r="AV1254" t="s">
        <v>69</v>
      </c>
      <c r="AW1254" s="1">
        <v>28619</v>
      </c>
      <c r="AX1254">
        <v>2</v>
      </c>
    </row>
    <row r="1255" spans="1:50">
      <c r="A1255">
        <v>225065</v>
      </c>
      <c r="B1255" t="str">
        <f>"118801080"</f>
        <v>118801080</v>
      </c>
      <c r="C1255" t="s">
        <v>50</v>
      </c>
      <c r="D1255" t="s">
        <v>2947</v>
      </c>
      <c r="E1255" t="s">
        <v>96</v>
      </c>
      <c r="F1255" t="s">
        <v>459</v>
      </c>
      <c r="G1255" t="s">
        <v>340</v>
      </c>
      <c r="H1255" t="str">
        <f>"ΔΩΔΕΚΑΝΙΣΟΥ 33 ΕΥΟΣΜΟΣ ΘΕΣ/ΚΗΣ"</f>
        <v>ΔΩΔΕΚΑΝΙΣΟΥ 33 ΕΥΟΣΜΟΣ ΘΕΣ/ΚΗΣ</v>
      </c>
      <c r="I1255">
        <v>56226</v>
      </c>
      <c r="J1255">
        <v>2551021372</v>
      </c>
      <c r="K1255">
        <v>6946102830</v>
      </c>
      <c r="L1255">
        <v>2310705779</v>
      </c>
      <c r="M1255" t="s">
        <v>2948</v>
      </c>
      <c r="N1255" t="s">
        <v>176</v>
      </c>
      <c r="O1255" t="s">
        <v>177</v>
      </c>
      <c r="R1255" t="s">
        <v>57</v>
      </c>
      <c r="S1255">
        <v>7</v>
      </c>
      <c r="T1255">
        <v>775</v>
      </c>
      <c r="U1255" s="1">
        <v>39680</v>
      </c>
      <c r="V1255" t="s">
        <v>123</v>
      </c>
      <c r="W1255" t="s">
        <v>124</v>
      </c>
      <c r="X1255" t="s">
        <v>58</v>
      </c>
      <c r="Y1255">
        <v>20</v>
      </c>
      <c r="Z1255" t="s">
        <v>59</v>
      </c>
      <c r="AA1255" t="s">
        <v>59</v>
      </c>
      <c r="AB1255" t="s">
        <v>59</v>
      </c>
      <c r="AC1255" t="s">
        <v>59</v>
      </c>
      <c r="AD1255" t="s">
        <v>59</v>
      </c>
      <c r="AF1255" s="1">
        <v>39685</v>
      </c>
      <c r="AG1255" t="s">
        <v>125</v>
      </c>
      <c r="AH1255" t="s">
        <v>126</v>
      </c>
      <c r="AI1255" t="str">
        <f>"1720010"</f>
        <v>1720010</v>
      </c>
      <c r="AJ1255" t="s">
        <v>2893</v>
      </c>
      <c r="AK1255">
        <v>2893034185</v>
      </c>
      <c r="AL1255" t="s">
        <v>2894</v>
      </c>
      <c r="AM1255" t="s">
        <v>78</v>
      </c>
      <c r="AN1255" t="s">
        <v>405</v>
      </c>
      <c r="AO1255" t="s">
        <v>405</v>
      </c>
      <c r="AP1255" t="s">
        <v>2895</v>
      </c>
      <c r="AQ1255">
        <v>32</v>
      </c>
      <c r="AR1255" t="s">
        <v>123</v>
      </c>
      <c r="AS1255" t="s">
        <v>124</v>
      </c>
      <c r="AT1255" t="s">
        <v>58</v>
      </c>
      <c r="AU1255" t="s">
        <v>68</v>
      </c>
      <c r="AV1255" t="s">
        <v>69</v>
      </c>
      <c r="AW1255" s="1">
        <v>27502</v>
      </c>
      <c r="AX1255">
        <v>2</v>
      </c>
    </row>
    <row r="1256" spans="1:50">
      <c r="B1256" t="str">
        <f>"068214276"</f>
        <v>068214276</v>
      </c>
      <c r="C1256" t="s">
        <v>50</v>
      </c>
      <c r="D1256" t="s">
        <v>2949</v>
      </c>
      <c r="E1256" t="s">
        <v>250</v>
      </c>
      <c r="F1256" t="s">
        <v>84</v>
      </c>
      <c r="G1256" t="s">
        <v>589</v>
      </c>
      <c r="H1256" t="str">
        <f>"ΑΓ.ΒΑΡΒΑΡΑ ΑΓΙΑ ΒΑΡΒΑΡΑ"</f>
        <v>ΑΓ.ΒΑΡΒΑΡΑ ΑΓΙΑ ΒΑΡΒΑΡΑ</v>
      </c>
      <c r="I1256">
        <v>70003</v>
      </c>
      <c r="J1256">
        <v>2894022575</v>
      </c>
      <c r="K1256">
        <v>6907390355</v>
      </c>
      <c r="M1256" t="s">
        <v>2950</v>
      </c>
      <c r="N1256" t="s">
        <v>146</v>
      </c>
      <c r="O1256" t="s">
        <v>147</v>
      </c>
      <c r="R1256" t="s">
        <v>159</v>
      </c>
      <c r="S1256">
        <v>4</v>
      </c>
      <c r="T1256" t="s">
        <v>160</v>
      </c>
      <c r="U1256" s="1">
        <v>43364</v>
      </c>
      <c r="V1256" t="s">
        <v>123</v>
      </c>
      <c r="W1256" t="s">
        <v>124</v>
      </c>
      <c r="X1256" t="s">
        <v>58</v>
      </c>
      <c r="Y1256">
        <v>21</v>
      </c>
      <c r="Z1256" t="s">
        <v>59</v>
      </c>
      <c r="AA1256" t="s">
        <v>59</v>
      </c>
      <c r="AB1256" t="s">
        <v>59</v>
      </c>
      <c r="AC1256" t="s">
        <v>59</v>
      </c>
      <c r="AD1256" t="s">
        <v>59</v>
      </c>
      <c r="AF1256" s="1">
        <v>43367</v>
      </c>
      <c r="AG1256" t="s">
        <v>148</v>
      </c>
      <c r="AH1256" t="s">
        <v>149</v>
      </c>
      <c r="AI1256" t="str">
        <f>"1760010"</f>
        <v>1760010</v>
      </c>
      <c r="AJ1256" t="s">
        <v>701</v>
      </c>
      <c r="AK1256">
        <v>2810711442</v>
      </c>
      <c r="AL1256" t="s">
        <v>702</v>
      </c>
      <c r="AM1256" t="s">
        <v>78</v>
      </c>
      <c r="AN1256" t="s">
        <v>129</v>
      </c>
      <c r="AO1256" t="s">
        <v>597</v>
      </c>
      <c r="AP1256" t="s">
        <v>598</v>
      </c>
      <c r="AQ1256">
        <v>28</v>
      </c>
      <c r="AR1256" t="s">
        <v>123</v>
      </c>
      <c r="AS1256" t="s">
        <v>124</v>
      </c>
      <c r="AT1256" t="s">
        <v>58</v>
      </c>
      <c r="AU1256" t="s">
        <v>164</v>
      </c>
      <c r="AV1256" t="s">
        <v>132</v>
      </c>
      <c r="AW1256" s="1">
        <v>27522</v>
      </c>
      <c r="AX1256">
        <v>2</v>
      </c>
    </row>
    <row r="1257" spans="1:50">
      <c r="A1257">
        <v>145083</v>
      </c>
      <c r="B1257" t="str">
        <f>"103538681"</f>
        <v>103538681</v>
      </c>
      <c r="C1257" t="s">
        <v>50</v>
      </c>
      <c r="D1257" t="s">
        <v>2951</v>
      </c>
      <c r="E1257" t="s">
        <v>396</v>
      </c>
      <c r="F1257" t="s">
        <v>1111</v>
      </c>
      <c r="G1257" t="s">
        <v>250</v>
      </c>
      <c r="H1257" t="str">
        <f>" "</f>
        <v xml:space="preserve"> </v>
      </c>
      <c r="N1257" t="s">
        <v>176</v>
      </c>
      <c r="O1257" t="s">
        <v>177</v>
      </c>
      <c r="R1257" t="s">
        <v>57</v>
      </c>
      <c r="S1257">
        <v>16</v>
      </c>
      <c r="T1257">
        <v>250</v>
      </c>
      <c r="U1257" s="1">
        <v>30900</v>
      </c>
      <c r="V1257" t="s">
        <v>123</v>
      </c>
      <c r="W1257" t="s">
        <v>124</v>
      </c>
      <c r="X1257" t="s">
        <v>58</v>
      </c>
      <c r="Y1257">
        <v>18</v>
      </c>
      <c r="Z1257" t="s">
        <v>59</v>
      </c>
      <c r="AA1257" t="s">
        <v>59</v>
      </c>
      <c r="AB1257" t="s">
        <v>59</v>
      </c>
      <c r="AC1257" t="s">
        <v>59</v>
      </c>
      <c r="AD1257" t="s">
        <v>59</v>
      </c>
      <c r="AF1257" s="1">
        <v>30928</v>
      </c>
      <c r="AG1257" t="s">
        <v>125</v>
      </c>
      <c r="AH1257" t="s">
        <v>126</v>
      </c>
      <c r="AI1257" t="str">
        <f>"1701057"</f>
        <v>1701057</v>
      </c>
      <c r="AJ1257" t="s">
        <v>379</v>
      </c>
      <c r="AK1257">
        <v>2810234488</v>
      </c>
      <c r="AL1257" t="s">
        <v>380</v>
      </c>
      <c r="AM1257" t="s">
        <v>78</v>
      </c>
      <c r="AN1257" t="s">
        <v>78</v>
      </c>
      <c r="AO1257" t="s">
        <v>78</v>
      </c>
      <c r="AP1257" t="s">
        <v>163</v>
      </c>
      <c r="AQ1257">
        <v>8</v>
      </c>
      <c r="AR1257" t="s">
        <v>123</v>
      </c>
      <c r="AS1257" t="s">
        <v>124</v>
      </c>
      <c r="AT1257" t="s">
        <v>58</v>
      </c>
      <c r="AU1257" t="s">
        <v>68</v>
      </c>
      <c r="AV1257" t="s">
        <v>69</v>
      </c>
      <c r="AW1257" s="1">
        <v>22318</v>
      </c>
      <c r="AX1257">
        <v>2</v>
      </c>
    </row>
    <row r="1258" spans="1:50">
      <c r="B1258" t="str">
        <f>"110736872"</f>
        <v>110736872</v>
      </c>
      <c r="C1258" t="s">
        <v>50</v>
      </c>
      <c r="D1258" t="s">
        <v>2951</v>
      </c>
      <c r="E1258" t="s">
        <v>52</v>
      </c>
      <c r="F1258" t="s">
        <v>95</v>
      </c>
      <c r="G1258" t="s">
        <v>950</v>
      </c>
      <c r="H1258" t="str">
        <f>"ΟΥΛΑΦ ΠΑΛΜΕ 31 ΗΡΑΚΛΕΙΟ"</f>
        <v>ΟΥΛΑΦ ΠΑΛΜΕ 31 ΗΡΑΚΛΕΙΟ</v>
      </c>
      <c r="I1258">
        <v>71410</v>
      </c>
      <c r="J1258">
        <v>2810323194</v>
      </c>
      <c r="K1258">
        <v>6932208695</v>
      </c>
      <c r="M1258" t="s">
        <v>2952</v>
      </c>
      <c r="N1258" t="s">
        <v>146</v>
      </c>
      <c r="O1258" t="s">
        <v>147</v>
      </c>
      <c r="R1258" t="s">
        <v>159</v>
      </c>
      <c r="S1258">
        <v>4</v>
      </c>
      <c r="T1258" t="s">
        <v>160</v>
      </c>
      <c r="U1258" s="1">
        <v>43364</v>
      </c>
      <c r="V1258" t="s">
        <v>123</v>
      </c>
      <c r="W1258" t="s">
        <v>124</v>
      </c>
      <c r="X1258" t="s">
        <v>58</v>
      </c>
      <c r="Y1258">
        <v>21</v>
      </c>
      <c r="Z1258" t="s">
        <v>59</v>
      </c>
      <c r="AA1258" t="s">
        <v>59</v>
      </c>
      <c r="AB1258" t="s">
        <v>59</v>
      </c>
      <c r="AC1258" t="s">
        <v>59</v>
      </c>
      <c r="AD1258" t="s">
        <v>59</v>
      </c>
      <c r="AF1258" s="1">
        <v>43367</v>
      </c>
      <c r="AG1258" t="s">
        <v>125</v>
      </c>
      <c r="AH1258" t="s">
        <v>126</v>
      </c>
      <c r="AI1258" t="str">
        <f>"1705010"</f>
        <v>1705010</v>
      </c>
      <c r="AJ1258" t="s">
        <v>2311</v>
      </c>
      <c r="AK1258">
        <v>2891031232</v>
      </c>
      <c r="AL1258" t="s">
        <v>2312</v>
      </c>
      <c r="AM1258" t="s">
        <v>78</v>
      </c>
      <c r="AN1258" t="s">
        <v>276</v>
      </c>
      <c r="AO1258" t="s">
        <v>277</v>
      </c>
      <c r="AP1258" t="s">
        <v>277</v>
      </c>
      <c r="AQ1258">
        <v>17</v>
      </c>
      <c r="AR1258" t="s">
        <v>123</v>
      </c>
      <c r="AS1258" t="s">
        <v>124</v>
      </c>
      <c r="AT1258" t="s">
        <v>58</v>
      </c>
      <c r="AU1258" t="s">
        <v>164</v>
      </c>
      <c r="AV1258" t="s">
        <v>132</v>
      </c>
      <c r="AW1258" s="1">
        <v>24890</v>
      </c>
      <c r="AX1258">
        <v>2</v>
      </c>
    </row>
    <row r="1259" spans="1:50">
      <c r="A1259">
        <v>193776</v>
      </c>
      <c r="B1259" t="str">
        <f>"030964506"</f>
        <v>030964506</v>
      </c>
      <c r="C1259" t="s">
        <v>105</v>
      </c>
      <c r="D1259" t="s">
        <v>2953</v>
      </c>
      <c r="E1259" t="s">
        <v>72</v>
      </c>
      <c r="F1259" t="s">
        <v>92</v>
      </c>
      <c r="G1259" t="s">
        <v>255</v>
      </c>
      <c r="H1259" t="str">
        <f>" "</f>
        <v xml:space="preserve"> </v>
      </c>
      <c r="J1259">
        <v>2810324825</v>
      </c>
      <c r="L1259">
        <v>2810240121</v>
      </c>
      <c r="N1259" t="s">
        <v>1647</v>
      </c>
      <c r="O1259" t="s">
        <v>1648</v>
      </c>
      <c r="R1259" t="s">
        <v>57</v>
      </c>
      <c r="S1259">
        <v>11</v>
      </c>
      <c r="T1259">
        <v>193</v>
      </c>
      <c r="U1259" s="1">
        <v>37497</v>
      </c>
      <c r="V1259" t="s">
        <v>123</v>
      </c>
      <c r="W1259" t="s">
        <v>124</v>
      </c>
      <c r="X1259" t="s">
        <v>58</v>
      </c>
      <c r="Y1259">
        <v>18</v>
      </c>
      <c r="Z1259" t="s">
        <v>59</v>
      </c>
      <c r="AA1259" t="s">
        <v>59</v>
      </c>
      <c r="AB1259" t="s">
        <v>59</v>
      </c>
      <c r="AC1259" t="s">
        <v>59</v>
      </c>
      <c r="AD1259" t="s">
        <v>59</v>
      </c>
      <c r="AF1259" s="1">
        <v>37501</v>
      </c>
      <c r="AG1259" t="s">
        <v>125</v>
      </c>
      <c r="AH1259" t="s">
        <v>126</v>
      </c>
      <c r="AI1259" t="str">
        <f>"1727010"</f>
        <v>1727010</v>
      </c>
      <c r="AJ1259" t="s">
        <v>618</v>
      </c>
      <c r="AK1259">
        <v>2810229231</v>
      </c>
      <c r="AL1259" t="s">
        <v>619</v>
      </c>
      <c r="AM1259" t="s">
        <v>78</v>
      </c>
      <c r="AN1259" t="s">
        <v>78</v>
      </c>
      <c r="AO1259" t="s">
        <v>286</v>
      </c>
      <c r="AP1259" t="s">
        <v>286</v>
      </c>
      <c r="AQ1259">
        <v>12</v>
      </c>
      <c r="AR1259" t="s">
        <v>123</v>
      </c>
      <c r="AS1259" t="s">
        <v>124</v>
      </c>
      <c r="AT1259" t="s">
        <v>58</v>
      </c>
      <c r="AU1259" t="s">
        <v>68</v>
      </c>
      <c r="AV1259" t="s">
        <v>357</v>
      </c>
      <c r="AW1259" s="1">
        <v>20271</v>
      </c>
      <c r="AX1259">
        <v>2</v>
      </c>
    </row>
    <row r="1260" spans="1:50">
      <c r="A1260">
        <v>171614</v>
      </c>
      <c r="B1260" t="str">
        <f>"032549853"</f>
        <v>032549853</v>
      </c>
      <c r="C1260" t="s">
        <v>105</v>
      </c>
      <c r="D1260" t="s">
        <v>2954</v>
      </c>
      <c r="E1260" t="s">
        <v>72</v>
      </c>
      <c r="F1260" t="s">
        <v>521</v>
      </c>
      <c r="G1260" t="s">
        <v>52</v>
      </c>
      <c r="H1260" t="str">
        <f>" "</f>
        <v xml:space="preserve"> </v>
      </c>
      <c r="N1260" t="s">
        <v>176</v>
      </c>
      <c r="O1260" t="s">
        <v>177</v>
      </c>
      <c r="R1260" t="s">
        <v>57</v>
      </c>
      <c r="S1260">
        <v>19</v>
      </c>
      <c r="T1260">
        <v>184</v>
      </c>
      <c r="U1260" s="1">
        <v>34941</v>
      </c>
      <c r="V1260" t="s">
        <v>123</v>
      </c>
      <c r="W1260" t="s">
        <v>124</v>
      </c>
      <c r="X1260" t="s">
        <v>58</v>
      </c>
      <c r="Y1260">
        <v>18</v>
      </c>
      <c r="Z1260" t="s">
        <v>59</v>
      </c>
      <c r="AA1260" t="s">
        <v>59</v>
      </c>
      <c r="AB1260" t="s">
        <v>59</v>
      </c>
      <c r="AC1260" t="s">
        <v>59</v>
      </c>
      <c r="AD1260" t="s">
        <v>59</v>
      </c>
      <c r="AF1260" s="1">
        <v>34943</v>
      </c>
      <c r="AG1260" t="s">
        <v>137</v>
      </c>
      <c r="AH1260" t="s">
        <v>138</v>
      </c>
      <c r="AI1260" t="str">
        <f>"1740070"</f>
        <v>1740070</v>
      </c>
      <c r="AJ1260" t="s">
        <v>206</v>
      </c>
      <c r="AK1260">
        <v>2810324880</v>
      </c>
      <c r="AL1260" t="s">
        <v>207</v>
      </c>
      <c r="AM1260" t="s">
        <v>78</v>
      </c>
      <c r="AN1260" t="s">
        <v>78</v>
      </c>
      <c r="AO1260" t="s">
        <v>78</v>
      </c>
      <c r="AP1260" t="s">
        <v>163</v>
      </c>
      <c r="AQ1260">
        <v>9</v>
      </c>
      <c r="AR1260" t="s">
        <v>123</v>
      </c>
      <c r="AS1260" t="s">
        <v>124</v>
      </c>
      <c r="AT1260" t="s">
        <v>58</v>
      </c>
      <c r="AU1260" t="s">
        <v>68</v>
      </c>
      <c r="AV1260" t="s">
        <v>69</v>
      </c>
      <c r="AW1260" s="1">
        <v>20851</v>
      </c>
      <c r="AX1260">
        <v>2</v>
      </c>
    </row>
    <row r="1261" spans="1:50">
      <c r="A1261">
        <v>212267</v>
      </c>
      <c r="B1261" t="str">
        <f>"055293090"</f>
        <v>055293090</v>
      </c>
      <c r="C1261" t="s">
        <v>50</v>
      </c>
      <c r="D1261" t="s">
        <v>2955</v>
      </c>
      <c r="E1261" t="s">
        <v>237</v>
      </c>
      <c r="F1261" t="s">
        <v>154</v>
      </c>
      <c r="G1261" t="s">
        <v>2235</v>
      </c>
      <c r="H1261" t="str">
        <f>" "</f>
        <v xml:space="preserve"> </v>
      </c>
      <c r="J1261">
        <v>2810233277</v>
      </c>
      <c r="K1261">
        <v>6977834512</v>
      </c>
      <c r="M1261" t="s">
        <v>2956</v>
      </c>
      <c r="N1261" t="s">
        <v>146</v>
      </c>
      <c r="O1261" t="s">
        <v>147</v>
      </c>
      <c r="R1261" t="s">
        <v>57</v>
      </c>
      <c r="S1261">
        <v>6</v>
      </c>
      <c r="T1261">
        <v>231</v>
      </c>
      <c r="U1261" s="1">
        <v>38960</v>
      </c>
      <c r="V1261" t="s">
        <v>123</v>
      </c>
      <c r="W1261" t="s">
        <v>124</v>
      </c>
      <c r="X1261" t="s">
        <v>58</v>
      </c>
      <c r="Y1261">
        <v>20</v>
      </c>
      <c r="Z1261" t="s">
        <v>59</v>
      </c>
      <c r="AA1261" t="s">
        <v>59</v>
      </c>
      <c r="AB1261" t="s">
        <v>59</v>
      </c>
      <c r="AC1261" t="s">
        <v>59</v>
      </c>
      <c r="AD1261" t="s">
        <v>59</v>
      </c>
      <c r="AF1261" s="1">
        <v>38961</v>
      </c>
      <c r="AG1261" t="s">
        <v>137</v>
      </c>
      <c r="AH1261" t="s">
        <v>469</v>
      </c>
      <c r="AI1261" t="str">
        <f>"1740200"</f>
        <v>1740200</v>
      </c>
      <c r="AJ1261" t="s">
        <v>470</v>
      </c>
      <c r="AK1261">
        <v>2810320770</v>
      </c>
      <c r="AL1261" t="s">
        <v>471</v>
      </c>
      <c r="AM1261" t="s">
        <v>78</v>
      </c>
      <c r="AN1261" t="s">
        <v>78</v>
      </c>
      <c r="AO1261" t="s">
        <v>78</v>
      </c>
      <c r="AP1261" t="s">
        <v>163</v>
      </c>
      <c r="AQ1261">
        <v>2</v>
      </c>
      <c r="AR1261" t="s">
        <v>123</v>
      </c>
      <c r="AS1261" t="s">
        <v>124</v>
      </c>
      <c r="AT1261" t="s">
        <v>58</v>
      </c>
      <c r="AU1261" t="s">
        <v>68</v>
      </c>
      <c r="AV1261" t="s">
        <v>69</v>
      </c>
      <c r="AW1261" s="1">
        <v>25003</v>
      </c>
      <c r="AX1261">
        <v>2</v>
      </c>
    </row>
    <row r="1262" spans="1:50">
      <c r="A1262">
        <v>199004</v>
      </c>
      <c r="B1262" t="str">
        <f>"074925945"</f>
        <v>074925945</v>
      </c>
      <c r="C1262" t="s">
        <v>105</v>
      </c>
      <c r="D1262" t="s">
        <v>2957</v>
      </c>
      <c r="E1262" t="s">
        <v>99</v>
      </c>
      <c r="F1262" t="s">
        <v>72</v>
      </c>
      <c r="G1262" t="s">
        <v>83</v>
      </c>
      <c r="H1262" t="str">
        <f>"ΜΑΙΑΝΔΡΟΥ 8 ΜΑΣΤΑΜΠΑΣ"</f>
        <v>ΜΑΙΑΝΔΡΟΥ 8 ΜΑΣΤΑΜΠΑΣ</v>
      </c>
      <c r="I1262">
        <v>71305</v>
      </c>
      <c r="J1262">
        <v>2810316008</v>
      </c>
      <c r="K1262">
        <v>6974435123</v>
      </c>
      <c r="M1262" t="s">
        <v>2958</v>
      </c>
      <c r="N1262" t="s">
        <v>257</v>
      </c>
      <c r="O1262" t="s">
        <v>258</v>
      </c>
      <c r="R1262" t="s">
        <v>57</v>
      </c>
      <c r="S1262">
        <v>9</v>
      </c>
      <c r="T1262">
        <v>206</v>
      </c>
      <c r="U1262" s="1">
        <v>37866</v>
      </c>
      <c r="V1262" t="s">
        <v>123</v>
      </c>
      <c r="W1262" t="s">
        <v>124</v>
      </c>
      <c r="X1262" t="s">
        <v>58</v>
      </c>
      <c r="Y1262">
        <v>20</v>
      </c>
      <c r="Z1262" t="s">
        <v>59</v>
      </c>
      <c r="AA1262" t="s">
        <v>59</v>
      </c>
      <c r="AB1262" t="s">
        <v>59</v>
      </c>
      <c r="AC1262" t="s">
        <v>59</v>
      </c>
      <c r="AD1262" t="s">
        <v>59</v>
      </c>
      <c r="AF1262" s="1">
        <v>37866</v>
      </c>
      <c r="AG1262" t="s">
        <v>148</v>
      </c>
      <c r="AH1262" t="s">
        <v>149</v>
      </c>
      <c r="AI1262" t="str">
        <f>"1751051"</f>
        <v>1751051</v>
      </c>
      <c r="AJ1262" t="s">
        <v>259</v>
      </c>
      <c r="AK1262">
        <v>2810251794</v>
      </c>
      <c r="AL1262" t="s">
        <v>260</v>
      </c>
      <c r="AM1262" t="s">
        <v>78</v>
      </c>
      <c r="AN1262" t="s">
        <v>78</v>
      </c>
      <c r="AO1262" t="s">
        <v>78</v>
      </c>
      <c r="AP1262" t="s">
        <v>141</v>
      </c>
      <c r="AQ1262">
        <v>7</v>
      </c>
      <c r="AR1262" t="s">
        <v>123</v>
      </c>
      <c r="AS1262" t="s">
        <v>124</v>
      </c>
      <c r="AT1262" t="s">
        <v>58</v>
      </c>
      <c r="AU1262" t="s">
        <v>68</v>
      </c>
      <c r="AV1262" t="s">
        <v>69</v>
      </c>
      <c r="AW1262" s="1">
        <v>25579</v>
      </c>
      <c r="AX1262">
        <v>2</v>
      </c>
    </row>
    <row r="1263" spans="1:50">
      <c r="A1263">
        <v>208199</v>
      </c>
      <c r="B1263" t="str">
        <f>"055759202"</f>
        <v>055759202</v>
      </c>
      <c r="C1263" t="s">
        <v>105</v>
      </c>
      <c r="D1263" t="s">
        <v>2959</v>
      </c>
      <c r="E1263" t="s">
        <v>2227</v>
      </c>
      <c r="F1263" t="s">
        <v>72</v>
      </c>
      <c r="G1263" t="s">
        <v>964</v>
      </c>
      <c r="H1263" t="str">
        <f>"ΑΓΙΑΣ ΛΑΥΡΑΣ 1 "</f>
        <v xml:space="preserve">ΑΓΙΑΣ ΛΑΥΡΑΣ 1 </v>
      </c>
      <c r="I1263">
        <v>71307</v>
      </c>
      <c r="J1263">
        <v>2810223965</v>
      </c>
      <c r="K1263">
        <v>6936592877</v>
      </c>
      <c r="M1263" t="s">
        <v>2960</v>
      </c>
      <c r="N1263" t="s">
        <v>176</v>
      </c>
      <c r="O1263" t="s">
        <v>177</v>
      </c>
      <c r="R1263" t="s">
        <v>57</v>
      </c>
      <c r="S1263">
        <v>9</v>
      </c>
      <c r="T1263">
        <v>218</v>
      </c>
      <c r="U1263" s="1">
        <v>38596</v>
      </c>
      <c r="V1263" t="s">
        <v>123</v>
      </c>
      <c r="W1263" t="s">
        <v>124</v>
      </c>
      <c r="X1263" t="s">
        <v>58</v>
      </c>
      <c r="Y1263">
        <v>20</v>
      </c>
      <c r="Z1263" t="s">
        <v>59</v>
      </c>
      <c r="AA1263" t="s">
        <v>59</v>
      </c>
      <c r="AB1263" t="s">
        <v>59</v>
      </c>
      <c r="AC1263" t="s">
        <v>59</v>
      </c>
      <c r="AD1263" t="s">
        <v>59</v>
      </c>
      <c r="AF1263" s="1">
        <v>38600</v>
      </c>
      <c r="AG1263" t="s">
        <v>125</v>
      </c>
      <c r="AH1263" t="s">
        <v>126</v>
      </c>
      <c r="AI1263" t="str">
        <f>"1701041"</f>
        <v>1701041</v>
      </c>
      <c r="AJ1263" t="s">
        <v>161</v>
      </c>
      <c r="AK1263">
        <v>2810327052</v>
      </c>
      <c r="AL1263" t="s">
        <v>162</v>
      </c>
      <c r="AM1263" t="s">
        <v>78</v>
      </c>
      <c r="AN1263" t="s">
        <v>78</v>
      </c>
      <c r="AO1263" t="s">
        <v>78</v>
      </c>
      <c r="AP1263" t="s">
        <v>163</v>
      </c>
      <c r="AQ1263">
        <v>5</v>
      </c>
      <c r="AR1263" t="s">
        <v>123</v>
      </c>
      <c r="AS1263" t="s">
        <v>124</v>
      </c>
      <c r="AT1263" t="s">
        <v>58</v>
      </c>
      <c r="AU1263" t="s">
        <v>68</v>
      </c>
      <c r="AV1263" t="s">
        <v>69</v>
      </c>
      <c r="AW1263" s="1">
        <v>25350</v>
      </c>
      <c r="AX1263">
        <v>2</v>
      </c>
    </row>
    <row r="1264" spans="1:50">
      <c r="A1264">
        <v>219980</v>
      </c>
      <c r="B1264" t="str">
        <f>"126101953"</f>
        <v>126101953</v>
      </c>
      <c r="C1264" t="s">
        <v>50</v>
      </c>
      <c r="D1264" t="s">
        <v>2961</v>
      </c>
      <c r="E1264" t="s">
        <v>96</v>
      </c>
      <c r="F1264" t="s">
        <v>95</v>
      </c>
      <c r="G1264" t="s">
        <v>396</v>
      </c>
      <c r="H1264" t="str">
        <f>"Καντιάνα 6 ΗΡΑΚΛΕΙΟ"</f>
        <v>Καντιάνα 6 ΗΡΑΚΛΕΙΟ</v>
      </c>
      <c r="I1264">
        <v>71309</v>
      </c>
      <c r="J1264">
        <v>2810243747</v>
      </c>
      <c r="K1264">
        <v>6936964852</v>
      </c>
      <c r="M1264" t="s">
        <v>2962</v>
      </c>
      <c r="N1264" t="s">
        <v>299</v>
      </c>
      <c r="O1264" t="s">
        <v>300</v>
      </c>
      <c r="R1264" t="s">
        <v>57</v>
      </c>
      <c r="S1264">
        <v>5</v>
      </c>
      <c r="T1264">
        <v>599</v>
      </c>
      <c r="U1264" s="1">
        <v>39310</v>
      </c>
      <c r="V1264" t="s">
        <v>123</v>
      </c>
      <c r="W1264" t="s">
        <v>124</v>
      </c>
      <c r="X1264" t="s">
        <v>58</v>
      </c>
      <c r="Y1264">
        <v>21</v>
      </c>
      <c r="Z1264" t="s">
        <v>59</v>
      </c>
      <c r="AA1264" t="s">
        <v>59</v>
      </c>
      <c r="AB1264" t="s">
        <v>59</v>
      </c>
      <c r="AC1264" t="s">
        <v>59</v>
      </c>
      <c r="AD1264" t="s">
        <v>59</v>
      </c>
      <c r="AF1264" s="1">
        <v>39328</v>
      </c>
      <c r="AG1264" t="s">
        <v>125</v>
      </c>
      <c r="AH1264" t="s">
        <v>126</v>
      </c>
      <c r="AI1264" t="str">
        <f>"1701040"</f>
        <v>1701040</v>
      </c>
      <c r="AJ1264" t="s">
        <v>748</v>
      </c>
      <c r="AK1264">
        <v>2810252459</v>
      </c>
      <c r="AL1264" t="s">
        <v>749</v>
      </c>
      <c r="AM1264" t="s">
        <v>78</v>
      </c>
      <c r="AN1264" t="s">
        <v>78</v>
      </c>
      <c r="AO1264" t="s">
        <v>78</v>
      </c>
      <c r="AP1264" t="s">
        <v>141</v>
      </c>
      <c r="AQ1264">
        <v>3</v>
      </c>
      <c r="AR1264" t="s">
        <v>123</v>
      </c>
      <c r="AS1264" t="s">
        <v>124</v>
      </c>
      <c r="AT1264" t="s">
        <v>58</v>
      </c>
      <c r="AU1264" t="s">
        <v>68</v>
      </c>
      <c r="AV1264" t="s">
        <v>69</v>
      </c>
      <c r="AW1264" s="1">
        <v>30576</v>
      </c>
      <c r="AX1264">
        <v>2</v>
      </c>
    </row>
    <row r="1265" spans="1:50">
      <c r="A1265">
        <v>208200</v>
      </c>
      <c r="B1265" t="str">
        <f>"058326150"</f>
        <v>058326150</v>
      </c>
      <c r="C1265" t="s">
        <v>105</v>
      </c>
      <c r="D1265" t="s">
        <v>2963</v>
      </c>
      <c r="E1265" t="s">
        <v>383</v>
      </c>
      <c r="F1265" t="s">
        <v>95</v>
      </c>
      <c r="G1265" t="s">
        <v>143</v>
      </c>
      <c r="H1265" t="str">
        <f>"ΝΕΟ ΚΑΙΣΑΡΕΙΑΣ 6 Νέα Αμισσός ΔΡΑΜΑ"</f>
        <v>ΝΕΟ ΚΑΙΣΑΡΕΙΑΣ 6 Νέα Αμισσός ΔΡΑΜΑ</v>
      </c>
      <c r="I1265">
        <v>66100</v>
      </c>
      <c r="J1265">
        <v>2521033313</v>
      </c>
      <c r="K1265">
        <v>6936330999</v>
      </c>
      <c r="L1265">
        <v>2521042752</v>
      </c>
      <c r="N1265" t="s">
        <v>176</v>
      </c>
      <c r="O1265" t="s">
        <v>177</v>
      </c>
      <c r="R1265" t="s">
        <v>57</v>
      </c>
      <c r="S1265">
        <v>8</v>
      </c>
      <c r="T1265">
        <v>218</v>
      </c>
      <c r="U1265" s="1">
        <v>38596</v>
      </c>
      <c r="V1265" t="s">
        <v>123</v>
      </c>
      <c r="W1265" t="s">
        <v>124</v>
      </c>
      <c r="X1265" t="s">
        <v>58</v>
      </c>
      <c r="Y1265">
        <v>20</v>
      </c>
      <c r="Z1265" t="s">
        <v>59</v>
      </c>
      <c r="AA1265" t="s">
        <v>59</v>
      </c>
      <c r="AB1265" t="s">
        <v>59</v>
      </c>
      <c r="AC1265" t="s">
        <v>59</v>
      </c>
      <c r="AD1265" t="s">
        <v>59</v>
      </c>
      <c r="AF1265" s="1">
        <v>38600</v>
      </c>
      <c r="AG1265" t="s">
        <v>125</v>
      </c>
      <c r="AH1265" t="s">
        <v>126</v>
      </c>
      <c r="AI1265" t="str">
        <f>"1702010"</f>
        <v>1702010</v>
      </c>
      <c r="AJ1265" t="s">
        <v>604</v>
      </c>
      <c r="AK1265">
        <v>2891022228</v>
      </c>
      <c r="AL1265" t="s">
        <v>605</v>
      </c>
      <c r="AM1265" t="s">
        <v>78</v>
      </c>
      <c r="AN1265" t="s">
        <v>276</v>
      </c>
      <c r="AO1265" t="s">
        <v>490</v>
      </c>
      <c r="AP1265" t="s">
        <v>490</v>
      </c>
      <c r="AQ1265">
        <v>15</v>
      </c>
      <c r="AR1265" t="s">
        <v>123</v>
      </c>
      <c r="AS1265" t="s">
        <v>124</v>
      </c>
      <c r="AT1265" t="s">
        <v>58</v>
      </c>
      <c r="AU1265" t="s">
        <v>68</v>
      </c>
      <c r="AV1265" t="s">
        <v>69</v>
      </c>
      <c r="AW1265" s="1">
        <v>24773</v>
      </c>
      <c r="AX1265">
        <v>2</v>
      </c>
    </row>
    <row r="1266" spans="1:50">
      <c r="A1266">
        <v>227104</v>
      </c>
      <c r="B1266" t="str">
        <f>"100117463"</f>
        <v>100117463</v>
      </c>
      <c r="C1266" t="s">
        <v>50</v>
      </c>
      <c r="D1266" t="s">
        <v>2964</v>
      </c>
      <c r="E1266" t="s">
        <v>263</v>
      </c>
      <c r="F1266" t="s">
        <v>92</v>
      </c>
      <c r="G1266" t="s">
        <v>964</v>
      </c>
      <c r="H1266" t="str">
        <f>"ΣΗΦΑΚΑ 37 ΗΡΑΚΛΕΙΟ"</f>
        <v>ΣΗΦΑΚΑ 37 ΗΡΑΚΛΕΙΟ</v>
      </c>
      <c r="I1266">
        <v>71306</v>
      </c>
      <c r="J1266">
        <v>2891022531</v>
      </c>
      <c r="K1266">
        <v>6948174866</v>
      </c>
      <c r="L1266">
        <v>2241113050</v>
      </c>
      <c r="M1266" t="s">
        <v>2965</v>
      </c>
      <c r="N1266" t="s">
        <v>292</v>
      </c>
      <c r="O1266" t="s">
        <v>293</v>
      </c>
      <c r="R1266" t="s">
        <v>57</v>
      </c>
      <c r="S1266">
        <v>6</v>
      </c>
      <c r="T1266">
        <v>654</v>
      </c>
      <c r="U1266" s="1">
        <v>40043</v>
      </c>
      <c r="V1266" t="s">
        <v>123</v>
      </c>
      <c r="W1266" t="s">
        <v>124</v>
      </c>
      <c r="X1266" t="s">
        <v>58</v>
      </c>
      <c r="Y1266">
        <v>21</v>
      </c>
      <c r="Z1266" t="s">
        <v>59</v>
      </c>
      <c r="AA1266" t="s">
        <v>59</v>
      </c>
      <c r="AB1266" t="s">
        <v>59</v>
      </c>
      <c r="AC1266" t="s">
        <v>59</v>
      </c>
      <c r="AD1266" t="s">
        <v>59</v>
      </c>
      <c r="AF1266" s="1">
        <v>40045</v>
      </c>
      <c r="AG1266" t="s">
        <v>125</v>
      </c>
      <c r="AH1266" t="s">
        <v>126</v>
      </c>
      <c r="AI1266" t="str">
        <f>"1712010"</f>
        <v>1712010</v>
      </c>
      <c r="AJ1266" t="s">
        <v>525</v>
      </c>
      <c r="AK1266">
        <v>2897061328</v>
      </c>
      <c r="AL1266" t="s">
        <v>526</v>
      </c>
      <c r="AM1266" t="s">
        <v>78</v>
      </c>
      <c r="AN1266" t="s">
        <v>219</v>
      </c>
      <c r="AO1266" t="s">
        <v>527</v>
      </c>
      <c r="AP1266" t="s">
        <v>528</v>
      </c>
      <c r="AQ1266">
        <v>19</v>
      </c>
      <c r="AR1266" t="s">
        <v>123</v>
      </c>
      <c r="AS1266" t="s">
        <v>124</v>
      </c>
      <c r="AT1266" t="s">
        <v>58</v>
      </c>
      <c r="AU1266" t="s">
        <v>68</v>
      </c>
      <c r="AV1266" t="s">
        <v>69</v>
      </c>
      <c r="AW1266" s="1">
        <v>30039</v>
      </c>
      <c r="AX1266">
        <v>2</v>
      </c>
    </row>
    <row r="1267" spans="1:50">
      <c r="A1267">
        <v>194837</v>
      </c>
      <c r="B1267" t="str">
        <f>"100616934"</f>
        <v>100616934</v>
      </c>
      <c r="C1267" t="s">
        <v>50</v>
      </c>
      <c r="D1267" t="s">
        <v>2966</v>
      </c>
      <c r="E1267" t="s">
        <v>237</v>
      </c>
      <c r="F1267" t="s">
        <v>72</v>
      </c>
      <c r="G1267" t="s">
        <v>2967</v>
      </c>
      <c r="H1267" t="str">
        <f>" "</f>
        <v xml:space="preserve"> </v>
      </c>
      <c r="M1267" t="s">
        <v>2968</v>
      </c>
      <c r="N1267" t="s">
        <v>299</v>
      </c>
      <c r="O1267" t="s">
        <v>300</v>
      </c>
      <c r="R1267" t="s">
        <v>57</v>
      </c>
      <c r="S1267">
        <v>12</v>
      </c>
      <c r="T1267">
        <v>193</v>
      </c>
      <c r="U1267" s="1">
        <v>37497</v>
      </c>
      <c r="V1267" t="s">
        <v>123</v>
      </c>
      <c r="W1267" t="s">
        <v>124</v>
      </c>
      <c r="X1267" t="s">
        <v>58</v>
      </c>
      <c r="Y1267">
        <v>18</v>
      </c>
      <c r="Z1267" t="s">
        <v>59</v>
      </c>
      <c r="AA1267" t="s">
        <v>59</v>
      </c>
      <c r="AB1267" t="s">
        <v>59</v>
      </c>
      <c r="AC1267" t="s">
        <v>59</v>
      </c>
      <c r="AD1267" t="s">
        <v>59</v>
      </c>
      <c r="AF1267" s="1">
        <v>37501</v>
      </c>
      <c r="AG1267" t="s">
        <v>137</v>
      </c>
      <c r="AH1267" t="s">
        <v>138</v>
      </c>
      <c r="AI1267" t="str">
        <f>"1740080"</f>
        <v>1740080</v>
      </c>
      <c r="AJ1267" t="s">
        <v>284</v>
      </c>
      <c r="AK1267">
        <v>2810220433</v>
      </c>
      <c r="AL1267" t="s">
        <v>285</v>
      </c>
      <c r="AM1267" t="s">
        <v>78</v>
      </c>
      <c r="AN1267" t="s">
        <v>78</v>
      </c>
      <c r="AO1267" t="s">
        <v>286</v>
      </c>
      <c r="AP1267" t="s">
        <v>286</v>
      </c>
      <c r="AQ1267">
        <v>12</v>
      </c>
      <c r="AR1267" t="s">
        <v>123</v>
      </c>
      <c r="AS1267" t="s">
        <v>124</v>
      </c>
      <c r="AT1267" t="s">
        <v>58</v>
      </c>
      <c r="AU1267" t="s">
        <v>68</v>
      </c>
      <c r="AV1267" t="s">
        <v>69</v>
      </c>
      <c r="AW1267" s="1">
        <v>22761</v>
      </c>
      <c r="AX1267">
        <v>2</v>
      </c>
    </row>
    <row r="1268" spans="1:50">
      <c r="A1268">
        <v>308220</v>
      </c>
      <c r="B1268" t="str">
        <f>"110740025"</f>
        <v>110740025</v>
      </c>
      <c r="C1268" t="s">
        <v>105</v>
      </c>
      <c r="D1268" t="s">
        <v>2969</v>
      </c>
      <c r="E1268" t="s">
        <v>311</v>
      </c>
      <c r="F1268" t="s">
        <v>2970</v>
      </c>
      <c r="G1268" t="s">
        <v>1019</v>
      </c>
      <c r="H1268" t="str">
        <f>"ΑΡΣΙΝΟΗΣ 28 ΗΡΑΚΛΕΙΟ"</f>
        <v>ΑΡΣΙΝΟΗΣ 28 ΗΡΑΚΛΕΙΟ</v>
      </c>
      <c r="I1268">
        <v>71303</v>
      </c>
      <c r="J1268">
        <v>2810310183</v>
      </c>
      <c r="K1268">
        <v>6977969508</v>
      </c>
      <c r="M1268" t="s">
        <v>2971</v>
      </c>
      <c r="N1268" t="s">
        <v>146</v>
      </c>
      <c r="O1268" t="s">
        <v>147</v>
      </c>
      <c r="R1268" t="s">
        <v>57</v>
      </c>
      <c r="S1268">
        <v>6</v>
      </c>
      <c r="T1268">
        <v>862</v>
      </c>
      <c r="U1268" s="1">
        <v>39706</v>
      </c>
      <c r="V1268" t="s">
        <v>123</v>
      </c>
      <c r="W1268" t="s">
        <v>124</v>
      </c>
      <c r="X1268" t="s">
        <v>58</v>
      </c>
      <c r="Y1268">
        <v>21</v>
      </c>
      <c r="Z1268" t="s">
        <v>59</v>
      </c>
      <c r="AA1268" t="s">
        <v>59</v>
      </c>
      <c r="AB1268" t="s">
        <v>59</v>
      </c>
      <c r="AC1268" t="s">
        <v>59</v>
      </c>
      <c r="AD1268" t="s">
        <v>59</v>
      </c>
      <c r="AF1268" s="1">
        <v>39710</v>
      </c>
      <c r="AG1268" t="s">
        <v>125</v>
      </c>
      <c r="AH1268" t="s">
        <v>126</v>
      </c>
      <c r="AI1268" t="str">
        <f>"1727010"</f>
        <v>1727010</v>
      </c>
      <c r="AJ1268" t="s">
        <v>618</v>
      </c>
      <c r="AK1268">
        <v>2810229231</v>
      </c>
      <c r="AL1268" t="s">
        <v>619</v>
      </c>
      <c r="AM1268" t="s">
        <v>78</v>
      </c>
      <c r="AN1268" t="s">
        <v>78</v>
      </c>
      <c r="AO1268" t="s">
        <v>286</v>
      </c>
      <c r="AP1268" t="s">
        <v>286</v>
      </c>
      <c r="AQ1268">
        <v>12</v>
      </c>
      <c r="AR1268" t="s">
        <v>123</v>
      </c>
      <c r="AS1268" t="s">
        <v>124</v>
      </c>
      <c r="AT1268" t="s">
        <v>58</v>
      </c>
      <c r="AU1268" t="s">
        <v>68</v>
      </c>
      <c r="AV1268" t="s">
        <v>69</v>
      </c>
      <c r="AW1268" s="1">
        <v>26967</v>
      </c>
      <c r="AX1268">
        <v>2</v>
      </c>
    </row>
    <row r="1269" spans="1:50">
      <c r="A1269">
        <v>219114</v>
      </c>
      <c r="B1269" t="str">
        <f>"125003821"</f>
        <v>125003821</v>
      </c>
      <c r="C1269" t="s">
        <v>50</v>
      </c>
      <c r="D1269" t="s">
        <v>2972</v>
      </c>
      <c r="E1269" t="s">
        <v>2973</v>
      </c>
      <c r="F1269" t="s">
        <v>965</v>
      </c>
      <c r="G1269" t="s">
        <v>52</v>
      </c>
      <c r="H1269" t="str">
        <f>"ΑΥΡΑΣ 7 ΕΚΑΛΗ -ΑΘΗΝΑ"</f>
        <v>ΑΥΡΑΣ 7 ΕΚΑΛΗ -ΑΘΗΝΑ</v>
      </c>
      <c r="J1269">
        <v>2106229695</v>
      </c>
      <c r="K1269">
        <v>6937261468</v>
      </c>
      <c r="M1269" t="s">
        <v>2974</v>
      </c>
      <c r="N1269" t="s">
        <v>478</v>
      </c>
      <c r="O1269" t="s">
        <v>479</v>
      </c>
      <c r="R1269" t="s">
        <v>57</v>
      </c>
      <c r="S1269">
        <v>7</v>
      </c>
      <c r="T1269">
        <v>599</v>
      </c>
      <c r="U1269" s="1">
        <v>39310</v>
      </c>
      <c r="V1269" t="s">
        <v>123</v>
      </c>
      <c r="W1269" t="s">
        <v>124</v>
      </c>
      <c r="X1269" t="s">
        <v>58</v>
      </c>
      <c r="Y1269">
        <v>21</v>
      </c>
      <c r="Z1269" t="s">
        <v>59</v>
      </c>
      <c r="AA1269" t="s">
        <v>59</v>
      </c>
      <c r="AB1269" t="s">
        <v>59</v>
      </c>
      <c r="AC1269" t="s">
        <v>59</v>
      </c>
      <c r="AD1269" t="s">
        <v>59</v>
      </c>
      <c r="AF1269" s="1">
        <v>39330</v>
      </c>
      <c r="AG1269" t="s">
        <v>125</v>
      </c>
      <c r="AH1269" t="s">
        <v>126</v>
      </c>
      <c r="AI1269" t="str">
        <f>"1720010"</f>
        <v>1720010</v>
      </c>
      <c r="AJ1269" t="s">
        <v>2893</v>
      </c>
      <c r="AK1269">
        <v>2893034185</v>
      </c>
      <c r="AL1269" t="s">
        <v>2894</v>
      </c>
      <c r="AM1269" t="s">
        <v>78</v>
      </c>
      <c r="AN1269" t="s">
        <v>405</v>
      </c>
      <c r="AO1269" t="s">
        <v>405</v>
      </c>
      <c r="AP1269" t="s">
        <v>2895</v>
      </c>
      <c r="AQ1269">
        <v>32</v>
      </c>
      <c r="AR1269" t="s">
        <v>123</v>
      </c>
      <c r="AS1269" t="s">
        <v>124</v>
      </c>
      <c r="AT1269" t="s">
        <v>58</v>
      </c>
      <c r="AU1269" t="s">
        <v>68</v>
      </c>
      <c r="AV1269" t="s">
        <v>69</v>
      </c>
      <c r="AW1269" s="1">
        <v>29778</v>
      </c>
      <c r="AX1269">
        <v>2</v>
      </c>
    </row>
    <row r="1270" spans="1:50">
      <c r="A1270">
        <v>179568</v>
      </c>
      <c r="B1270" t="str">
        <f>"039767343"</f>
        <v>039767343</v>
      </c>
      <c r="C1270" t="s">
        <v>50</v>
      </c>
      <c r="D1270" t="s">
        <v>2975</v>
      </c>
      <c r="E1270" t="s">
        <v>237</v>
      </c>
      <c r="F1270" t="s">
        <v>920</v>
      </c>
      <c r="G1270" t="s">
        <v>83</v>
      </c>
      <c r="H1270" t="str">
        <f>" "</f>
        <v xml:space="preserve"> </v>
      </c>
      <c r="M1270" t="s">
        <v>2976</v>
      </c>
      <c r="N1270" t="s">
        <v>146</v>
      </c>
      <c r="O1270" t="s">
        <v>147</v>
      </c>
      <c r="R1270" t="s">
        <v>57</v>
      </c>
      <c r="S1270">
        <v>12</v>
      </c>
      <c r="T1270">
        <v>164</v>
      </c>
      <c r="U1270" s="1">
        <v>36040</v>
      </c>
      <c r="V1270" t="s">
        <v>123</v>
      </c>
      <c r="W1270" t="s">
        <v>124</v>
      </c>
      <c r="X1270" t="s">
        <v>58</v>
      </c>
      <c r="Y1270">
        <v>18</v>
      </c>
      <c r="Z1270" t="s">
        <v>59</v>
      </c>
      <c r="AA1270" t="s">
        <v>59</v>
      </c>
      <c r="AB1270" t="s">
        <v>59</v>
      </c>
      <c r="AC1270" t="s">
        <v>59</v>
      </c>
      <c r="AD1270" t="s">
        <v>59</v>
      </c>
      <c r="AF1270" s="1">
        <v>36042</v>
      </c>
      <c r="AG1270" t="s">
        <v>137</v>
      </c>
      <c r="AH1270" t="s">
        <v>138</v>
      </c>
      <c r="AI1270" t="str">
        <f>"1740100"</f>
        <v>1740100</v>
      </c>
      <c r="AJ1270" t="s">
        <v>857</v>
      </c>
      <c r="AK1270">
        <v>2810360741</v>
      </c>
      <c r="AL1270" t="s">
        <v>858</v>
      </c>
      <c r="AM1270" t="s">
        <v>78</v>
      </c>
      <c r="AN1270" t="s">
        <v>78</v>
      </c>
      <c r="AO1270" t="s">
        <v>78</v>
      </c>
      <c r="AP1270" t="s">
        <v>163</v>
      </c>
      <c r="AQ1270">
        <v>5</v>
      </c>
      <c r="AR1270" t="s">
        <v>123</v>
      </c>
      <c r="AS1270" t="s">
        <v>124</v>
      </c>
      <c r="AT1270" t="s">
        <v>58</v>
      </c>
      <c r="AU1270" t="s">
        <v>68</v>
      </c>
      <c r="AV1270" t="s">
        <v>69</v>
      </c>
      <c r="AW1270" s="1">
        <v>24531</v>
      </c>
      <c r="AX1270">
        <v>2</v>
      </c>
    </row>
    <row r="1271" spans="1:50">
      <c r="A1271">
        <v>144157</v>
      </c>
      <c r="B1271" t="str">
        <f>"068135248"</f>
        <v>068135248</v>
      </c>
      <c r="C1271" t="s">
        <v>50</v>
      </c>
      <c r="D1271" t="s">
        <v>2975</v>
      </c>
      <c r="E1271" t="s">
        <v>83</v>
      </c>
      <c r="F1271" t="s">
        <v>72</v>
      </c>
      <c r="G1271" t="s">
        <v>2977</v>
      </c>
      <c r="H1271" t="str">
        <f>"ΣΚΟΥΝΤΗ 3 ΜΟΙΡΕΣ"</f>
        <v>ΣΚΟΥΝΤΗ 3 ΜΟΙΡΕΣ</v>
      </c>
      <c r="I1271">
        <v>70400</v>
      </c>
      <c r="J1271">
        <v>2892024160</v>
      </c>
      <c r="K1271">
        <v>6984870150</v>
      </c>
      <c r="M1271" t="s">
        <v>2978</v>
      </c>
      <c r="N1271" t="s">
        <v>146</v>
      </c>
      <c r="O1271" t="s">
        <v>147</v>
      </c>
      <c r="R1271" t="s">
        <v>57</v>
      </c>
      <c r="S1271">
        <v>18</v>
      </c>
      <c r="T1271">
        <v>262</v>
      </c>
      <c r="U1271" s="1">
        <v>30916</v>
      </c>
      <c r="V1271" t="s">
        <v>123</v>
      </c>
      <c r="W1271" t="s">
        <v>124</v>
      </c>
      <c r="X1271" t="s">
        <v>58</v>
      </c>
      <c r="Y1271">
        <v>18</v>
      </c>
      <c r="Z1271" t="s">
        <v>59</v>
      </c>
      <c r="AA1271" t="s">
        <v>59</v>
      </c>
      <c r="AB1271" t="s">
        <v>59</v>
      </c>
      <c r="AC1271" t="s">
        <v>59</v>
      </c>
      <c r="AD1271" t="s">
        <v>59</v>
      </c>
      <c r="AF1271" s="1">
        <v>30930</v>
      </c>
      <c r="AG1271" t="s">
        <v>125</v>
      </c>
      <c r="AH1271" t="s">
        <v>126</v>
      </c>
      <c r="AI1271" t="str">
        <f>"1706010"</f>
        <v>1706010</v>
      </c>
      <c r="AJ1271" t="s">
        <v>391</v>
      </c>
      <c r="AK1271">
        <v>2892022286</v>
      </c>
      <c r="AL1271" t="s">
        <v>392</v>
      </c>
      <c r="AM1271" t="s">
        <v>78</v>
      </c>
      <c r="AN1271" t="s">
        <v>242</v>
      </c>
      <c r="AO1271" t="s">
        <v>243</v>
      </c>
      <c r="AP1271" t="s">
        <v>243</v>
      </c>
      <c r="AQ1271">
        <v>33</v>
      </c>
      <c r="AR1271" t="s">
        <v>123</v>
      </c>
      <c r="AS1271" t="s">
        <v>124</v>
      </c>
      <c r="AT1271" t="s">
        <v>58</v>
      </c>
      <c r="AU1271" t="s">
        <v>68</v>
      </c>
      <c r="AV1271" t="s">
        <v>69</v>
      </c>
      <c r="AW1271" s="1">
        <v>20861</v>
      </c>
      <c r="AX1271">
        <v>2</v>
      </c>
    </row>
    <row r="1272" spans="1:50">
      <c r="A1272">
        <v>175588</v>
      </c>
      <c r="B1272" t="str">
        <f>"028121784"</f>
        <v>028121784</v>
      </c>
      <c r="C1272" t="s">
        <v>50</v>
      </c>
      <c r="D1272" t="s">
        <v>2975</v>
      </c>
      <c r="E1272" t="s">
        <v>83</v>
      </c>
      <c r="F1272" t="s">
        <v>106</v>
      </c>
      <c r="G1272" t="s">
        <v>93</v>
      </c>
      <c r="H1272" t="str">
        <f>"ΛΥΣΙΜΑΧΟΥ ΚΑΛΟΚΑΙΡΙΝΟΥ  24 ΗΡΑΚΛΕΙΟ"</f>
        <v>ΛΥΣΙΜΑΧΟΥ ΚΑΛΟΚΑΙΡΙΝΟΥ  24 ΗΡΑΚΛΕΙΟ</v>
      </c>
      <c r="I1272">
        <v>71202</v>
      </c>
      <c r="J1272">
        <v>2810341287</v>
      </c>
      <c r="N1272" t="s">
        <v>146</v>
      </c>
      <c r="O1272" t="s">
        <v>147</v>
      </c>
      <c r="R1272" t="s">
        <v>57</v>
      </c>
      <c r="S1272">
        <v>17</v>
      </c>
      <c r="T1272">
        <v>180</v>
      </c>
      <c r="U1272" s="1">
        <v>35674</v>
      </c>
      <c r="V1272" t="s">
        <v>123</v>
      </c>
      <c r="W1272" t="s">
        <v>124</v>
      </c>
      <c r="X1272" t="s">
        <v>58</v>
      </c>
      <c r="Y1272">
        <v>18</v>
      </c>
      <c r="Z1272" t="s">
        <v>59</v>
      </c>
      <c r="AA1272" t="s">
        <v>59</v>
      </c>
      <c r="AB1272" t="s">
        <v>59</v>
      </c>
      <c r="AC1272" t="s">
        <v>59</v>
      </c>
      <c r="AD1272" t="s">
        <v>59</v>
      </c>
      <c r="AF1272" s="1">
        <v>35678</v>
      </c>
      <c r="AG1272" t="s">
        <v>148</v>
      </c>
      <c r="AH1272" t="s">
        <v>149</v>
      </c>
      <c r="AI1272" t="str">
        <f>"1751010"</f>
        <v>1751010</v>
      </c>
      <c r="AJ1272" t="s">
        <v>150</v>
      </c>
      <c r="AK1272">
        <v>2810346092</v>
      </c>
      <c r="AL1272" t="s">
        <v>151</v>
      </c>
      <c r="AM1272" t="s">
        <v>78</v>
      </c>
      <c r="AN1272" t="s">
        <v>78</v>
      </c>
      <c r="AO1272" t="s">
        <v>78</v>
      </c>
      <c r="AP1272" t="s">
        <v>79</v>
      </c>
      <c r="AQ1272">
        <v>1</v>
      </c>
      <c r="AR1272" t="s">
        <v>123</v>
      </c>
      <c r="AS1272" t="s">
        <v>124</v>
      </c>
      <c r="AT1272" t="s">
        <v>58</v>
      </c>
      <c r="AU1272" t="s">
        <v>68</v>
      </c>
      <c r="AV1272" t="s">
        <v>69</v>
      </c>
      <c r="AW1272" s="1">
        <v>24385</v>
      </c>
      <c r="AX1272">
        <v>2</v>
      </c>
    </row>
    <row r="1273" spans="1:50">
      <c r="A1273">
        <v>154010</v>
      </c>
      <c r="B1273" t="str">
        <f>"032377749"</f>
        <v>032377749</v>
      </c>
      <c r="C1273" t="s">
        <v>50</v>
      </c>
      <c r="D1273" t="s">
        <v>2975</v>
      </c>
      <c r="E1273" t="s">
        <v>460</v>
      </c>
      <c r="F1273" t="s">
        <v>949</v>
      </c>
      <c r="G1273" t="s">
        <v>52</v>
      </c>
      <c r="H1273" t="str">
        <f>"ΑΝΑΤ. ΘΡΑΚΗΣ 4 "</f>
        <v xml:space="preserve">ΑΝΑΤ. ΘΡΑΚΗΣ 4 </v>
      </c>
      <c r="I1273">
        <v>71304</v>
      </c>
      <c r="J1273">
        <v>2810210469</v>
      </c>
      <c r="K1273">
        <v>6974948188</v>
      </c>
      <c r="M1273" t="s">
        <v>2979</v>
      </c>
      <c r="N1273" t="s">
        <v>146</v>
      </c>
      <c r="O1273" t="s">
        <v>147</v>
      </c>
      <c r="R1273" t="s">
        <v>57</v>
      </c>
      <c r="S1273">
        <v>16</v>
      </c>
      <c r="T1273">
        <v>161</v>
      </c>
      <c r="U1273" s="1">
        <v>32387</v>
      </c>
      <c r="V1273" t="s">
        <v>123</v>
      </c>
      <c r="W1273" t="s">
        <v>124</v>
      </c>
      <c r="X1273" t="s">
        <v>58</v>
      </c>
      <c r="Y1273">
        <v>18</v>
      </c>
      <c r="Z1273" t="s">
        <v>59</v>
      </c>
      <c r="AA1273" t="s">
        <v>59</v>
      </c>
      <c r="AB1273" t="s">
        <v>59</v>
      </c>
      <c r="AC1273" t="s">
        <v>59</v>
      </c>
      <c r="AD1273" t="s">
        <v>59</v>
      </c>
      <c r="AF1273" s="1">
        <v>32387</v>
      </c>
      <c r="AG1273" t="s">
        <v>125</v>
      </c>
      <c r="AH1273" t="s">
        <v>126</v>
      </c>
      <c r="AI1273" t="str">
        <f>"1701030"</f>
        <v>1701030</v>
      </c>
      <c r="AJ1273" t="s">
        <v>270</v>
      </c>
      <c r="AK1273">
        <v>2810361015</v>
      </c>
      <c r="AL1273" t="s">
        <v>271</v>
      </c>
      <c r="AM1273" t="s">
        <v>78</v>
      </c>
      <c r="AN1273" t="s">
        <v>78</v>
      </c>
      <c r="AO1273" t="s">
        <v>78</v>
      </c>
      <c r="AP1273" t="s">
        <v>163</v>
      </c>
      <c r="AQ1273">
        <v>2</v>
      </c>
      <c r="AR1273" t="s">
        <v>123</v>
      </c>
      <c r="AS1273" t="s">
        <v>124</v>
      </c>
      <c r="AT1273" t="s">
        <v>58</v>
      </c>
      <c r="AU1273" t="s">
        <v>68</v>
      </c>
      <c r="AV1273" t="s">
        <v>69</v>
      </c>
      <c r="AW1273" s="1">
        <v>22470</v>
      </c>
      <c r="AX1273">
        <v>2</v>
      </c>
    </row>
    <row r="1274" spans="1:50">
      <c r="A1274">
        <v>209167</v>
      </c>
      <c r="B1274" t="str">
        <f>"128332996"</f>
        <v>128332996</v>
      </c>
      <c r="C1274" t="s">
        <v>105</v>
      </c>
      <c r="D1274" t="s">
        <v>2980</v>
      </c>
      <c r="E1274" t="s">
        <v>99</v>
      </c>
      <c r="F1274" t="s">
        <v>670</v>
      </c>
      <c r="G1274" t="s">
        <v>610</v>
      </c>
      <c r="H1274" t="str">
        <f>"ΝΙΚΟΛΑΟΥ ΛΕΜΟΝΑΚΗ 34 ΗΡΑΚΛΕΙΟ"</f>
        <v>ΝΙΚΟΛΑΟΥ ΛΕΜΟΝΑΚΗ 34 ΗΡΑΚΛΕΙΟ</v>
      </c>
      <c r="I1274">
        <v>71410</v>
      </c>
      <c r="J1274">
        <v>2810326061</v>
      </c>
      <c r="K1274">
        <v>6979117468</v>
      </c>
      <c r="N1274" t="s">
        <v>204</v>
      </c>
      <c r="O1274" t="s">
        <v>205</v>
      </c>
      <c r="P1274" t="s">
        <v>292</v>
      </c>
      <c r="Q1274" t="s">
        <v>293</v>
      </c>
      <c r="R1274" t="s">
        <v>57</v>
      </c>
      <c r="S1274">
        <v>8</v>
      </c>
      <c r="T1274">
        <v>218</v>
      </c>
      <c r="U1274" s="1">
        <v>38596</v>
      </c>
      <c r="V1274" t="s">
        <v>123</v>
      </c>
      <c r="W1274" t="s">
        <v>124</v>
      </c>
      <c r="X1274" t="s">
        <v>58</v>
      </c>
      <c r="Y1274">
        <v>20</v>
      </c>
      <c r="Z1274" t="s">
        <v>59</v>
      </c>
      <c r="AA1274" t="s">
        <v>59</v>
      </c>
      <c r="AB1274" t="s">
        <v>59</v>
      </c>
      <c r="AC1274" t="s">
        <v>59</v>
      </c>
      <c r="AD1274" t="s">
        <v>59</v>
      </c>
      <c r="AF1274" s="1">
        <v>38600</v>
      </c>
      <c r="AG1274" t="s">
        <v>137</v>
      </c>
      <c r="AH1274" t="s">
        <v>138</v>
      </c>
      <c r="AI1274" t="str">
        <f>"1740210"</f>
        <v>1740210</v>
      </c>
      <c r="AJ1274" t="s">
        <v>139</v>
      </c>
      <c r="AK1274">
        <v>2810318130</v>
      </c>
      <c r="AL1274" t="s">
        <v>140</v>
      </c>
      <c r="AM1274" t="s">
        <v>78</v>
      </c>
      <c r="AN1274" t="s">
        <v>78</v>
      </c>
      <c r="AO1274" t="s">
        <v>78</v>
      </c>
      <c r="AP1274" t="s">
        <v>141</v>
      </c>
      <c r="AQ1274">
        <v>7</v>
      </c>
      <c r="AR1274" t="s">
        <v>123</v>
      </c>
      <c r="AS1274" t="s">
        <v>124</v>
      </c>
      <c r="AT1274" t="s">
        <v>58</v>
      </c>
      <c r="AU1274" t="s">
        <v>68</v>
      </c>
      <c r="AV1274" t="s">
        <v>69</v>
      </c>
      <c r="AW1274" s="1">
        <v>27734</v>
      </c>
      <c r="AX1274">
        <v>2</v>
      </c>
    </row>
    <row r="1275" spans="1:50">
      <c r="B1275" t="str">
        <f>"119690741"</f>
        <v>119690741</v>
      </c>
      <c r="C1275" t="s">
        <v>50</v>
      </c>
      <c r="D1275" t="s">
        <v>2981</v>
      </c>
      <c r="E1275" t="s">
        <v>476</v>
      </c>
      <c r="F1275" t="s">
        <v>84</v>
      </c>
      <c r="G1275" t="s">
        <v>237</v>
      </c>
      <c r="H1275" t="str">
        <f>"ΜΑΥΣΩΛΟΥ 150 "</f>
        <v xml:space="preserve">ΜΑΥΣΩΛΟΥ 150 </v>
      </c>
      <c r="I1275">
        <v>71601</v>
      </c>
      <c r="J1275">
        <v>2810283129</v>
      </c>
      <c r="K1275">
        <v>6947447369</v>
      </c>
      <c r="M1275" t="s">
        <v>2982</v>
      </c>
      <c r="N1275" t="s">
        <v>733</v>
      </c>
      <c r="O1275" t="s">
        <v>734</v>
      </c>
      <c r="R1275" t="s">
        <v>159</v>
      </c>
      <c r="S1275">
        <v>2</v>
      </c>
      <c r="T1275" t="s">
        <v>416</v>
      </c>
      <c r="U1275" s="1">
        <v>43349</v>
      </c>
      <c r="V1275" t="s">
        <v>123</v>
      </c>
      <c r="W1275" t="s">
        <v>124</v>
      </c>
      <c r="X1275" t="s">
        <v>58</v>
      </c>
      <c r="Y1275">
        <v>23</v>
      </c>
      <c r="Z1275" t="s">
        <v>59</v>
      </c>
      <c r="AA1275" t="s">
        <v>59</v>
      </c>
      <c r="AB1275" t="s">
        <v>59</v>
      </c>
      <c r="AC1275" t="s">
        <v>59</v>
      </c>
      <c r="AD1275" t="s">
        <v>59</v>
      </c>
      <c r="AF1275" s="1">
        <v>43349</v>
      </c>
      <c r="AG1275" t="s">
        <v>137</v>
      </c>
      <c r="AH1275" t="s">
        <v>138</v>
      </c>
      <c r="AI1275" t="str">
        <f>"1740310"</f>
        <v>1740310</v>
      </c>
      <c r="AJ1275" t="s">
        <v>488</v>
      </c>
      <c r="AK1275">
        <v>2891024228</v>
      </c>
      <c r="AL1275" t="s">
        <v>489</v>
      </c>
      <c r="AM1275" t="s">
        <v>78</v>
      </c>
      <c r="AN1275" t="s">
        <v>276</v>
      </c>
      <c r="AO1275" t="s">
        <v>490</v>
      </c>
      <c r="AP1275" t="s">
        <v>490</v>
      </c>
      <c r="AQ1275">
        <v>15</v>
      </c>
      <c r="AR1275" t="s">
        <v>123</v>
      </c>
      <c r="AS1275" t="s">
        <v>124</v>
      </c>
      <c r="AT1275" t="s">
        <v>58</v>
      </c>
      <c r="AU1275" t="s">
        <v>419</v>
      </c>
      <c r="AV1275" t="s">
        <v>132</v>
      </c>
      <c r="AW1275" s="1">
        <v>27933</v>
      </c>
      <c r="AX1275">
        <v>2</v>
      </c>
    </row>
    <row r="1276" spans="1:50">
      <c r="B1276" t="str">
        <f>"123155845"</f>
        <v>123155845</v>
      </c>
      <c r="C1276" t="s">
        <v>50</v>
      </c>
      <c r="D1276" t="s">
        <v>2983</v>
      </c>
      <c r="E1276" t="s">
        <v>52</v>
      </c>
      <c r="F1276" t="s">
        <v>1651</v>
      </c>
      <c r="G1276" t="s">
        <v>600</v>
      </c>
      <c r="H1276" t="str">
        <f>"ΒΙΣΣΑΡΙΩΝΟΣ 10 ΗΡΑΚΛΕΙΟ"</f>
        <v>ΒΙΣΣΑΡΙΩΝΟΣ 10 ΗΡΑΚΛΕΙΟ</v>
      </c>
      <c r="I1276">
        <v>71410</v>
      </c>
      <c r="J1276">
        <v>2810360136</v>
      </c>
      <c r="K1276">
        <v>6944911864</v>
      </c>
      <c r="N1276" t="s">
        <v>292</v>
      </c>
      <c r="O1276" t="s">
        <v>293</v>
      </c>
      <c r="R1276" t="s">
        <v>159</v>
      </c>
      <c r="S1276">
        <v>4</v>
      </c>
      <c r="T1276" t="s">
        <v>416</v>
      </c>
      <c r="U1276" s="1">
        <v>43349</v>
      </c>
      <c r="V1276" t="s">
        <v>123</v>
      </c>
      <c r="W1276" t="s">
        <v>124</v>
      </c>
      <c r="X1276" t="s">
        <v>58</v>
      </c>
      <c r="Y1276">
        <v>21</v>
      </c>
      <c r="Z1276" t="s">
        <v>59</v>
      </c>
      <c r="AA1276" t="s">
        <v>59</v>
      </c>
      <c r="AB1276" t="s">
        <v>59</v>
      </c>
      <c r="AC1276" t="s">
        <v>59</v>
      </c>
      <c r="AD1276" t="s">
        <v>59</v>
      </c>
      <c r="AF1276" s="1">
        <v>43349</v>
      </c>
      <c r="AG1276" t="s">
        <v>125</v>
      </c>
      <c r="AH1276" t="s">
        <v>294</v>
      </c>
      <c r="AI1276" t="str">
        <f>"1701015"</f>
        <v>1701015</v>
      </c>
      <c r="AJ1276" t="s">
        <v>295</v>
      </c>
      <c r="AK1276">
        <v>2810761696</v>
      </c>
      <c r="AL1276" t="s">
        <v>296</v>
      </c>
      <c r="AM1276" t="s">
        <v>78</v>
      </c>
      <c r="AN1276" t="s">
        <v>219</v>
      </c>
      <c r="AO1276" t="s">
        <v>297</v>
      </c>
      <c r="AP1276" t="s">
        <v>297</v>
      </c>
      <c r="AQ1276">
        <v>10</v>
      </c>
      <c r="AR1276" t="s">
        <v>123</v>
      </c>
      <c r="AS1276" t="s">
        <v>124</v>
      </c>
      <c r="AT1276" t="s">
        <v>58</v>
      </c>
      <c r="AU1276" t="s">
        <v>419</v>
      </c>
      <c r="AV1276" t="s">
        <v>132</v>
      </c>
      <c r="AW1276" s="1">
        <v>27536</v>
      </c>
      <c r="AX1276">
        <v>2</v>
      </c>
    </row>
    <row r="1277" spans="1:50">
      <c r="A1277">
        <v>215193</v>
      </c>
      <c r="B1277" t="str">
        <f>"079991765"</f>
        <v>079991765</v>
      </c>
      <c r="C1277" t="s">
        <v>50</v>
      </c>
      <c r="D1277" t="s">
        <v>2984</v>
      </c>
      <c r="E1277" t="s">
        <v>215</v>
      </c>
      <c r="F1277" t="s">
        <v>72</v>
      </c>
      <c r="G1277" t="s">
        <v>1189</v>
      </c>
      <c r="H1277" t="str">
        <f>" "</f>
        <v xml:space="preserve"> </v>
      </c>
      <c r="J1277">
        <v>2810237393</v>
      </c>
      <c r="K1277">
        <v>6932215313</v>
      </c>
      <c r="M1277" t="s">
        <v>2985</v>
      </c>
      <c r="N1277" t="s">
        <v>1351</v>
      </c>
      <c r="O1277" t="s">
        <v>1352</v>
      </c>
      <c r="R1277" t="s">
        <v>57</v>
      </c>
      <c r="S1277">
        <v>8</v>
      </c>
      <c r="T1277">
        <v>231</v>
      </c>
      <c r="U1277" s="1">
        <v>38960</v>
      </c>
      <c r="V1277" t="s">
        <v>123</v>
      </c>
      <c r="W1277" t="s">
        <v>124</v>
      </c>
      <c r="X1277" t="s">
        <v>58</v>
      </c>
      <c r="Y1277">
        <v>20</v>
      </c>
      <c r="Z1277" t="s">
        <v>59</v>
      </c>
      <c r="AA1277" t="s">
        <v>59</v>
      </c>
      <c r="AB1277" t="s">
        <v>59</v>
      </c>
      <c r="AC1277" t="s">
        <v>59</v>
      </c>
      <c r="AD1277" t="s">
        <v>59</v>
      </c>
      <c r="AF1277" s="1">
        <v>38961</v>
      </c>
      <c r="AG1277" t="s">
        <v>137</v>
      </c>
      <c r="AH1277" t="s">
        <v>469</v>
      </c>
      <c r="AI1277" t="str">
        <f>"1740200"</f>
        <v>1740200</v>
      </c>
      <c r="AJ1277" t="s">
        <v>470</v>
      </c>
      <c r="AK1277">
        <v>2810320770</v>
      </c>
      <c r="AL1277" t="s">
        <v>471</v>
      </c>
      <c r="AM1277" t="s">
        <v>78</v>
      </c>
      <c r="AN1277" t="s">
        <v>78</v>
      </c>
      <c r="AO1277" t="s">
        <v>78</v>
      </c>
      <c r="AP1277" t="s">
        <v>163</v>
      </c>
      <c r="AQ1277">
        <v>2</v>
      </c>
      <c r="AR1277" t="s">
        <v>123</v>
      </c>
      <c r="AS1277" t="s">
        <v>124</v>
      </c>
      <c r="AT1277" t="s">
        <v>58</v>
      </c>
      <c r="AU1277" t="s">
        <v>68</v>
      </c>
      <c r="AV1277" t="s">
        <v>69</v>
      </c>
      <c r="AW1277" s="1">
        <v>24549</v>
      </c>
      <c r="AX1277">
        <v>2</v>
      </c>
    </row>
    <row r="1278" spans="1:50">
      <c r="A1278">
        <v>212277</v>
      </c>
      <c r="B1278" t="str">
        <f>"053154242"</f>
        <v>053154242</v>
      </c>
      <c r="C1278" t="s">
        <v>105</v>
      </c>
      <c r="D1278" t="s">
        <v>2986</v>
      </c>
      <c r="E1278" t="s">
        <v>377</v>
      </c>
      <c r="F1278" t="s">
        <v>166</v>
      </c>
      <c r="G1278" t="s">
        <v>52</v>
      </c>
      <c r="H1278" t="str">
        <f>"ΙΩΝΙΑΣ 214 ΗΡΑΚΛΕΙΟ"</f>
        <v>ΙΩΝΙΑΣ 214 ΗΡΑΚΛΕΙΟ</v>
      </c>
      <c r="I1278">
        <v>71305</v>
      </c>
      <c r="J1278">
        <v>2810210950</v>
      </c>
      <c r="K1278">
        <v>6976275599</v>
      </c>
      <c r="M1278" t="s">
        <v>2987</v>
      </c>
      <c r="N1278" t="s">
        <v>146</v>
      </c>
      <c r="O1278" t="s">
        <v>147</v>
      </c>
      <c r="R1278" t="s">
        <v>57</v>
      </c>
      <c r="S1278">
        <v>9</v>
      </c>
      <c r="T1278">
        <v>231</v>
      </c>
      <c r="U1278" s="1">
        <v>38960</v>
      </c>
      <c r="V1278" t="s">
        <v>123</v>
      </c>
      <c r="W1278" t="s">
        <v>124</v>
      </c>
      <c r="X1278" t="s">
        <v>58</v>
      </c>
      <c r="Y1278">
        <v>20</v>
      </c>
      <c r="Z1278" t="s">
        <v>59</v>
      </c>
      <c r="AA1278" t="s">
        <v>59</v>
      </c>
      <c r="AB1278" t="s">
        <v>59</v>
      </c>
      <c r="AC1278" t="s">
        <v>59</v>
      </c>
      <c r="AD1278" t="s">
        <v>59</v>
      </c>
      <c r="AF1278" s="1">
        <v>38961</v>
      </c>
      <c r="AG1278" t="s">
        <v>125</v>
      </c>
      <c r="AH1278" t="s">
        <v>126</v>
      </c>
      <c r="AI1278" t="str">
        <f>"1701010"</f>
        <v>1701010</v>
      </c>
      <c r="AJ1278" t="s">
        <v>374</v>
      </c>
      <c r="AK1278">
        <v>2810227148</v>
      </c>
      <c r="AL1278" t="s">
        <v>375</v>
      </c>
      <c r="AM1278" t="s">
        <v>78</v>
      </c>
      <c r="AN1278" t="s">
        <v>78</v>
      </c>
      <c r="AO1278" t="s">
        <v>78</v>
      </c>
      <c r="AP1278" t="s">
        <v>79</v>
      </c>
      <c r="AQ1278">
        <v>1</v>
      </c>
      <c r="AR1278" t="s">
        <v>123</v>
      </c>
      <c r="AS1278" t="s">
        <v>124</v>
      </c>
      <c r="AT1278" t="s">
        <v>58</v>
      </c>
      <c r="AU1278" t="s">
        <v>68</v>
      </c>
      <c r="AV1278" t="s">
        <v>69</v>
      </c>
      <c r="AW1278" s="1">
        <v>25506</v>
      </c>
      <c r="AX1278">
        <v>2</v>
      </c>
    </row>
    <row r="1279" spans="1:50">
      <c r="A1279">
        <v>200035</v>
      </c>
      <c r="B1279" t="str">
        <f>"119650466"</f>
        <v>119650466</v>
      </c>
      <c r="C1279" t="s">
        <v>50</v>
      </c>
      <c r="D1279" t="s">
        <v>2988</v>
      </c>
      <c r="E1279" t="s">
        <v>255</v>
      </c>
      <c r="F1279" t="s">
        <v>53</v>
      </c>
      <c r="G1279" t="s">
        <v>83</v>
      </c>
      <c r="H1279" t="str">
        <f>" "</f>
        <v xml:space="preserve"> </v>
      </c>
      <c r="J1279">
        <v>2810771921</v>
      </c>
      <c r="K1279">
        <v>6937691866</v>
      </c>
      <c r="N1279" t="s">
        <v>204</v>
      </c>
      <c r="O1279" t="s">
        <v>205</v>
      </c>
      <c r="R1279" t="s">
        <v>57</v>
      </c>
      <c r="S1279">
        <v>7</v>
      </c>
      <c r="T1279">
        <v>206</v>
      </c>
      <c r="U1279" s="1">
        <v>37866</v>
      </c>
      <c r="V1279" t="s">
        <v>123</v>
      </c>
      <c r="W1279" t="s">
        <v>124</v>
      </c>
      <c r="X1279" t="s">
        <v>58</v>
      </c>
      <c r="Y1279">
        <v>20</v>
      </c>
      <c r="Z1279" t="s">
        <v>59</v>
      </c>
      <c r="AA1279" t="s">
        <v>59</v>
      </c>
      <c r="AB1279" t="s">
        <v>59</v>
      </c>
      <c r="AC1279" t="s">
        <v>59</v>
      </c>
      <c r="AD1279" t="s">
        <v>59</v>
      </c>
      <c r="AF1279" s="1">
        <v>37866</v>
      </c>
      <c r="AG1279" t="s">
        <v>137</v>
      </c>
      <c r="AH1279" t="s">
        <v>138</v>
      </c>
      <c r="AI1279" t="str">
        <f>"1740070"</f>
        <v>1740070</v>
      </c>
      <c r="AJ1279" t="s">
        <v>206</v>
      </c>
      <c r="AK1279">
        <v>2810324880</v>
      </c>
      <c r="AL1279" t="s">
        <v>207</v>
      </c>
      <c r="AM1279" t="s">
        <v>78</v>
      </c>
      <c r="AN1279" t="s">
        <v>78</v>
      </c>
      <c r="AO1279" t="s">
        <v>78</v>
      </c>
      <c r="AP1279" t="s">
        <v>163</v>
      </c>
      <c r="AQ1279">
        <v>9</v>
      </c>
      <c r="AR1279" t="s">
        <v>123</v>
      </c>
      <c r="AS1279" t="s">
        <v>124</v>
      </c>
      <c r="AT1279" t="s">
        <v>58</v>
      </c>
      <c r="AU1279" t="s">
        <v>68</v>
      </c>
      <c r="AV1279" t="s">
        <v>69</v>
      </c>
      <c r="AW1279" s="1">
        <v>29254</v>
      </c>
      <c r="AX1279">
        <v>2</v>
      </c>
    </row>
    <row r="1280" spans="1:50">
      <c r="A1280">
        <v>149417</v>
      </c>
      <c r="B1280" t="str">
        <f>"034764470"</f>
        <v>034764470</v>
      </c>
      <c r="C1280" t="s">
        <v>50</v>
      </c>
      <c r="D1280" t="s">
        <v>2988</v>
      </c>
      <c r="E1280" t="s">
        <v>1074</v>
      </c>
      <c r="F1280" t="s">
        <v>311</v>
      </c>
      <c r="G1280" t="s">
        <v>181</v>
      </c>
      <c r="H1280" t="str">
        <f>"ΧΡΗΣΤΟΥ ΤΣΟΥΝΤΑ 34 ΗΡΑΚΛΕΙΟ"</f>
        <v>ΧΡΗΣΤΟΥ ΤΣΟΥΝΤΑ 34 ΗΡΑΚΛΕΙΟ</v>
      </c>
      <c r="I1280">
        <v>71307</v>
      </c>
      <c r="J1280">
        <v>2810243183</v>
      </c>
      <c r="K1280">
        <v>6937634283</v>
      </c>
      <c r="N1280" t="s">
        <v>135</v>
      </c>
      <c r="O1280" t="s">
        <v>136</v>
      </c>
      <c r="R1280" t="s">
        <v>57</v>
      </c>
      <c r="S1280">
        <v>17</v>
      </c>
      <c r="T1280">
        <v>205</v>
      </c>
      <c r="U1280" s="1">
        <v>31658</v>
      </c>
      <c r="V1280" t="s">
        <v>123</v>
      </c>
      <c r="W1280" t="s">
        <v>124</v>
      </c>
      <c r="X1280" t="s">
        <v>58</v>
      </c>
      <c r="Y1280">
        <v>18</v>
      </c>
      <c r="Z1280" t="s">
        <v>59</v>
      </c>
      <c r="AA1280" t="s">
        <v>59</v>
      </c>
      <c r="AB1280" t="s">
        <v>59</v>
      </c>
      <c r="AC1280" t="s">
        <v>59</v>
      </c>
      <c r="AD1280" t="s">
        <v>59</v>
      </c>
      <c r="AF1280" s="1">
        <v>31667</v>
      </c>
      <c r="AG1280" t="s">
        <v>148</v>
      </c>
      <c r="AH1280" t="s">
        <v>149</v>
      </c>
      <c r="AI1280" t="str">
        <f>"1751042"</f>
        <v>1751042</v>
      </c>
      <c r="AJ1280" t="s">
        <v>959</v>
      </c>
      <c r="AK1280">
        <v>2810220685</v>
      </c>
      <c r="AL1280" t="s">
        <v>960</v>
      </c>
      <c r="AM1280" t="s">
        <v>78</v>
      </c>
      <c r="AN1280" t="s">
        <v>78</v>
      </c>
      <c r="AO1280" t="s">
        <v>78</v>
      </c>
      <c r="AP1280" t="s">
        <v>213</v>
      </c>
      <c r="AQ1280">
        <v>6</v>
      </c>
      <c r="AR1280" t="s">
        <v>123</v>
      </c>
      <c r="AS1280" t="s">
        <v>124</v>
      </c>
      <c r="AT1280" t="s">
        <v>58</v>
      </c>
      <c r="AU1280" t="s">
        <v>68</v>
      </c>
      <c r="AV1280" t="s">
        <v>69</v>
      </c>
      <c r="AW1280" s="1">
        <v>20037</v>
      </c>
      <c r="AX1280">
        <v>2</v>
      </c>
    </row>
    <row r="1281" spans="1:50">
      <c r="A1281">
        <v>162935</v>
      </c>
      <c r="B1281" t="str">
        <f>"050479842"</f>
        <v>050479842</v>
      </c>
      <c r="C1281" t="s">
        <v>50</v>
      </c>
      <c r="D1281" t="s">
        <v>2989</v>
      </c>
      <c r="E1281" t="s">
        <v>1443</v>
      </c>
      <c r="F1281" t="s">
        <v>2990</v>
      </c>
      <c r="G1281" t="s">
        <v>215</v>
      </c>
      <c r="H1281" t="str">
        <f>"ΝΕΦΕΛΗΣ 43 ΗΡΑΚΛΕΙΟ"</f>
        <v>ΝΕΦΕΛΗΣ 43 ΗΡΑΚΛΕΙΟ</v>
      </c>
      <c r="I1281">
        <v>71409</v>
      </c>
      <c r="J1281">
        <v>2815003755</v>
      </c>
      <c r="K1281">
        <v>6937484964</v>
      </c>
      <c r="N1281" t="s">
        <v>306</v>
      </c>
      <c r="O1281" t="s">
        <v>307</v>
      </c>
      <c r="R1281" t="s">
        <v>57</v>
      </c>
      <c r="S1281">
        <v>13</v>
      </c>
      <c r="T1281">
        <v>132</v>
      </c>
      <c r="U1281" s="1">
        <v>33456</v>
      </c>
      <c r="V1281" t="s">
        <v>123</v>
      </c>
      <c r="W1281" t="s">
        <v>124</v>
      </c>
      <c r="X1281" t="s">
        <v>58</v>
      </c>
      <c r="Y1281">
        <v>18</v>
      </c>
      <c r="Z1281" t="s">
        <v>59</v>
      </c>
      <c r="AA1281" t="s">
        <v>59</v>
      </c>
      <c r="AB1281" t="s">
        <v>59</v>
      </c>
      <c r="AC1281" t="s">
        <v>59</v>
      </c>
      <c r="AD1281" t="s">
        <v>59</v>
      </c>
      <c r="AF1281" s="1">
        <v>33486</v>
      </c>
      <c r="AG1281" t="s">
        <v>137</v>
      </c>
      <c r="AH1281" t="s">
        <v>138</v>
      </c>
      <c r="AI1281" t="str">
        <f>"1750080"</f>
        <v>1750080</v>
      </c>
      <c r="AJ1281" t="s">
        <v>170</v>
      </c>
      <c r="AK1281">
        <v>2810234444</v>
      </c>
      <c r="AL1281" t="s">
        <v>171</v>
      </c>
      <c r="AM1281" t="s">
        <v>78</v>
      </c>
      <c r="AN1281" t="s">
        <v>78</v>
      </c>
      <c r="AO1281" t="s">
        <v>78</v>
      </c>
      <c r="AP1281" t="s">
        <v>163</v>
      </c>
      <c r="AQ1281">
        <v>9</v>
      </c>
      <c r="AR1281" t="s">
        <v>123</v>
      </c>
      <c r="AS1281" t="s">
        <v>124</v>
      </c>
      <c r="AT1281" t="s">
        <v>58</v>
      </c>
      <c r="AU1281" t="s">
        <v>68</v>
      </c>
      <c r="AV1281" t="s">
        <v>69</v>
      </c>
      <c r="AW1281" s="1">
        <v>20799</v>
      </c>
      <c r="AX1281">
        <v>2</v>
      </c>
    </row>
    <row r="1282" spans="1:50">
      <c r="A1282">
        <v>195311</v>
      </c>
      <c r="B1282" t="str">
        <f>"043846853"</f>
        <v>043846853</v>
      </c>
      <c r="C1282" t="s">
        <v>50</v>
      </c>
      <c r="D1282" t="s">
        <v>2991</v>
      </c>
      <c r="E1282" t="s">
        <v>73</v>
      </c>
      <c r="F1282" t="s">
        <v>106</v>
      </c>
      <c r="G1282" t="s">
        <v>742</v>
      </c>
      <c r="H1282" t="str">
        <f>"ΡΟΔΙΑΣ 25 ΜΕΣΑΜΠΕΛΙΕΣ"</f>
        <v>ΡΟΔΙΑΣ 25 ΜΕΣΑΜΠΕΛΙΕΣ</v>
      </c>
      <c r="J1282">
        <v>2810213972</v>
      </c>
      <c r="M1282" t="s">
        <v>2992</v>
      </c>
      <c r="N1282" t="s">
        <v>146</v>
      </c>
      <c r="O1282" t="s">
        <v>147</v>
      </c>
      <c r="R1282" t="s">
        <v>57</v>
      </c>
      <c r="S1282">
        <v>10</v>
      </c>
      <c r="T1282">
        <v>194</v>
      </c>
      <c r="U1282" s="1">
        <v>37497</v>
      </c>
      <c r="V1282" t="s">
        <v>123</v>
      </c>
      <c r="W1282" t="s">
        <v>124</v>
      </c>
      <c r="X1282" t="s">
        <v>58</v>
      </c>
      <c r="Y1282">
        <v>18</v>
      </c>
      <c r="Z1282" t="s">
        <v>59</v>
      </c>
      <c r="AA1282" t="s">
        <v>59</v>
      </c>
      <c r="AB1282" t="s">
        <v>59</v>
      </c>
      <c r="AC1282" t="s">
        <v>59</v>
      </c>
      <c r="AD1282" t="s">
        <v>59</v>
      </c>
      <c r="AF1282" s="1">
        <v>37501</v>
      </c>
      <c r="AG1282" t="s">
        <v>148</v>
      </c>
      <c r="AH1282" t="s">
        <v>149</v>
      </c>
      <c r="AI1282" t="str">
        <f>"1790100"</f>
        <v>1790100</v>
      </c>
      <c r="AJ1282" t="s">
        <v>252</v>
      </c>
      <c r="AK1282">
        <v>2810234876</v>
      </c>
      <c r="AL1282" t="s">
        <v>253</v>
      </c>
      <c r="AM1282" t="s">
        <v>78</v>
      </c>
      <c r="AN1282" t="s">
        <v>78</v>
      </c>
      <c r="AO1282" t="s">
        <v>78</v>
      </c>
      <c r="AP1282" t="s">
        <v>163</v>
      </c>
      <c r="AQ1282">
        <v>5</v>
      </c>
      <c r="AR1282" t="s">
        <v>123</v>
      </c>
      <c r="AS1282" t="s">
        <v>124</v>
      </c>
      <c r="AT1282" t="s">
        <v>58</v>
      </c>
      <c r="AU1282" t="s">
        <v>68</v>
      </c>
      <c r="AV1282" t="s">
        <v>69</v>
      </c>
      <c r="AW1282" s="1">
        <v>24642</v>
      </c>
      <c r="AX1282">
        <v>2</v>
      </c>
    </row>
    <row r="1283" spans="1:50">
      <c r="A1283">
        <v>229714</v>
      </c>
      <c r="B1283" t="str">
        <f>"110714161"</f>
        <v>110714161</v>
      </c>
      <c r="C1283" t="s">
        <v>105</v>
      </c>
      <c r="D1283" t="s">
        <v>2993</v>
      </c>
      <c r="E1283" t="s">
        <v>311</v>
      </c>
      <c r="F1283" t="s">
        <v>1229</v>
      </c>
      <c r="G1283" t="s">
        <v>134</v>
      </c>
      <c r="H1283" t="str">
        <f>"ΚΑΡΑΙΣΚΑΚΗ 7 ΓΑΖΙ ΗΡΑΚΛΕΙΟΥ"</f>
        <v>ΚΑΡΑΙΣΚΑΚΗ 7 ΓΑΖΙ ΗΡΑΚΛΕΙΟΥ</v>
      </c>
      <c r="I1283">
        <v>74114</v>
      </c>
      <c r="K1283">
        <v>6945323852</v>
      </c>
      <c r="L1283">
        <v>6977596977</v>
      </c>
      <c r="M1283" t="s">
        <v>2994</v>
      </c>
      <c r="N1283" t="s">
        <v>907</v>
      </c>
      <c r="O1283" t="s">
        <v>908</v>
      </c>
      <c r="R1283" t="s">
        <v>57</v>
      </c>
      <c r="S1283">
        <v>5</v>
      </c>
      <c r="T1283">
        <v>988</v>
      </c>
      <c r="U1283" s="1">
        <v>40157</v>
      </c>
      <c r="V1283" t="s">
        <v>123</v>
      </c>
      <c r="W1283" t="s">
        <v>124</v>
      </c>
      <c r="X1283" t="s">
        <v>58</v>
      </c>
      <c r="Y1283">
        <v>21</v>
      </c>
      <c r="Z1283" t="s">
        <v>59</v>
      </c>
      <c r="AA1283" t="s">
        <v>59</v>
      </c>
      <c r="AB1283" t="s">
        <v>452</v>
      </c>
      <c r="AC1283" t="s">
        <v>59</v>
      </c>
      <c r="AD1283" t="s">
        <v>59</v>
      </c>
      <c r="AF1283" s="1">
        <v>40161</v>
      </c>
      <c r="AG1283" t="s">
        <v>137</v>
      </c>
      <c r="AH1283" t="s">
        <v>138</v>
      </c>
      <c r="AI1283" t="str">
        <f>"1740070"</f>
        <v>1740070</v>
      </c>
      <c r="AJ1283" t="s">
        <v>206</v>
      </c>
      <c r="AK1283">
        <v>2810324880</v>
      </c>
      <c r="AL1283" t="s">
        <v>207</v>
      </c>
      <c r="AM1283" t="s">
        <v>78</v>
      </c>
      <c r="AN1283" t="s">
        <v>78</v>
      </c>
      <c r="AO1283" t="s">
        <v>78</v>
      </c>
      <c r="AP1283" t="s">
        <v>163</v>
      </c>
      <c r="AQ1283">
        <v>9</v>
      </c>
      <c r="AR1283" t="s">
        <v>123</v>
      </c>
      <c r="AS1283" t="s">
        <v>124</v>
      </c>
      <c r="AT1283" t="s">
        <v>58</v>
      </c>
      <c r="AU1283" t="s">
        <v>68</v>
      </c>
      <c r="AV1283" t="s">
        <v>69</v>
      </c>
      <c r="AW1283" s="1">
        <v>27771</v>
      </c>
      <c r="AX1283">
        <v>2</v>
      </c>
    </row>
    <row r="1284" spans="1:50">
      <c r="A1284">
        <v>229128</v>
      </c>
      <c r="B1284" t="str">
        <f>"066370726"</f>
        <v>066370726</v>
      </c>
      <c r="C1284" t="s">
        <v>50</v>
      </c>
      <c r="D1284" t="s">
        <v>2995</v>
      </c>
      <c r="E1284" t="s">
        <v>255</v>
      </c>
      <c r="F1284" t="s">
        <v>166</v>
      </c>
      <c r="G1284" t="s">
        <v>83</v>
      </c>
      <c r="H1284" t="str">
        <f>"ΙΤΑΝΟΥ 38 ΗΡΑΚΛΕΙΟ"</f>
        <v>ΙΤΑΝΟΥ 38 ΗΡΑΚΛΕΙΟ</v>
      </c>
      <c r="I1284">
        <v>71307</v>
      </c>
      <c r="J1284">
        <v>2810237943</v>
      </c>
      <c r="K1284">
        <v>6936590803</v>
      </c>
      <c r="L1284">
        <v>2810232504</v>
      </c>
      <c r="M1284" t="s">
        <v>2996</v>
      </c>
      <c r="N1284" t="s">
        <v>306</v>
      </c>
      <c r="O1284" t="s">
        <v>307</v>
      </c>
      <c r="R1284" t="s">
        <v>57</v>
      </c>
      <c r="S1284">
        <v>5</v>
      </c>
      <c r="T1284">
        <v>720</v>
      </c>
      <c r="U1284" s="1">
        <v>40059</v>
      </c>
      <c r="V1284" t="s">
        <v>123</v>
      </c>
      <c r="W1284" t="s">
        <v>124</v>
      </c>
      <c r="X1284" t="s">
        <v>58</v>
      </c>
      <c r="Y1284">
        <v>21</v>
      </c>
      <c r="Z1284" t="s">
        <v>59</v>
      </c>
      <c r="AA1284" t="s">
        <v>59</v>
      </c>
      <c r="AB1284" t="s">
        <v>59</v>
      </c>
      <c r="AC1284" t="s">
        <v>59</v>
      </c>
      <c r="AD1284" t="s">
        <v>59</v>
      </c>
      <c r="AF1284" s="1">
        <v>40065</v>
      </c>
      <c r="AG1284" t="s">
        <v>148</v>
      </c>
      <c r="AH1284" t="s">
        <v>149</v>
      </c>
      <c r="AI1284" t="str">
        <f>"1756010"</f>
        <v>1756010</v>
      </c>
      <c r="AJ1284" t="s">
        <v>874</v>
      </c>
      <c r="AK1284">
        <v>2892022976</v>
      </c>
      <c r="AL1284" t="s">
        <v>875</v>
      </c>
      <c r="AM1284" t="s">
        <v>78</v>
      </c>
      <c r="AN1284" t="s">
        <v>242</v>
      </c>
      <c r="AO1284" t="s">
        <v>243</v>
      </c>
      <c r="AP1284" t="s">
        <v>243</v>
      </c>
      <c r="AQ1284">
        <v>33</v>
      </c>
      <c r="AR1284" t="s">
        <v>123</v>
      </c>
      <c r="AS1284" t="s">
        <v>124</v>
      </c>
      <c r="AT1284" t="s">
        <v>58</v>
      </c>
      <c r="AU1284" t="s">
        <v>68</v>
      </c>
      <c r="AV1284" t="s">
        <v>69</v>
      </c>
      <c r="AW1284" s="1">
        <v>28736</v>
      </c>
      <c r="AX1284">
        <v>2</v>
      </c>
    </row>
    <row r="1285" spans="1:50">
      <c r="A1285">
        <v>205445</v>
      </c>
      <c r="B1285" t="str">
        <f>"106666487"</f>
        <v>106666487</v>
      </c>
      <c r="C1285" t="s">
        <v>50</v>
      </c>
      <c r="D1285" t="s">
        <v>2997</v>
      </c>
      <c r="E1285" t="s">
        <v>396</v>
      </c>
      <c r="F1285" t="s">
        <v>670</v>
      </c>
      <c r="G1285" t="s">
        <v>112</v>
      </c>
      <c r="H1285" t="str">
        <f>"ΑΝΘΗΡΟΥ 19  ΠΑΙΑΝΙΑ "</f>
        <v xml:space="preserve">ΑΝΘΗΡΟΥ 19  ΠΑΙΑΝΙΑ </v>
      </c>
      <c r="J1285">
        <v>2102798255</v>
      </c>
      <c r="K1285">
        <v>6938802532</v>
      </c>
      <c r="M1285" t="s">
        <v>2998</v>
      </c>
      <c r="N1285" t="s">
        <v>204</v>
      </c>
      <c r="O1285" t="s">
        <v>205</v>
      </c>
      <c r="R1285" t="s">
        <v>57</v>
      </c>
      <c r="S1285">
        <v>7</v>
      </c>
      <c r="T1285">
        <v>231</v>
      </c>
      <c r="U1285" s="1">
        <v>38230</v>
      </c>
      <c r="V1285" t="s">
        <v>123</v>
      </c>
      <c r="W1285" t="s">
        <v>124</v>
      </c>
      <c r="X1285" t="s">
        <v>58</v>
      </c>
      <c r="Y1285">
        <v>20</v>
      </c>
      <c r="Z1285" t="s">
        <v>59</v>
      </c>
      <c r="AA1285" t="s">
        <v>59</v>
      </c>
      <c r="AB1285" t="s">
        <v>59</v>
      </c>
      <c r="AC1285" t="s">
        <v>59</v>
      </c>
      <c r="AD1285" t="s">
        <v>59</v>
      </c>
      <c r="AF1285" s="1">
        <v>38232</v>
      </c>
      <c r="AG1285" t="s">
        <v>60</v>
      </c>
      <c r="AH1285" t="s">
        <v>453</v>
      </c>
      <c r="AI1285" t="str">
        <f>"1700105"</f>
        <v>1700105</v>
      </c>
      <c r="AJ1285" t="s">
        <v>124</v>
      </c>
      <c r="AK1285">
        <v>2810333720</v>
      </c>
      <c r="AL1285" t="s">
        <v>454</v>
      </c>
      <c r="AM1285" t="s">
        <v>78</v>
      </c>
      <c r="AN1285" t="s">
        <v>78</v>
      </c>
      <c r="AO1285" t="s">
        <v>78</v>
      </c>
      <c r="AP1285" t="s">
        <v>79</v>
      </c>
      <c r="AS1285" t="s">
        <v>124</v>
      </c>
      <c r="AT1285" t="s">
        <v>58</v>
      </c>
      <c r="AU1285" t="s">
        <v>68</v>
      </c>
      <c r="AV1285" t="s">
        <v>455</v>
      </c>
      <c r="AW1285" s="1">
        <v>27738</v>
      </c>
      <c r="AX1285">
        <v>2</v>
      </c>
    </row>
    <row r="1286" spans="1:50">
      <c r="A1286">
        <v>204386</v>
      </c>
      <c r="B1286" t="str">
        <f>"045838812"</f>
        <v>045838812</v>
      </c>
      <c r="C1286" t="s">
        <v>50</v>
      </c>
      <c r="D1286" t="s">
        <v>2999</v>
      </c>
      <c r="E1286" t="s">
        <v>630</v>
      </c>
      <c r="F1286" t="s">
        <v>95</v>
      </c>
      <c r="G1286" t="s">
        <v>2719</v>
      </c>
      <c r="H1286" t="str">
        <f>" "</f>
        <v xml:space="preserve"> </v>
      </c>
      <c r="J1286">
        <v>2810823545</v>
      </c>
      <c r="K1286">
        <v>6977419864</v>
      </c>
      <c r="M1286" t="s">
        <v>3000</v>
      </c>
      <c r="N1286" t="s">
        <v>135</v>
      </c>
      <c r="O1286" t="s">
        <v>136</v>
      </c>
      <c r="R1286" t="s">
        <v>57</v>
      </c>
      <c r="S1286">
        <v>8</v>
      </c>
      <c r="T1286">
        <v>231</v>
      </c>
      <c r="U1286" s="1">
        <v>38230</v>
      </c>
      <c r="V1286" t="s">
        <v>123</v>
      </c>
      <c r="W1286" t="s">
        <v>124</v>
      </c>
      <c r="X1286" t="s">
        <v>58</v>
      </c>
      <c r="Y1286">
        <v>20</v>
      </c>
      <c r="Z1286" t="s">
        <v>59</v>
      </c>
      <c r="AA1286" t="s">
        <v>59</v>
      </c>
      <c r="AB1286" t="s">
        <v>59</v>
      </c>
      <c r="AC1286" t="s">
        <v>59</v>
      </c>
      <c r="AD1286" t="s">
        <v>59</v>
      </c>
      <c r="AF1286" s="1">
        <v>38233</v>
      </c>
      <c r="AG1286" t="s">
        <v>125</v>
      </c>
      <c r="AH1286" t="s">
        <v>126</v>
      </c>
      <c r="AI1286" t="str">
        <f>"1701020"</f>
        <v>1701020</v>
      </c>
      <c r="AJ1286" t="s">
        <v>323</v>
      </c>
      <c r="AK1286">
        <v>2810252111</v>
      </c>
      <c r="AL1286" t="s">
        <v>324</v>
      </c>
      <c r="AM1286" t="s">
        <v>78</v>
      </c>
      <c r="AN1286" t="s">
        <v>78</v>
      </c>
      <c r="AO1286" t="s">
        <v>78</v>
      </c>
      <c r="AP1286" t="s">
        <v>163</v>
      </c>
      <c r="AQ1286">
        <v>3</v>
      </c>
      <c r="AR1286" t="s">
        <v>123</v>
      </c>
      <c r="AS1286" t="s">
        <v>124</v>
      </c>
      <c r="AT1286" t="s">
        <v>58</v>
      </c>
      <c r="AU1286" t="s">
        <v>68</v>
      </c>
      <c r="AV1286" t="s">
        <v>69</v>
      </c>
      <c r="AW1286" s="1">
        <v>26324</v>
      </c>
      <c r="AX1286">
        <v>2</v>
      </c>
    </row>
    <row r="1287" spans="1:50">
      <c r="B1287" t="str">
        <f>"104815164"</f>
        <v>104815164</v>
      </c>
      <c r="C1287" t="s">
        <v>50</v>
      </c>
      <c r="D1287" t="s">
        <v>3001</v>
      </c>
      <c r="E1287" t="s">
        <v>3002</v>
      </c>
      <c r="F1287" t="s">
        <v>99</v>
      </c>
      <c r="G1287" t="s">
        <v>52</v>
      </c>
      <c r="H1287" t="str">
        <f>" "</f>
        <v xml:space="preserve"> </v>
      </c>
      <c r="K1287">
        <v>6977319045</v>
      </c>
      <c r="M1287" t="s">
        <v>3003</v>
      </c>
      <c r="N1287" t="s">
        <v>146</v>
      </c>
      <c r="O1287" t="s">
        <v>147</v>
      </c>
      <c r="R1287" t="s">
        <v>159</v>
      </c>
      <c r="S1287">
        <v>2</v>
      </c>
      <c r="T1287" t="s">
        <v>160</v>
      </c>
      <c r="U1287" s="1">
        <v>43364</v>
      </c>
      <c r="V1287" t="s">
        <v>123</v>
      </c>
      <c r="W1287" t="s">
        <v>124</v>
      </c>
      <c r="X1287" t="s">
        <v>58</v>
      </c>
      <c r="Y1287">
        <v>23</v>
      </c>
      <c r="Z1287" t="s">
        <v>59</v>
      </c>
      <c r="AA1287" t="s">
        <v>59</v>
      </c>
      <c r="AB1287" t="s">
        <v>59</v>
      </c>
      <c r="AC1287" t="s">
        <v>59</v>
      </c>
      <c r="AD1287" t="s">
        <v>59</v>
      </c>
      <c r="AF1287" s="1">
        <v>43367</v>
      </c>
      <c r="AG1287" t="s">
        <v>148</v>
      </c>
      <c r="AH1287" t="s">
        <v>149</v>
      </c>
      <c r="AI1287" t="str">
        <f>"1765010"</f>
        <v>1765010</v>
      </c>
      <c r="AJ1287" t="s">
        <v>803</v>
      </c>
      <c r="AK1287">
        <v>2893031093</v>
      </c>
      <c r="AL1287" t="s">
        <v>804</v>
      </c>
      <c r="AM1287" t="s">
        <v>78</v>
      </c>
      <c r="AN1287" t="s">
        <v>405</v>
      </c>
      <c r="AO1287" t="s">
        <v>805</v>
      </c>
      <c r="AP1287" t="s">
        <v>806</v>
      </c>
      <c r="AQ1287">
        <v>25</v>
      </c>
      <c r="AR1287" t="s">
        <v>123</v>
      </c>
      <c r="AS1287" t="s">
        <v>124</v>
      </c>
      <c r="AT1287" t="s">
        <v>58</v>
      </c>
      <c r="AU1287" t="s">
        <v>164</v>
      </c>
      <c r="AV1287" t="s">
        <v>132</v>
      </c>
      <c r="AW1287" s="1">
        <v>28133</v>
      </c>
      <c r="AX1287">
        <v>2</v>
      </c>
    </row>
    <row r="1288" spans="1:50">
      <c r="A1288">
        <v>201790</v>
      </c>
      <c r="B1288" t="str">
        <f>"123191440"</f>
        <v>123191440</v>
      </c>
      <c r="C1288" t="s">
        <v>50</v>
      </c>
      <c r="D1288" t="s">
        <v>3004</v>
      </c>
      <c r="E1288" t="s">
        <v>620</v>
      </c>
      <c r="F1288" t="s">
        <v>646</v>
      </c>
      <c r="G1288" t="s">
        <v>52</v>
      </c>
      <c r="H1288" t="str">
        <f>"ΕΙΛΕΙΘΥΙΑΣ 7  ΗΡΑΚΛΕΙΟ"</f>
        <v>ΕΙΛΕΙΘΥΙΑΣ 7  ΗΡΑΚΛΕΙΟ</v>
      </c>
      <c r="J1288">
        <v>2810230834</v>
      </c>
      <c r="K1288">
        <v>6947838172</v>
      </c>
      <c r="N1288" t="s">
        <v>146</v>
      </c>
      <c r="O1288" t="s">
        <v>147</v>
      </c>
      <c r="R1288" t="s">
        <v>57</v>
      </c>
      <c r="S1288">
        <v>7</v>
      </c>
      <c r="T1288">
        <v>231</v>
      </c>
      <c r="U1288" s="1">
        <v>38230</v>
      </c>
      <c r="V1288" t="s">
        <v>123</v>
      </c>
      <c r="W1288" t="s">
        <v>124</v>
      </c>
      <c r="X1288" t="s">
        <v>58</v>
      </c>
      <c r="Y1288">
        <v>20</v>
      </c>
      <c r="Z1288" t="s">
        <v>59</v>
      </c>
      <c r="AA1288" t="s">
        <v>59</v>
      </c>
      <c r="AB1288" t="s">
        <v>59</v>
      </c>
      <c r="AC1288" t="s">
        <v>59</v>
      </c>
      <c r="AD1288" t="s">
        <v>59</v>
      </c>
      <c r="AF1288" s="1">
        <v>38232</v>
      </c>
      <c r="AG1288" t="s">
        <v>148</v>
      </c>
      <c r="AH1288" t="s">
        <v>149</v>
      </c>
      <c r="AI1288" t="str">
        <f>"1778010"</f>
        <v>1778010</v>
      </c>
      <c r="AJ1288" t="s">
        <v>672</v>
      </c>
      <c r="AK1288">
        <v>2810822455</v>
      </c>
      <c r="AL1288" t="s">
        <v>673</v>
      </c>
      <c r="AM1288" t="s">
        <v>78</v>
      </c>
      <c r="AN1288" t="s">
        <v>129</v>
      </c>
      <c r="AO1288" t="s">
        <v>130</v>
      </c>
      <c r="AP1288" t="s">
        <v>130</v>
      </c>
      <c r="AQ1288">
        <v>36</v>
      </c>
      <c r="AR1288" t="s">
        <v>123</v>
      </c>
      <c r="AS1288" t="s">
        <v>124</v>
      </c>
      <c r="AT1288" t="s">
        <v>58</v>
      </c>
      <c r="AU1288" t="s">
        <v>68</v>
      </c>
      <c r="AV1288" t="s">
        <v>69</v>
      </c>
      <c r="AW1288" s="1">
        <v>25490</v>
      </c>
      <c r="AX1288">
        <v>2</v>
      </c>
    </row>
    <row r="1289" spans="1:50">
      <c r="A1289">
        <v>209173</v>
      </c>
      <c r="B1289" t="str">
        <f>"110738933"</f>
        <v>110738933</v>
      </c>
      <c r="C1289" t="s">
        <v>105</v>
      </c>
      <c r="D1289" t="s">
        <v>3005</v>
      </c>
      <c r="E1289" t="s">
        <v>95</v>
      </c>
      <c r="F1289" t="s">
        <v>1111</v>
      </c>
      <c r="G1289" t="s">
        <v>112</v>
      </c>
      <c r="H1289" t="str">
        <f>"ΤΥΜΠΑΚΙ "</f>
        <v xml:space="preserve">ΤΥΜΠΑΚΙ </v>
      </c>
      <c r="I1289">
        <v>70200</v>
      </c>
      <c r="J1289">
        <v>2892052673</v>
      </c>
      <c r="K1289">
        <v>6944787877</v>
      </c>
      <c r="M1289" t="s">
        <v>3006</v>
      </c>
      <c r="N1289" t="s">
        <v>204</v>
      </c>
      <c r="O1289" t="s">
        <v>205</v>
      </c>
      <c r="R1289" t="s">
        <v>57</v>
      </c>
      <c r="S1289">
        <v>6</v>
      </c>
      <c r="T1289">
        <v>218</v>
      </c>
      <c r="U1289" s="1">
        <v>38596</v>
      </c>
      <c r="V1289" t="s">
        <v>123</v>
      </c>
      <c r="W1289" t="s">
        <v>124</v>
      </c>
      <c r="X1289" t="s">
        <v>58</v>
      </c>
      <c r="Y1289">
        <v>20</v>
      </c>
      <c r="Z1289" t="s">
        <v>59</v>
      </c>
      <c r="AA1289" t="s">
        <v>59</v>
      </c>
      <c r="AB1289" t="s">
        <v>59</v>
      </c>
      <c r="AC1289" t="s">
        <v>59</v>
      </c>
      <c r="AD1289" t="s">
        <v>59</v>
      </c>
      <c r="AF1289" s="1">
        <v>38600</v>
      </c>
      <c r="AG1289" t="s">
        <v>125</v>
      </c>
      <c r="AH1289" t="s">
        <v>126</v>
      </c>
      <c r="AI1289" t="str">
        <f>"1706010"</f>
        <v>1706010</v>
      </c>
      <c r="AJ1289" t="s">
        <v>391</v>
      </c>
      <c r="AK1289">
        <v>2892022286</v>
      </c>
      <c r="AL1289" t="s">
        <v>392</v>
      </c>
      <c r="AM1289" t="s">
        <v>78</v>
      </c>
      <c r="AN1289" t="s">
        <v>242</v>
      </c>
      <c r="AO1289" t="s">
        <v>243</v>
      </c>
      <c r="AP1289" t="s">
        <v>243</v>
      </c>
      <c r="AQ1289">
        <v>33</v>
      </c>
      <c r="AR1289" t="s">
        <v>123</v>
      </c>
      <c r="AS1289" t="s">
        <v>124</v>
      </c>
      <c r="AT1289" t="s">
        <v>58</v>
      </c>
      <c r="AU1289" t="s">
        <v>68</v>
      </c>
      <c r="AV1289" t="s">
        <v>69</v>
      </c>
      <c r="AW1289" s="1">
        <v>28165</v>
      </c>
      <c r="AX1289">
        <v>2</v>
      </c>
    </row>
    <row r="1290" spans="1:50">
      <c r="A1290">
        <v>226702</v>
      </c>
      <c r="B1290" t="str">
        <f>"147157600"</f>
        <v>147157600</v>
      </c>
      <c r="C1290" t="s">
        <v>50</v>
      </c>
      <c r="D1290" t="s">
        <v>3007</v>
      </c>
      <c r="E1290" t="s">
        <v>801</v>
      </c>
      <c r="F1290" t="s">
        <v>95</v>
      </c>
      <c r="G1290" t="s">
        <v>809</v>
      </c>
      <c r="H1290" t="str">
        <f>"28ης ΟΚΤΩΒΡΙΟΥ 36 "</f>
        <v xml:space="preserve">28ης ΟΚΤΩΒΡΙΟΥ 36 </v>
      </c>
      <c r="I1290">
        <v>15235</v>
      </c>
      <c r="J1290">
        <v>2106394569</v>
      </c>
      <c r="K1290">
        <v>6942903691</v>
      </c>
      <c r="N1290" t="s">
        <v>146</v>
      </c>
      <c r="O1290" t="s">
        <v>147</v>
      </c>
      <c r="R1290" t="s">
        <v>57</v>
      </c>
      <c r="S1290">
        <v>4</v>
      </c>
      <c r="T1290">
        <v>654</v>
      </c>
      <c r="U1290" s="1">
        <v>40043</v>
      </c>
      <c r="V1290" t="s">
        <v>123</v>
      </c>
      <c r="W1290" t="s">
        <v>124</v>
      </c>
      <c r="X1290" t="s">
        <v>58</v>
      </c>
      <c r="Y1290">
        <v>21</v>
      </c>
      <c r="Z1290" t="s">
        <v>59</v>
      </c>
      <c r="AA1290" t="s">
        <v>59</v>
      </c>
      <c r="AB1290" t="s">
        <v>59</v>
      </c>
      <c r="AC1290" t="s">
        <v>59</v>
      </c>
      <c r="AD1290" t="s">
        <v>59</v>
      </c>
      <c r="AF1290" s="1">
        <v>40044</v>
      </c>
      <c r="AG1290" t="s">
        <v>125</v>
      </c>
      <c r="AH1290" t="s">
        <v>386</v>
      </c>
      <c r="AI1290" t="str">
        <f>"1741002"</f>
        <v>1741002</v>
      </c>
      <c r="AJ1290" t="s">
        <v>387</v>
      </c>
      <c r="AK1290">
        <v>2810762610</v>
      </c>
      <c r="AL1290" t="s">
        <v>388</v>
      </c>
      <c r="AM1290" t="s">
        <v>78</v>
      </c>
      <c r="AN1290" t="s">
        <v>219</v>
      </c>
      <c r="AO1290" t="s">
        <v>297</v>
      </c>
      <c r="AP1290" t="s">
        <v>297</v>
      </c>
      <c r="AQ1290">
        <v>10</v>
      </c>
      <c r="AR1290" t="s">
        <v>123</v>
      </c>
      <c r="AS1290" t="s">
        <v>124</v>
      </c>
      <c r="AT1290" t="s">
        <v>58</v>
      </c>
      <c r="AU1290" t="s">
        <v>68</v>
      </c>
      <c r="AV1290" t="s">
        <v>69</v>
      </c>
      <c r="AW1290" s="1">
        <v>31392</v>
      </c>
      <c r="AX1290">
        <v>2</v>
      </c>
    </row>
    <row r="1291" spans="1:50">
      <c r="A1291">
        <v>201795</v>
      </c>
      <c r="B1291" t="str">
        <f>"047803531"</f>
        <v>047803531</v>
      </c>
      <c r="C1291" t="s">
        <v>50</v>
      </c>
      <c r="D1291" t="s">
        <v>3008</v>
      </c>
      <c r="E1291" t="s">
        <v>563</v>
      </c>
      <c r="F1291" t="s">
        <v>304</v>
      </c>
      <c r="G1291" t="s">
        <v>71</v>
      </c>
      <c r="H1291" t="str">
        <f>"ΣΤΕΦΑΝΟΥ ΝΙΚΟΛΑΙΔΗ 27 "</f>
        <v xml:space="preserve">ΣΤΕΦΑΝΟΥ ΝΙΚΟΛΑΙΔΗ 27 </v>
      </c>
      <c r="J1291">
        <v>2265029148</v>
      </c>
      <c r="K1291">
        <v>6948205162</v>
      </c>
      <c r="L1291">
        <v>2661032987</v>
      </c>
      <c r="M1291" t="s">
        <v>3009</v>
      </c>
      <c r="N1291" t="s">
        <v>146</v>
      </c>
      <c r="O1291" t="s">
        <v>147</v>
      </c>
      <c r="R1291" t="s">
        <v>57</v>
      </c>
      <c r="S1291">
        <v>6</v>
      </c>
      <c r="T1291">
        <v>231</v>
      </c>
      <c r="U1291" s="1">
        <v>38230</v>
      </c>
      <c r="V1291" t="s">
        <v>123</v>
      </c>
      <c r="W1291" t="s">
        <v>124</v>
      </c>
      <c r="X1291" t="s">
        <v>58</v>
      </c>
      <c r="Y1291">
        <v>20</v>
      </c>
      <c r="Z1291" t="s">
        <v>59</v>
      </c>
      <c r="AA1291" t="s">
        <v>59</v>
      </c>
      <c r="AB1291" t="s">
        <v>59</v>
      </c>
      <c r="AC1291" t="s">
        <v>59</v>
      </c>
      <c r="AD1291" t="s">
        <v>59</v>
      </c>
      <c r="AF1291" s="1">
        <v>38231</v>
      </c>
      <c r="AG1291" t="s">
        <v>125</v>
      </c>
      <c r="AH1291" t="s">
        <v>126</v>
      </c>
      <c r="AI1291" t="str">
        <f>"1701053"</f>
        <v>1701053</v>
      </c>
      <c r="AJ1291" t="s">
        <v>398</v>
      </c>
      <c r="AK1291">
        <v>2810251434</v>
      </c>
      <c r="AL1291" t="s">
        <v>399</v>
      </c>
      <c r="AM1291" t="s">
        <v>78</v>
      </c>
      <c r="AN1291" t="s">
        <v>78</v>
      </c>
      <c r="AO1291" t="s">
        <v>78</v>
      </c>
      <c r="AP1291" t="s">
        <v>141</v>
      </c>
      <c r="AQ1291">
        <v>7</v>
      </c>
      <c r="AR1291" t="s">
        <v>123</v>
      </c>
      <c r="AS1291" t="s">
        <v>124</v>
      </c>
      <c r="AT1291" t="s">
        <v>58</v>
      </c>
      <c r="AU1291" t="s">
        <v>68</v>
      </c>
      <c r="AV1291" t="s">
        <v>69</v>
      </c>
      <c r="AW1291" s="1">
        <v>27671</v>
      </c>
      <c r="AX1291">
        <v>2</v>
      </c>
    </row>
    <row r="1292" spans="1:50">
      <c r="B1292" t="str">
        <f>"064724341"</f>
        <v>064724341</v>
      </c>
      <c r="C1292" t="s">
        <v>50</v>
      </c>
      <c r="D1292" t="s">
        <v>3010</v>
      </c>
      <c r="E1292" t="s">
        <v>3011</v>
      </c>
      <c r="F1292" t="s">
        <v>95</v>
      </c>
      <c r="G1292" t="s">
        <v>52</v>
      </c>
      <c r="H1292" t="str">
        <f>"ΦΙΛΙΠΠΟΥΠΟΛΕΩΣ 49 ΘΕΡΙΣΣΟΣ"</f>
        <v>ΦΙΛΙΠΠΟΥΠΟΛΕΩΣ 49 ΘΕΡΙΣΣΟΣ</v>
      </c>
      <c r="I1292">
        <v>71305</v>
      </c>
      <c r="J1292">
        <v>2811110051</v>
      </c>
      <c r="K1292">
        <v>6936988350</v>
      </c>
      <c r="N1292" t="s">
        <v>135</v>
      </c>
      <c r="O1292" t="s">
        <v>136</v>
      </c>
      <c r="R1292" t="s">
        <v>159</v>
      </c>
      <c r="S1292">
        <v>3</v>
      </c>
      <c r="T1292" t="s">
        <v>416</v>
      </c>
      <c r="U1292" s="1">
        <v>43349</v>
      </c>
      <c r="V1292" t="s">
        <v>123</v>
      </c>
      <c r="W1292" t="s">
        <v>124</v>
      </c>
      <c r="X1292" t="s">
        <v>58</v>
      </c>
      <c r="Y1292">
        <v>23</v>
      </c>
      <c r="Z1292" t="s">
        <v>59</v>
      </c>
      <c r="AA1292" t="s">
        <v>59</v>
      </c>
      <c r="AB1292" t="s">
        <v>59</v>
      </c>
      <c r="AC1292" t="s">
        <v>59</v>
      </c>
      <c r="AD1292" t="s">
        <v>59</v>
      </c>
      <c r="AF1292" s="1">
        <v>43349</v>
      </c>
      <c r="AG1292" t="s">
        <v>137</v>
      </c>
      <c r="AH1292" t="s">
        <v>138</v>
      </c>
      <c r="AI1292" t="str">
        <f>"1740210"</f>
        <v>1740210</v>
      </c>
      <c r="AJ1292" t="s">
        <v>139</v>
      </c>
      <c r="AK1292">
        <v>2810318130</v>
      </c>
      <c r="AL1292" t="s">
        <v>140</v>
      </c>
      <c r="AM1292" t="s">
        <v>78</v>
      </c>
      <c r="AN1292" t="s">
        <v>78</v>
      </c>
      <c r="AO1292" t="s">
        <v>78</v>
      </c>
      <c r="AP1292" t="s">
        <v>141</v>
      </c>
      <c r="AQ1292">
        <v>7</v>
      </c>
      <c r="AR1292" t="s">
        <v>123</v>
      </c>
      <c r="AS1292" t="s">
        <v>124</v>
      </c>
      <c r="AT1292" t="s">
        <v>58</v>
      </c>
      <c r="AU1292" t="s">
        <v>419</v>
      </c>
      <c r="AV1292" t="s">
        <v>132</v>
      </c>
      <c r="AW1292" s="1">
        <v>28861</v>
      </c>
      <c r="AX1292">
        <v>2</v>
      </c>
    </row>
    <row r="1293" spans="1:50">
      <c r="A1293">
        <v>219321</v>
      </c>
      <c r="B1293" t="str">
        <f>"133202324"</f>
        <v>133202324</v>
      </c>
      <c r="C1293" t="s">
        <v>105</v>
      </c>
      <c r="D1293" t="s">
        <v>3012</v>
      </c>
      <c r="E1293" t="s">
        <v>2320</v>
      </c>
      <c r="F1293" t="s">
        <v>309</v>
      </c>
      <c r="G1293" t="s">
        <v>52</v>
      </c>
      <c r="H1293" t="str">
        <f>"ΕΙΡΗΝΗΣ 37 ΗΡΑΚΛΕΙΟ"</f>
        <v>ΕΙΡΗΝΗΣ 37 ΗΡΑΚΛΕΙΟ</v>
      </c>
      <c r="I1293">
        <v>71409</v>
      </c>
      <c r="J1293">
        <v>2810328293</v>
      </c>
      <c r="K1293">
        <v>6942586030</v>
      </c>
      <c r="L1293">
        <v>2810328293</v>
      </c>
      <c r="M1293" t="s">
        <v>3013</v>
      </c>
      <c r="N1293" t="s">
        <v>306</v>
      </c>
      <c r="O1293" t="s">
        <v>307</v>
      </c>
      <c r="R1293" t="s">
        <v>57</v>
      </c>
      <c r="S1293">
        <v>5</v>
      </c>
      <c r="T1293">
        <v>599</v>
      </c>
      <c r="U1293" s="1">
        <v>39310</v>
      </c>
      <c r="V1293" t="s">
        <v>123</v>
      </c>
      <c r="W1293" t="s">
        <v>124</v>
      </c>
      <c r="X1293" t="s">
        <v>58</v>
      </c>
      <c r="Y1293">
        <v>21</v>
      </c>
      <c r="Z1293" t="s">
        <v>59</v>
      </c>
      <c r="AA1293" t="s">
        <v>59</v>
      </c>
      <c r="AB1293" t="s">
        <v>59</v>
      </c>
      <c r="AC1293" t="s">
        <v>59</v>
      </c>
      <c r="AD1293" t="s">
        <v>59</v>
      </c>
      <c r="AF1293" s="1">
        <v>39330</v>
      </c>
      <c r="AG1293" t="s">
        <v>148</v>
      </c>
      <c r="AH1293" t="s">
        <v>149</v>
      </c>
      <c r="AI1293" t="str">
        <f>"1755010"</f>
        <v>1755010</v>
      </c>
      <c r="AJ1293" t="s">
        <v>274</v>
      </c>
      <c r="AK1293">
        <v>2891031124</v>
      </c>
      <c r="AL1293" t="s">
        <v>275</v>
      </c>
      <c r="AM1293" t="s">
        <v>78</v>
      </c>
      <c r="AN1293" t="s">
        <v>276</v>
      </c>
      <c r="AO1293" t="s">
        <v>277</v>
      </c>
      <c r="AP1293" t="s">
        <v>277</v>
      </c>
      <c r="AQ1293">
        <v>17</v>
      </c>
      <c r="AR1293" t="s">
        <v>123</v>
      </c>
      <c r="AS1293" t="s">
        <v>124</v>
      </c>
      <c r="AT1293" t="s">
        <v>58</v>
      </c>
      <c r="AU1293" t="s">
        <v>68</v>
      </c>
      <c r="AV1293" t="s">
        <v>69</v>
      </c>
      <c r="AW1293" s="1">
        <v>28388</v>
      </c>
      <c r="AX1293">
        <v>2</v>
      </c>
    </row>
    <row r="1294" spans="1:50">
      <c r="A1294">
        <v>211268</v>
      </c>
      <c r="B1294" t="str">
        <f>"035301830"</f>
        <v>035301830</v>
      </c>
      <c r="C1294" t="s">
        <v>50</v>
      </c>
      <c r="D1294" t="s">
        <v>3014</v>
      </c>
      <c r="E1294" t="s">
        <v>73</v>
      </c>
      <c r="F1294" t="s">
        <v>72</v>
      </c>
      <c r="G1294" t="s">
        <v>382</v>
      </c>
      <c r="H1294" t="str">
        <f>"ΜΟΝΗΣ ΤΟΠΛΟΥ 7 ΗΡΑΚΛΕΙΟ"</f>
        <v>ΜΟΝΗΣ ΤΟΠΛΟΥ 7 ΗΡΑΚΛΕΙΟ</v>
      </c>
      <c r="I1294">
        <v>71307</v>
      </c>
      <c r="J1294">
        <v>2810313143</v>
      </c>
      <c r="K1294">
        <v>6974045707</v>
      </c>
      <c r="M1294" t="s">
        <v>3015</v>
      </c>
      <c r="N1294" t="s">
        <v>288</v>
      </c>
      <c r="O1294" t="s">
        <v>289</v>
      </c>
      <c r="P1294" t="s">
        <v>331</v>
      </c>
      <c r="Q1294" t="s">
        <v>332</v>
      </c>
      <c r="R1294" t="s">
        <v>57</v>
      </c>
      <c r="S1294">
        <v>9</v>
      </c>
      <c r="T1294">
        <v>299</v>
      </c>
      <c r="U1294" s="1">
        <v>38670</v>
      </c>
      <c r="V1294" t="s">
        <v>123</v>
      </c>
      <c r="W1294" t="s">
        <v>124</v>
      </c>
      <c r="X1294" t="s">
        <v>58</v>
      </c>
      <c r="Y1294">
        <v>20</v>
      </c>
      <c r="Z1294" t="s">
        <v>59</v>
      </c>
      <c r="AA1294" t="s">
        <v>59</v>
      </c>
      <c r="AB1294" t="s">
        <v>59</v>
      </c>
      <c r="AC1294" t="s">
        <v>59</v>
      </c>
      <c r="AD1294" t="s">
        <v>59</v>
      </c>
      <c r="AF1294" s="1">
        <v>38670</v>
      </c>
      <c r="AG1294" t="s">
        <v>125</v>
      </c>
      <c r="AH1294" t="s">
        <v>294</v>
      </c>
      <c r="AI1294" t="str">
        <f>"1701015"</f>
        <v>1701015</v>
      </c>
      <c r="AJ1294" t="s">
        <v>295</v>
      </c>
      <c r="AK1294">
        <v>2810761696</v>
      </c>
      <c r="AL1294" t="s">
        <v>296</v>
      </c>
      <c r="AM1294" t="s">
        <v>78</v>
      </c>
      <c r="AN1294" t="s">
        <v>219</v>
      </c>
      <c r="AO1294" t="s">
        <v>297</v>
      </c>
      <c r="AP1294" t="s">
        <v>297</v>
      </c>
      <c r="AQ1294">
        <v>10</v>
      </c>
      <c r="AR1294" t="s">
        <v>123</v>
      </c>
      <c r="AS1294" t="s">
        <v>124</v>
      </c>
      <c r="AT1294" t="s">
        <v>58</v>
      </c>
      <c r="AU1294" t="s">
        <v>68</v>
      </c>
      <c r="AV1294" t="s">
        <v>69</v>
      </c>
      <c r="AW1294" s="1">
        <v>21608</v>
      </c>
      <c r="AX1294">
        <v>2</v>
      </c>
    </row>
    <row r="1295" spans="1:50">
      <c r="B1295" t="str">
        <f>"064210692"</f>
        <v>064210692</v>
      </c>
      <c r="C1295" t="s">
        <v>50</v>
      </c>
      <c r="D1295" t="s">
        <v>3014</v>
      </c>
      <c r="E1295" t="s">
        <v>1189</v>
      </c>
      <c r="F1295" t="s">
        <v>95</v>
      </c>
      <c r="G1295" t="s">
        <v>52</v>
      </c>
      <c r="H1295" t="str">
        <f>"ΜΙΧΑΗΛ ΒΛΑΧΟΥ 9 "</f>
        <v xml:space="preserve">ΜΙΧΑΗΛ ΒΛΑΧΟΥ 9 </v>
      </c>
      <c r="I1295">
        <v>71305</v>
      </c>
      <c r="J1295">
        <v>2810231491</v>
      </c>
      <c r="K1295">
        <v>6979866579</v>
      </c>
      <c r="M1295" t="s">
        <v>3016</v>
      </c>
      <c r="N1295" t="s">
        <v>246</v>
      </c>
      <c r="O1295" t="s">
        <v>247</v>
      </c>
      <c r="R1295" t="s">
        <v>159</v>
      </c>
      <c r="S1295">
        <v>3</v>
      </c>
      <c r="T1295" t="s">
        <v>160</v>
      </c>
      <c r="U1295" s="1">
        <v>43364</v>
      </c>
      <c r="V1295" t="s">
        <v>123</v>
      </c>
      <c r="W1295" t="s">
        <v>124</v>
      </c>
      <c r="X1295" t="s">
        <v>58</v>
      </c>
      <c r="Y1295">
        <v>21</v>
      </c>
      <c r="Z1295" t="s">
        <v>59</v>
      </c>
      <c r="AA1295" t="s">
        <v>59</v>
      </c>
      <c r="AB1295" t="s">
        <v>59</v>
      </c>
      <c r="AC1295" t="s">
        <v>59</v>
      </c>
      <c r="AD1295" t="s">
        <v>59</v>
      </c>
      <c r="AF1295" s="1">
        <v>43367</v>
      </c>
      <c r="AG1295" t="s">
        <v>148</v>
      </c>
      <c r="AH1295" t="s">
        <v>149</v>
      </c>
      <c r="AI1295" t="str">
        <f>"1751052"</f>
        <v>1751052</v>
      </c>
      <c r="AJ1295" t="s">
        <v>328</v>
      </c>
      <c r="AK1295">
        <v>2810213762</v>
      </c>
      <c r="AL1295" t="s">
        <v>329</v>
      </c>
      <c r="AM1295" t="s">
        <v>78</v>
      </c>
      <c r="AN1295" t="s">
        <v>78</v>
      </c>
      <c r="AO1295" t="s">
        <v>78</v>
      </c>
      <c r="AP1295" t="s">
        <v>163</v>
      </c>
      <c r="AQ1295">
        <v>8</v>
      </c>
      <c r="AR1295" t="s">
        <v>123</v>
      </c>
      <c r="AS1295" t="s">
        <v>124</v>
      </c>
      <c r="AT1295" t="s">
        <v>58</v>
      </c>
      <c r="AU1295" t="s">
        <v>164</v>
      </c>
      <c r="AV1295" t="s">
        <v>132</v>
      </c>
      <c r="AW1295" s="1">
        <v>31784</v>
      </c>
      <c r="AX1295">
        <v>2</v>
      </c>
    </row>
    <row r="1296" spans="1:50">
      <c r="A1296">
        <v>175600</v>
      </c>
      <c r="B1296" t="str">
        <f>"044814379"</f>
        <v>044814379</v>
      </c>
      <c r="C1296" t="s">
        <v>50</v>
      </c>
      <c r="D1296" t="s">
        <v>3014</v>
      </c>
      <c r="E1296" t="s">
        <v>367</v>
      </c>
      <c r="F1296" t="s">
        <v>166</v>
      </c>
      <c r="G1296" t="s">
        <v>52</v>
      </c>
      <c r="H1296" t="str">
        <f>"ΜΟΝΗΣ ΟΔΗΓΗΤΡΙΑΣ 9 ΗΡΑΚΛΕΙΟ"</f>
        <v>ΜΟΝΗΣ ΟΔΗΓΗΤΡΙΑΣ 9 ΗΡΑΚΛΕΙΟ</v>
      </c>
      <c r="I1296">
        <v>71201</v>
      </c>
      <c r="J1296">
        <v>2810285046</v>
      </c>
      <c r="K1296">
        <v>6977512835</v>
      </c>
      <c r="N1296" t="s">
        <v>146</v>
      </c>
      <c r="O1296" t="s">
        <v>147</v>
      </c>
      <c r="R1296" t="s">
        <v>57</v>
      </c>
      <c r="S1296">
        <v>10</v>
      </c>
      <c r="T1296">
        <v>180</v>
      </c>
      <c r="U1296" s="1">
        <v>35674</v>
      </c>
      <c r="V1296" t="s">
        <v>123</v>
      </c>
      <c r="W1296" t="s">
        <v>124</v>
      </c>
      <c r="X1296" t="s">
        <v>58</v>
      </c>
      <c r="Y1296">
        <v>18</v>
      </c>
      <c r="Z1296" t="s">
        <v>59</v>
      </c>
      <c r="AA1296" t="s">
        <v>59</v>
      </c>
      <c r="AB1296" t="s">
        <v>59</v>
      </c>
      <c r="AC1296" t="s">
        <v>59</v>
      </c>
      <c r="AD1296" t="s">
        <v>59</v>
      </c>
      <c r="AF1296" s="1">
        <v>35678</v>
      </c>
      <c r="AG1296" t="s">
        <v>125</v>
      </c>
      <c r="AH1296" t="s">
        <v>126</v>
      </c>
      <c r="AI1296" t="str">
        <f>"1701050"</f>
        <v>1701050</v>
      </c>
      <c r="AJ1296" t="s">
        <v>660</v>
      </c>
      <c r="AK1296">
        <v>2810220729</v>
      </c>
      <c r="AL1296" t="s">
        <v>661</v>
      </c>
      <c r="AM1296" t="s">
        <v>78</v>
      </c>
      <c r="AN1296" t="s">
        <v>78</v>
      </c>
      <c r="AO1296" t="s">
        <v>78</v>
      </c>
      <c r="AP1296" t="s">
        <v>79</v>
      </c>
      <c r="AQ1296">
        <v>1</v>
      </c>
      <c r="AR1296" t="s">
        <v>123</v>
      </c>
      <c r="AS1296" t="s">
        <v>124</v>
      </c>
      <c r="AT1296" t="s">
        <v>58</v>
      </c>
      <c r="AU1296" t="s">
        <v>68</v>
      </c>
      <c r="AV1296" t="s">
        <v>69</v>
      </c>
      <c r="AW1296" s="1">
        <v>23408</v>
      </c>
      <c r="AX1296">
        <v>2</v>
      </c>
    </row>
    <row r="1297" spans="1:50">
      <c r="B1297" t="str">
        <f>"114587202"</f>
        <v>114587202</v>
      </c>
      <c r="C1297" t="s">
        <v>105</v>
      </c>
      <c r="D1297" t="s">
        <v>3017</v>
      </c>
      <c r="E1297" t="s">
        <v>3018</v>
      </c>
      <c r="F1297" t="s">
        <v>84</v>
      </c>
      <c r="G1297" t="s">
        <v>191</v>
      </c>
      <c r="H1297" t="str">
        <f>"Ν. ΣΟΥΚΑΤΖΙΔΗ 28 ΗΡΑΚΛΕΙΟ"</f>
        <v>Ν. ΣΟΥΚΑΤΖΙΔΗ 28 ΗΡΑΚΛΕΙΟ</v>
      </c>
      <c r="I1297">
        <v>71305</v>
      </c>
      <c r="J1297">
        <v>2810313660</v>
      </c>
      <c r="K1297">
        <v>6973520954</v>
      </c>
      <c r="M1297" t="s">
        <v>3019</v>
      </c>
      <c r="N1297" t="s">
        <v>199</v>
      </c>
      <c r="O1297" t="s">
        <v>200</v>
      </c>
      <c r="R1297" t="s">
        <v>159</v>
      </c>
      <c r="S1297">
        <v>4</v>
      </c>
      <c r="T1297" t="s">
        <v>416</v>
      </c>
      <c r="U1297" s="1">
        <v>43349</v>
      </c>
      <c r="V1297" t="s">
        <v>123</v>
      </c>
      <c r="W1297" t="s">
        <v>124</v>
      </c>
      <c r="X1297" t="s">
        <v>58</v>
      </c>
      <c r="Y1297">
        <v>21</v>
      </c>
      <c r="Z1297" t="s">
        <v>59</v>
      </c>
      <c r="AA1297" t="s">
        <v>59</v>
      </c>
      <c r="AB1297" t="s">
        <v>59</v>
      </c>
      <c r="AC1297" t="s">
        <v>59</v>
      </c>
      <c r="AD1297" t="s">
        <v>59</v>
      </c>
      <c r="AF1297" s="1">
        <v>43349</v>
      </c>
      <c r="AG1297" t="s">
        <v>148</v>
      </c>
      <c r="AH1297" t="s">
        <v>149</v>
      </c>
      <c r="AI1297" t="str">
        <f>"1760010"</f>
        <v>1760010</v>
      </c>
      <c r="AJ1297" t="s">
        <v>701</v>
      </c>
      <c r="AK1297">
        <v>2810711442</v>
      </c>
      <c r="AL1297" t="s">
        <v>702</v>
      </c>
      <c r="AM1297" t="s">
        <v>78</v>
      </c>
      <c r="AN1297" t="s">
        <v>129</v>
      </c>
      <c r="AO1297" t="s">
        <v>597</v>
      </c>
      <c r="AP1297" t="s">
        <v>598</v>
      </c>
      <c r="AQ1297">
        <v>28</v>
      </c>
      <c r="AR1297" t="s">
        <v>123</v>
      </c>
      <c r="AS1297" t="s">
        <v>124</v>
      </c>
      <c r="AT1297" t="s">
        <v>58</v>
      </c>
      <c r="AU1297" t="s">
        <v>419</v>
      </c>
      <c r="AV1297" t="s">
        <v>132</v>
      </c>
      <c r="AW1297" s="1">
        <v>29260</v>
      </c>
      <c r="AX1297">
        <v>2</v>
      </c>
    </row>
    <row r="1298" spans="1:50">
      <c r="A1298">
        <v>195541</v>
      </c>
      <c r="B1298" t="str">
        <f>"036279876"</f>
        <v>036279876</v>
      </c>
      <c r="C1298" t="s">
        <v>105</v>
      </c>
      <c r="D1298" t="s">
        <v>3020</v>
      </c>
      <c r="E1298" t="s">
        <v>72</v>
      </c>
      <c r="F1298" t="s">
        <v>95</v>
      </c>
      <c r="G1298" t="s">
        <v>494</v>
      </c>
      <c r="H1298" t="str">
        <f>" "</f>
        <v xml:space="preserve"> </v>
      </c>
      <c r="N1298" t="s">
        <v>292</v>
      </c>
      <c r="O1298" t="s">
        <v>293</v>
      </c>
      <c r="R1298" t="s">
        <v>57</v>
      </c>
      <c r="S1298">
        <v>10</v>
      </c>
      <c r="T1298">
        <v>194</v>
      </c>
      <c r="U1298" s="1">
        <v>37497</v>
      </c>
      <c r="V1298" t="s">
        <v>123</v>
      </c>
      <c r="W1298" t="s">
        <v>124</v>
      </c>
      <c r="X1298" t="s">
        <v>58</v>
      </c>
      <c r="Y1298">
        <v>20</v>
      </c>
      <c r="Z1298" t="s">
        <v>59</v>
      </c>
      <c r="AA1298" t="s">
        <v>59</v>
      </c>
      <c r="AB1298" t="s">
        <v>59</v>
      </c>
      <c r="AC1298" t="s">
        <v>59</v>
      </c>
      <c r="AD1298" t="s">
        <v>59</v>
      </c>
      <c r="AF1298" s="1">
        <v>37501</v>
      </c>
      <c r="AG1298" t="s">
        <v>137</v>
      </c>
      <c r="AH1298" t="s">
        <v>138</v>
      </c>
      <c r="AI1298" t="str">
        <f>"1740070"</f>
        <v>1740070</v>
      </c>
      <c r="AJ1298" t="s">
        <v>206</v>
      </c>
      <c r="AK1298">
        <v>2810324880</v>
      </c>
      <c r="AL1298" t="s">
        <v>207</v>
      </c>
      <c r="AM1298" t="s">
        <v>78</v>
      </c>
      <c r="AN1298" t="s">
        <v>78</v>
      </c>
      <c r="AO1298" t="s">
        <v>78</v>
      </c>
      <c r="AP1298" t="s">
        <v>163</v>
      </c>
      <c r="AQ1298">
        <v>9</v>
      </c>
      <c r="AR1298" t="s">
        <v>123</v>
      </c>
      <c r="AS1298" t="s">
        <v>124</v>
      </c>
      <c r="AT1298" t="s">
        <v>58</v>
      </c>
      <c r="AU1298" t="s">
        <v>68</v>
      </c>
      <c r="AV1298" t="s">
        <v>69</v>
      </c>
      <c r="AW1298" s="1">
        <v>21949</v>
      </c>
      <c r="AX1298">
        <v>2</v>
      </c>
    </row>
    <row r="1299" spans="1:50">
      <c r="A1299">
        <v>223685</v>
      </c>
      <c r="B1299" t="str">
        <f>"061968840"</f>
        <v>061968840</v>
      </c>
      <c r="C1299" t="s">
        <v>105</v>
      </c>
      <c r="D1299" t="s">
        <v>3021</v>
      </c>
      <c r="E1299" t="s">
        <v>72</v>
      </c>
      <c r="F1299" t="s">
        <v>900</v>
      </c>
      <c r="G1299" t="s">
        <v>250</v>
      </c>
      <c r="H1299" t="str">
        <f>" "</f>
        <v xml:space="preserve"> </v>
      </c>
      <c r="J1299">
        <v>2810771036</v>
      </c>
      <c r="K1299">
        <v>6944724619</v>
      </c>
      <c r="N1299" t="s">
        <v>199</v>
      </c>
      <c r="O1299" t="s">
        <v>200</v>
      </c>
      <c r="R1299" t="s">
        <v>57</v>
      </c>
      <c r="S1299">
        <v>5</v>
      </c>
      <c r="T1299">
        <v>775</v>
      </c>
      <c r="U1299" s="1">
        <v>39680</v>
      </c>
      <c r="V1299" t="s">
        <v>123</v>
      </c>
      <c r="W1299" t="s">
        <v>124</v>
      </c>
      <c r="X1299" t="s">
        <v>58</v>
      </c>
      <c r="Y1299">
        <v>21</v>
      </c>
      <c r="Z1299" t="s">
        <v>59</v>
      </c>
      <c r="AA1299" t="s">
        <v>59</v>
      </c>
      <c r="AB1299" t="s">
        <v>59</v>
      </c>
      <c r="AC1299" t="s">
        <v>59</v>
      </c>
      <c r="AD1299" t="s">
        <v>59</v>
      </c>
      <c r="AF1299" s="1">
        <v>39681</v>
      </c>
      <c r="AG1299" t="s">
        <v>148</v>
      </c>
      <c r="AH1299" t="s">
        <v>149</v>
      </c>
      <c r="AI1299" t="str">
        <f>"1751070"</f>
        <v>1751070</v>
      </c>
      <c r="AJ1299" t="s">
        <v>1435</v>
      </c>
      <c r="AK1299">
        <v>2810771016</v>
      </c>
      <c r="AL1299" t="s">
        <v>1436</v>
      </c>
      <c r="AM1299" t="s">
        <v>78</v>
      </c>
      <c r="AN1299" t="s">
        <v>219</v>
      </c>
      <c r="AO1299" t="s">
        <v>1437</v>
      </c>
      <c r="AP1299" t="s">
        <v>1437</v>
      </c>
      <c r="AQ1299">
        <v>21</v>
      </c>
      <c r="AR1299" t="s">
        <v>123</v>
      </c>
      <c r="AS1299" t="s">
        <v>124</v>
      </c>
      <c r="AT1299" t="s">
        <v>58</v>
      </c>
      <c r="AU1299" t="s">
        <v>68</v>
      </c>
      <c r="AV1299" t="s">
        <v>69</v>
      </c>
      <c r="AW1299" s="1">
        <v>25304</v>
      </c>
      <c r="AX1299">
        <v>2</v>
      </c>
    </row>
    <row r="1300" spans="1:50">
      <c r="A1300">
        <v>156195</v>
      </c>
      <c r="B1300" t="str">
        <f>"032123203"</f>
        <v>032123203</v>
      </c>
      <c r="C1300" t="s">
        <v>50</v>
      </c>
      <c r="D1300" t="s">
        <v>3022</v>
      </c>
      <c r="E1300" t="s">
        <v>52</v>
      </c>
      <c r="F1300" t="s">
        <v>3023</v>
      </c>
      <c r="G1300" t="s">
        <v>1189</v>
      </c>
      <c r="H1300" t="str">
        <f>"ΚΑΡΑΪΣΚΑΚΗ 39 ΝΕΑ ΑΛΙΚΑΡΝΑΣΣΟΣ"</f>
        <v>ΚΑΡΑΪΣΚΑΚΗ 39 ΝΕΑ ΑΛΙΚΑΡΝΑΣΣΟΣ</v>
      </c>
      <c r="I1300">
        <v>71601</v>
      </c>
      <c r="J1300">
        <v>2810223366</v>
      </c>
      <c r="K1300">
        <v>6979215115</v>
      </c>
      <c r="M1300" t="s">
        <v>3024</v>
      </c>
      <c r="N1300" t="s">
        <v>146</v>
      </c>
      <c r="O1300" t="s">
        <v>147</v>
      </c>
      <c r="R1300" t="s">
        <v>57</v>
      </c>
      <c r="S1300">
        <v>15</v>
      </c>
      <c r="T1300">
        <v>188</v>
      </c>
      <c r="U1300" s="1">
        <v>32752</v>
      </c>
      <c r="V1300" t="s">
        <v>123</v>
      </c>
      <c r="W1300" t="s">
        <v>124</v>
      </c>
      <c r="X1300" t="s">
        <v>58</v>
      </c>
      <c r="Y1300">
        <v>18</v>
      </c>
      <c r="Z1300" t="s">
        <v>59</v>
      </c>
      <c r="AA1300" t="s">
        <v>59</v>
      </c>
      <c r="AB1300" t="s">
        <v>59</v>
      </c>
      <c r="AC1300" t="s">
        <v>59</v>
      </c>
      <c r="AD1300" t="s">
        <v>59</v>
      </c>
      <c r="AF1300" s="1">
        <v>32756</v>
      </c>
      <c r="AG1300" t="s">
        <v>125</v>
      </c>
      <c r="AH1300" t="s">
        <v>126</v>
      </c>
      <c r="AI1300" t="str">
        <f>"1727010"</f>
        <v>1727010</v>
      </c>
      <c r="AJ1300" t="s">
        <v>618</v>
      </c>
      <c r="AK1300">
        <v>2810229231</v>
      </c>
      <c r="AL1300" t="s">
        <v>619</v>
      </c>
      <c r="AM1300" t="s">
        <v>78</v>
      </c>
      <c r="AN1300" t="s">
        <v>78</v>
      </c>
      <c r="AO1300" t="s">
        <v>286</v>
      </c>
      <c r="AP1300" t="s">
        <v>286</v>
      </c>
      <c r="AQ1300">
        <v>12</v>
      </c>
      <c r="AR1300" t="s">
        <v>123</v>
      </c>
      <c r="AS1300" t="s">
        <v>124</v>
      </c>
      <c r="AT1300" t="s">
        <v>58</v>
      </c>
      <c r="AU1300" t="s">
        <v>68</v>
      </c>
      <c r="AV1300" t="s">
        <v>69</v>
      </c>
      <c r="AW1300" s="1">
        <v>23135</v>
      </c>
      <c r="AX1300">
        <v>2</v>
      </c>
    </row>
    <row r="1301" spans="1:50">
      <c r="B1301" t="str">
        <f>"072675317"</f>
        <v>072675317</v>
      </c>
      <c r="C1301" t="s">
        <v>50</v>
      </c>
      <c r="D1301" t="s">
        <v>3022</v>
      </c>
      <c r="E1301" t="s">
        <v>1227</v>
      </c>
      <c r="F1301" t="s">
        <v>84</v>
      </c>
      <c r="G1301" t="s">
        <v>440</v>
      </c>
      <c r="H1301" t="str">
        <f>" "</f>
        <v xml:space="preserve"> </v>
      </c>
      <c r="M1301" t="s">
        <v>3025</v>
      </c>
      <c r="N1301" t="s">
        <v>883</v>
      </c>
      <c r="O1301" t="s">
        <v>884</v>
      </c>
      <c r="R1301" t="s">
        <v>121</v>
      </c>
      <c r="S1301">
        <v>5</v>
      </c>
      <c r="T1301" t="s">
        <v>122</v>
      </c>
      <c r="U1301" s="1">
        <v>43348</v>
      </c>
      <c r="V1301" t="s">
        <v>123</v>
      </c>
      <c r="W1301" t="s">
        <v>124</v>
      </c>
      <c r="X1301" t="s">
        <v>58</v>
      </c>
      <c r="Y1301">
        <v>21</v>
      </c>
      <c r="Z1301" t="s">
        <v>59</v>
      </c>
      <c r="AA1301" t="s">
        <v>59</v>
      </c>
      <c r="AB1301" t="s">
        <v>59</v>
      </c>
      <c r="AC1301" t="s">
        <v>59</v>
      </c>
      <c r="AD1301" t="s">
        <v>59</v>
      </c>
      <c r="AF1301" s="1">
        <v>43348</v>
      </c>
      <c r="AG1301" t="s">
        <v>125</v>
      </c>
      <c r="AH1301" t="s">
        <v>126</v>
      </c>
      <c r="AI1301" t="str">
        <f>"1701041"</f>
        <v>1701041</v>
      </c>
      <c r="AJ1301" t="s">
        <v>161</v>
      </c>
      <c r="AK1301">
        <v>2810327052</v>
      </c>
      <c r="AL1301" t="s">
        <v>162</v>
      </c>
      <c r="AM1301" t="s">
        <v>78</v>
      </c>
      <c r="AN1301" t="s">
        <v>78</v>
      </c>
      <c r="AO1301" t="s">
        <v>78</v>
      </c>
      <c r="AP1301" t="s">
        <v>163</v>
      </c>
      <c r="AQ1301">
        <v>5</v>
      </c>
      <c r="AR1301" t="s">
        <v>123</v>
      </c>
      <c r="AS1301" t="s">
        <v>124</v>
      </c>
      <c r="AT1301" t="s">
        <v>58</v>
      </c>
      <c r="AU1301" t="s">
        <v>131</v>
      </c>
      <c r="AV1301" t="s">
        <v>132</v>
      </c>
      <c r="AW1301" s="1">
        <v>24655</v>
      </c>
      <c r="AX1301">
        <v>2</v>
      </c>
    </row>
    <row r="1302" spans="1:50">
      <c r="A1302">
        <v>214774</v>
      </c>
      <c r="B1302" t="str">
        <f>"072675262"</f>
        <v>072675262</v>
      </c>
      <c r="C1302" t="s">
        <v>105</v>
      </c>
      <c r="D1302" t="s">
        <v>3026</v>
      </c>
      <c r="E1302" t="s">
        <v>1229</v>
      </c>
      <c r="F1302" t="s">
        <v>84</v>
      </c>
      <c r="G1302" t="s">
        <v>440</v>
      </c>
      <c r="H1302" t="str">
        <f>"ΡΟΛΕΝ 14 ΗΡΑΚΛΕΙΟ"</f>
        <v>ΡΟΛΕΝ 14 ΗΡΑΚΛΕΙΟ</v>
      </c>
      <c r="I1302">
        <v>71305</v>
      </c>
      <c r="J1302">
        <v>2813008673</v>
      </c>
      <c r="K1302">
        <v>6985788327</v>
      </c>
      <c r="M1302" t="s">
        <v>3027</v>
      </c>
      <c r="N1302" t="s">
        <v>168</v>
      </c>
      <c r="O1302" t="s">
        <v>169</v>
      </c>
      <c r="R1302" t="s">
        <v>57</v>
      </c>
      <c r="S1302">
        <v>6</v>
      </c>
      <c r="T1302">
        <v>231</v>
      </c>
      <c r="U1302" s="1">
        <v>38960</v>
      </c>
      <c r="V1302" t="s">
        <v>123</v>
      </c>
      <c r="W1302" t="s">
        <v>124</v>
      </c>
      <c r="X1302" t="s">
        <v>58</v>
      </c>
      <c r="Y1302">
        <v>20</v>
      </c>
      <c r="Z1302" t="s">
        <v>59</v>
      </c>
      <c r="AA1302" t="s">
        <v>59</v>
      </c>
      <c r="AB1302" t="s">
        <v>59</v>
      </c>
      <c r="AC1302" t="s">
        <v>59</v>
      </c>
      <c r="AD1302" t="s">
        <v>59</v>
      </c>
      <c r="AF1302" s="1">
        <v>38961</v>
      </c>
      <c r="AG1302" t="s">
        <v>137</v>
      </c>
      <c r="AH1302" t="s">
        <v>469</v>
      </c>
      <c r="AI1302" t="str">
        <f>"1740200"</f>
        <v>1740200</v>
      </c>
      <c r="AJ1302" t="s">
        <v>470</v>
      </c>
      <c r="AK1302">
        <v>2810320770</v>
      </c>
      <c r="AL1302" t="s">
        <v>471</v>
      </c>
      <c r="AM1302" t="s">
        <v>78</v>
      </c>
      <c r="AN1302" t="s">
        <v>78</v>
      </c>
      <c r="AO1302" t="s">
        <v>78</v>
      </c>
      <c r="AP1302" t="s">
        <v>163</v>
      </c>
      <c r="AQ1302">
        <v>2</v>
      </c>
      <c r="AR1302" t="s">
        <v>123</v>
      </c>
      <c r="AS1302" t="s">
        <v>124</v>
      </c>
      <c r="AT1302" t="s">
        <v>58</v>
      </c>
      <c r="AU1302" t="s">
        <v>68</v>
      </c>
      <c r="AV1302" t="s">
        <v>357</v>
      </c>
      <c r="AW1302" s="1">
        <v>25018</v>
      </c>
      <c r="AX1302">
        <v>2</v>
      </c>
    </row>
    <row r="1303" spans="1:50">
      <c r="A1303">
        <v>160183</v>
      </c>
      <c r="B1303" t="str">
        <f>"025950697"</f>
        <v>025950697</v>
      </c>
      <c r="C1303" t="s">
        <v>105</v>
      </c>
      <c r="D1303" t="s">
        <v>3028</v>
      </c>
      <c r="E1303" t="s">
        <v>106</v>
      </c>
      <c r="F1303" t="s">
        <v>459</v>
      </c>
      <c r="G1303" t="s">
        <v>316</v>
      </c>
      <c r="H1303" t="str">
        <f>" "</f>
        <v xml:space="preserve"> </v>
      </c>
      <c r="M1303" t="s">
        <v>3029</v>
      </c>
      <c r="N1303" t="s">
        <v>232</v>
      </c>
      <c r="O1303" t="s">
        <v>233</v>
      </c>
      <c r="R1303" t="s">
        <v>57</v>
      </c>
      <c r="S1303">
        <v>14</v>
      </c>
      <c r="T1303">
        <v>161</v>
      </c>
      <c r="U1303" s="1">
        <v>33119</v>
      </c>
      <c r="V1303" t="s">
        <v>123</v>
      </c>
      <c r="W1303" t="s">
        <v>124</v>
      </c>
      <c r="X1303" t="s">
        <v>58</v>
      </c>
      <c r="Y1303">
        <v>18</v>
      </c>
      <c r="Z1303" t="s">
        <v>59</v>
      </c>
      <c r="AA1303" t="s">
        <v>59</v>
      </c>
      <c r="AB1303" t="s">
        <v>59</v>
      </c>
      <c r="AC1303" t="s">
        <v>59</v>
      </c>
      <c r="AD1303" t="s">
        <v>59</v>
      </c>
      <c r="AF1303" s="1">
        <v>33119</v>
      </c>
      <c r="AG1303" t="s">
        <v>148</v>
      </c>
      <c r="AH1303" t="s">
        <v>149</v>
      </c>
      <c r="AI1303" t="str">
        <f>"1790070"</f>
        <v>1790070</v>
      </c>
      <c r="AJ1303" t="s">
        <v>1283</v>
      </c>
      <c r="AK1303">
        <v>2810252154</v>
      </c>
      <c r="AL1303" t="s">
        <v>1284</v>
      </c>
      <c r="AM1303" t="s">
        <v>78</v>
      </c>
      <c r="AN1303" t="s">
        <v>78</v>
      </c>
      <c r="AO1303" t="s">
        <v>78</v>
      </c>
      <c r="AP1303" t="s">
        <v>141</v>
      </c>
      <c r="AQ1303">
        <v>7</v>
      </c>
      <c r="AR1303" t="s">
        <v>123</v>
      </c>
      <c r="AS1303" t="s">
        <v>124</v>
      </c>
      <c r="AT1303" t="s">
        <v>58</v>
      </c>
      <c r="AU1303" t="s">
        <v>68</v>
      </c>
      <c r="AV1303" t="s">
        <v>69</v>
      </c>
      <c r="AW1303" s="1">
        <v>20959</v>
      </c>
      <c r="AX1303">
        <v>2</v>
      </c>
    </row>
    <row r="1304" spans="1:50">
      <c r="B1304" t="str">
        <f>"062322530"</f>
        <v>062322530</v>
      </c>
      <c r="C1304" t="s">
        <v>105</v>
      </c>
      <c r="D1304" t="s">
        <v>3030</v>
      </c>
      <c r="E1304" t="s">
        <v>72</v>
      </c>
      <c r="F1304" t="s">
        <v>99</v>
      </c>
      <c r="G1304" t="s">
        <v>73</v>
      </c>
      <c r="H1304" t="str">
        <f>"ΒΟΥΤΕΣ ΗΡΑΚΛΕΙΟ ΚΡΗΤΗΣ"</f>
        <v>ΒΟΥΤΕΣ ΗΡΑΚΛΕΙΟ ΚΡΗΤΗΣ</v>
      </c>
      <c r="I1304">
        <v>70013</v>
      </c>
      <c r="J1304">
        <v>2810721852</v>
      </c>
      <c r="K1304">
        <v>6944316597</v>
      </c>
      <c r="L1304">
        <v>6943091646</v>
      </c>
      <c r="M1304" t="s">
        <v>3031</v>
      </c>
      <c r="N1304" t="s">
        <v>292</v>
      </c>
      <c r="O1304" t="s">
        <v>293</v>
      </c>
      <c r="R1304" t="s">
        <v>159</v>
      </c>
      <c r="S1304">
        <v>4</v>
      </c>
      <c r="T1304" t="s">
        <v>416</v>
      </c>
      <c r="U1304" s="1">
        <v>43349</v>
      </c>
      <c r="V1304" t="s">
        <v>123</v>
      </c>
      <c r="W1304" t="s">
        <v>124</v>
      </c>
      <c r="X1304" t="s">
        <v>58</v>
      </c>
      <c r="Y1304">
        <v>21</v>
      </c>
      <c r="Z1304" t="s">
        <v>59</v>
      </c>
      <c r="AA1304" t="s">
        <v>59</v>
      </c>
      <c r="AB1304" t="s">
        <v>59</v>
      </c>
      <c r="AC1304" t="s">
        <v>59</v>
      </c>
      <c r="AD1304" t="s">
        <v>59</v>
      </c>
      <c r="AF1304" s="1">
        <v>43349</v>
      </c>
      <c r="AG1304" t="s">
        <v>148</v>
      </c>
      <c r="AH1304" t="s">
        <v>149</v>
      </c>
      <c r="AI1304" t="str">
        <f>"1751040"</f>
        <v>1751040</v>
      </c>
      <c r="AJ1304" t="s">
        <v>178</v>
      </c>
      <c r="AK1304">
        <v>2810252495</v>
      </c>
      <c r="AL1304" t="s">
        <v>179</v>
      </c>
      <c r="AM1304" t="s">
        <v>78</v>
      </c>
      <c r="AN1304" t="s">
        <v>78</v>
      </c>
      <c r="AO1304" t="s">
        <v>78</v>
      </c>
      <c r="AP1304" t="s">
        <v>141</v>
      </c>
      <c r="AQ1304">
        <v>3</v>
      </c>
      <c r="AR1304" t="s">
        <v>123</v>
      </c>
      <c r="AS1304" t="s">
        <v>124</v>
      </c>
      <c r="AT1304" t="s">
        <v>58</v>
      </c>
      <c r="AU1304" t="s">
        <v>419</v>
      </c>
      <c r="AV1304" t="s">
        <v>132</v>
      </c>
      <c r="AW1304" s="1">
        <v>22749</v>
      </c>
      <c r="AX1304">
        <v>2</v>
      </c>
    </row>
    <row r="1305" spans="1:50">
      <c r="A1305">
        <v>217588</v>
      </c>
      <c r="B1305" t="str">
        <f>"110280692"</f>
        <v>110280692</v>
      </c>
      <c r="C1305" t="s">
        <v>50</v>
      </c>
      <c r="D1305" t="s">
        <v>3032</v>
      </c>
      <c r="E1305" t="s">
        <v>109</v>
      </c>
      <c r="F1305" t="s">
        <v>92</v>
      </c>
      <c r="G1305" t="s">
        <v>263</v>
      </c>
      <c r="H1305" t="str">
        <f>"ΠΑΤΜΟΥ 34  ΗΡΑΚΛΕΙΟ"</f>
        <v>ΠΑΤΜΟΥ 34  ΗΡΑΚΛΕΙΟ</v>
      </c>
      <c r="I1305">
        <v>72200</v>
      </c>
      <c r="J1305">
        <v>2810324942</v>
      </c>
      <c r="K1305">
        <v>6972003169</v>
      </c>
      <c r="L1305">
        <v>2810324942</v>
      </c>
      <c r="M1305" t="s">
        <v>3033</v>
      </c>
      <c r="N1305" t="s">
        <v>146</v>
      </c>
      <c r="O1305" t="s">
        <v>147</v>
      </c>
      <c r="R1305" t="s">
        <v>57</v>
      </c>
      <c r="S1305">
        <v>8</v>
      </c>
      <c r="T1305">
        <v>599</v>
      </c>
      <c r="U1305" s="1">
        <v>39310</v>
      </c>
      <c r="V1305" t="s">
        <v>123</v>
      </c>
      <c r="W1305" t="s">
        <v>124</v>
      </c>
      <c r="X1305" t="s">
        <v>58</v>
      </c>
      <c r="Y1305">
        <v>20</v>
      </c>
      <c r="Z1305" t="s">
        <v>59</v>
      </c>
      <c r="AA1305" t="s">
        <v>59</v>
      </c>
      <c r="AB1305" t="s">
        <v>59</v>
      </c>
      <c r="AC1305" t="s">
        <v>59</v>
      </c>
      <c r="AD1305" t="s">
        <v>59</v>
      </c>
      <c r="AF1305" s="1">
        <v>39329</v>
      </c>
      <c r="AG1305" t="s">
        <v>148</v>
      </c>
      <c r="AH1305" t="s">
        <v>149</v>
      </c>
      <c r="AI1305" t="str">
        <f>"1753010"</f>
        <v>1753010</v>
      </c>
      <c r="AJ1305" t="s">
        <v>571</v>
      </c>
      <c r="AK1305">
        <v>2810751528</v>
      </c>
      <c r="AL1305" t="s">
        <v>572</v>
      </c>
      <c r="AM1305" t="s">
        <v>78</v>
      </c>
      <c r="AN1305" t="s">
        <v>424</v>
      </c>
      <c r="AO1305" t="s">
        <v>425</v>
      </c>
      <c r="AP1305" t="s">
        <v>425</v>
      </c>
      <c r="AQ1305">
        <v>13</v>
      </c>
      <c r="AR1305" t="s">
        <v>123</v>
      </c>
      <c r="AS1305" t="s">
        <v>124</v>
      </c>
      <c r="AT1305" t="s">
        <v>58</v>
      </c>
      <c r="AU1305" t="s">
        <v>68</v>
      </c>
      <c r="AV1305" t="s">
        <v>69</v>
      </c>
      <c r="AW1305" s="1">
        <v>28188</v>
      </c>
      <c r="AX1305">
        <v>2</v>
      </c>
    </row>
    <row r="1306" spans="1:50">
      <c r="B1306" t="str">
        <f>"070953720"</f>
        <v>070953720</v>
      </c>
      <c r="C1306" t="s">
        <v>50</v>
      </c>
      <c r="D1306" t="s">
        <v>3034</v>
      </c>
      <c r="E1306" t="s">
        <v>513</v>
      </c>
      <c r="F1306" t="s">
        <v>72</v>
      </c>
      <c r="G1306" t="s">
        <v>83</v>
      </c>
      <c r="H1306" t="str">
        <f>"ΦΟΙΝΙΚΟΣ 3 ΗΡΑΚΛΕΙΟ ΚΡΗΤΗΣ"</f>
        <v>ΦΟΙΝΙΚΟΣ 3 ΗΡΑΚΛΕΙΟ ΚΡΗΤΗΣ</v>
      </c>
      <c r="I1306">
        <v>71305</v>
      </c>
      <c r="J1306">
        <v>2810258318</v>
      </c>
      <c r="K1306">
        <v>6976431398</v>
      </c>
      <c r="N1306" t="s">
        <v>146</v>
      </c>
      <c r="O1306" t="s">
        <v>147</v>
      </c>
      <c r="R1306" t="s">
        <v>159</v>
      </c>
      <c r="S1306">
        <v>2</v>
      </c>
      <c r="T1306" t="s">
        <v>574</v>
      </c>
      <c r="U1306" s="1">
        <v>43378</v>
      </c>
      <c r="V1306" t="s">
        <v>123</v>
      </c>
      <c r="W1306" t="s">
        <v>124</v>
      </c>
      <c r="X1306" t="s">
        <v>58</v>
      </c>
      <c r="Y1306">
        <v>23</v>
      </c>
      <c r="Z1306" t="s">
        <v>59</v>
      </c>
      <c r="AA1306" t="s">
        <v>59</v>
      </c>
      <c r="AB1306" t="s">
        <v>59</v>
      </c>
      <c r="AC1306" t="s">
        <v>59</v>
      </c>
      <c r="AD1306" t="s">
        <v>59</v>
      </c>
      <c r="AF1306" s="1">
        <v>43381</v>
      </c>
      <c r="AG1306" t="s">
        <v>125</v>
      </c>
      <c r="AH1306" t="s">
        <v>126</v>
      </c>
      <c r="AI1306" t="str">
        <f>"1714010"</f>
        <v>1714010</v>
      </c>
      <c r="AJ1306" t="s">
        <v>997</v>
      </c>
      <c r="AK1306">
        <v>2894031333</v>
      </c>
      <c r="AL1306" t="s">
        <v>998</v>
      </c>
      <c r="AM1306" t="s">
        <v>78</v>
      </c>
      <c r="AN1306" t="s">
        <v>242</v>
      </c>
      <c r="AO1306" t="s">
        <v>999</v>
      </c>
      <c r="AP1306" t="s">
        <v>999</v>
      </c>
      <c r="AQ1306">
        <v>31</v>
      </c>
      <c r="AR1306" t="s">
        <v>123</v>
      </c>
      <c r="AS1306" t="s">
        <v>124</v>
      </c>
      <c r="AT1306" t="s">
        <v>58</v>
      </c>
      <c r="AU1306" t="s">
        <v>164</v>
      </c>
      <c r="AV1306" t="s">
        <v>132</v>
      </c>
      <c r="AW1306" s="1">
        <v>27962</v>
      </c>
      <c r="AX1306">
        <v>2</v>
      </c>
    </row>
    <row r="1307" spans="1:50">
      <c r="A1307">
        <v>224653</v>
      </c>
      <c r="B1307" t="str">
        <f>"070953770"</f>
        <v>070953770</v>
      </c>
      <c r="C1307" t="s">
        <v>50</v>
      </c>
      <c r="D1307" t="s">
        <v>3034</v>
      </c>
      <c r="E1307" t="s">
        <v>109</v>
      </c>
      <c r="F1307" t="s">
        <v>72</v>
      </c>
      <c r="G1307" t="s">
        <v>83</v>
      </c>
      <c r="H1307" t="str">
        <f>" "</f>
        <v xml:space="preserve"> </v>
      </c>
      <c r="J1307">
        <v>2810258318</v>
      </c>
      <c r="K1307">
        <v>6945185004</v>
      </c>
      <c r="L1307">
        <v>2810543604</v>
      </c>
      <c r="N1307" t="s">
        <v>683</v>
      </c>
      <c r="O1307" t="s">
        <v>684</v>
      </c>
      <c r="R1307" t="s">
        <v>57</v>
      </c>
      <c r="S1307">
        <v>7</v>
      </c>
      <c r="T1307">
        <v>775</v>
      </c>
      <c r="U1307" s="1">
        <v>39680</v>
      </c>
      <c r="V1307" t="s">
        <v>123</v>
      </c>
      <c r="W1307" t="s">
        <v>124</v>
      </c>
      <c r="X1307" t="s">
        <v>58</v>
      </c>
      <c r="Y1307">
        <v>21</v>
      </c>
      <c r="Z1307" t="s">
        <v>59</v>
      </c>
      <c r="AA1307" t="s">
        <v>59</v>
      </c>
      <c r="AB1307" t="s">
        <v>59</v>
      </c>
      <c r="AC1307" t="s">
        <v>59</v>
      </c>
      <c r="AD1307" t="s">
        <v>59</v>
      </c>
      <c r="AF1307" s="1">
        <v>39681</v>
      </c>
      <c r="AG1307" t="s">
        <v>125</v>
      </c>
      <c r="AH1307" t="s">
        <v>126</v>
      </c>
      <c r="AI1307" t="str">
        <f>"1701041"</f>
        <v>1701041</v>
      </c>
      <c r="AJ1307" t="s">
        <v>161</v>
      </c>
      <c r="AK1307">
        <v>2810327052</v>
      </c>
      <c r="AL1307" t="s">
        <v>162</v>
      </c>
      <c r="AM1307" t="s">
        <v>78</v>
      </c>
      <c r="AN1307" t="s">
        <v>78</v>
      </c>
      <c r="AO1307" t="s">
        <v>78</v>
      </c>
      <c r="AP1307" t="s">
        <v>163</v>
      </c>
      <c r="AQ1307">
        <v>5</v>
      </c>
      <c r="AR1307" t="s">
        <v>123</v>
      </c>
      <c r="AS1307" t="s">
        <v>124</v>
      </c>
      <c r="AT1307" t="s">
        <v>58</v>
      </c>
      <c r="AU1307" t="s">
        <v>68</v>
      </c>
      <c r="AV1307" t="s">
        <v>69</v>
      </c>
      <c r="AW1307" s="1">
        <v>28973</v>
      </c>
      <c r="AX1307">
        <v>2</v>
      </c>
    </row>
    <row r="1308" spans="1:50">
      <c r="A1308">
        <v>701339</v>
      </c>
      <c r="B1308" t="str">
        <f>"047957532"</f>
        <v>047957532</v>
      </c>
      <c r="C1308" t="s">
        <v>50</v>
      </c>
      <c r="D1308" t="s">
        <v>3035</v>
      </c>
      <c r="E1308" t="s">
        <v>1068</v>
      </c>
      <c r="F1308" t="s">
        <v>72</v>
      </c>
      <c r="G1308" t="s">
        <v>2205</v>
      </c>
      <c r="H1308" t="str">
        <f>"ΠΑΤΡΑΣ 21 ΗΡΑΚΛΕΙΟ"</f>
        <v>ΠΑΤΡΑΣ 21 ΗΡΑΚΛΕΙΟ</v>
      </c>
      <c r="I1308">
        <v>71409</v>
      </c>
      <c r="J1308">
        <v>2810325752</v>
      </c>
      <c r="K1308">
        <v>6977312661</v>
      </c>
      <c r="N1308" t="s">
        <v>292</v>
      </c>
      <c r="O1308" t="s">
        <v>293</v>
      </c>
      <c r="R1308" t="s">
        <v>57</v>
      </c>
      <c r="S1308">
        <v>7</v>
      </c>
      <c r="T1308">
        <v>772</v>
      </c>
      <c r="U1308" s="1">
        <v>40413</v>
      </c>
      <c r="V1308" t="s">
        <v>123</v>
      </c>
      <c r="W1308" t="s">
        <v>124</v>
      </c>
      <c r="X1308" t="s">
        <v>58</v>
      </c>
      <c r="Y1308">
        <v>21</v>
      </c>
      <c r="Z1308" t="s">
        <v>59</v>
      </c>
      <c r="AA1308" t="s">
        <v>59</v>
      </c>
      <c r="AB1308" t="s">
        <v>59</v>
      </c>
      <c r="AC1308" t="s">
        <v>59</v>
      </c>
      <c r="AD1308" t="s">
        <v>59</v>
      </c>
      <c r="AF1308" s="1">
        <v>40413</v>
      </c>
      <c r="AG1308" t="s">
        <v>125</v>
      </c>
      <c r="AH1308" t="s">
        <v>126</v>
      </c>
      <c r="AI1308" t="str">
        <f>"1705010"</f>
        <v>1705010</v>
      </c>
      <c r="AJ1308" t="s">
        <v>2311</v>
      </c>
      <c r="AK1308">
        <v>2891031232</v>
      </c>
      <c r="AL1308" t="s">
        <v>2312</v>
      </c>
      <c r="AM1308" t="s">
        <v>78</v>
      </c>
      <c r="AN1308" t="s">
        <v>276</v>
      </c>
      <c r="AO1308" t="s">
        <v>277</v>
      </c>
      <c r="AP1308" t="s">
        <v>277</v>
      </c>
      <c r="AQ1308">
        <v>17</v>
      </c>
      <c r="AR1308" t="s">
        <v>123</v>
      </c>
      <c r="AS1308" t="s">
        <v>124</v>
      </c>
      <c r="AT1308" t="s">
        <v>58</v>
      </c>
      <c r="AU1308" t="s">
        <v>68</v>
      </c>
      <c r="AV1308" t="s">
        <v>69</v>
      </c>
      <c r="AW1308" s="1">
        <v>25050</v>
      </c>
      <c r="AX1308">
        <v>2</v>
      </c>
    </row>
    <row r="1309" spans="1:50">
      <c r="A1309">
        <v>199131</v>
      </c>
      <c r="B1309" t="str">
        <f>"059076707"</f>
        <v>059076707</v>
      </c>
      <c r="C1309" t="s">
        <v>105</v>
      </c>
      <c r="D1309" t="s">
        <v>3036</v>
      </c>
      <c r="E1309" t="s">
        <v>72</v>
      </c>
      <c r="F1309" t="s">
        <v>95</v>
      </c>
      <c r="G1309" t="s">
        <v>1078</v>
      </c>
      <c r="H1309" t="str">
        <f>"ΠΕΤΡΑΚΟΓΙΩΡΓΗ 94 "</f>
        <v xml:space="preserve">ΠΕΤΡΑΚΟΓΙΩΡΓΗ 94 </v>
      </c>
      <c r="I1309">
        <v>70400</v>
      </c>
      <c r="J1309">
        <v>2892024169</v>
      </c>
      <c r="K1309">
        <v>6932478985</v>
      </c>
      <c r="M1309" t="s">
        <v>3037</v>
      </c>
      <c r="N1309" t="s">
        <v>176</v>
      </c>
      <c r="O1309" t="s">
        <v>177</v>
      </c>
      <c r="R1309" t="s">
        <v>57</v>
      </c>
      <c r="S1309">
        <v>8</v>
      </c>
      <c r="T1309">
        <v>206</v>
      </c>
      <c r="U1309" s="1">
        <v>37866</v>
      </c>
      <c r="V1309" t="s">
        <v>123</v>
      </c>
      <c r="W1309" t="s">
        <v>124</v>
      </c>
      <c r="X1309" t="s">
        <v>58</v>
      </c>
      <c r="Y1309">
        <v>20</v>
      </c>
      <c r="Z1309" t="s">
        <v>59</v>
      </c>
      <c r="AA1309" t="s">
        <v>59</v>
      </c>
      <c r="AB1309" t="s">
        <v>59</v>
      </c>
      <c r="AC1309" t="s">
        <v>59</v>
      </c>
      <c r="AD1309" t="s">
        <v>59</v>
      </c>
      <c r="AF1309" s="1">
        <v>37866</v>
      </c>
      <c r="AG1309" t="s">
        <v>125</v>
      </c>
      <c r="AH1309" t="s">
        <v>126</v>
      </c>
      <c r="AI1309" t="str">
        <f>"1707010"</f>
        <v>1707010</v>
      </c>
      <c r="AJ1309" t="s">
        <v>757</v>
      </c>
      <c r="AK1309">
        <v>2892041211</v>
      </c>
      <c r="AL1309" t="s">
        <v>758</v>
      </c>
      <c r="AM1309" t="s">
        <v>78</v>
      </c>
      <c r="AN1309" t="s">
        <v>242</v>
      </c>
      <c r="AO1309" t="s">
        <v>243</v>
      </c>
      <c r="AP1309" t="s">
        <v>244</v>
      </c>
      <c r="AQ1309">
        <v>34</v>
      </c>
      <c r="AR1309" t="s">
        <v>123</v>
      </c>
      <c r="AS1309" t="s">
        <v>124</v>
      </c>
      <c r="AT1309" t="s">
        <v>58</v>
      </c>
      <c r="AU1309" t="s">
        <v>68</v>
      </c>
      <c r="AV1309" t="s">
        <v>69</v>
      </c>
      <c r="AW1309" s="1">
        <v>25368</v>
      </c>
      <c r="AX1309">
        <v>2</v>
      </c>
    </row>
    <row r="1310" spans="1:50">
      <c r="A1310">
        <v>166017</v>
      </c>
      <c r="B1310" t="str">
        <f>"036633612"</f>
        <v>036633612</v>
      </c>
      <c r="C1310" t="s">
        <v>50</v>
      </c>
      <c r="D1310" t="s">
        <v>3038</v>
      </c>
      <c r="E1310" t="s">
        <v>215</v>
      </c>
      <c r="F1310" t="s">
        <v>111</v>
      </c>
      <c r="G1310" t="s">
        <v>3039</v>
      </c>
      <c r="H1310" t="str">
        <f>" "</f>
        <v xml:space="preserve"> </v>
      </c>
      <c r="N1310" t="s">
        <v>292</v>
      </c>
      <c r="O1310" t="s">
        <v>293</v>
      </c>
      <c r="R1310" t="s">
        <v>57</v>
      </c>
      <c r="S1310">
        <v>14</v>
      </c>
      <c r="T1310">
        <v>137</v>
      </c>
      <c r="U1310" s="1">
        <v>34206</v>
      </c>
      <c r="V1310" t="s">
        <v>123</v>
      </c>
      <c r="W1310" t="s">
        <v>124</v>
      </c>
      <c r="X1310" t="s">
        <v>58</v>
      </c>
      <c r="Y1310">
        <v>18</v>
      </c>
      <c r="Z1310" t="s">
        <v>59</v>
      </c>
      <c r="AA1310" t="s">
        <v>59</v>
      </c>
      <c r="AB1310" t="s">
        <v>59</v>
      </c>
      <c r="AC1310" t="s">
        <v>59</v>
      </c>
      <c r="AD1310" t="s">
        <v>59</v>
      </c>
      <c r="AF1310" s="1">
        <v>34213</v>
      </c>
      <c r="AG1310" t="s">
        <v>148</v>
      </c>
      <c r="AH1310" t="s">
        <v>149</v>
      </c>
      <c r="AI1310" t="str">
        <f>"1751030"</f>
        <v>1751030</v>
      </c>
      <c r="AJ1310" t="s">
        <v>234</v>
      </c>
      <c r="AK1310">
        <v>2810282911</v>
      </c>
      <c r="AL1310" t="s">
        <v>235</v>
      </c>
      <c r="AM1310" t="s">
        <v>78</v>
      </c>
      <c r="AN1310" t="s">
        <v>78</v>
      </c>
      <c r="AO1310" t="s">
        <v>78</v>
      </c>
      <c r="AP1310" t="s">
        <v>163</v>
      </c>
      <c r="AQ1310">
        <v>1</v>
      </c>
      <c r="AR1310" t="s">
        <v>123</v>
      </c>
      <c r="AS1310" t="s">
        <v>124</v>
      </c>
      <c r="AT1310" t="s">
        <v>58</v>
      </c>
      <c r="AU1310" t="s">
        <v>68</v>
      </c>
      <c r="AV1310" t="s">
        <v>69</v>
      </c>
      <c r="AW1310" s="1">
        <v>21597</v>
      </c>
      <c r="AX1310">
        <v>2</v>
      </c>
    </row>
    <row r="1311" spans="1:50">
      <c r="A1311">
        <v>153088</v>
      </c>
      <c r="B1311" t="str">
        <f>"030979138"</f>
        <v>030979138</v>
      </c>
      <c r="C1311" t="s">
        <v>105</v>
      </c>
      <c r="D1311" t="s">
        <v>3040</v>
      </c>
      <c r="E1311" t="s">
        <v>2227</v>
      </c>
      <c r="F1311" t="s">
        <v>111</v>
      </c>
      <c r="G1311" t="s">
        <v>1227</v>
      </c>
      <c r="H1311" t="str">
        <f>"ΑΓΙΟΙ ΔΕΚΑ ΗΡΑΚΛΕΙΟΥ"</f>
        <v>ΑΓΙΟΙ ΔΕΚΑ ΗΡΑΚΛΕΙΟΥ</v>
      </c>
      <c r="I1311">
        <v>70012</v>
      </c>
      <c r="J1311">
        <v>2892031114</v>
      </c>
      <c r="K1311">
        <v>6976722925</v>
      </c>
      <c r="M1311" t="s">
        <v>3041</v>
      </c>
      <c r="N1311" t="s">
        <v>292</v>
      </c>
      <c r="O1311" t="s">
        <v>293</v>
      </c>
      <c r="R1311" t="s">
        <v>57</v>
      </c>
      <c r="S1311">
        <v>16</v>
      </c>
      <c r="T1311">
        <v>166</v>
      </c>
      <c r="U1311" s="1">
        <v>32010</v>
      </c>
      <c r="V1311" t="s">
        <v>123</v>
      </c>
      <c r="W1311" t="s">
        <v>124</v>
      </c>
      <c r="X1311" t="s">
        <v>58</v>
      </c>
      <c r="Y1311">
        <v>18</v>
      </c>
      <c r="Z1311" t="s">
        <v>59</v>
      </c>
      <c r="AA1311" t="s">
        <v>59</v>
      </c>
      <c r="AB1311" t="s">
        <v>59</v>
      </c>
      <c r="AC1311" t="s">
        <v>59</v>
      </c>
      <c r="AD1311" t="s">
        <v>59</v>
      </c>
      <c r="AF1311" s="1">
        <v>32023</v>
      </c>
      <c r="AG1311" t="s">
        <v>148</v>
      </c>
      <c r="AH1311" t="s">
        <v>149</v>
      </c>
      <c r="AI1311" t="str">
        <f>"1771010"</f>
        <v>1771010</v>
      </c>
      <c r="AJ1311" t="s">
        <v>915</v>
      </c>
      <c r="AK1311">
        <v>2892031290</v>
      </c>
      <c r="AL1311" t="s">
        <v>916</v>
      </c>
      <c r="AM1311" t="s">
        <v>78</v>
      </c>
      <c r="AN1311" t="s">
        <v>405</v>
      </c>
      <c r="AO1311" t="s">
        <v>405</v>
      </c>
      <c r="AP1311" t="s">
        <v>464</v>
      </c>
      <c r="AQ1311">
        <v>33</v>
      </c>
      <c r="AR1311" t="s">
        <v>123</v>
      </c>
      <c r="AS1311" t="s">
        <v>124</v>
      </c>
      <c r="AT1311" t="s">
        <v>58</v>
      </c>
      <c r="AU1311" t="s">
        <v>68</v>
      </c>
      <c r="AV1311" t="s">
        <v>69</v>
      </c>
      <c r="AW1311" s="1">
        <v>20866</v>
      </c>
      <c r="AX1311">
        <v>2</v>
      </c>
    </row>
    <row r="1312" spans="1:50">
      <c r="B1312" t="str">
        <f>"063613643"</f>
        <v>063613643</v>
      </c>
      <c r="C1312" t="s">
        <v>105</v>
      </c>
      <c r="D1312" t="s">
        <v>3042</v>
      </c>
      <c r="E1312" t="s">
        <v>53</v>
      </c>
      <c r="F1312" t="s">
        <v>900</v>
      </c>
      <c r="G1312" t="s">
        <v>250</v>
      </c>
      <c r="H1312" t="str">
        <f>"ΕΠΙΣΚΟΠΗ ΠΕΔΙΑΔΟΣ ΗΡΑΚΛΕΙΟΥ ΕΠΙΣΚΟΠΗ ΗΡΑΚΛΕΙΟΥ"</f>
        <v>ΕΠΙΣΚΟΠΗ ΠΕΔΙΑΔΟΣ ΗΡΑΚΛΕΙΟΥ ΕΠΙΣΚΟΠΗ ΗΡΑΚΛΕΙΟΥ</v>
      </c>
      <c r="I1312">
        <v>70008</v>
      </c>
      <c r="J1312">
        <v>2810771036</v>
      </c>
      <c r="K1312">
        <v>6932090033</v>
      </c>
      <c r="M1312" t="s">
        <v>3043</v>
      </c>
      <c r="N1312" t="s">
        <v>199</v>
      </c>
      <c r="O1312" t="s">
        <v>200</v>
      </c>
      <c r="R1312" t="s">
        <v>159</v>
      </c>
      <c r="S1312">
        <v>4</v>
      </c>
      <c r="T1312" t="s">
        <v>416</v>
      </c>
      <c r="U1312" s="1">
        <v>43349</v>
      </c>
      <c r="V1312" t="s">
        <v>123</v>
      </c>
      <c r="W1312" t="s">
        <v>124</v>
      </c>
      <c r="X1312" t="s">
        <v>58</v>
      </c>
      <c r="Y1312">
        <v>21</v>
      </c>
      <c r="Z1312" t="s">
        <v>59</v>
      </c>
      <c r="AA1312" t="s">
        <v>59</v>
      </c>
      <c r="AB1312" t="s">
        <v>59</v>
      </c>
      <c r="AC1312" t="s">
        <v>59</v>
      </c>
      <c r="AD1312" t="s">
        <v>59</v>
      </c>
      <c r="AF1312" s="1">
        <v>43349</v>
      </c>
      <c r="AG1312" t="s">
        <v>125</v>
      </c>
      <c r="AH1312" t="s">
        <v>126</v>
      </c>
      <c r="AI1312" t="str">
        <f>"1727010"</f>
        <v>1727010</v>
      </c>
      <c r="AJ1312" t="s">
        <v>618</v>
      </c>
      <c r="AK1312">
        <v>2810229231</v>
      </c>
      <c r="AL1312" t="s">
        <v>619</v>
      </c>
      <c r="AM1312" t="s">
        <v>78</v>
      </c>
      <c r="AN1312" t="s">
        <v>78</v>
      </c>
      <c r="AO1312" t="s">
        <v>286</v>
      </c>
      <c r="AP1312" t="s">
        <v>286</v>
      </c>
      <c r="AQ1312">
        <v>12</v>
      </c>
      <c r="AR1312" t="s">
        <v>123</v>
      </c>
      <c r="AS1312" t="s">
        <v>124</v>
      </c>
      <c r="AT1312" t="s">
        <v>58</v>
      </c>
      <c r="AU1312" t="s">
        <v>419</v>
      </c>
      <c r="AV1312" t="s">
        <v>132</v>
      </c>
      <c r="AW1312" s="1">
        <v>25930</v>
      </c>
      <c r="AX1312">
        <v>2</v>
      </c>
    </row>
    <row r="1313" spans="1:50">
      <c r="A1313">
        <v>160600</v>
      </c>
      <c r="B1313" t="str">
        <f>"063142632"</f>
        <v>063142632</v>
      </c>
      <c r="C1313" t="s">
        <v>50</v>
      </c>
      <c r="D1313" t="s">
        <v>3044</v>
      </c>
      <c r="E1313" t="s">
        <v>215</v>
      </c>
      <c r="F1313" t="s">
        <v>106</v>
      </c>
      <c r="G1313" t="s">
        <v>801</v>
      </c>
      <c r="H1313" t="str">
        <f>"ΔΩΡΟΘΕΟΥ ΚΛΩΝΑΡΗ 63 "</f>
        <v xml:space="preserve">ΔΩΡΟΘΕΟΥ ΚΛΩΝΑΡΗ 63 </v>
      </c>
      <c r="I1313">
        <v>71409</v>
      </c>
      <c r="J1313">
        <v>2810213371</v>
      </c>
      <c r="K1313">
        <v>6976445620</v>
      </c>
      <c r="M1313" t="s">
        <v>3045</v>
      </c>
      <c r="N1313" t="s">
        <v>306</v>
      </c>
      <c r="O1313" t="s">
        <v>307</v>
      </c>
      <c r="R1313" t="s">
        <v>57</v>
      </c>
      <c r="S1313">
        <v>13</v>
      </c>
      <c r="T1313">
        <v>161</v>
      </c>
      <c r="U1313" s="1">
        <v>33119</v>
      </c>
      <c r="V1313" t="s">
        <v>123</v>
      </c>
      <c r="W1313" t="s">
        <v>124</v>
      </c>
      <c r="X1313" t="s">
        <v>58</v>
      </c>
      <c r="Y1313">
        <v>18</v>
      </c>
      <c r="Z1313" t="s">
        <v>59</v>
      </c>
      <c r="AA1313" t="s">
        <v>59</v>
      </c>
      <c r="AB1313" t="s">
        <v>59</v>
      </c>
      <c r="AC1313" t="s">
        <v>59</v>
      </c>
      <c r="AD1313" t="s">
        <v>59</v>
      </c>
      <c r="AF1313" s="1">
        <v>33122</v>
      </c>
      <c r="AG1313" t="s">
        <v>137</v>
      </c>
      <c r="AH1313" t="s">
        <v>469</v>
      </c>
      <c r="AI1313" t="str">
        <f>"1740200"</f>
        <v>1740200</v>
      </c>
      <c r="AJ1313" t="s">
        <v>470</v>
      </c>
      <c r="AK1313">
        <v>2810320770</v>
      </c>
      <c r="AL1313" t="s">
        <v>471</v>
      </c>
      <c r="AM1313" t="s">
        <v>78</v>
      </c>
      <c r="AN1313" t="s">
        <v>78</v>
      </c>
      <c r="AO1313" t="s">
        <v>78</v>
      </c>
      <c r="AP1313" t="s">
        <v>163</v>
      </c>
      <c r="AQ1313">
        <v>2</v>
      </c>
      <c r="AR1313" t="s">
        <v>123</v>
      </c>
      <c r="AS1313" t="s">
        <v>124</v>
      </c>
      <c r="AT1313" t="s">
        <v>58</v>
      </c>
      <c r="AU1313" t="s">
        <v>68</v>
      </c>
      <c r="AV1313" t="s">
        <v>69</v>
      </c>
      <c r="AW1313" s="1">
        <v>22059</v>
      </c>
      <c r="AX1313">
        <v>2</v>
      </c>
    </row>
    <row r="1314" spans="1:50">
      <c r="A1314">
        <v>177640</v>
      </c>
      <c r="B1314" t="str">
        <f>"036378528"</f>
        <v>036378528</v>
      </c>
      <c r="C1314" t="s">
        <v>105</v>
      </c>
      <c r="D1314" t="s">
        <v>3046</v>
      </c>
      <c r="E1314" t="s">
        <v>1679</v>
      </c>
      <c r="F1314" t="s">
        <v>95</v>
      </c>
      <c r="G1314" t="s">
        <v>2031</v>
      </c>
      <c r="H1314" t="str">
        <f>" "</f>
        <v xml:space="preserve"> </v>
      </c>
      <c r="M1314" t="s">
        <v>3047</v>
      </c>
      <c r="N1314" t="s">
        <v>168</v>
      </c>
      <c r="O1314" t="s">
        <v>169</v>
      </c>
      <c r="P1314" t="s">
        <v>257</v>
      </c>
      <c r="Q1314" t="s">
        <v>258</v>
      </c>
      <c r="R1314" t="s">
        <v>57</v>
      </c>
      <c r="S1314">
        <v>12</v>
      </c>
      <c r="T1314">
        <v>180</v>
      </c>
      <c r="U1314" s="1">
        <v>35674</v>
      </c>
      <c r="V1314" t="s">
        <v>123</v>
      </c>
      <c r="W1314" t="s">
        <v>124</v>
      </c>
      <c r="X1314" t="s">
        <v>58</v>
      </c>
      <c r="Y1314">
        <v>18</v>
      </c>
      <c r="Z1314" t="s">
        <v>59</v>
      </c>
      <c r="AA1314" t="s">
        <v>59</v>
      </c>
      <c r="AB1314" t="s">
        <v>59</v>
      </c>
      <c r="AC1314" t="s">
        <v>59</v>
      </c>
      <c r="AD1314" t="s">
        <v>59</v>
      </c>
      <c r="AF1314" s="1">
        <v>35678</v>
      </c>
      <c r="AG1314" t="s">
        <v>137</v>
      </c>
      <c r="AH1314" t="s">
        <v>138</v>
      </c>
      <c r="AI1314" t="str">
        <f>"1740080"</f>
        <v>1740080</v>
      </c>
      <c r="AJ1314" t="s">
        <v>284</v>
      </c>
      <c r="AK1314">
        <v>2810220433</v>
      </c>
      <c r="AL1314" t="s">
        <v>285</v>
      </c>
      <c r="AM1314" t="s">
        <v>78</v>
      </c>
      <c r="AN1314" t="s">
        <v>78</v>
      </c>
      <c r="AO1314" t="s">
        <v>286</v>
      </c>
      <c r="AP1314" t="s">
        <v>286</v>
      </c>
      <c r="AQ1314">
        <v>12</v>
      </c>
      <c r="AR1314" t="s">
        <v>123</v>
      </c>
      <c r="AS1314" t="s">
        <v>124</v>
      </c>
      <c r="AT1314" t="s">
        <v>58</v>
      </c>
      <c r="AU1314" t="s">
        <v>68</v>
      </c>
      <c r="AV1314" t="s">
        <v>69</v>
      </c>
      <c r="AW1314" s="1">
        <v>23132</v>
      </c>
      <c r="AX1314">
        <v>2</v>
      </c>
    </row>
    <row r="1315" spans="1:50">
      <c r="A1315">
        <v>206048</v>
      </c>
      <c r="B1315" t="str">
        <f>"079325129"</f>
        <v>079325129</v>
      </c>
      <c r="C1315" t="s">
        <v>50</v>
      </c>
      <c r="D1315" t="s">
        <v>3048</v>
      </c>
      <c r="E1315" t="s">
        <v>52</v>
      </c>
      <c r="F1315" t="s">
        <v>3049</v>
      </c>
      <c r="G1315" t="s">
        <v>250</v>
      </c>
      <c r="H1315" t="str">
        <f>"ΓΕΩΡΓΙΟΥ ΓΕΝΝΗΜΑΤΑ 11 ΑΓΙΑ ΜΑΡΙΝΑ ΓΑΖΙΟΥ (Ν. ΗΡΑΚΛΕΙΟΥ)"</f>
        <v>ΓΕΩΡΓΙΟΥ ΓΕΝΝΗΜΑΤΑ 11 ΑΓΙΑ ΜΑΡΙΝΑ ΓΑΖΙΟΥ (Ν. ΗΡΑΚΛΕΙΟΥ)</v>
      </c>
      <c r="J1315">
        <v>2810312805</v>
      </c>
      <c r="K1315">
        <v>6945120048</v>
      </c>
      <c r="M1315" t="s">
        <v>3050</v>
      </c>
      <c r="N1315" t="s">
        <v>299</v>
      </c>
      <c r="O1315" t="s">
        <v>300</v>
      </c>
      <c r="R1315" t="s">
        <v>57</v>
      </c>
      <c r="S1315">
        <v>11</v>
      </c>
      <c r="T1315">
        <v>231</v>
      </c>
      <c r="U1315" s="1">
        <v>38230</v>
      </c>
      <c r="V1315" t="s">
        <v>123</v>
      </c>
      <c r="W1315" t="s">
        <v>124</v>
      </c>
      <c r="X1315" t="s">
        <v>58</v>
      </c>
      <c r="Y1315">
        <v>20</v>
      </c>
      <c r="Z1315" t="s">
        <v>59</v>
      </c>
      <c r="AA1315" t="s">
        <v>59</v>
      </c>
      <c r="AB1315" t="s">
        <v>59</v>
      </c>
      <c r="AC1315" t="s">
        <v>59</v>
      </c>
      <c r="AD1315" t="s">
        <v>59</v>
      </c>
      <c r="AF1315" s="1">
        <v>38233</v>
      </c>
      <c r="AG1315" t="s">
        <v>148</v>
      </c>
      <c r="AH1315" t="s">
        <v>149</v>
      </c>
      <c r="AI1315" t="str">
        <f>"1760010"</f>
        <v>1760010</v>
      </c>
      <c r="AJ1315" t="s">
        <v>701</v>
      </c>
      <c r="AK1315">
        <v>2810711442</v>
      </c>
      <c r="AL1315" t="s">
        <v>702</v>
      </c>
      <c r="AM1315" t="s">
        <v>78</v>
      </c>
      <c r="AN1315" t="s">
        <v>129</v>
      </c>
      <c r="AO1315" t="s">
        <v>597</v>
      </c>
      <c r="AP1315" t="s">
        <v>598</v>
      </c>
      <c r="AQ1315">
        <v>28</v>
      </c>
      <c r="AR1315" t="s">
        <v>123</v>
      </c>
      <c r="AS1315" t="s">
        <v>124</v>
      </c>
      <c r="AT1315" t="s">
        <v>58</v>
      </c>
      <c r="AU1315" t="s">
        <v>68</v>
      </c>
      <c r="AV1315" t="s">
        <v>69</v>
      </c>
      <c r="AW1315" s="1">
        <v>27708</v>
      </c>
      <c r="AX1315">
        <v>2</v>
      </c>
    </row>
    <row r="1316" spans="1:50">
      <c r="A1316">
        <v>201801</v>
      </c>
      <c r="B1316" t="str">
        <f>"064336829"</f>
        <v>064336829</v>
      </c>
      <c r="C1316" t="s">
        <v>50</v>
      </c>
      <c r="D1316" t="s">
        <v>3051</v>
      </c>
      <c r="E1316" t="s">
        <v>658</v>
      </c>
      <c r="F1316" t="s">
        <v>53</v>
      </c>
      <c r="G1316" t="s">
        <v>964</v>
      </c>
      <c r="H1316" t="str">
        <f>"ΑΓ. ΦΑΝΟΥΡΙΟΥ 11 Ν. ΑΛΙΚΑΡΝΑΣΣΟΣ"</f>
        <v>ΑΓ. ΦΑΝΟΥΡΙΟΥ 11 Ν. ΑΛΙΚΑΡΝΑΣΣΟΣ</v>
      </c>
      <c r="I1316">
        <v>71601</v>
      </c>
      <c r="J1316">
        <v>2810281077</v>
      </c>
      <c r="K1316">
        <v>6972738887</v>
      </c>
      <c r="M1316" t="s">
        <v>3052</v>
      </c>
      <c r="N1316" t="s">
        <v>146</v>
      </c>
      <c r="O1316" t="s">
        <v>147</v>
      </c>
      <c r="R1316" t="s">
        <v>57</v>
      </c>
      <c r="S1316">
        <v>10</v>
      </c>
      <c r="T1316">
        <v>231</v>
      </c>
      <c r="U1316" s="1">
        <v>38230</v>
      </c>
      <c r="V1316" t="s">
        <v>123</v>
      </c>
      <c r="W1316" t="s">
        <v>124</v>
      </c>
      <c r="X1316" t="s">
        <v>58</v>
      </c>
      <c r="Y1316">
        <v>18</v>
      </c>
      <c r="Z1316" t="s">
        <v>59</v>
      </c>
      <c r="AA1316" t="s">
        <v>59</v>
      </c>
      <c r="AB1316" t="s">
        <v>59</v>
      </c>
      <c r="AC1316" t="s">
        <v>59</v>
      </c>
      <c r="AD1316" t="s">
        <v>59</v>
      </c>
      <c r="AF1316" s="1">
        <v>38232</v>
      </c>
      <c r="AG1316" t="s">
        <v>148</v>
      </c>
      <c r="AH1316" t="s">
        <v>149</v>
      </c>
      <c r="AI1316" t="str">
        <f>"1751042"</f>
        <v>1751042</v>
      </c>
      <c r="AJ1316" t="s">
        <v>959</v>
      </c>
      <c r="AK1316">
        <v>2810220685</v>
      </c>
      <c r="AL1316" t="s">
        <v>960</v>
      </c>
      <c r="AM1316" t="s">
        <v>78</v>
      </c>
      <c r="AN1316" t="s">
        <v>78</v>
      </c>
      <c r="AO1316" t="s">
        <v>78</v>
      </c>
      <c r="AP1316" t="s">
        <v>213</v>
      </c>
      <c r="AQ1316">
        <v>6</v>
      </c>
      <c r="AR1316" t="s">
        <v>123</v>
      </c>
      <c r="AS1316" t="s">
        <v>124</v>
      </c>
      <c r="AT1316" t="s">
        <v>58</v>
      </c>
      <c r="AU1316" t="s">
        <v>68</v>
      </c>
      <c r="AV1316" t="s">
        <v>69</v>
      </c>
      <c r="AW1316" s="1">
        <v>24645</v>
      </c>
      <c r="AX1316">
        <v>2</v>
      </c>
    </row>
    <row r="1317" spans="1:50">
      <c r="A1317">
        <v>212291</v>
      </c>
      <c r="B1317" t="str">
        <f>"031778719"</f>
        <v>031778719</v>
      </c>
      <c r="C1317" t="s">
        <v>50</v>
      </c>
      <c r="D1317" t="s">
        <v>3051</v>
      </c>
      <c r="E1317" t="s">
        <v>52</v>
      </c>
      <c r="F1317" t="s">
        <v>377</v>
      </c>
      <c r="G1317" t="s">
        <v>1740</v>
      </c>
      <c r="H1317" t="str">
        <f>"ΤΣΙΜΙΣΚΗ 5 ΠΟΡΟΣ"</f>
        <v>ΤΣΙΜΙΣΚΗ 5 ΠΟΡΟΣ</v>
      </c>
      <c r="I1317">
        <v>71307</v>
      </c>
      <c r="J1317">
        <v>2810344316</v>
      </c>
      <c r="K1317">
        <v>6972272685</v>
      </c>
      <c r="M1317" t="s">
        <v>3053</v>
      </c>
      <c r="N1317" t="s">
        <v>146</v>
      </c>
      <c r="O1317" t="s">
        <v>147</v>
      </c>
      <c r="R1317" t="s">
        <v>57</v>
      </c>
      <c r="S1317">
        <v>7</v>
      </c>
      <c r="T1317">
        <v>231</v>
      </c>
      <c r="U1317" s="1">
        <v>38960</v>
      </c>
      <c r="V1317" t="s">
        <v>123</v>
      </c>
      <c r="W1317" t="s">
        <v>124</v>
      </c>
      <c r="X1317" t="s">
        <v>58</v>
      </c>
      <c r="Y1317">
        <v>20</v>
      </c>
      <c r="Z1317" t="s">
        <v>59</v>
      </c>
      <c r="AA1317" t="s">
        <v>59</v>
      </c>
      <c r="AB1317" t="s">
        <v>59</v>
      </c>
      <c r="AC1317" t="s">
        <v>59</v>
      </c>
      <c r="AD1317" t="s">
        <v>59</v>
      </c>
      <c r="AF1317" s="1">
        <v>38964</v>
      </c>
      <c r="AG1317" t="s">
        <v>125</v>
      </c>
      <c r="AH1317" t="s">
        <v>126</v>
      </c>
      <c r="AI1317" t="str">
        <f>"1727010"</f>
        <v>1727010</v>
      </c>
      <c r="AJ1317" t="s">
        <v>618</v>
      </c>
      <c r="AK1317">
        <v>2810229231</v>
      </c>
      <c r="AL1317" t="s">
        <v>619</v>
      </c>
      <c r="AM1317" t="s">
        <v>78</v>
      </c>
      <c r="AN1317" t="s">
        <v>78</v>
      </c>
      <c r="AO1317" t="s">
        <v>286</v>
      </c>
      <c r="AP1317" t="s">
        <v>286</v>
      </c>
      <c r="AQ1317">
        <v>12</v>
      </c>
      <c r="AR1317" t="s">
        <v>123</v>
      </c>
      <c r="AS1317" t="s">
        <v>124</v>
      </c>
      <c r="AT1317" t="s">
        <v>58</v>
      </c>
      <c r="AU1317" t="s">
        <v>68</v>
      </c>
      <c r="AV1317" t="s">
        <v>69</v>
      </c>
      <c r="AW1317" s="1">
        <v>25009</v>
      </c>
      <c r="AX1317">
        <v>2</v>
      </c>
    </row>
    <row r="1318" spans="1:50">
      <c r="A1318">
        <v>184550</v>
      </c>
      <c r="B1318" t="str">
        <f>"042661977"</f>
        <v>042661977</v>
      </c>
      <c r="C1318" t="s">
        <v>50</v>
      </c>
      <c r="D1318" t="s">
        <v>3051</v>
      </c>
      <c r="E1318" t="s">
        <v>52</v>
      </c>
      <c r="F1318" t="s">
        <v>949</v>
      </c>
      <c r="G1318" t="s">
        <v>1019</v>
      </c>
      <c r="H1318" t="str">
        <f>"ΠΑΥΣΑΝΙΟΥ 9 "</f>
        <v xml:space="preserve">ΠΑΥΣΑΝΙΟΥ 9 </v>
      </c>
      <c r="I1318">
        <v>71305</v>
      </c>
      <c r="J1318">
        <v>2810316273</v>
      </c>
      <c r="K1318">
        <v>6946842793</v>
      </c>
      <c r="M1318" t="s">
        <v>3054</v>
      </c>
      <c r="N1318" t="s">
        <v>288</v>
      </c>
      <c r="O1318" t="s">
        <v>289</v>
      </c>
      <c r="R1318" t="s">
        <v>57</v>
      </c>
      <c r="S1318">
        <v>9</v>
      </c>
      <c r="T1318">
        <v>177</v>
      </c>
      <c r="U1318" s="1">
        <v>36403</v>
      </c>
      <c r="V1318" t="s">
        <v>123</v>
      </c>
      <c r="W1318" t="s">
        <v>124</v>
      </c>
      <c r="X1318" t="s">
        <v>58</v>
      </c>
      <c r="Y1318">
        <v>20</v>
      </c>
      <c r="Z1318" t="s">
        <v>59</v>
      </c>
      <c r="AA1318" t="s">
        <v>59</v>
      </c>
      <c r="AB1318" t="s">
        <v>59</v>
      </c>
      <c r="AC1318" t="s">
        <v>59</v>
      </c>
      <c r="AD1318" t="s">
        <v>59</v>
      </c>
      <c r="AF1318" s="1">
        <v>36403</v>
      </c>
      <c r="AG1318" t="s">
        <v>125</v>
      </c>
      <c r="AH1318" t="s">
        <v>126</v>
      </c>
      <c r="AI1318" t="str">
        <f>"1701041"</f>
        <v>1701041</v>
      </c>
      <c r="AJ1318" t="s">
        <v>161</v>
      </c>
      <c r="AK1318">
        <v>2810327052</v>
      </c>
      <c r="AL1318" t="s">
        <v>162</v>
      </c>
      <c r="AM1318" t="s">
        <v>78</v>
      </c>
      <c r="AN1318" t="s">
        <v>78</v>
      </c>
      <c r="AO1318" t="s">
        <v>78</v>
      </c>
      <c r="AP1318" t="s">
        <v>163</v>
      </c>
      <c r="AQ1318">
        <v>5</v>
      </c>
      <c r="AR1318" t="s">
        <v>123</v>
      </c>
      <c r="AS1318" t="s">
        <v>124</v>
      </c>
      <c r="AT1318" t="s">
        <v>58</v>
      </c>
      <c r="AU1318" t="s">
        <v>68</v>
      </c>
      <c r="AV1318" t="s">
        <v>69</v>
      </c>
      <c r="AW1318" s="1">
        <v>23082</v>
      </c>
      <c r="AX1318">
        <v>2</v>
      </c>
    </row>
    <row r="1319" spans="1:50">
      <c r="A1319">
        <v>172157</v>
      </c>
      <c r="B1319" t="str">
        <f>"038756005"</f>
        <v>038756005</v>
      </c>
      <c r="C1319" t="s">
        <v>105</v>
      </c>
      <c r="D1319" t="s">
        <v>3055</v>
      </c>
      <c r="E1319" t="s">
        <v>166</v>
      </c>
      <c r="F1319" t="s">
        <v>106</v>
      </c>
      <c r="G1319" t="s">
        <v>237</v>
      </c>
      <c r="H1319" t="str">
        <f>" "</f>
        <v xml:space="preserve"> </v>
      </c>
      <c r="M1319" t="s">
        <v>3056</v>
      </c>
      <c r="N1319" t="s">
        <v>331</v>
      </c>
      <c r="O1319" t="s">
        <v>332</v>
      </c>
      <c r="R1319" t="s">
        <v>57</v>
      </c>
      <c r="S1319">
        <v>14</v>
      </c>
      <c r="T1319">
        <v>184</v>
      </c>
      <c r="U1319" s="1">
        <v>34941</v>
      </c>
      <c r="V1319" t="s">
        <v>123</v>
      </c>
      <c r="W1319" t="s">
        <v>124</v>
      </c>
      <c r="X1319" t="s">
        <v>58</v>
      </c>
      <c r="Y1319">
        <v>18</v>
      </c>
      <c r="Z1319" t="s">
        <v>59</v>
      </c>
      <c r="AA1319" t="s">
        <v>59</v>
      </c>
      <c r="AB1319" t="s">
        <v>59</v>
      </c>
      <c r="AC1319" t="s">
        <v>59</v>
      </c>
      <c r="AD1319" t="s">
        <v>59</v>
      </c>
      <c r="AF1319" s="1">
        <v>34943</v>
      </c>
      <c r="AG1319" t="s">
        <v>125</v>
      </c>
      <c r="AH1319" t="s">
        <v>126</v>
      </c>
      <c r="AI1319" t="str">
        <f>"1701054"</f>
        <v>1701054</v>
      </c>
      <c r="AJ1319" t="s">
        <v>318</v>
      </c>
      <c r="AK1319">
        <v>2810252418</v>
      </c>
      <c r="AL1319" t="s">
        <v>319</v>
      </c>
      <c r="AM1319" t="s">
        <v>78</v>
      </c>
      <c r="AN1319" t="s">
        <v>78</v>
      </c>
      <c r="AO1319" t="s">
        <v>78</v>
      </c>
      <c r="AP1319" t="s">
        <v>141</v>
      </c>
      <c r="AQ1319">
        <v>7</v>
      </c>
      <c r="AR1319" t="s">
        <v>123</v>
      </c>
      <c r="AS1319" t="s">
        <v>124</v>
      </c>
      <c r="AT1319" t="s">
        <v>58</v>
      </c>
      <c r="AU1319" t="s">
        <v>68</v>
      </c>
      <c r="AV1319" t="s">
        <v>69</v>
      </c>
      <c r="AW1319" s="1">
        <v>23547</v>
      </c>
      <c r="AX1319">
        <v>2</v>
      </c>
    </row>
    <row r="1320" spans="1:50">
      <c r="A1320">
        <v>200441</v>
      </c>
      <c r="B1320" t="str">
        <f>"062029047"</f>
        <v>062029047</v>
      </c>
      <c r="C1320" t="s">
        <v>105</v>
      </c>
      <c r="D1320" t="s">
        <v>3055</v>
      </c>
      <c r="E1320" t="s">
        <v>106</v>
      </c>
      <c r="F1320" t="s">
        <v>166</v>
      </c>
      <c r="G1320" t="s">
        <v>868</v>
      </c>
      <c r="H1320" t="str">
        <f>"ΘΕΜΟΥ ΚΟΡΝΑΡΟΥ 12-14 ΗΡΑΚΛΕΙΟ"</f>
        <v>ΘΕΜΟΥ ΚΟΡΝΑΡΟΥ 12-14 ΗΡΑΚΛΕΙΟ</v>
      </c>
      <c r="I1320">
        <v>71306</v>
      </c>
      <c r="J1320">
        <v>2810323997</v>
      </c>
      <c r="K1320">
        <v>6974353020</v>
      </c>
      <c r="M1320" t="s">
        <v>3057</v>
      </c>
      <c r="N1320" t="s">
        <v>204</v>
      </c>
      <c r="O1320" t="s">
        <v>205</v>
      </c>
      <c r="R1320" t="s">
        <v>57</v>
      </c>
      <c r="S1320">
        <v>7</v>
      </c>
      <c r="T1320">
        <v>206</v>
      </c>
      <c r="U1320" s="1">
        <v>37866</v>
      </c>
      <c r="V1320" t="s">
        <v>123</v>
      </c>
      <c r="W1320" t="s">
        <v>124</v>
      </c>
      <c r="X1320" t="s">
        <v>58</v>
      </c>
      <c r="Y1320">
        <v>20</v>
      </c>
      <c r="Z1320" t="s">
        <v>59</v>
      </c>
      <c r="AA1320" t="s">
        <v>59</v>
      </c>
      <c r="AB1320" t="s">
        <v>59</v>
      </c>
      <c r="AC1320" t="s">
        <v>59</v>
      </c>
      <c r="AD1320" t="s">
        <v>59</v>
      </c>
      <c r="AF1320" s="1">
        <v>37866</v>
      </c>
      <c r="AG1320" t="s">
        <v>125</v>
      </c>
      <c r="AH1320" t="s">
        <v>126</v>
      </c>
      <c r="AI1320" t="str">
        <f>"1704010"</f>
        <v>1704010</v>
      </c>
      <c r="AJ1320" t="s">
        <v>480</v>
      </c>
      <c r="AK1320">
        <v>2895022230</v>
      </c>
      <c r="AL1320" t="s">
        <v>481</v>
      </c>
      <c r="AM1320" t="s">
        <v>78</v>
      </c>
      <c r="AN1320" t="s">
        <v>482</v>
      </c>
      <c r="AO1320" t="s">
        <v>482</v>
      </c>
      <c r="AP1320" t="s">
        <v>483</v>
      </c>
      <c r="AQ1320">
        <v>16</v>
      </c>
      <c r="AR1320" t="s">
        <v>123</v>
      </c>
      <c r="AS1320" t="s">
        <v>124</v>
      </c>
      <c r="AT1320" t="s">
        <v>58</v>
      </c>
      <c r="AU1320" t="s">
        <v>68</v>
      </c>
      <c r="AV1320" t="s">
        <v>69</v>
      </c>
      <c r="AW1320" s="1">
        <v>27735</v>
      </c>
      <c r="AX1320">
        <v>2</v>
      </c>
    </row>
    <row r="1321" spans="1:50">
      <c r="B1321" t="str">
        <f>"126885927"</f>
        <v>126885927</v>
      </c>
      <c r="C1321" t="s">
        <v>50</v>
      </c>
      <c r="D1321" t="s">
        <v>3058</v>
      </c>
      <c r="E1321" t="s">
        <v>809</v>
      </c>
      <c r="F1321" t="s">
        <v>581</v>
      </c>
      <c r="G1321" t="s">
        <v>964</v>
      </c>
      <c r="H1321" t="str">
        <f>"ΝΙΚ.ΠΛΑΣΤΗΡΑ 36 "</f>
        <v xml:space="preserve">ΝΙΚ.ΠΛΑΣΤΗΡΑ 36 </v>
      </c>
      <c r="I1321">
        <v>15121</v>
      </c>
      <c r="J1321">
        <v>2108069095</v>
      </c>
      <c r="K1321">
        <v>6944604673</v>
      </c>
      <c r="N1321" t="s">
        <v>536</v>
      </c>
      <c r="O1321" t="s">
        <v>537</v>
      </c>
      <c r="R1321" t="s">
        <v>159</v>
      </c>
      <c r="S1321">
        <v>6</v>
      </c>
      <c r="T1321" t="s">
        <v>3059</v>
      </c>
      <c r="U1321" s="1">
        <v>43348</v>
      </c>
      <c r="V1321" t="s">
        <v>123</v>
      </c>
      <c r="W1321" t="s">
        <v>124</v>
      </c>
      <c r="X1321" t="s">
        <v>58</v>
      </c>
      <c r="Y1321">
        <v>23</v>
      </c>
      <c r="Z1321" t="s">
        <v>59</v>
      </c>
      <c r="AA1321" t="s">
        <v>59</v>
      </c>
      <c r="AB1321" t="s">
        <v>59</v>
      </c>
      <c r="AC1321" t="s">
        <v>59</v>
      </c>
      <c r="AD1321" t="s">
        <v>59</v>
      </c>
      <c r="AF1321" s="1">
        <v>43348</v>
      </c>
      <c r="AG1321" t="s">
        <v>60</v>
      </c>
      <c r="AH1321" t="s">
        <v>61</v>
      </c>
      <c r="AI1321" t="str">
        <f>"9000624"</f>
        <v>9000624</v>
      </c>
      <c r="AJ1321" t="s">
        <v>76</v>
      </c>
      <c r="AK1321">
        <v>2810215020</v>
      </c>
      <c r="AL1321" t="s">
        <v>77</v>
      </c>
      <c r="AM1321" t="s">
        <v>78</v>
      </c>
      <c r="AN1321" t="s">
        <v>78</v>
      </c>
      <c r="AO1321" t="s">
        <v>78</v>
      </c>
      <c r="AP1321" t="s">
        <v>79</v>
      </c>
      <c r="AR1321" t="s">
        <v>80</v>
      </c>
      <c r="AS1321" t="s">
        <v>81</v>
      </c>
      <c r="AT1321" t="s">
        <v>58</v>
      </c>
      <c r="AU1321" t="s">
        <v>350</v>
      </c>
      <c r="AV1321" t="s">
        <v>132</v>
      </c>
      <c r="AW1321" s="1">
        <v>28882</v>
      </c>
      <c r="AX1321">
        <v>0</v>
      </c>
    </row>
    <row r="1322" spans="1:50">
      <c r="A1322">
        <v>186261</v>
      </c>
      <c r="B1322" t="str">
        <f>"064035338"</f>
        <v>064035338</v>
      </c>
      <c r="C1322" t="s">
        <v>105</v>
      </c>
      <c r="D1322" t="s">
        <v>3060</v>
      </c>
      <c r="E1322" t="s">
        <v>900</v>
      </c>
      <c r="F1322" t="s">
        <v>95</v>
      </c>
      <c r="G1322" t="s">
        <v>263</v>
      </c>
      <c r="H1322" t="str">
        <f>"Σ;ΑΡΠΙΔΩΝΟΣ 25 "</f>
        <v xml:space="preserve">Σ;ΑΡΠΙΔΩΝΟΣ 25 </v>
      </c>
      <c r="I1322">
        <v>71309</v>
      </c>
      <c r="J1322">
        <v>2810324353</v>
      </c>
      <c r="K1322">
        <v>6974794976</v>
      </c>
      <c r="M1322" t="s">
        <v>3061</v>
      </c>
      <c r="N1322" t="s">
        <v>176</v>
      </c>
      <c r="O1322" t="s">
        <v>177</v>
      </c>
      <c r="R1322" t="s">
        <v>57</v>
      </c>
      <c r="S1322">
        <v>11</v>
      </c>
      <c r="T1322">
        <v>250</v>
      </c>
      <c r="U1322" s="1">
        <v>36769</v>
      </c>
      <c r="V1322" t="s">
        <v>123</v>
      </c>
      <c r="W1322" t="s">
        <v>124</v>
      </c>
      <c r="X1322" t="s">
        <v>58</v>
      </c>
      <c r="Y1322">
        <v>20</v>
      </c>
      <c r="Z1322" t="s">
        <v>59</v>
      </c>
      <c r="AA1322" t="s">
        <v>59</v>
      </c>
      <c r="AB1322" t="s">
        <v>59</v>
      </c>
      <c r="AC1322" t="s">
        <v>59</v>
      </c>
      <c r="AD1322" t="s">
        <v>59</v>
      </c>
      <c r="AF1322" s="1">
        <v>36774</v>
      </c>
      <c r="AG1322" t="s">
        <v>148</v>
      </c>
      <c r="AH1322" t="s">
        <v>149</v>
      </c>
      <c r="AI1322" t="str">
        <f>"1751030"</f>
        <v>1751030</v>
      </c>
      <c r="AJ1322" t="s">
        <v>234</v>
      </c>
      <c r="AK1322">
        <v>2810282911</v>
      </c>
      <c r="AL1322" t="s">
        <v>235</v>
      </c>
      <c r="AM1322" t="s">
        <v>78</v>
      </c>
      <c r="AN1322" t="s">
        <v>78</v>
      </c>
      <c r="AO1322" t="s">
        <v>78</v>
      </c>
      <c r="AP1322" t="s">
        <v>163</v>
      </c>
      <c r="AQ1322">
        <v>1</v>
      </c>
      <c r="AR1322" t="s">
        <v>123</v>
      </c>
      <c r="AS1322" t="s">
        <v>124</v>
      </c>
      <c r="AT1322" t="s">
        <v>58</v>
      </c>
      <c r="AU1322" t="s">
        <v>68</v>
      </c>
      <c r="AV1322" t="s">
        <v>69</v>
      </c>
      <c r="AW1322" s="1">
        <v>26955</v>
      </c>
      <c r="AX1322">
        <v>2</v>
      </c>
    </row>
    <row r="1323" spans="1:50">
      <c r="A1323">
        <v>192795</v>
      </c>
      <c r="B1323" t="str">
        <f>"039476785"</f>
        <v>039476785</v>
      </c>
      <c r="C1323" t="s">
        <v>105</v>
      </c>
      <c r="D1323" t="s">
        <v>3062</v>
      </c>
      <c r="E1323" t="s">
        <v>99</v>
      </c>
      <c r="F1323" t="s">
        <v>166</v>
      </c>
      <c r="G1323" t="s">
        <v>52</v>
      </c>
      <c r="H1323" t="str">
        <f>"ΕΠΙΣΚΟΠΗ ΕΠΙΣΚΟΠΗ ΠΕΔΙΑΔΑΣ"</f>
        <v>ΕΠΙΣΚΟΠΗ ΕΠΙΣΚΟΠΗ ΠΕΔΙΑΔΑΣ</v>
      </c>
      <c r="I1323">
        <v>70008</v>
      </c>
      <c r="J1323">
        <v>2810771115</v>
      </c>
      <c r="K1323">
        <v>6982171973</v>
      </c>
      <c r="M1323" t="s">
        <v>3063</v>
      </c>
      <c r="N1323" t="s">
        <v>157</v>
      </c>
      <c r="O1323" t="s">
        <v>158</v>
      </c>
      <c r="R1323" t="s">
        <v>57</v>
      </c>
      <c r="S1323">
        <v>10</v>
      </c>
      <c r="T1323">
        <v>193</v>
      </c>
      <c r="U1323" s="1">
        <v>37497</v>
      </c>
      <c r="V1323" t="s">
        <v>123</v>
      </c>
      <c r="W1323" t="s">
        <v>124</v>
      </c>
      <c r="X1323" t="s">
        <v>58</v>
      </c>
      <c r="Y1323">
        <v>18</v>
      </c>
      <c r="Z1323" t="s">
        <v>59</v>
      </c>
      <c r="AA1323" t="s">
        <v>59</v>
      </c>
      <c r="AB1323" t="s">
        <v>59</v>
      </c>
      <c r="AC1323" t="s">
        <v>59</v>
      </c>
      <c r="AD1323" t="s">
        <v>59</v>
      </c>
      <c r="AF1323" s="1">
        <v>37501</v>
      </c>
      <c r="AG1323" t="s">
        <v>125</v>
      </c>
      <c r="AH1323" t="s">
        <v>126</v>
      </c>
      <c r="AI1323" t="str">
        <f>"1701070"</f>
        <v>1701070</v>
      </c>
      <c r="AJ1323" t="s">
        <v>1490</v>
      </c>
      <c r="AK1323">
        <v>2810771241</v>
      </c>
      <c r="AL1323" t="s">
        <v>1491</v>
      </c>
      <c r="AM1323" t="s">
        <v>78</v>
      </c>
      <c r="AN1323" t="s">
        <v>219</v>
      </c>
      <c r="AO1323" t="s">
        <v>1437</v>
      </c>
      <c r="AP1323" t="s">
        <v>1437</v>
      </c>
      <c r="AQ1323">
        <v>21</v>
      </c>
      <c r="AR1323" t="s">
        <v>123</v>
      </c>
      <c r="AS1323" t="s">
        <v>124</v>
      </c>
      <c r="AT1323" t="s">
        <v>58</v>
      </c>
      <c r="AU1323" t="s">
        <v>68</v>
      </c>
      <c r="AV1323" t="s">
        <v>69</v>
      </c>
      <c r="AW1323" s="1">
        <v>23418</v>
      </c>
      <c r="AX1323">
        <v>2</v>
      </c>
    </row>
    <row r="1324" spans="1:50">
      <c r="A1324">
        <v>216912</v>
      </c>
      <c r="B1324" t="str">
        <f>"105171710"</f>
        <v>105171710</v>
      </c>
      <c r="C1324" t="s">
        <v>50</v>
      </c>
      <c r="D1324" t="s">
        <v>3064</v>
      </c>
      <c r="E1324" t="s">
        <v>255</v>
      </c>
      <c r="F1324" t="s">
        <v>166</v>
      </c>
      <c r="G1324" t="s">
        <v>52</v>
      </c>
      <c r="H1324" t="str">
        <f>"ΑΡΧΑΝΕΣ "</f>
        <v xml:space="preserve">ΑΡΧΑΝΕΣ </v>
      </c>
      <c r="I1324">
        <v>70100</v>
      </c>
      <c r="J1324">
        <v>2810752130</v>
      </c>
      <c r="K1324">
        <v>6974434468</v>
      </c>
      <c r="M1324" t="s">
        <v>3065</v>
      </c>
      <c r="N1324" t="s">
        <v>204</v>
      </c>
      <c r="O1324" t="s">
        <v>205</v>
      </c>
      <c r="R1324" t="s">
        <v>57</v>
      </c>
      <c r="S1324">
        <v>6</v>
      </c>
      <c r="T1324">
        <v>298</v>
      </c>
      <c r="U1324" s="1">
        <v>38985</v>
      </c>
      <c r="V1324" t="s">
        <v>123</v>
      </c>
      <c r="W1324" t="s">
        <v>124</v>
      </c>
      <c r="X1324" t="s">
        <v>58</v>
      </c>
      <c r="Y1324">
        <v>20</v>
      </c>
      <c r="Z1324" t="s">
        <v>59</v>
      </c>
      <c r="AA1324" t="s">
        <v>59</v>
      </c>
      <c r="AB1324" t="s">
        <v>59</v>
      </c>
      <c r="AC1324" t="s">
        <v>59</v>
      </c>
      <c r="AD1324" t="s">
        <v>59</v>
      </c>
      <c r="AF1324" s="1">
        <v>38986</v>
      </c>
      <c r="AG1324" t="s">
        <v>125</v>
      </c>
      <c r="AH1324" t="s">
        <v>126</v>
      </c>
      <c r="AI1324" t="str">
        <f>"1715010"</f>
        <v>1715010</v>
      </c>
      <c r="AJ1324" t="s">
        <v>812</v>
      </c>
      <c r="AK1324">
        <v>2893031193</v>
      </c>
      <c r="AL1324" t="s">
        <v>813</v>
      </c>
      <c r="AM1324" t="s">
        <v>78</v>
      </c>
      <c r="AN1324" t="s">
        <v>405</v>
      </c>
      <c r="AO1324" t="s">
        <v>805</v>
      </c>
      <c r="AP1324" t="s">
        <v>806</v>
      </c>
      <c r="AQ1324">
        <v>25</v>
      </c>
      <c r="AR1324" t="s">
        <v>123</v>
      </c>
      <c r="AS1324" t="s">
        <v>124</v>
      </c>
      <c r="AT1324" t="s">
        <v>58</v>
      </c>
      <c r="AU1324" t="s">
        <v>68</v>
      </c>
      <c r="AV1324" t="s">
        <v>69</v>
      </c>
      <c r="AW1324" s="1">
        <v>29414</v>
      </c>
      <c r="AX1324">
        <v>2</v>
      </c>
    </row>
    <row r="1325" spans="1:50">
      <c r="B1325" t="str">
        <f>"132337522"</f>
        <v>132337522</v>
      </c>
      <c r="C1325" t="s">
        <v>50</v>
      </c>
      <c r="D1325" t="s">
        <v>3066</v>
      </c>
      <c r="E1325" t="s">
        <v>52</v>
      </c>
      <c r="F1325" t="s">
        <v>84</v>
      </c>
      <c r="H1325" t="str">
        <f>" "</f>
        <v xml:space="preserve"> </v>
      </c>
      <c r="K1325">
        <v>6972841372</v>
      </c>
      <c r="M1325" t="s">
        <v>3067</v>
      </c>
      <c r="N1325" t="s">
        <v>536</v>
      </c>
      <c r="O1325" t="s">
        <v>537</v>
      </c>
      <c r="R1325" t="s">
        <v>159</v>
      </c>
      <c r="S1325">
        <v>3</v>
      </c>
      <c r="T1325" t="s">
        <v>344</v>
      </c>
      <c r="U1325" s="1">
        <v>43348</v>
      </c>
      <c r="V1325" t="s">
        <v>123</v>
      </c>
      <c r="W1325" t="s">
        <v>124</v>
      </c>
      <c r="X1325" t="s">
        <v>58</v>
      </c>
      <c r="Y1325">
        <v>23</v>
      </c>
      <c r="Z1325" t="s">
        <v>59</v>
      </c>
      <c r="AA1325" t="s">
        <v>59</v>
      </c>
      <c r="AB1325" t="s">
        <v>59</v>
      </c>
      <c r="AC1325" t="s">
        <v>59</v>
      </c>
      <c r="AD1325" t="s">
        <v>59</v>
      </c>
      <c r="AF1325" s="1">
        <v>43348</v>
      </c>
      <c r="AG1325" t="s">
        <v>125</v>
      </c>
      <c r="AH1325" t="s">
        <v>538</v>
      </c>
      <c r="AI1325" t="str">
        <f>"1701002"</f>
        <v>1701002</v>
      </c>
      <c r="AJ1325" t="s">
        <v>539</v>
      </c>
      <c r="AK1325">
        <v>2810213569</v>
      </c>
      <c r="AL1325" t="s">
        <v>540</v>
      </c>
      <c r="AM1325" t="s">
        <v>78</v>
      </c>
      <c r="AN1325" t="s">
        <v>78</v>
      </c>
      <c r="AO1325" t="s">
        <v>78</v>
      </c>
      <c r="AP1325" t="s">
        <v>163</v>
      </c>
      <c r="AQ1325">
        <v>11</v>
      </c>
      <c r="AR1325" t="s">
        <v>123</v>
      </c>
      <c r="AS1325" t="s">
        <v>124</v>
      </c>
      <c r="AT1325" t="s">
        <v>58</v>
      </c>
      <c r="AU1325" t="s">
        <v>350</v>
      </c>
      <c r="AV1325" t="s">
        <v>132</v>
      </c>
      <c r="AW1325" s="1">
        <v>31402</v>
      </c>
      <c r="AX1325">
        <v>2</v>
      </c>
    </row>
    <row r="1326" spans="1:50">
      <c r="A1326">
        <v>180895</v>
      </c>
      <c r="B1326" t="str">
        <f>"044347080"</f>
        <v>044347080</v>
      </c>
      <c r="C1326" t="s">
        <v>50</v>
      </c>
      <c r="D1326" t="s">
        <v>3068</v>
      </c>
      <c r="E1326" t="s">
        <v>215</v>
      </c>
      <c r="F1326" t="s">
        <v>173</v>
      </c>
      <c r="G1326" t="s">
        <v>83</v>
      </c>
      <c r="H1326" t="str">
        <f>"ΔΗΜΟΚΡΑΤΙΑΣ 2 ΚΟΚΙΝΗ ΧΑΝΙ"</f>
        <v>ΔΗΜΟΚΡΑΤΙΑΣ 2 ΚΟΚΙΝΗ ΧΑΝΙ</v>
      </c>
      <c r="I1326">
        <v>71500</v>
      </c>
      <c r="J1326">
        <v>2810761463</v>
      </c>
      <c r="K1326">
        <v>6945319926</v>
      </c>
      <c r="M1326" t="s">
        <v>3069</v>
      </c>
      <c r="N1326" t="s">
        <v>478</v>
      </c>
      <c r="O1326" t="s">
        <v>479</v>
      </c>
      <c r="R1326" t="s">
        <v>57</v>
      </c>
      <c r="S1326">
        <v>10</v>
      </c>
      <c r="T1326">
        <v>164</v>
      </c>
      <c r="U1326" s="1">
        <v>36040</v>
      </c>
      <c r="V1326" t="s">
        <v>123</v>
      </c>
      <c r="W1326" t="s">
        <v>124</v>
      </c>
      <c r="X1326" t="s">
        <v>58</v>
      </c>
      <c r="Y1326">
        <v>18</v>
      </c>
      <c r="Z1326" t="s">
        <v>59</v>
      </c>
      <c r="AA1326" t="s">
        <v>59</v>
      </c>
      <c r="AB1326" t="s">
        <v>59</v>
      </c>
      <c r="AC1326" t="s">
        <v>59</v>
      </c>
      <c r="AD1326" t="s">
        <v>59</v>
      </c>
      <c r="AF1326" s="1">
        <v>36042</v>
      </c>
      <c r="AG1326" t="s">
        <v>125</v>
      </c>
      <c r="AH1326" t="s">
        <v>386</v>
      </c>
      <c r="AI1326" t="str">
        <f>"1741002"</f>
        <v>1741002</v>
      </c>
      <c r="AJ1326" t="s">
        <v>387</v>
      </c>
      <c r="AK1326">
        <v>2810762610</v>
      </c>
      <c r="AL1326" t="s">
        <v>388</v>
      </c>
      <c r="AM1326" t="s">
        <v>78</v>
      </c>
      <c r="AN1326" t="s">
        <v>219</v>
      </c>
      <c r="AO1326" t="s">
        <v>297</v>
      </c>
      <c r="AP1326" t="s">
        <v>297</v>
      </c>
      <c r="AQ1326">
        <v>10</v>
      </c>
      <c r="AR1326" t="s">
        <v>123</v>
      </c>
      <c r="AS1326" t="s">
        <v>124</v>
      </c>
      <c r="AT1326" t="s">
        <v>58</v>
      </c>
      <c r="AU1326" t="s">
        <v>68</v>
      </c>
      <c r="AV1326" t="s">
        <v>69</v>
      </c>
      <c r="AW1326" s="1">
        <v>23806</v>
      </c>
      <c r="AX1326">
        <v>2</v>
      </c>
    </row>
    <row r="1327" spans="1:50">
      <c r="A1327">
        <v>208442</v>
      </c>
      <c r="B1327" t="str">
        <f>"055432506"</f>
        <v>055432506</v>
      </c>
      <c r="C1327" t="s">
        <v>50</v>
      </c>
      <c r="D1327" t="s">
        <v>3070</v>
      </c>
      <c r="E1327" t="s">
        <v>1078</v>
      </c>
      <c r="F1327" t="s">
        <v>99</v>
      </c>
      <c r="G1327" t="s">
        <v>215</v>
      </c>
      <c r="H1327" t="str">
        <f>"ΜΥΡΤΙΑ ΠΕΔΙΑΔΟΣ ΑΡΧΑΝΩΝ ΑΣΤΕΡΟΥΣΙΩΝ"</f>
        <v>ΜΥΡΤΙΑ ΠΕΔΙΑΔΟΣ ΑΡΧΑΝΩΝ ΑΣΤΕΡΟΥΣΙΩΝ</v>
      </c>
      <c r="I1327">
        <v>70100</v>
      </c>
      <c r="J1327">
        <v>2810741198</v>
      </c>
      <c r="K1327">
        <v>6937207110</v>
      </c>
      <c r="M1327" t="s">
        <v>3071</v>
      </c>
      <c r="N1327" t="s">
        <v>257</v>
      </c>
      <c r="O1327" t="s">
        <v>258</v>
      </c>
      <c r="R1327" t="s">
        <v>57</v>
      </c>
      <c r="S1327">
        <v>9</v>
      </c>
      <c r="T1327">
        <v>218</v>
      </c>
      <c r="U1327" s="1">
        <v>38596</v>
      </c>
      <c r="V1327" t="s">
        <v>123</v>
      </c>
      <c r="W1327" t="s">
        <v>124</v>
      </c>
      <c r="X1327" t="s">
        <v>58</v>
      </c>
      <c r="Y1327">
        <v>20</v>
      </c>
      <c r="Z1327" t="s">
        <v>59</v>
      </c>
      <c r="AA1327" t="s">
        <v>59</v>
      </c>
      <c r="AB1327" t="s">
        <v>59</v>
      </c>
      <c r="AC1327" t="s">
        <v>59</v>
      </c>
      <c r="AD1327" t="s">
        <v>59</v>
      </c>
      <c r="AF1327" s="1">
        <v>38600</v>
      </c>
      <c r="AG1327" t="s">
        <v>125</v>
      </c>
      <c r="AH1327" t="s">
        <v>126</v>
      </c>
      <c r="AI1327" t="str">
        <f>"1717011"</f>
        <v>1717011</v>
      </c>
      <c r="AJ1327" t="s">
        <v>832</v>
      </c>
      <c r="AK1327">
        <v>2897023311</v>
      </c>
      <c r="AL1327" t="s">
        <v>833</v>
      </c>
      <c r="AM1327" t="s">
        <v>78</v>
      </c>
      <c r="AN1327" t="s">
        <v>219</v>
      </c>
      <c r="AO1327" t="s">
        <v>219</v>
      </c>
      <c r="AP1327" t="s">
        <v>220</v>
      </c>
      <c r="AQ1327">
        <v>20</v>
      </c>
      <c r="AR1327" t="s">
        <v>123</v>
      </c>
      <c r="AS1327" t="s">
        <v>124</v>
      </c>
      <c r="AT1327" t="s">
        <v>58</v>
      </c>
      <c r="AU1327" t="s">
        <v>68</v>
      </c>
      <c r="AV1327" t="s">
        <v>69</v>
      </c>
      <c r="AW1327" s="1">
        <v>24365</v>
      </c>
      <c r="AX1327">
        <v>2</v>
      </c>
    </row>
    <row r="1328" spans="1:50">
      <c r="A1328">
        <v>182336</v>
      </c>
      <c r="B1328" t="str">
        <f>"038689098"</f>
        <v>038689098</v>
      </c>
      <c r="C1328" t="s">
        <v>105</v>
      </c>
      <c r="D1328" t="s">
        <v>3072</v>
      </c>
      <c r="E1328" t="s">
        <v>450</v>
      </c>
      <c r="F1328" t="s">
        <v>202</v>
      </c>
      <c r="G1328" t="s">
        <v>3073</v>
      </c>
      <c r="H1328" t="str">
        <f>" "</f>
        <v xml:space="preserve"> </v>
      </c>
      <c r="M1328" t="s">
        <v>3074</v>
      </c>
      <c r="N1328" t="s">
        <v>176</v>
      </c>
      <c r="O1328" t="s">
        <v>177</v>
      </c>
      <c r="R1328" t="s">
        <v>57</v>
      </c>
      <c r="S1328">
        <v>12</v>
      </c>
      <c r="T1328">
        <v>184</v>
      </c>
      <c r="U1328" s="1">
        <v>34941</v>
      </c>
      <c r="V1328" t="s">
        <v>123</v>
      </c>
      <c r="W1328" t="s">
        <v>124</v>
      </c>
      <c r="X1328" t="s">
        <v>58</v>
      </c>
      <c r="Y1328">
        <v>18</v>
      </c>
      <c r="Z1328" t="s">
        <v>59</v>
      </c>
      <c r="AA1328" t="s">
        <v>59</v>
      </c>
      <c r="AB1328" t="s">
        <v>59</v>
      </c>
      <c r="AC1328" t="s">
        <v>59</v>
      </c>
      <c r="AD1328" t="s">
        <v>59</v>
      </c>
      <c r="AF1328" s="1">
        <v>34943</v>
      </c>
      <c r="AG1328" t="s">
        <v>125</v>
      </c>
      <c r="AH1328" t="s">
        <v>126</v>
      </c>
      <c r="AI1328" t="str">
        <f>"1721010"</f>
        <v>1721010</v>
      </c>
      <c r="AJ1328" t="s">
        <v>462</v>
      </c>
      <c r="AK1328">
        <v>2892031207</v>
      </c>
      <c r="AL1328" t="s">
        <v>463</v>
      </c>
      <c r="AM1328" t="s">
        <v>78</v>
      </c>
      <c r="AN1328" t="s">
        <v>405</v>
      </c>
      <c r="AO1328" t="s">
        <v>405</v>
      </c>
      <c r="AP1328" t="s">
        <v>464</v>
      </c>
      <c r="AQ1328">
        <v>33</v>
      </c>
      <c r="AR1328" t="s">
        <v>123</v>
      </c>
      <c r="AS1328" t="s">
        <v>124</v>
      </c>
      <c r="AT1328" t="s">
        <v>58</v>
      </c>
      <c r="AU1328" t="s">
        <v>68</v>
      </c>
      <c r="AV1328" t="s">
        <v>69</v>
      </c>
      <c r="AW1328" s="1">
        <v>23676</v>
      </c>
      <c r="AX1328">
        <v>2</v>
      </c>
    </row>
    <row r="1329" spans="1:50">
      <c r="A1329">
        <v>205872</v>
      </c>
      <c r="B1329" t="str">
        <f>"114264787"</f>
        <v>114264787</v>
      </c>
      <c r="C1329" t="s">
        <v>50</v>
      </c>
      <c r="D1329" t="s">
        <v>3075</v>
      </c>
      <c r="E1329" t="s">
        <v>83</v>
      </c>
      <c r="F1329" t="s">
        <v>383</v>
      </c>
      <c r="G1329" t="s">
        <v>215</v>
      </c>
      <c r="H1329" t="str">
        <f>"ΓΙΑΝΝΗ ΡΙΤΣΟΥ  6 ΓΑΖΙΟΥ"</f>
        <v>ΓΙΑΝΝΗ ΡΙΤΣΟΥ  6 ΓΑΖΙΟΥ</v>
      </c>
      <c r="I1329">
        <v>71304</v>
      </c>
      <c r="J1329">
        <v>2815004097</v>
      </c>
      <c r="K1329">
        <v>6973740594</v>
      </c>
      <c r="L1329">
        <v>2810252979</v>
      </c>
      <c r="M1329" t="s">
        <v>3076</v>
      </c>
      <c r="N1329" t="s">
        <v>146</v>
      </c>
      <c r="O1329" t="s">
        <v>147</v>
      </c>
      <c r="R1329" t="s">
        <v>57</v>
      </c>
      <c r="S1329">
        <v>9</v>
      </c>
      <c r="T1329">
        <v>231</v>
      </c>
      <c r="U1329" s="1">
        <v>38230</v>
      </c>
      <c r="V1329" t="s">
        <v>123</v>
      </c>
      <c r="W1329" t="s">
        <v>124</v>
      </c>
      <c r="X1329" t="s">
        <v>58</v>
      </c>
      <c r="Y1329">
        <v>20</v>
      </c>
      <c r="Z1329" t="s">
        <v>59</v>
      </c>
      <c r="AA1329" t="s">
        <v>59</v>
      </c>
      <c r="AB1329" t="s">
        <v>59</v>
      </c>
      <c r="AC1329" t="s">
        <v>59</v>
      </c>
      <c r="AD1329" t="s">
        <v>59</v>
      </c>
      <c r="AF1329" s="1">
        <v>38236</v>
      </c>
      <c r="AG1329" t="s">
        <v>125</v>
      </c>
      <c r="AH1329" t="s">
        <v>126</v>
      </c>
      <c r="AI1329" t="str">
        <f>"1726010"</f>
        <v>1726010</v>
      </c>
      <c r="AJ1329" t="s">
        <v>265</v>
      </c>
      <c r="AK1329">
        <v>2810831228</v>
      </c>
      <c r="AL1329" t="s">
        <v>266</v>
      </c>
      <c r="AM1329" t="s">
        <v>78</v>
      </c>
      <c r="AN1329" t="s">
        <v>129</v>
      </c>
      <c r="AO1329" t="s">
        <v>267</v>
      </c>
      <c r="AP1329" t="s">
        <v>267</v>
      </c>
      <c r="AQ1329">
        <v>27</v>
      </c>
      <c r="AR1329" t="s">
        <v>123</v>
      </c>
      <c r="AS1329" t="s">
        <v>124</v>
      </c>
      <c r="AT1329" t="s">
        <v>58</v>
      </c>
      <c r="AU1329" t="s">
        <v>68</v>
      </c>
      <c r="AV1329" t="s">
        <v>69</v>
      </c>
      <c r="AW1329" s="1">
        <v>28234</v>
      </c>
      <c r="AX1329">
        <v>2</v>
      </c>
    </row>
    <row r="1330" spans="1:50">
      <c r="A1330">
        <v>193854</v>
      </c>
      <c r="B1330" t="str">
        <f>"026787027"</f>
        <v>026787027</v>
      </c>
      <c r="C1330" t="s">
        <v>50</v>
      </c>
      <c r="D1330" t="s">
        <v>3077</v>
      </c>
      <c r="E1330" t="s">
        <v>52</v>
      </c>
      <c r="F1330" t="s">
        <v>95</v>
      </c>
      <c r="G1330" t="s">
        <v>367</v>
      </c>
      <c r="H1330" t="str">
        <f>"Α. ΜΑΝΟΥΤΙΟΥ 10 "</f>
        <v xml:space="preserve">Α. ΜΑΝΟΥΤΙΟΥ 10 </v>
      </c>
      <c r="I1330">
        <v>71409</v>
      </c>
      <c r="J1330">
        <v>2810325853</v>
      </c>
      <c r="K1330">
        <v>6946247488</v>
      </c>
      <c r="N1330" t="s">
        <v>478</v>
      </c>
      <c r="O1330" t="s">
        <v>479</v>
      </c>
      <c r="R1330" t="s">
        <v>57</v>
      </c>
      <c r="S1330">
        <v>11</v>
      </c>
      <c r="T1330">
        <v>193</v>
      </c>
      <c r="U1330" s="1">
        <v>37497</v>
      </c>
      <c r="V1330" t="s">
        <v>123</v>
      </c>
      <c r="W1330" t="s">
        <v>124</v>
      </c>
      <c r="X1330" t="s">
        <v>58</v>
      </c>
      <c r="Y1330">
        <v>18</v>
      </c>
      <c r="Z1330" t="s">
        <v>59</v>
      </c>
      <c r="AA1330" t="s">
        <v>59</v>
      </c>
      <c r="AB1330" t="s">
        <v>59</v>
      </c>
      <c r="AC1330" t="s">
        <v>59</v>
      </c>
      <c r="AD1330" t="s">
        <v>59</v>
      </c>
      <c r="AF1330" s="1">
        <v>37503</v>
      </c>
      <c r="AG1330" t="s">
        <v>125</v>
      </c>
      <c r="AH1330" t="s">
        <v>126</v>
      </c>
      <c r="AI1330" t="str">
        <f>"1701051"</f>
        <v>1701051</v>
      </c>
      <c r="AJ1330" t="s">
        <v>443</v>
      </c>
      <c r="AK1330">
        <v>2810325815</v>
      </c>
      <c r="AL1330" t="s">
        <v>444</v>
      </c>
      <c r="AM1330" t="s">
        <v>78</v>
      </c>
      <c r="AN1330" t="s">
        <v>78</v>
      </c>
      <c r="AO1330" t="s">
        <v>78</v>
      </c>
      <c r="AP1330" t="s">
        <v>163</v>
      </c>
      <c r="AQ1330">
        <v>5</v>
      </c>
      <c r="AR1330" t="s">
        <v>123</v>
      </c>
      <c r="AS1330" t="s">
        <v>124</v>
      </c>
      <c r="AT1330" t="s">
        <v>58</v>
      </c>
      <c r="AU1330" t="s">
        <v>68</v>
      </c>
      <c r="AV1330" t="s">
        <v>69</v>
      </c>
      <c r="AW1330" s="1">
        <v>23972</v>
      </c>
      <c r="AX1330">
        <v>2</v>
      </c>
    </row>
    <row r="1331" spans="1:50">
      <c r="A1331">
        <v>204832</v>
      </c>
      <c r="B1331" t="str">
        <f>"045849003"</f>
        <v>045849003</v>
      </c>
      <c r="C1331" t="s">
        <v>105</v>
      </c>
      <c r="D1331" t="s">
        <v>3078</v>
      </c>
      <c r="E1331" t="s">
        <v>106</v>
      </c>
      <c r="F1331" t="s">
        <v>1229</v>
      </c>
      <c r="G1331" t="s">
        <v>263</v>
      </c>
      <c r="H1331" t="str">
        <f>" "</f>
        <v xml:space="preserve"> </v>
      </c>
      <c r="J1331">
        <v>2810288031</v>
      </c>
      <c r="K1331">
        <v>6977501498</v>
      </c>
      <c r="M1331" t="s">
        <v>3079</v>
      </c>
      <c r="N1331" t="s">
        <v>331</v>
      </c>
      <c r="O1331" t="s">
        <v>332</v>
      </c>
      <c r="R1331" t="s">
        <v>57</v>
      </c>
      <c r="S1331">
        <v>9</v>
      </c>
      <c r="T1331">
        <v>231</v>
      </c>
      <c r="U1331" s="1">
        <v>38230</v>
      </c>
      <c r="V1331" t="s">
        <v>123</v>
      </c>
      <c r="W1331" t="s">
        <v>124</v>
      </c>
      <c r="X1331" t="s">
        <v>58</v>
      </c>
      <c r="Y1331">
        <v>20</v>
      </c>
      <c r="Z1331" t="s">
        <v>59</v>
      </c>
      <c r="AA1331" t="s">
        <v>59</v>
      </c>
      <c r="AB1331" t="s">
        <v>59</v>
      </c>
      <c r="AC1331" t="s">
        <v>59</v>
      </c>
      <c r="AD1331" t="s">
        <v>59</v>
      </c>
      <c r="AF1331" s="1">
        <v>38232</v>
      </c>
      <c r="AG1331" t="s">
        <v>137</v>
      </c>
      <c r="AH1331" t="s">
        <v>138</v>
      </c>
      <c r="AI1331" t="str">
        <f>"1740100"</f>
        <v>1740100</v>
      </c>
      <c r="AJ1331" t="s">
        <v>857</v>
      </c>
      <c r="AK1331">
        <v>2810360741</v>
      </c>
      <c r="AL1331" t="s">
        <v>858</v>
      </c>
      <c r="AM1331" t="s">
        <v>78</v>
      </c>
      <c r="AN1331" t="s">
        <v>78</v>
      </c>
      <c r="AO1331" t="s">
        <v>78</v>
      </c>
      <c r="AP1331" t="s">
        <v>163</v>
      </c>
      <c r="AQ1331">
        <v>5</v>
      </c>
      <c r="AR1331" t="s">
        <v>123</v>
      </c>
      <c r="AS1331" t="s">
        <v>124</v>
      </c>
      <c r="AT1331" t="s">
        <v>58</v>
      </c>
      <c r="AU1331" t="s">
        <v>68</v>
      </c>
      <c r="AV1331" t="s">
        <v>69</v>
      </c>
      <c r="AW1331" s="1">
        <v>20636</v>
      </c>
      <c r="AX1331">
        <v>2</v>
      </c>
    </row>
    <row r="1332" spans="1:50">
      <c r="A1332">
        <v>220492</v>
      </c>
      <c r="B1332" t="str">
        <f>"062518863"</f>
        <v>062518863</v>
      </c>
      <c r="C1332" t="s">
        <v>50</v>
      </c>
      <c r="D1332" t="s">
        <v>3080</v>
      </c>
      <c r="E1332" t="s">
        <v>83</v>
      </c>
      <c r="F1332" t="s">
        <v>53</v>
      </c>
      <c r="G1332" t="s">
        <v>52</v>
      </c>
      <c r="H1332" t="str">
        <f>"Γ.ΣΚΟΥΛΑ 25 ΗΡΑΚΛΕΙΟ"</f>
        <v>Γ.ΣΚΟΥΛΑ 25 ΗΡΑΚΛΕΙΟ</v>
      </c>
      <c r="I1332">
        <v>71305</v>
      </c>
      <c r="J1332">
        <v>2810326030</v>
      </c>
      <c r="K1332">
        <v>6977781362</v>
      </c>
      <c r="M1332" t="s">
        <v>3081</v>
      </c>
      <c r="N1332" t="s">
        <v>146</v>
      </c>
      <c r="O1332" t="s">
        <v>147</v>
      </c>
      <c r="R1332" t="s">
        <v>57</v>
      </c>
      <c r="S1332">
        <v>8</v>
      </c>
      <c r="T1332">
        <v>681</v>
      </c>
      <c r="U1332" s="1">
        <v>39325</v>
      </c>
      <c r="V1332" t="s">
        <v>123</v>
      </c>
      <c r="W1332" t="s">
        <v>124</v>
      </c>
      <c r="X1332" t="s">
        <v>58</v>
      </c>
      <c r="Y1332">
        <v>21</v>
      </c>
      <c r="Z1332" t="s">
        <v>59</v>
      </c>
      <c r="AA1332" t="s">
        <v>59</v>
      </c>
      <c r="AB1332" t="s">
        <v>59</v>
      </c>
      <c r="AC1332" t="s">
        <v>59</v>
      </c>
      <c r="AD1332" t="s">
        <v>59</v>
      </c>
      <c r="AF1332" s="1">
        <v>39329</v>
      </c>
      <c r="AG1332" t="s">
        <v>148</v>
      </c>
      <c r="AH1332" t="s">
        <v>149</v>
      </c>
      <c r="AI1332" t="str">
        <f>"1751041"</f>
        <v>1751041</v>
      </c>
      <c r="AJ1332" t="s">
        <v>353</v>
      </c>
      <c r="AK1332">
        <v>2810230207</v>
      </c>
      <c r="AL1332" t="s">
        <v>354</v>
      </c>
      <c r="AM1332" t="s">
        <v>78</v>
      </c>
      <c r="AN1332" t="s">
        <v>78</v>
      </c>
      <c r="AO1332" t="s">
        <v>78</v>
      </c>
      <c r="AP1332" t="s">
        <v>163</v>
      </c>
      <c r="AQ1332">
        <v>2</v>
      </c>
      <c r="AR1332" t="s">
        <v>123</v>
      </c>
      <c r="AS1332" t="s">
        <v>124</v>
      </c>
      <c r="AT1332" t="s">
        <v>58</v>
      </c>
      <c r="AU1332" t="s">
        <v>68</v>
      </c>
      <c r="AV1332" t="s">
        <v>69</v>
      </c>
      <c r="AW1332" s="1">
        <v>26399</v>
      </c>
      <c r="AX1332">
        <v>2</v>
      </c>
    </row>
    <row r="1333" spans="1:50">
      <c r="A1333">
        <v>186930</v>
      </c>
      <c r="B1333" t="str">
        <f>"030547772"</f>
        <v>030547772</v>
      </c>
      <c r="C1333" t="s">
        <v>50</v>
      </c>
      <c r="D1333" t="s">
        <v>3082</v>
      </c>
      <c r="E1333" t="s">
        <v>52</v>
      </c>
      <c r="F1333" t="s">
        <v>670</v>
      </c>
      <c r="G1333" t="s">
        <v>3083</v>
      </c>
      <c r="H1333" t="str">
        <f>" "</f>
        <v xml:space="preserve"> </v>
      </c>
      <c r="N1333" t="s">
        <v>176</v>
      </c>
      <c r="O1333" t="s">
        <v>177</v>
      </c>
      <c r="R1333" t="s">
        <v>57</v>
      </c>
      <c r="S1333">
        <v>12</v>
      </c>
      <c r="T1333">
        <v>251</v>
      </c>
      <c r="U1333" s="1">
        <v>36769</v>
      </c>
      <c r="V1333" t="s">
        <v>123</v>
      </c>
      <c r="W1333" t="s">
        <v>124</v>
      </c>
      <c r="X1333" t="s">
        <v>58</v>
      </c>
      <c r="Y1333">
        <v>18</v>
      </c>
      <c r="Z1333" t="s">
        <v>59</v>
      </c>
      <c r="AA1333" t="s">
        <v>59</v>
      </c>
      <c r="AB1333" t="s">
        <v>59</v>
      </c>
      <c r="AC1333" t="s">
        <v>59</v>
      </c>
      <c r="AD1333" t="s">
        <v>59</v>
      </c>
      <c r="AF1333" s="1">
        <v>36769</v>
      </c>
      <c r="AG1333" t="s">
        <v>125</v>
      </c>
      <c r="AH1333" t="s">
        <v>126</v>
      </c>
      <c r="AI1333" t="str">
        <f>"1703010"</f>
        <v>1703010</v>
      </c>
      <c r="AJ1333" t="s">
        <v>422</v>
      </c>
      <c r="AK1333">
        <v>2810751808</v>
      </c>
      <c r="AL1333" t="s">
        <v>423</v>
      </c>
      <c r="AM1333" t="s">
        <v>78</v>
      </c>
      <c r="AN1333" t="s">
        <v>424</v>
      </c>
      <c r="AO1333" t="s">
        <v>425</v>
      </c>
      <c r="AP1333" t="s">
        <v>425</v>
      </c>
      <c r="AQ1333">
        <v>13</v>
      </c>
      <c r="AR1333" t="s">
        <v>123</v>
      </c>
      <c r="AS1333" t="s">
        <v>124</v>
      </c>
      <c r="AT1333" t="s">
        <v>58</v>
      </c>
      <c r="AU1333" t="s">
        <v>68</v>
      </c>
      <c r="AV1333" t="s">
        <v>69</v>
      </c>
      <c r="AW1333" s="1">
        <v>22765</v>
      </c>
      <c r="AX1333">
        <v>2</v>
      </c>
    </row>
    <row r="1334" spans="1:50">
      <c r="A1334">
        <v>203751</v>
      </c>
      <c r="B1334" t="str">
        <f>"044814908"</f>
        <v>044814908</v>
      </c>
      <c r="C1334" t="s">
        <v>105</v>
      </c>
      <c r="D1334" t="s">
        <v>3084</v>
      </c>
      <c r="E1334" t="s">
        <v>72</v>
      </c>
      <c r="F1334" t="s">
        <v>1258</v>
      </c>
      <c r="G1334" t="s">
        <v>52</v>
      </c>
      <c r="H1334" t="str">
        <f>"ΠΑΡΘΕΝΙΟΥ ΚΕΛΑΊΔΗ 34  ΗΡΑΚΛΕΙΟ"</f>
        <v>ΠΑΡΘΕΝΙΟΥ ΚΕΛΑΊΔΗ 34  ΗΡΑΚΛΕΙΟ</v>
      </c>
      <c r="I1334">
        <v>71306</v>
      </c>
      <c r="J1334">
        <v>2810234593</v>
      </c>
      <c r="K1334">
        <v>6977548602</v>
      </c>
      <c r="L1334">
        <v>6947945588</v>
      </c>
      <c r="M1334" t="s">
        <v>3085</v>
      </c>
      <c r="N1334" t="s">
        <v>299</v>
      </c>
      <c r="O1334" t="s">
        <v>300</v>
      </c>
      <c r="R1334" t="s">
        <v>57</v>
      </c>
      <c r="S1334">
        <v>7</v>
      </c>
      <c r="T1334">
        <v>231</v>
      </c>
      <c r="U1334" s="1">
        <v>38230</v>
      </c>
      <c r="V1334" t="s">
        <v>123</v>
      </c>
      <c r="W1334" t="s">
        <v>124</v>
      </c>
      <c r="X1334" t="s">
        <v>58</v>
      </c>
      <c r="Y1334">
        <v>20</v>
      </c>
      <c r="Z1334" t="s">
        <v>59</v>
      </c>
      <c r="AA1334" t="s">
        <v>59</v>
      </c>
      <c r="AB1334" t="s">
        <v>59</v>
      </c>
      <c r="AC1334" t="s">
        <v>59</v>
      </c>
      <c r="AD1334" t="s">
        <v>59</v>
      </c>
      <c r="AF1334" s="1">
        <v>38236</v>
      </c>
      <c r="AG1334" t="s">
        <v>148</v>
      </c>
      <c r="AH1334" t="s">
        <v>149</v>
      </c>
      <c r="AI1334" t="str">
        <f>"1790210"</f>
        <v>1790210</v>
      </c>
      <c r="AJ1334" t="s">
        <v>417</v>
      </c>
      <c r="AK1334">
        <v>2810252172</v>
      </c>
      <c r="AL1334" t="s">
        <v>418</v>
      </c>
      <c r="AM1334" t="s">
        <v>78</v>
      </c>
      <c r="AN1334" t="s">
        <v>78</v>
      </c>
      <c r="AO1334" t="s">
        <v>78</v>
      </c>
      <c r="AP1334" t="s">
        <v>141</v>
      </c>
      <c r="AQ1334">
        <v>7</v>
      </c>
      <c r="AR1334" t="s">
        <v>123</v>
      </c>
      <c r="AS1334" t="s">
        <v>124</v>
      </c>
      <c r="AT1334" t="s">
        <v>58</v>
      </c>
      <c r="AU1334" t="s">
        <v>68</v>
      </c>
      <c r="AV1334" t="s">
        <v>69</v>
      </c>
      <c r="AW1334" s="1">
        <v>24385</v>
      </c>
      <c r="AX1334">
        <v>2</v>
      </c>
    </row>
    <row r="1335" spans="1:50">
      <c r="A1335">
        <v>222440</v>
      </c>
      <c r="B1335" t="str">
        <f>"113397709"</f>
        <v>113397709</v>
      </c>
      <c r="C1335" t="s">
        <v>50</v>
      </c>
      <c r="D1335" t="s">
        <v>3086</v>
      </c>
      <c r="E1335" t="s">
        <v>83</v>
      </c>
      <c r="F1335" t="s">
        <v>2632</v>
      </c>
      <c r="G1335" t="s">
        <v>3087</v>
      </c>
      <c r="H1335" t="str">
        <f>"Μ. ΠΑΥΛΑΚΗ 5Α ΗΡΑΚΛΕΙΟ"</f>
        <v>Μ. ΠΑΥΛΑΚΗ 5Α ΗΡΑΚΛΕΙΟ</v>
      </c>
      <c r="I1335">
        <v>71305</v>
      </c>
      <c r="J1335">
        <v>2810318447</v>
      </c>
      <c r="K1335">
        <v>6942581125</v>
      </c>
      <c r="N1335" t="s">
        <v>146</v>
      </c>
      <c r="O1335" t="s">
        <v>147</v>
      </c>
      <c r="R1335" t="s">
        <v>57</v>
      </c>
      <c r="S1335">
        <v>5</v>
      </c>
      <c r="T1335">
        <v>775</v>
      </c>
      <c r="U1335" s="1">
        <v>39680</v>
      </c>
      <c r="V1335" t="s">
        <v>123</v>
      </c>
      <c r="W1335" t="s">
        <v>124</v>
      </c>
      <c r="X1335" t="s">
        <v>58</v>
      </c>
      <c r="Y1335">
        <v>21</v>
      </c>
      <c r="Z1335" t="s">
        <v>59</v>
      </c>
      <c r="AA1335" t="s">
        <v>59</v>
      </c>
      <c r="AB1335" t="s">
        <v>59</v>
      </c>
      <c r="AC1335" t="s">
        <v>59</v>
      </c>
      <c r="AD1335" t="s">
        <v>59</v>
      </c>
      <c r="AF1335" s="1">
        <v>39681</v>
      </c>
      <c r="AG1335" t="s">
        <v>148</v>
      </c>
      <c r="AH1335" t="s">
        <v>149</v>
      </c>
      <c r="AI1335" t="str">
        <f>"1752010"</f>
        <v>1752010</v>
      </c>
      <c r="AJ1335" t="s">
        <v>896</v>
      </c>
      <c r="AK1335">
        <v>2891022893</v>
      </c>
      <c r="AL1335" t="s">
        <v>897</v>
      </c>
      <c r="AM1335" t="s">
        <v>78</v>
      </c>
      <c r="AN1335" t="s">
        <v>276</v>
      </c>
      <c r="AO1335" t="s">
        <v>490</v>
      </c>
      <c r="AP1335" t="s">
        <v>490</v>
      </c>
      <c r="AQ1335">
        <v>15</v>
      </c>
      <c r="AR1335" t="s">
        <v>123</v>
      </c>
      <c r="AS1335" t="s">
        <v>124</v>
      </c>
      <c r="AT1335" t="s">
        <v>58</v>
      </c>
      <c r="AU1335" t="s">
        <v>68</v>
      </c>
      <c r="AV1335" t="s">
        <v>69</v>
      </c>
      <c r="AW1335" s="1">
        <v>25129</v>
      </c>
      <c r="AX1335">
        <v>2</v>
      </c>
    </row>
    <row r="1336" spans="1:50">
      <c r="A1336">
        <v>192201</v>
      </c>
      <c r="B1336" t="str">
        <f>"077723197"</f>
        <v>077723197</v>
      </c>
      <c r="C1336" t="s">
        <v>50</v>
      </c>
      <c r="D1336" t="s">
        <v>3088</v>
      </c>
      <c r="E1336" t="s">
        <v>238</v>
      </c>
      <c r="F1336" t="s">
        <v>95</v>
      </c>
      <c r="G1336" t="s">
        <v>1345</v>
      </c>
      <c r="H1336" t="str">
        <f>"ΔΙΔΥΜΟΤΕΙΧΟΥ 8 ΗΡΑΚΛΕΙΟ"</f>
        <v>ΔΙΔΥΜΟΤΕΙΧΟΥ 8 ΗΡΑΚΛΕΙΟ</v>
      </c>
      <c r="I1336">
        <v>71307</v>
      </c>
      <c r="J1336">
        <v>2810220589</v>
      </c>
      <c r="K1336">
        <v>6938835195</v>
      </c>
      <c r="M1336" t="s">
        <v>3089</v>
      </c>
      <c r="N1336" t="s">
        <v>3090</v>
      </c>
      <c r="O1336" t="s">
        <v>3091</v>
      </c>
      <c r="R1336" t="s">
        <v>57</v>
      </c>
      <c r="S1336">
        <v>8</v>
      </c>
      <c r="T1336">
        <v>291</v>
      </c>
      <c r="U1336" s="1">
        <v>37218</v>
      </c>
      <c r="V1336" t="s">
        <v>123</v>
      </c>
      <c r="W1336" t="s">
        <v>124</v>
      </c>
      <c r="X1336" t="s">
        <v>58</v>
      </c>
      <c r="Y1336">
        <v>20</v>
      </c>
      <c r="Z1336" t="s">
        <v>59</v>
      </c>
      <c r="AA1336" t="s">
        <v>59</v>
      </c>
      <c r="AB1336" t="s">
        <v>59</v>
      </c>
      <c r="AC1336" t="s">
        <v>59</v>
      </c>
      <c r="AD1336" t="s">
        <v>59</v>
      </c>
      <c r="AF1336" s="1">
        <v>37221</v>
      </c>
      <c r="AG1336" t="s">
        <v>125</v>
      </c>
      <c r="AH1336" t="s">
        <v>590</v>
      </c>
      <c r="AI1336" t="str">
        <f>"1740060"</f>
        <v>1740060</v>
      </c>
      <c r="AJ1336" t="s">
        <v>591</v>
      </c>
      <c r="AK1336">
        <v>2810232117</v>
      </c>
      <c r="AL1336" t="s">
        <v>592</v>
      </c>
      <c r="AM1336" t="s">
        <v>78</v>
      </c>
      <c r="AN1336" t="s">
        <v>78</v>
      </c>
      <c r="AO1336" t="s">
        <v>78</v>
      </c>
      <c r="AP1336" t="s">
        <v>141</v>
      </c>
      <c r="AQ1336">
        <v>11</v>
      </c>
      <c r="AR1336" t="s">
        <v>123</v>
      </c>
      <c r="AS1336" t="s">
        <v>124</v>
      </c>
      <c r="AT1336" t="s">
        <v>58</v>
      </c>
      <c r="AU1336" t="s">
        <v>68</v>
      </c>
      <c r="AV1336" t="s">
        <v>69</v>
      </c>
      <c r="AW1336" s="1">
        <v>25824</v>
      </c>
      <c r="AX1336">
        <v>2</v>
      </c>
    </row>
    <row r="1337" spans="1:50">
      <c r="A1337">
        <v>222442</v>
      </c>
      <c r="B1337" t="str">
        <f>"070365909"</f>
        <v>070365909</v>
      </c>
      <c r="C1337" t="s">
        <v>50</v>
      </c>
      <c r="D1337" t="s">
        <v>3088</v>
      </c>
      <c r="E1337" t="s">
        <v>109</v>
      </c>
      <c r="F1337" t="s">
        <v>95</v>
      </c>
      <c r="G1337" t="s">
        <v>71</v>
      </c>
      <c r="H1337" t="str">
        <f>"ΒΕΝΤΡΙΣ 11 "</f>
        <v xml:space="preserve">ΒΕΝΤΡΙΣ 11 </v>
      </c>
      <c r="I1337">
        <v>71307</v>
      </c>
      <c r="J1337">
        <v>2810223825</v>
      </c>
      <c r="K1337">
        <v>6973854463</v>
      </c>
      <c r="M1337" t="s">
        <v>3092</v>
      </c>
      <c r="N1337" t="s">
        <v>146</v>
      </c>
      <c r="O1337" t="s">
        <v>147</v>
      </c>
      <c r="R1337" t="s">
        <v>57</v>
      </c>
      <c r="S1337">
        <v>6</v>
      </c>
      <c r="T1337">
        <v>775</v>
      </c>
      <c r="U1337" s="1">
        <v>39680</v>
      </c>
      <c r="V1337" t="s">
        <v>123</v>
      </c>
      <c r="W1337" t="s">
        <v>124</v>
      </c>
      <c r="X1337" t="s">
        <v>58</v>
      </c>
      <c r="Y1337">
        <v>20</v>
      </c>
      <c r="Z1337" t="s">
        <v>59</v>
      </c>
      <c r="AA1337" t="s">
        <v>59</v>
      </c>
      <c r="AB1337" t="s">
        <v>59</v>
      </c>
      <c r="AC1337" t="s">
        <v>59</v>
      </c>
      <c r="AD1337" t="s">
        <v>59</v>
      </c>
      <c r="AF1337" s="1">
        <v>39681</v>
      </c>
      <c r="AG1337" t="s">
        <v>125</v>
      </c>
      <c r="AH1337" t="s">
        <v>126</v>
      </c>
      <c r="AI1337" t="str">
        <f>"1701080"</f>
        <v>1701080</v>
      </c>
      <c r="AJ1337" t="s">
        <v>183</v>
      </c>
      <c r="AK1337">
        <v>2810721263</v>
      </c>
      <c r="AL1337" t="s">
        <v>184</v>
      </c>
      <c r="AM1337" t="s">
        <v>78</v>
      </c>
      <c r="AN1337" t="s">
        <v>78</v>
      </c>
      <c r="AO1337" t="s">
        <v>185</v>
      </c>
      <c r="AP1337" t="s">
        <v>186</v>
      </c>
      <c r="AQ1337">
        <v>29</v>
      </c>
      <c r="AR1337" t="s">
        <v>123</v>
      </c>
      <c r="AS1337" t="s">
        <v>124</v>
      </c>
      <c r="AT1337" t="s">
        <v>58</v>
      </c>
      <c r="AU1337" t="s">
        <v>68</v>
      </c>
      <c r="AV1337" t="s">
        <v>69</v>
      </c>
      <c r="AW1337" s="1">
        <v>25759</v>
      </c>
      <c r="AX1337">
        <v>2</v>
      </c>
    </row>
    <row r="1338" spans="1:50">
      <c r="A1338">
        <v>171510</v>
      </c>
      <c r="B1338" t="str">
        <f>"034492410"</f>
        <v>034492410</v>
      </c>
      <c r="C1338" t="s">
        <v>50</v>
      </c>
      <c r="D1338" t="s">
        <v>3088</v>
      </c>
      <c r="E1338" t="s">
        <v>52</v>
      </c>
      <c r="F1338" t="s">
        <v>459</v>
      </c>
      <c r="G1338" t="s">
        <v>237</v>
      </c>
      <c r="H1338" t="str">
        <f>"ΝΗΡΕΩΣ 7 "</f>
        <v xml:space="preserve">ΝΗΡΕΩΣ 7 </v>
      </c>
      <c r="I1338">
        <v>71307</v>
      </c>
      <c r="J1338">
        <v>2810223408</v>
      </c>
      <c r="K1338">
        <v>6974826929</v>
      </c>
      <c r="M1338" t="s">
        <v>3093</v>
      </c>
      <c r="N1338" t="s">
        <v>257</v>
      </c>
      <c r="O1338" t="s">
        <v>258</v>
      </c>
      <c r="P1338" t="s">
        <v>74</v>
      </c>
      <c r="Q1338" t="s">
        <v>75</v>
      </c>
      <c r="R1338" t="s">
        <v>57</v>
      </c>
      <c r="S1338">
        <v>14</v>
      </c>
      <c r="T1338">
        <v>184</v>
      </c>
      <c r="U1338" s="1">
        <v>34941</v>
      </c>
      <c r="V1338" t="s">
        <v>123</v>
      </c>
      <c r="W1338" t="s">
        <v>124</v>
      </c>
      <c r="X1338" t="s">
        <v>58</v>
      </c>
      <c r="Y1338">
        <v>18</v>
      </c>
      <c r="Z1338" t="s">
        <v>59</v>
      </c>
      <c r="AA1338" t="s">
        <v>59</v>
      </c>
      <c r="AB1338" t="s">
        <v>59</v>
      </c>
      <c r="AC1338" t="s">
        <v>59</v>
      </c>
      <c r="AD1338" t="s">
        <v>59</v>
      </c>
      <c r="AF1338" s="1">
        <v>34943</v>
      </c>
      <c r="AG1338" t="s">
        <v>125</v>
      </c>
      <c r="AH1338" t="s">
        <v>126</v>
      </c>
      <c r="AI1338" t="str">
        <f>"1701052"</f>
        <v>1701052</v>
      </c>
      <c r="AJ1338" t="s">
        <v>223</v>
      </c>
      <c r="AK1338">
        <v>2810252514</v>
      </c>
      <c r="AL1338" t="s">
        <v>224</v>
      </c>
      <c r="AM1338" t="s">
        <v>78</v>
      </c>
      <c r="AN1338" t="s">
        <v>78</v>
      </c>
      <c r="AO1338" t="s">
        <v>78</v>
      </c>
      <c r="AP1338" t="s">
        <v>141</v>
      </c>
      <c r="AQ1338">
        <v>7</v>
      </c>
      <c r="AR1338" t="s">
        <v>123</v>
      </c>
      <c r="AS1338" t="s">
        <v>124</v>
      </c>
      <c r="AT1338" t="s">
        <v>58</v>
      </c>
      <c r="AU1338" t="s">
        <v>68</v>
      </c>
      <c r="AV1338" t="s">
        <v>69</v>
      </c>
      <c r="AW1338" s="1">
        <v>23831</v>
      </c>
      <c r="AX1338">
        <v>2</v>
      </c>
    </row>
    <row r="1339" spans="1:50">
      <c r="A1339">
        <v>173445</v>
      </c>
      <c r="B1339" t="str">
        <f>"035223232"</f>
        <v>035223232</v>
      </c>
      <c r="C1339" t="s">
        <v>105</v>
      </c>
      <c r="D1339" t="s">
        <v>3094</v>
      </c>
      <c r="E1339" t="s">
        <v>154</v>
      </c>
      <c r="F1339" t="s">
        <v>95</v>
      </c>
      <c r="G1339" t="s">
        <v>3095</v>
      </c>
      <c r="H1339" t="str">
        <f>"Μ. ΒΛΑΧΟΥ 24 "</f>
        <v xml:space="preserve">Μ. ΒΛΑΧΟΥ 24 </v>
      </c>
      <c r="I1339">
        <v>71305</v>
      </c>
      <c r="J1339">
        <v>2810323424</v>
      </c>
      <c r="K1339">
        <v>6973188869</v>
      </c>
      <c r="M1339" t="s">
        <v>3096</v>
      </c>
      <c r="N1339" t="s">
        <v>146</v>
      </c>
      <c r="O1339" t="s">
        <v>147</v>
      </c>
      <c r="R1339" t="s">
        <v>57</v>
      </c>
      <c r="S1339">
        <v>12</v>
      </c>
      <c r="T1339">
        <v>166</v>
      </c>
      <c r="U1339" s="1">
        <v>35300</v>
      </c>
      <c r="V1339" t="s">
        <v>123</v>
      </c>
      <c r="W1339" t="s">
        <v>124</v>
      </c>
      <c r="X1339" t="s">
        <v>58</v>
      </c>
      <c r="Y1339">
        <v>18</v>
      </c>
      <c r="Z1339" t="s">
        <v>59</v>
      </c>
      <c r="AA1339" t="s">
        <v>59</v>
      </c>
      <c r="AB1339" t="s">
        <v>59</v>
      </c>
      <c r="AC1339" t="s">
        <v>59</v>
      </c>
      <c r="AD1339" t="s">
        <v>59</v>
      </c>
      <c r="AF1339" s="1">
        <v>35310</v>
      </c>
      <c r="AG1339" t="s">
        <v>125</v>
      </c>
      <c r="AH1339" t="s">
        <v>126</v>
      </c>
      <c r="AI1339" t="str">
        <f>"1701030"</f>
        <v>1701030</v>
      </c>
      <c r="AJ1339" t="s">
        <v>270</v>
      </c>
      <c r="AK1339">
        <v>2810361015</v>
      </c>
      <c r="AL1339" t="s">
        <v>271</v>
      </c>
      <c r="AM1339" t="s">
        <v>78</v>
      </c>
      <c r="AN1339" t="s">
        <v>78</v>
      </c>
      <c r="AO1339" t="s">
        <v>78</v>
      </c>
      <c r="AP1339" t="s">
        <v>163</v>
      </c>
      <c r="AQ1339">
        <v>2</v>
      </c>
      <c r="AR1339" t="s">
        <v>123</v>
      </c>
      <c r="AS1339" t="s">
        <v>124</v>
      </c>
      <c r="AT1339" t="s">
        <v>58</v>
      </c>
      <c r="AU1339" t="s">
        <v>68</v>
      </c>
      <c r="AV1339" t="s">
        <v>69</v>
      </c>
      <c r="AW1339" s="1">
        <v>24507</v>
      </c>
      <c r="AX1339">
        <v>2</v>
      </c>
    </row>
    <row r="1340" spans="1:50">
      <c r="A1340">
        <v>195545</v>
      </c>
      <c r="B1340" t="str">
        <f>"075743096"</f>
        <v>075743096</v>
      </c>
      <c r="C1340" t="s">
        <v>105</v>
      </c>
      <c r="D1340" t="s">
        <v>3094</v>
      </c>
      <c r="E1340" t="s">
        <v>166</v>
      </c>
      <c r="F1340" t="s">
        <v>99</v>
      </c>
      <c r="G1340" t="s">
        <v>52</v>
      </c>
      <c r="H1340" t="str">
        <f>"ΣΑΜΑΡΕΙΤΙΔΩΝ 4 ΗΡΑΚΛΕΙΟ"</f>
        <v>ΣΑΜΑΡΕΙΤΙΔΩΝ 4 ΗΡΑΚΛΕΙΟ</v>
      </c>
      <c r="I1340">
        <v>71305</v>
      </c>
      <c r="J1340">
        <v>2810230603</v>
      </c>
      <c r="K1340">
        <v>6974600354</v>
      </c>
      <c r="M1340" t="s">
        <v>3097</v>
      </c>
      <c r="N1340" t="s">
        <v>292</v>
      </c>
      <c r="O1340" t="s">
        <v>293</v>
      </c>
      <c r="R1340" t="s">
        <v>57</v>
      </c>
      <c r="S1340">
        <v>8</v>
      </c>
      <c r="T1340">
        <v>194</v>
      </c>
      <c r="U1340" s="1">
        <v>37497</v>
      </c>
      <c r="V1340" t="s">
        <v>123</v>
      </c>
      <c r="W1340" t="s">
        <v>124</v>
      </c>
      <c r="X1340" t="s">
        <v>58</v>
      </c>
      <c r="Y1340">
        <v>20</v>
      </c>
      <c r="Z1340" t="s">
        <v>59</v>
      </c>
      <c r="AA1340" t="s">
        <v>59</v>
      </c>
      <c r="AB1340" t="s">
        <v>59</v>
      </c>
      <c r="AC1340" t="s">
        <v>59</v>
      </c>
      <c r="AD1340" t="s">
        <v>59</v>
      </c>
      <c r="AF1340" s="1">
        <v>37503</v>
      </c>
      <c r="AG1340" t="s">
        <v>148</v>
      </c>
      <c r="AH1340" t="s">
        <v>149</v>
      </c>
      <c r="AI1340" t="str">
        <f>"1751051"</f>
        <v>1751051</v>
      </c>
      <c r="AJ1340" t="s">
        <v>259</v>
      </c>
      <c r="AK1340">
        <v>2810251794</v>
      </c>
      <c r="AL1340" t="s">
        <v>260</v>
      </c>
      <c r="AM1340" t="s">
        <v>78</v>
      </c>
      <c r="AN1340" t="s">
        <v>78</v>
      </c>
      <c r="AO1340" t="s">
        <v>78</v>
      </c>
      <c r="AP1340" t="s">
        <v>141</v>
      </c>
      <c r="AQ1340">
        <v>7</v>
      </c>
      <c r="AR1340" t="s">
        <v>123</v>
      </c>
      <c r="AS1340" t="s">
        <v>124</v>
      </c>
      <c r="AT1340" t="s">
        <v>58</v>
      </c>
      <c r="AU1340" t="s">
        <v>68</v>
      </c>
      <c r="AV1340" t="s">
        <v>69</v>
      </c>
      <c r="AW1340" s="1">
        <v>26635</v>
      </c>
      <c r="AX1340">
        <v>2</v>
      </c>
    </row>
    <row r="1341" spans="1:50">
      <c r="A1341">
        <v>191916</v>
      </c>
      <c r="B1341" t="str">
        <f>"034576654"</f>
        <v>034576654</v>
      </c>
      <c r="C1341" t="s">
        <v>105</v>
      </c>
      <c r="D1341" t="s">
        <v>3094</v>
      </c>
      <c r="E1341" t="s">
        <v>2227</v>
      </c>
      <c r="F1341" t="s">
        <v>106</v>
      </c>
      <c r="G1341" t="s">
        <v>566</v>
      </c>
      <c r="H1341" t="str">
        <f>"ΑΝΘ. ΒΑΣΙΛΑΚΗ 12 ΦΙΛΟΘΕΗ"</f>
        <v>ΑΝΘ. ΒΑΣΙΛΑΚΗ 12 ΦΙΛΟΘΕΗ</v>
      </c>
      <c r="I1341">
        <v>71409</v>
      </c>
      <c r="J1341">
        <v>2810325777</v>
      </c>
      <c r="K1341">
        <v>6945195513</v>
      </c>
      <c r="N1341" t="s">
        <v>331</v>
      </c>
      <c r="O1341" t="s">
        <v>332</v>
      </c>
      <c r="R1341" t="s">
        <v>57</v>
      </c>
      <c r="S1341">
        <v>10</v>
      </c>
      <c r="T1341">
        <v>291</v>
      </c>
      <c r="U1341" s="1">
        <v>37218</v>
      </c>
      <c r="V1341" t="s">
        <v>123</v>
      </c>
      <c r="W1341" t="s">
        <v>124</v>
      </c>
      <c r="X1341" t="s">
        <v>58</v>
      </c>
      <c r="Y1341">
        <v>20</v>
      </c>
      <c r="Z1341" t="s">
        <v>59</v>
      </c>
      <c r="AA1341" t="s">
        <v>59</v>
      </c>
      <c r="AB1341" t="s">
        <v>59</v>
      </c>
      <c r="AC1341" t="s">
        <v>59</v>
      </c>
      <c r="AD1341" t="s">
        <v>59</v>
      </c>
      <c r="AF1341" s="1">
        <v>37221</v>
      </c>
      <c r="AG1341" t="s">
        <v>137</v>
      </c>
      <c r="AH1341" t="s">
        <v>138</v>
      </c>
      <c r="AI1341" t="str">
        <f>"1740210"</f>
        <v>1740210</v>
      </c>
      <c r="AJ1341" t="s">
        <v>139</v>
      </c>
      <c r="AK1341">
        <v>2810318130</v>
      </c>
      <c r="AL1341" t="s">
        <v>140</v>
      </c>
      <c r="AM1341" t="s">
        <v>78</v>
      </c>
      <c r="AN1341" t="s">
        <v>78</v>
      </c>
      <c r="AO1341" t="s">
        <v>78</v>
      </c>
      <c r="AP1341" t="s">
        <v>141</v>
      </c>
      <c r="AQ1341">
        <v>7</v>
      </c>
      <c r="AR1341" t="s">
        <v>123</v>
      </c>
      <c r="AS1341" t="s">
        <v>124</v>
      </c>
      <c r="AT1341" t="s">
        <v>58</v>
      </c>
      <c r="AU1341" t="s">
        <v>68</v>
      </c>
      <c r="AV1341" t="s">
        <v>69</v>
      </c>
      <c r="AW1341" s="1">
        <v>23168</v>
      </c>
      <c r="AX1341">
        <v>2</v>
      </c>
    </row>
    <row r="1342" spans="1:50">
      <c r="A1342">
        <v>703102</v>
      </c>
      <c r="B1342" t="str">
        <f>"103045468"</f>
        <v>103045468</v>
      </c>
      <c r="C1342" t="s">
        <v>50</v>
      </c>
      <c r="D1342" t="s">
        <v>3098</v>
      </c>
      <c r="E1342" t="s">
        <v>143</v>
      </c>
      <c r="F1342" t="s">
        <v>304</v>
      </c>
      <c r="G1342" t="s">
        <v>340</v>
      </c>
      <c r="H1342" t="str">
        <f>"ΑΘ. ΔΙΑΚΟΥ 11 "</f>
        <v xml:space="preserve">ΑΘ. ΔΙΑΚΟΥ 11 </v>
      </c>
      <c r="I1342">
        <v>52100</v>
      </c>
      <c r="J1342">
        <v>2467081823</v>
      </c>
      <c r="K1342">
        <v>6946413322</v>
      </c>
      <c r="N1342" t="s">
        <v>146</v>
      </c>
      <c r="O1342" t="s">
        <v>147</v>
      </c>
      <c r="R1342" t="s">
        <v>57</v>
      </c>
      <c r="S1342">
        <v>6</v>
      </c>
      <c r="T1342">
        <v>588</v>
      </c>
      <c r="U1342" s="1">
        <v>40778</v>
      </c>
      <c r="V1342" t="s">
        <v>123</v>
      </c>
      <c r="W1342" t="s">
        <v>124</v>
      </c>
      <c r="X1342" t="s">
        <v>58</v>
      </c>
      <c r="Y1342">
        <v>21</v>
      </c>
      <c r="Z1342" t="s">
        <v>59</v>
      </c>
      <c r="AA1342" t="s">
        <v>59</v>
      </c>
      <c r="AB1342" t="s">
        <v>59</v>
      </c>
      <c r="AC1342" t="s">
        <v>59</v>
      </c>
      <c r="AD1342" t="s">
        <v>59</v>
      </c>
      <c r="AF1342" s="1">
        <v>40780</v>
      </c>
      <c r="AG1342" t="s">
        <v>125</v>
      </c>
      <c r="AH1342" t="s">
        <v>126</v>
      </c>
      <c r="AI1342" t="str">
        <f>"1704010"</f>
        <v>1704010</v>
      </c>
      <c r="AJ1342" t="s">
        <v>480</v>
      </c>
      <c r="AK1342">
        <v>2895022230</v>
      </c>
      <c r="AL1342" t="s">
        <v>481</v>
      </c>
      <c r="AM1342" t="s">
        <v>78</v>
      </c>
      <c r="AN1342" t="s">
        <v>482</v>
      </c>
      <c r="AO1342" t="s">
        <v>482</v>
      </c>
      <c r="AP1342" t="s">
        <v>483</v>
      </c>
      <c r="AQ1342">
        <v>16</v>
      </c>
      <c r="AR1342" t="s">
        <v>123</v>
      </c>
      <c r="AS1342" t="s">
        <v>124</v>
      </c>
      <c r="AT1342" t="s">
        <v>58</v>
      </c>
      <c r="AU1342" t="s">
        <v>68</v>
      </c>
      <c r="AV1342" t="s">
        <v>69</v>
      </c>
      <c r="AW1342" s="1">
        <v>28434</v>
      </c>
      <c r="AX1342">
        <v>2</v>
      </c>
    </row>
    <row r="1343" spans="1:50">
      <c r="B1343" t="str">
        <f>"064557602"</f>
        <v>064557602</v>
      </c>
      <c r="C1343" t="s">
        <v>105</v>
      </c>
      <c r="D1343" t="s">
        <v>3099</v>
      </c>
      <c r="E1343" t="s">
        <v>510</v>
      </c>
      <c r="F1343" t="s">
        <v>450</v>
      </c>
      <c r="G1343" t="s">
        <v>83</v>
      </c>
      <c r="H1343" t="str">
        <f>"ΧΑΝΔΑΚΟΣ 58 ΗΡΑΚΛΕΙΟ"</f>
        <v>ΧΑΝΔΑΚΟΣ 58 ΗΡΑΚΛΕΙΟ</v>
      </c>
      <c r="I1343">
        <v>71202</v>
      </c>
      <c r="J1343">
        <v>2810280812</v>
      </c>
      <c r="K1343">
        <v>6972242733</v>
      </c>
      <c r="N1343" t="s">
        <v>246</v>
      </c>
      <c r="O1343" t="s">
        <v>247</v>
      </c>
      <c r="R1343" t="s">
        <v>159</v>
      </c>
      <c r="S1343">
        <v>4</v>
      </c>
      <c r="T1343" t="s">
        <v>416</v>
      </c>
      <c r="U1343" s="1">
        <v>43349</v>
      </c>
      <c r="V1343" t="s">
        <v>123</v>
      </c>
      <c r="W1343" t="s">
        <v>124</v>
      </c>
      <c r="X1343" t="s">
        <v>58</v>
      </c>
      <c r="Y1343">
        <v>21</v>
      </c>
      <c r="Z1343" t="s">
        <v>59</v>
      </c>
      <c r="AA1343" t="s">
        <v>59</v>
      </c>
      <c r="AB1343" t="s">
        <v>59</v>
      </c>
      <c r="AC1343" t="s">
        <v>59</v>
      </c>
      <c r="AD1343" t="s">
        <v>59</v>
      </c>
      <c r="AF1343" s="1">
        <v>43349</v>
      </c>
      <c r="AG1343" t="s">
        <v>125</v>
      </c>
      <c r="AH1343" t="s">
        <v>294</v>
      </c>
      <c r="AI1343" t="str">
        <f>"1701015"</f>
        <v>1701015</v>
      </c>
      <c r="AJ1343" t="s">
        <v>295</v>
      </c>
      <c r="AK1343">
        <v>2810761696</v>
      </c>
      <c r="AL1343" t="s">
        <v>296</v>
      </c>
      <c r="AM1343" t="s">
        <v>78</v>
      </c>
      <c r="AN1343" t="s">
        <v>219</v>
      </c>
      <c r="AO1343" t="s">
        <v>297</v>
      </c>
      <c r="AP1343" t="s">
        <v>297</v>
      </c>
      <c r="AQ1343">
        <v>10</v>
      </c>
      <c r="AR1343" t="s">
        <v>123</v>
      </c>
      <c r="AS1343" t="s">
        <v>124</v>
      </c>
      <c r="AT1343" t="s">
        <v>58</v>
      </c>
      <c r="AU1343" t="s">
        <v>419</v>
      </c>
      <c r="AV1343" t="s">
        <v>132</v>
      </c>
      <c r="AW1343" s="1">
        <v>28495</v>
      </c>
      <c r="AX1343">
        <v>2</v>
      </c>
    </row>
    <row r="1344" spans="1:50">
      <c r="A1344">
        <v>221795</v>
      </c>
      <c r="B1344" t="str">
        <f>"121820111"</f>
        <v>121820111</v>
      </c>
      <c r="C1344" t="s">
        <v>105</v>
      </c>
      <c r="D1344" t="s">
        <v>3099</v>
      </c>
      <c r="E1344" t="s">
        <v>153</v>
      </c>
      <c r="F1344" t="s">
        <v>670</v>
      </c>
      <c r="G1344" t="s">
        <v>155</v>
      </c>
      <c r="H1344" t="str">
        <f>"Κ. ΠΑΛΑΜΑ 28  ΜΟΙΡΕΣ ΗΡΑΚΛΕΙΟΥ"</f>
        <v>Κ. ΠΑΛΑΜΑ 28  ΜΟΙΡΕΣ ΗΡΑΚΛΕΙΟΥ</v>
      </c>
      <c r="I1344">
        <v>70400</v>
      </c>
      <c r="J1344">
        <v>2441088477</v>
      </c>
      <c r="K1344">
        <v>6949240573</v>
      </c>
      <c r="L1344">
        <v>2892023058</v>
      </c>
      <c r="M1344" t="s">
        <v>3100</v>
      </c>
      <c r="N1344" t="s">
        <v>157</v>
      </c>
      <c r="O1344" t="s">
        <v>158</v>
      </c>
      <c r="R1344" t="s">
        <v>57</v>
      </c>
      <c r="S1344">
        <v>6</v>
      </c>
      <c r="T1344">
        <v>775</v>
      </c>
      <c r="U1344" s="1">
        <v>39680</v>
      </c>
      <c r="V1344" t="s">
        <v>123</v>
      </c>
      <c r="W1344" t="s">
        <v>124</v>
      </c>
      <c r="X1344" t="s">
        <v>58</v>
      </c>
      <c r="Y1344">
        <v>21</v>
      </c>
      <c r="Z1344" t="s">
        <v>59</v>
      </c>
      <c r="AA1344" t="s">
        <v>59</v>
      </c>
      <c r="AB1344" t="s">
        <v>59</v>
      </c>
      <c r="AC1344" t="s">
        <v>59</v>
      </c>
      <c r="AD1344" t="s">
        <v>59</v>
      </c>
      <c r="AF1344" s="1">
        <v>39681</v>
      </c>
      <c r="AG1344" t="s">
        <v>148</v>
      </c>
      <c r="AH1344" t="s">
        <v>149</v>
      </c>
      <c r="AI1344" t="str">
        <f>"1756010"</f>
        <v>1756010</v>
      </c>
      <c r="AJ1344" t="s">
        <v>874</v>
      </c>
      <c r="AK1344">
        <v>2892022976</v>
      </c>
      <c r="AL1344" t="s">
        <v>875</v>
      </c>
      <c r="AM1344" t="s">
        <v>78</v>
      </c>
      <c r="AN1344" t="s">
        <v>242</v>
      </c>
      <c r="AO1344" t="s">
        <v>243</v>
      </c>
      <c r="AP1344" t="s">
        <v>243</v>
      </c>
      <c r="AQ1344">
        <v>33</v>
      </c>
      <c r="AR1344" t="s">
        <v>123</v>
      </c>
      <c r="AS1344" t="s">
        <v>124</v>
      </c>
      <c r="AT1344" t="s">
        <v>58</v>
      </c>
      <c r="AU1344" t="s">
        <v>68</v>
      </c>
      <c r="AV1344" t="s">
        <v>69</v>
      </c>
      <c r="AW1344" s="1">
        <v>29862</v>
      </c>
      <c r="AX1344">
        <v>2</v>
      </c>
    </row>
    <row r="1345" spans="1:50">
      <c r="A1345">
        <v>192798</v>
      </c>
      <c r="B1345" t="str">
        <f>"050884699"</f>
        <v>050884699</v>
      </c>
      <c r="C1345" t="s">
        <v>50</v>
      </c>
      <c r="D1345" t="s">
        <v>3101</v>
      </c>
      <c r="E1345" t="s">
        <v>155</v>
      </c>
      <c r="F1345" t="s">
        <v>989</v>
      </c>
      <c r="G1345" t="s">
        <v>484</v>
      </c>
      <c r="H1345" t="str">
        <f>"ΠΑΠΑΔΙΑΜΑΝΤΗ 21 ΗΡΑΚΛΕΙΟ"</f>
        <v>ΠΑΠΑΔΙΑΜΑΝΤΗ 21 ΗΡΑΚΛΕΙΟ</v>
      </c>
      <c r="J1345">
        <v>2810233283</v>
      </c>
      <c r="K1345">
        <v>6947838101</v>
      </c>
      <c r="M1345" t="s">
        <v>3102</v>
      </c>
      <c r="N1345" t="s">
        <v>157</v>
      </c>
      <c r="O1345" t="s">
        <v>158</v>
      </c>
      <c r="R1345" t="s">
        <v>57</v>
      </c>
      <c r="S1345">
        <v>10</v>
      </c>
      <c r="T1345">
        <v>193</v>
      </c>
      <c r="U1345" s="1">
        <v>37497</v>
      </c>
      <c r="V1345" t="s">
        <v>123</v>
      </c>
      <c r="W1345" t="s">
        <v>124</v>
      </c>
      <c r="X1345" t="s">
        <v>58</v>
      </c>
      <c r="Y1345">
        <v>18</v>
      </c>
      <c r="Z1345" t="s">
        <v>59</v>
      </c>
      <c r="AA1345" t="s">
        <v>59</v>
      </c>
      <c r="AB1345" t="s">
        <v>59</v>
      </c>
      <c r="AC1345" t="s">
        <v>59</v>
      </c>
      <c r="AD1345" t="s">
        <v>59</v>
      </c>
      <c r="AF1345" s="1">
        <v>37503</v>
      </c>
      <c r="AG1345" t="s">
        <v>125</v>
      </c>
      <c r="AH1345" t="s">
        <v>126</v>
      </c>
      <c r="AI1345" t="str">
        <f>"1701054"</f>
        <v>1701054</v>
      </c>
      <c r="AJ1345" t="s">
        <v>318</v>
      </c>
      <c r="AK1345">
        <v>2810252418</v>
      </c>
      <c r="AL1345" t="s">
        <v>319</v>
      </c>
      <c r="AM1345" t="s">
        <v>78</v>
      </c>
      <c r="AN1345" t="s">
        <v>78</v>
      </c>
      <c r="AO1345" t="s">
        <v>78</v>
      </c>
      <c r="AP1345" t="s">
        <v>141</v>
      </c>
      <c r="AQ1345">
        <v>7</v>
      </c>
      <c r="AR1345" t="s">
        <v>123</v>
      </c>
      <c r="AS1345" t="s">
        <v>124</v>
      </c>
      <c r="AT1345" t="s">
        <v>58</v>
      </c>
      <c r="AU1345" t="s">
        <v>68</v>
      </c>
      <c r="AV1345" t="s">
        <v>69</v>
      </c>
      <c r="AW1345" s="1">
        <v>23716</v>
      </c>
      <c r="AX1345">
        <v>2</v>
      </c>
    </row>
    <row r="1346" spans="1:50">
      <c r="A1346">
        <v>221360</v>
      </c>
      <c r="B1346" t="str">
        <f>"059170529"</f>
        <v>059170529</v>
      </c>
      <c r="C1346" t="s">
        <v>105</v>
      </c>
      <c r="D1346" t="s">
        <v>3103</v>
      </c>
      <c r="E1346" t="s">
        <v>3104</v>
      </c>
      <c r="F1346" t="s">
        <v>53</v>
      </c>
      <c r="G1346" t="s">
        <v>134</v>
      </c>
      <c r="H1346" t="str">
        <f>" "</f>
        <v xml:space="preserve"> </v>
      </c>
      <c r="J1346">
        <v>2810330147</v>
      </c>
      <c r="K1346">
        <v>6974737485</v>
      </c>
      <c r="N1346" t="s">
        <v>168</v>
      </c>
      <c r="O1346" t="s">
        <v>169</v>
      </c>
      <c r="R1346" t="s">
        <v>57</v>
      </c>
      <c r="S1346">
        <v>5</v>
      </c>
      <c r="T1346">
        <v>691</v>
      </c>
      <c r="U1346" s="1">
        <v>39331</v>
      </c>
      <c r="V1346" t="s">
        <v>123</v>
      </c>
      <c r="W1346" t="s">
        <v>124</v>
      </c>
      <c r="X1346" t="s">
        <v>58</v>
      </c>
      <c r="Y1346">
        <v>21</v>
      </c>
      <c r="Z1346" t="s">
        <v>59</v>
      </c>
      <c r="AA1346" t="s">
        <v>59</v>
      </c>
      <c r="AB1346" t="s">
        <v>59</v>
      </c>
      <c r="AC1346" t="s">
        <v>59</v>
      </c>
      <c r="AD1346" t="s">
        <v>59</v>
      </c>
      <c r="AF1346" s="1">
        <v>39332</v>
      </c>
      <c r="AG1346" t="s">
        <v>137</v>
      </c>
      <c r="AH1346" t="s">
        <v>138</v>
      </c>
      <c r="AI1346" t="str">
        <f>"1750080"</f>
        <v>1750080</v>
      </c>
      <c r="AJ1346" t="s">
        <v>170</v>
      </c>
      <c r="AK1346">
        <v>2810234444</v>
      </c>
      <c r="AL1346" t="s">
        <v>171</v>
      </c>
      <c r="AM1346" t="s">
        <v>78</v>
      </c>
      <c r="AN1346" t="s">
        <v>78</v>
      </c>
      <c r="AO1346" t="s">
        <v>78</v>
      </c>
      <c r="AP1346" t="s">
        <v>163</v>
      </c>
      <c r="AQ1346">
        <v>9</v>
      </c>
      <c r="AR1346" t="s">
        <v>123</v>
      </c>
      <c r="AS1346" t="s">
        <v>124</v>
      </c>
      <c r="AT1346" t="s">
        <v>58</v>
      </c>
      <c r="AU1346" t="s">
        <v>68</v>
      </c>
      <c r="AV1346" t="s">
        <v>69</v>
      </c>
      <c r="AW1346" s="1">
        <v>23926</v>
      </c>
      <c r="AX1346">
        <v>2</v>
      </c>
    </row>
    <row r="1347" spans="1:50">
      <c r="A1347">
        <v>159935</v>
      </c>
      <c r="B1347" t="str">
        <f>"019504724"</f>
        <v>019504724</v>
      </c>
      <c r="C1347" t="s">
        <v>105</v>
      </c>
      <c r="D1347" t="s">
        <v>3105</v>
      </c>
      <c r="E1347" t="s">
        <v>3106</v>
      </c>
      <c r="F1347" t="s">
        <v>510</v>
      </c>
      <c r="G1347" t="s">
        <v>809</v>
      </c>
      <c r="H1347" t="str">
        <f>"ΜΑΚΕΔΟΝΟΜΑΧΩΝ 49 ΗΡΑΚΛΕΙΟ"</f>
        <v>ΜΑΚΕΔΟΝΟΜΑΧΩΝ 49 ΗΡΑΚΛΕΙΟ</v>
      </c>
      <c r="J1347">
        <v>2810250149</v>
      </c>
      <c r="M1347" t="s">
        <v>3107</v>
      </c>
      <c r="N1347" t="s">
        <v>292</v>
      </c>
      <c r="O1347" t="s">
        <v>293</v>
      </c>
      <c r="R1347" t="s">
        <v>57</v>
      </c>
      <c r="S1347">
        <v>15</v>
      </c>
      <c r="T1347">
        <v>161</v>
      </c>
      <c r="U1347" s="1">
        <v>33119</v>
      </c>
      <c r="V1347" t="s">
        <v>123</v>
      </c>
      <c r="W1347" t="s">
        <v>124</v>
      </c>
      <c r="X1347" t="s">
        <v>58</v>
      </c>
      <c r="Y1347">
        <v>18</v>
      </c>
      <c r="Z1347" t="s">
        <v>59</v>
      </c>
      <c r="AA1347" t="s">
        <v>59</v>
      </c>
      <c r="AB1347" t="s">
        <v>59</v>
      </c>
      <c r="AC1347" t="s">
        <v>59</v>
      </c>
      <c r="AD1347" t="s">
        <v>59</v>
      </c>
      <c r="AF1347" s="1">
        <v>33123</v>
      </c>
      <c r="AG1347" t="s">
        <v>125</v>
      </c>
      <c r="AH1347" t="s">
        <v>126</v>
      </c>
      <c r="AI1347" t="str">
        <f>"1701020"</f>
        <v>1701020</v>
      </c>
      <c r="AJ1347" t="s">
        <v>323</v>
      </c>
      <c r="AK1347">
        <v>2810252111</v>
      </c>
      <c r="AL1347" t="s">
        <v>324</v>
      </c>
      <c r="AM1347" t="s">
        <v>78</v>
      </c>
      <c r="AN1347" t="s">
        <v>78</v>
      </c>
      <c r="AO1347" t="s">
        <v>78</v>
      </c>
      <c r="AP1347" t="s">
        <v>163</v>
      </c>
      <c r="AQ1347">
        <v>3</v>
      </c>
      <c r="AR1347" t="s">
        <v>123</v>
      </c>
      <c r="AS1347" t="s">
        <v>124</v>
      </c>
      <c r="AT1347" t="s">
        <v>58</v>
      </c>
      <c r="AU1347" t="s">
        <v>68</v>
      </c>
      <c r="AV1347" t="s">
        <v>69</v>
      </c>
      <c r="AW1347" s="1">
        <v>20130</v>
      </c>
      <c r="AX1347">
        <v>2</v>
      </c>
    </row>
    <row r="1348" spans="1:50">
      <c r="A1348">
        <v>211418</v>
      </c>
      <c r="B1348" t="str">
        <f>"068187859"</f>
        <v>068187859</v>
      </c>
      <c r="C1348" t="s">
        <v>105</v>
      </c>
      <c r="D1348" t="s">
        <v>3108</v>
      </c>
      <c r="E1348" t="s">
        <v>450</v>
      </c>
      <c r="F1348" t="s">
        <v>209</v>
      </c>
      <c r="G1348" t="s">
        <v>3109</v>
      </c>
      <c r="H1348" t="str">
        <f>" "</f>
        <v xml:space="preserve"> </v>
      </c>
      <c r="J1348">
        <v>2105617523</v>
      </c>
      <c r="K1348">
        <v>6944347426</v>
      </c>
      <c r="M1348" t="s">
        <v>3110</v>
      </c>
      <c r="N1348" t="s">
        <v>1424</v>
      </c>
      <c r="O1348" t="s">
        <v>1096</v>
      </c>
      <c r="R1348" t="s">
        <v>57</v>
      </c>
      <c r="S1348">
        <v>6</v>
      </c>
      <c r="T1348">
        <v>311</v>
      </c>
      <c r="U1348" s="1">
        <v>38677</v>
      </c>
      <c r="V1348" t="s">
        <v>123</v>
      </c>
      <c r="W1348" t="s">
        <v>124</v>
      </c>
      <c r="X1348" t="s">
        <v>58</v>
      </c>
      <c r="Y1348">
        <v>20</v>
      </c>
      <c r="Z1348" t="s">
        <v>59</v>
      </c>
      <c r="AA1348" t="s">
        <v>59</v>
      </c>
      <c r="AB1348" t="s">
        <v>59</v>
      </c>
      <c r="AC1348" t="s">
        <v>59</v>
      </c>
      <c r="AD1348" t="s">
        <v>59</v>
      </c>
      <c r="AF1348" s="1">
        <v>38679</v>
      </c>
      <c r="AG1348" t="s">
        <v>137</v>
      </c>
      <c r="AH1348" t="s">
        <v>138</v>
      </c>
      <c r="AI1348" t="str">
        <f>"1740100"</f>
        <v>1740100</v>
      </c>
      <c r="AJ1348" t="s">
        <v>857</v>
      </c>
      <c r="AK1348">
        <v>2810360741</v>
      </c>
      <c r="AL1348" t="s">
        <v>858</v>
      </c>
      <c r="AM1348" t="s">
        <v>78</v>
      </c>
      <c r="AN1348" t="s">
        <v>78</v>
      </c>
      <c r="AO1348" t="s">
        <v>78</v>
      </c>
      <c r="AP1348" t="s">
        <v>163</v>
      </c>
      <c r="AQ1348">
        <v>5</v>
      </c>
      <c r="AR1348" t="s">
        <v>123</v>
      </c>
      <c r="AS1348" t="s">
        <v>124</v>
      </c>
      <c r="AT1348" t="s">
        <v>58</v>
      </c>
      <c r="AU1348" t="s">
        <v>68</v>
      </c>
      <c r="AV1348" t="s">
        <v>69</v>
      </c>
      <c r="AW1348" s="1">
        <v>26299</v>
      </c>
      <c r="AX1348">
        <v>2</v>
      </c>
    </row>
    <row r="1349" spans="1:50">
      <c r="A1349">
        <v>191268</v>
      </c>
      <c r="B1349" t="str">
        <f>"103530799"</f>
        <v>103530799</v>
      </c>
      <c r="C1349" t="s">
        <v>50</v>
      </c>
      <c r="D1349" t="s">
        <v>3111</v>
      </c>
      <c r="E1349" t="s">
        <v>314</v>
      </c>
      <c r="F1349" t="s">
        <v>166</v>
      </c>
      <c r="G1349" t="s">
        <v>1644</v>
      </c>
      <c r="H1349" t="str">
        <f>"ΣΗΦΑΚΑ 13 ΗΡΑΚΛΕΙΟ"</f>
        <v>ΣΗΦΑΚΑ 13 ΗΡΑΚΛΕΙΟ</v>
      </c>
      <c r="I1349">
        <v>71306</v>
      </c>
      <c r="J1349">
        <v>2810214397</v>
      </c>
      <c r="K1349">
        <v>6934176484</v>
      </c>
      <c r="M1349" t="s">
        <v>3112</v>
      </c>
      <c r="N1349" t="s">
        <v>204</v>
      </c>
      <c r="O1349" t="s">
        <v>205</v>
      </c>
      <c r="R1349" t="s">
        <v>57</v>
      </c>
      <c r="S1349">
        <v>9</v>
      </c>
      <c r="T1349">
        <v>219</v>
      </c>
      <c r="U1349" s="1">
        <v>37134</v>
      </c>
      <c r="V1349" t="s">
        <v>123</v>
      </c>
      <c r="W1349" t="s">
        <v>124</v>
      </c>
      <c r="X1349" t="s">
        <v>58</v>
      </c>
      <c r="Y1349">
        <v>20</v>
      </c>
      <c r="Z1349" t="s">
        <v>59</v>
      </c>
      <c r="AA1349" t="s">
        <v>59</v>
      </c>
      <c r="AB1349" t="s">
        <v>59</v>
      </c>
      <c r="AC1349" t="s">
        <v>59</v>
      </c>
      <c r="AD1349" t="s">
        <v>59</v>
      </c>
      <c r="AF1349" s="1">
        <v>37138</v>
      </c>
      <c r="AG1349" t="s">
        <v>148</v>
      </c>
      <c r="AH1349" t="s">
        <v>149</v>
      </c>
      <c r="AI1349" t="str">
        <f>"1751030"</f>
        <v>1751030</v>
      </c>
      <c r="AJ1349" t="s">
        <v>234</v>
      </c>
      <c r="AK1349">
        <v>2810282911</v>
      </c>
      <c r="AL1349" t="s">
        <v>235</v>
      </c>
      <c r="AM1349" t="s">
        <v>78</v>
      </c>
      <c r="AN1349" t="s">
        <v>78</v>
      </c>
      <c r="AO1349" t="s">
        <v>78</v>
      </c>
      <c r="AP1349" t="s">
        <v>163</v>
      </c>
      <c r="AQ1349">
        <v>1</v>
      </c>
      <c r="AR1349" t="s">
        <v>123</v>
      </c>
      <c r="AS1349" t="s">
        <v>124</v>
      </c>
      <c r="AT1349" t="s">
        <v>58</v>
      </c>
      <c r="AU1349" t="s">
        <v>68</v>
      </c>
      <c r="AV1349" t="s">
        <v>69</v>
      </c>
      <c r="AW1349" s="1">
        <v>27039</v>
      </c>
      <c r="AX1349">
        <v>2</v>
      </c>
    </row>
    <row r="1350" spans="1:50">
      <c r="A1350">
        <v>197367</v>
      </c>
      <c r="B1350" t="str">
        <f>"131675840"</f>
        <v>131675840</v>
      </c>
      <c r="C1350" t="s">
        <v>50</v>
      </c>
      <c r="D1350" t="s">
        <v>3113</v>
      </c>
      <c r="E1350" t="s">
        <v>143</v>
      </c>
      <c r="F1350" t="s">
        <v>760</v>
      </c>
      <c r="G1350" t="s">
        <v>52</v>
      </c>
      <c r="H1350" t="str">
        <f>" "</f>
        <v xml:space="preserve"> </v>
      </c>
      <c r="J1350">
        <v>2109820159</v>
      </c>
      <c r="K1350">
        <v>6972304383</v>
      </c>
      <c r="N1350" t="s">
        <v>146</v>
      </c>
      <c r="O1350" t="s">
        <v>147</v>
      </c>
      <c r="R1350" t="s">
        <v>57</v>
      </c>
      <c r="S1350">
        <v>7</v>
      </c>
      <c r="T1350">
        <v>206</v>
      </c>
      <c r="U1350" s="1">
        <v>37866</v>
      </c>
      <c r="V1350" t="s">
        <v>123</v>
      </c>
      <c r="W1350" t="s">
        <v>124</v>
      </c>
      <c r="X1350" t="s">
        <v>58</v>
      </c>
      <c r="Y1350">
        <v>20</v>
      </c>
      <c r="Z1350" t="s">
        <v>59</v>
      </c>
      <c r="AA1350" t="s">
        <v>59</v>
      </c>
      <c r="AB1350" t="s">
        <v>59</v>
      </c>
      <c r="AC1350" t="s">
        <v>59</v>
      </c>
      <c r="AD1350" t="s">
        <v>59</v>
      </c>
      <c r="AF1350" s="1">
        <v>37866</v>
      </c>
      <c r="AG1350" t="s">
        <v>125</v>
      </c>
      <c r="AH1350" t="s">
        <v>126</v>
      </c>
      <c r="AI1350" t="str">
        <f>"1727010"</f>
        <v>1727010</v>
      </c>
      <c r="AJ1350" t="s">
        <v>618</v>
      </c>
      <c r="AK1350">
        <v>2810229231</v>
      </c>
      <c r="AL1350" t="s">
        <v>619</v>
      </c>
      <c r="AM1350" t="s">
        <v>78</v>
      </c>
      <c r="AN1350" t="s">
        <v>78</v>
      </c>
      <c r="AO1350" t="s">
        <v>286</v>
      </c>
      <c r="AP1350" t="s">
        <v>286</v>
      </c>
      <c r="AQ1350">
        <v>12</v>
      </c>
      <c r="AR1350" t="s">
        <v>123</v>
      </c>
      <c r="AS1350" t="s">
        <v>124</v>
      </c>
      <c r="AT1350" t="s">
        <v>58</v>
      </c>
      <c r="AU1350" t="s">
        <v>68</v>
      </c>
      <c r="AV1350" t="s">
        <v>69</v>
      </c>
      <c r="AW1350" s="1">
        <v>29493</v>
      </c>
      <c r="AX1350">
        <v>2</v>
      </c>
    </row>
    <row r="1351" spans="1:50">
      <c r="B1351" t="str">
        <f>"110728000"</f>
        <v>110728000</v>
      </c>
      <c r="C1351" t="s">
        <v>50</v>
      </c>
      <c r="D1351" t="s">
        <v>3114</v>
      </c>
      <c r="E1351" t="s">
        <v>250</v>
      </c>
      <c r="F1351" t="s">
        <v>166</v>
      </c>
      <c r="G1351" t="s">
        <v>563</v>
      </c>
      <c r="H1351" t="str">
        <f>" "</f>
        <v xml:space="preserve"> </v>
      </c>
      <c r="N1351" t="s">
        <v>146</v>
      </c>
      <c r="O1351" t="s">
        <v>147</v>
      </c>
      <c r="R1351" t="s">
        <v>121</v>
      </c>
      <c r="S1351">
        <v>1</v>
      </c>
      <c r="T1351" t="s">
        <v>416</v>
      </c>
      <c r="U1351" s="1">
        <v>43349</v>
      </c>
      <c r="V1351" t="s">
        <v>123</v>
      </c>
      <c r="W1351" t="s">
        <v>124</v>
      </c>
      <c r="X1351" t="s">
        <v>58</v>
      </c>
      <c r="Y1351">
        <v>23</v>
      </c>
      <c r="Z1351" t="s">
        <v>59</v>
      </c>
      <c r="AD1351" t="s">
        <v>59</v>
      </c>
      <c r="AF1351" s="1">
        <v>43349</v>
      </c>
      <c r="AG1351" t="s">
        <v>125</v>
      </c>
      <c r="AH1351" t="s">
        <v>126</v>
      </c>
      <c r="AI1351" t="str">
        <f>"1724010"</f>
        <v>1724010</v>
      </c>
      <c r="AJ1351" t="s">
        <v>1934</v>
      </c>
      <c r="AK1351">
        <v>2891041322</v>
      </c>
      <c r="AL1351" t="s">
        <v>1935</v>
      </c>
      <c r="AM1351" t="s">
        <v>78</v>
      </c>
      <c r="AN1351" t="s">
        <v>276</v>
      </c>
      <c r="AO1351" t="s">
        <v>1936</v>
      </c>
      <c r="AP1351" t="s">
        <v>1936</v>
      </c>
      <c r="AQ1351">
        <v>18</v>
      </c>
      <c r="AR1351" t="s">
        <v>123</v>
      </c>
      <c r="AS1351" t="s">
        <v>124</v>
      </c>
      <c r="AT1351" t="s">
        <v>58</v>
      </c>
      <c r="AU1351" t="s">
        <v>419</v>
      </c>
      <c r="AV1351" t="s">
        <v>132</v>
      </c>
      <c r="AW1351" s="1">
        <v>30789</v>
      </c>
      <c r="AX1351">
        <v>2</v>
      </c>
    </row>
    <row r="1352" spans="1:50">
      <c r="A1352">
        <v>210595</v>
      </c>
      <c r="B1352" t="str">
        <f>"076628610"</f>
        <v>076628610</v>
      </c>
      <c r="C1352" t="s">
        <v>50</v>
      </c>
      <c r="D1352" t="s">
        <v>3115</v>
      </c>
      <c r="E1352" t="s">
        <v>1306</v>
      </c>
      <c r="F1352" t="s">
        <v>2933</v>
      </c>
      <c r="G1352" t="s">
        <v>96</v>
      </c>
      <c r="H1352" t="str">
        <f>" "</f>
        <v xml:space="preserve"> </v>
      </c>
      <c r="J1352">
        <v>2310424141</v>
      </c>
      <c r="K1352">
        <v>6948000835</v>
      </c>
      <c r="M1352" t="s">
        <v>3116</v>
      </c>
      <c r="N1352" t="s">
        <v>306</v>
      </c>
      <c r="O1352" t="s">
        <v>307</v>
      </c>
      <c r="R1352" t="s">
        <v>57</v>
      </c>
      <c r="S1352">
        <v>9</v>
      </c>
      <c r="T1352">
        <v>249</v>
      </c>
      <c r="U1352" s="1">
        <v>38617</v>
      </c>
      <c r="V1352" t="s">
        <v>123</v>
      </c>
      <c r="W1352" t="s">
        <v>124</v>
      </c>
      <c r="X1352" t="s">
        <v>58</v>
      </c>
      <c r="Y1352">
        <v>20</v>
      </c>
      <c r="Z1352" t="s">
        <v>59</v>
      </c>
      <c r="AA1352" t="s">
        <v>59</v>
      </c>
      <c r="AB1352" t="s">
        <v>59</v>
      </c>
      <c r="AC1352" t="s">
        <v>59</v>
      </c>
      <c r="AD1352" t="s">
        <v>59</v>
      </c>
      <c r="AF1352" s="1">
        <v>38622</v>
      </c>
      <c r="AG1352" t="s">
        <v>125</v>
      </c>
      <c r="AH1352" t="s">
        <v>126</v>
      </c>
      <c r="AI1352" t="str">
        <f>"1712010"</f>
        <v>1712010</v>
      </c>
      <c r="AJ1352" t="s">
        <v>525</v>
      </c>
      <c r="AK1352">
        <v>2897061328</v>
      </c>
      <c r="AL1352" t="s">
        <v>526</v>
      </c>
      <c r="AM1352" t="s">
        <v>78</v>
      </c>
      <c r="AN1352" t="s">
        <v>219</v>
      </c>
      <c r="AO1352" t="s">
        <v>527</v>
      </c>
      <c r="AP1352" t="s">
        <v>528</v>
      </c>
      <c r="AQ1352">
        <v>19</v>
      </c>
      <c r="AR1352" t="s">
        <v>123</v>
      </c>
      <c r="AS1352" t="s">
        <v>124</v>
      </c>
      <c r="AT1352" t="s">
        <v>58</v>
      </c>
      <c r="AU1352" t="s">
        <v>68</v>
      </c>
      <c r="AV1352" t="s">
        <v>1092</v>
      </c>
      <c r="AW1352" s="1">
        <v>28507</v>
      </c>
      <c r="AX1352">
        <v>2</v>
      </c>
    </row>
    <row r="1353" spans="1:50">
      <c r="A1353">
        <v>190113</v>
      </c>
      <c r="B1353" t="str">
        <f>"044970929"</f>
        <v>044970929</v>
      </c>
      <c r="C1353" t="s">
        <v>50</v>
      </c>
      <c r="D1353" t="s">
        <v>3117</v>
      </c>
      <c r="E1353" t="s">
        <v>52</v>
      </c>
      <c r="F1353" t="s">
        <v>609</v>
      </c>
      <c r="G1353" t="s">
        <v>238</v>
      </c>
      <c r="H1353" t="str">
        <f>"ΛΑΠΠΑΣ 47 "</f>
        <v xml:space="preserve">ΛΑΠΠΑΣ 47 </v>
      </c>
      <c r="J1353">
        <v>2810319187</v>
      </c>
      <c r="K1353">
        <v>6937079361</v>
      </c>
      <c r="N1353" t="s">
        <v>199</v>
      </c>
      <c r="O1353" t="s">
        <v>200</v>
      </c>
      <c r="R1353" t="s">
        <v>57</v>
      </c>
      <c r="S1353">
        <v>10</v>
      </c>
      <c r="T1353">
        <v>219</v>
      </c>
      <c r="U1353" s="1">
        <v>37134</v>
      </c>
      <c r="V1353" t="s">
        <v>123</v>
      </c>
      <c r="W1353" t="s">
        <v>124</v>
      </c>
      <c r="X1353" t="s">
        <v>58</v>
      </c>
      <c r="Y1353">
        <v>20</v>
      </c>
      <c r="Z1353" t="s">
        <v>59</v>
      </c>
      <c r="AA1353" t="s">
        <v>59</v>
      </c>
      <c r="AB1353" t="s">
        <v>59</v>
      </c>
      <c r="AC1353" t="s">
        <v>59</v>
      </c>
      <c r="AD1353" t="s">
        <v>59</v>
      </c>
      <c r="AF1353" s="1">
        <v>37138</v>
      </c>
      <c r="AG1353" t="s">
        <v>148</v>
      </c>
      <c r="AH1353" t="s">
        <v>149</v>
      </c>
      <c r="AI1353" t="str">
        <f>"1751030"</f>
        <v>1751030</v>
      </c>
      <c r="AJ1353" t="s">
        <v>234</v>
      </c>
      <c r="AK1353">
        <v>2810282911</v>
      </c>
      <c r="AL1353" t="s">
        <v>235</v>
      </c>
      <c r="AM1353" t="s">
        <v>78</v>
      </c>
      <c r="AN1353" t="s">
        <v>78</v>
      </c>
      <c r="AO1353" t="s">
        <v>78</v>
      </c>
      <c r="AP1353" t="s">
        <v>163</v>
      </c>
      <c r="AQ1353">
        <v>1</v>
      </c>
      <c r="AR1353" t="s">
        <v>123</v>
      </c>
      <c r="AS1353" t="s">
        <v>124</v>
      </c>
      <c r="AT1353" t="s">
        <v>58</v>
      </c>
      <c r="AU1353" t="s">
        <v>68</v>
      </c>
      <c r="AV1353" t="s">
        <v>69</v>
      </c>
      <c r="AW1353" s="1">
        <v>24980</v>
      </c>
      <c r="AX1353">
        <v>2</v>
      </c>
    </row>
    <row r="1354" spans="1:50">
      <c r="A1354">
        <v>211743</v>
      </c>
      <c r="B1354" t="str">
        <f>"064551136"</f>
        <v>064551136</v>
      </c>
      <c r="C1354" t="s">
        <v>50</v>
      </c>
      <c r="D1354" t="s">
        <v>3118</v>
      </c>
      <c r="E1354" t="s">
        <v>396</v>
      </c>
      <c r="F1354" t="s">
        <v>95</v>
      </c>
      <c r="G1354" t="s">
        <v>255</v>
      </c>
      <c r="H1354" t="str">
        <f>"ΠΑΛΑΙΟΛΟΓΟΥ 41 ΛΑΡΙΣΑ"</f>
        <v>ΠΑΛΑΙΟΛΟΓΟΥ 41 ΛΑΡΙΣΑ</v>
      </c>
      <c r="I1354">
        <v>41223</v>
      </c>
      <c r="J1354">
        <v>2410282374</v>
      </c>
      <c r="K1354">
        <v>6934546191</v>
      </c>
      <c r="N1354" t="s">
        <v>157</v>
      </c>
      <c r="O1354" t="s">
        <v>158</v>
      </c>
      <c r="P1354" t="s">
        <v>3119</v>
      </c>
      <c r="Q1354" t="s">
        <v>3120</v>
      </c>
      <c r="R1354" t="s">
        <v>57</v>
      </c>
      <c r="S1354">
        <v>6</v>
      </c>
      <c r="T1354">
        <v>231</v>
      </c>
      <c r="U1354" s="1">
        <v>38960</v>
      </c>
      <c r="V1354" t="s">
        <v>123</v>
      </c>
      <c r="W1354" t="s">
        <v>124</v>
      </c>
      <c r="X1354" t="s">
        <v>58</v>
      </c>
      <c r="Y1354">
        <v>20</v>
      </c>
      <c r="Z1354" t="s">
        <v>59</v>
      </c>
      <c r="AA1354" t="s">
        <v>59</v>
      </c>
      <c r="AB1354" t="s">
        <v>59</v>
      </c>
      <c r="AC1354" t="s">
        <v>59</v>
      </c>
      <c r="AD1354" t="s">
        <v>59</v>
      </c>
      <c r="AF1354" s="1">
        <v>38961</v>
      </c>
      <c r="AG1354" t="s">
        <v>148</v>
      </c>
      <c r="AH1354" t="s">
        <v>149</v>
      </c>
      <c r="AI1354" t="str">
        <f>"1778010"</f>
        <v>1778010</v>
      </c>
      <c r="AJ1354" t="s">
        <v>672</v>
      </c>
      <c r="AK1354">
        <v>2810822455</v>
      </c>
      <c r="AL1354" t="s">
        <v>673</v>
      </c>
      <c r="AM1354" t="s">
        <v>78</v>
      </c>
      <c r="AN1354" t="s">
        <v>129</v>
      </c>
      <c r="AO1354" t="s">
        <v>130</v>
      </c>
      <c r="AP1354" t="s">
        <v>130</v>
      </c>
      <c r="AQ1354">
        <v>36</v>
      </c>
      <c r="AR1354" t="s">
        <v>123</v>
      </c>
      <c r="AS1354" t="s">
        <v>124</v>
      </c>
      <c r="AT1354" t="s">
        <v>58</v>
      </c>
      <c r="AU1354" t="s">
        <v>68</v>
      </c>
      <c r="AV1354" t="s">
        <v>69</v>
      </c>
      <c r="AW1354" s="1">
        <v>25158</v>
      </c>
      <c r="AX1354">
        <v>2</v>
      </c>
    </row>
    <row r="1355" spans="1:50">
      <c r="A1355">
        <v>169108</v>
      </c>
      <c r="B1355" t="str">
        <f>"073301944"</f>
        <v>073301944</v>
      </c>
      <c r="C1355" t="s">
        <v>105</v>
      </c>
      <c r="D1355" t="s">
        <v>3121</v>
      </c>
      <c r="E1355" t="s">
        <v>95</v>
      </c>
      <c r="F1355" t="s">
        <v>321</v>
      </c>
      <c r="G1355" t="s">
        <v>71</v>
      </c>
      <c r="H1355" t="str">
        <f>" "</f>
        <v xml:space="preserve"> </v>
      </c>
      <c r="K1355">
        <v>6945658953</v>
      </c>
      <c r="M1355" t="s">
        <v>3122</v>
      </c>
      <c r="N1355" t="s">
        <v>204</v>
      </c>
      <c r="O1355" t="s">
        <v>205</v>
      </c>
      <c r="R1355" t="s">
        <v>57</v>
      </c>
      <c r="S1355">
        <v>17</v>
      </c>
      <c r="T1355">
        <v>159</v>
      </c>
      <c r="U1355" s="1">
        <v>34582</v>
      </c>
      <c r="V1355" t="s">
        <v>123</v>
      </c>
      <c r="W1355" t="s">
        <v>124</v>
      </c>
      <c r="X1355" t="s">
        <v>58</v>
      </c>
      <c r="Y1355">
        <v>18</v>
      </c>
      <c r="Z1355" t="s">
        <v>59</v>
      </c>
      <c r="AA1355" t="s">
        <v>59</v>
      </c>
      <c r="AB1355" t="s">
        <v>59</v>
      </c>
      <c r="AC1355" t="s">
        <v>59</v>
      </c>
      <c r="AD1355" t="s">
        <v>59</v>
      </c>
      <c r="AF1355" s="1">
        <v>34583</v>
      </c>
      <c r="AG1355" t="s">
        <v>125</v>
      </c>
      <c r="AH1355" t="s">
        <v>126</v>
      </c>
      <c r="AI1355" t="str">
        <f>"1701020"</f>
        <v>1701020</v>
      </c>
      <c r="AJ1355" t="s">
        <v>323</v>
      </c>
      <c r="AK1355">
        <v>2810252111</v>
      </c>
      <c r="AL1355" t="s">
        <v>324</v>
      </c>
      <c r="AM1355" t="s">
        <v>78</v>
      </c>
      <c r="AN1355" t="s">
        <v>78</v>
      </c>
      <c r="AO1355" t="s">
        <v>78</v>
      </c>
      <c r="AP1355" t="s">
        <v>163</v>
      </c>
      <c r="AQ1355">
        <v>3</v>
      </c>
      <c r="AR1355" t="s">
        <v>123</v>
      </c>
      <c r="AS1355" t="s">
        <v>124</v>
      </c>
      <c r="AT1355" t="s">
        <v>58</v>
      </c>
      <c r="AU1355" t="s">
        <v>68</v>
      </c>
      <c r="AV1355" t="s">
        <v>69</v>
      </c>
      <c r="AW1355" s="1">
        <v>25641</v>
      </c>
      <c r="AX1355">
        <v>2</v>
      </c>
    </row>
    <row r="1356" spans="1:50">
      <c r="A1356">
        <v>703871</v>
      </c>
      <c r="B1356" t="str">
        <f>"045321097"</f>
        <v>045321097</v>
      </c>
      <c r="C1356" t="s">
        <v>50</v>
      </c>
      <c r="D1356" t="s">
        <v>3123</v>
      </c>
      <c r="E1356" t="s">
        <v>52</v>
      </c>
      <c r="F1356" t="s">
        <v>1743</v>
      </c>
      <c r="G1356" t="s">
        <v>71</v>
      </c>
      <c r="H1356" t="str">
        <f>"ΠΑΛΑΝΤΙΟΥ 23 ΠΕΡΙΣΤΕΡΙ"</f>
        <v>ΠΑΛΑΝΤΙΟΥ 23 ΠΕΡΙΣΤΕΡΙ</v>
      </c>
      <c r="I1356">
        <v>12136</v>
      </c>
      <c r="J1356">
        <v>2105758316</v>
      </c>
      <c r="K1356">
        <v>6972285935</v>
      </c>
      <c r="N1356" t="s">
        <v>146</v>
      </c>
      <c r="O1356" t="s">
        <v>147</v>
      </c>
      <c r="R1356" t="s">
        <v>57</v>
      </c>
      <c r="S1356">
        <v>4</v>
      </c>
      <c r="T1356">
        <v>225</v>
      </c>
      <c r="U1356" s="1">
        <v>41695</v>
      </c>
      <c r="V1356" t="s">
        <v>123</v>
      </c>
      <c r="W1356" t="s">
        <v>124</v>
      </c>
      <c r="X1356" t="s">
        <v>58</v>
      </c>
      <c r="Y1356">
        <v>21</v>
      </c>
      <c r="Z1356" t="s">
        <v>59</v>
      </c>
      <c r="AA1356" t="s">
        <v>59</v>
      </c>
      <c r="AB1356" t="s">
        <v>59</v>
      </c>
      <c r="AC1356" t="s">
        <v>59</v>
      </c>
      <c r="AD1356" t="s">
        <v>59</v>
      </c>
      <c r="AF1356" s="1">
        <v>41695</v>
      </c>
      <c r="AG1356" t="s">
        <v>125</v>
      </c>
      <c r="AH1356" t="s">
        <v>386</v>
      </c>
      <c r="AI1356" t="str">
        <f>"1741002"</f>
        <v>1741002</v>
      </c>
      <c r="AJ1356" t="s">
        <v>387</v>
      </c>
      <c r="AK1356">
        <v>2810762610</v>
      </c>
      <c r="AL1356" t="s">
        <v>388</v>
      </c>
      <c r="AM1356" t="s">
        <v>78</v>
      </c>
      <c r="AN1356" t="s">
        <v>219</v>
      </c>
      <c r="AO1356" t="s">
        <v>297</v>
      </c>
      <c r="AP1356" t="s">
        <v>297</v>
      </c>
      <c r="AQ1356">
        <v>10</v>
      </c>
      <c r="AR1356" t="s">
        <v>123</v>
      </c>
      <c r="AS1356" t="s">
        <v>124</v>
      </c>
      <c r="AT1356" t="s">
        <v>58</v>
      </c>
      <c r="AU1356" t="s">
        <v>68</v>
      </c>
      <c r="AV1356" t="s">
        <v>69</v>
      </c>
      <c r="AW1356" s="1">
        <v>24838</v>
      </c>
      <c r="AX1356">
        <v>2</v>
      </c>
    </row>
    <row r="1357" spans="1:50">
      <c r="A1357">
        <v>154023</v>
      </c>
      <c r="B1357" t="str">
        <f>"030007294"</f>
        <v>030007294</v>
      </c>
      <c r="C1357" t="s">
        <v>50</v>
      </c>
      <c r="D1357" t="s">
        <v>3124</v>
      </c>
      <c r="E1357" t="s">
        <v>513</v>
      </c>
      <c r="F1357" t="s">
        <v>383</v>
      </c>
      <c r="G1357" t="s">
        <v>52</v>
      </c>
      <c r="H1357" t="str">
        <f>"Λ. ΙΚΑΡΟΥ 82 ΗΡΑΚΛΕΙΟ"</f>
        <v>Λ. ΙΚΑΡΟΥ 82 ΗΡΑΚΛΕΙΟ</v>
      </c>
      <c r="I1357">
        <v>71307</v>
      </c>
      <c r="J1357">
        <v>2810325999</v>
      </c>
      <c r="K1357">
        <v>6946858852</v>
      </c>
      <c r="M1357" t="s">
        <v>3125</v>
      </c>
      <c r="N1357" t="s">
        <v>146</v>
      </c>
      <c r="O1357" t="s">
        <v>147</v>
      </c>
      <c r="R1357" t="s">
        <v>57</v>
      </c>
      <c r="S1357">
        <v>16</v>
      </c>
      <c r="T1357">
        <v>161</v>
      </c>
      <c r="U1357" s="1">
        <v>32387</v>
      </c>
      <c r="V1357" t="s">
        <v>123</v>
      </c>
      <c r="W1357" t="s">
        <v>124</v>
      </c>
      <c r="X1357" t="s">
        <v>58</v>
      </c>
      <c r="Y1357">
        <v>18</v>
      </c>
      <c r="Z1357" t="s">
        <v>59</v>
      </c>
      <c r="AA1357" t="s">
        <v>59</v>
      </c>
      <c r="AB1357" t="s">
        <v>59</v>
      </c>
      <c r="AC1357" t="s">
        <v>59</v>
      </c>
      <c r="AD1357" t="s">
        <v>59</v>
      </c>
      <c r="AF1357" s="1">
        <v>32391</v>
      </c>
      <c r="AG1357" t="s">
        <v>125</v>
      </c>
      <c r="AH1357" t="s">
        <v>126</v>
      </c>
      <c r="AI1357" t="str">
        <f>"1701020"</f>
        <v>1701020</v>
      </c>
      <c r="AJ1357" t="s">
        <v>323</v>
      </c>
      <c r="AK1357">
        <v>2810252111</v>
      </c>
      <c r="AL1357" t="s">
        <v>324</v>
      </c>
      <c r="AM1357" t="s">
        <v>78</v>
      </c>
      <c r="AN1357" t="s">
        <v>78</v>
      </c>
      <c r="AO1357" t="s">
        <v>78</v>
      </c>
      <c r="AP1357" t="s">
        <v>163</v>
      </c>
      <c r="AQ1357">
        <v>3</v>
      </c>
      <c r="AR1357" t="s">
        <v>123</v>
      </c>
      <c r="AS1357" t="s">
        <v>124</v>
      </c>
      <c r="AT1357" t="s">
        <v>58</v>
      </c>
      <c r="AU1357" t="s">
        <v>68</v>
      </c>
      <c r="AV1357" t="s">
        <v>69</v>
      </c>
      <c r="AW1357" s="1">
        <v>22119</v>
      </c>
      <c r="AX1357">
        <v>2</v>
      </c>
    </row>
    <row r="1358" spans="1:50">
      <c r="A1358">
        <v>163776</v>
      </c>
      <c r="B1358" t="str">
        <f>"035051061"</f>
        <v>035051061</v>
      </c>
      <c r="C1358" t="s">
        <v>50</v>
      </c>
      <c r="D1358" t="s">
        <v>3126</v>
      </c>
      <c r="E1358" t="s">
        <v>143</v>
      </c>
      <c r="F1358" t="s">
        <v>95</v>
      </c>
      <c r="G1358" t="s">
        <v>96</v>
      </c>
      <c r="H1358" t="str">
        <f>"ΜΟΝΗΣ ΚΟΥΔΟΥΜΑ 14 ΗΡΑΚΛΕΙΟ"</f>
        <v>ΜΟΝΗΣ ΚΟΥΔΟΥΜΑ 14 ΗΡΑΚΛΕΙΟ</v>
      </c>
      <c r="I1358">
        <v>71305</v>
      </c>
      <c r="J1358">
        <v>2810313118</v>
      </c>
      <c r="K1358">
        <v>6972835836</v>
      </c>
      <c r="M1358" t="s">
        <v>3127</v>
      </c>
      <c r="N1358" t="s">
        <v>157</v>
      </c>
      <c r="O1358" t="s">
        <v>158</v>
      </c>
      <c r="R1358" t="s">
        <v>57</v>
      </c>
      <c r="S1358">
        <v>14</v>
      </c>
      <c r="T1358">
        <v>161</v>
      </c>
      <c r="U1358" s="1">
        <v>33844</v>
      </c>
      <c r="V1358" t="s">
        <v>123</v>
      </c>
      <c r="W1358" t="s">
        <v>124</v>
      </c>
      <c r="X1358" t="s">
        <v>58</v>
      </c>
      <c r="Y1358">
        <v>18</v>
      </c>
      <c r="Z1358" t="s">
        <v>59</v>
      </c>
      <c r="AA1358" t="s">
        <v>59</v>
      </c>
      <c r="AB1358" t="s">
        <v>59</v>
      </c>
      <c r="AC1358" t="s">
        <v>59</v>
      </c>
      <c r="AD1358" t="s">
        <v>59</v>
      </c>
      <c r="AF1358" s="1">
        <v>33848</v>
      </c>
      <c r="AG1358" t="s">
        <v>148</v>
      </c>
      <c r="AH1358" t="s">
        <v>149</v>
      </c>
      <c r="AI1358" t="str">
        <f>"1790100"</f>
        <v>1790100</v>
      </c>
      <c r="AJ1358" t="s">
        <v>252</v>
      </c>
      <c r="AK1358">
        <v>2810234876</v>
      </c>
      <c r="AL1358" t="s">
        <v>253</v>
      </c>
      <c r="AM1358" t="s">
        <v>78</v>
      </c>
      <c r="AN1358" t="s">
        <v>78</v>
      </c>
      <c r="AO1358" t="s">
        <v>78</v>
      </c>
      <c r="AP1358" t="s">
        <v>163</v>
      </c>
      <c r="AQ1358">
        <v>5</v>
      </c>
      <c r="AR1358" t="s">
        <v>123</v>
      </c>
      <c r="AS1358" t="s">
        <v>124</v>
      </c>
      <c r="AT1358" t="s">
        <v>58</v>
      </c>
      <c r="AU1358" t="s">
        <v>68</v>
      </c>
      <c r="AV1358" t="s">
        <v>69</v>
      </c>
      <c r="AW1358" s="1">
        <v>23773</v>
      </c>
      <c r="AX1358">
        <v>2</v>
      </c>
    </row>
    <row r="1359" spans="1:50">
      <c r="A1359">
        <v>222451</v>
      </c>
      <c r="B1359" t="str">
        <f>"065736374"</f>
        <v>065736374</v>
      </c>
      <c r="C1359" t="s">
        <v>50</v>
      </c>
      <c r="D1359" t="s">
        <v>3126</v>
      </c>
      <c r="E1359" t="s">
        <v>112</v>
      </c>
      <c r="F1359" t="s">
        <v>95</v>
      </c>
      <c r="G1359" t="s">
        <v>52</v>
      </c>
      <c r="H1359" t="str">
        <f>"ΚΑΤΩ ΑΡΧΑΝΕΣ ΑΡΧΑΝΩΝ, ΗΡΑΚΛΕΙΟΥ"</f>
        <v>ΚΑΤΩ ΑΡΧΑΝΕΣ ΑΡΧΑΝΩΝ, ΗΡΑΚΛΕΙΟΥ</v>
      </c>
      <c r="I1359">
        <v>70100</v>
      </c>
      <c r="J1359">
        <v>2810752990</v>
      </c>
      <c r="K1359">
        <v>6972713915</v>
      </c>
      <c r="M1359" t="s">
        <v>3128</v>
      </c>
      <c r="N1359" t="s">
        <v>146</v>
      </c>
      <c r="O1359" t="s">
        <v>147</v>
      </c>
      <c r="R1359" t="s">
        <v>57</v>
      </c>
      <c r="S1359">
        <v>4</v>
      </c>
      <c r="T1359">
        <v>775</v>
      </c>
      <c r="U1359" s="1">
        <v>39680</v>
      </c>
      <c r="V1359" t="s">
        <v>123</v>
      </c>
      <c r="W1359" t="s">
        <v>124</v>
      </c>
      <c r="X1359" t="s">
        <v>58</v>
      </c>
      <c r="Y1359">
        <v>21</v>
      </c>
      <c r="Z1359" t="s">
        <v>59</v>
      </c>
      <c r="AA1359" t="s">
        <v>59</v>
      </c>
      <c r="AB1359" t="s">
        <v>59</v>
      </c>
      <c r="AC1359" t="s">
        <v>59</v>
      </c>
      <c r="AD1359" t="s">
        <v>59</v>
      </c>
      <c r="AF1359" s="1">
        <v>39681</v>
      </c>
      <c r="AG1359" t="s">
        <v>125</v>
      </c>
      <c r="AH1359" t="s">
        <v>126</v>
      </c>
      <c r="AI1359" t="str">
        <f>"1703010"</f>
        <v>1703010</v>
      </c>
      <c r="AJ1359" t="s">
        <v>422</v>
      </c>
      <c r="AK1359">
        <v>2810751808</v>
      </c>
      <c r="AL1359" t="s">
        <v>423</v>
      </c>
      <c r="AM1359" t="s">
        <v>78</v>
      </c>
      <c r="AN1359" t="s">
        <v>424</v>
      </c>
      <c r="AO1359" t="s">
        <v>425</v>
      </c>
      <c r="AP1359" t="s">
        <v>425</v>
      </c>
      <c r="AQ1359">
        <v>13</v>
      </c>
      <c r="AR1359" t="s">
        <v>123</v>
      </c>
      <c r="AS1359" t="s">
        <v>124</v>
      </c>
      <c r="AT1359" t="s">
        <v>58</v>
      </c>
      <c r="AU1359" t="s">
        <v>68</v>
      </c>
      <c r="AV1359" t="s">
        <v>357</v>
      </c>
      <c r="AW1359" s="1">
        <v>27375</v>
      </c>
      <c r="AX1359">
        <v>2</v>
      </c>
    </row>
    <row r="1360" spans="1:50">
      <c r="A1360">
        <v>206051</v>
      </c>
      <c r="B1360" t="str">
        <f>"026787119"</f>
        <v>026787119</v>
      </c>
      <c r="C1360" t="s">
        <v>105</v>
      </c>
      <c r="D1360" t="s">
        <v>3129</v>
      </c>
      <c r="E1360" t="s">
        <v>900</v>
      </c>
      <c r="F1360" t="s">
        <v>304</v>
      </c>
      <c r="G1360" t="s">
        <v>83</v>
      </c>
      <c r="H1360" t="str">
        <f>"ΜΥΡΤΟΣ ΛΑΣΙΘΙΟΥ ΙΕΡΑΠΕΤΡΑ"</f>
        <v>ΜΥΡΤΟΣ ΛΑΣΙΘΙΟΥ ΙΕΡΑΠΕΤΡΑ</v>
      </c>
      <c r="I1360">
        <v>72056</v>
      </c>
      <c r="J1360">
        <v>2810258501</v>
      </c>
      <c r="K1360">
        <v>6932623714</v>
      </c>
      <c r="L1360">
        <v>2842051207</v>
      </c>
      <c r="N1360" t="s">
        <v>299</v>
      </c>
      <c r="O1360" t="s">
        <v>300</v>
      </c>
      <c r="R1360" t="s">
        <v>57</v>
      </c>
      <c r="S1360">
        <v>10</v>
      </c>
      <c r="T1360">
        <v>231</v>
      </c>
      <c r="U1360" s="1">
        <v>38230</v>
      </c>
      <c r="V1360" t="s">
        <v>123</v>
      </c>
      <c r="W1360" t="s">
        <v>124</v>
      </c>
      <c r="X1360" t="s">
        <v>58</v>
      </c>
      <c r="Y1360">
        <v>20</v>
      </c>
      <c r="Z1360" t="s">
        <v>59</v>
      </c>
      <c r="AA1360" t="s">
        <v>59</v>
      </c>
      <c r="AB1360" t="s">
        <v>59</v>
      </c>
      <c r="AC1360" t="s">
        <v>59</v>
      </c>
      <c r="AD1360" t="s">
        <v>59</v>
      </c>
      <c r="AF1360" s="1">
        <v>38231</v>
      </c>
      <c r="AG1360" t="s">
        <v>148</v>
      </c>
      <c r="AH1360" t="s">
        <v>149</v>
      </c>
      <c r="AI1360" t="str">
        <f>"1754010"</f>
        <v>1754010</v>
      </c>
      <c r="AJ1360" t="s">
        <v>1167</v>
      </c>
      <c r="AK1360">
        <v>2895022277</v>
      </c>
      <c r="AL1360" t="s">
        <v>1168</v>
      </c>
      <c r="AM1360" t="s">
        <v>78</v>
      </c>
      <c r="AN1360" t="s">
        <v>482</v>
      </c>
      <c r="AO1360" t="s">
        <v>482</v>
      </c>
      <c r="AP1360" t="s">
        <v>483</v>
      </c>
      <c r="AQ1360">
        <v>16</v>
      </c>
      <c r="AR1360" t="s">
        <v>123</v>
      </c>
      <c r="AS1360" t="s">
        <v>124</v>
      </c>
      <c r="AT1360" t="s">
        <v>58</v>
      </c>
      <c r="AU1360" t="s">
        <v>68</v>
      </c>
      <c r="AV1360" t="s">
        <v>69</v>
      </c>
      <c r="AW1360" s="1">
        <v>22112</v>
      </c>
      <c r="AX1360">
        <v>2</v>
      </c>
    </row>
    <row r="1361" spans="1:50">
      <c r="A1361">
        <v>228691</v>
      </c>
      <c r="B1361" t="str">
        <f>"057451356"</f>
        <v>057451356</v>
      </c>
      <c r="C1361" t="s">
        <v>105</v>
      </c>
      <c r="D1361" t="s">
        <v>3129</v>
      </c>
      <c r="E1361" t="s">
        <v>72</v>
      </c>
      <c r="F1361" t="s">
        <v>95</v>
      </c>
      <c r="G1361" t="s">
        <v>96</v>
      </c>
      <c r="H1361" t="str">
        <f>"ΜΟΝΗΣ ΚΟΥΔΟΥΜΑ  14 ΑΤΣΕΛΕΝΙΟ"</f>
        <v>ΜΟΝΗΣ ΚΟΥΔΟΥΜΑ  14 ΑΤΣΕΛΕΝΙΟ</v>
      </c>
      <c r="I1361">
        <v>71305</v>
      </c>
      <c r="J1361">
        <v>2810210017</v>
      </c>
      <c r="K1361">
        <v>6945024715</v>
      </c>
      <c r="M1361" t="s">
        <v>3130</v>
      </c>
      <c r="N1361" t="s">
        <v>257</v>
      </c>
      <c r="O1361" t="s">
        <v>258</v>
      </c>
      <c r="R1361" t="s">
        <v>57</v>
      </c>
      <c r="S1361">
        <v>4</v>
      </c>
      <c r="T1361">
        <v>683</v>
      </c>
      <c r="U1361" s="1">
        <v>40052</v>
      </c>
      <c r="V1361" t="s">
        <v>123</v>
      </c>
      <c r="W1361" t="s">
        <v>124</v>
      </c>
      <c r="X1361" t="s">
        <v>58</v>
      </c>
      <c r="Y1361">
        <v>21</v>
      </c>
      <c r="Z1361" t="s">
        <v>59</v>
      </c>
      <c r="AA1361" t="s">
        <v>59</v>
      </c>
      <c r="AB1361" t="s">
        <v>59</v>
      </c>
      <c r="AC1361" t="s">
        <v>59</v>
      </c>
      <c r="AD1361" t="s">
        <v>59</v>
      </c>
      <c r="AF1361" s="1">
        <v>40053</v>
      </c>
      <c r="AG1361" t="s">
        <v>148</v>
      </c>
      <c r="AH1361" t="s">
        <v>149</v>
      </c>
      <c r="AI1361" t="str">
        <f>"1790070"</f>
        <v>1790070</v>
      </c>
      <c r="AJ1361" t="s">
        <v>1283</v>
      </c>
      <c r="AK1361">
        <v>2810252154</v>
      </c>
      <c r="AL1361" t="s">
        <v>1284</v>
      </c>
      <c r="AM1361" t="s">
        <v>78</v>
      </c>
      <c r="AN1361" t="s">
        <v>78</v>
      </c>
      <c r="AO1361" t="s">
        <v>78</v>
      </c>
      <c r="AP1361" t="s">
        <v>141</v>
      </c>
      <c r="AQ1361">
        <v>7</v>
      </c>
      <c r="AR1361" t="s">
        <v>123</v>
      </c>
      <c r="AS1361" t="s">
        <v>124</v>
      </c>
      <c r="AT1361" t="s">
        <v>58</v>
      </c>
      <c r="AU1361" t="s">
        <v>68</v>
      </c>
      <c r="AV1361" t="s">
        <v>69</v>
      </c>
      <c r="AW1361" s="1">
        <v>25343</v>
      </c>
      <c r="AX1361">
        <v>2</v>
      </c>
    </row>
    <row r="1362" spans="1:50">
      <c r="A1362">
        <v>206759</v>
      </c>
      <c r="B1362" t="str">
        <f>"064560655"</f>
        <v>064560655</v>
      </c>
      <c r="C1362" t="s">
        <v>50</v>
      </c>
      <c r="D1362" t="s">
        <v>3131</v>
      </c>
      <c r="E1362" t="s">
        <v>250</v>
      </c>
      <c r="F1362" t="s">
        <v>72</v>
      </c>
      <c r="G1362" t="s">
        <v>1078</v>
      </c>
      <c r="H1362" t="str">
        <f>"ΜΙΧΑΗΛ ΒΛΑΧΟΥ  1 "</f>
        <v xml:space="preserve">ΜΙΧΑΗΛ ΒΛΑΧΟΥ  1 </v>
      </c>
      <c r="I1362">
        <v>71305</v>
      </c>
      <c r="J1362">
        <v>2810510079</v>
      </c>
      <c r="K1362">
        <v>6946395103</v>
      </c>
      <c r="M1362" t="s">
        <v>3132</v>
      </c>
      <c r="N1362" t="s">
        <v>146</v>
      </c>
      <c r="O1362" t="s">
        <v>147</v>
      </c>
      <c r="R1362" t="s">
        <v>57</v>
      </c>
      <c r="S1362">
        <v>7</v>
      </c>
      <c r="T1362">
        <v>218</v>
      </c>
      <c r="U1362" s="1">
        <v>38596</v>
      </c>
      <c r="V1362" t="s">
        <v>123</v>
      </c>
      <c r="W1362" t="s">
        <v>124</v>
      </c>
      <c r="X1362" t="s">
        <v>58</v>
      </c>
      <c r="Y1362">
        <v>20</v>
      </c>
      <c r="Z1362" t="s">
        <v>59</v>
      </c>
      <c r="AA1362" t="s">
        <v>59</v>
      </c>
      <c r="AB1362" t="s">
        <v>59</v>
      </c>
      <c r="AC1362" t="s">
        <v>59</v>
      </c>
      <c r="AD1362" t="s">
        <v>59</v>
      </c>
      <c r="AF1362" s="1">
        <v>38600</v>
      </c>
      <c r="AG1362" t="s">
        <v>125</v>
      </c>
      <c r="AH1362" t="s">
        <v>126</v>
      </c>
      <c r="AI1362" t="str">
        <f>"1728010"</f>
        <v>1728010</v>
      </c>
      <c r="AJ1362" t="s">
        <v>127</v>
      </c>
      <c r="AK1362">
        <v>2810824651</v>
      </c>
      <c r="AL1362" t="s">
        <v>128</v>
      </c>
      <c r="AM1362" t="s">
        <v>78</v>
      </c>
      <c r="AN1362" t="s">
        <v>129</v>
      </c>
      <c r="AO1362" t="s">
        <v>130</v>
      </c>
      <c r="AP1362" t="s">
        <v>130</v>
      </c>
      <c r="AQ1362">
        <v>36</v>
      </c>
      <c r="AR1362" t="s">
        <v>123</v>
      </c>
      <c r="AS1362" t="s">
        <v>124</v>
      </c>
      <c r="AT1362" t="s">
        <v>58</v>
      </c>
      <c r="AU1362" t="s">
        <v>68</v>
      </c>
      <c r="AV1362" t="s">
        <v>69</v>
      </c>
      <c r="AW1362" s="1">
        <v>27333</v>
      </c>
      <c r="AX1362">
        <v>2</v>
      </c>
    </row>
    <row r="1363" spans="1:50">
      <c r="A1363">
        <v>226724</v>
      </c>
      <c r="B1363" t="str">
        <f>"120562549"</f>
        <v>120562549</v>
      </c>
      <c r="C1363" t="s">
        <v>50</v>
      </c>
      <c r="D1363" t="s">
        <v>3131</v>
      </c>
      <c r="E1363" t="s">
        <v>83</v>
      </c>
      <c r="F1363" t="s">
        <v>72</v>
      </c>
      <c r="G1363" t="s">
        <v>1078</v>
      </c>
      <c r="H1363" t="str">
        <f>"ΚΩΝΣΤΑΝΤΙΝΟΥΠΟΛΕΩΣ 21  ΓΑΖΙ ΗΡΑΚΛΕΙΟΥ"</f>
        <v>ΚΩΝΣΤΑΝΤΙΝΟΥΠΟΛΕΩΣ 21  ΓΑΖΙ ΗΡΑΚΛΕΙΟΥ</v>
      </c>
      <c r="I1363">
        <v>71414</v>
      </c>
      <c r="J1363">
        <v>2810824448</v>
      </c>
      <c r="K1363">
        <v>6947700923</v>
      </c>
      <c r="M1363" t="s">
        <v>3133</v>
      </c>
      <c r="N1363" t="s">
        <v>146</v>
      </c>
      <c r="O1363" t="s">
        <v>147</v>
      </c>
      <c r="R1363" t="s">
        <v>57</v>
      </c>
      <c r="S1363">
        <v>5</v>
      </c>
      <c r="T1363">
        <v>654</v>
      </c>
      <c r="U1363" s="1">
        <v>40043</v>
      </c>
      <c r="V1363" t="s">
        <v>123</v>
      </c>
      <c r="W1363" t="s">
        <v>124</v>
      </c>
      <c r="X1363" t="s">
        <v>58</v>
      </c>
      <c r="Y1363">
        <v>21</v>
      </c>
      <c r="Z1363" t="s">
        <v>59</v>
      </c>
      <c r="AA1363" t="s">
        <v>59</v>
      </c>
      <c r="AB1363" t="s">
        <v>59</v>
      </c>
      <c r="AC1363" t="s">
        <v>59</v>
      </c>
      <c r="AD1363" t="s">
        <v>59</v>
      </c>
      <c r="AF1363" s="1">
        <v>40045</v>
      </c>
      <c r="AG1363" t="s">
        <v>148</v>
      </c>
      <c r="AH1363" t="s">
        <v>149</v>
      </c>
      <c r="AI1363" t="str">
        <f>"1778010"</f>
        <v>1778010</v>
      </c>
      <c r="AJ1363" t="s">
        <v>672</v>
      </c>
      <c r="AK1363">
        <v>2810822455</v>
      </c>
      <c r="AL1363" t="s">
        <v>673</v>
      </c>
      <c r="AM1363" t="s">
        <v>78</v>
      </c>
      <c r="AN1363" t="s">
        <v>129</v>
      </c>
      <c r="AO1363" t="s">
        <v>130</v>
      </c>
      <c r="AP1363" t="s">
        <v>130</v>
      </c>
      <c r="AQ1363">
        <v>36</v>
      </c>
      <c r="AR1363" t="s">
        <v>123</v>
      </c>
      <c r="AS1363" t="s">
        <v>124</v>
      </c>
      <c r="AT1363" t="s">
        <v>58</v>
      </c>
      <c r="AU1363" t="s">
        <v>68</v>
      </c>
      <c r="AV1363" t="s">
        <v>357</v>
      </c>
      <c r="AW1363" s="1">
        <v>28057</v>
      </c>
      <c r="AX1363">
        <v>2</v>
      </c>
    </row>
    <row r="1364" spans="1:50">
      <c r="A1364">
        <v>166026</v>
      </c>
      <c r="B1364" t="str">
        <f>"030326035"</f>
        <v>030326035</v>
      </c>
      <c r="C1364" t="s">
        <v>105</v>
      </c>
      <c r="D1364" t="s">
        <v>3134</v>
      </c>
      <c r="E1364" t="s">
        <v>760</v>
      </c>
      <c r="F1364" t="s">
        <v>106</v>
      </c>
      <c r="G1364" t="s">
        <v>1108</v>
      </c>
      <c r="H1364" t="str">
        <f>" "</f>
        <v xml:space="preserve"> </v>
      </c>
      <c r="N1364" t="s">
        <v>292</v>
      </c>
      <c r="O1364" t="s">
        <v>293</v>
      </c>
      <c r="R1364" t="s">
        <v>57</v>
      </c>
      <c r="S1364">
        <v>15</v>
      </c>
      <c r="T1364">
        <v>137</v>
      </c>
      <c r="U1364" s="1">
        <v>34206</v>
      </c>
      <c r="V1364" t="s">
        <v>123</v>
      </c>
      <c r="W1364" t="s">
        <v>124</v>
      </c>
      <c r="X1364" t="s">
        <v>58</v>
      </c>
      <c r="Y1364">
        <v>18</v>
      </c>
      <c r="Z1364" t="s">
        <v>59</v>
      </c>
      <c r="AA1364" t="s">
        <v>59</v>
      </c>
      <c r="AB1364" t="s">
        <v>59</v>
      </c>
      <c r="AC1364" t="s">
        <v>59</v>
      </c>
      <c r="AD1364" t="s">
        <v>59</v>
      </c>
      <c r="AF1364" s="1">
        <v>34213</v>
      </c>
      <c r="AG1364" t="s">
        <v>148</v>
      </c>
      <c r="AH1364" t="s">
        <v>149</v>
      </c>
      <c r="AI1364" t="str">
        <f>"1751020"</f>
        <v>1751020</v>
      </c>
      <c r="AJ1364" t="s">
        <v>532</v>
      </c>
      <c r="AK1364">
        <v>2810372732</v>
      </c>
      <c r="AL1364" t="s">
        <v>533</v>
      </c>
      <c r="AM1364" t="s">
        <v>78</v>
      </c>
      <c r="AN1364" t="s">
        <v>78</v>
      </c>
      <c r="AO1364" t="s">
        <v>78</v>
      </c>
      <c r="AP1364" t="s">
        <v>163</v>
      </c>
      <c r="AQ1364">
        <v>3</v>
      </c>
      <c r="AR1364" t="s">
        <v>123</v>
      </c>
      <c r="AS1364" t="s">
        <v>124</v>
      </c>
      <c r="AT1364" t="s">
        <v>58</v>
      </c>
      <c r="AU1364" t="s">
        <v>68</v>
      </c>
      <c r="AV1364" t="s">
        <v>69</v>
      </c>
      <c r="AW1364" s="1">
        <v>21218</v>
      </c>
      <c r="AX1364">
        <v>2</v>
      </c>
    </row>
    <row r="1365" spans="1:50">
      <c r="A1365">
        <v>187737</v>
      </c>
      <c r="B1365" t="str">
        <f>"073303998"</f>
        <v>073303998</v>
      </c>
      <c r="C1365" t="s">
        <v>105</v>
      </c>
      <c r="D1365" t="s">
        <v>3134</v>
      </c>
      <c r="E1365" t="s">
        <v>99</v>
      </c>
      <c r="F1365" t="s">
        <v>304</v>
      </c>
      <c r="G1365" t="s">
        <v>3135</v>
      </c>
      <c r="H1365" t="str">
        <f>"ΑΙΝΕΙΑ4 ΗΡΑΚΛΕΙΟ"</f>
        <v>ΑΙΝΕΙΑ4 ΗΡΑΚΛΕΙΟ</v>
      </c>
      <c r="I1365">
        <v>10443</v>
      </c>
      <c r="J1365">
        <v>2810316941</v>
      </c>
      <c r="K1365">
        <v>6977586673</v>
      </c>
      <c r="N1365" t="s">
        <v>204</v>
      </c>
      <c r="O1365" t="s">
        <v>205</v>
      </c>
      <c r="P1365" t="s">
        <v>292</v>
      </c>
      <c r="Q1365" t="s">
        <v>293</v>
      </c>
      <c r="R1365" t="s">
        <v>57</v>
      </c>
      <c r="S1365">
        <v>11</v>
      </c>
      <c r="T1365">
        <v>251</v>
      </c>
      <c r="U1365" s="1">
        <v>36769</v>
      </c>
      <c r="V1365" t="s">
        <v>123</v>
      </c>
      <c r="W1365" t="s">
        <v>124</v>
      </c>
      <c r="X1365" t="s">
        <v>58</v>
      </c>
      <c r="Y1365">
        <v>20</v>
      </c>
      <c r="Z1365" t="s">
        <v>59</v>
      </c>
      <c r="AA1365" t="s">
        <v>59</v>
      </c>
      <c r="AB1365" t="s">
        <v>59</v>
      </c>
      <c r="AC1365" t="s">
        <v>59</v>
      </c>
      <c r="AD1365" t="s">
        <v>59</v>
      </c>
      <c r="AF1365" s="1">
        <v>36770</v>
      </c>
      <c r="AG1365" t="s">
        <v>137</v>
      </c>
      <c r="AH1365" t="s">
        <v>138</v>
      </c>
      <c r="AI1365" t="str">
        <f>"1740210"</f>
        <v>1740210</v>
      </c>
      <c r="AJ1365" t="s">
        <v>139</v>
      </c>
      <c r="AK1365">
        <v>2810318130</v>
      </c>
      <c r="AL1365" t="s">
        <v>140</v>
      </c>
      <c r="AM1365" t="s">
        <v>78</v>
      </c>
      <c r="AN1365" t="s">
        <v>78</v>
      </c>
      <c r="AO1365" t="s">
        <v>78</v>
      </c>
      <c r="AP1365" t="s">
        <v>141</v>
      </c>
      <c r="AQ1365">
        <v>7</v>
      </c>
      <c r="AR1365" t="s">
        <v>123</v>
      </c>
      <c r="AS1365" t="s">
        <v>124</v>
      </c>
      <c r="AT1365" t="s">
        <v>58</v>
      </c>
      <c r="AU1365" t="s">
        <v>68</v>
      </c>
      <c r="AV1365" t="s">
        <v>69</v>
      </c>
      <c r="AW1365" s="1">
        <v>26411</v>
      </c>
      <c r="AX1365">
        <v>2</v>
      </c>
    </row>
    <row r="1366" spans="1:50">
      <c r="A1366">
        <v>206760</v>
      </c>
      <c r="B1366" t="str">
        <f>"070364730"</f>
        <v>070364730</v>
      </c>
      <c r="C1366" t="s">
        <v>50</v>
      </c>
      <c r="D1366" t="s">
        <v>3136</v>
      </c>
      <c r="E1366" t="s">
        <v>316</v>
      </c>
      <c r="F1366" t="s">
        <v>1848</v>
      </c>
      <c r="G1366" t="s">
        <v>3137</v>
      </c>
      <c r="H1366" t="str">
        <f>"ΣΙΚΥΩΝΟΣ 9 "</f>
        <v xml:space="preserve">ΣΙΚΥΩΝΟΣ 9 </v>
      </c>
      <c r="I1366">
        <v>71409</v>
      </c>
      <c r="J1366">
        <v>2810214097</v>
      </c>
      <c r="K1366">
        <v>6936105222</v>
      </c>
      <c r="M1366" t="s">
        <v>3138</v>
      </c>
      <c r="N1366" t="s">
        <v>146</v>
      </c>
      <c r="O1366" t="s">
        <v>147</v>
      </c>
      <c r="R1366" t="s">
        <v>57</v>
      </c>
      <c r="S1366">
        <v>8</v>
      </c>
      <c r="T1366">
        <v>218</v>
      </c>
      <c r="U1366" s="1">
        <v>38596</v>
      </c>
      <c r="V1366" t="s">
        <v>123</v>
      </c>
      <c r="W1366" t="s">
        <v>124</v>
      </c>
      <c r="X1366" t="s">
        <v>58</v>
      </c>
      <c r="Y1366">
        <v>20</v>
      </c>
      <c r="Z1366" t="s">
        <v>59</v>
      </c>
      <c r="AA1366" t="s">
        <v>59</v>
      </c>
      <c r="AB1366" t="s">
        <v>59</v>
      </c>
      <c r="AC1366" t="s">
        <v>59</v>
      </c>
      <c r="AD1366" t="s">
        <v>59</v>
      </c>
      <c r="AF1366" s="1">
        <v>38600</v>
      </c>
      <c r="AG1366" t="s">
        <v>148</v>
      </c>
      <c r="AH1366" t="s">
        <v>149</v>
      </c>
      <c r="AI1366" t="str">
        <f>"1751041"</f>
        <v>1751041</v>
      </c>
      <c r="AJ1366" t="s">
        <v>353</v>
      </c>
      <c r="AK1366">
        <v>2810230207</v>
      </c>
      <c r="AL1366" t="s">
        <v>354</v>
      </c>
      <c r="AM1366" t="s">
        <v>78</v>
      </c>
      <c r="AN1366" t="s">
        <v>78</v>
      </c>
      <c r="AO1366" t="s">
        <v>78</v>
      </c>
      <c r="AP1366" t="s">
        <v>163</v>
      </c>
      <c r="AQ1366">
        <v>2</v>
      </c>
      <c r="AR1366" t="s">
        <v>123</v>
      </c>
      <c r="AS1366" t="s">
        <v>124</v>
      </c>
      <c r="AT1366" t="s">
        <v>58</v>
      </c>
      <c r="AU1366" t="s">
        <v>68</v>
      </c>
      <c r="AV1366" t="s">
        <v>69</v>
      </c>
      <c r="AW1366" s="1">
        <v>27873</v>
      </c>
      <c r="AX1366">
        <v>2</v>
      </c>
    </row>
    <row r="1367" spans="1:50">
      <c r="A1367">
        <v>213308</v>
      </c>
      <c r="B1367" t="str">
        <f>"105762373"</f>
        <v>105762373</v>
      </c>
      <c r="C1367" t="s">
        <v>50</v>
      </c>
      <c r="D1367" t="s">
        <v>3139</v>
      </c>
      <c r="E1367" t="s">
        <v>112</v>
      </c>
      <c r="F1367" t="s">
        <v>72</v>
      </c>
      <c r="G1367" t="s">
        <v>191</v>
      </c>
      <c r="H1367" t="str">
        <f>"Αγίου Στεφάνου 24 Αγ. ιωάννης"</f>
        <v>Αγίου Στεφάνου 24 Αγ. ιωάννης</v>
      </c>
      <c r="I1367">
        <v>71409</v>
      </c>
      <c r="J1367">
        <v>2810321467</v>
      </c>
      <c r="K1367">
        <v>6974817684</v>
      </c>
      <c r="M1367" t="s">
        <v>3140</v>
      </c>
      <c r="N1367" t="s">
        <v>199</v>
      </c>
      <c r="O1367" t="s">
        <v>200</v>
      </c>
      <c r="R1367" t="s">
        <v>57</v>
      </c>
      <c r="S1367">
        <v>6</v>
      </c>
      <c r="T1367">
        <v>231</v>
      </c>
      <c r="U1367" s="1">
        <v>38960</v>
      </c>
      <c r="V1367" t="s">
        <v>123</v>
      </c>
      <c r="W1367" t="s">
        <v>124</v>
      </c>
      <c r="X1367" t="s">
        <v>58</v>
      </c>
      <c r="Y1367">
        <v>20</v>
      </c>
      <c r="Z1367" t="s">
        <v>59</v>
      </c>
      <c r="AA1367" t="s">
        <v>59</v>
      </c>
      <c r="AB1367" t="s">
        <v>59</v>
      </c>
      <c r="AC1367" t="s">
        <v>59</v>
      </c>
      <c r="AD1367" t="s">
        <v>59</v>
      </c>
      <c r="AF1367" s="1">
        <v>38961</v>
      </c>
      <c r="AG1367" t="s">
        <v>137</v>
      </c>
      <c r="AH1367" t="s">
        <v>138</v>
      </c>
      <c r="AI1367" t="str">
        <f>"1740080"</f>
        <v>1740080</v>
      </c>
      <c r="AJ1367" t="s">
        <v>284</v>
      </c>
      <c r="AK1367">
        <v>2810220433</v>
      </c>
      <c r="AL1367" t="s">
        <v>285</v>
      </c>
      <c r="AM1367" t="s">
        <v>78</v>
      </c>
      <c r="AN1367" t="s">
        <v>78</v>
      </c>
      <c r="AO1367" t="s">
        <v>286</v>
      </c>
      <c r="AP1367" t="s">
        <v>286</v>
      </c>
      <c r="AQ1367">
        <v>12</v>
      </c>
      <c r="AR1367" t="s">
        <v>123</v>
      </c>
      <c r="AS1367" t="s">
        <v>124</v>
      </c>
      <c r="AT1367" t="s">
        <v>58</v>
      </c>
      <c r="AU1367" t="s">
        <v>68</v>
      </c>
      <c r="AV1367" t="s">
        <v>69</v>
      </c>
      <c r="AW1367" s="1">
        <v>27249</v>
      </c>
      <c r="AX1367">
        <v>2</v>
      </c>
    </row>
    <row r="1368" spans="1:50">
      <c r="A1368">
        <v>226725</v>
      </c>
      <c r="B1368" t="str">
        <f>"068415062"</f>
        <v>068415062</v>
      </c>
      <c r="C1368" t="s">
        <v>50</v>
      </c>
      <c r="D1368" t="s">
        <v>3141</v>
      </c>
      <c r="E1368" t="s">
        <v>600</v>
      </c>
      <c r="F1368" t="s">
        <v>72</v>
      </c>
      <c r="G1368" t="s">
        <v>610</v>
      </c>
      <c r="H1368" t="str">
        <f>" "</f>
        <v xml:space="preserve"> </v>
      </c>
      <c r="I1368">
        <v>70200</v>
      </c>
      <c r="J1368">
        <v>2892051477</v>
      </c>
      <c r="K1368">
        <v>6972683862</v>
      </c>
      <c r="L1368">
        <v>2892051686</v>
      </c>
      <c r="M1368" t="s">
        <v>3142</v>
      </c>
      <c r="N1368" t="s">
        <v>146</v>
      </c>
      <c r="O1368" t="s">
        <v>147</v>
      </c>
      <c r="R1368" t="s">
        <v>57</v>
      </c>
      <c r="S1368">
        <v>6</v>
      </c>
      <c r="T1368">
        <v>654</v>
      </c>
      <c r="U1368" s="1">
        <v>40043</v>
      </c>
      <c r="V1368" t="s">
        <v>123</v>
      </c>
      <c r="W1368" t="s">
        <v>124</v>
      </c>
      <c r="X1368" t="s">
        <v>58</v>
      </c>
      <c r="Y1368">
        <v>20</v>
      </c>
      <c r="Z1368" t="s">
        <v>59</v>
      </c>
      <c r="AA1368" t="s">
        <v>59</v>
      </c>
      <c r="AB1368" t="s">
        <v>59</v>
      </c>
      <c r="AC1368" t="s">
        <v>59</v>
      </c>
      <c r="AD1368" t="s">
        <v>59</v>
      </c>
      <c r="AF1368" s="1">
        <v>40046</v>
      </c>
      <c r="AG1368" t="s">
        <v>125</v>
      </c>
      <c r="AH1368" t="s">
        <v>126</v>
      </c>
      <c r="AI1368" t="str">
        <f>"1705010"</f>
        <v>1705010</v>
      </c>
      <c r="AJ1368" t="s">
        <v>2311</v>
      </c>
      <c r="AK1368">
        <v>2891031232</v>
      </c>
      <c r="AL1368" t="s">
        <v>2312</v>
      </c>
      <c r="AM1368" t="s">
        <v>78</v>
      </c>
      <c r="AN1368" t="s">
        <v>276</v>
      </c>
      <c r="AO1368" t="s">
        <v>277</v>
      </c>
      <c r="AP1368" t="s">
        <v>277</v>
      </c>
      <c r="AQ1368">
        <v>17</v>
      </c>
      <c r="AR1368" t="s">
        <v>123</v>
      </c>
      <c r="AS1368" t="s">
        <v>124</v>
      </c>
      <c r="AT1368" t="s">
        <v>58</v>
      </c>
      <c r="AU1368" t="s">
        <v>68</v>
      </c>
      <c r="AV1368" t="s">
        <v>69</v>
      </c>
      <c r="AW1368" s="1">
        <v>28002</v>
      </c>
      <c r="AX1368">
        <v>2</v>
      </c>
    </row>
    <row r="1369" spans="1:50">
      <c r="A1369">
        <v>182773</v>
      </c>
      <c r="B1369" t="str">
        <f>"044831641"</f>
        <v>044831641</v>
      </c>
      <c r="C1369" t="s">
        <v>50</v>
      </c>
      <c r="D1369" t="s">
        <v>3143</v>
      </c>
      <c r="E1369" t="s">
        <v>181</v>
      </c>
      <c r="F1369" t="s">
        <v>95</v>
      </c>
      <c r="G1369" t="s">
        <v>215</v>
      </c>
      <c r="H1369" t="str">
        <f>" "</f>
        <v xml:space="preserve"> </v>
      </c>
      <c r="J1369">
        <v>2810346963</v>
      </c>
      <c r="K1369">
        <v>6974008775</v>
      </c>
      <c r="M1369" t="s">
        <v>3144</v>
      </c>
      <c r="N1369" t="s">
        <v>478</v>
      </c>
      <c r="O1369" t="s">
        <v>479</v>
      </c>
      <c r="R1369" t="s">
        <v>57</v>
      </c>
      <c r="S1369">
        <v>11</v>
      </c>
      <c r="T1369">
        <v>249</v>
      </c>
      <c r="U1369" s="1">
        <v>36160</v>
      </c>
      <c r="V1369" t="s">
        <v>123</v>
      </c>
      <c r="W1369" t="s">
        <v>124</v>
      </c>
      <c r="X1369" t="s">
        <v>58</v>
      </c>
      <c r="Y1369">
        <v>20</v>
      </c>
      <c r="Z1369" t="s">
        <v>59</v>
      </c>
      <c r="AA1369" t="s">
        <v>59</v>
      </c>
      <c r="AB1369" t="s">
        <v>59</v>
      </c>
      <c r="AC1369" t="s">
        <v>59</v>
      </c>
      <c r="AD1369" t="s">
        <v>59</v>
      </c>
      <c r="AF1369" s="1">
        <v>36182</v>
      </c>
      <c r="AG1369" t="s">
        <v>125</v>
      </c>
      <c r="AH1369" t="s">
        <v>126</v>
      </c>
      <c r="AI1369" t="str">
        <f>"1701070"</f>
        <v>1701070</v>
      </c>
      <c r="AJ1369" t="s">
        <v>1490</v>
      </c>
      <c r="AK1369">
        <v>2810771241</v>
      </c>
      <c r="AL1369" t="s">
        <v>1491</v>
      </c>
      <c r="AM1369" t="s">
        <v>78</v>
      </c>
      <c r="AN1369" t="s">
        <v>219</v>
      </c>
      <c r="AO1369" t="s">
        <v>1437</v>
      </c>
      <c r="AP1369" t="s">
        <v>1437</v>
      </c>
      <c r="AQ1369">
        <v>21</v>
      </c>
      <c r="AR1369" t="s">
        <v>123</v>
      </c>
      <c r="AS1369" t="s">
        <v>124</v>
      </c>
      <c r="AT1369" t="s">
        <v>58</v>
      </c>
      <c r="AU1369" t="s">
        <v>68</v>
      </c>
      <c r="AV1369" t="s">
        <v>69</v>
      </c>
      <c r="AW1369" s="1">
        <v>24660</v>
      </c>
      <c r="AX1369">
        <v>2</v>
      </c>
    </row>
    <row r="1370" spans="1:50">
      <c r="A1370">
        <v>702618</v>
      </c>
      <c r="B1370" t="str">
        <f>"120896992"</f>
        <v>120896992</v>
      </c>
      <c r="C1370" t="s">
        <v>50</v>
      </c>
      <c r="D1370" t="s">
        <v>3143</v>
      </c>
      <c r="E1370" t="s">
        <v>3145</v>
      </c>
      <c r="F1370" t="s">
        <v>106</v>
      </c>
      <c r="G1370" t="s">
        <v>237</v>
      </c>
      <c r="H1370" t="str">
        <f>"ΑΡΓΥΡΟΚΑΣΤΡΟΥ 17 ΧΑΛΚΙΔΑ"</f>
        <v>ΑΡΓΥΡΟΚΑΣΤΡΟΥ 17 ΧΑΛΚΙΔΑ</v>
      </c>
      <c r="I1370">
        <v>34100</v>
      </c>
      <c r="J1370">
        <v>2221073729</v>
      </c>
      <c r="K1370">
        <v>6936130128</v>
      </c>
      <c r="N1370" t="s">
        <v>146</v>
      </c>
      <c r="O1370" t="s">
        <v>147</v>
      </c>
      <c r="R1370" t="s">
        <v>57</v>
      </c>
      <c r="S1370">
        <v>7</v>
      </c>
      <c r="T1370">
        <v>772</v>
      </c>
      <c r="U1370" s="1">
        <v>40413</v>
      </c>
      <c r="V1370" t="s">
        <v>123</v>
      </c>
      <c r="W1370" t="s">
        <v>124</v>
      </c>
      <c r="X1370" t="s">
        <v>58</v>
      </c>
      <c r="Y1370">
        <v>21</v>
      </c>
      <c r="Z1370" t="s">
        <v>59</v>
      </c>
      <c r="AA1370" t="s">
        <v>59</v>
      </c>
      <c r="AB1370" t="s">
        <v>59</v>
      </c>
      <c r="AC1370" t="s">
        <v>59</v>
      </c>
      <c r="AD1370" t="s">
        <v>59</v>
      </c>
      <c r="AF1370" s="1">
        <v>40413</v>
      </c>
      <c r="AG1370" t="s">
        <v>125</v>
      </c>
      <c r="AH1370" t="s">
        <v>386</v>
      </c>
      <c r="AI1370" t="str">
        <f>"1741002"</f>
        <v>1741002</v>
      </c>
      <c r="AJ1370" t="s">
        <v>387</v>
      </c>
      <c r="AK1370">
        <v>2810762610</v>
      </c>
      <c r="AL1370" t="s">
        <v>388</v>
      </c>
      <c r="AM1370" t="s">
        <v>78</v>
      </c>
      <c r="AN1370" t="s">
        <v>219</v>
      </c>
      <c r="AO1370" t="s">
        <v>297</v>
      </c>
      <c r="AP1370" t="s">
        <v>297</v>
      </c>
      <c r="AQ1370">
        <v>10</v>
      </c>
      <c r="AR1370" t="s">
        <v>123</v>
      </c>
      <c r="AS1370" t="s">
        <v>124</v>
      </c>
      <c r="AT1370" t="s">
        <v>58</v>
      </c>
      <c r="AU1370" t="s">
        <v>68</v>
      </c>
      <c r="AV1370" t="s">
        <v>69</v>
      </c>
      <c r="AW1370" s="1">
        <v>28795</v>
      </c>
      <c r="AX1370">
        <v>2</v>
      </c>
    </row>
    <row r="1371" spans="1:50">
      <c r="A1371">
        <v>222456</v>
      </c>
      <c r="B1371" t="str">
        <f>"075742259"</f>
        <v>075742259</v>
      </c>
      <c r="C1371" t="s">
        <v>105</v>
      </c>
      <c r="D1371" t="s">
        <v>3146</v>
      </c>
      <c r="E1371" t="s">
        <v>166</v>
      </c>
      <c r="F1371" t="s">
        <v>311</v>
      </c>
      <c r="G1371" t="s">
        <v>112</v>
      </c>
      <c r="H1371" t="str">
        <f>"ΤΥΜΠΑΚΙΟΥ 16 ΗΡΑΚΛΕΙΟ"</f>
        <v>ΤΥΜΠΑΚΙΟΥ 16 ΗΡΑΚΛΕΙΟ</v>
      </c>
      <c r="I1371">
        <v>71409</v>
      </c>
      <c r="J1371">
        <v>2810233232</v>
      </c>
      <c r="K1371">
        <v>6973376578</v>
      </c>
      <c r="M1371" t="s">
        <v>3147</v>
      </c>
      <c r="N1371" t="s">
        <v>146</v>
      </c>
      <c r="O1371" t="s">
        <v>147</v>
      </c>
      <c r="R1371" t="s">
        <v>57</v>
      </c>
      <c r="S1371">
        <v>6</v>
      </c>
      <c r="T1371">
        <v>775</v>
      </c>
      <c r="U1371" s="1">
        <v>39680</v>
      </c>
      <c r="V1371" t="s">
        <v>123</v>
      </c>
      <c r="W1371" t="s">
        <v>124</v>
      </c>
      <c r="X1371" t="s">
        <v>58</v>
      </c>
      <c r="Y1371">
        <v>20</v>
      </c>
      <c r="Z1371" t="s">
        <v>59</v>
      </c>
      <c r="AA1371" t="s">
        <v>59</v>
      </c>
      <c r="AB1371" t="s">
        <v>59</v>
      </c>
      <c r="AC1371" t="s">
        <v>59</v>
      </c>
      <c r="AD1371" t="s">
        <v>59</v>
      </c>
      <c r="AF1371" s="1">
        <v>39681</v>
      </c>
      <c r="AG1371" t="s">
        <v>125</v>
      </c>
      <c r="AH1371" t="s">
        <v>126</v>
      </c>
      <c r="AI1371" t="str">
        <f>"1701090"</f>
        <v>1701090</v>
      </c>
      <c r="AJ1371" t="s">
        <v>435</v>
      </c>
      <c r="AK1371">
        <v>2810871288</v>
      </c>
      <c r="AL1371" t="s">
        <v>436</v>
      </c>
      <c r="AM1371" t="s">
        <v>78</v>
      </c>
      <c r="AN1371" t="s">
        <v>78</v>
      </c>
      <c r="AO1371" t="s">
        <v>437</v>
      </c>
      <c r="AP1371" t="s">
        <v>438</v>
      </c>
      <c r="AQ1371">
        <v>26</v>
      </c>
      <c r="AR1371" t="s">
        <v>123</v>
      </c>
      <c r="AS1371" t="s">
        <v>124</v>
      </c>
      <c r="AT1371" t="s">
        <v>58</v>
      </c>
      <c r="AU1371" t="s">
        <v>68</v>
      </c>
      <c r="AV1371" t="s">
        <v>69</v>
      </c>
      <c r="AW1371" s="1">
        <v>25147</v>
      </c>
      <c r="AX1371">
        <v>2</v>
      </c>
    </row>
    <row r="1372" spans="1:50">
      <c r="A1372">
        <v>185205</v>
      </c>
      <c r="B1372" t="str">
        <f>"045643781"</f>
        <v>045643781</v>
      </c>
      <c r="C1372" t="s">
        <v>105</v>
      </c>
      <c r="D1372" t="s">
        <v>3146</v>
      </c>
      <c r="E1372" t="s">
        <v>106</v>
      </c>
      <c r="F1372" t="s">
        <v>92</v>
      </c>
      <c r="G1372" t="s">
        <v>52</v>
      </c>
      <c r="H1372" t="str">
        <f>" "</f>
        <v xml:space="preserve"> </v>
      </c>
      <c r="K1372">
        <v>6973370599</v>
      </c>
      <c r="M1372" t="s">
        <v>3148</v>
      </c>
      <c r="N1372" t="s">
        <v>204</v>
      </c>
      <c r="O1372" t="s">
        <v>205</v>
      </c>
      <c r="R1372" t="s">
        <v>57</v>
      </c>
      <c r="S1372">
        <v>10</v>
      </c>
      <c r="T1372" t="s">
        <v>1773</v>
      </c>
      <c r="U1372" s="1">
        <v>36039</v>
      </c>
      <c r="V1372" t="s">
        <v>123</v>
      </c>
      <c r="W1372" t="s">
        <v>124</v>
      </c>
      <c r="X1372" t="s">
        <v>58</v>
      </c>
      <c r="Y1372">
        <v>18</v>
      </c>
      <c r="Z1372" t="s">
        <v>59</v>
      </c>
      <c r="AA1372" t="s">
        <v>59</v>
      </c>
      <c r="AB1372" t="s">
        <v>59</v>
      </c>
      <c r="AC1372" t="s">
        <v>59</v>
      </c>
      <c r="AD1372" t="s">
        <v>59</v>
      </c>
      <c r="AF1372" s="1">
        <v>36040</v>
      </c>
      <c r="AG1372" t="s">
        <v>148</v>
      </c>
      <c r="AH1372" t="s">
        <v>149</v>
      </c>
      <c r="AI1372" t="str">
        <f>"1790210"</f>
        <v>1790210</v>
      </c>
      <c r="AJ1372" t="s">
        <v>417</v>
      </c>
      <c r="AK1372">
        <v>2810252172</v>
      </c>
      <c r="AL1372" t="s">
        <v>418</v>
      </c>
      <c r="AM1372" t="s">
        <v>78</v>
      </c>
      <c r="AN1372" t="s">
        <v>78</v>
      </c>
      <c r="AO1372" t="s">
        <v>78</v>
      </c>
      <c r="AP1372" t="s">
        <v>141</v>
      </c>
      <c r="AQ1372">
        <v>7</v>
      </c>
      <c r="AR1372" t="s">
        <v>123</v>
      </c>
      <c r="AS1372" t="s">
        <v>124</v>
      </c>
      <c r="AT1372" t="s">
        <v>58</v>
      </c>
      <c r="AU1372" t="s">
        <v>68</v>
      </c>
      <c r="AV1372" t="s">
        <v>69</v>
      </c>
      <c r="AW1372" s="1">
        <v>25712</v>
      </c>
      <c r="AX1372">
        <v>2</v>
      </c>
    </row>
    <row r="1373" spans="1:50">
      <c r="B1373" t="str">
        <f>"113682373"</f>
        <v>113682373</v>
      </c>
      <c r="C1373" t="s">
        <v>50</v>
      </c>
      <c r="D1373" t="s">
        <v>3149</v>
      </c>
      <c r="E1373" t="s">
        <v>3150</v>
      </c>
      <c r="F1373" t="s">
        <v>99</v>
      </c>
      <c r="G1373" t="s">
        <v>620</v>
      </c>
      <c r="H1373" t="str">
        <f>"ΚΥΜΗΣ 36 ΑΘΗΝΑ"</f>
        <v>ΚΥΜΗΣ 36 ΑΘΗΝΑ</v>
      </c>
      <c r="I1373">
        <v>13121</v>
      </c>
      <c r="J1373">
        <v>2105718071</v>
      </c>
      <c r="K1373">
        <v>6974661983</v>
      </c>
      <c r="N1373" t="s">
        <v>447</v>
      </c>
      <c r="O1373" t="s">
        <v>448</v>
      </c>
      <c r="R1373" t="s">
        <v>159</v>
      </c>
      <c r="S1373">
        <v>3</v>
      </c>
      <c r="T1373" t="s">
        <v>344</v>
      </c>
      <c r="U1373" s="1">
        <v>43348</v>
      </c>
      <c r="V1373" t="s">
        <v>123</v>
      </c>
      <c r="W1373" t="s">
        <v>124</v>
      </c>
      <c r="X1373" t="s">
        <v>58</v>
      </c>
      <c r="Y1373">
        <v>23</v>
      </c>
      <c r="Z1373" t="s">
        <v>59</v>
      </c>
      <c r="AA1373" t="s">
        <v>59</v>
      </c>
      <c r="AB1373" t="s">
        <v>59</v>
      </c>
      <c r="AC1373" t="s">
        <v>59</v>
      </c>
      <c r="AD1373" t="s">
        <v>59</v>
      </c>
      <c r="AF1373" s="1">
        <v>43348</v>
      </c>
      <c r="AG1373" t="s">
        <v>125</v>
      </c>
      <c r="AH1373" t="s">
        <v>126</v>
      </c>
      <c r="AI1373" t="str">
        <f>"1709010"</f>
        <v>1709010</v>
      </c>
      <c r="AJ1373" t="s">
        <v>847</v>
      </c>
      <c r="AK1373">
        <v>2894022227</v>
      </c>
      <c r="AL1373" t="s">
        <v>848</v>
      </c>
      <c r="AM1373" t="s">
        <v>78</v>
      </c>
      <c r="AN1373" t="s">
        <v>405</v>
      </c>
      <c r="AO1373" t="s">
        <v>406</v>
      </c>
      <c r="AP1373" t="s">
        <v>406</v>
      </c>
      <c r="AQ1373">
        <v>30</v>
      </c>
      <c r="AR1373" t="s">
        <v>123</v>
      </c>
      <c r="AS1373" t="s">
        <v>124</v>
      </c>
      <c r="AT1373" t="s">
        <v>58</v>
      </c>
      <c r="AU1373" t="s">
        <v>350</v>
      </c>
      <c r="AV1373" t="s">
        <v>132</v>
      </c>
      <c r="AW1373" s="1">
        <v>27566</v>
      </c>
      <c r="AX1373">
        <v>2</v>
      </c>
    </row>
    <row r="1374" spans="1:50">
      <c r="A1374">
        <v>189804</v>
      </c>
      <c r="B1374" t="str">
        <f>"063837097"</f>
        <v>063837097</v>
      </c>
      <c r="C1374" t="s">
        <v>50</v>
      </c>
      <c r="D1374" t="s">
        <v>3149</v>
      </c>
      <c r="E1374" t="s">
        <v>620</v>
      </c>
      <c r="F1374" t="s">
        <v>95</v>
      </c>
      <c r="G1374" t="s">
        <v>3151</v>
      </c>
      <c r="H1374" t="str">
        <f>"ΝΙΚΟΥ ΚΑΖΑΝΤΖΑΚΗ 26 ΑΝΩ ΑΡΧΑΝΕΣ"</f>
        <v>ΝΙΚΟΥ ΚΑΖΑΝΤΖΑΚΗ 26 ΑΝΩ ΑΡΧΑΝΕΣ</v>
      </c>
      <c r="I1374">
        <v>70100</v>
      </c>
      <c r="J1374">
        <v>2815107786</v>
      </c>
      <c r="K1374">
        <v>6977802886</v>
      </c>
      <c r="L1374">
        <v>2634022065</v>
      </c>
      <c r="M1374" t="s">
        <v>3152</v>
      </c>
      <c r="N1374" t="s">
        <v>292</v>
      </c>
      <c r="O1374" t="s">
        <v>293</v>
      </c>
      <c r="P1374" t="s">
        <v>204</v>
      </c>
      <c r="Q1374" t="s">
        <v>205</v>
      </c>
      <c r="R1374" t="s">
        <v>57</v>
      </c>
      <c r="S1374">
        <v>8</v>
      </c>
      <c r="T1374">
        <v>219</v>
      </c>
      <c r="U1374" s="1">
        <v>37134</v>
      </c>
      <c r="V1374" t="s">
        <v>123</v>
      </c>
      <c r="W1374" t="s">
        <v>124</v>
      </c>
      <c r="X1374" t="s">
        <v>58</v>
      </c>
      <c r="Y1374">
        <v>20</v>
      </c>
      <c r="Z1374" t="s">
        <v>59</v>
      </c>
      <c r="AA1374" t="s">
        <v>59</v>
      </c>
      <c r="AB1374" t="s">
        <v>59</v>
      </c>
      <c r="AC1374" t="s">
        <v>59</v>
      </c>
      <c r="AD1374" t="s">
        <v>59</v>
      </c>
      <c r="AF1374" s="1">
        <v>37138</v>
      </c>
      <c r="AG1374" t="s">
        <v>148</v>
      </c>
      <c r="AH1374" t="s">
        <v>149</v>
      </c>
      <c r="AI1374" t="str">
        <f>"1753010"</f>
        <v>1753010</v>
      </c>
      <c r="AJ1374" t="s">
        <v>571</v>
      </c>
      <c r="AK1374">
        <v>2810751528</v>
      </c>
      <c r="AL1374" t="s">
        <v>572</v>
      </c>
      <c r="AM1374" t="s">
        <v>78</v>
      </c>
      <c r="AN1374" t="s">
        <v>424</v>
      </c>
      <c r="AO1374" t="s">
        <v>425</v>
      </c>
      <c r="AP1374" t="s">
        <v>425</v>
      </c>
      <c r="AQ1374">
        <v>13</v>
      </c>
      <c r="AR1374" t="s">
        <v>123</v>
      </c>
      <c r="AS1374" t="s">
        <v>124</v>
      </c>
      <c r="AT1374" t="s">
        <v>58</v>
      </c>
      <c r="AU1374" t="s">
        <v>68</v>
      </c>
      <c r="AV1374" t="s">
        <v>69</v>
      </c>
      <c r="AW1374" s="1">
        <v>23377</v>
      </c>
      <c r="AX1374">
        <v>2</v>
      </c>
    </row>
    <row r="1375" spans="1:50">
      <c r="A1375">
        <v>195038</v>
      </c>
      <c r="B1375" t="str">
        <f>"077385419"</f>
        <v>077385419</v>
      </c>
      <c r="C1375" t="s">
        <v>50</v>
      </c>
      <c r="D1375" t="s">
        <v>3149</v>
      </c>
      <c r="E1375" t="s">
        <v>620</v>
      </c>
      <c r="F1375" t="s">
        <v>72</v>
      </c>
      <c r="G1375" t="s">
        <v>191</v>
      </c>
      <c r="H1375" t="str">
        <f>"ΑΝΤ. ΚΑΣΤΡΙΝΑΚΗ 32 ΗΡΑΚΛΕΙΟ"</f>
        <v>ΑΝΤ. ΚΑΣΤΡΙΝΑΚΗ 32 ΗΡΑΚΛΕΙΟ</v>
      </c>
      <c r="I1375">
        <v>71305</v>
      </c>
      <c r="J1375">
        <v>2815100908</v>
      </c>
      <c r="K1375">
        <v>6937314680</v>
      </c>
      <c r="L1375">
        <v>2463024538</v>
      </c>
      <c r="M1375" t="s">
        <v>3153</v>
      </c>
      <c r="N1375" t="s">
        <v>157</v>
      </c>
      <c r="O1375" t="s">
        <v>158</v>
      </c>
      <c r="R1375" t="s">
        <v>57</v>
      </c>
      <c r="S1375">
        <v>9</v>
      </c>
      <c r="T1375">
        <v>194</v>
      </c>
      <c r="U1375" s="1">
        <v>37497</v>
      </c>
      <c r="V1375" t="s">
        <v>123</v>
      </c>
      <c r="W1375" t="s">
        <v>124</v>
      </c>
      <c r="X1375" t="s">
        <v>58</v>
      </c>
      <c r="Y1375">
        <v>20</v>
      </c>
      <c r="Z1375" t="s">
        <v>59</v>
      </c>
      <c r="AA1375" t="s">
        <v>59</v>
      </c>
      <c r="AB1375" t="s">
        <v>59</v>
      </c>
      <c r="AC1375" t="s">
        <v>59</v>
      </c>
      <c r="AD1375" t="s">
        <v>59</v>
      </c>
      <c r="AF1375" s="1">
        <v>37501</v>
      </c>
      <c r="AG1375" t="s">
        <v>125</v>
      </c>
      <c r="AH1375" t="s">
        <v>126</v>
      </c>
      <c r="AI1375" t="str">
        <f>"1701053"</f>
        <v>1701053</v>
      </c>
      <c r="AJ1375" t="s">
        <v>398</v>
      </c>
      <c r="AK1375">
        <v>2810251434</v>
      </c>
      <c r="AL1375" t="s">
        <v>399</v>
      </c>
      <c r="AM1375" t="s">
        <v>78</v>
      </c>
      <c r="AN1375" t="s">
        <v>78</v>
      </c>
      <c r="AO1375" t="s">
        <v>78</v>
      </c>
      <c r="AP1375" t="s">
        <v>141</v>
      </c>
      <c r="AQ1375">
        <v>7</v>
      </c>
      <c r="AR1375" t="s">
        <v>123</v>
      </c>
      <c r="AS1375" t="s">
        <v>124</v>
      </c>
      <c r="AT1375" t="s">
        <v>58</v>
      </c>
      <c r="AU1375" t="s">
        <v>68</v>
      </c>
      <c r="AV1375" t="s">
        <v>69</v>
      </c>
      <c r="AW1375" s="1">
        <v>25678</v>
      </c>
      <c r="AX1375">
        <v>2</v>
      </c>
    </row>
    <row r="1376" spans="1:50">
      <c r="A1376">
        <v>184091</v>
      </c>
      <c r="B1376" t="str">
        <f>"044832674"</f>
        <v>044832674</v>
      </c>
      <c r="C1376" t="s">
        <v>50</v>
      </c>
      <c r="D1376" t="s">
        <v>3154</v>
      </c>
      <c r="E1376" t="s">
        <v>83</v>
      </c>
      <c r="F1376" t="s">
        <v>377</v>
      </c>
      <c r="G1376" t="s">
        <v>52</v>
      </c>
      <c r="H1376" t="str">
        <f>" "</f>
        <v xml:space="preserve"> </v>
      </c>
      <c r="N1376" t="s">
        <v>1647</v>
      </c>
      <c r="O1376" t="s">
        <v>1648</v>
      </c>
      <c r="R1376" t="s">
        <v>57</v>
      </c>
      <c r="S1376">
        <v>10</v>
      </c>
      <c r="T1376">
        <v>177</v>
      </c>
      <c r="U1376" s="1">
        <v>36403</v>
      </c>
      <c r="V1376" t="s">
        <v>123</v>
      </c>
      <c r="W1376" t="s">
        <v>124</v>
      </c>
      <c r="X1376" t="s">
        <v>58</v>
      </c>
      <c r="Y1376">
        <v>18</v>
      </c>
      <c r="Z1376" t="s">
        <v>59</v>
      </c>
      <c r="AA1376" t="s">
        <v>59</v>
      </c>
      <c r="AB1376" t="s">
        <v>59</v>
      </c>
      <c r="AC1376" t="s">
        <v>59</v>
      </c>
      <c r="AD1376" t="s">
        <v>59</v>
      </c>
      <c r="AF1376" s="1">
        <v>36411</v>
      </c>
      <c r="AG1376" t="s">
        <v>125</v>
      </c>
      <c r="AH1376" t="s">
        <v>126</v>
      </c>
      <c r="AI1376" t="str">
        <f>"1701051"</f>
        <v>1701051</v>
      </c>
      <c r="AJ1376" t="s">
        <v>443</v>
      </c>
      <c r="AK1376">
        <v>2810325815</v>
      </c>
      <c r="AL1376" t="s">
        <v>444</v>
      </c>
      <c r="AM1376" t="s">
        <v>78</v>
      </c>
      <c r="AN1376" t="s">
        <v>78</v>
      </c>
      <c r="AO1376" t="s">
        <v>78</v>
      </c>
      <c r="AP1376" t="s">
        <v>163</v>
      </c>
      <c r="AQ1376">
        <v>5</v>
      </c>
      <c r="AR1376" t="s">
        <v>123</v>
      </c>
      <c r="AS1376" t="s">
        <v>124</v>
      </c>
      <c r="AT1376" t="s">
        <v>58</v>
      </c>
      <c r="AU1376" t="s">
        <v>68</v>
      </c>
      <c r="AV1376" t="s">
        <v>69</v>
      </c>
      <c r="AW1376" s="1">
        <v>22528</v>
      </c>
      <c r="AX1376">
        <v>2</v>
      </c>
    </row>
    <row r="1377" spans="1:50">
      <c r="A1377">
        <v>191571</v>
      </c>
      <c r="B1377" t="str">
        <f>"103519377"</f>
        <v>103519377</v>
      </c>
      <c r="C1377" t="s">
        <v>105</v>
      </c>
      <c r="D1377" t="s">
        <v>3155</v>
      </c>
      <c r="E1377" t="s">
        <v>84</v>
      </c>
      <c r="F1377" t="s">
        <v>408</v>
      </c>
      <c r="G1377" t="s">
        <v>52</v>
      </c>
      <c r="H1377" t="str">
        <f>" "</f>
        <v xml:space="preserve"> </v>
      </c>
      <c r="M1377" t="s">
        <v>3156</v>
      </c>
      <c r="N1377" t="s">
        <v>168</v>
      </c>
      <c r="O1377" t="s">
        <v>169</v>
      </c>
      <c r="R1377" t="s">
        <v>57</v>
      </c>
      <c r="S1377">
        <v>8</v>
      </c>
      <c r="T1377">
        <v>291</v>
      </c>
      <c r="U1377" s="1">
        <v>37218</v>
      </c>
      <c r="V1377" t="s">
        <v>123</v>
      </c>
      <c r="W1377" t="s">
        <v>124</v>
      </c>
      <c r="X1377" t="s">
        <v>58</v>
      </c>
      <c r="Y1377">
        <v>20</v>
      </c>
      <c r="Z1377" t="s">
        <v>59</v>
      </c>
      <c r="AA1377" t="s">
        <v>59</v>
      </c>
      <c r="AB1377" t="s">
        <v>59</v>
      </c>
      <c r="AC1377" t="s">
        <v>59</v>
      </c>
      <c r="AD1377" t="s">
        <v>59</v>
      </c>
      <c r="AF1377" s="1">
        <v>37218</v>
      </c>
      <c r="AG1377" t="s">
        <v>137</v>
      </c>
      <c r="AH1377" t="s">
        <v>138</v>
      </c>
      <c r="AI1377" t="str">
        <f>"1740080"</f>
        <v>1740080</v>
      </c>
      <c r="AJ1377" t="s">
        <v>284</v>
      </c>
      <c r="AK1377">
        <v>2810220433</v>
      </c>
      <c r="AL1377" t="s">
        <v>285</v>
      </c>
      <c r="AM1377" t="s">
        <v>78</v>
      </c>
      <c r="AN1377" t="s">
        <v>78</v>
      </c>
      <c r="AO1377" t="s">
        <v>286</v>
      </c>
      <c r="AP1377" t="s">
        <v>286</v>
      </c>
      <c r="AQ1377">
        <v>12</v>
      </c>
      <c r="AR1377" t="s">
        <v>123</v>
      </c>
      <c r="AS1377" t="s">
        <v>124</v>
      </c>
      <c r="AT1377" t="s">
        <v>58</v>
      </c>
      <c r="AU1377" t="s">
        <v>68</v>
      </c>
      <c r="AV1377" t="s">
        <v>69</v>
      </c>
      <c r="AW1377" s="1">
        <v>26555</v>
      </c>
      <c r="AX1377">
        <v>2</v>
      </c>
    </row>
    <row r="1378" spans="1:50">
      <c r="A1378">
        <v>182777</v>
      </c>
      <c r="B1378" t="str">
        <f>"078868833"</f>
        <v>078868833</v>
      </c>
      <c r="C1378" t="s">
        <v>50</v>
      </c>
      <c r="D1378" t="s">
        <v>3157</v>
      </c>
      <c r="E1378" t="s">
        <v>237</v>
      </c>
      <c r="F1378" t="s">
        <v>72</v>
      </c>
      <c r="G1378" t="s">
        <v>553</v>
      </c>
      <c r="H1378" t="str">
        <f>"ΗΒΗΣ 7 ΚΝΩΣΣΟΣ"</f>
        <v>ΗΒΗΣ 7 ΚΝΩΣΣΟΣ</v>
      </c>
      <c r="I1378">
        <v>71409</v>
      </c>
      <c r="J1378">
        <v>2810326593</v>
      </c>
      <c r="K1378">
        <v>6976009553</v>
      </c>
      <c r="M1378" t="s">
        <v>3158</v>
      </c>
      <c r="N1378" t="s">
        <v>478</v>
      </c>
      <c r="O1378" t="s">
        <v>479</v>
      </c>
      <c r="R1378" t="s">
        <v>57</v>
      </c>
      <c r="S1378">
        <v>11</v>
      </c>
      <c r="T1378">
        <v>249</v>
      </c>
      <c r="U1378" s="1">
        <v>36160</v>
      </c>
      <c r="V1378" t="s">
        <v>123</v>
      </c>
      <c r="W1378" t="s">
        <v>124</v>
      </c>
      <c r="X1378" t="s">
        <v>58</v>
      </c>
      <c r="Y1378">
        <v>20</v>
      </c>
      <c r="Z1378" t="s">
        <v>59</v>
      </c>
      <c r="AA1378" t="s">
        <v>59</v>
      </c>
      <c r="AB1378" t="s">
        <v>59</v>
      </c>
      <c r="AC1378" t="s">
        <v>59</v>
      </c>
      <c r="AD1378" t="s">
        <v>59</v>
      </c>
      <c r="AF1378" s="1">
        <v>36172</v>
      </c>
      <c r="AG1378" t="s">
        <v>125</v>
      </c>
      <c r="AH1378" t="s">
        <v>126</v>
      </c>
      <c r="AI1378" t="str">
        <f>"1701053"</f>
        <v>1701053</v>
      </c>
      <c r="AJ1378" t="s">
        <v>398</v>
      </c>
      <c r="AK1378">
        <v>2810251434</v>
      </c>
      <c r="AL1378" t="s">
        <v>399</v>
      </c>
      <c r="AM1378" t="s">
        <v>78</v>
      </c>
      <c r="AN1378" t="s">
        <v>78</v>
      </c>
      <c r="AO1378" t="s">
        <v>78</v>
      </c>
      <c r="AP1378" t="s">
        <v>141</v>
      </c>
      <c r="AQ1378">
        <v>7</v>
      </c>
      <c r="AR1378" t="s">
        <v>123</v>
      </c>
      <c r="AS1378" t="s">
        <v>124</v>
      </c>
      <c r="AT1378" t="s">
        <v>58</v>
      </c>
      <c r="AU1378" t="s">
        <v>68</v>
      </c>
      <c r="AV1378" t="s">
        <v>357</v>
      </c>
      <c r="AW1378" s="1">
        <v>26687</v>
      </c>
      <c r="AX1378">
        <v>2</v>
      </c>
    </row>
    <row r="1379" spans="1:50">
      <c r="B1379" t="str">
        <f>"131083857"</f>
        <v>131083857</v>
      </c>
      <c r="C1379" t="s">
        <v>50</v>
      </c>
      <c r="D1379" t="s">
        <v>3157</v>
      </c>
      <c r="E1379" t="s">
        <v>3159</v>
      </c>
      <c r="F1379" t="s">
        <v>72</v>
      </c>
      <c r="G1379" t="s">
        <v>52</v>
      </c>
      <c r="H1379" t="str">
        <f>"Μαλεβιζίου 16 "</f>
        <v xml:space="preserve">Μαλεβιζίου 16 </v>
      </c>
      <c r="I1379">
        <v>71202</v>
      </c>
      <c r="K1379">
        <v>6972282381</v>
      </c>
      <c r="M1379" t="s">
        <v>3160</v>
      </c>
      <c r="N1379" t="s">
        <v>292</v>
      </c>
      <c r="O1379" t="s">
        <v>293</v>
      </c>
      <c r="R1379" t="s">
        <v>121</v>
      </c>
      <c r="S1379">
        <v>1</v>
      </c>
      <c r="T1379" t="s">
        <v>574</v>
      </c>
      <c r="U1379" s="1">
        <v>43378</v>
      </c>
      <c r="V1379" t="s">
        <v>123</v>
      </c>
      <c r="W1379" t="s">
        <v>124</v>
      </c>
      <c r="X1379" t="s">
        <v>58</v>
      </c>
      <c r="Y1379">
        <v>23</v>
      </c>
      <c r="Z1379" t="s">
        <v>59</v>
      </c>
      <c r="AA1379" t="s">
        <v>59</v>
      </c>
      <c r="AB1379" t="s">
        <v>59</v>
      </c>
      <c r="AC1379" t="s">
        <v>59</v>
      </c>
      <c r="AD1379" t="s">
        <v>59</v>
      </c>
      <c r="AF1379" s="1">
        <v>43381</v>
      </c>
      <c r="AG1379" t="s">
        <v>137</v>
      </c>
      <c r="AH1379" t="s">
        <v>138</v>
      </c>
      <c r="AI1379" t="str">
        <f>"1740300"</f>
        <v>1740300</v>
      </c>
      <c r="AJ1379" t="s">
        <v>1274</v>
      </c>
      <c r="AK1379">
        <v>2892022100</v>
      </c>
      <c r="AL1379" t="s">
        <v>1275</v>
      </c>
      <c r="AM1379" t="s">
        <v>78</v>
      </c>
      <c r="AN1379" t="s">
        <v>242</v>
      </c>
      <c r="AO1379" t="s">
        <v>243</v>
      </c>
      <c r="AP1379" t="s">
        <v>243</v>
      </c>
      <c r="AQ1379">
        <v>33</v>
      </c>
      <c r="AR1379" t="s">
        <v>123</v>
      </c>
      <c r="AS1379" t="s">
        <v>124</v>
      </c>
      <c r="AT1379" t="s">
        <v>58</v>
      </c>
      <c r="AU1379" t="s">
        <v>164</v>
      </c>
      <c r="AV1379" t="s">
        <v>132</v>
      </c>
      <c r="AW1379" s="1">
        <v>30926</v>
      </c>
      <c r="AX1379">
        <v>2</v>
      </c>
    </row>
    <row r="1380" spans="1:50">
      <c r="A1380">
        <v>156220</v>
      </c>
      <c r="B1380" t="str">
        <f>"032123934"</f>
        <v>032123934</v>
      </c>
      <c r="C1380" t="s">
        <v>50</v>
      </c>
      <c r="D1380" t="s">
        <v>3157</v>
      </c>
      <c r="E1380" t="s">
        <v>755</v>
      </c>
      <c r="F1380" t="s">
        <v>782</v>
      </c>
      <c r="G1380" t="s">
        <v>155</v>
      </c>
      <c r="H1380" t="str">
        <f>"ΜΠΕΤΕΙΝΑΚΗ 45 ΜΑΣΤΑΜΠΑΣ"</f>
        <v>ΜΠΕΤΕΙΝΑΚΗ 45 ΜΑΣΤΑΜΠΑΣ</v>
      </c>
      <c r="I1380">
        <v>71306</v>
      </c>
      <c r="J1380">
        <v>2810237159</v>
      </c>
      <c r="K1380">
        <v>6973082398</v>
      </c>
      <c r="L1380">
        <v>2810234488</v>
      </c>
      <c r="N1380" t="s">
        <v>146</v>
      </c>
      <c r="O1380" t="s">
        <v>147</v>
      </c>
      <c r="R1380" t="s">
        <v>57</v>
      </c>
      <c r="S1380">
        <v>15</v>
      </c>
      <c r="T1380">
        <v>188</v>
      </c>
      <c r="U1380" s="1">
        <v>32752</v>
      </c>
      <c r="V1380" t="s">
        <v>123</v>
      </c>
      <c r="W1380" t="s">
        <v>124</v>
      </c>
      <c r="X1380" t="s">
        <v>58</v>
      </c>
      <c r="Y1380">
        <v>18</v>
      </c>
      <c r="Z1380" t="s">
        <v>59</v>
      </c>
      <c r="AA1380" t="s">
        <v>59</v>
      </c>
      <c r="AB1380" t="s">
        <v>59</v>
      </c>
      <c r="AC1380" t="s">
        <v>59</v>
      </c>
      <c r="AD1380" t="s">
        <v>59</v>
      </c>
      <c r="AF1380" s="1">
        <v>32756</v>
      </c>
      <c r="AG1380" t="s">
        <v>125</v>
      </c>
      <c r="AH1380" t="s">
        <v>126</v>
      </c>
      <c r="AI1380" t="str">
        <f>"1701057"</f>
        <v>1701057</v>
      </c>
      <c r="AJ1380" t="s">
        <v>379</v>
      </c>
      <c r="AK1380">
        <v>2810234488</v>
      </c>
      <c r="AL1380" t="s">
        <v>380</v>
      </c>
      <c r="AM1380" t="s">
        <v>78</v>
      </c>
      <c r="AN1380" t="s">
        <v>78</v>
      </c>
      <c r="AO1380" t="s">
        <v>78</v>
      </c>
      <c r="AP1380" t="s">
        <v>163</v>
      </c>
      <c r="AQ1380">
        <v>8</v>
      </c>
      <c r="AR1380" t="s">
        <v>123</v>
      </c>
      <c r="AS1380" t="s">
        <v>124</v>
      </c>
      <c r="AT1380" t="s">
        <v>58</v>
      </c>
      <c r="AU1380" t="s">
        <v>68</v>
      </c>
      <c r="AV1380" t="s">
        <v>69</v>
      </c>
      <c r="AW1380" s="1">
        <v>23262</v>
      </c>
      <c r="AX1380">
        <v>2</v>
      </c>
    </row>
    <row r="1381" spans="1:50">
      <c r="A1381">
        <v>209663</v>
      </c>
      <c r="B1381" t="str">
        <f>"110117157"</f>
        <v>110117157</v>
      </c>
      <c r="C1381" t="s">
        <v>50</v>
      </c>
      <c r="D1381" t="s">
        <v>3157</v>
      </c>
      <c r="E1381" t="s">
        <v>3161</v>
      </c>
      <c r="F1381" t="s">
        <v>311</v>
      </c>
      <c r="G1381" t="s">
        <v>263</v>
      </c>
      <c r="H1381" t="str">
        <f>"ΦΟΙΝΙΚΟΣ 16 "</f>
        <v xml:space="preserve">ΦΟΙΝΙΚΟΣ 16 </v>
      </c>
      <c r="I1381">
        <v>71305</v>
      </c>
      <c r="J1381">
        <v>2810251984</v>
      </c>
      <c r="K1381">
        <v>6945015217</v>
      </c>
      <c r="M1381" t="s">
        <v>3162</v>
      </c>
      <c r="N1381" t="s">
        <v>146</v>
      </c>
      <c r="O1381" t="s">
        <v>147</v>
      </c>
      <c r="R1381" t="s">
        <v>57</v>
      </c>
      <c r="S1381">
        <v>6</v>
      </c>
      <c r="T1381">
        <v>225</v>
      </c>
      <c r="U1381" s="1">
        <v>38604</v>
      </c>
      <c r="V1381" t="s">
        <v>123</v>
      </c>
      <c r="W1381" t="s">
        <v>124</v>
      </c>
      <c r="X1381" t="s">
        <v>58</v>
      </c>
      <c r="Y1381">
        <v>20</v>
      </c>
      <c r="Z1381" t="s">
        <v>59</v>
      </c>
      <c r="AA1381" t="s">
        <v>59</v>
      </c>
      <c r="AB1381" t="s">
        <v>59</v>
      </c>
      <c r="AC1381" t="s">
        <v>59</v>
      </c>
      <c r="AD1381" t="s">
        <v>59</v>
      </c>
      <c r="AF1381" s="1">
        <v>38611</v>
      </c>
      <c r="AG1381" t="s">
        <v>125</v>
      </c>
      <c r="AH1381" t="s">
        <v>126</v>
      </c>
      <c r="AI1381" t="str">
        <f>"1701030"</f>
        <v>1701030</v>
      </c>
      <c r="AJ1381" t="s">
        <v>270</v>
      </c>
      <c r="AK1381">
        <v>2810361015</v>
      </c>
      <c r="AL1381" t="s">
        <v>271</v>
      </c>
      <c r="AM1381" t="s">
        <v>78</v>
      </c>
      <c r="AN1381" t="s">
        <v>78</v>
      </c>
      <c r="AO1381" t="s">
        <v>78</v>
      </c>
      <c r="AP1381" t="s">
        <v>163</v>
      </c>
      <c r="AQ1381">
        <v>2</v>
      </c>
      <c r="AR1381" t="s">
        <v>123</v>
      </c>
      <c r="AS1381" t="s">
        <v>124</v>
      </c>
      <c r="AT1381" t="s">
        <v>58</v>
      </c>
      <c r="AU1381" t="s">
        <v>68</v>
      </c>
      <c r="AV1381" t="s">
        <v>69</v>
      </c>
      <c r="AW1381" s="1">
        <v>28187</v>
      </c>
      <c r="AX1381">
        <v>2</v>
      </c>
    </row>
    <row r="1382" spans="1:50">
      <c r="A1382">
        <v>213310</v>
      </c>
      <c r="B1382" t="str">
        <f>"063073007"</f>
        <v>063073007</v>
      </c>
      <c r="C1382" t="s">
        <v>50</v>
      </c>
      <c r="D1382" t="s">
        <v>3157</v>
      </c>
      <c r="E1382" t="s">
        <v>3163</v>
      </c>
      <c r="F1382" t="s">
        <v>166</v>
      </c>
      <c r="G1382" t="s">
        <v>3164</v>
      </c>
      <c r="H1382" t="str">
        <f>"ΜΙΝΩΟΣ 87 "</f>
        <v xml:space="preserve">ΜΙΝΩΟΣ 87 </v>
      </c>
      <c r="I1382">
        <v>71304</v>
      </c>
      <c r="J1382">
        <v>2810256004</v>
      </c>
      <c r="K1382">
        <v>6974917665</v>
      </c>
      <c r="M1382" t="s">
        <v>3165</v>
      </c>
      <c r="N1382" t="s">
        <v>246</v>
      </c>
      <c r="O1382" t="s">
        <v>247</v>
      </c>
      <c r="R1382" t="s">
        <v>57</v>
      </c>
      <c r="S1382">
        <v>8</v>
      </c>
      <c r="T1382">
        <v>231</v>
      </c>
      <c r="U1382" s="1">
        <v>38960</v>
      </c>
      <c r="V1382" t="s">
        <v>123</v>
      </c>
      <c r="W1382" t="s">
        <v>124</v>
      </c>
      <c r="X1382" t="s">
        <v>58</v>
      </c>
      <c r="Y1382">
        <v>20</v>
      </c>
      <c r="Z1382" t="s">
        <v>59</v>
      </c>
      <c r="AA1382" t="s">
        <v>59</v>
      </c>
      <c r="AB1382" t="s">
        <v>59</v>
      </c>
      <c r="AC1382" t="s">
        <v>59</v>
      </c>
      <c r="AD1382" t="s">
        <v>59</v>
      </c>
      <c r="AF1382" s="1">
        <v>38961</v>
      </c>
      <c r="AG1382" t="s">
        <v>125</v>
      </c>
      <c r="AH1382" t="s">
        <v>126</v>
      </c>
      <c r="AI1382" t="str">
        <f>"1701041"</f>
        <v>1701041</v>
      </c>
      <c r="AJ1382" t="s">
        <v>161</v>
      </c>
      <c r="AK1382">
        <v>2810327052</v>
      </c>
      <c r="AL1382" t="s">
        <v>162</v>
      </c>
      <c r="AM1382" t="s">
        <v>78</v>
      </c>
      <c r="AN1382" t="s">
        <v>78</v>
      </c>
      <c r="AO1382" t="s">
        <v>78</v>
      </c>
      <c r="AP1382" t="s">
        <v>163</v>
      </c>
      <c r="AQ1382">
        <v>5</v>
      </c>
      <c r="AR1382" t="s">
        <v>123</v>
      </c>
      <c r="AS1382" t="s">
        <v>124</v>
      </c>
      <c r="AT1382" t="s">
        <v>58</v>
      </c>
      <c r="AU1382" t="s">
        <v>68</v>
      </c>
      <c r="AV1382" t="s">
        <v>69</v>
      </c>
      <c r="AW1382" s="1">
        <v>25517</v>
      </c>
      <c r="AX1382">
        <v>2</v>
      </c>
    </row>
    <row r="1383" spans="1:50">
      <c r="A1383">
        <v>212316</v>
      </c>
      <c r="B1383" t="str">
        <f>"074959807"</f>
        <v>074959807</v>
      </c>
      <c r="C1383" t="s">
        <v>50</v>
      </c>
      <c r="D1383" t="s">
        <v>3157</v>
      </c>
      <c r="E1383" t="s">
        <v>250</v>
      </c>
      <c r="F1383" t="s">
        <v>95</v>
      </c>
      <c r="G1383" t="s">
        <v>340</v>
      </c>
      <c r="H1383" t="str">
        <f>"ΑΓΙΑ ΒΑΡΒΑΡΑ ΜΟΝΟΦΑΤΣΙΟΥ "</f>
        <v xml:space="preserve">ΑΓΙΑ ΒΑΡΒΑΡΑ ΜΟΝΟΦΑΤΣΙΟΥ </v>
      </c>
      <c r="I1383">
        <v>70003</v>
      </c>
      <c r="J1383">
        <v>2894023765</v>
      </c>
      <c r="K1383">
        <v>6947758662</v>
      </c>
      <c r="M1383" t="s">
        <v>3166</v>
      </c>
      <c r="N1383" t="s">
        <v>146</v>
      </c>
      <c r="O1383" t="s">
        <v>147</v>
      </c>
      <c r="R1383" t="s">
        <v>57</v>
      </c>
      <c r="S1383">
        <v>7</v>
      </c>
      <c r="T1383">
        <v>231</v>
      </c>
      <c r="U1383" s="1">
        <v>38960</v>
      </c>
      <c r="V1383" t="s">
        <v>123</v>
      </c>
      <c r="W1383" t="s">
        <v>124</v>
      </c>
      <c r="X1383" t="s">
        <v>58</v>
      </c>
      <c r="Y1383">
        <v>20</v>
      </c>
      <c r="Z1383" t="s">
        <v>59</v>
      </c>
      <c r="AA1383" t="s">
        <v>59</v>
      </c>
      <c r="AB1383" t="s">
        <v>59</v>
      </c>
      <c r="AC1383" t="s">
        <v>59</v>
      </c>
      <c r="AD1383" t="s">
        <v>59</v>
      </c>
      <c r="AF1383" s="1">
        <v>38961</v>
      </c>
      <c r="AG1383" t="s">
        <v>125</v>
      </c>
      <c r="AH1383" t="s">
        <v>126</v>
      </c>
      <c r="AI1383" t="str">
        <f>"1709010"</f>
        <v>1709010</v>
      </c>
      <c r="AJ1383" t="s">
        <v>847</v>
      </c>
      <c r="AK1383">
        <v>2894022227</v>
      </c>
      <c r="AL1383" t="s">
        <v>848</v>
      </c>
      <c r="AM1383" t="s">
        <v>78</v>
      </c>
      <c r="AN1383" t="s">
        <v>405</v>
      </c>
      <c r="AO1383" t="s">
        <v>406</v>
      </c>
      <c r="AP1383" t="s">
        <v>406</v>
      </c>
      <c r="AQ1383">
        <v>30</v>
      </c>
      <c r="AR1383" t="s">
        <v>123</v>
      </c>
      <c r="AS1383" t="s">
        <v>124</v>
      </c>
      <c r="AT1383" t="s">
        <v>58</v>
      </c>
      <c r="AU1383" t="s">
        <v>68</v>
      </c>
      <c r="AV1383" t="s">
        <v>69</v>
      </c>
      <c r="AW1383" s="1">
        <v>27619</v>
      </c>
      <c r="AX1383">
        <v>2</v>
      </c>
    </row>
    <row r="1384" spans="1:50">
      <c r="A1384">
        <v>180190</v>
      </c>
      <c r="B1384" t="str">
        <f>"021569533"</f>
        <v>021569533</v>
      </c>
      <c r="C1384" t="s">
        <v>50</v>
      </c>
      <c r="D1384" t="s">
        <v>3157</v>
      </c>
      <c r="E1384" t="s">
        <v>83</v>
      </c>
      <c r="F1384" t="s">
        <v>53</v>
      </c>
      <c r="G1384" t="s">
        <v>52</v>
      </c>
      <c r="H1384" t="str">
        <f>" "</f>
        <v xml:space="preserve"> </v>
      </c>
      <c r="K1384">
        <v>6944337532</v>
      </c>
      <c r="M1384" t="s">
        <v>3167</v>
      </c>
      <c r="N1384" t="s">
        <v>292</v>
      </c>
      <c r="O1384" t="s">
        <v>293</v>
      </c>
      <c r="R1384" t="s">
        <v>57</v>
      </c>
      <c r="S1384">
        <v>12</v>
      </c>
      <c r="T1384">
        <v>164</v>
      </c>
      <c r="U1384" s="1">
        <v>36040</v>
      </c>
      <c r="V1384" t="s">
        <v>123</v>
      </c>
      <c r="W1384" t="s">
        <v>124</v>
      </c>
      <c r="X1384" t="s">
        <v>58</v>
      </c>
      <c r="Y1384">
        <v>18</v>
      </c>
      <c r="Z1384" t="s">
        <v>59</v>
      </c>
      <c r="AA1384" t="s">
        <v>59</v>
      </c>
      <c r="AB1384" t="s">
        <v>59</v>
      </c>
      <c r="AC1384" t="s">
        <v>59</v>
      </c>
      <c r="AD1384" t="s">
        <v>59</v>
      </c>
      <c r="AF1384" s="1">
        <v>36041</v>
      </c>
      <c r="AG1384" t="s">
        <v>125</v>
      </c>
      <c r="AH1384" t="s">
        <v>126</v>
      </c>
      <c r="AI1384" t="str">
        <f>"1701040"</f>
        <v>1701040</v>
      </c>
      <c r="AJ1384" t="s">
        <v>748</v>
      </c>
      <c r="AK1384">
        <v>2810252459</v>
      </c>
      <c r="AL1384" t="s">
        <v>749</v>
      </c>
      <c r="AM1384" t="s">
        <v>78</v>
      </c>
      <c r="AN1384" t="s">
        <v>78</v>
      </c>
      <c r="AO1384" t="s">
        <v>78</v>
      </c>
      <c r="AP1384" t="s">
        <v>141</v>
      </c>
      <c r="AQ1384">
        <v>3</v>
      </c>
      <c r="AR1384" t="s">
        <v>123</v>
      </c>
      <c r="AS1384" t="s">
        <v>124</v>
      </c>
      <c r="AT1384" t="s">
        <v>58</v>
      </c>
      <c r="AU1384" t="s">
        <v>68</v>
      </c>
      <c r="AV1384" t="s">
        <v>69</v>
      </c>
      <c r="AW1384" s="1">
        <v>21214</v>
      </c>
      <c r="AX1384">
        <v>2</v>
      </c>
    </row>
    <row r="1385" spans="1:50">
      <c r="A1385">
        <v>221200</v>
      </c>
      <c r="B1385" t="str">
        <f>"123161041"</f>
        <v>123161041</v>
      </c>
      <c r="C1385" t="s">
        <v>50</v>
      </c>
      <c r="D1385" t="s">
        <v>3157</v>
      </c>
      <c r="E1385" t="s">
        <v>112</v>
      </c>
      <c r="F1385" t="s">
        <v>166</v>
      </c>
      <c r="G1385" t="s">
        <v>905</v>
      </c>
      <c r="H1385" t="str">
        <f>"ΠΡΩΗΝ ΑΜΕΡ. ΒΑΣΗ ΓΟΥΡΝΕΣ"</f>
        <v>ΠΡΩΗΝ ΑΜΕΡ. ΒΑΣΗ ΓΟΥΡΝΕΣ</v>
      </c>
      <c r="I1385">
        <v>71500</v>
      </c>
      <c r="J1385">
        <v>2810762778</v>
      </c>
      <c r="K1385">
        <v>6973384652</v>
      </c>
      <c r="M1385" t="s">
        <v>3168</v>
      </c>
      <c r="N1385" t="s">
        <v>306</v>
      </c>
      <c r="O1385" t="s">
        <v>307</v>
      </c>
      <c r="R1385" t="s">
        <v>57</v>
      </c>
      <c r="S1385">
        <v>8</v>
      </c>
      <c r="T1385">
        <v>691</v>
      </c>
      <c r="U1385" s="1">
        <v>39331</v>
      </c>
      <c r="V1385" t="s">
        <v>123</v>
      </c>
      <c r="W1385" t="s">
        <v>124</v>
      </c>
      <c r="X1385" t="s">
        <v>58</v>
      </c>
      <c r="Y1385">
        <v>20</v>
      </c>
      <c r="Z1385" t="s">
        <v>59</v>
      </c>
      <c r="AA1385" t="s">
        <v>59</v>
      </c>
      <c r="AB1385" t="s">
        <v>59</v>
      </c>
      <c r="AC1385" t="s">
        <v>59</v>
      </c>
      <c r="AD1385" t="s">
        <v>59</v>
      </c>
      <c r="AF1385" s="1">
        <v>39332</v>
      </c>
      <c r="AG1385" t="s">
        <v>125</v>
      </c>
      <c r="AH1385" t="s">
        <v>126</v>
      </c>
      <c r="AI1385" t="str">
        <f>"1701070"</f>
        <v>1701070</v>
      </c>
      <c r="AJ1385" t="s">
        <v>1490</v>
      </c>
      <c r="AK1385">
        <v>2810771241</v>
      </c>
      <c r="AL1385" t="s">
        <v>1491</v>
      </c>
      <c r="AM1385" t="s">
        <v>78</v>
      </c>
      <c r="AN1385" t="s">
        <v>219</v>
      </c>
      <c r="AO1385" t="s">
        <v>1437</v>
      </c>
      <c r="AP1385" t="s">
        <v>1437</v>
      </c>
      <c r="AQ1385">
        <v>21</v>
      </c>
      <c r="AR1385" t="s">
        <v>123</v>
      </c>
      <c r="AS1385" t="s">
        <v>124</v>
      </c>
      <c r="AT1385" t="s">
        <v>58</v>
      </c>
      <c r="AU1385" t="s">
        <v>68</v>
      </c>
      <c r="AV1385" t="s">
        <v>357</v>
      </c>
      <c r="AW1385" s="1">
        <v>26822</v>
      </c>
      <c r="AX1385">
        <v>2</v>
      </c>
    </row>
    <row r="1386" spans="1:50">
      <c r="A1386">
        <v>179610</v>
      </c>
      <c r="B1386" t="str">
        <f>"044656810"</f>
        <v>044656810</v>
      </c>
      <c r="C1386" t="s">
        <v>50</v>
      </c>
      <c r="D1386" t="s">
        <v>3157</v>
      </c>
      <c r="E1386" t="s">
        <v>845</v>
      </c>
      <c r="F1386" t="s">
        <v>383</v>
      </c>
      <c r="G1386" t="s">
        <v>1068</v>
      </c>
      <c r="H1386" t="str">
        <f>"HOHENSTEIN 138 ΓΕΡΜΑΝΙΑ"</f>
        <v>HOHENSTEIN 138 ΓΕΡΜΑΝΙΑ</v>
      </c>
      <c r="I1386">
        <v>42283</v>
      </c>
      <c r="J1386">
        <v>2810373075</v>
      </c>
      <c r="K1386">
        <v>6983875437</v>
      </c>
      <c r="N1386" t="s">
        <v>146</v>
      </c>
      <c r="O1386" t="s">
        <v>147</v>
      </c>
      <c r="R1386" t="s">
        <v>57</v>
      </c>
      <c r="S1386">
        <v>12</v>
      </c>
      <c r="T1386">
        <v>164</v>
      </c>
      <c r="U1386" s="1">
        <v>36040</v>
      </c>
      <c r="V1386" t="s">
        <v>123</v>
      </c>
      <c r="W1386" t="s">
        <v>124</v>
      </c>
      <c r="X1386" t="s">
        <v>58</v>
      </c>
      <c r="Y1386">
        <v>18</v>
      </c>
      <c r="Z1386" t="s">
        <v>59</v>
      </c>
      <c r="AA1386" t="s">
        <v>59</v>
      </c>
      <c r="AB1386" t="s">
        <v>59</v>
      </c>
      <c r="AC1386" t="s">
        <v>59</v>
      </c>
      <c r="AD1386" t="s">
        <v>59</v>
      </c>
      <c r="AF1386" s="1">
        <v>36041</v>
      </c>
      <c r="AG1386" t="s">
        <v>148</v>
      </c>
      <c r="AH1386" t="s">
        <v>149</v>
      </c>
      <c r="AI1386" t="str">
        <f>"1751020"</f>
        <v>1751020</v>
      </c>
      <c r="AJ1386" t="s">
        <v>532</v>
      </c>
      <c r="AK1386">
        <v>2810372732</v>
      </c>
      <c r="AL1386" t="s">
        <v>533</v>
      </c>
      <c r="AM1386" t="s">
        <v>78</v>
      </c>
      <c r="AN1386" t="s">
        <v>78</v>
      </c>
      <c r="AO1386" t="s">
        <v>78</v>
      </c>
      <c r="AP1386" t="s">
        <v>163</v>
      </c>
      <c r="AQ1386">
        <v>3</v>
      </c>
      <c r="AR1386" t="s">
        <v>123</v>
      </c>
      <c r="AS1386" t="s">
        <v>124</v>
      </c>
      <c r="AT1386" t="s">
        <v>58</v>
      </c>
      <c r="AU1386" t="s">
        <v>68</v>
      </c>
      <c r="AV1386" t="s">
        <v>69</v>
      </c>
      <c r="AW1386" s="1">
        <v>24245</v>
      </c>
      <c r="AX1386">
        <v>2</v>
      </c>
    </row>
    <row r="1387" spans="1:50">
      <c r="A1387">
        <v>220777</v>
      </c>
      <c r="B1387" t="str">
        <f>"062424766"</f>
        <v>062424766</v>
      </c>
      <c r="C1387" t="s">
        <v>50</v>
      </c>
      <c r="D1387" t="s">
        <v>3157</v>
      </c>
      <c r="E1387" t="s">
        <v>52</v>
      </c>
      <c r="F1387" t="s">
        <v>95</v>
      </c>
      <c r="G1387" t="s">
        <v>630</v>
      </c>
      <c r="H1387" t="str">
        <f>"ΚΩΝΣΤΑΝΤΙΝΟΥ ΠΑΠΑΔΑΚΗ 5 ΗΡΑΚΛΕΙΟ"</f>
        <v>ΚΩΝΣΤΑΝΤΙΝΟΥ ΠΑΠΑΔΑΚΗ 5 ΗΡΑΚΛΕΙΟ</v>
      </c>
      <c r="I1387">
        <v>71409</v>
      </c>
      <c r="J1387">
        <v>2810210596</v>
      </c>
      <c r="K1387">
        <v>6977955131</v>
      </c>
      <c r="M1387" t="s">
        <v>3169</v>
      </c>
      <c r="N1387" t="s">
        <v>288</v>
      </c>
      <c r="O1387" t="s">
        <v>289</v>
      </c>
      <c r="R1387" t="s">
        <v>57</v>
      </c>
      <c r="S1387">
        <v>7</v>
      </c>
      <c r="T1387">
        <v>681</v>
      </c>
      <c r="U1387" s="1">
        <v>39325</v>
      </c>
      <c r="V1387" t="s">
        <v>123</v>
      </c>
      <c r="W1387" t="s">
        <v>124</v>
      </c>
      <c r="X1387" t="s">
        <v>58</v>
      </c>
      <c r="Y1387">
        <v>21</v>
      </c>
      <c r="Z1387" t="s">
        <v>59</v>
      </c>
      <c r="AA1387" t="s">
        <v>59</v>
      </c>
      <c r="AB1387" t="s">
        <v>59</v>
      </c>
      <c r="AC1387" t="s">
        <v>59</v>
      </c>
      <c r="AD1387" t="s">
        <v>59</v>
      </c>
      <c r="AF1387" s="1">
        <v>39330</v>
      </c>
      <c r="AG1387" t="s">
        <v>125</v>
      </c>
      <c r="AH1387" t="s">
        <v>126</v>
      </c>
      <c r="AI1387" t="str">
        <f>"1718010"</f>
        <v>1718010</v>
      </c>
      <c r="AJ1387" t="s">
        <v>1090</v>
      </c>
      <c r="AK1387">
        <v>2897031471</v>
      </c>
      <c r="AL1387" t="s">
        <v>1091</v>
      </c>
      <c r="AM1387" t="s">
        <v>78</v>
      </c>
      <c r="AN1387" t="s">
        <v>219</v>
      </c>
      <c r="AO1387" t="s">
        <v>527</v>
      </c>
      <c r="AP1387" t="s">
        <v>527</v>
      </c>
      <c r="AQ1387">
        <v>20</v>
      </c>
      <c r="AR1387" t="s">
        <v>123</v>
      </c>
      <c r="AS1387" t="s">
        <v>124</v>
      </c>
      <c r="AT1387" t="s">
        <v>58</v>
      </c>
      <c r="AU1387" t="s">
        <v>68</v>
      </c>
      <c r="AV1387" t="s">
        <v>69</v>
      </c>
      <c r="AW1387" s="1">
        <v>26951</v>
      </c>
      <c r="AX1387">
        <v>2</v>
      </c>
    </row>
    <row r="1388" spans="1:50">
      <c r="A1388">
        <v>212317</v>
      </c>
      <c r="B1388" t="str">
        <f>"064565442"</f>
        <v>064565442</v>
      </c>
      <c r="C1388" t="s">
        <v>50</v>
      </c>
      <c r="D1388" t="s">
        <v>3157</v>
      </c>
      <c r="E1388" t="s">
        <v>52</v>
      </c>
      <c r="F1388" t="s">
        <v>84</v>
      </c>
      <c r="G1388" t="s">
        <v>83</v>
      </c>
      <c r="H1388" t="str">
        <f>" "</f>
        <v xml:space="preserve"> </v>
      </c>
      <c r="M1388" t="s">
        <v>3170</v>
      </c>
      <c r="N1388" t="s">
        <v>146</v>
      </c>
      <c r="O1388" t="s">
        <v>147</v>
      </c>
      <c r="R1388" t="s">
        <v>57</v>
      </c>
      <c r="S1388">
        <v>6</v>
      </c>
      <c r="T1388">
        <v>231</v>
      </c>
      <c r="U1388" s="1">
        <v>38960</v>
      </c>
      <c r="V1388" t="s">
        <v>123</v>
      </c>
      <c r="W1388" t="s">
        <v>124</v>
      </c>
      <c r="X1388" t="s">
        <v>58</v>
      </c>
      <c r="Y1388">
        <v>20</v>
      </c>
      <c r="Z1388" t="s">
        <v>59</v>
      </c>
      <c r="AA1388" t="s">
        <v>59</v>
      </c>
      <c r="AB1388" t="s">
        <v>59</v>
      </c>
      <c r="AC1388" t="s">
        <v>59</v>
      </c>
      <c r="AD1388" t="s">
        <v>59</v>
      </c>
      <c r="AF1388" s="1">
        <v>38961</v>
      </c>
      <c r="AG1388" t="s">
        <v>148</v>
      </c>
      <c r="AH1388" t="s">
        <v>149</v>
      </c>
      <c r="AI1388" t="str">
        <f>"1751042"</f>
        <v>1751042</v>
      </c>
      <c r="AJ1388" t="s">
        <v>959</v>
      </c>
      <c r="AK1388">
        <v>2810220685</v>
      </c>
      <c r="AL1388" t="s">
        <v>960</v>
      </c>
      <c r="AM1388" t="s">
        <v>78</v>
      </c>
      <c r="AN1388" t="s">
        <v>78</v>
      </c>
      <c r="AO1388" t="s">
        <v>78</v>
      </c>
      <c r="AP1388" t="s">
        <v>213</v>
      </c>
      <c r="AQ1388">
        <v>6</v>
      </c>
      <c r="AR1388" t="s">
        <v>123</v>
      </c>
      <c r="AS1388" t="s">
        <v>124</v>
      </c>
      <c r="AT1388" t="s">
        <v>58</v>
      </c>
      <c r="AU1388" t="s">
        <v>68</v>
      </c>
      <c r="AV1388" t="s">
        <v>69</v>
      </c>
      <c r="AW1388" s="1">
        <v>24967</v>
      </c>
      <c r="AX1388">
        <v>2</v>
      </c>
    </row>
    <row r="1389" spans="1:50">
      <c r="A1389">
        <v>169957</v>
      </c>
      <c r="B1389" t="str">
        <f>"043108438"</f>
        <v>043108438</v>
      </c>
      <c r="C1389" t="s">
        <v>50</v>
      </c>
      <c r="D1389" t="s">
        <v>3157</v>
      </c>
      <c r="E1389" t="s">
        <v>52</v>
      </c>
      <c r="F1389" t="s">
        <v>166</v>
      </c>
      <c r="G1389" t="s">
        <v>83</v>
      </c>
      <c r="H1389" t="str">
        <f>"Μ. ΚΟΥΡΜΟΥΛΗ 24 ΜΟΙΡΕΣ"</f>
        <v>Μ. ΚΟΥΡΜΟΥΛΗ 24 ΜΟΙΡΕΣ</v>
      </c>
      <c r="I1389">
        <v>70400</v>
      </c>
      <c r="J1389">
        <v>2892024647</v>
      </c>
      <c r="K1389">
        <v>6932208602</v>
      </c>
      <c r="M1389" t="s">
        <v>3171</v>
      </c>
      <c r="N1389" t="s">
        <v>146</v>
      </c>
      <c r="O1389" t="s">
        <v>147</v>
      </c>
      <c r="R1389" t="s">
        <v>57</v>
      </c>
      <c r="S1389">
        <v>12</v>
      </c>
      <c r="T1389">
        <v>184</v>
      </c>
      <c r="U1389" s="1">
        <v>34941</v>
      </c>
      <c r="V1389" t="s">
        <v>123</v>
      </c>
      <c r="W1389" t="s">
        <v>124</v>
      </c>
      <c r="X1389" t="s">
        <v>58</v>
      </c>
      <c r="Y1389">
        <v>18</v>
      </c>
      <c r="Z1389" t="s">
        <v>59</v>
      </c>
      <c r="AA1389" t="s">
        <v>59</v>
      </c>
      <c r="AB1389" t="s">
        <v>59</v>
      </c>
      <c r="AC1389" t="s">
        <v>59</v>
      </c>
      <c r="AD1389" t="s">
        <v>59</v>
      </c>
      <c r="AF1389" s="1">
        <v>34943</v>
      </c>
      <c r="AG1389" t="s">
        <v>125</v>
      </c>
      <c r="AH1389" t="s">
        <v>126</v>
      </c>
      <c r="AI1389" t="str">
        <f>"1706010"</f>
        <v>1706010</v>
      </c>
      <c r="AJ1389" t="s">
        <v>391</v>
      </c>
      <c r="AK1389">
        <v>2892022286</v>
      </c>
      <c r="AL1389" t="s">
        <v>392</v>
      </c>
      <c r="AM1389" t="s">
        <v>78</v>
      </c>
      <c r="AN1389" t="s">
        <v>242</v>
      </c>
      <c r="AO1389" t="s">
        <v>243</v>
      </c>
      <c r="AP1389" t="s">
        <v>243</v>
      </c>
      <c r="AQ1389">
        <v>33</v>
      </c>
      <c r="AR1389" t="s">
        <v>123</v>
      </c>
      <c r="AS1389" t="s">
        <v>124</v>
      </c>
      <c r="AT1389" t="s">
        <v>58</v>
      </c>
      <c r="AU1389" t="s">
        <v>68</v>
      </c>
      <c r="AV1389" t="s">
        <v>69</v>
      </c>
      <c r="AW1389" s="1">
        <v>24043</v>
      </c>
      <c r="AX1389">
        <v>2</v>
      </c>
    </row>
    <row r="1390" spans="1:50">
      <c r="A1390">
        <v>159444</v>
      </c>
      <c r="B1390" t="str">
        <f>"037428221"</f>
        <v>037428221</v>
      </c>
      <c r="C1390" t="s">
        <v>50</v>
      </c>
      <c r="D1390" t="s">
        <v>3157</v>
      </c>
      <c r="E1390" t="s">
        <v>52</v>
      </c>
      <c r="F1390" t="s">
        <v>377</v>
      </c>
      <c r="G1390" t="s">
        <v>3172</v>
      </c>
      <c r="H1390" t="str">
        <f>" "</f>
        <v xml:space="preserve"> </v>
      </c>
      <c r="N1390" t="s">
        <v>146</v>
      </c>
      <c r="O1390" t="s">
        <v>147</v>
      </c>
      <c r="R1390" t="s">
        <v>57</v>
      </c>
      <c r="S1390">
        <v>13</v>
      </c>
      <c r="T1390">
        <v>161</v>
      </c>
      <c r="U1390" s="1">
        <v>33119</v>
      </c>
      <c r="V1390" t="s">
        <v>123</v>
      </c>
      <c r="W1390" t="s">
        <v>124</v>
      </c>
      <c r="X1390" t="s">
        <v>58</v>
      </c>
      <c r="Y1390">
        <v>18</v>
      </c>
      <c r="Z1390" t="s">
        <v>59</v>
      </c>
      <c r="AA1390" t="s">
        <v>59</v>
      </c>
      <c r="AB1390" t="s">
        <v>59</v>
      </c>
      <c r="AC1390" t="s">
        <v>59</v>
      </c>
      <c r="AD1390" t="s">
        <v>59</v>
      </c>
      <c r="AF1390" s="1">
        <v>33122</v>
      </c>
      <c r="AG1390" t="s">
        <v>148</v>
      </c>
      <c r="AH1390" t="s">
        <v>149</v>
      </c>
      <c r="AI1390" t="str">
        <f>"1751010"</f>
        <v>1751010</v>
      </c>
      <c r="AJ1390" t="s">
        <v>150</v>
      </c>
      <c r="AK1390">
        <v>2810346092</v>
      </c>
      <c r="AL1390" t="s">
        <v>151</v>
      </c>
      <c r="AM1390" t="s">
        <v>78</v>
      </c>
      <c r="AN1390" t="s">
        <v>78</v>
      </c>
      <c r="AO1390" t="s">
        <v>78</v>
      </c>
      <c r="AP1390" t="s">
        <v>79</v>
      </c>
      <c r="AQ1390">
        <v>1</v>
      </c>
      <c r="AR1390" t="s">
        <v>123</v>
      </c>
      <c r="AS1390" t="s">
        <v>124</v>
      </c>
      <c r="AT1390" t="s">
        <v>58</v>
      </c>
      <c r="AU1390" t="s">
        <v>68</v>
      </c>
      <c r="AV1390" t="s">
        <v>69</v>
      </c>
      <c r="AW1390" s="1">
        <v>23306</v>
      </c>
      <c r="AX1390">
        <v>2</v>
      </c>
    </row>
    <row r="1391" spans="1:50">
      <c r="A1391">
        <v>189484</v>
      </c>
      <c r="B1391" t="str">
        <f>"045417716"</f>
        <v>045417716</v>
      </c>
      <c r="C1391" t="s">
        <v>50</v>
      </c>
      <c r="D1391" t="s">
        <v>3157</v>
      </c>
      <c r="E1391" t="s">
        <v>52</v>
      </c>
      <c r="F1391" t="s">
        <v>72</v>
      </c>
      <c r="G1391" t="s">
        <v>73</v>
      </c>
      <c r="H1391" t="str">
        <f>"ΑΡΧ. ΕΥΓΕΝΙΟΥ 66 ΗΡΑΚΛΕΙΟ"</f>
        <v>ΑΡΧ. ΕΥΓΕΝΙΟΥ 66 ΗΡΑΚΛΕΙΟ</v>
      </c>
      <c r="I1391">
        <v>71409</v>
      </c>
      <c r="J1391">
        <v>2810321077</v>
      </c>
      <c r="K1391">
        <v>6976632595</v>
      </c>
      <c r="M1391" t="s">
        <v>3173</v>
      </c>
      <c r="N1391" t="s">
        <v>146</v>
      </c>
      <c r="O1391" t="s">
        <v>147</v>
      </c>
      <c r="R1391" t="s">
        <v>57</v>
      </c>
      <c r="S1391">
        <v>9</v>
      </c>
      <c r="T1391">
        <v>219</v>
      </c>
      <c r="U1391" s="1">
        <v>37134</v>
      </c>
      <c r="V1391" t="s">
        <v>123</v>
      </c>
      <c r="W1391" t="s">
        <v>124</v>
      </c>
      <c r="X1391" t="s">
        <v>58</v>
      </c>
      <c r="Y1391">
        <v>18</v>
      </c>
      <c r="Z1391" t="s">
        <v>59</v>
      </c>
      <c r="AA1391" t="s">
        <v>59</v>
      </c>
      <c r="AB1391" t="s">
        <v>59</v>
      </c>
      <c r="AC1391" t="s">
        <v>59</v>
      </c>
      <c r="AD1391" t="s">
        <v>59</v>
      </c>
      <c r="AF1391" s="1">
        <v>37138</v>
      </c>
      <c r="AG1391" t="s">
        <v>125</v>
      </c>
      <c r="AH1391" t="s">
        <v>126</v>
      </c>
      <c r="AI1391" t="str">
        <f>"1701057"</f>
        <v>1701057</v>
      </c>
      <c r="AJ1391" t="s">
        <v>379</v>
      </c>
      <c r="AK1391">
        <v>2810234488</v>
      </c>
      <c r="AL1391" t="s">
        <v>380</v>
      </c>
      <c r="AM1391" t="s">
        <v>78</v>
      </c>
      <c r="AN1391" t="s">
        <v>78</v>
      </c>
      <c r="AO1391" t="s">
        <v>78</v>
      </c>
      <c r="AP1391" t="s">
        <v>163</v>
      </c>
      <c r="AQ1391">
        <v>8</v>
      </c>
      <c r="AR1391" t="s">
        <v>123</v>
      </c>
      <c r="AS1391" t="s">
        <v>124</v>
      </c>
      <c r="AT1391" t="s">
        <v>58</v>
      </c>
      <c r="AU1391" t="s">
        <v>68</v>
      </c>
      <c r="AV1391" t="s">
        <v>69</v>
      </c>
      <c r="AW1391" s="1">
        <v>24433</v>
      </c>
      <c r="AX1391">
        <v>2</v>
      </c>
    </row>
    <row r="1392" spans="1:50">
      <c r="B1392" t="str">
        <f>"132981110"</f>
        <v>132981110</v>
      </c>
      <c r="C1392" t="s">
        <v>50</v>
      </c>
      <c r="D1392" t="s">
        <v>3157</v>
      </c>
      <c r="E1392" t="s">
        <v>52</v>
      </c>
      <c r="F1392" t="s">
        <v>99</v>
      </c>
      <c r="G1392" t="s">
        <v>3174</v>
      </c>
      <c r="H1392" t="str">
        <f>"ΦΩΤΕΙΝΟΥ 31 "</f>
        <v xml:space="preserve">ΦΩΤΕΙΝΟΥ 31 </v>
      </c>
      <c r="I1392">
        <v>71500</v>
      </c>
      <c r="J1392">
        <v>2810231160</v>
      </c>
      <c r="K1392">
        <v>6947564124</v>
      </c>
      <c r="M1392" t="s">
        <v>3175</v>
      </c>
      <c r="N1392" t="s">
        <v>536</v>
      </c>
      <c r="O1392" t="s">
        <v>537</v>
      </c>
      <c r="R1392" t="s">
        <v>159</v>
      </c>
      <c r="S1392">
        <v>4</v>
      </c>
      <c r="T1392" t="s">
        <v>344</v>
      </c>
      <c r="U1392" s="1">
        <v>43348</v>
      </c>
      <c r="V1392" t="s">
        <v>123</v>
      </c>
      <c r="W1392" t="s">
        <v>124</v>
      </c>
      <c r="X1392" t="s">
        <v>58</v>
      </c>
      <c r="Y1392">
        <v>23</v>
      </c>
      <c r="Z1392" t="s">
        <v>59</v>
      </c>
      <c r="AA1392" t="s">
        <v>59</v>
      </c>
      <c r="AB1392" t="s">
        <v>59</v>
      </c>
      <c r="AC1392" t="s">
        <v>59</v>
      </c>
      <c r="AD1392" t="s">
        <v>59</v>
      </c>
      <c r="AF1392" s="1">
        <v>43348</v>
      </c>
      <c r="AG1392" t="s">
        <v>125</v>
      </c>
      <c r="AH1392" t="s">
        <v>538</v>
      </c>
      <c r="AI1392" t="str">
        <f>"1701002"</f>
        <v>1701002</v>
      </c>
      <c r="AJ1392" t="s">
        <v>539</v>
      </c>
      <c r="AK1392">
        <v>2810213569</v>
      </c>
      <c r="AL1392" t="s">
        <v>540</v>
      </c>
      <c r="AM1392" t="s">
        <v>78</v>
      </c>
      <c r="AN1392" t="s">
        <v>78</v>
      </c>
      <c r="AO1392" t="s">
        <v>78</v>
      </c>
      <c r="AP1392" t="s">
        <v>163</v>
      </c>
      <c r="AQ1392">
        <v>11</v>
      </c>
      <c r="AR1392" t="s">
        <v>123</v>
      </c>
      <c r="AS1392" t="s">
        <v>124</v>
      </c>
      <c r="AT1392" t="s">
        <v>58</v>
      </c>
      <c r="AU1392" t="s">
        <v>350</v>
      </c>
      <c r="AV1392" t="s">
        <v>132</v>
      </c>
      <c r="AW1392" s="1">
        <v>31163</v>
      </c>
      <c r="AX1392">
        <v>2</v>
      </c>
    </row>
    <row r="1393" spans="1:50">
      <c r="B1393" t="str">
        <f>"070952446"</f>
        <v>070952446</v>
      </c>
      <c r="C1393" t="s">
        <v>50</v>
      </c>
      <c r="D1393" t="s">
        <v>3157</v>
      </c>
      <c r="E1393" t="s">
        <v>3176</v>
      </c>
      <c r="F1393" t="s">
        <v>72</v>
      </c>
      <c r="G1393" t="s">
        <v>1767</v>
      </c>
      <c r="H1393" t="str">
        <f>"Π. ΤΣΑΛΔΑΡΗ  5 ΑΘΗΝΑ  ΔΑΦΝΗ"</f>
        <v>Π. ΤΣΑΛΔΑΡΗ  5 ΑΘΗΝΑ  ΔΑΦΝΗ</v>
      </c>
      <c r="I1393">
        <v>17234</v>
      </c>
      <c r="J1393">
        <v>2109022654</v>
      </c>
      <c r="K1393">
        <v>6977348432</v>
      </c>
      <c r="N1393" t="s">
        <v>536</v>
      </c>
      <c r="O1393" t="s">
        <v>537</v>
      </c>
      <c r="R1393" t="s">
        <v>159</v>
      </c>
      <c r="S1393">
        <v>5</v>
      </c>
      <c r="T1393" t="s">
        <v>344</v>
      </c>
      <c r="U1393" s="1">
        <v>43348</v>
      </c>
      <c r="V1393" t="s">
        <v>123</v>
      </c>
      <c r="W1393" t="s">
        <v>124</v>
      </c>
      <c r="X1393" t="s">
        <v>58</v>
      </c>
      <c r="Y1393">
        <v>21</v>
      </c>
      <c r="Z1393" t="s">
        <v>59</v>
      </c>
      <c r="AA1393" t="s">
        <v>59</v>
      </c>
      <c r="AB1393" t="s">
        <v>59</v>
      </c>
      <c r="AC1393" t="s">
        <v>59</v>
      </c>
      <c r="AD1393" t="s">
        <v>59</v>
      </c>
      <c r="AF1393" s="1">
        <v>43348</v>
      </c>
      <c r="AG1393" t="s">
        <v>125</v>
      </c>
      <c r="AH1393" t="s">
        <v>126</v>
      </c>
      <c r="AI1393" t="str">
        <f>"1701030"</f>
        <v>1701030</v>
      </c>
      <c r="AJ1393" t="s">
        <v>270</v>
      </c>
      <c r="AK1393">
        <v>2810361015</v>
      </c>
      <c r="AL1393" t="s">
        <v>271</v>
      </c>
      <c r="AM1393" t="s">
        <v>78</v>
      </c>
      <c r="AN1393" t="s">
        <v>78</v>
      </c>
      <c r="AO1393" t="s">
        <v>78</v>
      </c>
      <c r="AP1393" t="s">
        <v>163</v>
      </c>
      <c r="AQ1393">
        <v>2</v>
      </c>
      <c r="AR1393" t="s">
        <v>123</v>
      </c>
      <c r="AS1393" t="s">
        <v>124</v>
      </c>
      <c r="AT1393" t="s">
        <v>58</v>
      </c>
      <c r="AU1393" t="s">
        <v>350</v>
      </c>
      <c r="AV1393" t="s">
        <v>132</v>
      </c>
      <c r="AW1393" s="1">
        <v>29696</v>
      </c>
      <c r="AX1393">
        <v>2</v>
      </c>
    </row>
    <row r="1394" spans="1:50">
      <c r="A1394">
        <v>185835</v>
      </c>
      <c r="B1394" t="str">
        <f>"044019206"</f>
        <v>044019206</v>
      </c>
      <c r="C1394" t="s">
        <v>50</v>
      </c>
      <c r="D1394" t="s">
        <v>3157</v>
      </c>
      <c r="E1394" t="s">
        <v>681</v>
      </c>
      <c r="F1394" t="s">
        <v>95</v>
      </c>
      <c r="G1394" t="s">
        <v>83</v>
      </c>
      <c r="H1394" t="str">
        <f>"ΒΩΡΟΙ ΗΡΑΚΛΕΙΟΥ ΜΟΙΡΕΣ"</f>
        <v>ΒΩΡΟΙ ΗΡΑΚΛΕΙΟΥ ΜΟΙΡΕΣ</v>
      </c>
      <c r="I1394">
        <v>70200</v>
      </c>
      <c r="J1394">
        <v>2892091554</v>
      </c>
      <c r="K1394">
        <v>6988604867</v>
      </c>
      <c r="M1394" t="s">
        <v>3177</v>
      </c>
      <c r="N1394" t="s">
        <v>146</v>
      </c>
      <c r="O1394" t="s">
        <v>147</v>
      </c>
      <c r="R1394" t="s">
        <v>57</v>
      </c>
      <c r="S1394">
        <v>8</v>
      </c>
      <c r="T1394">
        <v>250</v>
      </c>
      <c r="U1394" s="1">
        <v>36769</v>
      </c>
      <c r="V1394" t="s">
        <v>123</v>
      </c>
      <c r="W1394" t="s">
        <v>124</v>
      </c>
      <c r="X1394" t="s">
        <v>58</v>
      </c>
      <c r="Y1394">
        <v>20</v>
      </c>
      <c r="Z1394" t="s">
        <v>59</v>
      </c>
      <c r="AA1394" t="s">
        <v>59</v>
      </c>
      <c r="AB1394" t="s">
        <v>59</v>
      </c>
      <c r="AC1394" t="s">
        <v>59</v>
      </c>
      <c r="AD1394" t="s">
        <v>59</v>
      </c>
      <c r="AF1394" s="1">
        <v>36770</v>
      </c>
      <c r="AG1394" t="s">
        <v>148</v>
      </c>
      <c r="AH1394" t="s">
        <v>149</v>
      </c>
      <c r="AI1394" t="str">
        <f>"1756010"</f>
        <v>1756010</v>
      </c>
      <c r="AJ1394" t="s">
        <v>874</v>
      </c>
      <c r="AK1394">
        <v>2892022976</v>
      </c>
      <c r="AL1394" t="s">
        <v>875</v>
      </c>
      <c r="AM1394" t="s">
        <v>78</v>
      </c>
      <c r="AN1394" t="s">
        <v>242</v>
      </c>
      <c r="AO1394" t="s">
        <v>243</v>
      </c>
      <c r="AP1394" t="s">
        <v>243</v>
      </c>
      <c r="AQ1394">
        <v>33</v>
      </c>
      <c r="AR1394" t="s">
        <v>123</v>
      </c>
      <c r="AS1394" t="s">
        <v>124</v>
      </c>
      <c r="AT1394" t="s">
        <v>58</v>
      </c>
      <c r="AU1394" t="s">
        <v>68</v>
      </c>
      <c r="AV1394" t="s">
        <v>69</v>
      </c>
      <c r="AW1394" s="1">
        <v>24678</v>
      </c>
      <c r="AX1394">
        <v>2</v>
      </c>
    </row>
    <row r="1395" spans="1:50">
      <c r="A1395">
        <v>169958</v>
      </c>
      <c r="B1395" t="str">
        <f>"043068160"</f>
        <v>043068160</v>
      </c>
      <c r="C1395" t="s">
        <v>50</v>
      </c>
      <c r="D1395" t="s">
        <v>3157</v>
      </c>
      <c r="E1395" t="s">
        <v>372</v>
      </c>
      <c r="F1395" t="s">
        <v>53</v>
      </c>
      <c r="G1395" t="s">
        <v>250</v>
      </c>
      <c r="H1395" t="str">
        <f>" "</f>
        <v xml:space="preserve"> </v>
      </c>
      <c r="J1395">
        <v>2810211074</v>
      </c>
      <c r="M1395" t="s">
        <v>3178</v>
      </c>
      <c r="N1395" t="s">
        <v>146</v>
      </c>
      <c r="O1395" t="s">
        <v>147</v>
      </c>
      <c r="R1395" t="s">
        <v>57</v>
      </c>
      <c r="S1395">
        <v>13</v>
      </c>
      <c r="T1395">
        <v>184</v>
      </c>
      <c r="U1395" s="1">
        <v>34941</v>
      </c>
      <c r="V1395" t="s">
        <v>123</v>
      </c>
      <c r="W1395" t="s">
        <v>124</v>
      </c>
      <c r="X1395" t="s">
        <v>58</v>
      </c>
      <c r="Y1395">
        <v>18</v>
      </c>
      <c r="Z1395" t="s">
        <v>59</v>
      </c>
      <c r="AA1395" t="s">
        <v>59</v>
      </c>
      <c r="AB1395" t="s">
        <v>59</v>
      </c>
      <c r="AC1395" t="s">
        <v>59</v>
      </c>
      <c r="AD1395" t="s">
        <v>59</v>
      </c>
      <c r="AF1395" s="1">
        <v>34947</v>
      </c>
      <c r="AG1395" t="s">
        <v>125</v>
      </c>
      <c r="AH1395" t="s">
        <v>359</v>
      </c>
      <c r="AI1395" t="str">
        <f>"1701060"</f>
        <v>1701060</v>
      </c>
      <c r="AJ1395" t="s">
        <v>360</v>
      </c>
      <c r="AK1395">
        <v>2810223424</v>
      </c>
      <c r="AL1395" t="s">
        <v>361</v>
      </c>
      <c r="AM1395" t="s">
        <v>78</v>
      </c>
      <c r="AN1395" t="s">
        <v>78</v>
      </c>
      <c r="AO1395" t="s">
        <v>78</v>
      </c>
      <c r="AP1395" t="s">
        <v>79</v>
      </c>
      <c r="AQ1395">
        <v>1</v>
      </c>
      <c r="AR1395" t="s">
        <v>123</v>
      </c>
      <c r="AS1395" t="s">
        <v>124</v>
      </c>
      <c r="AT1395" t="s">
        <v>58</v>
      </c>
      <c r="AU1395" t="s">
        <v>68</v>
      </c>
      <c r="AV1395" t="s">
        <v>69</v>
      </c>
      <c r="AW1395" s="1">
        <v>23854</v>
      </c>
      <c r="AX1395">
        <v>2</v>
      </c>
    </row>
    <row r="1396" spans="1:50">
      <c r="B1396" t="str">
        <f>"138961133"</f>
        <v>138961133</v>
      </c>
      <c r="C1396" t="s">
        <v>50</v>
      </c>
      <c r="D1396" t="s">
        <v>3157</v>
      </c>
      <c r="E1396" t="s">
        <v>1342</v>
      </c>
      <c r="F1396" t="s">
        <v>166</v>
      </c>
      <c r="G1396" t="s">
        <v>83</v>
      </c>
      <c r="H1396" t="str">
        <f>" "</f>
        <v xml:space="preserve"> </v>
      </c>
      <c r="N1396" t="s">
        <v>119</v>
      </c>
      <c r="O1396" t="s">
        <v>120</v>
      </c>
      <c r="R1396" t="s">
        <v>159</v>
      </c>
      <c r="S1396">
        <v>1</v>
      </c>
      <c r="T1396" t="s">
        <v>2395</v>
      </c>
      <c r="U1396" s="1">
        <v>43364</v>
      </c>
      <c r="V1396" t="s">
        <v>123</v>
      </c>
      <c r="W1396" t="s">
        <v>124</v>
      </c>
      <c r="X1396" t="s">
        <v>58</v>
      </c>
      <c r="Y1396">
        <v>15</v>
      </c>
      <c r="Z1396" t="s">
        <v>59</v>
      </c>
      <c r="AA1396" t="s">
        <v>59</v>
      </c>
      <c r="AB1396" t="s">
        <v>59</v>
      </c>
      <c r="AC1396" t="s">
        <v>59</v>
      </c>
      <c r="AD1396" t="s">
        <v>59</v>
      </c>
      <c r="AF1396" s="1">
        <v>43367</v>
      </c>
      <c r="AG1396" t="s">
        <v>125</v>
      </c>
      <c r="AH1396" t="s">
        <v>126</v>
      </c>
      <c r="AI1396" t="str">
        <f>"1701041"</f>
        <v>1701041</v>
      </c>
      <c r="AJ1396" t="s">
        <v>161</v>
      </c>
      <c r="AK1396">
        <v>2810327052</v>
      </c>
      <c r="AL1396" t="s">
        <v>162</v>
      </c>
      <c r="AM1396" t="s">
        <v>78</v>
      </c>
      <c r="AN1396" t="s">
        <v>78</v>
      </c>
      <c r="AO1396" t="s">
        <v>78</v>
      </c>
      <c r="AP1396" t="s">
        <v>163</v>
      </c>
      <c r="AQ1396">
        <v>5</v>
      </c>
      <c r="AR1396" t="s">
        <v>123</v>
      </c>
      <c r="AS1396" t="s">
        <v>124</v>
      </c>
      <c r="AT1396" t="s">
        <v>58</v>
      </c>
      <c r="AU1396" t="s">
        <v>2396</v>
      </c>
      <c r="AV1396" t="s">
        <v>132</v>
      </c>
      <c r="AW1396" s="1">
        <v>30116</v>
      </c>
      <c r="AX1396">
        <v>2</v>
      </c>
    </row>
    <row r="1397" spans="1:50">
      <c r="A1397">
        <v>195330</v>
      </c>
      <c r="B1397" t="str">
        <f>"066455261"</f>
        <v>066455261</v>
      </c>
      <c r="C1397" t="s">
        <v>50</v>
      </c>
      <c r="D1397" t="s">
        <v>3157</v>
      </c>
      <c r="E1397" t="s">
        <v>1074</v>
      </c>
      <c r="F1397" t="s">
        <v>99</v>
      </c>
      <c r="G1397" t="s">
        <v>83</v>
      </c>
      <c r="H1397" t="str">
        <f>"ΠΑΥΛΟΥ ΜΕΛΑ 2 ΗΡΑΚΛΕΙΟΥ"</f>
        <v>ΠΑΥΛΟΥ ΜΕΛΑ 2 ΗΡΑΚΛΕΙΟΥ</v>
      </c>
      <c r="I1397">
        <v>71601</v>
      </c>
      <c r="J1397">
        <v>2811107574</v>
      </c>
      <c r="K1397">
        <v>6974475077</v>
      </c>
      <c r="L1397">
        <v>2894022127</v>
      </c>
      <c r="M1397" t="s">
        <v>3179</v>
      </c>
      <c r="N1397" t="s">
        <v>146</v>
      </c>
      <c r="O1397" t="s">
        <v>147</v>
      </c>
      <c r="R1397" t="s">
        <v>57</v>
      </c>
      <c r="S1397">
        <v>14</v>
      </c>
      <c r="T1397">
        <v>194</v>
      </c>
      <c r="U1397" s="1">
        <v>37497</v>
      </c>
      <c r="V1397" t="s">
        <v>123</v>
      </c>
      <c r="W1397" t="s">
        <v>124</v>
      </c>
      <c r="X1397" t="s">
        <v>58</v>
      </c>
      <c r="Y1397">
        <v>20</v>
      </c>
      <c r="Z1397" t="s">
        <v>59</v>
      </c>
      <c r="AA1397" t="s">
        <v>59</v>
      </c>
      <c r="AB1397" t="s">
        <v>59</v>
      </c>
      <c r="AC1397" t="s">
        <v>59</v>
      </c>
      <c r="AD1397" t="s">
        <v>59</v>
      </c>
      <c r="AF1397" s="1">
        <v>37501</v>
      </c>
      <c r="AG1397" t="s">
        <v>148</v>
      </c>
      <c r="AH1397" t="s">
        <v>149</v>
      </c>
      <c r="AI1397" t="str">
        <f>"1751052"</f>
        <v>1751052</v>
      </c>
      <c r="AJ1397" t="s">
        <v>328</v>
      </c>
      <c r="AK1397">
        <v>2810213762</v>
      </c>
      <c r="AL1397" t="s">
        <v>329</v>
      </c>
      <c r="AM1397" t="s">
        <v>78</v>
      </c>
      <c r="AN1397" t="s">
        <v>78</v>
      </c>
      <c r="AO1397" t="s">
        <v>78</v>
      </c>
      <c r="AP1397" t="s">
        <v>163</v>
      </c>
      <c r="AQ1397">
        <v>8</v>
      </c>
      <c r="AR1397" t="s">
        <v>123</v>
      </c>
      <c r="AS1397" t="s">
        <v>124</v>
      </c>
      <c r="AT1397" t="s">
        <v>58</v>
      </c>
      <c r="AU1397" t="s">
        <v>68</v>
      </c>
      <c r="AV1397" t="s">
        <v>69</v>
      </c>
      <c r="AW1397" s="1">
        <v>27339</v>
      </c>
      <c r="AX1397">
        <v>2</v>
      </c>
    </row>
    <row r="1398" spans="1:50">
      <c r="A1398">
        <v>224204</v>
      </c>
      <c r="B1398" t="str">
        <f>"128334049"</f>
        <v>128334049</v>
      </c>
      <c r="C1398" t="s">
        <v>50</v>
      </c>
      <c r="D1398" t="s">
        <v>3157</v>
      </c>
      <c r="E1398" t="s">
        <v>3180</v>
      </c>
      <c r="F1398" t="s">
        <v>53</v>
      </c>
      <c r="G1398" t="s">
        <v>250</v>
      </c>
      <c r="H1398" t="str">
        <f>"ΠΑΥΣΑΝΙΟΥ 1 ΘΕΡΙΣΣΟΣ"</f>
        <v>ΠΑΥΣΑΝΙΟΥ 1 ΘΕΡΙΣΣΟΣ</v>
      </c>
      <c r="I1398">
        <v>71305</v>
      </c>
      <c r="J1398">
        <v>2810253326</v>
      </c>
      <c r="K1398">
        <v>6936855350</v>
      </c>
      <c r="M1398" t="s">
        <v>3181</v>
      </c>
      <c r="N1398" t="s">
        <v>306</v>
      </c>
      <c r="O1398" t="s">
        <v>307</v>
      </c>
      <c r="P1398" t="s">
        <v>1116</v>
      </c>
      <c r="Q1398" t="s">
        <v>1117</v>
      </c>
      <c r="R1398" t="s">
        <v>57</v>
      </c>
      <c r="S1398">
        <v>7</v>
      </c>
      <c r="T1398">
        <v>775</v>
      </c>
      <c r="U1398" s="1">
        <v>39680</v>
      </c>
      <c r="V1398" t="s">
        <v>123</v>
      </c>
      <c r="W1398" t="s">
        <v>124</v>
      </c>
      <c r="X1398" t="s">
        <v>58</v>
      </c>
      <c r="Y1398">
        <v>21</v>
      </c>
      <c r="Z1398" t="s">
        <v>59</v>
      </c>
      <c r="AA1398" t="s">
        <v>59</v>
      </c>
      <c r="AB1398" t="s">
        <v>59</v>
      </c>
      <c r="AC1398" t="s">
        <v>59</v>
      </c>
      <c r="AD1398" t="s">
        <v>59</v>
      </c>
      <c r="AF1398" s="1">
        <v>39682</v>
      </c>
      <c r="AG1398" t="s">
        <v>137</v>
      </c>
      <c r="AH1398" t="s">
        <v>138</v>
      </c>
      <c r="AI1398" t="str">
        <f>"1740300"</f>
        <v>1740300</v>
      </c>
      <c r="AJ1398" t="s">
        <v>1274</v>
      </c>
      <c r="AK1398">
        <v>2892022100</v>
      </c>
      <c r="AL1398" t="s">
        <v>1275</v>
      </c>
      <c r="AM1398" t="s">
        <v>78</v>
      </c>
      <c r="AN1398" t="s">
        <v>242</v>
      </c>
      <c r="AO1398" t="s">
        <v>243</v>
      </c>
      <c r="AP1398" t="s">
        <v>243</v>
      </c>
      <c r="AQ1398">
        <v>33</v>
      </c>
      <c r="AR1398" t="s">
        <v>123</v>
      </c>
      <c r="AS1398" t="s">
        <v>124</v>
      </c>
      <c r="AT1398" t="s">
        <v>58</v>
      </c>
      <c r="AU1398" t="s">
        <v>68</v>
      </c>
      <c r="AV1398" t="s">
        <v>69</v>
      </c>
      <c r="AW1398" s="1">
        <v>30786</v>
      </c>
      <c r="AX1398">
        <v>2</v>
      </c>
    </row>
    <row r="1399" spans="1:50">
      <c r="A1399">
        <v>193171</v>
      </c>
      <c r="B1399" t="str">
        <f>"053802262"</f>
        <v>053802262</v>
      </c>
      <c r="C1399" t="s">
        <v>50</v>
      </c>
      <c r="D1399" t="s">
        <v>3157</v>
      </c>
      <c r="E1399" t="s">
        <v>1235</v>
      </c>
      <c r="F1399" t="s">
        <v>95</v>
      </c>
      <c r="G1399" t="s">
        <v>83</v>
      </c>
      <c r="H1399" t="str">
        <f>" "</f>
        <v xml:space="preserve"> </v>
      </c>
      <c r="J1399">
        <v>2810315810</v>
      </c>
      <c r="L1399">
        <v>2810254856</v>
      </c>
      <c r="M1399" t="s">
        <v>3182</v>
      </c>
      <c r="N1399" t="s">
        <v>146</v>
      </c>
      <c r="O1399" t="s">
        <v>147</v>
      </c>
      <c r="R1399" t="s">
        <v>57</v>
      </c>
      <c r="S1399">
        <v>10</v>
      </c>
      <c r="T1399">
        <v>193</v>
      </c>
      <c r="U1399" s="1">
        <v>37497</v>
      </c>
      <c r="V1399" t="s">
        <v>123</v>
      </c>
      <c r="W1399" t="s">
        <v>124</v>
      </c>
      <c r="X1399" t="s">
        <v>58</v>
      </c>
      <c r="Y1399">
        <v>18</v>
      </c>
      <c r="Z1399" t="s">
        <v>59</v>
      </c>
      <c r="AA1399" t="s">
        <v>59</v>
      </c>
      <c r="AB1399" t="s">
        <v>59</v>
      </c>
      <c r="AC1399" t="s">
        <v>59</v>
      </c>
      <c r="AD1399" t="s">
        <v>59</v>
      </c>
      <c r="AF1399" s="1">
        <v>37502</v>
      </c>
      <c r="AG1399" t="s">
        <v>125</v>
      </c>
      <c r="AH1399" t="s">
        <v>126</v>
      </c>
      <c r="AI1399" t="str">
        <f>"1701054"</f>
        <v>1701054</v>
      </c>
      <c r="AJ1399" t="s">
        <v>318</v>
      </c>
      <c r="AK1399">
        <v>2810252418</v>
      </c>
      <c r="AL1399" t="s">
        <v>319</v>
      </c>
      <c r="AM1399" t="s">
        <v>78</v>
      </c>
      <c r="AN1399" t="s">
        <v>78</v>
      </c>
      <c r="AO1399" t="s">
        <v>78</v>
      </c>
      <c r="AP1399" t="s">
        <v>141</v>
      </c>
      <c r="AQ1399">
        <v>7</v>
      </c>
      <c r="AR1399" t="s">
        <v>123</v>
      </c>
      <c r="AS1399" t="s">
        <v>124</v>
      </c>
      <c r="AT1399" t="s">
        <v>58</v>
      </c>
      <c r="AU1399" t="s">
        <v>68</v>
      </c>
      <c r="AV1399" t="s">
        <v>69</v>
      </c>
      <c r="AW1399" s="1">
        <v>24985</v>
      </c>
      <c r="AX1399">
        <v>2</v>
      </c>
    </row>
    <row r="1400" spans="1:50">
      <c r="A1400">
        <v>203832</v>
      </c>
      <c r="B1400" t="str">
        <f>"039455937"</f>
        <v>039455937</v>
      </c>
      <c r="C1400" t="s">
        <v>50</v>
      </c>
      <c r="D1400" t="s">
        <v>3157</v>
      </c>
      <c r="E1400" t="s">
        <v>54</v>
      </c>
      <c r="F1400" t="s">
        <v>166</v>
      </c>
      <c r="G1400" t="s">
        <v>580</v>
      </c>
      <c r="H1400" t="str">
        <f>"ΦΙΛΙΑΣ 1 ΚΑΙ ΦΙΛΕΛΛΗΝΩΝ "</f>
        <v xml:space="preserve">ΦΙΛΙΑΣ 1 ΚΑΙ ΦΙΛΕΛΛΗΝΩΝ </v>
      </c>
      <c r="I1400">
        <v>71307</v>
      </c>
      <c r="J1400">
        <v>2810324518</v>
      </c>
      <c r="K1400">
        <v>6944782115</v>
      </c>
      <c r="M1400" t="s">
        <v>3183</v>
      </c>
      <c r="N1400" t="s">
        <v>257</v>
      </c>
      <c r="O1400" t="s">
        <v>258</v>
      </c>
      <c r="R1400" t="s">
        <v>57</v>
      </c>
      <c r="S1400">
        <v>12</v>
      </c>
      <c r="T1400">
        <v>231</v>
      </c>
      <c r="U1400" s="1">
        <v>38230</v>
      </c>
      <c r="V1400" t="s">
        <v>123</v>
      </c>
      <c r="W1400" t="s">
        <v>124</v>
      </c>
      <c r="X1400" t="s">
        <v>58</v>
      </c>
      <c r="Y1400">
        <v>20</v>
      </c>
      <c r="Z1400" t="s">
        <v>59</v>
      </c>
      <c r="AA1400" t="s">
        <v>59</v>
      </c>
      <c r="AB1400" t="s">
        <v>59</v>
      </c>
      <c r="AC1400" t="s">
        <v>59</v>
      </c>
      <c r="AD1400" t="s">
        <v>59</v>
      </c>
      <c r="AF1400" s="1">
        <v>38233</v>
      </c>
      <c r="AG1400" t="s">
        <v>125</v>
      </c>
      <c r="AH1400" t="s">
        <v>126</v>
      </c>
      <c r="AI1400" t="str">
        <f>"1701053"</f>
        <v>1701053</v>
      </c>
      <c r="AJ1400" t="s">
        <v>398</v>
      </c>
      <c r="AK1400">
        <v>2810251434</v>
      </c>
      <c r="AL1400" t="s">
        <v>399</v>
      </c>
      <c r="AM1400" t="s">
        <v>78</v>
      </c>
      <c r="AN1400" t="s">
        <v>78</v>
      </c>
      <c r="AO1400" t="s">
        <v>78</v>
      </c>
      <c r="AP1400" t="s">
        <v>141</v>
      </c>
      <c r="AQ1400">
        <v>7</v>
      </c>
      <c r="AR1400" t="s">
        <v>123</v>
      </c>
      <c r="AS1400" t="s">
        <v>124</v>
      </c>
      <c r="AT1400" t="s">
        <v>58</v>
      </c>
      <c r="AU1400" t="s">
        <v>68</v>
      </c>
      <c r="AV1400" t="s">
        <v>69</v>
      </c>
      <c r="AW1400" s="1">
        <v>23953</v>
      </c>
      <c r="AX1400">
        <v>2</v>
      </c>
    </row>
    <row r="1401" spans="1:50">
      <c r="B1401" t="str">
        <f>"064118297"</f>
        <v>064118297</v>
      </c>
      <c r="C1401" t="s">
        <v>50</v>
      </c>
      <c r="D1401" t="s">
        <v>3157</v>
      </c>
      <c r="E1401" t="s">
        <v>335</v>
      </c>
      <c r="F1401" t="s">
        <v>72</v>
      </c>
      <c r="G1401" t="s">
        <v>553</v>
      </c>
      <c r="H1401" t="str">
        <f>" "</f>
        <v xml:space="preserve"> </v>
      </c>
      <c r="M1401" t="s">
        <v>3184</v>
      </c>
      <c r="N1401" t="s">
        <v>536</v>
      </c>
      <c r="O1401" t="s">
        <v>537</v>
      </c>
      <c r="R1401" t="s">
        <v>121</v>
      </c>
      <c r="S1401">
        <v>3</v>
      </c>
      <c r="T1401" t="s">
        <v>122</v>
      </c>
      <c r="U1401" s="1">
        <v>43348</v>
      </c>
      <c r="V1401" t="s">
        <v>123</v>
      </c>
      <c r="W1401" t="s">
        <v>124</v>
      </c>
      <c r="X1401" t="s">
        <v>58</v>
      </c>
      <c r="Y1401">
        <v>23</v>
      </c>
      <c r="Z1401" t="s">
        <v>59</v>
      </c>
      <c r="AA1401" t="s">
        <v>59</v>
      </c>
      <c r="AB1401" t="s">
        <v>59</v>
      </c>
      <c r="AD1401" t="s">
        <v>59</v>
      </c>
      <c r="AF1401" s="1">
        <v>43348</v>
      </c>
      <c r="AG1401" t="s">
        <v>148</v>
      </c>
      <c r="AH1401" t="s">
        <v>149</v>
      </c>
      <c r="AI1401" t="str">
        <f>"1754010"</f>
        <v>1754010</v>
      </c>
      <c r="AJ1401" t="s">
        <v>1167</v>
      </c>
      <c r="AK1401">
        <v>2895022277</v>
      </c>
      <c r="AL1401" t="s">
        <v>1168</v>
      </c>
      <c r="AM1401" t="s">
        <v>78</v>
      </c>
      <c r="AN1401" t="s">
        <v>482</v>
      </c>
      <c r="AO1401" t="s">
        <v>482</v>
      </c>
      <c r="AP1401" t="s">
        <v>483</v>
      </c>
      <c r="AQ1401">
        <v>16</v>
      </c>
      <c r="AR1401" t="s">
        <v>123</v>
      </c>
      <c r="AS1401" t="s">
        <v>124</v>
      </c>
      <c r="AT1401" t="s">
        <v>58</v>
      </c>
      <c r="AU1401" t="s">
        <v>131</v>
      </c>
      <c r="AV1401" t="s">
        <v>132</v>
      </c>
      <c r="AW1401" s="1">
        <v>28117</v>
      </c>
      <c r="AX1401">
        <v>2</v>
      </c>
    </row>
    <row r="1402" spans="1:50">
      <c r="A1402">
        <v>205801</v>
      </c>
      <c r="B1402" t="str">
        <f>"068142528"</f>
        <v>068142528</v>
      </c>
      <c r="C1402" t="s">
        <v>50</v>
      </c>
      <c r="D1402" t="s">
        <v>3185</v>
      </c>
      <c r="E1402" t="s">
        <v>2555</v>
      </c>
      <c r="F1402" t="s">
        <v>166</v>
      </c>
      <c r="G1402" t="s">
        <v>3186</v>
      </c>
      <c r="H1402" t="str">
        <f>" "</f>
        <v xml:space="preserve"> </v>
      </c>
      <c r="J1402">
        <v>2892051554</v>
      </c>
      <c r="M1402" t="s">
        <v>3187</v>
      </c>
      <c r="N1402" t="s">
        <v>2004</v>
      </c>
      <c r="O1402" t="s">
        <v>2005</v>
      </c>
      <c r="R1402" t="s">
        <v>57</v>
      </c>
      <c r="S1402">
        <v>11</v>
      </c>
      <c r="T1402">
        <v>231</v>
      </c>
      <c r="U1402" s="1">
        <v>38230</v>
      </c>
      <c r="V1402" t="s">
        <v>123</v>
      </c>
      <c r="W1402" t="s">
        <v>124</v>
      </c>
      <c r="X1402" t="s">
        <v>58</v>
      </c>
      <c r="Y1402">
        <v>18</v>
      </c>
      <c r="Z1402" t="s">
        <v>59</v>
      </c>
      <c r="AA1402" t="s">
        <v>59</v>
      </c>
      <c r="AB1402" t="s">
        <v>59</v>
      </c>
      <c r="AC1402" t="s">
        <v>59</v>
      </c>
      <c r="AD1402" t="s">
        <v>59</v>
      </c>
      <c r="AF1402" s="1">
        <v>38232</v>
      </c>
      <c r="AG1402" t="s">
        <v>137</v>
      </c>
      <c r="AH1402" t="s">
        <v>138</v>
      </c>
      <c r="AI1402" t="str">
        <f>"1740300"</f>
        <v>1740300</v>
      </c>
      <c r="AJ1402" t="s">
        <v>1274</v>
      </c>
      <c r="AK1402">
        <v>2892022100</v>
      </c>
      <c r="AL1402" t="s">
        <v>1275</v>
      </c>
      <c r="AM1402" t="s">
        <v>78</v>
      </c>
      <c r="AN1402" t="s">
        <v>242</v>
      </c>
      <c r="AO1402" t="s">
        <v>243</v>
      </c>
      <c r="AP1402" t="s">
        <v>243</v>
      </c>
      <c r="AQ1402">
        <v>33</v>
      </c>
      <c r="AR1402" t="s">
        <v>123</v>
      </c>
      <c r="AS1402" t="s">
        <v>124</v>
      </c>
      <c r="AT1402" t="s">
        <v>58</v>
      </c>
      <c r="AU1402" t="s">
        <v>68</v>
      </c>
      <c r="AV1402" t="s">
        <v>69</v>
      </c>
      <c r="AW1402" s="1">
        <v>19681</v>
      </c>
      <c r="AX1402">
        <v>2</v>
      </c>
    </row>
    <row r="1403" spans="1:50">
      <c r="A1403">
        <v>195680</v>
      </c>
      <c r="B1403" t="str">
        <f>"103528847"</f>
        <v>103528847</v>
      </c>
      <c r="C1403" t="s">
        <v>50</v>
      </c>
      <c r="D1403" t="s">
        <v>3188</v>
      </c>
      <c r="E1403" t="s">
        <v>181</v>
      </c>
      <c r="F1403" t="s">
        <v>72</v>
      </c>
      <c r="G1403" t="s">
        <v>787</v>
      </c>
      <c r="H1403" t="str">
        <f>"ΣΠΑΡΤΗΣ 7 "</f>
        <v xml:space="preserve">ΣΠΑΡΤΗΣ 7 </v>
      </c>
      <c r="I1403">
        <v>71409</v>
      </c>
      <c r="J1403">
        <v>2810324191</v>
      </c>
      <c r="K1403">
        <v>6985561318</v>
      </c>
      <c r="M1403" t="s">
        <v>3189</v>
      </c>
      <c r="N1403" t="s">
        <v>199</v>
      </c>
      <c r="O1403" t="s">
        <v>200</v>
      </c>
      <c r="R1403" t="s">
        <v>57</v>
      </c>
      <c r="S1403">
        <v>8</v>
      </c>
      <c r="T1403">
        <v>194</v>
      </c>
      <c r="U1403" s="1">
        <v>37497</v>
      </c>
      <c r="V1403" t="s">
        <v>123</v>
      </c>
      <c r="W1403" t="s">
        <v>124</v>
      </c>
      <c r="X1403" t="s">
        <v>58</v>
      </c>
      <c r="Y1403">
        <v>20</v>
      </c>
      <c r="Z1403" t="s">
        <v>59</v>
      </c>
      <c r="AA1403" t="s">
        <v>59</v>
      </c>
      <c r="AB1403" t="s">
        <v>59</v>
      </c>
      <c r="AC1403" t="s">
        <v>59</v>
      </c>
      <c r="AD1403" t="s">
        <v>59</v>
      </c>
      <c r="AF1403" s="1">
        <v>37501</v>
      </c>
      <c r="AG1403" t="s">
        <v>125</v>
      </c>
      <c r="AH1403" t="s">
        <v>126</v>
      </c>
      <c r="AI1403" t="str">
        <f>"1701020"</f>
        <v>1701020</v>
      </c>
      <c r="AJ1403" t="s">
        <v>323</v>
      </c>
      <c r="AK1403">
        <v>2810252111</v>
      </c>
      <c r="AL1403" t="s">
        <v>324</v>
      </c>
      <c r="AM1403" t="s">
        <v>78</v>
      </c>
      <c r="AN1403" t="s">
        <v>78</v>
      </c>
      <c r="AO1403" t="s">
        <v>78</v>
      </c>
      <c r="AP1403" t="s">
        <v>163</v>
      </c>
      <c r="AQ1403">
        <v>3</v>
      </c>
      <c r="AR1403" t="s">
        <v>123</v>
      </c>
      <c r="AS1403" t="s">
        <v>124</v>
      </c>
      <c r="AT1403" t="s">
        <v>58</v>
      </c>
      <c r="AU1403" t="s">
        <v>68</v>
      </c>
      <c r="AV1403" t="s">
        <v>69</v>
      </c>
      <c r="AW1403" s="1">
        <v>23496</v>
      </c>
      <c r="AX1403">
        <v>2</v>
      </c>
    </row>
    <row r="1404" spans="1:50">
      <c r="A1404">
        <v>173865</v>
      </c>
      <c r="B1404" t="str">
        <f>"030326103"</f>
        <v>030326103</v>
      </c>
      <c r="C1404" t="s">
        <v>105</v>
      </c>
      <c r="D1404" t="s">
        <v>3190</v>
      </c>
      <c r="E1404" t="s">
        <v>760</v>
      </c>
      <c r="F1404" t="s">
        <v>72</v>
      </c>
      <c r="G1404" t="s">
        <v>52</v>
      </c>
      <c r="H1404" t="str">
        <f>" "</f>
        <v xml:space="preserve"> </v>
      </c>
      <c r="N1404" t="s">
        <v>232</v>
      </c>
      <c r="O1404" t="s">
        <v>233</v>
      </c>
      <c r="R1404" t="s">
        <v>57</v>
      </c>
      <c r="S1404">
        <v>14</v>
      </c>
      <c r="T1404">
        <v>166</v>
      </c>
      <c r="U1404" s="1">
        <v>35300</v>
      </c>
      <c r="V1404" t="s">
        <v>123</v>
      </c>
      <c r="W1404" t="s">
        <v>124</v>
      </c>
      <c r="X1404" t="s">
        <v>58</v>
      </c>
      <c r="Y1404">
        <v>18</v>
      </c>
      <c r="Z1404" t="s">
        <v>59</v>
      </c>
      <c r="AA1404" t="s">
        <v>59</v>
      </c>
      <c r="AB1404" t="s">
        <v>59</v>
      </c>
      <c r="AC1404" t="s">
        <v>59</v>
      </c>
      <c r="AD1404" t="s">
        <v>59</v>
      </c>
      <c r="AF1404" s="1">
        <v>35300</v>
      </c>
      <c r="AG1404" t="s">
        <v>148</v>
      </c>
      <c r="AH1404" t="s">
        <v>149</v>
      </c>
      <c r="AI1404" t="str">
        <f>"1751020"</f>
        <v>1751020</v>
      </c>
      <c r="AJ1404" t="s">
        <v>532</v>
      </c>
      <c r="AK1404">
        <v>2810372732</v>
      </c>
      <c r="AL1404" t="s">
        <v>533</v>
      </c>
      <c r="AM1404" t="s">
        <v>78</v>
      </c>
      <c r="AN1404" t="s">
        <v>78</v>
      </c>
      <c r="AO1404" t="s">
        <v>78</v>
      </c>
      <c r="AP1404" t="s">
        <v>163</v>
      </c>
      <c r="AQ1404">
        <v>3</v>
      </c>
      <c r="AR1404" t="s">
        <v>123</v>
      </c>
      <c r="AS1404" t="s">
        <v>124</v>
      </c>
      <c r="AT1404" t="s">
        <v>58</v>
      </c>
      <c r="AU1404" t="s">
        <v>68</v>
      </c>
      <c r="AV1404" t="s">
        <v>69</v>
      </c>
      <c r="AW1404" s="1">
        <v>22617</v>
      </c>
      <c r="AX1404">
        <v>2</v>
      </c>
    </row>
    <row r="1405" spans="1:50">
      <c r="A1405">
        <v>207354</v>
      </c>
      <c r="B1405" t="str">
        <f>"044810092"</f>
        <v>044810092</v>
      </c>
      <c r="C1405" t="s">
        <v>105</v>
      </c>
      <c r="D1405" t="s">
        <v>3190</v>
      </c>
      <c r="E1405" t="s">
        <v>95</v>
      </c>
      <c r="F1405" t="s">
        <v>72</v>
      </c>
      <c r="G1405" t="s">
        <v>255</v>
      </c>
      <c r="H1405" t="str">
        <f>" "</f>
        <v xml:space="preserve"> </v>
      </c>
      <c r="J1405">
        <v>2810259704</v>
      </c>
      <c r="K1405">
        <v>6978889722</v>
      </c>
      <c r="M1405" t="s">
        <v>3191</v>
      </c>
      <c r="N1405" t="s">
        <v>232</v>
      </c>
      <c r="O1405" t="s">
        <v>233</v>
      </c>
      <c r="R1405" t="s">
        <v>57</v>
      </c>
      <c r="S1405">
        <v>8</v>
      </c>
      <c r="T1405">
        <v>218</v>
      </c>
      <c r="U1405" s="1">
        <v>38596</v>
      </c>
      <c r="V1405" t="s">
        <v>123</v>
      </c>
      <c r="W1405" t="s">
        <v>124</v>
      </c>
      <c r="X1405" t="s">
        <v>58</v>
      </c>
      <c r="Y1405">
        <v>20</v>
      </c>
      <c r="Z1405" t="s">
        <v>59</v>
      </c>
      <c r="AA1405" t="s">
        <v>59</v>
      </c>
      <c r="AB1405" t="s">
        <v>59</v>
      </c>
      <c r="AC1405" t="s">
        <v>59</v>
      </c>
      <c r="AD1405" t="s">
        <v>59</v>
      </c>
      <c r="AF1405" s="1">
        <v>38600</v>
      </c>
      <c r="AG1405" t="s">
        <v>125</v>
      </c>
      <c r="AH1405" t="s">
        <v>126</v>
      </c>
      <c r="AI1405" t="str">
        <f>"1701040"</f>
        <v>1701040</v>
      </c>
      <c r="AJ1405" t="s">
        <v>748</v>
      </c>
      <c r="AK1405">
        <v>2810252459</v>
      </c>
      <c r="AL1405" t="s">
        <v>749</v>
      </c>
      <c r="AM1405" t="s">
        <v>78</v>
      </c>
      <c r="AN1405" t="s">
        <v>78</v>
      </c>
      <c r="AO1405" t="s">
        <v>78</v>
      </c>
      <c r="AP1405" t="s">
        <v>141</v>
      </c>
      <c r="AQ1405">
        <v>3</v>
      </c>
      <c r="AR1405" t="s">
        <v>123</v>
      </c>
      <c r="AS1405" t="s">
        <v>124</v>
      </c>
      <c r="AT1405" t="s">
        <v>58</v>
      </c>
      <c r="AU1405" t="s">
        <v>68</v>
      </c>
      <c r="AV1405" t="s">
        <v>357</v>
      </c>
      <c r="AW1405" s="1">
        <v>23321</v>
      </c>
      <c r="AX1405">
        <v>2</v>
      </c>
    </row>
    <row r="1406" spans="1:50">
      <c r="A1406">
        <v>174603</v>
      </c>
      <c r="B1406" t="str">
        <f>"039053660"</f>
        <v>039053660</v>
      </c>
      <c r="C1406" t="s">
        <v>105</v>
      </c>
      <c r="D1406" t="s">
        <v>3190</v>
      </c>
      <c r="E1406" t="s">
        <v>95</v>
      </c>
      <c r="F1406" t="s">
        <v>53</v>
      </c>
      <c r="G1406" t="s">
        <v>411</v>
      </c>
      <c r="H1406" t="str">
        <f>" "</f>
        <v xml:space="preserve"> </v>
      </c>
      <c r="J1406">
        <v>2813012184</v>
      </c>
      <c r="N1406" t="s">
        <v>168</v>
      </c>
      <c r="O1406" t="s">
        <v>169</v>
      </c>
      <c r="R1406" t="s">
        <v>57</v>
      </c>
      <c r="S1406">
        <v>14</v>
      </c>
      <c r="T1406">
        <v>166</v>
      </c>
      <c r="U1406" s="1">
        <v>35300</v>
      </c>
      <c r="V1406" t="s">
        <v>123</v>
      </c>
      <c r="W1406" t="s">
        <v>124</v>
      </c>
      <c r="X1406" t="s">
        <v>58</v>
      </c>
      <c r="Y1406">
        <v>18</v>
      </c>
      <c r="Z1406" t="s">
        <v>59</v>
      </c>
      <c r="AA1406" t="s">
        <v>59</v>
      </c>
      <c r="AB1406" t="s">
        <v>59</v>
      </c>
      <c r="AC1406" t="s">
        <v>59</v>
      </c>
      <c r="AD1406" t="s">
        <v>59</v>
      </c>
      <c r="AF1406" s="1">
        <v>35310</v>
      </c>
      <c r="AG1406" t="s">
        <v>137</v>
      </c>
      <c r="AH1406" t="s">
        <v>138</v>
      </c>
      <c r="AI1406" t="str">
        <f>"1750080"</f>
        <v>1750080</v>
      </c>
      <c r="AJ1406" t="s">
        <v>170</v>
      </c>
      <c r="AK1406">
        <v>2810234444</v>
      </c>
      <c r="AL1406" t="s">
        <v>171</v>
      </c>
      <c r="AM1406" t="s">
        <v>78</v>
      </c>
      <c r="AN1406" t="s">
        <v>78</v>
      </c>
      <c r="AO1406" t="s">
        <v>78</v>
      </c>
      <c r="AP1406" t="s">
        <v>163</v>
      </c>
      <c r="AQ1406">
        <v>9</v>
      </c>
      <c r="AR1406" t="s">
        <v>123</v>
      </c>
      <c r="AS1406" t="s">
        <v>124</v>
      </c>
      <c r="AT1406" t="s">
        <v>58</v>
      </c>
      <c r="AU1406" t="s">
        <v>68</v>
      </c>
      <c r="AV1406" t="s">
        <v>69</v>
      </c>
      <c r="AW1406" s="1">
        <v>23635</v>
      </c>
      <c r="AX1406">
        <v>2</v>
      </c>
    </row>
    <row r="1407" spans="1:50">
      <c r="A1407">
        <v>226168</v>
      </c>
      <c r="B1407" t="str">
        <f>"073785319"</f>
        <v>073785319</v>
      </c>
      <c r="C1407" t="s">
        <v>105</v>
      </c>
      <c r="D1407" t="s">
        <v>3190</v>
      </c>
      <c r="E1407" t="s">
        <v>3192</v>
      </c>
      <c r="F1407" t="s">
        <v>989</v>
      </c>
      <c r="G1407" t="s">
        <v>52</v>
      </c>
      <c r="H1407" t="str">
        <f>"Δ.Δ. ΚΟΥΝΑΒΩΝ ΠΕΔΙΑΔΟΣ "</f>
        <v xml:space="preserve">Δ.Δ. ΚΟΥΝΑΒΩΝ ΠΕΔΙΑΔΟΣ </v>
      </c>
      <c r="I1407">
        <v>70100</v>
      </c>
      <c r="J1407">
        <v>2810742359</v>
      </c>
      <c r="K1407">
        <v>6973624473</v>
      </c>
      <c r="L1407">
        <v>2810318976</v>
      </c>
      <c r="M1407" t="s">
        <v>3193</v>
      </c>
      <c r="N1407" t="s">
        <v>337</v>
      </c>
      <c r="O1407" t="s">
        <v>338</v>
      </c>
      <c r="R1407" t="s">
        <v>57</v>
      </c>
      <c r="S1407">
        <v>10</v>
      </c>
      <c r="T1407">
        <v>652</v>
      </c>
      <c r="U1407" s="1">
        <v>40043</v>
      </c>
      <c r="V1407" t="s">
        <v>123</v>
      </c>
      <c r="W1407" t="s">
        <v>124</v>
      </c>
      <c r="X1407" t="s">
        <v>58</v>
      </c>
      <c r="Y1407">
        <v>21</v>
      </c>
      <c r="Z1407" t="s">
        <v>59</v>
      </c>
      <c r="AA1407" t="s">
        <v>59</v>
      </c>
      <c r="AB1407" t="s">
        <v>59</v>
      </c>
      <c r="AC1407" t="s">
        <v>59</v>
      </c>
      <c r="AD1407" t="s">
        <v>59</v>
      </c>
      <c r="AF1407" s="1">
        <v>40046</v>
      </c>
      <c r="AG1407" t="s">
        <v>125</v>
      </c>
      <c r="AH1407" t="s">
        <v>126</v>
      </c>
      <c r="AI1407" t="str">
        <f>"1706010"</f>
        <v>1706010</v>
      </c>
      <c r="AJ1407" t="s">
        <v>391</v>
      </c>
      <c r="AK1407">
        <v>2892022286</v>
      </c>
      <c r="AL1407" t="s">
        <v>392</v>
      </c>
      <c r="AM1407" t="s">
        <v>78</v>
      </c>
      <c r="AN1407" t="s">
        <v>242</v>
      </c>
      <c r="AO1407" t="s">
        <v>243</v>
      </c>
      <c r="AP1407" t="s">
        <v>243</v>
      </c>
      <c r="AQ1407">
        <v>33</v>
      </c>
      <c r="AR1407" t="s">
        <v>123</v>
      </c>
      <c r="AS1407" t="s">
        <v>124</v>
      </c>
      <c r="AT1407" t="s">
        <v>58</v>
      </c>
      <c r="AU1407" t="s">
        <v>68</v>
      </c>
      <c r="AV1407" t="s">
        <v>69</v>
      </c>
      <c r="AW1407" s="1">
        <v>28037</v>
      </c>
      <c r="AX1407">
        <v>2</v>
      </c>
    </row>
    <row r="1408" spans="1:50">
      <c r="A1408">
        <v>173866</v>
      </c>
      <c r="B1408" t="str">
        <f>"040390711"</f>
        <v>040390711</v>
      </c>
      <c r="C1408" t="s">
        <v>105</v>
      </c>
      <c r="D1408" t="s">
        <v>3190</v>
      </c>
      <c r="E1408" t="s">
        <v>72</v>
      </c>
      <c r="F1408" t="s">
        <v>900</v>
      </c>
      <c r="G1408" t="s">
        <v>52</v>
      </c>
      <c r="H1408" t="str">
        <f>"ΣΑΚΛΑΜΠΑΝΗ 8 ΗΡΑΚΛΕΙΟΥ"</f>
        <v>ΣΑΚΛΑΜΠΑΝΗ 8 ΗΡΑΚΛΕΙΟΥ</v>
      </c>
      <c r="I1408">
        <v>71305</v>
      </c>
      <c r="J1408">
        <v>2810315524</v>
      </c>
      <c r="K1408">
        <v>6936647724</v>
      </c>
      <c r="M1408" t="s">
        <v>3194</v>
      </c>
      <c r="N1408" t="s">
        <v>232</v>
      </c>
      <c r="O1408" t="s">
        <v>233</v>
      </c>
      <c r="R1408" t="s">
        <v>57</v>
      </c>
      <c r="S1408">
        <v>18</v>
      </c>
      <c r="T1408">
        <v>166</v>
      </c>
      <c r="U1408" s="1">
        <v>35300</v>
      </c>
      <c r="V1408" t="s">
        <v>123</v>
      </c>
      <c r="W1408" t="s">
        <v>124</v>
      </c>
      <c r="X1408" t="s">
        <v>58</v>
      </c>
      <c r="Y1408">
        <v>18</v>
      </c>
      <c r="Z1408" t="s">
        <v>59</v>
      </c>
      <c r="AA1408" t="s">
        <v>59</v>
      </c>
      <c r="AB1408" t="s">
        <v>59</v>
      </c>
      <c r="AC1408" t="s">
        <v>59</v>
      </c>
      <c r="AD1408" t="s">
        <v>59</v>
      </c>
      <c r="AF1408" s="1">
        <v>35310</v>
      </c>
      <c r="AG1408" t="s">
        <v>148</v>
      </c>
      <c r="AH1408" t="s">
        <v>149</v>
      </c>
      <c r="AI1408" t="str">
        <f>"1751052"</f>
        <v>1751052</v>
      </c>
      <c r="AJ1408" t="s">
        <v>328</v>
      </c>
      <c r="AK1408">
        <v>2810213762</v>
      </c>
      <c r="AL1408" t="s">
        <v>329</v>
      </c>
      <c r="AM1408" t="s">
        <v>78</v>
      </c>
      <c r="AN1408" t="s">
        <v>78</v>
      </c>
      <c r="AO1408" t="s">
        <v>78</v>
      </c>
      <c r="AP1408" t="s">
        <v>163</v>
      </c>
      <c r="AQ1408">
        <v>8</v>
      </c>
      <c r="AR1408" t="s">
        <v>123</v>
      </c>
      <c r="AS1408" t="s">
        <v>124</v>
      </c>
      <c r="AT1408" t="s">
        <v>58</v>
      </c>
      <c r="AU1408" t="s">
        <v>68</v>
      </c>
      <c r="AV1408" t="s">
        <v>69</v>
      </c>
      <c r="AW1408" s="1">
        <v>22178</v>
      </c>
      <c r="AX1408">
        <v>2</v>
      </c>
    </row>
    <row r="1409" spans="1:50">
      <c r="A1409">
        <v>217094</v>
      </c>
      <c r="B1409" t="str">
        <f>"041840367"</f>
        <v>041840367</v>
      </c>
      <c r="C1409" t="s">
        <v>105</v>
      </c>
      <c r="D1409" t="s">
        <v>3190</v>
      </c>
      <c r="E1409" t="s">
        <v>99</v>
      </c>
      <c r="F1409" t="s">
        <v>309</v>
      </c>
      <c r="G1409" t="s">
        <v>263</v>
      </c>
      <c r="H1409" t="str">
        <f>"ΑΝΙΣΑΡΑΣ ΧΕΡΣΟΝΗΣΟΣ"</f>
        <v>ΑΝΙΣΑΡΑΣ ΧΕΡΣΟΝΗΣΟΣ</v>
      </c>
      <c r="I1409">
        <v>70014</v>
      </c>
      <c r="J1409">
        <v>2810314198</v>
      </c>
      <c r="K1409">
        <v>6944886490</v>
      </c>
      <c r="M1409" t="s">
        <v>3195</v>
      </c>
      <c r="N1409" t="s">
        <v>337</v>
      </c>
      <c r="O1409" t="s">
        <v>338</v>
      </c>
      <c r="R1409" t="s">
        <v>57</v>
      </c>
      <c r="S1409">
        <v>7</v>
      </c>
      <c r="T1409">
        <v>298</v>
      </c>
      <c r="U1409" s="1">
        <v>38985</v>
      </c>
      <c r="V1409" t="s">
        <v>123</v>
      </c>
      <c r="W1409" t="s">
        <v>124</v>
      </c>
      <c r="X1409" t="s">
        <v>58</v>
      </c>
      <c r="Y1409">
        <v>20</v>
      </c>
      <c r="Z1409" t="s">
        <v>59</v>
      </c>
      <c r="AA1409" t="s">
        <v>59</v>
      </c>
      <c r="AB1409" t="s">
        <v>59</v>
      </c>
      <c r="AC1409" t="s">
        <v>59</v>
      </c>
      <c r="AD1409" t="s">
        <v>59</v>
      </c>
      <c r="AF1409" s="1">
        <v>38986</v>
      </c>
      <c r="AG1409" t="s">
        <v>125</v>
      </c>
      <c r="AH1409" t="s">
        <v>294</v>
      </c>
      <c r="AI1409" t="str">
        <f>"1701015"</f>
        <v>1701015</v>
      </c>
      <c r="AJ1409" t="s">
        <v>295</v>
      </c>
      <c r="AK1409">
        <v>2810761696</v>
      </c>
      <c r="AL1409" t="s">
        <v>296</v>
      </c>
      <c r="AM1409" t="s">
        <v>78</v>
      </c>
      <c r="AN1409" t="s">
        <v>219</v>
      </c>
      <c r="AO1409" t="s">
        <v>297</v>
      </c>
      <c r="AP1409" t="s">
        <v>297</v>
      </c>
      <c r="AQ1409">
        <v>10</v>
      </c>
      <c r="AR1409" t="s">
        <v>123</v>
      </c>
      <c r="AS1409" t="s">
        <v>124</v>
      </c>
      <c r="AT1409" t="s">
        <v>58</v>
      </c>
      <c r="AU1409" t="s">
        <v>68</v>
      </c>
      <c r="AV1409" t="s">
        <v>69</v>
      </c>
      <c r="AW1409" s="1">
        <v>23691</v>
      </c>
      <c r="AX1409">
        <v>2</v>
      </c>
    </row>
    <row r="1410" spans="1:50">
      <c r="A1410">
        <v>217231</v>
      </c>
      <c r="B1410" t="str">
        <f>"046383964"</f>
        <v>046383964</v>
      </c>
      <c r="C1410" t="s">
        <v>105</v>
      </c>
      <c r="D1410" t="s">
        <v>3190</v>
      </c>
      <c r="E1410" t="s">
        <v>99</v>
      </c>
      <c r="F1410" t="s">
        <v>166</v>
      </c>
      <c r="G1410" t="s">
        <v>215</v>
      </c>
      <c r="H1410" t="str">
        <f>"ΜΙΧΑΗΛ ΑΡΧΑΓΓΕΛΟΥ 64 ΗΡΑΚΛΕΙΟ"</f>
        <v>ΜΙΧΑΗΛ ΑΡΧΑΓΓΕΛΟΥ 64 ΗΡΑΚΛΕΙΟ</v>
      </c>
      <c r="J1410">
        <v>2813008144</v>
      </c>
      <c r="K1410">
        <v>6977204837</v>
      </c>
      <c r="M1410" t="s">
        <v>3196</v>
      </c>
      <c r="N1410" t="s">
        <v>337</v>
      </c>
      <c r="O1410" t="s">
        <v>338</v>
      </c>
      <c r="R1410" t="s">
        <v>57</v>
      </c>
      <c r="S1410">
        <v>6</v>
      </c>
      <c r="T1410">
        <v>254</v>
      </c>
      <c r="U1410" s="1">
        <v>38973</v>
      </c>
      <c r="V1410" t="s">
        <v>123</v>
      </c>
      <c r="W1410" t="s">
        <v>124</v>
      </c>
      <c r="X1410" t="s">
        <v>58</v>
      </c>
      <c r="Y1410">
        <v>20</v>
      </c>
      <c r="Z1410" t="s">
        <v>59</v>
      </c>
      <c r="AA1410" t="s">
        <v>59</v>
      </c>
      <c r="AB1410" t="s">
        <v>59</v>
      </c>
      <c r="AC1410" t="s">
        <v>59</v>
      </c>
      <c r="AD1410" t="s">
        <v>59</v>
      </c>
      <c r="AF1410" s="1">
        <v>38975</v>
      </c>
      <c r="AG1410" t="s">
        <v>125</v>
      </c>
      <c r="AH1410" t="s">
        <v>126</v>
      </c>
      <c r="AI1410" t="str">
        <f>"1701020"</f>
        <v>1701020</v>
      </c>
      <c r="AJ1410" t="s">
        <v>323</v>
      </c>
      <c r="AK1410">
        <v>2810252111</v>
      </c>
      <c r="AL1410" t="s">
        <v>324</v>
      </c>
      <c r="AM1410" t="s">
        <v>78</v>
      </c>
      <c r="AN1410" t="s">
        <v>78</v>
      </c>
      <c r="AO1410" t="s">
        <v>78</v>
      </c>
      <c r="AP1410" t="s">
        <v>163</v>
      </c>
      <c r="AQ1410">
        <v>3</v>
      </c>
      <c r="AR1410" t="s">
        <v>123</v>
      </c>
      <c r="AS1410" t="s">
        <v>124</v>
      </c>
      <c r="AT1410" t="s">
        <v>58</v>
      </c>
      <c r="AU1410" t="s">
        <v>68</v>
      </c>
      <c r="AV1410" t="s">
        <v>69</v>
      </c>
      <c r="AW1410" s="1">
        <v>25663</v>
      </c>
      <c r="AX1410">
        <v>2</v>
      </c>
    </row>
    <row r="1411" spans="1:50">
      <c r="A1411">
        <v>173867</v>
      </c>
      <c r="B1411" t="str">
        <f>"030172865"</f>
        <v>030172865</v>
      </c>
      <c r="C1411" t="s">
        <v>105</v>
      </c>
      <c r="D1411" t="s">
        <v>3190</v>
      </c>
      <c r="E1411" t="s">
        <v>1543</v>
      </c>
      <c r="F1411" t="s">
        <v>72</v>
      </c>
      <c r="G1411" t="s">
        <v>181</v>
      </c>
      <c r="H1411" t="str">
        <f>" "</f>
        <v xml:space="preserve"> </v>
      </c>
      <c r="M1411" t="s">
        <v>3197</v>
      </c>
      <c r="N1411" t="s">
        <v>232</v>
      </c>
      <c r="O1411" t="s">
        <v>233</v>
      </c>
      <c r="R1411" t="s">
        <v>57</v>
      </c>
      <c r="S1411">
        <v>10</v>
      </c>
      <c r="T1411">
        <v>166</v>
      </c>
      <c r="U1411" s="1">
        <v>35300</v>
      </c>
      <c r="V1411" t="s">
        <v>123</v>
      </c>
      <c r="W1411" t="s">
        <v>124</v>
      </c>
      <c r="X1411" t="s">
        <v>58</v>
      </c>
      <c r="Y1411">
        <v>20</v>
      </c>
      <c r="Z1411" t="s">
        <v>59</v>
      </c>
      <c r="AA1411" t="s">
        <v>59</v>
      </c>
      <c r="AB1411" t="s">
        <v>59</v>
      </c>
      <c r="AC1411" t="s">
        <v>59</v>
      </c>
      <c r="AD1411" t="s">
        <v>59</v>
      </c>
      <c r="AF1411" s="1">
        <v>35300</v>
      </c>
      <c r="AG1411" t="s">
        <v>137</v>
      </c>
      <c r="AH1411" t="s">
        <v>469</v>
      </c>
      <c r="AI1411" t="str">
        <f>"1740200"</f>
        <v>1740200</v>
      </c>
      <c r="AJ1411" t="s">
        <v>470</v>
      </c>
      <c r="AK1411">
        <v>2810320770</v>
      </c>
      <c r="AL1411" t="s">
        <v>471</v>
      </c>
      <c r="AM1411" t="s">
        <v>78</v>
      </c>
      <c r="AN1411" t="s">
        <v>78</v>
      </c>
      <c r="AO1411" t="s">
        <v>78</v>
      </c>
      <c r="AP1411" t="s">
        <v>163</v>
      </c>
      <c r="AQ1411">
        <v>2</v>
      </c>
      <c r="AR1411" t="s">
        <v>123</v>
      </c>
      <c r="AS1411" t="s">
        <v>124</v>
      </c>
      <c r="AT1411" t="s">
        <v>58</v>
      </c>
      <c r="AU1411" t="s">
        <v>68</v>
      </c>
      <c r="AV1411" t="s">
        <v>69</v>
      </c>
      <c r="AW1411" s="1">
        <v>19136</v>
      </c>
      <c r="AX1411">
        <v>2</v>
      </c>
    </row>
    <row r="1412" spans="1:50">
      <c r="A1412">
        <v>205473</v>
      </c>
      <c r="B1412" t="str">
        <f>"114566163"</f>
        <v>114566163</v>
      </c>
      <c r="C1412" t="s">
        <v>105</v>
      </c>
      <c r="D1412" t="s">
        <v>3190</v>
      </c>
      <c r="E1412" t="s">
        <v>1357</v>
      </c>
      <c r="F1412" t="s">
        <v>995</v>
      </c>
      <c r="G1412" t="s">
        <v>83</v>
      </c>
      <c r="H1412" t="str">
        <f>"ΕΡΓΟΤΕΛΟΥΣ 66 ΗΡΑΚΛΕΙΟ"</f>
        <v>ΕΡΓΟΤΕΛΟΥΣ 66 ΗΡΑΚΛΕΙΟ</v>
      </c>
      <c r="I1412">
        <v>71305</v>
      </c>
      <c r="J1412">
        <v>2810370316</v>
      </c>
      <c r="K1412">
        <v>6973467370</v>
      </c>
      <c r="M1412" t="s">
        <v>3198</v>
      </c>
      <c r="N1412" t="s">
        <v>204</v>
      </c>
      <c r="O1412" t="s">
        <v>205</v>
      </c>
      <c r="R1412" t="s">
        <v>57</v>
      </c>
      <c r="S1412">
        <v>9</v>
      </c>
      <c r="T1412">
        <v>231</v>
      </c>
      <c r="U1412" s="1">
        <v>38230</v>
      </c>
      <c r="V1412" t="s">
        <v>123</v>
      </c>
      <c r="W1412" t="s">
        <v>124</v>
      </c>
      <c r="X1412" t="s">
        <v>58</v>
      </c>
      <c r="Y1412">
        <v>20</v>
      </c>
      <c r="Z1412" t="s">
        <v>59</v>
      </c>
      <c r="AA1412" t="s">
        <v>59</v>
      </c>
      <c r="AB1412" t="s">
        <v>59</v>
      </c>
      <c r="AC1412" t="s">
        <v>59</v>
      </c>
      <c r="AD1412" t="s">
        <v>59</v>
      </c>
      <c r="AF1412" s="1">
        <v>38231</v>
      </c>
      <c r="AG1412" t="s">
        <v>137</v>
      </c>
      <c r="AH1412" t="s">
        <v>138</v>
      </c>
      <c r="AI1412" t="str">
        <f>"1740100"</f>
        <v>1740100</v>
      </c>
      <c r="AJ1412" t="s">
        <v>857</v>
      </c>
      <c r="AK1412">
        <v>2810360741</v>
      </c>
      <c r="AL1412" t="s">
        <v>858</v>
      </c>
      <c r="AM1412" t="s">
        <v>78</v>
      </c>
      <c r="AN1412" t="s">
        <v>78</v>
      </c>
      <c r="AO1412" t="s">
        <v>78</v>
      </c>
      <c r="AP1412" t="s">
        <v>163</v>
      </c>
      <c r="AQ1412">
        <v>5</v>
      </c>
      <c r="AR1412" t="s">
        <v>123</v>
      </c>
      <c r="AS1412" t="s">
        <v>124</v>
      </c>
      <c r="AT1412" t="s">
        <v>58</v>
      </c>
      <c r="AU1412" t="s">
        <v>68</v>
      </c>
      <c r="AV1412" t="s">
        <v>69</v>
      </c>
      <c r="AW1412" s="1">
        <v>28618</v>
      </c>
      <c r="AX1412">
        <v>2</v>
      </c>
    </row>
    <row r="1413" spans="1:50">
      <c r="A1413">
        <v>221236</v>
      </c>
      <c r="B1413" t="str">
        <f>"047214183"</f>
        <v>047214183</v>
      </c>
      <c r="C1413" t="s">
        <v>105</v>
      </c>
      <c r="D1413" t="s">
        <v>3190</v>
      </c>
      <c r="E1413" t="s">
        <v>106</v>
      </c>
      <c r="F1413" t="s">
        <v>72</v>
      </c>
      <c r="G1413" t="s">
        <v>255</v>
      </c>
      <c r="H1413" t="str">
        <f>" "</f>
        <v xml:space="preserve"> </v>
      </c>
      <c r="J1413">
        <v>2810263653</v>
      </c>
      <c r="K1413">
        <v>6946717375</v>
      </c>
      <c r="N1413" t="s">
        <v>299</v>
      </c>
      <c r="O1413" t="s">
        <v>300</v>
      </c>
      <c r="R1413" t="s">
        <v>57</v>
      </c>
      <c r="S1413">
        <v>5</v>
      </c>
      <c r="T1413">
        <v>691</v>
      </c>
      <c r="U1413" s="1">
        <v>39331</v>
      </c>
      <c r="V1413" t="s">
        <v>123</v>
      </c>
      <c r="W1413" t="s">
        <v>124</v>
      </c>
      <c r="X1413" t="s">
        <v>58</v>
      </c>
      <c r="Y1413">
        <v>21</v>
      </c>
      <c r="Z1413" t="s">
        <v>59</v>
      </c>
      <c r="AA1413" t="s">
        <v>59</v>
      </c>
      <c r="AB1413" t="s">
        <v>59</v>
      </c>
      <c r="AC1413" t="s">
        <v>59</v>
      </c>
      <c r="AD1413" t="s">
        <v>59</v>
      </c>
      <c r="AF1413" s="1">
        <v>39335</v>
      </c>
      <c r="AG1413" t="s">
        <v>148</v>
      </c>
      <c r="AH1413" t="s">
        <v>149</v>
      </c>
      <c r="AI1413" t="str">
        <f>"1751030"</f>
        <v>1751030</v>
      </c>
      <c r="AJ1413" t="s">
        <v>234</v>
      </c>
      <c r="AK1413">
        <v>2810282911</v>
      </c>
      <c r="AL1413" t="s">
        <v>235</v>
      </c>
      <c r="AM1413" t="s">
        <v>78</v>
      </c>
      <c r="AN1413" t="s">
        <v>78</v>
      </c>
      <c r="AO1413" t="s">
        <v>78</v>
      </c>
      <c r="AP1413" t="s">
        <v>163</v>
      </c>
      <c r="AQ1413">
        <v>1</v>
      </c>
      <c r="AR1413" t="s">
        <v>123</v>
      </c>
      <c r="AS1413" t="s">
        <v>124</v>
      </c>
      <c r="AT1413" t="s">
        <v>58</v>
      </c>
      <c r="AU1413" t="s">
        <v>68</v>
      </c>
      <c r="AV1413" t="s">
        <v>69</v>
      </c>
      <c r="AW1413" s="1">
        <v>25381</v>
      </c>
      <c r="AX1413">
        <v>2</v>
      </c>
    </row>
    <row r="1414" spans="1:50">
      <c r="A1414">
        <v>215647</v>
      </c>
      <c r="B1414" t="str">
        <f>"059693550"</f>
        <v>059693550</v>
      </c>
      <c r="C1414" t="s">
        <v>105</v>
      </c>
      <c r="D1414" t="s">
        <v>3190</v>
      </c>
      <c r="E1414" t="s">
        <v>53</v>
      </c>
      <c r="F1414" t="s">
        <v>989</v>
      </c>
      <c r="G1414" t="s">
        <v>52</v>
      </c>
      <c r="H1414" t="str">
        <f>"ΑΝΕΜΟΜΥΛΟΣ ΑΡΧΑΝΕΣ"</f>
        <v>ΑΝΕΜΟΜΥΛΟΣ ΑΡΧΑΝΕΣ</v>
      </c>
      <c r="I1414">
        <v>70100</v>
      </c>
      <c r="J1414">
        <v>2813006416</v>
      </c>
      <c r="K1414">
        <v>6937071130</v>
      </c>
      <c r="M1414" t="s">
        <v>3199</v>
      </c>
      <c r="N1414" t="s">
        <v>204</v>
      </c>
      <c r="O1414" t="s">
        <v>205</v>
      </c>
      <c r="P1414" t="s">
        <v>331</v>
      </c>
      <c r="Q1414" t="s">
        <v>332</v>
      </c>
      <c r="R1414" t="s">
        <v>57</v>
      </c>
      <c r="S1414">
        <v>6</v>
      </c>
      <c r="T1414">
        <v>231</v>
      </c>
      <c r="U1414" s="1">
        <v>38960</v>
      </c>
      <c r="V1414" t="s">
        <v>123</v>
      </c>
      <c r="W1414" t="s">
        <v>124</v>
      </c>
      <c r="X1414" t="s">
        <v>58</v>
      </c>
      <c r="Y1414">
        <v>21</v>
      </c>
      <c r="Z1414" t="s">
        <v>59</v>
      </c>
      <c r="AA1414" t="s">
        <v>59</v>
      </c>
      <c r="AB1414" t="s">
        <v>59</v>
      </c>
      <c r="AC1414" t="s">
        <v>59</v>
      </c>
      <c r="AD1414" t="s">
        <v>59</v>
      </c>
      <c r="AF1414" s="1">
        <v>38960</v>
      </c>
      <c r="AG1414" t="s">
        <v>137</v>
      </c>
      <c r="AH1414" t="s">
        <v>138</v>
      </c>
      <c r="AI1414" t="str">
        <f>"1740070"</f>
        <v>1740070</v>
      </c>
      <c r="AJ1414" t="s">
        <v>206</v>
      </c>
      <c r="AK1414">
        <v>2810324880</v>
      </c>
      <c r="AL1414" t="s">
        <v>207</v>
      </c>
      <c r="AM1414" t="s">
        <v>78</v>
      </c>
      <c r="AN1414" t="s">
        <v>78</v>
      </c>
      <c r="AO1414" t="s">
        <v>78</v>
      </c>
      <c r="AP1414" t="s">
        <v>163</v>
      </c>
      <c r="AQ1414">
        <v>9</v>
      </c>
      <c r="AR1414" t="s">
        <v>123</v>
      </c>
      <c r="AS1414" t="s">
        <v>124</v>
      </c>
      <c r="AT1414" t="s">
        <v>58</v>
      </c>
      <c r="AU1414" t="s">
        <v>68</v>
      </c>
      <c r="AV1414" t="s">
        <v>69</v>
      </c>
      <c r="AW1414" s="1">
        <v>26454</v>
      </c>
      <c r="AX1414">
        <v>2</v>
      </c>
    </row>
    <row r="1415" spans="1:50">
      <c r="A1415">
        <v>161269</v>
      </c>
      <c r="B1415" t="str">
        <f>"034262536"</f>
        <v>034262536</v>
      </c>
      <c r="C1415" t="s">
        <v>105</v>
      </c>
      <c r="D1415" t="s">
        <v>3190</v>
      </c>
      <c r="E1415" t="s">
        <v>111</v>
      </c>
      <c r="F1415" t="s">
        <v>99</v>
      </c>
      <c r="G1415" t="s">
        <v>473</v>
      </c>
      <c r="H1415" t="str">
        <f>"ΣΟΚΑΡΑΣ ΜΟΝΟΦΑΤΣΙΟΥ ΣΟΚΑΡΑΣ"</f>
        <v>ΣΟΚΑΡΑΣ ΜΟΝΟΦΑΤΣΙΟΥ ΣΟΚΑΡΑΣ</v>
      </c>
      <c r="I1415">
        <v>70016</v>
      </c>
      <c r="J1415">
        <v>2893032164</v>
      </c>
      <c r="K1415">
        <v>6973862565</v>
      </c>
      <c r="L1415">
        <v>2893022145</v>
      </c>
      <c r="M1415" t="s">
        <v>576</v>
      </c>
      <c r="N1415" t="s">
        <v>257</v>
      </c>
      <c r="O1415" t="s">
        <v>258</v>
      </c>
      <c r="R1415" t="s">
        <v>57</v>
      </c>
      <c r="S1415">
        <v>13</v>
      </c>
      <c r="T1415">
        <v>161</v>
      </c>
      <c r="U1415" s="1">
        <v>33119</v>
      </c>
      <c r="V1415" t="s">
        <v>123</v>
      </c>
      <c r="W1415" t="s">
        <v>124</v>
      </c>
      <c r="X1415" t="s">
        <v>58</v>
      </c>
      <c r="Y1415">
        <v>18</v>
      </c>
      <c r="Z1415" t="s">
        <v>59</v>
      </c>
      <c r="AA1415" t="s">
        <v>59</v>
      </c>
      <c r="AB1415" t="s">
        <v>59</v>
      </c>
      <c r="AC1415" t="s">
        <v>59</v>
      </c>
      <c r="AD1415" t="s">
        <v>59</v>
      </c>
      <c r="AF1415" s="1">
        <v>33120</v>
      </c>
      <c r="AG1415" t="s">
        <v>148</v>
      </c>
      <c r="AH1415" t="s">
        <v>149</v>
      </c>
      <c r="AI1415" t="str">
        <f>"1790100"</f>
        <v>1790100</v>
      </c>
      <c r="AJ1415" t="s">
        <v>252</v>
      </c>
      <c r="AK1415">
        <v>2810234876</v>
      </c>
      <c r="AL1415" t="s">
        <v>253</v>
      </c>
      <c r="AM1415" t="s">
        <v>78</v>
      </c>
      <c r="AN1415" t="s">
        <v>78</v>
      </c>
      <c r="AO1415" t="s">
        <v>78</v>
      </c>
      <c r="AP1415" t="s">
        <v>163</v>
      </c>
      <c r="AQ1415">
        <v>5</v>
      </c>
      <c r="AR1415" t="s">
        <v>123</v>
      </c>
      <c r="AS1415" t="s">
        <v>124</v>
      </c>
      <c r="AT1415" t="s">
        <v>58</v>
      </c>
      <c r="AU1415" t="s">
        <v>68</v>
      </c>
      <c r="AV1415" t="s">
        <v>69</v>
      </c>
      <c r="AW1415" s="1">
        <v>21763</v>
      </c>
      <c r="AX1415">
        <v>2</v>
      </c>
    </row>
    <row r="1416" spans="1:50">
      <c r="A1416">
        <v>188096</v>
      </c>
      <c r="B1416" t="str">
        <f>"064337482"</f>
        <v>064337482</v>
      </c>
      <c r="C1416" t="s">
        <v>105</v>
      </c>
      <c r="D1416" t="s">
        <v>3190</v>
      </c>
      <c r="E1416" t="s">
        <v>1320</v>
      </c>
      <c r="F1416" t="s">
        <v>72</v>
      </c>
      <c r="G1416" t="s">
        <v>3200</v>
      </c>
      <c r="H1416" t="str">
        <f>"ΜΝΗΣΙΚΛΗ 38 ΚΟΡΩΝΗ ΜΑΓΑΡΑ"</f>
        <v>ΜΝΗΣΙΚΛΗ 38 ΚΟΡΩΝΗ ΜΑΓΑΡΑ</v>
      </c>
      <c r="I1416">
        <v>71305</v>
      </c>
      <c r="J1416">
        <v>2810316286</v>
      </c>
      <c r="K1416">
        <v>6972764917</v>
      </c>
      <c r="M1416" t="s">
        <v>3201</v>
      </c>
      <c r="N1416" t="s">
        <v>204</v>
      </c>
      <c r="O1416" t="s">
        <v>205</v>
      </c>
      <c r="R1416" t="s">
        <v>57</v>
      </c>
      <c r="S1416">
        <v>15</v>
      </c>
      <c r="T1416">
        <v>251</v>
      </c>
      <c r="U1416" s="1">
        <v>36769</v>
      </c>
      <c r="V1416" t="s">
        <v>123</v>
      </c>
      <c r="W1416" t="s">
        <v>124</v>
      </c>
      <c r="X1416" t="s">
        <v>58</v>
      </c>
      <c r="Y1416">
        <v>20</v>
      </c>
      <c r="Z1416" t="s">
        <v>59</v>
      </c>
      <c r="AA1416" t="s">
        <v>59</v>
      </c>
      <c r="AB1416" t="s">
        <v>59</v>
      </c>
      <c r="AC1416" t="s">
        <v>59</v>
      </c>
      <c r="AD1416" t="s">
        <v>59</v>
      </c>
      <c r="AF1416" s="1">
        <v>36770</v>
      </c>
      <c r="AG1416" t="s">
        <v>148</v>
      </c>
      <c r="AH1416" t="s">
        <v>149</v>
      </c>
      <c r="AI1416" t="str">
        <f>"1751041"</f>
        <v>1751041</v>
      </c>
      <c r="AJ1416" t="s">
        <v>353</v>
      </c>
      <c r="AK1416">
        <v>2810230207</v>
      </c>
      <c r="AL1416" t="s">
        <v>354</v>
      </c>
      <c r="AM1416" t="s">
        <v>78</v>
      </c>
      <c r="AN1416" t="s">
        <v>78</v>
      </c>
      <c r="AO1416" t="s">
        <v>78</v>
      </c>
      <c r="AP1416" t="s">
        <v>163</v>
      </c>
      <c r="AQ1416">
        <v>2</v>
      </c>
      <c r="AR1416" t="s">
        <v>123</v>
      </c>
      <c r="AS1416" t="s">
        <v>124</v>
      </c>
      <c r="AT1416" t="s">
        <v>58</v>
      </c>
      <c r="AU1416" t="s">
        <v>68</v>
      </c>
      <c r="AV1416" t="s">
        <v>69</v>
      </c>
      <c r="AW1416" s="1">
        <v>27054</v>
      </c>
      <c r="AX1416">
        <v>2</v>
      </c>
    </row>
    <row r="1417" spans="1:50">
      <c r="A1417">
        <v>210986</v>
      </c>
      <c r="B1417" t="str">
        <f>"059984377"</f>
        <v>059984377</v>
      </c>
      <c r="C1417" t="s">
        <v>105</v>
      </c>
      <c r="D1417" t="s">
        <v>3190</v>
      </c>
      <c r="E1417" t="s">
        <v>920</v>
      </c>
      <c r="F1417" t="s">
        <v>693</v>
      </c>
      <c r="G1417" t="s">
        <v>109</v>
      </c>
      <c r="H1417" t="str">
        <f>"ΠΑΡΟΔΟΣ ΓΕΡΟΥΛΑΝΟΥ ΠΕΡΙΟΧΗ ΑΙ ΓΙΑΝΝΗΣ ΗΡΑΚΛΕΙΟ"</f>
        <v>ΠΑΡΟΔΟΣ ΓΕΡΟΥΛΑΝΟΥ ΠΕΡΙΟΧΗ ΑΙ ΓΙΑΝΝΗΣ ΗΡΑΚΛΕΙΟ</v>
      </c>
      <c r="I1417">
        <v>71409</v>
      </c>
      <c r="J1417">
        <v>2810211078</v>
      </c>
      <c r="K1417">
        <v>6936880531</v>
      </c>
      <c r="M1417" t="s">
        <v>3202</v>
      </c>
      <c r="N1417" t="s">
        <v>204</v>
      </c>
      <c r="O1417" t="s">
        <v>205</v>
      </c>
      <c r="R1417" t="s">
        <v>57</v>
      </c>
      <c r="S1417">
        <v>7</v>
      </c>
      <c r="T1417">
        <v>262</v>
      </c>
      <c r="U1417" s="1">
        <v>38629</v>
      </c>
      <c r="V1417" t="s">
        <v>123</v>
      </c>
      <c r="W1417" t="s">
        <v>124</v>
      </c>
      <c r="X1417" t="s">
        <v>58</v>
      </c>
      <c r="Y1417">
        <v>20</v>
      </c>
      <c r="Z1417" t="s">
        <v>59</v>
      </c>
      <c r="AA1417" t="s">
        <v>59</v>
      </c>
      <c r="AB1417" t="s">
        <v>59</v>
      </c>
      <c r="AC1417" t="s">
        <v>59</v>
      </c>
      <c r="AD1417" t="s">
        <v>59</v>
      </c>
      <c r="AF1417" s="1">
        <v>38631</v>
      </c>
      <c r="AG1417" t="s">
        <v>148</v>
      </c>
      <c r="AH1417" t="s">
        <v>149</v>
      </c>
      <c r="AI1417" t="str">
        <f>"1765010"</f>
        <v>1765010</v>
      </c>
      <c r="AJ1417" t="s">
        <v>803</v>
      </c>
      <c r="AK1417">
        <v>2893031093</v>
      </c>
      <c r="AL1417" t="s">
        <v>804</v>
      </c>
      <c r="AM1417" t="s">
        <v>78</v>
      </c>
      <c r="AN1417" t="s">
        <v>405</v>
      </c>
      <c r="AO1417" t="s">
        <v>805</v>
      </c>
      <c r="AP1417" t="s">
        <v>806</v>
      </c>
      <c r="AQ1417">
        <v>25</v>
      </c>
      <c r="AR1417" t="s">
        <v>123</v>
      </c>
      <c r="AS1417" t="s">
        <v>124</v>
      </c>
      <c r="AT1417" t="s">
        <v>58</v>
      </c>
      <c r="AU1417" t="s">
        <v>68</v>
      </c>
      <c r="AV1417" t="s">
        <v>69</v>
      </c>
      <c r="AW1417" s="1">
        <v>26919</v>
      </c>
      <c r="AX1417">
        <v>2</v>
      </c>
    </row>
    <row r="1418" spans="1:50">
      <c r="A1418">
        <v>703936</v>
      </c>
      <c r="B1418" t="str">
        <f>"100790764"</f>
        <v>100790764</v>
      </c>
      <c r="C1418" t="s">
        <v>105</v>
      </c>
      <c r="D1418" t="s">
        <v>3190</v>
      </c>
      <c r="E1418" t="s">
        <v>920</v>
      </c>
      <c r="F1418" t="s">
        <v>95</v>
      </c>
      <c r="G1418" t="s">
        <v>215</v>
      </c>
      <c r="H1418" t="str">
        <f>"ΜΕΣΟΧΩΡΙΟ ΜΟΝΟΦΑΤΣΙΟΥ"</f>
        <v>ΜΕΣΟΧΩΡΙΟ ΜΟΝΟΦΑΤΣΙΟΥ</v>
      </c>
      <c r="J1418">
        <v>2382028563</v>
      </c>
      <c r="K1418">
        <v>6977285441</v>
      </c>
      <c r="M1418" t="s">
        <v>3203</v>
      </c>
      <c r="N1418" t="s">
        <v>157</v>
      </c>
      <c r="O1418" t="s">
        <v>158</v>
      </c>
      <c r="P1418" t="s">
        <v>146</v>
      </c>
      <c r="Q1418" t="s">
        <v>147</v>
      </c>
      <c r="R1418" t="s">
        <v>57</v>
      </c>
      <c r="S1418">
        <v>7</v>
      </c>
      <c r="T1418" t="s">
        <v>3204</v>
      </c>
      <c r="U1418" s="1">
        <v>40413</v>
      </c>
      <c r="V1418" t="s">
        <v>123</v>
      </c>
      <c r="W1418" t="s">
        <v>124</v>
      </c>
      <c r="X1418" t="s">
        <v>58</v>
      </c>
      <c r="Y1418">
        <v>21</v>
      </c>
      <c r="Z1418" t="s">
        <v>59</v>
      </c>
      <c r="AA1418" t="s">
        <v>59</v>
      </c>
      <c r="AB1418" t="s">
        <v>59</v>
      </c>
      <c r="AC1418" t="s">
        <v>59</v>
      </c>
      <c r="AD1418" t="s">
        <v>59</v>
      </c>
      <c r="AF1418" s="1">
        <v>42716</v>
      </c>
      <c r="AG1418" t="s">
        <v>148</v>
      </c>
      <c r="AH1418" t="s">
        <v>149</v>
      </c>
      <c r="AI1418" t="str">
        <f>"1753010"</f>
        <v>1753010</v>
      </c>
      <c r="AJ1418" t="s">
        <v>571</v>
      </c>
      <c r="AK1418">
        <v>2810751528</v>
      </c>
      <c r="AL1418" t="s">
        <v>572</v>
      </c>
      <c r="AM1418" t="s">
        <v>78</v>
      </c>
      <c r="AN1418" t="s">
        <v>424</v>
      </c>
      <c r="AO1418" t="s">
        <v>425</v>
      </c>
      <c r="AP1418" t="s">
        <v>425</v>
      </c>
      <c r="AQ1418">
        <v>13</v>
      </c>
      <c r="AR1418" t="s">
        <v>123</v>
      </c>
      <c r="AS1418" t="s">
        <v>124</v>
      </c>
      <c r="AT1418" t="s">
        <v>58</v>
      </c>
      <c r="AU1418" t="s">
        <v>68</v>
      </c>
      <c r="AV1418" t="s">
        <v>69</v>
      </c>
      <c r="AW1418" s="1">
        <v>26388</v>
      </c>
      <c r="AX1418">
        <v>2</v>
      </c>
    </row>
    <row r="1419" spans="1:50">
      <c r="A1419">
        <v>170902</v>
      </c>
      <c r="B1419" t="str">
        <f>"031885224"</f>
        <v>031885224</v>
      </c>
      <c r="C1419" t="s">
        <v>50</v>
      </c>
      <c r="D1419" t="s">
        <v>3205</v>
      </c>
      <c r="E1419" t="s">
        <v>52</v>
      </c>
      <c r="F1419" t="s">
        <v>95</v>
      </c>
      <c r="G1419" t="s">
        <v>1207</v>
      </c>
      <c r="H1419" t="str">
        <f>"Μ. ΔΗΜΕΛΑ 38 ΓΛΥΦΑΔΑ ΑΤΤΙΚΗΣ"</f>
        <v>Μ. ΔΗΜΕΛΑ 38 ΓΛΥΦΑΔΑ ΑΤΤΙΚΗΣ</v>
      </c>
      <c r="I1419">
        <v>16674</v>
      </c>
      <c r="J1419">
        <v>2109626624</v>
      </c>
      <c r="K1419">
        <v>6977905040</v>
      </c>
      <c r="N1419" t="s">
        <v>478</v>
      </c>
      <c r="O1419" t="s">
        <v>479</v>
      </c>
      <c r="R1419" t="s">
        <v>57</v>
      </c>
      <c r="S1419">
        <v>11</v>
      </c>
      <c r="T1419">
        <v>184</v>
      </c>
      <c r="U1419" s="1">
        <v>34941</v>
      </c>
      <c r="V1419" t="s">
        <v>123</v>
      </c>
      <c r="W1419" t="s">
        <v>124</v>
      </c>
      <c r="X1419" t="s">
        <v>58</v>
      </c>
      <c r="Y1419">
        <v>18</v>
      </c>
      <c r="Z1419" t="s">
        <v>59</v>
      </c>
      <c r="AA1419" t="s">
        <v>59</v>
      </c>
      <c r="AB1419" t="s">
        <v>59</v>
      </c>
      <c r="AC1419" t="s">
        <v>59</v>
      </c>
      <c r="AD1419" t="s">
        <v>59</v>
      </c>
      <c r="AF1419" s="1">
        <v>34947</v>
      </c>
      <c r="AG1419" t="s">
        <v>148</v>
      </c>
      <c r="AH1419" t="s">
        <v>149</v>
      </c>
      <c r="AI1419" t="str">
        <f>"1751010"</f>
        <v>1751010</v>
      </c>
      <c r="AJ1419" t="s">
        <v>150</v>
      </c>
      <c r="AK1419">
        <v>2810346092</v>
      </c>
      <c r="AL1419" t="s">
        <v>151</v>
      </c>
      <c r="AM1419" t="s">
        <v>78</v>
      </c>
      <c r="AN1419" t="s">
        <v>78</v>
      </c>
      <c r="AO1419" t="s">
        <v>78</v>
      </c>
      <c r="AP1419" t="s">
        <v>79</v>
      </c>
      <c r="AQ1419">
        <v>1</v>
      </c>
      <c r="AR1419" t="s">
        <v>123</v>
      </c>
      <c r="AS1419" t="s">
        <v>124</v>
      </c>
      <c r="AT1419" t="s">
        <v>58</v>
      </c>
      <c r="AU1419" t="s">
        <v>68</v>
      </c>
      <c r="AV1419" t="s">
        <v>69</v>
      </c>
      <c r="AW1419" s="1">
        <v>21254</v>
      </c>
      <c r="AX1419">
        <v>2</v>
      </c>
    </row>
    <row r="1420" spans="1:50">
      <c r="A1420">
        <v>185986</v>
      </c>
      <c r="B1420" t="str">
        <f>"053674573"</f>
        <v>053674573</v>
      </c>
      <c r="C1420" t="s">
        <v>50</v>
      </c>
      <c r="D1420" t="s">
        <v>3206</v>
      </c>
      <c r="E1420" t="s">
        <v>221</v>
      </c>
      <c r="F1420" t="s">
        <v>95</v>
      </c>
      <c r="G1420" t="s">
        <v>52</v>
      </c>
      <c r="H1420" t="str">
        <f>"ΜΑΓΝΗΣΙΑΣ 8 ΗΡΑΚΛΕΙΟ"</f>
        <v>ΜΑΓΝΗΣΙΑΣ 8 ΗΡΑΚΛΕΙΟ</v>
      </c>
      <c r="I1420">
        <v>71305</v>
      </c>
      <c r="M1420" t="s">
        <v>3207</v>
      </c>
      <c r="N1420" t="s">
        <v>292</v>
      </c>
      <c r="O1420" t="s">
        <v>293</v>
      </c>
      <c r="R1420" t="s">
        <v>57</v>
      </c>
      <c r="S1420">
        <v>11</v>
      </c>
      <c r="T1420">
        <v>250</v>
      </c>
      <c r="U1420" s="1">
        <v>36769</v>
      </c>
      <c r="V1420" t="s">
        <v>123</v>
      </c>
      <c r="W1420" t="s">
        <v>124</v>
      </c>
      <c r="X1420" t="s">
        <v>58</v>
      </c>
      <c r="Y1420">
        <v>20</v>
      </c>
      <c r="Z1420" t="s">
        <v>59</v>
      </c>
      <c r="AA1420" t="s">
        <v>59</v>
      </c>
      <c r="AB1420" t="s">
        <v>59</v>
      </c>
      <c r="AC1420" t="s">
        <v>59</v>
      </c>
      <c r="AD1420" t="s">
        <v>59</v>
      </c>
      <c r="AF1420" s="1">
        <v>36774</v>
      </c>
      <c r="AG1420" t="s">
        <v>125</v>
      </c>
      <c r="AH1420" t="s">
        <v>126</v>
      </c>
      <c r="AI1420" t="str">
        <f>"1701050"</f>
        <v>1701050</v>
      </c>
      <c r="AJ1420" t="s">
        <v>660</v>
      </c>
      <c r="AK1420">
        <v>2810220729</v>
      </c>
      <c r="AL1420" t="s">
        <v>661</v>
      </c>
      <c r="AM1420" t="s">
        <v>78</v>
      </c>
      <c r="AN1420" t="s">
        <v>78</v>
      </c>
      <c r="AO1420" t="s">
        <v>78</v>
      </c>
      <c r="AP1420" t="s">
        <v>79</v>
      </c>
      <c r="AQ1420">
        <v>1</v>
      </c>
      <c r="AR1420" t="s">
        <v>123</v>
      </c>
      <c r="AS1420" t="s">
        <v>124</v>
      </c>
      <c r="AT1420" t="s">
        <v>58</v>
      </c>
      <c r="AU1420" t="s">
        <v>68</v>
      </c>
      <c r="AV1420" t="s">
        <v>69</v>
      </c>
      <c r="AW1420" s="1">
        <v>24013</v>
      </c>
      <c r="AX1420">
        <v>2</v>
      </c>
    </row>
    <row r="1421" spans="1:50">
      <c r="A1421">
        <v>184746</v>
      </c>
      <c r="B1421" t="str">
        <f>"044809880"</f>
        <v>044809880</v>
      </c>
      <c r="C1421" t="s">
        <v>50</v>
      </c>
      <c r="D1421" t="s">
        <v>3206</v>
      </c>
      <c r="E1421" t="s">
        <v>255</v>
      </c>
      <c r="F1421" t="s">
        <v>99</v>
      </c>
      <c r="G1421" t="s">
        <v>52</v>
      </c>
      <c r="H1421" t="str">
        <f>"ΧΑΛΚΗΔΟΝΟΣ 11 "</f>
        <v xml:space="preserve">ΧΑΛΚΗΔΟΝΟΣ 11 </v>
      </c>
      <c r="I1421">
        <v>71305</v>
      </c>
      <c r="J1421">
        <v>2815104540</v>
      </c>
      <c r="K1421">
        <v>6977096781</v>
      </c>
      <c r="M1421" t="s">
        <v>3208</v>
      </c>
      <c r="N1421" t="s">
        <v>257</v>
      </c>
      <c r="O1421" t="s">
        <v>258</v>
      </c>
      <c r="R1421" t="s">
        <v>57</v>
      </c>
      <c r="S1421">
        <v>10</v>
      </c>
      <c r="T1421">
        <v>177</v>
      </c>
      <c r="U1421" s="1">
        <v>36403</v>
      </c>
      <c r="V1421" t="s">
        <v>123</v>
      </c>
      <c r="W1421" t="s">
        <v>124</v>
      </c>
      <c r="X1421" t="s">
        <v>58</v>
      </c>
      <c r="Y1421">
        <v>20</v>
      </c>
      <c r="Z1421" t="s">
        <v>59</v>
      </c>
      <c r="AA1421" t="s">
        <v>59</v>
      </c>
      <c r="AB1421" t="s">
        <v>59</v>
      </c>
      <c r="AC1421" t="s">
        <v>59</v>
      </c>
      <c r="AD1421" t="s">
        <v>59</v>
      </c>
      <c r="AF1421" s="1">
        <v>36419</v>
      </c>
      <c r="AG1421" t="s">
        <v>125</v>
      </c>
      <c r="AH1421" t="s">
        <v>126</v>
      </c>
      <c r="AI1421" t="str">
        <f>"1701010"</f>
        <v>1701010</v>
      </c>
      <c r="AJ1421" t="s">
        <v>374</v>
      </c>
      <c r="AK1421">
        <v>2810227148</v>
      </c>
      <c r="AL1421" t="s">
        <v>375</v>
      </c>
      <c r="AM1421" t="s">
        <v>78</v>
      </c>
      <c r="AN1421" t="s">
        <v>78</v>
      </c>
      <c r="AO1421" t="s">
        <v>78</v>
      </c>
      <c r="AP1421" t="s">
        <v>79</v>
      </c>
      <c r="AQ1421">
        <v>1</v>
      </c>
      <c r="AR1421" t="s">
        <v>123</v>
      </c>
      <c r="AS1421" t="s">
        <v>124</v>
      </c>
      <c r="AT1421" t="s">
        <v>58</v>
      </c>
      <c r="AU1421" t="s">
        <v>68</v>
      </c>
      <c r="AV1421" t="s">
        <v>69</v>
      </c>
      <c r="AW1421" s="1">
        <v>22123</v>
      </c>
      <c r="AX1421">
        <v>2</v>
      </c>
    </row>
    <row r="1422" spans="1:50">
      <c r="B1422" t="str">
        <f>"132904140"</f>
        <v>132904140</v>
      </c>
      <c r="C1422" t="s">
        <v>50</v>
      </c>
      <c r="D1422" t="s">
        <v>3206</v>
      </c>
      <c r="E1422" t="s">
        <v>3209</v>
      </c>
      <c r="F1422" t="s">
        <v>95</v>
      </c>
      <c r="G1422" t="s">
        <v>52</v>
      </c>
      <c r="H1422" t="str">
        <f>"ΚΕΡΚΥΡΑΣ 24 ΜΥΤΙΛΗΝΗ"</f>
        <v>ΚΕΡΚΥΡΑΣ 24 ΜΥΤΙΛΗΝΗ</v>
      </c>
      <c r="I1422">
        <v>81100</v>
      </c>
      <c r="J1422">
        <v>2251041886</v>
      </c>
      <c r="K1422">
        <v>6942527521</v>
      </c>
      <c r="N1422" t="s">
        <v>536</v>
      </c>
      <c r="O1422" t="s">
        <v>537</v>
      </c>
      <c r="R1422" t="s">
        <v>159</v>
      </c>
      <c r="S1422">
        <v>5</v>
      </c>
      <c r="T1422" t="s">
        <v>344</v>
      </c>
      <c r="U1422" s="1">
        <v>43348</v>
      </c>
      <c r="V1422" t="s">
        <v>123</v>
      </c>
      <c r="W1422" t="s">
        <v>124</v>
      </c>
      <c r="X1422" t="s">
        <v>58</v>
      </c>
      <c r="Y1422">
        <v>21</v>
      </c>
      <c r="Z1422" t="s">
        <v>59</v>
      </c>
      <c r="AA1422" t="s">
        <v>59</v>
      </c>
      <c r="AB1422" t="s">
        <v>59</v>
      </c>
      <c r="AC1422" t="s">
        <v>59</v>
      </c>
      <c r="AD1422" t="s">
        <v>59</v>
      </c>
      <c r="AF1422" s="1">
        <v>43348</v>
      </c>
      <c r="AG1422" t="s">
        <v>345</v>
      </c>
      <c r="AH1422" t="s">
        <v>346</v>
      </c>
      <c r="AI1422" t="str">
        <f>"1759011"</f>
        <v>1759011</v>
      </c>
      <c r="AJ1422" t="s">
        <v>347</v>
      </c>
      <c r="AK1422">
        <v>2892051103</v>
      </c>
      <c r="AL1422" t="s">
        <v>348</v>
      </c>
      <c r="AM1422" t="s">
        <v>78</v>
      </c>
      <c r="AN1422" t="s">
        <v>242</v>
      </c>
      <c r="AO1422" t="s">
        <v>349</v>
      </c>
      <c r="AP1422" t="s">
        <v>349</v>
      </c>
      <c r="AQ1422">
        <v>38</v>
      </c>
      <c r="AR1422" t="s">
        <v>123</v>
      </c>
      <c r="AS1422" t="s">
        <v>124</v>
      </c>
      <c r="AT1422" t="s">
        <v>58</v>
      </c>
      <c r="AU1422" t="s">
        <v>350</v>
      </c>
      <c r="AV1422" t="s">
        <v>132</v>
      </c>
      <c r="AW1422" s="1">
        <v>31404</v>
      </c>
      <c r="AX1422">
        <v>2</v>
      </c>
    </row>
    <row r="1423" spans="1:50">
      <c r="A1423">
        <v>183858</v>
      </c>
      <c r="B1423" t="str">
        <f>"072589102"</f>
        <v>072589102</v>
      </c>
      <c r="C1423" t="s">
        <v>105</v>
      </c>
      <c r="D1423" t="s">
        <v>3210</v>
      </c>
      <c r="E1423" t="s">
        <v>459</v>
      </c>
      <c r="F1423" t="s">
        <v>95</v>
      </c>
      <c r="G1423" t="s">
        <v>52</v>
      </c>
      <c r="H1423" t="str">
        <f>"ΠΙΝΔΑΡΟΥ 11-13 ΗΡΑΚΛΕΙΟ"</f>
        <v>ΠΙΝΔΑΡΟΥ 11-13 ΗΡΑΚΛΕΙΟ</v>
      </c>
      <c r="I1423">
        <v>71306</v>
      </c>
      <c r="J1423">
        <v>2810239480</v>
      </c>
      <c r="K1423">
        <v>6973005448</v>
      </c>
      <c r="M1423" t="s">
        <v>3211</v>
      </c>
      <c r="N1423" t="s">
        <v>292</v>
      </c>
      <c r="O1423" t="s">
        <v>293</v>
      </c>
      <c r="R1423" t="s">
        <v>57</v>
      </c>
      <c r="S1423">
        <v>11</v>
      </c>
      <c r="T1423">
        <v>177</v>
      </c>
      <c r="U1423" s="1">
        <v>36403</v>
      </c>
      <c r="V1423" t="s">
        <v>123</v>
      </c>
      <c r="W1423" t="s">
        <v>124</v>
      </c>
      <c r="X1423" t="s">
        <v>58</v>
      </c>
      <c r="Y1423">
        <v>20</v>
      </c>
      <c r="Z1423" t="s">
        <v>59</v>
      </c>
      <c r="AA1423" t="s">
        <v>59</v>
      </c>
      <c r="AB1423" t="s">
        <v>59</v>
      </c>
      <c r="AC1423" t="s">
        <v>59</v>
      </c>
      <c r="AD1423" t="s">
        <v>59</v>
      </c>
      <c r="AF1423" s="1">
        <v>36409</v>
      </c>
      <c r="AG1423" t="s">
        <v>148</v>
      </c>
      <c r="AH1423" t="s">
        <v>149</v>
      </c>
      <c r="AI1423" t="str">
        <f>"1790210"</f>
        <v>1790210</v>
      </c>
      <c r="AJ1423" t="s">
        <v>417</v>
      </c>
      <c r="AK1423">
        <v>2810252172</v>
      </c>
      <c r="AL1423" t="s">
        <v>418</v>
      </c>
      <c r="AM1423" t="s">
        <v>78</v>
      </c>
      <c r="AN1423" t="s">
        <v>78</v>
      </c>
      <c r="AO1423" t="s">
        <v>78</v>
      </c>
      <c r="AP1423" t="s">
        <v>141</v>
      </c>
      <c r="AQ1423">
        <v>7</v>
      </c>
      <c r="AR1423" t="s">
        <v>123</v>
      </c>
      <c r="AS1423" t="s">
        <v>124</v>
      </c>
      <c r="AT1423" t="s">
        <v>58</v>
      </c>
      <c r="AU1423" t="s">
        <v>68</v>
      </c>
      <c r="AV1423" t="s">
        <v>69</v>
      </c>
      <c r="AW1423" s="1">
        <v>23240</v>
      </c>
      <c r="AX1423">
        <v>2</v>
      </c>
    </row>
    <row r="1424" spans="1:50">
      <c r="A1424">
        <v>212866</v>
      </c>
      <c r="B1424" t="str">
        <f>"132338309"</f>
        <v>132338309</v>
      </c>
      <c r="C1424" t="s">
        <v>105</v>
      </c>
      <c r="D1424" t="s">
        <v>3212</v>
      </c>
      <c r="E1424" t="s">
        <v>510</v>
      </c>
      <c r="F1424" t="s">
        <v>95</v>
      </c>
      <c r="G1424" t="s">
        <v>237</v>
      </c>
      <c r="H1424" t="str">
        <f>"Θ. ΜΑΤΘΑΙΑΚΗ 6 ΗΡΑΚΛΕΙΟ "</f>
        <v xml:space="preserve">Θ. ΜΑΤΘΑΙΑΚΗ 6 ΗΡΑΚΛΕΙΟ </v>
      </c>
      <c r="I1424">
        <v>71305</v>
      </c>
      <c r="J1424">
        <v>2810238904</v>
      </c>
      <c r="K1424">
        <v>6937158531</v>
      </c>
      <c r="L1424">
        <v>2811102846</v>
      </c>
      <c r="M1424" t="s">
        <v>3213</v>
      </c>
      <c r="N1424" t="s">
        <v>292</v>
      </c>
      <c r="O1424" t="s">
        <v>293</v>
      </c>
      <c r="R1424" t="s">
        <v>57</v>
      </c>
      <c r="S1424">
        <v>7</v>
      </c>
      <c r="T1424">
        <v>231</v>
      </c>
      <c r="U1424" s="1">
        <v>38960</v>
      </c>
      <c r="V1424" t="s">
        <v>123</v>
      </c>
      <c r="W1424" t="s">
        <v>124</v>
      </c>
      <c r="X1424" t="s">
        <v>58</v>
      </c>
      <c r="Y1424">
        <v>20</v>
      </c>
      <c r="Z1424" t="s">
        <v>59</v>
      </c>
      <c r="AA1424" t="s">
        <v>59</v>
      </c>
      <c r="AB1424" t="s">
        <v>59</v>
      </c>
      <c r="AC1424" t="s">
        <v>59</v>
      </c>
      <c r="AD1424" t="s">
        <v>59</v>
      </c>
      <c r="AF1424" s="1">
        <v>38965</v>
      </c>
      <c r="AG1424" t="s">
        <v>125</v>
      </c>
      <c r="AH1424" t="s">
        <v>126</v>
      </c>
      <c r="AI1424" t="str">
        <f>"1701080"</f>
        <v>1701080</v>
      </c>
      <c r="AJ1424" t="s">
        <v>183</v>
      </c>
      <c r="AK1424">
        <v>2810721263</v>
      </c>
      <c r="AL1424" t="s">
        <v>184</v>
      </c>
      <c r="AM1424" t="s">
        <v>78</v>
      </c>
      <c r="AN1424" t="s">
        <v>78</v>
      </c>
      <c r="AO1424" t="s">
        <v>185</v>
      </c>
      <c r="AP1424" t="s">
        <v>186</v>
      </c>
      <c r="AQ1424">
        <v>29</v>
      </c>
      <c r="AR1424" t="s">
        <v>123</v>
      </c>
      <c r="AS1424" t="s">
        <v>124</v>
      </c>
      <c r="AT1424" t="s">
        <v>58</v>
      </c>
      <c r="AU1424" t="s">
        <v>68</v>
      </c>
      <c r="AV1424" t="s">
        <v>69</v>
      </c>
      <c r="AW1424" s="1">
        <v>29558</v>
      </c>
      <c r="AX1424">
        <v>2</v>
      </c>
    </row>
    <row r="1425" spans="1:50">
      <c r="A1425">
        <v>175053</v>
      </c>
      <c r="B1425" t="str">
        <f>"119693602"</f>
        <v>119693602</v>
      </c>
      <c r="C1425" t="s">
        <v>50</v>
      </c>
      <c r="D1425" t="s">
        <v>3214</v>
      </c>
      <c r="E1425" t="s">
        <v>215</v>
      </c>
      <c r="F1425" t="s">
        <v>72</v>
      </c>
      <c r="G1425" t="s">
        <v>237</v>
      </c>
      <c r="H1425" t="str">
        <f>" "</f>
        <v xml:space="preserve"> </v>
      </c>
      <c r="M1425" t="s">
        <v>3215</v>
      </c>
      <c r="N1425" t="s">
        <v>189</v>
      </c>
      <c r="O1425" t="s">
        <v>190</v>
      </c>
      <c r="R1425" t="s">
        <v>57</v>
      </c>
      <c r="S1425">
        <v>14</v>
      </c>
      <c r="T1425">
        <v>166</v>
      </c>
      <c r="U1425" s="1">
        <v>35300</v>
      </c>
      <c r="V1425" t="s">
        <v>123</v>
      </c>
      <c r="W1425" t="s">
        <v>124</v>
      </c>
      <c r="X1425" t="s">
        <v>58</v>
      </c>
      <c r="Y1425">
        <v>18</v>
      </c>
      <c r="Z1425" t="s">
        <v>59</v>
      </c>
      <c r="AA1425" t="s">
        <v>59</v>
      </c>
      <c r="AB1425" t="s">
        <v>59</v>
      </c>
      <c r="AC1425" t="s">
        <v>59</v>
      </c>
      <c r="AD1425" t="s">
        <v>59</v>
      </c>
      <c r="AF1425" s="1">
        <v>35312</v>
      </c>
      <c r="AG1425" t="s">
        <v>137</v>
      </c>
      <c r="AH1425" t="s">
        <v>138</v>
      </c>
      <c r="AI1425" t="str">
        <f>"1740080"</f>
        <v>1740080</v>
      </c>
      <c r="AJ1425" t="s">
        <v>284</v>
      </c>
      <c r="AK1425">
        <v>2810220433</v>
      </c>
      <c r="AL1425" t="s">
        <v>285</v>
      </c>
      <c r="AM1425" t="s">
        <v>78</v>
      </c>
      <c r="AN1425" t="s">
        <v>78</v>
      </c>
      <c r="AO1425" t="s">
        <v>286</v>
      </c>
      <c r="AP1425" t="s">
        <v>286</v>
      </c>
      <c r="AQ1425">
        <v>12</v>
      </c>
      <c r="AR1425" t="s">
        <v>123</v>
      </c>
      <c r="AS1425" t="s">
        <v>124</v>
      </c>
      <c r="AT1425" t="s">
        <v>58</v>
      </c>
      <c r="AU1425" t="s">
        <v>68</v>
      </c>
      <c r="AV1425" t="s">
        <v>69</v>
      </c>
      <c r="AW1425" s="1">
        <v>23164</v>
      </c>
      <c r="AX1425">
        <v>2</v>
      </c>
    </row>
    <row r="1426" spans="1:50">
      <c r="A1426">
        <v>214605</v>
      </c>
      <c r="B1426" t="str">
        <f>"054104979"</f>
        <v>054104979</v>
      </c>
      <c r="C1426" t="s">
        <v>105</v>
      </c>
      <c r="D1426" t="s">
        <v>3216</v>
      </c>
      <c r="E1426" t="s">
        <v>166</v>
      </c>
      <c r="F1426" t="s">
        <v>95</v>
      </c>
      <c r="G1426" t="s">
        <v>155</v>
      </c>
      <c r="H1426" t="str">
        <f>"ΘΕΜΙΣΤΟΚΛΕΟΥΣ 5 "</f>
        <v xml:space="preserve">ΘΕΜΙΣΤΟΚΛΕΟΥΣ 5 </v>
      </c>
      <c r="I1426">
        <v>71307</v>
      </c>
      <c r="J1426">
        <v>2810229257</v>
      </c>
      <c r="K1426">
        <v>6947148698</v>
      </c>
      <c r="L1426">
        <v>6958603375</v>
      </c>
      <c r="M1426" t="s">
        <v>3217</v>
      </c>
      <c r="N1426" t="s">
        <v>176</v>
      </c>
      <c r="O1426" t="s">
        <v>177</v>
      </c>
      <c r="R1426" t="s">
        <v>57</v>
      </c>
      <c r="S1426">
        <v>8</v>
      </c>
      <c r="T1426">
        <v>231</v>
      </c>
      <c r="U1426" s="1">
        <v>38960</v>
      </c>
      <c r="V1426" t="s">
        <v>123</v>
      </c>
      <c r="W1426" t="s">
        <v>124</v>
      </c>
      <c r="X1426" t="s">
        <v>58</v>
      </c>
      <c r="Y1426">
        <v>20</v>
      </c>
      <c r="Z1426" t="s">
        <v>59</v>
      </c>
      <c r="AA1426" t="s">
        <v>59</v>
      </c>
      <c r="AB1426" t="s">
        <v>59</v>
      </c>
      <c r="AC1426" t="s">
        <v>59</v>
      </c>
      <c r="AD1426" t="s">
        <v>59</v>
      </c>
      <c r="AF1426" s="1">
        <v>38961</v>
      </c>
      <c r="AG1426" t="s">
        <v>125</v>
      </c>
      <c r="AH1426" t="s">
        <v>126</v>
      </c>
      <c r="AI1426" t="str">
        <f>"1701030"</f>
        <v>1701030</v>
      </c>
      <c r="AJ1426" t="s">
        <v>270</v>
      </c>
      <c r="AK1426">
        <v>2810361015</v>
      </c>
      <c r="AL1426" t="s">
        <v>271</v>
      </c>
      <c r="AM1426" t="s">
        <v>78</v>
      </c>
      <c r="AN1426" t="s">
        <v>78</v>
      </c>
      <c r="AO1426" t="s">
        <v>78</v>
      </c>
      <c r="AP1426" t="s">
        <v>163</v>
      </c>
      <c r="AQ1426">
        <v>2</v>
      </c>
      <c r="AR1426" t="s">
        <v>123</v>
      </c>
      <c r="AS1426" t="s">
        <v>124</v>
      </c>
      <c r="AT1426" t="s">
        <v>58</v>
      </c>
      <c r="AU1426" t="s">
        <v>68</v>
      </c>
      <c r="AV1426" t="s">
        <v>69</v>
      </c>
      <c r="AW1426" s="1">
        <v>24279</v>
      </c>
      <c r="AX1426">
        <v>2</v>
      </c>
    </row>
    <row r="1427" spans="1:50">
      <c r="A1427">
        <v>189805</v>
      </c>
      <c r="B1427" t="str">
        <f>"041977857"</f>
        <v>041977857</v>
      </c>
      <c r="C1427" t="s">
        <v>105</v>
      </c>
      <c r="D1427" t="s">
        <v>3216</v>
      </c>
      <c r="E1427" t="s">
        <v>99</v>
      </c>
      <c r="F1427" t="s">
        <v>95</v>
      </c>
      <c r="G1427" t="s">
        <v>114</v>
      </c>
      <c r="H1427" t="str">
        <f>"ΝΙΚΟΛΑΟΥ ΣΠΑΘΑΡΙΟΥ Β ΠΑΡΟΔΟΣ 6 ΗΡΑΚΛΕΙΟ"</f>
        <v>ΝΙΚΟΛΑΟΥ ΣΠΑΘΑΡΙΟΥ Β ΠΑΡΟΔΟΣ 6 ΗΡΑΚΛΕΙΟ</v>
      </c>
      <c r="I1427">
        <v>71307</v>
      </c>
      <c r="J1427">
        <v>2810234037</v>
      </c>
      <c r="K1427">
        <v>6972779763</v>
      </c>
      <c r="M1427" t="s">
        <v>3218</v>
      </c>
      <c r="N1427" t="s">
        <v>292</v>
      </c>
      <c r="O1427" t="s">
        <v>293</v>
      </c>
      <c r="R1427" t="s">
        <v>57</v>
      </c>
      <c r="S1427">
        <v>8</v>
      </c>
      <c r="T1427">
        <v>219</v>
      </c>
      <c r="U1427" s="1">
        <v>37134</v>
      </c>
      <c r="V1427" t="s">
        <v>123</v>
      </c>
      <c r="W1427" t="s">
        <v>124</v>
      </c>
      <c r="X1427" t="s">
        <v>58</v>
      </c>
      <c r="Y1427">
        <v>20</v>
      </c>
      <c r="Z1427" t="s">
        <v>59</v>
      </c>
      <c r="AA1427" t="s">
        <v>59</v>
      </c>
      <c r="AB1427" t="s">
        <v>59</v>
      </c>
      <c r="AC1427" t="s">
        <v>59</v>
      </c>
      <c r="AD1427" t="s">
        <v>59</v>
      </c>
      <c r="AF1427" s="1">
        <v>37140</v>
      </c>
      <c r="AG1427" t="s">
        <v>148</v>
      </c>
      <c r="AH1427" t="s">
        <v>149</v>
      </c>
      <c r="AI1427" t="str">
        <f>"1751042"</f>
        <v>1751042</v>
      </c>
      <c r="AJ1427" t="s">
        <v>959</v>
      </c>
      <c r="AK1427">
        <v>2810220685</v>
      </c>
      <c r="AL1427" t="s">
        <v>960</v>
      </c>
      <c r="AM1427" t="s">
        <v>78</v>
      </c>
      <c r="AN1427" t="s">
        <v>78</v>
      </c>
      <c r="AO1427" t="s">
        <v>78</v>
      </c>
      <c r="AP1427" t="s">
        <v>213</v>
      </c>
      <c r="AQ1427">
        <v>6</v>
      </c>
      <c r="AR1427" t="s">
        <v>123</v>
      </c>
      <c r="AS1427" t="s">
        <v>124</v>
      </c>
      <c r="AT1427" t="s">
        <v>58</v>
      </c>
      <c r="AU1427" t="s">
        <v>68</v>
      </c>
      <c r="AV1427" t="s">
        <v>69</v>
      </c>
      <c r="AW1427" s="1">
        <v>22386</v>
      </c>
      <c r="AX1427">
        <v>2</v>
      </c>
    </row>
    <row r="1428" spans="1:50">
      <c r="A1428">
        <v>219330</v>
      </c>
      <c r="B1428" t="str">
        <f>"128314641"</f>
        <v>128314641</v>
      </c>
      <c r="C1428" t="s">
        <v>50</v>
      </c>
      <c r="D1428" t="s">
        <v>3219</v>
      </c>
      <c r="E1428" t="s">
        <v>3220</v>
      </c>
      <c r="F1428" t="s">
        <v>166</v>
      </c>
      <c r="G1428" t="s">
        <v>52</v>
      </c>
      <c r="H1428" t="str">
        <f>"ΠΑΠΑΝΑΣΤΑΣΙΟΥ 206 "</f>
        <v xml:space="preserve">ΠΑΠΑΝΑΣΤΑΣΙΟΥ 206 </v>
      </c>
      <c r="J1428">
        <v>2810231031</v>
      </c>
      <c r="K1428">
        <v>6945739740</v>
      </c>
      <c r="L1428">
        <v>2310849596</v>
      </c>
      <c r="M1428" t="s">
        <v>3221</v>
      </c>
      <c r="N1428" t="s">
        <v>306</v>
      </c>
      <c r="O1428" t="s">
        <v>307</v>
      </c>
      <c r="R1428" t="s">
        <v>57</v>
      </c>
      <c r="S1428">
        <v>5</v>
      </c>
      <c r="T1428">
        <v>599</v>
      </c>
      <c r="U1428" s="1">
        <v>39310</v>
      </c>
      <c r="V1428" t="s">
        <v>123</v>
      </c>
      <c r="W1428" t="s">
        <v>124</v>
      </c>
      <c r="X1428" t="s">
        <v>58</v>
      </c>
      <c r="Y1428">
        <v>21</v>
      </c>
      <c r="Z1428" t="s">
        <v>59</v>
      </c>
      <c r="AA1428" t="s">
        <v>59</v>
      </c>
      <c r="AB1428" t="s">
        <v>59</v>
      </c>
      <c r="AC1428" t="s">
        <v>59</v>
      </c>
      <c r="AD1428" t="s">
        <v>59</v>
      </c>
      <c r="AF1428" s="1">
        <v>39330</v>
      </c>
      <c r="AG1428" t="s">
        <v>137</v>
      </c>
      <c r="AH1428" t="s">
        <v>138</v>
      </c>
      <c r="AI1428" t="str">
        <f>"1740310"</f>
        <v>1740310</v>
      </c>
      <c r="AJ1428" t="s">
        <v>488</v>
      </c>
      <c r="AK1428">
        <v>2891024228</v>
      </c>
      <c r="AL1428" t="s">
        <v>489</v>
      </c>
      <c r="AM1428" t="s">
        <v>78</v>
      </c>
      <c r="AN1428" t="s">
        <v>276</v>
      </c>
      <c r="AO1428" t="s">
        <v>490</v>
      </c>
      <c r="AP1428" t="s">
        <v>490</v>
      </c>
      <c r="AQ1428">
        <v>15</v>
      </c>
      <c r="AR1428" t="s">
        <v>123</v>
      </c>
      <c r="AS1428" t="s">
        <v>124</v>
      </c>
      <c r="AT1428" t="s">
        <v>58</v>
      </c>
      <c r="AU1428" t="s">
        <v>68</v>
      </c>
      <c r="AV1428" t="s">
        <v>69</v>
      </c>
      <c r="AW1428" s="1">
        <v>28698</v>
      </c>
      <c r="AX1428">
        <v>2</v>
      </c>
    </row>
    <row r="1429" spans="1:50">
      <c r="A1429">
        <v>222465</v>
      </c>
      <c r="B1429" t="str">
        <f>"070996916"</f>
        <v>070996916</v>
      </c>
      <c r="C1429" t="s">
        <v>50</v>
      </c>
      <c r="D1429" t="s">
        <v>3222</v>
      </c>
      <c r="E1429" t="s">
        <v>73</v>
      </c>
      <c r="F1429" t="s">
        <v>450</v>
      </c>
      <c r="G1429" t="s">
        <v>52</v>
      </c>
      <c r="H1429" t="str">
        <f>"ΑΝΑΓΕΝΝΗΣΕΩΣ 8 "</f>
        <v xml:space="preserve">ΑΝΑΓΕΝΝΗΣΕΩΣ 8 </v>
      </c>
      <c r="I1429">
        <v>71305</v>
      </c>
      <c r="J1429">
        <v>2810236160</v>
      </c>
      <c r="K1429">
        <v>6972437747</v>
      </c>
      <c r="M1429" t="s">
        <v>3223</v>
      </c>
      <c r="N1429" t="s">
        <v>146</v>
      </c>
      <c r="O1429" t="s">
        <v>147</v>
      </c>
      <c r="R1429" t="s">
        <v>57</v>
      </c>
      <c r="S1429">
        <v>6</v>
      </c>
      <c r="T1429">
        <v>775</v>
      </c>
      <c r="U1429" s="1">
        <v>39680</v>
      </c>
      <c r="V1429" t="s">
        <v>123</v>
      </c>
      <c r="W1429" t="s">
        <v>124</v>
      </c>
      <c r="X1429" t="s">
        <v>58</v>
      </c>
      <c r="Y1429">
        <v>20</v>
      </c>
      <c r="Z1429" t="s">
        <v>59</v>
      </c>
      <c r="AA1429" t="s">
        <v>59</v>
      </c>
      <c r="AB1429" t="s">
        <v>59</v>
      </c>
      <c r="AC1429" t="s">
        <v>59</v>
      </c>
      <c r="AD1429" t="s">
        <v>59</v>
      </c>
      <c r="AF1429" s="1">
        <v>39681</v>
      </c>
      <c r="AG1429" t="s">
        <v>125</v>
      </c>
      <c r="AH1429" t="s">
        <v>126</v>
      </c>
      <c r="AI1429" t="str">
        <f>"1709010"</f>
        <v>1709010</v>
      </c>
      <c r="AJ1429" t="s">
        <v>847</v>
      </c>
      <c r="AK1429">
        <v>2894022227</v>
      </c>
      <c r="AL1429" t="s">
        <v>848</v>
      </c>
      <c r="AM1429" t="s">
        <v>78</v>
      </c>
      <c r="AN1429" t="s">
        <v>405</v>
      </c>
      <c r="AO1429" t="s">
        <v>406</v>
      </c>
      <c r="AP1429" t="s">
        <v>406</v>
      </c>
      <c r="AQ1429">
        <v>30</v>
      </c>
      <c r="AR1429" t="s">
        <v>123</v>
      </c>
      <c r="AS1429" t="s">
        <v>124</v>
      </c>
      <c r="AT1429" t="s">
        <v>58</v>
      </c>
      <c r="AU1429" t="s">
        <v>68</v>
      </c>
      <c r="AV1429" t="s">
        <v>69</v>
      </c>
      <c r="AW1429" s="1">
        <v>27083</v>
      </c>
      <c r="AX1429">
        <v>2</v>
      </c>
    </row>
    <row r="1430" spans="1:50">
      <c r="A1430">
        <v>156227</v>
      </c>
      <c r="B1430" t="str">
        <f>"118917616"</f>
        <v>118917616</v>
      </c>
      <c r="C1430" t="s">
        <v>50</v>
      </c>
      <c r="D1430" t="s">
        <v>3224</v>
      </c>
      <c r="E1430" t="s">
        <v>255</v>
      </c>
      <c r="F1430" t="s">
        <v>154</v>
      </c>
      <c r="G1430" t="s">
        <v>610</v>
      </c>
      <c r="H1430" t="str">
        <f>"ΛΑΣΑΙΑΣ 2 ΗΡΑΚΛΕΙΟ"</f>
        <v>ΛΑΣΑΙΑΣ 2 ΗΡΑΚΛΕΙΟ</v>
      </c>
      <c r="J1430">
        <v>2810316559</v>
      </c>
      <c r="K1430">
        <v>6995699999</v>
      </c>
      <c r="N1430" t="s">
        <v>146</v>
      </c>
      <c r="O1430" t="s">
        <v>147</v>
      </c>
      <c r="R1430" t="s">
        <v>57</v>
      </c>
      <c r="S1430">
        <v>16</v>
      </c>
      <c r="T1430">
        <v>188</v>
      </c>
      <c r="U1430" s="1">
        <v>32752</v>
      </c>
      <c r="V1430" t="s">
        <v>123</v>
      </c>
      <c r="W1430" t="s">
        <v>124</v>
      </c>
      <c r="X1430" t="s">
        <v>58</v>
      </c>
      <c r="Y1430">
        <v>18</v>
      </c>
      <c r="Z1430" t="s">
        <v>59</v>
      </c>
      <c r="AA1430" t="s">
        <v>59</v>
      </c>
      <c r="AB1430" t="s">
        <v>59</v>
      </c>
      <c r="AC1430" t="s">
        <v>59</v>
      </c>
      <c r="AD1430" t="s">
        <v>59</v>
      </c>
      <c r="AF1430" s="1">
        <v>32756</v>
      </c>
      <c r="AG1430" t="s">
        <v>125</v>
      </c>
      <c r="AH1430" t="s">
        <v>126</v>
      </c>
      <c r="AI1430" t="str">
        <f>"1701055"</f>
        <v>1701055</v>
      </c>
      <c r="AJ1430" t="s">
        <v>301</v>
      </c>
      <c r="AK1430">
        <v>2810257353</v>
      </c>
      <c r="AL1430" t="s">
        <v>302</v>
      </c>
      <c r="AM1430" t="s">
        <v>78</v>
      </c>
      <c r="AN1430" t="s">
        <v>78</v>
      </c>
      <c r="AO1430" t="s">
        <v>78</v>
      </c>
      <c r="AP1430" t="s">
        <v>141</v>
      </c>
      <c r="AQ1430">
        <v>7</v>
      </c>
      <c r="AR1430" t="s">
        <v>123</v>
      </c>
      <c r="AS1430" t="s">
        <v>124</v>
      </c>
      <c r="AT1430" t="s">
        <v>58</v>
      </c>
      <c r="AU1430" t="s">
        <v>68</v>
      </c>
      <c r="AV1430" t="s">
        <v>69</v>
      </c>
      <c r="AW1430" s="1">
        <v>22410</v>
      </c>
      <c r="AX1430">
        <v>2</v>
      </c>
    </row>
    <row r="1431" spans="1:50">
      <c r="A1431">
        <v>166161</v>
      </c>
      <c r="B1431" t="str">
        <f>"029614484"</f>
        <v>029614484</v>
      </c>
      <c r="C1431" t="s">
        <v>105</v>
      </c>
      <c r="D1431" t="s">
        <v>3225</v>
      </c>
      <c r="E1431" t="s">
        <v>166</v>
      </c>
      <c r="F1431" t="s">
        <v>95</v>
      </c>
      <c r="G1431" t="s">
        <v>83</v>
      </c>
      <c r="H1431" t="str">
        <f>"ΑΓΓΕΛΟΥ ΣΙΚΕΛΙΑΝΟΥ 2 ΓΑΖΙ"</f>
        <v>ΑΓΓΕΛΟΥ ΣΙΚΕΛΙΑΝΟΥ 2 ΓΑΖΙ</v>
      </c>
      <c r="I1431">
        <v>71414</v>
      </c>
      <c r="J1431">
        <v>2810311223</v>
      </c>
      <c r="K1431">
        <v>6978265501</v>
      </c>
      <c r="L1431">
        <v>2810261985</v>
      </c>
      <c r="N1431" t="s">
        <v>232</v>
      </c>
      <c r="O1431" t="s">
        <v>233</v>
      </c>
      <c r="R1431" t="s">
        <v>57</v>
      </c>
      <c r="S1431">
        <v>14</v>
      </c>
      <c r="T1431">
        <v>137</v>
      </c>
      <c r="U1431" s="1">
        <v>34206</v>
      </c>
      <c r="V1431" t="s">
        <v>123</v>
      </c>
      <c r="W1431" t="s">
        <v>124</v>
      </c>
      <c r="X1431" t="s">
        <v>58</v>
      </c>
      <c r="Y1431">
        <v>18</v>
      </c>
      <c r="Z1431" t="s">
        <v>59</v>
      </c>
      <c r="AA1431" t="s">
        <v>59</v>
      </c>
      <c r="AB1431" t="s">
        <v>59</v>
      </c>
      <c r="AC1431" t="s">
        <v>59</v>
      </c>
      <c r="AD1431" t="s">
        <v>59</v>
      </c>
      <c r="AF1431" s="1">
        <v>34213</v>
      </c>
      <c r="AG1431" t="s">
        <v>148</v>
      </c>
      <c r="AH1431" t="s">
        <v>149</v>
      </c>
      <c r="AI1431" t="str">
        <f>"1778010"</f>
        <v>1778010</v>
      </c>
      <c r="AJ1431" t="s">
        <v>672</v>
      </c>
      <c r="AK1431">
        <v>2810822455</v>
      </c>
      <c r="AL1431" t="s">
        <v>673</v>
      </c>
      <c r="AM1431" t="s">
        <v>78</v>
      </c>
      <c r="AN1431" t="s">
        <v>129</v>
      </c>
      <c r="AO1431" t="s">
        <v>130</v>
      </c>
      <c r="AP1431" t="s">
        <v>130</v>
      </c>
      <c r="AQ1431">
        <v>36</v>
      </c>
      <c r="AR1431" t="s">
        <v>123</v>
      </c>
      <c r="AS1431" t="s">
        <v>124</v>
      </c>
      <c r="AT1431" t="s">
        <v>58</v>
      </c>
      <c r="AU1431" t="s">
        <v>68</v>
      </c>
      <c r="AV1431" t="s">
        <v>69</v>
      </c>
      <c r="AW1431" s="1">
        <v>22145</v>
      </c>
      <c r="AX1431">
        <v>2</v>
      </c>
    </row>
    <row r="1432" spans="1:50">
      <c r="A1432">
        <v>223479</v>
      </c>
      <c r="B1432" t="str">
        <f>"063610573"</f>
        <v>063610573</v>
      </c>
      <c r="C1432" t="s">
        <v>50</v>
      </c>
      <c r="D1432" t="s">
        <v>3226</v>
      </c>
      <c r="E1432" t="s">
        <v>52</v>
      </c>
      <c r="F1432" t="s">
        <v>108</v>
      </c>
      <c r="G1432" t="s">
        <v>109</v>
      </c>
      <c r="H1432" t="str">
        <f>"ΛΕΒΗΝΟΥ 75 ΗΡΑΚΛΕΙΟ"</f>
        <v>ΛΕΒΗΝΟΥ 75 ΗΡΑΚΛΕΙΟ</v>
      </c>
      <c r="I1432">
        <v>71305</v>
      </c>
      <c r="J1432">
        <v>2810260529</v>
      </c>
      <c r="K1432">
        <v>6948523329</v>
      </c>
      <c r="N1432" t="s">
        <v>232</v>
      </c>
      <c r="O1432" t="s">
        <v>233</v>
      </c>
      <c r="R1432" t="s">
        <v>57</v>
      </c>
      <c r="S1432">
        <v>8</v>
      </c>
      <c r="T1432">
        <v>775</v>
      </c>
      <c r="U1432" s="1">
        <v>39680</v>
      </c>
      <c r="V1432" t="s">
        <v>123</v>
      </c>
      <c r="W1432" t="s">
        <v>124</v>
      </c>
      <c r="X1432" t="s">
        <v>58</v>
      </c>
      <c r="Y1432">
        <v>20</v>
      </c>
      <c r="Z1432" t="s">
        <v>59</v>
      </c>
      <c r="AA1432" t="s">
        <v>59</v>
      </c>
      <c r="AB1432" t="s">
        <v>59</v>
      </c>
      <c r="AC1432" t="s">
        <v>59</v>
      </c>
      <c r="AD1432" t="s">
        <v>59</v>
      </c>
      <c r="AF1432" s="1">
        <v>39681</v>
      </c>
      <c r="AG1432" t="s">
        <v>137</v>
      </c>
      <c r="AH1432" t="s">
        <v>138</v>
      </c>
      <c r="AI1432" t="str">
        <f>"1740070"</f>
        <v>1740070</v>
      </c>
      <c r="AJ1432" t="s">
        <v>206</v>
      </c>
      <c r="AK1432">
        <v>2810324880</v>
      </c>
      <c r="AL1432" t="s">
        <v>207</v>
      </c>
      <c r="AM1432" t="s">
        <v>78</v>
      </c>
      <c r="AN1432" t="s">
        <v>78</v>
      </c>
      <c r="AO1432" t="s">
        <v>78</v>
      </c>
      <c r="AP1432" t="s">
        <v>163</v>
      </c>
      <c r="AQ1432">
        <v>9</v>
      </c>
      <c r="AR1432" t="s">
        <v>123</v>
      </c>
      <c r="AS1432" t="s">
        <v>124</v>
      </c>
      <c r="AT1432" t="s">
        <v>58</v>
      </c>
      <c r="AU1432" t="s">
        <v>68</v>
      </c>
      <c r="AV1432" t="s">
        <v>69</v>
      </c>
      <c r="AW1432" s="1">
        <v>26374</v>
      </c>
      <c r="AX1432">
        <v>2</v>
      </c>
    </row>
    <row r="1433" spans="1:50">
      <c r="A1433">
        <v>906262</v>
      </c>
      <c r="B1433" t="str">
        <f>"028283214"</f>
        <v>028283214</v>
      </c>
      <c r="C1433" t="s">
        <v>105</v>
      </c>
      <c r="D1433" t="s">
        <v>3227</v>
      </c>
      <c r="E1433" t="s">
        <v>154</v>
      </c>
      <c r="F1433" t="s">
        <v>106</v>
      </c>
      <c r="G1433" t="s">
        <v>494</v>
      </c>
      <c r="H1433" t="str">
        <f>" "</f>
        <v xml:space="preserve"> </v>
      </c>
      <c r="M1433" t="s">
        <v>3228</v>
      </c>
      <c r="N1433" t="s">
        <v>299</v>
      </c>
      <c r="O1433" t="s">
        <v>300</v>
      </c>
      <c r="R1433" t="s">
        <v>57</v>
      </c>
      <c r="S1433">
        <v>16</v>
      </c>
      <c r="T1433">
        <v>262</v>
      </c>
      <c r="U1433" s="1">
        <v>30916</v>
      </c>
      <c r="V1433" t="s">
        <v>123</v>
      </c>
      <c r="W1433" t="s">
        <v>124</v>
      </c>
      <c r="X1433" t="s">
        <v>58</v>
      </c>
      <c r="Y1433">
        <v>18</v>
      </c>
      <c r="Z1433" t="s">
        <v>59</v>
      </c>
      <c r="AA1433" t="s">
        <v>59</v>
      </c>
      <c r="AB1433" t="s">
        <v>59</v>
      </c>
      <c r="AC1433" t="s">
        <v>59</v>
      </c>
      <c r="AD1433" t="s">
        <v>59</v>
      </c>
      <c r="AF1433" s="1">
        <v>30924</v>
      </c>
      <c r="AG1433" t="s">
        <v>137</v>
      </c>
      <c r="AH1433" t="s">
        <v>469</v>
      </c>
      <c r="AI1433" t="str">
        <f>"1740200"</f>
        <v>1740200</v>
      </c>
      <c r="AJ1433" t="s">
        <v>470</v>
      </c>
      <c r="AK1433">
        <v>2810320770</v>
      </c>
      <c r="AL1433" t="s">
        <v>471</v>
      </c>
      <c r="AM1433" t="s">
        <v>78</v>
      </c>
      <c r="AN1433" t="s">
        <v>78</v>
      </c>
      <c r="AO1433" t="s">
        <v>78</v>
      </c>
      <c r="AP1433" t="s">
        <v>163</v>
      </c>
      <c r="AQ1433">
        <v>2</v>
      </c>
      <c r="AR1433" t="s">
        <v>123</v>
      </c>
      <c r="AS1433" t="s">
        <v>124</v>
      </c>
      <c r="AT1433" t="s">
        <v>58</v>
      </c>
      <c r="AU1433" t="s">
        <v>68</v>
      </c>
      <c r="AV1433" t="s">
        <v>69</v>
      </c>
      <c r="AW1433" s="1">
        <v>20707</v>
      </c>
      <c r="AX1433">
        <v>2</v>
      </c>
    </row>
    <row r="1434" spans="1:50">
      <c r="A1434">
        <v>165022</v>
      </c>
      <c r="B1434" t="str">
        <f>"065195971"</f>
        <v>065195971</v>
      </c>
      <c r="C1434" t="s">
        <v>50</v>
      </c>
      <c r="D1434" t="s">
        <v>3229</v>
      </c>
      <c r="E1434" t="s">
        <v>250</v>
      </c>
      <c r="F1434" t="s">
        <v>84</v>
      </c>
      <c r="G1434" t="s">
        <v>1207</v>
      </c>
      <c r="H1434" t="str">
        <f>"ΜΙΑΟΥΛΗ 14  ΗΡΑΚΛΕΙΟ"</f>
        <v>ΜΙΑΟΥΛΗ 14  ΗΡΑΚΛΕΙΟ</v>
      </c>
      <c r="I1434">
        <v>71414</v>
      </c>
      <c r="J1434">
        <v>2810823175</v>
      </c>
      <c r="K1434">
        <v>6974238148</v>
      </c>
      <c r="N1434" t="s">
        <v>299</v>
      </c>
      <c r="O1434" t="s">
        <v>300</v>
      </c>
      <c r="R1434" t="s">
        <v>57</v>
      </c>
      <c r="S1434">
        <v>15</v>
      </c>
      <c r="T1434">
        <v>161</v>
      </c>
      <c r="U1434" s="1">
        <v>33844</v>
      </c>
      <c r="V1434" t="s">
        <v>123</v>
      </c>
      <c r="W1434" t="s">
        <v>124</v>
      </c>
      <c r="X1434" t="s">
        <v>58</v>
      </c>
      <c r="Y1434">
        <v>18</v>
      </c>
      <c r="Z1434" t="s">
        <v>59</v>
      </c>
      <c r="AA1434" t="s">
        <v>59</v>
      </c>
      <c r="AB1434" t="s">
        <v>59</v>
      </c>
      <c r="AC1434" t="s">
        <v>59</v>
      </c>
      <c r="AD1434" t="s">
        <v>59</v>
      </c>
      <c r="AF1434" s="1">
        <v>33857</v>
      </c>
      <c r="AG1434" t="s">
        <v>125</v>
      </c>
      <c r="AH1434" t="s">
        <v>126</v>
      </c>
      <c r="AI1434" t="str">
        <f>"1701020"</f>
        <v>1701020</v>
      </c>
      <c r="AJ1434" t="s">
        <v>323</v>
      </c>
      <c r="AK1434">
        <v>2810252111</v>
      </c>
      <c r="AL1434" t="s">
        <v>324</v>
      </c>
      <c r="AM1434" t="s">
        <v>78</v>
      </c>
      <c r="AN1434" t="s">
        <v>78</v>
      </c>
      <c r="AO1434" t="s">
        <v>78</v>
      </c>
      <c r="AP1434" t="s">
        <v>163</v>
      </c>
      <c r="AQ1434">
        <v>3</v>
      </c>
      <c r="AR1434" t="s">
        <v>123</v>
      </c>
      <c r="AS1434" t="s">
        <v>124</v>
      </c>
      <c r="AT1434" t="s">
        <v>58</v>
      </c>
      <c r="AU1434" t="s">
        <v>68</v>
      </c>
      <c r="AV1434" t="s">
        <v>69</v>
      </c>
      <c r="AW1434" s="1">
        <v>23514</v>
      </c>
      <c r="AX1434">
        <v>2</v>
      </c>
    </row>
    <row r="1435" spans="1:50">
      <c r="A1435">
        <v>182340</v>
      </c>
      <c r="B1435" t="str">
        <f>"036424285"</f>
        <v>036424285</v>
      </c>
      <c r="C1435" t="s">
        <v>105</v>
      </c>
      <c r="D1435" t="s">
        <v>3230</v>
      </c>
      <c r="E1435" t="s">
        <v>989</v>
      </c>
      <c r="F1435" t="s">
        <v>450</v>
      </c>
      <c r="G1435" t="s">
        <v>787</v>
      </c>
      <c r="H1435" t="str">
        <f>"ΑΡΣΙΝΟΗΣ 23 ΚΑΜΙΝΙΑ"</f>
        <v>ΑΡΣΙΝΟΗΣ 23 ΚΑΜΙΝΙΑ</v>
      </c>
      <c r="I1435">
        <v>71306</v>
      </c>
      <c r="J1435">
        <v>2810253979</v>
      </c>
      <c r="K1435">
        <v>6977814149</v>
      </c>
      <c r="M1435" t="s">
        <v>3231</v>
      </c>
      <c r="N1435" t="s">
        <v>176</v>
      </c>
      <c r="O1435" t="s">
        <v>177</v>
      </c>
      <c r="R1435" t="s">
        <v>57</v>
      </c>
      <c r="S1435">
        <v>13</v>
      </c>
      <c r="T1435">
        <v>184</v>
      </c>
      <c r="U1435" s="1">
        <v>34941</v>
      </c>
      <c r="V1435" t="s">
        <v>123</v>
      </c>
      <c r="W1435" t="s">
        <v>124</v>
      </c>
      <c r="X1435" t="s">
        <v>58</v>
      </c>
      <c r="Y1435">
        <v>18</v>
      </c>
      <c r="Z1435" t="s">
        <v>59</v>
      </c>
      <c r="AA1435" t="s">
        <v>59</v>
      </c>
      <c r="AB1435" t="s">
        <v>59</v>
      </c>
      <c r="AC1435" t="s">
        <v>59</v>
      </c>
      <c r="AD1435" t="s">
        <v>59</v>
      </c>
      <c r="AF1435" s="1">
        <v>34948</v>
      </c>
      <c r="AG1435" t="s">
        <v>125</v>
      </c>
      <c r="AH1435" t="s">
        <v>126</v>
      </c>
      <c r="AI1435" t="str">
        <f>"1728010"</f>
        <v>1728010</v>
      </c>
      <c r="AJ1435" t="s">
        <v>127</v>
      </c>
      <c r="AK1435">
        <v>2810824651</v>
      </c>
      <c r="AL1435" t="s">
        <v>128</v>
      </c>
      <c r="AM1435" t="s">
        <v>78</v>
      </c>
      <c r="AN1435" t="s">
        <v>129</v>
      </c>
      <c r="AO1435" t="s">
        <v>130</v>
      </c>
      <c r="AP1435" t="s">
        <v>130</v>
      </c>
      <c r="AQ1435">
        <v>36</v>
      </c>
      <c r="AR1435" t="s">
        <v>123</v>
      </c>
      <c r="AS1435" t="s">
        <v>124</v>
      </c>
      <c r="AT1435" t="s">
        <v>58</v>
      </c>
      <c r="AU1435" t="s">
        <v>68</v>
      </c>
      <c r="AV1435" t="s">
        <v>69</v>
      </c>
      <c r="AW1435" s="1">
        <v>23801</v>
      </c>
      <c r="AX1435">
        <v>2</v>
      </c>
    </row>
    <row r="1436" spans="1:50">
      <c r="A1436">
        <v>198260</v>
      </c>
      <c r="B1436" t="str">
        <f>"072512682"</f>
        <v>072512682</v>
      </c>
      <c r="C1436" t="s">
        <v>50</v>
      </c>
      <c r="D1436" t="s">
        <v>3232</v>
      </c>
      <c r="E1436" t="s">
        <v>513</v>
      </c>
      <c r="F1436" t="s">
        <v>309</v>
      </c>
      <c r="G1436" t="s">
        <v>221</v>
      </c>
      <c r="H1436" t="str">
        <f>"ΕΛΕΥΘΕΡΙΟΥ ΒΕΝΙΖΕΛΟΥ 27 ΛΙΜ.ΧΕΡΣΟΝΗΣΟΥ"</f>
        <v>ΕΛΕΥΘΕΡΙΟΥ ΒΕΝΙΖΕΛΟΥ 27 ΛΙΜ.ΧΕΡΣΟΝΗΣΟΥ</v>
      </c>
      <c r="I1436">
        <v>70014</v>
      </c>
      <c r="J1436">
        <v>2897025465</v>
      </c>
      <c r="K1436">
        <v>6948487183</v>
      </c>
      <c r="L1436">
        <v>6976227852</v>
      </c>
      <c r="M1436" t="s">
        <v>3233</v>
      </c>
      <c r="N1436" t="s">
        <v>246</v>
      </c>
      <c r="O1436" t="s">
        <v>247</v>
      </c>
      <c r="R1436" t="s">
        <v>57</v>
      </c>
      <c r="S1436">
        <v>7</v>
      </c>
      <c r="T1436">
        <v>206</v>
      </c>
      <c r="U1436" s="1">
        <v>37866</v>
      </c>
      <c r="V1436" t="s">
        <v>123</v>
      </c>
      <c r="W1436" t="s">
        <v>124</v>
      </c>
      <c r="X1436" t="s">
        <v>58</v>
      </c>
      <c r="Y1436">
        <v>20</v>
      </c>
      <c r="Z1436" t="s">
        <v>59</v>
      </c>
      <c r="AA1436" t="s">
        <v>59</v>
      </c>
      <c r="AB1436" t="s">
        <v>59</v>
      </c>
      <c r="AC1436" t="s">
        <v>59</v>
      </c>
      <c r="AD1436" t="s">
        <v>59</v>
      </c>
      <c r="AF1436" s="1">
        <v>37866</v>
      </c>
      <c r="AG1436" t="s">
        <v>148</v>
      </c>
      <c r="AH1436" t="s">
        <v>149</v>
      </c>
      <c r="AI1436" t="str">
        <f>"1768010"</f>
        <v>1768010</v>
      </c>
      <c r="AJ1436" t="s">
        <v>1012</v>
      </c>
      <c r="AK1436">
        <v>2897032070</v>
      </c>
      <c r="AL1436" t="s">
        <v>1013</v>
      </c>
      <c r="AM1436" t="s">
        <v>78</v>
      </c>
      <c r="AN1436" t="s">
        <v>219</v>
      </c>
      <c r="AO1436" t="s">
        <v>527</v>
      </c>
      <c r="AP1436" t="s">
        <v>527</v>
      </c>
      <c r="AQ1436">
        <v>20</v>
      </c>
      <c r="AR1436" t="s">
        <v>123</v>
      </c>
      <c r="AS1436" t="s">
        <v>124</v>
      </c>
      <c r="AT1436" t="s">
        <v>58</v>
      </c>
      <c r="AU1436" t="s">
        <v>68</v>
      </c>
      <c r="AV1436" t="s">
        <v>69</v>
      </c>
      <c r="AW1436" s="1">
        <v>25196</v>
      </c>
      <c r="AX1436">
        <v>2</v>
      </c>
    </row>
    <row r="1437" spans="1:50">
      <c r="A1437">
        <v>193175</v>
      </c>
      <c r="B1437" t="str">
        <f>"110126338"</f>
        <v>110126338</v>
      </c>
      <c r="C1437" t="s">
        <v>50</v>
      </c>
      <c r="D1437" t="s">
        <v>3232</v>
      </c>
      <c r="E1437" t="s">
        <v>83</v>
      </c>
      <c r="F1437" t="s">
        <v>315</v>
      </c>
      <c r="G1437" t="s">
        <v>755</v>
      </c>
      <c r="H1437" t="str">
        <f>"ΑΡΧΑΝΕΣ Κ. ΑΡΧΑΝΕΣ"</f>
        <v>ΑΡΧΑΝΕΣ Κ. ΑΡΧΑΝΕΣ</v>
      </c>
      <c r="I1437">
        <v>70100</v>
      </c>
      <c r="J1437">
        <v>2810752961</v>
      </c>
      <c r="K1437">
        <v>6974039696</v>
      </c>
      <c r="N1437" t="s">
        <v>146</v>
      </c>
      <c r="O1437" t="s">
        <v>147</v>
      </c>
      <c r="R1437" t="s">
        <v>57</v>
      </c>
      <c r="S1437">
        <v>10</v>
      </c>
      <c r="T1437">
        <v>193</v>
      </c>
      <c r="U1437" s="1">
        <v>37497</v>
      </c>
      <c r="V1437" t="s">
        <v>123</v>
      </c>
      <c r="W1437" t="s">
        <v>124</v>
      </c>
      <c r="X1437" t="s">
        <v>58</v>
      </c>
      <c r="Y1437">
        <v>18</v>
      </c>
      <c r="Z1437" t="s">
        <v>59</v>
      </c>
      <c r="AA1437" t="s">
        <v>59</v>
      </c>
      <c r="AB1437" t="s">
        <v>59</v>
      </c>
      <c r="AC1437" t="s">
        <v>59</v>
      </c>
      <c r="AD1437" t="s">
        <v>59</v>
      </c>
      <c r="AF1437" s="1">
        <v>37501</v>
      </c>
      <c r="AG1437" t="s">
        <v>148</v>
      </c>
      <c r="AH1437" t="s">
        <v>149</v>
      </c>
      <c r="AI1437" t="str">
        <f>"1753010"</f>
        <v>1753010</v>
      </c>
      <c r="AJ1437" t="s">
        <v>571</v>
      </c>
      <c r="AK1437">
        <v>2810751528</v>
      </c>
      <c r="AL1437" t="s">
        <v>572</v>
      </c>
      <c r="AM1437" t="s">
        <v>78</v>
      </c>
      <c r="AN1437" t="s">
        <v>424</v>
      </c>
      <c r="AO1437" t="s">
        <v>425</v>
      </c>
      <c r="AP1437" t="s">
        <v>425</v>
      </c>
      <c r="AQ1437">
        <v>13</v>
      </c>
      <c r="AR1437" t="s">
        <v>123</v>
      </c>
      <c r="AS1437" t="s">
        <v>124</v>
      </c>
      <c r="AT1437" t="s">
        <v>58</v>
      </c>
      <c r="AU1437" t="s">
        <v>68</v>
      </c>
      <c r="AV1437" t="s">
        <v>69</v>
      </c>
      <c r="AW1437" s="1">
        <v>23974</v>
      </c>
      <c r="AX1437">
        <v>2</v>
      </c>
    </row>
    <row r="1438" spans="1:50">
      <c r="A1438">
        <v>212326</v>
      </c>
      <c r="B1438" t="str">
        <f>"103521999"</f>
        <v>103521999</v>
      </c>
      <c r="C1438" t="s">
        <v>50</v>
      </c>
      <c r="D1438" t="s">
        <v>3232</v>
      </c>
      <c r="E1438" t="s">
        <v>545</v>
      </c>
      <c r="F1438" t="s">
        <v>995</v>
      </c>
      <c r="G1438" t="s">
        <v>237</v>
      </c>
      <c r="H1438" t="str">
        <f>"ΚΛΕΑΝΘΗ 13 ΗΡΑΚΛΕΙΟ"</f>
        <v>ΚΛΕΑΝΘΗ 13 ΗΡΑΚΛΕΙΟ</v>
      </c>
      <c r="I1438">
        <v>71307</v>
      </c>
      <c r="J1438">
        <v>2810320194</v>
      </c>
      <c r="K1438">
        <v>6945440833</v>
      </c>
      <c r="N1438" t="s">
        <v>146</v>
      </c>
      <c r="O1438" t="s">
        <v>147</v>
      </c>
      <c r="R1438" t="s">
        <v>57</v>
      </c>
      <c r="S1438">
        <v>7</v>
      </c>
      <c r="T1438">
        <v>231</v>
      </c>
      <c r="U1438" s="1">
        <v>38960</v>
      </c>
      <c r="V1438" t="s">
        <v>123</v>
      </c>
      <c r="W1438" t="s">
        <v>124</v>
      </c>
      <c r="X1438" t="s">
        <v>58</v>
      </c>
      <c r="Y1438">
        <v>20</v>
      </c>
      <c r="Z1438" t="s">
        <v>59</v>
      </c>
      <c r="AA1438" t="s">
        <v>59</v>
      </c>
      <c r="AB1438" t="s">
        <v>59</v>
      </c>
      <c r="AC1438" t="s">
        <v>59</v>
      </c>
      <c r="AD1438" t="s">
        <v>59</v>
      </c>
      <c r="AF1438" s="1">
        <v>38961</v>
      </c>
      <c r="AG1438" t="s">
        <v>125</v>
      </c>
      <c r="AH1438" t="s">
        <v>126</v>
      </c>
      <c r="AI1438" t="str">
        <f>"1701056"</f>
        <v>1701056</v>
      </c>
      <c r="AJ1438" t="s">
        <v>211</v>
      </c>
      <c r="AK1438">
        <v>2810245445</v>
      </c>
      <c r="AL1438" t="s">
        <v>212</v>
      </c>
      <c r="AM1438" t="s">
        <v>78</v>
      </c>
      <c r="AN1438" t="s">
        <v>78</v>
      </c>
      <c r="AO1438" t="s">
        <v>78</v>
      </c>
      <c r="AP1438" t="s">
        <v>213</v>
      </c>
      <c r="AQ1438">
        <v>6</v>
      </c>
      <c r="AR1438" t="s">
        <v>123</v>
      </c>
      <c r="AS1438" t="s">
        <v>124</v>
      </c>
      <c r="AT1438" t="s">
        <v>58</v>
      </c>
      <c r="AU1438" t="s">
        <v>68</v>
      </c>
      <c r="AV1438" t="s">
        <v>69</v>
      </c>
      <c r="AW1438" s="1">
        <v>25887</v>
      </c>
      <c r="AX1438">
        <v>2</v>
      </c>
    </row>
    <row r="1439" spans="1:50">
      <c r="A1439">
        <v>218149</v>
      </c>
      <c r="B1439" t="str">
        <f>"123154025"</f>
        <v>123154025</v>
      </c>
      <c r="C1439" t="s">
        <v>50</v>
      </c>
      <c r="D1439" t="s">
        <v>3232</v>
      </c>
      <c r="E1439" t="s">
        <v>714</v>
      </c>
      <c r="F1439" t="s">
        <v>92</v>
      </c>
      <c r="G1439" t="s">
        <v>372</v>
      </c>
      <c r="H1439" t="str">
        <f>"ΓΕΩΡΓ.ΠΑΠΑΝΙΚΟΛΑΟΥ  24 ΗΡΑΚΛΕΙΟ"</f>
        <v>ΓΕΩΡΓ.ΠΑΠΑΝΙΚΟΛΑΟΥ  24 ΗΡΑΚΛΕΙΟ</v>
      </c>
      <c r="I1439">
        <v>71307</v>
      </c>
      <c r="J1439">
        <v>2810239989</v>
      </c>
      <c r="K1439">
        <v>6977430316</v>
      </c>
      <c r="N1439" t="s">
        <v>292</v>
      </c>
      <c r="O1439" t="s">
        <v>293</v>
      </c>
      <c r="R1439" t="s">
        <v>57</v>
      </c>
      <c r="S1439">
        <v>6</v>
      </c>
      <c r="T1439">
        <v>599</v>
      </c>
      <c r="U1439" s="1">
        <v>39310</v>
      </c>
      <c r="V1439" t="s">
        <v>123</v>
      </c>
      <c r="W1439" t="s">
        <v>124</v>
      </c>
      <c r="X1439" t="s">
        <v>58</v>
      </c>
      <c r="Y1439">
        <v>20</v>
      </c>
      <c r="Z1439" t="s">
        <v>59</v>
      </c>
      <c r="AA1439" t="s">
        <v>59</v>
      </c>
      <c r="AB1439" t="s">
        <v>59</v>
      </c>
      <c r="AC1439" t="s">
        <v>59</v>
      </c>
      <c r="AD1439" t="s">
        <v>59</v>
      </c>
      <c r="AF1439" s="1">
        <v>39328</v>
      </c>
      <c r="AG1439" t="s">
        <v>148</v>
      </c>
      <c r="AH1439" t="s">
        <v>149</v>
      </c>
      <c r="AI1439" t="str">
        <f>"1767011"</f>
        <v>1767011</v>
      </c>
      <c r="AJ1439" t="s">
        <v>217</v>
      </c>
      <c r="AK1439">
        <v>2897021055</v>
      </c>
      <c r="AL1439" t="s">
        <v>218</v>
      </c>
      <c r="AM1439" t="s">
        <v>78</v>
      </c>
      <c r="AN1439" t="s">
        <v>219</v>
      </c>
      <c r="AO1439" t="s">
        <v>219</v>
      </c>
      <c r="AP1439" t="s">
        <v>220</v>
      </c>
      <c r="AQ1439">
        <v>20</v>
      </c>
      <c r="AR1439" t="s">
        <v>123</v>
      </c>
      <c r="AS1439" t="s">
        <v>124</v>
      </c>
      <c r="AT1439" t="s">
        <v>58</v>
      </c>
      <c r="AU1439" t="s">
        <v>68</v>
      </c>
      <c r="AV1439" t="s">
        <v>69</v>
      </c>
      <c r="AW1439" s="1">
        <v>24880</v>
      </c>
      <c r="AX1439">
        <v>2</v>
      </c>
    </row>
    <row r="1440" spans="1:50">
      <c r="A1440">
        <v>216641</v>
      </c>
      <c r="B1440" t="str">
        <f>"038839609"</f>
        <v>038839609</v>
      </c>
      <c r="C1440" t="s">
        <v>50</v>
      </c>
      <c r="D1440" t="s">
        <v>3232</v>
      </c>
      <c r="E1440" t="s">
        <v>3234</v>
      </c>
      <c r="F1440" t="s">
        <v>108</v>
      </c>
      <c r="G1440" t="s">
        <v>112</v>
      </c>
      <c r="H1440" t="str">
        <f>" "</f>
        <v xml:space="preserve"> </v>
      </c>
      <c r="J1440">
        <v>2810381757</v>
      </c>
      <c r="K1440">
        <v>6977288334</v>
      </c>
      <c r="M1440" t="s">
        <v>3235</v>
      </c>
      <c r="N1440" t="s">
        <v>299</v>
      </c>
      <c r="O1440" t="s">
        <v>300</v>
      </c>
      <c r="R1440" t="s">
        <v>57</v>
      </c>
      <c r="S1440">
        <v>5</v>
      </c>
      <c r="T1440">
        <v>236</v>
      </c>
      <c r="U1440" s="1">
        <v>38961</v>
      </c>
      <c r="V1440" t="s">
        <v>123</v>
      </c>
      <c r="W1440" t="s">
        <v>124</v>
      </c>
      <c r="X1440" t="s">
        <v>58</v>
      </c>
      <c r="Y1440">
        <v>20</v>
      </c>
      <c r="Z1440" t="s">
        <v>59</v>
      </c>
      <c r="AA1440" t="s">
        <v>59</v>
      </c>
      <c r="AB1440" t="s">
        <v>59</v>
      </c>
      <c r="AC1440" t="s">
        <v>59</v>
      </c>
      <c r="AD1440" t="s">
        <v>59</v>
      </c>
      <c r="AF1440" s="1">
        <v>38964</v>
      </c>
      <c r="AG1440" t="s">
        <v>137</v>
      </c>
      <c r="AH1440" t="s">
        <v>138</v>
      </c>
      <c r="AI1440" t="str">
        <f>"1740080"</f>
        <v>1740080</v>
      </c>
      <c r="AJ1440" t="s">
        <v>284</v>
      </c>
      <c r="AK1440">
        <v>2810220433</v>
      </c>
      <c r="AL1440" t="s">
        <v>285</v>
      </c>
      <c r="AM1440" t="s">
        <v>78</v>
      </c>
      <c r="AN1440" t="s">
        <v>78</v>
      </c>
      <c r="AO1440" t="s">
        <v>286</v>
      </c>
      <c r="AP1440" t="s">
        <v>286</v>
      </c>
      <c r="AQ1440">
        <v>12</v>
      </c>
      <c r="AR1440" t="s">
        <v>123</v>
      </c>
      <c r="AS1440" t="s">
        <v>124</v>
      </c>
      <c r="AT1440" t="s">
        <v>58</v>
      </c>
      <c r="AU1440" t="s">
        <v>68</v>
      </c>
      <c r="AV1440" t="s">
        <v>69</v>
      </c>
      <c r="AW1440" s="1">
        <v>24731</v>
      </c>
      <c r="AX1440">
        <v>2</v>
      </c>
    </row>
    <row r="1441" spans="1:50">
      <c r="A1441">
        <v>176841</v>
      </c>
      <c r="B1441" t="str">
        <f>"110119568"</f>
        <v>110119568</v>
      </c>
      <c r="C1441" t="s">
        <v>50</v>
      </c>
      <c r="D1441" t="s">
        <v>3236</v>
      </c>
      <c r="E1441" t="s">
        <v>215</v>
      </c>
      <c r="F1441" t="s">
        <v>53</v>
      </c>
      <c r="G1441" t="s">
        <v>52</v>
      </c>
      <c r="H1441" t="str">
        <f>"ΦΛΩΡΙΝΗΣ 50 ΠΟΡΟΣ"</f>
        <v>ΦΛΩΡΙΝΗΣ 50 ΠΟΡΟΣ</v>
      </c>
      <c r="I1441">
        <v>71307</v>
      </c>
      <c r="J1441">
        <v>2810242555</v>
      </c>
      <c r="K1441">
        <v>6972696114</v>
      </c>
      <c r="N1441" t="s">
        <v>288</v>
      </c>
      <c r="O1441" t="s">
        <v>289</v>
      </c>
      <c r="R1441" t="s">
        <v>57</v>
      </c>
      <c r="S1441">
        <v>10</v>
      </c>
      <c r="T1441">
        <v>180</v>
      </c>
      <c r="U1441" s="1">
        <v>35674</v>
      </c>
      <c r="V1441" t="s">
        <v>123</v>
      </c>
      <c r="W1441" t="s">
        <v>124</v>
      </c>
      <c r="X1441" t="s">
        <v>58</v>
      </c>
      <c r="Y1441">
        <v>18</v>
      </c>
      <c r="Z1441" t="s">
        <v>59</v>
      </c>
      <c r="AA1441" t="s">
        <v>59</v>
      </c>
      <c r="AB1441" t="s">
        <v>59</v>
      </c>
      <c r="AC1441" t="s">
        <v>59</v>
      </c>
      <c r="AD1441" t="s">
        <v>59</v>
      </c>
      <c r="AF1441" s="1">
        <v>35678</v>
      </c>
      <c r="AG1441" t="s">
        <v>125</v>
      </c>
      <c r="AH1441" t="s">
        <v>126</v>
      </c>
      <c r="AI1441" t="str">
        <f>"1701057"</f>
        <v>1701057</v>
      </c>
      <c r="AJ1441" t="s">
        <v>379</v>
      </c>
      <c r="AK1441">
        <v>2810234488</v>
      </c>
      <c r="AL1441" t="s">
        <v>380</v>
      </c>
      <c r="AM1441" t="s">
        <v>78</v>
      </c>
      <c r="AN1441" t="s">
        <v>78</v>
      </c>
      <c r="AO1441" t="s">
        <v>78</v>
      </c>
      <c r="AP1441" t="s">
        <v>163</v>
      </c>
      <c r="AQ1441">
        <v>8</v>
      </c>
      <c r="AR1441" t="s">
        <v>123</v>
      </c>
      <c r="AS1441" t="s">
        <v>124</v>
      </c>
      <c r="AT1441" t="s">
        <v>58</v>
      </c>
      <c r="AU1441" t="s">
        <v>68</v>
      </c>
      <c r="AV1441" t="s">
        <v>69</v>
      </c>
      <c r="AW1441" s="1">
        <v>20576</v>
      </c>
      <c r="AX1441">
        <v>2</v>
      </c>
    </row>
    <row r="1442" spans="1:50">
      <c r="A1442">
        <v>193858</v>
      </c>
      <c r="B1442" t="str">
        <f>"035943641"</f>
        <v>035943641</v>
      </c>
      <c r="C1442" t="s">
        <v>50</v>
      </c>
      <c r="D1442" t="s">
        <v>3237</v>
      </c>
      <c r="E1442" t="s">
        <v>3238</v>
      </c>
      <c r="F1442" t="s">
        <v>72</v>
      </c>
      <c r="G1442" t="s">
        <v>340</v>
      </c>
      <c r="H1442" t="str">
        <f>"ΚΟΥΝΑΒΟΙ ΑΡΧΑΝΩΝ-ΑΣΤΕΡΟΥΣΙΩΝ ΗΡΑΚΛΕΙΟ"</f>
        <v>ΚΟΥΝΑΒΟΙ ΑΡΧΑΝΩΝ-ΑΣΤΕΡΟΥΣΙΩΝ ΗΡΑΚΛΕΙΟ</v>
      </c>
      <c r="I1442">
        <v>70100</v>
      </c>
      <c r="J1442">
        <v>2810742151</v>
      </c>
      <c r="K1442">
        <v>6976887996</v>
      </c>
      <c r="L1442">
        <v>2810741005</v>
      </c>
      <c r="N1442" t="s">
        <v>478</v>
      </c>
      <c r="O1442" t="s">
        <v>479</v>
      </c>
      <c r="R1442" t="s">
        <v>57</v>
      </c>
      <c r="S1442">
        <v>11</v>
      </c>
      <c r="T1442">
        <v>193</v>
      </c>
      <c r="U1442" s="1">
        <v>37497</v>
      </c>
      <c r="V1442" t="s">
        <v>123</v>
      </c>
      <c r="W1442" t="s">
        <v>124</v>
      </c>
      <c r="X1442" t="s">
        <v>58</v>
      </c>
      <c r="Y1442">
        <v>18</v>
      </c>
      <c r="Z1442" t="s">
        <v>59</v>
      </c>
      <c r="AA1442" t="s">
        <v>59</v>
      </c>
      <c r="AB1442" t="s">
        <v>59</v>
      </c>
      <c r="AC1442" t="s">
        <v>59</v>
      </c>
      <c r="AD1442" t="s">
        <v>59</v>
      </c>
      <c r="AF1442" s="1">
        <v>37501</v>
      </c>
      <c r="AG1442" t="s">
        <v>125</v>
      </c>
      <c r="AH1442" t="s">
        <v>126</v>
      </c>
      <c r="AI1442" t="str">
        <f>"1711010"</f>
        <v>1711010</v>
      </c>
      <c r="AJ1442" t="s">
        <v>695</v>
      </c>
      <c r="AK1442">
        <v>2810741301</v>
      </c>
      <c r="AL1442" t="s">
        <v>696</v>
      </c>
      <c r="AM1442" t="s">
        <v>78</v>
      </c>
      <c r="AN1442" t="s">
        <v>424</v>
      </c>
      <c r="AO1442" t="s">
        <v>428</v>
      </c>
      <c r="AP1442" t="s">
        <v>429</v>
      </c>
      <c r="AQ1442">
        <v>14</v>
      </c>
      <c r="AR1442" t="s">
        <v>123</v>
      </c>
      <c r="AS1442" t="s">
        <v>124</v>
      </c>
      <c r="AT1442" t="s">
        <v>58</v>
      </c>
      <c r="AU1442" t="s">
        <v>68</v>
      </c>
      <c r="AV1442" t="s">
        <v>69</v>
      </c>
      <c r="AW1442" s="1">
        <v>23012</v>
      </c>
      <c r="AX1442">
        <v>2</v>
      </c>
    </row>
    <row r="1443" spans="1:50">
      <c r="A1443">
        <v>209198</v>
      </c>
      <c r="B1443" t="str">
        <f>"113551521"</f>
        <v>113551521</v>
      </c>
      <c r="C1443" t="s">
        <v>105</v>
      </c>
      <c r="D1443" t="s">
        <v>3239</v>
      </c>
      <c r="E1443" t="s">
        <v>53</v>
      </c>
      <c r="F1443" t="s">
        <v>108</v>
      </c>
      <c r="G1443" t="s">
        <v>3240</v>
      </c>
      <c r="H1443" t="str">
        <f>"ΜΟΙΡΕΣ "</f>
        <v xml:space="preserve">ΜΟΙΡΕΣ </v>
      </c>
      <c r="I1443">
        <v>70400</v>
      </c>
      <c r="J1443">
        <v>2892025152</v>
      </c>
      <c r="K1443">
        <v>6979950766</v>
      </c>
      <c r="L1443">
        <v>2421036538</v>
      </c>
      <c r="M1443" t="s">
        <v>3241</v>
      </c>
      <c r="N1443" t="s">
        <v>204</v>
      </c>
      <c r="O1443" t="s">
        <v>205</v>
      </c>
      <c r="R1443" t="s">
        <v>57</v>
      </c>
      <c r="S1443">
        <v>6</v>
      </c>
      <c r="T1443">
        <v>218</v>
      </c>
      <c r="U1443" s="1">
        <v>38596</v>
      </c>
      <c r="V1443" t="s">
        <v>123</v>
      </c>
      <c r="W1443" t="s">
        <v>124</v>
      </c>
      <c r="X1443" t="s">
        <v>58</v>
      </c>
      <c r="Y1443">
        <v>20</v>
      </c>
      <c r="Z1443" t="s">
        <v>59</v>
      </c>
      <c r="AA1443" t="s">
        <v>59</v>
      </c>
      <c r="AB1443" t="s">
        <v>59</v>
      </c>
      <c r="AC1443" t="s">
        <v>59</v>
      </c>
      <c r="AD1443" t="s">
        <v>59</v>
      </c>
      <c r="AF1443" s="1">
        <v>38600</v>
      </c>
      <c r="AG1443" t="s">
        <v>125</v>
      </c>
      <c r="AH1443" t="s">
        <v>515</v>
      </c>
      <c r="AI1443" t="str">
        <f>"1713015"</f>
        <v>1713015</v>
      </c>
      <c r="AJ1443" t="s">
        <v>516</v>
      </c>
      <c r="AK1443">
        <v>2892051870</v>
      </c>
      <c r="AL1443" t="s">
        <v>517</v>
      </c>
      <c r="AM1443" t="s">
        <v>78</v>
      </c>
      <c r="AN1443" t="s">
        <v>242</v>
      </c>
      <c r="AO1443" t="s">
        <v>349</v>
      </c>
      <c r="AP1443" t="s">
        <v>349</v>
      </c>
      <c r="AQ1443">
        <v>35</v>
      </c>
      <c r="AR1443" t="s">
        <v>123</v>
      </c>
      <c r="AS1443" t="s">
        <v>124</v>
      </c>
      <c r="AT1443" t="s">
        <v>58</v>
      </c>
      <c r="AU1443" t="s">
        <v>68</v>
      </c>
      <c r="AV1443" t="s">
        <v>69</v>
      </c>
      <c r="AW1443" s="1">
        <v>28053</v>
      </c>
      <c r="AX1443">
        <v>2</v>
      </c>
    </row>
    <row r="1444" spans="1:50">
      <c r="B1444" t="str">
        <f>"038972840"</f>
        <v>038972840</v>
      </c>
      <c r="C1444" t="s">
        <v>50</v>
      </c>
      <c r="D1444" t="s">
        <v>3242</v>
      </c>
      <c r="E1444" t="s">
        <v>250</v>
      </c>
      <c r="F1444" t="s">
        <v>383</v>
      </c>
      <c r="G1444" t="s">
        <v>396</v>
      </c>
      <c r="H1444" t="str">
        <f>"ΠΑΡ. ΚΑΠ/ΣΗΣ ΜΑΡΙΓΩΣ 13 ΗΡΑΚΛΕΙΟ"</f>
        <v>ΠΑΡ. ΚΑΠ/ΣΗΣ ΜΑΡΙΓΩΣ 13 ΗΡΑΚΛΕΙΟ</v>
      </c>
      <c r="I1444">
        <v>71201</v>
      </c>
      <c r="J1444">
        <v>2810283692</v>
      </c>
      <c r="K1444">
        <v>6932011178</v>
      </c>
      <c r="N1444" t="s">
        <v>292</v>
      </c>
      <c r="O1444" t="s">
        <v>293</v>
      </c>
      <c r="R1444" t="s">
        <v>57</v>
      </c>
      <c r="S1444">
        <v>10</v>
      </c>
      <c r="T1444" t="s">
        <v>416</v>
      </c>
      <c r="U1444" s="1">
        <v>43349</v>
      </c>
      <c r="V1444" t="s">
        <v>123</v>
      </c>
      <c r="W1444" t="s">
        <v>124</v>
      </c>
      <c r="X1444" t="s">
        <v>58</v>
      </c>
      <c r="Y1444">
        <v>20</v>
      </c>
      <c r="Z1444" t="s">
        <v>59</v>
      </c>
      <c r="AA1444" t="s">
        <v>59</v>
      </c>
      <c r="AB1444" t="s">
        <v>59</v>
      </c>
      <c r="AC1444" t="s">
        <v>59</v>
      </c>
      <c r="AD1444" t="s">
        <v>59</v>
      </c>
      <c r="AF1444" s="1">
        <v>43349</v>
      </c>
      <c r="AG1444" t="s">
        <v>137</v>
      </c>
      <c r="AH1444" t="s">
        <v>138</v>
      </c>
      <c r="AI1444" t="str">
        <f>"1750080"</f>
        <v>1750080</v>
      </c>
      <c r="AJ1444" t="s">
        <v>170</v>
      </c>
      <c r="AK1444">
        <v>2810234444</v>
      </c>
      <c r="AL1444" t="s">
        <v>171</v>
      </c>
      <c r="AM1444" t="s">
        <v>78</v>
      </c>
      <c r="AN1444" t="s">
        <v>78</v>
      </c>
      <c r="AO1444" t="s">
        <v>78</v>
      </c>
      <c r="AP1444" t="s">
        <v>163</v>
      </c>
      <c r="AQ1444">
        <v>9</v>
      </c>
      <c r="AR1444" t="s">
        <v>123</v>
      </c>
      <c r="AS1444" t="s">
        <v>124</v>
      </c>
      <c r="AT1444" t="s">
        <v>58</v>
      </c>
      <c r="AU1444" t="s">
        <v>419</v>
      </c>
      <c r="AV1444" t="s">
        <v>132</v>
      </c>
      <c r="AW1444" s="1">
        <v>25147</v>
      </c>
      <c r="AX1444">
        <v>2</v>
      </c>
    </row>
    <row r="1445" spans="1:50">
      <c r="B1445" t="str">
        <f>"064402616"</f>
        <v>064402616</v>
      </c>
      <c r="C1445" t="s">
        <v>50</v>
      </c>
      <c r="D1445" t="s">
        <v>3243</v>
      </c>
      <c r="E1445" t="s">
        <v>326</v>
      </c>
      <c r="F1445" t="s">
        <v>99</v>
      </c>
      <c r="G1445" t="s">
        <v>263</v>
      </c>
      <c r="H1445" t="str">
        <f>"ΑΝΤ. ΚΑΣΤΡΙΝΑΚΗ 46 "</f>
        <v xml:space="preserve">ΑΝΤ. ΚΑΣΤΡΙΝΑΚΗ 46 </v>
      </c>
      <c r="I1445">
        <v>71305</v>
      </c>
      <c r="J1445">
        <v>2810239206</v>
      </c>
      <c r="K1445">
        <v>6944532274</v>
      </c>
      <c r="M1445" t="s">
        <v>3244</v>
      </c>
      <c r="N1445" t="s">
        <v>883</v>
      </c>
      <c r="O1445" t="s">
        <v>884</v>
      </c>
      <c r="R1445" t="s">
        <v>159</v>
      </c>
      <c r="S1445">
        <v>4</v>
      </c>
      <c r="T1445" t="s">
        <v>344</v>
      </c>
      <c r="U1445" s="1">
        <v>43348</v>
      </c>
      <c r="V1445" t="s">
        <v>123</v>
      </c>
      <c r="W1445" t="s">
        <v>124</v>
      </c>
      <c r="X1445" t="s">
        <v>58</v>
      </c>
      <c r="Y1445">
        <v>23</v>
      </c>
      <c r="Z1445" t="s">
        <v>59</v>
      </c>
      <c r="AA1445" t="s">
        <v>59</v>
      </c>
      <c r="AB1445" t="s">
        <v>59</v>
      </c>
      <c r="AC1445" t="s">
        <v>59</v>
      </c>
      <c r="AD1445" t="s">
        <v>59</v>
      </c>
      <c r="AF1445" s="1">
        <v>43348</v>
      </c>
      <c r="AG1445" t="s">
        <v>125</v>
      </c>
      <c r="AH1445" t="s">
        <v>590</v>
      </c>
      <c r="AI1445" t="str">
        <f>"1740060"</f>
        <v>1740060</v>
      </c>
      <c r="AJ1445" t="s">
        <v>591</v>
      </c>
      <c r="AK1445">
        <v>2810232117</v>
      </c>
      <c r="AL1445" t="s">
        <v>592</v>
      </c>
      <c r="AM1445" t="s">
        <v>78</v>
      </c>
      <c r="AN1445" t="s">
        <v>78</v>
      </c>
      <c r="AO1445" t="s">
        <v>78</v>
      </c>
      <c r="AP1445" t="s">
        <v>141</v>
      </c>
      <c r="AQ1445">
        <v>11</v>
      </c>
      <c r="AR1445" t="s">
        <v>123</v>
      </c>
      <c r="AS1445" t="s">
        <v>124</v>
      </c>
      <c r="AT1445" t="s">
        <v>58</v>
      </c>
      <c r="AU1445" t="s">
        <v>350</v>
      </c>
      <c r="AV1445" t="s">
        <v>132</v>
      </c>
      <c r="AW1445" s="1">
        <v>30853</v>
      </c>
      <c r="AX1445">
        <v>2</v>
      </c>
    </row>
    <row r="1446" spans="1:50">
      <c r="A1446">
        <v>165775</v>
      </c>
      <c r="B1446" t="str">
        <f>"123152855"</f>
        <v>123152855</v>
      </c>
      <c r="C1446" t="s">
        <v>50</v>
      </c>
      <c r="D1446" t="s">
        <v>3245</v>
      </c>
      <c r="E1446" t="s">
        <v>396</v>
      </c>
      <c r="F1446" t="s">
        <v>3246</v>
      </c>
      <c r="G1446" t="s">
        <v>809</v>
      </c>
      <c r="H1446" t="str">
        <f>"ΜΑΤΘΑΙΑΚΗ 79 ΗΡΑΚΛΕΙΟ"</f>
        <v>ΜΑΤΘΑΙΑΚΗ 79 ΗΡΑΚΛΕΙΟ</v>
      </c>
      <c r="I1446">
        <v>71305</v>
      </c>
      <c r="J1446">
        <v>2810325012</v>
      </c>
      <c r="K1446">
        <v>6949723267</v>
      </c>
      <c r="M1446" t="s">
        <v>3247</v>
      </c>
      <c r="N1446" t="s">
        <v>146</v>
      </c>
      <c r="O1446" t="s">
        <v>147</v>
      </c>
      <c r="R1446" t="s">
        <v>57</v>
      </c>
      <c r="S1446">
        <v>19</v>
      </c>
      <c r="T1446">
        <v>137</v>
      </c>
      <c r="U1446" s="1">
        <v>34206</v>
      </c>
      <c r="V1446" t="s">
        <v>123</v>
      </c>
      <c r="W1446" t="s">
        <v>124</v>
      </c>
      <c r="X1446" t="s">
        <v>58</v>
      </c>
      <c r="Y1446">
        <v>18</v>
      </c>
      <c r="Z1446" t="s">
        <v>59</v>
      </c>
      <c r="AA1446" t="s">
        <v>59</v>
      </c>
      <c r="AB1446" t="s">
        <v>59</v>
      </c>
      <c r="AC1446" t="s">
        <v>59</v>
      </c>
      <c r="AD1446" t="s">
        <v>59</v>
      </c>
      <c r="AF1446" s="1">
        <v>34215</v>
      </c>
      <c r="AG1446" t="s">
        <v>148</v>
      </c>
      <c r="AH1446" t="s">
        <v>149</v>
      </c>
      <c r="AI1446" t="str">
        <f>"1751052"</f>
        <v>1751052</v>
      </c>
      <c r="AJ1446" t="s">
        <v>328</v>
      </c>
      <c r="AK1446">
        <v>2810213762</v>
      </c>
      <c r="AL1446" t="s">
        <v>329</v>
      </c>
      <c r="AM1446" t="s">
        <v>78</v>
      </c>
      <c r="AN1446" t="s">
        <v>78</v>
      </c>
      <c r="AO1446" t="s">
        <v>78</v>
      </c>
      <c r="AP1446" t="s">
        <v>163</v>
      </c>
      <c r="AQ1446">
        <v>8</v>
      </c>
      <c r="AR1446" t="s">
        <v>123</v>
      </c>
      <c r="AS1446" t="s">
        <v>124</v>
      </c>
      <c r="AT1446" t="s">
        <v>58</v>
      </c>
      <c r="AU1446" t="s">
        <v>68</v>
      </c>
      <c r="AV1446" t="s">
        <v>69</v>
      </c>
      <c r="AW1446" s="1">
        <v>23824</v>
      </c>
      <c r="AX1446">
        <v>2</v>
      </c>
    </row>
    <row r="1447" spans="1:50">
      <c r="A1447">
        <v>174491</v>
      </c>
      <c r="B1447" t="str">
        <f>"025987039"</f>
        <v>025987039</v>
      </c>
      <c r="C1447" t="s">
        <v>50</v>
      </c>
      <c r="D1447" t="s">
        <v>3248</v>
      </c>
      <c r="E1447" t="s">
        <v>112</v>
      </c>
      <c r="F1447" t="s">
        <v>166</v>
      </c>
      <c r="G1447" t="s">
        <v>3249</v>
      </c>
      <c r="H1447" t="str">
        <f>" "</f>
        <v xml:space="preserve"> </v>
      </c>
      <c r="K1447">
        <v>6976365062</v>
      </c>
      <c r="M1447" t="s">
        <v>3250</v>
      </c>
      <c r="N1447" t="s">
        <v>135</v>
      </c>
      <c r="O1447" t="s">
        <v>136</v>
      </c>
      <c r="P1447" t="s">
        <v>615</v>
      </c>
      <c r="Q1447" t="s">
        <v>616</v>
      </c>
      <c r="R1447" t="s">
        <v>57</v>
      </c>
      <c r="S1447">
        <v>12</v>
      </c>
      <c r="T1447">
        <v>166</v>
      </c>
      <c r="U1447" s="1">
        <v>35300</v>
      </c>
      <c r="V1447" t="s">
        <v>123</v>
      </c>
      <c r="W1447" t="s">
        <v>124</v>
      </c>
      <c r="X1447" t="s">
        <v>58</v>
      </c>
      <c r="Y1447">
        <v>18</v>
      </c>
      <c r="Z1447" t="s">
        <v>59</v>
      </c>
      <c r="AA1447" t="s">
        <v>59</v>
      </c>
      <c r="AB1447" t="s">
        <v>59</v>
      </c>
      <c r="AC1447" t="s">
        <v>59</v>
      </c>
      <c r="AD1447" t="s">
        <v>59</v>
      </c>
      <c r="AF1447" s="1">
        <v>35311</v>
      </c>
      <c r="AG1447" t="s">
        <v>137</v>
      </c>
      <c r="AH1447" t="s">
        <v>138</v>
      </c>
      <c r="AI1447" t="str">
        <f>"1740080"</f>
        <v>1740080</v>
      </c>
      <c r="AJ1447" t="s">
        <v>284</v>
      </c>
      <c r="AK1447">
        <v>2810220433</v>
      </c>
      <c r="AL1447" t="s">
        <v>285</v>
      </c>
      <c r="AM1447" t="s">
        <v>78</v>
      </c>
      <c r="AN1447" t="s">
        <v>78</v>
      </c>
      <c r="AO1447" t="s">
        <v>286</v>
      </c>
      <c r="AP1447" t="s">
        <v>286</v>
      </c>
      <c r="AQ1447">
        <v>12</v>
      </c>
      <c r="AR1447" t="s">
        <v>123</v>
      </c>
      <c r="AS1447" t="s">
        <v>124</v>
      </c>
      <c r="AT1447" t="s">
        <v>58</v>
      </c>
      <c r="AU1447" t="s">
        <v>68</v>
      </c>
      <c r="AV1447" t="s">
        <v>69</v>
      </c>
      <c r="AW1447" s="1">
        <v>22920</v>
      </c>
      <c r="AX1447">
        <v>2</v>
      </c>
    </row>
    <row r="1448" spans="1:50">
      <c r="A1448">
        <v>208920</v>
      </c>
      <c r="B1448" t="str">
        <f>"054829665"</f>
        <v>054829665</v>
      </c>
      <c r="C1448" t="s">
        <v>105</v>
      </c>
      <c r="D1448" t="s">
        <v>3251</v>
      </c>
      <c r="E1448" t="s">
        <v>72</v>
      </c>
      <c r="F1448" t="s">
        <v>1111</v>
      </c>
      <c r="G1448" t="s">
        <v>188</v>
      </c>
      <c r="H1448" t="str">
        <f>" "</f>
        <v xml:space="preserve"> </v>
      </c>
      <c r="J1448">
        <v>2810318658</v>
      </c>
      <c r="K1448">
        <v>6973266776</v>
      </c>
      <c r="M1448" t="s">
        <v>3252</v>
      </c>
      <c r="N1448" t="s">
        <v>583</v>
      </c>
      <c r="O1448" t="s">
        <v>584</v>
      </c>
      <c r="R1448" t="s">
        <v>57</v>
      </c>
      <c r="S1448">
        <v>8</v>
      </c>
      <c r="T1448">
        <v>218</v>
      </c>
      <c r="U1448" s="1">
        <v>38596</v>
      </c>
      <c r="V1448" t="s">
        <v>123</v>
      </c>
      <c r="W1448" t="s">
        <v>124</v>
      </c>
      <c r="X1448" t="s">
        <v>58</v>
      </c>
      <c r="Y1448">
        <v>20</v>
      </c>
      <c r="Z1448" t="s">
        <v>59</v>
      </c>
      <c r="AA1448" t="s">
        <v>59</v>
      </c>
      <c r="AB1448" t="s">
        <v>59</v>
      </c>
      <c r="AC1448" t="s">
        <v>59</v>
      </c>
      <c r="AD1448" t="s">
        <v>59</v>
      </c>
      <c r="AF1448" s="1">
        <v>38601</v>
      </c>
      <c r="AG1448" t="s">
        <v>137</v>
      </c>
      <c r="AH1448" t="s">
        <v>138</v>
      </c>
      <c r="AI1448" t="str">
        <f>"1740100"</f>
        <v>1740100</v>
      </c>
      <c r="AJ1448" t="s">
        <v>857</v>
      </c>
      <c r="AK1448">
        <v>2810360741</v>
      </c>
      <c r="AL1448" t="s">
        <v>858</v>
      </c>
      <c r="AM1448" t="s">
        <v>78</v>
      </c>
      <c r="AN1448" t="s">
        <v>78</v>
      </c>
      <c r="AO1448" t="s">
        <v>78</v>
      </c>
      <c r="AP1448" t="s">
        <v>163</v>
      </c>
      <c r="AQ1448">
        <v>5</v>
      </c>
      <c r="AR1448" t="s">
        <v>123</v>
      </c>
      <c r="AS1448" t="s">
        <v>124</v>
      </c>
      <c r="AT1448" t="s">
        <v>58</v>
      </c>
      <c r="AU1448" t="s">
        <v>68</v>
      </c>
      <c r="AV1448" t="s">
        <v>69</v>
      </c>
      <c r="AW1448" s="1">
        <v>26444</v>
      </c>
      <c r="AX1448">
        <v>2</v>
      </c>
    </row>
    <row r="1449" spans="1:50">
      <c r="A1449">
        <v>223798</v>
      </c>
      <c r="B1449" t="str">
        <f>"070368402"</f>
        <v>070368402</v>
      </c>
      <c r="C1449" t="s">
        <v>50</v>
      </c>
      <c r="D1449" t="s">
        <v>3253</v>
      </c>
      <c r="E1449" t="s">
        <v>650</v>
      </c>
      <c r="F1449" t="s">
        <v>106</v>
      </c>
      <c r="G1449" t="s">
        <v>1179</v>
      </c>
      <c r="H1449" t="str">
        <f>"ΡΟΔΟΠΗΣ 20 ΗΡΑΚΛΕΙΟ"</f>
        <v>ΡΟΔΟΠΗΣ 20 ΗΡΑΚΛΕΙΟ</v>
      </c>
      <c r="I1449">
        <v>71307</v>
      </c>
      <c r="J1449">
        <v>2810227017</v>
      </c>
      <c r="K1449">
        <v>6948802652</v>
      </c>
      <c r="L1449">
        <v>2421091356</v>
      </c>
      <c r="M1449" t="s">
        <v>3254</v>
      </c>
      <c r="N1449" t="s">
        <v>246</v>
      </c>
      <c r="O1449" t="s">
        <v>247</v>
      </c>
      <c r="R1449" t="s">
        <v>57</v>
      </c>
      <c r="S1449">
        <v>7</v>
      </c>
      <c r="T1449">
        <v>775</v>
      </c>
      <c r="U1449" s="1">
        <v>39680</v>
      </c>
      <c r="V1449" t="s">
        <v>123</v>
      </c>
      <c r="W1449" t="s">
        <v>124</v>
      </c>
      <c r="X1449" t="s">
        <v>58</v>
      </c>
      <c r="Y1449">
        <v>21</v>
      </c>
      <c r="Z1449" t="s">
        <v>59</v>
      </c>
      <c r="AA1449" t="s">
        <v>59</v>
      </c>
      <c r="AB1449" t="s">
        <v>59</v>
      </c>
      <c r="AC1449" t="s">
        <v>59</v>
      </c>
      <c r="AD1449" t="s">
        <v>59</v>
      </c>
      <c r="AF1449" s="1">
        <v>39682</v>
      </c>
      <c r="AG1449" t="s">
        <v>148</v>
      </c>
      <c r="AH1449" t="s">
        <v>1053</v>
      </c>
      <c r="AI1449" t="str">
        <f>"1790200"</f>
        <v>1790200</v>
      </c>
      <c r="AJ1449" t="s">
        <v>1054</v>
      </c>
      <c r="AK1449">
        <v>2810360880</v>
      </c>
      <c r="AL1449" t="s">
        <v>1055</v>
      </c>
      <c r="AM1449" t="s">
        <v>78</v>
      </c>
      <c r="AN1449" t="s">
        <v>78</v>
      </c>
      <c r="AO1449" t="s">
        <v>78</v>
      </c>
      <c r="AP1449" t="s">
        <v>163</v>
      </c>
      <c r="AQ1449">
        <v>8</v>
      </c>
      <c r="AR1449" t="s">
        <v>123</v>
      </c>
      <c r="AS1449" t="s">
        <v>124</v>
      </c>
      <c r="AT1449" t="s">
        <v>58</v>
      </c>
      <c r="AU1449" t="s">
        <v>68</v>
      </c>
      <c r="AV1449" t="s">
        <v>69</v>
      </c>
      <c r="AW1449" s="1">
        <v>28474</v>
      </c>
      <c r="AX1449">
        <v>2</v>
      </c>
    </row>
    <row r="1450" spans="1:50">
      <c r="A1450">
        <v>187747</v>
      </c>
      <c r="B1450" t="str">
        <f>"042953704"</f>
        <v>042953704</v>
      </c>
      <c r="C1450" t="s">
        <v>105</v>
      </c>
      <c r="D1450" t="s">
        <v>3255</v>
      </c>
      <c r="E1450" t="s">
        <v>84</v>
      </c>
      <c r="F1450" t="s">
        <v>72</v>
      </c>
      <c r="G1450" t="s">
        <v>2251</v>
      </c>
      <c r="H1450" t="str">
        <f>"Β.ΨΥΛΛΑΚΗ 15 ΗΡΑΚΛΕΙΟ"</f>
        <v>Β.ΨΥΛΛΑΚΗ 15 ΗΡΑΚΛΕΙΟ</v>
      </c>
      <c r="I1450">
        <v>71305</v>
      </c>
      <c r="J1450">
        <v>2810317458</v>
      </c>
      <c r="K1450">
        <v>6945772020</v>
      </c>
      <c r="M1450" t="s">
        <v>3256</v>
      </c>
      <c r="N1450" t="s">
        <v>204</v>
      </c>
      <c r="O1450" t="s">
        <v>205</v>
      </c>
      <c r="R1450" t="s">
        <v>57</v>
      </c>
      <c r="S1450">
        <v>8</v>
      </c>
      <c r="T1450">
        <v>251</v>
      </c>
      <c r="U1450" s="1">
        <v>36769</v>
      </c>
      <c r="V1450" t="s">
        <v>123</v>
      </c>
      <c r="W1450" t="s">
        <v>124</v>
      </c>
      <c r="X1450" t="s">
        <v>58</v>
      </c>
      <c r="Y1450">
        <v>20</v>
      </c>
      <c r="Z1450" t="s">
        <v>59</v>
      </c>
      <c r="AA1450" t="s">
        <v>59</v>
      </c>
      <c r="AB1450" t="s">
        <v>59</v>
      </c>
      <c r="AC1450" t="s">
        <v>59</v>
      </c>
      <c r="AD1450" t="s">
        <v>59</v>
      </c>
      <c r="AF1450" s="1">
        <v>36770</v>
      </c>
      <c r="AG1450" t="s">
        <v>125</v>
      </c>
      <c r="AH1450" t="s">
        <v>126</v>
      </c>
      <c r="AI1450" t="str">
        <f>"1701010"</f>
        <v>1701010</v>
      </c>
      <c r="AJ1450" t="s">
        <v>374</v>
      </c>
      <c r="AK1450">
        <v>2810227148</v>
      </c>
      <c r="AL1450" t="s">
        <v>375</v>
      </c>
      <c r="AM1450" t="s">
        <v>78</v>
      </c>
      <c r="AN1450" t="s">
        <v>78</v>
      </c>
      <c r="AO1450" t="s">
        <v>78</v>
      </c>
      <c r="AP1450" t="s">
        <v>79</v>
      </c>
      <c r="AQ1450">
        <v>1</v>
      </c>
      <c r="AR1450" t="s">
        <v>123</v>
      </c>
      <c r="AS1450" t="s">
        <v>124</v>
      </c>
      <c r="AT1450" t="s">
        <v>58</v>
      </c>
      <c r="AU1450" t="s">
        <v>68</v>
      </c>
      <c r="AV1450" t="s">
        <v>69</v>
      </c>
      <c r="AW1450" s="1">
        <v>25749</v>
      </c>
      <c r="AX1450">
        <v>2</v>
      </c>
    </row>
    <row r="1451" spans="1:50">
      <c r="A1451">
        <v>223121</v>
      </c>
      <c r="B1451" t="str">
        <f>"103533901"</f>
        <v>103533901</v>
      </c>
      <c r="C1451" t="s">
        <v>105</v>
      </c>
      <c r="D1451" t="s">
        <v>3257</v>
      </c>
      <c r="E1451" t="s">
        <v>53</v>
      </c>
      <c r="F1451" t="s">
        <v>84</v>
      </c>
      <c r="G1451" t="s">
        <v>52</v>
      </c>
      <c r="H1451" t="str">
        <f>"ΥΑΚΙΝΘΩΝ 6 "</f>
        <v xml:space="preserve">ΥΑΚΙΝΘΩΝ 6 </v>
      </c>
      <c r="I1451">
        <v>71409</v>
      </c>
      <c r="K1451">
        <v>6947095250</v>
      </c>
      <c r="M1451" t="s">
        <v>3258</v>
      </c>
      <c r="N1451" t="s">
        <v>292</v>
      </c>
      <c r="O1451" t="s">
        <v>293</v>
      </c>
      <c r="R1451" t="s">
        <v>57</v>
      </c>
      <c r="S1451">
        <v>5</v>
      </c>
      <c r="T1451">
        <v>775</v>
      </c>
      <c r="U1451" s="1">
        <v>39680</v>
      </c>
      <c r="V1451" t="s">
        <v>123</v>
      </c>
      <c r="W1451" t="s">
        <v>124</v>
      </c>
      <c r="X1451" t="s">
        <v>58</v>
      </c>
      <c r="Y1451">
        <v>21</v>
      </c>
      <c r="Z1451" t="s">
        <v>59</v>
      </c>
      <c r="AA1451" t="s">
        <v>59</v>
      </c>
      <c r="AB1451" t="s">
        <v>59</v>
      </c>
      <c r="AC1451" t="s">
        <v>59</v>
      </c>
      <c r="AD1451" t="s">
        <v>59</v>
      </c>
      <c r="AF1451" s="1">
        <v>39682</v>
      </c>
      <c r="AG1451" t="s">
        <v>125</v>
      </c>
      <c r="AH1451" t="s">
        <v>126</v>
      </c>
      <c r="AI1451" t="str">
        <f>"1717011"</f>
        <v>1717011</v>
      </c>
      <c r="AJ1451" t="s">
        <v>832</v>
      </c>
      <c r="AK1451">
        <v>2897023311</v>
      </c>
      <c r="AL1451" t="s">
        <v>833</v>
      </c>
      <c r="AM1451" t="s">
        <v>78</v>
      </c>
      <c r="AN1451" t="s">
        <v>219</v>
      </c>
      <c r="AO1451" t="s">
        <v>219</v>
      </c>
      <c r="AP1451" t="s">
        <v>220</v>
      </c>
      <c r="AQ1451">
        <v>20</v>
      </c>
      <c r="AR1451" t="s">
        <v>123</v>
      </c>
      <c r="AS1451" t="s">
        <v>124</v>
      </c>
      <c r="AT1451" t="s">
        <v>58</v>
      </c>
      <c r="AU1451" t="s">
        <v>68</v>
      </c>
      <c r="AV1451" t="s">
        <v>69</v>
      </c>
      <c r="AW1451" s="1">
        <v>27073</v>
      </c>
      <c r="AX1451">
        <v>2</v>
      </c>
    </row>
    <row r="1452" spans="1:50">
      <c r="A1452">
        <v>196108</v>
      </c>
      <c r="B1452" t="str">
        <f>"128316671"</f>
        <v>128316671</v>
      </c>
      <c r="C1452" t="s">
        <v>105</v>
      </c>
      <c r="D1452" t="s">
        <v>3259</v>
      </c>
      <c r="E1452" t="s">
        <v>459</v>
      </c>
      <c r="F1452" t="s">
        <v>53</v>
      </c>
      <c r="G1452" t="s">
        <v>819</v>
      </c>
      <c r="H1452" t="str">
        <f>" "</f>
        <v xml:space="preserve"> </v>
      </c>
      <c r="M1452" t="s">
        <v>3260</v>
      </c>
      <c r="N1452" t="s">
        <v>204</v>
      </c>
      <c r="O1452" t="s">
        <v>205</v>
      </c>
      <c r="R1452" t="s">
        <v>57</v>
      </c>
      <c r="S1452">
        <v>7</v>
      </c>
      <c r="T1452">
        <v>194</v>
      </c>
      <c r="U1452" s="1">
        <v>37497</v>
      </c>
      <c r="V1452" t="s">
        <v>123</v>
      </c>
      <c r="W1452" t="s">
        <v>124</v>
      </c>
      <c r="X1452" t="s">
        <v>58</v>
      </c>
      <c r="Y1452">
        <v>20</v>
      </c>
      <c r="Z1452" t="s">
        <v>59</v>
      </c>
      <c r="AA1452" t="s">
        <v>59</v>
      </c>
      <c r="AB1452" t="s">
        <v>59</v>
      </c>
      <c r="AC1452" t="s">
        <v>59</v>
      </c>
      <c r="AD1452" t="s">
        <v>59</v>
      </c>
      <c r="AF1452" s="1">
        <v>37501</v>
      </c>
      <c r="AG1452" t="s">
        <v>125</v>
      </c>
      <c r="AH1452" t="s">
        <v>386</v>
      </c>
      <c r="AI1452" t="str">
        <f>"1741002"</f>
        <v>1741002</v>
      </c>
      <c r="AJ1452" t="s">
        <v>387</v>
      </c>
      <c r="AK1452">
        <v>2810762610</v>
      </c>
      <c r="AL1452" t="s">
        <v>388</v>
      </c>
      <c r="AM1452" t="s">
        <v>78</v>
      </c>
      <c r="AN1452" t="s">
        <v>219</v>
      </c>
      <c r="AO1452" t="s">
        <v>297</v>
      </c>
      <c r="AP1452" t="s">
        <v>297</v>
      </c>
      <c r="AQ1452">
        <v>10</v>
      </c>
      <c r="AR1452" t="s">
        <v>123</v>
      </c>
      <c r="AS1452" t="s">
        <v>124</v>
      </c>
      <c r="AT1452" t="s">
        <v>58</v>
      </c>
      <c r="AU1452" t="s">
        <v>68</v>
      </c>
      <c r="AV1452" t="s">
        <v>69</v>
      </c>
      <c r="AW1452" s="1">
        <v>28513</v>
      </c>
      <c r="AX1452">
        <v>2</v>
      </c>
    </row>
    <row r="1453" spans="1:50">
      <c r="A1453">
        <v>146499</v>
      </c>
      <c r="B1453" t="str">
        <f>"026785974"</f>
        <v>026785974</v>
      </c>
      <c r="C1453" t="s">
        <v>105</v>
      </c>
      <c r="D1453" t="s">
        <v>3261</v>
      </c>
      <c r="E1453" t="s">
        <v>166</v>
      </c>
      <c r="F1453" t="s">
        <v>450</v>
      </c>
      <c r="G1453" t="s">
        <v>367</v>
      </c>
      <c r="H1453" t="str">
        <f>" "</f>
        <v xml:space="preserve"> </v>
      </c>
      <c r="N1453" t="s">
        <v>292</v>
      </c>
      <c r="O1453" t="s">
        <v>293</v>
      </c>
      <c r="R1453" t="s">
        <v>57</v>
      </c>
      <c r="S1453">
        <v>16</v>
      </c>
      <c r="T1453">
        <v>237</v>
      </c>
      <c r="U1453" s="1">
        <v>31293</v>
      </c>
      <c r="V1453" t="s">
        <v>123</v>
      </c>
      <c r="W1453" t="s">
        <v>124</v>
      </c>
      <c r="X1453" t="s">
        <v>58</v>
      </c>
      <c r="Y1453">
        <v>18</v>
      </c>
      <c r="Z1453" t="s">
        <v>59</v>
      </c>
      <c r="AA1453" t="s">
        <v>59</v>
      </c>
      <c r="AB1453" t="s">
        <v>59</v>
      </c>
      <c r="AC1453" t="s">
        <v>59</v>
      </c>
      <c r="AD1453" t="s">
        <v>59</v>
      </c>
      <c r="AF1453" s="1">
        <v>31301</v>
      </c>
      <c r="AG1453" t="s">
        <v>125</v>
      </c>
      <c r="AH1453" t="s">
        <v>126</v>
      </c>
      <c r="AI1453" t="str">
        <f>"1701040"</f>
        <v>1701040</v>
      </c>
      <c r="AJ1453" t="s">
        <v>748</v>
      </c>
      <c r="AK1453">
        <v>2810252459</v>
      </c>
      <c r="AL1453" t="s">
        <v>749</v>
      </c>
      <c r="AM1453" t="s">
        <v>78</v>
      </c>
      <c r="AN1453" t="s">
        <v>78</v>
      </c>
      <c r="AO1453" t="s">
        <v>78</v>
      </c>
      <c r="AP1453" t="s">
        <v>141</v>
      </c>
      <c r="AQ1453">
        <v>3</v>
      </c>
      <c r="AR1453" t="s">
        <v>123</v>
      </c>
      <c r="AS1453" t="s">
        <v>124</v>
      </c>
      <c r="AT1453" t="s">
        <v>58</v>
      </c>
      <c r="AU1453" t="s">
        <v>68</v>
      </c>
      <c r="AV1453" t="s">
        <v>69</v>
      </c>
      <c r="AW1453" s="1">
        <v>19074</v>
      </c>
      <c r="AX1453">
        <v>2</v>
      </c>
    </row>
    <row r="1454" spans="1:50">
      <c r="A1454">
        <v>196370</v>
      </c>
      <c r="B1454" t="str">
        <f>"023250925"</f>
        <v>023250925</v>
      </c>
      <c r="C1454" t="s">
        <v>105</v>
      </c>
      <c r="D1454" t="s">
        <v>3261</v>
      </c>
      <c r="E1454" t="s">
        <v>53</v>
      </c>
      <c r="F1454" t="s">
        <v>99</v>
      </c>
      <c r="G1454" t="s">
        <v>707</v>
      </c>
      <c r="H1454" t="str">
        <f>"ΡΙΖΙΝΙΑΣ 72 ΗΡΑΚΛΕΙΟ"</f>
        <v>ΡΙΖΙΝΙΑΣ 72 ΗΡΑΚΛΕΙΟ</v>
      </c>
      <c r="I1454">
        <v>71305</v>
      </c>
      <c r="J1454">
        <v>2810311221</v>
      </c>
      <c r="K1454">
        <v>6977575145</v>
      </c>
      <c r="N1454" t="s">
        <v>232</v>
      </c>
      <c r="O1454" t="s">
        <v>233</v>
      </c>
      <c r="R1454" t="s">
        <v>57</v>
      </c>
      <c r="S1454">
        <v>17</v>
      </c>
      <c r="T1454">
        <v>68</v>
      </c>
      <c r="U1454" s="1">
        <v>33332</v>
      </c>
      <c r="V1454" t="s">
        <v>123</v>
      </c>
      <c r="W1454" t="s">
        <v>124</v>
      </c>
      <c r="X1454" t="s">
        <v>58</v>
      </c>
      <c r="Y1454">
        <v>18</v>
      </c>
      <c r="Z1454" t="s">
        <v>59</v>
      </c>
      <c r="AA1454" t="s">
        <v>59</v>
      </c>
      <c r="AB1454" t="s">
        <v>59</v>
      </c>
      <c r="AC1454" t="s">
        <v>59</v>
      </c>
      <c r="AD1454" t="s">
        <v>59</v>
      </c>
      <c r="AF1454" s="1">
        <v>33367</v>
      </c>
      <c r="AG1454" t="s">
        <v>148</v>
      </c>
      <c r="AH1454" t="s">
        <v>149</v>
      </c>
      <c r="AI1454" t="str">
        <f>"1751030"</f>
        <v>1751030</v>
      </c>
      <c r="AJ1454" t="s">
        <v>234</v>
      </c>
      <c r="AK1454">
        <v>2810282911</v>
      </c>
      <c r="AL1454" t="s">
        <v>235</v>
      </c>
      <c r="AM1454" t="s">
        <v>78</v>
      </c>
      <c r="AN1454" t="s">
        <v>78</v>
      </c>
      <c r="AO1454" t="s">
        <v>78</v>
      </c>
      <c r="AP1454" t="s">
        <v>163</v>
      </c>
      <c r="AQ1454">
        <v>1</v>
      </c>
      <c r="AR1454" t="s">
        <v>123</v>
      </c>
      <c r="AS1454" t="s">
        <v>124</v>
      </c>
      <c r="AT1454" t="s">
        <v>58</v>
      </c>
      <c r="AU1454" t="s">
        <v>68</v>
      </c>
      <c r="AV1454" t="s">
        <v>69</v>
      </c>
      <c r="AW1454" s="1">
        <v>20162</v>
      </c>
      <c r="AX1454">
        <v>2</v>
      </c>
    </row>
    <row r="1455" spans="1:50">
      <c r="B1455" t="str">
        <f>"047760446"</f>
        <v>047760446</v>
      </c>
      <c r="C1455" t="s">
        <v>50</v>
      </c>
      <c r="D1455" t="s">
        <v>3262</v>
      </c>
      <c r="E1455" t="s">
        <v>83</v>
      </c>
      <c r="F1455" t="s">
        <v>72</v>
      </c>
      <c r="G1455" t="s">
        <v>96</v>
      </c>
      <c r="H1455" t="str">
        <f>"ΚΑΠ. ΠΕΤΡΟΥΤΣΟΥ 11 "</f>
        <v xml:space="preserve">ΚΑΠ. ΠΕΤΡΟΥΤΣΟΥ 11 </v>
      </c>
      <c r="I1455">
        <v>11523</v>
      </c>
      <c r="J1455">
        <v>2106428140</v>
      </c>
      <c r="K1455">
        <v>6946759679</v>
      </c>
      <c r="M1455" t="s">
        <v>3263</v>
      </c>
      <c r="N1455" t="s">
        <v>337</v>
      </c>
      <c r="O1455" t="s">
        <v>338</v>
      </c>
      <c r="R1455" t="s">
        <v>159</v>
      </c>
      <c r="S1455">
        <v>4</v>
      </c>
      <c r="T1455" t="s">
        <v>1908</v>
      </c>
      <c r="U1455" s="1">
        <v>43368</v>
      </c>
      <c r="V1455" t="s">
        <v>123</v>
      </c>
      <c r="W1455" t="s">
        <v>124</v>
      </c>
      <c r="X1455" t="s">
        <v>58</v>
      </c>
      <c r="Y1455">
        <v>21</v>
      </c>
      <c r="Z1455" t="s">
        <v>59</v>
      </c>
      <c r="AA1455" t="s">
        <v>59</v>
      </c>
      <c r="AB1455" t="s">
        <v>59</v>
      </c>
      <c r="AC1455" t="s">
        <v>59</v>
      </c>
      <c r="AD1455" t="s">
        <v>59</v>
      </c>
      <c r="AF1455" s="1">
        <v>43368</v>
      </c>
      <c r="AG1455" t="s">
        <v>125</v>
      </c>
      <c r="AH1455" t="s">
        <v>294</v>
      </c>
      <c r="AI1455" t="str">
        <f>"1701015"</f>
        <v>1701015</v>
      </c>
      <c r="AJ1455" t="s">
        <v>295</v>
      </c>
      <c r="AK1455">
        <v>2810761696</v>
      </c>
      <c r="AL1455" t="s">
        <v>296</v>
      </c>
      <c r="AM1455" t="s">
        <v>78</v>
      </c>
      <c r="AN1455" t="s">
        <v>219</v>
      </c>
      <c r="AO1455" t="s">
        <v>297</v>
      </c>
      <c r="AP1455" t="s">
        <v>297</v>
      </c>
      <c r="AQ1455">
        <v>10</v>
      </c>
      <c r="AR1455" t="s">
        <v>123</v>
      </c>
      <c r="AS1455" t="s">
        <v>124</v>
      </c>
      <c r="AT1455" t="s">
        <v>58</v>
      </c>
      <c r="AU1455" t="s">
        <v>164</v>
      </c>
      <c r="AV1455" t="s">
        <v>132</v>
      </c>
      <c r="AW1455" s="1">
        <v>28637</v>
      </c>
      <c r="AX1455">
        <v>2</v>
      </c>
    </row>
    <row r="1456" spans="1:50">
      <c r="A1456">
        <v>156250</v>
      </c>
      <c r="B1456" t="str">
        <f>"064223755"</f>
        <v>064223755</v>
      </c>
      <c r="C1456" t="s">
        <v>50</v>
      </c>
      <c r="D1456" t="s">
        <v>3264</v>
      </c>
      <c r="E1456" t="s">
        <v>73</v>
      </c>
      <c r="F1456" t="s">
        <v>166</v>
      </c>
      <c r="G1456" t="s">
        <v>237</v>
      </c>
      <c r="H1456" t="str">
        <f>"ΚΑΤΑΛΑΓΑΡΙ ΑΡΧΑΝΩΝ"</f>
        <v>ΚΑΤΑΛΑΓΑΡΙ ΑΡΧΑΝΩΝ</v>
      </c>
      <c r="I1456">
        <v>70100</v>
      </c>
      <c r="J1456">
        <v>2810751705</v>
      </c>
      <c r="K1456">
        <v>6945953795</v>
      </c>
      <c r="M1456" t="s">
        <v>3265</v>
      </c>
      <c r="N1456" t="s">
        <v>146</v>
      </c>
      <c r="O1456" t="s">
        <v>147</v>
      </c>
      <c r="R1456" t="s">
        <v>57</v>
      </c>
      <c r="S1456">
        <v>14</v>
      </c>
      <c r="T1456">
        <v>188</v>
      </c>
      <c r="U1456" s="1">
        <v>32752</v>
      </c>
      <c r="V1456" t="s">
        <v>123</v>
      </c>
      <c r="W1456" t="s">
        <v>124</v>
      </c>
      <c r="X1456" t="s">
        <v>58</v>
      </c>
      <c r="Y1456">
        <v>18</v>
      </c>
      <c r="Z1456" t="s">
        <v>59</v>
      </c>
      <c r="AA1456" t="s">
        <v>59</v>
      </c>
      <c r="AB1456" t="s">
        <v>59</v>
      </c>
      <c r="AC1456" t="s">
        <v>59</v>
      </c>
      <c r="AD1456" t="s">
        <v>59</v>
      </c>
      <c r="AF1456" s="1">
        <v>32756</v>
      </c>
      <c r="AG1456" t="s">
        <v>148</v>
      </c>
      <c r="AH1456" t="s">
        <v>149</v>
      </c>
      <c r="AI1456" t="str">
        <f>"1761010"</f>
        <v>1761010</v>
      </c>
      <c r="AJ1456" t="s">
        <v>426</v>
      </c>
      <c r="AK1456">
        <v>2810741356</v>
      </c>
      <c r="AL1456" t="s">
        <v>427</v>
      </c>
      <c r="AM1456" t="s">
        <v>78</v>
      </c>
      <c r="AN1456" t="s">
        <v>424</v>
      </c>
      <c r="AO1456" t="s">
        <v>428</v>
      </c>
      <c r="AP1456" t="s">
        <v>429</v>
      </c>
      <c r="AQ1456">
        <v>14</v>
      </c>
      <c r="AR1456" t="s">
        <v>123</v>
      </c>
      <c r="AS1456" t="s">
        <v>124</v>
      </c>
      <c r="AT1456" t="s">
        <v>58</v>
      </c>
      <c r="AU1456" t="s">
        <v>68</v>
      </c>
      <c r="AV1456" t="s">
        <v>69</v>
      </c>
      <c r="AW1456" s="1">
        <v>21717</v>
      </c>
      <c r="AX1456">
        <v>2</v>
      </c>
    </row>
    <row r="1457" spans="1:50">
      <c r="A1457">
        <v>205876</v>
      </c>
      <c r="B1457" t="str">
        <f>"068739148"</f>
        <v>068739148</v>
      </c>
      <c r="C1457" t="s">
        <v>50</v>
      </c>
      <c r="D1457" t="s">
        <v>3264</v>
      </c>
      <c r="E1457" t="s">
        <v>755</v>
      </c>
      <c r="F1457" t="s">
        <v>53</v>
      </c>
      <c r="G1457" t="s">
        <v>52</v>
      </c>
      <c r="H1457" t="str">
        <f>"ΜΑΓΓΑΝΑΡΗΔΩΝ 19 ΗΡΑΚΛΕΙΟ"</f>
        <v>ΜΑΓΓΑΝΑΡΗΔΩΝ 19 ΗΡΑΚΛΕΙΟ</v>
      </c>
      <c r="I1457">
        <v>71305</v>
      </c>
      <c r="J1457">
        <v>2810237775</v>
      </c>
      <c r="K1457">
        <v>6974781255</v>
      </c>
      <c r="M1457" t="s">
        <v>3266</v>
      </c>
      <c r="N1457" t="s">
        <v>146</v>
      </c>
      <c r="O1457" t="s">
        <v>147</v>
      </c>
      <c r="R1457" t="s">
        <v>57</v>
      </c>
      <c r="S1457">
        <v>9</v>
      </c>
      <c r="T1457">
        <v>231</v>
      </c>
      <c r="U1457" s="1">
        <v>38230</v>
      </c>
      <c r="V1457" t="s">
        <v>123</v>
      </c>
      <c r="W1457" t="s">
        <v>124</v>
      </c>
      <c r="X1457" t="s">
        <v>58</v>
      </c>
      <c r="Y1457">
        <v>20</v>
      </c>
      <c r="Z1457" t="s">
        <v>59</v>
      </c>
      <c r="AA1457" t="s">
        <v>59</v>
      </c>
      <c r="AB1457" t="s">
        <v>59</v>
      </c>
      <c r="AC1457" t="s">
        <v>59</v>
      </c>
      <c r="AD1457" t="s">
        <v>59</v>
      </c>
      <c r="AF1457" s="1">
        <v>38232</v>
      </c>
      <c r="AG1457" t="s">
        <v>125</v>
      </c>
      <c r="AH1457" t="s">
        <v>126</v>
      </c>
      <c r="AI1457" t="str">
        <f>"1701040"</f>
        <v>1701040</v>
      </c>
      <c r="AJ1457" t="s">
        <v>748</v>
      </c>
      <c r="AK1457">
        <v>2810252459</v>
      </c>
      <c r="AL1457" t="s">
        <v>749</v>
      </c>
      <c r="AM1457" t="s">
        <v>78</v>
      </c>
      <c r="AN1457" t="s">
        <v>78</v>
      </c>
      <c r="AO1457" t="s">
        <v>78</v>
      </c>
      <c r="AP1457" t="s">
        <v>141</v>
      </c>
      <c r="AQ1457">
        <v>3</v>
      </c>
      <c r="AR1457" t="s">
        <v>123</v>
      </c>
      <c r="AS1457" t="s">
        <v>124</v>
      </c>
      <c r="AT1457" t="s">
        <v>58</v>
      </c>
      <c r="AU1457" t="s">
        <v>68</v>
      </c>
      <c r="AV1457" t="s">
        <v>69</v>
      </c>
      <c r="AW1457" s="1">
        <v>29286</v>
      </c>
      <c r="AX1457">
        <v>2</v>
      </c>
    </row>
    <row r="1458" spans="1:50">
      <c r="A1458">
        <v>703759</v>
      </c>
      <c r="B1458" t="str">
        <f>"141065743"</f>
        <v>141065743</v>
      </c>
      <c r="C1458" t="s">
        <v>50</v>
      </c>
      <c r="D1458" t="s">
        <v>3264</v>
      </c>
      <c r="E1458" t="s">
        <v>83</v>
      </c>
      <c r="F1458" t="s">
        <v>2165</v>
      </c>
      <c r="G1458" t="s">
        <v>52</v>
      </c>
      <c r="H1458" t="str">
        <f>"ΔΕΛΑΠΟΡΤΑ 32 ΗΡΑΚΛΕΙΟ"</f>
        <v>ΔΕΛΑΠΟΡΤΑ 32 ΗΡΑΚΛΕΙΟ</v>
      </c>
      <c r="I1458">
        <v>71409</v>
      </c>
      <c r="J1458">
        <v>2810232603</v>
      </c>
      <c r="K1458">
        <v>6948077659</v>
      </c>
      <c r="L1458">
        <v>2241303210</v>
      </c>
      <c r="M1458" t="s">
        <v>3267</v>
      </c>
      <c r="N1458" t="s">
        <v>299</v>
      </c>
      <c r="O1458" t="s">
        <v>300</v>
      </c>
      <c r="R1458" t="s">
        <v>57</v>
      </c>
      <c r="S1458">
        <v>3</v>
      </c>
      <c r="T1458">
        <v>225</v>
      </c>
      <c r="U1458" s="1">
        <v>41695</v>
      </c>
      <c r="V1458" t="s">
        <v>123</v>
      </c>
      <c r="W1458" t="s">
        <v>124</v>
      </c>
      <c r="X1458" t="s">
        <v>58</v>
      </c>
      <c r="Y1458">
        <v>21</v>
      </c>
      <c r="Z1458" t="s">
        <v>59</v>
      </c>
      <c r="AA1458" t="s">
        <v>59</v>
      </c>
      <c r="AB1458" t="s">
        <v>59</v>
      </c>
      <c r="AC1458" t="s">
        <v>59</v>
      </c>
      <c r="AD1458" t="s">
        <v>59</v>
      </c>
      <c r="AF1458" s="1">
        <v>41695</v>
      </c>
      <c r="AG1458" t="s">
        <v>125</v>
      </c>
      <c r="AH1458" t="s">
        <v>126</v>
      </c>
      <c r="AI1458" t="str">
        <f>"1701050"</f>
        <v>1701050</v>
      </c>
      <c r="AJ1458" t="s">
        <v>660</v>
      </c>
      <c r="AK1458">
        <v>2810220729</v>
      </c>
      <c r="AL1458" t="s">
        <v>661</v>
      </c>
      <c r="AM1458" t="s">
        <v>78</v>
      </c>
      <c r="AN1458" t="s">
        <v>78</v>
      </c>
      <c r="AO1458" t="s">
        <v>78</v>
      </c>
      <c r="AP1458" t="s">
        <v>79</v>
      </c>
      <c r="AQ1458">
        <v>1</v>
      </c>
      <c r="AR1458" t="s">
        <v>123</v>
      </c>
      <c r="AS1458" t="s">
        <v>124</v>
      </c>
      <c r="AT1458" t="s">
        <v>58</v>
      </c>
      <c r="AU1458" t="s">
        <v>68</v>
      </c>
      <c r="AV1458" t="s">
        <v>69</v>
      </c>
      <c r="AW1458" s="1">
        <v>31413</v>
      </c>
      <c r="AX1458">
        <v>2</v>
      </c>
    </row>
    <row r="1459" spans="1:50">
      <c r="A1459">
        <v>173874</v>
      </c>
      <c r="B1459" t="str">
        <f>"031430395"</f>
        <v>031430395</v>
      </c>
      <c r="C1459" t="s">
        <v>105</v>
      </c>
      <c r="D1459" t="s">
        <v>3268</v>
      </c>
      <c r="E1459" t="s">
        <v>154</v>
      </c>
      <c r="F1459" t="s">
        <v>166</v>
      </c>
      <c r="G1459" t="s">
        <v>263</v>
      </c>
      <c r="H1459" t="str">
        <f>"ΜΕΛΠΟΜΕΝΗΣ 29 ΗΡΑΚΛΕΙΟ ΚΡΗΤΗΣ"</f>
        <v>ΜΕΛΠΟΜΕΝΗΣ 29 ΗΡΑΚΛΕΙΟ ΚΡΗΤΗΣ</v>
      </c>
      <c r="I1459">
        <v>71410</v>
      </c>
      <c r="J1459">
        <v>2810313555</v>
      </c>
      <c r="K1459">
        <v>6989387466</v>
      </c>
      <c r="M1459" t="s">
        <v>3269</v>
      </c>
      <c r="N1459" t="s">
        <v>232</v>
      </c>
      <c r="O1459" t="s">
        <v>233</v>
      </c>
      <c r="R1459" t="s">
        <v>57</v>
      </c>
      <c r="S1459">
        <v>13</v>
      </c>
      <c r="T1459">
        <v>166</v>
      </c>
      <c r="U1459" s="1">
        <v>35300</v>
      </c>
      <c r="V1459" t="s">
        <v>123</v>
      </c>
      <c r="W1459" t="s">
        <v>124</v>
      </c>
      <c r="X1459" t="s">
        <v>58</v>
      </c>
      <c r="Y1459">
        <v>18</v>
      </c>
      <c r="Z1459" t="s">
        <v>59</v>
      </c>
      <c r="AA1459" t="s">
        <v>59</v>
      </c>
      <c r="AB1459" t="s">
        <v>59</v>
      </c>
      <c r="AC1459" t="s">
        <v>59</v>
      </c>
      <c r="AD1459" t="s">
        <v>59</v>
      </c>
      <c r="AF1459" s="1">
        <v>35310</v>
      </c>
      <c r="AG1459" t="s">
        <v>148</v>
      </c>
      <c r="AH1459" t="s">
        <v>149</v>
      </c>
      <c r="AI1459" t="str">
        <f>"1751052"</f>
        <v>1751052</v>
      </c>
      <c r="AJ1459" t="s">
        <v>328</v>
      </c>
      <c r="AK1459">
        <v>2810213762</v>
      </c>
      <c r="AL1459" t="s">
        <v>329</v>
      </c>
      <c r="AM1459" t="s">
        <v>78</v>
      </c>
      <c r="AN1459" t="s">
        <v>78</v>
      </c>
      <c r="AO1459" t="s">
        <v>78</v>
      </c>
      <c r="AP1459" t="s">
        <v>163</v>
      </c>
      <c r="AQ1459">
        <v>8</v>
      </c>
      <c r="AR1459" t="s">
        <v>123</v>
      </c>
      <c r="AS1459" t="s">
        <v>124</v>
      </c>
      <c r="AT1459" t="s">
        <v>58</v>
      </c>
      <c r="AU1459" t="s">
        <v>68</v>
      </c>
      <c r="AV1459" t="s">
        <v>69</v>
      </c>
      <c r="AW1459" s="1">
        <v>21178</v>
      </c>
      <c r="AX1459">
        <v>2</v>
      </c>
    </row>
    <row r="1460" spans="1:50">
      <c r="A1460">
        <v>160192</v>
      </c>
      <c r="B1460" t="str">
        <f>"030329086"</f>
        <v>030329086</v>
      </c>
      <c r="C1460" t="s">
        <v>105</v>
      </c>
      <c r="D1460" t="s">
        <v>3268</v>
      </c>
      <c r="E1460" t="s">
        <v>311</v>
      </c>
      <c r="F1460" t="s">
        <v>459</v>
      </c>
      <c r="G1460" t="s">
        <v>566</v>
      </c>
      <c r="H1460" t="str">
        <f>" "</f>
        <v xml:space="preserve"> </v>
      </c>
      <c r="N1460" t="s">
        <v>232</v>
      </c>
      <c r="O1460" t="s">
        <v>233</v>
      </c>
      <c r="R1460" t="s">
        <v>57</v>
      </c>
      <c r="S1460">
        <v>15</v>
      </c>
      <c r="T1460">
        <v>161</v>
      </c>
      <c r="U1460" s="1">
        <v>33119</v>
      </c>
      <c r="V1460" t="s">
        <v>123</v>
      </c>
      <c r="W1460" t="s">
        <v>124</v>
      </c>
      <c r="X1460" t="s">
        <v>58</v>
      </c>
      <c r="Y1460">
        <v>18</v>
      </c>
      <c r="Z1460" t="s">
        <v>59</v>
      </c>
      <c r="AA1460" t="s">
        <v>59</v>
      </c>
      <c r="AB1460" t="s">
        <v>59</v>
      </c>
      <c r="AC1460" t="s">
        <v>59</v>
      </c>
      <c r="AD1460" t="s">
        <v>59</v>
      </c>
      <c r="AF1460" s="1">
        <v>33119</v>
      </c>
      <c r="AG1460" t="s">
        <v>125</v>
      </c>
      <c r="AH1460" t="s">
        <v>126</v>
      </c>
      <c r="AI1460" t="str">
        <f>"1701050"</f>
        <v>1701050</v>
      </c>
      <c r="AJ1460" t="s">
        <v>660</v>
      </c>
      <c r="AK1460">
        <v>2810220729</v>
      </c>
      <c r="AL1460" t="s">
        <v>661</v>
      </c>
      <c r="AM1460" t="s">
        <v>78</v>
      </c>
      <c r="AN1460" t="s">
        <v>78</v>
      </c>
      <c r="AO1460" t="s">
        <v>78</v>
      </c>
      <c r="AP1460" t="s">
        <v>79</v>
      </c>
      <c r="AQ1460">
        <v>1</v>
      </c>
      <c r="AR1460" t="s">
        <v>123</v>
      </c>
      <c r="AS1460" t="s">
        <v>124</v>
      </c>
      <c r="AT1460" t="s">
        <v>58</v>
      </c>
      <c r="AU1460" t="s">
        <v>68</v>
      </c>
      <c r="AV1460" t="s">
        <v>69</v>
      </c>
      <c r="AW1460" s="1">
        <v>20323</v>
      </c>
      <c r="AX1460">
        <v>2</v>
      </c>
    </row>
    <row r="1461" spans="1:50">
      <c r="A1461">
        <v>193721</v>
      </c>
      <c r="B1461" t="str">
        <f>"044734970"</f>
        <v>044734970</v>
      </c>
      <c r="C1461" t="s">
        <v>50</v>
      </c>
      <c r="D1461" t="s">
        <v>3270</v>
      </c>
      <c r="E1461" t="s">
        <v>237</v>
      </c>
      <c r="F1461" t="s">
        <v>95</v>
      </c>
      <c r="G1461" t="s">
        <v>83</v>
      </c>
      <c r="H1461" t="str">
        <f>"ΠΑΡ.ΜΝΗΣΙΚΛΗ ΜΑΤΘΑΙΑ 23 "</f>
        <v xml:space="preserve">ΠΑΡ.ΜΝΗΣΙΚΛΗ ΜΑΤΘΑΙΑ 23 </v>
      </c>
      <c r="I1461">
        <v>71305</v>
      </c>
      <c r="J1461">
        <v>2810322967</v>
      </c>
      <c r="K1461">
        <v>6972989054</v>
      </c>
      <c r="L1461">
        <v>6982446045</v>
      </c>
      <c r="M1461" t="s">
        <v>3271</v>
      </c>
      <c r="N1461" t="s">
        <v>199</v>
      </c>
      <c r="O1461" t="s">
        <v>200</v>
      </c>
      <c r="R1461" t="s">
        <v>57</v>
      </c>
      <c r="S1461">
        <v>12</v>
      </c>
      <c r="T1461">
        <v>193</v>
      </c>
      <c r="U1461" s="1">
        <v>37497</v>
      </c>
      <c r="V1461" t="s">
        <v>123</v>
      </c>
      <c r="W1461" t="s">
        <v>124</v>
      </c>
      <c r="X1461" t="s">
        <v>58</v>
      </c>
      <c r="Y1461">
        <v>18</v>
      </c>
      <c r="Z1461" t="s">
        <v>59</v>
      </c>
      <c r="AA1461" t="s">
        <v>59</v>
      </c>
      <c r="AB1461" t="s">
        <v>59</v>
      </c>
      <c r="AC1461" t="s">
        <v>59</v>
      </c>
      <c r="AD1461" t="s">
        <v>59</v>
      </c>
      <c r="AF1461" s="1">
        <v>37497</v>
      </c>
      <c r="AG1461" t="s">
        <v>125</v>
      </c>
      <c r="AH1461" t="s">
        <v>126</v>
      </c>
      <c r="AI1461" t="str">
        <f>"1701041"</f>
        <v>1701041</v>
      </c>
      <c r="AJ1461" t="s">
        <v>161</v>
      </c>
      <c r="AK1461">
        <v>2810327052</v>
      </c>
      <c r="AL1461" t="s">
        <v>162</v>
      </c>
      <c r="AM1461" t="s">
        <v>78</v>
      </c>
      <c r="AN1461" t="s">
        <v>78</v>
      </c>
      <c r="AO1461" t="s">
        <v>78</v>
      </c>
      <c r="AP1461" t="s">
        <v>163</v>
      </c>
      <c r="AQ1461">
        <v>5</v>
      </c>
      <c r="AR1461" t="s">
        <v>123</v>
      </c>
      <c r="AS1461" t="s">
        <v>124</v>
      </c>
      <c r="AT1461" t="s">
        <v>58</v>
      </c>
      <c r="AU1461" t="s">
        <v>68</v>
      </c>
      <c r="AV1461" t="s">
        <v>69</v>
      </c>
      <c r="AW1461" s="1">
        <v>21672</v>
      </c>
      <c r="AX1461">
        <v>2</v>
      </c>
    </row>
    <row r="1462" spans="1:50">
      <c r="B1462" t="str">
        <f>"100285028"</f>
        <v>100285028</v>
      </c>
      <c r="C1462" t="s">
        <v>50</v>
      </c>
      <c r="D1462" t="s">
        <v>3272</v>
      </c>
      <c r="E1462" t="s">
        <v>54</v>
      </c>
      <c r="F1462" t="s">
        <v>84</v>
      </c>
      <c r="G1462" t="s">
        <v>335</v>
      </c>
      <c r="H1462" t="str">
        <f>"ΤΕΡΨΙΧΟΡΗΣ 12 ΗΡΑΚΛΕΙΟ"</f>
        <v>ΤΕΡΨΙΧΟΡΗΣ 12 ΗΡΑΚΛΕΙΟ</v>
      </c>
      <c r="I1462">
        <v>71409</v>
      </c>
      <c r="J1462">
        <v>2810325331</v>
      </c>
      <c r="K1462">
        <v>6932505475</v>
      </c>
      <c r="M1462" t="s">
        <v>3273</v>
      </c>
      <c r="N1462" t="s">
        <v>292</v>
      </c>
      <c r="O1462" t="s">
        <v>293</v>
      </c>
      <c r="R1462" t="s">
        <v>159</v>
      </c>
      <c r="S1462">
        <v>4</v>
      </c>
      <c r="T1462" t="s">
        <v>574</v>
      </c>
      <c r="U1462" s="1">
        <v>43378</v>
      </c>
      <c r="V1462" t="s">
        <v>123</v>
      </c>
      <c r="W1462" t="s">
        <v>124</v>
      </c>
      <c r="X1462" t="s">
        <v>58</v>
      </c>
      <c r="Y1462">
        <v>23</v>
      </c>
      <c r="Z1462" t="s">
        <v>59</v>
      </c>
      <c r="AA1462" t="s">
        <v>59</v>
      </c>
      <c r="AB1462" t="s">
        <v>59</v>
      </c>
      <c r="AC1462" t="s">
        <v>59</v>
      </c>
      <c r="AD1462" t="s">
        <v>59</v>
      </c>
      <c r="AF1462" s="1">
        <v>43381</v>
      </c>
      <c r="AG1462" t="s">
        <v>148</v>
      </c>
      <c r="AH1462" t="s">
        <v>149</v>
      </c>
      <c r="AI1462" t="str">
        <f>"1751010"</f>
        <v>1751010</v>
      </c>
      <c r="AJ1462" t="s">
        <v>150</v>
      </c>
      <c r="AK1462">
        <v>2810346092</v>
      </c>
      <c r="AL1462" t="s">
        <v>151</v>
      </c>
      <c r="AM1462" t="s">
        <v>78</v>
      </c>
      <c r="AN1462" t="s">
        <v>78</v>
      </c>
      <c r="AO1462" t="s">
        <v>78</v>
      </c>
      <c r="AP1462" t="s">
        <v>79</v>
      </c>
      <c r="AQ1462">
        <v>1</v>
      </c>
      <c r="AR1462" t="s">
        <v>123</v>
      </c>
      <c r="AS1462" t="s">
        <v>124</v>
      </c>
      <c r="AT1462" t="s">
        <v>58</v>
      </c>
      <c r="AU1462" t="s">
        <v>164</v>
      </c>
      <c r="AV1462" t="s">
        <v>132</v>
      </c>
      <c r="AW1462" s="1">
        <v>26790</v>
      </c>
      <c r="AX1462">
        <v>2</v>
      </c>
    </row>
    <row r="1463" spans="1:50">
      <c r="A1463">
        <v>701259</v>
      </c>
      <c r="B1463" t="str">
        <f>"074169871"</f>
        <v>074169871</v>
      </c>
      <c r="C1463" t="s">
        <v>50</v>
      </c>
      <c r="D1463" t="s">
        <v>3274</v>
      </c>
      <c r="E1463" t="s">
        <v>52</v>
      </c>
      <c r="F1463" t="s">
        <v>53</v>
      </c>
      <c r="G1463" t="s">
        <v>237</v>
      </c>
      <c r="H1463" t="str">
        <f>"ΔΗΜΟΚΡΙΤΟΥ 28 ΗΡΑΚΛΕΙΟ ΚΡΗΤΗΣ"</f>
        <v>ΔΗΜΟΚΡΙΤΟΥ 28 ΗΡΑΚΛΕΙΟ ΚΡΗΤΗΣ</v>
      </c>
      <c r="I1463">
        <v>71307</v>
      </c>
      <c r="J1463">
        <v>2810240385</v>
      </c>
      <c r="K1463">
        <v>6932887470</v>
      </c>
      <c r="M1463" t="s">
        <v>3275</v>
      </c>
      <c r="N1463" t="s">
        <v>146</v>
      </c>
      <c r="O1463" t="s">
        <v>147</v>
      </c>
      <c r="R1463" t="s">
        <v>57</v>
      </c>
      <c r="S1463">
        <v>4</v>
      </c>
      <c r="T1463">
        <v>772</v>
      </c>
      <c r="U1463" s="1">
        <v>40413</v>
      </c>
      <c r="V1463" t="s">
        <v>123</v>
      </c>
      <c r="W1463" t="s">
        <v>124</v>
      </c>
      <c r="X1463" t="s">
        <v>58</v>
      </c>
      <c r="Y1463">
        <v>21</v>
      </c>
      <c r="Z1463" t="s">
        <v>59</v>
      </c>
      <c r="AA1463" t="s">
        <v>59</v>
      </c>
      <c r="AB1463" t="s">
        <v>59</v>
      </c>
      <c r="AC1463" t="s">
        <v>59</v>
      </c>
      <c r="AD1463" t="s">
        <v>59</v>
      </c>
      <c r="AF1463" s="1">
        <v>40422</v>
      </c>
      <c r="AG1463" t="s">
        <v>125</v>
      </c>
      <c r="AH1463" t="s">
        <v>126</v>
      </c>
      <c r="AI1463" t="str">
        <f>"1725030"</f>
        <v>1725030</v>
      </c>
      <c r="AJ1463" t="s">
        <v>1666</v>
      </c>
      <c r="AK1463">
        <v>2893022872</v>
      </c>
      <c r="AL1463" t="s">
        <v>1667</v>
      </c>
      <c r="AM1463" t="s">
        <v>78</v>
      </c>
      <c r="AN1463" t="s">
        <v>424</v>
      </c>
      <c r="AO1463" t="s">
        <v>577</v>
      </c>
      <c r="AP1463" t="s">
        <v>1668</v>
      </c>
      <c r="AQ1463">
        <v>23</v>
      </c>
      <c r="AR1463" t="s">
        <v>123</v>
      </c>
      <c r="AS1463" t="s">
        <v>124</v>
      </c>
      <c r="AT1463" t="s">
        <v>58</v>
      </c>
      <c r="AU1463" t="s">
        <v>68</v>
      </c>
      <c r="AV1463" t="s">
        <v>69</v>
      </c>
      <c r="AW1463" s="1">
        <v>25779</v>
      </c>
      <c r="AX1463">
        <v>2</v>
      </c>
    </row>
    <row r="1464" spans="1:50">
      <c r="A1464">
        <v>169991</v>
      </c>
      <c r="B1464" t="str">
        <f>"035804481"</f>
        <v>035804481</v>
      </c>
      <c r="C1464" t="s">
        <v>50</v>
      </c>
      <c r="D1464" t="s">
        <v>3276</v>
      </c>
      <c r="E1464" t="s">
        <v>237</v>
      </c>
      <c r="F1464" t="s">
        <v>111</v>
      </c>
      <c r="G1464" t="s">
        <v>255</v>
      </c>
      <c r="H1464" t="str">
        <f>"ΠΛΑΤΩΝΟΣ 43 "</f>
        <v xml:space="preserve">ΠΛΑΤΩΝΟΣ 43 </v>
      </c>
      <c r="I1464">
        <v>71307</v>
      </c>
      <c r="J1464">
        <v>2810225502</v>
      </c>
      <c r="K1464">
        <v>6944254977</v>
      </c>
      <c r="M1464" t="s">
        <v>3277</v>
      </c>
      <c r="N1464" t="s">
        <v>146</v>
      </c>
      <c r="O1464" t="s">
        <v>147</v>
      </c>
      <c r="R1464" t="s">
        <v>57</v>
      </c>
      <c r="S1464">
        <v>14</v>
      </c>
      <c r="T1464">
        <v>184</v>
      </c>
      <c r="U1464" s="1">
        <v>34941</v>
      </c>
      <c r="V1464" t="s">
        <v>123</v>
      </c>
      <c r="W1464" t="s">
        <v>124</v>
      </c>
      <c r="X1464" t="s">
        <v>58</v>
      </c>
      <c r="Y1464">
        <v>18</v>
      </c>
      <c r="Z1464" t="s">
        <v>59</v>
      </c>
      <c r="AA1464" t="s">
        <v>59</v>
      </c>
      <c r="AB1464" t="s">
        <v>59</v>
      </c>
      <c r="AC1464" t="s">
        <v>59</v>
      </c>
      <c r="AD1464" t="s">
        <v>59</v>
      </c>
      <c r="AF1464" s="1">
        <v>34947</v>
      </c>
      <c r="AG1464" t="s">
        <v>125</v>
      </c>
      <c r="AH1464" t="s">
        <v>126</v>
      </c>
      <c r="AI1464" t="str">
        <f>"1701052"</f>
        <v>1701052</v>
      </c>
      <c r="AJ1464" t="s">
        <v>223</v>
      </c>
      <c r="AK1464">
        <v>2810252514</v>
      </c>
      <c r="AL1464" t="s">
        <v>224</v>
      </c>
      <c r="AM1464" t="s">
        <v>78</v>
      </c>
      <c r="AN1464" t="s">
        <v>78</v>
      </c>
      <c r="AO1464" t="s">
        <v>78</v>
      </c>
      <c r="AP1464" t="s">
        <v>141</v>
      </c>
      <c r="AQ1464">
        <v>7</v>
      </c>
      <c r="AR1464" t="s">
        <v>123</v>
      </c>
      <c r="AS1464" t="s">
        <v>124</v>
      </c>
      <c r="AT1464" t="s">
        <v>58</v>
      </c>
      <c r="AU1464" t="s">
        <v>68</v>
      </c>
      <c r="AV1464" t="s">
        <v>69</v>
      </c>
      <c r="AW1464" s="1">
        <v>23981</v>
      </c>
      <c r="AX1464">
        <v>2</v>
      </c>
    </row>
    <row r="1465" spans="1:50">
      <c r="A1465">
        <v>182996</v>
      </c>
      <c r="B1465" t="str">
        <f>"103809276"</f>
        <v>103809276</v>
      </c>
      <c r="C1465" t="s">
        <v>50</v>
      </c>
      <c r="D1465" t="s">
        <v>3276</v>
      </c>
      <c r="E1465" t="s">
        <v>52</v>
      </c>
      <c r="F1465" t="s">
        <v>95</v>
      </c>
      <c r="G1465" t="s">
        <v>143</v>
      </c>
      <c r="H1465" t="str">
        <f>"ΜΙΝΩΟΣ 79 ΗΡΑΚΛΕΙΟ"</f>
        <v>ΜΙΝΩΟΣ 79 ΗΡΑΚΛΕΙΟ</v>
      </c>
      <c r="I1465">
        <v>71304</v>
      </c>
      <c r="J1465">
        <v>2810258229</v>
      </c>
      <c r="K1465">
        <v>6945555415</v>
      </c>
      <c r="M1465" t="s">
        <v>3278</v>
      </c>
      <c r="N1465" t="s">
        <v>176</v>
      </c>
      <c r="O1465" t="s">
        <v>177</v>
      </c>
      <c r="R1465" t="s">
        <v>57</v>
      </c>
      <c r="S1465">
        <v>11</v>
      </c>
      <c r="T1465">
        <v>249</v>
      </c>
      <c r="U1465" s="1">
        <v>36160</v>
      </c>
      <c r="V1465" t="s">
        <v>123</v>
      </c>
      <c r="W1465" t="s">
        <v>124</v>
      </c>
      <c r="X1465" t="s">
        <v>58</v>
      </c>
      <c r="Y1465">
        <v>20</v>
      </c>
      <c r="Z1465" t="s">
        <v>59</v>
      </c>
      <c r="AA1465" t="s">
        <v>59</v>
      </c>
      <c r="AB1465" t="s">
        <v>59</v>
      </c>
      <c r="AC1465" t="s">
        <v>59</v>
      </c>
      <c r="AD1465" t="s">
        <v>59</v>
      </c>
      <c r="AF1465" s="1">
        <v>36174</v>
      </c>
      <c r="AG1465" t="s">
        <v>148</v>
      </c>
      <c r="AH1465" t="s">
        <v>149</v>
      </c>
      <c r="AI1465" t="str">
        <f>"1751051"</f>
        <v>1751051</v>
      </c>
      <c r="AJ1465" t="s">
        <v>259</v>
      </c>
      <c r="AK1465">
        <v>2810251794</v>
      </c>
      <c r="AL1465" t="s">
        <v>260</v>
      </c>
      <c r="AM1465" t="s">
        <v>78</v>
      </c>
      <c r="AN1465" t="s">
        <v>78</v>
      </c>
      <c r="AO1465" t="s">
        <v>78</v>
      </c>
      <c r="AP1465" t="s">
        <v>141</v>
      </c>
      <c r="AQ1465">
        <v>7</v>
      </c>
      <c r="AR1465" t="s">
        <v>123</v>
      </c>
      <c r="AS1465" t="s">
        <v>124</v>
      </c>
      <c r="AT1465" t="s">
        <v>58</v>
      </c>
      <c r="AU1465" t="s">
        <v>68</v>
      </c>
      <c r="AV1465" t="s">
        <v>69</v>
      </c>
      <c r="AW1465" s="1">
        <v>27407</v>
      </c>
      <c r="AX1465">
        <v>2</v>
      </c>
    </row>
    <row r="1466" spans="1:50">
      <c r="A1466">
        <v>198898</v>
      </c>
      <c r="B1466" t="str">
        <f>"064898691"</f>
        <v>064898691</v>
      </c>
      <c r="C1466" t="s">
        <v>105</v>
      </c>
      <c r="D1466" t="s">
        <v>3279</v>
      </c>
      <c r="E1466" t="s">
        <v>1761</v>
      </c>
      <c r="F1466" t="s">
        <v>304</v>
      </c>
      <c r="G1466" t="s">
        <v>255</v>
      </c>
      <c r="H1466" t="str">
        <f>"ΒΡΥΟΥΛΩΝ 50 "</f>
        <v xml:space="preserve">ΒΡΥΟΥΛΩΝ 50 </v>
      </c>
      <c r="I1466">
        <v>71305</v>
      </c>
      <c r="J1466">
        <v>2810213147</v>
      </c>
      <c r="K1466">
        <v>6938597686</v>
      </c>
      <c r="M1466" t="s">
        <v>3280</v>
      </c>
      <c r="N1466" t="s">
        <v>683</v>
      </c>
      <c r="O1466" t="s">
        <v>684</v>
      </c>
      <c r="R1466" t="s">
        <v>57</v>
      </c>
      <c r="S1466">
        <v>7</v>
      </c>
      <c r="T1466">
        <v>206</v>
      </c>
      <c r="U1466" s="1">
        <v>37866</v>
      </c>
      <c r="V1466" t="s">
        <v>123</v>
      </c>
      <c r="W1466" t="s">
        <v>124</v>
      </c>
      <c r="X1466" t="s">
        <v>58</v>
      </c>
      <c r="Y1466">
        <v>20</v>
      </c>
      <c r="Z1466" t="s">
        <v>59</v>
      </c>
      <c r="AA1466" t="s">
        <v>59</v>
      </c>
      <c r="AB1466" t="s">
        <v>59</v>
      </c>
      <c r="AC1466" t="s">
        <v>59</v>
      </c>
      <c r="AD1466" t="s">
        <v>59</v>
      </c>
      <c r="AF1466" s="1">
        <v>37869</v>
      </c>
      <c r="AG1466" t="s">
        <v>125</v>
      </c>
      <c r="AH1466" t="s">
        <v>126</v>
      </c>
      <c r="AI1466" t="str">
        <f>"1701052"</f>
        <v>1701052</v>
      </c>
      <c r="AJ1466" t="s">
        <v>223</v>
      </c>
      <c r="AK1466">
        <v>2810252514</v>
      </c>
      <c r="AL1466" t="s">
        <v>224</v>
      </c>
      <c r="AM1466" t="s">
        <v>78</v>
      </c>
      <c r="AN1466" t="s">
        <v>78</v>
      </c>
      <c r="AO1466" t="s">
        <v>78</v>
      </c>
      <c r="AP1466" t="s">
        <v>141</v>
      </c>
      <c r="AQ1466">
        <v>7</v>
      </c>
      <c r="AR1466" t="s">
        <v>123</v>
      </c>
      <c r="AS1466" t="s">
        <v>124</v>
      </c>
      <c r="AT1466" t="s">
        <v>58</v>
      </c>
      <c r="AU1466" t="s">
        <v>68</v>
      </c>
      <c r="AV1466" t="s">
        <v>69</v>
      </c>
      <c r="AW1466" s="1">
        <v>27280</v>
      </c>
      <c r="AX1466">
        <v>2</v>
      </c>
    </row>
    <row r="1467" spans="1:50">
      <c r="A1467">
        <v>197407</v>
      </c>
      <c r="B1467" t="str">
        <f>"103507329"</f>
        <v>103507329</v>
      </c>
      <c r="C1467" t="s">
        <v>50</v>
      </c>
      <c r="D1467" t="s">
        <v>3281</v>
      </c>
      <c r="E1467" t="s">
        <v>250</v>
      </c>
      <c r="F1467" t="s">
        <v>111</v>
      </c>
      <c r="G1467" t="s">
        <v>3282</v>
      </c>
      <c r="H1467" t="str">
        <f>"ΒΡΑΧΟΚΗΠΟΣ ΚΟΚΚΙΝΗ ΧΑΝΙ"</f>
        <v>ΒΡΑΧΟΚΗΠΟΣ ΚΟΚΚΙΝΗ ΧΑΝΙ</v>
      </c>
      <c r="J1467">
        <v>2810311507</v>
      </c>
      <c r="K1467">
        <v>6945983052</v>
      </c>
      <c r="M1467" t="s">
        <v>3283</v>
      </c>
      <c r="N1467" t="s">
        <v>146</v>
      </c>
      <c r="O1467" t="s">
        <v>147</v>
      </c>
      <c r="R1467" t="s">
        <v>57</v>
      </c>
      <c r="S1467">
        <v>7</v>
      </c>
      <c r="T1467">
        <v>206</v>
      </c>
      <c r="U1467" s="1">
        <v>37866</v>
      </c>
      <c r="V1467" t="s">
        <v>123</v>
      </c>
      <c r="W1467" t="s">
        <v>124</v>
      </c>
      <c r="X1467" t="s">
        <v>58</v>
      </c>
      <c r="Y1467">
        <v>20</v>
      </c>
      <c r="Z1467" t="s">
        <v>59</v>
      </c>
      <c r="AA1467" t="s">
        <v>59</v>
      </c>
      <c r="AB1467" t="s">
        <v>59</v>
      </c>
      <c r="AC1467" t="s">
        <v>59</v>
      </c>
      <c r="AD1467" t="s">
        <v>59</v>
      </c>
      <c r="AF1467" s="1">
        <v>37866</v>
      </c>
      <c r="AG1467" t="s">
        <v>125</v>
      </c>
      <c r="AH1467" t="s">
        <v>126</v>
      </c>
      <c r="AI1467" t="str">
        <f>"1701054"</f>
        <v>1701054</v>
      </c>
      <c r="AJ1467" t="s">
        <v>318</v>
      </c>
      <c r="AK1467">
        <v>2810252418</v>
      </c>
      <c r="AL1467" t="s">
        <v>319</v>
      </c>
      <c r="AM1467" t="s">
        <v>78</v>
      </c>
      <c r="AN1467" t="s">
        <v>78</v>
      </c>
      <c r="AO1467" t="s">
        <v>78</v>
      </c>
      <c r="AP1467" t="s">
        <v>141</v>
      </c>
      <c r="AQ1467">
        <v>7</v>
      </c>
      <c r="AR1467" t="s">
        <v>123</v>
      </c>
      <c r="AS1467" t="s">
        <v>124</v>
      </c>
      <c r="AT1467" t="s">
        <v>58</v>
      </c>
      <c r="AU1467" t="s">
        <v>68</v>
      </c>
      <c r="AV1467" t="s">
        <v>69</v>
      </c>
      <c r="AW1467" s="1">
        <v>26615</v>
      </c>
      <c r="AX1467">
        <v>2</v>
      </c>
    </row>
    <row r="1468" spans="1:50">
      <c r="A1468">
        <v>146044</v>
      </c>
      <c r="B1468" t="str">
        <f>"026786020"</f>
        <v>026786020</v>
      </c>
      <c r="C1468" t="s">
        <v>50</v>
      </c>
      <c r="D1468" t="s">
        <v>3281</v>
      </c>
      <c r="E1468" t="s">
        <v>215</v>
      </c>
      <c r="F1468" t="s">
        <v>154</v>
      </c>
      <c r="G1468" t="s">
        <v>221</v>
      </c>
      <c r="H1468" t="str">
        <f>"ΑΓ. ΜΑΡΙΝΑΣ 1 ΓΑΖΙ ΗΡΑΚΛΕΙΟΥ"</f>
        <v>ΑΓ. ΜΑΡΙΝΑΣ 1 ΓΑΖΙ ΗΡΑΚΛΕΙΟΥ</v>
      </c>
      <c r="J1468">
        <v>2810322415</v>
      </c>
      <c r="N1468" t="s">
        <v>146</v>
      </c>
      <c r="O1468" t="s">
        <v>147</v>
      </c>
      <c r="R1468" t="s">
        <v>57</v>
      </c>
      <c r="S1468">
        <v>17</v>
      </c>
      <c r="T1468">
        <v>237</v>
      </c>
      <c r="U1468" s="1">
        <v>31293</v>
      </c>
      <c r="V1468" t="s">
        <v>123</v>
      </c>
      <c r="W1468" t="s">
        <v>124</v>
      </c>
      <c r="X1468" t="s">
        <v>58</v>
      </c>
      <c r="Y1468">
        <v>18</v>
      </c>
      <c r="Z1468" t="s">
        <v>59</v>
      </c>
      <c r="AA1468" t="s">
        <v>59</v>
      </c>
      <c r="AB1468" t="s">
        <v>59</v>
      </c>
      <c r="AC1468" t="s">
        <v>59</v>
      </c>
      <c r="AD1468" t="s">
        <v>59</v>
      </c>
      <c r="AF1468" s="1">
        <v>31299</v>
      </c>
      <c r="AG1468" t="s">
        <v>148</v>
      </c>
      <c r="AH1468" t="s">
        <v>149</v>
      </c>
      <c r="AI1468" t="str">
        <f>"1778010"</f>
        <v>1778010</v>
      </c>
      <c r="AJ1468" t="s">
        <v>672</v>
      </c>
      <c r="AK1468">
        <v>2810822455</v>
      </c>
      <c r="AL1468" t="s">
        <v>673</v>
      </c>
      <c r="AM1468" t="s">
        <v>78</v>
      </c>
      <c r="AN1468" t="s">
        <v>129</v>
      </c>
      <c r="AO1468" t="s">
        <v>130</v>
      </c>
      <c r="AP1468" t="s">
        <v>130</v>
      </c>
      <c r="AQ1468">
        <v>36</v>
      </c>
      <c r="AR1468" t="s">
        <v>123</v>
      </c>
      <c r="AS1468" t="s">
        <v>124</v>
      </c>
      <c r="AT1468" t="s">
        <v>58</v>
      </c>
      <c r="AU1468" t="s">
        <v>68</v>
      </c>
      <c r="AV1468" t="s">
        <v>69</v>
      </c>
      <c r="AW1468" s="1">
        <v>20844</v>
      </c>
      <c r="AX1468">
        <v>2</v>
      </c>
    </row>
    <row r="1469" spans="1:50">
      <c r="A1469">
        <v>225495</v>
      </c>
      <c r="B1469" t="str">
        <f>"049147703"</f>
        <v>049147703</v>
      </c>
      <c r="C1469" t="s">
        <v>50</v>
      </c>
      <c r="D1469" t="s">
        <v>3284</v>
      </c>
      <c r="E1469" t="s">
        <v>1068</v>
      </c>
      <c r="F1469" t="s">
        <v>3285</v>
      </c>
      <c r="G1469" t="s">
        <v>506</v>
      </c>
      <c r="H1469" t="str">
        <f>" "</f>
        <v xml:space="preserve"> </v>
      </c>
      <c r="J1469">
        <v>2834061239</v>
      </c>
      <c r="K1469">
        <v>6980892206</v>
      </c>
      <c r="L1469">
        <v>6980892206</v>
      </c>
      <c r="M1469" t="s">
        <v>3286</v>
      </c>
      <c r="N1469" t="s">
        <v>907</v>
      </c>
      <c r="O1469" t="s">
        <v>908</v>
      </c>
      <c r="R1469" t="s">
        <v>57</v>
      </c>
      <c r="S1469">
        <v>6</v>
      </c>
      <c r="T1469">
        <v>775</v>
      </c>
      <c r="U1469" s="1">
        <v>39680</v>
      </c>
      <c r="V1469" t="s">
        <v>123</v>
      </c>
      <c r="W1469" t="s">
        <v>124</v>
      </c>
      <c r="X1469" t="s">
        <v>58</v>
      </c>
      <c r="Y1469">
        <v>20</v>
      </c>
      <c r="Z1469" t="s">
        <v>59</v>
      </c>
      <c r="AA1469" t="s">
        <v>59</v>
      </c>
      <c r="AB1469" t="s">
        <v>59</v>
      </c>
      <c r="AC1469" t="s">
        <v>59</v>
      </c>
      <c r="AD1469" t="s">
        <v>59</v>
      </c>
      <c r="AF1469" s="1">
        <v>39681</v>
      </c>
      <c r="AG1469" t="s">
        <v>137</v>
      </c>
      <c r="AH1469" t="s">
        <v>138</v>
      </c>
      <c r="AI1469" t="str">
        <f>"1740070"</f>
        <v>1740070</v>
      </c>
      <c r="AJ1469" t="s">
        <v>206</v>
      </c>
      <c r="AK1469">
        <v>2810324880</v>
      </c>
      <c r="AL1469" t="s">
        <v>207</v>
      </c>
      <c r="AM1469" t="s">
        <v>78</v>
      </c>
      <c r="AN1469" t="s">
        <v>78</v>
      </c>
      <c r="AO1469" t="s">
        <v>78</v>
      </c>
      <c r="AP1469" t="s">
        <v>163</v>
      </c>
      <c r="AQ1469">
        <v>9</v>
      </c>
      <c r="AR1469" t="s">
        <v>123</v>
      </c>
      <c r="AS1469" t="s">
        <v>124</v>
      </c>
      <c r="AT1469" t="s">
        <v>58</v>
      </c>
      <c r="AU1469" t="s">
        <v>68</v>
      </c>
      <c r="AV1469" t="s">
        <v>69</v>
      </c>
      <c r="AW1469" s="1">
        <v>26423</v>
      </c>
      <c r="AX1469">
        <v>2</v>
      </c>
    </row>
    <row r="1470" spans="1:50">
      <c r="A1470">
        <v>165341</v>
      </c>
      <c r="B1470" t="str">
        <f>"037164524"</f>
        <v>037164524</v>
      </c>
      <c r="C1470" t="s">
        <v>105</v>
      </c>
      <c r="D1470" t="s">
        <v>3287</v>
      </c>
      <c r="E1470" t="s">
        <v>949</v>
      </c>
      <c r="F1470" t="s">
        <v>95</v>
      </c>
      <c r="G1470" t="s">
        <v>52</v>
      </c>
      <c r="H1470" t="str">
        <f>" "</f>
        <v xml:space="preserve"> </v>
      </c>
      <c r="J1470">
        <v>2810831145</v>
      </c>
      <c r="K1470">
        <v>6945876999</v>
      </c>
      <c r="N1470" t="s">
        <v>204</v>
      </c>
      <c r="O1470" t="s">
        <v>205</v>
      </c>
      <c r="R1470" t="s">
        <v>57</v>
      </c>
      <c r="S1470">
        <v>15</v>
      </c>
      <c r="T1470">
        <v>238</v>
      </c>
      <c r="U1470" s="1">
        <v>33968</v>
      </c>
      <c r="V1470" t="s">
        <v>123</v>
      </c>
      <c r="W1470" t="s">
        <v>124</v>
      </c>
      <c r="X1470" t="s">
        <v>58</v>
      </c>
      <c r="Y1470">
        <v>18</v>
      </c>
      <c r="Z1470" t="s">
        <v>59</v>
      </c>
      <c r="AA1470" t="s">
        <v>59</v>
      </c>
      <c r="AB1470" t="s">
        <v>59</v>
      </c>
      <c r="AC1470" t="s">
        <v>59</v>
      </c>
      <c r="AD1470" t="s">
        <v>59</v>
      </c>
      <c r="AF1470" s="1">
        <v>33977</v>
      </c>
      <c r="AG1470" t="s">
        <v>137</v>
      </c>
      <c r="AH1470" t="s">
        <v>138</v>
      </c>
      <c r="AI1470" t="str">
        <f>"1740070"</f>
        <v>1740070</v>
      </c>
      <c r="AJ1470" t="s">
        <v>206</v>
      </c>
      <c r="AK1470">
        <v>2810324880</v>
      </c>
      <c r="AL1470" t="s">
        <v>207</v>
      </c>
      <c r="AM1470" t="s">
        <v>78</v>
      </c>
      <c r="AN1470" t="s">
        <v>78</v>
      </c>
      <c r="AO1470" t="s">
        <v>78</v>
      </c>
      <c r="AP1470" t="s">
        <v>163</v>
      </c>
      <c r="AQ1470">
        <v>9</v>
      </c>
      <c r="AR1470" t="s">
        <v>123</v>
      </c>
      <c r="AS1470" t="s">
        <v>124</v>
      </c>
      <c r="AT1470" t="s">
        <v>58</v>
      </c>
      <c r="AU1470" t="s">
        <v>68</v>
      </c>
      <c r="AV1470" t="s">
        <v>69</v>
      </c>
      <c r="AW1470" s="1">
        <v>24439</v>
      </c>
      <c r="AX1470">
        <v>2</v>
      </c>
    </row>
    <row r="1471" spans="1:50">
      <c r="A1471">
        <v>175938</v>
      </c>
      <c r="B1471" t="str">
        <f>"026786043"</f>
        <v>026786043</v>
      </c>
      <c r="C1471" t="s">
        <v>105</v>
      </c>
      <c r="D1471" t="s">
        <v>3287</v>
      </c>
      <c r="E1471" t="s">
        <v>510</v>
      </c>
      <c r="F1471" t="s">
        <v>72</v>
      </c>
      <c r="G1471" t="s">
        <v>52</v>
      </c>
      <c r="H1471" t="str">
        <f>"ΚΩΝ/ΛΕΩΣ 70 ΜΑΛΕΒΥΖΙ"</f>
        <v>ΚΩΝ/ΛΕΩΣ 70 ΜΑΛΕΒΥΖΙ</v>
      </c>
      <c r="I1471">
        <v>71500</v>
      </c>
      <c r="J1471">
        <v>2810542514</v>
      </c>
      <c r="K1471">
        <v>6977351736</v>
      </c>
      <c r="M1471" t="s">
        <v>3288</v>
      </c>
      <c r="N1471" t="s">
        <v>292</v>
      </c>
      <c r="O1471" t="s">
        <v>293</v>
      </c>
      <c r="R1471" t="s">
        <v>57</v>
      </c>
      <c r="S1471">
        <v>10</v>
      </c>
      <c r="T1471">
        <v>180</v>
      </c>
      <c r="U1471" s="1">
        <v>35674</v>
      </c>
      <c r="V1471" t="s">
        <v>123</v>
      </c>
      <c r="W1471" t="s">
        <v>124</v>
      </c>
      <c r="X1471" t="s">
        <v>58</v>
      </c>
      <c r="Y1471">
        <v>18</v>
      </c>
      <c r="Z1471" t="s">
        <v>59</v>
      </c>
      <c r="AA1471" t="s">
        <v>59</v>
      </c>
      <c r="AB1471" t="s">
        <v>59</v>
      </c>
      <c r="AC1471" t="s">
        <v>59</v>
      </c>
      <c r="AD1471" t="s">
        <v>59</v>
      </c>
      <c r="AF1471" s="1">
        <v>35674</v>
      </c>
      <c r="AG1471" t="s">
        <v>148</v>
      </c>
      <c r="AH1471" t="s">
        <v>149</v>
      </c>
      <c r="AI1471" t="str">
        <f>"1778010"</f>
        <v>1778010</v>
      </c>
      <c r="AJ1471" t="s">
        <v>672</v>
      </c>
      <c r="AK1471">
        <v>2810822455</v>
      </c>
      <c r="AL1471" t="s">
        <v>673</v>
      </c>
      <c r="AM1471" t="s">
        <v>78</v>
      </c>
      <c r="AN1471" t="s">
        <v>129</v>
      </c>
      <c r="AO1471" t="s">
        <v>130</v>
      </c>
      <c r="AP1471" t="s">
        <v>130</v>
      </c>
      <c r="AQ1471">
        <v>36</v>
      </c>
      <c r="AR1471" t="s">
        <v>123</v>
      </c>
      <c r="AS1471" t="s">
        <v>124</v>
      </c>
      <c r="AT1471" t="s">
        <v>58</v>
      </c>
      <c r="AU1471" t="s">
        <v>68</v>
      </c>
      <c r="AV1471" t="s">
        <v>69</v>
      </c>
      <c r="AW1471" s="1">
        <v>21291</v>
      </c>
      <c r="AX1471">
        <v>2</v>
      </c>
    </row>
    <row r="1472" spans="1:50">
      <c r="A1472">
        <v>166501</v>
      </c>
      <c r="B1472" t="str">
        <f>"068144952"</f>
        <v>068144952</v>
      </c>
      <c r="C1472" t="s">
        <v>50</v>
      </c>
      <c r="D1472" t="s">
        <v>3289</v>
      </c>
      <c r="E1472" t="s">
        <v>52</v>
      </c>
      <c r="F1472" t="s">
        <v>989</v>
      </c>
      <c r="G1472" t="s">
        <v>3290</v>
      </c>
      <c r="H1472" t="str">
        <f>"ΗΡΑΚΛΕΙΤΟΥ 8 "</f>
        <v xml:space="preserve">ΗΡΑΚΛΕΙΤΟΥ 8 </v>
      </c>
      <c r="I1472">
        <v>71409</v>
      </c>
      <c r="J1472">
        <v>2810324619</v>
      </c>
      <c r="K1472">
        <v>6973234811</v>
      </c>
      <c r="M1472" t="s">
        <v>3291</v>
      </c>
      <c r="N1472" t="s">
        <v>306</v>
      </c>
      <c r="O1472" t="s">
        <v>307</v>
      </c>
      <c r="R1472" t="s">
        <v>57</v>
      </c>
      <c r="S1472">
        <v>12</v>
      </c>
      <c r="T1472">
        <v>137</v>
      </c>
      <c r="U1472" s="1">
        <v>34206</v>
      </c>
      <c r="V1472" t="s">
        <v>123</v>
      </c>
      <c r="W1472" t="s">
        <v>124</v>
      </c>
      <c r="X1472" t="s">
        <v>58</v>
      </c>
      <c r="Y1472">
        <v>18</v>
      </c>
      <c r="Z1472" t="s">
        <v>59</v>
      </c>
      <c r="AA1472" t="s">
        <v>59</v>
      </c>
      <c r="AB1472" t="s">
        <v>59</v>
      </c>
      <c r="AC1472" t="s">
        <v>59</v>
      </c>
      <c r="AD1472" t="s">
        <v>59</v>
      </c>
      <c r="AF1472" s="1">
        <v>34215</v>
      </c>
      <c r="AG1472" t="s">
        <v>125</v>
      </c>
      <c r="AH1472" t="s">
        <v>126</v>
      </c>
      <c r="AI1472" t="str">
        <f>"1701052"</f>
        <v>1701052</v>
      </c>
      <c r="AJ1472" t="s">
        <v>223</v>
      </c>
      <c r="AK1472">
        <v>2810252514</v>
      </c>
      <c r="AL1472" t="s">
        <v>224</v>
      </c>
      <c r="AM1472" t="s">
        <v>78</v>
      </c>
      <c r="AN1472" t="s">
        <v>78</v>
      </c>
      <c r="AO1472" t="s">
        <v>78</v>
      </c>
      <c r="AP1472" t="s">
        <v>141</v>
      </c>
      <c r="AQ1472">
        <v>7</v>
      </c>
      <c r="AR1472" t="s">
        <v>123</v>
      </c>
      <c r="AS1472" t="s">
        <v>124</v>
      </c>
      <c r="AT1472" t="s">
        <v>58</v>
      </c>
      <c r="AU1472" t="s">
        <v>68</v>
      </c>
      <c r="AV1472" t="s">
        <v>69</v>
      </c>
      <c r="AW1472" s="1">
        <v>23188</v>
      </c>
      <c r="AX1472">
        <v>2</v>
      </c>
    </row>
    <row r="1473" spans="1:50">
      <c r="A1473">
        <v>201150</v>
      </c>
      <c r="B1473" t="str">
        <f>"067331028"</f>
        <v>067331028</v>
      </c>
      <c r="C1473" t="s">
        <v>50</v>
      </c>
      <c r="D1473" t="s">
        <v>3292</v>
      </c>
      <c r="E1473" t="s">
        <v>1484</v>
      </c>
      <c r="F1473" t="s">
        <v>2632</v>
      </c>
      <c r="G1473" t="s">
        <v>809</v>
      </c>
      <c r="H1473" t="str">
        <f>"ΤΑΡΡΑΣ 2 ΗΡΑΚΛΕΙΟ"</f>
        <v>ΤΑΡΡΑΣ 2 ΗΡΑΚΛΕΙΟ</v>
      </c>
      <c r="I1473">
        <v>71305</v>
      </c>
      <c r="J1473">
        <v>2810260236</v>
      </c>
      <c r="K1473">
        <v>6947047743</v>
      </c>
      <c r="L1473">
        <v>494067386532</v>
      </c>
      <c r="M1473" t="s">
        <v>3293</v>
      </c>
      <c r="N1473" t="s">
        <v>157</v>
      </c>
      <c r="O1473" t="s">
        <v>158</v>
      </c>
      <c r="R1473" t="s">
        <v>57</v>
      </c>
      <c r="S1473">
        <v>7</v>
      </c>
      <c r="T1473">
        <v>231</v>
      </c>
      <c r="U1473" s="1">
        <v>38230</v>
      </c>
      <c r="V1473" t="s">
        <v>123</v>
      </c>
      <c r="W1473" t="s">
        <v>124</v>
      </c>
      <c r="X1473" t="s">
        <v>58</v>
      </c>
      <c r="Y1473">
        <v>20</v>
      </c>
      <c r="Z1473" t="s">
        <v>59</v>
      </c>
      <c r="AA1473" t="s">
        <v>59</v>
      </c>
      <c r="AB1473" t="s">
        <v>59</v>
      </c>
      <c r="AC1473" t="s">
        <v>59</v>
      </c>
      <c r="AD1473" t="s">
        <v>59</v>
      </c>
      <c r="AF1473" s="1">
        <v>38232</v>
      </c>
      <c r="AG1473" t="s">
        <v>148</v>
      </c>
      <c r="AH1473" t="s">
        <v>149</v>
      </c>
      <c r="AI1473" t="str">
        <f>"1751052"</f>
        <v>1751052</v>
      </c>
      <c r="AJ1473" t="s">
        <v>328</v>
      </c>
      <c r="AK1473">
        <v>2810213762</v>
      </c>
      <c r="AL1473" t="s">
        <v>329</v>
      </c>
      <c r="AM1473" t="s">
        <v>78</v>
      </c>
      <c r="AN1473" t="s">
        <v>78</v>
      </c>
      <c r="AO1473" t="s">
        <v>78</v>
      </c>
      <c r="AP1473" t="s">
        <v>163</v>
      </c>
      <c r="AQ1473">
        <v>8</v>
      </c>
      <c r="AR1473" t="s">
        <v>123</v>
      </c>
      <c r="AS1473" t="s">
        <v>124</v>
      </c>
      <c r="AT1473" t="s">
        <v>58</v>
      </c>
      <c r="AU1473" t="s">
        <v>68</v>
      </c>
      <c r="AV1473" t="s">
        <v>69</v>
      </c>
      <c r="AW1473" s="1">
        <v>27247</v>
      </c>
      <c r="AX1473">
        <v>2</v>
      </c>
    </row>
    <row r="1474" spans="1:50">
      <c r="A1474">
        <v>169996</v>
      </c>
      <c r="B1474" t="str">
        <f>"037546483"</f>
        <v>037546483</v>
      </c>
      <c r="C1474" t="s">
        <v>105</v>
      </c>
      <c r="D1474" t="s">
        <v>3294</v>
      </c>
      <c r="E1474" t="s">
        <v>99</v>
      </c>
      <c r="F1474" t="s">
        <v>166</v>
      </c>
      <c r="G1474" t="s">
        <v>52</v>
      </c>
      <c r="H1474" t="str">
        <f>" "</f>
        <v xml:space="preserve"> </v>
      </c>
      <c r="M1474" t="s">
        <v>3295</v>
      </c>
      <c r="N1474" t="s">
        <v>146</v>
      </c>
      <c r="O1474" t="s">
        <v>147</v>
      </c>
      <c r="R1474" t="s">
        <v>57</v>
      </c>
      <c r="S1474">
        <v>13</v>
      </c>
      <c r="T1474">
        <v>184</v>
      </c>
      <c r="U1474" s="1">
        <v>34941</v>
      </c>
      <c r="V1474" t="s">
        <v>123</v>
      </c>
      <c r="W1474" t="s">
        <v>124</v>
      </c>
      <c r="X1474" t="s">
        <v>58</v>
      </c>
      <c r="Y1474">
        <v>18</v>
      </c>
      <c r="Z1474" t="s">
        <v>59</v>
      </c>
      <c r="AA1474" t="s">
        <v>59</v>
      </c>
      <c r="AB1474" t="s">
        <v>59</v>
      </c>
      <c r="AC1474" t="s">
        <v>59</v>
      </c>
      <c r="AD1474" t="s">
        <v>59</v>
      </c>
      <c r="AF1474" s="1">
        <v>34946</v>
      </c>
      <c r="AG1474" t="s">
        <v>125</v>
      </c>
      <c r="AH1474" t="s">
        <v>126</v>
      </c>
      <c r="AI1474" t="str">
        <f>"1718010"</f>
        <v>1718010</v>
      </c>
      <c r="AJ1474" t="s">
        <v>1090</v>
      </c>
      <c r="AK1474">
        <v>2897031471</v>
      </c>
      <c r="AL1474" t="s">
        <v>1091</v>
      </c>
      <c r="AM1474" t="s">
        <v>78</v>
      </c>
      <c r="AN1474" t="s">
        <v>219</v>
      </c>
      <c r="AO1474" t="s">
        <v>527</v>
      </c>
      <c r="AP1474" t="s">
        <v>527</v>
      </c>
      <c r="AQ1474">
        <v>20</v>
      </c>
      <c r="AR1474" t="s">
        <v>123</v>
      </c>
      <c r="AS1474" t="s">
        <v>124</v>
      </c>
      <c r="AT1474" t="s">
        <v>58</v>
      </c>
      <c r="AU1474" t="s">
        <v>68</v>
      </c>
      <c r="AV1474" t="s">
        <v>69</v>
      </c>
      <c r="AW1474" s="1">
        <v>22974</v>
      </c>
      <c r="AX1474">
        <v>2</v>
      </c>
    </row>
    <row r="1475" spans="1:50">
      <c r="B1475" t="str">
        <f>"114552146"</f>
        <v>114552146</v>
      </c>
      <c r="C1475" t="s">
        <v>50</v>
      </c>
      <c r="D1475" t="s">
        <v>3296</v>
      </c>
      <c r="E1475" t="s">
        <v>3297</v>
      </c>
      <c r="F1475" t="s">
        <v>53</v>
      </c>
      <c r="G1475" t="s">
        <v>950</v>
      </c>
      <c r="H1475" t="str">
        <f>"Ν ΚΑΤΕΧΑΚΗ ΠΟΡΟ 45 ΗΡΑΚΛΕΙΟ ΚΡΗΤΗΣ"</f>
        <v>Ν ΚΑΤΕΧΑΚΗ ΠΟΡΟ 45 ΗΡΑΚΛΕΙΟ ΚΡΗΤΗΣ</v>
      </c>
      <c r="I1475">
        <v>71307</v>
      </c>
      <c r="J1475">
        <v>2810245448</v>
      </c>
      <c r="K1475">
        <v>6973503391</v>
      </c>
      <c r="M1475" t="s">
        <v>3298</v>
      </c>
      <c r="N1475" t="s">
        <v>146</v>
      </c>
      <c r="O1475" t="s">
        <v>147</v>
      </c>
      <c r="R1475" t="s">
        <v>159</v>
      </c>
      <c r="S1475">
        <v>4</v>
      </c>
      <c r="T1475" t="s">
        <v>160</v>
      </c>
      <c r="U1475" s="1">
        <v>43364</v>
      </c>
      <c r="V1475" t="s">
        <v>123</v>
      </c>
      <c r="W1475" t="s">
        <v>124</v>
      </c>
      <c r="X1475" t="s">
        <v>58</v>
      </c>
      <c r="Y1475">
        <v>21</v>
      </c>
      <c r="Z1475" t="s">
        <v>59</v>
      </c>
      <c r="AA1475" t="s">
        <v>59</v>
      </c>
      <c r="AB1475" t="s">
        <v>59</v>
      </c>
      <c r="AC1475" t="s">
        <v>59</v>
      </c>
      <c r="AD1475" t="s">
        <v>59</v>
      </c>
      <c r="AF1475" s="1">
        <v>43367</v>
      </c>
      <c r="AG1475" t="s">
        <v>125</v>
      </c>
      <c r="AH1475" t="s">
        <v>126</v>
      </c>
      <c r="AI1475" t="str">
        <f>"1713010"</f>
        <v>1713010</v>
      </c>
      <c r="AJ1475" t="s">
        <v>369</v>
      </c>
      <c r="AK1475">
        <v>2892051686</v>
      </c>
      <c r="AL1475" t="s">
        <v>370</v>
      </c>
      <c r="AM1475" t="s">
        <v>78</v>
      </c>
      <c r="AN1475" t="s">
        <v>242</v>
      </c>
      <c r="AO1475" t="s">
        <v>349</v>
      </c>
      <c r="AP1475" t="s">
        <v>349</v>
      </c>
      <c r="AQ1475">
        <v>35</v>
      </c>
      <c r="AR1475" t="s">
        <v>123</v>
      </c>
      <c r="AS1475" t="s">
        <v>124</v>
      </c>
      <c r="AT1475" t="s">
        <v>58</v>
      </c>
      <c r="AU1475" t="s">
        <v>164</v>
      </c>
      <c r="AV1475" t="s">
        <v>132</v>
      </c>
      <c r="AW1475" s="1">
        <v>26676</v>
      </c>
      <c r="AX1475">
        <v>2</v>
      </c>
    </row>
    <row r="1476" spans="1:50">
      <c r="A1476">
        <v>218551</v>
      </c>
      <c r="B1476" t="str">
        <f>"037318357"</f>
        <v>037318357</v>
      </c>
      <c r="C1476" t="s">
        <v>50</v>
      </c>
      <c r="D1476" t="s">
        <v>3299</v>
      </c>
      <c r="E1476" t="s">
        <v>83</v>
      </c>
      <c r="F1476" t="s">
        <v>106</v>
      </c>
      <c r="G1476" t="s">
        <v>73</v>
      </c>
      <c r="H1476" t="str">
        <f>"ΚΝΩΣΣΟΥ 262 ΗΡΑΚΛΕΙΟ"</f>
        <v>ΚΝΩΣΣΟΥ 262 ΗΡΑΚΛΕΙΟ</v>
      </c>
      <c r="I1476">
        <v>71409</v>
      </c>
      <c r="J1476">
        <v>2810762687</v>
      </c>
      <c r="K1476">
        <v>6945031025</v>
      </c>
      <c r="M1476" t="s">
        <v>3300</v>
      </c>
      <c r="N1476" t="s">
        <v>232</v>
      </c>
      <c r="O1476" t="s">
        <v>233</v>
      </c>
      <c r="R1476" t="s">
        <v>57</v>
      </c>
      <c r="S1476">
        <v>9</v>
      </c>
      <c r="T1476">
        <v>599</v>
      </c>
      <c r="U1476" s="1">
        <v>39310</v>
      </c>
      <c r="V1476" t="s">
        <v>123</v>
      </c>
      <c r="W1476" t="s">
        <v>124</v>
      </c>
      <c r="X1476" t="s">
        <v>58</v>
      </c>
      <c r="Y1476">
        <v>20</v>
      </c>
      <c r="Z1476" t="s">
        <v>59</v>
      </c>
      <c r="AA1476" t="s">
        <v>59</v>
      </c>
      <c r="AB1476" t="s">
        <v>59</v>
      </c>
      <c r="AC1476" t="s">
        <v>59</v>
      </c>
      <c r="AD1476" t="s">
        <v>59</v>
      </c>
      <c r="AF1476" s="1">
        <v>39328</v>
      </c>
      <c r="AG1476" t="s">
        <v>125</v>
      </c>
      <c r="AH1476" t="s">
        <v>126</v>
      </c>
      <c r="AI1476" t="str">
        <f>"1716010"</f>
        <v>1716010</v>
      </c>
      <c r="AJ1476" t="s">
        <v>193</v>
      </c>
      <c r="AK1476">
        <v>2810791374</v>
      </c>
      <c r="AL1476" t="s">
        <v>194</v>
      </c>
      <c r="AM1476" t="s">
        <v>78</v>
      </c>
      <c r="AN1476" t="s">
        <v>78</v>
      </c>
      <c r="AO1476" t="s">
        <v>195</v>
      </c>
      <c r="AP1476" t="s">
        <v>196</v>
      </c>
      <c r="AQ1476">
        <v>30</v>
      </c>
      <c r="AR1476" t="s">
        <v>123</v>
      </c>
      <c r="AS1476" t="s">
        <v>124</v>
      </c>
      <c r="AT1476" t="s">
        <v>58</v>
      </c>
      <c r="AU1476" t="s">
        <v>68</v>
      </c>
      <c r="AV1476" t="s">
        <v>69</v>
      </c>
      <c r="AW1476" s="1">
        <v>25467</v>
      </c>
      <c r="AX1476">
        <v>2</v>
      </c>
    </row>
    <row r="1477" spans="1:50">
      <c r="B1477" t="str">
        <f>"026763877"</f>
        <v>026763877</v>
      </c>
      <c r="C1477" t="s">
        <v>50</v>
      </c>
      <c r="D1477" t="s">
        <v>3299</v>
      </c>
      <c r="E1477" t="s">
        <v>2061</v>
      </c>
      <c r="F1477" t="s">
        <v>166</v>
      </c>
      <c r="G1477" t="s">
        <v>823</v>
      </c>
      <c r="H1477" t="str">
        <f>"ΣΤΑΥΡΙΝΙΔΟΥ 00007 ΗΡΑΚΛΕΙΟ ΚΡΗΤΗΣ"</f>
        <v>ΣΤΑΥΡΙΝΙΔΟΥ 00007 ΗΡΑΚΛΕΙΟ ΚΡΗΤΗΣ</v>
      </c>
      <c r="I1477">
        <v>71409</v>
      </c>
      <c r="J1477">
        <v>2810226220</v>
      </c>
      <c r="K1477">
        <v>6972303873</v>
      </c>
      <c r="L1477">
        <v>2810210775</v>
      </c>
      <c r="M1477" t="s">
        <v>3301</v>
      </c>
      <c r="N1477" t="s">
        <v>292</v>
      </c>
      <c r="O1477" t="s">
        <v>293</v>
      </c>
      <c r="R1477" t="s">
        <v>57</v>
      </c>
      <c r="S1477">
        <v>6</v>
      </c>
      <c r="T1477" t="s">
        <v>416</v>
      </c>
      <c r="U1477" s="1">
        <v>43349</v>
      </c>
      <c r="V1477" t="s">
        <v>123</v>
      </c>
      <c r="W1477" t="s">
        <v>124</v>
      </c>
      <c r="X1477" t="s">
        <v>58</v>
      </c>
      <c r="Y1477">
        <v>20</v>
      </c>
      <c r="Z1477" t="s">
        <v>59</v>
      </c>
      <c r="AA1477" t="s">
        <v>59</v>
      </c>
      <c r="AB1477" t="s">
        <v>59</v>
      </c>
      <c r="AC1477" t="s">
        <v>59</v>
      </c>
      <c r="AD1477" t="s">
        <v>59</v>
      </c>
      <c r="AF1477" s="1">
        <v>43349</v>
      </c>
      <c r="AG1477" t="s">
        <v>125</v>
      </c>
      <c r="AH1477" t="s">
        <v>386</v>
      </c>
      <c r="AI1477" t="str">
        <f>"1741002"</f>
        <v>1741002</v>
      </c>
      <c r="AJ1477" t="s">
        <v>387</v>
      </c>
      <c r="AK1477">
        <v>2810762610</v>
      </c>
      <c r="AL1477" t="s">
        <v>388</v>
      </c>
      <c r="AM1477" t="s">
        <v>78</v>
      </c>
      <c r="AN1477" t="s">
        <v>219</v>
      </c>
      <c r="AO1477" t="s">
        <v>297</v>
      </c>
      <c r="AP1477" t="s">
        <v>297</v>
      </c>
      <c r="AQ1477">
        <v>10</v>
      </c>
      <c r="AR1477" t="s">
        <v>123</v>
      </c>
      <c r="AS1477" t="s">
        <v>124</v>
      </c>
      <c r="AT1477" t="s">
        <v>58</v>
      </c>
      <c r="AU1477" t="s">
        <v>419</v>
      </c>
      <c r="AV1477" t="s">
        <v>132</v>
      </c>
      <c r="AW1477" s="1">
        <v>24108</v>
      </c>
      <c r="AX1477">
        <v>2</v>
      </c>
    </row>
    <row r="1478" spans="1:50">
      <c r="A1478">
        <v>191926</v>
      </c>
      <c r="B1478" t="str">
        <f>"032556217"</f>
        <v>032556217</v>
      </c>
      <c r="C1478" t="s">
        <v>105</v>
      </c>
      <c r="D1478" t="s">
        <v>3302</v>
      </c>
      <c r="E1478" t="s">
        <v>383</v>
      </c>
      <c r="F1478" t="s">
        <v>95</v>
      </c>
      <c r="G1478" t="s">
        <v>1361</v>
      </c>
      <c r="H1478" t="str">
        <f>" "</f>
        <v xml:space="preserve"> </v>
      </c>
      <c r="M1478" t="s">
        <v>3303</v>
      </c>
      <c r="N1478" t="s">
        <v>331</v>
      </c>
      <c r="O1478" t="s">
        <v>332</v>
      </c>
      <c r="R1478" t="s">
        <v>57</v>
      </c>
      <c r="S1478">
        <v>8</v>
      </c>
      <c r="T1478">
        <v>291</v>
      </c>
      <c r="U1478" s="1">
        <v>37218</v>
      </c>
      <c r="V1478" t="s">
        <v>123</v>
      </c>
      <c r="W1478" t="s">
        <v>124</v>
      </c>
      <c r="X1478" t="s">
        <v>58</v>
      </c>
      <c r="Y1478">
        <v>20</v>
      </c>
      <c r="Z1478" t="s">
        <v>59</v>
      </c>
      <c r="AA1478" t="s">
        <v>59</v>
      </c>
      <c r="AB1478" t="s">
        <v>59</v>
      </c>
      <c r="AC1478" t="s">
        <v>59</v>
      </c>
      <c r="AD1478" t="s">
        <v>59</v>
      </c>
      <c r="AF1478" s="1">
        <v>37218</v>
      </c>
      <c r="AG1478" t="s">
        <v>137</v>
      </c>
      <c r="AH1478" t="s">
        <v>469</v>
      </c>
      <c r="AI1478" t="str">
        <f>"1740200"</f>
        <v>1740200</v>
      </c>
      <c r="AJ1478" t="s">
        <v>470</v>
      </c>
      <c r="AK1478">
        <v>2810320770</v>
      </c>
      <c r="AL1478" t="s">
        <v>471</v>
      </c>
      <c r="AM1478" t="s">
        <v>78</v>
      </c>
      <c r="AN1478" t="s">
        <v>78</v>
      </c>
      <c r="AO1478" t="s">
        <v>78</v>
      </c>
      <c r="AP1478" t="s">
        <v>163</v>
      </c>
      <c r="AQ1478">
        <v>2</v>
      </c>
      <c r="AR1478" t="s">
        <v>123</v>
      </c>
      <c r="AS1478" t="s">
        <v>124</v>
      </c>
      <c r="AT1478" t="s">
        <v>58</v>
      </c>
      <c r="AU1478" t="s">
        <v>68</v>
      </c>
      <c r="AV1478" t="s">
        <v>69</v>
      </c>
      <c r="AW1478" s="1">
        <v>26970</v>
      </c>
      <c r="AX1478">
        <v>2</v>
      </c>
    </row>
    <row r="1479" spans="1:50">
      <c r="A1479">
        <v>199421</v>
      </c>
      <c r="B1479" t="str">
        <f>"061373856"</f>
        <v>061373856</v>
      </c>
      <c r="C1479" t="s">
        <v>105</v>
      </c>
      <c r="D1479" t="s">
        <v>3302</v>
      </c>
      <c r="E1479" t="s">
        <v>311</v>
      </c>
      <c r="F1479" t="s">
        <v>670</v>
      </c>
      <c r="G1479" t="s">
        <v>507</v>
      </c>
      <c r="H1479" t="str">
        <f>"ΔΙΔΩ  ΣΩΤΗΡΙΟΥ 12 ΗΡΑΚΛΕΙΟ"</f>
        <v>ΔΙΔΩ  ΣΩΤΗΡΙΟΥ 12 ΗΡΑΚΛΕΙΟ</v>
      </c>
      <c r="I1479">
        <v>71305</v>
      </c>
      <c r="J1479">
        <v>2810281511</v>
      </c>
      <c r="K1479">
        <v>6944120635</v>
      </c>
      <c r="L1479">
        <v>2810260356</v>
      </c>
      <c r="N1479" t="s">
        <v>189</v>
      </c>
      <c r="O1479" t="s">
        <v>190</v>
      </c>
      <c r="R1479" t="s">
        <v>57</v>
      </c>
      <c r="S1479">
        <v>12</v>
      </c>
      <c r="T1479">
        <v>206</v>
      </c>
      <c r="U1479" s="1">
        <v>37866</v>
      </c>
      <c r="V1479" t="s">
        <v>123</v>
      </c>
      <c r="W1479" t="s">
        <v>124</v>
      </c>
      <c r="X1479" t="s">
        <v>58</v>
      </c>
      <c r="Y1479">
        <v>18</v>
      </c>
      <c r="Z1479" t="s">
        <v>59</v>
      </c>
      <c r="AA1479" t="s">
        <v>59</v>
      </c>
      <c r="AB1479" t="s">
        <v>59</v>
      </c>
      <c r="AC1479" t="s">
        <v>59</v>
      </c>
      <c r="AD1479" t="s">
        <v>59</v>
      </c>
      <c r="AF1479" s="1">
        <v>37866</v>
      </c>
      <c r="AG1479" t="s">
        <v>125</v>
      </c>
      <c r="AH1479" t="s">
        <v>126</v>
      </c>
      <c r="AI1479" t="str">
        <f>"1701056"</f>
        <v>1701056</v>
      </c>
      <c r="AJ1479" t="s">
        <v>211</v>
      </c>
      <c r="AK1479">
        <v>2810245445</v>
      </c>
      <c r="AL1479" t="s">
        <v>212</v>
      </c>
      <c r="AM1479" t="s">
        <v>78</v>
      </c>
      <c r="AN1479" t="s">
        <v>78</v>
      </c>
      <c r="AO1479" t="s">
        <v>78</v>
      </c>
      <c r="AP1479" t="s">
        <v>213</v>
      </c>
      <c r="AQ1479">
        <v>6</v>
      </c>
      <c r="AR1479" t="s">
        <v>123</v>
      </c>
      <c r="AS1479" t="s">
        <v>124</v>
      </c>
      <c r="AT1479" t="s">
        <v>58</v>
      </c>
      <c r="AU1479" t="s">
        <v>68</v>
      </c>
      <c r="AV1479" t="s">
        <v>69</v>
      </c>
      <c r="AW1479" s="1">
        <v>26751</v>
      </c>
      <c r="AX1479">
        <v>2</v>
      </c>
    </row>
    <row r="1480" spans="1:50">
      <c r="A1480">
        <v>211340</v>
      </c>
      <c r="B1480" t="str">
        <f>"044194334"</f>
        <v>044194334</v>
      </c>
      <c r="C1480" t="s">
        <v>105</v>
      </c>
      <c r="D1480" t="s">
        <v>3302</v>
      </c>
      <c r="E1480" t="s">
        <v>153</v>
      </c>
      <c r="F1480" t="s">
        <v>95</v>
      </c>
      <c r="G1480" t="s">
        <v>1553</v>
      </c>
      <c r="H1480" t="str">
        <f>" "</f>
        <v xml:space="preserve"> </v>
      </c>
      <c r="J1480">
        <v>2810255387</v>
      </c>
      <c r="K1480">
        <v>6945261919</v>
      </c>
      <c r="M1480" t="s">
        <v>3304</v>
      </c>
      <c r="N1480" t="s">
        <v>583</v>
      </c>
      <c r="O1480" t="s">
        <v>584</v>
      </c>
      <c r="R1480" t="s">
        <v>57</v>
      </c>
      <c r="S1480">
        <v>7</v>
      </c>
      <c r="T1480">
        <v>299</v>
      </c>
      <c r="U1480" s="1">
        <v>38670</v>
      </c>
      <c r="V1480" t="s">
        <v>123</v>
      </c>
      <c r="W1480" t="s">
        <v>124</v>
      </c>
      <c r="X1480" t="s">
        <v>58</v>
      </c>
      <c r="Y1480">
        <v>20</v>
      </c>
      <c r="Z1480" t="s">
        <v>59</v>
      </c>
      <c r="AA1480" t="s">
        <v>59</v>
      </c>
      <c r="AB1480" t="s">
        <v>59</v>
      </c>
      <c r="AC1480" t="s">
        <v>59</v>
      </c>
      <c r="AD1480" t="s">
        <v>59</v>
      </c>
      <c r="AF1480" s="1">
        <v>38672</v>
      </c>
      <c r="AG1480" t="s">
        <v>137</v>
      </c>
      <c r="AH1480" t="s">
        <v>138</v>
      </c>
      <c r="AI1480" t="str">
        <f>"1740100"</f>
        <v>1740100</v>
      </c>
      <c r="AJ1480" t="s">
        <v>857</v>
      </c>
      <c r="AK1480">
        <v>2810360741</v>
      </c>
      <c r="AL1480" t="s">
        <v>858</v>
      </c>
      <c r="AM1480" t="s">
        <v>78</v>
      </c>
      <c r="AN1480" t="s">
        <v>78</v>
      </c>
      <c r="AO1480" t="s">
        <v>78</v>
      </c>
      <c r="AP1480" t="s">
        <v>163</v>
      </c>
      <c r="AQ1480">
        <v>5</v>
      </c>
      <c r="AR1480" t="s">
        <v>123</v>
      </c>
      <c r="AS1480" t="s">
        <v>124</v>
      </c>
      <c r="AT1480" t="s">
        <v>58</v>
      </c>
      <c r="AU1480" t="s">
        <v>68</v>
      </c>
      <c r="AV1480" t="s">
        <v>69</v>
      </c>
      <c r="AW1480" s="1">
        <v>25026</v>
      </c>
      <c r="AX1480">
        <v>2</v>
      </c>
    </row>
    <row r="1481" spans="1:50">
      <c r="B1481" t="str">
        <f>"110134523"</f>
        <v>110134523</v>
      </c>
      <c r="C1481" t="s">
        <v>105</v>
      </c>
      <c r="D1481" t="s">
        <v>3305</v>
      </c>
      <c r="E1481" t="s">
        <v>166</v>
      </c>
      <c r="F1481" t="s">
        <v>782</v>
      </c>
      <c r="G1481" t="s">
        <v>73</v>
      </c>
      <c r="H1481" t="str">
        <f>"ΑΡΙΑΔΝΗΣ 1 "</f>
        <v xml:space="preserve">ΑΡΙΑΔΝΗΣ 1 </v>
      </c>
      <c r="I1481">
        <v>71202</v>
      </c>
      <c r="J1481">
        <v>2810242367</v>
      </c>
      <c r="K1481">
        <v>6974350985</v>
      </c>
      <c r="N1481" t="s">
        <v>257</v>
      </c>
      <c r="O1481" t="s">
        <v>258</v>
      </c>
      <c r="R1481" t="s">
        <v>159</v>
      </c>
      <c r="S1481">
        <v>4</v>
      </c>
      <c r="T1481" t="s">
        <v>160</v>
      </c>
      <c r="U1481" s="1">
        <v>43364</v>
      </c>
      <c r="V1481" t="s">
        <v>123</v>
      </c>
      <c r="W1481" t="s">
        <v>124</v>
      </c>
      <c r="X1481" t="s">
        <v>58</v>
      </c>
      <c r="Y1481">
        <v>23</v>
      </c>
      <c r="Z1481" t="s">
        <v>59</v>
      </c>
      <c r="AA1481" t="s">
        <v>59</v>
      </c>
      <c r="AB1481" t="s">
        <v>59</v>
      </c>
      <c r="AC1481" t="s">
        <v>59</v>
      </c>
      <c r="AD1481" t="s">
        <v>59</v>
      </c>
      <c r="AF1481" s="1">
        <v>43367</v>
      </c>
      <c r="AG1481" t="s">
        <v>125</v>
      </c>
      <c r="AH1481" t="s">
        <v>515</v>
      </c>
      <c r="AI1481" t="str">
        <f>"1713015"</f>
        <v>1713015</v>
      </c>
      <c r="AJ1481" t="s">
        <v>516</v>
      </c>
      <c r="AK1481">
        <v>2892051870</v>
      </c>
      <c r="AL1481" t="s">
        <v>517</v>
      </c>
      <c r="AM1481" t="s">
        <v>78</v>
      </c>
      <c r="AN1481" t="s">
        <v>242</v>
      </c>
      <c r="AO1481" t="s">
        <v>349</v>
      </c>
      <c r="AP1481" t="s">
        <v>349</v>
      </c>
      <c r="AQ1481">
        <v>35</v>
      </c>
      <c r="AR1481" t="s">
        <v>123</v>
      </c>
      <c r="AS1481" t="s">
        <v>124</v>
      </c>
      <c r="AT1481" t="s">
        <v>58</v>
      </c>
      <c r="AU1481" t="s">
        <v>164</v>
      </c>
      <c r="AV1481" t="s">
        <v>132</v>
      </c>
      <c r="AW1481" s="1">
        <v>29981</v>
      </c>
      <c r="AX1481">
        <v>2</v>
      </c>
    </row>
    <row r="1482" spans="1:50">
      <c r="A1482">
        <v>208685</v>
      </c>
      <c r="B1482" t="str">
        <f>"040481590"</f>
        <v>040481590</v>
      </c>
      <c r="C1482" t="s">
        <v>105</v>
      </c>
      <c r="D1482" t="s">
        <v>3306</v>
      </c>
      <c r="E1482" t="s">
        <v>95</v>
      </c>
      <c r="F1482" t="s">
        <v>53</v>
      </c>
      <c r="G1482" t="s">
        <v>143</v>
      </c>
      <c r="H1482" t="str">
        <f>" "</f>
        <v xml:space="preserve"> </v>
      </c>
      <c r="J1482">
        <v>2810212952</v>
      </c>
      <c r="K1482">
        <v>6974373863</v>
      </c>
      <c r="M1482" t="s">
        <v>3307</v>
      </c>
      <c r="N1482" t="s">
        <v>282</v>
      </c>
      <c r="O1482" t="s">
        <v>283</v>
      </c>
      <c r="R1482" t="s">
        <v>57</v>
      </c>
      <c r="S1482">
        <v>15</v>
      </c>
      <c r="T1482">
        <v>218</v>
      </c>
      <c r="U1482" s="1">
        <v>38596</v>
      </c>
      <c r="V1482" t="s">
        <v>123</v>
      </c>
      <c r="W1482" t="s">
        <v>124</v>
      </c>
      <c r="X1482" t="s">
        <v>58</v>
      </c>
      <c r="Y1482">
        <v>20</v>
      </c>
      <c r="Z1482" t="s">
        <v>59</v>
      </c>
      <c r="AA1482" t="s">
        <v>59</v>
      </c>
      <c r="AB1482" t="s">
        <v>59</v>
      </c>
      <c r="AC1482" t="s">
        <v>59</v>
      </c>
      <c r="AD1482" t="s">
        <v>59</v>
      </c>
      <c r="AF1482" s="1">
        <v>38600</v>
      </c>
      <c r="AG1482" t="s">
        <v>125</v>
      </c>
      <c r="AH1482" t="s">
        <v>590</v>
      </c>
      <c r="AI1482" t="str">
        <f>"1740060"</f>
        <v>1740060</v>
      </c>
      <c r="AJ1482" t="s">
        <v>591</v>
      </c>
      <c r="AK1482">
        <v>2810232117</v>
      </c>
      <c r="AL1482" t="s">
        <v>592</v>
      </c>
      <c r="AM1482" t="s">
        <v>78</v>
      </c>
      <c r="AN1482" t="s">
        <v>78</v>
      </c>
      <c r="AO1482" t="s">
        <v>78</v>
      </c>
      <c r="AP1482" t="s">
        <v>141</v>
      </c>
      <c r="AQ1482">
        <v>11</v>
      </c>
      <c r="AR1482" t="s">
        <v>123</v>
      </c>
      <c r="AS1482" t="s">
        <v>124</v>
      </c>
      <c r="AT1482" t="s">
        <v>58</v>
      </c>
      <c r="AU1482" t="s">
        <v>68</v>
      </c>
      <c r="AV1482" t="s">
        <v>69</v>
      </c>
      <c r="AW1482" s="1">
        <v>20341</v>
      </c>
      <c r="AX1482">
        <v>2</v>
      </c>
    </row>
    <row r="1483" spans="1:50">
      <c r="A1483">
        <v>151697</v>
      </c>
      <c r="B1483" t="str">
        <f>"040367732"</f>
        <v>040367732</v>
      </c>
      <c r="C1483" t="s">
        <v>50</v>
      </c>
      <c r="D1483" t="s">
        <v>3308</v>
      </c>
      <c r="E1483" t="s">
        <v>83</v>
      </c>
      <c r="F1483" t="s">
        <v>99</v>
      </c>
      <c r="G1483" t="s">
        <v>2024</v>
      </c>
      <c r="H1483" t="str">
        <f>"ΕΜΜΑΝΟΥΗΛ ΒΕΙΣΑΚΗ 5 "</f>
        <v xml:space="preserve">ΕΜΜΑΝΟΥΗΛ ΒΕΙΣΑΚΗ 5 </v>
      </c>
      <c r="I1483">
        <v>71307</v>
      </c>
      <c r="J1483">
        <v>2810226734</v>
      </c>
      <c r="K1483">
        <v>6974325533</v>
      </c>
      <c r="M1483" t="s">
        <v>3309</v>
      </c>
      <c r="N1483" t="s">
        <v>257</v>
      </c>
      <c r="O1483" t="s">
        <v>258</v>
      </c>
      <c r="R1483" t="s">
        <v>57</v>
      </c>
      <c r="S1483">
        <v>15</v>
      </c>
      <c r="T1483">
        <v>170</v>
      </c>
      <c r="U1483" s="1">
        <v>32016</v>
      </c>
      <c r="V1483" t="s">
        <v>123</v>
      </c>
      <c r="W1483" t="s">
        <v>124</v>
      </c>
      <c r="X1483" t="s">
        <v>58</v>
      </c>
      <c r="Y1483">
        <v>18</v>
      </c>
      <c r="Z1483" t="s">
        <v>59</v>
      </c>
      <c r="AA1483" t="s">
        <v>59</v>
      </c>
      <c r="AB1483" t="s">
        <v>59</v>
      </c>
      <c r="AC1483" t="s">
        <v>59</v>
      </c>
      <c r="AD1483" t="s">
        <v>59</v>
      </c>
      <c r="AF1483" s="1">
        <v>32023</v>
      </c>
      <c r="AG1483" t="s">
        <v>148</v>
      </c>
      <c r="AH1483" t="s">
        <v>149</v>
      </c>
      <c r="AI1483" t="str">
        <f>"1751040"</f>
        <v>1751040</v>
      </c>
      <c r="AJ1483" t="s">
        <v>178</v>
      </c>
      <c r="AK1483">
        <v>2810252495</v>
      </c>
      <c r="AL1483" t="s">
        <v>179</v>
      </c>
      <c r="AM1483" t="s">
        <v>78</v>
      </c>
      <c r="AN1483" t="s">
        <v>78</v>
      </c>
      <c r="AO1483" t="s">
        <v>78</v>
      </c>
      <c r="AP1483" t="s">
        <v>141</v>
      </c>
      <c r="AQ1483">
        <v>3</v>
      </c>
      <c r="AR1483" t="s">
        <v>123</v>
      </c>
      <c r="AS1483" t="s">
        <v>124</v>
      </c>
      <c r="AT1483" t="s">
        <v>58</v>
      </c>
      <c r="AU1483" t="s">
        <v>68</v>
      </c>
      <c r="AV1483" t="s">
        <v>69</v>
      </c>
      <c r="AW1483" s="1">
        <v>23128</v>
      </c>
      <c r="AX1483">
        <v>2</v>
      </c>
    </row>
    <row r="1484" spans="1:50">
      <c r="B1484" t="str">
        <f>"047001800"</f>
        <v>047001800</v>
      </c>
      <c r="C1484" t="s">
        <v>50</v>
      </c>
      <c r="D1484" t="s">
        <v>3310</v>
      </c>
      <c r="E1484" t="s">
        <v>3311</v>
      </c>
      <c r="F1484" t="s">
        <v>279</v>
      </c>
      <c r="G1484" t="s">
        <v>3150</v>
      </c>
      <c r="H1484" t="str">
        <f>" "</f>
        <v xml:space="preserve"> </v>
      </c>
      <c r="M1484" t="s">
        <v>3312</v>
      </c>
      <c r="N1484" t="s">
        <v>536</v>
      </c>
      <c r="O1484" t="s">
        <v>537</v>
      </c>
      <c r="R1484" t="s">
        <v>159</v>
      </c>
      <c r="S1484">
        <v>3</v>
      </c>
      <c r="T1484" t="s">
        <v>344</v>
      </c>
      <c r="U1484" s="1">
        <v>43348</v>
      </c>
      <c r="V1484" t="s">
        <v>123</v>
      </c>
      <c r="W1484" t="s">
        <v>124</v>
      </c>
      <c r="X1484" t="s">
        <v>58</v>
      </c>
      <c r="Y1484">
        <v>23</v>
      </c>
      <c r="Z1484" t="s">
        <v>59</v>
      </c>
      <c r="AA1484" t="s">
        <v>59</v>
      </c>
      <c r="AB1484" t="s">
        <v>59</v>
      </c>
      <c r="AD1484" t="s">
        <v>59</v>
      </c>
      <c r="AF1484" s="1">
        <v>43348</v>
      </c>
      <c r="AG1484" t="s">
        <v>125</v>
      </c>
      <c r="AH1484" t="s">
        <v>126</v>
      </c>
      <c r="AI1484" t="str">
        <f>"1728010"</f>
        <v>1728010</v>
      </c>
      <c r="AJ1484" t="s">
        <v>127</v>
      </c>
      <c r="AK1484">
        <v>2810824651</v>
      </c>
      <c r="AL1484" t="s">
        <v>128</v>
      </c>
      <c r="AM1484" t="s">
        <v>78</v>
      </c>
      <c r="AN1484" t="s">
        <v>129</v>
      </c>
      <c r="AO1484" t="s">
        <v>130</v>
      </c>
      <c r="AP1484" t="s">
        <v>130</v>
      </c>
      <c r="AQ1484">
        <v>36</v>
      </c>
      <c r="AR1484" t="s">
        <v>123</v>
      </c>
      <c r="AS1484" t="s">
        <v>124</v>
      </c>
      <c r="AT1484" t="s">
        <v>58</v>
      </c>
      <c r="AU1484" t="s">
        <v>350</v>
      </c>
      <c r="AV1484" t="s">
        <v>132</v>
      </c>
      <c r="AW1484" s="1">
        <v>25026</v>
      </c>
      <c r="AX1484">
        <v>2</v>
      </c>
    </row>
    <row r="1485" spans="1:50">
      <c r="A1485">
        <v>194502</v>
      </c>
      <c r="B1485" t="str">
        <f>"038063538"</f>
        <v>038063538</v>
      </c>
      <c r="C1485" t="s">
        <v>50</v>
      </c>
      <c r="D1485" t="s">
        <v>3313</v>
      </c>
      <c r="E1485" t="s">
        <v>181</v>
      </c>
      <c r="F1485" t="s">
        <v>99</v>
      </c>
      <c r="G1485" t="s">
        <v>52</v>
      </c>
      <c r="H1485" t="str">
        <f>"ΠΑΝΤΖΕΛΙΟΥ 8 ΗΡΑΚΛΕΙΟ"</f>
        <v>ΠΑΝΤΖΕΛΙΟΥ 8 ΗΡΑΚΛΕΙΟ</v>
      </c>
      <c r="I1485">
        <v>71305</v>
      </c>
      <c r="J1485">
        <v>2810312110</v>
      </c>
      <c r="K1485">
        <v>6947341898</v>
      </c>
      <c r="L1485">
        <v>2810312110</v>
      </c>
      <c r="M1485" t="s">
        <v>3314</v>
      </c>
      <c r="N1485" t="s">
        <v>176</v>
      </c>
      <c r="O1485" t="s">
        <v>177</v>
      </c>
      <c r="R1485" t="s">
        <v>57</v>
      </c>
      <c r="S1485">
        <v>12</v>
      </c>
      <c r="T1485">
        <v>193</v>
      </c>
      <c r="U1485" s="1">
        <v>37497</v>
      </c>
      <c r="V1485" t="s">
        <v>123</v>
      </c>
      <c r="W1485" t="s">
        <v>124</v>
      </c>
      <c r="X1485" t="s">
        <v>58</v>
      </c>
      <c r="Y1485">
        <v>18</v>
      </c>
      <c r="Z1485" t="s">
        <v>59</v>
      </c>
      <c r="AA1485" t="s">
        <v>59</v>
      </c>
      <c r="AB1485" t="s">
        <v>59</v>
      </c>
      <c r="AC1485" t="s">
        <v>59</v>
      </c>
      <c r="AD1485" t="s">
        <v>59</v>
      </c>
      <c r="AF1485" s="1">
        <v>37501</v>
      </c>
      <c r="AG1485" t="s">
        <v>125</v>
      </c>
      <c r="AH1485" t="s">
        <v>294</v>
      </c>
      <c r="AI1485" t="str">
        <f>"1701015"</f>
        <v>1701015</v>
      </c>
      <c r="AJ1485" t="s">
        <v>295</v>
      </c>
      <c r="AK1485">
        <v>2810761696</v>
      </c>
      <c r="AL1485" t="s">
        <v>296</v>
      </c>
      <c r="AM1485" t="s">
        <v>78</v>
      </c>
      <c r="AN1485" t="s">
        <v>219</v>
      </c>
      <c r="AO1485" t="s">
        <v>297</v>
      </c>
      <c r="AP1485" t="s">
        <v>297</v>
      </c>
      <c r="AQ1485">
        <v>10</v>
      </c>
      <c r="AR1485" t="s">
        <v>123</v>
      </c>
      <c r="AS1485" t="s">
        <v>124</v>
      </c>
      <c r="AT1485" t="s">
        <v>58</v>
      </c>
      <c r="AU1485" t="s">
        <v>68</v>
      </c>
      <c r="AV1485" t="s">
        <v>69</v>
      </c>
      <c r="AW1485" s="1">
        <v>24676</v>
      </c>
      <c r="AX1485">
        <v>2</v>
      </c>
    </row>
    <row r="1486" spans="1:50">
      <c r="A1486">
        <v>164189</v>
      </c>
      <c r="B1486" t="str">
        <f>"042492213"</f>
        <v>042492213</v>
      </c>
      <c r="C1486" t="s">
        <v>50</v>
      </c>
      <c r="D1486" t="s">
        <v>3315</v>
      </c>
      <c r="E1486" t="s">
        <v>52</v>
      </c>
      <c r="F1486" t="s">
        <v>95</v>
      </c>
      <c r="G1486" t="s">
        <v>1207</v>
      </c>
      <c r="H1486" t="str">
        <f>"ΠΑΛΜΕΤΗ 46 "</f>
        <v xml:space="preserve">ΠΑΛΜΕΤΗ 46 </v>
      </c>
      <c r="J1486">
        <v>2810241338</v>
      </c>
      <c r="K1486">
        <v>6972233199</v>
      </c>
      <c r="N1486" t="s">
        <v>146</v>
      </c>
      <c r="O1486" t="s">
        <v>147</v>
      </c>
      <c r="R1486" t="s">
        <v>57</v>
      </c>
      <c r="S1486">
        <v>19</v>
      </c>
      <c r="T1486">
        <v>161</v>
      </c>
      <c r="U1486" s="1">
        <v>33844</v>
      </c>
      <c r="V1486" t="s">
        <v>123</v>
      </c>
      <c r="W1486" t="s">
        <v>124</v>
      </c>
      <c r="X1486" t="s">
        <v>58</v>
      </c>
      <c r="Y1486">
        <v>18</v>
      </c>
      <c r="Z1486" t="s">
        <v>59</v>
      </c>
      <c r="AA1486" t="s">
        <v>59</v>
      </c>
      <c r="AB1486" t="s">
        <v>59</v>
      </c>
      <c r="AC1486" t="s">
        <v>59</v>
      </c>
      <c r="AD1486" t="s">
        <v>59</v>
      </c>
      <c r="AF1486" s="1">
        <v>33851</v>
      </c>
      <c r="AG1486" t="s">
        <v>148</v>
      </c>
      <c r="AH1486" t="s">
        <v>149</v>
      </c>
      <c r="AI1486" t="str">
        <f>"1778010"</f>
        <v>1778010</v>
      </c>
      <c r="AJ1486" t="s">
        <v>672</v>
      </c>
      <c r="AK1486">
        <v>2810822455</v>
      </c>
      <c r="AL1486" t="s">
        <v>673</v>
      </c>
      <c r="AM1486" t="s">
        <v>78</v>
      </c>
      <c r="AN1486" t="s">
        <v>129</v>
      </c>
      <c r="AO1486" t="s">
        <v>130</v>
      </c>
      <c r="AP1486" t="s">
        <v>130</v>
      </c>
      <c r="AQ1486">
        <v>36</v>
      </c>
      <c r="AR1486" t="s">
        <v>123</v>
      </c>
      <c r="AS1486" t="s">
        <v>124</v>
      </c>
      <c r="AT1486" t="s">
        <v>58</v>
      </c>
      <c r="AU1486" t="s">
        <v>68</v>
      </c>
      <c r="AV1486" t="s">
        <v>69</v>
      </c>
      <c r="AW1486" s="1">
        <v>23407</v>
      </c>
      <c r="AX1486">
        <v>2</v>
      </c>
    </row>
    <row r="1487" spans="1:50">
      <c r="A1487">
        <v>163144</v>
      </c>
      <c r="B1487" t="str">
        <f>"032704974"</f>
        <v>032704974</v>
      </c>
      <c r="C1487" t="s">
        <v>105</v>
      </c>
      <c r="D1487" t="s">
        <v>3316</v>
      </c>
      <c r="E1487" t="s">
        <v>2233</v>
      </c>
      <c r="F1487" t="s">
        <v>166</v>
      </c>
      <c r="G1487" t="s">
        <v>96</v>
      </c>
      <c r="H1487" t="str">
        <f>"ΕΛΥΡΟΥ 59 "</f>
        <v xml:space="preserve">ΕΛΥΡΟΥ 59 </v>
      </c>
      <c r="I1487">
        <v>71303</v>
      </c>
      <c r="J1487">
        <v>2810318778</v>
      </c>
      <c r="K1487">
        <v>6974460746</v>
      </c>
      <c r="M1487" t="s">
        <v>3317</v>
      </c>
      <c r="N1487" t="s">
        <v>176</v>
      </c>
      <c r="O1487" t="s">
        <v>177</v>
      </c>
      <c r="R1487" t="s">
        <v>57</v>
      </c>
      <c r="S1487">
        <v>14</v>
      </c>
      <c r="T1487">
        <v>132</v>
      </c>
      <c r="U1487" s="1">
        <v>33456</v>
      </c>
      <c r="V1487" t="s">
        <v>123</v>
      </c>
      <c r="W1487" t="s">
        <v>124</v>
      </c>
      <c r="X1487" t="s">
        <v>58</v>
      </c>
      <c r="Y1487">
        <v>18</v>
      </c>
      <c r="Z1487" t="s">
        <v>59</v>
      </c>
      <c r="AA1487" t="s">
        <v>59</v>
      </c>
      <c r="AB1487" t="s">
        <v>59</v>
      </c>
      <c r="AC1487" t="s">
        <v>59</v>
      </c>
      <c r="AD1487" t="s">
        <v>59</v>
      </c>
      <c r="AF1487" s="1">
        <v>33483</v>
      </c>
      <c r="AG1487" t="s">
        <v>125</v>
      </c>
      <c r="AH1487" t="s">
        <v>126</v>
      </c>
      <c r="AI1487" t="str">
        <f>"1701052"</f>
        <v>1701052</v>
      </c>
      <c r="AJ1487" t="s">
        <v>223</v>
      </c>
      <c r="AK1487">
        <v>2810252514</v>
      </c>
      <c r="AL1487" t="s">
        <v>224</v>
      </c>
      <c r="AM1487" t="s">
        <v>78</v>
      </c>
      <c r="AN1487" t="s">
        <v>78</v>
      </c>
      <c r="AO1487" t="s">
        <v>78</v>
      </c>
      <c r="AP1487" t="s">
        <v>141</v>
      </c>
      <c r="AQ1487">
        <v>7</v>
      </c>
      <c r="AR1487" t="s">
        <v>123</v>
      </c>
      <c r="AS1487" t="s">
        <v>124</v>
      </c>
      <c r="AT1487" t="s">
        <v>58</v>
      </c>
      <c r="AU1487" t="s">
        <v>68</v>
      </c>
      <c r="AV1487" t="s">
        <v>69</v>
      </c>
      <c r="AW1487" s="1">
        <v>22090</v>
      </c>
      <c r="AX1487">
        <v>2</v>
      </c>
    </row>
    <row r="1488" spans="1:50">
      <c r="A1488">
        <v>176062</v>
      </c>
      <c r="B1488" t="str">
        <f>"035051811"</f>
        <v>035051811</v>
      </c>
      <c r="C1488" t="s">
        <v>105</v>
      </c>
      <c r="D1488" t="s">
        <v>3318</v>
      </c>
      <c r="E1488" t="s">
        <v>72</v>
      </c>
      <c r="F1488" t="s">
        <v>2320</v>
      </c>
      <c r="G1488" t="s">
        <v>801</v>
      </c>
      <c r="H1488" t="str">
        <f>"Ισαύρων 29 Καμίνια"</f>
        <v>Ισαύρων 29 Καμίνια</v>
      </c>
      <c r="I1488">
        <v>71303</v>
      </c>
      <c r="J1488">
        <v>2810312501</v>
      </c>
      <c r="K1488">
        <v>6973500783</v>
      </c>
      <c r="M1488" t="s">
        <v>3319</v>
      </c>
      <c r="N1488" t="s">
        <v>232</v>
      </c>
      <c r="O1488" t="s">
        <v>233</v>
      </c>
      <c r="R1488" t="s">
        <v>57</v>
      </c>
      <c r="S1488">
        <v>10</v>
      </c>
      <c r="T1488">
        <v>180</v>
      </c>
      <c r="U1488" s="1">
        <v>35674</v>
      </c>
      <c r="V1488" t="s">
        <v>123</v>
      </c>
      <c r="W1488" t="s">
        <v>124</v>
      </c>
      <c r="X1488" t="s">
        <v>58</v>
      </c>
      <c r="Y1488">
        <v>18</v>
      </c>
      <c r="Z1488" t="s">
        <v>59</v>
      </c>
      <c r="AA1488" t="s">
        <v>59</v>
      </c>
      <c r="AB1488" t="s">
        <v>59</v>
      </c>
      <c r="AC1488" t="s">
        <v>59</v>
      </c>
      <c r="AD1488" t="s">
        <v>59</v>
      </c>
      <c r="AF1488" s="1">
        <v>35681</v>
      </c>
      <c r="AG1488" t="s">
        <v>125</v>
      </c>
      <c r="AH1488" t="s">
        <v>126</v>
      </c>
      <c r="AI1488" t="str">
        <f>"1701055"</f>
        <v>1701055</v>
      </c>
      <c r="AJ1488" t="s">
        <v>301</v>
      </c>
      <c r="AK1488">
        <v>2810257353</v>
      </c>
      <c r="AL1488" t="s">
        <v>302</v>
      </c>
      <c r="AM1488" t="s">
        <v>78</v>
      </c>
      <c r="AN1488" t="s">
        <v>78</v>
      </c>
      <c r="AO1488" t="s">
        <v>78</v>
      </c>
      <c r="AP1488" t="s">
        <v>141</v>
      </c>
      <c r="AQ1488">
        <v>7</v>
      </c>
      <c r="AR1488" t="s">
        <v>123</v>
      </c>
      <c r="AS1488" t="s">
        <v>124</v>
      </c>
      <c r="AT1488" t="s">
        <v>58</v>
      </c>
      <c r="AU1488" t="s">
        <v>68</v>
      </c>
      <c r="AV1488" t="s">
        <v>69</v>
      </c>
      <c r="AW1488" s="1">
        <v>21721</v>
      </c>
      <c r="AX1488">
        <v>2</v>
      </c>
    </row>
    <row r="1489" spans="1:50">
      <c r="A1489">
        <v>191461</v>
      </c>
      <c r="B1489" t="str">
        <f>"045847488"</f>
        <v>045847488</v>
      </c>
      <c r="C1489" t="s">
        <v>50</v>
      </c>
      <c r="D1489" t="s">
        <v>3320</v>
      </c>
      <c r="E1489" t="s">
        <v>109</v>
      </c>
      <c r="F1489" t="s">
        <v>108</v>
      </c>
      <c r="G1489" t="s">
        <v>52</v>
      </c>
      <c r="H1489" t="str">
        <f>"ΠΟΜΠΙΑ "</f>
        <v xml:space="preserve">ΠΟΜΠΙΑ </v>
      </c>
      <c r="I1489">
        <v>70400</v>
      </c>
      <c r="J1489">
        <v>2892041110</v>
      </c>
      <c r="K1489">
        <v>6907454536</v>
      </c>
      <c r="M1489" t="s">
        <v>3321</v>
      </c>
      <c r="N1489" t="s">
        <v>204</v>
      </c>
      <c r="O1489" t="s">
        <v>205</v>
      </c>
      <c r="R1489" t="s">
        <v>57</v>
      </c>
      <c r="S1489">
        <v>10</v>
      </c>
      <c r="T1489" t="s">
        <v>984</v>
      </c>
      <c r="U1489" s="1">
        <v>36714</v>
      </c>
      <c r="V1489" t="s">
        <v>123</v>
      </c>
      <c r="W1489" t="s">
        <v>124</v>
      </c>
      <c r="X1489" t="s">
        <v>58</v>
      </c>
      <c r="Y1489">
        <v>18</v>
      </c>
      <c r="Z1489" t="s">
        <v>59</v>
      </c>
      <c r="AA1489" t="s">
        <v>59</v>
      </c>
      <c r="AB1489" t="s">
        <v>59</v>
      </c>
      <c r="AC1489" t="s">
        <v>59</v>
      </c>
      <c r="AD1489" t="s">
        <v>59</v>
      </c>
      <c r="AF1489" s="1">
        <v>36714</v>
      </c>
      <c r="AG1489" t="s">
        <v>60</v>
      </c>
      <c r="AH1489" t="s">
        <v>453</v>
      </c>
      <c r="AI1489" t="str">
        <f>"1700105"</f>
        <v>1700105</v>
      </c>
      <c r="AJ1489" t="s">
        <v>124</v>
      </c>
      <c r="AK1489">
        <v>2810333720</v>
      </c>
      <c r="AL1489" t="s">
        <v>454</v>
      </c>
      <c r="AM1489" t="s">
        <v>78</v>
      </c>
      <c r="AN1489" t="s">
        <v>78</v>
      </c>
      <c r="AO1489" t="s">
        <v>78</v>
      </c>
      <c r="AP1489" t="s">
        <v>79</v>
      </c>
      <c r="AS1489" t="s">
        <v>124</v>
      </c>
      <c r="AT1489" t="s">
        <v>58</v>
      </c>
      <c r="AU1489" t="s">
        <v>68</v>
      </c>
      <c r="AV1489" t="s">
        <v>455</v>
      </c>
      <c r="AW1489" s="1">
        <v>24869</v>
      </c>
      <c r="AX1489">
        <v>2</v>
      </c>
    </row>
    <row r="1490" spans="1:50">
      <c r="B1490" t="str">
        <f>"056008999"</f>
        <v>056008999</v>
      </c>
      <c r="C1490" t="s">
        <v>105</v>
      </c>
      <c r="D1490" t="s">
        <v>3322</v>
      </c>
      <c r="E1490" t="s">
        <v>1041</v>
      </c>
      <c r="F1490" t="s">
        <v>84</v>
      </c>
      <c r="G1490" t="s">
        <v>860</v>
      </c>
      <c r="H1490" t="str">
        <f>" "</f>
        <v xml:space="preserve"> </v>
      </c>
      <c r="M1490" t="s">
        <v>3207</v>
      </c>
      <c r="N1490" t="s">
        <v>292</v>
      </c>
      <c r="O1490" t="s">
        <v>293</v>
      </c>
      <c r="R1490" t="s">
        <v>57</v>
      </c>
      <c r="S1490">
        <v>10</v>
      </c>
      <c r="T1490" t="s">
        <v>416</v>
      </c>
      <c r="U1490" s="1">
        <v>43349</v>
      </c>
      <c r="V1490" t="s">
        <v>123</v>
      </c>
      <c r="W1490" t="s">
        <v>124</v>
      </c>
      <c r="X1490" t="s">
        <v>58</v>
      </c>
      <c r="Y1490">
        <v>20</v>
      </c>
      <c r="Z1490" t="s">
        <v>59</v>
      </c>
      <c r="AA1490" t="s">
        <v>59</v>
      </c>
      <c r="AB1490" t="s">
        <v>59</v>
      </c>
      <c r="AC1490" t="s">
        <v>59</v>
      </c>
      <c r="AD1490" t="s">
        <v>59</v>
      </c>
      <c r="AF1490" s="1">
        <v>43349</v>
      </c>
      <c r="AG1490" t="s">
        <v>125</v>
      </c>
      <c r="AH1490" t="s">
        <v>3323</v>
      </c>
      <c r="AI1490" t="str">
        <f>"1501650"</f>
        <v>1501650</v>
      </c>
      <c r="AJ1490" t="s">
        <v>3324</v>
      </c>
      <c r="AK1490">
        <v>2810301780</v>
      </c>
      <c r="AL1490" t="s">
        <v>3325</v>
      </c>
      <c r="AM1490" t="s">
        <v>78</v>
      </c>
      <c r="AN1490" t="s">
        <v>78</v>
      </c>
      <c r="AO1490" t="s">
        <v>78</v>
      </c>
      <c r="AP1490" t="s">
        <v>141</v>
      </c>
      <c r="AQ1490">
        <v>10</v>
      </c>
      <c r="AR1490" t="s">
        <v>123</v>
      </c>
      <c r="AS1490" t="s">
        <v>124</v>
      </c>
      <c r="AT1490" t="s">
        <v>58</v>
      </c>
      <c r="AU1490" t="s">
        <v>419</v>
      </c>
      <c r="AV1490" t="s">
        <v>132</v>
      </c>
      <c r="AW1490" s="1">
        <v>23084</v>
      </c>
      <c r="AX1490">
        <v>2</v>
      </c>
    </row>
    <row r="1491" spans="1:50">
      <c r="A1491">
        <v>188388</v>
      </c>
      <c r="B1491" t="str">
        <f>"061714667"</f>
        <v>061714667</v>
      </c>
      <c r="C1491" t="s">
        <v>105</v>
      </c>
      <c r="D1491" t="s">
        <v>3326</v>
      </c>
      <c r="E1491" t="s">
        <v>95</v>
      </c>
      <c r="F1491" t="s">
        <v>995</v>
      </c>
      <c r="G1491" t="s">
        <v>714</v>
      </c>
      <c r="H1491" t="str">
        <f>"ΛΕΟΦΩΡΟΣ ΙΩΝΙΑΣ 177 ΑΤΣΑΛΕΝΙΟ"</f>
        <v>ΛΕΟΦΩΡΟΣ ΙΩΝΙΑΣ 177 ΑΤΣΑΛΕΝΙΟ</v>
      </c>
      <c r="I1491">
        <v>71306</v>
      </c>
      <c r="J1491">
        <v>2810325893</v>
      </c>
      <c r="K1491">
        <v>6932048267</v>
      </c>
      <c r="M1491" t="s">
        <v>3327</v>
      </c>
      <c r="N1491" t="s">
        <v>204</v>
      </c>
      <c r="O1491" t="s">
        <v>205</v>
      </c>
      <c r="R1491" t="s">
        <v>57</v>
      </c>
      <c r="S1491">
        <v>11</v>
      </c>
      <c r="T1491">
        <v>251</v>
      </c>
      <c r="U1491" s="1">
        <v>36769</v>
      </c>
      <c r="V1491" t="s">
        <v>123</v>
      </c>
      <c r="W1491" t="s">
        <v>124</v>
      </c>
      <c r="X1491" t="s">
        <v>58</v>
      </c>
      <c r="Y1491">
        <v>20</v>
      </c>
      <c r="Z1491" t="s">
        <v>59</v>
      </c>
      <c r="AA1491" t="s">
        <v>59</v>
      </c>
      <c r="AB1491" t="s">
        <v>59</v>
      </c>
      <c r="AC1491" t="s">
        <v>59</v>
      </c>
      <c r="AD1491" t="s">
        <v>59</v>
      </c>
      <c r="AF1491" s="1">
        <v>36770</v>
      </c>
      <c r="AG1491" t="s">
        <v>148</v>
      </c>
      <c r="AH1491" t="s">
        <v>149</v>
      </c>
      <c r="AI1491" t="str">
        <f>"1751052"</f>
        <v>1751052</v>
      </c>
      <c r="AJ1491" t="s">
        <v>328</v>
      </c>
      <c r="AK1491">
        <v>2810213762</v>
      </c>
      <c r="AL1491" t="s">
        <v>329</v>
      </c>
      <c r="AM1491" t="s">
        <v>78</v>
      </c>
      <c r="AN1491" t="s">
        <v>78</v>
      </c>
      <c r="AO1491" t="s">
        <v>78</v>
      </c>
      <c r="AP1491" t="s">
        <v>163</v>
      </c>
      <c r="AQ1491">
        <v>8</v>
      </c>
      <c r="AR1491" t="s">
        <v>123</v>
      </c>
      <c r="AS1491" t="s">
        <v>124</v>
      </c>
      <c r="AT1491" t="s">
        <v>58</v>
      </c>
      <c r="AU1491" t="s">
        <v>68</v>
      </c>
      <c r="AV1491" t="s">
        <v>357</v>
      </c>
      <c r="AW1491" s="1">
        <v>26683</v>
      </c>
      <c r="AX1491">
        <v>2</v>
      </c>
    </row>
    <row r="1492" spans="1:50">
      <c r="A1492">
        <v>218554</v>
      </c>
      <c r="B1492" t="str">
        <f>"101774749"</f>
        <v>101774749</v>
      </c>
      <c r="C1492" t="s">
        <v>50</v>
      </c>
      <c r="D1492" t="s">
        <v>3328</v>
      </c>
      <c r="E1492" t="s">
        <v>263</v>
      </c>
      <c r="F1492" t="s">
        <v>564</v>
      </c>
      <c r="G1492" t="s">
        <v>155</v>
      </c>
      <c r="H1492" t="str">
        <f>" "</f>
        <v xml:space="preserve"> </v>
      </c>
      <c r="J1492">
        <v>2810312411</v>
      </c>
      <c r="K1492">
        <v>6945552499</v>
      </c>
      <c r="N1492" t="s">
        <v>232</v>
      </c>
      <c r="O1492" t="s">
        <v>233</v>
      </c>
      <c r="R1492" t="s">
        <v>57</v>
      </c>
      <c r="S1492">
        <v>7</v>
      </c>
      <c r="T1492">
        <v>599</v>
      </c>
      <c r="U1492" s="1">
        <v>39310</v>
      </c>
      <c r="V1492" t="s">
        <v>123</v>
      </c>
      <c r="W1492" t="s">
        <v>124</v>
      </c>
      <c r="X1492" t="s">
        <v>58</v>
      </c>
      <c r="Y1492">
        <v>20</v>
      </c>
      <c r="Z1492" t="s">
        <v>59</v>
      </c>
      <c r="AA1492" t="s">
        <v>59</v>
      </c>
      <c r="AB1492" t="s">
        <v>59</v>
      </c>
      <c r="AC1492" t="s">
        <v>59</v>
      </c>
      <c r="AD1492" t="s">
        <v>59</v>
      </c>
      <c r="AF1492" s="1">
        <v>39328</v>
      </c>
      <c r="AG1492" t="s">
        <v>137</v>
      </c>
      <c r="AH1492" t="s">
        <v>138</v>
      </c>
      <c r="AI1492" t="str">
        <f>"1750080"</f>
        <v>1750080</v>
      </c>
      <c r="AJ1492" t="s">
        <v>170</v>
      </c>
      <c r="AK1492">
        <v>2810234444</v>
      </c>
      <c r="AL1492" t="s">
        <v>171</v>
      </c>
      <c r="AM1492" t="s">
        <v>78</v>
      </c>
      <c r="AN1492" t="s">
        <v>78</v>
      </c>
      <c r="AO1492" t="s">
        <v>78</v>
      </c>
      <c r="AP1492" t="s">
        <v>163</v>
      </c>
      <c r="AQ1492">
        <v>9</v>
      </c>
      <c r="AR1492" t="s">
        <v>123</v>
      </c>
      <c r="AS1492" t="s">
        <v>124</v>
      </c>
      <c r="AT1492" t="s">
        <v>58</v>
      </c>
      <c r="AU1492" t="s">
        <v>68</v>
      </c>
      <c r="AV1492" t="s">
        <v>69</v>
      </c>
      <c r="AW1492" s="1">
        <v>25608</v>
      </c>
      <c r="AX1492">
        <v>2</v>
      </c>
    </row>
    <row r="1493" spans="1:50">
      <c r="A1493">
        <v>204906</v>
      </c>
      <c r="B1493" t="str">
        <f>"114284450"</f>
        <v>114284450</v>
      </c>
      <c r="C1493" t="s">
        <v>50</v>
      </c>
      <c r="D1493" t="s">
        <v>3329</v>
      </c>
      <c r="E1493" t="s">
        <v>3083</v>
      </c>
      <c r="F1493" t="s">
        <v>377</v>
      </c>
      <c r="G1493" t="s">
        <v>52</v>
      </c>
      <c r="H1493" t="str">
        <f>" "</f>
        <v xml:space="preserve"> </v>
      </c>
      <c r="J1493">
        <v>2810257120</v>
      </c>
      <c r="K1493">
        <v>6945334671</v>
      </c>
      <c r="M1493" t="s">
        <v>3330</v>
      </c>
      <c r="N1493" t="s">
        <v>2871</v>
      </c>
      <c r="O1493" t="s">
        <v>2872</v>
      </c>
      <c r="P1493" t="s">
        <v>299</v>
      </c>
      <c r="Q1493" t="s">
        <v>300</v>
      </c>
      <c r="R1493" t="s">
        <v>57</v>
      </c>
      <c r="S1493">
        <v>7</v>
      </c>
      <c r="T1493">
        <v>231</v>
      </c>
      <c r="U1493" s="1">
        <v>38230</v>
      </c>
      <c r="V1493" t="s">
        <v>123</v>
      </c>
      <c r="W1493" t="s">
        <v>124</v>
      </c>
      <c r="X1493" t="s">
        <v>58</v>
      </c>
      <c r="Y1493">
        <v>20</v>
      </c>
      <c r="Z1493" t="s">
        <v>59</v>
      </c>
      <c r="AA1493" t="s">
        <v>59</v>
      </c>
      <c r="AB1493" t="s">
        <v>59</v>
      </c>
      <c r="AC1493" t="s">
        <v>59</v>
      </c>
      <c r="AD1493" t="s">
        <v>59</v>
      </c>
      <c r="AF1493" s="1">
        <v>38236</v>
      </c>
      <c r="AG1493" t="s">
        <v>137</v>
      </c>
      <c r="AH1493" t="s">
        <v>138</v>
      </c>
      <c r="AI1493" t="str">
        <f>"1740100"</f>
        <v>1740100</v>
      </c>
      <c r="AJ1493" t="s">
        <v>857</v>
      </c>
      <c r="AK1493">
        <v>2810360741</v>
      </c>
      <c r="AL1493" t="s">
        <v>858</v>
      </c>
      <c r="AM1493" t="s">
        <v>78</v>
      </c>
      <c r="AN1493" t="s">
        <v>78</v>
      </c>
      <c r="AO1493" t="s">
        <v>78</v>
      </c>
      <c r="AP1493" t="s">
        <v>163</v>
      </c>
      <c r="AQ1493">
        <v>5</v>
      </c>
      <c r="AR1493" t="s">
        <v>123</v>
      </c>
      <c r="AS1493" t="s">
        <v>124</v>
      </c>
      <c r="AT1493" t="s">
        <v>58</v>
      </c>
      <c r="AU1493" t="s">
        <v>68</v>
      </c>
      <c r="AV1493" t="s">
        <v>69</v>
      </c>
      <c r="AW1493" s="1">
        <v>22647</v>
      </c>
      <c r="AX1493">
        <v>2</v>
      </c>
    </row>
    <row r="1494" spans="1:50">
      <c r="A1494">
        <v>168023</v>
      </c>
      <c r="B1494" t="str">
        <f>"070346380"</f>
        <v>070346380</v>
      </c>
      <c r="C1494" t="s">
        <v>50</v>
      </c>
      <c r="D1494" t="s">
        <v>3331</v>
      </c>
      <c r="E1494" t="s">
        <v>250</v>
      </c>
      <c r="F1494" t="s">
        <v>377</v>
      </c>
      <c r="G1494" t="s">
        <v>52</v>
      </c>
      <c r="H1494" t="str">
        <f>"ΑΝΤ. ΠΛΟΥΜΙΔΗ  14  ΑΝΩ ΑΡΧΑΝΕΣ, ΗΡΑΚΛΕΙΟΥ"</f>
        <v>ΑΝΤ. ΠΛΟΥΜΙΔΗ  14  ΑΝΩ ΑΡΧΑΝΕΣ, ΗΡΑΚΛΕΙΟΥ</v>
      </c>
      <c r="I1494">
        <v>70100</v>
      </c>
      <c r="J1494">
        <v>2810752162</v>
      </c>
      <c r="K1494">
        <v>6973247499</v>
      </c>
      <c r="M1494" t="s">
        <v>3332</v>
      </c>
      <c r="N1494" t="s">
        <v>292</v>
      </c>
      <c r="O1494" t="s">
        <v>293</v>
      </c>
      <c r="R1494" t="s">
        <v>57</v>
      </c>
      <c r="S1494">
        <v>13</v>
      </c>
      <c r="T1494">
        <v>159</v>
      </c>
      <c r="U1494" s="1">
        <v>34582</v>
      </c>
      <c r="V1494" t="s">
        <v>123</v>
      </c>
      <c r="W1494" t="s">
        <v>124</v>
      </c>
      <c r="X1494" t="s">
        <v>58</v>
      </c>
      <c r="Y1494">
        <v>18</v>
      </c>
      <c r="Z1494" t="s">
        <v>59</v>
      </c>
      <c r="AA1494" t="s">
        <v>59</v>
      </c>
      <c r="AB1494" t="s">
        <v>59</v>
      </c>
      <c r="AC1494" t="s">
        <v>59</v>
      </c>
      <c r="AD1494" t="s">
        <v>59</v>
      </c>
      <c r="AF1494" s="1">
        <v>34582</v>
      </c>
      <c r="AG1494" t="s">
        <v>148</v>
      </c>
      <c r="AH1494" t="s">
        <v>149</v>
      </c>
      <c r="AI1494" t="str">
        <f>"1761010"</f>
        <v>1761010</v>
      </c>
      <c r="AJ1494" t="s">
        <v>426</v>
      </c>
      <c r="AK1494">
        <v>2810741356</v>
      </c>
      <c r="AL1494" t="s">
        <v>427</v>
      </c>
      <c r="AM1494" t="s">
        <v>78</v>
      </c>
      <c r="AN1494" t="s">
        <v>424</v>
      </c>
      <c r="AO1494" t="s">
        <v>428</v>
      </c>
      <c r="AP1494" t="s">
        <v>429</v>
      </c>
      <c r="AQ1494">
        <v>14</v>
      </c>
      <c r="AR1494" t="s">
        <v>123</v>
      </c>
      <c r="AS1494" t="s">
        <v>124</v>
      </c>
      <c r="AT1494" t="s">
        <v>58</v>
      </c>
      <c r="AU1494" t="s">
        <v>68</v>
      </c>
      <c r="AV1494" t="s">
        <v>69</v>
      </c>
      <c r="AW1494" s="1">
        <v>21206</v>
      </c>
      <c r="AX1494">
        <v>2</v>
      </c>
    </row>
    <row r="1495" spans="1:50">
      <c r="A1495">
        <v>224216</v>
      </c>
      <c r="B1495" t="str">
        <f>"119692076"</f>
        <v>119692076</v>
      </c>
      <c r="C1495" t="s">
        <v>50</v>
      </c>
      <c r="D1495" t="s">
        <v>3333</v>
      </c>
      <c r="E1495" t="s">
        <v>112</v>
      </c>
      <c r="F1495" t="s">
        <v>166</v>
      </c>
      <c r="G1495" t="s">
        <v>580</v>
      </c>
      <c r="H1495" t="str">
        <f>"Ν. ΚΡΑΣΑΔΑΚΗ 58  ΑΓ. ΙΩΑΝΝΗΣ"</f>
        <v>Ν. ΚΡΑΣΑΔΑΚΗ 58  ΑΓ. ΙΩΑΝΝΗΣ</v>
      </c>
      <c r="I1495">
        <v>71409</v>
      </c>
      <c r="J1495">
        <v>2810342145</v>
      </c>
      <c r="K1495">
        <v>6972254143</v>
      </c>
      <c r="M1495" t="s">
        <v>3334</v>
      </c>
      <c r="N1495" t="s">
        <v>306</v>
      </c>
      <c r="O1495" t="s">
        <v>307</v>
      </c>
      <c r="R1495" t="s">
        <v>57</v>
      </c>
      <c r="S1495">
        <v>9</v>
      </c>
      <c r="T1495">
        <v>775</v>
      </c>
      <c r="U1495" s="1">
        <v>39680</v>
      </c>
      <c r="V1495" t="s">
        <v>123</v>
      </c>
      <c r="W1495" t="s">
        <v>124</v>
      </c>
      <c r="X1495" t="s">
        <v>58</v>
      </c>
      <c r="Y1495">
        <v>20</v>
      </c>
      <c r="Z1495" t="s">
        <v>59</v>
      </c>
      <c r="AA1495" t="s">
        <v>59</v>
      </c>
      <c r="AB1495" t="s">
        <v>59</v>
      </c>
      <c r="AC1495" t="s">
        <v>59</v>
      </c>
      <c r="AD1495" t="s">
        <v>59</v>
      </c>
      <c r="AF1495" s="1">
        <v>39682</v>
      </c>
      <c r="AG1495" t="s">
        <v>125</v>
      </c>
      <c r="AH1495" t="s">
        <v>126</v>
      </c>
      <c r="AI1495" t="str">
        <f>"1701057"</f>
        <v>1701057</v>
      </c>
      <c r="AJ1495" t="s">
        <v>379</v>
      </c>
      <c r="AK1495">
        <v>2810234488</v>
      </c>
      <c r="AL1495" t="s">
        <v>380</v>
      </c>
      <c r="AM1495" t="s">
        <v>78</v>
      </c>
      <c r="AN1495" t="s">
        <v>78</v>
      </c>
      <c r="AO1495" t="s">
        <v>78</v>
      </c>
      <c r="AP1495" t="s">
        <v>163</v>
      </c>
      <c r="AQ1495">
        <v>8</v>
      </c>
      <c r="AR1495" t="s">
        <v>123</v>
      </c>
      <c r="AS1495" t="s">
        <v>124</v>
      </c>
      <c r="AT1495" t="s">
        <v>58</v>
      </c>
      <c r="AU1495" t="s">
        <v>68</v>
      </c>
      <c r="AV1495" t="s">
        <v>357</v>
      </c>
      <c r="AW1495" s="1">
        <v>28254</v>
      </c>
      <c r="AX1495">
        <v>2</v>
      </c>
    </row>
    <row r="1496" spans="1:50">
      <c r="A1496">
        <v>207080</v>
      </c>
      <c r="B1496" t="str">
        <f>"042731935"</f>
        <v>042731935</v>
      </c>
      <c r="C1496" t="s">
        <v>50</v>
      </c>
      <c r="D1496" t="s">
        <v>3335</v>
      </c>
      <c r="E1496" t="s">
        <v>964</v>
      </c>
      <c r="F1496" t="s">
        <v>564</v>
      </c>
      <c r="G1496" t="s">
        <v>83</v>
      </c>
      <c r="H1496" t="str">
        <f>" "</f>
        <v xml:space="preserve"> </v>
      </c>
      <c r="J1496">
        <v>2810762605</v>
      </c>
      <c r="K1496">
        <v>6945401453</v>
      </c>
      <c r="M1496" t="s">
        <v>3336</v>
      </c>
      <c r="N1496" t="s">
        <v>292</v>
      </c>
      <c r="O1496" t="s">
        <v>293</v>
      </c>
      <c r="R1496" t="s">
        <v>57</v>
      </c>
      <c r="S1496">
        <v>8</v>
      </c>
      <c r="T1496">
        <v>218</v>
      </c>
      <c r="U1496" s="1">
        <v>38596</v>
      </c>
      <c r="V1496" t="s">
        <v>123</v>
      </c>
      <c r="W1496" t="s">
        <v>124</v>
      </c>
      <c r="X1496" t="s">
        <v>58</v>
      </c>
      <c r="Y1496">
        <v>20</v>
      </c>
      <c r="Z1496" t="s">
        <v>59</v>
      </c>
      <c r="AA1496" t="s">
        <v>59</v>
      </c>
      <c r="AB1496" t="s">
        <v>59</v>
      </c>
      <c r="AC1496" t="s">
        <v>59</v>
      </c>
      <c r="AD1496" t="s">
        <v>59</v>
      </c>
      <c r="AF1496" s="1">
        <v>38600</v>
      </c>
      <c r="AG1496" t="s">
        <v>125</v>
      </c>
      <c r="AH1496" t="s">
        <v>126</v>
      </c>
      <c r="AI1496" t="str">
        <f>"1701054"</f>
        <v>1701054</v>
      </c>
      <c r="AJ1496" t="s">
        <v>318</v>
      </c>
      <c r="AK1496">
        <v>2810252418</v>
      </c>
      <c r="AL1496" t="s">
        <v>319</v>
      </c>
      <c r="AM1496" t="s">
        <v>78</v>
      </c>
      <c r="AN1496" t="s">
        <v>78</v>
      </c>
      <c r="AO1496" t="s">
        <v>78</v>
      </c>
      <c r="AP1496" t="s">
        <v>141</v>
      </c>
      <c r="AQ1496">
        <v>7</v>
      </c>
      <c r="AR1496" t="s">
        <v>123</v>
      </c>
      <c r="AS1496" t="s">
        <v>124</v>
      </c>
      <c r="AT1496" t="s">
        <v>58</v>
      </c>
      <c r="AU1496" t="s">
        <v>68</v>
      </c>
      <c r="AV1496" t="s">
        <v>69</v>
      </c>
      <c r="AW1496" s="1">
        <v>23022</v>
      </c>
      <c r="AX1496">
        <v>2</v>
      </c>
    </row>
    <row r="1497" spans="1:50">
      <c r="A1497">
        <v>192068</v>
      </c>
      <c r="B1497" t="str">
        <f>"052221132"</f>
        <v>052221132</v>
      </c>
      <c r="C1497" t="s">
        <v>50</v>
      </c>
      <c r="D1497" t="s">
        <v>3337</v>
      </c>
      <c r="E1497" t="s">
        <v>73</v>
      </c>
      <c r="F1497" t="s">
        <v>99</v>
      </c>
      <c r="G1497" t="s">
        <v>263</v>
      </c>
      <c r="H1497" t="str">
        <f>" "</f>
        <v xml:space="preserve"> </v>
      </c>
      <c r="K1497">
        <v>6944144662</v>
      </c>
      <c r="N1497" t="s">
        <v>299</v>
      </c>
      <c r="O1497" t="s">
        <v>300</v>
      </c>
      <c r="R1497" t="s">
        <v>57</v>
      </c>
      <c r="S1497">
        <v>8</v>
      </c>
      <c r="T1497">
        <v>291</v>
      </c>
      <c r="U1497" s="1">
        <v>37218</v>
      </c>
      <c r="V1497" t="s">
        <v>123</v>
      </c>
      <c r="W1497" t="s">
        <v>124</v>
      </c>
      <c r="X1497" t="s">
        <v>58</v>
      </c>
      <c r="Y1497">
        <v>20</v>
      </c>
      <c r="Z1497" t="s">
        <v>59</v>
      </c>
      <c r="AA1497" t="s">
        <v>59</v>
      </c>
      <c r="AB1497" t="s">
        <v>59</v>
      </c>
      <c r="AC1497" t="s">
        <v>59</v>
      </c>
      <c r="AD1497" t="s">
        <v>59</v>
      </c>
      <c r="AF1497" s="1">
        <v>37221</v>
      </c>
      <c r="AG1497" t="s">
        <v>137</v>
      </c>
      <c r="AH1497" t="s">
        <v>138</v>
      </c>
      <c r="AI1497" t="str">
        <f>"1740070"</f>
        <v>1740070</v>
      </c>
      <c r="AJ1497" t="s">
        <v>206</v>
      </c>
      <c r="AK1497">
        <v>2810324880</v>
      </c>
      <c r="AL1497" t="s">
        <v>207</v>
      </c>
      <c r="AM1497" t="s">
        <v>78</v>
      </c>
      <c r="AN1497" t="s">
        <v>78</v>
      </c>
      <c r="AO1497" t="s">
        <v>78</v>
      </c>
      <c r="AP1497" t="s">
        <v>163</v>
      </c>
      <c r="AQ1497">
        <v>9</v>
      </c>
      <c r="AR1497" t="s">
        <v>123</v>
      </c>
      <c r="AS1497" t="s">
        <v>124</v>
      </c>
      <c r="AT1497" t="s">
        <v>58</v>
      </c>
      <c r="AU1497" t="s">
        <v>68</v>
      </c>
      <c r="AV1497" t="s">
        <v>69</v>
      </c>
      <c r="AW1497" s="1">
        <v>27395</v>
      </c>
      <c r="AX1497">
        <v>2</v>
      </c>
    </row>
    <row r="1498" spans="1:50">
      <c r="A1498">
        <v>152949</v>
      </c>
      <c r="B1498" t="str">
        <f>"065137003"</f>
        <v>065137003</v>
      </c>
      <c r="C1498" t="s">
        <v>50</v>
      </c>
      <c r="D1498" t="s">
        <v>3338</v>
      </c>
      <c r="E1498" t="s">
        <v>801</v>
      </c>
      <c r="F1498" t="s">
        <v>154</v>
      </c>
      <c r="G1498" t="s">
        <v>181</v>
      </c>
      <c r="H1498" t="str">
        <f>"ΠΕΙΡΑΙΩΣ 4  ΒΑΣΙΛΕΙΕΣ"</f>
        <v>ΠΕΙΡΑΙΩΣ 4  ΒΑΣΙΛΕΙΕΣ</v>
      </c>
      <c r="I1498">
        <v>71500</v>
      </c>
      <c r="J1498">
        <v>2810238045</v>
      </c>
      <c r="K1498">
        <v>6934389539</v>
      </c>
      <c r="N1498" t="s">
        <v>146</v>
      </c>
      <c r="O1498" t="s">
        <v>147</v>
      </c>
      <c r="R1498" t="s">
        <v>57</v>
      </c>
      <c r="S1498">
        <v>16</v>
      </c>
      <c r="T1498">
        <v>166</v>
      </c>
      <c r="U1498" s="1">
        <v>32010</v>
      </c>
      <c r="V1498" t="s">
        <v>123</v>
      </c>
      <c r="W1498" t="s">
        <v>124</v>
      </c>
      <c r="X1498" t="s">
        <v>58</v>
      </c>
      <c r="Y1498">
        <v>18</v>
      </c>
      <c r="Z1498" t="s">
        <v>59</v>
      </c>
      <c r="AA1498" t="s">
        <v>59</v>
      </c>
      <c r="AB1498" t="s">
        <v>59</v>
      </c>
      <c r="AC1498" t="s">
        <v>59</v>
      </c>
      <c r="AD1498" t="s">
        <v>59</v>
      </c>
      <c r="AF1498" s="1">
        <v>32023</v>
      </c>
      <c r="AG1498" t="s">
        <v>125</v>
      </c>
      <c r="AH1498" t="s">
        <v>126</v>
      </c>
      <c r="AI1498" t="str">
        <f>"1701041"</f>
        <v>1701041</v>
      </c>
      <c r="AJ1498" t="s">
        <v>161</v>
      </c>
      <c r="AK1498">
        <v>2810327052</v>
      </c>
      <c r="AL1498" t="s">
        <v>162</v>
      </c>
      <c r="AM1498" t="s">
        <v>78</v>
      </c>
      <c r="AN1498" t="s">
        <v>78</v>
      </c>
      <c r="AO1498" t="s">
        <v>78</v>
      </c>
      <c r="AP1498" t="s">
        <v>163</v>
      </c>
      <c r="AQ1498">
        <v>5</v>
      </c>
      <c r="AR1498" t="s">
        <v>123</v>
      </c>
      <c r="AS1498" t="s">
        <v>124</v>
      </c>
      <c r="AT1498" t="s">
        <v>58</v>
      </c>
      <c r="AU1498" t="s">
        <v>68</v>
      </c>
      <c r="AV1498" t="s">
        <v>69</v>
      </c>
      <c r="AW1498" s="1">
        <v>22682</v>
      </c>
      <c r="AX1498">
        <v>2</v>
      </c>
    </row>
    <row r="1499" spans="1:50">
      <c r="A1499">
        <v>200093</v>
      </c>
      <c r="B1499" t="str">
        <f>"103801856"</f>
        <v>103801856</v>
      </c>
      <c r="C1499" t="s">
        <v>50</v>
      </c>
      <c r="D1499" t="s">
        <v>3339</v>
      </c>
      <c r="E1499" t="s">
        <v>255</v>
      </c>
      <c r="F1499" t="s">
        <v>166</v>
      </c>
      <c r="G1499" t="s">
        <v>237</v>
      </c>
      <c r="H1499" t="str">
        <f>" "</f>
        <v xml:space="preserve"> </v>
      </c>
      <c r="J1499">
        <v>2894023763</v>
      </c>
      <c r="K1499">
        <v>6977840109</v>
      </c>
      <c r="M1499" t="s">
        <v>3340</v>
      </c>
      <c r="N1499" t="s">
        <v>204</v>
      </c>
      <c r="O1499" t="s">
        <v>205</v>
      </c>
      <c r="R1499" t="s">
        <v>57</v>
      </c>
      <c r="S1499">
        <v>10</v>
      </c>
      <c r="T1499">
        <v>206</v>
      </c>
      <c r="U1499" s="1">
        <v>37866</v>
      </c>
      <c r="V1499" t="s">
        <v>123</v>
      </c>
      <c r="W1499" t="s">
        <v>124</v>
      </c>
      <c r="X1499" t="s">
        <v>58</v>
      </c>
      <c r="Y1499">
        <v>20</v>
      </c>
      <c r="Z1499" t="s">
        <v>59</v>
      </c>
      <c r="AA1499" t="s">
        <v>59</v>
      </c>
      <c r="AB1499" t="s">
        <v>59</v>
      </c>
      <c r="AC1499" t="s">
        <v>59</v>
      </c>
      <c r="AD1499" t="s">
        <v>59</v>
      </c>
      <c r="AF1499" s="1">
        <v>37873</v>
      </c>
      <c r="AG1499" t="s">
        <v>137</v>
      </c>
      <c r="AH1499" t="s">
        <v>469</v>
      </c>
      <c r="AI1499" t="str">
        <f>"1740200"</f>
        <v>1740200</v>
      </c>
      <c r="AJ1499" t="s">
        <v>470</v>
      </c>
      <c r="AK1499">
        <v>2810320770</v>
      </c>
      <c r="AL1499" t="s">
        <v>471</v>
      </c>
      <c r="AM1499" t="s">
        <v>78</v>
      </c>
      <c r="AN1499" t="s">
        <v>78</v>
      </c>
      <c r="AO1499" t="s">
        <v>78</v>
      </c>
      <c r="AP1499" t="s">
        <v>163</v>
      </c>
      <c r="AQ1499">
        <v>2</v>
      </c>
      <c r="AR1499" t="s">
        <v>123</v>
      </c>
      <c r="AS1499" t="s">
        <v>124</v>
      </c>
      <c r="AT1499" t="s">
        <v>58</v>
      </c>
      <c r="AU1499" t="s">
        <v>68</v>
      </c>
      <c r="AV1499" t="s">
        <v>69</v>
      </c>
      <c r="AW1499" s="1">
        <v>28208</v>
      </c>
      <c r="AX1499">
        <v>2</v>
      </c>
    </row>
    <row r="1500" spans="1:50">
      <c r="B1500" t="str">
        <f>"133282608"</f>
        <v>133282608</v>
      </c>
      <c r="C1500" t="s">
        <v>105</v>
      </c>
      <c r="D1500" t="s">
        <v>3341</v>
      </c>
      <c r="E1500" t="s">
        <v>111</v>
      </c>
      <c r="F1500" t="s">
        <v>53</v>
      </c>
      <c r="G1500" t="s">
        <v>755</v>
      </c>
      <c r="H1500" t="str">
        <f>"ΜΕΓΑΔΕΝΔΡΟΥ 6 "</f>
        <v xml:space="preserve">ΜΕΓΑΔΕΝΔΡΟΥ 6 </v>
      </c>
      <c r="I1500">
        <v>30100</v>
      </c>
      <c r="J1500">
        <v>2641034489</v>
      </c>
      <c r="K1500">
        <v>6984030507</v>
      </c>
      <c r="M1500" t="s">
        <v>3342</v>
      </c>
      <c r="N1500" t="s">
        <v>146</v>
      </c>
      <c r="O1500" t="s">
        <v>147</v>
      </c>
      <c r="R1500" t="s">
        <v>159</v>
      </c>
      <c r="S1500">
        <v>3</v>
      </c>
      <c r="T1500" t="s">
        <v>416</v>
      </c>
      <c r="U1500" s="1">
        <v>43349</v>
      </c>
      <c r="V1500" t="s">
        <v>123</v>
      </c>
      <c r="W1500" t="s">
        <v>124</v>
      </c>
      <c r="X1500" t="s">
        <v>58</v>
      </c>
      <c r="Y1500">
        <v>21</v>
      </c>
      <c r="Z1500" t="s">
        <v>59</v>
      </c>
      <c r="AA1500" t="s">
        <v>59</v>
      </c>
      <c r="AB1500" t="s">
        <v>59</v>
      </c>
      <c r="AC1500" t="s">
        <v>59</v>
      </c>
      <c r="AD1500" t="s">
        <v>59</v>
      </c>
      <c r="AF1500" s="1">
        <v>43349</v>
      </c>
      <c r="AG1500" t="s">
        <v>125</v>
      </c>
      <c r="AH1500" t="s">
        <v>3323</v>
      </c>
      <c r="AI1500" t="str">
        <f>"1501650"</f>
        <v>1501650</v>
      </c>
      <c r="AJ1500" t="s">
        <v>3324</v>
      </c>
      <c r="AK1500">
        <v>2810301780</v>
      </c>
      <c r="AL1500" t="s">
        <v>3325</v>
      </c>
      <c r="AM1500" t="s">
        <v>78</v>
      </c>
      <c r="AN1500" t="s">
        <v>78</v>
      </c>
      <c r="AO1500" t="s">
        <v>78</v>
      </c>
      <c r="AP1500" t="s">
        <v>141</v>
      </c>
      <c r="AQ1500">
        <v>10</v>
      </c>
      <c r="AR1500" t="s">
        <v>123</v>
      </c>
      <c r="AS1500" t="s">
        <v>124</v>
      </c>
      <c r="AT1500" t="s">
        <v>58</v>
      </c>
      <c r="AU1500" t="s">
        <v>419</v>
      </c>
      <c r="AV1500" t="s">
        <v>132</v>
      </c>
      <c r="AW1500" s="1">
        <v>30207</v>
      </c>
      <c r="AX1500">
        <v>2</v>
      </c>
    </row>
    <row r="1501" spans="1:50">
      <c r="A1501">
        <v>183555</v>
      </c>
      <c r="B1501" t="str">
        <f>"078949079"</f>
        <v>078949079</v>
      </c>
      <c r="C1501" t="s">
        <v>50</v>
      </c>
      <c r="D1501" t="s">
        <v>3343</v>
      </c>
      <c r="E1501" t="s">
        <v>98</v>
      </c>
      <c r="F1501" t="s">
        <v>106</v>
      </c>
      <c r="G1501" t="s">
        <v>250</v>
      </c>
      <c r="H1501" t="str">
        <f>"ΙΕΡΑΠΕΤΡΑΣ 6  ΗΡΑΚΛΕΙΟ"</f>
        <v>ΙΕΡΑΠΕΤΡΑΣ 6  ΗΡΑΚΛΕΙΟ</v>
      </c>
      <c r="J1501">
        <v>2810324597</v>
      </c>
      <c r="M1501" t="s">
        <v>3344</v>
      </c>
      <c r="N1501" t="s">
        <v>146</v>
      </c>
      <c r="O1501" t="s">
        <v>147</v>
      </c>
      <c r="R1501" t="s">
        <v>57</v>
      </c>
      <c r="S1501">
        <v>9</v>
      </c>
      <c r="T1501">
        <v>177</v>
      </c>
      <c r="U1501" s="1">
        <v>36403</v>
      </c>
      <c r="V1501" t="s">
        <v>123</v>
      </c>
      <c r="W1501" t="s">
        <v>124</v>
      </c>
      <c r="X1501" t="s">
        <v>58</v>
      </c>
      <c r="Y1501">
        <v>20</v>
      </c>
      <c r="Z1501" t="s">
        <v>59</v>
      </c>
      <c r="AA1501" t="s">
        <v>59</v>
      </c>
      <c r="AB1501" t="s">
        <v>59</v>
      </c>
      <c r="AC1501" t="s">
        <v>59</v>
      </c>
      <c r="AD1501" t="s">
        <v>59</v>
      </c>
      <c r="AF1501" s="1">
        <v>36405</v>
      </c>
      <c r="AG1501" t="s">
        <v>148</v>
      </c>
      <c r="AH1501" t="s">
        <v>149</v>
      </c>
      <c r="AI1501" t="str">
        <f>"1790100"</f>
        <v>1790100</v>
      </c>
      <c r="AJ1501" t="s">
        <v>252</v>
      </c>
      <c r="AK1501">
        <v>2810234876</v>
      </c>
      <c r="AL1501" t="s">
        <v>253</v>
      </c>
      <c r="AM1501" t="s">
        <v>78</v>
      </c>
      <c r="AN1501" t="s">
        <v>78</v>
      </c>
      <c r="AO1501" t="s">
        <v>78</v>
      </c>
      <c r="AP1501" t="s">
        <v>163</v>
      </c>
      <c r="AQ1501">
        <v>5</v>
      </c>
      <c r="AR1501" t="s">
        <v>123</v>
      </c>
      <c r="AS1501" t="s">
        <v>124</v>
      </c>
      <c r="AT1501" t="s">
        <v>58</v>
      </c>
      <c r="AU1501" t="s">
        <v>68</v>
      </c>
      <c r="AV1501" t="s">
        <v>69</v>
      </c>
      <c r="AW1501" s="1">
        <v>26187</v>
      </c>
      <c r="AX1501">
        <v>2</v>
      </c>
    </row>
    <row r="1502" spans="1:50">
      <c r="A1502">
        <v>204802</v>
      </c>
      <c r="B1502" t="str">
        <f>"035810592"</f>
        <v>035810592</v>
      </c>
      <c r="C1502" t="s">
        <v>105</v>
      </c>
      <c r="D1502" t="s">
        <v>3345</v>
      </c>
      <c r="E1502" t="s">
        <v>106</v>
      </c>
      <c r="F1502" t="s">
        <v>166</v>
      </c>
      <c r="G1502" t="s">
        <v>3346</v>
      </c>
      <c r="H1502" t="str">
        <f>" "</f>
        <v xml:space="preserve"> </v>
      </c>
      <c r="J1502">
        <v>2810324818</v>
      </c>
      <c r="K1502">
        <v>6937484950</v>
      </c>
      <c r="M1502" t="s">
        <v>3347</v>
      </c>
      <c r="N1502" t="s">
        <v>168</v>
      </c>
      <c r="O1502" t="s">
        <v>169</v>
      </c>
      <c r="R1502" t="s">
        <v>57</v>
      </c>
      <c r="S1502">
        <v>10</v>
      </c>
      <c r="T1502">
        <v>231</v>
      </c>
      <c r="U1502" s="1">
        <v>38230</v>
      </c>
      <c r="V1502" t="s">
        <v>123</v>
      </c>
      <c r="W1502" t="s">
        <v>124</v>
      </c>
      <c r="X1502" t="s">
        <v>58</v>
      </c>
      <c r="Y1502">
        <v>20</v>
      </c>
      <c r="Z1502" t="s">
        <v>59</v>
      </c>
      <c r="AA1502" t="s">
        <v>59</v>
      </c>
      <c r="AB1502" t="s">
        <v>59</v>
      </c>
      <c r="AC1502" t="s">
        <v>59</v>
      </c>
      <c r="AD1502" t="s">
        <v>59</v>
      </c>
      <c r="AF1502" s="1">
        <v>38230</v>
      </c>
      <c r="AG1502" t="s">
        <v>137</v>
      </c>
      <c r="AH1502" t="s">
        <v>469</v>
      </c>
      <c r="AI1502" t="str">
        <f>"1740200"</f>
        <v>1740200</v>
      </c>
      <c r="AJ1502" t="s">
        <v>470</v>
      </c>
      <c r="AK1502">
        <v>2810320770</v>
      </c>
      <c r="AL1502" t="s">
        <v>471</v>
      </c>
      <c r="AM1502" t="s">
        <v>78</v>
      </c>
      <c r="AN1502" t="s">
        <v>78</v>
      </c>
      <c r="AO1502" t="s">
        <v>78</v>
      </c>
      <c r="AP1502" t="s">
        <v>163</v>
      </c>
      <c r="AQ1502">
        <v>2</v>
      </c>
      <c r="AR1502" t="s">
        <v>123</v>
      </c>
      <c r="AS1502" t="s">
        <v>124</v>
      </c>
      <c r="AT1502" t="s">
        <v>58</v>
      </c>
      <c r="AU1502" t="s">
        <v>68</v>
      </c>
      <c r="AV1502" t="s">
        <v>69</v>
      </c>
      <c r="AW1502" s="1">
        <v>23751</v>
      </c>
      <c r="AX1502">
        <v>2</v>
      </c>
    </row>
    <row r="1503" spans="1:50">
      <c r="A1503">
        <v>183871</v>
      </c>
      <c r="B1503" t="str">
        <f>"068063758"</f>
        <v>068063758</v>
      </c>
      <c r="C1503" t="s">
        <v>50</v>
      </c>
      <c r="D1503" t="s">
        <v>3348</v>
      </c>
      <c r="E1503" t="s">
        <v>1078</v>
      </c>
      <c r="F1503" t="s">
        <v>72</v>
      </c>
      <c r="G1503" t="s">
        <v>610</v>
      </c>
      <c r="H1503" t="str">
        <f>" "</f>
        <v xml:space="preserve"> </v>
      </c>
      <c r="N1503" t="s">
        <v>292</v>
      </c>
      <c r="O1503" t="s">
        <v>293</v>
      </c>
      <c r="R1503" t="s">
        <v>57</v>
      </c>
      <c r="S1503">
        <v>9</v>
      </c>
      <c r="T1503">
        <v>177</v>
      </c>
      <c r="U1503" s="1">
        <v>36403</v>
      </c>
      <c r="V1503" t="s">
        <v>123</v>
      </c>
      <c r="W1503" t="s">
        <v>124</v>
      </c>
      <c r="X1503" t="s">
        <v>58</v>
      </c>
      <c r="Y1503">
        <v>20</v>
      </c>
      <c r="Z1503" t="s">
        <v>59</v>
      </c>
      <c r="AA1503" t="s">
        <v>59</v>
      </c>
      <c r="AB1503" t="s">
        <v>59</v>
      </c>
      <c r="AC1503" t="s">
        <v>59</v>
      </c>
      <c r="AD1503" t="s">
        <v>59</v>
      </c>
      <c r="AF1503" s="1">
        <v>36406</v>
      </c>
      <c r="AG1503" t="s">
        <v>125</v>
      </c>
      <c r="AH1503" t="s">
        <v>126</v>
      </c>
      <c r="AI1503" t="str">
        <f>"1701051"</f>
        <v>1701051</v>
      </c>
      <c r="AJ1503" t="s">
        <v>443</v>
      </c>
      <c r="AK1503">
        <v>2810325815</v>
      </c>
      <c r="AL1503" t="s">
        <v>444</v>
      </c>
      <c r="AM1503" t="s">
        <v>78</v>
      </c>
      <c r="AN1503" t="s">
        <v>78</v>
      </c>
      <c r="AO1503" t="s">
        <v>78</v>
      </c>
      <c r="AP1503" t="s">
        <v>163</v>
      </c>
      <c r="AQ1503">
        <v>5</v>
      </c>
      <c r="AR1503" t="s">
        <v>123</v>
      </c>
      <c r="AS1503" t="s">
        <v>124</v>
      </c>
      <c r="AT1503" t="s">
        <v>58</v>
      </c>
      <c r="AU1503" t="s">
        <v>68</v>
      </c>
      <c r="AV1503" t="s">
        <v>69</v>
      </c>
      <c r="AW1503" s="1">
        <v>26365</v>
      </c>
      <c r="AX1503">
        <v>2</v>
      </c>
    </row>
    <row r="1504" spans="1:50">
      <c r="A1504">
        <v>193867</v>
      </c>
      <c r="B1504" t="str">
        <f>"050381979"</f>
        <v>050381979</v>
      </c>
      <c r="C1504" t="s">
        <v>105</v>
      </c>
      <c r="D1504" t="s">
        <v>3349</v>
      </c>
      <c r="E1504" t="s">
        <v>154</v>
      </c>
      <c r="F1504" t="s">
        <v>99</v>
      </c>
      <c r="G1504" t="s">
        <v>52</v>
      </c>
      <c r="H1504" t="str">
        <f>"ΔΑΜΑΣΚΗΝΟΥ 9 ΗΡΑΚΛΕΙΟ"</f>
        <v>ΔΑΜΑΣΚΗΝΟΥ 9 ΗΡΑΚΛΕΙΟ</v>
      </c>
      <c r="I1504">
        <v>71305</v>
      </c>
      <c r="J1504">
        <v>2810255349</v>
      </c>
      <c r="K1504">
        <v>6945900114</v>
      </c>
      <c r="L1504">
        <v>2810316825</v>
      </c>
      <c r="M1504" t="s">
        <v>3350</v>
      </c>
      <c r="N1504" t="s">
        <v>478</v>
      </c>
      <c r="O1504" t="s">
        <v>479</v>
      </c>
      <c r="R1504" t="s">
        <v>57</v>
      </c>
      <c r="S1504">
        <v>11</v>
      </c>
      <c r="T1504">
        <v>193</v>
      </c>
      <c r="U1504" s="1">
        <v>37497</v>
      </c>
      <c r="V1504" t="s">
        <v>123</v>
      </c>
      <c r="W1504" t="s">
        <v>124</v>
      </c>
      <c r="X1504" t="s">
        <v>58</v>
      </c>
      <c r="Y1504">
        <v>18</v>
      </c>
      <c r="Z1504" t="s">
        <v>59</v>
      </c>
      <c r="AA1504" t="s">
        <v>59</v>
      </c>
      <c r="AB1504" t="s">
        <v>59</v>
      </c>
      <c r="AC1504" t="s">
        <v>59</v>
      </c>
      <c r="AD1504" t="s">
        <v>59</v>
      </c>
      <c r="AF1504" s="1">
        <v>37501</v>
      </c>
      <c r="AG1504" t="s">
        <v>125</v>
      </c>
      <c r="AH1504" t="s">
        <v>126</v>
      </c>
      <c r="AI1504" t="str">
        <f>"1701090"</f>
        <v>1701090</v>
      </c>
      <c r="AJ1504" t="s">
        <v>435</v>
      </c>
      <c r="AK1504">
        <v>2810871288</v>
      </c>
      <c r="AL1504" t="s">
        <v>436</v>
      </c>
      <c r="AM1504" t="s">
        <v>78</v>
      </c>
      <c r="AN1504" t="s">
        <v>78</v>
      </c>
      <c r="AO1504" t="s">
        <v>437</v>
      </c>
      <c r="AP1504" t="s">
        <v>438</v>
      </c>
      <c r="AQ1504">
        <v>26</v>
      </c>
      <c r="AR1504" t="s">
        <v>123</v>
      </c>
      <c r="AS1504" t="s">
        <v>124</v>
      </c>
      <c r="AT1504" t="s">
        <v>58</v>
      </c>
      <c r="AU1504" t="s">
        <v>68</v>
      </c>
      <c r="AV1504" t="s">
        <v>69</v>
      </c>
      <c r="AW1504" s="1">
        <v>23038</v>
      </c>
      <c r="AX1504">
        <v>2</v>
      </c>
    </row>
    <row r="1505" spans="1:50">
      <c r="A1505">
        <v>217626</v>
      </c>
      <c r="B1505" t="str">
        <f>"047621888"</f>
        <v>047621888</v>
      </c>
      <c r="C1505" t="s">
        <v>50</v>
      </c>
      <c r="D1505" t="s">
        <v>3351</v>
      </c>
      <c r="E1505" t="s">
        <v>191</v>
      </c>
      <c r="F1505" t="s">
        <v>95</v>
      </c>
      <c r="G1505" t="s">
        <v>237</v>
      </c>
      <c r="H1505" t="str">
        <f>"ΔΗΜΟΚΡΑΤΙΑΣ 41 "</f>
        <v xml:space="preserve">ΔΗΜΟΚΡΑΤΙΑΣ 41 </v>
      </c>
      <c r="I1505">
        <v>71306</v>
      </c>
      <c r="J1505">
        <v>2810235272</v>
      </c>
      <c r="K1505">
        <v>6932183210</v>
      </c>
      <c r="M1505" t="s">
        <v>3352</v>
      </c>
      <c r="N1505" t="s">
        <v>146</v>
      </c>
      <c r="O1505" t="s">
        <v>147</v>
      </c>
      <c r="P1505" t="s">
        <v>3353</v>
      </c>
      <c r="Q1505" t="s">
        <v>3354</v>
      </c>
      <c r="R1505" t="s">
        <v>57</v>
      </c>
      <c r="S1505">
        <v>8</v>
      </c>
      <c r="T1505">
        <v>599</v>
      </c>
      <c r="U1505" s="1">
        <v>39310</v>
      </c>
      <c r="V1505" t="s">
        <v>123</v>
      </c>
      <c r="W1505" t="s">
        <v>124</v>
      </c>
      <c r="X1505" t="s">
        <v>58</v>
      </c>
      <c r="Y1505">
        <v>20</v>
      </c>
      <c r="Z1505" t="s">
        <v>59</v>
      </c>
      <c r="AA1505" t="s">
        <v>59</v>
      </c>
      <c r="AB1505" t="s">
        <v>59</v>
      </c>
      <c r="AC1505" t="s">
        <v>59</v>
      </c>
      <c r="AD1505" t="s">
        <v>59</v>
      </c>
      <c r="AF1505" s="1">
        <v>39328</v>
      </c>
      <c r="AG1505" t="s">
        <v>125</v>
      </c>
      <c r="AH1505" t="s">
        <v>126</v>
      </c>
      <c r="AI1505" t="str">
        <f>"1724010"</f>
        <v>1724010</v>
      </c>
      <c r="AJ1505" t="s">
        <v>1934</v>
      </c>
      <c r="AK1505">
        <v>2891041322</v>
      </c>
      <c r="AL1505" t="s">
        <v>1935</v>
      </c>
      <c r="AM1505" t="s">
        <v>78</v>
      </c>
      <c r="AN1505" t="s">
        <v>276</v>
      </c>
      <c r="AO1505" t="s">
        <v>1936</v>
      </c>
      <c r="AP1505" t="s">
        <v>1936</v>
      </c>
      <c r="AQ1505">
        <v>18</v>
      </c>
      <c r="AR1505" t="s">
        <v>123</v>
      </c>
      <c r="AS1505" t="s">
        <v>124</v>
      </c>
      <c r="AT1505" t="s">
        <v>58</v>
      </c>
      <c r="AU1505" t="s">
        <v>68</v>
      </c>
      <c r="AV1505" t="s">
        <v>69</v>
      </c>
      <c r="AW1505" s="1">
        <v>29211</v>
      </c>
      <c r="AX1505">
        <v>2</v>
      </c>
    </row>
    <row r="1506" spans="1:50">
      <c r="A1506">
        <v>700551</v>
      </c>
      <c r="B1506" t="str">
        <f>"036868474"</f>
        <v>036868474</v>
      </c>
      <c r="C1506" t="s">
        <v>50</v>
      </c>
      <c r="D1506" t="s">
        <v>3355</v>
      </c>
      <c r="E1506" t="s">
        <v>237</v>
      </c>
      <c r="F1506" t="s">
        <v>72</v>
      </c>
      <c r="G1506" t="s">
        <v>112</v>
      </c>
      <c r="H1506" t="str">
        <f>"ΧΑΝΔΑΚΟΣ 6 ΗΡΑΚΛΕΙΟ"</f>
        <v>ΧΑΝΔΑΚΟΣ 6 ΗΡΑΚΛΕΙΟ</v>
      </c>
      <c r="I1506">
        <v>71210</v>
      </c>
      <c r="J1506">
        <v>2810231337</v>
      </c>
      <c r="K1506">
        <v>6932384482</v>
      </c>
      <c r="M1506" t="s">
        <v>3356</v>
      </c>
      <c r="N1506" t="s">
        <v>199</v>
      </c>
      <c r="O1506" t="s">
        <v>200</v>
      </c>
      <c r="R1506" t="s">
        <v>57</v>
      </c>
      <c r="S1506">
        <v>10</v>
      </c>
      <c r="T1506">
        <v>772</v>
      </c>
      <c r="U1506" s="1">
        <v>40413</v>
      </c>
      <c r="V1506" t="s">
        <v>123</v>
      </c>
      <c r="W1506" t="s">
        <v>124</v>
      </c>
      <c r="X1506" t="s">
        <v>58</v>
      </c>
      <c r="Y1506">
        <v>21</v>
      </c>
      <c r="Z1506" t="s">
        <v>59</v>
      </c>
      <c r="AA1506" t="s">
        <v>59</v>
      </c>
      <c r="AB1506" t="s">
        <v>59</v>
      </c>
      <c r="AC1506" t="s">
        <v>59</v>
      </c>
      <c r="AD1506" t="s">
        <v>59</v>
      </c>
      <c r="AF1506" s="1">
        <v>40414</v>
      </c>
      <c r="AG1506" t="s">
        <v>148</v>
      </c>
      <c r="AH1506" t="s">
        <v>149</v>
      </c>
      <c r="AI1506" t="str">
        <f>"1759010"</f>
        <v>1759010</v>
      </c>
      <c r="AJ1506" t="s">
        <v>403</v>
      </c>
      <c r="AK1506">
        <v>2894022127</v>
      </c>
      <c r="AL1506" t="s">
        <v>404</v>
      </c>
      <c r="AM1506" t="s">
        <v>78</v>
      </c>
      <c r="AN1506" t="s">
        <v>405</v>
      </c>
      <c r="AO1506" t="s">
        <v>406</v>
      </c>
      <c r="AP1506" t="s">
        <v>406</v>
      </c>
      <c r="AQ1506">
        <v>30</v>
      </c>
      <c r="AR1506" t="s">
        <v>123</v>
      </c>
      <c r="AS1506" t="s">
        <v>124</v>
      </c>
      <c r="AT1506" t="s">
        <v>58</v>
      </c>
      <c r="AU1506" t="s">
        <v>68</v>
      </c>
      <c r="AV1506" t="s">
        <v>69</v>
      </c>
      <c r="AW1506" s="1">
        <v>26139</v>
      </c>
      <c r="AX1506">
        <v>2</v>
      </c>
    </row>
    <row r="1507" spans="1:50">
      <c r="A1507">
        <v>198813</v>
      </c>
      <c r="B1507" t="str">
        <f>"054546211"</f>
        <v>054546211</v>
      </c>
      <c r="C1507" t="s">
        <v>50</v>
      </c>
      <c r="D1507" t="s">
        <v>3355</v>
      </c>
      <c r="E1507" t="s">
        <v>73</v>
      </c>
      <c r="F1507" t="s">
        <v>108</v>
      </c>
      <c r="G1507" t="s">
        <v>237</v>
      </c>
      <c r="H1507" t="str">
        <f>"ΑΤΛΑΝΤΙΔΟΣ 37 ΗΡΑΚΛΕΙΟ"</f>
        <v>ΑΤΛΑΝΤΙΔΟΣ 37 ΗΡΑΚΛΕΙΟ</v>
      </c>
      <c r="I1507">
        <v>71305</v>
      </c>
      <c r="J1507">
        <v>2810313418</v>
      </c>
      <c r="K1507">
        <v>6972233382</v>
      </c>
      <c r="M1507" t="s">
        <v>3357</v>
      </c>
      <c r="N1507" t="s">
        <v>288</v>
      </c>
      <c r="O1507" t="s">
        <v>289</v>
      </c>
      <c r="R1507" t="s">
        <v>57</v>
      </c>
      <c r="S1507">
        <v>10</v>
      </c>
      <c r="T1507">
        <v>206</v>
      </c>
      <c r="U1507" s="1">
        <v>37866</v>
      </c>
      <c r="V1507" t="s">
        <v>123</v>
      </c>
      <c r="W1507" t="s">
        <v>124</v>
      </c>
      <c r="X1507" t="s">
        <v>58</v>
      </c>
      <c r="Y1507">
        <v>18</v>
      </c>
      <c r="Z1507" t="s">
        <v>59</v>
      </c>
      <c r="AA1507" t="s">
        <v>59</v>
      </c>
      <c r="AB1507" t="s">
        <v>59</v>
      </c>
      <c r="AC1507" t="s">
        <v>59</v>
      </c>
      <c r="AD1507" t="s">
        <v>59</v>
      </c>
      <c r="AF1507" s="1">
        <v>37867</v>
      </c>
      <c r="AG1507" t="s">
        <v>125</v>
      </c>
      <c r="AH1507" t="s">
        <v>126</v>
      </c>
      <c r="AI1507" t="str">
        <f>"1701010"</f>
        <v>1701010</v>
      </c>
      <c r="AJ1507" t="s">
        <v>374</v>
      </c>
      <c r="AK1507">
        <v>2810227148</v>
      </c>
      <c r="AL1507" t="s">
        <v>375</v>
      </c>
      <c r="AM1507" t="s">
        <v>78</v>
      </c>
      <c r="AN1507" t="s">
        <v>78</v>
      </c>
      <c r="AO1507" t="s">
        <v>78</v>
      </c>
      <c r="AP1507" t="s">
        <v>79</v>
      </c>
      <c r="AQ1507">
        <v>1</v>
      </c>
      <c r="AR1507" t="s">
        <v>123</v>
      </c>
      <c r="AS1507" t="s">
        <v>124</v>
      </c>
      <c r="AT1507" t="s">
        <v>58</v>
      </c>
      <c r="AU1507" t="s">
        <v>68</v>
      </c>
      <c r="AV1507" t="s">
        <v>69</v>
      </c>
      <c r="AW1507" s="1">
        <v>25074</v>
      </c>
      <c r="AX1507">
        <v>2</v>
      </c>
    </row>
    <row r="1508" spans="1:50">
      <c r="B1508" t="str">
        <f>"103507004"</f>
        <v>103507004</v>
      </c>
      <c r="C1508" t="s">
        <v>50</v>
      </c>
      <c r="D1508" t="s">
        <v>3358</v>
      </c>
      <c r="E1508" t="s">
        <v>52</v>
      </c>
      <c r="F1508" t="s">
        <v>154</v>
      </c>
      <c r="G1508" t="s">
        <v>1078</v>
      </c>
      <c r="H1508" t="str">
        <f>"Ν. ΚΑΤΕΧΑΚΗ 5 ΗΡΑΚΛΕΙΟ"</f>
        <v>Ν. ΚΑΤΕΧΑΚΗ 5 ΗΡΑΚΛΕΙΟ</v>
      </c>
      <c r="I1508">
        <v>71307</v>
      </c>
      <c r="J1508">
        <v>2810228286</v>
      </c>
      <c r="K1508">
        <v>6997232488</v>
      </c>
      <c r="N1508" t="s">
        <v>536</v>
      </c>
      <c r="O1508" t="s">
        <v>537</v>
      </c>
      <c r="R1508" t="s">
        <v>121</v>
      </c>
      <c r="S1508">
        <v>3</v>
      </c>
      <c r="T1508" t="s">
        <v>122</v>
      </c>
      <c r="U1508" s="1">
        <v>43348</v>
      </c>
      <c r="V1508" t="s">
        <v>123</v>
      </c>
      <c r="W1508" t="s">
        <v>124</v>
      </c>
      <c r="X1508" t="s">
        <v>58</v>
      </c>
      <c r="Y1508">
        <v>23</v>
      </c>
      <c r="Z1508" t="s">
        <v>59</v>
      </c>
      <c r="AA1508" t="s">
        <v>59</v>
      </c>
      <c r="AB1508" t="s">
        <v>59</v>
      </c>
      <c r="AC1508" t="s">
        <v>59</v>
      </c>
      <c r="AD1508" t="s">
        <v>59</v>
      </c>
      <c r="AF1508" s="1">
        <v>43348</v>
      </c>
      <c r="AG1508" t="s">
        <v>148</v>
      </c>
      <c r="AH1508" t="s">
        <v>149</v>
      </c>
      <c r="AI1508" t="str">
        <f>"1777010"</f>
        <v>1777010</v>
      </c>
      <c r="AJ1508" t="s">
        <v>612</v>
      </c>
      <c r="AK1508">
        <v>2810229220</v>
      </c>
      <c r="AL1508" t="s">
        <v>613</v>
      </c>
      <c r="AM1508" t="s">
        <v>78</v>
      </c>
      <c r="AN1508" t="s">
        <v>78</v>
      </c>
      <c r="AO1508" t="s">
        <v>286</v>
      </c>
      <c r="AP1508" t="s">
        <v>286</v>
      </c>
      <c r="AQ1508">
        <v>12</v>
      </c>
      <c r="AR1508" t="s">
        <v>123</v>
      </c>
      <c r="AS1508" t="s">
        <v>124</v>
      </c>
      <c r="AT1508" t="s">
        <v>58</v>
      </c>
      <c r="AU1508" t="s">
        <v>131</v>
      </c>
      <c r="AV1508" t="s">
        <v>132</v>
      </c>
      <c r="AW1508" s="1">
        <v>29813</v>
      </c>
      <c r="AX1508">
        <v>2</v>
      </c>
    </row>
    <row r="1509" spans="1:50">
      <c r="A1509">
        <v>153647</v>
      </c>
      <c r="B1509" t="str">
        <f>"063900331"</f>
        <v>063900331</v>
      </c>
      <c r="C1509" t="s">
        <v>50</v>
      </c>
      <c r="D1509" t="s">
        <v>3358</v>
      </c>
      <c r="E1509" t="s">
        <v>1155</v>
      </c>
      <c r="F1509" t="s">
        <v>474</v>
      </c>
      <c r="G1509" t="s">
        <v>215</v>
      </c>
      <c r="H1509" t="str">
        <f>"ΥΠΑΤΙΑΣ 8 "</f>
        <v xml:space="preserve">ΥΠΑΤΙΑΣ 8 </v>
      </c>
      <c r="I1509">
        <v>71307</v>
      </c>
      <c r="J1509">
        <v>2810235803</v>
      </c>
      <c r="K1509">
        <v>6932384148</v>
      </c>
      <c r="M1509" t="s">
        <v>3359</v>
      </c>
      <c r="N1509" t="s">
        <v>306</v>
      </c>
      <c r="O1509" t="s">
        <v>307</v>
      </c>
      <c r="R1509" t="s">
        <v>57</v>
      </c>
      <c r="S1509">
        <v>18</v>
      </c>
      <c r="T1509">
        <v>139</v>
      </c>
      <c r="U1509" s="1">
        <v>32366</v>
      </c>
      <c r="V1509" t="s">
        <v>123</v>
      </c>
      <c r="W1509" t="s">
        <v>124</v>
      </c>
      <c r="X1509" t="s">
        <v>58</v>
      </c>
      <c r="Y1509">
        <v>18</v>
      </c>
      <c r="Z1509" t="s">
        <v>59</v>
      </c>
      <c r="AA1509" t="s">
        <v>59</v>
      </c>
      <c r="AB1509" t="s">
        <v>59</v>
      </c>
      <c r="AC1509" t="s">
        <v>59</v>
      </c>
      <c r="AD1509" t="s">
        <v>59</v>
      </c>
      <c r="AF1509" s="1">
        <v>32391</v>
      </c>
      <c r="AG1509" t="s">
        <v>148</v>
      </c>
      <c r="AH1509" t="s">
        <v>149</v>
      </c>
      <c r="AI1509" t="str">
        <f>"1751041"</f>
        <v>1751041</v>
      </c>
      <c r="AJ1509" t="s">
        <v>353</v>
      </c>
      <c r="AK1509">
        <v>2810230207</v>
      </c>
      <c r="AL1509" t="s">
        <v>354</v>
      </c>
      <c r="AM1509" t="s">
        <v>78</v>
      </c>
      <c r="AN1509" t="s">
        <v>78</v>
      </c>
      <c r="AO1509" t="s">
        <v>78</v>
      </c>
      <c r="AP1509" t="s">
        <v>163</v>
      </c>
      <c r="AQ1509">
        <v>2</v>
      </c>
      <c r="AR1509" t="s">
        <v>123</v>
      </c>
      <c r="AS1509" t="s">
        <v>124</v>
      </c>
      <c r="AT1509" t="s">
        <v>58</v>
      </c>
      <c r="AU1509" t="s">
        <v>68</v>
      </c>
      <c r="AV1509" t="s">
        <v>69</v>
      </c>
      <c r="AW1509" s="1">
        <v>22613</v>
      </c>
      <c r="AX1509">
        <v>2</v>
      </c>
    </row>
    <row r="1510" spans="1:50">
      <c r="A1510">
        <v>212358</v>
      </c>
      <c r="B1510" t="str">
        <f>"103509267"</f>
        <v>103509267</v>
      </c>
      <c r="C1510" t="s">
        <v>50</v>
      </c>
      <c r="D1510" t="s">
        <v>3360</v>
      </c>
      <c r="E1510" t="s">
        <v>103</v>
      </c>
      <c r="F1510" t="s">
        <v>106</v>
      </c>
      <c r="G1510" t="s">
        <v>112</v>
      </c>
      <c r="H1510" t="str">
        <f>"ΠΗΛΙΟΥ 3 "</f>
        <v xml:space="preserve">ΠΗΛΙΟΥ 3 </v>
      </c>
      <c r="J1510">
        <v>2810224952</v>
      </c>
      <c r="K1510">
        <v>6944301975</v>
      </c>
      <c r="M1510" t="s">
        <v>3361</v>
      </c>
      <c r="N1510" t="s">
        <v>146</v>
      </c>
      <c r="O1510" t="s">
        <v>147</v>
      </c>
      <c r="R1510" t="s">
        <v>57</v>
      </c>
      <c r="S1510">
        <v>6</v>
      </c>
      <c r="T1510">
        <v>231</v>
      </c>
      <c r="U1510" s="1">
        <v>38960</v>
      </c>
      <c r="V1510" t="s">
        <v>123</v>
      </c>
      <c r="W1510" t="s">
        <v>124</v>
      </c>
      <c r="X1510" t="s">
        <v>58</v>
      </c>
      <c r="Y1510">
        <v>20</v>
      </c>
      <c r="Z1510" t="s">
        <v>59</v>
      </c>
      <c r="AA1510" t="s">
        <v>59</v>
      </c>
      <c r="AB1510" t="s">
        <v>59</v>
      </c>
      <c r="AC1510" t="s">
        <v>59</v>
      </c>
      <c r="AD1510" t="s">
        <v>59</v>
      </c>
      <c r="AF1510" s="1">
        <v>38964</v>
      </c>
      <c r="AG1510" t="s">
        <v>148</v>
      </c>
      <c r="AH1510" t="s">
        <v>149</v>
      </c>
      <c r="AI1510" t="str">
        <f>"1751080"</f>
        <v>1751080</v>
      </c>
      <c r="AJ1510" t="s">
        <v>1395</v>
      </c>
      <c r="AK1510">
        <v>2810721380</v>
      </c>
      <c r="AL1510" t="s">
        <v>1396</v>
      </c>
      <c r="AM1510" t="s">
        <v>78</v>
      </c>
      <c r="AN1510" t="s">
        <v>78</v>
      </c>
      <c r="AO1510" t="s">
        <v>185</v>
      </c>
      <c r="AP1510" t="s">
        <v>186</v>
      </c>
      <c r="AQ1510">
        <v>29</v>
      </c>
      <c r="AR1510" t="s">
        <v>123</v>
      </c>
      <c r="AS1510" t="s">
        <v>124</v>
      </c>
      <c r="AT1510" t="s">
        <v>58</v>
      </c>
      <c r="AU1510" t="s">
        <v>68</v>
      </c>
      <c r="AV1510" t="s">
        <v>69</v>
      </c>
      <c r="AW1510" s="1">
        <v>26622</v>
      </c>
      <c r="AX1510">
        <v>2</v>
      </c>
    </row>
    <row r="1511" spans="1:50">
      <c r="A1511">
        <v>170005</v>
      </c>
      <c r="B1511" t="str">
        <f>"037206255"</f>
        <v>037206255</v>
      </c>
      <c r="C1511" t="s">
        <v>105</v>
      </c>
      <c r="D1511" t="s">
        <v>3362</v>
      </c>
      <c r="E1511" t="s">
        <v>84</v>
      </c>
      <c r="F1511" t="s">
        <v>166</v>
      </c>
      <c r="G1511" t="s">
        <v>52</v>
      </c>
      <c r="H1511" t="str">
        <f>" "</f>
        <v xml:space="preserve"> </v>
      </c>
      <c r="N1511" t="s">
        <v>146</v>
      </c>
      <c r="O1511" t="s">
        <v>147</v>
      </c>
      <c r="R1511" t="s">
        <v>57</v>
      </c>
      <c r="S1511">
        <v>18</v>
      </c>
      <c r="T1511">
        <v>184</v>
      </c>
      <c r="U1511" s="1">
        <v>34941</v>
      </c>
      <c r="V1511" t="s">
        <v>123</v>
      </c>
      <c r="W1511" t="s">
        <v>124</v>
      </c>
      <c r="X1511" t="s">
        <v>58</v>
      </c>
      <c r="Y1511">
        <v>18</v>
      </c>
      <c r="Z1511" t="s">
        <v>59</v>
      </c>
      <c r="AA1511" t="s">
        <v>59</v>
      </c>
      <c r="AB1511" t="s">
        <v>59</v>
      </c>
      <c r="AC1511" t="s">
        <v>59</v>
      </c>
      <c r="AD1511" t="s">
        <v>59</v>
      </c>
      <c r="AF1511" s="1">
        <v>34947</v>
      </c>
      <c r="AG1511" t="s">
        <v>148</v>
      </c>
      <c r="AH1511" t="s">
        <v>149</v>
      </c>
      <c r="AI1511" t="str">
        <f>"1751010"</f>
        <v>1751010</v>
      </c>
      <c r="AJ1511" t="s">
        <v>150</v>
      </c>
      <c r="AK1511">
        <v>2810346092</v>
      </c>
      <c r="AL1511" t="s">
        <v>151</v>
      </c>
      <c r="AM1511" t="s">
        <v>78</v>
      </c>
      <c r="AN1511" t="s">
        <v>78</v>
      </c>
      <c r="AO1511" t="s">
        <v>78</v>
      </c>
      <c r="AP1511" t="s">
        <v>79</v>
      </c>
      <c r="AQ1511">
        <v>1</v>
      </c>
      <c r="AR1511" t="s">
        <v>123</v>
      </c>
      <c r="AS1511" t="s">
        <v>124</v>
      </c>
      <c r="AT1511" t="s">
        <v>58</v>
      </c>
      <c r="AU1511" t="s">
        <v>68</v>
      </c>
      <c r="AV1511" t="s">
        <v>69</v>
      </c>
      <c r="AW1511" s="1">
        <v>23891</v>
      </c>
      <c r="AX1511">
        <v>2</v>
      </c>
    </row>
    <row r="1512" spans="1:50">
      <c r="B1512" t="str">
        <f>"076271467"</f>
        <v>076271467</v>
      </c>
      <c r="C1512" t="s">
        <v>50</v>
      </c>
      <c r="D1512" t="s">
        <v>3363</v>
      </c>
      <c r="E1512" t="s">
        <v>155</v>
      </c>
      <c r="F1512" t="s">
        <v>3364</v>
      </c>
      <c r="G1512" t="s">
        <v>83</v>
      </c>
      <c r="H1512" t="str">
        <f>"ΚΩΝΣΤΑΝΤΙΝΟΥ ΣΝΩΚ  10 ΘΕΣ/ΝΙΚΗ"</f>
        <v>ΚΩΝΣΤΑΝΤΙΝΟΥ ΣΝΩΚ  10 ΘΕΣ/ΝΙΚΗ</v>
      </c>
      <c r="I1512">
        <v>54248</v>
      </c>
      <c r="J1512">
        <v>2310318616</v>
      </c>
      <c r="K1512">
        <v>6936835031</v>
      </c>
      <c r="N1512" t="s">
        <v>146</v>
      </c>
      <c r="O1512" t="s">
        <v>147</v>
      </c>
      <c r="R1512" t="s">
        <v>159</v>
      </c>
      <c r="S1512">
        <v>5</v>
      </c>
      <c r="T1512" t="s">
        <v>416</v>
      </c>
      <c r="U1512" s="1">
        <v>43349</v>
      </c>
      <c r="V1512" t="s">
        <v>123</v>
      </c>
      <c r="W1512" t="s">
        <v>124</v>
      </c>
      <c r="X1512" t="s">
        <v>58</v>
      </c>
      <c r="Y1512">
        <v>21</v>
      </c>
      <c r="Z1512" t="s">
        <v>59</v>
      </c>
      <c r="AA1512" t="s">
        <v>59</v>
      </c>
      <c r="AB1512" t="s">
        <v>59</v>
      </c>
      <c r="AC1512" t="s">
        <v>59</v>
      </c>
      <c r="AD1512" t="s">
        <v>59</v>
      </c>
      <c r="AF1512" s="1">
        <v>43349</v>
      </c>
      <c r="AG1512" t="s">
        <v>125</v>
      </c>
      <c r="AH1512" t="s">
        <v>386</v>
      </c>
      <c r="AI1512" t="str">
        <f>"1741002"</f>
        <v>1741002</v>
      </c>
      <c r="AJ1512" t="s">
        <v>387</v>
      </c>
      <c r="AK1512">
        <v>2810762610</v>
      </c>
      <c r="AL1512" t="s">
        <v>388</v>
      </c>
      <c r="AM1512" t="s">
        <v>78</v>
      </c>
      <c r="AN1512" t="s">
        <v>219</v>
      </c>
      <c r="AO1512" t="s">
        <v>297</v>
      </c>
      <c r="AP1512" t="s">
        <v>297</v>
      </c>
      <c r="AQ1512">
        <v>10</v>
      </c>
      <c r="AR1512" t="s">
        <v>123</v>
      </c>
      <c r="AS1512" t="s">
        <v>124</v>
      </c>
      <c r="AT1512" t="s">
        <v>58</v>
      </c>
      <c r="AU1512" t="s">
        <v>419</v>
      </c>
      <c r="AV1512" t="s">
        <v>132</v>
      </c>
      <c r="AW1512" s="1">
        <v>25528</v>
      </c>
      <c r="AX1512">
        <v>2</v>
      </c>
    </row>
    <row r="1513" spans="1:50">
      <c r="A1513">
        <v>175660</v>
      </c>
      <c r="B1513" t="str">
        <f>"035172657"</f>
        <v>035172657</v>
      </c>
      <c r="C1513" t="s">
        <v>50</v>
      </c>
      <c r="D1513" t="s">
        <v>3365</v>
      </c>
      <c r="E1513" t="s">
        <v>54</v>
      </c>
      <c r="F1513" t="s">
        <v>377</v>
      </c>
      <c r="G1513" t="s">
        <v>250</v>
      </c>
      <c r="H1513" t="str">
        <f>"ΝΙΩΤΗ Σ. 1 "</f>
        <v xml:space="preserve">ΝΙΩΤΗ Σ. 1 </v>
      </c>
      <c r="I1513">
        <v>71306</v>
      </c>
      <c r="J1513">
        <v>2810237865</v>
      </c>
      <c r="K1513">
        <v>6972823596</v>
      </c>
      <c r="M1513" t="s">
        <v>3366</v>
      </c>
      <c r="N1513" t="s">
        <v>146</v>
      </c>
      <c r="O1513" t="s">
        <v>147</v>
      </c>
      <c r="R1513" t="s">
        <v>57</v>
      </c>
      <c r="S1513">
        <v>17</v>
      </c>
      <c r="T1513">
        <v>180</v>
      </c>
      <c r="U1513" s="1">
        <v>35674</v>
      </c>
      <c r="V1513" t="s">
        <v>123</v>
      </c>
      <c r="W1513" t="s">
        <v>124</v>
      </c>
      <c r="X1513" t="s">
        <v>58</v>
      </c>
      <c r="Y1513">
        <v>18</v>
      </c>
      <c r="Z1513" t="s">
        <v>59</v>
      </c>
      <c r="AA1513" t="s">
        <v>59</v>
      </c>
      <c r="AB1513" t="s">
        <v>59</v>
      </c>
      <c r="AC1513" t="s">
        <v>59</v>
      </c>
      <c r="AD1513" t="s">
        <v>59</v>
      </c>
      <c r="AF1513" s="1">
        <v>35678</v>
      </c>
      <c r="AG1513" t="s">
        <v>148</v>
      </c>
      <c r="AH1513" t="s">
        <v>149</v>
      </c>
      <c r="AI1513" t="str">
        <f>"1751030"</f>
        <v>1751030</v>
      </c>
      <c r="AJ1513" t="s">
        <v>234</v>
      </c>
      <c r="AK1513">
        <v>2810282911</v>
      </c>
      <c r="AL1513" t="s">
        <v>235</v>
      </c>
      <c r="AM1513" t="s">
        <v>78</v>
      </c>
      <c r="AN1513" t="s">
        <v>78</v>
      </c>
      <c r="AO1513" t="s">
        <v>78</v>
      </c>
      <c r="AP1513" t="s">
        <v>163</v>
      </c>
      <c r="AQ1513">
        <v>1</v>
      </c>
      <c r="AR1513" t="s">
        <v>123</v>
      </c>
      <c r="AS1513" t="s">
        <v>124</v>
      </c>
      <c r="AT1513" t="s">
        <v>58</v>
      </c>
      <c r="AU1513" t="s">
        <v>68</v>
      </c>
      <c r="AV1513" t="s">
        <v>69</v>
      </c>
      <c r="AW1513" s="1">
        <v>23631</v>
      </c>
      <c r="AX1513">
        <v>2</v>
      </c>
    </row>
    <row r="1514" spans="1:50">
      <c r="A1514">
        <v>214193</v>
      </c>
      <c r="B1514" t="str">
        <f>"103849888"</f>
        <v>103849888</v>
      </c>
      <c r="C1514" t="s">
        <v>50</v>
      </c>
      <c r="D1514" t="s">
        <v>3367</v>
      </c>
      <c r="E1514" t="s">
        <v>600</v>
      </c>
      <c r="F1514" t="s">
        <v>84</v>
      </c>
      <c r="G1514" t="s">
        <v>73</v>
      </c>
      <c r="H1514" t="str">
        <f>"ΑΝΘΕΩΝ 107 ΗΡΑΚΛΕΙΟ"</f>
        <v>ΑΝΘΕΩΝ 107 ΗΡΑΚΛΕΙΟ</v>
      </c>
      <c r="I1514">
        <v>71409</v>
      </c>
      <c r="J1514">
        <v>2810238680</v>
      </c>
      <c r="K1514">
        <v>6945456309</v>
      </c>
      <c r="M1514" t="s">
        <v>3368</v>
      </c>
      <c r="N1514" t="s">
        <v>683</v>
      </c>
      <c r="O1514" t="s">
        <v>684</v>
      </c>
      <c r="R1514" t="s">
        <v>57</v>
      </c>
      <c r="S1514">
        <v>7</v>
      </c>
      <c r="T1514">
        <v>231</v>
      </c>
      <c r="U1514" s="1">
        <v>38960</v>
      </c>
      <c r="V1514" t="s">
        <v>123</v>
      </c>
      <c r="W1514" t="s">
        <v>124</v>
      </c>
      <c r="X1514" t="s">
        <v>58</v>
      </c>
      <c r="Y1514">
        <v>21</v>
      </c>
      <c r="Z1514" t="s">
        <v>59</v>
      </c>
      <c r="AA1514" t="s">
        <v>59</v>
      </c>
      <c r="AB1514" t="s">
        <v>59</v>
      </c>
      <c r="AC1514" t="s">
        <v>59</v>
      </c>
      <c r="AD1514" t="s">
        <v>59</v>
      </c>
      <c r="AF1514" s="1">
        <v>38961</v>
      </c>
      <c r="AG1514" t="s">
        <v>125</v>
      </c>
      <c r="AH1514" t="s">
        <v>126</v>
      </c>
      <c r="AI1514" t="str">
        <f>"1703010"</f>
        <v>1703010</v>
      </c>
      <c r="AJ1514" t="s">
        <v>422</v>
      </c>
      <c r="AK1514">
        <v>2810751808</v>
      </c>
      <c r="AL1514" t="s">
        <v>423</v>
      </c>
      <c r="AM1514" t="s">
        <v>78</v>
      </c>
      <c r="AN1514" t="s">
        <v>424</v>
      </c>
      <c r="AO1514" t="s">
        <v>425</v>
      </c>
      <c r="AP1514" t="s">
        <v>425</v>
      </c>
      <c r="AQ1514">
        <v>13</v>
      </c>
      <c r="AR1514" t="s">
        <v>123</v>
      </c>
      <c r="AS1514" t="s">
        <v>124</v>
      </c>
      <c r="AT1514" t="s">
        <v>58</v>
      </c>
      <c r="AU1514" t="s">
        <v>68</v>
      </c>
      <c r="AV1514" t="s">
        <v>69</v>
      </c>
      <c r="AW1514" s="1">
        <v>28456</v>
      </c>
      <c r="AX1514">
        <v>2</v>
      </c>
    </row>
    <row r="1515" spans="1:50">
      <c r="A1515">
        <v>193869</v>
      </c>
      <c r="B1515" t="str">
        <f>"079708651"</f>
        <v>079708651</v>
      </c>
      <c r="C1515" t="s">
        <v>50</v>
      </c>
      <c r="D1515" t="s">
        <v>3369</v>
      </c>
      <c r="E1515" t="s">
        <v>1644</v>
      </c>
      <c r="F1515" t="s">
        <v>72</v>
      </c>
      <c r="G1515" t="s">
        <v>255</v>
      </c>
      <c r="H1515" t="str">
        <f>" "</f>
        <v xml:space="preserve"> </v>
      </c>
      <c r="J1515">
        <v>2810235817</v>
      </c>
      <c r="K1515">
        <v>6944896014</v>
      </c>
      <c r="M1515" t="s">
        <v>3370</v>
      </c>
      <c r="N1515" t="s">
        <v>478</v>
      </c>
      <c r="O1515" t="s">
        <v>479</v>
      </c>
      <c r="R1515" t="s">
        <v>57</v>
      </c>
      <c r="S1515">
        <v>10</v>
      </c>
      <c r="T1515">
        <v>193</v>
      </c>
      <c r="U1515" s="1">
        <v>37497</v>
      </c>
      <c r="V1515" t="s">
        <v>123</v>
      </c>
      <c r="W1515" t="s">
        <v>124</v>
      </c>
      <c r="X1515" t="s">
        <v>58</v>
      </c>
      <c r="Y1515">
        <v>18</v>
      </c>
      <c r="Z1515" t="s">
        <v>59</v>
      </c>
      <c r="AA1515" t="s">
        <v>59</v>
      </c>
      <c r="AB1515" t="s">
        <v>59</v>
      </c>
      <c r="AC1515" t="s">
        <v>59</v>
      </c>
      <c r="AD1515" t="s">
        <v>59</v>
      </c>
      <c r="AF1515" s="1">
        <v>37497</v>
      </c>
      <c r="AG1515" t="s">
        <v>125</v>
      </c>
      <c r="AH1515" t="s">
        <v>126</v>
      </c>
      <c r="AI1515" t="str">
        <f>"1701020"</f>
        <v>1701020</v>
      </c>
      <c r="AJ1515" t="s">
        <v>323</v>
      </c>
      <c r="AK1515">
        <v>2810252111</v>
      </c>
      <c r="AL1515" t="s">
        <v>324</v>
      </c>
      <c r="AM1515" t="s">
        <v>78</v>
      </c>
      <c r="AN1515" t="s">
        <v>78</v>
      </c>
      <c r="AO1515" t="s">
        <v>78</v>
      </c>
      <c r="AP1515" t="s">
        <v>163</v>
      </c>
      <c r="AQ1515">
        <v>3</v>
      </c>
      <c r="AR1515" t="s">
        <v>123</v>
      </c>
      <c r="AS1515" t="s">
        <v>124</v>
      </c>
      <c r="AT1515" t="s">
        <v>58</v>
      </c>
      <c r="AU1515" t="s">
        <v>68</v>
      </c>
      <c r="AV1515" t="s">
        <v>69</v>
      </c>
      <c r="AW1515" s="1">
        <v>24165</v>
      </c>
      <c r="AX1515">
        <v>2</v>
      </c>
    </row>
    <row r="1516" spans="1:50">
      <c r="A1516">
        <v>185543</v>
      </c>
      <c r="B1516" t="str">
        <f>"118908921"</f>
        <v>118908921</v>
      </c>
      <c r="C1516" t="s">
        <v>50</v>
      </c>
      <c r="D1516" t="s">
        <v>3369</v>
      </c>
      <c r="E1516" t="s">
        <v>250</v>
      </c>
      <c r="F1516" t="s">
        <v>377</v>
      </c>
      <c r="G1516" t="s">
        <v>476</v>
      </c>
      <c r="H1516" t="str">
        <f>" "</f>
        <v xml:space="preserve"> </v>
      </c>
      <c r="M1516" t="s">
        <v>3371</v>
      </c>
      <c r="N1516" t="s">
        <v>246</v>
      </c>
      <c r="O1516" t="s">
        <v>247</v>
      </c>
      <c r="R1516" t="s">
        <v>57</v>
      </c>
      <c r="S1516">
        <v>14</v>
      </c>
      <c r="T1516">
        <v>35</v>
      </c>
      <c r="U1516" s="1">
        <v>36217</v>
      </c>
      <c r="V1516" t="s">
        <v>123</v>
      </c>
      <c r="W1516" t="s">
        <v>124</v>
      </c>
      <c r="X1516" t="s">
        <v>58</v>
      </c>
      <c r="Y1516">
        <v>18</v>
      </c>
      <c r="Z1516" t="s">
        <v>59</v>
      </c>
      <c r="AA1516" t="s">
        <v>59</v>
      </c>
      <c r="AB1516" t="s">
        <v>59</v>
      </c>
      <c r="AC1516" t="s">
        <v>59</v>
      </c>
      <c r="AD1516" t="s">
        <v>59</v>
      </c>
      <c r="AF1516" s="1">
        <v>36217</v>
      </c>
      <c r="AG1516" t="s">
        <v>125</v>
      </c>
      <c r="AH1516" t="s">
        <v>126</v>
      </c>
      <c r="AI1516" t="str">
        <f>"1701040"</f>
        <v>1701040</v>
      </c>
      <c r="AJ1516" t="s">
        <v>748</v>
      </c>
      <c r="AK1516">
        <v>2810252459</v>
      </c>
      <c r="AL1516" t="s">
        <v>749</v>
      </c>
      <c r="AM1516" t="s">
        <v>78</v>
      </c>
      <c r="AN1516" t="s">
        <v>78</v>
      </c>
      <c r="AO1516" t="s">
        <v>78</v>
      </c>
      <c r="AP1516" t="s">
        <v>141</v>
      </c>
      <c r="AQ1516">
        <v>3</v>
      </c>
      <c r="AR1516" t="s">
        <v>123</v>
      </c>
      <c r="AS1516" t="s">
        <v>124</v>
      </c>
      <c r="AT1516" t="s">
        <v>58</v>
      </c>
      <c r="AU1516" t="s">
        <v>68</v>
      </c>
      <c r="AV1516" t="s">
        <v>69</v>
      </c>
      <c r="AW1516" s="1">
        <v>21339</v>
      </c>
      <c r="AX1516">
        <v>2</v>
      </c>
    </row>
    <row r="1517" spans="1:50">
      <c r="A1517">
        <v>189818</v>
      </c>
      <c r="B1517" t="str">
        <f>"072768638"</f>
        <v>072768638</v>
      </c>
      <c r="C1517" t="s">
        <v>50</v>
      </c>
      <c r="D1517" t="s">
        <v>3369</v>
      </c>
      <c r="E1517" t="s">
        <v>250</v>
      </c>
      <c r="F1517" t="s">
        <v>1062</v>
      </c>
      <c r="G1517" t="s">
        <v>52</v>
      </c>
      <c r="H1517" t="str">
        <f>" "</f>
        <v xml:space="preserve"> </v>
      </c>
      <c r="M1517" t="s">
        <v>3372</v>
      </c>
      <c r="N1517" t="s">
        <v>292</v>
      </c>
      <c r="O1517" t="s">
        <v>293</v>
      </c>
      <c r="R1517" t="s">
        <v>57</v>
      </c>
      <c r="S1517">
        <v>15</v>
      </c>
      <c r="T1517">
        <v>219</v>
      </c>
      <c r="U1517" s="1">
        <v>37134</v>
      </c>
      <c r="V1517" t="s">
        <v>123</v>
      </c>
      <c r="W1517" t="s">
        <v>124</v>
      </c>
      <c r="X1517" t="s">
        <v>58</v>
      </c>
      <c r="Y1517">
        <v>20</v>
      </c>
      <c r="Z1517" t="s">
        <v>59</v>
      </c>
      <c r="AA1517" t="s">
        <v>59</v>
      </c>
      <c r="AB1517" t="s">
        <v>59</v>
      </c>
      <c r="AC1517" t="s">
        <v>59</v>
      </c>
      <c r="AD1517" t="s">
        <v>452</v>
      </c>
      <c r="AE1517" s="1">
        <v>43708</v>
      </c>
      <c r="AF1517" s="1">
        <v>37140</v>
      </c>
      <c r="AG1517" t="s">
        <v>60</v>
      </c>
      <c r="AH1517" t="s">
        <v>453</v>
      </c>
      <c r="AI1517" t="str">
        <f>"1700105"</f>
        <v>1700105</v>
      </c>
      <c r="AJ1517" t="s">
        <v>124</v>
      </c>
      <c r="AK1517">
        <v>2810333720</v>
      </c>
      <c r="AL1517" t="s">
        <v>454</v>
      </c>
      <c r="AM1517" t="s">
        <v>78</v>
      </c>
      <c r="AN1517" t="s">
        <v>78</v>
      </c>
      <c r="AO1517" t="s">
        <v>78</v>
      </c>
      <c r="AP1517" t="s">
        <v>79</v>
      </c>
      <c r="AS1517" t="s">
        <v>124</v>
      </c>
      <c r="AT1517" t="s">
        <v>58</v>
      </c>
      <c r="AU1517" t="s">
        <v>68</v>
      </c>
      <c r="AV1517" t="s">
        <v>455</v>
      </c>
      <c r="AW1517" s="1">
        <v>25244</v>
      </c>
      <c r="AX1517">
        <v>2</v>
      </c>
    </row>
    <row r="1518" spans="1:50">
      <c r="A1518">
        <v>196826</v>
      </c>
      <c r="B1518" t="str">
        <f>"073267737"</f>
        <v>073267737</v>
      </c>
      <c r="C1518" t="s">
        <v>50</v>
      </c>
      <c r="D1518" t="s">
        <v>3369</v>
      </c>
      <c r="E1518" t="s">
        <v>367</v>
      </c>
      <c r="F1518" t="s">
        <v>72</v>
      </c>
      <c r="G1518" t="s">
        <v>255</v>
      </c>
      <c r="H1518" t="str">
        <f>"ΠΑΡΟΔΟΣ ΜΕΓΑΛΟΥ ΑΛΕΞΑΝΔΡΟΥ 74 "</f>
        <v xml:space="preserve">ΠΑΡΟΔΟΣ ΜΕΓΑΛΟΥ ΑΛΕΞΑΝΔΡΟΥ 74 </v>
      </c>
      <c r="I1518">
        <v>71305</v>
      </c>
      <c r="J1518">
        <v>2897042140</v>
      </c>
      <c r="K1518">
        <v>6972395503</v>
      </c>
      <c r="M1518" t="s">
        <v>3373</v>
      </c>
      <c r="N1518" t="s">
        <v>146</v>
      </c>
      <c r="O1518" t="s">
        <v>147</v>
      </c>
      <c r="R1518" t="s">
        <v>57</v>
      </c>
      <c r="S1518">
        <v>13</v>
      </c>
      <c r="T1518">
        <v>206</v>
      </c>
      <c r="U1518" s="1">
        <v>37866</v>
      </c>
      <c r="V1518" t="s">
        <v>123</v>
      </c>
      <c r="W1518" t="s">
        <v>124</v>
      </c>
      <c r="X1518" t="s">
        <v>58</v>
      </c>
      <c r="Y1518">
        <v>20</v>
      </c>
      <c r="Z1518" t="s">
        <v>59</v>
      </c>
      <c r="AA1518" t="s">
        <v>59</v>
      </c>
      <c r="AB1518" t="s">
        <v>59</v>
      </c>
      <c r="AC1518" t="s">
        <v>59</v>
      </c>
      <c r="AD1518" t="s">
        <v>59</v>
      </c>
      <c r="AF1518" s="1">
        <v>37868</v>
      </c>
      <c r="AG1518" t="s">
        <v>148</v>
      </c>
      <c r="AH1518" t="s">
        <v>149</v>
      </c>
      <c r="AI1518" t="str">
        <f>"1751040"</f>
        <v>1751040</v>
      </c>
      <c r="AJ1518" t="s">
        <v>178</v>
      </c>
      <c r="AK1518">
        <v>2810252495</v>
      </c>
      <c r="AL1518" t="s">
        <v>179</v>
      </c>
      <c r="AM1518" t="s">
        <v>78</v>
      </c>
      <c r="AN1518" t="s">
        <v>78</v>
      </c>
      <c r="AO1518" t="s">
        <v>78</v>
      </c>
      <c r="AP1518" t="s">
        <v>141</v>
      </c>
      <c r="AQ1518">
        <v>3</v>
      </c>
      <c r="AR1518" t="s">
        <v>123</v>
      </c>
      <c r="AS1518" t="s">
        <v>124</v>
      </c>
      <c r="AT1518" t="s">
        <v>58</v>
      </c>
      <c r="AU1518" t="s">
        <v>68</v>
      </c>
      <c r="AV1518" t="s">
        <v>69</v>
      </c>
      <c r="AW1518" s="1">
        <v>25188</v>
      </c>
      <c r="AX1518">
        <v>2</v>
      </c>
    </row>
    <row r="1519" spans="1:50">
      <c r="A1519">
        <v>703330</v>
      </c>
      <c r="B1519" t="str">
        <f>"137456272"</f>
        <v>137456272</v>
      </c>
      <c r="C1519" t="s">
        <v>50</v>
      </c>
      <c r="D1519" t="s">
        <v>3374</v>
      </c>
      <c r="E1519" t="s">
        <v>52</v>
      </c>
      <c r="F1519" t="s">
        <v>1493</v>
      </c>
      <c r="G1519" t="s">
        <v>191</v>
      </c>
      <c r="H1519" t="str">
        <f>"ΚΑΜΠΟΣ ΑΓ. ΣΥΛΛΑ "</f>
        <v xml:space="preserve">ΚΑΜΠΟΣ ΑΓ. ΣΥΛΛΑ </v>
      </c>
      <c r="I1519">
        <v>71500</v>
      </c>
      <c r="J1519">
        <v>2810881015</v>
      </c>
      <c r="K1519">
        <v>6978219763</v>
      </c>
      <c r="L1519">
        <v>6943747912</v>
      </c>
      <c r="N1519" t="s">
        <v>146</v>
      </c>
      <c r="O1519" t="s">
        <v>147</v>
      </c>
      <c r="R1519" t="s">
        <v>57</v>
      </c>
      <c r="S1519">
        <v>3</v>
      </c>
      <c r="T1519" t="s">
        <v>2892</v>
      </c>
      <c r="U1519" s="1">
        <v>40413</v>
      </c>
      <c r="V1519" t="s">
        <v>123</v>
      </c>
      <c r="W1519" t="s">
        <v>124</v>
      </c>
      <c r="X1519" t="s">
        <v>58</v>
      </c>
      <c r="Y1519">
        <v>21</v>
      </c>
      <c r="Z1519" t="s">
        <v>59</v>
      </c>
      <c r="AA1519" t="s">
        <v>59</v>
      </c>
      <c r="AB1519" t="s">
        <v>59</v>
      </c>
      <c r="AC1519" t="s">
        <v>59</v>
      </c>
      <c r="AD1519" t="s">
        <v>59</v>
      </c>
      <c r="AF1519" s="1">
        <v>40780</v>
      </c>
      <c r="AG1519" t="s">
        <v>148</v>
      </c>
      <c r="AH1519" t="s">
        <v>149</v>
      </c>
      <c r="AI1519" t="str">
        <f>"1768010"</f>
        <v>1768010</v>
      </c>
      <c r="AJ1519" t="s">
        <v>1012</v>
      </c>
      <c r="AK1519">
        <v>2897032070</v>
      </c>
      <c r="AL1519" t="s">
        <v>1013</v>
      </c>
      <c r="AM1519" t="s">
        <v>78</v>
      </c>
      <c r="AN1519" t="s">
        <v>219</v>
      </c>
      <c r="AO1519" t="s">
        <v>527</v>
      </c>
      <c r="AP1519" t="s">
        <v>527</v>
      </c>
      <c r="AQ1519">
        <v>20</v>
      </c>
      <c r="AR1519" t="s">
        <v>123</v>
      </c>
      <c r="AS1519" t="s">
        <v>124</v>
      </c>
      <c r="AT1519" t="s">
        <v>58</v>
      </c>
      <c r="AU1519" t="s">
        <v>68</v>
      </c>
      <c r="AV1519" t="s">
        <v>69</v>
      </c>
      <c r="AW1519" s="1">
        <v>30953</v>
      </c>
      <c r="AX1519">
        <v>2</v>
      </c>
    </row>
    <row r="1520" spans="1:50">
      <c r="A1520">
        <v>229902</v>
      </c>
      <c r="B1520" t="str">
        <f>"070997845"</f>
        <v>070997845</v>
      </c>
      <c r="C1520" t="s">
        <v>105</v>
      </c>
      <c r="D1520" t="s">
        <v>3375</v>
      </c>
      <c r="E1520" t="s">
        <v>3192</v>
      </c>
      <c r="F1520" t="s">
        <v>1493</v>
      </c>
      <c r="G1520" t="s">
        <v>191</v>
      </c>
      <c r="H1520" t="str">
        <f>"ΚΑΜΠΟΣ ΑΓ. ΣΥΛΛΑ ΔΗΜΟΣ ΤΕΜΕΝΟΥΣ"</f>
        <v>ΚΑΜΠΟΣ ΑΓ. ΣΥΛΛΑ ΔΗΜΟΣ ΤΕΜΕΝΟΥΣ</v>
      </c>
      <c r="I1520">
        <v>71500</v>
      </c>
      <c r="J1520">
        <v>2810881015</v>
      </c>
      <c r="K1520">
        <v>6978095085</v>
      </c>
      <c r="M1520" t="s">
        <v>3376</v>
      </c>
      <c r="N1520" t="s">
        <v>189</v>
      </c>
      <c r="O1520" t="s">
        <v>190</v>
      </c>
      <c r="R1520" t="s">
        <v>57</v>
      </c>
      <c r="S1520">
        <v>6</v>
      </c>
      <c r="T1520">
        <v>4</v>
      </c>
      <c r="U1520" s="1">
        <v>40186</v>
      </c>
      <c r="V1520" t="s">
        <v>123</v>
      </c>
      <c r="W1520" t="s">
        <v>124</v>
      </c>
      <c r="X1520" t="s">
        <v>58</v>
      </c>
      <c r="Y1520">
        <v>21</v>
      </c>
      <c r="Z1520" t="s">
        <v>59</v>
      </c>
      <c r="AA1520" t="s">
        <v>59</v>
      </c>
      <c r="AB1520" t="s">
        <v>59</v>
      </c>
      <c r="AC1520" t="s">
        <v>59</v>
      </c>
      <c r="AD1520" t="s">
        <v>59</v>
      </c>
      <c r="AF1520" s="1">
        <v>40189</v>
      </c>
      <c r="AG1520" t="s">
        <v>137</v>
      </c>
      <c r="AH1520" t="s">
        <v>138</v>
      </c>
      <c r="AI1520" t="str">
        <f>"1740210"</f>
        <v>1740210</v>
      </c>
      <c r="AJ1520" t="s">
        <v>139</v>
      </c>
      <c r="AK1520">
        <v>2810318130</v>
      </c>
      <c r="AL1520" t="s">
        <v>140</v>
      </c>
      <c r="AM1520" t="s">
        <v>78</v>
      </c>
      <c r="AN1520" t="s">
        <v>78</v>
      </c>
      <c r="AO1520" t="s">
        <v>78</v>
      </c>
      <c r="AP1520" t="s">
        <v>141</v>
      </c>
      <c r="AQ1520">
        <v>7</v>
      </c>
      <c r="AR1520" t="s">
        <v>123</v>
      </c>
      <c r="AS1520" t="s">
        <v>124</v>
      </c>
      <c r="AT1520" t="s">
        <v>58</v>
      </c>
      <c r="AU1520" t="s">
        <v>68</v>
      </c>
      <c r="AV1520" t="s">
        <v>69</v>
      </c>
      <c r="AW1520" s="1">
        <v>29791</v>
      </c>
      <c r="AX1520">
        <v>2</v>
      </c>
    </row>
    <row r="1521" spans="1:50">
      <c r="A1521">
        <v>202684</v>
      </c>
      <c r="B1521" t="str">
        <f>"064353617"</f>
        <v>064353617</v>
      </c>
      <c r="C1521" t="s">
        <v>50</v>
      </c>
      <c r="D1521" t="s">
        <v>3377</v>
      </c>
      <c r="E1521" t="s">
        <v>237</v>
      </c>
      <c r="F1521" t="s">
        <v>53</v>
      </c>
      <c r="G1521" t="s">
        <v>52</v>
      </c>
      <c r="H1521" t="str">
        <f>"ΑΓ. ΤΡΥΦΩΝΟΣ 6  Ν. ΑΛΙΚΑΡΝΑΣΣΟΣ"</f>
        <v>ΑΓ. ΤΡΥΦΩΝΟΣ 6  Ν. ΑΛΙΚΑΡΝΑΣΣΟΣ</v>
      </c>
      <c r="I1521">
        <v>71601</v>
      </c>
      <c r="J1521">
        <v>2810342284</v>
      </c>
      <c r="K1521">
        <v>6976578947</v>
      </c>
      <c r="M1521" t="s">
        <v>3378</v>
      </c>
      <c r="N1521" t="s">
        <v>232</v>
      </c>
      <c r="O1521" t="s">
        <v>233</v>
      </c>
      <c r="R1521" t="s">
        <v>57</v>
      </c>
      <c r="S1521">
        <v>10</v>
      </c>
      <c r="T1521">
        <v>231</v>
      </c>
      <c r="U1521" s="1">
        <v>38230</v>
      </c>
      <c r="V1521" t="s">
        <v>123</v>
      </c>
      <c r="W1521" t="s">
        <v>124</v>
      </c>
      <c r="X1521" t="s">
        <v>58</v>
      </c>
      <c r="Y1521">
        <v>18</v>
      </c>
      <c r="Z1521" t="s">
        <v>59</v>
      </c>
      <c r="AA1521" t="s">
        <v>59</v>
      </c>
      <c r="AB1521" t="s">
        <v>59</v>
      </c>
      <c r="AC1521" t="s">
        <v>59</v>
      </c>
      <c r="AD1521" t="s">
        <v>59</v>
      </c>
      <c r="AF1521" s="1">
        <v>38232</v>
      </c>
      <c r="AG1521" t="s">
        <v>125</v>
      </c>
      <c r="AH1521" t="s">
        <v>126</v>
      </c>
      <c r="AI1521" t="str">
        <f>"1701041"</f>
        <v>1701041</v>
      </c>
      <c r="AJ1521" t="s">
        <v>161</v>
      </c>
      <c r="AK1521">
        <v>2810327052</v>
      </c>
      <c r="AL1521" t="s">
        <v>162</v>
      </c>
      <c r="AM1521" t="s">
        <v>78</v>
      </c>
      <c r="AN1521" t="s">
        <v>78</v>
      </c>
      <c r="AO1521" t="s">
        <v>78</v>
      </c>
      <c r="AP1521" t="s">
        <v>163</v>
      </c>
      <c r="AQ1521">
        <v>5</v>
      </c>
      <c r="AR1521" t="s">
        <v>123</v>
      </c>
      <c r="AS1521" t="s">
        <v>124</v>
      </c>
      <c r="AT1521" t="s">
        <v>58</v>
      </c>
      <c r="AU1521" t="s">
        <v>68</v>
      </c>
      <c r="AV1521" t="s">
        <v>69</v>
      </c>
      <c r="AW1521" s="1">
        <v>23056</v>
      </c>
      <c r="AX1521">
        <v>2</v>
      </c>
    </row>
    <row r="1522" spans="1:50">
      <c r="A1522">
        <v>203834</v>
      </c>
      <c r="B1522" t="str">
        <f>"056387473"</f>
        <v>056387473</v>
      </c>
      <c r="C1522" t="s">
        <v>50</v>
      </c>
      <c r="D1522" t="s">
        <v>3377</v>
      </c>
      <c r="E1522" t="s">
        <v>476</v>
      </c>
      <c r="F1522" t="s">
        <v>95</v>
      </c>
      <c r="G1522" t="s">
        <v>191</v>
      </c>
      <c r="H1522" t="str">
        <f>"ΠΕΝΘΥΛΗΣ 9 ΜΥΤΙΛΗΝΗ"</f>
        <v>ΠΕΝΘΥΛΗΣ 9 ΜΥΤΙΛΗΝΗ</v>
      </c>
      <c r="I1522">
        <v>81100</v>
      </c>
      <c r="J1522">
        <v>2251021694</v>
      </c>
      <c r="K1522">
        <v>6974453610</v>
      </c>
      <c r="L1522">
        <v>2107756202</v>
      </c>
      <c r="M1522" t="s">
        <v>3379</v>
      </c>
      <c r="N1522" t="s">
        <v>257</v>
      </c>
      <c r="O1522" t="s">
        <v>258</v>
      </c>
      <c r="R1522" t="s">
        <v>57</v>
      </c>
      <c r="S1522">
        <v>10</v>
      </c>
      <c r="T1522">
        <v>231</v>
      </c>
      <c r="U1522" s="1">
        <v>38230</v>
      </c>
      <c r="V1522" t="s">
        <v>123</v>
      </c>
      <c r="W1522" t="s">
        <v>124</v>
      </c>
      <c r="X1522" t="s">
        <v>58</v>
      </c>
      <c r="Y1522">
        <v>20</v>
      </c>
      <c r="Z1522" t="s">
        <v>59</v>
      </c>
      <c r="AA1522" t="s">
        <v>59</v>
      </c>
      <c r="AB1522" t="s">
        <v>59</v>
      </c>
      <c r="AC1522" t="s">
        <v>59</v>
      </c>
      <c r="AD1522" t="s">
        <v>59</v>
      </c>
      <c r="AF1522" s="1">
        <v>38233</v>
      </c>
      <c r="AG1522" t="s">
        <v>137</v>
      </c>
      <c r="AH1522" t="s">
        <v>138</v>
      </c>
      <c r="AI1522" t="str">
        <f>"1750080"</f>
        <v>1750080</v>
      </c>
      <c r="AJ1522" t="s">
        <v>170</v>
      </c>
      <c r="AK1522">
        <v>2810234444</v>
      </c>
      <c r="AL1522" t="s">
        <v>171</v>
      </c>
      <c r="AM1522" t="s">
        <v>78</v>
      </c>
      <c r="AN1522" t="s">
        <v>78</v>
      </c>
      <c r="AO1522" t="s">
        <v>78</v>
      </c>
      <c r="AP1522" t="s">
        <v>163</v>
      </c>
      <c r="AQ1522">
        <v>9</v>
      </c>
      <c r="AR1522" t="s">
        <v>123</v>
      </c>
      <c r="AS1522" t="s">
        <v>124</v>
      </c>
      <c r="AT1522" t="s">
        <v>58</v>
      </c>
      <c r="AU1522" t="s">
        <v>68</v>
      </c>
      <c r="AV1522" t="s">
        <v>69</v>
      </c>
      <c r="AW1522" s="1">
        <v>25769</v>
      </c>
      <c r="AX1522">
        <v>2</v>
      </c>
    </row>
    <row r="1523" spans="1:50">
      <c r="A1523">
        <v>150594</v>
      </c>
      <c r="B1523" t="str">
        <f>"028666354"</f>
        <v>028666354</v>
      </c>
      <c r="C1523" t="s">
        <v>50</v>
      </c>
      <c r="D1523" t="s">
        <v>3377</v>
      </c>
      <c r="E1523" t="s">
        <v>755</v>
      </c>
      <c r="F1523" t="s">
        <v>1328</v>
      </c>
      <c r="G1523" t="s">
        <v>52</v>
      </c>
      <c r="H1523" t="str">
        <f>"ΘΕΟΤΚΟΠΟΥΛΟΥ 7 ΗΡΑΚΛΕΙΟ"</f>
        <v>ΘΕΟΤΚΟΠΟΥΛΟΥ 7 ΗΡΑΚΛΕΙΟ</v>
      </c>
      <c r="I1523">
        <v>71202</v>
      </c>
      <c r="J1523">
        <v>2810343381</v>
      </c>
      <c r="K1523">
        <v>6983184430</v>
      </c>
      <c r="N1523" t="s">
        <v>146</v>
      </c>
      <c r="O1523" t="s">
        <v>147</v>
      </c>
      <c r="R1523" t="s">
        <v>57</v>
      </c>
      <c r="S1523">
        <v>16</v>
      </c>
      <c r="T1523">
        <v>170</v>
      </c>
      <c r="U1523" s="1">
        <v>32016</v>
      </c>
      <c r="V1523" t="s">
        <v>123</v>
      </c>
      <c r="W1523" t="s">
        <v>124</v>
      </c>
      <c r="X1523" t="s">
        <v>58</v>
      </c>
      <c r="Y1523">
        <v>18</v>
      </c>
      <c r="Z1523" t="s">
        <v>59</v>
      </c>
      <c r="AA1523" t="s">
        <v>59</v>
      </c>
      <c r="AB1523" t="s">
        <v>59</v>
      </c>
      <c r="AC1523" t="s">
        <v>59</v>
      </c>
      <c r="AD1523" t="s">
        <v>59</v>
      </c>
      <c r="AF1523" s="1">
        <v>32023</v>
      </c>
      <c r="AG1523" t="s">
        <v>148</v>
      </c>
      <c r="AH1523" t="s">
        <v>149</v>
      </c>
      <c r="AI1523" t="str">
        <f>"1751040"</f>
        <v>1751040</v>
      </c>
      <c r="AJ1523" t="s">
        <v>178</v>
      </c>
      <c r="AK1523">
        <v>2810252495</v>
      </c>
      <c r="AL1523" t="s">
        <v>179</v>
      </c>
      <c r="AM1523" t="s">
        <v>78</v>
      </c>
      <c r="AN1523" t="s">
        <v>78</v>
      </c>
      <c r="AO1523" t="s">
        <v>78</v>
      </c>
      <c r="AP1523" t="s">
        <v>141</v>
      </c>
      <c r="AQ1523">
        <v>3</v>
      </c>
      <c r="AR1523" t="s">
        <v>123</v>
      </c>
      <c r="AS1523" t="s">
        <v>124</v>
      </c>
      <c r="AT1523" t="s">
        <v>58</v>
      </c>
      <c r="AU1523" t="s">
        <v>68</v>
      </c>
      <c r="AV1523" t="s">
        <v>69</v>
      </c>
      <c r="AW1523" s="1">
        <v>21947</v>
      </c>
      <c r="AX1523">
        <v>2</v>
      </c>
    </row>
    <row r="1524" spans="1:50">
      <c r="A1524">
        <v>206222</v>
      </c>
      <c r="B1524" t="str">
        <f>"114286884"</f>
        <v>114286884</v>
      </c>
      <c r="C1524" t="s">
        <v>50</v>
      </c>
      <c r="D1524" t="s">
        <v>3377</v>
      </c>
      <c r="E1524" t="s">
        <v>83</v>
      </c>
      <c r="F1524" t="s">
        <v>53</v>
      </c>
      <c r="G1524" t="s">
        <v>155</v>
      </c>
      <c r="H1524" t="str">
        <f>"ΑΒΔΗΡΩΝ 15 ΗΡΑΚΛΕΙΟ"</f>
        <v>ΑΒΔΗΡΩΝ 15 ΗΡΑΚΛΕΙΟ</v>
      </c>
      <c r="I1524">
        <v>71409</v>
      </c>
      <c r="J1524">
        <v>2814001657</v>
      </c>
      <c r="K1524">
        <v>6974237088</v>
      </c>
      <c r="M1524" t="s">
        <v>3380</v>
      </c>
      <c r="N1524" t="s">
        <v>292</v>
      </c>
      <c r="O1524" t="s">
        <v>293</v>
      </c>
      <c r="R1524" t="s">
        <v>57</v>
      </c>
      <c r="S1524">
        <v>6</v>
      </c>
      <c r="T1524">
        <v>301</v>
      </c>
      <c r="U1524" s="1">
        <v>38302</v>
      </c>
      <c r="V1524" t="s">
        <v>123</v>
      </c>
      <c r="W1524" t="s">
        <v>124</v>
      </c>
      <c r="X1524" t="s">
        <v>58</v>
      </c>
      <c r="Y1524">
        <v>20</v>
      </c>
      <c r="Z1524" t="s">
        <v>59</v>
      </c>
      <c r="AA1524" t="s">
        <v>59</v>
      </c>
      <c r="AB1524" t="s">
        <v>59</v>
      </c>
      <c r="AC1524" t="s">
        <v>59</v>
      </c>
      <c r="AD1524" t="s">
        <v>59</v>
      </c>
      <c r="AF1524" s="1">
        <v>38307</v>
      </c>
      <c r="AG1524" t="s">
        <v>125</v>
      </c>
      <c r="AH1524" t="s">
        <v>126</v>
      </c>
      <c r="AI1524" t="str">
        <f>"1728010"</f>
        <v>1728010</v>
      </c>
      <c r="AJ1524" t="s">
        <v>127</v>
      </c>
      <c r="AK1524">
        <v>2810824651</v>
      </c>
      <c r="AL1524" t="s">
        <v>128</v>
      </c>
      <c r="AM1524" t="s">
        <v>78</v>
      </c>
      <c r="AN1524" t="s">
        <v>129</v>
      </c>
      <c r="AO1524" t="s">
        <v>130</v>
      </c>
      <c r="AP1524" t="s">
        <v>130</v>
      </c>
      <c r="AQ1524">
        <v>36</v>
      </c>
      <c r="AR1524" t="s">
        <v>123</v>
      </c>
      <c r="AS1524" t="s">
        <v>124</v>
      </c>
      <c r="AT1524" t="s">
        <v>58</v>
      </c>
      <c r="AU1524" t="s">
        <v>68</v>
      </c>
      <c r="AV1524" t="s">
        <v>69</v>
      </c>
      <c r="AW1524" s="1">
        <v>29322</v>
      </c>
      <c r="AX1524">
        <v>2</v>
      </c>
    </row>
    <row r="1525" spans="1:50">
      <c r="A1525">
        <v>218173</v>
      </c>
      <c r="B1525" t="str">
        <f>"070952305"</f>
        <v>070952305</v>
      </c>
      <c r="C1525" t="s">
        <v>50</v>
      </c>
      <c r="D1525" t="s">
        <v>3377</v>
      </c>
      <c r="E1525" t="s">
        <v>112</v>
      </c>
      <c r="F1525" t="s">
        <v>99</v>
      </c>
      <c r="G1525" t="s">
        <v>255</v>
      </c>
      <c r="H1525" t="str">
        <f>" "</f>
        <v xml:space="preserve"> </v>
      </c>
      <c r="K1525">
        <v>6978183549</v>
      </c>
      <c r="M1525" t="s">
        <v>3381</v>
      </c>
      <c r="N1525" t="s">
        <v>292</v>
      </c>
      <c r="O1525" t="s">
        <v>293</v>
      </c>
      <c r="R1525" t="s">
        <v>57</v>
      </c>
      <c r="S1525">
        <v>7</v>
      </c>
      <c r="T1525">
        <v>599</v>
      </c>
      <c r="U1525" s="1">
        <v>39310</v>
      </c>
      <c r="V1525" t="s">
        <v>123</v>
      </c>
      <c r="W1525" t="s">
        <v>124</v>
      </c>
      <c r="X1525" t="s">
        <v>58</v>
      </c>
      <c r="Y1525">
        <v>21</v>
      </c>
      <c r="Z1525" t="s">
        <v>59</v>
      </c>
      <c r="AA1525" t="s">
        <v>59</v>
      </c>
      <c r="AB1525" t="s">
        <v>59</v>
      </c>
      <c r="AC1525" t="s">
        <v>59</v>
      </c>
      <c r="AD1525" t="s">
        <v>59</v>
      </c>
      <c r="AF1525" s="1">
        <v>39328</v>
      </c>
      <c r="AG1525" t="s">
        <v>148</v>
      </c>
      <c r="AH1525" t="s">
        <v>149</v>
      </c>
      <c r="AI1525" t="str">
        <f>"1751070"</f>
        <v>1751070</v>
      </c>
      <c r="AJ1525" t="s">
        <v>1435</v>
      </c>
      <c r="AK1525">
        <v>2810771016</v>
      </c>
      <c r="AL1525" t="s">
        <v>1436</v>
      </c>
      <c r="AM1525" t="s">
        <v>78</v>
      </c>
      <c r="AN1525" t="s">
        <v>219</v>
      </c>
      <c r="AO1525" t="s">
        <v>1437</v>
      </c>
      <c r="AP1525" t="s">
        <v>1437</v>
      </c>
      <c r="AQ1525">
        <v>21</v>
      </c>
      <c r="AR1525" t="s">
        <v>123</v>
      </c>
      <c r="AS1525" t="s">
        <v>124</v>
      </c>
      <c r="AT1525" t="s">
        <v>58</v>
      </c>
      <c r="AU1525" t="s">
        <v>68</v>
      </c>
      <c r="AV1525" t="s">
        <v>69</v>
      </c>
      <c r="AW1525" s="1">
        <v>29604</v>
      </c>
      <c r="AX1525">
        <v>2</v>
      </c>
    </row>
    <row r="1526" spans="1:50">
      <c r="A1526">
        <v>210713</v>
      </c>
      <c r="B1526" t="str">
        <f>"119687841"</f>
        <v>119687841</v>
      </c>
      <c r="C1526" t="s">
        <v>50</v>
      </c>
      <c r="D1526" t="s">
        <v>3377</v>
      </c>
      <c r="E1526" t="s">
        <v>255</v>
      </c>
      <c r="F1526" t="s">
        <v>1679</v>
      </c>
      <c r="G1526" t="s">
        <v>52</v>
      </c>
      <c r="H1526" t="str">
        <f>"ΘΕΟΦΑΝΟΥΣ 42 ΗΡΑΚΛΕΙΟ"</f>
        <v>ΘΕΟΦΑΝΟΥΣ 42 ΗΡΑΚΛΕΙΟ</v>
      </c>
      <c r="I1526">
        <v>71305</v>
      </c>
      <c r="J1526">
        <v>2810234276</v>
      </c>
      <c r="K1526">
        <v>6946841340</v>
      </c>
      <c r="M1526" t="s">
        <v>3382</v>
      </c>
      <c r="N1526" t="s">
        <v>478</v>
      </c>
      <c r="O1526" t="s">
        <v>479</v>
      </c>
      <c r="R1526" t="s">
        <v>57</v>
      </c>
      <c r="S1526">
        <v>8</v>
      </c>
      <c r="T1526">
        <v>256</v>
      </c>
      <c r="U1526" s="1">
        <v>38624</v>
      </c>
      <c r="V1526" t="s">
        <v>123</v>
      </c>
      <c r="W1526" t="s">
        <v>124</v>
      </c>
      <c r="X1526" t="s">
        <v>58</v>
      </c>
      <c r="Y1526">
        <v>20</v>
      </c>
      <c r="Z1526" t="s">
        <v>59</v>
      </c>
      <c r="AA1526" t="s">
        <v>59</v>
      </c>
      <c r="AB1526" t="s">
        <v>59</v>
      </c>
      <c r="AC1526" t="s">
        <v>59</v>
      </c>
      <c r="AD1526" t="s">
        <v>59</v>
      </c>
      <c r="AF1526" s="1">
        <v>38625</v>
      </c>
      <c r="AG1526" t="s">
        <v>125</v>
      </c>
      <c r="AH1526" t="s">
        <v>126</v>
      </c>
      <c r="AI1526" t="str">
        <f>"1710010"</f>
        <v>1710010</v>
      </c>
      <c r="AJ1526" t="s">
        <v>595</v>
      </c>
      <c r="AK1526">
        <v>2810711220</v>
      </c>
      <c r="AL1526" t="s">
        <v>596</v>
      </c>
      <c r="AM1526" t="s">
        <v>78</v>
      </c>
      <c r="AN1526" t="s">
        <v>129</v>
      </c>
      <c r="AO1526" t="s">
        <v>597</v>
      </c>
      <c r="AP1526" t="s">
        <v>598</v>
      </c>
      <c r="AQ1526">
        <v>28</v>
      </c>
      <c r="AR1526" t="s">
        <v>123</v>
      </c>
      <c r="AS1526" t="s">
        <v>124</v>
      </c>
      <c r="AT1526" t="s">
        <v>58</v>
      </c>
      <c r="AU1526" t="s">
        <v>68</v>
      </c>
      <c r="AV1526" t="s">
        <v>69</v>
      </c>
      <c r="AW1526" s="1">
        <v>29491</v>
      </c>
      <c r="AX1526">
        <v>2</v>
      </c>
    </row>
    <row r="1527" spans="1:50">
      <c r="A1527">
        <v>200941</v>
      </c>
      <c r="B1527" t="str">
        <f>"056870436"</f>
        <v>056870436</v>
      </c>
      <c r="C1527" t="s">
        <v>50</v>
      </c>
      <c r="D1527" t="s">
        <v>3377</v>
      </c>
      <c r="E1527" t="s">
        <v>255</v>
      </c>
      <c r="F1527" t="s">
        <v>53</v>
      </c>
      <c r="G1527" t="s">
        <v>83</v>
      </c>
      <c r="H1527" t="str">
        <f>"ΕΛΙΚΩΝΟΣ 8 ΗΛΙΟΥΠΟΛΗ"</f>
        <v>ΕΛΙΚΩΝΟΣ 8 ΗΛΙΟΥΠΟΛΗ</v>
      </c>
      <c r="I1527">
        <v>16344</v>
      </c>
      <c r="J1527">
        <v>2109755896</v>
      </c>
      <c r="K1527">
        <v>6977017267</v>
      </c>
      <c r="L1527">
        <v>2831053251</v>
      </c>
      <c r="M1527" t="s">
        <v>3383</v>
      </c>
      <c r="N1527" t="s">
        <v>204</v>
      </c>
      <c r="O1527" t="s">
        <v>205</v>
      </c>
      <c r="R1527" t="s">
        <v>57</v>
      </c>
      <c r="S1527">
        <v>13</v>
      </c>
      <c r="T1527">
        <v>54</v>
      </c>
      <c r="U1527" s="1">
        <v>37687</v>
      </c>
      <c r="V1527" t="s">
        <v>123</v>
      </c>
      <c r="W1527" t="s">
        <v>124</v>
      </c>
      <c r="X1527" t="s">
        <v>58</v>
      </c>
      <c r="Y1527">
        <v>22</v>
      </c>
      <c r="Z1527" t="s">
        <v>59</v>
      </c>
      <c r="AA1527" t="s">
        <v>59</v>
      </c>
      <c r="AB1527" t="s">
        <v>59</v>
      </c>
      <c r="AC1527" t="s">
        <v>59</v>
      </c>
      <c r="AD1527" t="s">
        <v>452</v>
      </c>
      <c r="AE1527" s="1">
        <v>43708</v>
      </c>
      <c r="AF1527" s="1">
        <v>37711</v>
      </c>
      <c r="AG1527" t="s">
        <v>60</v>
      </c>
      <c r="AH1527" t="s">
        <v>453</v>
      </c>
      <c r="AI1527" t="str">
        <f>"1700105"</f>
        <v>1700105</v>
      </c>
      <c r="AJ1527" t="s">
        <v>124</v>
      </c>
      <c r="AK1527">
        <v>2810333720</v>
      </c>
      <c r="AL1527" t="s">
        <v>454</v>
      </c>
      <c r="AM1527" t="s">
        <v>78</v>
      </c>
      <c r="AN1527" t="s">
        <v>78</v>
      </c>
      <c r="AO1527" t="s">
        <v>78</v>
      </c>
      <c r="AP1527" t="s">
        <v>79</v>
      </c>
      <c r="AS1527" t="s">
        <v>124</v>
      </c>
      <c r="AT1527" t="s">
        <v>58</v>
      </c>
      <c r="AU1527" t="s">
        <v>68</v>
      </c>
      <c r="AV1527" t="s">
        <v>455</v>
      </c>
      <c r="AW1527" s="1">
        <v>26651</v>
      </c>
      <c r="AX1527">
        <v>2</v>
      </c>
    </row>
    <row r="1528" spans="1:50">
      <c r="A1528">
        <v>169122</v>
      </c>
      <c r="B1528" t="str">
        <f>"031429138"</f>
        <v>031429138</v>
      </c>
      <c r="C1528" t="s">
        <v>50</v>
      </c>
      <c r="D1528" t="s">
        <v>3377</v>
      </c>
      <c r="E1528" t="s">
        <v>52</v>
      </c>
      <c r="F1528" t="s">
        <v>459</v>
      </c>
      <c r="G1528" t="s">
        <v>250</v>
      </c>
      <c r="H1528" t="str">
        <f>"Β.ΣΜΠΩΚΟΥ 35 ΗΡΑΚΛΕΙΟ"</f>
        <v>Β.ΣΜΠΩΚΟΥ 35 ΗΡΑΚΛΕΙΟ</v>
      </c>
      <c r="J1528">
        <v>2897042901</v>
      </c>
      <c r="K1528">
        <v>6948580557</v>
      </c>
      <c r="M1528" t="s">
        <v>3384</v>
      </c>
      <c r="N1528" t="s">
        <v>204</v>
      </c>
      <c r="O1528" t="s">
        <v>205</v>
      </c>
      <c r="R1528" t="s">
        <v>57</v>
      </c>
      <c r="S1528">
        <v>14</v>
      </c>
      <c r="T1528">
        <v>159</v>
      </c>
      <c r="U1528" s="1">
        <v>34582</v>
      </c>
      <c r="V1528" t="s">
        <v>123</v>
      </c>
      <c r="W1528" t="s">
        <v>124</v>
      </c>
      <c r="X1528" t="s">
        <v>58</v>
      </c>
      <c r="Y1528">
        <v>18</v>
      </c>
      <c r="Z1528" t="s">
        <v>59</v>
      </c>
      <c r="AA1528" t="s">
        <v>59</v>
      </c>
      <c r="AB1528" t="s">
        <v>59</v>
      </c>
      <c r="AC1528" t="s">
        <v>59</v>
      </c>
      <c r="AD1528" t="s">
        <v>59</v>
      </c>
      <c r="AF1528" s="1">
        <v>34583</v>
      </c>
      <c r="AG1528" t="s">
        <v>125</v>
      </c>
      <c r="AH1528" t="s">
        <v>126</v>
      </c>
      <c r="AI1528" t="str">
        <f>"1701020"</f>
        <v>1701020</v>
      </c>
      <c r="AJ1528" t="s">
        <v>323</v>
      </c>
      <c r="AK1528">
        <v>2810252111</v>
      </c>
      <c r="AL1528" t="s">
        <v>324</v>
      </c>
      <c r="AM1528" t="s">
        <v>78</v>
      </c>
      <c r="AN1528" t="s">
        <v>78</v>
      </c>
      <c r="AO1528" t="s">
        <v>78</v>
      </c>
      <c r="AP1528" t="s">
        <v>163</v>
      </c>
      <c r="AQ1528">
        <v>3</v>
      </c>
      <c r="AR1528" t="s">
        <v>123</v>
      </c>
      <c r="AS1528" t="s">
        <v>124</v>
      </c>
      <c r="AT1528" t="s">
        <v>58</v>
      </c>
      <c r="AU1528" t="s">
        <v>68</v>
      </c>
      <c r="AV1528" t="s">
        <v>69</v>
      </c>
      <c r="AW1528" s="1">
        <v>24286</v>
      </c>
      <c r="AX1528">
        <v>2</v>
      </c>
    </row>
    <row r="1529" spans="1:50">
      <c r="B1529" t="str">
        <f>"058521477"</f>
        <v>058521477</v>
      </c>
      <c r="C1529" t="s">
        <v>50</v>
      </c>
      <c r="D1529" t="s">
        <v>3377</v>
      </c>
      <c r="E1529" t="s">
        <v>52</v>
      </c>
      <c r="F1529" t="s">
        <v>95</v>
      </c>
      <c r="G1529" t="s">
        <v>620</v>
      </c>
      <c r="H1529" t="str">
        <f>"ΜΥΣΤΡΑ 31 ΗΡΑΚΛΕΙΟ"</f>
        <v>ΜΥΣΤΡΑ 31 ΗΡΑΚΛΕΙΟ</v>
      </c>
      <c r="I1529">
        <v>71305</v>
      </c>
      <c r="J1529">
        <v>2814004024</v>
      </c>
      <c r="K1529">
        <v>6937220805</v>
      </c>
      <c r="M1529" t="s">
        <v>3385</v>
      </c>
      <c r="N1529" t="s">
        <v>292</v>
      </c>
      <c r="O1529" t="s">
        <v>293</v>
      </c>
      <c r="R1529" t="s">
        <v>159</v>
      </c>
      <c r="S1529">
        <v>3</v>
      </c>
      <c r="T1529" t="s">
        <v>160</v>
      </c>
      <c r="U1529" s="1">
        <v>43364</v>
      </c>
      <c r="V1529" t="s">
        <v>123</v>
      </c>
      <c r="W1529" t="s">
        <v>124</v>
      </c>
      <c r="X1529" t="s">
        <v>58</v>
      </c>
      <c r="Y1529">
        <v>23</v>
      </c>
      <c r="Z1529" t="s">
        <v>59</v>
      </c>
      <c r="AA1529" t="s">
        <v>59</v>
      </c>
      <c r="AB1529" t="s">
        <v>59</v>
      </c>
      <c r="AC1529" t="s">
        <v>59</v>
      </c>
      <c r="AD1529" t="s">
        <v>59</v>
      </c>
      <c r="AF1529" s="1">
        <v>43367</v>
      </c>
      <c r="AG1529" t="s">
        <v>148</v>
      </c>
      <c r="AH1529" t="s">
        <v>149</v>
      </c>
      <c r="AI1529" t="str">
        <f>"1765010"</f>
        <v>1765010</v>
      </c>
      <c r="AJ1529" t="s">
        <v>803</v>
      </c>
      <c r="AK1529">
        <v>2893031093</v>
      </c>
      <c r="AL1529" t="s">
        <v>804</v>
      </c>
      <c r="AM1529" t="s">
        <v>78</v>
      </c>
      <c r="AN1529" t="s">
        <v>405</v>
      </c>
      <c r="AO1529" t="s">
        <v>805</v>
      </c>
      <c r="AP1529" t="s">
        <v>806</v>
      </c>
      <c r="AQ1529">
        <v>25</v>
      </c>
      <c r="AR1529" t="s">
        <v>123</v>
      </c>
      <c r="AS1529" t="s">
        <v>124</v>
      </c>
      <c r="AT1529" t="s">
        <v>58</v>
      </c>
      <c r="AU1529" t="s">
        <v>164</v>
      </c>
      <c r="AV1529" t="s">
        <v>132</v>
      </c>
      <c r="AW1529" s="1">
        <v>27851</v>
      </c>
      <c r="AX1529">
        <v>2</v>
      </c>
    </row>
    <row r="1530" spans="1:50">
      <c r="A1530">
        <v>145858</v>
      </c>
      <c r="B1530" t="str">
        <f>"119668537"</f>
        <v>119668537</v>
      </c>
      <c r="C1530" t="s">
        <v>50</v>
      </c>
      <c r="D1530" t="s">
        <v>3377</v>
      </c>
      <c r="E1530" t="s">
        <v>52</v>
      </c>
      <c r="F1530" t="s">
        <v>311</v>
      </c>
      <c r="G1530" t="s">
        <v>3386</v>
      </c>
      <c r="H1530" t="str">
        <f>"ΑΡΧΙΜΗΔΟΥΣ  45 ΝΕΑ ΑΛΙΚΑΡΝΑΣΣΟΣ"</f>
        <v>ΑΡΧΙΜΗΔΟΥΣ  45 ΝΕΑ ΑΛΙΚΑΡΝΑΣΣΟΣ</v>
      </c>
      <c r="I1530">
        <v>71601</v>
      </c>
      <c r="J1530">
        <v>2810221148</v>
      </c>
      <c r="K1530">
        <v>6985827095</v>
      </c>
      <c r="M1530" t="s">
        <v>2696</v>
      </c>
      <c r="N1530" t="s">
        <v>146</v>
      </c>
      <c r="O1530" t="s">
        <v>147</v>
      </c>
      <c r="R1530" t="s">
        <v>57</v>
      </c>
      <c r="S1530">
        <v>16</v>
      </c>
      <c r="T1530">
        <v>237</v>
      </c>
      <c r="U1530" s="1">
        <v>31293</v>
      </c>
      <c r="V1530" t="s">
        <v>123</v>
      </c>
      <c r="W1530" t="s">
        <v>124</v>
      </c>
      <c r="X1530" t="s">
        <v>58</v>
      </c>
      <c r="Y1530">
        <v>18</v>
      </c>
      <c r="Z1530" t="s">
        <v>59</v>
      </c>
      <c r="AA1530" t="s">
        <v>59</v>
      </c>
      <c r="AB1530" t="s">
        <v>59</v>
      </c>
      <c r="AC1530" t="s">
        <v>59</v>
      </c>
      <c r="AD1530" t="s">
        <v>59</v>
      </c>
      <c r="AF1530" s="1">
        <v>31307</v>
      </c>
      <c r="AG1530" t="s">
        <v>148</v>
      </c>
      <c r="AH1530" t="s">
        <v>149</v>
      </c>
      <c r="AI1530" t="str">
        <f>"1777010"</f>
        <v>1777010</v>
      </c>
      <c r="AJ1530" t="s">
        <v>612</v>
      </c>
      <c r="AK1530">
        <v>2810229220</v>
      </c>
      <c r="AL1530" t="s">
        <v>613</v>
      </c>
      <c r="AM1530" t="s">
        <v>78</v>
      </c>
      <c r="AN1530" t="s">
        <v>78</v>
      </c>
      <c r="AO1530" t="s">
        <v>286</v>
      </c>
      <c r="AP1530" t="s">
        <v>286</v>
      </c>
      <c r="AQ1530">
        <v>12</v>
      </c>
      <c r="AR1530" t="s">
        <v>123</v>
      </c>
      <c r="AS1530" t="s">
        <v>124</v>
      </c>
      <c r="AT1530" t="s">
        <v>58</v>
      </c>
      <c r="AU1530" t="s">
        <v>68</v>
      </c>
      <c r="AV1530" t="s">
        <v>69</v>
      </c>
      <c r="AW1530" s="1">
        <v>21759</v>
      </c>
      <c r="AX1530">
        <v>2</v>
      </c>
    </row>
    <row r="1531" spans="1:50">
      <c r="A1531">
        <v>177006</v>
      </c>
      <c r="B1531" t="str">
        <f>"033559832"</f>
        <v>033559832</v>
      </c>
      <c r="C1531" t="s">
        <v>50</v>
      </c>
      <c r="D1531" t="s">
        <v>3377</v>
      </c>
      <c r="E1531" t="s">
        <v>507</v>
      </c>
      <c r="F1531" t="s">
        <v>106</v>
      </c>
      <c r="G1531" t="s">
        <v>52</v>
      </c>
      <c r="H1531" t="str">
        <f>"Στ.Νικολαιδη Ηράκλειο"</f>
        <v>Στ.Νικολαιδη Ηράκλειο</v>
      </c>
      <c r="I1531">
        <v>71305</v>
      </c>
      <c r="J1531">
        <v>2810312046</v>
      </c>
      <c r="K1531">
        <v>6974111962</v>
      </c>
      <c r="M1531" t="s">
        <v>3387</v>
      </c>
      <c r="N1531" t="s">
        <v>299</v>
      </c>
      <c r="O1531" t="s">
        <v>300</v>
      </c>
      <c r="P1531" t="s">
        <v>615</v>
      </c>
      <c r="Q1531" t="s">
        <v>616</v>
      </c>
      <c r="R1531" t="s">
        <v>57</v>
      </c>
      <c r="S1531">
        <v>13</v>
      </c>
      <c r="T1531">
        <v>180</v>
      </c>
      <c r="U1531" s="1">
        <v>35674</v>
      </c>
      <c r="V1531" t="s">
        <v>123</v>
      </c>
      <c r="W1531" t="s">
        <v>124</v>
      </c>
      <c r="X1531" t="s">
        <v>58</v>
      </c>
      <c r="Y1531">
        <v>18</v>
      </c>
      <c r="Z1531" t="s">
        <v>59</v>
      </c>
      <c r="AA1531" t="s">
        <v>59</v>
      </c>
      <c r="AB1531" t="s">
        <v>59</v>
      </c>
      <c r="AC1531" t="s">
        <v>59</v>
      </c>
      <c r="AD1531" t="s">
        <v>59</v>
      </c>
      <c r="AF1531" s="1">
        <v>35678</v>
      </c>
      <c r="AG1531" t="s">
        <v>148</v>
      </c>
      <c r="AH1531" t="s">
        <v>149</v>
      </c>
      <c r="AI1531" t="str">
        <f>"1751040"</f>
        <v>1751040</v>
      </c>
      <c r="AJ1531" t="s">
        <v>178</v>
      </c>
      <c r="AK1531">
        <v>2810252495</v>
      </c>
      <c r="AL1531" t="s">
        <v>179</v>
      </c>
      <c r="AM1531" t="s">
        <v>78</v>
      </c>
      <c r="AN1531" t="s">
        <v>78</v>
      </c>
      <c r="AO1531" t="s">
        <v>78</v>
      </c>
      <c r="AP1531" t="s">
        <v>141</v>
      </c>
      <c r="AQ1531">
        <v>3</v>
      </c>
      <c r="AR1531" t="s">
        <v>123</v>
      </c>
      <c r="AS1531" t="s">
        <v>124</v>
      </c>
      <c r="AT1531" t="s">
        <v>58</v>
      </c>
      <c r="AU1531" t="s">
        <v>68</v>
      </c>
      <c r="AV1531" t="s">
        <v>69</v>
      </c>
      <c r="AW1531" s="1">
        <v>22783</v>
      </c>
      <c r="AX1531">
        <v>2</v>
      </c>
    </row>
    <row r="1532" spans="1:50">
      <c r="A1532">
        <v>196827</v>
      </c>
      <c r="B1532" t="str">
        <f>"072769764"</f>
        <v>072769764</v>
      </c>
      <c r="C1532" t="s">
        <v>105</v>
      </c>
      <c r="D1532" t="s">
        <v>3388</v>
      </c>
      <c r="E1532" t="s">
        <v>377</v>
      </c>
      <c r="F1532" t="s">
        <v>3389</v>
      </c>
      <c r="G1532" t="s">
        <v>1074</v>
      </c>
      <c r="H1532" t="str">
        <f>"ΜΙΛΤΙΑΔΟΥ 21 ΗΡΑΚΛΕΙΟ"</f>
        <v>ΜΙΛΤΙΑΔΟΥ 21 ΗΡΑΚΛΕΙΟ</v>
      </c>
      <c r="I1532">
        <v>71307</v>
      </c>
      <c r="J1532">
        <v>2810344041</v>
      </c>
      <c r="K1532">
        <v>6976787316</v>
      </c>
      <c r="N1532" t="s">
        <v>157</v>
      </c>
      <c r="O1532" t="s">
        <v>158</v>
      </c>
      <c r="R1532" t="s">
        <v>57</v>
      </c>
      <c r="S1532">
        <v>10</v>
      </c>
      <c r="T1532">
        <v>206</v>
      </c>
      <c r="U1532" s="1">
        <v>37866</v>
      </c>
      <c r="V1532" t="s">
        <v>123</v>
      </c>
      <c r="W1532" t="s">
        <v>124</v>
      </c>
      <c r="X1532" t="s">
        <v>58</v>
      </c>
      <c r="Y1532">
        <v>18</v>
      </c>
      <c r="Z1532" t="s">
        <v>59</v>
      </c>
      <c r="AA1532" t="s">
        <v>59</v>
      </c>
      <c r="AB1532" t="s">
        <v>59</v>
      </c>
      <c r="AC1532" t="s">
        <v>59</v>
      </c>
      <c r="AD1532" t="s">
        <v>59</v>
      </c>
      <c r="AF1532" s="1">
        <v>37866</v>
      </c>
      <c r="AG1532" t="s">
        <v>125</v>
      </c>
      <c r="AH1532" t="s">
        <v>126</v>
      </c>
      <c r="AI1532" t="str">
        <f>"1727010"</f>
        <v>1727010</v>
      </c>
      <c r="AJ1532" t="s">
        <v>618</v>
      </c>
      <c r="AK1532">
        <v>2810229231</v>
      </c>
      <c r="AL1532" t="s">
        <v>619</v>
      </c>
      <c r="AM1532" t="s">
        <v>78</v>
      </c>
      <c r="AN1532" t="s">
        <v>78</v>
      </c>
      <c r="AO1532" t="s">
        <v>286</v>
      </c>
      <c r="AP1532" t="s">
        <v>286</v>
      </c>
      <c r="AQ1532">
        <v>12</v>
      </c>
      <c r="AR1532" t="s">
        <v>123</v>
      </c>
      <c r="AS1532" t="s">
        <v>124</v>
      </c>
      <c r="AT1532" t="s">
        <v>58</v>
      </c>
      <c r="AU1532" t="s">
        <v>68</v>
      </c>
      <c r="AV1532" t="s">
        <v>69</v>
      </c>
      <c r="AW1532" s="1">
        <v>23161</v>
      </c>
      <c r="AX1532">
        <v>2</v>
      </c>
    </row>
    <row r="1533" spans="1:50">
      <c r="A1533">
        <v>175942</v>
      </c>
      <c r="B1533" t="str">
        <f>"032837617"</f>
        <v>032837617</v>
      </c>
      <c r="C1533" t="s">
        <v>105</v>
      </c>
      <c r="D1533" t="s">
        <v>3388</v>
      </c>
      <c r="E1533" t="s">
        <v>377</v>
      </c>
      <c r="F1533" t="s">
        <v>459</v>
      </c>
      <c r="G1533" t="s">
        <v>250</v>
      </c>
      <c r="H1533" t="str">
        <f>" "</f>
        <v xml:space="preserve"> </v>
      </c>
      <c r="M1533" t="s">
        <v>3390</v>
      </c>
      <c r="N1533" t="s">
        <v>292</v>
      </c>
      <c r="O1533" t="s">
        <v>293</v>
      </c>
      <c r="R1533" t="s">
        <v>57</v>
      </c>
      <c r="S1533">
        <v>11</v>
      </c>
      <c r="T1533">
        <v>180</v>
      </c>
      <c r="U1533" s="1">
        <v>35674</v>
      </c>
      <c r="V1533" t="s">
        <v>123</v>
      </c>
      <c r="W1533" t="s">
        <v>124</v>
      </c>
      <c r="X1533" t="s">
        <v>58</v>
      </c>
      <c r="Y1533">
        <v>18</v>
      </c>
      <c r="Z1533" t="s">
        <v>59</v>
      </c>
      <c r="AA1533" t="s">
        <v>59</v>
      </c>
      <c r="AB1533" t="s">
        <v>59</v>
      </c>
      <c r="AC1533" t="s">
        <v>59</v>
      </c>
      <c r="AD1533" t="s">
        <v>59</v>
      </c>
      <c r="AF1533" s="1">
        <v>35677</v>
      </c>
      <c r="AG1533" t="s">
        <v>125</v>
      </c>
      <c r="AH1533" t="s">
        <v>126</v>
      </c>
      <c r="AI1533" t="str">
        <f>"1701040"</f>
        <v>1701040</v>
      </c>
      <c r="AJ1533" t="s">
        <v>748</v>
      </c>
      <c r="AK1533">
        <v>2810252459</v>
      </c>
      <c r="AL1533" t="s">
        <v>749</v>
      </c>
      <c r="AM1533" t="s">
        <v>78</v>
      </c>
      <c r="AN1533" t="s">
        <v>78</v>
      </c>
      <c r="AO1533" t="s">
        <v>78</v>
      </c>
      <c r="AP1533" t="s">
        <v>141</v>
      </c>
      <c r="AQ1533">
        <v>3</v>
      </c>
      <c r="AR1533" t="s">
        <v>123</v>
      </c>
      <c r="AS1533" t="s">
        <v>124</v>
      </c>
      <c r="AT1533" t="s">
        <v>58</v>
      </c>
      <c r="AU1533" t="s">
        <v>68</v>
      </c>
      <c r="AV1533" t="s">
        <v>69</v>
      </c>
      <c r="AW1533" s="1">
        <v>22168</v>
      </c>
      <c r="AX1533">
        <v>2</v>
      </c>
    </row>
    <row r="1534" spans="1:50">
      <c r="A1534">
        <v>147791</v>
      </c>
      <c r="B1534" t="str">
        <f>"028947397"</f>
        <v>028947397</v>
      </c>
      <c r="C1534" t="s">
        <v>105</v>
      </c>
      <c r="D1534" t="s">
        <v>3388</v>
      </c>
      <c r="E1534" t="s">
        <v>72</v>
      </c>
      <c r="F1534" t="s">
        <v>95</v>
      </c>
      <c r="G1534" t="s">
        <v>112</v>
      </c>
      <c r="H1534" t="str">
        <f>"ΙΜΒΡΟΥ 7 "</f>
        <v xml:space="preserve">ΙΜΒΡΟΥ 7 </v>
      </c>
      <c r="I1534">
        <v>71306</v>
      </c>
      <c r="J1534">
        <v>2810226794</v>
      </c>
      <c r="K1534">
        <v>6978183545</v>
      </c>
      <c r="M1534" t="s">
        <v>3391</v>
      </c>
      <c r="N1534" t="s">
        <v>176</v>
      </c>
      <c r="O1534" t="s">
        <v>177</v>
      </c>
      <c r="R1534" t="s">
        <v>57</v>
      </c>
      <c r="S1534">
        <v>15</v>
      </c>
      <c r="T1534">
        <v>237</v>
      </c>
      <c r="U1534" s="1">
        <v>31293</v>
      </c>
      <c r="V1534" t="s">
        <v>123</v>
      </c>
      <c r="W1534" t="s">
        <v>124</v>
      </c>
      <c r="X1534" t="s">
        <v>58</v>
      </c>
      <c r="Y1534">
        <v>18</v>
      </c>
      <c r="Z1534" t="s">
        <v>59</v>
      </c>
      <c r="AA1534" t="s">
        <v>59</v>
      </c>
      <c r="AB1534" t="s">
        <v>59</v>
      </c>
      <c r="AC1534" t="s">
        <v>59</v>
      </c>
      <c r="AD1534" t="s">
        <v>59</v>
      </c>
      <c r="AF1534" s="1">
        <v>31303</v>
      </c>
      <c r="AG1534" t="s">
        <v>125</v>
      </c>
      <c r="AH1534" t="s">
        <v>126</v>
      </c>
      <c r="AI1534" t="str">
        <f>"1701010"</f>
        <v>1701010</v>
      </c>
      <c r="AJ1534" t="s">
        <v>374</v>
      </c>
      <c r="AK1534">
        <v>2810227148</v>
      </c>
      <c r="AL1534" t="s">
        <v>375</v>
      </c>
      <c r="AM1534" t="s">
        <v>78</v>
      </c>
      <c r="AN1534" t="s">
        <v>78</v>
      </c>
      <c r="AO1534" t="s">
        <v>78</v>
      </c>
      <c r="AP1534" t="s">
        <v>79</v>
      </c>
      <c r="AQ1534">
        <v>1</v>
      </c>
      <c r="AR1534" t="s">
        <v>123</v>
      </c>
      <c r="AS1534" t="s">
        <v>124</v>
      </c>
      <c r="AT1534" t="s">
        <v>58</v>
      </c>
      <c r="AU1534" t="s">
        <v>68</v>
      </c>
      <c r="AV1534" t="s">
        <v>69</v>
      </c>
      <c r="AW1534" s="1">
        <v>21692</v>
      </c>
      <c r="AX1534">
        <v>2</v>
      </c>
    </row>
    <row r="1535" spans="1:50">
      <c r="A1535">
        <v>143681</v>
      </c>
      <c r="B1535" t="str">
        <f>"026572298"</f>
        <v>026572298</v>
      </c>
      <c r="C1535" t="s">
        <v>105</v>
      </c>
      <c r="D1535" t="s">
        <v>3388</v>
      </c>
      <c r="E1535" t="s">
        <v>2580</v>
      </c>
      <c r="F1535" t="s">
        <v>95</v>
      </c>
      <c r="G1535" t="s">
        <v>787</v>
      </c>
      <c r="H1535" t="str">
        <f>"ΑΓΙΑ ΦΩΤΕΙΝΗ ΚΑΡΤΕΡΟΣ"</f>
        <v>ΑΓΙΑ ΦΩΤΕΙΝΗ ΚΑΡΤΕΡΟΣ</v>
      </c>
      <c r="I1535">
        <v>71500</v>
      </c>
      <c r="J1535">
        <v>2810380042</v>
      </c>
      <c r="K1535">
        <v>6978183547</v>
      </c>
      <c r="M1535" t="s">
        <v>3392</v>
      </c>
      <c r="N1535" t="s">
        <v>176</v>
      </c>
      <c r="O1535" t="s">
        <v>177</v>
      </c>
      <c r="R1535" t="s">
        <v>57</v>
      </c>
      <c r="S1535">
        <v>17</v>
      </c>
      <c r="T1535">
        <v>274</v>
      </c>
      <c r="U1535" s="1">
        <v>30550</v>
      </c>
      <c r="V1535" t="s">
        <v>123</v>
      </c>
      <c r="W1535" t="s">
        <v>124</v>
      </c>
      <c r="X1535" t="s">
        <v>58</v>
      </c>
      <c r="Y1535">
        <v>18</v>
      </c>
      <c r="Z1535" t="s">
        <v>59</v>
      </c>
      <c r="AA1535" t="s">
        <v>59</v>
      </c>
      <c r="AB1535" t="s">
        <v>59</v>
      </c>
      <c r="AC1535" t="s">
        <v>59</v>
      </c>
      <c r="AD1535" t="s">
        <v>59</v>
      </c>
      <c r="AF1535" s="1">
        <v>30561</v>
      </c>
      <c r="AG1535" t="s">
        <v>125</v>
      </c>
      <c r="AH1535" t="s">
        <v>126</v>
      </c>
      <c r="AI1535" t="str">
        <f>"1727010"</f>
        <v>1727010</v>
      </c>
      <c r="AJ1535" t="s">
        <v>618</v>
      </c>
      <c r="AK1535">
        <v>2810229231</v>
      </c>
      <c r="AL1535" t="s">
        <v>619</v>
      </c>
      <c r="AM1535" t="s">
        <v>78</v>
      </c>
      <c r="AN1535" t="s">
        <v>78</v>
      </c>
      <c r="AO1535" t="s">
        <v>286</v>
      </c>
      <c r="AP1535" t="s">
        <v>286</v>
      </c>
      <c r="AQ1535">
        <v>12</v>
      </c>
      <c r="AR1535" t="s">
        <v>123</v>
      </c>
      <c r="AS1535" t="s">
        <v>124</v>
      </c>
      <c r="AT1535" t="s">
        <v>58</v>
      </c>
      <c r="AU1535" t="s">
        <v>68</v>
      </c>
      <c r="AV1535" t="s">
        <v>69</v>
      </c>
      <c r="AW1535" s="1">
        <v>21262</v>
      </c>
      <c r="AX1535">
        <v>2</v>
      </c>
    </row>
    <row r="1536" spans="1:50">
      <c r="A1536">
        <v>170007</v>
      </c>
      <c r="B1536" t="str">
        <f>"037878791"</f>
        <v>037878791</v>
      </c>
      <c r="C1536" t="s">
        <v>105</v>
      </c>
      <c r="D1536" t="s">
        <v>3393</v>
      </c>
      <c r="E1536" t="s">
        <v>154</v>
      </c>
      <c r="F1536" t="s">
        <v>1414</v>
      </c>
      <c r="G1536" t="s">
        <v>3394</v>
      </c>
      <c r="H1536" t="str">
        <f>"Μ.ΚΑΛΟΜΟΙΡΗ 17 ΗΡΑΚΛΕΙΟΥ"</f>
        <v>Μ.ΚΑΛΟΜΟΙΡΗ 17 ΗΡΑΚΛΕΙΟΥ</v>
      </c>
      <c r="I1536">
        <v>71409</v>
      </c>
      <c r="J1536">
        <v>2810322215</v>
      </c>
      <c r="K1536">
        <v>6944899761</v>
      </c>
      <c r="M1536" t="s">
        <v>3395</v>
      </c>
      <c r="N1536" t="s">
        <v>146</v>
      </c>
      <c r="O1536" t="s">
        <v>147</v>
      </c>
      <c r="R1536" t="s">
        <v>57</v>
      </c>
      <c r="S1536">
        <v>15</v>
      </c>
      <c r="T1536">
        <v>184</v>
      </c>
      <c r="U1536" s="1">
        <v>34941</v>
      </c>
      <c r="V1536" t="s">
        <v>123</v>
      </c>
      <c r="W1536" t="s">
        <v>124</v>
      </c>
      <c r="X1536" t="s">
        <v>58</v>
      </c>
      <c r="Y1536">
        <v>18</v>
      </c>
      <c r="Z1536" t="s">
        <v>59</v>
      </c>
      <c r="AA1536" t="s">
        <v>59</v>
      </c>
      <c r="AB1536" t="s">
        <v>59</v>
      </c>
      <c r="AC1536" t="s">
        <v>59</v>
      </c>
      <c r="AD1536" t="s">
        <v>59</v>
      </c>
      <c r="AF1536" s="1">
        <v>34947</v>
      </c>
      <c r="AG1536" t="s">
        <v>148</v>
      </c>
      <c r="AH1536" t="s">
        <v>149</v>
      </c>
      <c r="AI1536" t="str">
        <f>"1751052"</f>
        <v>1751052</v>
      </c>
      <c r="AJ1536" t="s">
        <v>328</v>
      </c>
      <c r="AK1536">
        <v>2810213762</v>
      </c>
      <c r="AL1536" t="s">
        <v>329</v>
      </c>
      <c r="AM1536" t="s">
        <v>78</v>
      </c>
      <c r="AN1536" t="s">
        <v>78</v>
      </c>
      <c r="AO1536" t="s">
        <v>78</v>
      </c>
      <c r="AP1536" t="s">
        <v>163</v>
      </c>
      <c r="AQ1536">
        <v>8</v>
      </c>
      <c r="AR1536" t="s">
        <v>123</v>
      </c>
      <c r="AS1536" t="s">
        <v>124</v>
      </c>
      <c r="AT1536" t="s">
        <v>58</v>
      </c>
      <c r="AU1536" t="s">
        <v>68</v>
      </c>
      <c r="AV1536" t="s">
        <v>69</v>
      </c>
      <c r="AW1536" s="1">
        <v>21668</v>
      </c>
      <c r="AX1536">
        <v>2</v>
      </c>
    </row>
    <row r="1537" spans="1:50">
      <c r="A1537">
        <v>177007</v>
      </c>
      <c r="B1537" t="str">
        <f>"027907814"</f>
        <v>027907814</v>
      </c>
      <c r="C1537" t="s">
        <v>105</v>
      </c>
      <c r="D1537" t="s">
        <v>3396</v>
      </c>
      <c r="E1537" t="s">
        <v>670</v>
      </c>
      <c r="F1537" t="s">
        <v>166</v>
      </c>
      <c r="G1537" t="s">
        <v>3397</v>
      </c>
      <c r="H1537" t="str">
        <f>"Ιτάνου &amp; Γιούχτα ΙΑ Κηπούπολη"</f>
        <v>Ιτάνου &amp; Γιούχτα ΙΑ Κηπούπολη</v>
      </c>
      <c r="I1537">
        <v>71307</v>
      </c>
      <c r="J1537">
        <v>2810213377</v>
      </c>
      <c r="K1537">
        <v>6974701779</v>
      </c>
      <c r="N1537" t="s">
        <v>299</v>
      </c>
      <c r="O1537" t="s">
        <v>300</v>
      </c>
      <c r="R1537" t="s">
        <v>57</v>
      </c>
      <c r="S1537">
        <v>10</v>
      </c>
      <c r="T1537">
        <v>180</v>
      </c>
      <c r="U1537" s="1">
        <v>35674</v>
      </c>
      <c r="V1537" t="s">
        <v>123</v>
      </c>
      <c r="W1537" t="s">
        <v>124</v>
      </c>
      <c r="X1537" t="s">
        <v>58</v>
      </c>
      <c r="Y1537">
        <v>18</v>
      </c>
      <c r="Z1537" t="s">
        <v>59</v>
      </c>
      <c r="AA1537" t="s">
        <v>59</v>
      </c>
      <c r="AB1537" t="s">
        <v>59</v>
      </c>
      <c r="AC1537" t="s">
        <v>59</v>
      </c>
      <c r="AD1537" t="s">
        <v>59</v>
      </c>
      <c r="AF1537" s="1">
        <v>35678</v>
      </c>
      <c r="AG1537" t="s">
        <v>148</v>
      </c>
      <c r="AH1537" t="s">
        <v>149</v>
      </c>
      <c r="AI1537" t="str">
        <f>"1764010"</f>
        <v>1764010</v>
      </c>
      <c r="AJ1537" t="s">
        <v>1058</v>
      </c>
      <c r="AK1537">
        <v>2810762862</v>
      </c>
      <c r="AL1537" t="s">
        <v>1059</v>
      </c>
      <c r="AM1537" t="s">
        <v>78</v>
      </c>
      <c r="AN1537" t="s">
        <v>219</v>
      </c>
      <c r="AO1537" t="s">
        <v>297</v>
      </c>
      <c r="AP1537" t="s">
        <v>297</v>
      </c>
      <c r="AQ1537">
        <v>37</v>
      </c>
      <c r="AR1537" t="s">
        <v>123</v>
      </c>
      <c r="AS1537" t="s">
        <v>124</v>
      </c>
      <c r="AT1537" t="s">
        <v>58</v>
      </c>
      <c r="AU1537" t="s">
        <v>68</v>
      </c>
      <c r="AV1537" t="s">
        <v>69</v>
      </c>
      <c r="AW1537" s="1">
        <v>21511</v>
      </c>
      <c r="AX1537">
        <v>2</v>
      </c>
    </row>
    <row r="1538" spans="1:50">
      <c r="A1538">
        <v>166254</v>
      </c>
      <c r="B1538" t="str">
        <f>"031877549"</f>
        <v>031877549</v>
      </c>
      <c r="C1538" t="s">
        <v>105</v>
      </c>
      <c r="D1538" t="s">
        <v>3398</v>
      </c>
      <c r="E1538" t="s">
        <v>53</v>
      </c>
      <c r="F1538" t="s">
        <v>72</v>
      </c>
      <c r="G1538" t="s">
        <v>316</v>
      </c>
      <c r="H1538" t="str">
        <f>"Μονής Πρεβέλης 172Α "</f>
        <v xml:space="preserve">Μονής Πρεβέλης 172Α </v>
      </c>
      <c r="I1538">
        <v>71306</v>
      </c>
      <c r="K1538">
        <v>6977264930</v>
      </c>
      <c r="M1538" t="s">
        <v>3399</v>
      </c>
      <c r="N1538" t="s">
        <v>1647</v>
      </c>
      <c r="O1538" t="s">
        <v>1648</v>
      </c>
      <c r="R1538" t="s">
        <v>57</v>
      </c>
      <c r="S1538">
        <v>15</v>
      </c>
      <c r="T1538">
        <v>137</v>
      </c>
      <c r="U1538" s="1">
        <v>34206</v>
      </c>
      <c r="V1538" t="s">
        <v>123</v>
      </c>
      <c r="W1538" t="s">
        <v>124</v>
      </c>
      <c r="X1538" t="s">
        <v>58</v>
      </c>
      <c r="Y1538">
        <v>18</v>
      </c>
      <c r="Z1538" t="s">
        <v>59</v>
      </c>
      <c r="AA1538" t="s">
        <v>59</v>
      </c>
      <c r="AB1538" t="s">
        <v>59</v>
      </c>
      <c r="AC1538" t="s">
        <v>59</v>
      </c>
      <c r="AD1538" t="s">
        <v>59</v>
      </c>
      <c r="AF1538" s="1">
        <v>34213</v>
      </c>
      <c r="AG1538" t="s">
        <v>125</v>
      </c>
      <c r="AH1538" t="s">
        <v>126</v>
      </c>
      <c r="AI1538" t="str">
        <f>"1701030"</f>
        <v>1701030</v>
      </c>
      <c r="AJ1538" t="s">
        <v>270</v>
      </c>
      <c r="AK1538">
        <v>2810361015</v>
      </c>
      <c r="AL1538" t="s">
        <v>271</v>
      </c>
      <c r="AM1538" t="s">
        <v>78</v>
      </c>
      <c r="AN1538" t="s">
        <v>78</v>
      </c>
      <c r="AO1538" t="s">
        <v>78</v>
      </c>
      <c r="AP1538" t="s">
        <v>163</v>
      </c>
      <c r="AQ1538">
        <v>2</v>
      </c>
      <c r="AR1538" t="s">
        <v>123</v>
      </c>
      <c r="AS1538" t="s">
        <v>124</v>
      </c>
      <c r="AT1538" t="s">
        <v>58</v>
      </c>
      <c r="AU1538" t="s">
        <v>68</v>
      </c>
      <c r="AV1538" t="s">
        <v>69</v>
      </c>
      <c r="AW1538" s="1">
        <v>22185</v>
      </c>
      <c r="AX1538">
        <v>2</v>
      </c>
    </row>
    <row r="1539" spans="1:50">
      <c r="A1539">
        <v>207087</v>
      </c>
      <c r="B1539" t="str">
        <f>"045548913"</f>
        <v>045548913</v>
      </c>
      <c r="C1539" t="s">
        <v>50</v>
      </c>
      <c r="D1539" t="s">
        <v>3400</v>
      </c>
      <c r="E1539" t="s">
        <v>513</v>
      </c>
      <c r="F1539" t="s">
        <v>95</v>
      </c>
      <c r="G1539" t="s">
        <v>52</v>
      </c>
      <c r="H1539" t="str">
        <f>"ΑΠΟΛΛΩΝΟΣ 2 ΗΡΑΚΛΕΙΟ"</f>
        <v>ΑΠΟΛΛΩΝΟΣ 2 ΗΡΑΚΛΕΙΟ</v>
      </c>
      <c r="I1539">
        <v>71305</v>
      </c>
      <c r="J1539">
        <v>2810320618</v>
      </c>
      <c r="K1539">
        <v>6945800453</v>
      </c>
      <c r="L1539">
        <v>6945800453</v>
      </c>
      <c r="N1539" t="s">
        <v>292</v>
      </c>
      <c r="O1539" t="s">
        <v>293</v>
      </c>
      <c r="R1539" t="s">
        <v>57</v>
      </c>
      <c r="S1539">
        <v>9</v>
      </c>
      <c r="T1539">
        <v>218</v>
      </c>
      <c r="U1539" s="1">
        <v>38596</v>
      </c>
      <c r="V1539" t="s">
        <v>123</v>
      </c>
      <c r="W1539" t="s">
        <v>124</v>
      </c>
      <c r="X1539" t="s">
        <v>58</v>
      </c>
      <c r="Y1539">
        <v>20</v>
      </c>
      <c r="Z1539" t="s">
        <v>59</v>
      </c>
      <c r="AA1539" t="s">
        <v>59</v>
      </c>
      <c r="AB1539" t="s">
        <v>59</v>
      </c>
      <c r="AC1539" t="s">
        <v>59</v>
      </c>
      <c r="AD1539" t="s">
        <v>59</v>
      </c>
      <c r="AF1539" s="1">
        <v>38603</v>
      </c>
      <c r="AG1539" t="s">
        <v>148</v>
      </c>
      <c r="AH1539" t="s">
        <v>149</v>
      </c>
      <c r="AI1539" t="str">
        <f>"1751040"</f>
        <v>1751040</v>
      </c>
      <c r="AJ1539" t="s">
        <v>178</v>
      </c>
      <c r="AK1539">
        <v>2810252495</v>
      </c>
      <c r="AL1539" t="s">
        <v>179</v>
      </c>
      <c r="AM1539" t="s">
        <v>78</v>
      </c>
      <c r="AN1539" t="s">
        <v>78</v>
      </c>
      <c r="AO1539" t="s">
        <v>78</v>
      </c>
      <c r="AP1539" t="s">
        <v>141</v>
      </c>
      <c r="AQ1539">
        <v>3</v>
      </c>
      <c r="AR1539" t="s">
        <v>123</v>
      </c>
      <c r="AS1539" t="s">
        <v>124</v>
      </c>
      <c r="AT1539" t="s">
        <v>58</v>
      </c>
      <c r="AU1539" t="s">
        <v>68</v>
      </c>
      <c r="AV1539" t="s">
        <v>69</v>
      </c>
      <c r="AW1539" s="1">
        <v>22482</v>
      </c>
      <c r="AX1539">
        <v>2</v>
      </c>
    </row>
    <row r="1540" spans="1:50">
      <c r="A1540">
        <v>162650</v>
      </c>
      <c r="B1540" t="str">
        <f>"030270023"</f>
        <v>030270023</v>
      </c>
      <c r="C1540" t="s">
        <v>105</v>
      </c>
      <c r="D1540" t="s">
        <v>989</v>
      </c>
      <c r="E1540" t="s">
        <v>106</v>
      </c>
      <c r="F1540" t="s">
        <v>166</v>
      </c>
      <c r="G1540" t="s">
        <v>134</v>
      </c>
      <c r="H1540" t="str">
        <f>"ΕΡΜΗ 65 ΗΡΑΚΛΕΙΟ"</f>
        <v>ΕΡΜΗ 65 ΗΡΑΚΛΕΙΟ</v>
      </c>
      <c r="I1540">
        <v>71409</v>
      </c>
      <c r="J1540">
        <v>2810316115</v>
      </c>
      <c r="K1540">
        <v>6951152016</v>
      </c>
      <c r="L1540">
        <v>6979644275</v>
      </c>
      <c r="N1540" t="s">
        <v>292</v>
      </c>
      <c r="O1540" t="s">
        <v>293</v>
      </c>
      <c r="R1540" t="s">
        <v>57</v>
      </c>
      <c r="S1540">
        <v>14</v>
      </c>
      <c r="T1540">
        <v>132</v>
      </c>
      <c r="U1540" s="1">
        <v>33456</v>
      </c>
      <c r="V1540" t="s">
        <v>123</v>
      </c>
      <c r="W1540" t="s">
        <v>124</v>
      </c>
      <c r="X1540" t="s">
        <v>58</v>
      </c>
      <c r="Y1540">
        <v>18</v>
      </c>
      <c r="Z1540" t="s">
        <v>59</v>
      </c>
      <c r="AA1540" t="s">
        <v>59</v>
      </c>
      <c r="AB1540" t="s">
        <v>59</v>
      </c>
      <c r="AC1540" t="s">
        <v>59</v>
      </c>
      <c r="AD1540" t="s">
        <v>59</v>
      </c>
      <c r="AF1540" s="1">
        <v>33486</v>
      </c>
      <c r="AG1540" t="s">
        <v>148</v>
      </c>
      <c r="AH1540" t="s">
        <v>149</v>
      </c>
      <c r="AI1540" t="str">
        <f>"1751030"</f>
        <v>1751030</v>
      </c>
      <c r="AJ1540" t="s">
        <v>234</v>
      </c>
      <c r="AK1540">
        <v>2810282911</v>
      </c>
      <c r="AL1540" t="s">
        <v>235</v>
      </c>
      <c r="AM1540" t="s">
        <v>78</v>
      </c>
      <c r="AN1540" t="s">
        <v>78</v>
      </c>
      <c r="AO1540" t="s">
        <v>78</v>
      </c>
      <c r="AP1540" t="s">
        <v>163</v>
      </c>
      <c r="AQ1540">
        <v>1</v>
      </c>
      <c r="AR1540" t="s">
        <v>123</v>
      </c>
      <c r="AS1540" t="s">
        <v>124</v>
      </c>
      <c r="AT1540" t="s">
        <v>58</v>
      </c>
      <c r="AU1540" t="s">
        <v>68</v>
      </c>
      <c r="AV1540" t="s">
        <v>69</v>
      </c>
      <c r="AW1540" s="1">
        <v>20943</v>
      </c>
      <c r="AX1540">
        <v>2</v>
      </c>
    </row>
    <row r="1541" spans="1:50">
      <c r="A1541">
        <v>190414</v>
      </c>
      <c r="B1541" t="str">
        <f>"053266528"</f>
        <v>053266528</v>
      </c>
      <c r="C1541" t="s">
        <v>50</v>
      </c>
      <c r="D1541" t="s">
        <v>3401</v>
      </c>
      <c r="E1541" t="s">
        <v>52</v>
      </c>
      <c r="F1541" t="s">
        <v>72</v>
      </c>
      <c r="G1541" t="s">
        <v>1361</v>
      </c>
      <c r="H1541" t="str">
        <f>"Π.ΜΠΑΚΟΓΙΑΝΝΗ 84 ΗΡΑΚΛΕΙΟ"</f>
        <v>Π.ΜΠΑΚΟΓΙΑΝΝΗ 84 ΗΡΑΚΛΕΙΟ</v>
      </c>
      <c r="I1541">
        <v>71400</v>
      </c>
      <c r="J1541">
        <v>2810315115</v>
      </c>
      <c r="K1541">
        <v>6932202796</v>
      </c>
      <c r="M1541" t="s">
        <v>3402</v>
      </c>
      <c r="N1541" t="s">
        <v>306</v>
      </c>
      <c r="O1541" t="s">
        <v>307</v>
      </c>
      <c r="R1541" t="s">
        <v>57</v>
      </c>
      <c r="S1541">
        <v>8</v>
      </c>
      <c r="T1541">
        <v>219</v>
      </c>
      <c r="U1541" s="1">
        <v>37134</v>
      </c>
      <c r="V1541" t="s">
        <v>123</v>
      </c>
      <c r="W1541" t="s">
        <v>124</v>
      </c>
      <c r="X1541" t="s">
        <v>58</v>
      </c>
      <c r="Y1541">
        <v>20</v>
      </c>
      <c r="Z1541" t="s">
        <v>59</v>
      </c>
      <c r="AA1541" t="s">
        <v>59</v>
      </c>
      <c r="AB1541" t="s">
        <v>59</v>
      </c>
      <c r="AC1541" t="s">
        <v>59</v>
      </c>
      <c r="AD1541" t="s">
        <v>59</v>
      </c>
      <c r="AF1541" s="1">
        <v>37139</v>
      </c>
      <c r="AG1541" t="s">
        <v>148</v>
      </c>
      <c r="AH1541" t="s">
        <v>149</v>
      </c>
      <c r="AI1541" t="str">
        <f>"1768010"</f>
        <v>1768010</v>
      </c>
      <c r="AJ1541" t="s">
        <v>1012</v>
      </c>
      <c r="AK1541">
        <v>2897032070</v>
      </c>
      <c r="AL1541" t="s">
        <v>1013</v>
      </c>
      <c r="AM1541" t="s">
        <v>78</v>
      </c>
      <c r="AN1541" t="s">
        <v>219</v>
      </c>
      <c r="AO1541" t="s">
        <v>527</v>
      </c>
      <c r="AP1541" t="s">
        <v>527</v>
      </c>
      <c r="AQ1541">
        <v>20</v>
      </c>
      <c r="AR1541" t="s">
        <v>123</v>
      </c>
      <c r="AS1541" t="s">
        <v>124</v>
      </c>
      <c r="AT1541" t="s">
        <v>58</v>
      </c>
      <c r="AU1541" t="s">
        <v>68</v>
      </c>
      <c r="AV1541" t="s">
        <v>69</v>
      </c>
      <c r="AW1541" s="1">
        <v>25107</v>
      </c>
      <c r="AX1541">
        <v>2</v>
      </c>
    </row>
    <row r="1542" spans="1:50">
      <c r="B1542" t="str">
        <f>"070991195"</f>
        <v>070991195</v>
      </c>
      <c r="C1542" t="s">
        <v>50</v>
      </c>
      <c r="D1542" t="s">
        <v>3403</v>
      </c>
      <c r="E1542" t="s">
        <v>52</v>
      </c>
      <c r="F1542" t="s">
        <v>154</v>
      </c>
      <c r="G1542" t="s">
        <v>1235</v>
      </c>
      <c r="H1542" t="str">
        <f>"ΒΑΡΝΗΣ 12 ΗΡΑΚΛΕΙΟ"</f>
        <v>ΒΑΡΝΗΣ 12 ΗΡΑΚΛΕΙΟ</v>
      </c>
      <c r="I1542">
        <v>71305</v>
      </c>
      <c r="J1542">
        <v>2810261419</v>
      </c>
      <c r="K1542">
        <v>6978116880</v>
      </c>
      <c r="M1542" t="s">
        <v>3404</v>
      </c>
      <c r="N1542" t="s">
        <v>246</v>
      </c>
      <c r="O1542" t="s">
        <v>247</v>
      </c>
      <c r="R1542" t="s">
        <v>159</v>
      </c>
      <c r="S1542">
        <v>4</v>
      </c>
      <c r="T1542" t="s">
        <v>416</v>
      </c>
      <c r="U1542" s="1">
        <v>43349</v>
      </c>
      <c r="V1542" t="s">
        <v>123</v>
      </c>
      <c r="W1542" t="s">
        <v>124</v>
      </c>
      <c r="X1542" t="s">
        <v>58</v>
      </c>
      <c r="Y1542">
        <v>21</v>
      </c>
      <c r="Z1542" t="s">
        <v>59</v>
      </c>
      <c r="AA1542" t="s">
        <v>59</v>
      </c>
      <c r="AB1542" t="s">
        <v>59</v>
      </c>
      <c r="AC1542" t="s">
        <v>59</v>
      </c>
      <c r="AD1542" t="s">
        <v>59</v>
      </c>
      <c r="AF1542" s="1">
        <v>43349</v>
      </c>
      <c r="AG1542" t="s">
        <v>148</v>
      </c>
      <c r="AH1542" t="s">
        <v>149</v>
      </c>
      <c r="AI1542" t="str">
        <f>"1751040"</f>
        <v>1751040</v>
      </c>
      <c r="AJ1542" t="s">
        <v>178</v>
      </c>
      <c r="AK1542">
        <v>2810252495</v>
      </c>
      <c r="AL1542" t="s">
        <v>179</v>
      </c>
      <c r="AM1542" t="s">
        <v>78</v>
      </c>
      <c r="AN1542" t="s">
        <v>78</v>
      </c>
      <c r="AO1542" t="s">
        <v>78</v>
      </c>
      <c r="AP1542" t="s">
        <v>141</v>
      </c>
      <c r="AQ1542">
        <v>3</v>
      </c>
      <c r="AR1542" t="s">
        <v>123</v>
      </c>
      <c r="AS1542" t="s">
        <v>124</v>
      </c>
      <c r="AT1542" t="s">
        <v>58</v>
      </c>
      <c r="AU1542" t="s">
        <v>419</v>
      </c>
      <c r="AV1542" t="s">
        <v>132</v>
      </c>
      <c r="AW1542" s="1">
        <v>29965</v>
      </c>
      <c r="AX1542">
        <v>2</v>
      </c>
    </row>
    <row r="1543" spans="1:50">
      <c r="A1543">
        <v>206784</v>
      </c>
      <c r="B1543" t="str">
        <f>"128327009"</f>
        <v>128327009</v>
      </c>
      <c r="C1543" t="s">
        <v>50</v>
      </c>
      <c r="D1543" t="s">
        <v>3405</v>
      </c>
      <c r="E1543" t="s">
        <v>610</v>
      </c>
      <c r="F1543" t="s">
        <v>99</v>
      </c>
      <c r="G1543" t="s">
        <v>188</v>
      </c>
      <c r="H1543" t="str">
        <f>"Θ. ΤΖΕΔΑΚΗ 6 ΑΓΙΟΣ ΙΩΑΝΝΗΣ"</f>
        <v>Θ. ΤΖΕΔΑΚΗ 6 ΑΓΙΟΣ ΙΩΑΝΝΗΣ</v>
      </c>
      <c r="I1543">
        <v>71409</v>
      </c>
      <c r="J1543">
        <v>2810361467</v>
      </c>
      <c r="K1543">
        <v>6971958324</v>
      </c>
      <c r="M1543" t="s">
        <v>3406</v>
      </c>
      <c r="N1543" t="s">
        <v>146</v>
      </c>
      <c r="O1543" t="s">
        <v>147</v>
      </c>
      <c r="R1543" t="s">
        <v>57</v>
      </c>
      <c r="S1543">
        <v>8</v>
      </c>
      <c r="T1543">
        <v>218</v>
      </c>
      <c r="U1543" s="1">
        <v>38596</v>
      </c>
      <c r="V1543" t="s">
        <v>123</v>
      </c>
      <c r="W1543" t="s">
        <v>124</v>
      </c>
      <c r="X1543" t="s">
        <v>58</v>
      </c>
      <c r="Y1543">
        <v>20</v>
      </c>
      <c r="Z1543" t="s">
        <v>59</v>
      </c>
      <c r="AA1543" t="s">
        <v>59</v>
      </c>
      <c r="AB1543" t="s">
        <v>59</v>
      </c>
      <c r="AC1543" t="s">
        <v>59</v>
      </c>
      <c r="AD1543" t="s">
        <v>59</v>
      </c>
      <c r="AF1543" s="1">
        <v>38601</v>
      </c>
      <c r="AG1543" t="s">
        <v>125</v>
      </c>
      <c r="AH1543" t="s">
        <v>126</v>
      </c>
      <c r="AI1543" t="str">
        <f>"1727010"</f>
        <v>1727010</v>
      </c>
      <c r="AJ1543" t="s">
        <v>618</v>
      </c>
      <c r="AK1543">
        <v>2810229231</v>
      </c>
      <c r="AL1543" t="s">
        <v>619</v>
      </c>
      <c r="AM1543" t="s">
        <v>78</v>
      </c>
      <c r="AN1543" t="s">
        <v>78</v>
      </c>
      <c r="AO1543" t="s">
        <v>286</v>
      </c>
      <c r="AP1543" t="s">
        <v>286</v>
      </c>
      <c r="AQ1543">
        <v>12</v>
      </c>
      <c r="AR1543" t="s">
        <v>123</v>
      </c>
      <c r="AS1543" t="s">
        <v>124</v>
      </c>
      <c r="AT1543" t="s">
        <v>58</v>
      </c>
      <c r="AU1543" t="s">
        <v>68</v>
      </c>
      <c r="AV1543" t="s">
        <v>69</v>
      </c>
      <c r="AW1543" s="1">
        <v>24825</v>
      </c>
      <c r="AX1543">
        <v>2</v>
      </c>
    </row>
    <row r="1544" spans="1:50">
      <c r="A1544">
        <v>173880</v>
      </c>
      <c r="B1544" t="str">
        <f>"031877494"</f>
        <v>031877494</v>
      </c>
      <c r="C1544" t="s">
        <v>105</v>
      </c>
      <c r="D1544" t="s">
        <v>3407</v>
      </c>
      <c r="E1544" t="s">
        <v>95</v>
      </c>
      <c r="F1544" t="s">
        <v>166</v>
      </c>
      <c r="G1544" t="s">
        <v>237</v>
      </c>
      <c r="H1544" t="str">
        <f>"ΑΝΑΠΑΥΣΕΩΣ 3 ΗΡΑΚΛΕΙΟ"</f>
        <v>ΑΝΑΠΑΥΣΕΩΣ 3 ΗΡΑΚΛΕΙΟ</v>
      </c>
      <c r="J1544">
        <v>2810225921</v>
      </c>
      <c r="K1544">
        <v>6976694576</v>
      </c>
      <c r="N1544" t="s">
        <v>232</v>
      </c>
      <c r="O1544" t="s">
        <v>233</v>
      </c>
      <c r="R1544" t="s">
        <v>57</v>
      </c>
      <c r="S1544">
        <v>13</v>
      </c>
      <c r="T1544">
        <v>166</v>
      </c>
      <c r="U1544" s="1">
        <v>35300</v>
      </c>
      <c r="V1544" t="s">
        <v>123</v>
      </c>
      <c r="W1544" t="s">
        <v>124</v>
      </c>
      <c r="X1544" t="s">
        <v>58</v>
      </c>
      <c r="Y1544">
        <v>18</v>
      </c>
      <c r="Z1544" t="s">
        <v>59</v>
      </c>
      <c r="AA1544" t="s">
        <v>59</v>
      </c>
      <c r="AB1544" t="s">
        <v>59</v>
      </c>
      <c r="AC1544" t="s">
        <v>59</v>
      </c>
      <c r="AD1544" t="s">
        <v>59</v>
      </c>
      <c r="AF1544" s="1">
        <v>35310</v>
      </c>
      <c r="AG1544" t="s">
        <v>125</v>
      </c>
      <c r="AH1544" t="s">
        <v>126</v>
      </c>
      <c r="AI1544" t="str">
        <f>"1701056"</f>
        <v>1701056</v>
      </c>
      <c r="AJ1544" t="s">
        <v>211</v>
      </c>
      <c r="AK1544">
        <v>2810245445</v>
      </c>
      <c r="AL1544" t="s">
        <v>212</v>
      </c>
      <c r="AM1544" t="s">
        <v>78</v>
      </c>
      <c r="AN1544" t="s">
        <v>78</v>
      </c>
      <c r="AO1544" t="s">
        <v>78</v>
      </c>
      <c r="AP1544" t="s">
        <v>213</v>
      </c>
      <c r="AQ1544">
        <v>6</v>
      </c>
      <c r="AR1544" t="s">
        <v>123</v>
      </c>
      <c r="AS1544" t="s">
        <v>124</v>
      </c>
      <c r="AT1544" t="s">
        <v>58</v>
      </c>
      <c r="AU1544" t="s">
        <v>68</v>
      </c>
      <c r="AV1544" t="s">
        <v>69</v>
      </c>
      <c r="AW1544" s="1">
        <v>22406</v>
      </c>
      <c r="AX1544">
        <v>2</v>
      </c>
    </row>
    <row r="1545" spans="1:50">
      <c r="A1545">
        <v>213897</v>
      </c>
      <c r="B1545" t="str">
        <f>"124004242"</f>
        <v>124004242</v>
      </c>
      <c r="C1545" t="s">
        <v>50</v>
      </c>
      <c r="D1545" t="s">
        <v>3408</v>
      </c>
      <c r="E1545" t="s">
        <v>727</v>
      </c>
      <c r="F1545" t="s">
        <v>2970</v>
      </c>
      <c r="G1545" t="s">
        <v>188</v>
      </c>
      <c r="H1545" t="str">
        <f>"ΔΑΜΑΣΚΗΝΟΥ 29 ΗΡΑΚΛΕΙΟ"</f>
        <v>ΔΑΜΑΣΚΗΝΟΥ 29 ΗΡΑΚΛΕΙΟ</v>
      </c>
      <c r="I1545">
        <v>71305</v>
      </c>
      <c r="J1545">
        <v>2813014087</v>
      </c>
      <c r="K1545">
        <v>6944371409</v>
      </c>
      <c r="L1545">
        <v>2842024239</v>
      </c>
      <c r="M1545" t="s">
        <v>3409</v>
      </c>
      <c r="N1545" t="s">
        <v>306</v>
      </c>
      <c r="O1545" t="s">
        <v>307</v>
      </c>
      <c r="R1545" t="s">
        <v>57</v>
      </c>
      <c r="S1545">
        <v>8</v>
      </c>
      <c r="T1545">
        <v>231</v>
      </c>
      <c r="U1545" s="1">
        <v>38960</v>
      </c>
      <c r="V1545" t="s">
        <v>123</v>
      </c>
      <c r="W1545" t="s">
        <v>124</v>
      </c>
      <c r="X1545" t="s">
        <v>58</v>
      </c>
      <c r="Y1545">
        <v>20</v>
      </c>
      <c r="Z1545" t="s">
        <v>59</v>
      </c>
      <c r="AA1545" t="s">
        <v>59</v>
      </c>
      <c r="AB1545" t="s">
        <v>59</v>
      </c>
      <c r="AC1545" t="s">
        <v>59</v>
      </c>
      <c r="AD1545" t="s">
        <v>59</v>
      </c>
      <c r="AF1545" s="1">
        <v>38961</v>
      </c>
      <c r="AG1545" t="s">
        <v>125</v>
      </c>
      <c r="AH1545" t="s">
        <v>126</v>
      </c>
      <c r="AI1545" t="str">
        <f>"1728010"</f>
        <v>1728010</v>
      </c>
      <c r="AJ1545" t="s">
        <v>127</v>
      </c>
      <c r="AK1545">
        <v>2810824651</v>
      </c>
      <c r="AL1545" t="s">
        <v>128</v>
      </c>
      <c r="AM1545" t="s">
        <v>78</v>
      </c>
      <c r="AN1545" t="s">
        <v>129</v>
      </c>
      <c r="AO1545" t="s">
        <v>130</v>
      </c>
      <c r="AP1545" t="s">
        <v>130</v>
      </c>
      <c r="AQ1545">
        <v>36</v>
      </c>
      <c r="AR1545" t="s">
        <v>123</v>
      </c>
      <c r="AS1545" t="s">
        <v>124</v>
      </c>
      <c r="AT1545" t="s">
        <v>58</v>
      </c>
      <c r="AU1545" t="s">
        <v>68</v>
      </c>
      <c r="AV1545" t="s">
        <v>69</v>
      </c>
      <c r="AW1545" s="1">
        <v>28555</v>
      </c>
      <c r="AX1545">
        <v>2</v>
      </c>
    </row>
    <row r="1546" spans="1:50">
      <c r="A1546">
        <v>205511</v>
      </c>
      <c r="B1546" t="str">
        <f>"044898417"</f>
        <v>044898417</v>
      </c>
      <c r="C1546" t="s">
        <v>105</v>
      </c>
      <c r="D1546" t="s">
        <v>3410</v>
      </c>
      <c r="E1546" t="s">
        <v>1679</v>
      </c>
      <c r="F1546" t="s">
        <v>95</v>
      </c>
      <c r="G1546" t="s">
        <v>109</v>
      </c>
      <c r="H1546" t="str">
        <f>" "</f>
        <v xml:space="preserve"> </v>
      </c>
      <c r="J1546">
        <v>2810319806</v>
      </c>
      <c r="K1546">
        <v>6946471019</v>
      </c>
      <c r="M1546" t="s">
        <v>3411</v>
      </c>
      <c r="N1546" t="s">
        <v>204</v>
      </c>
      <c r="O1546" t="s">
        <v>205</v>
      </c>
      <c r="P1546" t="s">
        <v>292</v>
      </c>
      <c r="Q1546" t="s">
        <v>293</v>
      </c>
      <c r="R1546" t="s">
        <v>57</v>
      </c>
      <c r="S1546">
        <v>9</v>
      </c>
      <c r="T1546">
        <v>231</v>
      </c>
      <c r="U1546" s="1">
        <v>38230</v>
      </c>
      <c r="V1546" t="s">
        <v>123</v>
      </c>
      <c r="W1546" t="s">
        <v>124</v>
      </c>
      <c r="X1546" t="s">
        <v>58</v>
      </c>
      <c r="Y1546">
        <v>20</v>
      </c>
      <c r="Z1546" t="s">
        <v>59</v>
      </c>
      <c r="AA1546" t="s">
        <v>59</v>
      </c>
      <c r="AB1546" t="s">
        <v>59</v>
      </c>
      <c r="AC1546" t="s">
        <v>59</v>
      </c>
      <c r="AD1546" t="s">
        <v>59</v>
      </c>
      <c r="AF1546" s="1">
        <v>38232</v>
      </c>
      <c r="AG1546" t="s">
        <v>125</v>
      </c>
      <c r="AH1546" t="s">
        <v>126</v>
      </c>
      <c r="AI1546" t="str">
        <f>"1721010"</f>
        <v>1721010</v>
      </c>
      <c r="AJ1546" t="s">
        <v>462</v>
      </c>
      <c r="AK1546">
        <v>2892031207</v>
      </c>
      <c r="AL1546" t="s">
        <v>463</v>
      </c>
      <c r="AM1546" t="s">
        <v>78</v>
      </c>
      <c r="AN1546" t="s">
        <v>405</v>
      </c>
      <c r="AO1546" t="s">
        <v>405</v>
      </c>
      <c r="AP1546" t="s">
        <v>464</v>
      </c>
      <c r="AQ1546">
        <v>33</v>
      </c>
      <c r="AR1546" t="s">
        <v>123</v>
      </c>
      <c r="AS1546" t="s">
        <v>124</v>
      </c>
      <c r="AT1546" t="s">
        <v>58</v>
      </c>
      <c r="AU1546" t="s">
        <v>68</v>
      </c>
      <c r="AV1546" t="s">
        <v>69</v>
      </c>
      <c r="AW1546" s="1">
        <v>22114</v>
      </c>
      <c r="AX1546">
        <v>2</v>
      </c>
    </row>
    <row r="1547" spans="1:50">
      <c r="A1547">
        <v>198968</v>
      </c>
      <c r="B1547" t="str">
        <f>"064531414"</f>
        <v>064531414</v>
      </c>
      <c r="C1547" t="s">
        <v>50</v>
      </c>
      <c r="D1547" t="s">
        <v>3412</v>
      </c>
      <c r="E1547" t="s">
        <v>52</v>
      </c>
      <c r="F1547" t="s">
        <v>95</v>
      </c>
      <c r="G1547" t="s">
        <v>114</v>
      </c>
      <c r="H1547" t="str">
        <f>" "</f>
        <v xml:space="preserve"> </v>
      </c>
      <c r="J1547">
        <v>2810346228</v>
      </c>
      <c r="K1547">
        <v>6938974833</v>
      </c>
      <c r="M1547" t="s">
        <v>3413</v>
      </c>
      <c r="N1547" t="s">
        <v>299</v>
      </c>
      <c r="O1547" t="s">
        <v>300</v>
      </c>
      <c r="R1547" t="s">
        <v>57</v>
      </c>
      <c r="S1547">
        <v>9</v>
      </c>
      <c r="T1547">
        <v>206</v>
      </c>
      <c r="U1547" s="1">
        <v>37866</v>
      </c>
      <c r="V1547" t="s">
        <v>123</v>
      </c>
      <c r="W1547" t="s">
        <v>124</v>
      </c>
      <c r="X1547" t="s">
        <v>58</v>
      </c>
      <c r="Y1547">
        <v>18</v>
      </c>
      <c r="Z1547" t="s">
        <v>59</v>
      </c>
      <c r="AA1547" t="s">
        <v>59</v>
      </c>
      <c r="AB1547" t="s">
        <v>59</v>
      </c>
      <c r="AC1547" t="s">
        <v>59</v>
      </c>
      <c r="AD1547" t="s">
        <v>59</v>
      </c>
      <c r="AF1547" s="1">
        <v>37866</v>
      </c>
      <c r="AG1547" t="s">
        <v>137</v>
      </c>
      <c r="AH1547" t="s">
        <v>138</v>
      </c>
      <c r="AI1547" t="str">
        <f>"1740100"</f>
        <v>1740100</v>
      </c>
      <c r="AJ1547" t="s">
        <v>857</v>
      </c>
      <c r="AK1547">
        <v>2810360741</v>
      </c>
      <c r="AL1547" t="s">
        <v>858</v>
      </c>
      <c r="AM1547" t="s">
        <v>78</v>
      </c>
      <c r="AN1547" t="s">
        <v>78</v>
      </c>
      <c r="AO1547" t="s">
        <v>78</v>
      </c>
      <c r="AP1547" t="s">
        <v>163</v>
      </c>
      <c r="AQ1547">
        <v>5</v>
      </c>
      <c r="AR1547" t="s">
        <v>123</v>
      </c>
      <c r="AS1547" t="s">
        <v>124</v>
      </c>
      <c r="AT1547" t="s">
        <v>58</v>
      </c>
      <c r="AU1547" t="s">
        <v>68</v>
      </c>
      <c r="AV1547" t="s">
        <v>69</v>
      </c>
      <c r="AW1547" s="1">
        <v>22600</v>
      </c>
      <c r="AX1547">
        <v>2</v>
      </c>
    </row>
    <row r="1548" spans="1:50">
      <c r="A1548">
        <v>192289</v>
      </c>
      <c r="B1548" t="str">
        <f>"047216717"</f>
        <v>047216717</v>
      </c>
      <c r="C1548" t="s">
        <v>50</v>
      </c>
      <c r="D1548" t="s">
        <v>3414</v>
      </c>
      <c r="E1548" t="s">
        <v>52</v>
      </c>
      <c r="F1548" t="s">
        <v>72</v>
      </c>
      <c r="G1548" t="s">
        <v>83</v>
      </c>
      <c r="H1548" t="str">
        <f>" "</f>
        <v xml:space="preserve"> </v>
      </c>
      <c r="K1548">
        <v>6976631324</v>
      </c>
      <c r="M1548" t="s">
        <v>3415</v>
      </c>
      <c r="N1548" t="s">
        <v>135</v>
      </c>
      <c r="O1548" t="s">
        <v>136</v>
      </c>
      <c r="R1548" t="s">
        <v>57</v>
      </c>
      <c r="S1548">
        <v>9</v>
      </c>
      <c r="T1548">
        <v>312</v>
      </c>
      <c r="U1548" s="1">
        <v>37239</v>
      </c>
      <c r="V1548" t="s">
        <v>123</v>
      </c>
      <c r="W1548" t="s">
        <v>124</v>
      </c>
      <c r="X1548" t="s">
        <v>58</v>
      </c>
      <c r="Y1548">
        <v>20</v>
      </c>
      <c r="Z1548" t="s">
        <v>59</v>
      </c>
      <c r="AA1548" t="s">
        <v>59</v>
      </c>
      <c r="AB1548" t="s">
        <v>59</v>
      </c>
      <c r="AC1548" t="s">
        <v>59</v>
      </c>
      <c r="AD1548" t="s">
        <v>59</v>
      </c>
      <c r="AF1548" s="1">
        <v>37242</v>
      </c>
      <c r="AG1548" t="s">
        <v>137</v>
      </c>
      <c r="AH1548" t="s">
        <v>138</v>
      </c>
      <c r="AI1548" t="str">
        <f>"1740310"</f>
        <v>1740310</v>
      </c>
      <c r="AJ1548" t="s">
        <v>488</v>
      </c>
      <c r="AK1548">
        <v>2891024228</v>
      </c>
      <c r="AL1548" t="s">
        <v>489</v>
      </c>
      <c r="AM1548" t="s">
        <v>78</v>
      </c>
      <c r="AN1548" t="s">
        <v>276</v>
      </c>
      <c r="AO1548" t="s">
        <v>490</v>
      </c>
      <c r="AP1548" t="s">
        <v>490</v>
      </c>
      <c r="AQ1548">
        <v>15</v>
      </c>
      <c r="AR1548" t="s">
        <v>123</v>
      </c>
      <c r="AS1548" t="s">
        <v>124</v>
      </c>
      <c r="AT1548" t="s">
        <v>58</v>
      </c>
      <c r="AU1548" t="s">
        <v>68</v>
      </c>
      <c r="AV1548" t="s">
        <v>69</v>
      </c>
      <c r="AW1548" s="1">
        <v>26243</v>
      </c>
      <c r="AX1548">
        <v>2</v>
      </c>
    </row>
    <row r="1549" spans="1:50">
      <c r="A1549">
        <v>205923</v>
      </c>
      <c r="B1549" t="str">
        <f>"052329872"</f>
        <v>052329872</v>
      </c>
      <c r="C1549" t="s">
        <v>50</v>
      </c>
      <c r="D1549" t="s">
        <v>3416</v>
      </c>
      <c r="E1549" t="s">
        <v>255</v>
      </c>
      <c r="F1549" t="s">
        <v>53</v>
      </c>
      <c r="G1549" t="s">
        <v>54</v>
      </c>
      <c r="H1549" t="str">
        <f>"ΤΥΜΠΑΚΙ "</f>
        <v xml:space="preserve">ΤΥΜΠΑΚΙ </v>
      </c>
      <c r="I1549">
        <v>70200</v>
      </c>
      <c r="J1549">
        <v>2892053319</v>
      </c>
      <c r="K1549">
        <v>6946266777</v>
      </c>
      <c r="M1549" t="s">
        <v>3417</v>
      </c>
      <c r="N1549" t="s">
        <v>292</v>
      </c>
      <c r="O1549" t="s">
        <v>293</v>
      </c>
      <c r="R1549" t="s">
        <v>57</v>
      </c>
      <c r="S1549">
        <v>7</v>
      </c>
      <c r="T1549" t="s">
        <v>1422</v>
      </c>
      <c r="U1549" s="1">
        <v>37866</v>
      </c>
      <c r="V1549" t="s">
        <v>123</v>
      </c>
      <c r="W1549" t="s">
        <v>124</v>
      </c>
      <c r="X1549" t="s">
        <v>58</v>
      </c>
      <c r="Y1549">
        <v>20</v>
      </c>
      <c r="Z1549" t="s">
        <v>59</v>
      </c>
      <c r="AA1549" t="s">
        <v>59</v>
      </c>
      <c r="AB1549" t="s">
        <v>59</v>
      </c>
      <c r="AC1549" t="s">
        <v>59</v>
      </c>
      <c r="AD1549" t="s">
        <v>59</v>
      </c>
      <c r="AF1549" s="1">
        <v>38236</v>
      </c>
      <c r="AG1549" t="s">
        <v>125</v>
      </c>
      <c r="AH1549" t="s">
        <v>126</v>
      </c>
      <c r="AI1549" t="str">
        <f>"1713010"</f>
        <v>1713010</v>
      </c>
      <c r="AJ1549" t="s">
        <v>369</v>
      </c>
      <c r="AK1549">
        <v>2892051686</v>
      </c>
      <c r="AL1549" t="s">
        <v>370</v>
      </c>
      <c r="AM1549" t="s">
        <v>78</v>
      </c>
      <c r="AN1549" t="s">
        <v>242</v>
      </c>
      <c r="AO1549" t="s">
        <v>349</v>
      </c>
      <c r="AP1549" t="s">
        <v>349</v>
      </c>
      <c r="AQ1549">
        <v>35</v>
      </c>
      <c r="AR1549" t="s">
        <v>123</v>
      </c>
      <c r="AS1549" t="s">
        <v>124</v>
      </c>
      <c r="AT1549" t="s">
        <v>58</v>
      </c>
      <c r="AU1549" t="s">
        <v>68</v>
      </c>
      <c r="AV1549" t="s">
        <v>69</v>
      </c>
      <c r="AW1549" s="1">
        <v>25910</v>
      </c>
      <c r="AX1549">
        <v>2</v>
      </c>
    </row>
    <row r="1550" spans="1:50">
      <c r="A1550">
        <v>228336</v>
      </c>
      <c r="B1550" t="str">
        <f>"121596993"</f>
        <v>121596993</v>
      </c>
      <c r="C1550" t="s">
        <v>50</v>
      </c>
      <c r="D1550" t="s">
        <v>3418</v>
      </c>
      <c r="E1550" t="s">
        <v>316</v>
      </c>
      <c r="F1550" t="s">
        <v>95</v>
      </c>
      <c r="G1550" t="s">
        <v>181</v>
      </c>
      <c r="H1550" t="str">
        <f>"ΠΑΣΤΕΡ 7 ΜΕΤΕΩΡΑ ΘΕΣΣΑΛΟΝΙΚΗ"</f>
        <v>ΠΑΣΤΕΡ 7 ΜΕΤΕΩΡΑ ΘΕΣΣΑΛΟΝΙΚΗ</v>
      </c>
      <c r="I1550">
        <v>56532</v>
      </c>
      <c r="J1550">
        <v>2310626875</v>
      </c>
      <c r="K1550">
        <v>6973574537</v>
      </c>
      <c r="M1550" t="s">
        <v>3419</v>
      </c>
      <c r="N1550" t="s">
        <v>3090</v>
      </c>
      <c r="O1550" t="s">
        <v>3091</v>
      </c>
      <c r="R1550" t="s">
        <v>57</v>
      </c>
      <c r="S1550">
        <v>5</v>
      </c>
      <c r="T1550">
        <v>654</v>
      </c>
      <c r="U1550" s="1">
        <v>40043</v>
      </c>
      <c r="V1550" t="s">
        <v>123</v>
      </c>
      <c r="W1550" t="s">
        <v>124</v>
      </c>
      <c r="X1550" t="s">
        <v>58</v>
      </c>
      <c r="Y1550">
        <v>20</v>
      </c>
      <c r="Z1550" t="s">
        <v>59</v>
      </c>
      <c r="AA1550" t="s">
        <v>59</v>
      </c>
      <c r="AB1550" t="s">
        <v>59</v>
      </c>
      <c r="AC1550" t="s">
        <v>59</v>
      </c>
      <c r="AD1550" t="s">
        <v>59</v>
      </c>
      <c r="AF1550" s="1">
        <v>40057</v>
      </c>
      <c r="AG1550" t="s">
        <v>125</v>
      </c>
      <c r="AH1550" t="s">
        <v>590</v>
      </c>
      <c r="AI1550" t="str">
        <f>"1740060"</f>
        <v>1740060</v>
      </c>
      <c r="AJ1550" t="s">
        <v>591</v>
      </c>
      <c r="AK1550">
        <v>2810232117</v>
      </c>
      <c r="AL1550" t="s">
        <v>592</v>
      </c>
      <c r="AM1550" t="s">
        <v>78</v>
      </c>
      <c r="AN1550" t="s">
        <v>78</v>
      </c>
      <c r="AO1550" t="s">
        <v>78</v>
      </c>
      <c r="AP1550" t="s">
        <v>141</v>
      </c>
      <c r="AQ1550">
        <v>11</v>
      </c>
      <c r="AR1550" t="s">
        <v>123</v>
      </c>
      <c r="AS1550" t="s">
        <v>124</v>
      </c>
      <c r="AT1550" t="s">
        <v>58</v>
      </c>
      <c r="AU1550" t="s">
        <v>68</v>
      </c>
      <c r="AV1550" t="s">
        <v>69</v>
      </c>
      <c r="AW1550" s="1">
        <v>28368</v>
      </c>
      <c r="AX1550">
        <v>2</v>
      </c>
    </row>
    <row r="1551" spans="1:50">
      <c r="A1551">
        <v>218180</v>
      </c>
      <c r="B1551" t="str">
        <f>"044194740"</f>
        <v>044194740</v>
      </c>
      <c r="C1551" t="s">
        <v>50</v>
      </c>
      <c r="D1551" t="s">
        <v>3420</v>
      </c>
      <c r="E1551" t="s">
        <v>263</v>
      </c>
      <c r="F1551" t="s">
        <v>99</v>
      </c>
      <c r="G1551" t="s">
        <v>600</v>
      </c>
      <c r="H1551" t="str">
        <f>"ΘΑΛΕΙΑΣ 4  ΗΡΑΚΛΕΙΟ"</f>
        <v>ΘΑΛΕΙΑΣ 4  ΗΡΑΚΛΕΙΟ</v>
      </c>
      <c r="I1551">
        <v>71409</v>
      </c>
      <c r="J1551">
        <v>2810211665</v>
      </c>
      <c r="K1551">
        <v>6972896664</v>
      </c>
      <c r="L1551">
        <v>6972896644</v>
      </c>
      <c r="M1551" t="s">
        <v>3421</v>
      </c>
      <c r="N1551" t="s">
        <v>292</v>
      </c>
      <c r="O1551" t="s">
        <v>293</v>
      </c>
      <c r="R1551" t="s">
        <v>57</v>
      </c>
      <c r="S1551">
        <v>6</v>
      </c>
      <c r="T1551">
        <v>599</v>
      </c>
      <c r="U1551" s="1">
        <v>39310</v>
      </c>
      <c r="V1551" t="s">
        <v>123</v>
      </c>
      <c r="W1551" t="s">
        <v>124</v>
      </c>
      <c r="X1551" t="s">
        <v>58</v>
      </c>
      <c r="Y1551">
        <v>20</v>
      </c>
      <c r="Z1551" t="s">
        <v>59</v>
      </c>
      <c r="AA1551" t="s">
        <v>59</v>
      </c>
      <c r="AB1551" t="s">
        <v>59</v>
      </c>
      <c r="AC1551" t="s">
        <v>59</v>
      </c>
      <c r="AD1551" t="s">
        <v>59</v>
      </c>
      <c r="AF1551" s="1">
        <v>39328</v>
      </c>
      <c r="AG1551" t="s">
        <v>137</v>
      </c>
      <c r="AH1551" t="s">
        <v>138</v>
      </c>
      <c r="AI1551" t="str">
        <f>"1740080"</f>
        <v>1740080</v>
      </c>
      <c r="AJ1551" t="s">
        <v>284</v>
      </c>
      <c r="AK1551">
        <v>2810220433</v>
      </c>
      <c r="AL1551" t="s">
        <v>285</v>
      </c>
      <c r="AM1551" t="s">
        <v>78</v>
      </c>
      <c r="AN1551" t="s">
        <v>78</v>
      </c>
      <c r="AO1551" t="s">
        <v>286</v>
      </c>
      <c r="AP1551" t="s">
        <v>286</v>
      </c>
      <c r="AQ1551">
        <v>12</v>
      </c>
      <c r="AR1551" t="s">
        <v>123</v>
      </c>
      <c r="AS1551" t="s">
        <v>124</v>
      </c>
      <c r="AT1551" t="s">
        <v>58</v>
      </c>
      <c r="AU1551" t="s">
        <v>68</v>
      </c>
      <c r="AV1551" t="s">
        <v>69</v>
      </c>
      <c r="AW1551" s="1">
        <v>23277</v>
      </c>
      <c r="AX1551">
        <v>2</v>
      </c>
    </row>
    <row r="1552" spans="1:50">
      <c r="A1552">
        <v>217628</v>
      </c>
      <c r="B1552" t="str">
        <f>"062402100"</f>
        <v>062402100</v>
      </c>
      <c r="C1552" t="s">
        <v>50</v>
      </c>
      <c r="D1552" t="s">
        <v>3420</v>
      </c>
      <c r="E1552" t="s">
        <v>143</v>
      </c>
      <c r="F1552" t="s">
        <v>166</v>
      </c>
      <c r="G1552" t="s">
        <v>255</v>
      </c>
      <c r="H1552" t="str">
        <f>"ΧΡΥΣΟΣΤΟΜΟΥ 51 ΗΡΑΚΛΕΙΟ"</f>
        <v>ΧΡΥΣΟΣΤΟΜΟΥ 51 ΗΡΑΚΛΕΙΟ</v>
      </c>
      <c r="I1552">
        <v>71306</v>
      </c>
      <c r="J1552">
        <v>2810321083</v>
      </c>
      <c r="K1552">
        <v>6977476333</v>
      </c>
      <c r="M1552" t="s">
        <v>3422</v>
      </c>
      <c r="N1552" t="s">
        <v>146</v>
      </c>
      <c r="O1552" t="s">
        <v>147</v>
      </c>
      <c r="R1552" t="s">
        <v>57</v>
      </c>
      <c r="S1552">
        <v>8</v>
      </c>
      <c r="T1552">
        <v>599</v>
      </c>
      <c r="U1552" s="1">
        <v>39310</v>
      </c>
      <c r="V1552" t="s">
        <v>123</v>
      </c>
      <c r="W1552" t="s">
        <v>124</v>
      </c>
      <c r="X1552" t="s">
        <v>58</v>
      </c>
      <c r="Y1552">
        <v>20</v>
      </c>
      <c r="Z1552" t="s">
        <v>59</v>
      </c>
      <c r="AA1552" t="s">
        <v>59</v>
      </c>
      <c r="AB1552" t="s">
        <v>59</v>
      </c>
      <c r="AC1552" t="s">
        <v>59</v>
      </c>
      <c r="AD1552" t="s">
        <v>59</v>
      </c>
      <c r="AF1552" s="1">
        <v>39328</v>
      </c>
      <c r="AG1552" t="s">
        <v>148</v>
      </c>
      <c r="AH1552" t="s">
        <v>1053</v>
      </c>
      <c r="AI1552" t="str">
        <f>"1790200"</f>
        <v>1790200</v>
      </c>
      <c r="AJ1552" t="s">
        <v>1054</v>
      </c>
      <c r="AK1552">
        <v>2810360880</v>
      </c>
      <c r="AL1552" t="s">
        <v>1055</v>
      </c>
      <c r="AM1552" t="s">
        <v>78</v>
      </c>
      <c r="AN1552" t="s">
        <v>78</v>
      </c>
      <c r="AO1552" t="s">
        <v>78</v>
      </c>
      <c r="AP1552" t="s">
        <v>163</v>
      </c>
      <c r="AQ1552">
        <v>8</v>
      </c>
      <c r="AR1552" t="s">
        <v>123</v>
      </c>
      <c r="AS1552" t="s">
        <v>124</v>
      </c>
      <c r="AT1552" t="s">
        <v>58</v>
      </c>
      <c r="AU1552" t="s">
        <v>68</v>
      </c>
      <c r="AV1552" t="s">
        <v>69</v>
      </c>
      <c r="AW1552" s="1">
        <v>25322</v>
      </c>
      <c r="AX1552">
        <v>2</v>
      </c>
    </row>
    <row r="1553" spans="1:50">
      <c r="A1553">
        <v>204576</v>
      </c>
      <c r="B1553" t="str">
        <f>"103841645"</f>
        <v>103841645</v>
      </c>
      <c r="C1553" t="s">
        <v>50</v>
      </c>
      <c r="D1553" t="s">
        <v>3420</v>
      </c>
      <c r="E1553" t="s">
        <v>52</v>
      </c>
      <c r="F1553" t="s">
        <v>1041</v>
      </c>
      <c r="G1553" t="s">
        <v>215</v>
      </c>
      <c r="H1553" t="str">
        <f>"ΛΑΓΚΑΔΑ 22 ΗΡΑΚΛΕΙΟ"</f>
        <v>ΛΑΓΚΑΔΑ 22 ΗΡΑΚΛΕΙΟ</v>
      </c>
      <c r="I1553">
        <v>71307</v>
      </c>
      <c r="J1553">
        <v>2810239733</v>
      </c>
      <c r="K1553">
        <v>6944467744</v>
      </c>
      <c r="M1553" t="s">
        <v>3423</v>
      </c>
      <c r="N1553" t="s">
        <v>337</v>
      </c>
      <c r="O1553" t="s">
        <v>338</v>
      </c>
      <c r="R1553" t="s">
        <v>57</v>
      </c>
      <c r="S1553">
        <v>10</v>
      </c>
      <c r="T1553">
        <v>231</v>
      </c>
      <c r="U1553" s="1">
        <v>38230</v>
      </c>
      <c r="V1553" t="s">
        <v>123</v>
      </c>
      <c r="W1553" t="s">
        <v>124</v>
      </c>
      <c r="X1553" t="s">
        <v>58</v>
      </c>
      <c r="Y1553">
        <v>20</v>
      </c>
      <c r="Z1553" t="s">
        <v>59</v>
      </c>
      <c r="AA1553" t="s">
        <v>59</v>
      </c>
      <c r="AB1553" t="s">
        <v>59</v>
      </c>
      <c r="AC1553" t="s">
        <v>59</v>
      </c>
      <c r="AD1553" t="s">
        <v>59</v>
      </c>
      <c r="AF1553" s="1">
        <v>38232</v>
      </c>
      <c r="AG1553" t="s">
        <v>125</v>
      </c>
      <c r="AH1553" t="s">
        <v>126</v>
      </c>
      <c r="AI1553" t="str">
        <f>"1701010"</f>
        <v>1701010</v>
      </c>
      <c r="AJ1553" t="s">
        <v>374</v>
      </c>
      <c r="AK1553">
        <v>2810227148</v>
      </c>
      <c r="AL1553" t="s">
        <v>375</v>
      </c>
      <c r="AM1553" t="s">
        <v>78</v>
      </c>
      <c r="AN1553" t="s">
        <v>78</v>
      </c>
      <c r="AO1553" t="s">
        <v>78</v>
      </c>
      <c r="AP1553" t="s">
        <v>79</v>
      </c>
      <c r="AQ1553">
        <v>1</v>
      </c>
      <c r="AR1553" t="s">
        <v>123</v>
      </c>
      <c r="AS1553" t="s">
        <v>124</v>
      </c>
      <c r="AT1553" t="s">
        <v>58</v>
      </c>
      <c r="AU1553" t="s">
        <v>68</v>
      </c>
      <c r="AV1553" t="s">
        <v>69</v>
      </c>
      <c r="AW1553" s="1">
        <v>27332</v>
      </c>
      <c r="AX1553">
        <v>2</v>
      </c>
    </row>
    <row r="1554" spans="1:50">
      <c r="A1554">
        <v>182891</v>
      </c>
      <c r="B1554" t="str">
        <f>"079077455"</f>
        <v>079077455</v>
      </c>
      <c r="C1554" t="s">
        <v>50</v>
      </c>
      <c r="D1554" t="s">
        <v>3424</v>
      </c>
      <c r="E1554" t="s">
        <v>155</v>
      </c>
      <c r="F1554" t="s">
        <v>95</v>
      </c>
      <c r="G1554" t="s">
        <v>476</v>
      </c>
      <c r="H1554" t="str">
        <f>"ΠΤΟΛΕΜΑΙΩΝ 3 "</f>
        <v xml:space="preserve">ΠΤΟΛΕΜΑΙΩΝ 3 </v>
      </c>
      <c r="I1554">
        <v>71409</v>
      </c>
      <c r="J1554">
        <v>2810237740</v>
      </c>
      <c r="K1554">
        <v>6972325895</v>
      </c>
      <c r="M1554" t="s">
        <v>3425</v>
      </c>
      <c r="N1554" t="s">
        <v>288</v>
      </c>
      <c r="O1554" t="s">
        <v>289</v>
      </c>
      <c r="R1554" t="s">
        <v>57</v>
      </c>
      <c r="S1554">
        <v>11</v>
      </c>
      <c r="T1554">
        <v>249</v>
      </c>
      <c r="U1554" s="1">
        <v>36160</v>
      </c>
      <c r="V1554" t="s">
        <v>123</v>
      </c>
      <c r="W1554" t="s">
        <v>124</v>
      </c>
      <c r="X1554" t="s">
        <v>58</v>
      </c>
      <c r="Y1554">
        <v>20</v>
      </c>
      <c r="Z1554" t="s">
        <v>59</v>
      </c>
      <c r="AA1554" t="s">
        <v>59</v>
      </c>
      <c r="AB1554" t="s">
        <v>59</v>
      </c>
      <c r="AC1554" t="s">
        <v>59</v>
      </c>
      <c r="AD1554" t="s">
        <v>452</v>
      </c>
      <c r="AE1554" s="1">
        <v>43708</v>
      </c>
      <c r="AF1554" s="1">
        <v>36172</v>
      </c>
      <c r="AG1554" t="s">
        <v>60</v>
      </c>
      <c r="AH1554" t="s">
        <v>453</v>
      </c>
      <c r="AI1554" t="str">
        <f>"1700105"</f>
        <v>1700105</v>
      </c>
      <c r="AJ1554" t="s">
        <v>124</v>
      </c>
      <c r="AK1554">
        <v>2810333720</v>
      </c>
      <c r="AL1554" t="s">
        <v>454</v>
      </c>
      <c r="AM1554" t="s">
        <v>78</v>
      </c>
      <c r="AN1554" t="s">
        <v>78</v>
      </c>
      <c r="AO1554" t="s">
        <v>78</v>
      </c>
      <c r="AP1554" t="s">
        <v>79</v>
      </c>
      <c r="AS1554" t="s">
        <v>124</v>
      </c>
      <c r="AT1554" t="s">
        <v>58</v>
      </c>
      <c r="AU1554" t="s">
        <v>68</v>
      </c>
      <c r="AV1554" t="s">
        <v>455</v>
      </c>
      <c r="AW1554" s="1">
        <v>27345</v>
      </c>
      <c r="AX1554">
        <v>2</v>
      </c>
    </row>
    <row r="1555" spans="1:50">
      <c r="A1555">
        <v>198693</v>
      </c>
      <c r="B1555" t="str">
        <f>"075646026"</f>
        <v>075646026</v>
      </c>
      <c r="C1555" t="s">
        <v>50</v>
      </c>
      <c r="D1555" t="s">
        <v>3426</v>
      </c>
      <c r="E1555" t="s">
        <v>52</v>
      </c>
      <c r="F1555" t="s">
        <v>53</v>
      </c>
      <c r="G1555" t="s">
        <v>155</v>
      </c>
      <c r="H1555" t="str">
        <f>" "</f>
        <v xml:space="preserve"> </v>
      </c>
      <c r="J1555">
        <v>2810280081</v>
      </c>
      <c r="K1555">
        <v>6937026112</v>
      </c>
      <c r="M1555" t="s">
        <v>3427</v>
      </c>
      <c r="N1555" t="s">
        <v>306</v>
      </c>
      <c r="O1555" t="s">
        <v>307</v>
      </c>
      <c r="R1555" t="s">
        <v>57</v>
      </c>
      <c r="S1555">
        <v>11</v>
      </c>
      <c r="T1555">
        <v>206</v>
      </c>
      <c r="U1555" s="1">
        <v>37866</v>
      </c>
      <c r="V1555" t="s">
        <v>123</v>
      </c>
      <c r="W1555" t="s">
        <v>124</v>
      </c>
      <c r="X1555" t="s">
        <v>58</v>
      </c>
      <c r="Y1555">
        <v>20</v>
      </c>
      <c r="Z1555" t="s">
        <v>59</v>
      </c>
      <c r="AA1555" t="s">
        <v>59</v>
      </c>
      <c r="AB1555" t="s">
        <v>59</v>
      </c>
      <c r="AC1555" t="s">
        <v>59</v>
      </c>
      <c r="AD1555" t="s">
        <v>452</v>
      </c>
      <c r="AE1555" s="1">
        <v>43708</v>
      </c>
      <c r="AF1555" s="1">
        <v>37866</v>
      </c>
      <c r="AG1555" t="s">
        <v>60</v>
      </c>
      <c r="AH1555" t="s">
        <v>453</v>
      </c>
      <c r="AI1555" t="str">
        <f>"1700105"</f>
        <v>1700105</v>
      </c>
      <c r="AJ1555" t="s">
        <v>124</v>
      </c>
      <c r="AK1555">
        <v>2810333720</v>
      </c>
      <c r="AL1555" t="s">
        <v>454</v>
      </c>
      <c r="AM1555" t="s">
        <v>78</v>
      </c>
      <c r="AN1555" t="s">
        <v>78</v>
      </c>
      <c r="AO1555" t="s">
        <v>78</v>
      </c>
      <c r="AP1555" t="s">
        <v>79</v>
      </c>
      <c r="AS1555" t="s">
        <v>124</v>
      </c>
      <c r="AT1555" t="s">
        <v>58</v>
      </c>
      <c r="AU1555" t="s">
        <v>68</v>
      </c>
      <c r="AV1555" t="s">
        <v>455</v>
      </c>
      <c r="AW1555" s="1">
        <v>27520</v>
      </c>
      <c r="AX1555">
        <v>2</v>
      </c>
    </row>
    <row r="1556" spans="1:50">
      <c r="A1556">
        <v>207764</v>
      </c>
      <c r="B1556" t="str">
        <f>"056575588"</f>
        <v>056575588</v>
      </c>
      <c r="C1556" t="s">
        <v>50</v>
      </c>
      <c r="D1556" t="s">
        <v>3426</v>
      </c>
      <c r="E1556" t="s">
        <v>460</v>
      </c>
      <c r="F1556" t="s">
        <v>53</v>
      </c>
      <c r="G1556" t="s">
        <v>3161</v>
      </c>
      <c r="H1556" t="str">
        <f>"ΒΟΛΟΥ 21 "</f>
        <v xml:space="preserve">ΒΟΛΟΥ 21 </v>
      </c>
      <c r="I1556">
        <v>71409</v>
      </c>
      <c r="J1556">
        <v>2810232669</v>
      </c>
      <c r="K1556">
        <v>6973615482</v>
      </c>
      <c r="M1556" t="s">
        <v>3428</v>
      </c>
      <c r="N1556" t="s">
        <v>288</v>
      </c>
      <c r="O1556" t="s">
        <v>289</v>
      </c>
      <c r="R1556" t="s">
        <v>57</v>
      </c>
      <c r="S1556">
        <v>8</v>
      </c>
      <c r="T1556">
        <v>218</v>
      </c>
      <c r="U1556" s="1">
        <v>38596</v>
      </c>
      <c r="V1556" t="s">
        <v>123</v>
      </c>
      <c r="W1556" t="s">
        <v>124</v>
      </c>
      <c r="X1556" t="s">
        <v>58</v>
      </c>
      <c r="Y1556">
        <v>20</v>
      </c>
      <c r="Z1556" t="s">
        <v>59</v>
      </c>
      <c r="AA1556" t="s">
        <v>59</v>
      </c>
      <c r="AB1556" t="s">
        <v>59</v>
      </c>
      <c r="AC1556" t="s">
        <v>59</v>
      </c>
      <c r="AD1556" t="s">
        <v>59</v>
      </c>
      <c r="AF1556" s="1">
        <v>38600</v>
      </c>
      <c r="AG1556" t="s">
        <v>125</v>
      </c>
      <c r="AH1556" t="s">
        <v>126</v>
      </c>
      <c r="AI1556" t="str">
        <f>"1701030"</f>
        <v>1701030</v>
      </c>
      <c r="AJ1556" t="s">
        <v>270</v>
      </c>
      <c r="AK1556">
        <v>2810361015</v>
      </c>
      <c r="AL1556" t="s">
        <v>271</v>
      </c>
      <c r="AM1556" t="s">
        <v>78</v>
      </c>
      <c r="AN1556" t="s">
        <v>78</v>
      </c>
      <c r="AO1556" t="s">
        <v>78</v>
      </c>
      <c r="AP1556" t="s">
        <v>163</v>
      </c>
      <c r="AQ1556">
        <v>2</v>
      </c>
      <c r="AR1556" t="s">
        <v>123</v>
      </c>
      <c r="AS1556" t="s">
        <v>124</v>
      </c>
      <c r="AT1556" t="s">
        <v>58</v>
      </c>
      <c r="AU1556" t="s">
        <v>68</v>
      </c>
      <c r="AV1556" t="s">
        <v>69</v>
      </c>
      <c r="AW1556" s="1">
        <v>25377</v>
      </c>
      <c r="AX1556">
        <v>2</v>
      </c>
    </row>
    <row r="1557" spans="1:50">
      <c r="A1557">
        <v>178205</v>
      </c>
      <c r="B1557" t="str">
        <f>"031479627"</f>
        <v>031479627</v>
      </c>
      <c r="C1557" t="s">
        <v>105</v>
      </c>
      <c r="D1557" t="s">
        <v>3429</v>
      </c>
      <c r="E1557" t="s">
        <v>166</v>
      </c>
      <c r="F1557" t="s">
        <v>72</v>
      </c>
      <c r="G1557" t="s">
        <v>237</v>
      </c>
      <c r="H1557" t="str">
        <f>"ΜΟΥΣΩΝ 91 "</f>
        <v xml:space="preserve">ΜΟΥΣΩΝ 91 </v>
      </c>
      <c r="I1557">
        <v>71307</v>
      </c>
      <c r="J1557">
        <v>2810235554</v>
      </c>
      <c r="K1557">
        <v>6945239905</v>
      </c>
      <c r="M1557" t="s">
        <v>3430</v>
      </c>
      <c r="N1557" t="s">
        <v>204</v>
      </c>
      <c r="O1557" t="s">
        <v>205</v>
      </c>
      <c r="P1557" t="s">
        <v>232</v>
      </c>
      <c r="Q1557" t="s">
        <v>233</v>
      </c>
      <c r="R1557" t="s">
        <v>57</v>
      </c>
      <c r="S1557">
        <v>16</v>
      </c>
      <c r="T1557">
        <v>180</v>
      </c>
      <c r="U1557" s="1">
        <v>35674</v>
      </c>
      <c r="V1557" t="s">
        <v>123</v>
      </c>
      <c r="W1557" t="s">
        <v>124</v>
      </c>
      <c r="X1557" t="s">
        <v>58</v>
      </c>
      <c r="Y1557">
        <v>18</v>
      </c>
      <c r="Z1557" t="s">
        <v>59</v>
      </c>
      <c r="AA1557" t="s">
        <v>59</v>
      </c>
      <c r="AB1557" t="s">
        <v>59</v>
      </c>
      <c r="AC1557" t="s">
        <v>59</v>
      </c>
      <c r="AD1557" t="s">
        <v>59</v>
      </c>
      <c r="AF1557" s="1">
        <v>35678</v>
      </c>
      <c r="AG1557" t="s">
        <v>148</v>
      </c>
      <c r="AH1557" t="s">
        <v>149</v>
      </c>
      <c r="AI1557" t="str">
        <f>"1751040"</f>
        <v>1751040</v>
      </c>
      <c r="AJ1557" t="s">
        <v>178</v>
      </c>
      <c r="AK1557">
        <v>2810252495</v>
      </c>
      <c r="AL1557" t="s">
        <v>179</v>
      </c>
      <c r="AM1557" t="s">
        <v>78</v>
      </c>
      <c r="AN1557" t="s">
        <v>78</v>
      </c>
      <c r="AO1557" t="s">
        <v>78</v>
      </c>
      <c r="AP1557" t="s">
        <v>141</v>
      </c>
      <c r="AQ1557">
        <v>3</v>
      </c>
      <c r="AR1557" t="s">
        <v>123</v>
      </c>
      <c r="AS1557" t="s">
        <v>124</v>
      </c>
      <c r="AT1557" t="s">
        <v>58</v>
      </c>
      <c r="AU1557" t="s">
        <v>68</v>
      </c>
      <c r="AV1557" t="s">
        <v>69</v>
      </c>
      <c r="AW1557" s="1">
        <v>22547</v>
      </c>
      <c r="AX1557">
        <v>2</v>
      </c>
    </row>
    <row r="1558" spans="1:50">
      <c r="A1558">
        <v>203418</v>
      </c>
      <c r="B1558" t="str">
        <f>"055197028"</f>
        <v>055197028</v>
      </c>
      <c r="C1558" t="s">
        <v>50</v>
      </c>
      <c r="D1558" t="s">
        <v>3431</v>
      </c>
      <c r="E1558" t="s">
        <v>3432</v>
      </c>
      <c r="F1558" t="s">
        <v>95</v>
      </c>
      <c r="G1558" t="s">
        <v>181</v>
      </c>
      <c r="H1558" t="str">
        <f>"ΜΙΧ. ΨΕΛΛΟΥ 12 ΗΡΑΚΛΕΙΟ"</f>
        <v>ΜΙΧ. ΨΕΛΛΟΥ 12 ΗΡΑΚΛΕΙΟ</v>
      </c>
      <c r="I1558">
        <v>71307</v>
      </c>
      <c r="J1558">
        <v>2109915778</v>
      </c>
      <c r="K1558">
        <v>6977329961</v>
      </c>
      <c r="M1558" t="s">
        <v>3433</v>
      </c>
      <c r="N1558" t="s">
        <v>306</v>
      </c>
      <c r="O1558" t="s">
        <v>307</v>
      </c>
      <c r="R1558" t="s">
        <v>57</v>
      </c>
      <c r="S1558">
        <v>7</v>
      </c>
      <c r="T1558">
        <v>231</v>
      </c>
      <c r="U1558" s="1">
        <v>38230</v>
      </c>
      <c r="V1558" t="s">
        <v>123</v>
      </c>
      <c r="W1558" t="s">
        <v>124</v>
      </c>
      <c r="X1558" t="s">
        <v>58</v>
      </c>
      <c r="Y1558">
        <v>20</v>
      </c>
      <c r="Z1558" t="s">
        <v>59</v>
      </c>
      <c r="AA1558" t="s">
        <v>59</v>
      </c>
      <c r="AB1558" t="s">
        <v>59</v>
      </c>
      <c r="AC1558" t="s">
        <v>59</v>
      </c>
      <c r="AD1558" t="s">
        <v>59</v>
      </c>
      <c r="AF1558" s="1">
        <v>38238</v>
      </c>
      <c r="AG1558" t="s">
        <v>125</v>
      </c>
      <c r="AH1558" t="s">
        <v>126</v>
      </c>
      <c r="AI1558" t="str">
        <f>"1701080"</f>
        <v>1701080</v>
      </c>
      <c r="AJ1558" t="s">
        <v>183</v>
      </c>
      <c r="AK1558">
        <v>2810721263</v>
      </c>
      <c r="AL1558" t="s">
        <v>184</v>
      </c>
      <c r="AM1558" t="s">
        <v>78</v>
      </c>
      <c r="AN1558" t="s">
        <v>78</v>
      </c>
      <c r="AO1558" t="s">
        <v>185</v>
      </c>
      <c r="AP1558" t="s">
        <v>186</v>
      </c>
      <c r="AQ1558">
        <v>29</v>
      </c>
      <c r="AR1558" t="s">
        <v>123</v>
      </c>
      <c r="AS1558" t="s">
        <v>124</v>
      </c>
      <c r="AT1558" t="s">
        <v>58</v>
      </c>
      <c r="AU1558" t="s">
        <v>68</v>
      </c>
      <c r="AV1558" t="s">
        <v>69</v>
      </c>
      <c r="AW1558" s="1">
        <v>26029</v>
      </c>
      <c r="AX1558">
        <v>2</v>
      </c>
    </row>
    <row r="1559" spans="1:50">
      <c r="A1559">
        <v>170021</v>
      </c>
      <c r="B1559" t="str">
        <f>"010747300"</f>
        <v>010747300</v>
      </c>
      <c r="C1559" t="s">
        <v>50</v>
      </c>
      <c r="D1559" t="s">
        <v>3434</v>
      </c>
      <c r="E1559" t="s">
        <v>73</v>
      </c>
      <c r="F1559" t="s">
        <v>72</v>
      </c>
      <c r="G1559" t="s">
        <v>215</v>
      </c>
      <c r="H1559" t="str">
        <f>"ΜΥΣΤΡΑ 11 ΜΑΣΤΑΜΠΑΣ"</f>
        <v>ΜΥΣΤΡΑ 11 ΜΑΣΤΑΜΠΑΣ</v>
      </c>
      <c r="I1559">
        <v>71305</v>
      </c>
      <c r="J1559">
        <v>2810311965</v>
      </c>
      <c r="K1559">
        <v>6973895247</v>
      </c>
      <c r="M1559" t="s">
        <v>3435</v>
      </c>
      <c r="N1559" t="s">
        <v>146</v>
      </c>
      <c r="O1559" t="s">
        <v>147</v>
      </c>
      <c r="R1559" t="s">
        <v>57</v>
      </c>
      <c r="S1559">
        <v>13</v>
      </c>
      <c r="T1559">
        <v>184</v>
      </c>
      <c r="U1559" s="1">
        <v>34941</v>
      </c>
      <c r="V1559" t="s">
        <v>123</v>
      </c>
      <c r="W1559" t="s">
        <v>124</v>
      </c>
      <c r="X1559" t="s">
        <v>58</v>
      </c>
      <c r="Y1559">
        <v>18</v>
      </c>
      <c r="Z1559" t="s">
        <v>59</v>
      </c>
      <c r="AA1559" t="s">
        <v>59</v>
      </c>
      <c r="AB1559" t="s">
        <v>59</v>
      </c>
      <c r="AC1559" t="s">
        <v>59</v>
      </c>
      <c r="AD1559" t="s">
        <v>59</v>
      </c>
      <c r="AF1559" s="1">
        <v>34943</v>
      </c>
      <c r="AG1559" t="s">
        <v>125</v>
      </c>
      <c r="AH1559" t="s">
        <v>126</v>
      </c>
      <c r="AI1559" t="str">
        <f>"1728010"</f>
        <v>1728010</v>
      </c>
      <c r="AJ1559" t="s">
        <v>127</v>
      </c>
      <c r="AK1559">
        <v>2810824651</v>
      </c>
      <c r="AL1559" t="s">
        <v>128</v>
      </c>
      <c r="AM1559" t="s">
        <v>78</v>
      </c>
      <c r="AN1559" t="s">
        <v>129</v>
      </c>
      <c r="AO1559" t="s">
        <v>130</v>
      </c>
      <c r="AP1559" t="s">
        <v>130</v>
      </c>
      <c r="AQ1559">
        <v>36</v>
      </c>
      <c r="AR1559" t="s">
        <v>123</v>
      </c>
      <c r="AS1559" t="s">
        <v>124</v>
      </c>
      <c r="AT1559" t="s">
        <v>58</v>
      </c>
      <c r="AU1559" t="s">
        <v>68</v>
      </c>
      <c r="AV1559" t="s">
        <v>69</v>
      </c>
      <c r="AW1559" s="1">
        <v>22168</v>
      </c>
      <c r="AX1559">
        <v>2</v>
      </c>
    </row>
    <row r="1560" spans="1:50">
      <c r="A1560">
        <v>209214</v>
      </c>
      <c r="B1560" t="str">
        <f>"049659512"</f>
        <v>049659512</v>
      </c>
      <c r="C1560" t="s">
        <v>50</v>
      </c>
      <c r="D1560" t="s">
        <v>3436</v>
      </c>
      <c r="E1560" t="s">
        <v>237</v>
      </c>
      <c r="F1560" t="s">
        <v>95</v>
      </c>
      <c r="G1560" t="s">
        <v>3437</v>
      </c>
      <c r="H1560" t="str">
        <f>" "</f>
        <v xml:space="preserve"> </v>
      </c>
      <c r="J1560">
        <v>2810342491</v>
      </c>
      <c r="K1560">
        <v>6972944810</v>
      </c>
      <c r="M1560" t="s">
        <v>3438</v>
      </c>
      <c r="N1560" t="s">
        <v>204</v>
      </c>
      <c r="O1560" t="s">
        <v>205</v>
      </c>
      <c r="R1560" t="s">
        <v>57</v>
      </c>
      <c r="S1560">
        <v>8</v>
      </c>
      <c r="T1560">
        <v>218</v>
      </c>
      <c r="U1560" s="1">
        <v>38596</v>
      </c>
      <c r="V1560" t="s">
        <v>123</v>
      </c>
      <c r="W1560" t="s">
        <v>124</v>
      </c>
      <c r="X1560" t="s">
        <v>58</v>
      </c>
      <c r="Y1560">
        <v>20</v>
      </c>
      <c r="Z1560" t="s">
        <v>59</v>
      </c>
      <c r="AA1560" t="s">
        <v>59</v>
      </c>
      <c r="AB1560" t="s">
        <v>59</v>
      </c>
      <c r="AC1560" t="s">
        <v>59</v>
      </c>
      <c r="AD1560" t="s">
        <v>59</v>
      </c>
      <c r="AF1560" s="1">
        <v>38600</v>
      </c>
      <c r="AG1560" t="s">
        <v>137</v>
      </c>
      <c r="AH1560" t="s">
        <v>138</v>
      </c>
      <c r="AI1560" t="str">
        <f>"1740300"</f>
        <v>1740300</v>
      </c>
      <c r="AJ1560" t="s">
        <v>1274</v>
      </c>
      <c r="AK1560">
        <v>2892022100</v>
      </c>
      <c r="AL1560" t="s">
        <v>1275</v>
      </c>
      <c r="AM1560" t="s">
        <v>78</v>
      </c>
      <c r="AN1560" t="s">
        <v>242</v>
      </c>
      <c r="AO1560" t="s">
        <v>243</v>
      </c>
      <c r="AP1560" t="s">
        <v>243</v>
      </c>
      <c r="AQ1560">
        <v>33</v>
      </c>
      <c r="AR1560" t="s">
        <v>123</v>
      </c>
      <c r="AS1560" t="s">
        <v>124</v>
      </c>
      <c r="AT1560" t="s">
        <v>58</v>
      </c>
      <c r="AU1560" t="s">
        <v>68</v>
      </c>
      <c r="AV1560" t="s">
        <v>69</v>
      </c>
      <c r="AW1560" s="1">
        <v>28784</v>
      </c>
      <c r="AX1560">
        <v>2</v>
      </c>
    </row>
    <row r="1561" spans="1:50">
      <c r="A1561">
        <v>220536</v>
      </c>
      <c r="B1561" t="str">
        <f>"103802889"</f>
        <v>103802889</v>
      </c>
      <c r="C1561" t="s">
        <v>50</v>
      </c>
      <c r="D1561" t="s">
        <v>3439</v>
      </c>
      <c r="E1561" t="s">
        <v>52</v>
      </c>
      <c r="F1561" t="s">
        <v>95</v>
      </c>
      <c r="G1561" t="s">
        <v>73</v>
      </c>
      <c r="H1561" t="str">
        <f>"ΑΝΤΙΟΧΕΙΑΣ 54 ΗΡΑΚΛΕΙΟ"</f>
        <v>ΑΝΤΙΟΧΕΙΑΣ 54 ΗΡΑΚΛΕΙΟ</v>
      </c>
      <c r="I1561">
        <v>71305</v>
      </c>
      <c r="J1561">
        <v>2815100179</v>
      </c>
      <c r="K1561">
        <v>6977408711</v>
      </c>
      <c r="M1561" t="s">
        <v>3440</v>
      </c>
      <c r="N1561" t="s">
        <v>146</v>
      </c>
      <c r="O1561" t="s">
        <v>147</v>
      </c>
      <c r="R1561" t="s">
        <v>57</v>
      </c>
      <c r="S1561">
        <v>7</v>
      </c>
      <c r="T1561">
        <v>681</v>
      </c>
      <c r="U1561" s="1">
        <v>39325</v>
      </c>
      <c r="V1561" t="s">
        <v>123</v>
      </c>
      <c r="W1561" t="s">
        <v>124</v>
      </c>
      <c r="X1561" t="s">
        <v>58</v>
      </c>
      <c r="Y1561">
        <v>21</v>
      </c>
      <c r="Z1561" t="s">
        <v>59</v>
      </c>
      <c r="AA1561" t="s">
        <v>59</v>
      </c>
      <c r="AB1561" t="s">
        <v>59</v>
      </c>
      <c r="AC1561" t="s">
        <v>59</v>
      </c>
      <c r="AD1561" t="s">
        <v>59</v>
      </c>
      <c r="AF1561" s="1">
        <v>39329</v>
      </c>
      <c r="AG1561" t="s">
        <v>125</v>
      </c>
      <c r="AH1561" t="s">
        <v>126</v>
      </c>
      <c r="AI1561" t="str">
        <f>"1711010"</f>
        <v>1711010</v>
      </c>
      <c r="AJ1561" t="s">
        <v>695</v>
      </c>
      <c r="AK1561">
        <v>2810741301</v>
      </c>
      <c r="AL1561" t="s">
        <v>696</v>
      </c>
      <c r="AM1561" t="s">
        <v>78</v>
      </c>
      <c r="AN1561" t="s">
        <v>424</v>
      </c>
      <c r="AO1561" t="s">
        <v>428</v>
      </c>
      <c r="AP1561" t="s">
        <v>429</v>
      </c>
      <c r="AQ1561">
        <v>14</v>
      </c>
      <c r="AR1561" t="s">
        <v>123</v>
      </c>
      <c r="AS1561" t="s">
        <v>124</v>
      </c>
      <c r="AT1561" t="s">
        <v>58</v>
      </c>
      <c r="AU1561" t="s">
        <v>68</v>
      </c>
      <c r="AV1561" t="s">
        <v>69</v>
      </c>
      <c r="AW1561" s="1">
        <v>30371</v>
      </c>
      <c r="AX1561">
        <v>2</v>
      </c>
    </row>
    <row r="1562" spans="1:50">
      <c r="A1562">
        <v>171640</v>
      </c>
      <c r="B1562" t="str">
        <f>"035809845"</f>
        <v>035809845</v>
      </c>
      <c r="C1562" t="s">
        <v>105</v>
      </c>
      <c r="D1562" t="s">
        <v>3441</v>
      </c>
      <c r="E1562" t="s">
        <v>383</v>
      </c>
      <c r="F1562" t="s">
        <v>377</v>
      </c>
      <c r="G1562" t="s">
        <v>3442</v>
      </c>
      <c r="H1562" t="str">
        <f>"Λάππα 62 Μασταμπάς"</f>
        <v>Λάππα 62 Μασταμπάς</v>
      </c>
      <c r="I1562">
        <v>71305</v>
      </c>
      <c r="J1562">
        <v>2810315276</v>
      </c>
      <c r="K1562">
        <v>6936660217</v>
      </c>
      <c r="N1562" t="s">
        <v>176</v>
      </c>
      <c r="O1562" t="s">
        <v>177</v>
      </c>
      <c r="R1562" t="s">
        <v>57</v>
      </c>
      <c r="S1562">
        <v>13</v>
      </c>
      <c r="T1562">
        <v>184</v>
      </c>
      <c r="U1562" s="1">
        <v>34941</v>
      </c>
      <c r="V1562" t="s">
        <v>123</v>
      </c>
      <c r="W1562" t="s">
        <v>124</v>
      </c>
      <c r="X1562" t="s">
        <v>58</v>
      </c>
      <c r="Y1562">
        <v>18</v>
      </c>
      <c r="Z1562" t="s">
        <v>59</v>
      </c>
      <c r="AA1562" t="s">
        <v>59</v>
      </c>
      <c r="AB1562" t="s">
        <v>59</v>
      </c>
      <c r="AC1562" t="s">
        <v>59</v>
      </c>
      <c r="AD1562" t="s">
        <v>59</v>
      </c>
      <c r="AF1562" s="1">
        <v>34947</v>
      </c>
      <c r="AG1562" t="s">
        <v>148</v>
      </c>
      <c r="AH1562" t="s">
        <v>149</v>
      </c>
      <c r="AI1562" t="str">
        <f>"1764010"</f>
        <v>1764010</v>
      </c>
      <c r="AJ1562" t="s">
        <v>1058</v>
      </c>
      <c r="AK1562">
        <v>2810762862</v>
      </c>
      <c r="AL1562" t="s">
        <v>1059</v>
      </c>
      <c r="AM1562" t="s">
        <v>78</v>
      </c>
      <c r="AN1562" t="s">
        <v>219</v>
      </c>
      <c r="AO1562" t="s">
        <v>297</v>
      </c>
      <c r="AP1562" t="s">
        <v>297</v>
      </c>
      <c r="AQ1562">
        <v>37</v>
      </c>
      <c r="AR1562" t="s">
        <v>123</v>
      </c>
      <c r="AS1562" t="s">
        <v>124</v>
      </c>
      <c r="AT1562" t="s">
        <v>58</v>
      </c>
      <c r="AU1562" t="s">
        <v>68</v>
      </c>
      <c r="AV1562" t="s">
        <v>69</v>
      </c>
      <c r="AW1562" s="1">
        <v>23110</v>
      </c>
      <c r="AX1562">
        <v>2</v>
      </c>
    </row>
    <row r="1563" spans="1:50">
      <c r="A1563">
        <v>182070</v>
      </c>
      <c r="B1563" t="str">
        <f>"043582610"</f>
        <v>043582610</v>
      </c>
      <c r="C1563" t="s">
        <v>105</v>
      </c>
      <c r="D1563" t="s">
        <v>3443</v>
      </c>
      <c r="E1563" t="s">
        <v>154</v>
      </c>
      <c r="F1563" t="s">
        <v>760</v>
      </c>
      <c r="G1563" t="s">
        <v>3444</v>
      </c>
      <c r="H1563" t="str">
        <f>" "</f>
        <v xml:space="preserve"> </v>
      </c>
      <c r="M1563" t="s">
        <v>3445</v>
      </c>
      <c r="N1563" t="s">
        <v>204</v>
      </c>
      <c r="O1563" t="s">
        <v>205</v>
      </c>
      <c r="R1563" t="s">
        <v>57</v>
      </c>
      <c r="S1563">
        <v>12</v>
      </c>
      <c r="T1563">
        <v>164</v>
      </c>
      <c r="U1563" s="1">
        <v>36040</v>
      </c>
      <c r="V1563" t="s">
        <v>123</v>
      </c>
      <c r="W1563" t="s">
        <v>124</v>
      </c>
      <c r="X1563" t="s">
        <v>58</v>
      </c>
      <c r="Y1563">
        <v>18</v>
      </c>
      <c r="Z1563" t="s">
        <v>59</v>
      </c>
      <c r="AA1563" t="s">
        <v>59</v>
      </c>
      <c r="AB1563" t="s">
        <v>59</v>
      </c>
      <c r="AC1563" t="s">
        <v>59</v>
      </c>
      <c r="AD1563" t="s">
        <v>59</v>
      </c>
      <c r="AF1563" s="1">
        <v>36042</v>
      </c>
      <c r="AG1563" t="s">
        <v>137</v>
      </c>
      <c r="AH1563" t="s">
        <v>138</v>
      </c>
      <c r="AI1563" t="str">
        <f>"1740080"</f>
        <v>1740080</v>
      </c>
      <c r="AJ1563" t="s">
        <v>284</v>
      </c>
      <c r="AK1563">
        <v>2810220433</v>
      </c>
      <c r="AL1563" t="s">
        <v>285</v>
      </c>
      <c r="AM1563" t="s">
        <v>78</v>
      </c>
      <c r="AN1563" t="s">
        <v>78</v>
      </c>
      <c r="AO1563" t="s">
        <v>286</v>
      </c>
      <c r="AP1563" t="s">
        <v>286</v>
      </c>
      <c r="AQ1563">
        <v>12</v>
      </c>
      <c r="AR1563" t="s">
        <v>123</v>
      </c>
      <c r="AS1563" t="s">
        <v>124</v>
      </c>
      <c r="AT1563" t="s">
        <v>58</v>
      </c>
      <c r="AU1563" t="s">
        <v>68</v>
      </c>
      <c r="AV1563" t="s">
        <v>69</v>
      </c>
      <c r="AW1563" s="1">
        <v>24838</v>
      </c>
      <c r="AX1563">
        <v>2</v>
      </c>
    </row>
    <row r="1564" spans="1:50">
      <c r="A1564">
        <v>192221</v>
      </c>
      <c r="B1564" t="str">
        <f>"054701657"</f>
        <v>054701657</v>
      </c>
      <c r="C1564" t="s">
        <v>50</v>
      </c>
      <c r="D1564" t="s">
        <v>3446</v>
      </c>
      <c r="E1564" t="s">
        <v>52</v>
      </c>
      <c r="F1564" t="s">
        <v>166</v>
      </c>
      <c r="G1564" t="s">
        <v>215</v>
      </c>
      <c r="H1564" t="str">
        <f>"ΚΙΜΩΝΟΣ 13 ΝΤΡΑΦΙ-ΡΑΦΗΝΑΣ"</f>
        <v>ΚΙΜΩΝΟΣ 13 ΝΤΡΑΦΙ-ΡΑΦΗΝΑΣ</v>
      </c>
      <c r="I1564">
        <v>19009</v>
      </c>
      <c r="J1564">
        <v>2106044260</v>
      </c>
      <c r="K1564">
        <v>6972270164</v>
      </c>
      <c r="N1564" t="s">
        <v>189</v>
      </c>
      <c r="O1564" t="s">
        <v>190</v>
      </c>
      <c r="R1564" t="s">
        <v>57</v>
      </c>
      <c r="S1564">
        <v>8</v>
      </c>
      <c r="T1564">
        <v>312</v>
      </c>
      <c r="U1564" s="1">
        <v>37239</v>
      </c>
      <c r="V1564" t="s">
        <v>123</v>
      </c>
      <c r="W1564" t="s">
        <v>124</v>
      </c>
      <c r="X1564" t="s">
        <v>58</v>
      </c>
      <c r="Y1564">
        <v>20</v>
      </c>
      <c r="Z1564" t="s">
        <v>59</v>
      </c>
      <c r="AA1564" t="s">
        <v>59</v>
      </c>
      <c r="AB1564" t="s">
        <v>59</v>
      </c>
      <c r="AC1564" t="s">
        <v>59</v>
      </c>
      <c r="AD1564" t="s">
        <v>59</v>
      </c>
      <c r="AF1564" s="1">
        <v>37244</v>
      </c>
      <c r="AG1564" t="s">
        <v>137</v>
      </c>
      <c r="AH1564" t="s">
        <v>138</v>
      </c>
      <c r="AI1564" t="str">
        <f>"1740210"</f>
        <v>1740210</v>
      </c>
      <c r="AJ1564" t="s">
        <v>139</v>
      </c>
      <c r="AK1564">
        <v>2810318130</v>
      </c>
      <c r="AL1564" t="s">
        <v>140</v>
      </c>
      <c r="AM1564" t="s">
        <v>78</v>
      </c>
      <c r="AN1564" t="s">
        <v>78</v>
      </c>
      <c r="AO1564" t="s">
        <v>78</v>
      </c>
      <c r="AP1564" t="s">
        <v>141</v>
      </c>
      <c r="AQ1564">
        <v>7</v>
      </c>
      <c r="AR1564" t="s">
        <v>123</v>
      </c>
      <c r="AS1564" t="s">
        <v>124</v>
      </c>
      <c r="AT1564" t="s">
        <v>58</v>
      </c>
      <c r="AU1564" t="s">
        <v>68</v>
      </c>
      <c r="AV1564" t="s">
        <v>69</v>
      </c>
      <c r="AW1564" s="1">
        <v>27031</v>
      </c>
      <c r="AX1564">
        <v>2</v>
      </c>
    </row>
    <row r="1565" spans="1:50">
      <c r="A1565">
        <v>198900</v>
      </c>
      <c r="B1565" t="str">
        <f>"070996013"</f>
        <v>070996013</v>
      </c>
      <c r="C1565" t="s">
        <v>50</v>
      </c>
      <c r="D1565" t="s">
        <v>3446</v>
      </c>
      <c r="E1565" t="s">
        <v>372</v>
      </c>
      <c r="F1565" t="s">
        <v>1111</v>
      </c>
      <c r="G1565" t="s">
        <v>237</v>
      </c>
      <c r="H1565" t="str">
        <f>"Ιερολοχιτών 162 "</f>
        <v xml:space="preserve">Ιερολοχιτών 162 </v>
      </c>
      <c r="J1565">
        <v>2107789740</v>
      </c>
      <c r="K1565">
        <v>6946838611</v>
      </c>
      <c r="N1565" t="s">
        <v>683</v>
      </c>
      <c r="O1565" t="s">
        <v>684</v>
      </c>
      <c r="R1565" t="s">
        <v>57</v>
      </c>
      <c r="S1565">
        <v>7</v>
      </c>
      <c r="T1565">
        <v>206</v>
      </c>
      <c r="U1565" s="1">
        <v>37866</v>
      </c>
      <c r="V1565" t="s">
        <v>123</v>
      </c>
      <c r="W1565" t="s">
        <v>124</v>
      </c>
      <c r="X1565" t="s">
        <v>58</v>
      </c>
      <c r="Y1565">
        <v>20</v>
      </c>
      <c r="Z1565" t="s">
        <v>59</v>
      </c>
      <c r="AA1565" t="s">
        <v>59</v>
      </c>
      <c r="AB1565" t="s">
        <v>59</v>
      </c>
      <c r="AC1565" t="s">
        <v>59</v>
      </c>
      <c r="AD1565" t="s">
        <v>59</v>
      </c>
      <c r="AF1565" s="1">
        <v>37866</v>
      </c>
      <c r="AG1565" t="s">
        <v>125</v>
      </c>
      <c r="AH1565" t="s">
        <v>386</v>
      </c>
      <c r="AI1565" t="str">
        <f>"1741002"</f>
        <v>1741002</v>
      </c>
      <c r="AJ1565" t="s">
        <v>387</v>
      </c>
      <c r="AK1565">
        <v>2810762610</v>
      </c>
      <c r="AL1565" t="s">
        <v>388</v>
      </c>
      <c r="AM1565" t="s">
        <v>78</v>
      </c>
      <c r="AN1565" t="s">
        <v>219</v>
      </c>
      <c r="AO1565" t="s">
        <v>297</v>
      </c>
      <c r="AP1565" t="s">
        <v>297</v>
      </c>
      <c r="AQ1565">
        <v>10</v>
      </c>
      <c r="AR1565" t="s">
        <v>123</v>
      </c>
      <c r="AS1565" t="s">
        <v>124</v>
      </c>
      <c r="AT1565" t="s">
        <v>58</v>
      </c>
      <c r="AU1565" t="s">
        <v>68</v>
      </c>
      <c r="AV1565" t="s">
        <v>69</v>
      </c>
      <c r="AW1565" s="1">
        <v>27909</v>
      </c>
      <c r="AX1565">
        <v>2</v>
      </c>
    </row>
    <row r="1566" spans="1:50">
      <c r="A1566">
        <v>221037</v>
      </c>
      <c r="B1566" t="str">
        <f>"114291581"</f>
        <v>114291581</v>
      </c>
      <c r="C1566" t="s">
        <v>50</v>
      </c>
      <c r="D1566" t="s">
        <v>3447</v>
      </c>
      <c r="E1566" t="s">
        <v>580</v>
      </c>
      <c r="F1566" t="s">
        <v>99</v>
      </c>
      <c r="G1566" t="s">
        <v>553</v>
      </c>
      <c r="H1566" t="str">
        <f>"ΠΑΡΟΔΟΣ ΗΛΙΑ ΗΛΙΟΥ 4  ΤΡΕΙΣ ΒΑΓΙΕΣ"</f>
        <v>ΠΑΡΟΔΟΣ ΗΛΙΑ ΗΛΙΟΥ 4  ΤΡΕΙΣ ΒΑΓΙΕΣ</v>
      </c>
      <c r="I1566">
        <v>71410</v>
      </c>
      <c r="J1566">
        <v>2810258357</v>
      </c>
      <c r="K1566">
        <v>6976891820</v>
      </c>
      <c r="M1566" t="s">
        <v>3448</v>
      </c>
      <c r="N1566" t="s">
        <v>157</v>
      </c>
      <c r="O1566" t="s">
        <v>158</v>
      </c>
      <c r="R1566" t="s">
        <v>57</v>
      </c>
      <c r="S1566">
        <v>6</v>
      </c>
      <c r="T1566">
        <v>691</v>
      </c>
      <c r="U1566" s="1">
        <v>39331</v>
      </c>
      <c r="V1566" t="s">
        <v>123</v>
      </c>
      <c r="W1566" t="s">
        <v>124</v>
      </c>
      <c r="X1566" t="s">
        <v>58</v>
      </c>
      <c r="Y1566">
        <v>20</v>
      </c>
      <c r="Z1566" t="s">
        <v>59</v>
      </c>
      <c r="AA1566" t="s">
        <v>59</v>
      </c>
      <c r="AB1566" t="s">
        <v>59</v>
      </c>
      <c r="AC1566" t="s">
        <v>59</v>
      </c>
      <c r="AD1566" t="s">
        <v>59</v>
      </c>
      <c r="AF1566" s="1">
        <v>39332</v>
      </c>
      <c r="AG1566" t="s">
        <v>125</v>
      </c>
      <c r="AH1566" t="s">
        <v>126</v>
      </c>
      <c r="AI1566" t="str">
        <f>"1701020"</f>
        <v>1701020</v>
      </c>
      <c r="AJ1566" t="s">
        <v>323</v>
      </c>
      <c r="AK1566">
        <v>2810252111</v>
      </c>
      <c r="AL1566" t="s">
        <v>324</v>
      </c>
      <c r="AM1566" t="s">
        <v>78</v>
      </c>
      <c r="AN1566" t="s">
        <v>78</v>
      </c>
      <c r="AO1566" t="s">
        <v>78</v>
      </c>
      <c r="AP1566" t="s">
        <v>163</v>
      </c>
      <c r="AQ1566">
        <v>3</v>
      </c>
      <c r="AR1566" t="s">
        <v>123</v>
      </c>
      <c r="AS1566" t="s">
        <v>124</v>
      </c>
      <c r="AT1566" t="s">
        <v>58</v>
      </c>
      <c r="AU1566" t="s">
        <v>68</v>
      </c>
      <c r="AV1566" t="s">
        <v>69</v>
      </c>
      <c r="AW1566" s="1">
        <v>25649</v>
      </c>
      <c r="AX1566">
        <v>2</v>
      </c>
    </row>
    <row r="1567" spans="1:50">
      <c r="A1567">
        <v>224221</v>
      </c>
      <c r="B1567" t="str">
        <f>"123152228"</f>
        <v>123152228</v>
      </c>
      <c r="C1567" t="s">
        <v>50</v>
      </c>
      <c r="D1567" t="s">
        <v>3447</v>
      </c>
      <c r="E1567" t="s">
        <v>112</v>
      </c>
      <c r="F1567" t="s">
        <v>95</v>
      </c>
      <c r="G1567" t="s">
        <v>143</v>
      </c>
      <c r="H1567" t="str">
        <f>"ΤΥΡΤΑΙΟΥ 33 ΗΡΑΚΛΕΙΟ"</f>
        <v>ΤΥΡΤΑΙΟΥ 33 ΗΡΑΚΛΕΙΟ</v>
      </c>
      <c r="I1567">
        <v>71303</v>
      </c>
      <c r="J1567">
        <v>2810528888</v>
      </c>
      <c r="K1567">
        <v>6945169543</v>
      </c>
      <c r="L1567">
        <v>2810259995</v>
      </c>
      <c r="M1567" t="s">
        <v>3449</v>
      </c>
      <c r="N1567" t="s">
        <v>306</v>
      </c>
      <c r="O1567" t="s">
        <v>307</v>
      </c>
      <c r="R1567" t="s">
        <v>57</v>
      </c>
      <c r="S1567">
        <v>7</v>
      </c>
      <c r="T1567">
        <v>775</v>
      </c>
      <c r="U1567" s="1">
        <v>39680</v>
      </c>
      <c r="V1567" t="s">
        <v>123</v>
      </c>
      <c r="W1567" t="s">
        <v>124</v>
      </c>
      <c r="X1567" t="s">
        <v>58</v>
      </c>
      <c r="Y1567">
        <v>21</v>
      </c>
      <c r="Z1567" t="s">
        <v>59</v>
      </c>
      <c r="AA1567" t="s">
        <v>59</v>
      </c>
      <c r="AB1567" t="s">
        <v>59</v>
      </c>
      <c r="AC1567" t="s">
        <v>59</v>
      </c>
      <c r="AD1567" t="s">
        <v>59</v>
      </c>
      <c r="AF1567" s="1">
        <v>39682</v>
      </c>
      <c r="AG1567" t="s">
        <v>137</v>
      </c>
      <c r="AH1567" t="s">
        <v>138</v>
      </c>
      <c r="AI1567" t="str">
        <f>"1740080"</f>
        <v>1740080</v>
      </c>
      <c r="AJ1567" t="s">
        <v>284</v>
      </c>
      <c r="AK1567">
        <v>2810220433</v>
      </c>
      <c r="AL1567" t="s">
        <v>285</v>
      </c>
      <c r="AM1567" t="s">
        <v>78</v>
      </c>
      <c r="AN1567" t="s">
        <v>78</v>
      </c>
      <c r="AO1567" t="s">
        <v>286</v>
      </c>
      <c r="AP1567" t="s">
        <v>286</v>
      </c>
      <c r="AQ1567">
        <v>12</v>
      </c>
      <c r="AR1567" t="s">
        <v>123</v>
      </c>
      <c r="AS1567" t="s">
        <v>124</v>
      </c>
      <c r="AT1567" t="s">
        <v>58</v>
      </c>
      <c r="AU1567" t="s">
        <v>68</v>
      </c>
      <c r="AV1567" t="s">
        <v>69</v>
      </c>
      <c r="AW1567" s="1">
        <v>30194</v>
      </c>
      <c r="AX1567">
        <v>2</v>
      </c>
    </row>
    <row r="1568" spans="1:50">
      <c r="B1568" t="str">
        <f>"056484501"</f>
        <v>056484501</v>
      </c>
      <c r="C1568" t="s">
        <v>50</v>
      </c>
      <c r="D1568" t="s">
        <v>3447</v>
      </c>
      <c r="E1568" t="s">
        <v>54</v>
      </c>
      <c r="F1568" t="s">
        <v>99</v>
      </c>
      <c r="G1568" t="s">
        <v>553</v>
      </c>
      <c r="H1568" t="str">
        <f>"ΙΩΑΚΕΙΜ 7 ΗΡΑΚΛΕΙΟ"</f>
        <v>ΙΩΑΚΕΙΜ 7 ΗΡΑΚΛΕΙΟ</v>
      </c>
      <c r="I1568">
        <v>71409</v>
      </c>
      <c r="J1568">
        <v>2810324556</v>
      </c>
      <c r="K1568">
        <v>6973218473</v>
      </c>
      <c r="N1568" t="s">
        <v>146</v>
      </c>
      <c r="O1568" t="s">
        <v>147</v>
      </c>
      <c r="R1568" t="s">
        <v>159</v>
      </c>
      <c r="S1568">
        <v>4</v>
      </c>
      <c r="T1568" t="s">
        <v>160</v>
      </c>
      <c r="U1568" s="1">
        <v>43364</v>
      </c>
      <c r="V1568" t="s">
        <v>123</v>
      </c>
      <c r="W1568" t="s">
        <v>124</v>
      </c>
      <c r="X1568" t="s">
        <v>58</v>
      </c>
      <c r="Y1568">
        <v>21</v>
      </c>
      <c r="Z1568" t="s">
        <v>59</v>
      </c>
      <c r="AA1568" t="s">
        <v>59</v>
      </c>
      <c r="AB1568" t="s">
        <v>59</v>
      </c>
      <c r="AC1568" t="s">
        <v>59</v>
      </c>
      <c r="AD1568" t="s">
        <v>59</v>
      </c>
      <c r="AF1568" s="1">
        <v>43367</v>
      </c>
      <c r="AG1568" t="s">
        <v>125</v>
      </c>
      <c r="AH1568" t="s">
        <v>126</v>
      </c>
      <c r="AI1568" t="str">
        <f>"1717011"</f>
        <v>1717011</v>
      </c>
      <c r="AJ1568" t="s">
        <v>832</v>
      </c>
      <c r="AK1568">
        <v>2897023311</v>
      </c>
      <c r="AL1568" t="s">
        <v>833</v>
      </c>
      <c r="AM1568" t="s">
        <v>78</v>
      </c>
      <c r="AN1568" t="s">
        <v>219</v>
      </c>
      <c r="AO1568" t="s">
        <v>219</v>
      </c>
      <c r="AP1568" t="s">
        <v>220</v>
      </c>
      <c r="AQ1568">
        <v>20</v>
      </c>
      <c r="AR1568" t="s">
        <v>123</v>
      </c>
      <c r="AS1568" t="s">
        <v>124</v>
      </c>
      <c r="AT1568" t="s">
        <v>58</v>
      </c>
      <c r="AU1568" t="s">
        <v>164</v>
      </c>
      <c r="AV1568" t="s">
        <v>132</v>
      </c>
      <c r="AW1568" s="1">
        <v>26240</v>
      </c>
      <c r="AX1568">
        <v>2</v>
      </c>
    </row>
    <row r="1569" spans="1:50">
      <c r="A1569">
        <v>223506</v>
      </c>
      <c r="B1569" t="str">
        <f>"038819856"</f>
        <v>038819856</v>
      </c>
      <c r="C1569" t="s">
        <v>50</v>
      </c>
      <c r="D1569" t="s">
        <v>3447</v>
      </c>
      <c r="E1569" t="s">
        <v>191</v>
      </c>
      <c r="F1569" t="s">
        <v>154</v>
      </c>
      <c r="G1569" t="s">
        <v>255</v>
      </c>
      <c r="H1569" t="str">
        <f>"ΑΛΕΞΑΝΔΡΕΙΑΣ 4 ΗΡΑΚΛΕΙΟ"</f>
        <v>ΑΛΕΞΑΝΔΡΕΙΑΣ 4 ΗΡΑΚΛΕΙΟ</v>
      </c>
      <c r="I1569">
        <v>71306</v>
      </c>
      <c r="J1569">
        <v>2810230105</v>
      </c>
      <c r="K1569">
        <v>6972317543</v>
      </c>
      <c r="M1569" t="s">
        <v>3450</v>
      </c>
      <c r="N1569" t="s">
        <v>232</v>
      </c>
      <c r="O1569" t="s">
        <v>233</v>
      </c>
      <c r="R1569" t="s">
        <v>57</v>
      </c>
      <c r="S1569">
        <v>6</v>
      </c>
      <c r="T1569">
        <v>775</v>
      </c>
      <c r="U1569" s="1">
        <v>39680</v>
      </c>
      <c r="V1569" t="s">
        <v>123</v>
      </c>
      <c r="W1569" t="s">
        <v>124</v>
      </c>
      <c r="X1569" t="s">
        <v>58</v>
      </c>
      <c r="Y1569">
        <v>20</v>
      </c>
      <c r="Z1569" t="s">
        <v>59</v>
      </c>
      <c r="AA1569" t="s">
        <v>59</v>
      </c>
      <c r="AB1569" t="s">
        <v>59</v>
      </c>
      <c r="AC1569" t="s">
        <v>59</v>
      </c>
      <c r="AD1569" t="s">
        <v>59</v>
      </c>
      <c r="AF1569" s="1">
        <v>39681</v>
      </c>
      <c r="AG1569" t="s">
        <v>125</v>
      </c>
      <c r="AH1569" t="s">
        <v>126</v>
      </c>
      <c r="AI1569" t="str">
        <f>"1704010"</f>
        <v>1704010</v>
      </c>
      <c r="AJ1569" t="s">
        <v>480</v>
      </c>
      <c r="AK1569">
        <v>2895022230</v>
      </c>
      <c r="AL1569" t="s">
        <v>481</v>
      </c>
      <c r="AM1569" t="s">
        <v>78</v>
      </c>
      <c r="AN1569" t="s">
        <v>482</v>
      </c>
      <c r="AO1569" t="s">
        <v>482</v>
      </c>
      <c r="AP1569" t="s">
        <v>483</v>
      </c>
      <c r="AQ1569">
        <v>16</v>
      </c>
      <c r="AR1569" t="s">
        <v>123</v>
      </c>
      <c r="AS1569" t="s">
        <v>124</v>
      </c>
      <c r="AT1569" t="s">
        <v>58</v>
      </c>
      <c r="AU1569" t="s">
        <v>68</v>
      </c>
      <c r="AV1569" t="s">
        <v>69</v>
      </c>
      <c r="AW1569" s="1">
        <v>24400</v>
      </c>
      <c r="AX1569">
        <v>2</v>
      </c>
    </row>
    <row r="1570" spans="1:50">
      <c r="A1570">
        <v>185582</v>
      </c>
      <c r="B1570" t="str">
        <f>"036868277"</f>
        <v>036868277</v>
      </c>
      <c r="C1570" t="s">
        <v>105</v>
      </c>
      <c r="D1570" t="s">
        <v>3451</v>
      </c>
      <c r="E1570" t="s">
        <v>166</v>
      </c>
      <c r="F1570" t="s">
        <v>106</v>
      </c>
      <c r="G1570" t="s">
        <v>787</v>
      </c>
      <c r="H1570" t="str">
        <f>" "</f>
        <v xml:space="preserve"> </v>
      </c>
      <c r="N1570" t="s">
        <v>176</v>
      </c>
      <c r="O1570" t="s">
        <v>177</v>
      </c>
      <c r="R1570" t="s">
        <v>57</v>
      </c>
      <c r="S1570">
        <v>13</v>
      </c>
      <c r="T1570">
        <v>184</v>
      </c>
      <c r="U1570" s="1">
        <v>34941</v>
      </c>
      <c r="V1570" t="s">
        <v>123</v>
      </c>
      <c r="W1570" t="s">
        <v>124</v>
      </c>
      <c r="X1570" t="s">
        <v>58</v>
      </c>
      <c r="Y1570">
        <v>18</v>
      </c>
      <c r="Z1570" t="s">
        <v>59</v>
      </c>
      <c r="AA1570" t="s">
        <v>59</v>
      </c>
      <c r="AB1570" t="s">
        <v>59</v>
      </c>
      <c r="AC1570" t="s">
        <v>59</v>
      </c>
      <c r="AD1570" t="s">
        <v>59</v>
      </c>
      <c r="AF1570" s="1">
        <v>34943</v>
      </c>
      <c r="AG1570" t="s">
        <v>148</v>
      </c>
      <c r="AH1570" t="s">
        <v>149</v>
      </c>
      <c r="AI1570" t="str">
        <f>"1751030"</f>
        <v>1751030</v>
      </c>
      <c r="AJ1570" t="s">
        <v>234</v>
      </c>
      <c r="AK1570">
        <v>2810282911</v>
      </c>
      <c r="AL1570" t="s">
        <v>235</v>
      </c>
      <c r="AM1570" t="s">
        <v>78</v>
      </c>
      <c r="AN1570" t="s">
        <v>78</v>
      </c>
      <c r="AO1570" t="s">
        <v>78</v>
      </c>
      <c r="AP1570" t="s">
        <v>163</v>
      </c>
      <c r="AQ1570">
        <v>1</v>
      </c>
      <c r="AR1570" t="s">
        <v>123</v>
      </c>
      <c r="AS1570" t="s">
        <v>124</v>
      </c>
      <c r="AT1570" t="s">
        <v>58</v>
      </c>
      <c r="AU1570" t="s">
        <v>68</v>
      </c>
      <c r="AV1570" t="s">
        <v>69</v>
      </c>
      <c r="AW1570" s="1">
        <v>23303</v>
      </c>
      <c r="AX1570">
        <v>2</v>
      </c>
    </row>
    <row r="1571" spans="1:50">
      <c r="A1571">
        <v>566970</v>
      </c>
      <c r="B1571" t="str">
        <f>"035094442"</f>
        <v>035094442</v>
      </c>
      <c r="C1571" t="s">
        <v>105</v>
      </c>
      <c r="D1571" t="s">
        <v>3452</v>
      </c>
      <c r="E1571" t="s">
        <v>99</v>
      </c>
      <c r="F1571" t="s">
        <v>95</v>
      </c>
      <c r="G1571" t="s">
        <v>52</v>
      </c>
      <c r="H1571" t="str">
        <f>"ΖΩΟΔΟΧΟΥ ΠΗΓΗΣ 9 ΒΑΣΙΛΕΙΕΣ"</f>
        <v>ΖΩΟΔΟΧΟΥ ΠΗΓΗΣ 9 ΒΑΣΙΛΕΙΕΣ</v>
      </c>
      <c r="I1571">
        <v>71500</v>
      </c>
      <c r="J1571">
        <v>2810234388</v>
      </c>
      <c r="K1571">
        <v>6974825987</v>
      </c>
      <c r="M1571" t="s">
        <v>3453</v>
      </c>
      <c r="N1571" t="s">
        <v>615</v>
      </c>
      <c r="O1571" t="s">
        <v>616</v>
      </c>
      <c r="R1571" t="s">
        <v>57</v>
      </c>
      <c r="S1571">
        <v>14</v>
      </c>
      <c r="T1571">
        <v>133</v>
      </c>
      <c r="U1571" s="1">
        <v>33456</v>
      </c>
      <c r="V1571" t="s">
        <v>123</v>
      </c>
      <c r="W1571" t="s">
        <v>124</v>
      </c>
      <c r="X1571" t="s">
        <v>58</v>
      </c>
      <c r="Y1571">
        <v>18</v>
      </c>
      <c r="Z1571" t="s">
        <v>59</v>
      </c>
      <c r="AA1571" t="s">
        <v>59</v>
      </c>
      <c r="AB1571" t="s">
        <v>59</v>
      </c>
      <c r="AC1571" t="s">
        <v>59</v>
      </c>
      <c r="AD1571" t="s">
        <v>59</v>
      </c>
      <c r="AF1571" s="1">
        <v>33483</v>
      </c>
      <c r="AG1571" t="s">
        <v>345</v>
      </c>
      <c r="AH1571" t="s">
        <v>346</v>
      </c>
      <c r="AI1571" t="str">
        <f>"1741001"</f>
        <v>1741001</v>
      </c>
      <c r="AJ1571" t="s">
        <v>655</v>
      </c>
      <c r="AK1571">
        <v>2810360436</v>
      </c>
      <c r="AL1571" t="s">
        <v>656</v>
      </c>
      <c r="AM1571" t="s">
        <v>78</v>
      </c>
      <c r="AN1571" t="s">
        <v>78</v>
      </c>
      <c r="AO1571" t="s">
        <v>78</v>
      </c>
      <c r="AP1571" t="s">
        <v>141</v>
      </c>
      <c r="AQ1571">
        <v>11</v>
      </c>
      <c r="AR1571" t="s">
        <v>123</v>
      </c>
      <c r="AS1571" t="s">
        <v>124</v>
      </c>
      <c r="AT1571" t="s">
        <v>58</v>
      </c>
      <c r="AU1571" t="s">
        <v>68</v>
      </c>
      <c r="AV1571" t="s">
        <v>69</v>
      </c>
      <c r="AW1571" s="1">
        <v>22015</v>
      </c>
      <c r="AX1571">
        <v>2</v>
      </c>
    </row>
    <row r="1572" spans="1:50">
      <c r="A1572">
        <v>178510</v>
      </c>
      <c r="B1572" t="str">
        <f>"030505990"</f>
        <v>030505990</v>
      </c>
      <c r="C1572" t="s">
        <v>105</v>
      </c>
      <c r="D1572" t="s">
        <v>3454</v>
      </c>
      <c r="E1572" t="s">
        <v>72</v>
      </c>
      <c r="F1572" t="s">
        <v>53</v>
      </c>
      <c r="G1572" t="s">
        <v>52</v>
      </c>
      <c r="H1572" t="str">
        <f>" "</f>
        <v xml:space="preserve"> </v>
      </c>
      <c r="N1572" t="s">
        <v>232</v>
      </c>
      <c r="O1572" t="s">
        <v>233</v>
      </c>
      <c r="R1572" t="s">
        <v>57</v>
      </c>
      <c r="S1572">
        <v>11</v>
      </c>
      <c r="T1572">
        <v>181</v>
      </c>
      <c r="U1572" s="1">
        <v>35674</v>
      </c>
      <c r="V1572" t="s">
        <v>123</v>
      </c>
      <c r="W1572" t="s">
        <v>124</v>
      </c>
      <c r="X1572" t="s">
        <v>58</v>
      </c>
      <c r="Y1572">
        <v>18</v>
      </c>
      <c r="Z1572" t="s">
        <v>59</v>
      </c>
      <c r="AA1572" t="s">
        <v>59</v>
      </c>
      <c r="AB1572" t="s">
        <v>59</v>
      </c>
      <c r="AC1572" t="s">
        <v>59</v>
      </c>
      <c r="AD1572" t="s">
        <v>59</v>
      </c>
      <c r="AF1572" s="1">
        <v>35678</v>
      </c>
      <c r="AG1572" t="s">
        <v>148</v>
      </c>
      <c r="AH1572" t="s">
        <v>149</v>
      </c>
      <c r="AI1572" t="str">
        <f>"1752010"</f>
        <v>1752010</v>
      </c>
      <c r="AJ1572" t="s">
        <v>896</v>
      </c>
      <c r="AK1572">
        <v>2891022893</v>
      </c>
      <c r="AL1572" t="s">
        <v>897</v>
      </c>
      <c r="AM1572" t="s">
        <v>78</v>
      </c>
      <c r="AN1572" t="s">
        <v>276</v>
      </c>
      <c r="AO1572" t="s">
        <v>490</v>
      </c>
      <c r="AP1572" t="s">
        <v>490</v>
      </c>
      <c r="AQ1572">
        <v>15</v>
      </c>
      <c r="AR1572" t="s">
        <v>123</v>
      </c>
      <c r="AS1572" t="s">
        <v>124</v>
      </c>
      <c r="AT1572" t="s">
        <v>58</v>
      </c>
      <c r="AU1572" t="s">
        <v>68</v>
      </c>
      <c r="AV1572" t="s">
        <v>69</v>
      </c>
      <c r="AW1572" s="1">
        <v>22697</v>
      </c>
      <c r="AX1572">
        <v>2</v>
      </c>
    </row>
    <row r="1573" spans="1:50">
      <c r="A1573">
        <v>154636</v>
      </c>
      <c r="B1573" t="str">
        <f>"028292376"</f>
        <v>028292376</v>
      </c>
      <c r="C1573" t="s">
        <v>50</v>
      </c>
      <c r="D1573" t="s">
        <v>3455</v>
      </c>
      <c r="E1573" t="s">
        <v>188</v>
      </c>
      <c r="F1573" t="s">
        <v>53</v>
      </c>
      <c r="G1573" t="s">
        <v>52</v>
      </c>
      <c r="H1573" t="str">
        <f>"ΒΕΡΝΑΡΔΑΚΗ 5 "</f>
        <v xml:space="preserve">ΒΕΡΝΑΡΔΑΚΗ 5 </v>
      </c>
      <c r="I1573">
        <v>71409</v>
      </c>
      <c r="J1573">
        <v>2810324066</v>
      </c>
      <c r="K1573">
        <v>6946352950</v>
      </c>
      <c r="M1573" t="s">
        <v>3456</v>
      </c>
      <c r="N1573" t="s">
        <v>299</v>
      </c>
      <c r="O1573" t="s">
        <v>300</v>
      </c>
      <c r="R1573" t="s">
        <v>57</v>
      </c>
      <c r="S1573">
        <v>15</v>
      </c>
      <c r="T1573">
        <v>161</v>
      </c>
      <c r="U1573" s="1">
        <v>32387</v>
      </c>
      <c r="V1573" t="s">
        <v>123</v>
      </c>
      <c r="W1573" t="s">
        <v>124</v>
      </c>
      <c r="X1573" t="s">
        <v>58</v>
      </c>
      <c r="Y1573">
        <v>18</v>
      </c>
      <c r="Z1573" t="s">
        <v>59</v>
      </c>
      <c r="AA1573" t="s">
        <v>59</v>
      </c>
      <c r="AB1573" t="s">
        <v>59</v>
      </c>
      <c r="AC1573" t="s">
        <v>59</v>
      </c>
      <c r="AD1573" t="s">
        <v>59</v>
      </c>
      <c r="AF1573" s="1">
        <v>32391</v>
      </c>
      <c r="AG1573" t="s">
        <v>148</v>
      </c>
      <c r="AH1573" t="s">
        <v>149</v>
      </c>
      <c r="AI1573" t="str">
        <f>"1751010"</f>
        <v>1751010</v>
      </c>
      <c r="AJ1573" t="s">
        <v>150</v>
      </c>
      <c r="AK1573">
        <v>2810346092</v>
      </c>
      <c r="AL1573" t="s">
        <v>151</v>
      </c>
      <c r="AM1573" t="s">
        <v>78</v>
      </c>
      <c r="AN1573" t="s">
        <v>78</v>
      </c>
      <c r="AO1573" t="s">
        <v>78</v>
      </c>
      <c r="AP1573" t="s">
        <v>79</v>
      </c>
      <c r="AQ1573">
        <v>1</v>
      </c>
      <c r="AR1573" t="s">
        <v>123</v>
      </c>
      <c r="AS1573" t="s">
        <v>124</v>
      </c>
      <c r="AT1573" t="s">
        <v>58</v>
      </c>
      <c r="AU1573" t="s">
        <v>68</v>
      </c>
      <c r="AV1573" t="s">
        <v>69</v>
      </c>
      <c r="AW1573" s="1">
        <v>21241</v>
      </c>
      <c r="AX1573">
        <v>2</v>
      </c>
    </row>
    <row r="1574" spans="1:50">
      <c r="A1574">
        <v>166043</v>
      </c>
      <c r="B1574" t="str">
        <f>"114596284"</f>
        <v>114596284</v>
      </c>
      <c r="C1574" t="s">
        <v>50</v>
      </c>
      <c r="D1574" t="s">
        <v>3457</v>
      </c>
      <c r="E1574" t="s">
        <v>1189</v>
      </c>
      <c r="F1574" t="s">
        <v>95</v>
      </c>
      <c r="G1574" t="s">
        <v>1553</v>
      </c>
      <c r="H1574" t="str">
        <f>" "</f>
        <v xml:space="preserve"> </v>
      </c>
      <c r="N1574" t="s">
        <v>292</v>
      </c>
      <c r="O1574" t="s">
        <v>293</v>
      </c>
      <c r="R1574" t="s">
        <v>57</v>
      </c>
      <c r="S1574">
        <v>13</v>
      </c>
      <c r="T1574">
        <v>137</v>
      </c>
      <c r="U1574" s="1">
        <v>34206</v>
      </c>
      <c r="V1574" t="s">
        <v>123</v>
      </c>
      <c r="W1574" t="s">
        <v>124</v>
      </c>
      <c r="X1574" t="s">
        <v>58</v>
      </c>
      <c r="Y1574">
        <v>18</v>
      </c>
      <c r="Z1574" t="s">
        <v>59</v>
      </c>
      <c r="AA1574" t="s">
        <v>59</v>
      </c>
      <c r="AB1574" t="s">
        <v>59</v>
      </c>
      <c r="AC1574" t="s">
        <v>59</v>
      </c>
      <c r="AD1574" t="s">
        <v>59</v>
      </c>
      <c r="AF1574" s="1">
        <v>34213</v>
      </c>
      <c r="AG1574" t="s">
        <v>137</v>
      </c>
      <c r="AH1574" t="s">
        <v>138</v>
      </c>
      <c r="AI1574" t="str">
        <f>"1740100"</f>
        <v>1740100</v>
      </c>
      <c r="AJ1574" t="s">
        <v>857</v>
      </c>
      <c r="AK1574">
        <v>2810360741</v>
      </c>
      <c r="AL1574" t="s">
        <v>858</v>
      </c>
      <c r="AM1574" t="s">
        <v>78</v>
      </c>
      <c r="AN1574" t="s">
        <v>78</v>
      </c>
      <c r="AO1574" t="s">
        <v>78</v>
      </c>
      <c r="AP1574" t="s">
        <v>163</v>
      </c>
      <c r="AQ1574">
        <v>5</v>
      </c>
      <c r="AR1574" t="s">
        <v>123</v>
      </c>
      <c r="AS1574" t="s">
        <v>124</v>
      </c>
      <c r="AT1574" t="s">
        <v>58</v>
      </c>
      <c r="AU1574" t="s">
        <v>68</v>
      </c>
      <c r="AV1574" t="s">
        <v>69</v>
      </c>
      <c r="AW1574" s="1">
        <v>21075</v>
      </c>
      <c r="AX1574">
        <v>2</v>
      </c>
    </row>
    <row r="1575" spans="1:50">
      <c r="A1575">
        <v>223989</v>
      </c>
      <c r="B1575" t="str">
        <f>"112446538"</f>
        <v>112446538</v>
      </c>
      <c r="C1575" t="s">
        <v>50</v>
      </c>
      <c r="D1575" t="s">
        <v>3458</v>
      </c>
      <c r="E1575" t="s">
        <v>52</v>
      </c>
      <c r="F1575" t="s">
        <v>95</v>
      </c>
      <c r="G1575" t="s">
        <v>809</v>
      </c>
      <c r="H1575" t="str">
        <f>"ΙΩΑΝΝΗ ΒΑΤΑΤΖΗ 4 ΗΡΑΚΛΕΙΟ"</f>
        <v>ΙΩΑΝΝΗ ΒΑΤΑΤΖΗ 4 ΗΡΑΚΛΕΙΟ</v>
      </c>
      <c r="I1575">
        <v>71409</v>
      </c>
      <c r="J1575">
        <v>2810528586</v>
      </c>
      <c r="K1575">
        <v>6972441368</v>
      </c>
      <c r="M1575" t="s">
        <v>3459</v>
      </c>
      <c r="N1575" t="s">
        <v>478</v>
      </c>
      <c r="O1575" t="s">
        <v>479</v>
      </c>
      <c r="R1575" t="s">
        <v>57</v>
      </c>
      <c r="S1575">
        <v>7</v>
      </c>
      <c r="T1575">
        <v>775</v>
      </c>
      <c r="U1575" s="1">
        <v>39680</v>
      </c>
      <c r="V1575" t="s">
        <v>123</v>
      </c>
      <c r="W1575" t="s">
        <v>124</v>
      </c>
      <c r="X1575" t="s">
        <v>58</v>
      </c>
      <c r="Y1575">
        <v>21</v>
      </c>
      <c r="Z1575" t="s">
        <v>59</v>
      </c>
      <c r="AA1575" t="s">
        <v>59</v>
      </c>
      <c r="AB1575" t="s">
        <v>59</v>
      </c>
      <c r="AC1575" t="s">
        <v>59</v>
      </c>
      <c r="AD1575" t="s">
        <v>59</v>
      </c>
      <c r="AF1575" s="1">
        <v>39682</v>
      </c>
      <c r="AG1575" t="s">
        <v>148</v>
      </c>
      <c r="AH1575" t="s">
        <v>149</v>
      </c>
      <c r="AI1575" t="str">
        <f>"1755010"</f>
        <v>1755010</v>
      </c>
      <c r="AJ1575" t="s">
        <v>274</v>
      </c>
      <c r="AK1575">
        <v>2891031124</v>
      </c>
      <c r="AL1575" t="s">
        <v>275</v>
      </c>
      <c r="AM1575" t="s">
        <v>78</v>
      </c>
      <c r="AN1575" t="s">
        <v>276</v>
      </c>
      <c r="AO1575" t="s">
        <v>277</v>
      </c>
      <c r="AP1575" t="s">
        <v>277</v>
      </c>
      <c r="AQ1575">
        <v>17</v>
      </c>
      <c r="AR1575" t="s">
        <v>123</v>
      </c>
      <c r="AS1575" t="s">
        <v>124</v>
      </c>
      <c r="AT1575" t="s">
        <v>58</v>
      </c>
      <c r="AU1575" t="s">
        <v>68</v>
      </c>
      <c r="AV1575" t="s">
        <v>69</v>
      </c>
      <c r="AW1575" s="1">
        <v>30395</v>
      </c>
      <c r="AX1575">
        <v>2</v>
      </c>
    </row>
    <row r="1576" spans="1:50">
      <c r="A1576">
        <v>198901</v>
      </c>
      <c r="B1576" t="str">
        <f>"073798898"</f>
        <v>073798898</v>
      </c>
      <c r="C1576" t="s">
        <v>50</v>
      </c>
      <c r="D1576" t="s">
        <v>3460</v>
      </c>
      <c r="E1576" t="s">
        <v>83</v>
      </c>
      <c r="F1576" t="s">
        <v>670</v>
      </c>
      <c r="G1576" t="s">
        <v>52</v>
      </c>
      <c r="H1576" t="str">
        <f>" "</f>
        <v xml:space="preserve"> </v>
      </c>
      <c r="J1576">
        <v>2810334760</v>
      </c>
      <c r="K1576">
        <v>6946474120</v>
      </c>
      <c r="M1576" t="s">
        <v>3461</v>
      </c>
      <c r="N1576" t="s">
        <v>683</v>
      </c>
      <c r="O1576" t="s">
        <v>684</v>
      </c>
      <c r="R1576" t="s">
        <v>57</v>
      </c>
      <c r="S1576">
        <v>9</v>
      </c>
      <c r="T1576">
        <v>206</v>
      </c>
      <c r="U1576" s="1">
        <v>37866</v>
      </c>
      <c r="V1576" t="s">
        <v>123</v>
      </c>
      <c r="W1576" t="s">
        <v>124</v>
      </c>
      <c r="X1576" t="s">
        <v>58</v>
      </c>
      <c r="Y1576">
        <v>20</v>
      </c>
      <c r="Z1576" t="s">
        <v>59</v>
      </c>
      <c r="AA1576" t="s">
        <v>59</v>
      </c>
      <c r="AB1576" t="s">
        <v>59</v>
      </c>
      <c r="AC1576" t="s">
        <v>59</v>
      </c>
      <c r="AD1576" t="s">
        <v>59</v>
      </c>
      <c r="AF1576" s="1">
        <v>37866</v>
      </c>
      <c r="AG1576" t="s">
        <v>125</v>
      </c>
      <c r="AH1576" t="s">
        <v>126</v>
      </c>
      <c r="AI1576" t="str">
        <f>"1701051"</f>
        <v>1701051</v>
      </c>
      <c r="AJ1576" t="s">
        <v>443</v>
      </c>
      <c r="AK1576">
        <v>2810325815</v>
      </c>
      <c r="AL1576" t="s">
        <v>444</v>
      </c>
      <c r="AM1576" t="s">
        <v>78</v>
      </c>
      <c r="AN1576" t="s">
        <v>78</v>
      </c>
      <c r="AO1576" t="s">
        <v>78</v>
      </c>
      <c r="AP1576" t="s">
        <v>163</v>
      </c>
      <c r="AQ1576">
        <v>5</v>
      </c>
      <c r="AR1576" t="s">
        <v>123</v>
      </c>
      <c r="AS1576" t="s">
        <v>124</v>
      </c>
      <c r="AT1576" t="s">
        <v>58</v>
      </c>
      <c r="AU1576" t="s">
        <v>68</v>
      </c>
      <c r="AV1576" t="s">
        <v>69</v>
      </c>
      <c r="AW1576" s="1">
        <v>21339</v>
      </c>
      <c r="AX1576">
        <v>2</v>
      </c>
    </row>
    <row r="1577" spans="1:50">
      <c r="B1577" t="str">
        <f>"114593522"</f>
        <v>114593522</v>
      </c>
      <c r="C1577" t="s">
        <v>105</v>
      </c>
      <c r="D1577" t="s">
        <v>3462</v>
      </c>
      <c r="E1577" t="s">
        <v>1651</v>
      </c>
      <c r="F1577" t="s">
        <v>95</v>
      </c>
      <c r="G1577" t="s">
        <v>3463</v>
      </c>
      <c r="H1577" t="str">
        <f>"ΑΓΙΕΣ ΠΑΡΑΣΚΙΕΣ ΔΗΜΟΣ Ν ΚΑΖΑΝΤΖΑΚΗ"</f>
        <v>ΑΓΙΕΣ ΠΑΡΑΣΚΙΕΣ ΔΗΜΟΣ Ν ΚΑΖΑΝΤΖΑΚΗ</v>
      </c>
      <c r="I1577">
        <v>70100</v>
      </c>
      <c r="J1577">
        <v>2810743771</v>
      </c>
      <c r="K1577">
        <v>6948109275</v>
      </c>
      <c r="N1577" t="s">
        <v>232</v>
      </c>
      <c r="O1577" t="s">
        <v>233</v>
      </c>
      <c r="R1577" t="s">
        <v>159</v>
      </c>
      <c r="S1577">
        <v>6</v>
      </c>
      <c r="T1577" t="s">
        <v>160</v>
      </c>
      <c r="U1577" s="1">
        <v>43364</v>
      </c>
      <c r="V1577" t="s">
        <v>123</v>
      </c>
      <c r="W1577" t="s">
        <v>124</v>
      </c>
      <c r="X1577" t="s">
        <v>58</v>
      </c>
      <c r="Y1577">
        <v>21</v>
      </c>
      <c r="Z1577" t="s">
        <v>59</v>
      </c>
      <c r="AA1577" t="s">
        <v>59</v>
      </c>
      <c r="AB1577" t="s">
        <v>59</v>
      </c>
      <c r="AC1577" t="s">
        <v>59</v>
      </c>
      <c r="AD1577" t="s">
        <v>59</v>
      </c>
      <c r="AF1577" s="1">
        <v>43367</v>
      </c>
      <c r="AG1577" t="s">
        <v>148</v>
      </c>
      <c r="AH1577" t="s">
        <v>149</v>
      </c>
      <c r="AI1577" t="str">
        <f>"1763010"</f>
        <v>1763010</v>
      </c>
      <c r="AJ1577" t="s">
        <v>560</v>
      </c>
      <c r="AK1577">
        <v>2892051146</v>
      </c>
      <c r="AL1577" t="s">
        <v>561</v>
      </c>
      <c r="AM1577" t="s">
        <v>78</v>
      </c>
      <c r="AN1577" t="s">
        <v>242</v>
      </c>
      <c r="AO1577" t="s">
        <v>349</v>
      </c>
      <c r="AP1577" t="s">
        <v>349</v>
      </c>
      <c r="AQ1577">
        <v>35</v>
      </c>
      <c r="AR1577" t="s">
        <v>123</v>
      </c>
      <c r="AS1577" t="s">
        <v>124</v>
      </c>
      <c r="AT1577" t="s">
        <v>58</v>
      </c>
      <c r="AU1577" t="s">
        <v>164</v>
      </c>
      <c r="AV1577" t="s">
        <v>132</v>
      </c>
      <c r="AW1577" s="1">
        <v>29761</v>
      </c>
      <c r="AX1577">
        <v>2</v>
      </c>
    </row>
    <row r="1578" spans="1:50">
      <c r="A1578">
        <v>191930</v>
      </c>
      <c r="B1578" t="str">
        <f>"119154108"</f>
        <v>119154108</v>
      </c>
      <c r="C1578" t="s">
        <v>50</v>
      </c>
      <c r="D1578" t="s">
        <v>3464</v>
      </c>
      <c r="E1578" t="s">
        <v>52</v>
      </c>
      <c r="F1578" t="s">
        <v>154</v>
      </c>
      <c r="G1578" t="s">
        <v>3465</v>
      </c>
      <c r="H1578" t="str">
        <f>"ΚΑΛΗΣΠΕΡΙΔΩΝ 18 ΗΡΑΚΛΕΙΟ"</f>
        <v>ΚΑΛΗΣΠΕΡΙΔΩΝ 18 ΗΡΑΚΛΕΙΟ</v>
      </c>
      <c r="I1578">
        <v>71307</v>
      </c>
      <c r="J1578">
        <v>2810343249</v>
      </c>
      <c r="K1578">
        <v>6976609043</v>
      </c>
      <c r="N1578" t="s">
        <v>331</v>
      </c>
      <c r="O1578" t="s">
        <v>332</v>
      </c>
      <c r="R1578" t="s">
        <v>57</v>
      </c>
      <c r="S1578">
        <v>10</v>
      </c>
      <c r="T1578">
        <v>291</v>
      </c>
      <c r="U1578" s="1">
        <v>37218</v>
      </c>
      <c r="V1578" t="s">
        <v>123</v>
      </c>
      <c r="W1578" t="s">
        <v>124</v>
      </c>
      <c r="X1578" t="s">
        <v>58</v>
      </c>
      <c r="Y1578">
        <v>20</v>
      </c>
      <c r="Z1578" t="s">
        <v>59</v>
      </c>
      <c r="AA1578" t="s">
        <v>59</v>
      </c>
      <c r="AB1578" t="s">
        <v>59</v>
      </c>
      <c r="AC1578" t="s">
        <v>59</v>
      </c>
      <c r="AD1578" t="s">
        <v>59</v>
      </c>
      <c r="AF1578" s="1">
        <v>37221</v>
      </c>
      <c r="AG1578" t="s">
        <v>137</v>
      </c>
      <c r="AH1578" t="s">
        <v>138</v>
      </c>
      <c r="AI1578" t="str">
        <f>"1740210"</f>
        <v>1740210</v>
      </c>
      <c r="AJ1578" t="s">
        <v>139</v>
      </c>
      <c r="AK1578">
        <v>2810318130</v>
      </c>
      <c r="AL1578" t="s">
        <v>140</v>
      </c>
      <c r="AM1578" t="s">
        <v>78</v>
      </c>
      <c r="AN1578" t="s">
        <v>78</v>
      </c>
      <c r="AO1578" t="s">
        <v>78</v>
      </c>
      <c r="AP1578" t="s">
        <v>141</v>
      </c>
      <c r="AQ1578">
        <v>7</v>
      </c>
      <c r="AR1578" t="s">
        <v>123</v>
      </c>
      <c r="AS1578" t="s">
        <v>124</v>
      </c>
      <c r="AT1578" t="s">
        <v>58</v>
      </c>
      <c r="AU1578" t="s">
        <v>68</v>
      </c>
      <c r="AV1578" t="s">
        <v>69</v>
      </c>
      <c r="AW1578" s="1">
        <v>27145</v>
      </c>
      <c r="AX1578">
        <v>2</v>
      </c>
    </row>
    <row r="1579" spans="1:50">
      <c r="A1579">
        <v>197436</v>
      </c>
      <c r="B1579" t="str">
        <f>"073219684"</f>
        <v>073219684</v>
      </c>
      <c r="C1579" t="s">
        <v>50</v>
      </c>
      <c r="D1579" t="s">
        <v>3466</v>
      </c>
      <c r="E1579" t="s">
        <v>3467</v>
      </c>
      <c r="F1579" t="s">
        <v>53</v>
      </c>
      <c r="G1579" t="s">
        <v>52</v>
      </c>
      <c r="H1579" t="str">
        <f>"ΑΠΟΛΛΩΝΙΟΥ ΡΟΔΙΟΥ 38 "</f>
        <v xml:space="preserve">ΑΠΟΛΛΩΝΙΟΥ ΡΟΔΙΟΥ 38 </v>
      </c>
      <c r="I1579">
        <v>71305</v>
      </c>
      <c r="J1579">
        <v>2810236683</v>
      </c>
      <c r="K1579">
        <v>6936906717</v>
      </c>
      <c r="M1579" t="s">
        <v>3468</v>
      </c>
      <c r="N1579" t="s">
        <v>146</v>
      </c>
      <c r="O1579" t="s">
        <v>147</v>
      </c>
      <c r="R1579" t="s">
        <v>57</v>
      </c>
      <c r="S1579">
        <v>7</v>
      </c>
      <c r="T1579">
        <v>206</v>
      </c>
      <c r="U1579" s="1">
        <v>37866</v>
      </c>
      <c r="V1579" t="s">
        <v>123</v>
      </c>
      <c r="W1579" t="s">
        <v>124</v>
      </c>
      <c r="X1579" t="s">
        <v>58</v>
      </c>
      <c r="Y1579">
        <v>20</v>
      </c>
      <c r="Z1579" t="s">
        <v>59</v>
      </c>
      <c r="AA1579" t="s">
        <v>59</v>
      </c>
      <c r="AB1579" t="s">
        <v>59</v>
      </c>
      <c r="AC1579" t="s">
        <v>59</v>
      </c>
      <c r="AD1579" t="s">
        <v>59</v>
      </c>
      <c r="AF1579" s="1">
        <v>37866</v>
      </c>
      <c r="AG1579" t="s">
        <v>125</v>
      </c>
      <c r="AH1579" t="s">
        <v>126</v>
      </c>
      <c r="AI1579" t="str">
        <f>"1701053"</f>
        <v>1701053</v>
      </c>
      <c r="AJ1579" t="s">
        <v>398</v>
      </c>
      <c r="AK1579">
        <v>2810251434</v>
      </c>
      <c r="AL1579" t="s">
        <v>399</v>
      </c>
      <c r="AM1579" t="s">
        <v>78</v>
      </c>
      <c r="AN1579" t="s">
        <v>78</v>
      </c>
      <c r="AO1579" t="s">
        <v>78</v>
      </c>
      <c r="AP1579" t="s">
        <v>141</v>
      </c>
      <c r="AQ1579">
        <v>7</v>
      </c>
      <c r="AR1579" t="s">
        <v>123</v>
      </c>
      <c r="AS1579" t="s">
        <v>124</v>
      </c>
      <c r="AT1579" t="s">
        <v>58</v>
      </c>
      <c r="AU1579" t="s">
        <v>68</v>
      </c>
      <c r="AV1579" t="s">
        <v>69</v>
      </c>
      <c r="AW1579" s="1">
        <v>26044</v>
      </c>
      <c r="AX1579">
        <v>2</v>
      </c>
    </row>
    <row r="1580" spans="1:50">
      <c r="A1580">
        <v>189533</v>
      </c>
      <c r="B1580" t="str">
        <f>"045548901"</f>
        <v>045548901</v>
      </c>
      <c r="C1580" t="s">
        <v>50</v>
      </c>
      <c r="D1580" t="s">
        <v>3466</v>
      </c>
      <c r="E1580" t="s">
        <v>52</v>
      </c>
      <c r="F1580" t="s">
        <v>166</v>
      </c>
      <c r="G1580" t="s">
        <v>250</v>
      </c>
      <c r="H1580" t="str">
        <f>" "</f>
        <v xml:space="preserve"> </v>
      </c>
      <c r="M1580" t="s">
        <v>3469</v>
      </c>
      <c r="N1580" t="s">
        <v>146</v>
      </c>
      <c r="O1580" t="s">
        <v>147</v>
      </c>
      <c r="R1580" t="s">
        <v>57</v>
      </c>
      <c r="S1580">
        <v>15</v>
      </c>
      <c r="T1580">
        <v>219</v>
      </c>
      <c r="U1580" s="1">
        <v>37134</v>
      </c>
      <c r="V1580" t="s">
        <v>123</v>
      </c>
      <c r="W1580" t="s">
        <v>124</v>
      </c>
      <c r="X1580" t="s">
        <v>58</v>
      </c>
      <c r="Y1580">
        <v>20</v>
      </c>
      <c r="Z1580" t="s">
        <v>59</v>
      </c>
      <c r="AA1580" t="s">
        <v>59</v>
      </c>
      <c r="AB1580" t="s">
        <v>59</v>
      </c>
      <c r="AC1580" t="s">
        <v>59</v>
      </c>
      <c r="AD1580" t="s">
        <v>452</v>
      </c>
      <c r="AE1580" s="1">
        <v>43708</v>
      </c>
      <c r="AF1580" s="1">
        <v>37137</v>
      </c>
      <c r="AG1580" t="s">
        <v>60</v>
      </c>
      <c r="AH1580" t="s">
        <v>453</v>
      </c>
      <c r="AI1580" t="str">
        <f>"1700105"</f>
        <v>1700105</v>
      </c>
      <c r="AJ1580" t="s">
        <v>124</v>
      </c>
      <c r="AK1580">
        <v>2810333720</v>
      </c>
      <c r="AL1580" t="s">
        <v>454</v>
      </c>
      <c r="AM1580" t="s">
        <v>78</v>
      </c>
      <c r="AN1580" t="s">
        <v>78</v>
      </c>
      <c r="AO1580" t="s">
        <v>78</v>
      </c>
      <c r="AP1580" t="s">
        <v>79</v>
      </c>
      <c r="AS1580" t="s">
        <v>124</v>
      </c>
      <c r="AT1580" t="s">
        <v>58</v>
      </c>
      <c r="AU1580" t="s">
        <v>68</v>
      </c>
      <c r="AV1580" t="s">
        <v>455</v>
      </c>
      <c r="AW1580" s="1">
        <v>25069</v>
      </c>
      <c r="AX1580">
        <v>2</v>
      </c>
    </row>
    <row r="1581" spans="1:50">
      <c r="A1581">
        <v>193208</v>
      </c>
      <c r="B1581" t="str">
        <f>"061330518"</f>
        <v>061330518</v>
      </c>
      <c r="C1581" t="s">
        <v>50</v>
      </c>
      <c r="D1581" t="s">
        <v>3466</v>
      </c>
      <c r="E1581" t="s">
        <v>181</v>
      </c>
      <c r="F1581" t="s">
        <v>166</v>
      </c>
      <c r="G1581" t="s">
        <v>52</v>
      </c>
      <c r="H1581" t="str">
        <f>" "</f>
        <v xml:space="preserve"> </v>
      </c>
      <c r="J1581">
        <v>2810213863</v>
      </c>
      <c r="K1581">
        <v>6944795797</v>
      </c>
      <c r="N1581" t="s">
        <v>146</v>
      </c>
      <c r="O1581" t="s">
        <v>147</v>
      </c>
      <c r="R1581" t="s">
        <v>57</v>
      </c>
      <c r="S1581">
        <v>8</v>
      </c>
      <c r="T1581">
        <v>193</v>
      </c>
      <c r="U1581" s="1">
        <v>37497</v>
      </c>
      <c r="V1581" t="s">
        <v>123</v>
      </c>
      <c r="W1581" t="s">
        <v>124</v>
      </c>
      <c r="X1581" t="s">
        <v>58</v>
      </c>
      <c r="Y1581">
        <v>20</v>
      </c>
      <c r="Z1581" t="s">
        <v>59</v>
      </c>
      <c r="AA1581" t="s">
        <v>59</v>
      </c>
      <c r="AB1581" t="s">
        <v>59</v>
      </c>
      <c r="AC1581" t="s">
        <v>59</v>
      </c>
      <c r="AD1581" t="s">
        <v>59</v>
      </c>
      <c r="AF1581" s="1">
        <v>37501</v>
      </c>
      <c r="AG1581" t="s">
        <v>125</v>
      </c>
      <c r="AH1581" t="s">
        <v>126</v>
      </c>
      <c r="AI1581" t="str">
        <f>"1701057"</f>
        <v>1701057</v>
      </c>
      <c r="AJ1581" t="s">
        <v>379</v>
      </c>
      <c r="AK1581">
        <v>2810234488</v>
      </c>
      <c r="AL1581" t="s">
        <v>380</v>
      </c>
      <c r="AM1581" t="s">
        <v>78</v>
      </c>
      <c r="AN1581" t="s">
        <v>78</v>
      </c>
      <c r="AO1581" t="s">
        <v>78</v>
      </c>
      <c r="AP1581" t="s">
        <v>163</v>
      </c>
      <c r="AQ1581">
        <v>8</v>
      </c>
      <c r="AR1581" t="s">
        <v>123</v>
      </c>
      <c r="AS1581" t="s">
        <v>124</v>
      </c>
      <c r="AT1581" t="s">
        <v>58</v>
      </c>
      <c r="AU1581" t="s">
        <v>68</v>
      </c>
      <c r="AV1581" t="s">
        <v>69</v>
      </c>
      <c r="AW1581" s="1">
        <v>26522</v>
      </c>
      <c r="AX1581">
        <v>2</v>
      </c>
    </row>
    <row r="1582" spans="1:50">
      <c r="A1582">
        <v>201899</v>
      </c>
      <c r="B1582" t="str">
        <f>"046721969"</f>
        <v>046721969</v>
      </c>
      <c r="C1582" t="s">
        <v>50</v>
      </c>
      <c r="D1582" t="s">
        <v>3470</v>
      </c>
      <c r="E1582" t="s">
        <v>83</v>
      </c>
      <c r="F1582" t="s">
        <v>92</v>
      </c>
      <c r="G1582" t="s">
        <v>3471</v>
      </c>
      <c r="H1582" t="str">
        <f>"ΑΡΚΑΛΟΧΩΡΙ ΓΑΣΙ ΑΡΚΑΛΟΧΩΡΙΟΥ"</f>
        <v>ΑΡΚΑΛΟΧΩΡΙ ΓΑΣΙ ΑΡΚΑΛΟΧΩΡΙΟΥ</v>
      </c>
      <c r="I1582">
        <v>70300</v>
      </c>
      <c r="J1582">
        <v>2891024159</v>
      </c>
      <c r="K1582">
        <v>6947474812</v>
      </c>
      <c r="M1582" t="s">
        <v>3472</v>
      </c>
      <c r="N1582" t="s">
        <v>146</v>
      </c>
      <c r="O1582" t="s">
        <v>147</v>
      </c>
      <c r="R1582" t="s">
        <v>57</v>
      </c>
      <c r="S1582">
        <v>7</v>
      </c>
      <c r="T1582">
        <v>231</v>
      </c>
      <c r="U1582" s="1">
        <v>38230</v>
      </c>
      <c r="V1582" t="s">
        <v>123</v>
      </c>
      <c r="W1582" t="s">
        <v>124</v>
      </c>
      <c r="X1582" t="s">
        <v>58</v>
      </c>
      <c r="Y1582">
        <v>20</v>
      </c>
      <c r="Z1582" t="s">
        <v>59</v>
      </c>
      <c r="AA1582" t="s">
        <v>59</v>
      </c>
      <c r="AB1582" t="s">
        <v>59</v>
      </c>
      <c r="AC1582" t="s">
        <v>59</v>
      </c>
      <c r="AD1582" t="s">
        <v>59</v>
      </c>
      <c r="AF1582" s="1">
        <v>38232</v>
      </c>
      <c r="AG1582" t="s">
        <v>125</v>
      </c>
      <c r="AH1582" t="s">
        <v>126</v>
      </c>
      <c r="AI1582" t="str">
        <f>"1702010"</f>
        <v>1702010</v>
      </c>
      <c r="AJ1582" t="s">
        <v>604</v>
      </c>
      <c r="AK1582">
        <v>2891022228</v>
      </c>
      <c r="AL1582" t="s">
        <v>605</v>
      </c>
      <c r="AM1582" t="s">
        <v>78</v>
      </c>
      <c r="AN1582" t="s">
        <v>276</v>
      </c>
      <c r="AO1582" t="s">
        <v>490</v>
      </c>
      <c r="AP1582" t="s">
        <v>490</v>
      </c>
      <c r="AQ1582">
        <v>15</v>
      </c>
      <c r="AR1582" t="s">
        <v>123</v>
      </c>
      <c r="AS1582" t="s">
        <v>124</v>
      </c>
      <c r="AT1582" t="s">
        <v>58</v>
      </c>
      <c r="AU1582" t="s">
        <v>68</v>
      </c>
      <c r="AV1582" t="s">
        <v>69</v>
      </c>
      <c r="AW1582" s="1">
        <v>25900</v>
      </c>
      <c r="AX1582">
        <v>2</v>
      </c>
    </row>
    <row r="1583" spans="1:50">
      <c r="A1583">
        <v>214897</v>
      </c>
      <c r="B1583" t="str">
        <f>"119686310"</f>
        <v>119686310</v>
      </c>
      <c r="C1583" t="s">
        <v>50</v>
      </c>
      <c r="D1583" t="s">
        <v>3470</v>
      </c>
      <c r="E1583" t="s">
        <v>52</v>
      </c>
      <c r="F1583" t="s">
        <v>92</v>
      </c>
      <c r="G1583" t="s">
        <v>215</v>
      </c>
      <c r="H1583" t="str">
        <f>"ΑΝΤΩΝΙΟΥ ΚΑΣΤΡΙΝΑΚΗ 16 ΗΡΑΚΛΕΙΟ"</f>
        <v>ΑΝΤΩΝΙΟΥ ΚΑΣΤΡΙΝΑΚΗ 16 ΗΡΑΚΛΕΙΟ</v>
      </c>
      <c r="I1583">
        <v>71305</v>
      </c>
      <c r="J1583">
        <v>2810210986</v>
      </c>
      <c r="K1583">
        <v>6946463103</v>
      </c>
      <c r="L1583">
        <v>2815002300</v>
      </c>
      <c r="M1583" t="s">
        <v>3473</v>
      </c>
      <c r="N1583" t="s">
        <v>299</v>
      </c>
      <c r="O1583" t="s">
        <v>300</v>
      </c>
      <c r="R1583" t="s">
        <v>57</v>
      </c>
      <c r="S1583">
        <v>5</v>
      </c>
      <c r="T1583">
        <v>231</v>
      </c>
      <c r="U1583" s="1">
        <v>38960</v>
      </c>
      <c r="V1583" t="s">
        <v>123</v>
      </c>
      <c r="W1583" t="s">
        <v>124</v>
      </c>
      <c r="X1583" t="s">
        <v>58</v>
      </c>
      <c r="Y1583">
        <v>20</v>
      </c>
      <c r="Z1583" t="s">
        <v>59</v>
      </c>
      <c r="AA1583" t="s">
        <v>59</v>
      </c>
      <c r="AB1583" t="s">
        <v>59</v>
      </c>
      <c r="AC1583" t="s">
        <v>59</v>
      </c>
      <c r="AD1583" t="s">
        <v>59</v>
      </c>
      <c r="AF1583" s="1">
        <v>38961</v>
      </c>
      <c r="AG1583" t="s">
        <v>125</v>
      </c>
      <c r="AH1583" t="s">
        <v>126</v>
      </c>
      <c r="AI1583" t="str">
        <f>"1701051"</f>
        <v>1701051</v>
      </c>
      <c r="AJ1583" t="s">
        <v>443</v>
      </c>
      <c r="AK1583">
        <v>2810325815</v>
      </c>
      <c r="AL1583" t="s">
        <v>444</v>
      </c>
      <c r="AM1583" t="s">
        <v>78</v>
      </c>
      <c r="AN1583" t="s">
        <v>78</v>
      </c>
      <c r="AO1583" t="s">
        <v>78</v>
      </c>
      <c r="AP1583" t="s">
        <v>163</v>
      </c>
      <c r="AQ1583">
        <v>5</v>
      </c>
      <c r="AR1583" t="s">
        <v>123</v>
      </c>
      <c r="AS1583" t="s">
        <v>124</v>
      </c>
      <c r="AT1583" t="s">
        <v>58</v>
      </c>
      <c r="AU1583" t="s">
        <v>68</v>
      </c>
      <c r="AV1583" t="s">
        <v>69</v>
      </c>
      <c r="AW1583" s="1">
        <v>30218</v>
      </c>
      <c r="AX1583">
        <v>2</v>
      </c>
    </row>
    <row r="1584" spans="1:50">
      <c r="A1584">
        <v>198267</v>
      </c>
      <c r="B1584" t="str">
        <f>"075007498"</f>
        <v>075007498</v>
      </c>
      <c r="C1584" t="s">
        <v>105</v>
      </c>
      <c r="D1584" t="s">
        <v>3474</v>
      </c>
      <c r="E1584" t="s">
        <v>510</v>
      </c>
      <c r="F1584" t="s">
        <v>95</v>
      </c>
      <c r="G1584" t="s">
        <v>52</v>
      </c>
      <c r="H1584" t="str">
        <f>"ΑΝΘΕΩΝ 66 ΗΡΑΚΛΕΙΟ"</f>
        <v>ΑΝΘΕΩΝ 66 ΗΡΑΚΛΕΙΟ</v>
      </c>
      <c r="I1584">
        <v>71409</v>
      </c>
      <c r="J1584">
        <v>2104002049</v>
      </c>
      <c r="K1584">
        <v>6947305401</v>
      </c>
      <c r="M1584" t="s">
        <v>3475</v>
      </c>
      <c r="N1584" t="s">
        <v>246</v>
      </c>
      <c r="O1584" t="s">
        <v>247</v>
      </c>
      <c r="R1584" t="s">
        <v>57</v>
      </c>
      <c r="S1584">
        <v>13</v>
      </c>
      <c r="T1584">
        <v>206</v>
      </c>
      <c r="U1584" s="1">
        <v>37866</v>
      </c>
      <c r="V1584" t="s">
        <v>123</v>
      </c>
      <c r="W1584" t="s">
        <v>124</v>
      </c>
      <c r="X1584" t="s">
        <v>58</v>
      </c>
      <c r="Y1584">
        <v>20</v>
      </c>
      <c r="Z1584" t="s">
        <v>59</v>
      </c>
      <c r="AA1584" t="s">
        <v>59</v>
      </c>
      <c r="AB1584" t="s">
        <v>59</v>
      </c>
      <c r="AC1584" t="s">
        <v>59</v>
      </c>
      <c r="AD1584" t="s">
        <v>59</v>
      </c>
      <c r="AF1584" s="1">
        <v>37866</v>
      </c>
      <c r="AG1584" t="s">
        <v>148</v>
      </c>
      <c r="AH1584" t="s">
        <v>149</v>
      </c>
      <c r="AI1584" t="str">
        <f>"1751052"</f>
        <v>1751052</v>
      </c>
      <c r="AJ1584" t="s">
        <v>328</v>
      </c>
      <c r="AK1584">
        <v>2810213762</v>
      </c>
      <c r="AL1584" t="s">
        <v>329</v>
      </c>
      <c r="AM1584" t="s">
        <v>78</v>
      </c>
      <c r="AN1584" t="s">
        <v>78</v>
      </c>
      <c r="AO1584" t="s">
        <v>78</v>
      </c>
      <c r="AP1584" t="s">
        <v>163</v>
      </c>
      <c r="AQ1584">
        <v>8</v>
      </c>
      <c r="AR1584" t="s">
        <v>123</v>
      </c>
      <c r="AS1584" t="s">
        <v>124</v>
      </c>
      <c r="AT1584" t="s">
        <v>58</v>
      </c>
      <c r="AU1584" t="s">
        <v>68</v>
      </c>
      <c r="AV1584" t="s">
        <v>69</v>
      </c>
      <c r="AW1584" s="1">
        <v>25847</v>
      </c>
      <c r="AX1584">
        <v>2</v>
      </c>
    </row>
    <row r="1585" spans="1:50">
      <c r="A1585">
        <v>217632</v>
      </c>
      <c r="B1585" t="str">
        <f>"109302071"</f>
        <v>109302071</v>
      </c>
      <c r="C1585" t="s">
        <v>50</v>
      </c>
      <c r="D1585" t="s">
        <v>3476</v>
      </c>
      <c r="E1585" t="s">
        <v>52</v>
      </c>
      <c r="F1585" t="s">
        <v>202</v>
      </c>
      <c r="G1585" t="s">
        <v>3477</v>
      </c>
      <c r="H1585" t="str">
        <f>" "</f>
        <v xml:space="preserve"> </v>
      </c>
      <c r="K1585">
        <v>6936942752</v>
      </c>
      <c r="M1585" t="s">
        <v>3478</v>
      </c>
      <c r="N1585" t="s">
        <v>146</v>
      </c>
      <c r="O1585" t="s">
        <v>147</v>
      </c>
      <c r="R1585" t="s">
        <v>57</v>
      </c>
      <c r="S1585">
        <v>6</v>
      </c>
      <c r="T1585">
        <v>599</v>
      </c>
      <c r="U1585" s="1">
        <v>39310</v>
      </c>
      <c r="V1585" t="s">
        <v>123</v>
      </c>
      <c r="W1585" t="s">
        <v>124</v>
      </c>
      <c r="X1585" t="s">
        <v>58</v>
      </c>
      <c r="Y1585">
        <v>20</v>
      </c>
      <c r="Z1585" t="s">
        <v>59</v>
      </c>
      <c r="AA1585" t="s">
        <v>59</v>
      </c>
      <c r="AB1585" t="s">
        <v>59</v>
      </c>
      <c r="AC1585" t="s">
        <v>59</v>
      </c>
      <c r="AD1585" t="s">
        <v>59</v>
      </c>
      <c r="AF1585" s="1">
        <v>39328</v>
      </c>
      <c r="AG1585" t="s">
        <v>137</v>
      </c>
      <c r="AH1585" t="s">
        <v>469</v>
      </c>
      <c r="AI1585" t="str">
        <f>"1740200"</f>
        <v>1740200</v>
      </c>
      <c r="AJ1585" t="s">
        <v>470</v>
      </c>
      <c r="AK1585">
        <v>2810320770</v>
      </c>
      <c r="AL1585" t="s">
        <v>471</v>
      </c>
      <c r="AM1585" t="s">
        <v>78</v>
      </c>
      <c r="AN1585" t="s">
        <v>78</v>
      </c>
      <c r="AO1585" t="s">
        <v>78</v>
      </c>
      <c r="AP1585" t="s">
        <v>163</v>
      </c>
      <c r="AQ1585">
        <v>2</v>
      </c>
      <c r="AR1585" t="s">
        <v>123</v>
      </c>
      <c r="AS1585" t="s">
        <v>124</v>
      </c>
      <c r="AT1585" t="s">
        <v>58</v>
      </c>
      <c r="AU1585" t="s">
        <v>68</v>
      </c>
      <c r="AV1585" t="s">
        <v>69</v>
      </c>
      <c r="AW1585" s="1">
        <v>27026</v>
      </c>
      <c r="AX1585">
        <v>2</v>
      </c>
    </row>
    <row r="1586" spans="1:50">
      <c r="A1586">
        <v>177094</v>
      </c>
      <c r="B1586" t="str">
        <f>"032785757"</f>
        <v>032785757</v>
      </c>
      <c r="C1586" t="s">
        <v>105</v>
      </c>
      <c r="D1586" t="s">
        <v>3479</v>
      </c>
      <c r="E1586" t="s">
        <v>564</v>
      </c>
      <c r="F1586" t="s">
        <v>279</v>
      </c>
      <c r="G1586" t="s">
        <v>3480</v>
      </c>
      <c r="H1586" t="str">
        <f>"ΓΙΑΝΝΗ ΘΕΙΑΚΑΚΗ 2 ΗΡΑΚΛΕΙΟ"</f>
        <v>ΓΙΑΝΝΗ ΘΕΙΑΚΑΚΗ 2 ΗΡΑΚΛΕΙΟ</v>
      </c>
      <c r="I1586">
        <v>71306</v>
      </c>
      <c r="J1586">
        <v>2810320000</v>
      </c>
      <c r="K1586">
        <v>6944685856</v>
      </c>
      <c r="M1586" t="s">
        <v>2506</v>
      </c>
      <c r="N1586" t="s">
        <v>176</v>
      </c>
      <c r="O1586" t="s">
        <v>177</v>
      </c>
      <c r="R1586" t="s">
        <v>57</v>
      </c>
      <c r="S1586">
        <v>13</v>
      </c>
      <c r="T1586">
        <v>180</v>
      </c>
      <c r="U1586" s="1">
        <v>35674</v>
      </c>
      <c r="V1586" t="s">
        <v>123</v>
      </c>
      <c r="W1586" t="s">
        <v>124</v>
      </c>
      <c r="X1586" t="s">
        <v>58</v>
      </c>
      <c r="Y1586">
        <v>18</v>
      </c>
      <c r="Z1586" t="s">
        <v>59</v>
      </c>
      <c r="AA1586" t="s">
        <v>59</v>
      </c>
      <c r="AB1586" t="s">
        <v>59</v>
      </c>
      <c r="AC1586" t="s">
        <v>59</v>
      </c>
      <c r="AD1586" t="s">
        <v>59</v>
      </c>
      <c r="AF1586" s="1">
        <v>35678</v>
      </c>
      <c r="AG1586" t="s">
        <v>125</v>
      </c>
      <c r="AH1586" t="s">
        <v>126</v>
      </c>
      <c r="AI1586" t="str">
        <f>"1701053"</f>
        <v>1701053</v>
      </c>
      <c r="AJ1586" t="s">
        <v>398</v>
      </c>
      <c r="AK1586">
        <v>2810251434</v>
      </c>
      <c r="AL1586" t="s">
        <v>399</v>
      </c>
      <c r="AM1586" t="s">
        <v>78</v>
      </c>
      <c r="AN1586" t="s">
        <v>78</v>
      </c>
      <c r="AO1586" t="s">
        <v>78</v>
      </c>
      <c r="AP1586" t="s">
        <v>141</v>
      </c>
      <c r="AQ1586">
        <v>7</v>
      </c>
      <c r="AR1586" t="s">
        <v>123</v>
      </c>
      <c r="AS1586" t="s">
        <v>124</v>
      </c>
      <c r="AT1586" t="s">
        <v>58</v>
      </c>
      <c r="AU1586" t="s">
        <v>68</v>
      </c>
      <c r="AV1586" t="s">
        <v>69</v>
      </c>
      <c r="AW1586" s="1">
        <v>22339</v>
      </c>
      <c r="AX1586">
        <v>2</v>
      </c>
    </row>
    <row r="1587" spans="1:50">
      <c r="A1587">
        <v>144620</v>
      </c>
      <c r="B1587" t="str">
        <f>"132973110"</f>
        <v>132973110</v>
      </c>
      <c r="C1587" t="s">
        <v>50</v>
      </c>
      <c r="D1587" t="s">
        <v>3481</v>
      </c>
      <c r="E1587" t="s">
        <v>83</v>
      </c>
      <c r="F1587" t="s">
        <v>154</v>
      </c>
      <c r="G1587" t="s">
        <v>215</v>
      </c>
      <c r="H1587" t="str">
        <f>" "</f>
        <v xml:space="preserve"> </v>
      </c>
      <c r="K1587">
        <v>6974384543</v>
      </c>
      <c r="N1587" t="s">
        <v>306</v>
      </c>
      <c r="O1587" t="s">
        <v>307</v>
      </c>
      <c r="R1587" t="s">
        <v>57</v>
      </c>
      <c r="S1587">
        <v>19</v>
      </c>
      <c r="T1587">
        <v>262</v>
      </c>
      <c r="U1587" s="1">
        <v>30916</v>
      </c>
      <c r="V1587" t="s">
        <v>123</v>
      </c>
      <c r="W1587" t="s">
        <v>124</v>
      </c>
      <c r="X1587" t="s">
        <v>58</v>
      </c>
      <c r="Y1587">
        <v>18</v>
      </c>
      <c r="Z1587" t="s">
        <v>59</v>
      </c>
      <c r="AA1587" t="s">
        <v>59</v>
      </c>
      <c r="AB1587" t="s">
        <v>59</v>
      </c>
      <c r="AC1587" t="s">
        <v>59</v>
      </c>
      <c r="AD1587" t="s">
        <v>59</v>
      </c>
      <c r="AF1587" s="1">
        <v>30929</v>
      </c>
      <c r="AG1587" t="s">
        <v>125</v>
      </c>
      <c r="AH1587" t="s">
        <v>126</v>
      </c>
      <c r="AI1587" t="str">
        <f>"1701051"</f>
        <v>1701051</v>
      </c>
      <c r="AJ1587" t="s">
        <v>443</v>
      </c>
      <c r="AK1587">
        <v>2810325815</v>
      </c>
      <c r="AL1587" t="s">
        <v>444</v>
      </c>
      <c r="AM1587" t="s">
        <v>78</v>
      </c>
      <c r="AN1587" t="s">
        <v>78</v>
      </c>
      <c r="AO1587" t="s">
        <v>78</v>
      </c>
      <c r="AP1587" t="s">
        <v>163</v>
      </c>
      <c r="AQ1587">
        <v>5</v>
      </c>
      <c r="AR1587" t="s">
        <v>123</v>
      </c>
      <c r="AS1587" t="s">
        <v>124</v>
      </c>
      <c r="AT1587" t="s">
        <v>58</v>
      </c>
      <c r="AU1587" t="s">
        <v>68</v>
      </c>
      <c r="AV1587" t="s">
        <v>69</v>
      </c>
      <c r="AW1587" s="1">
        <v>20711</v>
      </c>
      <c r="AX1587">
        <v>2</v>
      </c>
    </row>
    <row r="1588" spans="1:50">
      <c r="A1588">
        <v>194821</v>
      </c>
      <c r="B1588" t="str">
        <f>"031392823"</f>
        <v>031392823</v>
      </c>
      <c r="C1588" t="s">
        <v>105</v>
      </c>
      <c r="D1588" t="s">
        <v>3482</v>
      </c>
      <c r="E1588" t="s">
        <v>166</v>
      </c>
      <c r="F1588" t="s">
        <v>2027</v>
      </c>
      <c r="G1588" t="s">
        <v>3483</v>
      </c>
      <c r="H1588" t="str">
        <f>" "</f>
        <v xml:space="preserve"> </v>
      </c>
      <c r="J1588">
        <v>2810242663</v>
      </c>
      <c r="K1588">
        <v>6973371834</v>
      </c>
      <c r="M1588" t="s">
        <v>3484</v>
      </c>
      <c r="N1588" t="s">
        <v>282</v>
      </c>
      <c r="O1588" t="s">
        <v>283</v>
      </c>
      <c r="R1588" t="s">
        <v>57</v>
      </c>
      <c r="S1588">
        <v>12</v>
      </c>
      <c r="T1588">
        <v>193</v>
      </c>
      <c r="U1588" s="1">
        <v>37497</v>
      </c>
      <c r="V1588" t="s">
        <v>123</v>
      </c>
      <c r="W1588" t="s">
        <v>124</v>
      </c>
      <c r="X1588" t="s">
        <v>58</v>
      </c>
      <c r="Y1588">
        <v>18</v>
      </c>
      <c r="Z1588" t="s">
        <v>59</v>
      </c>
      <c r="AA1588" t="s">
        <v>59</v>
      </c>
      <c r="AB1588" t="s">
        <v>59</v>
      </c>
      <c r="AC1588" t="s">
        <v>59</v>
      </c>
      <c r="AD1588" t="s">
        <v>59</v>
      </c>
      <c r="AF1588" s="1">
        <v>37501</v>
      </c>
      <c r="AG1588" t="s">
        <v>137</v>
      </c>
      <c r="AH1588" t="s">
        <v>138</v>
      </c>
      <c r="AI1588" t="str">
        <f>"1740080"</f>
        <v>1740080</v>
      </c>
      <c r="AJ1588" t="s">
        <v>284</v>
      </c>
      <c r="AK1588">
        <v>2810220433</v>
      </c>
      <c r="AL1588" t="s">
        <v>285</v>
      </c>
      <c r="AM1588" t="s">
        <v>78</v>
      </c>
      <c r="AN1588" t="s">
        <v>78</v>
      </c>
      <c r="AO1588" t="s">
        <v>286</v>
      </c>
      <c r="AP1588" t="s">
        <v>286</v>
      </c>
      <c r="AQ1588">
        <v>12</v>
      </c>
      <c r="AR1588" t="s">
        <v>123</v>
      </c>
      <c r="AS1588" t="s">
        <v>124</v>
      </c>
      <c r="AT1588" t="s">
        <v>58</v>
      </c>
      <c r="AU1588" t="s">
        <v>68</v>
      </c>
      <c r="AV1588" t="s">
        <v>69</v>
      </c>
      <c r="AW1588" s="1">
        <v>20998</v>
      </c>
      <c r="AX1588">
        <v>2</v>
      </c>
    </row>
    <row r="1589" spans="1:50">
      <c r="A1589">
        <v>190968</v>
      </c>
      <c r="B1589" t="str">
        <f>"056279867"</f>
        <v>056279867</v>
      </c>
      <c r="C1589" t="s">
        <v>105</v>
      </c>
      <c r="D1589" t="s">
        <v>3482</v>
      </c>
      <c r="E1589" t="s">
        <v>640</v>
      </c>
      <c r="F1589" t="s">
        <v>383</v>
      </c>
      <c r="G1589" t="s">
        <v>52</v>
      </c>
      <c r="H1589" t="str">
        <f>" "</f>
        <v xml:space="preserve"> </v>
      </c>
      <c r="J1589">
        <v>2810230449</v>
      </c>
      <c r="K1589">
        <v>6977343560</v>
      </c>
      <c r="N1589" t="s">
        <v>204</v>
      </c>
      <c r="O1589" t="s">
        <v>205</v>
      </c>
      <c r="R1589" t="s">
        <v>57</v>
      </c>
      <c r="S1589">
        <v>10</v>
      </c>
      <c r="T1589">
        <v>219</v>
      </c>
      <c r="U1589" s="1">
        <v>37134</v>
      </c>
      <c r="V1589" t="s">
        <v>123</v>
      </c>
      <c r="W1589" t="s">
        <v>124</v>
      </c>
      <c r="X1589" t="s">
        <v>58</v>
      </c>
      <c r="Y1589">
        <v>20</v>
      </c>
      <c r="Z1589" t="s">
        <v>59</v>
      </c>
      <c r="AA1589" t="s">
        <v>59</v>
      </c>
      <c r="AB1589" t="s">
        <v>59</v>
      </c>
      <c r="AC1589" t="s">
        <v>59</v>
      </c>
      <c r="AD1589" t="s">
        <v>59</v>
      </c>
      <c r="AF1589" s="1">
        <v>37145</v>
      </c>
      <c r="AG1589" t="s">
        <v>137</v>
      </c>
      <c r="AH1589" t="s">
        <v>138</v>
      </c>
      <c r="AI1589" t="str">
        <f>"1740070"</f>
        <v>1740070</v>
      </c>
      <c r="AJ1589" t="s">
        <v>206</v>
      </c>
      <c r="AK1589">
        <v>2810324880</v>
      </c>
      <c r="AL1589" t="s">
        <v>207</v>
      </c>
      <c r="AM1589" t="s">
        <v>78</v>
      </c>
      <c r="AN1589" t="s">
        <v>78</v>
      </c>
      <c r="AO1589" t="s">
        <v>78</v>
      </c>
      <c r="AP1589" t="s">
        <v>163</v>
      </c>
      <c r="AQ1589">
        <v>9</v>
      </c>
      <c r="AR1589" t="s">
        <v>123</v>
      </c>
      <c r="AS1589" t="s">
        <v>124</v>
      </c>
      <c r="AT1589" t="s">
        <v>58</v>
      </c>
      <c r="AU1589" t="s">
        <v>68</v>
      </c>
      <c r="AV1589" t="s">
        <v>69</v>
      </c>
      <c r="AW1589" s="1">
        <v>27190</v>
      </c>
      <c r="AX1589">
        <v>2</v>
      </c>
    </row>
    <row r="1590" spans="1:50">
      <c r="A1590">
        <v>178209</v>
      </c>
      <c r="B1590" t="str">
        <f>"044813487"</f>
        <v>044813487</v>
      </c>
      <c r="C1590" t="s">
        <v>50</v>
      </c>
      <c r="D1590" t="s">
        <v>3485</v>
      </c>
      <c r="E1590" t="s">
        <v>263</v>
      </c>
      <c r="F1590" t="s">
        <v>1761</v>
      </c>
      <c r="G1590" t="s">
        <v>2088</v>
      </c>
      <c r="H1590" t="str">
        <f>"ΤΕΡΕΖΑΣ ΜΟΝ. 26 ΗΡΑΚΛΕΙΟΥ"</f>
        <v>ΤΕΡΕΖΑΣ ΜΟΝ. 26 ΗΡΑΚΛΕΙΟΥ</v>
      </c>
      <c r="I1590">
        <v>71304</v>
      </c>
      <c r="M1590" t="s">
        <v>3486</v>
      </c>
      <c r="N1590" t="s">
        <v>204</v>
      </c>
      <c r="O1590" t="s">
        <v>205</v>
      </c>
      <c r="P1590" t="s">
        <v>232</v>
      </c>
      <c r="Q1590" t="s">
        <v>233</v>
      </c>
      <c r="R1590" t="s">
        <v>57</v>
      </c>
      <c r="S1590">
        <v>13</v>
      </c>
      <c r="T1590">
        <v>180</v>
      </c>
      <c r="U1590" s="1">
        <v>35674</v>
      </c>
      <c r="V1590" t="s">
        <v>123</v>
      </c>
      <c r="W1590" t="s">
        <v>124</v>
      </c>
      <c r="X1590" t="s">
        <v>58</v>
      </c>
      <c r="Y1590">
        <v>18</v>
      </c>
      <c r="Z1590" t="s">
        <v>59</v>
      </c>
      <c r="AA1590" t="s">
        <v>59</v>
      </c>
      <c r="AB1590" t="s">
        <v>59</v>
      </c>
      <c r="AC1590" t="s">
        <v>59</v>
      </c>
      <c r="AD1590" t="s">
        <v>59</v>
      </c>
      <c r="AF1590" s="1">
        <v>35678</v>
      </c>
      <c r="AG1590" t="s">
        <v>125</v>
      </c>
      <c r="AH1590" t="s">
        <v>126</v>
      </c>
      <c r="AI1590" t="str">
        <f>"1701040"</f>
        <v>1701040</v>
      </c>
      <c r="AJ1590" t="s">
        <v>748</v>
      </c>
      <c r="AK1590">
        <v>2810252459</v>
      </c>
      <c r="AL1590" t="s">
        <v>749</v>
      </c>
      <c r="AM1590" t="s">
        <v>78</v>
      </c>
      <c r="AN1590" t="s">
        <v>78</v>
      </c>
      <c r="AO1590" t="s">
        <v>78</v>
      </c>
      <c r="AP1590" t="s">
        <v>141</v>
      </c>
      <c r="AQ1590">
        <v>3</v>
      </c>
      <c r="AR1590" t="s">
        <v>123</v>
      </c>
      <c r="AS1590" t="s">
        <v>124</v>
      </c>
      <c r="AT1590" t="s">
        <v>58</v>
      </c>
      <c r="AU1590" t="s">
        <v>68</v>
      </c>
      <c r="AV1590" t="s">
        <v>69</v>
      </c>
      <c r="AW1590" s="1">
        <v>24262</v>
      </c>
      <c r="AX1590">
        <v>2</v>
      </c>
    </row>
    <row r="1591" spans="1:50">
      <c r="A1591">
        <v>200601</v>
      </c>
      <c r="B1591" t="str">
        <f>"051645397"</f>
        <v>051645397</v>
      </c>
      <c r="C1591" t="s">
        <v>50</v>
      </c>
      <c r="D1591" t="s">
        <v>3485</v>
      </c>
      <c r="E1591" t="s">
        <v>52</v>
      </c>
      <c r="F1591" t="s">
        <v>3487</v>
      </c>
      <c r="G1591" t="s">
        <v>215</v>
      </c>
      <c r="H1591" t="str">
        <f>"ΜΟΝΑΧΗΣ ΤΕΡΕΖΑΣ 26  ΗΡΑΚΛΕΙΟ"</f>
        <v>ΜΟΝΑΧΗΣ ΤΕΡΕΖΑΣ 26  ΗΡΑΚΛΕΙΟ</v>
      </c>
      <c r="I1591">
        <v>71304</v>
      </c>
      <c r="J1591">
        <v>2810316818</v>
      </c>
      <c r="K1591">
        <v>6947941146</v>
      </c>
      <c r="M1591" t="s">
        <v>3488</v>
      </c>
      <c r="N1591" t="s">
        <v>299</v>
      </c>
      <c r="O1591" t="s">
        <v>300</v>
      </c>
      <c r="R1591" t="s">
        <v>57</v>
      </c>
      <c r="S1591">
        <v>9</v>
      </c>
      <c r="T1591">
        <v>213</v>
      </c>
      <c r="U1591" s="1">
        <v>37874</v>
      </c>
      <c r="V1591" t="s">
        <v>123</v>
      </c>
      <c r="W1591" t="s">
        <v>124</v>
      </c>
      <c r="X1591" t="s">
        <v>58</v>
      </c>
      <c r="Y1591">
        <v>20</v>
      </c>
      <c r="Z1591" t="s">
        <v>59</v>
      </c>
      <c r="AA1591" t="s">
        <v>59</v>
      </c>
      <c r="AB1591" t="s">
        <v>59</v>
      </c>
      <c r="AC1591" t="s">
        <v>59</v>
      </c>
      <c r="AD1591" t="s">
        <v>59</v>
      </c>
      <c r="AF1591" s="1">
        <v>37876</v>
      </c>
      <c r="AG1591" t="s">
        <v>148</v>
      </c>
      <c r="AH1591" t="s">
        <v>149</v>
      </c>
      <c r="AI1591" t="str">
        <f>"1751070"</f>
        <v>1751070</v>
      </c>
      <c r="AJ1591" t="s">
        <v>1435</v>
      </c>
      <c r="AK1591">
        <v>2810771016</v>
      </c>
      <c r="AL1591" t="s">
        <v>1436</v>
      </c>
      <c r="AM1591" t="s">
        <v>78</v>
      </c>
      <c r="AN1591" t="s">
        <v>219</v>
      </c>
      <c r="AO1591" t="s">
        <v>1437</v>
      </c>
      <c r="AP1591" t="s">
        <v>1437</v>
      </c>
      <c r="AQ1591">
        <v>21</v>
      </c>
      <c r="AR1591" t="s">
        <v>123</v>
      </c>
      <c r="AS1591" t="s">
        <v>124</v>
      </c>
      <c r="AT1591" t="s">
        <v>58</v>
      </c>
      <c r="AU1591" t="s">
        <v>68</v>
      </c>
      <c r="AV1591" t="s">
        <v>69</v>
      </c>
      <c r="AW1591" s="1">
        <v>25600</v>
      </c>
      <c r="AX1591">
        <v>2</v>
      </c>
    </row>
    <row r="1592" spans="1:50">
      <c r="A1592">
        <v>218563</v>
      </c>
      <c r="B1592" t="str">
        <f>"055812238"</f>
        <v>055812238</v>
      </c>
      <c r="C1592" t="s">
        <v>105</v>
      </c>
      <c r="D1592" t="s">
        <v>3489</v>
      </c>
      <c r="E1592" t="s">
        <v>84</v>
      </c>
      <c r="F1592" t="s">
        <v>95</v>
      </c>
      <c r="G1592" t="s">
        <v>440</v>
      </c>
      <c r="H1592" t="str">
        <f>"ΒΕΡΕΚΥΝΘΟΥ 24 ΗΡΑΚΛΕΙΟ"</f>
        <v>ΒΕΡΕΚΥΝΘΟΥ 24 ΗΡΑΚΛΕΙΟ</v>
      </c>
      <c r="I1592">
        <v>71305</v>
      </c>
      <c r="J1592">
        <v>2810281174</v>
      </c>
      <c r="K1592">
        <v>6936507978</v>
      </c>
      <c r="M1592" t="s">
        <v>3490</v>
      </c>
      <c r="N1592" t="s">
        <v>232</v>
      </c>
      <c r="O1592" t="s">
        <v>233</v>
      </c>
      <c r="R1592" t="s">
        <v>57</v>
      </c>
      <c r="S1592">
        <v>7</v>
      </c>
      <c r="T1592">
        <v>599</v>
      </c>
      <c r="U1592" s="1">
        <v>39310</v>
      </c>
      <c r="V1592" t="s">
        <v>123</v>
      </c>
      <c r="W1592" t="s">
        <v>124</v>
      </c>
      <c r="X1592" t="s">
        <v>58</v>
      </c>
      <c r="Y1592">
        <v>21</v>
      </c>
      <c r="Z1592" t="s">
        <v>59</v>
      </c>
      <c r="AA1592" t="s">
        <v>59</v>
      </c>
      <c r="AB1592" t="s">
        <v>59</v>
      </c>
      <c r="AC1592" t="s">
        <v>59</v>
      </c>
      <c r="AD1592" t="s">
        <v>59</v>
      </c>
      <c r="AF1592" s="1">
        <v>39329</v>
      </c>
      <c r="AG1592" t="s">
        <v>125</v>
      </c>
      <c r="AH1592" t="s">
        <v>126</v>
      </c>
      <c r="AI1592" t="str">
        <f>"1720010"</f>
        <v>1720010</v>
      </c>
      <c r="AJ1592" t="s">
        <v>2893</v>
      </c>
      <c r="AK1592">
        <v>2893034185</v>
      </c>
      <c r="AL1592" t="s">
        <v>2894</v>
      </c>
      <c r="AM1592" t="s">
        <v>78</v>
      </c>
      <c r="AN1592" t="s">
        <v>405</v>
      </c>
      <c r="AO1592" t="s">
        <v>405</v>
      </c>
      <c r="AP1592" t="s">
        <v>2895</v>
      </c>
      <c r="AQ1592">
        <v>32</v>
      </c>
      <c r="AR1592" t="s">
        <v>123</v>
      </c>
      <c r="AS1592" t="s">
        <v>124</v>
      </c>
      <c r="AT1592" t="s">
        <v>58</v>
      </c>
      <c r="AU1592" t="s">
        <v>68</v>
      </c>
      <c r="AV1592" t="s">
        <v>69</v>
      </c>
      <c r="AW1592" s="1">
        <v>26344</v>
      </c>
      <c r="AX1592">
        <v>2</v>
      </c>
    </row>
    <row r="1593" spans="1:50">
      <c r="A1593">
        <v>183885</v>
      </c>
      <c r="B1593" t="str">
        <f>"061509623"</f>
        <v>061509623</v>
      </c>
      <c r="C1593" t="s">
        <v>50</v>
      </c>
      <c r="D1593" t="s">
        <v>3491</v>
      </c>
      <c r="E1593" t="s">
        <v>237</v>
      </c>
      <c r="F1593" t="s">
        <v>95</v>
      </c>
      <c r="G1593" t="s">
        <v>563</v>
      </c>
      <c r="H1593" t="str">
        <f>"ΔΗΜΟΚΡΙΤΟΥ ΑΡΒΑΝΙΤΑΚΗ 17Γ ΗΡΑΚΛΕΙΟ"</f>
        <v>ΔΗΜΟΚΡΙΤΟΥ ΑΡΒΑΝΙΤΑΚΗ 17Γ ΗΡΑΚΛΕΙΟ</v>
      </c>
      <c r="I1593">
        <v>71409</v>
      </c>
      <c r="J1593">
        <v>2810361276</v>
      </c>
      <c r="K1593">
        <v>6944717201</v>
      </c>
      <c r="N1593" t="s">
        <v>292</v>
      </c>
      <c r="O1593" t="s">
        <v>293</v>
      </c>
      <c r="R1593" t="s">
        <v>57</v>
      </c>
      <c r="S1593">
        <v>11</v>
      </c>
      <c r="T1593">
        <v>177</v>
      </c>
      <c r="U1593" s="1">
        <v>36403</v>
      </c>
      <c r="V1593" t="s">
        <v>123</v>
      </c>
      <c r="W1593" t="s">
        <v>124</v>
      </c>
      <c r="X1593" t="s">
        <v>58</v>
      </c>
      <c r="Y1593">
        <v>20</v>
      </c>
      <c r="Z1593" t="s">
        <v>59</v>
      </c>
      <c r="AA1593" t="s">
        <v>59</v>
      </c>
      <c r="AB1593" t="s">
        <v>59</v>
      </c>
      <c r="AC1593" t="s">
        <v>59</v>
      </c>
      <c r="AD1593" t="s">
        <v>59</v>
      </c>
      <c r="AF1593" s="1">
        <v>36406</v>
      </c>
      <c r="AG1593" t="s">
        <v>125</v>
      </c>
      <c r="AH1593" t="s">
        <v>126</v>
      </c>
      <c r="AI1593" t="str">
        <f>"1701057"</f>
        <v>1701057</v>
      </c>
      <c r="AJ1593" t="s">
        <v>379</v>
      </c>
      <c r="AK1593">
        <v>2810234488</v>
      </c>
      <c r="AL1593" t="s">
        <v>380</v>
      </c>
      <c r="AM1593" t="s">
        <v>78</v>
      </c>
      <c r="AN1593" t="s">
        <v>78</v>
      </c>
      <c r="AO1593" t="s">
        <v>78</v>
      </c>
      <c r="AP1593" t="s">
        <v>163</v>
      </c>
      <c r="AQ1593">
        <v>8</v>
      </c>
      <c r="AR1593" t="s">
        <v>123</v>
      </c>
      <c r="AS1593" t="s">
        <v>124</v>
      </c>
      <c r="AT1593" t="s">
        <v>58</v>
      </c>
      <c r="AU1593" t="s">
        <v>68</v>
      </c>
      <c r="AV1593" t="s">
        <v>69</v>
      </c>
      <c r="AW1593" s="1">
        <v>26023</v>
      </c>
      <c r="AX1593">
        <v>2</v>
      </c>
    </row>
    <row r="1594" spans="1:50">
      <c r="A1594">
        <v>192292</v>
      </c>
      <c r="B1594" t="str">
        <f>"044806503"</f>
        <v>044806503</v>
      </c>
      <c r="C1594" t="s">
        <v>105</v>
      </c>
      <c r="D1594" t="s">
        <v>3492</v>
      </c>
      <c r="E1594" t="s">
        <v>53</v>
      </c>
      <c r="F1594" t="s">
        <v>72</v>
      </c>
      <c r="G1594" t="s">
        <v>3493</v>
      </c>
      <c r="H1594" t="str">
        <f>" "</f>
        <v xml:space="preserve"> </v>
      </c>
      <c r="K1594">
        <v>6946786548</v>
      </c>
      <c r="M1594" t="s">
        <v>3494</v>
      </c>
      <c r="N1594" t="s">
        <v>135</v>
      </c>
      <c r="O1594" t="s">
        <v>136</v>
      </c>
      <c r="R1594" t="s">
        <v>57</v>
      </c>
      <c r="S1594">
        <v>16</v>
      </c>
      <c r="T1594">
        <v>312</v>
      </c>
      <c r="U1594" s="1">
        <v>37239</v>
      </c>
      <c r="V1594" t="s">
        <v>123</v>
      </c>
      <c r="W1594" t="s">
        <v>124</v>
      </c>
      <c r="X1594" t="s">
        <v>58</v>
      </c>
      <c r="Y1594">
        <v>20</v>
      </c>
      <c r="Z1594" t="s">
        <v>59</v>
      </c>
      <c r="AA1594" t="s">
        <v>59</v>
      </c>
      <c r="AB1594" t="s">
        <v>59</v>
      </c>
      <c r="AC1594" t="s">
        <v>59</v>
      </c>
      <c r="AD1594" t="s">
        <v>59</v>
      </c>
      <c r="AF1594" s="1">
        <v>37243</v>
      </c>
      <c r="AG1594" t="s">
        <v>137</v>
      </c>
      <c r="AH1594" t="s">
        <v>138</v>
      </c>
      <c r="AI1594" t="str">
        <f>"1740310"</f>
        <v>1740310</v>
      </c>
      <c r="AJ1594" t="s">
        <v>488</v>
      </c>
      <c r="AK1594">
        <v>2891024228</v>
      </c>
      <c r="AL1594" t="s">
        <v>489</v>
      </c>
      <c r="AM1594" t="s">
        <v>78</v>
      </c>
      <c r="AN1594" t="s">
        <v>276</v>
      </c>
      <c r="AO1594" t="s">
        <v>490</v>
      </c>
      <c r="AP1594" t="s">
        <v>490</v>
      </c>
      <c r="AQ1594">
        <v>15</v>
      </c>
      <c r="AR1594" t="s">
        <v>123</v>
      </c>
      <c r="AS1594" t="s">
        <v>124</v>
      </c>
      <c r="AT1594" t="s">
        <v>58</v>
      </c>
      <c r="AU1594" t="s">
        <v>68</v>
      </c>
      <c r="AV1594" t="s">
        <v>69</v>
      </c>
      <c r="AW1594" s="1">
        <v>24343</v>
      </c>
      <c r="AX1594">
        <v>2</v>
      </c>
    </row>
    <row r="1595" spans="1:50">
      <c r="A1595">
        <v>177717</v>
      </c>
      <c r="B1595" t="str">
        <f>"032705577"</f>
        <v>032705577</v>
      </c>
      <c r="C1595" t="s">
        <v>105</v>
      </c>
      <c r="D1595" t="s">
        <v>3495</v>
      </c>
      <c r="E1595" t="s">
        <v>84</v>
      </c>
      <c r="F1595" t="s">
        <v>95</v>
      </c>
      <c r="G1595" t="s">
        <v>314</v>
      </c>
      <c r="H1595" t="str">
        <f>" "</f>
        <v xml:space="preserve"> </v>
      </c>
      <c r="M1595" t="s">
        <v>3496</v>
      </c>
      <c r="N1595" t="s">
        <v>299</v>
      </c>
      <c r="O1595" t="s">
        <v>300</v>
      </c>
      <c r="R1595" t="s">
        <v>57</v>
      </c>
      <c r="S1595">
        <v>13</v>
      </c>
      <c r="T1595">
        <v>180</v>
      </c>
      <c r="U1595" s="1">
        <v>35674</v>
      </c>
      <c r="V1595" t="s">
        <v>123</v>
      </c>
      <c r="W1595" t="s">
        <v>124</v>
      </c>
      <c r="X1595" t="s">
        <v>58</v>
      </c>
      <c r="Y1595">
        <v>18</v>
      </c>
      <c r="Z1595" t="s">
        <v>59</v>
      </c>
      <c r="AA1595" t="s">
        <v>59</v>
      </c>
      <c r="AB1595" t="s">
        <v>59</v>
      </c>
      <c r="AC1595" t="s">
        <v>59</v>
      </c>
      <c r="AD1595" t="s">
        <v>59</v>
      </c>
      <c r="AF1595" s="1">
        <v>35678</v>
      </c>
      <c r="AG1595" t="s">
        <v>137</v>
      </c>
      <c r="AH1595" t="s">
        <v>138</v>
      </c>
      <c r="AI1595" t="str">
        <f>"1740080"</f>
        <v>1740080</v>
      </c>
      <c r="AJ1595" t="s">
        <v>284</v>
      </c>
      <c r="AK1595">
        <v>2810220433</v>
      </c>
      <c r="AL1595" t="s">
        <v>285</v>
      </c>
      <c r="AM1595" t="s">
        <v>78</v>
      </c>
      <c r="AN1595" t="s">
        <v>78</v>
      </c>
      <c r="AO1595" t="s">
        <v>286</v>
      </c>
      <c r="AP1595" t="s">
        <v>286</v>
      </c>
      <c r="AQ1595">
        <v>12</v>
      </c>
      <c r="AR1595" t="s">
        <v>123</v>
      </c>
      <c r="AS1595" t="s">
        <v>124</v>
      </c>
      <c r="AT1595" t="s">
        <v>58</v>
      </c>
      <c r="AU1595" t="s">
        <v>68</v>
      </c>
      <c r="AV1595" t="s">
        <v>69</v>
      </c>
      <c r="AW1595" s="1">
        <v>20841</v>
      </c>
      <c r="AX1595">
        <v>2</v>
      </c>
    </row>
    <row r="1596" spans="1:50">
      <c r="A1596">
        <v>229933</v>
      </c>
      <c r="B1596" t="str">
        <f>"076030696"</f>
        <v>076030696</v>
      </c>
      <c r="C1596" t="s">
        <v>50</v>
      </c>
      <c r="D1596" t="s">
        <v>3497</v>
      </c>
      <c r="E1596" t="s">
        <v>188</v>
      </c>
      <c r="F1596" t="s">
        <v>1229</v>
      </c>
      <c r="G1596" t="s">
        <v>52</v>
      </c>
      <c r="H1596" t="str">
        <f>"Γ. ΑΛΕΥΡΑ 9 ΗΡΑΚΛΕΙΟ"</f>
        <v>Γ. ΑΛΕΥΡΑ 9 ΗΡΑΚΛΕΙΟ</v>
      </c>
      <c r="I1596">
        <v>71500</v>
      </c>
      <c r="J1596">
        <v>2810319491</v>
      </c>
      <c r="K1596">
        <v>6977500215</v>
      </c>
      <c r="N1596" t="s">
        <v>587</v>
      </c>
      <c r="O1596" t="s">
        <v>588</v>
      </c>
      <c r="R1596" t="s">
        <v>57</v>
      </c>
      <c r="S1596">
        <v>6</v>
      </c>
      <c r="T1596">
        <v>4</v>
      </c>
      <c r="U1596" s="1">
        <v>40186</v>
      </c>
      <c r="V1596" t="s">
        <v>123</v>
      </c>
      <c r="W1596" t="s">
        <v>124</v>
      </c>
      <c r="X1596" t="s">
        <v>58</v>
      </c>
      <c r="Y1596">
        <v>20</v>
      </c>
      <c r="Z1596" t="s">
        <v>59</v>
      </c>
      <c r="AA1596" t="s">
        <v>59</v>
      </c>
      <c r="AB1596" t="s">
        <v>59</v>
      </c>
      <c r="AC1596" t="s">
        <v>59</v>
      </c>
      <c r="AD1596" t="s">
        <v>59</v>
      </c>
      <c r="AF1596" s="1">
        <v>40187</v>
      </c>
      <c r="AG1596" t="s">
        <v>125</v>
      </c>
      <c r="AH1596" t="s">
        <v>590</v>
      </c>
      <c r="AI1596" t="str">
        <f>"1740060"</f>
        <v>1740060</v>
      </c>
      <c r="AJ1596" t="s">
        <v>591</v>
      </c>
      <c r="AK1596">
        <v>2810232117</v>
      </c>
      <c r="AL1596" t="s">
        <v>592</v>
      </c>
      <c r="AM1596" t="s">
        <v>78</v>
      </c>
      <c r="AN1596" t="s">
        <v>78</v>
      </c>
      <c r="AO1596" t="s">
        <v>78</v>
      </c>
      <c r="AP1596" t="s">
        <v>141</v>
      </c>
      <c r="AQ1596">
        <v>11</v>
      </c>
      <c r="AR1596" t="s">
        <v>123</v>
      </c>
      <c r="AS1596" t="s">
        <v>124</v>
      </c>
      <c r="AT1596" t="s">
        <v>58</v>
      </c>
      <c r="AU1596" t="s">
        <v>68</v>
      </c>
      <c r="AV1596" t="s">
        <v>69</v>
      </c>
      <c r="AW1596" s="1">
        <v>26410</v>
      </c>
      <c r="AX1596">
        <v>2</v>
      </c>
    </row>
    <row r="1597" spans="1:50">
      <c r="B1597" t="str">
        <f>"049419227"</f>
        <v>049419227</v>
      </c>
      <c r="C1597" t="s">
        <v>105</v>
      </c>
      <c r="D1597" t="s">
        <v>3498</v>
      </c>
      <c r="E1597" t="s">
        <v>995</v>
      </c>
      <c r="F1597" t="s">
        <v>3499</v>
      </c>
      <c r="G1597" t="s">
        <v>1484</v>
      </c>
      <c r="H1597" t="str">
        <f>"ΑΡΑΒΗΣΣΟΣ ΓΙΑΝΝΙΤΣΑ"</f>
        <v>ΑΡΑΒΗΣΣΟΣ ΓΙΑΝΝΙΤΣΑ</v>
      </c>
      <c r="I1597">
        <v>58100</v>
      </c>
      <c r="J1597">
        <v>2382099459</v>
      </c>
      <c r="K1597">
        <v>6976975546</v>
      </c>
      <c r="M1597" t="s">
        <v>3500</v>
      </c>
      <c r="N1597" t="s">
        <v>292</v>
      </c>
      <c r="O1597" t="s">
        <v>293</v>
      </c>
      <c r="R1597" t="s">
        <v>159</v>
      </c>
      <c r="S1597">
        <v>2</v>
      </c>
      <c r="T1597" t="s">
        <v>160</v>
      </c>
      <c r="U1597" s="1">
        <v>43364</v>
      </c>
      <c r="V1597" t="s">
        <v>123</v>
      </c>
      <c r="W1597" t="s">
        <v>124</v>
      </c>
      <c r="X1597" t="s">
        <v>58</v>
      </c>
      <c r="Y1597">
        <v>23</v>
      </c>
      <c r="Z1597" t="s">
        <v>59</v>
      </c>
      <c r="AA1597" t="s">
        <v>59</v>
      </c>
      <c r="AB1597" t="s">
        <v>59</v>
      </c>
      <c r="AC1597" t="s">
        <v>59</v>
      </c>
      <c r="AD1597" t="s">
        <v>59</v>
      </c>
      <c r="AF1597" s="1">
        <v>43367</v>
      </c>
      <c r="AG1597" t="s">
        <v>148</v>
      </c>
      <c r="AH1597" t="s">
        <v>149</v>
      </c>
      <c r="AI1597" t="str">
        <f>"1757010"</f>
        <v>1757010</v>
      </c>
      <c r="AJ1597" t="s">
        <v>240</v>
      </c>
      <c r="AK1597">
        <v>2892041388</v>
      </c>
      <c r="AL1597" t="s">
        <v>241</v>
      </c>
      <c r="AM1597" t="s">
        <v>78</v>
      </c>
      <c r="AN1597" t="s">
        <v>242</v>
      </c>
      <c r="AO1597" t="s">
        <v>243</v>
      </c>
      <c r="AP1597" t="s">
        <v>244</v>
      </c>
      <c r="AQ1597">
        <v>34</v>
      </c>
      <c r="AR1597" t="s">
        <v>123</v>
      </c>
      <c r="AS1597" t="s">
        <v>124</v>
      </c>
      <c r="AT1597" t="s">
        <v>58</v>
      </c>
      <c r="AU1597" t="s">
        <v>164</v>
      </c>
      <c r="AV1597" t="s">
        <v>132</v>
      </c>
      <c r="AW1597" s="1">
        <v>29673</v>
      </c>
      <c r="AX1597">
        <v>2</v>
      </c>
    </row>
    <row r="1598" spans="1:50">
      <c r="A1598">
        <v>170350</v>
      </c>
      <c r="B1598" t="str">
        <f>"028947521"</f>
        <v>028947521</v>
      </c>
      <c r="C1598" t="s">
        <v>105</v>
      </c>
      <c r="D1598" t="s">
        <v>3501</v>
      </c>
      <c r="E1598" t="s">
        <v>72</v>
      </c>
      <c r="F1598" t="s">
        <v>166</v>
      </c>
      <c r="G1598" t="s">
        <v>52</v>
      </c>
      <c r="H1598" t="str">
        <f>"Δ. ΚΥΡΙΑΚΟΥ  1  ΗΡΑΚΛΕΙΟ"</f>
        <v>Δ. ΚΥΡΙΑΚΟΥ  1  ΗΡΑΚΛΕΙΟ</v>
      </c>
      <c r="I1598">
        <v>71409</v>
      </c>
      <c r="J1598">
        <v>2810321562</v>
      </c>
      <c r="K1598">
        <v>6973268710</v>
      </c>
      <c r="M1598" t="s">
        <v>3502</v>
      </c>
      <c r="N1598" t="s">
        <v>292</v>
      </c>
      <c r="O1598" t="s">
        <v>293</v>
      </c>
      <c r="R1598" t="s">
        <v>57</v>
      </c>
      <c r="S1598">
        <v>11</v>
      </c>
      <c r="T1598">
        <v>184</v>
      </c>
      <c r="U1598" s="1">
        <v>34941</v>
      </c>
      <c r="V1598" t="s">
        <v>123</v>
      </c>
      <c r="W1598" t="s">
        <v>124</v>
      </c>
      <c r="X1598" t="s">
        <v>58</v>
      </c>
      <c r="Y1598">
        <v>18</v>
      </c>
      <c r="Z1598" t="s">
        <v>59</v>
      </c>
      <c r="AA1598" t="s">
        <v>59</v>
      </c>
      <c r="AB1598" t="s">
        <v>59</v>
      </c>
      <c r="AC1598" t="s">
        <v>59</v>
      </c>
      <c r="AD1598" t="s">
        <v>59</v>
      </c>
      <c r="AF1598" s="1">
        <v>34948</v>
      </c>
      <c r="AG1598" t="s">
        <v>148</v>
      </c>
      <c r="AH1598" t="s">
        <v>149</v>
      </c>
      <c r="AI1598" t="str">
        <f>"1751030"</f>
        <v>1751030</v>
      </c>
      <c r="AJ1598" t="s">
        <v>234</v>
      </c>
      <c r="AK1598">
        <v>2810282911</v>
      </c>
      <c r="AL1598" t="s">
        <v>235</v>
      </c>
      <c r="AM1598" t="s">
        <v>78</v>
      </c>
      <c r="AN1598" t="s">
        <v>78</v>
      </c>
      <c r="AO1598" t="s">
        <v>78</v>
      </c>
      <c r="AP1598" t="s">
        <v>163</v>
      </c>
      <c r="AQ1598">
        <v>1</v>
      </c>
      <c r="AR1598" t="s">
        <v>123</v>
      </c>
      <c r="AS1598" t="s">
        <v>124</v>
      </c>
      <c r="AT1598" t="s">
        <v>58</v>
      </c>
      <c r="AU1598" t="s">
        <v>68</v>
      </c>
      <c r="AV1598" t="s">
        <v>69</v>
      </c>
      <c r="AW1598" s="1">
        <v>21506</v>
      </c>
      <c r="AX1598">
        <v>2</v>
      </c>
    </row>
    <row r="1599" spans="1:50">
      <c r="A1599">
        <v>206199</v>
      </c>
      <c r="B1599" t="str">
        <f>"070349320"</f>
        <v>070349320</v>
      </c>
      <c r="C1599" t="s">
        <v>50</v>
      </c>
      <c r="D1599" t="s">
        <v>3503</v>
      </c>
      <c r="E1599" t="s">
        <v>83</v>
      </c>
      <c r="F1599" t="s">
        <v>670</v>
      </c>
      <c r="G1599" t="s">
        <v>221</v>
      </c>
      <c r="H1599" t="str">
        <f>" "</f>
        <v xml:space="preserve"> </v>
      </c>
      <c r="J1599">
        <v>2810327190</v>
      </c>
      <c r="K1599">
        <v>6948039144</v>
      </c>
      <c r="M1599" t="s">
        <v>3504</v>
      </c>
      <c r="N1599" t="s">
        <v>146</v>
      </c>
      <c r="O1599" t="s">
        <v>147</v>
      </c>
      <c r="R1599" t="s">
        <v>57</v>
      </c>
      <c r="S1599">
        <v>7</v>
      </c>
      <c r="T1599">
        <v>301</v>
      </c>
      <c r="U1599" s="1">
        <v>38302</v>
      </c>
      <c r="V1599" t="s">
        <v>123</v>
      </c>
      <c r="W1599" t="s">
        <v>124</v>
      </c>
      <c r="X1599" t="s">
        <v>58</v>
      </c>
      <c r="Y1599">
        <v>20</v>
      </c>
      <c r="Z1599" t="s">
        <v>59</v>
      </c>
      <c r="AA1599" t="s">
        <v>59</v>
      </c>
      <c r="AB1599" t="s">
        <v>59</v>
      </c>
      <c r="AC1599" t="s">
        <v>59</v>
      </c>
      <c r="AD1599" t="s">
        <v>59</v>
      </c>
      <c r="AF1599" s="1">
        <v>38307</v>
      </c>
      <c r="AG1599" t="s">
        <v>148</v>
      </c>
      <c r="AH1599" t="s">
        <v>149</v>
      </c>
      <c r="AI1599" t="str">
        <f>"1790100"</f>
        <v>1790100</v>
      </c>
      <c r="AJ1599" t="s">
        <v>252</v>
      </c>
      <c r="AK1599">
        <v>2810234876</v>
      </c>
      <c r="AL1599" t="s">
        <v>253</v>
      </c>
      <c r="AM1599" t="s">
        <v>78</v>
      </c>
      <c r="AN1599" t="s">
        <v>78</v>
      </c>
      <c r="AO1599" t="s">
        <v>78</v>
      </c>
      <c r="AP1599" t="s">
        <v>163</v>
      </c>
      <c r="AQ1599">
        <v>5</v>
      </c>
      <c r="AR1599" t="s">
        <v>123</v>
      </c>
      <c r="AS1599" t="s">
        <v>124</v>
      </c>
      <c r="AT1599" t="s">
        <v>58</v>
      </c>
      <c r="AU1599" t="s">
        <v>68</v>
      </c>
      <c r="AV1599" t="s">
        <v>357</v>
      </c>
      <c r="AW1599" s="1">
        <v>27163</v>
      </c>
      <c r="AX1599">
        <v>2</v>
      </c>
    </row>
    <row r="1600" spans="1:50">
      <c r="A1600">
        <v>179682</v>
      </c>
      <c r="B1600" t="str">
        <f>"065201146"</f>
        <v>065201146</v>
      </c>
      <c r="C1600" t="s">
        <v>50</v>
      </c>
      <c r="D1600" t="s">
        <v>3505</v>
      </c>
      <c r="E1600" t="s">
        <v>610</v>
      </c>
      <c r="F1600" t="s">
        <v>166</v>
      </c>
      <c r="G1600" t="s">
        <v>860</v>
      </c>
      <c r="H1600" t="str">
        <f>"ΚΟΜΝΗΝΩΝ 82 ΗΡΑΚΛΕΙΟ"</f>
        <v>ΚΟΜΝΗΝΩΝ 82 ΗΡΑΚΛΕΙΟ</v>
      </c>
      <c r="I1600">
        <v>71307</v>
      </c>
      <c r="J1600">
        <v>2810762745</v>
      </c>
      <c r="K1600">
        <v>6945334447</v>
      </c>
      <c r="M1600" t="s">
        <v>3506</v>
      </c>
      <c r="N1600" t="s">
        <v>146</v>
      </c>
      <c r="O1600" t="s">
        <v>147</v>
      </c>
      <c r="R1600" t="s">
        <v>57</v>
      </c>
      <c r="S1600">
        <v>12</v>
      </c>
      <c r="T1600">
        <v>164</v>
      </c>
      <c r="U1600" s="1">
        <v>36040</v>
      </c>
      <c r="V1600" t="s">
        <v>123</v>
      </c>
      <c r="W1600" t="s">
        <v>124</v>
      </c>
      <c r="X1600" t="s">
        <v>58</v>
      </c>
      <c r="Y1600">
        <v>18</v>
      </c>
      <c r="Z1600" t="s">
        <v>59</v>
      </c>
      <c r="AA1600" t="s">
        <v>59</v>
      </c>
      <c r="AB1600" t="s">
        <v>59</v>
      </c>
      <c r="AC1600" t="s">
        <v>59</v>
      </c>
      <c r="AD1600" t="s">
        <v>59</v>
      </c>
      <c r="AF1600" s="1">
        <v>36042</v>
      </c>
      <c r="AG1600" t="s">
        <v>125</v>
      </c>
      <c r="AH1600" t="s">
        <v>126</v>
      </c>
      <c r="AI1600" t="str">
        <f>"1701010"</f>
        <v>1701010</v>
      </c>
      <c r="AJ1600" t="s">
        <v>374</v>
      </c>
      <c r="AK1600">
        <v>2810227148</v>
      </c>
      <c r="AL1600" t="s">
        <v>375</v>
      </c>
      <c r="AM1600" t="s">
        <v>78</v>
      </c>
      <c r="AN1600" t="s">
        <v>78</v>
      </c>
      <c r="AO1600" t="s">
        <v>78</v>
      </c>
      <c r="AP1600" t="s">
        <v>79</v>
      </c>
      <c r="AQ1600">
        <v>1</v>
      </c>
      <c r="AR1600" t="s">
        <v>123</v>
      </c>
      <c r="AS1600" t="s">
        <v>124</v>
      </c>
      <c r="AT1600" t="s">
        <v>58</v>
      </c>
      <c r="AU1600" t="s">
        <v>68</v>
      </c>
      <c r="AV1600" t="s">
        <v>69</v>
      </c>
      <c r="AW1600" s="1">
        <v>24636</v>
      </c>
      <c r="AX1600">
        <v>2</v>
      </c>
    </row>
    <row r="1601" spans="1:50">
      <c r="A1601">
        <v>176716</v>
      </c>
      <c r="B1601" t="str">
        <f>"043887602"</f>
        <v>043887602</v>
      </c>
      <c r="C1601" t="s">
        <v>50</v>
      </c>
      <c r="D1601" t="s">
        <v>3507</v>
      </c>
      <c r="E1601" t="s">
        <v>52</v>
      </c>
      <c r="F1601" t="s">
        <v>377</v>
      </c>
      <c r="G1601" t="s">
        <v>181</v>
      </c>
      <c r="H1601" t="str">
        <f>"ΜΟΝΗΣ ΚΟΥΔΟΥΜΑ 20 "</f>
        <v xml:space="preserve">ΜΟΝΗΣ ΚΟΥΔΟΥΜΑ 20 </v>
      </c>
      <c r="J1601">
        <v>2810322397</v>
      </c>
      <c r="K1601">
        <v>6930778081</v>
      </c>
      <c r="L1601">
        <v>306930778081</v>
      </c>
      <c r="M1601" t="s">
        <v>3508</v>
      </c>
      <c r="N1601" t="s">
        <v>306</v>
      </c>
      <c r="O1601" t="s">
        <v>307</v>
      </c>
      <c r="R1601" t="s">
        <v>57</v>
      </c>
      <c r="S1601">
        <v>11</v>
      </c>
      <c r="T1601">
        <v>180</v>
      </c>
      <c r="U1601" s="1">
        <v>35674</v>
      </c>
      <c r="V1601" t="s">
        <v>123</v>
      </c>
      <c r="W1601" t="s">
        <v>124</v>
      </c>
      <c r="X1601" t="s">
        <v>58</v>
      </c>
      <c r="Y1601">
        <v>18</v>
      </c>
      <c r="Z1601" t="s">
        <v>59</v>
      </c>
      <c r="AA1601" t="s">
        <v>59</v>
      </c>
      <c r="AB1601" t="s">
        <v>59</v>
      </c>
      <c r="AC1601" t="s">
        <v>59</v>
      </c>
      <c r="AD1601" t="s">
        <v>59</v>
      </c>
      <c r="AF1601" s="1">
        <v>35678</v>
      </c>
      <c r="AG1601" t="s">
        <v>137</v>
      </c>
      <c r="AH1601" t="s">
        <v>138</v>
      </c>
      <c r="AI1601" t="str">
        <f>"1740100"</f>
        <v>1740100</v>
      </c>
      <c r="AJ1601" t="s">
        <v>857</v>
      </c>
      <c r="AK1601">
        <v>2810360741</v>
      </c>
      <c r="AL1601" t="s">
        <v>858</v>
      </c>
      <c r="AM1601" t="s">
        <v>78</v>
      </c>
      <c r="AN1601" t="s">
        <v>78</v>
      </c>
      <c r="AO1601" t="s">
        <v>78</v>
      </c>
      <c r="AP1601" t="s">
        <v>163</v>
      </c>
      <c r="AQ1601">
        <v>5</v>
      </c>
      <c r="AR1601" t="s">
        <v>123</v>
      </c>
      <c r="AS1601" t="s">
        <v>124</v>
      </c>
      <c r="AT1601" t="s">
        <v>58</v>
      </c>
      <c r="AU1601" t="s">
        <v>68</v>
      </c>
      <c r="AV1601" t="s">
        <v>69</v>
      </c>
      <c r="AW1601" s="1">
        <v>23627</v>
      </c>
      <c r="AX1601">
        <v>2</v>
      </c>
    </row>
    <row r="1602" spans="1:50">
      <c r="A1602">
        <v>198075</v>
      </c>
      <c r="B1602" t="str">
        <f>"045550030"</f>
        <v>045550030</v>
      </c>
      <c r="C1602" t="s">
        <v>105</v>
      </c>
      <c r="D1602" t="s">
        <v>3509</v>
      </c>
      <c r="E1602" t="s">
        <v>377</v>
      </c>
      <c r="F1602" t="s">
        <v>99</v>
      </c>
      <c r="G1602" t="s">
        <v>3510</v>
      </c>
      <c r="H1602" t="str">
        <f>" "</f>
        <v xml:space="preserve"> </v>
      </c>
      <c r="J1602">
        <v>2810262129</v>
      </c>
      <c r="K1602">
        <v>6974098685</v>
      </c>
      <c r="M1602" t="s">
        <v>3511</v>
      </c>
      <c r="N1602" t="s">
        <v>232</v>
      </c>
      <c r="O1602" t="s">
        <v>233</v>
      </c>
      <c r="R1602" t="s">
        <v>57</v>
      </c>
      <c r="S1602">
        <v>10</v>
      </c>
      <c r="T1602">
        <v>206</v>
      </c>
      <c r="U1602" s="1">
        <v>37866</v>
      </c>
      <c r="V1602" t="s">
        <v>123</v>
      </c>
      <c r="W1602" t="s">
        <v>124</v>
      </c>
      <c r="X1602" t="s">
        <v>58</v>
      </c>
      <c r="Y1602">
        <v>20</v>
      </c>
      <c r="Z1602" t="s">
        <v>59</v>
      </c>
      <c r="AA1602" t="s">
        <v>59</v>
      </c>
      <c r="AB1602" t="s">
        <v>59</v>
      </c>
      <c r="AC1602" t="s">
        <v>59</v>
      </c>
      <c r="AD1602" t="s">
        <v>59</v>
      </c>
      <c r="AF1602" s="1">
        <v>37866</v>
      </c>
      <c r="AG1602" t="s">
        <v>125</v>
      </c>
      <c r="AH1602" t="s">
        <v>126</v>
      </c>
      <c r="AI1602" t="str">
        <f>"1701040"</f>
        <v>1701040</v>
      </c>
      <c r="AJ1602" t="s">
        <v>748</v>
      </c>
      <c r="AK1602">
        <v>2810252459</v>
      </c>
      <c r="AL1602" t="s">
        <v>749</v>
      </c>
      <c r="AM1602" t="s">
        <v>78</v>
      </c>
      <c r="AN1602" t="s">
        <v>78</v>
      </c>
      <c r="AO1602" t="s">
        <v>78</v>
      </c>
      <c r="AP1602" t="s">
        <v>141</v>
      </c>
      <c r="AQ1602">
        <v>3</v>
      </c>
      <c r="AR1602" t="s">
        <v>123</v>
      </c>
      <c r="AS1602" t="s">
        <v>124</v>
      </c>
      <c r="AT1602" t="s">
        <v>58</v>
      </c>
      <c r="AU1602" t="s">
        <v>68</v>
      </c>
      <c r="AV1602" t="s">
        <v>69</v>
      </c>
      <c r="AW1602" s="1">
        <v>23825</v>
      </c>
      <c r="AX1602">
        <v>2</v>
      </c>
    </row>
    <row r="1603" spans="1:50">
      <c r="A1603">
        <v>179683</v>
      </c>
      <c r="B1603" t="str">
        <f>"035810113"</f>
        <v>035810113</v>
      </c>
      <c r="C1603" t="s">
        <v>50</v>
      </c>
      <c r="D1603" t="s">
        <v>3512</v>
      </c>
      <c r="E1603" t="s">
        <v>52</v>
      </c>
      <c r="F1603" t="s">
        <v>377</v>
      </c>
      <c r="G1603" t="s">
        <v>580</v>
      </c>
      <c r="H1603" t="str">
        <f>" "</f>
        <v xml:space="preserve"> </v>
      </c>
      <c r="M1603" t="s">
        <v>3513</v>
      </c>
      <c r="N1603" t="s">
        <v>146</v>
      </c>
      <c r="O1603" t="s">
        <v>147</v>
      </c>
      <c r="R1603" t="s">
        <v>57</v>
      </c>
      <c r="S1603">
        <v>12</v>
      </c>
      <c r="T1603">
        <v>164</v>
      </c>
      <c r="U1603" s="1">
        <v>36040</v>
      </c>
      <c r="V1603" t="s">
        <v>123</v>
      </c>
      <c r="W1603" t="s">
        <v>124</v>
      </c>
      <c r="X1603" t="s">
        <v>58</v>
      </c>
      <c r="Y1603">
        <v>18</v>
      </c>
      <c r="Z1603" t="s">
        <v>59</v>
      </c>
      <c r="AA1603" t="s">
        <v>59</v>
      </c>
      <c r="AB1603" t="s">
        <v>59</v>
      </c>
      <c r="AC1603" t="s">
        <v>59</v>
      </c>
      <c r="AD1603" t="s">
        <v>59</v>
      </c>
      <c r="AF1603" s="1">
        <v>36042</v>
      </c>
      <c r="AG1603" t="s">
        <v>137</v>
      </c>
      <c r="AH1603" t="s">
        <v>138</v>
      </c>
      <c r="AI1603" t="str">
        <f>"1740100"</f>
        <v>1740100</v>
      </c>
      <c r="AJ1603" t="s">
        <v>857</v>
      </c>
      <c r="AK1603">
        <v>2810360741</v>
      </c>
      <c r="AL1603" t="s">
        <v>858</v>
      </c>
      <c r="AM1603" t="s">
        <v>78</v>
      </c>
      <c r="AN1603" t="s">
        <v>78</v>
      </c>
      <c r="AO1603" t="s">
        <v>78</v>
      </c>
      <c r="AP1603" t="s">
        <v>163</v>
      </c>
      <c r="AQ1603">
        <v>5</v>
      </c>
      <c r="AR1603" t="s">
        <v>123</v>
      </c>
      <c r="AS1603" t="s">
        <v>124</v>
      </c>
      <c r="AT1603" t="s">
        <v>58</v>
      </c>
      <c r="AU1603" t="s">
        <v>68</v>
      </c>
      <c r="AV1603" t="s">
        <v>69</v>
      </c>
      <c r="AW1603" s="1">
        <v>24044</v>
      </c>
      <c r="AX1603">
        <v>2</v>
      </c>
    </row>
    <row r="1604" spans="1:50">
      <c r="A1604">
        <v>204805</v>
      </c>
      <c r="B1604" t="str">
        <f>"059213325"</f>
        <v>059213325</v>
      </c>
      <c r="C1604" t="s">
        <v>105</v>
      </c>
      <c r="D1604" t="s">
        <v>3514</v>
      </c>
      <c r="E1604" t="s">
        <v>95</v>
      </c>
      <c r="F1604" t="s">
        <v>760</v>
      </c>
      <c r="G1604" t="s">
        <v>3515</v>
      </c>
      <c r="H1604" t="str">
        <f>"Βραχόκηπος 19Γ Κοκκίνη Χάνι"</f>
        <v>Βραχόκηπος 19Γ Κοκκίνη Χάνι</v>
      </c>
      <c r="I1604">
        <v>71500</v>
      </c>
      <c r="J1604">
        <v>2810762934</v>
      </c>
      <c r="K1604">
        <v>6974736642</v>
      </c>
      <c r="M1604" t="s">
        <v>3516</v>
      </c>
      <c r="N1604" t="s">
        <v>176</v>
      </c>
      <c r="O1604" t="s">
        <v>177</v>
      </c>
      <c r="P1604" t="s">
        <v>168</v>
      </c>
      <c r="Q1604" t="s">
        <v>169</v>
      </c>
      <c r="R1604" t="s">
        <v>57</v>
      </c>
      <c r="S1604">
        <v>13</v>
      </c>
      <c r="T1604">
        <v>231</v>
      </c>
      <c r="U1604" s="1">
        <v>38230</v>
      </c>
      <c r="V1604" t="s">
        <v>123</v>
      </c>
      <c r="W1604" t="s">
        <v>124</v>
      </c>
      <c r="X1604" t="s">
        <v>58</v>
      </c>
      <c r="Y1604">
        <v>20</v>
      </c>
      <c r="Z1604" t="s">
        <v>59</v>
      </c>
      <c r="AA1604" t="s">
        <v>59</v>
      </c>
      <c r="AB1604" t="s">
        <v>59</v>
      </c>
      <c r="AC1604" t="s">
        <v>59</v>
      </c>
      <c r="AD1604" t="s">
        <v>59</v>
      </c>
      <c r="AF1604" s="1">
        <v>38236</v>
      </c>
      <c r="AG1604" t="s">
        <v>125</v>
      </c>
      <c r="AH1604" t="s">
        <v>126</v>
      </c>
      <c r="AI1604" t="str">
        <f>"1714012"</f>
        <v>1714012</v>
      </c>
      <c r="AJ1604" t="s">
        <v>633</v>
      </c>
      <c r="AK1604">
        <v>2810762261</v>
      </c>
      <c r="AL1604" t="s">
        <v>634</v>
      </c>
      <c r="AM1604" t="s">
        <v>78</v>
      </c>
      <c r="AN1604" t="s">
        <v>219</v>
      </c>
      <c r="AO1604" t="s">
        <v>297</v>
      </c>
      <c r="AP1604" t="s">
        <v>297</v>
      </c>
      <c r="AQ1604">
        <v>37</v>
      </c>
      <c r="AR1604" t="s">
        <v>123</v>
      </c>
      <c r="AS1604" t="s">
        <v>124</v>
      </c>
      <c r="AT1604" t="s">
        <v>58</v>
      </c>
      <c r="AU1604" t="s">
        <v>68</v>
      </c>
      <c r="AV1604" t="s">
        <v>69</v>
      </c>
      <c r="AW1604" s="1">
        <v>22855</v>
      </c>
      <c r="AX1604">
        <v>2</v>
      </c>
    </row>
    <row r="1605" spans="1:50">
      <c r="A1605">
        <v>204333</v>
      </c>
      <c r="B1605" t="str">
        <f>"116569505"</f>
        <v>116569505</v>
      </c>
      <c r="C1605" t="s">
        <v>50</v>
      </c>
      <c r="D1605" t="s">
        <v>3517</v>
      </c>
      <c r="E1605" t="s">
        <v>1792</v>
      </c>
      <c r="F1605" t="s">
        <v>450</v>
      </c>
      <c r="G1605" t="s">
        <v>3518</v>
      </c>
      <c r="H1605" t="str">
        <f>"ΚΟΚΚΙΝΗ ΧΑΝΙ  "</f>
        <v xml:space="preserve">ΚΟΚΚΙΝΗ ΧΑΝΙ  </v>
      </c>
      <c r="I1605">
        <v>71500</v>
      </c>
      <c r="J1605">
        <v>2810319707</v>
      </c>
      <c r="K1605">
        <v>6945715624</v>
      </c>
      <c r="N1605" t="s">
        <v>257</v>
      </c>
      <c r="O1605" t="s">
        <v>258</v>
      </c>
      <c r="P1605" t="s">
        <v>157</v>
      </c>
      <c r="Q1605" t="s">
        <v>158</v>
      </c>
      <c r="R1605" t="s">
        <v>57</v>
      </c>
      <c r="S1605">
        <v>7</v>
      </c>
      <c r="T1605">
        <v>231</v>
      </c>
      <c r="U1605" s="1">
        <v>38230</v>
      </c>
      <c r="V1605" t="s">
        <v>123</v>
      </c>
      <c r="W1605" t="s">
        <v>124</v>
      </c>
      <c r="X1605" t="s">
        <v>58</v>
      </c>
      <c r="Y1605">
        <v>20</v>
      </c>
      <c r="Z1605" t="s">
        <v>59</v>
      </c>
      <c r="AA1605" t="s">
        <v>59</v>
      </c>
      <c r="AB1605" t="s">
        <v>59</v>
      </c>
      <c r="AC1605" t="s">
        <v>59</v>
      </c>
      <c r="AD1605" t="s">
        <v>59</v>
      </c>
      <c r="AF1605" s="1">
        <v>38236</v>
      </c>
      <c r="AG1605" t="s">
        <v>137</v>
      </c>
      <c r="AH1605" t="s">
        <v>138</v>
      </c>
      <c r="AI1605" t="str">
        <f>"1740070"</f>
        <v>1740070</v>
      </c>
      <c r="AJ1605" t="s">
        <v>206</v>
      </c>
      <c r="AK1605">
        <v>2810324880</v>
      </c>
      <c r="AL1605" t="s">
        <v>207</v>
      </c>
      <c r="AM1605" t="s">
        <v>78</v>
      </c>
      <c r="AN1605" t="s">
        <v>78</v>
      </c>
      <c r="AO1605" t="s">
        <v>78</v>
      </c>
      <c r="AP1605" t="s">
        <v>163</v>
      </c>
      <c r="AQ1605">
        <v>9</v>
      </c>
      <c r="AR1605" t="s">
        <v>123</v>
      </c>
      <c r="AS1605" t="s">
        <v>124</v>
      </c>
      <c r="AT1605" t="s">
        <v>58</v>
      </c>
      <c r="AU1605" t="s">
        <v>68</v>
      </c>
      <c r="AV1605" t="s">
        <v>69</v>
      </c>
      <c r="AW1605" s="1">
        <v>26698</v>
      </c>
      <c r="AX1605">
        <v>2</v>
      </c>
    </row>
    <row r="1606" spans="1:50">
      <c r="A1606">
        <v>704330</v>
      </c>
      <c r="B1606" t="str">
        <f>"062595684"</f>
        <v>062595684</v>
      </c>
      <c r="C1606" t="s">
        <v>50</v>
      </c>
      <c r="D1606" t="s">
        <v>3519</v>
      </c>
      <c r="E1606" t="s">
        <v>83</v>
      </c>
      <c r="F1606" t="s">
        <v>1523</v>
      </c>
      <c r="G1606" t="s">
        <v>513</v>
      </c>
      <c r="H1606" t="str">
        <f>"ΛΟΥΤΡΩΝ 34 - ΛΑΓΚΑΔΑΣ "</f>
        <v xml:space="preserve">ΛΟΥΤΡΩΝ 34 - ΛΑΓΚΑΔΑΣ </v>
      </c>
      <c r="I1606">
        <v>57200</v>
      </c>
      <c r="J1606">
        <v>2394025395</v>
      </c>
      <c r="K1606">
        <v>6937670264</v>
      </c>
      <c r="N1606" t="s">
        <v>3520</v>
      </c>
      <c r="O1606" t="s">
        <v>3521</v>
      </c>
      <c r="R1606" t="s">
        <v>121</v>
      </c>
      <c r="S1606">
        <v>1</v>
      </c>
      <c r="T1606">
        <v>797</v>
      </c>
      <c r="U1606" s="1">
        <v>42968</v>
      </c>
      <c r="V1606" t="s">
        <v>123</v>
      </c>
      <c r="W1606" t="s">
        <v>124</v>
      </c>
      <c r="X1606" t="s">
        <v>58</v>
      </c>
      <c r="Y1606">
        <v>23</v>
      </c>
      <c r="Z1606" t="s">
        <v>59</v>
      </c>
      <c r="AA1606" t="s">
        <v>59</v>
      </c>
      <c r="AB1606" t="s">
        <v>59</v>
      </c>
      <c r="AC1606" t="s">
        <v>59</v>
      </c>
      <c r="AD1606" t="s">
        <v>59</v>
      </c>
      <c r="AF1606" s="1">
        <v>43346</v>
      </c>
      <c r="AG1606" t="s">
        <v>125</v>
      </c>
      <c r="AH1606" t="s">
        <v>126</v>
      </c>
      <c r="AI1606" t="str">
        <f>"1701050"</f>
        <v>1701050</v>
      </c>
      <c r="AJ1606" t="s">
        <v>660</v>
      </c>
      <c r="AK1606">
        <v>2810220729</v>
      </c>
      <c r="AL1606" t="s">
        <v>661</v>
      </c>
      <c r="AM1606" t="s">
        <v>78</v>
      </c>
      <c r="AN1606" t="s">
        <v>78</v>
      </c>
      <c r="AO1606" t="s">
        <v>78</v>
      </c>
      <c r="AP1606" t="s">
        <v>79</v>
      </c>
      <c r="AQ1606">
        <v>1</v>
      </c>
      <c r="AR1606" t="s">
        <v>123</v>
      </c>
      <c r="AS1606" t="s">
        <v>124</v>
      </c>
      <c r="AT1606" t="s">
        <v>58</v>
      </c>
      <c r="AU1606" t="s">
        <v>68</v>
      </c>
      <c r="AV1606" t="s">
        <v>455</v>
      </c>
      <c r="AW1606" s="1">
        <v>26665</v>
      </c>
      <c r="AX1606">
        <v>2</v>
      </c>
    </row>
    <row r="1607" spans="1:50">
      <c r="A1607">
        <v>217641</v>
      </c>
      <c r="B1607" t="str">
        <f>"074070649"</f>
        <v>074070649</v>
      </c>
      <c r="C1607" t="s">
        <v>50</v>
      </c>
      <c r="D1607" t="s">
        <v>3522</v>
      </c>
      <c r="E1607" t="s">
        <v>255</v>
      </c>
      <c r="F1607" t="s">
        <v>95</v>
      </c>
      <c r="G1607" t="s">
        <v>52</v>
      </c>
      <c r="H1607" t="str">
        <f>"ΠΑΠΑΝΑΣΤΑΣΙΟΥ 59 ΗΡΑΚΛΕΙΟ"</f>
        <v>ΠΑΠΑΝΑΣΤΑΣΙΟΥ 59 ΗΡΑΚΛΕΙΟ</v>
      </c>
      <c r="J1607">
        <v>2810313397</v>
      </c>
      <c r="K1607">
        <v>6934527019</v>
      </c>
      <c r="N1607" t="s">
        <v>146</v>
      </c>
      <c r="O1607" t="s">
        <v>147</v>
      </c>
      <c r="R1607" t="s">
        <v>57</v>
      </c>
      <c r="S1607">
        <v>6</v>
      </c>
      <c r="T1607">
        <v>599</v>
      </c>
      <c r="U1607" s="1">
        <v>39310</v>
      </c>
      <c r="V1607" t="s">
        <v>123</v>
      </c>
      <c r="W1607" t="s">
        <v>124</v>
      </c>
      <c r="X1607" t="s">
        <v>58</v>
      </c>
      <c r="Y1607">
        <v>20</v>
      </c>
      <c r="Z1607" t="s">
        <v>59</v>
      </c>
      <c r="AA1607" t="s">
        <v>59</v>
      </c>
      <c r="AB1607" t="s">
        <v>59</v>
      </c>
      <c r="AC1607" t="s">
        <v>59</v>
      </c>
      <c r="AD1607" t="s">
        <v>59</v>
      </c>
      <c r="AF1607" s="1">
        <v>39328</v>
      </c>
      <c r="AG1607" t="s">
        <v>125</v>
      </c>
      <c r="AH1607" t="s">
        <v>126</v>
      </c>
      <c r="AI1607" t="str">
        <f>"1701050"</f>
        <v>1701050</v>
      </c>
      <c r="AJ1607" t="s">
        <v>660</v>
      </c>
      <c r="AK1607">
        <v>2810220729</v>
      </c>
      <c r="AL1607" t="s">
        <v>661</v>
      </c>
      <c r="AM1607" t="s">
        <v>78</v>
      </c>
      <c r="AN1607" t="s">
        <v>78</v>
      </c>
      <c r="AO1607" t="s">
        <v>78</v>
      </c>
      <c r="AP1607" t="s">
        <v>79</v>
      </c>
      <c r="AQ1607">
        <v>1</v>
      </c>
      <c r="AR1607" t="s">
        <v>123</v>
      </c>
      <c r="AS1607" t="s">
        <v>124</v>
      </c>
      <c r="AT1607" t="s">
        <v>58</v>
      </c>
      <c r="AU1607" t="s">
        <v>68</v>
      </c>
      <c r="AV1607" t="s">
        <v>357</v>
      </c>
      <c r="AW1607" s="1">
        <v>24785</v>
      </c>
      <c r="AX1607">
        <v>2</v>
      </c>
    </row>
    <row r="1608" spans="1:50">
      <c r="A1608">
        <v>189537</v>
      </c>
      <c r="B1608" t="str">
        <f>"031478888"</f>
        <v>031478888</v>
      </c>
      <c r="C1608" t="s">
        <v>50</v>
      </c>
      <c r="D1608" t="s">
        <v>3522</v>
      </c>
      <c r="E1608" t="s">
        <v>109</v>
      </c>
      <c r="F1608" t="s">
        <v>3049</v>
      </c>
      <c r="G1608" t="s">
        <v>96</v>
      </c>
      <c r="H1608" t="str">
        <f>" "</f>
        <v xml:space="preserve"> </v>
      </c>
      <c r="N1608" t="s">
        <v>146</v>
      </c>
      <c r="O1608" t="s">
        <v>147</v>
      </c>
      <c r="R1608" t="s">
        <v>57</v>
      </c>
      <c r="S1608">
        <v>18</v>
      </c>
      <c r="T1608">
        <v>219</v>
      </c>
      <c r="U1608" s="1">
        <v>37134</v>
      </c>
      <c r="V1608" t="s">
        <v>123</v>
      </c>
      <c r="W1608" t="s">
        <v>124</v>
      </c>
      <c r="X1608" t="s">
        <v>58</v>
      </c>
      <c r="Y1608">
        <v>18</v>
      </c>
      <c r="Z1608" t="s">
        <v>59</v>
      </c>
      <c r="AA1608" t="s">
        <v>59</v>
      </c>
      <c r="AB1608" t="s">
        <v>59</v>
      </c>
      <c r="AC1608" t="s">
        <v>59</v>
      </c>
      <c r="AD1608" t="s">
        <v>59</v>
      </c>
      <c r="AF1608" s="1">
        <v>37138</v>
      </c>
      <c r="AG1608" t="s">
        <v>148</v>
      </c>
      <c r="AH1608" t="s">
        <v>149</v>
      </c>
      <c r="AI1608" t="str">
        <f>"1751030"</f>
        <v>1751030</v>
      </c>
      <c r="AJ1608" t="s">
        <v>234</v>
      </c>
      <c r="AK1608">
        <v>2810282911</v>
      </c>
      <c r="AL1608" t="s">
        <v>235</v>
      </c>
      <c r="AM1608" t="s">
        <v>78</v>
      </c>
      <c r="AN1608" t="s">
        <v>78</v>
      </c>
      <c r="AO1608" t="s">
        <v>78</v>
      </c>
      <c r="AP1608" t="s">
        <v>163</v>
      </c>
      <c r="AQ1608">
        <v>1</v>
      </c>
      <c r="AR1608" t="s">
        <v>123</v>
      </c>
      <c r="AS1608" t="s">
        <v>124</v>
      </c>
      <c r="AT1608" t="s">
        <v>58</v>
      </c>
      <c r="AU1608" t="s">
        <v>68</v>
      </c>
      <c r="AV1608" t="s">
        <v>69</v>
      </c>
      <c r="AW1608" s="1">
        <v>25020</v>
      </c>
      <c r="AX1608">
        <v>2</v>
      </c>
    </row>
    <row r="1609" spans="1:50">
      <c r="A1609">
        <v>215696</v>
      </c>
      <c r="B1609" t="str">
        <f>"103688580"</f>
        <v>103688580</v>
      </c>
      <c r="C1609" t="s">
        <v>50</v>
      </c>
      <c r="D1609" t="s">
        <v>3522</v>
      </c>
      <c r="E1609" t="s">
        <v>109</v>
      </c>
      <c r="F1609" t="s">
        <v>92</v>
      </c>
      <c r="G1609" t="s">
        <v>1204</v>
      </c>
      <c r="H1609" t="str">
        <f>"ηρακλειο ΗΡΑΚΛΕΙΟ"</f>
        <v>ηρακλειο ΗΡΑΚΛΕΙΟ</v>
      </c>
      <c r="J1609">
        <v>2893041636</v>
      </c>
      <c r="K1609">
        <v>6974985710</v>
      </c>
      <c r="M1609" t="s">
        <v>3523</v>
      </c>
      <c r="N1609" t="s">
        <v>204</v>
      </c>
      <c r="O1609" t="s">
        <v>205</v>
      </c>
      <c r="R1609" t="s">
        <v>57</v>
      </c>
      <c r="S1609">
        <v>7</v>
      </c>
      <c r="T1609">
        <v>231</v>
      </c>
      <c r="U1609" s="1">
        <v>38960</v>
      </c>
      <c r="V1609" t="s">
        <v>123</v>
      </c>
      <c r="W1609" t="s">
        <v>124</v>
      </c>
      <c r="X1609" t="s">
        <v>58</v>
      </c>
      <c r="Y1609">
        <v>20</v>
      </c>
      <c r="Z1609" t="s">
        <v>59</v>
      </c>
      <c r="AA1609" t="s">
        <v>59</v>
      </c>
      <c r="AB1609" t="s">
        <v>59</v>
      </c>
      <c r="AC1609" t="s">
        <v>59</v>
      </c>
      <c r="AD1609" t="s">
        <v>59</v>
      </c>
      <c r="AF1609" s="1">
        <v>38961</v>
      </c>
      <c r="AG1609" t="s">
        <v>148</v>
      </c>
      <c r="AH1609" t="s">
        <v>149</v>
      </c>
      <c r="AI1609" t="str">
        <f>"1756010"</f>
        <v>1756010</v>
      </c>
      <c r="AJ1609" t="s">
        <v>874</v>
      </c>
      <c r="AK1609">
        <v>2892022976</v>
      </c>
      <c r="AL1609" t="s">
        <v>875</v>
      </c>
      <c r="AM1609" t="s">
        <v>78</v>
      </c>
      <c r="AN1609" t="s">
        <v>242</v>
      </c>
      <c r="AO1609" t="s">
        <v>243</v>
      </c>
      <c r="AP1609" t="s">
        <v>243</v>
      </c>
      <c r="AQ1609">
        <v>33</v>
      </c>
      <c r="AR1609" t="s">
        <v>123</v>
      </c>
      <c r="AS1609" t="s">
        <v>124</v>
      </c>
      <c r="AT1609" t="s">
        <v>58</v>
      </c>
      <c r="AU1609" t="s">
        <v>68</v>
      </c>
      <c r="AV1609" t="s">
        <v>69</v>
      </c>
      <c r="AW1609" s="1">
        <v>29548</v>
      </c>
      <c r="AX1609">
        <v>2</v>
      </c>
    </row>
    <row r="1610" spans="1:50">
      <c r="A1610">
        <v>190479</v>
      </c>
      <c r="B1610" t="str">
        <f>"064122956"</f>
        <v>064122956</v>
      </c>
      <c r="C1610" t="s">
        <v>50</v>
      </c>
      <c r="D1610" t="s">
        <v>3524</v>
      </c>
      <c r="E1610" t="s">
        <v>3525</v>
      </c>
      <c r="F1610" t="s">
        <v>3526</v>
      </c>
      <c r="G1610" t="s">
        <v>3527</v>
      </c>
      <c r="H1610" t="str">
        <f>" "</f>
        <v xml:space="preserve"> </v>
      </c>
      <c r="K1610">
        <v>6948823030</v>
      </c>
      <c r="M1610" t="s">
        <v>3528</v>
      </c>
      <c r="N1610" t="s">
        <v>288</v>
      </c>
      <c r="O1610" t="s">
        <v>289</v>
      </c>
      <c r="R1610" t="s">
        <v>57</v>
      </c>
      <c r="S1610">
        <v>8</v>
      </c>
      <c r="T1610">
        <v>219</v>
      </c>
      <c r="U1610" s="1">
        <v>37134</v>
      </c>
      <c r="V1610" t="s">
        <v>123</v>
      </c>
      <c r="W1610" t="s">
        <v>124</v>
      </c>
      <c r="X1610" t="s">
        <v>58</v>
      </c>
      <c r="Y1610">
        <v>20</v>
      </c>
      <c r="Z1610" t="s">
        <v>59</v>
      </c>
      <c r="AA1610" t="s">
        <v>59</v>
      </c>
      <c r="AB1610" t="s">
        <v>59</v>
      </c>
      <c r="AC1610" t="s">
        <v>59</v>
      </c>
      <c r="AD1610" t="s">
        <v>59</v>
      </c>
      <c r="AF1610" s="1">
        <v>37138</v>
      </c>
      <c r="AG1610" t="s">
        <v>125</v>
      </c>
      <c r="AH1610" t="s">
        <v>126</v>
      </c>
      <c r="AI1610" t="str">
        <f>"1701057"</f>
        <v>1701057</v>
      </c>
      <c r="AJ1610" t="s">
        <v>379</v>
      </c>
      <c r="AK1610">
        <v>2810234488</v>
      </c>
      <c r="AL1610" t="s">
        <v>380</v>
      </c>
      <c r="AM1610" t="s">
        <v>78</v>
      </c>
      <c r="AN1610" t="s">
        <v>78</v>
      </c>
      <c r="AO1610" t="s">
        <v>78</v>
      </c>
      <c r="AP1610" t="s">
        <v>163</v>
      </c>
      <c r="AQ1610">
        <v>8</v>
      </c>
      <c r="AR1610" t="s">
        <v>123</v>
      </c>
      <c r="AS1610" t="s">
        <v>124</v>
      </c>
      <c r="AT1610" t="s">
        <v>58</v>
      </c>
      <c r="AU1610" t="s">
        <v>68</v>
      </c>
      <c r="AV1610" t="s">
        <v>69</v>
      </c>
      <c r="AW1610" s="1">
        <v>22441</v>
      </c>
      <c r="AX1610">
        <v>2</v>
      </c>
    </row>
    <row r="1611" spans="1:50">
      <c r="B1611" t="str">
        <f>"120032286"</f>
        <v>120032286</v>
      </c>
      <c r="C1611" t="s">
        <v>50</v>
      </c>
      <c r="D1611" t="s">
        <v>3529</v>
      </c>
      <c r="E1611" t="s">
        <v>3530</v>
      </c>
      <c r="F1611" t="s">
        <v>383</v>
      </c>
      <c r="G1611" t="s">
        <v>73</v>
      </c>
      <c r="H1611" t="str">
        <f>"ΤΡΑΝΤΑΛΛΙΔΟΥ 12 ΡΕΘΥΜΝΟ"</f>
        <v>ΤΡΑΝΤΑΛΛΙΔΟΥ 12 ΡΕΘΥΜΝΟ</v>
      </c>
      <c r="I1611">
        <v>74100</v>
      </c>
      <c r="J1611">
        <v>2831024137</v>
      </c>
      <c r="K1611">
        <v>6974719287</v>
      </c>
      <c r="N1611" t="s">
        <v>146</v>
      </c>
      <c r="O1611" t="s">
        <v>147</v>
      </c>
      <c r="R1611" t="s">
        <v>159</v>
      </c>
      <c r="S1611">
        <v>2</v>
      </c>
      <c r="T1611" t="s">
        <v>574</v>
      </c>
      <c r="U1611" s="1">
        <v>43378</v>
      </c>
      <c r="V1611" t="s">
        <v>123</v>
      </c>
      <c r="W1611" t="s">
        <v>124</v>
      </c>
      <c r="X1611" t="s">
        <v>58</v>
      </c>
      <c r="Y1611">
        <v>23</v>
      </c>
      <c r="Z1611" t="s">
        <v>59</v>
      </c>
      <c r="AA1611" t="s">
        <v>59</v>
      </c>
      <c r="AB1611" t="s">
        <v>59</v>
      </c>
      <c r="AC1611" t="s">
        <v>59</v>
      </c>
      <c r="AD1611" t="s">
        <v>59</v>
      </c>
      <c r="AF1611" s="1">
        <v>43381</v>
      </c>
      <c r="AG1611" t="s">
        <v>148</v>
      </c>
      <c r="AH1611" t="s">
        <v>149</v>
      </c>
      <c r="AI1611" t="str">
        <f>"1763010"</f>
        <v>1763010</v>
      </c>
      <c r="AJ1611" t="s">
        <v>560</v>
      </c>
      <c r="AK1611">
        <v>2892051146</v>
      </c>
      <c r="AL1611" t="s">
        <v>561</v>
      </c>
      <c r="AM1611" t="s">
        <v>78</v>
      </c>
      <c r="AN1611" t="s">
        <v>242</v>
      </c>
      <c r="AO1611" t="s">
        <v>349</v>
      </c>
      <c r="AP1611" t="s">
        <v>349</v>
      </c>
      <c r="AQ1611">
        <v>35</v>
      </c>
      <c r="AR1611" t="s">
        <v>123</v>
      </c>
      <c r="AS1611" t="s">
        <v>124</v>
      </c>
      <c r="AT1611" t="s">
        <v>58</v>
      </c>
      <c r="AU1611" t="s">
        <v>164</v>
      </c>
      <c r="AV1611" t="s">
        <v>132</v>
      </c>
      <c r="AW1611" s="1">
        <v>28961</v>
      </c>
      <c r="AX1611">
        <v>2</v>
      </c>
    </row>
    <row r="1612" spans="1:50">
      <c r="A1612">
        <v>225147</v>
      </c>
      <c r="B1612" t="str">
        <f>"101940824"</f>
        <v>101940824</v>
      </c>
      <c r="C1612" t="s">
        <v>105</v>
      </c>
      <c r="D1612" t="s">
        <v>3531</v>
      </c>
      <c r="E1612" t="s">
        <v>450</v>
      </c>
      <c r="F1612" t="s">
        <v>995</v>
      </c>
      <c r="G1612" t="s">
        <v>143</v>
      </c>
      <c r="H1612" t="str">
        <f>"ΓΕΩΡΓΙΟΥ ΟΙΚΟΝΟΜΙΔΗ 3 ΗΡΑΚΛΕΙΟ"</f>
        <v>ΓΕΩΡΓΙΟΥ ΟΙΚΟΝΟΜΙΔΗ 3 ΗΡΑΚΛΕΙΟ</v>
      </c>
      <c r="I1612">
        <v>71409</v>
      </c>
      <c r="K1612">
        <v>6974777986</v>
      </c>
      <c r="L1612">
        <v>2810324907</v>
      </c>
      <c r="M1612" t="s">
        <v>3532</v>
      </c>
      <c r="N1612" t="s">
        <v>176</v>
      </c>
      <c r="O1612" t="s">
        <v>177</v>
      </c>
      <c r="R1612" t="s">
        <v>57</v>
      </c>
      <c r="S1612">
        <v>8</v>
      </c>
      <c r="T1612">
        <v>775</v>
      </c>
      <c r="U1612" s="1">
        <v>39680</v>
      </c>
      <c r="V1612" t="s">
        <v>123</v>
      </c>
      <c r="W1612" t="s">
        <v>124</v>
      </c>
      <c r="X1612" t="s">
        <v>58</v>
      </c>
      <c r="Y1612">
        <v>20</v>
      </c>
      <c r="Z1612" t="s">
        <v>59</v>
      </c>
      <c r="AA1612" t="s">
        <v>59</v>
      </c>
      <c r="AB1612" t="s">
        <v>59</v>
      </c>
      <c r="AC1612" t="s">
        <v>59</v>
      </c>
      <c r="AD1612" t="s">
        <v>59</v>
      </c>
      <c r="AF1612" s="1">
        <v>39685</v>
      </c>
      <c r="AG1612" t="s">
        <v>125</v>
      </c>
      <c r="AH1612" t="s">
        <v>538</v>
      </c>
      <c r="AI1612" t="str">
        <f>"1701002"</f>
        <v>1701002</v>
      </c>
      <c r="AJ1612" t="s">
        <v>539</v>
      </c>
      <c r="AK1612">
        <v>2810213569</v>
      </c>
      <c r="AL1612" t="s">
        <v>540</v>
      </c>
      <c r="AM1612" t="s">
        <v>78</v>
      </c>
      <c r="AN1612" t="s">
        <v>78</v>
      </c>
      <c r="AO1612" t="s">
        <v>78</v>
      </c>
      <c r="AP1612" t="s">
        <v>163</v>
      </c>
      <c r="AQ1612">
        <v>11</v>
      </c>
      <c r="AR1612" t="s">
        <v>123</v>
      </c>
      <c r="AS1612" t="s">
        <v>124</v>
      </c>
      <c r="AT1612" t="s">
        <v>58</v>
      </c>
      <c r="AU1612" t="s">
        <v>68</v>
      </c>
      <c r="AV1612" t="s">
        <v>69</v>
      </c>
      <c r="AW1612" s="1">
        <v>27662</v>
      </c>
      <c r="AX1612">
        <v>2</v>
      </c>
    </row>
    <row r="1613" spans="1:50">
      <c r="A1613">
        <v>223510</v>
      </c>
      <c r="B1613" t="str">
        <f>"046500270"</f>
        <v>046500270</v>
      </c>
      <c r="C1613" t="s">
        <v>50</v>
      </c>
      <c r="D1613" t="s">
        <v>3533</v>
      </c>
      <c r="E1613" t="s">
        <v>250</v>
      </c>
      <c r="F1613" t="s">
        <v>95</v>
      </c>
      <c r="G1613" t="s">
        <v>610</v>
      </c>
      <c r="H1613" t="str">
        <f>" "</f>
        <v xml:space="preserve"> </v>
      </c>
      <c r="J1613">
        <v>2810230210</v>
      </c>
      <c r="K1613">
        <v>6944501050</v>
      </c>
      <c r="M1613" t="s">
        <v>3534</v>
      </c>
      <c r="N1613" t="s">
        <v>232</v>
      </c>
      <c r="O1613" t="s">
        <v>233</v>
      </c>
      <c r="R1613" t="s">
        <v>57</v>
      </c>
      <c r="S1613">
        <v>6</v>
      </c>
      <c r="T1613">
        <v>775</v>
      </c>
      <c r="U1613" s="1">
        <v>39680</v>
      </c>
      <c r="V1613" t="s">
        <v>123</v>
      </c>
      <c r="W1613" t="s">
        <v>124</v>
      </c>
      <c r="X1613" t="s">
        <v>58</v>
      </c>
      <c r="Y1613">
        <v>20</v>
      </c>
      <c r="Z1613" t="s">
        <v>59</v>
      </c>
      <c r="AA1613" t="s">
        <v>59</v>
      </c>
      <c r="AB1613" t="s">
        <v>59</v>
      </c>
      <c r="AC1613" t="s">
        <v>59</v>
      </c>
      <c r="AD1613" t="s">
        <v>59</v>
      </c>
      <c r="AF1613" s="1">
        <v>39692</v>
      </c>
      <c r="AG1613" t="s">
        <v>125</v>
      </c>
      <c r="AH1613" t="s">
        <v>126</v>
      </c>
      <c r="AI1613" t="str">
        <f>"1701070"</f>
        <v>1701070</v>
      </c>
      <c r="AJ1613" t="s">
        <v>1490</v>
      </c>
      <c r="AK1613">
        <v>2810771241</v>
      </c>
      <c r="AL1613" t="s">
        <v>1491</v>
      </c>
      <c r="AM1613" t="s">
        <v>78</v>
      </c>
      <c r="AN1613" t="s">
        <v>219</v>
      </c>
      <c r="AO1613" t="s">
        <v>1437</v>
      </c>
      <c r="AP1613" t="s">
        <v>1437</v>
      </c>
      <c r="AQ1613">
        <v>21</v>
      </c>
      <c r="AR1613" t="s">
        <v>123</v>
      </c>
      <c r="AS1613" t="s">
        <v>124</v>
      </c>
      <c r="AT1613" t="s">
        <v>58</v>
      </c>
      <c r="AU1613" t="s">
        <v>68</v>
      </c>
      <c r="AV1613" t="s">
        <v>69</v>
      </c>
      <c r="AW1613" s="1">
        <v>26457</v>
      </c>
      <c r="AX1613">
        <v>2</v>
      </c>
    </row>
    <row r="1614" spans="1:50">
      <c r="A1614">
        <v>206793</v>
      </c>
      <c r="B1614" t="str">
        <f>"046091193"</f>
        <v>046091193</v>
      </c>
      <c r="C1614" t="s">
        <v>50</v>
      </c>
      <c r="D1614" t="s">
        <v>3535</v>
      </c>
      <c r="E1614" t="s">
        <v>626</v>
      </c>
      <c r="F1614" t="s">
        <v>95</v>
      </c>
      <c r="G1614" t="s">
        <v>52</v>
      </c>
      <c r="H1614" t="str">
        <f>"Καρίας 174 Ν. Αλικαρνασσός"</f>
        <v>Καρίας 174 Ν. Αλικαρνασσός</v>
      </c>
      <c r="I1614">
        <v>71601</v>
      </c>
      <c r="J1614">
        <v>2810287562</v>
      </c>
      <c r="K1614">
        <v>6985027701</v>
      </c>
      <c r="M1614" t="s">
        <v>3536</v>
      </c>
      <c r="N1614" t="s">
        <v>146</v>
      </c>
      <c r="O1614" t="s">
        <v>147</v>
      </c>
      <c r="R1614" t="s">
        <v>57</v>
      </c>
      <c r="S1614">
        <v>8</v>
      </c>
      <c r="T1614">
        <v>218</v>
      </c>
      <c r="U1614" s="1">
        <v>38596</v>
      </c>
      <c r="V1614" t="s">
        <v>123</v>
      </c>
      <c r="W1614" t="s">
        <v>124</v>
      </c>
      <c r="X1614" t="s">
        <v>58</v>
      </c>
      <c r="Y1614">
        <v>20</v>
      </c>
      <c r="Z1614" t="s">
        <v>59</v>
      </c>
      <c r="AA1614" t="s">
        <v>59</v>
      </c>
      <c r="AB1614" t="s">
        <v>59</v>
      </c>
      <c r="AC1614" t="s">
        <v>59</v>
      </c>
      <c r="AD1614" t="s">
        <v>59</v>
      </c>
      <c r="AF1614" s="1">
        <v>38600</v>
      </c>
      <c r="AG1614" t="s">
        <v>148</v>
      </c>
      <c r="AH1614" t="s">
        <v>149</v>
      </c>
      <c r="AI1614" t="str">
        <f>"1764010"</f>
        <v>1764010</v>
      </c>
      <c r="AJ1614" t="s">
        <v>1058</v>
      </c>
      <c r="AK1614">
        <v>2810762862</v>
      </c>
      <c r="AL1614" t="s">
        <v>1059</v>
      </c>
      <c r="AM1614" t="s">
        <v>78</v>
      </c>
      <c r="AN1614" t="s">
        <v>219</v>
      </c>
      <c r="AO1614" t="s">
        <v>297</v>
      </c>
      <c r="AP1614" t="s">
        <v>297</v>
      </c>
      <c r="AQ1614">
        <v>37</v>
      </c>
      <c r="AR1614" t="s">
        <v>123</v>
      </c>
      <c r="AS1614" t="s">
        <v>124</v>
      </c>
      <c r="AT1614" t="s">
        <v>58</v>
      </c>
      <c r="AU1614" t="s">
        <v>68</v>
      </c>
      <c r="AV1614" t="s">
        <v>69</v>
      </c>
      <c r="AW1614" s="1">
        <v>24985</v>
      </c>
      <c r="AX1614">
        <v>2</v>
      </c>
    </row>
    <row r="1615" spans="1:50">
      <c r="A1615">
        <v>204760</v>
      </c>
      <c r="B1615" t="str">
        <f>"038685296"</f>
        <v>038685296</v>
      </c>
      <c r="C1615" t="s">
        <v>105</v>
      </c>
      <c r="D1615" t="s">
        <v>3537</v>
      </c>
      <c r="E1615" t="s">
        <v>670</v>
      </c>
      <c r="F1615" t="s">
        <v>459</v>
      </c>
      <c r="G1615" t="s">
        <v>955</v>
      </c>
      <c r="H1615" t="str">
        <f>" "</f>
        <v xml:space="preserve"> </v>
      </c>
      <c r="J1615">
        <v>2107770868</v>
      </c>
      <c r="K1615">
        <v>6938986455</v>
      </c>
      <c r="N1615" t="s">
        <v>282</v>
      </c>
      <c r="O1615" t="s">
        <v>283</v>
      </c>
      <c r="P1615" t="s">
        <v>836</v>
      </c>
      <c r="Q1615" t="s">
        <v>837</v>
      </c>
      <c r="R1615" t="s">
        <v>57</v>
      </c>
      <c r="S1615">
        <v>10</v>
      </c>
      <c r="T1615">
        <v>231</v>
      </c>
      <c r="U1615" s="1">
        <v>38230</v>
      </c>
      <c r="V1615" t="s">
        <v>123</v>
      </c>
      <c r="W1615" t="s">
        <v>124</v>
      </c>
      <c r="X1615" t="s">
        <v>58</v>
      </c>
      <c r="Y1615">
        <v>20</v>
      </c>
      <c r="Z1615" t="s">
        <v>59</v>
      </c>
      <c r="AA1615" t="s">
        <v>59</v>
      </c>
      <c r="AB1615" t="s">
        <v>59</v>
      </c>
      <c r="AC1615" t="s">
        <v>59</v>
      </c>
      <c r="AD1615" t="s">
        <v>59</v>
      </c>
      <c r="AF1615" s="1">
        <v>38236</v>
      </c>
      <c r="AG1615" t="s">
        <v>137</v>
      </c>
      <c r="AH1615" t="s">
        <v>138</v>
      </c>
      <c r="AI1615" t="str">
        <f>"1750080"</f>
        <v>1750080</v>
      </c>
      <c r="AJ1615" t="s">
        <v>170</v>
      </c>
      <c r="AK1615">
        <v>2810234444</v>
      </c>
      <c r="AL1615" t="s">
        <v>171</v>
      </c>
      <c r="AM1615" t="s">
        <v>78</v>
      </c>
      <c r="AN1615" t="s">
        <v>78</v>
      </c>
      <c r="AO1615" t="s">
        <v>78</v>
      </c>
      <c r="AP1615" t="s">
        <v>163</v>
      </c>
      <c r="AQ1615">
        <v>9</v>
      </c>
      <c r="AR1615" t="s">
        <v>123</v>
      </c>
      <c r="AS1615" t="s">
        <v>124</v>
      </c>
      <c r="AT1615" t="s">
        <v>58</v>
      </c>
      <c r="AU1615" t="s">
        <v>68</v>
      </c>
      <c r="AV1615" t="s">
        <v>69</v>
      </c>
      <c r="AW1615" s="1">
        <v>25917</v>
      </c>
      <c r="AX1615">
        <v>2</v>
      </c>
    </row>
    <row r="1616" spans="1:50">
      <c r="A1616">
        <v>162656</v>
      </c>
      <c r="B1616" t="str">
        <f>"024867462"</f>
        <v>024867462</v>
      </c>
      <c r="C1616" t="s">
        <v>50</v>
      </c>
      <c r="D1616" t="s">
        <v>3538</v>
      </c>
      <c r="E1616" t="s">
        <v>52</v>
      </c>
      <c r="F1616" t="s">
        <v>72</v>
      </c>
      <c r="G1616" t="s">
        <v>3539</v>
      </c>
      <c r="H1616" t="str">
        <f>"Ν.ΚΑΖΑΝΤΖΑΚΗ 14 "</f>
        <v xml:space="preserve">Ν.ΚΑΖΑΝΤΖΑΚΗ 14 </v>
      </c>
      <c r="I1616">
        <v>71202</v>
      </c>
      <c r="J1616">
        <v>2810341526</v>
      </c>
      <c r="K1616">
        <v>6944577343</v>
      </c>
      <c r="M1616" t="s">
        <v>3540</v>
      </c>
      <c r="N1616" t="s">
        <v>292</v>
      </c>
      <c r="O1616" t="s">
        <v>293</v>
      </c>
      <c r="R1616" t="s">
        <v>57</v>
      </c>
      <c r="S1616">
        <v>15</v>
      </c>
      <c r="T1616">
        <v>132</v>
      </c>
      <c r="U1616" s="1">
        <v>33456</v>
      </c>
      <c r="V1616" t="s">
        <v>123</v>
      </c>
      <c r="W1616" t="s">
        <v>124</v>
      </c>
      <c r="X1616" t="s">
        <v>58</v>
      </c>
      <c r="Y1616">
        <v>18</v>
      </c>
      <c r="Z1616" t="s">
        <v>59</v>
      </c>
      <c r="AA1616" t="s">
        <v>59</v>
      </c>
      <c r="AB1616" t="s">
        <v>59</v>
      </c>
      <c r="AC1616" t="s">
        <v>59</v>
      </c>
      <c r="AD1616" t="s">
        <v>59</v>
      </c>
      <c r="AF1616" s="1">
        <v>33484</v>
      </c>
      <c r="AG1616" t="s">
        <v>125</v>
      </c>
      <c r="AH1616" t="s">
        <v>126</v>
      </c>
      <c r="AI1616" t="str">
        <f>"1701030"</f>
        <v>1701030</v>
      </c>
      <c r="AJ1616" t="s">
        <v>270</v>
      </c>
      <c r="AK1616">
        <v>2810361015</v>
      </c>
      <c r="AL1616" t="s">
        <v>271</v>
      </c>
      <c r="AM1616" t="s">
        <v>78</v>
      </c>
      <c r="AN1616" t="s">
        <v>78</v>
      </c>
      <c r="AO1616" t="s">
        <v>78</v>
      </c>
      <c r="AP1616" t="s">
        <v>163</v>
      </c>
      <c r="AQ1616">
        <v>2</v>
      </c>
      <c r="AR1616" t="s">
        <v>123</v>
      </c>
      <c r="AS1616" t="s">
        <v>124</v>
      </c>
      <c r="AT1616" t="s">
        <v>58</v>
      </c>
      <c r="AU1616" t="s">
        <v>68</v>
      </c>
      <c r="AV1616" t="s">
        <v>69</v>
      </c>
      <c r="AW1616" s="1">
        <v>21257</v>
      </c>
      <c r="AX1616">
        <v>2</v>
      </c>
    </row>
    <row r="1617" spans="1:50">
      <c r="A1617">
        <v>226183</v>
      </c>
      <c r="B1617" t="str">
        <f>"043104415"</f>
        <v>043104415</v>
      </c>
      <c r="C1617" t="s">
        <v>50</v>
      </c>
      <c r="D1617" t="s">
        <v>3541</v>
      </c>
      <c r="E1617" t="s">
        <v>83</v>
      </c>
      <c r="F1617" t="s">
        <v>315</v>
      </c>
      <c r="G1617" t="s">
        <v>3542</v>
      </c>
      <c r="H1617" t="str">
        <f>"ΠΕΛΑΣΓΩΝ  27 ΗΡΑΚΛΕΙΟ"</f>
        <v>ΠΕΛΑΣΓΩΝ  27 ΗΡΑΚΛΕΙΟ</v>
      </c>
      <c r="I1617">
        <v>71303</v>
      </c>
      <c r="J1617">
        <v>2811110357</v>
      </c>
      <c r="K1617">
        <v>6979446039</v>
      </c>
      <c r="M1617" t="s">
        <v>3543</v>
      </c>
      <c r="N1617" t="s">
        <v>337</v>
      </c>
      <c r="O1617" t="s">
        <v>338</v>
      </c>
      <c r="R1617" t="s">
        <v>57</v>
      </c>
      <c r="S1617">
        <v>5</v>
      </c>
      <c r="T1617">
        <v>652</v>
      </c>
      <c r="U1617" s="1">
        <v>40043</v>
      </c>
      <c r="V1617" t="s">
        <v>123</v>
      </c>
      <c r="W1617" t="s">
        <v>124</v>
      </c>
      <c r="X1617" t="s">
        <v>58</v>
      </c>
      <c r="Y1617">
        <v>20</v>
      </c>
      <c r="Z1617" t="s">
        <v>59</v>
      </c>
      <c r="AA1617" t="s">
        <v>59</v>
      </c>
      <c r="AB1617" t="s">
        <v>59</v>
      </c>
      <c r="AC1617" t="s">
        <v>59</v>
      </c>
      <c r="AD1617" t="s">
        <v>59</v>
      </c>
      <c r="AF1617" s="1">
        <v>40044</v>
      </c>
      <c r="AG1617" t="s">
        <v>125</v>
      </c>
      <c r="AH1617" t="s">
        <v>294</v>
      </c>
      <c r="AI1617" t="str">
        <f>"1701015"</f>
        <v>1701015</v>
      </c>
      <c r="AJ1617" t="s">
        <v>295</v>
      </c>
      <c r="AK1617">
        <v>2810761696</v>
      </c>
      <c r="AL1617" t="s">
        <v>296</v>
      </c>
      <c r="AM1617" t="s">
        <v>78</v>
      </c>
      <c r="AN1617" t="s">
        <v>219</v>
      </c>
      <c r="AO1617" t="s">
        <v>297</v>
      </c>
      <c r="AP1617" t="s">
        <v>297</v>
      </c>
      <c r="AQ1617">
        <v>10</v>
      </c>
      <c r="AR1617" t="s">
        <v>123</v>
      </c>
      <c r="AS1617" t="s">
        <v>124</v>
      </c>
      <c r="AT1617" t="s">
        <v>58</v>
      </c>
      <c r="AU1617" t="s">
        <v>68</v>
      </c>
      <c r="AV1617" t="s">
        <v>69</v>
      </c>
      <c r="AW1617" s="1">
        <v>24839</v>
      </c>
      <c r="AX1617">
        <v>2</v>
      </c>
    </row>
    <row r="1618" spans="1:50">
      <c r="A1618">
        <v>224660</v>
      </c>
      <c r="B1618" t="str">
        <f>"048068345"</f>
        <v>048068345</v>
      </c>
      <c r="C1618" t="s">
        <v>50</v>
      </c>
      <c r="D1618" t="s">
        <v>3544</v>
      </c>
      <c r="E1618" t="s">
        <v>1029</v>
      </c>
      <c r="F1618" t="s">
        <v>995</v>
      </c>
      <c r="G1618" t="s">
        <v>215</v>
      </c>
      <c r="H1618" t="str">
        <f>"ΠΡΕΚΑΤΣΟΥΝΗ 3 ΗΡΑΚΛΕΙΟ"</f>
        <v>ΠΡΕΚΑΤΣΟΥΝΗ 3 ΗΡΑΚΛΕΙΟ</v>
      </c>
      <c r="J1618">
        <v>2106435011</v>
      </c>
      <c r="K1618">
        <v>6978279581</v>
      </c>
      <c r="L1618">
        <v>6978279581</v>
      </c>
      <c r="M1618" t="s">
        <v>3545</v>
      </c>
      <c r="N1618" t="s">
        <v>683</v>
      </c>
      <c r="O1618" t="s">
        <v>684</v>
      </c>
      <c r="R1618" t="s">
        <v>57</v>
      </c>
      <c r="S1618">
        <v>4</v>
      </c>
      <c r="T1618">
        <v>775</v>
      </c>
      <c r="U1618" s="1">
        <v>39680</v>
      </c>
      <c r="V1618" t="s">
        <v>123</v>
      </c>
      <c r="W1618" t="s">
        <v>124</v>
      </c>
      <c r="X1618" t="s">
        <v>58</v>
      </c>
      <c r="Y1618">
        <v>21</v>
      </c>
      <c r="Z1618" t="s">
        <v>59</v>
      </c>
      <c r="AA1618" t="s">
        <v>59</v>
      </c>
      <c r="AB1618" t="s">
        <v>59</v>
      </c>
      <c r="AC1618" t="s">
        <v>59</v>
      </c>
      <c r="AD1618" t="s">
        <v>59</v>
      </c>
      <c r="AF1618" s="1">
        <v>39682</v>
      </c>
      <c r="AG1618" t="s">
        <v>125</v>
      </c>
      <c r="AH1618" t="s">
        <v>126</v>
      </c>
      <c r="AI1618" t="str">
        <f>"1706010"</f>
        <v>1706010</v>
      </c>
      <c r="AJ1618" t="s">
        <v>391</v>
      </c>
      <c r="AK1618">
        <v>2892022286</v>
      </c>
      <c r="AL1618" t="s">
        <v>392</v>
      </c>
      <c r="AM1618" t="s">
        <v>78</v>
      </c>
      <c r="AN1618" t="s">
        <v>242</v>
      </c>
      <c r="AO1618" t="s">
        <v>243</v>
      </c>
      <c r="AP1618" t="s">
        <v>243</v>
      </c>
      <c r="AQ1618">
        <v>33</v>
      </c>
      <c r="AR1618" t="s">
        <v>123</v>
      </c>
      <c r="AS1618" t="s">
        <v>124</v>
      </c>
      <c r="AT1618" t="s">
        <v>58</v>
      </c>
      <c r="AU1618" t="s">
        <v>68</v>
      </c>
      <c r="AV1618" t="s">
        <v>357</v>
      </c>
      <c r="AW1618" s="1">
        <v>29051</v>
      </c>
      <c r="AX1618">
        <v>2</v>
      </c>
    </row>
    <row r="1619" spans="1:50">
      <c r="A1619">
        <v>218569</v>
      </c>
      <c r="B1619" t="str">
        <f>"034785765"</f>
        <v>034785765</v>
      </c>
      <c r="C1619" t="s">
        <v>50</v>
      </c>
      <c r="D1619" t="s">
        <v>3544</v>
      </c>
      <c r="E1619" t="s">
        <v>1068</v>
      </c>
      <c r="F1619" t="s">
        <v>95</v>
      </c>
      <c r="G1619" t="s">
        <v>237</v>
      </c>
      <c r="H1619" t="str">
        <f>"ΒΑΣΙΛΕΙΕΣ ΗΡΑΚΛΕΙΟ"</f>
        <v>ΒΑΣΙΛΕΙΕΣ ΗΡΑΚΛΕΙΟ</v>
      </c>
      <c r="I1619">
        <v>71500</v>
      </c>
      <c r="J1619">
        <v>2810881092</v>
      </c>
      <c r="K1619">
        <v>6974575351</v>
      </c>
      <c r="M1619" t="s">
        <v>3546</v>
      </c>
      <c r="N1619" t="s">
        <v>232</v>
      </c>
      <c r="O1619" t="s">
        <v>233</v>
      </c>
      <c r="R1619" t="s">
        <v>57</v>
      </c>
      <c r="S1619">
        <v>6</v>
      </c>
      <c r="T1619">
        <v>599</v>
      </c>
      <c r="U1619" s="1">
        <v>39310</v>
      </c>
      <c r="V1619" t="s">
        <v>123</v>
      </c>
      <c r="W1619" t="s">
        <v>124</v>
      </c>
      <c r="X1619" t="s">
        <v>58</v>
      </c>
      <c r="Y1619">
        <v>20</v>
      </c>
      <c r="Z1619" t="s">
        <v>59</v>
      </c>
      <c r="AA1619" t="s">
        <v>59</v>
      </c>
      <c r="AB1619" t="s">
        <v>59</v>
      </c>
      <c r="AC1619" t="s">
        <v>59</v>
      </c>
      <c r="AD1619" t="s">
        <v>59</v>
      </c>
      <c r="AF1619" s="1">
        <v>39328</v>
      </c>
      <c r="AG1619" t="s">
        <v>125</v>
      </c>
      <c r="AH1619" t="s">
        <v>126</v>
      </c>
      <c r="AI1619" t="str">
        <f>"1705010"</f>
        <v>1705010</v>
      </c>
      <c r="AJ1619" t="s">
        <v>2311</v>
      </c>
      <c r="AK1619">
        <v>2891031232</v>
      </c>
      <c r="AL1619" t="s">
        <v>2312</v>
      </c>
      <c r="AM1619" t="s">
        <v>78</v>
      </c>
      <c r="AN1619" t="s">
        <v>276</v>
      </c>
      <c r="AO1619" t="s">
        <v>277</v>
      </c>
      <c r="AP1619" t="s">
        <v>277</v>
      </c>
      <c r="AQ1619">
        <v>17</v>
      </c>
      <c r="AR1619" t="s">
        <v>123</v>
      </c>
      <c r="AS1619" t="s">
        <v>124</v>
      </c>
      <c r="AT1619" t="s">
        <v>58</v>
      </c>
      <c r="AU1619" t="s">
        <v>68</v>
      </c>
      <c r="AV1619" t="s">
        <v>69</v>
      </c>
      <c r="AW1619" s="1">
        <v>24080</v>
      </c>
      <c r="AX1619">
        <v>2</v>
      </c>
    </row>
    <row r="1620" spans="1:50">
      <c r="A1620">
        <v>221596</v>
      </c>
      <c r="B1620" t="str">
        <f>"072614650"</f>
        <v>072614650</v>
      </c>
      <c r="C1620" t="s">
        <v>105</v>
      </c>
      <c r="D1620" t="s">
        <v>3547</v>
      </c>
      <c r="E1620" t="s">
        <v>311</v>
      </c>
      <c r="F1620" t="s">
        <v>3548</v>
      </c>
      <c r="G1620" t="s">
        <v>52</v>
      </c>
      <c r="H1620" t="str">
        <f>"ΔΑΜΑΣΚΗΝΟΥ 9 ΗΡΑΚΛΕΙΟ"</f>
        <v>ΔΑΜΑΣΚΗΝΟΥ 9 ΗΡΑΚΛΕΙΟ</v>
      </c>
      <c r="I1620">
        <v>71305</v>
      </c>
      <c r="J1620">
        <v>2810263046</v>
      </c>
      <c r="K1620">
        <v>6976795477</v>
      </c>
      <c r="N1620" t="s">
        <v>176</v>
      </c>
      <c r="O1620" t="s">
        <v>177</v>
      </c>
      <c r="R1620" t="s">
        <v>57</v>
      </c>
      <c r="S1620">
        <v>8</v>
      </c>
      <c r="T1620">
        <v>250</v>
      </c>
      <c r="U1620" s="1">
        <v>36769</v>
      </c>
      <c r="V1620" t="s">
        <v>123</v>
      </c>
      <c r="W1620" t="s">
        <v>124</v>
      </c>
      <c r="X1620" t="s">
        <v>58</v>
      </c>
      <c r="Y1620">
        <v>20</v>
      </c>
      <c r="Z1620" t="s">
        <v>59</v>
      </c>
      <c r="AA1620" t="s">
        <v>59</v>
      </c>
      <c r="AB1620" t="s">
        <v>59</v>
      </c>
      <c r="AC1620" t="s">
        <v>59</v>
      </c>
      <c r="AD1620" t="s">
        <v>59</v>
      </c>
      <c r="AF1620" s="1">
        <v>36770</v>
      </c>
      <c r="AG1620" t="s">
        <v>148</v>
      </c>
      <c r="AH1620" t="s">
        <v>149</v>
      </c>
      <c r="AI1620" t="str">
        <f>"1751070"</f>
        <v>1751070</v>
      </c>
      <c r="AJ1620" t="s">
        <v>1435</v>
      </c>
      <c r="AK1620">
        <v>2810771016</v>
      </c>
      <c r="AL1620" t="s">
        <v>1436</v>
      </c>
      <c r="AM1620" t="s">
        <v>78</v>
      </c>
      <c r="AN1620" t="s">
        <v>219</v>
      </c>
      <c r="AO1620" t="s">
        <v>1437</v>
      </c>
      <c r="AP1620" t="s">
        <v>1437</v>
      </c>
      <c r="AQ1620">
        <v>21</v>
      </c>
      <c r="AR1620" t="s">
        <v>123</v>
      </c>
      <c r="AS1620" t="s">
        <v>124</v>
      </c>
      <c r="AT1620" t="s">
        <v>58</v>
      </c>
      <c r="AU1620" t="s">
        <v>68</v>
      </c>
      <c r="AV1620" t="s">
        <v>69</v>
      </c>
      <c r="AW1620" s="1">
        <v>26089</v>
      </c>
      <c r="AX1620">
        <v>2</v>
      </c>
    </row>
    <row r="1621" spans="1:50">
      <c r="A1621">
        <v>158975</v>
      </c>
      <c r="B1621" t="str">
        <f>"034955365"</f>
        <v>034955365</v>
      </c>
      <c r="C1621" t="s">
        <v>105</v>
      </c>
      <c r="D1621" t="s">
        <v>3549</v>
      </c>
      <c r="E1621" t="s">
        <v>309</v>
      </c>
      <c r="F1621" t="s">
        <v>72</v>
      </c>
      <c r="G1621" t="s">
        <v>52</v>
      </c>
      <c r="H1621" t="str">
        <f>"ΒΟΡΡΟΙ ΗΡΑΚΛΕΙΟΥ ΤΥΜΠΑΚΙΟΥ"</f>
        <v>ΒΟΡΡΟΙ ΗΡΑΚΛΕΙΟΥ ΤΥΜΠΑΚΙΟΥ</v>
      </c>
      <c r="I1621">
        <v>70200</v>
      </c>
      <c r="J1621">
        <v>2892091579</v>
      </c>
      <c r="K1621">
        <v>6977627146</v>
      </c>
      <c r="M1621" t="s">
        <v>3550</v>
      </c>
      <c r="N1621" t="s">
        <v>157</v>
      </c>
      <c r="O1621" t="s">
        <v>158</v>
      </c>
      <c r="R1621" t="s">
        <v>57</v>
      </c>
      <c r="S1621">
        <v>14</v>
      </c>
      <c r="T1621">
        <v>161</v>
      </c>
      <c r="U1621" s="1">
        <v>33119</v>
      </c>
      <c r="V1621" t="s">
        <v>123</v>
      </c>
      <c r="W1621" t="s">
        <v>124</v>
      </c>
      <c r="X1621" t="s">
        <v>58</v>
      </c>
      <c r="Y1621">
        <v>18</v>
      </c>
      <c r="Z1621" t="s">
        <v>59</v>
      </c>
      <c r="AA1621" t="s">
        <v>59</v>
      </c>
      <c r="AB1621" t="s">
        <v>59</v>
      </c>
      <c r="AC1621" t="s">
        <v>59</v>
      </c>
      <c r="AD1621" t="s">
        <v>59</v>
      </c>
      <c r="AF1621" s="1">
        <v>33122</v>
      </c>
      <c r="AG1621" t="s">
        <v>125</v>
      </c>
      <c r="AH1621" t="s">
        <v>126</v>
      </c>
      <c r="AI1621" t="str">
        <f>"1706010"</f>
        <v>1706010</v>
      </c>
      <c r="AJ1621" t="s">
        <v>391</v>
      </c>
      <c r="AK1621">
        <v>2892022286</v>
      </c>
      <c r="AL1621" t="s">
        <v>392</v>
      </c>
      <c r="AM1621" t="s">
        <v>78</v>
      </c>
      <c r="AN1621" t="s">
        <v>242</v>
      </c>
      <c r="AO1621" t="s">
        <v>243</v>
      </c>
      <c r="AP1621" t="s">
        <v>243</v>
      </c>
      <c r="AQ1621">
        <v>33</v>
      </c>
      <c r="AR1621" t="s">
        <v>123</v>
      </c>
      <c r="AS1621" t="s">
        <v>124</v>
      </c>
      <c r="AT1621" t="s">
        <v>58</v>
      </c>
      <c r="AU1621" t="s">
        <v>68</v>
      </c>
      <c r="AV1621" t="s">
        <v>69</v>
      </c>
      <c r="AW1621" s="1">
        <v>22844</v>
      </c>
      <c r="AX1621">
        <v>2</v>
      </c>
    </row>
    <row r="1622" spans="1:50">
      <c r="A1622">
        <v>193222</v>
      </c>
      <c r="B1622" t="str">
        <f>"114553259"</f>
        <v>114553259</v>
      </c>
      <c r="C1622" t="s">
        <v>50</v>
      </c>
      <c r="D1622" t="s">
        <v>3551</v>
      </c>
      <c r="E1622" t="s">
        <v>382</v>
      </c>
      <c r="F1622" t="s">
        <v>936</v>
      </c>
      <c r="G1622" t="s">
        <v>83</v>
      </c>
      <c r="H1622" t="str">
        <f>"ΟΡΦΕΩΣ 24 ΗΡΑΚΛΕΙΟ"</f>
        <v>ΟΡΦΕΩΣ 24 ΗΡΑΚΛΕΙΟ</v>
      </c>
      <c r="I1622">
        <v>71409</v>
      </c>
      <c r="J1622">
        <v>2810326763</v>
      </c>
      <c r="K1622">
        <v>6948512848</v>
      </c>
      <c r="L1622">
        <v>2810234488</v>
      </c>
      <c r="M1622" t="s">
        <v>3552</v>
      </c>
      <c r="N1622" t="s">
        <v>146</v>
      </c>
      <c r="O1622" t="s">
        <v>147</v>
      </c>
      <c r="R1622" t="s">
        <v>57</v>
      </c>
      <c r="S1622">
        <v>10</v>
      </c>
      <c r="T1622">
        <v>193</v>
      </c>
      <c r="U1622" s="1">
        <v>37497</v>
      </c>
      <c r="V1622" t="s">
        <v>123</v>
      </c>
      <c r="W1622" t="s">
        <v>124</v>
      </c>
      <c r="X1622" t="s">
        <v>58</v>
      </c>
      <c r="Y1622">
        <v>18</v>
      </c>
      <c r="Z1622" t="s">
        <v>59</v>
      </c>
      <c r="AA1622" t="s">
        <v>59</v>
      </c>
      <c r="AB1622" t="s">
        <v>59</v>
      </c>
      <c r="AC1622" t="s">
        <v>59</v>
      </c>
      <c r="AD1622" t="s">
        <v>59</v>
      </c>
      <c r="AF1622" s="1">
        <v>37502</v>
      </c>
      <c r="AG1622" t="s">
        <v>125</v>
      </c>
      <c r="AH1622" t="s">
        <v>126</v>
      </c>
      <c r="AI1622" t="str">
        <f>"1701057"</f>
        <v>1701057</v>
      </c>
      <c r="AJ1622" t="s">
        <v>379</v>
      </c>
      <c r="AK1622">
        <v>2810234488</v>
      </c>
      <c r="AL1622" t="s">
        <v>380</v>
      </c>
      <c r="AM1622" t="s">
        <v>78</v>
      </c>
      <c r="AN1622" t="s">
        <v>78</v>
      </c>
      <c r="AO1622" t="s">
        <v>78</v>
      </c>
      <c r="AP1622" t="s">
        <v>163</v>
      </c>
      <c r="AQ1622">
        <v>8</v>
      </c>
      <c r="AR1622" t="s">
        <v>123</v>
      </c>
      <c r="AS1622" t="s">
        <v>124</v>
      </c>
      <c r="AT1622" t="s">
        <v>58</v>
      </c>
      <c r="AU1622" t="s">
        <v>68</v>
      </c>
      <c r="AV1622" t="s">
        <v>69</v>
      </c>
      <c r="AW1622" s="1">
        <v>24488</v>
      </c>
      <c r="AX1622">
        <v>2</v>
      </c>
    </row>
    <row r="1623" spans="1:50">
      <c r="A1623">
        <v>204135</v>
      </c>
      <c r="B1623" t="str">
        <f>"044733740"</f>
        <v>044733740</v>
      </c>
      <c r="C1623" t="s">
        <v>50</v>
      </c>
      <c r="D1623" t="s">
        <v>3553</v>
      </c>
      <c r="E1623" t="s">
        <v>366</v>
      </c>
      <c r="F1623" t="s">
        <v>53</v>
      </c>
      <c r="G1623" t="s">
        <v>250</v>
      </c>
      <c r="H1623" t="str">
        <f>"ΣΚΟΥΝΤΗ 65 ΜΟΙΡΕΣ"</f>
        <v>ΣΚΟΥΝΤΗ 65 ΜΟΙΡΕΣ</v>
      </c>
      <c r="I1623">
        <v>70400</v>
      </c>
      <c r="J1623">
        <v>2892022101</v>
      </c>
      <c r="K1623">
        <v>6932231431</v>
      </c>
      <c r="M1623" t="s">
        <v>3554</v>
      </c>
      <c r="N1623" t="s">
        <v>176</v>
      </c>
      <c r="O1623" t="s">
        <v>177</v>
      </c>
      <c r="R1623" t="s">
        <v>57</v>
      </c>
      <c r="S1623">
        <v>9</v>
      </c>
      <c r="T1623">
        <v>231</v>
      </c>
      <c r="U1623" s="1">
        <v>38230</v>
      </c>
      <c r="V1623" t="s">
        <v>123</v>
      </c>
      <c r="W1623" t="s">
        <v>124</v>
      </c>
      <c r="X1623" t="s">
        <v>58</v>
      </c>
      <c r="Y1623">
        <v>20</v>
      </c>
      <c r="Z1623" t="s">
        <v>59</v>
      </c>
      <c r="AA1623" t="s">
        <v>59</v>
      </c>
      <c r="AB1623" t="s">
        <v>59</v>
      </c>
      <c r="AC1623" t="s">
        <v>59</v>
      </c>
      <c r="AD1623" t="s">
        <v>59</v>
      </c>
      <c r="AF1623" s="1">
        <v>38232</v>
      </c>
      <c r="AG1623" t="s">
        <v>148</v>
      </c>
      <c r="AH1623" t="s">
        <v>149</v>
      </c>
      <c r="AI1623" t="str">
        <f>"1756010"</f>
        <v>1756010</v>
      </c>
      <c r="AJ1623" t="s">
        <v>874</v>
      </c>
      <c r="AK1623">
        <v>2892022976</v>
      </c>
      <c r="AL1623" t="s">
        <v>875</v>
      </c>
      <c r="AM1623" t="s">
        <v>78</v>
      </c>
      <c r="AN1623" t="s">
        <v>242</v>
      </c>
      <c r="AO1623" t="s">
        <v>243</v>
      </c>
      <c r="AP1623" t="s">
        <v>243</v>
      </c>
      <c r="AQ1623">
        <v>33</v>
      </c>
      <c r="AR1623" t="s">
        <v>123</v>
      </c>
      <c r="AS1623" t="s">
        <v>124</v>
      </c>
      <c r="AT1623" t="s">
        <v>58</v>
      </c>
      <c r="AU1623" t="s">
        <v>68</v>
      </c>
      <c r="AV1623" t="s">
        <v>69</v>
      </c>
      <c r="AW1623" s="1">
        <v>23536</v>
      </c>
      <c r="AX1623">
        <v>2</v>
      </c>
    </row>
    <row r="1624" spans="1:50">
      <c r="A1624">
        <v>134885</v>
      </c>
      <c r="B1624" t="str">
        <f>"025960826"</f>
        <v>025960826</v>
      </c>
      <c r="C1624" t="s">
        <v>50</v>
      </c>
      <c r="D1624" t="s">
        <v>3553</v>
      </c>
      <c r="E1624" t="s">
        <v>1001</v>
      </c>
      <c r="F1624" t="s">
        <v>2972</v>
      </c>
      <c r="G1624" t="s">
        <v>494</v>
      </c>
      <c r="H1624" t="str">
        <f>" "</f>
        <v xml:space="preserve"> </v>
      </c>
      <c r="N1624" t="s">
        <v>176</v>
      </c>
      <c r="O1624" t="s">
        <v>177</v>
      </c>
      <c r="R1624" t="s">
        <v>57</v>
      </c>
      <c r="S1624">
        <v>18</v>
      </c>
      <c r="T1624">
        <v>248</v>
      </c>
      <c r="U1624" s="1">
        <v>29830</v>
      </c>
      <c r="V1624" t="s">
        <v>123</v>
      </c>
      <c r="W1624" t="s">
        <v>124</v>
      </c>
      <c r="X1624" t="s">
        <v>58</v>
      </c>
      <c r="Y1624">
        <v>18</v>
      </c>
      <c r="Z1624" t="s">
        <v>59</v>
      </c>
      <c r="AA1624" t="s">
        <v>59</v>
      </c>
      <c r="AB1624" t="s">
        <v>59</v>
      </c>
      <c r="AC1624" t="s">
        <v>59</v>
      </c>
      <c r="AD1624" t="s">
        <v>59</v>
      </c>
      <c r="AF1624" s="1">
        <v>29831</v>
      </c>
      <c r="AG1624" t="s">
        <v>60</v>
      </c>
      <c r="AH1624" t="s">
        <v>453</v>
      </c>
      <c r="AI1624" t="str">
        <f>"1700105"</f>
        <v>1700105</v>
      </c>
      <c r="AJ1624" t="s">
        <v>124</v>
      </c>
      <c r="AK1624">
        <v>2810333720</v>
      </c>
      <c r="AL1624" t="s">
        <v>454</v>
      </c>
      <c r="AM1624" t="s">
        <v>78</v>
      </c>
      <c r="AN1624" t="s">
        <v>78</v>
      </c>
      <c r="AO1624" t="s">
        <v>78</v>
      </c>
      <c r="AP1624" t="s">
        <v>79</v>
      </c>
      <c r="AS1624" t="s">
        <v>124</v>
      </c>
      <c r="AT1624" t="s">
        <v>58</v>
      </c>
      <c r="AU1624" t="s">
        <v>68</v>
      </c>
      <c r="AV1624" t="s">
        <v>455</v>
      </c>
      <c r="AW1624" s="1">
        <v>21522</v>
      </c>
      <c r="AX1624">
        <v>2</v>
      </c>
    </row>
    <row r="1625" spans="1:50">
      <c r="A1625">
        <v>200122</v>
      </c>
      <c r="B1625" t="str">
        <f>"072688208"</f>
        <v>072688208</v>
      </c>
      <c r="C1625" t="s">
        <v>105</v>
      </c>
      <c r="D1625" t="s">
        <v>3555</v>
      </c>
      <c r="E1625" t="s">
        <v>106</v>
      </c>
      <c r="F1625" t="s">
        <v>53</v>
      </c>
      <c r="G1625" t="s">
        <v>610</v>
      </c>
      <c r="H1625" t="str">
        <f>" "</f>
        <v xml:space="preserve"> </v>
      </c>
      <c r="J1625">
        <v>2810222382</v>
      </c>
      <c r="K1625">
        <v>6996188853</v>
      </c>
      <c r="N1625" t="s">
        <v>204</v>
      </c>
      <c r="O1625" t="s">
        <v>205</v>
      </c>
      <c r="P1625" t="s">
        <v>292</v>
      </c>
      <c r="Q1625" t="s">
        <v>293</v>
      </c>
      <c r="R1625" t="s">
        <v>57</v>
      </c>
      <c r="S1625">
        <v>12</v>
      </c>
      <c r="T1625">
        <v>206</v>
      </c>
      <c r="U1625" s="1">
        <v>37866</v>
      </c>
      <c r="V1625" t="s">
        <v>123</v>
      </c>
      <c r="W1625" t="s">
        <v>124</v>
      </c>
      <c r="X1625" t="s">
        <v>58</v>
      </c>
      <c r="Y1625">
        <v>20</v>
      </c>
      <c r="Z1625" t="s">
        <v>59</v>
      </c>
      <c r="AA1625" t="s">
        <v>59</v>
      </c>
      <c r="AB1625" t="s">
        <v>59</v>
      </c>
      <c r="AC1625" t="s">
        <v>59</v>
      </c>
      <c r="AD1625" t="s">
        <v>59</v>
      </c>
      <c r="AF1625" s="1">
        <v>37866</v>
      </c>
      <c r="AG1625" t="s">
        <v>137</v>
      </c>
      <c r="AH1625" t="s">
        <v>138</v>
      </c>
      <c r="AI1625" t="str">
        <f>"1740070"</f>
        <v>1740070</v>
      </c>
      <c r="AJ1625" t="s">
        <v>206</v>
      </c>
      <c r="AK1625">
        <v>2810324880</v>
      </c>
      <c r="AL1625" t="s">
        <v>207</v>
      </c>
      <c r="AM1625" t="s">
        <v>78</v>
      </c>
      <c r="AN1625" t="s">
        <v>78</v>
      </c>
      <c r="AO1625" t="s">
        <v>78</v>
      </c>
      <c r="AP1625" t="s">
        <v>163</v>
      </c>
      <c r="AQ1625">
        <v>9</v>
      </c>
      <c r="AR1625" t="s">
        <v>123</v>
      </c>
      <c r="AS1625" t="s">
        <v>124</v>
      </c>
      <c r="AT1625" t="s">
        <v>58</v>
      </c>
      <c r="AU1625" t="s">
        <v>68</v>
      </c>
      <c r="AV1625" t="s">
        <v>69</v>
      </c>
      <c r="AW1625" s="1">
        <v>24624</v>
      </c>
      <c r="AX1625">
        <v>2</v>
      </c>
    </row>
    <row r="1626" spans="1:50">
      <c r="A1626">
        <v>223150</v>
      </c>
      <c r="B1626" t="str">
        <f>"034937199"</f>
        <v>034937199</v>
      </c>
      <c r="C1626" t="s">
        <v>50</v>
      </c>
      <c r="D1626" t="s">
        <v>3556</v>
      </c>
      <c r="E1626" t="s">
        <v>1694</v>
      </c>
      <c r="F1626" t="s">
        <v>166</v>
      </c>
      <c r="G1626" t="s">
        <v>188</v>
      </c>
      <c r="H1626" t="str">
        <f>"ΠΡ. ΓΕΩΡΓΙΟΥ 43 "</f>
        <v xml:space="preserve">ΠΡ. ΓΕΩΡΓΙΟΥ 43 </v>
      </c>
      <c r="I1626">
        <v>72100</v>
      </c>
      <c r="J1626">
        <v>2841028407</v>
      </c>
      <c r="K1626">
        <v>6977750343</v>
      </c>
      <c r="M1626" t="s">
        <v>3557</v>
      </c>
      <c r="N1626" t="s">
        <v>292</v>
      </c>
      <c r="O1626" t="s">
        <v>293</v>
      </c>
      <c r="R1626" t="s">
        <v>57</v>
      </c>
      <c r="S1626">
        <v>5</v>
      </c>
      <c r="T1626">
        <v>775</v>
      </c>
      <c r="U1626" s="1">
        <v>39680</v>
      </c>
      <c r="V1626" t="s">
        <v>123</v>
      </c>
      <c r="W1626" t="s">
        <v>124</v>
      </c>
      <c r="X1626" t="s">
        <v>58</v>
      </c>
      <c r="Y1626">
        <v>21</v>
      </c>
      <c r="Z1626" t="s">
        <v>59</v>
      </c>
      <c r="AA1626" t="s">
        <v>59</v>
      </c>
      <c r="AB1626" t="s">
        <v>59</v>
      </c>
      <c r="AC1626" t="s">
        <v>59</v>
      </c>
      <c r="AD1626" t="s">
        <v>59</v>
      </c>
      <c r="AF1626" s="1">
        <v>39681</v>
      </c>
      <c r="AG1626" t="s">
        <v>125</v>
      </c>
      <c r="AH1626" t="s">
        <v>126</v>
      </c>
      <c r="AI1626" t="str">
        <f>"1718010"</f>
        <v>1718010</v>
      </c>
      <c r="AJ1626" t="s">
        <v>1090</v>
      </c>
      <c r="AK1626">
        <v>2897031471</v>
      </c>
      <c r="AL1626" t="s">
        <v>1091</v>
      </c>
      <c r="AM1626" t="s">
        <v>78</v>
      </c>
      <c r="AN1626" t="s">
        <v>219</v>
      </c>
      <c r="AO1626" t="s">
        <v>527</v>
      </c>
      <c r="AP1626" t="s">
        <v>527</v>
      </c>
      <c r="AQ1626">
        <v>20</v>
      </c>
      <c r="AR1626" t="s">
        <v>123</v>
      </c>
      <c r="AS1626" t="s">
        <v>124</v>
      </c>
      <c r="AT1626" t="s">
        <v>58</v>
      </c>
      <c r="AU1626" t="s">
        <v>68</v>
      </c>
      <c r="AV1626" t="s">
        <v>69</v>
      </c>
      <c r="AW1626" s="1">
        <v>23640</v>
      </c>
      <c r="AX1626">
        <v>2</v>
      </c>
    </row>
    <row r="1627" spans="1:50">
      <c r="A1627">
        <v>191577</v>
      </c>
      <c r="B1627" t="str">
        <f>"037328885"</f>
        <v>037328885</v>
      </c>
      <c r="C1627" t="s">
        <v>105</v>
      </c>
      <c r="D1627" t="s">
        <v>3558</v>
      </c>
      <c r="E1627" t="s">
        <v>106</v>
      </c>
      <c r="F1627" t="s">
        <v>1023</v>
      </c>
      <c r="G1627" t="s">
        <v>3559</v>
      </c>
      <c r="H1627" t="str">
        <f>" "</f>
        <v xml:space="preserve"> </v>
      </c>
      <c r="M1627" t="s">
        <v>3560</v>
      </c>
      <c r="N1627" t="s">
        <v>168</v>
      </c>
      <c r="O1627" t="s">
        <v>169</v>
      </c>
      <c r="R1627" t="s">
        <v>57</v>
      </c>
      <c r="S1627">
        <v>8</v>
      </c>
      <c r="T1627">
        <v>291</v>
      </c>
      <c r="U1627" s="1">
        <v>37218</v>
      </c>
      <c r="V1627" t="s">
        <v>123</v>
      </c>
      <c r="W1627" t="s">
        <v>124</v>
      </c>
      <c r="X1627" t="s">
        <v>58</v>
      </c>
      <c r="Y1627">
        <v>20</v>
      </c>
      <c r="Z1627" t="s">
        <v>59</v>
      </c>
      <c r="AA1627" t="s">
        <v>59</v>
      </c>
      <c r="AB1627" t="s">
        <v>59</v>
      </c>
      <c r="AC1627" t="s">
        <v>59</v>
      </c>
      <c r="AD1627" t="s">
        <v>59</v>
      </c>
      <c r="AF1627" s="1">
        <v>37221</v>
      </c>
      <c r="AG1627" t="s">
        <v>137</v>
      </c>
      <c r="AH1627" t="s">
        <v>469</v>
      </c>
      <c r="AI1627" t="str">
        <f>"1740200"</f>
        <v>1740200</v>
      </c>
      <c r="AJ1627" t="s">
        <v>470</v>
      </c>
      <c r="AK1627">
        <v>2810320770</v>
      </c>
      <c r="AL1627" t="s">
        <v>471</v>
      </c>
      <c r="AM1627" t="s">
        <v>78</v>
      </c>
      <c r="AN1627" t="s">
        <v>78</v>
      </c>
      <c r="AO1627" t="s">
        <v>78</v>
      </c>
      <c r="AP1627" t="s">
        <v>163</v>
      </c>
      <c r="AQ1627">
        <v>2</v>
      </c>
      <c r="AR1627" t="s">
        <v>123</v>
      </c>
      <c r="AS1627" t="s">
        <v>124</v>
      </c>
      <c r="AT1627" t="s">
        <v>58</v>
      </c>
      <c r="AU1627" t="s">
        <v>68</v>
      </c>
      <c r="AV1627" t="s">
        <v>69</v>
      </c>
      <c r="AW1627" s="1">
        <v>25459</v>
      </c>
      <c r="AX1627">
        <v>2</v>
      </c>
    </row>
    <row r="1628" spans="1:50">
      <c r="A1628">
        <v>226048</v>
      </c>
      <c r="B1628" t="str">
        <f>"047633802"</f>
        <v>047633802</v>
      </c>
      <c r="C1628" t="s">
        <v>105</v>
      </c>
      <c r="D1628" t="s">
        <v>3561</v>
      </c>
      <c r="E1628" t="s">
        <v>72</v>
      </c>
      <c r="F1628" t="s">
        <v>92</v>
      </c>
      <c r="G1628" t="s">
        <v>52</v>
      </c>
      <c r="H1628" t="str">
        <f>"ΓΕΝΝΗΜΑΤΑ 6 ΑΓΙΑ ΜΑΡΙΝΑ ΓΑΖΙ "</f>
        <v xml:space="preserve">ΓΕΝΝΗΜΑΤΑ 6 ΑΓΙΑ ΜΑΡΙΝΑ ΓΑΖΙ </v>
      </c>
      <c r="I1628">
        <v>71414</v>
      </c>
      <c r="J1628">
        <v>2810314397</v>
      </c>
      <c r="K1628">
        <v>6937164241</v>
      </c>
      <c r="M1628" t="s">
        <v>3562</v>
      </c>
      <c r="N1628" t="s">
        <v>176</v>
      </c>
      <c r="O1628" t="s">
        <v>177</v>
      </c>
      <c r="R1628" t="s">
        <v>57</v>
      </c>
      <c r="S1628">
        <v>9</v>
      </c>
      <c r="T1628">
        <v>250</v>
      </c>
      <c r="U1628" s="1">
        <v>36769</v>
      </c>
      <c r="V1628" t="s">
        <v>123</v>
      </c>
      <c r="W1628" t="s">
        <v>124</v>
      </c>
      <c r="X1628" t="s">
        <v>58</v>
      </c>
      <c r="Y1628">
        <v>20</v>
      </c>
      <c r="Z1628" t="s">
        <v>59</v>
      </c>
      <c r="AA1628" t="s">
        <v>59</v>
      </c>
      <c r="AB1628" t="s">
        <v>59</v>
      </c>
      <c r="AC1628" t="s">
        <v>59</v>
      </c>
      <c r="AD1628" t="s">
        <v>59</v>
      </c>
      <c r="AF1628" s="1">
        <v>36770</v>
      </c>
      <c r="AG1628" t="s">
        <v>125</v>
      </c>
      <c r="AH1628" t="s">
        <v>126</v>
      </c>
      <c r="AI1628" t="str">
        <f>"1726010"</f>
        <v>1726010</v>
      </c>
      <c r="AJ1628" t="s">
        <v>265</v>
      </c>
      <c r="AK1628">
        <v>2810831228</v>
      </c>
      <c r="AL1628" t="s">
        <v>266</v>
      </c>
      <c r="AM1628" t="s">
        <v>78</v>
      </c>
      <c r="AN1628" t="s">
        <v>129</v>
      </c>
      <c r="AO1628" t="s">
        <v>267</v>
      </c>
      <c r="AP1628" t="s">
        <v>267</v>
      </c>
      <c r="AQ1628">
        <v>27</v>
      </c>
      <c r="AR1628" t="s">
        <v>123</v>
      </c>
      <c r="AS1628" t="s">
        <v>124</v>
      </c>
      <c r="AT1628" t="s">
        <v>58</v>
      </c>
      <c r="AU1628" t="s">
        <v>68</v>
      </c>
      <c r="AV1628" t="s">
        <v>69</v>
      </c>
      <c r="AW1628" s="1">
        <v>25956</v>
      </c>
      <c r="AX1628">
        <v>2</v>
      </c>
    </row>
    <row r="1629" spans="1:50">
      <c r="A1629">
        <v>210157</v>
      </c>
      <c r="B1629" t="str">
        <f>"079155044"</f>
        <v>079155044</v>
      </c>
      <c r="C1629" t="s">
        <v>105</v>
      </c>
      <c r="D1629" t="s">
        <v>3563</v>
      </c>
      <c r="E1629" t="s">
        <v>900</v>
      </c>
      <c r="F1629" t="s">
        <v>99</v>
      </c>
      <c r="G1629" t="s">
        <v>71</v>
      </c>
      <c r="H1629" t="str">
        <f>"ΚΑΠΕΤΑΝΑΚΗ 62 "</f>
        <v xml:space="preserve">ΚΑΠΕΤΑΝΑΚΗ 62 </v>
      </c>
      <c r="I1629">
        <v>70100</v>
      </c>
      <c r="J1629">
        <v>2810752697</v>
      </c>
      <c r="K1629">
        <v>6972568462</v>
      </c>
      <c r="M1629" t="s">
        <v>3564</v>
      </c>
      <c r="N1629" t="s">
        <v>246</v>
      </c>
      <c r="O1629" t="s">
        <v>247</v>
      </c>
      <c r="R1629" t="s">
        <v>57</v>
      </c>
      <c r="S1629">
        <v>12</v>
      </c>
      <c r="T1629">
        <v>228</v>
      </c>
      <c r="U1629" s="1">
        <v>38608</v>
      </c>
      <c r="V1629" t="s">
        <v>123</v>
      </c>
      <c r="W1629" t="s">
        <v>124</v>
      </c>
      <c r="X1629" t="s">
        <v>58</v>
      </c>
      <c r="Y1629">
        <v>20</v>
      </c>
      <c r="Z1629" t="s">
        <v>59</v>
      </c>
      <c r="AA1629" t="s">
        <v>59</v>
      </c>
      <c r="AB1629" t="s">
        <v>59</v>
      </c>
      <c r="AC1629" t="s">
        <v>59</v>
      </c>
      <c r="AD1629" t="s">
        <v>59</v>
      </c>
      <c r="AF1629" s="1">
        <v>38608</v>
      </c>
      <c r="AG1629" t="s">
        <v>125</v>
      </c>
      <c r="AH1629" t="s">
        <v>126</v>
      </c>
      <c r="AI1629" t="str">
        <f>"1701052"</f>
        <v>1701052</v>
      </c>
      <c r="AJ1629" t="s">
        <v>223</v>
      </c>
      <c r="AK1629">
        <v>2810252514</v>
      </c>
      <c r="AL1629" t="s">
        <v>224</v>
      </c>
      <c r="AM1629" t="s">
        <v>78</v>
      </c>
      <c r="AN1629" t="s">
        <v>78</v>
      </c>
      <c r="AO1629" t="s">
        <v>78</v>
      </c>
      <c r="AP1629" t="s">
        <v>141</v>
      </c>
      <c r="AQ1629">
        <v>7</v>
      </c>
      <c r="AR1629" t="s">
        <v>123</v>
      </c>
      <c r="AS1629" t="s">
        <v>124</v>
      </c>
      <c r="AT1629" t="s">
        <v>58</v>
      </c>
      <c r="AU1629" t="s">
        <v>68</v>
      </c>
      <c r="AV1629" t="s">
        <v>69</v>
      </c>
      <c r="AW1629" s="1">
        <v>26072</v>
      </c>
      <c r="AX1629">
        <v>2</v>
      </c>
    </row>
    <row r="1630" spans="1:50">
      <c r="A1630">
        <v>199628</v>
      </c>
      <c r="B1630" t="str">
        <f>"057792335"</f>
        <v>057792335</v>
      </c>
      <c r="C1630" t="s">
        <v>50</v>
      </c>
      <c r="D1630" t="s">
        <v>3565</v>
      </c>
      <c r="E1630" t="s">
        <v>134</v>
      </c>
      <c r="F1630" t="s">
        <v>95</v>
      </c>
      <c r="G1630" t="s">
        <v>250</v>
      </c>
      <c r="H1630" t="str">
        <f>"ΚΑΤΩ ΚΑΛΕΣΣΑ ΜΑΛΕΒΥΖΙΟΥ"</f>
        <v>ΚΑΤΩ ΚΑΛΕΣΣΑ ΜΑΛΕΒΥΖΙΟΥ</v>
      </c>
      <c r="I1630">
        <v>71500</v>
      </c>
      <c r="J1630">
        <v>2810314354</v>
      </c>
      <c r="K1630">
        <v>6987256570</v>
      </c>
      <c r="M1630" t="s">
        <v>3566</v>
      </c>
      <c r="N1630" t="s">
        <v>587</v>
      </c>
      <c r="O1630" t="s">
        <v>588</v>
      </c>
      <c r="R1630" t="s">
        <v>57</v>
      </c>
      <c r="S1630">
        <v>7</v>
      </c>
      <c r="T1630">
        <v>206</v>
      </c>
      <c r="U1630" s="1">
        <v>37866</v>
      </c>
      <c r="V1630" t="s">
        <v>123</v>
      </c>
      <c r="W1630" t="s">
        <v>124</v>
      </c>
      <c r="X1630" t="s">
        <v>58</v>
      </c>
      <c r="Y1630">
        <v>20</v>
      </c>
      <c r="Z1630" t="s">
        <v>59</v>
      </c>
      <c r="AA1630" t="s">
        <v>59</v>
      </c>
      <c r="AB1630" t="s">
        <v>59</v>
      </c>
      <c r="AC1630" t="s">
        <v>59</v>
      </c>
      <c r="AD1630" t="s">
        <v>59</v>
      </c>
      <c r="AF1630" s="1">
        <v>37866</v>
      </c>
      <c r="AG1630" t="s">
        <v>125</v>
      </c>
      <c r="AH1630" t="s">
        <v>126</v>
      </c>
      <c r="AI1630" t="str">
        <f>"1701056"</f>
        <v>1701056</v>
      </c>
      <c r="AJ1630" t="s">
        <v>211</v>
      </c>
      <c r="AK1630">
        <v>2810245445</v>
      </c>
      <c r="AL1630" t="s">
        <v>212</v>
      </c>
      <c r="AM1630" t="s">
        <v>78</v>
      </c>
      <c r="AN1630" t="s">
        <v>78</v>
      </c>
      <c r="AO1630" t="s">
        <v>78</v>
      </c>
      <c r="AP1630" t="s">
        <v>213</v>
      </c>
      <c r="AQ1630">
        <v>6</v>
      </c>
      <c r="AR1630" t="s">
        <v>123</v>
      </c>
      <c r="AS1630" t="s">
        <v>124</v>
      </c>
      <c r="AT1630" t="s">
        <v>58</v>
      </c>
      <c r="AU1630" t="s">
        <v>68</v>
      </c>
      <c r="AV1630" t="s">
        <v>69</v>
      </c>
      <c r="AW1630" s="1">
        <v>25651</v>
      </c>
      <c r="AX1630">
        <v>2</v>
      </c>
    </row>
    <row r="1631" spans="1:50">
      <c r="A1631">
        <v>203614</v>
      </c>
      <c r="B1631" t="str">
        <f>"061338541"</f>
        <v>061338541</v>
      </c>
      <c r="C1631" t="s">
        <v>50</v>
      </c>
      <c r="D1631" t="s">
        <v>3567</v>
      </c>
      <c r="E1631" t="s">
        <v>83</v>
      </c>
      <c r="F1631" t="s">
        <v>72</v>
      </c>
      <c r="G1631" t="s">
        <v>52</v>
      </c>
      <c r="H1631" t="str">
        <f>"Σαλαμίνας 2 &amp; Δαβάκη Πόρος"</f>
        <v>Σαλαμίνας 2 &amp; Δαβάκη Πόρος</v>
      </c>
      <c r="J1631">
        <v>2842091361</v>
      </c>
      <c r="L1631">
        <v>2810223983</v>
      </c>
      <c r="N1631" t="s">
        <v>683</v>
      </c>
      <c r="O1631" t="s">
        <v>684</v>
      </c>
      <c r="R1631" t="s">
        <v>57</v>
      </c>
      <c r="S1631">
        <v>9</v>
      </c>
      <c r="T1631">
        <v>231</v>
      </c>
      <c r="U1631" s="1">
        <v>38230</v>
      </c>
      <c r="V1631" t="s">
        <v>123</v>
      </c>
      <c r="W1631" t="s">
        <v>124</v>
      </c>
      <c r="X1631" t="s">
        <v>58</v>
      </c>
      <c r="Y1631">
        <v>20</v>
      </c>
      <c r="Z1631" t="s">
        <v>59</v>
      </c>
      <c r="AA1631" t="s">
        <v>59</v>
      </c>
      <c r="AB1631" t="s">
        <v>59</v>
      </c>
      <c r="AC1631" t="s">
        <v>59</v>
      </c>
      <c r="AD1631" t="s">
        <v>59</v>
      </c>
      <c r="AF1631" s="1">
        <v>38236</v>
      </c>
      <c r="AG1631" t="s">
        <v>125</v>
      </c>
      <c r="AH1631" t="s">
        <v>386</v>
      </c>
      <c r="AI1631" t="str">
        <f>"1741002"</f>
        <v>1741002</v>
      </c>
      <c r="AJ1631" t="s">
        <v>387</v>
      </c>
      <c r="AK1631">
        <v>2810762610</v>
      </c>
      <c r="AL1631" t="s">
        <v>388</v>
      </c>
      <c r="AM1631" t="s">
        <v>78</v>
      </c>
      <c r="AN1631" t="s">
        <v>219</v>
      </c>
      <c r="AO1631" t="s">
        <v>297</v>
      </c>
      <c r="AP1631" t="s">
        <v>297</v>
      </c>
      <c r="AQ1631">
        <v>10</v>
      </c>
      <c r="AR1631" t="s">
        <v>123</v>
      </c>
      <c r="AS1631" t="s">
        <v>124</v>
      </c>
      <c r="AT1631" t="s">
        <v>58</v>
      </c>
      <c r="AU1631" t="s">
        <v>68</v>
      </c>
      <c r="AV1631" t="s">
        <v>69</v>
      </c>
      <c r="AW1631" s="1">
        <v>26090</v>
      </c>
      <c r="AX1631">
        <v>2</v>
      </c>
    </row>
    <row r="1632" spans="1:50">
      <c r="A1632">
        <v>226788</v>
      </c>
      <c r="B1632" t="str">
        <f>"044807388"</f>
        <v>044807388</v>
      </c>
      <c r="C1632" t="s">
        <v>50</v>
      </c>
      <c r="D1632" t="s">
        <v>3568</v>
      </c>
      <c r="E1632" t="s">
        <v>681</v>
      </c>
      <c r="F1632" t="s">
        <v>166</v>
      </c>
      <c r="G1632" t="s">
        <v>83</v>
      </c>
      <c r="H1632" t="str">
        <f>"ΖΑΧΑΡΙΟΥΔΑΚΗ 16 ΗΡΑΚΛΕΙΟ"</f>
        <v>ΖΑΧΑΡΙΟΥΔΑΚΗ 16 ΗΡΑΚΛΕΙΟ</v>
      </c>
      <c r="I1632">
        <v>71305</v>
      </c>
      <c r="J1632">
        <v>2810321655</v>
      </c>
      <c r="K1632">
        <v>6932678511</v>
      </c>
      <c r="M1632" t="s">
        <v>3569</v>
      </c>
      <c r="N1632" t="s">
        <v>146</v>
      </c>
      <c r="O1632" t="s">
        <v>147</v>
      </c>
      <c r="R1632" t="s">
        <v>57</v>
      </c>
      <c r="S1632">
        <v>5</v>
      </c>
      <c r="T1632">
        <v>654</v>
      </c>
      <c r="U1632" s="1">
        <v>40043</v>
      </c>
      <c r="V1632" t="s">
        <v>123</v>
      </c>
      <c r="W1632" t="s">
        <v>124</v>
      </c>
      <c r="X1632" t="s">
        <v>58</v>
      </c>
      <c r="Y1632">
        <v>21</v>
      </c>
      <c r="Z1632" t="s">
        <v>59</v>
      </c>
      <c r="AA1632" t="s">
        <v>59</v>
      </c>
      <c r="AB1632" t="s">
        <v>59</v>
      </c>
      <c r="AC1632" t="s">
        <v>59</v>
      </c>
      <c r="AD1632" t="s">
        <v>59</v>
      </c>
      <c r="AF1632" s="1">
        <v>40043</v>
      </c>
      <c r="AG1632" t="s">
        <v>148</v>
      </c>
      <c r="AH1632" t="s">
        <v>149</v>
      </c>
      <c r="AI1632" t="str">
        <f>"1755010"</f>
        <v>1755010</v>
      </c>
      <c r="AJ1632" t="s">
        <v>274</v>
      </c>
      <c r="AK1632">
        <v>2891031124</v>
      </c>
      <c r="AL1632" t="s">
        <v>275</v>
      </c>
      <c r="AM1632" t="s">
        <v>78</v>
      </c>
      <c r="AN1632" t="s">
        <v>276</v>
      </c>
      <c r="AO1632" t="s">
        <v>277</v>
      </c>
      <c r="AP1632" t="s">
        <v>277</v>
      </c>
      <c r="AQ1632">
        <v>17</v>
      </c>
      <c r="AR1632" t="s">
        <v>123</v>
      </c>
      <c r="AS1632" t="s">
        <v>124</v>
      </c>
      <c r="AT1632" t="s">
        <v>58</v>
      </c>
      <c r="AU1632" t="s">
        <v>68</v>
      </c>
      <c r="AV1632" t="s">
        <v>69</v>
      </c>
      <c r="AW1632" s="1">
        <v>25456</v>
      </c>
      <c r="AX1632">
        <v>2</v>
      </c>
    </row>
    <row r="1633" spans="1:50">
      <c r="A1633">
        <v>142674</v>
      </c>
      <c r="B1633" t="str">
        <f>"026571474"</f>
        <v>026571474</v>
      </c>
      <c r="C1633" t="s">
        <v>50</v>
      </c>
      <c r="D1633" t="s">
        <v>3570</v>
      </c>
      <c r="E1633" t="s">
        <v>52</v>
      </c>
      <c r="F1633" t="s">
        <v>1093</v>
      </c>
      <c r="G1633" t="s">
        <v>2248</v>
      </c>
      <c r="H1633" t="str">
        <f>"ΔΑΜΑΣΚΗΝΟΥ 45 "</f>
        <v xml:space="preserve">ΔΑΜΑΣΚΗΝΟΥ 45 </v>
      </c>
      <c r="J1633">
        <v>2810263583</v>
      </c>
      <c r="M1633" t="s">
        <v>3571</v>
      </c>
      <c r="N1633" t="s">
        <v>146</v>
      </c>
      <c r="O1633" t="s">
        <v>147</v>
      </c>
      <c r="R1633" t="s">
        <v>57</v>
      </c>
      <c r="S1633">
        <v>17</v>
      </c>
      <c r="T1633">
        <v>274</v>
      </c>
      <c r="U1633" s="1">
        <v>30550</v>
      </c>
      <c r="V1633" t="s">
        <v>123</v>
      </c>
      <c r="W1633" t="s">
        <v>124</v>
      </c>
      <c r="X1633" t="s">
        <v>58</v>
      </c>
      <c r="Y1633">
        <v>18</v>
      </c>
      <c r="Z1633" t="s">
        <v>59</v>
      </c>
      <c r="AA1633" t="s">
        <v>59</v>
      </c>
      <c r="AB1633" t="s">
        <v>59</v>
      </c>
      <c r="AC1633" t="s">
        <v>59</v>
      </c>
      <c r="AD1633" t="s">
        <v>59</v>
      </c>
      <c r="AF1633" s="1">
        <v>30560</v>
      </c>
      <c r="AG1633" t="s">
        <v>125</v>
      </c>
      <c r="AH1633" t="s">
        <v>126</v>
      </c>
      <c r="AI1633" t="str">
        <f>"1701020"</f>
        <v>1701020</v>
      </c>
      <c r="AJ1633" t="s">
        <v>323</v>
      </c>
      <c r="AK1633">
        <v>2810252111</v>
      </c>
      <c r="AL1633" t="s">
        <v>324</v>
      </c>
      <c r="AM1633" t="s">
        <v>78</v>
      </c>
      <c r="AN1633" t="s">
        <v>78</v>
      </c>
      <c r="AO1633" t="s">
        <v>78</v>
      </c>
      <c r="AP1633" t="s">
        <v>163</v>
      </c>
      <c r="AQ1633">
        <v>3</v>
      </c>
      <c r="AR1633" t="s">
        <v>123</v>
      </c>
      <c r="AS1633" t="s">
        <v>124</v>
      </c>
      <c r="AT1633" t="s">
        <v>58</v>
      </c>
      <c r="AU1633" t="s">
        <v>68</v>
      </c>
      <c r="AV1633" t="s">
        <v>69</v>
      </c>
      <c r="AW1633" s="1">
        <v>21155</v>
      </c>
      <c r="AX1633">
        <v>2</v>
      </c>
    </row>
    <row r="1634" spans="1:50">
      <c r="A1634">
        <v>158976</v>
      </c>
      <c r="B1634" t="str">
        <f>"036493807"</f>
        <v>036493807</v>
      </c>
      <c r="C1634" t="s">
        <v>105</v>
      </c>
      <c r="D1634" t="s">
        <v>3572</v>
      </c>
      <c r="E1634" t="s">
        <v>166</v>
      </c>
      <c r="F1634" t="s">
        <v>106</v>
      </c>
      <c r="G1634" t="s">
        <v>73</v>
      </c>
      <c r="H1634" t="str">
        <f>"ΑΝΑΓΕΝΝΗΣΕΩΣ 15 ΑΛΙΚΑΡΝΑΣΟΣ"</f>
        <v>ΑΝΑΓΕΝΝΗΣΕΩΣ 15 ΑΛΙΚΑΡΝΑΣΟΣ</v>
      </c>
      <c r="J1634">
        <v>2810346788</v>
      </c>
      <c r="K1634">
        <v>6937229144</v>
      </c>
      <c r="N1634" t="s">
        <v>157</v>
      </c>
      <c r="O1634" t="s">
        <v>158</v>
      </c>
      <c r="R1634" t="s">
        <v>57</v>
      </c>
      <c r="S1634">
        <v>14</v>
      </c>
      <c r="T1634">
        <v>161</v>
      </c>
      <c r="U1634" s="1">
        <v>33119</v>
      </c>
      <c r="V1634" t="s">
        <v>123</v>
      </c>
      <c r="W1634" t="s">
        <v>124</v>
      </c>
      <c r="X1634" t="s">
        <v>58</v>
      </c>
      <c r="Y1634">
        <v>18</v>
      </c>
      <c r="Z1634" t="s">
        <v>59</v>
      </c>
      <c r="AA1634" t="s">
        <v>59</v>
      </c>
      <c r="AB1634" t="s">
        <v>59</v>
      </c>
      <c r="AC1634" t="s">
        <v>59</v>
      </c>
      <c r="AD1634" t="s">
        <v>59</v>
      </c>
      <c r="AF1634" s="1">
        <v>33128</v>
      </c>
      <c r="AG1634" t="s">
        <v>125</v>
      </c>
      <c r="AH1634" t="s">
        <v>126</v>
      </c>
      <c r="AI1634" t="str">
        <f>"1701055"</f>
        <v>1701055</v>
      </c>
      <c r="AJ1634" t="s">
        <v>301</v>
      </c>
      <c r="AK1634">
        <v>2810257353</v>
      </c>
      <c r="AL1634" t="s">
        <v>302</v>
      </c>
      <c r="AM1634" t="s">
        <v>78</v>
      </c>
      <c r="AN1634" t="s">
        <v>78</v>
      </c>
      <c r="AO1634" t="s">
        <v>78</v>
      </c>
      <c r="AP1634" t="s">
        <v>141</v>
      </c>
      <c r="AQ1634">
        <v>7</v>
      </c>
      <c r="AR1634" t="s">
        <v>123</v>
      </c>
      <c r="AS1634" t="s">
        <v>124</v>
      </c>
      <c r="AT1634" t="s">
        <v>58</v>
      </c>
      <c r="AU1634" t="s">
        <v>68</v>
      </c>
      <c r="AV1634" t="s">
        <v>69</v>
      </c>
      <c r="AW1634" s="1">
        <v>21977</v>
      </c>
      <c r="AX1634">
        <v>2</v>
      </c>
    </row>
    <row r="1635" spans="1:50">
      <c r="A1635">
        <v>164210</v>
      </c>
      <c r="B1635" t="str">
        <f>"026545585"</f>
        <v>026545585</v>
      </c>
      <c r="C1635" t="s">
        <v>50</v>
      </c>
      <c r="D1635" t="s">
        <v>3573</v>
      </c>
      <c r="E1635" t="s">
        <v>1355</v>
      </c>
      <c r="F1635" t="s">
        <v>3574</v>
      </c>
      <c r="G1635" t="s">
        <v>513</v>
      </c>
      <c r="H1635" t="str">
        <f>" "</f>
        <v xml:space="preserve"> </v>
      </c>
      <c r="M1635" t="s">
        <v>3575</v>
      </c>
      <c r="N1635" t="s">
        <v>146</v>
      </c>
      <c r="O1635" t="s">
        <v>147</v>
      </c>
      <c r="R1635" t="s">
        <v>57</v>
      </c>
      <c r="S1635">
        <v>19</v>
      </c>
      <c r="T1635">
        <v>161</v>
      </c>
      <c r="U1635" s="1">
        <v>33844</v>
      </c>
      <c r="V1635" t="s">
        <v>123</v>
      </c>
      <c r="W1635" t="s">
        <v>124</v>
      </c>
      <c r="X1635" t="s">
        <v>58</v>
      </c>
      <c r="Y1635">
        <v>18</v>
      </c>
      <c r="Z1635" t="s">
        <v>59</v>
      </c>
      <c r="AA1635" t="s">
        <v>59</v>
      </c>
      <c r="AB1635" t="s">
        <v>59</v>
      </c>
      <c r="AC1635" t="s">
        <v>59</v>
      </c>
      <c r="AD1635" t="s">
        <v>452</v>
      </c>
      <c r="AE1635" s="1">
        <v>43708</v>
      </c>
      <c r="AF1635" s="1">
        <v>33851</v>
      </c>
      <c r="AG1635" t="s">
        <v>60</v>
      </c>
      <c r="AH1635" t="s">
        <v>453</v>
      </c>
      <c r="AI1635" t="str">
        <f>"1700105"</f>
        <v>1700105</v>
      </c>
      <c r="AJ1635" t="s">
        <v>124</v>
      </c>
      <c r="AK1635">
        <v>2810333720</v>
      </c>
      <c r="AL1635" t="s">
        <v>454</v>
      </c>
      <c r="AM1635" t="s">
        <v>78</v>
      </c>
      <c r="AN1635" t="s">
        <v>78</v>
      </c>
      <c r="AO1635" t="s">
        <v>78</v>
      </c>
      <c r="AP1635" t="s">
        <v>79</v>
      </c>
      <c r="AS1635" t="s">
        <v>124</v>
      </c>
      <c r="AT1635" t="s">
        <v>58</v>
      </c>
      <c r="AU1635" t="s">
        <v>68</v>
      </c>
      <c r="AV1635" t="s">
        <v>455</v>
      </c>
      <c r="AW1635" s="1">
        <v>23140</v>
      </c>
      <c r="AX1635">
        <v>2</v>
      </c>
    </row>
    <row r="1636" spans="1:50">
      <c r="A1636">
        <v>223155</v>
      </c>
      <c r="B1636" t="str">
        <f>"079646576"</f>
        <v>079646576</v>
      </c>
      <c r="C1636" t="s">
        <v>50</v>
      </c>
      <c r="D1636" t="s">
        <v>3576</v>
      </c>
      <c r="E1636" t="s">
        <v>1277</v>
      </c>
      <c r="F1636" t="s">
        <v>72</v>
      </c>
      <c r="G1636" t="s">
        <v>96</v>
      </c>
      <c r="H1636" t="str">
        <f>"ΣΑΜΑΡΕΙΤΙΔΩΝ 4  ΗΡΑΚΛΕΙΟ "</f>
        <v xml:space="preserve">ΣΑΜΑΡΕΙΤΙΔΩΝ 4  ΗΡΑΚΛΕΙΟ </v>
      </c>
      <c r="I1636">
        <v>71305</v>
      </c>
      <c r="J1636">
        <v>2810230603</v>
      </c>
      <c r="K1636">
        <v>6946992071</v>
      </c>
      <c r="M1636" t="s">
        <v>3577</v>
      </c>
      <c r="N1636" t="s">
        <v>292</v>
      </c>
      <c r="O1636" t="s">
        <v>293</v>
      </c>
      <c r="R1636" t="s">
        <v>57</v>
      </c>
      <c r="S1636">
        <v>5</v>
      </c>
      <c r="T1636">
        <v>775</v>
      </c>
      <c r="U1636" s="1">
        <v>39680</v>
      </c>
      <c r="V1636" t="s">
        <v>123</v>
      </c>
      <c r="W1636" t="s">
        <v>124</v>
      </c>
      <c r="X1636" t="s">
        <v>58</v>
      </c>
      <c r="Y1636">
        <v>21</v>
      </c>
      <c r="Z1636" t="s">
        <v>59</v>
      </c>
      <c r="AA1636" t="s">
        <v>59</v>
      </c>
      <c r="AB1636" t="s">
        <v>59</v>
      </c>
      <c r="AC1636" t="s">
        <v>59</v>
      </c>
      <c r="AD1636" t="s">
        <v>59</v>
      </c>
      <c r="AF1636" s="1">
        <v>39682</v>
      </c>
      <c r="AG1636" t="s">
        <v>125</v>
      </c>
      <c r="AH1636" t="s">
        <v>126</v>
      </c>
      <c r="AI1636" t="str">
        <f>"1728010"</f>
        <v>1728010</v>
      </c>
      <c r="AJ1636" t="s">
        <v>127</v>
      </c>
      <c r="AK1636">
        <v>2810824651</v>
      </c>
      <c r="AL1636" t="s">
        <v>128</v>
      </c>
      <c r="AM1636" t="s">
        <v>78</v>
      </c>
      <c r="AN1636" t="s">
        <v>129</v>
      </c>
      <c r="AO1636" t="s">
        <v>130</v>
      </c>
      <c r="AP1636" t="s">
        <v>130</v>
      </c>
      <c r="AQ1636">
        <v>36</v>
      </c>
      <c r="AR1636" t="s">
        <v>123</v>
      </c>
      <c r="AS1636" t="s">
        <v>124</v>
      </c>
      <c r="AT1636" t="s">
        <v>58</v>
      </c>
      <c r="AU1636" t="s">
        <v>68</v>
      </c>
      <c r="AV1636" t="s">
        <v>69</v>
      </c>
      <c r="AW1636" s="1">
        <v>26445</v>
      </c>
      <c r="AX1636">
        <v>2</v>
      </c>
    </row>
    <row r="1637" spans="1:50">
      <c r="A1637">
        <v>213355</v>
      </c>
      <c r="B1637" t="str">
        <f>"079222976"</f>
        <v>079222976</v>
      </c>
      <c r="C1637" t="s">
        <v>105</v>
      </c>
      <c r="D1637" t="s">
        <v>3578</v>
      </c>
      <c r="E1637" t="s">
        <v>1493</v>
      </c>
      <c r="F1637" t="s">
        <v>108</v>
      </c>
      <c r="G1637" t="s">
        <v>54</v>
      </c>
      <c r="H1637" t="str">
        <f>" "</f>
        <v xml:space="preserve"> </v>
      </c>
      <c r="J1637">
        <v>2810237601</v>
      </c>
      <c r="K1637">
        <v>6974029532</v>
      </c>
      <c r="M1637" t="s">
        <v>3579</v>
      </c>
      <c r="N1637" t="s">
        <v>232</v>
      </c>
      <c r="O1637" t="s">
        <v>233</v>
      </c>
      <c r="R1637" t="s">
        <v>57</v>
      </c>
      <c r="S1637">
        <v>5</v>
      </c>
      <c r="T1637">
        <v>231</v>
      </c>
      <c r="U1637" s="1">
        <v>38960</v>
      </c>
      <c r="V1637" t="s">
        <v>123</v>
      </c>
      <c r="W1637" t="s">
        <v>124</v>
      </c>
      <c r="X1637" t="s">
        <v>58</v>
      </c>
      <c r="Y1637">
        <v>21</v>
      </c>
      <c r="Z1637" t="s">
        <v>59</v>
      </c>
      <c r="AA1637" t="s">
        <v>59</v>
      </c>
      <c r="AB1637" t="s">
        <v>59</v>
      </c>
      <c r="AC1637" t="s">
        <v>59</v>
      </c>
      <c r="AD1637" t="s">
        <v>59</v>
      </c>
      <c r="AF1637" s="1">
        <v>38961</v>
      </c>
      <c r="AG1637" t="s">
        <v>125</v>
      </c>
      <c r="AH1637" t="s">
        <v>126</v>
      </c>
      <c r="AI1637" t="str">
        <f>"1701080"</f>
        <v>1701080</v>
      </c>
      <c r="AJ1637" t="s">
        <v>183</v>
      </c>
      <c r="AK1637">
        <v>2810721263</v>
      </c>
      <c r="AL1637" t="s">
        <v>184</v>
      </c>
      <c r="AM1637" t="s">
        <v>78</v>
      </c>
      <c r="AN1637" t="s">
        <v>78</v>
      </c>
      <c r="AO1637" t="s">
        <v>185</v>
      </c>
      <c r="AP1637" t="s">
        <v>186</v>
      </c>
      <c r="AQ1637">
        <v>29</v>
      </c>
      <c r="AR1637" t="s">
        <v>123</v>
      </c>
      <c r="AS1637" t="s">
        <v>124</v>
      </c>
      <c r="AT1637" t="s">
        <v>58</v>
      </c>
      <c r="AU1637" t="s">
        <v>68</v>
      </c>
      <c r="AV1637" t="s">
        <v>69</v>
      </c>
      <c r="AW1637" s="1">
        <v>25691</v>
      </c>
      <c r="AX1637">
        <v>2</v>
      </c>
    </row>
    <row r="1638" spans="1:50">
      <c r="A1638">
        <v>181943</v>
      </c>
      <c r="B1638" t="str">
        <f>"076662491"</f>
        <v>076662491</v>
      </c>
      <c r="C1638" t="s">
        <v>50</v>
      </c>
      <c r="D1638" t="s">
        <v>3580</v>
      </c>
      <c r="E1638" t="s">
        <v>52</v>
      </c>
      <c r="F1638" t="s">
        <v>166</v>
      </c>
      <c r="G1638" t="s">
        <v>610</v>
      </c>
      <c r="H1638" t="str">
        <f>"ΝΙΚΟΛΑΟΥ ΞΗΛΟΥΡΗ 17 ΗΡΑΚΛΕΙΟ"</f>
        <v>ΝΙΚΟΛΑΟΥ ΞΗΛΟΥΡΗ 17 ΗΡΑΚΛΕΙΟ</v>
      </c>
      <c r="I1638">
        <v>71307</v>
      </c>
      <c r="J1638">
        <v>2810325705</v>
      </c>
      <c r="K1638">
        <v>6946473781</v>
      </c>
      <c r="M1638" t="s">
        <v>3581</v>
      </c>
      <c r="N1638" t="s">
        <v>204</v>
      </c>
      <c r="O1638" t="s">
        <v>205</v>
      </c>
      <c r="P1638" t="s">
        <v>292</v>
      </c>
      <c r="Q1638" t="s">
        <v>293</v>
      </c>
      <c r="R1638" t="s">
        <v>57</v>
      </c>
      <c r="S1638">
        <v>10</v>
      </c>
      <c r="T1638">
        <v>164</v>
      </c>
      <c r="U1638" s="1">
        <v>36040</v>
      </c>
      <c r="V1638" t="s">
        <v>123</v>
      </c>
      <c r="W1638" t="s">
        <v>124</v>
      </c>
      <c r="X1638" t="s">
        <v>58</v>
      </c>
      <c r="Y1638">
        <v>18</v>
      </c>
      <c r="Z1638" t="s">
        <v>59</v>
      </c>
      <c r="AA1638" t="s">
        <v>59</v>
      </c>
      <c r="AB1638" t="s">
        <v>59</v>
      </c>
      <c r="AC1638" t="s">
        <v>59</v>
      </c>
      <c r="AD1638" t="s">
        <v>59</v>
      </c>
      <c r="AF1638" s="1">
        <v>36042</v>
      </c>
      <c r="AG1638" t="s">
        <v>137</v>
      </c>
      <c r="AH1638" t="s">
        <v>138</v>
      </c>
      <c r="AI1638" t="str">
        <f>"1750080"</f>
        <v>1750080</v>
      </c>
      <c r="AJ1638" t="s">
        <v>170</v>
      </c>
      <c r="AK1638">
        <v>2810234444</v>
      </c>
      <c r="AL1638" t="s">
        <v>171</v>
      </c>
      <c r="AM1638" t="s">
        <v>78</v>
      </c>
      <c r="AN1638" t="s">
        <v>78</v>
      </c>
      <c r="AO1638" t="s">
        <v>78</v>
      </c>
      <c r="AP1638" t="s">
        <v>163</v>
      </c>
      <c r="AQ1638">
        <v>9</v>
      </c>
      <c r="AR1638" t="s">
        <v>123</v>
      </c>
      <c r="AS1638" t="s">
        <v>124</v>
      </c>
      <c r="AT1638" t="s">
        <v>58</v>
      </c>
      <c r="AU1638" t="s">
        <v>68</v>
      </c>
      <c r="AV1638" t="s">
        <v>69</v>
      </c>
      <c r="AW1638" s="1">
        <v>25946</v>
      </c>
      <c r="AX1638">
        <v>2</v>
      </c>
    </row>
    <row r="1639" spans="1:50">
      <c r="A1639">
        <v>192141</v>
      </c>
      <c r="B1639" t="str">
        <f>"072676013"</f>
        <v>072676013</v>
      </c>
      <c r="C1639" t="s">
        <v>50</v>
      </c>
      <c r="D1639" t="s">
        <v>3582</v>
      </c>
      <c r="E1639" t="s">
        <v>237</v>
      </c>
      <c r="F1639" t="s">
        <v>670</v>
      </c>
      <c r="G1639" t="s">
        <v>922</v>
      </c>
      <c r="H1639" t="str">
        <f>" "</f>
        <v xml:space="preserve"> </v>
      </c>
      <c r="K1639">
        <v>6944720241</v>
      </c>
      <c r="M1639" t="s">
        <v>3583</v>
      </c>
      <c r="N1639" t="s">
        <v>583</v>
      </c>
      <c r="O1639" t="s">
        <v>584</v>
      </c>
      <c r="R1639" t="s">
        <v>57</v>
      </c>
      <c r="S1639">
        <v>11</v>
      </c>
      <c r="T1639">
        <v>291</v>
      </c>
      <c r="U1639" s="1">
        <v>37218</v>
      </c>
      <c r="V1639" t="s">
        <v>123</v>
      </c>
      <c r="W1639" t="s">
        <v>124</v>
      </c>
      <c r="X1639" t="s">
        <v>58</v>
      </c>
      <c r="Y1639">
        <v>20</v>
      </c>
      <c r="Z1639" t="s">
        <v>59</v>
      </c>
      <c r="AA1639" t="s">
        <v>59</v>
      </c>
      <c r="AB1639" t="s">
        <v>59</v>
      </c>
      <c r="AC1639" t="s">
        <v>59</v>
      </c>
      <c r="AD1639" t="s">
        <v>59</v>
      </c>
      <c r="AF1639" s="1">
        <v>37221</v>
      </c>
      <c r="AG1639" t="s">
        <v>137</v>
      </c>
      <c r="AH1639" t="s">
        <v>138</v>
      </c>
      <c r="AI1639" t="str">
        <f>"1740080"</f>
        <v>1740080</v>
      </c>
      <c r="AJ1639" t="s">
        <v>284</v>
      </c>
      <c r="AK1639">
        <v>2810220433</v>
      </c>
      <c r="AL1639" t="s">
        <v>285</v>
      </c>
      <c r="AM1639" t="s">
        <v>78</v>
      </c>
      <c r="AN1639" t="s">
        <v>78</v>
      </c>
      <c r="AO1639" t="s">
        <v>286</v>
      </c>
      <c r="AP1639" t="s">
        <v>286</v>
      </c>
      <c r="AQ1639">
        <v>12</v>
      </c>
      <c r="AR1639" t="s">
        <v>123</v>
      </c>
      <c r="AS1639" t="s">
        <v>124</v>
      </c>
      <c r="AT1639" t="s">
        <v>58</v>
      </c>
      <c r="AU1639" t="s">
        <v>68</v>
      </c>
      <c r="AV1639" t="s">
        <v>69</v>
      </c>
      <c r="AW1639" s="1">
        <v>25356</v>
      </c>
      <c r="AX1639">
        <v>2</v>
      </c>
    </row>
    <row r="1640" spans="1:50">
      <c r="A1640">
        <v>200937</v>
      </c>
      <c r="B1640" t="str">
        <f>"100105950"</f>
        <v>100105950</v>
      </c>
      <c r="C1640" t="s">
        <v>50</v>
      </c>
      <c r="D1640" t="s">
        <v>3584</v>
      </c>
      <c r="E1640" t="s">
        <v>964</v>
      </c>
      <c r="F1640" t="s">
        <v>989</v>
      </c>
      <c r="G1640" t="s">
        <v>3585</v>
      </c>
      <c r="H1640" t="str">
        <f>"ΓΑΡΙΠΑΣ 5 ΗΡΑΚΛΕΙΟ"</f>
        <v>ΓΑΡΙΠΑΣ 5 ΗΡΑΚΛΕΙΟ</v>
      </c>
      <c r="I1640">
        <v>71409</v>
      </c>
      <c r="J1640">
        <v>2810322661</v>
      </c>
      <c r="K1640">
        <v>6986333104</v>
      </c>
      <c r="M1640" t="s">
        <v>3586</v>
      </c>
      <c r="N1640" t="s">
        <v>204</v>
      </c>
      <c r="O1640" t="s">
        <v>205</v>
      </c>
      <c r="R1640" t="s">
        <v>57</v>
      </c>
      <c r="S1640">
        <v>7</v>
      </c>
      <c r="T1640" t="s">
        <v>3587</v>
      </c>
      <c r="U1640" s="1">
        <v>37874</v>
      </c>
      <c r="V1640" t="s">
        <v>123</v>
      </c>
      <c r="W1640" t="s">
        <v>124</v>
      </c>
      <c r="X1640" t="s">
        <v>58</v>
      </c>
      <c r="Y1640">
        <v>20</v>
      </c>
      <c r="Z1640" t="s">
        <v>59</v>
      </c>
      <c r="AA1640" t="s">
        <v>59</v>
      </c>
      <c r="AB1640" t="s">
        <v>59</v>
      </c>
      <c r="AC1640" t="s">
        <v>59</v>
      </c>
      <c r="AD1640" t="s">
        <v>59</v>
      </c>
      <c r="AF1640" s="1">
        <v>37874</v>
      </c>
      <c r="AG1640" t="s">
        <v>125</v>
      </c>
      <c r="AH1640" t="s">
        <v>126</v>
      </c>
      <c r="AI1640" t="str">
        <f>"1702010"</f>
        <v>1702010</v>
      </c>
      <c r="AJ1640" t="s">
        <v>604</v>
      </c>
      <c r="AK1640">
        <v>2891022228</v>
      </c>
      <c r="AL1640" t="s">
        <v>605</v>
      </c>
      <c r="AM1640" t="s">
        <v>78</v>
      </c>
      <c r="AN1640" t="s">
        <v>276</v>
      </c>
      <c r="AO1640" t="s">
        <v>490</v>
      </c>
      <c r="AP1640" t="s">
        <v>490</v>
      </c>
      <c r="AQ1640">
        <v>15</v>
      </c>
      <c r="AR1640" t="s">
        <v>123</v>
      </c>
      <c r="AS1640" t="s">
        <v>124</v>
      </c>
      <c r="AT1640" t="s">
        <v>58</v>
      </c>
      <c r="AU1640" t="s">
        <v>68</v>
      </c>
      <c r="AV1640" t="s">
        <v>69</v>
      </c>
      <c r="AW1640" s="1">
        <v>28585</v>
      </c>
      <c r="AX1640">
        <v>2</v>
      </c>
    </row>
    <row r="1641" spans="1:50">
      <c r="A1641">
        <v>227352</v>
      </c>
      <c r="B1641" t="str">
        <f>"079670171"</f>
        <v>079670171</v>
      </c>
      <c r="C1641" t="s">
        <v>50</v>
      </c>
      <c r="D1641" t="s">
        <v>3588</v>
      </c>
      <c r="E1641" t="s">
        <v>83</v>
      </c>
      <c r="F1641" t="s">
        <v>166</v>
      </c>
      <c r="G1641" t="s">
        <v>3589</v>
      </c>
      <c r="H1641" t="str">
        <f>"ΣΚΟΠΕΛΟΥ 2 ΗΡΑΚΛΕΙΟ ΚΡΗΤΗΣ"</f>
        <v>ΣΚΟΠΕΛΟΥ 2 ΗΡΑΚΛΕΙΟ ΚΡΗΤΗΣ</v>
      </c>
      <c r="I1641">
        <v>71306</v>
      </c>
      <c r="J1641">
        <v>2810324441</v>
      </c>
      <c r="K1641">
        <v>6947236472</v>
      </c>
      <c r="M1641" t="s">
        <v>3590</v>
      </c>
      <c r="N1641" t="s">
        <v>232</v>
      </c>
      <c r="O1641" t="s">
        <v>233</v>
      </c>
      <c r="R1641" t="s">
        <v>57</v>
      </c>
      <c r="S1641">
        <v>11</v>
      </c>
      <c r="T1641">
        <v>654</v>
      </c>
      <c r="U1641" s="1">
        <v>40043</v>
      </c>
      <c r="V1641" t="s">
        <v>123</v>
      </c>
      <c r="W1641" t="s">
        <v>124</v>
      </c>
      <c r="X1641" t="s">
        <v>58</v>
      </c>
      <c r="Y1641">
        <v>21</v>
      </c>
      <c r="Z1641" t="s">
        <v>59</v>
      </c>
      <c r="AA1641" t="s">
        <v>59</v>
      </c>
      <c r="AB1641" t="s">
        <v>59</v>
      </c>
      <c r="AC1641" t="s">
        <v>59</v>
      </c>
      <c r="AD1641" t="s">
        <v>59</v>
      </c>
      <c r="AF1641" s="1">
        <v>40045</v>
      </c>
      <c r="AG1641" t="s">
        <v>125</v>
      </c>
      <c r="AH1641" t="s">
        <v>590</v>
      </c>
      <c r="AI1641" t="str">
        <f>"1740060"</f>
        <v>1740060</v>
      </c>
      <c r="AJ1641" t="s">
        <v>591</v>
      </c>
      <c r="AK1641">
        <v>2810232117</v>
      </c>
      <c r="AL1641" t="s">
        <v>592</v>
      </c>
      <c r="AM1641" t="s">
        <v>78</v>
      </c>
      <c r="AN1641" t="s">
        <v>78</v>
      </c>
      <c r="AO1641" t="s">
        <v>78</v>
      </c>
      <c r="AP1641" t="s">
        <v>141</v>
      </c>
      <c r="AQ1641">
        <v>11</v>
      </c>
      <c r="AR1641" t="s">
        <v>123</v>
      </c>
      <c r="AS1641" t="s">
        <v>124</v>
      </c>
      <c r="AT1641" t="s">
        <v>58</v>
      </c>
      <c r="AU1641" t="s">
        <v>68</v>
      </c>
      <c r="AV1641" t="s">
        <v>69</v>
      </c>
      <c r="AW1641" s="1">
        <v>27521</v>
      </c>
      <c r="AX1641">
        <v>2</v>
      </c>
    </row>
    <row r="1642" spans="1:50">
      <c r="B1642" t="str">
        <f>"114554613"</f>
        <v>114554613</v>
      </c>
      <c r="C1642" t="s">
        <v>50</v>
      </c>
      <c r="D1642" t="s">
        <v>3588</v>
      </c>
      <c r="E1642" t="s">
        <v>54</v>
      </c>
      <c r="F1642" t="s">
        <v>53</v>
      </c>
      <c r="G1642" t="s">
        <v>96</v>
      </c>
      <c r="H1642" t="str">
        <f>"ΑΜΦΙΠΟΛΕΩΣ 7 "</f>
        <v xml:space="preserve">ΑΜΦΙΠΟΛΕΩΣ 7 </v>
      </c>
      <c r="I1642">
        <v>12135</v>
      </c>
      <c r="J1642">
        <v>2105744598</v>
      </c>
      <c r="K1642">
        <v>6942778487</v>
      </c>
      <c r="N1642" t="s">
        <v>119</v>
      </c>
      <c r="O1642" t="s">
        <v>120</v>
      </c>
      <c r="R1642" t="s">
        <v>159</v>
      </c>
      <c r="S1642">
        <v>4</v>
      </c>
      <c r="T1642" t="s">
        <v>344</v>
      </c>
      <c r="U1642" s="1">
        <v>43348</v>
      </c>
      <c r="V1642" t="s">
        <v>123</v>
      </c>
      <c r="W1642" t="s">
        <v>124</v>
      </c>
      <c r="X1642" t="s">
        <v>58</v>
      </c>
      <c r="Y1642">
        <v>23</v>
      </c>
      <c r="Z1642" t="s">
        <v>59</v>
      </c>
      <c r="AA1642" t="s">
        <v>59</v>
      </c>
      <c r="AB1642" t="s">
        <v>59</v>
      </c>
      <c r="AC1642" t="s">
        <v>59</v>
      </c>
      <c r="AD1642" t="s">
        <v>59</v>
      </c>
      <c r="AF1642" s="1">
        <v>43348</v>
      </c>
      <c r="AG1642" t="s">
        <v>125</v>
      </c>
      <c r="AH1642" t="s">
        <v>126</v>
      </c>
      <c r="AI1642" t="str">
        <f>"1727010"</f>
        <v>1727010</v>
      </c>
      <c r="AJ1642" t="s">
        <v>618</v>
      </c>
      <c r="AK1642">
        <v>2810229231</v>
      </c>
      <c r="AL1642" t="s">
        <v>619</v>
      </c>
      <c r="AM1642" t="s">
        <v>78</v>
      </c>
      <c r="AN1642" t="s">
        <v>78</v>
      </c>
      <c r="AO1642" t="s">
        <v>286</v>
      </c>
      <c r="AP1642" t="s">
        <v>286</v>
      </c>
      <c r="AQ1642">
        <v>12</v>
      </c>
      <c r="AR1642" t="s">
        <v>123</v>
      </c>
      <c r="AS1642" t="s">
        <v>124</v>
      </c>
      <c r="AT1642" t="s">
        <v>58</v>
      </c>
      <c r="AU1642" t="s">
        <v>350</v>
      </c>
      <c r="AV1642" t="s">
        <v>132</v>
      </c>
      <c r="AW1642" s="1">
        <v>29578</v>
      </c>
      <c r="AX1642">
        <v>2</v>
      </c>
    </row>
    <row r="1643" spans="1:50">
      <c r="A1643">
        <v>226049</v>
      </c>
      <c r="B1643" t="str">
        <f>"074756832"</f>
        <v>074756832</v>
      </c>
      <c r="C1643" t="s">
        <v>105</v>
      </c>
      <c r="D1643" t="s">
        <v>3591</v>
      </c>
      <c r="E1643" t="s">
        <v>95</v>
      </c>
      <c r="F1643" t="s">
        <v>1316</v>
      </c>
      <c r="G1643" t="s">
        <v>263</v>
      </c>
      <c r="H1643" t="str">
        <f>" "</f>
        <v xml:space="preserve"> </v>
      </c>
      <c r="K1643">
        <v>6972602891</v>
      </c>
      <c r="N1643" t="s">
        <v>176</v>
      </c>
      <c r="O1643" t="s">
        <v>177</v>
      </c>
      <c r="R1643" t="s">
        <v>57</v>
      </c>
      <c r="S1643">
        <v>9</v>
      </c>
      <c r="T1643">
        <v>177</v>
      </c>
      <c r="U1643" s="1">
        <v>36403</v>
      </c>
      <c r="V1643" t="s">
        <v>123</v>
      </c>
      <c r="W1643" t="s">
        <v>124</v>
      </c>
      <c r="X1643" t="s">
        <v>58</v>
      </c>
      <c r="Y1643">
        <v>20</v>
      </c>
      <c r="Z1643" t="s">
        <v>59</v>
      </c>
      <c r="AA1643" t="s">
        <v>59</v>
      </c>
      <c r="AB1643" t="s">
        <v>59</v>
      </c>
      <c r="AC1643" t="s">
        <v>59</v>
      </c>
      <c r="AD1643" t="s">
        <v>59</v>
      </c>
      <c r="AF1643" s="1">
        <v>36404</v>
      </c>
      <c r="AG1643" t="s">
        <v>137</v>
      </c>
      <c r="AH1643" t="s">
        <v>138</v>
      </c>
      <c r="AI1643" t="str">
        <f>"1740310"</f>
        <v>1740310</v>
      </c>
      <c r="AJ1643" t="s">
        <v>488</v>
      </c>
      <c r="AK1643">
        <v>2891024228</v>
      </c>
      <c r="AL1643" t="s">
        <v>489</v>
      </c>
      <c r="AM1643" t="s">
        <v>78</v>
      </c>
      <c r="AN1643" t="s">
        <v>276</v>
      </c>
      <c r="AO1643" t="s">
        <v>490</v>
      </c>
      <c r="AP1643" t="s">
        <v>490</v>
      </c>
      <c r="AQ1643">
        <v>15</v>
      </c>
      <c r="AR1643" t="s">
        <v>123</v>
      </c>
      <c r="AS1643" t="s">
        <v>124</v>
      </c>
      <c r="AT1643" t="s">
        <v>58</v>
      </c>
      <c r="AU1643" t="s">
        <v>68</v>
      </c>
      <c r="AV1643" t="s">
        <v>69</v>
      </c>
      <c r="AW1643" s="1">
        <v>24673</v>
      </c>
      <c r="AX1643">
        <v>2</v>
      </c>
    </row>
    <row r="1644" spans="1:50">
      <c r="A1644">
        <v>178217</v>
      </c>
      <c r="B1644" t="str">
        <f>"037369185"</f>
        <v>037369185</v>
      </c>
      <c r="C1644" t="s">
        <v>105</v>
      </c>
      <c r="D1644" t="s">
        <v>3591</v>
      </c>
      <c r="E1644" t="s">
        <v>84</v>
      </c>
      <c r="F1644" t="s">
        <v>166</v>
      </c>
      <c r="G1644" t="s">
        <v>109</v>
      </c>
      <c r="H1644" t="str">
        <f>"ΛΑΠΠΑ 66 ΗΡΑΚΛΕΙΟ"</f>
        <v>ΛΑΠΠΑ 66 ΗΡΑΚΛΕΙΟ</v>
      </c>
      <c r="I1644">
        <v>71305</v>
      </c>
      <c r="K1644">
        <v>6938745155</v>
      </c>
      <c r="M1644" t="s">
        <v>3592</v>
      </c>
      <c r="N1644" t="s">
        <v>204</v>
      </c>
      <c r="O1644" t="s">
        <v>205</v>
      </c>
      <c r="P1644" t="s">
        <v>292</v>
      </c>
      <c r="Q1644" t="s">
        <v>293</v>
      </c>
      <c r="R1644" t="s">
        <v>57</v>
      </c>
      <c r="S1644">
        <v>11</v>
      </c>
      <c r="T1644">
        <v>180</v>
      </c>
      <c r="U1644" s="1">
        <v>35674</v>
      </c>
      <c r="V1644" t="s">
        <v>123</v>
      </c>
      <c r="W1644" t="s">
        <v>124</v>
      </c>
      <c r="X1644" t="s">
        <v>58</v>
      </c>
      <c r="Y1644">
        <v>18</v>
      </c>
      <c r="Z1644" t="s">
        <v>59</v>
      </c>
      <c r="AA1644" t="s">
        <v>59</v>
      </c>
      <c r="AB1644" t="s">
        <v>59</v>
      </c>
      <c r="AC1644" t="s">
        <v>59</v>
      </c>
      <c r="AD1644" t="s">
        <v>59</v>
      </c>
      <c r="AF1644" s="1">
        <v>35678</v>
      </c>
      <c r="AG1644" t="s">
        <v>148</v>
      </c>
      <c r="AH1644" t="s">
        <v>149</v>
      </c>
      <c r="AI1644" t="str">
        <f>"1751051"</f>
        <v>1751051</v>
      </c>
      <c r="AJ1644" t="s">
        <v>259</v>
      </c>
      <c r="AK1644">
        <v>2810251794</v>
      </c>
      <c r="AL1644" t="s">
        <v>260</v>
      </c>
      <c r="AM1644" t="s">
        <v>78</v>
      </c>
      <c r="AN1644" t="s">
        <v>78</v>
      </c>
      <c r="AO1644" t="s">
        <v>78</v>
      </c>
      <c r="AP1644" t="s">
        <v>141</v>
      </c>
      <c r="AQ1644">
        <v>7</v>
      </c>
      <c r="AR1644" t="s">
        <v>123</v>
      </c>
      <c r="AS1644" t="s">
        <v>124</v>
      </c>
      <c r="AT1644" t="s">
        <v>58</v>
      </c>
      <c r="AU1644" t="s">
        <v>68</v>
      </c>
      <c r="AV1644" t="s">
        <v>69</v>
      </c>
      <c r="AW1644" s="1">
        <v>24207</v>
      </c>
      <c r="AX1644">
        <v>2</v>
      </c>
    </row>
    <row r="1645" spans="1:50">
      <c r="A1645">
        <v>197453</v>
      </c>
      <c r="B1645" t="str">
        <f>"079670226"</f>
        <v>079670226</v>
      </c>
      <c r="C1645" t="s">
        <v>105</v>
      </c>
      <c r="D1645" t="s">
        <v>3591</v>
      </c>
      <c r="E1645" t="s">
        <v>99</v>
      </c>
      <c r="F1645" t="s">
        <v>166</v>
      </c>
      <c r="G1645" t="s">
        <v>3589</v>
      </c>
      <c r="H1645" t="str">
        <f>" "</f>
        <v xml:space="preserve"> </v>
      </c>
      <c r="J1645">
        <v>2810235559</v>
      </c>
      <c r="K1645">
        <v>6976085782</v>
      </c>
      <c r="L1645">
        <v>2810231756</v>
      </c>
      <c r="M1645" t="s">
        <v>3593</v>
      </c>
      <c r="N1645" t="s">
        <v>146</v>
      </c>
      <c r="O1645" t="s">
        <v>147</v>
      </c>
      <c r="R1645" t="s">
        <v>57</v>
      </c>
      <c r="S1645">
        <v>9</v>
      </c>
      <c r="T1645">
        <v>206</v>
      </c>
      <c r="U1645" s="1">
        <v>37866</v>
      </c>
      <c r="V1645" t="s">
        <v>123</v>
      </c>
      <c r="W1645" t="s">
        <v>124</v>
      </c>
      <c r="X1645" t="s">
        <v>58</v>
      </c>
      <c r="Y1645">
        <v>20</v>
      </c>
      <c r="Z1645" t="s">
        <v>59</v>
      </c>
      <c r="AA1645" t="s">
        <v>59</v>
      </c>
      <c r="AB1645" t="s">
        <v>59</v>
      </c>
      <c r="AC1645" t="s">
        <v>59</v>
      </c>
      <c r="AD1645" t="s">
        <v>59</v>
      </c>
      <c r="AF1645" s="1">
        <v>37866</v>
      </c>
      <c r="AG1645" t="s">
        <v>148</v>
      </c>
      <c r="AH1645" t="s">
        <v>149</v>
      </c>
      <c r="AI1645" t="str">
        <f>"1751041"</f>
        <v>1751041</v>
      </c>
      <c r="AJ1645" t="s">
        <v>353</v>
      </c>
      <c r="AK1645">
        <v>2810230207</v>
      </c>
      <c r="AL1645" t="s">
        <v>354</v>
      </c>
      <c r="AM1645" t="s">
        <v>78</v>
      </c>
      <c r="AN1645" t="s">
        <v>78</v>
      </c>
      <c r="AO1645" t="s">
        <v>78</v>
      </c>
      <c r="AP1645" t="s">
        <v>163</v>
      </c>
      <c r="AQ1645">
        <v>2</v>
      </c>
      <c r="AR1645" t="s">
        <v>123</v>
      </c>
      <c r="AS1645" t="s">
        <v>124</v>
      </c>
      <c r="AT1645" t="s">
        <v>58</v>
      </c>
      <c r="AU1645" t="s">
        <v>68</v>
      </c>
      <c r="AV1645" t="s">
        <v>69</v>
      </c>
      <c r="AW1645" s="1">
        <v>28114</v>
      </c>
      <c r="AX1645">
        <v>2</v>
      </c>
    </row>
    <row r="1646" spans="1:50">
      <c r="A1646">
        <v>226795</v>
      </c>
      <c r="B1646" t="str">
        <f>"116976424"</f>
        <v>116976424</v>
      </c>
      <c r="C1646" t="s">
        <v>105</v>
      </c>
      <c r="D1646" t="s">
        <v>3594</v>
      </c>
      <c r="E1646" t="s">
        <v>581</v>
      </c>
      <c r="F1646" t="s">
        <v>72</v>
      </c>
      <c r="G1646" t="s">
        <v>73</v>
      </c>
      <c r="H1646" t="str">
        <f>" "</f>
        <v xml:space="preserve"> </v>
      </c>
      <c r="N1646" t="s">
        <v>146</v>
      </c>
      <c r="O1646" t="s">
        <v>147</v>
      </c>
      <c r="R1646" t="s">
        <v>57</v>
      </c>
      <c r="S1646">
        <v>6</v>
      </c>
      <c r="T1646">
        <v>654</v>
      </c>
      <c r="U1646" s="1">
        <v>40043</v>
      </c>
      <c r="V1646" t="s">
        <v>123</v>
      </c>
      <c r="W1646" t="s">
        <v>124</v>
      </c>
      <c r="X1646" t="s">
        <v>58</v>
      </c>
      <c r="Y1646">
        <v>21</v>
      </c>
      <c r="Z1646" t="s">
        <v>59</v>
      </c>
      <c r="AA1646" t="s">
        <v>59</v>
      </c>
      <c r="AB1646" t="s">
        <v>59</v>
      </c>
      <c r="AC1646" t="s">
        <v>59</v>
      </c>
      <c r="AD1646" t="s">
        <v>59</v>
      </c>
      <c r="AF1646" s="1">
        <v>40057</v>
      </c>
      <c r="AG1646" t="s">
        <v>137</v>
      </c>
      <c r="AH1646" t="s">
        <v>138</v>
      </c>
      <c r="AI1646" t="str">
        <f>"1740070"</f>
        <v>1740070</v>
      </c>
      <c r="AJ1646" t="s">
        <v>206</v>
      </c>
      <c r="AK1646">
        <v>2810324880</v>
      </c>
      <c r="AL1646" t="s">
        <v>207</v>
      </c>
      <c r="AM1646" t="s">
        <v>78</v>
      </c>
      <c r="AN1646" t="s">
        <v>78</v>
      </c>
      <c r="AO1646" t="s">
        <v>78</v>
      </c>
      <c r="AP1646" t="s">
        <v>163</v>
      </c>
      <c r="AQ1646">
        <v>9</v>
      </c>
      <c r="AR1646" t="s">
        <v>123</v>
      </c>
      <c r="AS1646" t="s">
        <v>124</v>
      </c>
      <c r="AT1646" t="s">
        <v>58</v>
      </c>
      <c r="AU1646" t="s">
        <v>68</v>
      </c>
      <c r="AV1646" t="s">
        <v>69</v>
      </c>
      <c r="AW1646" s="1">
        <v>28859</v>
      </c>
      <c r="AX1646">
        <v>2</v>
      </c>
    </row>
    <row r="1647" spans="1:50">
      <c r="A1647">
        <v>197899</v>
      </c>
      <c r="B1647" t="str">
        <f>"031219786"</f>
        <v>031219786</v>
      </c>
      <c r="C1647" t="s">
        <v>105</v>
      </c>
      <c r="D1647" t="s">
        <v>3595</v>
      </c>
      <c r="E1647" t="s">
        <v>782</v>
      </c>
      <c r="F1647" t="s">
        <v>166</v>
      </c>
      <c r="G1647" t="s">
        <v>250</v>
      </c>
      <c r="H1647" t="str">
        <f>"ΑΙΣΩΠΟΥ 25 ΠΕΥΚΗ ΑΤΤΙΚΗ"</f>
        <v>ΑΙΣΩΠΟΥ 25 ΠΕΥΚΗ ΑΤΤΙΚΗ</v>
      </c>
      <c r="I1647">
        <v>15121</v>
      </c>
      <c r="J1647">
        <v>2810234815</v>
      </c>
      <c r="K1647">
        <v>6972927708</v>
      </c>
      <c r="L1647">
        <v>2108062413</v>
      </c>
      <c r="M1647" t="s">
        <v>3596</v>
      </c>
      <c r="N1647" t="s">
        <v>292</v>
      </c>
      <c r="O1647" t="s">
        <v>293</v>
      </c>
      <c r="R1647" t="s">
        <v>57</v>
      </c>
      <c r="S1647">
        <v>9</v>
      </c>
      <c r="T1647">
        <v>206</v>
      </c>
      <c r="U1647" s="1">
        <v>37866</v>
      </c>
      <c r="V1647" t="s">
        <v>123</v>
      </c>
      <c r="W1647" t="s">
        <v>124</v>
      </c>
      <c r="X1647" t="s">
        <v>58</v>
      </c>
      <c r="Y1647">
        <v>20</v>
      </c>
      <c r="Z1647" t="s">
        <v>59</v>
      </c>
      <c r="AA1647" t="s">
        <v>59</v>
      </c>
      <c r="AB1647" t="s">
        <v>59</v>
      </c>
      <c r="AC1647" t="s">
        <v>59</v>
      </c>
      <c r="AD1647" t="s">
        <v>59</v>
      </c>
      <c r="AF1647" s="1">
        <v>37867</v>
      </c>
      <c r="AG1647" t="s">
        <v>148</v>
      </c>
      <c r="AH1647" t="s">
        <v>149</v>
      </c>
      <c r="AI1647" t="str">
        <f>"1790070"</f>
        <v>1790070</v>
      </c>
      <c r="AJ1647" t="s">
        <v>1283</v>
      </c>
      <c r="AK1647">
        <v>2810252154</v>
      </c>
      <c r="AL1647" t="s">
        <v>1284</v>
      </c>
      <c r="AM1647" t="s">
        <v>78</v>
      </c>
      <c r="AN1647" t="s">
        <v>78</v>
      </c>
      <c r="AO1647" t="s">
        <v>78</v>
      </c>
      <c r="AP1647" t="s">
        <v>141</v>
      </c>
      <c r="AQ1647">
        <v>7</v>
      </c>
      <c r="AR1647" t="s">
        <v>123</v>
      </c>
      <c r="AS1647" t="s">
        <v>124</v>
      </c>
      <c r="AT1647" t="s">
        <v>58</v>
      </c>
      <c r="AU1647" t="s">
        <v>68</v>
      </c>
      <c r="AV1647" t="s">
        <v>69</v>
      </c>
      <c r="AW1647" s="1">
        <v>24903</v>
      </c>
      <c r="AX1647">
        <v>2</v>
      </c>
    </row>
    <row r="1648" spans="1:50">
      <c r="B1648" t="str">
        <f>"113221206"</f>
        <v>113221206</v>
      </c>
      <c r="C1648" t="s">
        <v>50</v>
      </c>
      <c r="D1648" t="s">
        <v>3597</v>
      </c>
      <c r="E1648" t="s">
        <v>3598</v>
      </c>
      <c r="F1648" t="s">
        <v>3599</v>
      </c>
      <c r="G1648" t="s">
        <v>1085</v>
      </c>
      <c r="H1648" t="str">
        <f>"ΕΠΤΑΠΥΡΓΙΟΥ 81 ΣΥΚΙΕΣ ΘΕΣ/ΝΙΚΗΣ"</f>
        <v>ΕΠΤΑΠΥΡΓΙΟΥ 81 ΣΥΚΙΕΣ ΘΕΣ/ΝΙΚΗΣ</v>
      </c>
      <c r="I1648">
        <v>56626</v>
      </c>
      <c r="J1648">
        <v>2310214099</v>
      </c>
      <c r="K1648">
        <v>6971813555</v>
      </c>
      <c r="M1648" t="s">
        <v>3600</v>
      </c>
      <c r="N1648" t="s">
        <v>257</v>
      </c>
      <c r="O1648" t="s">
        <v>258</v>
      </c>
      <c r="R1648" t="s">
        <v>159</v>
      </c>
      <c r="S1648">
        <v>4</v>
      </c>
      <c r="T1648" t="s">
        <v>416</v>
      </c>
      <c r="U1648" s="1">
        <v>43349</v>
      </c>
      <c r="V1648" t="s">
        <v>123</v>
      </c>
      <c r="W1648" t="s">
        <v>124</v>
      </c>
      <c r="X1648" t="s">
        <v>58</v>
      </c>
      <c r="Y1648">
        <v>23</v>
      </c>
      <c r="Z1648" t="s">
        <v>59</v>
      </c>
      <c r="AA1648" t="s">
        <v>59</v>
      </c>
      <c r="AB1648" t="s">
        <v>59</v>
      </c>
      <c r="AC1648" t="s">
        <v>59</v>
      </c>
      <c r="AD1648" t="s">
        <v>59</v>
      </c>
      <c r="AF1648" s="1">
        <v>43349</v>
      </c>
      <c r="AG1648" t="s">
        <v>148</v>
      </c>
      <c r="AH1648" t="s">
        <v>149</v>
      </c>
      <c r="AI1648" t="str">
        <f>"1756010"</f>
        <v>1756010</v>
      </c>
      <c r="AJ1648" t="s">
        <v>874</v>
      </c>
      <c r="AK1648">
        <v>2892022976</v>
      </c>
      <c r="AL1648" t="s">
        <v>875</v>
      </c>
      <c r="AM1648" t="s">
        <v>78</v>
      </c>
      <c r="AN1648" t="s">
        <v>242</v>
      </c>
      <c r="AO1648" t="s">
        <v>243</v>
      </c>
      <c r="AP1648" t="s">
        <v>243</v>
      </c>
      <c r="AQ1648">
        <v>33</v>
      </c>
      <c r="AR1648" t="s">
        <v>123</v>
      </c>
      <c r="AS1648" t="s">
        <v>124</v>
      </c>
      <c r="AT1648" t="s">
        <v>58</v>
      </c>
      <c r="AU1648" t="s">
        <v>419</v>
      </c>
      <c r="AV1648" t="s">
        <v>132</v>
      </c>
      <c r="AW1648" s="1">
        <v>30189</v>
      </c>
      <c r="AX1648">
        <v>2</v>
      </c>
    </row>
    <row r="1649" spans="1:50">
      <c r="A1649">
        <v>217122</v>
      </c>
      <c r="B1649" t="str">
        <f>"034342481"</f>
        <v>034342481</v>
      </c>
      <c r="C1649" t="s">
        <v>105</v>
      </c>
      <c r="D1649" t="s">
        <v>3601</v>
      </c>
      <c r="E1649" t="s">
        <v>166</v>
      </c>
      <c r="F1649" t="s">
        <v>111</v>
      </c>
      <c r="G1649" t="s">
        <v>314</v>
      </c>
      <c r="H1649" t="str">
        <f>"ΓΟΥΡΝΕΣ  ΤΕΜΕΝΟΥΣ"</f>
        <v>ΓΟΥΡΝΕΣ  ΤΕΜΕΝΟΥΣ</v>
      </c>
      <c r="I1649">
        <v>71500</v>
      </c>
      <c r="J1649">
        <v>2810542054</v>
      </c>
      <c r="K1649">
        <v>6944770772</v>
      </c>
      <c r="M1649" t="s">
        <v>3602</v>
      </c>
      <c r="N1649" t="s">
        <v>337</v>
      </c>
      <c r="O1649" t="s">
        <v>338</v>
      </c>
      <c r="R1649" t="s">
        <v>57</v>
      </c>
      <c r="S1649">
        <v>8</v>
      </c>
      <c r="T1649">
        <v>298</v>
      </c>
      <c r="U1649" s="1">
        <v>38985</v>
      </c>
      <c r="V1649" t="s">
        <v>123</v>
      </c>
      <c r="W1649" t="s">
        <v>124</v>
      </c>
      <c r="X1649" t="s">
        <v>58</v>
      </c>
      <c r="Y1649">
        <v>20</v>
      </c>
      <c r="Z1649" t="s">
        <v>59</v>
      </c>
      <c r="AA1649" t="s">
        <v>59</v>
      </c>
      <c r="AB1649" t="s">
        <v>59</v>
      </c>
      <c r="AC1649" t="s">
        <v>59</v>
      </c>
      <c r="AD1649" t="s">
        <v>59</v>
      </c>
      <c r="AF1649" s="1">
        <v>38985</v>
      </c>
      <c r="AG1649" t="s">
        <v>125</v>
      </c>
      <c r="AH1649" t="s">
        <v>294</v>
      </c>
      <c r="AI1649" t="str">
        <f>"1701015"</f>
        <v>1701015</v>
      </c>
      <c r="AJ1649" t="s">
        <v>295</v>
      </c>
      <c r="AK1649">
        <v>2810761696</v>
      </c>
      <c r="AL1649" t="s">
        <v>296</v>
      </c>
      <c r="AM1649" t="s">
        <v>78</v>
      </c>
      <c r="AN1649" t="s">
        <v>219</v>
      </c>
      <c r="AO1649" t="s">
        <v>297</v>
      </c>
      <c r="AP1649" t="s">
        <v>297</v>
      </c>
      <c r="AQ1649">
        <v>10</v>
      </c>
      <c r="AR1649" t="s">
        <v>123</v>
      </c>
      <c r="AS1649" t="s">
        <v>124</v>
      </c>
      <c r="AT1649" t="s">
        <v>58</v>
      </c>
      <c r="AU1649" t="s">
        <v>68</v>
      </c>
      <c r="AV1649" t="s">
        <v>69</v>
      </c>
      <c r="AW1649" s="1">
        <v>22956</v>
      </c>
      <c r="AX1649">
        <v>2</v>
      </c>
    </row>
    <row r="1650" spans="1:50">
      <c r="A1650">
        <v>202931</v>
      </c>
      <c r="B1650" t="str">
        <f>"114594463"</f>
        <v>114594463</v>
      </c>
      <c r="C1650" t="s">
        <v>50</v>
      </c>
      <c r="D1650" t="s">
        <v>3603</v>
      </c>
      <c r="E1650" t="s">
        <v>215</v>
      </c>
      <c r="F1650" t="s">
        <v>72</v>
      </c>
      <c r="G1650" t="s">
        <v>3604</v>
      </c>
      <c r="H1650" t="str">
        <f>" "</f>
        <v xml:space="preserve"> </v>
      </c>
      <c r="J1650">
        <v>2810238730</v>
      </c>
      <c r="K1650">
        <v>6938475949</v>
      </c>
      <c r="N1650" t="s">
        <v>246</v>
      </c>
      <c r="O1650" t="s">
        <v>247</v>
      </c>
      <c r="R1650" t="s">
        <v>57</v>
      </c>
      <c r="S1650">
        <v>8</v>
      </c>
      <c r="T1650">
        <v>231</v>
      </c>
      <c r="U1650" s="1">
        <v>38230</v>
      </c>
      <c r="V1650" t="s">
        <v>123</v>
      </c>
      <c r="W1650" t="s">
        <v>124</v>
      </c>
      <c r="X1650" t="s">
        <v>58</v>
      </c>
      <c r="Y1650">
        <v>20</v>
      </c>
      <c r="Z1650" t="s">
        <v>59</v>
      </c>
      <c r="AA1650" t="s">
        <v>59</v>
      </c>
      <c r="AB1650" t="s">
        <v>59</v>
      </c>
      <c r="AC1650" t="s">
        <v>59</v>
      </c>
      <c r="AD1650" t="s">
        <v>59</v>
      </c>
      <c r="AF1650" s="1">
        <v>38232</v>
      </c>
      <c r="AG1650" t="s">
        <v>148</v>
      </c>
      <c r="AH1650" t="s">
        <v>149</v>
      </c>
      <c r="AI1650" t="str">
        <f>"1778010"</f>
        <v>1778010</v>
      </c>
      <c r="AJ1650" t="s">
        <v>672</v>
      </c>
      <c r="AK1650">
        <v>2810822455</v>
      </c>
      <c r="AL1650" t="s">
        <v>673</v>
      </c>
      <c r="AM1650" t="s">
        <v>78</v>
      </c>
      <c r="AN1650" t="s">
        <v>129</v>
      </c>
      <c r="AO1650" t="s">
        <v>130</v>
      </c>
      <c r="AP1650" t="s">
        <v>130</v>
      </c>
      <c r="AQ1650">
        <v>36</v>
      </c>
      <c r="AR1650" t="s">
        <v>123</v>
      </c>
      <c r="AS1650" t="s">
        <v>124</v>
      </c>
      <c r="AT1650" t="s">
        <v>58</v>
      </c>
      <c r="AU1650" t="s">
        <v>68</v>
      </c>
      <c r="AV1650" t="s">
        <v>69</v>
      </c>
      <c r="AW1650" s="1">
        <v>27142</v>
      </c>
      <c r="AX1650">
        <v>2</v>
      </c>
    </row>
    <row r="1651" spans="1:50">
      <c r="A1651">
        <v>226798</v>
      </c>
      <c r="B1651" t="str">
        <f>"070991306"</f>
        <v>070991306</v>
      </c>
      <c r="C1651" t="s">
        <v>50</v>
      </c>
      <c r="D1651" t="s">
        <v>3605</v>
      </c>
      <c r="E1651" t="s">
        <v>2297</v>
      </c>
      <c r="F1651" t="s">
        <v>106</v>
      </c>
      <c r="G1651" t="s">
        <v>714</v>
      </c>
      <c r="H1651" t="str">
        <f>"ΘΕΟΤΟΚΟΥ 32 ΗΡΑΚΛΕΙΟ"</f>
        <v>ΘΕΟΤΟΚΟΥ 32 ΗΡΑΚΛΕΙΟ</v>
      </c>
      <c r="I1651">
        <v>71414</v>
      </c>
      <c r="J1651">
        <v>2810250160</v>
      </c>
      <c r="K1651">
        <v>6972162568</v>
      </c>
      <c r="M1651" t="s">
        <v>3606</v>
      </c>
      <c r="N1651" t="s">
        <v>146</v>
      </c>
      <c r="O1651" t="s">
        <v>147</v>
      </c>
      <c r="R1651" t="s">
        <v>57</v>
      </c>
      <c r="S1651">
        <v>4</v>
      </c>
      <c r="T1651">
        <v>654</v>
      </c>
      <c r="U1651" s="1">
        <v>40043</v>
      </c>
      <c r="V1651" t="s">
        <v>123</v>
      </c>
      <c r="W1651" t="s">
        <v>124</v>
      </c>
      <c r="X1651" t="s">
        <v>58</v>
      </c>
      <c r="Y1651">
        <v>21</v>
      </c>
      <c r="Z1651" t="s">
        <v>59</v>
      </c>
      <c r="AA1651" t="s">
        <v>59</v>
      </c>
      <c r="AB1651" t="s">
        <v>59</v>
      </c>
      <c r="AC1651" t="s">
        <v>59</v>
      </c>
      <c r="AD1651" t="s">
        <v>59</v>
      </c>
      <c r="AF1651" s="1">
        <v>40043</v>
      </c>
      <c r="AG1651" t="s">
        <v>125</v>
      </c>
      <c r="AH1651" t="s">
        <v>126</v>
      </c>
      <c r="AI1651" t="str">
        <f>"1721010"</f>
        <v>1721010</v>
      </c>
      <c r="AJ1651" t="s">
        <v>462</v>
      </c>
      <c r="AK1651">
        <v>2892031207</v>
      </c>
      <c r="AL1651" t="s">
        <v>463</v>
      </c>
      <c r="AM1651" t="s">
        <v>78</v>
      </c>
      <c r="AN1651" t="s">
        <v>405</v>
      </c>
      <c r="AO1651" t="s">
        <v>405</v>
      </c>
      <c r="AP1651" t="s">
        <v>464</v>
      </c>
      <c r="AQ1651">
        <v>33</v>
      </c>
      <c r="AR1651" t="s">
        <v>123</v>
      </c>
      <c r="AS1651" t="s">
        <v>124</v>
      </c>
      <c r="AT1651" t="s">
        <v>58</v>
      </c>
      <c r="AU1651" t="s">
        <v>68</v>
      </c>
      <c r="AV1651" t="s">
        <v>69</v>
      </c>
      <c r="AW1651" s="1">
        <v>29424</v>
      </c>
      <c r="AX1651">
        <v>2</v>
      </c>
    </row>
    <row r="1652" spans="1:50">
      <c r="A1652">
        <v>223702</v>
      </c>
      <c r="B1652" t="str">
        <f>"070953387"</f>
        <v>070953387</v>
      </c>
      <c r="C1652" t="s">
        <v>105</v>
      </c>
      <c r="D1652" t="s">
        <v>3607</v>
      </c>
      <c r="E1652" t="s">
        <v>450</v>
      </c>
      <c r="F1652" t="s">
        <v>53</v>
      </c>
      <c r="G1652" t="s">
        <v>191</v>
      </c>
      <c r="H1652" t="str">
        <f>"ΚΑΛΛΙΠΟΛΕΩΣ 62 "</f>
        <v xml:space="preserve">ΚΑΛΛΙΠΟΛΕΩΣ 62 </v>
      </c>
      <c r="I1652">
        <v>71306</v>
      </c>
      <c r="J1652">
        <v>2810236848</v>
      </c>
      <c r="K1652">
        <v>6977859349</v>
      </c>
      <c r="M1652" t="s">
        <v>3608</v>
      </c>
      <c r="N1652" t="s">
        <v>199</v>
      </c>
      <c r="O1652" t="s">
        <v>200</v>
      </c>
      <c r="R1652" t="s">
        <v>57</v>
      </c>
      <c r="S1652">
        <v>10</v>
      </c>
      <c r="T1652">
        <v>775</v>
      </c>
      <c r="U1652" s="1">
        <v>39680</v>
      </c>
      <c r="V1652" t="s">
        <v>123</v>
      </c>
      <c r="W1652" t="s">
        <v>124</v>
      </c>
      <c r="X1652" t="s">
        <v>58</v>
      </c>
      <c r="Y1652">
        <v>21</v>
      </c>
      <c r="Z1652" t="s">
        <v>59</v>
      </c>
      <c r="AA1652" t="s">
        <v>59</v>
      </c>
      <c r="AB1652" t="s">
        <v>59</v>
      </c>
      <c r="AC1652" t="s">
        <v>59</v>
      </c>
      <c r="AD1652" t="s">
        <v>59</v>
      </c>
      <c r="AF1652" s="1">
        <v>39681</v>
      </c>
      <c r="AG1652" t="s">
        <v>125</v>
      </c>
      <c r="AH1652" t="s">
        <v>126</v>
      </c>
      <c r="AI1652" t="str">
        <f>"1713010"</f>
        <v>1713010</v>
      </c>
      <c r="AJ1652" t="s">
        <v>369</v>
      </c>
      <c r="AK1652">
        <v>2892051686</v>
      </c>
      <c r="AL1652" t="s">
        <v>370</v>
      </c>
      <c r="AM1652" t="s">
        <v>78</v>
      </c>
      <c r="AN1652" t="s">
        <v>242</v>
      </c>
      <c r="AO1652" t="s">
        <v>349</v>
      </c>
      <c r="AP1652" t="s">
        <v>349</v>
      </c>
      <c r="AQ1652">
        <v>35</v>
      </c>
      <c r="AR1652" t="s">
        <v>123</v>
      </c>
      <c r="AS1652" t="s">
        <v>124</v>
      </c>
      <c r="AT1652" t="s">
        <v>58</v>
      </c>
      <c r="AU1652" t="s">
        <v>68</v>
      </c>
      <c r="AV1652" t="s">
        <v>69</v>
      </c>
      <c r="AW1652" s="1">
        <v>29180</v>
      </c>
      <c r="AX1652">
        <v>2</v>
      </c>
    </row>
    <row r="1653" spans="1:50">
      <c r="A1653">
        <v>221815</v>
      </c>
      <c r="B1653" t="str">
        <f>"109075945"</f>
        <v>109075945</v>
      </c>
      <c r="C1653" t="s">
        <v>105</v>
      </c>
      <c r="D1653" t="s">
        <v>3609</v>
      </c>
      <c r="E1653" t="s">
        <v>95</v>
      </c>
      <c r="F1653" t="s">
        <v>377</v>
      </c>
      <c r="G1653" t="s">
        <v>73</v>
      </c>
      <c r="H1653" t="str">
        <f>"25η ΜΑΡΤΙΟΥ 291 ΜΟΙΡΕΣ"</f>
        <v>25η ΜΑΡΤΙΟΥ 291 ΜΟΙΡΕΣ</v>
      </c>
      <c r="I1653">
        <v>70400</v>
      </c>
      <c r="J1653">
        <v>2322030008</v>
      </c>
      <c r="K1653">
        <v>6946578853</v>
      </c>
      <c r="L1653">
        <v>2892024230</v>
      </c>
      <c r="M1653" t="s">
        <v>3610</v>
      </c>
      <c r="N1653" t="s">
        <v>157</v>
      </c>
      <c r="O1653" t="s">
        <v>158</v>
      </c>
      <c r="R1653" t="s">
        <v>57</v>
      </c>
      <c r="S1653">
        <v>6</v>
      </c>
      <c r="T1653">
        <v>775</v>
      </c>
      <c r="U1653" s="1">
        <v>39680</v>
      </c>
      <c r="V1653" t="s">
        <v>123</v>
      </c>
      <c r="W1653" t="s">
        <v>124</v>
      </c>
      <c r="X1653" t="s">
        <v>58</v>
      </c>
      <c r="Y1653">
        <v>21</v>
      </c>
      <c r="Z1653" t="s">
        <v>59</v>
      </c>
      <c r="AA1653" t="s">
        <v>59</v>
      </c>
      <c r="AB1653" t="s">
        <v>59</v>
      </c>
      <c r="AC1653" t="s">
        <v>59</v>
      </c>
      <c r="AD1653" t="s">
        <v>452</v>
      </c>
      <c r="AE1653" s="1">
        <v>43708</v>
      </c>
      <c r="AF1653" s="1">
        <v>39685</v>
      </c>
      <c r="AG1653" t="s">
        <v>60</v>
      </c>
      <c r="AH1653" t="s">
        <v>453</v>
      </c>
      <c r="AI1653" t="str">
        <f>"1700105"</f>
        <v>1700105</v>
      </c>
      <c r="AJ1653" t="s">
        <v>124</v>
      </c>
      <c r="AK1653">
        <v>2810333720</v>
      </c>
      <c r="AL1653" t="s">
        <v>454</v>
      </c>
      <c r="AM1653" t="s">
        <v>78</v>
      </c>
      <c r="AN1653" t="s">
        <v>78</v>
      </c>
      <c r="AO1653" t="s">
        <v>78</v>
      </c>
      <c r="AP1653" t="s">
        <v>79</v>
      </c>
      <c r="AS1653" t="s">
        <v>124</v>
      </c>
      <c r="AT1653" t="s">
        <v>58</v>
      </c>
      <c r="AU1653" t="s">
        <v>68</v>
      </c>
      <c r="AV1653" t="s">
        <v>455</v>
      </c>
      <c r="AW1653" s="1">
        <v>27206</v>
      </c>
      <c r="AX1653">
        <v>2</v>
      </c>
    </row>
    <row r="1654" spans="1:50">
      <c r="A1654">
        <v>201938</v>
      </c>
      <c r="B1654" t="str">
        <f>"063444230"</f>
        <v>063444230</v>
      </c>
      <c r="C1654" t="s">
        <v>50</v>
      </c>
      <c r="D1654" t="s">
        <v>3611</v>
      </c>
      <c r="E1654" t="s">
        <v>250</v>
      </c>
      <c r="F1654" t="s">
        <v>53</v>
      </c>
      <c r="G1654" t="s">
        <v>352</v>
      </c>
      <c r="H1654" t="str">
        <f>"ΔΑΒΑΚΗ 21 ΠΟΡΟΣ"</f>
        <v>ΔΑΒΑΚΗ 21 ΠΟΡΟΣ</v>
      </c>
      <c r="J1654">
        <v>2810245306</v>
      </c>
      <c r="K1654">
        <v>6946331142</v>
      </c>
      <c r="M1654" t="s">
        <v>3612</v>
      </c>
      <c r="N1654" t="s">
        <v>146</v>
      </c>
      <c r="O1654" t="s">
        <v>147</v>
      </c>
      <c r="R1654" t="s">
        <v>57</v>
      </c>
      <c r="S1654">
        <v>9</v>
      </c>
      <c r="T1654">
        <v>231</v>
      </c>
      <c r="U1654" s="1">
        <v>38230</v>
      </c>
      <c r="V1654" t="s">
        <v>123</v>
      </c>
      <c r="W1654" t="s">
        <v>124</v>
      </c>
      <c r="X1654" t="s">
        <v>58</v>
      </c>
      <c r="Y1654">
        <v>20</v>
      </c>
      <c r="Z1654" t="s">
        <v>59</v>
      </c>
      <c r="AA1654" t="s">
        <v>59</v>
      </c>
      <c r="AB1654" t="s">
        <v>59</v>
      </c>
      <c r="AC1654" t="s">
        <v>59</v>
      </c>
      <c r="AD1654" t="s">
        <v>59</v>
      </c>
      <c r="AF1654" s="1">
        <v>38232</v>
      </c>
      <c r="AG1654" t="s">
        <v>148</v>
      </c>
      <c r="AH1654" t="s">
        <v>149</v>
      </c>
      <c r="AI1654" t="str">
        <f>"1751041"</f>
        <v>1751041</v>
      </c>
      <c r="AJ1654" t="s">
        <v>353</v>
      </c>
      <c r="AK1654">
        <v>2810230207</v>
      </c>
      <c r="AL1654" t="s">
        <v>354</v>
      </c>
      <c r="AM1654" t="s">
        <v>78</v>
      </c>
      <c r="AN1654" t="s">
        <v>78</v>
      </c>
      <c r="AO1654" t="s">
        <v>78</v>
      </c>
      <c r="AP1654" t="s">
        <v>163</v>
      </c>
      <c r="AQ1654">
        <v>2</v>
      </c>
      <c r="AR1654" t="s">
        <v>123</v>
      </c>
      <c r="AS1654" t="s">
        <v>124</v>
      </c>
      <c r="AT1654" t="s">
        <v>58</v>
      </c>
      <c r="AU1654" t="s">
        <v>68</v>
      </c>
      <c r="AV1654" t="s">
        <v>69</v>
      </c>
      <c r="AW1654" s="1">
        <v>26977</v>
      </c>
      <c r="AX1654">
        <v>2</v>
      </c>
    </row>
    <row r="1655" spans="1:50">
      <c r="B1655" t="str">
        <f>"079881400"</f>
        <v>079881400</v>
      </c>
      <c r="C1655" t="s">
        <v>50</v>
      </c>
      <c r="D1655" t="s">
        <v>3611</v>
      </c>
      <c r="E1655" t="s">
        <v>52</v>
      </c>
      <c r="F1655" t="s">
        <v>53</v>
      </c>
      <c r="G1655" t="s">
        <v>855</v>
      </c>
      <c r="H1655" t="str">
        <f>"ΦΑΙΣΤΟΥ 4 ΜΕΣΑΜΠΕΛΙΕΣ"</f>
        <v>ΦΑΙΣΤΟΥ 4 ΜΕΣΑΜΠΕΛΙΕΣ</v>
      </c>
      <c r="I1655">
        <v>71409</v>
      </c>
      <c r="K1655">
        <v>6973382368</v>
      </c>
      <c r="M1655" t="s">
        <v>3613</v>
      </c>
      <c r="N1655" t="s">
        <v>653</v>
      </c>
      <c r="O1655" t="s">
        <v>654</v>
      </c>
      <c r="R1655" t="s">
        <v>159</v>
      </c>
      <c r="S1655">
        <v>7</v>
      </c>
      <c r="T1655" t="s">
        <v>344</v>
      </c>
      <c r="U1655" s="1">
        <v>43348</v>
      </c>
      <c r="V1655" t="s">
        <v>123</v>
      </c>
      <c r="W1655" t="s">
        <v>124</v>
      </c>
      <c r="X1655" t="s">
        <v>58</v>
      </c>
      <c r="Y1655">
        <v>21</v>
      </c>
      <c r="Z1655" t="s">
        <v>59</v>
      </c>
      <c r="AA1655" t="s">
        <v>59</v>
      </c>
      <c r="AB1655" t="s">
        <v>59</v>
      </c>
      <c r="AC1655" t="s">
        <v>59</v>
      </c>
      <c r="AD1655" t="s">
        <v>59</v>
      </c>
      <c r="AF1655" s="1">
        <v>43348</v>
      </c>
      <c r="AG1655" t="s">
        <v>125</v>
      </c>
      <c r="AH1655" t="s">
        <v>590</v>
      </c>
      <c r="AI1655" t="str">
        <f>"1740060"</f>
        <v>1740060</v>
      </c>
      <c r="AJ1655" t="s">
        <v>591</v>
      </c>
      <c r="AK1655">
        <v>2810232117</v>
      </c>
      <c r="AL1655" t="s">
        <v>592</v>
      </c>
      <c r="AM1655" t="s">
        <v>78</v>
      </c>
      <c r="AN1655" t="s">
        <v>78</v>
      </c>
      <c r="AO1655" t="s">
        <v>78</v>
      </c>
      <c r="AP1655" t="s">
        <v>141</v>
      </c>
      <c r="AQ1655">
        <v>11</v>
      </c>
      <c r="AR1655" t="s">
        <v>123</v>
      </c>
      <c r="AS1655" t="s">
        <v>124</v>
      </c>
      <c r="AT1655" t="s">
        <v>58</v>
      </c>
      <c r="AU1655" t="s">
        <v>350</v>
      </c>
      <c r="AV1655" t="s">
        <v>132</v>
      </c>
      <c r="AW1655" s="1">
        <v>26856</v>
      </c>
      <c r="AX1655">
        <v>2</v>
      </c>
    </row>
    <row r="1656" spans="1:50">
      <c r="A1656">
        <v>189835</v>
      </c>
      <c r="B1656" t="str">
        <f>"030964727"</f>
        <v>030964727</v>
      </c>
      <c r="C1656" t="s">
        <v>105</v>
      </c>
      <c r="D1656" t="s">
        <v>3614</v>
      </c>
      <c r="E1656" t="s">
        <v>450</v>
      </c>
      <c r="F1656" t="s">
        <v>1392</v>
      </c>
      <c r="G1656" t="s">
        <v>52</v>
      </c>
      <c r="H1656" t="str">
        <f>"ΠΕΙΡΑΙΩΣ 4 ΒΑΣΙΛΕΙΕΣ"</f>
        <v>ΠΕΙΡΑΙΩΣ 4 ΒΑΣΙΛΕΙΕΣ</v>
      </c>
      <c r="I1656">
        <v>71500</v>
      </c>
      <c r="K1656">
        <v>6944650504</v>
      </c>
      <c r="M1656" t="s">
        <v>3615</v>
      </c>
      <c r="N1656" t="s">
        <v>292</v>
      </c>
      <c r="O1656" t="s">
        <v>293</v>
      </c>
      <c r="R1656" t="s">
        <v>57</v>
      </c>
      <c r="S1656">
        <v>8</v>
      </c>
      <c r="T1656">
        <v>219</v>
      </c>
      <c r="U1656" s="1">
        <v>37134</v>
      </c>
      <c r="V1656" t="s">
        <v>123</v>
      </c>
      <c r="W1656" t="s">
        <v>124</v>
      </c>
      <c r="X1656" t="s">
        <v>58</v>
      </c>
      <c r="Y1656">
        <v>20</v>
      </c>
      <c r="Z1656" t="s">
        <v>59</v>
      </c>
      <c r="AA1656" t="s">
        <v>59</v>
      </c>
      <c r="AB1656" t="s">
        <v>59</v>
      </c>
      <c r="AC1656" t="s">
        <v>59</v>
      </c>
      <c r="AD1656" t="s">
        <v>59</v>
      </c>
      <c r="AF1656" s="1">
        <v>37144</v>
      </c>
      <c r="AG1656" t="s">
        <v>148</v>
      </c>
      <c r="AH1656" t="s">
        <v>149</v>
      </c>
      <c r="AI1656" t="str">
        <f>"1790100"</f>
        <v>1790100</v>
      </c>
      <c r="AJ1656" t="s">
        <v>252</v>
      </c>
      <c r="AK1656">
        <v>2810234876</v>
      </c>
      <c r="AL1656" t="s">
        <v>253</v>
      </c>
      <c r="AM1656" t="s">
        <v>78</v>
      </c>
      <c r="AN1656" t="s">
        <v>78</v>
      </c>
      <c r="AO1656" t="s">
        <v>78</v>
      </c>
      <c r="AP1656" t="s">
        <v>163</v>
      </c>
      <c r="AQ1656">
        <v>5</v>
      </c>
      <c r="AR1656" t="s">
        <v>123</v>
      </c>
      <c r="AS1656" t="s">
        <v>124</v>
      </c>
      <c r="AT1656" t="s">
        <v>58</v>
      </c>
      <c r="AU1656" t="s">
        <v>68</v>
      </c>
      <c r="AV1656" t="s">
        <v>357</v>
      </c>
      <c r="AW1656" s="1">
        <v>21748</v>
      </c>
      <c r="AX1656">
        <v>2</v>
      </c>
    </row>
    <row r="1657" spans="1:50">
      <c r="A1657">
        <v>214106</v>
      </c>
      <c r="B1657" t="str">
        <f>"053015924"</f>
        <v>053015924</v>
      </c>
      <c r="C1657" t="s">
        <v>50</v>
      </c>
      <c r="D1657" t="s">
        <v>3616</v>
      </c>
      <c r="E1657" t="s">
        <v>255</v>
      </c>
      <c r="F1657" t="s">
        <v>106</v>
      </c>
      <c r="G1657" t="s">
        <v>143</v>
      </c>
      <c r="H1657" t="str">
        <f>"ΣΟΡΒΟΛΟΥ 3 ΗΡΑΚΛΕΙΟ"</f>
        <v>ΣΟΡΒΟΛΟΥ 3 ΗΡΑΚΛΕΙΟ</v>
      </c>
      <c r="I1657">
        <v>71305</v>
      </c>
      <c r="J1657">
        <v>2810234105</v>
      </c>
      <c r="K1657">
        <v>6945738707</v>
      </c>
      <c r="M1657" t="s">
        <v>3617</v>
      </c>
      <c r="N1657" t="s">
        <v>288</v>
      </c>
      <c r="O1657" t="s">
        <v>289</v>
      </c>
      <c r="R1657" t="s">
        <v>57</v>
      </c>
      <c r="S1657">
        <v>8</v>
      </c>
      <c r="T1657">
        <v>231</v>
      </c>
      <c r="U1657" s="1">
        <v>38960</v>
      </c>
      <c r="V1657" t="s">
        <v>123</v>
      </c>
      <c r="W1657" t="s">
        <v>124</v>
      </c>
      <c r="X1657" t="s">
        <v>58</v>
      </c>
      <c r="Y1657">
        <v>20</v>
      </c>
      <c r="Z1657" t="s">
        <v>59</v>
      </c>
      <c r="AA1657" t="s">
        <v>59</v>
      </c>
      <c r="AB1657" t="s">
        <v>59</v>
      </c>
      <c r="AC1657" t="s">
        <v>59</v>
      </c>
      <c r="AD1657" t="s">
        <v>59</v>
      </c>
      <c r="AF1657" s="1">
        <v>38961</v>
      </c>
      <c r="AG1657" t="s">
        <v>125</v>
      </c>
      <c r="AH1657" t="s">
        <v>126</v>
      </c>
      <c r="AI1657" t="str">
        <f>"1714012"</f>
        <v>1714012</v>
      </c>
      <c r="AJ1657" t="s">
        <v>633</v>
      </c>
      <c r="AK1657">
        <v>2810762261</v>
      </c>
      <c r="AL1657" t="s">
        <v>634</v>
      </c>
      <c r="AM1657" t="s">
        <v>78</v>
      </c>
      <c r="AN1657" t="s">
        <v>219</v>
      </c>
      <c r="AO1657" t="s">
        <v>297</v>
      </c>
      <c r="AP1657" t="s">
        <v>297</v>
      </c>
      <c r="AQ1657">
        <v>37</v>
      </c>
      <c r="AR1657" t="s">
        <v>123</v>
      </c>
      <c r="AS1657" t="s">
        <v>124</v>
      </c>
      <c r="AT1657" t="s">
        <v>58</v>
      </c>
      <c r="AU1657" t="s">
        <v>68</v>
      </c>
      <c r="AV1657" t="s">
        <v>69</v>
      </c>
      <c r="AW1657" s="1">
        <v>25003</v>
      </c>
      <c r="AX1657">
        <v>2</v>
      </c>
    </row>
    <row r="1658" spans="1:50">
      <c r="A1658">
        <v>196317</v>
      </c>
      <c r="B1658" t="str">
        <f>"034667750"</f>
        <v>034667750</v>
      </c>
      <c r="C1658" t="s">
        <v>50</v>
      </c>
      <c r="D1658" t="s">
        <v>3618</v>
      </c>
      <c r="E1658" t="s">
        <v>83</v>
      </c>
      <c r="F1658" t="s">
        <v>900</v>
      </c>
      <c r="G1658" t="s">
        <v>2719</v>
      </c>
      <c r="H1658" t="str">
        <f>" "</f>
        <v xml:space="preserve"> </v>
      </c>
      <c r="J1658">
        <v>2810240639</v>
      </c>
      <c r="K1658">
        <v>6945776900</v>
      </c>
      <c r="N1658" t="s">
        <v>299</v>
      </c>
      <c r="O1658" t="s">
        <v>300</v>
      </c>
      <c r="R1658" t="s">
        <v>57</v>
      </c>
      <c r="S1658">
        <v>13</v>
      </c>
      <c r="T1658">
        <v>3</v>
      </c>
      <c r="U1658" s="1">
        <v>37263</v>
      </c>
      <c r="V1658" t="s">
        <v>123</v>
      </c>
      <c r="W1658" t="s">
        <v>124</v>
      </c>
      <c r="X1658" t="s">
        <v>58</v>
      </c>
      <c r="Y1658">
        <v>20</v>
      </c>
      <c r="Z1658" t="s">
        <v>59</v>
      </c>
      <c r="AA1658" t="s">
        <v>59</v>
      </c>
      <c r="AB1658" t="s">
        <v>59</v>
      </c>
      <c r="AC1658" t="s">
        <v>59</v>
      </c>
      <c r="AD1658" t="s">
        <v>59</v>
      </c>
      <c r="AF1658" s="1">
        <v>37468</v>
      </c>
      <c r="AG1658" t="s">
        <v>137</v>
      </c>
      <c r="AH1658" t="s">
        <v>138</v>
      </c>
      <c r="AI1658" t="str">
        <f>"1740070"</f>
        <v>1740070</v>
      </c>
      <c r="AJ1658" t="s">
        <v>206</v>
      </c>
      <c r="AK1658">
        <v>2810324880</v>
      </c>
      <c r="AL1658" t="s">
        <v>207</v>
      </c>
      <c r="AM1658" t="s">
        <v>78</v>
      </c>
      <c r="AN1658" t="s">
        <v>78</v>
      </c>
      <c r="AO1658" t="s">
        <v>78</v>
      </c>
      <c r="AP1658" t="s">
        <v>163</v>
      </c>
      <c r="AQ1658">
        <v>9</v>
      </c>
      <c r="AR1658" t="s">
        <v>123</v>
      </c>
      <c r="AS1658" t="s">
        <v>124</v>
      </c>
      <c r="AT1658" t="s">
        <v>58</v>
      </c>
      <c r="AU1658" t="s">
        <v>68</v>
      </c>
      <c r="AV1658" t="s">
        <v>69</v>
      </c>
      <c r="AW1658" s="1">
        <v>21867</v>
      </c>
      <c r="AX1658">
        <v>2</v>
      </c>
    </row>
    <row r="1659" spans="1:50">
      <c r="A1659">
        <v>223527</v>
      </c>
      <c r="B1659" t="str">
        <f>"062424895"</f>
        <v>062424895</v>
      </c>
      <c r="C1659" t="s">
        <v>105</v>
      </c>
      <c r="D1659" t="s">
        <v>3619</v>
      </c>
      <c r="E1659" t="s">
        <v>72</v>
      </c>
      <c r="F1659" t="s">
        <v>95</v>
      </c>
      <c r="G1659" t="s">
        <v>191</v>
      </c>
      <c r="H1659" t="str">
        <f>"ΚΑΒΑΛΑΣ 5 ΗΡΑΚΛΕΙΟ"</f>
        <v>ΚΑΒΑΛΑΣ 5 ΗΡΑΚΛΕΙΟ</v>
      </c>
      <c r="I1659">
        <v>71307</v>
      </c>
      <c r="J1659">
        <v>2810212490</v>
      </c>
      <c r="K1659">
        <v>6976773017</v>
      </c>
      <c r="L1659">
        <v>2810224441</v>
      </c>
      <c r="M1659" t="s">
        <v>3620</v>
      </c>
      <c r="N1659" t="s">
        <v>232</v>
      </c>
      <c r="O1659" t="s">
        <v>233</v>
      </c>
      <c r="R1659" t="s">
        <v>57</v>
      </c>
      <c r="S1659">
        <v>8</v>
      </c>
      <c r="T1659">
        <v>775</v>
      </c>
      <c r="U1659" s="1">
        <v>39680</v>
      </c>
      <c r="V1659" t="s">
        <v>123</v>
      </c>
      <c r="W1659" t="s">
        <v>124</v>
      </c>
      <c r="X1659" t="s">
        <v>58</v>
      </c>
      <c r="Y1659">
        <v>20</v>
      </c>
      <c r="Z1659" t="s">
        <v>59</v>
      </c>
      <c r="AA1659" t="s">
        <v>59</v>
      </c>
      <c r="AB1659" t="s">
        <v>59</v>
      </c>
      <c r="AC1659" t="s">
        <v>59</v>
      </c>
      <c r="AD1659" t="s">
        <v>59</v>
      </c>
      <c r="AF1659" s="1">
        <v>39692</v>
      </c>
      <c r="AG1659" t="s">
        <v>125</v>
      </c>
      <c r="AH1659" t="s">
        <v>294</v>
      </c>
      <c r="AI1659" t="str">
        <f>"1701015"</f>
        <v>1701015</v>
      </c>
      <c r="AJ1659" t="s">
        <v>295</v>
      </c>
      <c r="AK1659">
        <v>2810761696</v>
      </c>
      <c r="AL1659" t="s">
        <v>296</v>
      </c>
      <c r="AM1659" t="s">
        <v>78</v>
      </c>
      <c r="AN1659" t="s">
        <v>219</v>
      </c>
      <c r="AO1659" t="s">
        <v>297</v>
      </c>
      <c r="AP1659" t="s">
        <v>297</v>
      </c>
      <c r="AQ1659">
        <v>10</v>
      </c>
      <c r="AR1659" t="s">
        <v>123</v>
      </c>
      <c r="AS1659" t="s">
        <v>124</v>
      </c>
      <c r="AT1659" t="s">
        <v>58</v>
      </c>
      <c r="AU1659" t="s">
        <v>68</v>
      </c>
      <c r="AV1659" t="s">
        <v>69</v>
      </c>
      <c r="AW1659" s="1">
        <v>28093</v>
      </c>
      <c r="AX1659">
        <v>2</v>
      </c>
    </row>
    <row r="1660" spans="1:50">
      <c r="A1660">
        <v>174221</v>
      </c>
      <c r="B1660" t="str">
        <f>"037581172"</f>
        <v>037581172</v>
      </c>
      <c r="C1660" t="s">
        <v>50</v>
      </c>
      <c r="D1660" t="s">
        <v>3621</v>
      </c>
      <c r="E1660" t="s">
        <v>52</v>
      </c>
      <c r="F1660" t="s">
        <v>53</v>
      </c>
      <c r="G1660" t="s">
        <v>3465</v>
      </c>
      <c r="H1660" t="str">
        <f>"ΕΜΜΑΝΟΥΗΛ ΤΖΑΝΕ 14 ΚΑΤΣΑΜΠΑΣ"</f>
        <v>ΕΜΜΑΝΟΥΗΛ ΤΖΑΝΕ 14 ΚΑΤΣΑΜΠΑΣ</v>
      </c>
      <c r="I1660">
        <v>71307</v>
      </c>
      <c r="J1660">
        <v>2810242378</v>
      </c>
      <c r="K1660">
        <v>6938551096</v>
      </c>
      <c r="M1660" t="s">
        <v>3622</v>
      </c>
      <c r="N1660" t="s">
        <v>683</v>
      </c>
      <c r="O1660" t="s">
        <v>684</v>
      </c>
      <c r="R1660" t="s">
        <v>57</v>
      </c>
      <c r="S1660">
        <v>10</v>
      </c>
      <c r="T1660">
        <v>166</v>
      </c>
      <c r="U1660" s="1">
        <v>35300</v>
      </c>
      <c r="V1660" t="s">
        <v>123</v>
      </c>
      <c r="W1660" t="s">
        <v>124</v>
      </c>
      <c r="X1660" t="s">
        <v>58</v>
      </c>
      <c r="Y1660">
        <v>18</v>
      </c>
      <c r="Z1660" t="s">
        <v>59</v>
      </c>
      <c r="AA1660" t="s">
        <v>59</v>
      </c>
      <c r="AB1660" t="s">
        <v>59</v>
      </c>
      <c r="AC1660" t="s">
        <v>59</v>
      </c>
      <c r="AD1660" t="s">
        <v>59</v>
      </c>
      <c r="AF1660" s="1">
        <v>35300</v>
      </c>
      <c r="AG1660" t="s">
        <v>125</v>
      </c>
      <c r="AH1660" t="s">
        <v>126</v>
      </c>
      <c r="AI1660" t="str">
        <f>"1727010"</f>
        <v>1727010</v>
      </c>
      <c r="AJ1660" t="s">
        <v>618</v>
      </c>
      <c r="AK1660">
        <v>2810229231</v>
      </c>
      <c r="AL1660" t="s">
        <v>619</v>
      </c>
      <c r="AM1660" t="s">
        <v>78</v>
      </c>
      <c r="AN1660" t="s">
        <v>78</v>
      </c>
      <c r="AO1660" t="s">
        <v>286</v>
      </c>
      <c r="AP1660" t="s">
        <v>286</v>
      </c>
      <c r="AQ1660">
        <v>12</v>
      </c>
      <c r="AR1660" t="s">
        <v>123</v>
      </c>
      <c r="AS1660" t="s">
        <v>124</v>
      </c>
      <c r="AT1660" t="s">
        <v>58</v>
      </c>
      <c r="AU1660" t="s">
        <v>68</v>
      </c>
      <c r="AV1660" t="s">
        <v>69</v>
      </c>
      <c r="AW1660" s="1">
        <v>25154</v>
      </c>
      <c r="AX1660">
        <v>2</v>
      </c>
    </row>
    <row r="1661" spans="1:50">
      <c r="B1661" t="str">
        <f>"133559177"</f>
        <v>133559177</v>
      </c>
      <c r="C1661" t="s">
        <v>50</v>
      </c>
      <c r="D1661" t="s">
        <v>3623</v>
      </c>
      <c r="E1661" t="s">
        <v>250</v>
      </c>
      <c r="F1661" t="s">
        <v>3049</v>
      </c>
      <c r="G1661" t="s">
        <v>3624</v>
      </c>
      <c r="H1661" t="str">
        <f>"ΠΑΤΣΙΔΕΡΟΣ ΗΡΑΚΛΕΙΟ"</f>
        <v>ΠΑΤΣΙΔΕΡΟΣ ΗΡΑΚΛΕΙΟ</v>
      </c>
      <c r="I1661">
        <v>70300</v>
      </c>
      <c r="J1661">
        <v>2891022144</v>
      </c>
      <c r="K1661">
        <v>6977530417</v>
      </c>
      <c r="N1661" t="s">
        <v>146</v>
      </c>
      <c r="O1661" t="s">
        <v>147</v>
      </c>
      <c r="R1661" t="s">
        <v>159</v>
      </c>
      <c r="S1661">
        <v>4</v>
      </c>
      <c r="T1661" t="s">
        <v>416</v>
      </c>
      <c r="U1661" s="1">
        <v>43349</v>
      </c>
      <c r="V1661" t="s">
        <v>123</v>
      </c>
      <c r="W1661" t="s">
        <v>124</v>
      </c>
      <c r="X1661" t="s">
        <v>58</v>
      </c>
      <c r="Y1661">
        <v>21</v>
      </c>
      <c r="Z1661" t="s">
        <v>59</v>
      </c>
      <c r="AA1661" t="s">
        <v>59</v>
      </c>
      <c r="AB1661" t="s">
        <v>59</v>
      </c>
      <c r="AC1661" t="s">
        <v>59</v>
      </c>
      <c r="AD1661" t="s">
        <v>59</v>
      </c>
      <c r="AF1661" s="1">
        <v>43349</v>
      </c>
      <c r="AG1661" t="s">
        <v>125</v>
      </c>
      <c r="AH1661" t="s">
        <v>126</v>
      </c>
      <c r="AI1661" t="str">
        <f>"1702010"</f>
        <v>1702010</v>
      </c>
      <c r="AJ1661" t="s">
        <v>604</v>
      </c>
      <c r="AK1661">
        <v>2891022228</v>
      </c>
      <c r="AL1661" t="s">
        <v>605</v>
      </c>
      <c r="AM1661" t="s">
        <v>78</v>
      </c>
      <c r="AN1661" t="s">
        <v>276</v>
      </c>
      <c r="AO1661" t="s">
        <v>490</v>
      </c>
      <c r="AP1661" t="s">
        <v>490</v>
      </c>
      <c r="AQ1661">
        <v>15</v>
      </c>
      <c r="AR1661" t="s">
        <v>123</v>
      </c>
      <c r="AS1661" t="s">
        <v>124</v>
      </c>
      <c r="AT1661" t="s">
        <v>58</v>
      </c>
      <c r="AU1661" t="s">
        <v>419</v>
      </c>
      <c r="AV1661" t="s">
        <v>132</v>
      </c>
      <c r="AW1661" s="1">
        <v>29446</v>
      </c>
      <c r="AX1661">
        <v>2</v>
      </c>
    </row>
    <row r="1662" spans="1:50">
      <c r="A1662">
        <v>218196</v>
      </c>
      <c r="B1662" t="str">
        <f>"114586696"</f>
        <v>114586696</v>
      </c>
      <c r="C1662" t="s">
        <v>50</v>
      </c>
      <c r="D1662" t="s">
        <v>3623</v>
      </c>
      <c r="E1662" t="s">
        <v>250</v>
      </c>
      <c r="F1662" t="s">
        <v>166</v>
      </c>
      <c r="G1662" t="s">
        <v>2297</v>
      </c>
      <c r="H1662" t="str">
        <f>"ΑΡΜΟΝΙΑΣ 12 ΑΓΙΟΣ ΙΩΑΝΝΗΣ"</f>
        <v>ΑΡΜΟΝΙΑΣ 12 ΑΓΙΟΣ ΙΩΑΝΝΗΣ</v>
      </c>
      <c r="I1662">
        <v>71409</v>
      </c>
      <c r="K1662">
        <v>6932419636</v>
      </c>
      <c r="N1662" t="s">
        <v>292</v>
      </c>
      <c r="O1662" t="s">
        <v>293</v>
      </c>
      <c r="R1662" t="s">
        <v>57</v>
      </c>
      <c r="S1662">
        <v>6</v>
      </c>
      <c r="T1662">
        <v>599</v>
      </c>
      <c r="U1662" s="1">
        <v>39310</v>
      </c>
      <c r="V1662" t="s">
        <v>123</v>
      </c>
      <c r="W1662" t="s">
        <v>124</v>
      </c>
      <c r="X1662" t="s">
        <v>58</v>
      </c>
      <c r="Y1662">
        <v>20</v>
      </c>
      <c r="Z1662" t="s">
        <v>59</v>
      </c>
      <c r="AA1662" t="s">
        <v>59</v>
      </c>
      <c r="AB1662" t="s">
        <v>59</v>
      </c>
      <c r="AC1662" t="s">
        <v>59</v>
      </c>
      <c r="AD1662" t="s">
        <v>59</v>
      </c>
      <c r="AF1662" s="1">
        <v>39328</v>
      </c>
      <c r="AG1662" t="s">
        <v>137</v>
      </c>
      <c r="AH1662" t="s">
        <v>138</v>
      </c>
      <c r="AI1662" t="str">
        <f>"1740070"</f>
        <v>1740070</v>
      </c>
      <c r="AJ1662" t="s">
        <v>206</v>
      </c>
      <c r="AK1662">
        <v>2810324880</v>
      </c>
      <c r="AL1662" t="s">
        <v>207</v>
      </c>
      <c r="AM1662" t="s">
        <v>78</v>
      </c>
      <c r="AN1662" t="s">
        <v>78</v>
      </c>
      <c r="AO1662" t="s">
        <v>78</v>
      </c>
      <c r="AP1662" t="s">
        <v>163</v>
      </c>
      <c r="AQ1662">
        <v>9</v>
      </c>
      <c r="AR1662" t="s">
        <v>123</v>
      </c>
      <c r="AS1662" t="s">
        <v>124</v>
      </c>
      <c r="AT1662" t="s">
        <v>58</v>
      </c>
      <c r="AU1662" t="s">
        <v>68</v>
      </c>
      <c r="AV1662" t="s">
        <v>69</v>
      </c>
      <c r="AW1662" s="1">
        <v>27808</v>
      </c>
      <c r="AX1662">
        <v>2</v>
      </c>
    </row>
    <row r="1663" spans="1:50">
      <c r="A1663">
        <v>207769</v>
      </c>
      <c r="B1663" t="str">
        <f>"039485155"</f>
        <v>039485155</v>
      </c>
      <c r="C1663" t="s">
        <v>50</v>
      </c>
      <c r="D1663" t="s">
        <v>3623</v>
      </c>
      <c r="E1663" t="s">
        <v>2923</v>
      </c>
      <c r="F1663" t="s">
        <v>936</v>
      </c>
      <c r="G1663" t="s">
        <v>112</v>
      </c>
      <c r="H1663" t="str">
        <f>"ΡΕΘΥΜΝΟΥ 13 ΗΡΑΚΛΕΙΟ"</f>
        <v>ΡΕΘΥΜΝΟΥ 13 ΗΡΑΚΛΕΙΟ</v>
      </c>
      <c r="I1663">
        <v>71303</v>
      </c>
      <c r="J1663">
        <v>2810312206</v>
      </c>
      <c r="K1663">
        <v>6976060394</v>
      </c>
      <c r="M1663" t="s">
        <v>3625</v>
      </c>
      <c r="N1663" t="s">
        <v>288</v>
      </c>
      <c r="O1663" t="s">
        <v>289</v>
      </c>
      <c r="R1663" t="s">
        <v>57</v>
      </c>
      <c r="S1663">
        <v>10</v>
      </c>
      <c r="T1663">
        <v>218</v>
      </c>
      <c r="U1663" s="1">
        <v>38596</v>
      </c>
      <c r="V1663" t="s">
        <v>123</v>
      </c>
      <c r="W1663" t="s">
        <v>124</v>
      </c>
      <c r="X1663" t="s">
        <v>58</v>
      </c>
      <c r="Y1663">
        <v>20</v>
      </c>
      <c r="Z1663" t="s">
        <v>59</v>
      </c>
      <c r="AA1663" t="s">
        <v>59</v>
      </c>
      <c r="AB1663" t="s">
        <v>59</v>
      </c>
      <c r="AC1663" t="s">
        <v>59</v>
      </c>
      <c r="AD1663" t="s">
        <v>59</v>
      </c>
      <c r="AF1663" s="1">
        <v>38603</v>
      </c>
      <c r="AG1663" t="s">
        <v>125</v>
      </c>
      <c r="AH1663" t="s">
        <v>126</v>
      </c>
      <c r="AI1663" t="str">
        <f>"1701020"</f>
        <v>1701020</v>
      </c>
      <c r="AJ1663" t="s">
        <v>323</v>
      </c>
      <c r="AK1663">
        <v>2810252111</v>
      </c>
      <c r="AL1663" t="s">
        <v>324</v>
      </c>
      <c r="AM1663" t="s">
        <v>78</v>
      </c>
      <c r="AN1663" t="s">
        <v>78</v>
      </c>
      <c r="AO1663" t="s">
        <v>78</v>
      </c>
      <c r="AP1663" t="s">
        <v>163</v>
      </c>
      <c r="AQ1663">
        <v>3</v>
      </c>
      <c r="AR1663" t="s">
        <v>123</v>
      </c>
      <c r="AS1663" t="s">
        <v>124</v>
      </c>
      <c r="AT1663" t="s">
        <v>58</v>
      </c>
      <c r="AU1663" t="s">
        <v>68</v>
      </c>
      <c r="AV1663" t="s">
        <v>69</v>
      </c>
      <c r="AW1663" s="1">
        <v>26020</v>
      </c>
      <c r="AX1663">
        <v>2</v>
      </c>
    </row>
    <row r="1664" spans="1:50">
      <c r="A1664">
        <v>223703</v>
      </c>
      <c r="B1664" t="str">
        <f>"057199908"</f>
        <v>057199908</v>
      </c>
      <c r="C1664" t="s">
        <v>50</v>
      </c>
      <c r="D1664" t="s">
        <v>3623</v>
      </c>
      <c r="E1664" t="s">
        <v>52</v>
      </c>
      <c r="F1664" t="s">
        <v>72</v>
      </c>
      <c r="G1664" t="s">
        <v>83</v>
      </c>
      <c r="H1664" t="str">
        <f>"ΠΑΡΟΔΟΣ ΟΥΛΑΦ ΠΑΛΜΕ 79 ΗΡΑΚΛΕΙΟ"</f>
        <v>ΠΑΡΟΔΟΣ ΟΥΛΑΦ ΠΑΛΜΕ 79 ΗΡΑΚΛΕΙΟ</v>
      </c>
      <c r="I1664">
        <v>71410</v>
      </c>
      <c r="J1664">
        <v>2810323541</v>
      </c>
      <c r="K1664">
        <v>6974898199</v>
      </c>
      <c r="M1664" t="s">
        <v>3626</v>
      </c>
      <c r="N1664" t="s">
        <v>199</v>
      </c>
      <c r="O1664" t="s">
        <v>200</v>
      </c>
      <c r="R1664" t="s">
        <v>57</v>
      </c>
      <c r="S1664">
        <v>5</v>
      </c>
      <c r="T1664">
        <v>775</v>
      </c>
      <c r="U1664" s="1">
        <v>39680</v>
      </c>
      <c r="V1664" t="s">
        <v>123</v>
      </c>
      <c r="W1664" t="s">
        <v>124</v>
      </c>
      <c r="X1664" t="s">
        <v>58</v>
      </c>
      <c r="Y1664">
        <v>21</v>
      </c>
      <c r="Z1664" t="s">
        <v>59</v>
      </c>
      <c r="AA1664" t="s">
        <v>59</v>
      </c>
      <c r="AB1664" t="s">
        <v>59</v>
      </c>
      <c r="AC1664" t="s">
        <v>59</v>
      </c>
      <c r="AD1664" t="s">
        <v>59</v>
      </c>
      <c r="AF1664" s="1">
        <v>39681</v>
      </c>
      <c r="AG1664" t="s">
        <v>148</v>
      </c>
      <c r="AH1664" t="s">
        <v>149</v>
      </c>
      <c r="AI1664" t="str">
        <f>"1755010"</f>
        <v>1755010</v>
      </c>
      <c r="AJ1664" t="s">
        <v>274</v>
      </c>
      <c r="AK1664">
        <v>2891031124</v>
      </c>
      <c r="AL1664" t="s">
        <v>275</v>
      </c>
      <c r="AM1664" t="s">
        <v>78</v>
      </c>
      <c r="AN1664" t="s">
        <v>276</v>
      </c>
      <c r="AO1664" t="s">
        <v>277</v>
      </c>
      <c r="AP1664" t="s">
        <v>277</v>
      </c>
      <c r="AQ1664">
        <v>17</v>
      </c>
      <c r="AR1664" t="s">
        <v>123</v>
      </c>
      <c r="AS1664" t="s">
        <v>124</v>
      </c>
      <c r="AT1664" t="s">
        <v>58</v>
      </c>
      <c r="AU1664" t="s">
        <v>68</v>
      </c>
      <c r="AV1664" t="s">
        <v>69</v>
      </c>
      <c r="AW1664" s="1">
        <v>25979</v>
      </c>
      <c r="AX1664">
        <v>2</v>
      </c>
    </row>
    <row r="1665" spans="1:50">
      <c r="B1665" t="str">
        <f>"104246043"</f>
        <v>104246043</v>
      </c>
      <c r="C1665" t="s">
        <v>50</v>
      </c>
      <c r="D1665" t="s">
        <v>3623</v>
      </c>
      <c r="E1665" t="s">
        <v>181</v>
      </c>
      <c r="F1665" t="s">
        <v>166</v>
      </c>
      <c r="G1665" t="s">
        <v>566</v>
      </c>
      <c r="H1665" t="str">
        <f>"ΚΑΘ. ΤΣΟΥΝΤΑ 10 ΘΕΣ/ΝΙΚΗ"</f>
        <v>ΚΑΘ. ΤΣΟΥΝΤΑ 10 ΘΕΣ/ΝΙΚΗ</v>
      </c>
      <c r="I1665">
        <v>54655</v>
      </c>
      <c r="K1665">
        <v>6936137247</v>
      </c>
      <c r="M1665" t="s">
        <v>3627</v>
      </c>
      <c r="N1665" t="s">
        <v>146</v>
      </c>
      <c r="O1665" t="s">
        <v>147</v>
      </c>
      <c r="R1665" t="s">
        <v>159</v>
      </c>
      <c r="S1665">
        <v>3</v>
      </c>
      <c r="T1665" t="s">
        <v>160</v>
      </c>
      <c r="U1665" s="1">
        <v>43364</v>
      </c>
      <c r="V1665" t="s">
        <v>123</v>
      </c>
      <c r="W1665" t="s">
        <v>124</v>
      </c>
      <c r="X1665" t="s">
        <v>58</v>
      </c>
      <c r="Y1665">
        <v>23</v>
      </c>
      <c r="Z1665" t="s">
        <v>59</v>
      </c>
      <c r="AA1665" t="s">
        <v>59</v>
      </c>
      <c r="AB1665" t="s">
        <v>59</v>
      </c>
      <c r="AC1665" t="s">
        <v>59</v>
      </c>
      <c r="AD1665" t="s">
        <v>59</v>
      </c>
      <c r="AF1665" s="1">
        <v>43367</v>
      </c>
      <c r="AG1665" t="s">
        <v>148</v>
      </c>
      <c r="AH1665" t="s">
        <v>149</v>
      </c>
      <c r="AI1665" t="str">
        <f>"1762010"</f>
        <v>1762010</v>
      </c>
      <c r="AJ1665" t="s">
        <v>942</v>
      </c>
      <c r="AK1665">
        <v>2897061311</v>
      </c>
      <c r="AL1665" t="s">
        <v>943</v>
      </c>
      <c r="AM1665" t="s">
        <v>78</v>
      </c>
      <c r="AN1665" t="s">
        <v>219</v>
      </c>
      <c r="AO1665" t="s">
        <v>527</v>
      </c>
      <c r="AP1665" t="s">
        <v>528</v>
      </c>
      <c r="AQ1665">
        <v>19</v>
      </c>
      <c r="AR1665" t="s">
        <v>123</v>
      </c>
      <c r="AS1665" t="s">
        <v>124</v>
      </c>
      <c r="AT1665" t="s">
        <v>58</v>
      </c>
      <c r="AU1665" t="s">
        <v>164</v>
      </c>
      <c r="AV1665" t="s">
        <v>132</v>
      </c>
      <c r="AW1665" s="1">
        <v>26359</v>
      </c>
      <c r="AX1665">
        <v>2</v>
      </c>
    </row>
    <row r="1666" spans="1:50">
      <c r="A1666">
        <v>208611</v>
      </c>
      <c r="B1666" t="str">
        <f>"073783676"</f>
        <v>073783676</v>
      </c>
      <c r="C1666" t="s">
        <v>50</v>
      </c>
      <c r="D1666" t="s">
        <v>3623</v>
      </c>
      <c r="E1666" t="s">
        <v>191</v>
      </c>
      <c r="F1666" t="s">
        <v>72</v>
      </c>
      <c r="G1666" t="s">
        <v>237</v>
      </c>
      <c r="H1666" t="str">
        <f>" "</f>
        <v xml:space="preserve"> </v>
      </c>
      <c r="J1666">
        <v>2810313271</v>
      </c>
      <c r="K1666">
        <v>6973053469</v>
      </c>
      <c r="N1666" t="s">
        <v>168</v>
      </c>
      <c r="O1666" t="s">
        <v>169</v>
      </c>
      <c r="R1666" t="s">
        <v>57</v>
      </c>
      <c r="S1666">
        <v>8</v>
      </c>
      <c r="T1666">
        <v>218</v>
      </c>
      <c r="U1666" s="1">
        <v>38596</v>
      </c>
      <c r="V1666" t="s">
        <v>123</v>
      </c>
      <c r="W1666" t="s">
        <v>124</v>
      </c>
      <c r="X1666" t="s">
        <v>58</v>
      </c>
      <c r="Y1666">
        <v>20</v>
      </c>
      <c r="Z1666" t="s">
        <v>59</v>
      </c>
      <c r="AA1666" t="s">
        <v>59</v>
      </c>
      <c r="AB1666" t="s">
        <v>59</v>
      </c>
      <c r="AC1666" t="s">
        <v>59</v>
      </c>
      <c r="AD1666" t="s">
        <v>59</v>
      </c>
      <c r="AF1666" s="1">
        <v>38596</v>
      </c>
      <c r="AG1666" t="s">
        <v>137</v>
      </c>
      <c r="AH1666" t="s">
        <v>138</v>
      </c>
      <c r="AI1666" t="str">
        <f>"1750080"</f>
        <v>1750080</v>
      </c>
      <c r="AJ1666" t="s">
        <v>170</v>
      </c>
      <c r="AK1666">
        <v>2810234444</v>
      </c>
      <c r="AL1666" t="s">
        <v>171</v>
      </c>
      <c r="AM1666" t="s">
        <v>78</v>
      </c>
      <c r="AN1666" t="s">
        <v>78</v>
      </c>
      <c r="AO1666" t="s">
        <v>78</v>
      </c>
      <c r="AP1666" t="s">
        <v>163</v>
      </c>
      <c r="AQ1666">
        <v>9</v>
      </c>
      <c r="AR1666" t="s">
        <v>123</v>
      </c>
      <c r="AS1666" t="s">
        <v>124</v>
      </c>
      <c r="AT1666" t="s">
        <v>58</v>
      </c>
      <c r="AU1666" t="s">
        <v>68</v>
      </c>
      <c r="AV1666" t="s">
        <v>69</v>
      </c>
      <c r="AW1666" s="1">
        <v>25674</v>
      </c>
      <c r="AX1666">
        <v>2</v>
      </c>
    </row>
    <row r="1667" spans="1:50">
      <c r="A1667">
        <v>198905</v>
      </c>
      <c r="B1667" t="str">
        <f>"044813844"</f>
        <v>044813844</v>
      </c>
      <c r="C1667" t="s">
        <v>105</v>
      </c>
      <c r="D1667" t="s">
        <v>3628</v>
      </c>
      <c r="E1667" t="s">
        <v>166</v>
      </c>
      <c r="F1667" t="s">
        <v>84</v>
      </c>
      <c r="G1667" t="s">
        <v>1358</v>
      </c>
      <c r="H1667" t="str">
        <f>"Χρυσοστόμου 16 "</f>
        <v xml:space="preserve">Χρυσοστόμου 16 </v>
      </c>
      <c r="J1667">
        <v>2810286562</v>
      </c>
      <c r="K1667">
        <v>6976226693</v>
      </c>
      <c r="N1667" t="s">
        <v>683</v>
      </c>
      <c r="O1667" t="s">
        <v>684</v>
      </c>
      <c r="R1667" t="s">
        <v>57</v>
      </c>
      <c r="S1667">
        <v>10</v>
      </c>
      <c r="T1667">
        <v>206</v>
      </c>
      <c r="U1667" s="1">
        <v>37866</v>
      </c>
      <c r="V1667" t="s">
        <v>123</v>
      </c>
      <c r="W1667" t="s">
        <v>124</v>
      </c>
      <c r="X1667" t="s">
        <v>58</v>
      </c>
      <c r="Y1667">
        <v>18</v>
      </c>
      <c r="Z1667" t="s">
        <v>59</v>
      </c>
      <c r="AA1667" t="s">
        <v>59</v>
      </c>
      <c r="AB1667" t="s">
        <v>59</v>
      </c>
      <c r="AC1667" t="s">
        <v>59</v>
      </c>
      <c r="AD1667" t="s">
        <v>59</v>
      </c>
      <c r="AF1667" s="1">
        <v>37866</v>
      </c>
      <c r="AG1667" t="s">
        <v>125</v>
      </c>
      <c r="AH1667" t="s">
        <v>386</v>
      </c>
      <c r="AI1667" t="str">
        <f>"1741002"</f>
        <v>1741002</v>
      </c>
      <c r="AJ1667" t="s">
        <v>387</v>
      </c>
      <c r="AK1667">
        <v>2810762610</v>
      </c>
      <c r="AL1667" t="s">
        <v>388</v>
      </c>
      <c r="AM1667" t="s">
        <v>78</v>
      </c>
      <c r="AN1667" t="s">
        <v>219</v>
      </c>
      <c r="AO1667" t="s">
        <v>297</v>
      </c>
      <c r="AP1667" t="s">
        <v>297</v>
      </c>
      <c r="AQ1667">
        <v>10</v>
      </c>
      <c r="AR1667" t="s">
        <v>123</v>
      </c>
      <c r="AS1667" t="s">
        <v>124</v>
      </c>
      <c r="AT1667" t="s">
        <v>58</v>
      </c>
      <c r="AU1667" t="s">
        <v>68</v>
      </c>
      <c r="AV1667" t="s">
        <v>69</v>
      </c>
      <c r="AW1667" s="1">
        <v>22448</v>
      </c>
      <c r="AX1667">
        <v>2</v>
      </c>
    </row>
    <row r="1668" spans="1:50">
      <c r="A1668">
        <v>186276</v>
      </c>
      <c r="B1668" t="str">
        <f>"076395857"</f>
        <v>076395857</v>
      </c>
      <c r="C1668" t="s">
        <v>105</v>
      </c>
      <c r="D1668" t="s">
        <v>3628</v>
      </c>
      <c r="E1668" t="s">
        <v>106</v>
      </c>
      <c r="F1668" t="s">
        <v>95</v>
      </c>
      <c r="G1668" t="s">
        <v>250</v>
      </c>
      <c r="H1668" t="str">
        <f>"Π.ΔΙΑΒΑΤΗ 12 ΗΡΑΚΛΕΙΟ"</f>
        <v>Π.ΔΙΑΒΑΤΗ 12 ΗΡΑΚΛΕΙΟ</v>
      </c>
      <c r="J1668">
        <v>2810231992</v>
      </c>
      <c r="K1668">
        <v>6937357081</v>
      </c>
      <c r="M1668" t="s">
        <v>3629</v>
      </c>
      <c r="N1668" t="s">
        <v>176</v>
      </c>
      <c r="O1668" t="s">
        <v>177</v>
      </c>
      <c r="P1668" t="s">
        <v>3090</v>
      </c>
      <c r="Q1668" t="s">
        <v>3091</v>
      </c>
      <c r="R1668" t="s">
        <v>57</v>
      </c>
      <c r="S1668">
        <v>9</v>
      </c>
      <c r="T1668">
        <v>250</v>
      </c>
      <c r="U1668" s="1">
        <v>36769</v>
      </c>
      <c r="V1668" t="s">
        <v>123</v>
      </c>
      <c r="W1668" t="s">
        <v>124</v>
      </c>
      <c r="X1668" t="s">
        <v>58</v>
      </c>
      <c r="Y1668">
        <v>20</v>
      </c>
      <c r="Z1668" t="s">
        <v>59</v>
      </c>
      <c r="AA1668" t="s">
        <v>59</v>
      </c>
      <c r="AB1668" t="s">
        <v>59</v>
      </c>
      <c r="AC1668" t="s">
        <v>59</v>
      </c>
      <c r="AD1668" t="s">
        <v>59</v>
      </c>
      <c r="AF1668" s="1">
        <v>36770</v>
      </c>
      <c r="AG1668" t="s">
        <v>125</v>
      </c>
      <c r="AH1668" t="s">
        <v>126</v>
      </c>
      <c r="AI1668" t="str">
        <f>"1701010"</f>
        <v>1701010</v>
      </c>
      <c r="AJ1668" t="s">
        <v>374</v>
      </c>
      <c r="AK1668">
        <v>2810227148</v>
      </c>
      <c r="AL1668" t="s">
        <v>375</v>
      </c>
      <c r="AM1668" t="s">
        <v>78</v>
      </c>
      <c r="AN1668" t="s">
        <v>78</v>
      </c>
      <c r="AO1668" t="s">
        <v>78</v>
      </c>
      <c r="AP1668" t="s">
        <v>79</v>
      </c>
      <c r="AQ1668">
        <v>1</v>
      </c>
      <c r="AR1668" t="s">
        <v>123</v>
      </c>
      <c r="AS1668" t="s">
        <v>124</v>
      </c>
      <c r="AT1668" t="s">
        <v>58</v>
      </c>
      <c r="AU1668" t="s">
        <v>68</v>
      </c>
      <c r="AV1668" t="s">
        <v>69</v>
      </c>
      <c r="AW1668" s="1">
        <v>25447</v>
      </c>
      <c r="AX1668">
        <v>2</v>
      </c>
    </row>
    <row r="1669" spans="1:50">
      <c r="A1669">
        <v>198906</v>
      </c>
      <c r="B1669" t="str">
        <f>"125597354"</f>
        <v>125597354</v>
      </c>
      <c r="C1669" t="s">
        <v>50</v>
      </c>
      <c r="D1669" t="s">
        <v>3630</v>
      </c>
      <c r="E1669" t="s">
        <v>237</v>
      </c>
      <c r="F1669" t="s">
        <v>72</v>
      </c>
      <c r="G1669" t="s">
        <v>460</v>
      </c>
      <c r="H1669" t="str">
        <f>"ΓΟΡΤΥΝΗΣ 19-21 ΚΑΜΙΝΙΑ"</f>
        <v>ΓΟΡΤΥΝΗΣ 19-21 ΚΑΜΙΝΙΑ</v>
      </c>
      <c r="I1669">
        <v>71305</v>
      </c>
      <c r="J1669">
        <v>2810258358</v>
      </c>
      <c r="K1669">
        <v>6937573105</v>
      </c>
      <c r="L1669">
        <v>2810259720</v>
      </c>
      <c r="M1669" t="s">
        <v>3631</v>
      </c>
      <c r="N1669" t="s">
        <v>683</v>
      </c>
      <c r="O1669" t="s">
        <v>684</v>
      </c>
      <c r="R1669" t="s">
        <v>57</v>
      </c>
      <c r="S1669">
        <v>7</v>
      </c>
      <c r="T1669">
        <v>206</v>
      </c>
      <c r="U1669" s="1">
        <v>37866</v>
      </c>
      <c r="V1669" t="s">
        <v>123</v>
      </c>
      <c r="W1669" t="s">
        <v>124</v>
      </c>
      <c r="X1669" t="s">
        <v>58</v>
      </c>
      <c r="Y1669">
        <v>20</v>
      </c>
      <c r="Z1669" t="s">
        <v>59</v>
      </c>
      <c r="AA1669" t="s">
        <v>59</v>
      </c>
      <c r="AB1669" t="s">
        <v>59</v>
      </c>
      <c r="AC1669" t="s">
        <v>59</v>
      </c>
      <c r="AD1669" t="s">
        <v>59</v>
      </c>
      <c r="AF1669" s="1">
        <v>37866</v>
      </c>
      <c r="AG1669" t="s">
        <v>125</v>
      </c>
      <c r="AH1669" t="s">
        <v>126</v>
      </c>
      <c r="AI1669" t="str">
        <f>"1728010"</f>
        <v>1728010</v>
      </c>
      <c r="AJ1669" t="s">
        <v>127</v>
      </c>
      <c r="AK1669">
        <v>2810824651</v>
      </c>
      <c r="AL1669" t="s">
        <v>128</v>
      </c>
      <c r="AM1669" t="s">
        <v>78</v>
      </c>
      <c r="AN1669" t="s">
        <v>129</v>
      </c>
      <c r="AO1669" t="s">
        <v>130</v>
      </c>
      <c r="AP1669" t="s">
        <v>130</v>
      </c>
      <c r="AQ1669">
        <v>36</v>
      </c>
      <c r="AR1669" t="s">
        <v>123</v>
      </c>
      <c r="AS1669" t="s">
        <v>124</v>
      </c>
      <c r="AT1669" t="s">
        <v>58</v>
      </c>
      <c r="AU1669" t="s">
        <v>68</v>
      </c>
      <c r="AV1669" t="s">
        <v>69</v>
      </c>
      <c r="AW1669" s="1">
        <v>28340</v>
      </c>
      <c r="AX1669">
        <v>2</v>
      </c>
    </row>
    <row r="1670" spans="1:50">
      <c r="A1670">
        <v>703261</v>
      </c>
      <c r="B1670" t="str">
        <f>"109353648"</f>
        <v>109353648</v>
      </c>
      <c r="C1670" t="s">
        <v>50</v>
      </c>
      <c r="D1670" t="s">
        <v>3632</v>
      </c>
      <c r="E1670" t="s">
        <v>366</v>
      </c>
      <c r="F1670" t="s">
        <v>72</v>
      </c>
      <c r="G1670" t="s">
        <v>934</v>
      </c>
      <c r="H1670" t="str">
        <f>"ΜΟΝΗΣ ΠΑΛΙΑΝΗΣ 9 ΗΡΑΚΛΕΙΟΥ"</f>
        <v>ΜΟΝΗΣ ΠΑΛΙΑΝΗΣ 9 ΗΡΑΚΛΕΙΟΥ</v>
      </c>
      <c r="I1670">
        <v>71201</v>
      </c>
      <c r="J1670">
        <v>2810301126</v>
      </c>
      <c r="K1670">
        <v>6978027854</v>
      </c>
      <c r="M1670" t="s">
        <v>3633</v>
      </c>
      <c r="N1670" t="s">
        <v>157</v>
      </c>
      <c r="O1670" t="s">
        <v>158</v>
      </c>
      <c r="R1670" t="s">
        <v>57</v>
      </c>
      <c r="S1670">
        <v>3</v>
      </c>
      <c r="T1670">
        <v>588</v>
      </c>
      <c r="U1670" s="1">
        <v>40778</v>
      </c>
      <c r="V1670" t="s">
        <v>123</v>
      </c>
      <c r="W1670" t="s">
        <v>124</v>
      </c>
      <c r="X1670" t="s">
        <v>58</v>
      </c>
      <c r="Y1670">
        <v>21</v>
      </c>
      <c r="Z1670" t="s">
        <v>59</v>
      </c>
      <c r="AA1670" t="s">
        <v>59</v>
      </c>
      <c r="AB1670" t="s">
        <v>59</v>
      </c>
      <c r="AC1670" t="s">
        <v>59</v>
      </c>
      <c r="AD1670" t="s">
        <v>59</v>
      </c>
      <c r="AF1670" s="1">
        <v>40784</v>
      </c>
      <c r="AG1670" t="s">
        <v>137</v>
      </c>
      <c r="AH1670" t="s">
        <v>138</v>
      </c>
      <c r="AI1670" t="str">
        <f>"1740070"</f>
        <v>1740070</v>
      </c>
      <c r="AJ1670" t="s">
        <v>206</v>
      </c>
      <c r="AK1670">
        <v>2810324880</v>
      </c>
      <c r="AL1670" t="s">
        <v>207</v>
      </c>
      <c r="AM1670" t="s">
        <v>78</v>
      </c>
      <c r="AN1670" t="s">
        <v>78</v>
      </c>
      <c r="AO1670" t="s">
        <v>78</v>
      </c>
      <c r="AP1670" t="s">
        <v>163</v>
      </c>
      <c r="AQ1670">
        <v>9</v>
      </c>
      <c r="AR1670" t="s">
        <v>123</v>
      </c>
      <c r="AS1670" t="s">
        <v>124</v>
      </c>
      <c r="AT1670" t="s">
        <v>58</v>
      </c>
      <c r="AU1670" t="s">
        <v>68</v>
      </c>
      <c r="AV1670" t="s">
        <v>69</v>
      </c>
      <c r="AW1670" s="1">
        <v>29551</v>
      </c>
      <c r="AX1670">
        <v>2</v>
      </c>
    </row>
    <row r="1671" spans="1:50">
      <c r="A1671">
        <v>201948</v>
      </c>
      <c r="B1671" t="str">
        <f>"117326738"</f>
        <v>117326738</v>
      </c>
      <c r="C1671" t="s">
        <v>50</v>
      </c>
      <c r="D1671" t="s">
        <v>3634</v>
      </c>
      <c r="E1671" t="s">
        <v>215</v>
      </c>
      <c r="F1671" t="s">
        <v>53</v>
      </c>
      <c r="G1671" t="s">
        <v>52</v>
      </c>
      <c r="H1671" t="str">
        <f>"Κακριδή 7  Ηράκλειο"</f>
        <v>Κακριδή 7  Ηράκλειο</v>
      </c>
      <c r="I1671">
        <v>71409</v>
      </c>
      <c r="J1671">
        <v>2410238175</v>
      </c>
      <c r="K1671">
        <v>6978440460</v>
      </c>
      <c r="M1671" t="s">
        <v>3635</v>
      </c>
      <c r="N1671" t="s">
        <v>146</v>
      </c>
      <c r="O1671" t="s">
        <v>147</v>
      </c>
      <c r="R1671" t="s">
        <v>57</v>
      </c>
      <c r="S1671">
        <v>9</v>
      </c>
      <c r="T1671">
        <v>231</v>
      </c>
      <c r="U1671" s="1">
        <v>38230</v>
      </c>
      <c r="V1671" t="s">
        <v>123</v>
      </c>
      <c r="W1671" t="s">
        <v>124</v>
      </c>
      <c r="X1671" t="s">
        <v>58</v>
      </c>
      <c r="Y1671">
        <v>20</v>
      </c>
      <c r="Z1671" t="s">
        <v>59</v>
      </c>
      <c r="AA1671" t="s">
        <v>59</v>
      </c>
      <c r="AB1671" t="s">
        <v>59</v>
      </c>
      <c r="AC1671" t="s">
        <v>59</v>
      </c>
      <c r="AD1671" t="s">
        <v>59</v>
      </c>
      <c r="AF1671" s="1">
        <v>38232</v>
      </c>
      <c r="AG1671" t="s">
        <v>148</v>
      </c>
      <c r="AH1671" t="s">
        <v>149</v>
      </c>
      <c r="AI1671" t="str">
        <f>"1751020"</f>
        <v>1751020</v>
      </c>
      <c r="AJ1671" t="s">
        <v>532</v>
      </c>
      <c r="AK1671">
        <v>2810372732</v>
      </c>
      <c r="AL1671" t="s">
        <v>533</v>
      </c>
      <c r="AM1671" t="s">
        <v>78</v>
      </c>
      <c r="AN1671" t="s">
        <v>78</v>
      </c>
      <c r="AO1671" t="s">
        <v>78</v>
      </c>
      <c r="AP1671" t="s">
        <v>163</v>
      </c>
      <c r="AQ1671">
        <v>3</v>
      </c>
      <c r="AR1671" t="s">
        <v>123</v>
      </c>
      <c r="AS1671" t="s">
        <v>124</v>
      </c>
      <c r="AT1671" t="s">
        <v>58</v>
      </c>
      <c r="AU1671" t="s">
        <v>68</v>
      </c>
      <c r="AV1671" t="s">
        <v>69</v>
      </c>
      <c r="AW1671" s="1">
        <v>28943</v>
      </c>
      <c r="AX1671">
        <v>2</v>
      </c>
    </row>
    <row r="1672" spans="1:50">
      <c r="A1672">
        <v>163150</v>
      </c>
      <c r="B1672" t="str">
        <f>"032595300"</f>
        <v>032595300</v>
      </c>
      <c r="C1672" t="s">
        <v>105</v>
      </c>
      <c r="D1672" t="s">
        <v>3636</v>
      </c>
      <c r="E1672" t="s">
        <v>309</v>
      </c>
      <c r="F1672" t="s">
        <v>53</v>
      </c>
      <c r="G1672" t="s">
        <v>290</v>
      </c>
      <c r="H1672" t="str">
        <f>"ΜΙΝΩΟΣ 39 ΗΡΑΚΛΕΙΟ"</f>
        <v>ΜΙΝΩΟΣ 39 ΗΡΑΚΛΕΙΟ</v>
      </c>
      <c r="J1672">
        <v>2810314289</v>
      </c>
      <c r="K1672">
        <v>6974788510</v>
      </c>
      <c r="N1672" t="s">
        <v>176</v>
      </c>
      <c r="O1672" t="s">
        <v>177</v>
      </c>
      <c r="R1672" t="s">
        <v>57</v>
      </c>
      <c r="S1672">
        <v>14</v>
      </c>
      <c r="T1672">
        <v>132</v>
      </c>
      <c r="U1672" s="1">
        <v>33456</v>
      </c>
      <c r="V1672" t="s">
        <v>123</v>
      </c>
      <c r="W1672" t="s">
        <v>124</v>
      </c>
      <c r="X1672" t="s">
        <v>58</v>
      </c>
      <c r="Y1672">
        <v>18</v>
      </c>
      <c r="Z1672" t="s">
        <v>59</v>
      </c>
      <c r="AA1672" t="s">
        <v>59</v>
      </c>
      <c r="AB1672" t="s">
        <v>59</v>
      </c>
      <c r="AC1672" t="s">
        <v>59</v>
      </c>
      <c r="AD1672" t="s">
        <v>59</v>
      </c>
      <c r="AF1672" s="1">
        <v>33487</v>
      </c>
      <c r="AG1672" t="s">
        <v>148</v>
      </c>
      <c r="AH1672" t="s">
        <v>149</v>
      </c>
      <c r="AI1672" t="str">
        <f>"1790070"</f>
        <v>1790070</v>
      </c>
      <c r="AJ1672" t="s">
        <v>1283</v>
      </c>
      <c r="AK1672">
        <v>2810252154</v>
      </c>
      <c r="AL1672" t="s">
        <v>1284</v>
      </c>
      <c r="AM1672" t="s">
        <v>78</v>
      </c>
      <c r="AN1672" t="s">
        <v>78</v>
      </c>
      <c r="AO1672" t="s">
        <v>78</v>
      </c>
      <c r="AP1672" t="s">
        <v>141</v>
      </c>
      <c r="AQ1672">
        <v>7</v>
      </c>
      <c r="AR1672" t="s">
        <v>123</v>
      </c>
      <c r="AS1672" t="s">
        <v>124</v>
      </c>
      <c r="AT1672" t="s">
        <v>58</v>
      </c>
      <c r="AU1672" t="s">
        <v>68</v>
      </c>
      <c r="AV1672" t="s">
        <v>69</v>
      </c>
      <c r="AW1672" s="1">
        <v>22077</v>
      </c>
      <c r="AX1672">
        <v>2</v>
      </c>
    </row>
    <row r="1673" spans="1:50">
      <c r="A1673">
        <v>153650</v>
      </c>
      <c r="B1673" t="str">
        <f>"079866978"</f>
        <v>079866978</v>
      </c>
      <c r="C1673" t="s">
        <v>50</v>
      </c>
      <c r="D1673" t="s">
        <v>3637</v>
      </c>
      <c r="E1673" t="s">
        <v>3638</v>
      </c>
      <c r="F1673" t="s">
        <v>84</v>
      </c>
      <c r="G1673" t="s">
        <v>155</v>
      </c>
      <c r="H1673" t="str">
        <f>"ΑΠΟΛΛΩΝΙΑΣ 23  ΑΜΜΟΥΔΑΡΑ ΓΑΖΙ"</f>
        <v>ΑΠΟΛΛΩΝΙΑΣ 23  ΑΜΜΟΥΔΑΡΑ ΓΑΖΙ</v>
      </c>
      <c r="I1673">
        <v>71414</v>
      </c>
      <c r="J1673">
        <v>2810255770</v>
      </c>
      <c r="K1673">
        <v>6944969827</v>
      </c>
      <c r="M1673" t="s">
        <v>3639</v>
      </c>
      <c r="N1673" t="s">
        <v>306</v>
      </c>
      <c r="O1673" t="s">
        <v>307</v>
      </c>
      <c r="R1673" t="s">
        <v>57</v>
      </c>
      <c r="S1673">
        <v>15</v>
      </c>
      <c r="T1673">
        <v>139</v>
      </c>
      <c r="U1673" s="1">
        <v>32366</v>
      </c>
      <c r="V1673" t="s">
        <v>123</v>
      </c>
      <c r="W1673" t="s">
        <v>124</v>
      </c>
      <c r="X1673" t="s">
        <v>58</v>
      </c>
      <c r="Y1673">
        <v>18</v>
      </c>
      <c r="Z1673" t="s">
        <v>59</v>
      </c>
      <c r="AA1673" t="s">
        <v>59</v>
      </c>
      <c r="AB1673" t="s">
        <v>59</v>
      </c>
      <c r="AC1673" t="s">
        <v>59</v>
      </c>
      <c r="AD1673" t="s">
        <v>59</v>
      </c>
      <c r="AF1673" s="1">
        <v>32387</v>
      </c>
      <c r="AG1673" t="s">
        <v>125</v>
      </c>
      <c r="AH1673" t="s">
        <v>126</v>
      </c>
      <c r="AI1673" t="str">
        <f>"1701020"</f>
        <v>1701020</v>
      </c>
      <c r="AJ1673" t="s">
        <v>323</v>
      </c>
      <c r="AK1673">
        <v>2810252111</v>
      </c>
      <c r="AL1673" t="s">
        <v>324</v>
      </c>
      <c r="AM1673" t="s">
        <v>78</v>
      </c>
      <c r="AN1673" t="s">
        <v>78</v>
      </c>
      <c r="AO1673" t="s">
        <v>78</v>
      </c>
      <c r="AP1673" t="s">
        <v>163</v>
      </c>
      <c r="AQ1673">
        <v>3</v>
      </c>
      <c r="AR1673" t="s">
        <v>123</v>
      </c>
      <c r="AS1673" t="s">
        <v>124</v>
      </c>
      <c r="AT1673" t="s">
        <v>58</v>
      </c>
      <c r="AU1673" t="s">
        <v>68</v>
      </c>
      <c r="AV1673" t="s">
        <v>69</v>
      </c>
      <c r="AW1673" s="1">
        <v>23151</v>
      </c>
      <c r="AX1673">
        <v>2</v>
      </c>
    </row>
    <row r="1674" spans="1:50">
      <c r="A1674">
        <v>211040</v>
      </c>
      <c r="B1674" t="str">
        <f>"062077033"</f>
        <v>062077033</v>
      </c>
      <c r="C1674" t="s">
        <v>105</v>
      </c>
      <c r="D1674" t="s">
        <v>3640</v>
      </c>
      <c r="E1674" t="s">
        <v>92</v>
      </c>
      <c r="F1674" t="s">
        <v>84</v>
      </c>
      <c r="G1674" t="s">
        <v>52</v>
      </c>
      <c r="H1674" t="str">
        <f>" "</f>
        <v xml:space="preserve"> </v>
      </c>
      <c r="J1674">
        <v>2810323072</v>
      </c>
      <c r="K1674">
        <v>6936599837</v>
      </c>
      <c r="N1674" t="s">
        <v>337</v>
      </c>
      <c r="O1674" t="s">
        <v>338</v>
      </c>
      <c r="R1674" t="s">
        <v>57</v>
      </c>
      <c r="S1674">
        <v>6</v>
      </c>
      <c r="T1674">
        <v>262</v>
      </c>
      <c r="U1674" s="1">
        <v>38629</v>
      </c>
      <c r="V1674" t="s">
        <v>123</v>
      </c>
      <c r="W1674" t="s">
        <v>124</v>
      </c>
      <c r="X1674" t="s">
        <v>58</v>
      </c>
      <c r="Y1674">
        <v>20</v>
      </c>
      <c r="Z1674" t="s">
        <v>59</v>
      </c>
      <c r="AA1674" t="s">
        <v>59</v>
      </c>
      <c r="AB1674" t="s">
        <v>59</v>
      </c>
      <c r="AC1674" t="s">
        <v>59</v>
      </c>
      <c r="AD1674" t="s">
        <v>59</v>
      </c>
      <c r="AF1674" s="1">
        <v>38632</v>
      </c>
      <c r="AI1674" t="str">
        <f>""</f>
        <v/>
      </c>
      <c r="AS1674" t="s">
        <v>124</v>
      </c>
      <c r="AT1674" t="s">
        <v>58</v>
      </c>
      <c r="AU1674" t="s">
        <v>68</v>
      </c>
      <c r="AW1674" s="1">
        <v>28089</v>
      </c>
      <c r="AX1674">
        <v>2</v>
      </c>
    </row>
    <row r="1675" spans="1:50">
      <c r="A1675">
        <v>199361</v>
      </c>
      <c r="B1675" t="str">
        <f>"061762801"</f>
        <v>061762801</v>
      </c>
      <c r="C1675" t="s">
        <v>50</v>
      </c>
      <c r="D1675" t="s">
        <v>3641</v>
      </c>
      <c r="E1675" t="s">
        <v>1108</v>
      </c>
      <c r="F1675" t="s">
        <v>99</v>
      </c>
      <c r="G1675" t="s">
        <v>221</v>
      </c>
      <c r="H1675" t="str">
        <f>"ΑΛΜΠΕΡΤ 52 ΗΡΑΚΛΕΙΟ"</f>
        <v>ΑΛΜΠΕΡΤ 52 ΗΡΑΚΛΕΙΟ</v>
      </c>
      <c r="I1675">
        <v>71202</v>
      </c>
      <c r="J1675">
        <v>2109563837</v>
      </c>
      <c r="K1675">
        <v>6976228775</v>
      </c>
      <c r="M1675" t="s">
        <v>3642</v>
      </c>
      <c r="N1675" t="s">
        <v>299</v>
      </c>
      <c r="O1675" t="s">
        <v>300</v>
      </c>
      <c r="R1675" t="s">
        <v>57</v>
      </c>
      <c r="S1675">
        <v>9</v>
      </c>
      <c r="T1675">
        <v>206</v>
      </c>
      <c r="U1675" s="1">
        <v>37866</v>
      </c>
      <c r="V1675" t="s">
        <v>123</v>
      </c>
      <c r="W1675" t="s">
        <v>124</v>
      </c>
      <c r="X1675" t="s">
        <v>58</v>
      </c>
      <c r="Y1675">
        <v>20</v>
      </c>
      <c r="Z1675" t="s">
        <v>59</v>
      </c>
      <c r="AA1675" t="s">
        <v>59</v>
      </c>
      <c r="AB1675" t="s">
        <v>59</v>
      </c>
      <c r="AC1675" t="s">
        <v>59</v>
      </c>
      <c r="AD1675" t="s">
        <v>59</v>
      </c>
      <c r="AF1675" s="1">
        <v>37866</v>
      </c>
      <c r="AG1675" t="s">
        <v>125</v>
      </c>
      <c r="AH1675" t="s">
        <v>126</v>
      </c>
      <c r="AI1675" t="str">
        <f>"1701010"</f>
        <v>1701010</v>
      </c>
      <c r="AJ1675" t="s">
        <v>374</v>
      </c>
      <c r="AK1675">
        <v>2810227148</v>
      </c>
      <c r="AL1675" t="s">
        <v>375</v>
      </c>
      <c r="AM1675" t="s">
        <v>78</v>
      </c>
      <c r="AN1675" t="s">
        <v>78</v>
      </c>
      <c r="AO1675" t="s">
        <v>78</v>
      </c>
      <c r="AP1675" t="s">
        <v>79</v>
      </c>
      <c r="AQ1675">
        <v>1</v>
      </c>
      <c r="AR1675" t="s">
        <v>123</v>
      </c>
      <c r="AS1675" t="s">
        <v>124</v>
      </c>
      <c r="AT1675" t="s">
        <v>58</v>
      </c>
      <c r="AU1675" t="s">
        <v>68</v>
      </c>
      <c r="AV1675" t="s">
        <v>69</v>
      </c>
      <c r="AW1675" s="1">
        <v>29135</v>
      </c>
      <c r="AX1675">
        <v>2</v>
      </c>
    </row>
    <row r="1676" spans="1:50">
      <c r="B1676" t="str">
        <f>"123678828"</f>
        <v>123678828</v>
      </c>
      <c r="C1676" t="s">
        <v>50</v>
      </c>
      <c r="D1676" t="s">
        <v>3643</v>
      </c>
      <c r="E1676" t="s">
        <v>507</v>
      </c>
      <c r="F1676" t="s">
        <v>106</v>
      </c>
      <c r="G1676" t="s">
        <v>73</v>
      </c>
      <c r="H1676" t="str">
        <f>"ΓΙΑΝΝΗ ΑΛΕΥΡΑ 4 "</f>
        <v xml:space="preserve">ΓΙΑΝΝΗ ΑΛΕΥΡΑ 4 </v>
      </c>
      <c r="I1676">
        <v>71410</v>
      </c>
      <c r="J1676">
        <v>2810310177</v>
      </c>
      <c r="K1676">
        <v>6945368232</v>
      </c>
      <c r="N1676" t="s">
        <v>119</v>
      </c>
      <c r="O1676" t="s">
        <v>120</v>
      </c>
      <c r="R1676" t="s">
        <v>159</v>
      </c>
      <c r="S1676">
        <v>5</v>
      </c>
      <c r="T1676" t="s">
        <v>344</v>
      </c>
      <c r="U1676" s="1">
        <v>43348</v>
      </c>
      <c r="V1676" t="s">
        <v>123</v>
      </c>
      <c r="W1676" t="s">
        <v>124</v>
      </c>
      <c r="X1676" t="s">
        <v>58</v>
      </c>
      <c r="Y1676">
        <v>21</v>
      </c>
      <c r="Z1676" t="s">
        <v>59</v>
      </c>
      <c r="AA1676" t="s">
        <v>59</v>
      </c>
      <c r="AB1676" t="s">
        <v>59</v>
      </c>
      <c r="AC1676" t="s">
        <v>59</v>
      </c>
      <c r="AD1676" t="s">
        <v>59</v>
      </c>
      <c r="AF1676" s="1">
        <v>43348</v>
      </c>
      <c r="AG1676" t="s">
        <v>125</v>
      </c>
      <c r="AH1676" t="s">
        <v>590</v>
      </c>
      <c r="AI1676" t="str">
        <f>"1740060"</f>
        <v>1740060</v>
      </c>
      <c r="AJ1676" t="s">
        <v>591</v>
      </c>
      <c r="AK1676">
        <v>2810232117</v>
      </c>
      <c r="AL1676" t="s">
        <v>592</v>
      </c>
      <c r="AM1676" t="s">
        <v>78</v>
      </c>
      <c r="AN1676" t="s">
        <v>78</v>
      </c>
      <c r="AO1676" t="s">
        <v>78</v>
      </c>
      <c r="AP1676" t="s">
        <v>141</v>
      </c>
      <c r="AQ1676">
        <v>11</v>
      </c>
      <c r="AR1676" t="s">
        <v>123</v>
      </c>
      <c r="AS1676" t="s">
        <v>124</v>
      </c>
      <c r="AT1676" t="s">
        <v>58</v>
      </c>
      <c r="AU1676" t="s">
        <v>350</v>
      </c>
      <c r="AV1676" t="s">
        <v>132</v>
      </c>
      <c r="AW1676" s="1">
        <v>31073</v>
      </c>
      <c r="AX1676">
        <v>2</v>
      </c>
    </row>
    <row r="1677" spans="1:50">
      <c r="A1677">
        <v>207771</v>
      </c>
      <c r="B1677" t="str">
        <f>"103800210"</f>
        <v>103800210</v>
      </c>
      <c r="C1677" t="s">
        <v>50</v>
      </c>
      <c r="D1677" t="s">
        <v>3644</v>
      </c>
      <c r="E1677" t="s">
        <v>52</v>
      </c>
      <c r="F1677" t="s">
        <v>3645</v>
      </c>
      <c r="G1677" t="s">
        <v>250</v>
      </c>
      <c r="H1677" t="str">
        <f>"ΡΟΔΩΝ 4 ΗΡΑΚΛΕΙΟ"</f>
        <v>ΡΟΔΩΝ 4 ΗΡΑΚΛΕΙΟ</v>
      </c>
      <c r="I1677">
        <v>71306</v>
      </c>
      <c r="J1677">
        <v>2810285981</v>
      </c>
      <c r="K1677">
        <v>6944547855</v>
      </c>
      <c r="M1677" t="s">
        <v>3646</v>
      </c>
      <c r="N1677" t="s">
        <v>288</v>
      </c>
      <c r="O1677" t="s">
        <v>289</v>
      </c>
      <c r="R1677" t="s">
        <v>57</v>
      </c>
      <c r="S1677">
        <v>9</v>
      </c>
      <c r="T1677">
        <v>218</v>
      </c>
      <c r="U1677" s="1">
        <v>38596</v>
      </c>
      <c r="V1677" t="s">
        <v>123</v>
      </c>
      <c r="W1677" t="s">
        <v>124</v>
      </c>
      <c r="X1677" t="s">
        <v>58</v>
      </c>
      <c r="Y1677">
        <v>20</v>
      </c>
      <c r="Z1677" t="s">
        <v>59</v>
      </c>
      <c r="AA1677" t="s">
        <v>59</v>
      </c>
      <c r="AB1677" t="s">
        <v>59</v>
      </c>
      <c r="AC1677" t="s">
        <v>59</v>
      </c>
      <c r="AD1677" t="s">
        <v>59</v>
      </c>
      <c r="AF1677" s="1">
        <v>38600</v>
      </c>
      <c r="AG1677" t="s">
        <v>125</v>
      </c>
      <c r="AH1677" t="s">
        <v>126</v>
      </c>
      <c r="AI1677" t="str">
        <f>"1701053"</f>
        <v>1701053</v>
      </c>
      <c r="AJ1677" t="s">
        <v>398</v>
      </c>
      <c r="AK1677">
        <v>2810251434</v>
      </c>
      <c r="AL1677" t="s">
        <v>399</v>
      </c>
      <c r="AM1677" t="s">
        <v>78</v>
      </c>
      <c r="AN1677" t="s">
        <v>78</v>
      </c>
      <c r="AO1677" t="s">
        <v>78</v>
      </c>
      <c r="AP1677" t="s">
        <v>141</v>
      </c>
      <c r="AQ1677">
        <v>7</v>
      </c>
      <c r="AR1677" t="s">
        <v>123</v>
      </c>
      <c r="AS1677" t="s">
        <v>124</v>
      </c>
      <c r="AT1677" t="s">
        <v>58</v>
      </c>
      <c r="AU1677" t="s">
        <v>68</v>
      </c>
      <c r="AV1677" t="s">
        <v>69</v>
      </c>
      <c r="AW1677" s="1">
        <v>25612</v>
      </c>
      <c r="AX1677">
        <v>2</v>
      </c>
    </row>
    <row r="1678" spans="1:50">
      <c r="A1678">
        <v>152979</v>
      </c>
      <c r="B1678" t="str">
        <f>"030271230"</f>
        <v>030271230</v>
      </c>
      <c r="C1678" t="s">
        <v>50</v>
      </c>
      <c r="D1678" t="s">
        <v>3647</v>
      </c>
      <c r="E1678" t="s">
        <v>255</v>
      </c>
      <c r="F1678" t="s">
        <v>53</v>
      </c>
      <c r="G1678" t="s">
        <v>3648</v>
      </c>
      <c r="H1678" t="str">
        <f>"ΘΕΡΙΣΟΥ 157 ΗΡΑΚΛΕΙΟ"</f>
        <v>ΘΕΡΙΣΟΥ 157 ΗΡΑΚΛΕΙΟ</v>
      </c>
      <c r="I1678">
        <v>71305</v>
      </c>
      <c r="J1678">
        <v>2810311693</v>
      </c>
      <c r="K1678">
        <v>6977706513</v>
      </c>
      <c r="M1678" t="s">
        <v>3649</v>
      </c>
      <c r="N1678" t="s">
        <v>146</v>
      </c>
      <c r="O1678" t="s">
        <v>147</v>
      </c>
      <c r="R1678" t="s">
        <v>57</v>
      </c>
      <c r="S1678">
        <v>16</v>
      </c>
      <c r="T1678">
        <v>166</v>
      </c>
      <c r="U1678" s="1">
        <v>32010</v>
      </c>
      <c r="V1678" t="s">
        <v>123</v>
      </c>
      <c r="W1678" t="s">
        <v>124</v>
      </c>
      <c r="X1678" t="s">
        <v>58</v>
      </c>
      <c r="Y1678">
        <v>18</v>
      </c>
      <c r="Z1678" t="s">
        <v>59</v>
      </c>
      <c r="AA1678" t="s">
        <v>59</v>
      </c>
      <c r="AB1678" t="s">
        <v>59</v>
      </c>
      <c r="AC1678" t="s">
        <v>59</v>
      </c>
      <c r="AD1678" t="s">
        <v>59</v>
      </c>
      <c r="AF1678" s="1">
        <v>32023</v>
      </c>
      <c r="AG1678" t="s">
        <v>125</v>
      </c>
      <c r="AH1678" t="s">
        <v>126</v>
      </c>
      <c r="AI1678" t="str">
        <f>"1701040"</f>
        <v>1701040</v>
      </c>
      <c r="AJ1678" t="s">
        <v>748</v>
      </c>
      <c r="AK1678">
        <v>2810252459</v>
      </c>
      <c r="AL1678" t="s">
        <v>749</v>
      </c>
      <c r="AM1678" t="s">
        <v>78</v>
      </c>
      <c r="AN1678" t="s">
        <v>78</v>
      </c>
      <c r="AO1678" t="s">
        <v>78</v>
      </c>
      <c r="AP1678" t="s">
        <v>141</v>
      </c>
      <c r="AQ1678">
        <v>3</v>
      </c>
      <c r="AR1678" t="s">
        <v>123</v>
      </c>
      <c r="AS1678" t="s">
        <v>124</v>
      </c>
      <c r="AT1678" t="s">
        <v>58</v>
      </c>
      <c r="AU1678" t="s">
        <v>68</v>
      </c>
      <c r="AV1678" t="s">
        <v>69</v>
      </c>
      <c r="AW1678" s="1">
        <v>22126</v>
      </c>
      <c r="AX1678">
        <v>2</v>
      </c>
    </row>
    <row r="1679" spans="1:50">
      <c r="A1679">
        <v>157879</v>
      </c>
      <c r="B1679" t="str">
        <f>"064553596"</f>
        <v>064553596</v>
      </c>
      <c r="C1679" t="s">
        <v>50</v>
      </c>
      <c r="D1679" t="s">
        <v>3650</v>
      </c>
      <c r="E1679" t="s">
        <v>83</v>
      </c>
      <c r="F1679" t="s">
        <v>166</v>
      </c>
      <c r="G1679" t="s">
        <v>52</v>
      </c>
      <c r="H1679" t="str">
        <f>"ΜΙΝΩΟΣ 109 ΘΕΡΙΣΟ"</f>
        <v>ΜΙΝΩΟΣ 109 ΘΕΡΙΣΟ</v>
      </c>
      <c r="I1679">
        <v>71305</v>
      </c>
      <c r="J1679">
        <v>2810258927</v>
      </c>
      <c r="K1679">
        <v>6944747920</v>
      </c>
      <c r="L1679">
        <v>289252544</v>
      </c>
      <c r="N1679" t="s">
        <v>189</v>
      </c>
      <c r="O1679" t="s">
        <v>190</v>
      </c>
      <c r="R1679" t="s">
        <v>57</v>
      </c>
      <c r="S1679">
        <v>16</v>
      </c>
      <c r="T1679">
        <v>192</v>
      </c>
      <c r="U1679" s="1">
        <v>33196</v>
      </c>
      <c r="V1679" t="s">
        <v>123</v>
      </c>
      <c r="W1679" t="s">
        <v>124</v>
      </c>
      <c r="X1679" t="s">
        <v>58</v>
      </c>
      <c r="Y1679">
        <v>18</v>
      </c>
      <c r="Z1679" t="s">
        <v>59</v>
      </c>
      <c r="AA1679" t="s">
        <v>59</v>
      </c>
      <c r="AB1679" t="s">
        <v>59</v>
      </c>
      <c r="AC1679" t="s">
        <v>59</v>
      </c>
      <c r="AD1679" t="s">
        <v>59</v>
      </c>
      <c r="AF1679" s="1">
        <v>33196</v>
      </c>
      <c r="AG1679" t="s">
        <v>137</v>
      </c>
      <c r="AH1679" t="s">
        <v>138</v>
      </c>
      <c r="AI1679" t="str">
        <f>"1740210"</f>
        <v>1740210</v>
      </c>
      <c r="AJ1679" t="s">
        <v>139</v>
      </c>
      <c r="AK1679">
        <v>2810318130</v>
      </c>
      <c r="AL1679" t="s">
        <v>140</v>
      </c>
      <c r="AM1679" t="s">
        <v>78</v>
      </c>
      <c r="AN1679" t="s">
        <v>78</v>
      </c>
      <c r="AO1679" t="s">
        <v>78</v>
      </c>
      <c r="AP1679" t="s">
        <v>141</v>
      </c>
      <c r="AQ1679">
        <v>7</v>
      </c>
      <c r="AR1679" t="s">
        <v>123</v>
      </c>
      <c r="AS1679" t="s">
        <v>124</v>
      </c>
      <c r="AT1679" t="s">
        <v>58</v>
      </c>
      <c r="AU1679" t="s">
        <v>68</v>
      </c>
      <c r="AV1679" t="s">
        <v>69</v>
      </c>
      <c r="AW1679" s="1">
        <v>20752</v>
      </c>
      <c r="AX1679">
        <v>2</v>
      </c>
    </row>
    <row r="1680" spans="1:50">
      <c r="A1680">
        <v>159545</v>
      </c>
      <c r="B1680" t="str">
        <f>"031811769"</f>
        <v>031811769</v>
      </c>
      <c r="C1680" t="s">
        <v>50</v>
      </c>
      <c r="D1680" t="s">
        <v>3651</v>
      </c>
      <c r="E1680" t="s">
        <v>250</v>
      </c>
      <c r="F1680" t="s">
        <v>1330</v>
      </c>
      <c r="G1680" t="s">
        <v>3652</v>
      </c>
      <c r="H1680" t="str">
        <f>"ΣΟΦ. ΒΕΝΙΖΕΛΟΥ  55 ΑΓΙΑ ΤΡΙΑΔΑ"</f>
        <v>ΣΟΦ. ΒΕΝΙΖΕΛΟΥ  55 ΑΓΙΑ ΤΡΙΑΔΑ</v>
      </c>
      <c r="I1680">
        <v>71202</v>
      </c>
      <c r="J1680">
        <v>2810283022</v>
      </c>
      <c r="K1680">
        <v>6972035985</v>
      </c>
      <c r="M1680" t="s">
        <v>3653</v>
      </c>
      <c r="N1680" t="s">
        <v>146</v>
      </c>
      <c r="O1680" t="s">
        <v>147</v>
      </c>
      <c r="R1680" t="s">
        <v>57</v>
      </c>
      <c r="S1680">
        <v>15</v>
      </c>
      <c r="T1680">
        <v>161</v>
      </c>
      <c r="U1680" s="1">
        <v>33119</v>
      </c>
      <c r="V1680" t="s">
        <v>123</v>
      </c>
      <c r="W1680" t="s">
        <v>124</v>
      </c>
      <c r="X1680" t="s">
        <v>58</v>
      </c>
      <c r="Y1680">
        <v>18</v>
      </c>
      <c r="Z1680" t="s">
        <v>59</v>
      </c>
      <c r="AA1680" t="s">
        <v>59</v>
      </c>
      <c r="AB1680" t="s">
        <v>59</v>
      </c>
      <c r="AC1680" t="s">
        <v>59</v>
      </c>
      <c r="AD1680" t="s">
        <v>59</v>
      </c>
      <c r="AF1680" s="1">
        <v>33123</v>
      </c>
      <c r="AG1680" t="s">
        <v>148</v>
      </c>
      <c r="AH1680" t="s">
        <v>149</v>
      </c>
      <c r="AI1680" t="str">
        <f>"1777010"</f>
        <v>1777010</v>
      </c>
      <c r="AJ1680" t="s">
        <v>612</v>
      </c>
      <c r="AK1680">
        <v>2810229220</v>
      </c>
      <c r="AL1680" t="s">
        <v>613</v>
      </c>
      <c r="AM1680" t="s">
        <v>78</v>
      </c>
      <c r="AN1680" t="s">
        <v>78</v>
      </c>
      <c r="AO1680" t="s">
        <v>286</v>
      </c>
      <c r="AP1680" t="s">
        <v>286</v>
      </c>
      <c r="AQ1680">
        <v>12</v>
      </c>
      <c r="AR1680" t="s">
        <v>123</v>
      </c>
      <c r="AS1680" t="s">
        <v>124</v>
      </c>
      <c r="AT1680" t="s">
        <v>58</v>
      </c>
      <c r="AU1680" t="s">
        <v>68</v>
      </c>
      <c r="AV1680" t="s">
        <v>69</v>
      </c>
      <c r="AW1680" s="1">
        <v>23215</v>
      </c>
      <c r="AX1680">
        <v>2</v>
      </c>
    </row>
    <row r="1681" spans="1:50">
      <c r="A1681">
        <v>200143</v>
      </c>
      <c r="B1681" t="str">
        <f>"109147240"</f>
        <v>109147240</v>
      </c>
      <c r="C1681" t="s">
        <v>105</v>
      </c>
      <c r="D1681" t="s">
        <v>3654</v>
      </c>
      <c r="E1681" t="s">
        <v>95</v>
      </c>
      <c r="F1681" t="s">
        <v>106</v>
      </c>
      <c r="G1681" t="s">
        <v>3249</v>
      </c>
      <c r="H1681" t="str">
        <f>"ΛΑΜΠΡΟΥ ΚΑΤΣΩΝΗ 1-Α ΗΡΑΚΛΕΙΟ"</f>
        <v>ΛΑΜΠΡΟΥ ΚΑΤΣΩΝΗ 1-Α ΗΡΑΚΛΕΙΟ</v>
      </c>
      <c r="I1681">
        <v>71305</v>
      </c>
      <c r="J1681">
        <v>2810311572</v>
      </c>
      <c r="K1681">
        <v>6977382248</v>
      </c>
      <c r="M1681" t="s">
        <v>3655</v>
      </c>
      <c r="N1681" t="s">
        <v>204</v>
      </c>
      <c r="O1681" t="s">
        <v>205</v>
      </c>
      <c r="R1681" t="s">
        <v>57</v>
      </c>
      <c r="S1681">
        <v>9</v>
      </c>
      <c r="T1681">
        <v>206</v>
      </c>
      <c r="U1681" s="1">
        <v>37866</v>
      </c>
      <c r="V1681" t="s">
        <v>123</v>
      </c>
      <c r="W1681" t="s">
        <v>124</v>
      </c>
      <c r="X1681" t="s">
        <v>58</v>
      </c>
      <c r="Y1681">
        <v>20</v>
      </c>
      <c r="Z1681" t="s">
        <v>59</v>
      </c>
      <c r="AA1681" t="s">
        <v>59</v>
      </c>
      <c r="AB1681" t="s">
        <v>59</v>
      </c>
      <c r="AC1681" t="s">
        <v>59</v>
      </c>
      <c r="AD1681" t="s">
        <v>59</v>
      </c>
      <c r="AF1681" s="1">
        <v>37866</v>
      </c>
      <c r="AG1681" t="s">
        <v>125</v>
      </c>
      <c r="AH1681" t="s">
        <v>126</v>
      </c>
      <c r="AI1681" t="str">
        <f>"1701090"</f>
        <v>1701090</v>
      </c>
      <c r="AJ1681" t="s">
        <v>435</v>
      </c>
      <c r="AK1681">
        <v>2810871288</v>
      </c>
      <c r="AL1681" t="s">
        <v>436</v>
      </c>
      <c r="AM1681" t="s">
        <v>78</v>
      </c>
      <c r="AN1681" t="s">
        <v>78</v>
      </c>
      <c r="AO1681" t="s">
        <v>437</v>
      </c>
      <c r="AP1681" t="s">
        <v>438</v>
      </c>
      <c r="AQ1681">
        <v>26</v>
      </c>
      <c r="AR1681" t="s">
        <v>123</v>
      </c>
      <c r="AS1681" t="s">
        <v>124</v>
      </c>
      <c r="AT1681" t="s">
        <v>58</v>
      </c>
      <c r="AU1681" t="s">
        <v>68</v>
      </c>
      <c r="AV1681" t="s">
        <v>69</v>
      </c>
      <c r="AW1681" s="1">
        <v>28443</v>
      </c>
      <c r="AX1681">
        <v>2</v>
      </c>
    </row>
    <row r="1682" spans="1:50">
      <c r="A1682">
        <v>183584</v>
      </c>
      <c r="B1682" t="str">
        <f>"045542122"</f>
        <v>045542122</v>
      </c>
      <c r="C1682" t="s">
        <v>50</v>
      </c>
      <c r="D1682" t="s">
        <v>3656</v>
      </c>
      <c r="E1682" t="s">
        <v>255</v>
      </c>
      <c r="F1682" t="s">
        <v>99</v>
      </c>
      <c r="G1682" t="s">
        <v>52</v>
      </c>
      <c r="H1682" t="str">
        <f>"ΗΓΟΥΜΕΝΙΤΣΗΣ 3 "</f>
        <v xml:space="preserve">ΗΓΟΥΜΕΝΙΤΣΗΣ 3 </v>
      </c>
      <c r="I1682">
        <v>71409</v>
      </c>
      <c r="J1682">
        <v>2810325907</v>
      </c>
      <c r="K1682">
        <v>6936800155</v>
      </c>
      <c r="M1682" t="s">
        <v>3657</v>
      </c>
      <c r="N1682" t="s">
        <v>146</v>
      </c>
      <c r="O1682" t="s">
        <v>147</v>
      </c>
      <c r="R1682" t="s">
        <v>57</v>
      </c>
      <c r="S1682">
        <v>11</v>
      </c>
      <c r="T1682">
        <v>177</v>
      </c>
      <c r="U1682" s="1">
        <v>36403</v>
      </c>
      <c r="V1682" t="s">
        <v>123</v>
      </c>
      <c r="W1682" t="s">
        <v>124</v>
      </c>
      <c r="X1682" t="s">
        <v>58</v>
      </c>
      <c r="Y1682">
        <v>18</v>
      </c>
      <c r="Z1682" t="s">
        <v>59</v>
      </c>
      <c r="AA1682" t="s">
        <v>59</v>
      </c>
      <c r="AB1682" t="s">
        <v>59</v>
      </c>
      <c r="AC1682" t="s">
        <v>59</v>
      </c>
      <c r="AD1682" t="s">
        <v>59</v>
      </c>
      <c r="AF1682" s="1">
        <v>36404</v>
      </c>
      <c r="AG1682" t="s">
        <v>125</v>
      </c>
      <c r="AH1682" t="s">
        <v>126</v>
      </c>
      <c r="AI1682" t="str">
        <f>"1701030"</f>
        <v>1701030</v>
      </c>
      <c r="AJ1682" t="s">
        <v>270</v>
      </c>
      <c r="AK1682">
        <v>2810361015</v>
      </c>
      <c r="AL1682" t="s">
        <v>271</v>
      </c>
      <c r="AM1682" t="s">
        <v>78</v>
      </c>
      <c r="AN1682" t="s">
        <v>78</v>
      </c>
      <c r="AO1682" t="s">
        <v>78</v>
      </c>
      <c r="AP1682" t="s">
        <v>163</v>
      </c>
      <c r="AQ1682">
        <v>2</v>
      </c>
      <c r="AR1682" t="s">
        <v>123</v>
      </c>
      <c r="AS1682" t="s">
        <v>124</v>
      </c>
      <c r="AT1682" t="s">
        <v>58</v>
      </c>
      <c r="AU1682" t="s">
        <v>68</v>
      </c>
      <c r="AV1682" t="s">
        <v>69</v>
      </c>
      <c r="AW1682" s="1">
        <v>24999</v>
      </c>
      <c r="AX1682">
        <v>2</v>
      </c>
    </row>
    <row r="1683" spans="1:50">
      <c r="A1683">
        <v>199309</v>
      </c>
      <c r="B1683" t="str">
        <f>"035747494"</f>
        <v>035747494</v>
      </c>
      <c r="C1683" t="s">
        <v>50</v>
      </c>
      <c r="D1683" t="s">
        <v>3656</v>
      </c>
      <c r="E1683" t="s">
        <v>52</v>
      </c>
      <c r="F1683" t="s">
        <v>693</v>
      </c>
      <c r="G1683" t="s">
        <v>1068</v>
      </c>
      <c r="H1683" t="str">
        <f>" "</f>
        <v xml:space="preserve"> </v>
      </c>
      <c r="J1683">
        <v>2102460333</v>
      </c>
      <c r="K1683">
        <v>6977718276</v>
      </c>
      <c r="M1683" t="s">
        <v>3658</v>
      </c>
      <c r="N1683" t="s">
        <v>1351</v>
      </c>
      <c r="O1683" t="s">
        <v>1352</v>
      </c>
      <c r="R1683" t="s">
        <v>57</v>
      </c>
      <c r="S1683">
        <v>15</v>
      </c>
      <c r="T1683">
        <v>206</v>
      </c>
      <c r="U1683" s="1">
        <v>37866</v>
      </c>
      <c r="V1683" t="s">
        <v>123</v>
      </c>
      <c r="W1683" t="s">
        <v>124</v>
      </c>
      <c r="X1683" t="s">
        <v>58</v>
      </c>
      <c r="Y1683">
        <v>20</v>
      </c>
      <c r="Z1683" t="s">
        <v>59</v>
      </c>
      <c r="AA1683" t="s">
        <v>59</v>
      </c>
      <c r="AB1683" t="s">
        <v>59</v>
      </c>
      <c r="AC1683" t="s">
        <v>59</v>
      </c>
      <c r="AD1683" t="s">
        <v>59</v>
      </c>
      <c r="AF1683" s="1">
        <v>37868</v>
      </c>
      <c r="AG1683" t="s">
        <v>137</v>
      </c>
      <c r="AH1683" t="s">
        <v>138</v>
      </c>
      <c r="AI1683" t="str">
        <f>"1740080"</f>
        <v>1740080</v>
      </c>
      <c r="AJ1683" t="s">
        <v>284</v>
      </c>
      <c r="AK1683">
        <v>2810220433</v>
      </c>
      <c r="AL1683" t="s">
        <v>285</v>
      </c>
      <c r="AM1683" t="s">
        <v>78</v>
      </c>
      <c r="AN1683" t="s">
        <v>78</v>
      </c>
      <c r="AO1683" t="s">
        <v>286</v>
      </c>
      <c r="AP1683" t="s">
        <v>286</v>
      </c>
      <c r="AQ1683">
        <v>12</v>
      </c>
      <c r="AR1683" t="s">
        <v>123</v>
      </c>
      <c r="AS1683" t="s">
        <v>124</v>
      </c>
      <c r="AT1683" t="s">
        <v>58</v>
      </c>
      <c r="AU1683" t="s">
        <v>68</v>
      </c>
      <c r="AV1683" t="s">
        <v>69</v>
      </c>
      <c r="AW1683" s="1">
        <v>24188</v>
      </c>
      <c r="AX1683">
        <v>2</v>
      </c>
    </row>
    <row r="1684" spans="1:50">
      <c r="A1684">
        <v>172605</v>
      </c>
      <c r="B1684" t="str">
        <f>"036444388"</f>
        <v>036444388</v>
      </c>
      <c r="C1684" t="s">
        <v>50</v>
      </c>
      <c r="D1684" t="s">
        <v>3659</v>
      </c>
      <c r="E1684" t="s">
        <v>237</v>
      </c>
      <c r="F1684" t="s">
        <v>84</v>
      </c>
      <c r="G1684" t="s">
        <v>250</v>
      </c>
      <c r="H1684" t="str">
        <f>" "</f>
        <v xml:space="preserve"> </v>
      </c>
      <c r="J1684">
        <v>2810262537</v>
      </c>
      <c r="K1684">
        <v>6982473220</v>
      </c>
      <c r="M1684" t="s">
        <v>3660</v>
      </c>
      <c r="N1684" t="s">
        <v>204</v>
      </c>
      <c r="O1684" t="s">
        <v>205</v>
      </c>
      <c r="R1684" t="s">
        <v>57</v>
      </c>
      <c r="S1684">
        <v>13</v>
      </c>
      <c r="T1684">
        <v>184</v>
      </c>
      <c r="U1684" s="1">
        <v>34941</v>
      </c>
      <c r="V1684" t="s">
        <v>123</v>
      </c>
      <c r="W1684" t="s">
        <v>124</v>
      </c>
      <c r="X1684" t="s">
        <v>58</v>
      </c>
      <c r="Y1684">
        <v>18</v>
      </c>
      <c r="Z1684" t="s">
        <v>59</v>
      </c>
      <c r="AA1684" t="s">
        <v>59</v>
      </c>
      <c r="AB1684" t="s">
        <v>59</v>
      </c>
      <c r="AC1684" t="s">
        <v>59</v>
      </c>
      <c r="AD1684" t="s">
        <v>59</v>
      </c>
      <c r="AF1684" s="1">
        <v>34947</v>
      </c>
      <c r="AG1684" t="s">
        <v>125</v>
      </c>
      <c r="AH1684" t="s">
        <v>126</v>
      </c>
      <c r="AI1684" t="str">
        <f>"1701055"</f>
        <v>1701055</v>
      </c>
      <c r="AJ1684" t="s">
        <v>301</v>
      </c>
      <c r="AK1684">
        <v>2810257353</v>
      </c>
      <c r="AL1684" t="s">
        <v>302</v>
      </c>
      <c r="AM1684" t="s">
        <v>78</v>
      </c>
      <c r="AN1684" t="s">
        <v>78</v>
      </c>
      <c r="AO1684" t="s">
        <v>78</v>
      </c>
      <c r="AP1684" t="s">
        <v>141</v>
      </c>
      <c r="AQ1684">
        <v>7</v>
      </c>
      <c r="AR1684" t="s">
        <v>123</v>
      </c>
      <c r="AS1684" t="s">
        <v>124</v>
      </c>
      <c r="AT1684" t="s">
        <v>58</v>
      </c>
      <c r="AU1684" t="s">
        <v>68</v>
      </c>
      <c r="AV1684" t="s">
        <v>69</v>
      </c>
      <c r="AW1684" s="1">
        <v>24039</v>
      </c>
      <c r="AX1684">
        <v>2</v>
      </c>
    </row>
    <row r="1685" spans="1:50">
      <c r="A1685">
        <v>185506</v>
      </c>
      <c r="B1685" t="str">
        <f>"054025940"</f>
        <v>054025940</v>
      </c>
      <c r="C1685" t="s">
        <v>105</v>
      </c>
      <c r="D1685" t="s">
        <v>3661</v>
      </c>
      <c r="E1685" t="s">
        <v>377</v>
      </c>
      <c r="F1685" t="s">
        <v>72</v>
      </c>
      <c r="G1685" t="s">
        <v>52</v>
      </c>
      <c r="H1685" t="str">
        <f>" "</f>
        <v xml:space="preserve"> </v>
      </c>
      <c r="J1685">
        <v>2810321798</v>
      </c>
      <c r="K1685">
        <v>6934456400</v>
      </c>
      <c r="N1685" t="s">
        <v>306</v>
      </c>
      <c r="O1685" t="s">
        <v>307</v>
      </c>
      <c r="R1685" t="s">
        <v>57</v>
      </c>
      <c r="S1685">
        <v>14</v>
      </c>
      <c r="T1685">
        <v>154</v>
      </c>
      <c r="U1685" s="1">
        <v>34225</v>
      </c>
      <c r="V1685" t="s">
        <v>123</v>
      </c>
      <c r="W1685" t="s">
        <v>124</v>
      </c>
      <c r="X1685" t="s">
        <v>58</v>
      </c>
      <c r="Y1685">
        <v>18</v>
      </c>
      <c r="Z1685" t="s">
        <v>59</v>
      </c>
      <c r="AA1685" t="s">
        <v>59</v>
      </c>
      <c r="AB1685" t="s">
        <v>59</v>
      </c>
      <c r="AC1685" t="s">
        <v>59</v>
      </c>
      <c r="AD1685" t="s">
        <v>59</v>
      </c>
      <c r="AF1685" s="1">
        <v>34226</v>
      </c>
      <c r="AG1685" t="s">
        <v>148</v>
      </c>
      <c r="AH1685" t="s">
        <v>149</v>
      </c>
      <c r="AI1685" t="str">
        <f>"1751041"</f>
        <v>1751041</v>
      </c>
      <c r="AJ1685" t="s">
        <v>353</v>
      </c>
      <c r="AK1685">
        <v>2810230207</v>
      </c>
      <c r="AL1685" t="s">
        <v>354</v>
      </c>
      <c r="AM1685" t="s">
        <v>78</v>
      </c>
      <c r="AN1685" t="s">
        <v>78</v>
      </c>
      <c r="AO1685" t="s">
        <v>78</v>
      </c>
      <c r="AP1685" t="s">
        <v>163</v>
      </c>
      <c r="AQ1685">
        <v>2</v>
      </c>
      <c r="AR1685" t="s">
        <v>123</v>
      </c>
      <c r="AS1685" t="s">
        <v>124</v>
      </c>
      <c r="AT1685" t="s">
        <v>58</v>
      </c>
      <c r="AU1685" t="s">
        <v>68</v>
      </c>
      <c r="AV1685" t="s">
        <v>69</v>
      </c>
      <c r="AW1685" s="1">
        <v>23426</v>
      </c>
      <c r="AX1685">
        <v>2</v>
      </c>
    </row>
    <row r="1686" spans="1:50">
      <c r="A1686">
        <v>194879</v>
      </c>
      <c r="B1686" t="str">
        <f>"034628944"</f>
        <v>034628944</v>
      </c>
      <c r="C1686" t="s">
        <v>105</v>
      </c>
      <c r="D1686" t="s">
        <v>3661</v>
      </c>
      <c r="E1686" t="s">
        <v>72</v>
      </c>
      <c r="F1686" t="s">
        <v>154</v>
      </c>
      <c r="G1686" t="s">
        <v>73</v>
      </c>
      <c r="H1686" t="str">
        <f>"ΓΙΑΝΝΗ ΨΥΧΑΡΗ 46 ΜΑΣΤΑΜΠΑΣ"</f>
        <v>ΓΙΑΝΝΗ ΨΥΧΑΡΗ 46 ΜΑΣΤΑΜΠΑΣ</v>
      </c>
      <c r="I1686">
        <v>71305</v>
      </c>
      <c r="J1686">
        <v>2810258800</v>
      </c>
      <c r="K1686">
        <v>6972188657</v>
      </c>
      <c r="M1686" t="s">
        <v>2371</v>
      </c>
      <c r="N1686" t="s">
        <v>587</v>
      </c>
      <c r="O1686" t="s">
        <v>588</v>
      </c>
      <c r="R1686" t="s">
        <v>57</v>
      </c>
      <c r="S1686">
        <v>11</v>
      </c>
      <c r="T1686">
        <v>193</v>
      </c>
      <c r="U1686" s="1">
        <v>37497</v>
      </c>
      <c r="V1686" t="s">
        <v>123</v>
      </c>
      <c r="W1686" t="s">
        <v>124</v>
      </c>
      <c r="X1686" t="s">
        <v>58</v>
      </c>
      <c r="Y1686">
        <v>18</v>
      </c>
      <c r="Z1686" t="s">
        <v>59</v>
      </c>
      <c r="AA1686" t="s">
        <v>59</v>
      </c>
      <c r="AB1686" t="s">
        <v>59</v>
      </c>
      <c r="AC1686" t="s">
        <v>59</v>
      </c>
      <c r="AD1686" t="s">
        <v>59</v>
      </c>
      <c r="AF1686" s="1">
        <v>37501</v>
      </c>
      <c r="AG1686" t="s">
        <v>125</v>
      </c>
      <c r="AH1686" t="s">
        <v>126</v>
      </c>
      <c r="AI1686" t="str">
        <f>"1727010"</f>
        <v>1727010</v>
      </c>
      <c r="AJ1686" t="s">
        <v>618</v>
      </c>
      <c r="AK1686">
        <v>2810229231</v>
      </c>
      <c r="AL1686" t="s">
        <v>619</v>
      </c>
      <c r="AM1686" t="s">
        <v>78</v>
      </c>
      <c r="AN1686" t="s">
        <v>78</v>
      </c>
      <c r="AO1686" t="s">
        <v>286</v>
      </c>
      <c r="AP1686" t="s">
        <v>286</v>
      </c>
      <c r="AQ1686">
        <v>12</v>
      </c>
      <c r="AR1686" t="s">
        <v>123</v>
      </c>
      <c r="AS1686" t="s">
        <v>124</v>
      </c>
      <c r="AT1686" t="s">
        <v>58</v>
      </c>
      <c r="AU1686" t="s">
        <v>68</v>
      </c>
      <c r="AV1686" t="s">
        <v>69</v>
      </c>
      <c r="AW1686" s="1">
        <v>21567</v>
      </c>
      <c r="AX1686">
        <v>2</v>
      </c>
    </row>
    <row r="1687" spans="1:50">
      <c r="A1687">
        <v>225443</v>
      </c>
      <c r="B1687" t="str">
        <f>"051817280"</f>
        <v>051817280</v>
      </c>
      <c r="C1687" t="s">
        <v>50</v>
      </c>
      <c r="D1687" t="s">
        <v>3662</v>
      </c>
      <c r="E1687" t="s">
        <v>52</v>
      </c>
      <c r="F1687" t="s">
        <v>1316</v>
      </c>
      <c r="G1687" t="s">
        <v>2248</v>
      </c>
      <c r="H1687" t="str">
        <f>" "</f>
        <v xml:space="preserve"> </v>
      </c>
      <c r="J1687">
        <v>2810325134</v>
      </c>
      <c r="K1687">
        <v>6944437842</v>
      </c>
      <c r="N1687" t="s">
        <v>299</v>
      </c>
      <c r="O1687" t="s">
        <v>300</v>
      </c>
      <c r="R1687" t="s">
        <v>57</v>
      </c>
      <c r="S1687">
        <v>5</v>
      </c>
      <c r="T1687">
        <v>775</v>
      </c>
      <c r="U1687" s="1">
        <v>39680</v>
      </c>
      <c r="V1687" t="s">
        <v>123</v>
      </c>
      <c r="W1687" t="s">
        <v>124</v>
      </c>
      <c r="X1687" t="s">
        <v>58</v>
      </c>
      <c r="Y1687">
        <v>21</v>
      </c>
      <c r="Z1687" t="s">
        <v>59</v>
      </c>
      <c r="AA1687" t="s">
        <v>59</v>
      </c>
      <c r="AB1687" t="s">
        <v>59</v>
      </c>
      <c r="AC1687" t="s">
        <v>59</v>
      </c>
      <c r="AD1687" t="s">
        <v>59</v>
      </c>
      <c r="AF1687" s="1">
        <v>39682</v>
      </c>
      <c r="AG1687" t="s">
        <v>137</v>
      </c>
      <c r="AH1687" t="s">
        <v>469</v>
      </c>
      <c r="AI1687" t="str">
        <f>"1740200"</f>
        <v>1740200</v>
      </c>
      <c r="AJ1687" t="s">
        <v>470</v>
      </c>
      <c r="AK1687">
        <v>2810320770</v>
      </c>
      <c r="AL1687" t="s">
        <v>471</v>
      </c>
      <c r="AM1687" t="s">
        <v>78</v>
      </c>
      <c r="AN1687" t="s">
        <v>78</v>
      </c>
      <c r="AO1687" t="s">
        <v>78</v>
      </c>
      <c r="AP1687" t="s">
        <v>163</v>
      </c>
      <c r="AQ1687">
        <v>2</v>
      </c>
      <c r="AR1687" t="s">
        <v>123</v>
      </c>
      <c r="AS1687" t="s">
        <v>124</v>
      </c>
      <c r="AT1687" t="s">
        <v>58</v>
      </c>
      <c r="AU1687" t="s">
        <v>68</v>
      </c>
      <c r="AV1687" t="s">
        <v>357</v>
      </c>
      <c r="AW1687" s="1">
        <v>24598</v>
      </c>
      <c r="AX1687">
        <v>2</v>
      </c>
    </row>
    <row r="1688" spans="1:50">
      <c r="A1688">
        <v>196074</v>
      </c>
      <c r="B1688" t="str">
        <f>"075085974"</f>
        <v>075085974</v>
      </c>
      <c r="C1688" t="s">
        <v>50</v>
      </c>
      <c r="D1688" t="s">
        <v>3663</v>
      </c>
      <c r="E1688" t="s">
        <v>1155</v>
      </c>
      <c r="F1688" t="s">
        <v>99</v>
      </c>
      <c r="G1688" t="s">
        <v>787</v>
      </c>
      <c r="H1688" t="str">
        <f>" "</f>
        <v xml:space="preserve"> </v>
      </c>
      <c r="M1688" t="s">
        <v>3664</v>
      </c>
      <c r="N1688" t="s">
        <v>547</v>
      </c>
      <c r="O1688" t="s">
        <v>548</v>
      </c>
      <c r="R1688" t="s">
        <v>57</v>
      </c>
      <c r="S1688">
        <v>9</v>
      </c>
      <c r="T1688">
        <v>194</v>
      </c>
      <c r="U1688" s="1">
        <v>37497</v>
      </c>
      <c r="V1688" t="s">
        <v>123</v>
      </c>
      <c r="W1688" t="s">
        <v>124</v>
      </c>
      <c r="X1688" t="s">
        <v>58</v>
      </c>
      <c r="Y1688">
        <v>20</v>
      </c>
      <c r="Z1688" t="s">
        <v>59</v>
      </c>
      <c r="AA1688" t="s">
        <v>59</v>
      </c>
      <c r="AB1688" t="s">
        <v>59</v>
      </c>
      <c r="AC1688" t="s">
        <v>59</v>
      </c>
      <c r="AD1688" t="s">
        <v>59</v>
      </c>
      <c r="AF1688" s="1">
        <v>37508</v>
      </c>
      <c r="AG1688" t="s">
        <v>137</v>
      </c>
      <c r="AH1688" t="s">
        <v>138</v>
      </c>
      <c r="AI1688" t="str">
        <f>"1740100"</f>
        <v>1740100</v>
      </c>
      <c r="AJ1688" t="s">
        <v>857</v>
      </c>
      <c r="AK1688">
        <v>2810360741</v>
      </c>
      <c r="AL1688" t="s">
        <v>858</v>
      </c>
      <c r="AM1688" t="s">
        <v>78</v>
      </c>
      <c r="AN1688" t="s">
        <v>78</v>
      </c>
      <c r="AO1688" t="s">
        <v>78</v>
      </c>
      <c r="AP1688" t="s">
        <v>163</v>
      </c>
      <c r="AQ1688">
        <v>5</v>
      </c>
      <c r="AR1688" t="s">
        <v>123</v>
      </c>
      <c r="AS1688" t="s">
        <v>124</v>
      </c>
      <c r="AT1688" t="s">
        <v>58</v>
      </c>
      <c r="AU1688" t="s">
        <v>68</v>
      </c>
      <c r="AV1688" t="s">
        <v>69</v>
      </c>
      <c r="AW1688" s="1">
        <v>26564</v>
      </c>
      <c r="AX1688">
        <v>2</v>
      </c>
    </row>
    <row r="1689" spans="1:50">
      <c r="A1689">
        <v>186361</v>
      </c>
      <c r="B1689" t="str">
        <f>"073566657"</f>
        <v>073566657</v>
      </c>
      <c r="C1689" t="s">
        <v>50</v>
      </c>
      <c r="D1689" t="s">
        <v>3665</v>
      </c>
      <c r="E1689" t="s">
        <v>3666</v>
      </c>
      <c r="F1689" t="s">
        <v>1506</v>
      </c>
      <c r="G1689" t="s">
        <v>83</v>
      </c>
      <c r="H1689" t="str">
        <f>"ΘΕΝΩΝ 82 ΗΡΑΚΛΕΙΟ"</f>
        <v>ΘΕΝΩΝ 82 ΗΡΑΚΛΕΙΟ</v>
      </c>
      <c r="I1689">
        <v>71305</v>
      </c>
      <c r="J1689">
        <v>2810262956</v>
      </c>
      <c r="K1689">
        <v>6932383581</v>
      </c>
      <c r="N1689" t="s">
        <v>157</v>
      </c>
      <c r="O1689" t="s">
        <v>158</v>
      </c>
      <c r="R1689" t="s">
        <v>57</v>
      </c>
      <c r="S1689">
        <v>9</v>
      </c>
      <c r="T1689">
        <v>251</v>
      </c>
      <c r="U1689" s="1">
        <v>36769</v>
      </c>
      <c r="V1689" t="s">
        <v>123</v>
      </c>
      <c r="W1689" t="s">
        <v>124</v>
      </c>
      <c r="X1689" t="s">
        <v>58</v>
      </c>
      <c r="Y1689">
        <v>18</v>
      </c>
      <c r="Z1689" t="s">
        <v>59</v>
      </c>
      <c r="AA1689" t="s">
        <v>59</v>
      </c>
      <c r="AB1689" t="s">
        <v>59</v>
      </c>
      <c r="AC1689" t="s">
        <v>59</v>
      </c>
      <c r="AD1689" t="s">
        <v>59</v>
      </c>
      <c r="AF1689" s="1">
        <v>36773</v>
      </c>
      <c r="AG1689" t="s">
        <v>137</v>
      </c>
      <c r="AH1689" t="s">
        <v>138</v>
      </c>
      <c r="AI1689" t="str">
        <f>"1740100"</f>
        <v>1740100</v>
      </c>
      <c r="AJ1689" t="s">
        <v>857</v>
      </c>
      <c r="AK1689">
        <v>2810360741</v>
      </c>
      <c r="AL1689" t="s">
        <v>858</v>
      </c>
      <c r="AM1689" t="s">
        <v>78</v>
      </c>
      <c r="AN1689" t="s">
        <v>78</v>
      </c>
      <c r="AO1689" t="s">
        <v>78</v>
      </c>
      <c r="AP1689" t="s">
        <v>163</v>
      </c>
      <c r="AQ1689">
        <v>5</v>
      </c>
      <c r="AR1689" t="s">
        <v>123</v>
      </c>
      <c r="AS1689" t="s">
        <v>124</v>
      </c>
      <c r="AT1689" t="s">
        <v>58</v>
      </c>
      <c r="AU1689" t="s">
        <v>68</v>
      </c>
      <c r="AV1689" t="s">
        <v>69</v>
      </c>
      <c r="AW1689" s="1">
        <v>23874</v>
      </c>
      <c r="AX1689">
        <v>2</v>
      </c>
    </row>
    <row r="1690" spans="1:50">
      <c r="A1690">
        <v>176856</v>
      </c>
      <c r="B1690" t="str">
        <f>"103836186"</f>
        <v>103836186</v>
      </c>
      <c r="C1690" t="s">
        <v>50</v>
      </c>
      <c r="D1690" t="s">
        <v>3667</v>
      </c>
      <c r="E1690" t="s">
        <v>155</v>
      </c>
      <c r="F1690" t="s">
        <v>1868</v>
      </c>
      <c r="G1690" t="s">
        <v>658</v>
      </c>
      <c r="H1690" t="str">
        <f>"ΘΕΡΙΣΣΟΥ 34 ΧΑΝΙΩΠΟΡΤΑ"</f>
        <v>ΘΕΡΙΣΣΟΥ 34 ΧΑΝΙΩΠΟΡΤΑ</v>
      </c>
      <c r="I1690">
        <v>71304</v>
      </c>
      <c r="J1690">
        <v>2810313795</v>
      </c>
      <c r="K1690">
        <v>6973097139</v>
      </c>
      <c r="M1690" t="s">
        <v>3668</v>
      </c>
      <c r="N1690" t="s">
        <v>288</v>
      </c>
      <c r="O1690" t="s">
        <v>289</v>
      </c>
      <c r="R1690" t="s">
        <v>57</v>
      </c>
      <c r="S1690">
        <v>11</v>
      </c>
      <c r="T1690">
        <v>180</v>
      </c>
      <c r="U1690" s="1">
        <v>35674</v>
      </c>
      <c r="V1690" t="s">
        <v>123</v>
      </c>
      <c r="W1690" t="s">
        <v>124</v>
      </c>
      <c r="X1690" t="s">
        <v>58</v>
      </c>
      <c r="Y1690">
        <v>18</v>
      </c>
      <c r="Z1690" t="s">
        <v>59</v>
      </c>
      <c r="AA1690" t="s">
        <v>59</v>
      </c>
      <c r="AB1690" t="s">
        <v>59</v>
      </c>
      <c r="AC1690" t="s">
        <v>59</v>
      </c>
      <c r="AD1690" t="s">
        <v>59</v>
      </c>
      <c r="AF1690" s="1">
        <v>35674</v>
      </c>
      <c r="AG1690" t="s">
        <v>125</v>
      </c>
      <c r="AH1690" t="s">
        <v>126</v>
      </c>
      <c r="AI1690" t="str">
        <f>"1701020"</f>
        <v>1701020</v>
      </c>
      <c r="AJ1690" t="s">
        <v>323</v>
      </c>
      <c r="AK1690">
        <v>2810252111</v>
      </c>
      <c r="AL1690" t="s">
        <v>324</v>
      </c>
      <c r="AM1690" t="s">
        <v>78</v>
      </c>
      <c r="AN1690" t="s">
        <v>78</v>
      </c>
      <c r="AO1690" t="s">
        <v>78</v>
      </c>
      <c r="AP1690" t="s">
        <v>163</v>
      </c>
      <c r="AQ1690">
        <v>3</v>
      </c>
      <c r="AR1690" t="s">
        <v>123</v>
      </c>
      <c r="AS1690" t="s">
        <v>124</v>
      </c>
      <c r="AT1690" t="s">
        <v>58</v>
      </c>
      <c r="AU1690" t="s">
        <v>68</v>
      </c>
      <c r="AV1690" t="s">
        <v>69</v>
      </c>
      <c r="AW1690" s="1">
        <v>22675</v>
      </c>
      <c r="AX1690">
        <v>2</v>
      </c>
    </row>
    <row r="1691" spans="1:50">
      <c r="A1691">
        <v>172865</v>
      </c>
      <c r="B1691" t="str">
        <f>"053580519"</f>
        <v>053580519</v>
      </c>
      <c r="C1691" t="s">
        <v>50</v>
      </c>
      <c r="D1691" t="s">
        <v>3669</v>
      </c>
      <c r="E1691" t="s">
        <v>52</v>
      </c>
      <c r="F1691" t="s">
        <v>84</v>
      </c>
      <c r="G1691" t="s">
        <v>181</v>
      </c>
      <c r="H1691" t="str">
        <f>" "</f>
        <v xml:space="preserve"> </v>
      </c>
      <c r="N1691" t="s">
        <v>3119</v>
      </c>
      <c r="O1691" t="s">
        <v>3120</v>
      </c>
      <c r="R1691" t="s">
        <v>57</v>
      </c>
      <c r="S1691">
        <v>12</v>
      </c>
      <c r="T1691">
        <v>184</v>
      </c>
      <c r="U1691" s="1">
        <v>34941</v>
      </c>
      <c r="V1691" t="s">
        <v>123</v>
      </c>
      <c r="W1691" t="s">
        <v>124</v>
      </c>
      <c r="X1691" t="s">
        <v>58</v>
      </c>
      <c r="Y1691">
        <v>18</v>
      </c>
      <c r="Z1691" t="s">
        <v>59</v>
      </c>
      <c r="AA1691" t="s">
        <v>59</v>
      </c>
      <c r="AB1691" t="s">
        <v>59</v>
      </c>
      <c r="AC1691" t="s">
        <v>59</v>
      </c>
      <c r="AD1691" t="s">
        <v>59</v>
      </c>
      <c r="AF1691" s="1">
        <v>34947</v>
      </c>
      <c r="AG1691" t="s">
        <v>137</v>
      </c>
      <c r="AH1691" t="s">
        <v>138</v>
      </c>
      <c r="AI1691" t="str">
        <f>"1740070"</f>
        <v>1740070</v>
      </c>
      <c r="AJ1691" t="s">
        <v>206</v>
      </c>
      <c r="AK1691">
        <v>2810324880</v>
      </c>
      <c r="AL1691" t="s">
        <v>207</v>
      </c>
      <c r="AM1691" t="s">
        <v>78</v>
      </c>
      <c r="AN1691" t="s">
        <v>78</v>
      </c>
      <c r="AO1691" t="s">
        <v>78</v>
      </c>
      <c r="AP1691" t="s">
        <v>163</v>
      </c>
      <c r="AQ1691">
        <v>9</v>
      </c>
      <c r="AR1691" t="s">
        <v>123</v>
      </c>
      <c r="AS1691" t="s">
        <v>124</v>
      </c>
      <c r="AT1691" t="s">
        <v>58</v>
      </c>
      <c r="AU1691" t="s">
        <v>68</v>
      </c>
      <c r="AV1691" t="s">
        <v>69</v>
      </c>
      <c r="AW1691" s="1">
        <v>26553</v>
      </c>
      <c r="AX1691">
        <v>2</v>
      </c>
    </row>
    <row r="1692" spans="1:50">
      <c r="A1692">
        <v>204148</v>
      </c>
      <c r="B1692" t="str">
        <f>"033925916"</f>
        <v>033925916</v>
      </c>
      <c r="C1692" t="s">
        <v>105</v>
      </c>
      <c r="D1692" t="s">
        <v>3670</v>
      </c>
      <c r="E1692" t="s">
        <v>92</v>
      </c>
      <c r="F1692" t="s">
        <v>95</v>
      </c>
      <c r="G1692" t="s">
        <v>3671</v>
      </c>
      <c r="H1692" t="str">
        <f>"ΝΙΡΒΑΝΑ 17 ΜΕΤΑΜΟΡΦΩΣΗ"</f>
        <v>ΝΙΡΒΑΝΑ 17 ΜΕΤΑΜΟΡΦΩΣΗ</v>
      </c>
      <c r="I1692">
        <v>14451</v>
      </c>
      <c r="J1692">
        <v>2102815751</v>
      </c>
      <c r="K1692">
        <v>6977280888</v>
      </c>
      <c r="N1692" t="s">
        <v>176</v>
      </c>
      <c r="O1692" t="s">
        <v>177</v>
      </c>
      <c r="R1692" t="s">
        <v>57</v>
      </c>
      <c r="S1692">
        <v>10</v>
      </c>
      <c r="T1692">
        <v>231</v>
      </c>
      <c r="U1692" s="1">
        <v>38230</v>
      </c>
      <c r="V1692" t="s">
        <v>123</v>
      </c>
      <c r="W1692" t="s">
        <v>124</v>
      </c>
      <c r="X1692" t="s">
        <v>58</v>
      </c>
      <c r="Y1692">
        <v>18</v>
      </c>
      <c r="Z1692" t="s">
        <v>59</v>
      </c>
      <c r="AA1692" t="s">
        <v>59</v>
      </c>
      <c r="AB1692" t="s">
        <v>59</v>
      </c>
      <c r="AC1692" t="s">
        <v>59</v>
      </c>
      <c r="AD1692" t="s">
        <v>59</v>
      </c>
      <c r="AF1692" s="1">
        <v>38232</v>
      </c>
      <c r="AG1692" t="s">
        <v>148</v>
      </c>
      <c r="AH1692" t="s">
        <v>149</v>
      </c>
      <c r="AI1692" t="str">
        <f>"1751010"</f>
        <v>1751010</v>
      </c>
      <c r="AJ1692" t="s">
        <v>150</v>
      </c>
      <c r="AK1692">
        <v>2810346092</v>
      </c>
      <c r="AL1692" t="s">
        <v>151</v>
      </c>
      <c r="AM1692" t="s">
        <v>78</v>
      </c>
      <c r="AN1692" t="s">
        <v>78</v>
      </c>
      <c r="AO1692" t="s">
        <v>78</v>
      </c>
      <c r="AP1692" t="s">
        <v>79</v>
      </c>
      <c r="AQ1692">
        <v>1</v>
      </c>
      <c r="AR1692" t="s">
        <v>123</v>
      </c>
      <c r="AS1692" t="s">
        <v>124</v>
      </c>
      <c r="AT1692" t="s">
        <v>58</v>
      </c>
      <c r="AU1692" t="s">
        <v>68</v>
      </c>
      <c r="AV1692" t="s">
        <v>69</v>
      </c>
      <c r="AW1692" s="1">
        <v>23126</v>
      </c>
      <c r="AX1692">
        <v>2</v>
      </c>
    </row>
    <row r="1693" spans="1:50">
      <c r="A1693">
        <v>210634</v>
      </c>
      <c r="B1693" t="str">
        <f>"136709675"</f>
        <v>136709675</v>
      </c>
      <c r="C1693" t="s">
        <v>50</v>
      </c>
      <c r="D1693" t="s">
        <v>3672</v>
      </c>
      <c r="E1693" t="s">
        <v>600</v>
      </c>
      <c r="F1693" t="s">
        <v>383</v>
      </c>
      <c r="G1693" t="s">
        <v>52</v>
      </c>
      <c r="H1693" t="str">
        <f>" "</f>
        <v xml:space="preserve"> </v>
      </c>
      <c r="J1693">
        <v>2431023400</v>
      </c>
      <c r="K1693">
        <v>6936563636</v>
      </c>
      <c r="M1693" t="s">
        <v>3673</v>
      </c>
      <c r="N1693" t="s">
        <v>306</v>
      </c>
      <c r="O1693" t="s">
        <v>307</v>
      </c>
      <c r="R1693" t="s">
        <v>57</v>
      </c>
      <c r="S1693">
        <v>12</v>
      </c>
      <c r="T1693">
        <v>249</v>
      </c>
      <c r="U1693" s="1">
        <v>38617</v>
      </c>
      <c r="V1693" t="s">
        <v>123</v>
      </c>
      <c r="W1693" t="s">
        <v>124</v>
      </c>
      <c r="X1693" t="s">
        <v>58</v>
      </c>
      <c r="Y1693">
        <v>20</v>
      </c>
      <c r="Z1693" t="s">
        <v>59</v>
      </c>
      <c r="AA1693" t="s">
        <v>59</v>
      </c>
      <c r="AB1693" t="s">
        <v>452</v>
      </c>
      <c r="AC1693" t="s">
        <v>59</v>
      </c>
      <c r="AD1693" t="s">
        <v>59</v>
      </c>
      <c r="AF1693" s="1">
        <v>38618</v>
      </c>
      <c r="AG1693" t="s">
        <v>125</v>
      </c>
      <c r="AH1693" t="s">
        <v>386</v>
      </c>
      <c r="AI1693" t="str">
        <f>"1741002"</f>
        <v>1741002</v>
      </c>
      <c r="AJ1693" t="s">
        <v>387</v>
      </c>
      <c r="AK1693">
        <v>2810762610</v>
      </c>
      <c r="AL1693" t="s">
        <v>388</v>
      </c>
      <c r="AM1693" t="s">
        <v>78</v>
      </c>
      <c r="AN1693" t="s">
        <v>219</v>
      </c>
      <c r="AO1693" t="s">
        <v>297</v>
      </c>
      <c r="AP1693" t="s">
        <v>297</v>
      </c>
      <c r="AQ1693">
        <v>10</v>
      </c>
      <c r="AR1693" t="s">
        <v>123</v>
      </c>
      <c r="AS1693" t="s">
        <v>124</v>
      </c>
      <c r="AT1693" t="s">
        <v>58</v>
      </c>
      <c r="AU1693" t="s">
        <v>68</v>
      </c>
      <c r="AV1693" t="s">
        <v>69</v>
      </c>
      <c r="AW1693" s="1">
        <v>30187</v>
      </c>
      <c r="AX1693">
        <v>2</v>
      </c>
    </row>
    <row r="1694" spans="1:50">
      <c r="A1694">
        <v>160310</v>
      </c>
      <c r="B1694" t="str">
        <f>"030326336"</f>
        <v>030326336</v>
      </c>
      <c r="C1694" t="s">
        <v>105</v>
      </c>
      <c r="D1694" t="s">
        <v>3674</v>
      </c>
      <c r="E1694" t="s">
        <v>377</v>
      </c>
      <c r="F1694" t="s">
        <v>53</v>
      </c>
      <c r="G1694" t="s">
        <v>52</v>
      </c>
      <c r="H1694" t="str">
        <f>" "</f>
        <v xml:space="preserve"> </v>
      </c>
      <c r="M1694" t="s">
        <v>3675</v>
      </c>
      <c r="N1694" t="s">
        <v>199</v>
      </c>
      <c r="O1694" t="s">
        <v>200</v>
      </c>
      <c r="R1694" t="s">
        <v>57</v>
      </c>
      <c r="S1694">
        <v>13</v>
      </c>
      <c r="T1694">
        <v>161</v>
      </c>
      <c r="U1694" s="1">
        <v>33119</v>
      </c>
      <c r="V1694" t="s">
        <v>123</v>
      </c>
      <c r="W1694" t="s">
        <v>124</v>
      </c>
      <c r="X1694" t="s">
        <v>58</v>
      </c>
      <c r="Y1694">
        <v>18</v>
      </c>
      <c r="Z1694" t="s">
        <v>59</v>
      </c>
      <c r="AA1694" t="s">
        <v>59</v>
      </c>
      <c r="AB1694" t="s">
        <v>59</v>
      </c>
      <c r="AC1694" t="s">
        <v>59</v>
      </c>
      <c r="AD1694" t="s">
        <v>59</v>
      </c>
      <c r="AF1694" s="1">
        <v>33123</v>
      </c>
      <c r="AG1694" t="s">
        <v>125</v>
      </c>
      <c r="AH1694" t="s">
        <v>126</v>
      </c>
      <c r="AI1694" t="str">
        <f>"1703010"</f>
        <v>1703010</v>
      </c>
      <c r="AJ1694" t="s">
        <v>422</v>
      </c>
      <c r="AK1694">
        <v>2810751808</v>
      </c>
      <c r="AL1694" t="s">
        <v>423</v>
      </c>
      <c r="AM1694" t="s">
        <v>78</v>
      </c>
      <c r="AN1694" t="s">
        <v>424</v>
      </c>
      <c r="AO1694" t="s">
        <v>425</v>
      </c>
      <c r="AP1694" t="s">
        <v>425</v>
      </c>
      <c r="AQ1694">
        <v>13</v>
      </c>
      <c r="AR1694" t="s">
        <v>123</v>
      </c>
      <c r="AS1694" t="s">
        <v>124</v>
      </c>
      <c r="AT1694" t="s">
        <v>58</v>
      </c>
      <c r="AU1694" t="s">
        <v>68</v>
      </c>
      <c r="AV1694" t="s">
        <v>69</v>
      </c>
      <c r="AW1694" s="1">
        <v>20955</v>
      </c>
      <c r="AX1694">
        <v>2</v>
      </c>
    </row>
    <row r="1695" spans="1:50">
      <c r="A1695">
        <v>208899</v>
      </c>
      <c r="B1695" t="str">
        <f>"061181649"</f>
        <v>061181649</v>
      </c>
      <c r="C1695" t="s">
        <v>50</v>
      </c>
      <c r="D1695" t="s">
        <v>3676</v>
      </c>
      <c r="E1695" t="s">
        <v>155</v>
      </c>
      <c r="F1695" t="s">
        <v>84</v>
      </c>
      <c r="G1695" t="s">
        <v>372</v>
      </c>
      <c r="H1695" t="str">
        <f>" "</f>
        <v xml:space="preserve"> </v>
      </c>
      <c r="K1695">
        <v>6932740344</v>
      </c>
      <c r="N1695" t="s">
        <v>168</v>
      </c>
      <c r="O1695" t="s">
        <v>169</v>
      </c>
      <c r="R1695" t="s">
        <v>57</v>
      </c>
      <c r="S1695">
        <v>9</v>
      </c>
      <c r="T1695">
        <v>218</v>
      </c>
      <c r="U1695" s="1">
        <v>38596</v>
      </c>
      <c r="V1695" t="s">
        <v>123</v>
      </c>
      <c r="W1695" t="s">
        <v>124</v>
      </c>
      <c r="X1695" t="s">
        <v>58</v>
      </c>
      <c r="Y1695">
        <v>20</v>
      </c>
      <c r="Z1695" t="s">
        <v>59</v>
      </c>
      <c r="AA1695" t="s">
        <v>59</v>
      </c>
      <c r="AB1695" t="s">
        <v>59</v>
      </c>
      <c r="AC1695" t="s">
        <v>59</v>
      </c>
      <c r="AD1695" t="s">
        <v>59</v>
      </c>
      <c r="AF1695" s="1">
        <v>38600</v>
      </c>
      <c r="AG1695" t="s">
        <v>137</v>
      </c>
      <c r="AH1695" t="s">
        <v>138</v>
      </c>
      <c r="AI1695" t="str">
        <f>"1750080"</f>
        <v>1750080</v>
      </c>
      <c r="AJ1695" t="s">
        <v>170</v>
      </c>
      <c r="AK1695">
        <v>2810234444</v>
      </c>
      <c r="AL1695" t="s">
        <v>171</v>
      </c>
      <c r="AM1695" t="s">
        <v>78</v>
      </c>
      <c r="AN1695" t="s">
        <v>78</v>
      </c>
      <c r="AO1695" t="s">
        <v>78</v>
      </c>
      <c r="AP1695" t="s">
        <v>163</v>
      </c>
      <c r="AQ1695">
        <v>9</v>
      </c>
      <c r="AR1695" t="s">
        <v>123</v>
      </c>
      <c r="AS1695" t="s">
        <v>124</v>
      </c>
      <c r="AT1695" t="s">
        <v>58</v>
      </c>
      <c r="AU1695" t="s">
        <v>68</v>
      </c>
      <c r="AV1695" t="s">
        <v>69</v>
      </c>
      <c r="AW1695" s="1">
        <v>25231</v>
      </c>
      <c r="AX1695">
        <v>2</v>
      </c>
    </row>
    <row r="1696" spans="1:50">
      <c r="A1696">
        <v>198181</v>
      </c>
      <c r="B1696" t="str">
        <f>"076396798"</f>
        <v>076396798</v>
      </c>
      <c r="C1696" t="s">
        <v>50</v>
      </c>
      <c r="D1696" t="s">
        <v>3677</v>
      </c>
      <c r="E1696" t="s">
        <v>52</v>
      </c>
      <c r="F1696" t="s">
        <v>3678</v>
      </c>
      <c r="G1696" t="s">
        <v>191</v>
      </c>
      <c r="H1696" t="str">
        <f>" "</f>
        <v xml:space="preserve"> </v>
      </c>
      <c r="J1696">
        <v>2810235780</v>
      </c>
      <c r="K1696">
        <v>6972777497</v>
      </c>
      <c r="M1696" t="s">
        <v>3679</v>
      </c>
      <c r="N1696" t="s">
        <v>199</v>
      </c>
      <c r="O1696" t="s">
        <v>200</v>
      </c>
      <c r="R1696" t="s">
        <v>57</v>
      </c>
      <c r="S1696">
        <v>7</v>
      </c>
      <c r="T1696">
        <v>206</v>
      </c>
      <c r="U1696" s="1">
        <v>37866</v>
      </c>
      <c r="V1696" t="s">
        <v>123</v>
      </c>
      <c r="W1696" t="s">
        <v>124</v>
      </c>
      <c r="X1696" t="s">
        <v>58</v>
      </c>
      <c r="Y1696">
        <v>20</v>
      </c>
      <c r="Z1696" t="s">
        <v>59</v>
      </c>
      <c r="AA1696" t="s">
        <v>59</v>
      </c>
      <c r="AB1696" t="s">
        <v>59</v>
      </c>
      <c r="AC1696" t="s">
        <v>59</v>
      </c>
      <c r="AD1696" t="s">
        <v>59</v>
      </c>
      <c r="AF1696" s="1">
        <v>37866</v>
      </c>
      <c r="AG1696" t="s">
        <v>148</v>
      </c>
      <c r="AH1696" t="s">
        <v>149</v>
      </c>
      <c r="AI1696" t="str">
        <f>"1790100"</f>
        <v>1790100</v>
      </c>
      <c r="AJ1696" t="s">
        <v>252</v>
      </c>
      <c r="AK1696">
        <v>2810234876</v>
      </c>
      <c r="AL1696" t="s">
        <v>253</v>
      </c>
      <c r="AM1696" t="s">
        <v>78</v>
      </c>
      <c r="AN1696" t="s">
        <v>78</v>
      </c>
      <c r="AO1696" t="s">
        <v>78</v>
      </c>
      <c r="AP1696" t="s">
        <v>163</v>
      </c>
      <c r="AQ1696">
        <v>5</v>
      </c>
      <c r="AR1696" t="s">
        <v>123</v>
      </c>
      <c r="AS1696" t="s">
        <v>124</v>
      </c>
      <c r="AT1696" t="s">
        <v>58</v>
      </c>
      <c r="AU1696" t="s">
        <v>68</v>
      </c>
      <c r="AV1696" t="s">
        <v>69</v>
      </c>
      <c r="AW1696" s="1">
        <v>26597</v>
      </c>
      <c r="AX1696">
        <v>2</v>
      </c>
    </row>
    <row r="1697" spans="1:50">
      <c r="A1697">
        <v>202447</v>
      </c>
      <c r="B1697" t="str">
        <f>"059171563"</f>
        <v>059171563</v>
      </c>
      <c r="C1697" t="s">
        <v>50</v>
      </c>
      <c r="D1697" t="s">
        <v>3680</v>
      </c>
      <c r="E1697" t="s">
        <v>250</v>
      </c>
      <c r="F1697" t="s">
        <v>84</v>
      </c>
      <c r="G1697" t="s">
        <v>3681</v>
      </c>
      <c r="H1697" t="str">
        <f>" "</f>
        <v xml:space="preserve"> </v>
      </c>
      <c r="J1697">
        <v>2810241175</v>
      </c>
      <c r="K1697">
        <v>6934412630</v>
      </c>
      <c r="M1697" t="s">
        <v>3682</v>
      </c>
      <c r="N1697" t="s">
        <v>292</v>
      </c>
      <c r="O1697" t="s">
        <v>293</v>
      </c>
      <c r="P1697" t="s">
        <v>204</v>
      </c>
      <c r="Q1697" t="s">
        <v>205</v>
      </c>
      <c r="R1697" t="s">
        <v>57</v>
      </c>
      <c r="S1697">
        <v>7</v>
      </c>
      <c r="T1697">
        <v>231</v>
      </c>
      <c r="U1697" s="1">
        <v>38230</v>
      </c>
      <c r="V1697" t="s">
        <v>123</v>
      </c>
      <c r="W1697" t="s">
        <v>124</v>
      </c>
      <c r="X1697" t="s">
        <v>58</v>
      </c>
      <c r="Y1697">
        <v>20</v>
      </c>
      <c r="Z1697" t="s">
        <v>59</v>
      </c>
      <c r="AA1697" t="s">
        <v>59</v>
      </c>
      <c r="AB1697" t="s">
        <v>59</v>
      </c>
      <c r="AC1697" t="s">
        <v>59</v>
      </c>
      <c r="AD1697" t="s">
        <v>59</v>
      </c>
      <c r="AF1697" s="1">
        <v>38232</v>
      </c>
      <c r="AG1697" t="s">
        <v>137</v>
      </c>
      <c r="AH1697" t="s">
        <v>469</v>
      </c>
      <c r="AI1697" t="str">
        <f>"1740200"</f>
        <v>1740200</v>
      </c>
      <c r="AJ1697" t="s">
        <v>470</v>
      </c>
      <c r="AK1697">
        <v>2810320770</v>
      </c>
      <c r="AL1697" t="s">
        <v>471</v>
      </c>
      <c r="AM1697" t="s">
        <v>78</v>
      </c>
      <c r="AN1697" t="s">
        <v>78</v>
      </c>
      <c r="AO1697" t="s">
        <v>78</v>
      </c>
      <c r="AP1697" t="s">
        <v>163</v>
      </c>
      <c r="AQ1697">
        <v>2</v>
      </c>
      <c r="AR1697" t="s">
        <v>123</v>
      </c>
      <c r="AS1697" t="s">
        <v>124</v>
      </c>
      <c r="AT1697" t="s">
        <v>58</v>
      </c>
      <c r="AU1697" t="s">
        <v>68</v>
      </c>
      <c r="AV1697" t="s">
        <v>69</v>
      </c>
      <c r="AW1697" s="1">
        <v>26855</v>
      </c>
      <c r="AX1697">
        <v>2</v>
      </c>
    </row>
    <row r="1698" spans="1:50">
      <c r="A1698">
        <v>222593</v>
      </c>
      <c r="B1698" t="str">
        <f>"125591466"</f>
        <v>125591466</v>
      </c>
      <c r="C1698" t="s">
        <v>50</v>
      </c>
      <c r="D1698" t="s">
        <v>3680</v>
      </c>
      <c r="E1698" t="s">
        <v>52</v>
      </c>
      <c r="F1698" t="s">
        <v>84</v>
      </c>
      <c r="G1698" t="s">
        <v>3683</v>
      </c>
      <c r="H1698" t="str">
        <f>"ΑΓΙΟΥ ΤΡΥΦΩΝΟΣ 25 Ν. ΑΛΙΚΑΡΝΑΣΣΟΣ"</f>
        <v>ΑΓΙΟΥ ΤΡΥΦΩΝΟΣ 25 Ν. ΑΛΙΚΑΡΝΑΣΣΟΣ</v>
      </c>
      <c r="I1698">
        <v>71601</v>
      </c>
      <c r="J1698">
        <v>2810241175</v>
      </c>
      <c r="K1698">
        <v>6995433802</v>
      </c>
      <c r="M1698" t="s">
        <v>3684</v>
      </c>
      <c r="N1698" t="s">
        <v>146</v>
      </c>
      <c r="O1698" t="s">
        <v>147</v>
      </c>
      <c r="R1698" t="s">
        <v>57</v>
      </c>
      <c r="S1698">
        <v>5</v>
      </c>
      <c r="T1698">
        <v>775</v>
      </c>
      <c r="U1698" s="1">
        <v>39680</v>
      </c>
      <c r="V1698" t="s">
        <v>123</v>
      </c>
      <c r="W1698" t="s">
        <v>124</v>
      </c>
      <c r="X1698" t="s">
        <v>58</v>
      </c>
      <c r="Y1698">
        <v>21</v>
      </c>
      <c r="Z1698" t="s">
        <v>59</v>
      </c>
      <c r="AA1698" t="s">
        <v>59</v>
      </c>
      <c r="AB1698" t="s">
        <v>59</v>
      </c>
      <c r="AC1698" t="s">
        <v>59</v>
      </c>
      <c r="AD1698" t="s">
        <v>59</v>
      </c>
      <c r="AF1698" s="1">
        <v>39681</v>
      </c>
      <c r="AG1698" t="s">
        <v>148</v>
      </c>
      <c r="AH1698" t="s">
        <v>149</v>
      </c>
      <c r="AI1698" t="str">
        <f>"1761010"</f>
        <v>1761010</v>
      </c>
      <c r="AJ1698" t="s">
        <v>426</v>
      </c>
      <c r="AK1698">
        <v>2810741356</v>
      </c>
      <c r="AL1698" t="s">
        <v>427</v>
      </c>
      <c r="AM1698" t="s">
        <v>78</v>
      </c>
      <c r="AN1698" t="s">
        <v>424</v>
      </c>
      <c r="AO1698" t="s">
        <v>428</v>
      </c>
      <c r="AP1698" t="s">
        <v>429</v>
      </c>
      <c r="AQ1698">
        <v>14</v>
      </c>
      <c r="AR1698" t="s">
        <v>123</v>
      </c>
      <c r="AS1698" t="s">
        <v>124</v>
      </c>
      <c r="AT1698" t="s">
        <v>58</v>
      </c>
      <c r="AU1698" t="s">
        <v>68</v>
      </c>
      <c r="AV1698" t="s">
        <v>69</v>
      </c>
      <c r="AW1698" s="1">
        <v>27419</v>
      </c>
      <c r="AX1698">
        <v>2</v>
      </c>
    </row>
    <row r="1699" spans="1:50">
      <c r="A1699">
        <v>187195</v>
      </c>
      <c r="B1699" t="str">
        <f>"077156008"</f>
        <v>077156008</v>
      </c>
      <c r="C1699" t="s">
        <v>50</v>
      </c>
      <c r="D1699" t="s">
        <v>3685</v>
      </c>
      <c r="E1699" t="s">
        <v>83</v>
      </c>
      <c r="F1699" t="s">
        <v>84</v>
      </c>
      <c r="G1699" t="s">
        <v>3172</v>
      </c>
      <c r="H1699" t="str">
        <f>"Ματθαιάκη 72 Ηράκλειο"</f>
        <v>Ματθαιάκη 72 Ηράκλειο</v>
      </c>
      <c r="K1699">
        <v>6984912008</v>
      </c>
      <c r="M1699" t="s">
        <v>3686</v>
      </c>
      <c r="N1699" t="s">
        <v>299</v>
      </c>
      <c r="O1699" t="s">
        <v>300</v>
      </c>
      <c r="R1699" t="s">
        <v>57</v>
      </c>
      <c r="S1699">
        <v>10</v>
      </c>
      <c r="T1699">
        <v>251</v>
      </c>
      <c r="U1699" s="1">
        <v>36769</v>
      </c>
      <c r="V1699" t="s">
        <v>123</v>
      </c>
      <c r="W1699" t="s">
        <v>124</v>
      </c>
      <c r="X1699" t="s">
        <v>58</v>
      </c>
      <c r="Y1699">
        <v>18</v>
      </c>
      <c r="Z1699" t="s">
        <v>59</v>
      </c>
      <c r="AA1699" t="s">
        <v>59</v>
      </c>
      <c r="AB1699" t="s">
        <v>59</v>
      </c>
      <c r="AC1699" t="s">
        <v>59</v>
      </c>
      <c r="AD1699" t="s">
        <v>59</v>
      </c>
      <c r="AF1699" s="1">
        <v>36769</v>
      </c>
      <c r="AG1699" t="s">
        <v>125</v>
      </c>
      <c r="AH1699" t="s">
        <v>126</v>
      </c>
      <c r="AI1699" t="str">
        <f>"1728010"</f>
        <v>1728010</v>
      </c>
      <c r="AJ1699" t="s">
        <v>127</v>
      </c>
      <c r="AK1699">
        <v>2810824651</v>
      </c>
      <c r="AL1699" t="s">
        <v>128</v>
      </c>
      <c r="AM1699" t="s">
        <v>78</v>
      </c>
      <c r="AN1699" t="s">
        <v>129</v>
      </c>
      <c r="AO1699" t="s">
        <v>130</v>
      </c>
      <c r="AP1699" t="s">
        <v>130</v>
      </c>
      <c r="AQ1699">
        <v>36</v>
      </c>
      <c r="AR1699" t="s">
        <v>123</v>
      </c>
      <c r="AS1699" t="s">
        <v>124</v>
      </c>
      <c r="AT1699" t="s">
        <v>58</v>
      </c>
      <c r="AU1699" t="s">
        <v>68</v>
      </c>
      <c r="AV1699" t="s">
        <v>69</v>
      </c>
      <c r="AW1699" s="1">
        <v>25804</v>
      </c>
      <c r="AX1699">
        <v>2</v>
      </c>
    </row>
    <row r="1700" spans="1:50">
      <c r="A1700">
        <v>221822</v>
      </c>
      <c r="B1700" t="str">
        <f>"125577400"</f>
        <v>125577400</v>
      </c>
      <c r="C1700" t="s">
        <v>50</v>
      </c>
      <c r="D1700" t="s">
        <v>3687</v>
      </c>
      <c r="E1700" t="s">
        <v>52</v>
      </c>
      <c r="F1700" t="s">
        <v>166</v>
      </c>
      <c r="G1700" t="s">
        <v>905</v>
      </c>
      <c r="H1700" t="str">
        <f>"ΑΝΔΡΕΑ ΝΑΘΕΝΑ 22α ΗΡΑΚΛΕΙΟ"</f>
        <v>ΑΝΔΡΕΑ ΝΑΘΕΝΑ 22α ΗΡΑΚΛΕΙΟ</v>
      </c>
      <c r="J1700">
        <v>2810325921</v>
      </c>
      <c r="K1700">
        <v>6946312955</v>
      </c>
      <c r="M1700" t="s">
        <v>3688</v>
      </c>
      <c r="N1700" t="s">
        <v>157</v>
      </c>
      <c r="O1700" t="s">
        <v>158</v>
      </c>
      <c r="R1700" t="s">
        <v>57</v>
      </c>
      <c r="S1700">
        <v>5</v>
      </c>
      <c r="T1700">
        <v>775</v>
      </c>
      <c r="U1700" s="1">
        <v>39680</v>
      </c>
      <c r="V1700" t="s">
        <v>123</v>
      </c>
      <c r="W1700" t="s">
        <v>124</v>
      </c>
      <c r="X1700" t="s">
        <v>58</v>
      </c>
      <c r="Y1700">
        <v>21</v>
      </c>
      <c r="Z1700" t="s">
        <v>59</v>
      </c>
      <c r="AA1700" t="s">
        <v>59</v>
      </c>
      <c r="AB1700" t="s">
        <v>59</v>
      </c>
      <c r="AC1700" t="s">
        <v>59</v>
      </c>
      <c r="AD1700" t="s">
        <v>59</v>
      </c>
      <c r="AF1700" s="1">
        <v>39685</v>
      </c>
      <c r="AG1700" t="s">
        <v>125</v>
      </c>
      <c r="AH1700" t="s">
        <v>126</v>
      </c>
      <c r="AI1700" t="str">
        <f>"1701050"</f>
        <v>1701050</v>
      </c>
      <c r="AJ1700" t="s">
        <v>660</v>
      </c>
      <c r="AK1700">
        <v>2810220729</v>
      </c>
      <c r="AL1700" t="s">
        <v>661</v>
      </c>
      <c r="AM1700" t="s">
        <v>78</v>
      </c>
      <c r="AN1700" t="s">
        <v>78</v>
      </c>
      <c r="AO1700" t="s">
        <v>78</v>
      </c>
      <c r="AP1700" t="s">
        <v>79</v>
      </c>
      <c r="AQ1700">
        <v>1</v>
      </c>
      <c r="AR1700" t="s">
        <v>123</v>
      </c>
      <c r="AS1700" t="s">
        <v>124</v>
      </c>
      <c r="AT1700" t="s">
        <v>58</v>
      </c>
      <c r="AU1700" t="s">
        <v>68</v>
      </c>
      <c r="AV1700" t="s">
        <v>69</v>
      </c>
      <c r="AW1700" s="1">
        <v>25602</v>
      </c>
      <c r="AX1700">
        <v>2</v>
      </c>
    </row>
    <row r="1701" spans="1:50">
      <c r="A1701">
        <v>175041</v>
      </c>
      <c r="B1701" t="str">
        <f>"042552773"</f>
        <v>042552773</v>
      </c>
      <c r="C1701" t="s">
        <v>105</v>
      </c>
      <c r="D1701" t="s">
        <v>3689</v>
      </c>
      <c r="E1701" t="s">
        <v>53</v>
      </c>
      <c r="F1701" t="s">
        <v>95</v>
      </c>
      <c r="G1701" t="s">
        <v>83</v>
      </c>
      <c r="H1701" t="str">
        <f>" "</f>
        <v xml:space="preserve"> </v>
      </c>
      <c r="J1701">
        <v>2810301801</v>
      </c>
      <c r="K1701">
        <v>6944766717</v>
      </c>
      <c r="M1701" t="s">
        <v>3690</v>
      </c>
      <c r="N1701" t="s">
        <v>204</v>
      </c>
      <c r="O1701" t="s">
        <v>205</v>
      </c>
      <c r="R1701" t="s">
        <v>57</v>
      </c>
      <c r="S1701">
        <v>11</v>
      </c>
      <c r="T1701">
        <v>166</v>
      </c>
      <c r="U1701" s="1">
        <v>35300</v>
      </c>
      <c r="V1701" t="s">
        <v>123</v>
      </c>
      <c r="W1701" t="s">
        <v>124</v>
      </c>
      <c r="X1701" t="s">
        <v>58</v>
      </c>
      <c r="Y1701">
        <v>18</v>
      </c>
      <c r="Z1701" t="s">
        <v>59</v>
      </c>
      <c r="AA1701" t="s">
        <v>59</v>
      </c>
      <c r="AB1701" t="s">
        <v>59</v>
      </c>
      <c r="AC1701" t="s">
        <v>59</v>
      </c>
      <c r="AD1701" t="s">
        <v>59</v>
      </c>
      <c r="AF1701" s="1">
        <v>35311</v>
      </c>
      <c r="AG1701" t="s">
        <v>125</v>
      </c>
      <c r="AH1701" t="s">
        <v>359</v>
      </c>
      <c r="AI1701" t="str">
        <f>"1701060"</f>
        <v>1701060</v>
      </c>
      <c r="AJ1701" t="s">
        <v>360</v>
      </c>
      <c r="AK1701">
        <v>2810223424</v>
      </c>
      <c r="AL1701" t="s">
        <v>361</v>
      </c>
      <c r="AM1701" t="s">
        <v>78</v>
      </c>
      <c r="AN1701" t="s">
        <v>78</v>
      </c>
      <c r="AO1701" t="s">
        <v>78</v>
      </c>
      <c r="AP1701" t="s">
        <v>79</v>
      </c>
      <c r="AQ1701">
        <v>1</v>
      </c>
      <c r="AR1701" t="s">
        <v>123</v>
      </c>
      <c r="AS1701" t="s">
        <v>124</v>
      </c>
      <c r="AT1701" t="s">
        <v>58</v>
      </c>
      <c r="AU1701" t="s">
        <v>68</v>
      </c>
      <c r="AV1701" t="s">
        <v>69</v>
      </c>
      <c r="AW1701" s="1">
        <v>24225</v>
      </c>
      <c r="AX1701">
        <v>2</v>
      </c>
    </row>
    <row r="1702" spans="1:50">
      <c r="A1702">
        <v>212415</v>
      </c>
      <c r="B1702" t="str">
        <f>"120009246"</f>
        <v>120009246</v>
      </c>
      <c r="C1702" t="s">
        <v>50</v>
      </c>
      <c r="D1702" t="s">
        <v>3691</v>
      </c>
      <c r="E1702" t="s">
        <v>255</v>
      </c>
      <c r="F1702" t="s">
        <v>166</v>
      </c>
      <c r="G1702" t="s">
        <v>513</v>
      </c>
      <c r="H1702" t="str">
        <f>"ΠΑΤΣΙΔΕΣ ΗΡΑΚΛΕΙΟ"</f>
        <v>ΠΑΤΣΙΔΕΣ ΗΡΑΚΛΕΙΟ</v>
      </c>
      <c r="I1702">
        <v>70100</v>
      </c>
      <c r="J1702">
        <v>2810731843</v>
      </c>
      <c r="K1702">
        <v>6937312277</v>
      </c>
      <c r="M1702" t="s">
        <v>3692</v>
      </c>
      <c r="N1702" t="s">
        <v>146</v>
      </c>
      <c r="O1702" t="s">
        <v>147</v>
      </c>
      <c r="R1702" t="s">
        <v>57</v>
      </c>
      <c r="S1702">
        <v>12</v>
      </c>
      <c r="T1702">
        <v>231</v>
      </c>
      <c r="U1702" s="1">
        <v>38960</v>
      </c>
      <c r="V1702" t="s">
        <v>123</v>
      </c>
      <c r="W1702" t="s">
        <v>124</v>
      </c>
      <c r="X1702" t="s">
        <v>58</v>
      </c>
      <c r="Y1702">
        <v>20</v>
      </c>
      <c r="Z1702" t="s">
        <v>59</v>
      </c>
      <c r="AA1702" t="s">
        <v>59</v>
      </c>
      <c r="AB1702" t="s">
        <v>59</v>
      </c>
      <c r="AC1702" t="s">
        <v>59</v>
      </c>
      <c r="AD1702" t="s">
        <v>59</v>
      </c>
      <c r="AF1702" s="1">
        <v>38960</v>
      </c>
      <c r="AG1702" t="s">
        <v>125</v>
      </c>
      <c r="AH1702" t="s">
        <v>294</v>
      </c>
      <c r="AI1702" t="str">
        <f>"1701015"</f>
        <v>1701015</v>
      </c>
      <c r="AJ1702" t="s">
        <v>295</v>
      </c>
      <c r="AK1702">
        <v>2810761696</v>
      </c>
      <c r="AL1702" t="s">
        <v>296</v>
      </c>
      <c r="AM1702" t="s">
        <v>78</v>
      </c>
      <c r="AN1702" t="s">
        <v>219</v>
      </c>
      <c r="AO1702" t="s">
        <v>297</v>
      </c>
      <c r="AP1702" t="s">
        <v>297</v>
      </c>
      <c r="AQ1702">
        <v>10</v>
      </c>
      <c r="AR1702" t="s">
        <v>123</v>
      </c>
      <c r="AS1702" t="s">
        <v>124</v>
      </c>
      <c r="AT1702" t="s">
        <v>58</v>
      </c>
      <c r="AU1702" t="s">
        <v>68</v>
      </c>
      <c r="AV1702" t="s">
        <v>69</v>
      </c>
      <c r="AW1702" s="1">
        <v>28626</v>
      </c>
      <c r="AX1702">
        <v>2</v>
      </c>
    </row>
    <row r="1703" spans="1:50">
      <c r="B1703" t="str">
        <f>"125590168"</f>
        <v>125590168</v>
      </c>
      <c r="C1703" t="s">
        <v>105</v>
      </c>
      <c r="D1703" t="s">
        <v>3693</v>
      </c>
      <c r="E1703" t="s">
        <v>154</v>
      </c>
      <c r="F1703" t="s">
        <v>53</v>
      </c>
      <c r="G1703" t="s">
        <v>181</v>
      </c>
      <c r="H1703" t="str">
        <f>"ΑΝΘΕΜΙΟΥ 11 ΗΡΑΚΛΕΙΟ"</f>
        <v>ΑΝΘΕΜΙΟΥ 11 ΗΡΑΚΛΕΙΟ</v>
      </c>
      <c r="I1703">
        <v>71306</v>
      </c>
      <c r="K1703">
        <v>6976110647</v>
      </c>
      <c r="M1703" t="s">
        <v>3694</v>
      </c>
      <c r="N1703" t="s">
        <v>587</v>
      </c>
      <c r="O1703" t="s">
        <v>588</v>
      </c>
      <c r="R1703" t="s">
        <v>159</v>
      </c>
      <c r="S1703">
        <v>3</v>
      </c>
      <c r="T1703" t="s">
        <v>574</v>
      </c>
      <c r="U1703" s="1">
        <v>43378</v>
      </c>
      <c r="V1703" t="s">
        <v>123</v>
      </c>
      <c r="W1703" t="s">
        <v>124</v>
      </c>
      <c r="X1703" t="s">
        <v>58</v>
      </c>
      <c r="Y1703">
        <v>23</v>
      </c>
      <c r="Z1703" t="s">
        <v>59</v>
      </c>
      <c r="AA1703" t="s">
        <v>59</v>
      </c>
      <c r="AB1703" t="s">
        <v>59</v>
      </c>
      <c r="AC1703" t="s">
        <v>59</v>
      </c>
      <c r="AD1703" t="s">
        <v>59</v>
      </c>
      <c r="AF1703" s="1">
        <v>43381</v>
      </c>
      <c r="AG1703" t="s">
        <v>137</v>
      </c>
      <c r="AH1703" t="s">
        <v>138</v>
      </c>
      <c r="AI1703" t="str">
        <f>"1740300"</f>
        <v>1740300</v>
      </c>
      <c r="AJ1703" t="s">
        <v>1274</v>
      </c>
      <c r="AK1703">
        <v>2892022100</v>
      </c>
      <c r="AL1703" t="s">
        <v>1275</v>
      </c>
      <c r="AM1703" t="s">
        <v>78</v>
      </c>
      <c r="AN1703" t="s">
        <v>242</v>
      </c>
      <c r="AO1703" t="s">
        <v>243</v>
      </c>
      <c r="AP1703" t="s">
        <v>243</v>
      </c>
      <c r="AQ1703">
        <v>33</v>
      </c>
      <c r="AR1703" t="s">
        <v>123</v>
      </c>
      <c r="AS1703" t="s">
        <v>124</v>
      </c>
      <c r="AT1703" t="s">
        <v>58</v>
      </c>
      <c r="AU1703" t="s">
        <v>164</v>
      </c>
      <c r="AV1703" t="s">
        <v>132</v>
      </c>
      <c r="AW1703" s="1">
        <v>29898</v>
      </c>
      <c r="AX1703">
        <v>2</v>
      </c>
    </row>
    <row r="1704" spans="1:50">
      <c r="A1704">
        <v>201969</v>
      </c>
      <c r="B1704" t="str">
        <f>"044069234"</f>
        <v>044069234</v>
      </c>
      <c r="C1704" t="s">
        <v>50</v>
      </c>
      <c r="D1704" t="s">
        <v>3695</v>
      </c>
      <c r="E1704" t="s">
        <v>699</v>
      </c>
      <c r="F1704" t="s">
        <v>53</v>
      </c>
      <c r="G1704" t="s">
        <v>414</v>
      </c>
      <c r="H1704" t="str">
        <f>"ΚΡΑΣΑΔΑΚΗ 51 ΗΡΑΚΛΕΙΟ"</f>
        <v>ΚΡΑΣΑΔΑΚΗ 51 ΗΡΑΚΛΕΙΟ</v>
      </c>
      <c r="I1704">
        <v>71409</v>
      </c>
      <c r="J1704">
        <v>2810244785</v>
      </c>
      <c r="K1704">
        <v>6979775647</v>
      </c>
      <c r="M1704" t="s">
        <v>3696</v>
      </c>
      <c r="N1704" t="s">
        <v>146</v>
      </c>
      <c r="O1704" t="s">
        <v>147</v>
      </c>
      <c r="R1704" t="s">
        <v>57</v>
      </c>
      <c r="S1704">
        <v>8</v>
      </c>
      <c r="T1704">
        <v>231</v>
      </c>
      <c r="U1704" s="1">
        <v>38230</v>
      </c>
      <c r="V1704" t="s">
        <v>123</v>
      </c>
      <c r="W1704" t="s">
        <v>124</v>
      </c>
      <c r="X1704" t="s">
        <v>58</v>
      </c>
      <c r="Y1704">
        <v>20</v>
      </c>
      <c r="Z1704" t="s">
        <v>59</v>
      </c>
      <c r="AA1704" t="s">
        <v>59</v>
      </c>
      <c r="AB1704" t="s">
        <v>59</v>
      </c>
      <c r="AC1704" t="s">
        <v>59</v>
      </c>
      <c r="AD1704" t="s">
        <v>59</v>
      </c>
      <c r="AF1704" s="1">
        <v>38232</v>
      </c>
      <c r="AG1704" t="s">
        <v>125</v>
      </c>
      <c r="AH1704" t="s">
        <v>294</v>
      </c>
      <c r="AI1704" t="str">
        <f>"1701015"</f>
        <v>1701015</v>
      </c>
      <c r="AJ1704" t="s">
        <v>295</v>
      </c>
      <c r="AK1704">
        <v>2810761696</v>
      </c>
      <c r="AL1704" t="s">
        <v>296</v>
      </c>
      <c r="AM1704" t="s">
        <v>78</v>
      </c>
      <c r="AN1704" t="s">
        <v>219</v>
      </c>
      <c r="AO1704" t="s">
        <v>297</v>
      </c>
      <c r="AP1704" t="s">
        <v>297</v>
      </c>
      <c r="AQ1704">
        <v>10</v>
      </c>
      <c r="AR1704" t="s">
        <v>123</v>
      </c>
      <c r="AS1704" t="s">
        <v>124</v>
      </c>
      <c r="AT1704" t="s">
        <v>58</v>
      </c>
      <c r="AU1704" t="s">
        <v>68</v>
      </c>
      <c r="AV1704" t="s">
        <v>69</v>
      </c>
      <c r="AW1704" s="1">
        <v>24755</v>
      </c>
      <c r="AX1704">
        <v>2</v>
      </c>
    </row>
    <row r="1705" spans="1:50">
      <c r="A1705">
        <v>206813</v>
      </c>
      <c r="B1705" t="str">
        <f>"051745765"</f>
        <v>051745765</v>
      </c>
      <c r="C1705" t="s">
        <v>105</v>
      </c>
      <c r="D1705" t="s">
        <v>3697</v>
      </c>
      <c r="E1705" t="s">
        <v>72</v>
      </c>
      <c r="F1705" t="s">
        <v>99</v>
      </c>
      <c r="G1705" t="s">
        <v>83</v>
      </c>
      <c r="H1705" t="str">
        <f>"Λ.ΦΟΥΜΗ 35 ΗΡΑΚΛΕΙΟ"</f>
        <v>Λ.ΦΟΥΜΗ 35 ΗΡΑΚΛΕΙΟ</v>
      </c>
      <c r="I1705">
        <v>71307</v>
      </c>
      <c r="J1705">
        <v>2810322670</v>
      </c>
      <c r="K1705">
        <v>6944525344</v>
      </c>
      <c r="N1705" t="s">
        <v>146</v>
      </c>
      <c r="O1705" t="s">
        <v>147</v>
      </c>
      <c r="R1705" t="s">
        <v>57</v>
      </c>
      <c r="S1705">
        <v>10</v>
      </c>
      <c r="T1705">
        <v>218</v>
      </c>
      <c r="U1705" s="1">
        <v>38596</v>
      </c>
      <c r="V1705" t="s">
        <v>123</v>
      </c>
      <c r="W1705" t="s">
        <v>124</v>
      </c>
      <c r="X1705" t="s">
        <v>58</v>
      </c>
      <c r="Y1705">
        <v>18</v>
      </c>
      <c r="Z1705" t="s">
        <v>59</v>
      </c>
      <c r="AA1705" t="s">
        <v>59</v>
      </c>
      <c r="AB1705" t="s">
        <v>59</v>
      </c>
      <c r="AC1705" t="s">
        <v>59</v>
      </c>
      <c r="AD1705" t="s">
        <v>59</v>
      </c>
      <c r="AF1705" s="1">
        <v>38600</v>
      </c>
      <c r="AG1705" t="s">
        <v>125</v>
      </c>
      <c r="AH1705" t="s">
        <v>126</v>
      </c>
      <c r="AI1705" t="str">
        <f>"1701051"</f>
        <v>1701051</v>
      </c>
      <c r="AJ1705" t="s">
        <v>443</v>
      </c>
      <c r="AK1705">
        <v>2810325815</v>
      </c>
      <c r="AL1705" t="s">
        <v>444</v>
      </c>
      <c r="AM1705" t="s">
        <v>78</v>
      </c>
      <c r="AN1705" t="s">
        <v>78</v>
      </c>
      <c r="AO1705" t="s">
        <v>78</v>
      </c>
      <c r="AP1705" t="s">
        <v>163</v>
      </c>
      <c r="AQ1705">
        <v>5</v>
      </c>
      <c r="AR1705" t="s">
        <v>123</v>
      </c>
      <c r="AS1705" t="s">
        <v>124</v>
      </c>
      <c r="AT1705" t="s">
        <v>58</v>
      </c>
      <c r="AU1705" t="s">
        <v>68</v>
      </c>
      <c r="AV1705" t="s">
        <v>69</v>
      </c>
      <c r="AW1705" s="1">
        <v>24788</v>
      </c>
      <c r="AX1705">
        <v>2</v>
      </c>
    </row>
    <row r="1706" spans="1:50">
      <c r="A1706">
        <v>157949</v>
      </c>
      <c r="B1706" t="str">
        <f>"031429986"</f>
        <v>031429986</v>
      </c>
      <c r="C1706" t="s">
        <v>105</v>
      </c>
      <c r="D1706" t="s">
        <v>3698</v>
      </c>
      <c r="E1706" t="s">
        <v>1848</v>
      </c>
      <c r="F1706" t="s">
        <v>99</v>
      </c>
      <c r="G1706" t="s">
        <v>52</v>
      </c>
      <c r="H1706" t="str">
        <f>" "</f>
        <v xml:space="preserve"> </v>
      </c>
      <c r="K1706">
        <v>6947124252</v>
      </c>
      <c r="M1706" t="s">
        <v>3699</v>
      </c>
      <c r="N1706" t="s">
        <v>168</v>
      </c>
      <c r="O1706" t="s">
        <v>169</v>
      </c>
      <c r="R1706" t="s">
        <v>57</v>
      </c>
      <c r="S1706">
        <v>17</v>
      </c>
      <c r="T1706">
        <v>188</v>
      </c>
      <c r="U1706" s="1">
        <v>32752</v>
      </c>
      <c r="V1706" t="s">
        <v>123</v>
      </c>
      <c r="W1706" t="s">
        <v>124</v>
      </c>
      <c r="X1706" t="s">
        <v>58</v>
      </c>
      <c r="Y1706">
        <v>18</v>
      </c>
      <c r="Z1706" t="s">
        <v>59</v>
      </c>
      <c r="AA1706" t="s">
        <v>59</v>
      </c>
      <c r="AB1706" t="s">
        <v>59</v>
      </c>
      <c r="AC1706" t="s">
        <v>59</v>
      </c>
      <c r="AD1706" t="s">
        <v>59</v>
      </c>
      <c r="AF1706" s="1">
        <v>32752</v>
      </c>
      <c r="AG1706" t="s">
        <v>137</v>
      </c>
      <c r="AH1706" t="s">
        <v>469</v>
      </c>
      <c r="AI1706" t="str">
        <f>"1740200"</f>
        <v>1740200</v>
      </c>
      <c r="AJ1706" t="s">
        <v>470</v>
      </c>
      <c r="AK1706">
        <v>2810320770</v>
      </c>
      <c r="AL1706" t="s">
        <v>471</v>
      </c>
      <c r="AM1706" t="s">
        <v>78</v>
      </c>
      <c r="AN1706" t="s">
        <v>78</v>
      </c>
      <c r="AO1706" t="s">
        <v>78</v>
      </c>
      <c r="AP1706" t="s">
        <v>163</v>
      </c>
      <c r="AQ1706">
        <v>2</v>
      </c>
      <c r="AR1706" t="s">
        <v>123</v>
      </c>
      <c r="AS1706" t="s">
        <v>124</v>
      </c>
      <c r="AT1706" t="s">
        <v>58</v>
      </c>
      <c r="AU1706" t="s">
        <v>68</v>
      </c>
      <c r="AV1706" t="s">
        <v>69</v>
      </c>
      <c r="AW1706" s="1">
        <v>21473</v>
      </c>
      <c r="AX1706">
        <v>2</v>
      </c>
    </row>
    <row r="1707" spans="1:50">
      <c r="A1707">
        <v>207398</v>
      </c>
      <c r="B1707" t="str">
        <f>"031454227"</f>
        <v>031454227</v>
      </c>
      <c r="C1707" t="s">
        <v>105</v>
      </c>
      <c r="D1707" t="s">
        <v>3700</v>
      </c>
      <c r="E1707" t="s">
        <v>95</v>
      </c>
      <c r="F1707" t="s">
        <v>99</v>
      </c>
      <c r="G1707" t="s">
        <v>3174</v>
      </c>
      <c r="H1707" t="str">
        <f>"ΖΩΟΔΟΧΟΥ ΠΗΓΗΣ 100 ΗΡΑΚΛΕΙΟ"</f>
        <v>ΖΩΟΔΟΧΟΥ ΠΗΓΗΣ 100 ΗΡΑΚΛΕΙΟ</v>
      </c>
      <c r="I1707">
        <v>71307</v>
      </c>
      <c r="J1707">
        <v>2810240936</v>
      </c>
      <c r="K1707">
        <v>6947437021</v>
      </c>
      <c r="M1707" t="s">
        <v>3701</v>
      </c>
      <c r="N1707" t="s">
        <v>232</v>
      </c>
      <c r="O1707" t="s">
        <v>233</v>
      </c>
      <c r="R1707" t="s">
        <v>57</v>
      </c>
      <c r="S1707">
        <v>9</v>
      </c>
      <c r="T1707">
        <v>218</v>
      </c>
      <c r="U1707" s="1">
        <v>38596</v>
      </c>
      <c r="V1707" t="s">
        <v>123</v>
      </c>
      <c r="W1707" t="s">
        <v>124</v>
      </c>
      <c r="X1707" t="s">
        <v>58</v>
      </c>
      <c r="Y1707">
        <v>20</v>
      </c>
      <c r="Z1707" t="s">
        <v>59</v>
      </c>
      <c r="AA1707" t="s">
        <v>59</v>
      </c>
      <c r="AB1707" t="s">
        <v>59</v>
      </c>
      <c r="AC1707" t="s">
        <v>59</v>
      </c>
      <c r="AD1707" t="s">
        <v>59</v>
      </c>
      <c r="AF1707" s="1">
        <v>38600</v>
      </c>
      <c r="AG1707" t="s">
        <v>148</v>
      </c>
      <c r="AH1707" t="s">
        <v>149</v>
      </c>
      <c r="AI1707" t="str">
        <f>"1751040"</f>
        <v>1751040</v>
      </c>
      <c r="AJ1707" t="s">
        <v>178</v>
      </c>
      <c r="AK1707">
        <v>2810252495</v>
      </c>
      <c r="AL1707" t="s">
        <v>179</v>
      </c>
      <c r="AM1707" t="s">
        <v>78</v>
      </c>
      <c r="AN1707" t="s">
        <v>78</v>
      </c>
      <c r="AO1707" t="s">
        <v>78</v>
      </c>
      <c r="AP1707" t="s">
        <v>141</v>
      </c>
      <c r="AQ1707">
        <v>3</v>
      </c>
      <c r="AR1707" t="s">
        <v>123</v>
      </c>
      <c r="AS1707" t="s">
        <v>124</v>
      </c>
      <c r="AT1707" t="s">
        <v>58</v>
      </c>
      <c r="AU1707" t="s">
        <v>68</v>
      </c>
      <c r="AV1707" t="s">
        <v>69</v>
      </c>
      <c r="AW1707" s="1">
        <v>21662</v>
      </c>
      <c r="AX1707">
        <v>2</v>
      </c>
    </row>
    <row r="1708" spans="1:50">
      <c r="A1708">
        <v>200486</v>
      </c>
      <c r="B1708" t="str">
        <f>"110129875"</f>
        <v>110129875</v>
      </c>
      <c r="C1708" t="s">
        <v>50</v>
      </c>
      <c r="D1708" t="s">
        <v>3702</v>
      </c>
      <c r="E1708" t="s">
        <v>372</v>
      </c>
      <c r="F1708" t="s">
        <v>95</v>
      </c>
      <c r="G1708" t="s">
        <v>188</v>
      </c>
      <c r="H1708" t="str">
        <f>"ΡΩΜΑΝΟΥ ΔΙΟΓΕΝΗ 9 ΗΡΑΚΛΕΙΟ"</f>
        <v>ΡΩΜΑΝΟΥ ΔΙΟΓΕΝΗ 9 ΗΡΑΚΛΕΙΟ</v>
      </c>
      <c r="I1708">
        <v>71305</v>
      </c>
      <c r="J1708">
        <v>2810227498</v>
      </c>
      <c r="K1708">
        <v>6936651140</v>
      </c>
      <c r="L1708">
        <v>2810227498</v>
      </c>
      <c r="M1708" t="s">
        <v>3703</v>
      </c>
      <c r="N1708" t="s">
        <v>204</v>
      </c>
      <c r="O1708" t="s">
        <v>205</v>
      </c>
      <c r="R1708" t="s">
        <v>57</v>
      </c>
      <c r="S1708">
        <v>7</v>
      </c>
      <c r="T1708">
        <v>206</v>
      </c>
      <c r="U1708" s="1">
        <v>37866</v>
      </c>
      <c r="V1708" t="s">
        <v>123</v>
      </c>
      <c r="W1708" t="s">
        <v>124</v>
      </c>
      <c r="X1708" t="s">
        <v>58</v>
      </c>
      <c r="Y1708">
        <v>20</v>
      </c>
      <c r="Z1708" t="s">
        <v>59</v>
      </c>
      <c r="AA1708" t="s">
        <v>59</v>
      </c>
      <c r="AB1708" t="s">
        <v>59</v>
      </c>
      <c r="AC1708" t="s">
        <v>59</v>
      </c>
      <c r="AD1708" t="s">
        <v>59</v>
      </c>
      <c r="AF1708" s="1">
        <v>37866</v>
      </c>
      <c r="AG1708" t="s">
        <v>125</v>
      </c>
      <c r="AH1708" t="s">
        <v>126</v>
      </c>
      <c r="AI1708" t="str">
        <f>"1710010"</f>
        <v>1710010</v>
      </c>
      <c r="AJ1708" t="s">
        <v>595</v>
      </c>
      <c r="AK1708">
        <v>2810711220</v>
      </c>
      <c r="AL1708" t="s">
        <v>596</v>
      </c>
      <c r="AM1708" t="s">
        <v>78</v>
      </c>
      <c r="AN1708" t="s">
        <v>129</v>
      </c>
      <c r="AO1708" t="s">
        <v>597</v>
      </c>
      <c r="AP1708" t="s">
        <v>598</v>
      </c>
      <c r="AQ1708">
        <v>28</v>
      </c>
      <c r="AR1708" t="s">
        <v>123</v>
      </c>
      <c r="AS1708" t="s">
        <v>124</v>
      </c>
      <c r="AT1708" t="s">
        <v>58</v>
      </c>
      <c r="AU1708" t="s">
        <v>68</v>
      </c>
      <c r="AV1708" t="s">
        <v>69</v>
      </c>
      <c r="AW1708" s="1">
        <v>28850</v>
      </c>
      <c r="AX1708">
        <v>2</v>
      </c>
    </row>
    <row r="1709" spans="1:50">
      <c r="A1709">
        <v>223706</v>
      </c>
      <c r="B1709" t="str">
        <f>"115662289"</f>
        <v>115662289</v>
      </c>
      <c r="C1709" t="s">
        <v>50</v>
      </c>
      <c r="D1709" t="s">
        <v>3704</v>
      </c>
      <c r="E1709" t="s">
        <v>620</v>
      </c>
      <c r="F1709" t="s">
        <v>564</v>
      </c>
      <c r="G1709" t="s">
        <v>83</v>
      </c>
      <c r="H1709" t="str">
        <f>" ΚΑΤΩ ΚΑΣΤΕΛΛΙΑΝΑ ΗΡΑΚΛΕΙΟΥ ΚΡΗ"</f>
        <v xml:space="preserve"> ΚΑΤΩ ΚΑΣΤΕΛΛΙΑΝΑ ΗΡΑΚΛΕΙΟΥ ΚΡΗ</v>
      </c>
      <c r="I1709">
        <v>70010</v>
      </c>
      <c r="J1709">
        <v>2102792841</v>
      </c>
      <c r="K1709">
        <v>6932370725</v>
      </c>
      <c r="L1709">
        <v>2891071110</v>
      </c>
      <c r="N1709" t="s">
        <v>199</v>
      </c>
      <c r="O1709" t="s">
        <v>200</v>
      </c>
      <c r="R1709" t="s">
        <v>57</v>
      </c>
      <c r="S1709">
        <v>6</v>
      </c>
      <c r="T1709">
        <v>775</v>
      </c>
      <c r="U1709" s="1">
        <v>39680</v>
      </c>
      <c r="V1709" t="s">
        <v>123</v>
      </c>
      <c r="W1709" t="s">
        <v>124</v>
      </c>
      <c r="X1709" t="s">
        <v>58</v>
      </c>
      <c r="Y1709">
        <v>21</v>
      </c>
      <c r="Z1709" t="s">
        <v>59</v>
      </c>
      <c r="AA1709" t="s">
        <v>59</v>
      </c>
      <c r="AB1709" t="s">
        <v>59</v>
      </c>
      <c r="AC1709" t="s">
        <v>59</v>
      </c>
      <c r="AD1709" t="s">
        <v>59</v>
      </c>
      <c r="AF1709" s="1">
        <v>39685</v>
      </c>
      <c r="AG1709" t="s">
        <v>148</v>
      </c>
      <c r="AH1709" t="s">
        <v>149</v>
      </c>
      <c r="AI1709" t="str">
        <f>"1767011"</f>
        <v>1767011</v>
      </c>
      <c r="AJ1709" t="s">
        <v>217</v>
      </c>
      <c r="AK1709">
        <v>2897021055</v>
      </c>
      <c r="AL1709" t="s">
        <v>218</v>
      </c>
      <c r="AM1709" t="s">
        <v>78</v>
      </c>
      <c r="AN1709" t="s">
        <v>219</v>
      </c>
      <c r="AO1709" t="s">
        <v>219</v>
      </c>
      <c r="AP1709" t="s">
        <v>220</v>
      </c>
      <c r="AQ1709">
        <v>20</v>
      </c>
      <c r="AR1709" t="s">
        <v>123</v>
      </c>
      <c r="AS1709" t="s">
        <v>124</v>
      </c>
      <c r="AT1709" t="s">
        <v>58</v>
      </c>
      <c r="AU1709" t="s">
        <v>68</v>
      </c>
      <c r="AV1709" t="s">
        <v>69</v>
      </c>
      <c r="AW1709" s="1">
        <v>30014</v>
      </c>
      <c r="AX1709">
        <v>2</v>
      </c>
    </row>
    <row r="1710" spans="1:50">
      <c r="A1710">
        <v>203442</v>
      </c>
      <c r="B1710" t="str">
        <f>"110105712"</f>
        <v>110105712</v>
      </c>
      <c r="C1710" t="s">
        <v>50</v>
      </c>
      <c r="D1710" t="s">
        <v>3704</v>
      </c>
      <c r="E1710" t="s">
        <v>3705</v>
      </c>
      <c r="F1710" t="s">
        <v>450</v>
      </c>
      <c r="G1710" t="s">
        <v>54</v>
      </c>
      <c r="H1710" t="str">
        <f>"ΗΛΙΑ ΒΕΝΕΖΗ 48Β Ν. ΑΛΙΚΑΡΝΑΣΣΟΣ ΗΡΑΚΛΕΙΟ"</f>
        <v>ΗΛΙΑ ΒΕΝΕΖΗ 48Β Ν. ΑΛΙΚΑΡΝΑΣΣΟΣ ΗΡΑΚΛΕΙΟ</v>
      </c>
      <c r="I1710">
        <v>71601</v>
      </c>
      <c r="J1710">
        <v>2810243954</v>
      </c>
      <c r="K1710">
        <v>6945374497</v>
      </c>
      <c r="L1710">
        <v>6947327221</v>
      </c>
      <c r="N1710" t="s">
        <v>306</v>
      </c>
      <c r="O1710" t="s">
        <v>307</v>
      </c>
      <c r="R1710" t="s">
        <v>57</v>
      </c>
      <c r="S1710">
        <v>9</v>
      </c>
      <c r="T1710">
        <v>231</v>
      </c>
      <c r="U1710" s="1">
        <v>38230</v>
      </c>
      <c r="V1710" t="s">
        <v>123</v>
      </c>
      <c r="W1710" t="s">
        <v>124</v>
      </c>
      <c r="X1710" t="s">
        <v>58</v>
      </c>
      <c r="Y1710">
        <v>20</v>
      </c>
      <c r="Z1710" t="s">
        <v>59</v>
      </c>
      <c r="AA1710" t="s">
        <v>59</v>
      </c>
      <c r="AB1710" t="s">
        <v>59</v>
      </c>
      <c r="AC1710" t="s">
        <v>59</v>
      </c>
      <c r="AD1710" t="s">
        <v>59</v>
      </c>
      <c r="AF1710" s="1">
        <v>38233</v>
      </c>
      <c r="AG1710" t="s">
        <v>125</v>
      </c>
      <c r="AH1710" t="s">
        <v>126</v>
      </c>
      <c r="AI1710" t="str">
        <f>"1703010"</f>
        <v>1703010</v>
      </c>
      <c r="AJ1710" t="s">
        <v>422</v>
      </c>
      <c r="AK1710">
        <v>2810751808</v>
      </c>
      <c r="AL1710" t="s">
        <v>423</v>
      </c>
      <c r="AM1710" t="s">
        <v>78</v>
      </c>
      <c r="AN1710" t="s">
        <v>424</v>
      </c>
      <c r="AO1710" t="s">
        <v>425</v>
      </c>
      <c r="AP1710" t="s">
        <v>425</v>
      </c>
      <c r="AQ1710">
        <v>13</v>
      </c>
      <c r="AR1710" t="s">
        <v>123</v>
      </c>
      <c r="AS1710" t="s">
        <v>124</v>
      </c>
      <c r="AT1710" t="s">
        <v>58</v>
      </c>
      <c r="AU1710" t="s">
        <v>68</v>
      </c>
      <c r="AV1710" t="s">
        <v>69</v>
      </c>
      <c r="AW1710" s="1">
        <v>26273</v>
      </c>
      <c r="AX1710">
        <v>2</v>
      </c>
    </row>
    <row r="1711" spans="1:50">
      <c r="A1711">
        <v>225366</v>
      </c>
      <c r="B1711" t="str">
        <f>"072920327"</f>
        <v>072920327</v>
      </c>
      <c r="C1711" t="s">
        <v>50</v>
      </c>
      <c r="D1711" t="s">
        <v>3706</v>
      </c>
      <c r="E1711" t="s">
        <v>112</v>
      </c>
      <c r="F1711" t="s">
        <v>377</v>
      </c>
      <c r="G1711" t="s">
        <v>52</v>
      </c>
      <c r="H1711" t="str">
        <f>" "</f>
        <v xml:space="preserve"> </v>
      </c>
      <c r="J1711">
        <v>2810259611</v>
      </c>
      <c r="K1711">
        <v>6946418546</v>
      </c>
      <c r="N1711" t="s">
        <v>189</v>
      </c>
      <c r="O1711" t="s">
        <v>190</v>
      </c>
      <c r="P1711" t="s">
        <v>3707</v>
      </c>
      <c r="Q1711" t="s">
        <v>3708</v>
      </c>
      <c r="R1711" t="s">
        <v>57</v>
      </c>
      <c r="S1711">
        <v>5</v>
      </c>
      <c r="T1711">
        <v>775</v>
      </c>
      <c r="U1711" s="1">
        <v>39680</v>
      </c>
      <c r="V1711" t="s">
        <v>123</v>
      </c>
      <c r="W1711" t="s">
        <v>124</v>
      </c>
      <c r="X1711" t="s">
        <v>58</v>
      </c>
      <c r="Y1711">
        <v>21</v>
      </c>
      <c r="Z1711" t="s">
        <v>59</v>
      </c>
      <c r="AA1711" t="s">
        <v>59</v>
      </c>
      <c r="AB1711" t="s">
        <v>59</v>
      </c>
      <c r="AC1711" t="s">
        <v>59</v>
      </c>
      <c r="AD1711" t="s">
        <v>59</v>
      </c>
      <c r="AF1711" s="1">
        <v>39692</v>
      </c>
      <c r="AG1711" t="s">
        <v>137</v>
      </c>
      <c r="AH1711" t="s">
        <v>138</v>
      </c>
      <c r="AI1711" t="str">
        <f>"1750080"</f>
        <v>1750080</v>
      </c>
      <c r="AJ1711" t="s">
        <v>170</v>
      </c>
      <c r="AK1711">
        <v>2810234444</v>
      </c>
      <c r="AL1711" t="s">
        <v>171</v>
      </c>
      <c r="AM1711" t="s">
        <v>78</v>
      </c>
      <c r="AN1711" t="s">
        <v>78</v>
      </c>
      <c r="AO1711" t="s">
        <v>78</v>
      </c>
      <c r="AP1711" t="s">
        <v>163</v>
      </c>
      <c r="AQ1711">
        <v>9</v>
      </c>
      <c r="AR1711" t="s">
        <v>123</v>
      </c>
      <c r="AS1711" t="s">
        <v>124</v>
      </c>
      <c r="AT1711" t="s">
        <v>58</v>
      </c>
      <c r="AU1711" t="s">
        <v>68</v>
      </c>
      <c r="AV1711" t="s">
        <v>69</v>
      </c>
      <c r="AW1711" s="1">
        <v>28686</v>
      </c>
      <c r="AX1711">
        <v>2</v>
      </c>
    </row>
    <row r="1712" spans="1:50">
      <c r="A1712">
        <v>206289</v>
      </c>
      <c r="B1712" t="str">
        <f>"072920376"</f>
        <v>072920376</v>
      </c>
      <c r="C1712" t="s">
        <v>50</v>
      </c>
      <c r="D1712" t="s">
        <v>3706</v>
      </c>
      <c r="E1712" t="s">
        <v>1068</v>
      </c>
      <c r="F1712" t="s">
        <v>377</v>
      </c>
      <c r="G1712" t="s">
        <v>52</v>
      </c>
      <c r="H1712" t="str">
        <f>"ΑΝΔΡΕΑ ΠΑΠΑΝΔΡΕΟΥ 73 "</f>
        <v xml:space="preserve">ΑΝΔΡΕΑ ΠΑΠΑΝΔΡΕΟΥ 73 </v>
      </c>
      <c r="I1712">
        <v>71305</v>
      </c>
      <c r="J1712">
        <v>2810236148</v>
      </c>
      <c r="K1712">
        <v>6944352419</v>
      </c>
      <c r="M1712" t="s">
        <v>3709</v>
      </c>
      <c r="N1712" t="s">
        <v>337</v>
      </c>
      <c r="O1712" t="s">
        <v>338</v>
      </c>
      <c r="R1712" t="s">
        <v>57</v>
      </c>
      <c r="S1712">
        <v>7</v>
      </c>
      <c r="T1712">
        <v>341</v>
      </c>
      <c r="U1712" s="1">
        <v>38350</v>
      </c>
      <c r="V1712" t="s">
        <v>123</v>
      </c>
      <c r="W1712" t="s">
        <v>124</v>
      </c>
      <c r="X1712" t="s">
        <v>58</v>
      </c>
      <c r="Y1712">
        <v>20</v>
      </c>
      <c r="Z1712" t="s">
        <v>59</v>
      </c>
      <c r="AA1712" t="s">
        <v>59</v>
      </c>
      <c r="AB1712" t="s">
        <v>59</v>
      </c>
      <c r="AC1712" t="s">
        <v>59</v>
      </c>
      <c r="AD1712" t="s">
        <v>59</v>
      </c>
      <c r="AF1712" s="1">
        <v>38359</v>
      </c>
      <c r="AG1712" t="s">
        <v>125</v>
      </c>
      <c r="AH1712" t="s">
        <v>126</v>
      </c>
      <c r="AI1712" t="str">
        <f>"1701052"</f>
        <v>1701052</v>
      </c>
      <c r="AJ1712" t="s">
        <v>223</v>
      </c>
      <c r="AK1712">
        <v>2810252514</v>
      </c>
      <c r="AL1712" t="s">
        <v>224</v>
      </c>
      <c r="AM1712" t="s">
        <v>78</v>
      </c>
      <c r="AN1712" t="s">
        <v>78</v>
      </c>
      <c r="AO1712" t="s">
        <v>78</v>
      </c>
      <c r="AP1712" t="s">
        <v>141</v>
      </c>
      <c r="AQ1712">
        <v>7</v>
      </c>
      <c r="AR1712" t="s">
        <v>123</v>
      </c>
      <c r="AS1712" t="s">
        <v>124</v>
      </c>
      <c r="AT1712" t="s">
        <v>58</v>
      </c>
      <c r="AU1712" t="s">
        <v>68</v>
      </c>
      <c r="AV1712" t="s">
        <v>69</v>
      </c>
      <c r="AW1712" s="1">
        <v>27609</v>
      </c>
      <c r="AX1712">
        <v>2</v>
      </c>
    </row>
    <row r="1713" spans="1:50">
      <c r="A1713">
        <v>205560</v>
      </c>
      <c r="B1713" t="str">
        <f>"070361449"</f>
        <v>070361449</v>
      </c>
      <c r="C1713" t="s">
        <v>105</v>
      </c>
      <c r="D1713" t="s">
        <v>3710</v>
      </c>
      <c r="E1713" t="s">
        <v>154</v>
      </c>
      <c r="F1713" t="s">
        <v>99</v>
      </c>
      <c r="G1713" t="s">
        <v>109</v>
      </c>
      <c r="H1713" t="str">
        <f>"Γ. ΧΑΛΚΙΑΔΑΚΗ 9 "</f>
        <v xml:space="preserve">Γ. ΧΑΛΚΙΑΔΑΚΗ 9 </v>
      </c>
      <c r="I1713">
        <v>71307</v>
      </c>
      <c r="J1713">
        <v>2810234594</v>
      </c>
      <c r="K1713">
        <v>6932640946</v>
      </c>
      <c r="N1713" t="s">
        <v>204</v>
      </c>
      <c r="O1713" t="s">
        <v>205</v>
      </c>
      <c r="P1713" t="s">
        <v>306</v>
      </c>
      <c r="Q1713" t="s">
        <v>307</v>
      </c>
      <c r="R1713" t="s">
        <v>57</v>
      </c>
      <c r="S1713">
        <v>9</v>
      </c>
      <c r="T1713">
        <v>231</v>
      </c>
      <c r="U1713" s="1">
        <v>38230</v>
      </c>
      <c r="V1713" t="s">
        <v>123</v>
      </c>
      <c r="W1713" t="s">
        <v>124</v>
      </c>
      <c r="X1713" t="s">
        <v>58</v>
      </c>
      <c r="Y1713">
        <v>20</v>
      </c>
      <c r="Z1713" t="s">
        <v>59</v>
      </c>
      <c r="AA1713" t="s">
        <v>59</v>
      </c>
      <c r="AB1713" t="s">
        <v>59</v>
      </c>
      <c r="AC1713" t="s">
        <v>59</v>
      </c>
      <c r="AD1713" t="s">
        <v>59</v>
      </c>
      <c r="AF1713" s="1">
        <v>38233</v>
      </c>
      <c r="AG1713" t="s">
        <v>148</v>
      </c>
      <c r="AH1713" t="s">
        <v>149</v>
      </c>
      <c r="AI1713" t="str">
        <f>"1754010"</f>
        <v>1754010</v>
      </c>
      <c r="AJ1713" t="s">
        <v>1167</v>
      </c>
      <c r="AK1713">
        <v>2895022277</v>
      </c>
      <c r="AL1713" t="s">
        <v>1168</v>
      </c>
      <c r="AM1713" t="s">
        <v>78</v>
      </c>
      <c r="AN1713" t="s">
        <v>482</v>
      </c>
      <c r="AO1713" t="s">
        <v>482</v>
      </c>
      <c r="AP1713" t="s">
        <v>483</v>
      </c>
      <c r="AQ1713">
        <v>16</v>
      </c>
      <c r="AR1713" t="s">
        <v>123</v>
      </c>
      <c r="AS1713" t="s">
        <v>124</v>
      </c>
      <c r="AT1713" t="s">
        <v>58</v>
      </c>
      <c r="AU1713" t="s">
        <v>68</v>
      </c>
      <c r="AV1713" t="s">
        <v>69</v>
      </c>
      <c r="AW1713" s="1">
        <v>28607</v>
      </c>
      <c r="AX1713">
        <v>2</v>
      </c>
    </row>
    <row r="1714" spans="1:50">
      <c r="A1714">
        <v>212931</v>
      </c>
      <c r="B1714" t="str">
        <f>"034353065"</f>
        <v>034353065</v>
      </c>
      <c r="C1714" t="s">
        <v>50</v>
      </c>
      <c r="D1714" t="s">
        <v>3711</v>
      </c>
      <c r="E1714" t="s">
        <v>52</v>
      </c>
      <c r="F1714" t="s">
        <v>95</v>
      </c>
      <c r="G1714" t="s">
        <v>237</v>
      </c>
      <c r="H1714" t="str">
        <f>" "</f>
        <v xml:space="preserve"> </v>
      </c>
      <c r="J1714">
        <v>2810326595</v>
      </c>
      <c r="K1714">
        <v>6973019930</v>
      </c>
      <c r="M1714" t="s">
        <v>3712</v>
      </c>
      <c r="N1714" t="s">
        <v>292</v>
      </c>
      <c r="O1714" t="s">
        <v>293</v>
      </c>
      <c r="R1714" t="s">
        <v>57</v>
      </c>
      <c r="S1714">
        <v>7</v>
      </c>
      <c r="T1714">
        <v>231</v>
      </c>
      <c r="U1714" s="1">
        <v>38960</v>
      </c>
      <c r="V1714" t="s">
        <v>123</v>
      </c>
      <c r="W1714" t="s">
        <v>124</v>
      </c>
      <c r="X1714" t="s">
        <v>58</v>
      </c>
      <c r="Y1714">
        <v>20</v>
      </c>
      <c r="Z1714" t="s">
        <v>59</v>
      </c>
      <c r="AA1714" t="s">
        <v>59</v>
      </c>
      <c r="AB1714" t="s">
        <v>59</v>
      </c>
      <c r="AC1714" t="s">
        <v>59</v>
      </c>
      <c r="AD1714" t="s">
        <v>59</v>
      </c>
      <c r="AF1714" s="1">
        <v>38961</v>
      </c>
      <c r="AG1714" t="s">
        <v>148</v>
      </c>
      <c r="AH1714" t="s">
        <v>149</v>
      </c>
      <c r="AI1714" t="str">
        <f>"1777010"</f>
        <v>1777010</v>
      </c>
      <c r="AJ1714" t="s">
        <v>612</v>
      </c>
      <c r="AK1714">
        <v>2810229220</v>
      </c>
      <c r="AL1714" t="s">
        <v>613</v>
      </c>
      <c r="AM1714" t="s">
        <v>78</v>
      </c>
      <c r="AN1714" t="s">
        <v>78</v>
      </c>
      <c r="AO1714" t="s">
        <v>286</v>
      </c>
      <c r="AP1714" t="s">
        <v>286</v>
      </c>
      <c r="AQ1714">
        <v>12</v>
      </c>
      <c r="AR1714" t="s">
        <v>123</v>
      </c>
      <c r="AS1714" t="s">
        <v>124</v>
      </c>
      <c r="AT1714" t="s">
        <v>58</v>
      </c>
      <c r="AU1714" t="s">
        <v>68</v>
      </c>
      <c r="AV1714" t="s">
        <v>357</v>
      </c>
      <c r="AW1714" s="1">
        <v>24108</v>
      </c>
      <c r="AX1714">
        <v>2</v>
      </c>
    </row>
    <row r="1715" spans="1:50">
      <c r="B1715" t="str">
        <f>"038973976"</f>
        <v>038973976</v>
      </c>
      <c r="C1715" t="s">
        <v>50</v>
      </c>
      <c r="D1715" t="s">
        <v>3713</v>
      </c>
      <c r="E1715" t="s">
        <v>250</v>
      </c>
      <c r="F1715" t="s">
        <v>1062</v>
      </c>
      <c r="G1715" t="s">
        <v>188</v>
      </c>
      <c r="H1715" t="str">
        <f>" "</f>
        <v xml:space="preserve"> </v>
      </c>
      <c r="K1715">
        <v>6974746620</v>
      </c>
      <c r="M1715" t="s">
        <v>3714</v>
      </c>
      <c r="N1715" t="s">
        <v>3715</v>
      </c>
      <c r="O1715" t="s">
        <v>3716</v>
      </c>
      <c r="R1715" t="s">
        <v>121</v>
      </c>
      <c r="S1715">
        <v>4</v>
      </c>
      <c r="T1715" t="s">
        <v>416</v>
      </c>
      <c r="U1715" s="1">
        <v>43349</v>
      </c>
      <c r="V1715" t="s">
        <v>123</v>
      </c>
      <c r="W1715" t="s">
        <v>124</v>
      </c>
      <c r="X1715" t="s">
        <v>58</v>
      </c>
      <c r="Y1715">
        <v>23</v>
      </c>
      <c r="Z1715" t="s">
        <v>59</v>
      </c>
      <c r="AA1715" t="s">
        <v>59</v>
      </c>
      <c r="AB1715" t="s">
        <v>59</v>
      </c>
      <c r="AD1715" t="s">
        <v>59</v>
      </c>
      <c r="AF1715" s="1">
        <v>43349</v>
      </c>
      <c r="AG1715" t="s">
        <v>137</v>
      </c>
      <c r="AH1715" t="s">
        <v>138</v>
      </c>
      <c r="AI1715" t="str">
        <f>"1740300"</f>
        <v>1740300</v>
      </c>
      <c r="AJ1715" t="s">
        <v>1274</v>
      </c>
      <c r="AK1715">
        <v>2892022100</v>
      </c>
      <c r="AL1715" t="s">
        <v>1275</v>
      </c>
      <c r="AM1715" t="s">
        <v>78</v>
      </c>
      <c r="AN1715" t="s">
        <v>242</v>
      </c>
      <c r="AO1715" t="s">
        <v>243</v>
      </c>
      <c r="AP1715" t="s">
        <v>243</v>
      </c>
      <c r="AQ1715">
        <v>33</v>
      </c>
      <c r="AR1715" t="s">
        <v>123</v>
      </c>
      <c r="AS1715" t="s">
        <v>124</v>
      </c>
      <c r="AT1715" t="s">
        <v>58</v>
      </c>
      <c r="AU1715" t="s">
        <v>419</v>
      </c>
      <c r="AV1715" t="s">
        <v>132</v>
      </c>
      <c r="AW1715" s="1">
        <v>24639</v>
      </c>
      <c r="AX1715">
        <v>2</v>
      </c>
    </row>
    <row r="1716" spans="1:50">
      <c r="A1716">
        <v>212420</v>
      </c>
      <c r="B1716" t="str">
        <f>"076683136"</f>
        <v>076683136</v>
      </c>
      <c r="C1716" t="s">
        <v>50</v>
      </c>
      <c r="D1716" t="s">
        <v>3713</v>
      </c>
      <c r="E1716" t="s">
        <v>83</v>
      </c>
      <c r="F1716" t="s">
        <v>106</v>
      </c>
      <c r="G1716" t="s">
        <v>727</v>
      </c>
      <c r="H1716" t="str">
        <f>"ΛΥΚΕΙΟΥ 36 "</f>
        <v xml:space="preserve">ΛΥΚΕΙΟΥ 36 </v>
      </c>
      <c r="I1716">
        <v>71305</v>
      </c>
      <c r="J1716">
        <v>2815007567</v>
      </c>
      <c r="K1716">
        <v>6945298988</v>
      </c>
      <c r="M1716" t="s">
        <v>3717</v>
      </c>
      <c r="N1716" t="s">
        <v>146</v>
      </c>
      <c r="O1716" t="s">
        <v>147</v>
      </c>
      <c r="R1716" t="s">
        <v>57</v>
      </c>
      <c r="S1716">
        <v>6</v>
      </c>
      <c r="T1716">
        <v>231</v>
      </c>
      <c r="U1716" s="1">
        <v>38960</v>
      </c>
      <c r="V1716" t="s">
        <v>123</v>
      </c>
      <c r="W1716" t="s">
        <v>124</v>
      </c>
      <c r="X1716" t="s">
        <v>58</v>
      </c>
      <c r="Y1716">
        <v>20</v>
      </c>
      <c r="Z1716" t="s">
        <v>59</v>
      </c>
      <c r="AA1716" t="s">
        <v>59</v>
      </c>
      <c r="AB1716" t="s">
        <v>59</v>
      </c>
      <c r="AC1716" t="s">
        <v>59</v>
      </c>
      <c r="AD1716" t="s">
        <v>59</v>
      </c>
      <c r="AF1716" s="1">
        <v>38961</v>
      </c>
      <c r="AG1716" t="s">
        <v>125</v>
      </c>
      <c r="AH1716" t="s">
        <v>126</v>
      </c>
      <c r="AI1716" t="str">
        <f>"1701056"</f>
        <v>1701056</v>
      </c>
      <c r="AJ1716" t="s">
        <v>211</v>
      </c>
      <c r="AK1716">
        <v>2810245445</v>
      </c>
      <c r="AL1716" t="s">
        <v>212</v>
      </c>
      <c r="AM1716" t="s">
        <v>78</v>
      </c>
      <c r="AN1716" t="s">
        <v>78</v>
      </c>
      <c r="AO1716" t="s">
        <v>78</v>
      </c>
      <c r="AP1716" t="s">
        <v>213</v>
      </c>
      <c r="AQ1716">
        <v>6</v>
      </c>
      <c r="AR1716" t="s">
        <v>123</v>
      </c>
      <c r="AS1716" t="s">
        <v>124</v>
      </c>
      <c r="AT1716" t="s">
        <v>58</v>
      </c>
      <c r="AU1716" t="s">
        <v>68</v>
      </c>
      <c r="AV1716" t="s">
        <v>69</v>
      </c>
      <c r="AW1716" s="1">
        <v>26315</v>
      </c>
      <c r="AX1716">
        <v>2</v>
      </c>
    </row>
    <row r="1717" spans="1:50">
      <c r="A1717">
        <v>198403</v>
      </c>
      <c r="B1717" t="str">
        <f>"110710856"</f>
        <v>110710856</v>
      </c>
      <c r="C1717" t="s">
        <v>50</v>
      </c>
      <c r="D1717" t="s">
        <v>3718</v>
      </c>
      <c r="E1717" t="s">
        <v>109</v>
      </c>
      <c r="F1717" t="s">
        <v>166</v>
      </c>
      <c r="G1717" t="s">
        <v>372</v>
      </c>
      <c r="H1717" t="str">
        <f>" "</f>
        <v xml:space="preserve"> </v>
      </c>
      <c r="J1717">
        <v>2810310187</v>
      </c>
      <c r="K1717">
        <v>6974452561</v>
      </c>
      <c r="N1717" t="s">
        <v>478</v>
      </c>
      <c r="O1717" t="s">
        <v>479</v>
      </c>
      <c r="R1717" t="s">
        <v>57</v>
      </c>
      <c r="S1717">
        <v>9</v>
      </c>
      <c r="T1717">
        <v>206</v>
      </c>
      <c r="U1717" s="1">
        <v>37866</v>
      </c>
      <c r="V1717" t="s">
        <v>123</v>
      </c>
      <c r="W1717" t="s">
        <v>124</v>
      </c>
      <c r="X1717" t="s">
        <v>58</v>
      </c>
      <c r="Y1717">
        <v>20</v>
      </c>
      <c r="Z1717" t="s">
        <v>59</v>
      </c>
      <c r="AA1717" t="s">
        <v>59</v>
      </c>
      <c r="AB1717" t="s">
        <v>59</v>
      </c>
      <c r="AC1717" t="s">
        <v>59</v>
      </c>
      <c r="AD1717" t="s">
        <v>59</v>
      </c>
      <c r="AF1717" s="1">
        <v>37866</v>
      </c>
      <c r="AG1717" t="s">
        <v>125</v>
      </c>
      <c r="AH1717" t="s">
        <v>126</v>
      </c>
      <c r="AI1717" t="str">
        <f>"1701057"</f>
        <v>1701057</v>
      </c>
      <c r="AJ1717" t="s">
        <v>379</v>
      </c>
      <c r="AK1717">
        <v>2810234488</v>
      </c>
      <c r="AL1717" t="s">
        <v>380</v>
      </c>
      <c r="AM1717" t="s">
        <v>78</v>
      </c>
      <c r="AN1717" t="s">
        <v>78</v>
      </c>
      <c r="AO1717" t="s">
        <v>78</v>
      </c>
      <c r="AP1717" t="s">
        <v>163</v>
      </c>
      <c r="AQ1717">
        <v>8</v>
      </c>
      <c r="AR1717" t="s">
        <v>123</v>
      </c>
      <c r="AS1717" t="s">
        <v>124</v>
      </c>
      <c r="AT1717" t="s">
        <v>58</v>
      </c>
      <c r="AU1717" t="s">
        <v>68</v>
      </c>
      <c r="AV1717" t="s">
        <v>69</v>
      </c>
      <c r="AW1717" s="1">
        <v>27823</v>
      </c>
      <c r="AX1717">
        <v>2</v>
      </c>
    </row>
    <row r="1718" spans="1:50">
      <c r="A1718">
        <v>203444</v>
      </c>
      <c r="B1718" t="str">
        <f>"053944528"</f>
        <v>053944528</v>
      </c>
      <c r="C1718" t="s">
        <v>50</v>
      </c>
      <c r="D1718" t="s">
        <v>3719</v>
      </c>
      <c r="E1718" t="s">
        <v>221</v>
      </c>
      <c r="F1718" t="s">
        <v>99</v>
      </c>
      <c r="G1718" t="s">
        <v>181</v>
      </c>
      <c r="H1718" t="str">
        <f>"ΔΡΑΚΟΝΤΟΠΟΥΛΟΥ 37 ΗΡΑΚΛΕΙΟ"</f>
        <v>ΔΡΑΚΟΝΤΟΠΟΥΛΟΥ 37 ΗΡΑΚΛΕΙΟ</v>
      </c>
      <c r="I1718">
        <v>71306</v>
      </c>
      <c r="J1718">
        <v>2810333508</v>
      </c>
      <c r="K1718">
        <v>6937008884</v>
      </c>
      <c r="L1718">
        <v>2102404562</v>
      </c>
      <c r="M1718" t="s">
        <v>3720</v>
      </c>
      <c r="N1718" t="s">
        <v>306</v>
      </c>
      <c r="O1718" t="s">
        <v>307</v>
      </c>
      <c r="R1718" t="s">
        <v>57</v>
      </c>
      <c r="S1718">
        <v>9</v>
      </c>
      <c r="T1718">
        <v>231</v>
      </c>
      <c r="U1718" s="1">
        <v>38230</v>
      </c>
      <c r="V1718" t="s">
        <v>123</v>
      </c>
      <c r="W1718" t="s">
        <v>124</v>
      </c>
      <c r="X1718" t="s">
        <v>58</v>
      </c>
      <c r="Y1718">
        <v>20</v>
      </c>
      <c r="Z1718" t="s">
        <v>59</v>
      </c>
      <c r="AA1718" t="s">
        <v>59</v>
      </c>
      <c r="AB1718" t="s">
        <v>59</v>
      </c>
      <c r="AC1718" t="s">
        <v>59</v>
      </c>
      <c r="AD1718" t="s">
        <v>59</v>
      </c>
      <c r="AF1718" s="1">
        <v>38232</v>
      </c>
      <c r="AG1718" t="s">
        <v>125</v>
      </c>
      <c r="AH1718" t="s">
        <v>126</v>
      </c>
      <c r="AI1718" t="str">
        <f>"1701053"</f>
        <v>1701053</v>
      </c>
      <c r="AJ1718" t="s">
        <v>398</v>
      </c>
      <c r="AK1718">
        <v>2810251434</v>
      </c>
      <c r="AL1718" t="s">
        <v>399</v>
      </c>
      <c r="AM1718" t="s">
        <v>78</v>
      </c>
      <c r="AN1718" t="s">
        <v>78</v>
      </c>
      <c r="AO1718" t="s">
        <v>78</v>
      </c>
      <c r="AP1718" t="s">
        <v>141</v>
      </c>
      <c r="AQ1718">
        <v>7</v>
      </c>
      <c r="AR1718" t="s">
        <v>123</v>
      </c>
      <c r="AS1718" t="s">
        <v>124</v>
      </c>
      <c r="AT1718" t="s">
        <v>58</v>
      </c>
      <c r="AU1718" t="s">
        <v>68</v>
      </c>
      <c r="AV1718" t="s">
        <v>69</v>
      </c>
      <c r="AW1718" s="1">
        <v>25844</v>
      </c>
      <c r="AX1718">
        <v>2</v>
      </c>
    </row>
    <row r="1719" spans="1:50">
      <c r="A1719">
        <v>182554</v>
      </c>
      <c r="B1719" t="str">
        <f>"064000387"</f>
        <v>064000387</v>
      </c>
      <c r="C1719" t="s">
        <v>50</v>
      </c>
      <c r="D1719" t="s">
        <v>3721</v>
      </c>
      <c r="E1719" t="s">
        <v>237</v>
      </c>
      <c r="F1719" t="s">
        <v>949</v>
      </c>
      <c r="G1719" t="s">
        <v>1361</v>
      </c>
      <c r="H1719" t="str">
        <f>" "</f>
        <v xml:space="preserve"> </v>
      </c>
      <c r="J1719">
        <v>2810321562</v>
      </c>
      <c r="N1719" t="s">
        <v>146</v>
      </c>
      <c r="O1719" t="s">
        <v>147</v>
      </c>
      <c r="R1719" t="s">
        <v>57</v>
      </c>
      <c r="S1719">
        <v>11</v>
      </c>
      <c r="T1719">
        <v>249</v>
      </c>
      <c r="U1719" s="1">
        <v>36160</v>
      </c>
      <c r="V1719" t="s">
        <v>123</v>
      </c>
      <c r="W1719" t="s">
        <v>124</v>
      </c>
      <c r="X1719" t="s">
        <v>58</v>
      </c>
      <c r="Y1719">
        <v>18</v>
      </c>
      <c r="Z1719" t="s">
        <v>59</v>
      </c>
      <c r="AA1719" t="s">
        <v>59</v>
      </c>
      <c r="AB1719" t="s">
        <v>59</v>
      </c>
      <c r="AC1719" t="s">
        <v>59</v>
      </c>
      <c r="AD1719" t="s">
        <v>59</v>
      </c>
      <c r="AF1719" s="1">
        <v>36182</v>
      </c>
      <c r="AG1719" t="s">
        <v>137</v>
      </c>
      <c r="AH1719" t="s">
        <v>138</v>
      </c>
      <c r="AI1719" t="str">
        <f>"1750080"</f>
        <v>1750080</v>
      </c>
      <c r="AJ1719" t="s">
        <v>170</v>
      </c>
      <c r="AK1719">
        <v>2810234444</v>
      </c>
      <c r="AL1719" t="s">
        <v>171</v>
      </c>
      <c r="AM1719" t="s">
        <v>78</v>
      </c>
      <c r="AN1719" t="s">
        <v>78</v>
      </c>
      <c r="AO1719" t="s">
        <v>78</v>
      </c>
      <c r="AP1719" t="s">
        <v>163</v>
      </c>
      <c r="AQ1719">
        <v>9</v>
      </c>
      <c r="AR1719" t="s">
        <v>123</v>
      </c>
      <c r="AS1719" t="s">
        <v>124</v>
      </c>
      <c r="AT1719" t="s">
        <v>58</v>
      </c>
      <c r="AU1719" t="s">
        <v>68</v>
      </c>
      <c r="AV1719" t="s">
        <v>69</v>
      </c>
      <c r="AW1719" s="1">
        <v>24606</v>
      </c>
      <c r="AX1719">
        <v>2</v>
      </c>
    </row>
    <row r="1720" spans="1:50">
      <c r="A1720">
        <v>701487</v>
      </c>
      <c r="B1720" t="str">
        <f>"057265399"</f>
        <v>057265399</v>
      </c>
      <c r="C1720" t="s">
        <v>105</v>
      </c>
      <c r="D1720" t="s">
        <v>3722</v>
      </c>
      <c r="E1720" t="s">
        <v>3723</v>
      </c>
      <c r="F1720" t="s">
        <v>72</v>
      </c>
      <c r="G1720" t="s">
        <v>52</v>
      </c>
      <c r="H1720" t="str">
        <f>"ΣΜΠΩΚΟΥ Β. 20 ΜΑΣΤΑΜΠΑΣ"</f>
        <v>ΣΜΠΩΚΟΥ Β. 20 ΜΑΣΤΑΜΠΑΣ</v>
      </c>
      <c r="I1720">
        <v>71306</v>
      </c>
      <c r="J1720">
        <v>2810762189</v>
      </c>
      <c r="K1720">
        <v>6977630792</v>
      </c>
      <c r="L1720">
        <v>2810762189</v>
      </c>
      <c r="M1720" t="s">
        <v>3724</v>
      </c>
      <c r="N1720" t="s">
        <v>157</v>
      </c>
      <c r="O1720" t="s">
        <v>158</v>
      </c>
      <c r="R1720" t="s">
        <v>57</v>
      </c>
      <c r="S1720">
        <v>12</v>
      </c>
      <c r="T1720">
        <v>772</v>
      </c>
      <c r="U1720" s="1">
        <v>40413</v>
      </c>
      <c r="V1720" t="s">
        <v>123</v>
      </c>
      <c r="W1720" t="s">
        <v>124</v>
      </c>
      <c r="X1720" t="s">
        <v>58</v>
      </c>
      <c r="Y1720">
        <v>21</v>
      </c>
      <c r="Z1720" t="s">
        <v>59</v>
      </c>
      <c r="AA1720" t="s">
        <v>59</v>
      </c>
      <c r="AB1720" t="s">
        <v>59</v>
      </c>
      <c r="AC1720" t="s">
        <v>59</v>
      </c>
      <c r="AD1720" t="s">
        <v>59</v>
      </c>
      <c r="AF1720" s="1">
        <v>40414</v>
      </c>
      <c r="AG1720" t="s">
        <v>125</v>
      </c>
      <c r="AH1720" t="s">
        <v>126</v>
      </c>
      <c r="AI1720" t="str">
        <f>"1716010"</f>
        <v>1716010</v>
      </c>
      <c r="AJ1720" t="s">
        <v>193</v>
      </c>
      <c r="AK1720">
        <v>2810791374</v>
      </c>
      <c r="AL1720" t="s">
        <v>194</v>
      </c>
      <c r="AM1720" t="s">
        <v>78</v>
      </c>
      <c r="AN1720" t="s">
        <v>78</v>
      </c>
      <c r="AO1720" t="s">
        <v>195</v>
      </c>
      <c r="AP1720" t="s">
        <v>196</v>
      </c>
      <c r="AQ1720">
        <v>30</v>
      </c>
      <c r="AR1720" t="s">
        <v>123</v>
      </c>
      <c r="AS1720" t="s">
        <v>124</v>
      </c>
      <c r="AT1720" t="s">
        <v>58</v>
      </c>
      <c r="AU1720" t="s">
        <v>68</v>
      </c>
      <c r="AV1720" t="s">
        <v>69</v>
      </c>
      <c r="AW1720" s="1">
        <v>26461</v>
      </c>
      <c r="AX1720">
        <v>2</v>
      </c>
    </row>
    <row r="1721" spans="1:50">
      <c r="A1721">
        <v>183046</v>
      </c>
      <c r="B1721" t="str">
        <f>"076720462"</f>
        <v>076720462</v>
      </c>
      <c r="C1721" t="s">
        <v>50</v>
      </c>
      <c r="D1721" t="s">
        <v>3725</v>
      </c>
      <c r="E1721" t="s">
        <v>263</v>
      </c>
      <c r="F1721" t="s">
        <v>995</v>
      </c>
      <c r="G1721" t="s">
        <v>181</v>
      </c>
      <c r="H1721" t="str">
        <f>"ΑΝΩ ΒΙΑΝΝΟΣ ΑΝΩ ΒΙΑΝΝΟΣ"</f>
        <v>ΑΝΩ ΒΙΑΝΝΟΣ ΑΝΩ ΒΙΑΝΝΟΣ</v>
      </c>
      <c r="I1721">
        <v>70004</v>
      </c>
      <c r="J1721">
        <v>2895022055</v>
      </c>
      <c r="K1721">
        <v>6984624080</v>
      </c>
      <c r="L1721">
        <v>2895022371</v>
      </c>
      <c r="N1721" t="s">
        <v>146</v>
      </c>
      <c r="O1721" t="s">
        <v>147</v>
      </c>
      <c r="R1721" t="s">
        <v>57</v>
      </c>
      <c r="S1721">
        <v>9</v>
      </c>
      <c r="T1721">
        <v>250</v>
      </c>
      <c r="U1721" s="1">
        <v>36160</v>
      </c>
      <c r="V1721" t="s">
        <v>123</v>
      </c>
      <c r="W1721" t="s">
        <v>124</v>
      </c>
      <c r="X1721" t="s">
        <v>58</v>
      </c>
      <c r="Y1721">
        <v>20</v>
      </c>
      <c r="Z1721" t="s">
        <v>59</v>
      </c>
      <c r="AA1721" t="s">
        <v>59</v>
      </c>
      <c r="AB1721" t="s">
        <v>59</v>
      </c>
      <c r="AC1721" t="s">
        <v>59</v>
      </c>
      <c r="AD1721" t="s">
        <v>59</v>
      </c>
      <c r="AF1721" s="1">
        <v>36182</v>
      </c>
      <c r="AG1721" t="s">
        <v>148</v>
      </c>
      <c r="AH1721" t="s">
        <v>149</v>
      </c>
      <c r="AI1721" t="str">
        <f>"1754010"</f>
        <v>1754010</v>
      </c>
      <c r="AJ1721" t="s">
        <v>1167</v>
      </c>
      <c r="AK1721">
        <v>2895022277</v>
      </c>
      <c r="AL1721" t="s">
        <v>1168</v>
      </c>
      <c r="AM1721" t="s">
        <v>78</v>
      </c>
      <c r="AN1721" t="s">
        <v>482</v>
      </c>
      <c r="AO1721" t="s">
        <v>482</v>
      </c>
      <c r="AP1721" t="s">
        <v>483</v>
      </c>
      <c r="AQ1721">
        <v>16</v>
      </c>
      <c r="AR1721" t="s">
        <v>123</v>
      </c>
      <c r="AS1721" t="s">
        <v>124</v>
      </c>
      <c r="AT1721" t="s">
        <v>58</v>
      </c>
      <c r="AU1721" t="s">
        <v>68</v>
      </c>
      <c r="AV1721" t="s">
        <v>69</v>
      </c>
      <c r="AW1721" s="1">
        <v>25538</v>
      </c>
      <c r="AX1721">
        <v>2</v>
      </c>
    </row>
    <row r="1722" spans="1:50">
      <c r="B1722" t="str">
        <f>"074850377"</f>
        <v>074850377</v>
      </c>
      <c r="C1722" t="s">
        <v>50</v>
      </c>
      <c r="D1722" t="s">
        <v>3726</v>
      </c>
      <c r="E1722" t="s">
        <v>237</v>
      </c>
      <c r="F1722" t="s">
        <v>95</v>
      </c>
      <c r="G1722" t="s">
        <v>52</v>
      </c>
      <c r="H1722" t="str">
        <f>"ΠΑΠΑΘΕΟΔΩΡΟΥ 10 ΣΙΣΙ ΛΑΣΙΘΙΟΥ"</f>
        <v>ΠΑΠΑΘΕΟΔΩΡΟΥ 10 ΣΙΣΙ ΛΑΣΙΘΙΟΥ</v>
      </c>
      <c r="I1722">
        <v>72400</v>
      </c>
      <c r="J1722">
        <v>2841071144</v>
      </c>
      <c r="K1722">
        <v>6934724973</v>
      </c>
      <c r="N1722" t="s">
        <v>146</v>
      </c>
      <c r="O1722" t="s">
        <v>147</v>
      </c>
      <c r="R1722" t="s">
        <v>159</v>
      </c>
      <c r="S1722">
        <v>4</v>
      </c>
      <c r="T1722" t="s">
        <v>160</v>
      </c>
      <c r="U1722" s="1">
        <v>43364</v>
      </c>
      <c r="V1722" t="s">
        <v>123</v>
      </c>
      <c r="W1722" t="s">
        <v>124</v>
      </c>
      <c r="X1722" t="s">
        <v>58</v>
      </c>
      <c r="Y1722">
        <v>21</v>
      </c>
      <c r="Z1722" t="s">
        <v>59</v>
      </c>
      <c r="AA1722" t="s">
        <v>59</v>
      </c>
      <c r="AB1722" t="s">
        <v>59</v>
      </c>
      <c r="AC1722" t="s">
        <v>59</v>
      </c>
      <c r="AD1722" t="s">
        <v>59</v>
      </c>
      <c r="AF1722" s="1">
        <v>43367</v>
      </c>
      <c r="AG1722" t="s">
        <v>148</v>
      </c>
      <c r="AH1722" t="s">
        <v>149</v>
      </c>
      <c r="AI1722" t="str">
        <f>"1768010"</f>
        <v>1768010</v>
      </c>
      <c r="AJ1722" t="s">
        <v>1012</v>
      </c>
      <c r="AK1722">
        <v>2897032070</v>
      </c>
      <c r="AL1722" t="s">
        <v>1013</v>
      </c>
      <c r="AM1722" t="s">
        <v>78</v>
      </c>
      <c r="AN1722" t="s">
        <v>219</v>
      </c>
      <c r="AO1722" t="s">
        <v>527</v>
      </c>
      <c r="AP1722" t="s">
        <v>527</v>
      </c>
      <c r="AQ1722">
        <v>20</v>
      </c>
      <c r="AR1722" t="s">
        <v>123</v>
      </c>
      <c r="AS1722" t="s">
        <v>124</v>
      </c>
      <c r="AT1722" t="s">
        <v>58</v>
      </c>
      <c r="AU1722" t="s">
        <v>164</v>
      </c>
      <c r="AV1722" t="s">
        <v>132</v>
      </c>
      <c r="AW1722" s="1">
        <v>27058</v>
      </c>
      <c r="AX1722">
        <v>2</v>
      </c>
    </row>
    <row r="1723" spans="1:50">
      <c r="A1723">
        <v>194696</v>
      </c>
      <c r="B1723" t="str">
        <f>"057456493"</f>
        <v>057456493</v>
      </c>
      <c r="C1723" t="s">
        <v>105</v>
      </c>
      <c r="D1723" t="s">
        <v>3727</v>
      </c>
      <c r="E1723" t="s">
        <v>1523</v>
      </c>
      <c r="F1723" t="s">
        <v>95</v>
      </c>
      <c r="G1723" t="s">
        <v>3728</v>
      </c>
      <c r="H1723" t="str">
        <f>" "</f>
        <v xml:space="preserve"> </v>
      </c>
      <c r="J1723">
        <v>2841034009</v>
      </c>
      <c r="K1723">
        <v>6908609850</v>
      </c>
      <c r="L1723">
        <v>2810225068</v>
      </c>
      <c r="M1723" t="s">
        <v>3729</v>
      </c>
      <c r="N1723" t="s">
        <v>189</v>
      </c>
      <c r="O1723" t="s">
        <v>190</v>
      </c>
      <c r="R1723" t="s">
        <v>57</v>
      </c>
      <c r="S1723">
        <v>12</v>
      </c>
      <c r="T1723">
        <v>193</v>
      </c>
      <c r="U1723" s="1">
        <v>37497</v>
      </c>
      <c r="V1723" t="s">
        <v>123</v>
      </c>
      <c r="W1723" t="s">
        <v>124</v>
      </c>
      <c r="X1723" t="s">
        <v>58</v>
      </c>
      <c r="Y1723">
        <v>18</v>
      </c>
      <c r="Z1723" t="s">
        <v>59</v>
      </c>
      <c r="AA1723" t="s">
        <v>59</v>
      </c>
      <c r="AB1723" t="s">
        <v>59</v>
      </c>
      <c r="AC1723" t="s">
        <v>59</v>
      </c>
      <c r="AD1723" t="s">
        <v>59</v>
      </c>
      <c r="AF1723" s="1">
        <v>37497</v>
      </c>
      <c r="AG1723" t="s">
        <v>137</v>
      </c>
      <c r="AH1723" t="s">
        <v>469</v>
      </c>
      <c r="AI1723" t="str">
        <f>"1740200"</f>
        <v>1740200</v>
      </c>
      <c r="AJ1723" t="s">
        <v>470</v>
      </c>
      <c r="AK1723">
        <v>2810320770</v>
      </c>
      <c r="AL1723" t="s">
        <v>471</v>
      </c>
      <c r="AM1723" t="s">
        <v>78</v>
      </c>
      <c r="AN1723" t="s">
        <v>78</v>
      </c>
      <c r="AO1723" t="s">
        <v>78</v>
      </c>
      <c r="AP1723" t="s">
        <v>163</v>
      </c>
      <c r="AQ1723">
        <v>2</v>
      </c>
      <c r="AR1723" t="s">
        <v>123</v>
      </c>
      <c r="AS1723" t="s">
        <v>124</v>
      </c>
      <c r="AT1723" t="s">
        <v>58</v>
      </c>
      <c r="AU1723" t="s">
        <v>68</v>
      </c>
      <c r="AV1723" t="s">
        <v>69</v>
      </c>
      <c r="AW1723" s="1">
        <v>24935</v>
      </c>
      <c r="AX1723">
        <v>2</v>
      </c>
    </row>
    <row r="1724" spans="1:50">
      <c r="B1724" t="str">
        <f>"049521781"</f>
        <v>049521781</v>
      </c>
      <c r="C1724" t="s">
        <v>50</v>
      </c>
      <c r="D1724" t="s">
        <v>3730</v>
      </c>
      <c r="E1724" t="s">
        <v>600</v>
      </c>
      <c r="F1724" t="s">
        <v>309</v>
      </c>
      <c r="G1724" t="s">
        <v>83</v>
      </c>
      <c r="H1724" t="str">
        <f>"ΚΑΠΕΤΑΝΟΠΟΥΛΟΥ 7 ΦΛΩΡΙΝΑ"</f>
        <v>ΚΑΠΕΤΑΝΟΠΟΥΛΟΥ 7 ΦΛΩΡΙΝΑ</v>
      </c>
      <c r="I1724">
        <v>53100</v>
      </c>
      <c r="J1724">
        <v>2385025965</v>
      </c>
      <c r="K1724">
        <v>6932827412</v>
      </c>
      <c r="M1724" t="s">
        <v>3731</v>
      </c>
      <c r="N1724" t="s">
        <v>447</v>
      </c>
      <c r="O1724" t="s">
        <v>448</v>
      </c>
      <c r="R1724" t="s">
        <v>121</v>
      </c>
      <c r="S1724">
        <v>1</v>
      </c>
      <c r="T1724" t="s">
        <v>122</v>
      </c>
      <c r="U1724" s="1">
        <v>43348</v>
      </c>
      <c r="V1724" t="s">
        <v>123</v>
      </c>
      <c r="W1724" t="s">
        <v>124</v>
      </c>
      <c r="X1724" t="s">
        <v>58</v>
      </c>
      <c r="Y1724">
        <v>23</v>
      </c>
      <c r="Z1724" t="s">
        <v>59</v>
      </c>
      <c r="AA1724" t="s">
        <v>59</v>
      </c>
      <c r="AB1724" t="s">
        <v>59</v>
      </c>
      <c r="AC1724" t="s">
        <v>59</v>
      </c>
      <c r="AD1724" t="s">
        <v>59</v>
      </c>
      <c r="AF1724" s="1">
        <v>43348</v>
      </c>
      <c r="AG1724" t="s">
        <v>148</v>
      </c>
      <c r="AH1724" t="s">
        <v>149</v>
      </c>
      <c r="AI1724" t="str">
        <f>"1751080"</f>
        <v>1751080</v>
      </c>
      <c r="AJ1724" t="s">
        <v>1395</v>
      </c>
      <c r="AK1724">
        <v>2810721380</v>
      </c>
      <c r="AL1724" t="s">
        <v>1396</v>
      </c>
      <c r="AM1724" t="s">
        <v>78</v>
      </c>
      <c r="AN1724" t="s">
        <v>78</v>
      </c>
      <c r="AO1724" t="s">
        <v>185</v>
      </c>
      <c r="AP1724" t="s">
        <v>186</v>
      </c>
      <c r="AQ1724">
        <v>29</v>
      </c>
      <c r="AR1724" t="s">
        <v>123</v>
      </c>
      <c r="AS1724" t="s">
        <v>124</v>
      </c>
      <c r="AT1724" t="s">
        <v>58</v>
      </c>
      <c r="AU1724" t="s">
        <v>131</v>
      </c>
      <c r="AV1724" t="s">
        <v>132</v>
      </c>
      <c r="AW1724" s="1">
        <v>29369</v>
      </c>
      <c r="AX1724">
        <v>2</v>
      </c>
    </row>
    <row r="1725" spans="1:50">
      <c r="A1725">
        <v>193781</v>
      </c>
      <c r="B1725" t="str">
        <f>"029623616"</f>
        <v>029623616</v>
      </c>
      <c r="C1725" t="s">
        <v>105</v>
      </c>
      <c r="D1725" t="s">
        <v>3732</v>
      </c>
      <c r="E1725" t="s">
        <v>53</v>
      </c>
      <c r="F1725" t="s">
        <v>72</v>
      </c>
      <c r="G1725" t="s">
        <v>52</v>
      </c>
      <c r="H1725" t="str">
        <f>"ΣΤΑΜΝΟΙ ΠΕΔΙΑΔΟΣ ΣΤΑΜΝΟΙ ΠΕΔΙΑΔΟΣ"</f>
        <v>ΣΤΑΜΝΟΙ ΠΕΔΙΑΔΟΣ ΣΤΑΜΝΟΙ ΠΕΔΙΑΔΟΣ</v>
      </c>
      <c r="I1725">
        <v>70008</v>
      </c>
      <c r="J1725">
        <v>2815201226</v>
      </c>
      <c r="K1725">
        <v>6984156763</v>
      </c>
      <c r="M1725" t="s">
        <v>3733</v>
      </c>
      <c r="N1725" t="s">
        <v>1647</v>
      </c>
      <c r="O1725" t="s">
        <v>1648</v>
      </c>
      <c r="R1725" t="s">
        <v>57</v>
      </c>
      <c r="S1725">
        <v>13</v>
      </c>
      <c r="T1725">
        <v>193</v>
      </c>
      <c r="U1725" s="1">
        <v>37497</v>
      </c>
      <c r="V1725" t="s">
        <v>123</v>
      </c>
      <c r="W1725" t="s">
        <v>124</v>
      </c>
      <c r="X1725" t="s">
        <v>58</v>
      </c>
      <c r="Y1725">
        <v>18</v>
      </c>
      <c r="Z1725" t="s">
        <v>59</v>
      </c>
      <c r="AA1725" t="s">
        <v>59</v>
      </c>
      <c r="AB1725" t="s">
        <v>59</v>
      </c>
      <c r="AC1725" t="s">
        <v>59</v>
      </c>
      <c r="AD1725" t="s">
        <v>59</v>
      </c>
      <c r="AF1725" s="1">
        <v>37500</v>
      </c>
      <c r="AG1725" t="s">
        <v>125</v>
      </c>
      <c r="AH1725" t="s">
        <v>126</v>
      </c>
      <c r="AI1725" t="str">
        <f>"1728010"</f>
        <v>1728010</v>
      </c>
      <c r="AJ1725" t="s">
        <v>127</v>
      </c>
      <c r="AK1725">
        <v>2810824651</v>
      </c>
      <c r="AL1725" t="s">
        <v>128</v>
      </c>
      <c r="AM1725" t="s">
        <v>78</v>
      </c>
      <c r="AN1725" t="s">
        <v>129</v>
      </c>
      <c r="AO1725" t="s">
        <v>130</v>
      </c>
      <c r="AP1725" t="s">
        <v>130</v>
      </c>
      <c r="AQ1725">
        <v>36</v>
      </c>
      <c r="AR1725" t="s">
        <v>123</v>
      </c>
      <c r="AS1725" t="s">
        <v>124</v>
      </c>
      <c r="AT1725" t="s">
        <v>58</v>
      </c>
      <c r="AU1725" t="s">
        <v>68</v>
      </c>
      <c r="AV1725" t="s">
        <v>69</v>
      </c>
      <c r="AW1725" s="1">
        <v>20959</v>
      </c>
      <c r="AX1725">
        <v>2</v>
      </c>
    </row>
    <row r="1726" spans="1:50">
      <c r="A1726">
        <v>181765</v>
      </c>
      <c r="B1726" t="str">
        <f>"046549692"</f>
        <v>046549692</v>
      </c>
      <c r="C1726" t="s">
        <v>50</v>
      </c>
      <c r="D1726" t="s">
        <v>3734</v>
      </c>
      <c r="E1726" t="s">
        <v>54</v>
      </c>
      <c r="F1726" t="s">
        <v>106</v>
      </c>
      <c r="G1726" t="s">
        <v>52</v>
      </c>
      <c r="H1726" t="str">
        <f>"Μ. ΕΛΕΥΘΕΡΙΑΔΗ 2 Ν. ΑΛΙΚΑΡΝΑΣΣΟΣ"</f>
        <v>Μ. ΕΛΕΥΘΕΡΙΑΔΗ 2 Ν. ΑΛΙΚΑΡΝΑΣΣΟΣ</v>
      </c>
      <c r="I1726">
        <v>71601</v>
      </c>
      <c r="J1726">
        <v>2810344924</v>
      </c>
      <c r="K1726">
        <v>6973336820</v>
      </c>
      <c r="N1726" t="s">
        <v>257</v>
      </c>
      <c r="O1726" t="s">
        <v>258</v>
      </c>
      <c r="P1726" t="s">
        <v>1525</v>
      </c>
      <c r="Q1726" t="s">
        <v>1526</v>
      </c>
      <c r="R1726" t="s">
        <v>57</v>
      </c>
      <c r="S1726">
        <v>12</v>
      </c>
      <c r="T1726">
        <v>164</v>
      </c>
      <c r="U1726" s="1">
        <v>36040</v>
      </c>
      <c r="V1726" t="s">
        <v>123</v>
      </c>
      <c r="W1726" t="s">
        <v>124</v>
      </c>
      <c r="X1726" t="s">
        <v>58</v>
      </c>
      <c r="Y1726">
        <v>18</v>
      </c>
      <c r="Z1726" t="s">
        <v>59</v>
      </c>
      <c r="AA1726" t="s">
        <v>59</v>
      </c>
      <c r="AB1726" t="s">
        <v>59</v>
      </c>
      <c r="AC1726" t="s">
        <v>59</v>
      </c>
      <c r="AD1726" t="s">
        <v>59</v>
      </c>
      <c r="AF1726" s="1">
        <v>36041</v>
      </c>
      <c r="AG1726" t="s">
        <v>148</v>
      </c>
      <c r="AH1726" t="s">
        <v>149</v>
      </c>
      <c r="AI1726" t="str">
        <f>"1751042"</f>
        <v>1751042</v>
      </c>
      <c r="AJ1726" t="s">
        <v>959</v>
      </c>
      <c r="AK1726">
        <v>2810220685</v>
      </c>
      <c r="AL1726" t="s">
        <v>960</v>
      </c>
      <c r="AM1726" t="s">
        <v>78</v>
      </c>
      <c r="AN1726" t="s">
        <v>78</v>
      </c>
      <c r="AO1726" t="s">
        <v>78</v>
      </c>
      <c r="AP1726" t="s">
        <v>213</v>
      </c>
      <c r="AQ1726">
        <v>6</v>
      </c>
      <c r="AR1726" t="s">
        <v>123</v>
      </c>
      <c r="AS1726" t="s">
        <v>124</v>
      </c>
      <c r="AT1726" t="s">
        <v>58</v>
      </c>
      <c r="AU1726" t="s">
        <v>68</v>
      </c>
      <c r="AV1726" t="s">
        <v>69</v>
      </c>
      <c r="AW1726" s="1">
        <v>20921</v>
      </c>
      <c r="AX1726">
        <v>2</v>
      </c>
    </row>
    <row r="1727" spans="1:50">
      <c r="A1727">
        <v>168485</v>
      </c>
      <c r="B1727" t="str">
        <f>"032022717"</f>
        <v>032022717</v>
      </c>
      <c r="C1727" t="s">
        <v>105</v>
      </c>
      <c r="D1727" t="s">
        <v>3735</v>
      </c>
      <c r="E1727" t="s">
        <v>99</v>
      </c>
      <c r="F1727" t="s">
        <v>166</v>
      </c>
      <c r="G1727" t="s">
        <v>3736</v>
      </c>
      <c r="H1727" t="str">
        <f>"ΕΜΜ. ΓΙΑΚΟΥΜΑΚΗ 52 ΣΤΑΛΙΔΑ"</f>
        <v>ΕΜΜ. ΓΙΑΚΟΥΜΑΚΗ 52 ΣΤΑΛΙΔΑ</v>
      </c>
      <c r="I1727">
        <v>70007</v>
      </c>
      <c r="J1727">
        <v>2897033864</v>
      </c>
      <c r="K1727">
        <v>6945753235</v>
      </c>
      <c r="M1727" t="s">
        <v>3737</v>
      </c>
      <c r="N1727" t="s">
        <v>306</v>
      </c>
      <c r="O1727" t="s">
        <v>307</v>
      </c>
      <c r="R1727" t="s">
        <v>57</v>
      </c>
      <c r="S1727">
        <v>12</v>
      </c>
      <c r="T1727">
        <v>159</v>
      </c>
      <c r="U1727" s="1">
        <v>34582</v>
      </c>
      <c r="V1727" t="s">
        <v>123</v>
      </c>
      <c r="W1727" t="s">
        <v>124</v>
      </c>
      <c r="X1727" t="s">
        <v>58</v>
      </c>
      <c r="Y1727">
        <v>18</v>
      </c>
      <c r="Z1727" t="s">
        <v>59</v>
      </c>
      <c r="AA1727" t="s">
        <v>59</v>
      </c>
      <c r="AB1727" t="s">
        <v>59</v>
      </c>
      <c r="AC1727" t="s">
        <v>59</v>
      </c>
      <c r="AD1727" t="s">
        <v>59</v>
      </c>
      <c r="AF1727" s="1">
        <v>34589</v>
      </c>
      <c r="AG1727" t="s">
        <v>125</v>
      </c>
      <c r="AH1727" t="s">
        <v>126</v>
      </c>
      <c r="AI1727" t="str">
        <f>"1718010"</f>
        <v>1718010</v>
      </c>
      <c r="AJ1727" t="s">
        <v>1090</v>
      </c>
      <c r="AK1727">
        <v>2897031471</v>
      </c>
      <c r="AL1727" t="s">
        <v>1091</v>
      </c>
      <c r="AM1727" t="s">
        <v>78</v>
      </c>
      <c r="AN1727" t="s">
        <v>219</v>
      </c>
      <c r="AO1727" t="s">
        <v>527</v>
      </c>
      <c r="AP1727" t="s">
        <v>527</v>
      </c>
      <c r="AQ1727">
        <v>20</v>
      </c>
      <c r="AR1727" t="s">
        <v>123</v>
      </c>
      <c r="AS1727" t="s">
        <v>124</v>
      </c>
      <c r="AT1727" t="s">
        <v>58</v>
      </c>
      <c r="AU1727" t="s">
        <v>68</v>
      </c>
      <c r="AV1727" t="s">
        <v>69</v>
      </c>
      <c r="AW1727" s="1">
        <v>23812</v>
      </c>
      <c r="AX1727">
        <v>2</v>
      </c>
    </row>
    <row r="1728" spans="1:50">
      <c r="A1728">
        <v>211777</v>
      </c>
      <c r="B1728" t="str">
        <f>"107933635"</f>
        <v>107933635</v>
      </c>
      <c r="C1728" t="s">
        <v>105</v>
      </c>
      <c r="D1728" t="s">
        <v>3738</v>
      </c>
      <c r="E1728" t="s">
        <v>95</v>
      </c>
      <c r="F1728" t="s">
        <v>153</v>
      </c>
      <c r="G1728" t="s">
        <v>3739</v>
      </c>
      <c r="H1728" t="str">
        <f>"ΚΟΚΚΙΝΗ ΧΑΝΙ ΚΟΚΚΙΝΗ ΧΑΝΙ"</f>
        <v>ΚΟΚΚΙΝΗ ΧΑΝΙ ΚΟΚΚΙΝΗ ΧΑΝΙ</v>
      </c>
      <c r="K1728">
        <v>6985063140</v>
      </c>
      <c r="M1728" t="s">
        <v>3740</v>
      </c>
      <c r="N1728" t="s">
        <v>157</v>
      </c>
      <c r="O1728" t="s">
        <v>158</v>
      </c>
      <c r="R1728" t="s">
        <v>57</v>
      </c>
      <c r="S1728">
        <v>5</v>
      </c>
      <c r="T1728">
        <v>231</v>
      </c>
      <c r="U1728" s="1">
        <v>38960</v>
      </c>
      <c r="V1728" t="s">
        <v>123</v>
      </c>
      <c r="W1728" t="s">
        <v>124</v>
      </c>
      <c r="X1728" t="s">
        <v>58</v>
      </c>
      <c r="Y1728">
        <v>20</v>
      </c>
      <c r="Z1728" t="s">
        <v>59</v>
      </c>
      <c r="AA1728" t="s">
        <v>59</v>
      </c>
      <c r="AB1728" t="s">
        <v>59</v>
      </c>
      <c r="AC1728" t="s">
        <v>59</v>
      </c>
      <c r="AD1728" t="s">
        <v>59</v>
      </c>
      <c r="AF1728" s="1">
        <v>38961</v>
      </c>
      <c r="AG1728" t="s">
        <v>125</v>
      </c>
      <c r="AH1728" t="s">
        <v>126</v>
      </c>
      <c r="AI1728" t="str">
        <f>"1714012"</f>
        <v>1714012</v>
      </c>
      <c r="AJ1728" t="s">
        <v>633</v>
      </c>
      <c r="AK1728">
        <v>2810762261</v>
      </c>
      <c r="AL1728" t="s">
        <v>634</v>
      </c>
      <c r="AM1728" t="s">
        <v>78</v>
      </c>
      <c r="AN1728" t="s">
        <v>219</v>
      </c>
      <c r="AO1728" t="s">
        <v>297</v>
      </c>
      <c r="AP1728" t="s">
        <v>297</v>
      </c>
      <c r="AQ1728">
        <v>37</v>
      </c>
      <c r="AR1728" t="s">
        <v>123</v>
      </c>
      <c r="AS1728" t="s">
        <v>124</v>
      </c>
      <c r="AT1728" t="s">
        <v>58</v>
      </c>
      <c r="AU1728" t="s">
        <v>68</v>
      </c>
      <c r="AV1728" t="s">
        <v>69</v>
      </c>
      <c r="AW1728" s="1">
        <v>29259</v>
      </c>
      <c r="AX1728">
        <v>2</v>
      </c>
    </row>
    <row r="1729" spans="1:50">
      <c r="A1729">
        <v>214652</v>
      </c>
      <c r="B1729" t="str">
        <f>"100898355"</f>
        <v>100898355</v>
      </c>
      <c r="C1729" t="s">
        <v>50</v>
      </c>
      <c r="D1729" t="s">
        <v>3741</v>
      </c>
      <c r="E1729" t="s">
        <v>367</v>
      </c>
      <c r="F1729" t="s">
        <v>510</v>
      </c>
      <c r="G1729" t="s">
        <v>3742</v>
      </c>
      <c r="H1729" t="str">
        <f>"ΚΥΡΙΛΛΟΥ ΩΛΕΝΗΣ 28 ΠΥΡΓΟΣ"</f>
        <v>ΚΥΡΙΛΛΟΥ ΩΛΕΝΗΣ 28 ΠΥΡΓΟΣ</v>
      </c>
      <c r="I1729">
        <v>27100</v>
      </c>
      <c r="J1729">
        <v>2621036441</v>
      </c>
      <c r="K1729">
        <v>6932772489</v>
      </c>
      <c r="M1729" t="s">
        <v>3743</v>
      </c>
      <c r="N1729" t="s">
        <v>176</v>
      </c>
      <c r="O1729" t="s">
        <v>177</v>
      </c>
      <c r="R1729" t="s">
        <v>57</v>
      </c>
      <c r="S1729">
        <v>7</v>
      </c>
      <c r="T1729">
        <v>231</v>
      </c>
      <c r="U1729" s="1">
        <v>38960</v>
      </c>
      <c r="V1729" t="s">
        <v>123</v>
      </c>
      <c r="W1729" t="s">
        <v>124</v>
      </c>
      <c r="X1729" t="s">
        <v>58</v>
      </c>
      <c r="Y1729">
        <v>20</v>
      </c>
      <c r="Z1729" t="s">
        <v>59</v>
      </c>
      <c r="AA1729" t="s">
        <v>59</v>
      </c>
      <c r="AB1729" t="s">
        <v>59</v>
      </c>
      <c r="AC1729" t="s">
        <v>59</v>
      </c>
      <c r="AD1729" t="s">
        <v>59</v>
      </c>
      <c r="AF1729" s="1">
        <v>38961</v>
      </c>
      <c r="AG1729" t="s">
        <v>125</v>
      </c>
      <c r="AH1729" t="s">
        <v>590</v>
      </c>
      <c r="AI1729" t="str">
        <f>"1740060"</f>
        <v>1740060</v>
      </c>
      <c r="AJ1729" t="s">
        <v>591</v>
      </c>
      <c r="AK1729">
        <v>2810232117</v>
      </c>
      <c r="AL1729" t="s">
        <v>592</v>
      </c>
      <c r="AM1729" t="s">
        <v>78</v>
      </c>
      <c r="AN1729" t="s">
        <v>78</v>
      </c>
      <c r="AO1729" t="s">
        <v>78</v>
      </c>
      <c r="AP1729" t="s">
        <v>141</v>
      </c>
      <c r="AQ1729">
        <v>11</v>
      </c>
      <c r="AR1729" t="s">
        <v>123</v>
      </c>
      <c r="AS1729" t="s">
        <v>124</v>
      </c>
      <c r="AT1729" t="s">
        <v>58</v>
      </c>
      <c r="AU1729" t="s">
        <v>68</v>
      </c>
      <c r="AV1729" t="s">
        <v>69</v>
      </c>
      <c r="AW1729" s="1">
        <v>25740</v>
      </c>
      <c r="AX1729">
        <v>2</v>
      </c>
    </row>
    <row r="1730" spans="1:50">
      <c r="A1730">
        <v>193246</v>
      </c>
      <c r="B1730" t="str">
        <f>"052714203"</f>
        <v>052714203</v>
      </c>
      <c r="C1730" t="s">
        <v>50</v>
      </c>
      <c r="D1730" t="s">
        <v>3744</v>
      </c>
      <c r="E1730" t="s">
        <v>2555</v>
      </c>
      <c r="F1730" t="s">
        <v>53</v>
      </c>
      <c r="G1730" t="s">
        <v>52</v>
      </c>
      <c r="H1730" t="str">
        <f>"ΑΝΔΡΕΑ ΠΑΠΝΔΡΕΟΥ 95Α ΗΡΑΚΛΕΙΟ"</f>
        <v>ΑΝΔΡΕΑ ΠΑΠΝΔΡΕΟΥ 95Α ΗΡΑΚΛΕΙΟ</v>
      </c>
      <c r="I1730">
        <v>71304</v>
      </c>
      <c r="J1730">
        <v>2810287450</v>
      </c>
      <c r="K1730">
        <v>6944453544</v>
      </c>
      <c r="L1730">
        <v>2810258330</v>
      </c>
      <c r="N1730" t="s">
        <v>146</v>
      </c>
      <c r="O1730" t="s">
        <v>147</v>
      </c>
      <c r="R1730" t="s">
        <v>57</v>
      </c>
      <c r="S1730">
        <v>11</v>
      </c>
      <c r="T1730">
        <v>193</v>
      </c>
      <c r="U1730" s="1">
        <v>37497</v>
      </c>
      <c r="V1730" t="s">
        <v>123</v>
      </c>
      <c r="W1730" t="s">
        <v>124</v>
      </c>
      <c r="X1730" t="s">
        <v>58</v>
      </c>
      <c r="Y1730">
        <v>18</v>
      </c>
      <c r="Z1730" t="s">
        <v>59</v>
      </c>
      <c r="AA1730" t="s">
        <v>59</v>
      </c>
      <c r="AB1730" t="s">
        <v>59</v>
      </c>
      <c r="AC1730" t="s">
        <v>59</v>
      </c>
      <c r="AD1730" t="s">
        <v>59</v>
      </c>
      <c r="AF1730" s="1">
        <v>37501</v>
      </c>
      <c r="AG1730" t="s">
        <v>148</v>
      </c>
      <c r="AH1730" t="s">
        <v>149</v>
      </c>
      <c r="AI1730" t="str">
        <f>"1751040"</f>
        <v>1751040</v>
      </c>
      <c r="AJ1730" t="s">
        <v>178</v>
      </c>
      <c r="AK1730">
        <v>2810252495</v>
      </c>
      <c r="AL1730" t="s">
        <v>179</v>
      </c>
      <c r="AM1730" t="s">
        <v>78</v>
      </c>
      <c r="AN1730" t="s">
        <v>78</v>
      </c>
      <c r="AO1730" t="s">
        <v>78</v>
      </c>
      <c r="AP1730" t="s">
        <v>141</v>
      </c>
      <c r="AQ1730">
        <v>3</v>
      </c>
      <c r="AR1730" t="s">
        <v>123</v>
      </c>
      <c r="AS1730" t="s">
        <v>124</v>
      </c>
      <c r="AT1730" t="s">
        <v>58</v>
      </c>
      <c r="AU1730" t="s">
        <v>68</v>
      </c>
      <c r="AV1730" t="s">
        <v>69</v>
      </c>
      <c r="AW1730" s="1">
        <v>24705</v>
      </c>
      <c r="AX1730">
        <v>2</v>
      </c>
    </row>
    <row r="1731" spans="1:50">
      <c r="A1731">
        <v>222598</v>
      </c>
      <c r="B1731" t="str">
        <f>"103679072"</f>
        <v>103679072</v>
      </c>
      <c r="C1731" t="s">
        <v>50</v>
      </c>
      <c r="D1731" t="s">
        <v>3745</v>
      </c>
      <c r="E1731" t="s">
        <v>314</v>
      </c>
      <c r="F1731" t="s">
        <v>166</v>
      </c>
      <c r="G1731" t="s">
        <v>52</v>
      </c>
      <c r="H1731" t="str">
        <f>"25ης  ΜΑΡΤΙΟΥ 94 "</f>
        <v xml:space="preserve">25ης  ΜΑΡΤΙΟΥ 94 </v>
      </c>
      <c r="I1731">
        <v>70400</v>
      </c>
      <c r="J1731">
        <v>2892022952</v>
      </c>
      <c r="K1731">
        <v>6977572351</v>
      </c>
      <c r="M1731" t="s">
        <v>3746</v>
      </c>
      <c r="N1731" t="s">
        <v>146</v>
      </c>
      <c r="O1731" t="s">
        <v>147</v>
      </c>
      <c r="R1731" t="s">
        <v>57</v>
      </c>
      <c r="S1731">
        <v>6</v>
      </c>
      <c r="T1731">
        <v>775</v>
      </c>
      <c r="U1731" s="1">
        <v>39680</v>
      </c>
      <c r="V1731" t="s">
        <v>123</v>
      </c>
      <c r="W1731" t="s">
        <v>124</v>
      </c>
      <c r="X1731" t="s">
        <v>58</v>
      </c>
      <c r="Y1731">
        <v>20</v>
      </c>
      <c r="Z1731" t="s">
        <v>59</v>
      </c>
      <c r="AA1731" t="s">
        <v>59</v>
      </c>
      <c r="AB1731" t="s">
        <v>59</v>
      </c>
      <c r="AC1731" t="s">
        <v>59</v>
      </c>
      <c r="AD1731" t="s">
        <v>59</v>
      </c>
      <c r="AF1731" s="1">
        <v>39685</v>
      </c>
      <c r="AG1731" t="s">
        <v>137</v>
      </c>
      <c r="AH1731" t="s">
        <v>138</v>
      </c>
      <c r="AI1731" t="str">
        <f>"1740300"</f>
        <v>1740300</v>
      </c>
      <c r="AJ1731" t="s">
        <v>1274</v>
      </c>
      <c r="AK1731">
        <v>2892022100</v>
      </c>
      <c r="AL1731" t="s">
        <v>1275</v>
      </c>
      <c r="AM1731" t="s">
        <v>78</v>
      </c>
      <c r="AN1731" t="s">
        <v>242</v>
      </c>
      <c r="AO1731" t="s">
        <v>243</v>
      </c>
      <c r="AP1731" t="s">
        <v>243</v>
      </c>
      <c r="AQ1731">
        <v>33</v>
      </c>
      <c r="AR1731" t="s">
        <v>123</v>
      </c>
      <c r="AS1731" t="s">
        <v>124</v>
      </c>
      <c r="AT1731" t="s">
        <v>58</v>
      </c>
      <c r="AU1731" t="s">
        <v>68</v>
      </c>
      <c r="AV1731" t="s">
        <v>69</v>
      </c>
      <c r="AW1731" s="1">
        <v>27831</v>
      </c>
      <c r="AX1731">
        <v>2</v>
      </c>
    </row>
    <row r="1732" spans="1:50">
      <c r="A1732">
        <v>201981</v>
      </c>
      <c r="B1732" t="str">
        <f>"046498626"</f>
        <v>046498626</v>
      </c>
      <c r="C1732" t="s">
        <v>50</v>
      </c>
      <c r="D1732" t="s">
        <v>3747</v>
      </c>
      <c r="E1732" t="s">
        <v>255</v>
      </c>
      <c r="F1732" t="s">
        <v>95</v>
      </c>
      <c r="G1732" t="s">
        <v>52</v>
      </c>
      <c r="H1732" t="str">
        <f>"Μ. ΦΙΟΡΑΚΗ 15 ΗΡΑΚΛΕΙΟ"</f>
        <v>Μ. ΦΙΟΡΑΚΗ 15 ΗΡΑΚΛΕΙΟ</v>
      </c>
      <c r="I1732">
        <v>71409</v>
      </c>
      <c r="J1732">
        <v>2810310760</v>
      </c>
      <c r="K1732">
        <v>6972777494</v>
      </c>
      <c r="M1732" t="s">
        <v>3748</v>
      </c>
      <c r="N1732" t="s">
        <v>146</v>
      </c>
      <c r="O1732" t="s">
        <v>147</v>
      </c>
      <c r="R1732" t="s">
        <v>57</v>
      </c>
      <c r="S1732">
        <v>7</v>
      </c>
      <c r="T1732">
        <v>231</v>
      </c>
      <c r="U1732" s="1">
        <v>38230</v>
      </c>
      <c r="V1732" t="s">
        <v>123</v>
      </c>
      <c r="W1732" t="s">
        <v>124</v>
      </c>
      <c r="X1732" t="s">
        <v>58</v>
      </c>
      <c r="Y1732">
        <v>20</v>
      </c>
      <c r="Z1732" t="s">
        <v>59</v>
      </c>
      <c r="AA1732" t="s">
        <v>59</v>
      </c>
      <c r="AB1732" t="s">
        <v>59</v>
      </c>
      <c r="AC1732" t="s">
        <v>59</v>
      </c>
      <c r="AD1732" t="s">
        <v>59</v>
      </c>
      <c r="AF1732" s="1">
        <v>38232</v>
      </c>
      <c r="AG1732" t="s">
        <v>125</v>
      </c>
      <c r="AH1732" t="s">
        <v>126</v>
      </c>
      <c r="AI1732" t="str">
        <f>"1701010"</f>
        <v>1701010</v>
      </c>
      <c r="AJ1732" t="s">
        <v>374</v>
      </c>
      <c r="AK1732">
        <v>2810227148</v>
      </c>
      <c r="AL1732" t="s">
        <v>375</v>
      </c>
      <c r="AM1732" t="s">
        <v>78</v>
      </c>
      <c r="AN1732" t="s">
        <v>78</v>
      </c>
      <c r="AO1732" t="s">
        <v>78</v>
      </c>
      <c r="AP1732" t="s">
        <v>79</v>
      </c>
      <c r="AQ1732">
        <v>1</v>
      </c>
      <c r="AR1732" t="s">
        <v>123</v>
      </c>
      <c r="AS1732" t="s">
        <v>124</v>
      </c>
      <c r="AT1732" t="s">
        <v>58</v>
      </c>
      <c r="AU1732" t="s">
        <v>68</v>
      </c>
      <c r="AV1732" t="s">
        <v>69</v>
      </c>
      <c r="AW1732" s="1">
        <v>26032</v>
      </c>
      <c r="AX1732">
        <v>2</v>
      </c>
    </row>
    <row r="1733" spans="1:50">
      <c r="A1733">
        <v>196849</v>
      </c>
      <c r="B1733" t="str">
        <f>"073303790"</f>
        <v>073303790</v>
      </c>
      <c r="C1733" t="s">
        <v>50</v>
      </c>
      <c r="D1733" t="s">
        <v>3747</v>
      </c>
      <c r="E1733" t="s">
        <v>103</v>
      </c>
      <c r="F1733" t="s">
        <v>3749</v>
      </c>
      <c r="G1733" t="s">
        <v>52</v>
      </c>
      <c r="H1733" t="str">
        <f>"ΠΟΛΥΜΝΙΑΣ 14 ΗΡΑΚΛΕΙΟ"</f>
        <v>ΠΟΛΥΜΝΙΑΣ 14 ΗΡΑΚΛΕΙΟ</v>
      </c>
      <c r="I1733">
        <v>71601</v>
      </c>
      <c r="J1733">
        <v>2810335715</v>
      </c>
      <c r="K1733">
        <v>6974202055</v>
      </c>
      <c r="M1733" t="s">
        <v>3750</v>
      </c>
      <c r="N1733" t="s">
        <v>146</v>
      </c>
      <c r="O1733" t="s">
        <v>147</v>
      </c>
      <c r="R1733" t="s">
        <v>57</v>
      </c>
      <c r="S1733">
        <v>7</v>
      </c>
      <c r="T1733">
        <v>206</v>
      </c>
      <c r="U1733" s="1">
        <v>37866</v>
      </c>
      <c r="V1733" t="s">
        <v>123</v>
      </c>
      <c r="W1733" t="s">
        <v>124</v>
      </c>
      <c r="X1733" t="s">
        <v>58</v>
      </c>
      <c r="Y1733">
        <v>20</v>
      </c>
      <c r="Z1733" t="s">
        <v>59</v>
      </c>
      <c r="AA1733" t="s">
        <v>59</v>
      </c>
      <c r="AB1733" t="s">
        <v>59</v>
      </c>
      <c r="AC1733" t="s">
        <v>59</v>
      </c>
      <c r="AD1733" t="s">
        <v>59</v>
      </c>
      <c r="AF1733" s="1">
        <v>37868</v>
      </c>
      <c r="AG1733" t="s">
        <v>125</v>
      </c>
      <c r="AH1733" t="s">
        <v>126</v>
      </c>
      <c r="AI1733" t="str">
        <f>"1701040"</f>
        <v>1701040</v>
      </c>
      <c r="AJ1733" t="s">
        <v>748</v>
      </c>
      <c r="AK1733">
        <v>2810252459</v>
      </c>
      <c r="AL1733" t="s">
        <v>749</v>
      </c>
      <c r="AM1733" t="s">
        <v>78</v>
      </c>
      <c r="AN1733" t="s">
        <v>78</v>
      </c>
      <c r="AO1733" t="s">
        <v>78</v>
      </c>
      <c r="AP1733" t="s">
        <v>141</v>
      </c>
      <c r="AQ1733">
        <v>3</v>
      </c>
      <c r="AR1733" t="s">
        <v>123</v>
      </c>
      <c r="AS1733" t="s">
        <v>124</v>
      </c>
      <c r="AT1733" t="s">
        <v>58</v>
      </c>
      <c r="AU1733" t="s">
        <v>68</v>
      </c>
      <c r="AV1733" t="s">
        <v>69</v>
      </c>
      <c r="AW1733" s="1">
        <v>25407</v>
      </c>
      <c r="AX1733">
        <v>2</v>
      </c>
    </row>
    <row r="1734" spans="1:50">
      <c r="A1734">
        <v>167377</v>
      </c>
      <c r="B1734" t="str">
        <f>"064336830"</f>
        <v>064336830</v>
      </c>
      <c r="C1734" t="s">
        <v>50</v>
      </c>
      <c r="D1734" t="s">
        <v>3751</v>
      </c>
      <c r="E1734" t="s">
        <v>215</v>
      </c>
      <c r="F1734" t="s">
        <v>95</v>
      </c>
      <c r="G1734" t="s">
        <v>52</v>
      </c>
      <c r="H1734" t="str">
        <f>"ΚΑΝΤΑΚΟΥΖΗΝΟΥ  10 ΠΕΝΤΕΒΗ"</f>
        <v>ΚΑΝΤΑΚΟΥΖΗΝΟΥ  10 ΠΕΝΤΕΒΗ</v>
      </c>
      <c r="I1734">
        <v>71307</v>
      </c>
      <c r="J1734">
        <v>2810211243</v>
      </c>
      <c r="K1734">
        <v>6974547486</v>
      </c>
      <c r="M1734" t="s">
        <v>3752</v>
      </c>
      <c r="N1734" t="s">
        <v>299</v>
      </c>
      <c r="O1734" t="s">
        <v>300</v>
      </c>
      <c r="R1734" t="s">
        <v>57</v>
      </c>
      <c r="S1734">
        <v>13</v>
      </c>
      <c r="T1734">
        <v>174</v>
      </c>
      <c r="U1734" s="1">
        <v>34250</v>
      </c>
      <c r="V1734" t="s">
        <v>123</v>
      </c>
      <c r="W1734" t="s">
        <v>124</v>
      </c>
      <c r="X1734" t="s">
        <v>58</v>
      </c>
      <c r="Y1734">
        <v>18</v>
      </c>
      <c r="Z1734" t="s">
        <v>59</v>
      </c>
      <c r="AA1734" t="s">
        <v>59</v>
      </c>
      <c r="AB1734" t="s">
        <v>59</v>
      </c>
      <c r="AC1734" t="s">
        <v>59</v>
      </c>
      <c r="AD1734" t="s">
        <v>59</v>
      </c>
      <c r="AF1734" s="1">
        <v>34261</v>
      </c>
      <c r="AG1734" t="s">
        <v>148</v>
      </c>
      <c r="AH1734" t="s">
        <v>149</v>
      </c>
      <c r="AI1734" t="str">
        <f>"1777010"</f>
        <v>1777010</v>
      </c>
      <c r="AJ1734" t="s">
        <v>612</v>
      </c>
      <c r="AK1734">
        <v>2810229220</v>
      </c>
      <c r="AL1734" t="s">
        <v>613</v>
      </c>
      <c r="AM1734" t="s">
        <v>78</v>
      </c>
      <c r="AN1734" t="s">
        <v>78</v>
      </c>
      <c r="AO1734" t="s">
        <v>286</v>
      </c>
      <c r="AP1734" t="s">
        <v>286</v>
      </c>
      <c r="AQ1734">
        <v>12</v>
      </c>
      <c r="AR1734" t="s">
        <v>123</v>
      </c>
      <c r="AS1734" t="s">
        <v>124</v>
      </c>
      <c r="AT1734" t="s">
        <v>58</v>
      </c>
      <c r="AU1734" t="s">
        <v>68</v>
      </c>
      <c r="AV1734" t="s">
        <v>69</v>
      </c>
      <c r="AW1734" s="1">
        <v>19739</v>
      </c>
      <c r="AX1734">
        <v>2</v>
      </c>
    </row>
    <row r="1735" spans="1:50">
      <c r="A1735">
        <v>183895</v>
      </c>
      <c r="B1735" t="str">
        <f>"043092786"</f>
        <v>043092786</v>
      </c>
      <c r="C1735" t="s">
        <v>105</v>
      </c>
      <c r="D1735" t="s">
        <v>3753</v>
      </c>
      <c r="E1735" t="s">
        <v>53</v>
      </c>
      <c r="F1735" t="s">
        <v>99</v>
      </c>
      <c r="G1735" t="s">
        <v>83</v>
      </c>
      <c r="H1735" t="str">
        <f>"ΚΑΤΩ ΚΑΛΕΣΣΑ ΓΑΖΙ"</f>
        <v>ΚΑΤΩ ΚΑΛΕΣΣΑ ΓΑΖΙ</v>
      </c>
      <c r="I1735">
        <v>71500</v>
      </c>
      <c r="K1735">
        <v>6977838399</v>
      </c>
      <c r="M1735" t="s">
        <v>3754</v>
      </c>
      <c r="N1735" t="s">
        <v>292</v>
      </c>
      <c r="O1735" t="s">
        <v>293</v>
      </c>
      <c r="R1735" t="s">
        <v>57</v>
      </c>
      <c r="S1735">
        <v>17</v>
      </c>
      <c r="T1735">
        <v>177</v>
      </c>
      <c r="U1735" s="1">
        <v>36403</v>
      </c>
      <c r="V1735" t="s">
        <v>123</v>
      </c>
      <c r="W1735" t="s">
        <v>124</v>
      </c>
      <c r="X1735" t="s">
        <v>58</v>
      </c>
      <c r="Y1735">
        <v>20</v>
      </c>
      <c r="Z1735" t="s">
        <v>59</v>
      </c>
      <c r="AA1735" t="s">
        <v>59</v>
      </c>
      <c r="AB1735" t="s">
        <v>59</v>
      </c>
      <c r="AC1735" t="s">
        <v>59</v>
      </c>
      <c r="AD1735" t="s">
        <v>452</v>
      </c>
      <c r="AE1735" s="1">
        <v>43708</v>
      </c>
      <c r="AF1735" s="1">
        <v>36404</v>
      </c>
      <c r="AG1735" t="s">
        <v>60</v>
      </c>
      <c r="AH1735" t="s">
        <v>453</v>
      </c>
      <c r="AI1735" t="str">
        <f>"1700105"</f>
        <v>1700105</v>
      </c>
      <c r="AJ1735" t="s">
        <v>124</v>
      </c>
      <c r="AK1735">
        <v>2810333720</v>
      </c>
      <c r="AL1735" t="s">
        <v>454</v>
      </c>
      <c r="AM1735" t="s">
        <v>78</v>
      </c>
      <c r="AN1735" t="s">
        <v>78</v>
      </c>
      <c r="AO1735" t="s">
        <v>78</v>
      </c>
      <c r="AP1735" t="s">
        <v>79</v>
      </c>
      <c r="AS1735" t="s">
        <v>124</v>
      </c>
      <c r="AT1735" t="s">
        <v>58</v>
      </c>
      <c r="AU1735" t="s">
        <v>68</v>
      </c>
      <c r="AV1735" t="s">
        <v>455</v>
      </c>
      <c r="AW1735" s="1">
        <v>23377</v>
      </c>
      <c r="AX1735">
        <v>2</v>
      </c>
    </row>
    <row r="1736" spans="1:50">
      <c r="A1736">
        <v>154092</v>
      </c>
      <c r="B1736" t="str">
        <f>"034548538"</f>
        <v>034548538</v>
      </c>
      <c r="C1736" t="s">
        <v>50</v>
      </c>
      <c r="D1736" t="s">
        <v>3755</v>
      </c>
      <c r="E1736" t="s">
        <v>221</v>
      </c>
      <c r="F1736" t="s">
        <v>3756</v>
      </c>
      <c r="G1736" t="s">
        <v>3757</v>
      </c>
      <c r="H1736" t="str">
        <f>" "</f>
        <v xml:space="preserve"> </v>
      </c>
      <c r="N1736" t="s">
        <v>146</v>
      </c>
      <c r="O1736" t="s">
        <v>147</v>
      </c>
      <c r="R1736" t="s">
        <v>57</v>
      </c>
      <c r="S1736">
        <v>16</v>
      </c>
      <c r="T1736">
        <v>161</v>
      </c>
      <c r="U1736" s="1">
        <v>32387</v>
      </c>
      <c r="V1736" t="s">
        <v>123</v>
      </c>
      <c r="W1736" t="s">
        <v>124</v>
      </c>
      <c r="X1736" t="s">
        <v>58</v>
      </c>
      <c r="Y1736">
        <v>18</v>
      </c>
      <c r="Z1736" t="s">
        <v>59</v>
      </c>
      <c r="AA1736" t="s">
        <v>59</v>
      </c>
      <c r="AB1736" t="s">
        <v>59</v>
      </c>
      <c r="AC1736" t="s">
        <v>59</v>
      </c>
      <c r="AD1736" t="s">
        <v>59</v>
      </c>
      <c r="AF1736" s="1">
        <v>32392</v>
      </c>
      <c r="AG1736" t="s">
        <v>148</v>
      </c>
      <c r="AH1736" t="s">
        <v>149</v>
      </c>
      <c r="AI1736" t="str">
        <f>"1751010"</f>
        <v>1751010</v>
      </c>
      <c r="AJ1736" t="s">
        <v>150</v>
      </c>
      <c r="AK1736">
        <v>2810346092</v>
      </c>
      <c r="AL1736" t="s">
        <v>151</v>
      </c>
      <c r="AM1736" t="s">
        <v>78</v>
      </c>
      <c r="AN1736" t="s">
        <v>78</v>
      </c>
      <c r="AO1736" t="s">
        <v>78</v>
      </c>
      <c r="AP1736" t="s">
        <v>79</v>
      </c>
      <c r="AQ1736">
        <v>1</v>
      </c>
      <c r="AR1736" t="s">
        <v>123</v>
      </c>
      <c r="AS1736" t="s">
        <v>124</v>
      </c>
      <c r="AT1736" t="s">
        <v>58</v>
      </c>
      <c r="AU1736" t="s">
        <v>68</v>
      </c>
      <c r="AV1736" t="s">
        <v>69</v>
      </c>
      <c r="AW1736" s="1">
        <v>22387</v>
      </c>
      <c r="AX1736">
        <v>2</v>
      </c>
    </row>
    <row r="1737" spans="1:50">
      <c r="A1737">
        <v>186279</v>
      </c>
      <c r="B1737" t="str">
        <f>"052328549"</f>
        <v>052328549</v>
      </c>
      <c r="C1737" t="s">
        <v>50</v>
      </c>
      <c r="D1737" t="s">
        <v>3758</v>
      </c>
      <c r="E1737" t="s">
        <v>553</v>
      </c>
      <c r="F1737" t="s">
        <v>166</v>
      </c>
      <c r="G1737" t="s">
        <v>109</v>
      </c>
      <c r="H1737" t="str">
        <f>"ΠΛΑΤΑΚΗ 3 ΗΡΑΚΛΕΙΟ"</f>
        <v>ΠΛΑΤΑΚΗ 3 ΗΡΑΚΛΕΙΟ</v>
      </c>
      <c r="I1737">
        <v>71409</v>
      </c>
      <c r="J1737">
        <v>2810325621</v>
      </c>
      <c r="K1737">
        <v>6936599972</v>
      </c>
      <c r="M1737" t="s">
        <v>3759</v>
      </c>
      <c r="N1737" t="s">
        <v>176</v>
      </c>
      <c r="O1737" t="s">
        <v>177</v>
      </c>
      <c r="R1737" t="s">
        <v>57</v>
      </c>
      <c r="S1737">
        <v>14</v>
      </c>
      <c r="T1737">
        <v>250</v>
      </c>
      <c r="U1737" s="1">
        <v>36769</v>
      </c>
      <c r="V1737" t="s">
        <v>123</v>
      </c>
      <c r="W1737" t="s">
        <v>124</v>
      </c>
      <c r="X1737" t="s">
        <v>58</v>
      </c>
      <c r="Y1737">
        <v>20</v>
      </c>
      <c r="Z1737" t="s">
        <v>59</v>
      </c>
      <c r="AA1737" t="s">
        <v>59</v>
      </c>
      <c r="AB1737" t="s">
        <v>59</v>
      </c>
      <c r="AC1737" t="s">
        <v>59</v>
      </c>
      <c r="AD1737" t="s">
        <v>59</v>
      </c>
      <c r="AF1737" s="1">
        <v>36773</v>
      </c>
      <c r="AG1737" t="s">
        <v>137</v>
      </c>
      <c r="AH1737" t="s">
        <v>138</v>
      </c>
      <c r="AI1737" t="str">
        <f>"1750080"</f>
        <v>1750080</v>
      </c>
      <c r="AJ1737" t="s">
        <v>170</v>
      </c>
      <c r="AK1737">
        <v>2810234444</v>
      </c>
      <c r="AL1737" t="s">
        <v>171</v>
      </c>
      <c r="AM1737" t="s">
        <v>78</v>
      </c>
      <c r="AN1737" t="s">
        <v>78</v>
      </c>
      <c r="AO1737" t="s">
        <v>78</v>
      </c>
      <c r="AP1737" t="s">
        <v>163</v>
      </c>
      <c r="AQ1737">
        <v>9</v>
      </c>
      <c r="AR1737" t="s">
        <v>123</v>
      </c>
      <c r="AS1737" t="s">
        <v>124</v>
      </c>
      <c r="AT1737" t="s">
        <v>58</v>
      </c>
      <c r="AU1737" t="s">
        <v>68</v>
      </c>
      <c r="AV1737" t="s">
        <v>69</v>
      </c>
      <c r="AW1737" s="1">
        <v>24508</v>
      </c>
      <c r="AX1737">
        <v>2</v>
      </c>
    </row>
    <row r="1738" spans="1:50">
      <c r="A1738">
        <v>700066</v>
      </c>
      <c r="B1738" t="str">
        <f>"116151819"</f>
        <v>116151819</v>
      </c>
      <c r="C1738" t="s">
        <v>50</v>
      </c>
      <c r="D1738" t="s">
        <v>3760</v>
      </c>
      <c r="E1738" t="s">
        <v>484</v>
      </c>
      <c r="F1738" t="s">
        <v>53</v>
      </c>
      <c r="G1738" t="s">
        <v>3761</v>
      </c>
      <c r="H1738" t="str">
        <f>"ΓΡΗΓΟΡΙΟΥ ΛΑΜΠΡΑΚΗ 4 ΦΥΛΗ  ΧΑΣΙΑ"</f>
        <v>ΓΡΗΓΟΡΙΟΥ ΛΑΜΠΡΑΚΗ 4 ΦΥΛΗ  ΧΑΣΙΑ</v>
      </c>
      <c r="I1738">
        <v>13351</v>
      </c>
      <c r="J1738">
        <v>2102411505</v>
      </c>
      <c r="K1738">
        <v>6942071174</v>
      </c>
      <c r="M1738" t="s">
        <v>3762</v>
      </c>
      <c r="N1738" t="s">
        <v>282</v>
      </c>
      <c r="O1738" t="s">
        <v>283</v>
      </c>
      <c r="R1738" t="s">
        <v>57</v>
      </c>
      <c r="S1738">
        <v>7</v>
      </c>
      <c r="T1738">
        <v>772</v>
      </c>
      <c r="U1738" s="1">
        <v>40413</v>
      </c>
      <c r="V1738" t="s">
        <v>123</v>
      </c>
      <c r="W1738" t="s">
        <v>124</v>
      </c>
      <c r="X1738" t="s">
        <v>58</v>
      </c>
      <c r="Y1738">
        <v>21</v>
      </c>
      <c r="Z1738" t="s">
        <v>59</v>
      </c>
      <c r="AA1738" t="s">
        <v>59</v>
      </c>
      <c r="AB1738" t="s">
        <v>59</v>
      </c>
      <c r="AC1738" t="s">
        <v>59</v>
      </c>
      <c r="AD1738" t="s">
        <v>59</v>
      </c>
      <c r="AF1738" s="1">
        <v>40413</v>
      </c>
      <c r="AG1738" t="s">
        <v>137</v>
      </c>
      <c r="AH1738" t="s">
        <v>138</v>
      </c>
      <c r="AI1738" t="str">
        <f>"1740300"</f>
        <v>1740300</v>
      </c>
      <c r="AJ1738" t="s">
        <v>1274</v>
      </c>
      <c r="AK1738">
        <v>2892022100</v>
      </c>
      <c r="AL1738" t="s">
        <v>1275</v>
      </c>
      <c r="AM1738" t="s">
        <v>78</v>
      </c>
      <c r="AN1738" t="s">
        <v>242</v>
      </c>
      <c r="AO1738" t="s">
        <v>243</v>
      </c>
      <c r="AP1738" t="s">
        <v>243</v>
      </c>
      <c r="AQ1738">
        <v>33</v>
      </c>
      <c r="AR1738" t="s">
        <v>123</v>
      </c>
      <c r="AS1738" t="s">
        <v>124</v>
      </c>
      <c r="AT1738" t="s">
        <v>58</v>
      </c>
      <c r="AU1738" t="s">
        <v>68</v>
      </c>
      <c r="AV1738" t="s">
        <v>69</v>
      </c>
      <c r="AW1738" s="1">
        <v>30177</v>
      </c>
      <c r="AX1738">
        <v>2</v>
      </c>
    </row>
    <row r="1739" spans="1:50">
      <c r="A1739">
        <v>227161</v>
      </c>
      <c r="B1739" t="str">
        <f>"045353372"</f>
        <v>045353372</v>
      </c>
      <c r="C1739" t="s">
        <v>105</v>
      </c>
      <c r="D1739" t="s">
        <v>3763</v>
      </c>
      <c r="E1739" t="s">
        <v>670</v>
      </c>
      <c r="F1739" t="s">
        <v>95</v>
      </c>
      <c r="G1739" t="s">
        <v>366</v>
      </c>
      <c r="H1739" t="str">
        <f>"ΛΟΙΖΟΥ ΜΑΝΟΥ 1 ΗΡΑΚΛΕΙΟ"</f>
        <v>ΛΟΙΖΟΥ ΜΑΝΟΥ 1 ΗΡΑΚΛΕΙΟ</v>
      </c>
      <c r="I1739">
        <v>71409</v>
      </c>
      <c r="J1739">
        <v>2810360907</v>
      </c>
      <c r="K1739">
        <v>6948526604</v>
      </c>
      <c r="M1739" t="s">
        <v>3764</v>
      </c>
      <c r="N1739" t="s">
        <v>292</v>
      </c>
      <c r="O1739" t="s">
        <v>293</v>
      </c>
      <c r="R1739" t="s">
        <v>57</v>
      </c>
      <c r="S1739">
        <v>5</v>
      </c>
      <c r="T1739">
        <v>654</v>
      </c>
      <c r="U1739" s="1">
        <v>40043</v>
      </c>
      <c r="V1739" t="s">
        <v>123</v>
      </c>
      <c r="W1739" t="s">
        <v>124</v>
      </c>
      <c r="X1739" t="s">
        <v>58</v>
      </c>
      <c r="Y1739">
        <v>21</v>
      </c>
      <c r="Z1739" t="s">
        <v>59</v>
      </c>
      <c r="AA1739" t="s">
        <v>59</v>
      </c>
      <c r="AB1739" t="s">
        <v>59</v>
      </c>
      <c r="AC1739" t="s">
        <v>59</v>
      </c>
      <c r="AD1739" t="s">
        <v>59</v>
      </c>
      <c r="AF1739" s="1">
        <v>40057</v>
      </c>
      <c r="AG1739" t="s">
        <v>148</v>
      </c>
      <c r="AH1739" t="s">
        <v>149</v>
      </c>
      <c r="AI1739" t="str">
        <f>"1762010"</f>
        <v>1762010</v>
      </c>
      <c r="AJ1739" t="s">
        <v>942</v>
      </c>
      <c r="AK1739">
        <v>2897061311</v>
      </c>
      <c r="AL1739" t="s">
        <v>943</v>
      </c>
      <c r="AM1739" t="s">
        <v>78</v>
      </c>
      <c r="AN1739" t="s">
        <v>219</v>
      </c>
      <c r="AO1739" t="s">
        <v>527</v>
      </c>
      <c r="AP1739" t="s">
        <v>528</v>
      </c>
      <c r="AQ1739">
        <v>19</v>
      </c>
      <c r="AR1739" t="s">
        <v>123</v>
      </c>
      <c r="AS1739" t="s">
        <v>124</v>
      </c>
      <c r="AT1739" t="s">
        <v>58</v>
      </c>
      <c r="AU1739" t="s">
        <v>68</v>
      </c>
      <c r="AV1739" t="s">
        <v>69</v>
      </c>
      <c r="AW1739" s="1">
        <v>24650</v>
      </c>
      <c r="AX1739">
        <v>2</v>
      </c>
    </row>
    <row r="1740" spans="1:50">
      <c r="A1740">
        <v>229740</v>
      </c>
      <c r="B1740" t="str">
        <f>"051451726"</f>
        <v>051451726</v>
      </c>
      <c r="C1740" t="s">
        <v>50</v>
      </c>
      <c r="D1740" t="s">
        <v>3765</v>
      </c>
      <c r="E1740" t="s">
        <v>250</v>
      </c>
      <c r="F1740" t="s">
        <v>383</v>
      </c>
      <c r="G1740" t="s">
        <v>83</v>
      </c>
      <c r="H1740" t="str">
        <f>"ΜΟΥΣΩΝ 91 ΗΡΑΚΛΕΙΟ"</f>
        <v>ΜΟΥΣΩΝ 91 ΗΡΑΚΛΕΙΟ</v>
      </c>
      <c r="I1740">
        <v>71307</v>
      </c>
      <c r="J1740">
        <v>2810235554</v>
      </c>
      <c r="K1740">
        <v>6942565210</v>
      </c>
      <c r="M1740" t="s">
        <v>3766</v>
      </c>
      <c r="N1740" t="s">
        <v>1351</v>
      </c>
      <c r="O1740" t="s">
        <v>1352</v>
      </c>
      <c r="R1740" t="s">
        <v>57</v>
      </c>
      <c r="S1740">
        <v>6</v>
      </c>
      <c r="T1740">
        <v>988</v>
      </c>
      <c r="U1740" s="1">
        <v>40157</v>
      </c>
      <c r="V1740" t="s">
        <v>123</v>
      </c>
      <c r="W1740" t="s">
        <v>124</v>
      </c>
      <c r="X1740" t="s">
        <v>58</v>
      </c>
      <c r="Y1740">
        <v>21</v>
      </c>
      <c r="Z1740" t="s">
        <v>59</v>
      </c>
      <c r="AA1740" t="s">
        <v>59</v>
      </c>
      <c r="AB1740" t="s">
        <v>59</v>
      </c>
      <c r="AC1740" t="s">
        <v>59</v>
      </c>
      <c r="AD1740" t="s">
        <v>59</v>
      </c>
      <c r="AF1740" s="1">
        <v>40157</v>
      </c>
      <c r="AG1740" t="s">
        <v>137</v>
      </c>
      <c r="AH1740" t="s">
        <v>138</v>
      </c>
      <c r="AI1740" t="str">
        <f>"1740080"</f>
        <v>1740080</v>
      </c>
      <c r="AJ1740" t="s">
        <v>284</v>
      </c>
      <c r="AK1740">
        <v>2810220433</v>
      </c>
      <c r="AL1740" t="s">
        <v>285</v>
      </c>
      <c r="AM1740" t="s">
        <v>78</v>
      </c>
      <c r="AN1740" t="s">
        <v>78</v>
      </c>
      <c r="AO1740" t="s">
        <v>286</v>
      </c>
      <c r="AP1740" t="s">
        <v>286</v>
      </c>
      <c r="AQ1740">
        <v>12</v>
      </c>
      <c r="AR1740" t="s">
        <v>123</v>
      </c>
      <c r="AS1740" t="s">
        <v>124</v>
      </c>
      <c r="AT1740" t="s">
        <v>58</v>
      </c>
      <c r="AU1740" t="s">
        <v>68</v>
      </c>
      <c r="AV1740" t="s">
        <v>69</v>
      </c>
      <c r="AW1740" s="1">
        <v>24822</v>
      </c>
      <c r="AX1740">
        <v>2</v>
      </c>
    </row>
    <row r="1741" spans="1:50">
      <c r="A1741">
        <v>219712</v>
      </c>
      <c r="B1741" t="str">
        <f>"079645309"</f>
        <v>079645309</v>
      </c>
      <c r="C1741" t="s">
        <v>50</v>
      </c>
      <c r="D1741" t="s">
        <v>3767</v>
      </c>
      <c r="E1741" t="s">
        <v>1074</v>
      </c>
      <c r="F1741" t="s">
        <v>84</v>
      </c>
      <c r="G1741" t="s">
        <v>237</v>
      </c>
      <c r="H1741" t="str">
        <f>"ΝΑΞΟΥ 9 ΗΡΑΚΛΕΙΟ"</f>
        <v>ΝΑΞΟΥ 9 ΗΡΑΚΛΕΙΟ</v>
      </c>
      <c r="I1741">
        <v>71307</v>
      </c>
      <c r="J1741">
        <v>2810281236</v>
      </c>
      <c r="K1741">
        <v>6984035658</v>
      </c>
      <c r="L1741">
        <v>2810245416</v>
      </c>
      <c r="M1741" t="s">
        <v>3768</v>
      </c>
      <c r="N1741" t="s">
        <v>257</v>
      </c>
      <c r="O1741" t="s">
        <v>258</v>
      </c>
      <c r="R1741" t="s">
        <v>57</v>
      </c>
      <c r="S1741">
        <v>7</v>
      </c>
      <c r="T1741">
        <v>599</v>
      </c>
      <c r="U1741" s="1">
        <v>39310</v>
      </c>
      <c r="V1741" t="s">
        <v>123</v>
      </c>
      <c r="W1741" t="s">
        <v>124</v>
      </c>
      <c r="X1741" t="s">
        <v>58</v>
      </c>
      <c r="Y1741">
        <v>21</v>
      </c>
      <c r="Z1741" t="s">
        <v>59</v>
      </c>
      <c r="AA1741" t="s">
        <v>59</v>
      </c>
      <c r="AB1741" t="s">
        <v>59</v>
      </c>
      <c r="AC1741" t="s">
        <v>59</v>
      </c>
      <c r="AD1741" t="s">
        <v>59</v>
      </c>
      <c r="AF1741" s="1">
        <v>39685</v>
      </c>
      <c r="AG1741" t="s">
        <v>148</v>
      </c>
      <c r="AH1741" t="s">
        <v>149</v>
      </c>
      <c r="AI1741" t="str">
        <f>"1764010"</f>
        <v>1764010</v>
      </c>
      <c r="AJ1741" t="s">
        <v>1058</v>
      </c>
      <c r="AK1741">
        <v>2810762862</v>
      </c>
      <c r="AL1741" t="s">
        <v>1059</v>
      </c>
      <c r="AM1741" t="s">
        <v>78</v>
      </c>
      <c r="AN1741" t="s">
        <v>219</v>
      </c>
      <c r="AO1741" t="s">
        <v>297</v>
      </c>
      <c r="AP1741" t="s">
        <v>297</v>
      </c>
      <c r="AQ1741">
        <v>37</v>
      </c>
      <c r="AR1741" t="s">
        <v>123</v>
      </c>
      <c r="AS1741" t="s">
        <v>124</v>
      </c>
      <c r="AT1741" t="s">
        <v>58</v>
      </c>
      <c r="AU1741" t="s">
        <v>68</v>
      </c>
      <c r="AV1741" t="s">
        <v>69</v>
      </c>
      <c r="AW1741" s="1">
        <v>29486</v>
      </c>
      <c r="AX1741">
        <v>2</v>
      </c>
    </row>
    <row r="1742" spans="1:50">
      <c r="B1742" t="str">
        <f>"137236527"</f>
        <v>137236527</v>
      </c>
      <c r="C1742" t="s">
        <v>50</v>
      </c>
      <c r="D1742" t="s">
        <v>3769</v>
      </c>
      <c r="E1742" t="s">
        <v>3770</v>
      </c>
      <c r="F1742" t="s">
        <v>84</v>
      </c>
      <c r="H1742" t="str">
        <f>" "</f>
        <v xml:space="preserve"> </v>
      </c>
      <c r="N1742" t="s">
        <v>292</v>
      </c>
      <c r="O1742" t="s">
        <v>293</v>
      </c>
      <c r="R1742" t="s">
        <v>121</v>
      </c>
      <c r="S1742">
        <v>1</v>
      </c>
      <c r="T1742" t="s">
        <v>3771</v>
      </c>
      <c r="U1742" s="1">
        <v>43041</v>
      </c>
      <c r="V1742" t="s">
        <v>123</v>
      </c>
      <c r="W1742" t="s">
        <v>124</v>
      </c>
      <c r="X1742" t="s">
        <v>58</v>
      </c>
      <c r="Y1742">
        <v>10</v>
      </c>
      <c r="Z1742" t="s">
        <v>59</v>
      </c>
      <c r="AA1742" t="s">
        <v>59</v>
      </c>
      <c r="AB1742" t="s">
        <v>59</v>
      </c>
      <c r="AC1742" t="s">
        <v>59</v>
      </c>
      <c r="AD1742" t="s">
        <v>59</v>
      </c>
      <c r="AF1742" s="1">
        <v>43041</v>
      </c>
      <c r="AI1742" t="str">
        <f>""</f>
        <v/>
      </c>
      <c r="AS1742" t="s">
        <v>124</v>
      </c>
      <c r="AT1742" t="s">
        <v>58</v>
      </c>
      <c r="AU1742" t="s">
        <v>912</v>
      </c>
      <c r="AX1742">
        <v>2</v>
      </c>
    </row>
    <row r="1743" spans="1:50">
      <c r="A1743">
        <v>195391</v>
      </c>
      <c r="B1743" t="str">
        <f>"075246424"</f>
        <v>075246424</v>
      </c>
      <c r="C1743" t="s">
        <v>50</v>
      </c>
      <c r="D1743" t="s">
        <v>3769</v>
      </c>
      <c r="E1743" t="s">
        <v>250</v>
      </c>
      <c r="F1743" t="s">
        <v>53</v>
      </c>
      <c r="G1743" t="s">
        <v>52</v>
      </c>
      <c r="H1743" t="str">
        <f>"ΑΝΔΡΕΑ ΠΑΠΑΝΔΡΕΟΥ 138 ΗΡΑΚΛΕΙΟ"</f>
        <v>ΑΝΔΡΕΑ ΠΑΠΑΝΔΡΕΟΥ 138 ΗΡΑΚΛΕΙΟ</v>
      </c>
      <c r="I1743">
        <v>71306</v>
      </c>
      <c r="J1743">
        <v>2810312245</v>
      </c>
      <c r="K1743">
        <v>6972694660</v>
      </c>
      <c r="N1743" t="s">
        <v>146</v>
      </c>
      <c r="O1743" t="s">
        <v>147</v>
      </c>
      <c r="R1743" t="s">
        <v>57</v>
      </c>
      <c r="S1743">
        <v>10</v>
      </c>
      <c r="T1743">
        <v>194</v>
      </c>
      <c r="U1743" s="1">
        <v>37497</v>
      </c>
      <c r="V1743" t="s">
        <v>123</v>
      </c>
      <c r="W1743" t="s">
        <v>124</v>
      </c>
      <c r="X1743" t="s">
        <v>58</v>
      </c>
      <c r="Y1743">
        <v>20</v>
      </c>
      <c r="Z1743" t="s">
        <v>59</v>
      </c>
      <c r="AA1743" t="s">
        <v>59</v>
      </c>
      <c r="AB1743" t="s">
        <v>59</v>
      </c>
      <c r="AC1743" t="s">
        <v>59</v>
      </c>
      <c r="AD1743" t="s">
        <v>59</v>
      </c>
      <c r="AF1743" s="1">
        <v>37501</v>
      </c>
      <c r="AG1743" t="s">
        <v>125</v>
      </c>
      <c r="AH1743" t="s">
        <v>126</v>
      </c>
      <c r="AI1743" t="str">
        <f>"1701057"</f>
        <v>1701057</v>
      </c>
      <c r="AJ1743" t="s">
        <v>379</v>
      </c>
      <c r="AK1743">
        <v>2810234488</v>
      </c>
      <c r="AL1743" t="s">
        <v>380</v>
      </c>
      <c r="AM1743" t="s">
        <v>78</v>
      </c>
      <c r="AN1743" t="s">
        <v>78</v>
      </c>
      <c r="AO1743" t="s">
        <v>78</v>
      </c>
      <c r="AP1743" t="s">
        <v>163</v>
      </c>
      <c r="AQ1743">
        <v>8</v>
      </c>
      <c r="AR1743" t="s">
        <v>123</v>
      </c>
      <c r="AS1743" t="s">
        <v>124</v>
      </c>
      <c r="AT1743" t="s">
        <v>58</v>
      </c>
      <c r="AU1743" t="s">
        <v>68</v>
      </c>
      <c r="AV1743" t="s">
        <v>69</v>
      </c>
      <c r="AW1743" s="1">
        <v>28551</v>
      </c>
      <c r="AX1743">
        <v>2</v>
      </c>
    </row>
    <row r="1744" spans="1:50">
      <c r="B1744" t="str">
        <f>"119686600"</f>
        <v>119686600</v>
      </c>
      <c r="C1744" t="s">
        <v>50</v>
      </c>
      <c r="D1744" t="s">
        <v>3769</v>
      </c>
      <c r="E1744" t="s">
        <v>112</v>
      </c>
      <c r="F1744" t="s">
        <v>84</v>
      </c>
      <c r="G1744" t="s">
        <v>1355</v>
      </c>
      <c r="H1744" t="str">
        <f>"ΠΗΝΕΛΟΠΗΣ ΔΕΛΤΑ 3 ΑΓ. ΜΑΡΙΝΑΣ"</f>
        <v>ΠΗΝΕΛΟΠΗΣ ΔΕΛΤΑ 3 ΑΓ. ΜΑΡΙΝΑΣ</v>
      </c>
      <c r="I1744">
        <v>71414</v>
      </c>
      <c r="J1744">
        <v>2810316477</v>
      </c>
      <c r="K1744">
        <v>6974380233</v>
      </c>
      <c r="M1744" t="s">
        <v>3772</v>
      </c>
      <c r="N1744" t="s">
        <v>292</v>
      </c>
      <c r="O1744" t="s">
        <v>293</v>
      </c>
      <c r="R1744" t="s">
        <v>159</v>
      </c>
      <c r="S1744">
        <v>2</v>
      </c>
      <c r="T1744" t="s">
        <v>160</v>
      </c>
      <c r="U1744" s="1">
        <v>43364</v>
      </c>
      <c r="V1744" t="s">
        <v>123</v>
      </c>
      <c r="W1744" t="s">
        <v>124</v>
      </c>
      <c r="X1744" t="s">
        <v>58</v>
      </c>
      <c r="Y1744">
        <v>23</v>
      </c>
      <c r="Z1744" t="s">
        <v>59</v>
      </c>
      <c r="AA1744" t="s">
        <v>59</v>
      </c>
      <c r="AB1744" t="s">
        <v>59</v>
      </c>
      <c r="AC1744" t="s">
        <v>59</v>
      </c>
      <c r="AD1744" t="s">
        <v>59</v>
      </c>
      <c r="AF1744" s="1">
        <v>43367</v>
      </c>
      <c r="AG1744" t="s">
        <v>148</v>
      </c>
      <c r="AH1744" t="s">
        <v>149</v>
      </c>
      <c r="AI1744" t="str">
        <f>"1759010"</f>
        <v>1759010</v>
      </c>
      <c r="AJ1744" t="s">
        <v>403</v>
      </c>
      <c r="AK1744">
        <v>2894022127</v>
      </c>
      <c r="AL1744" t="s">
        <v>404</v>
      </c>
      <c r="AM1744" t="s">
        <v>78</v>
      </c>
      <c r="AN1744" t="s">
        <v>405</v>
      </c>
      <c r="AO1744" t="s">
        <v>406</v>
      </c>
      <c r="AP1744" t="s">
        <v>406</v>
      </c>
      <c r="AQ1744">
        <v>30</v>
      </c>
      <c r="AR1744" t="s">
        <v>123</v>
      </c>
      <c r="AS1744" t="s">
        <v>124</v>
      </c>
      <c r="AT1744" t="s">
        <v>58</v>
      </c>
      <c r="AU1744" t="s">
        <v>164</v>
      </c>
      <c r="AV1744" t="s">
        <v>132</v>
      </c>
      <c r="AW1744" s="1">
        <v>30312</v>
      </c>
      <c r="AX1744">
        <v>2</v>
      </c>
    </row>
    <row r="1745" spans="1:50">
      <c r="A1745">
        <v>200741</v>
      </c>
      <c r="B1745" t="str">
        <f>"038972826"</f>
        <v>038972826</v>
      </c>
      <c r="C1745" t="s">
        <v>50</v>
      </c>
      <c r="D1745" t="s">
        <v>3769</v>
      </c>
      <c r="E1745" t="s">
        <v>54</v>
      </c>
      <c r="F1745" t="s">
        <v>3773</v>
      </c>
      <c r="G1745" t="s">
        <v>255</v>
      </c>
      <c r="H1745" t="str">
        <f>"ΑΝΤΙΟΧΕΙΑΣ  35 ΘΕΡΙΣΣΟΣ "</f>
        <v xml:space="preserve">ΑΝΤΙΟΧΕΙΑΣ  35 ΘΕΡΙΣΣΟΣ </v>
      </c>
      <c r="J1745">
        <v>2810312763</v>
      </c>
      <c r="K1745">
        <v>6984141210</v>
      </c>
      <c r="M1745" t="s">
        <v>3774</v>
      </c>
      <c r="N1745" t="s">
        <v>292</v>
      </c>
      <c r="O1745" t="s">
        <v>293</v>
      </c>
      <c r="R1745" t="s">
        <v>57</v>
      </c>
      <c r="S1745">
        <v>8</v>
      </c>
      <c r="T1745">
        <v>213</v>
      </c>
      <c r="U1745" s="1">
        <v>37874</v>
      </c>
      <c r="V1745" t="s">
        <v>123</v>
      </c>
      <c r="W1745" t="s">
        <v>124</v>
      </c>
      <c r="X1745" t="s">
        <v>58</v>
      </c>
      <c r="Y1745">
        <v>20</v>
      </c>
      <c r="Z1745" t="s">
        <v>59</v>
      </c>
      <c r="AA1745" t="s">
        <v>59</v>
      </c>
      <c r="AB1745" t="s">
        <v>59</v>
      </c>
      <c r="AC1745" t="s">
        <v>59</v>
      </c>
      <c r="AD1745" t="s">
        <v>59</v>
      </c>
      <c r="AF1745" s="1">
        <v>37879</v>
      </c>
      <c r="AG1745" t="s">
        <v>148</v>
      </c>
      <c r="AH1745" t="s">
        <v>149</v>
      </c>
      <c r="AI1745" t="str">
        <f>"1751041"</f>
        <v>1751041</v>
      </c>
      <c r="AJ1745" t="s">
        <v>353</v>
      </c>
      <c r="AK1745">
        <v>2810230207</v>
      </c>
      <c r="AL1745" t="s">
        <v>354</v>
      </c>
      <c r="AM1745" t="s">
        <v>78</v>
      </c>
      <c r="AN1745" t="s">
        <v>78</v>
      </c>
      <c r="AO1745" t="s">
        <v>78</v>
      </c>
      <c r="AP1745" t="s">
        <v>163</v>
      </c>
      <c r="AQ1745">
        <v>2</v>
      </c>
      <c r="AR1745" t="s">
        <v>123</v>
      </c>
      <c r="AS1745" t="s">
        <v>124</v>
      </c>
      <c r="AT1745" t="s">
        <v>58</v>
      </c>
      <c r="AU1745" t="s">
        <v>68</v>
      </c>
      <c r="AV1745" t="s">
        <v>357</v>
      </c>
      <c r="AW1745" s="1">
        <v>24371</v>
      </c>
      <c r="AX1745">
        <v>2</v>
      </c>
    </row>
    <row r="1746" spans="1:50">
      <c r="A1746">
        <v>226827</v>
      </c>
      <c r="B1746" t="str">
        <f>"056332996"</f>
        <v>056332996</v>
      </c>
      <c r="C1746" t="s">
        <v>50</v>
      </c>
      <c r="D1746" t="s">
        <v>3769</v>
      </c>
      <c r="E1746" t="s">
        <v>801</v>
      </c>
      <c r="F1746" t="s">
        <v>95</v>
      </c>
      <c r="G1746" t="s">
        <v>83</v>
      </c>
      <c r="H1746" t="str">
        <f>"ΡΟΔΟΠΗΣ 12 ΗΡΑΚΛΕΙΟ"</f>
        <v>ΡΟΔΟΠΗΣ 12 ΗΡΑΚΛΕΙΟ</v>
      </c>
      <c r="I1746">
        <v>71307</v>
      </c>
      <c r="J1746">
        <v>2810222520</v>
      </c>
      <c r="K1746">
        <v>6978797167</v>
      </c>
      <c r="M1746" t="s">
        <v>3775</v>
      </c>
      <c r="N1746" t="s">
        <v>146</v>
      </c>
      <c r="O1746" t="s">
        <v>147</v>
      </c>
      <c r="R1746" t="s">
        <v>57</v>
      </c>
      <c r="S1746">
        <v>5</v>
      </c>
      <c r="T1746">
        <v>654</v>
      </c>
      <c r="U1746" s="1">
        <v>40043</v>
      </c>
      <c r="V1746" t="s">
        <v>123</v>
      </c>
      <c r="W1746" t="s">
        <v>124</v>
      </c>
      <c r="X1746" t="s">
        <v>58</v>
      </c>
      <c r="Y1746">
        <v>21</v>
      </c>
      <c r="Z1746" t="s">
        <v>59</v>
      </c>
      <c r="AA1746" t="s">
        <v>59</v>
      </c>
      <c r="AB1746" t="s">
        <v>59</v>
      </c>
      <c r="AC1746" t="s">
        <v>59</v>
      </c>
      <c r="AD1746" t="s">
        <v>59</v>
      </c>
      <c r="AF1746" s="1">
        <v>40044</v>
      </c>
      <c r="AG1746" t="s">
        <v>125</v>
      </c>
      <c r="AH1746" t="s">
        <v>126</v>
      </c>
      <c r="AI1746" t="str">
        <f>"1701010"</f>
        <v>1701010</v>
      </c>
      <c r="AJ1746" t="s">
        <v>374</v>
      </c>
      <c r="AK1746">
        <v>2810227148</v>
      </c>
      <c r="AL1746" t="s">
        <v>375</v>
      </c>
      <c r="AM1746" t="s">
        <v>78</v>
      </c>
      <c r="AN1746" t="s">
        <v>78</v>
      </c>
      <c r="AO1746" t="s">
        <v>78</v>
      </c>
      <c r="AP1746" t="s">
        <v>79</v>
      </c>
      <c r="AQ1746">
        <v>1</v>
      </c>
      <c r="AR1746" t="s">
        <v>123</v>
      </c>
      <c r="AS1746" t="s">
        <v>124</v>
      </c>
      <c r="AT1746" t="s">
        <v>58</v>
      </c>
      <c r="AU1746" t="s">
        <v>68</v>
      </c>
      <c r="AV1746" t="s">
        <v>69</v>
      </c>
      <c r="AW1746" s="1">
        <v>23479</v>
      </c>
      <c r="AX1746">
        <v>2</v>
      </c>
    </row>
    <row r="1747" spans="1:50">
      <c r="A1747">
        <v>186003</v>
      </c>
      <c r="B1747" t="str">
        <f>"075299872"</f>
        <v>075299872</v>
      </c>
      <c r="C1747" t="s">
        <v>105</v>
      </c>
      <c r="D1747" t="s">
        <v>3776</v>
      </c>
      <c r="E1747" t="s">
        <v>154</v>
      </c>
      <c r="F1747" t="s">
        <v>95</v>
      </c>
      <c r="G1747" t="s">
        <v>52</v>
      </c>
      <c r="H1747" t="str">
        <f>"ΑΥΛΗ ΑΡΚΑΛΟΧΩΡΙ Ν. ΗΡΑΚΛΕΙΟΥ"</f>
        <v>ΑΥΛΗ ΑΡΚΑΛΟΧΩΡΙ Ν. ΗΡΑΚΛΕΙΟΥ</v>
      </c>
      <c r="I1747">
        <v>70300</v>
      </c>
      <c r="K1747">
        <v>6972077720</v>
      </c>
      <c r="M1747" t="s">
        <v>3777</v>
      </c>
      <c r="N1747" t="s">
        <v>292</v>
      </c>
      <c r="O1747" t="s">
        <v>293</v>
      </c>
      <c r="R1747" t="s">
        <v>57</v>
      </c>
      <c r="S1747">
        <v>10</v>
      </c>
      <c r="T1747">
        <v>250</v>
      </c>
      <c r="U1747" s="1">
        <v>36769</v>
      </c>
      <c r="V1747" t="s">
        <v>123</v>
      </c>
      <c r="W1747" t="s">
        <v>124</v>
      </c>
      <c r="X1747" t="s">
        <v>58</v>
      </c>
      <c r="Y1747">
        <v>20</v>
      </c>
      <c r="Z1747" t="s">
        <v>59</v>
      </c>
      <c r="AA1747" t="s">
        <v>59</v>
      </c>
      <c r="AB1747" t="s">
        <v>59</v>
      </c>
      <c r="AC1747" t="s">
        <v>59</v>
      </c>
      <c r="AD1747" t="s">
        <v>59</v>
      </c>
      <c r="AF1747" s="1">
        <v>36774</v>
      </c>
      <c r="AG1747" t="s">
        <v>148</v>
      </c>
      <c r="AH1747" t="s">
        <v>149</v>
      </c>
      <c r="AI1747" t="str">
        <f>"1790100"</f>
        <v>1790100</v>
      </c>
      <c r="AJ1747" t="s">
        <v>252</v>
      </c>
      <c r="AK1747">
        <v>2810234876</v>
      </c>
      <c r="AL1747" t="s">
        <v>253</v>
      </c>
      <c r="AM1747" t="s">
        <v>78</v>
      </c>
      <c r="AN1747" t="s">
        <v>78</v>
      </c>
      <c r="AO1747" t="s">
        <v>78</v>
      </c>
      <c r="AP1747" t="s">
        <v>163</v>
      </c>
      <c r="AQ1747">
        <v>5</v>
      </c>
      <c r="AR1747" t="s">
        <v>123</v>
      </c>
      <c r="AS1747" t="s">
        <v>124</v>
      </c>
      <c r="AT1747" t="s">
        <v>58</v>
      </c>
      <c r="AU1747" t="s">
        <v>68</v>
      </c>
      <c r="AV1747" t="s">
        <v>69</v>
      </c>
      <c r="AW1747" s="1">
        <v>26047</v>
      </c>
      <c r="AX1747">
        <v>2</v>
      </c>
    </row>
    <row r="1748" spans="1:50">
      <c r="A1748">
        <v>200610</v>
      </c>
      <c r="B1748" t="str">
        <f>"057950606"</f>
        <v>057950606</v>
      </c>
      <c r="C1748" t="s">
        <v>105</v>
      </c>
      <c r="D1748" t="s">
        <v>3776</v>
      </c>
      <c r="E1748" t="s">
        <v>166</v>
      </c>
      <c r="F1748" t="s">
        <v>92</v>
      </c>
      <c r="G1748" t="s">
        <v>73</v>
      </c>
      <c r="H1748" t="str">
        <f>"ΔΗΜΗΤΡΙΟΥ ΔΟΜΑΛΑΚΗ 5 ΗΡΑΚΛΕΙΟ"</f>
        <v>ΔΗΜΗΤΡΙΟΥ ΔΟΜΑΛΑΚΗ 5 ΗΡΑΚΛΕΙΟ</v>
      </c>
      <c r="I1748">
        <v>71307</v>
      </c>
      <c r="J1748">
        <v>2810213456</v>
      </c>
      <c r="K1748">
        <v>6972908294</v>
      </c>
      <c r="M1748" t="s">
        <v>3778</v>
      </c>
      <c r="N1748" t="s">
        <v>299</v>
      </c>
      <c r="O1748" t="s">
        <v>300</v>
      </c>
      <c r="R1748" t="s">
        <v>57</v>
      </c>
      <c r="S1748">
        <v>12</v>
      </c>
      <c r="T1748">
        <v>213</v>
      </c>
      <c r="U1748" s="1">
        <v>37874</v>
      </c>
      <c r="V1748" t="s">
        <v>123</v>
      </c>
      <c r="W1748" t="s">
        <v>124</v>
      </c>
      <c r="X1748" t="s">
        <v>58</v>
      </c>
      <c r="Y1748">
        <v>20</v>
      </c>
      <c r="Z1748" t="s">
        <v>59</v>
      </c>
      <c r="AA1748" t="s">
        <v>59</v>
      </c>
      <c r="AB1748" t="s">
        <v>59</v>
      </c>
      <c r="AC1748" t="s">
        <v>59</v>
      </c>
      <c r="AD1748" t="s">
        <v>59</v>
      </c>
      <c r="AF1748" s="1">
        <v>37874</v>
      </c>
      <c r="AG1748" t="s">
        <v>125</v>
      </c>
      <c r="AH1748" t="s">
        <v>294</v>
      </c>
      <c r="AI1748" t="str">
        <f>"1701015"</f>
        <v>1701015</v>
      </c>
      <c r="AJ1748" t="s">
        <v>295</v>
      </c>
      <c r="AK1748">
        <v>2810761696</v>
      </c>
      <c r="AL1748" t="s">
        <v>296</v>
      </c>
      <c r="AM1748" t="s">
        <v>78</v>
      </c>
      <c r="AN1748" t="s">
        <v>219</v>
      </c>
      <c r="AO1748" t="s">
        <v>297</v>
      </c>
      <c r="AP1748" t="s">
        <v>297</v>
      </c>
      <c r="AQ1748">
        <v>10</v>
      </c>
      <c r="AR1748" t="s">
        <v>123</v>
      </c>
      <c r="AS1748" t="s">
        <v>124</v>
      </c>
      <c r="AT1748" t="s">
        <v>58</v>
      </c>
      <c r="AU1748" t="s">
        <v>68</v>
      </c>
      <c r="AV1748" t="s">
        <v>69</v>
      </c>
      <c r="AW1748" s="1">
        <v>24682</v>
      </c>
      <c r="AX1748">
        <v>2</v>
      </c>
    </row>
    <row r="1749" spans="1:50">
      <c r="A1749">
        <v>226053</v>
      </c>
      <c r="B1749" t="str">
        <f>"055290641"</f>
        <v>055290641</v>
      </c>
      <c r="C1749" t="s">
        <v>105</v>
      </c>
      <c r="D1749" t="s">
        <v>3776</v>
      </c>
      <c r="E1749" t="s">
        <v>377</v>
      </c>
      <c r="F1749" t="s">
        <v>95</v>
      </c>
      <c r="G1749" t="s">
        <v>96</v>
      </c>
      <c r="H1749" t="str">
        <f>"ΜΟΝΑΧΗΣ ΤΕΡΕΖΑΣ 1 ΗΡΑΚΛΕΙΟ"</f>
        <v>ΜΟΝΑΧΗΣ ΤΕΡΕΖΑΣ 1 ΗΡΑΚΛΕΙΟ</v>
      </c>
      <c r="I1749">
        <v>71304</v>
      </c>
      <c r="J1749">
        <v>2810310448</v>
      </c>
      <c r="K1749">
        <v>6977308572</v>
      </c>
      <c r="M1749" t="s">
        <v>2636</v>
      </c>
      <c r="N1749" t="s">
        <v>176</v>
      </c>
      <c r="O1749" t="s">
        <v>177</v>
      </c>
      <c r="R1749" t="s">
        <v>57</v>
      </c>
      <c r="S1749">
        <v>10</v>
      </c>
      <c r="T1749">
        <v>177</v>
      </c>
      <c r="U1749" s="1">
        <v>36403</v>
      </c>
      <c r="V1749" t="s">
        <v>123</v>
      </c>
      <c r="W1749" t="s">
        <v>124</v>
      </c>
      <c r="X1749" t="s">
        <v>58</v>
      </c>
      <c r="Y1749">
        <v>20</v>
      </c>
      <c r="Z1749" t="s">
        <v>59</v>
      </c>
      <c r="AA1749" t="s">
        <v>59</v>
      </c>
      <c r="AB1749" t="s">
        <v>59</v>
      </c>
      <c r="AC1749" t="s">
        <v>59</v>
      </c>
      <c r="AD1749" t="s">
        <v>59</v>
      </c>
      <c r="AF1749" s="1">
        <v>36404</v>
      </c>
      <c r="AG1749" t="s">
        <v>148</v>
      </c>
      <c r="AH1749" t="s">
        <v>149</v>
      </c>
      <c r="AI1749" t="str">
        <f>"1759010"</f>
        <v>1759010</v>
      </c>
      <c r="AJ1749" t="s">
        <v>403</v>
      </c>
      <c r="AK1749">
        <v>2894022127</v>
      </c>
      <c r="AL1749" t="s">
        <v>404</v>
      </c>
      <c r="AM1749" t="s">
        <v>78</v>
      </c>
      <c r="AN1749" t="s">
        <v>405</v>
      </c>
      <c r="AO1749" t="s">
        <v>406</v>
      </c>
      <c r="AP1749" t="s">
        <v>406</v>
      </c>
      <c r="AQ1749">
        <v>30</v>
      </c>
      <c r="AR1749" t="s">
        <v>123</v>
      </c>
      <c r="AS1749" t="s">
        <v>124</v>
      </c>
      <c r="AT1749" t="s">
        <v>58</v>
      </c>
      <c r="AU1749" t="s">
        <v>68</v>
      </c>
      <c r="AV1749" t="s">
        <v>69</v>
      </c>
      <c r="AW1749" s="1">
        <v>24993</v>
      </c>
      <c r="AX1749">
        <v>2</v>
      </c>
    </row>
    <row r="1750" spans="1:50">
      <c r="A1750">
        <v>223539</v>
      </c>
      <c r="B1750" t="str">
        <f>"110322221"</f>
        <v>110322221</v>
      </c>
      <c r="C1750" t="s">
        <v>105</v>
      </c>
      <c r="D1750" t="s">
        <v>3776</v>
      </c>
      <c r="E1750" t="s">
        <v>311</v>
      </c>
      <c r="F1750" t="s">
        <v>521</v>
      </c>
      <c r="G1750" t="s">
        <v>52</v>
      </c>
      <c r="H1750" t="str">
        <f>"ΑΣΤΕΡΟΥΣΙΩΝ 57 ΗΡΑΚΛΕΙΟ ΚΡΗΤΗΣ"</f>
        <v>ΑΣΤΕΡΟΥΣΙΩΝ 57 ΗΡΑΚΛΕΙΟ ΚΡΗΤΗΣ</v>
      </c>
      <c r="I1750">
        <v>71305</v>
      </c>
      <c r="J1750">
        <v>2810318788</v>
      </c>
      <c r="K1750">
        <v>6979566800</v>
      </c>
      <c r="M1750" t="s">
        <v>3779</v>
      </c>
      <c r="N1750" t="s">
        <v>232</v>
      </c>
      <c r="O1750" t="s">
        <v>233</v>
      </c>
      <c r="R1750" t="s">
        <v>57</v>
      </c>
      <c r="S1750">
        <v>4</v>
      </c>
      <c r="T1750">
        <v>775</v>
      </c>
      <c r="U1750" s="1">
        <v>39680</v>
      </c>
      <c r="V1750" t="s">
        <v>123</v>
      </c>
      <c r="W1750" t="s">
        <v>124</v>
      </c>
      <c r="X1750" t="s">
        <v>58</v>
      </c>
      <c r="Y1750">
        <v>21</v>
      </c>
      <c r="Z1750" t="s">
        <v>59</v>
      </c>
      <c r="AA1750" t="s">
        <v>59</v>
      </c>
      <c r="AB1750" t="s">
        <v>59</v>
      </c>
      <c r="AC1750" t="s">
        <v>59</v>
      </c>
      <c r="AD1750" t="s">
        <v>59</v>
      </c>
      <c r="AF1750" s="1">
        <v>39681</v>
      </c>
      <c r="AG1750" t="s">
        <v>148</v>
      </c>
      <c r="AH1750" t="s">
        <v>149</v>
      </c>
      <c r="AI1750" t="str">
        <f>"1765010"</f>
        <v>1765010</v>
      </c>
      <c r="AJ1750" t="s">
        <v>803</v>
      </c>
      <c r="AK1750">
        <v>2893031093</v>
      </c>
      <c r="AL1750" t="s">
        <v>804</v>
      </c>
      <c r="AM1750" t="s">
        <v>78</v>
      </c>
      <c r="AN1750" t="s">
        <v>405</v>
      </c>
      <c r="AO1750" t="s">
        <v>805</v>
      </c>
      <c r="AP1750" t="s">
        <v>806</v>
      </c>
      <c r="AQ1750">
        <v>25</v>
      </c>
      <c r="AR1750" t="s">
        <v>123</v>
      </c>
      <c r="AS1750" t="s">
        <v>124</v>
      </c>
      <c r="AT1750" t="s">
        <v>58</v>
      </c>
      <c r="AU1750" t="s">
        <v>68</v>
      </c>
      <c r="AV1750" t="s">
        <v>69</v>
      </c>
      <c r="AW1750" s="1">
        <v>29386</v>
      </c>
      <c r="AX1750">
        <v>2</v>
      </c>
    </row>
    <row r="1751" spans="1:50">
      <c r="A1751">
        <v>200165</v>
      </c>
      <c r="B1751" t="str">
        <f>"110134467"</f>
        <v>110134467</v>
      </c>
      <c r="C1751" t="s">
        <v>105</v>
      </c>
      <c r="D1751" t="s">
        <v>3776</v>
      </c>
      <c r="E1751" t="s">
        <v>99</v>
      </c>
      <c r="F1751" t="s">
        <v>166</v>
      </c>
      <c r="G1751" t="s">
        <v>553</v>
      </c>
      <c r="H1751" t="str">
        <f>"ΑΛΜΠΕΡΤ 52 ΗΡΑΚΛΕΙΟ"</f>
        <v>ΑΛΜΠΕΡΤ 52 ΗΡΑΚΛΕΙΟ</v>
      </c>
      <c r="I1751">
        <v>71201</v>
      </c>
      <c r="J1751">
        <v>2810241468</v>
      </c>
      <c r="K1751">
        <v>6973452672</v>
      </c>
      <c r="N1751" t="s">
        <v>204</v>
      </c>
      <c r="O1751" t="s">
        <v>205</v>
      </c>
      <c r="P1751" t="s">
        <v>292</v>
      </c>
      <c r="Q1751" t="s">
        <v>293</v>
      </c>
      <c r="R1751" t="s">
        <v>57</v>
      </c>
      <c r="S1751">
        <v>9</v>
      </c>
      <c r="T1751">
        <v>206</v>
      </c>
      <c r="U1751" s="1">
        <v>37866</v>
      </c>
      <c r="V1751" t="s">
        <v>123</v>
      </c>
      <c r="W1751" t="s">
        <v>124</v>
      </c>
      <c r="X1751" t="s">
        <v>58</v>
      </c>
      <c r="Y1751">
        <v>20</v>
      </c>
      <c r="Z1751" t="s">
        <v>59</v>
      </c>
      <c r="AA1751" t="s">
        <v>59</v>
      </c>
      <c r="AB1751" t="s">
        <v>59</v>
      </c>
      <c r="AC1751" t="s">
        <v>59</v>
      </c>
      <c r="AD1751" t="s">
        <v>59</v>
      </c>
      <c r="AF1751" s="1">
        <v>37866</v>
      </c>
      <c r="AG1751" t="s">
        <v>137</v>
      </c>
      <c r="AH1751" t="s">
        <v>138</v>
      </c>
      <c r="AI1751" t="str">
        <f>"1740210"</f>
        <v>1740210</v>
      </c>
      <c r="AJ1751" t="s">
        <v>139</v>
      </c>
      <c r="AK1751">
        <v>2810318130</v>
      </c>
      <c r="AL1751" t="s">
        <v>140</v>
      </c>
      <c r="AM1751" t="s">
        <v>78</v>
      </c>
      <c r="AN1751" t="s">
        <v>78</v>
      </c>
      <c r="AO1751" t="s">
        <v>78</v>
      </c>
      <c r="AP1751" t="s">
        <v>141</v>
      </c>
      <c r="AQ1751">
        <v>7</v>
      </c>
      <c r="AR1751" t="s">
        <v>123</v>
      </c>
      <c r="AS1751" t="s">
        <v>124</v>
      </c>
      <c r="AT1751" t="s">
        <v>58</v>
      </c>
      <c r="AU1751" t="s">
        <v>68</v>
      </c>
      <c r="AV1751" t="s">
        <v>69</v>
      </c>
      <c r="AW1751" s="1">
        <v>27157</v>
      </c>
      <c r="AX1751">
        <v>2</v>
      </c>
    </row>
    <row r="1752" spans="1:50">
      <c r="A1752">
        <v>225641</v>
      </c>
      <c r="B1752" t="str">
        <f>"044194820"</f>
        <v>044194820</v>
      </c>
      <c r="C1752" t="s">
        <v>105</v>
      </c>
      <c r="D1752" t="s">
        <v>3776</v>
      </c>
      <c r="E1752" t="s">
        <v>106</v>
      </c>
      <c r="F1752" t="s">
        <v>99</v>
      </c>
      <c r="G1752" t="s">
        <v>1644</v>
      </c>
      <c r="H1752" t="str">
        <f>"ΕΡΜΗ 53 ΗΡΑΚΛΕΙΟ"</f>
        <v>ΕΡΜΗ 53 ΗΡΑΚΛΕΙΟ</v>
      </c>
      <c r="I1752">
        <v>71409</v>
      </c>
      <c r="J1752">
        <v>2810360657</v>
      </c>
      <c r="K1752">
        <v>6937297252</v>
      </c>
      <c r="M1752" t="s">
        <v>3780</v>
      </c>
      <c r="N1752" t="s">
        <v>1116</v>
      </c>
      <c r="O1752" t="s">
        <v>1117</v>
      </c>
      <c r="P1752" t="s">
        <v>146</v>
      </c>
      <c r="Q1752" t="s">
        <v>147</v>
      </c>
      <c r="R1752" t="s">
        <v>57</v>
      </c>
      <c r="S1752">
        <v>6</v>
      </c>
      <c r="T1752">
        <v>775</v>
      </c>
      <c r="U1752" s="1">
        <v>39680</v>
      </c>
      <c r="V1752" t="s">
        <v>123</v>
      </c>
      <c r="W1752" t="s">
        <v>124</v>
      </c>
      <c r="X1752" t="s">
        <v>58</v>
      </c>
      <c r="Y1752">
        <v>20</v>
      </c>
      <c r="Z1752" t="s">
        <v>59</v>
      </c>
      <c r="AA1752" t="s">
        <v>59</v>
      </c>
      <c r="AB1752" t="s">
        <v>59</v>
      </c>
      <c r="AC1752" t="s">
        <v>59</v>
      </c>
      <c r="AD1752" t="s">
        <v>59</v>
      </c>
      <c r="AF1752" s="1">
        <v>39681</v>
      </c>
      <c r="AG1752" t="s">
        <v>125</v>
      </c>
      <c r="AH1752" t="s">
        <v>294</v>
      </c>
      <c r="AI1752" t="str">
        <f>"1701015"</f>
        <v>1701015</v>
      </c>
      <c r="AJ1752" t="s">
        <v>295</v>
      </c>
      <c r="AK1752">
        <v>2810761696</v>
      </c>
      <c r="AL1752" t="s">
        <v>296</v>
      </c>
      <c r="AM1752" t="s">
        <v>78</v>
      </c>
      <c r="AN1752" t="s">
        <v>219</v>
      </c>
      <c r="AO1752" t="s">
        <v>297</v>
      </c>
      <c r="AP1752" t="s">
        <v>297</v>
      </c>
      <c r="AQ1752">
        <v>10</v>
      </c>
      <c r="AR1752" t="s">
        <v>123</v>
      </c>
      <c r="AS1752" t="s">
        <v>124</v>
      </c>
      <c r="AT1752" t="s">
        <v>58</v>
      </c>
      <c r="AU1752" t="s">
        <v>68</v>
      </c>
      <c r="AV1752" t="s">
        <v>69</v>
      </c>
      <c r="AW1752" s="1">
        <v>24749</v>
      </c>
      <c r="AX1752">
        <v>2</v>
      </c>
    </row>
    <row r="1753" spans="1:50">
      <c r="A1753">
        <v>171476</v>
      </c>
      <c r="B1753" t="str">
        <f>"030852404"</f>
        <v>030852404</v>
      </c>
      <c r="C1753" t="s">
        <v>105</v>
      </c>
      <c r="D1753" t="s">
        <v>3776</v>
      </c>
      <c r="E1753" t="s">
        <v>92</v>
      </c>
      <c r="F1753" t="s">
        <v>95</v>
      </c>
      <c r="G1753" t="s">
        <v>83</v>
      </c>
      <c r="H1753" t="str">
        <f>"ΙΣΟΤΗΤΑΣ 8 "</f>
        <v xml:space="preserve">ΙΣΟΤΗΤΑΣ 8 </v>
      </c>
      <c r="I1753">
        <v>71306</v>
      </c>
      <c r="J1753">
        <v>2810320457</v>
      </c>
      <c r="K1753">
        <v>6973205899</v>
      </c>
      <c r="M1753" t="s">
        <v>3781</v>
      </c>
      <c r="N1753" t="s">
        <v>299</v>
      </c>
      <c r="O1753" t="s">
        <v>300</v>
      </c>
      <c r="R1753" t="s">
        <v>57</v>
      </c>
      <c r="S1753">
        <v>15</v>
      </c>
      <c r="T1753">
        <v>184</v>
      </c>
      <c r="U1753" s="1">
        <v>34941</v>
      </c>
      <c r="V1753" t="s">
        <v>123</v>
      </c>
      <c r="W1753" t="s">
        <v>124</v>
      </c>
      <c r="X1753" t="s">
        <v>58</v>
      </c>
      <c r="Y1753">
        <v>18</v>
      </c>
      <c r="Z1753" t="s">
        <v>59</v>
      </c>
      <c r="AA1753" t="s">
        <v>59</v>
      </c>
      <c r="AB1753" t="s">
        <v>59</v>
      </c>
      <c r="AC1753" t="s">
        <v>59</v>
      </c>
      <c r="AD1753" t="s">
        <v>59</v>
      </c>
      <c r="AF1753" s="1">
        <v>34947</v>
      </c>
      <c r="AG1753" t="s">
        <v>148</v>
      </c>
      <c r="AH1753" t="s">
        <v>149</v>
      </c>
      <c r="AI1753" t="str">
        <f>"1790100"</f>
        <v>1790100</v>
      </c>
      <c r="AJ1753" t="s">
        <v>252</v>
      </c>
      <c r="AK1753">
        <v>2810234876</v>
      </c>
      <c r="AL1753" t="s">
        <v>253</v>
      </c>
      <c r="AM1753" t="s">
        <v>78</v>
      </c>
      <c r="AN1753" t="s">
        <v>78</v>
      </c>
      <c r="AO1753" t="s">
        <v>78</v>
      </c>
      <c r="AP1753" t="s">
        <v>163</v>
      </c>
      <c r="AQ1753">
        <v>5</v>
      </c>
      <c r="AR1753" t="s">
        <v>123</v>
      </c>
      <c r="AS1753" t="s">
        <v>124</v>
      </c>
      <c r="AT1753" t="s">
        <v>58</v>
      </c>
      <c r="AU1753" t="s">
        <v>68</v>
      </c>
      <c r="AV1753" t="s">
        <v>69</v>
      </c>
      <c r="AW1753" s="1">
        <v>21859</v>
      </c>
      <c r="AX1753">
        <v>2</v>
      </c>
    </row>
    <row r="1754" spans="1:50">
      <c r="A1754">
        <v>156355</v>
      </c>
      <c r="B1754" t="str">
        <f>"103809866"</f>
        <v>103809866</v>
      </c>
      <c r="C1754" t="s">
        <v>50</v>
      </c>
      <c r="D1754" t="s">
        <v>3782</v>
      </c>
      <c r="E1754" t="s">
        <v>52</v>
      </c>
      <c r="F1754" t="s">
        <v>72</v>
      </c>
      <c r="G1754" t="s">
        <v>1078</v>
      </c>
      <c r="H1754" t="str">
        <f>"ΡΩΜΑΝΙΔΗ 5  ΗΡΑΚΛΕΙΟ"</f>
        <v>ΡΩΜΑΝΙΔΗ 5  ΗΡΑΚΛΕΙΟ</v>
      </c>
      <c r="I1754">
        <v>71305</v>
      </c>
      <c r="J1754">
        <v>2810317946</v>
      </c>
      <c r="K1754">
        <v>6944352886</v>
      </c>
      <c r="M1754" t="s">
        <v>3783</v>
      </c>
      <c r="N1754" t="s">
        <v>146</v>
      </c>
      <c r="O1754" t="s">
        <v>147</v>
      </c>
      <c r="R1754" t="s">
        <v>57</v>
      </c>
      <c r="S1754">
        <v>19</v>
      </c>
      <c r="T1754">
        <v>188</v>
      </c>
      <c r="U1754" s="1">
        <v>32752</v>
      </c>
      <c r="V1754" t="s">
        <v>123</v>
      </c>
      <c r="W1754" t="s">
        <v>124</v>
      </c>
      <c r="X1754" t="s">
        <v>58</v>
      </c>
      <c r="Y1754">
        <v>18</v>
      </c>
      <c r="Z1754" t="s">
        <v>59</v>
      </c>
      <c r="AA1754" t="s">
        <v>59</v>
      </c>
      <c r="AB1754" t="s">
        <v>59</v>
      </c>
      <c r="AC1754" t="s">
        <v>59</v>
      </c>
      <c r="AD1754" t="s">
        <v>59</v>
      </c>
      <c r="AF1754" s="1">
        <v>32756</v>
      </c>
      <c r="AG1754" t="s">
        <v>125</v>
      </c>
      <c r="AH1754" t="s">
        <v>126</v>
      </c>
      <c r="AI1754" t="str">
        <f>"1701057"</f>
        <v>1701057</v>
      </c>
      <c r="AJ1754" t="s">
        <v>379</v>
      </c>
      <c r="AK1754">
        <v>2810234488</v>
      </c>
      <c r="AL1754" t="s">
        <v>380</v>
      </c>
      <c r="AM1754" t="s">
        <v>78</v>
      </c>
      <c r="AN1754" t="s">
        <v>78</v>
      </c>
      <c r="AO1754" t="s">
        <v>78</v>
      </c>
      <c r="AP1754" t="s">
        <v>163</v>
      </c>
      <c r="AQ1754">
        <v>8</v>
      </c>
      <c r="AR1754" t="s">
        <v>123</v>
      </c>
      <c r="AS1754" t="s">
        <v>124</v>
      </c>
      <c r="AT1754" t="s">
        <v>58</v>
      </c>
      <c r="AU1754" t="s">
        <v>68</v>
      </c>
      <c r="AV1754" t="s">
        <v>69</v>
      </c>
      <c r="AW1754" s="1">
        <v>22562</v>
      </c>
      <c r="AX1754">
        <v>2</v>
      </c>
    </row>
    <row r="1755" spans="1:50">
      <c r="A1755">
        <v>180277</v>
      </c>
      <c r="B1755" t="str">
        <f>"064086314"</f>
        <v>064086314</v>
      </c>
      <c r="C1755" t="s">
        <v>50</v>
      </c>
      <c r="D1755" t="s">
        <v>3784</v>
      </c>
      <c r="E1755" t="s">
        <v>52</v>
      </c>
      <c r="F1755" t="s">
        <v>84</v>
      </c>
      <c r="G1755" t="s">
        <v>1029</v>
      </c>
      <c r="H1755" t="str">
        <f>"ΚΟΝΔΥΛΑΚΗ  5 ΘΕΡΙΣΣΟΣ"</f>
        <v>ΚΟΝΔΥΛΑΚΗ  5 ΘΕΡΙΣΣΟΣ</v>
      </c>
      <c r="I1755">
        <v>71305</v>
      </c>
      <c r="J1755">
        <v>2810239276</v>
      </c>
      <c r="K1755">
        <v>6974991215</v>
      </c>
      <c r="M1755" t="s">
        <v>3785</v>
      </c>
      <c r="N1755" t="s">
        <v>292</v>
      </c>
      <c r="O1755" t="s">
        <v>293</v>
      </c>
      <c r="R1755" t="s">
        <v>57</v>
      </c>
      <c r="S1755">
        <v>14</v>
      </c>
      <c r="T1755">
        <v>164</v>
      </c>
      <c r="U1755" s="1">
        <v>36040</v>
      </c>
      <c r="V1755" t="s">
        <v>123</v>
      </c>
      <c r="W1755" t="s">
        <v>124</v>
      </c>
      <c r="X1755" t="s">
        <v>58</v>
      </c>
      <c r="Y1755">
        <v>18</v>
      </c>
      <c r="Z1755" t="s">
        <v>59</v>
      </c>
      <c r="AA1755" t="s">
        <v>59</v>
      </c>
      <c r="AB1755" t="s">
        <v>59</v>
      </c>
      <c r="AC1755" t="s">
        <v>59</v>
      </c>
      <c r="AD1755" t="s">
        <v>59</v>
      </c>
      <c r="AF1755" s="1">
        <v>36041</v>
      </c>
      <c r="AG1755" t="s">
        <v>148</v>
      </c>
      <c r="AH1755" t="s">
        <v>149</v>
      </c>
      <c r="AI1755" t="str">
        <f>"1777010"</f>
        <v>1777010</v>
      </c>
      <c r="AJ1755" t="s">
        <v>612</v>
      </c>
      <c r="AK1755">
        <v>2810229220</v>
      </c>
      <c r="AL1755" t="s">
        <v>613</v>
      </c>
      <c r="AM1755" t="s">
        <v>78</v>
      </c>
      <c r="AN1755" t="s">
        <v>78</v>
      </c>
      <c r="AO1755" t="s">
        <v>286</v>
      </c>
      <c r="AP1755" t="s">
        <v>286</v>
      </c>
      <c r="AQ1755">
        <v>12</v>
      </c>
      <c r="AR1755" t="s">
        <v>123</v>
      </c>
      <c r="AS1755" t="s">
        <v>124</v>
      </c>
      <c r="AT1755" t="s">
        <v>58</v>
      </c>
      <c r="AU1755" t="s">
        <v>68</v>
      </c>
      <c r="AV1755" t="s">
        <v>69</v>
      </c>
      <c r="AW1755" s="1">
        <v>21706</v>
      </c>
      <c r="AX1755">
        <v>2</v>
      </c>
    </row>
    <row r="1756" spans="1:50">
      <c r="A1756">
        <v>169127</v>
      </c>
      <c r="B1756" t="str">
        <f>"028169210"</f>
        <v>028169210</v>
      </c>
      <c r="C1756" t="s">
        <v>50</v>
      </c>
      <c r="D1756" t="s">
        <v>3786</v>
      </c>
      <c r="E1756" t="s">
        <v>335</v>
      </c>
      <c r="F1756" t="s">
        <v>95</v>
      </c>
      <c r="G1756" t="s">
        <v>54</v>
      </c>
      <c r="H1756" t="str">
        <f>"ΓΕΝΗΜΑΤΑ 34 ΗΡΑΚΛΕΙΟ"</f>
        <v>ΓΕΝΗΜΑΤΑ 34 ΗΡΑΚΛΕΙΟ</v>
      </c>
      <c r="I1756">
        <v>71306</v>
      </c>
      <c r="J1756">
        <v>2810262591</v>
      </c>
      <c r="K1756">
        <v>6979983148</v>
      </c>
      <c r="M1756" t="s">
        <v>3787</v>
      </c>
      <c r="N1756" t="s">
        <v>204</v>
      </c>
      <c r="O1756" t="s">
        <v>205</v>
      </c>
      <c r="R1756" t="s">
        <v>57</v>
      </c>
      <c r="S1756">
        <v>12</v>
      </c>
      <c r="T1756">
        <v>159</v>
      </c>
      <c r="U1756" s="1">
        <v>34582</v>
      </c>
      <c r="V1756" t="s">
        <v>123</v>
      </c>
      <c r="W1756" t="s">
        <v>124</v>
      </c>
      <c r="X1756" t="s">
        <v>58</v>
      </c>
      <c r="Y1756">
        <v>18</v>
      </c>
      <c r="Z1756" t="s">
        <v>59</v>
      </c>
      <c r="AA1756" t="s">
        <v>59</v>
      </c>
      <c r="AB1756" t="s">
        <v>59</v>
      </c>
      <c r="AC1756" t="s">
        <v>59</v>
      </c>
      <c r="AD1756" t="s">
        <v>59</v>
      </c>
      <c r="AF1756" s="1">
        <v>34583</v>
      </c>
      <c r="AG1756" t="s">
        <v>125</v>
      </c>
      <c r="AH1756" t="s">
        <v>126</v>
      </c>
      <c r="AI1756" t="str">
        <f>"1701020"</f>
        <v>1701020</v>
      </c>
      <c r="AJ1756" t="s">
        <v>323</v>
      </c>
      <c r="AK1756">
        <v>2810252111</v>
      </c>
      <c r="AL1756" t="s">
        <v>324</v>
      </c>
      <c r="AM1756" t="s">
        <v>78</v>
      </c>
      <c r="AN1756" t="s">
        <v>78</v>
      </c>
      <c r="AO1756" t="s">
        <v>78</v>
      </c>
      <c r="AP1756" t="s">
        <v>163</v>
      </c>
      <c r="AQ1756">
        <v>3</v>
      </c>
      <c r="AR1756" t="s">
        <v>123</v>
      </c>
      <c r="AS1756" t="s">
        <v>124</v>
      </c>
      <c r="AT1756" t="s">
        <v>58</v>
      </c>
      <c r="AU1756" t="s">
        <v>68</v>
      </c>
      <c r="AV1756" t="s">
        <v>69</v>
      </c>
      <c r="AW1756" s="1">
        <v>23976</v>
      </c>
      <c r="AX1756">
        <v>2</v>
      </c>
    </row>
    <row r="1757" spans="1:50">
      <c r="A1757">
        <v>210643</v>
      </c>
      <c r="B1757" t="str">
        <f>"064575380"</f>
        <v>064575380</v>
      </c>
      <c r="C1757" t="s">
        <v>50</v>
      </c>
      <c r="D1757" t="s">
        <v>3788</v>
      </c>
      <c r="E1757" t="s">
        <v>250</v>
      </c>
      <c r="F1757" t="s">
        <v>95</v>
      </c>
      <c r="G1757" t="s">
        <v>473</v>
      </c>
      <c r="H1757" t="str">
        <f>"Ι. ΤΖΟΒΕΝΗ 11 &amp; ΡΟΔΑΝΘΗΣ 11 ΗΡΑΚΛΕΙΟ"</f>
        <v>Ι. ΤΖΟΒΕΝΗ 11 &amp; ΡΟΔΑΝΘΗΣ 11 ΗΡΑΚΛΕΙΟ</v>
      </c>
      <c r="I1757">
        <v>71305</v>
      </c>
      <c r="J1757">
        <v>2810232393</v>
      </c>
      <c r="K1757">
        <v>6972436267</v>
      </c>
      <c r="M1757" t="s">
        <v>3789</v>
      </c>
      <c r="N1757" t="s">
        <v>306</v>
      </c>
      <c r="O1757" t="s">
        <v>307</v>
      </c>
      <c r="R1757" t="s">
        <v>57</v>
      </c>
      <c r="S1757">
        <v>9</v>
      </c>
      <c r="T1757">
        <v>249</v>
      </c>
      <c r="U1757" s="1">
        <v>38617</v>
      </c>
      <c r="V1757" t="s">
        <v>123</v>
      </c>
      <c r="W1757" t="s">
        <v>124</v>
      </c>
      <c r="X1757" t="s">
        <v>58</v>
      </c>
      <c r="Y1757">
        <v>20</v>
      </c>
      <c r="Z1757" t="s">
        <v>59</v>
      </c>
      <c r="AA1757" t="s">
        <v>59</v>
      </c>
      <c r="AB1757" t="s">
        <v>59</v>
      </c>
      <c r="AC1757" t="s">
        <v>59</v>
      </c>
      <c r="AD1757" t="s">
        <v>59</v>
      </c>
      <c r="AF1757" s="1">
        <v>38618</v>
      </c>
      <c r="AG1757" t="s">
        <v>148</v>
      </c>
      <c r="AH1757" t="s">
        <v>149</v>
      </c>
      <c r="AI1757" t="str">
        <f>"1751010"</f>
        <v>1751010</v>
      </c>
      <c r="AJ1757" t="s">
        <v>150</v>
      </c>
      <c r="AK1757">
        <v>2810346092</v>
      </c>
      <c r="AL1757" t="s">
        <v>151</v>
      </c>
      <c r="AM1757" t="s">
        <v>78</v>
      </c>
      <c r="AN1757" t="s">
        <v>78</v>
      </c>
      <c r="AO1757" t="s">
        <v>78</v>
      </c>
      <c r="AP1757" t="s">
        <v>79</v>
      </c>
      <c r="AQ1757">
        <v>1</v>
      </c>
      <c r="AR1757" t="s">
        <v>123</v>
      </c>
      <c r="AS1757" t="s">
        <v>124</v>
      </c>
      <c r="AT1757" t="s">
        <v>58</v>
      </c>
      <c r="AU1757" t="s">
        <v>68</v>
      </c>
      <c r="AV1757" t="s">
        <v>69</v>
      </c>
      <c r="AW1757" s="1">
        <v>27524</v>
      </c>
      <c r="AX1757">
        <v>2</v>
      </c>
    </row>
    <row r="1758" spans="1:50">
      <c r="A1758">
        <v>211780</v>
      </c>
      <c r="B1758" t="str">
        <f>"115800144"</f>
        <v>115800144</v>
      </c>
      <c r="C1758" t="s">
        <v>50</v>
      </c>
      <c r="D1758" t="s">
        <v>3788</v>
      </c>
      <c r="E1758" t="s">
        <v>250</v>
      </c>
      <c r="F1758" t="s">
        <v>166</v>
      </c>
      <c r="G1758" t="s">
        <v>52</v>
      </c>
      <c r="H1758" t="str">
        <f>"ΖΑΡΟΣ "</f>
        <v xml:space="preserve">ΖΑΡΟΣ </v>
      </c>
      <c r="I1758">
        <v>70002</v>
      </c>
      <c r="J1758">
        <v>2894031529</v>
      </c>
      <c r="K1758">
        <v>6988198052</v>
      </c>
      <c r="M1758" t="s">
        <v>3790</v>
      </c>
      <c r="N1758" t="s">
        <v>157</v>
      </c>
      <c r="O1758" t="s">
        <v>158</v>
      </c>
      <c r="R1758" t="s">
        <v>57</v>
      </c>
      <c r="S1758">
        <v>5</v>
      </c>
      <c r="T1758">
        <v>231</v>
      </c>
      <c r="U1758" s="1">
        <v>38960</v>
      </c>
      <c r="V1758" t="s">
        <v>123</v>
      </c>
      <c r="W1758" t="s">
        <v>124</v>
      </c>
      <c r="X1758" t="s">
        <v>58</v>
      </c>
      <c r="Y1758">
        <v>20</v>
      </c>
      <c r="Z1758" t="s">
        <v>59</v>
      </c>
      <c r="AA1758" t="s">
        <v>59</v>
      </c>
      <c r="AB1758" t="s">
        <v>59</v>
      </c>
      <c r="AC1758" t="s">
        <v>59</v>
      </c>
      <c r="AD1758" t="s">
        <v>59</v>
      </c>
      <c r="AF1758" s="1">
        <v>38961</v>
      </c>
      <c r="AG1758" t="s">
        <v>125</v>
      </c>
      <c r="AH1758" t="s">
        <v>126</v>
      </c>
      <c r="AI1758" t="str">
        <f>"1713010"</f>
        <v>1713010</v>
      </c>
      <c r="AJ1758" t="s">
        <v>369</v>
      </c>
      <c r="AK1758">
        <v>2892051686</v>
      </c>
      <c r="AL1758" t="s">
        <v>370</v>
      </c>
      <c r="AM1758" t="s">
        <v>78</v>
      </c>
      <c r="AN1758" t="s">
        <v>242</v>
      </c>
      <c r="AO1758" t="s">
        <v>349</v>
      </c>
      <c r="AP1758" t="s">
        <v>349</v>
      </c>
      <c r="AQ1758">
        <v>35</v>
      </c>
      <c r="AR1758" t="s">
        <v>123</v>
      </c>
      <c r="AS1758" t="s">
        <v>124</v>
      </c>
      <c r="AT1758" t="s">
        <v>58</v>
      </c>
      <c r="AU1758" t="s">
        <v>68</v>
      </c>
      <c r="AV1758" t="s">
        <v>69</v>
      </c>
      <c r="AW1758" s="1">
        <v>25166</v>
      </c>
      <c r="AX1758">
        <v>2</v>
      </c>
    </row>
    <row r="1759" spans="1:50">
      <c r="A1759">
        <v>145464</v>
      </c>
      <c r="B1759" t="str">
        <f>"027330098"</f>
        <v>027330098</v>
      </c>
      <c r="C1759" t="s">
        <v>50</v>
      </c>
      <c r="D1759" t="s">
        <v>3788</v>
      </c>
      <c r="E1759" t="s">
        <v>659</v>
      </c>
      <c r="F1759" t="s">
        <v>99</v>
      </c>
      <c r="G1759" t="s">
        <v>83</v>
      </c>
      <c r="H1759" t="str">
        <f>"ΜΕΛΙΝΑΣ ΜΕΡΚΟΥΡΗ 33 "</f>
        <v xml:space="preserve">ΜΕΛΙΝΑΣ ΜΕΡΚΟΥΡΗ 33 </v>
      </c>
      <c r="I1759">
        <v>71305</v>
      </c>
      <c r="J1759">
        <v>2810257403</v>
      </c>
      <c r="N1759" t="s">
        <v>146</v>
      </c>
      <c r="O1759" t="s">
        <v>147</v>
      </c>
      <c r="R1759" t="s">
        <v>57</v>
      </c>
      <c r="S1759">
        <v>18</v>
      </c>
      <c r="T1759">
        <v>237</v>
      </c>
      <c r="U1759" s="1">
        <v>31293</v>
      </c>
      <c r="V1759" t="s">
        <v>123</v>
      </c>
      <c r="W1759" t="s">
        <v>124</v>
      </c>
      <c r="X1759" t="s">
        <v>58</v>
      </c>
      <c r="Y1759">
        <v>18</v>
      </c>
      <c r="Z1759" t="s">
        <v>59</v>
      </c>
      <c r="AA1759" t="s">
        <v>59</v>
      </c>
      <c r="AB1759" t="s">
        <v>59</v>
      </c>
      <c r="AC1759" t="s">
        <v>59</v>
      </c>
      <c r="AD1759" t="s">
        <v>59</v>
      </c>
      <c r="AF1759" s="1">
        <v>31303</v>
      </c>
      <c r="AG1759" t="s">
        <v>148</v>
      </c>
      <c r="AH1759" t="s">
        <v>149</v>
      </c>
      <c r="AI1759" t="str">
        <f>"1751020"</f>
        <v>1751020</v>
      </c>
      <c r="AJ1759" t="s">
        <v>532</v>
      </c>
      <c r="AK1759">
        <v>2810372732</v>
      </c>
      <c r="AL1759" t="s">
        <v>533</v>
      </c>
      <c r="AM1759" t="s">
        <v>78</v>
      </c>
      <c r="AN1759" t="s">
        <v>78</v>
      </c>
      <c r="AO1759" t="s">
        <v>78</v>
      </c>
      <c r="AP1759" t="s">
        <v>163</v>
      </c>
      <c r="AQ1759">
        <v>3</v>
      </c>
      <c r="AR1759" t="s">
        <v>123</v>
      </c>
      <c r="AS1759" t="s">
        <v>124</v>
      </c>
      <c r="AT1759" t="s">
        <v>58</v>
      </c>
      <c r="AU1759" t="s">
        <v>68</v>
      </c>
      <c r="AV1759" t="s">
        <v>69</v>
      </c>
      <c r="AW1759" s="1">
        <v>21892</v>
      </c>
      <c r="AX1759">
        <v>2</v>
      </c>
    </row>
    <row r="1760" spans="1:50">
      <c r="A1760">
        <v>218226</v>
      </c>
      <c r="B1760" t="str">
        <f>"062249185"</f>
        <v>062249185</v>
      </c>
      <c r="C1760" t="s">
        <v>50</v>
      </c>
      <c r="D1760" t="s">
        <v>3788</v>
      </c>
      <c r="E1760" t="s">
        <v>52</v>
      </c>
      <c r="F1760" t="s">
        <v>92</v>
      </c>
      <c r="G1760" t="s">
        <v>1277</v>
      </c>
      <c r="H1760" t="str">
        <f>"ΜΕΛΩΔΙΑΣ 8  ΗΡΑΚΛΕΙΟ"</f>
        <v>ΜΕΛΩΔΙΑΣ 8  ΗΡΑΚΛΕΙΟ</v>
      </c>
      <c r="I1760">
        <v>71306</v>
      </c>
      <c r="J1760">
        <v>2810234904</v>
      </c>
      <c r="K1760">
        <v>6972093684</v>
      </c>
      <c r="M1760" t="s">
        <v>3791</v>
      </c>
      <c r="N1760" t="s">
        <v>292</v>
      </c>
      <c r="O1760" t="s">
        <v>293</v>
      </c>
      <c r="P1760" t="s">
        <v>1116</v>
      </c>
      <c r="Q1760" t="s">
        <v>1117</v>
      </c>
      <c r="R1760" t="s">
        <v>57</v>
      </c>
      <c r="S1760">
        <v>8</v>
      </c>
      <c r="T1760">
        <v>599</v>
      </c>
      <c r="U1760" s="1">
        <v>39310</v>
      </c>
      <c r="V1760" t="s">
        <v>123</v>
      </c>
      <c r="W1760" t="s">
        <v>124</v>
      </c>
      <c r="X1760" t="s">
        <v>58</v>
      </c>
      <c r="Y1760">
        <v>20</v>
      </c>
      <c r="Z1760" t="s">
        <v>59</v>
      </c>
      <c r="AA1760" t="s">
        <v>59</v>
      </c>
      <c r="AB1760" t="s">
        <v>59</v>
      </c>
      <c r="AC1760" t="s">
        <v>59</v>
      </c>
      <c r="AD1760" t="s">
        <v>59</v>
      </c>
      <c r="AF1760" s="1">
        <v>39328</v>
      </c>
      <c r="AG1760" t="s">
        <v>125</v>
      </c>
      <c r="AH1760" t="s">
        <v>126</v>
      </c>
      <c r="AI1760" t="str">
        <f>"1701050"</f>
        <v>1701050</v>
      </c>
      <c r="AJ1760" t="s">
        <v>660</v>
      </c>
      <c r="AK1760">
        <v>2810220729</v>
      </c>
      <c r="AL1760" t="s">
        <v>661</v>
      </c>
      <c r="AM1760" t="s">
        <v>78</v>
      </c>
      <c r="AN1760" t="s">
        <v>78</v>
      </c>
      <c r="AO1760" t="s">
        <v>78</v>
      </c>
      <c r="AP1760" t="s">
        <v>79</v>
      </c>
      <c r="AQ1760">
        <v>1</v>
      </c>
      <c r="AR1760" t="s">
        <v>123</v>
      </c>
      <c r="AS1760" t="s">
        <v>124</v>
      </c>
      <c r="AT1760" t="s">
        <v>58</v>
      </c>
      <c r="AU1760" t="s">
        <v>68</v>
      </c>
      <c r="AV1760" t="s">
        <v>69</v>
      </c>
      <c r="AW1760" s="1">
        <v>27658</v>
      </c>
      <c r="AX1760">
        <v>2</v>
      </c>
    </row>
    <row r="1761" spans="1:50">
      <c r="B1761" t="str">
        <f>"079042652"</f>
        <v>079042652</v>
      </c>
      <c r="C1761" t="s">
        <v>50</v>
      </c>
      <c r="D1761" t="s">
        <v>3788</v>
      </c>
      <c r="E1761" t="s">
        <v>801</v>
      </c>
      <c r="F1761" t="s">
        <v>92</v>
      </c>
      <c r="G1761" t="s">
        <v>1108</v>
      </c>
      <c r="H1761" t="str">
        <f>"ΒΑΘΕΙΑΝΟΣ ΚΑΜΠΟΣ Τ.Θ. 350 ΗΡΑΚΛΕΙΟ"</f>
        <v>ΒΑΘΕΙΑΝΟΣ ΚΑΜΠΟΣ Τ.Θ. 350 ΗΡΑΚΛΕΙΟ</v>
      </c>
      <c r="I1761">
        <v>71500</v>
      </c>
      <c r="K1761">
        <v>6946468065</v>
      </c>
      <c r="N1761" t="s">
        <v>246</v>
      </c>
      <c r="O1761" t="s">
        <v>247</v>
      </c>
      <c r="R1761" t="s">
        <v>159</v>
      </c>
      <c r="S1761">
        <v>9</v>
      </c>
      <c r="T1761" t="s">
        <v>416</v>
      </c>
      <c r="U1761" s="1">
        <v>43349</v>
      </c>
      <c r="V1761" t="s">
        <v>123</v>
      </c>
      <c r="W1761" t="s">
        <v>124</v>
      </c>
      <c r="X1761" t="s">
        <v>58</v>
      </c>
      <c r="Y1761">
        <v>21</v>
      </c>
      <c r="Z1761" t="s">
        <v>59</v>
      </c>
      <c r="AA1761" t="s">
        <v>59</v>
      </c>
      <c r="AB1761" t="s">
        <v>59</v>
      </c>
      <c r="AC1761" t="s">
        <v>59</v>
      </c>
      <c r="AD1761" t="s">
        <v>59</v>
      </c>
      <c r="AF1761" s="1">
        <v>43349</v>
      </c>
      <c r="AG1761" t="s">
        <v>125</v>
      </c>
      <c r="AH1761" t="s">
        <v>294</v>
      </c>
      <c r="AI1761" t="str">
        <f>"1701015"</f>
        <v>1701015</v>
      </c>
      <c r="AJ1761" t="s">
        <v>295</v>
      </c>
      <c r="AK1761">
        <v>2810761696</v>
      </c>
      <c r="AL1761" t="s">
        <v>296</v>
      </c>
      <c r="AM1761" t="s">
        <v>78</v>
      </c>
      <c r="AN1761" t="s">
        <v>219</v>
      </c>
      <c r="AO1761" t="s">
        <v>297</v>
      </c>
      <c r="AP1761" t="s">
        <v>297</v>
      </c>
      <c r="AQ1761">
        <v>10</v>
      </c>
      <c r="AR1761" t="s">
        <v>123</v>
      </c>
      <c r="AS1761" t="s">
        <v>124</v>
      </c>
      <c r="AT1761" t="s">
        <v>58</v>
      </c>
      <c r="AU1761" t="s">
        <v>419</v>
      </c>
      <c r="AV1761" t="s">
        <v>132</v>
      </c>
      <c r="AW1761" s="1">
        <v>26253</v>
      </c>
      <c r="AX1761">
        <v>2</v>
      </c>
    </row>
    <row r="1762" spans="1:50">
      <c r="B1762" t="str">
        <f>"051110852"</f>
        <v>051110852</v>
      </c>
      <c r="C1762" t="s">
        <v>105</v>
      </c>
      <c r="D1762" t="s">
        <v>3792</v>
      </c>
      <c r="E1762" t="s">
        <v>84</v>
      </c>
      <c r="F1762" t="s">
        <v>95</v>
      </c>
      <c r="G1762" t="s">
        <v>460</v>
      </c>
      <c r="H1762" t="str">
        <f>"ΓΑΒΑΛΟΧΩΡΙ- ΒΑΜΟΣ "</f>
        <v xml:space="preserve">ΓΑΒΑΛΟΧΩΡΙ- ΒΑΜΟΣ </v>
      </c>
      <c r="I1762">
        <v>73008</v>
      </c>
      <c r="J1762">
        <v>2825023029</v>
      </c>
      <c r="K1762">
        <v>6949616970</v>
      </c>
      <c r="L1762">
        <v>694570151</v>
      </c>
      <c r="M1762" t="s">
        <v>3793</v>
      </c>
      <c r="N1762" t="s">
        <v>146</v>
      </c>
      <c r="O1762" t="s">
        <v>147</v>
      </c>
      <c r="R1762" t="s">
        <v>159</v>
      </c>
      <c r="S1762">
        <v>4</v>
      </c>
      <c r="T1762" t="s">
        <v>416</v>
      </c>
      <c r="U1762" s="1">
        <v>43349</v>
      </c>
      <c r="V1762" t="s">
        <v>123</v>
      </c>
      <c r="W1762" t="s">
        <v>124</v>
      </c>
      <c r="X1762" t="s">
        <v>58</v>
      </c>
      <c r="Y1762">
        <v>21</v>
      </c>
      <c r="Z1762" t="s">
        <v>59</v>
      </c>
      <c r="AA1762" t="s">
        <v>59</v>
      </c>
      <c r="AB1762" t="s">
        <v>59</v>
      </c>
      <c r="AC1762" t="s">
        <v>59</v>
      </c>
      <c r="AD1762" t="s">
        <v>59</v>
      </c>
      <c r="AF1762" s="1">
        <v>43349</v>
      </c>
      <c r="AG1762" t="s">
        <v>148</v>
      </c>
      <c r="AH1762" t="s">
        <v>149</v>
      </c>
      <c r="AI1762" t="str">
        <f>"1763010"</f>
        <v>1763010</v>
      </c>
      <c r="AJ1762" t="s">
        <v>560</v>
      </c>
      <c r="AK1762">
        <v>2892051146</v>
      </c>
      <c r="AL1762" t="s">
        <v>561</v>
      </c>
      <c r="AM1762" t="s">
        <v>78</v>
      </c>
      <c r="AN1762" t="s">
        <v>242</v>
      </c>
      <c r="AO1762" t="s">
        <v>349</v>
      </c>
      <c r="AP1762" t="s">
        <v>349</v>
      </c>
      <c r="AQ1762">
        <v>35</v>
      </c>
      <c r="AR1762" t="s">
        <v>123</v>
      </c>
      <c r="AS1762" t="s">
        <v>124</v>
      </c>
      <c r="AT1762" t="s">
        <v>58</v>
      </c>
      <c r="AU1762" t="s">
        <v>419</v>
      </c>
      <c r="AV1762" t="s">
        <v>132</v>
      </c>
      <c r="AW1762" s="1">
        <v>23547</v>
      </c>
      <c r="AX1762">
        <v>2</v>
      </c>
    </row>
    <row r="1763" spans="1:50">
      <c r="A1763">
        <v>229630</v>
      </c>
      <c r="B1763" t="str">
        <f>"103521385"</f>
        <v>103521385</v>
      </c>
      <c r="C1763" t="s">
        <v>105</v>
      </c>
      <c r="D1763" t="s">
        <v>3792</v>
      </c>
      <c r="E1763" t="s">
        <v>84</v>
      </c>
      <c r="F1763" t="s">
        <v>92</v>
      </c>
      <c r="G1763" t="s">
        <v>1108</v>
      </c>
      <c r="H1763" t="str">
        <f>"ΗΡΑΚΛΕΙΤΟΥ 41 ΗΡΑΚΛΕΙΟ"</f>
        <v>ΗΡΑΚΛΕΙΤΟΥ 41 ΗΡΑΚΛΕΙΟ</v>
      </c>
      <c r="I1763">
        <v>71601</v>
      </c>
      <c r="J1763">
        <v>2810229962</v>
      </c>
      <c r="K1763">
        <v>6972071879</v>
      </c>
      <c r="M1763" t="s">
        <v>3794</v>
      </c>
      <c r="N1763" t="s">
        <v>3795</v>
      </c>
      <c r="O1763" t="s">
        <v>3796</v>
      </c>
      <c r="R1763" t="s">
        <v>57</v>
      </c>
      <c r="S1763">
        <v>5</v>
      </c>
      <c r="T1763">
        <v>988</v>
      </c>
      <c r="U1763" s="1">
        <v>40157</v>
      </c>
      <c r="V1763" t="s">
        <v>123</v>
      </c>
      <c r="W1763" t="s">
        <v>124</v>
      </c>
      <c r="X1763" t="s">
        <v>58</v>
      </c>
      <c r="Y1763">
        <v>21</v>
      </c>
      <c r="Z1763" t="s">
        <v>59</v>
      </c>
      <c r="AA1763" t="s">
        <v>59</v>
      </c>
      <c r="AB1763" t="s">
        <v>59</v>
      </c>
      <c r="AC1763" t="s">
        <v>59</v>
      </c>
      <c r="AD1763" t="s">
        <v>59</v>
      </c>
      <c r="AF1763" s="1">
        <v>40158</v>
      </c>
      <c r="AG1763" t="s">
        <v>137</v>
      </c>
      <c r="AH1763" t="s">
        <v>138</v>
      </c>
      <c r="AI1763" t="str">
        <f>"1740100"</f>
        <v>1740100</v>
      </c>
      <c r="AJ1763" t="s">
        <v>857</v>
      </c>
      <c r="AK1763">
        <v>2810360741</v>
      </c>
      <c r="AL1763" t="s">
        <v>858</v>
      </c>
      <c r="AM1763" t="s">
        <v>78</v>
      </c>
      <c r="AN1763" t="s">
        <v>78</v>
      </c>
      <c r="AO1763" t="s">
        <v>78</v>
      </c>
      <c r="AP1763" t="s">
        <v>163</v>
      </c>
      <c r="AQ1763">
        <v>5</v>
      </c>
      <c r="AR1763" t="s">
        <v>123</v>
      </c>
      <c r="AS1763" t="s">
        <v>124</v>
      </c>
      <c r="AT1763" t="s">
        <v>58</v>
      </c>
      <c r="AU1763" t="s">
        <v>68</v>
      </c>
      <c r="AV1763" t="s">
        <v>69</v>
      </c>
      <c r="AW1763" s="1">
        <v>26899</v>
      </c>
      <c r="AX1763">
        <v>2</v>
      </c>
    </row>
    <row r="1764" spans="1:50">
      <c r="A1764">
        <v>215738</v>
      </c>
      <c r="B1764" t="str">
        <f>"114268749"</f>
        <v>114268749</v>
      </c>
      <c r="C1764" t="s">
        <v>105</v>
      </c>
      <c r="D1764" t="s">
        <v>3792</v>
      </c>
      <c r="E1764" t="s">
        <v>166</v>
      </c>
      <c r="F1764" t="s">
        <v>106</v>
      </c>
      <c r="G1764" t="s">
        <v>52</v>
      </c>
      <c r="H1764" t="str">
        <f>" "</f>
        <v xml:space="preserve"> </v>
      </c>
      <c r="J1764">
        <v>2810731785</v>
      </c>
      <c r="K1764">
        <v>6979726841</v>
      </c>
      <c r="M1764" t="s">
        <v>3797</v>
      </c>
      <c r="N1764" t="s">
        <v>204</v>
      </c>
      <c r="O1764" t="s">
        <v>205</v>
      </c>
      <c r="R1764" t="s">
        <v>57</v>
      </c>
      <c r="S1764">
        <v>7</v>
      </c>
      <c r="T1764">
        <v>231</v>
      </c>
      <c r="U1764" s="1">
        <v>38960</v>
      </c>
      <c r="V1764" t="s">
        <v>123</v>
      </c>
      <c r="W1764" t="s">
        <v>124</v>
      </c>
      <c r="X1764" t="s">
        <v>58</v>
      </c>
      <c r="Y1764">
        <v>20</v>
      </c>
      <c r="Z1764" t="s">
        <v>59</v>
      </c>
      <c r="AA1764" t="s">
        <v>59</v>
      </c>
      <c r="AB1764" t="s">
        <v>59</v>
      </c>
      <c r="AC1764" t="s">
        <v>59</v>
      </c>
      <c r="AD1764" t="s">
        <v>59</v>
      </c>
      <c r="AF1764" s="1">
        <v>38961</v>
      </c>
      <c r="AG1764" t="s">
        <v>137</v>
      </c>
      <c r="AH1764" t="s">
        <v>138</v>
      </c>
      <c r="AI1764" t="str">
        <f>"1740310"</f>
        <v>1740310</v>
      </c>
      <c r="AJ1764" t="s">
        <v>488</v>
      </c>
      <c r="AK1764">
        <v>2891024228</v>
      </c>
      <c r="AL1764" t="s">
        <v>489</v>
      </c>
      <c r="AM1764" t="s">
        <v>78</v>
      </c>
      <c r="AN1764" t="s">
        <v>276</v>
      </c>
      <c r="AO1764" t="s">
        <v>490</v>
      </c>
      <c r="AP1764" t="s">
        <v>490</v>
      </c>
      <c r="AQ1764">
        <v>15</v>
      </c>
      <c r="AR1764" t="s">
        <v>123</v>
      </c>
      <c r="AS1764" t="s">
        <v>124</v>
      </c>
      <c r="AT1764" t="s">
        <v>58</v>
      </c>
      <c r="AU1764" t="s">
        <v>68</v>
      </c>
      <c r="AV1764" t="s">
        <v>69</v>
      </c>
      <c r="AW1764" s="1">
        <v>26907</v>
      </c>
      <c r="AX1764">
        <v>2</v>
      </c>
    </row>
    <row r="1765" spans="1:50">
      <c r="A1765">
        <v>192742</v>
      </c>
      <c r="B1765" t="str">
        <f>"039104492"</f>
        <v>039104492</v>
      </c>
      <c r="C1765" t="s">
        <v>105</v>
      </c>
      <c r="D1765" t="s">
        <v>3792</v>
      </c>
      <c r="E1765" t="s">
        <v>377</v>
      </c>
      <c r="F1765" t="s">
        <v>72</v>
      </c>
      <c r="G1765" t="s">
        <v>237</v>
      </c>
      <c r="H1765" t="str">
        <f>" "</f>
        <v xml:space="preserve"> </v>
      </c>
      <c r="J1765">
        <v>2810210864</v>
      </c>
      <c r="N1765" t="s">
        <v>1636</v>
      </c>
      <c r="O1765" t="s">
        <v>1637</v>
      </c>
      <c r="R1765" t="s">
        <v>57</v>
      </c>
      <c r="S1765">
        <v>7</v>
      </c>
      <c r="T1765">
        <v>193</v>
      </c>
      <c r="U1765" s="1">
        <v>37497</v>
      </c>
      <c r="V1765" t="s">
        <v>123</v>
      </c>
      <c r="W1765" t="s">
        <v>124</v>
      </c>
      <c r="X1765" t="s">
        <v>58</v>
      </c>
      <c r="Y1765">
        <v>26</v>
      </c>
      <c r="Z1765" t="s">
        <v>59</v>
      </c>
      <c r="AA1765" t="s">
        <v>59</v>
      </c>
      <c r="AB1765" t="s">
        <v>59</v>
      </c>
      <c r="AC1765" t="s">
        <v>59</v>
      </c>
      <c r="AD1765" t="s">
        <v>59</v>
      </c>
      <c r="AF1765" s="1">
        <v>37501</v>
      </c>
      <c r="AG1765" t="s">
        <v>137</v>
      </c>
      <c r="AH1765" t="s">
        <v>138</v>
      </c>
      <c r="AI1765" t="str">
        <f>"1750080"</f>
        <v>1750080</v>
      </c>
      <c r="AJ1765" t="s">
        <v>170</v>
      </c>
      <c r="AK1765">
        <v>2810234444</v>
      </c>
      <c r="AL1765" t="s">
        <v>171</v>
      </c>
      <c r="AM1765" t="s">
        <v>78</v>
      </c>
      <c r="AN1765" t="s">
        <v>78</v>
      </c>
      <c r="AO1765" t="s">
        <v>78</v>
      </c>
      <c r="AP1765" t="s">
        <v>163</v>
      </c>
      <c r="AQ1765">
        <v>9</v>
      </c>
      <c r="AR1765" t="s">
        <v>123</v>
      </c>
      <c r="AS1765" t="s">
        <v>124</v>
      </c>
      <c r="AT1765" t="s">
        <v>58</v>
      </c>
      <c r="AU1765" t="s">
        <v>68</v>
      </c>
      <c r="AV1765" t="s">
        <v>69</v>
      </c>
      <c r="AW1765" s="1">
        <v>24108</v>
      </c>
      <c r="AX1765">
        <v>2</v>
      </c>
    </row>
    <row r="1766" spans="1:50">
      <c r="A1766">
        <v>164239</v>
      </c>
      <c r="B1766" t="str">
        <f>"043089630"</f>
        <v>043089630</v>
      </c>
      <c r="C1766" t="s">
        <v>105</v>
      </c>
      <c r="D1766" t="s">
        <v>3792</v>
      </c>
      <c r="E1766" t="s">
        <v>72</v>
      </c>
      <c r="F1766" t="s">
        <v>166</v>
      </c>
      <c r="G1766" t="s">
        <v>250</v>
      </c>
      <c r="H1766" t="str">
        <f>" "</f>
        <v xml:space="preserve"> </v>
      </c>
      <c r="J1766">
        <v>2810213982</v>
      </c>
      <c r="K1766">
        <v>6972971362</v>
      </c>
      <c r="M1766" t="s">
        <v>3798</v>
      </c>
      <c r="N1766" t="s">
        <v>146</v>
      </c>
      <c r="O1766" t="s">
        <v>147</v>
      </c>
      <c r="R1766" t="s">
        <v>57</v>
      </c>
      <c r="S1766">
        <v>14</v>
      </c>
      <c r="T1766">
        <v>161</v>
      </c>
      <c r="U1766" s="1">
        <v>33844</v>
      </c>
      <c r="V1766" t="s">
        <v>123</v>
      </c>
      <c r="W1766" t="s">
        <v>124</v>
      </c>
      <c r="X1766" t="s">
        <v>58</v>
      </c>
      <c r="Y1766">
        <v>18</v>
      </c>
      <c r="Z1766" t="s">
        <v>59</v>
      </c>
      <c r="AA1766" t="s">
        <v>59</v>
      </c>
      <c r="AB1766" t="s">
        <v>59</v>
      </c>
      <c r="AC1766" t="s">
        <v>59</v>
      </c>
      <c r="AD1766" t="s">
        <v>59</v>
      </c>
      <c r="AF1766" s="1">
        <v>33851</v>
      </c>
      <c r="AG1766" t="s">
        <v>125</v>
      </c>
      <c r="AH1766" t="s">
        <v>359</v>
      </c>
      <c r="AI1766" t="str">
        <f>"1701060"</f>
        <v>1701060</v>
      </c>
      <c r="AJ1766" t="s">
        <v>360</v>
      </c>
      <c r="AK1766">
        <v>2810223424</v>
      </c>
      <c r="AL1766" t="s">
        <v>361</v>
      </c>
      <c r="AM1766" t="s">
        <v>78</v>
      </c>
      <c r="AN1766" t="s">
        <v>78</v>
      </c>
      <c r="AO1766" t="s">
        <v>78</v>
      </c>
      <c r="AP1766" t="s">
        <v>79</v>
      </c>
      <c r="AQ1766">
        <v>1</v>
      </c>
      <c r="AR1766" t="s">
        <v>123</v>
      </c>
      <c r="AS1766" t="s">
        <v>124</v>
      </c>
      <c r="AT1766" t="s">
        <v>58</v>
      </c>
      <c r="AU1766" t="s">
        <v>68</v>
      </c>
      <c r="AV1766" t="s">
        <v>69</v>
      </c>
      <c r="AW1766" s="1">
        <v>22507</v>
      </c>
      <c r="AX1766">
        <v>2</v>
      </c>
    </row>
    <row r="1767" spans="1:50">
      <c r="A1767">
        <v>221826</v>
      </c>
      <c r="B1767" t="str">
        <f>"114272843"</f>
        <v>114272843</v>
      </c>
      <c r="C1767" t="s">
        <v>105</v>
      </c>
      <c r="D1767" t="s">
        <v>3792</v>
      </c>
      <c r="E1767" t="s">
        <v>53</v>
      </c>
      <c r="F1767" t="s">
        <v>3799</v>
      </c>
      <c r="G1767" t="s">
        <v>250</v>
      </c>
      <c r="H1767" t="str">
        <f>"Καπετανιανά "</f>
        <v xml:space="preserve">Καπετανιανά </v>
      </c>
      <c r="I1767">
        <v>70016</v>
      </c>
      <c r="J1767">
        <v>2893041139</v>
      </c>
      <c r="K1767">
        <v>6973039817</v>
      </c>
      <c r="M1767" t="s">
        <v>3800</v>
      </c>
      <c r="N1767" t="s">
        <v>157</v>
      </c>
      <c r="O1767" t="s">
        <v>158</v>
      </c>
      <c r="R1767" t="s">
        <v>57</v>
      </c>
      <c r="S1767">
        <v>6</v>
      </c>
      <c r="T1767">
        <v>775</v>
      </c>
      <c r="U1767" s="1">
        <v>39680</v>
      </c>
      <c r="V1767" t="s">
        <v>123</v>
      </c>
      <c r="W1767" t="s">
        <v>124</v>
      </c>
      <c r="X1767" t="s">
        <v>58</v>
      </c>
      <c r="Y1767">
        <v>20</v>
      </c>
      <c r="Z1767" t="s">
        <v>59</v>
      </c>
      <c r="AA1767" t="s">
        <v>59</v>
      </c>
      <c r="AB1767" t="s">
        <v>59</v>
      </c>
      <c r="AC1767" t="s">
        <v>59</v>
      </c>
      <c r="AD1767" t="s">
        <v>59</v>
      </c>
      <c r="AF1767" s="1">
        <v>39692</v>
      </c>
      <c r="AG1767" t="s">
        <v>148</v>
      </c>
      <c r="AH1767" t="s">
        <v>149</v>
      </c>
      <c r="AI1767" t="str">
        <f>"1751010"</f>
        <v>1751010</v>
      </c>
      <c r="AJ1767" t="s">
        <v>150</v>
      </c>
      <c r="AK1767">
        <v>2810346092</v>
      </c>
      <c r="AL1767" t="s">
        <v>151</v>
      </c>
      <c r="AM1767" t="s">
        <v>78</v>
      </c>
      <c r="AN1767" t="s">
        <v>78</v>
      </c>
      <c r="AO1767" t="s">
        <v>78</v>
      </c>
      <c r="AP1767" t="s">
        <v>79</v>
      </c>
      <c r="AQ1767">
        <v>1</v>
      </c>
      <c r="AR1767" t="s">
        <v>123</v>
      </c>
      <c r="AS1767" t="s">
        <v>124</v>
      </c>
      <c r="AT1767" t="s">
        <v>58</v>
      </c>
      <c r="AU1767" t="s">
        <v>68</v>
      </c>
      <c r="AV1767" t="s">
        <v>357</v>
      </c>
      <c r="AW1767" s="1">
        <v>27083</v>
      </c>
      <c r="AX1767">
        <v>2</v>
      </c>
    </row>
    <row r="1768" spans="1:50">
      <c r="A1768">
        <v>188171</v>
      </c>
      <c r="B1768" t="str">
        <f>"055431859"</f>
        <v>055431859</v>
      </c>
      <c r="C1768" t="s">
        <v>105</v>
      </c>
      <c r="D1768" t="s">
        <v>3801</v>
      </c>
      <c r="E1768" t="s">
        <v>106</v>
      </c>
      <c r="F1768" t="s">
        <v>95</v>
      </c>
      <c r="G1768" t="s">
        <v>3802</v>
      </c>
      <c r="H1768" t="str">
        <f>"ΜΕΛΕΤΙΟΥ ΠΗΓΑ 25 ΗΡΑΚΛΕΙΟ"</f>
        <v>ΜΕΛΕΤΙΟΥ ΠΗΓΑ 25 ΗΡΑΚΛΕΙΟ</v>
      </c>
      <c r="I1768">
        <v>71306</v>
      </c>
      <c r="J1768">
        <v>2810320759</v>
      </c>
      <c r="K1768">
        <v>6945858315</v>
      </c>
      <c r="M1768" t="s">
        <v>3803</v>
      </c>
      <c r="N1768" t="s">
        <v>204</v>
      </c>
      <c r="O1768" t="s">
        <v>205</v>
      </c>
      <c r="R1768" t="s">
        <v>57</v>
      </c>
      <c r="S1768">
        <v>12</v>
      </c>
      <c r="T1768">
        <v>251</v>
      </c>
      <c r="U1768" s="1">
        <v>36769</v>
      </c>
      <c r="V1768" t="s">
        <v>123</v>
      </c>
      <c r="W1768" t="s">
        <v>124</v>
      </c>
      <c r="X1768" t="s">
        <v>58</v>
      </c>
      <c r="Y1768">
        <v>18</v>
      </c>
      <c r="Z1768" t="s">
        <v>59</v>
      </c>
      <c r="AA1768" t="s">
        <v>59</v>
      </c>
      <c r="AB1768" t="s">
        <v>59</v>
      </c>
      <c r="AC1768" t="s">
        <v>59</v>
      </c>
      <c r="AD1768" t="s">
        <v>59</v>
      </c>
      <c r="AF1768" s="1">
        <v>36770</v>
      </c>
      <c r="AG1768" t="s">
        <v>137</v>
      </c>
      <c r="AH1768" t="s">
        <v>138</v>
      </c>
      <c r="AI1768" t="str">
        <f>"1740070"</f>
        <v>1740070</v>
      </c>
      <c r="AJ1768" t="s">
        <v>206</v>
      </c>
      <c r="AK1768">
        <v>2810324880</v>
      </c>
      <c r="AL1768" t="s">
        <v>207</v>
      </c>
      <c r="AM1768" t="s">
        <v>78</v>
      </c>
      <c r="AN1768" t="s">
        <v>78</v>
      </c>
      <c r="AO1768" t="s">
        <v>78</v>
      </c>
      <c r="AP1768" t="s">
        <v>163</v>
      </c>
      <c r="AQ1768">
        <v>9</v>
      </c>
      <c r="AR1768" t="s">
        <v>123</v>
      </c>
      <c r="AS1768" t="s">
        <v>124</v>
      </c>
      <c r="AT1768" t="s">
        <v>58</v>
      </c>
      <c r="AU1768" t="s">
        <v>68</v>
      </c>
      <c r="AV1768" t="s">
        <v>69</v>
      </c>
      <c r="AW1768" s="1">
        <v>24415</v>
      </c>
      <c r="AX1768">
        <v>2</v>
      </c>
    </row>
    <row r="1769" spans="1:50">
      <c r="A1769">
        <v>186004</v>
      </c>
      <c r="B1769" t="str">
        <f>"043597900"</f>
        <v>043597900</v>
      </c>
      <c r="C1769" t="s">
        <v>105</v>
      </c>
      <c r="D1769" t="s">
        <v>3804</v>
      </c>
      <c r="E1769" t="s">
        <v>72</v>
      </c>
      <c r="F1769" t="s">
        <v>920</v>
      </c>
      <c r="G1769" t="s">
        <v>1361</v>
      </c>
      <c r="H1769" t="str">
        <f>"ΦΟΙΝΙΚΟΣ 8 ΗΡΑΚΛΕΙΟ"</f>
        <v>ΦΟΙΝΙΚΟΣ 8 ΗΡΑΚΛΕΙΟ</v>
      </c>
      <c r="I1769">
        <v>71305</v>
      </c>
      <c r="J1769">
        <v>2810259100</v>
      </c>
      <c r="K1769">
        <v>6942982293</v>
      </c>
      <c r="M1769" t="s">
        <v>3805</v>
      </c>
      <c r="N1769" t="s">
        <v>292</v>
      </c>
      <c r="O1769" t="s">
        <v>293</v>
      </c>
      <c r="R1769" t="s">
        <v>57</v>
      </c>
      <c r="S1769">
        <v>9</v>
      </c>
      <c r="T1769">
        <v>250</v>
      </c>
      <c r="U1769" s="1">
        <v>36769</v>
      </c>
      <c r="V1769" t="s">
        <v>123</v>
      </c>
      <c r="W1769" t="s">
        <v>124</v>
      </c>
      <c r="X1769" t="s">
        <v>58</v>
      </c>
      <c r="Y1769">
        <v>20</v>
      </c>
      <c r="Z1769" t="s">
        <v>59</v>
      </c>
      <c r="AA1769" t="s">
        <v>59</v>
      </c>
      <c r="AB1769" t="s">
        <v>59</v>
      </c>
      <c r="AC1769" t="s">
        <v>59</v>
      </c>
      <c r="AD1769" t="s">
        <v>59</v>
      </c>
      <c r="AF1769" s="1">
        <v>36769</v>
      </c>
      <c r="AG1769" t="s">
        <v>148</v>
      </c>
      <c r="AH1769" t="s">
        <v>149</v>
      </c>
      <c r="AI1769" t="str">
        <f>"1759010"</f>
        <v>1759010</v>
      </c>
      <c r="AJ1769" t="s">
        <v>403</v>
      </c>
      <c r="AK1769">
        <v>2894022127</v>
      </c>
      <c r="AL1769" t="s">
        <v>404</v>
      </c>
      <c r="AM1769" t="s">
        <v>78</v>
      </c>
      <c r="AN1769" t="s">
        <v>405</v>
      </c>
      <c r="AO1769" t="s">
        <v>406</v>
      </c>
      <c r="AP1769" t="s">
        <v>406</v>
      </c>
      <c r="AQ1769">
        <v>30</v>
      </c>
      <c r="AR1769" t="s">
        <v>123</v>
      </c>
      <c r="AS1769" t="s">
        <v>124</v>
      </c>
      <c r="AT1769" t="s">
        <v>58</v>
      </c>
      <c r="AU1769" t="s">
        <v>68</v>
      </c>
      <c r="AV1769" t="s">
        <v>69</v>
      </c>
      <c r="AW1769" s="1">
        <v>23475</v>
      </c>
      <c r="AX1769">
        <v>2</v>
      </c>
    </row>
    <row r="1770" spans="1:50">
      <c r="A1770">
        <v>227165</v>
      </c>
      <c r="B1770" t="str">
        <f>"034943410"</f>
        <v>034943410</v>
      </c>
      <c r="C1770" t="s">
        <v>50</v>
      </c>
      <c r="D1770" t="s">
        <v>3806</v>
      </c>
      <c r="E1770" t="s">
        <v>620</v>
      </c>
      <c r="F1770" t="s">
        <v>99</v>
      </c>
      <c r="G1770" t="s">
        <v>52</v>
      </c>
      <c r="H1770" t="str">
        <f>"ΚΡΗΤΗΣ ΚΑΙ ΒΙΣΤΑΓΗΣ 4   Τ.Θ. 481 ΚΟΚΚΙΝΗ ΧΑΝΙ ΗΡΑΚΛΕΙΟΥ"</f>
        <v>ΚΡΗΤΗΣ ΚΑΙ ΒΙΣΤΑΓΗΣ 4   Τ.Θ. 481 ΚΟΚΚΙΝΗ ΧΑΝΙ ΗΡΑΚΛΕΙΟΥ</v>
      </c>
      <c r="I1770">
        <v>71500</v>
      </c>
      <c r="J1770">
        <v>2810761708</v>
      </c>
      <c r="K1770">
        <v>6977986173</v>
      </c>
      <c r="N1770" t="s">
        <v>292</v>
      </c>
      <c r="O1770" t="s">
        <v>293</v>
      </c>
      <c r="R1770" t="s">
        <v>57</v>
      </c>
      <c r="S1770">
        <v>5</v>
      </c>
      <c r="T1770">
        <v>654</v>
      </c>
      <c r="U1770" s="1">
        <v>40043</v>
      </c>
      <c r="V1770" t="s">
        <v>123</v>
      </c>
      <c r="W1770" t="s">
        <v>124</v>
      </c>
      <c r="X1770" t="s">
        <v>58</v>
      </c>
      <c r="Y1770">
        <v>21</v>
      </c>
      <c r="Z1770" t="s">
        <v>59</v>
      </c>
      <c r="AA1770" t="s">
        <v>59</v>
      </c>
      <c r="AB1770" t="s">
        <v>59</v>
      </c>
      <c r="AC1770" t="s">
        <v>59</v>
      </c>
      <c r="AD1770" t="s">
        <v>59</v>
      </c>
      <c r="AF1770" s="1">
        <v>40045</v>
      </c>
      <c r="AG1770" t="s">
        <v>148</v>
      </c>
      <c r="AH1770" t="s">
        <v>149</v>
      </c>
      <c r="AI1770" t="str">
        <f>"1767011"</f>
        <v>1767011</v>
      </c>
      <c r="AJ1770" t="s">
        <v>217</v>
      </c>
      <c r="AK1770">
        <v>2897021055</v>
      </c>
      <c r="AL1770" t="s">
        <v>218</v>
      </c>
      <c r="AM1770" t="s">
        <v>78</v>
      </c>
      <c r="AN1770" t="s">
        <v>219</v>
      </c>
      <c r="AO1770" t="s">
        <v>219</v>
      </c>
      <c r="AP1770" t="s">
        <v>220</v>
      </c>
      <c r="AQ1770">
        <v>20</v>
      </c>
      <c r="AR1770" t="s">
        <v>123</v>
      </c>
      <c r="AS1770" t="s">
        <v>124</v>
      </c>
      <c r="AT1770" t="s">
        <v>58</v>
      </c>
      <c r="AU1770" t="s">
        <v>68</v>
      </c>
      <c r="AV1770" t="s">
        <v>69</v>
      </c>
      <c r="AW1770" s="1">
        <v>27487</v>
      </c>
      <c r="AX1770">
        <v>2</v>
      </c>
    </row>
    <row r="1771" spans="1:50">
      <c r="A1771">
        <v>197500</v>
      </c>
      <c r="B1771" t="str">
        <f>"100092624"</f>
        <v>100092624</v>
      </c>
      <c r="C1771" t="s">
        <v>50</v>
      </c>
      <c r="D1771" t="s">
        <v>3807</v>
      </c>
      <c r="E1771" t="s">
        <v>250</v>
      </c>
      <c r="F1771" t="s">
        <v>166</v>
      </c>
      <c r="G1771" t="s">
        <v>215</v>
      </c>
      <c r="H1771" t="str">
        <f>"ΚΟΛΟΚΟΤΡΩΝΗ 24Α Ν. ΑΛΙΚΑΡΝΑΣΣΟΣ"</f>
        <v>ΚΟΛΟΚΟΤΡΩΝΗ 24Α Ν. ΑΛΙΚΑΡΝΑΣΣΟΣ</v>
      </c>
      <c r="I1771">
        <v>71601</v>
      </c>
      <c r="J1771">
        <v>2810235267</v>
      </c>
      <c r="K1771">
        <v>6937431255</v>
      </c>
      <c r="N1771" t="s">
        <v>146</v>
      </c>
      <c r="O1771" t="s">
        <v>147</v>
      </c>
      <c r="R1771" t="s">
        <v>57</v>
      </c>
      <c r="S1771">
        <v>7</v>
      </c>
      <c r="T1771">
        <v>206</v>
      </c>
      <c r="U1771" s="1">
        <v>37866</v>
      </c>
      <c r="V1771" t="s">
        <v>123</v>
      </c>
      <c r="W1771" t="s">
        <v>124</v>
      </c>
      <c r="X1771" t="s">
        <v>58</v>
      </c>
      <c r="Y1771">
        <v>20</v>
      </c>
      <c r="Z1771" t="s">
        <v>59</v>
      </c>
      <c r="AA1771" t="s">
        <v>59</v>
      </c>
      <c r="AB1771" t="s">
        <v>59</v>
      </c>
      <c r="AC1771" t="s">
        <v>59</v>
      </c>
      <c r="AD1771" t="s">
        <v>59</v>
      </c>
      <c r="AF1771" s="1">
        <v>37866</v>
      </c>
      <c r="AG1771" t="s">
        <v>125</v>
      </c>
      <c r="AH1771" t="s">
        <v>126</v>
      </c>
      <c r="AI1771" t="str">
        <f>"1703010"</f>
        <v>1703010</v>
      </c>
      <c r="AJ1771" t="s">
        <v>422</v>
      </c>
      <c r="AK1771">
        <v>2810751808</v>
      </c>
      <c r="AL1771" t="s">
        <v>423</v>
      </c>
      <c r="AM1771" t="s">
        <v>78</v>
      </c>
      <c r="AN1771" t="s">
        <v>424</v>
      </c>
      <c r="AO1771" t="s">
        <v>425</v>
      </c>
      <c r="AP1771" t="s">
        <v>425</v>
      </c>
      <c r="AQ1771">
        <v>13</v>
      </c>
      <c r="AR1771" t="s">
        <v>123</v>
      </c>
      <c r="AS1771" t="s">
        <v>124</v>
      </c>
      <c r="AT1771" t="s">
        <v>58</v>
      </c>
      <c r="AU1771" t="s">
        <v>68</v>
      </c>
      <c r="AV1771" t="s">
        <v>69</v>
      </c>
      <c r="AW1771" s="1">
        <v>28179</v>
      </c>
      <c r="AX1771">
        <v>2</v>
      </c>
    </row>
    <row r="1772" spans="1:50">
      <c r="A1772">
        <v>164438</v>
      </c>
      <c r="B1772" t="str">
        <f>"031142521"</f>
        <v>031142521</v>
      </c>
      <c r="C1772" t="s">
        <v>105</v>
      </c>
      <c r="D1772" t="s">
        <v>3808</v>
      </c>
      <c r="E1772" t="s">
        <v>95</v>
      </c>
      <c r="F1772" t="s">
        <v>84</v>
      </c>
      <c r="G1772" t="s">
        <v>3809</v>
      </c>
      <c r="H1772" t="str">
        <f>"ΚΩΝ. ΚΑΒΑΦΗ 7   ΤΣΑΛΙΚΑΚΙ"</f>
        <v>ΚΩΝ. ΚΑΒΑΦΗ 7   ΤΣΑΛΙΚΑΚΙ</v>
      </c>
      <c r="I1772">
        <v>71414</v>
      </c>
      <c r="N1772" t="s">
        <v>292</v>
      </c>
      <c r="O1772" t="s">
        <v>293</v>
      </c>
      <c r="R1772" t="s">
        <v>57</v>
      </c>
      <c r="S1772">
        <v>14</v>
      </c>
      <c r="T1772">
        <v>161</v>
      </c>
      <c r="U1772" s="1">
        <v>33844</v>
      </c>
      <c r="V1772" t="s">
        <v>123</v>
      </c>
      <c r="W1772" t="s">
        <v>124</v>
      </c>
      <c r="X1772" t="s">
        <v>58</v>
      </c>
      <c r="Y1772">
        <v>18</v>
      </c>
      <c r="Z1772" t="s">
        <v>59</v>
      </c>
      <c r="AA1772" t="s">
        <v>59</v>
      </c>
      <c r="AB1772" t="s">
        <v>59</v>
      </c>
      <c r="AC1772" t="s">
        <v>59</v>
      </c>
      <c r="AD1772" t="s">
        <v>59</v>
      </c>
      <c r="AF1772" s="1">
        <v>33848</v>
      </c>
      <c r="AG1772" t="s">
        <v>125</v>
      </c>
      <c r="AH1772" t="s">
        <v>126</v>
      </c>
      <c r="AI1772" t="str">
        <f>"1728010"</f>
        <v>1728010</v>
      </c>
      <c r="AJ1772" t="s">
        <v>127</v>
      </c>
      <c r="AK1772">
        <v>2810824651</v>
      </c>
      <c r="AL1772" t="s">
        <v>128</v>
      </c>
      <c r="AM1772" t="s">
        <v>78</v>
      </c>
      <c r="AN1772" t="s">
        <v>129</v>
      </c>
      <c r="AO1772" t="s">
        <v>130</v>
      </c>
      <c r="AP1772" t="s">
        <v>130</v>
      </c>
      <c r="AQ1772">
        <v>36</v>
      </c>
      <c r="AR1772" t="s">
        <v>123</v>
      </c>
      <c r="AS1772" t="s">
        <v>124</v>
      </c>
      <c r="AT1772" t="s">
        <v>58</v>
      </c>
      <c r="AU1772" t="s">
        <v>68</v>
      </c>
      <c r="AV1772" t="s">
        <v>69</v>
      </c>
      <c r="AW1772" s="1">
        <v>20740</v>
      </c>
      <c r="AX1772">
        <v>2</v>
      </c>
    </row>
    <row r="1773" spans="1:50">
      <c r="A1773">
        <v>183061</v>
      </c>
      <c r="B1773" t="str">
        <f>"032892907"</f>
        <v>032892907</v>
      </c>
      <c r="C1773" t="s">
        <v>105</v>
      </c>
      <c r="D1773" t="s">
        <v>3808</v>
      </c>
      <c r="E1773" t="s">
        <v>166</v>
      </c>
      <c r="F1773" t="s">
        <v>106</v>
      </c>
      <c r="G1773" t="s">
        <v>473</v>
      </c>
      <c r="H1773" t="str">
        <f>" "</f>
        <v xml:space="preserve"> </v>
      </c>
      <c r="K1773">
        <v>6974873961</v>
      </c>
      <c r="M1773" t="s">
        <v>3810</v>
      </c>
      <c r="N1773" t="s">
        <v>292</v>
      </c>
      <c r="O1773" t="s">
        <v>293</v>
      </c>
      <c r="R1773" t="s">
        <v>57</v>
      </c>
      <c r="S1773">
        <v>10</v>
      </c>
      <c r="T1773">
        <v>250</v>
      </c>
      <c r="U1773" s="1">
        <v>36160</v>
      </c>
      <c r="V1773" t="s">
        <v>123</v>
      </c>
      <c r="W1773" t="s">
        <v>124</v>
      </c>
      <c r="X1773" t="s">
        <v>58</v>
      </c>
      <c r="Y1773">
        <v>18</v>
      </c>
      <c r="Z1773" t="s">
        <v>59</v>
      </c>
      <c r="AA1773" t="s">
        <v>59</v>
      </c>
      <c r="AB1773" t="s">
        <v>59</v>
      </c>
      <c r="AC1773" t="s">
        <v>59</v>
      </c>
      <c r="AD1773" t="s">
        <v>59</v>
      </c>
      <c r="AF1773" s="1">
        <v>36171</v>
      </c>
      <c r="AG1773" t="s">
        <v>125</v>
      </c>
      <c r="AH1773" t="s">
        <v>126</v>
      </c>
      <c r="AI1773" t="str">
        <f>"1725030"</f>
        <v>1725030</v>
      </c>
      <c r="AJ1773" t="s">
        <v>1666</v>
      </c>
      <c r="AK1773">
        <v>2893022872</v>
      </c>
      <c r="AL1773" t="s">
        <v>1667</v>
      </c>
      <c r="AM1773" t="s">
        <v>78</v>
      </c>
      <c r="AN1773" t="s">
        <v>424</v>
      </c>
      <c r="AO1773" t="s">
        <v>577</v>
      </c>
      <c r="AP1773" t="s">
        <v>1668</v>
      </c>
      <c r="AQ1773">
        <v>23</v>
      </c>
      <c r="AR1773" t="s">
        <v>123</v>
      </c>
      <c r="AS1773" t="s">
        <v>124</v>
      </c>
      <c r="AT1773" t="s">
        <v>58</v>
      </c>
      <c r="AU1773" t="s">
        <v>68</v>
      </c>
      <c r="AV1773" t="s">
        <v>69</v>
      </c>
      <c r="AW1773" s="1">
        <v>21438</v>
      </c>
      <c r="AX1773">
        <v>2</v>
      </c>
    </row>
    <row r="1774" spans="1:50">
      <c r="A1774">
        <v>160008</v>
      </c>
      <c r="B1774" t="str">
        <f>"034491879"</f>
        <v>034491879</v>
      </c>
      <c r="C1774" t="s">
        <v>105</v>
      </c>
      <c r="D1774" t="s">
        <v>3808</v>
      </c>
      <c r="E1774" t="s">
        <v>3811</v>
      </c>
      <c r="F1774" t="s">
        <v>72</v>
      </c>
      <c r="G1774" t="s">
        <v>3812</v>
      </c>
      <c r="H1774" t="str">
        <f>"ΕΛΕΥΘΕΡΝΗΣ 33 ΗΡΑΚΛΕΙΟΥ"</f>
        <v>ΕΛΕΥΘΕΡΝΗΣ 33 ΗΡΑΚΛΕΙΟΥ</v>
      </c>
      <c r="J1774">
        <v>2810311632</v>
      </c>
      <c r="K1774">
        <v>6977645928</v>
      </c>
      <c r="N1774" t="s">
        <v>292</v>
      </c>
      <c r="O1774" t="s">
        <v>293</v>
      </c>
      <c r="R1774" t="s">
        <v>57</v>
      </c>
      <c r="S1774">
        <v>15</v>
      </c>
      <c r="T1774">
        <v>161</v>
      </c>
      <c r="U1774" s="1">
        <v>33119</v>
      </c>
      <c r="V1774" t="s">
        <v>123</v>
      </c>
      <c r="W1774" t="s">
        <v>124</v>
      </c>
      <c r="X1774" t="s">
        <v>58</v>
      </c>
      <c r="Y1774">
        <v>18</v>
      </c>
      <c r="Z1774" t="s">
        <v>59</v>
      </c>
      <c r="AA1774" t="s">
        <v>59</v>
      </c>
      <c r="AB1774" t="s">
        <v>59</v>
      </c>
      <c r="AC1774" t="s">
        <v>59</v>
      </c>
      <c r="AD1774" t="s">
        <v>59</v>
      </c>
      <c r="AF1774" s="1">
        <v>33120</v>
      </c>
      <c r="AG1774" t="s">
        <v>137</v>
      </c>
      <c r="AH1774" t="s">
        <v>138</v>
      </c>
      <c r="AI1774" t="str">
        <f>"1740210"</f>
        <v>1740210</v>
      </c>
      <c r="AJ1774" t="s">
        <v>139</v>
      </c>
      <c r="AK1774">
        <v>2810318130</v>
      </c>
      <c r="AL1774" t="s">
        <v>140</v>
      </c>
      <c r="AM1774" t="s">
        <v>78</v>
      </c>
      <c r="AN1774" t="s">
        <v>78</v>
      </c>
      <c r="AO1774" t="s">
        <v>78</v>
      </c>
      <c r="AP1774" t="s">
        <v>141</v>
      </c>
      <c r="AQ1774">
        <v>7</v>
      </c>
      <c r="AR1774" t="s">
        <v>123</v>
      </c>
      <c r="AS1774" t="s">
        <v>124</v>
      </c>
      <c r="AT1774" t="s">
        <v>58</v>
      </c>
      <c r="AU1774" t="s">
        <v>68</v>
      </c>
      <c r="AV1774" t="s">
        <v>69</v>
      </c>
      <c r="AW1774" s="1">
        <v>19848</v>
      </c>
      <c r="AX1774">
        <v>2</v>
      </c>
    </row>
    <row r="1775" spans="1:50">
      <c r="A1775">
        <v>194546</v>
      </c>
      <c r="B1775" t="str">
        <f>"036922618"</f>
        <v>036922618</v>
      </c>
      <c r="C1775" t="s">
        <v>105</v>
      </c>
      <c r="D1775" t="s">
        <v>3808</v>
      </c>
      <c r="E1775" t="s">
        <v>989</v>
      </c>
      <c r="F1775" t="s">
        <v>106</v>
      </c>
      <c r="G1775" t="s">
        <v>181</v>
      </c>
      <c r="H1775" t="str">
        <f>"ΑΡΒΗ ΒΙΑΝΝΟΥ "</f>
        <v xml:space="preserve">ΑΡΒΗ ΒΙΑΝΝΟΥ </v>
      </c>
      <c r="I1775">
        <v>70004</v>
      </c>
      <c r="J1775">
        <v>2895071555</v>
      </c>
      <c r="K1775">
        <v>6977206796</v>
      </c>
      <c r="N1775" t="s">
        <v>176</v>
      </c>
      <c r="O1775" t="s">
        <v>177</v>
      </c>
      <c r="R1775" t="s">
        <v>57</v>
      </c>
      <c r="S1775">
        <v>12</v>
      </c>
      <c r="T1775">
        <v>193</v>
      </c>
      <c r="U1775" s="1">
        <v>37497</v>
      </c>
      <c r="V1775" t="s">
        <v>123</v>
      </c>
      <c r="W1775" t="s">
        <v>124</v>
      </c>
      <c r="X1775" t="s">
        <v>58</v>
      </c>
      <c r="Y1775">
        <v>18</v>
      </c>
      <c r="Z1775" t="s">
        <v>59</v>
      </c>
      <c r="AA1775" t="s">
        <v>59</v>
      </c>
      <c r="AB1775" t="s">
        <v>59</v>
      </c>
      <c r="AC1775" t="s">
        <v>59</v>
      </c>
      <c r="AD1775" t="s">
        <v>59</v>
      </c>
      <c r="AF1775" s="1">
        <v>37501</v>
      </c>
      <c r="AG1775" t="s">
        <v>148</v>
      </c>
      <c r="AH1775" t="s">
        <v>149</v>
      </c>
      <c r="AI1775" t="str">
        <f>"1754010"</f>
        <v>1754010</v>
      </c>
      <c r="AJ1775" t="s">
        <v>1167</v>
      </c>
      <c r="AK1775">
        <v>2895022277</v>
      </c>
      <c r="AL1775" t="s">
        <v>1168</v>
      </c>
      <c r="AM1775" t="s">
        <v>78</v>
      </c>
      <c r="AN1775" t="s">
        <v>482</v>
      </c>
      <c r="AO1775" t="s">
        <v>482</v>
      </c>
      <c r="AP1775" t="s">
        <v>483</v>
      </c>
      <c r="AQ1775">
        <v>16</v>
      </c>
      <c r="AR1775" t="s">
        <v>123</v>
      </c>
      <c r="AS1775" t="s">
        <v>124</v>
      </c>
      <c r="AT1775" t="s">
        <v>58</v>
      </c>
      <c r="AU1775" t="s">
        <v>68</v>
      </c>
      <c r="AV1775" t="s">
        <v>69</v>
      </c>
      <c r="AW1775" s="1">
        <v>24026</v>
      </c>
      <c r="AX1775">
        <v>2</v>
      </c>
    </row>
    <row r="1776" spans="1:50">
      <c r="A1776">
        <v>166217</v>
      </c>
      <c r="B1776" t="str">
        <f>"036453385"</f>
        <v>036453385</v>
      </c>
      <c r="C1776" t="s">
        <v>105</v>
      </c>
      <c r="D1776" t="s">
        <v>3813</v>
      </c>
      <c r="E1776" t="s">
        <v>95</v>
      </c>
      <c r="F1776" t="s">
        <v>72</v>
      </c>
      <c r="G1776" t="s">
        <v>188</v>
      </c>
      <c r="H1776" t="str">
        <f>" "</f>
        <v xml:space="preserve"> </v>
      </c>
      <c r="N1776" t="s">
        <v>199</v>
      </c>
      <c r="O1776" t="s">
        <v>200</v>
      </c>
      <c r="R1776" t="s">
        <v>57</v>
      </c>
      <c r="S1776">
        <v>14</v>
      </c>
      <c r="T1776">
        <v>137</v>
      </c>
      <c r="U1776" s="1">
        <v>34206</v>
      </c>
      <c r="V1776" t="s">
        <v>123</v>
      </c>
      <c r="W1776" t="s">
        <v>124</v>
      </c>
      <c r="X1776" t="s">
        <v>58</v>
      </c>
      <c r="Y1776">
        <v>18</v>
      </c>
      <c r="Z1776" t="s">
        <v>59</v>
      </c>
      <c r="AA1776" t="s">
        <v>59</v>
      </c>
      <c r="AB1776" t="s">
        <v>59</v>
      </c>
      <c r="AC1776" t="s">
        <v>59</v>
      </c>
      <c r="AD1776" t="s">
        <v>59</v>
      </c>
      <c r="AF1776" s="1">
        <v>34213</v>
      </c>
      <c r="AG1776" t="s">
        <v>148</v>
      </c>
      <c r="AH1776" t="s">
        <v>149</v>
      </c>
      <c r="AI1776" t="str">
        <f>"1778010"</f>
        <v>1778010</v>
      </c>
      <c r="AJ1776" t="s">
        <v>672</v>
      </c>
      <c r="AK1776">
        <v>2810822455</v>
      </c>
      <c r="AL1776" t="s">
        <v>673</v>
      </c>
      <c r="AM1776" t="s">
        <v>78</v>
      </c>
      <c r="AN1776" t="s">
        <v>129</v>
      </c>
      <c r="AO1776" t="s">
        <v>130</v>
      </c>
      <c r="AP1776" t="s">
        <v>130</v>
      </c>
      <c r="AQ1776">
        <v>36</v>
      </c>
      <c r="AR1776" t="s">
        <v>123</v>
      </c>
      <c r="AS1776" t="s">
        <v>124</v>
      </c>
      <c r="AT1776" t="s">
        <v>58</v>
      </c>
      <c r="AU1776" t="s">
        <v>68</v>
      </c>
      <c r="AV1776" t="s">
        <v>69</v>
      </c>
      <c r="AW1776" s="1">
        <v>21968</v>
      </c>
      <c r="AX1776">
        <v>2</v>
      </c>
    </row>
    <row r="1777" spans="1:50">
      <c r="A1777">
        <v>194170</v>
      </c>
      <c r="B1777" t="str">
        <f>"064590010"</f>
        <v>064590010</v>
      </c>
      <c r="C1777" t="s">
        <v>50</v>
      </c>
      <c r="D1777" t="s">
        <v>3814</v>
      </c>
      <c r="E1777" t="s">
        <v>83</v>
      </c>
      <c r="F1777" t="s">
        <v>99</v>
      </c>
      <c r="G1777" t="s">
        <v>1644</v>
      </c>
      <c r="H1777" t="str">
        <f>" "</f>
        <v xml:space="preserve"> </v>
      </c>
      <c r="J1777">
        <v>2810243417</v>
      </c>
      <c r="K1777">
        <v>6974247498</v>
      </c>
      <c r="M1777" t="s">
        <v>3815</v>
      </c>
      <c r="N1777" t="s">
        <v>299</v>
      </c>
      <c r="O1777" t="s">
        <v>300</v>
      </c>
      <c r="R1777" t="s">
        <v>57</v>
      </c>
      <c r="S1777">
        <v>12</v>
      </c>
      <c r="T1777">
        <v>193</v>
      </c>
      <c r="U1777" s="1">
        <v>37497</v>
      </c>
      <c r="V1777" t="s">
        <v>123</v>
      </c>
      <c r="W1777" t="s">
        <v>124</v>
      </c>
      <c r="X1777" t="s">
        <v>58</v>
      </c>
      <c r="Y1777">
        <v>18</v>
      </c>
      <c r="Z1777" t="s">
        <v>59</v>
      </c>
      <c r="AA1777" t="s">
        <v>59</v>
      </c>
      <c r="AB1777" t="s">
        <v>59</v>
      </c>
      <c r="AC1777" t="s">
        <v>59</v>
      </c>
      <c r="AD1777" t="s">
        <v>59</v>
      </c>
      <c r="AF1777" s="1">
        <v>37503</v>
      </c>
      <c r="AG1777" t="s">
        <v>137</v>
      </c>
      <c r="AH1777" t="s">
        <v>138</v>
      </c>
      <c r="AI1777" t="str">
        <f>"1740100"</f>
        <v>1740100</v>
      </c>
      <c r="AJ1777" t="s">
        <v>857</v>
      </c>
      <c r="AK1777">
        <v>2810360741</v>
      </c>
      <c r="AL1777" t="s">
        <v>858</v>
      </c>
      <c r="AM1777" t="s">
        <v>78</v>
      </c>
      <c r="AN1777" t="s">
        <v>78</v>
      </c>
      <c r="AO1777" t="s">
        <v>78</v>
      </c>
      <c r="AP1777" t="s">
        <v>163</v>
      </c>
      <c r="AQ1777">
        <v>5</v>
      </c>
      <c r="AR1777" t="s">
        <v>123</v>
      </c>
      <c r="AS1777" t="s">
        <v>124</v>
      </c>
      <c r="AT1777" t="s">
        <v>58</v>
      </c>
      <c r="AU1777" t="s">
        <v>68</v>
      </c>
      <c r="AV1777" t="s">
        <v>69</v>
      </c>
      <c r="AW1777" s="1">
        <v>23115</v>
      </c>
      <c r="AX1777">
        <v>2</v>
      </c>
    </row>
    <row r="1778" spans="1:50">
      <c r="A1778">
        <v>181202</v>
      </c>
      <c r="B1778" t="str">
        <f>"044194057"</f>
        <v>044194057</v>
      </c>
      <c r="C1778" t="s">
        <v>50</v>
      </c>
      <c r="D1778" t="s">
        <v>3816</v>
      </c>
      <c r="E1778" t="s">
        <v>237</v>
      </c>
      <c r="F1778" t="s">
        <v>2280</v>
      </c>
      <c r="G1778" t="s">
        <v>52</v>
      </c>
      <c r="H1778" t="str">
        <f>" "</f>
        <v xml:space="preserve"> </v>
      </c>
      <c r="N1778" t="s">
        <v>306</v>
      </c>
      <c r="O1778" t="s">
        <v>307</v>
      </c>
      <c r="R1778" t="s">
        <v>57</v>
      </c>
      <c r="S1778">
        <v>10</v>
      </c>
      <c r="T1778">
        <v>164</v>
      </c>
      <c r="U1778" s="1">
        <v>36040</v>
      </c>
      <c r="V1778" t="s">
        <v>123</v>
      </c>
      <c r="W1778" t="s">
        <v>124</v>
      </c>
      <c r="X1778" t="s">
        <v>58</v>
      </c>
      <c r="Y1778">
        <v>18</v>
      </c>
      <c r="Z1778" t="s">
        <v>59</v>
      </c>
      <c r="AA1778" t="s">
        <v>59</v>
      </c>
      <c r="AB1778" t="s">
        <v>59</v>
      </c>
      <c r="AC1778" t="s">
        <v>59</v>
      </c>
      <c r="AD1778" t="s">
        <v>59</v>
      </c>
      <c r="AF1778" s="1">
        <v>36041</v>
      </c>
      <c r="AG1778" t="s">
        <v>148</v>
      </c>
      <c r="AH1778" t="s">
        <v>149</v>
      </c>
      <c r="AI1778" t="str">
        <f>"1778010"</f>
        <v>1778010</v>
      </c>
      <c r="AJ1778" t="s">
        <v>672</v>
      </c>
      <c r="AK1778">
        <v>2810822455</v>
      </c>
      <c r="AL1778" t="s">
        <v>673</v>
      </c>
      <c r="AM1778" t="s">
        <v>78</v>
      </c>
      <c r="AN1778" t="s">
        <v>129</v>
      </c>
      <c r="AO1778" t="s">
        <v>130</v>
      </c>
      <c r="AP1778" t="s">
        <v>130</v>
      </c>
      <c r="AQ1778">
        <v>36</v>
      </c>
      <c r="AR1778" t="s">
        <v>123</v>
      </c>
      <c r="AS1778" t="s">
        <v>124</v>
      </c>
      <c r="AT1778" t="s">
        <v>58</v>
      </c>
      <c r="AU1778" t="s">
        <v>68</v>
      </c>
      <c r="AV1778" t="s">
        <v>69</v>
      </c>
      <c r="AW1778" s="1">
        <v>24134</v>
      </c>
      <c r="AX1778">
        <v>2</v>
      </c>
    </row>
    <row r="1779" spans="1:50">
      <c r="B1779" t="str">
        <f>"073523842"</f>
        <v>073523842</v>
      </c>
      <c r="C1779" t="s">
        <v>50</v>
      </c>
      <c r="D1779" t="s">
        <v>3817</v>
      </c>
      <c r="E1779" t="s">
        <v>83</v>
      </c>
      <c r="F1779" t="s">
        <v>558</v>
      </c>
      <c r="G1779" t="s">
        <v>3818</v>
      </c>
      <c r="H1779" t="str">
        <f>"ΗΛΕΚΤΡΑΣ 12  ΘΕΡΙΣΣΟΣ ΗΡΑΚΛΕΙΟ"</f>
        <v>ΗΛΕΚΤΡΑΣ 12  ΘΕΡΙΣΣΟΣ ΗΡΑΚΛΕΙΟ</v>
      </c>
      <c r="I1779">
        <v>71305</v>
      </c>
      <c r="J1779">
        <v>2810318855</v>
      </c>
      <c r="K1779">
        <v>6972599133</v>
      </c>
      <c r="N1779" t="s">
        <v>1514</v>
      </c>
      <c r="O1779" t="s">
        <v>1515</v>
      </c>
      <c r="R1779" t="s">
        <v>159</v>
      </c>
      <c r="S1779">
        <v>6</v>
      </c>
      <c r="T1779" t="s">
        <v>344</v>
      </c>
      <c r="U1779" s="1">
        <v>43348</v>
      </c>
      <c r="V1779" t="s">
        <v>123</v>
      </c>
      <c r="W1779" t="s">
        <v>124</v>
      </c>
      <c r="X1779" t="s">
        <v>58</v>
      </c>
      <c r="Y1779">
        <v>21</v>
      </c>
      <c r="Z1779" t="s">
        <v>59</v>
      </c>
      <c r="AA1779" t="s">
        <v>59</v>
      </c>
      <c r="AB1779" t="s">
        <v>59</v>
      </c>
      <c r="AC1779" t="s">
        <v>59</v>
      </c>
      <c r="AD1779" t="s">
        <v>59</v>
      </c>
      <c r="AF1779" s="1">
        <v>43348</v>
      </c>
      <c r="AG1779" t="s">
        <v>345</v>
      </c>
      <c r="AH1779" t="s">
        <v>346</v>
      </c>
      <c r="AI1779" t="str">
        <f>"1759011"</f>
        <v>1759011</v>
      </c>
      <c r="AJ1779" t="s">
        <v>347</v>
      </c>
      <c r="AK1779">
        <v>2892051103</v>
      </c>
      <c r="AL1779" t="s">
        <v>348</v>
      </c>
      <c r="AM1779" t="s">
        <v>78</v>
      </c>
      <c r="AN1779" t="s">
        <v>242</v>
      </c>
      <c r="AO1779" t="s">
        <v>349</v>
      </c>
      <c r="AP1779" t="s">
        <v>349</v>
      </c>
      <c r="AQ1779">
        <v>38</v>
      </c>
      <c r="AR1779" t="s">
        <v>123</v>
      </c>
      <c r="AS1779" t="s">
        <v>124</v>
      </c>
      <c r="AT1779" t="s">
        <v>58</v>
      </c>
      <c r="AU1779" t="s">
        <v>350</v>
      </c>
      <c r="AV1779" t="s">
        <v>132</v>
      </c>
      <c r="AW1779" s="1">
        <v>24275</v>
      </c>
      <c r="AX1779">
        <v>2</v>
      </c>
    </row>
    <row r="1780" spans="1:50">
      <c r="A1780">
        <v>212939</v>
      </c>
      <c r="B1780" t="str">
        <f>"120183003"</f>
        <v>120183003</v>
      </c>
      <c r="C1780" t="s">
        <v>50</v>
      </c>
      <c r="D1780" t="s">
        <v>3819</v>
      </c>
      <c r="E1780" t="s">
        <v>221</v>
      </c>
      <c r="F1780" t="s">
        <v>99</v>
      </c>
      <c r="G1780" t="s">
        <v>3666</v>
      </c>
      <c r="H1780" t="str">
        <f>"ΣΤΥΛΙΑΝΟΥ ΓΕΩΡΓΙΟΥ 2 ΗΡΑΚΛΕΙΟ"</f>
        <v>ΣΤΥΛΙΑΝΟΥ ΓΕΩΡΓΙΟΥ 2 ΗΡΑΚΛΕΙΟ</v>
      </c>
      <c r="I1780">
        <v>71305</v>
      </c>
      <c r="J1780">
        <v>2810314778</v>
      </c>
      <c r="K1780">
        <v>6977483993</v>
      </c>
      <c r="M1780" t="s">
        <v>3820</v>
      </c>
      <c r="N1780" t="s">
        <v>292</v>
      </c>
      <c r="O1780" t="s">
        <v>293</v>
      </c>
      <c r="P1780" t="s">
        <v>204</v>
      </c>
      <c r="Q1780" t="s">
        <v>205</v>
      </c>
      <c r="R1780" t="s">
        <v>57</v>
      </c>
      <c r="S1780">
        <v>9</v>
      </c>
      <c r="T1780">
        <v>231</v>
      </c>
      <c r="U1780" s="1">
        <v>38960</v>
      </c>
      <c r="V1780" t="s">
        <v>123</v>
      </c>
      <c r="W1780" t="s">
        <v>124</v>
      </c>
      <c r="X1780" t="s">
        <v>58</v>
      </c>
      <c r="Y1780">
        <v>20</v>
      </c>
      <c r="Z1780" t="s">
        <v>59</v>
      </c>
      <c r="AA1780" t="s">
        <v>59</v>
      </c>
      <c r="AB1780" t="s">
        <v>59</v>
      </c>
      <c r="AC1780" t="s">
        <v>59</v>
      </c>
      <c r="AD1780" t="s">
        <v>59</v>
      </c>
      <c r="AF1780" s="1">
        <v>38961</v>
      </c>
      <c r="AG1780" t="s">
        <v>125</v>
      </c>
      <c r="AH1780" t="s">
        <v>126</v>
      </c>
      <c r="AI1780" t="str">
        <f>"1701053"</f>
        <v>1701053</v>
      </c>
      <c r="AJ1780" t="s">
        <v>398</v>
      </c>
      <c r="AK1780">
        <v>2810251434</v>
      </c>
      <c r="AL1780" t="s">
        <v>399</v>
      </c>
      <c r="AM1780" t="s">
        <v>78</v>
      </c>
      <c r="AN1780" t="s">
        <v>78</v>
      </c>
      <c r="AO1780" t="s">
        <v>78</v>
      </c>
      <c r="AP1780" t="s">
        <v>141</v>
      </c>
      <c r="AQ1780">
        <v>7</v>
      </c>
      <c r="AR1780" t="s">
        <v>123</v>
      </c>
      <c r="AS1780" t="s">
        <v>124</v>
      </c>
      <c r="AT1780" t="s">
        <v>58</v>
      </c>
      <c r="AU1780" t="s">
        <v>68</v>
      </c>
      <c r="AV1780" t="s">
        <v>69</v>
      </c>
      <c r="AW1780" s="1">
        <v>27460</v>
      </c>
      <c r="AX1780">
        <v>2</v>
      </c>
    </row>
    <row r="1781" spans="1:50">
      <c r="A1781">
        <v>619985</v>
      </c>
      <c r="B1781" t="str">
        <f>"073522102"</f>
        <v>073522102</v>
      </c>
      <c r="C1781" t="s">
        <v>105</v>
      </c>
      <c r="D1781" t="s">
        <v>3821</v>
      </c>
      <c r="E1781" t="s">
        <v>154</v>
      </c>
      <c r="F1781" t="s">
        <v>72</v>
      </c>
      <c r="G1781" t="s">
        <v>52</v>
      </c>
      <c r="H1781" t="str">
        <f>"ΙΦΙΓΕΝΕΙΑΣ 8 ΗΡΑΚΛΕΙΟ"</f>
        <v>ΙΦΙΓΕΝΕΙΑΣ 8 ΗΡΑΚΛΕΙΟ</v>
      </c>
      <c r="I1781">
        <v>71304</v>
      </c>
      <c r="J1781">
        <v>2810314354</v>
      </c>
      <c r="K1781">
        <v>6972077255</v>
      </c>
      <c r="N1781" t="s">
        <v>176</v>
      </c>
      <c r="O1781" t="s">
        <v>177</v>
      </c>
      <c r="R1781" t="s">
        <v>57</v>
      </c>
      <c r="S1781">
        <v>6</v>
      </c>
      <c r="T1781">
        <v>775</v>
      </c>
      <c r="U1781" s="1">
        <v>39680</v>
      </c>
      <c r="V1781" t="s">
        <v>123</v>
      </c>
      <c r="W1781" t="s">
        <v>124</v>
      </c>
      <c r="X1781" t="s">
        <v>58</v>
      </c>
      <c r="Y1781">
        <v>20</v>
      </c>
      <c r="Z1781" t="s">
        <v>59</v>
      </c>
      <c r="AA1781" t="s">
        <v>59</v>
      </c>
      <c r="AB1781" t="s">
        <v>59</v>
      </c>
      <c r="AC1781" t="s">
        <v>59</v>
      </c>
      <c r="AD1781" t="s">
        <v>59</v>
      </c>
      <c r="AF1781" s="1">
        <v>40053</v>
      </c>
      <c r="AG1781" t="s">
        <v>125</v>
      </c>
      <c r="AH1781" t="s">
        <v>126</v>
      </c>
      <c r="AI1781" t="str">
        <f>"1701057"</f>
        <v>1701057</v>
      </c>
      <c r="AJ1781" t="s">
        <v>379</v>
      </c>
      <c r="AK1781">
        <v>2810234488</v>
      </c>
      <c r="AL1781" t="s">
        <v>380</v>
      </c>
      <c r="AM1781" t="s">
        <v>78</v>
      </c>
      <c r="AN1781" t="s">
        <v>78</v>
      </c>
      <c r="AO1781" t="s">
        <v>78</v>
      </c>
      <c r="AP1781" t="s">
        <v>163</v>
      </c>
      <c r="AQ1781">
        <v>8</v>
      </c>
      <c r="AR1781" t="s">
        <v>123</v>
      </c>
      <c r="AS1781" t="s">
        <v>124</v>
      </c>
      <c r="AT1781" t="s">
        <v>58</v>
      </c>
      <c r="AU1781" t="s">
        <v>68</v>
      </c>
      <c r="AV1781" t="s">
        <v>69</v>
      </c>
      <c r="AW1781" s="1">
        <v>25076</v>
      </c>
      <c r="AX1781">
        <v>2</v>
      </c>
    </row>
    <row r="1782" spans="1:50">
      <c r="A1782">
        <v>180285</v>
      </c>
      <c r="B1782" t="str">
        <f>"037057699"</f>
        <v>037057699</v>
      </c>
      <c r="C1782" t="s">
        <v>105</v>
      </c>
      <c r="D1782" t="s">
        <v>3821</v>
      </c>
      <c r="E1782" t="s">
        <v>53</v>
      </c>
      <c r="F1782" t="s">
        <v>95</v>
      </c>
      <c r="G1782" t="s">
        <v>52</v>
      </c>
      <c r="H1782" t="str">
        <f>"ΚΑΤΩ ΓΟΥΒΕΣ ΚΑΤΩ ΓΟΥΒΕΣ"</f>
        <v>ΚΑΤΩ ΓΟΥΒΕΣ ΚΑΤΩ ΓΟΥΒΕΣ</v>
      </c>
      <c r="I1782">
        <v>70014</v>
      </c>
      <c r="J1782">
        <v>2897041094</v>
      </c>
      <c r="K1782">
        <v>6945724661</v>
      </c>
      <c r="M1782" t="s">
        <v>3822</v>
      </c>
      <c r="N1782" t="s">
        <v>292</v>
      </c>
      <c r="O1782" t="s">
        <v>293</v>
      </c>
      <c r="R1782" t="s">
        <v>57</v>
      </c>
      <c r="S1782">
        <v>10</v>
      </c>
      <c r="T1782">
        <v>164</v>
      </c>
      <c r="U1782" s="1">
        <v>36040</v>
      </c>
      <c r="V1782" t="s">
        <v>123</v>
      </c>
      <c r="W1782" t="s">
        <v>124</v>
      </c>
      <c r="X1782" t="s">
        <v>58</v>
      </c>
      <c r="Y1782">
        <v>18</v>
      </c>
      <c r="Z1782" t="s">
        <v>59</v>
      </c>
      <c r="AA1782" t="s">
        <v>59</v>
      </c>
      <c r="AB1782" t="s">
        <v>59</v>
      </c>
      <c r="AC1782" t="s">
        <v>59</v>
      </c>
      <c r="AD1782" t="s">
        <v>59</v>
      </c>
      <c r="AF1782" s="1">
        <v>36045</v>
      </c>
      <c r="AG1782" t="s">
        <v>125</v>
      </c>
      <c r="AH1782" t="s">
        <v>126</v>
      </c>
      <c r="AI1782" t="str">
        <f>"1714012"</f>
        <v>1714012</v>
      </c>
      <c r="AJ1782" t="s">
        <v>633</v>
      </c>
      <c r="AK1782">
        <v>2810762261</v>
      </c>
      <c r="AL1782" t="s">
        <v>634</v>
      </c>
      <c r="AM1782" t="s">
        <v>78</v>
      </c>
      <c r="AN1782" t="s">
        <v>219</v>
      </c>
      <c r="AO1782" t="s">
        <v>297</v>
      </c>
      <c r="AP1782" t="s">
        <v>297</v>
      </c>
      <c r="AQ1782">
        <v>37</v>
      </c>
      <c r="AR1782" t="s">
        <v>123</v>
      </c>
      <c r="AS1782" t="s">
        <v>124</v>
      </c>
      <c r="AT1782" t="s">
        <v>58</v>
      </c>
      <c r="AU1782" t="s">
        <v>68</v>
      </c>
      <c r="AV1782" t="s">
        <v>69</v>
      </c>
      <c r="AW1782" s="1">
        <v>21186</v>
      </c>
      <c r="AX1782">
        <v>2</v>
      </c>
    </row>
    <row r="1783" spans="1:50">
      <c r="A1783">
        <v>157274</v>
      </c>
      <c r="B1783" t="str">
        <f>"025457551"</f>
        <v>025457551</v>
      </c>
      <c r="C1783" t="s">
        <v>50</v>
      </c>
      <c r="D1783" t="s">
        <v>3823</v>
      </c>
      <c r="E1783" t="s">
        <v>109</v>
      </c>
      <c r="F1783" t="s">
        <v>3824</v>
      </c>
      <c r="G1783" t="s">
        <v>83</v>
      </c>
      <c r="H1783" t="str">
        <f>"Γ.ΓΕΩΡΓΙΑΔΗ 31 ΗΡΑΚΛΕΙΟ"</f>
        <v>Γ.ΓΕΩΡΓΙΑΔΗ 31 ΗΡΑΚΛΕΙΟ</v>
      </c>
      <c r="I1783">
        <v>71305</v>
      </c>
      <c r="J1783">
        <v>2810320843</v>
      </c>
      <c r="M1783" t="s">
        <v>2515</v>
      </c>
      <c r="N1783" t="s">
        <v>306</v>
      </c>
      <c r="O1783" t="s">
        <v>307</v>
      </c>
      <c r="R1783" t="s">
        <v>57</v>
      </c>
      <c r="S1783">
        <v>14</v>
      </c>
      <c r="T1783">
        <v>188</v>
      </c>
      <c r="U1783" s="1">
        <v>32752</v>
      </c>
      <c r="V1783" t="s">
        <v>123</v>
      </c>
      <c r="W1783" t="s">
        <v>124</v>
      </c>
      <c r="X1783" t="s">
        <v>58</v>
      </c>
      <c r="Y1783">
        <v>18</v>
      </c>
      <c r="Z1783" t="s">
        <v>59</v>
      </c>
      <c r="AA1783" t="s">
        <v>59</v>
      </c>
      <c r="AB1783" t="s">
        <v>59</v>
      </c>
      <c r="AC1783" t="s">
        <v>59</v>
      </c>
      <c r="AD1783" t="s">
        <v>59</v>
      </c>
      <c r="AF1783" s="1">
        <v>32756</v>
      </c>
      <c r="AG1783" t="s">
        <v>148</v>
      </c>
      <c r="AH1783" t="s">
        <v>149</v>
      </c>
      <c r="AI1783" t="str">
        <f>"1751051"</f>
        <v>1751051</v>
      </c>
      <c r="AJ1783" t="s">
        <v>259</v>
      </c>
      <c r="AK1783">
        <v>2810251794</v>
      </c>
      <c r="AL1783" t="s">
        <v>260</v>
      </c>
      <c r="AM1783" t="s">
        <v>78</v>
      </c>
      <c r="AN1783" t="s">
        <v>78</v>
      </c>
      <c r="AO1783" t="s">
        <v>78</v>
      </c>
      <c r="AP1783" t="s">
        <v>141</v>
      </c>
      <c r="AQ1783">
        <v>7</v>
      </c>
      <c r="AR1783" t="s">
        <v>123</v>
      </c>
      <c r="AS1783" t="s">
        <v>124</v>
      </c>
      <c r="AT1783" t="s">
        <v>58</v>
      </c>
      <c r="AU1783" t="s">
        <v>68</v>
      </c>
      <c r="AV1783" t="s">
        <v>69</v>
      </c>
      <c r="AW1783" s="1">
        <v>22227</v>
      </c>
      <c r="AX1783">
        <v>2</v>
      </c>
    </row>
    <row r="1784" spans="1:50">
      <c r="A1784">
        <v>188801</v>
      </c>
      <c r="B1784" t="str">
        <f>"074243092"</f>
        <v>074243092</v>
      </c>
      <c r="C1784" t="s">
        <v>105</v>
      </c>
      <c r="D1784" t="s">
        <v>3825</v>
      </c>
      <c r="E1784" t="s">
        <v>99</v>
      </c>
      <c r="F1784" t="s">
        <v>111</v>
      </c>
      <c r="G1784" t="s">
        <v>314</v>
      </c>
      <c r="H1784" t="str">
        <f>"ΣΚΑΛΑΝΙ ΗΡΑΚΛΕΙΟΥ "</f>
        <v xml:space="preserve">ΣΚΑΛΑΝΙ ΗΡΑΚΛΕΙΟΥ </v>
      </c>
      <c r="I1784">
        <v>71500</v>
      </c>
      <c r="J1784">
        <v>2810731500</v>
      </c>
      <c r="K1784">
        <v>6945894098</v>
      </c>
      <c r="M1784" t="s">
        <v>3826</v>
      </c>
      <c r="N1784" t="s">
        <v>204</v>
      </c>
      <c r="O1784" t="s">
        <v>205</v>
      </c>
      <c r="R1784" t="s">
        <v>57</v>
      </c>
      <c r="S1784">
        <v>10</v>
      </c>
      <c r="T1784" t="s">
        <v>2363</v>
      </c>
      <c r="U1784" s="1">
        <v>36039</v>
      </c>
      <c r="V1784" t="s">
        <v>123</v>
      </c>
      <c r="W1784" t="s">
        <v>124</v>
      </c>
      <c r="X1784" t="s">
        <v>58</v>
      </c>
      <c r="Y1784">
        <v>18</v>
      </c>
      <c r="Z1784" t="s">
        <v>59</v>
      </c>
      <c r="AA1784" t="s">
        <v>59</v>
      </c>
      <c r="AB1784" t="s">
        <v>59</v>
      </c>
      <c r="AC1784" t="s">
        <v>59</v>
      </c>
      <c r="AD1784" t="s">
        <v>59</v>
      </c>
      <c r="AF1784" s="1">
        <v>36823</v>
      </c>
      <c r="AG1784" t="s">
        <v>148</v>
      </c>
      <c r="AH1784" t="s">
        <v>149</v>
      </c>
      <c r="AI1784" t="str">
        <f>"1751041"</f>
        <v>1751041</v>
      </c>
      <c r="AJ1784" t="s">
        <v>353</v>
      </c>
      <c r="AK1784">
        <v>2810230207</v>
      </c>
      <c r="AL1784" t="s">
        <v>354</v>
      </c>
      <c r="AM1784" t="s">
        <v>78</v>
      </c>
      <c r="AN1784" t="s">
        <v>78</v>
      </c>
      <c r="AO1784" t="s">
        <v>78</v>
      </c>
      <c r="AP1784" t="s">
        <v>163</v>
      </c>
      <c r="AQ1784">
        <v>2</v>
      </c>
      <c r="AR1784" t="s">
        <v>123</v>
      </c>
      <c r="AS1784" t="s">
        <v>124</v>
      </c>
      <c r="AT1784" t="s">
        <v>58</v>
      </c>
      <c r="AU1784" t="s">
        <v>68</v>
      </c>
      <c r="AV1784" t="s">
        <v>69</v>
      </c>
      <c r="AW1784" s="1">
        <v>24253</v>
      </c>
      <c r="AX1784">
        <v>2</v>
      </c>
    </row>
    <row r="1785" spans="1:50">
      <c r="A1785">
        <v>222628</v>
      </c>
      <c r="B1785" t="str">
        <f>"114274222"</f>
        <v>114274222</v>
      </c>
      <c r="C1785" t="s">
        <v>50</v>
      </c>
      <c r="D1785" t="s">
        <v>3827</v>
      </c>
      <c r="E1785" t="s">
        <v>3444</v>
      </c>
      <c r="F1785" t="s">
        <v>166</v>
      </c>
      <c r="G1785" t="s">
        <v>237</v>
      </c>
      <c r="H1785" t="str">
        <f>"ΚΑΜΠΟΣ ΑΓΙΟΥ ΣΥΛΛΑ ΗΡΑΚΛΕΙΟ"</f>
        <v>ΚΑΜΠΟΣ ΑΓΙΟΥ ΣΥΛΛΑ ΗΡΑΚΛΕΙΟ</v>
      </c>
      <c r="I1785">
        <v>71500</v>
      </c>
      <c r="J1785">
        <v>2810263224</v>
      </c>
      <c r="K1785">
        <v>6973012927</v>
      </c>
      <c r="M1785" t="s">
        <v>3828</v>
      </c>
      <c r="N1785" t="s">
        <v>146</v>
      </c>
      <c r="O1785" t="s">
        <v>147</v>
      </c>
      <c r="R1785" t="s">
        <v>57</v>
      </c>
      <c r="S1785">
        <v>5</v>
      </c>
      <c r="T1785">
        <v>775</v>
      </c>
      <c r="U1785" s="1">
        <v>39680</v>
      </c>
      <c r="V1785" t="s">
        <v>123</v>
      </c>
      <c r="W1785" t="s">
        <v>124</v>
      </c>
      <c r="X1785" t="s">
        <v>58</v>
      </c>
      <c r="Y1785">
        <v>21</v>
      </c>
      <c r="Z1785" t="s">
        <v>59</v>
      </c>
      <c r="AA1785" t="s">
        <v>59</v>
      </c>
      <c r="AB1785" t="s">
        <v>59</v>
      </c>
      <c r="AC1785" t="s">
        <v>59</v>
      </c>
      <c r="AD1785" t="s">
        <v>59</v>
      </c>
      <c r="AF1785" s="1">
        <v>39681</v>
      </c>
      <c r="AG1785" t="s">
        <v>148</v>
      </c>
      <c r="AH1785" t="s">
        <v>149</v>
      </c>
      <c r="AI1785" t="str">
        <f>"1761010"</f>
        <v>1761010</v>
      </c>
      <c r="AJ1785" t="s">
        <v>426</v>
      </c>
      <c r="AK1785">
        <v>2810741356</v>
      </c>
      <c r="AL1785" t="s">
        <v>427</v>
      </c>
      <c r="AM1785" t="s">
        <v>78</v>
      </c>
      <c r="AN1785" t="s">
        <v>424</v>
      </c>
      <c r="AO1785" t="s">
        <v>428</v>
      </c>
      <c r="AP1785" t="s">
        <v>429</v>
      </c>
      <c r="AQ1785">
        <v>14</v>
      </c>
      <c r="AR1785" t="s">
        <v>123</v>
      </c>
      <c r="AS1785" t="s">
        <v>124</v>
      </c>
      <c r="AT1785" t="s">
        <v>58</v>
      </c>
      <c r="AU1785" t="s">
        <v>68</v>
      </c>
      <c r="AV1785" t="s">
        <v>69</v>
      </c>
      <c r="AW1785" s="1">
        <v>29459</v>
      </c>
      <c r="AX1785">
        <v>2</v>
      </c>
    </row>
    <row r="1786" spans="1:50">
      <c r="A1786">
        <v>166546</v>
      </c>
      <c r="B1786" t="str">
        <f>"044832809"</f>
        <v>044832809</v>
      </c>
      <c r="C1786" t="s">
        <v>50</v>
      </c>
      <c r="D1786" t="s">
        <v>3827</v>
      </c>
      <c r="E1786" t="s">
        <v>215</v>
      </c>
      <c r="F1786" t="s">
        <v>95</v>
      </c>
      <c r="G1786" t="s">
        <v>52</v>
      </c>
      <c r="H1786" t="str">
        <f>" "</f>
        <v xml:space="preserve"> </v>
      </c>
      <c r="M1786" t="s">
        <v>3829</v>
      </c>
      <c r="N1786" t="s">
        <v>306</v>
      </c>
      <c r="O1786" t="s">
        <v>307</v>
      </c>
      <c r="R1786" t="s">
        <v>57</v>
      </c>
      <c r="S1786">
        <v>13</v>
      </c>
      <c r="T1786">
        <v>137</v>
      </c>
      <c r="U1786" s="1">
        <v>34206</v>
      </c>
      <c r="V1786" t="s">
        <v>123</v>
      </c>
      <c r="W1786" t="s">
        <v>124</v>
      </c>
      <c r="X1786" t="s">
        <v>58</v>
      </c>
      <c r="Y1786">
        <v>18</v>
      </c>
      <c r="Z1786" t="s">
        <v>59</v>
      </c>
      <c r="AA1786" t="s">
        <v>59</v>
      </c>
      <c r="AB1786" t="s">
        <v>59</v>
      </c>
      <c r="AC1786" t="s">
        <v>59</v>
      </c>
      <c r="AD1786" t="s">
        <v>59</v>
      </c>
      <c r="AF1786" s="1">
        <v>34218</v>
      </c>
      <c r="AG1786" t="s">
        <v>148</v>
      </c>
      <c r="AH1786" t="s">
        <v>149</v>
      </c>
      <c r="AI1786" t="str">
        <f>"1790100"</f>
        <v>1790100</v>
      </c>
      <c r="AJ1786" t="s">
        <v>252</v>
      </c>
      <c r="AK1786">
        <v>2810234876</v>
      </c>
      <c r="AL1786" t="s">
        <v>253</v>
      </c>
      <c r="AM1786" t="s">
        <v>78</v>
      </c>
      <c r="AN1786" t="s">
        <v>78</v>
      </c>
      <c r="AO1786" t="s">
        <v>78</v>
      </c>
      <c r="AP1786" t="s">
        <v>163</v>
      </c>
      <c r="AQ1786">
        <v>5</v>
      </c>
      <c r="AR1786" t="s">
        <v>123</v>
      </c>
      <c r="AS1786" t="s">
        <v>124</v>
      </c>
      <c r="AT1786" t="s">
        <v>58</v>
      </c>
      <c r="AU1786" t="s">
        <v>68</v>
      </c>
      <c r="AV1786" t="s">
        <v>69</v>
      </c>
      <c r="AW1786" s="1">
        <v>24394</v>
      </c>
      <c r="AX1786">
        <v>2</v>
      </c>
    </row>
    <row r="1787" spans="1:50">
      <c r="A1787">
        <v>153164</v>
      </c>
      <c r="B1787" t="str">
        <f>"027330271"</f>
        <v>027330271</v>
      </c>
      <c r="C1787" t="s">
        <v>105</v>
      </c>
      <c r="D1787" t="s">
        <v>3830</v>
      </c>
      <c r="E1787" t="s">
        <v>3049</v>
      </c>
      <c r="F1787" t="s">
        <v>166</v>
      </c>
      <c r="G1787" t="s">
        <v>2208</v>
      </c>
      <c r="H1787" t="str">
        <f>"ΛΕΥΘΕΡΑΙΟΥ 18 ΜΑΣΤΑΜΠΑΣ"</f>
        <v>ΛΕΥΘΕΡΑΙΟΥ 18 ΜΑΣΤΑΜΠΑΣ</v>
      </c>
      <c r="I1787">
        <v>71305</v>
      </c>
      <c r="J1787">
        <v>2810312492</v>
      </c>
      <c r="K1787">
        <v>6946991069</v>
      </c>
      <c r="M1787" t="s">
        <v>3831</v>
      </c>
      <c r="N1787" t="s">
        <v>232</v>
      </c>
      <c r="O1787" t="s">
        <v>233</v>
      </c>
      <c r="R1787" t="s">
        <v>57</v>
      </c>
      <c r="S1787">
        <v>16</v>
      </c>
      <c r="T1787">
        <v>166</v>
      </c>
      <c r="U1787" s="1">
        <v>32010</v>
      </c>
      <c r="V1787" t="s">
        <v>123</v>
      </c>
      <c r="W1787" t="s">
        <v>124</v>
      </c>
      <c r="X1787" t="s">
        <v>58</v>
      </c>
      <c r="Y1787">
        <v>18</v>
      </c>
      <c r="Z1787" t="s">
        <v>59</v>
      </c>
      <c r="AA1787" t="s">
        <v>59</v>
      </c>
      <c r="AB1787" t="s">
        <v>59</v>
      </c>
      <c r="AC1787" t="s">
        <v>59</v>
      </c>
      <c r="AD1787" t="s">
        <v>59</v>
      </c>
      <c r="AF1787" s="1">
        <v>32023</v>
      </c>
      <c r="AG1787" t="s">
        <v>125</v>
      </c>
      <c r="AH1787" t="s">
        <v>126</v>
      </c>
      <c r="AI1787" t="str">
        <f>"1701040"</f>
        <v>1701040</v>
      </c>
      <c r="AJ1787" t="s">
        <v>748</v>
      </c>
      <c r="AK1787">
        <v>2810252459</v>
      </c>
      <c r="AL1787" t="s">
        <v>749</v>
      </c>
      <c r="AM1787" t="s">
        <v>78</v>
      </c>
      <c r="AN1787" t="s">
        <v>78</v>
      </c>
      <c r="AO1787" t="s">
        <v>78</v>
      </c>
      <c r="AP1787" t="s">
        <v>141</v>
      </c>
      <c r="AQ1787">
        <v>3</v>
      </c>
      <c r="AR1787" t="s">
        <v>123</v>
      </c>
      <c r="AS1787" t="s">
        <v>124</v>
      </c>
      <c r="AT1787" t="s">
        <v>58</v>
      </c>
      <c r="AU1787" t="s">
        <v>68</v>
      </c>
      <c r="AV1787" t="s">
        <v>69</v>
      </c>
      <c r="AW1787" s="1">
        <v>20857</v>
      </c>
      <c r="AX1787">
        <v>2</v>
      </c>
    </row>
    <row r="1788" spans="1:50">
      <c r="A1788">
        <v>195398</v>
      </c>
      <c r="B1788" t="str">
        <f>"046499033"</f>
        <v>046499033</v>
      </c>
      <c r="C1788" t="s">
        <v>105</v>
      </c>
      <c r="D1788" t="s">
        <v>3830</v>
      </c>
      <c r="E1788" t="s">
        <v>166</v>
      </c>
      <c r="F1788" t="s">
        <v>95</v>
      </c>
      <c r="G1788" t="s">
        <v>52</v>
      </c>
      <c r="H1788" t="str">
        <f>"ΔΕΛΑΠΟΡΤΑ 3 ΗΡΑΚΛΕΙΟ"</f>
        <v>ΔΕΛΑΠΟΡΤΑ 3 ΗΡΑΚΛΕΙΟ</v>
      </c>
      <c r="J1788">
        <v>2810230129</v>
      </c>
      <c r="K1788">
        <v>6947725389</v>
      </c>
      <c r="M1788" t="s">
        <v>3832</v>
      </c>
      <c r="N1788" t="s">
        <v>146</v>
      </c>
      <c r="O1788" t="s">
        <v>147</v>
      </c>
      <c r="R1788" t="s">
        <v>57</v>
      </c>
      <c r="S1788">
        <v>8</v>
      </c>
      <c r="T1788">
        <v>194</v>
      </c>
      <c r="U1788" s="1">
        <v>37497</v>
      </c>
      <c r="V1788" t="s">
        <v>123</v>
      </c>
      <c r="W1788" t="s">
        <v>124</v>
      </c>
      <c r="X1788" t="s">
        <v>58</v>
      </c>
      <c r="Y1788">
        <v>20</v>
      </c>
      <c r="Z1788" t="s">
        <v>59</v>
      </c>
      <c r="AA1788" t="s">
        <v>59</v>
      </c>
      <c r="AB1788" t="s">
        <v>59</v>
      </c>
      <c r="AC1788" t="s">
        <v>59</v>
      </c>
      <c r="AD1788" t="s">
        <v>59</v>
      </c>
      <c r="AF1788" s="1">
        <v>37501</v>
      </c>
      <c r="AG1788" t="s">
        <v>125</v>
      </c>
      <c r="AH1788" t="s">
        <v>126</v>
      </c>
      <c r="AI1788" t="str">
        <f>"1701041"</f>
        <v>1701041</v>
      </c>
      <c r="AJ1788" t="s">
        <v>161</v>
      </c>
      <c r="AK1788">
        <v>2810327052</v>
      </c>
      <c r="AL1788" t="s">
        <v>162</v>
      </c>
      <c r="AM1788" t="s">
        <v>78</v>
      </c>
      <c r="AN1788" t="s">
        <v>78</v>
      </c>
      <c r="AO1788" t="s">
        <v>78</v>
      </c>
      <c r="AP1788" t="s">
        <v>163</v>
      </c>
      <c r="AQ1788">
        <v>5</v>
      </c>
      <c r="AR1788" t="s">
        <v>123</v>
      </c>
      <c r="AS1788" t="s">
        <v>124</v>
      </c>
      <c r="AT1788" t="s">
        <v>58</v>
      </c>
      <c r="AU1788" t="s">
        <v>68</v>
      </c>
      <c r="AV1788" t="s">
        <v>69</v>
      </c>
      <c r="AW1788" s="1">
        <v>25694</v>
      </c>
      <c r="AX1788">
        <v>2</v>
      </c>
    </row>
    <row r="1789" spans="1:50">
      <c r="A1789">
        <v>206130</v>
      </c>
      <c r="B1789" t="str">
        <f>"044734275"</f>
        <v>044734275</v>
      </c>
      <c r="C1789" t="s">
        <v>105</v>
      </c>
      <c r="D1789" t="s">
        <v>3830</v>
      </c>
      <c r="E1789" t="s">
        <v>53</v>
      </c>
      <c r="F1789" t="s">
        <v>920</v>
      </c>
      <c r="G1789" t="s">
        <v>52</v>
      </c>
      <c r="H1789" t="str">
        <f>" "</f>
        <v xml:space="preserve"> </v>
      </c>
      <c r="J1789">
        <v>2810234332</v>
      </c>
      <c r="K1789">
        <v>6938859520</v>
      </c>
      <c r="M1789" t="s">
        <v>3833</v>
      </c>
      <c r="N1789" t="s">
        <v>331</v>
      </c>
      <c r="O1789" t="s">
        <v>332</v>
      </c>
      <c r="R1789" t="s">
        <v>57</v>
      </c>
      <c r="S1789">
        <v>8</v>
      </c>
      <c r="T1789">
        <v>231</v>
      </c>
      <c r="U1789" s="1">
        <v>38230</v>
      </c>
      <c r="V1789" t="s">
        <v>123</v>
      </c>
      <c r="W1789" t="s">
        <v>124</v>
      </c>
      <c r="X1789" t="s">
        <v>58</v>
      </c>
      <c r="Y1789">
        <v>20</v>
      </c>
      <c r="Z1789" t="s">
        <v>59</v>
      </c>
      <c r="AA1789" t="s">
        <v>59</v>
      </c>
      <c r="AB1789" t="s">
        <v>59</v>
      </c>
      <c r="AC1789" t="s">
        <v>59</v>
      </c>
      <c r="AD1789" t="s">
        <v>59</v>
      </c>
      <c r="AF1789" s="1">
        <v>38239</v>
      </c>
      <c r="AG1789" t="s">
        <v>137</v>
      </c>
      <c r="AH1789" t="s">
        <v>469</v>
      </c>
      <c r="AI1789" t="str">
        <f>"1740200"</f>
        <v>1740200</v>
      </c>
      <c r="AJ1789" t="s">
        <v>470</v>
      </c>
      <c r="AK1789">
        <v>2810320770</v>
      </c>
      <c r="AL1789" t="s">
        <v>471</v>
      </c>
      <c r="AM1789" t="s">
        <v>78</v>
      </c>
      <c r="AN1789" t="s">
        <v>78</v>
      </c>
      <c r="AO1789" t="s">
        <v>78</v>
      </c>
      <c r="AP1789" t="s">
        <v>163</v>
      </c>
      <c r="AQ1789">
        <v>2</v>
      </c>
      <c r="AR1789" t="s">
        <v>123</v>
      </c>
      <c r="AS1789" t="s">
        <v>124</v>
      </c>
      <c r="AT1789" t="s">
        <v>58</v>
      </c>
      <c r="AU1789" t="s">
        <v>68</v>
      </c>
      <c r="AV1789" t="s">
        <v>69</v>
      </c>
      <c r="AW1789" s="1">
        <v>22824</v>
      </c>
      <c r="AX1789">
        <v>2</v>
      </c>
    </row>
    <row r="1790" spans="1:50">
      <c r="A1790">
        <v>905718</v>
      </c>
      <c r="B1790" t="str">
        <f>"027492929"</f>
        <v>027492929</v>
      </c>
      <c r="C1790" t="s">
        <v>105</v>
      </c>
      <c r="D1790" t="s">
        <v>3834</v>
      </c>
      <c r="E1790" t="s">
        <v>53</v>
      </c>
      <c r="F1790" t="s">
        <v>95</v>
      </c>
      <c r="G1790" t="s">
        <v>476</v>
      </c>
      <c r="H1790" t="str">
        <f>" "</f>
        <v xml:space="preserve"> </v>
      </c>
      <c r="N1790" t="s">
        <v>292</v>
      </c>
      <c r="O1790" t="s">
        <v>293</v>
      </c>
      <c r="R1790" t="s">
        <v>57</v>
      </c>
      <c r="S1790">
        <v>17</v>
      </c>
      <c r="T1790">
        <v>388</v>
      </c>
      <c r="U1790" s="1">
        <v>30650</v>
      </c>
      <c r="V1790" t="s">
        <v>123</v>
      </c>
      <c r="W1790" t="s">
        <v>124</v>
      </c>
      <c r="X1790" t="s">
        <v>58</v>
      </c>
      <c r="Y1790">
        <v>18</v>
      </c>
      <c r="Z1790" t="s">
        <v>59</v>
      </c>
      <c r="AA1790" t="s">
        <v>59</v>
      </c>
      <c r="AB1790" t="s">
        <v>59</v>
      </c>
      <c r="AC1790" t="s">
        <v>59</v>
      </c>
      <c r="AD1790" t="s">
        <v>59</v>
      </c>
      <c r="AF1790" s="1">
        <v>30650</v>
      </c>
      <c r="AG1790" t="s">
        <v>148</v>
      </c>
      <c r="AH1790" t="s">
        <v>149</v>
      </c>
      <c r="AI1790" t="str">
        <f>"1778010"</f>
        <v>1778010</v>
      </c>
      <c r="AJ1790" t="s">
        <v>672</v>
      </c>
      <c r="AK1790">
        <v>2810822455</v>
      </c>
      <c r="AL1790" t="s">
        <v>673</v>
      </c>
      <c r="AM1790" t="s">
        <v>78</v>
      </c>
      <c r="AN1790" t="s">
        <v>129</v>
      </c>
      <c r="AO1790" t="s">
        <v>130</v>
      </c>
      <c r="AP1790" t="s">
        <v>130</v>
      </c>
      <c r="AQ1790">
        <v>36</v>
      </c>
      <c r="AR1790" t="s">
        <v>123</v>
      </c>
      <c r="AS1790" t="s">
        <v>124</v>
      </c>
      <c r="AT1790" t="s">
        <v>58</v>
      </c>
      <c r="AU1790" t="s">
        <v>68</v>
      </c>
      <c r="AV1790" t="s">
        <v>69</v>
      </c>
      <c r="AW1790" s="1">
        <v>19643</v>
      </c>
      <c r="AX1790">
        <v>2</v>
      </c>
    </row>
    <row r="1791" spans="1:50">
      <c r="A1791">
        <v>226839</v>
      </c>
      <c r="B1791" t="str">
        <f>"104243249"</f>
        <v>104243249</v>
      </c>
      <c r="C1791" t="s">
        <v>50</v>
      </c>
      <c r="D1791" t="s">
        <v>3835</v>
      </c>
      <c r="E1791" t="s">
        <v>174</v>
      </c>
      <c r="F1791" t="s">
        <v>995</v>
      </c>
      <c r="G1791" t="s">
        <v>155</v>
      </c>
      <c r="H1791" t="str">
        <f>"ΑΓΙΟΥ ΔΗΜΗΤΡΙΟΥ 28 ΤΡΙΚΑΛΑ ΗΜΑΘΙΑΣ"</f>
        <v>ΑΓΙΟΥ ΔΗΜΗΤΡΙΟΥ 28 ΤΡΙΚΑΛΑ ΗΜΑΘΙΑΣ</v>
      </c>
      <c r="I1791">
        <v>59032</v>
      </c>
      <c r="J1791">
        <v>2333081406</v>
      </c>
      <c r="K1791">
        <v>6978353242</v>
      </c>
      <c r="M1791" t="s">
        <v>3836</v>
      </c>
      <c r="N1791" t="s">
        <v>146</v>
      </c>
      <c r="O1791" t="s">
        <v>147</v>
      </c>
      <c r="R1791" t="s">
        <v>57</v>
      </c>
      <c r="S1791">
        <v>4</v>
      </c>
      <c r="T1791">
        <v>654</v>
      </c>
      <c r="U1791" s="1">
        <v>40043</v>
      </c>
      <c r="V1791" t="s">
        <v>123</v>
      </c>
      <c r="W1791" t="s">
        <v>124</v>
      </c>
      <c r="X1791" t="s">
        <v>58</v>
      </c>
      <c r="Y1791">
        <v>21</v>
      </c>
      <c r="Z1791" t="s">
        <v>59</v>
      </c>
      <c r="AA1791" t="s">
        <v>59</v>
      </c>
      <c r="AB1791" t="s">
        <v>59</v>
      </c>
      <c r="AC1791" t="s">
        <v>59</v>
      </c>
      <c r="AD1791" t="s">
        <v>59</v>
      </c>
      <c r="AF1791" s="1">
        <v>40045</v>
      </c>
      <c r="AG1791" t="s">
        <v>125</v>
      </c>
      <c r="AH1791" t="s">
        <v>126</v>
      </c>
      <c r="AI1791" t="str">
        <f>"1713010"</f>
        <v>1713010</v>
      </c>
      <c r="AJ1791" t="s">
        <v>369</v>
      </c>
      <c r="AK1791">
        <v>2892051686</v>
      </c>
      <c r="AL1791" t="s">
        <v>370</v>
      </c>
      <c r="AM1791" t="s">
        <v>78</v>
      </c>
      <c r="AN1791" t="s">
        <v>242</v>
      </c>
      <c r="AO1791" t="s">
        <v>349</v>
      </c>
      <c r="AP1791" t="s">
        <v>349</v>
      </c>
      <c r="AQ1791">
        <v>35</v>
      </c>
      <c r="AR1791" t="s">
        <v>123</v>
      </c>
      <c r="AS1791" t="s">
        <v>124</v>
      </c>
      <c r="AT1791" t="s">
        <v>58</v>
      </c>
      <c r="AU1791" t="s">
        <v>68</v>
      </c>
      <c r="AV1791" t="s">
        <v>69</v>
      </c>
      <c r="AW1791" s="1">
        <v>27655</v>
      </c>
      <c r="AX1791">
        <v>2</v>
      </c>
    </row>
    <row r="1792" spans="1:50">
      <c r="A1792">
        <v>179758</v>
      </c>
      <c r="B1792" t="str">
        <f>"043108426"</f>
        <v>043108426</v>
      </c>
      <c r="C1792" t="s">
        <v>50</v>
      </c>
      <c r="D1792" t="s">
        <v>3837</v>
      </c>
      <c r="E1792" t="s">
        <v>155</v>
      </c>
      <c r="F1792" t="s">
        <v>154</v>
      </c>
      <c r="G1792" t="s">
        <v>396</v>
      </c>
      <c r="H1792" t="str">
        <f>" "</f>
        <v xml:space="preserve"> </v>
      </c>
      <c r="N1792" t="s">
        <v>146</v>
      </c>
      <c r="O1792" t="s">
        <v>147</v>
      </c>
      <c r="R1792" t="s">
        <v>57</v>
      </c>
      <c r="S1792">
        <v>11</v>
      </c>
      <c r="T1792">
        <v>164</v>
      </c>
      <c r="U1792" s="1">
        <v>36040</v>
      </c>
      <c r="V1792" t="s">
        <v>123</v>
      </c>
      <c r="W1792" t="s">
        <v>124</v>
      </c>
      <c r="X1792" t="s">
        <v>58</v>
      </c>
      <c r="Y1792">
        <v>18</v>
      </c>
      <c r="Z1792" t="s">
        <v>59</v>
      </c>
      <c r="AA1792" t="s">
        <v>59</v>
      </c>
      <c r="AB1792" t="s">
        <v>59</v>
      </c>
      <c r="AC1792" t="s">
        <v>59</v>
      </c>
      <c r="AD1792" t="s">
        <v>59</v>
      </c>
      <c r="AF1792" s="1">
        <v>36045</v>
      </c>
      <c r="AG1792" t="s">
        <v>137</v>
      </c>
      <c r="AH1792" t="s">
        <v>138</v>
      </c>
      <c r="AI1792" t="str">
        <f>"1740100"</f>
        <v>1740100</v>
      </c>
      <c r="AJ1792" t="s">
        <v>857</v>
      </c>
      <c r="AK1792">
        <v>2810360741</v>
      </c>
      <c r="AL1792" t="s">
        <v>858</v>
      </c>
      <c r="AM1792" t="s">
        <v>78</v>
      </c>
      <c r="AN1792" t="s">
        <v>78</v>
      </c>
      <c r="AO1792" t="s">
        <v>78</v>
      </c>
      <c r="AP1792" t="s">
        <v>163</v>
      </c>
      <c r="AQ1792">
        <v>5</v>
      </c>
      <c r="AR1792" t="s">
        <v>123</v>
      </c>
      <c r="AS1792" t="s">
        <v>124</v>
      </c>
      <c r="AT1792" t="s">
        <v>58</v>
      </c>
      <c r="AU1792" t="s">
        <v>68</v>
      </c>
      <c r="AV1792" t="s">
        <v>69</v>
      </c>
      <c r="AW1792" s="1">
        <v>24358</v>
      </c>
      <c r="AX1792">
        <v>2</v>
      </c>
    </row>
    <row r="1793" spans="1:50">
      <c r="A1793">
        <v>219668</v>
      </c>
      <c r="B1793" t="str">
        <f>"073407394"</f>
        <v>073407394</v>
      </c>
      <c r="C1793" t="s">
        <v>50</v>
      </c>
      <c r="D1793" t="s">
        <v>3837</v>
      </c>
      <c r="E1793" t="s">
        <v>2845</v>
      </c>
      <c r="F1793" t="s">
        <v>99</v>
      </c>
      <c r="G1793" t="s">
        <v>83</v>
      </c>
      <c r="H1793" t="str">
        <f>"Βραχόκηπος Κοκκίνη Χάνι"</f>
        <v>Βραχόκηπος Κοκκίνη Χάνι</v>
      </c>
      <c r="I1793">
        <v>71500</v>
      </c>
      <c r="J1793">
        <v>2810231893</v>
      </c>
      <c r="K1793">
        <v>6945755305</v>
      </c>
      <c r="M1793" t="s">
        <v>3838</v>
      </c>
      <c r="N1793" t="s">
        <v>299</v>
      </c>
      <c r="O1793" t="s">
        <v>300</v>
      </c>
      <c r="P1793" t="s">
        <v>1116</v>
      </c>
      <c r="Q1793" t="s">
        <v>1117</v>
      </c>
      <c r="R1793" t="s">
        <v>57</v>
      </c>
      <c r="S1793">
        <v>9</v>
      </c>
      <c r="T1793">
        <v>599</v>
      </c>
      <c r="U1793" s="1">
        <v>39310</v>
      </c>
      <c r="V1793" t="s">
        <v>123</v>
      </c>
      <c r="W1793" t="s">
        <v>124</v>
      </c>
      <c r="X1793" t="s">
        <v>58</v>
      </c>
      <c r="Y1793">
        <v>21</v>
      </c>
      <c r="Z1793" t="s">
        <v>59</v>
      </c>
      <c r="AA1793" t="s">
        <v>59</v>
      </c>
      <c r="AB1793" t="s">
        <v>59</v>
      </c>
      <c r="AC1793" t="s">
        <v>59</v>
      </c>
      <c r="AD1793" t="s">
        <v>59</v>
      </c>
      <c r="AF1793" s="1">
        <v>39328</v>
      </c>
      <c r="AG1793" t="s">
        <v>148</v>
      </c>
      <c r="AH1793" t="s">
        <v>149</v>
      </c>
      <c r="AI1793" t="str">
        <f>"1771010"</f>
        <v>1771010</v>
      </c>
      <c r="AJ1793" t="s">
        <v>915</v>
      </c>
      <c r="AK1793">
        <v>2892031290</v>
      </c>
      <c r="AL1793" t="s">
        <v>916</v>
      </c>
      <c r="AM1793" t="s">
        <v>78</v>
      </c>
      <c r="AN1793" t="s">
        <v>405</v>
      </c>
      <c r="AO1793" t="s">
        <v>405</v>
      </c>
      <c r="AP1793" t="s">
        <v>464</v>
      </c>
      <c r="AQ1793">
        <v>33</v>
      </c>
      <c r="AR1793" t="s">
        <v>123</v>
      </c>
      <c r="AS1793" t="s">
        <v>124</v>
      </c>
      <c r="AT1793" t="s">
        <v>58</v>
      </c>
      <c r="AU1793" t="s">
        <v>68</v>
      </c>
      <c r="AV1793" t="s">
        <v>357</v>
      </c>
      <c r="AW1793" s="1">
        <v>28271</v>
      </c>
      <c r="AX1793">
        <v>2</v>
      </c>
    </row>
    <row r="1794" spans="1:50">
      <c r="A1794">
        <v>180289</v>
      </c>
      <c r="B1794" t="str">
        <f>"044835326"</f>
        <v>044835326</v>
      </c>
      <c r="C1794" t="s">
        <v>50</v>
      </c>
      <c r="D1794" t="s">
        <v>3837</v>
      </c>
      <c r="E1794" t="s">
        <v>905</v>
      </c>
      <c r="F1794" t="s">
        <v>72</v>
      </c>
      <c r="G1794" t="s">
        <v>52</v>
      </c>
      <c r="H1794" t="str">
        <f>" "</f>
        <v xml:space="preserve"> </v>
      </c>
      <c r="N1794" t="s">
        <v>292</v>
      </c>
      <c r="O1794" t="s">
        <v>293</v>
      </c>
      <c r="R1794" t="s">
        <v>57</v>
      </c>
      <c r="S1794">
        <v>11</v>
      </c>
      <c r="T1794">
        <v>164</v>
      </c>
      <c r="U1794" s="1">
        <v>36040</v>
      </c>
      <c r="V1794" t="s">
        <v>123</v>
      </c>
      <c r="W1794" t="s">
        <v>124</v>
      </c>
      <c r="X1794" t="s">
        <v>58</v>
      </c>
      <c r="Y1794">
        <v>18</v>
      </c>
      <c r="Z1794" t="s">
        <v>59</v>
      </c>
      <c r="AA1794" t="s">
        <v>59</v>
      </c>
      <c r="AB1794" t="s">
        <v>59</v>
      </c>
      <c r="AC1794" t="s">
        <v>59</v>
      </c>
      <c r="AD1794" t="s">
        <v>59</v>
      </c>
      <c r="AF1794" s="1">
        <v>36040</v>
      </c>
      <c r="AG1794" t="s">
        <v>148</v>
      </c>
      <c r="AH1794" t="s">
        <v>149</v>
      </c>
      <c r="AI1794" t="str">
        <f>"1778010"</f>
        <v>1778010</v>
      </c>
      <c r="AJ1794" t="s">
        <v>672</v>
      </c>
      <c r="AK1794">
        <v>2810822455</v>
      </c>
      <c r="AL1794" t="s">
        <v>673</v>
      </c>
      <c r="AM1794" t="s">
        <v>78</v>
      </c>
      <c r="AN1794" t="s">
        <v>129</v>
      </c>
      <c r="AO1794" t="s">
        <v>130</v>
      </c>
      <c r="AP1794" t="s">
        <v>130</v>
      </c>
      <c r="AQ1794">
        <v>36</v>
      </c>
      <c r="AR1794" t="s">
        <v>123</v>
      </c>
      <c r="AS1794" t="s">
        <v>124</v>
      </c>
      <c r="AT1794" t="s">
        <v>58</v>
      </c>
      <c r="AU1794" t="s">
        <v>68</v>
      </c>
      <c r="AV1794" t="s">
        <v>69</v>
      </c>
      <c r="AW1794" s="1">
        <v>21540</v>
      </c>
      <c r="AX1794">
        <v>2</v>
      </c>
    </row>
    <row r="1795" spans="1:50">
      <c r="A1795">
        <v>180290</v>
      </c>
      <c r="B1795" t="str">
        <f>"040390679"</f>
        <v>040390679</v>
      </c>
      <c r="C1795" t="s">
        <v>50</v>
      </c>
      <c r="D1795" t="s">
        <v>3837</v>
      </c>
      <c r="E1795" t="s">
        <v>52</v>
      </c>
      <c r="F1795" t="s">
        <v>95</v>
      </c>
      <c r="G1795" t="s">
        <v>96</v>
      </c>
      <c r="H1795" t="str">
        <f>" "</f>
        <v xml:space="preserve"> </v>
      </c>
      <c r="N1795" t="s">
        <v>292</v>
      </c>
      <c r="O1795" t="s">
        <v>293</v>
      </c>
      <c r="R1795" t="s">
        <v>57</v>
      </c>
      <c r="S1795">
        <v>13</v>
      </c>
      <c r="T1795">
        <v>164</v>
      </c>
      <c r="U1795" s="1">
        <v>36040</v>
      </c>
      <c r="V1795" t="s">
        <v>123</v>
      </c>
      <c r="W1795" t="s">
        <v>124</v>
      </c>
      <c r="X1795" t="s">
        <v>58</v>
      </c>
      <c r="Y1795">
        <v>18</v>
      </c>
      <c r="Z1795" t="s">
        <v>59</v>
      </c>
      <c r="AA1795" t="s">
        <v>59</v>
      </c>
      <c r="AB1795" t="s">
        <v>59</v>
      </c>
      <c r="AC1795" t="s">
        <v>59</v>
      </c>
      <c r="AD1795" t="s">
        <v>59</v>
      </c>
      <c r="AF1795" s="1">
        <v>36040</v>
      </c>
      <c r="AG1795" t="s">
        <v>148</v>
      </c>
      <c r="AH1795" t="s">
        <v>149</v>
      </c>
      <c r="AI1795" t="str">
        <f>"1751020"</f>
        <v>1751020</v>
      </c>
      <c r="AJ1795" t="s">
        <v>532</v>
      </c>
      <c r="AK1795">
        <v>2810372732</v>
      </c>
      <c r="AL1795" t="s">
        <v>533</v>
      </c>
      <c r="AM1795" t="s">
        <v>78</v>
      </c>
      <c r="AN1795" t="s">
        <v>78</v>
      </c>
      <c r="AO1795" t="s">
        <v>78</v>
      </c>
      <c r="AP1795" t="s">
        <v>163</v>
      </c>
      <c r="AQ1795">
        <v>3</v>
      </c>
      <c r="AR1795" t="s">
        <v>123</v>
      </c>
      <c r="AS1795" t="s">
        <v>124</v>
      </c>
      <c r="AT1795" t="s">
        <v>58</v>
      </c>
      <c r="AU1795" t="s">
        <v>68</v>
      </c>
      <c r="AV1795" t="s">
        <v>69</v>
      </c>
      <c r="AW1795" s="1">
        <v>22724</v>
      </c>
      <c r="AX1795">
        <v>2</v>
      </c>
    </row>
    <row r="1796" spans="1:50">
      <c r="A1796">
        <v>228368</v>
      </c>
      <c r="B1796" t="str">
        <f>"100616909"</f>
        <v>100616909</v>
      </c>
      <c r="C1796" t="s">
        <v>105</v>
      </c>
      <c r="D1796" t="s">
        <v>3839</v>
      </c>
      <c r="E1796" t="s">
        <v>53</v>
      </c>
      <c r="F1796" t="s">
        <v>95</v>
      </c>
      <c r="G1796" t="s">
        <v>1644</v>
      </c>
      <c r="H1796" t="str">
        <f>"ΑΝΟΙΞΗΣ 6 ΗΡΑΚΛΕΙΟ"</f>
        <v>ΑΝΟΙΞΗΣ 6 ΗΡΑΚΛΕΙΟ</v>
      </c>
      <c r="I1796">
        <v>71414</v>
      </c>
      <c r="K1796">
        <v>6977324961</v>
      </c>
      <c r="M1796" t="s">
        <v>3840</v>
      </c>
      <c r="N1796" t="s">
        <v>2713</v>
      </c>
      <c r="O1796" t="s">
        <v>2714</v>
      </c>
      <c r="P1796" t="s">
        <v>168</v>
      </c>
      <c r="Q1796" t="s">
        <v>169</v>
      </c>
      <c r="R1796" t="s">
        <v>57</v>
      </c>
      <c r="S1796">
        <v>5</v>
      </c>
      <c r="T1796">
        <v>654</v>
      </c>
      <c r="U1796" s="1">
        <v>40043</v>
      </c>
      <c r="V1796" t="s">
        <v>123</v>
      </c>
      <c r="W1796" t="s">
        <v>124</v>
      </c>
      <c r="X1796" t="s">
        <v>58</v>
      </c>
      <c r="Y1796">
        <v>21</v>
      </c>
      <c r="Z1796" t="s">
        <v>59</v>
      </c>
      <c r="AA1796" t="s">
        <v>59</v>
      </c>
      <c r="AB1796" t="s">
        <v>59</v>
      </c>
      <c r="AC1796" t="s">
        <v>59</v>
      </c>
      <c r="AD1796" t="s">
        <v>59</v>
      </c>
      <c r="AF1796" s="1">
        <v>40043</v>
      </c>
      <c r="AG1796" t="s">
        <v>137</v>
      </c>
      <c r="AH1796" t="s">
        <v>138</v>
      </c>
      <c r="AI1796" t="str">
        <f>"1740100"</f>
        <v>1740100</v>
      </c>
      <c r="AJ1796" t="s">
        <v>857</v>
      </c>
      <c r="AK1796">
        <v>2810360741</v>
      </c>
      <c r="AL1796" t="s">
        <v>858</v>
      </c>
      <c r="AM1796" t="s">
        <v>78</v>
      </c>
      <c r="AN1796" t="s">
        <v>78</v>
      </c>
      <c r="AO1796" t="s">
        <v>78</v>
      </c>
      <c r="AP1796" t="s">
        <v>163</v>
      </c>
      <c r="AQ1796">
        <v>5</v>
      </c>
      <c r="AR1796" t="s">
        <v>123</v>
      </c>
      <c r="AS1796" t="s">
        <v>124</v>
      </c>
      <c r="AT1796" t="s">
        <v>58</v>
      </c>
      <c r="AU1796" t="s">
        <v>68</v>
      </c>
      <c r="AV1796" t="s">
        <v>69</v>
      </c>
      <c r="AW1796" s="1">
        <v>26009</v>
      </c>
      <c r="AX1796">
        <v>2</v>
      </c>
    </row>
    <row r="1797" spans="1:50">
      <c r="A1797">
        <v>184718</v>
      </c>
      <c r="B1797" t="str">
        <f>"035854527"</f>
        <v>035854527</v>
      </c>
      <c r="C1797" t="s">
        <v>105</v>
      </c>
      <c r="D1797" t="s">
        <v>3841</v>
      </c>
      <c r="E1797" t="s">
        <v>965</v>
      </c>
      <c r="F1797" t="s">
        <v>99</v>
      </c>
      <c r="G1797" t="s">
        <v>1306</v>
      </c>
      <c r="H1797" t="str">
        <f>" "</f>
        <v xml:space="preserve"> </v>
      </c>
      <c r="M1797" t="s">
        <v>3842</v>
      </c>
      <c r="N1797" t="s">
        <v>299</v>
      </c>
      <c r="O1797" t="s">
        <v>300</v>
      </c>
      <c r="P1797" t="s">
        <v>176</v>
      </c>
      <c r="Q1797" t="s">
        <v>177</v>
      </c>
      <c r="R1797" t="s">
        <v>57</v>
      </c>
      <c r="S1797">
        <v>15</v>
      </c>
      <c r="T1797">
        <v>177</v>
      </c>
      <c r="U1797" s="1">
        <v>36403</v>
      </c>
      <c r="V1797" t="s">
        <v>123</v>
      </c>
      <c r="W1797" t="s">
        <v>124</v>
      </c>
      <c r="X1797" t="s">
        <v>58</v>
      </c>
      <c r="Y1797">
        <v>18</v>
      </c>
      <c r="Z1797" t="s">
        <v>59</v>
      </c>
      <c r="AA1797" t="s">
        <v>59</v>
      </c>
      <c r="AB1797" t="s">
        <v>59</v>
      </c>
      <c r="AC1797" t="s">
        <v>59</v>
      </c>
      <c r="AD1797" t="s">
        <v>59</v>
      </c>
      <c r="AF1797" s="1">
        <v>36404</v>
      </c>
      <c r="AG1797" t="s">
        <v>137</v>
      </c>
      <c r="AH1797" t="s">
        <v>138</v>
      </c>
      <c r="AI1797" t="str">
        <f>"1740080"</f>
        <v>1740080</v>
      </c>
      <c r="AJ1797" t="s">
        <v>284</v>
      </c>
      <c r="AK1797">
        <v>2810220433</v>
      </c>
      <c r="AL1797" t="s">
        <v>285</v>
      </c>
      <c r="AM1797" t="s">
        <v>78</v>
      </c>
      <c r="AN1797" t="s">
        <v>78</v>
      </c>
      <c r="AO1797" t="s">
        <v>286</v>
      </c>
      <c r="AP1797" t="s">
        <v>286</v>
      </c>
      <c r="AQ1797">
        <v>12</v>
      </c>
      <c r="AR1797" t="s">
        <v>123</v>
      </c>
      <c r="AS1797" t="s">
        <v>124</v>
      </c>
      <c r="AT1797" t="s">
        <v>58</v>
      </c>
      <c r="AU1797" t="s">
        <v>68</v>
      </c>
      <c r="AV1797" t="s">
        <v>69</v>
      </c>
      <c r="AW1797" s="1">
        <v>21126</v>
      </c>
      <c r="AX1797">
        <v>2</v>
      </c>
    </row>
    <row r="1798" spans="1:50">
      <c r="A1798">
        <v>229691</v>
      </c>
      <c r="B1798" t="str">
        <f>"130486058"</f>
        <v>130486058</v>
      </c>
      <c r="C1798" t="s">
        <v>105</v>
      </c>
      <c r="D1798" t="s">
        <v>3843</v>
      </c>
      <c r="E1798" t="s">
        <v>383</v>
      </c>
      <c r="F1798" t="s">
        <v>84</v>
      </c>
      <c r="G1798" t="s">
        <v>3844</v>
      </c>
      <c r="H1798" t="str">
        <f>"ΣΤΕΦΑΝΟΥ ΝΙΚΑΛΑΪΔΗ 33 ΗΡΑΚΛΕΙΟ"</f>
        <v>ΣΤΕΦΑΝΟΥ ΝΙΚΑΛΑΪΔΗ 33 ΗΡΑΚΛΕΙΟ</v>
      </c>
      <c r="I1798">
        <v>71305</v>
      </c>
      <c r="J1798">
        <v>2810319376</v>
      </c>
      <c r="K1798">
        <v>6982477294</v>
      </c>
      <c r="N1798" t="s">
        <v>331</v>
      </c>
      <c r="O1798" t="s">
        <v>332</v>
      </c>
      <c r="R1798" t="s">
        <v>57</v>
      </c>
      <c r="S1798">
        <v>6</v>
      </c>
      <c r="T1798">
        <v>988</v>
      </c>
      <c r="U1798" s="1">
        <v>40157</v>
      </c>
      <c r="V1798" t="s">
        <v>123</v>
      </c>
      <c r="W1798" t="s">
        <v>124</v>
      </c>
      <c r="X1798" t="s">
        <v>58</v>
      </c>
      <c r="Y1798">
        <v>21</v>
      </c>
      <c r="Z1798" t="s">
        <v>59</v>
      </c>
      <c r="AA1798" t="s">
        <v>59</v>
      </c>
      <c r="AB1798" t="s">
        <v>59</v>
      </c>
      <c r="AC1798" t="s">
        <v>59</v>
      </c>
      <c r="AD1798" t="s">
        <v>59</v>
      </c>
      <c r="AF1798" s="1">
        <v>40162</v>
      </c>
      <c r="AG1798" t="s">
        <v>137</v>
      </c>
      <c r="AH1798" t="s">
        <v>138</v>
      </c>
      <c r="AI1798" t="str">
        <f>"1740210"</f>
        <v>1740210</v>
      </c>
      <c r="AJ1798" t="s">
        <v>139</v>
      </c>
      <c r="AK1798">
        <v>2810318130</v>
      </c>
      <c r="AL1798" t="s">
        <v>140</v>
      </c>
      <c r="AM1798" t="s">
        <v>78</v>
      </c>
      <c r="AN1798" t="s">
        <v>78</v>
      </c>
      <c r="AO1798" t="s">
        <v>78</v>
      </c>
      <c r="AP1798" t="s">
        <v>141</v>
      </c>
      <c r="AQ1798">
        <v>7</v>
      </c>
      <c r="AR1798" t="s">
        <v>123</v>
      </c>
      <c r="AS1798" t="s">
        <v>124</v>
      </c>
      <c r="AT1798" t="s">
        <v>58</v>
      </c>
      <c r="AU1798" t="s">
        <v>68</v>
      </c>
      <c r="AV1798" t="s">
        <v>69</v>
      </c>
      <c r="AW1798" s="1">
        <v>28417</v>
      </c>
      <c r="AX1798">
        <v>2</v>
      </c>
    </row>
    <row r="1799" spans="1:50">
      <c r="A1799">
        <v>153498</v>
      </c>
      <c r="B1799" t="str">
        <f>"034667540"</f>
        <v>034667540</v>
      </c>
      <c r="C1799" t="s">
        <v>50</v>
      </c>
      <c r="D1799" t="s">
        <v>3845</v>
      </c>
      <c r="E1799" t="s">
        <v>83</v>
      </c>
      <c r="F1799" t="s">
        <v>99</v>
      </c>
      <c r="G1799" t="s">
        <v>93</v>
      </c>
      <c r="H1799" t="str">
        <f>"ΕΣΤΙΑΣ 4 "</f>
        <v xml:space="preserve">ΕΣΤΙΑΣ 4 </v>
      </c>
      <c r="I1799">
        <v>71307</v>
      </c>
      <c r="J1799">
        <v>2810238684</v>
      </c>
      <c r="K1799">
        <v>6976096709</v>
      </c>
      <c r="M1799" t="s">
        <v>3846</v>
      </c>
      <c r="N1799" t="s">
        <v>146</v>
      </c>
      <c r="O1799" t="s">
        <v>147</v>
      </c>
      <c r="R1799" t="s">
        <v>57</v>
      </c>
      <c r="S1799">
        <v>14</v>
      </c>
      <c r="T1799">
        <v>139</v>
      </c>
      <c r="U1799" s="1">
        <v>32366</v>
      </c>
      <c r="V1799" t="s">
        <v>123</v>
      </c>
      <c r="W1799" t="s">
        <v>124</v>
      </c>
      <c r="X1799" t="s">
        <v>58</v>
      </c>
      <c r="Y1799">
        <v>18</v>
      </c>
      <c r="Z1799" t="s">
        <v>59</v>
      </c>
      <c r="AA1799" t="s">
        <v>59</v>
      </c>
      <c r="AB1799" t="s">
        <v>59</v>
      </c>
      <c r="AC1799" t="s">
        <v>59</v>
      </c>
      <c r="AD1799" t="s">
        <v>59</v>
      </c>
      <c r="AF1799" s="1">
        <v>32391</v>
      </c>
      <c r="AG1799" t="s">
        <v>148</v>
      </c>
      <c r="AH1799" t="s">
        <v>149</v>
      </c>
      <c r="AI1799" t="str">
        <f>"1751010"</f>
        <v>1751010</v>
      </c>
      <c r="AJ1799" t="s">
        <v>150</v>
      </c>
      <c r="AK1799">
        <v>2810346092</v>
      </c>
      <c r="AL1799" t="s">
        <v>151</v>
      </c>
      <c r="AM1799" t="s">
        <v>78</v>
      </c>
      <c r="AN1799" t="s">
        <v>78</v>
      </c>
      <c r="AO1799" t="s">
        <v>78</v>
      </c>
      <c r="AP1799" t="s">
        <v>79</v>
      </c>
      <c r="AQ1799">
        <v>1</v>
      </c>
      <c r="AR1799" t="s">
        <v>123</v>
      </c>
      <c r="AS1799" t="s">
        <v>124</v>
      </c>
      <c r="AT1799" t="s">
        <v>58</v>
      </c>
      <c r="AU1799" t="s">
        <v>68</v>
      </c>
      <c r="AV1799" t="s">
        <v>69</v>
      </c>
      <c r="AW1799" s="1">
        <v>21833</v>
      </c>
      <c r="AX1799">
        <v>2</v>
      </c>
    </row>
    <row r="1800" spans="1:50">
      <c r="A1800">
        <v>193263</v>
      </c>
      <c r="B1800" t="str">
        <f>"051834368"</f>
        <v>051834368</v>
      </c>
      <c r="C1800" t="s">
        <v>50</v>
      </c>
      <c r="D1800" t="s">
        <v>3845</v>
      </c>
      <c r="E1800" t="s">
        <v>103</v>
      </c>
      <c r="F1800" t="s">
        <v>166</v>
      </c>
      <c r="G1800" t="s">
        <v>263</v>
      </c>
      <c r="H1800" t="str">
        <f>"ΜΙΝΩΟΣ 84 ΚΑΙ ΜΙΧΑΗΛ ΑΡΧΑΓΓΕΛΟΥ "</f>
        <v xml:space="preserve">ΜΙΝΩΟΣ 84 ΚΑΙ ΜΙΧΑΗΛ ΑΡΧΑΓΓΕΛΟΥ </v>
      </c>
      <c r="I1800">
        <v>71304</v>
      </c>
      <c r="J1800">
        <v>2810258579</v>
      </c>
      <c r="K1800">
        <v>6979926660</v>
      </c>
      <c r="M1800" t="s">
        <v>3847</v>
      </c>
      <c r="N1800" t="s">
        <v>146</v>
      </c>
      <c r="O1800" t="s">
        <v>147</v>
      </c>
      <c r="R1800" t="s">
        <v>57</v>
      </c>
      <c r="S1800">
        <v>11</v>
      </c>
      <c r="T1800">
        <v>193</v>
      </c>
      <c r="U1800" s="1">
        <v>37497</v>
      </c>
      <c r="V1800" t="s">
        <v>123</v>
      </c>
      <c r="W1800" t="s">
        <v>124</v>
      </c>
      <c r="X1800" t="s">
        <v>58</v>
      </c>
      <c r="Y1800">
        <v>18</v>
      </c>
      <c r="Z1800" t="s">
        <v>59</v>
      </c>
      <c r="AA1800" t="s">
        <v>59</v>
      </c>
      <c r="AB1800" t="s">
        <v>59</v>
      </c>
      <c r="AC1800" t="s">
        <v>59</v>
      </c>
      <c r="AD1800" t="s">
        <v>59</v>
      </c>
      <c r="AF1800" s="1">
        <v>37501</v>
      </c>
      <c r="AG1800" t="s">
        <v>125</v>
      </c>
      <c r="AH1800" t="s">
        <v>126</v>
      </c>
      <c r="AI1800" t="str">
        <f>"1701053"</f>
        <v>1701053</v>
      </c>
      <c r="AJ1800" t="s">
        <v>398</v>
      </c>
      <c r="AK1800">
        <v>2810251434</v>
      </c>
      <c r="AL1800" t="s">
        <v>399</v>
      </c>
      <c r="AM1800" t="s">
        <v>78</v>
      </c>
      <c r="AN1800" t="s">
        <v>78</v>
      </c>
      <c r="AO1800" t="s">
        <v>78</v>
      </c>
      <c r="AP1800" t="s">
        <v>141</v>
      </c>
      <c r="AQ1800">
        <v>7</v>
      </c>
      <c r="AR1800" t="s">
        <v>123</v>
      </c>
      <c r="AS1800" t="s">
        <v>124</v>
      </c>
      <c r="AT1800" t="s">
        <v>58</v>
      </c>
      <c r="AU1800" t="s">
        <v>68</v>
      </c>
      <c r="AV1800" t="s">
        <v>69</v>
      </c>
      <c r="AW1800" s="1">
        <v>24679</v>
      </c>
      <c r="AX1800">
        <v>2</v>
      </c>
    </row>
    <row r="1801" spans="1:50">
      <c r="A1801">
        <v>222636</v>
      </c>
      <c r="B1801" t="str">
        <f>"103810982"</f>
        <v>103810982</v>
      </c>
      <c r="C1801" t="s">
        <v>105</v>
      </c>
      <c r="D1801" t="s">
        <v>3848</v>
      </c>
      <c r="E1801" t="s">
        <v>760</v>
      </c>
      <c r="F1801" t="s">
        <v>72</v>
      </c>
      <c r="G1801" t="s">
        <v>143</v>
      </c>
      <c r="H1801" t="str">
        <f>"ΦΟΙΝΙΚΟΣ 22 ΗΡΑΚΛΕΙΟ "</f>
        <v xml:space="preserve">ΦΟΙΝΙΚΟΣ 22 ΗΡΑΚΛΕΙΟ </v>
      </c>
      <c r="J1801">
        <v>2815102294</v>
      </c>
      <c r="K1801">
        <v>6944900184</v>
      </c>
      <c r="M1801" t="s">
        <v>3849</v>
      </c>
      <c r="N1801" t="s">
        <v>146</v>
      </c>
      <c r="O1801" t="s">
        <v>147</v>
      </c>
      <c r="R1801" t="s">
        <v>57</v>
      </c>
      <c r="S1801">
        <v>5</v>
      </c>
      <c r="T1801">
        <v>775</v>
      </c>
      <c r="U1801" s="1">
        <v>39680</v>
      </c>
      <c r="V1801" t="s">
        <v>123</v>
      </c>
      <c r="W1801" t="s">
        <v>124</v>
      </c>
      <c r="X1801" t="s">
        <v>58</v>
      </c>
      <c r="Y1801">
        <v>21</v>
      </c>
      <c r="Z1801" t="s">
        <v>59</v>
      </c>
      <c r="AA1801" t="s">
        <v>59</v>
      </c>
      <c r="AB1801" t="s">
        <v>59</v>
      </c>
      <c r="AC1801" t="s">
        <v>59</v>
      </c>
      <c r="AD1801" t="s">
        <v>59</v>
      </c>
      <c r="AF1801" s="1">
        <v>39681</v>
      </c>
      <c r="AG1801" t="s">
        <v>148</v>
      </c>
      <c r="AH1801" t="s">
        <v>149</v>
      </c>
      <c r="AI1801" t="str">
        <f>"1771010"</f>
        <v>1771010</v>
      </c>
      <c r="AJ1801" t="s">
        <v>915</v>
      </c>
      <c r="AK1801">
        <v>2892031290</v>
      </c>
      <c r="AL1801" t="s">
        <v>916</v>
      </c>
      <c r="AM1801" t="s">
        <v>78</v>
      </c>
      <c r="AN1801" t="s">
        <v>405</v>
      </c>
      <c r="AO1801" t="s">
        <v>405</v>
      </c>
      <c r="AP1801" t="s">
        <v>464</v>
      </c>
      <c r="AQ1801">
        <v>33</v>
      </c>
      <c r="AR1801" t="s">
        <v>123</v>
      </c>
      <c r="AS1801" t="s">
        <v>124</v>
      </c>
      <c r="AT1801" t="s">
        <v>58</v>
      </c>
      <c r="AU1801" t="s">
        <v>68</v>
      </c>
      <c r="AV1801" t="s">
        <v>69</v>
      </c>
      <c r="AW1801" s="1">
        <v>29149</v>
      </c>
      <c r="AX1801">
        <v>2</v>
      </c>
    </row>
    <row r="1802" spans="1:50">
      <c r="A1802">
        <v>220581</v>
      </c>
      <c r="B1802" t="str">
        <f>"103811002"</f>
        <v>103811002</v>
      </c>
      <c r="C1802" t="s">
        <v>105</v>
      </c>
      <c r="D1802" t="s">
        <v>3848</v>
      </c>
      <c r="E1802" t="s">
        <v>154</v>
      </c>
      <c r="F1802" t="s">
        <v>72</v>
      </c>
      <c r="G1802" t="s">
        <v>143</v>
      </c>
      <c r="H1802" t="str">
        <f>"Πλαγιωτάκη 13 και Παστρικάκη ΗΡΑΚΛΕΙΟ"</f>
        <v>Πλαγιωτάκη 13 και Παστρικάκη ΗΡΑΚΛΕΙΟ</v>
      </c>
      <c r="I1802">
        <v>71304</v>
      </c>
      <c r="J1802">
        <v>2813014943</v>
      </c>
      <c r="K1802">
        <v>6973733831</v>
      </c>
      <c r="L1802">
        <v>2813014943</v>
      </c>
      <c r="M1802" t="s">
        <v>3850</v>
      </c>
      <c r="N1802" t="s">
        <v>146</v>
      </c>
      <c r="O1802" t="s">
        <v>147</v>
      </c>
      <c r="R1802" t="s">
        <v>57</v>
      </c>
      <c r="S1802">
        <v>7</v>
      </c>
      <c r="T1802">
        <v>681</v>
      </c>
      <c r="U1802" s="1">
        <v>39325</v>
      </c>
      <c r="V1802" t="s">
        <v>123</v>
      </c>
      <c r="W1802" t="s">
        <v>124</v>
      </c>
      <c r="X1802" t="s">
        <v>58</v>
      </c>
      <c r="Y1802">
        <v>21</v>
      </c>
      <c r="Z1802" t="s">
        <v>59</v>
      </c>
      <c r="AA1802" t="s">
        <v>59</v>
      </c>
      <c r="AB1802" t="s">
        <v>59</v>
      </c>
      <c r="AC1802" t="s">
        <v>59</v>
      </c>
      <c r="AD1802" t="s">
        <v>59</v>
      </c>
      <c r="AF1802" s="1">
        <v>39329</v>
      </c>
      <c r="AG1802" t="s">
        <v>125</v>
      </c>
      <c r="AH1802" t="s">
        <v>126</v>
      </c>
      <c r="AI1802" t="str">
        <f>"1702010"</f>
        <v>1702010</v>
      </c>
      <c r="AJ1802" t="s">
        <v>604</v>
      </c>
      <c r="AK1802">
        <v>2891022228</v>
      </c>
      <c r="AL1802" t="s">
        <v>605</v>
      </c>
      <c r="AM1802" t="s">
        <v>78</v>
      </c>
      <c r="AN1802" t="s">
        <v>276</v>
      </c>
      <c r="AO1802" t="s">
        <v>490</v>
      </c>
      <c r="AP1802" t="s">
        <v>490</v>
      </c>
      <c r="AQ1802">
        <v>15</v>
      </c>
      <c r="AR1802" t="s">
        <v>123</v>
      </c>
      <c r="AS1802" t="s">
        <v>124</v>
      </c>
      <c r="AT1802" t="s">
        <v>58</v>
      </c>
      <c r="AU1802" t="s">
        <v>68</v>
      </c>
      <c r="AV1802" t="s">
        <v>69</v>
      </c>
      <c r="AW1802" s="1">
        <v>28535</v>
      </c>
      <c r="AX1802">
        <v>2</v>
      </c>
    </row>
    <row r="1803" spans="1:50">
      <c r="A1803">
        <v>223715</v>
      </c>
      <c r="B1803" t="str">
        <f>"103819884"</f>
        <v>103819884</v>
      </c>
      <c r="C1803" t="s">
        <v>105</v>
      </c>
      <c r="D1803" t="s">
        <v>3848</v>
      </c>
      <c r="E1803" t="s">
        <v>166</v>
      </c>
      <c r="F1803" t="s">
        <v>95</v>
      </c>
      <c r="G1803" t="s">
        <v>367</v>
      </c>
      <c r="H1803" t="str">
        <f>"ΟΥΛΑΦ ΠΑΛΜΕ 53 ΜΕΣΑΜΠΕΛΙΕΣ"</f>
        <v>ΟΥΛΑΦ ΠΑΛΜΕ 53 ΜΕΣΑΜΠΕΛΙΕΣ</v>
      </c>
      <c r="I1803">
        <v>71409</v>
      </c>
      <c r="J1803">
        <v>2810323598</v>
      </c>
      <c r="K1803">
        <v>6973281873</v>
      </c>
      <c r="M1803" t="s">
        <v>3851</v>
      </c>
      <c r="N1803" t="s">
        <v>199</v>
      </c>
      <c r="O1803" t="s">
        <v>200</v>
      </c>
      <c r="R1803" t="s">
        <v>57</v>
      </c>
      <c r="S1803">
        <v>12</v>
      </c>
      <c r="T1803">
        <v>775</v>
      </c>
      <c r="U1803" s="1">
        <v>39680</v>
      </c>
      <c r="V1803" t="s">
        <v>123</v>
      </c>
      <c r="W1803" t="s">
        <v>124</v>
      </c>
      <c r="X1803" t="s">
        <v>58</v>
      </c>
      <c r="Y1803">
        <v>20</v>
      </c>
      <c r="Z1803" t="s">
        <v>59</v>
      </c>
      <c r="AA1803" t="s">
        <v>59</v>
      </c>
      <c r="AB1803" t="s">
        <v>59</v>
      </c>
      <c r="AC1803" t="s">
        <v>59</v>
      </c>
      <c r="AD1803" t="s">
        <v>59</v>
      </c>
      <c r="AF1803" s="1">
        <v>39680</v>
      </c>
      <c r="AG1803" t="s">
        <v>125</v>
      </c>
      <c r="AH1803" t="s">
        <v>126</v>
      </c>
      <c r="AI1803" t="str">
        <f>"1728010"</f>
        <v>1728010</v>
      </c>
      <c r="AJ1803" t="s">
        <v>127</v>
      </c>
      <c r="AK1803">
        <v>2810824651</v>
      </c>
      <c r="AL1803" t="s">
        <v>128</v>
      </c>
      <c r="AM1803" t="s">
        <v>78</v>
      </c>
      <c r="AN1803" t="s">
        <v>129</v>
      </c>
      <c r="AO1803" t="s">
        <v>130</v>
      </c>
      <c r="AP1803" t="s">
        <v>130</v>
      </c>
      <c r="AQ1803">
        <v>36</v>
      </c>
      <c r="AR1803" t="s">
        <v>123</v>
      </c>
      <c r="AS1803" t="s">
        <v>124</v>
      </c>
      <c r="AT1803" t="s">
        <v>58</v>
      </c>
      <c r="AU1803" t="s">
        <v>68</v>
      </c>
      <c r="AV1803" t="s">
        <v>69</v>
      </c>
      <c r="AW1803" s="1">
        <v>26572</v>
      </c>
      <c r="AX1803">
        <v>2</v>
      </c>
    </row>
    <row r="1804" spans="1:50">
      <c r="A1804">
        <v>223548</v>
      </c>
      <c r="B1804" t="str">
        <f>"045241755"</f>
        <v>045241755</v>
      </c>
      <c r="C1804" t="s">
        <v>105</v>
      </c>
      <c r="D1804" t="s">
        <v>3848</v>
      </c>
      <c r="E1804" t="s">
        <v>99</v>
      </c>
      <c r="F1804" t="s">
        <v>154</v>
      </c>
      <c r="G1804" t="s">
        <v>1793</v>
      </c>
      <c r="H1804" t="str">
        <f>" "</f>
        <v xml:space="preserve"> </v>
      </c>
      <c r="J1804">
        <v>2810372799</v>
      </c>
      <c r="K1804">
        <v>6979969610</v>
      </c>
      <c r="M1804" t="s">
        <v>3852</v>
      </c>
      <c r="N1804" t="s">
        <v>232</v>
      </c>
      <c r="O1804" t="s">
        <v>233</v>
      </c>
      <c r="R1804" t="s">
        <v>57</v>
      </c>
      <c r="S1804">
        <v>7</v>
      </c>
      <c r="T1804">
        <v>775</v>
      </c>
      <c r="U1804" s="1">
        <v>39680</v>
      </c>
      <c r="V1804" t="s">
        <v>123</v>
      </c>
      <c r="W1804" t="s">
        <v>124</v>
      </c>
      <c r="X1804" t="s">
        <v>58</v>
      </c>
      <c r="Y1804">
        <v>21</v>
      </c>
      <c r="Z1804" t="s">
        <v>59</v>
      </c>
      <c r="AA1804" t="s">
        <v>59</v>
      </c>
      <c r="AB1804" t="s">
        <v>59</v>
      </c>
      <c r="AC1804" t="s">
        <v>59</v>
      </c>
      <c r="AD1804" t="s">
        <v>59</v>
      </c>
      <c r="AF1804" s="1">
        <v>39692</v>
      </c>
      <c r="AG1804" t="s">
        <v>137</v>
      </c>
      <c r="AH1804" t="s">
        <v>138</v>
      </c>
      <c r="AI1804" t="str">
        <f>"1740300"</f>
        <v>1740300</v>
      </c>
      <c r="AJ1804" t="s">
        <v>1274</v>
      </c>
      <c r="AK1804">
        <v>2892022100</v>
      </c>
      <c r="AL1804" t="s">
        <v>1275</v>
      </c>
      <c r="AM1804" t="s">
        <v>78</v>
      </c>
      <c r="AN1804" t="s">
        <v>242</v>
      </c>
      <c r="AO1804" t="s">
        <v>243</v>
      </c>
      <c r="AP1804" t="s">
        <v>243</v>
      </c>
      <c r="AQ1804">
        <v>33</v>
      </c>
      <c r="AR1804" t="s">
        <v>123</v>
      </c>
      <c r="AS1804" t="s">
        <v>124</v>
      </c>
      <c r="AT1804" t="s">
        <v>58</v>
      </c>
      <c r="AU1804" t="s">
        <v>68</v>
      </c>
      <c r="AV1804" t="s">
        <v>69</v>
      </c>
      <c r="AW1804" s="1">
        <v>24076</v>
      </c>
      <c r="AX1804">
        <v>2</v>
      </c>
    </row>
    <row r="1805" spans="1:50">
      <c r="A1805">
        <v>218238</v>
      </c>
      <c r="B1805" t="str">
        <f>"133563928"</f>
        <v>133563928</v>
      </c>
      <c r="C1805" t="s">
        <v>105</v>
      </c>
      <c r="D1805" t="s">
        <v>3848</v>
      </c>
      <c r="E1805" t="s">
        <v>53</v>
      </c>
      <c r="F1805" t="s">
        <v>166</v>
      </c>
      <c r="G1805" t="s">
        <v>382</v>
      </c>
      <c r="H1805" t="str">
        <f>" "</f>
        <v xml:space="preserve"> </v>
      </c>
      <c r="J1805">
        <v>2891022951</v>
      </c>
      <c r="K1805">
        <v>6946040931</v>
      </c>
      <c r="N1805" t="s">
        <v>292</v>
      </c>
      <c r="O1805" t="s">
        <v>293</v>
      </c>
      <c r="R1805" t="s">
        <v>57</v>
      </c>
      <c r="S1805">
        <v>5</v>
      </c>
      <c r="T1805">
        <v>599</v>
      </c>
      <c r="U1805" s="1">
        <v>39310</v>
      </c>
      <c r="V1805" t="s">
        <v>123</v>
      </c>
      <c r="W1805" t="s">
        <v>124</v>
      </c>
      <c r="X1805" t="s">
        <v>58</v>
      </c>
      <c r="Y1805">
        <v>21</v>
      </c>
      <c r="Z1805" t="s">
        <v>59</v>
      </c>
      <c r="AA1805" t="s">
        <v>59</v>
      </c>
      <c r="AB1805" t="s">
        <v>59</v>
      </c>
      <c r="AC1805" t="s">
        <v>59</v>
      </c>
      <c r="AD1805" t="s">
        <v>59</v>
      </c>
      <c r="AF1805" s="1">
        <v>39326</v>
      </c>
      <c r="AG1805" t="s">
        <v>148</v>
      </c>
      <c r="AH1805" t="s">
        <v>149</v>
      </c>
      <c r="AI1805" t="str">
        <f>"1778010"</f>
        <v>1778010</v>
      </c>
      <c r="AJ1805" t="s">
        <v>672</v>
      </c>
      <c r="AK1805">
        <v>2810822455</v>
      </c>
      <c r="AL1805" t="s">
        <v>673</v>
      </c>
      <c r="AM1805" t="s">
        <v>78</v>
      </c>
      <c r="AN1805" t="s">
        <v>129</v>
      </c>
      <c r="AO1805" t="s">
        <v>130</v>
      </c>
      <c r="AP1805" t="s">
        <v>130</v>
      </c>
      <c r="AQ1805">
        <v>36</v>
      </c>
      <c r="AR1805" t="s">
        <v>123</v>
      </c>
      <c r="AS1805" t="s">
        <v>124</v>
      </c>
      <c r="AT1805" t="s">
        <v>58</v>
      </c>
      <c r="AU1805" t="s">
        <v>68</v>
      </c>
      <c r="AV1805" t="s">
        <v>69</v>
      </c>
      <c r="AW1805" s="1">
        <v>28876</v>
      </c>
      <c r="AX1805">
        <v>2</v>
      </c>
    </row>
    <row r="1806" spans="1:50">
      <c r="A1806">
        <v>218592</v>
      </c>
      <c r="B1806" t="str">
        <f>"045837919"</f>
        <v>045837919</v>
      </c>
      <c r="C1806" t="s">
        <v>105</v>
      </c>
      <c r="D1806" t="s">
        <v>3848</v>
      </c>
      <c r="E1806" t="s">
        <v>510</v>
      </c>
      <c r="F1806" t="s">
        <v>72</v>
      </c>
      <c r="G1806" t="s">
        <v>250</v>
      </c>
      <c r="H1806" t="str">
        <f>"ΜΟΙΡΕΣ ΜΟΙΡΕΣ"</f>
        <v>ΜΟΙΡΕΣ ΜΟΙΡΕΣ</v>
      </c>
      <c r="I1806">
        <v>70400</v>
      </c>
      <c r="J1806">
        <v>2892022242</v>
      </c>
      <c r="K1806">
        <v>6974387739</v>
      </c>
      <c r="N1806" t="s">
        <v>232</v>
      </c>
      <c r="O1806" t="s">
        <v>233</v>
      </c>
      <c r="R1806" t="s">
        <v>57</v>
      </c>
      <c r="S1806">
        <v>7</v>
      </c>
      <c r="T1806">
        <v>599</v>
      </c>
      <c r="U1806" s="1">
        <v>39310</v>
      </c>
      <c r="V1806" t="s">
        <v>123</v>
      </c>
      <c r="W1806" t="s">
        <v>124</v>
      </c>
      <c r="X1806" t="s">
        <v>58</v>
      </c>
      <c r="Y1806">
        <v>20</v>
      </c>
      <c r="Z1806" t="s">
        <v>59</v>
      </c>
      <c r="AA1806" t="s">
        <v>59</v>
      </c>
      <c r="AB1806" t="s">
        <v>59</v>
      </c>
      <c r="AC1806" t="s">
        <v>59</v>
      </c>
      <c r="AD1806" t="s">
        <v>59</v>
      </c>
      <c r="AF1806" s="1">
        <v>39328</v>
      </c>
      <c r="AG1806" t="s">
        <v>125</v>
      </c>
      <c r="AH1806" t="s">
        <v>515</v>
      </c>
      <c r="AI1806" t="str">
        <f>"1713015"</f>
        <v>1713015</v>
      </c>
      <c r="AJ1806" t="s">
        <v>516</v>
      </c>
      <c r="AK1806">
        <v>2892051870</v>
      </c>
      <c r="AL1806" t="s">
        <v>517</v>
      </c>
      <c r="AM1806" t="s">
        <v>78</v>
      </c>
      <c r="AN1806" t="s">
        <v>242</v>
      </c>
      <c r="AO1806" t="s">
        <v>349</v>
      </c>
      <c r="AP1806" t="s">
        <v>349</v>
      </c>
      <c r="AQ1806">
        <v>35</v>
      </c>
      <c r="AR1806" t="s">
        <v>123</v>
      </c>
      <c r="AS1806" t="s">
        <v>124</v>
      </c>
      <c r="AT1806" t="s">
        <v>58</v>
      </c>
      <c r="AU1806" t="s">
        <v>68</v>
      </c>
      <c r="AV1806" t="s">
        <v>69</v>
      </c>
      <c r="AW1806" s="1">
        <v>21553</v>
      </c>
      <c r="AX1806">
        <v>2</v>
      </c>
    </row>
    <row r="1807" spans="1:50">
      <c r="A1807">
        <v>184951</v>
      </c>
      <c r="B1807" t="str">
        <f>"036924009"</f>
        <v>036924009</v>
      </c>
      <c r="C1807" t="s">
        <v>105</v>
      </c>
      <c r="D1807" t="s">
        <v>3853</v>
      </c>
      <c r="E1807" t="s">
        <v>1523</v>
      </c>
      <c r="F1807" t="s">
        <v>95</v>
      </c>
      <c r="G1807" t="s">
        <v>620</v>
      </c>
      <c r="H1807" t="str">
        <f>" "</f>
        <v xml:space="preserve"> </v>
      </c>
      <c r="N1807" t="s">
        <v>257</v>
      </c>
      <c r="O1807" t="s">
        <v>258</v>
      </c>
      <c r="R1807" t="s">
        <v>57</v>
      </c>
      <c r="S1807">
        <v>9</v>
      </c>
      <c r="T1807">
        <v>177</v>
      </c>
      <c r="U1807" s="1">
        <v>36403</v>
      </c>
      <c r="V1807" t="s">
        <v>123</v>
      </c>
      <c r="W1807" t="s">
        <v>124</v>
      </c>
      <c r="X1807" t="s">
        <v>58</v>
      </c>
      <c r="Y1807">
        <v>20</v>
      </c>
      <c r="Z1807" t="s">
        <v>59</v>
      </c>
      <c r="AA1807" t="s">
        <v>59</v>
      </c>
      <c r="AB1807" t="s">
        <v>59</v>
      </c>
      <c r="AC1807" t="s">
        <v>59</v>
      </c>
      <c r="AD1807" t="s">
        <v>59</v>
      </c>
      <c r="AF1807" s="1">
        <v>36411</v>
      </c>
      <c r="AG1807" t="s">
        <v>125</v>
      </c>
      <c r="AH1807" t="s">
        <v>126</v>
      </c>
      <c r="AI1807" t="str">
        <f>"1701056"</f>
        <v>1701056</v>
      </c>
      <c r="AJ1807" t="s">
        <v>211</v>
      </c>
      <c r="AK1807">
        <v>2810245445</v>
      </c>
      <c r="AL1807" t="s">
        <v>212</v>
      </c>
      <c r="AM1807" t="s">
        <v>78</v>
      </c>
      <c r="AN1807" t="s">
        <v>78</v>
      </c>
      <c r="AO1807" t="s">
        <v>78</v>
      </c>
      <c r="AP1807" t="s">
        <v>213</v>
      </c>
      <c r="AQ1807">
        <v>6</v>
      </c>
      <c r="AR1807" t="s">
        <v>123</v>
      </c>
      <c r="AS1807" t="s">
        <v>124</v>
      </c>
      <c r="AT1807" t="s">
        <v>58</v>
      </c>
      <c r="AU1807" t="s">
        <v>68</v>
      </c>
      <c r="AV1807" t="s">
        <v>69</v>
      </c>
      <c r="AW1807" s="1">
        <v>24505</v>
      </c>
      <c r="AX1807">
        <v>2</v>
      </c>
    </row>
    <row r="1808" spans="1:50">
      <c r="A1808">
        <v>183098</v>
      </c>
      <c r="B1808" t="str">
        <f>"035036819"</f>
        <v>035036819</v>
      </c>
      <c r="C1808" t="s">
        <v>105</v>
      </c>
      <c r="D1808" t="s">
        <v>3854</v>
      </c>
      <c r="E1808" t="s">
        <v>95</v>
      </c>
      <c r="F1808" t="s">
        <v>166</v>
      </c>
      <c r="G1808" t="s">
        <v>52</v>
      </c>
      <c r="H1808" t="str">
        <f>"ΘΕΤΙΔΟΣ 13 ΗΡΑΚΛΕΙΟΥ"</f>
        <v>ΘΕΤΙΔΟΣ 13 ΗΡΑΚΛΕΙΟΥ</v>
      </c>
      <c r="I1808">
        <v>71304</v>
      </c>
      <c r="J1808">
        <v>2810250543</v>
      </c>
      <c r="K1808">
        <v>6944712278</v>
      </c>
      <c r="M1808" t="s">
        <v>3855</v>
      </c>
      <c r="N1808" t="s">
        <v>157</v>
      </c>
      <c r="O1808" t="s">
        <v>158</v>
      </c>
      <c r="R1808" t="s">
        <v>57</v>
      </c>
      <c r="S1808">
        <v>15</v>
      </c>
      <c r="T1808">
        <v>7449</v>
      </c>
      <c r="U1808" s="1">
        <v>31666</v>
      </c>
      <c r="V1808" t="s">
        <v>123</v>
      </c>
      <c r="W1808" t="s">
        <v>124</v>
      </c>
      <c r="X1808" t="s">
        <v>58</v>
      </c>
      <c r="Y1808">
        <v>18</v>
      </c>
      <c r="Z1808" t="s">
        <v>59</v>
      </c>
      <c r="AA1808" t="s">
        <v>59</v>
      </c>
      <c r="AB1808" t="s">
        <v>59</v>
      </c>
      <c r="AC1808" t="s">
        <v>59</v>
      </c>
      <c r="AD1808" t="s">
        <v>59</v>
      </c>
      <c r="AF1808" s="1">
        <v>31666</v>
      </c>
      <c r="AG1808" t="s">
        <v>148</v>
      </c>
      <c r="AH1808" t="s">
        <v>149</v>
      </c>
      <c r="AI1808" t="str">
        <f>"1751051"</f>
        <v>1751051</v>
      </c>
      <c r="AJ1808" t="s">
        <v>259</v>
      </c>
      <c r="AK1808">
        <v>2810251794</v>
      </c>
      <c r="AL1808" t="s">
        <v>260</v>
      </c>
      <c r="AM1808" t="s">
        <v>78</v>
      </c>
      <c r="AN1808" t="s">
        <v>78</v>
      </c>
      <c r="AO1808" t="s">
        <v>78</v>
      </c>
      <c r="AP1808" t="s">
        <v>141</v>
      </c>
      <c r="AQ1808">
        <v>7</v>
      </c>
      <c r="AR1808" t="s">
        <v>123</v>
      </c>
      <c r="AS1808" t="s">
        <v>124</v>
      </c>
      <c r="AT1808" t="s">
        <v>58</v>
      </c>
      <c r="AU1808" t="s">
        <v>68</v>
      </c>
      <c r="AV1808" t="s">
        <v>69</v>
      </c>
      <c r="AW1808" s="1">
        <v>22624</v>
      </c>
      <c r="AX1808">
        <v>2</v>
      </c>
    </row>
    <row r="1809" spans="1:50">
      <c r="A1809">
        <v>223194</v>
      </c>
      <c r="B1809" t="str">
        <f>"132986720"</f>
        <v>132986720</v>
      </c>
      <c r="C1809" t="s">
        <v>105</v>
      </c>
      <c r="D1809" t="s">
        <v>3856</v>
      </c>
      <c r="E1809" t="s">
        <v>900</v>
      </c>
      <c r="F1809" t="s">
        <v>3857</v>
      </c>
      <c r="G1809" t="s">
        <v>237</v>
      </c>
      <c r="H1809" t="str">
        <f>"ΕΘΝΟΜΑΡΤΥΡΩΝ 25 ΗΡΑΚΛΕΙΟ ΚΡΗΤΗΣ"</f>
        <v>ΕΘΝΟΜΑΡΤΥΡΩΝ 25 ΗΡΑΚΛΕΙΟ ΚΡΗΤΗΣ</v>
      </c>
      <c r="I1809">
        <v>71409</v>
      </c>
      <c r="J1809">
        <v>2810210129</v>
      </c>
      <c r="K1809">
        <v>6945411513</v>
      </c>
      <c r="L1809">
        <v>2246045095</v>
      </c>
      <c r="M1809" t="s">
        <v>3858</v>
      </c>
      <c r="N1809" t="s">
        <v>292</v>
      </c>
      <c r="O1809" t="s">
        <v>293</v>
      </c>
      <c r="R1809" t="s">
        <v>57</v>
      </c>
      <c r="S1809">
        <v>7</v>
      </c>
      <c r="T1809">
        <v>775</v>
      </c>
      <c r="U1809" s="1">
        <v>39680</v>
      </c>
      <c r="V1809" t="s">
        <v>123</v>
      </c>
      <c r="W1809" t="s">
        <v>124</v>
      </c>
      <c r="X1809" t="s">
        <v>58</v>
      </c>
      <c r="Y1809">
        <v>21</v>
      </c>
      <c r="Z1809" t="s">
        <v>59</v>
      </c>
      <c r="AA1809" t="s">
        <v>59</v>
      </c>
      <c r="AB1809" t="s">
        <v>59</v>
      </c>
      <c r="AC1809" t="s">
        <v>59</v>
      </c>
      <c r="AD1809" t="s">
        <v>452</v>
      </c>
      <c r="AE1809" s="1">
        <v>43708</v>
      </c>
      <c r="AF1809" s="1">
        <v>39682</v>
      </c>
      <c r="AG1809" t="s">
        <v>60</v>
      </c>
      <c r="AH1809" t="s">
        <v>453</v>
      </c>
      <c r="AI1809" t="str">
        <f>"1700105"</f>
        <v>1700105</v>
      </c>
      <c r="AJ1809" t="s">
        <v>124</v>
      </c>
      <c r="AK1809">
        <v>2810333720</v>
      </c>
      <c r="AL1809" t="s">
        <v>454</v>
      </c>
      <c r="AM1809" t="s">
        <v>78</v>
      </c>
      <c r="AN1809" t="s">
        <v>78</v>
      </c>
      <c r="AO1809" t="s">
        <v>78</v>
      </c>
      <c r="AP1809" t="s">
        <v>79</v>
      </c>
      <c r="AS1809" t="s">
        <v>124</v>
      </c>
      <c r="AT1809" t="s">
        <v>58</v>
      </c>
      <c r="AU1809" t="s">
        <v>68</v>
      </c>
      <c r="AV1809" t="s">
        <v>455</v>
      </c>
      <c r="AW1809" s="1">
        <v>30025</v>
      </c>
      <c r="AX1809">
        <v>2</v>
      </c>
    </row>
    <row r="1810" spans="1:50">
      <c r="B1810" t="str">
        <f>"132343381"</f>
        <v>132343381</v>
      </c>
      <c r="C1810" t="s">
        <v>50</v>
      </c>
      <c r="D1810" t="s">
        <v>3859</v>
      </c>
      <c r="E1810" t="s">
        <v>237</v>
      </c>
      <c r="F1810" t="s">
        <v>3824</v>
      </c>
      <c r="H1810" t="str">
        <f>" "</f>
        <v xml:space="preserve"> </v>
      </c>
      <c r="N1810" t="s">
        <v>119</v>
      </c>
      <c r="O1810" t="s">
        <v>120</v>
      </c>
      <c r="R1810" t="s">
        <v>159</v>
      </c>
      <c r="S1810">
        <v>4</v>
      </c>
      <c r="T1810" t="s">
        <v>344</v>
      </c>
      <c r="U1810" s="1">
        <v>43348</v>
      </c>
      <c r="V1810" t="s">
        <v>123</v>
      </c>
      <c r="W1810" t="s">
        <v>124</v>
      </c>
      <c r="X1810" t="s">
        <v>58</v>
      </c>
      <c r="Y1810">
        <v>23</v>
      </c>
      <c r="Z1810" t="s">
        <v>59</v>
      </c>
      <c r="AA1810" t="s">
        <v>59</v>
      </c>
      <c r="AB1810" t="s">
        <v>59</v>
      </c>
      <c r="AC1810" t="s">
        <v>59</v>
      </c>
      <c r="AD1810" t="s">
        <v>59</v>
      </c>
      <c r="AF1810" s="1">
        <v>43348</v>
      </c>
      <c r="AG1810" t="s">
        <v>125</v>
      </c>
      <c r="AH1810" t="s">
        <v>126</v>
      </c>
      <c r="AI1810" t="str">
        <f>"1728010"</f>
        <v>1728010</v>
      </c>
      <c r="AJ1810" t="s">
        <v>127</v>
      </c>
      <c r="AK1810">
        <v>2810824651</v>
      </c>
      <c r="AL1810" t="s">
        <v>128</v>
      </c>
      <c r="AM1810" t="s">
        <v>78</v>
      </c>
      <c r="AN1810" t="s">
        <v>129</v>
      </c>
      <c r="AO1810" t="s">
        <v>130</v>
      </c>
      <c r="AP1810" t="s">
        <v>130</v>
      </c>
      <c r="AQ1810">
        <v>36</v>
      </c>
      <c r="AR1810" t="s">
        <v>123</v>
      </c>
      <c r="AS1810" t="s">
        <v>124</v>
      </c>
      <c r="AT1810" t="s">
        <v>58</v>
      </c>
      <c r="AU1810" t="s">
        <v>350</v>
      </c>
      <c r="AV1810" t="s">
        <v>132</v>
      </c>
      <c r="AW1810" s="1">
        <v>31299</v>
      </c>
      <c r="AX1810">
        <v>2</v>
      </c>
    </row>
    <row r="1811" spans="1:50">
      <c r="A1811">
        <v>191000</v>
      </c>
      <c r="B1811" t="str">
        <f>"064569810"</f>
        <v>064569810</v>
      </c>
      <c r="C1811" t="s">
        <v>105</v>
      </c>
      <c r="D1811" t="s">
        <v>3860</v>
      </c>
      <c r="E1811" t="s">
        <v>166</v>
      </c>
      <c r="F1811" t="s">
        <v>99</v>
      </c>
      <c r="G1811" t="s">
        <v>263</v>
      </c>
      <c r="H1811" t="str">
        <f>"ΜΙΧΑΗΛ ΑΡΧΑΓΓΕΛΟΥ 81 ΗΡΑΚΛΕΙΟ"</f>
        <v>ΜΙΧΑΗΛ ΑΡΧΑΓΓΕΛΟΥ 81 ΗΡΑΚΛΕΙΟ</v>
      </c>
      <c r="I1811">
        <v>71304</v>
      </c>
      <c r="J1811">
        <v>2810371211</v>
      </c>
      <c r="K1811">
        <v>6972257700</v>
      </c>
      <c r="N1811" t="s">
        <v>204</v>
      </c>
      <c r="O1811" t="s">
        <v>205</v>
      </c>
      <c r="R1811" t="s">
        <v>57</v>
      </c>
      <c r="S1811">
        <v>8</v>
      </c>
      <c r="T1811">
        <v>219</v>
      </c>
      <c r="U1811" s="1">
        <v>37134</v>
      </c>
      <c r="V1811" t="s">
        <v>123</v>
      </c>
      <c r="W1811" t="s">
        <v>124</v>
      </c>
      <c r="X1811" t="s">
        <v>58</v>
      </c>
      <c r="Y1811">
        <v>20</v>
      </c>
      <c r="Z1811" t="s">
        <v>59</v>
      </c>
      <c r="AA1811" t="s">
        <v>59</v>
      </c>
      <c r="AB1811" t="s">
        <v>59</v>
      </c>
      <c r="AC1811" t="s">
        <v>59</v>
      </c>
      <c r="AD1811" t="s">
        <v>59</v>
      </c>
      <c r="AF1811" s="1">
        <v>37138</v>
      </c>
      <c r="AG1811" t="s">
        <v>137</v>
      </c>
      <c r="AH1811" t="s">
        <v>138</v>
      </c>
      <c r="AI1811" t="str">
        <f>"1740210"</f>
        <v>1740210</v>
      </c>
      <c r="AJ1811" t="s">
        <v>139</v>
      </c>
      <c r="AK1811">
        <v>2810318130</v>
      </c>
      <c r="AL1811" t="s">
        <v>140</v>
      </c>
      <c r="AM1811" t="s">
        <v>78</v>
      </c>
      <c r="AN1811" t="s">
        <v>78</v>
      </c>
      <c r="AO1811" t="s">
        <v>78</v>
      </c>
      <c r="AP1811" t="s">
        <v>141</v>
      </c>
      <c r="AQ1811">
        <v>7</v>
      </c>
      <c r="AR1811" t="s">
        <v>123</v>
      </c>
      <c r="AS1811" t="s">
        <v>124</v>
      </c>
      <c r="AT1811" t="s">
        <v>58</v>
      </c>
      <c r="AU1811" t="s">
        <v>68</v>
      </c>
      <c r="AV1811" t="s">
        <v>69</v>
      </c>
      <c r="AW1811" s="1">
        <v>26710</v>
      </c>
      <c r="AX1811">
        <v>2</v>
      </c>
    </row>
    <row r="1812" spans="1:50">
      <c r="B1812" t="str">
        <f>"132930711"</f>
        <v>132930711</v>
      </c>
      <c r="C1812" t="s">
        <v>50</v>
      </c>
      <c r="D1812" t="s">
        <v>3861</v>
      </c>
      <c r="E1812" t="s">
        <v>73</v>
      </c>
      <c r="F1812" t="s">
        <v>154</v>
      </c>
      <c r="G1812" t="s">
        <v>96</v>
      </c>
      <c r="H1812" t="str">
        <f>" "</f>
        <v xml:space="preserve"> </v>
      </c>
      <c r="M1812" t="s">
        <v>3862</v>
      </c>
      <c r="N1812" t="s">
        <v>1647</v>
      </c>
      <c r="O1812" t="s">
        <v>1648</v>
      </c>
      <c r="R1812" t="s">
        <v>159</v>
      </c>
      <c r="S1812">
        <v>2</v>
      </c>
      <c r="T1812" t="s">
        <v>160</v>
      </c>
      <c r="U1812" s="1">
        <v>43364</v>
      </c>
      <c r="V1812" t="s">
        <v>123</v>
      </c>
      <c r="W1812" t="s">
        <v>124</v>
      </c>
      <c r="X1812" t="s">
        <v>58</v>
      </c>
      <c r="Y1812">
        <v>23</v>
      </c>
      <c r="Z1812" t="s">
        <v>59</v>
      </c>
      <c r="AB1812" t="s">
        <v>59</v>
      </c>
      <c r="AD1812" t="s">
        <v>59</v>
      </c>
      <c r="AF1812" s="1">
        <v>43367</v>
      </c>
      <c r="AG1812" t="s">
        <v>125</v>
      </c>
      <c r="AH1812" t="s">
        <v>126</v>
      </c>
      <c r="AI1812" t="str">
        <f>"1709010"</f>
        <v>1709010</v>
      </c>
      <c r="AJ1812" t="s">
        <v>847</v>
      </c>
      <c r="AK1812">
        <v>2894022227</v>
      </c>
      <c r="AL1812" t="s">
        <v>848</v>
      </c>
      <c r="AM1812" t="s">
        <v>78</v>
      </c>
      <c r="AN1812" t="s">
        <v>405</v>
      </c>
      <c r="AO1812" t="s">
        <v>406</v>
      </c>
      <c r="AP1812" t="s">
        <v>406</v>
      </c>
      <c r="AQ1812">
        <v>30</v>
      </c>
      <c r="AR1812" t="s">
        <v>123</v>
      </c>
      <c r="AS1812" t="s">
        <v>124</v>
      </c>
      <c r="AT1812" t="s">
        <v>58</v>
      </c>
      <c r="AU1812" t="s">
        <v>164</v>
      </c>
      <c r="AV1812" t="s">
        <v>132</v>
      </c>
      <c r="AW1812" s="1">
        <v>29820</v>
      </c>
      <c r="AX1812">
        <v>2</v>
      </c>
    </row>
    <row r="1813" spans="1:50">
      <c r="B1813" t="str">
        <f>"123293351"</f>
        <v>123293351</v>
      </c>
      <c r="C1813" t="s">
        <v>50</v>
      </c>
      <c r="D1813" t="s">
        <v>3863</v>
      </c>
      <c r="E1813" t="s">
        <v>1179</v>
      </c>
      <c r="F1813" t="s">
        <v>1320</v>
      </c>
      <c r="G1813" t="s">
        <v>1189</v>
      </c>
      <c r="H1813" t="str">
        <f>"ΑΠΟΣΤΟΛΗ 34 ΠΕΙΡΑΙΑΣ"</f>
        <v>ΑΠΟΣΤΟΛΗ 34 ΠΕΙΡΑΙΑΣ</v>
      </c>
      <c r="I1813">
        <v>18537</v>
      </c>
      <c r="J1813">
        <v>2104282703</v>
      </c>
      <c r="K1813">
        <v>6974368043</v>
      </c>
      <c r="N1813" t="s">
        <v>146</v>
      </c>
      <c r="O1813" t="s">
        <v>147</v>
      </c>
      <c r="R1813" t="s">
        <v>159</v>
      </c>
      <c r="S1813">
        <v>3</v>
      </c>
      <c r="T1813" t="s">
        <v>574</v>
      </c>
      <c r="U1813" s="1">
        <v>43378</v>
      </c>
      <c r="V1813" t="s">
        <v>123</v>
      </c>
      <c r="W1813" t="s">
        <v>124</v>
      </c>
      <c r="X1813" t="s">
        <v>58</v>
      </c>
      <c r="Y1813">
        <v>23</v>
      </c>
      <c r="Z1813" t="s">
        <v>59</v>
      </c>
      <c r="AA1813" t="s">
        <v>59</v>
      </c>
      <c r="AB1813" t="s">
        <v>59</v>
      </c>
      <c r="AC1813" t="s">
        <v>59</v>
      </c>
      <c r="AD1813" t="s">
        <v>59</v>
      </c>
      <c r="AF1813" s="1">
        <v>43381</v>
      </c>
      <c r="AG1813" t="s">
        <v>125</v>
      </c>
      <c r="AH1813" t="s">
        <v>126</v>
      </c>
      <c r="AI1813" t="str">
        <f>"1714010"</f>
        <v>1714010</v>
      </c>
      <c r="AJ1813" t="s">
        <v>997</v>
      </c>
      <c r="AK1813">
        <v>2894031333</v>
      </c>
      <c r="AL1813" t="s">
        <v>998</v>
      </c>
      <c r="AM1813" t="s">
        <v>78</v>
      </c>
      <c r="AN1813" t="s">
        <v>242</v>
      </c>
      <c r="AO1813" t="s">
        <v>999</v>
      </c>
      <c r="AP1813" t="s">
        <v>999</v>
      </c>
      <c r="AQ1813">
        <v>31</v>
      </c>
      <c r="AR1813" t="s">
        <v>123</v>
      </c>
      <c r="AS1813" t="s">
        <v>124</v>
      </c>
      <c r="AT1813" t="s">
        <v>58</v>
      </c>
      <c r="AU1813" t="s">
        <v>164</v>
      </c>
      <c r="AV1813" t="s">
        <v>132</v>
      </c>
      <c r="AW1813" s="1">
        <v>26544</v>
      </c>
      <c r="AX1813">
        <v>2</v>
      </c>
    </row>
    <row r="1814" spans="1:50">
      <c r="A1814">
        <v>197923</v>
      </c>
      <c r="B1814" t="str">
        <f>"034211721"</f>
        <v>034211721</v>
      </c>
      <c r="C1814" t="s">
        <v>105</v>
      </c>
      <c r="D1814" t="s">
        <v>3864</v>
      </c>
      <c r="E1814" t="s">
        <v>166</v>
      </c>
      <c r="F1814" t="s">
        <v>72</v>
      </c>
      <c r="G1814" t="s">
        <v>237</v>
      </c>
      <c r="H1814" t="str">
        <f>"ΑΝΤΩΝΙΟΥ ΚΑΣΤΡΙΝΑΚΗ  31 ΜΑΣΤΑΜΠΑΣ"</f>
        <v>ΑΝΤΩΝΙΟΥ ΚΑΣΤΡΙΝΑΚΗ  31 ΜΑΣΤΑΜΠΑΣ</v>
      </c>
      <c r="I1814">
        <v>71305</v>
      </c>
      <c r="J1814">
        <v>2810322850</v>
      </c>
      <c r="K1814">
        <v>6948376025</v>
      </c>
      <c r="N1814" t="s">
        <v>292</v>
      </c>
      <c r="O1814" t="s">
        <v>293</v>
      </c>
      <c r="R1814" t="s">
        <v>57</v>
      </c>
      <c r="S1814">
        <v>10</v>
      </c>
      <c r="T1814">
        <v>206</v>
      </c>
      <c r="U1814" s="1">
        <v>37866</v>
      </c>
      <c r="V1814" t="s">
        <v>123</v>
      </c>
      <c r="W1814" t="s">
        <v>124</v>
      </c>
      <c r="X1814" t="s">
        <v>58</v>
      </c>
      <c r="Y1814">
        <v>20</v>
      </c>
      <c r="Z1814" t="s">
        <v>59</v>
      </c>
      <c r="AA1814" t="s">
        <v>59</v>
      </c>
      <c r="AB1814" t="s">
        <v>59</v>
      </c>
      <c r="AC1814" t="s">
        <v>59</v>
      </c>
      <c r="AD1814" t="s">
        <v>59</v>
      </c>
      <c r="AF1814" s="1">
        <v>37866</v>
      </c>
      <c r="AG1814" t="s">
        <v>148</v>
      </c>
      <c r="AH1814" t="s">
        <v>149</v>
      </c>
      <c r="AI1814" t="str">
        <f>"1778010"</f>
        <v>1778010</v>
      </c>
      <c r="AJ1814" t="s">
        <v>672</v>
      </c>
      <c r="AK1814">
        <v>2810822455</v>
      </c>
      <c r="AL1814" t="s">
        <v>673</v>
      </c>
      <c r="AM1814" t="s">
        <v>78</v>
      </c>
      <c r="AN1814" t="s">
        <v>129</v>
      </c>
      <c r="AO1814" t="s">
        <v>130</v>
      </c>
      <c r="AP1814" t="s">
        <v>130</v>
      </c>
      <c r="AQ1814">
        <v>36</v>
      </c>
      <c r="AR1814" t="s">
        <v>123</v>
      </c>
      <c r="AS1814" t="s">
        <v>124</v>
      </c>
      <c r="AT1814" t="s">
        <v>58</v>
      </c>
      <c r="AU1814" t="s">
        <v>68</v>
      </c>
      <c r="AV1814" t="s">
        <v>69</v>
      </c>
      <c r="AW1814" s="1">
        <v>23259</v>
      </c>
      <c r="AX1814">
        <v>2</v>
      </c>
    </row>
    <row r="1815" spans="1:50">
      <c r="B1815" t="str">
        <f>"114294663"</f>
        <v>114294663</v>
      </c>
      <c r="C1815" t="s">
        <v>50</v>
      </c>
      <c r="D1815" t="s">
        <v>3865</v>
      </c>
      <c r="E1815" t="s">
        <v>237</v>
      </c>
      <c r="F1815" t="s">
        <v>53</v>
      </c>
      <c r="G1815" t="s">
        <v>3866</v>
      </c>
      <c r="H1815" t="str">
        <f>"ΔΑΦΝΗΣ 5 ΗΡΑΚΛΕΙΟ"</f>
        <v>ΔΑΦΝΗΣ 5 ΗΡΑΚΛΕΙΟ</v>
      </c>
      <c r="I1815">
        <v>71409</v>
      </c>
      <c r="J1815">
        <v>2810324514</v>
      </c>
      <c r="K1815">
        <v>6977195284</v>
      </c>
      <c r="N1815" t="s">
        <v>1463</v>
      </c>
      <c r="O1815" t="s">
        <v>1464</v>
      </c>
      <c r="R1815" t="s">
        <v>159</v>
      </c>
      <c r="S1815">
        <v>4</v>
      </c>
      <c r="T1815" t="s">
        <v>344</v>
      </c>
      <c r="U1815" s="1">
        <v>43348</v>
      </c>
      <c r="V1815" t="s">
        <v>123</v>
      </c>
      <c r="W1815" t="s">
        <v>124</v>
      </c>
      <c r="X1815" t="s">
        <v>58</v>
      </c>
      <c r="Y1815">
        <v>23</v>
      </c>
      <c r="Z1815" t="s">
        <v>59</v>
      </c>
      <c r="AA1815" t="s">
        <v>59</v>
      </c>
      <c r="AB1815" t="s">
        <v>59</v>
      </c>
      <c r="AC1815" t="s">
        <v>59</v>
      </c>
      <c r="AD1815" t="s">
        <v>59</v>
      </c>
      <c r="AF1815" s="1">
        <v>43348</v>
      </c>
      <c r="AG1815" t="s">
        <v>345</v>
      </c>
      <c r="AH1815" t="s">
        <v>346</v>
      </c>
      <c r="AI1815" t="str">
        <f>"1741001"</f>
        <v>1741001</v>
      </c>
      <c r="AJ1815" t="s">
        <v>655</v>
      </c>
      <c r="AK1815">
        <v>2810360436</v>
      </c>
      <c r="AL1815" t="s">
        <v>656</v>
      </c>
      <c r="AM1815" t="s">
        <v>78</v>
      </c>
      <c r="AN1815" t="s">
        <v>78</v>
      </c>
      <c r="AO1815" t="s">
        <v>78</v>
      </c>
      <c r="AP1815" t="s">
        <v>141</v>
      </c>
      <c r="AQ1815">
        <v>11</v>
      </c>
      <c r="AR1815" t="s">
        <v>123</v>
      </c>
      <c r="AS1815" t="s">
        <v>124</v>
      </c>
      <c r="AT1815" t="s">
        <v>58</v>
      </c>
      <c r="AU1815" t="s">
        <v>350</v>
      </c>
      <c r="AV1815" t="s">
        <v>132</v>
      </c>
      <c r="AW1815" s="1">
        <v>28530</v>
      </c>
      <c r="AX1815">
        <v>2</v>
      </c>
    </row>
    <row r="1816" spans="1:50">
      <c r="A1816">
        <v>189592</v>
      </c>
      <c r="B1816" t="str">
        <f>"038472021"</f>
        <v>038472021</v>
      </c>
      <c r="C1816" t="s">
        <v>50</v>
      </c>
      <c r="D1816" t="s">
        <v>3865</v>
      </c>
      <c r="E1816" t="s">
        <v>73</v>
      </c>
      <c r="F1816" t="s">
        <v>106</v>
      </c>
      <c r="G1816" t="s">
        <v>755</v>
      </c>
      <c r="H1816" t="str">
        <f>" "</f>
        <v xml:space="preserve"> </v>
      </c>
      <c r="J1816">
        <v>2810225939</v>
      </c>
      <c r="K1816">
        <v>6947308153</v>
      </c>
      <c r="N1816" t="s">
        <v>146</v>
      </c>
      <c r="O1816" t="s">
        <v>147</v>
      </c>
      <c r="R1816" t="s">
        <v>57</v>
      </c>
      <c r="S1816">
        <v>10</v>
      </c>
      <c r="T1816">
        <v>219</v>
      </c>
      <c r="U1816" s="1">
        <v>37134</v>
      </c>
      <c r="V1816" t="s">
        <v>123</v>
      </c>
      <c r="W1816" t="s">
        <v>124</v>
      </c>
      <c r="X1816" t="s">
        <v>58</v>
      </c>
      <c r="Y1816">
        <v>20</v>
      </c>
      <c r="Z1816" t="s">
        <v>59</v>
      </c>
      <c r="AA1816" t="s">
        <v>59</v>
      </c>
      <c r="AB1816" t="s">
        <v>59</v>
      </c>
      <c r="AC1816" t="s">
        <v>59</v>
      </c>
      <c r="AD1816" t="s">
        <v>59</v>
      </c>
      <c r="AF1816" s="1">
        <v>37134</v>
      </c>
      <c r="AG1816" t="s">
        <v>125</v>
      </c>
      <c r="AH1816" t="s">
        <v>126</v>
      </c>
      <c r="AI1816" t="str">
        <f>"1701050"</f>
        <v>1701050</v>
      </c>
      <c r="AJ1816" t="s">
        <v>660</v>
      </c>
      <c r="AK1816">
        <v>2810220729</v>
      </c>
      <c r="AL1816" t="s">
        <v>661</v>
      </c>
      <c r="AM1816" t="s">
        <v>78</v>
      </c>
      <c r="AN1816" t="s">
        <v>78</v>
      </c>
      <c r="AO1816" t="s">
        <v>78</v>
      </c>
      <c r="AP1816" t="s">
        <v>79</v>
      </c>
      <c r="AQ1816">
        <v>1</v>
      </c>
      <c r="AR1816" t="s">
        <v>123</v>
      </c>
      <c r="AS1816" t="s">
        <v>124</v>
      </c>
      <c r="AT1816" t="s">
        <v>58</v>
      </c>
      <c r="AU1816" t="s">
        <v>68</v>
      </c>
      <c r="AV1816" t="s">
        <v>69</v>
      </c>
      <c r="AW1816" s="1">
        <v>24705</v>
      </c>
      <c r="AX1816">
        <v>2</v>
      </c>
    </row>
    <row r="1817" spans="1:50">
      <c r="A1817">
        <v>193264</v>
      </c>
      <c r="B1817" t="str">
        <f>"118914755"</f>
        <v>118914755</v>
      </c>
      <c r="C1817" t="s">
        <v>50</v>
      </c>
      <c r="D1817" t="s">
        <v>3865</v>
      </c>
      <c r="E1817" t="s">
        <v>755</v>
      </c>
      <c r="F1817" t="s">
        <v>760</v>
      </c>
      <c r="G1817" t="s">
        <v>237</v>
      </c>
      <c r="H1817" t="str">
        <f>"ΠΑΛΑΙΟΚΑΠΑ 79 ΗΡΑΚΛΕΙΟ"</f>
        <v>ΠΑΛΑΙΟΚΑΠΑ 79 ΗΡΑΚΛΕΙΟ</v>
      </c>
      <c r="I1817">
        <v>71305</v>
      </c>
      <c r="J1817">
        <v>2810318332</v>
      </c>
      <c r="K1817">
        <v>6974073435</v>
      </c>
      <c r="M1817" t="s">
        <v>3867</v>
      </c>
      <c r="N1817" t="s">
        <v>146</v>
      </c>
      <c r="O1817" t="s">
        <v>147</v>
      </c>
      <c r="R1817" t="s">
        <v>57</v>
      </c>
      <c r="S1817">
        <v>9</v>
      </c>
      <c r="T1817">
        <v>193</v>
      </c>
      <c r="U1817" s="1">
        <v>37497</v>
      </c>
      <c r="V1817" t="s">
        <v>123</v>
      </c>
      <c r="W1817" t="s">
        <v>124</v>
      </c>
      <c r="X1817" t="s">
        <v>58</v>
      </c>
      <c r="Y1817">
        <v>20</v>
      </c>
      <c r="Z1817" t="s">
        <v>59</v>
      </c>
      <c r="AA1817" t="s">
        <v>59</v>
      </c>
      <c r="AB1817" t="s">
        <v>59</v>
      </c>
      <c r="AC1817" t="s">
        <v>59</v>
      </c>
      <c r="AD1817" t="s">
        <v>59</v>
      </c>
      <c r="AF1817" s="1">
        <v>37502</v>
      </c>
      <c r="AG1817" t="s">
        <v>125</v>
      </c>
      <c r="AH1817" t="s">
        <v>126</v>
      </c>
      <c r="AI1817" t="str">
        <f>"1701041"</f>
        <v>1701041</v>
      </c>
      <c r="AJ1817" t="s">
        <v>161</v>
      </c>
      <c r="AK1817">
        <v>2810327052</v>
      </c>
      <c r="AL1817" t="s">
        <v>162</v>
      </c>
      <c r="AM1817" t="s">
        <v>78</v>
      </c>
      <c r="AN1817" t="s">
        <v>78</v>
      </c>
      <c r="AO1817" t="s">
        <v>78</v>
      </c>
      <c r="AP1817" t="s">
        <v>163</v>
      </c>
      <c r="AQ1817">
        <v>5</v>
      </c>
      <c r="AR1817" t="s">
        <v>123</v>
      </c>
      <c r="AS1817" t="s">
        <v>124</v>
      </c>
      <c r="AT1817" t="s">
        <v>58</v>
      </c>
      <c r="AU1817" t="s">
        <v>68</v>
      </c>
      <c r="AV1817" t="s">
        <v>69</v>
      </c>
      <c r="AW1817" s="1">
        <v>28323</v>
      </c>
      <c r="AX1817">
        <v>2</v>
      </c>
    </row>
    <row r="1818" spans="1:50">
      <c r="A1818">
        <v>195403</v>
      </c>
      <c r="B1818" t="str">
        <f>"073525903"</f>
        <v>073525903</v>
      </c>
      <c r="C1818" t="s">
        <v>50</v>
      </c>
      <c r="D1818" t="s">
        <v>3865</v>
      </c>
      <c r="E1818" t="s">
        <v>250</v>
      </c>
      <c r="F1818" t="s">
        <v>95</v>
      </c>
      <c r="G1818" t="s">
        <v>188</v>
      </c>
      <c r="H1818" t="str">
        <f>"11ο ΧΛΜ. ΗΡΑΚΛΕΙΟΥ-ΜΟΙΡΩΝ "</f>
        <v xml:space="preserve">11ο ΧΛΜ. ΗΡΑΚΛΕΙΟΥ-ΜΟΙΡΩΝ </v>
      </c>
      <c r="I1818">
        <v>71500</v>
      </c>
      <c r="J1818">
        <v>2810543024</v>
      </c>
      <c r="K1818">
        <v>6945609341</v>
      </c>
      <c r="M1818" t="s">
        <v>3868</v>
      </c>
      <c r="N1818" t="s">
        <v>146</v>
      </c>
      <c r="O1818" t="s">
        <v>147</v>
      </c>
      <c r="R1818" t="s">
        <v>57</v>
      </c>
      <c r="S1818">
        <v>8</v>
      </c>
      <c r="T1818">
        <v>194</v>
      </c>
      <c r="U1818" s="1">
        <v>37497</v>
      </c>
      <c r="V1818" t="s">
        <v>123</v>
      </c>
      <c r="W1818" t="s">
        <v>124</v>
      </c>
      <c r="X1818" t="s">
        <v>58</v>
      </c>
      <c r="Y1818">
        <v>20</v>
      </c>
      <c r="Z1818" t="s">
        <v>59</v>
      </c>
      <c r="AA1818" t="s">
        <v>59</v>
      </c>
      <c r="AB1818" t="s">
        <v>59</v>
      </c>
      <c r="AC1818" t="s">
        <v>59</v>
      </c>
      <c r="AD1818" t="s">
        <v>59</v>
      </c>
      <c r="AF1818" s="1">
        <v>37501</v>
      </c>
      <c r="AG1818" t="s">
        <v>125</v>
      </c>
      <c r="AH1818" t="s">
        <v>126</v>
      </c>
      <c r="AI1818" t="str">
        <f>"1728010"</f>
        <v>1728010</v>
      </c>
      <c r="AJ1818" t="s">
        <v>127</v>
      </c>
      <c r="AK1818">
        <v>2810824651</v>
      </c>
      <c r="AL1818" t="s">
        <v>128</v>
      </c>
      <c r="AM1818" t="s">
        <v>78</v>
      </c>
      <c r="AN1818" t="s">
        <v>129</v>
      </c>
      <c r="AO1818" t="s">
        <v>130</v>
      </c>
      <c r="AP1818" t="s">
        <v>130</v>
      </c>
      <c r="AQ1818">
        <v>36</v>
      </c>
      <c r="AR1818" t="s">
        <v>123</v>
      </c>
      <c r="AS1818" t="s">
        <v>124</v>
      </c>
      <c r="AT1818" t="s">
        <v>58</v>
      </c>
      <c r="AU1818" t="s">
        <v>68</v>
      </c>
      <c r="AV1818" t="s">
        <v>69</v>
      </c>
      <c r="AW1818" s="1">
        <v>25505</v>
      </c>
      <c r="AX1818">
        <v>2</v>
      </c>
    </row>
    <row r="1819" spans="1:50">
      <c r="A1819">
        <v>207683</v>
      </c>
      <c r="B1819" t="str">
        <f>"064121486"</f>
        <v>064121486</v>
      </c>
      <c r="C1819" t="s">
        <v>50</v>
      </c>
      <c r="D1819" t="s">
        <v>3865</v>
      </c>
      <c r="E1819" t="s">
        <v>255</v>
      </c>
      <c r="F1819" t="s">
        <v>53</v>
      </c>
      <c r="G1819" t="s">
        <v>112</v>
      </c>
      <c r="H1819" t="str">
        <f>" "</f>
        <v xml:space="preserve"> </v>
      </c>
      <c r="J1819">
        <v>2810259034</v>
      </c>
      <c r="K1819">
        <v>6972704056</v>
      </c>
      <c r="N1819" t="s">
        <v>306</v>
      </c>
      <c r="O1819" t="s">
        <v>307</v>
      </c>
      <c r="R1819" t="s">
        <v>57</v>
      </c>
      <c r="S1819">
        <v>8</v>
      </c>
      <c r="T1819">
        <v>218</v>
      </c>
      <c r="U1819" s="1">
        <v>38596</v>
      </c>
      <c r="V1819" t="s">
        <v>123</v>
      </c>
      <c r="W1819" t="s">
        <v>124</v>
      </c>
      <c r="X1819" t="s">
        <v>58</v>
      </c>
      <c r="Y1819">
        <v>20</v>
      </c>
      <c r="Z1819" t="s">
        <v>59</v>
      </c>
      <c r="AA1819" t="s">
        <v>59</v>
      </c>
      <c r="AB1819" t="s">
        <v>59</v>
      </c>
      <c r="AC1819" t="s">
        <v>59</v>
      </c>
      <c r="AD1819" t="s">
        <v>59</v>
      </c>
      <c r="AF1819" s="1">
        <v>38607</v>
      </c>
      <c r="AG1819" t="s">
        <v>125</v>
      </c>
      <c r="AH1819" t="s">
        <v>126</v>
      </c>
      <c r="AI1819" t="str">
        <f>"1701051"</f>
        <v>1701051</v>
      </c>
      <c r="AJ1819" t="s">
        <v>443</v>
      </c>
      <c r="AK1819">
        <v>2810325815</v>
      </c>
      <c r="AL1819" t="s">
        <v>444</v>
      </c>
      <c r="AM1819" t="s">
        <v>78</v>
      </c>
      <c r="AN1819" t="s">
        <v>78</v>
      </c>
      <c r="AO1819" t="s">
        <v>78</v>
      </c>
      <c r="AP1819" t="s">
        <v>163</v>
      </c>
      <c r="AQ1819">
        <v>5</v>
      </c>
      <c r="AR1819" t="s">
        <v>123</v>
      </c>
      <c r="AS1819" t="s">
        <v>124</v>
      </c>
      <c r="AT1819" t="s">
        <v>58</v>
      </c>
      <c r="AU1819" t="s">
        <v>68</v>
      </c>
      <c r="AV1819" t="s">
        <v>69</v>
      </c>
      <c r="AW1819" s="1">
        <v>27256</v>
      </c>
      <c r="AX1819">
        <v>2</v>
      </c>
    </row>
    <row r="1820" spans="1:50">
      <c r="A1820">
        <v>217670</v>
      </c>
      <c r="B1820" t="str">
        <f>"052349987"</f>
        <v>052349987</v>
      </c>
      <c r="C1820" t="s">
        <v>50</v>
      </c>
      <c r="D1820" t="s">
        <v>3865</v>
      </c>
      <c r="E1820" t="s">
        <v>3869</v>
      </c>
      <c r="F1820" t="s">
        <v>72</v>
      </c>
      <c r="G1820" t="s">
        <v>3870</v>
      </c>
      <c r="H1820" t="str">
        <f>"ΜΑΣΤΡΑΧΑ 9 ΗΡΑΚΛΕΙΟ"</f>
        <v>ΜΑΣΤΡΑΧΑ 9 ΗΡΑΚΛΕΙΟ</v>
      </c>
      <c r="I1820">
        <v>71202</v>
      </c>
      <c r="J1820">
        <v>2810243391</v>
      </c>
      <c r="K1820">
        <v>6944581442</v>
      </c>
      <c r="L1820">
        <v>2810289255</v>
      </c>
      <c r="M1820" t="s">
        <v>3871</v>
      </c>
      <c r="N1820" t="s">
        <v>146</v>
      </c>
      <c r="O1820" t="s">
        <v>147</v>
      </c>
      <c r="R1820" t="s">
        <v>57</v>
      </c>
      <c r="S1820">
        <v>11</v>
      </c>
      <c r="T1820">
        <v>599</v>
      </c>
      <c r="U1820" s="1">
        <v>39310</v>
      </c>
      <c r="V1820" t="s">
        <v>123</v>
      </c>
      <c r="W1820" t="s">
        <v>124</v>
      </c>
      <c r="X1820" t="s">
        <v>58</v>
      </c>
      <c r="Y1820">
        <v>20</v>
      </c>
      <c r="Z1820" t="s">
        <v>59</v>
      </c>
      <c r="AA1820" t="s">
        <v>59</v>
      </c>
      <c r="AB1820" t="s">
        <v>59</v>
      </c>
      <c r="AC1820" t="s">
        <v>59</v>
      </c>
      <c r="AD1820" t="s">
        <v>452</v>
      </c>
      <c r="AE1820" s="1">
        <v>43708</v>
      </c>
      <c r="AF1820" s="1">
        <v>39328</v>
      </c>
      <c r="AG1820" t="s">
        <v>60</v>
      </c>
      <c r="AH1820" t="s">
        <v>453</v>
      </c>
      <c r="AI1820" t="str">
        <f>"1700105"</f>
        <v>1700105</v>
      </c>
      <c r="AJ1820" t="s">
        <v>124</v>
      </c>
      <c r="AK1820">
        <v>2810333720</v>
      </c>
      <c r="AL1820" t="s">
        <v>454</v>
      </c>
      <c r="AM1820" t="s">
        <v>78</v>
      </c>
      <c r="AN1820" t="s">
        <v>78</v>
      </c>
      <c r="AO1820" t="s">
        <v>78</v>
      </c>
      <c r="AP1820" t="s">
        <v>79</v>
      </c>
      <c r="AS1820" t="s">
        <v>124</v>
      </c>
      <c r="AT1820" t="s">
        <v>58</v>
      </c>
      <c r="AU1820" t="s">
        <v>68</v>
      </c>
      <c r="AV1820" t="s">
        <v>455</v>
      </c>
      <c r="AW1820" s="1">
        <v>25210</v>
      </c>
      <c r="AX1820">
        <v>2</v>
      </c>
    </row>
    <row r="1821" spans="1:50">
      <c r="A1821">
        <v>171935</v>
      </c>
      <c r="B1821" t="str">
        <f>"046595881"</f>
        <v>046595881</v>
      </c>
      <c r="C1821" t="s">
        <v>50</v>
      </c>
      <c r="D1821" t="s">
        <v>3865</v>
      </c>
      <c r="E1821" t="s">
        <v>52</v>
      </c>
      <c r="F1821" t="s">
        <v>99</v>
      </c>
      <c r="G1821" t="s">
        <v>263</v>
      </c>
      <c r="H1821" t="str">
        <f>" "</f>
        <v xml:space="preserve"> </v>
      </c>
      <c r="N1821" t="s">
        <v>135</v>
      </c>
      <c r="O1821" t="s">
        <v>136</v>
      </c>
      <c r="R1821" t="s">
        <v>57</v>
      </c>
      <c r="S1821">
        <v>16</v>
      </c>
      <c r="T1821">
        <v>184</v>
      </c>
      <c r="U1821" s="1">
        <v>34941</v>
      </c>
      <c r="V1821" t="s">
        <v>123</v>
      </c>
      <c r="W1821" t="s">
        <v>124</v>
      </c>
      <c r="X1821" t="s">
        <v>58</v>
      </c>
      <c r="Y1821">
        <v>18</v>
      </c>
      <c r="Z1821" t="s">
        <v>59</v>
      </c>
      <c r="AA1821" t="s">
        <v>59</v>
      </c>
      <c r="AB1821" t="s">
        <v>59</v>
      </c>
      <c r="AC1821" t="s">
        <v>59</v>
      </c>
      <c r="AD1821" t="s">
        <v>59</v>
      </c>
      <c r="AF1821" s="1">
        <v>34946</v>
      </c>
      <c r="AG1821" t="s">
        <v>137</v>
      </c>
      <c r="AH1821" t="s">
        <v>138</v>
      </c>
      <c r="AI1821" t="str">
        <f>"1740080"</f>
        <v>1740080</v>
      </c>
      <c r="AJ1821" t="s">
        <v>284</v>
      </c>
      <c r="AK1821">
        <v>2810220433</v>
      </c>
      <c r="AL1821" t="s">
        <v>285</v>
      </c>
      <c r="AM1821" t="s">
        <v>78</v>
      </c>
      <c r="AN1821" t="s">
        <v>78</v>
      </c>
      <c r="AO1821" t="s">
        <v>286</v>
      </c>
      <c r="AP1821" t="s">
        <v>286</v>
      </c>
      <c r="AQ1821">
        <v>12</v>
      </c>
      <c r="AR1821" t="s">
        <v>123</v>
      </c>
      <c r="AS1821" t="s">
        <v>124</v>
      </c>
      <c r="AT1821" t="s">
        <v>58</v>
      </c>
      <c r="AU1821" t="s">
        <v>68</v>
      </c>
      <c r="AV1821" t="s">
        <v>69</v>
      </c>
      <c r="AW1821" s="1">
        <v>23538</v>
      </c>
      <c r="AX1821">
        <v>2</v>
      </c>
    </row>
    <row r="1822" spans="1:50">
      <c r="A1822">
        <v>225183</v>
      </c>
      <c r="B1822" t="str">
        <f>"044834004"</f>
        <v>044834004</v>
      </c>
      <c r="C1822" t="s">
        <v>50</v>
      </c>
      <c r="D1822" t="s">
        <v>3865</v>
      </c>
      <c r="E1822" t="s">
        <v>610</v>
      </c>
      <c r="F1822" t="s">
        <v>72</v>
      </c>
      <c r="G1822" t="s">
        <v>215</v>
      </c>
      <c r="H1822" t="str">
        <f>"ΠΙΤΣΟΥΛΑΚΗ 48 "</f>
        <v xml:space="preserve">ΠΙΤΣΟΥΛΑΚΗ 48 </v>
      </c>
      <c r="I1822">
        <v>71307</v>
      </c>
      <c r="J1822">
        <v>2810255567</v>
      </c>
      <c r="K1822">
        <v>6973048012</v>
      </c>
      <c r="M1822" t="s">
        <v>3872</v>
      </c>
      <c r="N1822" t="s">
        <v>176</v>
      </c>
      <c r="O1822" t="s">
        <v>177</v>
      </c>
      <c r="R1822" t="s">
        <v>57</v>
      </c>
      <c r="S1822">
        <v>8</v>
      </c>
      <c r="T1822">
        <v>775</v>
      </c>
      <c r="U1822" s="1">
        <v>39680</v>
      </c>
      <c r="V1822" t="s">
        <v>123</v>
      </c>
      <c r="W1822" t="s">
        <v>124</v>
      </c>
      <c r="X1822" t="s">
        <v>58</v>
      </c>
      <c r="Y1822">
        <v>20</v>
      </c>
      <c r="Z1822" t="s">
        <v>59</v>
      </c>
      <c r="AA1822" t="s">
        <v>59</v>
      </c>
      <c r="AB1822" t="s">
        <v>59</v>
      </c>
      <c r="AC1822" t="s">
        <v>59</v>
      </c>
      <c r="AD1822" t="s">
        <v>59</v>
      </c>
      <c r="AF1822" s="1">
        <v>39685</v>
      </c>
      <c r="AG1822" t="s">
        <v>125</v>
      </c>
      <c r="AH1822" t="s">
        <v>126</v>
      </c>
      <c r="AI1822" t="str">
        <f>"1718010"</f>
        <v>1718010</v>
      </c>
      <c r="AJ1822" t="s">
        <v>1090</v>
      </c>
      <c r="AK1822">
        <v>2897031471</v>
      </c>
      <c r="AL1822" t="s">
        <v>1091</v>
      </c>
      <c r="AM1822" t="s">
        <v>78</v>
      </c>
      <c r="AN1822" t="s">
        <v>219</v>
      </c>
      <c r="AO1822" t="s">
        <v>527</v>
      </c>
      <c r="AP1822" t="s">
        <v>527</v>
      </c>
      <c r="AQ1822">
        <v>20</v>
      </c>
      <c r="AR1822" t="s">
        <v>123</v>
      </c>
      <c r="AS1822" t="s">
        <v>124</v>
      </c>
      <c r="AT1822" t="s">
        <v>58</v>
      </c>
      <c r="AU1822" t="s">
        <v>68</v>
      </c>
      <c r="AV1822" t="s">
        <v>69</v>
      </c>
      <c r="AW1822" s="1">
        <v>24655</v>
      </c>
      <c r="AX1822">
        <v>2</v>
      </c>
    </row>
    <row r="1823" spans="1:50">
      <c r="A1823">
        <v>220045</v>
      </c>
      <c r="B1823" t="str">
        <f>"070360164"</f>
        <v>070360164</v>
      </c>
      <c r="C1823" t="s">
        <v>50</v>
      </c>
      <c r="D1823" t="s">
        <v>3865</v>
      </c>
      <c r="E1823" t="s">
        <v>1078</v>
      </c>
      <c r="F1823" t="s">
        <v>53</v>
      </c>
      <c r="G1823" t="s">
        <v>3873</v>
      </c>
      <c r="H1823" t="str">
        <f>"ΤΕΡΨΙΧΟΡΗΣ 17 ΝΕΑ ΑΛΑΤΣΑΤΑ"</f>
        <v>ΤΕΡΨΙΧΟΡΗΣ 17 ΝΕΑ ΑΛΑΤΣΑΤΑ</v>
      </c>
      <c r="I1823">
        <v>71409</v>
      </c>
      <c r="J1823">
        <v>2810324783</v>
      </c>
      <c r="K1823">
        <v>6945169209</v>
      </c>
      <c r="N1823" t="s">
        <v>282</v>
      </c>
      <c r="O1823" t="s">
        <v>283</v>
      </c>
      <c r="R1823" t="s">
        <v>57</v>
      </c>
      <c r="S1823">
        <v>8</v>
      </c>
      <c r="T1823">
        <v>599</v>
      </c>
      <c r="U1823" s="1">
        <v>39310</v>
      </c>
      <c r="V1823" t="s">
        <v>123</v>
      </c>
      <c r="W1823" t="s">
        <v>124</v>
      </c>
      <c r="X1823" t="s">
        <v>58</v>
      </c>
      <c r="Y1823">
        <v>21</v>
      </c>
      <c r="Z1823" t="s">
        <v>59</v>
      </c>
      <c r="AA1823" t="s">
        <v>59</v>
      </c>
      <c r="AB1823" t="s">
        <v>59</v>
      </c>
      <c r="AC1823" t="s">
        <v>59</v>
      </c>
      <c r="AD1823" t="s">
        <v>59</v>
      </c>
      <c r="AF1823" s="1">
        <v>39329</v>
      </c>
      <c r="AG1823" t="s">
        <v>137</v>
      </c>
      <c r="AH1823" t="s">
        <v>138</v>
      </c>
      <c r="AI1823" t="str">
        <f>"1750080"</f>
        <v>1750080</v>
      </c>
      <c r="AJ1823" t="s">
        <v>170</v>
      </c>
      <c r="AK1823">
        <v>2810234444</v>
      </c>
      <c r="AL1823" t="s">
        <v>171</v>
      </c>
      <c r="AM1823" t="s">
        <v>78</v>
      </c>
      <c r="AN1823" t="s">
        <v>78</v>
      </c>
      <c r="AO1823" t="s">
        <v>78</v>
      </c>
      <c r="AP1823" t="s">
        <v>163</v>
      </c>
      <c r="AQ1823">
        <v>9</v>
      </c>
      <c r="AR1823" t="s">
        <v>123</v>
      </c>
      <c r="AS1823" t="s">
        <v>124</v>
      </c>
      <c r="AT1823" t="s">
        <v>58</v>
      </c>
      <c r="AU1823" t="s">
        <v>68</v>
      </c>
      <c r="AV1823" t="s">
        <v>69</v>
      </c>
      <c r="AW1823" s="1">
        <v>27501</v>
      </c>
      <c r="AX1823">
        <v>2</v>
      </c>
    </row>
    <row r="1824" spans="1:50">
      <c r="A1824">
        <v>194554</v>
      </c>
      <c r="B1824" t="str">
        <f>"035085709"</f>
        <v>035085709</v>
      </c>
      <c r="C1824" t="s">
        <v>105</v>
      </c>
      <c r="D1824" t="s">
        <v>3874</v>
      </c>
      <c r="E1824" t="s">
        <v>95</v>
      </c>
      <c r="F1824" t="s">
        <v>99</v>
      </c>
      <c r="G1824" t="s">
        <v>155</v>
      </c>
      <c r="H1824" t="str">
        <f>"Ρωμιοσύνης 22 Μαραθίτης"</f>
        <v>Ρωμιοσύνης 22 Μαραθίτης</v>
      </c>
      <c r="I1824">
        <v>71409</v>
      </c>
      <c r="J1824">
        <v>2810322618</v>
      </c>
      <c r="K1824">
        <v>6948052297</v>
      </c>
      <c r="N1824" t="s">
        <v>176</v>
      </c>
      <c r="O1824" t="s">
        <v>177</v>
      </c>
      <c r="R1824" t="s">
        <v>57</v>
      </c>
      <c r="S1824">
        <v>11</v>
      </c>
      <c r="T1824">
        <v>193</v>
      </c>
      <c r="U1824" s="1">
        <v>37497</v>
      </c>
      <c r="V1824" t="s">
        <v>123</v>
      </c>
      <c r="W1824" t="s">
        <v>124</v>
      </c>
      <c r="X1824" t="s">
        <v>58</v>
      </c>
      <c r="Y1824">
        <v>18</v>
      </c>
      <c r="Z1824" t="s">
        <v>59</v>
      </c>
      <c r="AA1824" t="s">
        <v>59</v>
      </c>
      <c r="AB1824" t="s">
        <v>59</v>
      </c>
      <c r="AC1824" t="s">
        <v>59</v>
      </c>
      <c r="AD1824" t="s">
        <v>59</v>
      </c>
      <c r="AF1824" s="1">
        <v>37501</v>
      </c>
      <c r="AG1824" t="s">
        <v>148</v>
      </c>
      <c r="AH1824" t="s">
        <v>149</v>
      </c>
      <c r="AI1824" t="str">
        <f>"1790100"</f>
        <v>1790100</v>
      </c>
      <c r="AJ1824" t="s">
        <v>252</v>
      </c>
      <c r="AK1824">
        <v>2810234876</v>
      </c>
      <c r="AL1824" t="s">
        <v>253</v>
      </c>
      <c r="AM1824" t="s">
        <v>78</v>
      </c>
      <c r="AN1824" t="s">
        <v>78</v>
      </c>
      <c r="AO1824" t="s">
        <v>78</v>
      </c>
      <c r="AP1824" t="s">
        <v>163</v>
      </c>
      <c r="AQ1824">
        <v>5</v>
      </c>
      <c r="AR1824" t="s">
        <v>123</v>
      </c>
      <c r="AS1824" t="s">
        <v>124</v>
      </c>
      <c r="AT1824" t="s">
        <v>58</v>
      </c>
      <c r="AU1824" t="s">
        <v>68</v>
      </c>
      <c r="AV1824" t="s">
        <v>69</v>
      </c>
      <c r="AW1824" s="1">
        <v>22376</v>
      </c>
      <c r="AX1824">
        <v>2</v>
      </c>
    </row>
    <row r="1825" spans="1:50">
      <c r="A1825">
        <v>200870</v>
      </c>
      <c r="B1825" t="str">
        <f>"047830164"</f>
        <v>047830164</v>
      </c>
      <c r="C1825" t="s">
        <v>105</v>
      </c>
      <c r="D1825" t="s">
        <v>3874</v>
      </c>
      <c r="E1825" t="s">
        <v>166</v>
      </c>
      <c r="F1825" t="s">
        <v>72</v>
      </c>
      <c r="G1825" t="s">
        <v>3875</v>
      </c>
      <c r="H1825" t="str">
        <f>"ΔΑΒΑΚΗ 21 ΠΟΡΟΣ"</f>
        <v>ΔΑΒΑΚΗ 21 ΠΟΡΟΣ</v>
      </c>
      <c r="I1825">
        <v>71307</v>
      </c>
      <c r="J1825">
        <v>2810245306</v>
      </c>
      <c r="K1825">
        <v>6978294482</v>
      </c>
      <c r="M1825" t="s">
        <v>3876</v>
      </c>
      <c r="N1825" t="s">
        <v>204</v>
      </c>
      <c r="O1825" t="s">
        <v>205</v>
      </c>
      <c r="R1825" t="s">
        <v>57</v>
      </c>
      <c r="S1825">
        <v>7</v>
      </c>
      <c r="T1825">
        <v>213</v>
      </c>
      <c r="U1825" s="1">
        <v>37874</v>
      </c>
      <c r="V1825" t="s">
        <v>123</v>
      </c>
      <c r="W1825" t="s">
        <v>124</v>
      </c>
      <c r="X1825" t="s">
        <v>58</v>
      </c>
      <c r="Y1825">
        <v>20</v>
      </c>
      <c r="Z1825" t="s">
        <v>59</v>
      </c>
      <c r="AA1825" t="s">
        <v>59</v>
      </c>
      <c r="AB1825" t="s">
        <v>59</v>
      </c>
      <c r="AC1825" t="s">
        <v>59</v>
      </c>
      <c r="AD1825" t="s">
        <v>59</v>
      </c>
      <c r="AF1825" s="1">
        <v>37876</v>
      </c>
      <c r="AG1825" t="s">
        <v>148</v>
      </c>
      <c r="AH1825" t="s">
        <v>1053</v>
      </c>
      <c r="AI1825" t="str">
        <f>"1790200"</f>
        <v>1790200</v>
      </c>
      <c r="AJ1825" t="s">
        <v>1054</v>
      </c>
      <c r="AK1825">
        <v>2810360880</v>
      </c>
      <c r="AL1825" t="s">
        <v>1055</v>
      </c>
      <c r="AM1825" t="s">
        <v>78</v>
      </c>
      <c r="AN1825" t="s">
        <v>78</v>
      </c>
      <c r="AO1825" t="s">
        <v>78</v>
      </c>
      <c r="AP1825" t="s">
        <v>163</v>
      </c>
      <c r="AQ1825">
        <v>8</v>
      </c>
      <c r="AR1825" t="s">
        <v>123</v>
      </c>
      <c r="AS1825" t="s">
        <v>124</v>
      </c>
      <c r="AT1825" t="s">
        <v>58</v>
      </c>
      <c r="AU1825" t="s">
        <v>68</v>
      </c>
      <c r="AV1825" t="s">
        <v>69</v>
      </c>
      <c r="AW1825" s="1">
        <v>25533</v>
      </c>
      <c r="AX1825">
        <v>2</v>
      </c>
    </row>
    <row r="1826" spans="1:50">
      <c r="A1826">
        <v>213388</v>
      </c>
      <c r="B1826" t="str">
        <f>"064552329"</f>
        <v>064552329</v>
      </c>
      <c r="C1826" t="s">
        <v>105</v>
      </c>
      <c r="D1826" t="s">
        <v>3874</v>
      </c>
      <c r="E1826" t="s">
        <v>166</v>
      </c>
      <c r="F1826" t="s">
        <v>92</v>
      </c>
      <c r="G1826" t="s">
        <v>215</v>
      </c>
      <c r="H1826" t="str">
        <f>"ΑΣΤΕΡΟΥΣΙΩΝ 34 ΗΡΑΚΛΕΙΟ"</f>
        <v>ΑΣΤΕΡΟΥΣΙΩΝ 34 ΗΡΑΚΛΕΙΟ</v>
      </c>
      <c r="J1826">
        <v>2810253140</v>
      </c>
      <c r="K1826">
        <v>6978293155</v>
      </c>
      <c r="L1826">
        <v>2817703057</v>
      </c>
      <c r="M1826" t="s">
        <v>3877</v>
      </c>
      <c r="N1826" t="s">
        <v>232</v>
      </c>
      <c r="O1826" t="s">
        <v>233</v>
      </c>
      <c r="R1826" t="s">
        <v>57</v>
      </c>
      <c r="S1826">
        <v>6</v>
      </c>
      <c r="T1826">
        <v>231</v>
      </c>
      <c r="U1826" s="1">
        <v>38960</v>
      </c>
      <c r="V1826" t="s">
        <v>123</v>
      </c>
      <c r="W1826" t="s">
        <v>124</v>
      </c>
      <c r="X1826" t="s">
        <v>58</v>
      </c>
      <c r="Y1826">
        <v>20</v>
      </c>
      <c r="Z1826" t="s">
        <v>59</v>
      </c>
      <c r="AA1826" t="s">
        <v>59</v>
      </c>
      <c r="AB1826" t="s">
        <v>59</v>
      </c>
      <c r="AC1826" t="s">
        <v>59</v>
      </c>
      <c r="AD1826" t="s">
        <v>59</v>
      </c>
      <c r="AF1826" s="1">
        <v>38961</v>
      </c>
      <c r="AG1826" t="s">
        <v>125</v>
      </c>
      <c r="AH1826" t="s">
        <v>126</v>
      </c>
      <c r="AI1826" t="str">
        <f>"1714012"</f>
        <v>1714012</v>
      </c>
      <c r="AJ1826" t="s">
        <v>633</v>
      </c>
      <c r="AK1826">
        <v>2810762261</v>
      </c>
      <c r="AL1826" t="s">
        <v>634</v>
      </c>
      <c r="AM1826" t="s">
        <v>78</v>
      </c>
      <c r="AN1826" t="s">
        <v>219</v>
      </c>
      <c r="AO1826" t="s">
        <v>297</v>
      </c>
      <c r="AP1826" t="s">
        <v>297</v>
      </c>
      <c r="AQ1826">
        <v>37</v>
      </c>
      <c r="AR1826" t="s">
        <v>123</v>
      </c>
      <c r="AS1826" t="s">
        <v>124</v>
      </c>
      <c r="AT1826" t="s">
        <v>58</v>
      </c>
      <c r="AU1826" t="s">
        <v>68</v>
      </c>
      <c r="AV1826" t="s">
        <v>69</v>
      </c>
      <c r="AW1826" s="1">
        <v>26754</v>
      </c>
      <c r="AX1826">
        <v>2</v>
      </c>
    </row>
    <row r="1827" spans="1:50">
      <c r="A1827">
        <v>202467</v>
      </c>
      <c r="B1827" t="str">
        <f>"032986174"</f>
        <v>032986174</v>
      </c>
      <c r="C1827" t="s">
        <v>105</v>
      </c>
      <c r="D1827" t="s">
        <v>3874</v>
      </c>
      <c r="E1827" t="s">
        <v>99</v>
      </c>
      <c r="F1827" t="s">
        <v>53</v>
      </c>
      <c r="G1827" t="s">
        <v>255</v>
      </c>
      <c r="H1827" t="str">
        <f>"ΕΘΝΙΚΗΣ ΑΝΤΙΣΤΑΣΗΣ ΚΑΙ ΦΙΛΑΔΕΛΦΕΙΑΣ 1  ΒΑΣΙΛΙΕΣ ΗΡΑΚΛΕΙΟΥ"</f>
        <v>ΕΘΝΙΚΗΣ ΑΝΤΙΣΤΑΣΗΣ ΚΑΙ ΦΙΛΑΔΕΛΦΕΙΑΣ 1  ΒΑΣΙΛΙΕΣ ΗΡΑΚΛΕΙΟΥ</v>
      </c>
      <c r="I1827">
        <v>71500</v>
      </c>
      <c r="J1827">
        <v>2810321128</v>
      </c>
      <c r="K1827">
        <v>6944781191</v>
      </c>
      <c r="N1827" t="s">
        <v>292</v>
      </c>
      <c r="O1827" t="s">
        <v>293</v>
      </c>
      <c r="R1827" t="s">
        <v>57</v>
      </c>
      <c r="S1827">
        <v>7</v>
      </c>
      <c r="T1827">
        <v>231</v>
      </c>
      <c r="U1827" s="1">
        <v>38230</v>
      </c>
      <c r="V1827" t="s">
        <v>123</v>
      </c>
      <c r="W1827" t="s">
        <v>124</v>
      </c>
      <c r="X1827" t="s">
        <v>58</v>
      </c>
      <c r="Y1827">
        <v>20</v>
      </c>
      <c r="Z1827" t="s">
        <v>59</v>
      </c>
      <c r="AA1827" t="s">
        <v>59</v>
      </c>
      <c r="AB1827" t="s">
        <v>59</v>
      </c>
      <c r="AC1827" t="s">
        <v>59</v>
      </c>
      <c r="AD1827" t="s">
        <v>59</v>
      </c>
      <c r="AF1827" s="1">
        <v>38231</v>
      </c>
      <c r="AG1827" t="s">
        <v>148</v>
      </c>
      <c r="AH1827" t="s">
        <v>149</v>
      </c>
      <c r="AI1827" t="str">
        <f>"1751020"</f>
        <v>1751020</v>
      </c>
      <c r="AJ1827" t="s">
        <v>532</v>
      </c>
      <c r="AK1827">
        <v>2810372732</v>
      </c>
      <c r="AL1827" t="s">
        <v>533</v>
      </c>
      <c r="AM1827" t="s">
        <v>78</v>
      </c>
      <c r="AN1827" t="s">
        <v>78</v>
      </c>
      <c r="AO1827" t="s">
        <v>78</v>
      </c>
      <c r="AP1827" t="s">
        <v>163</v>
      </c>
      <c r="AQ1827">
        <v>3</v>
      </c>
      <c r="AR1827" t="s">
        <v>123</v>
      </c>
      <c r="AS1827" t="s">
        <v>124</v>
      </c>
      <c r="AT1827" t="s">
        <v>58</v>
      </c>
      <c r="AU1827" t="s">
        <v>68</v>
      </c>
      <c r="AV1827" t="s">
        <v>69</v>
      </c>
      <c r="AW1827" s="1">
        <v>22775</v>
      </c>
      <c r="AX1827">
        <v>2</v>
      </c>
    </row>
    <row r="1828" spans="1:50">
      <c r="A1828">
        <v>177426</v>
      </c>
      <c r="B1828" t="str">
        <f>"035187321"</f>
        <v>035187321</v>
      </c>
      <c r="C1828" t="s">
        <v>105</v>
      </c>
      <c r="D1828" t="s">
        <v>3874</v>
      </c>
      <c r="E1828" t="s">
        <v>53</v>
      </c>
      <c r="F1828" t="s">
        <v>154</v>
      </c>
      <c r="G1828" t="s">
        <v>1065</v>
      </c>
      <c r="H1828" t="str">
        <f>" "</f>
        <v xml:space="preserve"> </v>
      </c>
      <c r="M1828" t="s">
        <v>3878</v>
      </c>
      <c r="N1828" t="s">
        <v>189</v>
      </c>
      <c r="O1828" t="s">
        <v>190</v>
      </c>
      <c r="R1828" t="s">
        <v>57</v>
      </c>
      <c r="S1828">
        <v>14</v>
      </c>
      <c r="T1828">
        <v>180</v>
      </c>
      <c r="U1828" s="1">
        <v>35674</v>
      </c>
      <c r="V1828" t="s">
        <v>123</v>
      </c>
      <c r="W1828" t="s">
        <v>124</v>
      </c>
      <c r="X1828" t="s">
        <v>58</v>
      </c>
      <c r="Y1828">
        <v>18</v>
      </c>
      <c r="Z1828" t="s">
        <v>59</v>
      </c>
      <c r="AA1828" t="s">
        <v>59</v>
      </c>
      <c r="AB1828" t="s">
        <v>59</v>
      </c>
      <c r="AC1828" t="s">
        <v>59</v>
      </c>
      <c r="AD1828" t="s">
        <v>59</v>
      </c>
      <c r="AF1828" s="1">
        <v>35674</v>
      </c>
      <c r="AG1828" t="s">
        <v>137</v>
      </c>
      <c r="AH1828" t="s">
        <v>469</v>
      </c>
      <c r="AI1828" t="str">
        <f>"1740200"</f>
        <v>1740200</v>
      </c>
      <c r="AJ1828" t="s">
        <v>470</v>
      </c>
      <c r="AK1828">
        <v>2810320770</v>
      </c>
      <c r="AL1828" t="s">
        <v>471</v>
      </c>
      <c r="AM1828" t="s">
        <v>78</v>
      </c>
      <c r="AN1828" t="s">
        <v>78</v>
      </c>
      <c r="AO1828" t="s">
        <v>78</v>
      </c>
      <c r="AP1828" t="s">
        <v>163</v>
      </c>
      <c r="AQ1828">
        <v>2</v>
      </c>
      <c r="AR1828" t="s">
        <v>123</v>
      </c>
      <c r="AS1828" t="s">
        <v>124</v>
      </c>
      <c r="AT1828" t="s">
        <v>58</v>
      </c>
      <c r="AU1828" t="s">
        <v>68</v>
      </c>
      <c r="AV1828" t="s">
        <v>69</v>
      </c>
      <c r="AW1828" s="1">
        <v>22254</v>
      </c>
      <c r="AX1828">
        <v>2</v>
      </c>
    </row>
    <row r="1829" spans="1:50">
      <c r="A1829">
        <v>166178</v>
      </c>
      <c r="B1829" t="str">
        <f>"030964985"</f>
        <v>030964985</v>
      </c>
      <c r="C1829" t="s">
        <v>105</v>
      </c>
      <c r="D1829" t="s">
        <v>3879</v>
      </c>
      <c r="E1829" t="s">
        <v>311</v>
      </c>
      <c r="F1829" t="s">
        <v>900</v>
      </c>
      <c r="G1829" t="s">
        <v>325</v>
      </c>
      <c r="H1829" t="str">
        <f>"ΑΡΕΤΗΣ 7 ΑΤΣΑΛΕΝΙΟ"</f>
        <v>ΑΡΕΤΗΣ 7 ΑΤΣΑΛΕΝΙΟ</v>
      </c>
      <c r="I1829">
        <v>71306</v>
      </c>
      <c r="J1829">
        <v>2810323444</v>
      </c>
      <c r="K1829">
        <v>6972021314</v>
      </c>
      <c r="M1829" t="s">
        <v>3880</v>
      </c>
      <c r="N1829" t="s">
        <v>232</v>
      </c>
      <c r="O1829" t="s">
        <v>233</v>
      </c>
      <c r="R1829" t="s">
        <v>57</v>
      </c>
      <c r="S1829">
        <v>17</v>
      </c>
      <c r="T1829">
        <v>137</v>
      </c>
      <c r="U1829" s="1">
        <v>34206</v>
      </c>
      <c r="V1829" t="s">
        <v>123</v>
      </c>
      <c r="W1829" t="s">
        <v>124</v>
      </c>
      <c r="X1829" t="s">
        <v>58</v>
      </c>
      <c r="Y1829">
        <v>18</v>
      </c>
      <c r="Z1829" t="s">
        <v>59</v>
      </c>
      <c r="AA1829" t="s">
        <v>59</v>
      </c>
      <c r="AB1829" t="s">
        <v>59</v>
      </c>
      <c r="AC1829" t="s">
        <v>59</v>
      </c>
      <c r="AD1829" t="s">
        <v>59</v>
      </c>
      <c r="AF1829" s="1">
        <v>34213</v>
      </c>
      <c r="AG1829" t="s">
        <v>148</v>
      </c>
      <c r="AH1829" t="s">
        <v>149</v>
      </c>
      <c r="AI1829" t="str">
        <f>"1751051"</f>
        <v>1751051</v>
      </c>
      <c r="AJ1829" t="s">
        <v>259</v>
      </c>
      <c r="AK1829">
        <v>2810251794</v>
      </c>
      <c r="AL1829" t="s">
        <v>260</v>
      </c>
      <c r="AM1829" t="s">
        <v>78</v>
      </c>
      <c r="AN1829" t="s">
        <v>78</v>
      </c>
      <c r="AO1829" t="s">
        <v>78</v>
      </c>
      <c r="AP1829" t="s">
        <v>141</v>
      </c>
      <c r="AQ1829">
        <v>7</v>
      </c>
      <c r="AR1829" t="s">
        <v>123</v>
      </c>
      <c r="AS1829" t="s">
        <v>124</v>
      </c>
      <c r="AT1829" t="s">
        <v>58</v>
      </c>
      <c r="AU1829" t="s">
        <v>68</v>
      </c>
      <c r="AV1829" t="s">
        <v>69</v>
      </c>
      <c r="AW1829" s="1">
        <v>21471</v>
      </c>
      <c r="AX1829">
        <v>2</v>
      </c>
    </row>
    <row r="1830" spans="1:50">
      <c r="A1830">
        <v>209744</v>
      </c>
      <c r="B1830" t="str">
        <f>"079852661"</f>
        <v>079852661</v>
      </c>
      <c r="C1830" t="s">
        <v>105</v>
      </c>
      <c r="D1830" t="s">
        <v>3879</v>
      </c>
      <c r="E1830" t="s">
        <v>920</v>
      </c>
      <c r="F1830" t="s">
        <v>154</v>
      </c>
      <c r="G1830" t="s">
        <v>316</v>
      </c>
      <c r="H1830" t="str">
        <f>"ΑΝ. ΠΑΠΑΝΔΡΕΟΥ 96 ΧΑΝΙΑ"</f>
        <v>ΑΝ. ΠΑΠΑΝΔΡΕΟΥ 96 ΧΑΝΙΑ</v>
      </c>
      <c r="I1830">
        <v>73131</v>
      </c>
      <c r="J1830">
        <v>2821057151</v>
      </c>
      <c r="K1830">
        <v>6947831240</v>
      </c>
      <c r="N1830" t="s">
        <v>146</v>
      </c>
      <c r="O1830" t="s">
        <v>147</v>
      </c>
      <c r="R1830" t="s">
        <v>57</v>
      </c>
      <c r="S1830">
        <v>8</v>
      </c>
      <c r="T1830">
        <v>225</v>
      </c>
      <c r="U1830" s="1">
        <v>38604</v>
      </c>
      <c r="V1830" t="s">
        <v>123</v>
      </c>
      <c r="W1830" t="s">
        <v>124</v>
      </c>
      <c r="X1830" t="s">
        <v>58</v>
      </c>
      <c r="Y1830">
        <v>20</v>
      </c>
      <c r="Z1830" t="s">
        <v>59</v>
      </c>
      <c r="AA1830" t="s">
        <v>59</v>
      </c>
      <c r="AB1830" t="s">
        <v>59</v>
      </c>
      <c r="AC1830" t="s">
        <v>59</v>
      </c>
      <c r="AD1830" t="s">
        <v>59</v>
      </c>
      <c r="AF1830" s="1">
        <v>38607</v>
      </c>
      <c r="AG1830" t="s">
        <v>148</v>
      </c>
      <c r="AH1830" t="s">
        <v>149</v>
      </c>
      <c r="AI1830" t="str">
        <f>"1767011"</f>
        <v>1767011</v>
      </c>
      <c r="AJ1830" t="s">
        <v>217</v>
      </c>
      <c r="AK1830">
        <v>2897021055</v>
      </c>
      <c r="AL1830" t="s">
        <v>218</v>
      </c>
      <c r="AM1830" t="s">
        <v>78</v>
      </c>
      <c r="AN1830" t="s">
        <v>219</v>
      </c>
      <c r="AO1830" t="s">
        <v>219</v>
      </c>
      <c r="AP1830" t="s">
        <v>220</v>
      </c>
      <c r="AQ1830">
        <v>20</v>
      </c>
      <c r="AR1830" t="s">
        <v>123</v>
      </c>
      <c r="AS1830" t="s">
        <v>124</v>
      </c>
      <c r="AT1830" t="s">
        <v>58</v>
      </c>
      <c r="AU1830" t="s">
        <v>68</v>
      </c>
      <c r="AV1830" t="s">
        <v>69</v>
      </c>
      <c r="AW1830" s="1">
        <v>26473</v>
      </c>
      <c r="AX1830">
        <v>2</v>
      </c>
    </row>
    <row r="1831" spans="1:50">
      <c r="A1831">
        <v>188789</v>
      </c>
      <c r="B1831" t="str">
        <f>"035577009"</f>
        <v>035577009</v>
      </c>
      <c r="C1831" t="s">
        <v>105</v>
      </c>
      <c r="D1831" t="s">
        <v>3881</v>
      </c>
      <c r="E1831" t="s">
        <v>106</v>
      </c>
      <c r="F1831" t="s">
        <v>450</v>
      </c>
      <c r="G1831" t="s">
        <v>112</v>
      </c>
      <c r="H1831" t="str">
        <f>"ΑΡΙΑΔΝΗΣ 25 ΗΡΑΚΛΕΙΟ"</f>
        <v>ΑΡΙΑΔΝΗΣ 25 ΗΡΑΚΛΕΙΟ</v>
      </c>
      <c r="I1831">
        <v>71202</v>
      </c>
      <c r="J1831">
        <v>2810220204</v>
      </c>
      <c r="K1831">
        <v>6972055117</v>
      </c>
      <c r="M1831" t="s">
        <v>3882</v>
      </c>
      <c r="N1831" t="s">
        <v>204</v>
      </c>
      <c r="O1831" t="s">
        <v>205</v>
      </c>
      <c r="R1831" t="s">
        <v>57</v>
      </c>
      <c r="S1831">
        <v>12</v>
      </c>
      <c r="T1831" t="s">
        <v>3883</v>
      </c>
      <c r="U1831" s="1">
        <v>36039</v>
      </c>
      <c r="V1831" t="s">
        <v>123</v>
      </c>
      <c r="W1831" t="s">
        <v>124</v>
      </c>
      <c r="X1831" t="s">
        <v>58</v>
      </c>
      <c r="Y1831">
        <v>18</v>
      </c>
      <c r="Z1831" t="s">
        <v>59</v>
      </c>
      <c r="AA1831" t="s">
        <v>59</v>
      </c>
      <c r="AB1831" t="s">
        <v>59</v>
      </c>
      <c r="AC1831" t="s">
        <v>59</v>
      </c>
      <c r="AD1831" t="s">
        <v>59</v>
      </c>
      <c r="AF1831" s="1">
        <v>36770</v>
      </c>
      <c r="AG1831" t="s">
        <v>148</v>
      </c>
      <c r="AH1831" t="s">
        <v>149</v>
      </c>
      <c r="AI1831" t="str">
        <f>"1751010"</f>
        <v>1751010</v>
      </c>
      <c r="AJ1831" t="s">
        <v>150</v>
      </c>
      <c r="AK1831">
        <v>2810346092</v>
      </c>
      <c r="AL1831" t="s">
        <v>151</v>
      </c>
      <c r="AM1831" t="s">
        <v>78</v>
      </c>
      <c r="AN1831" t="s">
        <v>78</v>
      </c>
      <c r="AO1831" t="s">
        <v>78</v>
      </c>
      <c r="AP1831" t="s">
        <v>79</v>
      </c>
      <c r="AQ1831">
        <v>1</v>
      </c>
      <c r="AR1831" t="s">
        <v>123</v>
      </c>
      <c r="AS1831" t="s">
        <v>124</v>
      </c>
      <c r="AT1831" t="s">
        <v>58</v>
      </c>
      <c r="AU1831" t="s">
        <v>68</v>
      </c>
      <c r="AV1831" t="s">
        <v>69</v>
      </c>
      <c r="AW1831" s="1">
        <v>24540</v>
      </c>
      <c r="AX1831">
        <v>2</v>
      </c>
    </row>
    <row r="1832" spans="1:50">
      <c r="A1832">
        <v>187777</v>
      </c>
      <c r="B1832" t="str">
        <f>"064556537"</f>
        <v>064556537</v>
      </c>
      <c r="C1832" t="s">
        <v>50</v>
      </c>
      <c r="D1832" t="s">
        <v>3884</v>
      </c>
      <c r="E1832" t="s">
        <v>314</v>
      </c>
      <c r="F1832" t="s">
        <v>53</v>
      </c>
      <c r="G1832" t="s">
        <v>845</v>
      </c>
      <c r="H1832" t="str">
        <f>" "</f>
        <v xml:space="preserve"> </v>
      </c>
      <c r="J1832">
        <v>2810752942</v>
      </c>
      <c r="M1832" t="s">
        <v>3885</v>
      </c>
      <c r="N1832" t="s">
        <v>204</v>
      </c>
      <c r="O1832" t="s">
        <v>205</v>
      </c>
      <c r="P1832" t="s">
        <v>292</v>
      </c>
      <c r="Q1832" t="s">
        <v>293</v>
      </c>
      <c r="R1832" t="s">
        <v>57</v>
      </c>
      <c r="S1832">
        <v>10</v>
      </c>
      <c r="T1832">
        <v>251</v>
      </c>
      <c r="U1832" s="1">
        <v>36769</v>
      </c>
      <c r="V1832" t="s">
        <v>123</v>
      </c>
      <c r="W1832" t="s">
        <v>124</v>
      </c>
      <c r="X1832" t="s">
        <v>58</v>
      </c>
      <c r="Y1832">
        <v>18</v>
      </c>
      <c r="Z1832" t="s">
        <v>59</v>
      </c>
      <c r="AA1832" t="s">
        <v>59</v>
      </c>
      <c r="AB1832" t="s">
        <v>59</v>
      </c>
      <c r="AC1832" t="s">
        <v>59</v>
      </c>
      <c r="AD1832" t="s">
        <v>59</v>
      </c>
      <c r="AF1832" s="1">
        <v>36770</v>
      </c>
      <c r="AG1832" t="s">
        <v>137</v>
      </c>
      <c r="AH1832" t="s">
        <v>138</v>
      </c>
      <c r="AI1832" t="str">
        <f>"1740080"</f>
        <v>1740080</v>
      </c>
      <c r="AJ1832" t="s">
        <v>284</v>
      </c>
      <c r="AK1832">
        <v>2810220433</v>
      </c>
      <c r="AL1832" t="s">
        <v>285</v>
      </c>
      <c r="AM1832" t="s">
        <v>78</v>
      </c>
      <c r="AN1832" t="s">
        <v>78</v>
      </c>
      <c r="AO1832" t="s">
        <v>286</v>
      </c>
      <c r="AP1832" t="s">
        <v>286</v>
      </c>
      <c r="AQ1832">
        <v>12</v>
      </c>
      <c r="AR1832" t="s">
        <v>123</v>
      </c>
      <c r="AS1832" t="s">
        <v>124</v>
      </c>
      <c r="AT1832" t="s">
        <v>58</v>
      </c>
      <c r="AU1832" t="s">
        <v>68</v>
      </c>
      <c r="AV1832" t="s">
        <v>69</v>
      </c>
      <c r="AW1832" s="1">
        <v>24141</v>
      </c>
      <c r="AX1832">
        <v>2</v>
      </c>
    </row>
    <row r="1833" spans="1:50">
      <c r="A1833">
        <v>202010</v>
      </c>
      <c r="B1833" t="str">
        <f>"127762095"</f>
        <v>127762095</v>
      </c>
      <c r="C1833" t="s">
        <v>105</v>
      </c>
      <c r="D1833" t="s">
        <v>3886</v>
      </c>
      <c r="E1833" t="s">
        <v>3887</v>
      </c>
      <c r="F1833" t="s">
        <v>72</v>
      </c>
      <c r="G1833" t="s">
        <v>1001</v>
      </c>
      <c r="H1833" t="str">
        <f>" "</f>
        <v xml:space="preserve"> </v>
      </c>
      <c r="J1833">
        <v>2107217326</v>
      </c>
      <c r="N1833" t="s">
        <v>146</v>
      </c>
      <c r="O1833" t="s">
        <v>147</v>
      </c>
      <c r="R1833" t="s">
        <v>57</v>
      </c>
      <c r="S1833">
        <v>12</v>
      </c>
      <c r="T1833">
        <v>231</v>
      </c>
      <c r="U1833" s="1">
        <v>38230</v>
      </c>
      <c r="V1833" t="s">
        <v>123</v>
      </c>
      <c r="W1833" t="s">
        <v>124</v>
      </c>
      <c r="X1833" t="s">
        <v>58</v>
      </c>
      <c r="Y1833">
        <v>20</v>
      </c>
      <c r="Z1833" t="s">
        <v>59</v>
      </c>
      <c r="AA1833" t="s">
        <v>59</v>
      </c>
      <c r="AB1833" t="s">
        <v>59</v>
      </c>
      <c r="AC1833" t="s">
        <v>59</v>
      </c>
      <c r="AD1833" t="s">
        <v>59</v>
      </c>
      <c r="AF1833" s="1">
        <v>38240</v>
      </c>
      <c r="AG1833" t="s">
        <v>125</v>
      </c>
      <c r="AH1833" t="s">
        <v>386</v>
      </c>
      <c r="AI1833" t="str">
        <f>"1741002"</f>
        <v>1741002</v>
      </c>
      <c r="AJ1833" t="s">
        <v>387</v>
      </c>
      <c r="AK1833">
        <v>2810762610</v>
      </c>
      <c r="AL1833" t="s">
        <v>388</v>
      </c>
      <c r="AM1833" t="s">
        <v>78</v>
      </c>
      <c r="AN1833" t="s">
        <v>219</v>
      </c>
      <c r="AO1833" t="s">
        <v>297</v>
      </c>
      <c r="AP1833" t="s">
        <v>297</v>
      </c>
      <c r="AQ1833">
        <v>10</v>
      </c>
      <c r="AR1833" t="s">
        <v>123</v>
      </c>
      <c r="AS1833" t="s">
        <v>124</v>
      </c>
      <c r="AT1833" t="s">
        <v>58</v>
      </c>
      <c r="AU1833" t="s">
        <v>68</v>
      </c>
      <c r="AV1833" t="s">
        <v>69</v>
      </c>
      <c r="AW1833" s="1">
        <v>27072</v>
      </c>
      <c r="AX1833">
        <v>2</v>
      </c>
    </row>
    <row r="1834" spans="1:50">
      <c r="A1834">
        <v>221610</v>
      </c>
      <c r="B1834" t="str">
        <f>"032835034"</f>
        <v>032835034</v>
      </c>
      <c r="C1834" t="s">
        <v>50</v>
      </c>
      <c r="D1834" t="s">
        <v>3888</v>
      </c>
      <c r="E1834" t="s">
        <v>255</v>
      </c>
      <c r="F1834" t="s">
        <v>99</v>
      </c>
      <c r="G1834" t="s">
        <v>787</v>
      </c>
      <c r="H1834" t="str">
        <f>" "</f>
        <v xml:space="preserve"> </v>
      </c>
      <c r="J1834">
        <v>2810253979</v>
      </c>
      <c r="K1834">
        <v>6974585839</v>
      </c>
      <c r="M1834" t="s">
        <v>3889</v>
      </c>
      <c r="N1834" t="s">
        <v>176</v>
      </c>
      <c r="O1834" t="s">
        <v>177</v>
      </c>
      <c r="R1834" t="s">
        <v>57</v>
      </c>
      <c r="S1834">
        <v>13</v>
      </c>
      <c r="T1834">
        <v>158</v>
      </c>
      <c r="U1834" s="1">
        <v>34582</v>
      </c>
      <c r="V1834" t="s">
        <v>123</v>
      </c>
      <c r="W1834" t="s">
        <v>124</v>
      </c>
      <c r="X1834" t="s">
        <v>58</v>
      </c>
      <c r="Y1834">
        <v>18</v>
      </c>
      <c r="Z1834" t="s">
        <v>59</v>
      </c>
      <c r="AA1834" t="s">
        <v>59</v>
      </c>
      <c r="AB1834" t="s">
        <v>59</v>
      </c>
      <c r="AC1834" t="s">
        <v>59</v>
      </c>
      <c r="AD1834" t="s">
        <v>59</v>
      </c>
      <c r="AF1834" s="1">
        <v>34582</v>
      </c>
      <c r="AG1834" t="s">
        <v>125</v>
      </c>
      <c r="AH1834" t="s">
        <v>126</v>
      </c>
      <c r="AI1834" t="str">
        <f>"1701055"</f>
        <v>1701055</v>
      </c>
      <c r="AJ1834" t="s">
        <v>301</v>
      </c>
      <c r="AK1834">
        <v>2810257353</v>
      </c>
      <c r="AL1834" t="s">
        <v>302</v>
      </c>
      <c r="AM1834" t="s">
        <v>78</v>
      </c>
      <c r="AN1834" t="s">
        <v>78</v>
      </c>
      <c r="AO1834" t="s">
        <v>78</v>
      </c>
      <c r="AP1834" t="s">
        <v>141</v>
      </c>
      <c r="AQ1834">
        <v>7</v>
      </c>
      <c r="AR1834" t="s">
        <v>123</v>
      </c>
      <c r="AS1834" t="s">
        <v>124</v>
      </c>
      <c r="AT1834" t="s">
        <v>58</v>
      </c>
      <c r="AU1834" t="s">
        <v>68</v>
      </c>
      <c r="AV1834" t="s">
        <v>69</v>
      </c>
      <c r="AW1834" s="1">
        <v>24140</v>
      </c>
      <c r="AX1834">
        <v>2</v>
      </c>
    </row>
    <row r="1835" spans="1:50">
      <c r="A1835">
        <v>167378</v>
      </c>
      <c r="B1835" t="str">
        <f>"063857999"</f>
        <v>063857999</v>
      </c>
      <c r="C1835" t="s">
        <v>50</v>
      </c>
      <c r="D1835" t="s">
        <v>3888</v>
      </c>
      <c r="E1835" t="s">
        <v>52</v>
      </c>
      <c r="F1835" t="s">
        <v>99</v>
      </c>
      <c r="G1835" t="s">
        <v>934</v>
      </c>
      <c r="H1835" t="str">
        <f>"ΠΡΟΦΗΤΗ ΗΛΙΑ 14 "</f>
        <v xml:space="preserve">ΠΡΟΦΗΤΗ ΗΛΙΑ 14 </v>
      </c>
      <c r="I1835">
        <v>71500</v>
      </c>
      <c r="J1835">
        <v>2810881646</v>
      </c>
      <c r="K1835">
        <v>6977341157</v>
      </c>
      <c r="M1835" t="s">
        <v>3890</v>
      </c>
      <c r="N1835" t="s">
        <v>299</v>
      </c>
      <c r="O1835" t="s">
        <v>300</v>
      </c>
      <c r="P1835" t="s">
        <v>1525</v>
      </c>
      <c r="Q1835" t="s">
        <v>1526</v>
      </c>
      <c r="R1835" t="s">
        <v>57</v>
      </c>
      <c r="S1835">
        <v>17</v>
      </c>
      <c r="T1835">
        <v>174</v>
      </c>
      <c r="U1835" s="1">
        <v>34250</v>
      </c>
      <c r="V1835" t="s">
        <v>123</v>
      </c>
      <c r="W1835" t="s">
        <v>124</v>
      </c>
      <c r="X1835" t="s">
        <v>58</v>
      </c>
      <c r="Y1835">
        <v>18</v>
      </c>
      <c r="Z1835" t="s">
        <v>59</v>
      </c>
      <c r="AA1835" t="s">
        <v>59</v>
      </c>
      <c r="AB1835" t="s">
        <v>59</v>
      </c>
      <c r="AC1835" t="s">
        <v>59</v>
      </c>
      <c r="AD1835" t="s">
        <v>59</v>
      </c>
      <c r="AF1835" s="1">
        <v>34256</v>
      </c>
      <c r="AG1835" t="s">
        <v>148</v>
      </c>
      <c r="AH1835" t="s">
        <v>149</v>
      </c>
      <c r="AI1835" t="str">
        <f>"1751051"</f>
        <v>1751051</v>
      </c>
      <c r="AJ1835" t="s">
        <v>259</v>
      </c>
      <c r="AK1835">
        <v>2810251794</v>
      </c>
      <c r="AL1835" t="s">
        <v>260</v>
      </c>
      <c r="AM1835" t="s">
        <v>78</v>
      </c>
      <c r="AN1835" t="s">
        <v>78</v>
      </c>
      <c r="AO1835" t="s">
        <v>78</v>
      </c>
      <c r="AP1835" t="s">
        <v>141</v>
      </c>
      <c r="AQ1835">
        <v>7</v>
      </c>
      <c r="AR1835" t="s">
        <v>123</v>
      </c>
      <c r="AS1835" t="s">
        <v>124</v>
      </c>
      <c r="AT1835" t="s">
        <v>58</v>
      </c>
      <c r="AU1835" t="s">
        <v>68</v>
      </c>
      <c r="AV1835" t="s">
        <v>69</v>
      </c>
      <c r="AW1835" s="1">
        <v>23208</v>
      </c>
      <c r="AX1835">
        <v>2</v>
      </c>
    </row>
    <row r="1836" spans="1:50">
      <c r="A1836">
        <v>204810</v>
      </c>
      <c r="B1836" t="str">
        <f>"052962689"</f>
        <v>052962689</v>
      </c>
      <c r="C1836" t="s">
        <v>105</v>
      </c>
      <c r="D1836" t="s">
        <v>3891</v>
      </c>
      <c r="E1836" t="s">
        <v>106</v>
      </c>
      <c r="F1836" t="s">
        <v>95</v>
      </c>
      <c r="G1836" t="s">
        <v>3892</v>
      </c>
      <c r="H1836" t="str">
        <f>"ΑΡΧΑΝΕΣ "</f>
        <v xml:space="preserve">ΑΡΧΑΝΕΣ </v>
      </c>
      <c r="I1836">
        <v>70100</v>
      </c>
      <c r="J1836">
        <v>2810752189</v>
      </c>
      <c r="K1836">
        <v>6932239551</v>
      </c>
      <c r="M1836" t="s">
        <v>3893</v>
      </c>
      <c r="N1836" t="s">
        <v>168</v>
      </c>
      <c r="O1836" t="s">
        <v>169</v>
      </c>
      <c r="R1836" t="s">
        <v>57</v>
      </c>
      <c r="S1836">
        <v>6</v>
      </c>
      <c r="T1836">
        <v>231</v>
      </c>
      <c r="U1836" s="1">
        <v>38230</v>
      </c>
      <c r="V1836" t="s">
        <v>123</v>
      </c>
      <c r="W1836" t="s">
        <v>124</v>
      </c>
      <c r="X1836" t="s">
        <v>58</v>
      </c>
      <c r="Y1836">
        <v>20</v>
      </c>
      <c r="Z1836" t="s">
        <v>59</v>
      </c>
      <c r="AA1836" t="s">
        <v>59</v>
      </c>
      <c r="AB1836" t="s">
        <v>59</v>
      </c>
      <c r="AC1836" t="s">
        <v>59</v>
      </c>
      <c r="AD1836" t="s">
        <v>59</v>
      </c>
      <c r="AF1836" s="1">
        <v>38596</v>
      </c>
      <c r="AG1836" t="s">
        <v>137</v>
      </c>
      <c r="AH1836" t="s">
        <v>469</v>
      </c>
      <c r="AI1836" t="str">
        <f>"1740200"</f>
        <v>1740200</v>
      </c>
      <c r="AJ1836" t="s">
        <v>470</v>
      </c>
      <c r="AK1836">
        <v>2810320770</v>
      </c>
      <c r="AL1836" t="s">
        <v>471</v>
      </c>
      <c r="AM1836" t="s">
        <v>78</v>
      </c>
      <c r="AN1836" t="s">
        <v>78</v>
      </c>
      <c r="AO1836" t="s">
        <v>78</v>
      </c>
      <c r="AP1836" t="s">
        <v>163</v>
      </c>
      <c r="AQ1836">
        <v>2</v>
      </c>
      <c r="AR1836" t="s">
        <v>123</v>
      </c>
      <c r="AS1836" t="s">
        <v>124</v>
      </c>
      <c r="AT1836" t="s">
        <v>58</v>
      </c>
      <c r="AU1836" t="s">
        <v>68</v>
      </c>
      <c r="AV1836" t="s">
        <v>69</v>
      </c>
      <c r="AW1836" s="1">
        <v>24697</v>
      </c>
      <c r="AX1836">
        <v>2</v>
      </c>
    </row>
    <row r="1837" spans="1:50">
      <c r="A1837">
        <v>204164</v>
      </c>
      <c r="B1837" t="str">
        <f>"052406163"</f>
        <v>052406163</v>
      </c>
      <c r="C1837" t="s">
        <v>50</v>
      </c>
      <c r="D1837" t="s">
        <v>3894</v>
      </c>
      <c r="E1837" t="s">
        <v>1189</v>
      </c>
      <c r="F1837" t="s">
        <v>106</v>
      </c>
      <c r="G1837" t="s">
        <v>52</v>
      </c>
      <c r="H1837" t="str">
        <f>"Π. ΜΠΑΚΟΓΙΑΝΝΗ 1 ΗΡΑΚΛΕΙΟ"</f>
        <v>Π. ΜΠΑΚΟΓΙΑΝΝΗ 1 ΗΡΑΚΛΕΙΟ</v>
      </c>
      <c r="I1837">
        <v>71410</v>
      </c>
      <c r="J1837">
        <v>2810250248</v>
      </c>
      <c r="K1837">
        <v>6974297108</v>
      </c>
      <c r="M1837" t="s">
        <v>3895</v>
      </c>
      <c r="N1837" t="s">
        <v>176</v>
      </c>
      <c r="O1837" t="s">
        <v>177</v>
      </c>
      <c r="R1837" t="s">
        <v>57</v>
      </c>
      <c r="S1837">
        <v>8</v>
      </c>
      <c r="T1837">
        <v>231</v>
      </c>
      <c r="U1837" s="1">
        <v>38230</v>
      </c>
      <c r="V1837" t="s">
        <v>123</v>
      </c>
      <c r="W1837" t="s">
        <v>124</v>
      </c>
      <c r="X1837" t="s">
        <v>58</v>
      </c>
      <c r="Y1837">
        <v>20</v>
      </c>
      <c r="Z1837" t="s">
        <v>59</v>
      </c>
      <c r="AA1837" t="s">
        <v>59</v>
      </c>
      <c r="AB1837" t="s">
        <v>59</v>
      </c>
      <c r="AC1837" t="s">
        <v>59</v>
      </c>
      <c r="AD1837" t="s">
        <v>59</v>
      </c>
      <c r="AF1837" s="1">
        <v>38232</v>
      </c>
      <c r="AG1837" t="s">
        <v>125</v>
      </c>
      <c r="AH1837" t="s">
        <v>126</v>
      </c>
      <c r="AI1837" t="str">
        <f>"1701020"</f>
        <v>1701020</v>
      </c>
      <c r="AJ1837" t="s">
        <v>323</v>
      </c>
      <c r="AK1837">
        <v>2810252111</v>
      </c>
      <c r="AL1837" t="s">
        <v>324</v>
      </c>
      <c r="AM1837" t="s">
        <v>78</v>
      </c>
      <c r="AN1837" t="s">
        <v>78</v>
      </c>
      <c r="AO1837" t="s">
        <v>78</v>
      </c>
      <c r="AP1837" t="s">
        <v>163</v>
      </c>
      <c r="AQ1837">
        <v>3</v>
      </c>
      <c r="AR1837" t="s">
        <v>123</v>
      </c>
      <c r="AS1837" t="s">
        <v>124</v>
      </c>
      <c r="AT1837" t="s">
        <v>58</v>
      </c>
      <c r="AU1837" t="s">
        <v>68</v>
      </c>
      <c r="AV1837" t="s">
        <v>69</v>
      </c>
      <c r="AW1837" s="1">
        <v>25330</v>
      </c>
      <c r="AX1837">
        <v>2</v>
      </c>
    </row>
    <row r="1838" spans="1:50">
      <c r="A1838">
        <v>215919</v>
      </c>
      <c r="B1838" t="str">
        <f>"070360860"</f>
        <v>070360860</v>
      </c>
      <c r="C1838" t="s">
        <v>50</v>
      </c>
      <c r="D1838" t="s">
        <v>3896</v>
      </c>
      <c r="E1838" t="s">
        <v>52</v>
      </c>
      <c r="F1838" t="s">
        <v>106</v>
      </c>
      <c r="G1838" t="s">
        <v>2672</v>
      </c>
      <c r="H1838" t="str">
        <f>" "</f>
        <v xml:space="preserve"> </v>
      </c>
      <c r="N1838" t="s">
        <v>168</v>
      </c>
      <c r="O1838" t="s">
        <v>169</v>
      </c>
      <c r="R1838" t="s">
        <v>57</v>
      </c>
      <c r="S1838">
        <v>8</v>
      </c>
      <c r="T1838">
        <v>232</v>
      </c>
      <c r="U1838" s="1">
        <v>38960</v>
      </c>
      <c r="V1838" t="s">
        <v>123</v>
      </c>
      <c r="W1838" t="s">
        <v>124</v>
      </c>
      <c r="X1838" t="s">
        <v>58</v>
      </c>
      <c r="Y1838">
        <v>20</v>
      </c>
      <c r="Z1838" t="s">
        <v>59</v>
      </c>
      <c r="AA1838" t="s">
        <v>59</v>
      </c>
      <c r="AB1838" t="s">
        <v>59</v>
      </c>
      <c r="AC1838" t="s">
        <v>59</v>
      </c>
      <c r="AD1838" t="s">
        <v>59</v>
      </c>
      <c r="AF1838" s="1">
        <v>38961</v>
      </c>
      <c r="AG1838" t="s">
        <v>137</v>
      </c>
      <c r="AH1838" t="s">
        <v>138</v>
      </c>
      <c r="AI1838" t="str">
        <f>"1750080"</f>
        <v>1750080</v>
      </c>
      <c r="AJ1838" t="s">
        <v>170</v>
      </c>
      <c r="AK1838">
        <v>2810234444</v>
      </c>
      <c r="AL1838" t="s">
        <v>171</v>
      </c>
      <c r="AM1838" t="s">
        <v>78</v>
      </c>
      <c r="AN1838" t="s">
        <v>78</v>
      </c>
      <c r="AO1838" t="s">
        <v>78</v>
      </c>
      <c r="AP1838" t="s">
        <v>163</v>
      </c>
      <c r="AQ1838">
        <v>9</v>
      </c>
      <c r="AR1838" t="s">
        <v>123</v>
      </c>
      <c r="AS1838" t="s">
        <v>124</v>
      </c>
      <c r="AT1838" t="s">
        <v>58</v>
      </c>
      <c r="AU1838" t="s">
        <v>68</v>
      </c>
      <c r="AV1838" t="s">
        <v>69</v>
      </c>
      <c r="AW1838" s="1">
        <v>28287</v>
      </c>
      <c r="AX1838">
        <v>2</v>
      </c>
    </row>
    <row r="1839" spans="1:50">
      <c r="A1839">
        <v>217671</v>
      </c>
      <c r="B1839" t="str">
        <f>"078302721"</f>
        <v>078302721</v>
      </c>
      <c r="C1839" t="s">
        <v>50</v>
      </c>
      <c r="D1839" t="s">
        <v>3897</v>
      </c>
      <c r="E1839" t="s">
        <v>52</v>
      </c>
      <c r="F1839" t="s">
        <v>900</v>
      </c>
      <c r="G1839" t="s">
        <v>263</v>
      </c>
      <c r="H1839" t="str">
        <f>"ΛΙΣΣΟΥ 22 ΗΡΑΚΛΕΙΟ"</f>
        <v>ΛΙΣΣΟΥ 22 ΗΡΑΚΛΕΙΟ</v>
      </c>
      <c r="I1839">
        <v>71304</v>
      </c>
      <c r="J1839">
        <v>2810318978</v>
      </c>
      <c r="K1839">
        <v>6977471849</v>
      </c>
      <c r="M1839" t="s">
        <v>3898</v>
      </c>
      <c r="N1839" t="s">
        <v>146</v>
      </c>
      <c r="O1839" t="s">
        <v>147</v>
      </c>
      <c r="R1839" t="s">
        <v>57</v>
      </c>
      <c r="S1839">
        <v>6</v>
      </c>
      <c r="T1839">
        <v>599</v>
      </c>
      <c r="U1839" s="1">
        <v>39310</v>
      </c>
      <c r="V1839" t="s">
        <v>123</v>
      </c>
      <c r="W1839" t="s">
        <v>124</v>
      </c>
      <c r="X1839" t="s">
        <v>58</v>
      </c>
      <c r="Y1839">
        <v>20</v>
      </c>
      <c r="Z1839" t="s">
        <v>59</v>
      </c>
      <c r="AA1839" t="s">
        <v>59</v>
      </c>
      <c r="AB1839" t="s">
        <v>59</v>
      </c>
      <c r="AC1839" t="s">
        <v>59</v>
      </c>
      <c r="AD1839" t="s">
        <v>59</v>
      </c>
      <c r="AF1839" s="1">
        <v>39328</v>
      </c>
      <c r="AG1839" t="s">
        <v>125</v>
      </c>
      <c r="AH1839" t="s">
        <v>126</v>
      </c>
      <c r="AI1839" t="str">
        <f>"1701070"</f>
        <v>1701070</v>
      </c>
      <c r="AJ1839" t="s">
        <v>1490</v>
      </c>
      <c r="AK1839">
        <v>2810771241</v>
      </c>
      <c r="AL1839" t="s">
        <v>1491</v>
      </c>
      <c r="AM1839" t="s">
        <v>78</v>
      </c>
      <c r="AN1839" t="s">
        <v>219</v>
      </c>
      <c r="AO1839" t="s">
        <v>1437</v>
      </c>
      <c r="AP1839" t="s">
        <v>1437</v>
      </c>
      <c r="AQ1839">
        <v>21</v>
      </c>
      <c r="AR1839" t="s">
        <v>123</v>
      </c>
      <c r="AS1839" t="s">
        <v>124</v>
      </c>
      <c r="AT1839" t="s">
        <v>58</v>
      </c>
      <c r="AU1839" t="s">
        <v>68</v>
      </c>
      <c r="AV1839" t="s">
        <v>69</v>
      </c>
      <c r="AW1839" s="1">
        <v>26210</v>
      </c>
      <c r="AX1839">
        <v>2</v>
      </c>
    </row>
    <row r="1840" spans="1:50">
      <c r="A1840">
        <v>224554</v>
      </c>
      <c r="B1840" t="str">
        <f>"126300296"</f>
        <v>126300296</v>
      </c>
      <c r="C1840" t="s">
        <v>50</v>
      </c>
      <c r="D1840" t="s">
        <v>3899</v>
      </c>
      <c r="E1840" t="s">
        <v>83</v>
      </c>
      <c r="F1840" t="s">
        <v>95</v>
      </c>
      <c r="G1840" t="s">
        <v>727</v>
      </c>
      <c r="H1840" t="str">
        <f>"ΨΥΧΑΡΗ 25 ΜΑΣΤΑΜΠΑΣ"</f>
        <v>ΨΥΧΑΡΗ 25 ΜΑΣΤΑΜΠΑΣ</v>
      </c>
      <c r="I1840">
        <v>71305</v>
      </c>
      <c r="J1840">
        <v>2841024439</v>
      </c>
      <c r="K1840">
        <v>6937005281</v>
      </c>
      <c r="L1840">
        <v>2106459756</v>
      </c>
      <c r="M1840" t="s">
        <v>3900</v>
      </c>
      <c r="N1840" t="s">
        <v>288</v>
      </c>
      <c r="O1840" t="s">
        <v>289</v>
      </c>
      <c r="R1840" t="s">
        <v>57</v>
      </c>
      <c r="S1840">
        <v>5</v>
      </c>
      <c r="T1840">
        <v>775</v>
      </c>
      <c r="U1840" s="1">
        <v>39680</v>
      </c>
      <c r="V1840" t="s">
        <v>123</v>
      </c>
      <c r="W1840" t="s">
        <v>124</v>
      </c>
      <c r="X1840" t="s">
        <v>58</v>
      </c>
      <c r="Y1840">
        <v>21</v>
      </c>
      <c r="Z1840" t="s">
        <v>59</v>
      </c>
      <c r="AA1840" t="s">
        <v>59</v>
      </c>
      <c r="AB1840" t="s">
        <v>59</v>
      </c>
      <c r="AC1840" t="s">
        <v>59</v>
      </c>
      <c r="AD1840" t="s">
        <v>59</v>
      </c>
      <c r="AF1840" s="1">
        <v>39681</v>
      </c>
      <c r="AG1840" t="s">
        <v>125</v>
      </c>
      <c r="AH1840" t="s">
        <v>126</v>
      </c>
      <c r="AI1840" t="str">
        <f>"1713010"</f>
        <v>1713010</v>
      </c>
      <c r="AJ1840" t="s">
        <v>369</v>
      </c>
      <c r="AK1840">
        <v>2892051686</v>
      </c>
      <c r="AL1840" t="s">
        <v>370</v>
      </c>
      <c r="AM1840" t="s">
        <v>78</v>
      </c>
      <c r="AN1840" t="s">
        <v>242</v>
      </c>
      <c r="AO1840" t="s">
        <v>349</v>
      </c>
      <c r="AP1840" t="s">
        <v>349</v>
      </c>
      <c r="AQ1840">
        <v>35</v>
      </c>
      <c r="AR1840" t="s">
        <v>123</v>
      </c>
      <c r="AS1840" t="s">
        <v>124</v>
      </c>
      <c r="AT1840" t="s">
        <v>58</v>
      </c>
      <c r="AU1840" t="s">
        <v>68</v>
      </c>
      <c r="AV1840" t="s">
        <v>69</v>
      </c>
      <c r="AW1840" s="1">
        <v>29624</v>
      </c>
      <c r="AX1840">
        <v>2</v>
      </c>
    </row>
    <row r="1841" spans="1:50">
      <c r="A1841">
        <v>203621</v>
      </c>
      <c r="B1841" t="str">
        <f>"046043619"</f>
        <v>046043619</v>
      </c>
      <c r="C1841" t="s">
        <v>50</v>
      </c>
      <c r="D1841" t="s">
        <v>3901</v>
      </c>
      <c r="E1841" t="s">
        <v>3902</v>
      </c>
      <c r="F1841" t="s">
        <v>936</v>
      </c>
      <c r="G1841" t="s">
        <v>83</v>
      </c>
      <c r="H1841" t="str">
        <f>" "</f>
        <v xml:space="preserve"> </v>
      </c>
      <c r="J1841">
        <v>2221043227</v>
      </c>
      <c r="K1841">
        <v>6946588266</v>
      </c>
      <c r="M1841" t="s">
        <v>3903</v>
      </c>
      <c r="N1841" t="s">
        <v>683</v>
      </c>
      <c r="O1841" t="s">
        <v>684</v>
      </c>
      <c r="R1841" t="s">
        <v>57</v>
      </c>
      <c r="S1841">
        <v>7</v>
      </c>
      <c r="T1841">
        <v>231</v>
      </c>
      <c r="U1841" s="1">
        <v>38230</v>
      </c>
      <c r="V1841" t="s">
        <v>123</v>
      </c>
      <c r="W1841" t="s">
        <v>124</v>
      </c>
      <c r="X1841" t="s">
        <v>58</v>
      </c>
      <c r="Y1841">
        <v>20</v>
      </c>
      <c r="Z1841" t="s">
        <v>59</v>
      </c>
      <c r="AA1841" t="s">
        <v>59</v>
      </c>
      <c r="AB1841" t="s">
        <v>59</v>
      </c>
      <c r="AC1841" t="s">
        <v>59</v>
      </c>
      <c r="AD1841" t="s">
        <v>59</v>
      </c>
      <c r="AF1841" s="1">
        <v>38233</v>
      </c>
      <c r="AG1841" t="s">
        <v>125</v>
      </c>
      <c r="AH1841" t="s">
        <v>126</v>
      </c>
      <c r="AI1841" t="str">
        <f>"1701054"</f>
        <v>1701054</v>
      </c>
      <c r="AJ1841" t="s">
        <v>318</v>
      </c>
      <c r="AK1841">
        <v>2810252418</v>
      </c>
      <c r="AL1841" t="s">
        <v>319</v>
      </c>
      <c r="AM1841" t="s">
        <v>78</v>
      </c>
      <c r="AN1841" t="s">
        <v>78</v>
      </c>
      <c r="AO1841" t="s">
        <v>78</v>
      </c>
      <c r="AP1841" t="s">
        <v>141</v>
      </c>
      <c r="AQ1841">
        <v>7</v>
      </c>
      <c r="AR1841" t="s">
        <v>123</v>
      </c>
      <c r="AS1841" t="s">
        <v>124</v>
      </c>
      <c r="AT1841" t="s">
        <v>58</v>
      </c>
      <c r="AU1841" t="s">
        <v>68</v>
      </c>
      <c r="AV1841" t="s">
        <v>69</v>
      </c>
      <c r="AW1841" s="1">
        <v>27195</v>
      </c>
      <c r="AX1841">
        <v>2</v>
      </c>
    </row>
    <row r="1842" spans="1:50">
      <c r="A1842">
        <v>219673</v>
      </c>
      <c r="B1842" t="str">
        <f>"073525050"</f>
        <v>073525050</v>
      </c>
      <c r="C1842" t="s">
        <v>50</v>
      </c>
      <c r="D1842" t="s">
        <v>3904</v>
      </c>
      <c r="E1842" t="s">
        <v>237</v>
      </c>
      <c r="F1842" t="s">
        <v>166</v>
      </c>
      <c r="G1842" t="s">
        <v>83</v>
      </c>
      <c r="H1842" t="str">
        <f>"ΕΜΜΑΝΟΥΗΛ ΒΕΊΣΑΚΗ 15 ΗΡΑΚΛΕΙΟ ΚΡΗΤΗΣ"</f>
        <v>ΕΜΜΑΝΟΥΗΛ ΒΕΊΣΑΚΗ 15 ΗΡΑΚΛΕΙΟ ΚΡΗΤΗΣ</v>
      </c>
      <c r="I1842">
        <v>71307</v>
      </c>
      <c r="J1842">
        <v>2810229376</v>
      </c>
      <c r="K1842">
        <v>6947774869</v>
      </c>
      <c r="M1842" t="s">
        <v>3905</v>
      </c>
      <c r="N1842" t="s">
        <v>299</v>
      </c>
      <c r="O1842" t="s">
        <v>300</v>
      </c>
      <c r="R1842" t="s">
        <v>57</v>
      </c>
      <c r="S1842">
        <v>5</v>
      </c>
      <c r="T1842">
        <v>599</v>
      </c>
      <c r="U1842" s="1">
        <v>39310</v>
      </c>
      <c r="V1842" t="s">
        <v>123</v>
      </c>
      <c r="W1842" t="s">
        <v>124</v>
      </c>
      <c r="X1842" t="s">
        <v>58</v>
      </c>
      <c r="Y1842">
        <v>21</v>
      </c>
      <c r="Z1842" t="s">
        <v>59</v>
      </c>
      <c r="AA1842" t="s">
        <v>59</v>
      </c>
      <c r="AB1842" t="s">
        <v>59</v>
      </c>
      <c r="AC1842" t="s">
        <v>59</v>
      </c>
      <c r="AD1842" t="s">
        <v>59</v>
      </c>
      <c r="AF1842" s="1">
        <v>39328</v>
      </c>
      <c r="AG1842" t="s">
        <v>148</v>
      </c>
      <c r="AH1842" t="s">
        <v>149</v>
      </c>
      <c r="AI1842" t="str">
        <f>"1758010"</f>
        <v>1758010</v>
      </c>
      <c r="AJ1842" t="s">
        <v>575</v>
      </c>
      <c r="AK1842">
        <v>2893022145</v>
      </c>
      <c r="AL1842" t="s">
        <v>576</v>
      </c>
      <c r="AM1842" t="s">
        <v>78</v>
      </c>
      <c r="AN1842" t="s">
        <v>424</v>
      </c>
      <c r="AO1842" t="s">
        <v>577</v>
      </c>
      <c r="AP1842" t="s">
        <v>578</v>
      </c>
      <c r="AQ1842">
        <v>24</v>
      </c>
      <c r="AR1842" t="s">
        <v>123</v>
      </c>
      <c r="AS1842" t="s">
        <v>124</v>
      </c>
      <c r="AT1842" t="s">
        <v>58</v>
      </c>
      <c r="AU1842" t="s">
        <v>68</v>
      </c>
      <c r="AV1842" t="s">
        <v>69</v>
      </c>
      <c r="AW1842" s="1">
        <v>25647</v>
      </c>
      <c r="AX1842">
        <v>2</v>
      </c>
    </row>
    <row r="1843" spans="1:50">
      <c r="A1843">
        <v>172276</v>
      </c>
      <c r="B1843" t="str">
        <f>"066363495"</f>
        <v>066363495</v>
      </c>
      <c r="C1843" t="s">
        <v>50</v>
      </c>
      <c r="D1843" t="s">
        <v>3906</v>
      </c>
      <c r="E1843" t="s">
        <v>52</v>
      </c>
      <c r="F1843" t="s">
        <v>670</v>
      </c>
      <c r="G1843" t="s">
        <v>3907</v>
      </c>
      <c r="H1843" t="str">
        <f>" "</f>
        <v xml:space="preserve"> </v>
      </c>
      <c r="N1843" t="s">
        <v>299</v>
      </c>
      <c r="O1843" t="s">
        <v>300</v>
      </c>
      <c r="P1843" t="s">
        <v>615</v>
      </c>
      <c r="Q1843" t="s">
        <v>616</v>
      </c>
      <c r="R1843" t="s">
        <v>57</v>
      </c>
      <c r="S1843">
        <v>14</v>
      </c>
      <c r="T1843">
        <v>184</v>
      </c>
      <c r="U1843" s="1">
        <v>34941</v>
      </c>
      <c r="V1843" t="s">
        <v>123</v>
      </c>
      <c r="W1843" t="s">
        <v>124</v>
      </c>
      <c r="X1843" t="s">
        <v>58</v>
      </c>
      <c r="Y1843">
        <v>18</v>
      </c>
      <c r="Z1843" t="s">
        <v>59</v>
      </c>
      <c r="AA1843" t="s">
        <v>59</v>
      </c>
      <c r="AB1843" t="s">
        <v>59</v>
      </c>
      <c r="AC1843" t="s">
        <v>59</v>
      </c>
      <c r="AD1843" t="s">
        <v>59</v>
      </c>
      <c r="AF1843" s="1">
        <v>34943</v>
      </c>
      <c r="AG1843" t="s">
        <v>137</v>
      </c>
      <c r="AH1843" t="s">
        <v>138</v>
      </c>
      <c r="AI1843" t="str">
        <f>"1740070"</f>
        <v>1740070</v>
      </c>
      <c r="AJ1843" t="s">
        <v>206</v>
      </c>
      <c r="AK1843">
        <v>2810324880</v>
      </c>
      <c r="AL1843" t="s">
        <v>207</v>
      </c>
      <c r="AM1843" t="s">
        <v>78</v>
      </c>
      <c r="AN1843" t="s">
        <v>78</v>
      </c>
      <c r="AO1843" t="s">
        <v>78</v>
      </c>
      <c r="AP1843" t="s">
        <v>163</v>
      </c>
      <c r="AQ1843">
        <v>9</v>
      </c>
      <c r="AR1843" t="s">
        <v>123</v>
      </c>
      <c r="AS1843" t="s">
        <v>124</v>
      </c>
      <c r="AT1843" t="s">
        <v>58</v>
      </c>
      <c r="AU1843" t="s">
        <v>68</v>
      </c>
      <c r="AV1843" t="s">
        <v>69</v>
      </c>
      <c r="AW1843" s="1">
        <v>23468</v>
      </c>
      <c r="AX1843">
        <v>2</v>
      </c>
    </row>
    <row r="1844" spans="1:50">
      <c r="A1844">
        <v>214117</v>
      </c>
      <c r="B1844" t="str">
        <f>"074222430"</f>
        <v>074222430</v>
      </c>
      <c r="C1844" t="s">
        <v>50</v>
      </c>
      <c r="D1844" t="s">
        <v>3908</v>
      </c>
      <c r="E1844" t="s">
        <v>238</v>
      </c>
      <c r="F1844" t="s">
        <v>95</v>
      </c>
      <c r="G1844" t="s">
        <v>188</v>
      </c>
      <c r="H1844" t="str">
        <f>"ΛΟΡΕΝΤΖΟΥ ΜΑΒΙΛΗ 9 "</f>
        <v xml:space="preserve">ΛΟΡΕΝΤΖΟΥ ΜΑΒΙΛΗ 9 </v>
      </c>
      <c r="I1844">
        <v>71306</v>
      </c>
      <c r="J1844">
        <v>2810214096</v>
      </c>
      <c r="K1844">
        <v>6973032205</v>
      </c>
      <c r="M1844" t="s">
        <v>3909</v>
      </c>
      <c r="N1844" t="s">
        <v>288</v>
      </c>
      <c r="O1844" t="s">
        <v>289</v>
      </c>
      <c r="R1844" t="s">
        <v>57</v>
      </c>
      <c r="S1844">
        <v>8</v>
      </c>
      <c r="T1844">
        <v>231</v>
      </c>
      <c r="U1844" s="1">
        <v>38960</v>
      </c>
      <c r="V1844" t="s">
        <v>123</v>
      </c>
      <c r="W1844" t="s">
        <v>124</v>
      </c>
      <c r="X1844" t="s">
        <v>58</v>
      </c>
      <c r="Y1844">
        <v>20</v>
      </c>
      <c r="Z1844" t="s">
        <v>59</v>
      </c>
      <c r="AA1844" t="s">
        <v>59</v>
      </c>
      <c r="AB1844" t="s">
        <v>59</v>
      </c>
      <c r="AC1844" t="s">
        <v>59</v>
      </c>
      <c r="AD1844" t="s">
        <v>59</v>
      </c>
      <c r="AF1844" s="1">
        <v>38961</v>
      </c>
      <c r="AG1844" t="s">
        <v>125</v>
      </c>
      <c r="AH1844" t="s">
        <v>126</v>
      </c>
      <c r="AI1844" t="str">
        <f>"1701052"</f>
        <v>1701052</v>
      </c>
      <c r="AJ1844" t="s">
        <v>223</v>
      </c>
      <c r="AK1844">
        <v>2810252514</v>
      </c>
      <c r="AL1844" t="s">
        <v>224</v>
      </c>
      <c r="AM1844" t="s">
        <v>78</v>
      </c>
      <c r="AN1844" t="s">
        <v>78</v>
      </c>
      <c r="AO1844" t="s">
        <v>78</v>
      </c>
      <c r="AP1844" t="s">
        <v>141</v>
      </c>
      <c r="AQ1844">
        <v>7</v>
      </c>
      <c r="AR1844" t="s">
        <v>123</v>
      </c>
      <c r="AS1844" t="s">
        <v>124</v>
      </c>
      <c r="AT1844" t="s">
        <v>58</v>
      </c>
      <c r="AU1844" t="s">
        <v>68</v>
      </c>
      <c r="AV1844" t="s">
        <v>69</v>
      </c>
      <c r="AW1844" s="1">
        <v>26385</v>
      </c>
      <c r="AX1844">
        <v>2</v>
      </c>
    </row>
    <row r="1845" spans="1:50">
      <c r="A1845">
        <v>158733</v>
      </c>
      <c r="B1845" t="str">
        <f>"036773393"</f>
        <v>036773393</v>
      </c>
      <c r="C1845" t="s">
        <v>50</v>
      </c>
      <c r="D1845" t="s">
        <v>3910</v>
      </c>
      <c r="E1845" t="s">
        <v>52</v>
      </c>
      <c r="F1845" t="s">
        <v>95</v>
      </c>
      <c r="G1845" t="s">
        <v>484</v>
      </c>
      <c r="H1845" t="str">
        <f>" "</f>
        <v xml:space="preserve"> </v>
      </c>
      <c r="J1845">
        <v>2810320069</v>
      </c>
      <c r="N1845" t="s">
        <v>337</v>
      </c>
      <c r="O1845" t="s">
        <v>338</v>
      </c>
      <c r="P1845" t="s">
        <v>292</v>
      </c>
      <c r="Q1845" t="s">
        <v>293</v>
      </c>
      <c r="R1845" t="s">
        <v>57</v>
      </c>
      <c r="S1845">
        <v>13</v>
      </c>
      <c r="T1845">
        <v>161</v>
      </c>
      <c r="U1845" s="1">
        <v>33119</v>
      </c>
      <c r="V1845" t="s">
        <v>123</v>
      </c>
      <c r="W1845" t="s">
        <v>124</v>
      </c>
      <c r="X1845" t="s">
        <v>58</v>
      </c>
      <c r="Y1845">
        <v>18</v>
      </c>
      <c r="Z1845" t="s">
        <v>59</v>
      </c>
      <c r="AA1845" t="s">
        <v>59</v>
      </c>
      <c r="AB1845" t="s">
        <v>59</v>
      </c>
      <c r="AC1845" t="s">
        <v>59</v>
      </c>
      <c r="AD1845" t="s">
        <v>59</v>
      </c>
      <c r="AF1845" s="1">
        <v>33121</v>
      </c>
      <c r="AG1845" t="s">
        <v>125</v>
      </c>
      <c r="AH1845" t="s">
        <v>126</v>
      </c>
      <c r="AI1845" t="str">
        <f>"1701051"</f>
        <v>1701051</v>
      </c>
      <c r="AJ1845" t="s">
        <v>443</v>
      </c>
      <c r="AK1845">
        <v>2810325815</v>
      </c>
      <c r="AL1845" t="s">
        <v>444</v>
      </c>
      <c r="AM1845" t="s">
        <v>78</v>
      </c>
      <c r="AN1845" t="s">
        <v>78</v>
      </c>
      <c r="AO1845" t="s">
        <v>78</v>
      </c>
      <c r="AP1845" t="s">
        <v>163</v>
      </c>
      <c r="AQ1845">
        <v>5</v>
      </c>
      <c r="AR1845" t="s">
        <v>123</v>
      </c>
      <c r="AS1845" t="s">
        <v>124</v>
      </c>
      <c r="AT1845" t="s">
        <v>58</v>
      </c>
      <c r="AU1845" t="s">
        <v>68</v>
      </c>
      <c r="AV1845" t="s">
        <v>69</v>
      </c>
      <c r="AW1845" s="1">
        <v>24524</v>
      </c>
      <c r="AX1845">
        <v>2</v>
      </c>
    </row>
    <row r="1846" spans="1:50">
      <c r="A1846">
        <v>207686</v>
      </c>
      <c r="B1846" t="str">
        <f>"023676082"</f>
        <v>023676082</v>
      </c>
      <c r="C1846" t="s">
        <v>50</v>
      </c>
      <c r="D1846" t="s">
        <v>3911</v>
      </c>
      <c r="E1846" t="s">
        <v>188</v>
      </c>
      <c r="F1846" t="s">
        <v>53</v>
      </c>
      <c r="G1846" t="s">
        <v>255</v>
      </c>
      <c r="H1846" t="str">
        <f>"ΠΕΔΙΑΔΟΣ 28 ΗΡΑΚΛΕΙΟ"</f>
        <v>ΠΕΔΙΑΔΟΣ 28 ΗΡΑΚΛΕΙΟ</v>
      </c>
      <c r="I1846">
        <v>71201</v>
      </c>
      <c r="J1846">
        <v>2810227418</v>
      </c>
      <c r="K1846">
        <v>6944410569</v>
      </c>
      <c r="M1846" t="s">
        <v>3912</v>
      </c>
      <c r="N1846" t="s">
        <v>306</v>
      </c>
      <c r="O1846" t="s">
        <v>307</v>
      </c>
      <c r="R1846" t="s">
        <v>57</v>
      </c>
      <c r="S1846">
        <v>9</v>
      </c>
      <c r="T1846">
        <v>218</v>
      </c>
      <c r="U1846" s="1">
        <v>38596</v>
      </c>
      <c r="V1846" t="s">
        <v>123</v>
      </c>
      <c r="W1846" t="s">
        <v>124</v>
      </c>
      <c r="X1846" t="s">
        <v>58</v>
      </c>
      <c r="Y1846">
        <v>20</v>
      </c>
      <c r="Z1846" t="s">
        <v>59</v>
      </c>
      <c r="AA1846" t="s">
        <v>59</v>
      </c>
      <c r="AB1846" t="s">
        <v>59</v>
      </c>
      <c r="AC1846" t="s">
        <v>59</v>
      </c>
      <c r="AD1846" t="s">
        <v>59</v>
      </c>
      <c r="AF1846" s="1">
        <v>38600</v>
      </c>
      <c r="AG1846" t="s">
        <v>125</v>
      </c>
      <c r="AH1846" t="s">
        <v>126</v>
      </c>
      <c r="AI1846" t="str">
        <f>"1715010"</f>
        <v>1715010</v>
      </c>
      <c r="AJ1846" t="s">
        <v>812</v>
      </c>
      <c r="AK1846">
        <v>2893031193</v>
      </c>
      <c r="AL1846" t="s">
        <v>813</v>
      </c>
      <c r="AM1846" t="s">
        <v>78</v>
      </c>
      <c r="AN1846" t="s">
        <v>405</v>
      </c>
      <c r="AO1846" t="s">
        <v>805</v>
      </c>
      <c r="AP1846" t="s">
        <v>806</v>
      </c>
      <c r="AQ1846">
        <v>25</v>
      </c>
      <c r="AR1846" t="s">
        <v>123</v>
      </c>
      <c r="AS1846" t="s">
        <v>124</v>
      </c>
      <c r="AT1846" t="s">
        <v>58</v>
      </c>
      <c r="AU1846" t="s">
        <v>68</v>
      </c>
      <c r="AV1846" t="s">
        <v>357</v>
      </c>
      <c r="AW1846" s="1">
        <v>25349</v>
      </c>
      <c r="AX1846">
        <v>2</v>
      </c>
    </row>
    <row r="1847" spans="1:50">
      <c r="A1847">
        <v>204730</v>
      </c>
      <c r="B1847" t="str">
        <f>"063737640"</f>
        <v>063737640</v>
      </c>
      <c r="C1847" t="s">
        <v>105</v>
      </c>
      <c r="D1847" t="s">
        <v>3913</v>
      </c>
      <c r="E1847" t="s">
        <v>92</v>
      </c>
      <c r="F1847" t="s">
        <v>53</v>
      </c>
      <c r="G1847" t="s">
        <v>3914</v>
      </c>
      <c r="H1847" t="str">
        <f>" "</f>
        <v xml:space="preserve"> </v>
      </c>
      <c r="J1847">
        <v>2891041297</v>
      </c>
      <c r="K1847">
        <v>6974072487</v>
      </c>
      <c r="M1847" t="s">
        <v>487</v>
      </c>
      <c r="N1847" t="s">
        <v>331</v>
      </c>
      <c r="O1847" t="s">
        <v>332</v>
      </c>
      <c r="R1847" t="s">
        <v>57</v>
      </c>
      <c r="S1847">
        <v>10</v>
      </c>
      <c r="T1847">
        <v>231</v>
      </c>
      <c r="U1847" s="1">
        <v>38230</v>
      </c>
      <c r="V1847" t="s">
        <v>123</v>
      </c>
      <c r="W1847" t="s">
        <v>124</v>
      </c>
      <c r="X1847" t="s">
        <v>58</v>
      </c>
      <c r="Y1847">
        <v>20</v>
      </c>
      <c r="Z1847" t="s">
        <v>59</v>
      </c>
      <c r="AA1847" t="s">
        <v>59</v>
      </c>
      <c r="AB1847" t="s">
        <v>59</v>
      </c>
      <c r="AC1847" t="s">
        <v>59</v>
      </c>
      <c r="AD1847" t="s">
        <v>59</v>
      </c>
      <c r="AF1847" s="1">
        <v>38232</v>
      </c>
      <c r="AG1847" t="s">
        <v>137</v>
      </c>
      <c r="AH1847" t="s">
        <v>138</v>
      </c>
      <c r="AI1847" t="str">
        <f>"1740310"</f>
        <v>1740310</v>
      </c>
      <c r="AJ1847" t="s">
        <v>488</v>
      </c>
      <c r="AK1847">
        <v>2891024228</v>
      </c>
      <c r="AL1847" t="s">
        <v>489</v>
      </c>
      <c r="AM1847" t="s">
        <v>78</v>
      </c>
      <c r="AN1847" t="s">
        <v>276</v>
      </c>
      <c r="AO1847" t="s">
        <v>490</v>
      </c>
      <c r="AP1847" t="s">
        <v>490</v>
      </c>
      <c r="AQ1847">
        <v>15</v>
      </c>
      <c r="AR1847" t="s">
        <v>123</v>
      </c>
      <c r="AS1847" t="s">
        <v>124</v>
      </c>
      <c r="AT1847" t="s">
        <v>58</v>
      </c>
      <c r="AU1847" t="s">
        <v>68</v>
      </c>
      <c r="AV1847" t="s">
        <v>69</v>
      </c>
      <c r="AW1847" s="1">
        <v>27181</v>
      </c>
      <c r="AX1847">
        <v>2</v>
      </c>
    </row>
    <row r="1848" spans="1:50">
      <c r="A1848">
        <v>214669</v>
      </c>
      <c r="B1848" t="str">
        <f>"047276333"</f>
        <v>047276333</v>
      </c>
      <c r="C1848" t="s">
        <v>105</v>
      </c>
      <c r="D1848" t="s">
        <v>3913</v>
      </c>
      <c r="E1848" t="s">
        <v>581</v>
      </c>
      <c r="F1848" t="s">
        <v>106</v>
      </c>
      <c r="G1848" t="s">
        <v>52</v>
      </c>
      <c r="H1848" t="str">
        <f>"ΒΑΣ ΠΛΑΓΙΩΤΑΚΗ 4-6 "</f>
        <v xml:space="preserve">ΒΑΣ ΠΛΑΓΙΩΤΑΚΗ 4-6 </v>
      </c>
      <c r="I1848">
        <v>71409</v>
      </c>
      <c r="J1848">
        <v>2810237920</v>
      </c>
      <c r="K1848">
        <v>6936366500</v>
      </c>
      <c r="L1848">
        <v>2815000838</v>
      </c>
      <c r="N1848" t="s">
        <v>176</v>
      </c>
      <c r="O1848" t="s">
        <v>177</v>
      </c>
      <c r="R1848" t="s">
        <v>57</v>
      </c>
      <c r="S1848">
        <v>8</v>
      </c>
      <c r="T1848">
        <v>231</v>
      </c>
      <c r="U1848" s="1">
        <v>38960</v>
      </c>
      <c r="V1848" t="s">
        <v>123</v>
      </c>
      <c r="W1848" t="s">
        <v>124</v>
      </c>
      <c r="X1848" t="s">
        <v>58</v>
      </c>
      <c r="Y1848">
        <v>20</v>
      </c>
      <c r="Z1848" t="s">
        <v>59</v>
      </c>
      <c r="AA1848" t="s">
        <v>59</v>
      </c>
      <c r="AB1848" t="s">
        <v>59</v>
      </c>
      <c r="AC1848" t="s">
        <v>59</v>
      </c>
      <c r="AD1848" t="s">
        <v>59</v>
      </c>
      <c r="AF1848" s="1">
        <v>38961</v>
      </c>
      <c r="AG1848" t="s">
        <v>148</v>
      </c>
      <c r="AH1848" t="s">
        <v>149</v>
      </c>
      <c r="AI1848" t="str">
        <f>"1751040"</f>
        <v>1751040</v>
      </c>
      <c r="AJ1848" t="s">
        <v>178</v>
      </c>
      <c r="AK1848">
        <v>2810252495</v>
      </c>
      <c r="AL1848" t="s">
        <v>179</v>
      </c>
      <c r="AM1848" t="s">
        <v>78</v>
      </c>
      <c r="AN1848" t="s">
        <v>78</v>
      </c>
      <c r="AO1848" t="s">
        <v>78</v>
      </c>
      <c r="AP1848" t="s">
        <v>141</v>
      </c>
      <c r="AQ1848">
        <v>3</v>
      </c>
      <c r="AR1848" t="s">
        <v>123</v>
      </c>
      <c r="AS1848" t="s">
        <v>124</v>
      </c>
      <c r="AT1848" t="s">
        <v>58</v>
      </c>
      <c r="AU1848" t="s">
        <v>68</v>
      </c>
      <c r="AV1848" t="s">
        <v>69</v>
      </c>
      <c r="AW1848" s="1">
        <v>25425</v>
      </c>
      <c r="AX1848">
        <v>2</v>
      </c>
    </row>
    <row r="1849" spans="1:50">
      <c r="A1849">
        <v>189600</v>
      </c>
      <c r="B1849" t="str">
        <f>"056240739"</f>
        <v>056240739</v>
      </c>
      <c r="C1849" t="s">
        <v>50</v>
      </c>
      <c r="D1849" t="s">
        <v>3915</v>
      </c>
      <c r="E1849" t="s">
        <v>250</v>
      </c>
      <c r="F1849" t="s">
        <v>95</v>
      </c>
      <c r="G1849" t="s">
        <v>440</v>
      </c>
      <c r="H1849" t="str">
        <f>"ΜΙΧ. ΣΗΦΑΚΗ 32 "</f>
        <v xml:space="preserve">ΜΙΧ. ΣΗΦΑΚΗ 32 </v>
      </c>
      <c r="I1849">
        <v>71409</v>
      </c>
      <c r="J1849">
        <v>2810234718</v>
      </c>
      <c r="K1849">
        <v>6944565461</v>
      </c>
      <c r="M1849" t="s">
        <v>3916</v>
      </c>
      <c r="N1849" t="s">
        <v>146</v>
      </c>
      <c r="O1849" t="s">
        <v>147</v>
      </c>
      <c r="R1849" t="s">
        <v>57</v>
      </c>
      <c r="S1849">
        <v>8</v>
      </c>
      <c r="T1849">
        <v>219</v>
      </c>
      <c r="U1849" s="1">
        <v>37134</v>
      </c>
      <c r="V1849" t="s">
        <v>123</v>
      </c>
      <c r="W1849" t="s">
        <v>124</v>
      </c>
      <c r="X1849" t="s">
        <v>58</v>
      </c>
      <c r="Y1849">
        <v>20</v>
      </c>
      <c r="Z1849" t="s">
        <v>59</v>
      </c>
      <c r="AA1849" t="s">
        <v>59</v>
      </c>
      <c r="AB1849" t="s">
        <v>59</v>
      </c>
      <c r="AC1849" t="s">
        <v>59</v>
      </c>
      <c r="AD1849" t="s">
        <v>59</v>
      </c>
      <c r="AF1849" s="1">
        <v>37138</v>
      </c>
      <c r="AG1849" t="s">
        <v>148</v>
      </c>
      <c r="AH1849" t="s">
        <v>149</v>
      </c>
      <c r="AI1849" t="str">
        <f>"1751051"</f>
        <v>1751051</v>
      </c>
      <c r="AJ1849" t="s">
        <v>259</v>
      </c>
      <c r="AK1849">
        <v>2810251794</v>
      </c>
      <c r="AL1849" t="s">
        <v>260</v>
      </c>
      <c r="AM1849" t="s">
        <v>78</v>
      </c>
      <c r="AN1849" t="s">
        <v>78</v>
      </c>
      <c r="AO1849" t="s">
        <v>78</v>
      </c>
      <c r="AP1849" t="s">
        <v>141</v>
      </c>
      <c r="AQ1849">
        <v>7</v>
      </c>
      <c r="AR1849" t="s">
        <v>123</v>
      </c>
      <c r="AS1849" t="s">
        <v>124</v>
      </c>
      <c r="AT1849" t="s">
        <v>58</v>
      </c>
      <c r="AU1849" t="s">
        <v>68</v>
      </c>
      <c r="AV1849" t="s">
        <v>69</v>
      </c>
      <c r="AW1849" s="1">
        <v>25663</v>
      </c>
      <c r="AX1849">
        <v>2</v>
      </c>
    </row>
    <row r="1850" spans="1:50">
      <c r="A1850">
        <v>164251</v>
      </c>
      <c r="B1850" t="str">
        <f>"034629640"</f>
        <v>034629640</v>
      </c>
      <c r="C1850" t="s">
        <v>50</v>
      </c>
      <c r="D1850" t="s">
        <v>3915</v>
      </c>
      <c r="E1850" t="s">
        <v>54</v>
      </c>
      <c r="F1850" t="s">
        <v>72</v>
      </c>
      <c r="G1850" t="s">
        <v>1074</v>
      </c>
      <c r="H1850" t="str">
        <f>"ΑΓ. ΠΑΡΑΣΚΕΥΗ 65 "</f>
        <v xml:space="preserve">ΑΓ. ΠΑΡΑΣΚΕΥΗ 65 </v>
      </c>
      <c r="I1850">
        <v>70400</v>
      </c>
      <c r="J1850">
        <v>2892091492</v>
      </c>
      <c r="N1850" t="s">
        <v>146</v>
      </c>
      <c r="O1850" t="s">
        <v>147</v>
      </c>
      <c r="R1850" t="s">
        <v>57</v>
      </c>
      <c r="S1850">
        <v>14</v>
      </c>
      <c r="T1850">
        <v>161</v>
      </c>
      <c r="U1850" s="1">
        <v>33844</v>
      </c>
      <c r="V1850" t="s">
        <v>123</v>
      </c>
      <c r="W1850" t="s">
        <v>124</v>
      </c>
      <c r="X1850" t="s">
        <v>58</v>
      </c>
      <c r="Y1850">
        <v>18</v>
      </c>
      <c r="Z1850" t="s">
        <v>59</v>
      </c>
      <c r="AA1850" t="s">
        <v>59</v>
      </c>
      <c r="AB1850" t="s">
        <v>59</v>
      </c>
      <c r="AC1850" t="s">
        <v>59</v>
      </c>
      <c r="AD1850" t="s">
        <v>59</v>
      </c>
      <c r="AF1850" s="1">
        <v>33851</v>
      </c>
      <c r="AG1850" t="s">
        <v>125</v>
      </c>
      <c r="AH1850" t="s">
        <v>126</v>
      </c>
      <c r="AI1850" t="str">
        <f>"1707010"</f>
        <v>1707010</v>
      </c>
      <c r="AJ1850" t="s">
        <v>757</v>
      </c>
      <c r="AK1850">
        <v>2892041211</v>
      </c>
      <c r="AL1850" t="s">
        <v>758</v>
      </c>
      <c r="AM1850" t="s">
        <v>78</v>
      </c>
      <c r="AN1850" t="s">
        <v>242</v>
      </c>
      <c r="AO1850" t="s">
        <v>243</v>
      </c>
      <c r="AP1850" t="s">
        <v>244</v>
      </c>
      <c r="AQ1850">
        <v>34</v>
      </c>
      <c r="AR1850" t="s">
        <v>123</v>
      </c>
      <c r="AS1850" t="s">
        <v>124</v>
      </c>
      <c r="AT1850" t="s">
        <v>58</v>
      </c>
      <c r="AU1850" t="s">
        <v>68</v>
      </c>
      <c r="AV1850" t="s">
        <v>69</v>
      </c>
      <c r="AW1850" s="1">
        <v>21282</v>
      </c>
      <c r="AX1850">
        <v>2</v>
      </c>
    </row>
    <row r="1851" spans="1:50">
      <c r="A1851">
        <v>193270</v>
      </c>
      <c r="B1851" t="str">
        <f>"041559739"</f>
        <v>041559739</v>
      </c>
      <c r="C1851" t="s">
        <v>50</v>
      </c>
      <c r="D1851" t="s">
        <v>3917</v>
      </c>
      <c r="E1851" t="s">
        <v>103</v>
      </c>
      <c r="F1851" t="s">
        <v>84</v>
      </c>
      <c r="G1851" t="s">
        <v>83</v>
      </c>
      <c r="H1851" t="str">
        <f>"ΜΑΝΟΥ ΛΟΪΖΟΥ 10 ΗΡΑΚΛΕΙΟΥ"</f>
        <v>ΜΑΝΟΥ ΛΟΪΖΟΥ 10 ΗΡΑΚΛΕΙΟΥ</v>
      </c>
      <c r="I1851">
        <v>71409</v>
      </c>
      <c r="J1851">
        <v>2810236447</v>
      </c>
      <c r="K1851">
        <v>6973359972</v>
      </c>
      <c r="L1851">
        <v>2841082294</v>
      </c>
      <c r="M1851" t="s">
        <v>3918</v>
      </c>
      <c r="N1851" t="s">
        <v>146</v>
      </c>
      <c r="O1851" t="s">
        <v>147</v>
      </c>
      <c r="R1851" t="s">
        <v>57</v>
      </c>
      <c r="S1851">
        <v>8</v>
      </c>
      <c r="T1851" t="s">
        <v>3919</v>
      </c>
      <c r="U1851" s="1">
        <v>37135</v>
      </c>
      <c r="V1851" t="s">
        <v>123</v>
      </c>
      <c r="W1851" t="s">
        <v>124</v>
      </c>
      <c r="X1851" t="s">
        <v>58</v>
      </c>
      <c r="Y1851">
        <v>20</v>
      </c>
      <c r="Z1851" t="s">
        <v>59</v>
      </c>
      <c r="AA1851" t="s">
        <v>59</v>
      </c>
      <c r="AB1851" t="s">
        <v>59</v>
      </c>
      <c r="AC1851" t="s">
        <v>59</v>
      </c>
      <c r="AD1851" t="s">
        <v>59</v>
      </c>
      <c r="AF1851" s="1">
        <v>37501</v>
      </c>
      <c r="AG1851" t="s">
        <v>148</v>
      </c>
      <c r="AH1851" t="s">
        <v>149</v>
      </c>
      <c r="AI1851" t="str">
        <f>"1751052"</f>
        <v>1751052</v>
      </c>
      <c r="AJ1851" t="s">
        <v>328</v>
      </c>
      <c r="AK1851">
        <v>2810213762</v>
      </c>
      <c r="AL1851" t="s">
        <v>329</v>
      </c>
      <c r="AM1851" t="s">
        <v>78</v>
      </c>
      <c r="AN1851" t="s">
        <v>78</v>
      </c>
      <c r="AO1851" t="s">
        <v>78</v>
      </c>
      <c r="AP1851" t="s">
        <v>163</v>
      </c>
      <c r="AQ1851">
        <v>8</v>
      </c>
      <c r="AR1851" t="s">
        <v>123</v>
      </c>
      <c r="AS1851" t="s">
        <v>124</v>
      </c>
      <c r="AT1851" t="s">
        <v>58</v>
      </c>
      <c r="AU1851" t="s">
        <v>68</v>
      </c>
      <c r="AV1851" t="s">
        <v>69</v>
      </c>
      <c r="AW1851" s="1">
        <v>25478</v>
      </c>
      <c r="AX1851">
        <v>2</v>
      </c>
    </row>
    <row r="1852" spans="1:50">
      <c r="A1852">
        <v>181767</v>
      </c>
      <c r="B1852" t="str">
        <f>"044191332"</f>
        <v>044191332</v>
      </c>
      <c r="C1852" t="s">
        <v>50</v>
      </c>
      <c r="D1852" t="s">
        <v>3920</v>
      </c>
      <c r="E1852" t="s">
        <v>3921</v>
      </c>
      <c r="F1852" t="s">
        <v>106</v>
      </c>
      <c r="G1852" t="s">
        <v>250</v>
      </c>
      <c r="H1852" t="str">
        <f>"Μ.ΚΑΛΟΧΡΙΣΤΙΑΝΑΚΗ 13 ΑΡΧΑΝΕΣ"</f>
        <v>Μ.ΚΑΛΟΧΡΙΣΤΙΑΝΑΚΗ 13 ΑΡΧΑΝΕΣ</v>
      </c>
      <c r="I1852">
        <v>70100</v>
      </c>
      <c r="J1852">
        <v>2810752592</v>
      </c>
      <c r="K1852">
        <v>6972507332</v>
      </c>
      <c r="M1852" t="s">
        <v>3922</v>
      </c>
      <c r="N1852" t="s">
        <v>257</v>
      </c>
      <c r="O1852" t="s">
        <v>258</v>
      </c>
      <c r="P1852" t="s">
        <v>615</v>
      </c>
      <c r="Q1852" t="s">
        <v>616</v>
      </c>
      <c r="R1852" t="s">
        <v>57</v>
      </c>
      <c r="S1852">
        <v>10</v>
      </c>
      <c r="T1852">
        <v>164</v>
      </c>
      <c r="U1852" s="1">
        <v>36040</v>
      </c>
      <c r="V1852" t="s">
        <v>123</v>
      </c>
      <c r="W1852" t="s">
        <v>124</v>
      </c>
      <c r="X1852" t="s">
        <v>58</v>
      </c>
      <c r="Y1852">
        <v>18</v>
      </c>
      <c r="Z1852" t="s">
        <v>59</v>
      </c>
      <c r="AA1852" t="s">
        <v>59</v>
      </c>
      <c r="AB1852" t="s">
        <v>59</v>
      </c>
      <c r="AC1852" t="s">
        <v>59</v>
      </c>
      <c r="AD1852" t="s">
        <v>59</v>
      </c>
      <c r="AF1852" s="1">
        <v>36041</v>
      </c>
      <c r="AG1852" t="s">
        <v>125</v>
      </c>
      <c r="AH1852" t="s">
        <v>126</v>
      </c>
      <c r="AI1852" t="str">
        <f>"1727010"</f>
        <v>1727010</v>
      </c>
      <c r="AJ1852" t="s">
        <v>618</v>
      </c>
      <c r="AK1852">
        <v>2810229231</v>
      </c>
      <c r="AL1852" t="s">
        <v>619</v>
      </c>
      <c r="AM1852" t="s">
        <v>78</v>
      </c>
      <c r="AN1852" t="s">
        <v>78</v>
      </c>
      <c r="AO1852" t="s">
        <v>286</v>
      </c>
      <c r="AP1852" t="s">
        <v>286</v>
      </c>
      <c r="AQ1852">
        <v>12</v>
      </c>
      <c r="AR1852" t="s">
        <v>123</v>
      </c>
      <c r="AS1852" t="s">
        <v>124</v>
      </c>
      <c r="AT1852" t="s">
        <v>58</v>
      </c>
      <c r="AU1852" t="s">
        <v>68</v>
      </c>
      <c r="AV1852" t="s">
        <v>69</v>
      </c>
      <c r="AW1852" s="1">
        <v>22505</v>
      </c>
      <c r="AX1852">
        <v>2</v>
      </c>
    </row>
    <row r="1853" spans="1:50">
      <c r="A1853">
        <v>221829</v>
      </c>
      <c r="B1853" t="str">
        <f>"106956210"</f>
        <v>106956210</v>
      </c>
      <c r="C1853" t="s">
        <v>105</v>
      </c>
      <c r="D1853" t="s">
        <v>3923</v>
      </c>
      <c r="E1853" t="s">
        <v>3924</v>
      </c>
      <c r="F1853" t="s">
        <v>459</v>
      </c>
      <c r="G1853" t="s">
        <v>367</v>
      </c>
      <c r="H1853" t="str">
        <f>" "</f>
        <v xml:space="preserve"> </v>
      </c>
      <c r="J1853">
        <v>2109339240</v>
      </c>
      <c r="K1853">
        <v>6932916663</v>
      </c>
      <c r="L1853">
        <v>6948940232</v>
      </c>
      <c r="M1853" t="s">
        <v>3925</v>
      </c>
      <c r="N1853" t="s">
        <v>157</v>
      </c>
      <c r="O1853" t="s">
        <v>158</v>
      </c>
      <c r="R1853" t="s">
        <v>57</v>
      </c>
      <c r="S1853">
        <v>6</v>
      </c>
      <c r="T1853">
        <v>775</v>
      </c>
      <c r="U1853" s="1">
        <v>39680</v>
      </c>
      <c r="V1853" t="s">
        <v>123</v>
      </c>
      <c r="W1853" t="s">
        <v>124</v>
      </c>
      <c r="X1853" t="s">
        <v>58</v>
      </c>
      <c r="Y1853">
        <v>21</v>
      </c>
      <c r="Z1853" t="s">
        <v>59</v>
      </c>
      <c r="AA1853" t="s">
        <v>59</v>
      </c>
      <c r="AB1853" t="s">
        <v>59</v>
      </c>
      <c r="AC1853" t="s">
        <v>59</v>
      </c>
      <c r="AD1853" t="s">
        <v>59</v>
      </c>
      <c r="AF1853" s="1">
        <v>40056</v>
      </c>
      <c r="AG1853" t="s">
        <v>148</v>
      </c>
      <c r="AH1853" t="s">
        <v>149</v>
      </c>
      <c r="AI1853" t="str">
        <f>"1767011"</f>
        <v>1767011</v>
      </c>
      <c r="AJ1853" t="s">
        <v>217</v>
      </c>
      <c r="AK1853">
        <v>2897021055</v>
      </c>
      <c r="AL1853" t="s">
        <v>218</v>
      </c>
      <c r="AM1853" t="s">
        <v>78</v>
      </c>
      <c r="AN1853" t="s">
        <v>219</v>
      </c>
      <c r="AO1853" t="s">
        <v>219</v>
      </c>
      <c r="AP1853" t="s">
        <v>220</v>
      </c>
      <c r="AQ1853">
        <v>20</v>
      </c>
      <c r="AR1853" t="s">
        <v>123</v>
      </c>
      <c r="AS1853" t="s">
        <v>124</v>
      </c>
      <c r="AT1853" t="s">
        <v>58</v>
      </c>
      <c r="AU1853" t="s">
        <v>68</v>
      </c>
      <c r="AV1853" t="s">
        <v>69</v>
      </c>
      <c r="AW1853" s="1">
        <v>29903</v>
      </c>
      <c r="AX1853">
        <v>2</v>
      </c>
    </row>
    <row r="1854" spans="1:50">
      <c r="A1854">
        <v>701228</v>
      </c>
      <c r="B1854" t="str">
        <f>"066594120"</f>
        <v>066594120</v>
      </c>
      <c r="C1854" t="s">
        <v>50</v>
      </c>
      <c r="D1854" t="s">
        <v>3926</v>
      </c>
      <c r="E1854" t="s">
        <v>52</v>
      </c>
      <c r="F1854" t="s">
        <v>84</v>
      </c>
      <c r="G1854" t="s">
        <v>1355</v>
      </c>
      <c r="H1854" t="str">
        <f>"1 ΧΛΜ ΜΟΙΡΩΝ-ΗΡΑΚΛ ΜΟΙΡΕΣ"</f>
        <v>1 ΧΛΜ ΜΟΙΡΩΝ-ΗΡΑΚΛ ΜΟΙΡΕΣ</v>
      </c>
      <c r="I1854">
        <v>70400</v>
      </c>
      <c r="J1854">
        <v>2892022533</v>
      </c>
      <c r="K1854">
        <v>6945430163</v>
      </c>
      <c r="L1854">
        <v>2892029118</v>
      </c>
      <c r="M1854" t="s">
        <v>3927</v>
      </c>
      <c r="N1854" t="s">
        <v>146</v>
      </c>
      <c r="O1854" t="s">
        <v>147</v>
      </c>
      <c r="R1854" t="s">
        <v>57</v>
      </c>
      <c r="S1854">
        <v>5</v>
      </c>
      <c r="T1854">
        <v>772</v>
      </c>
      <c r="U1854" s="1">
        <v>40413</v>
      </c>
      <c r="V1854" t="s">
        <v>123</v>
      </c>
      <c r="W1854" t="s">
        <v>124</v>
      </c>
      <c r="X1854" t="s">
        <v>58</v>
      </c>
      <c r="Y1854">
        <v>21</v>
      </c>
      <c r="Z1854" t="s">
        <v>59</v>
      </c>
      <c r="AA1854" t="s">
        <v>59</v>
      </c>
      <c r="AB1854" t="s">
        <v>59</v>
      </c>
      <c r="AC1854" t="s">
        <v>59</v>
      </c>
      <c r="AD1854" t="s">
        <v>59</v>
      </c>
      <c r="AF1854" s="1">
        <v>40413</v>
      </c>
      <c r="AG1854" t="s">
        <v>125</v>
      </c>
      <c r="AH1854" t="s">
        <v>126</v>
      </c>
      <c r="AI1854" t="str">
        <f>"1706010"</f>
        <v>1706010</v>
      </c>
      <c r="AJ1854" t="s">
        <v>391</v>
      </c>
      <c r="AK1854">
        <v>2892022286</v>
      </c>
      <c r="AL1854" t="s">
        <v>392</v>
      </c>
      <c r="AM1854" t="s">
        <v>78</v>
      </c>
      <c r="AN1854" t="s">
        <v>242</v>
      </c>
      <c r="AO1854" t="s">
        <v>243</v>
      </c>
      <c r="AP1854" t="s">
        <v>243</v>
      </c>
      <c r="AQ1854">
        <v>33</v>
      </c>
      <c r="AR1854" t="s">
        <v>123</v>
      </c>
      <c r="AS1854" t="s">
        <v>124</v>
      </c>
      <c r="AT1854" t="s">
        <v>58</v>
      </c>
      <c r="AU1854" t="s">
        <v>68</v>
      </c>
      <c r="AV1854" t="s">
        <v>69</v>
      </c>
      <c r="AW1854" s="1">
        <v>27456</v>
      </c>
      <c r="AX1854">
        <v>2</v>
      </c>
    </row>
    <row r="1855" spans="1:50">
      <c r="A1855">
        <v>223202</v>
      </c>
      <c r="B1855" t="str">
        <f>"061810446"</f>
        <v>061810446</v>
      </c>
      <c r="C1855" t="s">
        <v>50</v>
      </c>
      <c r="D1855" t="s">
        <v>3928</v>
      </c>
      <c r="E1855" t="s">
        <v>143</v>
      </c>
      <c r="F1855" t="s">
        <v>166</v>
      </c>
      <c r="G1855" t="s">
        <v>237</v>
      </c>
      <c r="H1855" t="str">
        <f>" "</f>
        <v xml:space="preserve"> </v>
      </c>
      <c r="J1855">
        <v>2810211072</v>
      </c>
      <c r="K1855">
        <v>6944378593</v>
      </c>
      <c r="M1855" t="s">
        <v>3929</v>
      </c>
      <c r="N1855" t="s">
        <v>292</v>
      </c>
      <c r="O1855" t="s">
        <v>293</v>
      </c>
      <c r="R1855" t="s">
        <v>57</v>
      </c>
      <c r="S1855">
        <v>6</v>
      </c>
      <c r="T1855">
        <v>775</v>
      </c>
      <c r="U1855" s="1">
        <v>39680</v>
      </c>
      <c r="V1855" t="s">
        <v>123</v>
      </c>
      <c r="W1855" t="s">
        <v>124</v>
      </c>
      <c r="X1855" t="s">
        <v>58</v>
      </c>
      <c r="Y1855">
        <v>20</v>
      </c>
      <c r="Z1855" t="s">
        <v>59</v>
      </c>
      <c r="AA1855" t="s">
        <v>59</v>
      </c>
      <c r="AB1855" t="s">
        <v>59</v>
      </c>
      <c r="AC1855" t="s">
        <v>59</v>
      </c>
      <c r="AD1855" t="s">
        <v>59</v>
      </c>
      <c r="AF1855" s="1">
        <v>39682</v>
      </c>
      <c r="AG1855" t="s">
        <v>137</v>
      </c>
      <c r="AH1855" t="s">
        <v>138</v>
      </c>
      <c r="AI1855" t="str">
        <f>"1740100"</f>
        <v>1740100</v>
      </c>
      <c r="AJ1855" t="s">
        <v>857</v>
      </c>
      <c r="AK1855">
        <v>2810360741</v>
      </c>
      <c r="AL1855" t="s">
        <v>858</v>
      </c>
      <c r="AM1855" t="s">
        <v>78</v>
      </c>
      <c r="AN1855" t="s">
        <v>78</v>
      </c>
      <c r="AO1855" t="s">
        <v>78</v>
      </c>
      <c r="AP1855" t="s">
        <v>163</v>
      </c>
      <c r="AQ1855">
        <v>5</v>
      </c>
      <c r="AR1855" t="s">
        <v>123</v>
      </c>
      <c r="AS1855" t="s">
        <v>124</v>
      </c>
      <c r="AT1855" t="s">
        <v>58</v>
      </c>
      <c r="AU1855" t="s">
        <v>68</v>
      </c>
      <c r="AV1855" t="s">
        <v>69</v>
      </c>
      <c r="AW1855" s="1">
        <v>26485</v>
      </c>
      <c r="AX1855">
        <v>2</v>
      </c>
    </row>
    <row r="1856" spans="1:50">
      <c r="A1856">
        <v>218256</v>
      </c>
      <c r="B1856" t="str">
        <f>"066360106"</f>
        <v>066360106</v>
      </c>
      <c r="C1856" t="s">
        <v>50</v>
      </c>
      <c r="D1856" t="s">
        <v>3930</v>
      </c>
      <c r="E1856" t="s">
        <v>255</v>
      </c>
      <c r="F1856" t="s">
        <v>95</v>
      </c>
      <c r="G1856" t="s">
        <v>73</v>
      </c>
      <c r="H1856" t="str">
        <f>"ΑΡΧΑΝΕΣ 7.Θ.7 "</f>
        <v xml:space="preserve">ΑΡΧΑΝΕΣ 7.Θ.7 </v>
      </c>
      <c r="I1856">
        <v>70100</v>
      </c>
      <c r="J1856">
        <v>2810752189</v>
      </c>
      <c r="K1856">
        <v>6937512848</v>
      </c>
      <c r="N1856" t="s">
        <v>292</v>
      </c>
      <c r="O1856" t="s">
        <v>293</v>
      </c>
      <c r="R1856" t="s">
        <v>57</v>
      </c>
      <c r="S1856">
        <v>6</v>
      </c>
      <c r="T1856">
        <v>599</v>
      </c>
      <c r="U1856" s="1">
        <v>39310</v>
      </c>
      <c r="V1856" t="s">
        <v>123</v>
      </c>
      <c r="W1856" t="s">
        <v>124</v>
      </c>
      <c r="X1856" t="s">
        <v>58</v>
      </c>
      <c r="Y1856">
        <v>20</v>
      </c>
      <c r="Z1856" t="s">
        <v>59</v>
      </c>
      <c r="AA1856" t="s">
        <v>59</v>
      </c>
      <c r="AB1856" t="s">
        <v>59</v>
      </c>
      <c r="AC1856" t="s">
        <v>59</v>
      </c>
      <c r="AD1856" t="s">
        <v>59</v>
      </c>
      <c r="AF1856" s="1">
        <v>39328</v>
      </c>
      <c r="AG1856" t="s">
        <v>125</v>
      </c>
      <c r="AH1856" t="s">
        <v>126</v>
      </c>
      <c r="AI1856" t="str">
        <f>"1703010"</f>
        <v>1703010</v>
      </c>
      <c r="AJ1856" t="s">
        <v>422</v>
      </c>
      <c r="AK1856">
        <v>2810751808</v>
      </c>
      <c r="AL1856" t="s">
        <v>423</v>
      </c>
      <c r="AM1856" t="s">
        <v>78</v>
      </c>
      <c r="AN1856" t="s">
        <v>424</v>
      </c>
      <c r="AO1856" t="s">
        <v>425</v>
      </c>
      <c r="AP1856" t="s">
        <v>425</v>
      </c>
      <c r="AQ1856">
        <v>13</v>
      </c>
      <c r="AR1856" t="s">
        <v>123</v>
      </c>
      <c r="AS1856" t="s">
        <v>124</v>
      </c>
      <c r="AT1856" t="s">
        <v>58</v>
      </c>
      <c r="AU1856" t="s">
        <v>68</v>
      </c>
      <c r="AV1856" t="s">
        <v>69</v>
      </c>
      <c r="AW1856" s="1">
        <v>27777</v>
      </c>
      <c r="AX1856">
        <v>2</v>
      </c>
    </row>
    <row r="1857" spans="1:50">
      <c r="A1857">
        <v>170108</v>
      </c>
      <c r="B1857" t="str">
        <f>"043071914"</f>
        <v>043071914</v>
      </c>
      <c r="C1857" t="s">
        <v>50</v>
      </c>
      <c r="D1857" t="s">
        <v>3930</v>
      </c>
      <c r="E1857" t="s">
        <v>707</v>
      </c>
      <c r="F1857" t="s">
        <v>84</v>
      </c>
      <c r="G1857" t="s">
        <v>83</v>
      </c>
      <c r="H1857" t="str">
        <f>"ΓΕΩΡΓΙΟΥ ΣΚΟΥΛΑ 9 ΗΡΑΚΛΕΙΟ"</f>
        <v>ΓΕΩΡΓΙΟΥ ΣΚΟΥΛΑ 9 ΗΡΑΚΛΕΙΟ</v>
      </c>
      <c r="I1857">
        <v>71305</v>
      </c>
      <c r="J1857">
        <v>2810213991</v>
      </c>
      <c r="K1857">
        <v>6978583352</v>
      </c>
      <c r="M1857" t="s">
        <v>3931</v>
      </c>
      <c r="N1857" t="s">
        <v>146</v>
      </c>
      <c r="O1857" t="s">
        <v>147</v>
      </c>
      <c r="R1857" t="s">
        <v>57</v>
      </c>
      <c r="S1857">
        <v>13</v>
      </c>
      <c r="T1857">
        <v>184</v>
      </c>
      <c r="U1857" s="1">
        <v>34941</v>
      </c>
      <c r="V1857" t="s">
        <v>123</v>
      </c>
      <c r="W1857" t="s">
        <v>124</v>
      </c>
      <c r="X1857" t="s">
        <v>58</v>
      </c>
      <c r="Y1857">
        <v>18</v>
      </c>
      <c r="Z1857" t="s">
        <v>59</v>
      </c>
      <c r="AA1857" t="s">
        <v>59</v>
      </c>
      <c r="AB1857" t="s">
        <v>59</v>
      </c>
      <c r="AC1857" t="s">
        <v>59</v>
      </c>
      <c r="AD1857" t="s">
        <v>59</v>
      </c>
      <c r="AF1857" s="1">
        <v>34947</v>
      </c>
      <c r="AG1857" t="s">
        <v>148</v>
      </c>
      <c r="AH1857" t="s">
        <v>149</v>
      </c>
      <c r="AI1857" t="str">
        <f>"1751030"</f>
        <v>1751030</v>
      </c>
      <c r="AJ1857" t="s">
        <v>234</v>
      </c>
      <c r="AK1857">
        <v>2810282911</v>
      </c>
      <c r="AL1857" t="s">
        <v>235</v>
      </c>
      <c r="AM1857" t="s">
        <v>78</v>
      </c>
      <c r="AN1857" t="s">
        <v>78</v>
      </c>
      <c r="AO1857" t="s">
        <v>78</v>
      </c>
      <c r="AP1857" t="s">
        <v>163</v>
      </c>
      <c r="AQ1857">
        <v>1</v>
      </c>
      <c r="AR1857" t="s">
        <v>123</v>
      </c>
      <c r="AS1857" t="s">
        <v>124</v>
      </c>
      <c r="AT1857" t="s">
        <v>58</v>
      </c>
      <c r="AU1857" t="s">
        <v>68</v>
      </c>
      <c r="AV1857" t="s">
        <v>69</v>
      </c>
      <c r="AW1857" s="1">
        <v>24051</v>
      </c>
      <c r="AX1857">
        <v>2</v>
      </c>
    </row>
    <row r="1858" spans="1:50">
      <c r="A1858">
        <v>202984</v>
      </c>
      <c r="B1858" t="str">
        <f>"050906715"</f>
        <v>050906715</v>
      </c>
      <c r="C1858" t="s">
        <v>105</v>
      </c>
      <c r="D1858" t="s">
        <v>3932</v>
      </c>
      <c r="E1858" t="s">
        <v>383</v>
      </c>
      <c r="F1858" t="s">
        <v>95</v>
      </c>
      <c r="G1858" t="s">
        <v>112</v>
      </c>
      <c r="H1858" t="str">
        <f>"ΑΔ. ΖΩΝΗΣ 3 ΑΓ. ΠΑΡΑΣΚΙΕΣ"</f>
        <v>ΑΔ. ΖΩΝΗΣ 3 ΑΓ. ΠΑΡΑΣΚΙΕΣ</v>
      </c>
      <c r="I1858">
        <v>70100</v>
      </c>
      <c r="J1858">
        <v>2810741196</v>
      </c>
      <c r="K1858">
        <v>6973546577</v>
      </c>
      <c r="M1858" t="s">
        <v>3933</v>
      </c>
      <c r="N1858" t="s">
        <v>1647</v>
      </c>
      <c r="O1858" t="s">
        <v>1648</v>
      </c>
      <c r="R1858" t="s">
        <v>57</v>
      </c>
      <c r="S1858">
        <v>9</v>
      </c>
      <c r="T1858">
        <v>231</v>
      </c>
      <c r="U1858" s="1">
        <v>38230</v>
      </c>
      <c r="V1858" t="s">
        <v>123</v>
      </c>
      <c r="W1858" t="s">
        <v>124</v>
      </c>
      <c r="X1858" t="s">
        <v>58</v>
      </c>
      <c r="Y1858">
        <v>20</v>
      </c>
      <c r="Z1858" t="s">
        <v>59</v>
      </c>
      <c r="AA1858" t="s">
        <v>59</v>
      </c>
      <c r="AB1858" t="s">
        <v>59</v>
      </c>
      <c r="AC1858" t="s">
        <v>59</v>
      </c>
      <c r="AD1858" t="s">
        <v>59</v>
      </c>
      <c r="AF1858" s="1">
        <v>38232</v>
      </c>
      <c r="AG1858" t="s">
        <v>125</v>
      </c>
      <c r="AH1858" t="s">
        <v>126</v>
      </c>
      <c r="AI1858" t="str">
        <f>"1702010"</f>
        <v>1702010</v>
      </c>
      <c r="AJ1858" t="s">
        <v>604</v>
      </c>
      <c r="AK1858">
        <v>2891022228</v>
      </c>
      <c r="AL1858" t="s">
        <v>605</v>
      </c>
      <c r="AM1858" t="s">
        <v>78</v>
      </c>
      <c r="AN1858" t="s">
        <v>276</v>
      </c>
      <c r="AO1858" t="s">
        <v>490</v>
      </c>
      <c r="AP1858" t="s">
        <v>490</v>
      </c>
      <c r="AQ1858">
        <v>15</v>
      </c>
      <c r="AR1858" t="s">
        <v>123</v>
      </c>
      <c r="AS1858" t="s">
        <v>124</v>
      </c>
      <c r="AT1858" t="s">
        <v>58</v>
      </c>
      <c r="AU1858" t="s">
        <v>68</v>
      </c>
      <c r="AV1858" t="s">
        <v>69</v>
      </c>
      <c r="AW1858" s="1">
        <v>21380</v>
      </c>
      <c r="AX1858">
        <v>2</v>
      </c>
    </row>
    <row r="1859" spans="1:50">
      <c r="A1859">
        <v>228757</v>
      </c>
      <c r="B1859" t="str">
        <f>"059372348"</f>
        <v>059372348</v>
      </c>
      <c r="C1859" t="s">
        <v>105</v>
      </c>
      <c r="D1859" t="s">
        <v>3932</v>
      </c>
      <c r="E1859" t="s">
        <v>72</v>
      </c>
      <c r="F1859" t="s">
        <v>154</v>
      </c>
      <c r="G1859" t="s">
        <v>3934</v>
      </c>
      <c r="H1859" t="str">
        <f>"Η.ΚΟΚΚΙΝΙΔΗ 9 ΗΡΑΚΛΕΙΟ"</f>
        <v>Η.ΚΟΚΚΙΝΙΔΗ 9 ΗΡΑΚΛΕΙΟ</v>
      </c>
      <c r="I1859">
        <v>71414</v>
      </c>
      <c r="J1859">
        <v>2810317410</v>
      </c>
      <c r="K1859">
        <v>6947071896</v>
      </c>
      <c r="N1859" t="s">
        <v>176</v>
      </c>
      <c r="O1859" t="s">
        <v>177</v>
      </c>
      <c r="R1859" t="s">
        <v>57</v>
      </c>
      <c r="S1859">
        <v>4</v>
      </c>
      <c r="T1859">
        <v>683</v>
      </c>
      <c r="U1859" s="1">
        <v>40052</v>
      </c>
      <c r="V1859" t="s">
        <v>123</v>
      </c>
      <c r="W1859" t="s">
        <v>124</v>
      </c>
      <c r="X1859" t="s">
        <v>58</v>
      </c>
      <c r="Y1859">
        <v>21</v>
      </c>
      <c r="Z1859" t="s">
        <v>59</v>
      </c>
      <c r="AA1859" t="s">
        <v>59</v>
      </c>
      <c r="AB1859" t="s">
        <v>59</v>
      </c>
      <c r="AC1859" t="s">
        <v>59</v>
      </c>
      <c r="AD1859" t="s">
        <v>59</v>
      </c>
      <c r="AF1859" s="1">
        <v>40053</v>
      </c>
      <c r="AG1859" t="s">
        <v>125</v>
      </c>
      <c r="AH1859" t="s">
        <v>126</v>
      </c>
      <c r="AI1859" t="str">
        <f>"1701050"</f>
        <v>1701050</v>
      </c>
      <c r="AJ1859" t="s">
        <v>660</v>
      </c>
      <c r="AK1859">
        <v>2810220729</v>
      </c>
      <c r="AL1859" t="s">
        <v>661</v>
      </c>
      <c r="AM1859" t="s">
        <v>78</v>
      </c>
      <c r="AN1859" t="s">
        <v>78</v>
      </c>
      <c r="AO1859" t="s">
        <v>78</v>
      </c>
      <c r="AP1859" t="s">
        <v>79</v>
      </c>
      <c r="AQ1859">
        <v>1</v>
      </c>
      <c r="AR1859" t="s">
        <v>123</v>
      </c>
      <c r="AS1859" t="s">
        <v>124</v>
      </c>
      <c r="AT1859" t="s">
        <v>58</v>
      </c>
      <c r="AU1859" t="s">
        <v>68</v>
      </c>
      <c r="AV1859" t="s">
        <v>69</v>
      </c>
      <c r="AW1859" s="1">
        <v>23994</v>
      </c>
      <c r="AX1859">
        <v>2</v>
      </c>
    </row>
    <row r="1860" spans="1:50">
      <c r="A1860">
        <v>217674</v>
      </c>
      <c r="B1860" t="str">
        <f>"072153240"</f>
        <v>072153240</v>
      </c>
      <c r="C1860" t="s">
        <v>50</v>
      </c>
      <c r="D1860" t="s">
        <v>3935</v>
      </c>
      <c r="E1860" t="s">
        <v>563</v>
      </c>
      <c r="F1860" t="s">
        <v>154</v>
      </c>
      <c r="G1860" t="s">
        <v>964</v>
      </c>
      <c r="H1860" t="str">
        <f>"ΘΕΟΤΟΚΟΠΟΥΛΟΥ 77 ΜΟΙΡΕΣ"</f>
        <v>ΘΕΟΤΟΚΟΠΟΥΛΟΥ 77 ΜΟΙΡΕΣ</v>
      </c>
      <c r="I1860">
        <v>70400</v>
      </c>
      <c r="J1860">
        <v>2105018704</v>
      </c>
      <c r="K1860">
        <v>6945055818</v>
      </c>
      <c r="N1860" t="s">
        <v>146</v>
      </c>
      <c r="O1860" t="s">
        <v>147</v>
      </c>
      <c r="R1860" t="s">
        <v>57</v>
      </c>
      <c r="S1860">
        <v>6</v>
      </c>
      <c r="T1860">
        <v>599</v>
      </c>
      <c r="U1860" s="1">
        <v>39310</v>
      </c>
      <c r="V1860" t="s">
        <v>123</v>
      </c>
      <c r="W1860" t="s">
        <v>124</v>
      </c>
      <c r="X1860" t="s">
        <v>58</v>
      </c>
      <c r="Y1860">
        <v>20</v>
      </c>
      <c r="Z1860" t="s">
        <v>59</v>
      </c>
      <c r="AA1860" t="s">
        <v>59</v>
      </c>
      <c r="AB1860" t="s">
        <v>59</v>
      </c>
      <c r="AC1860" t="s">
        <v>59</v>
      </c>
      <c r="AD1860" t="s">
        <v>59</v>
      </c>
      <c r="AF1860" s="1">
        <v>39328</v>
      </c>
      <c r="AG1860" t="s">
        <v>148</v>
      </c>
      <c r="AH1860" t="s">
        <v>149</v>
      </c>
      <c r="AI1860" t="str">
        <f>"1756010"</f>
        <v>1756010</v>
      </c>
      <c r="AJ1860" t="s">
        <v>874</v>
      </c>
      <c r="AK1860">
        <v>2892022976</v>
      </c>
      <c r="AL1860" t="s">
        <v>875</v>
      </c>
      <c r="AM1860" t="s">
        <v>78</v>
      </c>
      <c r="AN1860" t="s">
        <v>242</v>
      </c>
      <c r="AO1860" t="s">
        <v>243</v>
      </c>
      <c r="AP1860" t="s">
        <v>243</v>
      </c>
      <c r="AQ1860">
        <v>33</v>
      </c>
      <c r="AR1860" t="s">
        <v>123</v>
      </c>
      <c r="AS1860" t="s">
        <v>124</v>
      </c>
      <c r="AT1860" t="s">
        <v>58</v>
      </c>
      <c r="AU1860" t="s">
        <v>68</v>
      </c>
      <c r="AV1860" t="s">
        <v>69</v>
      </c>
      <c r="AW1860" s="1">
        <v>25433</v>
      </c>
      <c r="AX1860">
        <v>2</v>
      </c>
    </row>
    <row r="1861" spans="1:50">
      <c r="A1861">
        <v>197931</v>
      </c>
      <c r="B1861" t="str">
        <f>"030219205"</f>
        <v>030219205</v>
      </c>
      <c r="C1861" t="s">
        <v>50</v>
      </c>
      <c r="D1861" t="s">
        <v>3936</v>
      </c>
      <c r="E1861" t="s">
        <v>83</v>
      </c>
      <c r="F1861" t="s">
        <v>84</v>
      </c>
      <c r="G1861" t="s">
        <v>255</v>
      </c>
      <c r="H1861" t="str">
        <f>"ΣΟΡΒΟΛΟΥ 5 ΗΡΑΚΛΕΙΟ"</f>
        <v>ΣΟΡΒΟΛΟΥ 5 ΗΡΑΚΛΕΙΟ</v>
      </c>
      <c r="I1861">
        <v>71305</v>
      </c>
      <c r="J1861">
        <v>2810320250</v>
      </c>
      <c r="K1861">
        <v>6948078351</v>
      </c>
      <c r="M1861" t="s">
        <v>3937</v>
      </c>
      <c r="N1861" t="s">
        <v>292</v>
      </c>
      <c r="O1861" t="s">
        <v>293</v>
      </c>
      <c r="R1861" t="s">
        <v>57</v>
      </c>
      <c r="S1861">
        <v>8</v>
      </c>
      <c r="T1861">
        <v>206</v>
      </c>
      <c r="U1861" s="1">
        <v>37866</v>
      </c>
      <c r="V1861" t="s">
        <v>123</v>
      </c>
      <c r="W1861" t="s">
        <v>124</v>
      </c>
      <c r="X1861" t="s">
        <v>58</v>
      </c>
      <c r="Y1861">
        <v>20</v>
      </c>
      <c r="Z1861" t="s">
        <v>59</v>
      </c>
      <c r="AA1861" t="s">
        <v>59</v>
      </c>
      <c r="AB1861" t="s">
        <v>59</v>
      </c>
      <c r="AC1861" t="s">
        <v>59</v>
      </c>
      <c r="AD1861" t="s">
        <v>59</v>
      </c>
      <c r="AF1861" s="1">
        <v>37866</v>
      </c>
      <c r="AG1861" t="s">
        <v>148</v>
      </c>
      <c r="AH1861" t="s">
        <v>149</v>
      </c>
      <c r="AI1861" t="str">
        <f>"1751051"</f>
        <v>1751051</v>
      </c>
      <c r="AJ1861" t="s">
        <v>259</v>
      </c>
      <c r="AK1861">
        <v>2810251794</v>
      </c>
      <c r="AL1861" t="s">
        <v>260</v>
      </c>
      <c r="AM1861" t="s">
        <v>78</v>
      </c>
      <c r="AN1861" t="s">
        <v>78</v>
      </c>
      <c r="AO1861" t="s">
        <v>78</v>
      </c>
      <c r="AP1861" t="s">
        <v>141</v>
      </c>
      <c r="AQ1861">
        <v>7</v>
      </c>
      <c r="AR1861" t="s">
        <v>123</v>
      </c>
      <c r="AS1861" t="s">
        <v>124</v>
      </c>
      <c r="AT1861" t="s">
        <v>58</v>
      </c>
      <c r="AU1861" t="s">
        <v>68</v>
      </c>
      <c r="AV1861" t="s">
        <v>357</v>
      </c>
      <c r="AW1861" s="1">
        <v>24026</v>
      </c>
      <c r="AX1861">
        <v>2</v>
      </c>
    </row>
    <row r="1862" spans="1:50">
      <c r="A1862">
        <v>702944</v>
      </c>
      <c r="B1862" t="str">
        <f>"074178265"</f>
        <v>074178265</v>
      </c>
      <c r="C1862" t="s">
        <v>50</v>
      </c>
      <c r="D1862" t="s">
        <v>3938</v>
      </c>
      <c r="E1862" t="s">
        <v>1277</v>
      </c>
      <c r="F1862" t="s">
        <v>166</v>
      </c>
      <c r="G1862" t="s">
        <v>52</v>
      </c>
      <c r="H1862" t="str">
        <f>"ΡΑΥΤΟΠΟΥΛΟΥ 81 "</f>
        <v xml:space="preserve">ΡΑΥΤΟΠΟΥΛΟΥ 81 </v>
      </c>
      <c r="I1862">
        <v>71305</v>
      </c>
      <c r="J1862">
        <v>2810230455</v>
      </c>
      <c r="K1862">
        <v>6982601732</v>
      </c>
      <c r="N1862" t="s">
        <v>146</v>
      </c>
      <c r="O1862" t="s">
        <v>147</v>
      </c>
      <c r="R1862" t="s">
        <v>57</v>
      </c>
      <c r="S1862">
        <v>5</v>
      </c>
      <c r="T1862">
        <v>588</v>
      </c>
      <c r="U1862" s="1">
        <v>40778</v>
      </c>
      <c r="V1862" t="s">
        <v>123</v>
      </c>
      <c r="W1862" t="s">
        <v>124</v>
      </c>
      <c r="X1862" t="s">
        <v>58</v>
      </c>
      <c r="Y1862">
        <v>21</v>
      </c>
      <c r="Z1862" t="s">
        <v>59</v>
      </c>
      <c r="AA1862" t="s">
        <v>59</v>
      </c>
      <c r="AB1862" t="s">
        <v>59</v>
      </c>
      <c r="AC1862" t="s">
        <v>59</v>
      </c>
      <c r="AD1862" t="s">
        <v>59</v>
      </c>
      <c r="AF1862" s="1">
        <v>40780</v>
      </c>
      <c r="AG1862" t="s">
        <v>125</v>
      </c>
      <c r="AH1862" t="s">
        <v>126</v>
      </c>
      <c r="AI1862" t="str">
        <f>"1701030"</f>
        <v>1701030</v>
      </c>
      <c r="AJ1862" t="s">
        <v>270</v>
      </c>
      <c r="AK1862">
        <v>2810361015</v>
      </c>
      <c r="AL1862" t="s">
        <v>271</v>
      </c>
      <c r="AM1862" t="s">
        <v>78</v>
      </c>
      <c r="AN1862" t="s">
        <v>78</v>
      </c>
      <c r="AO1862" t="s">
        <v>78</v>
      </c>
      <c r="AP1862" t="s">
        <v>163</v>
      </c>
      <c r="AQ1862">
        <v>2</v>
      </c>
      <c r="AR1862" t="s">
        <v>123</v>
      </c>
      <c r="AS1862" t="s">
        <v>124</v>
      </c>
      <c r="AT1862" t="s">
        <v>58</v>
      </c>
      <c r="AU1862" t="s">
        <v>68</v>
      </c>
      <c r="AV1862" t="s">
        <v>357</v>
      </c>
      <c r="AW1862" s="1">
        <v>25943</v>
      </c>
      <c r="AX1862">
        <v>2</v>
      </c>
    </row>
    <row r="1863" spans="1:50">
      <c r="A1863">
        <v>702271</v>
      </c>
      <c r="B1863" t="str">
        <f>"114585208"</f>
        <v>114585208</v>
      </c>
      <c r="C1863" t="s">
        <v>50</v>
      </c>
      <c r="D1863" t="s">
        <v>3938</v>
      </c>
      <c r="E1863" t="s">
        <v>188</v>
      </c>
      <c r="F1863" t="s">
        <v>53</v>
      </c>
      <c r="G1863" t="s">
        <v>1764</v>
      </c>
      <c r="H1863" t="str">
        <f>" ΗΡΑΚΛΕΙΟ"</f>
        <v xml:space="preserve"> ΗΡΑΚΛΕΙΟ</v>
      </c>
      <c r="J1863">
        <v>2815005391</v>
      </c>
      <c r="K1863">
        <v>6977314199</v>
      </c>
      <c r="L1863">
        <v>2815005391</v>
      </c>
      <c r="M1863" t="s">
        <v>3939</v>
      </c>
      <c r="N1863" t="s">
        <v>146</v>
      </c>
      <c r="O1863" t="s">
        <v>147</v>
      </c>
      <c r="R1863" t="s">
        <v>57</v>
      </c>
      <c r="S1863">
        <v>5</v>
      </c>
      <c r="T1863">
        <v>772</v>
      </c>
      <c r="U1863" s="1">
        <v>40413</v>
      </c>
      <c r="V1863" t="s">
        <v>123</v>
      </c>
      <c r="W1863" t="s">
        <v>124</v>
      </c>
      <c r="X1863" t="s">
        <v>58</v>
      </c>
      <c r="Y1863">
        <v>21</v>
      </c>
      <c r="Z1863" t="s">
        <v>59</v>
      </c>
      <c r="AA1863" t="s">
        <v>59</v>
      </c>
      <c r="AB1863" t="s">
        <v>59</v>
      </c>
      <c r="AC1863" t="s">
        <v>59</v>
      </c>
      <c r="AD1863" t="s">
        <v>59</v>
      </c>
      <c r="AF1863" s="1">
        <v>40413</v>
      </c>
      <c r="AG1863" t="s">
        <v>125</v>
      </c>
      <c r="AH1863" t="s">
        <v>126</v>
      </c>
      <c r="AI1863" t="str">
        <f>"1715010"</f>
        <v>1715010</v>
      </c>
      <c r="AJ1863" t="s">
        <v>812</v>
      </c>
      <c r="AK1863">
        <v>2893031193</v>
      </c>
      <c r="AL1863" t="s">
        <v>813</v>
      </c>
      <c r="AM1863" t="s">
        <v>78</v>
      </c>
      <c r="AN1863" t="s">
        <v>405</v>
      </c>
      <c r="AO1863" t="s">
        <v>805</v>
      </c>
      <c r="AP1863" t="s">
        <v>806</v>
      </c>
      <c r="AQ1863">
        <v>25</v>
      </c>
      <c r="AR1863" t="s">
        <v>123</v>
      </c>
      <c r="AS1863" t="s">
        <v>124</v>
      </c>
      <c r="AT1863" t="s">
        <v>58</v>
      </c>
      <c r="AU1863" t="s">
        <v>68</v>
      </c>
      <c r="AV1863" t="s">
        <v>69</v>
      </c>
      <c r="AW1863" s="1">
        <v>28545</v>
      </c>
      <c r="AX1863">
        <v>2</v>
      </c>
    </row>
    <row r="1864" spans="1:50">
      <c r="A1864">
        <v>226853</v>
      </c>
      <c r="B1864" t="str">
        <f>"055181737"</f>
        <v>055181737</v>
      </c>
      <c r="C1864" t="s">
        <v>50</v>
      </c>
      <c r="D1864" t="s">
        <v>3940</v>
      </c>
      <c r="E1864" t="s">
        <v>112</v>
      </c>
      <c r="F1864" t="s">
        <v>95</v>
      </c>
      <c r="G1864" t="s">
        <v>52</v>
      </c>
      <c r="H1864" t="str">
        <f>"Λαμίας 6 Αγ. Ιωάννης"</f>
        <v>Λαμίας 6 Αγ. Ιωάννης</v>
      </c>
      <c r="I1864">
        <v>71409</v>
      </c>
      <c r="J1864">
        <v>2815005959</v>
      </c>
      <c r="K1864">
        <v>6942401388</v>
      </c>
      <c r="L1864">
        <v>2810230267</v>
      </c>
      <c r="M1864" t="s">
        <v>3941</v>
      </c>
      <c r="N1864" t="s">
        <v>146</v>
      </c>
      <c r="O1864" t="s">
        <v>147</v>
      </c>
      <c r="R1864" t="s">
        <v>57</v>
      </c>
      <c r="S1864">
        <v>5</v>
      </c>
      <c r="T1864">
        <v>654</v>
      </c>
      <c r="U1864" s="1">
        <v>40043</v>
      </c>
      <c r="V1864" t="s">
        <v>123</v>
      </c>
      <c r="W1864" t="s">
        <v>124</v>
      </c>
      <c r="X1864" t="s">
        <v>58</v>
      </c>
      <c r="Y1864">
        <v>21</v>
      </c>
      <c r="Z1864" t="s">
        <v>59</v>
      </c>
      <c r="AA1864" t="s">
        <v>59</v>
      </c>
      <c r="AB1864" t="s">
        <v>59</v>
      </c>
      <c r="AC1864" t="s">
        <v>59</v>
      </c>
      <c r="AD1864" t="s">
        <v>59</v>
      </c>
      <c r="AF1864" s="1">
        <v>40057</v>
      </c>
      <c r="AG1864" t="s">
        <v>148</v>
      </c>
      <c r="AH1864" t="s">
        <v>149</v>
      </c>
      <c r="AI1864" t="str">
        <f>"1764010"</f>
        <v>1764010</v>
      </c>
      <c r="AJ1864" t="s">
        <v>1058</v>
      </c>
      <c r="AK1864">
        <v>2810762862</v>
      </c>
      <c r="AL1864" t="s">
        <v>1059</v>
      </c>
      <c r="AM1864" t="s">
        <v>78</v>
      </c>
      <c r="AN1864" t="s">
        <v>219</v>
      </c>
      <c r="AO1864" t="s">
        <v>297</v>
      </c>
      <c r="AP1864" t="s">
        <v>297</v>
      </c>
      <c r="AQ1864">
        <v>37</v>
      </c>
      <c r="AR1864" t="s">
        <v>123</v>
      </c>
      <c r="AS1864" t="s">
        <v>124</v>
      </c>
      <c r="AT1864" t="s">
        <v>58</v>
      </c>
      <c r="AU1864" t="s">
        <v>68</v>
      </c>
      <c r="AV1864" t="s">
        <v>69</v>
      </c>
      <c r="AW1864" s="1">
        <v>26116</v>
      </c>
      <c r="AX1864">
        <v>2</v>
      </c>
    </row>
    <row r="1865" spans="1:50">
      <c r="A1865">
        <v>212454</v>
      </c>
      <c r="B1865" t="str">
        <f>"073278230"</f>
        <v>073278230</v>
      </c>
      <c r="C1865" t="s">
        <v>50</v>
      </c>
      <c r="D1865" t="s">
        <v>3940</v>
      </c>
      <c r="E1865" t="s">
        <v>52</v>
      </c>
      <c r="F1865" t="s">
        <v>72</v>
      </c>
      <c r="G1865" t="s">
        <v>143</v>
      </c>
      <c r="H1865" t="str">
        <f>"ΣΑΜΠΑΣ ΜΙΝΩΑ ΠΕΔΙΑΔΑΣ"</f>
        <v>ΣΑΜΠΑΣ ΜΙΝΩΑ ΠΕΔΙΑΔΑΣ</v>
      </c>
      <c r="I1865">
        <v>70006</v>
      </c>
      <c r="J1865">
        <v>2891041371</v>
      </c>
      <c r="K1865">
        <v>6974603217</v>
      </c>
      <c r="N1865" t="s">
        <v>146</v>
      </c>
      <c r="O1865" t="s">
        <v>147</v>
      </c>
      <c r="R1865" t="s">
        <v>57</v>
      </c>
      <c r="S1865">
        <v>6</v>
      </c>
      <c r="T1865">
        <v>231</v>
      </c>
      <c r="U1865" s="1">
        <v>38960</v>
      </c>
      <c r="V1865" t="s">
        <v>123</v>
      </c>
      <c r="W1865" t="s">
        <v>124</v>
      </c>
      <c r="X1865" t="s">
        <v>58</v>
      </c>
      <c r="Y1865">
        <v>20</v>
      </c>
      <c r="Z1865" t="s">
        <v>59</v>
      </c>
      <c r="AA1865" t="s">
        <v>59</v>
      </c>
      <c r="AB1865" t="s">
        <v>59</v>
      </c>
      <c r="AC1865" t="s">
        <v>59</v>
      </c>
      <c r="AD1865" t="s">
        <v>59</v>
      </c>
      <c r="AF1865" s="1">
        <v>38961</v>
      </c>
      <c r="AG1865" t="s">
        <v>148</v>
      </c>
      <c r="AH1865" t="s">
        <v>149</v>
      </c>
      <c r="AI1865" t="str">
        <f>"1752010"</f>
        <v>1752010</v>
      </c>
      <c r="AJ1865" t="s">
        <v>896</v>
      </c>
      <c r="AK1865">
        <v>2891022893</v>
      </c>
      <c r="AL1865" t="s">
        <v>897</v>
      </c>
      <c r="AM1865" t="s">
        <v>78</v>
      </c>
      <c r="AN1865" t="s">
        <v>276</v>
      </c>
      <c r="AO1865" t="s">
        <v>490</v>
      </c>
      <c r="AP1865" t="s">
        <v>490</v>
      </c>
      <c r="AQ1865">
        <v>15</v>
      </c>
      <c r="AR1865" t="s">
        <v>123</v>
      </c>
      <c r="AS1865" t="s">
        <v>124</v>
      </c>
      <c r="AT1865" t="s">
        <v>58</v>
      </c>
      <c r="AU1865" t="s">
        <v>68</v>
      </c>
      <c r="AV1865" t="s">
        <v>69</v>
      </c>
      <c r="AW1865" s="1">
        <v>25064</v>
      </c>
      <c r="AX1865">
        <v>2</v>
      </c>
    </row>
    <row r="1866" spans="1:50">
      <c r="A1866">
        <v>163326</v>
      </c>
      <c r="B1866" t="str">
        <f>"038912530"</f>
        <v>038912530</v>
      </c>
      <c r="C1866" t="s">
        <v>50</v>
      </c>
      <c r="D1866" t="s">
        <v>3942</v>
      </c>
      <c r="E1866" t="s">
        <v>54</v>
      </c>
      <c r="F1866" t="s">
        <v>72</v>
      </c>
      <c r="G1866" t="s">
        <v>513</v>
      </c>
      <c r="H1866" t="str">
        <f>" "</f>
        <v xml:space="preserve"> </v>
      </c>
      <c r="N1866" t="s">
        <v>299</v>
      </c>
      <c r="O1866" t="s">
        <v>300</v>
      </c>
      <c r="R1866" t="s">
        <v>57</v>
      </c>
      <c r="S1866">
        <v>14</v>
      </c>
      <c r="T1866">
        <v>132</v>
      </c>
      <c r="U1866" s="1">
        <v>33456</v>
      </c>
      <c r="V1866" t="s">
        <v>123</v>
      </c>
      <c r="W1866" t="s">
        <v>124</v>
      </c>
      <c r="X1866" t="s">
        <v>58</v>
      </c>
      <c r="Y1866">
        <v>18</v>
      </c>
      <c r="Z1866" t="s">
        <v>59</v>
      </c>
      <c r="AA1866" t="s">
        <v>59</v>
      </c>
      <c r="AB1866" t="s">
        <v>59</v>
      </c>
      <c r="AC1866" t="s">
        <v>59</v>
      </c>
      <c r="AD1866" t="s">
        <v>59</v>
      </c>
      <c r="AF1866" s="1">
        <v>33485</v>
      </c>
      <c r="AG1866" t="s">
        <v>125</v>
      </c>
      <c r="AH1866" t="s">
        <v>126</v>
      </c>
      <c r="AI1866" t="str">
        <f>"1701057"</f>
        <v>1701057</v>
      </c>
      <c r="AJ1866" t="s">
        <v>379</v>
      </c>
      <c r="AK1866">
        <v>2810234488</v>
      </c>
      <c r="AL1866" t="s">
        <v>380</v>
      </c>
      <c r="AM1866" t="s">
        <v>78</v>
      </c>
      <c r="AN1866" t="s">
        <v>78</v>
      </c>
      <c r="AO1866" t="s">
        <v>78</v>
      </c>
      <c r="AP1866" t="s">
        <v>163</v>
      </c>
      <c r="AQ1866">
        <v>8</v>
      </c>
      <c r="AR1866" t="s">
        <v>123</v>
      </c>
      <c r="AS1866" t="s">
        <v>124</v>
      </c>
      <c r="AT1866" t="s">
        <v>58</v>
      </c>
      <c r="AU1866" t="s">
        <v>68</v>
      </c>
      <c r="AV1866" t="s">
        <v>69</v>
      </c>
      <c r="AW1866" s="1">
        <v>22560</v>
      </c>
      <c r="AX1866">
        <v>2</v>
      </c>
    </row>
    <row r="1867" spans="1:50">
      <c r="B1867" t="str">
        <f>"132994811"</f>
        <v>132994811</v>
      </c>
      <c r="C1867" t="s">
        <v>50</v>
      </c>
      <c r="D1867" t="s">
        <v>3943</v>
      </c>
      <c r="E1867" t="s">
        <v>83</v>
      </c>
      <c r="F1867" t="s">
        <v>2165</v>
      </c>
      <c r="G1867" t="s">
        <v>340</v>
      </c>
      <c r="H1867" t="str">
        <f>" "</f>
        <v xml:space="preserve"> </v>
      </c>
      <c r="N1867" t="s">
        <v>536</v>
      </c>
      <c r="O1867" t="s">
        <v>537</v>
      </c>
      <c r="R1867" t="s">
        <v>121</v>
      </c>
      <c r="S1867">
        <v>3</v>
      </c>
      <c r="T1867" t="s">
        <v>344</v>
      </c>
      <c r="U1867" s="1">
        <v>43348</v>
      </c>
      <c r="V1867" t="s">
        <v>123</v>
      </c>
      <c r="W1867" t="s">
        <v>124</v>
      </c>
      <c r="X1867" t="s">
        <v>58</v>
      </c>
      <c r="Y1867">
        <v>23</v>
      </c>
      <c r="Z1867" t="s">
        <v>59</v>
      </c>
      <c r="AA1867" t="s">
        <v>59</v>
      </c>
      <c r="AB1867" t="s">
        <v>59</v>
      </c>
      <c r="AD1867" t="s">
        <v>59</v>
      </c>
      <c r="AF1867" s="1">
        <v>43348</v>
      </c>
      <c r="AG1867" t="s">
        <v>125</v>
      </c>
      <c r="AH1867" t="s">
        <v>538</v>
      </c>
      <c r="AI1867" t="str">
        <f>"1701002"</f>
        <v>1701002</v>
      </c>
      <c r="AJ1867" t="s">
        <v>539</v>
      </c>
      <c r="AK1867">
        <v>2810213569</v>
      </c>
      <c r="AL1867" t="s">
        <v>540</v>
      </c>
      <c r="AM1867" t="s">
        <v>78</v>
      </c>
      <c r="AN1867" t="s">
        <v>78</v>
      </c>
      <c r="AO1867" t="s">
        <v>78</v>
      </c>
      <c r="AP1867" t="s">
        <v>163</v>
      </c>
      <c r="AQ1867">
        <v>11</v>
      </c>
      <c r="AR1867" t="s">
        <v>123</v>
      </c>
      <c r="AS1867" t="s">
        <v>124</v>
      </c>
      <c r="AT1867" t="s">
        <v>58</v>
      </c>
      <c r="AU1867" t="s">
        <v>350</v>
      </c>
      <c r="AV1867" t="s">
        <v>132</v>
      </c>
      <c r="AW1867" s="1">
        <v>32309</v>
      </c>
      <c r="AX1867">
        <v>2</v>
      </c>
    </row>
    <row r="1868" spans="1:50">
      <c r="A1868">
        <v>207980</v>
      </c>
      <c r="B1868" t="str">
        <f>"050385710"</f>
        <v>050385710</v>
      </c>
      <c r="C1868" t="s">
        <v>105</v>
      </c>
      <c r="D1868" t="s">
        <v>3944</v>
      </c>
      <c r="E1868" t="s">
        <v>99</v>
      </c>
      <c r="F1868" t="s">
        <v>95</v>
      </c>
      <c r="G1868" t="s">
        <v>314</v>
      </c>
      <c r="H1868" t="str">
        <f>"ΙΚΑΡΙΑΣ 15 ΜΕΣΑΜΠΕΛΙΕΣ"</f>
        <v>ΙΚΑΡΙΑΣ 15 ΜΕΣΑΜΠΕΛΙΕΣ</v>
      </c>
      <c r="I1868">
        <v>71409</v>
      </c>
      <c r="J1868">
        <v>2810361002</v>
      </c>
      <c r="K1868">
        <v>6948300437</v>
      </c>
      <c r="M1868" t="s">
        <v>3945</v>
      </c>
      <c r="N1868" t="s">
        <v>257</v>
      </c>
      <c r="O1868" t="s">
        <v>258</v>
      </c>
      <c r="R1868" t="s">
        <v>57</v>
      </c>
      <c r="S1868">
        <v>8</v>
      </c>
      <c r="T1868">
        <v>218</v>
      </c>
      <c r="U1868" s="1">
        <v>38596</v>
      </c>
      <c r="V1868" t="s">
        <v>123</v>
      </c>
      <c r="W1868" t="s">
        <v>124</v>
      </c>
      <c r="X1868" t="s">
        <v>58</v>
      </c>
      <c r="Y1868">
        <v>20</v>
      </c>
      <c r="Z1868" t="s">
        <v>59</v>
      </c>
      <c r="AA1868" t="s">
        <v>59</v>
      </c>
      <c r="AB1868" t="s">
        <v>59</v>
      </c>
      <c r="AC1868" t="s">
        <v>59</v>
      </c>
      <c r="AD1868" t="s">
        <v>59</v>
      </c>
      <c r="AF1868" s="1">
        <v>38601</v>
      </c>
      <c r="AG1868" t="s">
        <v>125</v>
      </c>
      <c r="AH1868" t="s">
        <v>126</v>
      </c>
      <c r="AI1868" t="str">
        <f>"1701041"</f>
        <v>1701041</v>
      </c>
      <c r="AJ1868" t="s">
        <v>161</v>
      </c>
      <c r="AK1868">
        <v>2810327052</v>
      </c>
      <c r="AL1868" t="s">
        <v>162</v>
      </c>
      <c r="AM1868" t="s">
        <v>78</v>
      </c>
      <c r="AN1868" t="s">
        <v>78</v>
      </c>
      <c r="AO1868" t="s">
        <v>78</v>
      </c>
      <c r="AP1868" t="s">
        <v>163</v>
      </c>
      <c r="AQ1868">
        <v>5</v>
      </c>
      <c r="AR1868" t="s">
        <v>123</v>
      </c>
      <c r="AS1868" t="s">
        <v>124</v>
      </c>
      <c r="AT1868" t="s">
        <v>58</v>
      </c>
      <c r="AU1868" t="s">
        <v>68</v>
      </c>
      <c r="AV1868" t="s">
        <v>69</v>
      </c>
      <c r="AW1868" s="1">
        <v>23716</v>
      </c>
      <c r="AX1868">
        <v>2</v>
      </c>
    </row>
    <row r="1869" spans="1:50">
      <c r="B1869" t="str">
        <f>"126841390"</f>
        <v>126841390</v>
      </c>
      <c r="C1869" t="s">
        <v>50</v>
      </c>
      <c r="D1869" t="s">
        <v>3946</v>
      </c>
      <c r="E1869" t="s">
        <v>83</v>
      </c>
      <c r="F1869" t="s">
        <v>84</v>
      </c>
      <c r="G1869" t="s">
        <v>181</v>
      </c>
      <c r="H1869" t="str">
        <f>"ΣΥΡΑΚΟΥΣΩΝ 90 "</f>
        <v xml:space="preserve">ΣΥΡΑΚΟΥΣΩΝ 90 </v>
      </c>
      <c r="I1869">
        <v>11142</v>
      </c>
      <c r="J1869">
        <v>2102580251</v>
      </c>
      <c r="K1869">
        <v>6982863511</v>
      </c>
      <c r="N1869" t="s">
        <v>1351</v>
      </c>
      <c r="O1869" t="s">
        <v>1352</v>
      </c>
      <c r="R1869" t="s">
        <v>159</v>
      </c>
      <c r="S1869">
        <v>2</v>
      </c>
      <c r="T1869" t="s">
        <v>574</v>
      </c>
      <c r="U1869" s="1">
        <v>43378</v>
      </c>
      <c r="V1869" t="s">
        <v>123</v>
      </c>
      <c r="W1869" t="s">
        <v>124</v>
      </c>
      <c r="X1869" t="s">
        <v>58</v>
      </c>
      <c r="Y1869">
        <v>23</v>
      </c>
      <c r="Z1869" t="s">
        <v>59</v>
      </c>
      <c r="AA1869" t="s">
        <v>59</v>
      </c>
      <c r="AB1869" t="s">
        <v>59</v>
      </c>
      <c r="AC1869" t="s">
        <v>59</v>
      </c>
      <c r="AD1869" t="s">
        <v>59</v>
      </c>
      <c r="AF1869" s="1">
        <v>43381</v>
      </c>
      <c r="AG1869" t="s">
        <v>137</v>
      </c>
      <c r="AH1869" t="s">
        <v>138</v>
      </c>
      <c r="AI1869" t="str">
        <f>"1740100"</f>
        <v>1740100</v>
      </c>
      <c r="AJ1869" t="s">
        <v>857</v>
      </c>
      <c r="AK1869">
        <v>2810360741</v>
      </c>
      <c r="AL1869" t="s">
        <v>858</v>
      </c>
      <c r="AM1869" t="s">
        <v>78</v>
      </c>
      <c r="AN1869" t="s">
        <v>78</v>
      </c>
      <c r="AO1869" t="s">
        <v>78</v>
      </c>
      <c r="AP1869" t="s">
        <v>163</v>
      </c>
      <c r="AQ1869">
        <v>5</v>
      </c>
      <c r="AR1869" t="s">
        <v>123</v>
      </c>
      <c r="AS1869" t="s">
        <v>124</v>
      </c>
      <c r="AT1869" t="s">
        <v>58</v>
      </c>
      <c r="AU1869" t="s">
        <v>164</v>
      </c>
      <c r="AV1869" t="s">
        <v>132</v>
      </c>
      <c r="AW1869" s="1">
        <v>30248</v>
      </c>
      <c r="AX1869">
        <v>2</v>
      </c>
    </row>
    <row r="1870" spans="1:50">
      <c r="A1870">
        <v>197527</v>
      </c>
      <c r="B1870" t="str">
        <f>"103670089"</f>
        <v>103670089</v>
      </c>
      <c r="C1870" t="s">
        <v>50</v>
      </c>
      <c r="D1870" t="s">
        <v>3947</v>
      </c>
      <c r="E1870" t="s">
        <v>143</v>
      </c>
      <c r="F1870" t="s">
        <v>92</v>
      </c>
      <c r="G1870" t="s">
        <v>304</v>
      </c>
      <c r="H1870" t="str">
        <f>"ΠΟΜΠΙΑ ΠΟΜΠΙΑ"</f>
        <v>ΠΟΜΠΙΑ ΠΟΜΠΙΑ</v>
      </c>
      <c r="I1870">
        <v>70400</v>
      </c>
      <c r="J1870">
        <v>2892041535</v>
      </c>
      <c r="K1870">
        <v>6937267605</v>
      </c>
      <c r="M1870" t="s">
        <v>3948</v>
      </c>
      <c r="N1870" t="s">
        <v>146</v>
      </c>
      <c r="O1870" t="s">
        <v>147</v>
      </c>
      <c r="R1870" t="s">
        <v>57</v>
      </c>
      <c r="S1870">
        <v>10</v>
      </c>
      <c r="T1870">
        <v>206</v>
      </c>
      <c r="U1870" s="1">
        <v>37866</v>
      </c>
      <c r="V1870" t="s">
        <v>123</v>
      </c>
      <c r="W1870" t="s">
        <v>124</v>
      </c>
      <c r="X1870" t="s">
        <v>58</v>
      </c>
      <c r="Y1870">
        <v>18</v>
      </c>
      <c r="Z1870" t="s">
        <v>59</v>
      </c>
      <c r="AA1870" t="s">
        <v>59</v>
      </c>
      <c r="AB1870" t="s">
        <v>59</v>
      </c>
      <c r="AC1870" t="s">
        <v>59</v>
      </c>
      <c r="AD1870" t="s">
        <v>59</v>
      </c>
      <c r="AF1870" s="1">
        <v>37866</v>
      </c>
      <c r="AG1870" t="s">
        <v>148</v>
      </c>
      <c r="AH1870" t="s">
        <v>149</v>
      </c>
      <c r="AI1870" t="str">
        <f>"1756010"</f>
        <v>1756010</v>
      </c>
      <c r="AJ1870" t="s">
        <v>874</v>
      </c>
      <c r="AK1870">
        <v>2892022976</v>
      </c>
      <c r="AL1870" t="s">
        <v>875</v>
      </c>
      <c r="AM1870" t="s">
        <v>78</v>
      </c>
      <c r="AN1870" t="s">
        <v>242</v>
      </c>
      <c r="AO1870" t="s">
        <v>243</v>
      </c>
      <c r="AP1870" t="s">
        <v>243</v>
      </c>
      <c r="AQ1870">
        <v>33</v>
      </c>
      <c r="AR1870" t="s">
        <v>123</v>
      </c>
      <c r="AS1870" t="s">
        <v>124</v>
      </c>
      <c r="AT1870" t="s">
        <v>58</v>
      </c>
      <c r="AU1870" t="s">
        <v>68</v>
      </c>
      <c r="AV1870" t="s">
        <v>69</v>
      </c>
      <c r="AW1870" s="1">
        <v>24889</v>
      </c>
      <c r="AX1870">
        <v>2</v>
      </c>
    </row>
    <row r="1871" spans="1:50">
      <c r="A1871">
        <v>170547</v>
      </c>
      <c r="B1871" t="str">
        <f>"036445300"</f>
        <v>036445300</v>
      </c>
      <c r="C1871" t="s">
        <v>105</v>
      </c>
      <c r="D1871" t="s">
        <v>3949</v>
      </c>
      <c r="E1871" t="s">
        <v>92</v>
      </c>
      <c r="F1871" t="s">
        <v>72</v>
      </c>
      <c r="G1871" t="s">
        <v>2088</v>
      </c>
      <c r="H1871" t="str">
        <f>" "</f>
        <v xml:space="preserve"> </v>
      </c>
      <c r="M1871" t="s">
        <v>3950</v>
      </c>
      <c r="N1871" t="s">
        <v>232</v>
      </c>
      <c r="O1871" t="s">
        <v>233</v>
      </c>
      <c r="R1871" t="s">
        <v>57</v>
      </c>
      <c r="S1871">
        <v>13</v>
      </c>
      <c r="T1871">
        <v>184</v>
      </c>
      <c r="U1871" s="1">
        <v>34941</v>
      </c>
      <c r="V1871" t="s">
        <v>123</v>
      </c>
      <c r="W1871" t="s">
        <v>124</v>
      </c>
      <c r="X1871" t="s">
        <v>58</v>
      </c>
      <c r="Y1871">
        <v>18</v>
      </c>
      <c r="Z1871" t="s">
        <v>59</v>
      </c>
      <c r="AA1871" t="s">
        <v>59</v>
      </c>
      <c r="AB1871" t="s">
        <v>59</v>
      </c>
      <c r="AC1871" t="s">
        <v>59</v>
      </c>
      <c r="AD1871" t="s">
        <v>59</v>
      </c>
      <c r="AF1871" s="1">
        <v>34943</v>
      </c>
      <c r="AG1871" t="s">
        <v>148</v>
      </c>
      <c r="AH1871" t="s">
        <v>149</v>
      </c>
      <c r="AI1871" t="str">
        <f>"1790100"</f>
        <v>1790100</v>
      </c>
      <c r="AJ1871" t="s">
        <v>252</v>
      </c>
      <c r="AK1871">
        <v>2810234876</v>
      </c>
      <c r="AL1871" t="s">
        <v>253</v>
      </c>
      <c r="AM1871" t="s">
        <v>78</v>
      </c>
      <c r="AN1871" t="s">
        <v>78</v>
      </c>
      <c r="AO1871" t="s">
        <v>78</v>
      </c>
      <c r="AP1871" t="s">
        <v>163</v>
      </c>
      <c r="AQ1871">
        <v>5</v>
      </c>
      <c r="AR1871" t="s">
        <v>123</v>
      </c>
      <c r="AS1871" t="s">
        <v>124</v>
      </c>
      <c r="AT1871" t="s">
        <v>58</v>
      </c>
      <c r="AU1871" t="s">
        <v>68</v>
      </c>
      <c r="AV1871" t="s">
        <v>69</v>
      </c>
      <c r="AW1871" s="1">
        <v>22156</v>
      </c>
      <c r="AX1871">
        <v>2</v>
      </c>
    </row>
    <row r="1872" spans="1:50">
      <c r="A1872">
        <v>161812</v>
      </c>
      <c r="B1872" t="str">
        <f>"042316438"</f>
        <v>042316438</v>
      </c>
      <c r="C1872" t="s">
        <v>105</v>
      </c>
      <c r="D1872" t="s">
        <v>3951</v>
      </c>
      <c r="E1872" t="s">
        <v>154</v>
      </c>
      <c r="F1872" t="s">
        <v>95</v>
      </c>
      <c r="G1872" t="s">
        <v>52</v>
      </c>
      <c r="H1872" t="str">
        <f>"ΞΕΡΟΚΑΜΠΙΑ-ΜΟΙΡΕΣ "</f>
        <v xml:space="preserve">ΞΕΡΟΚΑΜΠΙΑ-ΜΟΙΡΕΣ </v>
      </c>
      <c r="I1872">
        <v>70400</v>
      </c>
      <c r="J1872">
        <v>2810213825</v>
      </c>
      <c r="K1872">
        <v>6972529371</v>
      </c>
      <c r="M1872" t="s">
        <v>3952</v>
      </c>
      <c r="N1872" t="s">
        <v>2683</v>
      </c>
      <c r="O1872" t="s">
        <v>2684</v>
      </c>
      <c r="R1872" t="s">
        <v>57</v>
      </c>
      <c r="S1872">
        <v>14</v>
      </c>
      <c r="T1872">
        <v>161</v>
      </c>
      <c r="U1872" s="1">
        <v>33119</v>
      </c>
      <c r="V1872" t="s">
        <v>123</v>
      </c>
      <c r="W1872" t="s">
        <v>124</v>
      </c>
      <c r="X1872" t="s">
        <v>58</v>
      </c>
      <c r="Y1872">
        <v>18</v>
      </c>
      <c r="Z1872" t="s">
        <v>59</v>
      </c>
      <c r="AA1872" t="s">
        <v>59</v>
      </c>
      <c r="AB1872" t="s">
        <v>59</v>
      </c>
      <c r="AC1872" t="s">
        <v>59</v>
      </c>
      <c r="AD1872" t="s">
        <v>59</v>
      </c>
      <c r="AF1872" s="1">
        <v>33120</v>
      </c>
      <c r="AG1872" t="s">
        <v>137</v>
      </c>
      <c r="AH1872" t="s">
        <v>138</v>
      </c>
      <c r="AI1872" t="str">
        <f>"1750080"</f>
        <v>1750080</v>
      </c>
      <c r="AJ1872" t="s">
        <v>170</v>
      </c>
      <c r="AK1872">
        <v>2810234444</v>
      </c>
      <c r="AL1872" t="s">
        <v>171</v>
      </c>
      <c r="AM1872" t="s">
        <v>78</v>
      </c>
      <c r="AN1872" t="s">
        <v>78</v>
      </c>
      <c r="AO1872" t="s">
        <v>78</v>
      </c>
      <c r="AP1872" t="s">
        <v>163</v>
      </c>
      <c r="AQ1872">
        <v>9</v>
      </c>
      <c r="AR1872" t="s">
        <v>123</v>
      </c>
      <c r="AS1872" t="s">
        <v>124</v>
      </c>
      <c r="AT1872" t="s">
        <v>58</v>
      </c>
      <c r="AU1872" t="s">
        <v>68</v>
      </c>
      <c r="AV1872" t="s">
        <v>69</v>
      </c>
      <c r="AW1872" s="1">
        <v>22892</v>
      </c>
      <c r="AX1872">
        <v>2</v>
      </c>
    </row>
    <row r="1873" spans="1:50">
      <c r="A1873">
        <v>190133</v>
      </c>
      <c r="B1873" t="str">
        <f>"043579562"</f>
        <v>043579562</v>
      </c>
      <c r="C1873" t="s">
        <v>50</v>
      </c>
      <c r="D1873" t="s">
        <v>3953</v>
      </c>
      <c r="E1873" t="s">
        <v>52</v>
      </c>
      <c r="F1873" t="s">
        <v>3954</v>
      </c>
      <c r="G1873" t="s">
        <v>658</v>
      </c>
      <c r="H1873" t="str">
        <f>"ΓΕΡΩΝΥΜΑΚΗ 32 ΗΡΑΚΛΕΙΟ"</f>
        <v>ΓΕΡΩΝΥΜΑΚΗ 32 ΗΡΑΚΛΕΙΟ</v>
      </c>
      <c r="I1873">
        <v>71306</v>
      </c>
      <c r="J1873">
        <v>2810240566</v>
      </c>
      <c r="K1873">
        <v>6937340445</v>
      </c>
      <c r="N1873" t="s">
        <v>199</v>
      </c>
      <c r="O1873" t="s">
        <v>200</v>
      </c>
      <c r="R1873" t="s">
        <v>57</v>
      </c>
      <c r="S1873">
        <v>14</v>
      </c>
      <c r="T1873">
        <v>219</v>
      </c>
      <c r="U1873" s="1">
        <v>37134</v>
      </c>
      <c r="V1873" t="s">
        <v>123</v>
      </c>
      <c r="W1873" t="s">
        <v>124</v>
      </c>
      <c r="X1873" t="s">
        <v>58</v>
      </c>
      <c r="Y1873">
        <v>20</v>
      </c>
      <c r="Z1873" t="s">
        <v>59</v>
      </c>
      <c r="AA1873" t="s">
        <v>59</v>
      </c>
      <c r="AB1873" t="s">
        <v>59</v>
      </c>
      <c r="AC1873" t="s">
        <v>59</v>
      </c>
      <c r="AD1873" t="s">
        <v>59</v>
      </c>
      <c r="AF1873" s="1">
        <v>37140</v>
      </c>
      <c r="AG1873" t="s">
        <v>148</v>
      </c>
      <c r="AH1873" t="s">
        <v>149</v>
      </c>
      <c r="AI1873" t="str">
        <f>"1751010"</f>
        <v>1751010</v>
      </c>
      <c r="AJ1873" t="s">
        <v>150</v>
      </c>
      <c r="AK1873">
        <v>2810346092</v>
      </c>
      <c r="AL1873" t="s">
        <v>151</v>
      </c>
      <c r="AM1873" t="s">
        <v>78</v>
      </c>
      <c r="AN1873" t="s">
        <v>78</v>
      </c>
      <c r="AO1873" t="s">
        <v>78</v>
      </c>
      <c r="AP1873" t="s">
        <v>79</v>
      </c>
      <c r="AQ1873">
        <v>1</v>
      </c>
      <c r="AR1873" t="s">
        <v>123</v>
      </c>
      <c r="AS1873" t="s">
        <v>124</v>
      </c>
      <c r="AT1873" t="s">
        <v>58</v>
      </c>
      <c r="AU1873" t="s">
        <v>68</v>
      </c>
      <c r="AV1873" t="s">
        <v>69</v>
      </c>
      <c r="AW1873" s="1">
        <v>23964</v>
      </c>
      <c r="AX1873">
        <v>2</v>
      </c>
    </row>
    <row r="1874" spans="1:50">
      <c r="A1874">
        <v>208689</v>
      </c>
      <c r="B1874" t="str">
        <f>"018876560"</f>
        <v>018876560</v>
      </c>
      <c r="C1874" t="s">
        <v>105</v>
      </c>
      <c r="D1874" t="s">
        <v>3955</v>
      </c>
      <c r="E1874" t="s">
        <v>383</v>
      </c>
      <c r="F1874" t="s">
        <v>72</v>
      </c>
      <c r="G1874" t="s">
        <v>1408</v>
      </c>
      <c r="H1874" t="str">
        <f>" "</f>
        <v xml:space="preserve"> </v>
      </c>
      <c r="J1874">
        <v>2810881046</v>
      </c>
      <c r="K1874">
        <v>6977913571</v>
      </c>
      <c r="N1874" t="s">
        <v>282</v>
      </c>
      <c r="O1874" t="s">
        <v>283</v>
      </c>
      <c r="R1874" t="s">
        <v>57</v>
      </c>
      <c r="S1874">
        <v>13</v>
      </c>
      <c r="T1874">
        <v>218</v>
      </c>
      <c r="U1874" s="1">
        <v>38596</v>
      </c>
      <c r="V1874" t="s">
        <v>123</v>
      </c>
      <c r="W1874" t="s">
        <v>124</v>
      </c>
      <c r="X1874" t="s">
        <v>58</v>
      </c>
      <c r="Y1874">
        <v>20</v>
      </c>
      <c r="Z1874" t="s">
        <v>59</v>
      </c>
      <c r="AA1874" t="s">
        <v>59</v>
      </c>
      <c r="AB1874" t="s">
        <v>59</v>
      </c>
      <c r="AC1874" t="s">
        <v>59</v>
      </c>
      <c r="AD1874" t="s">
        <v>59</v>
      </c>
      <c r="AF1874" s="1">
        <v>38602</v>
      </c>
      <c r="AG1874" t="s">
        <v>137</v>
      </c>
      <c r="AH1874" t="s">
        <v>138</v>
      </c>
      <c r="AI1874" t="str">
        <f>"1750080"</f>
        <v>1750080</v>
      </c>
      <c r="AJ1874" t="s">
        <v>170</v>
      </c>
      <c r="AK1874">
        <v>2810234444</v>
      </c>
      <c r="AL1874" t="s">
        <v>171</v>
      </c>
      <c r="AM1874" t="s">
        <v>78</v>
      </c>
      <c r="AN1874" t="s">
        <v>78</v>
      </c>
      <c r="AO1874" t="s">
        <v>78</v>
      </c>
      <c r="AP1874" t="s">
        <v>163</v>
      </c>
      <c r="AQ1874">
        <v>9</v>
      </c>
      <c r="AR1874" t="s">
        <v>123</v>
      </c>
      <c r="AS1874" t="s">
        <v>124</v>
      </c>
      <c r="AT1874" t="s">
        <v>58</v>
      </c>
      <c r="AU1874" t="s">
        <v>68</v>
      </c>
      <c r="AV1874" t="s">
        <v>69</v>
      </c>
      <c r="AW1874" s="1">
        <v>18845</v>
      </c>
      <c r="AX1874">
        <v>2</v>
      </c>
    </row>
    <row r="1875" spans="1:50">
      <c r="A1875">
        <v>204172</v>
      </c>
      <c r="B1875" t="str">
        <f>"059472532"</f>
        <v>059472532</v>
      </c>
      <c r="C1875" t="s">
        <v>105</v>
      </c>
      <c r="D1875" t="s">
        <v>3956</v>
      </c>
      <c r="E1875" t="s">
        <v>321</v>
      </c>
      <c r="F1875" t="s">
        <v>108</v>
      </c>
      <c r="G1875" t="s">
        <v>366</v>
      </c>
      <c r="H1875" t="str">
        <f>" "</f>
        <v xml:space="preserve"> </v>
      </c>
      <c r="J1875">
        <v>2810361009</v>
      </c>
      <c r="K1875">
        <v>6936719751</v>
      </c>
      <c r="M1875" t="s">
        <v>3957</v>
      </c>
      <c r="N1875" t="s">
        <v>176</v>
      </c>
      <c r="O1875" t="s">
        <v>177</v>
      </c>
      <c r="R1875" t="s">
        <v>57</v>
      </c>
      <c r="S1875">
        <v>9</v>
      </c>
      <c r="T1875">
        <v>231</v>
      </c>
      <c r="U1875" s="1">
        <v>38230</v>
      </c>
      <c r="V1875" t="s">
        <v>123</v>
      </c>
      <c r="W1875" t="s">
        <v>124</v>
      </c>
      <c r="X1875" t="s">
        <v>58</v>
      </c>
      <c r="Y1875">
        <v>20</v>
      </c>
      <c r="Z1875" t="s">
        <v>59</v>
      </c>
      <c r="AA1875" t="s">
        <v>59</v>
      </c>
      <c r="AB1875" t="s">
        <v>59</v>
      </c>
      <c r="AC1875" t="s">
        <v>59</v>
      </c>
      <c r="AD1875" t="s">
        <v>59</v>
      </c>
      <c r="AF1875" s="1">
        <v>38231</v>
      </c>
      <c r="AG1875" t="s">
        <v>125</v>
      </c>
      <c r="AH1875" t="s">
        <v>126</v>
      </c>
      <c r="AI1875" t="str">
        <f>"1701080"</f>
        <v>1701080</v>
      </c>
      <c r="AJ1875" t="s">
        <v>183</v>
      </c>
      <c r="AK1875">
        <v>2810721263</v>
      </c>
      <c r="AL1875" t="s">
        <v>184</v>
      </c>
      <c r="AM1875" t="s">
        <v>78</v>
      </c>
      <c r="AN1875" t="s">
        <v>78</v>
      </c>
      <c r="AO1875" t="s">
        <v>185</v>
      </c>
      <c r="AP1875" t="s">
        <v>186</v>
      </c>
      <c r="AQ1875">
        <v>29</v>
      </c>
      <c r="AR1875" t="s">
        <v>123</v>
      </c>
      <c r="AS1875" t="s">
        <v>124</v>
      </c>
      <c r="AT1875" t="s">
        <v>58</v>
      </c>
      <c r="AU1875" t="s">
        <v>68</v>
      </c>
      <c r="AV1875" t="s">
        <v>69</v>
      </c>
      <c r="AW1875" s="1">
        <v>24868</v>
      </c>
      <c r="AX1875">
        <v>2</v>
      </c>
    </row>
    <row r="1876" spans="1:50">
      <c r="A1876">
        <v>215763</v>
      </c>
      <c r="B1876" t="str">
        <f>"101918473"</f>
        <v>101918473</v>
      </c>
      <c r="C1876" t="s">
        <v>50</v>
      </c>
      <c r="D1876" t="s">
        <v>3958</v>
      </c>
      <c r="E1876" t="s">
        <v>83</v>
      </c>
      <c r="F1876" t="s">
        <v>53</v>
      </c>
      <c r="G1876" t="s">
        <v>181</v>
      </c>
      <c r="H1876" t="str">
        <f>"Κλεάνθη 93 Φιλοθέη Ηράκλειο"</f>
        <v>Κλεάνθη 93 Φιλοθέη Ηράκλειο</v>
      </c>
      <c r="I1876">
        <v>71307</v>
      </c>
      <c r="J1876">
        <v>2810327156</v>
      </c>
      <c r="K1876">
        <v>6977416513</v>
      </c>
      <c r="M1876" t="s">
        <v>3959</v>
      </c>
      <c r="N1876" t="s">
        <v>204</v>
      </c>
      <c r="O1876" t="s">
        <v>205</v>
      </c>
      <c r="R1876" t="s">
        <v>57</v>
      </c>
      <c r="S1876">
        <v>6</v>
      </c>
      <c r="T1876">
        <v>231</v>
      </c>
      <c r="U1876" s="1">
        <v>38960</v>
      </c>
      <c r="V1876" t="s">
        <v>123</v>
      </c>
      <c r="W1876" t="s">
        <v>124</v>
      </c>
      <c r="X1876" t="s">
        <v>58</v>
      </c>
      <c r="Y1876">
        <v>20</v>
      </c>
      <c r="Z1876" t="s">
        <v>59</v>
      </c>
      <c r="AA1876" t="s">
        <v>59</v>
      </c>
      <c r="AB1876" t="s">
        <v>59</v>
      </c>
      <c r="AC1876" t="s">
        <v>59</v>
      </c>
      <c r="AD1876" t="s">
        <v>59</v>
      </c>
      <c r="AF1876" s="1">
        <v>38960</v>
      </c>
      <c r="AG1876" t="s">
        <v>125</v>
      </c>
      <c r="AH1876" t="s">
        <v>538</v>
      </c>
      <c r="AI1876" t="str">
        <f>"1701002"</f>
        <v>1701002</v>
      </c>
      <c r="AJ1876" t="s">
        <v>539</v>
      </c>
      <c r="AK1876">
        <v>2810213569</v>
      </c>
      <c r="AL1876" t="s">
        <v>540</v>
      </c>
      <c r="AM1876" t="s">
        <v>78</v>
      </c>
      <c r="AN1876" t="s">
        <v>78</v>
      </c>
      <c r="AO1876" t="s">
        <v>78</v>
      </c>
      <c r="AP1876" t="s">
        <v>163</v>
      </c>
      <c r="AQ1876">
        <v>11</v>
      </c>
      <c r="AR1876" t="s">
        <v>123</v>
      </c>
      <c r="AS1876" t="s">
        <v>124</v>
      </c>
      <c r="AT1876" t="s">
        <v>58</v>
      </c>
      <c r="AU1876" t="s">
        <v>68</v>
      </c>
      <c r="AV1876" t="s">
        <v>69</v>
      </c>
      <c r="AW1876" s="1">
        <v>27429</v>
      </c>
      <c r="AX1876">
        <v>2</v>
      </c>
    </row>
    <row r="1877" spans="1:50">
      <c r="A1877">
        <v>197934</v>
      </c>
      <c r="B1877" t="str">
        <f>"103836113"</f>
        <v>103836113</v>
      </c>
      <c r="C1877" t="s">
        <v>105</v>
      </c>
      <c r="D1877" t="s">
        <v>3960</v>
      </c>
      <c r="E1877" t="s">
        <v>95</v>
      </c>
      <c r="F1877" t="s">
        <v>995</v>
      </c>
      <c r="G1877" t="s">
        <v>52</v>
      </c>
      <c r="H1877" t="str">
        <f>"ΚΟΥΡΜΟΥΛΗ 38Α ΡΕΘΥΜΝΟ"</f>
        <v>ΚΟΥΡΜΟΥΛΗ 38Α ΡΕΘΥΜΝΟ</v>
      </c>
      <c r="I1877">
        <v>74100</v>
      </c>
      <c r="J1877">
        <v>2831053638</v>
      </c>
      <c r="K1877">
        <v>6972688684</v>
      </c>
      <c r="M1877" t="s">
        <v>3961</v>
      </c>
      <c r="N1877" t="s">
        <v>292</v>
      </c>
      <c r="O1877" t="s">
        <v>293</v>
      </c>
      <c r="R1877" t="s">
        <v>57</v>
      </c>
      <c r="S1877">
        <v>9</v>
      </c>
      <c r="T1877">
        <v>206</v>
      </c>
      <c r="U1877" s="1">
        <v>37866</v>
      </c>
      <c r="V1877" t="s">
        <v>123</v>
      </c>
      <c r="W1877" t="s">
        <v>124</v>
      </c>
      <c r="X1877" t="s">
        <v>58</v>
      </c>
      <c r="Y1877">
        <v>20</v>
      </c>
      <c r="Z1877" t="s">
        <v>59</v>
      </c>
      <c r="AA1877" t="s">
        <v>59</v>
      </c>
      <c r="AB1877" t="s">
        <v>59</v>
      </c>
      <c r="AC1877" t="s">
        <v>59</v>
      </c>
      <c r="AD1877" t="s">
        <v>59</v>
      </c>
      <c r="AF1877" s="1">
        <v>37866</v>
      </c>
      <c r="AG1877" t="s">
        <v>125</v>
      </c>
      <c r="AH1877" t="s">
        <v>126</v>
      </c>
      <c r="AI1877" t="str">
        <f>"1701056"</f>
        <v>1701056</v>
      </c>
      <c r="AJ1877" t="s">
        <v>211</v>
      </c>
      <c r="AK1877">
        <v>2810245445</v>
      </c>
      <c r="AL1877" t="s">
        <v>212</v>
      </c>
      <c r="AM1877" t="s">
        <v>78</v>
      </c>
      <c r="AN1877" t="s">
        <v>78</v>
      </c>
      <c r="AO1877" t="s">
        <v>78</v>
      </c>
      <c r="AP1877" t="s">
        <v>213</v>
      </c>
      <c r="AQ1877">
        <v>6</v>
      </c>
      <c r="AR1877" t="s">
        <v>123</v>
      </c>
      <c r="AS1877" t="s">
        <v>124</v>
      </c>
      <c r="AT1877" t="s">
        <v>58</v>
      </c>
      <c r="AU1877" t="s">
        <v>68</v>
      </c>
      <c r="AV1877" t="s">
        <v>69</v>
      </c>
      <c r="AW1877" s="1">
        <v>27695</v>
      </c>
      <c r="AX1877">
        <v>2</v>
      </c>
    </row>
    <row r="1878" spans="1:50">
      <c r="B1878" t="str">
        <f>"063195404"</f>
        <v>063195404</v>
      </c>
      <c r="C1878" t="s">
        <v>50</v>
      </c>
      <c r="D1878" t="s">
        <v>3962</v>
      </c>
      <c r="E1878" t="s">
        <v>671</v>
      </c>
      <c r="F1878" t="s">
        <v>459</v>
      </c>
      <c r="G1878" t="s">
        <v>250</v>
      </c>
      <c r="H1878" t="str">
        <f>" "</f>
        <v xml:space="preserve"> </v>
      </c>
      <c r="N1878" t="s">
        <v>883</v>
      </c>
      <c r="O1878" t="s">
        <v>884</v>
      </c>
      <c r="R1878" t="s">
        <v>121</v>
      </c>
      <c r="S1878">
        <v>3</v>
      </c>
      <c r="T1878" t="s">
        <v>344</v>
      </c>
      <c r="U1878" s="1">
        <v>43348</v>
      </c>
      <c r="V1878" t="s">
        <v>123</v>
      </c>
      <c r="W1878" t="s">
        <v>124</v>
      </c>
      <c r="X1878" t="s">
        <v>58</v>
      </c>
      <c r="Y1878">
        <v>23</v>
      </c>
      <c r="Z1878" t="s">
        <v>59</v>
      </c>
      <c r="AA1878" t="s">
        <v>59</v>
      </c>
      <c r="AB1878" t="s">
        <v>59</v>
      </c>
      <c r="AD1878" t="s">
        <v>59</v>
      </c>
      <c r="AF1878" s="1">
        <v>43348</v>
      </c>
      <c r="AG1878" t="s">
        <v>125</v>
      </c>
      <c r="AH1878" t="s">
        <v>126</v>
      </c>
      <c r="AI1878" t="str">
        <f>"1701030"</f>
        <v>1701030</v>
      </c>
      <c r="AJ1878" t="s">
        <v>270</v>
      </c>
      <c r="AK1878">
        <v>2810361015</v>
      </c>
      <c r="AL1878" t="s">
        <v>271</v>
      </c>
      <c r="AM1878" t="s">
        <v>78</v>
      </c>
      <c r="AN1878" t="s">
        <v>78</v>
      </c>
      <c r="AO1878" t="s">
        <v>78</v>
      </c>
      <c r="AP1878" t="s">
        <v>163</v>
      </c>
      <c r="AQ1878">
        <v>2</v>
      </c>
      <c r="AR1878" t="s">
        <v>123</v>
      </c>
      <c r="AS1878" t="s">
        <v>124</v>
      </c>
      <c r="AT1878" t="s">
        <v>58</v>
      </c>
      <c r="AU1878" t="s">
        <v>350</v>
      </c>
      <c r="AV1878" t="s">
        <v>132</v>
      </c>
      <c r="AW1878" s="1">
        <v>30544</v>
      </c>
      <c r="AX1878">
        <v>2</v>
      </c>
    </row>
    <row r="1879" spans="1:50">
      <c r="A1879">
        <v>136201</v>
      </c>
      <c r="B1879" t="str">
        <f>"025513805"</f>
        <v>025513805</v>
      </c>
      <c r="C1879" t="s">
        <v>50</v>
      </c>
      <c r="D1879" t="s">
        <v>3963</v>
      </c>
      <c r="E1879" t="s">
        <v>52</v>
      </c>
      <c r="F1879" t="s">
        <v>166</v>
      </c>
      <c r="G1879" t="s">
        <v>658</v>
      </c>
      <c r="H1879" t="str">
        <f>"ΝΕΦΕΛΗΣ 7 ΒΑΣΙΛΕΙΕΣ"</f>
        <v>ΝΕΦΕΛΗΣ 7 ΒΑΣΙΛΕΙΕΣ</v>
      </c>
      <c r="I1879">
        <v>71500</v>
      </c>
      <c r="J1879">
        <v>2810231512</v>
      </c>
      <c r="K1879">
        <v>6973750928</v>
      </c>
      <c r="L1879">
        <v>2810234488</v>
      </c>
      <c r="M1879" t="s">
        <v>3964</v>
      </c>
      <c r="N1879" t="s">
        <v>157</v>
      </c>
      <c r="O1879" t="s">
        <v>158</v>
      </c>
      <c r="R1879" t="s">
        <v>57</v>
      </c>
      <c r="S1879">
        <v>17</v>
      </c>
      <c r="T1879">
        <v>271</v>
      </c>
      <c r="U1879" s="1">
        <v>30195</v>
      </c>
      <c r="V1879" t="s">
        <v>123</v>
      </c>
      <c r="W1879" t="s">
        <v>124</v>
      </c>
      <c r="X1879" t="s">
        <v>58</v>
      </c>
      <c r="Y1879">
        <v>18</v>
      </c>
      <c r="Z1879" t="s">
        <v>59</v>
      </c>
      <c r="AA1879" t="s">
        <v>59</v>
      </c>
      <c r="AB1879" t="s">
        <v>59</v>
      </c>
      <c r="AC1879" t="s">
        <v>59</v>
      </c>
      <c r="AD1879" t="s">
        <v>59</v>
      </c>
      <c r="AF1879" s="1">
        <v>30207</v>
      </c>
      <c r="AG1879" t="s">
        <v>125</v>
      </c>
      <c r="AH1879" t="s">
        <v>126</v>
      </c>
      <c r="AI1879" t="str">
        <f>"1701057"</f>
        <v>1701057</v>
      </c>
      <c r="AJ1879" t="s">
        <v>379</v>
      </c>
      <c r="AK1879">
        <v>2810234488</v>
      </c>
      <c r="AL1879" t="s">
        <v>380</v>
      </c>
      <c r="AM1879" t="s">
        <v>78</v>
      </c>
      <c r="AN1879" t="s">
        <v>78</v>
      </c>
      <c r="AO1879" t="s">
        <v>78</v>
      </c>
      <c r="AP1879" t="s">
        <v>163</v>
      </c>
      <c r="AQ1879">
        <v>8</v>
      </c>
      <c r="AR1879" t="s">
        <v>123</v>
      </c>
      <c r="AS1879" t="s">
        <v>124</v>
      </c>
      <c r="AT1879" t="s">
        <v>58</v>
      </c>
      <c r="AU1879" t="s">
        <v>68</v>
      </c>
      <c r="AV1879" t="s">
        <v>69</v>
      </c>
      <c r="AW1879" s="1">
        <v>21428</v>
      </c>
      <c r="AX1879">
        <v>2</v>
      </c>
    </row>
    <row r="1880" spans="1:50">
      <c r="A1880">
        <v>213953</v>
      </c>
      <c r="B1880" t="str">
        <f>"062424293"</f>
        <v>062424293</v>
      </c>
      <c r="C1880" t="s">
        <v>50</v>
      </c>
      <c r="D1880" t="s">
        <v>3963</v>
      </c>
      <c r="E1880" t="s">
        <v>553</v>
      </c>
      <c r="F1880" t="s">
        <v>95</v>
      </c>
      <c r="G1880" t="s">
        <v>112</v>
      </c>
      <c r="H1880" t="str">
        <f>"ΙΣΤΡΟΝ ΚΑΛΟ ΧΩΡΙΟ  Τ.Θ. 15 ΑΓΙΟΣ ΝΙΚΟΛΑΟΣ"</f>
        <v>ΙΣΤΡΟΝ ΚΑΛΟ ΧΩΡΙΟ  Τ.Θ. 15 ΑΓΙΟΣ ΝΙΚΟΛΑΟΣ</v>
      </c>
      <c r="I1880">
        <v>72100</v>
      </c>
      <c r="J1880">
        <v>2841061128</v>
      </c>
      <c r="K1880">
        <v>6977983859</v>
      </c>
      <c r="L1880">
        <v>2841061886</v>
      </c>
      <c r="N1880" t="s">
        <v>306</v>
      </c>
      <c r="O1880" t="s">
        <v>307</v>
      </c>
      <c r="R1880" t="s">
        <v>57</v>
      </c>
      <c r="S1880">
        <v>10</v>
      </c>
      <c r="T1880">
        <v>231</v>
      </c>
      <c r="U1880" s="1">
        <v>38960</v>
      </c>
      <c r="V1880" t="s">
        <v>123</v>
      </c>
      <c r="W1880" t="s">
        <v>124</v>
      </c>
      <c r="X1880" t="s">
        <v>58</v>
      </c>
      <c r="Y1880">
        <v>20</v>
      </c>
      <c r="Z1880" t="s">
        <v>59</v>
      </c>
      <c r="AA1880" t="s">
        <v>59</v>
      </c>
      <c r="AB1880" t="s">
        <v>59</v>
      </c>
      <c r="AC1880" t="s">
        <v>59</v>
      </c>
      <c r="AD1880" t="s">
        <v>59</v>
      </c>
      <c r="AF1880" s="1">
        <v>38961</v>
      </c>
      <c r="AG1880" t="s">
        <v>125</v>
      </c>
      <c r="AH1880" t="s">
        <v>126</v>
      </c>
      <c r="AI1880" t="str">
        <f>"1701056"</f>
        <v>1701056</v>
      </c>
      <c r="AJ1880" t="s">
        <v>211</v>
      </c>
      <c r="AK1880">
        <v>2810245445</v>
      </c>
      <c r="AL1880" t="s">
        <v>212</v>
      </c>
      <c r="AM1880" t="s">
        <v>78</v>
      </c>
      <c r="AN1880" t="s">
        <v>78</v>
      </c>
      <c r="AO1880" t="s">
        <v>78</v>
      </c>
      <c r="AP1880" t="s">
        <v>213</v>
      </c>
      <c r="AQ1880">
        <v>6</v>
      </c>
      <c r="AR1880" t="s">
        <v>123</v>
      </c>
      <c r="AS1880" t="s">
        <v>124</v>
      </c>
      <c r="AT1880" t="s">
        <v>58</v>
      </c>
      <c r="AU1880" t="s">
        <v>68</v>
      </c>
      <c r="AV1880" t="s">
        <v>69</v>
      </c>
      <c r="AW1880" s="1">
        <v>26523</v>
      </c>
      <c r="AX1880">
        <v>2</v>
      </c>
    </row>
    <row r="1881" spans="1:50">
      <c r="A1881">
        <v>179034</v>
      </c>
      <c r="B1881" t="str">
        <f>"039892930"</f>
        <v>039892930</v>
      </c>
      <c r="C1881" t="s">
        <v>105</v>
      </c>
      <c r="D1881" t="s">
        <v>3965</v>
      </c>
      <c r="E1881" t="s">
        <v>166</v>
      </c>
      <c r="F1881" t="s">
        <v>459</v>
      </c>
      <c r="G1881" t="s">
        <v>255</v>
      </c>
      <c r="H1881" t="str">
        <f>"ΑΓΙΟΣ ΚΩΝΣΤΑΝΤΙΝΟΣ ΛΑΣΙΘΙ"</f>
        <v>ΑΓΙΟΣ ΚΩΝΣΤΑΝΤΙΝΟΣ ΛΑΣΙΘΙ</v>
      </c>
      <c r="I1881">
        <v>72052</v>
      </c>
      <c r="J1881">
        <v>2844031348</v>
      </c>
      <c r="K1881">
        <v>6974394362</v>
      </c>
      <c r="M1881" t="s">
        <v>3966</v>
      </c>
      <c r="N1881" t="s">
        <v>157</v>
      </c>
      <c r="O1881" t="s">
        <v>158</v>
      </c>
      <c r="R1881" t="s">
        <v>57</v>
      </c>
      <c r="S1881">
        <v>14</v>
      </c>
      <c r="T1881">
        <v>164</v>
      </c>
      <c r="U1881" s="1">
        <v>36040</v>
      </c>
      <c r="V1881" t="s">
        <v>123</v>
      </c>
      <c r="W1881" t="s">
        <v>124</v>
      </c>
      <c r="X1881" t="s">
        <v>58</v>
      </c>
      <c r="Y1881">
        <v>18</v>
      </c>
      <c r="Z1881" t="s">
        <v>59</v>
      </c>
      <c r="AA1881" t="s">
        <v>59</v>
      </c>
      <c r="AB1881" t="s">
        <v>59</v>
      </c>
      <c r="AC1881" t="s">
        <v>59</v>
      </c>
      <c r="AD1881" t="s">
        <v>59</v>
      </c>
      <c r="AF1881" s="1">
        <v>36042</v>
      </c>
      <c r="AG1881" t="s">
        <v>125</v>
      </c>
      <c r="AH1881" t="s">
        <v>126</v>
      </c>
      <c r="AI1881" t="str">
        <f>"1701041"</f>
        <v>1701041</v>
      </c>
      <c r="AJ1881" t="s">
        <v>161</v>
      </c>
      <c r="AK1881">
        <v>2810327052</v>
      </c>
      <c r="AL1881" t="s">
        <v>162</v>
      </c>
      <c r="AM1881" t="s">
        <v>78</v>
      </c>
      <c r="AN1881" t="s">
        <v>78</v>
      </c>
      <c r="AO1881" t="s">
        <v>78</v>
      </c>
      <c r="AP1881" t="s">
        <v>163</v>
      </c>
      <c r="AQ1881">
        <v>5</v>
      </c>
      <c r="AR1881" t="s">
        <v>123</v>
      </c>
      <c r="AS1881" t="s">
        <v>124</v>
      </c>
      <c r="AT1881" t="s">
        <v>58</v>
      </c>
      <c r="AU1881" t="s">
        <v>68</v>
      </c>
      <c r="AV1881" t="s">
        <v>69</v>
      </c>
      <c r="AW1881" s="1">
        <v>23803</v>
      </c>
      <c r="AX1881">
        <v>2</v>
      </c>
    </row>
    <row r="1882" spans="1:50">
      <c r="A1882">
        <v>195561</v>
      </c>
      <c r="B1882" t="str">
        <f>"044196512"</f>
        <v>044196512</v>
      </c>
      <c r="C1882" t="s">
        <v>105</v>
      </c>
      <c r="D1882" t="s">
        <v>3967</v>
      </c>
      <c r="E1882" t="s">
        <v>166</v>
      </c>
      <c r="F1882" t="s">
        <v>72</v>
      </c>
      <c r="G1882" t="s">
        <v>181</v>
      </c>
      <c r="H1882" t="str">
        <f>"ΣΟΡΒΟΛΟΥ 5 ΜΑΣΤΑΜΠΑΣ"</f>
        <v>ΣΟΡΒΟΛΟΥ 5 ΜΑΣΤΑΜΠΑΣ</v>
      </c>
      <c r="I1882">
        <v>71305</v>
      </c>
      <c r="J1882">
        <v>2810320250</v>
      </c>
      <c r="K1882">
        <v>6974303893</v>
      </c>
      <c r="M1882" t="s">
        <v>3968</v>
      </c>
      <c r="N1882" t="s">
        <v>292</v>
      </c>
      <c r="O1882" t="s">
        <v>293</v>
      </c>
      <c r="R1882" t="s">
        <v>57</v>
      </c>
      <c r="S1882">
        <v>10</v>
      </c>
      <c r="T1882">
        <v>194</v>
      </c>
      <c r="U1882" s="1">
        <v>37497</v>
      </c>
      <c r="V1882" t="s">
        <v>123</v>
      </c>
      <c r="W1882" t="s">
        <v>124</v>
      </c>
      <c r="X1882" t="s">
        <v>58</v>
      </c>
      <c r="Y1882">
        <v>20</v>
      </c>
      <c r="Z1882" t="s">
        <v>59</v>
      </c>
      <c r="AA1882" t="s">
        <v>59</v>
      </c>
      <c r="AB1882" t="s">
        <v>59</v>
      </c>
      <c r="AC1882" t="s">
        <v>59</v>
      </c>
      <c r="AD1882" t="s">
        <v>59</v>
      </c>
      <c r="AF1882" s="1">
        <v>37501</v>
      </c>
      <c r="AG1882" t="s">
        <v>148</v>
      </c>
      <c r="AH1882" t="s">
        <v>149</v>
      </c>
      <c r="AI1882" t="str">
        <f>"1751040"</f>
        <v>1751040</v>
      </c>
      <c r="AJ1882" t="s">
        <v>178</v>
      </c>
      <c r="AK1882">
        <v>2810252495</v>
      </c>
      <c r="AL1882" t="s">
        <v>179</v>
      </c>
      <c r="AM1882" t="s">
        <v>78</v>
      </c>
      <c r="AN1882" t="s">
        <v>78</v>
      </c>
      <c r="AO1882" t="s">
        <v>78</v>
      </c>
      <c r="AP1882" t="s">
        <v>141</v>
      </c>
      <c r="AQ1882">
        <v>3</v>
      </c>
      <c r="AR1882" t="s">
        <v>123</v>
      </c>
      <c r="AS1882" t="s">
        <v>124</v>
      </c>
      <c r="AT1882" t="s">
        <v>58</v>
      </c>
      <c r="AU1882" t="s">
        <v>68</v>
      </c>
      <c r="AV1882" t="s">
        <v>357</v>
      </c>
      <c r="AW1882" s="1">
        <v>23736</v>
      </c>
      <c r="AX1882">
        <v>2</v>
      </c>
    </row>
    <row r="1883" spans="1:50">
      <c r="A1883">
        <v>400839</v>
      </c>
      <c r="B1883" t="str">
        <f>"023673018"</f>
        <v>023673018</v>
      </c>
      <c r="C1883" t="s">
        <v>105</v>
      </c>
      <c r="D1883" t="s">
        <v>3969</v>
      </c>
      <c r="E1883" t="s">
        <v>920</v>
      </c>
      <c r="F1883" t="s">
        <v>1373</v>
      </c>
      <c r="G1883" t="s">
        <v>494</v>
      </c>
      <c r="H1883" t="str">
        <f>" "</f>
        <v xml:space="preserve"> </v>
      </c>
      <c r="N1883" t="s">
        <v>1647</v>
      </c>
      <c r="O1883" t="s">
        <v>1648</v>
      </c>
      <c r="R1883" t="s">
        <v>57</v>
      </c>
      <c r="S1883">
        <v>16</v>
      </c>
      <c r="T1883" t="s">
        <v>3970</v>
      </c>
      <c r="U1883" s="1">
        <v>33397</v>
      </c>
      <c r="V1883" t="s">
        <v>123</v>
      </c>
      <c r="W1883" t="s">
        <v>124</v>
      </c>
      <c r="X1883" t="s">
        <v>58</v>
      </c>
      <c r="Y1883">
        <v>18</v>
      </c>
      <c r="Z1883" t="s">
        <v>59</v>
      </c>
      <c r="AA1883" t="s">
        <v>59</v>
      </c>
      <c r="AB1883" t="s">
        <v>59</v>
      </c>
      <c r="AC1883" t="s">
        <v>59</v>
      </c>
      <c r="AD1883" t="s">
        <v>59</v>
      </c>
      <c r="AF1883" s="1">
        <v>33402</v>
      </c>
      <c r="AG1883" t="s">
        <v>125</v>
      </c>
      <c r="AH1883" t="s">
        <v>126</v>
      </c>
      <c r="AI1883" t="str">
        <f>"1711010"</f>
        <v>1711010</v>
      </c>
      <c r="AJ1883" t="s">
        <v>695</v>
      </c>
      <c r="AK1883">
        <v>2810741301</v>
      </c>
      <c r="AL1883" t="s">
        <v>696</v>
      </c>
      <c r="AM1883" t="s">
        <v>78</v>
      </c>
      <c r="AN1883" t="s">
        <v>424</v>
      </c>
      <c r="AO1883" t="s">
        <v>428</v>
      </c>
      <c r="AP1883" t="s">
        <v>429</v>
      </c>
      <c r="AQ1883">
        <v>14</v>
      </c>
      <c r="AR1883" t="s">
        <v>123</v>
      </c>
      <c r="AS1883" t="s">
        <v>124</v>
      </c>
      <c r="AT1883" t="s">
        <v>58</v>
      </c>
      <c r="AU1883" t="s">
        <v>68</v>
      </c>
      <c r="AV1883" t="s">
        <v>69</v>
      </c>
      <c r="AW1883" s="1">
        <v>19836</v>
      </c>
      <c r="AX1883">
        <v>2</v>
      </c>
    </row>
    <row r="1884" spans="1:50">
      <c r="A1884">
        <v>225688</v>
      </c>
      <c r="B1884" t="str">
        <f>"068147211"</f>
        <v>068147211</v>
      </c>
      <c r="C1884" t="s">
        <v>50</v>
      </c>
      <c r="D1884" t="s">
        <v>3971</v>
      </c>
      <c r="E1884" t="s">
        <v>83</v>
      </c>
      <c r="F1884" t="s">
        <v>84</v>
      </c>
      <c r="G1884" t="s">
        <v>809</v>
      </c>
      <c r="H1884" t="str">
        <f>"ΑΝΔΡΕΑ ΡΙΤΖΟΥ 6 ΑΓΙΟΣ ΙΩΑΝΝΗΣ"</f>
        <v>ΑΝΔΡΕΑ ΡΙΤΖΟΥ 6 ΑΓΙΟΣ ΙΩΑΝΝΗΣ</v>
      </c>
      <c r="I1884">
        <v>71409</v>
      </c>
      <c r="J1884">
        <v>2810232248</v>
      </c>
      <c r="K1884">
        <v>6938243740</v>
      </c>
      <c r="M1884" t="s">
        <v>3972</v>
      </c>
      <c r="N1884" t="s">
        <v>146</v>
      </c>
      <c r="O1884" t="s">
        <v>147</v>
      </c>
      <c r="R1884" t="s">
        <v>57</v>
      </c>
      <c r="S1884">
        <v>5</v>
      </c>
      <c r="T1884">
        <v>862</v>
      </c>
      <c r="U1884" s="1">
        <v>39706</v>
      </c>
      <c r="V1884" t="s">
        <v>123</v>
      </c>
      <c r="W1884" t="s">
        <v>124</v>
      </c>
      <c r="X1884" t="s">
        <v>58</v>
      </c>
      <c r="Y1884">
        <v>21</v>
      </c>
      <c r="Z1884" t="s">
        <v>59</v>
      </c>
      <c r="AA1884" t="s">
        <v>59</v>
      </c>
      <c r="AB1884" t="s">
        <v>59</v>
      </c>
      <c r="AC1884" t="s">
        <v>59</v>
      </c>
      <c r="AD1884" t="s">
        <v>59</v>
      </c>
      <c r="AF1884" s="1">
        <v>39708</v>
      </c>
      <c r="AG1884" t="s">
        <v>148</v>
      </c>
      <c r="AH1884" t="s">
        <v>149</v>
      </c>
      <c r="AI1884" t="str">
        <f>"1777010"</f>
        <v>1777010</v>
      </c>
      <c r="AJ1884" t="s">
        <v>612</v>
      </c>
      <c r="AK1884">
        <v>2810229220</v>
      </c>
      <c r="AL1884" t="s">
        <v>613</v>
      </c>
      <c r="AM1884" t="s">
        <v>78</v>
      </c>
      <c r="AN1884" t="s">
        <v>78</v>
      </c>
      <c r="AO1884" t="s">
        <v>286</v>
      </c>
      <c r="AP1884" t="s">
        <v>286</v>
      </c>
      <c r="AQ1884">
        <v>12</v>
      </c>
      <c r="AR1884" t="s">
        <v>123</v>
      </c>
      <c r="AS1884" t="s">
        <v>124</v>
      </c>
      <c r="AT1884" t="s">
        <v>58</v>
      </c>
      <c r="AU1884" t="s">
        <v>68</v>
      </c>
      <c r="AV1884" t="s">
        <v>357</v>
      </c>
      <c r="AW1884" s="1">
        <v>28545</v>
      </c>
      <c r="AX1884">
        <v>2</v>
      </c>
    </row>
    <row r="1885" spans="1:50">
      <c r="A1885">
        <v>174610</v>
      </c>
      <c r="B1885" t="str">
        <f>"050733142"</f>
        <v>050733142</v>
      </c>
      <c r="C1885" t="s">
        <v>105</v>
      </c>
      <c r="D1885" t="s">
        <v>3973</v>
      </c>
      <c r="E1885" t="s">
        <v>99</v>
      </c>
      <c r="F1885" t="s">
        <v>53</v>
      </c>
      <c r="G1885" t="s">
        <v>3095</v>
      </c>
      <c r="H1885" t="str">
        <f>" "</f>
        <v xml:space="preserve"> </v>
      </c>
      <c r="K1885">
        <v>6977959339</v>
      </c>
      <c r="M1885" t="s">
        <v>3974</v>
      </c>
      <c r="N1885" t="s">
        <v>168</v>
      </c>
      <c r="O1885" t="s">
        <v>169</v>
      </c>
      <c r="R1885" t="s">
        <v>57</v>
      </c>
      <c r="S1885">
        <v>14</v>
      </c>
      <c r="T1885">
        <v>166</v>
      </c>
      <c r="U1885" s="1">
        <v>35300</v>
      </c>
      <c r="V1885" t="s">
        <v>123</v>
      </c>
      <c r="W1885" t="s">
        <v>124</v>
      </c>
      <c r="X1885" t="s">
        <v>58</v>
      </c>
      <c r="Y1885">
        <v>18</v>
      </c>
      <c r="Z1885" t="s">
        <v>59</v>
      </c>
      <c r="AA1885" t="s">
        <v>59</v>
      </c>
      <c r="AB1885" t="s">
        <v>59</v>
      </c>
      <c r="AC1885" t="s">
        <v>59</v>
      </c>
      <c r="AD1885" t="s">
        <v>59</v>
      </c>
      <c r="AF1885" s="1">
        <v>35311</v>
      </c>
      <c r="AG1885" t="s">
        <v>137</v>
      </c>
      <c r="AH1885" t="s">
        <v>138</v>
      </c>
      <c r="AI1885" t="str">
        <f>"1740300"</f>
        <v>1740300</v>
      </c>
      <c r="AJ1885" t="s">
        <v>1274</v>
      </c>
      <c r="AK1885">
        <v>2892022100</v>
      </c>
      <c r="AL1885" t="s">
        <v>1275</v>
      </c>
      <c r="AM1885" t="s">
        <v>78</v>
      </c>
      <c r="AN1885" t="s">
        <v>242</v>
      </c>
      <c r="AO1885" t="s">
        <v>243</v>
      </c>
      <c r="AP1885" t="s">
        <v>243</v>
      </c>
      <c r="AQ1885">
        <v>33</v>
      </c>
      <c r="AR1885" t="s">
        <v>123</v>
      </c>
      <c r="AS1885" t="s">
        <v>124</v>
      </c>
      <c r="AT1885" t="s">
        <v>58</v>
      </c>
      <c r="AU1885" t="s">
        <v>68</v>
      </c>
      <c r="AV1885" t="s">
        <v>69</v>
      </c>
      <c r="AW1885" s="1">
        <v>22940</v>
      </c>
      <c r="AX1885">
        <v>2</v>
      </c>
    </row>
    <row r="1886" spans="1:50">
      <c r="A1886">
        <v>223209</v>
      </c>
      <c r="B1886" t="str">
        <f>"078124611"</f>
        <v>078124611</v>
      </c>
      <c r="C1886" t="s">
        <v>50</v>
      </c>
      <c r="D1886" t="s">
        <v>3975</v>
      </c>
      <c r="E1886" t="s">
        <v>255</v>
      </c>
      <c r="F1886" t="s">
        <v>95</v>
      </c>
      <c r="G1886" t="s">
        <v>52</v>
      </c>
      <c r="H1886" t="str">
        <f>" "</f>
        <v xml:space="preserve"> </v>
      </c>
      <c r="M1886" t="s">
        <v>3976</v>
      </c>
      <c r="N1886" t="s">
        <v>292</v>
      </c>
      <c r="O1886" t="s">
        <v>293</v>
      </c>
      <c r="R1886" t="s">
        <v>57</v>
      </c>
      <c r="S1886">
        <v>5</v>
      </c>
      <c r="T1886">
        <v>775</v>
      </c>
      <c r="U1886" s="1">
        <v>39680</v>
      </c>
      <c r="V1886" t="s">
        <v>123</v>
      </c>
      <c r="W1886" t="s">
        <v>124</v>
      </c>
      <c r="X1886" t="s">
        <v>58</v>
      </c>
      <c r="Y1886">
        <v>21</v>
      </c>
      <c r="Z1886" t="s">
        <v>59</v>
      </c>
      <c r="AA1886" t="s">
        <v>59</v>
      </c>
      <c r="AB1886" t="s">
        <v>59</v>
      </c>
      <c r="AC1886" t="s">
        <v>59</v>
      </c>
      <c r="AD1886" t="s">
        <v>59</v>
      </c>
      <c r="AF1886" s="1">
        <v>39682</v>
      </c>
      <c r="AG1886" t="s">
        <v>125</v>
      </c>
      <c r="AH1886" t="s">
        <v>126</v>
      </c>
      <c r="AI1886" t="str">
        <f>"1701070"</f>
        <v>1701070</v>
      </c>
      <c r="AJ1886" t="s">
        <v>1490</v>
      </c>
      <c r="AK1886">
        <v>2810771241</v>
      </c>
      <c r="AL1886" t="s">
        <v>1491</v>
      </c>
      <c r="AM1886" t="s">
        <v>78</v>
      </c>
      <c r="AN1886" t="s">
        <v>219</v>
      </c>
      <c r="AO1886" t="s">
        <v>1437</v>
      </c>
      <c r="AP1886" t="s">
        <v>1437</v>
      </c>
      <c r="AQ1886">
        <v>21</v>
      </c>
      <c r="AR1886" t="s">
        <v>123</v>
      </c>
      <c r="AS1886" t="s">
        <v>124</v>
      </c>
      <c r="AT1886" t="s">
        <v>58</v>
      </c>
      <c r="AU1886" t="s">
        <v>68</v>
      </c>
      <c r="AV1886" t="s">
        <v>69</v>
      </c>
      <c r="AW1886" s="1">
        <v>28726</v>
      </c>
      <c r="AX1886">
        <v>2</v>
      </c>
    </row>
    <row r="1887" spans="1:50">
      <c r="A1887">
        <v>205593</v>
      </c>
      <c r="B1887" t="str">
        <f>"103546080"</f>
        <v>103546080</v>
      </c>
      <c r="C1887" t="s">
        <v>105</v>
      </c>
      <c r="D1887" t="s">
        <v>3977</v>
      </c>
      <c r="E1887" t="s">
        <v>166</v>
      </c>
      <c r="F1887" t="s">
        <v>153</v>
      </c>
      <c r="G1887" t="s">
        <v>367</v>
      </c>
      <c r="H1887" t="str">
        <f>"ΑΓΙΟΥ ΝΕΚΤΑΡΙΟΥ 2  ΗΡΑΚΛΕΙΟ"</f>
        <v>ΑΓΙΟΥ ΝΕΚΤΑΡΙΟΥ 2  ΗΡΑΚΛΕΙΟ</v>
      </c>
      <c r="I1887">
        <v>71307</v>
      </c>
      <c r="J1887">
        <v>2810241417</v>
      </c>
      <c r="K1887">
        <v>6973411816</v>
      </c>
      <c r="N1887" t="s">
        <v>204</v>
      </c>
      <c r="O1887" t="s">
        <v>205</v>
      </c>
      <c r="R1887" t="s">
        <v>57</v>
      </c>
      <c r="S1887">
        <v>9</v>
      </c>
      <c r="T1887">
        <v>231</v>
      </c>
      <c r="U1887" s="1">
        <v>38230</v>
      </c>
      <c r="V1887" t="s">
        <v>123</v>
      </c>
      <c r="W1887" t="s">
        <v>124</v>
      </c>
      <c r="X1887" t="s">
        <v>58</v>
      </c>
      <c r="Y1887">
        <v>20</v>
      </c>
      <c r="Z1887" t="s">
        <v>59</v>
      </c>
      <c r="AA1887" t="s">
        <v>59</v>
      </c>
      <c r="AB1887" t="s">
        <v>59</v>
      </c>
      <c r="AC1887" t="s">
        <v>59</v>
      </c>
      <c r="AD1887" t="s">
        <v>59</v>
      </c>
      <c r="AF1887" s="1">
        <v>38232</v>
      </c>
      <c r="AG1887" t="s">
        <v>125</v>
      </c>
      <c r="AH1887" t="s">
        <v>126</v>
      </c>
      <c r="AI1887" t="str">
        <f>"1705010"</f>
        <v>1705010</v>
      </c>
      <c r="AJ1887" t="s">
        <v>2311</v>
      </c>
      <c r="AK1887">
        <v>2891031232</v>
      </c>
      <c r="AL1887" t="s">
        <v>2312</v>
      </c>
      <c r="AM1887" t="s">
        <v>78</v>
      </c>
      <c r="AN1887" t="s">
        <v>276</v>
      </c>
      <c r="AO1887" t="s">
        <v>277</v>
      </c>
      <c r="AP1887" t="s">
        <v>277</v>
      </c>
      <c r="AQ1887">
        <v>17</v>
      </c>
      <c r="AR1887" t="s">
        <v>123</v>
      </c>
      <c r="AS1887" t="s">
        <v>124</v>
      </c>
      <c r="AT1887" t="s">
        <v>58</v>
      </c>
      <c r="AU1887" t="s">
        <v>68</v>
      </c>
      <c r="AV1887" t="s">
        <v>69</v>
      </c>
      <c r="AW1887" s="1">
        <v>28111</v>
      </c>
      <c r="AX1887">
        <v>2</v>
      </c>
    </row>
    <row r="1888" spans="1:50">
      <c r="A1888">
        <v>191013</v>
      </c>
      <c r="B1888" t="str">
        <f>"103523723"</f>
        <v>103523723</v>
      </c>
      <c r="C1888" t="s">
        <v>50</v>
      </c>
      <c r="D1888" t="s">
        <v>3978</v>
      </c>
      <c r="E1888" t="s">
        <v>964</v>
      </c>
      <c r="F1888" t="s">
        <v>72</v>
      </c>
      <c r="G1888" t="s">
        <v>52</v>
      </c>
      <c r="H1888" t="str">
        <f>" "</f>
        <v xml:space="preserve"> </v>
      </c>
      <c r="N1888" t="s">
        <v>204</v>
      </c>
      <c r="O1888" t="s">
        <v>205</v>
      </c>
      <c r="R1888" t="s">
        <v>57</v>
      </c>
      <c r="S1888">
        <v>11</v>
      </c>
      <c r="T1888">
        <v>219</v>
      </c>
      <c r="U1888" s="1">
        <v>37134</v>
      </c>
      <c r="V1888" t="s">
        <v>123</v>
      </c>
      <c r="W1888" t="s">
        <v>124</v>
      </c>
      <c r="X1888" t="s">
        <v>58</v>
      </c>
      <c r="Y1888">
        <v>20</v>
      </c>
      <c r="Z1888" t="s">
        <v>59</v>
      </c>
      <c r="AA1888" t="s">
        <v>59</v>
      </c>
      <c r="AB1888" t="s">
        <v>59</v>
      </c>
      <c r="AC1888" t="s">
        <v>59</v>
      </c>
      <c r="AD1888" t="s">
        <v>59</v>
      </c>
      <c r="AF1888" s="1">
        <v>37137</v>
      </c>
      <c r="AG1888" t="s">
        <v>125</v>
      </c>
      <c r="AH1888" t="s">
        <v>126</v>
      </c>
      <c r="AI1888" t="str">
        <f>"1711010"</f>
        <v>1711010</v>
      </c>
      <c r="AJ1888" t="s">
        <v>695</v>
      </c>
      <c r="AK1888">
        <v>2810741301</v>
      </c>
      <c r="AL1888" t="s">
        <v>696</v>
      </c>
      <c r="AM1888" t="s">
        <v>78</v>
      </c>
      <c r="AN1888" t="s">
        <v>424</v>
      </c>
      <c r="AO1888" t="s">
        <v>428</v>
      </c>
      <c r="AP1888" t="s">
        <v>429</v>
      </c>
      <c r="AQ1888">
        <v>14</v>
      </c>
      <c r="AR1888" t="s">
        <v>123</v>
      </c>
      <c r="AS1888" t="s">
        <v>124</v>
      </c>
      <c r="AT1888" t="s">
        <v>58</v>
      </c>
      <c r="AU1888" t="s">
        <v>68</v>
      </c>
      <c r="AV1888" t="s">
        <v>69</v>
      </c>
      <c r="AW1888" s="1">
        <v>28191</v>
      </c>
      <c r="AX1888">
        <v>2</v>
      </c>
    </row>
    <row r="1889" spans="1:50">
      <c r="A1889">
        <v>165097</v>
      </c>
      <c r="B1889" t="str">
        <f>"032455246"</f>
        <v>032455246</v>
      </c>
      <c r="C1889" t="s">
        <v>50</v>
      </c>
      <c r="D1889" t="s">
        <v>3979</v>
      </c>
      <c r="E1889" t="s">
        <v>155</v>
      </c>
      <c r="F1889" t="s">
        <v>377</v>
      </c>
      <c r="G1889" t="s">
        <v>3980</v>
      </c>
      <c r="H1889" t="str">
        <f>" "</f>
        <v xml:space="preserve"> </v>
      </c>
      <c r="M1889" t="s">
        <v>3981</v>
      </c>
      <c r="N1889" t="s">
        <v>2160</v>
      </c>
      <c r="O1889" t="s">
        <v>2161</v>
      </c>
      <c r="R1889" t="s">
        <v>57</v>
      </c>
      <c r="S1889">
        <v>15</v>
      </c>
      <c r="T1889">
        <v>161</v>
      </c>
      <c r="U1889" s="1">
        <v>33844</v>
      </c>
      <c r="V1889" t="s">
        <v>123</v>
      </c>
      <c r="W1889" t="s">
        <v>124</v>
      </c>
      <c r="X1889" t="s">
        <v>58</v>
      </c>
      <c r="Y1889">
        <v>18</v>
      </c>
      <c r="Z1889" t="s">
        <v>59</v>
      </c>
      <c r="AA1889" t="s">
        <v>59</v>
      </c>
      <c r="AB1889" t="s">
        <v>59</v>
      </c>
      <c r="AC1889" t="s">
        <v>59</v>
      </c>
      <c r="AD1889" t="s">
        <v>59</v>
      </c>
      <c r="AF1889" s="1">
        <v>33849</v>
      </c>
      <c r="AG1889" t="s">
        <v>137</v>
      </c>
      <c r="AH1889" t="s">
        <v>138</v>
      </c>
      <c r="AI1889" t="str">
        <f>"1740100"</f>
        <v>1740100</v>
      </c>
      <c r="AJ1889" t="s">
        <v>857</v>
      </c>
      <c r="AK1889">
        <v>2810360741</v>
      </c>
      <c r="AL1889" t="s">
        <v>858</v>
      </c>
      <c r="AM1889" t="s">
        <v>78</v>
      </c>
      <c r="AN1889" t="s">
        <v>78</v>
      </c>
      <c r="AO1889" t="s">
        <v>78</v>
      </c>
      <c r="AP1889" t="s">
        <v>163</v>
      </c>
      <c r="AQ1889">
        <v>5</v>
      </c>
      <c r="AR1889" t="s">
        <v>123</v>
      </c>
      <c r="AS1889" t="s">
        <v>124</v>
      </c>
      <c r="AT1889" t="s">
        <v>58</v>
      </c>
      <c r="AU1889" t="s">
        <v>68</v>
      </c>
      <c r="AV1889" t="s">
        <v>69</v>
      </c>
      <c r="AW1889" s="1">
        <v>23012</v>
      </c>
      <c r="AX1889">
        <v>2</v>
      </c>
    </row>
    <row r="1890" spans="1:50">
      <c r="A1890">
        <v>191014</v>
      </c>
      <c r="B1890" t="str">
        <f>"078966899"</f>
        <v>078966899</v>
      </c>
      <c r="C1890" t="s">
        <v>105</v>
      </c>
      <c r="D1890" t="s">
        <v>3982</v>
      </c>
      <c r="E1890" t="s">
        <v>920</v>
      </c>
      <c r="F1890" t="s">
        <v>383</v>
      </c>
      <c r="G1890" t="s">
        <v>52</v>
      </c>
      <c r="H1890" t="str">
        <f>"ΓΕΡΑΝΙΩΝ 11 ΗΡΑΚΛΕΙΟ"</f>
        <v>ΓΕΡΑΝΙΩΝ 11 ΗΡΑΚΛΕΙΟ</v>
      </c>
      <c r="I1890">
        <v>71500</v>
      </c>
      <c r="J1890">
        <v>2810312476</v>
      </c>
      <c r="K1890">
        <v>6972717827</v>
      </c>
      <c r="L1890">
        <v>2810761761</v>
      </c>
      <c r="M1890" t="s">
        <v>3983</v>
      </c>
      <c r="N1890" t="s">
        <v>204</v>
      </c>
      <c r="O1890" t="s">
        <v>205</v>
      </c>
      <c r="R1890" t="s">
        <v>57</v>
      </c>
      <c r="S1890">
        <v>10</v>
      </c>
      <c r="T1890">
        <v>219</v>
      </c>
      <c r="U1890" s="1">
        <v>37134</v>
      </c>
      <c r="V1890" t="s">
        <v>123</v>
      </c>
      <c r="W1890" t="s">
        <v>124</v>
      </c>
      <c r="X1890" t="s">
        <v>58</v>
      </c>
      <c r="Y1890">
        <v>20</v>
      </c>
      <c r="Z1890" t="s">
        <v>59</v>
      </c>
      <c r="AA1890" t="s">
        <v>59</v>
      </c>
      <c r="AB1890" t="s">
        <v>59</v>
      </c>
      <c r="AC1890" t="s">
        <v>59</v>
      </c>
      <c r="AD1890" t="s">
        <v>59</v>
      </c>
      <c r="AF1890" s="1">
        <v>37134</v>
      </c>
      <c r="AG1890" t="s">
        <v>148</v>
      </c>
      <c r="AH1890" t="s">
        <v>149</v>
      </c>
      <c r="AI1890" t="str">
        <f>"1761010"</f>
        <v>1761010</v>
      </c>
      <c r="AJ1890" t="s">
        <v>426</v>
      </c>
      <c r="AK1890">
        <v>2810741356</v>
      </c>
      <c r="AL1890" t="s">
        <v>427</v>
      </c>
      <c r="AM1890" t="s">
        <v>78</v>
      </c>
      <c r="AN1890" t="s">
        <v>424</v>
      </c>
      <c r="AO1890" t="s">
        <v>428</v>
      </c>
      <c r="AP1890" t="s">
        <v>429</v>
      </c>
      <c r="AQ1890">
        <v>14</v>
      </c>
      <c r="AR1890" t="s">
        <v>123</v>
      </c>
      <c r="AS1890" t="s">
        <v>124</v>
      </c>
      <c r="AT1890" t="s">
        <v>58</v>
      </c>
      <c r="AU1890" t="s">
        <v>68</v>
      </c>
      <c r="AV1890" t="s">
        <v>69</v>
      </c>
      <c r="AW1890" s="1">
        <v>27423</v>
      </c>
      <c r="AX1890">
        <v>2</v>
      </c>
    </row>
    <row r="1891" spans="1:50">
      <c r="A1891">
        <v>184570</v>
      </c>
      <c r="B1891" t="str">
        <f>"033356997"</f>
        <v>033356997</v>
      </c>
      <c r="C1891" t="s">
        <v>50</v>
      </c>
      <c r="D1891" t="s">
        <v>3984</v>
      </c>
      <c r="E1891" t="s">
        <v>52</v>
      </c>
      <c r="F1891" t="s">
        <v>72</v>
      </c>
      <c r="G1891" t="s">
        <v>513</v>
      </c>
      <c r="H1891" t="str">
        <f>"ΠΕΤΡΑΚΟΓΙΩΡΓΗ 58 "</f>
        <v xml:space="preserve">ΠΕΤΡΑΚΟΓΙΩΡΓΗ 58 </v>
      </c>
      <c r="I1891">
        <v>71305</v>
      </c>
      <c r="J1891">
        <v>2810262535</v>
      </c>
      <c r="K1891">
        <v>6973390410</v>
      </c>
      <c r="M1891" t="s">
        <v>3985</v>
      </c>
      <c r="N1891" t="s">
        <v>288</v>
      </c>
      <c r="O1891" t="s">
        <v>289</v>
      </c>
      <c r="R1891" t="s">
        <v>57</v>
      </c>
      <c r="S1891">
        <v>9</v>
      </c>
      <c r="T1891">
        <v>177</v>
      </c>
      <c r="U1891" s="1">
        <v>36403</v>
      </c>
      <c r="V1891" t="s">
        <v>123</v>
      </c>
      <c r="W1891" t="s">
        <v>124</v>
      </c>
      <c r="X1891" t="s">
        <v>58</v>
      </c>
      <c r="Y1891">
        <v>20</v>
      </c>
      <c r="Z1891" t="s">
        <v>59</v>
      </c>
      <c r="AA1891" t="s">
        <v>59</v>
      </c>
      <c r="AB1891" t="s">
        <v>59</v>
      </c>
      <c r="AC1891" t="s">
        <v>59</v>
      </c>
      <c r="AD1891" t="s">
        <v>59</v>
      </c>
      <c r="AF1891" s="1">
        <v>36405</v>
      </c>
      <c r="AG1891" t="s">
        <v>125</v>
      </c>
      <c r="AH1891" t="s">
        <v>126</v>
      </c>
      <c r="AI1891" t="str">
        <f>"1701030"</f>
        <v>1701030</v>
      </c>
      <c r="AJ1891" t="s">
        <v>270</v>
      </c>
      <c r="AK1891">
        <v>2810361015</v>
      </c>
      <c r="AL1891" t="s">
        <v>271</v>
      </c>
      <c r="AM1891" t="s">
        <v>78</v>
      </c>
      <c r="AN1891" t="s">
        <v>78</v>
      </c>
      <c r="AO1891" t="s">
        <v>78</v>
      </c>
      <c r="AP1891" t="s">
        <v>163</v>
      </c>
      <c r="AQ1891">
        <v>2</v>
      </c>
      <c r="AR1891" t="s">
        <v>123</v>
      </c>
      <c r="AS1891" t="s">
        <v>124</v>
      </c>
      <c r="AT1891" t="s">
        <v>58</v>
      </c>
      <c r="AU1891" t="s">
        <v>68</v>
      </c>
      <c r="AV1891" t="s">
        <v>69</v>
      </c>
      <c r="AW1891" s="1">
        <v>26536</v>
      </c>
      <c r="AX1891">
        <v>2</v>
      </c>
    </row>
    <row r="1892" spans="1:50">
      <c r="A1892">
        <v>191015</v>
      </c>
      <c r="B1892" t="str">
        <f>"114254002"</f>
        <v>114254002</v>
      </c>
      <c r="C1892" t="s">
        <v>105</v>
      </c>
      <c r="D1892" t="s">
        <v>3986</v>
      </c>
      <c r="E1892" t="s">
        <v>3987</v>
      </c>
      <c r="F1892" t="s">
        <v>95</v>
      </c>
      <c r="G1892" t="s">
        <v>1108</v>
      </c>
      <c r="H1892" t="str">
        <f>"ΠΕΛΟΠΟΝΝΗΣΟΥ 32 ΗΡΑΚΛΕΙΟ"</f>
        <v>ΠΕΛΟΠΟΝΝΗΣΟΥ 32 ΗΡΑΚΛΕΙΟ</v>
      </c>
      <c r="I1892">
        <v>71304</v>
      </c>
      <c r="J1892">
        <v>2810314614</v>
      </c>
      <c r="K1892">
        <v>6979568961</v>
      </c>
      <c r="M1892" t="s">
        <v>3988</v>
      </c>
      <c r="N1892" t="s">
        <v>204</v>
      </c>
      <c r="O1892" t="s">
        <v>205</v>
      </c>
      <c r="R1892" t="s">
        <v>57</v>
      </c>
      <c r="S1892">
        <v>10</v>
      </c>
      <c r="T1892">
        <v>219</v>
      </c>
      <c r="U1892" s="1">
        <v>37134</v>
      </c>
      <c r="V1892" t="s">
        <v>123</v>
      </c>
      <c r="W1892" t="s">
        <v>124</v>
      </c>
      <c r="X1892" t="s">
        <v>58</v>
      </c>
      <c r="Y1892">
        <v>20</v>
      </c>
      <c r="Z1892" t="s">
        <v>59</v>
      </c>
      <c r="AA1892" t="s">
        <v>59</v>
      </c>
      <c r="AB1892" t="s">
        <v>59</v>
      </c>
      <c r="AC1892" t="s">
        <v>59</v>
      </c>
      <c r="AD1892" t="s">
        <v>59</v>
      </c>
      <c r="AF1892" s="1">
        <v>37144</v>
      </c>
      <c r="AG1892" t="s">
        <v>125</v>
      </c>
      <c r="AH1892" t="s">
        <v>126</v>
      </c>
      <c r="AI1892" t="str">
        <f>"1701054"</f>
        <v>1701054</v>
      </c>
      <c r="AJ1892" t="s">
        <v>318</v>
      </c>
      <c r="AK1892">
        <v>2810252418</v>
      </c>
      <c r="AL1892" t="s">
        <v>319</v>
      </c>
      <c r="AM1892" t="s">
        <v>78</v>
      </c>
      <c r="AN1892" t="s">
        <v>78</v>
      </c>
      <c r="AO1892" t="s">
        <v>78</v>
      </c>
      <c r="AP1892" t="s">
        <v>141</v>
      </c>
      <c r="AQ1892">
        <v>7</v>
      </c>
      <c r="AR1892" t="s">
        <v>123</v>
      </c>
      <c r="AS1892" t="s">
        <v>124</v>
      </c>
      <c r="AT1892" t="s">
        <v>58</v>
      </c>
      <c r="AU1892" t="s">
        <v>68</v>
      </c>
      <c r="AV1892" t="s">
        <v>69</v>
      </c>
      <c r="AW1892" s="1">
        <v>27740</v>
      </c>
      <c r="AX1892">
        <v>2</v>
      </c>
    </row>
    <row r="1893" spans="1:50">
      <c r="A1893">
        <v>184884</v>
      </c>
      <c r="B1893" t="str">
        <f>"047728145"</f>
        <v>047728145</v>
      </c>
      <c r="C1893" t="s">
        <v>105</v>
      </c>
      <c r="D1893" t="s">
        <v>3986</v>
      </c>
      <c r="E1893" t="s">
        <v>53</v>
      </c>
      <c r="F1893" t="s">
        <v>95</v>
      </c>
      <c r="G1893" t="s">
        <v>1108</v>
      </c>
      <c r="H1893" t="str">
        <f>"Γ.ΦΑΡΑΓΚΟΥΛΙΤΑΚΗ 34 ΗΡΑΚΛΕΙΟ"</f>
        <v>Γ.ΦΑΡΑΓΚΟΥΛΙΤΑΚΗ 34 ΗΡΑΚΛΕΙΟ</v>
      </c>
      <c r="I1893">
        <v>71409</v>
      </c>
      <c r="J1893">
        <v>2814007677</v>
      </c>
      <c r="K1893">
        <v>6946909523</v>
      </c>
      <c r="N1893" t="s">
        <v>176</v>
      </c>
      <c r="O1893" t="s">
        <v>177</v>
      </c>
      <c r="R1893" t="s">
        <v>57</v>
      </c>
      <c r="S1893">
        <v>15</v>
      </c>
      <c r="T1893">
        <v>177</v>
      </c>
      <c r="U1893" s="1">
        <v>36403</v>
      </c>
      <c r="V1893" t="s">
        <v>123</v>
      </c>
      <c r="W1893" t="s">
        <v>124</v>
      </c>
      <c r="X1893" t="s">
        <v>58</v>
      </c>
      <c r="Y1893">
        <v>20</v>
      </c>
      <c r="Z1893" t="s">
        <v>59</v>
      </c>
      <c r="AA1893" t="s">
        <v>59</v>
      </c>
      <c r="AB1893" t="s">
        <v>59</v>
      </c>
      <c r="AC1893" t="s">
        <v>59</v>
      </c>
      <c r="AD1893" t="s">
        <v>59</v>
      </c>
      <c r="AF1893" s="1">
        <v>36410</v>
      </c>
      <c r="AG1893" t="s">
        <v>60</v>
      </c>
      <c r="AH1893" t="s">
        <v>453</v>
      </c>
      <c r="AI1893" t="str">
        <f>"1700105"</f>
        <v>1700105</v>
      </c>
      <c r="AJ1893" t="s">
        <v>124</v>
      </c>
      <c r="AK1893">
        <v>2810333720</v>
      </c>
      <c r="AL1893" t="s">
        <v>454</v>
      </c>
      <c r="AM1893" t="s">
        <v>78</v>
      </c>
      <c r="AN1893" t="s">
        <v>78</v>
      </c>
      <c r="AO1893" t="s">
        <v>78</v>
      </c>
      <c r="AP1893" t="s">
        <v>79</v>
      </c>
      <c r="AS1893" t="s">
        <v>124</v>
      </c>
      <c r="AT1893" t="s">
        <v>58</v>
      </c>
      <c r="AU1893" t="s">
        <v>68</v>
      </c>
      <c r="AV1893" t="s">
        <v>455</v>
      </c>
      <c r="AW1893" s="1">
        <v>26442</v>
      </c>
      <c r="AX1893">
        <v>2</v>
      </c>
    </row>
    <row r="1894" spans="1:50">
      <c r="A1894">
        <v>182682</v>
      </c>
      <c r="B1894" t="str">
        <f>"038748607"</f>
        <v>038748607</v>
      </c>
      <c r="C1894" t="s">
        <v>105</v>
      </c>
      <c r="D1894" t="s">
        <v>3989</v>
      </c>
      <c r="E1894" t="s">
        <v>1217</v>
      </c>
      <c r="F1894" t="s">
        <v>760</v>
      </c>
      <c r="G1894" t="s">
        <v>964</v>
      </c>
      <c r="H1894" t="str">
        <f>"ΒΟΡΡΟΙ "</f>
        <v xml:space="preserve">ΒΟΡΡΟΙ </v>
      </c>
      <c r="I1894">
        <v>70200</v>
      </c>
      <c r="J1894">
        <v>2892091554</v>
      </c>
      <c r="K1894">
        <v>6936573873</v>
      </c>
      <c r="M1894" t="s">
        <v>3177</v>
      </c>
      <c r="N1894" t="s">
        <v>292</v>
      </c>
      <c r="O1894" t="s">
        <v>293</v>
      </c>
      <c r="R1894" t="s">
        <v>57</v>
      </c>
      <c r="S1894">
        <v>9</v>
      </c>
      <c r="T1894">
        <v>249</v>
      </c>
      <c r="U1894" s="1">
        <v>36160</v>
      </c>
      <c r="V1894" t="s">
        <v>123</v>
      </c>
      <c r="W1894" t="s">
        <v>124</v>
      </c>
      <c r="X1894" t="s">
        <v>58</v>
      </c>
      <c r="Y1894">
        <v>20</v>
      </c>
      <c r="Z1894" t="s">
        <v>59</v>
      </c>
      <c r="AA1894" t="s">
        <v>59</v>
      </c>
      <c r="AB1894" t="s">
        <v>59</v>
      </c>
      <c r="AC1894" t="s">
        <v>59</v>
      </c>
      <c r="AD1894" t="s">
        <v>59</v>
      </c>
      <c r="AF1894" s="1">
        <v>36171</v>
      </c>
      <c r="AG1894" t="s">
        <v>125</v>
      </c>
      <c r="AH1894" t="s">
        <v>126</v>
      </c>
      <c r="AI1894" t="str">
        <f>"1706010"</f>
        <v>1706010</v>
      </c>
      <c r="AJ1894" t="s">
        <v>391</v>
      </c>
      <c r="AK1894">
        <v>2892022286</v>
      </c>
      <c r="AL1894" t="s">
        <v>392</v>
      </c>
      <c r="AM1894" t="s">
        <v>78</v>
      </c>
      <c r="AN1894" t="s">
        <v>242</v>
      </c>
      <c r="AO1894" t="s">
        <v>243</v>
      </c>
      <c r="AP1894" t="s">
        <v>243</v>
      </c>
      <c r="AQ1894">
        <v>33</v>
      </c>
      <c r="AR1894" t="s">
        <v>123</v>
      </c>
      <c r="AS1894" t="s">
        <v>124</v>
      </c>
      <c r="AT1894" t="s">
        <v>58</v>
      </c>
      <c r="AU1894" t="s">
        <v>68</v>
      </c>
      <c r="AV1894" t="s">
        <v>69</v>
      </c>
      <c r="AW1894" s="1">
        <v>24566</v>
      </c>
      <c r="AX1894">
        <v>2</v>
      </c>
    </row>
    <row r="1895" spans="1:50">
      <c r="A1895">
        <v>202039</v>
      </c>
      <c r="B1895" t="str">
        <f>"114299321"</f>
        <v>114299321</v>
      </c>
      <c r="C1895" t="s">
        <v>50</v>
      </c>
      <c r="D1895" t="s">
        <v>3990</v>
      </c>
      <c r="E1895" t="s">
        <v>112</v>
      </c>
      <c r="F1895" t="s">
        <v>95</v>
      </c>
      <c r="G1895" t="s">
        <v>250</v>
      </c>
      <c r="H1895" t="str">
        <f>"ΓΕΡΓΕΡΗ ΓΕΡΓΕΡΗ"</f>
        <v>ΓΕΡΓΕΡΗ ΓΕΡΓΕΡΗ</v>
      </c>
      <c r="I1895">
        <v>70003</v>
      </c>
      <c r="J1895">
        <v>2894041628</v>
      </c>
      <c r="K1895">
        <v>6944240599</v>
      </c>
      <c r="M1895" t="s">
        <v>3991</v>
      </c>
      <c r="N1895" t="s">
        <v>146</v>
      </c>
      <c r="O1895" t="s">
        <v>147</v>
      </c>
      <c r="R1895" t="s">
        <v>57</v>
      </c>
      <c r="S1895">
        <v>9</v>
      </c>
      <c r="T1895">
        <v>231</v>
      </c>
      <c r="U1895" s="1">
        <v>38230</v>
      </c>
      <c r="V1895" t="s">
        <v>123</v>
      </c>
      <c r="W1895" t="s">
        <v>124</v>
      </c>
      <c r="X1895" t="s">
        <v>58</v>
      </c>
      <c r="Y1895">
        <v>20</v>
      </c>
      <c r="Z1895" t="s">
        <v>59</v>
      </c>
      <c r="AA1895" t="s">
        <v>59</v>
      </c>
      <c r="AB1895" t="s">
        <v>59</v>
      </c>
      <c r="AC1895" t="s">
        <v>59</v>
      </c>
      <c r="AD1895" t="s">
        <v>59</v>
      </c>
      <c r="AF1895" s="1">
        <v>38232</v>
      </c>
      <c r="AG1895" t="s">
        <v>148</v>
      </c>
      <c r="AH1895" t="s">
        <v>149</v>
      </c>
      <c r="AI1895" t="str">
        <f>"1759010"</f>
        <v>1759010</v>
      </c>
      <c r="AJ1895" t="s">
        <v>403</v>
      </c>
      <c r="AK1895">
        <v>2894022127</v>
      </c>
      <c r="AL1895" t="s">
        <v>404</v>
      </c>
      <c r="AM1895" t="s">
        <v>78</v>
      </c>
      <c r="AN1895" t="s">
        <v>405</v>
      </c>
      <c r="AO1895" t="s">
        <v>406</v>
      </c>
      <c r="AP1895" t="s">
        <v>406</v>
      </c>
      <c r="AQ1895">
        <v>30</v>
      </c>
      <c r="AR1895" t="s">
        <v>123</v>
      </c>
      <c r="AS1895" t="s">
        <v>124</v>
      </c>
      <c r="AT1895" t="s">
        <v>58</v>
      </c>
      <c r="AU1895" t="s">
        <v>68</v>
      </c>
      <c r="AV1895" t="s">
        <v>69</v>
      </c>
      <c r="AW1895" s="1">
        <v>26115</v>
      </c>
      <c r="AX1895">
        <v>2</v>
      </c>
    </row>
    <row r="1896" spans="1:50">
      <c r="A1896">
        <v>186178</v>
      </c>
      <c r="B1896" t="str">
        <f>"056645189"</f>
        <v>056645189</v>
      </c>
      <c r="C1896" t="s">
        <v>50</v>
      </c>
      <c r="D1896" t="s">
        <v>3992</v>
      </c>
      <c r="E1896" t="s">
        <v>52</v>
      </c>
      <c r="F1896" t="s">
        <v>450</v>
      </c>
      <c r="G1896" t="s">
        <v>367</v>
      </c>
      <c r="H1896" t="str">
        <f>"ΑΝΑΓΕΝΝΗΣΕΩΣ 35 ΜΑΣΤΑΜΠΑΣ"</f>
        <v>ΑΝΑΓΕΝΝΗΣΕΩΣ 35 ΜΑΣΤΑΜΠΑΣ</v>
      </c>
      <c r="I1896">
        <v>71305</v>
      </c>
      <c r="J1896">
        <v>2810310652</v>
      </c>
      <c r="K1896">
        <v>6944645673</v>
      </c>
      <c r="M1896" t="s">
        <v>3993</v>
      </c>
      <c r="N1896" t="s">
        <v>288</v>
      </c>
      <c r="O1896" t="s">
        <v>289</v>
      </c>
      <c r="R1896" t="s">
        <v>57</v>
      </c>
      <c r="S1896">
        <v>9</v>
      </c>
      <c r="T1896">
        <v>250</v>
      </c>
      <c r="U1896" s="1">
        <v>36769</v>
      </c>
      <c r="V1896" t="s">
        <v>123</v>
      </c>
      <c r="W1896" t="s">
        <v>124</v>
      </c>
      <c r="X1896" t="s">
        <v>58</v>
      </c>
      <c r="Y1896">
        <v>20</v>
      </c>
      <c r="Z1896" t="s">
        <v>59</v>
      </c>
      <c r="AA1896" t="s">
        <v>59</v>
      </c>
      <c r="AB1896" t="s">
        <v>59</v>
      </c>
      <c r="AC1896" t="s">
        <v>59</v>
      </c>
      <c r="AD1896" t="s">
        <v>59</v>
      </c>
      <c r="AF1896" s="1">
        <v>36770</v>
      </c>
      <c r="AG1896" t="s">
        <v>125</v>
      </c>
      <c r="AH1896" t="s">
        <v>126</v>
      </c>
      <c r="AI1896" t="str">
        <f>"1701040"</f>
        <v>1701040</v>
      </c>
      <c r="AJ1896" t="s">
        <v>748</v>
      </c>
      <c r="AK1896">
        <v>2810252459</v>
      </c>
      <c r="AL1896" t="s">
        <v>749</v>
      </c>
      <c r="AM1896" t="s">
        <v>78</v>
      </c>
      <c r="AN1896" t="s">
        <v>78</v>
      </c>
      <c r="AO1896" t="s">
        <v>78</v>
      </c>
      <c r="AP1896" t="s">
        <v>141</v>
      </c>
      <c r="AQ1896">
        <v>3</v>
      </c>
      <c r="AR1896" t="s">
        <v>123</v>
      </c>
      <c r="AS1896" t="s">
        <v>124</v>
      </c>
      <c r="AT1896" t="s">
        <v>58</v>
      </c>
      <c r="AU1896" t="s">
        <v>68</v>
      </c>
      <c r="AV1896" t="s">
        <v>69</v>
      </c>
      <c r="AW1896" s="1">
        <v>24298</v>
      </c>
      <c r="AX1896">
        <v>2</v>
      </c>
    </row>
    <row r="1897" spans="1:50">
      <c r="A1897">
        <v>210249</v>
      </c>
      <c r="B1897" t="str">
        <f>"031204238"</f>
        <v>031204238</v>
      </c>
      <c r="C1897" t="s">
        <v>50</v>
      </c>
      <c r="D1897" t="s">
        <v>3994</v>
      </c>
      <c r="E1897" t="s">
        <v>868</v>
      </c>
      <c r="F1897" t="s">
        <v>72</v>
      </c>
      <c r="G1897" t="s">
        <v>382</v>
      </c>
      <c r="H1897" t="str">
        <f>"ΓΡΗΓ. ΑΥΞΕΝΤΙΟΥ 7 ΑΤΤΙΚΗ"</f>
        <v>ΓΡΗΓ. ΑΥΞΕΝΤΙΟΥ 7 ΑΤΤΙΚΗ</v>
      </c>
      <c r="I1897">
        <v>17455</v>
      </c>
      <c r="J1897">
        <v>2104118536</v>
      </c>
      <c r="K1897">
        <v>6977717046</v>
      </c>
      <c r="M1897" t="s">
        <v>3995</v>
      </c>
      <c r="N1897" t="s">
        <v>683</v>
      </c>
      <c r="O1897" t="s">
        <v>684</v>
      </c>
      <c r="P1897" t="s">
        <v>146</v>
      </c>
      <c r="Q1897" t="s">
        <v>147</v>
      </c>
      <c r="R1897" t="s">
        <v>57</v>
      </c>
      <c r="S1897">
        <v>6</v>
      </c>
      <c r="T1897">
        <v>235</v>
      </c>
      <c r="U1897" s="1">
        <v>38611</v>
      </c>
      <c r="V1897" t="s">
        <v>123</v>
      </c>
      <c r="W1897" t="s">
        <v>124</v>
      </c>
      <c r="X1897" t="s">
        <v>58</v>
      </c>
      <c r="Y1897">
        <v>20</v>
      </c>
      <c r="Z1897" t="s">
        <v>59</v>
      </c>
      <c r="AA1897" t="s">
        <v>59</v>
      </c>
      <c r="AB1897" t="s">
        <v>59</v>
      </c>
      <c r="AC1897" t="s">
        <v>59</v>
      </c>
      <c r="AD1897" t="s">
        <v>59</v>
      </c>
      <c r="AF1897" s="1">
        <v>38616</v>
      </c>
      <c r="AG1897" t="s">
        <v>125</v>
      </c>
      <c r="AH1897" t="s">
        <v>126</v>
      </c>
      <c r="AI1897" t="str">
        <f>"1715010"</f>
        <v>1715010</v>
      </c>
      <c r="AJ1897" t="s">
        <v>812</v>
      </c>
      <c r="AK1897">
        <v>2893031193</v>
      </c>
      <c r="AL1897" t="s">
        <v>813</v>
      </c>
      <c r="AM1897" t="s">
        <v>78</v>
      </c>
      <c r="AN1897" t="s">
        <v>405</v>
      </c>
      <c r="AO1897" t="s">
        <v>805</v>
      </c>
      <c r="AP1897" t="s">
        <v>806</v>
      </c>
      <c r="AQ1897">
        <v>25</v>
      </c>
      <c r="AR1897" t="s">
        <v>123</v>
      </c>
      <c r="AS1897" t="s">
        <v>124</v>
      </c>
      <c r="AT1897" t="s">
        <v>58</v>
      </c>
      <c r="AU1897" t="s">
        <v>68</v>
      </c>
      <c r="AV1897" t="s">
        <v>69</v>
      </c>
      <c r="AW1897" s="1">
        <v>25545</v>
      </c>
      <c r="AX1897">
        <v>2</v>
      </c>
    </row>
    <row r="1898" spans="1:50">
      <c r="A1898">
        <v>170548</v>
      </c>
      <c r="B1898" t="str">
        <f>"040650605"</f>
        <v>040650605</v>
      </c>
      <c r="C1898" t="s">
        <v>50</v>
      </c>
      <c r="D1898" t="s">
        <v>3996</v>
      </c>
      <c r="E1898" t="s">
        <v>237</v>
      </c>
      <c r="F1898" t="s">
        <v>95</v>
      </c>
      <c r="G1898" t="s">
        <v>755</v>
      </c>
      <c r="H1898" t="str">
        <f>" "</f>
        <v xml:space="preserve"> </v>
      </c>
      <c r="J1898">
        <v>2810232759</v>
      </c>
      <c r="K1898">
        <v>6934274342</v>
      </c>
      <c r="N1898" t="s">
        <v>232</v>
      </c>
      <c r="O1898" t="s">
        <v>233</v>
      </c>
      <c r="R1898" t="s">
        <v>57</v>
      </c>
      <c r="S1898">
        <v>12</v>
      </c>
      <c r="T1898">
        <v>184</v>
      </c>
      <c r="U1898" s="1">
        <v>34941</v>
      </c>
      <c r="V1898" t="s">
        <v>123</v>
      </c>
      <c r="W1898" t="s">
        <v>124</v>
      </c>
      <c r="X1898" t="s">
        <v>58</v>
      </c>
      <c r="Y1898">
        <v>18</v>
      </c>
      <c r="Z1898" t="s">
        <v>59</v>
      </c>
      <c r="AA1898" t="s">
        <v>59</v>
      </c>
      <c r="AB1898" t="s">
        <v>59</v>
      </c>
      <c r="AC1898" t="s">
        <v>59</v>
      </c>
      <c r="AD1898" t="s">
        <v>59</v>
      </c>
      <c r="AF1898" s="1">
        <v>34946</v>
      </c>
      <c r="AG1898" t="s">
        <v>125</v>
      </c>
      <c r="AH1898" t="s">
        <v>126</v>
      </c>
      <c r="AI1898" t="str">
        <f>"1701057"</f>
        <v>1701057</v>
      </c>
      <c r="AJ1898" t="s">
        <v>379</v>
      </c>
      <c r="AK1898">
        <v>2810234488</v>
      </c>
      <c r="AL1898" t="s">
        <v>380</v>
      </c>
      <c r="AM1898" t="s">
        <v>78</v>
      </c>
      <c r="AN1898" t="s">
        <v>78</v>
      </c>
      <c r="AO1898" t="s">
        <v>78</v>
      </c>
      <c r="AP1898" t="s">
        <v>163</v>
      </c>
      <c r="AQ1898">
        <v>8</v>
      </c>
      <c r="AR1898" t="s">
        <v>123</v>
      </c>
      <c r="AS1898" t="s">
        <v>124</v>
      </c>
      <c r="AT1898" t="s">
        <v>58</v>
      </c>
      <c r="AU1898" t="s">
        <v>68</v>
      </c>
      <c r="AV1898" t="s">
        <v>69</v>
      </c>
      <c r="AW1898" s="1">
        <v>20920</v>
      </c>
      <c r="AX1898">
        <v>2</v>
      </c>
    </row>
    <row r="1899" spans="1:50">
      <c r="A1899">
        <v>195052</v>
      </c>
      <c r="B1899" t="str">
        <f>"128333317"</f>
        <v>128333317</v>
      </c>
      <c r="C1899" t="s">
        <v>105</v>
      </c>
      <c r="D1899" t="s">
        <v>3997</v>
      </c>
      <c r="E1899" t="s">
        <v>377</v>
      </c>
      <c r="F1899" t="s">
        <v>95</v>
      </c>
      <c r="G1899" t="s">
        <v>255</v>
      </c>
      <c r="H1899" t="str">
        <f>"ΑΓΙΑ ΒΑΡΒΑΡΑ ΗΡΑΚΛΕΙΟΥ ΑΓΙΑ ΒΑΡΒΑΡΑ ΗΡΑΚΛΕΙΟΥ"</f>
        <v>ΑΓΙΑ ΒΑΡΒΑΡΑ ΗΡΑΚΛΕΙΟΥ ΑΓΙΑ ΒΑΡΒΑΡΑ ΗΡΑΚΛΕΙΟΥ</v>
      </c>
      <c r="I1899">
        <v>70003</v>
      </c>
      <c r="J1899">
        <v>2894029010</v>
      </c>
      <c r="K1899">
        <v>6972624229</v>
      </c>
      <c r="M1899" t="s">
        <v>3998</v>
      </c>
      <c r="N1899" t="s">
        <v>157</v>
      </c>
      <c r="O1899" t="s">
        <v>158</v>
      </c>
      <c r="R1899" t="s">
        <v>57</v>
      </c>
      <c r="S1899">
        <v>8</v>
      </c>
      <c r="T1899">
        <v>194</v>
      </c>
      <c r="U1899" s="1">
        <v>37497</v>
      </c>
      <c r="V1899" t="s">
        <v>123</v>
      </c>
      <c r="W1899" t="s">
        <v>124</v>
      </c>
      <c r="X1899" t="s">
        <v>58</v>
      </c>
      <c r="Y1899">
        <v>20</v>
      </c>
      <c r="Z1899" t="s">
        <v>59</v>
      </c>
      <c r="AA1899" t="s">
        <v>59</v>
      </c>
      <c r="AB1899" t="s">
        <v>59</v>
      </c>
      <c r="AC1899" t="s">
        <v>59</v>
      </c>
      <c r="AD1899" t="s">
        <v>59</v>
      </c>
      <c r="AF1899" s="1">
        <v>37501</v>
      </c>
      <c r="AG1899" t="s">
        <v>148</v>
      </c>
      <c r="AH1899" t="s">
        <v>149</v>
      </c>
      <c r="AI1899" t="str">
        <f>"1759010"</f>
        <v>1759010</v>
      </c>
      <c r="AJ1899" t="s">
        <v>403</v>
      </c>
      <c r="AK1899">
        <v>2894022127</v>
      </c>
      <c r="AL1899" t="s">
        <v>404</v>
      </c>
      <c r="AM1899" t="s">
        <v>78</v>
      </c>
      <c r="AN1899" t="s">
        <v>405</v>
      </c>
      <c r="AO1899" t="s">
        <v>406</v>
      </c>
      <c r="AP1899" t="s">
        <v>406</v>
      </c>
      <c r="AQ1899">
        <v>30</v>
      </c>
      <c r="AR1899" t="s">
        <v>123</v>
      </c>
      <c r="AS1899" t="s">
        <v>124</v>
      </c>
      <c r="AT1899" t="s">
        <v>58</v>
      </c>
      <c r="AU1899" t="s">
        <v>68</v>
      </c>
      <c r="AV1899" t="s">
        <v>69</v>
      </c>
      <c r="AW1899" s="1">
        <v>28216</v>
      </c>
      <c r="AX1899">
        <v>2</v>
      </c>
    </row>
    <row r="1900" spans="1:50">
      <c r="B1900" t="str">
        <f>"137249535"</f>
        <v>137249535</v>
      </c>
      <c r="C1900" t="s">
        <v>50</v>
      </c>
      <c r="D1900" t="s">
        <v>3999</v>
      </c>
      <c r="E1900" t="s">
        <v>460</v>
      </c>
      <c r="F1900" t="s">
        <v>99</v>
      </c>
      <c r="H1900" t="str">
        <f>"Βύρωνος 104 Καλαμάτα"</f>
        <v>Βύρωνος 104 Καλαμάτα</v>
      </c>
      <c r="I1900">
        <v>24100</v>
      </c>
      <c r="K1900">
        <v>6947010021</v>
      </c>
      <c r="M1900" t="s">
        <v>4000</v>
      </c>
      <c r="N1900" t="s">
        <v>536</v>
      </c>
      <c r="O1900" t="s">
        <v>537</v>
      </c>
      <c r="R1900" t="s">
        <v>159</v>
      </c>
      <c r="S1900">
        <v>3</v>
      </c>
      <c r="T1900" t="s">
        <v>344</v>
      </c>
      <c r="U1900" s="1">
        <v>43348</v>
      </c>
      <c r="V1900" t="s">
        <v>123</v>
      </c>
      <c r="W1900" t="s">
        <v>124</v>
      </c>
      <c r="X1900" t="s">
        <v>58</v>
      </c>
      <c r="Y1900">
        <v>23</v>
      </c>
      <c r="Z1900" t="s">
        <v>59</v>
      </c>
      <c r="AA1900" t="s">
        <v>59</v>
      </c>
      <c r="AB1900" t="s">
        <v>59</v>
      </c>
      <c r="AC1900" t="s">
        <v>59</v>
      </c>
      <c r="AD1900" t="s">
        <v>59</v>
      </c>
      <c r="AF1900" s="1">
        <v>43348</v>
      </c>
      <c r="AG1900" t="s">
        <v>125</v>
      </c>
      <c r="AH1900" t="s">
        <v>126</v>
      </c>
      <c r="AI1900" t="str">
        <f>"1709010"</f>
        <v>1709010</v>
      </c>
      <c r="AJ1900" t="s">
        <v>847</v>
      </c>
      <c r="AK1900">
        <v>2894022227</v>
      </c>
      <c r="AL1900" t="s">
        <v>848</v>
      </c>
      <c r="AM1900" t="s">
        <v>78</v>
      </c>
      <c r="AN1900" t="s">
        <v>405</v>
      </c>
      <c r="AO1900" t="s">
        <v>406</v>
      </c>
      <c r="AP1900" t="s">
        <v>406</v>
      </c>
      <c r="AQ1900">
        <v>30</v>
      </c>
      <c r="AR1900" t="s">
        <v>123</v>
      </c>
      <c r="AS1900" t="s">
        <v>124</v>
      </c>
      <c r="AT1900" t="s">
        <v>58</v>
      </c>
      <c r="AU1900" t="s">
        <v>350</v>
      </c>
      <c r="AV1900" t="s">
        <v>132</v>
      </c>
      <c r="AW1900" s="1">
        <v>31523</v>
      </c>
      <c r="AX1900">
        <v>2</v>
      </c>
    </row>
    <row r="1901" spans="1:50">
      <c r="A1901">
        <v>202042</v>
      </c>
      <c r="B1901" t="str">
        <f>"039418099"</f>
        <v>039418099</v>
      </c>
      <c r="C1901" t="s">
        <v>105</v>
      </c>
      <c r="D1901" t="s">
        <v>4001</v>
      </c>
      <c r="E1901" t="s">
        <v>230</v>
      </c>
      <c r="F1901" t="s">
        <v>72</v>
      </c>
      <c r="G1901" t="s">
        <v>4002</v>
      </c>
      <c r="H1901" t="str">
        <f>" "</f>
        <v xml:space="preserve"> </v>
      </c>
      <c r="K1901">
        <v>6944617462</v>
      </c>
      <c r="N1901" t="s">
        <v>146</v>
      </c>
      <c r="O1901" t="s">
        <v>147</v>
      </c>
      <c r="R1901" t="s">
        <v>57</v>
      </c>
      <c r="S1901">
        <v>12</v>
      </c>
      <c r="T1901">
        <v>231</v>
      </c>
      <c r="U1901" s="1">
        <v>38230</v>
      </c>
      <c r="V1901" t="s">
        <v>123</v>
      </c>
      <c r="W1901" t="s">
        <v>124</v>
      </c>
      <c r="X1901" t="s">
        <v>58</v>
      </c>
      <c r="Y1901">
        <v>20</v>
      </c>
      <c r="Z1901" t="s">
        <v>59</v>
      </c>
      <c r="AA1901" t="s">
        <v>59</v>
      </c>
      <c r="AB1901" t="s">
        <v>59</v>
      </c>
      <c r="AC1901" t="s">
        <v>59</v>
      </c>
      <c r="AD1901" t="s">
        <v>59</v>
      </c>
      <c r="AF1901" s="1">
        <v>38233</v>
      </c>
      <c r="AG1901" t="s">
        <v>60</v>
      </c>
      <c r="AH1901" t="s">
        <v>61</v>
      </c>
      <c r="AI1901" t="str">
        <f>"9000624"</f>
        <v>9000624</v>
      </c>
      <c r="AJ1901" t="s">
        <v>76</v>
      </c>
      <c r="AK1901">
        <v>2810215020</v>
      </c>
      <c r="AL1901" t="s">
        <v>77</v>
      </c>
      <c r="AM1901" t="s">
        <v>78</v>
      </c>
      <c r="AN1901" t="s">
        <v>78</v>
      </c>
      <c r="AO1901" t="s">
        <v>78</v>
      </c>
      <c r="AP1901" t="s">
        <v>79</v>
      </c>
      <c r="AR1901" t="s">
        <v>80</v>
      </c>
      <c r="AS1901" t="s">
        <v>81</v>
      </c>
      <c r="AT1901" t="s">
        <v>58</v>
      </c>
      <c r="AU1901" t="s">
        <v>68</v>
      </c>
      <c r="AV1901" t="s">
        <v>69</v>
      </c>
      <c r="AW1901" s="1">
        <v>24007</v>
      </c>
      <c r="AX1901">
        <v>0</v>
      </c>
    </row>
    <row r="1902" spans="1:50">
      <c r="A1902">
        <v>209372</v>
      </c>
      <c r="B1902" t="str">
        <f>"051410013"</f>
        <v>051410013</v>
      </c>
      <c r="C1902" t="s">
        <v>50</v>
      </c>
      <c r="D1902" t="s">
        <v>4003</v>
      </c>
      <c r="E1902" t="s">
        <v>237</v>
      </c>
      <c r="F1902" t="s">
        <v>1506</v>
      </c>
      <c r="G1902" t="s">
        <v>255</v>
      </c>
      <c r="H1902" t="str">
        <f>"ΑΛ. ΠΑΝΑΓΟΥΛΗ 26  ΑΙΓΙΟ"</f>
        <v>ΑΛ. ΠΑΝΑΓΟΥΛΗ 26  ΑΙΓΙΟ</v>
      </c>
      <c r="I1902">
        <v>60300</v>
      </c>
      <c r="J1902">
        <v>2353023981</v>
      </c>
      <c r="K1902">
        <v>6977241782</v>
      </c>
      <c r="M1902" t="s">
        <v>4004</v>
      </c>
      <c r="N1902" t="s">
        <v>157</v>
      </c>
      <c r="O1902" t="s">
        <v>158</v>
      </c>
      <c r="R1902" t="s">
        <v>57</v>
      </c>
      <c r="S1902">
        <v>6</v>
      </c>
      <c r="T1902">
        <v>225</v>
      </c>
      <c r="U1902" s="1">
        <v>38604</v>
      </c>
      <c r="V1902" t="s">
        <v>123</v>
      </c>
      <c r="W1902" t="s">
        <v>124</v>
      </c>
      <c r="X1902" t="s">
        <v>58</v>
      </c>
      <c r="Y1902">
        <v>20</v>
      </c>
      <c r="Z1902" t="s">
        <v>59</v>
      </c>
      <c r="AA1902" t="s">
        <v>59</v>
      </c>
      <c r="AB1902" t="s">
        <v>59</v>
      </c>
      <c r="AC1902" t="s">
        <v>59</v>
      </c>
      <c r="AD1902" t="s">
        <v>59</v>
      </c>
      <c r="AF1902" s="1">
        <v>38609</v>
      </c>
      <c r="AG1902" t="s">
        <v>148</v>
      </c>
      <c r="AH1902" t="s">
        <v>149</v>
      </c>
      <c r="AI1902" t="str">
        <f>"1763010"</f>
        <v>1763010</v>
      </c>
      <c r="AJ1902" t="s">
        <v>560</v>
      </c>
      <c r="AK1902">
        <v>2892051146</v>
      </c>
      <c r="AL1902" t="s">
        <v>561</v>
      </c>
      <c r="AM1902" t="s">
        <v>78</v>
      </c>
      <c r="AN1902" t="s">
        <v>242</v>
      </c>
      <c r="AO1902" t="s">
        <v>349</v>
      </c>
      <c r="AP1902" t="s">
        <v>349</v>
      </c>
      <c r="AQ1902">
        <v>35</v>
      </c>
      <c r="AR1902" t="s">
        <v>123</v>
      </c>
      <c r="AS1902" t="s">
        <v>124</v>
      </c>
      <c r="AT1902" t="s">
        <v>58</v>
      </c>
      <c r="AU1902" t="s">
        <v>68</v>
      </c>
      <c r="AV1902" t="s">
        <v>69</v>
      </c>
      <c r="AW1902" s="1">
        <v>24973</v>
      </c>
      <c r="AX1902">
        <v>2</v>
      </c>
    </row>
    <row r="1903" spans="1:50">
      <c r="B1903" t="str">
        <f>"129415394"</f>
        <v>129415394</v>
      </c>
      <c r="C1903" t="s">
        <v>50</v>
      </c>
      <c r="D1903" t="s">
        <v>4005</v>
      </c>
      <c r="E1903" t="s">
        <v>396</v>
      </c>
      <c r="F1903" t="s">
        <v>309</v>
      </c>
      <c r="G1903" t="s">
        <v>4006</v>
      </c>
      <c r="H1903" t="str">
        <f>"ΤΕΡΠΝΗ ΝΙΓΡΙΤΑ ΣΕΡΡΩΝ"</f>
        <v>ΤΕΡΠΝΗ ΝΙΓΡΙΤΑ ΣΕΡΡΩΝ</v>
      </c>
      <c r="I1903">
        <v>62200</v>
      </c>
      <c r="J1903">
        <v>2322023234</v>
      </c>
      <c r="K1903">
        <v>6948659955</v>
      </c>
      <c r="M1903" t="s">
        <v>4007</v>
      </c>
      <c r="N1903" t="s">
        <v>146</v>
      </c>
      <c r="O1903" t="s">
        <v>147</v>
      </c>
      <c r="R1903" t="s">
        <v>159</v>
      </c>
      <c r="S1903">
        <v>4</v>
      </c>
      <c r="T1903" t="s">
        <v>416</v>
      </c>
      <c r="U1903" s="1">
        <v>43349</v>
      </c>
      <c r="V1903" t="s">
        <v>123</v>
      </c>
      <c r="W1903" t="s">
        <v>124</v>
      </c>
      <c r="X1903" t="s">
        <v>58</v>
      </c>
      <c r="Y1903">
        <v>21</v>
      </c>
      <c r="Z1903" t="s">
        <v>59</v>
      </c>
      <c r="AA1903" t="s">
        <v>59</v>
      </c>
      <c r="AB1903" t="s">
        <v>59</v>
      </c>
      <c r="AC1903" t="s">
        <v>59</v>
      </c>
      <c r="AD1903" t="s">
        <v>59</v>
      </c>
      <c r="AF1903" s="1">
        <v>43349</v>
      </c>
      <c r="AG1903" t="s">
        <v>125</v>
      </c>
      <c r="AH1903" t="s">
        <v>386</v>
      </c>
      <c r="AI1903" t="str">
        <f>"1741002"</f>
        <v>1741002</v>
      </c>
      <c r="AJ1903" t="s">
        <v>387</v>
      </c>
      <c r="AK1903">
        <v>2810762610</v>
      </c>
      <c r="AL1903" t="s">
        <v>388</v>
      </c>
      <c r="AM1903" t="s">
        <v>78</v>
      </c>
      <c r="AN1903" t="s">
        <v>219</v>
      </c>
      <c r="AO1903" t="s">
        <v>297</v>
      </c>
      <c r="AP1903" t="s">
        <v>297</v>
      </c>
      <c r="AQ1903">
        <v>10</v>
      </c>
      <c r="AR1903" t="s">
        <v>123</v>
      </c>
      <c r="AS1903" t="s">
        <v>124</v>
      </c>
      <c r="AT1903" t="s">
        <v>58</v>
      </c>
      <c r="AU1903" t="s">
        <v>419</v>
      </c>
      <c r="AV1903" t="s">
        <v>132</v>
      </c>
      <c r="AW1903" s="1">
        <v>29482</v>
      </c>
      <c r="AX1903">
        <v>2</v>
      </c>
    </row>
    <row r="1904" spans="1:50">
      <c r="A1904">
        <v>171808</v>
      </c>
      <c r="B1904" t="str">
        <f>"046068614"</f>
        <v>046068614</v>
      </c>
      <c r="C1904" t="s">
        <v>105</v>
      </c>
      <c r="D1904" t="s">
        <v>4008</v>
      </c>
      <c r="E1904" t="s">
        <v>53</v>
      </c>
      <c r="F1904" t="s">
        <v>936</v>
      </c>
      <c r="G1904" t="s">
        <v>1361</v>
      </c>
      <c r="H1904" t="str">
        <f>" "</f>
        <v xml:space="preserve"> </v>
      </c>
      <c r="K1904">
        <v>6948126858</v>
      </c>
      <c r="M1904" t="s">
        <v>4009</v>
      </c>
      <c r="N1904" t="s">
        <v>232</v>
      </c>
      <c r="O1904" t="s">
        <v>233</v>
      </c>
      <c r="R1904" t="s">
        <v>57</v>
      </c>
      <c r="S1904">
        <v>14</v>
      </c>
      <c r="T1904">
        <v>184</v>
      </c>
      <c r="U1904" s="1">
        <v>34941</v>
      </c>
      <c r="V1904" t="s">
        <v>123</v>
      </c>
      <c r="W1904" t="s">
        <v>124</v>
      </c>
      <c r="X1904" t="s">
        <v>58</v>
      </c>
      <c r="Y1904">
        <v>18</v>
      </c>
      <c r="Z1904" t="s">
        <v>59</v>
      </c>
      <c r="AA1904" t="s">
        <v>59</v>
      </c>
      <c r="AB1904" t="s">
        <v>59</v>
      </c>
      <c r="AC1904" t="s">
        <v>59</v>
      </c>
      <c r="AD1904" t="s">
        <v>59</v>
      </c>
      <c r="AF1904" s="1">
        <v>34946</v>
      </c>
      <c r="AG1904" t="s">
        <v>148</v>
      </c>
      <c r="AH1904" t="s">
        <v>149</v>
      </c>
      <c r="AI1904" t="str">
        <f>"1768010"</f>
        <v>1768010</v>
      </c>
      <c r="AJ1904" t="s">
        <v>1012</v>
      </c>
      <c r="AK1904">
        <v>2897032070</v>
      </c>
      <c r="AL1904" t="s">
        <v>1013</v>
      </c>
      <c r="AM1904" t="s">
        <v>78</v>
      </c>
      <c r="AN1904" t="s">
        <v>219</v>
      </c>
      <c r="AO1904" t="s">
        <v>527</v>
      </c>
      <c r="AP1904" t="s">
        <v>527</v>
      </c>
      <c r="AQ1904">
        <v>20</v>
      </c>
      <c r="AR1904" t="s">
        <v>123</v>
      </c>
      <c r="AS1904" t="s">
        <v>124</v>
      </c>
      <c r="AT1904" t="s">
        <v>58</v>
      </c>
      <c r="AU1904" t="s">
        <v>68</v>
      </c>
      <c r="AV1904" t="s">
        <v>69</v>
      </c>
      <c r="AW1904" s="1">
        <v>23635</v>
      </c>
      <c r="AX1904">
        <v>2</v>
      </c>
    </row>
    <row r="1905" spans="1:50">
      <c r="A1905">
        <v>173891</v>
      </c>
      <c r="B1905" t="str">
        <f>"046282956"</f>
        <v>046282956</v>
      </c>
      <c r="C1905" t="s">
        <v>105</v>
      </c>
      <c r="D1905" t="s">
        <v>4010</v>
      </c>
      <c r="E1905" t="s">
        <v>450</v>
      </c>
      <c r="F1905" t="s">
        <v>989</v>
      </c>
      <c r="G1905" t="s">
        <v>52</v>
      </c>
      <c r="H1905" t="str">
        <f>" "</f>
        <v xml:space="preserve"> </v>
      </c>
      <c r="M1905" t="s">
        <v>4011</v>
      </c>
      <c r="N1905" t="s">
        <v>232</v>
      </c>
      <c r="O1905" t="s">
        <v>233</v>
      </c>
      <c r="R1905" t="s">
        <v>57</v>
      </c>
      <c r="S1905">
        <v>13</v>
      </c>
      <c r="T1905">
        <v>166</v>
      </c>
      <c r="U1905" s="1">
        <v>35300</v>
      </c>
      <c r="V1905" t="s">
        <v>123</v>
      </c>
      <c r="W1905" t="s">
        <v>124</v>
      </c>
      <c r="X1905" t="s">
        <v>58</v>
      </c>
      <c r="Y1905">
        <v>18</v>
      </c>
      <c r="Z1905" t="s">
        <v>59</v>
      </c>
      <c r="AA1905" t="s">
        <v>59</v>
      </c>
      <c r="AB1905" t="s">
        <v>59</v>
      </c>
      <c r="AC1905" t="s">
        <v>59</v>
      </c>
      <c r="AD1905" t="s">
        <v>452</v>
      </c>
      <c r="AE1905" s="1">
        <v>43708</v>
      </c>
      <c r="AF1905" s="1">
        <v>35311</v>
      </c>
      <c r="AG1905" t="s">
        <v>60</v>
      </c>
      <c r="AH1905" t="s">
        <v>453</v>
      </c>
      <c r="AI1905" t="str">
        <f>"1700105"</f>
        <v>1700105</v>
      </c>
      <c r="AJ1905" t="s">
        <v>124</v>
      </c>
      <c r="AK1905">
        <v>2810333720</v>
      </c>
      <c r="AL1905" t="s">
        <v>454</v>
      </c>
      <c r="AM1905" t="s">
        <v>78</v>
      </c>
      <c r="AN1905" t="s">
        <v>78</v>
      </c>
      <c r="AO1905" t="s">
        <v>78</v>
      </c>
      <c r="AP1905" t="s">
        <v>79</v>
      </c>
      <c r="AS1905" t="s">
        <v>124</v>
      </c>
      <c r="AT1905" t="s">
        <v>58</v>
      </c>
      <c r="AU1905" t="s">
        <v>68</v>
      </c>
      <c r="AV1905" t="s">
        <v>455</v>
      </c>
      <c r="AW1905" s="1">
        <v>22137</v>
      </c>
      <c r="AX1905">
        <v>2</v>
      </c>
    </row>
    <row r="1906" spans="1:50">
      <c r="B1906" t="str">
        <f>"115832535"</f>
        <v>115832535</v>
      </c>
      <c r="C1906" t="s">
        <v>105</v>
      </c>
      <c r="D1906" t="s">
        <v>4012</v>
      </c>
      <c r="E1906" t="s">
        <v>496</v>
      </c>
      <c r="F1906" t="s">
        <v>900</v>
      </c>
      <c r="G1906" t="s">
        <v>1902</v>
      </c>
      <c r="H1906" t="str">
        <f>"ΠΡΟΥΣΣΗΣ 2 ΠΤΟΛΕΜΑΪΔΑ"</f>
        <v>ΠΡΟΥΣΣΗΣ 2 ΠΤΟΛΕΜΑΪΔΑ</v>
      </c>
      <c r="I1906">
        <v>50200</v>
      </c>
      <c r="J1906">
        <v>2463080431</v>
      </c>
      <c r="K1906">
        <v>6978473380</v>
      </c>
      <c r="M1906" t="s">
        <v>4013</v>
      </c>
      <c r="N1906" t="s">
        <v>146</v>
      </c>
      <c r="O1906" t="s">
        <v>147</v>
      </c>
      <c r="R1906" t="s">
        <v>159</v>
      </c>
      <c r="S1906">
        <v>3</v>
      </c>
      <c r="T1906" t="s">
        <v>160</v>
      </c>
      <c r="U1906" s="1">
        <v>43364</v>
      </c>
      <c r="V1906" t="s">
        <v>123</v>
      </c>
      <c r="W1906" t="s">
        <v>124</v>
      </c>
      <c r="X1906" t="s">
        <v>58</v>
      </c>
      <c r="Y1906">
        <v>21</v>
      </c>
      <c r="Z1906" t="s">
        <v>59</v>
      </c>
      <c r="AA1906" t="s">
        <v>59</v>
      </c>
      <c r="AB1906" t="s">
        <v>59</v>
      </c>
      <c r="AC1906" t="s">
        <v>59</v>
      </c>
      <c r="AD1906" t="s">
        <v>59</v>
      </c>
      <c r="AF1906" s="1">
        <v>43367</v>
      </c>
      <c r="AG1906" t="s">
        <v>125</v>
      </c>
      <c r="AH1906" t="s">
        <v>515</v>
      </c>
      <c r="AI1906" t="str">
        <f>"1713015"</f>
        <v>1713015</v>
      </c>
      <c r="AJ1906" t="s">
        <v>516</v>
      </c>
      <c r="AK1906">
        <v>2892051870</v>
      </c>
      <c r="AL1906" t="s">
        <v>517</v>
      </c>
      <c r="AM1906" t="s">
        <v>78</v>
      </c>
      <c r="AN1906" t="s">
        <v>242</v>
      </c>
      <c r="AO1906" t="s">
        <v>349</v>
      </c>
      <c r="AP1906" t="s">
        <v>349</v>
      </c>
      <c r="AQ1906">
        <v>35</v>
      </c>
      <c r="AR1906" t="s">
        <v>123</v>
      </c>
      <c r="AS1906" t="s">
        <v>124</v>
      </c>
      <c r="AT1906" t="s">
        <v>58</v>
      </c>
      <c r="AU1906" t="s">
        <v>164</v>
      </c>
      <c r="AV1906" t="s">
        <v>132</v>
      </c>
      <c r="AW1906" s="1">
        <v>27203</v>
      </c>
      <c r="AX1906">
        <v>2</v>
      </c>
    </row>
    <row r="1907" spans="1:50">
      <c r="A1907">
        <v>225201</v>
      </c>
      <c r="B1907" t="str">
        <f>"114591320"</f>
        <v>114591320</v>
      </c>
      <c r="C1907" t="s">
        <v>50</v>
      </c>
      <c r="D1907" t="s">
        <v>4014</v>
      </c>
      <c r="E1907" t="s">
        <v>188</v>
      </c>
      <c r="F1907" t="s">
        <v>4015</v>
      </c>
      <c r="G1907" t="s">
        <v>314</v>
      </c>
      <c r="H1907" t="str">
        <f>"ΠΑΤΡΙΑΡΧΟΥ ΦΩΤΙΟΥ 49 ΗΡΑΚΛΕΙΟ"</f>
        <v>ΠΑΤΡΙΑΡΧΟΥ ΦΩΤΙΟΥ 49 ΗΡΑΚΛΕΙΟ</v>
      </c>
      <c r="I1907">
        <v>71305</v>
      </c>
      <c r="J1907">
        <v>2810325588</v>
      </c>
      <c r="K1907">
        <v>6945792446</v>
      </c>
      <c r="M1907" t="s">
        <v>4016</v>
      </c>
      <c r="N1907" t="s">
        <v>176</v>
      </c>
      <c r="O1907" t="s">
        <v>177</v>
      </c>
      <c r="R1907" t="s">
        <v>57</v>
      </c>
      <c r="S1907">
        <v>9</v>
      </c>
      <c r="T1907">
        <v>775</v>
      </c>
      <c r="U1907" s="1">
        <v>39680</v>
      </c>
      <c r="V1907" t="s">
        <v>123</v>
      </c>
      <c r="W1907" t="s">
        <v>124</v>
      </c>
      <c r="X1907" t="s">
        <v>58</v>
      </c>
      <c r="Y1907">
        <v>20</v>
      </c>
      <c r="Z1907" t="s">
        <v>59</v>
      </c>
      <c r="AA1907" t="s">
        <v>59</v>
      </c>
      <c r="AB1907" t="s">
        <v>59</v>
      </c>
      <c r="AC1907" t="s">
        <v>59</v>
      </c>
      <c r="AD1907" t="s">
        <v>59</v>
      </c>
      <c r="AF1907" s="1">
        <v>39685</v>
      </c>
      <c r="AG1907" t="s">
        <v>125</v>
      </c>
      <c r="AH1907" t="s">
        <v>538</v>
      </c>
      <c r="AI1907" t="str">
        <f>"1701002"</f>
        <v>1701002</v>
      </c>
      <c r="AJ1907" t="s">
        <v>539</v>
      </c>
      <c r="AK1907">
        <v>2810213569</v>
      </c>
      <c r="AL1907" t="s">
        <v>540</v>
      </c>
      <c r="AM1907" t="s">
        <v>78</v>
      </c>
      <c r="AN1907" t="s">
        <v>78</v>
      </c>
      <c r="AO1907" t="s">
        <v>78</v>
      </c>
      <c r="AP1907" t="s">
        <v>163</v>
      </c>
      <c r="AQ1907">
        <v>11</v>
      </c>
      <c r="AR1907" t="s">
        <v>123</v>
      </c>
      <c r="AS1907" t="s">
        <v>124</v>
      </c>
      <c r="AT1907" t="s">
        <v>58</v>
      </c>
      <c r="AU1907" t="s">
        <v>68</v>
      </c>
      <c r="AV1907" t="s">
        <v>69</v>
      </c>
      <c r="AW1907" s="1">
        <v>27674</v>
      </c>
      <c r="AX1907">
        <v>2</v>
      </c>
    </row>
    <row r="1908" spans="1:50">
      <c r="A1908">
        <v>570090</v>
      </c>
      <c r="B1908" t="str">
        <f>"031358516"</f>
        <v>031358516</v>
      </c>
      <c r="C1908" t="s">
        <v>105</v>
      </c>
      <c r="D1908" t="s">
        <v>4017</v>
      </c>
      <c r="E1908" t="s">
        <v>106</v>
      </c>
      <c r="F1908" t="s">
        <v>95</v>
      </c>
      <c r="G1908" t="s">
        <v>98</v>
      </c>
      <c r="H1908" t="str">
        <f>"ΟΜΗΡΟΥ 3 ΗΡΑΚΛΕΙΟ"</f>
        <v>ΟΜΗΡΟΥ 3 ΗΡΑΚΛΕΙΟ</v>
      </c>
      <c r="I1908">
        <v>71306</v>
      </c>
      <c r="J1908">
        <v>2810360316</v>
      </c>
      <c r="K1908">
        <v>6948278847</v>
      </c>
      <c r="M1908" t="s">
        <v>4018</v>
      </c>
      <c r="N1908" t="s">
        <v>306</v>
      </c>
      <c r="O1908" t="s">
        <v>307</v>
      </c>
      <c r="R1908" t="s">
        <v>57</v>
      </c>
      <c r="S1908">
        <v>17</v>
      </c>
      <c r="T1908">
        <v>239</v>
      </c>
      <c r="U1908" s="1">
        <v>33603</v>
      </c>
      <c r="V1908" t="s">
        <v>123</v>
      </c>
      <c r="W1908" t="s">
        <v>124</v>
      </c>
      <c r="X1908" t="s">
        <v>58</v>
      </c>
      <c r="Y1908">
        <v>18</v>
      </c>
      <c r="Z1908" t="s">
        <v>59</v>
      </c>
      <c r="AA1908" t="s">
        <v>59</v>
      </c>
      <c r="AB1908" t="s">
        <v>59</v>
      </c>
      <c r="AC1908" t="s">
        <v>59</v>
      </c>
      <c r="AD1908" t="s">
        <v>452</v>
      </c>
      <c r="AE1908" s="1">
        <v>43708</v>
      </c>
      <c r="AF1908" s="1">
        <v>33977</v>
      </c>
      <c r="AG1908" t="s">
        <v>60</v>
      </c>
      <c r="AH1908" t="s">
        <v>453</v>
      </c>
      <c r="AI1908" t="str">
        <f>"1700105"</f>
        <v>1700105</v>
      </c>
      <c r="AJ1908" t="s">
        <v>124</v>
      </c>
      <c r="AK1908">
        <v>2810333720</v>
      </c>
      <c r="AL1908" t="s">
        <v>454</v>
      </c>
      <c r="AM1908" t="s">
        <v>78</v>
      </c>
      <c r="AN1908" t="s">
        <v>78</v>
      </c>
      <c r="AO1908" t="s">
        <v>78</v>
      </c>
      <c r="AP1908" t="s">
        <v>79</v>
      </c>
      <c r="AS1908" t="s">
        <v>124</v>
      </c>
      <c r="AT1908" t="s">
        <v>58</v>
      </c>
      <c r="AU1908" t="s">
        <v>68</v>
      </c>
      <c r="AV1908" t="s">
        <v>455</v>
      </c>
      <c r="AW1908" s="1">
        <v>23155</v>
      </c>
      <c r="AX1908">
        <v>2</v>
      </c>
    </row>
    <row r="1909" spans="1:50">
      <c r="A1909">
        <v>225202</v>
      </c>
      <c r="B1909" t="str">
        <f>"045329490"</f>
        <v>045329490</v>
      </c>
      <c r="C1909" t="s">
        <v>50</v>
      </c>
      <c r="D1909" t="s">
        <v>4019</v>
      </c>
      <c r="E1909" t="s">
        <v>52</v>
      </c>
      <c r="F1909" t="s">
        <v>106</v>
      </c>
      <c r="G1909" t="s">
        <v>237</v>
      </c>
      <c r="H1909" t="str">
        <f>"Ε. ΧΑΤΖΑΚΗ ΚΑΙ ΑΝΤΙΣΘΕΝΟΥΣ 2 ΗΡΑΚΛΕΙΟ"</f>
        <v>Ε. ΧΑΤΖΑΚΗ ΚΑΙ ΑΝΤΙΣΘΕΝΟΥΣ 2 ΗΡΑΚΛΕΙΟ</v>
      </c>
      <c r="I1909">
        <v>71409</v>
      </c>
      <c r="J1909">
        <v>2810212312</v>
      </c>
      <c r="K1909">
        <v>6945560026</v>
      </c>
      <c r="M1909" t="s">
        <v>4020</v>
      </c>
      <c r="N1909" t="s">
        <v>176</v>
      </c>
      <c r="O1909" t="s">
        <v>177</v>
      </c>
      <c r="R1909" t="s">
        <v>57</v>
      </c>
      <c r="S1909">
        <v>7</v>
      </c>
      <c r="T1909">
        <v>775</v>
      </c>
      <c r="U1909" s="1">
        <v>39680</v>
      </c>
      <c r="V1909" t="s">
        <v>123</v>
      </c>
      <c r="W1909" t="s">
        <v>124</v>
      </c>
      <c r="X1909" t="s">
        <v>58</v>
      </c>
      <c r="Y1909">
        <v>20</v>
      </c>
      <c r="Z1909" t="s">
        <v>59</v>
      </c>
      <c r="AA1909" t="s">
        <v>59</v>
      </c>
      <c r="AB1909" t="s">
        <v>59</v>
      </c>
      <c r="AC1909" t="s">
        <v>59</v>
      </c>
      <c r="AD1909" t="s">
        <v>59</v>
      </c>
      <c r="AF1909" s="1">
        <v>39685</v>
      </c>
      <c r="AG1909" t="s">
        <v>148</v>
      </c>
      <c r="AH1909" t="s">
        <v>149</v>
      </c>
      <c r="AI1909" t="str">
        <f>"1765010"</f>
        <v>1765010</v>
      </c>
      <c r="AJ1909" t="s">
        <v>803</v>
      </c>
      <c r="AK1909">
        <v>2893031093</v>
      </c>
      <c r="AL1909" t="s">
        <v>804</v>
      </c>
      <c r="AM1909" t="s">
        <v>78</v>
      </c>
      <c r="AN1909" t="s">
        <v>405</v>
      </c>
      <c r="AO1909" t="s">
        <v>805</v>
      </c>
      <c r="AP1909" t="s">
        <v>806</v>
      </c>
      <c r="AQ1909">
        <v>25</v>
      </c>
      <c r="AR1909" t="s">
        <v>123</v>
      </c>
      <c r="AS1909" t="s">
        <v>124</v>
      </c>
      <c r="AT1909" t="s">
        <v>58</v>
      </c>
      <c r="AU1909" t="s">
        <v>68</v>
      </c>
      <c r="AV1909" t="s">
        <v>69</v>
      </c>
      <c r="AW1909" s="1">
        <v>24892</v>
      </c>
      <c r="AX1909">
        <v>2</v>
      </c>
    </row>
    <row r="1910" spans="1:50">
      <c r="A1910">
        <v>171665</v>
      </c>
      <c r="B1910" t="str">
        <f>"035736338"</f>
        <v>035736338</v>
      </c>
      <c r="C1910" t="s">
        <v>105</v>
      </c>
      <c r="D1910" t="s">
        <v>4021</v>
      </c>
      <c r="E1910" t="s">
        <v>53</v>
      </c>
      <c r="F1910" t="s">
        <v>106</v>
      </c>
      <c r="G1910" t="s">
        <v>411</v>
      </c>
      <c r="H1910" t="str">
        <f>"ΣΕΡΡΩΝ 6 "</f>
        <v xml:space="preserve">ΣΕΡΡΩΝ 6 </v>
      </c>
      <c r="I1910">
        <v>71307</v>
      </c>
      <c r="J1910">
        <v>2810221190</v>
      </c>
      <c r="K1910">
        <v>6972992563</v>
      </c>
      <c r="M1910" t="s">
        <v>4022</v>
      </c>
      <c r="N1910" t="s">
        <v>176</v>
      </c>
      <c r="O1910" t="s">
        <v>177</v>
      </c>
      <c r="R1910" t="s">
        <v>57</v>
      </c>
      <c r="S1910">
        <v>15</v>
      </c>
      <c r="T1910">
        <v>184</v>
      </c>
      <c r="U1910" s="1">
        <v>34941</v>
      </c>
      <c r="V1910" t="s">
        <v>123</v>
      </c>
      <c r="W1910" t="s">
        <v>124</v>
      </c>
      <c r="X1910" t="s">
        <v>58</v>
      </c>
      <c r="Y1910">
        <v>18</v>
      </c>
      <c r="Z1910" t="s">
        <v>59</v>
      </c>
      <c r="AA1910" t="s">
        <v>59</v>
      </c>
      <c r="AB1910" t="s">
        <v>59</v>
      </c>
      <c r="AC1910" t="s">
        <v>59</v>
      </c>
      <c r="AD1910" t="s">
        <v>59</v>
      </c>
      <c r="AF1910" s="1">
        <v>34947</v>
      </c>
      <c r="AG1910" t="s">
        <v>125</v>
      </c>
      <c r="AH1910" t="s">
        <v>126</v>
      </c>
      <c r="AI1910" t="str">
        <f>"1701030"</f>
        <v>1701030</v>
      </c>
      <c r="AJ1910" t="s">
        <v>270</v>
      </c>
      <c r="AK1910">
        <v>2810361015</v>
      </c>
      <c r="AL1910" t="s">
        <v>271</v>
      </c>
      <c r="AM1910" t="s">
        <v>78</v>
      </c>
      <c r="AN1910" t="s">
        <v>78</v>
      </c>
      <c r="AO1910" t="s">
        <v>78</v>
      </c>
      <c r="AP1910" t="s">
        <v>163</v>
      </c>
      <c r="AQ1910">
        <v>2</v>
      </c>
      <c r="AR1910" t="s">
        <v>123</v>
      </c>
      <c r="AS1910" t="s">
        <v>124</v>
      </c>
      <c r="AT1910" t="s">
        <v>58</v>
      </c>
      <c r="AU1910" t="s">
        <v>68</v>
      </c>
      <c r="AV1910" t="s">
        <v>69</v>
      </c>
      <c r="AW1910" s="1">
        <v>23550</v>
      </c>
      <c r="AX1910">
        <v>2</v>
      </c>
    </row>
    <row r="1911" spans="1:50">
      <c r="A1911">
        <v>219154</v>
      </c>
      <c r="B1911" t="str">
        <f>"062792540"</f>
        <v>062792540</v>
      </c>
      <c r="C1911" t="s">
        <v>50</v>
      </c>
      <c r="D1911" t="s">
        <v>4023</v>
      </c>
      <c r="E1911" t="s">
        <v>905</v>
      </c>
      <c r="F1911" t="s">
        <v>95</v>
      </c>
      <c r="G1911" t="s">
        <v>352</v>
      </c>
      <c r="H1911" t="str">
        <f>"ΨΑΡΟΜΗΛΙΓΚΩΝ 26 "</f>
        <v xml:space="preserve">ΨΑΡΟΜΗΛΙΓΚΩΝ 26 </v>
      </c>
      <c r="I1911">
        <v>71202</v>
      </c>
      <c r="J1911">
        <v>2810285160</v>
      </c>
      <c r="K1911">
        <v>6977719532</v>
      </c>
      <c r="M1911" t="s">
        <v>4024</v>
      </c>
      <c r="N1911" t="s">
        <v>478</v>
      </c>
      <c r="O1911" t="s">
        <v>479</v>
      </c>
      <c r="R1911" t="s">
        <v>57</v>
      </c>
      <c r="S1911">
        <v>7</v>
      </c>
      <c r="T1911">
        <v>599</v>
      </c>
      <c r="U1911" s="1">
        <v>39310</v>
      </c>
      <c r="V1911" t="s">
        <v>123</v>
      </c>
      <c r="W1911" t="s">
        <v>124</v>
      </c>
      <c r="X1911" t="s">
        <v>58</v>
      </c>
      <c r="Y1911">
        <v>20</v>
      </c>
      <c r="Z1911" t="s">
        <v>59</v>
      </c>
      <c r="AA1911" t="s">
        <v>59</v>
      </c>
      <c r="AB1911" t="s">
        <v>59</v>
      </c>
      <c r="AC1911" t="s">
        <v>59</v>
      </c>
      <c r="AD1911" t="s">
        <v>59</v>
      </c>
      <c r="AF1911" s="1">
        <v>39328</v>
      </c>
      <c r="AG1911" t="s">
        <v>125</v>
      </c>
      <c r="AH1911" t="s">
        <v>126</v>
      </c>
      <c r="AI1911" t="str">
        <f>"1701040"</f>
        <v>1701040</v>
      </c>
      <c r="AJ1911" t="s">
        <v>748</v>
      </c>
      <c r="AK1911">
        <v>2810252459</v>
      </c>
      <c r="AL1911" t="s">
        <v>749</v>
      </c>
      <c r="AM1911" t="s">
        <v>78</v>
      </c>
      <c r="AN1911" t="s">
        <v>78</v>
      </c>
      <c r="AO1911" t="s">
        <v>78</v>
      </c>
      <c r="AP1911" t="s">
        <v>141</v>
      </c>
      <c r="AQ1911">
        <v>3</v>
      </c>
      <c r="AR1911" t="s">
        <v>123</v>
      </c>
      <c r="AS1911" t="s">
        <v>124</v>
      </c>
      <c r="AT1911" t="s">
        <v>58</v>
      </c>
      <c r="AU1911" t="s">
        <v>68</v>
      </c>
      <c r="AV1911" t="s">
        <v>357</v>
      </c>
      <c r="AW1911" s="1">
        <v>23612</v>
      </c>
      <c r="AX1911">
        <v>2</v>
      </c>
    </row>
    <row r="1912" spans="1:50">
      <c r="A1912">
        <v>199384</v>
      </c>
      <c r="B1912" t="str">
        <f>"044195160"</f>
        <v>044195160</v>
      </c>
      <c r="C1912" t="s">
        <v>50</v>
      </c>
      <c r="D1912" t="s">
        <v>4023</v>
      </c>
      <c r="E1912" t="s">
        <v>1001</v>
      </c>
      <c r="F1912" t="s">
        <v>99</v>
      </c>
      <c r="G1912" t="s">
        <v>250</v>
      </c>
      <c r="H1912" t="str">
        <f>"ΙΩΝΙΑΣ ΧΕΡΣΟΝΗΣΟΣ"</f>
        <v>ΙΩΝΙΑΣ ΧΕΡΣΟΝΗΣΟΣ</v>
      </c>
      <c r="J1912">
        <v>2897021057</v>
      </c>
      <c r="K1912">
        <v>6946959614</v>
      </c>
      <c r="M1912" t="s">
        <v>4025</v>
      </c>
      <c r="N1912" t="s">
        <v>337</v>
      </c>
      <c r="O1912" t="s">
        <v>338</v>
      </c>
      <c r="R1912" t="s">
        <v>57</v>
      </c>
      <c r="S1912">
        <v>8</v>
      </c>
      <c r="T1912">
        <v>206</v>
      </c>
      <c r="U1912" s="1">
        <v>37866</v>
      </c>
      <c r="V1912" t="s">
        <v>123</v>
      </c>
      <c r="W1912" t="s">
        <v>124</v>
      </c>
      <c r="X1912" t="s">
        <v>58</v>
      </c>
      <c r="Y1912">
        <v>20</v>
      </c>
      <c r="Z1912" t="s">
        <v>59</v>
      </c>
      <c r="AA1912" t="s">
        <v>59</v>
      </c>
      <c r="AB1912" t="s">
        <v>59</v>
      </c>
      <c r="AC1912" t="s">
        <v>59</v>
      </c>
      <c r="AD1912" t="s">
        <v>59</v>
      </c>
      <c r="AF1912" s="1">
        <v>37872</v>
      </c>
      <c r="AG1912" t="s">
        <v>125</v>
      </c>
      <c r="AH1912" t="s">
        <v>294</v>
      </c>
      <c r="AI1912" t="str">
        <f>"1701015"</f>
        <v>1701015</v>
      </c>
      <c r="AJ1912" t="s">
        <v>295</v>
      </c>
      <c r="AK1912">
        <v>2810761696</v>
      </c>
      <c r="AL1912" t="s">
        <v>296</v>
      </c>
      <c r="AM1912" t="s">
        <v>78</v>
      </c>
      <c r="AN1912" t="s">
        <v>219</v>
      </c>
      <c r="AO1912" t="s">
        <v>297</v>
      </c>
      <c r="AP1912" t="s">
        <v>297</v>
      </c>
      <c r="AQ1912">
        <v>10</v>
      </c>
      <c r="AR1912" t="s">
        <v>123</v>
      </c>
      <c r="AS1912" t="s">
        <v>124</v>
      </c>
      <c r="AT1912" t="s">
        <v>58</v>
      </c>
      <c r="AU1912" t="s">
        <v>68</v>
      </c>
      <c r="AV1912" t="s">
        <v>69</v>
      </c>
      <c r="AW1912" s="1">
        <v>26084</v>
      </c>
      <c r="AX1912">
        <v>2</v>
      </c>
    </row>
    <row r="1913" spans="1:50">
      <c r="A1913">
        <v>211556</v>
      </c>
      <c r="B1913" t="str">
        <f>"111417940"</f>
        <v>111417940</v>
      </c>
      <c r="C1913" t="s">
        <v>105</v>
      </c>
      <c r="D1913" t="s">
        <v>4026</v>
      </c>
      <c r="E1913" t="s">
        <v>450</v>
      </c>
      <c r="F1913" t="s">
        <v>84</v>
      </c>
      <c r="G1913" t="s">
        <v>181</v>
      </c>
      <c r="H1913" t="str">
        <f>"Βεργίνας 9 Πανόραμα -Βέροια"</f>
        <v>Βεργίνας 9 Πανόραμα -Βέροια</v>
      </c>
      <c r="I1913">
        <v>59132</v>
      </c>
      <c r="J1913">
        <v>2331062069</v>
      </c>
      <c r="K1913">
        <v>6977262644</v>
      </c>
      <c r="M1913" t="s">
        <v>4027</v>
      </c>
      <c r="N1913" t="s">
        <v>204</v>
      </c>
      <c r="O1913" t="s">
        <v>205</v>
      </c>
      <c r="R1913" t="s">
        <v>57</v>
      </c>
      <c r="S1913">
        <v>6</v>
      </c>
      <c r="T1913">
        <v>316</v>
      </c>
      <c r="U1913" s="1">
        <v>38681</v>
      </c>
      <c r="V1913" t="s">
        <v>123</v>
      </c>
      <c r="W1913" t="s">
        <v>124</v>
      </c>
      <c r="X1913" t="s">
        <v>58</v>
      </c>
      <c r="Y1913">
        <v>20</v>
      </c>
      <c r="Z1913" t="s">
        <v>59</v>
      </c>
      <c r="AA1913" t="s">
        <v>59</v>
      </c>
      <c r="AB1913" t="s">
        <v>59</v>
      </c>
      <c r="AC1913" t="s">
        <v>59</v>
      </c>
      <c r="AD1913" t="s">
        <v>59</v>
      </c>
      <c r="AF1913" s="1">
        <v>38684</v>
      </c>
      <c r="AG1913" t="s">
        <v>125</v>
      </c>
      <c r="AH1913" t="s">
        <v>126</v>
      </c>
      <c r="AI1913" t="str">
        <f>"1714010"</f>
        <v>1714010</v>
      </c>
      <c r="AJ1913" t="s">
        <v>997</v>
      </c>
      <c r="AK1913">
        <v>2894031333</v>
      </c>
      <c r="AL1913" t="s">
        <v>998</v>
      </c>
      <c r="AM1913" t="s">
        <v>78</v>
      </c>
      <c r="AN1913" t="s">
        <v>242</v>
      </c>
      <c r="AO1913" t="s">
        <v>999</v>
      </c>
      <c r="AP1913" t="s">
        <v>999</v>
      </c>
      <c r="AQ1913">
        <v>31</v>
      </c>
      <c r="AR1913" t="s">
        <v>123</v>
      </c>
      <c r="AS1913" t="s">
        <v>124</v>
      </c>
      <c r="AT1913" t="s">
        <v>58</v>
      </c>
      <c r="AU1913" t="s">
        <v>68</v>
      </c>
      <c r="AV1913" t="s">
        <v>69</v>
      </c>
      <c r="AW1913" s="1">
        <v>29438</v>
      </c>
      <c r="AX1913">
        <v>2</v>
      </c>
    </row>
    <row r="1914" spans="1:50">
      <c r="A1914">
        <v>218272</v>
      </c>
      <c r="B1914" t="str">
        <f>"065195589"</f>
        <v>065195589</v>
      </c>
      <c r="C1914" t="s">
        <v>105</v>
      </c>
      <c r="D1914" t="s">
        <v>4028</v>
      </c>
      <c r="E1914" t="s">
        <v>72</v>
      </c>
      <c r="F1914" t="s">
        <v>95</v>
      </c>
      <c r="G1914" t="s">
        <v>52</v>
      </c>
      <c r="H1914" t="str">
        <f>"ΜΟΝΗΣ ΑΡΣΑΝΙΟΥ 6 ΗΡΑΚΛΕΙΟΥ"</f>
        <v>ΜΟΝΗΣ ΑΡΣΑΝΙΟΥ 6 ΗΡΑΚΛΕΙΟΥ</v>
      </c>
      <c r="I1914">
        <v>71309</v>
      </c>
      <c r="J1914">
        <v>2810321463</v>
      </c>
      <c r="K1914">
        <v>6944398706</v>
      </c>
      <c r="M1914" t="s">
        <v>4029</v>
      </c>
      <c r="N1914" t="s">
        <v>292</v>
      </c>
      <c r="O1914" t="s">
        <v>293</v>
      </c>
      <c r="R1914" t="s">
        <v>57</v>
      </c>
      <c r="S1914">
        <v>5</v>
      </c>
      <c r="T1914">
        <v>599</v>
      </c>
      <c r="U1914" s="1">
        <v>39310</v>
      </c>
      <c r="V1914" t="s">
        <v>123</v>
      </c>
      <c r="W1914" t="s">
        <v>124</v>
      </c>
      <c r="X1914" t="s">
        <v>58</v>
      </c>
      <c r="Y1914">
        <v>21</v>
      </c>
      <c r="Z1914" t="s">
        <v>59</v>
      </c>
      <c r="AA1914" t="s">
        <v>59</v>
      </c>
      <c r="AB1914" t="s">
        <v>59</v>
      </c>
      <c r="AC1914" t="s">
        <v>59</v>
      </c>
      <c r="AD1914" t="s">
        <v>59</v>
      </c>
      <c r="AF1914" s="1">
        <v>39328</v>
      </c>
      <c r="AG1914" t="s">
        <v>125</v>
      </c>
      <c r="AH1914" t="s">
        <v>126</v>
      </c>
      <c r="AI1914" t="str">
        <f>"1726010"</f>
        <v>1726010</v>
      </c>
      <c r="AJ1914" t="s">
        <v>265</v>
      </c>
      <c r="AK1914">
        <v>2810831228</v>
      </c>
      <c r="AL1914" t="s">
        <v>266</v>
      </c>
      <c r="AM1914" t="s">
        <v>78</v>
      </c>
      <c r="AN1914" t="s">
        <v>129</v>
      </c>
      <c r="AO1914" t="s">
        <v>267</v>
      </c>
      <c r="AP1914" t="s">
        <v>267</v>
      </c>
      <c r="AQ1914">
        <v>27</v>
      </c>
      <c r="AR1914" t="s">
        <v>123</v>
      </c>
      <c r="AS1914" t="s">
        <v>124</v>
      </c>
      <c r="AT1914" t="s">
        <v>58</v>
      </c>
      <c r="AU1914" t="s">
        <v>68</v>
      </c>
      <c r="AV1914" t="s">
        <v>69</v>
      </c>
      <c r="AW1914" s="1">
        <v>27783</v>
      </c>
      <c r="AX1914">
        <v>2</v>
      </c>
    </row>
    <row r="1915" spans="1:50">
      <c r="A1915">
        <v>193286</v>
      </c>
      <c r="B1915" t="str">
        <f>"043888475"</f>
        <v>043888475</v>
      </c>
      <c r="C1915" t="s">
        <v>50</v>
      </c>
      <c r="D1915" t="s">
        <v>4030</v>
      </c>
      <c r="E1915" t="s">
        <v>4031</v>
      </c>
      <c r="F1915" t="s">
        <v>95</v>
      </c>
      <c r="G1915" t="s">
        <v>263</v>
      </c>
      <c r="H1915" t="str">
        <f>"ΔΙΓΕΝΗ ΑΚΡΙΤΑ 2 "</f>
        <v xml:space="preserve">ΔΙΓΕΝΗ ΑΚΡΙΤΑ 2 </v>
      </c>
      <c r="I1915">
        <v>71305</v>
      </c>
      <c r="J1915">
        <v>2810320049</v>
      </c>
      <c r="K1915">
        <v>6939160965</v>
      </c>
      <c r="M1915" t="s">
        <v>4032</v>
      </c>
      <c r="N1915" t="s">
        <v>146</v>
      </c>
      <c r="O1915" t="s">
        <v>147</v>
      </c>
      <c r="R1915" t="s">
        <v>57</v>
      </c>
      <c r="S1915">
        <v>11</v>
      </c>
      <c r="T1915">
        <v>193</v>
      </c>
      <c r="U1915" s="1">
        <v>37497</v>
      </c>
      <c r="V1915" t="s">
        <v>123</v>
      </c>
      <c r="W1915" t="s">
        <v>124</v>
      </c>
      <c r="X1915" t="s">
        <v>58</v>
      </c>
      <c r="Y1915">
        <v>18</v>
      </c>
      <c r="Z1915" t="s">
        <v>59</v>
      </c>
      <c r="AA1915" t="s">
        <v>59</v>
      </c>
      <c r="AB1915" t="s">
        <v>59</v>
      </c>
      <c r="AC1915" t="s">
        <v>59</v>
      </c>
      <c r="AD1915" t="s">
        <v>59</v>
      </c>
      <c r="AF1915" s="1">
        <v>37501</v>
      </c>
      <c r="AG1915" t="s">
        <v>125</v>
      </c>
      <c r="AH1915" t="s">
        <v>126</v>
      </c>
      <c r="AI1915" t="str">
        <f>"1701030"</f>
        <v>1701030</v>
      </c>
      <c r="AJ1915" t="s">
        <v>270</v>
      </c>
      <c r="AK1915">
        <v>2810361015</v>
      </c>
      <c r="AL1915" t="s">
        <v>271</v>
      </c>
      <c r="AM1915" t="s">
        <v>78</v>
      </c>
      <c r="AN1915" t="s">
        <v>78</v>
      </c>
      <c r="AO1915" t="s">
        <v>78</v>
      </c>
      <c r="AP1915" t="s">
        <v>163</v>
      </c>
      <c r="AQ1915">
        <v>2</v>
      </c>
      <c r="AR1915" t="s">
        <v>123</v>
      </c>
      <c r="AS1915" t="s">
        <v>124</v>
      </c>
      <c r="AT1915" t="s">
        <v>58</v>
      </c>
      <c r="AU1915" t="s">
        <v>68</v>
      </c>
      <c r="AV1915" t="s">
        <v>69</v>
      </c>
      <c r="AW1915" s="1">
        <v>24576</v>
      </c>
      <c r="AX1915">
        <v>2</v>
      </c>
    </row>
    <row r="1916" spans="1:50">
      <c r="B1916" t="str">
        <f>"155390483"</f>
        <v>155390483</v>
      </c>
      <c r="C1916" t="s">
        <v>50</v>
      </c>
      <c r="D1916" t="s">
        <v>4033</v>
      </c>
      <c r="E1916" t="s">
        <v>255</v>
      </c>
      <c r="F1916" t="s">
        <v>95</v>
      </c>
      <c r="G1916" t="s">
        <v>1644</v>
      </c>
      <c r="H1916" t="str">
        <f>" "</f>
        <v xml:space="preserve"> </v>
      </c>
      <c r="N1916" t="s">
        <v>119</v>
      </c>
      <c r="O1916" t="s">
        <v>120</v>
      </c>
      <c r="R1916" t="s">
        <v>121</v>
      </c>
      <c r="S1916">
        <v>1</v>
      </c>
      <c r="T1916" t="s">
        <v>122</v>
      </c>
      <c r="U1916" s="1">
        <v>43348</v>
      </c>
      <c r="V1916" t="s">
        <v>123</v>
      </c>
      <c r="W1916" t="s">
        <v>124</v>
      </c>
      <c r="X1916" t="s">
        <v>58</v>
      </c>
      <c r="Y1916">
        <v>23</v>
      </c>
      <c r="Z1916" t="s">
        <v>59</v>
      </c>
      <c r="AD1916" t="s">
        <v>59</v>
      </c>
      <c r="AF1916" s="1">
        <v>43348</v>
      </c>
      <c r="AG1916" t="s">
        <v>125</v>
      </c>
      <c r="AH1916" t="s">
        <v>126</v>
      </c>
      <c r="AI1916" t="str">
        <f>"1701052"</f>
        <v>1701052</v>
      </c>
      <c r="AJ1916" t="s">
        <v>223</v>
      </c>
      <c r="AK1916">
        <v>2810252514</v>
      </c>
      <c r="AL1916" t="s">
        <v>224</v>
      </c>
      <c r="AM1916" t="s">
        <v>78</v>
      </c>
      <c r="AN1916" t="s">
        <v>78</v>
      </c>
      <c r="AO1916" t="s">
        <v>78</v>
      </c>
      <c r="AP1916" t="s">
        <v>141</v>
      </c>
      <c r="AQ1916">
        <v>7</v>
      </c>
      <c r="AR1916" t="s">
        <v>123</v>
      </c>
      <c r="AS1916" t="s">
        <v>124</v>
      </c>
      <c r="AT1916" t="s">
        <v>58</v>
      </c>
      <c r="AU1916" t="s">
        <v>131</v>
      </c>
      <c r="AV1916" t="s">
        <v>132</v>
      </c>
      <c r="AW1916" s="1">
        <v>33601</v>
      </c>
      <c r="AX1916">
        <v>2</v>
      </c>
    </row>
    <row r="1917" spans="1:50">
      <c r="A1917">
        <v>205601</v>
      </c>
      <c r="B1917" t="str">
        <f>"046500638"</f>
        <v>046500638</v>
      </c>
      <c r="C1917" t="s">
        <v>105</v>
      </c>
      <c r="D1917" t="s">
        <v>4034</v>
      </c>
      <c r="E1917" t="s">
        <v>99</v>
      </c>
      <c r="F1917" t="s">
        <v>84</v>
      </c>
      <c r="G1917" t="s">
        <v>52</v>
      </c>
      <c r="H1917" t="str">
        <f>" "</f>
        <v xml:space="preserve"> </v>
      </c>
      <c r="J1917">
        <v>2810256004</v>
      </c>
      <c r="K1917">
        <v>6976836322</v>
      </c>
      <c r="N1917" t="s">
        <v>204</v>
      </c>
      <c r="O1917" t="s">
        <v>205</v>
      </c>
      <c r="R1917" t="s">
        <v>57</v>
      </c>
      <c r="S1917">
        <v>9</v>
      </c>
      <c r="T1917">
        <v>231</v>
      </c>
      <c r="U1917" s="1">
        <v>38230</v>
      </c>
      <c r="V1917" t="s">
        <v>123</v>
      </c>
      <c r="W1917" t="s">
        <v>124</v>
      </c>
      <c r="X1917" t="s">
        <v>58</v>
      </c>
      <c r="Y1917">
        <v>20</v>
      </c>
      <c r="Z1917" t="s">
        <v>59</v>
      </c>
      <c r="AA1917" t="s">
        <v>59</v>
      </c>
      <c r="AB1917" t="s">
        <v>59</v>
      </c>
      <c r="AC1917" t="s">
        <v>59</v>
      </c>
      <c r="AD1917" t="s">
        <v>59</v>
      </c>
      <c r="AF1917" s="1">
        <v>38232</v>
      </c>
      <c r="AG1917" t="s">
        <v>125</v>
      </c>
      <c r="AH1917" t="s">
        <v>126</v>
      </c>
      <c r="AI1917" t="str">
        <f>"1701050"</f>
        <v>1701050</v>
      </c>
      <c r="AJ1917" t="s">
        <v>660</v>
      </c>
      <c r="AK1917">
        <v>2810220729</v>
      </c>
      <c r="AL1917" t="s">
        <v>661</v>
      </c>
      <c r="AM1917" t="s">
        <v>78</v>
      </c>
      <c r="AN1917" t="s">
        <v>78</v>
      </c>
      <c r="AO1917" t="s">
        <v>78</v>
      </c>
      <c r="AP1917" t="s">
        <v>79</v>
      </c>
      <c r="AQ1917">
        <v>1</v>
      </c>
      <c r="AR1917" t="s">
        <v>123</v>
      </c>
      <c r="AS1917" t="s">
        <v>124</v>
      </c>
      <c r="AT1917" t="s">
        <v>58</v>
      </c>
      <c r="AU1917" t="s">
        <v>68</v>
      </c>
      <c r="AV1917" t="s">
        <v>69</v>
      </c>
      <c r="AW1917" s="1">
        <v>25288</v>
      </c>
      <c r="AX1917">
        <v>2</v>
      </c>
    </row>
    <row r="1918" spans="1:50">
      <c r="B1918" t="str">
        <f>"044357809"</f>
        <v>044357809</v>
      </c>
      <c r="C1918" t="s">
        <v>50</v>
      </c>
      <c r="D1918" t="s">
        <v>4035</v>
      </c>
      <c r="E1918" t="s">
        <v>860</v>
      </c>
      <c r="F1918" t="s">
        <v>315</v>
      </c>
      <c r="G1918" t="s">
        <v>52</v>
      </c>
      <c r="H1918" t="str">
        <f>"ΗΡΑΚΛΗ 31 ΗΡΑΚΛΕΙΟ"</f>
        <v>ΗΡΑΚΛΗ 31 ΗΡΑΚΛΕΙΟ</v>
      </c>
      <c r="I1918">
        <v>71305</v>
      </c>
      <c r="J1918">
        <v>2810250840</v>
      </c>
      <c r="K1918">
        <v>6974870895</v>
      </c>
      <c r="N1918" t="s">
        <v>146</v>
      </c>
      <c r="O1918" t="s">
        <v>147</v>
      </c>
      <c r="R1918" t="s">
        <v>57</v>
      </c>
      <c r="S1918">
        <v>5</v>
      </c>
      <c r="T1918" t="s">
        <v>416</v>
      </c>
      <c r="U1918" s="1">
        <v>43349</v>
      </c>
      <c r="V1918" t="s">
        <v>123</v>
      </c>
      <c r="W1918" t="s">
        <v>124</v>
      </c>
      <c r="X1918" t="s">
        <v>58</v>
      </c>
      <c r="Y1918">
        <v>21</v>
      </c>
      <c r="Z1918" t="s">
        <v>59</v>
      </c>
      <c r="AA1918" t="s">
        <v>59</v>
      </c>
      <c r="AB1918" t="s">
        <v>59</v>
      </c>
      <c r="AC1918" t="s">
        <v>59</v>
      </c>
      <c r="AD1918" t="s">
        <v>59</v>
      </c>
      <c r="AF1918" s="1">
        <v>43349</v>
      </c>
      <c r="AG1918" t="s">
        <v>125</v>
      </c>
      <c r="AH1918" t="s">
        <v>126</v>
      </c>
      <c r="AI1918" t="str">
        <f>"1711010"</f>
        <v>1711010</v>
      </c>
      <c r="AJ1918" t="s">
        <v>695</v>
      </c>
      <c r="AK1918">
        <v>2810741301</v>
      </c>
      <c r="AL1918" t="s">
        <v>696</v>
      </c>
      <c r="AM1918" t="s">
        <v>78</v>
      </c>
      <c r="AN1918" t="s">
        <v>424</v>
      </c>
      <c r="AO1918" t="s">
        <v>428</v>
      </c>
      <c r="AP1918" t="s">
        <v>429</v>
      </c>
      <c r="AQ1918">
        <v>14</v>
      </c>
      <c r="AR1918" t="s">
        <v>123</v>
      </c>
      <c r="AS1918" t="s">
        <v>124</v>
      </c>
      <c r="AT1918" t="s">
        <v>58</v>
      </c>
      <c r="AU1918" t="s">
        <v>419</v>
      </c>
      <c r="AV1918" t="s">
        <v>132</v>
      </c>
      <c r="AW1918" s="1">
        <v>24872</v>
      </c>
      <c r="AX1918">
        <v>2</v>
      </c>
    </row>
    <row r="1919" spans="1:50">
      <c r="A1919">
        <v>156738</v>
      </c>
      <c r="B1919" t="str">
        <f>"103539689"</f>
        <v>103539689</v>
      </c>
      <c r="C1919" t="s">
        <v>50</v>
      </c>
      <c r="D1919" t="s">
        <v>4035</v>
      </c>
      <c r="E1919" t="s">
        <v>54</v>
      </c>
      <c r="F1919" t="s">
        <v>166</v>
      </c>
      <c r="G1919" t="s">
        <v>610</v>
      </c>
      <c r="H1919" t="str">
        <f>"ΕΥΜΑΘΙΟΥ 86  ΗΡΑΚΛΕΙΟ"</f>
        <v>ΕΥΜΑΘΙΟΥ 86  ΗΡΑΚΛΕΙΟ</v>
      </c>
      <c r="I1919">
        <v>71409</v>
      </c>
      <c r="J1919">
        <v>2810230943</v>
      </c>
      <c r="K1919">
        <v>6973208137</v>
      </c>
      <c r="M1919" t="s">
        <v>4036</v>
      </c>
      <c r="N1919" t="s">
        <v>292</v>
      </c>
      <c r="O1919" t="s">
        <v>293</v>
      </c>
      <c r="R1919" t="s">
        <v>57</v>
      </c>
      <c r="S1919">
        <v>15</v>
      </c>
      <c r="T1919">
        <v>188</v>
      </c>
      <c r="U1919" s="1">
        <v>32752</v>
      </c>
      <c r="V1919" t="s">
        <v>123</v>
      </c>
      <c r="W1919" t="s">
        <v>124</v>
      </c>
      <c r="X1919" t="s">
        <v>58</v>
      </c>
      <c r="Y1919">
        <v>18</v>
      </c>
      <c r="Z1919" t="s">
        <v>59</v>
      </c>
      <c r="AA1919" t="s">
        <v>59</v>
      </c>
      <c r="AB1919" t="s">
        <v>59</v>
      </c>
      <c r="AC1919" t="s">
        <v>59</v>
      </c>
      <c r="AD1919" t="s">
        <v>59</v>
      </c>
      <c r="AF1919" s="1">
        <v>32757</v>
      </c>
      <c r="AG1919" t="s">
        <v>125</v>
      </c>
      <c r="AH1919" t="s">
        <v>126</v>
      </c>
      <c r="AI1919" t="str">
        <f>"1701020"</f>
        <v>1701020</v>
      </c>
      <c r="AJ1919" t="s">
        <v>323</v>
      </c>
      <c r="AK1919">
        <v>2810252111</v>
      </c>
      <c r="AL1919" t="s">
        <v>324</v>
      </c>
      <c r="AM1919" t="s">
        <v>78</v>
      </c>
      <c r="AN1919" t="s">
        <v>78</v>
      </c>
      <c r="AO1919" t="s">
        <v>78</v>
      </c>
      <c r="AP1919" t="s">
        <v>163</v>
      </c>
      <c r="AQ1919">
        <v>3</v>
      </c>
      <c r="AR1919" t="s">
        <v>123</v>
      </c>
      <c r="AS1919" t="s">
        <v>124</v>
      </c>
      <c r="AT1919" t="s">
        <v>58</v>
      </c>
      <c r="AU1919" t="s">
        <v>68</v>
      </c>
      <c r="AV1919" t="s">
        <v>69</v>
      </c>
      <c r="AW1919" s="1">
        <v>21394</v>
      </c>
      <c r="AX1919">
        <v>2</v>
      </c>
    </row>
    <row r="1920" spans="1:50">
      <c r="A1920">
        <v>197945</v>
      </c>
      <c r="B1920" t="str">
        <f>"062673132"</f>
        <v>062673132</v>
      </c>
      <c r="C1920" t="s">
        <v>50</v>
      </c>
      <c r="D1920" t="s">
        <v>4037</v>
      </c>
      <c r="E1920" t="s">
        <v>1497</v>
      </c>
      <c r="F1920" t="s">
        <v>609</v>
      </c>
      <c r="G1920" t="s">
        <v>372</v>
      </c>
      <c r="H1920" t="str">
        <f>"ΚΟΔΡΟΥ 13 "</f>
        <v xml:space="preserve">ΚΟΔΡΟΥ 13 </v>
      </c>
      <c r="I1920">
        <v>71307</v>
      </c>
      <c r="J1920">
        <v>2810234906</v>
      </c>
      <c r="K1920">
        <v>6947812843</v>
      </c>
      <c r="M1920" t="s">
        <v>4038</v>
      </c>
      <c r="N1920" t="s">
        <v>292</v>
      </c>
      <c r="O1920" t="s">
        <v>293</v>
      </c>
      <c r="R1920" t="s">
        <v>57</v>
      </c>
      <c r="S1920">
        <v>9</v>
      </c>
      <c r="T1920">
        <v>206</v>
      </c>
      <c r="U1920" s="1">
        <v>37866</v>
      </c>
      <c r="V1920" t="s">
        <v>123</v>
      </c>
      <c r="W1920" t="s">
        <v>124</v>
      </c>
      <c r="X1920" t="s">
        <v>58</v>
      </c>
      <c r="Y1920">
        <v>20</v>
      </c>
      <c r="Z1920" t="s">
        <v>59</v>
      </c>
      <c r="AA1920" t="s">
        <v>59</v>
      </c>
      <c r="AB1920" t="s">
        <v>59</v>
      </c>
      <c r="AC1920" t="s">
        <v>59</v>
      </c>
      <c r="AD1920" t="s">
        <v>59</v>
      </c>
      <c r="AF1920" s="1">
        <v>37866</v>
      </c>
      <c r="AG1920" t="s">
        <v>148</v>
      </c>
      <c r="AH1920" t="s">
        <v>149</v>
      </c>
      <c r="AI1920" t="str">
        <f>"1790210"</f>
        <v>1790210</v>
      </c>
      <c r="AJ1920" t="s">
        <v>417</v>
      </c>
      <c r="AK1920">
        <v>2810252172</v>
      </c>
      <c r="AL1920" t="s">
        <v>418</v>
      </c>
      <c r="AM1920" t="s">
        <v>78</v>
      </c>
      <c r="AN1920" t="s">
        <v>78</v>
      </c>
      <c r="AO1920" t="s">
        <v>78</v>
      </c>
      <c r="AP1920" t="s">
        <v>141</v>
      </c>
      <c r="AQ1920">
        <v>7</v>
      </c>
      <c r="AR1920" t="s">
        <v>123</v>
      </c>
      <c r="AS1920" t="s">
        <v>124</v>
      </c>
      <c r="AT1920" t="s">
        <v>58</v>
      </c>
      <c r="AU1920" t="s">
        <v>68</v>
      </c>
      <c r="AV1920" t="s">
        <v>69</v>
      </c>
      <c r="AW1920" s="1">
        <v>22950</v>
      </c>
      <c r="AX1920">
        <v>2</v>
      </c>
    </row>
    <row r="1921" spans="1:50">
      <c r="A1921">
        <v>225845</v>
      </c>
      <c r="B1921" t="str">
        <f>"123151822"</f>
        <v>123151822</v>
      </c>
      <c r="C1921" t="s">
        <v>50</v>
      </c>
      <c r="D1921" t="s">
        <v>4037</v>
      </c>
      <c r="E1921" t="s">
        <v>1189</v>
      </c>
      <c r="F1921" t="s">
        <v>72</v>
      </c>
      <c r="G1921" t="s">
        <v>191</v>
      </c>
      <c r="H1921" t="str">
        <f>"ΦΩΤΗ ΑΪΔΗΝΛΗ 30 ΜΑΣΤΑΜΠΑΣ"</f>
        <v>ΦΩΤΗ ΑΪΔΗΝΛΗ 30 ΜΑΣΤΑΜΠΑΣ</v>
      </c>
      <c r="I1921">
        <v>71304</v>
      </c>
      <c r="J1921">
        <v>2810257928</v>
      </c>
      <c r="K1921">
        <v>6944989757</v>
      </c>
      <c r="M1921" t="s">
        <v>4039</v>
      </c>
      <c r="N1921" t="s">
        <v>146</v>
      </c>
      <c r="O1921" t="s">
        <v>147</v>
      </c>
      <c r="R1921" t="s">
        <v>57</v>
      </c>
      <c r="S1921">
        <v>6</v>
      </c>
      <c r="T1921">
        <v>862</v>
      </c>
      <c r="U1921" s="1">
        <v>39706</v>
      </c>
      <c r="V1921" t="s">
        <v>123</v>
      </c>
      <c r="W1921" t="s">
        <v>124</v>
      </c>
      <c r="X1921" t="s">
        <v>58</v>
      </c>
      <c r="Y1921">
        <v>21</v>
      </c>
      <c r="Z1921" t="s">
        <v>59</v>
      </c>
      <c r="AA1921" t="s">
        <v>59</v>
      </c>
      <c r="AB1921" t="s">
        <v>59</v>
      </c>
      <c r="AC1921" t="s">
        <v>59</v>
      </c>
      <c r="AD1921" t="s">
        <v>59</v>
      </c>
      <c r="AF1921" s="1">
        <v>39709</v>
      </c>
      <c r="AG1921" t="s">
        <v>148</v>
      </c>
      <c r="AH1921" t="s">
        <v>149</v>
      </c>
      <c r="AI1921" t="str">
        <f>"1765010"</f>
        <v>1765010</v>
      </c>
      <c r="AJ1921" t="s">
        <v>803</v>
      </c>
      <c r="AK1921">
        <v>2893031093</v>
      </c>
      <c r="AL1921" t="s">
        <v>804</v>
      </c>
      <c r="AM1921" t="s">
        <v>78</v>
      </c>
      <c r="AN1921" t="s">
        <v>405</v>
      </c>
      <c r="AO1921" t="s">
        <v>805</v>
      </c>
      <c r="AP1921" t="s">
        <v>806</v>
      </c>
      <c r="AQ1921">
        <v>25</v>
      </c>
      <c r="AR1921" t="s">
        <v>123</v>
      </c>
      <c r="AS1921" t="s">
        <v>124</v>
      </c>
      <c r="AT1921" t="s">
        <v>58</v>
      </c>
      <c r="AU1921" t="s">
        <v>68</v>
      </c>
      <c r="AV1921" t="s">
        <v>69</v>
      </c>
      <c r="AW1921" s="1">
        <v>30309</v>
      </c>
      <c r="AX1921">
        <v>2</v>
      </c>
    </row>
    <row r="1922" spans="1:50">
      <c r="A1922">
        <v>185237</v>
      </c>
      <c r="B1922" t="str">
        <f>"044191633"</f>
        <v>044191633</v>
      </c>
      <c r="C1922" t="s">
        <v>50</v>
      </c>
      <c r="D1922" t="s">
        <v>4037</v>
      </c>
      <c r="E1922" t="s">
        <v>255</v>
      </c>
      <c r="F1922" t="s">
        <v>95</v>
      </c>
      <c r="G1922" t="s">
        <v>52</v>
      </c>
      <c r="H1922" t="str">
        <f>"16 ΜΑΡΤΥΡΩΝ 8 ΑΓΙΑ ΜΑΡΙΝΑ"</f>
        <v>16 ΜΑΡΤΥΡΩΝ 8 ΑΓΙΑ ΜΑΡΙΝΑ</v>
      </c>
      <c r="I1922">
        <v>71414</v>
      </c>
      <c r="J1922">
        <v>2810263693</v>
      </c>
      <c r="K1922">
        <v>6977040282</v>
      </c>
      <c r="M1922" t="s">
        <v>4040</v>
      </c>
      <c r="N1922" t="s">
        <v>204</v>
      </c>
      <c r="O1922" t="s">
        <v>205</v>
      </c>
      <c r="R1922" t="s">
        <v>57</v>
      </c>
      <c r="S1922">
        <v>13</v>
      </c>
      <c r="T1922" t="s">
        <v>1773</v>
      </c>
      <c r="U1922" s="1">
        <v>36039</v>
      </c>
      <c r="V1922" t="s">
        <v>123</v>
      </c>
      <c r="W1922" t="s">
        <v>124</v>
      </c>
      <c r="X1922" t="s">
        <v>58</v>
      </c>
      <c r="Y1922">
        <v>18</v>
      </c>
      <c r="Z1922" t="s">
        <v>59</v>
      </c>
      <c r="AA1922" t="s">
        <v>59</v>
      </c>
      <c r="AB1922" t="s">
        <v>59</v>
      </c>
      <c r="AC1922" t="s">
        <v>59</v>
      </c>
      <c r="AD1922" t="s">
        <v>59</v>
      </c>
      <c r="AF1922" s="1">
        <v>36409</v>
      </c>
      <c r="AG1922" t="s">
        <v>137</v>
      </c>
      <c r="AH1922" t="s">
        <v>138</v>
      </c>
      <c r="AI1922" t="str">
        <f>"1740100"</f>
        <v>1740100</v>
      </c>
      <c r="AJ1922" t="s">
        <v>857</v>
      </c>
      <c r="AK1922">
        <v>2810360741</v>
      </c>
      <c r="AL1922" t="s">
        <v>858</v>
      </c>
      <c r="AM1922" t="s">
        <v>78</v>
      </c>
      <c r="AN1922" t="s">
        <v>78</v>
      </c>
      <c r="AO1922" t="s">
        <v>78</v>
      </c>
      <c r="AP1922" t="s">
        <v>163</v>
      </c>
      <c r="AQ1922">
        <v>5</v>
      </c>
      <c r="AR1922" t="s">
        <v>123</v>
      </c>
      <c r="AS1922" t="s">
        <v>124</v>
      </c>
      <c r="AT1922" t="s">
        <v>58</v>
      </c>
      <c r="AU1922" t="s">
        <v>68</v>
      </c>
      <c r="AV1922" t="s">
        <v>69</v>
      </c>
      <c r="AW1922" s="1">
        <v>24747</v>
      </c>
      <c r="AX1922">
        <v>2</v>
      </c>
    </row>
    <row r="1923" spans="1:50">
      <c r="A1923">
        <v>153002</v>
      </c>
      <c r="B1923" t="str">
        <f>"027255739"</f>
        <v>027255739</v>
      </c>
      <c r="C1923" t="s">
        <v>50</v>
      </c>
      <c r="D1923" t="s">
        <v>4037</v>
      </c>
      <c r="E1923" t="s">
        <v>52</v>
      </c>
      <c r="F1923" t="s">
        <v>459</v>
      </c>
      <c r="G1923" t="s">
        <v>181</v>
      </c>
      <c r="H1923" t="str">
        <f>"ΙΕΡΟΛΟΧΙΤΩΝ 97 "</f>
        <v xml:space="preserve">ΙΕΡΟΛΟΧΙΤΩΝ 97 </v>
      </c>
      <c r="I1923">
        <v>71305</v>
      </c>
      <c r="J1923">
        <v>2810325949</v>
      </c>
      <c r="K1923">
        <v>6972098304</v>
      </c>
      <c r="M1923" t="s">
        <v>4041</v>
      </c>
      <c r="N1923" t="s">
        <v>146</v>
      </c>
      <c r="O1923" t="s">
        <v>147</v>
      </c>
      <c r="R1923" t="s">
        <v>57</v>
      </c>
      <c r="S1923">
        <v>17</v>
      </c>
      <c r="T1923">
        <v>166</v>
      </c>
      <c r="U1923" s="1">
        <v>32010</v>
      </c>
      <c r="V1923" t="s">
        <v>123</v>
      </c>
      <c r="W1923" t="s">
        <v>124</v>
      </c>
      <c r="X1923" t="s">
        <v>58</v>
      </c>
      <c r="Y1923">
        <v>18</v>
      </c>
      <c r="Z1923" t="s">
        <v>59</v>
      </c>
      <c r="AA1923" t="s">
        <v>59</v>
      </c>
      <c r="AB1923" t="s">
        <v>59</v>
      </c>
      <c r="AC1923" t="s">
        <v>59</v>
      </c>
      <c r="AD1923" t="s">
        <v>59</v>
      </c>
      <c r="AF1923" s="1">
        <v>32023</v>
      </c>
      <c r="AG1923" t="s">
        <v>148</v>
      </c>
      <c r="AH1923" t="s">
        <v>149</v>
      </c>
      <c r="AI1923" t="str">
        <f>"1751040"</f>
        <v>1751040</v>
      </c>
      <c r="AJ1923" t="s">
        <v>178</v>
      </c>
      <c r="AK1923">
        <v>2810252495</v>
      </c>
      <c r="AL1923" t="s">
        <v>179</v>
      </c>
      <c r="AM1923" t="s">
        <v>78</v>
      </c>
      <c r="AN1923" t="s">
        <v>78</v>
      </c>
      <c r="AO1923" t="s">
        <v>78</v>
      </c>
      <c r="AP1923" t="s">
        <v>141</v>
      </c>
      <c r="AQ1923">
        <v>3</v>
      </c>
      <c r="AR1923" t="s">
        <v>123</v>
      </c>
      <c r="AS1923" t="s">
        <v>124</v>
      </c>
      <c r="AT1923" t="s">
        <v>58</v>
      </c>
      <c r="AU1923" t="s">
        <v>68</v>
      </c>
      <c r="AV1923" t="s">
        <v>69</v>
      </c>
      <c r="AW1923" s="1">
        <v>21921</v>
      </c>
      <c r="AX1923">
        <v>2</v>
      </c>
    </row>
    <row r="1924" spans="1:50">
      <c r="A1924">
        <v>229190</v>
      </c>
      <c r="B1924" t="str">
        <f>"078975282"</f>
        <v>078975282</v>
      </c>
      <c r="C1924" t="s">
        <v>50</v>
      </c>
      <c r="D1924" t="s">
        <v>4037</v>
      </c>
      <c r="E1924" t="s">
        <v>52</v>
      </c>
      <c r="F1924" t="s">
        <v>95</v>
      </c>
      <c r="G1924" t="s">
        <v>809</v>
      </c>
      <c r="H1924" t="str">
        <f>"ΤΣΑΝΤΑΡΛΗ 3 Ν. ΣΜΥΡΝΗ ΑΤΤΙΚΗΣ"</f>
        <v>ΤΣΑΝΤΑΡΛΗ 3 Ν. ΣΜΥΡΝΗ ΑΤΤΙΚΗΣ</v>
      </c>
      <c r="I1924">
        <v>17123</v>
      </c>
      <c r="J1924">
        <v>2109326028</v>
      </c>
      <c r="K1924">
        <v>6932766346</v>
      </c>
      <c r="M1924" t="s">
        <v>4042</v>
      </c>
      <c r="N1924" t="s">
        <v>306</v>
      </c>
      <c r="O1924" t="s">
        <v>307</v>
      </c>
      <c r="R1924" t="s">
        <v>57</v>
      </c>
      <c r="S1924">
        <v>11</v>
      </c>
      <c r="T1924">
        <v>720</v>
      </c>
      <c r="U1924" s="1">
        <v>40059</v>
      </c>
      <c r="V1924" t="s">
        <v>123</v>
      </c>
      <c r="W1924" t="s">
        <v>124</v>
      </c>
      <c r="X1924" t="s">
        <v>58</v>
      </c>
      <c r="Y1924">
        <v>20</v>
      </c>
      <c r="Z1924" t="s">
        <v>59</v>
      </c>
      <c r="AA1924" t="s">
        <v>59</v>
      </c>
      <c r="AB1924" t="s">
        <v>59</v>
      </c>
      <c r="AC1924" t="s">
        <v>59</v>
      </c>
      <c r="AD1924" t="s">
        <v>452</v>
      </c>
      <c r="AE1924" s="1">
        <v>43708</v>
      </c>
      <c r="AF1924" s="1">
        <v>40060</v>
      </c>
      <c r="AG1924" t="s">
        <v>148</v>
      </c>
      <c r="AH1924" t="s">
        <v>149</v>
      </c>
      <c r="AI1924" t="str">
        <f>"1754010"</f>
        <v>1754010</v>
      </c>
      <c r="AJ1924" t="s">
        <v>1167</v>
      </c>
      <c r="AK1924">
        <v>2895022277</v>
      </c>
      <c r="AL1924" t="s">
        <v>1168</v>
      </c>
      <c r="AM1924" t="s">
        <v>78</v>
      </c>
      <c r="AN1924" t="s">
        <v>482</v>
      </c>
      <c r="AO1924" t="s">
        <v>482</v>
      </c>
      <c r="AP1924" t="s">
        <v>483</v>
      </c>
      <c r="AQ1924">
        <v>16</v>
      </c>
      <c r="AR1924" t="s">
        <v>123</v>
      </c>
      <c r="AS1924" t="s">
        <v>124</v>
      </c>
      <c r="AT1924" t="s">
        <v>58</v>
      </c>
      <c r="AU1924" t="s">
        <v>68</v>
      </c>
      <c r="AV1924" t="s">
        <v>69</v>
      </c>
      <c r="AW1924" s="1">
        <v>26718</v>
      </c>
      <c r="AX1924">
        <v>2</v>
      </c>
    </row>
    <row r="1925" spans="1:50">
      <c r="A1925">
        <v>178269</v>
      </c>
      <c r="B1925" t="str">
        <f>"052499049"</f>
        <v>052499049</v>
      </c>
      <c r="C1925" t="s">
        <v>50</v>
      </c>
      <c r="D1925" t="s">
        <v>4037</v>
      </c>
      <c r="E1925" t="s">
        <v>52</v>
      </c>
      <c r="F1925" t="s">
        <v>95</v>
      </c>
      <c r="G1925" t="s">
        <v>255</v>
      </c>
      <c r="H1925" t="str">
        <f>"ΧΑΙΡΕΤΙΔΟΣ 22 ΗΡΑΚΛΕΙΟΥ"</f>
        <v>ΧΑΙΡΕΤΙΔΟΣ 22 ΗΡΑΚΛΕΙΟΥ</v>
      </c>
      <c r="I1925">
        <v>71201</v>
      </c>
      <c r="J1925">
        <v>2810280908</v>
      </c>
      <c r="K1925">
        <v>6945035173</v>
      </c>
      <c r="M1925" t="s">
        <v>4043</v>
      </c>
      <c r="N1925" t="s">
        <v>204</v>
      </c>
      <c r="O1925" t="s">
        <v>205</v>
      </c>
      <c r="P1925" t="s">
        <v>292</v>
      </c>
      <c r="Q1925" t="s">
        <v>293</v>
      </c>
      <c r="R1925" t="s">
        <v>57</v>
      </c>
      <c r="S1925">
        <v>11</v>
      </c>
      <c r="T1925">
        <v>180</v>
      </c>
      <c r="U1925" s="1">
        <v>35674</v>
      </c>
      <c r="V1925" t="s">
        <v>123</v>
      </c>
      <c r="W1925" t="s">
        <v>124</v>
      </c>
      <c r="X1925" t="s">
        <v>58</v>
      </c>
      <c r="Y1925">
        <v>18</v>
      </c>
      <c r="Z1925" t="s">
        <v>59</v>
      </c>
      <c r="AA1925" t="s">
        <v>59</v>
      </c>
      <c r="AB1925" t="s">
        <v>59</v>
      </c>
      <c r="AC1925" t="s">
        <v>59</v>
      </c>
      <c r="AD1925" t="s">
        <v>59</v>
      </c>
      <c r="AF1925" s="1">
        <v>35678</v>
      </c>
      <c r="AG1925" t="s">
        <v>148</v>
      </c>
      <c r="AH1925" t="s">
        <v>149</v>
      </c>
      <c r="AI1925" t="str">
        <f>"1751052"</f>
        <v>1751052</v>
      </c>
      <c r="AJ1925" t="s">
        <v>328</v>
      </c>
      <c r="AK1925">
        <v>2810213762</v>
      </c>
      <c r="AL1925" t="s">
        <v>329</v>
      </c>
      <c r="AM1925" t="s">
        <v>78</v>
      </c>
      <c r="AN1925" t="s">
        <v>78</v>
      </c>
      <c r="AO1925" t="s">
        <v>78</v>
      </c>
      <c r="AP1925" t="s">
        <v>163</v>
      </c>
      <c r="AQ1925">
        <v>8</v>
      </c>
      <c r="AR1925" t="s">
        <v>123</v>
      </c>
      <c r="AS1925" t="s">
        <v>124</v>
      </c>
      <c r="AT1925" t="s">
        <v>58</v>
      </c>
      <c r="AU1925" t="s">
        <v>68</v>
      </c>
      <c r="AV1925" t="s">
        <v>69</v>
      </c>
      <c r="AW1925" s="1">
        <v>24910</v>
      </c>
      <c r="AX1925">
        <v>2</v>
      </c>
    </row>
    <row r="1926" spans="1:50">
      <c r="B1926" t="str">
        <f>"055495093"</f>
        <v>055495093</v>
      </c>
      <c r="C1926" t="s">
        <v>50</v>
      </c>
      <c r="D1926" t="s">
        <v>4037</v>
      </c>
      <c r="E1926" t="s">
        <v>52</v>
      </c>
      <c r="F1926" t="s">
        <v>609</v>
      </c>
      <c r="G1926" t="s">
        <v>372</v>
      </c>
      <c r="H1926" t="str">
        <f>"ΜΙΧ. ΑΠΟΣΤΟΛΗ 29 ΠΑΤΕΛΕΣ"</f>
        <v>ΜΙΧ. ΑΠΟΣΤΟΛΗ 29 ΠΑΤΕΛΕΣ</v>
      </c>
      <c r="I1926">
        <v>71307</v>
      </c>
      <c r="J1926">
        <v>2810321908</v>
      </c>
      <c r="K1926">
        <v>6938623275</v>
      </c>
      <c r="M1926" t="s">
        <v>4044</v>
      </c>
      <c r="N1926" t="s">
        <v>119</v>
      </c>
      <c r="O1926" t="s">
        <v>120</v>
      </c>
      <c r="R1926" t="s">
        <v>159</v>
      </c>
      <c r="S1926">
        <v>5</v>
      </c>
      <c r="T1926" t="s">
        <v>344</v>
      </c>
      <c r="U1926" s="1">
        <v>43348</v>
      </c>
      <c r="V1926" t="s">
        <v>123</v>
      </c>
      <c r="W1926" t="s">
        <v>124</v>
      </c>
      <c r="X1926" t="s">
        <v>58</v>
      </c>
      <c r="Y1926">
        <v>21</v>
      </c>
      <c r="Z1926" t="s">
        <v>59</v>
      </c>
      <c r="AA1926" t="s">
        <v>59</v>
      </c>
      <c r="AB1926" t="s">
        <v>59</v>
      </c>
      <c r="AC1926" t="s">
        <v>59</v>
      </c>
      <c r="AD1926" t="s">
        <v>59</v>
      </c>
      <c r="AF1926" s="1">
        <v>43348</v>
      </c>
      <c r="AG1926" t="s">
        <v>345</v>
      </c>
      <c r="AH1926" t="s">
        <v>346</v>
      </c>
      <c r="AI1926" t="str">
        <f>"1741001"</f>
        <v>1741001</v>
      </c>
      <c r="AJ1926" t="s">
        <v>655</v>
      </c>
      <c r="AK1926">
        <v>2810360436</v>
      </c>
      <c r="AL1926" t="s">
        <v>656</v>
      </c>
      <c r="AM1926" t="s">
        <v>78</v>
      </c>
      <c r="AN1926" t="s">
        <v>78</v>
      </c>
      <c r="AO1926" t="s">
        <v>78</v>
      </c>
      <c r="AP1926" t="s">
        <v>141</v>
      </c>
      <c r="AQ1926">
        <v>11</v>
      </c>
      <c r="AR1926" t="s">
        <v>123</v>
      </c>
      <c r="AS1926" t="s">
        <v>124</v>
      </c>
      <c r="AT1926" t="s">
        <v>58</v>
      </c>
      <c r="AU1926" t="s">
        <v>350</v>
      </c>
      <c r="AV1926" t="s">
        <v>132</v>
      </c>
      <c r="AW1926" s="1">
        <v>24162</v>
      </c>
      <c r="AX1926">
        <v>2</v>
      </c>
    </row>
    <row r="1927" spans="1:50">
      <c r="A1927">
        <v>217685</v>
      </c>
      <c r="B1927" t="str">
        <f>"063061069"</f>
        <v>063061069</v>
      </c>
      <c r="C1927" t="s">
        <v>50</v>
      </c>
      <c r="D1927" t="s">
        <v>4037</v>
      </c>
      <c r="E1927" t="s">
        <v>52</v>
      </c>
      <c r="F1927" t="s">
        <v>53</v>
      </c>
      <c r="G1927" t="s">
        <v>188</v>
      </c>
      <c r="H1927" t="str">
        <f>"ΒΑΣΙΛΕΙΟΥ ΠΛΑΓΙΩΤΑΚΗ 4 ΜΕΣΑΜΠΕΛΙΕΣ"</f>
        <v>ΒΑΣΙΛΕΙΟΥ ΠΛΑΓΙΩΤΑΚΗ 4 ΜΕΣΑΜΠΕΛΙΕΣ</v>
      </c>
      <c r="I1927">
        <v>71404</v>
      </c>
      <c r="J1927">
        <v>2810235156</v>
      </c>
      <c r="K1927">
        <v>6944154539</v>
      </c>
      <c r="M1927" t="s">
        <v>4045</v>
      </c>
      <c r="N1927" t="s">
        <v>146</v>
      </c>
      <c r="O1927" t="s">
        <v>147</v>
      </c>
      <c r="R1927" t="s">
        <v>57</v>
      </c>
      <c r="S1927">
        <v>6</v>
      </c>
      <c r="T1927">
        <v>599</v>
      </c>
      <c r="U1927" s="1">
        <v>39310</v>
      </c>
      <c r="V1927" t="s">
        <v>123</v>
      </c>
      <c r="W1927" t="s">
        <v>124</v>
      </c>
      <c r="X1927" t="s">
        <v>58</v>
      </c>
      <c r="Y1927">
        <v>20</v>
      </c>
      <c r="Z1927" t="s">
        <v>59</v>
      </c>
      <c r="AA1927" t="s">
        <v>59</v>
      </c>
      <c r="AB1927" t="s">
        <v>59</v>
      </c>
      <c r="AC1927" t="s">
        <v>59</v>
      </c>
      <c r="AD1927" t="s">
        <v>59</v>
      </c>
      <c r="AF1927" s="1">
        <v>39328</v>
      </c>
      <c r="AG1927" t="s">
        <v>148</v>
      </c>
      <c r="AH1927" t="s">
        <v>149</v>
      </c>
      <c r="AI1927" t="str">
        <f>"1751051"</f>
        <v>1751051</v>
      </c>
      <c r="AJ1927" t="s">
        <v>259</v>
      </c>
      <c r="AK1927">
        <v>2810251794</v>
      </c>
      <c r="AL1927" t="s">
        <v>260</v>
      </c>
      <c r="AM1927" t="s">
        <v>78</v>
      </c>
      <c r="AN1927" t="s">
        <v>78</v>
      </c>
      <c r="AO1927" t="s">
        <v>78</v>
      </c>
      <c r="AP1927" t="s">
        <v>141</v>
      </c>
      <c r="AQ1927">
        <v>7</v>
      </c>
      <c r="AR1927" t="s">
        <v>123</v>
      </c>
      <c r="AS1927" t="s">
        <v>124</v>
      </c>
      <c r="AT1927" t="s">
        <v>58</v>
      </c>
      <c r="AU1927" t="s">
        <v>68</v>
      </c>
      <c r="AV1927" t="s">
        <v>69</v>
      </c>
      <c r="AW1927" s="1">
        <v>26229</v>
      </c>
      <c r="AX1927">
        <v>2</v>
      </c>
    </row>
    <row r="1928" spans="1:50">
      <c r="A1928">
        <v>210174</v>
      </c>
      <c r="B1928" t="str">
        <f>"046118591"</f>
        <v>046118591</v>
      </c>
      <c r="C1928" t="s">
        <v>105</v>
      </c>
      <c r="D1928" t="s">
        <v>4046</v>
      </c>
      <c r="E1928" t="s">
        <v>383</v>
      </c>
      <c r="F1928" t="s">
        <v>95</v>
      </c>
      <c r="G1928" t="s">
        <v>513</v>
      </c>
      <c r="H1928" t="str">
        <f>"ΜΕΛ. ΜΕΡΚΟΥΡΗ 36 ΗΡΑΚΛΕΙΟ"</f>
        <v>ΜΕΛ. ΜΕΡΚΟΥΡΗ 36 ΗΡΑΚΛΕΙΟ</v>
      </c>
      <c r="I1928">
        <v>71305</v>
      </c>
      <c r="J1928">
        <v>2810312198</v>
      </c>
      <c r="K1928">
        <v>6944468235</v>
      </c>
      <c r="N1928" t="s">
        <v>199</v>
      </c>
      <c r="O1928" t="s">
        <v>200</v>
      </c>
      <c r="R1928" t="s">
        <v>57</v>
      </c>
      <c r="S1928">
        <v>6</v>
      </c>
      <c r="T1928">
        <v>228</v>
      </c>
      <c r="U1928" s="1">
        <v>38610</v>
      </c>
      <c r="V1928" t="s">
        <v>123</v>
      </c>
      <c r="W1928" t="s">
        <v>124</v>
      </c>
      <c r="X1928" t="s">
        <v>58</v>
      </c>
      <c r="Y1928">
        <v>20</v>
      </c>
      <c r="Z1928" t="s">
        <v>59</v>
      </c>
      <c r="AA1928" t="s">
        <v>59</v>
      </c>
      <c r="AB1928" t="s">
        <v>59</v>
      </c>
      <c r="AC1928" t="s">
        <v>59</v>
      </c>
      <c r="AD1928" t="s">
        <v>59</v>
      </c>
      <c r="AF1928" s="1">
        <v>38610</v>
      </c>
      <c r="AG1928" t="s">
        <v>125</v>
      </c>
      <c r="AH1928" t="s">
        <v>126</v>
      </c>
      <c r="AI1928" t="str">
        <f>"1701057"</f>
        <v>1701057</v>
      </c>
      <c r="AJ1928" t="s">
        <v>379</v>
      </c>
      <c r="AK1928">
        <v>2810234488</v>
      </c>
      <c r="AL1928" t="s">
        <v>380</v>
      </c>
      <c r="AM1928" t="s">
        <v>78</v>
      </c>
      <c r="AN1928" t="s">
        <v>78</v>
      </c>
      <c r="AO1928" t="s">
        <v>78</v>
      </c>
      <c r="AP1928" t="s">
        <v>163</v>
      </c>
      <c r="AQ1928">
        <v>8</v>
      </c>
      <c r="AR1928" t="s">
        <v>123</v>
      </c>
      <c r="AS1928" t="s">
        <v>124</v>
      </c>
      <c r="AT1928" t="s">
        <v>58</v>
      </c>
      <c r="AU1928" t="s">
        <v>68</v>
      </c>
      <c r="AV1928" t="s">
        <v>69</v>
      </c>
      <c r="AW1928" s="1">
        <v>24401</v>
      </c>
      <c r="AX1928">
        <v>2</v>
      </c>
    </row>
    <row r="1929" spans="1:50">
      <c r="A1929">
        <v>210175</v>
      </c>
      <c r="B1929" t="str">
        <f>"110117538"</f>
        <v>110117538</v>
      </c>
      <c r="C1929" t="s">
        <v>105</v>
      </c>
      <c r="D1929" t="s">
        <v>4046</v>
      </c>
      <c r="E1929" t="s">
        <v>166</v>
      </c>
      <c r="F1929" t="s">
        <v>95</v>
      </c>
      <c r="G1929" t="s">
        <v>382</v>
      </c>
      <c r="H1929" t="str">
        <f>"ΣΚΛΑΒΟΚΑΜΠΟΥ 95 ΗΡΑΚΛΕΙΟ"</f>
        <v>ΣΚΛΑΒΟΚΑΜΠΟΥ 95 ΗΡΑΚΛΕΙΟ</v>
      </c>
      <c r="I1929">
        <v>71306</v>
      </c>
      <c r="J1929">
        <v>2810321632</v>
      </c>
      <c r="K1929">
        <v>6945512884</v>
      </c>
      <c r="N1929" t="s">
        <v>232</v>
      </c>
      <c r="O1929" t="s">
        <v>233</v>
      </c>
      <c r="R1929" t="s">
        <v>57</v>
      </c>
      <c r="S1929">
        <v>8</v>
      </c>
      <c r="T1929">
        <v>228</v>
      </c>
      <c r="U1929" s="1">
        <v>38608</v>
      </c>
      <c r="V1929" t="s">
        <v>123</v>
      </c>
      <c r="W1929" t="s">
        <v>124</v>
      </c>
      <c r="X1929" t="s">
        <v>58</v>
      </c>
      <c r="Y1929">
        <v>20</v>
      </c>
      <c r="Z1929" t="s">
        <v>59</v>
      </c>
      <c r="AA1929" t="s">
        <v>59</v>
      </c>
      <c r="AB1929" t="s">
        <v>59</v>
      </c>
      <c r="AC1929" t="s">
        <v>59</v>
      </c>
      <c r="AD1929" t="s">
        <v>59</v>
      </c>
      <c r="AF1929" s="1">
        <v>38609</v>
      </c>
      <c r="AG1929" t="s">
        <v>60</v>
      </c>
      <c r="AH1929" t="s">
        <v>453</v>
      </c>
      <c r="AI1929" t="str">
        <f>"1700105"</f>
        <v>1700105</v>
      </c>
      <c r="AJ1929" t="s">
        <v>124</v>
      </c>
      <c r="AK1929">
        <v>2810333720</v>
      </c>
      <c r="AL1929" t="s">
        <v>454</v>
      </c>
      <c r="AM1929" t="s">
        <v>78</v>
      </c>
      <c r="AN1929" t="s">
        <v>78</v>
      </c>
      <c r="AO1929" t="s">
        <v>78</v>
      </c>
      <c r="AP1929" t="s">
        <v>79</v>
      </c>
      <c r="AS1929" t="s">
        <v>124</v>
      </c>
      <c r="AT1929" t="s">
        <v>58</v>
      </c>
      <c r="AU1929" t="s">
        <v>68</v>
      </c>
      <c r="AV1929" t="s">
        <v>4047</v>
      </c>
      <c r="AW1929" s="1">
        <v>27349</v>
      </c>
      <c r="AX1929">
        <v>2</v>
      </c>
    </row>
    <row r="1930" spans="1:50">
      <c r="A1930">
        <v>196448</v>
      </c>
      <c r="B1930" t="str">
        <f>"055280592"</f>
        <v>055280592</v>
      </c>
      <c r="C1930" t="s">
        <v>105</v>
      </c>
      <c r="D1930" t="s">
        <v>4046</v>
      </c>
      <c r="E1930" t="s">
        <v>72</v>
      </c>
      <c r="F1930" t="s">
        <v>95</v>
      </c>
      <c r="G1930" t="s">
        <v>3585</v>
      </c>
      <c r="H1930" t="str">
        <f>"ΜΑΧΗΣ ΚΡΗΤΗΣ 10 ΧΑΝΙΟΠΟΡΤΑ"</f>
        <v>ΜΑΧΗΣ ΚΡΗΤΗΣ 10 ΧΑΝΙΟΠΟΡΤΑ</v>
      </c>
      <c r="I1930">
        <v>70014</v>
      </c>
      <c r="J1930">
        <v>2897022417</v>
      </c>
      <c r="K1930">
        <v>6944741827</v>
      </c>
      <c r="L1930">
        <v>2109334827</v>
      </c>
      <c r="M1930" t="s">
        <v>4048</v>
      </c>
      <c r="N1930" t="s">
        <v>337</v>
      </c>
      <c r="O1930" t="s">
        <v>338</v>
      </c>
      <c r="P1930" t="s">
        <v>615</v>
      </c>
      <c r="Q1930" t="s">
        <v>616</v>
      </c>
      <c r="R1930" t="s">
        <v>57</v>
      </c>
      <c r="S1930">
        <v>13</v>
      </c>
      <c r="T1930">
        <v>46</v>
      </c>
      <c r="U1930" s="1">
        <v>37684</v>
      </c>
      <c r="V1930" t="s">
        <v>123</v>
      </c>
      <c r="W1930" t="s">
        <v>124</v>
      </c>
      <c r="X1930" t="s">
        <v>58</v>
      </c>
      <c r="Y1930">
        <v>20</v>
      </c>
      <c r="Z1930" t="s">
        <v>59</v>
      </c>
      <c r="AA1930" t="s">
        <v>59</v>
      </c>
      <c r="AB1930" t="s">
        <v>59</v>
      </c>
      <c r="AC1930" t="s">
        <v>59</v>
      </c>
      <c r="AD1930" t="s">
        <v>59</v>
      </c>
      <c r="AF1930" s="1">
        <v>37697</v>
      </c>
      <c r="AG1930" t="s">
        <v>125</v>
      </c>
      <c r="AH1930" t="s">
        <v>294</v>
      </c>
      <c r="AI1930" t="str">
        <f>"1701015"</f>
        <v>1701015</v>
      </c>
      <c r="AJ1930" t="s">
        <v>295</v>
      </c>
      <c r="AK1930">
        <v>2810761696</v>
      </c>
      <c r="AL1930" t="s">
        <v>296</v>
      </c>
      <c r="AM1930" t="s">
        <v>78</v>
      </c>
      <c r="AN1930" t="s">
        <v>219</v>
      </c>
      <c r="AO1930" t="s">
        <v>297</v>
      </c>
      <c r="AP1930" t="s">
        <v>297</v>
      </c>
      <c r="AQ1930">
        <v>10</v>
      </c>
      <c r="AR1930" t="s">
        <v>123</v>
      </c>
      <c r="AS1930" t="s">
        <v>124</v>
      </c>
      <c r="AT1930" t="s">
        <v>58</v>
      </c>
      <c r="AU1930" t="s">
        <v>68</v>
      </c>
      <c r="AV1930" t="s">
        <v>69</v>
      </c>
      <c r="AW1930" s="1">
        <v>25558</v>
      </c>
      <c r="AX1930">
        <v>2</v>
      </c>
    </row>
    <row r="1931" spans="1:50">
      <c r="A1931">
        <v>204179</v>
      </c>
      <c r="B1931" t="str">
        <f>"051928975"</f>
        <v>051928975</v>
      </c>
      <c r="C1931" t="s">
        <v>105</v>
      </c>
      <c r="D1931" t="s">
        <v>4046</v>
      </c>
      <c r="E1931" t="s">
        <v>99</v>
      </c>
      <c r="F1931" t="s">
        <v>1229</v>
      </c>
      <c r="G1931" t="s">
        <v>103</v>
      </c>
      <c r="H1931" t="str">
        <f>"ΑΓΑΜΕΜΝΩΝΟΣ 12  ΗΡΑΚΛΕΙΟ"</f>
        <v>ΑΓΑΜΕΜΝΩΝΟΣ 12  ΗΡΑΚΛΕΙΟ</v>
      </c>
      <c r="I1931">
        <v>71409</v>
      </c>
      <c r="J1931">
        <v>2810325747</v>
      </c>
      <c r="K1931">
        <v>6974431949</v>
      </c>
      <c r="M1931" t="s">
        <v>4049</v>
      </c>
      <c r="N1931" t="s">
        <v>176</v>
      </c>
      <c r="O1931" t="s">
        <v>177</v>
      </c>
      <c r="R1931" t="s">
        <v>57</v>
      </c>
      <c r="S1931">
        <v>9</v>
      </c>
      <c r="T1931">
        <v>231</v>
      </c>
      <c r="U1931" s="1">
        <v>38230</v>
      </c>
      <c r="V1931" t="s">
        <v>123</v>
      </c>
      <c r="W1931" t="s">
        <v>124</v>
      </c>
      <c r="X1931" t="s">
        <v>58</v>
      </c>
      <c r="Y1931">
        <v>20</v>
      </c>
      <c r="Z1931" t="s">
        <v>59</v>
      </c>
      <c r="AA1931" t="s">
        <v>59</v>
      </c>
      <c r="AB1931" t="s">
        <v>59</v>
      </c>
      <c r="AC1931" t="s">
        <v>59</v>
      </c>
      <c r="AD1931" t="s">
        <v>59</v>
      </c>
      <c r="AF1931" s="1">
        <v>38232</v>
      </c>
      <c r="AG1931" t="s">
        <v>125</v>
      </c>
      <c r="AH1931" t="s">
        <v>126</v>
      </c>
      <c r="AI1931" t="str">
        <f>"1703010"</f>
        <v>1703010</v>
      </c>
      <c r="AJ1931" t="s">
        <v>422</v>
      </c>
      <c r="AK1931">
        <v>2810751808</v>
      </c>
      <c r="AL1931" t="s">
        <v>423</v>
      </c>
      <c r="AM1931" t="s">
        <v>78</v>
      </c>
      <c r="AN1931" t="s">
        <v>424</v>
      </c>
      <c r="AO1931" t="s">
        <v>425</v>
      </c>
      <c r="AP1931" t="s">
        <v>425</v>
      </c>
      <c r="AQ1931">
        <v>13</v>
      </c>
      <c r="AR1931" t="s">
        <v>123</v>
      </c>
      <c r="AS1931" t="s">
        <v>124</v>
      </c>
      <c r="AT1931" t="s">
        <v>58</v>
      </c>
      <c r="AU1931" t="s">
        <v>68</v>
      </c>
      <c r="AV1931" t="s">
        <v>69</v>
      </c>
      <c r="AW1931" s="1">
        <v>24445</v>
      </c>
      <c r="AX1931">
        <v>2</v>
      </c>
    </row>
    <row r="1932" spans="1:50">
      <c r="A1932">
        <v>178270</v>
      </c>
      <c r="B1932" t="str">
        <f>"062950940"</f>
        <v>062950940</v>
      </c>
      <c r="C1932" t="s">
        <v>50</v>
      </c>
      <c r="D1932" t="s">
        <v>4050</v>
      </c>
      <c r="E1932" t="s">
        <v>215</v>
      </c>
      <c r="F1932" t="s">
        <v>95</v>
      </c>
      <c r="G1932" t="s">
        <v>83</v>
      </c>
      <c r="H1932" t="str">
        <f>" "</f>
        <v xml:space="preserve"> </v>
      </c>
      <c r="N1932" t="s">
        <v>204</v>
      </c>
      <c r="O1932" t="s">
        <v>205</v>
      </c>
      <c r="P1932" t="s">
        <v>232</v>
      </c>
      <c r="Q1932" t="s">
        <v>233</v>
      </c>
      <c r="R1932" t="s">
        <v>57</v>
      </c>
      <c r="S1932">
        <v>11</v>
      </c>
      <c r="T1932">
        <v>180</v>
      </c>
      <c r="U1932" s="1">
        <v>35674</v>
      </c>
      <c r="V1932" t="s">
        <v>123</v>
      </c>
      <c r="W1932" t="s">
        <v>124</v>
      </c>
      <c r="X1932" t="s">
        <v>58</v>
      </c>
      <c r="Y1932">
        <v>18</v>
      </c>
      <c r="Z1932" t="s">
        <v>59</v>
      </c>
      <c r="AA1932" t="s">
        <v>59</v>
      </c>
      <c r="AB1932" t="s">
        <v>59</v>
      </c>
      <c r="AC1932" t="s">
        <v>59</v>
      </c>
      <c r="AD1932" t="s">
        <v>59</v>
      </c>
      <c r="AF1932" s="1">
        <v>35678</v>
      </c>
      <c r="AG1932" t="s">
        <v>125</v>
      </c>
      <c r="AH1932" t="s">
        <v>126</v>
      </c>
      <c r="AI1932" t="str">
        <f>"1701050"</f>
        <v>1701050</v>
      </c>
      <c r="AJ1932" t="s">
        <v>660</v>
      </c>
      <c r="AK1932">
        <v>2810220729</v>
      </c>
      <c r="AL1932" t="s">
        <v>661</v>
      </c>
      <c r="AM1932" t="s">
        <v>78</v>
      </c>
      <c r="AN1932" t="s">
        <v>78</v>
      </c>
      <c r="AO1932" t="s">
        <v>78</v>
      </c>
      <c r="AP1932" t="s">
        <v>79</v>
      </c>
      <c r="AQ1932">
        <v>1</v>
      </c>
      <c r="AR1932" t="s">
        <v>123</v>
      </c>
      <c r="AS1932" t="s">
        <v>124</v>
      </c>
      <c r="AT1932" t="s">
        <v>58</v>
      </c>
      <c r="AU1932" t="s">
        <v>68</v>
      </c>
      <c r="AV1932" t="s">
        <v>69</v>
      </c>
      <c r="AW1932" s="1">
        <v>23990</v>
      </c>
      <c r="AX1932">
        <v>2</v>
      </c>
    </row>
    <row r="1933" spans="1:50">
      <c r="A1933">
        <v>138284</v>
      </c>
      <c r="B1933" t="str">
        <f>"068053335"</f>
        <v>068053335</v>
      </c>
      <c r="C1933" t="s">
        <v>50</v>
      </c>
      <c r="D1933" t="s">
        <v>4051</v>
      </c>
      <c r="E1933" t="s">
        <v>52</v>
      </c>
      <c r="F1933" t="s">
        <v>1316</v>
      </c>
      <c r="G1933" t="s">
        <v>787</v>
      </c>
      <c r="H1933" t="str">
        <f>"ΗΓΟΥΜΕΝΟΥ ΓΑΒΡΙΗΛ 8 ΗΡΑΚΛΕΙΟ"</f>
        <v>ΗΓΟΥΜΕΝΟΥ ΓΑΒΡΙΗΛ 8 ΗΡΑΚΛΕΙΟ</v>
      </c>
      <c r="I1933">
        <v>71305</v>
      </c>
      <c r="J1933">
        <v>2810262170</v>
      </c>
      <c r="K1933">
        <v>6972057850</v>
      </c>
      <c r="N1933" t="s">
        <v>232</v>
      </c>
      <c r="O1933" t="s">
        <v>233</v>
      </c>
      <c r="R1933" t="s">
        <v>57</v>
      </c>
      <c r="S1933">
        <v>17</v>
      </c>
      <c r="T1933">
        <v>271</v>
      </c>
      <c r="U1933" s="1">
        <v>30195</v>
      </c>
      <c r="V1933" t="s">
        <v>123</v>
      </c>
      <c r="W1933" t="s">
        <v>124</v>
      </c>
      <c r="X1933" t="s">
        <v>58</v>
      </c>
      <c r="Y1933">
        <v>18</v>
      </c>
      <c r="Z1933" t="s">
        <v>59</v>
      </c>
      <c r="AA1933" t="s">
        <v>59</v>
      </c>
      <c r="AB1933" t="s">
        <v>59</v>
      </c>
      <c r="AC1933" t="s">
        <v>59</v>
      </c>
      <c r="AD1933" t="s">
        <v>59</v>
      </c>
      <c r="AF1933" s="1">
        <v>30208</v>
      </c>
      <c r="AG1933" t="s">
        <v>125</v>
      </c>
      <c r="AH1933" t="s">
        <v>126</v>
      </c>
      <c r="AI1933" t="str">
        <f>"1701020"</f>
        <v>1701020</v>
      </c>
      <c r="AJ1933" t="s">
        <v>323</v>
      </c>
      <c r="AK1933">
        <v>2810252111</v>
      </c>
      <c r="AL1933" t="s">
        <v>324</v>
      </c>
      <c r="AM1933" t="s">
        <v>78</v>
      </c>
      <c r="AN1933" t="s">
        <v>78</v>
      </c>
      <c r="AO1933" t="s">
        <v>78</v>
      </c>
      <c r="AP1933" t="s">
        <v>163</v>
      </c>
      <c r="AQ1933">
        <v>3</v>
      </c>
      <c r="AR1933" t="s">
        <v>123</v>
      </c>
      <c r="AS1933" t="s">
        <v>124</v>
      </c>
      <c r="AT1933" t="s">
        <v>58</v>
      </c>
      <c r="AU1933" t="s">
        <v>68</v>
      </c>
      <c r="AV1933" t="s">
        <v>69</v>
      </c>
      <c r="AW1933" s="1">
        <v>20187</v>
      </c>
      <c r="AX1933">
        <v>2</v>
      </c>
    </row>
    <row r="1934" spans="1:50">
      <c r="A1934">
        <v>210379</v>
      </c>
      <c r="B1934" t="str">
        <f>"070369588"</f>
        <v>070369588</v>
      </c>
      <c r="C1934" t="s">
        <v>50</v>
      </c>
      <c r="D1934" t="s">
        <v>4052</v>
      </c>
      <c r="E1934" t="s">
        <v>83</v>
      </c>
      <c r="F1934" t="s">
        <v>920</v>
      </c>
      <c r="G1934" t="s">
        <v>255</v>
      </c>
      <c r="H1934" t="str">
        <f>" "</f>
        <v xml:space="preserve"> </v>
      </c>
      <c r="J1934">
        <v>2810228363</v>
      </c>
      <c r="K1934">
        <v>6944692072</v>
      </c>
      <c r="N1934" t="s">
        <v>257</v>
      </c>
      <c r="O1934" t="s">
        <v>258</v>
      </c>
      <c r="R1934" t="s">
        <v>57</v>
      </c>
      <c r="S1934">
        <v>8</v>
      </c>
      <c r="T1934">
        <v>235</v>
      </c>
      <c r="U1934" s="1">
        <v>38611</v>
      </c>
      <c r="V1934" t="s">
        <v>123</v>
      </c>
      <c r="W1934" t="s">
        <v>124</v>
      </c>
      <c r="X1934" t="s">
        <v>58</v>
      </c>
      <c r="Y1934">
        <v>20</v>
      </c>
      <c r="Z1934" t="s">
        <v>59</v>
      </c>
      <c r="AA1934" t="s">
        <v>59</v>
      </c>
      <c r="AB1934" t="s">
        <v>59</v>
      </c>
      <c r="AC1934" t="s">
        <v>59</v>
      </c>
      <c r="AD1934" t="s">
        <v>59</v>
      </c>
      <c r="AF1934" s="1">
        <v>38615</v>
      </c>
      <c r="AG1934" t="s">
        <v>148</v>
      </c>
      <c r="AH1934" t="s">
        <v>149</v>
      </c>
      <c r="AI1934" t="str">
        <f>"1751010"</f>
        <v>1751010</v>
      </c>
      <c r="AJ1934" t="s">
        <v>150</v>
      </c>
      <c r="AK1934">
        <v>2810346092</v>
      </c>
      <c r="AL1934" t="s">
        <v>151</v>
      </c>
      <c r="AM1934" t="s">
        <v>78</v>
      </c>
      <c r="AN1934" t="s">
        <v>78</v>
      </c>
      <c r="AO1934" t="s">
        <v>78</v>
      </c>
      <c r="AP1934" t="s">
        <v>79</v>
      </c>
      <c r="AQ1934">
        <v>1</v>
      </c>
      <c r="AR1934" t="s">
        <v>123</v>
      </c>
      <c r="AS1934" t="s">
        <v>124</v>
      </c>
      <c r="AT1934" t="s">
        <v>58</v>
      </c>
      <c r="AU1934" t="s">
        <v>68</v>
      </c>
      <c r="AV1934" t="s">
        <v>69</v>
      </c>
      <c r="AW1934" s="1">
        <v>29001</v>
      </c>
      <c r="AX1934">
        <v>2</v>
      </c>
    </row>
    <row r="1935" spans="1:50">
      <c r="A1935">
        <v>158742</v>
      </c>
      <c r="B1935" t="str">
        <f>"030719513"</f>
        <v>030719513</v>
      </c>
      <c r="C1935" t="s">
        <v>105</v>
      </c>
      <c r="D1935" t="s">
        <v>4053</v>
      </c>
      <c r="E1935" t="s">
        <v>95</v>
      </c>
      <c r="F1935" t="s">
        <v>108</v>
      </c>
      <c r="G1935" t="s">
        <v>787</v>
      </c>
      <c r="H1935" t="str">
        <f>"ΕΛΕΥΘΕΡΙΟΥ ΒΕΝΙΖΕΛΟΥ 72 ΡΕΘΥΜΝΟ"</f>
        <v>ΕΛΕΥΘΕΡΙΟΥ ΒΕΝΙΖΕΛΟΥ 72 ΡΕΘΥΜΝΟ</v>
      </c>
      <c r="I1935">
        <v>74100</v>
      </c>
      <c r="M1935" t="s">
        <v>4054</v>
      </c>
      <c r="N1935" t="s">
        <v>337</v>
      </c>
      <c r="O1935" t="s">
        <v>338</v>
      </c>
      <c r="P1935" t="s">
        <v>1116</v>
      </c>
      <c r="Q1935" t="s">
        <v>1117</v>
      </c>
      <c r="R1935" t="s">
        <v>57</v>
      </c>
      <c r="S1935">
        <v>13</v>
      </c>
      <c r="T1935">
        <v>161</v>
      </c>
      <c r="U1935" s="1">
        <v>33119</v>
      </c>
      <c r="V1935" t="s">
        <v>123</v>
      </c>
      <c r="W1935" t="s">
        <v>124</v>
      </c>
      <c r="X1935" t="s">
        <v>58</v>
      </c>
      <c r="Y1935">
        <v>18</v>
      </c>
      <c r="Z1935" t="s">
        <v>59</v>
      </c>
      <c r="AA1935" t="s">
        <v>59</v>
      </c>
      <c r="AB1935" t="s">
        <v>59</v>
      </c>
      <c r="AC1935" t="s">
        <v>59</v>
      </c>
      <c r="AD1935" t="s">
        <v>59</v>
      </c>
      <c r="AF1935" s="1">
        <v>33119</v>
      </c>
      <c r="AG1935" t="s">
        <v>125</v>
      </c>
      <c r="AH1935" t="s">
        <v>294</v>
      </c>
      <c r="AI1935" t="str">
        <f>"1701015"</f>
        <v>1701015</v>
      </c>
      <c r="AJ1935" t="s">
        <v>295</v>
      </c>
      <c r="AK1935">
        <v>2810761696</v>
      </c>
      <c r="AL1935" t="s">
        <v>296</v>
      </c>
      <c r="AM1935" t="s">
        <v>78</v>
      </c>
      <c r="AN1935" t="s">
        <v>219</v>
      </c>
      <c r="AO1935" t="s">
        <v>297</v>
      </c>
      <c r="AP1935" t="s">
        <v>297</v>
      </c>
      <c r="AQ1935">
        <v>10</v>
      </c>
      <c r="AR1935" t="s">
        <v>123</v>
      </c>
      <c r="AS1935" t="s">
        <v>124</v>
      </c>
      <c r="AT1935" t="s">
        <v>58</v>
      </c>
      <c r="AU1935" t="s">
        <v>68</v>
      </c>
      <c r="AV1935" t="s">
        <v>69</v>
      </c>
      <c r="AW1935" s="1">
        <v>21705</v>
      </c>
      <c r="AX1935">
        <v>2</v>
      </c>
    </row>
    <row r="1936" spans="1:50">
      <c r="A1936">
        <v>222678</v>
      </c>
      <c r="B1936" t="str">
        <f>"114588813"</f>
        <v>114588813</v>
      </c>
      <c r="C1936" t="s">
        <v>50</v>
      </c>
      <c r="D1936" t="s">
        <v>4055</v>
      </c>
      <c r="E1936" t="s">
        <v>73</v>
      </c>
      <c r="F1936" t="s">
        <v>900</v>
      </c>
      <c r="G1936" t="s">
        <v>237</v>
      </c>
      <c r="H1936" t="str">
        <f>"ΠΑΠΑΓΙΑΝΝΗ ΣΚΟΥΛΑ 57 ΗΡΑΚΛΕΙΟ"</f>
        <v>ΠΑΠΑΓΙΑΝΝΗ ΣΚΟΥΛΑ 57 ΗΡΑΚΛΕΙΟ</v>
      </c>
      <c r="I1936">
        <v>71305</v>
      </c>
      <c r="J1936">
        <v>2810261296</v>
      </c>
      <c r="K1936">
        <v>6974105210</v>
      </c>
      <c r="M1936" t="s">
        <v>4056</v>
      </c>
      <c r="N1936" t="s">
        <v>146</v>
      </c>
      <c r="O1936" t="s">
        <v>147</v>
      </c>
      <c r="R1936" t="s">
        <v>57</v>
      </c>
      <c r="S1936">
        <v>6</v>
      </c>
      <c r="T1936">
        <v>775</v>
      </c>
      <c r="U1936" s="1">
        <v>39680</v>
      </c>
      <c r="V1936" t="s">
        <v>123</v>
      </c>
      <c r="W1936" t="s">
        <v>124</v>
      </c>
      <c r="X1936" t="s">
        <v>58</v>
      </c>
      <c r="Y1936">
        <v>20</v>
      </c>
      <c r="Z1936" t="s">
        <v>59</v>
      </c>
      <c r="AA1936" t="s">
        <v>59</v>
      </c>
      <c r="AB1936" t="s">
        <v>59</v>
      </c>
      <c r="AC1936" t="s">
        <v>59</v>
      </c>
      <c r="AD1936" t="s">
        <v>59</v>
      </c>
      <c r="AF1936" s="1">
        <v>39681</v>
      </c>
      <c r="AG1936" t="s">
        <v>148</v>
      </c>
      <c r="AH1936" t="s">
        <v>149</v>
      </c>
      <c r="AI1936" t="str">
        <f>"1759010"</f>
        <v>1759010</v>
      </c>
      <c r="AJ1936" t="s">
        <v>403</v>
      </c>
      <c r="AK1936">
        <v>2894022127</v>
      </c>
      <c r="AL1936" t="s">
        <v>404</v>
      </c>
      <c r="AM1936" t="s">
        <v>78</v>
      </c>
      <c r="AN1936" t="s">
        <v>405</v>
      </c>
      <c r="AO1936" t="s">
        <v>406</v>
      </c>
      <c r="AP1936" t="s">
        <v>406</v>
      </c>
      <c r="AQ1936">
        <v>30</v>
      </c>
      <c r="AR1936" t="s">
        <v>123</v>
      </c>
      <c r="AS1936" t="s">
        <v>124</v>
      </c>
      <c r="AT1936" t="s">
        <v>58</v>
      </c>
      <c r="AU1936" t="s">
        <v>68</v>
      </c>
      <c r="AV1936" t="s">
        <v>69</v>
      </c>
      <c r="AW1936" s="1">
        <v>28877</v>
      </c>
      <c r="AX1936">
        <v>2</v>
      </c>
    </row>
    <row r="1937" spans="1:50">
      <c r="A1937">
        <v>213568</v>
      </c>
      <c r="B1937" t="str">
        <f>"100885071"</f>
        <v>100885071</v>
      </c>
      <c r="C1937" t="s">
        <v>50</v>
      </c>
      <c r="D1937" t="s">
        <v>4057</v>
      </c>
      <c r="E1937" t="s">
        <v>255</v>
      </c>
      <c r="F1937" t="s">
        <v>99</v>
      </c>
      <c r="G1937" t="s">
        <v>215</v>
      </c>
      <c r="H1937" t="str">
        <f>"ΓΕΩΡΓΙΟΥ ΚΟΥΡΜΟΥΛΗ  9 "</f>
        <v xml:space="preserve">ΓΕΩΡΓΙΟΥ ΚΟΥΡΜΟΥΛΗ  9 </v>
      </c>
      <c r="J1937">
        <v>2811758191</v>
      </c>
      <c r="K1937">
        <v>6936749774</v>
      </c>
      <c r="M1937" t="s">
        <v>4058</v>
      </c>
      <c r="N1937" t="s">
        <v>478</v>
      </c>
      <c r="O1937" t="s">
        <v>479</v>
      </c>
      <c r="R1937" t="s">
        <v>57</v>
      </c>
      <c r="S1937">
        <v>7</v>
      </c>
      <c r="T1937">
        <v>231</v>
      </c>
      <c r="U1937" s="1">
        <v>38960</v>
      </c>
      <c r="V1937" t="s">
        <v>123</v>
      </c>
      <c r="W1937" t="s">
        <v>124</v>
      </c>
      <c r="X1937" t="s">
        <v>58</v>
      </c>
      <c r="Y1937">
        <v>20</v>
      </c>
      <c r="Z1937" t="s">
        <v>59</v>
      </c>
      <c r="AA1937" t="s">
        <v>59</v>
      </c>
      <c r="AB1937" t="s">
        <v>59</v>
      </c>
      <c r="AC1937" t="s">
        <v>59</v>
      </c>
      <c r="AD1937" t="s">
        <v>59</v>
      </c>
      <c r="AF1937" s="1">
        <v>38961</v>
      </c>
      <c r="AG1937" t="s">
        <v>125</v>
      </c>
      <c r="AH1937" t="s">
        <v>126</v>
      </c>
      <c r="AI1937" t="str">
        <f>"1714012"</f>
        <v>1714012</v>
      </c>
      <c r="AJ1937" t="s">
        <v>633</v>
      </c>
      <c r="AK1937">
        <v>2810762261</v>
      </c>
      <c r="AL1937" t="s">
        <v>634</v>
      </c>
      <c r="AM1937" t="s">
        <v>78</v>
      </c>
      <c r="AN1937" t="s">
        <v>219</v>
      </c>
      <c r="AO1937" t="s">
        <v>297</v>
      </c>
      <c r="AP1937" t="s">
        <v>297</v>
      </c>
      <c r="AQ1937">
        <v>37</v>
      </c>
      <c r="AR1937" t="s">
        <v>123</v>
      </c>
      <c r="AS1937" t="s">
        <v>124</v>
      </c>
      <c r="AT1937" t="s">
        <v>58</v>
      </c>
      <c r="AU1937" t="s">
        <v>68</v>
      </c>
      <c r="AV1937" t="s">
        <v>69</v>
      </c>
      <c r="AW1937" s="1">
        <v>27892</v>
      </c>
      <c r="AX1937">
        <v>2</v>
      </c>
    </row>
    <row r="1938" spans="1:50">
      <c r="A1938">
        <v>170128</v>
      </c>
      <c r="B1938" t="str">
        <f>"044192992"</f>
        <v>044192992</v>
      </c>
      <c r="C1938" t="s">
        <v>105</v>
      </c>
      <c r="D1938" t="s">
        <v>4059</v>
      </c>
      <c r="E1938" t="s">
        <v>99</v>
      </c>
      <c r="F1938" t="s">
        <v>510</v>
      </c>
      <c r="G1938" t="s">
        <v>263</v>
      </c>
      <c r="H1938" t="str">
        <f>"ΝΙΩΤΗ Σ. 1 "</f>
        <v xml:space="preserve">ΝΙΩΤΗ Σ. 1 </v>
      </c>
      <c r="I1938">
        <v>71306</v>
      </c>
      <c r="J1938">
        <v>2810237865</v>
      </c>
      <c r="K1938">
        <v>6973842579</v>
      </c>
      <c r="M1938" t="s">
        <v>4060</v>
      </c>
      <c r="N1938" t="s">
        <v>146</v>
      </c>
      <c r="O1938" t="s">
        <v>147</v>
      </c>
      <c r="R1938" t="s">
        <v>57</v>
      </c>
      <c r="S1938">
        <v>15</v>
      </c>
      <c r="T1938">
        <v>184</v>
      </c>
      <c r="U1938" s="1">
        <v>34941</v>
      </c>
      <c r="V1938" t="s">
        <v>123</v>
      </c>
      <c r="W1938" t="s">
        <v>124</v>
      </c>
      <c r="X1938" t="s">
        <v>58</v>
      </c>
      <c r="Y1938">
        <v>18</v>
      </c>
      <c r="Z1938" t="s">
        <v>59</v>
      </c>
      <c r="AA1938" t="s">
        <v>59</v>
      </c>
      <c r="AB1938" t="s">
        <v>59</v>
      </c>
      <c r="AC1938" t="s">
        <v>59</v>
      </c>
      <c r="AD1938" t="s">
        <v>59</v>
      </c>
      <c r="AF1938" s="1">
        <v>34947</v>
      </c>
      <c r="AG1938" t="s">
        <v>148</v>
      </c>
      <c r="AH1938" t="s">
        <v>149</v>
      </c>
      <c r="AI1938" t="str">
        <f>"1751030"</f>
        <v>1751030</v>
      </c>
      <c r="AJ1938" t="s">
        <v>234</v>
      </c>
      <c r="AK1938">
        <v>2810282911</v>
      </c>
      <c r="AL1938" t="s">
        <v>235</v>
      </c>
      <c r="AM1938" t="s">
        <v>78</v>
      </c>
      <c r="AN1938" t="s">
        <v>78</v>
      </c>
      <c r="AO1938" t="s">
        <v>78</v>
      </c>
      <c r="AP1938" t="s">
        <v>163</v>
      </c>
      <c r="AQ1938">
        <v>1</v>
      </c>
      <c r="AR1938" t="s">
        <v>123</v>
      </c>
      <c r="AS1938" t="s">
        <v>124</v>
      </c>
      <c r="AT1938" t="s">
        <v>58</v>
      </c>
      <c r="AU1938" t="s">
        <v>68</v>
      </c>
      <c r="AV1938" t="s">
        <v>69</v>
      </c>
      <c r="AW1938" s="1">
        <v>23648</v>
      </c>
      <c r="AX1938">
        <v>2</v>
      </c>
    </row>
    <row r="1939" spans="1:50">
      <c r="B1939" t="str">
        <f>"103529912"</f>
        <v>103529912</v>
      </c>
      <c r="C1939" t="s">
        <v>50</v>
      </c>
      <c r="D1939" t="s">
        <v>4061</v>
      </c>
      <c r="E1939" t="s">
        <v>553</v>
      </c>
      <c r="F1939" t="s">
        <v>95</v>
      </c>
      <c r="G1939" t="s">
        <v>382</v>
      </c>
      <c r="H1939" t="str">
        <f>"ΕΟΚ 11 ΗΡΑΚΛΕΙΟ"</f>
        <v>ΕΟΚ 11 ΗΡΑΚΛΕΙΟ</v>
      </c>
      <c r="I1939">
        <v>71305</v>
      </c>
      <c r="J1939">
        <v>2810262121</v>
      </c>
      <c r="K1939">
        <v>6936831860</v>
      </c>
      <c r="M1939" t="s">
        <v>4062</v>
      </c>
      <c r="N1939" t="s">
        <v>1628</v>
      </c>
      <c r="O1939" t="s">
        <v>1629</v>
      </c>
      <c r="R1939" t="s">
        <v>159</v>
      </c>
      <c r="S1939">
        <v>5</v>
      </c>
      <c r="T1939" t="s">
        <v>344</v>
      </c>
      <c r="U1939" s="1">
        <v>43348</v>
      </c>
      <c r="V1939" t="s">
        <v>123</v>
      </c>
      <c r="W1939" t="s">
        <v>124</v>
      </c>
      <c r="X1939" t="s">
        <v>58</v>
      </c>
      <c r="Y1939">
        <v>21</v>
      </c>
      <c r="Z1939" t="s">
        <v>59</v>
      </c>
      <c r="AA1939" t="s">
        <v>59</v>
      </c>
      <c r="AB1939" t="s">
        <v>59</v>
      </c>
      <c r="AC1939" t="s">
        <v>59</v>
      </c>
      <c r="AD1939" t="s">
        <v>59</v>
      </c>
      <c r="AF1939" s="1">
        <v>43348</v>
      </c>
      <c r="AG1939" t="s">
        <v>345</v>
      </c>
      <c r="AH1939" t="s">
        <v>346</v>
      </c>
      <c r="AI1939" t="str">
        <f>"1759011"</f>
        <v>1759011</v>
      </c>
      <c r="AJ1939" t="s">
        <v>347</v>
      </c>
      <c r="AK1939">
        <v>2892051103</v>
      </c>
      <c r="AL1939" t="s">
        <v>348</v>
      </c>
      <c r="AM1939" t="s">
        <v>78</v>
      </c>
      <c r="AN1939" t="s">
        <v>242</v>
      </c>
      <c r="AO1939" t="s">
        <v>349</v>
      </c>
      <c r="AP1939" t="s">
        <v>349</v>
      </c>
      <c r="AQ1939">
        <v>38</v>
      </c>
      <c r="AR1939" t="s">
        <v>123</v>
      </c>
      <c r="AS1939" t="s">
        <v>124</v>
      </c>
      <c r="AT1939" t="s">
        <v>58</v>
      </c>
      <c r="AU1939" t="s">
        <v>350</v>
      </c>
      <c r="AV1939" t="s">
        <v>132</v>
      </c>
      <c r="AW1939" s="1">
        <v>30023</v>
      </c>
      <c r="AX1939">
        <v>2</v>
      </c>
    </row>
    <row r="1940" spans="1:50">
      <c r="A1940">
        <v>175044</v>
      </c>
      <c r="B1940" t="str">
        <f>"042550480"</f>
        <v>042550480</v>
      </c>
      <c r="C1940" t="s">
        <v>105</v>
      </c>
      <c r="D1940" t="s">
        <v>4063</v>
      </c>
      <c r="E1940" t="s">
        <v>311</v>
      </c>
      <c r="F1940" t="s">
        <v>53</v>
      </c>
      <c r="G1940" t="s">
        <v>237</v>
      </c>
      <c r="H1940" t="str">
        <f>" "</f>
        <v xml:space="preserve"> </v>
      </c>
      <c r="N1940" t="s">
        <v>204</v>
      </c>
      <c r="O1940" t="s">
        <v>205</v>
      </c>
      <c r="R1940" t="s">
        <v>57</v>
      </c>
      <c r="S1940">
        <v>14</v>
      </c>
      <c r="T1940">
        <v>166</v>
      </c>
      <c r="U1940" s="1">
        <v>35300</v>
      </c>
      <c r="V1940" t="s">
        <v>123</v>
      </c>
      <c r="W1940" t="s">
        <v>124</v>
      </c>
      <c r="X1940" t="s">
        <v>58</v>
      </c>
      <c r="Y1940">
        <v>18</v>
      </c>
      <c r="Z1940" t="s">
        <v>59</v>
      </c>
      <c r="AA1940" t="s">
        <v>59</v>
      </c>
      <c r="AB1940" t="s">
        <v>59</v>
      </c>
      <c r="AC1940" t="s">
        <v>59</v>
      </c>
      <c r="AD1940" t="s">
        <v>59</v>
      </c>
      <c r="AF1940" s="1">
        <v>35311</v>
      </c>
      <c r="AG1940" t="s">
        <v>125</v>
      </c>
      <c r="AH1940" t="s">
        <v>126</v>
      </c>
      <c r="AI1940" t="str">
        <f>"1701051"</f>
        <v>1701051</v>
      </c>
      <c r="AJ1940" t="s">
        <v>443</v>
      </c>
      <c r="AK1940">
        <v>2810325815</v>
      </c>
      <c r="AL1940" t="s">
        <v>444</v>
      </c>
      <c r="AM1940" t="s">
        <v>78</v>
      </c>
      <c r="AN1940" t="s">
        <v>78</v>
      </c>
      <c r="AO1940" t="s">
        <v>78</v>
      </c>
      <c r="AP1940" t="s">
        <v>163</v>
      </c>
      <c r="AQ1940">
        <v>5</v>
      </c>
      <c r="AR1940" t="s">
        <v>123</v>
      </c>
      <c r="AS1940" t="s">
        <v>124</v>
      </c>
      <c r="AT1940" t="s">
        <v>58</v>
      </c>
      <c r="AU1940" t="s">
        <v>68</v>
      </c>
      <c r="AV1940" t="s">
        <v>69</v>
      </c>
      <c r="AW1940" s="1">
        <v>22148</v>
      </c>
      <c r="AX1940">
        <v>2</v>
      </c>
    </row>
    <row r="1941" spans="1:50">
      <c r="B1941" t="str">
        <f>"070344883"</f>
        <v>070344883</v>
      </c>
      <c r="C1941" t="s">
        <v>105</v>
      </c>
      <c r="D1941" t="s">
        <v>4064</v>
      </c>
      <c r="E1941" t="s">
        <v>95</v>
      </c>
      <c r="F1941" t="s">
        <v>154</v>
      </c>
      <c r="H1941" t="str">
        <f>" "</f>
        <v xml:space="preserve"> </v>
      </c>
      <c r="N1941" t="s">
        <v>119</v>
      </c>
      <c r="O1941" t="s">
        <v>120</v>
      </c>
      <c r="R1941" t="s">
        <v>159</v>
      </c>
      <c r="S1941">
        <v>4</v>
      </c>
      <c r="T1941" t="s">
        <v>344</v>
      </c>
      <c r="U1941" s="1">
        <v>43348</v>
      </c>
      <c r="V1941" t="s">
        <v>123</v>
      </c>
      <c r="W1941" t="s">
        <v>124</v>
      </c>
      <c r="X1941" t="s">
        <v>58</v>
      </c>
      <c r="Y1941">
        <v>23</v>
      </c>
      <c r="Z1941" t="s">
        <v>59</v>
      </c>
      <c r="AA1941" t="s">
        <v>59</v>
      </c>
      <c r="AB1941" t="s">
        <v>59</v>
      </c>
      <c r="AC1941" t="s">
        <v>59</v>
      </c>
      <c r="AD1941" t="s">
        <v>59</v>
      </c>
      <c r="AF1941" s="1">
        <v>43348</v>
      </c>
      <c r="AG1941" t="s">
        <v>345</v>
      </c>
      <c r="AH1941" t="s">
        <v>346</v>
      </c>
      <c r="AI1941" t="str">
        <f>"1759011"</f>
        <v>1759011</v>
      </c>
      <c r="AJ1941" t="s">
        <v>347</v>
      </c>
      <c r="AK1941">
        <v>2892051103</v>
      </c>
      <c r="AL1941" t="s">
        <v>348</v>
      </c>
      <c r="AM1941" t="s">
        <v>78</v>
      </c>
      <c r="AN1941" t="s">
        <v>242</v>
      </c>
      <c r="AO1941" t="s">
        <v>349</v>
      </c>
      <c r="AP1941" t="s">
        <v>349</v>
      </c>
      <c r="AQ1941">
        <v>38</v>
      </c>
      <c r="AR1941" t="s">
        <v>123</v>
      </c>
      <c r="AS1941" t="s">
        <v>124</v>
      </c>
      <c r="AT1941" t="s">
        <v>58</v>
      </c>
      <c r="AU1941" t="s">
        <v>350</v>
      </c>
      <c r="AV1941" t="s">
        <v>132</v>
      </c>
      <c r="AW1941" s="1">
        <v>30967</v>
      </c>
      <c r="AX1941">
        <v>2</v>
      </c>
    </row>
    <row r="1942" spans="1:50">
      <c r="B1942" t="str">
        <f>"137212216"</f>
        <v>137212216</v>
      </c>
      <c r="C1942" t="s">
        <v>50</v>
      </c>
      <c r="D1942" t="s">
        <v>4065</v>
      </c>
      <c r="E1942" t="s">
        <v>155</v>
      </c>
      <c r="F1942" t="s">
        <v>84</v>
      </c>
      <c r="H1942" t="str">
        <f>" "</f>
        <v xml:space="preserve"> </v>
      </c>
      <c r="K1942">
        <v>6976949463</v>
      </c>
      <c r="N1942" t="s">
        <v>119</v>
      </c>
      <c r="O1942" t="s">
        <v>120</v>
      </c>
      <c r="R1942" t="s">
        <v>159</v>
      </c>
      <c r="S1942">
        <v>3</v>
      </c>
      <c r="T1942" t="s">
        <v>344</v>
      </c>
      <c r="U1942" s="1">
        <v>43348</v>
      </c>
      <c r="V1942" t="s">
        <v>123</v>
      </c>
      <c r="W1942" t="s">
        <v>124</v>
      </c>
      <c r="X1942" t="s">
        <v>58</v>
      </c>
      <c r="Y1942">
        <v>23</v>
      </c>
      <c r="Z1942" t="s">
        <v>59</v>
      </c>
      <c r="AA1942" t="s">
        <v>59</v>
      </c>
      <c r="AB1942" t="s">
        <v>59</v>
      </c>
      <c r="AC1942" t="s">
        <v>59</v>
      </c>
      <c r="AD1942" t="s">
        <v>59</v>
      </c>
      <c r="AF1942" s="1">
        <v>43348</v>
      </c>
      <c r="AG1942" t="s">
        <v>125</v>
      </c>
      <c r="AH1942" t="s">
        <v>126</v>
      </c>
      <c r="AI1942" t="str">
        <f>"1701053"</f>
        <v>1701053</v>
      </c>
      <c r="AJ1942" t="s">
        <v>398</v>
      </c>
      <c r="AK1942">
        <v>2810251434</v>
      </c>
      <c r="AL1942" t="s">
        <v>399</v>
      </c>
      <c r="AM1942" t="s">
        <v>78</v>
      </c>
      <c r="AN1942" t="s">
        <v>78</v>
      </c>
      <c r="AO1942" t="s">
        <v>78</v>
      </c>
      <c r="AP1942" t="s">
        <v>141</v>
      </c>
      <c r="AQ1942">
        <v>7</v>
      </c>
      <c r="AR1942" t="s">
        <v>123</v>
      </c>
      <c r="AS1942" t="s">
        <v>124</v>
      </c>
      <c r="AT1942" t="s">
        <v>58</v>
      </c>
      <c r="AU1942" t="s">
        <v>350</v>
      </c>
      <c r="AV1942" t="s">
        <v>132</v>
      </c>
      <c r="AW1942" s="1">
        <v>30441</v>
      </c>
      <c r="AX1942">
        <v>2</v>
      </c>
    </row>
    <row r="1943" spans="1:50">
      <c r="A1943">
        <v>148677</v>
      </c>
      <c r="B1943" t="str">
        <f>"079766457"</f>
        <v>079766457</v>
      </c>
      <c r="C1943" t="s">
        <v>50</v>
      </c>
      <c r="D1943" t="s">
        <v>4066</v>
      </c>
      <c r="E1943" t="s">
        <v>1440</v>
      </c>
      <c r="F1943" t="s">
        <v>53</v>
      </c>
      <c r="G1943" t="s">
        <v>83</v>
      </c>
      <c r="H1943" t="str">
        <f>"ΙΤΑΝΟΥ 8 ΓΑΖΙ"</f>
        <v>ΙΤΑΝΟΥ 8 ΓΑΖΙ</v>
      </c>
      <c r="I1943">
        <v>71414</v>
      </c>
      <c r="J1943">
        <v>2810542478</v>
      </c>
      <c r="K1943">
        <v>6977528560</v>
      </c>
      <c r="M1943" t="s">
        <v>4067</v>
      </c>
      <c r="N1943" t="s">
        <v>232</v>
      </c>
      <c r="O1943" t="s">
        <v>233</v>
      </c>
      <c r="R1943" t="s">
        <v>57</v>
      </c>
      <c r="S1943">
        <v>18</v>
      </c>
      <c r="T1943">
        <v>205</v>
      </c>
      <c r="U1943" s="1">
        <v>31658</v>
      </c>
      <c r="V1943" t="s">
        <v>123</v>
      </c>
      <c r="W1943" t="s">
        <v>124</v>
      </c>
      <c r="X1943" t="s">
        <v>58</v>
      </c>
      <c r="Y1943">
        <v>18</v>
      </c>
      <c r="Z1943" t="s">
        <v>59</v>
      </c>
      <c r="AA1943" t="s">
        <v>59</v>
      </c>
      <c r="AB1943" t="s">
        <v>59</v>
      </c>
      <c r="AC1943" t="s">
        <v>59</v>
      </c>
      <c r="AD1943" t="s">
        <v>59</v>
      </c>
      <c r="AF1943" s="1">
        <v>31667</v>
      </c>
      <c r="AG1943" t="s">
        <v>125</v>
      </c>
      <c r="AH1943" t="s">
        <v>126</v>
      </c>
      <c r="AI1943" t="str">
        <f>"1728010"</f>
        <v>1728010</v>
      </c>
      <c r="AJ1943" t="s">
        <v>127</v>
      </c>
      <c r="AK1943">
        <v>2810824651</v>
      </c>
      <c r="AL1943" t="s">
        <v>128</v>
      </c>
      <c r="AM1943" t="s">
        <v>78</v>
      </c>
      <c r="AN1943" t="s">
        <v>129</v>
      </c>
      <c r="AO1943" t="s">
        <v>130</v>
      </c>
      <c r="AP1943" t="s">
        <v>130</v>
      </c>
      <c r="AQ1943">
        <v>36</v>
      </c>
      <c r="AR1943" t="s">
        <v>123</v>
      </c>
      <c r="AS1943" t="s">
        <v>124</v>
      </c>
      <c r="AT1943" t="s">
        <v>58</v>
      </c>
      <c r="AU1943" t="s">
        <v>68</v>
      </c>
      <c r="AV1943" t="s">
        <v>69</v>
      </c>
      <c r="AW1943" s="1">
        <v>19993</v>
      </c>
      <c r="AX1943">
        <v>2</v>
      </c>
    </row>
    <row r="1944" spans="1:50">
      <c r="A1944">
        <v>224016</v>
      </c>
      <c r="B1944" t="str">
        <f>"119128152"</f>
        <v>119128152</v>
      </c>
      <c r="C1944" t="s">
        <v>50</v>
      </c>
      <c r="D1944" t="s">
        <v>4068</v>
      </c>
      <c r="E1944" t="s">
        <v>255</v>
      </c>
      <c r="F1944" t="s">
        <v>95</v>
      </c>
      <c r="G1944" t="s">
        <v>83</v>
      </c>
      <c r="H1944" t="str">
        <f>"ΕΡΜΗ 22 ΑΓΙΟΣ ΙΩΑΝΝΗΣ"</f>
        <v>ΕΡΜΗ 22 ΑΓΙΟΣ ΙΩΑΝΝΗΣ</v>
      </c>
      <c r="J1944">
        <v>2810238282</v>
      </c>
      <c r="K1944">
        <v>6972896915</v>
      </c>
      <c r="M1944" t="s">
        <v>4069</v>
      </c>
      <c r="N1944" t="s">
        <v>478</v>
      </c>
      <c r="O1944" t="s">
        <v>479</v>
      </c>
      <c r="R1944" t="s">
        <v>57</v>
      </c>
      <c r="S1944">
        <v>7</v>
      </c>
      <c r="T1944">
        <v>775</v>
      </c>
      <c r="U1944" s="1">
        <v>39680</v>
      </c>
      <c r="V1944" t="s">
        <v>123</v>
      </c>
      <c r="W1944" t="s">
        <v>124</v>
      </c>
      <c r="X1944" t="s">
        <v>58</v>
      </c>
      <c r="Y1944">
        <v>21</v>
      </c>
      <c r="Z1944" t="s">
        <v>59</v>
      </c>
      <c r="AA1944" t="s">
        <v>59</v>
      </c>
      <c r="AB1944" t="s">
        <v>59</v>
      </c>
      <c r="AC1944" t="s">
        <v>59</v>
      </c>
      <c r="AD1944" t="s">
        <v>59</v>
      </c>
      <c r="AF1944" s="1">
        <v>39685</v>
      </c>
      <c r="AG1944" t="s">
        <v>125</v>
      </c>
      <c r="AH1944" t="s">
        <v>126</v>
      </c>
      <c r="AI1944" t="str">
        <f>"1702010"</f>
        <v>1702010</v>
      </c>
      <c r="AJ1944" t="s">
        <v>604</v>
      </c>
      <c r="AK1944">
        <v>2891022228</v>
      </c>
      <c r="AL1944" t="s">
        <v>605</v>
      </c>
      <c r="AM1944" t="s">
        <v>78</v>
      </c>
      <c r="AN1944" t="s">
        <v>276</v>
      </c>
      <c r="AO1944" t="s">
        <v>490</v>
      </c>
      <c r="AP1944" t="s">
        <v>490</v>
      </c>
      <c r="AQ1944">
        <v>15</v>
      </c>
      <c r="AR1944" t="s">
        <v>123</v>
      </c>
      <c r="AS1944" t="s">
        <v>124</v>
      </c>
      <c r="AT1944" t="s">
        <v>58</v>
      </c>
      <c r="AU1944" t="s">
        <v>68</v>
      </c>
      <c r="AV1944" t="s">
        <v>69</v>
      </c>
      <c r="AW1944" s="1">
        <v>28138</v>
      </c>
      <c r="AX1944">
        <v>2</v>
      </c>
    </row>
    <row r="1945" spans="1:50">
      <c r="A1945">
        <v>218277</v>
      </c>
      <c r="B1945" t="str">
        <f>"056613966"</f>
        <v>056613966</v>
      </c>
      <c r="C1945" t="s">
        <v>50</v>
      </c>
      <c r="D1945" t="s">
        <v>4070</v>
      </c>
      <c r="E1945" t="s">
        <v>83</v>
      </c>
      <c r="F1945" t="s">
        <v>4071</v>
      </c>
      <c r="G1945" t="s">
        <v>237</v>
      </c>
      <c r="H1945" t="str">
        <f>"Β' ΠΑΡΟΔΟΣ ΠΙΤΣΟΥΛΑΚΗ  ΗΡΑΚΛΕΙΟ"</f>
        <v>Β' ΠΑΡΟΔΟΣ ΠΙΤΣΟΥΛΑΚΗ  ΗΡΑΚΛΕΙΟ</v>
      </c>
      <c r="I1945">
        <v>71307</v>
      </c>
      <c r="J1945">
        <v>2810231628</v>
      </c>
      <c r="K1945">
        <v>6946947985</v>
      </c>
      <c r="M1945" t="s">
        <v>4072</v>
      </c>
      <c r="N1945" t="s">
        <v>292</v>
      </c>
      <c r="O1945" t="s">
        <v>293</v>
      </c>
      <c r="R1945" t="s">
        <v>57</v>
      </c>
      <c r="S1945">
        <v>7</v>
      </c>
      <c r="T1945">
        <v>599</v>
      </c>
      <c r="U1945" s="1">
        <v>39310</v>
      </c>
      <c r="V1945" t="s">
        <v>123</v>
      </c>
      <c r="W1945" t="s">
        <v>124</v>
      </c>
      <c r="X1945" t="s">
        <v>58</v>
      </c>
      <c r="Y1945">
        <v>20</v>
      </c>
      <c r="Z1945" t="s">
        <v>59</v>
      </c>
      <c r="AA1945" t="s">
        <v>59</v>
      </c>
      <c r="AB1945" t="s">
        <v>59</v>
      </c>
      <c r="AC1945" t="s">
        <v>59</v>
      </c>
      <c r="AD1945" t="s">
        <v>59</v>
      </c>
      <c r="AF1945" s="1">
        <v>39328</v>
      </c>
      <c r="AG1945" t="s">
        <v>125</v>
      </c>
      <c r="AH1945" t="s">
        <v>126</v>
      </c>
      <c r="AI1945" t="str">
        <f>"1701055"</f>
        <v>1701055</v>
      </c>
      <c r="AJ1945" t="s">
        <v>301</v>
      </c>
      <c r="AK1945">
        <v>2810257353</v>
      </c>
      <c r="AL1945" t="s">
        <v>302</v>
      </c>
      <c r="AM1945" t="s">
        <v>78</v>
      </c>
      <c r="AN1945" t="s">
        <v>78</v>
      </c>
      <c r="AO1945" t="s">
        <v>78</v>
      </c>
      <c r="AP1945" t="s">
        <v>141</v>
      </c>
      <c r="AQ1945">
        <v>7</v>
      </c>
      <c r="AR1945" t="s">
        <v>123</v>
      </c>
      <c r="AS1945" t="s">
        <v>124</v>
      </c>
      <c r="AT1945" t="s">
        <v>58</v>
      </c>
      <c r="AU1945" t="s">
        <v>68</v>
      </c>
      <c r="AV1945" t="s">
        <v>69</v>
      </c>
      <c r="AW1945" s="1">
        <v>25457</v>
      </c>
      <c r="AX1945">
        <v>2</v>
      </c>
    </row>
    <row r="1946" spans="1:50">
      <c r="B1946" t="str">
        <f>"059897990"</f>
        <v>059897990</v>
      </c>
      <c r="C1946" t="s">
        <v>105</v>
      </c>
      <c r="D1946" t="s">
        <v>4073</v>
      </c>
      <c r="E1946" t="s">
        <v>53</v>
      </c>
      <c r="F1946" t="s">
        <v>794</v>
      </c>
      <c r="G1946" t="s">
        <v>83</v>
      </c>
      <c r="H1946" t="str">
        <f>"ΔΙΔΟΥΣ 40 ΗΡΑΚΛΕΙΟ"</f>
        <v>ΔΙΔΟΥΣ 40 ΗΡΑΚΛΕΙΟ</v>
      </c>
      <c r="I1946">
        <v>71601</v>
      </c>
      <c r="M1946" t="s">
        <v>4074</v>
      </c>
      <c r="N1946" t="s">
        <v>4075</v>
      </c>
      <c r="O1946" t="s">
        <v>4076</v>
      </c>
      <c r="R1946" t="s">
        <v>121</v>
      </c>
      <c r="S1946">
        <v>4</v>
      </c>
      <c r="T1946" t="s">
        <v>344</v>
      </c>
      <c r="U1946" s="1">
        <v>43348</v>
      </c>
      <c r="V1946" t="s">
        <v>123</v>
      </c>
      <c r="W1946" t="s">
        <v>124</v>
      </c>
      <c r="X1946" t="s">
        <v>58</v>
      </c>
      <c r="Y1946">
        <v>23</v>
      </c>
      <c r="Z1946" t="s">
        <v>59</v>
      </c>
      <c r="AA1946" t="s">
        <v>59</v>
      </c>
      <c r="AB1946" t="s">
        <v>59</v>
      </c>
      <c r="AD1946" t="s">
        <v>59</v>
      </c>
      <c r="AF1946" s="1">
        <v>43348</v>
      </c>
      <c r="AG1946" t="s">
        <v>345</v>
      </c>
      <c r="AH1946" t="s">
        <v>346</v>
      </c>
      <c r="AI1946" t="str">
        <f>"1741001"</f>
        <v>1741001</v>
      </c>
      <c r="AJ1946" t="s">
        <v>655</v>
      </c>
      <c r="AK1946">
        <v>2810360436</v>
      </c>
      <c r="AL1946" t="s">
        <v>656</v>
      </c>
      <c r="AM1946" t="s">
        <v>78</v>
      </c>
      <c r="AN1946" t="s">
        <v>78</v>
      </c>
      <c r="AO1946" t="s">
        <v>78</v>
      </c>
      <c r="AP1946" t="s">
        <v>141</v>
      </c>
      <c r="AQ1946">
        <v>11</v>
      </c>
      <c r="AR1946" t="s">
        <v>123</v>
      </c>
      <c r="AS1946" t="s">
        <v>124</v>
      </c>
      <c r="AT1946" t="s">
        <v>58</v>
      </c>
      <c r="AU1946" t="s">
        <v>350</v>
      </c>
      <c r="AV1946" t="s">
        <v>132</v>
      </c>
      <c r="AW1946" s="1">
        <v>28522</v>
      </c>
      <c r="AX1946">
        <v>2</v>
      </c>
    </row>
    <row r="1947" spans="1:50">
      <c r="A1947">
        <v>207690</v>
      </c>
      <c r="B1947" t="str">
        <f>"118925284"</f>
        <v>118925284</v>
      </c>
      <c r="C1947" t="s">
        <v>50</v>
      </c>
      <c r="D1947" t="s">
        <v>4077</v>
      </c>
      <c r="E1947" t="s">
        <v>1644</v>
      </c>
      <c r="F1947" t="s">
        <v>99</v>
      </c>
      <c r="G1947" t="s">
        <v>83</v>
      </c>
      <c r="H1947" t="str">
        <f>"ΚΑΡΥΩΤΑΚΗ 12 "</f>
        <v xml:space="preserve">ΚΑΡΥΩΤΑΚΗ 12 </v>
      </c>
      <c r="I1947">
        <v>71414</v>
      </c>
      <c r="J1947">
        <v>2810261239</v>
      </c>
      <c r="K1947">
        <v>6978196626</v>
      </c>
      <c r="M1947" t="s">
        <v>4078</v>
      </c>
      <c r="N1947" t="s">
        <v>306</v>
      </c>
      <c r="O1947" t="s">
        <v>307</v>
      </c>
      <c r="R1947" t="s">
        <v>57</v>
      </c>
      <c r="S1947">
        <v>7</v>
      </c>
      <c r="T1947">
        <v>218</v>
      </c>
      <c r="U1947" s="1">
        <v>38596</v>
      </c>
      <c r="V1947" t="s">
        <v>123</v>
      </c>
      <c r="W1947" t="s">
        <v>124</v>
      </c>
      <c r="X1947" t="s">
        <v>58</v>
      </c>
      <c r="Y1947">
        <v>20</v>
      </c>
      <c r="Z1947" t="s">
        <v>59</v>
      </c>
      <c r="AA1947" t="s">
        <v>59</v>
      </c>
      <c r="AB1947" t="s">
        <v>59</v>
      </c>
      <c r="AC1947" t="s">
        <v>59</v>
      </c>
      <c r="AD1947" t="s">
        <v>59</v>
      </c>
      <c r="AF1947" s="1">
        <v>38602</v>
      </c>
      <c r="AG1947" t="s">
        <v>125</v>
      </c>
      <c r="AH1947" t="s">
        <v>126</v>
      </c>
      <c r="AI1947" t="str">
        <f>"1726010"</f>
        <v>1726010</v>
      </c>
      <c r="AJ1947" t="s">
        <v>265</v>
      </c>
      <c r="AK1947">
        <v>2810831228</v>
      </c>
      <c r="AL1947" t="s">
        <v>266</v>
      </c>
      <c r="AM1947" t="s">
        <v>78</v>
      </c>
      <c r="AN1947" t="s">
        <v>129</v>
      </c>
      <c r="AO1947" t="s">
        <v>267</v>
      </c>
      <c r="AP1947" t="s">
        <v>267</v>
      </c>
      <c r="AQ1947">
        <v>27</v>
      </c>
      <c r="AR1947" t="s">
        <v>123</v>
      </c>
      <c r="AS1947" t="s">
        <v>124</v>
      </c>
      <c r="AT1947" t="s">
        <v>58</v>
      </c>
      <c r="AU1947" t="s">
        <v>68</v>
      </c>
      <c r="AV1947" t="s">
        <v>69</v>
      </c>
      <c r="AW1947" s="1">
        <v>27512</v>
      </c>
      <c r="AX1947">
        <v>2</v>
      </c>
    </row>
    <row r="1948" spans="1:50">
      <c r="A1948">
        <v>194585</v>
      </c>
      <c r="B1948" t="str">
        <f>"035810414"</f>
        <v>035810414</v>
      </c>
      <c r="C1948" t="s">
        <v>105</v>
      </c>
      <c r="D1948" t="s">
        <v>4079</v>
      </c>
      <c r="E1948" t="s">
        <v>154</v>
      </c>
      <c r="F1948" t="s">
        <v>92</v>
      </c>
      <c r="G1948" t="s">
        <v>83</v>
      </c>
      <c r="H1948" t="str">
        <f>"ΛΕΒΗΝΟΥ 64-66 "</f>
        <v xml:space="preserve">ΛΕΒΗΝΟΥ 64-66 </v>
      </c>
      <c r="I1948">
        <v>71304</v>
      </c>
      <c r="J1948">
        <v>2810313165</v>
      </c>
      <c r="K1948">
        <v>6973497883</v>
      </c>
      <c r="M1948" t="s">
        <v>4080</v>
      </c>
      <c r="N1948" t="s">
        <v>176</v>
      </c>
      <c r="O1948" t="s">
        <v>177</v>
      </c>
      <c r="R1948" t="s">
        <v>57</v>
      </c>
      <c r="S1948">
        <v>11</v>
      </c>
      <c r="T1948">
        <v>193</v>
      </c>
      <c r="U1948" s="1">
        <v>37497</v>
      </c>
      <c r="V1948" t="s">
        <v>123</v>
      </c>
      <c r="W1948" t="s">
        <v>124</v>
      </c>
      <c r="X1948" t="s">
        <v>58</v>
      </c>
      <c r="Y1948">
        <v>18</v>
      </c>
      <c r="Z1948" t="s">
        <v>59</v>
      </c>
      <c r="AA1948" t="s">
        <v>59</v>
      </c>
      <c r="AB1948" t="s">
        <v>59</v>
      </c>
      <c r="AC1948" t="s">
        <v>59</v>
      </c>
      <c r="AD1948" t="s">
        <v>59</v>
      </c>
      <c r="AF1948" s="1">
        <v>37497</v>
      </c>
      <c r="AG1948" t="s">
        <v>148</v>
      </c>
      <c r="AH1948" t="s">
        <v>149</v>
      </c>
      <c r="AI1948" t="str">
        <f>"1751051"</f>
        <v>1751051</v>
      </c>
      <c r="AJ1948" t="s">
        <v>259</v>
      </c>
      <c r="AK1948">
        <v>2810251794</v>
      </c>
      <c r="AL1948" t="s">
        <v>260</v>
      </c>
      <c r="AM1948" t="s">
        <v>78</v>
      </c>
      <c r="AN1948" t="s">
        <v>78</v>
      </c>
      <c r="AO1948" t="s">
        <v>78</v>
      </c>
      <c r="AP1948" t="s">
        <v>141</v>
      </c>
      <c r="AQ1948">
        <v>7</v>
      </c>
      <c r="AR1948" t="s">
        <v>123</v>
      </c>
      <c r="AS1948" t="s">
        <v>124</v>
      </c>
      <c r="AT1948" t="s">
        <v>58</v>
      </c>
      <c r="AU1948" t="s">
        <v>68</v>
      </c>
      <c r="AV1948" t="s">
        <v>69</v>
      </c>
      <c r="AW1948" s="1">
        <v>21570</v>
      </c>
      <c r="AX1948">
        <v>2</v>
      </c>
    </row>
    <row r="1949" spans="1:50">
      <c r="A1949">
        <v>173894</v>
      </c>
      <c r="B1949" t="str">
        <f>"036089130"</f>
        <v>036089130</v>
      </c>
      <c r="C1949" t="s">
        <v>105</v>
      </c>
      <c r="D1949" t="s">
        <v>4079</v>
      </c>
      <c r="E1949" t="s">
        <v>95</v>
      </c>
      <c r="F1949" t="s">
        <v>53</v>
      </c>
      <c r="G1949" t="s">
        <v>83</v>
      </c>
      <c r="H1949" t="str">
        <f>" "</f>
        <v xml:space="preserve"> </v>
      </c>
      <c r="N1949" t="s">
        <v>232</v>
      </c>
      <c r="O1949" t="s">
        <v>233</v>
      </c>
      <c r="R1949" t="s">
        <v>57</v>
      </c>
      <c r="S1949">
        <v>15</v>
      </c>
      <c r="T1949">
        <v>166</v>
      </c>
      <c r="U1949" s="1">
        <v>35300</v>
      </c>
      <c r="V1949" t="s">
        <v>123</v>
      </c>
      <c r="W1949" t="s">
        <v>124</v>
      </c>
      <c r="X1949" t="s">
        <v>58</v>
      </c>
      <c r="Y1949">
        <v>18</v>
      </c>
      <c r="Z1949" t="s">
        <v>59</v>
      </c>
      <c r="AA1949" t="s">
        <v>59</v>
      </c>
      <c r="AB1949" t="s">
        <v>59</v>
      </c>
      <c r="AC1949" t="s">
        <v>59</v>
      </c>
      <c r="AD1949" t="s">
        <v>59</v>
      </c>
      <c r="AF1949" s="1">
        <v>35300</v>
      </c>
      <c r="AG1949" t="s">
        <v>148</v>
      </c>
      <c r="AH1949" t="s">
        <v>149</v>
      </c>
      <c r="AI1949" t="str">
        <f>"1751020"</f>
        <v>1751020</v>
      </c>
      <c r="AJ1949" t="s">
        <v>532</v>
      </c>
      <c r="AK1949">
        <v>2810372732</v>
      </c>
      <c r="AL1949" t="s">
        <v>533</v>
      </c>
      <c r="AM1949" t="s">
        <v>78</v>
      </c>
      <c r="AN1949" t="s">
        <v>78</v>
      </c>
      <c r="AO1949" t="s">
        <v>78</v>
      </c>
      <c r="AP1949" t="s">
        <v>163</v>
      </c>
      <c r="AQ1949">
        <v>3</v>
      </c>
      <c r="AR1949" t="s">
        <v>123</v>
      </c>
      <c r="AS1949" t="s">
        <v>124</v>
      </c>
      <c r="AT1949" t="s">
        <v>58</v>
      </c>
      <c r="AU1949" t="s">
        <v>68</v>
      </c>
      <c r="AV1949" t="s">
        <v>69</v>
      </c>
      <c r="AW1949" s="1">
        <v>22241</v>
      </c>
      <c r="AX1949">
        <v>2</v>
      </c>
    </row>
    <row r="1950" spans="1:50">
      <c r="A1950">
        <v>183103</v>
      </c>
      <c r="B1950" t="str">
        <f>"046173856"</f>
        <v>046173856</v>
      </c>
      <c r="C1950" t="s">
        <v>105</v>
      </c>
      <c r="D1950" t="s">
        <v>4079</v>
      </c>
      <c r="E1950" t="s">
        <v>53</v>
      </c>
      <c r="F1950" t="s">
        <v>106</v>
      </c>
      <c r="G1950" t="s">
        <v>787</v>
      </c>
      <c r="H1950" t="str">
        <f>" "</f>
        <v xml:space="preserve"> </v>
      </c>
      <c r="N1950" t="s">
        <v>204</v>
      </c>
      <c r="O1950" t="s">
        <v>205</v>
      </c>
      <c r="R1950" t="s">
        <v>57</v>
      </c>
      <c r="S1950">
        <v>12</v>
      </c>
      <c r="T1950" t="s">
        <v>984</v>
      </c>
      <c r="U1950" s="1">
        <v>36714</v>
      </c>
      <c r="V1950" t="s">
        <v>123</v>
      </c>
      <c r="W1950" t="s">
        <v>124</v>
      </c>
      <c r="X1950" t="s">
        <v>58</v>
      </c>
      <c r="Y1950">
        <v>20</v>
      </c>
      <c r="Z1950" t="s">
        <v>59</v>
      </c>
      <c r="AA1950" t="s">
        <v>59</v>
      </c>
      <c r="AB1950" t="s">
        <v>59</v>
      </c>
      <c r="AC1950" t="s">
        <v>59</v>
      </c>
      <c r="AD1950" t="s">
        <v>59</v>
      </c>
      <c r="AF1950" s="1">
        <v>36714</v>
      </c>
      <c r="AG1950" t="s">
        <v>137</v>
      </c>
      <c r="AH1950" t="s">
        <v>138</v>
      </c>
      <c r="AI1950" t="str">
        <f>"1750080"</f>
        <v>1750080</v>
      </c>
      <c r="AJ1950" t="s">
        <v>170</v>
      </c>
      <c r="AK1950">
        <v>2810234444</v>
      </c>
      <c r="AL1950" t="s">
        <v>171</v>
      </c>
      <c r="AM1950" t="s">
        <v>78</v>
      </c>
      <c r="AN1950" t="s">
        <v>78</v>
      </c>
      <c r="AO1950" t="s">
        <v>78</v>
      </c>
      <c r="AP1950" t="s">
        <v>163</v>
      </c>
      <c r="AQ1950">
        <v>9</v>
      </c>
      <c r="AR1950" t="s">
        <v>123</v>
      </c>
      <c r="AS1950" t="s">
        <v>124</v>
      </c>
      <c r="AT1950" t="s">
        <v>58</v>
      </c>
      <c r="AU1950" t="s">
        <v>68</v>
      </c>
      <c r="AV1950" t="s">
        <v>69</v>
      </c>
      <c r="AW1950" s="1">
        <v>24245</v>
      </c>
      <c r="AX1950">
        <v>2</v>
      </c>
    </row>
    <row r="1951" spans="1:50">
      <c r="A1951">
        <v>185241</v>
      </c>
      <c r="B1951" t="str">
        <f>"042878306"</f>
        <v>042878306</v>
      </c>
      <c r="C1951" t="s">
        <v>105</v>
      </c>
      <c r="D1951" t="s">
        <v>4081</v>
      </c>
      <c r="E1951" t="s">
        <v>108</v>
      </c>
      <c r="F1951" t="s">
        <v>2847</v>
      </c>
      <c r="G1951" t="s">
        <v>4082</v>
      </c>
      <c r="H1951" t="str">
        <f>"ΘΕΜΟΥ ΚΟΡΝΑΡΟΥ 12-14 ΗΡΑΚΛΕΙΟ"</f>
        <v>ΘΕΜΟΥ ΚΟΡΝΑΡΟΥ 12-14 ΗΡΑΚΛΕΙΟ</v>
      </c>
      <c r="I1951">
        <v>71306</v>
      </c>
      <c r="J1951">
        <v>2810210510</v>
      </c>
      <c r="K1951">
        <v>6944856976</v>
      </c>
      <c r="M1951" t="s">
        <v>4083</v>
      </c>
      <c r="N1951" t="s">
        <v>204</v>
      </c>
      <c r="O1951" t="s">
        <v>205</v>
      </c>
      <c r="R1951" t="s">
        <v>57</v>
      </c>
      <c r="S1951">
        <v>11</v>
      </c>
      <c r="T1951">
        <v>177</v>
      </c>
      <c r="U1951" s="1">
        <v>36403</v>
      </c>
      <c r="V1951" t="s">
        <v>123</v>
      </c>
      <c r="W1951" t="s">
        <v>124</v>
      </c>
      <c r="X1951" t="s">
        <v>58</v>
      </c>
      <c r="Y1951">
        <v>20</v>
      </c>
      <c r="Z1951" t="s">
        <v>59</v>
      </c>
      <c r="AA1951" t="s">
        <v>59</v>
      </c>
      <c r="AB1951" t="s">
        <v>59</v>
      </c>
      <c r="AC1951" t="s">
        <v>59</v>
      </c>
      <c r="AD1951" t="s">
        <v>59</v>
      </c>
      <c r="AF1951" s="1">
        <v>36410</v>
      </c>
      <c r="AG1951" t="s">
        <v>148</v>
      </c>
      <c r="AH1951" t="s">
        <v>149</v>
      </c>
      <c r="AI1951" t="str">
        <f>"1751010"</f>
        <v>1751010</v>
      </c>
      <c r="AJ1951" t="s">
        <v>150</v>
      </c>
      <c r="AK1951">
        <v>2810346092</v>
      </c>
      <c r="AL1951" t="s">
        <v>151</v>
      </c>
      <c r="AM1951" t="s">
        <v>78</v>
      </c>
      <c r="AN1951" t="s">
        <v>78</v>
      </c>
      <c r="AO1951" t="s">
        <v>78</v>
      </c>
      <c r="AP1951" t="s">
        <v>79</v>
      </c>
      <c r="AQ1951">
        <v>1</v>
      </c>
      <c r="AR1951" t="s">
        <v>123</v>
      </c>
      <c r="AS1951" t="s">
        <v>124</v>
      </c>
      <c r="AT1951" t="s">
        <v>58</v>
      </c>
      <c r="AU1951" t="s">
        <v>68</v>
      </c>
      <c r="AV1951" t="s">
        <v>69</v>
      </c>
      <c r="AW1951" s="1">
        <v>24401</v>
      </c>
      <c r="AX1951">
        <v>2</v>
      </c>
    </row>
    <row r="1952" spans="1:50">
      <c r="A1952">
        <v>223228</v>
      </c>
      <c r="B1952" t="str">
        <f>"069243940"</f>
        <v>069243940</v>
      </c>
      <c r="C1952" t="s">
        <v>50</v>
      </c>
      <c r="D1952" t="s">
        <v>4084</v>
      </c>
      <c r="E1952" t="s">
        <v>671</v>
      </c>
      <c r="F1952" t="s">
        <v>383</v>
      </c>
      <c r="G1952" t="s">
        <v>563</v>
      </c>
      <c r="H1952" t="str">
        <f>" "</f>
        <v xml:space="preserve"> </v>
      </c>
      <c r="J1952">
        <v>2810261649</v>
      </c>
      <c r="K1952">
        <v>6945851338</v>
      </c>
      <c r="M1952" t="s">
        <v>4085</v>
      </c>
      <c r="N1952" t="s">
        <v>292</v>
      </c>
      <c r="O1952" t="s">
        <v>293</v>
      </c>
      <c r="R1952" t="s">
        <v>57</v>
      </c>
      <c r="S1952">
        <v>7</v>
      </c>
      <c r="T1952">
        <v>775</v>
      </c>
      <c r="U1952" s="1">
        <v>39680</v>
      </c>
      <c r="V1952" t="s">
        <v>123</v>
      </c>
      <c r="W1952" t="s">
        <v>124</v>
      </c>
      <c r="X1952" t="s">
        <v>58</v>
      </c>
      <c r="Y1952">
        <v>21</v>
      </c>
      <c r="Z1952" t="s">
        <v>59</v>
      </c>
      <c r="AA1952" t="s">
        <v>59</v>
      </c>
      <c r="AB1952" t="s">
        <v>59</v>
      </c>
      <c r="AC1952" t="s">
        <v>59</v>
      </c>
      <c r="AD1952" t="s">
        <v>59</v>
      </c>
      <c r="AF1952" s="1">
        <v>39682</v>
      </c>
      <c r="AG1952" t="s">
        <v>125</v>
      </c>
      <c r="AH1952" t="s">
        <v>126</v>
      </c>
      <c r="AI1952" t="str">
        <f>"1716010"</f>
        <v>1716010</v>
      </c>
      <c r="AJ1952" t="s">
        <v>193</v>
      </c>
      <c r="AK1952">
        <v>2810791374</v>
      </c>
      <c r="AL1952" t="s">
        <v>194</v>
      </c>
      <c r="AM1952" t="s">
        <v>78</v>
      </c>
      <c r="AN1952" t="s">
        <v>78</v>
      </c>
      <c r="AO1952" t="s">
        <v>195</v>
      </c>
      <c r="AP1952" t="s">
        <v>196</v>
      </c>
      <c r="AQ1952">
        <v>30</v>
      </c>
      <c r="AR1952" t="s">
        <v>123</v>
      </c>
      <c r="AS1952" t="s">
        <v>124</v>
      </c>
      <c r="AT1952" t="s">
        <v>58</v>
      </c>
      <c r="AU1952" t="s">
        <v>68</v>
      </c>
      <c r="AV1952" t="s">
        <v>69</v>
      </c>
      <c r="AW1952" s="1">
        <v>29047</v>
      </c>
      <c r="AX1952">
        <v>2</v>
      </c>
    </row>
    <row r="1953" spans="1:50">
      <c r="A1953">
        <v>154725</v>
      </c>
      <c r="B1953" t="str">
        <f>"063265238"</f>
        <v>063265238</v>
      </c>
      <c r="C1953" t="s">
        <v>50</v>
      </c>
      <c r="D1953" t="s">
        <v>4086</v>
      </c>
      <c r="E1953" t="s">
        <v>3174</v>
      </c>
      <c r="F1953" t="s">
        <v>95</v>
      </c>
      <c r="G1953" t="s">
        <v>4087</v>
      </c>
      <c r="H1953" t="str">
        <f>" "</f>
        <v xml:space="preserve"> </v>
      </c>
      <c r="M1953" t="s">
        <v>4088</v>
      </c>
      <c r="N1953" t="s">
        <v>257</v>
      </c>
      <c r="O1953" t="s">
        <v>258</v>
      </c>
      <c r="R1953" t="s">
        <v>57</v>
      </c>
      <c r="S1953">
        <v>14</v>
      </c>
      <c r="T1953">
        <v>161</v>
      </c>
      <c r="U1953" s="1">
        <v>32387</v>
      </c>
      <c r="V1953" t="s">
        <v>123</v>
      </c>
      <c r="W1953" t="s">
        <v>124</v>
      </c>
      <c r="X1953" t="s">
        <v>58</v>
      </c>
      <c r="Y1953">
        <v>18</v>
      </c>
      <c r="Z1953" t="s">
        <v>59</v>
      </c>
      <c r="AA1953" t="s">
        <v>59</v>
      </c>
      <c r="AB1953" t="s">
        <v>59</v>
      </c>
      <c r="AC1953" t="s">
        <v>59</v>
      </c>
      <c r="AD1953" t="s">
        <v>59</v>
      </c>
      <c r="AF1953" s="1">
        <v>32391</v>
      </c>
      <c r="AG1953" t="s">
        <v>148</v>
      </c>
      <c r="AH1953" t="s">
        <v>149</v>
      </c>
      <c r="AI1953" t="str">
        <f>"1790100"</f>
        <v>1790100</v>
      </c>
      <c r="AJ1953" t="s">
        <v>252</v>
      </c>
      <c r="AK1953">
        <v>2810234876</v>
      </c>
      <c r="AL1953" t="s">
        <v>253</v>
      </c>
      <c r="AM1953" t="s">
        <v>78</v>
      </c>
      <c r="AN1953" t="s">
        <v>78</v>
      </c>
      <c r="AO1953" t="s">
        <v>78</v>
      </c>
      <c r="AP1953" t="s">
        <v>163</v>
      </c>
      <c r="AQ1953">
        <v>5</v>
      </c>
      <c r="AR1953" t="s">
        <v>123</v>
      </c>
      <c r="AS1953" t="s">
        <v>124</v>
      </c>
      <c r="AT1953" t="s">
        <v>58</v>
      </c>
      <c r="AU1953" t="s">
        <v>68</v>
      </c>
      <c r="AV1953" t="s">
        <v>69</v>
      </c>
      <c r="AW1953" s="1">
        <v>21856</v>
      </c>
      <c r="AX1953">
        <v>2</v>
      </c>
    </row>
    <row r="1954" spans="1:50">
      <c r="A1954">
        <v>200879</v>
      </c>
      <c r="B1954" t="str">
        <f>"058911897"</f>
        <v>058911897</v>
      </c>
      <c r="C1954" t="s">
        <v>50</v>
      </c>
      <c r="D1954" t="s">
        <v>4086</v>
      </c>
      <c r="E1954" t="s">
        <v>83</v>
      </c>
      <c r="F1954" t="s">
        <v>166</v>
      </c>
      <c r="G1954" t="s">
        <v>4089</v>
      </c>
      <c r="H1954" t="str">
        <f>"ΑΡΧΙΜΗΔΟΥΣ 42 Ν. ΑΛΙΚΑΡΝΑΣΣΟΣ"</f>
        <v>ΑΡΧΙΜΗΔΟΥΣ 42 Ν. ΑΛΙΚΑΡΝΑΣΣΟΣ</v>
      </c>
      <c r="I1954">
        <v>1701</v>
      </c>
      <c r="J1954">
        <v>2106411055</v>
      </c>
      <c r="K1954">
        <v>6972956003</v>
      </c>
      <c r="L1954">
        <v>2810301181</v>
      </c>
      <c r="M1954" t="s">
        <v>4090</v>
      </c>
      <c r="N1954" t="s">
        <v>204</v>
      </c>
      <c r="O1954" t="s">
        <v>205</v>
      </c>
      <c r="P1954" t="s">
        <v>331</v>
      </c>
      <c r="Q1954" t="s">
        <v>332</v>
      </c>
      <c r="R1954" t="s">
        <v>57</v>
      </c>
      <c r="S1954">
        <v>7</v>
      </c>
      <c r="T1954">
        <v>213</v>
      </c>
      <c r="U1954" s="1">
        <v>37874</v>
      </c>
      <c r="V1954" t="s">
        <v>123</v>
      </c>
      <c r="W1954" t="s">
        <v>124</v>
      </c>
      <c r="X1954" t="s">
        <v>58</v>
      </c>
      <c r="Y1954">
        <v>20</v>
      </c>
      <c r="Z1954" t="s">
        <v>59</v>
      </c>
      <c r="AA1954" t="s">
        <v>59</v>
      </c>
      <c r="AB1954" t="s">
        <v>59</v>
      </c>
      <c r="AC1954" t="s">
        <v>59</v>
      </c>
      <c r="AD1954" t="s">
        <v>59</v>
      </c>
      <c r="AF1954" s="1">
        <v>37879</v>
      </c>
      <c r="AG1954" t="s">
        <v>148</v>
      </c>
      <c r="AH1954" t="s">
        <v>149</v>
      </c>
      <c r="AI1954" t="str">
        <f>"1763010"</f>
        <v>1763010</v>
      </c>
      <c r="AJ1954" t="s">
        <v>560</v>
      </c>
      <c r="AK1954">
        <v>2892051146</v>
      </c>
      <c r="AL1954" t="s">
        <v>561</v>
      </c>
      <c r="AM1954" t="s">
        <v>78</v>
      </c>
      <c r="AN1954" t="s">
        <v>242</v>
      </c>
      <c r="AO1954" t="s">
        <v>349</v>
      </c>
      <c r="AP1954" t="s">
        <v>349</v>
      </c>
      <c r="AQ1954">
        <v>35</v>
      </c>
      <c r="AR1954" t="s">
        <v>123</v>
      </c>
      <c r="AS1954" t="s">
        <v>124</v>
      </c>
      <c r="AT1954" t="s">
        <v>58</v>
      </c>
      <c r="AU1954" t="s">
        <v>68</v>
      </c>
      <c r="AV1954" t="s">
        <v>357</v>
      </c>
      <c r="AW1954" s="1">
        <v>26881</v>
      </c>
      <c r="AX1954">
        <v>2</v>
      </c>
    </row>
    <row r="1955" spans="1:50">
      <c r="A1955">
        <v>205929</v>
      </c>
      <c r="B1955" t="str">
        <f>"105913038"</f>
        <v>105913038</v>
      </c>
      <c r="C1955" t="s">
        <v>105</v>
      </c>
      <c r="D1955" t="s">
        <v>4091</v>
      </c>
      <c r="E1955" t="s">
        <v>72</v>
      </c>
      <c r="F1955" t="s">
        <v>99</v>
      </c>
      <c r="G1955" t="s">
        <v>155</v>
      </c>
      <c r="H1955" t="str">
        <f>" "</f>
        <v xml:space="preserve"> </v>
      </c>
      <c r="K1955">
        <v>6973328142</v>
      </c>
      <c r="M1955" t="s">
        <v>4092</v>
      </c>
      <c r="N1955" t="s">
        <v>292</v>
      </c>
      <c r="O1955" t="s">
        <v>293</v>
      </c>
      <c r="R1955" t="s">
        <v>57</v>
      </c>
      <c r="S1955">
        <v>8</v>
      </c>
      <c r="T1955">
        <v>231</v>
      </c>
      <c r="U1955" s="1">
        <v>38230</v>
      </c>
      <c r="V1955" t="s">
        <v>123</v>
      </c>
      <c r="W1955" t="s">
        <v>124</v>
      </c>
      <c r="X1955" t="s">
        <v>58</v>
      </c>
      <c r="Y1955">
        <v>20</v>
      </c>
      <c r="Z1955" t="s">
        <v>59</v>
      </c>
      <c r="AA1955" t="s">
        <v>59</v>
      </c>
      <c r="AB1955" t="s">
        <v>59</v>
      </c>
      <c r="AC1955" t="s">
        <v>59</v>
      </c>
      <c r="AD1955" t="s">
        <v>59</v>
      </c>
      <c r="AF1955" s="1">
        <v>38231</v>
      </c>
      <c r="AG1955" t="s">
        <v>148</v>
      </c>
      <c r="AH1955" t="s">
        <v>1053</v>
      </c>
      <c r="AI1955" t="str">
        <f>"1790200"</f>
        <v>1790200</v>
      </c>
      <c r="AJ1955" t="s">
        <v>1054</v>
      </c>
      <c r="AK1955">
        <v>2810360880</v>
      </c>
      <c r="AL1955" t="s">
        <v>1055</v>
      </c>
      <c r="AM1955" t="s">
        <v>78</v>
      </c>
      <c r="AN1955" t="s">
        <v>78</v>
      </c>
      <c r="AO1955" t="s">
        <v>78</v>
      </c>
      <c r="AP1955" t="s">
        <v>163</v>
      </c>
      <c r="AQ1955">
        <v>8</v>
      </c>
      <c r="AR1955" t="s">
        <v>123</v>
      </c>
      <c r="AS1955" t="s">
        <v>124</v>
      </c>
      <c r="AT1955" t="s">
        <v>58</v>
      </c>
      <c r="AU1955" t="s">
        <v>68</v>
      </c>
      <c r="AV1955" t="s">
        <v>69</v>
      </c>
      <c r="AW1955" s="1">
        <v>24869</v>
      </c>
      <c r="AX1955">
        <v>2</v>
      </c>
    </row>
    <row r="1956" spans="1:50">
      <c r="A1956">
        <v>202840</v>
      </c>
      <c r="B1956" t="str">
        <f>"049526499"</f>
        <v>049526499</v>
      </c>
      <c r="C1956" t="s">
        <v>105</v>
      </c>
      <c r="D1956" t="s">
        <v>4093</v>
      </c>
      <c r="E1956" t="s">
        <v>1023</v>
      </c>
      <c r="F1956" t="s">
        <v>99</v>
      </c>
      <c r="G1956" t="s">
        <v>263</v>
      </c>
      <c r="H1956" t="str">
        <f>"ΜΟΝΗ ΕΠΑΝΩΣΗΦΗ 7 ΗΡΑΚΛΕΙΟ"</f>
        <v>ΜΟΝΗ ΕΠΑΝΩΣΗΦΗ 7 ΗΡΑΚΛΕΙΟ</v>
      </c>
      <c r="I1956">
        <v>71307</v>
      </c>
      <c r="J1956">
        <v>2810235327</v>
      </c>
      <c r="K1956">
        <v>6936852578</v>
      </c>
      <c r="N1956" t="s">
        <v>199</v>
      </c>
      <c r="O1956" t="s">
        <v>200</v>
      </c>
      <c r="R1956" t="s">
        <v>57</v>
      </c>
      <c r="S1956">
        <v>8</v>
      </c>
      <c r="T1956">
        <v>231</v>
      </c>
      <c r="U1956" s="1">
        <v>38230</v>
      </c>
      <c r="V1956" t="s">
        <v>123</v>
      </c>
      <c r="W1956" t="s">
        <v>124</v>
      </c>
      <c r="X1956" t="s">
        <v>58</v>
      </c>
      <c r="Y1956">
        <v>20</v>
      </c>
      <c r="Z1956" t="s">
        <v>59</v>
      </c>
      <c r="AA1956" t="s">
        <v>59</v>
      </c>
      <c r="AB1956" t="s">
        <v>59</v>
      </c>
      <c r="AC1956" t="s">
        <v>59</v>
      </c>
      <c r="AD1956" t="s">
        <v>59</v>
      </c>
      <c r="AF1956" s="1">
        <v>38232</v>
      </c>
      <c r="AG1956" t="s">
        <v>148</v>
      </c>
      <c r="AH1956" t="s">
        <v>149</v>
      </c>
      <c r="AI1956" t="str">
        <f>"1751020"</f>
        <v>1751020</v>
      </c>
      <c r="AJ1956" t="s">
        <v>532</v>
      </c>
      <c r="AK1956">
        <v>2810372732</v>
      </c>
      <c r="AL1956" t="s">
        <v>533</v>
      </c>
      <c r="AM1956" t="s">
        <v>78</v>
      </c>
      <c r="AN1956" t="s">
        <v>78</v>
      </c>
      <c r="AO1956" t="s">
        <v>78</v>
      </c>
      <c r="AP1956" t="s">
        <v>163</v>
      </c>
      <c r="AQ1956">
        <v>3</v>
      </c>
      <c r="AR1956" t="s">
        <v>123</v>
      </c>
      <c r="AS1956" t="s">
        <v>124</v>
      </c>
      <c r="AT1956" t="s">
        <v>58</v>
      </c>
      <c r="AU1956" t="s">
        <v>68</v>
      </c>
      <c r="AV1956" t="s">
        <v>69</v>
      </c>
      <c r="AW1956" s="1">
        <v>28100</v>
      </c>
      <c r="AX1956">
        <v>2</v>
      </c>
    </row>
    <row r="1957" spans="1:50">
      <c r="A1957">
        <v>163580</v>
      </c>
      <c r="B1957" t="str">
        <f>"043889054"</f>
        <v>043889054</v>
      </c>
      <c r="C1957" t="s">
        <v>50</v>
      </c>
      <c r="D1957" t="s">
        <v>4094</v>
      </c>
      <c r="E1957" t="s">
        <v>143</v>
      </c>
      <c r="F1957" t="s">
        <v>304</v>
      </c>
      <c r="G1957" t="s">
        <v>787</v>
      </c>
      <c r="H1957" t="str">
        <f>" "</f>
        <v xml:space="preserve"> </v>
      </c>
      <c r="K1957">
        <v>6937420323</v>
      </c>
      <c r="N1957" t="s">
        <v>337</v>
      </c>
      <c r="O1957" t="s">
        <v>338</v>
      </c>
      <c r="R1957" t="s">
        <v>57</v>
      </c>
      <c r="S1957">
        <v>13</v>
      </c>
      <c r="T1957">
        <v>96</v>
      </c>
      <c r="U1957" s="1">
        <v>33393</v>
      </c>
      <c r="V1957" t="s">
        <v>123</v>
      </c>
      <c r="W1957" t="s">
        <v>124</v>
      </c>
      <c r="X1957" t="s">
        <v>58</v>
      </c>
      <c r="Y1957">
        <v>18</v>
      </c>
      <c r="Z1957" t="s">
        <v>59</v>
      </c>
      <c r="AA1957" t="s">
        <v>59</v>
      </c>
      <c r="AB1957" t="s">
        <v>59</v>
      </c>
      <c r="AC1957" t="s">
        <v>59</v>
      </c>
      <c r="AD1957" t="s">
        <v>59</v>
      </c>
      <c r="AF1957" s="1">
        <v>33485</v>
      </c>
      <c r="AG1957" t="s">
        <v>125</v>
      </c>
      <c r="AH1957" t="s">
        <v>126</v>
      </c>
      <c r="AI1957" t="str">
        <f>"1713010"</f>
        <v>1713010</v>
      </c>
      <c r="AJ1957" t="s">
        <v>369</v>
      </c>
      <c r="AK1957">
        <v>2892051686</v>
      </c>
      <c r="AL1957" t="s">
        <v>370</v>
      </c>
      <c r="AM1957" t="s">
        <v>78</v>
      </c>
      <c r="AN1957" t="s">
        <v>242</v>
      </c>
      <c r="AO1957" t="s">
        <v>349</v>
      </c>
      <c r="AP1957" t="s">
        <v>349</v>
      </c>
      <c r="AQ1957">
        <v>35</v>
      </c>
      <c r="AR1957" t="s">
        <v>123</v>
      </c>
      <c r="AS1957" t="s">
        <v>124</v>
      </c>
      <c r="AT1957" t="s">
        <v>58</v>
      </c>
      <c r="AU1957" t="s">
        <v>68</v>
      </c>
      <c r="AV1957" t="s">
        <v>69</v>
      </c>
      <c r="AW1957" s="1">
        <v>24267</v>
      </c>
      <c r="AX1957">
        <v>2</v>
      </c>
    </row>
    <row r="1958" spans="1:50">
      <c r="A1958">
        <v>207692</v>
      </c>
      <c r="B1958" t="str">
        <f>"061969431"</f>
        <v>061969431</v>
      </c>
      <c r="C1958" t="s">
        <v>105</v>
      </c>
      <c r="D1958" t="s">
        <v>4095</v>
      </c>
      <c r="E1958" t="s">
        <v>84</v>
      </c>
      <c r="F1958" t="s">
        <v>95</v>
      </c>
      <c r="G1958" t="s">
        <v>727</v>
      </c>
      <c r="H1958" t="str">
        <f>" "</f>
        <v xml:space="preserve"> </v>
      </c>
      <c r="J1958">
        <v>2810317611</v>
      </c>
      <c r="K1958">
        <v>6973394861</v>
      </c>
      <c r="N1958" t="s">
        <v>306</v>
      </c>
      <c r="O1958" t="s">
        <v>307</v>
      </c>
      <c r="R1958" t="s">
        <v>57</v>
      </c>
      <c r="S1958">
        <v>8</v>
      </c>
      <c r="T1958">
        <v>218</v>
      </c>
      <c r="U1958" s="1">
        <v>38596</v>
      </c>
      <c r="V1958" t="s">
        <v>123</v>
      </c>
      <c r="W1958" t="s">
        <v>124</v>
      </c>
      <c r="X1958" t="s">
        <v>58</v>
      </c>
      <c r="Y1958">
        <v>20</v>
      </c>
      <c r="Z1958" t="s">
        <v>59</v>
      </c>
      <c r="AA1958" t="s">
        <v>59</v>
      </c>
      <c r="AB1958" t="s">
        <v>59</v>
      </c>
      <c r="AC1958" t="s">
        <v>59</v>
      </c>
      <c r="AD1958" t="s">
        <v>59</v>
      </c>
      <c r="AF1958" s="1">
        <v>38600</v>
      </c>
      <c r="AG1958" t="s">
        <v>125</v>
      </c>
      <c r="AH1958" t="s">
        <v>126</v>
      </c>
      <c r="AI1958" t="str">
        <f>"1701057"</f>
        <v>1701057</v>
      </c>
      <c r="AJ1958" t="s">
        <v>379</v>
      </c>
      <c r="AK1958">
        <v>2810234488</v>
      </c>
      <c r="AL1958" t="s">
        <v>380</v>
      </c>
      <c r="AM1958" t="s">
        <v>78</v>
      </c>
      <c r="AN1958" t="s">
        <v>78</v>
      </c>
      <c r="AO1958" t="s">
        <v>78</v>
      </c>
      <c r="AP1958" t="s">
        <v>163</v>
      </c>
      <c r="AQ1958">
        <v>8</v>
      </c>
      <c r="AR1958" t="s">
        <v>123</v>
      </c>
      <c r="AS1958" t="s">
        <v>124</v>
      </c>
      <c r="AT1958" t="s">
        <v>58</v>
      </c>
      <c r="AU1958" t="s">
        <v>68</v>
      </c>
      <c r="AV1958" t="s">
        <v>69</v>
      </c>
      <c r="AW1958" s="1">
        <v>27250</v>
      </c>
      <c r="AX1958">
        <v>2</v>
      </c>
    </row>
    <row r="1959" spans="1:50">
      <c r="A1959">
        <v>197950</v>
      </c>
      <c r="B1959" t="str">
        <f>"038147389"</f>
        <v>038147389</v>
      </c>
      <c r="C1959" t="s">
        <v>105</v>
      </c>
      <c r="D1959" t="s">
        <v>4096</v>
      </c>
      <c r="E1959" t="s">
        <v>459</v>
      </c>
      <c r="F1959" t="s">
        <v>4097</v>
      </c>
      <c r="G1959" t="s">
        <v>823</v>
      </c>
      <c r="H1959" t="str">
        <f>"ΣΚΛΑΒΟΚΑΜΠΟΥ 25 ΓΑΖΙ ΜΑΛΕΒΥΖΙΟΥ ΗΡΑΚΛΕΙΟΥ"</f>
        <v>ΣΚΛΑΒΟΚΑΜΠΟΥ 25 ΓΑΖΙ ΜΑΛΕΒΥΖΙΟΥ ΗΡΑΚΛΕΙΟΥ</v>
      </c>
      <c r="I1959">
        <v>71414</v>
      </c>
      <c r="J1959">
        <v>2834023211</v>
      </c>
      <c r="K1959">
        <v>6977541896</v>
      </c>
      <c r="L1959">
        <v>2811754662</v>
      </c>
      <c r="M1959" t="s">
        <v>4098</v>
      </c>
      <c r="N1959" t="s">
        <v>292</v>
      </c>
      <c r="O1959" t="s">
        <v>293</v>
      </c>
      <c r="R1959" t="s">
        <v>57</v>
      </c>
      <c r="S1959">
        <v>7</v>
      </c>
      <c r="T1959">
        <v>206</v>
      </c>
      <c r="U1959" s="1">
        <v>37866</v>
      </c>
      <c r="V1959" t="s">
        <v>123</v>
      </c>
      <c r="W1959" t="s">
        <v>124</v>
      </c>
      <c r="X1959" t="s">
        <v>58</v>
      </c>
      <c r="Y1959">
        <v>20</v>
      </c>
      <c r="Z1959" t="s">
        <v>59</v>
      </c>
      <c r="AA1959" t="s">
        <v>59</v>
      </c>
      <c r="AB1959" t="s">
        <v>59</v>
      </c>
      <c r="AC1959" t="s">
        <v>59</v>
      </c>
      <c r="AD1959" t="s">
        <v>59</v>
      </c>
      <c r="AF1959" s="1">
        <v>37866</v>
      </c>
      <c r="AG1959" t="s">
        <v>125</v>
      </c>
      <c r="AH1959" t="s">
        <v>126</v>
      </c>
      <c r="AI1959" t="str">
        <f>"1728010"</f>
        <v>1728010</v>
      </c>
      <c r="AJ1959" t="s">
        <v>127</v>
      </c>
      <c r="AK1959">
        <v>2810824651</v>
      </c>
      <c r="AL1959" t="s">
        <v>128</v>
      </c>
      <c r="AM1959" t="s">
        <v>78</v>
      </c>
      <c r="AN1959" t="s">
        <v>129</v>
      </c>
      <c r="AO1959" t="s">
        <v>130</v>
      </c>
      <c r="AP1959" t="s">
        <v>130</v>
      </c>
      <c r="AQ1959">
        <v>36</v>
      </c>
      <c r="AR1959" t="s">
        <v>123</v>
      </c>
      <c r="AS1959" t="s">
        <v>124</v>
      </c>
      <c r="AT1959" t="s">
        <v>58</v>
      </c>
      <c r="AU1959" t="s">
        <v>68</v>
      </c>
      <c r="AV1959" t="s">
        <v>1092</v>
      </c>
      <c r="AW1959" s="1">
        <v>22255</v>
      </c>
      <c r="AX1959">
        <v>2</v>
      </c>
    </row>
    <row r="1960" spans="1:50">
      <c r="A1960">
        <v>195421</v>
      </c>
      <c r="B1960" t="str">
        <f>"103659823"</f>
        <v>103659823</v>
      </c>
      <c r="C1960" t="s">
        <v>50</v>
      </c>
      <c r="D1960" t="s">
        <v>4099</v>
      </c>
      <c r="E1960" t="s">
        <v>507</v>
      </c>
      <c r="F1960" t="s">
        <v>564</v>
      </c>
      <c r="G1960" t="s">
        <v>181</v>
      </c>
      <c r="H1960" t="str">
        <f>"Κ. ΠΕΤΡΑΚΗ 6 "</f>
        <v xml:space="preserve">Κ. ΠΕΤΡΑΚΗ 6 </v>
      </c>
      <c r="I1960">
        <v>70400</v>
      </c>
      <c r="J1960">
        <v>2892024900</v>
      </c>
      <c r="K1960">
        <v>6974516222</v>
      </c>
      <c r="M1960" t="s">
        <v>4100</v>
      </c>
      <c r="N1960" t="s">
        <v>146</v>
      </c>
      <c r="O1960" t="s">
        <v>147</v>
      </c>
      <c r="R1960" t="s">
        <v>57</v>
      </c>
      <c r="S1960">
        <v>8</v>
      </c>
      <c r="T1960">
        <v>194</v>
      </c>
      <c r="U1960" s="1">
        <v>37497</v>
      </c>
      <c r="V1960" t="s">
        <v>123</v>
      </c>
      <c r="W1960" t="s">
        <v>124</v>
      </c>
      <c r="X1960" t="s">
        <v>58</v>
      </c>
      <c r="Y1960">
        <v>20</v>
      </c>
      <c r="Z1960" t="s">
        <v>59</v>
      </c>
      <c r="AA1960" t="s">
        <v>59</v>
      </c>
      <c r="AB1960" t="s">
        <v>59</v>
      </c>
      <c r="AC1960" t="s">
        <v>59</v>
      </c>
      <c r="AD1960" t="s">
        <v>59</v>
      </c>
      <c r="AF1960" s="1">
        <v>37501</v>
      </c>
      <c r="AG1960" t="s">
        <v>125</v>
      </c>
      <c r="AH1960" t="s">
        <v>126</v>
      </c>
      <c r="AI1960" t="str">
        <f>"1706010"</f>
        <v>1706010</v>
      </c>
      <c r="AJ1960" t="s">
        <v>391</v>
      </c>
      <c r="AK1960">
        <v>2892022286</v>
      </c>
      <c r="AL1960" t="s">
        <v>392</v>
      </c>
      <c r="AM1960" t="s">
        <v>78</v>
      </c>
      <c r="AN1960" t="s">
        <v>242</v>
      </c>
      <c r="AO1960" t="s">
        <v>243</v>
      </c>
      <c r="AP1960" t="s">
        <v>243</v>
      </c>
      <c r="AQ1960">
        <v>33</v>
      </c>
      <c r="AR1960" t="s">
        <v>123</v>
      </c>
      <c r="AS1960" t="s">
        <v>124</v>
      </c>
      <c r="AT1960" t="s">
        <v>58</v>
      </c>
      <c r="AU1960" t="s">
        <v>68</v>
      </c>
      <c r="AV1960" t="s">
        <v>69</v>
      </c>
      <c r="AW1960" s="1">
        <v>25669</v>
      </c>
      <c r="AX1960">
        <v>2</v>
      </c>
    </row>
    <row r="1961" spans="1:50">
      <c r="A1961">
        <v>190137</v>
      </c>
      <c r="B1961" t="str">
        <f>"046118622"</f>
        <v>046118622</v>
      </c>
      <c r="C1961" t="s">
        <v>105</v>
      </c>
      <c r="D1961" t="s">
        <v>4101</v>
      </c>
      <c r="E1961" t="s">
        <v>95</v>
      </c>
      <c r="F1961" t="s">
        <v>2482</v>
      </c>
      <c r="G1961" t="s">
        <v>52</v>
      </c>
      <c r="H1961" t="str">
        <f>"Μ. ΑΝΔΡΟΝΙΚΟΥ 20 ΗΡΑΚΛΕΙΟ"</f>
        <v>Μ. ΑΝΔΡΟΝΙΚΟΥ 20 ΗΡΑΚΛΕΙΟ</v>
      </c>
      <c r="I1961">
        <v>71304</v>
      </c>
      <c r="J1961">
        <v>2810316284</v>
      </c>
      <c r="M1961" t="s">
        <v>4102</v>
      </c>
      <c r="N1961" t="s">
        <v>199</v>
      </c>
      <c r="O1961" t="s">
        <v>200</v>
      </c>
      <c r="R1961" t="s">
        <v>57</v>
      </c>
      <c r="S1961">
        <v>8</v>
      </c>
      <c r="T1961">
        <v>219</v>
      </c>
      <c r="U1961" s="1">
        <v>37134</v>
      </c>
      <c r="V1961" t="s">
        <v>123</v>
      </c>
      <c r="W1961" t="s">
        <v>124</v>
      </c>
      <c r="X1961" t="s">
        <v>58</v>
      </c>
      <c r="Y1961">
        <v>20</v>
      </c>
      <c r="Z1961" t="s">
        <v>59</v>
      </c>
      <c r="AA1961" t="s">
        <v>59</v>
      </c>
      <c r="AB1961" t="s">
        <v>59</v>
      </c>
      <c r="AC1961" t="s">
        <v>59</v>
      </c>
      <c r="AD1961" t="s">
        <v>59</v>
      </c>
      <c r="AF1961" s="1">
        <v>37137</v>
      </c>
      <c r="AG1961" t="s">
        <v>148</v>
      </c>
      <c r="AH1961" t="s">
        <v>149</v>
      </c>
      <c r="AI1961" t="str">
        <f>"1751051"</f>
        <v>1751051</v>
      </c>
      <c r="AJ1961" t="s">
        <v>259</v>
      </c>
      <c r="AK1961">
        <v>2810251794</v>
      </c>
      <c r="AL1961" t="s">
        <v>260</v>
      </c>
      <c r="AM1961" t="s">
        <v>78</v>
      </c>
      <c r="AN1961" t="s">
        <v>78</v>
      </c>
      <c r="AO1961" t="s">
        <v>78</v>
      </c>
      <c r="AP1961" t="s">
        <v>141</v>
      </c>
      <c r="AQ1961">
        <v>7</v>
      </c>
      <c r="AR1961" t="s">
        <v>123</v>
      </c>
      <c r="AS1961" t="s">
        <v>124</v>
      </c>
      <c r="AT1961" t="s">
        <v>58</v>
      </c>
      <c r="AU1961" t="s">
        <v>68</v>
      </c>
      <c r="AV1961" t="s">
        <v>69</v>
      </c>
      <c r="AW1961" s="1">
        <v>24369</v>
      </c>
      <c r="AX1961">
        <v>2</v>
      </c>
    </row>
    <row r="1962" spans="1:50">
      <c r="A1962">
        <v>154315</v>
      </c>
      <c r="B1962" t="str">
        <f>"028662435"</f>
        <v>028662435</v>
      </c>
      <c r="C1962" t="s">
        <v>105</v>
      </c>
      <c r="D1962" t="s">
        <v>4103</v>
      </c>
      <c r="E1962" t="s">
        <v>1328</v>
      </c>
      <c r="F1962" t="s">
        <v>84</v>
      </c>
      <c r="G1962" t="s">
        <v>1361</v>
      </c>
      <c r="H1962" t="str">
        <f>" "</f>
        <v xml:space="preserve"> </v>
      </c>
      <c r="N1962" t="s">
        <v>204</v>
      </c>
      <c r="O1962" t="s">
        <v>205</v>
      </c>
      <c r="R1962" t="s">
        <v>57</v>
      </c>
      <c r="S1962">
        <v>19</v>
      </c>
      <c r="T1962">
        <v>161</v>
      </c>
      <c r="U1962" s="1">
        <v>32387</v>
      </c>
      <c r="V1962" t="s">
        <v>123</v>
      </c>
      <c r="W1962" t="s">
        <v>124</v>
      </c>
      <c r="X1962" t="s">
        <v>58</v>
      </c>
      <c r="Y1962">
        <v>18</v>
      </c>
      <c r="Z1962" t="s">
        <v>59</v>
      </c>
      <c r="AA1962" t="s">
        <v>59</v>
      </c>
      <c r="AB1962" t="s">
        <v>59</v>
      </c>
      <c r="AC1962" t="s">
        <v>59</v>
      </c>
      <c r="AD1962" t="s">
        <v>59</v>
      </c>
      <c r="AF1962" s="1">
        <v>32401</v>
      </c>
      <c r="AG1962" t="s">
        <v>125</v>
      </c>
      <c r="AH1962" t="s">
        <v>126</v>
      </c>
      <c r="AI1962" t="str">
        <f>"1701057"</f>
        <v>1701057</v>
      </c>
      <c r="AJ1962" t="s">
        <v>379</v>
      </c>
      <c r="AK1962">
        <v>2810234488</v>
      </c>
      <c r="AL1962" t="s">
        <v>380</v>
      </c>
      <c r="AM1962" t="s">
        <v>78</v>
      </c>
      <c r="AN1962" t="s">
        <v>78</v>
      </c>
      <c r="AO1962" t="s">
        <v>78</v>
      </c>
      <c r="AP1962" t="s">
        <v>163</v>
      </c>
      <c r="AQ1962">
        <v>8</v>
      </c>
      <c r="AR1962" t="s">
        <v>123</v>
      </c>
      <c r="AS1962" t="s">
        <v>124</v>
      </c>
      <c r="AT1962" t="s">
        <v>58</v>
      </c>
      <c r="AU1962" t="s">
        <v>68</v>
      </c>
      <c r="AV1962" t="s">
        <v>69</v>
      </c>
      <c r="AW1962" s="1">
        <v>20868</v>
      </c>
      <c r="AX1962">
        <v>2</v>
      </c>
    </row>
    <row r="1963" spans="1:50">
      <c r="A1963">
        <v>216400</v>
      </c>
      <c r="B1963" t="str">
        <f>"053145454"</f>
        <v>053145454</v>
      </c>
      <c r="C1963" t="s">
        <v>105</v>
      </c>
      <c r="D1963" t="s">
        <v>4104</v>
      </c>
      <c r="E1963" t="s">
        <v>4105</v>
      </c>
      <c r="F1963" t="s">
        <v>166</v>
      </c>
      <c r="G1963" t="s">
        <v>860</v>
      </c>
      <c r="H1963" t="str">
        <f>" "</f>
        <v xml:space="preserve"> </v>
      </c>
      <c r="J1963">
        <v>2810323132</v>
      </c>
      <c r="K1963">
        <v>6932107197</v>
      </c>
      <c r="M1963" t="s">
        <v>4106</v>
      </c>
      <c r="N1963" t="s">
        <v>246</v>
      </c>
      <c r="O1963" t="s">
        <v>247</v>
      </c>
      <c r="R1963" t="s">
        <v>57</v>
      </c>
      <c r="S1963">
        <v>5</v>
      </c>
      <c r="T1963">
        <v>236</v>
      </c>
      <c r="U1963" s="1">
        <v>38961</v>
      </c>
      <c r="V1963" t="s">
        <v>123</v>
      </c>
      <c r="W1963" t="s">
        <v>124</v>
      </c>
      <c r="X1963" t="s">
        <v>58</v>
      </c>
      <c r="Y1963">
        <v>20</v>
      </c>
      <c r="Z1963" t="s">
        <v>59</v>
      </c>
      <c r="AA1963" t="s">
        <v>59</v>
      </c>
      <c r="AB1963" t="s">
        <v>59</v>
      </c>
      <c r="AC1963" t="s">
        <v>59</v>
      </c>
      <c r="AD1963" t="s">
        <v>59</v>
      </c>
      <c r="AF1963" s="1">
        <v>38964</v>
      </c>
      <c r="AG1963" t="s">
        <v>125</v>
      </c>
      <c r="AH1963" t="s">
        <v>126</v>
      </c>
      <c r="AI1963" t="str">
        <f>"1701054"</f>
        <v>1701054</v>
      </c>
      <c r="AJ1963" t="s">
        <v>318</v>
      </c>
      <c r="AK1963">
        <v>2810252418</v>
      </c>
      <c r="AL1963" t="s">
        <v>319</v>
      </c>
      <c r="AM1963" t="s">
        <v>78</v>
      </c>
      <c r="AN1963" t="s">
        <v>78</v>
      </c>
      <c r="AO1963" t="s">
        <v>78</v>
      </c>
      <c r="AP1963" t="s">
        <v>141</v>
      </c>
      <c r="AQ1963">
        <v>7</v>
      </c>
      <c r="AR1963" t="s">
        <v>123</v>
      </c>
      <c r="AS1963" t="s">
        <v>124</v>
      </c>
      <c r="AT1963" t="s">
        <v>58</v>
      </c>
      <c r="AU1963" t="s">
        <v>68</v>
      </c>
      <c r="AV1963" t="s">
        <v>69</v>
      </c>
      <c r="AW1963" s="1">
        <v>21355</v>
      </c>
      <c r="AX1963">
        <v>2</v>
      </c>
    </row>
    <row r="1964" spans="1:50">
      <c r="A1964">
        <v>224581</v>
      </c>
      <c r="B1964" t="str">
        <f>"046119981"</f>
        <v>046119981</v>
      </c>
      <c r="C1964" t="s">
        <v>50</v>
      </c>
      <c r="D1964" t="s">
        <v>4107</v>
      </c>
      <c r="E1964" t="s">
        <v>237</v>
      </c>
      <c r="F1964" t="s">
        <v>166</v>
      </c>
      <c r="G1964" t="s">
        <v>366</v>
      </c>
      <c r="H1964" t="str">
        <f>"ΓΕΡΓΕΡΗ "</f>
        <v xml:space="preserve">ΓΕΡΓΕΡΗ </v>
      </c>
      <c r="I1964">
        <v>70003</v>
      </c>
      <c r="J1964">
        <v>2894041383</v>
      </c>
      <c r="K1964">
        <v>6936937371</v>
      </c>
      <c r="M1964" t="s">
        <v>4108</v>
      </c>
      <c r="N1964" t="s">
        <v>288</v>
      </c>
      <c r="O1964" t="s">
        <v>289</v>
      </c>
      <c r="R1964" t="s">
        <v>57</v>
      </c>
      <c r="S1964">
        <v>4</v>
      </c>
      <c r="T1964">
        <v>775</v>
      </c>
      <c r="U1964" s="1">
        <v>39680</v>
      </c>
      <c r="V1964" t="s">
        <v>123</v>
      </c>
      <c r="W1964" t="s">
        <v>124</v>
      </c>
      <c r="X1964" t="s">
        <v>58</v>
      </c>
      <c r="Y1964">
        <v>21</v>
      </c>
      <c r="Z1964" t="s">
        <v>59</v>
      </c>
      <c r="AA1964" t="s">
        <v>59</v>
      </c>
      <c r="AB1964" t="s">
        <v>59</v>
      </c>
      <c r="AC1964" t="s">
        <v>59</v>
      </c>
      <c r="AD1964" t="s">
        <v>59</v>
      </c>
      <c r="AF1964" s="1">
        <v>39681</v>
      </c>
      <c r="AG1964" t="s">
        <v>125</v>
      </c>
      <c r="AH1964" t="s">
        <v>126</v>
      </c>
      <c r="AI1964" t="str">
        <f>"1706010"</f>
        <v>1706010</v>
      </c>
      <c r="AJ1964" t="s">
        <v>391</v>
      </c>
      <c r="AK1964">
        <v>2892022286</v>
      </c>
      <c r="AL1964" t="s">
        <v>392</v>
      </c>
      <c r="AM1964" t="s">
        <v>78</v>
      </c>
      <c r="AN1964" t="s">
        <v>242</v>
      </c>
      <c r="AO1964" t="s">
        <v>243</v>
      </c>
      <c r="AP1964" t="s">
        <v>243</v>
      </c>
      <c r="AQ1964">
        <v>33</v>
      </c>
      <c r="AR1964" t="s">
        <v>123</v>
      </c>
      <c r="AS1964" t="s">
        <v>124</v>
      </c>
      <c r="AT1964" t="s">
        <v>58</v>
      </c>
      <c r="AU1964" t="s">
        <v>68</v>
      </c>
      <c r="AV1964" t="s">
        <v>69</v>
      </c>
      <c r="AW1964" s="1">
        <v>23933</v>
      </c>
      <c r="AX1964">
        <v>2</v>
      </c>
    </row>
    <row r="1965" spans="1:50">
      <c r="A1965">
        <v>158749</v>
      </c>
      <c r="B1965" t="str">
        <f>"044121286"</f>
        <v>044121286</v>
      </c>
      <c r="C1965" t="s">
        <v>50</v>
      </c>
      <c r="D1965" t="s">
        <v>4109</v>
      </c>
      <c r="E1965" t="s">
        <v>1345</v>
      </c>
      <c r="F1965" t="s">
        <v>1041</v>
      </c>
      <c r="G1965" t="s">
        <v>1176</v>
      </c>
      <c r="H1965" t="str">
        <f>"ΜΥΣΤΡΑ 24 ΜΑΣΤΑΜΠΑΣ"</f>
        <v>ΜΥΣΤΡΑ 24 ΜΑΣΤΑΜΠΑΣ</v>
      </c>
      <c r="I1965">
        <v>71305</v>
      </c>
      <c r="J1965">
        <v>2810262085</v>
      </c>
      <c r="K1965">
        <v>6974187313</v>
      </c>
      <c r="M1965" t="s">
        <v>4110</v>
      </c>
      <c r="N1965" t="s">
        <v>337</v>
      </c>
      <c r="O1965" t="s">
        <v>338</v>
      </c>
      <c r="R1965" t="s">
        <v>57</v>
      </c>
      <c r="S1965">
        <v>13</v>
      </c>
      <c r="T1965">
        <v>161</v>
      </c>
      <c r="U1965" s="1">
        <v>33119</v>
      </c>
      <c r="V1965" t="s">
        <v>123</v>
      </c>
      <c r="W1965" t="s">
        <v>124</v>
      </c>
      <c r="X1965" t="s">
        <v>58</v>
      </c>
      <c r="Y1965">
        <v>18</v>
      </c>
      <c r="Z1965" t="s">
        <v>59</v>
      </c>
      <c r="AA1965" t="s">
        <v>59</v>
      </c>
      <c r="AB1965" t="s">
        <v>59</v>
      </c>
      <c r="AC1965" t="s">
        <v>59</v>
      </c>
      <c r="AD1965" t="s">
        <v>452</v>
      </c>
      <c r="AE1965" s="1">
        <v>43708</v>
      </c>
      <c r="AF1965" s="1">
        <v>33121</v>
      </c>
      <c r="AG1965" t="s">
        <v>60</v>
      </c>
      <c r="AH1965" t="s">
        <v>453</v>
      </c>
      <c r="AI1965" t="str">
        <f>"1700105"</f>
        <v>1700105</v>
      </c>
      <c r="AJ1965" t="s">
        <v>124</v>
      </c>
      <c r="AK1965">
        <v>2810333720</v>
      </c>
      <c r="AL1965" t="s">
        <v>454</v>
      </c>
      <c r="AM1965" t="s">
        <v>78</v>
      </c>
      <c r="AN1965" t="s">
        <v>78</v>
      </c>
      <c r="AO1965" t="s">
        <v>78</v>
      </c>
      <c r="AP1965" t="s">
        <v>79</v>
      </c>
      <c r="AS1965" t="s">
        <v>124</v>
      </c>
      <c r="AT1965" t="s">
        <v>58</v>
      </c>
      <c r="AU1965" t="s">
        <v>68</v>
      </c>
      <c r="AV1965" t="s">
        <v>455</v>
      </c>
      <c r="AW1965" s="1">
        <v>23939</v>
      </c>
      <c r="AX1965">
        <v>2</v>
      </c>
    </row>
    <row r="1966" spans="1:50">
      <c r="A1966">
        <v>220821</v>
      </c>
      <c r="B1966" t="str">
        <f>"110103509"</f>
        <v>110103509</v>
      </c>
      <c r="C1966" t="s">
        <v>50</v>
      </c>
      <c r="D1966" t="s">
        <v>4111</v>
      </c>
      <c r="E1966" t="s">
        <v>52</v>
      </c>
      <c r="F1966" t="s">
        <v>920</v>
      </c>
      <c r="G1966" t="s">
        <v>188</v>
      </c>
      <c r="H1966" t="str">
        <f>"ΛΑΚΕΡΔΑ ΚΑΙ ΑΥΞΕΝΤΙΟΥ 22 ΙΕΡΑΠΕΤΡΑ"</f>
        <v>ΛΑΚΕΡΔΑ ΚΑΙ ΑΥΞΕΝΤΙΟΥ 22 ΙΕΡΑΠΕΤΡΑ</v>
      </c>
      <c r="I1966">
        <v>72200</v>
      </c>
      <c r="J1966">
        <v>2842071213</v>
      </c>
      <c r="K1966">
        <v>6977079402</v>
      </c>
      <c r="N1966" t="s">
        <v>288</v>
      </c>
      <c r="O1966" t="s">
        <v>289</v>
      </c>
      <c r="R1966" t="s">
        <v>57</v>
      </c>
      <c r="S1966">
        <v>8</v>
      </c>
      <c r="T1966">
        <v>681</v>
      </c>
      <c r="U1966" s="1">
        <v>39325</v>
      </c>
      <c r="V1966" t="s">
        <v>123</v>
      </c>
      <c r="W1966" t="s">
        <v>124</v>
      </c>
      <c r="X1966" t="s">
        <v>58</v>
      </c>
      <c r="Y1966">
        <v>20</v>
      </c>
      <c r="Z1966" t="s">
        <v>59</v>
      </c>
      <c r="AA1966" t="s">
        <v>59</v>
      </c>
      <c r="AB1966" t="s">
        <v>59</v>
      </c>
      <c r="AC1966" t="s">
        <v>59</v>
      </c>
      <c r="AD1966" t="s">
        <v>59</v>
      </c>
      <c r="AF1966" s="1">
        <v>39329</v>
      </c>
      <c r="AG1966" t="s">
        <v>125</v>
      </c>
      <c r="AH1966" t="s">
        <v>126</v>
      </c>
      <c r="AI1966" t="str">
        <f>"1717011"</f>
        <v>1717011</v>
      </c>
      <c r="AJ1966" t="s">
        <v>832</v>
      </c>
      <c r="AK1966">
        <v>2897023311</v>
      </c>
      <c r="AL1966" t="s">
        <v>833</v>
      </c>
      <c r="AM1966" t="s">
        <v>78</v>
      </c>
      <c r="AN1966" t="s">
        <v>219</v>
      </c>
      <c r="AO1966" t="s">
        <v>219</v>
      </c>
      <c r="AP1966" t="s">
        <v>220</v>
      </c>
      <c r="AQ1966">
        <v>20</v>
      </c>
      <c r="AR1966" t="s">
        <v>123</v>
      </c>
      <c r="AS1966" t="s">
        <v>124</v>
      </c>
      <c r="AT1966" t="s">
        <v>58</v>
      </c>
      <c r="AU1966" t="s">
        <v>68</v>
      </c>
      <c r="AV1966" t="s">
        <v>69</v>
      </c>
      <c r="AW1966" s="1">
        <v>27216</v>
      </c>
      <c r="AX1966">
        <v>2</v>
      </c>
    </row>
    <row r="1967" spans="1:50">
      <c r="A1967">
        <v>197565</v>
      </c>
      <c r="B1967" t="str">
        <f>"101330597"</f>
        <v>101330597</v>
      </c>
      <c r="C1967" t="s">
        <v>105</v>
      </c>
      <c r="D1967" t="s">
        <v>4112</v>
      </c>
      <c r="E1967" t="s">
        <v>154</v>
      </c>
      <c r="F1967" t="s">
        <v>4113</v>
      </c>
      <c r="G1967" t="s">
        <v>52</v>
      </c>
      <c r="H1967" t="str">
        <f>"ΜΑΧΑΙΡΙΩΤΗ 6 ΗΡΑΚΛΕΙΟ ΚΡΗΤΗΣ"</f>
        <v>ΜΑΧΑΙΡΙΩΤΗ 6 ΗΡΑΚΛΕΙΟ ΚΡΗΤΗΣ</v>
      </c>
      <c r="I1967">
        <v>71201</v>
      </c>
      <c r="J1967">
        <v>2810222537</v>
      </c>
      <c r="K1967">
        <v>6971659047</v>
      </c>
      <c r="M1967" t="s">
        <v>4114</v>
      </c>
      <c r="N1967" t="s">
        <v>146</v>
      </c>
      <c r="O1967" t="s">
        <v>147</v>
      </c>
      <c r="R1967" t="s">
        <v>57</v>
      </c>
      <c r="S1967">
        <v>9</v>
      </c>
      <c r="T1967">
        <v>206</v>
      </c>
      <c r="U1967" s="1">
        <v>37866</v>
      </c>
      <c r="V1967" t="s">
        <v>123</v>
      </c>
      <c r="W1967" t="s">
        <v>124</v>
      </c>
      <c r="X1967" t="s">
        <v>58</v>
      </c>
      <c r="Y1967">
        <v>20</v>
      </c>
      <c r="Z1967" t="s">
        <v>59</v>
      </c>
      <c r="AA1967" t="s">
        <v>59</v>
      </c>
      <c r="AB1967" t="s">
        <v>59</v>
      </c>
      <c r="AC1967" t="s">
        <v>59</v>
      </c>
      <c r="AD1967" t="s">
        <v>59</v>
      </c>
      <c r="AF1967" s="1">
        <v>37866</v>
      </c>
      <c r="AG1967" t="s">
        <v>148</v>
      </c>
      <c r="AH1967" t="s">
        <v>149</v>
      </c>
      <c r="AI1967" t="str">
        <f>"1760010"</f>
        <v>1760010</v>
      </c>
      <c r="AJ1967" t="s">
        <v>701</v>
      </c>
      <c r="AK1967">
        <v>2810711442</v>
      </c>
      <c r="AL1967" t="s">
        <v>702</v>
      </c>
      <c r="AM1967" t="s">
        <v>78</v>
      </c>
      <c r="AN1967" t="s">
        <v>129</v>
      </c>
      <c r="AO1967" t="s">
        <v>597</v>
      </c>
      <c r="AP1967" t="s">
        <v>598</v>
      </c>
      <c r="AQ1967">
        <v>28</v>
      </c>
      <c r="AR1967" t="s">
        <v>123</v>
      </c>
      <c r="AS1967" t="s">
        <v>124</v>
      </c>
      <c r="AT1967" t="s">
        <v>58</v>
      </c>
      <c r="AU1967" t="s">
        <v>68</v>
      </c>
      <c r="AV1967" t="s">
        <v>69</v>
      </c>
      <c r="AW1967" s="1">
        <v>27840</v>
      </c>
      <c r="AX1967">
        <v>2</v>
      </c>
    </row>
    <row r="1968" spans="1:50">
      <c r="A1968">
        <v>703745</v>
      </c>
      <c r="B1968" t="str">
        <f>"105005903"</f>
        <v>105005903</v>
      </c>
      <c r="C1968" t="s">
        <v>105</v>
      </c>
      <c r="D1968" t="s">
        <v>4115</v>
      </c>
      <c r="E1968" t="s">
        <v>304</v>
      </c>
      <c r="F1968" t="s">
        <v>95</v>
      </c>
      <c r="G1968" t="s">
        <v>54</v>
      </c>
      <c r="H1968" t="str">
        <f>"ΣΚΟΡΔΑΛΟΥ ΚΑΙ ΜΟΥΝΤΑΚΗ Τ.Θ. 14 "</f>
        <v xml:space="preserve">ΣΚΟΡΔΑΛΟΥ ΚΑΙ ΜΟΥΝΤΑΚΗ Τ.Θ. 14 </v>
      </c>
      <c r="I1968">
        <v>71414</v>
      </c>
      <c r="J1968">
        <v>2810823425</v>
      </c>
      <c r="K1968">
        <v>6974638916</v>
      </c>
      <c r="M1968" t="s">
        <v>4116</v>
      </c>
      <c r="N1968" t="s">
        <v>168</v>
      </c>
      <c r="O1968" t="s">
        <v>169</v>
      </c>
      <c r="R1968" t="s">
        <v>57</v>
      </c>
      <c r="S1968">
        <v>3</v>
      </c>
      <c r="T1968">
        <v>225</v>
      </c>
      <c r="U1968" s="1">
        <v>41695</v>
      </c>
      <c r="V1968" t="s">
        <v>123</v>
      </c>
      <c r="W1968" t="s">
        <v>124</v>
      </c>
      <c r="X1968" t="s">
        <v>58</v>
      </c>
      <c r="Y1968">
        <v>21</v>
      </c>
      <c r="Z1968" t="s">
        <v>59</v>
      </c>
      <c r="AA1968" t="s">
        <v>59</v>
      </c>
      <c r="AB1968" t="s">
        <v>59</v>
      </c>
      <c r="AC1968" t="s">
        <v>59</v>
      </c>
      <c r="AD1968" t="s">
        <v>59</v>
      </c>
      <c r="AF1968" s="1">
        <v>41695</v>
      </c>
      <c r="AG1968" t="s">
        <v>137</v>
      </c>
      <c r="AH1968" t="s">
        <v>138</v>
      </c>
      <c r="AI1968" t="str">
        <f>"1740100"</f>
        <v>1740100</v>
      </c>
      <c r="AJ1968" t="s">
        <v>857</v>
      </c>
      <c r="AK1968">
        <v>2810360741</v>
      </c>
      <c r="AL1968" t="s">
        <v>858</v>
      </c>
      <c r="AM1968" t="s">
        <v>78</v>
      </c>
      <c r="AN1968" t="s">
        <v>78</v>
      </c>
      <c r="AO1968" t="s">
        <v>78</v>
      </c>
      <c r="AP1968" t="s">
        <v>163</v>
      </c>
      <c r="AQ1968">
        <v>5</v>
      </c>
      <c r="AR1968" t="s">
        <v>123</v>
      </c>
      <c r="AS1968" t="s">
        <v>124</v>
      </c>
      <c r="AT1968" t="s">
        <v>58</v>
      </c>
      <c r="AU1968" t="s">
        <v>68</v>
      </c>
      <c r="AV1968" t="s">
        <v>69</v>
      </c>
      <c r="AW1968" s="1">
        <v>28856</v>
      </c>
      <c r="AX1968">
        <v>2</v>
      </c>
    </row>
    <row r="1969" spans="1:50">
      <c r="A1969">
        <v>178581</v>
      </c>
      <c r="B1969" t="str">
        <f>"045476685"</f>
        <v>045476685</v>
      </c>
      <c r="C1969" t="s">
        <v>50</v>
      </c>
      <c r="D1969" t="s">
        <v>4117</v>
      </c>
      <c r="E1969" t="s">
        <v>52</v>
      </c>
      <c r="F1969" t="s">
        <v>154</v>
      </c>
      <c r="G1969" t="s">
        <v>4118</v>
      </c>
      <c r="H1969" t="str">
        <f>"ΑΛΚΜΑΙΟΝΟΣ 38 "</f>
        <v xml:space="preserve">ΑΛΚΜΑΙΟΝΟΣ 38 </v>
      </c>
      <c r="I1969">
        <v>71409</v>
      </c>
      <c r="J1969">
        <v>2810239712</v>
      </c>
      <c r="K1969">
        <v>6972622493</v>
      </c>
      <c r="M1969" t="s">
        <v>4119</v>
      </c>
      <c r="N1969" t="s">
        <v>306</v>
      </c>
      <c r="O1969" t="s">
        <v>307</v>
      </c>
      <c r="R1969" t="s">
        <v>57</v>
      </c>
      <c r="S1969">
        <v>11</v>
      </c>
      <c r="T1969">
        <v>181</v>
      </c>
      <c r="U1969" s="1">
        <v>35674</v>
      </c>
      <c r="V1969" t="s">
        <v>123</v>
      </c>
      <c r="W1969" t="s">
        <v>124</v>
      </c>
      <c r="X1969" t="s">
        <v>58</v>
      </c>
      <c r="Y1969">
        <v>18</v>
      </c>
      <c r="Z1969" t="s">
        <v>59</v>
      </c>
      <c r="AA1969" t="s">
        <v>59</v>
      </c>
      <c r="AB1969" t="s">
        <v>59</v>
      </c>
      <c r="AC1969" t="s">
        <v>59</v>
      </c>
      <c r="AD1969" t="s">
        <v>59</v>
      </c>
      <c r="AF1969" s="1">
        <v>35674</v>
      </c>
      <c r="AG1969" t="s">
        <v>148</v>
      </c>
      <c r="AH1969" t="s">
        <v>149</v>
      </c>
      <c r="AI1969" t="str">
        <f>"1751051"</f>
        <v>1751051</v>
      </c>
      <c r="AJ1969" t="s">
        <v>259</v>
      </c>
      <c r="AK1969">
        <v>2810251794</v>
      </c>
      <c r="AL1969" t="s">
        <v>260</v>
      </c>
      <c r="AM1969" t="s">
        <v>78</v>
      </c>
      <c r="AN1969" t="s">
        <v>78</v>
      </c>
      <c r="AO1969" t="s">
        <v>78</v>
      </c>
      <c r="AP1969" t="s">
        <v>141</v>
      </c>
      <c r="AQ1969">
        <v>7</v>
      </c>
      <c r="AR1969" t="s">
        <v>123</v>
      </c>
      <c r="AS1969" t="s">
        <v>124</v>
      </c>
      <c r="AT1969" t="s">
        <v>58</v>
      </c>
      <c r="AU1969" t="s">
        <v>68</v>
      </c>
      <c r="AV1969" t="s">
        <v>69</v>
      </c>
      <c r="AW1969" s="1">
        <v>25647</v>
      </c>
      <c r="AX1969">
        <v>2</v>
      </c>
    </row>
    <row r="1970" spans="1:50">
      <c r="A1970">
        <v>192830</v>
      </c>
      <c r="B1970" t="str">
        <f>"059466605"</f>
        <v>059466605</v>
      </c>
      <c r="C1970" t="s">
        <v>105</v>
      </c>
      <c r="D1970" t="s">
        <v>4120</v>
      </c>
      <c r="E1970" t="s">
        <v>99</v>
      </c>
      <c r="F1970" t="s">
        <v>95</v>
      </c>
      <c r="G1970" t="s">
        <v>1074</v>
      </c>
      <c r="H1970" t="str">
        <f>"ΑΝΔΡΕΑ ΝΑΘΕΝΑ 22 ΗΡΑΚΛΕΙΟ"</f>
        <v>ΑΝΔΡΕΑ ΝΑΘΕΝΑ 22 ΗΡΑΚΛΕΙΟ</v>
      </c>
      <c r="I1970">
        <v>71409</v>
      </c>
      <c r="J1970">
        <v>2810325921</v>
      </c>
      <c r="K1970">
        <v>6972932794</v>
      </c>
      <c r="L1970">
        <v>6972922794</v>
      </c>
      <c r="M1970" t="s">
        <v>4121</v>
      </c>
      <c r="N1970" t="s">
        <v>157</v>
      </c>
      <c r="O1970" t="s">
        <v>158</v>
      </c>
      <c r="R1970" t="s">
        <v>57</v>
      </c>
      <c r="S1970">
        <v>7</v>
      </c>
      <c r="T1970">
        <v>193</v>
      </c>
      <c r="U1970" s="1">
        <v>37497</v>
      </c>
      <c r="V1970" t="s">
        <v>123</v>
      </c>
      <c r="W1970" t="s">
        <v>124</v>
      </c>
      <c r="X1970" t="s">
        <v>58</v>
      </c>
      <c r="Y1970">
        <v>20</v>
      </c>
      <c r="Z1970" t="s">
        <v>59</v>
      </c>
      <c r="AA1970" t="s">
        <v>59</v>
      </c>
      <c r="AB1970" t="s">
        <v>59</v>
      </c>
      <c r="AC1970" t="s">
        <v>59</v>
      </c>
      <c r="AD1970" t="s">
        <v>59</v>
      </c>
      <c r="AF1970" s="1">
        <v>37501</v>
      </c>
      <c r="AG1970" t="s">
        <v>125</v>
      </c>
      <c r="AH1970" t="s">
        <v>126</v>
      </c>
      <c r="AI1970" t="str">
        <f>"1701051"</f>
        <v>1701051</v>
      </c>
      <c r="AJ1970" t="s">
        <v>443</v>
      </c>
      <c r="AK1970">
        <v>2810325815</v>
      </c>
      <c r="AL1970" t="s">
        <v>444</v>
      </c>
      <c r="AM1970" t="s">
        <v>78</v>
      </c>
      <c r="AN1970" t="s">
        <v>78</v>
      </c>
      <c r="AO1970" t="s">
        <v>78</v>
      </c>
      <c r="AP1970" t="s">
        <v>163</v>
      </c>
      <c r="AQ1970">
        <v>5</v>
      </c>
      <c r="AR1970" t="s">
        <v>123</v>
      </c>
      <c r="AS1970" t="s">
        <v>124</v>
      </c>
      <c r="AT1970" t="s">
        <v>58</v>
      </c>
      <c r="AU1970" t="s">
        <v>68</v>
      </c>
      <c r="AV1970" t="s">
        <v>69</v>
      </c>
      <c r="AW1970" s="1">
        <v>24347</v>
      </c>
      <c r="AX1970">
        <v>2</v>
      </c>
    </row>
    <row r="1971" spans="1:50">
      <c r="A1971">
        <v>210661</v>
      </c>
      <c r="B1971" t="str">
        <f>"055398975"</f>
        <v>055398975</v>
      </c>
      <c r="C1971" t="s">
        <v>50</v>
      </c>
      <c r="D1971" t="s">
        <v>4122</v>
      </c>
      <c r="E1971" t="s">
        <v>396</v>
      </c>
      <c r="F1971" t="s">
        <v>3857</v>
      </c>
      <c r="G1971" t="s">
        <v>964</v>
      </c>
      <c r="H1971" t="str">
        <f>"ΑΧΙΛΛΕΩΣ 47 ΜΕΤΑΜΟΡΦΩΣΗ"</f>
        <v>ΑΧΙΛΛΕΩΣ 47 ΜΕΤΑΜΟΡΦΩΣΗ</v>
      </c>
      <c r="I1971">
        <v>14452</v>
      </c>
      <c r="J1971">
        <v>2102845716</v>
      </c>
      <c r="K1971">
        <v>6977299577</v>
      </c>
      <c r="M1971" t="s">
        <v>4123</v>
      </c>
      <c r="N1971" t="s">
        <v>306</v>
      </c>
      <c r="O1971" t="s">
        <v>307</v>
      </c>
      <c r="R1971" t="s">
        <v>57</v>
      </c>
      <c r="S1971">
        <v>8</v>
      </c>
      <c r="T1971">
        <v>249</v>
      </c>
      <c r="U1971" s="1">
        <v>38617</v>
      </c>
      <c r="V1971" t="s">
        <v>123</v>
      </c>
      <c r="W1971" t="s">
        <v>124</v>
      </c>
      <c r="X1971" t="s">
        <v>58</v>
      </c>
      <c r="Y1971">
        <v>23</v>
      </c>
      <c r="Z1971" t="s">
        <v>59</v>
      </c>
      <c r="AA1971" t="s">
        <v>59</v>
      </c>
      <c r="AB1971" t="s">
        <v>59</v>
      </c>
      <c r="AC1971" t="s">
        <v>59</v>
      </c>
      <c r="AD1971" t="s">
        <v>452</v>
      </c>
      <c r="AE1971" s="1">
        <v>43708</v>
      </c>
      <c r="AF1971" s="1">
        <v>38622</v>
      </c>
      <c r="AG1971" t="s">
        <v>137</v>
      </c>
      <c r="AH1971" t="s">
        <v>138</v>
      </c>
      <c r="AI1971" t="str">
        <f>"1740210"</f>
        <v>1740210</v>
      </c>
      <c r="AJ1971" t="s">
        <v>139</v>
      </c>
      <c r="AK1971">
        <v>2810318130</v>
      </c>
      <c r="AL1971" t="s">
        <v>140</v>
      </c>
      <c r="AM1971" t="s">
        <v>78</v>
      </c>
      <c r="AN1971" t="s">
        <v>78</v>
      </c>
      <c r="AO1971" t="s">
        <v>78</v>
      </c>
      <c r="AP1971" t="s">
        <v>141</v>
      </c>
      <c r="AQ1971">
        <v>7</v>
      </c>
      <c r="AR1971" t="s">
        <v>123</v>
      </c>
      <c r="AS1971" t="s">
        <v>124</v>
      </c>
      <c r="AT1971" t="s">
        <v>58</v>
      </c>
      <c r="AU1971" t="s">
        <v>68</v>
      </c>
      <c r="AV1971" t="s">
        <v>69</v>
      </c>
      <c r="AW1971" s="1">
        <v>28022</v>
      </c>
      <c r="AX1971">
        <v>2</v>
      </c>
    </row>
    <row r="1972" spans="1:50">
      <c r="A1972">
        <v>229905</v>
      </c>
      <c r="B1972" t="str">
        <f>"043579156"</f>
        <v>043579156</v>
      </c>
      <c r="C1972" t="s">
        <v>50</v>
      </c>
      <c r="D1972" t="s">
        <v>4124</v>
      </c>
      <c r="E1972" t="s">
        <v>255</v>
      </c>
      <c r="F1972" t="s">
        <v>166</v>
      </c>
      <c r="G1972" t="s">
        <v>263</v>
      </c>
      <c r="H1972" t="str">
        <f>"ΠΙΚΡΟΔΑΦΝΗΣ 30 ΑΓΙΟΣ ΙΩΑΝΝΗΣ ΗΡΑΚΛΕΙΟ"</f>
        <v>ΠΙΚΡΟΔΑΦΝΗΣ 30 ΑΓΙΟΣ ΙΩΑΝΝΗΣ ΗΡΑΚΛΕΙΟ</v>
      </c>
      <c r="I1972">
        <v>71409</v>
      </c>
      <c r="J1972">
        <v>2810230729</v>
      </c>
      <c r="K1972">
        <v>6944326576</v>
      </c>
      <c r="M1972" t="s">
        <v>4125</v>
      </c>
      <c r="N1972" t="s">
        <v>189</v>
      </c>
      <c r="O1972" t="s">
        <v>190</v>
      </c>
      <c r="R1972" t="s">
        <v>57</v>
      </c>
      <c r="S1972">
        <v>4</v>
      </c>
      <c r="T1972">
        <v>4</v>
      </c>
      <c r="U1972" s="1">
        <v>40186</v>
      </c>
      <c r="V1972" t="s">
        <v>123</v>
      </c>
      <c r="W1972" t="s">
        <v>124</v>
      </c>
      <c r="X1972" t="s">
        <v>58</v>
      </c>
      <c r="Y1972">
        <v>21</v>
      </c>
      <c r="Z1972" t="s">
        <v>59</v>
      </c>
      <c r="AA1972" t="s">
        <v>59</v>
      </c>
      <c r="AB1972" t="s">
        <v>59</v>
      </c>
      <c r="AC1972" t="s">
        <v>59</v>
      </c>
      <c r="AD1972" t="s">
        <v>59</v>
      </c>
      <c r="AF1972" s="1">
        <v>40191</v>
      </c>
      <c r="AG1972" t="s">
        <v>125</v>
      </c>
      <c r="AH1972" t="s">
        <v>126</v>
      </c>
      <c r="AI1972" t="str">
        <f>"1717011"</f>
        <v>1717011</v>
      </c>
      <c r="AJ1972" t="s">
        <v>832</v>
      </c>
      <c r="AK1972">
        <v>2897023311</v>
      </c>
      <c r="AL1972" t="s">
        <v>833</v>
      </c>
      <c r="AM1972" t="s">
        <v>78</v>
      </c>
      <c r="AN1972" t="s">
        <v>219</v>
      </c>
      <c r="AO1972" t="s">
        <v>219</v>
      </c>
      <c r="AP1972" t="s">
        <v>220</v>
      </c>
      <c r="AQ1972">
        <v>20</v>
      </c>
      <c r="AR1972" t="s">
        <v>123</v>
      </c>
      <c r="AS1972" t="s">
        <v>124</v>
      </c>
      <c r="AT1972" t="s">
        <v>58</v>
      </c>
      <c r="AU1972" t="s">
        <v>68</v>
      </c>
      <c r="AV1972" t="s">
        <v>69</v>
      </c>
      <c r="AW1972" s="1">
        <v>23927</v>
      </c>
      <c r="AX1972">
        <v>2</v>
      </c>
    </row>
    <row r="1973" spans="1:50">
      <c r="A1973">
        <v>194174</v>
      </c>
      <c r="B1973" t="str">
        <f>"041852422"</f>
        <v>041852422</v>
      </c>
      <c r="C1973" t="s">
        <v>50</v>
      </c>
      <c r="D1973" t="s">
        <v>4126</v>
      </c>
      <c r="E1973" t="s">
        <v>755</v>
      </c>
      <c r="F1973" t="s">
        <v>106</v>
      </c>
      <c r="G1973" t="s">
        <v>4127</v>
      </c>
      <c r="H1973" t="str">
        <f>" "</f>
        <v xml:space="preserve"> </v>
      </c>
      <c r="J1973">
        <v>2109719480</v>
      </c>
      <c r="K1973">
        <v>6974492212</v>
      </c>
      <c r="M1973" t="s">
        <v>4128</v>
      </c>
      <c r="N1973" t="s">
        <v>299</v>
      </c>
      <c r="O1973" t="s">
        <v>300</v>
      </c>
      <c r="R1973" t="s">
        <v>57</v>
      </c>
      <c r="S1973">
        <v>11</v>
      </c>
      <c r="T1973" t="s">
        <v>4129</v>
      </c>
      <c r="U1973" s="1">
        <v>37218</v>
      </c>
      <c r="V1973" t="s">
        <v>123</v>
      </c>
      <c r="W1973" t="s">
        <v>124</v>
      </c>
      <c r="X1973" t="s">
        <v>58</v>
      </c>
      <c r="Y1973">
        <v>20</v>
      </c>
      <c r="Z1973" t="s">
        <v>59</v>
      </c>
      <c r="AA1973" t="s">
        <v>59</v>
      </c>
      <c r="AB1973" t="s">
        <v>59</v>
      </c>
      <c r="AC1973" t="s">
        <v>59</v>
      </c>
      <c r="AD1973" t="s">
        <v>59</v>
      </c>
      <c r="AF1973" s="1">
        <v>37503</v>
      </c>
      <c r="AG1973" t="s">
        <v>148</v>
      </c>
      <c r="AH1973" t="s">
        <v>149</v>
      </c>
      <c r="AI1973" t="str">
        <f>"1767011"</f>
        <v>1767011</v>
      </c>
      <c r="AJ1973" t="s">
        <v>217</v>
      </c>
      <c r="AK1973">
        <v>2897021055</v>
      </c>
      <c r="AL1973" t="s">
        <v>218</v>
      </c>
      <c r="AM1973" t="s">
        <v>78</v>
      </c>
      <c r="AN1973" t="s">
        <v>219</v>
      </c>
      <c r="AO1973" t="s">
        <v>219</v>
      </c>
      <c r="AP1973" t="s">
        <v>220</v>
      </c>
      <c r="AQ1973">
        <v>20</v>
      </c>
      <c r="AR1973" t="s">
        <v>123</v>
      </c>
      <c r="AS1973" t="s">
        <v>124</v>
      </c>
      <c r="AT1973" t="s">
        <v>58</v>
      </c>
      <c r="AU1973" t="s">
        <v>68</v>
      </c>
      <c r="AV1973" t="s">
        <v>69</v>
      </c>
      <c r="AW1973" s="1">
        <v>24460</v>
      </c>
      <c r="AX1973">
        <v>2</v>
      </c>
    </row>
    <row r="1974" spans="1:50">
      <c r="A1974">
        <v>166081</v>
      </c>
      <c r="B1974" t="str">
        <f>"032245716"</f>
        <v>032245716</v>
      </c>
      <c r="C1974" t="s">
        <v>105</v>
      </c>
      <c r="D1974" t="s">
        <v>4130</v>
      </c>
      <c r="E1974" t="s">
        <v>106</v>
      </c>
      <c r="F1974" t="s">
        <v>108</v>
      </c>
      <c r="G1974" t="s">
        <v>237</v>
      </c>
      <c r="H1974" t="str">
        <f>"ΑΝΑΓΕΝΝΗΣΕΩΣ 38 ΗΡΑΚΛΕΙΟΥ"</f>
        <v>ΑΝΑΓΕΝΝΗΣΕΩΣ 38 ΗΡΑΚΛΕΙΟΥ</v>
      </c>
      <c r="I1974">
        <v>71305</v>
      </c>
      <c r="J1974">
        <v>2810263545</v>
      </c>
      <c r="K1974">
        <v>6944184786</v>
      </c>
      <c r="M1974" t="s">
        <v>4131</v>
      </c>
      <c r="N1974" t="s">
        <v>292</v>
      </c>
      <c r="O1974" t="s">
        <v>293</v>
      </c>
      <c r="R1974" t="s">
        <v>57</v>
      </c>
      <c r="S1974">
        <v>12</v>
      </c>
      <c r="T1974">
        <v>137</v>
      </c>
      <c r="U1974" s="1">
        <v>34206</v>
      </c>
      <c r="V1974" t="s">
        <v>123</v>
      </c>
      <c r="W1974" t="s">
        <v>124</v>
      </c>
      <c r="X1974" t="s">
        <v>58</v>
      </c>
      <c r="Y1974">
        <v>18</v>
      </c>
      <c r="Z1974" t="s">
        <v>59</v>
      </c>
      <c r="AA1974" t="s">
        <v>59</v>
      </c>
      <c r="AB1974" t="s">
        <v>59</v>
      </c>
      <c r="AC1974" t="s">
        <v>59</v>
      </c>
      <c r="AD1974" t="s">
        <v>59</v>
      </c>
      <c r="AF1974" s="1">
        <v>34213</v>
      </c>
      <c r="AG1974" t="s">
        <v>148</v>
      </c>
      <c r="AH1974" t="s">
        <v>149</v>
      </c>
      <c r="AI1974" t="str">
        <f>"1759010"</f>
        <v>1759010</v>
      </c>
      <c r="AJ1974" t="s">
        <v>403</v>
      </c>
      <c r="AK1974">
        <v>2894022127</v>
      </c>
      <c r="AL1974" t="s">
        <v>404</v>
      </c>
      <c r="AM1974" t="s">
        <v>78</v>
      </c>
      <c r="AN1974" t="s">
        <v>405</v>
      </c>
      <c r="AO1974" t="s">
        <v>406</v>
      </c>
      <c r="AP1974" t="s">
        <v>406</v>
      </c>
      <c r="AQ1974">
        <v>30</v>
      </c>
      <c r="AR1974" t="s">
        <v>123</v>
      </c>
      <c r="AS1974" t="s">
        <v>124</v>
      </c>
      <c r="AT1974" t="s">
        <v>58</v>
      </c>
      <c r="AU1974" t="s">
        <v>68</v>
      </c>
      <c r="AV1974" t="s">
        <v>69</v>
      </c>
      <c r="AW1974" s="1">
        <v>21203</v>
      </c>
      <c r="AX1974">
        <v>2</v>
      </c>
    </row>
    <row r="1975" spans="1:50">
      <c r="A1975">
        <v>218613</v>
      </c>
      <c r="B1975" t="str">
        <f>"044813579"</f>
        <v>044813579</v>
      </c>
      <c r="C1975" t="s">
        <v>105</v>
      </c>
      <c r="D1975" t="s">
        <v>4132</v>
      </c>
      <c r="E1975" t="s">
        <v>2482</v>
      </c>
      <c r="F1975" t="s">
        <v>53</v>
      </c>
      <c r="G1975" t="s">
        <v>396</v>
      </c>
      <c r="H1975" t="str">
        <f>"ΜΙΧΑΗΛ ΑΠΟΣΤΟΛΗ 29 "</f>
        <v xml:space="preserve">ΜΙΧΑΗΛ ΑΠΟΣΤΟΛΗ 29 </v>
      </c>
      <c r="I1975">
        <v>71307</v>
      </c>
      <c r="J1975">
        <v>2810234589</v>
      </c>
      <c r="K1975">
        <v>6942411686</v>
      </c>
      <c r="M1975" t="s">
        <v>4133</v>
      </c>
      <c r="N1975" t="s">
        <v>232</v>
      </c>
      <c r="O1975" t="s">
        <v>233</v>
      </c>
      <c r="R1975" t="s">
        <v>57</v>
      </c>
      <c r="S1975">
        <v>7</v>
      </c>
      <c r="T1975">
        <v>599</v>
      </c>
      <c r="U1975" s="1">
        <v>39310</v>
      </c>
      <c r="V1975" t="s">
        <v>123</v>
      </c>
      <c r="W1975" t="s">
        <v>124</v>
      </c>
      <c r="X1975" t="s">
        <v>58</v>
      </c>
      <c r="Y1975">
        <v>20</v>
      </c>
      <c r="Z1975" t="s">
        <v>59</v>
      </c>
      <c r="AA1975" t="s">
        <v>59</v>
      </c>
      <c r="AB1975" t="s">
        <v>59</v>
      </c>
      <c r="AC1975" t="s">
        <v>59</v>
      </c>
      <c r="AD1975" t="s">
        <v>59</v>
      </c>
      <c r="AF1975" s="1">
        <v>39328</v>
      </c>
      <c r="AG1975" t="s">
        <v>148</v>
      </c>
      <c r="AH1975" t="s">
        <v>149</v>
      </c>
      <c r="AI1975" t="str">
        <f>"1778010"</f>
        <v>1778010</v>
      </c>
      <c r="AJ1975" t="s">
        <v>672</v>
      </c>
      <c r="AK1975">
        <v>2810822455</v>
      </c>
      <c r="AL1975" t="s">
        <v>673</v>
      </c>
      <c r="AM1975" t="s">
        <v>78</v>
      </c>
      <c r="AN1975" t="s">
        <v>129</v>
      </c>
      <c r="AO1975" t="s">
        <v>130</v>
      </c>
      <c r="AP1975" t="s">
        <v>130</v>
      </c>
      <c r="AQ1975">
        <v>36</v>
      </c>
      <c r="AR1975" t="s">
        <v>123</v>
      </c>
      <c r="AS1975" t="s">
        <v>124</v>
      </c>
      <c r="AT1975" t="s">
        <v>58</v>
      </c>
      <c r="AU1975" t="s">
        <v>68</v>
      </c>
      <c r="AV1975" t="s">
        <v>69</v>
      </c>
      <c r="AW1975" s="1">
        <v>24467</v>
      </c>
      <c r="AX1975">
        <v>2</v>
      </c>
    </row>
    <row r="1976" spans="1:50">
      <c r="B1976" t="str">
        <f>"064210907"</f>
        <v>064210907</v>
      </c>
      <c r="C1976" t="s">
        <v>105</v>
      </c>
      <c r="D1976" t="s">
        <v>4134</v>
      </c>
      <c r="E1976" t="s">
        <v>84</v>
      </c>
      <c r="F1976" t="s">
        <v>166</v>
      </c>
      <c r="G1976" t="s">
        <v>4135</v>
      </c>
      <c r="H1976" t="str">
        <f>"Μ. ΣΗΦΑΚΗ 10 ΗΡΑΚΛΕΙΟ"</f>
        <v>Μ. ΣΗΦΑΚΗ 10 ΗΡΑΚΛΕΙΟ</v>
      </c>
      <c r="I1976">
        <v>71409</v>
      </c>
      <c r="J1976">
        <v>2810234000</v>
      </c>
      <c r="K1976">
        <v>6979775795</v>
      </c>
      <c r="M1976" t="s">
        <v>4136</v>
      </c>
      <c r="N1976" t="s">
        <v>246</v>
      </c>
      <c r="O1976" t="s">
        <v>247</v>
      </c>
      <c r="R1976" t="s">
        <v>159</v>
      </c>
      <c r="S1976">
        <v>2</v>
      </c>
      <c r="T1976" t="s">
        <v>160</v>
      </c>
      <c r="U1976" s="1">
        <v>43364</v>
      </c>
      <c r="V1976" t="s">
        <v>123</v>
      </c>
      <c r="W1976" t="s">
        <v>124</v>
      </c>
      <c r="X1976" t="s">
        <v>58</v>
      </c>
      <c r="Y1976">
        <v>23</v>
      </c>
      <c r="Z1976" t="s">
        <v>59</v>
      </c>
      <c r="AA1976" t="s">
        <v>59</v>
      </c>
      <c r="AB1976" t="s">
        <v>59</v>
      </c>
      <c r="AC1976" t="s">
        <v>59</v>
      </c>
      <c r="AD1976" t="s">
        <v>59</v>
      </c>
      <c r="AF1976" s="1">
        <v>43367</v>
      </c>
      <c r="AG1976" t="s">
        <v>148</v>
      </c>
      <c r="AH1976" t="s">
        <v>2782</v>
      </c>
      <c r="AI1976" t="str">
        <f>"1751001"</f>
        <v>1751001</v>
      </c>
      <c r="AJ1976" t="s">
        <v>2783</v>
      </c>
      <c r="AK1976">
        <v>2810261985</v>
      </c>
      <c r="AL1976" t="s">
        <v>2784</v>
      </c>
      <c r="AM1976" t="s">
        <v>78</v>
      </c>
      <c r="AN1976" t="s">
        <v>78</v>
      </c>
      <c r="AO1976" t="s">
        <v>78</v>
      </c>
      <c r="AP1976" t="s">
        <v>141</v>
      </c>
      <c r="AQ1976">
        <v>4</v>
      </c>
      <c r="AR1976" t="s">
        <v>123</v>
      </c>
      <c r="AS1976" t="s">
        <v>124</v>
      </c>
      <c r="AT1976" t="s">
        <v>58</v>
      </c>
      <c r="AU1976" t="s">
        <v>164</v>
      </c>
      <c r="AV1976" t="s">
        <v>132</v>
      </c>
      <c r="AW1976" s="1">
        <v>28789</v>
      </c>
      <c r="AX1976">
        <v>2</v>
      </c>
    </row>
    <row r="1977" spans="1:50">
      <c r="A1977">
        <v>191166</v>
      </c>
      <c r="B1977" t="str">
        <f>"077488887"</f>
        <v>077488887</v>
      </c>
      <c r="C1977" t="s">
        <v>105</v>
      </c>
      <c r="D1977" t="s">
        <v>4137</v>
      </c>
      <c r="E1977" t="s">
        <v>166</v>
      </c>
      <c r="F1977" t="s">
        <v>377</v>
      </c>
      <c r="G1977" t="s">
        <v>143</v>
      </c>
      <c r="H1977" t="str">
        <f>"ΠΑΡΟΔΟΣ Λ. ΠΑΠΑΝΑΣΤΑΣΙΟΥ 172 ΜΕΣΑΜΠΕΛΙΕΣ"</f>
        <v>ΠΑΡΟΔΟΣ Λ. ΠΑΠΑΝΑΣΤΑΣΙΟΥ 172 ΜΕΣΑΜΠΕΛΙΕΣ</v>
      </c>
      <c r="I1977">
        <v>71409</v>
      </c>
      <c r="K1977">
        <v>6977657690</v>
      </c>
      <c r="M1977" t="s">
        <v>4138</v>
      </c>
      <c r="N1977" t="s">
        <v>204</v>
      </c>
      <c r="O1977" t="s">
        <v>205</v>
      </c>
      <c r="R1977" t="s">
        <v>57</v>
      </c>
      <c r="S1977">
        <v>9</v>
      </c>
      <c r="T1977">
        <v>219</v>
      </c>
      <c r="U1977" s="1">
        <v>37134</v>
      </c>
      <c r="V1977" t="s">
        <v>123</v>
      </c>
      <c r="W1977" t="s">
        <v>124</v>
      </c>
      <c r="X1977" t="s">
        <v>58</v>
      </c>
      <c r="Y1977">
        <v>20</v>
      </c>
      <c r="Z1977" t="s">
        <v>59</v>
      </c>
      <c r="AA1977" t="s">
        <v>59</v>
      </c>
      <c r="AB1977" t="s">
        <v>59</v>
      </c>
      <c r="AC1977" t="s">
        <v>59</v>
      </c>
      <c r="AD1977" t="s">
        <v>59</v>
      </c>
      <c r="AF1977" s="1">
        <v>37134</v>
      </c>
      <c r="AG1977" t="s">
        <v>125</v>
      </c>
      <c r="AH1977" t="s">
        <v>126</v>
      </c>
      <c r="AI1977" t="str">
        <f>"1703010"</f>
        <v>1703010</v>
      </c>
      <c r="AJ1977" t="s">
        <v>422</v>
      </c>
      <c r="AK1977">
        <v>2810751808</v>
      </c>
      <c r="AL1977" t="s">
        <v>423</v>
      </c>
      <c r="AM1977" t="s">
        <v>78</v>
      </c>
      <c r="AN1977" t="s">
        <v>424</v>
      </c>
      <c r="AO1977" t="s">
        <v>425</v>
      </c>
      <c r="AP1977" t="s">
        <v>425</v>
      </c>
      <c r="AQ1977">
        <v>13</v>
      </c>
      <c r="AR1977" t="s">
        <v>123</v>
      </c>
      <c r="AS1977" t="s">
        <v>124</v>
      </c>
      <c r="AT1977" t="s">
        <v>58</v>
      </c>
      <c r="AU1977" t="s">
        <v>68</v>
      </c>
      <c r="AV1977" t="s">
        <v>69</v>
      </c>
      <c r="AW1977" s="1">
        <v>26176</v>
      </c>
      <c r="AX1977">
        <v>2</v>
      </c>
    </row>
    <row r="1978" spans="1:50">
      <c r="A1978">
        <v>182932</v>
      </c>
      <c r="B1978" t="str">
        <f>"036770784"</f>
        <v>036770784</v>
      </c>
      <c r="C1978" t="s">
        <v>105</v>
      </c>
      <c r="D1978" t="s">
        <v>4139</v>
      </c>
      <c r="E1978" t="s">
        <v>4140</v>
      </c>
      <c r="F1978" t="s">
        <v>166</v>
      </c>
      <c r="G1978" t="s">
        <v>1068</v>
      </c>
      <c r="H1978" t="str">
        <f>"ΡΙΖΑΡΗ  22 ΛΟΦΟΣ ΑΞΙΩΜΑΤΙΚΩΝ "</f>
        <v xml:space="preserve">ΡΙΖΑΡΗ  22 ΛΟΦΟΣ ΑΞΙΩΜΑΤΙΚΩΝ </v>
      </c>
      <c r="J1978">
        <v>2810323039</v>
      </c>
      <c r="K1978">
        <v>6944424737</v>
      </c>
      <c r="M1978" t="s">
        <v>4141</v>
      </c>
      <c r="N1978" t="s">
        <v>299</v>
      </c>
      <c r="O1978" t="s">
        <v>300</v>
      </c>
      <c r="R1978" t="s">
        <v>57</v>
      </c>
      <c r="S1978">
        <v>11</v>
      </c>
      <c r="T1978">
        <v>249</v>
      </c>
      <c r="U1978" s="1">
        <v>36160</v>
      </c>
      <c r="V1978" t="s">
        <v>123</v>
      </c>
      <c r="W1978" t="s">
        <v>124</v>
      </c>
      <c r="X1978" t="s">
        <v>58</v>
      </c>
      <c r="Y1978">
        <v>18</v>
      </c>
      <c r="Z1978" t="s">
        <v>59</v>
      </c>
      <c r="AA1978" t="s">
        <v>59</v>
      </c>
      <c r="AB1978" t="s">
        <v>59</v>
      </c>
      <c r="AC1978" t="s">
        <v>59</v>
      </c>
      <c r="AD1978" t="s">
        <v>59</v>
      </c>
      <c r="AF1978" s="1">
        <v>36182</v>
      </c>
      <c r="AG1978" t="s">
        <v>148</v>
      </c>
      <c r="AH1978" t="s">
        <v>149</v>
      </c>
      <c r="AI1978" t="str">
        <f>"1751041"</f>
        <v>1751041</v>
      </c>
      <c r="AJ1978" t="s">
        <v>353</v>
      </c>
      <c r="AK1978">
        <v>2810230207</v>
      </c>
      <c r="AL1978" t="s">
        <v>354</v>
      </c>
      <c r="AM1978" t="s">
        <v>78</v>
      </c>
      <c r="AN1978" t="s">
        <v>78</v>
      </c>
      <c r="AO1978" t="s">
        <v>78</v>
      </c>
      <c r="AP1978" t="s">
        <v>163</v>
      </c>
      <c r="AQ1978">
        <v>2</v>
      </c>
      <c r="AR1978" t="s">
        <v>123</v>
      </c>
      <c r="AS1978" t="s">
        <v>124</v>
      </c>
      <c r="AT1978" t="s">
        <v>58</v>
      </c>
      <c r="AU1978" t="s">
        <v>68</v>
      </c>
      <c r="AV1978" t="s">
        <v>69</v>
      </c>
      <c r="AW1978" s="1">
        <v>22990</v>
      </c>
      <c r="AX1978">
        <v>2</v>
      </c>
    </row>
    <row r="1979" spans="1:50">
      <c r="A1979">
        <v>176942</v>
      </c>
      <c r="B1979" t="str">
        <f>"039973060"</f>
        <v>039973060</v>
      </c>
      <c r="C1979" t="s">
        <v>105</v>
      </c>
      <c r="D1979" t="s">
        <v>4142</v>
      </c>
      <c r="E1979" t="s">
        <v>106</v>
      </c>
      <c r="F1979" t="s">
        <v>99</v>
      </c>
      <c r="G1979" t="s">
        <v>610</v>
      </c>
      <c r="H1979" t="str">
        <f>" "</f>
        <v xml:space="preserve"> </v>
      </c>
      <c r="N1979" t="s">
        <v>683</v>
      </c>
      <c r="O1979" t="s">
        <v>684</v>
      </c>
      <c r="R1979" t="s">
        <v>57</v>
      </c>
      <c r="S1979">
        <v>10</v>
      </c>
      <c r="T1979">
        <v>180</v>
      </c>
      <c r="U1979" s="1">
        <v>35674</v>
      </c>
      <c r="V1979" t="s">
        <v>123</v>
      </c>
      <c r="W1979" t="s">
        <v>124</v>
      </c>
      <c r="X1979" t="s">
        <v>58</v>
      </c>
      <c r="Y1979">
        <v>18</v>
      </c>
      <c r="Z1979" t="s">
        <v>59</v>
      </c>
      <c r="AA1979" t="s">
        <v>59</v>
      </c>
      <c r="AB1979" t="s">
        <v>59</v>
      </c>
      <c r="AC1979" t="s">
        <v>59</v>
      </c>
      <c r="AD1979" t="s">
        <v>59</v>
      </c>
      <c r="AF1979" s="1">
        <v>35674</v>
      </c>
      <c r="AG1979" t="s">
        <v>125</v>
      </c>
      <c r="AH1979" t="s">
        <v>126</v>
      </c>
      <c r="AI1979" t="str">
        <f>"1701020"</f>
        <v>1701020</v>
      </c>
      <c r="AJ1979" t="s">
        <v>323</v>
      </c>
      <c r="AK1979">
        <v>2810252111</v>
      </c>
      <c r="AL1979" t="s">
        <v>324</v>
      </c>
      <c r="AM1979" t="s">
        <v>78</v>
      </c>
      <c r="AN1979" t="s">
        <v>78</v>
      </c>
      <c r="AO1979" t="s">
        <v>78</v>
      </c>
      <c r="AP1979" t="s">
        <v>163</v>
      </c>
      <c r="AQ1979">
        <v>3</v>
      </c>
      <c r="AR1979" t="s">
        <v>123</v>
      </c>
      <c r="AS1979" t="s">
        <v>124</v>
      </c>
      <c r="AT1979" t="s">
        <v>58</v>
      </c>
      <c r="AU1979" t="s">
        <v>68</v>
      </c>
      <c r="AV1979" t="s">
        <v>69</v>
      </c>
      <c r="AW1979" s="1">
        <v>23398</v>
      </c>
      <c r="AX1979">
        <v>2</v>
      </c>
    </row>
    <row r="1980" spans="1:50">
      <c r="A1980">
        <v>207438</v>
      </c>
      <c r="B1980" t="str">
        <f>"041857939"</f>
        <v>041857939</v>
      </c>
      <c r="C1980" t="s">
        <v>50</v>
      </c>
      <c r="D1980" t="s">
        <v>4143</v>
      </c>
      <c r="E1980" t="s">
        <v>314</v>
      </c>
      <c r="F1980" t="s">
        <v>166</v>
      </c>
      <c r="G1980" t="s">
        <v>1078</v>
      </c>
      <c r="H1980" t="str">
        <f>"ΣΤΡΑΤΗΓΟΥ ΒΑΣΟΥ 12  ΗΡΑΚΛΕΙΟ"</f>
        <v>ΣΤΡΑΤΗΓΟΥ ΒΑΣΟΥ 12  ΗΡΑΚΛΕΙΟ</v>
      </c>
      <c r="I1980">
        <v>71201</v>
      </c>
      <c r="J1980">
        <v>2891091279</v>
      </c>
      <c r="K1980">
        <v>6978490227</v>
      </c>
      <c r="L1980">
        <v>2891091279</v>
      </c>
      <c r="M1980" t="s">
        <v>4144</v>
      </c>
      <c r="N1980" t="s">
        <v>246</v>
      </c>
      <c r="O1980" t="s">
        <v>247</v>
      </c>
      <c r="P1980" t="s">
        <v>3715</v>
      </c>
      <c r="Q1980" t="s">
        <v>3716</v>
      </c>
      <c r="R1980" t="s">
        <v>57</v>
      </c>
      <c r="S1980">
        <v>9</v>
      </c>
      <c r="T1980">
        <v>218</v>
      </c>
      <c r="U1980" s="1">
        <v>38596</v>
      </c>
      <c r="V1980" t="s">
        <v>123</v>
      </c>
      <c r="W1980" t="s">
        <v>124</v>
      </c>
      <c r="X1980" t="s">
        <v>58</v>
      </c>
      <c r="Y1980">
        <v>20</v>
      </c>
      <c r="Z1980" t="s">
        <v>59</v>
      </c>
      <c r="AA1980" t="s">
        <v>59</v>
      </c>
      <c r="AB1980" t="s">
        <v>59</v>
      </c>
      <c r="AC1980" t="s">
        <v>59</v>
      </c>
      <c r="AD1980" t="s">
        <v>59</v>
      </c>
      <c r="AF1980" s="1">
        <v>38600</v>
      </c>
      <c r="AG1980" t="s">
        <v>125</v>
      </c>
      <c r="AH1980" t="s">
        <v>126</v>
      </c>
      <c r="AI1980" t="str">
        <f>"1701010"</f>
        <v>1701010</v>
      </c>
      <c r="AJ1980" t="s">
        <v>374</v>
      </c>
      <c r="AK1980">
        <v>2810227148</v>
      </c>
      <c r="AL1980" t="s">
        <v>375</v>
      </c>
      <c r="AM1980" t="s">
        <v>78</v>
      </c>
      <c r="AN1980" t="s">
        <v>78</v>
      </c>
      <c r="AO1980" t="s">
        <v>78</v>
      </c>
      <c r="AP1980" t="s">
        <v>79</v>
      </c>
      <c r="AQ1980">
        <v>1</v>
      </c>
      <c r="AR1980" t="s">
        <v>123</v>
      </c>
      <c r="AS1980" t="s">
        <v>124</v>
      </c>
      <c r="AT1980" t="s">
        <v>58</v>
      </c>
      <c r="AU1980" t="s">
        <v>68</v>
      </c>
      <c r="AV1980" t="s">
        <v>69</v>
      </c>
      <c r="AW1980" s="1">
        <v>24322</v>
      </c>
      <c r="AX1980">
        <v>2</v>
      </c>
    </row>
    <row r="1981" spans="1:50">
      <c r="A1981">
        <v>194107</v>
      </c>
      <c r="B1981" t="str">
        <f>"054693420"</f>
        <v>054693420</v>
      </c>
      <c r="C1981" t="s">
        <v>50</v>
      </c>
      <c r="D1981" t="s">
        <v>4145</v>
      </c>
      <c r="E1981" t="s">
        <v>83</v>
      </c>
      <c r="F1981" t="s">
        <v>53</v>
      </c>
      <c r="G1981" t="s">
        <v>237</v>
      </c>
      <c r="H1981" t="str">
        <f>"ΑΝΩ  ΑΡΧΑΝΕΣ ΑΝΩ ΑΡΧΑΝΕΣ"</f>
        <v>ΑΝΩ  ΑΡΧΑΝΕΣ ΑΝΩ ΑΡΧΑΝΕΣ</v>
      </c>
      <c r="I1981">
        <v>70100</v>
      </c>
      <c r="J1981">
        <v>2810752275</v>
      </c>
      <c r="K1981">
        <v>6944543290</v>
      </c>
      <c r="M1981" t="s">
        <v>4146</v>
      </c>
      <c r="N1981" t="s">
        <v>306</v>
      </c>
      <c r="O1981" t="s">
        <v>307</v>
      </c>
      <c r="R1981" t="s">
        <v>57</v>
      </c>
      <c r="S1981">
        <v>11</v>
      </c>
      <c r="T1981">
        <v>193</v>
      </c>
      <c r="U1981" s="1">
        <v>37497</v>
      </c>
      <c r="V1981" t="s">
        <v>123</v>
      </c>
      <c r="W1981" t="s">
        <v>124</v>
      </c>
      <c r="X1981" t="s">
        <v>58</v>
      </c>
      <c r="Y1981">
        <v>18</v>
      </c>
      <c r="Z1981" t="s">
        <v>59</v>
      </c>
      <c r="AA1981" t="s">
        <v>59</v>
      </c>
      <c r="AB1981" t="s">
        <v>59</v>
      </c>
      <c r="AC1981" t="s">
        <v>59</v>
      </c>
      <c r="AD1981" t="s">
        <v>59</v>
      </c>
      <c r="AF1981" s="1">
        <v>37501</v>
      </c>
      <c r="AG1981" t="s">
        <v>148</v>
      </c>
      <c r="AH1981" t="s">
        <v>149</v>
      </c>
      <c r="AI1981" t="str">
        <f>"1777010"</f>
        <v>1777010</v>
      </c>
      <c r="AJ1981" t="s">
        <v>612</v>
      </c>
      <c r="AK1981">
        <v>2810229220</v>
      </c>
      <c r="AL1981" t="s">
        <v>613</v>
      </c>
      <c r="AM1981" t="s">
        <v>78</v>
      </c>
      <c r="AN1981" t="s">
        <v>78</v>
      </c>
      <c r="AO1981" t="s">
        <v>286</v>
      </c>
      <c r="AP1981" t="s">
        <v>286</v>
      </c>
      <c r="AQ1981">
        <v>12</v>
      </c>
      <c r="AR1981" t="s">
        <v>123</v>
      </c>
      <c r="AS1981" t="s">
        <v>124</v>
      </c>
      <c r="AT1981" t="s">
        <v>58</v>
      </c>
      <c r="AU1981" t="s">
        <v>68</v>
      </c>
      <c r="AV1981" t="s">
        <v>69</v>
      </c>
      <c r="AW1981" s="1">
        <v>25413</v>
      </c>
      <c r="AX1981">
        <v>2</v>
      </c>
    </row>
    <row r="1982" spans="1:50">
      <c r="A1982">
        <v>153005</v>
      </c>
      <c r="B1982" t="str">
        <f>"064210410"</f>
        <v>064210410</v>
      </c>
      <c r="C1982" t="s">
        <v>50</v>
      </c>
      <c r="D1982" t="s">
        <v>4145</v>
      </c>
      <c r="E1982" t="s">
        <v>109</v>
      </c>
      <c r="F1982" t="s">
        <v>92</v>
      </c>
      <c r="G1982" t="s">
        <v>52</v>
      </c>
      <c r="H1982" t="str">
        <f>"ΠΑΡΑΣΚΕΥΟΠΟΥΛΟΥ 12 ΗΡΑΚΛΕΙΟ"</f>
        <v>ΠΑΡΑΣΚΕΥΟΠΟΥΛΟΥ 12 ΗΡΑΚΛΕΙΟ</v>
      </c>
      <c r="I1982">
        <v>71306</v>
      </c>
      <c r="J1982">
        <v>2810320094</v>
      </c>
      <c r="K1982">
        <v>6944308980</v>
      </c>
      <c r="M1982" t="s">
        <v>4147</v>
      </c>
      <c r="N1982" t="s">
        <v>146</v>
      </c>
      <c r="O1982" t="s">
        <v>147</v>
      </c>
      <c r="R1982" t="s">
        <v>57</v>
      </c>
      <c r="S1982">
        <v>16</v>
      </c>
      <c r="T1982">
        <v>166</v>
      </c>
      <c r="U1982" s="1">
        <v>32010</v>
      </c>
      <c r="V1982" t="s">
        <v>123</v>
      </c>
      <c r="W1982" t="s">
        <v>124</v>
      </c>
      <c r="X1982" t="s">
        <v>58</v>
      </c>
      <c r="Y1982">
        <v>18</v>
      </c>
      <c r="Z1982" t="s">
        <v>59</v>
      </c>
      <c r="AA1982" t="s">
        <v>59</v>
      </c>
      <c r="AB1982" t="s">
        <v>59</v>
      </c>
      <c r="AC1982" t="s">
        <v>59</v>
      </c>
      <c r="AD1982" t="s">
        <v>59</v>
      </c>
      <c r="AF1982" s="1">
        <v>32023</v>
      </c>
      <c r="AG1982" t="s">
        <v>148</v>
      </c>
      <c r="AH1982" t="s">
        <v>149</v>
      </c>
      <c r="AI1982" t="str">
        <f>"1751010"</f>
        <v>1751010</v>
      </c>
      <c r="AJ1982" t="s">
        <v>150</v>
      </c>
      <c r="AK1982">
        <v>2810346092</v>
      </c>
      <c r="AL1982" t="s">
        <v>151</v>
      </c>
      <c r="AM1982" t="s">
        <v>78</v>
      </c>
      <c r="AN1982" t="s">
        <v>78</v>
      </c>
      <c r="AO1982" t="s">
        <v>78</v>
      </c>
      <c r="AP1982" t="s">
        <v>79</v>
      </c>
      <c r="AQ1982">
        <v>1</v>
      </c>
      <c r="AR1982" t="s">
        <v>123</v>
      </c>
      <c r="AS1982" t="s">
        <v>124</v>
      </c>
      <c r="AT1982" t="s">
        <v>58</v>
      </c>
      <c r="AU1982" t="s">
        <v>68</v>
      </c>
      <c r="AV1982" t="s">
        <v>69</v>
      </c>
      <c r="AW1982" s="1">
        <v>22129</v>
      </c>
      <c r="AX1982">
        <v>2</v>
      </c>
    </row>
    <row r="1983" spans="1:50">
      <c r="A1983">
        <v>172399</v>
      </c>
      <c r="B1983" t="str">
        <f>"051594805"</f>
        <v>051594805</v>
      </c>
      <c r="C1983" t="s">
        <v>50</v>
      </c>
      <c r="D1983" t="s">
        <v>4148</v>
      </c>
      <c r="E1983" t="s">
        <v>325</v>
      </c>
      <c r="F1983" t="s">
        <v>949</v>
      </c>
      <c r="G1983" t="s">
        <v>83</v>
      </c>
      <c r="H1983" t="str">
        <f>" "</f>
        <v xml:space="preserve"> </v>
      </c>
      <c r="M1983" t="s">
        <v>4149</v>
      </c>
      <c r="N1983" t="s">
        <v>587</v>
      </c>
      <c r="O1983" t="s">
        <v>588</v>
      </c>
      <c r="R1983" t="s">
        <v>57</v>
      </c>
      <c r="S1983">
        <v>12</v>
      </c>
      <c r="T1983">
        <v>184</v>
      </c>
      <c r="U1983" s="1">
        <v>34941</v>
      </c>
      <c r="V1983" t="s">
        <v>123</v>
      </c>
      <c r="W1983" t="s">
        <v>124</v>
      </c>
      <c r="X1983" t="s">
        <v>58</v>
      </c>
      <c r="Y1983">
        <v>18</v>
      </c>
      <c r="Z1983" t="s">
        <v>59</v>
      </c>
      <c r="AA1983" t="s">
        <v>59</v>
      </c>
      <c r="AB1983" t="s">
        <v>59</v>
      </c>
      <c r="AC1983" t="s">
        <v>59</v>
      </c>
      <c r="AD1983" t="s">
        <v>59</v>
      </c>
      <c r="AF1983" s="1">
        <v>34947</v>
      </c>
      <c r="AG1983" t="s">
        <v>125</v>
      </c>
      <c r="AH1983" t="s">
        <v>126</v>
      </c>
      <c r="AI1983" t="str">
        <f>"1701070"</f>
        <v>1701070</v>
      </c>
      <c r="AJ1983" t="s">
        <v>1490</v>
      </c>
      <c r="AK1983">
        <v>2810771241</v>
      </c>
      <c r="AL1983" t="s">
        <v>1491</v>
      </c>
      <c r="AM1983" t="s">
        <v>78</v>
      </c>
      <c r="AN1983" t="s">
        <v>219</v>
      </c>
      <c r="AO1983" t="s">
        <v>1437</v>
      </c>
      <c r="AP1983" t="s">
        <v>1437</v>
      </c>
      <c r="AQ1983">
        <v>21</v>
      </c>
      <c r="AR1983" t="s">
        <v>123</v>
      </c>
      <c r="AS1983" t="s">
        <v>124</v>
      </c>
      <c r="AT1983" t="s">
        <v>58</v>
      </c>
      <c r="AU1983" t="s">
        <v>68</v>
      </c>
      <c r="AV1983" t="s">
        <v>69</v>
      </c>
      <c r="AW1983" s="1">
        <v>24269</v>
      </c>
      <c r="AX1983">
        <v>2</v>
      </c>
    </row>
    <row r="1984" spans="1:50">
      <c r="A1984">
        <v>186581</v>
      </c>
      <c r="B1984" t="str">
        <f>"039617469"</f>
        <v>039617469</v>
      </c>
      <c r="C1984" t="s">
        <v>50</v>
      </c>
      <c r="D1984" t="s">
        <v>4148</v>
      </c>
      <c r="E1984" t="s">
        <v>255</v>
      </c>
      <c r="F1984" t="s">
        <v>95</v>
      </c>
      <c r="G1984" t="s">
        <v>52</v>
      </c>
      <c r="H1984" t="str">
        <f>" "</f>
        <v xml:space="preserve"> </v>
      </c>
      <c r="N1984" t="s">
        <v>146</v>
      </c>
      <c r="O1984" t="s">
        <v>147</v>
      </c>
      <c r="R1984" t="s">
        <v>57</v>
      </c>
      <c r="S1984">
        <v>11</v>
      </c>
      <c r="T1984">
        <v>251</v>
      </c>
      <c r="U1984" s="1">
        <v>36769</v>
      </c>
      <c r="V1984" t="s">
        <v>123</v>
      </c>
      <c r="W1984" t="s">
        <v>124</v>
      </c>
      <c r="X1984" t="s">
        <v>58</v>
      </c>
      <c r="Y1984">
        <v>18</v>
      </c>
      <c r="Z1984" t="s">
        <v>59</v>
      </c>
      <c r="AA1984" t="s">
        <v>59</v>
      </c>
      <c r="AB1984" t="s">
        <v>59</v>
      </c>
      <c r="AC1984" t="s">
        <v>59</v>
      </c>
      <c r="AD1984" t="s">
        <v>59</v>
      </c>
      <c r="AF1984" s="1">
        <v>36774</v>
      </c>
      <c r="AG1984" t="s">
        <v>137</v>
      </c>
      <c r="AH1984" t="s">
        <v>138</v>
      </c>
      <c r="AI1984" t="str">
        <f>"1750080"</f>
        <v>1750080</v>
      </c>
      <c r="AJ1984" t="s">
        <v>170</v>
      </c>
      <c r="AK1984">
        <v>2810234444</v>
      </c>
      <c r="AL1984" t="s">
        <v>171</v>
      </c>
      <c r="AM1984" t="s">
        <v>78</v>
      </c>
      <c r="AN1984" t="s">
        <v>78</v>
      </c>
      <c r="AO1984" t="s">
        <v>78</v>
      </c>
      <c r="AP1984" t="s">
        <v>163</v>
      </c>
      <c r="AQ1984">
        <v>9</v>
      </c>
      <c r="AR1984" t="s">
        <v>123</v>
      </c>
      <c r="AS1984" t="s">
        <v>124</v>
      </c>
      <c r="AT1984" t="s">
        <v>58</v>
      </c>
      <c r="AU1984" t="s">
        <v>68</v>
      </c>
      <c r="AV1984" t="s">
        <v>69</v>
      </c>
      <c r="AW1984" s="1">
        <v>24334</v>
      </c>
      <c r="AX1984">
        <v>2</v>
      </c>
    </row>
    <row r="1985" spans="1:50">
      <c r="A1985">
        <v>169047</v>
      </c>
      <c r="B1985" t="str">
        <f>"040089278"</f>
        <v>040089278</v>
      </c>
      <c r="C1985" t="s">
        <v>50</v>
      </c>
      <c r="D1985" t="s">
        <v>4148</v>
      </c>
      <c r="E1985" t="s">
        <v>52</v>
      </c>
      <c r="F1985" t="s">
        <v>154</v>
      </c>
      <c r="G1985" t="s">
        <v>237</v>
      </c>
      <c r="H1985" t="str">
        <f>" "</f>
        <v xml:space="preserve"> </v>
      </c>
      <c r="N1985" t="s">
        <v>204</v>
      </c>
      <c r="O1985" t="s">
        <v>205</v>
      </c>
      <c r="R1985" t="s">
        <v>57</v>
      </c>
      <c r="S1985">
        <v>13</v>
      </c>
      <c r="T1985">
        <v>159</v>
      </c>
      <c r="U1985" s="1">
        <v>34582</v>
      </c>
      <c r="V1985" t="s">
        <v>123</v>
      </c>
      <c r="W1985" t="s">
        <v>124</v>
      </c>
      <c r="X1985" t="s">
        <v>58</v>
      </c>
      <c r="Y1985">
        <v>18</v>
      </c>
      <c r="Z1985" t="s">
        <v>59</v>
      </c>
      <c r="AA1985" t="s">
        <v>59</v>
      </c>
      <c r="AB1985" t="s">
        <v>59</v>
      </c>
      <c r="AC1985" t="s">
        <v>59</v>
      </c>
      <c r="AD1985" t="s">
        <v>59</v>
      </c>
      <c r="AF1985" s="1">
        <v>34596</v>
      </c>
      <c r="AG1985" t="s">
        <v>137</v>
      </c>
      <c r="AH1985" t="s">
        <v>138</v>
      </c>
      <c r="AI1985" t="str">
        <f>"1750080"</f>
        <v>1750080</v>
      </c>
      <c r="AJ1985" t="s">
        <v>170</v>
      </c>
      <c r="AK1985">
        <v>2810234444</v>
      </c>
      <c r="AL1985" t="s">
        <v>171</v>
      </c>
      <c r="AM1985" t="s">
        <v>78</v>
      </c>
      <c r="AN1985" t="s">
        <v>78</v>
      </c>
      <c r="AO1985" t="s">
        <v>78</v>
      </c>
      <c r="AP1985" t="s">
        <v>163</v>
      </c>
      <c r="AQ1985">
        <v>9</v>
      </c>
      <c r="AR1985" t="s">
        <v>123</v>
      </c>
      <c r="AS1985" t="s">
        <v>124</v>
      </c>
      <c r="AT1985" t="s">
        <v>58</v>
      </c>
      <c r="AU1985" t="s">
        <v>68</v>
      </c>
      <c r="AV1985" t="s">
        <v>69</v>
      </c>
      <c r="AW1985" s="1">
        <v>21442</v>
      </c>
      <c r="AX1985">
        <v>2</v>
      </c>
    </row>
    <row r="1986" spans="1:50">
      <c r="A1986">
        <v>207700</v>
      </c>
      <c r="B1986" t="str">
        <f>"049069616"</f>
        <v>049069616</v>
      </c>
      <c r="C1986" t="s">
        <v>105</v>
      </c>
      <c r="D1986" t="s">
        <v>4150</v>
      </c>
      <c r="E1986" t="s">
        <v>95</v>
      </c>
      <c r="F1986" t="s">
        <v>72</v>
      </c>
      <c r="G1986" t="s">
        <v>263</v>
      </c>
      <c r="H1986" t="str">
        <f>"ΔΗΜΗΤΡΙΟΥ ΓΛΗΝΟΥ 32 "</f>
        <v xml:space="preserve">ΔΗΜΗΤΡΙΟΥ ΓΛΗΝΟΥ 32 </v>
      </c>
      <c r="I1986">
        <v>71304</v>
      </c>
      <c r="J1986">
        <v>2811754626</v>
      </c>
      <c r="K1986">
        <v>6977418430</v>
      </c>
      <c r="M1986" t="s">
        <v>4151</v>
      </c>
      <c r="N1986" t="s">
        <v>306</v>
      </c>
      <c r="O1986" t="s">
        <v>307</v>
      </c>
      <c r="R1986" t="s">
        <v>57</v>
      </c>
      <c r="S1986">
        <v>9</v>
      </c>
      <c r="T1986">
        <v>218</v>
      </c>
      <c r="U1986" s="1">
        <v>38596</v>
      </c>
      <c r="V1986" t="s">
        <v>123</v>
      </c>
      <c r="W1986" t="s">
        <v>124</v>
      </c>
      <c r="X1986" t="s">
        <v>58</v>
      </c>
      <c r="Y1986">
        <v>20</v>
      </c>
      <c r="Z1986" t="s">
        <v>59</v>
      </c>
      <c r="AA1986" t="s">
        <v>59</v>
      </c>
      <c r="AB1986" t="s">
        <v>59</v>
      </c>
      <c r="AC1986" t="s">
        <v>59</v>
      </c>
      <c r="AD1986" t="s">
        <v>59</v>
      </c>
      <c r="AF1986" s="1">
        <v>38600</v>
      </c>
      <c r="AG1986" t="s">
        <v>125</v>
      </c>
      <c r="AH1986" t="s">
        <v>126</v>
      </c>
      <c r="AI1986" t="str">
        <f>"1701053"</f>
        <v>1701053</v>
      </c>
      <c r="AJ1986" t="s">
        <v>398</v>
      </c>
      <c r="AK1986">
        <v>2810251434</v>
      </c>
      <c r="AL1986" t="s">
        <v>399</v>
      </c>
      <c r="AM1986" t="s">
        <v>78</v>
      </c>
      <c r="AN1986" t="s">
        <v>78</v>
      </c>
      <c r="AO1986" t="s">
        <v>78</v>
      </c>
      <c r="AP1986" t="s">
        <v>141</v>
      </c>
      <c r="AQ1986">
        <v>7</v>
      </c>
      <c r="AR1986" t="s">
        <v>123</v>
      </c>
      <c r="AS1986" t="s">
        <v>124</v>
      </c>
      <c r="AT1986" t="s">
        <v>58</v>
      </c>
      <c r="AU1986" t="s">
        <v>68</v>
      </c>
      <c r="AV1986" t="s">
        <v>69</v>
      </c>
      <c r="AW1986" s="1">
        <v>27863</v>
      </c>
      <c r="AX1986">
        <v>2</v>
      </c>
    </row>
    <row r="1987" spans="1:50">
      <c r="A1987">
        <v>400890</v>
      </c>
      <c r="B1987" t="str">
        <f>"030875386"</f>
        <v>030875386</v>
      </c>
      <c r="C1987" t="s">
        <v>105</v>
      </c>
      <c r="D1987" t="s">
        <v>4150</v>
      </c>
      <c r="E1987" t="s">
        <v>84</v>
      </c>
      <c r="F1987" t="s">
        <v>2847</v>
      </c>
      <c r="G1987" t="s">
        <v>188</v>
      </c>
      <c r="H1987" t="str">
        <f>"ΦΙΛΕΛΛΗΝΩΝ 26 ΚΗΠΟΥΠΟΛΗ"</f>
        <v>ΦΙΛΕΛΛΗΝΩΝ 26 ΚΗΠΟΥΠΟΛΗ</v>
      </c>
      <c r="I1987">
        <v>71306</v>
      </c>
      <c r="J1987">
        <v>2810235597</v>
      </c>
      <c r="M1987" t="s">
        <v>4152</v>
      </c>
      <c r="N1987" t="s">
        <v>232</v>
      </c>
      <c r="O1987" t="s">
        <v>233</v>
      </c>
      <c r="R1987" t="s">
        <v>57</v>
      </c>
      <c r="S1987">
        <v>16</v>
      </c>
      <c r="T1987" t="s">
        <v>4153</v>
      </c>
      <c r="U1987" s="1">
        <v>33378</v>
      </c>
      <c r="V1987" t="s">
        <v>123</v>
      </c>
      <c r="W1987" t="s">
        <v>124</v>
      </c>
      <c r="X1987" t="s">
        <v>58</v>
      </c>
      <c r="Y1987">
        <v>18</v>
      </c>
      <c r="Z1987" t="s">
        <v>59</v>
      </c>
      <c r="AA1987" t="s">
        <v>59</v>
      </c>
      <c r="AB1987" t="s">
        <v>59</v>
      </c>
      <c r="AC1987" t="s">
        <v>59</v>
      </c>
      <c r="AD1987" t="s">
        <v>59</v>
      </c>
      <c r="AF1987" s="1">
        <v>33378</v>
      </c>
      <c r="AG1987" t="s">
        <v>148</v>
      </c>
      <c r="AH1987" t="s">
        <v>149</v>
      </c>
      <c r="AI1987" t="str">
        <f>"1751041"</f>
        <v>1751041</v>
      </c>
      <c r="AJ1987" t="s">
        <v>353</v>
      </c>
      <c r="AK1987">
        <v>2810230207</v>
      </c>
      <c r="AL1987" t="s">
        <v>354</v>
      </c>
      <c r="AM1987" t="s">
        <v>78</v>
      </c>
      <c r="AN1987" t="s">
        <v>78</v>
      </c>
      <c r="AO1987" t="s">
        <v>78</v>
      </c>
      <c r="AP1987" t="s">
        <v>163</v>
      </c>
      <c r="AQ1987">
        <v>2</v>
      </c>
      <c r="AR1987" t="s">
        <v>123</v>
      </c>
      <c r="AS1987" t="s">
        <v>124</v>
      </c>
      <c r="AT1987" t="s">
        <v>58</v>
      </c>
      <c r="AU1987" t="s">
        <v>68</v>
      </c>
      <c r="AV1987" t="s">
        <v>69</v>
      </c>
      <c r="AW1987" s="1">
        <v>21962</v>
      </c>
      <c r="AX1987">
        <v>2</v>
      </c>
    </row>
    <row r="1988" spans="1:50">
      <c r="A1988">
        <v>214698</v>
      </c>
      <c r="B1988" t="str">
        <f>"044046884"</f>
        <v>044046884</v>
      </c>
      <c r="C1988" t="s">
        <v>105</v>
      </c>
      <c r="D1988" t="s">
        <v>4150</v>
      </c>
      <c r="E1988" t="s">
        <v>166</v>
      </c>
      <c r="F1988" t="s">
        <v>99</v>
      </c>
      <c r="G1988" t="s">
        <v>1068</v>
      </c>
      <c r="H1988" t="str">
        <f>" "</f>
        <v xml:space="preserve"> </v>
      </c>
      <c r="J1988">
        <v>2810742531</v>
      </c>
      <c r="K1988">
        <v>6944658401</v>
      </c>
      <c r="M1988" t="s">
        <v>4154</v>
      </c>
      <c r="N1988" t="s">
        <v>176</v>
      </c>
      <c r="O1988" t="s">
        <v>177</v>
      </c>
      <c r="R1988" t="s">
        <v>57</v>
      </c>
      <c r="S1988">
        <v>8</v>
      </c>
      <c r="T1988">
        <v>231</v>
      </c>
      <c r="U1988" s="1">
        <v>38960</v>
      </c>
      <c r="V1988" t="s">
        <v>123</v>
      </c>
      <c r="W1988" t="s">
        <v>124</v>
      </c>
      <c r="X1988" t="s">
        <v>58</v>
      </c>
      <c r="Y1988">
        <v>20</v>
      </c>
      <c r="Z1988" t="s">
        <v>59</v>
      </c>
      <c r="AA1988" t="s">
        <v>59</v>
      </c>
      <c r="AB1988" t="s">
        <v>59</v>
      </c>
      <c r="AC1988" t="s">
        <v>59</v>
      </c>
      <c r="AD1988" t="s">
        <v>59</v>
      </c>
      <c r="AF1988" s="1">
        <v>38961</v>
      </c>
      <c r="AG1988" t="s">
        <v>125</v>
      </c>
      <c r="AH1988" t="s">
        <v>126</v>
      </c>
      <c r="AI1988" t="str">
        <f>"1701054"</f>
        <v>1701054</v>
      </c>
      <c r="AJ1988" t="s">
        <v>318</v>
      </c>
      <c r="AK1988">
        <v>2810252418</v>
      </c>
      <c r="AL1988" t="s">
        <v>319</v>
      </c>
      <c r="AM1988" t="s">
        <v>78</v>
      </c>
      <c r="AN1988" t="s">
        <v>78</v>
      </c>
      <c r="AO1988" t="s">
        <v>78</v>
      </c>
      <c r="AP1988" t="s">
        <v>141</v>
      </c>
      <c r="AQ1988">
        <v>7</v>
      </c>
      <c r="AR1988" t="s">
        <v>123</v>
      </c>
      <c r="AS1988" t="s">
        <v>124</v>
      </c>
      <c r="AT1988" t="s">
        <v>58</v>
      </c>
      <c r="AU1988" t="s">
        <v>68</v>
      </c>
      <c r="AV1988" t="s">
        <v>69</v>
      </c>
      <c r="AW1988" s="1">
        <v>24888</v>
      </c>
      <c r="AX1988">
        <v>2</v>
      </c>
    </row>
    <row r="1989" spans="1:50">
      <c r="A1989">
        <v>211277</v>
      </c>
      <c r="B1989" t="str">
        <f>"064567552"</f>
        <v>064567552</v>
      </c>
      <c r="C1989" t="s">
        <v>105</v>
      </c>
      <c r="D1989" t="s">
        <v>4150</v>
      </c>
      <c r="E1989" t="s">
        <v>53</v>
      </c>
      <c r="F1989" t="s">
        <v>3049</v>
      </c>
      <c r="G1989" t="s">
        <v>1078</v>
      </c>
      <c r="H1989" t="str">
        <f>" "</f>
        <v xml:space="preserve"> </v>
      </c>
      <c r="J1989">
        <v>2893031580</v>
      </c>
      <c r="K1989">
        <v>6974770320</v>
      </c>
      <c r="N1989" t="s">
        <v>331</v>
      </c>
      <c r="O1989" t="s">
        <v>332</v>
      </c>
      <c r="R1989" t="s">
        <v>57</v>
      </c>
      <c r="S1989">
        <v>10</v>
      </c>
      <c r="T1989">
        <v>299</v>
      </c>
      <c r="U1989" s="1">
        <v>38670</v>
      </c>
      <c r="V1989" t="s">
        <v>123</v>
      </c>
      <c r="W1989" t="s">
        <v>124</v>
      </c>
      <c r="X1989" t="s">
        <v>58</v>
      </c>
      <c r="Y1989">
        <v>20</v>
      </c>
      <c r="Z1989" t="s">
        <v>59</v>
      </c>
      <c r="AA1989" t="s">
        <v>59</v>
      </c>
      <c r="AB1989" t="s">
        <v>59</v>
      </c>
      <c r="AC1989" t="s">
        <v>59</v>
      </c>
      <c r="AD1989" t="s">
        <v>59</v>
      </c>
      <c r="AF1989" s="1">
        <v>38672</v>
      </c>
      <c r="AG1989" t="s">
        <v>137</v>
      </c>
      <c r="AH1989" t="s">
        <v>138</v>
      </c>
      <c r="AI1989" t="str">
        <f>"1750080"</f>
        <v>1750080</v>
      </c>
      <c r="AJ1989" t="s">
        <v>170</v>
      </c>
      <c r="AK1989">
        <v>2810234444</v>
      </c>
      <c r="AL1989" t="s">
        <v>171</v>
      </c>
      <c r="AM1989" t="s">
        <v>78</v>
      </c>
      <c r="AN1989" t="s">
        <v>78</v>
      </c>
      <c r="AO1989" t="s">
        <v>78</v>
      </c>
      <c r="AP1989" t="s">
        <v>163</v>
      </c>
      <c r="AQ1989">
        <v>9</v>
      </c>
      <c r="AR1989" t="s">
        <v>123</v>
      </c>
      <c r="AS1989" t="s">
        <v>124</v>
      </c>
      <c r="AT1989" t="s">
        <v>58</v>
      </c>
      <c r="AU1989" t="s">
        <v>68</v>
      </c>
      <c r="AV1989" t="s">
        <v>69</v>
      </c>
      <c r="AW1989" s="1">
        <v>28648</v>
      </c>
      <c r="AX1989">
        <v>2</v>
      </c>
    </row>
    <row r="1990" spans="1:50">
      <c r="A1990">
        <v>223814</v>
      </c>
      <c r="B1990" t="str">
        <f>"052041145"</f>
        <v>052041145</v>
      </c>
      <c r="C1990" t="s">
        <v>105</v>
      </c>
      <c r="D1990" t="s">
        <v>4155</v>
      </c>
      <c r="E1990" t="s">
        <v>84</v>
      </c>
      <c r="F1990" t="s">
        <v>108</v>
      </c>
      <c r="G1990" t="s">
        <v>52</v>
      </c>
      <c r="H1990" t="str">
        <f>"ΡΙΖΗΝΙΑΣ 64 "</f>
        <v xml:space="preserve">ΡΙΖΗΝΙΑΣ 64 </v>
      </c>
      <c r="I1990">
        <v>71305</v>
      </c>
      <c r="J1990">
        <v>2810260258</v>
      </c>
      <c r="K1990">
        <v>6972706413</v>
      </c>
      <c r="M1990" t="s">
        <v>4156</v>
      </c>
      <c r="N1990" t="s">
        <v>246</v>
      </c>
      <c r="O1990" t="s">
        <v>247</v>
      </c>
      <c r="R1990" t="s">
        <v>57</v>
      </c>
      <c r="S1990">
        <v>4</v>
      </c>
      <c r="T1990">
        <v>775</v>
      </c>
      <c r="U1990" s="1">
        <v>39680</v>
      </c>
      <c r="V1990" t="s">
        <v>123</v>
      </c>
      <c r="W1990" t="s">
        <v>124</v>
      </c>
      <c r="X1990" t="s">
        <v>58</v>
      </c>
      <c r="Y1990">
        <v>21</v>
      </c>
      <c r="Z1990" t="s">
        <v>59</v>
      </c>
      <c r="AA1990" t="s">
        <v>59</v>
      </c>
      <c r="AB1990" t="s">
        <v>59</v>
      </c>
      <c r="AC1990" t="s">
        <v>59</v>
      </c>
      <c r="AD1990" t="s">
        <v>59</v>
      </c>
      <c r="AF1990" s="1">
        <v>39681</v>
      </c>
      <c r="AG1990" t="s">
        <v>125</v>
      </c>
      <c r="AH1990" t="s">
        <v>126</v>
      </c>
      <c r="AI1990" t="str">
        <f>"1701051"</f>
        <v>1701051</v>
      </c>
      <c r="AJ1990" t="s">
        <v>443</v>
      </c>
      <c r="AK1990">
        <v>2810325815</v>
      </c>
      <c r="AL1990" t="s">
        <v>444</v>
      </c>
      <c r="AM1990" t="s">
        <v>78</v>
      </c>
      <c r="AN1990" t="s">
        <v>78</v>
      </c>
      <c r="AO1990" t="s">
        <v>78</v>
      </c>
      <c r="AP1990" t="s">
        <v>163</v>
      </c>
      <c r="AQ1990">
        <v>5</v>
      </c>
      <c r="AR1990" t="s">
        <v>123</v>
      </c>
      <c r="AS1990" t="s">
        <v>124</v>
      </c>
      <c r="AT1990" t="s">
        <v>58</v>
      </c>
      <c r="AU1990" t="s">
        <v>68</v>
      </c>
      <c r="AV1990" t="s">
        <v>69</v>
      </c>
      <c r="AW1990" s="1">
        <v>28777</v>
      </c>
      <c r="AX1990">
        <v>2</v>
      </c>
    </row>
    <row r="1991" spans="1:50">
      <c r="A1991">
        <v>224024</v>
      </c>
      <c r="B1991" t="str">
        <f>"032243201"</f>
        <v>032243201</v>
      </c>
      <c r="C1991" t="s">
        <v>50</v>
      </c>
      <c r="D1991" t="s">
        <v>4157</v>
      </c>
      <c r="E1991" t="s">
        <v>642</v>
      </c>
      <c r="F1991" t="s">
        <v>106</v>
      </c>
      <c r="G1991" t="s">
        <v>4158</v>
      </c>
      <c r="H1991" t="str">
        <f>"Θ.ΣΟΦΟΥΛΗ 19 Ν.ΨΥΧΙΚΟ ΦΙΛΟΘΕΗΣ "</f>
        <v xml:space="preserve">Θ.ΣΟΦΟΥΛΗ 19 Ν.ΨΥΧΙΚΟ ΦΙΛΟΘΕΗΣ </v>
      </c>
      <c r="I1991">
        <v>15451</v>
      </c>
      <c r="J1991">
        <v>2106725256</v>
      </c>
      <c r="K1991">
        <v>6973993800</v>
      </c>
      <c r="L1991">
        <v>2105245054</v>
      </c>
      <c r="M1991" t="s">
        <v>4159</v>
      </c>
      <c r="N1991" t="s">
        <v>478</v>
      </c>
      <c r="O1991" t="s">
        <v>479</v>
      </c>
      <c r="R1991" t="s">
        <v>57</v>
      </c>
      <c r="S1991">
        <v>6</v>
      </c>
      <c r="T1991">
        <v>775</v>
      </c>
      <c r="U1991" s="1">
        <v>39680</v>
      </c>
      <c r="V1991" t="s">
        <v>123</v>
      </c>
      <c r="W1991" t="s">
        <v>124</v>
      </c>
      <c r="X1991" t="s">
        <v>58</v>
      </c>
      <c r="Y1991">
        <v>21</v>
      </c>
      <c r="Z1991" t="s">
        <v>59</v>
      </c>
      <c r="AA1991" t="s">
        <v>59</v>
      </c>
      <c r="AB1991" t="s">
        <v>59</v>
      </c>
      <c r="AC1991" t="s">
        <v>59</v>
      </c>
      <c r="AD1991" t="s">
        <v>59</v>
      </c>
      <c r="AF1991" s="1">
        <v>39682</v>
      </c>
      <c r="AG1991" t="s">
        <v>125</v>
      </c>
      <c r="AH1991" t="s">
        <v>126</v>
      </c>
      <c r="AI1991" t="str">
        <f>"1725030"</f>
        <v>1725030</v>
      </c>
      <c r="AJ1991" t="s">
        <v>1666</v>
      </c>
      <c r="AK1991">
        <v>2893022872</v>
      </c>
      <c r="AL1991" t="s">
        <v>1667</v>
      </c>
      <c r="AM1991" t="s">
        <v>78</v>
      </c>
      <c r="AN1991" t="s">
        <v>424</v>
      </c>
      <c r="AO1991" t="s">
        <v>577</v>
      </c>
      <c r="AP1991" t="s">
        <v>1668</v>
      </c>
      <c r="AQ1991">
        <v>23</v>
      </c>
      <c r="AR1991" t="s">
        <v>123</v>
      </c>
      <c r="AS1991" t="s">
        <v>124</v>
      </c>
      <c r="AT1991" t="s">
        <v>58</v>
      </c>
      <c r="AU1991" t="s">
        <v>68</v>
      </c>
      <c r="AV1991" t="s">
        <v>69</v>
      </c>
      <c r="AW1991" s="1">
        <v>24624</v>
      </c>
      <c r="AX1991">
        <v>2</v>
      </c>
    </row>
    <row r="1992" spans="1:50">
      <c r="A1992">
        <v>187800</v>
      </c>
      <c r="B1992" t="str">
        <f>"075065350"</f>
        <v>075065350</v>
      </c>
      <c r="C1992" t="s">
        <v>105</v>
      </c>
      <c r="D1992" t="s">
        <v>4160</v>
      </c>
      <c r="E1992" t="s">
        <v>72</v>
      </c>
      <c r="F1992" t="s">
        <v>166</v>
      </c>
      <c r="G1992" t="s">
        <v>109</v>
      </c>
      <c r="H1992" t="str">
        <f>" "</f>
        <v xml:space="preserve"> </v>
      </c>
      <c r="M1992" t="s">
        <v>4161</v>
      </c>
      <c r="N1992" t="s">
        <v>204</v>
      </c>
      <c r="O1992" t="s">
        <v>205</v>
      </c>
      <c r="R1992" t="s">
        <v>57</v>
      </c>
      <c r="S1992">
        <v>11</v>
      </c>
      <c r="T1992" t="s">
        <v>228</v>
      </c>
      <c r="U1992" s="1">
        <v>36404</v>
      </c>
      <c r="V1992" t="s">
        <v>123</v>
      </c>
      <c r="W1992" t="s">
        <v>124</v>
      </c>
      <c r="X1992" t="s">
        <v>58</v>
      </c>
      <c r="Y1992">
        <v>20</v>
      </c>
      <c r="Z1992" t="s">
        <v>59</v>
      </c>
      <c r="AA1992" t="s">
        <v>59</v>
      </c>
      <c r="AB1992" t="s">
        <v>59</v>
      </c>
      <c r="AC1992" t="s">
        <v>59</v>
      </c>
      <c r="AD1992" t="s">
        <v>59</v>
      </c>
      <c r="AF1992" s="1">
        <v>36773</v>
      </c>
      <c r="AG1992" t="s">
        <v>137</v>
      </c>
      <c r="AH1992" t="s">
        <v>469</v>
      </c>
      <c r="AI1992" t="str">
        <f>"1740200"</f>
        <v>1740200</v>
      </c>
      <c r="AJ1992" t="s">
        <v>470</v>
      </c>
      <c r="AK1992">
        <v>2810320770</v>
      </c>
      <c r="AL1992" t="s">
        <v>471</v>
      </c>
      <c r="AM1992" t="s">
        <v>78</v>
      </c>
      <c r="AN1992" t="s">
        <v>78</v>
      </c>
      <c r="AO1992" t="s">
        <v>78</v>
      </c>
      <c r="AP1992" t="s">
        <v>163</v>
      </c>
      <c r="AQ1992">
        <v>2</v>
      </c>
      <c r="AR1992" t="s">
        <v>123</v>
      </c>
      <c r="AS1992" t="s">
        <v>124</v>
      </c>
      <c r="AT1992" t="s">
        <v>58</v>
      </c>
      <c r="AU1992" t="s">
        <v>68</v>
      </c>
      <c r="AV1992" t="s">
        <v>69</v>
      </c>
      <c r="AW1992" s="1">
        <v>26716</v>
      </c>
      <c r="AX1992">
        <v>2</v>
      </c>
    </row>
    <row r="1993" spans="1:50">
      <c r="A1993">
        <v>216749</v>
      </c>
      <c r="B1993" t="str">
        <f>"061727779"</f>
        <v>061727779</v>
      </c>
      <c r="C1993" t="s">
        <v>105</v>
      </c>
      <c r="D1993" t="s">
        <v>4160</v>
      </c>
      <c r="E1993" t="s">
        <v>106</v>
      </c>
      <c r="F1993" t="s">
        <v>84</v>
      </c>
      <c r="G1993" t="s">
        <v>71</v>
      </c>
      <c r="H1993" t="str">
        <f>"Μ.ΧΑΤΖΗΔΑΚΗ 5 ΞΗΡΟΠΟΤΑΜΟΣ ΓΑΖΙΟΥ"</f>
        <v>Μ.ΧΑΤΖΗΔΑΚΗ 5 ΞΗΡΟΠΟΤΑΜΟΣ ΓΑΖΙΟΥ</v>
      </c>
      <c r="I1993">
        <v>71414</v>
      </c>
      <c r="J1993">
        <v>2810288385</v>
      </c>
      <c r="K1993">
        <v>6982345491</v>
      </c>
      <c r="L1993">
        <v>2810319830</v>
      </c>
      <c r="M1993" t="s">
        <v>4162</v>
      </c>
      <c r="N1993" t="s">
        <v>146</v>
      </c>
      <c r="O1993" t="s">
        <v>147</v>
      </c>
      <c r="R1993" t="s">
        <v>57</v>
      </c>
      <c r="S1993">
        <v>8</v>
      </c>
      <c r="T1993">
        <v>298</v>
      </c>
      <c r="U1993" s="1">
        <v>38985</v>
      </c>
      <c r="V1993" t="s">
        <v>123</v>
      </c>
      <c r="W1993" t="s">
        <v>124</v>
      </c>
      <c r="X1993" t="s">
        <v>58</v>
      </c>
      <c r="Y1993">
        <v>20</v>
      </c>
      <c r="Z1993" t="s">
        <v>59</v>
      </c>
      <c r="AA1993" t="s">
        <v>59</v>
      </c>
      <c r="AB1993" t="s">
        <v>59</v>
      </c>
      <c r="AC1993" t="s">
        <v>59</v>
      </c>
      <c r="AD1993" t="s">
        <v>59</v>
      </c>
      <c r="AF1993" s="1">
        <v>38986</v>
      </c>
      <c r="AG1993" t="s">
        <v>148</v>
      </c>
      <c r="AH1993" t="s">
        <v>149</v>
      </c>
      <c r="AI1993" t="str">
        <f>"1751051"</f>
        <v>1751051</v>
      </c>
      <c r="AJ1993" t="s">
        <v>259</v>
      </c>
      <c r="AK1993">
        <v>2810251794</v>
      </c>
      <c r="AL1993" t="s">
        <v>260</v>
      </c>
      <c r="AM1993" t="s">
        <v>78</v>
      </c>
      <c r="AN1993" t="s">
        <v>78</v>
      </c>
      <c r="AO1993" t="s">
        <v>78</v>
      </c>
      <c r="AP1993" t="s">
        <v>141</v>
      </c>
      <c r="AQ1993">
        <v>7</v>
      </c>
      <c r="AR1993" t="s">
        <v>123</v>
      </c>
      <c r="AS1993" t="s">
        <v>124</v>
      </c>
      <c r="AT1993" t="s">
        <v>58</v>
      </c>
      <c r="AU1993" t="s">
        <v>68</v>
      </c>
      <c r="AV1993" t="s">
        <v>69</v>
      </c>
      <c r="AW1993" s="1">
        <v>26678</v>
      </c>
      <c r="AX1993">
        <v>2</v>
      </c>
    </row>
    <row r="1994" spans="1:50">
      <c r="B1994" t="str">
        <f>"119685990"</f>
        <v>119685990</v>
      </c>
      <c r="C1994" t="s">
        <v>50</v>
      </c>
      <c r="D1994" t="s">
        <v>4163</v>
      </c>
      <c r="E1994" t="s">
        <v>83</v>
      </c>
      <c r="F1994" t="s">
        <v>99</v>
      </c>
      <c r="G1994" t="s">
        <v>52</v>
      </c>
      <c r="H1994" t="str">
        <f>" "</f>
        <v xml:space="preserve"> </v>
      </c>
      <c r="J1994">
        <v>2810212803</v>
      </c>
      <c r="K1994">
        <v>6976695903</v>
      </c>
      <c r="N1994" t="s">
        <v>119</v>
      </c>
      <c r="O1994" t="s">
        <v>120</v>
      </c>
      <c r="R1994" t="s">
        <v>159</v>
      </c>
      <c r="S1994">
        <v>3</v>
      </c>
      <c r="T1994" t="s">
        <v>344</v>
      </c>
      <c r="U1994" s="1">
        <v>43348</v>
      </c>
      <c r="V1994" t="s">
        <v>123</v>
      </c>
      <c r="W1994" t="s">
        <v>124</v>
      </c>
      <c r="X1994" t="s">
        <v>58</v>
      </c>
      <c r="Y1994">
        <v>23</v>
      </c>
      <c r="Z1994" t="s">
        <v>59</v>
      </c>
      <c r="AA1994" t="s">
        <v>59</v>
      </c>
      <c r="AB1994" t="s">
        <v>59</v>
      </c>
      <c r="AD1994" t="s">
        <v>59</v>
      </c>
      <c r="AF1994" s="1">
        <v>43348</v>
      </c>
      <c r="AG1994" t="s">
        <v>125</v>
      </c>
      <c r="AH1994" t="s">
        <v>126</v>
      </c>
      <c r="AI1994" t="str">
        <f>"1704010"</f>
        <v>1704010</v>
      </c>
      <c r="AJ1994" t="s">
        <v>480</v>
      </c>
      <c r="AK1994">
        <v>2895022230</v>
      </c>
      <c r="AL1994" t="s">
        <v>481</v>
      </c>
      <c r="AM1994" t="s">
        <v>78</v>
      </c>
      <c r="AN1994" t="s">
        <v>482</v>
      </c>
      <c r="AO1994" t="s">
        <v>482</v>
      </c>
      <c r="AP1994" t="s">
        <v>483</v>
      </c>
      <c r="AQ1994">
        <v>16</v>
      </c>
      <c r="AR1994" t="s">
        <v>123</v>
      </c>
      <c r="AS1994" t="s">
        <v>124</v>
      </c>
      <c r="AT1994" t="s">
        <v>58</v>
      </c>
      <c r="AU1994" t="s">
        <v>350</v>
      </c>
      <c r="AV1994" t="s">
        <v>132</v>
      </c>
      <c r="AW1994" s="1">
        <v>30221</v>
      </c>
      <c r="AX1994">
        <v>2</v>
      </c>
    </row>
    <row r="1995" spans="1:50">
      <c r="A1995">
        <v>179834</v>
      </c>
      <c r="B1995" t="str">
        <f>"044180759"</f>
        <v>044180759</v>
      </c>
      <c r="C1995" t="s">
        <v>50</v>
      </c>
      <c r="D1995" t="s">
        <v>4163</v>
      </c>
      <c r="E1995" t="s">
        <v>4089</v>
      </c>
      <c r="F1995" t="s">
        <v>92</v>
      </c>
      <c r="G1995" t="s">
        <v>250</v>
      </c>
      <c r="H1995" t="str">
        <f>"Ισότητας 46 Ατσαλένιο"</f>
        <v>Ισότητας 46 Ατσαλένιο</v>
      </c>
      <c r="I1995">
        <v>71306</v>
      </c>
      <c r="J1995">
        <v>2810317917</v>
      </c>
      <c r="K1995">
        <v>6946073688</v>
      </c>
      <c r="M1995" t="s">
        <v>4164</v>
      </c>
      <c r="N1995" t="s">
        <v>146</v>
      </c>
      <c r="O1995" t="s">
        <v>147</v>
      </c>
      <c r="R1995" t="s">
        <v>57</v>
      </c>
      <c r="S1995">
        <v>10</v>
      </c>
      <c r="T1995">
        <v>164</v>
      </c>
      <c r="U1995" s="1">
        <v>36040</v>
      </c>
      <c r="V1995" t="s">
        <v>123</v>
      </c>
      <c r="W1995" t="s">
        <v>124</v>
      </c>
      <c r="X1995" t="s">
        <v>58</v>
      </c>
      <c r="Y1995">
        <v>18</v>
      </c>
      <c r="Z1995" t="s">
        <v>59</v>
      </c>
      <c r="AA1995" t="s">
        <v>59</v>
      </c>
      <c r="AB1995" t="s">
        <v>59</v>
      </c>
      <c r="AC1995" t="s">
        <v>59</v>
      </c>
      <c r="AD1995" t="s">
        <v>59</v>
      </c>
      <c r="AF1995" s="1">
        <v>36045</v>
      </c>
      <c r="AG1995" t="s">
        <v>148</v>
      </c>
      <c r="AH1995" t="s">
        <v>149</v>
      </c>
      <c r="AI1995" t="str">
        <f>"1764010"</f>
        <v>1764010</v>
      </c>
      <c r="AJ1995" t="s">
        <v>1058</v>
      </c>
      <c r="AK1995">
        <v>2810762862</v>
      </c>
      <c r="AL1995" t="s">
        <v>1059</v>
      </c>
      <c r="AM1995" t="s">
        <v>78</v>
      </c>
      <c r="AN1995" t="s">
        <v>219</v>
      </c>
      <c r="AO1995" t="s">
        <v>297</v>
      </c>
      <c r="AP1995" t="s">
        <v>297</v>
      </c>
      <c r="AQ1995">
        <v>37</v>
      </c>
      <c r="AR1995" t="s">
        <v>123</v>
      </c>
      <c r="AS1995" t="s">
        <v>124</v>
      </c>
      <c r="AT1995" t="s">
        <v>58</v>
      </c>
      <c r="AU1995" t="s">
        <v>68</v>
      </c>
      <c r="AV1995" t="s">
        <v>69</v>
      </c>
      <c r="AW1995" s="1">
        <v>23864</v>
      </c>
      <c r="AX1995">
        <v>2</v>
      </c>
    </row>
    <row r="1996" spans="1:50">
      <c r="A1996">
        <v>700149</v>
      </c>
      <c r="B1996" t="str">
        <f>"076723010"</f>
        <v>076723010</v>
      </c>
      <c r="C1996" t="s">
        <v>50</v>
      </c>
      <c r="D1996" t="s">
        <v>4165</v>
      </c>
      <c r="E1996" t="s">
        <v>52</v>
      </c>
      <c r="F1996" t="s">
        <v>72</v>
      </c>
      <c r="G1996" t="s">
        <v>905</v>
      </c>
      <c r="H1996" t="str">
        <f>"Α. ΒΑΛΑΩΡΙΤΗ 24 ΗΡΑΚΛΕΙΟ"</f>
        <v>Α. ΒΑΛΑΩΡΙΤΗ 24 ΗΡΑΚΛΕΙΟ</v>
      </c>
      <c r="I1996">
        <v>71303</v>
      </c>
      <c r="J1996">
        <v>2810711490</v>
      </c>
      <c r="K1996">
        <v>6942464213</v>
      </c>
      <c r="M1996" t="s">
        <v>4166</v>
      </c>
      <c r="N1996" t="s">
        <v>232</v>
      </c>
      <c r="O1996" t="s">
        <v>233</v>
      </c>
      <c r="R1996" t="s">
        <v>57</v>
      </c>
      <c r="S1996">
        <v>8</v>
      </c>
      <c r="T1996">
        <v>772</v>
      </c>
      <c r="U1996" s="1">
        <v>40413</v>
      </c>
      <c r="V1996" t="s">
        <v>123</v>
      </c>
      <c r="W1996" t="s">
        <v>124</v>
      </c>
      <c r="X1996" t="s">
        <v>58</v>
      </c>
      <c r="Y1996">
        <v>21</v>
      </c>
      <c r="Z1996" t="s">
        <v>59</v>
      </c>
      <c r="AA1996" t="s">
        <v>59</v>
      </c>
      <c r="AB1996" t="s">
        <v>452</v>
      </c>
      <c r="AC1996" t="s">
        <v>59</v>
      </c>
      <c r="AD1996" t="s">
        <v>59</v>
      </c>
      <c r="AF1996" s="1">
        <v>40413</v>
      </c>
      <c r="AG1996" t="s">
        <v>125</v>
      </c>
      <c r="AH1996" t="s">
        <v>386</v>
      </c>
      <c r="AI1996" t="str">
        <f>"1741002"</f>
        <v>1741002</v>
      </c>
      <c r="AJ1996" t="s">
        <v>387</v>
      </c>
      <c r="AK1996">
        <v>2810762610</v>
      </c>
      <c r="AL1996" t="s">
        <v>388</v>
      </c>
      <c r="AM1996" t="s">
        <v>78</v>
      </c>
      <c r="AN1996" t="s">
        <v>219</v>
      </c>
      <c r="AO1996" t="s">
        <v>297</v>
      </c>
      <c r="AP1996" t="s">
        <v>297</v>
      </c>
      <c r="AQ1996">
        <v>10</v>
      </c>
      <c r="AR1996" t="s">
        <v>123</v>
      </c>
      <c r="AS1996" t="s">
        <v>124</v>
      </c>
      <c r="AT1996" t="s">
        <v>58</v>
      </c>
      <c r="AU1996" t="s">
        <v>68</v>
      </c>
      <c r="AV1996" t="s">
        <v>69</v>
      </c>
      <c r="AW1996" s="1">
        <v>28044</v>
      </c>
      <c r="AX1996">
        <v>2</v>
      </c>
    </row>
    <row r="1997" spans="1:50">
      <c r="A1997">
        <v>197575</v>
      </c>
      <c r="B1997" t="str">
        <f>"044805635"</f>
        <v>044805635</v>
      </c>
      <c r="C1997" t="s">
        <v>50</v>
      </c>
      <c r="D1997" t="s">
        <v>4165</v>
      </c>
      <c r="E1997" t="s">
        <v>52</v>
      </c>
      <c r="F1997" t="s">
        <v>53</v>
      </c>
      <c r="G1997" t="s">
        <v>215</v>
      </c>
      <c r="H1997" t="str">
        <f>"ΔΗΜΗΤΣΑΝΑΣ 7 "</f>
        <v xml:space="preserve">ΔΗΜΗΤΣΑΝΑΣ 7 </v>
      </c>
      <c r="I1997">
        <v>71305</v>
      </c>
      <c r="J1997">
        <v>2810262172</v>
      </c>
      <c r="K1997">
        <v>6977729660</v>
      </c>
      <c r="M1997" t="s">
        <v>4167</v>
      </c>
      <c r="N1997" t="s">
        <v>146</v>
      </c>
      <c r="O1997" t="s">
        <v>147</v>
      </c>
      <c r="R1997" t="s">
        <v>57</v>
      </c>
      <c r="S1997">
        <v>10</v>
      </c>
      <c r="T1997">
        <v>206</v>
      </c>
      <c r="U1997" s="1">
        <v>37866</v>
      </c>
      <c r="V1997" t="s">
        <v>123</v>
      </c>
      <c r="W1997" t="s">
        <v>124</v>
      </c>
      <c r="X1997" t="s">
        <v>58</v>
      </c>
      <c r="Y1997">
        <v>20</v>
      </c>
      <c r="Z1997" t="s">
        <v>59</v>
      </c>
      <c r="AA1997" t="s">
        <v>59</v>
      </c>
      <c r="AB1997" t="s">
        <v>59</v>
      </c>
      <c r="AC1997" t="s">
        <v>59</v>
      </c>
      <c r="AD1997" t="s">
        <v>59</v>
      </c>
      <c r="AF1997" s="1">
        <v>37866</v>
      </c>
      <c r="AG1997" t="s">
        <v>125</v>
      </c>
      <c r="AH1997" t="s">
        <v>386</v>
      </c>
      <c r="AI1997" t="str">
        <f>"1741002"</f>
        <v>1741002</v>
      </c>
      <c r="AJ1997" t="s">
        <v>387</v>
      </c>
      <c r="AK1997">
        <v>2810762610</v>
      </c>
      <c r="AL1997" t="s">
        <v>388</v>
      </c>
      <c r="AM1997" t="s">
        <v>78</v>
      </c>
      <c r="AN1997" t="s">
        <v>219</v>
      </c>
      <c r="AO1997" t="s">
        <v>297</v>
      </c>
      <c r="AP1997" t="s">
        <v>297</v>
      </c>
      <c r="AQ1997">
        <v>10</v>
      </c>
      <c r="AR1997" t="s">
        <v>123</v>
      </c>
      <c r="AS1997" t="s">
        <v>124</v>
      </c>
      <c r="AT1997" t="s">
        <v>58</v>
      </c>
      <c r="AU1997" t="s">
        <v>68</v>
      </c>
      <c r="AV1997" t="s">
        <v>69</v>
      </c>
      <c r="AW1997" s="1">
        <v>24965</v>
      </c>
      <c r="AX1997">
        <v>2</v>
      </c>
    </row>
    <row r="1998" spans="1:50">
      <c r="A1998">
        <v>202089</v>
      </c>
      <c r="B1998" t="str">
        <f>"045847986"</f>
        <v>045847986</v>
      </c>
      <c r="C1998" t="s">
        <v>50</v>
      </c>
      <c r="D1998" t="s">
        <v>4165</v>
      </c>
      <c r="E1998" t="s">
        <v>1179</v>
      </c>
      <c r="F1998" t="s">
        <v>53</v>
      </c>
      <c r="G1998" t="s">
        <v>215</v>
      </c>
      <c r="H1998" t="str">
        <f>"ΔΗΜΗΤΣΑΝΑΣ 7 ΗΡΑΚΛΕΙΟ"</f>
        <v>ΔΗΜΗΤΣΑΝΑΣ 7 ΗΡΑΚΛΕΙΟ</v>
      </c>
      <c r="J1998">
        <v>2810259298</v>
      </c>
      <c r="K1998">
        <v>6975933656</v>
      </c>
      <c r="M1998" t="s">
        <v>4168</v>
      </c>
      <c r="N1998" t="s">
        <v>146</v>
      </c>
      <c r="O1998" t="s">
        <v>147</v>
      </c>
      <c r="R1998" t="s">
        <v>57</v>
      </c>
      <c r="S1998">
        <v>6</v>
      </c>
      <c r="T1998">
        <v>231</v>
      </c>
      <c r="U1998" s="1">
        <v>38230</v>
      </c>
      <c r="V1998" t="s">
        <v>123</v>
      </c>
      <c r="W1998" t="s">
        <v>124</v>
      </c>
      <c r="X1998" t="s">
        <v>58</v>
      </c>
      <c r="Y1998">
        <v>20</v>
      </c>
      <c r="Z1998" t="s">
        <v>59</v>
      </c>
      <c r="AA1998" t="s">
        <v>59</v>
      </c>
      <c r="AB1998" t="s">
        <v>59</v>
      </c>
      <c r="AC1998" t="s">
        <v>59</v>
      </c>
      <c r="AD1998" t="s">
        <v>59</v>
      </c>
      <c r="AF1998" s="1">
        <v>38232</v>
      </c>
      <c r="AG1998" t="s">
        <v>125</v>
      </c>
      <c r="AH1998" t="s">
        <v>126</v>
      </c>
      <c r="AI1998" t="str">
        <f>"1701053"</f>
        <v>1701053</v>
      </c>
      <c r="AJ1998" t="s">
        <v>398</v>
      </c>
      <c r="AK1998">
        <v>2810251434</v>
      </c>
      <c r="AL1998" t="s">
        <v>399</v>
      </c>
      <c r="AM1998" t="s">
        <v>78</v>
      </c>
      <c r="AN1998" t="s">
        <v>78</v>
      </c>
      <c r="AO1998" t="s">
        <v>78</v>
      </c>
      <c r="AP1998" t="s">
        <v>141</v>
      </c>
      <c r="AQ1998">
        <v>7</v>
      </c>
      <c r="AR1998" t="s">
        <v>123</v>
      </c>
      <c r="AS1998" t="s">
        <v>124</v>
      </c>
      <c r="AT1998" t="s">
        <v>58</v>
      </c>
      <c r="AU1998" t="s">
        <v>68</v>
      </c>
      <c r="AV1998" t="s">
        <v>69</v>
      </c>
      <c r="AW1998" s="1">
        <v>25793</v>
      </c>
      <c r="AX1998">
        <v>2</v>
      </c>
    </row>
    <row r="1999" spans="1:50">
      <c r="A1999">
        <v>159006</v>
      </c>
      <c r="B1999" t="str">
        <f>"032455406"</f>
        <v>032455406</v>
      </c>
      <c r="C1999" t="s">
        <v>50</v>
      </c>
      <c r="D1999" t="s">
        <v>4165</v>
      </c>
      <c r="E1999" t="s">
        <v>460</v>
      </c>
      <c r="F1999" t="s">
        <v>631</v>
      </c>
      <c r="G1999" t="s">
        <v>83</v>
      </c>
      <c r="H1999" t="str">
        <f>"ΠΑΓΚΟΣΜΙΑΣ ΕΙΡΗΝΗΣ 13 ΑΓΙΑ ΑΙΚΑΤΕΡΙΝΗ"</f>
        <v>ΠΑΓΚΟΣΜΙΑΣ ΕΙΡΗΝΗΣ 13 ΑΓΙΑ ΑΙΚΑΤΕΡΙΝΗ</v>
      </c>
      <c r="I1999">
        <v>71307</v>
      </c>
      <c r="J1999">
        <v>2810242435</v>
      </c>
      <c r="K1999">
        <v>6943041455</v>
      </c>
      <c r="M1999" t="s">
        <v>4169</v>
      </c>
      <c r="N1999" t="s">
        <v>157</v>
      </c>
      <c r="O1999" t="s">
        <v>158</v>
      </c>
      <c r="R1999" t="s">
        <v>57</v>
      </c>
      <c r="S1999">
        <v>15</v>
      </c>
      <c r="T1999">
        <v>161</v>
      </c>
      <c r="U1999" s="1">
        <v>33119</v>
      </c>
      <c r="V1999" t="s">
        <v>123</v>
      </c>
      <c r="W1999" t="s">
        <v>124</v>
      </c>
      <c r="X1999" t="s">
        <v>58</v>
      </c>
      <c r="Y1999">
        <v>18</v>
      </c>
      <c r="Z1999" t="s">
        <v>59</v>
      </c>
      <c r="AA1999" t="s">
        <v>59</v>
      </c>
      <c r="AB1999" t="s">
        <v>59</v>
      </c>
      <c r="AC1999" t="s">
        <v>59</v>
      </c>
      <c r="AD1999" t="s">
        <v>59</v>
      </c>
      <c r="AF1999" s="1">
        <v>33122</v>
      </c>
      <c r="AG1999" t="s">
        <v>125</v>
      </c>
      <c r="AH1999" t="s">
        <v>126</v>
      </c>
      <c r="AI1999" t="str">
        <f>"1727010"</f>
        <v>1727010</v>
      </c>
      <c r="AJ1999" t="s">
        <v>618</v>
      </c>
      <c r="AK1999">
        <v>2810229231</v>
      </c>
      <c r="AL1999" t="s">
        <v>619</v>
      </c>
      <c r="AM1999" t="s">
        <v>78</v>
      </c>
      <c r="AN1999" t="s">
        <v>78</v>
      </c>
      <c r="AO1999" t="s">
        <v>286</v>
      </c>
      <c r="AP1999" t="s">
        <v>286</v>
      </c>
      <c r="AQ1999">
        <v>12</v>
      </c>
      <c r="AR1999" t="s">
        <v>123</v>
      </c>
      <c r="AS1999" t="s">
        <v>124</v>
      </c>
      <c r="AT1999" t="s">
        <v>58</v>
      </c>
      <c r="AU1999" t="s">
        <v>68</v>
      </c>
      <c r="AV1999" t="s">
        <v>69</v>
      </c>
      <c r="AW1999" s="1">
        <v>22889</v>
      </c>
      <c r="AX1999">
        <v>2</v>
      </c>
    </row>
    <row r="2000" spans="1:50">
      <c r="B2000" t="str">
        <f>"114276344"</f>
        <v>114276344</v>
      </c>
      <c r="C2000" t="s">
        <v>105</v>
      </c>
      <c r="D2000" t="s">
        <v>4170</v>
      </c>
      <c r="E2000" t="s">
        <v>108</v>
      </c>
      <c r="F2000" t="s">
        <v>166</v>
      </c>
      <c r="G2000" t="s">
        <v>52</v>
      </c>
      <c r="H2000" t="str">
        <f>"ΣΜΠΩΚΟΥ  53 ΗΡΑΚΛΕΙΟ"</f>
        <v>ΣΜΠΩΚΟΥ  53 ΗΡΑΚΛΕΙΟ</v>
      </c>
      <c r="I2000">
        <v>-1</v>
      </c>
      <c r="J2000">
        <v>2834031190</v>
      </c>
      <c r="K2000">
        <v>6972213230</v>
      </c>
      <c r="N2000" t="s">
        <v>292</v>
      </c>
      <c r="O2000" t="s">
        <v>293</v>
      </c>
      <c r="R2000" t="s">
        <v>121</v>
      </c>
      <c r="S2000">
        <v>1</v>
      </c>
      <c r="T2000" t="s">
        <v>574</v>
      </c>
      <c r="U2000" s="1">
        <v>43378</v>
      </c>
      <c r="V2000" t="s">
        <v>123</v>
      </c>
      <c r="W2000" t="s">
        <v>124</v>
      </c>
      <c r="X2000" t="s">
        <v>58</v>
      </c>
      <c r="Y2000">
        <v>23</v>
      </c>
      <c r="Z2000" t="s">
        <v>59</v>
      </c>
      <c r="AA2000" t="s">
        <v>59</v>
      </c>
      <c r="AB2000" t="s">
        <v>59</v>
      </c>
      <c r="AC2000" t="s">
        <v>59</v>
      </c>
      <c r="AD2000" t="s">
        <v>59</v>
      </c>
      <c r="AF2000" s="1">
        <v>43381</v>
      </c>
      <c r="AG2000" t="s">
        <v>125</v>
      </c>
      <c r="AH2000" t="s">
        <v>126</v>
      </c>
      <c r="AI2000" t="str">
        <f>"1722010"</f>
        <v>1722010</v>
      </c>
      <c r="AJ2000" t="s">
        <v>549</v>
      </c>
      <c r="AK2000">
        <v>2894041298</v>
      </c>
      <c r="AL2000" t="s">
        <v>550</v>
      </c>
      <c r="AM2000" t="s">
        <v>78</v>
      </c>
      <c r="AN2000" t="s">
        <v>405</v>
      </c>
      <c r="AO2000" t="s">
        <v>551</v>
      </c>
      <c r="AP2000" t="s">
        <v>552</v>
      </c>
      <c r="AQ2000">
        <v>31</v>
      </c>
      <c r="AR2000" t="s">
        <v>123</v>
      </c>
      <c r="AS2000" t="s">
        <v>124</v>
      </c>
      <c r="AT2000" t="s">
        <v>58</v>
      </c>
      <c r="AU2000" t="s">
        <v>164</v>
      </c>
      <c r="AV2000" t="s">
        <v>132</v>
      </c>
      <c r="AW2000" s="1">
        <v>30106</v>
      </c>
      <c r="AX2000">
        <v>2</v>
      </c>
    </row>
    <row r="2001" spans="1:50">
      <c r="A2001">
        <v>226203</v>
      </c>
      <c r="B2001" t="str">
        <f>"073387970"</f>
        <v>073387970</v>
      </c>
      <c r="C2001" t="s">
        <v>50</v>
      </c>
      <c r="D2001" t="s">
        <v>4171</v>
      </c>
      <c r="E2001" t="s">
        <v>52</v>
      </c>
      <c r="F2001" t="s">
        <v>99</v>
      </c>
      <c r="G2001" t="s">
        <v>1939</v>
      </c>
      <c r="H2001" t="str">
        <f>"ΠΟΝΤΟΥ 8 ΑΘΗΝΑ ΜΑΡΟΥΣΙ"</f>
        <v>ΠΟΝΤΟΥ 8 ΑΘΗΝΑ ΜΑΡΟΥΣΙ</v>
      </c>
      <c r="I2001">
        <v>15122</v>
      </c>
      <c r="J2001">
        <v>2106124981</v>
      </c>
      <c r="K2001">
        <v>6973383188</v>
      </c>
      <c r="N2001" t="s">
        <v>337</v>
      </c>
      <c r="O2001" t="s">
        <v>338</v>
      </c>
      <c r="R2001" t="s">
        <v>57</v>
      </c>
      <c r="S2001">
        <v>6</v>
      </c>
      <c r="T2001">
        <v>652</v>
      </c>
      <c r="U2001" s="1">
        <v>40043</v>
      </c>
      <c r="V2001" t="s">
        <v>123</v>
      </c>
      <c r="W2001" t="s">
        <v>124</v>
      </c>
      <c r="X2001" t="s">
        <v>58</v>
      </c>
      <c r="Y2001">
        <v>20</v>
      </c>
      <c r="Z2001" t="s">
        <v>59</v>
      </c>
      <c r="AA2001" t="s">
        <v>59</v>
      </c>
      <c r="AB2001" t="s">
        <v>59</v>
      </c>
      <c r="AC2001" t="s">
        <v>59</v>
      </c>
      <c r="AD2001" t="s">
        <v>59</v>
      </c>
      <c r="AF2001" s="1">
        <v>40057</v>
      </c>
      <c r="AG2001" t="s">
        <v>125</v>
      </c>
      <c r="AH2001" t="s">
        <v>386</v>
      </c>
      <c r="AI2001" t="str">
        <f>"1741002"</f>
        <v>1741002</v>
      </c>
      <c r="AJ2001" t="s">
        <v>387</v>
      </c>
      <c r="AK2001">
        <v>2810762610</v>
      </c>
      <c r="AL2001" t="s">
        <v>388</v>
      </c>
      <c r="AM2001" t="s">
        <v>78</v>
      </c>
      <c r="AN2001" t="s">
        <v>219</v>
      </c>
      <c r="AO2001" t="s">
        <v>297</v>
      </c>
      <c r="AP2001" t="s">
        <v>297</v>
      </c>
      <c r="AQ2001">
        <v>10</v>
      </c>
      <c r="AR2001" t="s">
        <v>123</v>
      </c>
      <c r="AS2001" t="s">
        <v>124</v>
      </c>
      <c r="AT2001" t="s">
        <v>58</v>
      </c>
      <c r="AU2001" t="s">
        <v>68</v>
      </c>
      <c r="AV2001" t="s">
        <v>69</v>
      </c>
      <c r="AW2001" s="1">
        <v>26723</v>
      </c>
      <c r="AX2001">
        <v>2</v>
      </c>
    </row>
    <row r="2002" spans="1:50">
      <c r="A2002">
        <v>202090</v>
      </c>
      <c r="B2002" t="str">
        <f>"116478797"</f>
        <v>116478797</v>
      </c>
      <c r="C2002" t="s">
        <v>50</v>
      </c>
      <c r="D2002" t="s">
        <v>4172</v>
      </c>
      <c r="E2002" t="s">
        <v>238</v>
      </c>
      <c r="F2002" t="s">
        <v>99</v>
      </c>
      <c r="G2002" t="s">
        <v>922</v>
      </c>
      <c r="H2002" t="str">
        <f>"Αχέπα 18 Ηράκλειο"</f>
        <v>Αχέπα 18 Ηράκλειο</v>
      </c>
      <c r="I2002">
        <v>71307</v>
      </c>
      <c r="J2002">
        <v>2810325654</v>
      </c>
      <c r="K2002">
        <v>6974976048</v>
      </c>
      <c r="M2002" t="s">
        <v>4173</v>
      </c>
      <c r="N2002" t="s">
        <v>146</v>
      </c>
      <c r="O2002" t="s">
        <v>147</v>
      </c>
      <c r="R2002" t="s">
        <v>57</v>
      </c>
      <c r="S2002">
        <v>7</v>
      </c>
      <c r="T2002">
        <v>231</v>
      </c>
      <c r="U2002" s="1">
        <v>38230</v>
      </c>
      <c r="V2002" t="s">
        <v>123</v>
      </c>
      <c r="W2002" t="s">
        <v>124</v>
      </c>
      <c r="X2002" t="s">
        <v>58</v>
      </c>
      <c r="Y2002">
        <v>20</v>
      </c>
      <c r="Z2002" t="s">
        <v>59</v>
      </c>
      <c r="AA2002" t="s">
        <v>59</v>
      </c>
      <c r="AB2002" t="s">
        <v>59</v>
      </c>
      <c r="AC2002" t="s">
        <v>59</v>
      </c>
      <c r="AD2002" t="s">
        <v>59</v>
      </c>
      <c r="AF2002" s="1">
        <v>38232</v>
      </c>
      <c r="AG2002" t="s">
        <v>148</v>
      </c>
      <c r="AH2002" t="s">
        <v>149</v>
      </c>
      <c r="AI2002" t="str">
        <f>"1778010"</f>
        <v>1778010</v>
      </c>
      <c r="AJ2002" t="s">
        <v>672</v>
      </c>
      <c r="AK2002">
        <v>2810822455</v>
      </c>
      <c r="AL2002" t="s">
        <v>673</v>
      </c>
      <c r="AM2002" t="s">
        <v>78</v>
      </c>
      <c r="AN2002" t="s">
        <v>129</v>
      </c>
      <c r="AO2002" t="s">
        <v>130</v>
      </c>
      <c r="AP2002" t="s">
        <v>130</v>
      </c>
      <c r="AQ2002">
        <v>36</v>
      </c>
      <c r="AR2002" t="s">
        <v>123</v>
      </c>
      <c r="AS2002" t="s">
        <v>124</v>
      </c>
      <c r="AT2002" t="s">
        <v>58</v>
      </c>
      <c r="AU2002" t="s">
        <v>68</v>
      </c>
      <c r="AV2002" t="s">
        <v>69</v>
      </c>
      <c r="AW2002" s="1">
        <v>27735</v>
      </c>
      <c r="AX2002">
        <v>2</v>
      </c>
    </row>
    <row r="2003" spans="1:50">
      <c r="A2003">
        <v>218292</v>
      </c>
      <c r="B2003" t="str">
        <f>"103546804"</f>
        <v>103546804</v>
      </c>
      <c r="C2003" t="s">
        <v>105</v>
      </c>
      <c r="D2003" t="s">
        <v>4174</v>
      </c>
      <c r="E2003" t="s">
        <v>166</v>
      </c>
      <c r="F2003" t="s">
        <v>72</v>
      </c>
      <c r="G2003" t="s">
        <v>215</v>
      </c>
      <c r="H2003" t="str">
        <f>" Ν. ΑΛΙΚΑΡΝΑΣΣΟΣ"</f>
        <v xml:space="preserve"> Ν. ΑΛΙΚΑΡΝΑΣΣΟΣ</v>
      </c>
      <c r="J2003">
        <v>2810222763</v>
      </c>
      <c r="K2003">
        <v>6945866695</v>
      </c>
      <c r="M2003" t="s">
        <v>4175</v>
      </c>
      <c r="N2003" t="s">
        <v>292</v>
      </c>
      <c r="O2003" t="s">
        <v>293</v>
      </c>
      <c r="R2003" t="s">
        <v>57</v>
      </c>
      <c r="S2003">
        <v>7</v>
      </c>
      <c r="T2003">
        <v>599</v>
      </c>
      <c r="U2003" s="1">
        <v>39310</v>
      </c>
      <c r="V2003" t="s">
        <v>123</v>
      </c>
      <c r="W2003" t="s">
        <v>124</v>
      </c>
      <c r="X2003" t="s">
        <v>58</v>
      </c>
      <c r="Y2003">
        <v>21</v>
      </c>
      <c r="Z2003" t="s">
        <v>59</v>
      </c>
      <c r="AA2003" t="s">
        <v>59</v>
      </c>
      <c r="AB2003" t="s">
        <v>59</v>
      </c>
      <c r="AC2003" t="s">
        <v>59</v>
      </c>
      <c r="AD2003" t="s">
        <v>59</v>
      </c>
      <c r="AF2003" s="1">
        <v>39328</v>
      </c>
      <c r="AG2003" t="s">
        <v>148</v>
      </c>
      <c r="AH2003" t="s">
        <v>149</v>
      </c>
      <c r="AI2003" t="str">
        <f>"1768010"</f>
        <v>1768010</v>
      </c>
      <c r="AJ2003" t="s">
        <v>1012</v>
      </c>
      <c r="AK2003">
        <v>2897032070</v>
      </c>
      <c r="AL2003" t="s">
        <v>1013</v>
      </c>
      <c r="AM2003" t="s">
        <v>78</v>
      </c>
      <c r="AN2003" t="s">
        <v>219</v>
      </c>
      <c r="AO2003" t="s">
        <v>527</v>
      </c>
      <c r="AP2003" t="s">
        <v>527</v>
      </c>
      <c r="AQ2003">
        <v>20</v>
      </c>
      <c r="AR2003" t="s">
        <v>123</v>
      </c>
      <c r="AS2003" t="s">
        <v>124</v>
      </c>
      <c r="AT2003" t="s">
        <v>58</v>
      </c>
      <c r="AU2003" t="s">
        <v>68</v>
      </c>
      <c r="AV2003" t="s">
        <v>69</v>
      </c>
      <c r="AW2003" s="1">
        <v>29292</v>
      </c>
      <c r="AX2003">
        <v>2</v>
      </c>
    </row>
    <row r="2004" spans="1:50">
      <c r="A2004">
        <v>151061</v>
      </c>
      <c r="B2004" t="str">
        <f>"025288609"</f>
        <v>025288609</v>
      </c>
      <c r="C2004" t="s">
        <v>105</v>
      </c>
      <c r="D2004" t="s">
        <v>4176</v>
      </c>
      <c r="E2004" t="s">
        <v>309</v>
      </c>
      <c r="F2004" t="s">
        <v>72</v>
      </c>
      <c r="G2004" t="s">
        <v>4177</v>
      </c>
      <c r="H2004" t="str">
        <f>"ΕΛΕΥΘΕΡΙΟΥ ΒΕΝΙΖΕΛΟΥ 214 ΜΑΛΙΑ"</f>
        <v>ΕΛΕΥΘΕΡΙΟΥ ΒΕΝΙΖΕΛΟΥ 214 ΜΑΛΙΑ</v>
      </c>
      <c r="I2004">
        <v>70007</v>
      </c>
      <c r="J2004">
        <v>2897031855</v>
      </c>
      <c r="M2004" t="s">
        <v>4178</v>
      </c>
      <c r="N2004" t="s">
        <v>292</v>
      </c>
      <c r="O2004" t="s">
        <v>293</v>
      </c>
      <c r="R2004" t="s">
        <v>57</v>
      </c>
      <c r="S2004">
        <v>15</v>
      </c>
      <c r="T2004">
        <v>170</v>
      </c>
      <c r="U2004" s="1">
        <v>32016</v>
      </c>
      <c r="V2004" t="s">
        <v>123</v>
      </c>
      <c r="W2004" t="s">
        <v>124</v>
      </c>
      <c r="X2004" t="s">
        <v>58</v>
      </c>
      <c r="Y2004">
        <v>18</v>
      </c>
      <c r="Z2004" t="s">
        <v>59</v>
      </c>
      <c r="AA2004" t="s">
        <v>59</v>
      </c>
      <c r="AB2004" t="s">
        <v>59</v>
      </c>
      <c r="AC2004" t="s">
        <v>59</v>
      </c>
      <c r="AD2004" t="s">
        <v>59</v>
      </c>
      <c r="AF2004" s="1">
        <v>32023</v>
      </c>
      <c r="AG2004" t="s">
        <v>148</v>
      </c>
      <c r="AH2004" t="s">
        <v>149</v>
      </c>
      <c r="AI2004" t="str">
        <f>"1768010"</f>
        <v>1768010</v>
      </c>
      <c r="AJ2004" t="s">
        <v>1012</v>
      </c>
      <c r="AK2004">
        <v>2897032070</v>
      </c>
      <c r="AL2004" t="s">
        <v>1013</v>
      </c>
      <c r="AM2004" t="s">
        <v>78</v>
      </c>
      <c r="AN2004" t="s">
        <v>219</v>
      </c>
      <c r="AO2004" t="s">
        <v>527</v>
      </c>
      <c r="AP2004" t="s">
        <v>527</v>
      </c>
      <c r="AQ2004">
        <v>20</v>
      </c>
      <c r="AR2004" t="s">
        <v>123</v>
      </c>
      <c r="AS2004" t="s">
        <v>124</v>
      </c>
      <c r="AT2004" t="s">
        <v>58</v>
      </c>
      <c r="AU2004" t="s">
        <v>68</v>
      </c>
      <c r="AV2004" t="s">
        <v>69</v>
      </c>
      <c r="AW2004" s="1">
        <v>21172</v>
      </c>
      <c r="AX2004">
        <v>2</v>
      </c>
    </row>
    <row r="2005" spans="1:50">
      <c r="A2005">
        <v>225592</v>
      </c>
      <c r="B2005" t="str">
        <f>"075883542"</f>
        <v>075883542</v>
      </c>
      <c r="C2005" t="s">
        <v>50</v>
      </c>
      <c r="D2005" t="s">
        <v>4179</v>
      </c>
      <c r="E2005" t="s">
        <v>714</v>
      </c>
      <c r="F2005" t="s">
        <v>4180</v>
      </c>
      <c r="G2005" t="s">
        <v>143</v>
      </c>
      <c r="H2005" t="str">
        <f>"ΚΟΝΔΥΛΑΚΗ 13 "</f>
        <v xml:space="preserve">ΚΟΝΔΥΛΑΚΗ 13 </v>
      </c>
      <c r="I2005">
        <v>71304</v>
      </c>
      <c r="K2005">
        <v>6938447215</v>
      </c>
      <c r="M2005" t="s">
        <v>4181</v>
      </c>
      <c r="N2005" t="s">
        <v>3090</v>
      </c>
      <c r="O2005" t="s">
        <v>3091</v>
      </c>
      <c r="R2005" t="s">
        <v>57</v>
      </c>
      <c r="S2005">
        <v>7</v>
      </c>
      <c r="T2005">
        <v>775</v>
      </c>
      <c r="U2005" s="1">
        <v>39680</v>
      </c>
      <c r="V2005" t="s">
        <v>123</v>
      </c>
      <c r="W2005" t="s">
        <v>124</v>
      </c>
      <c r="X2005" t="s">
        <v>58</v>
      </c>
      <c r="Y2005">
        <v>20</v>
      </c>
      <c r="Z2005" t="s">
        <v>59</v>
      </c>
      <c r="AA2005" t="s">
        <v>59</v>
      </c>
      <c r="AB2005" t="s">
        <v>59</v>
      </c>
      <c r="AC2005" t="s">
        <v>59</v>
      </c>
      <c r="AD2005" t="s">
        <v>59</v>
      </c>
      <c r="AF2005" s="1">
        <v>39692</v>
      </c>
      <c r="AG2005" t="s">
        <v>345</v>
      </c>
      <c r="AH2005" t="s">
        <v>346</v>
      </c>
      <c r="AI2005" t="str">
        <f>"1741001"</f>
        <v>1741001</v>
      </c>
      <c r="AJ2005" t="s">
        <v>655</v>
      </c>
      <c r="AK2005">
        <v>2810360436</v>
      </c>
      <c r="AL2005" t="s">
        <v>656</v>
      </c>
      <c r="AM2005" t="s">
        <v>78</v>
      </c>
      <c r="AN2005" t="s">
        <v>78</v>
      </c>
      <c r="AO2005" t="s">
        <v>78</v>
      </c>
      <c r="AP2005" t="s">
        <v>141</v>
      </c>
      <c r="AQ2005">
        <v>11</v>
      </c>
      <c r="AR2005" t="s">
        <v>123</v>
      </c>
      <c r="AS2005" t="s">
        <v>124</v>
      </c>
      <c r="AT2005" t="s">
        <v>58</v>
      </c>
      <c r="AU2005" t="s">
        <v>68</v>
      </c>
      <c r="AV2005" t="s">
        <v>69</v>
      </c>
      <c r="AW2005" s="1">
        <v>26256</v>
      </c>
      <c r="AX2005">
        <v>2</v>
      </c>
    </row>
    <row r="2006" spans="1:50">
      <c r="A2006">
        <v>204198</v>
      </c>
      <c r="B2006" t="str">
        <f>"057456641"</f>
        <v>057456641</v>
      </c>
      <c r="C2006" t="s">
        <v>50</v>
      </c>
      <c r="D2006" t="s">
        <v>4182</v>
      </c>
      <c r="E2006" t="s">
        <v>1001</v>
      </c>
      <c r="F2006" t="s">
        <v>72</v>
      </c>
      <c r="G2006" t="s">
        <v>109</v>
      </c>
      <c r="H2006" t="str">
        <f>" "</f>
        <v xml:space="preserve"> </v>
      </c>
      <c r="J2006">
        <v>2810324724</v>
      </c>
      <c r="K2006">
        <v>6974016571</v>
      </c>
      <c r="N2006" t="s">
        <v>176</v>
      </c>
      <c r="O2006" t="s">
        <v>177</v>
      </c>
      <c r="R2006" t="s">
        <v>57</v>
      </c>
      <c r="S2006">
        <v>7</v>
      </c>
      <c r="T2006">
        <v>231</v>
      </c>
      <c r="U2006" s="1">
        <v>38230</v>
      </c>
      <c r="V2006" t="s">
        <v>123</v>
      </c>
      <c r="W2006" t="s">
        <v>124</v>
      </c>
      <c r="X2006" t="s">
        <v>58</v>
      </c>
      <c r="Y2006">
        <v>20</v>
      </c>
      <c r="Z2006" t="s">
        <v>59</v>
      </c>
      <c r="AA2006" t="s">
        <v>59</v>
      </c>
      <c r="AB2006" t="s">
        <v>59</v>
      </c>
      <c r="AC2006" t="s">
        <v>59</v>
      </c>
      <c r="AD2006" t="s">
        <v>59</v>
      </c>
      <c r="AF2006" s="1">
        <v>38232</v>
      </c>
      <c r="AG2006" t="s">
        <v>137</v>
      </c>
      <c r="AH2006" t="s">
        <v>138</v>
      </c>
      <c r="AI2006" t="str">
        <f>"1740070"</f>
        <v>1740070</v>
      </c>
      <c r="AJ2006" t="s">
        <v>206</v>
      </c>
      <c r="AK2006">
        <v>2810324880</v>
      </c>
      <c r="AL2006" t="s">
        <v>207</v>
      </c>
      <c r="AM2006" t="s">
        <v>78</v>
      </c>
      <c r="AN2006" t="s">
        <v>78</v>
      </c>
      <c r="AO2006" t="s">
        <v>78</v>
      </c>
      <c r="AP2006" t="s">
        <v>163</v>
      </c>
      <c r="AQ2006">
        <v>9</v>
      </c>
      <c r="AR2006" t="s">
        <v>123</v>
      </c>
      <c r="AS2006" t="s">
        <v>124</v>
      </c>
      <c r="AT2006" t="s">
        <v>58</v>
      </c>
      <c r="AU2006" t="s">
        <v>68</v>
      </c>
      <c r="AV2006" t="s">
        <v>69</v>
      </c>
      <c r="AW2006" s="1">
        <v>27079</v>
      </c>
      <c r="AX2006">
        <v>2</v>
      </c>
    </row>
    <row r="2007" spans="1:50">
      <c r="A2007">
        <v>184466</v>
      </c>
      <c r="B2007" t="str">
        <f>"077835214"</f>
        <v>077835214</v>
      </c>
      <c r="C2007" t="s">
        <v>50</v>
      </c>
      <c r="D2007" t="s">
        <v>4183</v>
      </c>
      <c r="E2007" t="s">
        <v>52</v>
      </c>
      <c r="F2007" t="s">
        <v>450</v>
      </c>
      <c r="G2007" t="s">
        <v>93</v>
      </c>
      <c r="H2007" t="str">
        <f>" "</f>
        <v xml:space="preserve"> </v>
      </c>
      <c r="N2007" t="s">
        <v>306</v>
      </c>
      <c r="O2007" t="s">
        <v>307</v>
      </c>
      <c r="R2007" t="s">
        <v>57</v>
      </c>
      <c r="S2007">
        <v>9</v>
      </c>
      <c r="T2007">
        <v>177</v>
      </c>
      <c r="U2007" s="1">
        <v>36403</v>
      </c>
      <c r="V2007" t="s">
        <v>123</v>
      </c>
      <c r="W2007" t="s">
        <v>124</v>
      </c>
      <c r="X2007" t="s">
        <v>58</v>
      </c>
      <c r="Y2007">
        <v>20</v>
      </c>
      <c r="Z2007" t="s">
        <v>59</v>
      </c>
      <c r="AA2007" t="s">
        <v>59</v>
      </c>
      <c r="AB2007" t="s">
        <v>59</v>
      </c>
      <c r="AC2007" t="s">
        <v>59</v>
      </c>
      <c r="AD2007" t="s">
        <v>59</v>
      </c>
      <c r="AF2007" s="1">
        <v>36403</v>
      </c>
      <c r="AG2007" t="s">
        <v>125</v>
      </c>
      <c r="AH2007" t="s">
        <v>126</v>
      </c>
      <c r="AI2007" t="str">
        <f>"1701050"</f>
        <v>1701050</v>
      </c>
      <c r="AJ2007" t="s">
        <v>660</v>
      </c>
      <c r="AK2007">
        <v>2810220729</v>
      </c>
      <c r="AL2007" t="s">
        <v>661</v>
      </c>
      <c r="AM2007" t="s">
        <v>78</v>
      </c>
      <c r="AN2007" t="s">
        <v>78</v>
      </c>
      <c r="AO2007" t="s">
        <v>78</v>
      </c>
      <c r="AP2007" t="s">
        <v>79</v>
      </c>
      <c r="AQ2007">
        <v>1</v>
      </c>
      <c r="AR2007" t="s">
        <v>123</v>
      </c>
      <c r="AS2007" t="s">
        <v>124</v>
      </c>
      <c r="AT2007" t="s">
        <v>58</v>
      </c>
      <c r="AU2007" t="s">
        <v>68</v>
      </c>
      <c r="AV2007" t="s">
        <v>69</v>
      </c>
      <c r="AW2007" s="1">
        <v>26753</v>
      </c>
      <c r="AX2007">
        <v>2</v>
      </c>
    </row>
    <row r="2008" spans="1:50">
      <c r="A2008">
        <v>181868</v>
      </c>
      <c r="B2008" t="str">
        <f>"055652994"</f>
        <v>055652994</v>
      </c>
      <c r="C2008" t="s">
        <v>50</v>
      </c>
      <c r="D2008" t="s">
        <v>4184</v>
      </c>
      <c r="E2008" t="s">
        <v>109</v>
      </c>
      <c r="F2008" t="s">
        <v>106</v>
      </c>
      <c r="G2008" t="s">
        <v>83</v>
      </c>
      <c r="H2008" t="str">
        <f>" "</f>
        <v xml:space="preserve"> </v>
      </c>
      <c r="M2008" t="s">
        <v>4185</v>
      </c>
      <c r="N2008" t="s">
        <v>337</v>
      </c>
      <c r="O2008" t="s">
        <v>338</v>
      </c>
      <c r="R2008" t="s">
        <v>57</v>
      </c>
      <c r="S2008">
        <v>9</v>
      </c>
      <c r="T2008">
        <v>164</v>
      </c>
      <c r="U2008" s="1">
        <v>36040</v>
      </c>
      <c r="V2008" t="s">
        <v>123</v>
      </c>
      <c r="W2008" t="s">
        <v>124</v>
      </c>
      <c r="X2008" t="s">
        <v>58</v>
      </c>
      <c r="Y2008">
        <v>18</v>
      </c>
      <c r="Z2008" t="s">
        <v>59</v>
      </c>
      <c r="AA2008" t="s">
        <v>59</v>
      </c>
      <c r="AB2008" t="s">
        <v>59</v>
      </c>
      <c r="AC2008" t="s">
        <v>59</v>
      </c>
      <c r="AD2008" t="s">
        <v>59</v>
      </c>
      <c r="AF2008" s="1">
        <v>36040</v>
      </c>
      <c r="AG2008" t="s">
        <v>125</v>
      </c>
      <c r="AH2008" t="s">
        <v>126</v>
      </c>
      <c r="AI2008" t="str">
        <f>"1703010"</f>
        <v>1703010</v>
      </c>
      <c r="AJ2008" t="s">
        <v>422</v>
      </c>
      <c r="AK2008">
        <v>2810751808</v>
      </c>
      <c r="AL2008" t="s">
        <v>423</v>
      </c>
      <c r="AM2008" t="s">
        <v>78</v>
      </c>
      <c r="AN2008" t="s">
        <v>424</v>
      </c>
      <c r="AO2008" t="s">
        <v>425</v>
      </c>
      <c r="AP2008" t="s">
        <v>425</v>
      </c>
      <c r="AQ2008">
        <v>13</v>
      </c>
      <c r="AR2008" t="s">
        <v>123</v>
      </c>
      <c r="AS2008" t="s">
        <v>124</v>
      </c>
      <c r="AT2008" t="s">
        <v>58</v>
      </c>
      <c r="AU2008" t="s">
        <v>68</v>
      </c>
      <c r="AV2008" t="s">
        <v>69</v>
      </c>
      <c r="AW2008" s="1">
        <v>26438</v>
      </c>
      <c r="AX2008">
        <v>2</v>
      </c>
    </row>
    <row r="2009" spans="1:50">
      <c r="A2009">
        <v>188223</v>
      </c>
      <c r="B2009" t="str">
        <f>"020897985"</f>
        <v>020897985</v>
      </c>
      <c r="C2009" t="s">
        <v>105</v>
      </c>
      <c r="D2009" t="s">
        <v>4186</v>
      </c>
      <c r="E2009" t="s">
        <v>377</v>
      </c>
      <c r="F2009" t="s">
        <v>166</v>
      </c>
      <c r="G2009" t="s">
        <v>250</v>
      </c>
      <c r="H2009" t="str">
        <f>" "</f>
        <v xml:space="preserve"> </v>
      </c>
      <c r="K2009">
        <v>6977247271</v>
      </c>
      <c r="N2009" t="s">
        <v>204</v>
      </c>
      <c r="O2009" t="s">
        <v>205</v>
      </c>
      <c r="P2009" t="s">
        <v>331</v>
      </c>
      <c r="Q2009" t="s">
        <v>332</v>
      </c>
      <c r="R2009" t="s">
        <v>57</v>
      </c>
      <c r="S2009">
        <v>12</v>
      </c>
      <c r="T2009">
        <v>251</v>
      </c>
      <c r="U2009" s="1">
        <v>36769</v>
      </c>
      <c r="V2009" t="s">
        <v>123</v>
      </c>
      <c r="W2009" t="s">
        <v>124</v>
      </c>
      <c r="X2009" t="s">
        <v>58</v>
      </c>
      <c r="Y2009">
        <v>20</v>
      </c>
      <c r="Z2009" t="s">
        <v>59</v>
      </c>
      <c r="AA2009" t="s">
        <v>59</v>
      </c>
      <c r="AB2009" t="s">
        <v>59</v>
      </c>
      <c r="AC2009" t="s">
        <v>59</v>
      </c>
      <c r="AD2009" t="s">
        <v>59</v>
      </c>
      <c r="AF2009" s="1">
        <v>36770</v>
      </c>
      <c r="AG2009" t="s">
        <v>137</v>
      </c>
      <c r="AH2009" t="s">
        <v>138</v>
      </c>
      <c r="AI2009" t="str">
        <f>"1740070"</f>
        <v>1740070</v>
      </c>
      <c r="AJ2009" t="s">
        <v>206</v>
      </c>
      <c r="AK2009">
        <v>2810324880</v>
      </c>
      <c r="AL2009" t="s">
        <v>207</v>
      </c>
      <c r="AM2009" t="s">
        <v>78</v>
      </c>
      <c r="AN2009" t="s">
        <v>78</v>
      </c>
      <c r="AO2009" t="s">
        <v>78</v>
      </c>
      <c r="AP2009" t="s">
        <v>163</v>
      </c>
      <c r="AQ2009">
        <v>9</v>
      </c>
      <c r="AR2009" t="s">
        <v>123</v>
      </c>
      <c r="AS2009" t="s">
        <v>124</v>
      </c>
      <c r="AT2009" t="s">
        <v>58</v>
      </c>
      <c r="AU2009" t="s">
        <v>68</v>
      </c>
      <c r="AV2009" t="s">
        <v>69</v>
      </c>
      <c r="AW2009" s="1">
        <v>24720</v>
      </c>
      <c r="AX2009">
        <v>2</v>
      </c>
    </row>
    <row r="2010" spans="1:50">
      <c r="A2010">
        <v>197577</v>
      </c>
      <c r="B2010" t="str">
        <f>"074223230"</f>
        <v>074223230</v>
      </c>
      <c r="C2010" t="s">
        <v>50</v>
      </c>
      <c r="D2010" t="s">
        <v>4187</v>
      </c>
      <c r="E2010" t="s">
        <v>73</v>
      </c>
      <c r="F2010" t="s">
        <v>760</v>
      </c>
      <c r="G2010" t="s">
        <v>52</v>
      </c>
      <c r="H2010" t="str">
        <f>"ΠΑΛΑΙΟΚΑΠΑ 84 ΗΡΑΚΛΕΙΟ"</f>
        <v>ΠΑΛΑΙΟΚΑΠΑ 84 ΗΡΑΚΛΕΙΟ</v>
      </c>
      <c r="I2010">
        <v>71305</v>
      </c>
      <c r="J2010">
        <v>2810262551</v>
      </c>
      <c r="K2010">
        <v>6937216229</v>
      </c>
      <c r="M2010" t="s">
        <v>4188</v>
      </c>
      <c r="N2010" t="s">
        <v>146</v>
      </c>
      <c r="O2010" t="s">
        <v>147</v>
      </c>
      <c r="R2010" t="s">
        <v>57</v>
      </c>
      <c r="S2010">
        <v>7</v>
      </c>
      <c r="T2010">
        <v>206</v>
      </c>
      <c r="U2010" s="1">
        <v>37866</v>
      </c>
      <c r="V2010" t="s">
        <v>123</v>
      </c>
      <c r="W2010" t="s">
        <v>124</v>
      </c>
      <c r="X2010" t="s">
        <v>58</v>
      </c>
      <c r="Y2010">
        <v>20</v>
      </c>
      <c r="Z2010" t="s">
        <v>59</v>
      </c>
      <c r="AA2010" t="s">
        <v>59</v>
      </c>
      <c r="AB2010" t="s">
        <v>59</v>
      </c>
      <c r="AC2010" t="s">
        <v>59</v>
      </c>
      <c r="AD2010" t="s">
        <v>59</v>
      </c>
      <c r="AF2010" s="1">
        <v>37866</v>
      </c>
      <c r="AG2010" t="s">
        <v>125</v>
      </c>
      <c r="AH2010" t="s">
        <v>126</v>
      </c>
      <c r="AI2010" t="str">
        <f>"1701055"</f>
        <v>1701055</v>
      </c>
      <c r="AJ2010" t="s">
        <v>301</v>
      </c>
      <c r="AK2010">
        <v>2810257353</v>
      </c>
      <c r="AL2010" t="s">
        <v>302</v>
      </c>
      <c r="AM2010" t="s">
        <v>78</v>
      </c>
      <c r="AN2010" t="s">
        <v>78</v>
      </c>
      <c r="AO2010" t="s">
        <v>78</v>
      </c>
      <c r="AP2010" t="s">
        <v>141</v>
      </c>
      <c r="AQ2010">
        <v>7</v>
      </c>
      <c r="AR2010" t="s">
        <v>123</v>
      </c>
      <c r="AS2010" t="s">
        <v>124</v>
      </c>
      <c r="AT2010" t="s">
        <v>58</v>
      </c>
      <c r="AU2010" t="s">
        <v>68</v>
      </c>
      <c r="AV2010" t="s">
        <v>69</v>
      </c>
      <c r="AW2010" s="1">
        <v>25335</v>
      </c>
      <c r="AX2010">
        <v>2</v>
      </c>
    </row>
    <row r="2011" spans="1:50">
      <c r="B2011" t="str">
        <f>"134240676"</f>
        <v>134240676</v>
      </c>
      <c r="C2011" t="s">
        <v>50</v>
      </c>
      <c r="D2011" t="s">
        <v>4189</v>
      </c>
      <c r="E2011" t="s">
        <v>4190</v>
      </c>
      <c r="F2011" t="s">
        <v>309</v>
      </c>
      <c r="G2011" t="s">
        <v>109</v>
      </c>
      <c r="H2011" t="str">
        <f>"ΑΒΕΡΩΦ 41 ΚΑΡΔΙΤΣΑ"</f>
        <v>ΑΒΕΡΩΦ 41 ΚΑΡΔΙΤΣΑ</v>
      </c>
      <c r="I2011">
        <v>43100</v>
      </c>
      <c r="J2011">
        <v>2441028647</v>
      </c>
      <c r="K2011">
        <v>6977226353</v>
      </c>
      <c r="L2011">
        <v>6974374441</v>
      </c>
      <c r="M2011" t="s">
        <v>4191</v>
      </c>
      <c r="N2011" t="s">
        <v>653</v>
      </c>
      <c r="O2011" t="s">
        <v>654</v>
      </c>
      <c r="R2011" t="s">
        <v>159</v>
      </c>
      <c r="S2011">
        <v>5</v>
      </c>
      <c r="T2011" t="s">
        <v>344</v>
      </c>
      <c r="U2011" s="1">
        <v>43348</v>
      </c>
      <c r="V2011" t="s">
        <v>123</v>
      </c>
      <c r="W2011" t="s">
        <v>124</v>
      </c>
      <c r="X2011" t="s">
        <v>58</v>
      </c>
      <c r="Y2011">
        <v>21</v>
      </c>
      <c r="Z2011" t="s">
        <v>59</v>
      </c>
      <c r="AA2011" t="s">
        <v>59</v>
      </c>
      <c r="AB2011" t="s">
        <v>59</v>
      </c>
      <c r="AC2011" t="s">
        <v>59</v>
      </c>
      <c r="AD2011" t="s">
        <v>59</v>
      </c>
      <c r="AF2011" s="1">
        <v>43348</v>
      </c>
      <c r="AG2011" t="s">
        <v>345</v>
      </c>
      <c r="AH2011" t="s">
        <v>346</v>
      </c>
      <c r="AI2011" t="str">
        <f>"1759011"</f>
        <v>1759011</v>
      </c>
      <c r="AJ2011" t="s">
        <v>347</v>
      </c>
      <c r="AK2011">
        <v>2892051103</v>
      </c>
      <c r="AL2011" t="s">
        <v>348</v>
      </c>
      <c r="AM2011" t="s">
        <v>78</v>
      </c>
      <c r="AN2011" t="s">
        <v>242</v>
      </c>
      <c r="AO2011" t="s">
        <v>349</v>
      </c>
      <c r="AP2011" t="s">
        <v>349</v>
      </c>
      <c r="AQ2011">
        <v>38</v>
      </c>
      <c r="AR2011" t="s">
        <v>123</v>
      </c>
      <c r="AS2011" t="s">
        <v>124</v>
      </c>
      <c r="AT2011" t="s">
        <v>58</v>
      </c>
      <c r="AU2011" t="s">
        <v>350</v>
      </c>
      <c r="AV2011" t="s">
        <v>132</v>
      </c>
      <c r="AW2011" s="1">
        <v>31078</v>
      </c>
      <c r="AX2011">
        <v>2</v>
      </c>
    </row>
    <row r="2012" spans="1:50">
      <c r="A2012">
        <v>206204</v>
      </c>
      <c r="B2012" t="str">
        <f>"110706197"</f>
        <v>110706197</v>
      </c>
      <c r="C2012" t="s">
        <v>50</v>
      </c>
      <c r="D2012" t="s">
        <v>4192</v>
      </c>
      <c r="E2012" t="s">
        <v>52</v>
      </c>
      <c r="F2012" t="s">
        <v>383</v>
      </c>
      <c r="G2012" t="s">
        <v>378</v>
      </c>
      <c r="H2012" t="str">
        <f>"ΓΙΑΝΝΗ ΨΥΧΑΡΗ 46 ΗΡΑΚΛΕΙΟ"</f>
        <v>ΓΙΑΝΝΗ ΨΥΧΑΡΗ 46 ΗΡΑΚΛΕΙΟ</v>
      </c>
      <c r="I2012">
        <v>71305</v>
      </c>
      <c r="J2012">
        <v>2810263742</v>
      </c>
      <c r="K2012">
        <v>6972469884</v>
      </c>
      <c r="M2012" t="s">
        <v>4193</v>
      </c>
      <c r="N2012" t="s">
        <v>146</v>
      </c>
      <c r="O2012" t="s">
        <v>147</v>
      </c>
      <c r="R2012" t="s">
        <v>57</v>
      </c>
      <c r="S2012">
        <v>13</v>
      </c>
      <c r="T2012">
        <v>301</v>
      </c>
      <c r="U2012" s="1">
        <v>38302</v>
      </c>
      <c r="V2012" t="s">
        <v>123</v>
      </c>
      <c r="W2012" t="s">
        <v>124</v>
      </c>
      <c r="X2012" t="s">
        <v>58</v>
      </c>
      <c r="Y2012">
        <v>20</v>
      </c>
      <c r="Z2012" t="s">
        <v>59</v>
      </c>
      <c r="AA2012" t="s">
        <v>59</v>
      </c>
      <c r="AB2012" t="s">
        <v>59</v>
      </c>
      <c r="AC2012" t="s">
        <v>59</v>
      </c>
      <c r="AD2012" t="s">
        <v>59</v>
      </c>
      <c r="AF2012" s="1">
        <v>38308</v>
      </c>
      <c r="AG2012" t="s">
        <v>125</v>
      </c>
      <c r="AH2012" t="s">
        <v>126</v>
      </c>
      <c r="AI2012" t="str">
        <f>"1701055"</f>
        <v>1701055</v>
      </c>
      <c r="AJ2012" t="s">
        <v>301</v>
      </c>
      <c r="AK2012">
        <v>2810257353</v>
      </c>
      <c r="AL2012" t="s">
        <v>302</v>
      </c>
      <c r="AM2012" t="s">
        <v>78</v>
      </c>
      <c r="AN2012" t="s">
        <v>78</v>
      </c>
      <c r="AO2012" t="s">
        <v>78</v>
      </c>
      <c r="AP2012" t="s">
        <v>141</v>
      </c>
      <c r="AQ2012">
        <v>7</v>
      </c>
      <c r="AR2012" t="s">
        <v>123</v>
      </c>
      <c r="AS2012" t="s">
        <v>124</v>
      </c>
      <c r="AT2012" t="s">
        <v>58</v>
      </c>
      <c r="AU2012" t="s">
        <v>68</v>
      </c>
      <c r="AV2012" t="s">
        <v>357</v>
      </c>
      <c r="AW2012" s="1">
        <v>28212</v>
      </c>
      <c r="AX2012">
        <v>2</v>
      </c>
    </row>
    <row r="2013" spans="1:50">
      <c r="A2013">
        <v>195818</v>
      </c>
      <c r="B2013" t="str">
        <f>"103532492"</f>
        <v>103532492</v>
      </c>
      <c r="C2013" t="s">
        <v>50</v>
      </c>
      <c r="D2013" t="s">
        <v>4194</v>
      </c>
      <c r="E2013" t="s">
        <v>845</v>
      </c>
      <c r="F2013" t="s">
        <v>1679</v>
      </c>
      <c r="G2013" t="s">
        <v>494</v>
      </c>
      <c r="H2013" t="str">
        <f>" "</f>
        <v xml:space="preserve"> </v>
      </c>
      <c r="M2013" t="s">
        <v>4195</v>
      </c>
      <c r="N2013" t="s">
        <v>306</v>
      </c>
      <c r="O2013" t="s">
        <v>307</v>
      </c>
      <c r="R2013" t="s">
        <v>57</v>
      </c>
      <c r="S2013">
        <v>8</v>
      </c>
      <c r="T2013">
        <v>194</v>
      </c>
      <c r="U2013" s="1">
        <v>37497</v>
      </c>
      <c r="V2013" t="s">
        <v>123</v>
      </c>
      <c r="W2013" t="s">
        <v>124</v>
      </c>
      <c r="X2013" t="s">
        <v>58</v>
      </c>
      <c r="Y2013">
        <v>20</v>
      </c>
      <c r="Z2013" t="s">
        <v>59</v>
      </c>
      <c r="AA2013" t="s">
        <v>59</v>
      </c>
      <c r="AB2013" t="s">
        <v>59</v>
      </c>
      <c r="AC2013" t="s">
        <v>59</v>
      </c>
      <c r="AD2013" t="s">
        <v>59</v>
      </c>
      <c r="AF2013" s="1">
        <v>37501</v>
      </c>
      <c r="AG2013" t="s">
        <v>125</v>
      </c>
      <c r="AH2013" t="s">
        <v>126</v>
      </c>
      <c r="AI2013" t="str">
        <f>"1701040"</f>
        <v>1701040</v>
      </c>
      <c r="AJ2013" t="s">
        <v>748</v>
      </c>
      <c r="AK2013">
        <v>2810252459</v>
      </c>
      <c r="AL2013" t="s">
        <v>749</v>
      </c>
      <c r="AM2013" t="s">
        <v>78</v>
      </c>
      <c r="AN2013" t="s">
        <v>78</v>
      </c>
      <c r="AO2013" t="s">
        <v>78</v>
      </c>
      <c r="AP2013" t="s">
        <v>141</v>
      </c>
      <c r="AQ2013">
        <v>3</v>
      </c>
      <c r="AR2013" t="s">
        <v>123</v>
      </c>
      <c r="AS2013" t="s">
        <v>124</v>
      </c>
      <c r="AT2013" t="s">
        <v>58</v>
      </c>
      <c r="AU2013" t="s">
        <v>68</v>
      </c>
      <c r="AV2013" t="s">
        <v>69</v>
      </c>
      <c r="AW2013" s="1">
        <v>27442</v>
      </c>
      <c r="AX2013">
        <v>2</v>
      </c>
    </row>
    <row r="2014" spans="1:50">
      <c r="B2014" t="str">
        <f>"079189717"</f>
        <v>079189717</v>
      </c>
      <c r="C2014" t="s">
        <v>50</v>
      </c>
      <c r="D2014" t="s">
        <v>4196</v>
      </c>
      <c r="E2014" t="s">
        <v>73</v>
      </c>
      <c r="F2014" t="s">
        <v>106</v>
      </c>
      <c r="G2014" t="s">
        <v>414</v>
      </c>
      <c r="H2014" t="str">
        <f>"ΙΛΙΑΔΟΣ 8 ΗΡΑΚΛΕΙΟ ΚΡΗΤΗΣ"</f>
        <v>ΙΛΙΑΔΟΣ 8 ΗΡΑΚΛΕΙΟ ΚΡΗΤΗΣ</v>
      </c>
      <c r="I2014">
        <v>71304</v>
      </c>
      <c r="J2014">
        <v>2810370503</v>
      </c>
      <c r="K2014">
        <v>6948985698</v>
      </c>
      <c r="N2014" t="s">
        <v>146</v>
      </c>
      <c r="O2014" t="s">
        <v>147</v>
      </c>
      <c r="R2014" t="s">
        <v>159</v>
      </c>
      <c r="S2014">
        <v>4</v>
      </c>
      <c r="T2014" t="s">
        <v>416</v>
      </c>
      <c r="U2014" s="1">
        <v>43349</v>
      </c>
      <c r="V2014" t="s">
        <v>123</v>
      </c>
      <c r="W2014" t="s">
        <v>124</v>
      </c>
      <c r="X2014" t="s">
        <v>58</v>
      </c>
      <c r="Y2014">
        <v>21</v>
      </c>
      <c r="Z2014" t="s">
        <v>59</v>
      </c>
      <c r="AA2014" t="s">
        <v>59</v>
      </c>
      <c r="AB2014" t="s">
        <v>59</v>
      </c>
      <c r="AC2014" t="s">
        <v>59</v>
      </c>
      <c r="AD2014" t="s">
        <v>59</v>
      </c>
      <c r="AF2014" s="1">
        <v>43349</v>
      </c>
      <c r="AG2014" t="s">
        <v>125</v>
      </c>
      <c r="AH2014" t="s">
        <v>3323</v>
      </c>
      <c r="AI2014" t="str">
        <f>"1501650"</f>
        <v>1501650</v>
      </c>
      <c r="AJ2014" t="s">
        <v>3324</v>
      </c>
      <c r="AK2014">
        <v>2810301780</v>
      </c>
      <c r="AL2014" t="s">
        <v>3325</v>
      </c>
      <c r="AM2014" t="s">
        <v>78</v>
      </c>
      <c r="AN2014" t="s">
        <v>78</v>
      </c>
      <c r="AO2014" t="s">
        <v>78</v>
      </c>
      <c r="AP2014" t="s">
        <v>141</v>
      </c>
      <c r="AQ2014">
        <v>10</v>
      </c>
      <c r="AR2014" t="s">
        <v>123</v>
      </c>
      <c r="AS2014" t="s">
        <v>124</v>
      </c>
      <c r="AT2014" t="s">
        <v>58</v>
      </c>
      <c r="AU2014" t="s">
        <v>419</v>
      </c>
      <c r="AV2014" t="s">
        <v>132</v>
      </c>
      <c r="AW2014" s="1">
        <v>26312</v>
      </c>
      <c r="AX2014">
        <v>2</v>
      </c>
    </row>
    <row r="2015" spans="1:50">
      <c r="A2015">
        <v>198775</v>
      </c>
      <c r="B2015" t="str">
        <f>"054165230"</f>
        <v>054165230</v>
      </c>
      <c r="C2015" t="s">
        <v>50</v>
      </c>
      <c r="D2015" t="s">
        <v>4196</v>
      </c>
      <c r="E2015" t="s">
        <v>263</v>
      </c>
      <c r="F2015" t="s">
        <v>315</v>
      </c>
      <c r="G2015" t="s">
        <v>52</v>
      </c>
      <c r="H2015" t="str">
        <f>"ΑΠΟΛΛΩΝΟΣ  3 ΗΡΑΚΛΕΙΟ"</f>
        <v>ΑΠΟΛΛΩΝΟΣ  3 ΗΡΑΚΛΕΙΟ</v>
      </c>
      <c r="I2015">
        <v>71306</v>
      </c>
      <c r="J2015">
        <v>2810325088</v>
      </c>
      <c r="K2015">
        <v>6936794142</v>
      </c>
      <c r="M2015" t="s">
        <v>4197</v>
      </c>
      <c r="N2015" t="s">
        <v>306</v>
      </c>
      <c r="O2015" t="s">
        <v>307</v>
      </c>
      <c r="R2015" t="s">
        <v>57</v>
      </c>
      <c r="S2015">
        <v>14</v>
      </c>
      <c r="T2015">
        <v>206</v>
      </c>
      <c r="U2015" s="1">
        <v>37866</v>
      </c>
      <c r="V2015" t="s">
        <v>123</v>
      </c>
      <c r="W2015" t="s">
        <v>124</v>
      </c>
      <c r="X2015" t="s">
        <v>58</v>
      </c>
      <c r="Y2015">
        <v>18</v>
      </c>
      <c r="Z2015" t="s">
        <v>59</v>
      </c>
      <c r="AA2015" t="s">
        <v>59</v>
      </c>
      <c r="AB2015" t="s">
        <v>59</v>
      </c>
      <c r="AC2015" t="s">
        <v>59</v>
      </c>
      <c r="AD2015" t="s">
        <v>59</v>
      </c>
      <c r="AF2015" s="1">
        <v>37866</v>
      </c>
      <c r="AG2015" t="s">
        <v>125</v>
      </c>
      <c r="AH2015" t="s">
        <v>126</v>
      </c>
      <c r="AI2015" t="str">
        <f>"1701010"</f>
        <v>1701010</v>
      </c>
      <c r="AJ2015" t="s">
        <v>374</v>
      </c>
      <c r="AK2015">
        <v>2810227148</v>
      </c>
      <c r="AL2015" t="s">
        <v>375</v>
      </c>
      <c r="AM2015" t="s">
        <v>78</v>
      </c>
      <c r="AN2015" t="s">
        <v>78</v>
      </c>
      <c r="AO2015" t="s">
        <v>78</v>
      </c>
      <c r="AP2015" t="s">
        <v>79</v>
      </c>
      <c r="AQ2015">
        <v>1</v>
      </c>
      <c r="AR2015" t="s">
        <v>123</v>
      </c>
      <c r="AS2015" t="s">
        <v>124</v>
      </c>
      <c r="AT2015" t="s">
        <v>58</v>
      </c>
      <c r="AU2015" t="s">
        <v>68</v>
      </c>
      <c r="AV2015" t="s">
        <v>69</v>
      </c>
      <c r="AW2015" s="1">
        <v>25261</v>
      </c>
      <c r="AX2015">
        <v>2</v>
      </c>
    </row>
    <row r="2016" spans="1:50">
      <c r="A2016">
        <v>188225</v>
      </c>
      <c r="B2016" t="str">
        <f>"047056190"</f>
        <v>047056190</v>
      </c>
      <c r="C2016" t="s">
        <v>105</v>
      </c>
      <c r="D2016" t="s">
        <v>4198</v>
      </c>
      <c r="E2016" t="s">
        <v>95</v>
      </c>
      <c r="F2016" t="s">
        <v>975</v>
      </c>
      <c r="G2016" t="s">
        <v>2725</v>
      </c>
      <c r="H2016" t="str">
        <f>" "</f>
        <v xml:space="preserve"> </v>
      </c>
      <c r="N2016" t="s">
        <v>204</v>
      </c>
      <c r="O2016" t="s">
        <v>205</v>
      </c>
      <c r="R2016" t="s">
        <v>57</v>
      </c>
      <c r="S2016">
        <v>10</v>
      </c>
      <c r="T2016">
        <v>251</v>
      </c>
      <c r="U2016" s="1">
        <v>36769</v>
      </c>
      <c r="V2016" t="s">
        <v>123</v>
      </c>
      <c r="W2016" t="s">
        <v>124</v>
      </c>
      <c r="X2016" t="s">
        <v>58</v>
      </c>
      <c r="Y2016">
        <v>20</v>
      </c>
      <c r="Z2016" t="s">
        <v>59</v>
      </c>
      <c r="AA2016" t="s">
        <v>59</v>
      </c>
      <c r="AB2016" t="s">
        <v>59</v>
      </c>
      <c r="AC2016" t="s">
        <v>59</v>
      </c>
      <c r="AD2016" t="s">
        <v>59</v>
      </c>
      <c r="AF2016" s="1">
        <v>36769</v>
      </c>
      <c r="AG2016" t="s">
        <v>148</v>
      </c>
      <c r="AH2016" t="s">
        <v>149</v>
      </c>
      <c r="AI2016" t="str">
        <f>"1751020"</f>
        <v>1751020</v>
      </c>
      <c r="AJ2016" t="s">
        <v>532</v>
      </c>
      <c r="AK2016">
        <v>2810372732</v>
      </c>
      <c r="AL2016" t="s">
        <v>533</v>
      </c>
      <c r="AM2016" t="s">
        <v>78</v>
      </c>
      <c r="AN2016" t="s">
        <v>78</v>
      </c>
      <c r="AO2016" t="s">
        <v>78</v>
      </c>
      <c r="AP2016" t="s">
        <v>163</v>
      </c>
      <c r="AQ2016">
        <v>3</v>
      </c>
      <c r="AR2016" t="s">
        <v>123</v>
      </c>
      <c r="AS2016" t="s">
        <v>124</v>
      </c>
      <c r="AT2016" t="s">
        <v>58</v>
      </c>
      <c r="AU2016" t="s">
        <v>68</v>
      </c>
      <c r="AV2016" t="s">
        <v>69</v>
      </c>
      <c r="AW2016" s="1">
        <v>25795</v>
      </c>
      <c r="AX2016">
        <v>2</v>
      </c>
    </row>
    <row r="2017" spans="1:50">
      <c r="A2017">
        <v>224028</v>
      </c>
      <c r="B2017" t="str">
        <f>"046594718"</f>
        <v>046594718</v>
      </c>
      <c r="C2017" t="s">
        <v>50</v>
      </c>
      <c r="D2017" t="s">
        <v>4199</v>
      </c>
      <c r="E2017" t="s">
        <v>372</v>
      </c>
      <c r="F2017" t="s">
        <v>1093</v>
      </c>
      <c r="G2017" t="s">
        <v>4200</v>
      </c>
      <c r="H2017" t="str">
        <f>"ΕΘΝΙΚΗΣ ΑΝΤΙΣΤΑΣΕΩΣ 98 ΗΡΑΚΛΕΙΟ"</f>
        <v>ΕΘΝΙΚΗΣ ΑΝΤΙΣΤΑΣΕΩΣ 98 ΗΡΑΚΛΕΙΟ</v>
      </c>
      <c r="I2017">
        <v>71500</v>
      </c>
      <c r="J2017">
        <v>2810320317</v>
      </c>
      <c r="K2017">
        <v>6977200619</v>
      </c>
      <c r="M2017" t="s">
        <v>4201</v>
      </c>
      <c r="N2017" t="s">
        <v>478</v>
      </c>
      <c r="O2017" t="s">
        <v>479</v>
      </c>
      <c r="R2017" t="s">
        <v>57</v>
      </c>
      <c r="S2017">
        <v>5</v>
      </c>
      <c r="T2017">
        <v>775</v>
      </c>
      <c r="U2017" s="1">
        <v>39680</v>
      </c>
      <c r="V2017" t="s">
        <v>123</v>
      </c>
      <c r="W2017" t="s">
        <v>124</v>
      </c>
      <c r="X2017" t="s">
        <v>58</v>
      </c>
      <c r="Y2017">
        <v>21</v>
      </c>
      <c r="Z2017" t="s">
        <v>59</v>
      </c>
      <c r="AA2017" t="s">
        <v>59</v>
      </c>
      <c r="AB2017" t="s">
        <v>59</v>
      </c>
      <c r="AC2017" t="s">
        <v>59</v>
      </c>
      <c r="AD2017" t="s">
        <v>59</v>
      </c>
      <c r="AF2017" s="1">
        <v>39682</v>
      </c>
      <c r="AG2017" t="s">
        <v>125</v>
      </c>
      <c r="AH2017" t="s">
        <v>126</v>
      </c>
      <c r="AI2017" t="str">
        <f>"1721010"</f>
        <v>1721010</v>
      </c>
      <c r="AJ2017" t="s">
        <v>462</v>
      </c>
      <c r="AK2017">
        <v>2892031207</v>
      </c>
      <c r="AL2017" t="s">
        <v>463</v>
      </c>
      <c r="AM2017" t="s">
        <v>78</v>
      </c>
      <c r="AN2017" t="s">
        <v>405</v>
      </c>
      <c r="AO2017" t="s">
        <v>405</v>
      </c>
      <c r="AP2017" t="s">
        <v>464</v>
      </c>
      <c r="AQ2017">
        <v>33</v>
      </c>
      <c r="AR2017" t="s">
        <v>123</v>
      </c>
      <c r="AS2017" t="s">
        <v>124</v>
      </c>
      <c r="AT2017" t="s">
        <v>58</v>
      </c>
      <c r="AU2017" t="s">
        <v>68</v>
      </c>
      <c r="AV2017" t="s">
        <v>69</v>
      </c>
      <c r="AW2017" s="1">
        <v>23505</v>
      </c>
      <c r="AX2017">
        <v>2</v>
      </c>
    </row>
    <row r="2018" spans="1:50">
      <c r="A2018">
        <v>159009</v>
      </c>
      <c r="B2018" t="str">
        <f>"034599587"</f>
        <v>034599587</v>
      </c>
      <c r="C2018" t="s">
        <v>105</v>
      </c>
      <c r="D2018" t="s">
        <v>4202</v>
      </c>
      <c r="E2018" t="s">
        <v>95</v>
      </c>
      <c r="F2018" t="s">
        <v>53</v>
      </c>
      <c r="G2018" t="s">
        <v>52</v>
      </c>
      <c r="H2018" t="str">
        <f>"ΑΝΑΓΕΝΝΗΣΕΩΣ 15 Ν. ΑΛΙΚΑΡΝΑΣΣΟΣ"</f>
        <v>ΑΝΑΓΕΝΝΗΣΕΩΣ 15 Ν. ΑΛΙΚΑΡΝΑΣΣΟΣ</v>
      </c>
      <c r="I2018">
        <v>71601</v>
      </c>
      <c r="J2018">
        <v>2810220566</v>
      </c>
      <c r="K2018">
        <v>6937165020</v>
      </c>
      <c r="M2018" t="s">
        <v>4203</v>
      </c>
      <c r="N2018" t="s">
        <v>157</v>
      </c>
      <c r="O2018" t="s">
        <v>158</v>
      </c>
      <c r="R2018" t="s">
        <v>57</v>
      </c>
      <c r="S2018">
        <v>17</v>
      </c>
      <c r="T2018">
        <v>161</v>
      </c>
      <c r="U2018" s="1">
        <v>33119</v>
      </c>
      <c r="V2018" t="s">
        <v>123</v>
      </c>
      <c r="W2018" t="s">
        <v>124</v>
      </c>
      <c r="X2018" t="s">
        <v>58</v>
      </c>
      <c r="Y2018">
        <v>18</v>
      </c>
      <c r="Z2018" t="s">
        <v>59</v>
      </c>
      <c r="AA2018" t="s">
        <v>59</v>
      </c>
      <c r="AB2018" t="s">
        <v>59</v>
      </c>
      <c r="AC2018" t="s">
        <v>59</v>
      </c>
      <c r="AD2018" t="s">
        <v>59</v>
      </c>
      <c r="AF2018" s="1">
        <v>33123</v>
      </c>
      <c r="AG2018" t="s">
        <v>125</v>
      </c>
      <c r="AH2018" t="s">
        <v>386</v>
      </c>
      <c r="AI2018" t="str">
        <f>"1741002"</f>
        <v>1741002</v>
      </c>
      <c r="AJ2018" t="s">
        <v>387</v>
      </c>
      <c r="AK2018">
        <v>2810762610</v>
      </c>
      <c r="AL2018" t="s">
        <v>388</v>
      </c>
      <c r="AM2018" t="s">
        <v>78</v>
      </c>
      <c r="AN2018" t="s">
        <v>219</v>
      </c>
      <c r="AO2018" t="s">
        <v>297</v>
      </c>
      <c r="AP2018" t="s">
        <v>297</v>
      </c>
      <c r="AQ2018">
        <v>10</v>
      </c>
      <c r="AR2018" t="s">
        <v>123</v>
      </c>
      <c r="AS2018" t="s">
        <v>124</v>
      </c>
      <c r="AT2018" t="s">
        <v>58</v>
      </c>
      <c r="AU2018" t="s">
        <v>68</v>
      </c>
      <c r="AV2018" t="s">
        <v>69</v>
      </c>
      <c r="AW2018" s="1">
        <v>23303</v>
      </c>
      <c r="AX2018">
        <v>2</v>
      </c>
    </row>
    <row r="2019" spans="1:50">
      <c r="A2019">
        <v>212980</v>
      </c>
      <c r="B2019" t="str">
        <f>"037609818"</f>
        <v>037609818</v>
      </c>
      <c r="C2019" t="s">
        <v>50</v>
      </c>
      <c r="D2019" t="s">
        <v>4204</v>
      </c>
      <c r="E2019" t="s">
        <v>103</v>
      </c>
      <c r="F2019" t="s">
        <v>154</v>
      </c>
      <c r="G2019" t="s">
        <v>237</v>
      </c>
      <c r="H2019" t="str">
        <f>"ΓΕΩΡΓΙΟΥ ΠΑΠΑΝΔΡΕΟΥ 34-36 ΗΡΑΚΛΕΙΟ"</f>
        <v>ΓΕΩΡΓΙΟΥ ΠΑΠΑΝΔΡΕΟΥ 34-36 ΗΡΑΚΛΕΙΟ</v>
      </c>
      <c r="I2019">
        <v>71306</v>
      </c>
      <c r="J2019">
        <v>2810285342</v>
      </c>
      <c r="K2019">
        <v>6978195114</v>
      </c>
      <c r="M2019" t="s">
        <v>4205</v>
      </c>
      <c r="N2019" t="s">
        <v>292</v>
      </c>
      <c r="O2019" t="s">
        <v>293</v>
      </c>
      <c r="R2019" t="s">
        <v>57</v>
      </c>
      <c r="S2019">
        <v>8</v>
      </c>
      <c r="T2019">
        <v>231</v>
      </c>
      <c r="U2019" s="1">
        <v>38960</v>
      </c>
      <c r="V2019" t="s">
        <v>123</v>
      </c>
      <c r="W2019" t="s">
        <v>124</v>
      </c>
      <c r="X2019" t="s">
        <v>58</v>
      </c>
      <c r="Y2019">
        <v>20</v>
      </c>
      <c r="Z2019" t="s">
        <v>59</v>
      </c>
      <c r="AA2019" t="s">
        <v>59</v>
      </c>
      <c r="AB2019" t="s">
        <v>59</v>
      </c>
      <c r="AC2019" t="s">
        <v>59</v>
      </c>
      <c r="AD2019" t="s">
        <v>59</v>
      </c>
      <c r="AF2019" s="1">
        <v>38961</v>
      </c>
      <c r="AG2019" t="s">
        <v>125</v>
      </c>
      <c r="AH2019" t="s">
        <v>126</v>
      </c>
      <c r="AI2019" t="str">
        <f>"1727010"</f>
        <v>1727010</v>
      </c>
      <c r="AJ2019" t="s">
        <v>618</v>
      </c>
      <c r="AK2019">
        <v>2810229231</v>
      </c>
      <c r="AL2019" t="s">
        <v>619</v>
      </c>
      <c r="AM2019" t="s">
        <v>78</v>
      </c>
      <c r="AN2019" t="s">
        <v>78</v>
      </c>
      <c r="AO2019" t="s">
        <v>286</v>
      </c>
      <c r="AP2019" t="s">
        <v>286</v>
      </c>
      <c r="AQ2019">
        <v>12</v>
      </c>
      <c r="AR2019" t="s">
        <v>123</v>
      </c>
      <c r="AS2019" t="s">
        <v>124</v>
      </c>
      <c r="AT2019" t="s">
        <v>58</v>
      </c>
      <c r="AU2019" t="s">
        <v>68</v>
      </c>
      <c r="AV2019" t="s">
        <v>1092</v>
      </c>
      <c r="AW2019" s="1">
        <v>24321</v>
      </c>
      <c r="AX2019">
        <v>2</v>
      </c>
    </row>
    <row r="2020" spans="1:50">
      <c r="A2020">
        <v>213991</v>
      </c>
      <c r="B2020" t="str">
        <f>"062152584"</f>
        <v>062152584</v>
      </c>
      <c r="C2020" t="s">
        <v>50</v>
      </c>
      <c r="D2020" t="s">
        <v>4206</v>
      </c>
      <c r="E2020" t="s">
        <v>250</v>
      </c>
      <c r="F2020" t="s">
        <v>670</v>
      </c>
      <c r="G2020" t="s">
        <v>4207</v>
      </c>
      <c r="H2020" t="str">
        <f>" "</f>
        <v xml:space="preserve"> </v>
      </c>
      <c r="J2020">
        <v>2811102204</v>
      </c>
      <c r="K2020">
        <v>6977771459</v>
      </c>
      <c r="M2020" t="s">
        <v>4208</v>
      </c>
      <c r="N2020" t="s">
        <v>306</v>
      </c>
      <c r="O2020" t="s">
        <v>307</v>
      </c>
      <c r="R2020" t="s">
        <v>57</v>
      </c>
      <c r="S2020">
        <v>6</v>
      </c>
      <c r="T2020">
        <v>231</v>
      </c>
      <c r="U2020" s="1">
        <v>38960</v>
      </c>
      <c r="V2020" t="s">
        <v>123</v>
      </c>
      <c r="W2020" t="s">
        <v>124</v>
      </c>
      <c r="X2020" t="s">
        <v>58</v>
      </c>
      <c r="Y2020">
        <v>20</v>
      </c>
      <c r="Z2020" t="s">
        <v>59</v>
      </c>
      <c r="AA2020" t="s">
        <v>59</v>
      </c>
      <c r="AB2020" t="s">
        <v>59</v>
      </c>
      <c r="AC2020" t="s">
        <v>59</v>
      </c>
      <c r="AD2020" t="s">
        <v>59</v>
      </c>
      <c r="AF2020" s="1">
        <v>38961</v>
      </c>
      <c r="AG2020" t="s">
        <v>137</v>
      </c>
      <c r="AH2020" t="s">
        <v>138</v>
      </c>
      <c r="AI2020" t="str">
        <f>"1740080"</f>
        <v>1740080</v>
      </c>
      <c r="AJ2020" t="s">
        <v>284</v>
      </c>
      <c r="AK2020">
        <v>2810220433</v>
      </c>
      <c r="AL2020" t="s">
        <v>285</v>
      </c>
      <c r="AM2020" t="s">
        <v>78</v>
      </c>
      <c r="AN2020" t="s">
        <v>78</v>
      </c>
      <c r="AO2020" t="s">
        <v>286</v>
      </c>
      <c r="AP2020" t="s">
        <v>286</v>
      </c>
      <c r="AQ2020">
        <v>12</v>
      </c>
      <c r="AR2020" t="s">
        <v>123</v>
      </c>
      <c r="AS2020" t="s">
        <v>124</v>
      </c>
      <c r="AT2020" t="s">
        <v>58</v>
      </c>
      <c r="AU2020" t="s">
        <v>68</v>
      </c>
      <c r="AV2020" t="s">
        <v>69</v>
      </c>
      <c r="AW2020" s="1">
        <v>28848</v>
      </c>
      <c r="AX2020">
        <v>2</v>
      </c>
    </row>
    <row r="2021" spans="1:50">
      <c r="A2021">
        <v>204342</v>
      </c>
      <c r="B2021" t="str">
        <f>"042547818"</f>
        <v>042547818</v>
      </c>
      <c r="C2021" t="s">
        <v>50</v>
      </c>
      <c r="D2021" t="s">
        <v>4206</v>
      </c>
      <c r="E2021" t="s">
        <v>52</v>
      </c>
      <c r="F2021" t="s">
        <v>166</v>
      </c>
      <c r="G2021" t="s">
        <v>215</v>
      </c>
      <c r="H2021" t="str">
        <f>" "</f>
        <v xml:space="preserve"> </v>
      </c>
      <c r="J2021">
        <v>2810325159</v>
      </c>
      <c r="K2021">
        <v>6939326225</v>
      </c>
      <c r="M2021" t="s">
        <v>4209</v>
      </c>
      <c r="N2021" t="s">
        <v>257</v>
      </c>
      <c r="O2021" t="s">
        <v>258</v>
      </c>
      <c r="R2021" t="s">
        <v>57</v>
      </c>
      <c r="S2021">
        <v>6</v>
      </c>
      <c r="T2021">
        <v>231</v>
      </c>
      <c r="U2021" s="1">
        <v>38230</v>
      </c>
      <c r="V2021" t="s">
        <v>123</v>
      </c>
      <c r="W2021" t="s">
        <v>124</v>
      </c>
      <c r="X2021" t="s">
        <v>58</v>
      </c>
      <c r="Y2021">
        <v>20</v>
      </c>
      <c r="Z2021" t="s">
        <v>59</v>
      </c>
      <c r="AA2021" t="s">
        <v>59</v>
      </c>
      <c r="AB2021" t="s">
        <v>59</v>
      </c>
      <c r="AC2021" t="s">
        <v>59</v>
      </c>
      <c r="AD2021" t="s">
        <v>59</v>
      </c>
      <c r="AF2021" s="1">
        <v>38236</v>
      </c>
      <c r="AG2021" t="s">
        <v>125</v>
      </c>
      <c r="AH2021" t="s">
        <v>359</v>
      </c>
      <c r="AI2021" t="str">
        <f>"1701060"</f>
        <v>1701060</v>
      </c>
      <c r="AJ2021" t="s">
        <v>360</v>
      </c>
      <c r="AK2021">
        <v>2810223424</v>
      </c>
      <c r="AL2021" t="s">
        <v>361</v>
      </c>
      <c r="AM2021" t="s">
        <v>78</v>
      </c>
      <c r="AN2021" t="s">
        <v>78</v>
      </c>
      <c r="AO2021" t="s">
        <v>78</v>
      </c>
      <c r="AP2021" t="s">
        <v>79</v>
      </c>
      <c r="AQ2021">
        <v>1</v>
      </c>
      <c r="AR2021" t="s">
        <v>123</v>
      </c>
      <c r="AS2021" t="s">
        <v>124</v>
      </c>
      <c r="AT2021" t="s">
        <v>58</v>
      </c>
      <c r="AU2021" t="s">
        <v>68</v>
      </c>
      <c r="AV2021" t="s">
        <v>69</v>
      </c>
      <c r="AW2021" s="1">
        <v>21637</v>
      </c>
      <c r="AX2021">
        <v>2</v>
      </c>
    </row>
    <row r="2022" spans="1:50">
      <c r="A2022">
        <v>188228</v>
      </c>
      <c r="B2022" t="str">
        <f>"063432518"</f>
        <v>063432518</v>
      </c>
      <c r="C2022" t="s">
        <v>50</v>
      </c>
      <c r="D2022" t="s">
        <v>4206</v>
      </c>
      <c r="E2022" t="s">
        <v>460</v>
      </c>
      <c r="F2022" t="s">
        <v>920</v>
      </c>
      <c r="G2022" t="s">
        <v>52</v>
      </c>
      <c r="H2022" t="str">
        <f>" "</f>
        <v xml:space="preserve"> </v>
      </c>
      <c r="N2022" t="s">
        <v>204</v>
      </c>
      <c r="O2022" t="s">
        <v>205</v>
      </c>
      <c r="R2022" t="s">
        <v>57</v>
      </c>
      <c r="S2022">
        <v>11</v>
      </c>
      <c r="T2022">
        <v>251</v>
      </c>
      <c r="U2022" s="1">
        <v>36769</v>
      </c>
      <c r="V2022" t="s">
        <v>123</v>
      </c>
      <c r="W2022" t="s">
        <v>124</v>
      </c>
      <c r="X2022" t="s">
        <v>58</v>
      </c>
      <c r="Y2022">
        <v>20</v>
      </c>
      <c r="Z2022" t="s">
        <v>59</v>
      </c>
      <c r="AA2022" t="s">
        <v>59</v>
      </c>
      <c r="AB2022" t="s">
        <v>59</v>
      </c>
      <c r="AC2022" t="s">
        <v>59</v>
      </c>
      <c r="AD2022" t="s">
        <v>59</v>
      </c>
      <c r="AF2022" s="1">
        <v>36769</v>
      </c>
      <c r="AG2022" t="s">
        <v>148</v>
      </c>
      <c r="AH2022" t="s">
        <v>149</v>
      </c>
      <c r="AI2022" t="str">
        <f>"1778010"</f>
        <v>1778010</v>
      </c>
      <c r="AJ2022" t="s">
        <v>672</v>
      </c>
      <c r="AK2022">
        <v>2810822455</v>
      </c>
      <c r="AL2022" t="s">
        <v>673</v>
      </c>
      <c r="AM2022" t="s">
        <v>78</v>
      </c>
      <c r="AN2022" t="s">
        <v>129</v>
      </c>
      <c r="AO2022" t="s">
        <v>130</v>
      </c>
      <c r="AP2022" t="s">
        <v>130</v>
      </c>
      <c r="AQ2022">
        <v>36</v>
      </c>
      <c r="AR2022" t="s">
        <v>123</v>
      </c>
      <c r="AS2022" t="s">
        <v>124</v>
      </c>
      <c r="AT2022" t="s">
        <v>58</v>
      </c>
      <c r="AU2022" t="s">
        <v>68</v>
      </c>
      <c r="AV2022" t="s">
        <v>69</v>
      </c>
      <c r="AW2022" s="1">
        <v>27111</v>
      </c>
      <c r="AX2022">
        <v>2</v>
      </c>
    </row>
    <row r="2023" spans="1:50">
      <c r="A2023">
        <v>197579</v>
      </c>
      <c r="B2023" t="str">
        <f>"046177321"</f>
        <v>046177321</v>
      </c>
      <c r="C2023" t="s">
        <v>50</v>
      </c>
      <c r="D2023" t="s">
        <v>4210</v>
      </c>
      <c r="E2023" t="s">
        <v>263</v>
      </c>
      <c r="F2023" t="s">
        <v>95</v>
      </c>
      <c r="G2023" t="s">
        <v>83</v>
      </c>
      <c r="H2023" t="str">
        <f>"ΔΕΛΑΠΟΡΤΑ 3 ΗΡΑΚΛΕΙΟ"</f>
        <v>ΔΕΛΑΠΟΡΤΑ 3 ΗΡΑΚΛΕΙΟ</v>
      </c>
      <c r="I2023">
        <v>71409</v>
      </c>
      <c r="J2023">
        <v>2810230129</v>
      </c>
      <c r="K2023">
        <v>6972495176</v>
      </c>
      <c r="M2023" t="s">
        <v>4211</v>
      </c>
      <c r="N2023" t="s">
        <v>146</v>
      </c>
      <c r="O2023" t="s">
        <v>147</v>
      </c>
      <c r="R2023" t="s">
        <v>57</v>
      </c>
      <c r="S2023">
        <v>7</v>
      </c>
      <c r="T2023">
        <v>206</v>
      </c>
      <c r="U2023" s="1">
        <v>37866</v>
      </c>
      <c r="V2023" t="s">
        <v>123</v>
      </c>
      <c r="W2023" t="s">
        <v>124</v>
      </c>
      <c r="X2023" t="s">
        <v>58</v>
      </c>
      <c r="Y2023">
        <v>20</v>
      </c>
      <c r="Z2023" t="s">
        <v>59</v>
      </c>
      <c r="AA2023" t="s">
        <v>59</v>
      </c>
      <c r="AB2023" t="s">
        <v>59</v>
      </c>
      <c r="AC2023" t="s">
        <v>59</v>
      </c>
      <c r="AD2023" t="s">
        <v>59</v>
      </c>
      <c r="AF2023" s="1">
        <v>37866</v>
      </c>
      <c r="AG2023" t="s">
        <v>125</v>
      </c>
      <c r="AH2023" t="s">
        <v>126</v>
      </c>
      <c r="AI2023" t="str">
        <f>"1701056"</f>
        <v>1701056</v>
      </c>
      <c r="AJ2023" t="s">
        <v>211</v>
      </c>
      <c r="AK2023">
        <v>2810245445</v>
      </c>
      <c r="AL2023" t="s">
        <v>212</v>
      </c>
      <c r="AM2023" t="s">
        <v>78</v>
      </c>
      <c r="AN2023" t="s">
        <v>78</v>
      </c>
      <c r="AO2023" t="s">
        <v>78</v>
      </c>
      <c r="AP2023" t="s">
        <v>213</v>
      </c>
      <c r="AQ2023">
        <v>6</v>
      </c>
      <c r="AR2023" t="s">
        <v>123</v>
      </c>
      <c r="AS2023" t="s">
        <v>124</v>
      </c>
      <c r="AT2023" t="s">
        <v>58</v>
      </c>
      <c r="AU2023" t="s">
        <v>68</v>
      </c>
      <c r="AV2023" t="s">
        <v>69</v>
      </c>
      <c r="AW2023" s="1">
        <v>25975</v>
      </c>
      <c r="AX2023">
        <v>2</v>
      </c>
    </row>
    <row r="2024" spans="1:50">
      <c r="A2024">
        <v>208538</v>
      </c>
      <c r="B2024" t="str">
        <f>"114288380"</f>
        <v>114288380</v>
      </c>
      <c r="C2024" t="s">
        <v>50</v>
      </c>
      <c r="D2024" t="s">
        <v>4212</v>
      </c>
      <c r="E2024" t="s">
        <v>52</v>
      </c>
      <c r="F2024" t="s">
        <v>72</v>
      </c>
      <c r="G2024" t="s">
        <v>73</v>
      </c>
      <c r="H2024" t="str">
        <f>"Α. ΩΝΑΣΗ 5 "</f>
        <v xml:space="preserve">Α. ΩΝΑΣΗ 5 </v>
      </c>
      <c r="I2024">
        <v>70016</v>
      </c>
      <c r="J2024">
        <v>2814003216</v>
      </c>
      <c r="K2024">
        <v>6976045665</v>
      </c>
      <c r="M2024" t="s">
        <v>4213</v>
      </c>
      <c r="N2024" t="s">
        <v>299</v>
      </c>
      <c r="O2024" t="s">
        <v>300</v>
      </c>
      <c r="R2024" t="s">
        <v>57</v>
      </c>
      <c r="S2024">
        <v>6</v>
      </c>
      <c r="T2024">
        <v>218</v>
      </c>
      <c r="U2024" s="1">
        <v>38596</v>
      </c>
      <c r="V2024" t="s">
        <v>123</v>
      </c>
      <c r="W2024" t="s">
        <v>124</v>
      </c>
      <c r="X2024" t="s">
        <v>58</v>
      </c>
      <c r="Y2024">
        <v>20</v>
      </c>
      <c r="Z2024" t="s">
        <v>59</v>
      </c>
      <c r="AA2024" t="s">
        <v>59</v>
      </c>
      <c r="AB2024" t="s">
        <v>59</v>
      </c>
      <c r="AC2024" t="s">
        <v>59</v>
      </c>
      <c r="AD2024" t="s">
        <v>59</v>
      </c>
      <c r="AF2024" s="1">
        <v>38600</v>
      </c>
      <c r="AG2024" t="s">
        <v>125</v>
      </c>
      <c r="AH2024" t="s">
        <v>126</v>
      </c>
      <c r="AI2024" t="str">
        <f>"1701030"</f>
        <v>1701030</v>
      </c>
      <c r="AJ2024" t="s">
        <v>270</v>
      </c>
      <c r="AK2024">
        <v>2810361015</v>
      </c>
      <c r="AL2024" t="s">
        <v>271</v>
      </c>
      <c r="AM2024" t="s">
        <v>78</v>
      </c>
      <c r="AN2024" t="s">
        <v>78</v>
      </c>
      <c r="AO2024" t="s">
        <v>78</v>
      </c>
      <c r="AP2024" t="s">
        <v>163</v>
      </c>
      <c r="AQ2024">
        <v>2</v>
      </c>
      <c r="AR2024" t="s">
        <v>123</v>
      </c>
      <c r="AS2024" t="s">
        <v>124</v>
      </c>
      <c r="AT2024" t="s">
        <v>58</v>
      </c>
      <c r="AU2024" t="s">
        <v>68</v>
      </c>
      <c r="AV2024" t="s">
        <v>69</v>
      </c>
      <c r="AW2024" s="1">
        <v>29318</v>
      </c>
      <c r="AX2024">
        <v>2</v>
      </c>
    </row>
    <row r="2025" spans="1:50">
      <c r="A2025">
        <v>204813</v>
      </c>
      <c r="B2025" t="str">
        <f>"047992509"</f>
        <v>047992509</v>
      </c>
      <c r="C2025" t="s">
        <v>50</v>
      </c>
      <c r="D2025" t="s">
        <v>4212</v>
      </c>
      <c r="E2025" t="s">
        <v>52</v>
      </c>
      <c r="F2025" t="s">
        <v>99</v>
      </c>
      <c r="G2025" t="s">
        <v>255</v>
      </c>
      <c r="H2025" t="str">
        <f>"ΚΑΠΕΤΑΝΑΚΗ 87 ΗΡΑΚΛΕΙΟ"</f>
        <v>ΚΑΠΕΤΑΝΑΚΗ 87 ΗΡΑΚΛΕΙΟ</v>
      </c>
      <c r="I2025">
        <v>70100</v>
      </c>
      <c r="J2025">
        <v>2810751395</v>
      </c>
      <c r="K2025">
        <v>6947811003</v>
      </c>
      <c r="M2025" t="s">
        <v>4214</v>
      </c>
      <c r="N2025" t="s">
        <v>168</v>
      </c>
      <c r="O2025" t="s">
        <v>169</v>
      </c>
      <c r="R2025" t="s">
        <v>57</v>
      </c>
      <c r="S2025">
        <v>9</v>
      </c>
      <c r="T2025">
        <v>231</v>
      </c>
      <c r="U2025" s="1">
        <v>38230</v>
      </c>
      <c r="V2025" t="s">
        <v>123</v>
      </c>
      <c r="W2025" t="s">
        <v>124</v>
      </c>
      <c r="X2025" t="s">
        <v>58</v>
      </c>
      <c r="Y2025">
        <v>20</v>
      </c>
      <c r="Z2025" t="s">
        <v>59</v>
      </c>
      <c r="AA2025" t="s">
        <v>59</v>
      </c>
      <c r="AB2025" t="s">
        <v>59</v>
      </c>
      <c r="AC2025" t="s">
        <v>59</v>
      </c>
      <c r="AD2025" t="s">
        <v>59</v>
      </c>
      <c r="AF2025" s="1">
        <v>38231</v>
      </c>
      <c r="AG2025" t="s">
        <v>137</v>
      </c>
      <c r="AH2025" t="s">
        <v>138</v>
      </c>
      <c r="AI2025" t="str">
        <f>"1750080"</f>
        <v>1750080</v>
      </c>
      <c r="AJ2025" t="s">
        <v>170</v>
      </c>
      <c r="AK2025">
        <v>2810234444</v>
      </c>
      <c r="AL2025" t="s">
        <v>171</v>
      </c>
      <c r="AM2025" t="s">
        <v>78</v>
      </c>
      <c r="AN2025" t="s">
        <v>78</v>
      </c>
      <c r="AO2025" t="s">
        <v>78</v>
      </c>
      <c r="AP2025" t="s">
        <v>163</v>
      </c>
      <c r="AQ2025">
        <v>9</v>
      </c>
      <c r="AR2025" t="s">
        <v>123</v>
      </c>
      <c r="AS2025" t="s">
        <v>124</v>
      </c>
      <c r="AT2025" t="s">
        <v>58</v>
      </c>
      <c r="AU2025" t="s">
        <v>68</v>
      </c>
      <c r="AV2025" t="s">
        <v>69</v>
      </c>
      <c r="AW2025" s="1">
        <v>26949</v>
      </c>
      <c r="AX2025">
        <v>2</v>
      </c>
    </row>
    <row r="2026" spans="1:50">
      <c r="A2026">
        <v>183923</v>
      </c>
      <c r="B2026" t="str">
        <f>"028121956"</f>
        <v>028121956</v>
      </c>
      <c r="C2026" t="s">
        <v>105</v>
      </c>
      <c r="D2026" t="s">
        <v>4215</v>
      </c>
      <c r="E2026" t="s">
        <v>95</v>
      </c>
      <c r="F2026" t="s">
        <v>383</v>
      </c>
      <c r="G2026" t="s">
        <v>440</v>
      </c>
      <c r="H2026" t="str">
        <f>"ΑΛΔΟΥ ΜΑΝΟΥΤΙΟΥ 9 ΗΡΑΚΛΕΙΟ"</f>
        <v>ΑΛΔΟΥ ΜΑΝΟΥΤΙΟΥ 9 ΗΡΑΚΛΕΙΟ</v>
      </c>
      <c r="I2026">
        <v>71409</v>
      </c>
      <c r="J2026">
        <v>2810213826</v>
      </c>
      <c r="K2026">
        <v>6973998739</v>
      </c>
      <c r="M2026" t="s">
        <v>4216</v>
      </c>
      <c r="N2026" t="s">
        <v>292</v>
      </c>
      <c r="O2026" t="s">
        <v>293</v>
      </c>
      <c r="R2026" t="s">
        <v>57</v>
      </c>
      <c r="S2026">
        <v>9</v>
      </c>
      <c r="T2026">
        <v>177</v>
      </c>
      <c r="U2026" s="1">
        <v>36403</v>
      </c>
      <c r="V2026" t="s">
        <v>123</v>
      </c>
      <c r="W2026" t="s">
        <v>124</v>
      </c>
      <c r="X2026" t="s">
        <v>58</v>
      </c>
      <c r="Y2026">
        <v>20</v>
      </c>
      <c r="Z2026" t="s">
        <v>59</v>
      </c>
      <c r="AA2026" t="s">
        <v>59</v>
      </c>
      <c r="AB2026" t="s">
        <v>59</v>
      </c>
      <c r="AC2026" t="s">
        <v>59</v>
      </c>
      <c r="AD2026" t="s">
        <v>59</v>
      </c>
      <c r="AF2026" s="1">
        <v>36409</v>
      </c>
      <c r="AG2026" t="s">
        <v>148</v>
      </c>
      <c r="AH2026" t="s">
        <v>149</v>
      </c>
      <c r="AI2026" t="str">
        <f>"1751052"</f>
        <v>1751052</v>
      </c>
      <c r="AJ2026" t="s">
        <v>328</v>
      </c>
      <c r="AK2026">
        <v>2810213762</v>
      </c>
      <c r="AL2026" t="s">
        <v>329</v>
      </c>
      <c r="AM2026" t="s">
        <v>78</v>
      </c>
      <c r="AN2026" t="s">
        <v>78</v>
      </c>
      <c r="AO2026" t="s">
        <v>78</v>
      </c>
      <c r="AP2026" t="s">
        <v>163</v>
      </c>
      <c r="AQ2026">
        <v>8</v>
      </c>
      <c r="AR2026" t="s">
        <v>123</v>
      </c>
      <c r="AS2026" t="s">
        <v>124</v>
      </c>
      <c r="AT2026" t="s">
        <v>58</v>
      </c>
      <c r="AU2026" t="s">
        <v>68</v>
      </c>
      <c r="AV2026" t="s">
        <v>69</v>
      </c>
      <c r="AW2026" s="1">
        <v>22236</v>
      </c>
      <c r="AX2026">
        <v>2</v>
      </c>
    </row>
    <row r="2027" spans="1:50">
      <c r="A2027">
        <v>150725</v>
      </c>
      <c r="B2027" t="str">
        <f>"062133601"</f>
        <v>062133601</v>
      </c>
      <c r="C2027" t="s">
        <v>50</v>
      </c>
      <c r="D2027" t="s">
        <v>4217</v>
      </c>
      <c r="E2027" t="s">
        <v>52</v>
      </c>
      <c r="F2027" t="s">
        <v>166</v>
      </c>
      <c r="G2027" t="s">
        <v>112</v>
      </c>
      <c r="H2027" t="str">
        <f>"ΜΑΓΝΗΣΙΑΣ 13Α ΗΡΑΚΛΕΙΟ"</f>
        <v>ΜΑΓΝΗΣΙΑΣ 13Α ΗΡΑΚΛΕΙΟ</v>
      </c>
      <c r="I2027">
        <v>71305</v>
      </c>
      <c r="J2027">
        <v>2810317918</v>
      </c>
      <c r="K2027">
        <v>6945062295</v>
      </c>
      <c r="M2027" t="s">
        <v>4218</v>
      </c>
      <c r="N2027" t="s">
        <v>146</v>
      </c>
      <c r="O2027" t="s">
        <v>147</v>
      </c>
      <c r="R2027" t="s">
        <v>57</v>
      </c>
      <c r="S2027">
        <v>16</v>
      </c>
      <c r="T2027">
        <v>170</v>
      </c>
      <c r="U2027" s="1">
        <v>32016</v>
      </c>
      <c r="V2027" t="s">
        <v>123</v>
      </c>
      <c r="W2027" t="s">
        <v>124</v>
      </c>
      <c r="X2027" t="s">
        <v>58</v>
      </c>
      <c r="Y2027">
        <v>18</v>
      </c>
      <c r="Z2027" t="s">
        <v>59</v>
      </c>
      <c r="AA2027" t="s">
        <v>59</v>
      </c>
      <c r="AB2027" t="s">
        <v>59</v>
      </c>
      <c r="AC2027" t="s">
        <v>59</v>
      </c>
      <c r="AD2027" t="s">
        <v>59</v>
      </c>
      <c r="AF2027" s="1">
        <v>32023</v>
      </c>
      <c r="AG2027" t="s">
        <v>148</v>
      </c>
      <c r="AH2027" t="s">
        <v>149</v>
      </c>
      <c r="AI2027" t="str">
        <f>"1751030"</f>
        <v>1751030</v>
      </c>
      <c r="AJ2027" t="s">
        <v>234</v>
      </c>
      <c r="AK2027">
        <v>2810282911</v>
      </c>
      <c r="AL2027" t="s">
        <v>235</v>
      </c>
      <c r="AM2027" t="s">
        <v>78</v>
      </c>
      <c r="AN2027" t="s">
        <v>78</v>
      </c>
      <c r="AO2027" t="s">
        <v>78</v>
      </c>
      <c r="AP2027" t="s">
        <v>163</v>
      </c>
      <c r="AQ2027">
        <v>1</v>
      </c>
      <c r="AR2027" t="s">
        <v>123</v>
      </c>
      <c r="AS2027" t="s">
        <v>124</v>
      </c>
      <c r="AT2027" t="s">
        <v>58</v>
      </c>
      <c r="AU2027" t="s">
        <v>68</v>
      </c>
      <c r="AV2027" t="s">
        <v>69</v>
      </c>
      <c r="AW2027" s="1">
        <v>21401</v>
      </c>
      <c r="AX2027">
        <v>2</v>
      </c>
    </row>
    <row r="2028" spans="1:50">
      <c r="A2028">
        <v>192127</v>
      </c>
      <c r="B2028" t="str">
        <f>"052406300"</f>
        <v>052406300</v>
      </c>
      <c r="C2028" t="s">
        <v>105</v>
      </c>
      <c r="D2028" t="s">
        <v>4219</v>
      </c>
      <c r="E2028" t="s">
        <v>108</v>
      </c>
      <c r="F2028" t="s">
        <v>106</v>
      </c>
      <c r="G2028" t="s">
        <v>4220</v>
      </c>
      <c r="H2028" t="str">
        <f>" "</f>
        <v xml:space="preserve"> </v>
      </c>
      <c r="N2028" t="s">
        <v>168</v>
      </c>
      <c r="O2028" t="s">
        <v>169</v>
      </c>
      <c r="R2028" t="s">
        <v>57</v>
      </c>
      <c r="S2028">
        <v>10</v>
      </c>
      <c r="T2028">
        <v>291</v>
      </c>
      <c r="U2028" s="1">
        <v>37218</v>
      </c>
      <c r="V2028" t="s">
        <v>123</v>
      </c>
      <c r="W2028" t="s">
        <v>124</v>
      </c>
      <c r="X2028" t="s">
        <v>58</v>
      </c>
      <c r="Y2028">
        <v>20</v>
      </c>
      <c r="Z2028" t="s">
        <v>59</v>
      </c>
      <c r="AA2028" t="s">
        <v>59</v>
      </c>
      <c r="AB2028" t="s">
        <v>59</v>
      </c>
      <c r="AC2028" t="s">
        <v>59</v>
      </c>
      <c r="AD2028" t="s">
        <v>59</v>
      </c>
      <c r="AF2028" s="1">
        <v>37221</v>
      </c>
      <c r="AG2028" t="s">
        <v>137</v>
      </c>
      <c r="AH2028" t="s">
        <v>138</v>
      </c>
      <c r="AI2028" t="str">
        <f>"1740100"</f>
        <v>1740100</v>
      </c>
      <c r="AJ2028" t="s">
        <v>857</v>
      </c>
      <c r="AK2028">
        <v>2810360741</v>
      </c>
      <c r="AL2028" t="s">
        <v>858</v>
      </c>
      <c r="AM2028" t="s">
        <v>78</v>
      </c>
      <c r="AN2028" t="s">
        <v>78</v>
      </c>
      <c r="AO2028" t="s">
        <v>78</v>
      </c>
      <c r="AP2028" t="s">
        <v>163</v>
      </c>
      <c r="AQ2028">
        <v>5</v>
      </c>
      <c r="AR2028" t="s">
        <v>123</v>
      </c>
      <c r="AS2028" t="s">
        <v>124</v>
      </c>
      <c r="AT2028" t="s">
        <v>58</v>
      </c>
      <c r="AU2028" t="s">
        <v>68</v>
      </c>
      <c r="AV2028" t="s">
        <v>69</v>
      </c>
      <c r="AW2028" s="1">
        <v>24436</v>
      </c>
      <c r="AX2028">
        <v>2</v>
      </c>
    </row>
    <row r="2029" spans="1:50">
      <c r="A2029">
        <v>185600</v>
      </c>
      <c r="B2029" t="str">
        <f>"064001071"</f>
        <v>064001071</v>
      </c>
      <c r="C2029" t="s">
        <v>105</v>
      </c>
      <c r="D2029" t="s">
        <v>4221</v>
      </c>
      <c r="E2029" t="s">
        <v>95</v>
      </c>
      <c r="F2029" t="s">
        <v>166</v>
      </c>
      <c r="G2029" t="s">
        <v>83</v>
      </c>
      <c r="H2029" t="str">
        <f>"ΠΑΠΑΔΙΑΜΑΝΤΗ 23 ΑΓ. ΜΑΡΙΝΑ ΤΣΑΛΙΚΑΚΙ"</f>
        <v>ΠΑΠΑΔΙΑΜΑΝΤΗ 23 ΑΓ. ΜΑΡΙΝΑ ΤΣΑΛΙΚΑΚΙ</v>
      </c>
      <c r="I2029">
        <v>71414</v>
      </c>
      <c r="J2029">
        <v>2810319353</v>
      </c>
      <c r="K2029">
        <v>6974733516</v>
      </c>
      <c r="M2029" t="s">
        <v>4222</v>
      </c>
      <c r="N2029" t="s">
        <v>204</v>
      </c>
      <c r="O2029" t="s">
        <v>205</v>
      </c>
      <c r="R2029" t="s">
        <v>57</v>
      </c>
      <c r="S2029">
        <v>12</v>
      </c>
      <c r="T2029" t="s">
        <v>4223</v>
      </c>
      <c r="U2029" s="1">
        <v>36039</v>
      </c>
      <c r="V2029" t="s">
        <v>123</v>
      </c>
      <c r="W2029" t="s">
        <v>124</v>
      </c>
      <c r="X2029" t="s">
        <v>58</v>
      </c>
      <c r="Y2029">
        <v>18</v>
      </c>
      <c r="Z2029" t="s">
        <v>59</v>
      </c>
      <c r="AA2029" t="s">
        <v>59</v>
      </c>
      <c r="AB2029" t="s">
        <v>59</v>
      </c>
      <c r="AC2029" t="s">
        <v>59</v>
      </c>
      <c r="AD2029" t="s">
        <v>59</v>
      </c>
      <c r="AF2029" s="1">
        <v>36560</v>
      </c>
      <c r="AG2029" t="s">
        <v>148</v>
      </c>
      <c r="AH2029" t="s">
        <v>149</v>
      </c>
      <c r="AI2029" t="str">
        <f>"1751020"</f>
        <v>1751020</v>
      </c>
      <c r="AJ2029" t="s">
        <v>532</v>
      </c>
      <c r="AK2029">
        <v>2810372732</v>
      </c>
      <c r="AL2029" t="s">
        <v>533</v>
      </c>
      <c r="AM2029" t="s">
        <v>78</v>
      </c>
      <c r="AN2029" t="s">
        <v>78</v>
      </c>
      <c r="AO2029" t="s">
        <v>78</v>
      </c>
      <c r="AP2029" t="s">
        <v>163</v>
      </c>
      <c r="AQ2029">
        <v>3</v>
      </c>
      <c r="AR2029" t="s">
        <v>123</v>
      </c>
      <c r="AS2029" t="s">
        <v>124</v>
      </c>
      <c r="AT2029" t="s">
        <v>58</v>
      </c>
      <c r="AU2029" t="s">
        <v>68</v>
      </c>
      <c r="AV2029" t="s">
        <v>69</v>
      </c>
      <c r="AW2029" s="1">
        <v>26575</v>
      </c>
      <c r="AX2029">
        <v>2</v>
      </c>
    </row>
    <row r="2030" spans="1:50">
      <c r="A2030">
        <v>224030</v>
      </c>
      <c r="B2030" t="str">
        <f>"125586604"</f>
        <v>125586604</v>
      </c>
      <c r="C2030" t="s">
        <v>105</v>
      </c>
      <c r="D2030" t="s">
        <v>4221</v>
      </c>
      <c r="E2030" t="s">
        <v>108</v>
      </c>
      <c r="F2030" t="s">
        <v>166</v>
      </c>
      <c r="G2030" t="s">
        <v>476</v>
      </c>
      <c r="H2030" t="str">
        <f>"ΦΟΙΝΙΚΟΣ 26 ΗΡΑΚΛΕΙΟ"</f>
        <v>ΦΟΙΝΙΚΟΣ 26 ΗΡΑΚΛΕΙΟ</v>
      </c>
      <c r="I2030">
        <v>71305</v>
      </c>
      <c r="J2030">
        <v>2815008686</v>
      </c>
      <c r="K2030">
        <v>6972539409</v>
      </c>
      <c r="M2030" t="s">
        <v>4224</v>
      </c>
      <c r="N2030" t="s">
        <v>478</v>
      </c>
      <c r="O2030" t="s">
        <v>479</v>
      </c>
      <c r="R2030" t="s">
        <v>57</v>
      </c>
      <c r="S2030">
        <v>7</v>
      </c>
      <c r="T2030">
        <v>775</v>
      </c>
      <c r="U2030" s="1">
        <v>39680</v>
      </c>
      <c r="V2030" t="s">
        <v>123</v>
      </c>
      <c r="W2030" t="s">
        <v>124</v>
      </c>
      <c r="X2030" t="s">
        <v>58</v>
      </c>
      <c r="Y2030">
        <v>21</v>
      </c>
      <c r="Z2030" t="s">
        <v>59</v>
      </c>
      <c r="AA2030" t="s">
        <v>59</v>
      </c>
      <c r="AB2030" t="s">
        <v>59</v>
      </c>
      <c r="AC2030" t="s">
        <v>59</v>
      </c>
      <c r="AD2030" t="s">
        <v>59</v>
      </c>
      <c r="AF2030" s="1">
        <v>39682</v>
      </c>
      <c r="AG2030" t="s">
        <v>125</v>
      </c>
      <c r="AH2030" t="s">
        <v>126</v>
      </c>
      <c r="AI2030" t="str">
        <f>"1708010"</f>
        <v>1708010</v>
      </c>
      <c r="AJ2030" t="s">
        <v>1147</v>
      </c>
      <c r="AK2030">
        <v>2893022204</v>
      </c>
      <c r="AL2030" t="s">
        <v>1148</v>
      </c>
      <c r="AM2030" t="s">
        <v>78</v>
      </c>
      <c r="AN2030" t="s">
        <v>424</v>
      </c>
      <c r="AO2030" t="s">
        <v>577</v>
      </c>
      <c r="AP2030" t="s">
        <v>578</v>
      </c>
      <c r="AQ2030">
        <v>24</v>
      </c>
      <c r="AR2030" t="s">
        <v>123</v>
      </c>
      <c r="AS2030" t="s">
        <v>124</v>
      </c>
      <c r="AT2030" t="s">
        <v>58</v>
      </c>
      <c r="AU2030" t="s">
        <v>68</v>
      </c>
      <c r="AV2030" t="s">
        <v>69</v>
      </c>
      <c r="AW2030" s="1">
        <v>29948</v>
      </c>
      <c r="AX2030">
        <v>2</v>
      </c>
    </row>
    <row r="2031" spans="1:50">
      <c r="A2031">
        <v>206861</v>
      </c>
      <c r="B2031" t="str">
        <f>"039981937"</f>
        <v>039981937</v>
      </c>
      <c r="C2031" t="s">
        <v>50</v>
      </c>
      <c r="D2031" t="s">
        <v>4225</v>
      </c>
      <c r="E2031" t="s">
        <v>255</v>
      </c>
      <c r="F2031" t="s">
        <v>95</v>
      </c>
      <c r="G2031" t="s">
        <v>4226</v>
      </c>
      <c r="H2031" t="str">
        <f>"ΦΟΙΝΙΚΟΣ 6 ΗΡΑΚΛΕΙΟ"</f>
        <v>ΦΟΙΝΙΚΟΣ 6 ΗΡΑΚΛΕΙΟ</v>
      </c>
      <c r="I2031">
        <v>71305</v>
      </c>
      <c r="J2031">
        <v>2810317167</v>
      </c>
      <c r="K2031">
        <v>6939118059</v>
      </c>
      <c r="M2031" t="s">
        <v>4227</v>
      </c>
      <c r="N2031" t="s">
        <v>146</v>
      </c>
      <c r="O2031" t="s">
        <v>147</v>
      </c>
      <c r="R2031" t="s">
        <v>57</v>
      </c>
      <c r="S2031">
        <v>13</v>
      </c>
      <c r="T2031">
        <v>218</v>
      </c>
      <c r="U2031" s="1">
        <v>38596</v>
      </c>
      <c r="V2031" t="s">
        <v>123</v>
      </c>
      <c r="W2031" t="s">
        <v>124</v>
      </c>
      <c r="X2031" t="s">
        <v>58</v>
      </c>
      <c r="Y2031">
        <v>20</v>
      </c>
      <c r="Z2031" t="s">
        <v>59</v>
      </c>
      <c r="AA2031" t="s">
        <v>59</v>
      </c>
      <c r="AB2031" t="s">
        <v>59</v>
      </c>
      <c r="AC2031" t="s">
        <v>59</v>
      </c>
      <c r="AD2031" t="s">
        <v>59</v>
      </c>
      <c r="AF2031" s="1">
        <v>38601</v>
      </c>
      <c r="AG2031" t="s">
        <v>148</v>
      </c>
      <c r="AH2031" t="s">
        <v>149</v>
      </c>
      <c r="AI2031" t="str">
        <f>"1760010"</f>
        <v>1760010</v>
      </c>
      <c r="AJ2031" t="s">
        <v>701</v>
      </c>
      <c r="AK2031">
        <v>2810711442</v>
      </c>
      <c r="AL2031" t="s">
        <v>702</v>
      </c>
      <c r="AM2031" t="s">
        <v>78</v>
      </c>
      <c r="AN2031" t="s">
        <v>129</v>
      </c>
      <c r="AO2031" t="s">
        <v>597</v>
      </c>
      <c r="AP2031" t="s">
        <v>598</v>
      </c>
      <c r="AQ2031">
        <v>28</v>
      </c>
      <c r="AR2031" t="s">
        <v>123</v>
      </c>
      <c r="AS2031" t="s">
        <v>124</v>
      </c>
      <c r="AT2031" t="s">
        <v>58</v>
      </c>
      <c r="AU2031" t="s">
        <v>68</v>
      </c>
      <c r="AV2031" t="s">
        <v>69</v>
      </c>
      <c r="AW2031" s="1">
        <v>24847</v>
      </c>
      <c r="AX2031">
        <v>2</v>
      </c>
    </row>
    <row r="2032" spans="1:50">
      <c r="A2032">
        <v>147020</v>
      </c>
      <c r="B2032" t="str">
        <f>"029024750"</f>
        <v>029024750</v>
      </c>
      <c r="C2032" t="s">
        <v>105</v>
      </c>
      <c r="D2032" t="s">
        <v>4228</v>
      </c>
      <c r="E2032" t="s">
        <v>1716</v>
      </c>
      <c r="F2032" t="s">
        <v>95</v>
      </c>
      <c r="G2032" t="s">
        <v>630</v>
      </c>
      <c r="H2032" t="str">
        <f>"ΑΚΑΔΗΜΙΑΣ   76 ΗΡΑΚΛΕΙΟ"</f>
        <v>ΑΚΑΔΗΜΙΑΣ   76 ΗΡΑΚΛΕΙΟ</v>
      </c>
      <c r="I2032">
        <v>71305</v>
      </c>
      <c r="J2032">
        <v>2810233050</v>
      </c>
      <c r="M2032" t="s">
        <v>4229</v>
      </c>
      <c r="N2032" t="s">
        <v>232</v>
      </c>
      <c r="O2032" t="s">
        <v>233</v>
      </c>
      <c r="R2032" t="s">
        <v>57</v>
      </c>
      <c r="S2032">
        <v>16</v>
      </c>
      <c r="T2032">
        <v>237</v>
      </c>
      <c r="U2032" s="1">
        <v>31293</v>
      </c>
      <c r="V2032" t="s">
        <v>123</v>
      </c>
      <c r="W2032" t="s">
        <v>124</v>
      </c>
      <c r="X2032" t="s">
        <v>58</v>
      </c>
      <c r="Y2032">
        <v>18</v>
      </c>
      <c r="Z2032" t="s">
        <v>59</v>
      </c>
      <c r="AA2032" t="s">
        <v>59</v>
      </c>
      <c r="AB2032" t="s">
        <v>59</v>
      </c>
      <c r="AC2032" t="s">
        <v>59</v>
      </c>
      <c r="AD2032" t="s">
        <v>59</v>
      </c>
      <c r="AF2032" s="1">
        <v>31300</v>
      </c>
      <c r="AG2032" t="s">
        <v>148</v>
      </c>
      <c r="AH2032" t="s">
        <v>149</v>
      </c>
      <c r="AI2032" t="str">
        <f>"1761010"</f>
        <v>1761010</v>
      </c>
      <c r="AJ2032" t="s">
        <v>426</v>
      </c>
      <c r="AK2032">
        <v>2810741356</v>
      </c>
      <c r="AL2032" t="s">
        <v>427</v>
      </c>
      <c r="AM2032" t="s">
        <v>78</v>
      </c>
      <c r="AN2032" t="s">
        <v>424</v>
      </c>
      <c r="AO2032" t="s">
        <v>428</v>
      </c>
      <c r="AP2032" t="s">
        <v>429</v>
      </c>
      <c r="AQ2032">
        <v>14</v>
      </c>
      <c r="AR2032" t="s">
        <v>123</v>
      </c>
      <c r="AS2032" t="s">
        <v>124</v>
      </c>
      <c r="AT2032" t="s">
        <v>58</v>
      </c>
      <c r="AU2032" t="s">
        <v>68</v>
      </c>
      <c r="AV2032" t="s">
        <v>69</v>
      </c>
      <c r="AW2032" s="1">
        <v>20336</v>
      </c>
      <c r="AX2032">
        <v>2</v>
      </c>
    </row>
    <row r="2033" spans="1:50">
      <c r="A2033">
        <v>181820</v>
      </c>
      <c r="B2033" t="str">
        <f>"056871039"</f>
        <v>056871039</v>
      </c>
      <c r="C2033" t="s">
        <v>50</v>
      </c>
      <c r="D2033" t="s">
        <v>4230</v>
      </c>
      <c r="E2033" t="s">
        <v>255</v>
      </c>
      <c r="F2033" t="s">
        <v>95</v>
      </c>
      <c r="G2033" t="s">
        <v>513</v>
      </c>
      <c r="H2033" t="str">
        <f>" "</f>
        <v xml:space="preserve"> </v>
      </c>
      <c r="K2033">
        <v>6948684982</v>
      </c>
      <c r="M2033" t="s">
        <v>4231</v>
      </c>
      <c r="N2033" t="s">
        <v>299</v>
      </c>
      <c r="O2033" t="s">
        <v>300</v>
      </c>
      <c r="R2033" t="s">
        <v>57</v>
      </c>
      <c r="S2033">
        <v>10</v>
      </c>
      <c r="T2033">
        <v>164</v>
      </c>
      <c r="U2033" s="1">
        <v>36040</v>
      </c>
      <c r="V2033" t="s">
        <v>123</v>
      </c>
      <c r="W2033" t="s">
        <v>124</v>
      </c>
      <c r="X2033" t="s">
        <v>58</v>
      </c>
      <c r="Y2033">
        <v>18</v>
      </c>
      <c r="Z2033" t="s">
        <v>59</v>
      </c>
      <c r="AA2033" t="s">
        <v>59</v>
      </c>
      <c r="AB2033" t="s">
        <v>59</v>
      </c>
      <c r="AC2033" t="s">
        <v>59</v>
      </c>
      <c r="AD2033" t="s">
        <v>59</v>
      </c>
      <c r="AF2033" s="1">
        <v>36042</v>
      </c>
      <c r="AG2033" t="s">
        <v>125</v>
      </c>
      <c r="AH2033" t="s">
        <v>126</v>
      </c>
      <c r="AI2033" t="str">
        <f>"1701054"</f>
        <v>1701054</v>
      </c>
      <c r="AJ2033" t="s">
        <v>318</v>
      </c>
      <c r="AK2033">
        <v>2810252418</v>
      </c>
      <c r="AL2033" t="s">
        <v>319</v>
      </c>
      <c r="AM2033" t="s">
        <v>78</v>
      </c>
      <c r="AN2033" t="s">
        <v>78</v>
      </c>
      <c r="AO2033" t="s">
        <v>78</v>
      </c>
      <c r="AP2033" t="s">
        <v>141</v>
      </c>
      <c r="AQ2033">
        <v>7</v>
      </c>
      <c r="AR2033" t="s">
        <v>123</v>
      </c>
      <c r="AS2033" t="s">
        <v>124</v>
      </c>
      <c r="AT2033" t="s">
        <v>58</v>
      </c>
      <c r="AU2033" t="s">
        <v>68</v>
      </c>
      <c r="AV2033" t="s">
        <v>69</v>
      </c>
      <c r="AW2033" s="1">
        <v>25680</v>
      </c>
      <c r="AX2033">
        <v>2</v>
      </c>
    </row>
    <row r="2034" spans="1:50">
      <c r="A2034">
        <v>213434</v>
      </c>
      <c r="B2034" t="str">
        <f>"103527574"</f>
        <v>103527574</v>
      </c>
      <c r="C2034" t="s">
        <v>50</v>
      </c>
      <c r="D2034" t="s">
        <v>4230</v>
      </c>
      <c r="E2034" t="s">
        <v>382</v>
      </c>
      <c r="F2034" t="s">
        <v>72</v>
      </c>
      <c r="G2034" t="s">
        <v>52</v>
      </c>
      <c r="H2034" t="str">
        <f>"ΤΗΛΕΜΑΧΟΥ ΠΛΕΥΡΗ 11 ΗΡΑΚΛΕΙΟ"</f>
        <v>ΤΗΛΕΜΑΧΟΥ ΠΛΕΥΡΗ 11 ΗΡΑΚΛΕΙΟ</v>
      </c>
      <c r="I2034">
        <v>71306</v>
      </c>
      <c r="J2034">
        <v>2810287631</v>
      </c>
      <c r="K2034">
        <v>6937064808</v>
      </c>
      <c r="L2034">
        <v>2810287631</v>
      </c>
      <c r="M2034" t="s">
        <v>4232</v>
      </c>
      <c r="N2034" t="s">
        <v>232</v>
      </c>
      <c r="O2034" t="s">
        <v>233</v>
      </c>
      <c r="R2034" t="s">
        <v>57</v>
      </c>
      <c r="S2034">
        <v>7</v>
      </c>
      <c r="T2034">
        <v>231</v>
      </c>
      <c r="U2034" s="1">
        <v>38960</v>
      </c>
      <c r="V2034" t="s">
        <v>123</v>
      </c>
      <c r="W2034" t="s">
        <v>124</v>
      </c>
      <c r="X2034" t="s">
        <v>58</v>
      </c>
      <c r="Y2034">
        <v>20</v>
      </c>
      <c r="Z2034" t="s">
        <v>59</v>
      </c>
      <c r="AA2034" t="s">
        <v>59</v>
      </c>
      <c r="AB2034" t="s">
        <v>59</v>
      </c>
      <c r="AC2034" t="s">
        <v>59</v>
      </c>
      <c r="AD2034" t="s">
        <v>59</v>
      </c>
      <c r="AF2034" s="1">
        <v>38961</v>
      </c>
      <c r="AG2034" t="s">
        <v>125</v>
      </c>
      <c r="AH2034" t="s">
        <v>126</v>
      </c>
      <c r="AI2034" t="str">
        <f>"1710010"</f>
        <v>1710010</v>
      </c>
      <c r="AJ2034" t="s">
        <v>595</v>
      </c>
      <c r="AK2034">
        <v>2810711220</v>
      </c>
      <c r="AL2034" t="s">
        <v>596</v>
      </c>
      <c r="AM2034" t="s">
        <v>78</v>
      </c>
      <c r="AN2034" t="s">
        <v>129</v>
      </c>
      <c r="AO2034" t="s">
        <v>597</v>
      </c>
      <c r="AP2034" t="s">
        <v>598</v>
      </c>
      <c r="AQ2034">
        <v>28</v>
      </c>
      <c r="AR2034" t="s">
        <v>123</v>
      </c>
      <c r="AS2034" t="s">
        <v>124</v>
      </c>
      <c r="AT2034" t="s">
        <v>58</v>
      </c>
      <c r="AU2034" t="s">
        <v>68</v>
      </c>
      <c r="AV2034" t="s">
        <v>69</v>
      </c>
      <c r="AW2034" s="1">
        <v>27668</v>
      </c>
      <c r="AX2034">
        <v>2</v>
      </c>
    </row>
    <row r="2035" spans="1:50">
      <c r="A2035">
        <v>220938</v>
      </c>
      <c r="B2035" t="str">
        <f>"047404857"</f>
        <v>047404857</v>
      </c>
      <c r="C2035" t="s">
        <v>50</v>
      </c>
      <c r="D2035" t="s">
        <v>4230</v>
      </c>
      <c r="E2035" t="s">
        <v>4089</v>
      </c>
      <c r="F2035" t="s">
        <v>53</v>
      </c>
      <c r="G2035" t="s">
        <v>250</v>
      </c>
      <c r="H2035" t="str">
        <f>" "</f>
        <v xml:space="preserve"> </v>
      </c>
      <c r="J2035">
        <v>2810252138</v>
      </c>
      <c r="K2035">
        <v>6942431962</v>
      </c>
      <c r="N2035" t="s">
        <v>765</v>
      </c>
      <c r="O2035" t="s">
        <v>766</v>
      </c>
      <c r="R2035" t="s">
        <v>57</v>
      </c>
      <c r="S2035">
        <v>5</v>
      </c>
      <c r="T2035">
        <v>687</v>
      </c>
      <c r="U2035" s="1">
        <v>39330</v>
      </c>
      <c r="V2035" t="s">
        <v>123</v>
      </c>
      <c r="W2035" t="s">
        <v>124</v>
      </c>
      <c r="X2035" t="s">
        <v>58</v>
      </c>
      <c r="Y2035">
        <v>20</v>
      </c>
      <c r="Z2035" t="s">
        <v>59</v>
      </c>
      <c r="AA2035" t="s">
        <v>59</v>
      </c>
      <c r="AB2035" t="s">
        <v>59</v>
      </c>
      <c r="AC2035" t="s">
        <v>59</v>
      </c>
      <c r="AD2035" t="s">
        <v>59</v>
      </c>
      <c r="AF2035" s="1">
        <v>39332</v>
      </c>
      <c r="AG2035" t="s">
        <v>60</v>
      </c>
      <c r="AH2035" t="s">
        <v>453</v>
      </c>
      <c r="AI2035" t="str">
        <f>"1700105"</f>
        <v>1700105</v>
      </c>
      <c r="AJ2035" t="s">
        <v>124</v>
      </c>
      <c r="AK2035">
        <v>2810333720</v>
      </c>
      <c r="AL2035" t="s">
        <v>454</v>
      </c>
      <c r="AM2035" t="s">
        <v>78</v>
      </c>
      <c r="AN2035" t="s">
        <v>78</v>
      </c>
      <c r="AO2035" t="s">
        <v>78</v>
      </c>
      <c r="AP2035" t="s">
        <v>79</v>
      </c>
      <c r="AS2035" t="s">
        <v>124</v>
      </c>
      <c r="AT2035" t="s">
        <v>58</v>
      </c>
      <c r="AU2035" t="s">
        <v>68</v>
      </c>
      <c r="AV2035" t="s">
        <v>455</v>
      </c>
      <c r="AW2035" s="1">
        <v>27395</v>
      </c>
      <c r="AX2035">
        <v>2</v>
      </c>
    </row>
    <row r="2036" spans="1:50">
      <c r="B2036" t="str">
        <f>"127487959"</f>
        <v>127487959</v>
      </c>
      <c r="C2036" t="s">
        <v>50</v>
      </c>
      <c r="D2036" t="s">
        <v>4230</v>
      </c>
      <c r="E2036" t="s">
        <v>109</v>
      </c>
      <c r="F2036" t="s">
        <v>92</v>
      </c>
      <c r="G2036" t="s">
        <v>52</v>
      </c>
      <c r="H2036" t="str">
        <f>"ΦΛΕΜΙΝΓΚ 6 "</f>
        <v xml:space="preserve">ΦΛΕΜΙΝΓΚ 6 </v>
      </c>
      <c r="I2036">
        <v>71410</v>
      </c>
      <c r="J2036">
        <v>2894041520</v>
      </c>
      <c r="K2036">
        <v>6947090540</v>
      </c>
      <c r="N2036" t="s">
        <v>299</v>
      </c>
      <c r="O2036" t="s">
        <v>300</v>
      </c>
      <c r="R2036" t="s">
        <v>159</v>
      </c>
      <c r="S2036">
        <v>3</v>
      </c>
      <c r="T2036" t="s">
        <v>574</v>
      </c>
      <c r="U2036" s="1">
        <v>43378</v>
      </c>
      <c r="V2036" t="s">
        <v>123</v>
      </c>
      <c r="W2036" t="s">
        <v>124</v>
      </c>
      <c r="X2036" t="s">
        <v>58</v>
      </c>
      <c r="Y2036">
        <v>23</v>
      </c>
      <c r="Z2036" t="s">
        <v>59</v>
      </c>
      <c r="AA2036" t="s">
        <v>59</v>
      </c>
      <c r="AB2036" t="s">
        <v>59</v>
      </c>
      <c r="AC2036" t="s">
        <v>59</v>
      </c>
      <c r="AD2036" t="s">
        <v>59</v>
      </c>
      <c r="AF2036" s="1">
        <v>43381</v>
      </c>
      <c r="AG2036" t="s">
        <v>148</v>
      </c>
      <c r="AH2036" t="s">
        <v>149</v>
      </c>
      <c r="AI2036" t="str">
        <f>"1763010"</f>
        <v>1763010</v>
      </c>
      <c r="AJ2036" t="s">
        <v>560</v>
      </c>
      <c r="AK2036">
        <v>2892051146</v>
      </c>
      <c r="AL2036" t="s">
        <v>561</v>
      </c>
      <c r="AM2036" t="s">
        <v>78</v>
      </c>
      <c r="AN2036" t="s">
        <v>242</v>
      </c>
      <c r="AO2036" t="s">
        <v>349</v>
      </c>
      <c r="AP2036" t="s">
        <v>349</v>
      </c>
      <c r="AQ2036">
        <v>35</v>
      </c>
      <c r="AR2036" t="s">
        <v>123</v>
      </c>
      <c r="AS2036" t="s">
        <v>124</v>
      </c>
      <c r="AT2036" t="s">
        <v>58</v>
      </c>
      <c r="AU2036" t="s">
        <v>164</v>
      </c>
      <c r="AV2036" t="s">
        <v>132</v>
      </c>
      <c r="AW2036" s="1">
        <v>31487</v>
      </c>
      <c r="AX2036">
        <v>2</v>
      </c>
    </row>
    <row r="2037" spans="1:50">
      <c r="A2037">
        <v>702813</v>
      </c>
      <c r="B2037" t="str">
        <f>"119691590"</f>
        <v>119691590</v>
      </c>
      <c r="C2037" t="s">
        <v>50</v>
      </c>
      <c r="D2037" t="s">
        <v>4230</v>
      </c>
      <c r="E2037" t="s">
        <v>52</v>
      </c>
      <c r="F2037" t="s">
        <v>377</v>
      </c>
      <c r="G2037" t="s">
        <v>3477</v>
      </c>
      <c r="H2037" t="str">
        <f>"Καρδίτσας 9 Ξηροπόταμος Ηράκλειο"</f>
        <v>Καρδίτσας 9 Ξηροπόταμος Ηράκλειο</v>
      </c>
      <c r="I2037">
        <v>71303</v>
      </c>
      <c r="J2037">
        <v>2810263571</v>
      </c>
      <c r="K2037">
        <v>6933123124</v>
      </c>
      <c r="M2037" t="s">
        <v>4233</v>
      </c>
      <c r="N2037" t="s">
        <v>55</v>
      </c>
      <c r="O2037" t="s">
        <v>56</v>
      </c>
      <c r="R2037" t="s">
        <v>57</v>
      </c>
      <c r="S2037">
        <v>4</v>
      </c>
      <c r="T2037">
        <v>1208</v>
      </c>
      <c r="U2037" s="1">
        <v>40533</v>
      </c>
      <c r="V2037" t="s">
        <v>123</v>
      </c>
      <c r="W2037" t="s">
        <v>124</v>
      </c>
      <c r="X2037" t="s">
        <v>58</v>
      </c>
      <c r="Y2037">
        <v>24</v>
      </c>
      <c r="Z2037" t="s">
        <v>59</v>
      </c>
      <c r="AA2037" t="s">
        <v>59</v>
      </c>
      <c r="AB2037" t="s">
        <v>59</v>
      </c>
      <c r="AC2037" t="s">
        <v>59</v>
      </c>
      <c r="AD2037" t="s">
        <v>59</v>
      </c>
      <c r="AF2037" s="1">
        <v>40542</v>
      </c>
      <c r="AG2037" t="s">
        <v>125</v>
      </c>
      <c r="AH2037" t="s">
        <v>538</v>
      </c>
      <c r="AI2037" t="str">
        <f>"1701002"</f>
        <v>1701002</v>
      </c>
      <c r="AJ2037" t="s">
        <v>539</v>
      </c>
      <c r="AK2037">
        <v>2810213569</v>
      </c>
      <c r="AL2037" t="s">
        <v>540</v>
      </c>
      <c r="AM2037" t="s">
        <v>78</v>
      </c>
      <c r="AN2037" t="s">
        <v>78</v>
      </c>
      <c r="AO2037" t="s">
        <v>78</v>
      </c>
      <c r="AP2037" t="s">
        <v>163</v>
      </c>
      <c r="AQ2037">
        <v>11</v>
      </c>
      <c r="AR2037" t="s">
        <v>123</v>
      </c>
      <c r="AS2037" t="s">
        <v>124</v>
      </c>
      <c r="AT2037" t="s">
        <v>58</v>
      </c>
      <c r="AU2037" t="s">
        <v>68</v>
      </c>
      <c r="AV2037" t="s">
        <v>69</v>
      </c>
      <c r="AW2037" s="1">
        <v>28669</v>
      </c>
      <c r="AX2037">
        <v>2</v>
      </c>
    </row>
    <row r="2038" spans="1:50">
      <c r="B2038" t="str">
        <f>"123666960"</f>
        <v>123666960</v>
      </c>
      <c r="C2038" t="s">
        <v>50</v>
      </c>
      <c r="D2038" t="s">
        <v>4230</v>
      </c>
      <c r="E2038" t="s">
        <v>181</v>
      </c>
      <c r="F2038" t="s">
        <v>99</v>
      </c>
      <c r="G2038" t="s">
        <v>52</v>
      </c>
      <c r="H2038" t="str">
        <f>"ΣΚΟΡΔΗΛΙΔΩΝ 8 ΜΟΙΡΕΣ"</f>
        <v>ΣΚΟΡΔΗΛΙΔΩΝ 8 ΜΟΙΡΕΣ</v>
      </c>
      <c r="I2038">
        <v>70400</v>
      </c>
      <c r="J2038">
        <v>2892023994</v>
      </c>
      <c r="K2038">
        <v>6932665197</v>
      </c>
      <c r="M2038" t="s">
        <v>4234</v>
      </c>
      <c r="N2038" t="s">
        <v>146</v>
      </c>
      <c r="O2038" t="s">
        <v>147</v>
      </c>
      <c r="R2038" t="s">
        <v>121</v>
      </c>
      <c r="S2038">
        <v>1</v>
      </c>
      <c r="T2038" t="s">
        <v>416</v>
      </c>
      <c r="U2038" s="1">
        <v>43349</v>
      </c>
      <c r="V2038" t="s">
        <v>123</v>
      </c>
      <c r="W2038" t="s">
        <v>124</v>
      </c>
      <c r="X2038" t="s">
        <v>58</v>
      </c>
      <c r="Y2038">
        <v>23</v>
      </c>
      <c r="Z2038" t="s">
        <v>59</v>
      </c>
      <c r="AA2038" t="s">
        <v>59</v>
      </c>
      <c r="AB2038" t="s">
        <v>59</v>
      </c>
      <c r="AC2038" t="s">
        <v>59</v>
      </c>
      <c r="AD2038" t="s">
        <v>59</v>
      </c>
      <c r="AF2038" s="1">
        <v>43349</v>
      </c>
      <c r="AG2038" t="s">
        <v>148</v>
      </c>
      <c r="AH2038" t="s">
        <v>149</v>
      </c>
      <c r="AI2038" t="str">
        <f>"1756010"</f>
        <v>1756010</v>
      </c>
      <c r="AJ2038" t="s">
        <v>874</v>
      </c>
      <c r="AK2038">
        <v>2892022976</v>
      </c>
      <c r="AL2038" t="s">
        <v>875</v>
      </c>
      <c r="AM2038" t="s">
        <v>78</v>
      </c>
      <c r="AN2038" t="s">
        <v>242</v>
      </c>
      <c r="AO2038" t="s">
        <v>243</v>
      </c>
      <c r="AP2038" t="s">
        <v>243</v>
      </c>
      <c r="AQ2038">
        <v>33</v>
      </c>
      <c r="AR2038" t="s">
        <v>123</v>
      </c>
      <c r="AS2038" t="s">
        <v>124</v>
      </c>
      <c r="AT2038" t="s">
        <v>58</v>
      </c>
      <c r="AU2038" t="s">
        <v>419</v>
      </c>
      <c r="AV2038" t="s">
        <v>132</v>
      </c>
      <c r="AW2038" s="1">
        <v>29124</v>
      </c>
      <c r="AX2038">
        <v>2</v>
      </c>
    </row>
    <row r="2039" spans="1:50">
      <c r="A2039">
        <v>153293</v>
      </c>
      <c r="B2039" t="str">
        <f>"030974653"</f>
        <v>030974653</v>
      </c>
      <c r="C2039" t="s">
        <v>105</v>
      </c>
      <c r="D2039" t="s">
        <v>4235</v>
      </c>
      <c r="E2039" t="s">
        <v>72</v>
      </c>
      <c r="F2039" t="s">
        <v>53</v>
      </c>
      <c r="G2039" t="s">
        <v>250</v>
      </c>
      <c r="H2039" t="str">
        <f>"ΚΑΠΑΡΙΑΝΑ "</f>
        <v xml:space="preserve">ΚΑΠΑΡΙΑΝΑ </v>
      </c>
      <c r="I2039">
        <v>70400</v>
      </c>
      <c r="J2039">
        <v>2892024273</v>
      </c>
      <c r="K2039">
        <v>6974771822</v>
      </c>
      <c r="M2039" t="s">
        <v>4236</v>
      </c>
      <c r="N2039" t="s">
        <v>176</v>
      </c>
      <c r="O2039" t="s">
        <v>177</v>
      </c>
      <c r="R2039" t="s">
        <v>57</v>
      </c>
      <c r="S2039">
        <v>18</v>
      </c>
      <c r="T2039">
        <v>166</v>
      </c>
      <c r="U2039" s="1">
        <v>32010</v>
      </c>
      <c r="V2039" t="s">
        <v>123</v>
      </c>
      <c r="W2039" t="s">
        <v>124</v>
      </c>
      <c r="X2039" t="s">
        <v>58</v>
      </c>
      <c r="Y2039">
        <v>18</v>
      </c>
      <c r="Z2039" t="s">
        <v>59</v>
      </c>
      <c r="AA2039" t="s">
        <v>59</v>
      </c>
      <c r="AB2039" t="s">
        <v>59</v>
      </c>
      <c r="AC2039" t="s">
        <v>59</v>
      </c>
      <c r="AD2039" t="s">
        <v>59</v>
      </c>
      <c r="AF2039" s="1">
        <v>32023</v>
      </c>
      <c r="AG2039" t="s">
        <v>125</v>
      </c>
      <c r="AH2039" t="s">
        <v>126</v>
      </c>
      <c r="AI2039" t="str">
        <f>"1706010"</f>
        <v>1706010</v>
      </c>
      <c r="AJ2039" t="s">
        <v>391</v>
      </c>
      <c r="AK2039">
        <v>2892022286</v>
      </c>
      <c r="AL2039" t="s">
        <v>392</v>
      </c>
      <c r="AM2039" t="s">
        <v>78</v>
      </c>
      <c r="AN2039" t="s">
        <v>242</v>
      </c>
      <c r="AO2039" t="s">
        <v>243</v>
      </c>
      <c r="AP2039" t="s">
        <v>243</v>
      </c>
      <c r="AQ2039">
        <v>33</v>
      </c>
      <c r="AR2039" t="s">
        <v>123</v>
      </c>
      <c r="AS2039" t="s">
        <v>124</v>
      </c>
      <c r="AT2039" t="s">
        <v>58</v>
      </c>
      <c r="AU2039" t="s">
        <v>68</v>
      </c>
      <c r="AV2039" t="s">
        <v>69</v>
      </c>
      <c r="AW2039" s="1">
        <v>21723</v>
      </c>
      <c r="AX2039">
        <v>2</v>
      </c>
    </row>
    <row r="2040" spans="1:50">
      <c r="A2040">
        <v>214370</v>
      </c>
      <c r="B2040" t="str">
        <f>"079937400"</f>
        <v>079937400</v>
      </c>
      <c r="C2040" t="s">
        <v>105</v>
      </c>
      <c r="D2040" t="s">
        <v>4235</v>
      </c>
      <c r="E2040" t="s">
        <v>53</v>
      </c>
      <c r="F2040" t="s">
        <v>311</v>
      </c>
      <c r="G2040" t="s">
        <v>52</v>
      </c>
      <c r="H2040" t="str">
        <f>" "</f>
        <v xml:space="preserve"> </v>
      </c>
      <c r="J2040">
        <v>2810731247</v>
      </c>
      <c r="K2040">
        <v>6978141227</v>
      </c>
      <c r="M2040" t="s">
        <v>4237</v>
      </c>
      <c r="N2040" t="s">
        <v>299</v>
      </c>
      <c r="O2040" t="s">
        <v>300</v>
      </c>
      <c r="R2040" t="s">
        <v>57</v>
      </c>
      <c r="S2040">
        <v>7</v>
      </c>
      <c r="T2040">
        <v>231</v>
      </c>
      <c r="U2040" s="1">
        <v>38960</v>
      </c>
      <c r="V2040" t="s">
        <v>123</v>
      </c>
      <c r="W2040" t="s">
        <v>124</v>
      </c>
      <c r="X2040" t="s">
        <v>58</v>
      </c>
      <c r="Y2040">
        <v>20</v>
      </c>
      <c r="Z2040" t="s">
        <v>59</v>
      </c>
      <c r="AA2040" t="s">
        <v>59</v>
      </c>
      <c r="AB2040" t="s">
        <v>59</v>
      </c>
      <c r="AC2040" t="s">
        <v>59</v>
      </c>
      <c r="AD2040" t="s">
        <v>59</v>
      </c>
      <c r="AF2040" s="1">
        <v>38961</v>
      </c>
      <c r="AG2040" t="s">
        <v>137</v>
      </c>
      <c r="AH2040" t="s">
        <v>138</v>
      </c>
      <c r="AI2040" t="str">
        <f>"1740300"</f>
        <v>1740300</v>
      </c>
      <c r="AJ2040" t="s">
        <v>1274</v>
      </c>
      <c r="AK2040">
        <v>2892022100</v>
      </c>
      <c r="AL2040" t="s">
        <v>1275</v>
      </c>
      <c r="AM2040" t="s">
        <v>78</v>
      </c>
      <c r="AN2040" t="s">
        <v>242</v>
      </c>
      <c r="AO2040" t="s">
        <v>243</v>
      </c>
      <c r="AP2040" t="s">
        <v>243</v>
      </c>
      <c r="AQ2040">
        <v>33</v>
      </c>
      <c r="AR2040" t="s">
        <v>123</v>
      </c>
      <c r="AS2040" t="s">
        <v>124</v>
      </c>
      <c r="AT2040" t="s">
        <v>58</v>
      </c>
      <c r="AU2040" t="s">
        <v>68</v>
      </c>
      <c r="AV2040" t="s">
        <v>69</v>
      </c>
      <c r="AW2040" s="1">
        <v>26238</v>
      </c>
      <c r="AX2040">
        <v>2</v>
      </c>
    </row>
    <row r="2041" spans="1:50">
      <c r="A2041">
        <v>229203</v>
      </c>
      <c r="B2041" t="str">
        <f>"119668783"</f>
        <v>119668783</v>
      </c>
      <c r="C2041" t="s">
        <v>50</v>
      </c>
      <c r="D2041" t="s">
        <v>4238</v>
      </c>
      <c r="E2041" t="s">
        <v>143</v>
      </c>
      <c r="F2041" t="s">
        <v>1493</v>
      </c>
      <c r="G2041" t="s">
        <v>52</v>
      </c>
      <c r="H2041" t="str">
        <f>"ΕΜΜΑΝΟΥΗΛ ΠΕΤΡΑΚΗ 11 "</f>
        <v xml:space="preserve">ΕΜΜΑΝΟΥΗΛ ΠΕΤΡΑΚΗ 11 </v>
      </c>
      <c r="I2041">
        <v>71409</v>
      </c>
      <c r="J2041">
        <v>2810235087</v>
      </c>
      <c r="K2041">
        <v>6972437637</v>
      </c>
      <c r="M2041" t="s">
        <v>4239</v>
      </c>
      <c r="N2041" t="s">
        <v>306</v>
      </c>
      <c r="O2041" t="s">
        <v>307</v>
      </c>
      <c r="R2041" t="s">
        <v>57</v>
      </c>
      <c r="S2041">
        <v>7</v>
      </c>
      <c r="T2041">
        <v>720</v>
      </c>
      <c r="U2041" s="1">
        <v>40059</v>
      </c>
      <c r="V2041" t="s">
        <v>123</v>
      </c>
      <c r="W2041" t="s">
        <v>124</v>
      </c>
      <c r="X2041" t="s">
        <v>58</v>
      </c>
      <c r="Y2041">
        <v>21</v>
      </c>
      <c r="Z2041" t="s">
        <v>59</v>
      </c>
      <c r="AA2041" t="s">
        <v>59</v>
      </c>
      <c r="AB2041" t="s">
        <v>59</v>
      </c>
      <c r="AC2041" t="s">
        <v>59</v>
      </c>
      <c r="AD2041" t="s">
        <v>59</v>
      </c>
      <c r="AF2041" s="1">
        <v>40060</v>
      </c>
      <c r="AG2041" t="s">
        <v>125</v>
      </c>
      <c r="AH2041" t="s">
        <v>126</v>
      </c>
      <c r="AI2041" t="str">
        <f>"1707010"</f>
        <v>1707010</v>
      </c>
      <c r="AJ2041" t="s">
        <v>757</v>
      </c>
      <c r="AK2041">
        <v>2892041211</v>
      </c>
      <c r="AL2041" t="s">
        <v>758</v>
      </c>
      <c r="AM2041" t="s">
        <v>78</v>
      </c>
      <c r="AN2041" t="s">
        <v>242</v>
      </c>
      <c r="AO2041" t="s">
        <v>243</v>
      </c>
      <c r="AP2041" t="s">
        <v>244</v>
      </c>
      <c r="AQ2041">
        <v>34</v>
      </c>
      <c r="AR2041" t="s">
        <v>123</v>
      </c>
      <c r="AS2041" t="s">
        <v>124</v>
      </c>
      <c r="AT2041" t="s">
        <v>58</v>
      </c>
      <c r="AU2041" t="s">
        <v>68</v>
      </c>
      <c r="AV2041" t="s">
        <v>69</v>
      </c>
      <c r="AW2041" s="1">
        <v>29370</v>
      </c>
      <c r="AX2041">
        <v>2</v>
      </c>
    </row>
    <row r="2042" spans="1:50">
      <c r="A2042">
        <v>214371</v>
      </c>
      <c r="B2042" t="str">
        <f>"070950717"</f>
        <v>070950717</v>
      </c>
      <c r="C2042" t="s">
        <v>105</v>
      </c>
      <c r="D2042" t="s">
        <v>4240</v>
      </c>
      <c r="E2042" t="s">
        <v>92</v>
      </c>
      <c r="F2042" t="s">
        <v>95</v>
      </c>
      <c r="G2042" t="s">
        <v>250</v>
      </c>
      <c r="H2042" t="str">
        <f>"ΓΟΥΡΝΕΣ ΠΕΔΙΑΔΟΣ ΓΟΥΒΕΣ"</f>
        <v>ΓΟΥΡΝΕΣ ΠΕΔΙΑΔΟΣ ΓΟΥΒΕΣ</v>
      </c>
      <c r="I2042">
        <v>70014</v>
      </c>
      <c r="J2042">
        <v>2810236724</v>
      </c>
      <c r="K2042">
        <v>6979808996</v>
      </c>
      <c r="L2042">
        <v>6974932423</v>
      </c>
      <c r="M2042" t="s">
        <v>4241</v>
      </c>
      <c r="N2042" t="s">
        <v>299</v>
      </c>
      <c r="O2042" t="s">
        <v>300</v>
      </c>
      <c r="R2042" t="s">
        <v>57</v>
      </c>
      <c r="S2042">
        <v>7</v>
      </c>
      <c r="T2042">
        <v>231</v>
      </c>
      <c r="U2042" s="1">
        <v>38960</v>
      </c>
      <c r="V2042" t="s">
        <v>123</v>
      </c>
      <c r="W2042" t="s">
        <v>124</v>
      </c>
      <c r="X2042" t="s">
        <v>58</v>
      </c>
      <c r="Y2042">
        <v>20</v>
      </c>
      <c r="Z2042" t="s">
        <v>59</v>
      </c>
      <c r="AA2042" t="s">
        <v>59</v>
      </c>
      <c r="AB2042" t="s">
        <v>59</v>
      </c>
      <c r="AC2042" t="s">
        <v>59</v>
      </c>
      <c r="AD2042" t="s">
        <v>59</v>
      </c>
      <c r="AF2042" s="1">
        <v>38961</v>
      </c>
      <c r="AG2042" t="s">
        <v>148</v>
      </c>
      <c r="AH2042" t="s">
        <v>149</v>
      </c>
      <c r="AI2042" t="str">
        <f>"1765010"</f>
        <v>1765010</v>
      </c>
      <c r="AJ2042" t="s">
        <v>803</v>
      </c>
      <c r="AK2042">
        <v>2893031093</v>
      </c>
      <c r="AL2042" t="s">
        <v>804</v>
      </c>
      <c r="AM2042" t="s">
        <v>78</v>
      </c>
      <c r="AN2042" t="s">
        <v>405</v>
      </c>
      <c r="AO2042" t="s">
        <v>805</v>
      </c>
      <c r="AP2042" t="s">
        <v>806</v>
      </c>
      <c r="AQ2042">
        <v>25</v>
      </c>
      <c r="AR2042" t="s">
        <v>123</v>
      </c>
      <c r="AS2042" t="s">
        <v>124</v>
      </c>
      <c r="AT2042" t="s">
        <v>58</v>
      </c>
      <c r="AU2042" t="s">
        <v>68</v>
      </c>
      <c r="AV2042" t="s">
        <v>69</v>
      </c>
      <c r="AW2042" s="1">
        <v>29174</v>
      </c>
      <c r="AX2042">
        <v>2</v>
      </c>
    </row>
    <row r="2043" spans="1:50">
      <c r="A2043">
        <v>166188</v>
      </c>
      <c r="B2043" t="str">
        <f>"079560455"</f>
        <v>079560455</v>
      </c>
      <c r="C2043" t="s">
        <v>50</v>
      </c>
      <c r="D2043" t="s">
        <v>4242</v>
      </c>
      <c r="E2043" t="s">
        <v>250</v>
      </c>
      <c r="F2043" t="s">
        <v>106</v>
      </c>
      <c r="G2043" t="s">
        <v>396</v>
      </c>
      <c r="H2043" t="str">
        <f>" "</f>
        <v xml:space="preserve"> </v>
      </c>
      <c r="M2043" t="s">
        <v>4243</v>
      </c>
      <c r="N2043" t="s">
        <v>232</v>
      </c>
      <c r="O2043" t="s">
        <v>233</v>
      </c>
      <c r="R2043" t="s">
        <v>57</v>
      </c>
      <c r="S2043">
        <v>12</v>
      </c>
      <c r="T2043">
        <v>137</v>
      </c>
      <c r="U2043" s="1">
        <v>34206</v>
      </c>
      <c r="V2043" t="s">
        <v>123</v>
      </c>
      <c r="W2043" t="s">
        <v>124</v>
      </c>
      <c r="X2043" t="s">
        <v>58</v>
      </c>
      <c r="Y2043">
        <v>18</v>
      </c>
      <c r="Z2043" t="s">
        <v>59</v>
      </c>
      <c r="AA2043" t="s">
        <v>59</v>
      </c>
      <c r="AB2043" t="s">
        <v>59</v>
      </c>
      <c r="AC2043" t="s">
        <v>59</v>
      </c>
      <c r="AD2043" t="s">
        <v>59</v>
      </c>
      <c r="AF2043" s="1">
        <v>34214</v>
      </c>
      <c r="AG2043" t="s">
        <v>148</v>
      </c>
      <c r="AH2043" t="s">
        <v>149</v>
      </c>
      <c r="AI2043" t="str">
        <f>"1790070"</f>
        <v>1790070</v>
      </c>
      <c r="AJ2043" t="s">
        <v>1283</v>
      </c>
      <c r="AK2043">
        <v>2810252154</v>
      </c>
      <c r="AL2043" t="s">
        <v>1284</v>
      </c>
      <c r="AM2043" t="s">
        <v>78</v>
      </c>
      <c r="AN2043" t="s">
        <v>78</v>
      </c>
      <c r="AO2043" t="s">
        <v>78</v>
      </c>
      <c r="AP2043" t="s">
        <v>141</v>
      </c>
      <c r="AQ2043">
        <v>7</v>
      </c>
      <c r="AR2043" t="s">
        <v>123</v>
      </c>
      <c r="AS2043" t="s">
        <v>124</v>
      </c>
      <c r="AT2043" t="s">
        <v>58</v>
      </c>
      <c r="AU2043" t="s">
        <v>68</v>
      </c>
      <c r="AV2043" t="s">
        <v>69</v>
      </c>
      <c r="AW2043" s="1">
        <v>21565</v>
      </c>
      <c r="AX2043">
        <v>2</v>
      </c>
    </row>
    <row r="2044" spans="1:50">
      <c r="A2044">
        <v>220827</v>
      </c>
      <c r="B2044" t="str">
        <f>"103849711"</f>
        <v>103849711</v>
      </c>
      <c r="C2044" t="s">
        <v>50</v>
      </c>
      <c r="D2044" t="s">
        <v>4242</v>
      </c>
      <c r="E2044" t="s">
        <v>215</v>
      </c>
      <c r="F2044" t="s">
        <v>782</v>
      </c>
      <c r="G2044" t="s">
        <v>4244</v>
      </c>
      <c r="H2044" t="str">
        <f>"ΛΙΣΣΟΥ 14 ΘΕΡΙΣΣΟΣ"</f>
        <v>ΛΙΣΣΟΥ 14 ΘΕΡΙΣΣΟΣ</v>
      </c>
      <c r="I2044">
        <v>71304</v>
      </c>
      <c r="J2044">
        <v>2810259011</v>
      </c>
      <c r="K2044">
        <v>6974759145</v>
      </c>
      <c r="L2044">
        <v>2810711220</v>
      </c>
      <c r="M2044" t="s">
        <v>4245</v>
      </c>
      <c r="N2044" t="s">
        <v>288</v>
      </c>
      <c r="O2044" t="s">
        <v>289</v>
      </c>
      <c r="R2044" t="s">
        <v>57</v>
      </c>
      <c r="S2044">
        <v>6</v>
      </c>
      <c r="T2044">
        <v>681</v>
      </c>
      <c r="U2044" s="1">
        <v>39325</v>
      </c>
      <c r="V2044" t="s">
        <v>123</v>
      </c>
      <c r="W2044" t="s">
        <v>124</v>
      </c>
      <c r="X2044" t="s">
        <v>58</v>
      </c>
      <c r="Y2044">
        <v>20</v>
      </c>
      <c r="Z2044" t="s">
        <v>59</v>
      </c>
      <c r="AA2044" t="s">
        <v>59</v>
      </c>
      <c r="AB2044" t="s">
        <v>59</v>
      </c>
      <c r="AC2044" t="s">
        <v>59</v>
      </c>
      <c r="AD2044" t="s">
        <v>59</v>
      </c>
      <c r="AF2044" s="1">
        <v>39329</v>
      </c>
      <c r="AG2044" t="s">
        <v>125</v>
      </c>
      <c r="AH2044" t="s">
        <v>126</v>
      </c>
      <c r="AI2044" t="str">
        <f>"1710010"</f>
        <v>1710010</v>
      </c>
      <c r="AJ2044" t="s">
        <v>595</v>
      </c>
      <c r="AK2044">
        <v>2810711220</v>
      </c>
      <c r="AL2044" t="s">
        <v>596</v>
      </c>
      <c r="AM2044" t="s">
        <v>78</v>
      </c>
      <c r="AN2044" t="s">
        <v>129</v>
      </c>
      <c r="AO2044" t="s">
        <v>597</v>
      </c>
      <c r="AP2044" t="s">
        <v>598</v>
      </c>
      <c r="AQ2044">
        <v>28</v>
      </c>
      <c r="AR2044" t="s">
        <v>123</v>
      </c>
      <c r="AS2044" t="s">
        <v>124</v>
      </c>
      <c r="AT2044" t="s">
        <v>58</v>
      </c>
      <c r="AU2044" t="s">
        <v>68</v>
      </c>
      <c r="AV2044" t="s">
        <v>69</v>
      </c>
      <c r="AW2044" s="1">
        <v>26903</v>
      </c>
      <c r="AX2044">
        <v>2</v>
      </c>
    </row>
    <row r="2045" spans="1:50">
      <c r="A2045">
        <v>178288</v>
      </c>
      <c r="B2045" t="str">
        <f>"027907967"</f>
        <v>027907967</v>
      </c>
      <c r="C2045" t="s">
        <v>50</v>
      </c>
      <c r="D2045" t="s">
        <v>4246</v>
      </c>
      <c r="E2045" t="s">
        <v>114</v>
      </c>
      <c r="F2045" t="s">
        <v>106</v>
      </c>
      <c r="G2045" t="s">
        <v>52</v>
      </c>
      <c r="H2045" t="str">
        <f>"ΣΟΛΩΝΟΣ, 227 ΗΡΑΚΛΕΙΟ"</f>
        <v>ΣΟΛΩΝΟΣ, 227 ΗΡΑΚΛΕΙΟ</v>
      </c>
      <c r="I2045">
        <v>71409</v>
      </c>
      <c r="J2045">
        <v>2810212078</v>
      </c>
      <c r="K2045">
        <v>6947605041</v>
      </c>
      <c r="M2045" t="s">
        <v>4247</v>
      </c>
      <c r="N2045" t="s">
        <v>204</v>
      </c>
      <c r="O2045" t="s">
        <v>205</v>
      </c>
      <c r="P2045" t="s">
        <v>292</v>
      </c>
      <c r="Q2045" t="s">
        <v>293</v>
      </c>
      <c r="R2045" t="s">
        <v>57</v>
      </c>
      <c r="S2045">
        <v>12</v>
      </c>
      <c r="T2045">
        <v>180</v>
      </c>
      <c r="U2045" s="1">
        <v>35674</v>
      </c>
      <c r="V2045" t="s">
        <v>123</v>
      </c>
      <c r="W2045" t="s">
        <v>124</v>
      </c>
      <c r="X2045" t="s">
        <v>58</v>
      </c>
      <c r="Y2045">
        <v>18</v>
      </c>
      <c r="Z2045" t="s">
        <v>59</v>
      </c>
      <c r="AA2045" t="s">
        <v>59</v>
      </c>
      <c r="AB2045" t="s">
        <v>59</v>
      </c>
      <c r="AC2045" t="s">
        <v>59</v>
      </c>
      <c r="AD2045" t="s">
        <v>59</v>
      </c>
      <c r="AF2045" s="1">
        <v>35674</v>
      </c>
      <c r="AG2045" t="s">
        <v>125</v>
      </c>
      <c r="AH2045" t="s">
        <v>126</v>
      </c>
      <c r="AI2045" t="str">
        <f>"1701041"</f>
        <v>1701041</v>
      </c>
      <c r="AJ2045" t="s">
        <v>161</v>
      </c>
      <c r="AK2045">
        <v>2810327052</v>
      </c>
      <c r="AL2045" t="s">
        <v>162</v>
      </c>
      <c r="AM2045" t="s">
        <v>78</v>
      </c>
      <c r="AN2045" t="s">
        <v>78</v>
      </c>
      <c r="AO2045" t="s">
        <v>78</v>
      </c>
      <c r="AP2045" t="s">
        <v>163</v>
      </c>
      <c r="AQ2045">
        <v>5</v>
      </c>
      <c r="AR2045" t="s">
        <v>123</v>
      </c>
      <c r="AS2045" t="s">
        <v>124</v>
      </c>
      <c r="AT2045" t="s">
        <v>58</v>
      </c>
      <c r="AU2045" t="s">
        <v>68</v>
      </c>
      <c r="AV2045" t="s">
        <v>69</v>
      </c>
      <c r="AW2045" s="1">
        <v>20999</v>
      </c>
      <c r="AX2045">
        <v>2</v>
      </c>
    </row>
    <row r="2046" spans="1:50">
      <c r="A2046">
        <v>179845</v>
      </c>
      <c r="B2046" t="str">
        <f>"036149560"</f>
        <v>036149560</v>
      </c>
      <c r="C2046" t="s">
        <v>50</v>
      </c>
      <c r="D2046" t="s">
        <v>4248</v>
      </c>
      <c r="E2046" t="s">
        <v>671</v>
      </c>
      <c r="F2046" t="s">
        <v>166</v>
      </c>
      <c r="G2046" t="s">
        <v>52</v>
      </c>
      <c r="H2046" t="str">
        <f>"ΦΡΑΓΚ. ΛΕΟΝΤΑΡΙΤΗ 9 "</f>
        <v xml:space="preserve">ΦΡΑΓΚ. ΛΕΟΝΤΑΡΙΤΗ 9 </v>
      </c>
      <c r="I2046">
        <v>71410</v>
      </c>
      <c r="J2046">
        <v>2810261731</v>
      </c>
      <c r="K2046">
        <v>6974930665</v>
      </c>
      <c r="M2046" t="s">
        <v>4249</v>
      </c>
      <c r="N2046" t="s">
        <v>146</v>
      </c>
      <c r="O2046" t="s">
        <v>147</v>
      </c>
      <c r="R2046" t="s">
        <v>57</v>
      </c>
      <c r="S2046">
        <v>12</v>
      </c>
      <c r="T2046">
        <v>164</v>
      </c>
      <c r="U2046" s="1">
        <v>36040</v>
      </c>
      <c r="V2046" t="s">
        <v>123</v>
      </c>
      <c r="W2046" t="s">
        <v>124</v>
      </c>
      <c r="X2046" t="s">
        <v>58</v>
      </c>
      <c r="Y2046">
        <v>18</v>
      </c>
      <c r="Z2046" t="s">
        <v>59</v>
      </c>
      <c r="AA2046" t="s">
        <v>59</v>
      </c>
      <c r="AB2046" t="s">
        <v>59</v>
      </c>
      <c r="AC2046" t="s">
        <v>59</v>
      </c>
      <c r="AD2046" t="s">
        <v>59</v>
      </c>
      <c r="AF2046" s="1">
        <v>36041</v>
      </c>
      <c r="AG2046" t="s">
        <v>125</v>
      </c>
      <c r="AH2046" t="s">
        <v>126</v>
      </c>
      <c r="AI2046" t="str">
        <f>"1701020"</f>
        <v>1701020</v>
      </c>
      <c r="AJ2046" t="s">
        <v>323</v>
      </c>
      <c r="AK2046">
        <v>2810252111</v>
      </c>
      <c r="AL2046" t="s">
        <v>324</v>
      </c>
      <c r="AM2046" t="s">
        <v>78</v>
      </c>
      <c r="AN2046" t="s">
        <v>78</v>
      </c>
      <c r="AO2046" t="s">
        <v>78</v>
      </c>
      <c r="AP2046" t="s">
        <v>163</v>
      </c>
      <c r="AQ2046">
        <v>3</v>
      </c>
      <c r="AR2046" t="s">
        <v>123</v>
      </c>
      <c r="AS2046" t="s">
        <v>124</v>
      </c>
      <c r="AT2046" t="s">
        <v>58</v>
      </c>
      <c r="AU2046" t="s">
        <v>68</v>
      </c>
      <c r="AV2046" t="s">
        <v>69</v>
      </c>
      <c r="AW2046" s="1">
        <v>23729</v>
      </c>
      <c r="AX2046">
        <v>2</v>
      </c>
    </row>
    <row r="2047" spans="1:50">
      <c r="A2047">
        <v>180979</v>
      </c>
      <c r="B2047" t="str">
        <f>"059026570"</f>
        <v>059026570</v>
      </c>
      <c r="C2047" t="s">
        <v>105</v>
      </c>
      <c r="D2047" t="s">
        <v>4250</v>
      </c>
      <c r="E2047" t="s">
        <v>377</v>
      </c>
      <c r="F2047" t="s">
        <v>154</v>
      </c>
      <c r="G2047" t="s">
        <v>4251</v>
      </c>
      <c r="H2047" t="str">
        <f>" "</f>
        <v xml:space="preserve"> </v>
      </c>
      <c r="N2047" t="s">
        <v>478</v>
      </c>
      <c r="O2047" t="s">
        <v>479</v>
      </c>
      <c r="R2047" t="s">
        <v>57</v>
      </c>
      <c r="S2047">
        <v>11</v>
      </c>
      <c r="T2047">
        <v>164</v>
      </c>
      <c r="U2047" s="1">
        <v>36040</v>
      </c>
      <c r="V2047" t="s">
        <v>123</v>
      </c>
      <c r="W2047" t="s">
        <v>124</v>
      </c>
      <c r="X2047" t="s">
        <v>58</v>
      </c>
      <c r="Y2047">
        <v>18</v>
      </c>
      <c r="Z2047" t="s">
        <v>59</v>
      </c>
      <c r="AA2047" t="s">
        <v>59</v>
      </c>
      <c r="AB2047" t="s">
        <v>59</v>
      </c>
      <c r="AC2047" t="s">
        <v>59</v>
      </c>
      <c r="AD2047" t="s">
        <v>59</v>
      </c>
      <c r="AF2047" s="1">
        <v>36041</v>
      </c>
      <c r="AG2047" t="s">
        <v>125</v>
      </c>
      <c r="AH2047" t="s">
        <v>126</v>
      </c>
      <c r="AI2047" t="str">
        <f>"1705010"</f>
        <v>1705010</v>
      </c>
      <c r="AJ2047" t="s">
        <v>2311</v>
      </c>
      <c r="AK2047">
        <v>2891031232</v>
      </c>
      <c r="AL2047" t="s">
        <v>2312</v>
      </c>
      <c r="AM2047" t="s">
        <v>78</v>
      </c>
      <c r="AN2047" t="s">
        <v>276</v>
      </c>
      <c r="AO2047" t="s">
        <v>277</v>
      </c>
      <c r="AP2047" t="s">
        <v>277</v>
      </c>
      <c r="AQ2047">
        <v>17</v>
      </c>
      <c r="AR2047" t="s">
        <v>123</v>
      </c>
      <c r="AS2047" t="s">
        <v>124</v>
      </c>
      <c r="AT2047" t="s">
        <v>58</v>
      </c>
      <c r="AU2047" t="s">
        <v>68</v>
      </c>
      <c r="AV2047" t="s">
        <v>69</v>
      </c>
      <c r="AW2047" s="1">
        <v>22269</v>
      </c>
      <c r="AX2047">
        <v>2</v>
      </c>
    </row>
    <row r="2048" spans="1:50">
      <c r="A2048">
        <v>212515</v>
      </c>
      <c r="B2048" t="str">
        <f>"044810159"</f>
        <v>044810159</v>
      </c>
      <c r="C2048" t="s">
        <v>50</v>
      </c>
      <c r="D2048" t="s">
        <v>4252</v>
      </c>
      <c r="E2048" t="s">
        <v>964</v>
      </c>
      <c r="F2048" t="s">
        <v>84</v>
      </c>
      <c r="G2048" t="s">
        <v>755</v>
      </c>
      <c r="H2048" t="str">
        <f>"ΔΕΛΦΩΝ 1 ΗΡΑΚΛΕΙΟ"</f>
        <v>ΔΕΛΦΩΝ 1 ΗΡΑΚΛΕΙΟ</v>
      </c>
      <c r="I2048">
        <v>71305</v>
      </c>
      <c r="J2048">
        <v>2810323850</v>
      </c>
      <c r="K2048">
        <v>6976813665</v>
      </c>
      <c r="M2048" t="s">
        <v>4253</v>
      </c>
      <c r="N2048" t="s">
        <v>146</v>
      </c>
      <c r="O2048" t="s">
        <v>147</v>
      </c>
      <c r="R2048" t="s">
        <v>57</v>
      </c>
      <c r="S2048">
        <v>9</v>
      </c>
      <c r="T2048">
        <v>231</v>
      </c>
      <c r="U2048" s="1">
        <v>38960</v>
      </c>
      <c r="V2048" t="s">
        <v>123</v>
      </c>
      <c r="W2048" t="s">
        <v>124</v>
      </c>
      <c r="X2048" t="s">
        <v>58</v>
      </c>
      <c r="Y2048">
        <v>20</v>
      </c>
      <c r="Z2048" t="s">
        <v>59</v>
      </c>
      <c r="AA2048" t="s">
        <v>59</v>
      </c>
      <c r="AB2048" t="s">
        <v>59</v>
      </c>
      <c r="AC2048" t="s">
        <v>59</v>
      </c>
      <c r="AD2048" t="s">
        <v>59</v>
      </c>
      <c r="AF2048" s="1">
        <v>38961</v>
      </c>
      <c r="AG2048" t="s">
        <v>125</v>
      </c>
      <c r="AH2048" t="s">
        <v>126</v>
      </c>
      <c r="AI2048" t="str">
        <f>"1728010"</f>
        <v>1728010</v>
      </c>
      <c r="AJ2048" t="s">
        <v>127</v>
      </c>
      <c r="AK2048">
        <v>2810824651</v>
      </c>
      <c r="AL2048" t="s">
        <v>128</v>
      </c>
      <c r="AM2048" t="s">
        <v>78</v>
      </c>
      <c r="AN2048" t="s">
        <v>129</v>
      </c>
      <c r="AO2048" t="s">
        <v>130</v>
      </c>
      <c r="AP2048" t="s">
        <v>130</v>
      </c>
      <c r="AQ2048">
        <v>36</v>
      </c>
      <c r="AR2048" t="s">
        <v>123</v>
      </c>
      <c r="AS2048" t="s">
        <v>124</v>
      </c>
      <c r="AT2048" t="s">
        <v>58</v>
      </c>
      <c r="AU2048" t="s">
        <v>68</v>
      </c>
      <c r="AV2048" t="s">
        <v>69</v>
      </c>
      <c r="AW2048" s="1">
        <v>24877</v>
      </c>
      <c r="AX2048">
        <v>2</v>
      </c>
    </row>
    <row r="2049" spans="1:50">
      <c r="A2049">
        <v>188234</v>
      </c>
      <c r="B2049" t="str">
        <f>"045847925"</f>
        <v>045847925</v>
      </c>
      <c r="C2049" t="s">
        <v>105</v>
      </c>
      <c r="D2049" t="s">
        <v>4254</v>
      </c>
      <c r="E2049" t="s">
        <v>84</v>
      </c>
      <c r="F2049" t="s">
        <v>2233</v>
      </c>
      <c r="G2049" t="s">
        <v>411</v>
      </c>
      <c r="H2049" t="str">
        <f>"ΑΜΑΖΟΝΩΝ 34 ΗΡΑΚΛΕΙΟ"</f>
        <v>ΑΜΑΖΟΝΩΝ 34 ΗΡΑΚΛΕΙΟ</v>
      </c>
      <c r="I2049">
        <v>71303</v>
      </c>
      <c r="J2049">
        <v>2810316772</v>
      </c>
      <c r="K2049">
        <v>6974288159</v>
      </c>
      <c r="N2049" t="s">
        <v>204</v>
      </c>
      <c r="O2049" t="s">
        <v>205</v>
      </c>
      <c r="P2049" t="s">
        <v>331</v>
      </c>
      <c r="Q2049" t="s">
        <v>332</v>
      </c>
      <c r="R2049" t="s">
        <v>57</v>
      </c>
      <c r="S2049">
        <v>11</v>
      </c>
      <c r="T2049">
        <v>251</v>
      </c>
      <c r="U2049" s="1">
        <v>36769</v>
      </c>
      <c r="V2049" t="s">
        <v>123</v>
      </c>
      <c r="W2049" t="s">
        <v>124</v>
      </c>
      <c r="X2049" t="s">
        <v>58</v>
      </c>
      <c r="Y2049">
        <v>18</v>
      </c>
      <c r="Z2049" t="s">
        <v>59</v>
      </c>
      <c r="AA2049" t="s">
        <v>59</v>
      </c>
      <c r="AB2049" t="s">
        <v>59</v>
      </c>
      <c r="AC2049" t="s">
        <v>59</v>
      </c>
      <c r="AD2049" t="s">
        <v>59</v>
      </c>
      <c r="AF2049" s="1">
        <v>36773</v>
      </c>
      <c r="AG2049" t="s">
        <v>137</v>
      </c>
      <c r="AH2049" t="s">
        <v>138</v>
      </c>
      <c r="AI2049" t="str">
        <f>"1740210"</f>
        <v>1740210</v>
      </c>
      <c r="AJ2049" t="s">
        <v>139</v>
      </c>
      <c r="AK2049">
        <v>2810318130</v>
      </c>
      <c r="AL2049" t="s">
        <v>140</v>
      </c>
      <c r="AM2049" t="s">
        <v>78</v>
      </c>
      <c r="AN2049" t="s">
        <v>78</v>
      </c>
      <c r="AO2049" t="s">
        <v>78</v>
      </c>
      <c r="AP2049" t="s">
        <v>141</v>
      </c>
      <c r="AQ2049">
        <v>7</v>
      </c>
      <c r="AR2049" t="s">
        <v>123</v>
      </c>
      <c r="AS2049" t="s">
        <v>124</v>
      </c>
      <c r="AT2049" t="s">
        <v>58</v>
      </c>
      <c r="AU2049" t="s">
        <v>68</v>
      </c>
      <c r="AV2049" t="s">
        <v>69</v>
      </c>
      <c r="AW2049" s="1">
        <v>24550</v>
      </c>
      <c r="AX2049">
        <v>2</v>
      </c>
    </row>
    <row r="2050" spans="1:50">
      <c r="A2050">
        <v>177430</v>
      </c>
      <c r="B2050" t="str">
        <f>"043582136"</f>
        <v>043582136</v>
      </c>
      <c r="C2050" t="s">
        <v>50</v>
      </c>
      <c r="D2050" t="s">
        <v>4255</v>
      </c>
      <c r="E2050" t="s">
        <v>237</v>
      </c>
      <c r="F2050" t="s">
        <v>95</v>
      </c>
      <c r="G2050" t="s">
        <v>1068</v>
      </c>
      <c r="H2050" t="str">
        <f>" "</f>
        <v xml:space="preserve"> </v>
      </c>
      <c r="N2050" t="s">
        <v>189</v>
      </c>
      <c r="O2050" t="s">
        <v>190</v>
      </c>
      <c r="R2050" t="s">
        <v>57</v>
      </c>
      <c r="S2050">
        <v>16</v>
      </c>
      <c r="T2050">
        <v>180</v>
      </c>
      <c r="U2050" s="1">
        <v>35674</v>
      </c>
      <c r="V2050" t="s">
        <v>123</v>
      </c>
      <c r="W2050" t="s">
        <v>124</v>
      </c>
      <c r="X2050" t="s">
        <v>58</v>
      </c>
      <c r="Y2050">
        <v>18</v>
      </c>
      <c r="Z2050" t="s">
        <v>59</v>
      </c>
      <c r="AA2050" t="s">
        <v>59</v>
      </c>
      <c r="AB2050" t="s">
        <v>59</v>
      </c>
      <c r="AC2050" t="s">
        <v>59</v>
      </c>
      <c r="AD2050" t="s">
        <v>59</v>
      </c>
      <c r="AF2050" s="1">
        <v>35675</v>
      </c>
      <c r="AG2050" t="s">
        <v>125</v>
      </c>
      <c r="AH2050" t="s">
        <v>126</v>
      </c>
      <c r="AI2050" t="str">
        <f>"1701050"</f>
        <v>1701050</v>
      </c>
      <c r="AJ2050" t="s">
        <v>660</v>
      </c>
      <c r="AK2050">
        <v>2810220729</v>
      </c>
      <c r="AL2050" t="s">
        <v>661</v>
      </c>
      <c r="AM2050" t="s">
        <v>78</v>
      </c>
      <c r="AN2050" t="s">
        <v>78</v>
      </c>
      <c r="AO2050" t="s">
        <v>78</v>
      </c>
      <c r="AP2050" t="s">
        <v>79</v>
      </c>
      <c r="AQ2050">
        <v>1</v>
      </c>
      <c r="AR2050" t="s">
        <v>123</v>
      </c>
      <c r="AS2050" t="s">
        <v>124</v>
      </c>
      <c r="AT2050" t="s">
        <v>58</v>
      </c>
      <c r="AU2050" t="s">
        <v>68</v>
      </c>
      <c r="AV2050" t="s">
        <v>69</v>
      </c>
      <c r="AW2050" s="1">
        <v>23544</v>
      </c>
      <c r="AX2050">
        <v>2</v>
      </c>
    </row>
    <row r="2051" spans="1:50">
      <c r="A2051">
        <v>202098</v>
      </c>
      <c r="B2051" t="str">
        <f>"076396006"</f>
        <v>076396006</v>
      </c>
      <c r="C2051" t="s">
        <v>50</v>
      </c>
      <c r="D2051" t="s">
        <v>4255</v>
      </c>
      <c r="E2051" t="s">
        <v>237</v>
      </c>
      <c r="F2051" t="s">
        <v>166</v>
      </c>
      <c r="G2051" t="s">
        <v>114</v>
      </c>
      <c r="H2051" t="str">
        <f>"ΑΚΡΩΤΗΡΙΟΥ ΚΟΥΝΟΥΠΙΔΙΑΝΑ"</f>
        <v>ΑΚΡΩΤΗΡΙΟΥ ΚΟΥΝΟΥΠΙΔΙΑΝΑ</v>
      </c>
      <c r="J2051">
        <v>2821099605</v>
      </c>
      <c r="K2051">
        <v>6978128139</v>
      </c>
      <c r="M2051" t="s">
        <v>4256</v>
      </c>
      <c r="N2051" t="s">
        <v>146</v>
      </c>
      <c r="O2051" t="s">
        <v>147</v>
      </c>
      <c r="R2051" t="s">
        <v>57</v>
      </c>
      <c r="S2051">
        <v>6</v>
      </c>
      <c r="T2051">
        <v>231</v>
      </c>
      <c r="U2051" s="1">
        <v>38230</v>
      </c>
      <c r="V2051" t="s">
        <v>123</v>
      </c>
      <c r="W2051" t="s">
        <v>124</v>
      </c>
      <c r="X2051" t="s">
        <v>58</v>
      </c>
      <c r="Y2051">
        <v>20</v>
      </c>
      <c r="Z2051" t="s">
        <v>59</v>
      </c>
      <c r="AA2051" t="s">
        <v>59</v>
      </c>
      <c r="AB2051" t="s">
        <v>59</v>
      </c>
      <c r="AC2051" t="s">
        <v>59</v>
      </c>
      <c r="AD2051" t="s">
        <v>59</v>
      </c>
      <c r="AF2051" s="1">
        <v>38233</v>
      </c>
      <c r="AG2051" t="s">
        <v>137</v>
      </c>
      <c r="AH2051" t="s">
        <v>138</v>
      </c>
      <c r="AI2051" t="str">
        <f>"1740210"</f>
        <v>1740210</v>
      </c>
      <c r="AJ2051" t="s">
        <v>139</v>
      </c>
      <c r="AK2051">
        <v>2810318130</v>
      </c>
      <c r="AL2051" t="s">
        <v>140</v>
      </c>
      <c r="AM2051" t="s">
        <v>78</v>
      </c>
      <c r="AN2051" t="s">
        <v>78</v>
      </c>
      <c r="AO2051" t="s">
        <v>78</v>
      </c>
      <c r="AP2051" t="s">
        <v>141</v>
      </c>
      <c r="AQ2051">
        <v>7</v>
      </c>
      <c r="AR2051" t="s">
        <v>123</v>
      </c>
      <c r="AS2051" t="s">
        <v>124</v>
      </c>
      <c r="AT2051" t="s">
        <v>58</v>
      </c>
      <c r="AU2051" t="s">
        <v>68</v>
      </c>
      <c r="AV2051" t="s">
        <v>69</v>
      </c>
      <c r="AW2051" s="1">
        <v>26896</v>
      </c>
      <c r="AX2051">
        <v>2</v>
      </c>
    </row>
    <row r="2052" spans="1:50">
      <c r="A2052">
        <v>208694</v>
      </c>
      <c r="B2052" t="str">
        <f>"063878227"</f>
        <v>063878227</v>
      </c>
      <c r="C2052" t="s">
        <v>50</v>
      </c>
      <c r="D2052" t="s">
        <v>4257</v>
      </c>
      <c r="E2052" t="s">
        <v>52</v>
      </c>
      <c r="F2052" t="s">
        <v>72</v>
      </c>
      <c r="G2052" t="s">
        <v>215</v>
      </c>
      <c r="H2052" t="str">
        <f>"ΕΠΤΑΝΗΣΟΥ 56 "</f>
        <v xml:space="preserve">ΕΠΤΑΝΗΣΟΥ 56 </v>
      </c>
      <c r="I2052">
        <v>71305</v>
      </c>
      <c r="J2052">
        <v>2810262160</v>
      </c>
      <c r="K2052">
        <v>6947123678</v>
      </c>
      <c r="N2052" t="s">
        <v>282</v>
      </c>
      <c r="O2052" t="s">
        <v>283</v>
      </c>
      <c r="R2052" t="s">
        <v>57</v>
      </c>
      <c r="S2052">
        <v>6</v>
      </c>
      <c r="T2052">
        <v>218</v>
      </c>
      <c r="U2052" s="1">
        <v>38596</v>
      </c>
      <c r="V2052" t="s">
        <v>123</v>
      </c>
      <c r="W2052" t="s">
        <v>124</v>
      </c>
      <c r="X2052" t="s">
        <v>58</v>
      </c>
      <c r="Y2052">
        <v>20</v>
      </c>
      <c r="Z2052" t="s">
        <v>59</v>
      </c>
      <c r="AA2052" t="s">
        <v>59</v>
      </c>
      <c r="AB2052" t="s">
        <v>59</v>
      </c>
      <c r="AC2052" t="s">
        <v>59</v>
      </c>
      <c r="AD2052" t="s">
        <v>59</v>
      </c>
      <c r="AF2052" s="1">
        <v>38600</v>
      </c>
      <c r="AG2052" t="s">
        <v>137</v>
      </c>
      <c r="AH2052" t="s">
        <v>138</v>
      </c>
      <c r="AI2052" t="str">
        <f>"1750080"</f>
        <v>1750080</v>
      </c>
      <c r="AJ2052" t="s">
        <v>170</v>
      </c>
      <c r="AK2052">
        <v>2810234444</v>
      </c>
      <c r="AL2052" t="s">
        <v>171</v>
      </c>
      <c r="AM2052" t="s">
        <v>78</v>
      </c>
      <c r="AN2052" t="s">
        <v>78</v>
      </c>
      <c r="AO2052" t="s">
        <v>78</v>
      </c>
      <c r="AP2052" t="s">
        <v>163</v>
      </c>
      <c r="AQ2052">
        <v>9</v>
      </c>
      <c r="AR2052" t="s">
        <v>123</v>
      </c>
      <c r="AS2052" t="s">
        <v>124</v>
      </c>
      <c r="AT2052" t="s">
        <v>58</v>
      </c>
      <c r="AU2052" t="s">
        <v>68</v>
      </c>
      <c r="AV2052" t="s">
        <v>69</v>
      </c>
      <c r="AW2052" s="1">
        <v>23152</v>
      </c>
      <c r="AX2052">
        <v>2</v>
      </c>
    </row>
    <row r="2053" spans="1:50">
      <c r="B2053" t="str">
        <f>"068191340"</f>
        <v>068191340</v>
      </c>
      <c r="C2053" t="s">
        <v>50</v>
      </c>
      <c r="D2053" t="s">
        <v>4258</v>
      </c>
      <c r="E2053" t="s">
        <v>143</v>
      </c>
      <c r="F2053" t="s">
        <v>564</v>
      </c>
      <c r="G2053" t="s">
        <v>255</v>
      </c>
      <c r="H2053" t="str">
        <f>" "</f>
        <v xml:space="preserve"> </v>
      </c>
      <c r="N2053" t="s">
        <v>4259</v>
      </c>
      <c r="O2053" t="s">
        <v>4260</v>
      </c>
      <c r="R2053" t="s">
        <v>121</v>
      </c>
      <c r="S2053">
        <v>1</v>
      </c>
      <c r="T2053" t="s">
        <v>344</v>
      </c>
      <c r="U2053" s="1">
        <v>43348</v>
      </c>
      <c r="V2053" t="s">
        <v>123</v>
      </c>
      <c r="W2053" t="s">
        <v>124</v>
      </c>
      <c r="X2053" t="s">
        <v>58</v>
      </c>
      <c r="Y2053">
        <v>23</v>
      </c>
      <c r="Z2053" t="s">
        <v>59</v>
      </c>
      <c r="AD2053" t="s">
        <v>59</v>
      </c>
      <c r="AF2053" s="1">
        <v>43348</v>
      </c>
      <c r="AG2053" t="s">
        <v>345</v>
      </c>
      <c r="AH2053" t="s">
        <v>346</v>
      </c>
      <c r="AI2053" t="str">
        <f>"1741001"</f>
        <v>1741001</v>
      </c>
      <c r="AJ2053" t="s">
        <v>655</v>
      </c>
      <c r="AK2053">
        <v>2810360436</v>
      </c>
      <c r="AL2053" t="s">
        <v>656</v>
      </c>
      <c r="AM2053" t="s">
        <v>78</v>
      </c>
      <c r="AN2053" t="s">
        <v>78</v>
      </c>
      <c r="AO2053" t="s">
        <v>78</v>
      </c>
      <c r="AP2053" t="s">
        <v>141</v>
      </c>
      <c r="AQ2053">
        <v>11</v>
      </c>
      <c r="AR2053" t="s">
        <v>123</v>
      </c>
      <c r="AS2053" t="s">
        <v>124</v>
      </c>
      <c r="AT2053" t="s">
        <v>58</v>
      </c>
      <c r="AU2053" t="s">
        <v>350</v>
      </c>
      <c r="AV2053" t="s">
        <v>132</v>
      </c>
      <c r="AW2053" s="1">
        <v>31498</v>
      </c>
      <c r="AX2053">
        <v>2</v>
      </c>
    </row>
    <row r="2054" spans="1:50">
      <c r="A2054">
        <v>167871</v>
      </c>
      <c r="B2054" t="str">
        <f>"064574936"</f>
        <v>064574936</v>
      </c>
      <c r="C2054" t="s">
        <v>50</v>
      </c>
      <c r="D2054" t="s">
        <v>4261</v>
      </c>
      <c r="E2054" t="s">
        <v>4262</v>
      </c>
      <c r="F2054" t="s">
        <v>4263</v>
      </c>
      <c r="G2054" t="s">
        <v>396</v>
      </c>
      <c r="H2054" t="str">
        <f>"ΣΤ. ΦΟΥΣΤΑΛΙΕΡΗ 23 ΗΡΑΚΛΕΙΟ"</f>
        <v>ΣΤ. ΦΟΥΣΤΑΛΙΕΡΗ 23 ΗΡΑΚΛΕΙΟ</v>
      </c>
      <c r="J2054">
        <v>2810320668</v>
      </c>
      <c r="K2054">
        <v>6906808032</v>
      </c>
      <c r="M2054" t="s">
        <v>4264</v>
      </c>
      <c r="N2054" t="s">
        <v>146</v>
      </c>
      <c r="O2054" t="s">
        <v>147</v>
      </c>
      <c r="R2054" t="s">
        <v>57</v>
      </c>
      <c r="S2054">
        <v>13</v>
      </c>
      <c r="T2054">
        <v>159</v>
      </c>
      <c r="U2054" s="1">
        <v>34582</v>
      </c>
      <c r="V2054" t="s">
        <v>123</v>
      </c>
      <c r="W2054" t="s">
        <v>124</v>
      </c>
      <c r="X2054" t="s">
        <v>58</v>
      </c>
      <c r="Y2054">
        <v>18</v>
      </c>
      <c r="Z2054" t="s">
        <v>59</v>
      </c>
      <c r="AA2054" t="s">
        <v>59</v>
      </c>
      <c r="AB2054" t="s">
        <v>59</v>
      </c>
      <c r="AC2054" t="s">
        <v>59</v>
      </c>
      <c r="AD2054" t="s">
        <v>59</v>
      </c>
      <c r="AF2054" s="1">
        <v>34584</v>
      </c>
      <c r="AG2054" t="s">
        <v>125</v>
      </c>
      <c r="AH2054" t="s">
        <v>126</v>
      </c>
      <c r="AI2054" t="str">
        <f>"1701041"</f>
        <v>1701041</v>
      </c>
      <c r="AJ2054" t="s">
        <v>161</v>
      </c>
      <c r="AK2054">
        <v>2810327052</v>
      </c>
      <c r="AL2054" t="s">
        <v>162</v>
      </c>
      <c r="AM2054" t="s">
        <v>78</v>
      </c>
      <c r="AN2054" t="s">
        <v>78</v>
      </c>
      <c r="AO2054" t="s">
        <v>78</v>
      </c>
      <c r="AP2054" t="s">
        <v>163</v>
      </c>
      <c r="AQ2054">
        <v>5</v>
      </c>
      <c r="AR2054" t="s">
        <v>123</v>
      </c>
      <c r="AS2054" t="s">
        <v>124</v>
      </c>
      <c r="AT2054" t="s">
        <v>58</v>
      </c>
      <c r="AU2054" t="s">
        <v>68</v>
      </c>
      <c r="AV2054" t="s">
        <v>69</v>
      </c>
      <c r="AW2054" s="1">
        <v>23667</v>
      </c>
      <c r="AX2054">
        <v>2</v>
      </c>
    </row>
    <row r="2055" spans="1:50">
      <c r="A2055">
        <v>156454</v>
      </c>
      <c r="B2055" t="str">
        <f>"030863848"</f>
        <v>030863848</v>
      </c>
      <c r="C2055" t="s">
        <v>50</v>
      </c>
      <c r="D2055" t="s">
        <v>4265</v>
      </c>
      <c r="E2055" t="s">
        <v>460</v>
      </c>
      <c r="F2055" t="s">
        <v>84</v>
      </c>
      <c r="G2055" t="s">
        <v>4266</v>
      </c>
      <c r="H2055" t="str">
        <f>"ΠΑΤΡ. ΓΡΗΓΟΡΙΟΥ 122 "</f>
        <v xml:space="preserve">ΠΑΤΡ. ΓΡΗΓΟΡΙΟΥ 122 </v>
      </c>
      <c r="I2055">
        <v>68200</v>
      </c>
      <c r="J2055">
        <v>2552026629</v>
      </c>
      <c r="K2055">
        <v>6947006564</v>
      </c>
      <c r="M2055" t="s">
        <v>4267</v>
      </c>
      <c r="N2055" t="s">
        <v>146</v>
      </c>
      <c r="O2055" t="s">
        <v>147</v>
      </c>
      <c r="R2055" t="s">
        <v>57</v>
      </c>
      <c r="S2055">
        <v>15</v>
      </c>
      <c r="T2055">
        <v>188</v>
      </c>
      <c r="U2055" s="1">
        <v>32752</v>
      </c>
      <c r="V2055" t="s">
        <v>123</v>
      </c>
      <c r="W2055" t="s">
        <v>124</v>
      </c>
      <c r="X2055" t="s">
        <v>58</v>
      </c>
      <c r="Y2055">
        <v>18</v>
      </c>
      <c r="Z2055" t="s">
        <v>59</v>
      </c>
      <c r="AA2055" t="s">
        <v>59</v>
      </c>
      <c r="AB2055" t="s">
        <v>59</v>
      </c>
      <c r="AC2055" t="s">
        <v>59</v>
      </c>
      <c r="AD2055" t="s">
        <v>59</v>
      </c>
      <c r="AF2055" s="1">
        <v>32757</v>
      </c>
      <c r="AG2055" t="s">
        <v>125</v>
      </c>
      <c r="AH2055" t="s">
        <v>126</v>
      </c>
      <c r="AI2055" t="str">
        <f>"1701030"</f>
        <v>1701030</v>
      </c>
      <c r="AJ2055" t="s">
        <v>270</v>
      </c>
      <c r="AK2055">
        <v>2810361015</v>
      </c>
      <c r="AL2055" t="s">
        <v>271</v>
      </c>
      <c r="AM2055" t="s">
        <v>78</v>
      </c>
      <c r="AN2055" t="s">
        <v>78</v>
      </c>
      <c r="AO2055" t="s">
        <v>78</v>
      </c>
      <c r="AP2055" t="s">
        <v>163</v>
      </c>
      <c r="AQ2055">
        <v>2</v>
      </c>
      <c r="AR2055" t="s">
        <v>123</v>
      </c>
      <c r="AS2055" t="s">
        <v>124</v>
      </c>
      <c r="AT2055" t="s">
        <v>58</v>
      </c>
      <c r="AU2055" t="s">
        <v>68</v>
      </c>
      <c r="AV2055" t="s">
        <v>69</v>
      </c>
      <c r="AW2055" s="1">
        <v>23247</v>
      </c>
      <c r="AX2055">
        <v>2</v>
      </c>
    </row>
    <row r="2056" spans="1:50">
      <c r="A2056">
        <v>200243</v>
      </c>
      <c r="B2056" t="str">
        <f>"103841160"</f>
        <v>103841160</v>
      </c>
      <c r="C2056" t="s">
        <v>50</v>
      </c>
      <c r="D2056" t="s">
        <v>4268</v>
      </c>
      <c r="E2056" t="s">
        <v>52</v>
      </c>
      <c r="F2056" t="s">
        <v>383</v>
      </c>
      <c r="G2056" t="s">
        <v>4269</v>
      </c>
      <c r="H2056" t="str">
        <f>"ΒΙΑΝΝΟΥ 11 ΗΡΑΚΛΕΙΟ"</f>
        <v>ΒΙΑΝΝΟΥ 11 ΗΡΑΚΛΕΙΟ</v>
      </c>
      <c r="I2056">
        <v>71201</v>
      </c>
      <c r="J2056">
        <v>2810260561</v>
      </c>
      <c r="K2056">
        <v>6974023782</v>
      </c>
      <c r="L2056">
        <v>2810284652</v>
      </c>
      <c r="N2056" t="s">
        <v>204</v>
      </c>
      <c r="O2056" t="s">
        <v>205</v>
      </c>
      <c r="R2056" t="s">
        <v>57</v>
      </c>
      <c r="S2056">
        <v>10</v>
      </c>
      <c r="T2056">
        <v>206</v>
      </c>
      <c r="U2056" s="1">
        <v>37866</v>
      </c>
      <c r="V2056" t="s">
        <v>123</v>
      </c>
      <c r="W2056" t="s">
        <v>124</v>
      </c>
      <c r="X2056" t="s">
        <v>58</v>
      </c>
      <c r="Y2056">
        <v>20</v>
      </c>
      <c r="Z2056" t="s">
        <v>59</v>
      </c>
      <c r="AA2056" t="s">
        <v>59</v>
      </c>
      <c r="AB2056" t="s">
        <v>59</v>
      </c>
      <c r="AC2056" t="s">
        <v>59</v>
      </c>
      <c r="AD2056" t="s">
        <v>59</v>
      </c>
      <c r="AF2056" s="1">
        <v>37866</v>
      </c>
      <c r="AG2056" t="s">
        <v>137</v>
      </c>
      <c r="AH2056" t="s">
        <v>138</v>
      </c>
      <c r="AI2056" t="str">
        <f>"1740210"</f>
        <v>1740210</v>
      </c>
      <c r="AJ2056" t="s">
        <v>139</v>
      </c>
      <c r="AK2056">
        <v>2810318130</v>
      </c>
      <c r="AL2056" t="s">
        <v>140</v>
      </c>
      <c r="AM2056" t="s">
        <v>78</v>
      </c>
      <c r="AN2056" t="s">
        <v>78</v>
      </c>
      <c r="AO2056" t="s">
        <v>78</v>
      </c>
      <c r="AP2056" t="s">
        <v>141</v>
      </c>
      <c r="AQ2056">
        <v>7</v>
      </c>
      <c r="AR2056" t="s">
        <v>123</v>
      </c>
      <c r="AS2056" t="s">
        <v>124</v>
      </c>
      <c r="AT2056" t="s">
        <v>58</v>
      </c>
      <c r="AU2056" t="s">
        <v>68</v>
      </c>
      <c r="AV2056" t="s">
        <v>69</v>
      </c>
      <c r="AW2056" s="1">
        <v>28512</v>
      </c>
      <c r="AX2056">
        <v>2</v>
      </c>
    </row>
    <row r="2057" spans="1:50">
      <c r="A2057">
        <v>200244</v>
      </c>
      <c r="B2057" t="str">
        <f>"079156907"</f>
        <v>079156907</v>
      </c>
      <c r="C2057" t="s">
        <v>50</v>
      </c>
      <c r="D2057" t="s">
        <v>4270</v>
      </c>
      <c r="E2057" t="s">
        <v>52</v>
      </c>
      <c r="F2057" t="s">
        <v>72</v>
      </c>
      <c r="G2057" t="s">
        <v>460</v>
      </c>
      <c r="H2057" t="str">
        <f>" "</f>
        <v xml:space="preserve"> </v>
      </c>
      <c r="J2057">
        <v>2810230763</v>
      </c>
      <c r="K2057">
        <v>6978175044</v>
      </c>
      <c r="M2057" t="s">
        <v>4271</v>
      </c>
      <c r="N2057" t="s">
        <v>204</v>
      </c>
      <c r="O2057" t="s">
        <v>205</v>
      </c>
      <c r="R2057" t="s">
        <v>57</v>
      </c>
      <c r="S2057">
        <v>9</v>
      </c>
      <c r="T2057">
        <v>206</v>
      </c>
      <c r="U2057" s="1">
        <v>37866</v>
      </c>
      <c r="V2057" t="s">
        <v>123</v>
      </c>
      <c r="W2057" t="s">
        <v>124</v>
      </c>
      <c r="X2057" t="s">
        <v>58</v>
      </c>
      <c r="Y2057">
        <v>20</v>
      </c>
      <c r="Z2057" t="s">
        <v>59</v>
      </c>
      <c r="AA2057" t="s">
        <v>59</v>
      </c>
      <c r="AB2057" t="s">
        <v>59</v>
      </c>
      <c r="AC2057" t="s">
        <v>59</v>
      </c>
      <c r="AD2057" t="s">
        <v>59</v>
      </c>
      <c r="AF2057" s="1">
        <v>37866</v>
      </c>
      <c r="AG2057" t="s">
        <v>137</v>
      </c>
      <c r="AH2057" t="s">
        <v>138</v>
      </c>
      <c r="AI2057" t="str">
        <f>"1740300"</f>
        <v>1740300</v>
      </c>
      <c r="AJ2057" t="s">
        <v>1274</v>
      </c>
      <c r="AK2057">
        <v>2892022100</v>
      </c>
      <c r="AL2057" t="s">
        <v>1275</v>
      </c>
      <c r="AM2057" t="s">
        <v>78</v>
      </c>
      <c r="AN2057" t="s">
        <v>242</v>
      </c>
      <c r="AO2057" t="s">
        <v>243</v>
      </c>
      <c r="AP2057" t="s">
        <v>243</v>
      </c>
      <c r="AQ2057">
        <v>33</v>
      </c>
      <c r="AR2057" t="s">
        <v>123</v>
      </c>
      <c r="AS2057" t="s">
        <v>124</v>
      </c>
      <c r="AT2057" t="s">
        <v>58</v>
      </c>
      <c r="AU2057" t="s">
        <v>68</v>
      </c>
      <c r="AV2057" t="s">
        <v>69</v>
      </c>
      <c r="AW2057" s="1">
        <v>25969</v>
      </c>
      <c r="AX2057">
        <v>2</v>
      </c>
    </row>
    <row r="2058" spans="1:50">
      <c r="A2058">
        <v>229922</v>
      </c>
      <c r="B2058" t="str">
        <f>"138469216"</f>
        <v>138469216</v>
      </c>
      <c r="C2058" t="s">
        <v>50</v>
      </c>
      <c r="D2058" t="s">
        <v>4272</v>
      </c>
      <c r="E2058" t="s">
        <v>476</v>
      </c>
      <c r="F2058" t="s">
        <v>108</v>
      </c>
      <c r="G2058" t="s">
        <v>109</v>
      </c>
      <c r="H2058" t="str">
        <f>"ΔΡΥΜΗΤΙΝΟΥ 27 "</f>
        <v xml:space="preserve">ΔΡΥΜΗΤΙΝΟΥ 27 </v>
      </c>
      <c r="I2058">
        <v>71305</v>
      </c>
      <c r="J2058">
        <v>2834031653</v>
      </c>
      <c r="K2058">
        <v>6944441193</v>
      </c>
      <c r="M2058" t="s">
        <v>4273</v>
      </c>
      <c r="N2058" t="s">
        <v>282</v>
      </c>
      <c r="O2058" t="s">
        <v>283</v>
      </c>
      <c r="R2058" t="s">
        <v>57</v>
      </c>
      <c r="S2058">
        <v>7</v>
      </c>
      <c r="T2058">
        <v>4</v>
      </c>
      <c r="U2058" s="1">
        <v>40186</v>
      </c>
      <c r="V2058" t="s">
        <v>123</v>
      </c>
      <c r="W2058" t="s">
        <v>124</v>
      </c>
      <c r="X2058" t="s">
        <v>58</v>
      </c>
      <c r="Y2058">
        <v>21</v>
      </c>
      <c r="Z2058" t="s">
        <v>59</v>
      </c>
      <c r="AA2058" t="s">
        <v>59</v>
      </c>
      <c r="AB2058" t="s">
        <v>59</v>
      </c>
      <c r="AC2058" t="s">
        <v>59</v>
      </c>
      <c r="AD2058" t="s">
        <v>59</v>
      </c>
      <c r="AF2058" s="1">
        <v>40189</v>
      </c>
      <c r="AG2058" t="s">
        <v>125</v>
      </c>
      <c r="AH2058" t="s">
        <v>126</v>
      </c>
      <c r="AI2058" t="str">
        <f>"1718010"</f>
        <v>1718010</v>
      </c>
      <c r="AJ2058" t="s">
        <v>1090</v>
      </c>
      <c r="AK2058">
        <v>2897031471</v>
      </c>
      <c r="AL2058" t="s">
        <v>1091</v>
      </c>
      <c r="AM2058" t="s">
        <v>78</v>
      </c>
      <c r="AN2058" t="s">
        <v>219</v>
      </c>
      <c r="AO2058" t="s">
        <v>527</v>
      </c>
      <c r="AP2058" t="s">
        <v>527</v>
      </c>
      <c r="AQ2058">
        <v>20</v>
      </c>
      <c r="AR2058" t="s">
        <v>123</v>
      </c>
      <c r="AS2058" t="s">
        <v>124</v>
      </c>
      <c r="AT2058" t="s">
        <v>58</v>
      </c>
      <c r="AU2058" t="s">
        <v>68</v>
      </c>
      <c r="AV2058" t="s">
        <v>69</v>
      </c>
      <c r="AW2058" s="1">
        <v>30498</v>
      </c>
      <c r="AX2058">
        <v>2</v>
      </c>
    </row>
    <row r="2059" spans="1:50">
      <c r="A2059">
        <v>226913</v>
      </c>
      <c r="B2059" t="str">
        <f>"065074571"</f>
        <v>065074571</v>
      </c>
      <c r="C2059" t="s">
        <v>50</v>
      </c>
      <c r="D2059" t="s">
        <v>4272</v>
      </c>
      <c r="E2059" t="s">
        <v>1001</v>
      </c>
      <c r="F2059" t="s">
        <v>53</v>
      </c>
      <c r="G2059" t="s">
        <v>237</v>
      </c>
      <c r="H2059" t="str">
        <f>"ΑΓΙΑΣ ΠΑΡΑΣΚΕΥΗΣ 28 ΓΑΖΙ"</f>
        <v>ΑΓΙΑΣ ΠΑΡΑΣΚΕΥΗΣ 28 ΓΑΖΙ</v>
      </c>
      <c r="I2059">
        <v>71500</v>
      </c>
      <c r="J2059">
        <v>2810542787</v>
      </c>
      <c r="K2059">
        <v>6946190854</v>
      </c>
      <c r="M2059" t="s">
        <v>4274</v>
      </c>
      <c r="N2059" t="s">
        <v>146</v>
      </c>
      <c r="O2059" t="s">
        <v>147</v>
      </c>
      <c r="R2059" t="s">
        <v>57</v>
      </c>
      <c r="S2059">
        <v>5</v>
      </c>
      <c r="T2059">
        <v>654</v>
      </c>
      <c r="U2059" s="1">
        <v>40043</v>
      </c>
      <c r="V2059" t="s">
        <v>123</v>
      </c>
      <c r="W2059" t="s">
        <v>124</v>
      </c>
      <c r="X2059" t="s">
        <v>58</v>
      </c>
      <c r="Y2059">
        <v>21</v>
      </c>
      <c r="Z2059" t="s">
        <v>59</v>
      </c>
      <c r="AA2059" t="s">
        <v>59</v>
      </c>
      <c r="AB2059" t="s">
        <v>59</v>
      </c>
      <c r="AC2059" t="s">
        <v>59</v>
      </c>
      <c r="AD2059" t="s">
        <v>59</v>
      </c>
      <c r="AF2059" s="1">
        <v>40044</v>
      </c>
      <c r="AG2059" t="s">
        <v>125</v>
      </c>
      <c r="AH2059" t="s">
        <v>126</v>
      </c>
      <c r="AI2059" t="str">
        <f>"1706010"</f>
        <v>1706010</v>
      </c>
      <c r="AJ2059" t="s">
        <v>391</v>
      </c>
      <c r="AK2059">
        <v>2892022286</v>
      </c>
      <c r="AL2059" t="s">
        <v>392</v>
      </c>
      <c r="AM2059" t="s">
        <v>78</v>
      </c>
      <c r="AN2059" t="s">
        <v>242</v>
      </c>
      <c r="AO2059" t="s">
        <v>243</v>
      </c>
      <c r="AP2059" t="s">
        <v>243</v>
      </c>
      <c r="AQ2059">
        <v>33</v>
      </c>
      <c r="AR2059" t="s">
        <v>123</v>
      </c>
      <c r="AS2059" t="s">
        <v>124</v>
      </c>
      <c r="AT2059" t="s">
        <v>58</v>
      </c>
      <c r="AU2059" t="s">
        <v>68</v>
      </c>
      <c r="AV2059" t="s">
        <v>69</v>
      </c>
      <c r="AW2059" s="1">
        <v>23161</v>
      </c>
      <c r="AX2059">
        <v>2</v>
      </c>
    </row>
    <row r="2060" spans="1:50">
      <c r="A2060">
        <v>191588</v>
      </c>
      <c r="B2060" t="str">
        <f>"055711267"</f>
        <v>055711267</v>
      </c>
      <c r="C2060" t="s">
        <v>105</v>
      </c>
      <c r="D2060" t="s">
        <v>4275</v>
      </c>
      <c r="E2060" t="s">
        <v>3811</v>
      </c>
      <c r="F2060" t="s">
        <v>95</v>
      </c>
      <c r="G2060" t="s">
        <v>2088</v>
      </c>
      <c r="H2060" t="str">
        <f>" "</f>
        <v xml:space="preserve"> </v>
      </c>
      <c r="M2060" t="s">
        <v>4276</v>
      </c>
      <c r="N2060" t="s">
        <v>168</v>
      </c>
      <c r="O2060" t="s">
        <v>169</v>
      </c>
      <c r="R2060" t="s">
        <v>57</v>
      </c>
      <c r="S2060">
        <v>10</v>
      </c>
      <c r="T2060">
        <v>291</v>
      </c>
      <c r="U2060" s="1">
        <v>37218</v>
      </c>
      <c r="V2060" t="s">
        <v>123</v>
      </c>
      <c r="W2060" t="s">
        <v>124</v>
      </c>
      <c r="X2060" t="s">
        <v>58</v>
      </c>
      <c r="Y2060">
        <v>20</v>
      </c>
      <c r="Z2060" t="s">
        <v>59</v>
      </c>
      <c r="AA2060" t="s">
        <v>59</v>
      </c>
      <c r="AB2060" t="s">
        <v>59</v>
      </c>
      <c r="AC2060" t="s">
        <v>59</v>
      </c>
      <c r="AD2060" t="s">
        <v>59</v>
      </c>
      <c r="AF2060" s="1">
        <v>37223</v>
      </c>
      <c r="AG2060" t="s">
        <v>137</v>
      </c>
      <c r="AH2060" t="s">
        <v>469</v>
      </c>
      <c r="AI2060" t="str">
        <f>"1740200"</f>
        <v>1740200</v>
      </c>
      <c r="AJ2060" t="s">
        <v>470</v>
      </c>
      <c r="AK2060">
        <v>2810320770</v>
      </c>
      <c r="AL2060" t="s">
        <v>471</v>
      </c>
      <c r="AM2060" t="s">
        <v>78</v>
      </c>
      <c r="AN2060" t="s">
        <v>78</v>
      </c>
      <c r="AO2060" t="s">
        <v>78</v>
      </c>
      <c r="AP2060" t="s">
        <v>163</v>
      </c>
      <c r="AQ2060">
        <v>2</v>
      </c>
      <c r="AR2060" t="s">
        <v>123</v>
      </c>
      <c r="AS2060" t="s">
        <v>124</v>
      </c>
      <c r="AT2060" t="s">
        <v>58</v>
      </c>
      <c r="AU2060" t="s">
        <v>68</v>
      </c>
      <c r="AV2060" t="s">
        <v>69</v>
      </c>
      <c r="AW2060" s="1">
        <v>27153</v>
      </c>
      <c r="AX2060">
        <v>2</v>
      </c>
    </row>
    <row r="2061" spans="1:50">
      <c r="B2061" t="str">
        <f>"134346262"</f>
        <v>134346262</v>
      </c>
      <c r="C2061" t="s">
        <v>105</v>
      </c>
      <c r="D2061" t="s">
        <v>4275</v>
      </c>
      <c r="E2061" t="s">
        <v>153</v>
      </c>
      <c r="F2061" t="s">
        <v>782</v>
      </c>
      <c r="G2061" t="s">
        <v>143</v>
      </c>
      <c r="H2061" t="str">
        <f>" "</f>
        <v xml:space="preserve"> </v>
      </c>
      <c r="N2061" t="s">
        <v>337</v>
      </c>
      <c r="O2061" t="s">
        <v>338</v>
      </c>
      <c r="R2061" t="s">
        <v>159</v>
      </c>
      <c r="S2061">
        <v>2</v>
      </c>
      <c r="T2061" t="s">
        <v>1908</v>
      </c>
      <c r="U2061" s="1">
        <v>43368</v>
      </c>
      <c r="V2061" t="s">
        <v>123</v>
      </c>
      <c r="W2061" t="s">
        <v>124</v>
      </c>
      <c r="X2061" t="s">
        <v>58</v>
      </c>
      <c r="Y2061">
        <v>23</v>
      </c>
      <c r="Z2061" t="s">
        <v>59</v>
      </c>
      <c r="AA2061" t="s">
        <v>59</v>
      </c>
      <c r="AB2061" t="s">
        <v>59</v>
      </c>
      <c r="AC2061" t="s">
        <v>59</v>
      </c>
      <c r="AD2061" t="s">
        <v>59</v>
      </c>
      <c r="AF2061" s="1">
        <v>43368</v>
      </c>
      <c r="AG2061" t="s">
        <v>125</v>
      </c>
      <c r="AH2061" t="s">
        <v>294</v>
      </c>
      <c r="AI2061" t="str">
        <f>"1701015"</f>
        <v>1701015</v>
      </c>
      <c r="AJ2061" t="s">
        <v>295</v>
      </c>
      <c r="AK2061">
        <v>2810761696</v>
      </c>
      <c r="AL2061" t="s">
        <v>296</v>
      </c>
      <c r="AM2061" t="s">
        <v>78</v>
      </c>
      <c r="AN2061" t="s">
        <v>219</v>
      </c>
      <c r="AO2061" t="s">
        <v>297</v>
      </c>
      <c r="AP2061" t="s">
        <v>297</v>
      </c>
      <c r="AQ2061">
        <v>10</v>
      </c>
      <c r="AR2061" t="s">
        <v>123</v>
      </c>
      <c r="AS2061" t="s">
        <v>124</v>
      </c>
      <c r="AT2061" t="s">
        <v>58</v>
      </c>
      <c r="AU2061" t="s">
        <v>164</v>
      </c>
      <c r="AV2061" t="s">
        <v>132</v>
      </c>
      <c r="AW2061" s="1">
        <v>31820</v>
      </c>
      <c r="AX2061">
        <v>2</v>
      </c>
    </row>
    <row r="2062" spans="1:50">
      <c r="A2062">
        <v>218300</v>
      </c>
      <c r="B2062" t="str">
        <f>"057793184"</f>
        <v>057793184</v>
      </c>
      <c r="C2062" t="s">
        <v>105</v>
      </c>
      <c r="D2062" t="s">
        <v>4277</v>
      </c>
      <c r="E2062" t="s">
        <v>72</v>
      </c>
      <c r="F2062" t="s">
        <v>693</v>
      </c>
      <c r="G2062" t="s">
        <v>83</v>
      </c>
      <c r="H2062" t="str">
        <f>"Ε.Α.Μ. 10 ΜΕΣΑΜΠΕΛΙΕΣ"</f>
        <v>Ε.Α.Μ. 10 ΜΕΣΑΜΠΕΛΙΕΣ</v>
      </c>
      <c r="I2062">
        <v>71409</v>
      </c>
      <c r="J2062">
        <v>2810323397</v>
      </c>
      <c r="K2062">
        <v>6978307678</v>
      </c>
      <c r="M2062" t="s">
        <v>4278</v>
      </c>
      <c r="N2062" t="s">
        <v>292</v>
      </c>
      <c r="O2062" t="s">
        <v>293</v>
      </c>
      <c r="R2062" t="s">
        <v>57</v>
      </c>
      <c r="S2062">
        <v>6</v>
      </c>
      <c r="T2062">
        <v>599</v>
      </c>
      <c r="U2062" s="1">
        <v>39310</v>
      </c>
      <c r="V2062" t="s">
        <v>123</v>
      </c>
      <c r="W2062" t="s">
        <v>124</v>
      </c>
      <c r="X2062" t="s">
        <v>58</v>
      </c>
      <c r="Y2062">
        <v>20</v>
      </c>
      <c r="Z2062" t="s">
        <v>59</v>
      </c>
      <c r="AA2062" t="s">
        <v>59</v>
      </c>
      <c r="AB2062" t="s">
        <v>59</v>
      </c>
      <c r="AC2062" t="s">
        <v>59</v>
      </c>
      <c r="AD2062" t="s">
        <v>59</v>
      </c>
      <c r="AF2062" s="1">
        <v>39328</v>
      </c>
      <c r="AG2062" t="s">
        <v>125</v>
      </c>
      <c r="AH2062" t="s">
        <v>126</v>
      </c>
      <c r="AI2062" t="str">
        <f>"1701041"</f>
        <v>1701041</v>
      </c>
      <c r="AJ2062" t="s">
        <v>161</v>
      </c>
      <c r="AK2062">
        <v>2810327052</v>
      </c>
      <c r="AL2062" t="s">
        <v>162</v>
      </c>
      <c r="AM2062" t="s">
        <v>78</v>
      </c>
      <c r="AN2062" t="s">
        <v>78</v>
      </c>
      <c r="AO2062" t="s">
        <v>78</v>
      </c>
      <c r="AP2062" t="s">
        <v>163</v>
      </c>
      <c r="AQ2062">
        <v>5</v>
      </c>
      <c r="AR2062" t="s">
        <v>123</v>
      </c>
      <c r="AS2062" t="s">
        <v>124</v>
      </c>
      <c r="AT2062" t="s">
        <v>58</v>
      </c>
      <c r="AU2062" t="s">
        <v>68</v>
      </c>
      <c r="AV2062" t="s">
        <v>69</v>
      </c>
      <c r="AW2062" s="1">
        <v>25151</v>
      </c>
      <c r="AX2062">
        <v>2</v>
      </c>
    </row>
    <row r="2063" spans="1:50">
      <c r="A2063">
        <v>197587</v>
      </c>
      <c r="B2063" t="str">
        <f>"062424350"</f>
        <v>062424350</v>
      </c>
      <c r="C2063" t="s">
        <v>50</v>
      </c>
      <c r="D2063" t="s">
        <v>4279</v>
      </c>
      <c r="E2063" t="s">
        <v>476</v>
      </c>
      <c r="F2063" t="s">
        <v>377</v>
      </c>
      <c r="G2063" t="s">
        <v>112</v>
      </c>
      <c r="H2063" t="str">
        <f>"ΧΑΛΕΠΑΣ 18 ΗΡΑΚΛΕΙΟ"</f>
        <v>ΧΑΛΕΠΑΣ 18 ΗΡΑΚΛΕΙΟ</v>
      </c>
      <c r="I2063">
        <v>71305</v>
      </c>
      <c r="J2063">
        <v>2810214520</v>
      </c>
      <c r="K2063">
        <v>6979338934</v>
      </c>
      <c r="M2063" t="s">
        <v>4280</v>
      </c>
      <c r="N2063" t="s">
        <v>146</v>
      </c>
      <c r="O2063" t="s">
        <v>147</v>
      </c>
      <c r="R2063" t="s">
        <v>57</v>
      </c>
      <c r="S2063">
        <v>7</v>
      </c>
      <c r="T2063">
        <v>206</v>
      </c>
      <c r="U2063" s="1">
        <v>37866</v>
      </c>
      <c r="V2063" t="s">
        <v>123</v>
      </c>
      <c r="W2063" t="s">
        <v>124</v>
      </c>
      <c r="X2063" t="s">
        <v>58</v>
      </c>
      <c r="Y2063">
        <v>20</v>
      </c>
      <c r="Z2063" t="s">
        <v>59</v>
      </c>
      <c r="AA2063" t="s">
        <v>59</v>
      </c>
      <c r="AB2063" t="s">
        <v>59</v>
      </c>
      <c r="AC2063" t="s">
        <v>59</v>
      </c>
      <c r="AD2063" t="s">
        <v>59</v>
      </c>
      <c r="AF2063" s="1">
        <v>37866</v>
      </c>
      <c r="AG2063" t="s">
        <v>148</v>
      </c>
      <c r="AH2063" t="s">
        <v>149</v>
      </c>
      <c r="AI2063" t="str">
        <f>"1751051"</f>
        <v>1751051</v>
      </c>
      <c r="AJ2063" t="s">
        <v>259</v>
      </c>
      <c r="AK2063">
        <v>2810251794</v>
      </c>
      <c r="AL2063" t="s">
        <v>260</v>
      </c>
      <c r="AM2063" t="s">
        <v>78</v>
      </c>
      <c r="AN2063" t="s">
        <v>78</v>
      </c>
      <c r="AO2063" t="s">
        <v>78</v>
      </c>
      <c r="AP2063" t="s">
        <v>141</v>
      </c>
      <c r="AQ2063">
        <v>7</v>
      </c>
      <c r="AR2063" t="s">
        <v>123</v>
      </c>
      <c r="AS2063" t="s">
        <v>124</v>
      </c>
      <c r="AT2063" t="s">
        <v>58</v>
      </c>
      <c r="AU2063" t="s">
        <v>68</v>
      </c>
      <c r="AV2063" t="s">
        <v>69</v>
      </c>
      <c r="AW2063" s="1">
        <v>26795</v>
      </c>
      <c r="AX2063">
        <v>2</v>
      </c>
    </row>
    <row r="2064" spans="1:50">
      <c r="A2064">
        <v>194175</v>
      </c>
      <c r="B2064" t="str">
        <f>"064570519"</f>
        <v>064570519</v>
      </c>
      <c r="C2064" t="s">
        <v>50</v>
      </c>
      <c r="D2064" t="s">
        <v>4281</v>
      </c>
      <c r="E2064" t="s">
        <v>237</v>
      </c>
      <c r="F2064" t="s">
        <v>72</v>
      </c>
      <c r="G2064" t="s">
        <v>255</v>
      </c>
      <c r="H2064" t="str">
        <f>"Ρόδων 3 Ανάληψη"</f>
        <v>Ρόδων 3 Ανάληψη</v>
      </c>
      <c r="I2064">
        <v>71306</v>
      </c>
      <c r="J2064">
        <v>2810220307</v>
      </c>
      <c r="K2064">
        <v>6974338643</v>
      </c>
      <c r="M2064" t="s">
        <v>4282</v>
      </c>
      <c r="N2064" t="s">
        <v>299</v>
      </c>
      <c r="O2064" t="s">
        <v>300</v>
      </c>
      <c r="R2064" t="s">
        <v>57</v>
      </c>
      <c r="S2064">
        <v>10</v>
      </c>
      <c r="T2064">
        <v>193</v>
      </c>
      <c r="U2064" s="1">
        <v>37497</v>
      </c>
      <c r="V2064" t="s">
        <v>123</v>
      </c>
      <c r="W2064" t="s">
        <v>124</v>
      </c>
      <c r="X2064" t="s">
        <v>58</v>
      </c>
      <c r="Y2064">
        <v>18</v>
      </c>
      <c r="Z2064" t="s">
        <v>59</v>
      </c>
      <c r="AA2064" t="s">
        <v>59</v>
      </c>
      <c r="AB2064" t="s">
        <v>59</v>
      </c>
      <c r="AC2064" t="s">
        <v>59</v>
      </c>
      <c r="AD2064" t="s">
        <v>59</v>
      </c>
      <c r="AF2064" s="1">
        <v>37497</v>
      </c>
      <c r="AG2064" t="s">
        <v>148</v>
      </c>
      <c r="AH2064" t="s">
        <v>149</v>
      </c>
      <c r="AI2064" t="str">
        <f>"1751080"</f>
        <v>1751080</v>
      </c>
      <c r="AJ2064" t="s">
        <v>1395</v>
      </c>
      <c r="AK2064">
        <v>2810721380</v>
      </c>
      <c r="AL2064" t="s">
        <v>1396</v>
      </c>
      <c r="AM2064" t="s">
        <v>78</v>
      </c>
      <c r="AN2064" t="s">
        <v>78</v>
      </c>
      <c r="AO2064" t="s">
        <v>185</v>
      </c>
      <c r="AP2064" t="s">
        <v>186</v>
      </c>
      <c r="AQ2064">
        <v>29</v>
      </c>
      <c r="AR2064" t="s">
        <v>123</v>
      </c>
      <c r="AS2064" t="s">
        <v>124</v>
      </c>
      <c r="AT2064" t="s">
        <v>58</v>
      </c>
      <c r="AU2064" t="s">
        <v>68</v>
      </c>
      <c r="AV2064" t="s">
        <v>69</v>
      </c>
      <c r="AW2064" s="1">
        <v>23684</v>
      </c>
      <c r="AX2064">
        <v>2</v>
      </c>
    </row>
    <row r="2065" spans="1:50">
      <c r="A2065">
        <v>227196</v>
      </c>
      <c r="B2065" t="str">
        <f>"063107887"</f>
        <v>063107887</v>
      </c>
      <c r="C2065" t="s">
        <v>50</v>
      </c>
      <c r="D2065" t="s">
        <v>4281</v>
      </c>
      <c r="E2065" t="s">
        <v>237</v>
      </c>
      <c r="F2065" t="s">
        <v>92</v>
      </c>
      <c r="G2065" t="s">
        <v>845</v>
      </c>
      <c r="H2065" t="str">
        <f>"ΗΡΑΚΛΗ 67 ΗΡΑΚΛΕΙΟ"</f>
        <v>ΗΡΑΚΛΗ 67 ΗΡΑΚΛΕΙΟ</v>
      </c>
      <c r="I2065">
        <v>71305</v>
      </c>
      <c r="J2065">
        <v>2810257490</v>
      </c>
      <c r="K2065">
        <v>6932698513</v>
      </c>
      <c r="M2065" t="s">
        <v>4283</v>
      </c>
      <c r="N2065" t="s">
        <v>292</v>
      </c>
      <c r="O2065" t="s">
        <v>293</v>
      </c>
      <c r="R2065" t="s">
        <v>57</v>
      </c>
      <c r="S2065">
        <v>5</v>
      </c>
      <c r="T2065">
        <v>654</v>
      </c>
      <c r="U2065" s="1">
        <v>40043</v>
      </c>
      <c r="V2065" t="s">
        <v>123</v>
      </c>
      <c r="W2065" t="s">
        <v>124</v>
      </c>
      <c r="X2065" t="s">
        <v>58</v>
      </c>
      <c r="Y2065">
        <v>21</v>
      </c>
      <c r="Z2065" t="s">
        <v>59</v>
      </c>
      <c r="AA2065" t="s">
        <v>59</v>
      </c>
      <c r="AB2065" t="s">
        <v>59</v>
      </c>
      <c r="AC2065" t="s">
        <v>59</v>
      </c>
      <c r="AD2065" t="s">
        <v>59</v>
      </c>
      <c r="AF2065" s="1">
        <v>40043</v>
      </c>
      <c r="AG2065" t="s">
        <v>125</v>
      </c>
      <c r="AH2065" t="s">
        <v>126</v>
      </c>
      <c r="AI2065" t="str">
        <f>"1701010"</f>
        <v>1701010</v>
      </c>
      <c r="AJ2065" t="s">
        <v>374</v>
      </c>
      <c r="AK2065">
        <v>2810227148</v>
      </c>
      <c r="AL2065" t="s">
        <v>375</v>
      </c>
      <c r="AM2065" t="s">
        <v>78</v>
      </c>
      <c r="AN2065" t="s">
        <v>78</v>
      </c>
      <c r="AO2065" t="s">
        <v>78</v>
      </c>
      <c r="AP2065" t="s">
        <v>79</v>
      </c>
      <c r="AQ2065">
        <v>1</v>
      </c>
      <c r="AR2065" t="s">
        <v>123</v>
      </c>
      <c r="AS2065" t="s">
        <v>124</v>
      </c>
      <c r="AT2065" t="s">
        <v>58</v>
      </c>
      <c r="AU2065" t="s">
        <v>68</v>
      </c>
      <c r="AV2065" t="s">
        <v>357</v>
      </c>
      <c r="AW2065" s="1">
        <v>27119</v>
      </c>
      <c r="AX2065">
        <v>2</v>
      </c>
    </row>
    <row r="2066" spans="1:50">
      <c r="A2066">
        <v>157764</v>
      </c>
      <c r="B2066" t="str">
        <f>"030875614"</f>
        <v>030875614</v>
      </c>
      <c r="C2066" t="s">
        <v>50</v>
      </c>
      <c r="D2066" t="s">
        <v>4281</v>
      </c>
      <c r="E2066" t="s">
        <v>83</v>
      </c>
      <c r="F2066" t="s">
        <v>72</v>
      </c>
      <c r="G2066" t="s">
        <v>630</v>
      </c>
      <c r="H2066" t="str">
        <f>" "</f>
        <v xml:space="preserve"> </v>
      </c>
      <c r="M2066" t="s">
        <v>4284</v>
      </c>
      <c r="N2066" t="s">
        <v>257</v>
      </c>
      <c r="O2066" t="s">
        <v>258</v>
      </c>
      <c r="R2066" t="s">
        <v>57</v>
      </c>
      <c r="S2066">
        <v>14</v>
      </c>
      <c r="T2066">
        <v>188</v>
      </c>
      <c r="U2066" s="1">
        <v>32752</v>
      </c>
      <c r="V2066" t="s">
        <v>123</v>
      </c>
      <c r="W2066" t="s">
        <v>124</v>
      </c>
      <c r="X2066" t="s">
        <v>58</v>
      </c>
      <c r="Y2066">
        <v>18</v>
      </c>
      <c r="Z2066" t="s">
        <v>59</v>
      </c>
      <c r="AA2066" t="s">
        <v>59</v>
      </c>
      <c r="AB2066" t="s">
        <v>59</v>
      </c>
      <c r="AC2066" t="s">
        <v>59</v>
      </c>
      <c r="AD2066" t="s">
        <v>59</v>
      </c>
      <c r="AF2066" s="1">
        <v>32806</v>
      </c>
      <c r="AG2066" t="s">
        <v>137</v>
      </c>
      <c r="AH2066" t="s">
        <v>469</v>
      </c>
      <c r="AI2066" t="str">
        <f>"1740200"</f>
        <v>1740200</v>
      </c>
      <c r="AJ2066" t="s">
        <v>470</v>
      </c>
      <c r="AK2066">
        <v>2810320770</v>
      </c>
      <c r="AL2066" t="s">
        <v>471</v>
      </c>
      <c r="AM2066" t="s">
        <v>78</v>
      </c>
      <c r="AN2066" t="s">
        <v>78</v>
      </c>
      <c r="AO2066" t="s">
        <v>78</v>
      </c>
      <c r="AP2066" t="s">
        <v>163</v>
      </c>
      <c r="AQ2066">
        <v>2</v>
      </c>
      <c r="AR2066" t="s">
        <v>123</v>
      </c>
      <c r="AS2066" t="s">
        <v>124</v>
      </c>
      <c r="AT2066" t="s">
        <v>58</v>
      </c>
      <c r="AU2066" t="s">
        <v>68</v>
      </c>
      <c r="AV2066" t="s">
        <v>69</v>
      </c>
      <c r="AW2066" s="1">
        <v>21949</v>
      </c>
      <c r="AX2066">
        <v>2</v>
      </c>
    </row>
    <row r="2067" spans="1:50">
      <c r="A2067">
        <v>701255</v>
      </c>
      <c r="B2067" t="str">
        <f>"119685546"</f>
        <v>119685546</v>
      </c>
      <c r="C2067" t="s">
        <v>50</v>
      </c>
      <c r="D2067" t="s">
        <v>4281</v>
      </c>
      <c r="E2067" t="s">
        <v>314</v>
      </c>
      <c r="F2067" t="s">
        <v>166</v>
      </c>
      <c r="G2067" t="s">
        <v>181</v>
      </c>
      <c r="H2067" t="str">
        <f>"ΤΗΝΟΥ 9 ΗΡΑΚΛΕΙΟ"</f>
        <v>ΤΗΝΟΥ 9 ΗΡΑΚΛΕΙΟ</v>
      </c>
      <c r="I2067">
        <v>71304</v>
      </c>
      <c r="J2067">
        <v>2810314153</v>
      </c>
      <c r="K2067">
        <v>6977484016</v>
      </c>
      <c r="M2067" t="s">
        <v>2562</v>
      </c>
      <c r="N2067" t="s">
        <v>146</v>
      </c>
      <c r="O2067" t="s">
        <v>147</v>
      </c>
      <c r="R2067" t="s">
        <v>57</v>
      </c>
      <c r="S2067">
        <v>6</v>
      </c>
      <c r="T2067">
        <v>772</v>
      </c>
      <c r="U2067" s="1">
        <v>40413</v>
      </c>
      <c r="V2067" t="s">
        <v>123</v>
      </c>
      <c r="W2067" t="s">
        <v>124</v>
      </c>
      <c r="X2067" t="s">
        <v>58</v>
      </c>
      <c r="Y2067">
        <v>21</v>
      </c>
      <c r="Z2067" t="s">
        <v>59</v>
      </c>
      <c r="AA2067" t="s">
        <v>59</v>
      </c>
      <c r="AB2067" t="s">
        <v>59</v>
      </c>
      <c r="AC2067" t="s">
        <v>59</v>
      </c>
      <c r="AD2067" t="s">
        <v>59</v>
      </c>
      <c r="AF2067" s="1">
        <v>40413</v>
      </c>
      <c r="AG2067" t="s">
        <v>148</v>
      </c>
      <c r="AH2067" t="s">
        <v>149</v>
      </c>
      <c r="AI2067" t="str">
        <f>"1751042"</f>
        <v>1751042</v>
      </c>
      <c r="AJ2067" t="s">
        <v>959</v>
      </c>
      <c r="AK2067">
        <v>2810220685</v>
      </c>
      <c r="AL2067" t="s">
        <v>960</v>
      </c>
      <c r="AM2067" t="s">
        <v>78</v>
      </c>
      <c r="AN2067" t="s">
        <v>78</v>
      </c>
      <c r="AO2067" t="s">
        <v>78</v>
      </c>
      <c r="AP2067" t="s">
        <v>213</v>
      </c>
      <c r="AQ2067">
        <v>6</v>
      </c>
      <c r="AR2067" t="s">
        <v>123</v>
      </c>
      <c r="AS2067" t="s">
        <v>124</v>
      </c>
      <c r="AT2067" t="s">
        <v>58</v>
      </c>
      <c r="AU2067" t="s">
        <v>68</v>
      </c>
      <c r="AV2067" t="s">
        <v>69</v>
      </c>
      <c r="AW2067" s="1">
        <v>29311</v>
      </c>
      <c r="AX2067">
        <v>2</v>
      </c>
    </row>
    <row r="2068" spans="1:50">
      <c r="A2068">
        <v>202107</v>
      </c>
      <c r="B2068" t="str">
        <f>"045643885"</f>
        <v>045643885</v>
      </c>
      <c r="C2068" t="s">
        <v>50</v>
      </c>
      <c r="D2068" t="s">
        <v>4281</v>
      </c>
      <c r="E2068" t="s">
        <v>335</v>
      </c>
      <c r="F2068" t="s">
        <v>154</v>
      </c>
      <c r="G2068" t="s">
        <v>155</v>
      </c>
      <c r="H2068" t="str">
        <f>"ΛΑΠΠΑ 26 ΗΡΑΚΛΕΙΟ"</f>
        <v>ΛΑΠΠΑ 26 ΗΡΑΚΛΕΙΟ</v>
      </c>
      <c r="I2068">
        <v>71305</v>
      </c>
      <c r="J2068">
        <v>2810313624</v>
      </c>
      <c r="K2068">
        <v>6978286193</v>
      </c>
      <c r="M2068" t="s">
        <v>4285</v>
      </c>
      <c r="N2068" t="s">
        <v>146</v>
      </c>
      <c r="O2068" t="s">
        <v>147</v>
      </c>
      <c r="R2068" t="s">
        <v>57</v>
      </c>
      <c r="S2068">
        <v>7</v>
      </c>
      <c r="T2068">
        <v>231</v>
      </c>
      <c r="U2068" s="1">
        <v>38230</v>
      </c>
      <c r="V2068" t="s">
        <v>123</v>
      </c>
      <c r="W2068" t="s">
        <v>124</v>
      </c>
      <c r="X2068" t="s">
        <v>58</v>
      </c>
      <c r="Y2068">
        <v>20</v>
      </c>
      <c r="Z2068" t="s">
        <v>59</v>
      </c>
      <c r="AA2068" t="s">
        <v>59</v>
      </c>
      <c r="AB2068" t="s">
        <v>59</v>
      </c>
      <c r="AC2068" t="s">
        <v>59</v>
      </c>
      <c r="AD2068" t="s">
        <v>59</v>
      </c>
      <c r="AF2068" s="1">
        <v>38232</v>
      </c>
      <c r="AG2068" t="s">
        <v>148</v>
      </c>
      <c r="AH2068" t="s">
        <v>149</v>
      </c>
      <c r="AI2068" t="str">
        <f>"1790070"</f>
        <v>1790070</v>
      </c>
      <c r="AJ2068" t="s">
        <v>1283</v>
      </c>
      <c r="AK2068">
        <v>2810252154</v>
      </c>
      <c r="AL2068" t="s">
        <v>1284</v>
      </c>
      <c r="AM2068" t="s">
        <v>78</v>
      </c>
      <c r="AN2068" t="s">
        <v>78</v>
      </c>
      <c r="AO2068" t="s">
        <v>78</v>
      </c>
      <c r="AP2068" t="s">
        <v>141</v>
      </c>
      <c r="AQ2068">
        <v>7</v>
      </c>
      <c r="AR2068" t="s">
        <v>123</v>
      </c>
      <c r="AS2068" t="s">
        <v>124</v>
      </c>
      <c r="AT2068" t="s">
        <v>58</v>
      </c>
      <c r="AU2068" t="s">
        <v>68</v>
      </c>
      <c r="AV2068" t="s">
        <v>357</v>
      </c>
      <c r="AW2068" s="1">
        <v>25376</v>
      </c>
      <c r="AX2068">
        <v>2</v>
      </c>
    </row>
    <row r="2069" spans="1:50">
      <c r="A2069">
        <v>226324</v>
      </c>
      <c r="B2069" t="str">
        <f>"061765563"</f>
        <v>061765563</v>
      </c>
      <c r="C2069" t="s">
        <v>105</v>
      </c>
      <c r="D2069" t="s">
        <v>4286</v>
      </c>
      <c r="E2069" t="s">
        <v>95</v>
      </c>
      <c r="F2069" t="s">
        <v>311</v>
      </c>
      <c r="G2069" t="s">
        <v>250</v>
      </c>
      <c r="H2069" t="str">
        <f>"ΚΑΠΕΤΑΝΙΣΣΗΣ ΜΑΡΙΓΩΣ 42 ΗΡΑΚΛΕΙΟ"</f>
        <v>ΚΑΠΕΤΑΝΙΣΣΗΣ ΜΑΡΙΓΩΣ 42 ΗΡΑΚΛΕΙΟ</v>
      </c>
      <c r="I2069">
        <v>71201</v>
      </c>
      <c r="J2069">
        <v>2811107438</v>
      </c>
      <c r="K2069">
        <v>6945138418</v>
      </c>
      <c r="L2069">
        <v>2894031157</v>
      </c>
      <c r="N2069" t="s">
        <v>157</v>
      </c>
      <c r="O2069" t="s">
        <v>158</v>
      </c>
      <c r="R2069" t="s">
        <v>57</v>
      </c>
      <c r="S2069">
        <v>5</v>
      </c>
      <c r="T2069">
        <v>654</v>
      </c>
      <c r="U2069" s="1">
        <v>40043</v>
      </c>
      <c r="V2069" t="s">
        <v>123</v>
      </c>
      <c r="W2069" t="s">
        <v>124</v>
      </c>
      <c r="X2069" t="s">
        <v>58</v>
      </c>
      <c r="Y2069">
        <v>21</v>
      </c>
      <c r="Z2069" t="s">
        <v>59</v>
      </c>
      <c r="AA2069" t="s">
        <v>59</v>
      </c>
      <c r="AB2069" t="s">
        <v>59</v>
      </c>
      <c r="AC2069" t="s">
        <v>59</v>
      </c>
      <c r="AD2069" t="s">
        <v>59</v>
      </c>
      <c r="AF2069" s="1">
        <v>40043</v>
      </c>
      <c r="AG2069" t="s">
        <v>125</v>
      </c>
      <c r="AH2069" t="s">
        <v>126</v>
      </c>
      <c r="AI2069" t="str">
        <f>"1701056"</f>
        <v>1701056</v>
      </c>
      <c r="AJ2069" t="s">
        <v>211</v>
      </c>
      <c r="AK2069">
        <v>2810245445</v>
      </c>
      <c r="AL2069" t="s">
        <v>212</v>
      </c>
      <c r="AM2069" t="s">
        <v>78</v>
      </c>
      <c r="AN2069" t="s">
        <v>78</v>
      </c>
      <c r="AO2069" t="s">
        <v>78</v>
      </c>
      <c r="AP2069" t="s">
        <v>213</v>
      </c>
      <c r="AQ2069">
        <v>6</v>
      </c>
      <c r="AR2069" t="s">
        <v>123</v>
      </c>
      <c r="AS2069" t="s">
        <v>124</v>
      </c>
      <c r="AT2069" t="s">
        <v>58</v>
      </c>
      <c r="AU2069" t="s">
        <v>68</v>
      </c>
      <c r="AV2069" t="s">
        <v>69</v>
      </c>
      <c r="AW2069" s="1">
        <v>27364</v>
      </c>
      <c r="AX2069">
        <v>2</v>
      </c>
    </row>
    <row r="2070" spans="1:50">
      <c r="A2070">
        <v>164461</v>
      </c>
      <c r="B2070" t="str">
        <f>"034858160"</f>
        <v>034858160</v>
      </c>
      <c r="C2070" t="s">
        <v>105</v>
      </c>
      <c r="D2070" t="s">
        <v>4286</v>
      </c>
      <c r="E2070" t="s">
        <v>311</v>
      </c>
      <c r="F2070" t="s">
        <v>521</v>
      </c>
      <c r="G2070" t="s">
        <v>52</v>
      </c>
      <c r="H2070" t="str">
        <f>" "</f>
        <v xml:space="preserve"> </v>
      </c>
      <c r="I2070">
        <v>70200</v>
      </c>
      <c r="J2070">
        <v>2892053122</v>
      </c>
      <c r="K2070">
        <v>6946658246</v>
      </c>
      <c r="N2070" t="s">
        <v>292</v>
      </c>
      <c r="O2070" t="s">
        <v>293</v>
      </c>
      <c r="R2070" t="s">
        <v>57</v>
      </c>
      <c r="S2070">
        <v>13</v>
      </c>
      <c r="T2070">
        <v>161</v>
      </c>
      <c r="U2070" s="1">
        <v>33844</v>
      </c>
      <c r="V2070" t="s">
        <v>123</v>
      </c>
      <c r="W2070" t="s">
        <v>124</v>
      </c>
      <c r="X2070" t="s">
        <v>58</v>
      </c>
      <c r="Y2070">
        <v>18</v>
      </c>
      <c r="Z2070" t="s">
        <v>59</v>
      </c>
      <c r="AA2070" t="s">
        <v>59</v>
      </c>
      <c r="AB2070" t="s">
        <v>59</v>
      </c>
      <c r="AC2070" t="s">
        <v>59</v>
      </c>
      <c r="AD2070" t="s">
        <v>59</v>
      </c>
      <c r="AF2070" s="1">
        <v>33850</v>
      </c>
      <c r="AG2070" t="s">
        <v>148</v>
      </c>
      <c r="AH2070" t="s">
        <v>149</v>
      </c>
      <c r="AI2070" t="str">
        <f>"1763010"</f>
        <v>1763010</v>
      </c>
      <c r="AJ2070" t="s">
        <v>560</v>
      </c>
      <c r="AK2070">
        <v>2892051146</v>
      </c>
      <c r="AL2070" t="s">
        <v>561</v>
      </c>
      <c r="AM2070" t="s">
        <v>78</v>
      </c>
      <c r="AN2070" t="s">
        <v>242</v>
      </c>
      <c r="AO2070" t="s">
        <v>349</v>
      </c>
      <c r="AP2070" t="s">
        <v>349</v>
      </c>
      <c r="AQ2070">
        <v>35</v>
      </c>
      <c r="AR2070" t="s">
        <v>123</v>
      </c>
      <c r="AS2070" t="s">
        <v>124</v>
      </c>
      <c r="AT2070" t="s">
        <v>58</v>
      </c>
      <c r="AU2070" t="s">
        <v>68</v>
      </c>
      <c r="AV2070" t="s">
        <v>69</v>
      </c>
      <c r="AW2070" s="1">
        <v>20780</v>
      </c>
      <c r="AX2070">
        <v>2</v>
      </c>
    </row>
    <row r="2071" spans="1:50">
      <c r="A2071">
        <v>200245</v>
      </c>
      <c r="B2071" t="str">
        <f>"079813950"</f>
        <v>079813950</v>
      </c>
      <c r="C2071" t="s">
        <v>105</v>
      </c>
      <c r="D2071" t="s">
        <v>4286</v>
      </c>
      <c r="E2071" t="s">
        <v>72</v>
      </c>
      <c r="F2071" t="s">
        <v>53</v>
      </c>
      <c r="G2071" t="s">
        <v>215</v>
      </c>
      <c r="H2071" t="str">
        <f>" "</f>
        <v xml:space="preserve"> </v>
      </c>
      <c r="J2071">
        <v>2810256219</v>
      </c>
      <c r="K2071">
        <v>6944698332</v>
      </c>
      <c r="M2071" t="s">
        <v>4287</v>
      </c>
      <c r="N2071" t="s">
        <v>204</v>
      </c>
      <c r="O2071" t="s">
        <v>205</v>
      </c>
      <c r="R2071" t="s">
        <v>57</v>
      </c>
      <c r="S2071">
        <v>9</v>
      </c>
      <c r="T2071">
        <v>206</v>
      </c>
      <c r="U2071" s="1">
        <v>37866</v>
      </c>
      <c r="V2071" t="s">
        <v>123</v>
      </c>
      <c r="W2071" t="s">
        <v>124</v>
      </c>
      <c r="X2071" t="s">
        <v>58</v>
      </c>
      <c r="Y2071">
        <v>20</v>
      </c>
      <c r="Z2071" t="s">
        <v>59</v>
      </c>
      <c r="AA2071" t="s">
        <v>59</v>
      </c>
      <c r="AB2071" t="s">
        <v>59</v>
      </c>
      <c r="AC2071" t="s">
        <v>59</v>
      </c>
      <c r="AD2071" t="s">
        <v>452</v>
      </c>
      <c r="AE2071" s="1">
        <v>43708</v>
      </c>
      <c r="AF2071" s="1">
        <v>37866</v>
      </c>
      <c r="AG2071" t="s">
        <v>60</v>
      </c>
      <c r="AH2071" t="s">
        <v>453</v>
      </c>
      <c r="AI2071" t="str">
        <f>"1700105"</f>
        <v>1700105</v>
      </c>
      <c r="AJ2071" t="s">
        <v>124</v>
      </c>
      <c r="AK2071">
        <v>2810333720</v>
      </c>
      <c r="AL2071" t="s">
        <v>454</v>
      </c>
      <c r="AM2071" t="s">
        <v>78</v>
      </c>
      <c r="AN2071" t="s">
        <v>78</v>
      </c>
      <c r="AO2071" t="s">
        <v>78</v>
      </c>
      <c r="AP2071" t="s">
        <v>79</v>
      </c>
      <c r="AS2071" t="s">
        <v>124</v>
      </c>
      <c r="AT2071" t="s">
        <v>58</v>
      </c>
      <c r="AU2071" t="s">
        <v>68</v>
      </c>
      <c r="AV2071" t="s">
        <v>455</v>
      </c>
      <c r="AW2071" s="1">
        <v>26953</v>
      </c>
      <c r="AX2071">
        <v>2</v>
      </c>
    </row>
    <row r="2072" spans="1:50">
      <c r="A2072">
        <v>170163</v>
      </c>
      <c r="B2072" t="str">
        <f>"043888985"</f>
        <v>043888985</v>
      </c>
      <c r="C2072" t="s">
        <v>105</v>
      </c>
      <c r="D2072" t="s">
        <v>4286</v>
      </c>
      <c r="E2072" t="s">
        <v>1328</v>
      </c>
      <c r="F2072" t="s">
        <v>95</v>
      </c>
      <c r="G2072" t="s">
        <v>52</v>
      </c>
      <c r="H2072" t="str">
        <f>"ΣΤΕΡΓΙΟΓΙΑΝΝΗ 31 ΗΡΑΚΛΕΙΟ"</f>
        <v>ΣΤΕΡΓΙΟΓΙΑΝΝΗ 31 ΗΡΑΚΛΕΙΟ</v>
      </c>
      <c r="I2072">
        <v>71305</v>
      </c>
      <c r="J2072">
        <v>2810252210</v>
      </c>
      <c r="N2072" t="s">
        <v>146</v>
      </c>
      <c r="O2072" t="s">
        <v>147</v>
      </c>
      <c r="R2072" t="s">
        <v>57</v>
      </c>
      <c r="S2072">
        <v>12</v>
      </c>
      <c r="T2072">
        <v>184</v>
      </c>
      <c r="U2072" s="1">
        <v>34941</v>
      </c>
      <c r="V2072" t="s">
        <v>123</v>
      </c>
      <c r="W2072" t="s">
        <v>124</v>
      </c>
      <c r="X2072" t="s">
        <v>58</v>
      </c>
      <c r="Y2072">
        <v>18</v>
      </c>
      <c r="Z2072" t="s">
        <v>59</v>
      </c>
      <c r="AA2072" t="s">
        <v>59</v>
      </c>
      <c r="AB2072" t="s">
        <v>59</v>
      </c>
      <c r="AC2072" t="s">
        <v>59</v>
      </c>
      <c r="AD2072" t="s">
        <v>59</v>
      </c>
      <c r="AF2072" s="1">
        <v>34947</v>
      </c>
      <c r="AG2072" t="s">
        <v>148</v>
      </c>
      <c r="AH2072" t="s">
        <v>149</v>
      </c>
      <c r="AI2072" t="str">
        <f>"1751020"</f>
        <v>1751020</v>
      </c>
      <c r="AJ2072" t="s">
        <v>532</v>
      </c>
      <c r="AK2072">
        <v>2810372732</v>
      </c>
      <c r="AL2072" t="s">
        <v>533</v>
      </c>
      <c r="AM2072" t="s">
        <v>78</v>
      </c>
      <c r="AN2072" t="s">
        <v>78</v>
      </c>
      <c r="AO2072" t="s">
        <v>78</v>
      </c>
      <c r="AP2072" t="s">
        <v>163</v>
      </c>
      <c r="AQ2072">
        <v>3</v>
      </c>
      <c r="AR2072" t="s">
        <v>123</v>
      </c>
      <c r="AS2072" t="s">
        <v>124</v>
      </c>
      <c r="AT2072" t="s">
        <v>58</v>
      </c>
      <c r="AU2072" t="s">
        <v>68</v>
      </c>
      <c r="AV2072" t="s">
        <v>69</v>
      </c>
      <c r="AW2072" s="1">
        <v>23996</v>
      </c>
      <c r="AX2072">
        <v>2</v>
      </c>
    </row>
    <row r="2073" spans="1:50">
      <c r="A2073">
        <v>167188</v>
      </c>
      <c r="B2073" t="str">
        <f>"051876372"</f>
        <v>051876372</v>
      </c>
      <c r="C2073" t="s">
        <v>105</v>
      </c>
      <c r="D2073" t="s">
        <v>4286</v>
      </c>
      <c r="E2073" t="s">
        <v>106</v>
      </c>
      <c r="F2073" t="s">
        <v>99</v>
      </c>
      <c r="G2073" t="s">
        <v>114</v>
      </c>
      <c r="H2073" t="str">
        <f>" "</f>
        <v xml:space="preserve"> </v>
      </c>
      <c r="N2073" t="s">
        <v>204</v>
      </c>
      <c r="O2073" t="s">
        <v>205</v>
      </c>
      <c r="R2073" t="s">
        <v>57</v>
      </c>
      <c r="S2073">
        <v>12</v>
      </c>
      <c r="T2073">
        <v>154</v>
      </c>
      <c r="U2073" s="1">
        <v>34225</v>
      </c>
      <c r="V2073" t="s">
        <v>123</v>
      </c>
      <c r="W2073" t="s">
        <v>124</v>
      </c>
      <c r="X2073" t="s">
        <v>58</v>
      </c>
      <c r="Y2073">
        <v>18</v>
      </c>
      <c r="Z2073" t="s">
        <v>59</v>
      </c>
      <c r="AA2073" t="s">
        <v>59</v>
      </c>
      <c r="AB2073" t="s">
        <v>59</v>
      </c>
      <c r="AC2073" t="s">
        <v>59</v>
      </c>
      <c r="AD2073" t="s">
        <v>59</v>
      </c>
      <c r="AF2073" s="1">
        <v>34225</v>
      </c>
      <c r="AG2073" t="s">
        <v>137</v>
      </c>
      <c r="AH2073" t="s">
        <v>138</v>
      </c>
      <c r="AI2073" t="str">
        <f>"1740070"</f>
        <v>1740070</v>
      </c>
      <c r="AJ2073" t="s">
        <v>206</v>
      </c>
      <c r="AK2073">
        <v>2810324880</v>
      </c>
      <c r="AL2073" t="s">
        <v>207</v>
      </c>
      <c r="AM2073" t="s">
        <v>78</v>
      </c>
      <c r="AN2073" t="s">
        <v>78</v>
      </c>
      <c r="AO2073" t="s">
        <v>78</v>
      </c>
      <c r="AP2073" t="s">
        <v>163</v>
      </c>
      <c r="AQ2073">
        <v>9</v>
      </c>
      <c r="AR2073" t="s">
        <v>123</v>
      </c>
      <c r="AS2073" t="s">
        <v>124</v>
      </c>
      <c r="AT2073" t="s">
        <v>58</v>
      </c>
      <c r="AU2073" t="s">
        <v>68</v>
      </c>
      <c r="AV2073" t="s">
        <v>69</v>
      </c>
      <c r="AW2073" s="1">
        <v>22342</v>
      </c>
      <c r="AX2073">
        <v>2</v>
      </c>
    </row>
    <row r="2074" spans="1:50">
      <c r="A2074">
        <v>161666</v>
      </c>
      <c r="B2074" t="str">
        <f>"035223975"</f>
        <v>035223975</v>
      </c>
      <c r="C2074" t="s">
        <v>50</v>
      </c>
      <c r="D2074" t="s">
        <v>4288</v>
      </c>
      <c r="E2074" t="s">
        <v>134</v>
      </c>
      <c r="F2074" t="s">
        <v>53</v>
      </c>
      <c r="G2074" t="s">
        <v>4289</v>
      </c>
      <c r="H2074" t="str">
        <f>" "</f>
        <v xml:space="preserve"> </v>
      </c>
      <c r="N2074" t="s">
        <v>299</v>
      </c>
      <c r="O2074" t="s">
        <v>300</v>
      </c>
      <c r="P2074" t="s">
        <v>615</v>
      </c>
      <c r="Q2074" t="s">
        <v>616</v>
      </c>
      <c r="R2074" t="s">
        <v>57</v>
      </c>
      <c r="S2074">
        <v>14</v>
      </c>
      <c r="T2074">
        <v>161</v>
      </c>
      <c r="U2074" s="1">
        <v>33119</v>
      </c>
      <c r="V2074" t="s">
        <v>123</v>
      </c>
      <c r="W2074" t="s">
        <v>124</v>
      </c>
      <c r="X2074" t="s">
        <v>58</v>
      </c>
      <c r="Y2074">
        <v>18</v>
      </c>
      <c r="Z2074" t="s">
        <v>59</v>
      </c>
      <c r="AA2074" t="s">
        <v>59</v>
      </c>
      <c r="AB2074" t="s">
        <v>59</v>
      </c>
      <c r="AC2074" t="s">
        <v>59</v>
      </c>
      <c r="AD2074" t="s">
        <v>59</v>
      </c>
      <c r="AF2074" s="1">
        <v>33119</v>
      </c>
      <c r="AG2074" t="s">
        <v>137</v>
      </c>
      <c r="AH2074" t="s">
        <v>138</v>
      </c>
      <c r="AI2074" t="str">
        <f>"1740070"</f>
        <v>1740070</v>
      </c>
      <c r="AJ2074" t="s">
        <v>206</v>
      </c>
      <c r="AK2074">
        <v>2810324880</v>
      </c>
      <c r="AL2074" t="s">
        <v>207</v>
      </c>
      <c r="AM2074" t="s">
        <v>78</v>
      </c>
      <c r="AN2074" t="s">
        <v>78</v>
      </c>
      <c r="AO2074" t="s">
        <v>78</v>
      </c>
      <c r="AP2074" t="s">
        <v>163</v>
      </c>
      <c r="AQ2074">
        <v>9</v>
      </c>
      <c r="AR2074" t="s">
        <v>123</v>
      </c>
      <c r="AS2074" t="s">
        <v>124</v>
      </c>
      <c r="AT2074" t="s">
        <v>58</v>
      </c>
      <c r="AU2074" t="s">
        <v>68</v>
      </c>
      <c r="AV2074" t="s">
        <v>69</v>
      </c>
      <c r="AW2074" s="1">
        <v>23194</v>
      </c>
      <c r="AX2074">
        <v>2</v>
      </c>
    </row>
    <row r="2075" spans="1:50">
      <c r="A2075">
        <v>702396</v>
      </c>
      <c r="B2075" t="str">
        <f>"049688612"</f>
        <v>049688612</v>
      </c>
      <c r="C2075" t="s">
        <v>50</v>
      </c>
      <c r="D2075" t="s">
        <v>4290</v>
      </c>
      <c r="E2075" t="s">
        <v>250</v>
      </c>
      <c r="F2075" t="s">
        <v>84</v>
      </c>
      <c r="G2075" t="s">
        <v>372</v>
      </c>
      <c r="H2075" t="str">
        <f>"ΓΕΩΡΓΙΟΥ ΓΕΝΗΜΑΤΑ 13 "</f>
        <v xml:space="preserve">ΓΕΩΡΓΙΟΥ ΓΕΝΗΜΑΤΑ 13 </v>
      </c>
      <c r="I2075">
        <v>71305</v>
      </c>
      <c r="J2075">
        <v>2810234504</v>
      </c>
      <c r="K2075">
        <v>6974607808</v>
      </c>
      <c r="M2075" t="s">
        <v>4291</v>
      </c>
      <c r="N2075" t="s">
        <v>146</v>
      </c>
      <c r="O2075" t="s">
        <v>147</v>
      </c>
      <c r="R2075" t="s">
        <v>57</v>
      </c>
      <c r="S2075">
        <v>7</v>
      </c>
      <c r="T2075">
        <v>772</v>
      </c>
      <c r="U2075" s="1">
        <v>40413</v>
      </c>
      <c r="V2075" t="s">
        <v>123</v>
      </c>
      <c r="W2075" t="s">
        <v>124</v>
      </c>
      <c r="X2075" t="s">
        <v>58</v>
      </c>
      <c r="Y2075">
        <v>21</v>
      </c>
      <c r="Z2075" t="s">
        <v>59</v>
      </c>
      <c r="AA2075" t="s">
        <v>59</v>
      </c>
      <c r="AB2075" t="s">
        <v>59</v>
      </c>
      <c r="AC2075" t="s">
        <v>59</v>
      </c>
      <c r="AD2075" t="s">
        <v>59</v>
      </c>
      <c r="AF2075" s="1">
        <v>40413</v>
      </c>
      <c r="AG2075" t="s">
        <v>125</v>
      </c>
      <c r="AH2075" t="s">
        <v>126</v>
      </c>
      <c r="AI2075" t="str">
        <f>"1701053"</f>
        <v>1701053</v>
      </c>
      <c r="AJ2075" t="s">
        <v>398</v>
      </c>
      <c r="AK2075">
        <v>2810251434</v>
      </c>
      <c r="AL2075" t="s">
        <v>399</v>
      </c>
      <c r="AM2075" t="s">
        <v>78</v>
      </c>
      <c r="AN2075" t="s">
        <v>78</v>
      </c>
      <c r="AO2075" t="s">
        <v>78</v>
      </c>
      <c r="AP2075" t="s">
        <v>141</v>
      </c>
      <c r="AQ2075">
        <v>7</v>
      </c>
      <c r="AR2075" t="s">
        <v>123</v>
      </c>
      <c r="AS2075" t="s">
        <v>124</v>
      </c>
      <c r="AT2075" t="s">
        <v>58</v>
      </c>
      <c r="AU2075" t="s">
        <v>68</v>
      </c>
      <c r="AV2075" t="s">
        <v>69</v>
      </c>
      <c r="AW2075" s="1">
        <v>28433</v>
      </c>
      <c r="AX2075">
        <v>2</v>
      </c>
    </row>
    <row r="2076" spans="1:50">
      <c r="A2076">
        <v>218809</v>
      </c>
      <c r="B2076" t="str">
        <f>"110701362"</f>
        <v>110701362</v>
      </c>
      <c r="C2076" t="s">
        <v>50</v>
      </c>
      <c r="D2076" t="s">
        <v>4292</v>
      </c>
      <c r="E2076" t="s">
        <v>1189</v>
      </c>
      <c r="F2076" t="s">
        <v>383</v>
      </c>
      <c r="G2076" t="s">
        <v>52</v>
      </c>
      <c r="H2076" t="str">
        <f>"ΜΟΧΟΣ ΜΟΧΟΥ"</f>
        <v>ΜΟΧΟΣ ΜΟΧΟΥ</v>
      </c>
      <c r="I2076">
        <v>70005</v>
      </c>
      <c r="J2076">
        <v>2897031859</v>
      </c>
      <c r="K2076">
        <v>6945633949</v>
      </c>
      <c r="M2076" t="s">
        <v>4293</v>
      </c>
      <c r="N2076" t="s">
        <v>199</v>
      </c>
      <c r="O2076" t="s">
        <v>200</v>
      </c>
      <c r="R2076" t="s">
        <v>57</v>
      </c>
      <c r="S2076">
        <v>8</v>
      </c>
      <c r="T2076">
        <v>599</v>
      </c>
      <c r="U2076" s="1">
        <v>39310</v>
      </c>
      <c r="V2076" t="s">
        <v>123</v>
      </c>
      <c r="W2076" t="s">
        <v>124</v>
      </c>
      <c r="X2076" t="s">
        <v>58</v>
      </c>
      <c r="Y2076">
        <v>20</v>
      </c>
      <c r="Z2076" t="s">
        <v>59</v>
      </c>
      <c r="AA2076" t="s">
        <v>59</v>
      </c>
      <c r="AB2076" t="s">
        <v>59</v>
      </c>
      <c r="AC2076" t="s">
        <v>59</v>
      </c>
      <c r="AD2076" t="s">
        <v>59</v>
      </c>
      <c r="AF2076" s="1">
        <v>39328</v>
      </c>
      <c r="AG2076" t="s">
        <v>148</v>
      </c>
      <c r="AH2076" t="s">
        <v>149</v>
      </c>
      <c r="AI2076" t="str">
        <f>"1751052"</f>
        <v>1751052</v>
      </c>
      <c r="AJ2076" t="s">
        <v>328</v>
      </c>
      <c r="AK2076">
        <v>2810213762</v>
      </c>
      <c r="AL2076" t="s">
        <v>329</v>
      </c>
      <c r="AM2076" t="s">
        <v>78</v>
      </c>
      <c r="AN2076" t="s">
        <v>78</v>
      </c>
      <c r="AO2076" t="s">
        <v>78</v>
      </c>
      <c r="AP2076" t="s">
        <v>163</v>
      </c>
      <c r="AQ2076">
        <v>8</v>
      </c>
      <c r="AR2076" t="s">
        <v>123</v>
      </c>
      <c r="AS2076" t="s">
        <v>124</v>
      </c>
      <c r="AT2076" t="s">
        <v>58</v>
      </c>
      <c r="AU2076" t="s">
        <v>68</v>
      </c>
      <c r="AV2076" t="s">
        <v>69</v>
      </c>
      <c r="AW2076" s="1">
        <v>26802</v>
      </c>
      <c r="AX2076">
        <v>2</v>
      </c>
    </row>
    <row r="2077" spans="1:50">
      <c r="A2077">
        <v>208316</v>
      </c>
      <c r="B2077" t="str">
        <f>"061993142"</f>
        <v>061993142</v>
      </c>
      <c r="C2077" t="s">
        <v>50</v>
      </c>
      <c r="D2077" t="s">
        <v>4294</v>
      </c>
      <c r="E2077" t="s">
        <v>1108</v>
      </c>
      <c r="F2077" t="s">
        <v>72</v>
      </c>
      <c r="G2077" t="s">
        <v>255</v>
      </c>
      <c r="H2077" t="str">
        <f>"ΑΡΙΣΤΟΦΑΝΗ 6 ΠΕΡΑΙΑ ΘΕΣΣΑΛΟΝΙΚΗΣ"</f>
        <v>ΑΡΙΣΤΟΦΑΝΗ 6 ΠΕΡΑΙΑ ΘΕΣΣΑΛΟΝΙΚΗΣ</v>
      </c>
      <c r="I2077">
        <v>57019</v>
      </c>
      <c r="J2077">
        <v>2392020349</v>
      </c>
      <c r="K2077">
        <v>6936581349</v>
      </c>
      <c r="M2077" t="s">
        <v>4295</v>
      </c>
      <c r="N2077" t="s">
        <v>176</v>
      </c>
      <c r="O2077" t="s">
        <v>177</v>
      </c>
      <c r="R2077" t="s">
        <v>57</v>
      </c>
      <c r="S2077">
        <v>9</v>
      </c>
      <c r="T2077">
        <v>218</v>
      </c>
      <c r="U2077" s="1">
        <v>38596</v>
      </c>
      <c r="V2077" t="s">
        <v>123</v>
      </c>
      <c r="W2077" t="s">
        <v>124</v>
      </c>
      <c r="X2077" t="s">
        <v>58</v>
      </c>
      <c r="Y2077">
        <v>20</v>
      </c>
      <c r="Z2077" t="s">
        <v>59</v>
      </c>
      <c r="AA2077" t="s">
        <v>59</v>
      </c>
      <c r="AB2077" t="s">
        <v>59</v>
      </c>
      <c r="AC2077" t="s">
        <v>59</v>
      </c>
      <c r="AD2077" t="s">
        <v>59</v>
      </c>
      <c r="AF2077" s="1">
        <v>38603</v>
      </c>
      <c r="AG2077" t="s">
        <v>148</v>
      </c>
      <c r="AH2077" t="s">
        <v>149</v>
      </c>
      <c r="AI2077" t="str">
        <f>"1778010"</f>
        <v>1778010</v>
      </c>
      <c r="AJ2077" t="s">
        <v>672</v>
      </c>
      <c r="AK2077">
        <v>2810822455</v>
      </c>
      <c r="AL2077" t="s">
        <v>673</v>
      </c>
      <c r="AM2077" t="s">
        <v>78</v>
      </c>
      <c r="AN2077" t="s">
        <v>129</v>
      </c>
      <c r="AO2077" t="s">
        <v>130</v>
      </c>
      <c r="AP2077" t="s">
        <v>130</v>
      </c>
      <c r="AQ2077">
        <v>36</v>
      </c>
      <c r="AR2077" t="s">
        <v>123</v>
      </c>
      <c r="AS2077" t="s">
        <v>124</v>
      </c>
      <c r="AT2077" t="s">
        <v>58</v>
      </c>
      <c r="AU2077" t="s">
        <v>68</v>
      </c>
      <c r="AV2077" t="s">
        <v>69</v>
      </c>
      <c r="AW2077" s="1">
        <v>26746</v>
      </c>
      <c r="AX2077">
        <v>2</v>
      </c>
    </row>
    <row r="2078" spans="1:50">
      <c r="A2078">
        <v>214375</v>
      </c>
      <c r="B2078" t="str">
        <f>"103660232"</f>
        <v>103660232</v>
      </c>
      <c r="C2078" t="s">
        <v>50</v>
      </c>
      <c r="D2078" t="s">
        <v>4296</v>
      </c>
      <c r="E2078" t="s">
        <v>755</v>
      </c>
      <c r="F2078" t="s">
        <v>153</v>
      </c>
      <c r="G2078" t="s">
        <v>801</v>
      </c>
      <c r="H2078" t="str">
        <f>"kOMNOY 1 ΜΟΙΡΕΣ"</f>
        <v>kOMNOY 1 ΜΟΙΡΕΣ</v>
      </c>
      <c r="I2078">
        <v>70400</v>
      </c>
      <c r="J2078">
        <v>2892024518</v>
      </c>
      <c r="K2078">
        <v>6973380120</v>
      </c>
      <c r="M2078" t="s">
        <v>4297</v>
      </c>
      <c r="N2078" t="s">
        <v>299</v>
      </c>
      <c r="O2078" t="s">
        <v>300</v>
      </c>
      <c r="R2078" t="s">
        <v>57</v>
      </c>
      <c r="S2078">
        <v>7</v>
      </c>
      <c r="T2078">
        <v>231</v>
      </c>
      <c r="U2078" s="1">
        <v>38960</v>
      </c>
      <c r="V2078" t="s">
        <v>123</v>
      </c>
      <c r="W2078" t="s">
        <v>124</v>
      </c>
      <c r="X2078" t="s">
        <v>58</v>
      </c>
      <c r="Y2078">
        <v>20</v>
      </c>
      <c r="Z2078" t="s">
        <v>59</v>
      </c>
      <c r="AA2078" t="s">
        <v>59</v>
      </c>
      <c r="AB2078" t="s">
        <v>59</v>
      </c>
      <c r="AC2078" t="s">
        <v>59</v>
      </c>
      <c r="AD2078" t="s">
        <v>59</v>
      </c>
      <c r="AF2078" s="1">
        <v>38961</v>
      </c>
      <c r="AG2078" t="s">
        <v>148</v>
      </c>
      <c r="AH2078" t="s">
        <v>149</v>
      </c>
      <c r="AI2078" t="str">
        <f>"1756010"</f>
        <v>1756010</v>
      </c>
      <c r="AJ2078" t="s">
        <v>874</v>
      </c>
      <c r="AK2078">
        <v>2892022976</v>
      </c>
      <c r="AL2078" t="s">
        <v>875</v>
      </c>
      <c r="AM2078" t="s">
        <v>78</v>
      </c>
      <c r="AN2078" t="s">
        <v>242</v>
      </c>
      <c r="AO2078" t="s">
        <v>243</v>
      </c>
      <c r="AP2078" t="s">
        <v>243</v>
      </c>
      <c r="AQ2078">
        <v>33</v>
      </c>
      <c r="AR2078" t="s">
        <v>123</v>
      </c>
      <c r="AS2078" t="s">
        <v>124</v>
      </c>
      <c r="AT2078" t="s">
        <v>58</v>
      </c>
      <c r="AU2078" t="s">
        <v>68</v>
      </c>
      <c r="AV2078" t="s">
        <v>69</v>
      </c>
      <c r="AW2078" s="1">
        <v>27895</v>
      </c>
      <c r="AX2078">
        <v>2</v>
      </c>
    </row>
    <row r="2079" spans="1:50">
      <c r="A2079">
        <v>218303</v>
      </c>
      <c r="B2079" t="str">
        <f>"103658328"</f>
        <v>103658328</v>
      </c>
      <c r="C2079" t="s">
        <v>50</v>
      </c>
      <c r="D2079" t="s">
        <v>4296</v>
      </c>
      <c r="E2079" t="s">
        <v>221</v>
      </c>
      <c r="F2079" t="s">
        <v>153</v>
      </c>
      <c r="G2079" t="s">
        <v>801</v>
      </c>
      <c r="H2079" t="str">
        <f>"ΚΟΜΝΟΥ1 ΜΟΙΡΕΣ"</f>
        <v>ΚΟΜΝΟΥ1 ΜΟΙΡΕΣ</v>
      </c>
      <c r="I2079">
        <v>70400</v>
      </c>
      <c r="J2079">
        <v>2892024518</v>
      </c>
      <c r="K2079">
        <v>6973380125</v>
      </c>
      <c r="M2079" t="s">
        <v>4298</v>
      </c>
      <c r="N2079" t="s">
        <v>292</v>
      </c>
      <c r="O2079" t="s">
        <v>293</v>
      </c>
      <c r="R2079" t="s">
        <v>57</v>
      </c>
      <c r="S2079">
        <v>6</v>
      </c>
      <c r="T2079">
        <v>599</v>
      </c>
      <c r="U2079" s="1">
        <v>39310</v>
      </c>
      <c r="V2079" t="s">
        <v>123</v>
      </c>
      <c r="W2079" t="s">
        <v>124</v>
      </c>
      <c r="X2079" t="s">
        <v>58</v>
      </c>
      <c r="Y2079">
        <v>20</v>
      </c>
      <c r="Z2079" t="s">
        <v>59</v>
      </c>
      <c r="AA2079" t="s">
        <v>59</v>
      </c>
      <c r="AB2079" t="s">
        <v>59</v>
      </c>
      <c r="AC2079" t="s">
        <v>59</v>
      </c>
      <c r="AD2079" t="s">
        <v>59</v>
      </c>
      <c r="AF2079" s="1">
        <v>39328</v>
      </c>
      <c r="AG2079" t="s">
        <v>148</v>
      </c>
      <c r="AH2079" t="s">
        <v>149</v>
      </c>
      <c r="AI2079" t="str">
        <f>"1756010"</f>
        <v>1756010</v>
      </c>
      <c r="AJ2079" t="s">
        <v>874</v>
      </c>
      <c r="AK2079">
        <v>2892022976</v>
      </c>
      <c r="AL2079" t="s">
        <v>875</v>
      </c>
      <c r="AM2079" t="s">
        <v>78</v>
      </c>
      <c r="AN2079" t="s">
        <v>242</v>
      </c>
      <c r="AO2079" t="s">
        <v>243</v>
      </c>
      <c r="AP2079" t="s">
        <v>243</v>
      </c>
      <c r="AQ2079">
        <v>33</v>
      </c>
      <c r="AR2079" t="s">
        <v>123</v>
      </c>
      <c r="AS2079" t="s">
        <v>124</v>
      </c>
      <c r="AT2079" t="s">
        <v>58</v>
      </c>
      <c r="AU2079" t="s">
        <v>68</v>
      </c>
      <c r="AV2079" t="s">
        <v>69</v>
      </c>
      <c r="AW2079" s="1">
        <v>27895</v>
      </c>
      <c r="AX2079">
        <v>2</v>
      </c>
    </row>
    <row r="2080" spans="1:50">
      <c r="A2080">
        <v>212528</v>
      </c>
      <c r="B2080" t="str">
        <f>"045310520"</f>
        <v>045310520</v>
      </c>
      <c r="C2080" t="s">
        <v>50</v>
      </c>
      <c r="D2080" t="s">
        <v>4296</v>
      </c>
      <c r="E2080" t="s">
        <v>52</v>
      </c>
      <c r="F2080" t="s">
        <v>166</v>
      </c>
      <c r="G2080" t="s">
        <v>255</v>
      </c>
      <c r="H2080" t="str">
        <f>"ΑΡΧΟΝΤΙΚΟ ΑΡΚΑΛΟΧΩΡΙΟΥ ΑΡΚΑΛΟΧΩΡΙ"</f>
        <v>ΑΡΧΟΝΤΙΚΟ ΑΡΚΑΛΟΧΩΡΙΟΥ ΑΡΚΑΛΟΧΩΡΙ</v>
      </c>
      <c r="I2080">
        <v>70300</v>
      </c>
      <c r="J2080">
        <v>2891024431</v>
      </c>
      <c r="K2080">
        <v>6936794194</v>
      </c>
      <c r="L2080">
        <v>2891024503</v>
      </c>
      <c r="M2080" t="s">
        <v>4299</v>
      </c>
      <c r="N2080" t="s">
        <v>146</v>
      </c>
      <c r="O2080" t="s">
        <v>147</v>
      </c>
      <c r="R2080" t="s">
        <v>57</v>
      </c>
      <c r="S2080">
        <v>6</v>
      </c>
      <c r="T2080">
        <v>231</v>
      </c>
      <c r="U2080" s="1">
        <v>38960</v>
      </c>
      <c r="V2080" t="s">
        <v>123</v>
      </c>
      <c r="W2080" t="s">
        <v>124</v>
      </c>
      <c r="X2080" t="s">
        <v>58</v>
      </c>
      <c r="Y2080">
        <v>20</v>
      </c>
      <c r="Z2080" t="s">
        <v>59</v>
      </c>
      <c r="AA2080" t="s">
        <v>59</v>
      </c>
      <c r="AB2080" t="s">
        <v>59</v>
      </c>
      <c r="AC2080" t="s">
        <v>59</v>
      </c>
      <c r="AD2080" t="s">
        <v>59</v>
      </c>
      <c r="AF2080" s="1">
        <v>38961</v>
      </c>
      <c r="AG2080" t="s">
        <v>125</v>
      </c>
      <c r="AH2080" t="s">
        <v>126</v>
      </c>
      <c r="AI2080" t="str">
        <f>"1702010"</f>
        <v>1702010</v>
      </c>
      <c r="AJ2080" t="s">
        <v>604</v>
      </c>
      <c r="AK2080">
        <v>2891022228</v>
      </c>
      <c r="AL2080" t="s">
        <v>605</v>
      </c>
      <c r="AM2080" t="s">
        <v>78</v>
      </c>
      <c r="AN2080" t="s">
        <v>276</v>
      </c>
      <c r="AO2080" t="s">
        <v>490</v>
      </c>
      <c r="AP2080" t="s">
        <v>490</v>
      </c>
      <c r="AQ2080">
        <v>15</v>
      </c>
      <c r="AR2080" t="s">
        <v>123</v>
      </c>
      <c r="AS2080" t="s">
        <v>124</v>
      </c>
      <c r="AT2080" t="s">
        <v>58</v>
      </c>
      <c r="AU2080" t="s">
        <v>68</v>
      </c>
      <c r="AV2080" t="s">
        <v>69</v>
      </c>
      <c r="AW2080" s="1">
        <v>24383</v>
      </c>
      <c r="AX2080">
        <v>2</v>
      </c>
    </row>
    <row r="2081" spans="1:50">
      <c r="A2081">
        <v>180986</v>
      </c>
      <c r="B2081" t="str">
        <f>"062836921"</f>
        <v>062836921</v>
      </c>
      <c r="C2081" t="s">
        <v>50</v>
      </c>
      <c r="D2081" t="s">
        <v>4296</v>
      </c>
      <c r="E2081" t="s">
        <v>181</v>
      </c>
      <c r="F2081" t="s">
        <v>106</v>
      </c>
      <c r="G2081" t="s">
        <v>52</v>
      </c>
      <c r="H2081" t="str">
        <f>"ΣΤΡΑΒΩΝΟΣ 43 ΗΡΑΚΛΕΙΟ"</f>
        <v>ΣΤΡΑΒΩΝΟΣ 43 ΗΡΑΚΛΕΙΟ</v>
      </c>
      <c r="I2081">
        <v>71305</v>
      </c>
      <c r="J2081">
        <v>2810288967</v>
      </c>
      <c r="K2081">
        <v>6932703608</v>
      </c>
      <c r="M2081" t="s">
        <v>4300</v>
      </c>
      <c r="N2081" t="s">
        <v>478</v>
      </c>
      <c r="O2081" t="s">
        <v>479</v>
      </c>
      <c r="R2081" t="s">
        <v>57</v>
      </c>
      <c r="S2081">
        <v>11</v>
      </c>
      <c r="T2081">
        <v>164</v>
      </c>
      <c r="U2081" s="1">
        <v>36040</v>
      </c>
      <c r="V2081" t="s">
        <v>123</v>
      </c>
      <c r="W2081" t="s">
        <v>124</v>
      </c>
      <c r="X2081" t="s">
        <v>58</v>
      </c>
      <c r="Y2081">
        <v>18</v>
      </c>
      <c r="Z2081" t="s">
        <v>59</v>
      </c>
      <c r="AA2081" t="s">
        <v>59</v>
      </c>
      <c r="AB2081" t="s">
        <v>59</v>
      </c>
      <c r="AC2081" t="s">
        <v>59</v>
      </c>
      <c r="AD2081" t="s">
        <v>59</v>
      </c>
      <c r="AF2081" s="1">
        <v>36041</v>
      </c>
      <c r="AG2081" t="s">
        <v>125</v>
      </c>
      <c r="AH2081" t="s">
        <v>294</v>
      </c>
      <c r="AI2081" t="str">
        <f>"1701015"</f>
        <v>1701015</v>
      </c>
      <c r="AJ2081" t="s">
        <v>295</v>
      </c>
      <c r="AK2081">
        <v>2810761696</v>
      </c>
      <c r="AL2081" t="s">
        <v>296</v>
      </c>
      <c r="AM2081" t="s">
        <v>78</v>
      </c>
      <c r="AN2081" t="s">
        <v>219</v>
      </c>
      <c r="AO2081" t="s">
        <v>297</v>
      </c>
      <c r="AP2081" t="s">
        <v>297</v>
      </c>
      <c r="AQ2081">
        <v>10</v>
      </c>
      <c r="AR2081" t="s">
        <v>123</v>
      </c>
      <c r="AS2081" t="s">
        <v>124</v>
      </c>
      <c r="AT2081" t="s">
        <v>58</v>
      </c>
      <c r="AU2081" t="s">
        <v>68</v>
      </c>
      <c r="AV2081" t="s">
        <v>69</v>
      </c>
      <c r="AW2081" s="1">
        <v>23218</v>
      </c>
      <c r="AX2081">
        <v>2</v>
      </c>
    </row>
    <row r="2082" spans="1:50">
      <c r="A2082">
        <v>703360</v>
      </c>
      <c r="B2082" t="str">
        <f>"137217494"</f>
        <v>137217494</v>
      </c>
      <c r="C2082" t="s">
        <v>50</v>
      </c>
      <c r="D2082" t="s">
        <v>4296</v>
      </c>
      <c r="E2082" t="s">
        <v>620</v>
      </c>
      <c r="F2082" t="s">
        <v>53</v>
      </c>
      <c r="G2082" t="s">
        <v>52</v>
      </c>
      <c r="H2082" t="str">
        <f>"Ι. ΚΟΝΔΥΛΑΚΗ 75 "</f>
        <v xml:space="preserve">Ι. ΚΟΝΔΥΛΑΚΗ 75 </v>
      </c>
      <c r="I2082">
        <v>71305</v>
      </c>
      <c r="K2082">
        <v>6986858233</v>
      </c>
      <c r="M2082" t="s">
        <v>4301</v>
      </c>
      <c r="N2082" t="s">
        <v>146</v>
      </c>
      <c r="O2082" t="s">
        <v>147</v>
      </c>
      <c r="R2082" t="s">
        <v>57</v>
      </c>
      <c r="S2082">
        <v>4</v>
      </c>
      <c r="T2082" t="s">
        <v>2892</v>
      </c>
      <c r="U2082" s="1">
        <v>40413</v>
      </c>
      <c r="V2082" t="s">
        <v>123</v>
      </c>
      <c r="W2082" t="s">
        <v>124</v>
      </c>
      <c r="X2082" t="s">
        <v>58</v>
      </c>
      <c r="Y2082">
        <v>21</v>
      </c>
      <c r="Z2082" t="s">
        <v>59</v>
      </c>
      <c r="AA2082" t="s">
        <v>59</v>
      </c>
      <c r="AB2082" t="s">
        <v>59</v>
      </c>
      <c r="AC2082" t="s">
        <v>59</v>
      </c>
      <c r="AD2082" t="s">
        <v>59</v>
      </c>
      <c r="AF2082" s="1">
        <v>40784</v>
      </c>
      <c r="AG2082" t="s">
        <v>125</v>
      </c>
      <c r="AH2082" t="s">
        <v>126</v>
      </c>
      <c r="AI2082" t="str">
        <f>"1713010"</f>
        <v>1713010</v>
      </c>
      <c r="AJ2082" t="s">
        <v>369</v>
      </c>
      <c r="AK2082">
        <v>2892051686</v>
      </c>
      <c r="AL2082" t="s">
        <v>370</v>
      </c>
      <c r="AM2082" t="s">
        <v>78</v>
      </c>
      <c r="AN2082" t="s">
        <v>242</v>
      </c>
      <c r="AO2082" t="s">
        <v>349</v>
      </c>
      <c r="AP2082" t="s">
        <v>349</v>
      </c>
      <c r="AQ2082">
        <v>35</v>
      </c>
      <c r="AR2082" t="s">
        <v>123</v>
      </c>
      <c r="AS2082" t="s">
        <v>124</v>
      </c>
      <c r="AT2082" t="s">
        <v>58</v>
      </c>
      <c r="AU2082" t="s">
        <v>68</v>
      </c>
      <c r="AV2082" t="s">
        <v>69</v>
      </c>
      <c r="AW2082" s="1">
        <v>30903</v>
      </c>
      <c r="AX2082">
        <v>2</v>
      </c>
    </row>
    <row r="2083" spans="1:50">
      <c r="A2083">
        <v>221047</v>
      </c>
      <c r="B2083" t="str">
        <f>"071964781"</f>
        <v>071964781</v>
      </c>
      <c r="C2083" t="s">
        <v>105</v>
      </c>
      <c r="D2083" t="s">
        <v>4302</v>
      </c>
      <c r="E2083" t="s">
        <v>166</v>
      </c>
      <c r="F2083" t="s">
        <v>2847</v>
      </c>
      <c r="G2083" t="s">
        <v>83</v>
      </c>
      <c r="H2083" t="str">
        <f>"ΣΤΕΝΗΜΑΧΟΥ 39 ΗΡΑΚΛΕΙΟ"</f>
        <v>ΣΤΕΝΗΜΑΧΟΥ 39 ΗΡΑΚΛΕΙΟ</v>
      </c>
      <c r="I2083">
        <v>71305</v>
      </c>
      <c r="J2083">
        <v>2811756787</v>
      </c>
      <c r="K2083">
        <v>6939907372</v>
      </c>
      <c r="N2083" t="s">
        <v>157</v>
      </c>
      <c r="O2083" t="s">
        <v>158</v>
      </c>
      <c r="R2083" t="s">
        <v>57</v>
      </c>
      <c r="S2083">
        <v>5</v>
      </c>
      <c r="T2083">
        <v>691</v>
      </c>
      <c r="U2083" s="1">
        <v>39331</v>
      </c>
      <c r="V2083" t="s">
        <v>123</v>
      </c>
      <c r="W2083" t="s">
        <v>124</v>
      </c>
      <c r="X2083" t="s">
        <v>58</v>
      </c>
      <c r="Y2083">
        <v>21</v>
      </c>
      <c r="Z2083" t="s">
        <v>59</v>
      </c>
      <c r="AA2083" t="s">
        <v>59</v>
      </c>
      <c r="AB2083" t="s">
        <v>59</v>
      </c>
      <c r="AC2083" t="s">
        <v>59</v>
      </c>
      <c r="AD2083" t="s">
        <v>59</v>
      </c>
      <c r="AF2083" s="1">
        <v>39332</v>
      </c>
      <c r="AG2083" t="s">
        <v>125</v>
      </c>
      <c r="AH2083" t="s">
        <v>126</v>
      </c>
      <c r="AI2083" t="str">
        <f>"1701040"</f>
        <v>1701040</v>
      </c>
      <c r="AJ2083" t="s">
        <v>748</v>
      </c>
      <c r="AK2083">
        <v>2810252459</v>
      </c>
      <c r="AL2083" t="s">
        <v>749</v>
      </c>
      <c r="AM2083" t="s">
        <v>78</v>
      </c>
      <c r="AN2083" t="s">
        <v>78</v>
      </c>
      <c r="AO2083" t="s">
        <v>78</v>
      </c>
      <c r="AP2083" t="s">
        <v>141</v>
      </c>
      <c r="AQ2083">
        <v>3</v>
      </c>
      <c r="AR2083" t="s">
        <v>123</v>
      </c>
      <c r="AS2083" t="s">
        <v>124</v>
      </c>
      <c r="AT2083" t="s">
        <v>58</v>
      </c>
      <c r="AU2083" t="s">
        <v>68</v>
      </c>
      <c r="AV2083" t="s">
        <v>69</v>
      </c>
      <c r="AW2083" s="1">
        <v>25186</v>
      </c>
      <c r="AX2083">
        <v>2</v>
      </c>
    </row>
    <row r="2084" spans="1:50">
      <c r="A2084">
        <v>179854</v>
      </c>
      <c r="B2084" t="str">
        <f>"036371263"</f>
        <v>036371263</v>
      </c>
      <c r="C2084" t="s">
        <v>50</v>
      </c>
      <c r="D2084" t="s">
        <v>4303</v>
      </c>
      <c r="E2084" t="s">
        <v>143</v>
      </c>
      <c r="F2084" t="s">
        <v>108</v>
      </c>
      <c r="G2084" t="s">
        <v>340</v>
      </c>
      <c r="H2084" t="str">
        <f>"ΣΑΝΤΟΡΙΝΗΣ 3 ΒΑΣΙΛΕΙΕΣ"</f>
        <v>ΣΑΝΤΟΡΙΝΗΣ 3 ΒΑΣΙΛΕΙΕΣ</v>
      </c>
      <c r="I2084">
        <v>71500</v>
      </c>
      <c r="J2084">
        <v>2810881166</v>
      </c>
      <c r="K2084">
        <v>6976201973</v>
      </c>
      <c r="L2084">
        <v>2810234488</v>
      </c>
      <c r="M2084" t="s">
        <v>4304</v>
      </c>
      <c r="N2084" t="s">
        <v>146</v>
      </c>
      <c r="O2084" t="s">
        <v>147</v>
      </c>
      <c r="R2084" t="s">
        <v>57</v>
      </c>
      <c r="S2084">
        <v>12</v>
      </c>
      <c r="T2084">
        <v>164</v>
      </c>
      <c r="U2084" s="1">
        <v>36040</v>
      </c>
      <c r="V2084" t="s">
        <v>123</v>
      </c>
      <c r="W2084" t="s">
        <v>124</v>
      </c>
      <c r="X2084" t="s">
        <v>58</v>
      </c>
      <c r="Y2084">
        <v>18</v>
      </c>
      <c r="Z2084" t="s">
        <v>59</v>
      </c>
      <c r="AA2084" t="s">
        <v>59</v>
      </c>
      <c r="AB2084" t="s">
        <v>59</v>
      </c>
      <c r="AC2084" t="s">
        <v>59</v>
      </c>
      <c r="AD2084" t="s">
        <v>59</v>
      </c>
      <c r="AF2084" s="1">
        <v>36041</v>
      </c>
      <c r="AG2084" t="s">
        <v>125</v>
      </c>
      <c r="AH2084" t="s">
        <v>126</v>
      </c>
      <c r="AI2084" t="str">
        <f>"1701057"</f>
        <v>1701057</v>
      </c>
      <c r="AJ2084" t="s">
        <v>379</v>
      </c>
      <c r="AK2084">
        <v>2810234488</v>
      </c>
      <c r="AL2084" t="s">
        <v>380</v>
      </c>
      <c r="AM2084" t="s">
        <v>78</v>
      </c>
      <c r="AN2084" t="s">
        <v>78</v>
      </c>
      <c r="AO2084" t="s">
        <v>78</v>
      </c>
      <c r="AP2084" t="s">
        <v>163</v>
      </c>
      <c r="AQ2084">
        <v>8</v>
      </c>
      <c r="AR2084" t="s">
        <v>123</v>
      </c>
      <c r="AS2084" t="s">
        <v>124</v>
      </c>
      <c r="AT2084" t="s">
        <v>58</v>
      </c>
      <c r="AU2084" t="s">
        <v>68</v>
      </c>
      <c r="AV2084" t="s">
        <v>69</v>
      </c>
      <c r="AW2084" s="1">
        <v>24334</v>
      </c>
      <c r="AX2084">
        <v>2</v>
      </c>
    </row>
    <row r="2085" spans="1:50">
      <c r="A2085">
        <v>701925</v>
      </c>
      <c r="B2085" t="str">
        <f>"129452027"</f>
        <v>129452027</v>
      </c>
      <c r="C2085" t="s">
        <v>50</v>
      </c>
      <c r="D2085" t="s">
        <v>4303</v>
      </c>
      <c r="E2085" t="s">
        <v>1074</v>
      </c>
      <c r="F2085" t="s">
        <v>95</v>
      </c>
      <c r="G2085" t="s">
        <v>155</v>
      </c>
      <c r="H2085" t="str">
        <f>"ΦΑΙΣΤΟΥ 9 ΜΕΣΑΜΠΕΛΙΕΣ"</f>
        <v>ΦΑΙΣΤΟΥ 9 ΜΕΣΑΜΠΕΛΙΕΣ</v>
      </c>
      <c r="I2085">
        <v>71409</v>
      </c>
      <c r="J2085">
        <v>2810284615</v>
      </c>
      <c r="K2085">
        <v>6938432827</v>
      </c>
      <c r="M2085" t="s">
        <v>4305</v>
      </c>
      <c r="N2085" t="s">
        <v>246</v>
      </c>
      <c r="O2085" t="s">
        <v>247</v>
      </c>
      <c r="R2085" t="s">
        <v>57</v>
      </c>
      <c r="S2085">
        <v>6</v>
      </c>
      <c r="T2085">
        <v>772</v>
      </c>
      <c r="U2085" s="1">
        <v>40413</v>
      </c>
      <c r="V2085" t="s">
        <v>123</v>
      </c>
      <c r="W2085" t="s">
        <v>124</v>
      </c>
      <c r="X2085" t="s">
        <v>58</v>
      </c>
      <c r="Y2085">
        <v>21</v>
      </c>
      <c r="Z2085" t="s">
        <v>59</v>
      </c>
      <c r="AA2085" t="s">
        <v>59</v>
      </c>
      <c r="AB2085" t="s">
        <v>59</v>
      </c>
      <c r="AC2085" t="s">
        <v>59</v>
      </c>
      <c r="AD2085" t="s">
        <v>59</v>
      </c>
      <c r="AF2085" s="1">
        <v>40422</v>
      </c>
      <c r="AG2085" t="s">
        <v>125</v>
      </c>
      <c r="AH2085" t="s">
        <v>126</v>
      </c>
      <c r="AI2085" t="str">
        <f>"1727010"</f>
        <v>1727010</v>
      </c>
      <c r="AJ2085" t="s">
        <v>618</v>
      </c>
      <c r="AK2085">
        <v>2810229231</v>
      </c>
      <c r="AL2085" t="s">
        <v>619</v>
      </c>
      <c r="AM2085" t="s">
        <v>78</v>
      </c>
      <c r="AN2085" t="s">
        <v>78</v>
      </c>
      <c r="AO2085" t="s">
        <v>286</v>
      </c>
      <c r="AP2085" t="s">
        <v>286</v>
      </c>
      <c r="AQ2085">
        <v>12</v>
      </c>
      <c r="AR2085" t="s">
        <v>123</v>
      </c>
      <c r="AS2085" t="s">
        <v>124</v>
      </c>
      <c r="AT2085" t="s">
        <v>58</v>
      </c>
      <c r="AU2085" t="s">
        <v>68</v>
      </c>
      <c r="AV2085" t="s">
        <v>69</v>
      </c>
      <c r="AW2085" s="1">
        <v>29633</v>
      </c>
      <c r="AX2085">
        <v>2</v>
      </c>
    </row>
    <row r="2086" spans="1:50">
      <c r="A2086">
        <v>197963</v>
      </c>
      <c r="B2086" t="str">
        <f>"076981477"</f>
        <v>076981477</v>
      </c>
      <c r="C2086" t="s">
        <v>105</v>
      </c>
      <c r="D2086" t="s">
        <v>4306</v>
      </c>
      <c r="E2086" t="s">
        <v>609</v>
      </c>
      <c r="F2086" t="s">
        <v>315</v>
      </c>
      <c r="G2086" t="s">
        <v>367</v>
      </c>
      <c r="H2086" t="str">
        <f>"ΗΣΙΟΔΟΥ 4 ΗΡΑΚΛΕΙΟ"</f>
        <v>ΗΣΙΟΔΟΥ 4 ΗΡΑΚΛΕΙΟ</v>
      </c>
      <c r="I2086">
        <v>71307</v>
      </c>
      <c r="J2086">
        <v>2810322765</v>
      </c>
      <c r="K2086">
        <v>6972700014</v>
      </c>
      <c r="M2086" t="s">
        <v>4307</v>
      </c>
      <c r="N2086" t="s">
        <v>292</v>
      </c>
      <c r="O2086" t="s">
        <v>293</v>
      </c>
      <c r="R2086" t="s">
        <v>57</v>
      </c>
      <c r="S2086">
        <v>7</v>
      </c>
      <c r="T2086">
        <v>206</v>
      </c>
      <c r="U2086" s="1">
        <v>37866</v>
      </c>
      <c r="V2086" t="s">
        <v>123</v>
      </c>
      <c r="W2086" t="s">
        <v>124</v>
      </c>
      <c r="X2086" t="s">
        <v>58</v>
      </c>
      <c r="Y2086">
        <v>20</v>
      </c>
      <c r="Z2086" t="s">
        <v>59</v>
      </c>
      <c r="AA2086" t="s">
        <v>59</v>
      </c>
      <c r="AB2086" t="s">
        <v>59</v>
      </c>
      <c r="AC2086" t="s">
        <v>59</v>
      </c>
      <c r="AD2086" t="s">
        <v>59</v>
      </c>
      <c r="AF2086" s="1">
        <v>37866</v>
      </c>
      <c r="AG2086" t="s">
        <v>148</v>
      </c>
      <c r="AH2086" t="s">
        <v>149</v>
      </c>
      <c r="AI2086" t="str">
        <f>"1751030"</f>
        <v>1751030</v>
      </c>
      <c r="AJ2086" t="s">
        <v>234</v>
      </c>
      <c r="AK2086">
        <v>2810282911</v>
      </c>
      <c r="AL2086" t="s">
        <v>235</v>
      </c>
      <c r="AM2086" t="s">
        <v>78</v>
      </c>
      <c r="AN2086" t="s">
        <v>78</v>
      </c>
      <c r="AO2086" t="s">
        <v>78</v>
      </c>
      <c r="AP2086" t="s">
        <v>163</v>
      </c>
      <c r="AQ2086">
        <v>1</v>
      </c>
      <c r="AR2086" t="s">
        <v>123</v>
      </c>
      <c r="AS2086" t="s">
        <v>124</v>
      </c>
      <c r="AT2086" t="s">
        <v>58</v>
      </c>
      <c r="AU2086" t="s">
        <v>68</v>
      </c>
      <c r="AV2086" t="s">
        <v>69</v>
      </c>
      <c r="AW2086" s="1">
        <v>26328</v>
      </c>
      <c r="AX2086">
        <v>2</v>
      </c>
    </row>
    <row r="2087" spans="1:50">
      <c r="A2087">
        <v>209297</v>
      </c>
      <c r="B2087" t="str">
        <f>"030875651"</f>
        <v>030875651</v>
      </c>
      <c r="C2087" t="s">
        <v>50</v>
      </c>
      <c r="D2087" t="s">
        <v>4308</v>
      </c>
      <c r="E2087" t="s">
        <v>143</v>
      </c>
      <c r="F2087" t="s">
        <v>72</v>
      </c>
      <c r="G2087" t="s">
        <v>215</v>
      </c>
      <c r="H2087" t="str">
        <f>" "</f>
        <v xml:space="preserve"> </v>
      </c>
      <c r="J2087">
        <v>2810320720</v>
      </c>
      <c r="K2087">
        <v>6974377250</v>
      </c>
      <c r="M2087" t="s">
        <v>4309</v>
      </c>
      <c r="N2087" t="s">
        <v>204</v>
      </c>
      <c r="O2087" t="s">
        <v>205</v>
      </c>
      <c r="R2087" t="s">
        <v>57</v>
      </c>
      <c r="S2087">
        <v>9</v>
      </c>
      <c r="T2087">
        <v>218</v>
      </c>
      <c r="U2087" s="1">
        <v>38596</v>
      </c>
      <c r="V2087" t="s">
        <v>123</v>
      </c>
      <c r="W2087" t="s">
        <v>124</v>
      </c>
      <c r="X2087" t="s">
        <v>58</v>
      </c>
      <c r="Y2087">
        <v>20</v>
      </c>
      <c r="Z2087" t="s">
        <v>59</v>
      </c>
      <c r="AA2087" t="s">
        <v>59</v>
      </c>
      <c r="AB2087" t="s">
        <v>59</v>
      </c>
      <c r="AC2087" t="s">
        <v>59</v>
      </c>
      <c r="AD2087" t="s">
        <v>59</v>
      </c>
      <c r="AF2087" s="1">
        <v>38602</v>
      </c>
      <c r="AG2087" t="s">
        <v>148</v>
      </c>
      <c r="AH2087" t="s">
        <v>149</v>
      </c>
      <c r="AI2087" t="str">
        <f>"1751080"</f>
        <v>1751080</v>
      </c>
      <c r="AJ2087" t="s">
        <v>1395</v>
      </c>
      <c r="AK2087">
        <v>2810721380</v>
      </c>
      <c r="AL2087" t="s">
        <v>1396</v>
      </c>
      <c r="AM2087" t="s">
        <v>78</v>
      </c>
      <c r="AN2087" t="s">
        <v>78</v>
      </c>
      <c r="AO2087" t="s">
        <v>185</v>
      </c>
      <c r="AP2087" t="s">
        <v>186</v>
      </c>
      <c r="AQ2087">
        <v>29</v>
      </c>
      <c r="AR2087" t="s">
        <v>123</v>
      </c>
      <c r="AS2087" t="s">
        <v>124</v>
      </c>
      <c r="AT2087" t="s">
        <v>58</v>
      </c>
      <c r="AU2087" t="s">
        <v>68</v>
      </c>
      <c r="AV2087" t="s">
        <v>69</v>
      </c>
      <c r="AW2087" s="1">
        <v>23409</v>
      </c>
      <c r="AX2087">
        <v>2</v>
      </c>
    </row>
    <row r="2088" spans="1:50">
      <c r="A2088">
        <v>163606</v>
      </c>
      <c r="B2088" t="str">
        <f>"042716286"</f>
        <v>042716286</v>
      </c>
      <c r="C2088" t="s">
        <v>50</v>
      </c>
      <c r="D2088" t="s">
        <v>4310</v>
      </c>
      <c r="E2088" t="s">
        <v>326</v>
      </c>
      <c r="F2088" t="s">
        <v>510</v>
      </c>
      <c r="G2088" t="s">
        <v>4311</v>
      </c>
      <c r="H2088" t="str">
        <f>" "</f>
        <v xml:space="preserve"> </v>
      </c>
      <c r="M2088" t="s">
        <v>4312</v>
      </c>
      <c r="N2088" t="s">
        <v>337</v>
      </c>
      <c r="O2088" t="s">
        <v>338</v>
      </c>
      <c r="R2088" t="s">
        <v>57</v>
      </c>
      <c r="S2088">
        <v>13</v>
      </c>
      <c r="T2088">
        <v>96</v>
      </c>
      <c r="U2088" s="1">
        <v>33393</v>
      </c>
      <c r="V2088" t="s">
        <v>123</v>
      </c>
      <c r="W2088" t="s">
        <v>124</v>
      </c>
      <c r="X2088" t="s">
        <v>58</v>
      </c>
      <c r="Y2088">
        <v>18</v>
      </c>
      <c r="Z2088" t="s">
        <v>59</v>
      </c>
      <c r="AA2088" t="s">
        <v>59</v>
      </c>
      <c r="AB2088" t="s">
        <v>59</v>
      </c>
      <c r="AC2088" t="s">
        <v>59</v>
      </c>
      <c r="AD2088" t="s">
        <v>59</v>
      </c>
      <c r="AF2088" s="1">
        <v>33485</v>
      </c>
      <c r="AG2088" t="s">
        <v>125</v>
      </c>
      <c r="AH2088" t="s">
        <v>126</v>
      </c>
      <c r="AI2088" t="str">
        <f>"1701040"</f>
        <v>1701040</v>
      </c>
      <c r="AJ2088" t="s">
        <v>748</v>
      </c>
      <c r="AK2088">
        <v>2810252459</v>
      </c>
      <c r="AL2088" t="s">
        <v>749</v>
      </c>
      <c r="AM2088" t="s">
        <v>78</v>
      </c>
      <c r="AN2088" t="s">
        <v>78</v>
      </c>
      <c r="AO2088" t="s">
        <v>78</v>
      </c>
      <c r="AP2088" t="s">
        <v>141</v>
      </c>
      <c r="AQ2088">
        <v>3</v>
      </c>
      <c r="AR2088" t="s">
        <v>123</v>
      </c>
      <c r="AS2088" t="s">
        <v>124</v>
      </c>
      <c r="AT2088" t="s">
        <v>58</v>
      </c>
      <c r="AU2088" t="s">
        <v>68</v>
      </c>
      <c r="AV2088" t="s">
        <v>69</v>
      </c>
      <c r="AW2088" s="1">
        <v>24507</v>
      </c>
      <c r="AX2088">
        <v>2</v>
      </c>
    </row>
    <row r="2089" spans="1:50">
      <c r="A2089">
        <v>224290</v>
      </c>
      <c r="B2089" t="str">
        <f>"121688840"</f>
        <v>121688840</v>
      </c>
      <c r="C2089" t="s">
        <v>50</v>
      </c>
      <c r="D2089" t="s">
        <v>4313</v>
      </c>
      <c r="E2089" t="s">
        <v>237</v>
      </c>
      <c r="F2089" t="s">
        <v>53</v>
      </c>
      <c r="G2089" t="s">
        <v>755</v>
      </c>
      <c r="H2089" t="str">
        <f>"ΣΕΜΕΛΗΣ 43 ΙΛΙΣΙΑ"</f>
        <v>ΣΕΜΕΛΗΣ 43 ΙΛΙΣΙΑ</v>
      </c>
      <c r="I2089">
        <v>11528</v>
      </c>
      <c r="J2089">
        <v>2310431469</v>
      </c>
      <c r="K2089">
        <v>6947304819</v>
      </c>
      <c r="M2089" t="s">
        <v>4314</v>
      </c>
      <c r="N2089" t="s">
        <v>306</v>
      </c>
      <c r="O2089" t="s">
        <v>307</v>
      </c>
      <c r="R2089" t="s">
        <v>57</v>
      </c>
      <c r="S2089">
        <v>8</v>
      </c>
      <c r="T2089">
        <v>775</v>
      </c>
      <c r="U2089" s="1">
        <v>39680</v>
      </c>
      <c r="V2089" t="s">
        <v>123</v>
      </c>
      <c r="W2089" t="s">
        <v>124</v>
      </c>
      <c r="X2089" t="s">
        <v>58</v>
      </c>
      <c r="Y2089">
        <v>20</v>
      </c>
      <c r="Z2089" t="s">
        <v>59</v>
      </c>
      <c r="AA2089" t="s">
        <v>59</v>
      </c>
      <c r="AB2089" t="s">
        <v>59</v>
      </c>
      <c r="AC2089" t="s">
        <v>59</v>
      </c>
      <c r="AD2089" t="s">
        <v>59</v>
      </c>
      <c r="AF2089" s="1">
        <v>39682</v>
      </c>
      <c r="AG2089" t="s">
        <v>125</v>
      </c>
      <c r="AH2089" t="s">
        <v>126</v>
      </c>
      <c r="AI2089" t="str">
        <f>"1708010"</f>
        <v>1708010</v>
      </c>
      <c r="AJ2089" t="s">
        <v>1147</v>
      </c>
      <c r="AK2089">
        <v>2893022204</v>
      </c>
      <c r="AL2089" t="s">
        <v>1148</v>
      </c>
      <c r="AM2089" t="s">
        <v>78</v>
      </c>
      <c r="AN2089" t="s">
        <v>424</v>
      </c>
      <c r="AO2089" t="s">
        <v>577</v>
      </c>
      <c r="AP2089" t="s">
        <v>578</v>
      </c>
      <c r="AQ2089">
        <v>24</v>
      </c>
      <c r="AR2089" t="s">
        <v>123</v>
      </c>
      <c r="AS2089" t="s">
        <v>124</v>
      </c>
      <c r="AT2089" t="s">
        <v>58</v>
      </c>
      <c r="AU2089" t="s">
        <v>68</v>
      </c>
      <c r="AV2089" t="s">
        <v>69</v>
      </c>
      <c r="AW2089" s="1">
        <v>28866</v>
      </c>
      <c r="AX2089">
        <v>2</v>
      </c>
    </row>
    <row r="2090" spans="1:50">
      <c r="A2090">
        <v>226920</v>
      </c>
      <c r="B2090" t="str">
        <f>"056198035"</f>
        <v>056198035</v>
      </c>
      <c r="C2090" t="s">
        <v>50</v>
      </c>
      <c r="D2090" t="s">
        <v>4315</v>
      </c>
      <c r="E2090" t="s">
        <v>237</v>
      </c>
      <c r="F2090" t="s">
        <v>166</v>
      </c>
      <c r="G2090" t="s">
        <v>372</v>
      </c>
      <c r="H2090" t="str">
        <f>"ΝΕΡΟΚΟΥΡΟΥ 62 ΧΑΝΙΑ"</f>
        <v>ΝΕΡΟΚΟΥΡΟΥ 62 ΧΑΝΙΑ</v>
      </c>
      <c r="I2090">
        <v>73100</v>
      </c>
      <c r="J2090">
        <v>2821093195</v>
      </c>
      <c r="K2090">
        <v>6937750036</v>
      </c>
      <c r="N2090" t="s">
        <v>146</v>
      </c>
      <c r="O2090" t="s">
        <v>147</v>
      </c>
      <c r="R2090" t="s">
        <v>57</v>
      </c>
      <c r="S2090">
        <v>6</v>
      </c>
      <c r="T2090">
        <v>654</v>
      </c>
      <c r="U2090" s="1">
        <v>40043</v>
      </c>
      <c r="V2090" t="s">
        <v>123</v>
      </c>
      <c r="W2090" t="s">
        <v>124</v>
      </c>
      <c r="X2090" t="s">
        <v>58</v>
      </c>
      <c r="Y2090">
        <v>21</v>
      </c>
      <c r="Z2090" t="s">
        <v>59</v>
      </c>
      <c r="AA2090" t="s">
        <v>59</v>
      </c>
      <c r="AB2090" t="s">
        <v>59</v>
      </c>
      <c r="AC2090" t="s">
        <v>59</v>
      </c>
      <c r="AD2090" t="s">
        <v>59</v>
      </c>
      <c r="AF2090" s="1">
        <v>40043</v>
      </c>
      <c r="AG2090" t="s">
        <v>125</v>
      </c>
      <c r="AH2090" t="s">
        <v>126</v>
      </c>
      <c r="AI2090" t="str">
        <f>"1712010"</f>
        <v>1712010</v>
      </c>
      <c r="AJ2090" t="s">
        <v>525</v>
      </c>
      <c r="AK2090">
        <v>2897061328</v>
      </c>
      <c r="AL2090" t="s">
        <v>526</v>
      </c>
      <c r="AM2090" t="s">
        <v>78</v>
      </c>
      <c r="AN2090" t="s">
        <v>219</v>
      </c>
      <c r="AO2090" t="s">
        <v>527</v>
      </c>
      <c r="AP2090" t="s">
        <v>528</v>
      </c>
      <c r="AQ2090">
        <v>19</v>
      </c>
      <c r="AR2090" t="s">
        <v>123</v>
      </c>
      <c r="AS2090" t="s">
        <v>124</v>
      </c>
      <c r="AT2090" t="s">
        <v>58</v>
      </c>
      <c r="AU2090" t="s">
        <v>68</v>
      </c>
      <c r="AV2090" t="s">
        <v>69</v>
      </c>
      <c r="AW2090" s="1">
        <v>29510</v>
      </c>
      <c r="AX2090">
        <v>2</v>
      </c>
    </row>
    <row r="2091" spans="1:50">
      <c r="A2091">
        <v>171291</v>
      </c>
      <c r="B2091" t="str">
        <f>"042547382"</f>
        <v>042547382</v>
      </c>
      <c r="C2091" t="s">
        <v>50</v>
      </c>
      <c r="D2091" t="s">
        <v>4315</v>
      </c>
      <c r="E2091" t="s">
        <v>727</v>
      </c>
      <c r="F2091" t="s">
        <v>760</v>
      </c>
      <c r="G2091" t="s">
        <v>83</v>
      </c>
      <c r="H2091" t="str">
        <f>"ΜΙΧΑΗΛ ΑΠΟΣΤΟΛΗ 3? ΠΑΤΕΛΕΣ"</f>
        <v>ΜΙΧΑΗΛ ΑΠΟΣΤΟΛΗ 3? ΠΑΤΕΛΕΣ</v>
      </c>
      <c r="I2091">
        <v>71307</v>
      </c>
      <c r="J2091">
        <v>2810323614</v>
      </c>
      <c r="K2091">
        <v>6976335065</v>
      </c>
      <c r="N2091" t="s">
        <v>288</v>
      </c>
      <c r="O2091" t="s">
        <v>289</v>
      </c>
      <c r="R2091" t="s">
        <v>57</v>
      </c>
      <c r="S2091">
        <v>11</v>
      </c>
      <c r="T2091">
        <v>184</v>
      </c>
      <c r="U2091" s="1">
        <v>34941</v>
      </c>
      <c r="V2091" t="s">
        <v>123</v>
      </c>
      <c r="W2091" t="s">
        <v>124</v>
      </c>
      <c r="X2091" t="s">
        <v>58</v>
      </c>
      <c r="Y2091">
        <v>18</v>
      </c>
      <c r="Z2091" t="s">
        <v>59</v>
      </c>
      <c r="AA2091" t="s">
        <v>59</v>
      </c>
      <c r="AB2091" t="s">
        <v>59</v>
      </c>
      <c r="AC2091" t="s">
        <v>59</v>
      </c>
      <c r="AD2091" t="s">
        <v>59</v>
      </c>
      <c r="AF2091" s="1">
        <v>34946</v>
      </c>
      <c r="AG2091" t="s">
        <v>125</v>
      </c>
      <c r="AH2091" t="s">
        <v>126</v>
      </c>
      <c r="AI2091" t="str">
        <f>"1701050"</f>
        <v>1701050</v>
      </c>
      <c r="AJ2091" t="s">
        <v>660</v>
      </c>
      <c r="AK2091">
        <v>2810220729</v>
      </c>
      <c r="AL2091" t="s">
        <v>661</v>
      </c>
      <c r="AM2091" t="s">
        <v>78</v>
      </c>
      <c r="AN2091" t="s">
        <v>78</v>
      </c>
      <c r="AO2091" t="s">
        <v>78</v>
      </c>
      <c r="AP2091" t="s">
        <v>79</v>
      </c>
      <c r="AQ2091">
        <v>1</v>
      </c>
      <c r="AR2091" t="s">
        <v>123</v>
      </c>
      <c r="AS2091" t="s">
        <v>124</v>
      </c>
      <c r="AT2091" t="s">
        <v>58</v>
      </c>
      <c r="AU2091" t="s">
        <v>68</v>
      </c>
      <c r="AV2091" t="s">
        <v>69</v>
      </c>
      <c r="AW2091" s="1">
        <v>22465</v>
      </c>
      <c r="AX2091">
        <v>2</v>
      </c>
    </row>
    <row r="2092" spans="1:50">
      <c r="A2092">
        <v>206865</v>
      </c>
      <c r="B2092" t="str">
        <f>"054489015"</f>
        <v>054489015</v>
      </c>
      <c r="C2092" t="s">
        <v>50</v>
      </c>
      <c r="D2092" t="s">
        <v>4315</v>
      </c>
      <c r="E2092" t="s">
        <v>52</v>
      </c>
      <c r="F2092" t="s">
        <v>166</v>
      </c>
      <c r="G2092" t="s">
        <v>134</v>
      </c>
      <c r="H2092" t="str">
        <f>"ΜΑΚΕΔΟΝΙΑΣ 1 ΗΡΑΚΛΕΙΟ"</f>
        <v>ΜΑΚΕΔΟΝΙΑΣ 1 ΗΡΑΚΛΕΙΟ</v>
      </c>
      <c r="I2092">
        <v>71307</v>
      </c>
      <c r="J2092">
        <v>2810243770</v>
      </c>
      <c r="K2092">
        <v>6974825267</v>
      </c>
      <c r="M2092" t="s">
        <v>4316</v>
      </c>
      <c r="N2092" t="s">
        <v>146</v>
      </c>
      <c r="O2092" t="s">
        <v>147</v>
      </c>
      <c r="R2092" t="s">
        <v>57</v>
      </c>
      <c r="S2092">
        <v>7</v>
      </c>
      <c r="T2092">
        <v>218</v>
      </c>
      <c r="U2092" s="1">
        <v>38596</v>
      </c>
      <c r="V2092" t="s">
        <v>123</v>
      </c>
      <c r="W2092" t="s">
        <v>124</v>
      </c>
      <c r="X2092" t="s">
        <v>58</v>
      </c>
      <c r="Y2092">
        <v>20</v>
      </c>
      <c r="Z2092" t="s">
        <v>59</v>
      </c>
      <c r="AA2092" t="s">
        <v>59</v>
      </c>
      <c r="AB2092" t="s">
        <v>59</v>
      </c>
      <c r="AC2092" t="s">
        <v>59</v>
      </c>
      <c r="AD2092" t="s">
        <v>59</v>
      </c>
      <c r="AF2092" s="1">
        <v>38600</v>
      </c>
      <c r="AG2092" t="s">
        <v>125</v>
      </c>
      <c r="AH2092" t="s">
        <v>126</v>
      </c>
      <c r="AI2092" t="str">
        <f>"1701010"</f>
        <v>1701010</v>
      </c>
      <c r="AJ2092" t="s">
        <v>374</v>
      </c>
      <c r="AK2092">
        <v>2810227148</v>
      </c>
      <c r="AL2092" t="s">
        <v>375</v>
      </c>
      <c r="AM2092" t="s">
        <v>78</v>
      </c>
      <c r="AN2092" t="s">
        <v>78</v>
      </c>
      <c r="AO2092" t="s">
        <v>78</v>
      </c>
      <c r="AP2092" t="s">
        <v>79</v>
      </c>
      <c r="AQ2092">
        <v>1</v>
      </c>
      <c r="AR2092" t="s">
        <v>123</v>
      </c>
      <c r="AS2092" t="s">
        <v>124</v>
      </c>
      <c r="AT2092" t="s">
        <v>58</v>
      </c>
      <c r="AU2092" t="s">
        <v>68</v>
      </c>
      <c r="AV2092" t="s">
        <v>69</v>
      </c>
      <c r="AW2092" s="1">
        <v>25593</v>
      </c>
      <c r="AX2092">
        <v>2</v>
      </c>
    </row>
    <row r="2093" spans="1:50">
      <c r="A2093">
        <v>215822</v>
      </c>
      <c r="B2093" t="str">
        <f>"053943789"</f>
        <v>053943789</v>
      </c>
      <c r="C2093" t="s">
        <v>105</v>
      </c>
      <c r="D2093" t="s">
        <v>4317</v>
      </c>
      <c r="E2093" t="s">
        <v>72</v>
      </c>
      <c r="F2093" t="s">
        <v>4318</v>
      </c>
      <c r="G2093" t="s">
        <v>250</v>
      </c>
      <c r="H2093" t="str">
        <f>" "</f>
        <v xml:space="preserve"> </v>
      </c>
      <c r="J2093">
        <v>2810239494</v>
      </c>
      <c r="K2093">
        <v>6977030080</v>
      </c>
      <c r="M2093" t="s">
        <v>4319</v>
      </c>
      <c r="N2093" t="s">
        <v>204</v>
      </c>
      <c r="O2093" t="s">
        <v>205</v>
      </c>
      <c r="R2093" t="s">
        <v>57</v>
      </c>
      <c r="S2093">
        <v>7</v>
      </c>
      <c r="T2093">
        <v>231</v>
      </c>
      <c r="U2093" s="1">
        <v>38960</v>
      </c>
      <c r="V2093" t="s">
        <v>123</v>
      </c>
      <c r="W2093" t="s">
        <v>124</v>
      </c>
      <c r="X2093" t="s">
        <v>58</v>
      </c>
      <c r="Y2093">
        <v>20</v>
      </c>
      <c r="Z2093" t="s">
        <v>59</v>
      </c>
      <c r="AA2093" t="s">
        <v>59</v>
      </c>
      <c r="AB2093" t="s">
        <v>59</v>
      </c>
      <c r="AC2093" t="s">
        <v>59</v>
      </c>
      <c r="AD2093" t="s">
        <v>59</v>
      </c>
      <c r="AF2093" s="1">
        <v>38961</v>
      </c>
      <c r="AG2093" t="s">
        <v>137</v>
      </c>
      <c r="AH2093" t="s">
        <v>138</v>
      </c>
      <c r="AI2093" t="str">
        <f>"1740300"</f>
        <v>1740300</v>
      </c>
      <c r="AJ2093" t="s">
        <v>1274</v>
      </c>
      <c r="AK2093">
        <v>2892022100</v>
      </c>
      <c r="AL2093" t="s">
        <v>1275</v>
      </c>
      <c r="AM2093" t="s">
        <v>78</v>
      </c>
      <c r="AN2093" t="s">
        <v>242</v>
      </c>
      <c r="AO2093" t="s">
        <v>243</v>
      </c>
      <c r="AP2093" t="s">
        <v>243</v>
      </c>
      <c r="AQ2093">
        <v>33</v>
      </c>
      <c r="AR2093" t="s">
        <v>123</v>
      </c>
      <c r="AS2093" t="s">
        <v>124</v>
      </c>
      <c r="AT2093" t="s">
        <v>58</v>
      </c>
      <c r="AU2093" t="s">
        <v>68</v>
      </c>
      <c r="AV2093" t="s">
        <v>69</v>
      </c>
      <c r="AW2093" s="1">
        <v>28231</v>
      </c>
      <c r="AX2093">
        <v>2</v>
      </c>
    </row>
    <row r="2094" spans="1:50">
      <c r="A2094">
        <v>183688</v>
      </c>
      <c r="B2094" t="str">
        <f>"110132831"</f>
        <v>110132831</v>
      </c>
      <c r="C2094" t="s">
        <v>50</v>
      </c>
      <c r="D2094" t="s">
        <v>4320</v>
      </c>
      <c r="E2094" t="s">
        <v>1383</v>
      </c>
      <c r="F2094" t="s">
        <v>166</v>
      </c>
      <c r="G2094" t="s">
        <v>52</v>
      </c>
      <c r="H2094" t="str">
        <f>" "</f>
        <v xml:space="preserve"> </v>
      </c>
      <c r="M2094" t="s">
        <v>4321</v>
      </c>
      <c r="N2094" t="s">
        <v>146</v>
      </c>
      <c r="O2094" t="s">
        <v>147</v>
      </c>
      <c r="R2094" t="s">
        <v>57</v>
      </c>
      <c r="S2094">
        <v>11</v>
      </c>
      <c r="T2094">
        <v>177</v>
      </c>
      <c r="U2094" s="1">
        <v>36403</v>
      </c>
      <c r="V2094" t="s">
        <v>123</v>
      </c>
      <c r="W2094" t="s">
        <v>124</v>
      </c>
      <c r="X2094" t="s">
        <v>58</v>
      </c>
      <c r="Y2094">
        <v>20</v>
      </c>
      <c r="Z2094" t="s">
        <v>59</v>
      </c>
      <c r="AA2094" t="s">
        <v>59</v>
      </c>
      <c r="AB2094" t="s">
        <v>59</v>
      </c>
      <c r="AC2094" t="s">
        <v>59</v>
      </c>
      <c r="AD2094" t="s">
        <v>452</v>
      </c>
      <c r="AE2094" s="1">
        <v>43708</v>
      </c>
      <c r="AF2094" s="1">
        <v>36405</v>
      </c>
      <c r="AG2094" t="s">
        <v>60</v>
      </c>
      <c r="AH2094" t="s">
        <v>453</v>
      </c>
      <c r="AI2094" t="str">
        <f>"1700105"</f>
        <v>1700105</v>
      </c>
      <c r="AJ2094" t="s">
        <v>124</v>
      </c>
      <c r="AK2094">
        <v>2810333720</v>
      </c>
      <c r="AL2094" t="s">
        <v>454</v>
      </c>
      <c r="AM2094" t="s">
        <v>78</v>
      </c>
      <c r="AN2094" t="s">
        <v>78</v>
      </c>
      <c r="AO2094" t="s">
        <v>78</v>
      </c>
      <c r="AP2094" t="s">
        <v>79</v>
      </c>
      <c r="AS2094" t="s">
        <v>124</v>
      </c>
      <c r="AT2094" t="s">
        <v>58</v>
      </c>
      <c r="AU2094" t="s">
        <v>68</v>
      </c>
      <c r="AV2094" t="s">
        <v>455</v>
      </c>
      <c r="AW2094" s="1">
        <v>27560</v>
      </c>
      <c r="AX2094">
        <v>2</v>
      </c>
    </row>
    <row r="2095" spans="1:50">
      <c r="A2095">
        <v>221630</v>
      </c>
      <c r="B2095" t="str">
        <f>"035223361"</f>
        <v>035223361</v>
      </c>
      <c r="C2095" t="s">
        <v>50</v>
      </c>
      <c r="D2095" t="s">
        <v>4322</v>
      </c>
      <c r="E2095" t="s">
        <v>250</v>
      </c>
      <c r="F2095" t="s">
        <v>2847</v>
      </c>
      <c r="G2095" t="s">
        <v>787</v>
      </c>
      <c r="H2095" t="str">
        <f>" "</f>
        <v xml:space="preserve"> </v>
      </c>
      <c r="N2095" t="s">
        <v>176</v>
      </c>
      <c r="O2095" t="s">
        <v>177</v>
      </c>
      <c r="R2095" t="s">
        <v>57</v>
      </c>
      <c r="S2095">
        <v>13</v>
      </c>
      <c r="T2095">
        <v>184</v>
      </c>
      <c r="U2095" s="1">
        <v>34941</v>
      </c>
      <c r="V2095" t="s">
        <v>123</v>
      </c>
      <c r="W2095" t="s">
        <v>124</v>
      </c>
      <c r="X2095" t="s">
        <v>58</v>
      </c>
      <c r="Y2095">
        <v>18</v>
      </c>
      <c r="Z2095" t="s">
        <v>59</v>
      </c>
      <c r="AA2095" t="s">
        <v>59</v>
      </c>
      <c r="AB2095" t="s">
        <v>59</v>
      </c>
      <c r="AC2095" t="s">
        <v>59</v>
      </c>
      <c r="AD2095" t="s">
        <v>59</v>
      </c>
      <c r="AF2095" s="1">
        <v>34943</v>
      </c>
      <c r="AG2095" t="s">
        <v>125</v>
      </c>
      <c r="AH2095" t="s">
        <v>126</v>
      </c>
      <c r="AI2095" t="str">
        <f>"1701040"</f>
        <v>1701040</v>
      </c>
      <c r="AJ2095" t="s">
        <v>748</v>
      </c>
      <c r="AK2095">
        <v>2810252459</v>
      </c>
      <c r="AL2095" t="s">
        <v>749</v>
      </c>
      <c r="AM2095" t="s">
        <v>78</v>
      </c>
      <c r="AN2095" t="s">
        <v>78</v>
      </c>
      <c r="AO2095" t="s">
        <v>78</v>
      </c>
      <c r="AP2095" t="s">
        <v>141</v>
      </c>
      <c r="AQ2095">
        <v>3</v>
      </c>
      <c r="AR2095" t="s">
        <v>123</v>
      </c>
      <c r="AS2095" t="s">
        <v>124</v>
      </c>
      <c r="AT2095" t="s">
        <v>58</v>
      </c>
      <c r="AU2095" t="s">
        <v>68</v>
      </c>
      <c r="AV2095" t="s">
        <v>69</v>
      </c>
      <c r="AW2095" s="1">
        <v>24090</v>
      </c>
      <c r="AX2095">
        <v>2</v>
      </c>
    </row>
    <row r="2096" spans="1:50">
      <c r="A2096">
        <v>229207</v>
      </c>
      <c r="B2096" t="str">
        <f>"126473957"</f>
        <v>126473957</v>
      </c>
      <c r="C2096" t="s">
        <v>50</v>
      </c>
      <c r="D2096" t="s">
        <v>4323</v>
      </c>
      <c r="E2096" t="s">
        <v>54</v>
      </c>
      <c r="F2096" t="s">
        <v>2320</v>
      </c>
      <c r="G2096" t="s">
        <v>52</v>
      </c>
      <c r="H2096" t="str">
        <f>"ΟΛΥΜΠΙΟΝΙΚΩΝ 7 ΒΡΙΛΗΣΣΙΑ"</f>
        <v>ΟΛΥΜΠΙΟΝΙΚΩΝ 7 ΒΡΙΛΗΣΣΙΑ</v>
      </c>
      <c r="I2096">
        <v>15235</v>
      </c>
      <c r="J2096">
        <v>2107788468</v>
      </c>
      <c r="K2096">
        <v>6980553321</v>
      </c>
      <c r="M2096" t="s">
        <v>4324</v>
      </c>
      <c r="N2096" t="s">
        <v>306</v>
      </c>
      <c r="O2096" t="s">
        <v>307</v>
      </c>
      <c r="R2096" t="s">
        <v>57</v>
      </c>
      <c r="S2096">
        <v>4</v>
      </c>
      <c r="T2096">
        <v>720</v>
      </c>
      <c r="U2096" s="1">
        <v>40059</v>
      </c>
      <c r="V2096" t="s">
        <v>123</v>
      </c>
      <c r="W2096" t="s">
        <v>124</v>
      </c>
      <c r="X2096" t="s">
        <v>58</v>
      </c>
      <c r="Y2096">
        <v>21</v>
      </c>
      <c r="Z2096" t="s">
        <v>59</v>
      </c>
      <c r="AA2096" t="s">
        <v>59</v>
      </c>
      <c r="AB2096" t="s">
        <v>59</v>
      </c>
      <c r="AC2096" t="s">
        <v>59</v>
      </c>
      <c r="AD2096" t="s">
        <v>59</v>
      </c>
      <c r="AF2096" s="1">
        <v>40065</v>
      </c>
      <c r="AG2096" t="s">
        <v>148</v>
      </c>
      <c r="AH2096" t="s">
        <v>149</v>
      </c>
      <c r="AI2096" t="str">
        <f>"1763010"</f>
        <v>1763010</v>
      </c>
      <c r="AJ2096" t="s">
        <v>560</v>
      </c>
      <c r="AK2096">
        <v>2892051146</v>
      </c>
      <c r="AL2096" t="s">
        <v>561</v>
      </c>
      <c r="AM2096" t="s">
        <v>78</v>
      </c>
      <c r="AN2096" t="s">
        <v>242</v>
      </c>
      <c r="AO2096" t="s">
        <v>349</v>
      </c>
      <c r="AP2096" t="s">
        <v>349</v>
      </c>
      <c r="AQ2096">
        <v>35</v>
      </c>
      <c r="AR2096" t="s">
        <v>123</v>
      </c>
      <c r="AS2096" t="s">
        <v>124</v>
      </c>
      <c r="AT2096" t="s">
        <v>58</v>
      </c>
      <c r="AU2096" t="s">
        <v>68</v>
      </c>
      <c r="AV2096" t="s">
        <v>69</v>
      </c>
      <c r="AW2096" s="1">
        <v>30431</v>
      </c>
      <c r="AX2096">
        <v>2</v>
      </c>
    </row>
    <row r="2097" spans="1:50">
      <c r="B2097" t="str">
        <f>"113583278"</f>
        <v>113583278</v>
      </c>
      <c r="C2097" t="s">
        <v>105</v>
      </c>
      <c r="D2097" t="s">
        <v>4325</v>
      </c>
      <c r="E2097" t="s">
        <v>718</v>
      </c>
      <c r="F2097" t="s">
        <v>510</v>
      </c>
      <c r="G2097" t="s">
        <v>255</v>
      </c>
      <c r="H2097" t="str">
        <f>"ΚΟΥΤΑΡΕΛΙΑ 147 ΒΟΛΟΣ"</f>
        <v>ΚΟΥΤΑΡΕΛΙΑ 147 ΒΟΛΟΣ</v>
      </c>
      <c r="I2097">
        <v>38333</v>
      </c>
      <c r="J2097">
        <v>2421045697</v>
      </c>
      <c r="K2097">
        <v>6948949408</v>
      </c>
      <c r="N2097" t="s">
        <v>146</v>
      </c>
      <c r="O2097" t="s">
        <v>147</v>
      </c>
      <c r="R2097" t="s">
        <v>159</v>
      </c>
      <c r="S2097">
        <v>4</v>
      </c>
      <c r="T2097" t="s">
        <v>416</v>
      </c>
      <c r="U2097" s="1">
        <v>43349</v>
      </c>
      <c r="V2097" t="s">
        <v>123</v>
      </c>
      <c r="W2097" t="s">
        <v>124</v>
      </c>
      <c r="X2097" t="s">
        <v>58</v>
      </c>
      <c r="Y2097">
        <v>21</v>
      </c>
      <c r="Z2097" t="s">
        <v>59</v>
      </c>
      <c r="AA2097" t="s">
        <v>59</v>
      </c>
      <c r="AB2097" t="s">
        <v>59</v>
      </c>
      <c r="AC2097" t="s">
        <v>59</v>
      </c>
      <c r="AD2097" t="s">
        <v>59</v>
      </c>
      <c r="AF2097" s="1">
        <v>43349</v>
      </c>
      <c r="AG2097" t="s">
        <v>148</v>
      </c>
      <c r="AH2097" t="s">
        <v>149</v>
      </c>
      <c r="AI2097" t="str">
        <f>"1761010"</f>
        <v>1761010</v>
      </c>
      <c r="AJ2097" t="s">
        <v>426</v>
      </c>
      <c r="AK2097">
        <v>2810741356</v>
      </c>
      <c r="AL2097" t="s">
        <v>427</v>
      </c>
      <c r="AM2097" t="s">
        <v>78</v>
      </c>
      <c r="AN2097" t="s">
        <v>424</v>
      </c>
      <c r="AO2097" t="s">
        <v>428</v>
      </c>
      <c r="AP2097" t="s">
        <v>429</v>
      </c>
      <c r="AQ2097">
        <v>14</v>
      </c>
      <c r="AR2097" t="s">
        <v>123</v>
      </c>
      <c r="AS2097" t="s">
        <v>124</v>
      </c>
      <c r="AT2097" t="s">
        <v>58</v>
      </c>
      <c r="AU2097" t="s">
        <v>419</v>
      </c>
      <c r="AV2097" t="s">
        <v>132</v>
      </c>
      <c r="AW2097" s="1">
        <v>26517</v>
      </c>
      <c r="AX2097">
        <v>2</v>
      </c>
    </row>
    <row r="2098" spans="1:50">
      <c r="A2098">
        <v>221836</v>
      </c>
      <c r="B2098" t="str">
        <f>"147202845"</f>
        <v>147202845</v>
      </c>
      <c r="C2098" t="s">
        <v>105</v>
      </c>
      <c r="D2098" t="s">
        <v>4326</v>
      </c>
      <c r="E2098" t="s">
        <v>53</v>
      </c>
      <c r="F2098" t="s">
        <v>4327</v>
      </c>
      <c r="G2098" t="s">
        <v>238</v>
      </c>
      <c r="H2098" t="str">
        <f>"ΑΝΑΓΕΝΝΗΣΕΩΣ 6-8 ΜΑΣΤΑΜΠΑΣ"</f>
        <v>ΑΝΑΓΕΝΝΗΣΕΩΣ 6-8 ΜΑΣΤΑΜΠΑΣ</v>
      </c>
      <c r="I2098">
        <v>71305</v>
      </c>
      <c r="J2098">
        <v>2894022254</v>
      </c>
      <c r="K2098">
        <v>6945580331</v>
      </c>
      <c r="M2098" t="s">
        <v>4328</v>
      </c>
      <c r="N2098" t="s">
        <v>157</v>
      </c>
      <c r="O2098" t="s">
        <v>158</v>
      </c>
      <c r="P2098" t="s">
        <v>146</v>
      </c>
      <c r="Q2098" t="s">
        <v>147</v>
      </c>
      <c r="R2098" t="s">
        <v>57</v>
      </c>
      <c r="S2098">
        <v>6</v>
      </c>
      <c r="T2098">
        <v>775</v>
      </c>
      <c r="U2098" s="1">
        <v>39680</v>
      </c>
      <c r="V2098" t="s">
        <v>123</v>
      </c>
      <c r="W2098" t="s">
        <v>124</v>
      </c>
      <c r="X2098" t="s">
        <v>58</v>
      </c>
      <c r="Y2098">
        <v>21</v>
      </c>
      <c r="Z2098" t="s">
        <v>59</v>
      </c>
      <c r="AA2098" t="s">
        <v>59</v>
      </c>
      <c r="AB2098" t="s">
        <v>59</v>
      </c>
      <c r="AC2098" t="s">
        <v>59</v>
      </c>
      <c r="AD2098" t="s">
        <v>59</v>
      </c>
      <c r="AF2098" s="1">
        <v>39681</v>
      </c>
      <c r="AG2098" t="s">
        <v>125</v>
      </c>
      <c r="AH2098" t="s">
        <v>126</v>
      </c>
      <c r="AI2098" t="str">
        <f>"1709010"</f>
        <v>1709010</v>
      </c>
      <c r="AJ2098" t="s">
        <v>847</v>
      </c>
      <c r="AK2098">
        <v>2894022227</v>
      </c>
      <c r="AL2098" t="s">
        <v>848</v>
      </c>
      <c r="AM2098" t="s">
        <v>78</v>
      </c>
      <c r="AN2098" t="s">
        <v>405</v>
      </c>
      <c r="AO2098" t="s">
        <v>406</v>
      </c>
      <c r="AP2098" t="s">
        <v>406</v>
      </c>
      <c r="AQ2098">
        <v>30</v>
      </c>
      <c r="AR2098" t="s">
        <v>123</v>
      </c>
      <c r="AS2098" t="s">
        <v>124</v>
      </c>
      <c r="AT2098" t="s">
        <v>58</v>
      </c>
      <c r="AU2098" t="s">
        <v>68</v>
      </c>
      <c r="AV2098" t="s">
        <v>69</v>
      </c>
      <c r="AW2098" s="1">
        <v>26622</v>
      </c>
      <c r="AX2098">
        <v>2</v>
      </c>
    </row>
    <row r="2099" spans="1:50">
      <c r="A2099">
        <v>164297</v>
      </c>
      <c r="B2099" t="str">
        <f>"032893836"</f>
        <v>032893836</v>
      </c>
      <c r="C2099" t="s">
        <v>50</v>
      </c>
      <c r="D2099" t="s">
        <v>4329</v>
      </c>
      <c r="E2099" t="s">
        <v>237</v>
      </c>
      <c r="F2099" t="s">
        <v>166</v>
      </c>
      <c r="G2099" t="s">
        <v>263</v>
      </c>
      <c r="H2099" t="str">
        <f>" "</f>
        <v xml:space="preserve"> </v>
      </c>
      <c r="K2099">
        <v>6978057118</v>
      </c>
      <c r="N2099" t="s">
        <v>146</v>
      </c>
      <c r="O2099" t="s">
        <v>147</v>
      </c>
      <c r="R2099" t="s">
        <v>57</v>
      </c>
      <c r="S2099">
        <v>19</v>
      </c>
      <c r="T2099">
        <v>161</v>
      </c>
      <c r="U2099" s="1">
        <v>33844</v>
      </c>
      <c r="V2099" t="s">
        <v>123</v>
      </c>
      <c r="W2099" t="s">
        <v>124</v>
      </c>
      <c r="X2099" t="s">
        <v>58</v>
      </c>
      <c r="Y2099">
        <v>18</v>
      </c>
      <c r="Z2099" t="s">
        <v>59</v>
      </c>
      <c r="AA2099" t="s">
        <v>59</v>
      </c>
      <c r="AB2099" t="s">
        <v>59</v>
      </c>
      <c r="AC2099" t="s">
        <v>59</v>
      </c>
      <c r="AD2099" t="s">
        <v>59</v>
      </c>
      <c r="AF2099" s="1">
        <v>33851</v>
      </c>
      <c r="AG2099" t="s">
        <v>137</v>
      </c>
      <c r="AH2099" t="s">
        <v>469</v>
      </c>
      <c r="AI2099" t="str">
        <f>"1740200"</f>
        <v>1740200</v>
      </c>
      <c r="AJ2099" t="s">
        <v>470</v>
      </c>
      <c r="AK2099">
        <v>2810320770</v>
      </c>
      <c r="AL2099" t="s">
        <v>471</v>
      </c>
      <c r="AM2099" t="s">
        <v>78</v>
      </c>
      <c r="AN2099" t="s">
        <v>78</v>
      </c>
      <c r="AO2099" t="s">
        <v>78</v>
      </c>
      <c r="AP2099" t="s">
        <v>163</v>
      </c>
      <c r="AQ2099">
        <v>2</v>
      </c>
      <c r="AR2099" t="s">
        <v>123</v>
      </c>
      <c r="AS2099" t="s">
        <v>124</v>
      </c>
      <c r="AT2099" t="s">
        <v>58</v>
      </c>
      <c r="AU2099" t="s">
        <v>68</v>
      </c>
      <c r="AV2099" t="s">
        <v>69</v>
      </c>
      <c r="AW2099" s="1">
        <v>23090</v>
      </c>
      <c r="AX2099">
        <v>2</v>
      </c>
    </row>
    <row r="2100" spans="1:50">
      <c r="A2100">
        <v>214003</v>
      </c>
      <c r="B2100" t="str">
        <f>"070957405"</f>
        <v>070957405</v>
      </c>
      <c r="C2100" t="s">
        <v>50</v>
      </c>
      <c r="D2100" t="s">
        <v>4329</v>
      </c>
      <c r="E2100" t="s">
        <v>255</v>
      </c>
      <c r="F2100" t="s">
        <v>72</v>
      </c>
      <c r="G2100" t="s">
        <v>630</v>
      </c>
      <c r="H2100" t="str">
        <f>" "</f>
        <v xml:space="preserve"> </v>
      </c>
      <c r="N2100" t="s">
        <v>306</v>
      </c>
      <c r="O2100" t="s">
        <v>307</v>
      </c>
      <c r="R2100" t="s">
        <v>57</v>
      </c>
      <c r="S2100">
        <v>7</v>
      </c>
      <c r="T2100">
        <v>231</v>
      </c>
      <c r="U2100" s="1">
        <v>38960</v>
      </c>
      <c r="V2100" t="s">
        <v>123</v>
      </c>
      <c r="W2100" t="s">
        <v>124</v>
      </c>
      <c r="X2100" t="s">
        <v>58</v>
      </c>
      <c r="Y2100">
        <v>20</v>
      </c>
      <c r="Z2100" t="s">
        <v>59</v>
      </c>
      <c r="AA2100" t="s">
        <v>59</v>
      </c>
      <c r="AB2100" t="s">
        <v>59</v>
      </c>
      <c r="AC2100" t="s">
        <v>59</v>
      </c>
      <c r="AD2100" t="s">
        <v>59</v>
      </c>
      <c r="AF2100" s="1">
        <v>38961</v>
      </c>
      <c r="AG2100" t="s">
        <v>148</v>
      </c>
      <c r="AH2100" t="s">
        <v>149</v>
      </c>
      <c r="AI2100" t="str">
        <f>"1751020"</f>
        <v>1751020</v>
      </c>
      <c r="AJ2100" t="s">
        <v>532</v>
      </c>
      <c r="AK2100">
        <v>2810372732</v>
      </c>
      <c r="AL2100" t="s">
        <v>533</v>
      </c>
      <c r="AM2100" t="s">
        <v>78</v>
      </c>
      <c r="AN2100" t="s">
        <v>78</v>
      </c>
      <c r="AO2100" t="s">
        <v>78</v>
      </c>
      <c r="AP2100" t="s">
        <v>163</v>
      </c>
      <c r="AQ2100">
        <v>3</v>
      </c>
      <c r="AR2100" t="s">
        <v>123</v>
      </c>
      <c r="AS2100" t="s">
        <v>124</v>
      </c>
      <c r="AT2100" t="s">
        <v>58</v>
      </c>
      <c r="AU2100" t="s">
        <v>68</v>
      </c>
      <c r="AV2100" t="s">
        <v>69</v>
      </c>
      <c r="AW2100" s="1">
        <v>28189</v>
      </c>
      <c r="AX2100">
        <v>2</v>
      </c>
    </row>
    <row r="2101" spans="1:50">
      <c r="A2101">
        <v>175816</v>
      </c>
      <c r="B2101" t="str">
        <f>"064174756"</f>
        <v>064174756</v>
      </c>
      <c r="C2101" t="s">
        <v>50</v>
      </c>
      <c r="D2101" t="s">
        <v>4329</v>
      </c>
      <c r="E2101" t="s">
        <v>215</v>
      </c>
      <c r="F2101" t="s">
        <v>99</v>
      </c>
      <c r="G2101" t="s">
        <v>1361</v>
      </c>
      <c r="H2101" t="str">
        <f>"ΒΡΑΧΟΚΗΠΟΣ ΚΟΚΚΙΝΗ ΧΑΝΙ"</f>
        <v>ΒΡΑΧΟΚΗΠΟΣ ΚΟΚΚΙΝΗ ΧΑΝΙ</v>
      </c>
      <c r="I2101">
        <v>71500</v>
      </c>
      <c r="J2101">
        <v>2810762942</v>
      </c>
      <c r="K2101">
        <v>6973768954</v>
      </c>
      <c r="M2101" t="s">
        <v>4330</v>
      </c>
      <c r="N2101" t="s">
        <v>146</v>
      </c>
      <c r="O2101" t="s">
        <v>147</v>
      </c>
      <c r="R2101" t="s">
        <v>57</v>
      </c>
      <c r="S2101">
        <v>12</v>
      </c>
      <c r="T2101">
        <v>180</v>
      </c>
      <c r="U2101" s="1">
        <v>35674</v>
      </c>
      <c r="V2101" t="s">
        <v>123</v>
      </c>
      <c r="W2101" t="s">
        <v>124</v>
      </c>
      <c r="X2101" t="s">
        <v>58</v>
      </c>
      <c r="Y2101">
        <v>18</v>
      </c>
      <c r="Z2101" t="s">
        <v>59</v>
      </c>
      <c r="AA2101" t="s">
        <v>59</v>
      </c>
      <c r="AB2101" t="s">
        <v>59</v>
      </c>
      <c r="AC2101" t="s">
        <v>59</v>
      </c>
      <c r="AD2101" t="s">
        <v>59</v>
      </c>
      <c r="AF2101" s="1">
        <v>35678</v>
      </c>
      <c r="AG2101" t="s">
        <v>125</v>
      </c>
      <c r="AH2101" t="s">
        <v>126</v>
      </c>
      <c r="AI2101" t="str">
        <f>"1714012"</f>
        <v>1714012</v>
      </c>
      <c r="AJ2101" t="s">
        <v>633</v>
      </c>
      <c r="AK2101">
        <v>2810762261</v>
      </c>
      <c r="AL2101" t="s">
        <v>634</v>
      </c>
      <c r="AM2101" t="s">
        <v>78</v>
      </c>
      <c r="AN2101" t="s">
        <v>219</v>
      </c>
      <c r="AO2101" t="s">
        <v>297</v>
      </c>
      <c r="AP2101" t="s">
        <v>297</v>
      </c>
      <c r="AQ2101">
        <v>37</v>
      </c>
      <c r="AR2101" t="s">
        <v>123</v>
      </c>
      <c r="AS2101" t="s">
        <v>124</v>
      </c>
      <c r="AT2101" t="s">
        <v>58</v>
      </c>
      <c r="AU2101" t="s">
        <v>68</v>
      </c>
      <c r="AV2101" t="s">
        <v>69</v>
      </c>
      <c r="AW2101" s="1">
        <v>24475</v>
      </c>
      <c r="AX2101">
        <v>2</v>
      </c>
    </row>
    <row r="2102" spans="1:50">
      <c r="A2102">
        <v>207950</v>
      </c>
      <c r="B2102" t="str">
        <f>"061969897"</f>
        <v>061969897</v>
      </c>
      <c r="C2102" t="s">
        <v>50</v>
      </c>
      <c r="D2102" t="s">
        <v>4329</v>
      </c>
      <c r="E2102" t="s">
        <v>215</v>
      </c>
      <c r="F2102" t="s">
        <v>106</v>
      </c>
      <c r="G2102" t="s">
        <v>396</v>
      </c>
      <c r="H2102" t="str">
        <f>"ΚΑΡΑΒΑΔΟ ΑΡΚΑΛΟΧΩΡΙΟΥ"</f>
        <v>ΚΑΡΑΒΑΔΟ ΑΡΚΑΛΟΧΩΡΙΟΥ</v>
      </c>
      <c r="I2102">
        <v>70006</v>
      </c>
      <c r="K2102">
        <v>6973477640</v>
      </c>
      <c r="L2102">
        <v>2810328029</v>
      </c>
      <c r="M2102" t="s">
        <v>4331</v>
      </c>
      <c r="N2102" t="s">
        <v>299</v>
      </c>
      <c r="O2102" t="s">
        <v>300</v>
      </c>
      <c r="R2102" t="s">
        <v>57</v>
      </c>
      <c r="S2102">
        <v>7</v>
      </c>
      <c r="T2102">
        <v>218</v>
      </c>
      <c r="U2102" s="1">
        <v>38596</v>
      </c>
      <c r="V2102" t="s">
        <v>123</v>
      </c>
      <c r="W2102" t="s">
        <v>124</v>
      </c>
      <c r="X2102" t="s">
        <v>58</v>
      </c>
      <c r="Y2102">
        <v>20</v>
      </c>
      <c r="Z2102" t="s">
        <v>59</v>
      </c>
      <c r="AA2102" t="s">
        <v>59</v>
      </c>
      <c r="AB2102" t="s">
        <v>59</v>
      </c>
      <c r="AC2102" t="s">
        <v>59</v>
      </c>
      <c r="AD2102" t="s">
        <v>59</v>
      </c>
      <c r="AF2102" s="1">
        <v>38602</v>
      </c>
      <c r="AG2102" t="s">
        <v>148</v>
      </c>
      <c r="AH2102" t="s">
        <v>149</v>
      </c>
      <c r="AI2102" t="str">
        <f>"1755010"</f>
        <v>1755010</v>
      </c>
      <c r="AJ2102" t="s">
        <v>274</v>
      </c>
      <c r="AK2102">
        <v>2891031124</v>
      </c>
      <c r="AL2102" t="s">
        <v>275</v>
      </c>
      <c r="AM2102" t="s">
        <v>78</v>
      </c>
      <c r="AN2102" t="s">
        <v>276</v>
      </c>
      <c r="AO2102" t="s">
        <v>277</v>
      </c>
      <c r="AP2102" t="s">
        <v>277</v>
      </c>
      <c r="AQ2102">
        <v>17</v>
      </c>
      <c r="AR2102" t="s">
        <v>123</v>
      </c>
      <c r="AS2102" t="s">
        <v>124</v>
      </c>
      <c r="AT2102" t="s">
        <v>58</v>
      </c>
      <c r="AU2102" t="s">
        <v>68</v>
      </c>
      <c r="AV2102" t="s">
        <v>69</v>
      </c>
      <c r="AW2102" s="1">
        <v>26699</v>
      </c>
      <c r="AX2102">
        <v>2</v>
      </c>
    </row>
    <row r="2103" spans="1:50">
      <c r="B2103" t="str">
        <f>"132326488"</f>
        <v>132326488</v>
      </c>
      <c r="C2103" t="s">
        <v>50</v>
      </c>
      <c r="D2103" t="s">
        <v>4329</v>
      </c>
      <c r="E2103" t="s">
        <v>191</v>
      </c>
      <c r="F2103" t="s">
        <v>53</v>
      </c>
      <c r="H2103" t="str">
        <f>" "</f>
        <v xml:space="preserve"> </v>
      </c>
      <c r="N2103" t="s">
        <v>536</v>
      </c>
      <c r="O2103" t="s">
        <v>537</v>
      </c>
      <c r="R2103" t="s">
        <v>121</v>
      </c>
      <c r="S2103">
        <v>3</v>
      </c>
      <c r="T2103" t="s">
        <v>122</v>
      </c>
      <c r="U2103" s="1">
        <v>43348</v>
      </c>
      <c r="V2103" t="s">
        <v>123</v>
      </c>
      <c r="W2103" t="s">
        <v>124</v>
      </c>
      <c r="X2103" t="s">
        <v>58</v>
      </c>
      <c r="Y2103">
        <v>23</v>
      </c>
      <c r="Z2103" t="s">
        <v>59</v>
      </c>
      <c r="AA2103" t="s">
        <v>59</v>
      </c>
      <c r="AB2103" t="s">
        <v>59</v>
      </c>
      <c r="AC2103" t="s">
        <v>59</v>
      </c>
      <c r="AD2103" t="s">
        <v>59</v>
      </c>
      <c r="AF2103" s="1">
        <v>43348</v>
      </c>
      <c r="AG2103" t="s">
        <v>148</v>
      </c>
      <c r="AH2103" t="s">
        <v>149</v>
      </c>
      <c r="AI2103" t="str">
        <f>"1751080"</f>
        <v>1751080</v>
      </c>
      <c r="AJ2103" t="s">
        <v>1395</v>
      </c>
      <c r="AK2103">
        <v>2810721380</v>
      </c>
      <c r="AL2103" t="s">
        <v>1396</v>
      </c>
      <c r="AM2103" t="s">
        <v>78</v>
      </c>
      <c r="AN2103" t="s">
        <v>78</v>
      </c>
      <c r="AO2103" t="s">
        <v>185</v>
      </c>
      <c r="AP2103" t="s">
        <v>186</v>
      </c>
      <c r="AQ2103">
        <v>29</v>
      </c>
      <c r="AR2103" t="s">
        <v>123</v>
      </c>
      <c r="AS2103" t="s">
        <v>124</v>
      </c>
      <c r="AT2103" t="s">
        <v>58</v>
      </c>
      <c r="AU2103" t="s">
        <v>131</v>
      </c>
      <c r="AV2103" t="s">
        <v>132</v>
      </c>
      <c r="AW2103" s="1">
        <v>30612</v>
      </c>
      <c r="AX2103">
        <v>2</v>
      </c>
    </row>
    <row r="2104" spans="1:50">
      <c r="A2104">
        <v>198112</v>
      </c>
      <c r="B2104" t="str">
        <f>"069453090"</f>
        <v>069453090</v>
      </c>
      <c r="C2104" t="s">
        <v>50</v>
      </c>
      <c r="D2104" t="s">
        <v>4329</v>
      </c>
      <c r="E2104" t="s">
        <v>96</v>
      </c>
      <c r="F2104" t="s">
        <v>640</v>
      </c>
      <c r="G2104" t="s">
        <v>396</v>
      </c>
      <c r="H2104" t="str">
        <f>" "</f>
        <v xml:space="preserve"> </v>
      </c>
      <c r="J2104">
        <v>2810319209</v>
      </c>
      <c r="K2104">
        <v>6972848009</v>
      </c>
      <c r="N2104" t="s">
        <v>232</v>
      </c>
      <c r="O2104" t="s">
        <v>233</v>
      </c>
      <c r="R2104" t="s">
        <v>57</v>
      </c>
      <c r="S2104">
        <v>8</v>
      </c>
      <c r="T2104">
        <v>206</v>
      </c>
      <c r="U2104" s="1">
        <v>37866</v>
      </c>
      <c r="V2104" t="s">
        <v>123</v>
      </c>
      <c r="W2104" t="s">
        <v>124</v>
      </c>
      <c r="X2104" t="s">
        <v>58</v>
      </c>
      <c r="Y2104">
        <v>20</v>
      </c>
      <c r="Z2104" t="s">
        <v>59</v>
      </c>
      <c r="AA2104" t="s">
        <v>59</v>
      </c>
      <c r="AB2104" t="s">
        <v>59</v>
      </c>
      <c r="AC2104" t="s">
        <v>59</v>
      </c>
      <c r="AD2104" t="s">
        <v>59</v>
      </c>
      <c r="AF2104" s="1">
        <v>37869</v>
      </c>
      <c r="AG2104" t="s">
        <v>148</v>
      </c>
      <c r="AH2104" t="s">
        <v>149</v>
      </c>
      <c r="AI2104" t="str">
        <f>"1751010"</f>
        <v>1751010</v>
      </c>
      <c r="AJ2104" t="s">
        <v>150</v>
      </c>
      <c r="AK2104">
        <v>2810346092</v>
      </c>
      <c r="AL2104" t="s">
        <v>151</v>
      </c>
      <c r="AM2104" t="s">
        <v>78</v>
      </c>
      <c r="AN2104" t="s">
        <v>78</v>
      </c>
      <c r="AO2104" t="s">
        <v>78</v>
      </c>
      <c r="AP2104" t="s">
        <v>79</v>
      </c>
      <c r="AQ2104">
        <v>1</v>
      </c>
      <c r="AR2104" t="s">
        <v>123</v>
      </c>
      <c r="AS2104" t="s">
        <v>124</v>
      </c>
      <c r="AT2104" t="s">
        <v>58</v>
      </c>
      <c r="AU2104" t="s">
        <v>68</v>
      </c>
      <c r="AV2104" t="s">
        <v>69</v>
      </c>
      <c r="AW2104" s="1">
        <v>27378</v>
      </c>
      <c r="AX2104">
        <v>2</v>
      </c>
    </row>
    <row r="2105" spans="1:50">
      <c r="A2105">
        <v>194176</v>
      </c>
      <c r="B2105" t="str">
        <f>"033399635"</f>
        <v>033399635</v>
      </c>
      <c r="C2105" t="s">
        <v>105</v>
      </c>
      <c r="D2105" t="s">
        <v>4332</v>
      </c>
      <c r="E2105" t="s">
        <v>95</v>
      </c>
      <c r="F2105" t="s">
        <v>53</v>
      </c>
      <c r="G2105" t="s">
        <v>191</v>
      </c>
      <c r="H2105" t="str">
        <f>" "</f>
        <v xml:space="preserve"> </v>
      </c>
      <c r="J2105">
        <v>2810823922</v>
      </c>
      <c r="K2105">
        <v>6981062065</v>
      </c>
      <c r="L2105">
        <v>2810822410</v>
      </c>
      <c r="M2105" t="s">
        <v>4333</v>
      </c>
      <c r="N2105" t="s">
        <v>299</v>
      </c>
      <c r="O2105" t="s">
        <v>300</v>
      </c>
      <c r="R2105" t="s">
        <v>57</v>
      </c>
      <c r="S2105">
        <v>11</v>
      </c>
      <c r="T2105">
        <v>193</v>
      </c>
      <c r="U2105" s="1">
        <v>37497</v>
      </c>
      <c r="V2105" t="s">
        <v>123</v>
      </c>
      <c r="W2105" t="s">
        <v>124</v>
      </c>
      <c r="X2105" t="s">
        <v>58</v>
      </c>
      <c r="Y2105">
        <v>18</v>
      </c>
      <c r="Z2105" t="s">
        <v>59</v>
      </c>
      <c r="AA2105" t="s">
        <v>59</v>
      </c>
      <c r="AB2105" t="s">
        <v>59</v>
      </c>
      <c r="AC2105" t="s">
        <v>59</v>
      </c>
      <c r="AD2105" t="s">
        <v>59</v>
      </c>
      <c r="AF2105" s="1">
        <v>37497</v>
      </c>
      <c r="AG2105" t="s">
        <v>148</v>
      </c>
      <c r="AH2105" t="s">
        <v>1053</v>
      </c>
      <c r="AI2105" t="str">
        <f>"1790200"</f>
        <v>1790200</v>
      </c>
      <c r="AJ2105" t="s">
        <v>1054</v>
      </c>
      <c r="AK2105">
        <v>2810360880</v>
      </c>
      <c r="AL2105" t="s">
        <v>1055</v>
      </c>
      <c r="AM2105" t="s">
        <v>78</v>
      </c>
      <c r="AN2105" t="s">
        <v>78</v>
      </c>
      <c r="AO2105" t="s">
        <v>78</v>
      </c>
      <c r="AP2105" t="s">
        <v>163</v>
      </c>
      <c r="AQ2105">
        <v>8</v>
      </c>
      <c r="AR2105" t="s">
        <v>123</v>
      </c>
      <c r="AS2105" t="s">
        <v>124</v>
      </c>
      <c r="AT2105" t="s">
        <v>58</v>
      </c>
      <c r="AU2105" t="s">
        <v>68</v>
      </c>
      <c r="AV2105" t="s">
        <v>69</v>
      </c>
      <c r="AW2105" s="1">
        <v>20957</v>
      </c>
      <c r="AX2105">
        <v>2</v>
      </c>
    </row>
    <row r="2106" spans="1:50">
      <c r="A2106">
        <v>187158</v>
      </c>
      <c r="B2106" t="str">
        <f>"042494520"</f>
        <v>042494520</v>
      </c>
      <c r="C2106" t="s">
        <v>105</v>
      </c>
      <c r="D2106" t="s">
        <v>4332</v>
      </c>
      <c r="E2106" t="s">
        <v>99</v>
      </c>
      <c r="F2106" t="s">
        <v>95</v>
      </c>
      <c r="G2106" t="s">
        <v>73</v>
      </c>
      <c r="H2106" t="str">
        <f>"ΠΡΑΣΣΑΣ "</f>
        <v xml:space="preserve">ΠΡΑΣΣΑΣ </v>
      </c>
      <c r="J2106">
        <v>2810233144</v>
      </c>
      <c r="K2106">
        <v>6974736678</v>
      </c>
      <c r="M2106" t="s">
        <v>4334</v>
      </c>
      <c r="N2106" t="s">
        <v>135</v>
      </c>
      <c r="O2106" t="s">
        <v>136</v>
      </c>
      <c r="R2106" t="s">
        <v>57</v>
      </c>
      <c r="S2106">
        <v>8</v>
      </c>
      <c r="T2106">
        <v>251</v>
      </c>
      <c r="U2106" s="1">
        <v>36769</v>
      </c>
      <c r="V2106" t="s">
        <v>123</v>
      </c>
      <c r="W2106" t="s">
        <v>124</v>
      </c>
      <c r="X2106" t="s">
        <v>58</v>
      </c>
      <c r="Y2106">
        <v>20</v>
      </c>
      <c r="Z2106" t="s">
        <v>59</v>
      </c>
      <c r="AA2106" t="s">
        <v>59</v>
      </c>
      <c r="AB2106" t="s">
        <v>59</v>
      </c>
      <c r="AC2106" t="s">
        <v>59</v>
      </c>
      <c r="AD2106" t="s">
        <v>59</v>
      </c>
      <c r="AF2106" s="1">
        <v>36769</v>
      </c>
      <c r="AG2106" t="s">
        <v>125</v>
      </c>
      <c r="AH2106" t="s">
        <v>126</v>
      </c>
      <c r="AI2106" t="str">
        <f>"1714012"</f>
        <v>1714012</v>
      </c>
      <c r="AJ2106" t="s">
        <v>633</v>
      </c>
      <c r="AK2106">
        <v>2810762261</v>
      </c>
      <c r="AL2106" t="s">
        <v>634</v>
      </c>
      <c r="AM2106" t="s">
        <v>78</v>
      </c>
      <c r="AN2106" t="s">
        <v>219</v>
      </c>
      <c r="AO2106" t="s">
        <v>297</v>
      </c>
      <c r="AP2106" t="s">
        <v>297</v>
      </c>
      <c r="AQ2106">
        <v>37</v>
      </c>
      <c r="AR2106" t="s">
        <v>123</v>
      </c>
      <c r="AS2106" t="s">
        <v>124</v>
      </c>
      <c r="AT2106" t="s">
        <v>58</v>
      </c>
      <c r="AU2106" t="s">
        <v>68</v>
      </c>
      <c r="AV2106" t="s">
        <v>69</v>
      </c>
      <c r="AW2106" s="1">
        <v>21885</v>
      </c>
      <c r="AX2106">
        <v>2</v>
      </c>
    </row>
    <row r="2107" spans="1:50">
      <c r="A2107">
        <v>193335</v>
      </c>
      <c r="B2107" t="str">
        <f>"046596632"</f>
        <v>046596632</v>
      </c>
      <c r="C2107" t="s">
        <v>105</v>
      </c>
      <c r="D2107" t="s">
        <v>4332</v>
      </c>
      <c r="E2107" t="s">
        <v>496</v>
      </c>
      <c r="F2107" t="s">
        <v>106</v>
      </c>
      <c r="G2107" t="s">
        <v>396</v>
      </c>
      <c r="H2107" t="str">
        <f>"ΛΑΠΠΑ 26 ΜΑΣΤΑΜΠΑΣ"</f>
        <v>ΛΑΠΠΑ 26 ΜΑΣΤΑΜΠΑΣ</v>
      </c>
      <c r="I2107">
        <v>71305</v>
      </c>
      <c r="J2107">
        <v>2810313624</v>
      </c>
      <c r="K2107">
        <v>6979433083</v>
      </c>
      <c r="L2107">
        <v>2810313624</v>
      </c>
      <c r="M2107" t="s">
        <v>4335</v>
      </c>
      <c r="N2107" t="s">
        <v>146</v>
      </c>
      <c r="O2107" t="s">
        <v>147</v>
      </c>
      <c r="R2107" t="s">
        <v>57</v>
      </c>
      <c r="S2107">
        <v>8</v>
      </c>
      <c r="T2107" t="s">
        <v>3919</v>
      </c>
      <c r="U2107" s="1">
        <v>37135</v>
      </c>
      <c r="V2107" t="s">
        <v>123</v>
      </c>
      <c r="W2107" t="s">
        <v>124</v>
      </c>
      <c r="X2107" t="s">
        <v>58</v>
      </c>
      <c r="Y2107">
        <v>20</v>
      </c>
      <c r="Z2107" t="s">
        <v>59</v>
      </c>
      <c r="AA2107" t="s">
        <v>59</v>
      </c>
      <c r="AB2107" t="s">
        <v>59</v>
      </c>
      <c r="AC2107" t="s">
        <v>59</v>
      </c>
      <c r="AD2107" t="s">
        <v>59</v>
      </c>
      <c r="AF2107" s="1">
        <v>37136</v>
      </c>
      <c r="AG2107" t="s">
        <v>148</v>
      </c>
      <c r="AH2107" t="s">
        <v>149</v>
      </c>
      <c r="AI2107" t="str">
        <f>"1790070"</f>
        <v>1790070</v>
      </c>
      <c r="AJ2107" t="s">
        <v>1283</v>
      </c>
      <c r="AK2107">
        <v>2810252154</v>
      </c>
      <c r="AL2107" t="s">
        <v>1284</v>
      </c>
      <c r="AM2107" t="s">
        <v>78</v>
      </c>
      <c r="AN2107" t="s">
        <v>78</v>
      </c>
      <c r="AO2107" t="s">
        <v>78</v>
      </c>
      <c r="AP2107" t="s">
        <v>141</v>
      </c>
      <c r="AQ2107">
        <v>7</v>
      </c>
      <c r="AR2107" t="s">
        <v>123</v>
      </c>
      <c r="AS2107" t="s">
        <v>124</v>
      </c>
      <c r="AT2107" t="s">
        <v>58</v>
      </c>
      <c r="AU2107" t="s">
        <v>68</v>
      </c>
      <c r="AV2107" t="s">
        <v>69</v>
      </c>
      <c r="AW2107" s="1">
        <v>25875</v>
      </c>
      <c r="AX2107">
        <v>2</v>
      </c>
    </row>
    <row r="2108" spans="1:50">
      <c r="A2108">
        <v>198785</v>
      </c>
      <c r="B2108" t="str">
        <f>"062949811"</f>
        <v>062949811</v>
      </c>
      <c r="C2108" t="s">
        <v>50</v>
      </c>
      <c r="D2108" t="s">
        <v>4336</v>
      </c>
      <c r="E2108" t="s">
        <v>52</v>
      </c>
      <c r="F2108" t="s">
        <v>154</v>
      </c>
      <c r="G2108" t="s">
        <v>237</v>
      </c>
      <c r="H2108" t="str">
        <f>" "</f>
        <v xml:space="preserve"> </v>
      </c>
      <c r="J2108">
        <v>2810258078</v>
      </c>
      <c r="K2108">
        <v>6942854400</v>
      </c>
      <c r="N2108" t="s">
        <v>306</v>
      </c>
      <c r="O2108" t="s">
        <v>307</v>
      </c>
      <c r="R2108" t="s">
        <v>57</v>
      </c>
      <c r="S2108">
        <v>10</v>
      </c>
      <c r="T2108">
        <v>206</v>
      </c>
      <c r="U2108" s="1">
        <v>37866</v>
      </c>
      <c r="V2108" t="s">
        <v>123</v>
      </c>
      <c r="W2108" t="s">
        <v>124</v>
      </c>
      <c r="X2108" t="s">
        <v>58</v>
      </c>
      <c r="Y2108">
        <v>20</v>
      </c>
      <c r="Z2108" t="s">
        <v>59</v>
      </c>
      <c r="AA2108" t="s">
        <v>59</v>
      </c>
      <c r="AB2108" t="s">
        <v>59</v>
      </c>
      <c r="AC2108" t="s">
        <v>59</v>
      </c>
      <c r="AD2108" t="s">
        <v>59</v>
      </c>
      <c r="AF2108" s="1">
        <v>37866</v>
      </c>
      <c r="AG2108" t="s">
        <v>148</v>
      </c>
      <c r="AH2108" t="s">
        <v>149</v>
      </c>
      <c r="AI2108" t="str">
        <f>"1751020"</f>
        <v>1751020</v>
      </c>
      <c r="AJ2108" t="s">
        <v>532</v>
      </c>
      <c r="AK2108">
        <v>2810372732</v>
      </c>
      <c r="AL2108" t="s">
        <v>533</v>
      </c>
      <c r="AM2108" t="s">
        <v>78</v>
      </c>
      <c r="AN2108" t="s">
        <v>78</v>
      </c>
      <c r="AO2108" t="s">
        <v>78</v>
      </c>
      <c r="AP2108" t="s">
        <v>163</v>
      </c>
      <c r="AQ2108">
        <v>3</v>
      </c>
      <c r="AR2108" t="s">
        <v>123</v>
      </c>
      <c r="AS2108" t="s">
        <v>124</v>
      </c>
      <c r="AT2108" t="s">
        <v>58</v>
      </c>
      <c r="AU2108" t="s">
        <v>68</v>
      </c>
      <c r="AV2108" t="s">
        <v>69</v>
      </c>
      <c r="AW2108" s="1">
        <v>27159</v>
      </c>
      <c r="AX2108">
        <v>2</v>
      </c>
    </row>
    <row r="2109" spans="1:50">
      <c r="B2109" t="str">
        <f>"136309182"</f>
        <v>136309182</v>
      </c>
      <c r="C2109" t="s">
        <v>50</v>
      </c>
      <c r="D2109" t="s">
        <v>4337</v>
      </c>
      <c r="E2109" t="s">
        <v>215</v>
      </c>
      <c r="F2109" t="s">
        <v>99</v>
      </c>
      <c r="G2109" t="s">
        <v>52</v>
      </c>
      <c r="H2109" t="str">
        <f>"Δ.ΘΡΑΚΗΣ 21 ΣΕΡΡΕΣ"</f>
        <v>Δ.ΘΡΑΚΗΣ 21 ΣΕΡΡΕΣ</v>
      </c>
      <c r="I2109">
        <v>62124</v>
      </c>
      <c r="J2109">
        <v>2321025010</v>
      </c>
      <c r="K2109">
        <v>6976302310</v>
      </c>
      <c r="N2109" t="s">
        <v>146</v>
      </c>
      <c r="O2109" t="s">
        <v>147</v>
      </c>
      <c r="R2109" t="s">
        <v>159</v>
      </c>
      <c r="S2109">
        <v>3</v>
      </c>
      <c r="T2109" t="s">
        <v>160</v>
      </c>
      <c r="U2109" s="1">
        <v>43364</v>
      </c>
      <c r="V2109" t="s">
        <v>123</v>
      </c>
      <c r="W2109" t="s">
        <v>124</v>
      </c>
      <c r="X2109" t="s">
        <v>58</v>
      </c>
      <c r="Y2109">
        <v>23</v>
      </c>
      <c r="Z2109" t="s">
        <v>59</v>
      </c>
      <c r="AA2109" t="s">
        <v>59</v>
      </c>
      <c r="AB2109" t="s">
        <v>59</v>
      </c>
      <c r="AC2109" t="s">
        <v>59</v>
      </c>
      <c r="AD2109" t="s">
        <v>59</v>
      </c>
      <c r="AF2109" s="1">
        <v>43367</v>
      </c>
      <c r="AG2109" t="s">
        <v>148</v>
      </c>
      <c r="AH2109" t="s">
        <v>149</v>
      </c>
      <c r="AI2109" t="str">
        <f>"1756010"</f>
        <v>1756010</v>
      </c>
      <c r="AJ2109" t="s">
        <v>874</v>
      </c>
      <c r="AK2109">
        <v>2892022976</v>
      </c>
      <c r="AL2109" t="s">
        <v>875</v>
      </c>
      <c r="AM2109" t="s">
        <v>78</v>
      </c>
      <c r="AN2109" t="s">
        <v>242</v>
      </c>
      <c r="AO2109" t="s">
        <v>243</v>
      </c>
      <c r="AP2109" t="s">
        <v>243</v>
      </c>
      <c r="AQ2109">
        <v>33</v>
      </c>
      <c r="AR2109" t="s">
        <v>123</v>
      </c>
      <c r="AS2109" t="s">
        <v>124</v>
      </c>
      <c r="AT2109" t="s">
        <v>58</v>
      </c>
      <c r="AU2109" t="s">
        <v>164</v>
      </c>
      <c r="AV2109" t="s">
        <v>132</v>
      </c>
      <c r="AW2109" s="1">
        <v>29201</v>
      </c>
      <c r="AX2109">
        <v>2</v>
      </c>
    </row>
    <row r="2110" spans="1:50">
      <c r="A2110">
        <v>703394</v>
      </c>
      <c r="B2110" t="str">
        <f>"140640234"</f>
        <v>140640234</v>
      </c>
      <c r="C2110" t="s">
        <v>50</v>
      </c>
      <c r="D2110" t="s">
        <v>4338</v>
      </c>
      <c r="E2110" t="s">
        <v>52</v>
      </c>
      <c r="F2110" t="s">
        <v>920</v>
      </c>
      <c r="G2110" t="s">
        <v>54</v>
      </c>
      <c r="H2110" t="str">
        <f>"ΑΓΙΟΥ ΓΕΩΡΓΙΟΥ 23 "</f>
        <v xml:space="preserve">ΑΓΙΟΥ ΓΕΩΡΓΙΟΥ 23 </v>
      </c>
      <c r="I2110">
        <v>56727</v>
      </c>
      <c r="J2110">
        <v>2310543459</v>
      </c>
      <c r="K2110">
        <v>6975903756</v>
      </c>
      <c r="M2110" t="s">
        <v>4339</v>
      </c>
      <c r="N2110" t="s">
        <v>157</v>
      </c>
      <c r="O2110" t="s">
        <v>158</v>
      </c>
      <c r="R2110" t="s">
        <v>57</v>
      </c>
      <c r="S2110">
        <v>9</v>
      </c>
      <c r="T2110">
        <v>588</v>
      </c>
      <c r="U2110" s="1">
        <v>40778</v>
      </c>
      <c r="V2110" t="s">
        <v>123</v>
      </c>
      <c r="W2110" t="s">
        <v>124</v>
      </c>
      <c r="X2110" t="s">
        <v>58</v>
      </c>
      <c r="Y2110">
        <v>21</v>
      </c>
      <c r="Z2110" t="s">
        <v>59</v>
      </c>
      <c r="AA2110" t="s">
        <v>59</v>
      </c>
      <c r="AB2110" t="s">
        <v>59</v>
      </c>
      <c r="AC2110" t="s">
        <v>59</v>
      </c>
      <c r="AD2110" t="s">
        <v>59</v>
      </c>
      <c r="AF2110" s="1">
        <v>40784</v>
      </c>
      <c r="AG2110" t="s">
        <v>125</v>
      </c>
      <c r="AH2110" t="s">
        <v>126</v>
      </c>
      <c r="AI2110" t="str">
        <f>"1710010"</f>
        <v>1710010</v>
      </c>
      <c r="AJ2110" t="s">
        <v>595</v>
      </c>
      <c r="AK2110">
        <v>2810711220</v>
      </c>
      <c r="AL2110" t="s">
        <v>596</v>
      </c>
      <c r="AM2110" t="s">
        <v>78</v>
      </c>
      <c r="AN2110" t="s">
        <v>129</v>
      </c>
      <c r="AO2110" t="s">
        <v>597</v>
      </c>
      <c r="AP2110" t="s">
        <v>598</v>
      </c>
      <c r="AQ2110">
        <v>28</v>
      </c>
      <c r="AR2110" t="s">
        <v>123</v>
      </c>
      <c r="AS2110" t="s">
        <v>124</v>
      </c>
      <c r="AT2110" t="s">
        <v>58</v>
      </c>
      <c r="AU2110" t="s">
        <v>68</v>
      </c>
      <c r="AV2110" t="s">
        <v>69</v>
      </c>
      <c r="AW2110" s="1">
        <v>29704</v>
      </c>
      <c r="AX2110">
        <v>2</v>
      </c>
    </row>
    <row r="2111" spans="1:50">
      <c r="A2111">
        <v>209804</v>
      </c>
      <c r="B2111" t="str">
        <f>"061727896"</f>
        <v>061727896</v>
      </c>
      <c r="C2111" t="s">
        <v>50</v>
      </c>
      <c r="D2111" t="s">
        <v>4340</v>
      </c>
      <c r="E2111" t="s">
        <v>860</v>
      </c>
      <c r="F2111" t="s">
        <v>153</v>
      </c>
      <c r="G2111" t="s">
        <v>630</v>
      </c>
      <c r="H2111" t="str">
        <f>"ΝΙΚ. ΣΤΑΥΡΑΚΗ 21 ΟΑΣΗ"</f>
        <v>ΝΙΚ. ΣΤΑΥΡΑΚΗ 21 ΟΑΣΗ</v>
      </c>
      <c r="I2111">
        <v>71305</v>
      </c>
      <c r="J2111">
        <v>2815008640</v>
      </c>
      <c r="K2111">
        <v>6945558436</v>
      </c>
      <c r="N2111" t="s">
        <v>146</v>
      </c>
      <c r="O2111" t="s">
        <v>147</v>
      </c>
      <c r="R2111" t="s">
        <v>57</v>
      </c>
      <c r="S2111">
        <v>8</v>
      </c>
      <c r="T2111">
        <v>225</v>
      </c>
      <c r="U2111" s="1">
        <v>38604</v>
      </c>
      <c r="V2111" t="s">
        <v>123</v>
      </c>
      <c r="W2111" t="s">
        <v>124</v>
      </c>
      <c r="X2111" t="s">
        <v>58</v>
      </c>
      <c r="Y2111">
        <v>20</v>
      </c>
      <c r="Z2111" t="s">
        <v>59</v>
      </c>
      <c r="AA2111" t="s">
        <v>59</v>
      </c>
      <c r="AB2111" t="s">
        <v>59</v>
      </c>
      <c r="AC2111" t="s">
        <v>59</v>
      </c>
      <c r="AD2111" t="s">
        <v>59</v>
      </c>
      <c r="AF2111" s="1">
        <v>38607</v>
      </c>
      <c r="AG2111" t="s">
        <v>125</v>
      </c>
      <c r="AH2111" t="s">
        <v>126</v>
      </c>
      <c r="AI2111" t="str">
        <f>"1701056"</f>
        <v>1701056</v>
      </c>
      <c r="AJ2111" t="s">
        <v>211</v>
      </c>
      <c r="AK2111">
        <v>2810245445</v>
      </c>
      <c r="AL2111" t="s">
        <v>212</v>
      </c>
      <c r="AM2111" t="s">
        <v>78</v>
      </c>
      <c r="AN2111" t="s">
        <v>78</v>
      </c>
      <c r="AO2111" t="s">
        <v>78</v>
      </c>
      <c r="AP2111" t="s">
        <v>213</v>
      </c>
      <c r="AQ2111">
        <v>6</v>
      </c>
      <c r="AR2111" t="s">
        <v>123</v>
      </c>
      <c r="AS2111" t="s">
        <v>124</v>
      </c>
      <c r="AT2111" t="s">
        <v>58</v>
      </c>
      <c r="AU2111" t="s">
        <v>68</v>
      </c>
      <c r="AV2111" t="s">
        <v>69</v>
      </c>
      <c r="AW2111" s="1">
        <v>26705</v>
      </c>
      <c r="AX2111">
        <v>2</v>
      </c>
    </row>
    <row r="2112" spans="1:50">
      <c r="A2112">
        <v>218628</v>
      </c>
      <c r="B2112" t="str">
        <f>"072674923"</f>
        <v>072674923</v>
      </c>
      <c r="C2112" t="s">
        <v>105</v>
      </c>
      <c r="D2112" t="s">
        <v>4341</v>
      </c>
      <c r="E2112" t="s">
        <v>95</v>
      </c>
      <c r="F2112" t="s">
        <v>84</v>
      </c>
      <c r="G2112" t="s">
        <v>109</v>
      </c>
      <c r="H2112" t="str">
        <f>"Πατσίδες "</f>
        <v xml:space="preserve">Πατσίδες </v>
      </c>
      <c r="I2112">
        <v>70100</v>
      </c>
      <c r="J2112">
        <v>2810233574</v>
      </c>
      <c r="K2112">
        <v>6948173154</v>
      </c>
      <c r="M2112" t="s">
        <v>4342</v>
      </c>
      <c r="N2112" t="s">
        <v>232</v>
      </c>
      <c r="O2112" t="s">
        <v>233</v>
      </c>
      <c r="R2112" t="s">
        <v>57</v>
      </c>
      <c r="S2112">
        <v>5</v>
      </c>
      <c r="T2112">
        <v>599</v>
      </c>
      <c r="U2112" s="1">
        <v>39310</v>
      </c>
      <c r="V2112" t="s">
        <v>123</v>
      </c>
      <c r="W2112" t="s">
        <v>124</v>
      </c>
      <c r="X2112" t="s">
        <v>58</v>
      </c>
      <c r="Y2112">
        <v>21</v>
      </c>
      <c r="Z2112" t="s">
        <v>59</v>
      </c>
      <c r="AA2112" t="s">
        <v>59</v>
      </c>
      <c r="AB2112" t="s">
        <v>59</v>
      </c>
      <c r="AC2112" t="s">
        <v>59</v>
      </c>
      <c r="AD2112" t="s">
        <v>59</v>
      </c>
      <c r="AF2112" s="1">
        <v>39311</v>
      </c>
      <c r="AG2112" t="s">
        <v>125</v>
      </c>
      <c r="AH2112" t="s">
        <v>126</v>
      </c>
      <c r="AI2112" t="str">
        <f>"1725030"</f>
        <v>1725030</v>
      </c>
      <c r="AJ2112" t="s">
        <v>1666</v>
      </c>
      <c r="AK2112">
        <v>2893022872</v>
      </c>
      <c r="AL2112" t="s">
        <v>1667</v>
      </c>
      <c r="AM2112" t="s">
        <v>78</v>
      </c>
      <c r="AN2112" t="s">
        <v>424</v>
      </c>
      <c r="AO2112" t="s">
        <v>577</v>
      </c>
      <c r="AP2112" t="s">
        <v>1668</v>
      </c>
      <c r="AQ2112">
        <v>23</v>
      </c>
      <c r="AR2112" t="s">
        <v>123</v>
      </c>
      <c r="AS2112" t="s">
        <v>124</v>
      </c>
      <c r="AT2112" t="s">
        <v>58</v>
      </c>
      <c r="AU2112" t="s">
        <v>68</v>
      </c>
      <c r="AV2112" t="s">
        <v>69</v>
      </c>
      <c r="AW2112" s="1">
        <v>25947</v>
      </c>
      <c r="AX2112">
        <v>2</v>
      </c>
    </row>
    <row r="2113" spans="1:50">
      <c r="A2113">
        <v>176528</v>
      </c>
      <c r="B2113" t="str">
        <f>"023157374"</f>
        <v>023157374</v>
      </c>
      <c r="C2113" t="s">
        <v>50</v>
      </c>
      <c r="D2113" t="s">
        <v>4343</v>
      </c>
      <c r="E2113" t="s">
        <v>83</v>
      </c>
      <c r="F2113" t="s">
        <v>782</v>
      </c>
      <c r="G2113" t="s">
        <v>52</v>
      </c>
      <c r="H2113" t="str">
        <f>" "</f>
        <v xml:space="preserve"> </v>
      </c>
      <c r="J2113">
        <v>2810282908</v>
      </c>
      <c r="K2113">
        <v>6932969861</v>
      </c>
      <c r="M2113" t="s">
        <v>4344</v>
      </c>
      <c r="N2113" t="s">
        <v>478</v>
      </c>
      <c r="O2113" t="s">
        <v>479</v>
      </c>
      <c r="R2113" t="s">
        <v>57</v>
      </c>
      <c r="S2113">
        <v>10</v>
      </c>
      <c r="T2113">
        <v>180</v>
      </c>
      <c r="U2113" s="1">
        <v>35674</v>
      </c>
      <c r="V2113" t="s">
        <v>123</v>
      </c>
      <c r="W2113" t="s">
        <v>124</v>
      </c>
      <c r="X2113" t="s">
        <v>58</v>
      </c>
      <c r="Y2113">
        <v>18</v>
      </c>
      <c r="Z2113" t="s">
        <v>59</v>
      </c>
      <c r="AA2113" t="s">
        <v>59</v>
      </c>
      <c r="AB2113" t="s">
        <v>59</v>
      </c>
      <c r="AC2113" t="s">
        <v>59</v>
      </c>
      <c r="AD2113" t="s">
        <v>59</v>
      </c>
      <c r="AF2113" s="1">
        <v>35674</v>
      </c>
      <c r="AG2113" t="s">
        <v>125</v>
      </c>
      <c r="AH2113" t="s">
        <v>126</v>
      </c>
      <c r="AI2113" t="str">
        <f>"1701041"</f>
        <v>1701041</v>
      </c>
      <c r="AJ2113" t="s">
        <v>161</v>
      </c>
      <c r="AK2113">
        <v>2810327052</v>
      </c>
      <c r="AL2113" t="s">
        <v>162</v>
      </c>
      <c r="AM2113" t="s">
        <v>78</v>
      </c>
      <c r="AN2113" t="s">
        <v>78</v>
      </c>
      <c r="AO2113" t="s">
        <v>78</v>
      </c>
      <c r="AP2113" t="s">
        <v>163</v>
      </c>
      <c r="AQ2113">
        <v>5</v>
      </c>
      <c r="AR2113" t="s">
        <v>123</v>
      </c>
      <c r="AS2113" t="s">
        <v>124</v>
      </c>
      <c r="AT2113" t="s">
        <v>58</v>
      </c>
      <c r="AU2113" t="s">
        <v>68</v>
      </c>
      <c r="AV2113" t="s">
        <v>69</v>
      </c>
      <c r="AW2113" s="1">
        <v>23087</v>
      </c>
      <c r="AX2113">
        <v>2</v>
      </c>
    </row>
    <row r="2114" spans="1:50">
      <c r="A2114">
        <v>173569</v>
      </c>
      <c r="B2114" t="str">
        <f>"044196604"</f>
        <v>044196604</v>
      </c>
      <c r="C2114" t="s">
        <v>50</v>
      </c>
      <c r="D2114" t="s">
        <v>4343</v>
      </c>
      <c r="E2114" t="s">
        <v>255</v>
      </c>
      <c r="F2114" t="s">
        <v>53</v>
      </c>
      <c r="G2114" t="s">
        <v>4345</v>
      </c>
      <c r="H2114" t="str">
        <f>" "</f>
        <v xml:space="preserve"> </v>
      </c>
      <c r="N2114" t="s">
        <v>146</v>
      </c>
      <c r="O2114" t="s">
        <v>147</v>
      </c>
      <c r="R2114" t="s">
        <v>57</v>
      </c>
      <c r="S2114">
        <v>12</v>
      </c>
      <c r="T2114">
        <v>166</v>
      </c>
      <c r="U2114" s="1">
        <v>35300</v>
      </c>
      <c r="V2114" t="s">
        <v>123</v>
      </c>
      <c r="W2114" t="s">
        <v>124</v>
      </c>
      <c r="X2114" t="s">
        <v>58</v>
      </c>
      <c r="Y2114">
        <v>18</v>
      </c>
      <c r="Z2114" t="s">
        <v>59</v>
      </c>
      <c r="AA2114" t="s">
        <v>59</v>
      </c>
      <c r="AB2114" t="s">
        <v>59</v>
      </c>
      <c r="AC2114" t="s">
        <v>59</v>
      </c>
      <c r="AD2114" t="s">
        <v>59</v>
      </c>
      <c r="AF2114" s="1">
        <v>35310</v>
      </c>
      <c r="AG2114" t="s">
        <v>125</v>
      </c>
      <c r="AH2114" t="s">
        <v>126</v>
      </c>
      <c r="AI2114" t="str">
        <f>"1711010"</f>
        <v>1711010</v>
      </c>
      <c r="AJ2114" t="s">
        <v>695</v>
      </c>
      <c r="AK2114">
        <v>2810741301</v>
      </c>
      <c r="AL2114" t="s">
        <v>696</v>
      </c>
      <c r="AM2114" t="s">
        <v>78</v>
      </c>
      <c r="AN2114" t="s">
        <v>424</v>
      </c>
      <c r="AO2114" t="s">
        <v>428</v>
      </c>
      <c r="AP2114" t="s">
        <v>429</v>
      </c>
      <c r="AQ2114">
        <v>14</v>
      </c>
      <c r="AR2114" t="s">
        <v>123</v>
      </c>
      <c r="AS2114" t="s">
        <v>124</v>
      </c>
      <c r="AT2114" t="s">
        <v>58</v>
      </c>
      <c r="AU2114" t="s">
        <v>68</v>
      </c>
      <c r="AV2114" t="s">
        <v>69</v>
      </c>
      <c r="AW2114" s="1">
        <v>24275</v>
      </c>
      <c r="AX2114">
        <v>2</v>
      </c>
    </row>
    <row r="2115" spans="1:50">
      <c r="A2115">
        <v>168525</v>
      </c>
      <c r="B2115" t="str">
        <f>"038749106"</f>
        <v>038749106</v>
      </c>
      <c r="C2115" t="s">
        <v>50</v>
      </c>
      <c r="D2115" t="s">
        <v>4343</v>
      </c>
      <c r="E2115" t="s">
        <v>52</v>
      </c>
      <c r="F2115" t="s">
        <v>154</v>
      </c>
      <c r="G2115" t="s">
        <v>104</v>
      </c>
      <c r="H2115" t="str">
        <f>"ΜΑΝΟΥ ΧΑΤΖΙΔΑΚΗ 22 ΚΟΡΑΚΟΒΟΥΝΙ"</f>
        <v>ΜΑΝΟΥ ΧΑΤΖΙΔΑΚΗ 22 ΚΟΡΑΚΟΒΟΥΝΙ</v>
      </c>
      <c r="I2115">
        <v>71410</v>
      </c>
      <c r="J2115">
        <v>2810313588</v>
      </c>
      <c r="K2115">
        <v>6945843800</v>
      </c>
      <c r="M2115" t="s">
        <v>4346</v>
      </c>
      <c r="N2115" t="s">
        <v>306</v>
      </c>
      <c r="O2115" t="s">
        <v>307</v>
      </c>
      <c r="R2115" t="s">
        <v>57</v>
      </c>
      <c r="S2115">
        <v>12</v>
      </c>
      <c r="T2115">
        <v>159</v>
      </c>
      <c r="U2115" s="1">
        <v>34582</v>
      </c>
      <c r="V2115" t="s">
        <v>123</v>
      </c>
      <c r="W2115" t="s">
        <v>124</v>
      </c>
      <c r="X2115" t="s">
        <v>58</v>
      </c>
      <c r="Y2115">
        <v>18</v>
      </c>
      <c r="Z2115" t="s">
        <v>59</v>
      </c>
      <c r="AA2115" t="s">
        <v>59</v>
      </c>
      <c r="AB2115" t="s">
        <v>59</v>
      </c>
      <c r="AC2115" t="s">
        <v>59</v>
      </c>
      <c r="AD2115" t="s">
        <v>59</v>
      </c>
      <c r="AF2115" s="1">
        <v>34585</v>
      </c>
      <c r="AG2115" t="s">
        <v>125</v>
      </c>
      <c r="AH2115" t="s">
        <v>126</v>
      </c>
      <c r="AI2115" t="str">
        <f>"1701052"</f>
        <v>1701052</v>
      </c>
      <c r="AJ2115" t="s">
        <v>223</v>
      </c>
      <c r="AK2115">
        <v>2810252514</v>
      </c>
      <c r="AL2115" t="s">
        <v>224</v>
      </c>
      <c r="AM2115" t="s">
        <v>78</v>
      </c>
      <c r="AN2115" t="s">
        <v>78</v>
      </c>
      <c r="AO2115" t="s">
        <v>78</v>
      </c>
      <c r="AP2115" t="s">
        <v>141</v>
      </c>
      <c r="AQ2115">
        <v>7</v>
      </c>
      <c r="AR2115" t="s">
        <v>123</v>
      </c>
      <c r="AS2115" t="s">
        <v>124</v>
      </c>
      <c r="AT2115" t="s">
        <v>58</v>
      </c>
      <c r="AU2115" t="s">
        <v>68</v>
      </c>
      <c r="AV2115" t="s">
        <v>69</v>
      </c>
      <c r="AW2115" s="1">
        <v>25188</v>
      </c>
      <c r="AX2115">
        <v>2</v>
      </c>
    </row>
    <row r="2116" spans="1:50">
      <c r="A2116">
        <v>176529</v>
      </c>
      <c r="B2116" t="str">
        <f>"063345240"</f>
        <v>063345240</v>
      </c>
      <c r="C2116" t="s">
        <v>50</v>
      </c>
      <c r="D2116" t="s">
        <v>4347</v>
      </c>
      <c r="E2116" t="s">
        <v>52</v>
      </c>
      <c r="F2116" t="s">
        <v>1585</v>
      </c>
      <c r="G2116" t="s">
        <v>263</v>
      </c>
      <c r="H2116" t="str">
        <f>"ΔΑΜΑΣΚΗΝΟΥ 6 "</f>
        <v xml:space="preserve">ΔΑΜΑΣΚΗΝΟΥ 6 </v>
      </c>
      <c r="I2116">
        <v>71303</v>
      </c>
      <c r="J2116">
        <v>2810258464</v>
      </c>
      <c r="K2116">
        <v>6973547466</v>
      </c>
      <c r="M2116" t="s">
        <v>4348</v>
      </c>
      <c r="N2116" t="s">
        <v>478</v>
      </c>
      <c r="O2116" t="s">
        <v>479</v>
      </c>
      <c r="R2116" t="s">
        <v>57</v>
      </c>
      <c r="S2116">
        <v>11</v>
      </c>
      <c r="T2116">
        <v>180</v>
      </c>
      <c r="U2116" s="1">
        <v>35674</v>
      </c>
      <c r="V2116" t="s">
        <v>123</v>
      </c>
      <c r="W2116" t="s">
        <v>124</v>
      </c>
      <c r="X2116" t="s">
        <v>58</v>
      </c>
      <c r="Y2116">
        <v>18</v>
      </c>
      <c r="Z2116" t="s">
        <v>59</v>
      </c>
      <c r="AA2116" t="s">
        <v>59</v>
      </c>
      <c r="AB2116" t="s">
        <v>59</v>
      </c>
      <c r="AC2116" t="s">
        <v>59</v>
      </c>
      <c r="AD2116" t="s">
        <v>59</v>
      </c>
      <c r="AF2116" s="1">
        <v>35678</v>
      </c>
      <c r="AG2116" t="s">
        <v>125</v>
      </c>
      <c r="AH2116" t="s">
        <v>126</v>
      </c>
      <c r="AI2116" t="str">
        <f>"1701052"</f>
        <v>1701052</v>
      </c>
      <c r="AJ2116" t="s">
        <v>223</v>
      </c>
      <c r="AK2116">
        <v>2810252514</v>
      </c>
      <c r="AL2116" t="s">
        <v>224</v>
      </c>
      <c r="AM2116" t="s">
        <v>78</v>
      </c>
      <c r="AN2116" t="s">
        <v>78</v>
      </c>
      <c r="AO2116" t="s">
        <v>78</v>
      </c>
      <c r="AP2116" t="s">
        <v>141</v>
      </c>
      <c r="AQ2116">
        <v>7</v>
      </c>
      <c r="AR2116" t="s">
        <v>123</v>
      </c>
      <c r="AS2116" t="s">
        <v>124</v>
      </c>
      <c r="AT2116" t="s">
        <v>58</v>
      </c>
      <c r="AU2116" t="s">
        <v>68</v>
      </c>
      <c r="AV2116" t="s">
        <v>69</v>
      </c>
      <c r="AW2116" s="1">
        <v>19492</v>
      </c>
      <c r="AX2116">
        <v>2</v>
      </c>
    </row>
    <row r="2117" spans="1:50">
      <c r="A2117">
        <v>173773</v>
      </c>
      <c r="B2117" t="str">
        <f>"035267124"</f>
        <v>035267124</v>
      </c>
      <c r="C2117" t="s">
        <v>105</v>
      </c>
      <c r="D2117" t="s">
        <v>4349</v>
      </c>
      <c r="E2117" t="s">
        <v>154</v>
      </c>
      <c r="F2117" t="s">
        <v>53</v>
      </c>
      <c r="G2117" t="s">
        <v>4350</v>
      </c>
      <c r="H2117" t="str">
        <f>"ΠΟΜΠΙΑ ΜΟΙΡΕΣ"</f>
        <v>ΠΟΜΠΙΑ ΜΟΙΡΕΣ</v>
      </c>
      <c r="I2117">
        <v>70400</v>
      </c>
      <c r="J2117">
        <v>2892071463</v>
      </c>
      <c r="K2117">
        <v>6932448693</v>
      </c>
      <c r="N2117" t="s">
        <v>292</v>
      </c>
      <c r="O2117" t="s">
        <v>293</v>
      </c>
      <c r="R2117" t="s">
        <v>57</v>
      </c>
      <c r="S2117">
        <v>11</v>
      </c>
      <c r="T2117">
        <v>166</v>
      </c>
      <c r="U2117" s="1">
        <v>35300</v>
      </c>
      <c r="V2117" t="s">
        <v>123</v>
      </c>
      <c r="W2117" t="s">
        <v>124</v>
      </c>
      <c r="X2117" t="s">
        <v>58</v>
      </c>
      <c r="Y2117">
        <v>18</v>
      </c>
      <c r="Z2117" t="s">
        <v>59</v>
      </c>
      <c r="AA2117" t="s">
        <v>59</v>
      </c>
      <c r="AB2117" t="s">
        <v>59</v>
      </c>
      <c r="AC2117" t="s">
        <v>59</v>
      </c>
      <c r="AD2117" t="s">
        <v>59</v>
      </c>
      <c r="AF2117" s="1">
        <v>35312</v>
      </c>
      <c r="AG2117" t="s">
        <v>148</v>
      </c>
      <c r="AH2117" t="s">
        <v>149</v>
      </c>
      <c r="AI2117" t="str">
        <f>"1756010"</f>
        <v>1756010</v>
      </c>
      <c r="AJ2117" t="s">
        <v>874</v>
      </c>
      <c r="AK2117">
        <v>2892022976</v>
      </c>
      <c r="AL2117" t="s">
        <v>875</v>
      </c>
      <c r="AM2117" t="s">
        <v>78</v>
      </c>
      <c r="AN2117" t="s">
        <v>242</v>
      </c>
      <c r="AO2117" t="s">
        <v>243</v>
      </c>
      <c r="AP2117" t="s">
        <v>243</v>
      </c>
      <c r="AQ2117">
        <v>33</v>
      </c>
      <c r="AR2117" t="s">
        <v>123</v>
      </c>
      <c r="AS2117" t="s">
        <v>124</v>
      </c>
      <c r="AT2117" t="s">
        <v>58</v>
      </c>
      <c r="AU2117" t="s">
        <v>68</v>
      </c>
      <c r="AV2117" t="s">
        <v>69</v>
      </c>
      <c r="AW2117" s="1">
        <v>19781</v>
      </c>
      <c r="AX2117">
        <v>2</v>
      </c>
    </row>
    <row r="2118" spans="1:50">
      <c r="A2118">
        <v>190149</v>
      </c>
      <c r="B2118" t="str">
        <f>"041979826"</f>
        <v>041979826</v>
      </c>
      <c r="C2118" t="s">
        <v>105</v>
      </c>
      <c r="D2118" t="s">
        <v>4349</v>
      </c>
      <c r="E2118" t="s">
        <v>95</v>
      </c>
      <c r="F2118" t="s">
        <v>72</v>
      </c>
      <c r="G2118" t="s">
        <v>52</v>
      </c>
      <c r="H2118" t="str">
        <f>" "</f>
        <v xml:space="preserve"> </v>
      </c>
      <c r="M2118" t="s">
        <v>4351</v>
      </c>
      <c r="N2118" t="s">
        <v>199</v>
      </c>
      <c r="O2118" t="s">
        <v>200</v>
      </c>
      <c r="R2118" t="s">
        <v>57</v>
      </c>
      <c r="S2118">
        <v>19</v>
      </c>
      <c r="T2118">
        <v>219</v>
      </c>
      <c r="U2118" s="1">
        <v>37134</v>
      </c>
      <c r="V2118" t="s">
        <v>123</v>
      </c>
      <c r="W2118" t="s">
        <v>124</v>
      </c>
      <c r="X2118" t="s">
        <v>58</v>
      </c>
      <c r="Y2118">
        <v>18</v>
      </c>
      <c r="Z2118" t="s">
        <v>59</v>
      </c>
      <c r="AA2118" t="s">
        <v>59</v>
      </c>
      <c r="AB2118" t="s">
        <v>59</v>
      </c>
      <c r="AC2118" t="s">
        <v>59</v>
      </c>
      <c r="AD2118" t="s">
        <v>59</v>
      </c>
      <c r="AF2118" s="1">
        <v>37140</v>
      </c>
      <c r="AG2118" t="s">
        <v>148</v>
      </c>
      <c r="AH2118" t="s">
        <v>149</v>
      </c>
      <c r="AI2118" t="str">
        <f>"1751040"</f>
        <v>1751040</v>
      </c>
      <c r="AJ2118" t="s">
        <v>178</v>
      </c>
      <c r="AK2118">
        <v>2810252495</v>
      </c>
      <c r="AL2118" t="s">
        <v>179</v>
      </c>
      <c r="AM2118" t="s">
        <v>78</v>
      </c>
      <c r="AN2118" t="s">
        <v>78</v>
      </c>
      <c r="AO2118" t="s">
        <v>78</v>
      </c>
      <c r="AP2118" t="s">
        <v>141</v>
      </c>
      <c r="AQ2118">
        <v>3</v>
      </c>
      <c r="AR2118" t="s">
        <v>123</v>
      </c>
      <c r="AS2118" t="s">
        <v>124</v>
      </c>
      <c r="AT2118" t="s">
        <v>58</v>
      </c>
      <c r="AU2118" t="s">
        <v>68</v>
      </c>
      <c r="AV2118" t="s">
        <v>69</v>
      </c>
      <c r="AW2118" s="1">
        <v>22493</v>
      </c>
      <c r="AX2118">
        <v>2</v>
      </c>
    </row>
    <row r="2119" spans="1:50">
      <c r="A2119">
        <v>207452</v>
      </c>
      <c r="B2119" t="str">
        <f>"043107964"</f>
        <v>043107964</v>
      </c>
      <c r="C2119" t="s">
        <v>105</v>
      </c>
      <c r="D2119" t="s">
        <v>4349</v>
      </c>
      <c r="E2119" t="s">
        <v>95</v>
      </c>
      <c r="F2119" t="s">
        <v>53</v>
      </c>
      <c r="G2119" t="s">
        <v>4352</v>
      </c>
      <c r="H2119" t="str">
        <f>"25η ΜΑΡΤΙΟΥ 188 ΜΟΙΡΕΣ"</f>
        <v>25η ΜΑΡΤΙΟΥ 188 ΜΟΙΡΕΣ</v>
      </c>
      <c r="I2119">
        <v>70400</v>
      </c>
      <c r="J2119">
        <v>2892025087</v>
      </c>
      <c r="K2119">
        <v>6978553658</v>
      </c>
      <c r="M2119" t="s">
        <v>4353</v>
      </c>
      <c r="N2119" t="s">
        <v>232</v>
      </c>
      <c r="O2119" t="s">
        <v>233</v>
      </c>
      <c r="R2119" t="s">
        <v>57</v>
      </c>
      <c r="S2119">
        <v>8</v>
      </c>
      <c r="T2119">
        <v>218</v>
      </c>
      <c r="U2119" s="1">
        <v>38596</v>
      </c>
      <c r="V2119" t="s">
        <v>123</v>
      </c>
      <c r="W2119" t="s">
        <v>124</v>
      </c>
      <c r="X2119" t="s">
        <v>58</v>
      </c>
      <c r="Y2119">
        <v>20</v>
      </c>
      <c r="Z2119" t="s">
        <v>59</v>
      </c>
      <c r="AA2119" t="s">
        <v>59</v>
      </c>
      <c r="AB2119" t="s">
        <v>59</v>
      </c>
      <c r="AC2119" t="s">
        <v>59</v>
      </c>
      <c r="AD2119" t="s">
        <v>59</v>
      </c>
      <c r="AF2119" s="1">
        <v>38600</v>
      </c>
      <c r="AG2119" t="s">
        <v>148</v>
      </c>
      <c r="AH2119" t="s">
        <v>149</v>
      </c>
      <c r="AI2119" t="str">
        <f>"1756010"</f>
        <v>1756010</v>
      </c>
      <c r="AJ2119" t="s">
        <v>874</v>
      </c>
      <c r="AK2119">
        <v>2892022976</v>
      </c>
      <c r="AL2119" t="s">
        <v>875</v>
      </c>
      <c r="AM2119" t="s">
        <v>78</v>
      </c>
      <c r="AN2119" t="s">
        <v>242</v>
      </c>
      <c r="AO2119" t="s">
        <v>243</v>
      </c>
      <c r="AP2119" t="s">
        <v>243</v>
      </c>
      <c r="AQ2119">
        <v>33</v>
      </c>
      <c r="AR2119" t="s">
        <v>123</v>
      </c>
      <c r="AS2119" t="s">
        <v>124</v>
      </c>
      <c r="AT2119" t="s">
        <v>58</v>
      </c>
      <c r="AU2119" t="s">
        <v>68</v>
      </c>
      <c r="AV2119" t="s">
        <v>69</v>
      </c>
      <c r="AW2119" s="1">
        <v>22068</v>
      </c>
      <c r="AX2119">
        <v>2</v>
      </c>
    </row>
    <row r="2120" spans="1:50">
      <c r="A2120">
        <v>190150</v>
      </c>
      <c r="B2120" t="str">
        <f>"076406110"</f>
        <v>076406110</v>
      </c>
      <c r="C2120" t="s">
        <v>105</v>
      </c>
      <c r="D2120" t="s">
        <v>4349</v>
      </c>
      <c r="E2120" t="s">
        <v>72</v>
      </c>
      <c r="F2120" t="s">
        <v>95</v>
      </c>
      <c r="G2120" t="s">
        <v>330</v>
      </c>
      <c r="H2120" t="str">
        <f>"ΛΑΠΠΑΣ  47 ΜΑΣΤΑΜΠΑΣ"</f>
        <v>ΛΑΠΠΑΣ  47 ΜΑΣΤΑΜΠΑΣ</v>
      </c>
      <c r="I2120">
        <v>71305</v>
      </c>
      <c r="J2120">
        <v>2810319187</v>
      </c>
      <c r="K2120">
        <v>6947278435</v>
      </c>
      <c r="M2120" t="s">
        <v>4354</v>
      </c>
      <c r="N2120" t="s">
        <v>199</v>
      </c>
      <c r="O2120" t="s">
        <v>200</v>
      </c>
      <c r="R2120" t="s">
        <v>57</v>
      </c>
      <c r="S2120">
        <v>14</v>
      </c>
      <c r="T2120">
        <v>219</v>
      </c>
      <c r="U2120" s="1">
        <v>37134</v>
      </c>
      <c r="V2120" t="s">
        <v>123</v>
      </c>
      <c r="W2120" t="s">
        <v>124</v>
      </c>
      <c r="X2120" t="s">
        <v>58</v>
      </c>
      <c r="Y2120">
        <v>20</v>
      </c>
      <c r="Z2120" t="s">
        <v>59</v>
      </c>
      <c r="AA2120" t="s">
        <v>59</v>
      </c>
      <c r="AB2120" t="s">
        <v>59</v>
      </c>
      <c r="AC2120" t="s">
        <v>59</v>
      </c>
      <c r="AD2120" t="s">
        <v>59</v>
      </c>
      <c r="AF2120" s="1">
        <v>37138</v>
      </c>
      <c r="AG2120" t="s">
        <v>148</v>
      </c>
      <c r="AH2120" t="s">
        <v>149</v>
      </c>
      <c r="AI2120" t="str">
        <f>"1777010"</f>
        <v>1777010</v>
      </c>
      <c r="AJ2120" t="s">
        <v>612</v>
      </c>
      <c r="AK2120">
        <v>2810229220</v>
      </c>
      <c r="AL2120" t="s">
        <v>613</v>
      </c>
      <c r="AM2120" t="s">
        <v>78</v>
      </c>
      <c r="AN2120" t="s">
        <v>78</v>
      </c>
      <c r="AO2120" t="s">
        <v>286</v>
      </c>
      <c r="AP2120" t="s">
        <v>286</v>
      </c>
      <c r="AQ2120">
        <v>12</v>
      </c>
      <c r="AR2120" t="s">
        <v>123</v>
      </c>
      <c r="AS2120" t="s">
        <v>124</v>
      </c>
      <c r="AT2120" t="s">
        <v>58</v>
      </c>
      <c r="AU2120" t="s">
        <v>68</v>
      </c>
      <c r="AV2120" t="s">
        <v>69</v>
      </c>
      <c r="AW2120" s="1">
        <v>25263</v>
      </c>
      <c r="AX2120">
        <v>2</v>
      </c>
    </row>
    <row r="2121" spans="1:50">
      <c r="A2121">
        <v>208318</v>
      </c>
      <c r="B2121" t="str">
        <f>"054083273"</f>
        <v>054083273</v>
      </c>
      <c r="C2121" t="s">
        <v>105</v>
      </c>
      <c r="D2121" t="s">
        <v>4355</v>
      </c>
      <c r="E2121" t="s">
        <v>95</v>
      </c>
      <c r="F2121" t="s">
        <v>1868</v>
      </c>
      <c r="G2121" t="s">
        <v>96</v>
      </c>
      <c r="H2121" t="str">
        <f>"Μ. ΑΛΕΞΑΝΔΡΟΥ 15 ΣΥΚΕΩΝ-ΝΕΑΠΟΛΕΩΣ"</f>
        <v>Μ. ΑΛΕΞΑΝΔΡΟΥ 15 ΣΥΚΕΩΝ-ΝΕΑΠΟΛΕΩΣ</v>
      </c>
      <c r="I2121">
        <v>56625</v>
      </c>
      <c r="J2121">
        <v>2897032962</v>
      </c>
      <c r="K2121">
        <v>6946903581</v>
      </c>
      <c r="L2121">
        <v>2310622107</v>
      </c>
      <c r="M2121" t="s">
        <v>4356</v>
      </c>
      <c r="N2121" t="s">
        <v>176</v>
      </c>
      <c r="O2121" t="s">
        <v>177</v>
      </c>
      <c r="R2121" t="s">
        <v>57</v>
      </c>
      <c r="S2121">
        <v>8</v>
      </c>
      <c r="T2121">
        <v>218</v>
      </c>
      <c r="U2121" s="1">
        <v>38596</v>
      </c>
      <c r="V2121" t="s">
        <v>123</v>
      </c>
      <c r="W2121" t="s">
        <v>124</v>
      </c>
      <c r="X2121" t="s">
        <v>58</v>
      </c>
      <c r="Y2121">
        <v>20</v>
      </c>
      <c r="Z2121" t="s">
        <v>59</v>
      </c>
      <c r="AA2121" t="s">
        <v>59</v>
      </c>
      <c r="AB2121" t="s">
        <v>59</v>
      </c>
      <c r="AC2121" t="s">
        <v>59</v>
      </c>
      <c r="AD2121" t="s">
        <v>59</v>
      </c>
      <c r="AF2121" s="1">
        <v>38600</v>
      </c>
      <c r="AG2121" t="s">
        <v>125</v>
      </c>
      <c r="AH2121" t="s">
        <v>126</v>
      </c>
      <c r="AI2121" t="str">
        <f>"1714012"</f>
        <v>1714012</v>
      </c>
      <c r="AJ2121" t="s">
        <v>633</v>
      </c>
      <c r="AK2121">
        <v>2810762261</v>
      </c>
      <c r="AL2121" t="s">
        <v>634</v>
      </c>
      <c r="AM2121" t="s">
        <v>78</v>
      </c>
      <c r="AN2121" t="s">
        <v>219</v>
      </c>
      <c r="AO2121" t="s">
        <v>297</v>
      </c>
      <c r="AP2121" t="s">
        <v>297</v>
      </c>
      <c r="AQ2121">
        <v>37</v>
      </c>
      <c r="AR2121" t="s">
        <v>123</v>
      </c>
      <c r="AS2121" t="s">
        <v>124</v>
      </c>
      <c r="AT2121" t="s">
        <v>58</v>
      </c>
      <c r="AU2121" t="s">
        <v>68</v>
      </c>
      <c r="AV2121" t="s">
        <v>69</v>
      </c>
      <c r="AW2121" s="1">
        <v>23314</v>
      </c>
      <c r="AX2121">
        <v>2</v>
      </c>
    </row>
    <row r="2122" spans="1:50">
      <c r="A2122">
        <v>180344</v>
      </c>
      <c r="B2122" t="str">
        <f>"047853478"</f>
        <v>047853478</v>
      </c>
      <c r="C2122" t="s">
        <v>50</v>
      </c>
      <c r="D2122" t="s">
        <v>4357</v>
      </c>
      <c r="E2122" t="s">
        <v>366</v>
      </c>
      <c r="F2122" t="s">
        <v>4358</v>
      </c>
      <c r="G2122" t="s">
        <v>112</v>
      </c>
      <c r="H2122" t="str">
        <f>" "</f>
        <v xml:space="preserve"> </v>
      </c>
      <c r="M2122" t="s">
        <v>4359</v>
      </c>
      <c r="N2122" t="s">
        <v>292</v>
      </c>
      <c r="O2122" t="s">
        <v>293</v>
      </c>
      <c r="R2122" t="s">
        <v>57</v>
      </c>
      <c r="S2122">
        <v>12</v>
      </c>
      <c r="T2122">
        <v>164</v>
      </c>
      <c r="U2122" s="1">
        <v>36040</v>
      </c>
      <c r="V2122" t="s">
        <v>123</v>
      </c>
      <c r="W2122" t="s">
        <v>124</v>
      </c>
      <c r="X2122" t="s">
        <v>58</v>
      </c>
      <c r="Y2122">
        <v>18</v>
      </c>
      <c r="Z2122" t="s">
        <v>59</v>
      </c>
      <c r="AA2122" t="s">
        <v>59</v>
      </c>
      <c r="AB2122" t="s">
        <v>59</v>
      </c>
      <c r="AC2122" t="s">
        <v>59</v>
      </c>
      <c r="AD2122" t="s">
        <v>59</v>
      </c>
      <c r="AF2122" s="1">
        <v>36046</v>
      </c>
      <c r="AG2122" t="s">
        <v>137</v>
      </c>
      <c r="AH2122" t="s">
        <v>469</v>
      </c>
      <c r="AI2122" t="str">
        <f>"1740200"</f>
        <v>1740200</v>
      </c>
      <c r="AJ2122" t="s">
        <v>470</v>
      </c>
      <c r="AK2122">
        <v>2810320770</v>
      </c>
      <c r="AL2122" t="s">
        <v>471</v>
      </c>
      <c r="AM2122" t="s">
        <v>78</v>
      </c>
      <c r="AN2122" t="s">
        <v>78</v>
      </c>
      <c r="AO2122" t="s">
        <v>78</v>
      </c>
      <c r="AP2122" t="s">
        <v>163</v>
      </c>
      <c r="AQ2122">
        <v>2</v>
      </c>
      <c r="AR2122" t="s">
        <v>123</v>
      </c>
      <c r="AS2122" t="s">
        <v>124</v>
      </c>
      <c r="AT2122" t="s">
        <v>58</v>
      </c>
      <c r="AU2122" t="s">
        <v>68</v>
      </c>
      <c r="AV2122" t="s">
        <v>69</v>
      </c>
      <c r="AW2122" s="1">
        <v>20257</v>
      </c>
      <c r="AX2122">
        <v>2</v>
      </c>
    </row>
    <row r="2123" spans="1:50">
      <c r="A2123">
        <v>219172</v>
      </c>
      <c r="B2123" t="str">
        <f>"103627407"</f>
        <v>103627407</v>
      </c>
      <c r="C2123" t="s">
        <v>50</v>
      </c>
      <c r="D2123" t="s">
        <v>4360</v>
      </c>
      <c r="E2123" t="s">
        <v>964</v>
      </c>
      <c r="F2123" t="s">
        <v>2002</v>
      </c>
      <c r="G2123" t="s">
        <v>4361</v>
      </c>
      <c r="H2123" t="str">
        <f>"ΦΡΑΓΚΟΚΛΗΣΙΑΣ 49Α  ΜΑΡΟΥΣΙ ΑΤΤΙΚΗΣ"</f>
        <v>ΦΡΑΓΚΟΚΛΗΣΙΑΣ 49Α  ΜΑΡΟΥΣΙ ΑΤΤΙΚΗΣ</v>
      </c>
      <c r="I2123">
        <v>15125</v>
      </c>
      <c r="J2123">
        <v>2108033911</v>
      </c>
      <c r="K2123">
        <v>6976226590</v>
      </c>
      <c r="M2123" t="s">
        <v>4362</v>
      </c>
      <c r="N2123" t="s">
        <v>478</v>
      </c>
      <c r="O2123" t="s">
        <v>479</v>
      </c>
      <c r="R2123" t="s">
        <v>57</v>
      </c>
      <c r="S2123">
        <v>7</v>
      </c>
      <c r="T2123">
        <v>599</v>
      </c>
      <c r="U2123" s="1">
        <v>39310</v>
      </c>
      <c r="V2123" t="s">
        <v>123</v>
      </c>
      <c r="W2123" t="s">
        <v>124</v>
      </c>
      <c r="X2123" t="s">
        <v>58</v>
      </c>
      <c r="Y2123">
        <v>21</v>
      </c>
      <c r="Z2123" t="s">
        <v>59</v>
      </c>
      <c r="AA2123" t="s">
        <v>59</v>
      </c>
      <c r="AB2123" t="s">
        <v>59</v>
      </c>
      <c r="AC2123" t="s">
        <v>59</v>
      </c>
      <c r="AD2123" t="s">
        <v>59</v>
      </c>
      <c r="AF2123" s="1">
        <v>39331</v>
      </c>
      <c r="AG2123" t="s">
        <v>125</v>
      </c>
      <c r="AH2123" t="s">
        <v>126</v>
      </c>
      <c r="AI2123" t="str">
        <f>"1715010"</f>
        <v>1715010</v>
      </c>
      <c r="AJ2123" t="s">
        <v>812</v>
      </c>
      <c r="AK2123">
        <v>2893031193</v>
      </c>
      <c r="AL2123" t="s">
        <v>813</v>
      </c>
      <c r="AM2123" t="s">
        <v>78</v>
      </c>
      <c r="AN2123" t="s">
        <v>405</v>
      </c>
      <c r="AO2123" t="s">
        <v>805</v>
      </c>
      <c r="AP2123" t="s">
        <v>806</v>
      </c>
      <c r="AQ2123">
        <v>25</v>
      </c>
      <c r="AR2123" t="s">
        <v>123</v>
      </c>
      <c r="AS2123" t="s">
        <v>124</v>
      </c>
      <c r="AT2123" t="s">
        <v>58</v>
      </c>
      <c r="AU2123" t="s">
        <v>68</v>
      </c>
      <c r="AV2123" t="s">
        <v>69</v>
      </c>
      <c r="AW2123" s="1">
        <v>28018</v>
      </c>
      <c r="AX2123">
        <v>2</v>
      </c>
    </row>
    <row r="2124" spans="1:50">
      <c r="A2124">
        <v>172731</v>
      </c>
      <c r="B2124" t="str">
        <f>"054118401"</f>
        <v>054118401</v>
      </c>
      <c r="C2124" t="s">
        <v>105</v>
      </c>
      <c r="D2124" t="s">
        <v>4363</v>
      </c>
      <c r="E2124" t="s">
        <v>95</v>
      </c>
      <c r="F2124" t="s">
        <v>459</v>
      </c>
      <c r="G2124" t="s">
        <v>1279</v>
      </c>
      <c r="H2124" t="str">
        <f>"ΚΑΤΩ ΑΡΧΑΝΕΣ ΤΘ Β15 ΚΑΤΩ ΑΡΧΑΝΕΣ "</f>
        <v xml:space="preserve">ΚΑΤΩ ΑΡΧΑΝΕΣ ΤΘ Β15 ΚΑΤΩ ΑΡΧΑΝΕΣ </v>
      </c>
      <c r="I2124">
        <v>70100</v>
      </c>
      <c r="K2124">
        <v>6934623237</v>
      </c>
      <c r="N2124" t="s">
        <v>204</v>
      </c>
      <c r="O2124" t="s">
        <v>205</v>
      </c>
      <c r="R2124" t="s">
        <v>57</v>
      </c>
      <c r="S2124">
        <v>11</v>
      </c>
      <c r="T2124">
        <v>184</v>
      </c>
      <c r="U2124" s="1">
        <v>34941</v>
      </c>
      <c r="V2124" t="s">
        <v>123</v>
      </c>
      <c r="W2124" t="s">
        <v>124</v>
      </c>
      <c r="X2124" t="s">
        <v>58</v>
      </c>
      <c r="Y2124">
        <v>18</v>
      </c>
      <c r="Z2124" t="s">
        <v>59</v>
      </c>
      <c r="AA2124" t="s">
        <v>59</v>
      </c>
      <c r="AB2124" t="s">
        <v>59</v>
      </c>
      <c r="AC2124" t="s">
        <v>59</v>
      </c>
      <c r="AD2124" t="s">
        <v>59</v>
      </c>
      <c r="AF2124" s="1">
        <v>34948</v>
      </c>
      <c r="AG2124" t="s">
        <v>148</v>
      </c>
      <c r="AH2124" t="s">
        <v>149</v>
      </c>
      <c r="AI2124" t="str">
        <f>"1751042"</f>
        <v>1751042</v>
      </c>
      <c r="AJ2124" t="s">
        <v>959</v>
      </c>
      <c r="AK2124">
        <v>2810220685</v>
      </c>
      <c r="AL2124" t="s">
        <v>960</v>
      </c>
      <c r="AM2124" t="s">
        <v>78</v>
      </c>
      <c r="AN2124" t="s">
        <v>78</v>
      </c>
      <c r="AO2124" t="s">
        <v>78</v>
      </c>
      <c r="AP2124" t="s">
        <v>213</v>
      </c>
      <c r="AQ2124">
        <v>6</v>
      </c>
      <c r="AR2124" t="s">
        <v>123</v>
      </c>
      <c r="AS2124" t="s">
        <v>124</v>
      </c>
      <c r="AT2124" t="s">
        <v>58</v>
      </c>
      <c r="AU2124" t="s">
        <v>68</v>
      </c>
      <c r="AV2124" t="s">
        <v>69</v>
      </c>
      <c r="AW2124" s="1">
        <v>25399</v>
      </c>
      <c r="AX2124">
        <v>2</v>
      </c>
    </row>
    <row r="2125" spans="1:50">
      <c r="A2125">
        <v>170173</v>
      </c>
      <c r="B2125" t="str">
        <f>"035542870"</f>
        <v>035542870</v>
      </c>
      <c r="C2125" t="s">
        <v>50</v>
      </c>
      <c r="D2125" t="s">
        <v>4364</v>
      </c>
      <c r="E2125" t="s">
        <v>340</v>
      </c>
      <c r="F2125" t="s">
        <v>383</v>
      </c>
      <c r="G2125" t="s">
        <v>191</v>
      </c>
      <c r="H2125" t="str">
        <f>" "</f>
        <v xml:space="preserve"> </v>
      </c>
      <c r="M2125" t="s">
        <v>3295</v>
      </c>
      <c r="N2125" t="s">
        <v>146</v>
      </c>
      <c r="O2125" t="s">
        <v>147</v>
      </c>
      <c r="R2125" t="s">
        <v>57</v>
      </c>
      <c r="S2125">
        <v>13</v>
      </c>
      <c r="T2125">
        <v>184</v>
      </c>
      <c r="U2125" s="1">
        <v>34941</v>
      </c>
      <c r="V2125" t="s">
        <v>123</v>
      </c>
      <c r="W2125" t="s">
        <v>124</v>
      </c>
      <c r="X2125" t="s">
        <v>58</v>
      </c>
      <c r="Y2125">
        <v>18</v>
      </c>
      <c r="Z2125" t="s">
        <v>59</v>
      </c>
      <c r="AA2125" t="s">
        <v>59</v>
      </c>
      <c r="AB2125" t="s">
        <v>59</v>
      </c>
      <c r="AC2125" t="s">
        <v>59</v>
      </c>
      <c r="AD2125" t="s">
        <v>59</v>
      </c>
      <c r="AF2125" s="1">
        <v>34943</v>
      </c>
      <c r="AG2125" t="s">
        <v>125</v>
      </c>
      <c r="AH2125" t="s">
        <v>126</v>
      </c>
      <c r="AI2125" t="str">
        <f>"1718010"</f>
        <v>1718010</v>
      </c>
      <c r="AJ2125" t="s">
        <v>1090</v>
      </c>
      <c r="AK2125">
        <v>2897031471</v>
      </c>
      <c r="AL2125" t="s">
        <v>1091</v>
      </c>
      <c r="AM2125" t="s">
        <v>78</v>
      </c>
      <c r="AN2125" t="s">
        <v>219</v>
      </c>
      <c r="AO2125" t="s">
        <v>527</v>
      </c>
      <c r="AP2125" t="s">
        <v>527</v>
      </c>
      <c r="AQ2125">
        <v>20</v>
      </c>
      <c r="AR2125" t="s">
        <v>123</v>
      </c>
      <c r="AS2125" t="s">
        <v>124</v>
      </c>
      <c r="AT2125" t="s">
        <v>58</v>
      </c>
      <c r="AU2125" t="s">
        <v>68</v>
      </c>
      <c r="AV2125" t="s">
        <v>69</v>
      </c>
      <c r="AW2125" s="1">
        <v>24267</v>
      </c>
      <c r="AX2125">
        <v>2</v>
      </c>
    </row>
    <row r="2126" spans="1:50">
      <c r="A2126">
        <v>206120</v>
      </c>
      <c r="B2126" t="str">
        <f>"039476122"</f>
        <v>039476122</v>
      </c>
      <c r="C2126" t="s">
        <v>105</v>
      </c>
      <c r="D2126" t="s">
        <v>4365</v>
      </c>
      <c r="E2126" t="s">
        <v>900</v>
      </c>
      <c r="F2126" t="s">
        <v>95</v>
      </c>
      <c r="G2126" t="s">
        <v>191</v>
      </c>
      <c r="H2126" t="str">
        <f>" "</f>
        <v xml:space="preserve"> </v>
      </c>
      <c r="J2126">
        <v>2810227931</v>
      </c>
      <c r="K2126">
        <v>6977445977</v>
      </c>
      <c r="N2126" t="s">
        <v>168</v>
      </c>
      <c r="O2126" t="s">
        <v>169</v>
      </c>
      <c r="R2126" t="s">
        <v>57</v>
      </c>
      <c r="S2126">
        <v>8</v>
      </c>
      <c r="T2126">
        <v>231</v>
      </c>
      <c r="U2126" s="1">
        <v>38230</v>
      </c>
      <c r="V2126" t="s">
        <v>123</v>
      </c>
      <c r="W2126" t="s">
        <v>124</v>
      </c>
      <c r="X2126" t="s">
        <v>58</v>
      </c>
      <c r="Y2126">
        <v>20</v>
      </c>
      <c r="Z2126" t="s">
        <v>59</v>
      </c>
      <c r="AA2126" t="s">
        <v>59</v>
      </c>
      <c r="AB2126" t="s">
        <v>59</v>
      </c>
      <c r="AC2126" t="s">
        <v>59</v>
      </c>
      <c r="AD2126" t="s">
        <v>59</v>
      </c>
      <c r="AF2126" s="1">
        <v>38233</v>
      </c>
      <c r="AG2126" t="s">
        <v>137</v>
      </c>
      <c r="AH2126" t="s">
        <v>138</v>
      </c>
      <c r="AI2126" t="str">
        <f>"1750080"</f>
        <v>1750080</v>
      </c>
      <c r="AJ2126" t="s">
        <v>170</v>
      </c>
      <c r="AK2126">
        <v>2810234444</v>
      </c>
      <c r="AL2126" t="s">
        <v>171</v>
      </c>
      <c r="AM2126" t="s">
        <v>78</v>
      </c>
      <c r="AN2126" t="s">
        <v>78</v>
      </c>
      <c r="AO2126" t="s">
        <v>78</v>
      </c>
      <c r="AP2126" t="s">
        <v>163</v>
      </c>
      <c r="AQ2126">
        <v>9</v>
      </c>
      <c r="AR2126" t="s">
        <v>123</v>
      </c>
      <c r="AS2126" t="s">
        <v>124</v>
      </c>
      <c r="AT2126" t="s">
        <v>58</v>
      </c>
      <c r="AU2126" t="s">
        <v>68</v>
      </c>
      <c r="AV2126" t="s">
        <v>69</v>
      </c>
      <c r="AW2126" s="1">
        <v>24499</v>
      </c>
      <c r="AX2126">
        <v>2</v>
      </c>
    </row>
    <row r="2127" spans="1:50">
      <c r="A2127">
        <v>194178</v>
      </c>
      <c r="B2127" t="str">
        <f>"064288110"</f>
        <v>064288110</v>
      </c>
      <c r="C2127" t="s">
        <v>50</v>
      </c>
      <c r="D2127" t="s">
        <v>4366</v>
      </c>
      <c r="E2127" t="s">
        <v>714</v>
      </c>
      <c r="F2127" t="s">
        <v>4367</v>
      </c>
      <c r="G2127" t="s">
        <v>4368</v>
      </c>
      <c r="H2127" t="str">
        <f>" "</f>
        <v xml:space="preserve"> </v>
      </c>
      <c r="J2127">
        <v>2810224465</v>
      </c>
      <c r="K2127">
        <v>6977278192</v>
      </c>
      <c r="M2127" t="s">
        <v>4369</v>
      </c>
      <c r="N2127" t="s">
        <v>299</v>
      </c>
      <c r="O2127" t="s">
        <v>300</v>
      </c>
      <c r="R2127" t="s">
        <v>57</v>
      </c>
      <c r="S2127">
        <v>11</v>
      </c>
      <c r="T2127">
        <v>193</v>
      </c>
      <c r="U2127" s="1">
        <v>37497</v>
      </c>
      <c r="V2127" t="s">
        <v>123</v>
      </c>
      <c r="W2127" t="s">
        <v>124</v>
      </c>
      <c r="X2127" t="s">
        <v>58</v>
      </c>
      <c r="Y2127">
        <v>18</v>
      </c>
      <c r="Z2127" t="s">
        <v>59</v>
      </c>
      <c r="AA2127" t="s">
        <v>59</v>
      </c>
      <c r="AB2127" t="s">
        <v>59</v>
      </c>
      <c r="AC2127" t="s">
        <v>59</v>
      </c>
      <c r="AD2127" t="s">
        <v>59</v>
      </c>
      <c r="AF2127" s="1">
        <v>37501</v>
      </c>
      <c r="AG2127" t="s">
        <v>137</v>
      </c>
      <c r="AH2127" t="s">
        <v>469</v>
      </c>
      <c r="AI2127" t="str">
        <f>"1740200"</f>
        <v>1740200</v>
      </c>
      <c r="AJ2127" t="s">
        <v>470</v>
      </c>
      <c r="AK2127">
        <v>2810320770</v>
      </c>
      <c r="AL2127" t="s">
        <v>471</v>
      </c>
      <c r="AM2127" t="s">
        <v>78</v>
      </c>
      <c r="AN2127" t="s">
        <v>78</v>
      </c>
      <c r="AO2127" t="s">
        <v>78</v>
      </c>
      <c r="AP2127" t="s">
        <v>163</v>
      </c>
      <c r="AQ2127">
        <v>2</v>
      </c>
      <c r="AR2127" t="s">
        <v>123</v>
      </c>
      <c r="AS2127" t="s">
        <v>124</v>
      </c>
      <c r="AT2127" t="s">
        <v>58</v>
      </c>
      <c r="AU2127" t="s">
        <v>68</v>
      </c>
      <c r="AV2127" t="s">
        <v>357</v>
      </c>
      <c r="AW2127" s="1">
        <v>22711</v>
      </c>
      <c r="AX2127">
        <v>2</v>
      </c>
    </row>
    <row r="2128" spans="1:50">
      <c r="A2128">
        <v>701101</v>
      </c>
      <c r="B2128" t="str">
        <f>"066377242"</f>
        <v>066377242</v>
      </c>
      <c r="C2128" t="s">
        <v>105</v>
      </c>
      <c r="D2128" t="s">
        <v>4370</v>
      </c>
      <c r="E2128" t="s">
        <v>106</v>
      </c>
      <c r="F2128" t="s">
        <v>1320</v>
      </c>
      <c r="G2128" t="s">
        <v>4371</v>
      </c>
      <c r="H2128" t="str">
        <f>"ΠΑΠΑΝΑΣΤΑΣΙΟΥ 123 ΜΕΣΑΜΠΕΛΙΕΣ"</f>
        <v>ΠΑΠΑΝΑΣΤΑΣΙΟΥ 123 ΜΕΣΑΜΠΕΛΙΕΣ</v>
      </c>
      <c r="I2128">
        <v>71409</v>
      </c>
      <c r="K2128">
        <v>6978300744</v>
      </c>
      <c r="M2128" t="s">
        <v>4372</v>
      </c>
      <c r="N2128" t="s">
        <v>587</v>
      </c>
      <c r="O2128" t="s">
        <v>588</v>
      </c>
      <c r="R2128" t="s">
        <v>57</v>
      </c>
      <c r="S2128">
        <v>4</v>
      </c>
      <c r="T2128">
        <v>772</v>
      </c>
      <c r="U2128" s="1">
        <v>40413</v>
      </c>
      <c r="V2128" t="s">
        <v>123</v>
      </c>
      <c r="W2128" t="s">
        <v>124</v>
      </c>
      <c r="X2128" t="s">
        <v>58</v>
      </c>
      <c r="Y2128">
        <v>21</v>
      </c>
      <c r="Z2128" t="s">
        <v>59</v>
      </c>
      <c r="AA2128" t="s">
        <v>59</v>
      </c>
      <c r="AB2128" t="s">
        <v>59</v>
      </c>
      <c r="AC2128" t="s">
        <v>59</v>
      </c>
      <c r="AD2128" t="s">
        <v>59</v>
      </c>
      <c r="AF2128" s="1">
        <v>40415</v>
      </c>
      <c r="AG2128" t="s">
        <v>345</v>
      </c>
      <c r="AH2128" t="s">
        <v>346</v>
      </c>
      <c r="AI2128" t="str">
        <f>"1741001"</f>
        <v>1741001</v>
      </c>
      <c r="AJ2128" t="s">
        <v>655</v>
      </c>
      <c r="AK2128">
        <v>2810360436</v>
      </c>
      <c r="AL2128" t="s">
        <v>656</v>
      </c>
      <c r="AM2128" t="s">
        <v>78</v>
      </c>
      <c r="AN2128" t="s">
        <v>78</v>
      </c>
      <c r="AO2128" t="s">
        <v>78</v>
      </c>
      <c r="AP2128" t="s">
        <v>141</v>
      </c>
      <c r="AQ2128">
        <v>11</v>
      </c>
      <c r="AR2128" t="s">
        <v>123</v>
      </c>
      <c r="AS2128" t="s">
        <v>124</v>
      </c>
      <c r="AT2128" t="s">
        <v>58</v>
      </c>
      <c r="AU2128" t="s">
        <v>68</v>
      </c>
      <c r="AV2128" t="s">
        <v>69</v>
      </c>
      <c r="AW2128" s="1">
        <v>29426</v>
      </c>
      <c r="AX2128">
        <v>2</v>
      </c>
    </row>
    <row r="2129" spans="1:50">
      <c r="B2129" t="str">
        <f>"141359585"</f>
        <v>141359585</v>
      </c>
      <c r="C2129" t="s">
        <v>50</v>
      </c>
      <c r="D2129" t="s">
        <v>4373</v>
      </c>
      <c r="E2129" t="s">
        <v>52</v>
      </c>
      <c r="F2129" t="s">
        <v>95</v>
      </c>
      <c r="G2129" t="s">
        <v>237</v>
      </c>
      <c r="H2129" t="str">
        <f>"ΛΥΣΣΟΥ 40 "</f>
        <v xml:space="preserve">ΛΥΣΣΟΥ 40 </v>
      </c>
      <c r="I2129">
        <v>71304</v>
      </c>
      <c r="J2129">
        <v>2810254478</v>
      </c>
      <c r="K2129">
        <v>6972863678</v>
      </c>
      <c r="N2129" t="s">
        <v>536</v>
      </c>
      <c r="O2129" t="s">
        <v>537</v>
      </c>
      <c r="R2129" t="s">
        <v>159</v>
      </c>
      <c r="S2129">
        <v>5</v>
      </c>
      <c r="T2129" t="s">
        <v>344</v>
      </c>
      <c r="U2129" s="1">
        <v>43348</v>
      </c>
      <c r="V2129" t="s">
        <v>123</v>
      </c>
      <c r="W2129" t="s">
        <v>124</v>
      </c>
      <c r="X2129" t="s">
        <v>58</v>
      </c>
      <c r="Y2129">
        <v>21</v>
      </c>
      <c r="Z2129" t="s">
        <v>59</v>
      </c>
      <c r="AA2129" t="s">
        <v>59</v>
      </c>
      <c r="AB2129" t="s">
        <v>59</v>
      </c>
      <c r="AC2129" t="s">
        <v>59</v>
      </c>
      <c r="AD2129" t="s">
        <v>59</v>
      </c>
      <c r="AF2129" s="1">
        <v>43348</v>
      </c>
      <c r="AG2129" t="s">
        <v>137</v>
      </c>
      <c r="AH2129" t="s">
        <v>138</v>
      </c>
      <c r="AI2129" t="str">
        <f>"1750080"</f>
        <v>1750080</v>
      </c>
      <c r="AJ2129" t="s">
        <v>170</v>
      </c>
      <c r="AK2129">
        <v>2810234444</v>
      </c>
      <c r="AL2129" t="s">
        <v>171</v>
      </c>
      <c r="AM2129" t="s">
        <v>78</v>
      </c>
      <c r="AN2129" t="s">
        <v>78</v>
      </c>
      <c r="AO2129" t="s">
        <v>78</v>
      </c>
      <c r="AP2129" t="s">
        <v>163</v>
      </c>
      <c r="AQ2129">
        <v>9</v>
      </c>
      <c r="AR2129" t="s">
        <v>123</v>
      </c>
      <c r="AS2129" t="s">
        <v>124</v>
      </c>
      <c r="AT2129" t="s">
        <v>58</v>
      </c>
      <c r="AU2129" t="s">
        <v>350</v>
      </c>
      <c r="AV2129" t="s">
        <v>132</v>
      </c>
      <c r="AW2129" s="1">
        <v>30916</v>
      </c>
      <c r="AX2129">
        <v>2</v>
      </c>
    </row>
    <row r="2130" spans="1:50">
      <c r="A2130">
        <v>202124</v>
      </c>
      <c r="B2130" t="str">
        <f>"028662830"</f>
        <v>028662830</v>
      </c>
      <c r="C2130" t="s">
        <v>50</v>
      </c>
      <c r="D2130" t="s">
        <v>4374</v>
      </c>
      <c r="E2130" t="s">
        <v>52</v>
      </c>
      <c r="F2130" t="s">
        <v>377</v>
      </c>
      <c r="G2130" t="s">
        <v>4375</v>
      </c>
      <c r="H2130" t="str">
        <f>"ΠΑΝΤΕΛΗ ΠΡΕΒΕΛΑΚΗ 5 ΗΡΑΚΛΕΙΟ"</f>
        <v>ΠΑΝΤΕΛΗ ΠΡΕΒΕΛΑΚΗ 5 ΗΡΑΚΛΕΙΟ</v>
      </c>
      <c r="I2130">
        <v>71202</v>
      </c>
      <c r="J2130">
        <v>2810286282</v>
      </c>
      <c r="K2130">
        <v>6942702577</v>
      </c>
      <c r="M2130" t="s">
        <v>4376</v>
      </c>
      <c r="N2130" t="s">
        <v>146</v>
      </c>
      <c r="O2130" t="s">
        <v>147</v>
      </c>
      <c r="R2130" t="s">
        <v>57</v>
      </c>
      <c r="S2130">
        <v>8</v>
      </c>
      <c r="T2130">
        <v>231</v>
      </c>
      <c r="U2130" s="1">
        <v>38230</v>
      </c>
      <c r="V2130" t="s">
        <v>123</v>
      </c>
      <c r="W2130" t="s">
        <v>124</v>
      </c>
      <c r="X2130" t="s">
        <v>58</v>
      </c>
      <c r="Y2130">
        <v>20</v>
      </c>
      <c r="Z2130" t="s">
        <v>59</v>
      </c>
      <c r="AA2130" t="s">
        <v>59</v>
      </c>
      <c r="AB2130" t="s">
        <v>59</v>
      </c>
      <c r="AC2130" t="s">
        <v>59</v>
      </c>
      <c r="AD2130" t="s">
        <v>59</v>
      </c>
      <c r="AF2130" s="1">
        <v>38232</v>
      </c>
      <c r="AG2130" t="s">
        <v>125</v>
      </c>
      <c r="AH2130" t="s">
        <v>126</v>
      </c>
      <c r="AI2130" t="str">
        <f>"1701052"</f>
        <v>1701052</v>
      </c>
      <c r="AJ2130" t="s">
        <v>223</v>
      </c>
      <c r="AK2130">
        <v>2810252514</v>
      </c>
      <c r="AL2130" t="s">
        <v>224</v>
      </c>
      <c r="AM2130" t="s">
        <v>78</v>
      </c>
      <c r="AN2130" t="s">
        <v>78</v>
      </c>
      <c r="AO2130" t="s">
        <v>78</v>
      </c>
      <c r="AP2130" t="s">
        <v>141</v>
      </c>
      <c r="AQ2130">
        <v>7</v>
      </c>
      <c r="AR2130" t="s">
        <v>123</v>
      </c>
      <c r="AS2130" t="s">
        <v>124</v>
      </c>
      <c r="AT2130" t="s">
        <v>58</v>
      </c>
      <c r="AU2130" t="s">
        <v>68</v>
      </c>
      <c r="AV2130" t="s">
        <v>69</v>
      </c>
      <c r="AW2130" s="1">
        <v>22687</v>
      </c>
      <c r="AX2130">
        <v>2</v>
      </c>
    </row>
    <row r="2131" spans="1:50">
      <c r="A2131">
        <v>218632</v>
      </c>
      <c r="B2131" t="str">
        <f>"072584014"</f>
        <v>072584014</v>
      </c>
      <c r="C2131" t="s">
        <v>50</v>
      </c>
      <c r="D2131" t="s">
        <v>4377</v>
      </c>
      <c r="E2131" t="s">
        <v>52</v>
      </c>
      <c r="F2131" t="s">
        <v>670</v>
      </c>
      <c r="G2131" t="s">
        <v>1277</v>
      </c>
      <c r="H2131" t="str">
        <f>"ΝΤΑΛΙΑΝΗ 1 ΚΑΛΛΙΘΕΑ-ΑΛΙΚΑΡΝΑΣΣΟΣ"</f>
        <v>ΝΤΑΛΙΑΝΗ 1 ΚΑΛΛΙΘΕΑ-ΑΛΙΚΑΡΝΑΣΣΟΣ</v>
      </c>
      <c r="I2131">
        <v>71500</v>
      </c>
      <c r="J2131">
        <v>2810381795</v>
      </c>
      <c r="K2131">
        <v>6977422088</v>
      </c>
      <c r="M2131" t="s">
        <v>4378</v>
      </c>
      <c r="N2131" t="s">
        <v>232</v>
      </c>
      <c r="O2131" t="s">
        <v>233</v>
      </c>
      <c r="R2131" t="s">
        <v>57</v>
      </c>
      <c r="S2131">
        <v>8</v>
      </c>
      <c r="T2131">
        <v>599</v>
      </c>
      <c r="U2131" s="1">
        <v>39310</v>
      </c>
      <c r="V2131" t="s">
        <v>123</v>
      </c>
      <c r="W2131" t="s">
        <v>124</v>
      </c>
      <c r="X2131" t="s">
        <v>58</v>
      </c>
      <c r="Y2131">
        <v>20</v>
      </c>
      <c r="Z2131" t="s">
        <v>59</v>
      </c>
      <c r="AA2131" t="s">
        <v>59</v>
      </c>
      <c r="AB2131" t="s">
        <v>59</v>
      </c>
      <c r="AC2131" t="s">
        <v>59</v>
      </c>
      <c r="AD2131" t="s">
        <v>59</v>
      </c>
      <c r="AF2131" s="1">
        <v>39328</v>
      </c>
      <c r="AG2131" t="s">
        <v>125</v>
      </c>
      <c r="AH2131" t="s">
        <v>126</v>
      </c>
      <c r="AI2131" t="str">
        <f>"1701052"</f>
        <v>1701052</v>
      </c>
      <c r="AJ2131" t="s">
        <v>223</v>
      </c>
      <c r="AK2131">
        <v>2810252514</v>
      </c>
      <c r="AL2131" t="s">
        <v>224</v>
      </c>
      <c r="AM2131" t="s">
        <v>78</v>
      </c>
      <c r="AN2131" t="s">
        <v>78</v>
      </c>
      <c r="AO2131" t="s">
        <v>78</v>
      </c>
      <c r="AP2131" t="s">
        <v>141</v>
      </c>
      <c r="AQ2131">
        <v>7</v>
      </c>
      <c r="AR2131" t="s">
        <v>123</v>
      </c>
      <c r="AS2131" t="s">
        <v>124</v>
      </c>
      <c r="AT2131" t="s">
        <v>58</v>
      </c>
      <c r="AU2131" t="s">
        <v>68</v>
      </c>
      <c r="AV2131" t="s">
        <v>357</v>
      </c>
      <c r="AW2131" s="1">
        <v>25616</v>
      </c>
      <c r="AX2131">
        <v>2</v>
      </c>
    </row>
    <row r="2132" spans="1:50">
      <c r="A2132">
        <v>207143</v>
      </c>
      <c r="B2132" t="str">
        <f>"045580199"</f>
        <v>045580199</v>
      </c>
      <c r="C2132" t="s">
        <v>50</v>
      </c>
      <c r="D2132" t="s">
        <v>4379</v>
      </c>
      <c r="E2132" t="s">
        <v>52</v>
      </c>
      <c r="F2132" t="s">
        <v>99</v>
      </c>
      <c r="G2132" t="s">
        <v>255</v>
      </c>
      <c r="H2132" t="str">
        <f>"ΖΩΟΔΟΧΟΥ ΠΗΓΗΣ 100 "</f>
        <v xml:space="preserve">ΖΩΟΔΟΧΟΥ ΠΗΓΗΣ 100 </v>
      </c>
      <c r="I2132">
        <v>71307</v>
      </c>
      <c r="J2132">
        <v>2810240936</v>
      </c>
      <c r="K2132">
        <v>6945637570</v>
      </c>
      <c r="M2132" t="s">
        <v>4380</v>
      </c>
      <c r="N2132" t="s">
        <v>292</v>
      </c>
      <c r="O2132" t="s">
        <v>293</v>
      </c>
      <c r="R2132" t="s">
        <v>57</v>
      </c>
      <c r="S2132">
        <v>9</v>
      </c>
      <c r="T2132">
        <v>218</v>
      </c>
      <c r="U2132" s="1">
        <v>38596</v>
      </c>
      <c r="V2132" t="s">
        <v>123</v>
      </c>
      <c r="W2132" t="s">
        <v>124</v>
      </c>
      <c r="X2132" t="s">
        <v>58</v>
      </c>
      <c r="Y2132">
        <v>20</v>
      </c>
      <c r="Z2132" t="s">
        <v>59</v>
      </c>
      <c r="AA2132" t="s">
        <v>59</v>
      </c>
      <c r="AB2132" t="s">
        <v>59</v>
      </c>
      <c r="AC2132" t="s">
        <v>59</v>
      </c>
      <c r="AD2132" t="s">
        <v>59</v>
      </c>
      <c r="AF2132" s="1">
        <v>38600</v>
      </c>
      <c r="AG2132" t="s">
        <v>125</v>
      </c>
      <c r="AH2132" t="s">
        <v>126</v>
      </c>
      <c r="AI2132" t="str">
        <f>"1701030"</f>
        <v>1701030</v>
      </c>
      <c r="AJ2132" t="s">
        <v>270</v>
      </c>
      <c r="AK2132">
        <v>2810361015</v>
      </c>
      <c r="AL2132" t="s">
        <v>271</v>
      </c>
      <c r="AM2132" t="s">
        <v>78</v>
      </c>
      <c r="AN2132" t="s">
        <v>78</v>
      </c>
      <c r="AO2132" t="s">
        <v>78</v>
      </c>
      <c r="AP2132" t="s">
        <v>163</v>
      </c>
      <c r="AQ2132">
        <v>2</v>
      </c>
      <c r="AR2132" t="s">
        <v>123</v>
      </c>
      <c r="AS2132" t="s">
        <v>124</v>
      </c>
      <c r="AT2132" t="s">
        <v>58</v>
      </c>
      <c r="AU2132" t="s">
        <v>68</v>
      </c>
      <c r="AV2132" t="s">
        <v>69</v>
      </c>
      <c r="AW2132" s="1">
        <v>23009</v>
      </c>
      <c r="AX2132">
        <v>2</v>
      </c>
    </row>
    <row r="2133" spans="1:50">
      <c r="A2133">
        <v>211120</v>
      </c>
      <c r="B2133" t="str">
        <f>"117322893"</f>
        <v>117322893</v>
      </c>
      <c r="C2133" t="s">
        <v>50</v>
      </c>
      <c r="D2133" t="s">
        <v>4381</v>
      </c>
      <c r="E2133" t="s">
        <v>73</v>
      </c>
      <c r="F2133" t="s">
        <v>920</v>
      </c>
      <c r="G2133" t="s">
        <v>484</v>
      </c>
      <c r="H2133" t="str">
        <f>"ΘΕΟΤΟΚΟΥ 31 ΗΡΑΚΛΕΙΟ"</f>
        <v>ΘΕΟΤΟΚΟΥ 31 ΗΡΑΚΛΕΙΟ</v>
      </c>
      <c r="I2133">
        <v>71414</v>
      </c>
      <c r="J2133">
        <v>2810319922</v>
      </c>
      <c r="K2133">
        <v>6973633018</v>
      </c>
      <c r="L2133">
        <v>2410619686</v>
      </c>
      <c r="M2133" t="s">
        <v>4382</v>
      </c>
      <c r="N2133" t="s">
        <v>204</v>
      </c>
      <c r="O2133" t="s">
        <v>205</v>
      </c>
      <c r="R2133" t="s">
        <v>57</v>
      </c>
      <c r="S2133">
        <v>6</v>
      </c>
      <c r="T2133">
        <v>262</v>
      </c>
      <c r="U2133" s="1">
        <v>38629</v>
      </c>
      <c r="V2133" t="s">
        <v>123</v>
      </c>
      <c r="W2133" t="s">
        <v>124</v>
      </c>
      <c r="X2133" t="s">
        <v>58</v>
      </c>
      <c r="Y2133">
        <v>20</v>
      </c>
      <c r="Z2133" t="s">
        <v>59</v>
      </c>
      <c r="AA2133" t="s">
        <v>59</v>
      </c>
      <c r="AB2133" t="s">
        <v>59</v>
      </c>
      <c r="AC2133" t="s">
        <v>59</v>
      </c>
      <c r="AD2133" t="s">
        <v>59</v>
      </c>
      <c r="AF2133" s="1">
        <v>38631</v>
      </c>
      <c r="AG2133" t="s">
        <v>125</v>
      </c>
      <c r="AH2133" t="s">
        <v>126</v>
      </c>
      <c r="AI2133" t="str">
        <f>"1716010"</f>
        <v>1716010</v>
      </c>
      <c r="AJ2133" t="s">
        <v>193</v>
      </c>
      <c r="AK2133">
        <v>2810791374</v>
      </c>
      <c r="AL2133" t="s">
        <v>194</v>
      </c>
      <c r="AM2133" t="s">
        <v>78</v>
      </c>
      <c r="AN2133" t="s">
        <v>78</v>
      </c>
      <c r="AO2133" t="s">
        <v>195</v>
      </c>
      <c r="AP2133" t="s">
        <v>196</v>
      </c>
      <c r="AQ2133">
        <v>30</v>
      </c>
      <c r="AR2133" t="s">
        <v>123</v>
      </c>
      <c r="AS2133" t="s">
        <v>124</v>
      </c>
      <c r="AT2133" t="s">
        <v>58</v>
      </c>
      <c r="AU2133" t="s">
        <v>68</v>
      </c>
      <c r="AV2133" t="s">
        <v>69</v>
      </c>
      <c r="AW2133" s="1">
        <v>29458</v>
      </c>
      <c r="AX2133">
        <v>2</v>
      </c>
    </row>
    <row r="2134" spans="1:50">
      <c r="A2134">
        <v>199558</v>
      </c>
      <c r="B2134" t="str">
        <f>"056168079"</f>
        <v>056168079</v>
      </c>
      <c r="C2134" t="s">
        <v>105</v>
      </c>
      <c r="D2134" t="s">
        <v>4383</v>
      </c>
      <c r="E2134" t="s">
        <v>631</v>
      </c>
      <c r="F2134" t="s">
        <v>166</v>
      </c>
      <c r="G2134" t="s">
        <v>372</v>
      </c>
      <c r="H2134" t="str">
        <f>"ΓΩΝΙΩΝ ΜΑΛΕΒΙΖΙΟΥ 16 ΗΡΑΚΛΕΙΟ"</f>
        <v>ΓΩΝΙΩΝ ΜΑΛΕΒΙΖΙΟΥ 16 ΗΡΑΚΛΕΙΟ</v>
      </c>
      <c r="I2134">
        <v>71414</v>
      </c>
      <c r="J2134">
        <v>2810312681</v>
      </c>
      <c r="K2134">
        <v>6932239354</v>
      </c>
      <c r="M2134" t="s">
        <v>4384</v>
      </c>
      <c r="N2134" t="s">
        <v>282</v>
      </c>
      <c r="O2134" t="s">
        <v>283</v>
      </c>
      <c r="R2134" t="s">
        <v>57</v>
      </c>
      <c r="S2134">
        <v>7</v>
      </c>
      <c r="T2134">
        <v>206</v>
      </c>
      <c r="U2134" s="1">
        <v>37866</v>
      </c>
      <c r="V2134" t="s">
        <v>123</v>
      </c>
      <c r="W2134" t="s">
        <v>124</v>
      </c>
      <c r="X2134" t="s">
        <v>58</v>
      </c>
      <c r="Y2134">
        <v>20</v>
      </c>
      <c r="Z2134" t="s">
        <v>59</v>
      </c>
      <c r="AA2134" t="s">
        <v>59</v>
      </c>
      <c r="AB2134" t="s">
        <v>59</v>
      </c>
      <c r="AC2134" t="s">
        <v>59</v>
      </c>
      <c r="AD2134" t="s">
        <v>59</v>
      </c>
      <c r="AF2134" s="1">
        <v>37866</v>
      </c>
      <c r="AG2134" t="s">
        <v>137</v>
      </c>
      <c r="AH2134" t="s">
        <v>138</v>
      </c>
      <c r="AI2134" t="str">
        <f>"1750080"</f>
        <v>1750080</v>
      </c>
      <c r="AJ2134" t="s">
        <v>170</v>
      </c>
      <c r="AK2134">
        <v>2810234444</v>
      </c>
      <c r="AL2134" t="s">
        <v>171</v>
      </c>
      <c r="AM2134" t="s">
        <v>78</v>
      </c>
      <c r="AN2134" t="s">
        <v>78</v>
      </c>
      <c r="AO2134" t="s">
        <v>78</v>
      </c>
      <c r="AP2134" t="s">
        <v>163</v>
      </c>
      <c r="AQ2134">
        <v>9</v>
      </c>
      <c r="AR2134" t="s">
        <v>123</v>
      </c>
      <c r="AS2134" t="s">
        <v>124</v>
      </c>
      <c r="AT2134" t="s">
        <v>58</v>
      </c>
      <c r="AU2134" t="s">
        <v>68</v>
      </c>
      <c r="AV2134" t="s">
        <v>69</v>
      </c>
      <c r="AW2134" s="1">
        <v>25657</v>
      </c>
      <c r="AX2134">
        <v>2</v>
      </c>
    </row>
    <row r="2135" spans="1:50">
      <c r="A2135">
        <v>187290</v>
      </c>
      <c r="B2135" t="str">
        <f>"033356893"</f>
        <v>033356893</v>
      </c>
      <c r="C2135" t="s">
        <v>105</v>
      </c>
      <c r="D2135" t="s">
        <v>4385</v>
      </c>
      <c r="E2135" t="s">
        <v>108</v>
      </c>
      <c r="F2135" t="s">
        <v>166</v>
      </c>
      <c r="G2135" t="s">
        <v>52</v>
      </c>
      <c r="H2135" t="str">
        <f>" "</f>
        <v xml:space="preserve"> </v>
      </c>
      <c r="M2135" t="s">
        <v>4386</v>
      </c>
      <c r="N2135" t="s">
        <v>168</v>
      </c>
      <c r="O2135" t="s">
        <v>169</v>
      </c>
      <c r="R2135" t="s">
        <v>57</v>
      </c>
      <c r="S2135">
        <v>11</v>
      </c>
      <c r="T2135">
        <v>251</v>
      </c>
      <c r="U2135" s="1">
        <v>36769</v>
      </c>
      <c r="V2135" t="s">
        <v>123</v>
      </c>
      <c r="W2135" t="s">
        <v>124</v>
      </c>
      <c r="X2135" t="s">
        <v>58</v>
      </c>
      <c r="Y2135">
        <v>20</v>
      </c>
      <c r="Z2135" t="s">
        <v>59</v>
      </c>
      <c r="AA2135" t="s">
        <v>59</v>
      </c>
      <c r="AB2135" t="s">
        <v>59</v>
      </c>
      <c r="AC2135" t="s">
        <v>59</v>
      </c>
      <c r="AD2135" t="s">
        <v>59</v>
      </c>
      <c r="AF2135" s="1">
        <v>36770</v>
      </c>
      <c r="AG2135" t="s">
        <v>137</v>
      </c>
      <c r="AH2135" t="s">
        <v>138</v>
      </c>
      <c r="AI2135" t="str">
        <f>"1740100"</f>
        <v>1740100</v>
      </c>
      <c r="AJ2135" t="s">
        <v>857</v>
      </c>
      <c r="AK2135">
        <v>2810360741</v>
      </c>
      <c r="AL2135" t="s">
        <v>858</v>
      </c>
      <c r="AM2135" t="s">
        <v>78</v>
      </c>
      <c r="AN2135" t="s">
        <v>78</v>
      </c>
      <c r="AO2135" t="s">
        <v>78</v>
      </c>
      <c r="AP2135" t="s">
        <v>163</v>
      </c>
      <c r="AQ2135">
        <v>5</v>
      </c>
      <c r="AR2135" t="s">
        <v>123</v>
      </c>
      <c r="AS2135" t="s">
        <v>124</v>
      </c>
      <c r="AT2135" t="s">
        <v>58</v>
      </c>
      <c r="AU2135" t="s">
        <v>68</v>
      </c>
      <c r="AV2135" t="s">
        <v>69</v>
      </c>
      <c r="AW2135" s="1">
        <v>23865</v>
      </c>
      <c r="AX2135">
        <v>2</v>
      </c>
    </row>
    <row r="2136" spans="1:50">
      <c r="A2136">
        <v>219387</v>
      </c>
      <c r="B2136" t="str">
        <f>"121238213"</f>
        <v>121238213</v>
      </c>
      <c r="C2136" t="s">
        <v>50</v>
      </c>
      <c r="D2136" t="s">
        <v>4387</v>
      </c>
      <c r="E2136" t="s">
        <v>3290</v>
      </c>
      <c r="F2136" t="s">
        <v>202</v>
      </c>
      <c r="G2136" t="s">
        <v>335</v>
      </c>
      <c r="H2136" t="str">
        <f>"ΙΚΑΡΙΑΣ 8 ΑΤΤΙΚΗΣ"</f>
        <v>ΙΚΑΡΙΑΣ 8 ΑΤΤΙΚΗΣ</v>
      </c>
      <c r="I2136">
        <v>15562</v>
      </c>
      <c r="J2136">
        <v>2106525920</v>
      </c>
      <c r="K2136">
        <v>6944542305</v>
      </c>
      <c r="M2136" t="s">
        <v>4388</v>
      </c>
      <c r="N2136" t="s">
        <v>306</v>
      </c>
      <c r="O2136" t="s">
        <v>307</v>
      </c>
      <c r="R2136" t="s">
        <v>57</v>
      </c>
      <c r="S2136">
        <v>7</v>
      </c>
      <c r="T2136">
        <v>599</v>
      </c>
      <c r="U2136" s="1">
        <v>39310</v>
      </c>
      <c r="V2136" t="s">
        <v>123</v>
      </c>
      <c r="W2136" t="s">
        <v>124</v>
      </c>
      <c r="X2136" t="s">
        <v>58</v>
      </c>
      <c r="Y2136">
        <v>21</v>
      </c>
      <c r="Z2136" t="s">
        <v>59</v>
      </c>
      <c r="AA2136" t="s">
        <v>59</v>
      </c>
      <c r="AB2136" t="s">
        <v>59</v>
      </c>
      <c r="AC2136" t="s">
        <v>59</v>
      </c>
      <c r="AD2136" t="s">
        <v>59</v>
      </c>
      <c r="AF2136" s="1">
        <v>39328</v>
      </c>
      <c r="AG2136" t="s">
        <v>125</v>
      </c>
      <c r="AH2136" t="s">
        <v>126</v>
      </c>
      <c r="AI2136" t="str">
        <f>"1706010"</f>
        <v>1706010</v>
      </c>
      <c r="AJ2136" t="s">
        <v>391</v>
      </c>
      <c r="AK2136">
        <v>2892022286</v>
      </c>
      <c r="AL2136" t="s">
        <v>392</v>
      </c>
      <c r="AM2136" t="s">
        <v>78</v>
      </c>
      <c r="AN2136" t="s">
        <v>242</v>
      </c>
      <c r="AO2136" t="s">
        <v>243</v>
      </c>
      <c r="AP2136" t="s">
        <v>243</v>
      </c>
      <c r="AQ2136">
        <v>33</v>
      </c>
      <c r="AR2136" t="s">
        <v>123</v>
      </c>
      <c r="AS2136" t="s">
        <v>124</v>
      </c>
      <c r="AT2136" t="s">
        <v>58</v>
      </c>
      <c r="AU2136" t="s">
        <v>68</v>
      </c>
      <c r="AV2136" t="s">
        <v>69</v>
      </c>
      <c r="AW2136" s="1">
        <v>30052</v>
      </c>
      <c r="AX2136">
        <v>2</v>
      </c>
    </row>
    <row r="2137" spans="1:50">
      <c r="A2137">
        <v>187585</v>
      </c>
      <c r="B2137" t="str">
        <f>"064118549"</f>
        <v>064118549</v>
      </c>
      <c r="C2137" t="s">
        <v>50</v>
      </c>
      <c r="D2137" t="s">
        <v>4389</v>
      </c>
      <c r="E2137" t="s">
        <v>83</v>
      </c>
      <c r="F2137" t="s">
        <v>304</v>
      </c>
      <c r="G2137" t="s">
        <v>4390</v>
      </c>
      <c r="H2137" t="str">
        <f>" "</f>
        <v xml:space="preserve"> </v>
      </c>
      <c r="J2137">
        <v>2810283493</v>
      </c>
      <c r="K2137">
        <v>6978646756</v>
      </c>
      <c r="M2137" t="s">
        <v>4391</v>
      </c>
      <c r="N2137" t="s">
        <v>299</v>
      </c>
      <c r="O2137" t="s">
        <v>300</v>
      </c>
      <c r="P2137" t="s">
        <v>1525</v>
      </c>
      <c r="Q2137" t="s">
        <v>1526</v>
      </c>
      <c r="R2137" t="s">
        <v>57</v>
      </c>
      <c r="S2137">
        <v>10</v>
      </c>
      <c r="T2137">
        <v>251</v>
      </c>
      <c r="U2137" s="1">
        <v>36769</v>
      </c>
      <c r="V2137" t="s">
        <v>123</v>
      </c>
      <c r="W2137" t="s">
        <v>124</v>
      </c>
      <c r="X2137" t="s">
        <v>58</v>
      </c>
      <c r="Y2137">
        <v>18</v>
      </c>
      <c r="Z2137" t="s">
        <v>59</v>
      </c>
      <c r="AA2137" t="s">
        <v>59</v>
      </c>
      <c r="AB2137" t="s">
        <v>59</v>
      </c>
      <c r="AC2137" t="s">
        <v>59</v>
      </c>
      <c r="AD2137" t="s">
        <v>59</v>
      </c>
      <c r="AF2137" s="1">
        <v>36770</v>
      </c>
      <c r="AG2137" t="s">
        <v>137</v>
      </c>
      <c r="AH2137" t="s">
        <v>138</v>
      </c>
      <c r="AI2137" t="str">
        <f>"1740070"</f>
        <v>1740070</v>
      </c>
      <c r="AJ2137" t="s">
        <v>206</v>
      </c>
      <c r="AK2137">
        <v>2810324880</v>
      </c>
      <c r="AL2137" t="s">
        <v>207</v>
      </c>
      <c r="AM2137" t="s">
        <v>78</v>
      </c>
      <c r="AN2137" t="s">
        <v>78</v>
      </c>
      <c r="AO2137" t="s">
        <v>78</v>
      </c>
      <c r="AP2137" t="s">
        <v>163</v>
      </c>
      <c r="AQ2137">
        <v>9</v>
      </c>
      <c r="AR2137" t="s">
        <v>123</v>
      </c>
      <c r="AS2137" t="s">
        <v>124</v>
      </c>
      <c r="AT2137" t="s">
        <v>58</v>
      </c>
      <c r="AU2137" t="s">
        <v>68</v>
      </c>
      <c r="AV2137" t="s">
        <v>69</v>
      </c>
      <c r="AW2137" s="1">
        <v>21704</v>
      </c>
      <c r="AX2137">
        <v>2</v>
      </c>
    </row>
    <row r="2138" spans="1:50">
      <c r="A2138">
        <v>185260</v>
      </c>
      <c r="B2138" t="str">
        <f>"075144192"</f>
        <v>075144192</v>
      </c>
      <c r="C2138" t="s">
        <v>50</v>
      </c>
      <c r="D2138" t="s">
        <v>4392</v>
      </c>
      <c r="E2138" t="s">
        <v>263</v>
      </c>
      <c r="F2138" t="s">
        <v>1316</v>
      </c>
      <c r="G2138" t="s">
        <v>73</v>
      </c>
      <c r="H2138" t="str">
        <f>"ΦΙΛΙΠΠΟΥ 1  ΠΑΤΕΛΕΣ"</f>
        <v>ΦΙΛΙΠΠΟΥ 1  ΠΑΤΕΛΕΣ</v>
      </c>
      <c r="I2138">
        <v>71307</v>
      </c>
      <c r="J2138">
        <v>2810330830</v>
      </c>
      <c r="K2138">
        <v>6945545956</v>
      </c>
      <c r="M2138" t="s">
        <v>4393</v>
      </c>
      <c r="N2138" t="s">
        <v>204</v>
      </c>
      <c r="O2138" t="s">
        <v>205</v>
      </c>
      <c r="R2138" t="s">
        <v>57</v>
      </c>
      <c r="S2138">
        <v>10</v>
      </c>
      <c r="T2138" t="s">
        <v>1773</v>
      </c>
      <c r="U2138" s="1">
        <v>36039</v>
      </c>
      <c r="V2138" t="s">
        <v>123</v>
      </c>
      <c r="W2138" t="s">
        <v>124</v>
      </c>
      <c r="X2138" t="s">
        <v>58</v>
      </c>
      <c r="Y2138">
        <v>18</v>
      </c>
      <c r="Z2138" t="s">
        <v>59</v>
      </c>
      <c r="AA2138" t="s">
        <v>59</v>
      </c>
      <c r="AB2138" t="s">
        <v>59</v>
      </c>
      <c r="AC2138" t="s">
        <v>59</v>
      </c>
      <c r="AD2138" t="s">
        <v>59</v>
      </c>
      <c r="AF2138" s="1">
        <v>36412</v>
      </c>
      <c r="AG2138" t="s">
        <v>148</v>
      </c>
      <c r="AH2138" t="s">
        <v>149</v>
      </c>
      <c r="AI2138" t="str">
        <f>"1751030"</f>
        <v>1751030</v>
      </c>
      <c r="AJ2138" t="s">
        <v>234</v>
      </c>
      <c r="AK2138">
        <v>2810282911</v>
      </c>
      <c r="AL2138" t="s">
        <v>235</v>
      </c>
      <c r="AM2138" t="s">
        <v>78</v>
      </c>
      <c r="AN2138" t="s">
        <v>78</v>
      </c>
      <c r="AO2138" t="s">
        <v>78</v>
      </c>
      <c r="AP2138" t="s">
        <v>163</v>
      </c>
      <c r="AQ2138">
        <v>1</v>
      </c>
      <c r="AR2138" t="s">
        <v>123</v>
      </c>
      <c r="AS2138" t="s">
        <v>124</v>
      </c>
      <c r="AT2138" t="s">
        <v>58</v>
      </c>
      <c r="AU2138" t="s">
        <v>68</v>
      </c>
      <c r="AV2138" t="s">
        <v>69</v>
      </c>
      <c r="AW2138" s="1">
        <v>25716</v>
      </c>
      <c r="AX2138">
        <v>2</v>
      </c>
    </row>
    <row r="2139" spans="1:50">
      <c r="A2139">
        <v>134238</v>
      </c>
      <c r="B2139" t="str">
        <f>"023327238"</f>
        <v>023327238</v>
      </c>
      <c r="C2139" t="s">
        <v>105</v>
      </c>
      <c r="D2139" t="s">
        <v>4394</v>
      </c>
      <c r="E2139" t="s">
        <v>154</v>
      </c>
      <c r="F2139" t="s">
        <v>106</v>
      </c>
      <c r="G2139" t="s">
        <v>529</v>
      </c>
      <c r="H2139" t="str">
        <f>" "</f>
        <v xml:space="preserve"> </v>
      </c>
      <c r="M2139" t="s">
        <v>4395</v>
      </c>
      <c r="N2139" t="s">
        <v>232</v>
      </c>
      <c r="O2139" t="s">
        <v>233</v>
      </c>
      <c r="R2139" t="s">
        <v>57</v>
      </c>
      <c r="S2139">
        <v>18</v>
      </c>
      <c r="T2139">
        <v>248</v>
      </c>
      <c r="U2139" s="1">
        <v>29830</v>
      </c>
      <c r="V2139" t="s">
        <v>123</v>
      </c>
      <c r="W2139" t="s">
        <v>124</v>
      </c>
      <c r="X2139" t="s">
        <v>58</v>
      </c>
      <c r="Y2139">
        <v>18</v>
      </c>
      <c r="Z2139" t="s">
        <v>59</v>
      </c>
      <c r="AA2139" t="s">
        <v>59</v>
      </c>
      <c r="AB2139" t="s">
        <v>59</v>
      </c>
      <c r="AC2139" t="s">
        <v>59</v>
      </c>
      <c r="AD2139" t="s">
        <v>59</v>
      </c>
      <c r="AF2139" s="1">
        <v>29839</v>
      </c>
      <c r="AG2139" t="s">
        <v>125</v>
      </c>
      <c r="AH2139" t="s">
        <v>126</v>
      </c>
      <c r="AI2139" t="str">
        <f>"1701020"</f>
        <v>1701020</v>
      </c>
      <c r="AJ2139" t="s">
        <v>323</v>
      </c>
      <c r="AK2139">
        <v>2810252111</v>
      </c>
      <c r="AL2139" t="s">
        <v>324</v>
      </c>
      <c r="AM2139" t="s">
        <v>78</v>
      </c>
      <c r="AN2139" t="s">
        <v>78</v>
      </c>
      <c r="AO2139" t="s">
        <v>78</v>
      </c>
      <c r="AP2139" t="s">
        <v>163</v>
      </c>
      <c r="AQ2139">
        <v>3</v>
      </c>
      <c r="AR2139" t="s">
        <v>123</v>
      </c>
      <c r="AS2139" t="s">
        <v>124</v>
      </c>
      <c r="AT2139" t="s">
        <v>58</v>
      </c>
      <c r="AU2139" t="s">
        <v>68</v>
      </c>
      <c r="AV2139" t="s">
        <v>69</v>
      </c>
      <c r="AW2139" s="1">
        <v>20081</v>
      </c>
      <c r="AX2139">
        <v>2</v>
      </c>
    </row>
    <row r="2140" spans="1:50">
      <c r="A2140">
        <v>225948</v>
      </c>
      <c r="B2140" t="str">
        <f>"068089018"</f>
        <v>068089018</v>
      </c>
      <c r="C2140" t="s">
        <v>50</v>
      </c>
      <c r="D2140" t="s">
        <v>4396</v>
      </c>
      <c r="E2140" t="s">
        <v>714</v>
      </c>
      <c r="F2140" t="s">
        <v>95</v>
      </c>
      <c r="G2140" t="s">
        <v>221</v>
      </c>
      <c r="H2140" t="str">
        <f>"ΣΤΥΛΙΑΝΟΥ ΛΑΪΟΥ 18-20 ΑΤΤΙΚΗ"</f>
        <v>ΣΤΥΛΙΑΝΟΥ ΛΑΪΟΥ 18-20 ΑΤΤΙΚΗ</v>
      </c>
      <c r="I2140">
        <v>11524</v>
      </c>
      <c r="J2140">
        <v>2106918385</v>
      </c>
      <c r="K2140">
        <v>6979972699</v>
      </c>
      <c r="L2140">
        <v>6977044004</v>
      </c>
      <c r="M2140" t="s">
        <v>4397</v>
      </c>
      <c r="N2140" t="s">
        <v>478</v>
      </c>
      <c r="O2140" t="s">
        <v>479</v>
      </c>
      <c r="R2140" t="s">
        <v>57</v>
      </c>
      <c r="S2140">
        <v>4</v>
      </c>
      <c r="T2140">
        <v>1189</v>
      </c>
      <c r="U2140" s="1">
        <v>39813</v>
      </c>
      <c r="V2140" t="s">
        <v>123</v>
      </c>
      <c r="W2140" t="s">
        <v>124</v>
      </c>
      <c r="X2140" t="s">
        <v>58</v>
      </c>
      <c r="Y2140">
        <v>21</v>
      </c>
      <c r="Z2140" t="s">
        <v>59</v>
      </c>
      <c r="AA2140" t="s">
        <v>59</v>
      </c>
      <c r="AB2140" t="s">
        <v>59</v>
      </c>
      <c r="AC2140" t="s">
        <v>59</v>
      </c>
      <c r="AD2140" t="s">
        <v>59</v>
      </c>
      <c r="AF2140" s="1">
        <v>39843</v>
      </c>
      <c r="AG2140" t="s">
        <v>125</v>
      </c>
      <c r="AH2140" t="s">
        <v>126</v>
      </c>
      <c r="AI2140" t="str">
        <f>"1715010"</f>
        <v>1715010</v>
      </c>
      <c r="AJ2140" t="s">
        <v>812</v>
      </c>
      <c r="AK2140">
        <v>2893031193</v>
      </c>
      <c r="AL2140" t="s">
        <v>813</v>
      </c>
      <c r="AM2140" t="s">
        <v>78</v>
      </c>
      <c r="AN2140" t="s">
        <v>405</v>
      </c>
      <c r="AO2140" t="s">
        <v>805</v>
      </c>
      <c r="AP2140" t="s">
        <v>806</v>
      </c>
      <c r="AQ2140">
        <v>25</v>
      </c>
      <c r="AR2140" t="s">
        <v>123</v>
      </c>
      <c r="AS2140" t="s">
        <v>124</v>
      </c>
      <c r="AT2140" t="s">
        <v>58</v>
      </c>
      <c r="AU2140" t="s">
        <v>68</v>
      </c>
      <c r="AV2140" t="s">
        <v>69</v>
      </c>
      <c r="AW2140" s="1">
        <v>26919</v>
      </c>
      <c r="AX2140">
        <v>2</v>
      </c>
    </row>
    <row r="2141" spans="1:50">
      <c r="A2141">
        <v>164911</v>
      </c>
      <c r="B2141" t="str">
        <f>"042603650"</f>
        <v>042603650</v>
      </c>
      <c r="C2141" t="s">
        <v>105</v>
      </c>
      <c r="D2141" t="s">
        <v>4398</v>
      </c>
      <c r="E2141" t="s">
        <v>95</v>
      </c>
      <c r="F2141" t="s">
        <v>99</v>
      </c>
      <c r="G2141" t="s">
        <v>83</v>
      </c>
      <c r="H2141" t="str">
        <f>" "</f>
        <v xml:space="preserve"> </v>
      </c>
      <c r="J2141">
        <v>2810315594</v>
      </c>
      <c r="K2141">
        <v>6974042127</v>
      </c>
      <c r="M2141" t="s">
        <v>4399</v>
      </c>
      <c r="N2141" t="s">
        <v>176</v>
      </c>
      <c r="O2141" t="s">
        <v>177</v>
      </c>
      <c r="R2141" t="s">
        <v>57</v>
      </c>
      <c r="S2141">
        <v>14</v>
      </c>
      <c r="T2141">
        <v>161</v>
      </c>
      <c r="U2141" s="1">
        <v>33844</v>
      </c>
      <c r="V2141" t="s">
        <v>123</v>
      </c>
      <c r="W2141" t="s">
        <v>124</v>
      </c>
      <c r="X2141" t="s">
        <v>58</v>
      </c>
      <c r="Y2141">
        <v>18</v>
      </c>
      <c r="Z2141" t="s">
        <v>59</v>
      </c>
      <c r="AA2141" t="s">
        <v>59</v>
      </c>
      <c r="AB2141" t="s">
        <v>59</v>
      </c>
      <c r="AC2141" t="s">
        <v>59</v>
      </c>
      <c r="AD2141" t="s">
        <v>59</v>
      </c>
      <c r="AF2141" s="1">
        <v>33850</v>
      </c>
      <c r="AG2141" t="s">
        <v>148</v>
      </c>
      <c r="AH2141" t="s">
        <v>149</v>
      </c>
      <c r="AI2141" t="str">
        <f>"1751040"</f>
        <v>1751040</v>
      </c>
      <c r="AJ2141" t="s">
        <v>178</v>
      </c>
      <c r="AK2141">
        <v>2810252495</v>
      </c>
      <c r="AL2141" t="s">
        <v>179</v>
      </c>
      <c r="AM2141" t="s">
        <v>78</v>
      </c>
      <c r="AN2141" t="s">
        <v>78</v>
      </c>
      <c r="AO2141" t="s">
        <v>78</v>
      </c>
      <c r="AP2141" t="s">
        <v>141</v>
      </c>
      <c r="AQ2141">
        <v>3</v>
      </c>
      <c r="AR2141" t="s">
        <v>123</v>
      </c>
      <c r="AS2141" t="s">
        <v>124</v>
      </c>
      <c r="AT2141" t="s">
        <v>58</v>
      </c>
      <c r="AU2141" t="s">
        <v>68</v>
      </c>
      <c r="AV2141" t="s">
        <v>69</v>
      </c>
      <c r="AW2141" s="1">
        <v>23073</v>
      </c>
      <c r="AX2141">
        <v>2</v>
      </c>
    </row>
    <row r="2142" spans="1:50">
      <c r="A2142">
        <v>206506</v>
      </c>
      <c r="B2142" t="str">
        <f>"053144501"</f>
        <v>053144501</v>
      </c>
      <c r="C2142" t="s">
        <v>105</v>
      </c>
      <c r="D2142" t="s">
        <v>4398</v>
      </c>
      <c r="E2142" t="s">
        <v>53</v>
      </c>
      <c r="F2142" t="s">
        <v>1761</v>
      </c>
      <c r="G2142" t="s">
        <v>255</v>
      </c>
      <c r="H2142" t="str">
        <f>"ΠΑΡΟΔΟΣ ΗΛΙΑ ΗΛΙΟΥ 4 ΤΡΕΙΣ ΒΑΓΙΕΣ "</f>
        <v xml:space="preserve">ΠΑΡΟΔΟΣ ΗΛΙΑ ΗΛΙΟΥ 4 ΤΡΕΙΣ ΒΑΓΙΕΣ </v>
      </c>
      <c r="I2142">
        <v>71410</v>
      </c>
      <c r="J2142">
        <v>2810258357</v>
      </c>
      <c r="K2142">
        <v>6976891820</v>
      </c>
      <c r="N2142" t="s">
        <v>157</v>
      </c>
      <c r="O2142" t="s">
        <v>158</v>
      </c>
      <c r="R2142" t="s">
        <v>57</v>
      </c>
      <c r="S2142">
        <v>13</v>
      </c>
      <c r="T2142">
        <v>218</v>
      </c>
      <c r="U2142" s="1">
        <v>38596</v>
      </c>
      <c r="V2142" t="s">
        <v>123</v>
      </c>
      <c r="W2142" t="s">
        <v>124</v>
      </c>
      <c r="X2142" t="s">
        <v>58</v>
      </c>
      <c r="Y2142">
        <v>20</v>
      </c>
      <c r="Z2142" t="s">
        <v>59</v>
      </c>
      <c r="AA2142" t="s">
        <v>59</v>
      </c>
      <c r="AB2142" t="s">
        <v>59</v>
      </c>
      <c r="AC2142" t="s">
        <v>59</v>
      </c>
      <c r="AD2142" t="s">
        <v>59</v>
      </c>
      <c r="AF2142" s="1">
        <v>38600</v>
      </c>
      <c r="AG2142" t="s">
        <v>148</v>
      </c>
      <c r="AH2142" t="s">
        <v>149</v>
      </c>
      <c r="AI2142" t="str">
        <f>"1751041"</f>
        <v>1751041</v>
      </c>
      <c r="AJ2142" t="s">
        <v>353</v>
      </c>
      <c r="AK2142">
        <v>2810230207</v>
      </c>
      <c r="AL2142" t="s">
        <v>354</v>
      </c>
      <c r="AM2142" t="s">
        <v>78</v>
      </c>
      <c r="AN2142" t="s">
        <v>78</v>
      </c>
      <c r="AO2142" t="s">
        <v>78</v>
      </c>
      <c r="AP2142" t="s">
        <v>163</v>
      </c>
      <c r="AQ2142">
        <v>2</v>
      </c>
      <c r="AR2142" t="s">
        <v>123</v>
      </c>
      <c r="AS2142" t="s">
        <v>124</v>
      </c>
      <c r="AT2142" t="s">
        <v>58</v>
      </c>
      <c r="AU2142" t="s">
        <v>68</v>
      </c>
      <c r="AV2142" t="s">
        <v>357</v>
      </c>
      <c r="AW2142" s="1">
        <v>25472</v>
      </c>
      <c r="AX2142">
        <v>2</v>
      </c>
    </row>
    <row r="2143" spans="1:50">
      <c r="A2143">
        <v>147644</v>
      </c>
      <c r="B2143" t="str">
        <f>"046501856"</f>
        <v>046501856</v>
      </c>
      <c r="C2143" t="s">
        <v>50</v>
      </c>
      <c r="D2143" t="s">
        <v>4400</v>
      </c>
      <c r="E2143" t="s">
        <v>52</v>
      </c>
      <c r="F2143" t="s">
        <v>72</v>
      </c>
      <c r="G2143" t="s">
        <v>1644</v>
      </c>
      <c r="H2143" t="str">
        <f>"Λ.ΚΑΡΑΓΙΑΝΝΗ 1-3 ΗΡΑΚΛΕΙΟ"</f>
        <v>Λ.ΚΑΡΑΓΙΑΝΝΗ 1-3 ΗΡΑΚΛΕΙΟ</v>
      </c>
      <c r="I2143">
        <v>71306</v>
      </c>
      <c r="J2143">
        <v>2810346646</v>
      </c>
      <c r="K2143">
        <v>6977096829</v>
      </c>
      <c r="M2143" t="s">
        <v>4401</v>
      </c>
      <c r="N2143" t="s">
        <v>683</v>
      </c>
      <c r="O2143" t="s">
        <v>684</v>
      </c>
      <c r="R2143" t="s">
        <v>57</v>
      </c>
      <c r="S2143">
        <v>16</v>
      </c>
      <c r="T2143">
        <v>237</v>
      </c>
      <c r="U2143" s="1">
        <v>31293</v>
      </c>
      <c r="V2143" t="s">
        <v>123</v>
      </c>
      <c r="W2143" t="s">
        <v>124</v>
      </c>
      <c r="X2143" t="s">
        <v>58</v>
      </c>
      <c r="Y2143">
        <v>18</v>
      </c>
      <c r="Z2143" t="s">
        <v>59</v>
      </c>
      <c r="AA2143" t="s">
        <v>59</v>
      </c>
      <c r="AB2143" t="s">
        <v>59</v>
      </c>
      <c r="AC2143" t="s">
        <v>59</v>
      </c>
      <c r="AD2143" t="s">
        <v>59</v>
      </c>
      <c r="AF2143" s="1">
        <v>31303</v>
      </c>
      <c r="AG2143" t="s">
        <v>125</v>
      </c>
      <c r="AH2143" t="s">
        <v>126</v>
      </c>
      <c r="AI2143" t="str">
        <f>"1701010"</f>
        <v>1701010</v>
      </c>
      <c r="AJ2143" t="s">
        <v>374</v>
      </c>
      <c r="AK2143">
        <v>2810227148</v>
      </c>
      <c r="AL2143" t="s">
        <v>375</v>
      </c>
      <c r="AM2143" t="s">
        <v>78</v>
      </c>
      <c r="AN2143" t="s">
        <v>78</v>
      </c>
      <c r="AO2143" t="s">
        <v>78</v>
      </c>
      <c r="AP2143" t="s">
        <v>79</v>
      </c>
      <c r="AQ2143">
        <v>1</v>
      </c>
      <c r="AR2143" t="s">
        <v>123</v>
      </c>
      <c r="AS2143" t="s">
        <v>124</v>
      </c>
      <c r="AT2143" t="s">
        <v>58</v>
      </c>
      <c r="AU2143" t="s">
        <v>68</v>
      </c>
      <c r="AV2143" t="s">
        <v>69</v>
      </c>
      <c r="AW2143" s="1">
        <v>20531</v>
      </c>
      <c r="AX2143">
        <v>2</v>
      </c>
    </row>
    <row r="2144" spans="1:50">
      <c r="A2144">
        <v>220098</v>
      </c>
      <c r="B2144" t="str">
        <f>"110119593"</f>
        <v>110119593</v>
      </c>
      <c r="C2144" t="s">
        <v>50</v>
      </c>
      <c r="D2144" t="s">
        <v>4402</v>
      </c>
      <c r="E2144" t="s">
        <v>1718</v>
      </c>
      <c r="F2144" t="s">
        <v>995</v>
      </c>
      <c r="G2144" t="s">
        <v>255</v>
      </c>
      <c r="H2144" t="str">
        <f>" "</f>
        <v xml:space="preserve"> </v>
      </c>
      <c r="J2144">
        <v>2810239804</v>
      </c>
      <c r="K2144">
        <v>6946152627</v>
      </c>
      <c r="N2144" t="s">
        <v>907</v>
      </c>
      <c r="O2144" t="s">
        <v>908</v>
      </c>
      <c r="R2144" t="s">
        <v>57</v>
      </c>
      <c r="S2144">
        <v>7</v>
      </c>
      <c r="T2144">
        <v>599</v>
      </c>
      <c r="U2144" s="1">
        <v>39310</v>
      </c>
      <c r="V2144" t="s">
        <v>123</v>
      </c>
      <c r="W2144" t="s">
        <v>124</v>
      </c>
      <c r="X2144" t="s">
        <v>58</v>
      </c>
      <c r="Y2144">
        <v>20</v>
      </c>
      <c r="Z2144" t="s">
        <v>59</v>
      </c>
      <c r="AA2144" t="s">
        <v>59</v>
      </c>
      <c r="AB2144" t="s">
        <v>59</v>
      </c>
      <c r="AC2144" t="s">
        <v>59</v>
      </c>
      <c r="AD2144" t="s">
        <v>59</v>
      </c>
      <c r="AF2144" s="1">
        <v>39329</v>
      </c>
      <c r="AG2144" t="s">
        <v>137</v>
      </c>
      <c r="AH2144" t="s">
        <v>138</v>
      </c>
      <c r="AI2144" t="str">
        <f>"1740070"</f>
        <v>1740070</v>
      </c>
      <c r="AJ2144" t="s">
        <v>206</v>
      </c>
      <c r="AK2144">
        <v>2810324880</v>
      </c>
      <c r="AL2144" t="s">
        <v>207</v>
      </c>
      <c r="AM2144" t="s">
        <v>78</v>
      </c>
      <c r="AN2144" t="s">
        <v>78</v>
      </c>
      <c r="AO2144" t="s">
        <v>78</v>
      </c>
      <c r="AP2144" t="s">
        <v>163</v>
      </c>
      <c r="AQ2144">
        <v>9</v>
      </c>
      <c r="AR2144" t="s">
        <v>123</v>
      </c>
      <c r="AS2144" t="s">
        <v>124</v>
      </c>
      <c r="AT2144" t="s">
        <v>58</v>
      </c>
      <c r="AU2144" t="s">
        <v>68</v>
      </c>
      <c r="AV2144" t="s">
        <v>69</v>
      </c>
      <c r="AW2144" s="1">
        <v>24108</v>
      </c>
      <c r="AX2144">
        <v>2</v>
      </c>
    </row>
    <row r="2145" spans="1:50">
      <c r="A2145">
        <v>700924</v>
      </c>
      <c r="B2145" t="str">
        <f>"300306207"</f>
        <v>300306207</v>
      </c>
      <c r="C2145" t="s">
        <v>105</v>
      </c>
      <c r="D2145" t="s">
        <v>4403</v>
      </c>
      <c r="E2145" t="s">
        <v>99</v>
      </c>
      <c r="F2145" t="s">
        <v>1890</v>
      </c>
      <c r="G2145" t="s">
        <v>155</v>
      </c>
      <c r="H2145" t="str">
        <f>"ΑΘΑΝΑΣΙΟΥ ΑΡΓΥΡΟΥ 54Α ΣΕΡΡΕΣ"</f>
        <v>ΑΘΑΝΑΣΙΟΥ ΑΡΓΥΡΟΥ 54Α ΣΕΡΡΕΣ</v>
      </c>
      <c r="I2145">
        <v>62100</v>
      </c>
      <c r="K2145">
        <v>6998481594</v>
      </c>
      <c r="M2145" t="s">
        <v>4404</v>
      </c>
      <c r="N2145" t="s">
        <v>292</v>
      </c>
      <c r="O2145" t="s">
        <v>293</v>
      </c>
      <c r="R2145" t="s">
        <v>57</v>
      </c>
      <c r="S2145">
        <v>4</v>
      </c>
      <c r="T2145">
        <v>772</v>
      </c>
      <c r="U2145" s="1">
        <v>40413</v>
      </c>
      <c r="V2145" t="s">
        <v>123</v>
      </c>
      <c r="W2145" t="s">
        <v>124</v>
      </c>
      <c r="X2145" t="s">
        <v>58</v>
      </c>
      <c r="Y2145">
        <v>21</v>
      </c>
      <c r="Z2145" t="s">
        <v>59</v>
      </c>
      <c r="AA2145" t="s">
        <v>59</v>
      </c>
      <c r="AB2145" t="s">
        <v>452</v>
      </c>
      <c r="AC2145" t="s">
        <v>59</v>
      </c>
      <c r="AD2145" t="s">
        <v>59</v>
      </c>
      <c r="AF2145" s="1">
        <v>40414</v>
      </c>
      <c r="AG2145" t="s">
        <v>148</v>
      </c>
      <c r="AH2145" t="s">
        <v>149</v>
      </c>
      <c r="AI2145" t="str">
        <f>"1756010"</f>
        <v>1756010</v>
      </c>
      <c r="AJ2145" t="s">
        <v>874</v>
      </c>
      <c r="AK2145">
        <v>2892022976</v>
      </c>
      <c r="AL2145" t="s">
        <v>875</v>
      </c>
      <c r="AM2145" t="s">
        <v>78</v>
      </c>
      <c r="AN2145" t="s">
        <v>242</v>
      </c>
      <c r="AO2145" t="s">
        <v>243</v>
      </c>
      <c r="AP2145" t="s">
        <v>243</v>
      </c>
      <c r="AQ2145">
        <v>33</v>
      </c>
      <c r="AR2145" t="s">
        <v>123</v>
      </c>
      <c r="AS2145" t="s">
        <v>124</v>
      </c>
      <c r="AT2145" t="s">
        <v>58</v>
      </c>
      <c r="AU2145" t="s">
        <v>68</v>
      </c>
      <c r="AV2145" t="s">
        <v>69</v>
      </c>
      <c r="AW2145" s="1">
        <v>29150</v>
      </c>
      <c r="AX2145">
        <v>2</v>
      </c>
    </row>
    <row r="2146" spans="1:50">
      <c r="B2146" t="str">
        <f>"072770321"</f>
        <v>072770321</v>
      </c>
      <c r="C2146" t="s">
        <v>50</v>
      </c>
      <c r="D2146" t="s">
        <v>4405</v>
      </c>
      <c r="E2146" t="s">
        <v>250</v>
      </c>
      <c r="F2146" t="s">
        <v>166</v>
      </c>
      <c r="G2146" t="s">
        <v>316</v>
      </c>
      <c r="H2146" t="str">
        <f>"ΚΑΝΤΑΝΟΥ 34 ΗΡΑΚΛΕΙΟ"</f>
        <v>ΚΑΝΤΑΝΟΥ 34 ΗΡΑΚΛΕΙΟ</v>
      </c>
      <c r="I2146">
        <v>71303</v>
      </c>
      <c r="J2146">
        <v>2810261375</v>
      </c>
      <c r="K2146">
        <v>6936134180</v>
      </c>
      <c r="M2146" t="s">
        <v>4406</v>
      </c>
      <c r="N2146" t="s">
        <v>146</v>
      </c>
      <c r="O2146" t="s">
        <v>147</v>
      </c>
      <c r="R2146" t="s">
        <v>159</v>
      </c>
      <c r="S2146">
        <v>3</v>
      </c>
      <c r="T2146" t="s">
        <v>160</v>
      </c>
      <c r="U2146" s="1">
        <v>43364</v>
      </c>
      <c r="V2146" t="s">
        <v>123</v>
      </c>
      <c r="W2146" t="s">
        <v>124</v>
      </c>
      <c r="X2146" t="s">
        <v>58</v>
      </c>
      <c r="Y2146">
        <v>23</v>
      </c>
      <c r="Z2146" t="s">
        <v>59</v>
      </c>
      <c r="AA2146" t="s">
        <v>59</v>
      </c>
      <c r="AB2146" t="s">
        <v>59</v>
      </c>
      <c r="AC2146" t="s">
        <v>59</v>
      </c>
      <c r="AD2146" t="s">
        <v>59</v>
      </c>
      <c r="AF2146" s="1">
        <v>43367</v>
      </c>
      <c r="AG2146" t="s">
        <v>125</v>
      </c>
      <c r="AH2146" t="s">
        <v>126</v>
      </c>
      <c r="AI2146" t="str">
        <f>"1705010"</f>
        <v>1705010</v>
      </c>
      <c r="AJ2146" t="s">
        <v>2311</v>
      </c>
      <c r="AK2146">
        <v>2891031232</v>
      </c>
      <c r="AL2146" t="s">
        <v>2312</v>
      </c>
      <c r="AM2146" t="s">
        <v>78</v>
      </c>
      <c r="AN2146" t="s">
        <v>276</v>
      </c>
      <c r="AO2146" t="s">
        <v>277</v>
      </c>
      <c r="AP2146" t="s">
        <v>277</v>
      </c>
      <c r="AQ2146">
        <v>17</v>
      </c>
      <c r="AR2146" t="s">
        <v>123</v>
      </c>
      <c r="AS2146" t="s">
        <v>124</v>
      </c>
      <c r="AT2146" t="s">
        <v>58</v>
      </c>
      <c r="AU2146" t="s">
        <v>164</v>
      </c>
      <c r="AV2146" t="s">
        <v>132</v>
      </c>
      <c r="AW2146" s="1">
        <v>25898</v>
      </c>
      <c r="AX2146">
        <v>2</v>
      </c>
    </row>
    <row r="2147" spans="1:50">
      <c r="A2147">
        <v>212544</v>
      </c>
      <c r="B2147" t="str">
        <f>"064117135"</f>
        <v>064117135</v>
      </c>
      <c r="C2147" t="s">
        <v>50</v>
      </c>
      <c r="D2147" t="s">
        <v>113</v>
      </c>
      <c r="E2147" t="s">
        <v>2876</v>
      </c>
      <c r="F2147" t="s">
        <v>99</v>
      </c>
      <c r="G2147" t="s">
        <v>845</v>
      </c>
      <c r="H2147" t="str">
        <f>"ΠΑΡΟΔΟΣ ΠΟΛΥΤΕΧΝΕΙΟΥ ΒΑΣΙΛΕΙΕΣ"</f>
        <v>ΠΑΡΟΔΟΣ ΠΟΛΥΤΕΧΝΕΙΟΥ ΒΑΣΙΛΕΙΕΣ</v>
      </c>
      <c r="I2147">
        <v>71500</v>
      </c>
      <c r="J2147">
        <v>2810881887</v>
      </c>
      <c r="K2147">
        <v>6947940293</v>
      </c>
      <c r="M2147" t="s">
        <v>4407</v>
      </c>
      <c r="N2147" t="s">
        <v>146</v>
      </c>
      <c r="O2147" t="s">
        <v>147</v>
      </c>
      <c r="R2147" t="s">
        <v>57</v>
      </c>
      <c r="S2147">
        <v>6</v>
      </c>
      <c r="T2147">
        <v>231</v>
      </c>
      <c r="U2147" s="1">
        <v>38960</v>
      </c>
      <c r="V2147" t="s">
        <v>123</v>
      </c>
      <c r="W2147" t="s">
        <v>124</v>
      </c>
      <c r="X2147" t="s">
        <v>58</v>
      </c>
      <c r="Y2147">
        <v>20</v>
      </c>
      <c r="Z2147" t="s">
        <v>59</v>
      </c>
      <c r="AA2147" t="s">
        <v>59</v>
      </c>
      <c r="AB2147" t="s">
        <v>59</v>
      </c>
      <c r="AC2147" t="s">
        <v>59</v>
      </c>
      <c r="AD2147" t="s">
        <v>59</v>
      </c>
      <c r="AF2147" s="1">
        <v>38961</v>
      </c>
      <c r="AG2147" t="s">
        <v>137</v>
      </c>
      <c r="AH2147" t="s">
        <v>138</v>
      </c>
      <c r="AI2147" t="str">
        <f>"1750080"</f>
        <v>1750080</v>
      </c>
      <c r="AJ2147" t="s">
        <v>170</v>
      </c>
      <c r="AK2147">
        <v>2810234444</v>
      </c>
      <c r="AL2147" t="s">
        <v>171</v>
      </c>
      <c r="AM2147" t="s">
        <v>78</v>
      </c>
      <c r="AN2147" t="s">
        <v>78</v>
      </c>
      <c r="AO2147" t="s">
        <v>78</v>
      </c>
      <c r="AP2147" t="s">
        <v>163</v>
      </c>
      <c r="AQ2147">
        <v>9</v>
      </c>
      <c r="AR2147" t="s">
        <v>123</v>
      </c>
      <c r="AS2147" t="s">
        <v>124</v>
      </c>
      <c r="AT2147" t="s">
        <v>58</v>
      </c>
      <c r="AU2147" t="s">
        <v>68</v>
      </c>
      <c r="AV2147" t="s">
        <v>69</v>
      </c>
      <c r="AW2147" s="1">
        <v>26725</v>
      </c>
      <c r="AX2147">
        <v>2</v>
      </c>
    </row>
    <row r="2148" spans="1:50">
      <c r="A2148">
        <v>197607</v>
      </c>
      <c r="B2148" t="str">
        <f>"044813021"</f>
        <v>044813021</v>
      </c>
      <c r="C2148" t="s">
        <v>50</v>
      </c>
      <c r="D2148" t="s">
        <v>113</v>
      </c>
      <c r="E2148" t="s">
        <v>52</v>
      </c>
      <c r="F2148" t="s">
        <v>900</v>
      </c>
      <c r="G2148" t="s">
        <v>566</v>
      </c>
      <c r="H2148" t="str">
        <f>"ΦΟΙΝΙΚΟΣ 8 ΗΡΑΚΛΕΙΟ"</f>
        <v>ΦΟΙΝΙΚΟΣ 8 ΗΡΑΚΛΕΙΟ</v>
      </c>
      <c r="I2148">
        <v>71305</v>
      </c>
      <c r="J2148">
        <v>2810259100</v>
      </c>
      <c r="K2148">
        <v>6950843274</v>
      </c>
      <c r="M2148" t="s">
        <v>4408</v>
      </c>
      <c r="N2148" t="s">
        <v>146</v>
      </c>
      <c r="O2148" t="s">
        <v>147</v>
      </c>
      <c r="R2148" t="s">
        <v>57</v>
      </c>
      <c r="S2148">
        <v>7</v>
      </c>
      <c r="T2148">
        <v>206</v>
      </c>
      <c r="U2148" s="1">
        <v>37866</v>
      </c>
      <c r="V2148" t="s">
        <v>123</v>
      </c>
      <c r="W2148" t="s">
        <v>124</v>
      </c>
      <c r="X2148" t="s">
        <v>58</v>
      </c>
      <c r="Y2148">
        <v>20</v>
      </c>
      <c r="Z2148" t="s">
        <v>59</v>
      </c>
      <c r="AA2148" t="s">
        <v>59</v>
      </c>
      <c r="AB2148" t="s">
        <v>59</v>
      </c>
      <c r="AC2148" t="s">
        <v>59</v>
      </c>
      <c r="AD2148" t="s">
        <v>59</v>
      </c>
      <c r="AF2148" s="1">
        <v>37866</v>
      </c>
      <c r="AG2148" t="s">
        <v>148</v>
      </c>
      <c r="AH2148" t="s">
        <v>149</v>
      </c>
      <c r="AI2148" t="str">
        <f>"1759010"</f>
        <v>1759010</v>
      </c>
      <c r="AJ2148" t="s">
        <v>403</v>
      </c>
      <c r="AK2148">
        <v>2894022127</v>
      </c>
      <c r="AL2148" t="s">
        <v>404</v>
      </c>
      <c r="AM2148" t="s">
        <v>78</v>
      </c>
      <c r="AN2148" t="s">
        <v>405</v>
      </c>
      <c r="AO2148" t="s">
        <v>406</v>
      </c>
      <c r="AP2148" t="s">
        <v>406</v>
      </c>
      <c r="AQ2148">
        <v>30</v>
      </c>
      <c r="AR2148" t="s">
        <v>123</v>
      </c>
      <c r="AS2148" t="s">
        <v>124</v>
      </c>
      <c r="AT2148" t="s">
        <v>58</v>
      </c>
      <c r="AU2148" t="s">
        <v>68</v>
      </c>
      <c r="AV2148" t="s">
        <v>69</v>
      </c>
      <c r="AW2148" s="1">
        <v>24809</v>
      </c>
      <c r="AX2148">
        <v>2</v>
      </c>
    </row>
    <row r="2149" spans="1:50">
      <c r="B2149" t="str">
        <f>"047260126"</f>
        <v>047260126</v>
      </c>
      <c r="C2149" t="s">
        <v>50</v>
      </c>
      <c r="D2149" t="s">
        <v>113</v>
      </c>
      <c r="E2149" t="s">
        <v>1179</v>
      </c>
      <c r="F2149" t="s">
        <v>72</v>
      </c>
      <c r="G2149" t="s">
        <v>1235</v>
      </c>
      <c r="H2149" t="str">
        <f>"ΓΡΕΒΕΝΩΝ 19 ΗΡΑΚΛΕΙΟ"</f>
        <v>ΓΡΕΒΕΝΩΝ 19 ΗΡΑΚΛΕΙΟ</v>
      </c>
      <c r="I2149">
        <v>71202</v>
      </c>
      <c r="J2149">
        <v>2810282671</v>
      </c>
      <c r="K2149">
        <v>6955065034</v>
      </c>
      <c r="M2149" t="s">
        <v>4409</v>
      </c>
      <c r="N2149" t="s">
        <v>292</v>
      </c>
      <c r="O2149" t="s">
        <v>293</v>
      </c>
      <c r="R2149" t="s">
        <v>159</v>
      </c>
      <c r="S2149">
        <v>3</v>
      </c>
      <c r="T2149" t="s">
        <v>160</v>
      </c>
      <c r="U2149" s="1">
        <v>43364</v>
      </c>
      <c r="V2149" t="s">
        <v>123</v>
      </c>
      <c r="W2149" t="s">
        <v>124</v>
      </c>
      <c r="X2149" t="s">
        <v>58</v>
      </c>
      <c r="Y2149">
        <v>23</v>
      </c>
      <c r="Z2149" t="s">
        <v>59</v>
      </c>
      <c r="AA2149" t="s">
        <v>59</v>
      </c>
      <c r="AB2149" t="s">
        <v>59</v>
      </c>
      <c r="AC2149" t="s">
        <v>59</v>
      </c>
      <c r="AD2149" t="s">
        <v>59</v>
      </c>
      <c r="AF2149" s="1">
        <v>43367</v>
      </c>
      <c r="AG2149" t="s">
        <v>125</v>
      </c>
      <c r="AH2149" t="s">
        <v>126</v>
      </c>
      <c r="AI2149" t="str">
        <f>"1715010"</f>
        <v>1715010</v>
      </c>
      <c r="AJ2149" t="s">
        <v>812</v>
      </c>
      <c r="AK2149">
        <v>2893031193</v>
      </c>
      <c r="AL2149" t="s">
        <v>813</v>
      </c>
      <c r="AM2149" t="s">
        <v>78</v>
      </c>
      <c r="AN2149" t="s">
        <v>405</v>
      </c>
      <c r="AO2149" t="s">
        <v>805</v>
      </c>
      <c r="AP2149" t="s">
        <v>806</v>
      </c>
      <c r="AQ2149">
        <v>25</v>
      </c>
      <c r="AR2149" t="s">
        <v>123</v>
      </c>
      <c r="AS2149" t="s">
        <v>124</v>
      </c>
      <c r="AT2149" t="s">
        <v>58</v>
      </c>
      <c r="AU2149" t="s">
        <v>164</v>
      </c>
      <c r="AV2149" t="s">
        <v>132</v>
      </c>
      <c r="AW2149" s="1">
        <v>25726</v>
      </c>
      <c r="AX2149">
        <v>2</v>
      </c>
    </row>
    <row r="2150" spans="1:50">
      <c r="A2150">
        <v>192832</v>
      </c>
      <c r="B2150" t="str">
        <f>"044803469"</f>
        <v>044803469</v>
      </c>
      <c r="C2150" t="s">
        <v>105</v>
      </c>
      <c r="D2150" t="s">
        <v>4410</v>
      </c>
      <c r="E2150" t="s">
        <v>84</v>
      </c>
      <c r="F2150" t="s">
        <v>166</v>
      </c>
      <c r="G2150" t="s">
        <v>52</v>
      </c>
      <c r="H2150" t="str">
        <f>"ΕΥΑΓΓΕΛΙΣΜΟΥ 8 ΗΡΑΚΛΕΙΟΥ"</f>
        <v>ΕΥΑΓΓΕΛΙΣΜΟΥ 8 ΗΡΑΚΛΕΙΟΥ</v>
      </c>
      <c r="I2150">
        <v>71409</v>
      </c>
      <c r="J2150">
        <v>2810320838</v>
      </c>
      <c r="K2150">
        <v>6932774624</v>
      </c>
      <c r="L2150">
        <v>2893031286</v>
      </c>
      <c r="M2150" t="s">
        <v>4411</v>
      </c>
      <c r="N2150" t="s">
        <v>157</v>
      </c>
      <c r="O2150" t="s">
        <v>158</v>
      </c>
      <c r="R2150" t="s">
        <v>57</v>
      </c>
      <c r="S2150">
        <v>11</v>
      </c>
      <c r="T2150">
        <v>193</v>
      </c>
      <c r="U2150" s="1">
        <v>37497</v>
      </c>
      <c r="V2150" t="s">
        <v>123</v>
      </c>
      <c r="W2150" t="s">
        <v>124</v>
      </c>
      <c r="X2150" t="s">
        <v>58</v>
      </c>
      <c r="Y2150">
        <v>18</v>
      </c>
      <c r="Z2150" t="s">
        <v>59</v>
      </c>
      <c r="AA2150" t="s">
        <v>59</v>
      </c>
      <c r="AB2150" t="s">
        <v>59</v>
      </c>
      <c r="AC2150" t="s">
        <v>59</v>
      </c>
      <c r="AD2150" t="s">
        <v>59</v>
      </c>
      <c r="AF2150" s="1">
        <v>37501</v>
      </c>
      <c r="AG2150" t="s">
        <v>148</v>
      </c>
      <c r="AH2150" t="s">
        <v>149</v>
      </c>
      <c r="AI2150" t="str">
        <f>"1751030"</f>
        <v>1751030</v>
      </c>
      <c r="AJ2150" t="s">
        <v>234</v>
      </c>
      <c r="AK2150">
        <v>2810282911</v>
      </c>
      <c r="AL2150" t="s">
        <v>235</v>
      </c>
      <c r="AM2150" t="s">
        <v>78</v>
      </c>
      <c r="AN2150" t="s">
        <v>78</v>
      </c>
      <c r="AO2150" t="s">
        <v>78</v>
      </c>
      <c r="AP2150" t="s">
        <v>163</v>
      </c>
      <c r="AQ2150">
        <v>1</v>
      </c>
      <c r="AR2150" t="s">
        <v>123</v>
      </c>
      <c r="AS2150" t="s">
        <v>124</v>
      </c>
      <c r="AT2150" t="s">
        <v>58</v>
      </c>
      <c r="AU2150" t="s">
        <v>68</v>
      </c>
      <c r="AV2150" t="s">
        <v>69</v>
      </c>
      <c r="AW2150" s="1">
        <v>23458</v>
      </c>
      <c r="AX2150">
        <v>2</v>
      </c>
    </row>
    <row r="2151" spans="1:50">
      <c r="A2151">
        <v>212545</v>
      </c>
      <c r="B2151" t="str">
        <f>"077115690"</f>
        <v>077115690</v>
      </c>
      <c r="C2151" t="s">
        <v>50</v>
      </c>
      <c r="D2151" t="s">
        <v>4412</v>
      </c>
      <c r="E2151" t="s">
        <v>96</v>
      </c>
      <c r="F2151" t="s">
        <v>609</v>
      </c>
      <c r="G2151" t="s">
        <v>905</v>
      </c>
      <c r="H2151" t="str">
        <f>"ΣΟΡΒΟΛΟΥ 14  ΗΡΑΚΛΕΙΟ"</f>
        <v>ΣΟΡΒΟΛΟΥ 14  ΗΡΑΚΛΕΙΟ</v>
      </c>
      <c r="I2151">
        <v>71305</v>
      </c>
      <c r="J2151">
        <v>2810311202</v>
      </c>
      <c r="K2151">
        <v>6942290849</v>
      </c>
      <c r="M2151" t="s">
        <v>4413</v>
      </c>
      <c r="N2151" t="s">
        <v>146</v>
      </c>
      <c r="O2151" t="s">
        <v>147</v>
      </c>
      <c r="R2151" t="s">
        <v>57</v>
      </c>
      <c r="S2151">
        <v>6</v>
      </c>
      <c r="T2151">
        <v>231</v>
      </c>
      <c r="U2151" s="1">
        <v>38960</v>
      </c>
      <c r="V2151" t="s">
        <v>123</v>
      </c>
      <c r="W2151" t="s">
        <v>124</v>
      </c>
      <c r="X2151" t="s">
        <v>58</v>
      </c>
      <c r="Y2151">
        <v>20</v>
      </c>
      <c r="Z2151" t="s">
        <v>59</v>
      </c>
      <c r="AA2151" t="s">
        <v>59</v>
      </c>
      <c r="AB2151" t="s">
        <v>59</v>
      </c>
      <c r="AC2151" t="s">
        <v>59</v>
      </c>
      <c r="AD2151" t="s">
        <v>59</v>
      </c>
      <c r="AF2151" s="1">
        <v>38961</v>
      </c>
      <c r="AG2151" t="s">
        <v>125</v>
      </c>
      <c r="AH2151" t="s">
        <v>126</v>
      </c>
      <c r="AI2151" t="str">
        <f>"1701055"</f>
        <v>1701055</v>
      </c>
      <c r="AJ2151" t="s">
        <v>301</v>
      </c>
      <c r="AK2151">
        <v>2810257353</v>
      </c>
      <c r="AL2151" t="s">
        <v>302</v>
      </c>
      <c r="AM2151" t="s">
        <v>78</v>
      </c>
      <c r="AN2151" t="s">
        <v>78</v>
      </c>
      <c r="AO2151" t="s">
        <v>78</v>
      </c>
      <c r="AP2151" t="s">
        <v>141</v>
      </c>
      <c r="AQ2151">
        <v>7</v>
      </c>
      <c r="AR2151" t="s">
        <v>123</v>
      </c>
      <c r="AS2151" t="s">
        <v>124</v>
      </c>
      <c r="AT2151" t="s">
        <v>58</v>
      </c>
      <c r="AU2151" t="s">
        <v>68</v>
      </c>
      <c r="AV2151" t="s">
        <v>69</v>
      </c>
      <c r="AW2151" s="1">
        <v>27745</v>
      </c>
      <c r="AX2151">
        <v>2</v>
      </c>
    </row>
    <row r="2152" spans="1:50">
      <c r="A2152">
        <v>195461</v>
      </c>
      <c r="B2152" t="str">
        <f>"051129526"</f>
        <v>051129526</v>
      </c>
      <c r="C2152" t="s">
        <v>105</v>
      </c>
      <c r="D2152" t="s">
        <v>4414</v>
      </c>
      <c r="E2152" t="s">
        <v>166</v>
      </c>
      <c r="F2152" t="s">
        <v>383</v>
      </c>
      <c r="G2152" t="s">
        <v>237</v>
      </c>
      <c r="H2152" t="str">
        <f>"ΔΕΛΒΗΝΑΚΙΟΥ 7 ΗΡΑΚΛΕΙΟ"</f>
        <v>ΔΕΛΒΗΝΑΚΙΟΥ 7 ΗΡΑΚΛΕΙΟ</v>
      </c>
      <c r="I2152">
        <v>71409</v>
      </c>
      <c r="J2152">
        <v>2810327544</v>
      </c>
      <c r="K2152">
        <v>6974600359</v>
      </c>
      <c r="M2152" t="s">
        <v>4415</v>
      </c>
      <c r="N2152" t="s">
        <v>146</v>
      </c>
      <c r="O2152" t="s">
        <v>147</v>
      </c>
      <c r="R2152" t="s">
        <v>57</v>
      </c>
      <c r="S2152">
        <v>8</v>
      </c>
      <c r="T2152">
        <v>194</v>
      </c>
      <c r="U2152" s="1">
        <v>37497</v>
      </c>
      <c r="V2152" t="s">
        <v>123</v>
      </c>
      <c r="W2152" t="s">
        <v>124</v>
      </c>
      <c r="X2152" t="s">
        <v>58</v>
      </c>
      <c r="Y2152">
        <v>20</v>
      </c>
      <c r="Z2152" t="s">
        <v>59</v>
      </c>
      <c r="AA2152" t="s">
        <v>59</v>
      </c>
      <c r="AB2152" t="s">
        <v>59</v>
      </c>
      <c r="AC2152" t="s">
        <v>59</v>
      </c>
      <c r="AD2152" t="s">
        <v>59</v>
      </c>
      <c r="AF2152" s="1">
        <v>37501</v>
      </c>
      <c r="AG2152" t="s">
        <v>148</v>
      </c>
      <c r="AH2152" t="s">
        <v>149</v>
      </c>
      <c r="AI2152" t="str">
        <f>"1751041"</f>
        <v>1751041</v>
      </c>
      <c r="AJ2152" t="s">
        <v>353</v>
      </c>
      <c r="AK2152">
        <v>2810230207</v>
      </c>
      <c r="AL2152" t="s">
        <v>354</v>
      </c>
      <c r="AM2152" t="s">
        <v>78</v>
      </c>
      <c r="AN2152" t="s">
        <v>78</v>
      </c>
      <c r="AO2152" t="s">
        <v>78</v>
      </c>
      <c r="AP2152" t="s">
        <v>163</v>
      </c>
      <c r="AQ2152">
        <v>2</v>
      </c>
      <c r="AR2152" t="s">
        <v>123</v>
      </c>
      <c r="AS2152" t="s">
        <v>124</v>
      </c>
      <c r="AT2152" t="s">
        <v>58</v>
      </c>
      <c r="AU2152" t="s">
        <v>68</v>
      </c>
      <c r="AV2152" t="s">
        <v>69</v>
      </c>
      <c r="AW2152" s="1">
        <v>23823</v>
      </c>
      <c r="AX2152">
        <v>2</v>
      </c>
    </row>
    <row r="2153" spans="1:50">
      <c r="A2153">
        <v>701830</v>
      </c>
      <c r="B2153" t="str">
        <f>"054147562"</f>
        <v>054147562</v>
      </c>
      <c r="C2153" t="s">
        <v>50</v>
      </c>
      <c r="D2153" t="s">
        <v>4416</v>
      </c>
      <c r="E2153" t="s">
        <v>476</v>
      </c>
      <c r="F2153" t="s">
        <v>383</v>
      </c>
      <c r="G2153" t="s">
        <v>237</v>
      </c>
      <c r="H2153" t="str">
        <f>"ΙΔΟΜΕΝΕΩΣ 4 ΠΡΑΣΣΑ ΠΡΑΣΣΑΣ ΝΕΑΣ ΑΛΙΚΑΡΝΑΣΣΟΥ"</f>
        <v>ΙΔΟΜΕΝΕΩΣ 4 ΠΡΑΣΣΑ ΠΡΑΣΣΑΣ ΝΕΑΣ ΑΛΙΚΑΡΝΑΣΣΟΥ</v>
      </c>
      <c r="I2153">
        <v>71601</v>
      </c>
      <c r="J2153">
        <v>2810343999</v>
      </c>
      <c r="K2153">
        <v>6947303480</v>
      </c>
      <c r="M2153" t="s">
        <v>4417</v>
      </c>
      <c r="N2153" t="s">
        <v>146</v>
      </c>
      <c r="O2153" t="s">
        <v>147</v>
      </c>
      <c r="R2153" t="s">
        <v>57</v>
      </c>
      <c r="S2153">
        <v>6</v>
      </c>
      <c r="T2153">
        <v>772</v>
      </c>
      <c r="U2153" s="1">
        <v>40413</v>
      </c>
      <c r="V2153" t="s">
        <v>123</v>
      </c>
      <c r="W2153" t="s">
        <v>124</v>
      </c>
      <c r="X2153" t="s">
        <v>58</v>
      </c>
      <c r="Y2153">
        <v>21</v>
      </c>
      <c r="Z2153" t="s">
        <v>59</v>
      </c>
      <c r="AA2153" t="s">
        <v>59</v>
      </c>
      <c r="AB2153" t="s">
        <v>59</v>
      </c>
      <c r="AC2153" t="s">
        <v>59</v>
      </c>
      <c r="AD2153" t="s">
        <v>59</v>
      </c>
      <c r="AF2153" s="1">
        <v>40413</v>
      </c>
      <c r="AG2153" t="s">
        <v>125</v>
      </c>
      <c r="AH2153" t="s">
        <v>386</v>
      </c>
      <c r="AI2153" t="str">
        <f>"1741002"</f>
        <v>1741002</v>
      </c>
      <c r="AJ2153" t="s">
        <v>387</v>
      </c>
      <c r="AK2153">
        <v>2810762610</v>
      </c>
      <c r="AL2153" t="s">
        <v>388</v>
      </c>
      <c r="AM2153" t="s">
        <v>78</v>
      </c>
      <c r="AN2153" t="s">
        <v>219</v>
      </c>
      <c r="AO2153" t="s">
        <v>297</v>
      </c>
      <c r="AP2153" t="s">
        <v>297</v>
      </c>
      <c r="AQ2153">
        <v>10</v>
      </c>
      <c r="AR2153" t="s">
        <v>123</v>
      </c>
      <c r="AS2153" t="s">
        <v>124</v>
      </c>
      <c r="AT2153" t="s">
        <v>58</v>
      </c>
      <c r="AU2153" t="s">
        <v>68</v>
      </c>
      <c r="AV2153" t="s">
        <v>69</v>
      </c>
      <c r="AW2153" s="1">
        <v>25888</v>
      </c>
      <c r="AX2153">
        <v>2</v>
      </c>
    </row>
    <row r="2154" spans="1:50">
      <c r="A2154">
        <v>193349</v>
      </c>
      <c r="B2154" t="str">
        <f>"035267173"</f>
        <v>035267173</v>
      </c>
      <c r="C2154" t="s">
        <v>50</v>
      </c>
      <c r="D2154" t="s">
        <v>4418</v>
      </c>
      <c r="E2154" t="s">
        <v>4419</v>
      </c>
      <c r="F2154" t="s">
        <v>4420</v>
      </c>
      <c r="G2154" t="s">
        <v>964</v>
      </c>
      <c r="H2154" t="str">
        <f>"28 ΟΚΤΩΒΡΙΟΥ 93 ΜΟΙΡΕΣ"</f>
        <v>28 ΟΚΤΩΒΡΙΟΥ 93 ΜΟΙΡΕΣ</v>
      </c>
      <c r="I2154">
        <v>70400</v>
      </c>
      <c r="J2154">
        <v>2892024276</v>
      </c>
      <c r="K2154">
        <v>6970102670</v>
      </c>
      <c r="M2154" t="s">
        <v>4421</v>
      </c>
      <c r="N2154" t="s">
        <v>146</v>
      </c>
      <c r="O2154" t="s">
        <v>147</v>
      </c>
      <c r="R2154" t="s">
        <v>57</v>
      </c>
      <c r="S2154">
        <v>11</v>
      </c>
      <c r="T2154">
        <v>193</v>
      </c>
      <c r="U2154" s="1">
        <v>37497</v>
      </c>
      <c r="V2154" t="s">
        <v>123</v>
      </c>
      <c r="W2154" t="s">
        <v>124</v>
      </c>
      <c r="X2154" t="s">
        <v>58</v>
      </c>
      <c r="Y2154">
        <v>18</v>
      </c>
      <c r="Z2154" t="s">
        <v>59</v>
      </c>
      <c r="AA2154" t="s">
        <v>59</v>
      </c>
      <c r="AB2154" t="s">
        <v>59</v>
      </c>
      <c r="AC2154" t="s">
        <v>59</v>
      </c>
      <c r="AD2154" t="s">
        <v>59</v>
      </c>
      <c r="AF2154" s="1">
        <v>37502</v>
      </c>
      <c r="AG2154" t="s">
        <v>125</v>
      </c>
      <c r="AH2154" t="s">
        <v>126</v>
      </c>
      <c r="AI2154" t="str">
        <f>"1706010"</f>
        <v>1706010</v>
      </c>
      <c r="AJ2154" t="s">
        <v>391</v>
      </c>
      <c r="AK2154">
        <v>2892022286</v>
      </c>
      <c r="AL2154" t="s">
        <v>392</v>
      </c>
      <c r="AM2154" t="s">
        <v>78</v>
      </c>
      <c r="AN2154" t="s">
        <v>242</v>
      </c>
      <c r="AO2154" t="s">
        <v>243</v>
      </c>
      <c r="AP2154" t="s">
        <v>243</v>
      </c>
      <c r="AQ2154">
        <v>33</v>
      </c>
      <c r="AR2154" t="s">
        <v>123</v>
      </c>
      <c r="AS2154" t="s">
        <v>124</v>
      </c>
      <c r="AT2154" t="s">
        <v>58</v>
      </c>
      <c r="AU2154" t="s">
        <v>68</v>
      </c>
      <c r="AV2154" t="s">
        <v>69</v>
      </c>
      <c r="AW2154" s="1">
        <v>24231</v>
      </c>
      <c r="AX2154">
        <v>2</v>
      </c>
    </row>
    <row r="2155" spans="1:50">
      <c r="A2155">
        <v>171486</v>
      </c>
      <c r="B2155" t="str">
        <f>"032456359"</f>
        <v>032456359</v>
      </c>
      <c r="C2155" t="s">
        <v>105</v>
      </c>
      <c r="D2155" t="s">
        <v>4422</v>
      </c>
      <c r="E2155" t="s">
        <v>377</v>
      </c>
      <c r="F2155" t="s">
        <v>95</v>
      </c>
      <c r="G2155" t="s">
        <v>83</v>
      </c>
      <c r="H2155" t="str">
        <f>"ΓΕΩΡΓΙΟΥ ΓΕΝΗΜΑΤΑ ΜΟΙΡΕΣ"</f>
        <v>ΓΕΩΡΓΙΟΥ ΓΕΝΗΜΑΤΑ ΜΟΙΡΕΣ</v>
      </c>
      <c r="I2155">
        <v>70400</v>
      </c>
      <c r="J2155">
        <v>2892022897</v>
      </c>
      <c r="K2155">
        <v>6979775585</v>
      </c>
      <c r="M2155" t="s">
        <v>4423</v>
      </c>
      <c r="N2155" t="s">
        <v>299</v>
      </c>
      <c r="O2155" t="s">
        <v>300</v>
      </c>
      <c r="R2155" t="s">
        <v>57</v>
      </c>
      <c r="S2155">
        <v>12</v>
      </c>
      <c r="T2155">
        <v>184</v>
      </c>
      <c r="U2155" s="1">
        <v>34941</v>
      </c>
      <c r="V2155" t="s">
        <v>123</v>
      </c>
      <c r="W2155" t="s">
        <v>124</v>
      </c>
      <c r="X2155" t="s">
        <v>58</v>
      </c>
      <c r="Y2155">
        <v>18</v>
      </c>
      <c r="Z2155" t="s">
        <v>59</v>
      </c>
      <c r="AA2155" t="s">
        <v>59</v>
      </c>
      <c r="AB2155" t="s">
        <v>59</v>
      </c>
      <c r="AC2155" t="s">
        <v>59</v>
      </c>
      <c r="AD2155" t="s">
        <v>59</v>
      </c>
      <c r="AF2155" s="1">
        <v>34947</v>
      </c>
      <c r="AG2155" t="s">
        <v>148</v>
      </c>
      <c r="AH2155" t="s">
        <v>149</v>
      </c>
      <c r="AI2155" t="str">
        <f>"1756010"</f>
        <v>1756010</v>
      </c>
      <c r="AJ2155" t="s">
        <v>874</v>
      </c>
      <c r="AK2155">
        <v>2892022976</v>
      </c>
      <c r="AL2155" t="s">
        <v>875</v>
      </c>
      <c r="AM2155" t="s">
        <v>78</v>
      </c>
      <c r="AN2155" t="s">
        <v>242</v>
      </c>
      <c r="AO2155" t="s">
        <v>243</v>
      </c>
      <c r="AP2155" t="s">
        <v>243</v>
      </c>
      <c r="AQ2155">
        <v>33</v>
      </c>
      <c r="AR2155" t="s">
        <v>123</v>
      </c>
      <c r="AS2155" t="s">
        <v>124</v>
      </c>
      <c r="AT2155" t="s">
        <v>58</v>
      </c>
      <c r="AU2155" t="s">
        <v>68</v>
      </c>
      <c r="AV2155" t="s">
        <v>69</v>
      </c>
      <c r="AW2155" s="1">
        <v>22340</v>
      </c>
      <c r="AX2155">
        <v>2</v>
      </c>
    </row>
    <row r="2156" spans="1:50">
      <c r="A2156">
        <v>182106</v>
      </c>
      <c r="B2156" t="str">
        <f>"058899818"</f>
        <v>058899818</v>
      </c>
      <c r="C2156" t="s">
        <v>50</v>
      </c>
      <c r="D2156" t="s">
        <v>4424</v>
      </c>
      <c r="E2156" t="s">
        <v>580</v>
      </c>
      <c r="F2156" t="s">
        <v>72</v>
      </c>
      <c r="G2156" t="s">
        <v>860</v>
      </c>
      <c r="H2156" t="str">
        <f>"ΒΡΥΕΝΝΙΟΥ ΙΩΣΗΦ 30 ΗΡΑΚΛΕΙΟ"</f>
        <v>ΒΡΥΕΝΝΙΟΥ ΙΩΣΗΦ 30 ΗΡΑΚΛΕΙΟ</v>
      </c>
      <c r="I2156">
        <v>71409</v>
      </c>
      <c r="J2156">
        <v>2810324613</v>
      </c>
      <c r="K2156">
        <v>6976476194</v>
      </c>
      <c r="N2156" t="s">
        <v>204</v>
      </c>
      <c r="O2156" t="s">
        <v>205</v>
      </c>
      <c r="R2156" t="s">
        <v>57</v>
      </c>
      <c r="S2156">
        <v>11</v>
      </c>
      <c r="T2156">
        <v>164</v>
      </c>
      <c r="U2156" s="1">
        <v>36040</v>
      </c>
      <c r="V2156" t="s">
        <v>123</v>
      </c>
      <c r="W2156" t="s">
        <v>124</v>
      </c>
      <c r="X2156" t="s">
        <v>58</v>
      </c>
      <c r="Y2156">
        <v>18</v>
      </c>
      <c r="Z2156" t="s">
        <v>59</v>
      </c>
      <c r="AA2156" t="s">
        <v>59</v>
      </c>
      <c r="AB2156" t="s">
        <v>59</v>
      </c>
      <c r="AC2156" t="s">
        <v>59</v>
      </c>
      <c r="AD2156" t="s">
        <v>59</v>
      </c>
      <c r="AF2156" s="1">
        <v>36041</v>
      </c>
      <c r="AG2156" t="s">
        <v>137</v>
      </c>
      <c r="AH2156" t="s">
        <v>138</v>
      </c>
      <c r="AI2156" t="str">
        <f>"1740210"</f>
        <v>1740210</v>
      </c>
      <c r="AJ2156" t="s">
        <v>139</v>
      </c>
      <c r="AK2156">
        <v>2810318130</v>
      </c>
      <c r="AL2156" t="s">
        <v>140</v>
      </c>
      <c r="AM2156" t="s">
        <v>78</v>
      </c>
      <c r="AN2156" t="s">
        <v>78</v>
      </c>
      <c r="AO2156" t="s">
        <v>78</v>
      </c>
      <c r="AP2156" t="s">
        <v>141</v>
      </c>
      <c r="AQ2156">
        <v>7</v>
      </c>
      <c r="AR2156" t="s">
        <v>123</v>
      </c>
      <c r="AS2156" t="s">
        <v>124</v>
      </c>
      <c r="AT2156" t="s">
        <v>58</v>
      </c>
      <c r="AU2156" t="s">
        <v>68</v>
      </c>
      <c r="AV2156" t="s">
        <v>69</v>
      </c>
      <c r="AW2156" s="1">
        <v>25910</v>
      </c>
      <c r="AX2156">
        <v>2</v>
      </c>
    </row>
    <row r="2157" spans="1:50">
      <c r="A2157">
        <v>198793</v>
      </c>
      <c r="B2157" t="str">
        <f>"114577988"</f>
        <v>114577988</v>
      </c>
      <c r="C2157" t="s">
        <v>50</v>
      </c>
      <c r="D2157" t="s">
        <v>4424</v>
      </c>
      <c r="E2157" t="s">
        <v>83</v>
      </c>
      <c r="F2157" t="s">
        <v>95</v>
      </c>
      <c r="G2157" t="s">
        <v>4425</v>
      </c>
      <c r="H2157" t="str">
        <f>"Εσπρίδων 6 Κηπούπολη"</f>
        <v>Εσπρίδων 6 Κηπούπολη</v>
      </c>
      <c r="I2157">
        <v>71307</v>
      </c>
      <c r="J2157">
        <v>2810238582</v>
      </c>
      <c r="K2157">
        <v>6974490855</v>
      </c>
      <c r="L2157">
        <v>2810210524</v>
      </c>
      <c r="M2157" t="s">
        <v>4426</v>
      </c>
      <c r="N2157" t="s">
        <v>306</v>
      </c>
      <c r="O2157" t="s">
        <v>307</v>
      </c>
      <c r="R2157" t="s">
        <v>57</v>
      </c>
      <c r="S2157">
        <v>7</v>
      </c>
      <c r="T2157">
        <v>206</v>
      </c>
      <c r="U2157" s="1">
        <v>37866</v>
      </c>
      <c r="V2157" t="s">
        <v>123</v>
      </c>
      <c r="W2157" t="s">
        <v>124</v>
      </c>
      <c r="X2157" t="s">
        <v>58</v>
      </c>
      <c r="Y2157">
        <v>20</v>
      </c>
      <c r="Z2157" t="s">
        <v>59</v>
      </c>
      <c r="AA2157" t="s">
        <v>59</v>
      </c>
      <c r="AB2157" t="s">
        <v>59</v>
      </c>
      <c r="AC2157" t="s">
        <v>59</v>
      </c>
      <c r="AD2157" t="s">
        <v>59</v>
      </c>
      <c r="AF2157" s="1">
        <v>37866</v>
      </c>
      <c r="AG2157" t="s">
        <v>148</v>
      </c>
      <c r="AH2157" t="s">
        <v>149</v>
      </c>
      <c r="AI2157" t="str">
        <f>"1764010"</f>
        <v>1764010</v>
      </c>
      <c r="AJ2157" t="s">
        <v>1058</v>
      </c>
      <c r="AK2157">
        <v>2810762862</v>
      </c>
      <c r="AL2157" t="s">
        <v>1059</v>
      </c>
      <c r="AM2157" t="s">
        <v>78</v>
      </c>
      <c r="AN2157" t="s">
        <v>219</v>
      </c>
      <c r="AO2157" t="s">
        <v>297</v>
      </c>
      <c r="AP2157" t="s">
        <v>297</v>
      </c>
      <c r="AQ2157">
        <v>37</v>
      </c>
      <c r="AR2157" t="s">
        <v>123</v>
      </c>
      <c r="AS2157" t="s">
        <v>124</v>
      </c>
      <c r="AT2157" t="s">
        <v>58</v>
      </c>
      <c r="AU2157" t="s">
        <v>68</v>
      </c>
      <c r="AV2157" t="s">
        <v>69</v>
      </c>
      <c r="AW2157" s="1">
        <v>28365</v>
      </c>
      <c r="AX2157">
        <v>2</v>
      </c>
    </row>
    <row r="2158" spans="1:50">
      <c r="A2158">
        <v>207843</v>
      </c>
      <c r="B2158" t="str">
        <f>"103825880"</f>
        <v>103825880</v>
      </c>
      <c r="C2158" t="s">
        <v>50</v>
      </c>
      <c r="D2158" t="s">
        <v>4424</v>
      </c>
      <c r="E2158" t="s">
        <v>2251</v>
      </c>
      <c r="F2158" t="s">
        <v>72</v>
      </c>
      <c r="G2158" t="s">
        <v>250</v>
      </c>
      <c r="H2158" t="str">
        <f>"ΠΛΑΤΩΝΟΣ 4  ΓΑΖΙ ΗΡΑΚΛΕΙΟ"</f>
        <v>ΠΛΑΤΩΝΟΣ 4  ΓΑΖΙ ΗΡΑΚΛΕΙΟ</v>
      </c>
      <c r="I2158">
        <v>71414</v>
      </c>
      <c r="J2158">
        <v>2810821197</v>
      </c>
      <c r="K2158">
        <v>6973324590</v>
      </c>
      <c r="M2158" t="s">
        <v>4427</v>
      </c>
      <c r="N2158" t="s">
        <v>683</v>
      </c>
      <c r="O2158" t="s">
        <v>684</v>
      </c>
      <c r="R2158" t="s">
        <v>57</v>
      </c>
      <c r="S2158">
        <v>7</v>
      </c>
      <c r="T2158">
        <v>218</v>
      </c>
      <c r="U2158" s="1">
        <v>38596</v>
      </c>
      <c r="V2158" t="s">
        <v>123</v>
      </c>
      <c r="W2158" t="s">
        <v>124</v>
      </c>
      <c r="X2158" t="s">
        <v>58</v>
      </c>
      <c r="Y2158">
        <v>20</v>
      </c>
      <c r="Z2158" t="s">
        <v>59</v>
      </c>
      <c r="AA2158" t="s">
        <v>59</v>
      </c>
      <c r="AB2158" t="s">
        <v>59</v>
      </c>
      <c r="AC2158" t="s">
        <v>59</v>
      </c>
      <c r="AD2158" t="s">
        <v>59</v>
      </c>
      <c r="AF2158" s="1">
        <v>38600</v>
      </c>
      <c r="AG2158" t="s">
        <v>125</v>
      </c>
      <c r="AH2158" t="s">
        <v>126</v>
      </c>
      <c r="AI2158" t="str">
        <f>"1701055"</f>
        <v>1701055</v>
      </c>
      <c r="AJ2158" t="s">
        <v>301</v>
      </c>
      <c r="AK2158">
        <v>2810257353</v>
      </c>
      <c r="AL2158" t="s">
        <v>302</v>
      </c>
      <c r="AM2158" t="s">
        <v>78</v>
      </c>
      <c r="AN2158" t="s">
        <v>78</v>
      </c>
      <c r="AO2158" t="s">
        <v>78</v>
      </c>
      <c r="AP2158" t="s">
        <v>141</v>
      </c>
      <c r="AQ2158">
        <v>7</v>
      </c>
      <c r="AR2158" t="s">
        <v>123</v>
      </c>
      <c r="AS2158" t="s">
        <v>124</v>
      </c>
      <c r="AT2158" t="s">
        <v>58</v>
      </c>
      <c r="AU2158" t="s">
        <v>68</v>
      </c>
      <c r="AV2158" t="s">
        <v>69</v>
      </c>
      <c r="AW2158" s="1">
        <v>27790</v>
      </c>
      <c r="AX2158">
        <v>2</v>
      </c>
    </row>
    <row r="2159" spans="1:50">
      <c r="A2159">
        <v>163475</v>
      </c>
      <c r="B2159" t="str">
        <f>"043087334"</f>
        <v>043087334</v>
      </c>
      <c r="C2159" t="s">
        <v>50</v>
      </c>
      <c r="D2159" t="s">
        <v>4424</v>
      </c>
      <c r="E2159" t="s">
        <v>188</v>
      </c>
      <c r="F2159" t="s">
        <v>106</v>
      </c>
      <c r="G2159" t="s">
        <v>476</v>
      </c>
      <c r="H2159" t="str">
        <f>" "</f>
        <v xml:space="preserve"> </v>
      </c>
      <c r="M2159" t="s">
        <v>4428</v>
      </c>
      <c r="N2159" t="s">
        <v>587</v>
      </c>
      <c r="O2159" t="s">
        <v>588</v>
      </c>
      <c r="R2159" t="s">
        <v>57</v>
      </c>
      <c r="S2159">
        <v>15</v>
      </c>
      <c r="T2159">
        <v>132</v>
      </c>
      <c r="U2159" s="1">
        <v>33456</v>
      </c>
      <c r="V2159" t="s">
        <v>123</v>
      </c>
      <c r="W2159" t="s">
        <v>124</v>
      </c>
      <c r="X2159" t="s">
        <v>58</v>
      </c>
      <c r="Y2159">
        <v>18</v>
      </c>
      <c r="Z2159" t="s">
        <v>59</v>
      </c>
      <c r="AA2159" t="s">
        <v>59</v>
      </c>
      <c r="AB2159" t="s">
        <v>59</v>
      </c>
      <c r="AC2159" t="s">
        <v>59</v>
      </c>
      <c r="AD2159" t="s">
        <v>59</v>
      </c>
      <c r="AF2159" s="1">
        <v>33483</v>
      </c>
      <c r="AG2159" t="s">
        <v>125</v>
      </c>
      <c r="AH2159" t="s">
        <v>126</v>
      </c>
      <c r="AI2159" t="str">
        <f>"1703010"</f>
        <v>1703010</v>
      </c>
      <c r="AJ2159" t="s">
        <v>422</v>
      </c>
      <c r="AK2159">
        <v>2810751808</v>
      </c>
      <c r="AL2159" t="s">
        <v>423</v>
      </c>
      <c r="AM2159" t="s">
        <v>78</v>
      </c>
      <c r="AN2159" t="s">
        <v>424</v>
      </c>
      <c r="AO2159" t="s">
        <v>425</v>
      </c>
      <c r="AP2159" t="s">
        <v>425</v>
      </c>
      <c r="AQ2159">
        <v>13</v>
      </c>
      <c r="AR2159" t="s">
        <v>123</v>
      </c>
      <c r="AS2159" t="s">
        <v>124</v>
      </c>
      <c r="AT2159" t="s">
        <v>58</v>
      </c>
      <c r="AU2159" t="s">
        <v>68</v>
      </c>
      <c r="AV2159" t="s">
        <v>69</v>
      </c>
      <c r="AW2159" s="1">
        <v>23264</v>
      </c>
      <c r="AX2159">
        <v>2</v>
      </c>
    </row>
    <row r="2160" spans="1:50">
      <c r="A2160">
        <v>203505</v>
      </c>
      <c r="B2160" t="str">
        <f>"118928422"</f>
        <v>118928422</v>
      </c>
      <c r="C2160" t="s">
        <v>50</v>
      </c>
      <c r="D2160" t="s">
        <v>1926</v>
      </c>
      <c r="E2160" t="s">
        <v>237</v>
      </c>
      <c r="F2160" t="s">
        <v>95</v>
      </c>
      <c r="G2160" t="s">
        <v>314</v>
      </c>
      <c r="H2160" t="str">
        <f>"ΤΥΜΠΑΚΙ "</f>
        <v xml:space="preserve">ΤΥΜΠΑΚΙ </v>
      </c>
      <c r="I2160">
        <v>70200</v>
      </c>
      <c r="J2160">
        <v>2892052226</v>
      </c>
      <c r="K2160">
        <v>6937567292</v>
      </c>
      <c r="M2160" t="s">
        <v>4429</v>
      </c>
      <c r="N2160" t="s">
        <v>306</v>
      </c>
      <c r="O2160" t="s">
        <v>307</v>
      </c>
      <c r="R2160" t="s">
        <v>57</v>
      </c>
      <c r="S2160">
        <v>7</v>
      </c>
      <c r="T2160">
        <v>231</v>
      </c>
      <c r="U2160" s="1">
        <v>38230</v>
      </c>
      <c r="V2160" t="s">
        <v>123</v>
      </c>
      <c r="W2160" t="s">
        <v>124</v>
      </c>
      <c r="X2160" t="s">
        <v>58</v>
      </c>
      <c r="Y2160">
        <v>20</v>
      </c>
      <c r="Z2160" t="s">
        <v>59</v>
      </c>
      <c r="AA2160" t="s">
        <v>59</v>
      </c>
      <c r="AB2160" t="s">
        <v>59</v>
      </c>
      <c r="AC2160" t="s">
        <v>59</v>
      </c>
      <c r="AD2160" t="s">
        <v>59</v>
      </c>
      <c r="AF2160" s="1">
        <v>38232</v>
      </c>
      <c r="AG2160" t="s">
        <v>125</v>
      </c>
      <c r="AH2160" t="s">
        <v>515</v>
      </c>
      <c r="AI2160" t="str">
        <f>"1713015"</f>
        <v>1713015</v>
      </c>
      <c r="AJ2160" t="s">
        <v>516</v>
      </c>
      <c r="AK2160">
        <v>2892051870</v>
      </c>
      <c r="AL2160" t="s">
        <v>517</v>
      </c>
      <c r="AM2160" t="s">
        <v>78</v>
      </c>
      <c r="AN2160" t="s">
        <v>242</v>
      </c>
      <c r="AO2160" t="s">
        <v>349</v>
      </c>
      <c r="AP2160" t="s">
        <v>349</v>
      </c>
      <c r="AQ2160">
        <v>35</v>
      </c>
      <c r="AR2160" t="s">
        <v>123</v>
      </c>
      <c r="AS2160" t="s">
        <v>124</v>
      </c>
      <c r="AT2160" t="s">
        <v>58</v>
      </c>
      <c r="AU2160" t="s">
        <v>68</v>
      </c>
      <c r="AV2160" t="s">
        <v>357</v>
      </c>
      <c r="AW2160" s="1">
        <v>28663</v>
      </c>
      <c r="AX2160">
        <v>2</v>
      </c>
    </row>
    <row r="2161" spans="1:50">
      <c r="A2161">
        <v>701141</v>
      </c>
      <c r="B2161" t="str">
        <f>"068146736"</f>
        <v>068146736</v>
      </c>
      <c r="C2161" t="s">
        <v>105</v>
      </c>
      <c r="D2161" t="s">
        <v>4430</v>
      </c>
      <c r="E2161" t="s">
        <v>166</v>
      </c>
      <c r="F2161" t="s">
        <v>670</v>
      </c>
      <c r="G2161" t="s">
        <v>250</v>
      </c>
      <c r="H2161" t="str">
        <f>"ΤΥΜΠΑΚΙ "</f>
        <v xml:space="preserve">ΤΥΜΠΑΚΙ </v>
      </c>
      <c r="I2161">
        <v>70200</v>
      </c>
      <c r="J2161">
        <v>2892052789</v>
      </c>
      <c r="K2161">
        <v>6944750613</v>
      </c>
      <c r="M2161" t="s">
        <v>4431</v>
      </c>
      <c r="N2161" t="s">
        <v>292</v>
      </c>
      <c r="O2161" t="s">
        <v>293</v>
      </c>
      <c r="R2161" t="s">
        <v>57</v>
      </c>
      <c r="S2161">
        <v>3</v>
      </c>
      <c r="T2161">
        <v>772</v>
      </c>
      <c r="U2161" s="1">
        <v>40413</v>
      </c>
      <c r="V2161" t="s">
        <v>123</v>
      </c>
      <c r="W2161" t="s">
        <v>124</v>
      </c>
      <c r="X2161" t="s">
        <v>58</v>
      </c>
      <c r="Y2161">
        <v>21</v>
      </c>
      <c r="Z2161" t="s">
        <v>59</v>
      </c>
      <c r="AA2161" t="s">
        <v>59</v>
      </c>
      <c r="AB2161" t="s">
        <v>59</v>
      </c>
      <c r="AC2161" t="s">
        <v>59</v>
      </c>
      <c r="AD2161" t="s">
        <v>59</v>
      </c>
      <c r="AF2161" s="1">
        <v>40414</v>
      </c>
      <c r="AG2161" t="s">
        <v>148</v>
      </c>
      <c r="AH2161" t="s">
        <v>149</v>
      </c>
      <c r="AI2161" t="str">
        <f>"1763010"</f>
        <v>1763010</v>
      </c>
      <c r="AJ2161" t="s">
        <v>560</v>
      </c>
      <c r="AK2161">
        <v>2892051146</v>
      </c>
      <c r="AL2161" t="s">
        <v>561</v>
      </c>
      <c r="AM2161" t="s">
        <v>78</v>
      </c>
      <c r="AN2161" t="s">
        <v>242</v>
      </c>
      <c r="AO2161" t="s">
        <v>349</v>
      </c>
      <c r="AP2161" t="s">
        <v>349</v>
      </c>
      <c r="AQ2161">
        <v>35</v>
      </c>
      <c r="AR2161" t="s">
        <v>123</v>
      </c>
      <c r="AS2161" t="s">
        <v>124</v>
      </c>
      <c r="AT2161" t="s">
        <v>58</v>
      </c>
      <c r="AU2161" t="s">
        <v>68</v>
      </c>
      <c r="AV2161" t="s">
        <v>69</v>
      </c>
      <c r="AW2161" s="1">
        <v>26097</v>
      </c>
      <c r="AX2161">
        <v>2</v>
      </c>
    </row>
    <row r="2162" spans="1:50">
      <c r="A2162">
        <v>179873</v>
      </c>
      <c r="B2162" t="str">
        <f>"033399371"</f>
        <v>033399371</v>
      </c>
      <c r="C2162" t="s">
        <v>50</v>
      </c>
      <c r="D2162" t="s">
        <v>4432</v>
      </c>
      <c r="E2162" t="s">
        <v>52</v>
      </c>
      <c r="F2162" t="s">
        <v>72</v>
      </c>
      <c r="G2162" t="s">
        <v>1078</v>
      </c>
      <c r="H2162" t="str">
        <f>"ΔΙΑΓΟΡΑ 13 ΗΡΑΚΛΕΙΟ"</f>
        <v>ΔΙΑΓΟΡΑ 13 ΗΡΑΚΛΕΙΟ</v>
      </c>
      <c r="I2162">
        <v>71304</v>
      </c>
      <c r="J2162">
        <v>2810312751</v>
      </c>
      <c r="K2162">
        <v>6972126211</v>
      </c>
      <c r="M2162" t="s">
        <v>4433</v>
      </c>
      <c r="N2162" t="s">
        <v>146</v>
      </c>
      <c r="O2162" t="s">
        <v>147</v>
      </c>
      <c r="R2162" t="s">
        <v>57</v>
      </c>
      <c r="S2162">
        <v>11</v>
      </c>
      <c r="T2162">
        <v>164</v>
      </c>
      <c r="U2162" s="1">
        <v>36040</v>
      </c>
      <c r="V2162" t="s">
        <v>123</v>
      </c>
      <c r="W2162" t="s">
        <v>124</v>
      </c>
      <c r="X2162" t="s">
        <v>58</v>
      </c>
      <c r="Y2162">
        <v>18</v>
      </c>
      <c r="Z2162" t="s">
        <v>59</v>
      </c>
      <c r="AA2162" t="s">
        <v>59</v>
      </c>
      <c r="AB2162" t="s">
        <v>59</v>
      </c>
      <c r="AC2162" t="s">
        <v>59</v>
      </c>
      <c r="AD2162" t="s">
        <v>59</v>
      </c>
      <c r="AF2162" s="1">
        <v>36042</v>
      </c>
      <c r="AG2162" t="s">
        <v>148</v>
      </c>
      <c r="AH2162" t="s">
        <v>149</v>
      </c>
      <c r="AI2162" t="str">
        <f>"1790070"</f>
        <v>1790070</v>
      </c>
      <c r="AJ2162" t="s">
        <v>1283</v>
      </c>
      <c r="AK2162">
        <v>2810252154</v>
      </c>
      <c r="AL2162" t="s">
        <v>1284</v>
      </c>
      <c r="AM2162" t="s">
        <v>78</v>
      </c>
      <c r="AN2162" t="s">
        <v>78</v>
      </c>
      <c r="AO2162" t="s">
        <v>78</v>
      </c>
      <c r="AP2162" t="s">
        <v>141</v>
      </c>
      <c r="AQ2162">
        <v>7</v>
      </c>
      <c r="AR2162" t="s">
        <v>123</v>
      </c>
      <c r="AS2162" t="s">
        <v>124</v>
      </c>
      <c r="AT2162" t="s">
        <v>58</v>
      </c>
      <c r="AU2162" t="s">
        <v>68</v>
      </c>
      <c r="AV2162" t="s">
        <v>69</v>
      </c>
      <c r="AW2162" s="1">
        <v>23487</v>
      </c>
      <c r="AX2162">
        <v>2</v>
      </c>
    </row>
    <row r="2163" spans="1:50">
      <c r="A2163">
        <v>173571</v>
      </c>
      <c r="B2163" t="str">
        <f>"034721689"</f>
        <v>034721689</v>
      </c>
      <c r="C2163" t="s">
        <v>50</v>
      </c>
      <c r="D2163" t="s">
        <v>4434</v>
      </c>
      <c r="E2163" t="s">
        <v>237</v>
      </c>
      <c r="F2163" t="s">
        <v>4435</v>
      </c>
      <c r="G2163" t="s">
        <v>1065</v>
      </c>
      <c r="H2163" t="str">
        <f>" "</f>
        <v xml:space="preserve"> </v>
      </c>
      <c r="N2163" t="s">
        <v>146</v>
      </c>
      <c r="O2163" t="s">
        <v>147</v>
      </c>
      <c r="R2163" t="s">
        <v>57</v>
      </c>
      <c r="S2163">
        <v>13</v>
      </c>
      <c r="T2163">
        <v>166</v>
      </c>
      <c r="U2163" s="1">
        <v>35300</v>
      </c>
      <c r="V2163" t="s">
        <v>123</v>
      </c>
      <c r="W2163" t="s">
        <v>124</v>
      </c>
      <c r="X2163" t="s">
        <v>58</v>
      </c>
      <c r="Y2163">
        <v>18</v>
      </c>
      <c r="Z2163" t="s">
        <v>59</v>
      </c>
      <c r="AA2163" t="s">
        <v>59</v>
      </c>
      <c r="AB2163" t="s">
        <v>59</v>
      </c>
      <c r="AC2163" t="s">
        <v>59</v>
      </c>
      <c r="AD2163" t="s">
        <v>59</v>
      </c>
      <c r="AF2163" s="1">
        <v>35311</v>
      </c>
      <c r="AG2163" t="s">
        <v>137</v>
      </c>
      <c r="AH2163" t="s">
        <v>138</v>
      </c>
      <c r="AI2163" t="str">
        <f>"1750080"</f>
        <v>1750080</v>
      </c>
      <c r="AJ2163" t="s">
        <v>170</v>
      </c>
      <c r="AK2163">
        <v>2810234444</v>
      </c>
      <c r="AL2163" t="s">
        <v>171</v>
      </c>
      <c r="AM2163" t="s">
        <v>78</v>
      </c>
      <c r="AN2163" t="s">
        <v>78</v>
      </c>
      <c r="AO2163" t="s">
        <v>78</v>
      </c>
      <c r="AP2163" t="s">
        <v>163</v>
      </c>
      <c r="AQ2163">
        <v>9</v>
      </c>
      <c r="AR2163" t="s">
        <v>123</v>
      </c>
      <c r="AS2163" t="s">
        <v>124</v>
      </c>
      <c r="AT2163" t="s">
        <v>58</v>
      </c>
      <c r="AU2163" t="s">
        <v>68</v>
      </c>
      <c r="AV2163" t="s">
        <v>69</v>
      </c>
      <c r="AW2163" s="1">
        <v>23961</v>
      </c>
      <c r="AX2163">
        <v>2</v>
      </c>
    </row>
    <row r="2164" spans="1:50">
      <c r="A2164">
        <v>183697</v>
      </c>
      <c r="B2164" t="str">
        <f>"036771375"</f>
        <v>036771375</v>
      </c>
      <c r="C2164" t="s">
        <v>50</v>
      </c>
      <c r="D2164" t="s">
        <v>4434</v>
      </c>
      <c r="E2164" t="s">
        <v>109</v>
      </c>
      <c r="F2164" t="s">
        <v>920</v>
      </c>
      <c r="G2164" t="s">
        <v>367</v>
      </c>
      <c r="H2164" t="str">
        <f>"ΕΜΜ. ΖΑΧΑΡΙΟΥΔΑΚΗ 14 ΜΑΣΤΑΜΠΑΣ"</f>
        <v>ΕΜΜ. ΖΑΧΑΡΙΟΥΔΑΚΗ 14 ΜΑΣΤΑΜΠΑΣ</v>
      </c>
      <c r="J2164">
        <v>2810238705</v>
      </c>
      <c r="K2164">
        <v>6945262590</v>
      </c>
      <c r="M2164" t="s">
        <v>4436</v>
      </c>
      <c r="N2164" t="s">
        <v>146</v>
      </c>
      <c r="O2164" t="s">
        <v>147</v>
      </c>
      <c r="R2164" t="s">
        <v>57</v>
      </c>
      <c r="S2164">
        <v>12</v>
      </c>
      <c r="T2164">
        <v>177</v>
      </c>
      <c r="U2164" s="1">
        <v>36403</v>
      </c>
      <c r="V2164" t="s">
        <v>123</v>
      </c>
      <c r="W2164" t="s">
        <v>124</v>
      </c>
      <c r="X2164" t="s">
        <v>58</v>
      </c>
      <c r="Y2164">
        <v>18</v>
      </c>
      <c r="Z2164" t="s">
        <v>59</v>
      </c>
      <c r="AA2164" t="s">
        <v>59</v>
      </c>
      <c r="AB2164" t="s">
        <v>59</v>
      </c>
      <c r="AC2164" t="s">
        <v>59</v>
      </c>
      <c r="AD2164" t="s">
        <v>59</v>
      </c>
      <c r="AF2164" s="1">
        <v>36412</v>
      </c>
      <c r="AG2164" t="s">
        <v>148</v>
      </c>
      <c r="AH2164" t="s">
        <v>149</v>
      </c>
      <c r="AI2164" t="str">
        <f>"1751051"</f>
        <v>1751051</v>
      </c>
      <c r="AJ2164" t="s">
        <v>259</v>
      </c>
      <c r="AK2164">
        <v>2810251794</v>
      </c>
      <c r="AL2164" t="s">
        <v>260</v>
      </c>
      <c r="AM2164" t="s">
        <v>78</v>
      </c>
      <c r="AN2164" t="s">
        <v>78</v>
      </c>
      <c r="AO2164" t="s">
        <v>78</v>
      </c>
      <c r="AP2164" t="s">
        <v>141</v>
      </c>
      <c r="AQ2164">
        <v>7</v>
      </c>
      <c r="AR2164" t="s">
        <v>123</v>
      </c>
      <c r="AS2164" t="s">
        <v>124</v>
      </c>
      <c r="AT2164" t="s">
        <v>58</v>
      </c>
      <c r="AU2164" t="s">
        <v>68</v>
      </c>
      <c r="AV2164" t="s">
        <v>69</v>
      </c>
      <c r="AW2164" s="1">
        <v>23936</v>
      </c>
      <c r="AX2164">
        <v>2</v>
      </c>
    </row>
    <row r="2165" spans="1:50">
      <c r="A2165">
        <v>216418</v>
      </c>
      <c r="B2165" t="str">
        <f>"103533519"</f>
        <v>103533519</v>
      </c>
      <c r="C2165" t="s">
        <v>50</v>
      </c>
      <c r="D2165" t="s">
        <v>4437</v>
      </c>
      <c r="E2165" t="s">
        <v>707</v>
      </c>
      <c r="F2165" t="s">
        <v>53</v>
      </c>
      <c r="G2165" t="s">
        <v>52</v>
      </c>
      <c r="H2165" t="str">
        <f>"ΦΛΑΜΠΟΥΡΙΑΡΗ Τ.Θ 203 ΚΟΡΑΚΟΒΟΥΝΙ"</f>
        <v>ΦΛΑΜΠΟΥΡΙΑΡΗ Τ.Θ 203 ΚΟΡΑΚΟΒΟΥΝΙ</v>
      </c>
      <c r="I2165">
        <v>71410</v>
      </c>
      <c r="J2165">
        <v>2810373003</v>
      </c>
      <c r="K2165">
        <v>6944776377</v>
      </c>
      <c r="M2165" t="s">
        <v>4438</v>
      </c>
      <c r="N2165" t="s">
        <v>288</v>
      </c>
      <c r="O2165" t="s">
        <v>289</v>
      </c>
      <c r="R2165" t="s">
        <v>57</v>
      </c>
      <c r="S2165">
        <v>6</v>
      </c>
      <c r="T2165">
        <v>236</v>
      </c>
      <c r="U2165" s="1">
        <v>38961</v>
      </c>
      <c r="V2165" t="s">
        <v>123</v>
      </c>
      <c r="W2165" t="s">
        <v>124</v>
      </c>
      <c r="X2165" t="s">
        <v>58</v>
      </c>
      <c r="Y2165">
        <v>20</v>
      </c>
      <c r="Z2165" t="s">
        <v>59</v>
      </c>
      <c r="AA2165" t="s">
        <v>59</v>
      </c>
      <c r="AB2165" t="s">
        <v>59</v>
      </c>
      <c r="AC2165" t="s">
        <v>59</v>
      </c>
      <c r="AD2165" t="s">
        <v>59</v>
      </c>
      <c r="AF2165" s="1">
        <v>38964</v>
      </c>
      <c r="AG2165" t="s">
        <v>125</v>
      </c>
      <c r="AH2165" t="s">
        <v>126</v>
      </c>
      <c r="AI2165" t="str">
        <f>"1727010"</f>
        <v>1727010</v>
      </c>
      <c r="AJ2165" t="s">
        <v>618</v>
      </c>
      <c r="AK2165">
        <v>2810229231</v>
      </c>
      <c r="AL2165" t="s">
        <v>619</v>
      </c>
      <c r="AM2165" t="s">
        <v>78</v>
      </c>
      <c r="AN2165" t="s">
        <v>78</v>
      </c>
      <c r="AO2165" t="s">
        <v>286</v>
      </c>
      <c r="AP2165" t="s">
        <v>286</v>
      </c>
      <c r="AQ2165">
        <v>12</v>
      </c>
      <c r="AR2165" t="s">
        <v>123</v>
      </c>
      <c r="AS2165" t="s">
        <v>124</v>
      </c>
      <c r="AT2165" t="s">
        <v>58</v>
      </c>
      <c r="AU2165" t="s">
        <v>68</v>
      </c>
      <c r="AV2165" t="s">
        <v>69</v>
      </c>
      <c r="AW2165" s="1">
        <v>27918</v>
      </c>
      <c r="AX2165">
        <v>2</v>
      </c>
    </row>
    <row r="2166" spans="1:50">
      <c r="A2166">
        <v>175829</v>
      </c>
      <c r="B2166" t="str">
        <f>"050685557"</f>
        <v>050685557</v>
      </c>
      <c r="C2166" t="s">
        <v>50</v>
      </c>
      <c r="D2166" t="s">
        <v>4439</v>
      </c>
      <c r="E2166" t="s">
        <v>237</v>
      </c>
      <c r="F2166" t="s">
        <v>53</v>
      </c>
      <c r="G2166" t="s">
        <v>83</v>
      </c>
      <c r="H2166" t="str">
        <f>"ΑΧΕΠΑ 36 ΗΡΑΚΛΕΙΟΥ"</f>
        <v>ΑΧΕΠΑ 36 ΗΡΑΚΛΕΙΟΥ</v>
      </c>
      <c r="I2166">
        <v>71307</v>
      </c>
      <c r="J2166">
        <v>2810326806</v>
      </c>
      <c r="K2166">
        <v>6973246425</v>
      </c>
      <c r="M2166" t="s">
        <v>4440</v>
      </c>
      <c r="N2166" t="s">
        <v>146</v>
      </c>
      <c r="O2166" t="s">
        <v>147</v>
      </c>
      <c r="R2166" t="s">
        <v>57</v>
      </c>
      <c r="S2166">
        <v>11</v>
      </c>
      <c r="T2166">
        <v>180</v>
      </c>
      <c r="U2166" s="1">
        <v>35674</v>
      </c>
      <c r="V2166" t="s">
        <v>123</v>
      </c>
      <c r="W2166" t="s">
        <v>124</v>
      </c>
      <c r="X2166" t="s">
        <v>58</v>
      </c>
      <c r="Y2166">
        <v>18</v>
      </c>
      <c r="Z2166" t="s">
        <v>59</v>
      </c>
      <c r="AA2166" t="s">
        <v>59</v>
      </c>
      <c r="AB2166" t="s">
        <v>59</v>
      </c>
      <c r="AC2166" t="s">
        <v>59</v>
      </c>
      <c r="AD2166" t="s">
        <v>59</v>
      </c>
      <c r="AF2166" s="1">
        <v>35674</v>
      </c>
      <c r="AG2166" t="s">
        <v>148</v>
      </c>
      <c r="AH2166" t="s">
        <v>149</v>
      </c>
      <c r="AI2166" t="str">
        <f>"1751052"</f>
        <v>1751052</v>
      </c>
      <c r="AJ2166" t="s">
        <v>328</v>
      </c>
      <c r="AK2166">
        <v>2810213762</v>
      </c>
      <c r="AL2166" t="s">
        <v>329</v>
      </c>
      <c r="AM2166" t="s">
        <v>78</v>
      </c>
      <c r="AN2166" t="s">
        <v>78</v>
      </c>
      <c r="AO2166" t="s">
        <v>78</v>
      </c>
      <c r="AP2166" t="s">
        <v>163</v>
      </c>
      <c r="AQ2166">
        <v>8</v>
      </c>
      <c r="AR2166" t="s">
        <v>123</v>
      </c>
      <c r="AS2166" t="s">
        <v>124</v>
      </c>
      <c r="AT2166" t="s">
        <v>58</v>
      </c>
      <c r="AU2166" t="s">
        <v>68</v>
      </c>
      <c r="AV2166" t="s">
        <v>69</v>
      </c>
      <c r="AW2166" s="1">
        <v>24335</v>
      </c>
      <c r="AX2166">
        <v>2</v>
      </c>
    </row>
    <row r="2167" spans="1:50">
      <c r="A2167">
        <v>226934</v>
      </c>
      <c r="B2167" t="str">
        <f>"052713808"</f>
        <v>052713808</v>
      </c>
      <c r="C2167" t="s">
        <v>50</v>
      </c>
      <c r="D2167" t="s">
        <v>4441</v>
      </c>
      <c r="E2167" t="s">
        <v>143</v>
      </c>
      <c r="F2167" t="s">
        <v>95</v>
      </c>
      <c r="G2167" t="s">
        <v>473</v>
      </c>
      <c r="H2167" t="str">
        <f>"ΚΛΗΜΑ ΗΡΑΚΛΕΙΟ ΚΛΗΜΑ ΗΡΑΚΛΕΙΟΥ"</f>
        <v>ΚΛΗΜΑ ΗΡΑΚΛΕΙΟ ΚΛΗΜΑ ΗΡΑΚΛΕΙΟΥ</v>
      </c>
      <c r="I2167">
        <v>70200</v>
      </c>
      <c r="J2167">
        <v>2892052561</v>
      </c>
      <c r="K2167">
        <v>6946121486</v>
      </c>
      <c r="M2167" t="s">
        <v>4442</v>
      </c>
      <c r="N2167" t="s">
        <v>146</v>
      </c>
      <c r="O2167" t="s">
        <v>147</v>
      </c>
      <c r="R2167" t="s">
        <v>57</v>
      </c>
      <c r="S2167">
        <v>5</v>
      </c>
      <c r="T2167">
        <v>654</v>
      </c>
      <c r="U2167" s="1">
        <v>40046</v>
      </c>
      <c r="V2167" t="s">
        <v>123</v>
      </c>
      <c r="W2167" t="s">
        <v>124</v>
      </c>
      <c r="X2167" t="s">
        <v>58</v>
      </c>
      <c r="Y2167">
        <v>21</v>
      </c>
      <c r="Z2167" t="s">
        <v>59</v>
      </c>
      <c r="AA2167" t="s">
        <v>59</v>
      </c>
      <c r="AB2167" t="s">
        <v>59</v>
      </c>
      <c r="AC2167" t="s">
        <v>59</v>
      </c>
      <c r="AD2167" t="s">
        <v>59</v>
      </c>
      <c r="AF2167" s="1">
        <v>40046</v>
      </c>
      <c r="AG2167" t="s">
        <v>148</v>
      </c>
      <c r="AH2167" t="s">
        <v>149</v>
      </c>
      <c r="AI2167" t="str">
        <f>"1763010"</f>
        <v>1763010</v>
      </c>
      <c r="AJ2167" t="s">
        <v>560</v>
      </c>
      <c r="AK2167">
        <v>2892051146</v>
      </c>
      <c r="AL2167" t="s">
        <v>561</v>
      </c>
      <c r="AM2167" t="s">
        <v>78</v>
      </c>
      <c r="AN2167" t="s">
        <v>242</v>
      </c>
      <c r="AO2167" t="s">
        <v>349</v>
      </c>
      <c r="AP2167" t="s">
        <v>349</v>
      </c>
      <c r="AQ2167">
        <v>35</v>
      </c>
      <c r="AR2167" t="s">
        <v>123</v>
      </c>
      <c r="AS2167" t="s">
        <v>124</v>
      </c>
      <c r="AT2167" t="s">
        <v>58</v>
      </c>
      <c r="AU2167" t="s">
        <v>68</v>
      </c>
      <c r="AV2167" t="s">
        <v>69</v>
      </c>
      <c r="AW2167" s="1">
        <v>25404</v>
      </c>
      <c r="AX2167">
        <v>2</v>
      </c>
    </row>
    <row r="2168" spans="1:50">
      <c r="A2168">
        <v>189680</v>
      </c>
      <c r="B2168" t="str">
        <f>"079156409"</f>
        <v>079156409</v>
      </c>
      <c r="C2168" t="s">
        <v>105</v>
      </c>
      <c r="D2168" t="s">
        <v>4443</v>
      </c>
      <c r="E2168" t="s">
        <v>670</v>
      </c>
      <c r="F2168" t="s">
        <v>72</v>
      </c>
      <c r="G2168" t="s">
        <v>52</v>
      </c>
      <c r="H2168" t="str">
        <f>"ΓΙΑΝΝΟΥΛΗ ΧΑΛΕΠΑ 17 ΑΤΣΑΛΕΝΙΟ"</f>
        <v>ΓΙΑΝΝΟΥΛΗ ΧΑΛΕΠΑ 17 ΑΤΣΑΛΕΝΙΟ</v>
      </c>
      <c r="I2168">
        <v>71306</v>
      </c>
      <c r="J2168">
        <v>2810213612</v>
      </c>
      <c r="K2168">
        <v>6973046608</v>
      </c>
      <c r="M2168" t="s">
        <v>4444</v>
      </c>
      <c r="N2168" t="s">
        <v>146</v>
      </c>
      <c r="O2168" t="s">
        <v>147</v>
      </c>
      <c r="R2168" t="s">
        <v>57</v>
      </c>
      <c r="S2168">
        <v>8</v>
      </c>
      <c r="T2168">
        <v>219</v>
      </c>
      <c r="U2168" s="1">
        <v>37134</v>
      </c>
      <c r="V2168" t="s">
        <v>123</v>
      </c>
      <c r="W2168" t="s">
        <v>124</v>
      </c>
      <c r="X2168" t="s">
        <v>58</v>
      </c>
      <c r="Y2168">
        <v>20</v>
      </c>
      <c r="Z2168" t="s">
        <v>59</v>
      </c>
      <c r="AA2168" t="s">
        <v>59</v>
      </c>
      <c r="AB2168" t="s">
        <v>59</v>
      </c>
      <c r="AC2168" t="s">
        <v>59</v>
      </c>
      <c r="AD2168" t="s">
        <v>59</v>
      </c>
      <c r="AF2168" s="1">
        <v>37137</v>
      </c>
      <c r="AG2168" t="s">
        <v>125</v>
      </c>
      <c r="AH2168" t="s">
        <v>126</v>
      </c>
      <c r="AI2168" t="str">
        <f>"1728010"</f>
        <v>1728010</v>
      </c>
      <c r="AJ2168" t="s">
        <v>127</v>
      </c>
      <c r="AK2168">
        <v>2810824651</v>
      </c>
      <c r="AL2168" t="s">
        <v>128</v>
      </c>
      <c r="AM2168" t="s">
        <v>78</v>
      </c>
      <c r="AN2168" t="s">
        <v>129</v>
      </c>
      <c r="AO2168" t="s">
        <v>130</v>
      </c>
      <c r="AP2168" t="s">
        <v>130</v>
      </c>
      <c r="AQ2168">
        <v>36</v>
      </c>
      <c r="AR2168" t="s">
        <v>123</v>
      </c>
      <c r="AS2168" t="s">
        <v>124</v>
      </c>
      <c r="AT2168" t="s">
        <v>58</v>
      </c>
      <c r="AU2168" t="s">
        <v>68</v>
      </c>
      <c r="AV2168" t="s">
        <v>69</v>
      </c>
      <c r="AW2168" s="1">
        <v>26152</v>
      </c>
      <c r="AX2168">
        <v>2</v>
      </c>
    </row>
    <row r="2169" spans="1:50">
      <c r="A2169">
        <v>226935</v>
      </c>
      <c r="B2169" t="str">
        <f>"110115508"</f>
        <v>110115508</v>
      </c>
      <c r="C2169" t="s">
        <v>50</v>
      </c>
      <c r="D2169" t="s">
        <v>4445</v>
      </c>
      <c r="E2169" t="s">
        <v>83</v>
      </c>
      <c r="F2169" t="s">
        <v>84</v>
      </c>
      <c r="G2169" t="s">
        <v>52</v>
      </c>
      <c r="H2169" t="str">
        <f>"ΚΑΤΩ ΑΡΧΑΝΕΣ ΗΡΑΚΛΕΙΟ"</f>
        <v>ΚΑΤΩ ΑΡΧΑΝΕΣ ΗΡΑΚΛΕΙΟ</v>
      </c>
      <c r="I2169">
        <v>70100</v>
      </c>
      <c r="J2169">
        <v>2810751450</v>
      </c>
      <c r="K2169">
        <v>6973624473</v>
      </c>
      <c r="M2169" t="s">
        <v>4446</v>
      </c>
      <c r="N2169" t="s">
        <v>146</v>
      </c>
      <c r="O2169" t="s">
        <v>147</v>
      </c>
      <c r="R2169" t="s">
        <v>57</v>
      </c>
      <c r="S2169">
        <v>5</v>
      </c>
      <c r="T2169">
        <v>654</v>
      </c>
      <c r="U2169" s="1">
        <v>40043</v>
      </c>
      <c r="V2169" t="s">
        <v>123</v>
      </c>
      <c r="W2169" t="s">
        <v>124</v>
      </c>
      <c r="X2169" t="s">
        <v>58</v>
      </c>
      <c r="Y2169">
        <v>21</v>
      </c>
      <c r="Z2169" t="s">
        <v>59</v>
      </c>
      <c r="AA2169" t="s">
        <v>59</v>
      </c>
      <c r="AB2169" t="s">
        <v>59</v>
      </c>
      <c r="AC2169" t="s">
        <v>59</v>
      </c>
      <c r="AD2169" t="s">
        <v>59</v>
      </c>
      <c r="AF2169" s="1">
        <v>40043</v>
      </c>
      <c r="AG2169" t="s">
        <v>148</v>
      </c>
      <c r="AH2169" t="s">
        <v>149</v>
      </c>
      <c r="AI2169" t="str">
        <f>"1777010"</f>
        <v>1777010</v>
      </c>
      <c r="AJ2169" t="s">
        <v>612</v>
      </c>
      <c r="AK2169">
        <v>2810229220</v>
      </c>
      <c r="AL2169" t="s">
        <v>613</v>
      </c>
      <c r="AM2169" t="s">
        <v>78</v>
      </c>
      <c r="AN2169" t="s">
        <v>78</v>
      </c>
      <c r="AO2169" t="s">
        <v>286</v>
      </c>
      <c r="AP2169" t="s">
        <v>286</v>
      </c>
      <c r="AQ2169">
        <v>12</v>
      </c>
      <c r="AR2169" t="s">
        <v>123</v>
      </c>
      <c r="AS2169" t="s">
        <v>124</v>
      </c>
      <c r="AT2169" t="s">
        <v>58</v>
      </c>
      <c r="AU2169" t="s">
        <v>68</v>
      </c>
      <c r="AV2169" t="s">
        <v>69</v>
      </c>
      <c r="AW2169" s="1">
        <v>27644</v>
      </c>
      <c r="AX2169">
        <v>2</v>
      </c>
    </row>
    <row r="2170" spans="1:50">
      <c r="A2170">
        <v>153016</v>
      </c>
      <c r="B2170" t="str">
        <f>"049559734"</f>
        <v>049559734</v>
      </c>
      <c r="C2170" t="s">
        <v>50</v>
      </c>
      <c r="D2170" t="s">
        <v>4447</v>
      </c>
      <c r="E2170" t="s">
        <v>1068</v>
      </c>
      <c r="F2170" t="s">
        <v>166</v>
      </c>
      <c r="G2170" t="s">
        <v>52</v>
      </c>
      <c r="H2170" t="str">
        <f>"ΜΙΛΑΤΟΣ ΒΡΑΧΑΣΙΟΥ"</f>
        <v>ΜΙΛΑΤΟΣ ΒΡΑΧΑΣΙΟΥ</v>
      </c>
      <c r="J2170">
        <v>2841081350</v>
      </c>
      <c r="K2170">
        <v>6972412028</v>
      </c>
      <c r="M2170" t="s">
        <v>4448</v>
      </c>
      <c r="N2170" t="s">
        <v>146</v>
      </c>
      <c r="O2170" t="s">
        <v>147</v>
      </c>
      <c r="R2170" t="s">
        <v>57</v>
      </c>
      <c r="S2170">
        <v>16</v>
      </c>
      <c r="T2170">
        <v>166</v>
      </c>
      <c r="U2170" s="1">
        <v>32010</v>
      </c>
      <c r="V2170" t="s">
        <v>123</v>
      </c>
      <c r="W2170" t="s">
        <v>124</v>
      </c>
      <c r="X2170" t="s">
        <v>58</v>
      </c>
      <c r="Y2170">
        <v>18</v>
      </c>
      <c r="Z2170" t="s">
        <v>59</v>
      </c>
      <c r="AA2170" t="s">
        <v>59</v>
      </c>
      <c r="AB2170" t="s">
        <v>59</v>
      </c>
      <c r="AC2170" t="s">
        <v>59</v>
      </c>
      <c r="AD2170" t="s">
        <v>59</v>
      </c>
      <c r="AF2170" s="1">
        <v>32023</v>
      </c>
      <c r="AG2170" t="s">
        <v>125</v>
      </c>
      <c r="AH2170" t="s">
        <v>126</v>
      </c>
      <c r="AI2170" t="str">
        <f>"1718010"</f>
        <v>1718010</v>
      </c>
      <c r="AJ2170" t="s">
        <v>1090</v>
      </c>
      <c r="AK2170">
        <v>2897031471</v>
      </c>
      <c r="AL2170" t="s">
        <v>1091</v>
      </c>
      <c r="AM2170" t="s">
        <v>78</v>
      </c>
      <c r="AN2170" t="s">
        <v>219</v>
      </c>
      <c r="AO2170" t="s">
        <v>527</v>
      </c>
      <c r="AP2170" t="s">
        <v>527</v>
      </c>
      <c r="AQ2170">
        <v>20</v>
      </c>
      <c r="AR2170" t="s">
        <v>123</v>
      </c>
      <c r="AS2170" t="s">
        <v>124</v>
      </c>
      <c r="AT2170" t="s">
        <v>58</v>
      </c>
      <c r="AU2170" t="s">
        <v>68</v>
      </c>
      <c r="AV2170" t="s">
        <v>69</v>
      </c>
      <c r="AW2170" s="1">
        <v>22872</v>
      </c>
      <c r="AX2170">
        <v>2</v>
      </c>
    </row>
    <row r="2171" spans="1:50">
      <c r="A2171">
        <v>180350</v>
      </c>
      <c r="B2171" t="str">
        <f>"062097204"</f>
        <v>062097204</v>
      </c>
      <c r="C2171" t="s">
        <v>50</v>
      </c>
      <c r="D2171" t="s">
        <v>4449</v>
      </c>
      <c r="E2171" t="s">
        <v>1387</v>
      </c>
      <c r="F2171" t="s">
        <v>84</v>
      </c>
      <c r="G2171" t="s">
        <v>250</v>
      </c>
      <c r="H2171" t="str">
        <f>"ΕΡΥΘΡΑΙΑΣ 48 "</f>
        <v xml:space="preserve">ΕΡΥΘΡΑΙΑΣ 48 </v>
      </c>
      <c r="I2171">
        <v>71409</v>
      </c>
      <c r="J2171">
        <v>2810322495</v>
      </c>
      <c r="K2171">
        <v>6947262129</v>
      </c>
      <c r="M2171" t="s">
        <v>4450</v>
      </c>
      <c r="N2171" t="s">
        <v>292</v>
      </c>
      <c r="O2171" t="s">
        <v>293</v>
      </c>
      <c r="R2171" t="s">
        <v>57</v>
      </c>
      <c r="S2171">
        <v>12</v>
      </c>
      <c r="T2171">
        <v>164</v>
      </c>
      <c r="U2171" s="1">
        <v>36040</v>
      </c>
      <c r="V2171" t="s">
        <v>123</v>
      </c>
      <c r="W2171" t="s">
        <v>124</v>
      </c>
      <c r="X2171" t="s">
        <v>58</v>
      </c>
      <c r="Y2171">
        <v>18</v>
      </c>
      <c r="Z2171" t="s">
        <v>59</v>
      </c>
      <c r="AA2171" t="s">
        <v>59</v>
      </c>
      <c r="AB2171" t="s">
        <v>59</v>
      </c>
      <c r="AC2171" t="s">
        <v>59</v>
      </c>
      <c r="AD2171" t="s">
        <v>59</v>
      </c>
      <c r="AF2171" s="1">
        <v>36046</v>
      </c>
      <c r="AG2171" t="s">
        <v>125</v>
      </c>
      <c r="AH2171" t="s">
        <v>126</v>
      </c>
      <c r="AI2171" t="str">
        <f>"1701030"</f>
        <v>1701030</v>
      </c>
      <c r="AJ2171" t="s">
        <v>270</v>
      </c>
      <c r="AK2171">
        <v>2810361015</v>
      </c>
      <c r="AL2171" t="s">
        <v>271</v>
      </c>
      <c r="AM2171" t="s">
        <v>78</v>
      </c>
      <c r="AN2171" t="s">
        <v>78</v>
      </c>
      <c r="AO2171" t="s">
        <v>78</v>
      </c>
      <c r="AP2171" t="s">
        <v>163</v>
      </c>
      <c r="AQ2171">
        <v>2</v>
      </c>
      <c r="AR2171" t="s">
        <v>123</v>
      </c>
      <c r="AS2171" t="s">
        <v>124</v>
      </c>
      <c r="AT2171" t="s">
        <v>58</v>
      </c>
      <c r="AU2171" t="s">
        <v>68</v>
      </c>
      <c r="AV2171" t="s">
        <v>69</v>
      </c>
      <c r="AW2171" s="1">
        <v>22071</v>
      </c>
      <c r="AX2171">
        <v>2</v>
      </c>
    </row>
    <row r="2172" spans="1:50">
      <c r="A2172">
        <v>196118</v>
      </c>
      <c r="B2172" t="str">
        <f>"078397569"</f>
        <v>078397569</v>
      </c>
      <c r="C2172" t="s">
        <v>105</v>
      </c>
      <c r="D2172" t="s">
        <v>4451</v>
      </c>
      <c r="E2172" t="s">
        <v>99</v>
      </c>
      <c r="F2172" t="s">
        <v>154</v>
      </c>
      <c r="G2172" t="s">
        <v>4452</v>
      </c>
      <c r="H2172" t="str">
        <f>"ΑΝΑΓΕΝΝΗΣΕΩΣ 16 ΗΡΑΚΛΕΙΟ"</f>
        <v>ΑΝΑΓΕΝΝΗΣΕΩΣ 16 ΗΡΑΚΛΕΙΟ</v>
      </c>
      <c r="I2172">
        <v>71305</v>
      </c>
      <c r="J2172">
        <v>2810325017</v>
      </c>
      <c r="K2172">
        <v>6944917663</v>
      </c>
      <c r="M2172" t="s">
        <v>4453</v>
      </c>
      <c r="N2172" t="s">
        <v>204</v>
      </c>
      <c r="O2172" t="s">
        <v>205</v>
      </c>
      <c r="R2172" t="s">
        <v>57</v>
      </c>
      <c r="S2172">
        <v>10</v>
      </c>
      <c r="T2172">
        <v>194</v>
      </c>
      <c r="U2172" s="1">
        <v>37497</v>
      </c>
      <c r="V2172" t="s">
        <v>123</v>
      </c>
      <c r="W2172" t="s">
        <v>124</v>
      </c>
      <c r="X2172" t="s">
        <v>58</v>
      </c>
      <c r="Y2172">
        <v>20</v>
      </c>
      <c r="Z2172" t="s">
        <v>59</v>
      </c>
      <c r="AA2172" t="s">
        <v>59</v>
      </c>
      <c r="AB2172" t="s">
        <v>59</v>
      </c>
      <c r="AC2172" t="s">
        <v>59</v>
      </c>
      <c r="AD2172" t="s">
        <v>59</v>
      </c>
      <c r="AF2172" s="1">
        <v>37501</v>
      </c>
      <c r="AG2172" t="s">
        <v>125</v>
      </c>
      <c r="AH2172" t="s">
        <v>590</v>
      </c>
      <c r="AI2172" t="str">
        <f>"1740060"</f>
        <v>1740060</v>
      </c>
      <c r="AJ2172" t="s">
        <v>591</v>
      </c>
      <c r="AK2172">
        <v>2810232117</v>
      </c>
      <c r="AL2172" t="s">
        <v>592</v>
      </c>
      <c r="AM2172" t="s">
        <v>78</v>
      </c>
      <c r="AN2172" t="s">
        <v>78</v>
      </c>
      <c r="AO2172" t="s">
        <v>78</v>
      </c>
      <c r="AP2172" t="s">
        <v>141</v>
      </c>
      <c r="AQ2172">
        <v>11</v>
      </c>
      <c r="AR2172" t="s">
        <v>123</v>
      </c>
      <c r="AS2172" t="s">
        <v>124</v>
      </c>
      <c r="AT2172" t="s">
        <v>58</v>
      </c>
      <c r="AU2172" t="s">
        <v>68</v>
      </c>
      <c r="AV2172" t="s">
        <v>69</v>
      </c>
      <c r="AW2172" s="1">
        <v>27581</v>
      </c>
      <c r="AX2172">
        <v>2</v>
      </c>
    </row>
    <row r="2173" spans="1:50">
      <c r="A2173">
        <v>193352</v>
      </c>
      <c r="B2173" t="str">
        <f>"037205848"</f>
        <v>037205848</v>
      </c>
      <c r="C2173" t="s">
        <v>50</v>
      </c>
      <c r="D2173" t="s">
        <v>4454</v>
      </c>
      <c r="E2173" t="s">
        <v>52</v>
      </c>
      <c r="F2173" t="s">
        <v>72</v>
      </c>
      <c r="G2173" t="s">
        <v>4455</v>
      </c>
      <c r="H2173" t="str">
        <f>"Λ.ΚΝΩΣΟΥ 96Β "</f>
        <v xml:space="preserve">Λ.ΚΝΩΣΟΥ 96Β </v>
      </c>
      <c r="I2173">
        <v>71306</v>
      </c>
      <c r="J2173">
        <v>2810325146</v>
      </c>
      <c r="K2173">
        <v>6972838382</v>
      </c>
      <c r="L2173">
        <v>6944176436</v>
      </c>
      <c r="M2173" t="s">
        <v>4456</v>
      </c>
      <c r="N2173" t="s">
        <v>146</v>
      </c>
      <c r="O2173" t="s">
        <v>147</v>
      </c>
      <c r="R2173" t="s">
        <v>57</v>
      </c>
      <c r="S2173">
        <v>11</v>
      </c>
      <c r="T2173">
        <v>193</v>
      </c>
      <c r="U2173" s="1">
        <v>37497</v>
      </c>
      <c r="V2173" t="s">
        <v>123</v>
      </c>
      <c r="W2173" t="s">
        <v>124</v>
      </c>
      <c r="X2173" t="s">
        <v>58</v>
      </c>
      <c r="Y2173">
        <v>18</v>
      </c>
      <c r="Z2173" t="s">
        <v>59</v>
      </c>
      <c r="AA2173" t="s">
        <v>59</v>
      </c>
      <c r="AB2173" t="s">
        <v>59</v>
      </c>
      <c r="AC2173" t="s">
        <v>59</v>
      </c>
      <c r="AD2173" t="s">
        <v>59</v>
      </c>
      <c r="AF2173" s="1">
        <v>37501</v>
      </c>
      <c r="AG2173" t="s">
        <v>125</v>
      </c>
      <c r="AH2173" t="s">
        <v>126</v>
      </c>
      <c r="AI2173" t="str">
        <f>"1701030"</f>
        <v>1701030</v>
      </c>
      <c r="AJ2173" t="s">
        <v>270</v>
      </c>
      <c r="AK2173">
        <v>2810361015</v>
      </c>
      <c r="AL2173" t="s">
        <v>271</v>
      </c>
      <c r="AM2173" t="s">
        <v>78</v>
      </c>
      <c r="AN2173" t="s">
        <v>78</v>
      </c>
      <c r="AO2173" t="s">
        <v>78</v>
      </c>
      <c r="AP2173" t="s">
        <v>163</v>
      </c>
      <c r="AQ2173">
        <v>2</v>
      </c>
      <c r="AR2173" t="s">
        <v>123</v>
      </c>
      <c r="AS2173" t="s">
        <v>124</v>
      </c>
      <c r="AT2173" t="s">
        <v>58</v>
      </c>
      <c r="AU2173" t="s">
        <v>68</v>
      </c>
      <c r="AV2173" t="s">
        <v>69</v>
      </c>
      <c r="AW2173" s="1">
        <v>24929</v>
      </c>
      <c r="AX2173">
        <v>2</v>
      </c>
    </row>
    <row r="2174" spans="1:50">
      <c r="A2174">
        <v>703522</v>
      </c>
      <c r="B2174" t="str">
        <f>"110101946"</f>
        <v>110101946</v>
      </c>
      <c r="C2174" t="s">
        <v>50</v>
      </c>
      <c r="D2174" t="s">
        <v>4454</v>
      </c>
      <c r="E2174" t="s">
        <v>52</v>
      </c>
      <c r="F2174" t="s">
        <v>111</v>
      </c>
      <c r="G2174" t="s">
        <v>414</v>
      </c>
      <c r="H2174" t="str">
        <f>"Γ. ΧΑΡΑΛΑΜΠΑΚΗ 1 ΗΡΑΚΛΕΙΟ"</f>
        <v>Γ. ΧΑΡΑΛΑΜΠΑΚΗ 1 ΗΡΑΚΛΕΙΟ</v>
      </c>
      <c r="I2174">
        <v>71410</v>
      </c>
      <c r="J2174">
        <v>2810335193</v>
      </c>
      <c r="K2174">
        <v>6972445756</v>
      </c>
      <c r="M2174" t="s">
        <v>4457</v>
      </c>
      <c r="N2174" t="s">
        <v>146</v>
      </c>
      <c r="O2174" t="s">
        <v>147</v>
      </c>
      <c r="R2174" t="s">
        <v>57</v>
      </c>
      <c r="S2174">
        <v>4</v>
      </c>
      <c r="T2174">
        <v>925</v>
      </c>
      <c r="U2174" s="1">
        <v>41158</v>
      </c>
      <c r="V2174" t="s">
        <v>123</v>
      </c>
      <c r="W2174" t="s">
        <v>124</v>
      </c>
      <c r="X2174" t="s">
        <v>58</v>
      </c>
      <c r="Y2174">
        <v>20</v>
      </c>
      <c r="Z2174" t="s">
        <v>59</v>
      </c>
      <c r="AA2174" t="s">
        <v>59</v>
      </c>
      <c r="AB2174" t="s">
        <v>59</v>
      </c>
      <c r="AC2174" t="s">
        <v>59</v>
      </c>
      <c r="AD2174" t="s">
        <v>59</v>
      </c>
      <c r="AF2174" s="1">
        <v>41159</v>
      </c>
      <c r="AG2174" t="s">
        <v>125</v>
      </c>
      <c r="AH2174" t="s">
        <v>126</v>
      </c>
      <c r="AI2174" t="str">
        <f>"1702010"</f>
        <v>1702010</v>
      </c>
      <c r="AJ2174" t="s">
        <v>604</v>
      </c>
      <c r="AK2174">
        <v>2891022228</v>
      </c>
      <c r="AL2174" t="s">
        <v>605</v>
      </c>
      <c r="AM2174" t="s">
        <v>78</v>
      </c>
      <c r="AN2174" t="s">
        <v>276</v>
      </c>
      <c r="AO2174" t="s">
        <v>490</v>
      </c>
      <c r="AP2174" t="s">
        <v>490</v>
      </c>
      <c r="AQ2174">
        <v>15</v>
      </c>
      <c r="AR2174" t="s">
        <v>123</v>
      </c>
      <c r="AS2174" t="s">
        <v>124</v>
      </c>
      <c r="AT2174" t="s">
        <v>58</v>
      </c>
      <c r="AU2174" t="s">
        <v>68</v>
      </c>
      <c r="AV2174" t="s">
        <v>69</v>
      </c>
      <c r="AW2174" s="1">
        <v>28009</v>
      </c>
      <c r="AX2174">
        <v>2</v>
      </c>
    </row>
    <row r="2175" spans="1:50">
      <c r="A2175">
        <v>185361</v>
      </c>
      <c r="B2175" t="str">
        <f>"033431965"</f>
        <v>033431965</v>
      </c>
      <c r="C2175" t="s">
        <v>105</v>
      </c>
      <c r="D2175" t="s">
        <v>4458</v>
      </c>
      <c r="E2175" t="s">
        <v>53</v>
      </c>
      <c r="F2175" t="s">
        <v>2233</v>
      </c>
      <c r="G2175" t="s">
        <v>181</v>
      </c>
      <c r="H2175" t="str">
        <f>" "</f>
        <v xml:space="preserve"> </v>
      </c>
      <c r="M2175" t="s">
        <v>4459</v>
      </c>
      <c r="N2175" t="s">
        <v>204</v>
      </c>
      <c r="O2175" t="s">
        <v>205</v>
      </c>
      <c r="R2175" t="s">
        <v>57</v>
      </c>
      <c r="S2175">
        <v>10</v>
      </c>
      <c r="T2175">
        <v>177</v>
      </c>
      <c r="U2175" s="1">
        <v>36403</v>
      </c>
      <c r="V2175" t="s">
        <v>123</v>
      </c>
      <c r="W2175" t="s">
        <v>124</v>
      </c>
      <c r="X2175" t="s">
        <v>58</v>
      </c>
      <c r="Y2175">
        <v>18</v>
      </c>
      <c r="Z2175" t="s">
        <v>59</v>
      </c>
      <c r="AA2175" t="s">
        <v>59</v>
      </c>
      <c r="AB2175" t="s">
        <v>59</v>
      </c>
      <c r="AC2175" t="s">
        <v>59</v>
      </c>
      <c r="AD2175" t="s">
        <v>59</v>
      </c>
      <c r="AF2175" s="1">
        <v>36411</v>
      </c>
      <c r="AG2175" t="s">
        <v>125</v>
      </c>
      <c r="AH2175" t="s">
        <v>126</v>
      </c>
      <c r="AI2175" t="str">
        <f>"1714012"</f>
        <v>1714012</v>
      </c>
      <c r="AJ2175" t="s">
        <v>633</v>
      </c>
      <c r="AK2175">
        <v>2810762261</v>
      </c>
      <c r="AL2175" t="s">
        <v>634</v>
      </c>
      <c r="AM2175" t="s">
        <v>78</v>
      </c>
      <c r="AN2175" t="s">
        <v>219</v>
      </c>
      <c r="AO2175" t="s">
        <v>297</v>
      </c>
      <c r="AP2175" t="s">
        <v>297</v>
      </c>
      <c r="AQ2175">
        <v>37</v>
      </c>
      <c r="AR2175" t="s">
        <v>123</v>
      </c>
      <c r="AS2175" t="s">
        <v>124</v>
      </c>
      <c r="AT2175" t="s">
        <v>58</v>
      </c>
      <c r="AU2175" t="s">
        <v>68</v>
      </c>
      <c r="AV2175" t="s">
        <v>69</v>
      </c>
      <c r="AW2175" s="1">
        <v>23770</v>
      </c>
      <c r="AX2175">
        <v>2</v>
      </c>
    </row>
    <row r="2176" spans="1:50">
      <c r="A2176">
        <v>198284</v>
      </c>
      <c r="B2176" t="str">
        <f>"043639932"</f>
        <v>043639932</v>
      </c>
      <c r="C2176" t="s">
        <v>50</v>
      </c>
      <c r="D2176" t="s">
        <v>4460</v>
      </c>
      <c r="E2176" t="s">
        <v>4461</v>
      </c>
      <c r="F2176" t="s">
        <v>309</v>
      </c>
      <c r="G2176" t="s">
        <v>4462</v>
      </c>
      <c r="H2176" t="str">
        <f>" "</f>
        <v xml:space="preserve"> </v>
      </c>
      <c r="J2176">
        <v>2109346071</v>
      </c>
      <c r="N2176" t="s">
        <v>246</v>
      </c>
      <c r="O2176" t="s">
        <v>247</v>
      </c>
      <c r="R2176" t="s">
        <v>57</v>
      </c>
      <c r="S2176">
        <v>9</v>
      </c>
      <c r="T2176">
        <v>206</v>
      </c>
      <c r="U2176" s="1">
        <v>37866</v>
      </c>
      <c r="V2176" t="s">
        <v>123</v>
      </c>
      <c r="W2176" t="s">
        <v>124</v>
      </c>
      <c r="X2176" t="s">
        <v>58</v>
      </c>
      <c r="Y2176">
        <v>20</v>
      </c>
      <c r="Z2176" t="s">
        <v>59</v>
      </c>
      <c r="AA2176" t="s">
        <v>59</v>
      </c>
      <c r="AB2176" t="s">
        <v>59</v>
      </c>
      <c r="AC2176" t="s">
        <v>59</v>
      </c>
      <c r="AD2176" t="s">
        <v>59</v>
      </c>
      <c r="AF2176" s="1">
        <v>37866</v>
      </c>
      <c r="AG2176" t="s">
        <v>148</v>
      </c>
      <c r="AH2176" t="s">
        <v>149</v>
      </c>
      <c r="AI2176" t="str">
        <f>"1751030"</f>
        <v>1751030</v>
      </c>
      <c r="AJ2176" t="s">
        <v>234</v>
      </c>
      <c r="AK2176">
        <v>2810282911</v>
      </c>
      <c r="AL2176" t="s">
        <v>235</v>
      </c>
      <c r="AM2176" t="s">
        <v>78</v>
      </c>
      <c r="AN2176" t="s">
        <v>78</v>
      </c>
      <c r="AO2176" t="s">
        <v>78</v>
      </c>
      <c r="AP2176" t="s">
        <v>163</v>
      </c>
      <c r="AQ2176">
        <v>1</v>
      </c>
      <c r="AR2176" t="s">
        <v>123</v>
      </c>
      <c r="AS2176" t="s">
        <v>124</v>
      </c>
      <c r="AT2176" t="s">
        <v>58</v>
      </c>
      <c r="AU2176" t="s">
        <v>68</v>
      </c>
      <c r="AV2176" t="s">
        <v>69</v>
      </c>
      <c r="AW2176" s="1">
        <v>23980</v>
      </c>
      <c r="AX2176">
        <v>2</v>
      </c>
    </row>
    <row r="2177" spans="1:50">
      <c r="A2177">
        <v>195464</v>
      </c>
      <c r="B2177" t="str">
        <f>"103504364"</f>
        <v>103504364</v>
      </c>
      <c r="C2177" t="s">
        <v>50</v>
      </c>
      <c r="D2177" t="s">
        <v>4463</v>
      </c>
      <c r="E2177" t="s">
        <v>237</v>
      </c>
      <c r="F2177" t="s">
        <v>166</v>
      </c>
      <c r="G2177" t="s">
        <v>250</v>
      </c>
      <c r="H2177" t="str">
        <f>" "</f>
        <v xml:space="preserve"> </v>
      </c>
      <c r="N2177" t="s">
        <v>146</v>
      </c>
      <c r="O2177" t="s">
        <v>147</v>
      </c>
      <c r="R2177" t="s">
        <v>57</v>
      </c>
      <c r="S2177">
        <v>10</v>
      </c>
      <c r="T2177">
        <v>194</v>
      </c>
      <c r="U2177" s="1">
        <v>37497</v>
      </c>
      <c r="V2177" t="s">
        <v>123</v>
      </c>
      <c r="W2177" t="s">
        <v>124</v>
      </c>
      <c r="X2177" t="s">
        <v>58</v>
      </c>
      <c r="Y2177">
        <v>20</v>
      </c>
      <c r="Z2177" t="s">
        <v>59</v>
      </c>
      <c r="AA2177" t="s">
        <v>59</v>
      </c>
      <c r="AB2177" t="s">
        <v>59</v>
      </c>
      <c r="AC2177" t="s">
        <v>59</v>
      </c>
      <c r="AD2177" t="s">
        <v>59</v>
      </c>
      <c r="AF2177" s="1">
        <v>37501</v>
      </c>
      <c r="AG2177" t="s">
        <v>148</v>
      </c>
      <c r="AH2177" t="s">
        <v>149</v>
      </c>
      <c r="AI2177" t="str">
        <f>"1751020"</f>
        <v>1751020</v>
      </c>
      <c r="AJ2177" t="s">
        <v>532</v>
      </c>
      <c r="AK2177">
        <v>2810372732</v>
      </c>
      <c r="AL2177" t="s">
        <v>533</v>
      </c>
      <c r="AM2177" t="s">
        <v>78</v>
      </c>
      <c r="AN2177" t="s">
        <v>78</v>
      </c>
      <c r="AO2177" t="s">
        <v>78</v>
      </c>
      <c r="AP2177" t="s">
        <v>163</v>
      </c>
      <c r="AQ2177">
        <v>3</v>
      </c>
      <c r="AR2177" t="s">
        <v>123</v>
      </c>
      <c r="AS2177" t="s">
        <v>124</v>
      </c>
      <c r="AT2177" t="s">
        <v>58</v>
      </c>
      <c r="AU2177" t="s">
        <v>68</v>
      </c>
      <c r="AV2177" t="s">
        <v>69</v>
      </c>
      <c r="AW2177" s="1">
        <v>28405</v>
      </c>
      <c r="AX2177">
        <v>2</v>
      </c>
    </row>
    <row r="2178" spans="1:50">
      <c r="A2178">
        <v>600445</v>
      </c>
      <c r="B2178" t="str">
        <f>"063107642"</f>
        <v>063107642</v>
      </c>
      <c r="C2178" t="s">
        <v>50</v>
      </c>
      <c r="D2178" t="s">
        <v>4463</v>
      </c>
      <c r="E2178" t="s">
        <v>73</v>
      </c>
      <c r="F2178" t="s">
        <v>95</v>
      </c>
      <c r="G2178" t="s">
        <v>83</v>
      </c>
      <c r="H2178" t="str">
        <f>"Μ. ΒΛΑΧΟΥ 55 "</f>
        <v xml:space="preserve">Μ. ΒΛΑΧΟΥ 55 </v>
      </c>
      <c r="I2178">
        <v>71305</v>
      </c>
      <c r="J2178">
        <v>2810322455</v>
      </c>
      <c r="K2178">
        <v>6932997539</v>
      </c>
      <c r="M2178" t="s">
        <v>4464</v>
      </c>
      <c r="N2178" t="s">
        <v>146</v>
      </c>
      <c r="O2178" t="s">
        <v>147</v>
      </c>
      <c r="R2178" t="s">
        <v>57</v>
      </c>
      <c r="S2178">
        <v>9</v>
      </c>
      <c r="T2178">
        <v>195</v>
      </c>
      <c r="U2178" s="1">
        <v>37497</v>
      </c>
      <c r="V2178" t="s">
        <v>123</v>
      </c>
      <c r="W2178" t="s">
        <v>124</v>
      </c>
      <c r="X2178" t="s">
        <v>58</v>
      </c>
      <c r="Y2178">
        <v>20</v>
      </c>
      <c r="Z2178" t="s">
        <v>59</v>
      </c>
      <c r="AA2178" t="s">
        <v>59</v>
      </c>
      <c r="AB2178" t="s">
        <v>59</v>
      </c>
      <c r="AC2178" t="s">
        <v>59</v>
      </c>
      <c r="AD2178" t="s">
        <v>59</v>
      </c>
      <c r="AF2178" s="1">
        <v>37501</v>
      </c>
      <c r="AG2178" t="s">
        <v>148</v>
      </c>
      <c r="AH2178" t="s">
        <v>1053</v>
      </c>
      <c r="AI2178" t="str">
        <f>"1790200"</f>
        <v>1790200</v>
      </c>
      <c r="AJ2178" t="s">
        <v>1054</v>
      </c>
      <c r="AK2178">
        <v>2810360880</v>
      </c>
      <c r="AL2178" t="s">
        <v>1055</v>
      </c>
      <c r="AM2178" t="s">
        <v>78</v>
      </c>
      <c r="AN2178" t="s">
        <v>78</v>
      </c>
      <c r="AO2178" t="s">
        <v>78</v>
      </c>
      <c r="AP2178" t="s">
        <v>163</v>
      </c>
      <c r="AQ2178">
        <v>8</v>
      </c>
      <c r="AR2178" t="s">
        <v>123</v>
      </c>
      <c r="AS2178" t="s">
        <v>124</v>
      </c>
      <c r="AT2178" t="s">
        <v>58</v>
      </c>
      <c r="AU2178" t="s">
        <v>68</v>
      </c>
      <c r="AV2178" t="s">
        <v>69</v>
      </c>
      <c r="AW2178" s="1">
        <v>25993</v>
      </c>
      <c r="AX2178">
        <v>2</v>
      </c>
    </row>
    <row r="2179" spans="1:50">
      <c r="A2179">
        <v>700283</v>
      </c>
      <c r="B2179" t="str">
        <f>"103504352"</f>
        <v>103504352</v>
      </c>
      <c r="C2179" t="s">
        <v>50</v>
      </c>
      <c r="D2179" t="s">
        <v>4463</v>
      </c>
      <c r="E2179" t="s">
        <v>215</v>
      </c>
      <c r="F2179" t="s">
        <v>166</v>
      </c>
      <c r="G2179" t="s">
        <v>250</v>
      </c>
      <c r="H2179" t="str">
        <f>"ΗΡΑΚΛΗ 63  "</f>
        <v xml:space="preserve">ΗΡΑΚΛΗ 63  </v>
      </c>
      <c r="I2179">
        <v>71305</v>
      </c>
      <c r="J2179">
        <v>2810237942</v>
      </c>
      <c r="K2179">
        <v>6974345785</v>
      </c>
      <c r="M2179" t="s">
        <v>4465</v>
      </c>
      <c r="N2179" t="s">
        <v>146</v>
      </c>
      <c r="O2179" t="s">
        <v>147</v>
      </c>
      <c r="R2179" t="s">
        <v>57</v>
      </c>
      <c r="S2179">
        <v>6</v>
      </c>
      <c r="T2179">
        <v>772</v>
      </c>
      <c r="U2179" s="1">
        <v>40413</v>
      </c>
      <c r="V2179" t="s">
        <v>123</v>
      </c>
      <c r="W2179" t="s">
        <v>124</v>
      </c>
      <c r="X2179" t="s">
        <v>58</v>
      </c>
      <c r="Y2179">
        <v>21</v>
      </c>
      <c r="Z2179" t="s">
        <v>59</v>
      </c>
      <c r="AA2179" t="s">
        <v>59</v>
      </c>
      <c r="AB2179" t="s">
        <v>59</v>
      </c>
      <c r="AC2179" t="s">
        <v>59</v>
      </c>
      <c r="AD2179" t="s">
        <v>59</v>
      </c>
      <c r="AF2179" s="1">
        <v>40413</v>
      </c>
      <c r="AG2179" t="s">
        <v>125</v>
      </c>
      <c r="AH2179" t="s">
        <v>126</v>
      </c>
      <c r="AI2179" t="str">
        <f>"1707010"</f>
        <v>1707010</v>
      </c>
      <c r="AJ2179" t="s">
        <v>757</v>
      </c>
      <c r="AK2179">
        <v>2892041211</v>
      </c>
      <c r="AL2179" t="s">
        <v>758</v>
      </c>
      <c r="AM2179" t="s">
        <v>78</v>
      </c>
      <c r="AN2179" t="s">
        <v>242</v>
      </c>
      <c r="AO2179" t="s">
        <v>243</v>
      </c>
      <c r="AP2179" t="s">
        <v>244</v>
      </c>
      <c r="AQ2179">
        <v>34</v>
      </c>
      <c r="AR2179" t="s">
        <v>123</v>
      </c>
      <c r="AS2179" t="s">
        <v>124</v>
      </c>
      <c r="AT2179" t="s">
        <v>58</v>
      </c>
      <c r="AU2179" t="s">
        <v>68</v>
      </c>
      <c r="AV2179" t="s">
        <v>69</v>
      </c>
      <c r="AW2179" s="1">
        <v>29061</v>
      </c>
      <c r="AX2179">
        <v>2</v>
      </c>
    </row>
    <row r="2180" spans="1:50">
      <c r="A2180">
        <v>203165</v>
      </c>
      <c r="B2180" t="str">
        <f>"062792460"</f>
        <v>062792460</v>
      </c>
      <c r="C2180" t="s">
        <v>50</v>
      </c>
      <c r="D2180" t="s">
        <v>4463</v>
      </c>
      <c r="E2180" t="s">
        <v>52</v>
      </c>
      <c r="F2180" t="s">
        <v>84</v>
      </c>
      <c r="G2180" t="s">
        <v>476</v>
      </c>
      <c r="H2180" t="str">
        <f>" "</f>
        <v xml:space="preserve"> </v>
      </c>
      <c r="J2180">
        <v>2810324641</v>
      </c>
      <c r="K2180">
        <v>6932390007</v>
      </c>
      <c r="N2180" t="s">
        <v>478</v>
      </c>
      <c r="O2180" t="s">
        <v>479</v>
      </c>
      <c r="R2180" t="s">
        <v>57</v>
      </c>
      <c r="S2180">
        <v>6</v>
      </c>
      <c r="T2180">
        <v>231</v>
      </c>
      <c r="U2180" s="1">
        <v>38230</v>
      </c>
      <c r="V2180" t="s">
        <v>123</v>
      </c>
      <c r="W2180" t="s">
        <v>124</v>
      </c>
      <c r="X2180" t="s">
        <v>58</v>
      </c>
      <c r="Y2180">
        <v>20</v>
      </c>
      <c r="Z2180" t="s">
        <v>59</v>
      </c>
      <c r="AA2180" t="s">
        <v>59</v>
      </c>
      <c r="AB2180" t="s">
        <v>59</v>
      </c>
      <c r="AC2180" t="s">
        <v>59</v>
      </c>
      <c r="AD2180" t="s">
        <v>59</v>
      </c>
      <c r="AF2180" s="1">
        <v>38233</v>
      </c>
      <c r="AG2180" t="s">
        <v>125</v>
      </c>
      <c r="AH2180" t="s">
        <v>126</v>
      </c>
      <c r="AI2180" t="str">
        <f>"1701056"</f>
        <v>1701056</v>
      </c>
      <c r="AJ2180" t="s">
        <v>211</v>
      </c>
      <c r="AK2180">
        <v>2810245445</v>
      </c>
      <c r="AL2180" t="s">
        <v>212</v>
      </c>
      <c r="AM2180" t="s">
        <v>78</v>
      </c>
      <c r="AN2180" t="s">
        <v>78</v>
      </c>
      <c r="AO2180" t="s">
        <v>78</v>
      </c>
      <c r="AP2180" t="s">
        <v>213</v>
      </c>
      <c r="AQ2180">
        <v>6</v>
      </c>
      <c r="AR2180" t="s">
        <v>123</v>
      </c>
      <c r="AS2180" t="s">
        <v>124</v>
      </c>
      <c r="AT2180" t="s">
        <v>58</v>
      </c>
      <c r="AU2180" t="s">
        <v>68</v>
      </c>
      <c r="AV2180" t="s">
        <v>69</v>
      </c>
      <c r="AW2180" s="1">
        <v>26613</v>
      </c>
      <c r="AX2180">
        <v>2</v>
      </c>
    </row>
    <row r="2181" spans="1:50">
      <c r="B2181" t="str">
        <f>"301768450"</f>
        <v>301768450</v>
      </c>
      <c r="C2181" t="s">
        <v>50</v>
      </c>
      <c r="D2181" t="s">
        <v>4466</v>
      </c>
      <c r="E2181" t="s">
        <v>52</v>
      </c>
      <c r="F2181" t="s">
        <v>95</v>
      </c>
      <c r="H2181" t="str">
        <f>" "</f>
        <v xml:space="preserve"> </v>
      </c>
      <c r="J2181">
        <v>2810528848</v>
      </c>
      <c r="K2181">
        <v>6971983027</v>
      </c>
      <c r="N2181" t="s">
        <v>536</v>
      </c>
      <c r="O2181" t="s">
        <v>537</v>
      </c>
      <c r="R2181" t="s">
        <v>159</v>
      </c>
      <c r="S2181">
        <v>3</v>
      </c>
      <c r="T2181" t="s">
        <v>344</v>
      </c>
      <c r="U2181" s="1">
        <v>43348</v>
      </c>
      <c r="V2181" t="s">
        <v>123</v>
      </c>
      <c r="W2181" t="s">
        <v>124</v>
      </c>
      <c r="X2181" t="s">
        <v>58</v>
      </c>
      <c r="Y2181">
        <v>23</v>
      </c>
      <c r="Z2181" t="s">
        <v>59</v>
      </c>
      <c r="AA2181" t="s">
        <v>59</v>
      </c>
      <c r="AB2181" t="s">
        <v>59</v>
      </c>
      <c r="AC2181" t="s">
        <v>59</v>
      </c>
      <c r="AD2181" t="s">
        <v>59</v>
      </c>
      <c r="AF2181" s="1">
        <v>43348</v>
      </c>
      <c r="AG2181" t="s">
        <v>125</v>
      </c>
      <c r="AH2181" t="s">
        <v>126</v>
      </c>
      <c r="AI2181" t="str">
        <f>"1701056"</f>
        <v>1701056</v>
      </c>
      <c r="AJ2181" t="s">
        <v>211</v>
      </c>
      <c r="AK2181">
        <v>2810245445</v>
      </c>
      <c r="AL2181" t="s">
        <v>212</v>
      </c>
      <c r="AM2181" t="s">
        <v>78</v>
      </c>
      <c r="AN2181" t="s">
        <v>78</v>
      </c>
      <c r="AO2181" t="s">
        <v>78</v>
      </c>
      <c r="AP2181" t="s">
        <v>213</v>
      </c>
      <c r="AQ2181">
        <v>6</v>
      </c>
      <c r="AR2181" t="s">
        <v>123</v>
      </c>
      <c r="AS2181" t="s">
        <v>124</v>
      </c>
      <c r="AT2181" t="s">
        <v>58</v>
      </c>
      <c r="AU2181" t="s">
        <v>350</v>
      </c>
      <c r="AV2181" t="s">
        <v>132</v>
      </c>
      <c r="AW2181" s="1">
        <v>31492</v>
      </c>
      <c r="AX2181">
        <v>2</v>
      </c>
    </row>
    <row r="2182" spans="1:50">
      <c r="A2182">
        <v>207458</v>
      </c>
      <c r="B2182" t="str">
        <f>"025954580"</f>
        <v>025954580</v>
      </c>
      <c r="C2182" t="s">
        <v>50</v>
      </c>
      <c r="D2182" t="s">
        <v>4467</v>
      </c>
      <c r="E2182" t="s">
        <v>237</v>
      </c>
      <c r="F2182" t="s">
        <v>72</v>
      </c>
      <c r="G2182" t="s">
        <v>250</v>
      </c>
      <c r="H2182" t="str">
        <f>"ΧΟΡΤΑΤΣΩΝ 27 ΗΡΑΚΛΕΙΟ"</f>
        <v>ΧΟΡΤΑΤΣΩΝ 27 ΗΡΑΚΛΕΙΟ</v>
      </c>
      <c r="I2182">
        <v>71202</v>
      </c>
      <c r="J2182">
        <v>2810251076</v>
      </c>
      <c r="K2182">
        <v>6942550808</v>
      </c>
      <c r="N2182" t="s">
        <v>199</v>
      </c>
      <c r="O2182" t="s">
        <v>200</v>
      </c>
      <c r="R2182" t="s">
        <v>57</v>
      </c>
      <c r="S2182">
        <v>11</v>
      </c>
      <c r="T2182">
        <v>218</v>
      </c>
      <c r="U2182" s="1">
        <v>38596</v>
      </c>
      <c r="V2182" t="s">
        <v>123</v>
      </c>
      <c r="W2182" t="s">
        <v>124</v>
      </c>
      <c r="X2182" t="s">
        <v>58</v>
      </c>
      <c r="Y2182">
        <v>20</v>
      </c>
      <c r="Z2182" t="s">
        <v>59</v>
      </c>
      <c r="AA2182" t="s">
        <v>59</v>
      </c>
      <c r="AB2182" t="s">
        <v>59</v>
      </c>
      <c r="AC2182" t="s">
        <v>59</v>
      </c>
      <c r="AD2182" t="s">
        <v>59</v>
      </c>
      <c r="AF2182" s="1">
        <v>38600</v>
      </c>
      <c r="AG2182" t="s">
        <v>125</v>
      </c>
      <c r="AH2182" t="s">
        <v>126</v>
      </c>
      <c r="AI2182" t="str">
        <f>"1701056"</f>
        <v>1701056</v>
      </c>
      <c r="AJ2182" t="s">
        <v>211</v>
      </c>
      <c r="AK2182">
        <v>2810245445</v>
      </c>
      <c r="AL2182" t="s">
        <v>212</v>
      </c>
      <c r="AM2182" t="s">
        <v>78</v>
      </c>
      <c r="AN2182" t="s">
        <v>78</v>
      </c>
      <c r="AO2182" t="s">
        <v>78</v>
      </c>
      <c r="AP2182" t="s">
        <v>213</v>
      </c>
      <c r="AQ2182">
        <v>6</v>
      </c>
      <c r="AR2182" t="s">
        <v>123</v>
      </c>
      <c r="AS2182" t="s">
        <v>124</v>
      </c>
      <c r="AT2182" t="s">
        <v>58</v>
      </c>
      <c r="AU2182" t="s">
        <v>68</v>
      </c>
      <c r="AV2182" t="s">
        <v>69</v>
      </c>
      <c r="AW2182" s="1">
        <v>22435</v>
      </c>
      <c r="AX2182">
        <v>2</v>
      </c>
    </row>
    <row r="2183" spans="1:50">
      <c r="A2183">
        <v>163279</v>
      </c>
      <c r="B2183" t="str">
        <f>"119686703"</f>
        <v>119686703</v>
      </c>
      <c r="C2183" t="s">
        <v>50</v>
      </c>
      <c r="D2183" t="s">
        <v>4468</v>
      </c>
      <c r="E2183" t="s">
        <v>83</v>
      </c>
      <c r="F2183" t="s">
        <v>1328</v>
      </c>
      <c r="G2183" t="s">
        <v>215</v>
      </c>
      <c r="H2183" t="str">
        <f>"ΙΣΜΗΝΗΣ 15 ΗΡΑΚΛΕΙΟ"</f>
        <v>ΙΣΜΗΝΗΣ 15 ΗΡΑΚΛΕΙΟ</v>
      </c>
      <c r="I2183">
        <v>71305</v>
      </c>
      <c r="J2183">
        <v>2810286190</v>
      </c>
      <c r="K2183">
        <v>6976000454</v>
      </c>
      <c r="M2183" t="s">
        <v>4469</v>
      </c>
      <c r="N2183" t="s">
        <v>257</v>
      </c>
      <c r="O2183" t="s">
        <v>258</v>
      </c>
      <c r="R2183" t="s">
        <v>57</v>
      </c>
      <c r="S2183">
        <v>13</v>
      </c>
      <c r="T2183">
        <v>132</v>
      </c>
      <c r="U2183" s="1">
        <v>33456</v>
      </c>
      <c r="V2183" t="s">
        <v>123</v>
      </c>
      <c r="W2183" t="s">
        <v>124</v>
      </c>
      <c r="X2183" t="s">
        <v>58</v>
      </c>
      <c r="Y2183">
        <v>18</v>
      </c>
      <c r="Z2183" t="s">
        <v>59</v>
      </c>
      <c r="AA2183" t="s">
        <v>59</v>
      </c>
      <c r="AB2183" t="s">
        <v>59</v>
      </c>
      <c r="AC2183" t="s">
        <v>59</v>
      </c>
      <c r="AD2183" t="s">
        <v>59</v>
      </c>
      <c r="AF2183" s="1">
        <v>33487</v>
      </c>
      <c r="AG2183" t="s">
        <v>125</v>
      </c>
      <c r="AH2183" t="s">
        <v>126</v>
      </c>
      <c r="AI2183" t="str">
        <f>"1701020"</f>
        <v>1701020</v>
      </c>
      <c r="AJ2183" t="s">
        <v>323</v>
      </c>
      <c r="AK2183">
        <v>2810252111</v>
      </c>
      <c r="AL2183" t="s">
        <v>324</v>
      </c>
      <c r="AM2183" t="s">
        <v>78</v>
      </c>
      <c r="AN2183" t="s">
        <v>78</v>
      </c>
      <c r="AO2183" t="s">
        <v>78</v>
      </c>
      <c r="AP2183" t="s">
        <v>163</v>
      </c>
      <c r="AQ2183">
        <v>3</v>
      </c>
      <c r="AR2183" t="s">
        <v>123</v>
      </c>
      <c r="AS2183" t="s">
        <v>124</v>
      </c>
      <c r="AT2183" t="s">
        <v>58</v>
      </c>
      <c r="AU2183" t="s">
        <v>68</v>
      </c>
      <c r="AV2183" t="s">
        <v>69</v>
      </c>
      <c r="AW2183" s="1">
        <v>19814</v>
      </c>
      <c r="AX2183">
        <v>2</v>
      </c>
    </row>
    <row r="2184" spans="1:50">
      <c r="A2184">
        <v>189682</v>
      </c>
      <c r="B2184" t="str">
        <f>"031432886"</f>
        <v>031432886</v>
      </c>
      <c r="C2184" t="s">
        <v>50</v>
      </c>
      <c r="D2184" t="s">
        <v>4470</v>
      </c>
      <c r="E2184" t="s">
        <v>699</v>
      </c>
      <c r="F2184" t="s">
        <v>510</v>
      </c>
      <c r="G2184" t="s">
        <v>4471</v>
      </c>
      <c r="H2184" t="str">
        <f>" "</f>
        <v xml:space="preserve"> </v>
      </c>
      <c r="N2184" t="s">
        <v>146</v>
      </c>
      <c r="O2184" t="s">
        <v>147</v>
      </c>
      <c r="R2184" t="s">
        <v>57</v>
      </c>
      <c r="S2184">
        <v>9</v>
      </c>
      <c r="T2184">
        <v>219</v>
      </c>
      <c r="U2184" s="1">
        <v>37134</v>
      </c>
      <c r="V2184" t="s">
        <v>123</v>
      </c>
      <c r="W2184" t="s">
        <v>124</v>
      </c>
      <c r="X2184" t="s">
        <v>58</v>
      </c>
      <c r="Y2184">
        <v>20</v>
      </c>
      <c r="Z2184" t="s">
        <v>59</v>
      </c>
      <c r="AA2184" t="s">
        <v>59</v>
      </c>
      <c r="AB2184" t="s">
        <v>59</v>
      </c>
      <c r="AC2184" t="s">
        <v>59</v>
      </c>
      <c r="AD2184" t="s">
        <v>59</v>
      </c>
      <c r="AF2184" s="1">
        <v>37501</v>
      </c>
      <c r="AG2184" t="s">
        <v>125</v>
      </c>
      <c r="AH2184" t="s">
        <v>386</v>
      </c>
      <c r="AI2184" t="str">
        <f>"1741002"</f>
        <v>1741002</v>
      </c>
      <c r="AJ2184" t="s">
        <v>387</v>
      </c>
      <c r="AK2184">
        <v>2810762610</v>
      </c>
      <c r="AL2184" t="s">
        <v>388</v>
      </c>
      <c r="AM2184" t="s">
        <v>78</v>
      </c>
      <c r="AN2184" t="s">
        <v>219</v>
      </c>
      <c r="AO2184" t="s">
        <v>297</v>
      </c>
      <c r="AP2184" t="s">
        <v>297</v>
      </c>
      <c r="AQ2184">
        <v>10</v>
      </c>
      <c r="AR2184" t="s">
        <v>123</v>
      </c>
      <c r="AS2184" t="s">
        <v>124</v>
      </c>
      <c r="AT2184" t="s">
        <v>58</v>
      </c>
      <c r="AU2184" t="s">
        <v>68</v>
      </c>
      <c r="AV2184" t="s">
        <v>69</v>
      </c>
      <c r="AW2184" s="1">
        <v>24349</v>
      </c>
      <c r="AX2184">
        <v>2</v>
      </c>
    </row>
    <row r="2185" spans="1:50">
      <c r="A2185">
        <v>185674</v>
      </c>
      <c r="B2185" t="str">
        <f>"075008993"</f>
        <v>075008993</v>
      </c>
      <c r="C2185" t="s">
        <v>105</v>
      </c>
      <c r="D2185" t="s">
        <v>4472</v>
      </c>
      <c r="E2185" t="s">
        <v>2002</v>
      </c>
      <c r="F2185" t="s">
        <v>53</v>
      </c>
      <c r="G2185" t="s">
        <v>83</v>
      </c>
      <c r="H2185" t="str">
        <f>"ΡΑΥΚΟΥ   2 ΘΕΡΙΣΣΟΣ"</f>
        <v>ΡΑΥΚΟΥ   2 ΘΕΡΙΣΣΟΣ</v>
      </c>
      <c r="I2185">
        <v>71304</v>
      </c>
      <c r="J2185">
        <v>2810318921</v>
      </c>
      <c r="K2185">
        <v>6978352917</v>
      </c>
      <c r="M2185" t="s">
        <v>4473</v>
      </c>
      <c r="N2185" t="s">
        <v>157</v>
      </c>
      <c r="O2185" t="s">
        <v>158</v>
      </c>
      <c r="R2185" t="s">
        <v>57</v>
      </c>
      <c r="S2185">
        <v>9</v>
      </c>
      <c r="T2185">
        <v>250</v>
      </c>
      <c r="U2185" s="1">
        <v>36769</v>
      </c>
      <c r="V2185" t="s">
        <v>123</v>
      </c>
      <c r="W2185" t="s">
        <v>124</v>
      </c>
      <c r="X2185" t="s">
        <v>58</v>
      </c>
      <c r="Y2185">
        <v>20</v>
      </c>
      <c r="Z2185" t="s">
        <v>59</v>
      </c>
      <c r="AA2185" t="s">
        <v>59</v>
      </c>
      <c r="AB2185" t="s">
        <v>59</v>
      </c>
      <c r="AC2185" t="s">
        <v>59</v>
      </c>
      <c r="AD2185" t="s">
        <v>59</v>
      </c>
      <c r="AF2185" s="1">
        <v>36775</v>
      </c>
      <c r="AG2185" t="s">
        <v>148</v>
      </c>
      <c r="AH2185" t="s">
        <v>149</v>
      </c>
      <c r="AI2185" t="str">
        <f>"1777010"</f>
        <v>1777010</v>
      </c>
      <c r="AJ2185" t="s">
        <v>612</v>
      </c>
      <c r="AK2185">
        <v>2810229220</v>
      </c>
      <c r="AL2185" t="s">
        <v>613</v>
      </c>
      <c r="AM2185" t="s">
        <v>78</v>
      </c>
      <c r="AN2185" t="s">
        <v>78</v>
      </c>
      <c r="AO2185" t="s">
        <v>286</v>
      </c>
      <c r="AP2185" t="s">
        <v>286</v>
      </c>
      <c r="AQ2185">
        <v>12</v>
      </c>
      <c r="AR2185" t="s">
        <v>123</v>
      </c>
      <c r="AS2185" t="s">
        <v>124</v>
      </c>
      <c r="AT2185" t="s">
        <v>58</v>
      </c>
      <c r="AU2185" t="s">
        <v>68</v>
      </c>
      <c r="AV2185" t="s">
        <v>69</v>
      </c>
      <c r="AW2185" s="1">
        <v>25389</v>
      </c>
      <c r="AX2185">
        <v>2</v>
      </c>
    </row>
    <row r="2186" spans="1:50">
      <c r="A2186">
        <v>193354</v>
      </c>
      <c r="B2186" t="str">
        <f>"044806750"</f>
        <v>044806750</v>
      </c>
      <c r="C2186" t="s">
        <v>50</v>
      </c>
      <c r="D2186" t="s">
        <v>4474</v>
      </c>
      <c r="E2186" t="s">
        <v>1074</v>
      </c>
      <c r="F2186" t="s">
        <v>106</v>
      </c>
      <c r="G2186" t="s">
        <v>73</v>
      </c>
      <c r="H2186" t="str">
        <f>"ΚΟΡΙΝΘΟΥ 1 ΗΡΑΚΛΕΙΟ"</f>
        <v>ΚΟΡΙΝΘΟΥ 1 ΗΡΑΚΛΕΙΟ</v>
      </c>
      <c r="I2186">
        <v>71409</v>
      </c>
      <c r="J2186">
        <v>2810361201</v>
      </c>
      <c r="K2186">
        <v>6937037081</v>
      </c>
      <c r="L2186">
        <v>2810237721</v>
      </c>
      <c r="M2186" t="s">
        <v>4475</v>
      </c>
      <c r="N2186" t="s">
        <v>146</v>
      </c>
      <c r="O2186" t="s">
        <v>147</v>
      </c>
      <c r="R2186" t="s">
        <v>57</v>
      </c>
      <c r="S2186">
        <v>8</v>
      </c>
      <c r="T2186">
        <v>193</v>
      </c>
      <c r="U2186" s="1">
        <v>37497</v>
      </c>
      <c r="V2186" t="s">
        <v>123</v>
      </c>
      <c r="W2186" t="s">
        <v>124</v>
      </c>
      <c r="X2186" t="s">
        <v>58</v>
      </c>
      <c r="Y2186">
        <v>20</v>
      </c>
      <c r="Z2186" t="s">
        <v>59</v>
      </c>
      <c r="AA2186" t="s">
        <v>59</v>
      </c>
      <c r="AB2186" t="s">
        <v>59</v>
      </c>
      <c r="AC2186" t="s">
        <v>59</v>
      </c>
      <c r="AD2186" t="s">
        <v>59</v>
      </c>
      <c r="AF2186" s="1">
        <v>37501</v>
      </c>
      <c r="AG2186" t="s">
        <v>148</v>
      </c>
      <c r="AH2186" t="s">
        <v>149</v>
      </c>
      <c r="AI2186" t="str">
        <f>"1751041"</f>
        <v>1751041</v>
      </c>
      <c r="AJ2186" t="s">
        <v>353</v>
      </c>
      <c r="AK2186">
        <v>2810230207</v>
      </c>
      <c r="AL2186" t="s">
        <v>354</v>
      </c>
      <c r="AM2186" t="s">
        <v>78</v>
      </c>
      <c r="AN2186" t="s">
        <v>78</v>
      </c>
      <c r="AO2186" t="s">
        <v>78</v>
      </c>
      <c r="AP2186" t="s">
        <v>163</v>
      </c>
      <c r="AQ2186">
        <v>2</v>
      </c>
      <c r="AR2186" t="s">
        <v>123</v>
      </c>
      <c r="AS2186" t="s">
        <v>124</v>
      </c>
      <c r="AT2186" t="s">
        <v>58</v>
      </c>
      <c r="AU2186" t="s">
        <v>68</v>
      </c>
      <c r="AV2186" t="s">
        <v>69</v>
      </c>
      <c r="AW2186" s="1">
        <v>24861</v>
      </c>
      <c r="AX2186">
        <v>2</v>
      </c>
    </row>
    <row r="2187" spans="1:50">
      <c r="A2187">
        <v>212556</v>
      </c>
      <c r="B2187" t="str">
        <f>"044019650"</f>
        <v>044019650</v>
      </c>
      <c r="C2187" t="s">
        <v>50</v>
      </c>
      <c r="D2187" t="s">
        <v>4476</v>
      </c>
      <c r="E2187" t="s">
        <v>238</v>
      </c>
      <c r="F2187" t="s">
        <v>4140</v>
      </c>
      <c r="G2187" t="s">
        <v>2719</v>
      </c>
      <c r="H2187" t="str">
        <f>"ΚΥΚΛΑΔΩΝ-ΔΡΥΜΙΤΙΝΟΥ 1 "</f>
        <v xml:space="preserve">ΚΥΚΛΑΔΩΝ-ΔΡΥΜΙΤΙΝΟΥ 1 </v>
      </c>
      <c r="I2187">
        <v>71305</v>
      </c>
      <c r="J2187">
        <v>2810252123</v>
      </c>
      <c r="K2187">
        <v>6936644842</v>
      </c>
      <c r="M2187" t="s">
        <v>4477</v>
      </c>
      <c r="N2187" t="s">
        <v>146</v>
      </c>
      <c r="O2187" t="s">
        <v>147</v>
      </c>
      <c r="R2187" t="s">
        <v>57</v>
      </c>
      <c r="S2187">
        <v>8</v>
      </c>
      <c r="T2187">
        <v>231</v>
      </c>
      <c r="U2187" s="1">
        <v>38960</v>
      </c>
      <c r="V2187" t="s">
        <v>123</v>
      </c>
      <c r="W2187" t="s">
        <v>124</v>
      </c>
      <c r="X2187" t="s">
        <v>58</v>
      </c>
      <c r="Y2187">
        <v>20</v>
      </c>
      <c r="Z2187" t="s">
        <v>59</v>
      </c>
      <c r="AA2187" t="s">
        <v>59</v>
      </c>
      <c r="AB2187" t="s">
        <v>59</v>
      </c>
      <c r="AC2187" t="s">
        <v>59</v>
      </c>
      <c r="AD2187" t="s">
        <v>59</v>
      </c>
      <c r="AF2187" s="1">
        <v>38961</v>
      </c>
      <c r="AG2187" t="s">
        <v>125</v>
      </c>
      <c r="AH2187" t="s">
        <v>126</v>
      </c>
      <c r="AI2187" t="str">
        <f>"1701030"</f>
        <v>1701030</v>
      </c>
      <c r="AJ2187" t="s">
        <v>270</v>
      </c>
      <c r="AK2187">
        <v>2810361015</v>
      </c>
      <c r="AL2187" t="s">
        <v>271</v>
      </c>
      <c r="AM2187" t="s">
        <v>78</v>
      </c>
      <c r="AN2187" t="s">
        <v>78</v>
      </c>
      <c r="AO2187" t="s">
        <v>78</v>
      </c>
      <c r="AP2187" t="s">
        <v>163</v>
      </c>
      <c r="AQ2187">
        <v>2</v>
      </c>
      <c r="AR2187" t="s">
        <v>123</v>
      </c>
      <c r="AS2187" t="s">
        <v>124</v>
      </c>
      <c r="AT2187" t="s">
        <v>58</v>
      </c>
      <c r="AU2187" t="s">
        <v>68</v>
      </c>
      <c r="AV2187" t="s">
        <v>69</v>
      </c>
      <c r="AW2187" s="1">
        <v>24972</v>
      </c>
      <c r="AX2187">
        <v>2</v>
      </c>
    </row>
    <row r="2188" spans="1:50">
      <c r="A2188">
        <v>171011</v>
      </c>
      <c r="B2188" t="str">
        <f>"064583240"</f>
        <v>064583240</v>
      </c>
      <c r="C2188" t="s">
        <v>50</v>
      </c>
      <c r="D2188" t="s">
        <v>4478</v>
      </c>
      <c r="E2188" t="s">
        <v>372</v>
      </c>
      <c r="F2188" t="s">
        <v>377</v>
      </c>
      <c r="G2188" t="s">
        <v>112</v>
      </c>
      <c r="H2188" t="str">
        <f>"ΠΑΣΙΦΑΗΣ 7 ΗΡΑΚΛΕΙΟ"</f>
        <v>ΠΑΣΙΦΑΗΣ 7 ΗΡΑΚΛΕΙΟ</v>
      </c>
      <c r="I2188">
        <v>71202</v>
      </c>
      <c r="J2188">
        <v>2810220336</v>
      </c>
      <c r="K2188">
        <v>6945863629</v>
      </c>
      <c r="M2188" t="s">
        <v>4479</v>
      </c>
      <c r="N2188" t="s">
        <v>478</v>
      </c>
      <c r="O2188" t="s">
        <v>479</v>
      </c>
      <c r="R2188" t="s">
        <v>57</v>
      </c>
      <c r="S2188">
        <v>15</v>
      </c>
      <c r="T2188">
        <v>184</v>
      </c>
      <c r="U2188" s="1">
        <v>34941</v>
      </c>
      <c r="V2188" t="s">
        <v>123</v>
      </c>
      <c r="W2188" t="s">
        <v>124</v>
      </c>
      <c r="X2188" t="s">
        <v>58</v>
      </c>
      <c r="Y2188">
        <v>18</v>
      </c>
      <c r="Z2188" t="s">
        <v>59</v>
      </c>
      <c r="AA2188" t="s">
        <v>59</v>
      </c>
      <c r="AB2188" t="s">
        <v>59</v>
      </c>
      <c r="AC2188" t="s">
        <v>59</v>
      </c>
      <c r="AD2188" t="s">
        <v>59</v>
      </c>
      <c r="AF2188" s="1">
        <v>34947</v>
      </c>
      <c r="AG2188" t="s">
        <v>125</v>
      </c>
      <c r="AH2188" t="s">
        <v>126</v>
      </c>
      <c r="AI2188" t="str">
        <f>"1701010"</f>
        <v>1701010</v>
      </c>
      <c r="AJ2188" t="s">
        <v>374</v>
      </c>
      <c r="AK2188">
        <v>2810227148</v>
      </c>
      <c r="AL2188" t="s">
        <v>375</v>
      </c>
      <c r="AM2188" t="s">
        <v>78</v>
      </c>
      <c r="AN2188" t="s">
        <v>78</v>
      </c>
      <c r="AO2188" t="s">
        <v>78</v>
      </c>
      <c r="AP2188" t="s">
        <v>79</v>
      </c>
      <c r="AQ2188">
        <v>1</v>
      </c>
      <c r="AR2188" t="s">
        <v>123</v>
      </c>
      <c r="AS2188" t="s">
        <v>124</v>
      </c>
      <c r="AT2188" t="s">
        <v>58</v>
      </c>
      <c r="AU2188" t="s">
        <v>68</v>
      </c>
      <c r="AV2188" t="s">
        <v>69</v>
      </c>
      <c r="AW2188" s="1">
        <v>22487</v>
      </c>
      <c r="AX2188">
        <v>2</v>
      </c>
    </row>
    <row r="2189" spans="1:50">
      <c r="A2189">
        <v>206877</v>
      </c>
      <c r="B2189" t="str">
        <f>"030326705"</f>
        <v>030326705</v>
      </c>
      <c r="C2189" t="s">
        <v>50</v>
      </c>
      <c r="D2189" t="s">
        <v>4480</v>
      </c>
      <c r="E2189" t="s">
        <v>73</v>
      </c>
      <c r="F2189" t="s">
        <v>95</v>
      </c>
      <c r="G2189" t="s">
        <v>52</v>
      </c>
      <c r="H2189" t="str">
        <f>" ΑΡΧΑΝΕΣ ΗΡΑΚΛΕΙΟΥ"</f>
        <v xml:space="preserve"> ΑΡΧΑΝΕΣ ΗΡΑΚΛΕΙΟΥ</v>
      </c>
      <c r="I2189">
        <v>70100</v>
      </c>
      <c r="J2189">
        <v>2810752756</v>
      </c>
      <c r="K2189">
        <v>6947186682</v>
      </c>
      <c r="M2189" t="s">
        <v>4481</v>
      </c>
      <c r="N2189" t="s">
        <v>146</v>
      </c>
      <c r="O2189" t="s">
        <v>147</v>
      </c>
      <c r="R2189" t="s">
        <v>57</v>
      </c>
      <c r="S2189">
        <v>11</v>
      </c>
      <c r="T2189">
        <v>218</v>
      </c>
      <c r="U2189" s="1">
        <v>38596</v>
      </c>
      <c r="V2189" t="s">
        <v>123</v>
      </c>
      <c r="W2189" t="s">
        <v>124</v>
      </c>
      <c r="X2189" t="s">
        <v>58</v>
      </c>
      <c r="Y2189">
        <v>18</v>
      </c>
      <c r="Z2189" t="s">
        <v>59</v>
      </c>
      <c r="AA2189" t="s">
        <v>59</v>
      </c>
      <c r="AB2189" t="s">
        <v>59</v>
      </c>
      <c r="AC2189" t="s">
        <v>59</v>
      </c>
      <c r="AD2189" t="s">
        <v>59</v>
      </c>
      <c r="AF2189" s="1">
        <v>38603</v>
      </c>
      <c r="AG2189" t="s">
        <v>148</v>
      </c>
      <c r="AH2189" t="s">
        <v>149</v>
      </c>
      <c r="AI2189" t="str">
        <f>"1758010"</f>
        <v>1758010</v>
      </c>
      <c r="AJ2189" t="s">
        <v>575</v>
      </c>
      <c r="AK2189">
        <v>2893022145</v>
      </c>
      <c r="AL2189" t="s">
        <v>576</v>
      </c>
      <c r="AM2189" t="s">
        <v>78</v>
      </c>
      <c r="AN2189" t="s">
        <v>424</v>
      </c>
      <c r="AO2189" t="s">
        <v>577</v>
      </c>
      <c r="AP2189" t="s">
        <v>578</v>
      </c>
      <c r="AQ2189">
        <v>24</v>
      </c>
      <c r="AR2189" t="s">
        <v>123</v>
      </c>
      <c r="AS2189" t="s">
        <v>124</v>
      </c>
      <c r="AT2189" t="s">
        <v>58</v>
      </c>
      <c r="AU2189" t="s">
        <v>68</v>
      </c>
      <c r="AV2189" t="s">
        <v>69</v>
      </c>
      <c r="AW2189" s="1">
        <v>21304</v>
      </c>
      <c r="AX2189">
        <v>2</v>
      </c>
    </row>
    <row r="2190" spans="1:50">
      <c r="A2190">
        <v>214135</v>
      </c>
      <c r="B2190" t="str">
        <f>"064779512"</f>
        <v>064779512</v>
      </c>
      <c r="C2190" t="s">
        <v>50</v>
      </c>
      <c r="D2190" t="s">
        <v>4482</v>
      </c>
      <c r="E2190" t="s">
        <v>237</v>
      </c>
      <c r="F2190" t="s">
        <v>72</v>
      </c>
      <c r="G2190" t="s">
        <v>2967</v>
      </c>
      <c r="H2190" t="str">
        <f>"Γ.ΓΕΝΗΜΑΤΑ  11 ΜΑΣΤΑΜΠΑΣ"</f>
        <v>Γ.ΓΕΝΗΜΑΤΑ  11 ΜΑΣΤΑΜΠΑΣ</v>
      </c>
      <c r="I2190">
        <v>71305</v>
      </c>
      <c r="J2190">
        <v>2810210798</v>
      </c>
      <c r="K2190">
        <v>6973717324</v>
      </c>
      <c r="M2190" t="s">
        <v>4483</v>
      </c>
      <c r="N2190" t="s">
        <v>288</v>
      </c>
      <c r="O2190" t="s">
        <v>289</v>
      </c>
      <c r="R2190" t="s">
        <v>57</v>
      </c>
      <c r="S2190">
        <v>8</v>
      </c>
      <c r="T2190">
        <v>231</v>
      </c>
      <c r="U2190" s="1">
        <v>38960</v>
      </c>
      <c r="V2190" t="s">
        <v>123</v>
      </c>
      <c r="W2190" t="s">
        <v>124</v>
      </c>
      <c r="X2190" t="s">
        <v>58</v>
      </c>
      <c r="Y2190">
        <v>20</v>
      </c>
      <c r="Z2190" t="s">
        <v>59</v>
      </c>
      <c r="AA2190" t="s">
        <v>59</v>
      </c>
      <c r="AB2190" t="s">
        <v>59</v>
      </c>
      <c r="AC2190" t="s">
        <v>59</v>
      </c>
      <c r="AD2190" t="s">
        <v>59</v>
      </c>
      <c r="AF2190" s="1">
        <v>38961</v>
      </c>
      <c r="AG2190" t="s">
        <v>125</v>
      </c>
      <c r="AH2190" t="s">
        <v>126</v>
      </c>
      <c r="AI2190" t="str">
        <f>"1728010"</f>
        <v>1728010</v>
      </c>
      <c r="AJ2190" t="s">
        <v>127</v>
      </c>
      <c r="AK2190">
        <v>2810824651</v>
      </c>
      <c r="AL2190" t="s">
        <v>128</v>
      </c>
      <c r="AM2190" t="s">
        <v>78</v>
      </c>
      <c r="AN2190" t="s">
        <v>129</v>
      </c>
      <c r="AO2190" t="s">
        <v>130</v>
      </c>
      <c r="AP2190" t="s">
        <v>130</v>
      </c>
      <c r="AQ2190">
        <v>36</v>
      </c>
      <c r="AR2190" t="s">
        <v>123</v>
      </c>
      <c r="AS2190" t="s">
        <v>124</v>
      </c>
      <c r="AT2190" t="s">
        <v>58</v>
      </c>
      <c r="AU2190" t="s">
        <v>68</v>
      </c>
      <c r="AV2190" t="s">
        <v>69</v>
      </c>
      <c r="AW2190" s="1">
        <v>28111</v>
      </c>
      <c r="AX2190">
        <v>2</v>
      </c>
    </row>
    <row r="2191" spans="1:50">
      <c r="A2191">
        <v>155361</v>
      </c>
      <c r="B2191" t="str">
        <f>"040067262"</f>
        <v>040067262</v>
      </c>
      <c r="C2191" t="s">
        <v>50</v>
      </c>
      <c r="D2191" t="s">
        <v>4482</v>
      </c>
      <c r="E2191" t="s">
        <v>250</v>
      </c>
      <c r="F2191" t="s">
        <v>106</v>
      </c>
      <c r="G2191" t="s">
        <v>787</v>
      </c>
      <c r="H2191" t="str">
        <f>"ΚΑΛΛΟΝΑΔΩΝ 1 "</f>
        <v xml:space="preserve">ΚΑΛΛΟΝΑΔΩΝ 1 </v>
      </c>
      <c r="J2191">
        <v>2810284817</v>
      </c>
      <c r="K2191">
        <v>6945386705</v>
      </c>
      <c r="M2191" t="s">
        <v>4484</v>
      </c>
      <c r="N2191" t="s">
        <v>337</v>
      </c>
      <c r="O2191" t="s">
        <v>338</v>
      </c>
      <c r="R2191" t="s">
        <v>57</v>
      </c>
      <c r="S2191">
        <v>14</v>
      </c>
      <c r="T2191">
        <v>167</v>
      </c>
      <c r="U2191" s="1">
        <v>32393</v>
      </c>
      <c r="V2191" t="s">
        <v>123</v>
      </c>
      <c r="W2191" t="s">
        <v>124</v>
      </c>
      <c r="X2191" t="s">
        <v>58</v>
      </c>
      <c r="Y2191">
        <v>18</v>
      </c>
      <c r="Z2191" t="s">
        <v>59</v>
      </c>
      <c r="AA2191" t="s">
        <v>59</v>
      </c>
      <c r="AB2191" t="s">
        <v>59</v>
      </c>
      <c r="AC2191" t="s">
        <v>59</v>
      </c>
      <c r="AD2191" t="s">
        <v>59</v>
      </c>
      <c r="AF2191" s="1">
        <v>32401</v>
      </c>
      <c r="AG2191" t="s">
        <v>125</v>
      </c>
      <c r="AH2191" t="s">
        <v>126</v>
      </c>
      <c r="AI2191" t="str">
        <f>"1701053"</f>
        <v>1701053</v>
      </c>
      <c r="AJ2191" t="s">
        <v>398</v>
      </c>
      <c r="AK2191">
        <v>2810251434</v>
      </c>
      <c r="AL2191" t="s">
        <v>399</v>
      </c>
      <c r="AM2191" t="s">
        <v>78</v>
      </c>
      <c r="AN2191" t="s">
        <v>78</v>
      </c>
      <c r="AO2191" t="s">
        <v>78</v>
      </c>
      <c r="AP2191" t="s">
        <v>141</v>
      </c>
      <c r="AQ2191">
        <v>7</v>
      </c>
      <c r="AR2191" t="s">
        <v>123</v>
      </c>
      <c r="AS2191" t="s">
        <v>124</v>
      </c>
      <c r="AT2191" t="s">
        <v>58</v>
      </c>
      <c r="AU2191" t="s">
        <v>68</v>
      </c>
      <c r="AV2191" t="s">
        <v>69</v>
      </c>
      <c r="AW2191" s="1">
        <v>24083</v>
      </c>
      <c r="AX2191">
        <v>2</v>
      </c>
    </row>
    <row r="2192" spans="1:50">
      <c r="B2192" t="str">
        <f>"132334360"</f>
        <v>132334360</v>
      </c>
      <c r="C2192" t="s">
        <v>50</v>
      </c>
      <c r="D2192" t="s">
        <v>4482</v>
      </c>
      <c r="E2192" t="s">
        <v>714</v>
      </c>
      <c r="F2192" t="s">
        <v>99</v>
      </c>
      <c r="G2192" t="s">
        <v>964</v>
      </c>
      <c r="H2192" t="str">
        <f>" "</f>
        <v xml:space="preserve"> </v>
      </c>
      <c r="N2192" t="s">
        <v>246</v>
      </c>
      <c r="O2192" t="s">
        <v>247</v>
      </c>
      <c r="R2192" t="s">
        <v>121</v>
      </c>
      <c r="S2192">
        <v>1</v>
      </c>
      <c r="T2192" t="s">
        <v>574</v>
      </c>
      <c r="U2192" s="1">
        <v>43378</v>
      </c>
      <c r="V2192" t="s">
        <v>123</v>
      </c>
      <c r="W2192" t="s">
        <v>124</v>
      </c>
      <c r="X2192" t="s">
        <v>58</v>
      </c>
      <c r="Y2192">
        <v>23</v>
      </c>
      <c r="Z2192" t="s">
        <v>59</v>
      </c>
      <c r="AA2192" t="s">
        <v>59</v>
      </c>
      <c r="AB2192" t="s">
        <v>59</v>
      </c>
      <c r="AC2192" t="s">
        <v>59</v>
      </c>
      <c r="AD2192" t="s">
        <v>59</v>
      </c>
      <c r="AF2192" s="1">
        <v>43381</v>
      </c>
      <c r="AG2192" t="s">
        <v>125</v>
      </c>
      <c r="AH2192" t="s">
        <v>126</v>
      </c>
      <c r="AI2192" t="str">
        <f>"1706010"</f>
        <v>1706010</v>
      </c>
      <c r="AJ2192" t="s">
        <v>391</v>
      </c>
      <c r="AK2192">
        <v>2892022286</v>
      </c>
      <c r="AL2192" t="s">
        <v>392</v>
      </c>
      <c r="AM2192" t="s">
        <v>78</v>
      </c>
      <c r="AN2192" t="s">
        <v>242</v>
      </c>
      <c r="AO2192" t="s">
        <v>243</v>
      </c>
      <c r="AP2192" t="s">
        <v>243</v>
      </c>
      <c r="AQ2192">
        <v>33</v>
      </c>
      <c r="AR2192" t="s">
        <v>123</v>
      </c>
      <c r="AS2192" t="s">
        <v>124</v>
      </c>
      <c r="AT2192" t="s">
        <v>58</v>
      </c>
      <c r="AU2192" t="s">
        <v>164</v>
      </c>
      <c r="AV2192" t="s">
        <v>132</v>
      </c>
      <c r="AW2192" s="1">
        <v>31216</v>
      </c>
      <c r="AX2192">
        <v>2</v>
      </c>
    </row>
    <row r="2193" spans="1:50">
      <c r="A2193">
        <v>183064</v>
      </c>
      <c r="B2193" t="str">
        <f>"042725812"</f>
        <v>042725812</v>
      </c>
      <c r="C2193" t="s">
        <v>105</v>
      </c>
      <c r="D2193" t="s">
        <v>4485</v>
      </c>
      <c r="E2193" t="s">
        <v>2580</v>
      </c>
      <c r="F2193" t="s">
        <v>95</v>
      </c>
      <c r="G2193" t="s">
        <v>215</v>
      </c>
      <c r="H2193" t="str">
        <f>"ΑΣΗΜΙ ΗΡΑΚΛΕΙΟΥ "</f>
        <v xml:space="preserve">ΑΣΗΜΙ ΗΡΑΚΛΕΙΟΥ </v>
      </c>
      <c r="I2193">
        <v>70016</v>
      </c>
      <c r="M2193" t="s">
        <v>4486</v>
      </c>
      <c r="N2193" t="s">
        <v>292</v>
      </c>
      <c r="O2193" t="s">
        <v>293</v>
      </c>
      <c r="R2193" t="s">
        <v>57</v>
      </c>
      <c r="S2193">
        <v>9</v>
      </c>
      <c r="T2193">
        <v>250</v>
      </c>
      <c r="U2193" s="1">
        <v>36160</v>
      </c>
      <c r="V2193" t="s">
        <v>123</v>
      </c>
      <c r="W2193" t="s">
        <v>124</v>
      </c>
      <c r="X2193" t="s">
        <v>58</v>
      </c>
      <c r="Y2193">
        <v>20</v>
      </c>
      <c r="Z2193" t="s">
        <v>59</v>
      </c>
      <c r="AA2193" t="s">
        <v>59</v>
      </c>
      <c r="AB2193" t="s">
        <v>59</v>
      </c>
      <c r="AC2193" t="s">
        <v>59</v>
      </c>
      <c r="AD2193" t="s">
        <v>59</v>
      </c>
      <c r="AF2193" s="1">
        <v>36181</v>
      </c>
      <c r="AG2193" t="s">
        <v>148</v>
      </c>
      <c r="AH2193" t="s">
        <v>149</v>
      </c>
      <c r="AI2193" t="str">
        <f>"1765010"</f>
        <v>1765010</v>
      </c>
      <c r="AJ2193" t="s">
        <v>803</v>
      </c>
      <c r="AK2193">
        <v>2893031093</v>
      </c>
      <c r="AL2193" t="s">
        <v>804</v>
      </c>
      <c r="AM2193" t="s">
        <v>78</v>
      </c>
      <c r="AN2193" t="s">
        <v>405</v>
      </c>
      <c r="AO2193" t="s">
        <v>805</v>
      </c>
      <c r="AP2193" t="s">
        <v>806</v>
      </c>
      <c r="AQ2193">
        <v>25</v>
      </c>
      <c r="AR2193" t="s">
        <v>123</v>
      </c>
      <c r="AS2193" t="s">
        <v>124</v>
      </c>
      <c r="AT2193" t="s">
        <v>58</v>
      </c>
      <c r="AU2193" t="s">
        <v>68</v>
      </c>
      <c r="AV2193" t="s">
        <v>69</v>
      </c>
      <c r="AW2193" s="1">
        <v>20937</v>
      </c>
      <c r="AX2193">
        <v>2</v>
      </c>
    </row>
    <row r="2194" spans="1:50">
      <c r="A2194">
        <v>202527</v>
      </c>
      <c r="B2194" t="str">
        <f>"064558125"</f>
        <v>064558125</v>
      </c>
      <c r="C2194" t="s">
        <v>105</v>
      </c>
      <c r="D2194" t="s">
        <v>4485</v>
      </c>
      <c r="E2194" t="s">
        <v>53</v>
      </c>
      <c r="F2194" t="s">
        <v>95</v>
      </c>
      <c r="G2194" t="s">
        <v>1358</v>
      </c>
      <c r="H2194" t="str">
        <f>"ΧΑΡΑΚΑΣ ΗΡΑΚΛΕΙΟΥ"</f>
        <v>ΧΑΡΑΚΑΣ ΗΡΑΚΛΕΙΟΥ</v>
      </c>
      <c r="I2194">
        <v>70010</v>
      </c>
      <c r="J2194">
        <v>2893022377</v>
      </c>
      <c r="K2194">
        <v>6937198371</v>
      </c>
      <c r="M2194" t="s">
        <v>4487</v>
      </c>
      <c r="N2194" t="s">
        <v>292</v>
      </c>
      <c r="O2194" t="s">
        <v>293</v>
      </c>
      <c r="R2194" t="s">
        <v>57</v>
      </c>
      <c r="S2194">
        <v>7</v>
      </c>
      <c r="T2194">
        <v>231</v>
      </c>
      <c r="U2194" s="1">
        <v>38230</v>
      </c>
      <c r="V2194" t="s">
        <v>123</v>
      </c>
      <c r="W2194" t="s">
        <v>124</v>
      </c>
      <c r="X2194" t="s">
        <v>58</v>
      </c>
      <c r="Y2194">
        <v>20</v>
      </c>
      <c r="Z2194" t="s">
        <v>59</v>
      </c>
      <c r="AA2194" t="s">
        <v>59</v>
      </c>
      <c r="AB2194" t="s">
        <v>59</v>
      </c>
      <c r="AC2194" t="s">
        <v>59</v>
      </c>
      <c r="AD2194" t="s">
        <v>59</v>
      </c>
      <c r="AF2194" s="1">
        <v>38233</v>
      </c>
      <c r="AG2194" t="s">
        <v>125</v>
      </c>
      <c r="AH2194" t="s">
        <v>126</v>
      </c>
      <c r="AI2194" t="str">
        <f>"1708010"</f>
        <v>1708010</v>
      </c>
      <c r="AJ2194" t="s">
        <v>1147</v>
      </c>
      <c r="AK2194">
        <v>2893022204</v>
      </c>
      <c r="AL2194" t="s">
        <v>1148</v>
      </c>
      <c r="AM2194" t="s">
        <v>78</v>
      </c>
      <c r="AN2194" t="s">
        <v>424</v>
      </c>
      <c r="AO2194" t="s">
        <v>577</v>
      </c>
      <c r="AP2194" t="s">
        <v>578</v>
      </c>
      <c r="AQ2194">
        <v>24</v>
      </c>
      <c r="AR2194" t="s">
        <v>123</v>
      </c>
      <c r="AS2194" t="s">
        <v>124</v>
      </c>
      <c r="AT2194" t="s">
        <v>58</v>
      </c>
      <c r="AU2194" t="s">
        <v>68</v>
      </c>
      <c r="AV2194" t="s">
        <v>69</v>
      </c>
      <c r="AW2194" s="1">
        <v>22669</v>
      </c>
      <c r="AX2194">
        <v>2</v>
      </c>
    </row>
    <row r="2195" spans="1:50">
      <c r="A2195">
        <v>212558</v>
      </c>
      <c r="B2195" t="str">
        <f>"118909782"</f>
        <v>118909782</v>
      </c>
      <c r="C2195" t="s">
        <v>105</v>
      </c>
      <c r="D2195" t="s">
        <v>4488</v>
      </c>
      <c r="E2195" t="s">
        <v>53</v>
      </c>
      <c r="F2195" t="s">
        <v>99</v>
      </c>
      <c r="G2195" t="s">
        <v>964</v>
      </c>
      <c r="H2195" t="str">
        <f>"Γ. ΨΥΧΑΡΗ 46 ΗΡΑΚΛΕΙΟ"</f>
        <v>Γ. ΨΥΧΑΡΗ 46 ΗΡΑΚΛΕΙΟ</v>
      </c>
      <c r="I2195">
        <v>71305</v>
      </c>
      <c r="J2195">
        <v>2810263742</v>
      </c>
      <c r="K2195">
        <v>6974824662</v>
      </c>
      <c r="M2195" t="s">
        <v>4489</v>
      </c>
      <c r="N2195" t="s">
        <v>146</v>
      </c>
      <c r="O2195" t="s">
        <v>147</v>
      </c>
      <c r="R2195" t="s">
        <v>57</v>
      </c>
      <c r="S2195">
        <v>12</v>
      </c>
      <c r="T2195">
        <v>231</v>
      </c>
      <c r="U2195" s="1">
        <v>38960</v>
      </c>
      <c r="V2195" t="s">
        <v>123</v>
      </c>
      <c r="W2195" t="s">
        <v>124</v>
      </c>
      <c r="X2195" t="s">
        <v>58</v>
      </c>
      <c r="Y2195">
        <v>20</v>
      </c>
      <c r="Z2195" t="s">
        <v>59</v>
      </c>
      <c r="AA2195" t="s">
        <v>59</v>
      </c>
      <c r="AB2195" t="s">
        <v>59</v>
      </c>
      <c r="AC2195" t="s">
        <v>59</v>
      </c>
      <c r="AD2195" t="s">
        <v>452</v>
      </c>
      <c r="AE2195" s="1">
        <v>43708</v>
      </c>
      <c r="AF2195" s="1">
        <v>38961</v>
      </c>
      <c r="AG2195" t="s">
        <v>60</v>
      </c>
      <c r="AH2195" t="s">
        <v>453</v>
      </c>
      <c r="AI2195" t="str">
        <f>"1700105"</f>
        <v>1700105</v>
      </c>
      <c r="AJ2195" t="s">
        <v>124</v>
      </c>
      <c r="AK2195">
        <v>2810333720</v>
      </c>
      <c r="AL2195" t="s">
        <v>454</v>
      </c>
      <c r="AM2195" t="s">
        <v>78</v>
      </c>
      <c r="AN2195" t="s">
        <v>78</v>
      </c>
      <c r="AO2195" t="s">
        <v>78</v>
      </c>
      <c r="AP2195" t="s">
        <v>79</v>
      </c>
      <c r="AS2195" t="s">
        <v>124</v>
      </c>
      <c r="AT2195" t="s">
        <v>58</v>
      </c>
      <c r="AU2195" t="s">
        <v>68</v>
      </c>
      <c r="AV2195" t="s">
        <v>455</v>
      </c>
      <c r="AW2195" s="1">
        <v>27142</v>
      </c>
      <c r="AX2195">
        <v>2</v>
      </c>
    </row>
    <row r="2196" spans="1:50">
      <c r="A2196">
        <v>196456</v>
      </c>
      <c r="B2196" t="str">
        <f>"110274311"</f>
        <v>110274311</v>
      </c>
      <c r="C2196" t="s">
        <v>50</v>
      </c>
      <c r="D2196" t="s">
        <v>4490</v>
      </c>
      <c r="E2196" t="s">
        <v>367</v>
      </c>
      <c r="F2196" t="s">
        <v>95</v>
      </c>
      <c r="G2196" t="s">
        <v>4491</v>
      </c>
      <c r="H2196" t="str">
        <f>"ΜΑΚΕΔΟΝΙΑΣ ΚΑΙ ΣΗΦΑΚΗ ΚΟΚΚΙΝΗ ΧΑΝΙ"</f>
        <v>ΜΑΚΕΔΟΝΙΑΣ ΚΑΙ ΣΗΦΑΚΗ ΚΟΚΚΙΝΗ ΧΑΝΙ</v>
      </c>
      <c r="J2196">
        <v>2810762374</v>
      </c>
      <c r="K2196">
        <v>6973019289</v>
      </c>
      <c r="M2196" t="s">
        <v>4492</v>
      </c>
      <c r="N2196" t="s">
        <v>337</v>
      </c>
      <c r="O2196" t="s">
        <v>338</v>
      </c>
      <c r="P2196" t="s">
        <v>146</v>
      </c>
      <c r="Q2196" t="s">
        <v>147</v>
      </c>
      <c r="R2196" t="s">
        <v>57</v>
      </c>
      <c r="S2196">
        <v>7</v>
      </c>
      <c r="T2196">
        <v>46</v>
      </c>
      <c r="U2196" s="1">
        <v>37683</v>
      </c>
      <c r="V2196" t="s">
        <v>123</v>
      </c>
      <c r="W2196" t="s">
        <v>124</v>
      </c>
      <c r="X2196" t="s">
        <v>58</v>
      </c>
      <c r="Y2196">
        <v>20</v>
      </c>
      <c r="Z2196" t="s">
        <v>59</v>
      </c>
      <c r="AA2196" t="s">
        <v>59</v>
      </c>
      <c r="AB2196" t="s">
        <v>59</v>
      </c>
      <c r="AC2196" t="s">
        <v>59</v>
      </c>
      <c r="AD2196" t="s">
        <v>59</v>
      </c>
      <c r="AF2196" s="1">
        <v>37697</v>
      </c>
      <c r="AG2196" t="s">
        <v>125</v>
      </c>
      <c r="AH2196" t="s">
        <v>294</v>
      </c>
      <c r="AI2196" t="str">
        <f>"1701015"</f>
        <v>1701015</v>
      </c>
      <c r="AJ2196" t="s">
        <v>295</v>
      </c>
      <c r="AK2196">
        <v>2810761696</v>
      </c>
      <c r="AL2196" t="s">
        <v>296</v>
      </c>
      <c r="AM2196" t="s">
        <v>78</v>
      </c>
      <c r="AN2196" t="s">
        <v>219</v>
      </c>
      <c r="AO2196" t="s">
        <v>297</v>
      </c>
      <c r="AP2196" t="s">
        <v>297</v>
      </c>
      <c r="AQ2196">
        <v>10</v>
      </c>
      <c r="AR2196" t="s">
        <v>123</v>
      </c>
      <c r="AS2196" t="s">
        <v>124</v>
      </c>
      <c r="AT2196" t="s">
        <v>58</v>
      </c>
      <c r="AU2196" t="s">
        <v>68</v>
      </c>
      <c r="AV2196" t="s">
        <v>69</v>
      </c>
      <c r="AW2196" s="1">
        <v>28344</v>
      </c>
      <c r="AX2196">
        <v>2</v>
      </c>
    </row>
    <row r="2197" spans="1:50">
      <c r="B2197" t="str">
        <f>"132347865"</f>
        <v>132347865</v>
      </c>
      <c r="C2197" t="s">
        <v>50</v>
      </c>
      <c r="D2197" t="s">
        <v>4490</v>
      </c>
      <c r="E2197" t="s">
        <v>4493</v>
      </c>
      <c r="F2197" t="s">
        <v>153</v>
      </c>
      <c r="G2197" t="s">
        <v>610</v>
      </c>
      <c r="H2197" t="str">
        <f>"Μ. ΨΕΛΛΟΥ 7 ΗΡΑΚΛΕΙΟ"</f>
        <v>Μ. ΨΕΛΛΟΥ 7 ΗΡΑΚΛΕΙΟ</v>
      </c>
      <c r="I2197">
        <v>71307</v>
      </c>
      <c r="J2197">
        <v>2810234839</v>
      </c>
      <c r="K2197">
        <v>6936988605</v>
      </c>
      <c r="N2197" t="s">
        <v>536</v>
      </c>
      <c r="O2197" t="s">
        <v>537</v>
      </c>
      <c r="R2197" t="s">
        <v>121</v>
      </c>
      <c r="S2197">
        <v>3</v>
      </c>
      <c r="T2197" t="s">
        <v>122</v>
      </c>
      <c r="U2197" s="1">
        <v>43348</v>
      </c>
      <c r="V2197" t="s">
        <v>123</v>
      </c>
      <c r="W2197" t="s">
        <v>124</v>
      </c>
      <c r="X2197" t="s">
        <v>58</v>
      </c>
      <c r="Y2197">
        <v>23</v>
      </c>
      <c r="Z2197" t="s">
        <v>59</v>
      </c>
      <c r="AA2197" t="s">
        <v>59</v>
      </c>
      <c r="AB2197" t="s">
        <v>59</v>
      </c>
      <c r="AC2197" t="s">
        <v>59</v>
      </c>
      <c r="AD2197" t="s">
        <v>59</v>
      </c>
      <c r="AF2197" s="1">
        <v>43348</v>
      </c>
      <c r="AG2197" t="s">
        <v>125</v>
      </c>
      <c r="AH2197" t="s">
        <v>126</v>
      </c>
      <c r="AI2197" t="str">
        <f>"1717011"</f>
        <v>1717011</v>
      </c>
      <c r="AJ2197" t="s">
        <v>832</v>
      </c>
      <c r="AK2197">
        <v>2897023311</v>
      </c>
      <c r="AL2197" t="s">
        <v>833</v>
      </c>
      <c r="AM2197" t="s">
        <v>78</v>
      </c>
      <c r="AN2197" t="s">
        <v>219</v>
      </c>
      <c r="AO2197" t="s">
        <v>219</v>
      </c>
      <c r="AP2197" t="s">
        <v>220</v>
      </c>
      <c r="AQ2197">
        <v>20</v>
      </c>
      <c r="AR2197" t="s">
        <v>123</v>
      </c>
      <c r="AS2197" t="s">
        <v>124</v>
      </c>
      <c r="AT2197" t="s">
        <v>58</v>
      </c>
      <c r="AU2197" t="s">
        <v>131</v>
      </c>
      <c r="AV2197" t="s">
        <v>132</v>
      </c>
      <c r="AW2197" s="1">
        <v>30550</v>
      </c>
      <c r="AX2197">
        <v>2</v>
      </c>
    </row>
    <row r="2198" spans="1:50">
      <c r="A2198">
        <v>187814</v>
      </c>
      <c r="B2198" t="str">
        <f>"052104056"</f>
        <v>052104056</v>
      </c>
      <c r="C2198" t="s">
        <v>105</v>
      </c>
      <c r="D2198" t="s">
        <v>4494</v>
      </c>
      <c r="E2198" t="s">
        <v>166</v>
      </c>
      <c r="F2198" t="s">
        <v>99</v>
      </c>
      <c r="G2198" t="s">
        <v>112</v>
      </c>
      <c r="H2198" t="str">
        <f>"ΔΡΥΜΗΤΙΝΟΥ  1 ΜΑΣΤΑΜΠΑΣ"</f>
        <v>ΔΡΥΜΗΤΙΝΟΥ  1 ΜΑΣΤΑΜΠΑΣ</v>
      </c>
      <c r="I2198">
        <v>71305</v>
      </c>
      <c r="J2198">
        <v>2810316683</v>
      </c>
      <c r="K2198">
        <v>6944251788</v>
      </c>
      <c r="M2198" t="s">
        <v>4495</v>
      </c>
      <c r="N2198" t="s">
        <v>204</v>
      </c>
      <c r="O2198" t="s">
        <v>205</v>
      </c>
      <c r="R2198" t="s">
        <v>57</v>
      </c>
      <c r="S2198">
        <v>11</v>
      </c>
      <c r="T2198">
        <v>251</v>
      </c>
      <c r="U2198" s="1">
        <v>36769</v>
      </c>
      <c r="V2198" t="s">
        <v>123</v>
      </c>
      <c r="W2198" t="s">
        <v>124</v>
      </c>
      <c r="X2198" t="s">
        <v>58</v>
      </c>
      <c r="Y2198">
        <v>18</v>
      </c>
      <c r="Z2198" t="s">
        <v>59</v>
      </c>
      <c r="AA2198" t="s">
        <v>59</v>
      </c>
      <c r="AB2198" t="s">
        <v>59</v>
      </c>
      <c r="AC2198" t="s">
        <v>59</v>
      </c>
      <c r="AD2198" t="s">
        <v>59</v>
      </c>
      <c r="AF2198" s="1">
        <v>36770</v>
      </c>
      <c r="AG2198" t="s">
        <v>148</v>
      </c>
      <c r="AH2198" t="s">
        <v>149</v>
      </c>
      <c r="AI2198" t="str">
        <f>"1777010"</f>
        <v>1777010</v>
      </c>
      <c r="AJ2198" t="s">
        <v>612</v>
      </c>
      <c r="AK2198">
        <v>2810229220</v>
      </c>
      <c r="AL2198" t="s">
        <v>613</v>
      </c>
      <c r="AM2198" t="s">
        <v>78</v>
      </c>
      <c r="AN2198" t="s">
        <v>78</v>
      </c>
      <c r="AO2198" t="s">
        <v>286</v>
      </c>
      <c r="AP2198" t="s">
        <v>286</v>
      </c>
      <c r="AQ2198">
        <v>12</v>
      </c>
      <c r="AR2198" t="s">
        <v>123</v>
      </c>
      <c r="AS2198" t="s">
        <v>124</v>
      </c>
      <c r="AT2198" t="s">
        <v>58</v>
      </c>
      <c r="AU2198" t="s">
        <v>68</v>
      </c>
      <c r="AV2198" t="s">
        <v>69</v>
      </c>
      <c r="AW2198" s="1">
        <v>24826</v>
      </c>
      <c r="AX2198">
        <v>2</v>
      </c>
    </row>
    <row r="2199" spans="1:50">
      <c r="A2199">
        <v>172651</v>
      </c>
      <c r="B2199" t="str">
        <f>"046382887"</f>
        <v>046382887</v>
      </c>
      <c r="C2199" t="s">
        <v>105</v>
      </c>
      <c r="D2199" t="s">
        <v>4494</v>
      </c>
      <c r="E2199" t="s">
        <v>53</v>
      </c>
      <c r="F2199" t="s">
        <v>99</v>
      </c>
      <c r="G2199" t="s">
        <v>250</v>
      </c>
      <c r="H2199" t="str">
        <f>" "</f>
        <v xml:space="preserve"> </v>
      </c>
      <c r="M2199" t="s">
        <v>4496</v>
      </c>
      <c r="N2199" t="s">
        <v>204</v>
      </c>
      <c r="O2199" t="s">
        <v>205</v>
      </c>
      <c r="P2199" t="s">
        <v>292</v>
      </c>
      <c r="Q2199" t="s">
        <v>293</v>
      </c>
      <c r="R2199" t="s">
        <v>57</v>
      </c>
      <c r="S2199">
        <v>13</v>
      </c>
      <c r="T2199">
        <v>184</v>
      </c>
      <c r="U2199" s="1">
        <v>34941</v>
      </c>
      <c r="V2199" t="s">
        <v>123</v>
      </c>
      <c r="W2199" t="s">
        <v>124</v>
      </c>
      <c r="X2199" t="s">
        <v>58</v>
      </c>
      <c r="Y2199">
        <v>18</v>
      </c>
      <c r="Z2199" t="s">
        <v>59</v>
      </c>
      <c r="AA2199" t="s">
        <v>59</v>
      </c>
      <c r="AB2199" t="s">
        <v>59</v>
      </c>
      <c r="AC2199" t="s">
        <v>59</v>
      </c>
      <c r="AD2199" t="s">
        <v>452</v>
      </c>
      <c r="AE2199" s="1">
        <v>43708</v>
      </c>
      <c r="AF2199" s="1">
        <v>34947</v>
      </c>
      <c r="AG2199" t="s">
        <v>60</v>
      </c>
      <c r="AH2199" t="s">
        <v>453</v>
      </c>
      <c r="AI2199" t="str">
        <f>"1700105"</f>
        <v>1700105</v>
      </c>
      <c r="AJ2199" t="s">
        <v>124</v>
      </c>
      <c r="AK2199">
        <v>2810333720</v>
      </c>
      <c r="AL2199" t="s">
        <v>454</v>
      </c>
      <c r="AM2199" t="s">
        <v>78</v>
      </c>
      <c r="AN2199" t="s">
        <v>78</v>
      </c>
      <c r="AO2199" t="s">
        <v>78</v>
      </c>
      <c r="AP2199" t="s">
        <v>79</v>
      </c>
      <c r="AS2199" t="s">
        <v>124</v>
      </c>
      <c r="AT2199" t="s">
        <v>58</v>
      </c>
      <c r="AU2199" t="s">
        <v>68</v>
      </c>
      <c r="AV2199" t="s">
        <v>455</v>
      </c>
      <c r="AW2199" s="1">
        <v>24521</v>
      </c>
      <c r="AX2199">
        <v>2</v>
      </c>
    </row>
    <row r="2200" spans="1:50">
      <c r="A2200">
        <v>222790</v>
      </c>
      <c r="B2200" t="str">
        <f>"064574740"</f>
        <v>064574740</v>
      </c>
      <c r="C2200" t="s">
        <v>50</v>
      </c>
      <c r="D2200" t="s">
        <v>4497</v>
      </c>
      <c r="E2200" t="s">
        <v>4498</v>
      </c>
      <c r="F2200" t="s">
        <v>106</v>
      </c>
      <c r="G2200" t="s">
        <v>181</v>
      </c>
      <c r="H2200" t="str">
        <f>"ΕΜΜΑΝΟΥΗΛ ΤΖΑΝΕ 6 ΗΡΑΚΛΕΙΟ"</f>
        <v>ΕΜΜΑΝΟΥΗΛ ΤΖΑΝΕ 6 ΗΡΑΚΛΕΙΟ</v>
      </c>
      <c r="I2200">
        <v>71307</v>
      </c>
      <c r="J2200">
        <v>2811117358</v>
      </c>
      <c r="K2200">
        <v>6939366354</v>
      </c>
      <c r="M2200" t="s">
        <v>4499</v>
      </c>
      <c r="N2200" t="s">
        <v>146</v>
      </c>
      <c r="O2200" t="s">
        <v>147</v>
      </c>
      <c r="R2200" t="s">
        <v>57</v>
      </c>
      <c r="S2200">
        <v>7</v>
      </c>
      <c r="T2200">
        <v>775</v>
      </c>
      <c r="U2200" s="1">
        <v>39680</v>
      </c>
      <c r="V2200" t="s">
        <v>123</v>
      </c>
      <c r="W2200" t="s">
        <v>124</v>
      </c>
      <c r="X2200" t="s">
        <v>58</v>
      </c>
      <c r="Y2200">
        <v>21</v>
      </c>
      <c r="Z2200" t="s">
        <v>59</v>
      </c>
      <c r="AA2200" t="s">
        <v>59</v>
      </c>
      <c r="AB2200" t="s">
        <v>59</v>
      </c>
      <c r="AC2200" t="s">
        <v>59</v>
      </c>
      <c r="AD2200" t="s">
        <v>59</v>
      </c>
      <c r="AF2200" s="1">
        <v>39692</v>
      </c>
      <c r="AG2200" t="s">
        <v>125</v>
      </c>
      <c r="AH2200" t="s">
        <v>294</v>
      </c>
      <c r="AI2200" t="str">
        <f>"1701015"</f>
        <v>1701015</v>
      </c>
      <c r="AJ2200" t="s">
        <v>295</v>
      </c>
      <c r="AK2200">
        <v>2810761696</v>
      </c>
      <c r="AL2200" t="s">
        <v>296</v>
      </c>
      <c r="AM2200" t="s">
        <v>78</v>
      </c>
      <c r="AN2200" t="s">
        <v>219</v>
      </c>
      <c r="AO2200" t="s">
        <v>297</v>
      </c>
      <c r="AP2200" t="s">
        <v>297</v>
      </c>
      <c r="AQ2200">
        <v>10</v>
      </c>
      <c r="AR2200" t="s">
        <v>123</v>
      </c>
      <c r="AS2200" t="s">
        <v>124</v>
      </c>
      <c r="AT2200" t="s">
        <v>58</v>
      </c>
      <c r="AU2200" t="s">
        <v>68</v>
      </c>
      <c r="AV2200" t="s">
        <v>69</v>
      </c>
      <c r="AW2200" s="1">
        <v>28920</v>
      </c>
      <c r="AX2200">
        <v>2</v>
      </c>
    </row>
    <row r="2201" spans="1:50">
      <c r="A2201">
        <v>166766</v>
      </c>
      <c r="B2201" t="str">
        <f>"047947599"</f>
        <v>047947599</v>
      </c>
      <c r="C2201" t="s">
        <v>50</v>
      </c>
      <c r="D2201" t="s">
        <v>4500</v>
      </c>
      <c r="E2201" t="s">
        <v>237</v>
      </c>
      <c r="F2201" t="s">
        <v>95</v>
      </c>
      <c r="G2201" t="s">
        <v>52</v>
      </c>
      <c r="H2201" t="str">
        <f>"ΚΑΣΤΑΜΟΝΙΤΣΑ ΗΡΑΚΛΕΙΟ"</f>
        <v>ΚΑΣΤΑΜΟΝΙΤΣΑ ΗΡΑΚΛΕΙΟ</v>
      </c>
      <c r="I2201">
        <v>70006</v>
      </c>
      <c r="J2201">
        <v>2891051375</v>
      </c>
      <c r="K2201">
        <v>6974373780</v>
      </c>
      <c r="N2201" t="s">
        <v>176</v>
      </c>
      <c r="O2201" t="s">
        <v>177</v>
      </c>
      <c r="R2201" t="s">
        <v>57</v>
      </c>
      <c r="S2201">
        <v>14</v>
      </c>
      <c r="T2201">
        <v>137</v>
      </c>
      <c r="U2201" s="1">
        <v>34206</v>
      </c>
      <c r="V2201" t="s">
        <v>123</v>
      </c>
      <c r="W2201" t="s">
        <v>124</v>
      </c>
      <c r="X2201" t="s">
        <v>58</v>
      </c>
      <c r="Y2201">
        <v>18</v>
      </c>
      <c r="Z2201" t="s">
        <v>59</v>
      </c>
      <c r="AA2201" t="s">
        <v>59</v>
      </c>
      <c r="AB2201" t="s">
        <v>59</v>
      </c>
      <c r="AC2201" t="s">
        <v>59</v>
      </c>
      <c r="AD2201" t="s">
        <v>59</v>
      </c>
      <c r="AF2201" s="1">
        <v>34215</v>
      </c>
      <c r="AG2201" t="s">
        <v>125</v>
      </c>
      <c r="AH2201" t="s">
        <v>126</v>
      </c>
      <c r="AI2201" t="str">
        <f>"1705010"</f>
        <v>1705010</v>
      </c>
      <c r="AJ2201" t="s">
        <v>2311</v>
      </c>
      <c r="AK2201">
        <v>2891031232</v>
      </c>
      <c r="AL2201" t="s">
        <v>2312</v>
      </c>
      <c r="AM2201" t="s">
        <v>78</v>
      </c>
      <c r="AN2201" t="s">
        <v>276</v>
      </c>
      <c r="AO2201" t="s">
        <v>277</v>
      </c>
      <c r="AP2201" t="s">
        <v>277</v>
      </c>
      <c r="AQ2201">
        <v>17</v>
      </c>
      <c r="AR2201" t="s">
        <v>123</v>
      </c>
      <c r="AS2201" t="s">
        <v>124</v>
      </c>
      <c r="AT2201" t="s">
        <v>58</v>
      </c>
      <c r="AU2201" t="s">
        <v>68</v>
      </c>
      <c r="AV2201" t="s">
        <v>69</v>
      </c>
      <c r="AW2201" s="1">
        <v>23801</v>
      </c>
      <c r="AX2201">
        <v>2</v>
      </c>
    </row>
    <row r="2202" spans="1:50">
      <c r="A2202">
        <v>194119</v>
      </c>
      <c r="B2202" t="str">
        <f>"054974149"</f>
        <v>054974149</v>
      </c>
      <c r="C2202" t="s">
        <v>50</v>
      </c>
      <c r="D2202" t="s">
        <v>4500</v>
      </c>
      <c r="E2202" t="s">
        <v>460</v>
      </c>
      <c r="F2202" t="s">
        <v>377</v>
      </c>
      <c r="G2202" t="s">
        <v>250</v>
      </c>
      <c r="H2202" t="str">
        <f>" "</f>
        <v xml:space="preserve"> </v>
      </c>
      <c r="J2202">
        <v>2810323971</v>
      </c>
      <c r="K2202">
        <v>6946083260</v>
      </c>
      <c r="M2202" t="s">
        <v>4501</v>
      </c>
      <c r="N2202" t="s">
        <v>306</v>
      </c>
      <c r="O2202" t="s">
        <v>307</v>
      </c>
      <c r="R2202" t="s">
        <v>57</v>
      </c>
      <c r="S2202">
        <v>10</v>
      </c>
      <c r="T2202">
        <v>193</v>
      </c>
      <c r="U2202" s="1">
        <v>37497</v>
      </c>
      <c r="V2202" t="s">
        <v>123</v>
      </c>
      <c r="W2202" t="s">
        <v>124</v>
      </c>
      <c r="X2202" t="s">
        <v>58</v>
      </c>
      <c r="Y2202">
        <v>18</v>
      </c>
      <c r="Z2202" t="s">
        <v>59</v>
      </c>
      <c r="AA2202" t="s">
        <v>59</v>
      </c>
      <c r="AB2202" t="s">
        <v>59</v>
      </c>
      <c r="AC2202" t="s">
        <v>59</v>
      </c>
      <c r="AD2202" t="s">
        <v>59</v>
      </c>
      <c r="AF2202" s="1">
        <v>37500</v>
      </c>
      <c r="AG2202" t="s">
        <v>148</v>
      </c>
      <c r="AH2202" t="s">
        <v>149</v>
      </c>
      <c r="AI2202" t="str">
        <f>"1790070"</f>
        <v>1790070</v>
      </c>
      <c r="AJ2202" t="s">
        <v>1283</v>
      </c>
      <c r="AK2202">
        <v>2810252154</v>
      </c>
      <c r="AL2202" t="s">
        <v>1284</v>
      </c>
      <c r="AM2202" t="s">
        <v>78</v>
      </c>
      <c r="AN2202" t="s">
        <v>78</v>
      </c>
      <c r="AO2202" t="s">
        <v>78</v>
      </c>
      <c r="AP2202" t="s">
        <v>141</v>
      </c>
      <c r="AQ2202">
        <v>7</v>
      </c>
      <c r="AR2202" t="s">
        <v>123</v>
      </c>
      <c r="AS2202" t="s">
        <v>124</v>
      </c>
      <c r="AT2202" t="s">
        <v>58</v>
      </c>
      <c r="AU2202" t="s">
        <v>68</v>
      </c>
      <c r="AV2202" t="s">
        <v>69</v>
      </c>
      <c r="AW2202" s="1">
        <v>26017</v>
      </c>
      <c r="AX2202">
        <v>2</v>
      </c>
    </row>
    <row r="2203" spans="1:50">
      <c r="A2203">
        <v>153257</v>
      </c>
      <c r="B2203" t="str">
        <f>"033399487"</f>
        <v>033399487</v>
      </c>
      <c r="C2203" t="s">
        <v>105</v>
      </c>
      <c r="D2203" t="s">
        <v>4502</v>
      </c>
      <c r="E2203" t="s">
        <v>311</v>
      </c>
      <c r="F2203" t="s">
        <v>166</v>
      </c>
      <c r="G2203" t="s">
        <v>237</v>
      </c>
      <c r="H2203" t="str">
        <f>" "</f>
        <v xml:space="preserve"> </v>
      </c>
      <c r="N2203" t="s">
        <v>306</v>
      </c>
      <c r="O2203" t="s">
        <v>307</v>
      </c>
      <c r="R2203" t="s">
        <v>57</v>
      </c>
      <c r="S2203">
        <v>15</v>
      </c>
      <c r="T2203">
        <v>166</v>
      </c>
      <c r="U2203" s="1">
        <v>32010</v>
      </c>
      <c r="V2203" t="s">
        <v>123</v>
      </c>
      <c r="W2203" t="s">
        <v>124</v>
      </c>
      <c r="X2203" t="s">
        <v>58</v>
      </c>
      <c r="Y2203">
        <v>18</v>
      </c>
      <c r="Z2203" t="s">
        <v>59</v>
      </c>
      <c r="AA2203" t="s">
        <v>59</v>
      </c>
      <c r="AB2203" t="s">
        <v>59</v>
      </c>
      <c r="AC2203" t="s">
        <v>59</v>
      </c>
      <c r="AD2203" t="s">
        <v>59</v>
      </c>
      <c r="AF2203" s="1">
        <v>32023</v>
      </c>
      <c r="AG2203" t="s">
        <v>125</v>
      </c>
      <c r="AH2203" t="s">
        <v>126</v>
      </c>
      <c r="AI2203" t="str">
        <f>"1727010"</f>
        <v>1727010</v>
      </c>
      <c r="AJ2203" t="s">
        <v>618</v>
      </c>
      <c r="AK2203">
        <v>2810229231</v>
      </c>
      <c r="AL2203" t="s">
        <v>619</v>
      </c>
      <c r="AM2203" t="s">
        <v>78</v>
      </c>
      <c r="AN2203" t="s">
        <v>78</v>
      </c>
      <c r="AO2203" t="s">
        <v>286</v>
      </c>
      <c r="AP2203" t="s">
        <v>286</v>
      </c>
      <c r="AQ2203">
        <v>12</v>
      </c>
      <c r="AR2203" t="s">
        <v>123</v>
      </c>
      <c r="AS2203" t="s">
        <v>124</v>
      </c>
      <c r="AT2203" t="s">
        <v>58</v>
      </c>
      <c r="AU2203" t="s">
        <v>68</v>
      </c>
      <c r="AV2203" t="s">
        <v>69</v>
      </c>
      <c r="AW2203" s="1">
        <v>20836</v>
      </c>
      <c r="AX2203">
        <v>2</v>
      </c>
    </row>
    <row r="2204" spans="1:50">
      <c r="A2204">
        <v>191842</v>
      </c>
      <c r="B2204" t="str">
        <f>"032440964"</f>
        <v>032440964</v>
      </c>
      <c r="C2204" t="s">
        <v>105</v>
      </c>
      <c r="D2204" t="s">
        <v>4503</v>
      </c>
      <c r="E2204" t="s">
        <v>53</v>
      </c>
      <c r="F2204" t="s">
        <v>936</v>
      </c>
      <c r="G2204" t="s">
        <v>52</v>
      </c>
      <c r="H2204" t="str">
        <f>" "</f>
        <v xml:space="preserve"> </v>
      </c>
      <c r="M2204" t="s">
        <v>4504</v>
      </c>
      <c r="N2204" t="s">
        <v>168</v>
      </c>
      <c r="O2204" t="s">
        <v>169</v>
      </c>
      <c r="R2204" t="s">
        <v>57</v>
      </c>
      <c r="S2204">
        <v>18</v>
      </c>
      <c r="T2204">
        <v>291</v>
      </c>
      <c r="U2204" s="1">
        <v>37218</v>
      </c>
      <c r="V2204" t="s">
        <v>123</v>
      </c>
      <c r="W2204" t="s">
        <v>124</v>
      </c>
      <c r="X2204" t="s">
        <v>58</v>
      </c>
      <c r="Y2204">
        <v>20</v>
      </c>
      <c r="Z2204" t="s">
        <v>59</v>
      </c>
      <c r="AA2204" t="s">
        <v>59</v>
      </c>
      <c r="AB2204" t="s">
        <v>59</v>
      </c>
      <c r="AC2204" t="s">
        <v>59</v>
      </c>
      <c r="AD2204" t="s">
        <v>59</v>
      </c>
      <c r="AF2204" s="1">
        <v>37221</v>
      </c>
      <c r="AG2204" t="s">
        <v>137</v>
      </c>
      <c r="AH2204" t="s">
        <v>138</v>
      </c>
      <c r="AI2204" t="str">
        <f>"1740100"</f>
        <v>1740100</v>
      </c>
      <c r="AJ2204" t="s">
        <v>857</v>
      </c>
      <c r="AK2204">
        <v>2810360741</v>
      </c>
      <c r="AL2204" t="s">
        <v>858</v>
      </c>
      <c r="AM2204" t="s">
        <v>78</v>
      </c>
      <c r="AN2204" t="s">
        <v>78</v>
      </c>
      <c r="AO2204" t="s">
        <v>78</v>
      </c>
      <c r="AP2204" t="s">
        <v>163</v>
      </c>
      <c r="AQ2204">
        <v>5</v>
      </c>
      <c r="AR2204" t="s">
        <v>123</v>
      </c>
      <c r="AS2204" t="s">
        <v>124</v>
      </c>
      <c r="AT2204" t="s">
        <v>58</v>
      </c>
      <c r="AU2204" t="s">
        <v>68</v>
      </c>
      <c r="AV2204" t="s">
        <v>69</v>
      </c>
      <c r="AW2204" s="1">
        <v>21724</v>
      </c>
      <c r="AX2204">
        <v>2</v>
      </c>
    </row>
    <row r="2205" spans="1:50">
      <c r="A2205">
        <v>183933</v>
      </c>
      <c r="B2205" t="str">
        <f>"063825768"</f>
        <v>063825768</v>
      </c>
      <c r="C2205" t="s">
        <v>50</v>
      </c>
      <c r="D2205" t="s">
        <v>4505</v>
      </c>
      <c r="E2205" t="s">
        <v>83</v>
      </c>
      <c r="F2205" t="s">
        <v>309</v>
      </c>
      <c r="G2205" t="s">
        <v>4506</v>
      </c>
      <c r="H2205" t="str">
        <f>"ΛΟΥΔΟΒΙΚΟΥ ΠΑΣΤΕΡ 56 "</f>
        <v xml:space="preserve">ΛΟΥΔΟΒΙΚΟΥ ΠΑΣΤΕΡ 56 </v>
      </c>
      <c r="I2205">
        <v>71307</v>
      </c>
      <c r="J2205">
        <v>2810213243</v>
      </c>
      <c r="L2205">
        <v>6976480252</v>
      </c>
      <c r="N2205" t="s">
        <v>292</v>
      </c>
      <c r="O2205" t="s">
        <v>293</v>
      </c>
      <c r="R2205" t="s">
        <v>57</v>
      </c>
      <c r="S2205">
        <v>9</v>
      </c>
      <c r="T2205">
        <v>177</v>
      </c>
      <c r="U2205" s="1">
        <v>36403</v>
      </c>
      <c r="V2205" t="s">
        <v>123</v>
      </c>
      <c r="W2205" t="s">
        <v>124</v>
      </c>
      <c r="X2205" t="s">
        <v>58</v>
      </c>
      <c r="Y2205">
        <v>20</v>
      </c>
      <c r="Z2205" t="s">
        <v>59</v>
      </c>
      <c r="AA2205" t="s">
        <v>59</v>
      </c>
      <c r="AB2205" t="s">
        <v>59</v>
      </c>
      <c r="AC2205" t="s">
        <v>59</v>
      </c>
      <c r="AD2205" t="s">
        <v>59</v>
      </c>
      <c r="AF2205" s="1">
        <v>36411</v>
      </c>
      <c r="AG2205" t="s">
        <v>148</v>
      </c>
      <c r="AH2205" t="s">
        <v>149</v>
      </c>
      <c r="AI2205" t="str">
        <f>"1751042"</f>
        <v>1751042</v>
      </c>
      <c r="AJ2205" t="s">
        <v>959</v>
      </c>
      <c r="AK2205">
        <v>2810220685</v>
      </c>
      <c r="AL2205" t="s">
        <v>960</v>
      </c>
      <c r="AM2205" t="s">
        <v>78</v>
      </c>
      <c r="AN2205" t="s">
        <v>78</v>
      </c>
      <c r="AO2205" t="s">
        <v>78</v>
      </c>
      <c r="AP2205" t="s">
        <v>213</v>
      </c>
      <c r="AQ2205">
        <v>6</v>
      </c>
      <c r="AR2205" t="s">
        <v>123</v>
      </c>
      <c r="AS2205" t="s">
        <v>124</v>
      </c>
      <c r="AT2205" t="s">
        <v>58</v>
      </c>
      <c r="AU2205" t="s">
        <v>68</v>
      </c>
      <c r="AV2205" t="s">
        <v>69</v>
      </c>
      <c r="AW2205" s="1">
        <v>21770</v>
      </c>
      <c r="AX2205">
        <v>2</v>
      </c>
    </row>
    <row r="2206" spans="1:50">
      <c r="B2206" t="str">
        <f>"125567510"</f>
        <v>125567510</v>
      </c>
      <c r="C2206" t="s">
        <v>105</v>
      </c>
      <c r="D2206" t="s">
        <v>4507</v>
      </c>
      <c r="E2206" t="s">
        <v>450</v>
      </c>
      <c r="F2206" t="s">
        <v>1023</v>
      </c>
      <c r="H2206" t="str">
        <f>"ΛΑΚΩΝΙΑ "</f>
        <v xml:space="preserve">ΛΑΚΩΝΙΑ </v>
      </c>
      <c r="K2206">
        <v>6972727890</v>
      </c>
      <c r="L2206">
        <v>6985556734</v>
      </c>
      <c r="M2206" t="s">
        <v>4508</v>
      </c>
      <c r="N2206" t="s">
        <v>119</v>
      </c>
      <c r="O2206" t="s">
        <v>120</v>
      </c>
      <c r="R2206" t="s">
        <v>159</v>
      </c>
      <c r="S2206">
        <v>3</v>
      </c>
      <c r="T2206" t="s">
        <v>344</v>
      </c>
      <c r="U2206" s="1">
        <v>43348</v>
      </c>
      <c r="V2206" t="s">
        <v>4509</v>
      </c>
      <c r="W2206" t="s">
        <v>4510</v>
      </c>
      <c r="X2206" t="s">
        <v>58</v>
      </c>
      <c r="Y2206">
        <v>23</v>
      </c>
      <c r="Z2206" t="s">
        <v>59</v>
      </c>
      <c r="AA2206" t="s">
        <v>59</v>
      </c>
      <c r="AB2206" t="s">
        <v>59</v>
      </c>
      <c r="AC2206" t="s">
        <v>59</v>
      </c>
      <c r="AD2206" t="s">
        <v>59</v>
      </c>
      <c r="AF2206" s="1">
        <v>43348</v>
      </c>
      <c r="AG2206" t="s">
        <v>125</v>
      </c>
      <c r="AH2206" t="s">
        <v>126</v>
      </c>
      <c r="AI2206" t="str">
        <f>"3201020"</f>
        <v>3201020</v>
      </c>
      <c r="AJ2206" t="s">
        <v>4511</v>
      </c>
      <c r="AK2206">
        <v>2841024586</v>
      </c>
      <c r="AL2206" t="s">
        <v>4512</v>
      </c>
      <c r="AM2206" t="s">
        <v>4513</v>
      </c>
      <c r="AN2206" t="s">
        <v>4514</v>
      </c>
      <c r="AO2206" t="s">
        <v>4514</v>
      </c>
      <c r="AP2206" t="s">
        <v>4514</v>
      </c>
      <c r="AQ2206">
        <v>1</v>
      </c>
      <c r="AR2206" t="s">
        <v>4509</v>
      </c>
      <c r="AS2206" t="s">
        <v>4510</v>
      </c>
      <c r="AT2206" t="s">
        <v>58</v>
      </c>
      <c r="AU2206" t="s">
        <v>350</v>
      </c>
      <c r="AV2206" t="s">
        <v>132</v>
      </c>
      <c r="AW2206" s="1">
        <v>30723</v>
      </c>
      <c r="AX2206">
        <v>2</v>
      </c>
    </row>
    <row r="2207" spans="1:50">
      <c r="A2207">
        <v>218644</v>
      </c>
      <c r="B2207" t="str">
        <f>"055088555"</f>
        <v>055088555</v>
      </c>
      <c r="C2207" t="s">
        <v>105</v>
      </c>
      <c r="D2207" t="s">
        <v>197</v>
      </c>
      <c r="E2207" t="s">
        <v>95</v>
      </c>
      <c r="F2207" t="s">
        <v>53</v>
      </c>
      <c r="G2207" t="s">
        <v>4515</v>
      </c>
      <c r="H2207" t="str">
        <f>"ΙΩΑΝΝΟΥ ΣΑΡΕΙΔΑΚΗ 9 ΙΕΡΑΠΕΤΡΑ"</f>
        <v>ΙΩΑΝΝΟΥ ΣΑΡΕΙΔΑΚΗ 9 ΙΕΡΑΠΕΤΡΑ</v>
      </c>
      <c r="I2207">
        <v>72200</v>
      </c>
      <c r="J2207">
        <v>2842023485</v>
      </c>
      <c r="K2207">
        <v>6944327762</v>
      </c>
      <c r="M2207" t="s">
        <v>4516</v>
      </c>
      <c r="N2207" t="s">
        <v>199</v>
      </c>
      <c r="O2207" t="s">
        <v>200</v>
      </c>
      <c r="R2207" t="s">
        <v>57</v>
      </c>
      <c r="S2207">
        <v>6</v>
      </c>
      <c r="T2207">
        <v>599</v>
      </c>
      <c r="U2207" s="1">
        <v>39310</v>
      </c>
      <c r="V2207" t="s">
        <v>4509</v>
      </c>
      <c r="W2207" t="s">
        <v>4510</v>
      </c>
      <c r="X2207" t="s">
        <v>58</v>
      </c>
      <c r="Y2207">
        <v>20</v>
      </c>
      <c r="Z2207" t="s">
        <v>59</v>
      </c>
      <c r="AA2207" t="s">
        <v>59</v>
      </c>
      <c r="AB2207" t="s">
        <v>59</v>
      </c>
      <c r="AC2207" t="s">
        <v>59</v>
      </c>
      <c r="AD2207" t="s">
        <v>59</v>
      </c>
      <c r="AF2207" s="1">
        <v>39326</v>
      </c>
      <c r="AG2207" t="s">
        <v>125</v>
      </c>
      <c r="AH2207" t="s">
        <v>126</v>
      </c>
      <c r="AI2207" t="str">
        <f>"3202010"</f>
        <v>3202010</v>
      </c>
      <c r="AJ2207" t="s">
        <v>4517</v>
      </c>
      <c r="AK2207">
        <v>2842028229</v>
      </c>
      <c r="AL2207" t="s">
        <v>4518</v>
      </c>
      <c r="AM2207" t="s">
        <v>4513</v>
      </c>
      <c r="AN2207" t="s">
        <v>4519</v>
      </c>
      <c r="AO2207" t="s">
        <v>4519</v>
      </c>
      <c r="AP2207" t="s">
        <v>4519</v>
      </c>
      <c r="AQ2207">
        <v>4</v>
      </c>
      <c r="AR2207" t="s">
        <v>4509</v>
      </c>
      <c r="AS2207" t="s">
        <v>4510</v>
      </c>
      <c r="AT2207" t="s">
        <v>58</v>
      </c>
      <c r="AU2207" t="s">
        <v>68</v>
      </c>
      <c r="AV2207" t="s">
        <v>69</v>
      </c>
      <c r="AW2207" s="1">
        <v>25166</v>
      </c>
      <c r="AX2207">
        <v>2</v>
      </c>
    </row>
    <row r="2208" spans="1:50">
      <c r="B2208" t="str">
        <f>"119655714"</f>
        <v>119655714</v>
      </c>
      <c r="C2208" t="s">
        <v>105</v>
      </c>
      <c r="D2208" t="s">
        <v>4520</v>
      </c>
      <c r="E2208" t="s">
        <v>311</v>
      </c>
      <c r="F2208" t="s">
        <v>383</v>
      </c>
      <c r="G2208" t="s">
        <v>73</v>
      </c>
      <c r="H2208" t="str">
        <f>"Ο.E.Κ.ΑΓ.ΑΙΚΑΤΕΡΙΝΗΣ ΗΡΑΚΛΕΙΟ"</f>
        <v>Ο.E.Κ.ΑΓ.ΑΙΚΑΤΕΡΙΝΗΣ ΗΡΑΚΛΕΙΟ</v>
      </c>
      <c r="I2208">
        <v>71500</v>
      </c>
      <c r="J2208">
        <v>2810225827</v>
      </c>
      <c r="K2208">
        <v>6976605611</v>
      </c>
      <c r="M2208" t="s">
        <v>4521</v>
      </c>
      <c r="N2208" t="s">
        <v>199</v>
      </c>
      <c r="O2208" t="s">
        <v>200</v>
      </c>
      <c r="R2208" t="s">
        <v>159</v>
      </c>
      <c r="S2208">
        <v>2</v>
      </c>
      <c r="T2208" t="s">
        <v>416</v>
      </c>
      <c r="U2208" s="1">
        <v>43349</v>
      </c>
      <c r="V2208" t="s">
        <v>4509</v>
      </c>
      <c r="W2208" t="s">
        <v>4510</v>
      </c>
      <c r="X2208" t="s">
        <v>58</v>
      </c>
      <c r="Y2208">
        <v>23</v>
      </c>
      <c r="Z2208" t="s">
        <v>59</v>
      </c>
      <c r="AA2208" t="s">
        <v>59</v>
      </c>
      <c r="AB2208" t="s">
        <v>59</v>
      </c>
      <c r="AC2208" t="s">
        <v>59</v>
      </c>
      <c r="AD2208" t="s">
        <v>59</v>
      </c>
      <c r="AF2208" s="1">
        <v>43349</v>
      </c>
      <c r="AG2208" t="s">
        <v>125</v>
      </c>
      <c r="AH2208" t="s">
        <v>126</v>
      </c>
      <c r="AI2208" t="str">
        <f>"3203010"</f>
        <v>3203010</v>
      </c>
      <c r="AJ2208" t="s">
        <v>4522</v>
      </c>
      <c r="AK2208">
        <v>2841034140</v>
      </c>
      <c r="AL2208" t="s">
        <v>4523</v>
      </c>
      <c r="AM2208" t="s">
        <v>4513</v>
      </c>
      <c r="AN2208" t="s">
        <v>4514</v>
      </c>
      <c r="AO2208" t="s">
        <v>4524</v>
      </c>
      <c r="AP2208" t="s">
        <v>4525</v>
      </c>
      <c r="AQ2208">
        <v>3</v>
      </c>
      <c r="AR2208" t="s">
        <v>4509</v>
      </c>
      <c r="AS2208" t="s">
        <v>4510</v>
      </c>
      <c r="AT2208" t="s">
        <v>58</v>
      </c>
      <c r="AU2208" t="s">
        <v>419</v>
      </c>
      <c r="AV2208" t="s">
        <v>132</v>
      </c>
      <c r="AW2208" s="1">
        <v>27698</v>
      </c>
      <c r="AX2208">
        <v>2</v>
      </c>
    </row>
    <row r="2209" spans="1:50">
      <c r="A2209">
        <v>704442</v>
      </c>
      <c r="B2209" t="str">
        <f>"111324119"</f>
        <v>111324119</v>
      </c>
      <c r="C2209" t="s">
        <v>50</v>
      </c>
      <c r="D2209" t="s">
        <v>4526</v>
      </c>
      <c r="E2209" t="s">
        <v>155</v>
      </c>
      <c r="F2209" t="s">
        <v>309</v>
      </c>
      <c r="G2209" t="s">
        <v>714</v>
      </c>
      <c r="H2209" t="str">
        <f>"ΛΙΒΥΗΣ 2Α "</f>
        <v xml:space="preserve">ΛΙΒΥΗΣ 2Α </v>
      </c>
      <c r="I2209">
        <v>15771</v>
      </c>
      <c r="J2209">
        <v>2121002414</v>
      </c>
      <c r="K2209">
        <v>6973576403</v>
      </c>
      <c r="N2209" t="s">
        <v>189</v>
      </c>
      <c r="O2209" t="s">
        <v>190</v>
      </c>
      <c r="R2209" t="s">
        <v>121</v>
      </c>
      <c r="S2209">
        <v>1</v>
      </c>
      <c r="T2209">
        <v>1134</v>
      </c>
      <c r="U2209" s="1">
        <v>43381</v>
      </c>
      <c r="V2209" t="s">
        <v>4509</v>
      </c>
      <c r="W2209" t="s">
        <v>4510</v>
      </c>
      <c r="X2209" t="s">
        <v>58</v>
      </c>
      <c r="Y2209">
        <v>23</v>
      </c>
      <c r="Z2209" t="s">
        <v>59</v>
      </c>
      <c r="AA2209" t="s">
        <v>59</v>
      </c>
      <c r="AB2209" t="s">
        <v>59</v>
      </c>
      <c r="AC2209" t="s">
        <v>59</v>
      </c>
      <c r="AD2209" t="s">
        <v>59</v>
      </c>
      <c r="AF2209" s="1">
        <v>43381</v>
      </c>
      <c r="AI2209" t="str">
        <f>""</f>
        <v/>
      </c>
      <c r="AS2209" t="s">
        <v>4510</v>
      </c>
      <c r="AT2209" t="s">
        <v>58</v>
      </c>
      <c r="AU2209" t="s">
        <v>68</v>
      </c>
      <c r="AW2209" s="1">
        <v>29221</v>
      </c>
      <c r="AX2209">
        <v>2</v>
      </c>
    </row>
    <row r="2210" spans="1:50">
      <c r="A2210">
        <v>205060</v>
      </c>
      <c r="B2210" t="str">
        <f>"119677221"</f>
        <v>119677221</v>
      </c>
      <c r="C2210" t="s">
        <v>50</v>
      </c>
      <c r="D2210" t="s">
        <v>333</v>
      </c>
      <c r="E2210" t="s">
        <v>801</v>
      </c>
      <c r="F2210" t="s">
        <v>154</v>
      </c>
      <c r="G2210" t="s">
        <v>155</v>
      </c>
      <c r="H2210" t="str">
        <f>"ΔΙΓΕΝΗ ΑΚΡΙΤΑ 5 ΜΑΣΤΑΜΠΑΣ"</f>
        <v>ΔΙΓΕΝΗ ΑΚΡΙΤΑ 5 ΜΑΣΤΑΜΠΑΣ</v>
      </c>
      <c r="I2210">
        <v>71305</v>
      </c>
      <c r="J2210">
        <v>2810235318</v>
      </c>
      <c r="K2210">
        <v>6977568246</v>
      </c>
      <c r="M2210" t="s">
        <v>4527</v>
      </c>
      <c r="N2210" t="s">
        <v>204</v>
      </c>
      <c r="O2210" t="s">
        <v>205</v>
      </c>
      <c r="R2210" t="s">
        <v>57</v>
      </c>
      <c r="S2210">
        <v>9</v>
      </c>
      <c r="T2210">
        <v>231</v>
      </c>
      <c r="U2210" s="1">
        <v>38230</v>
      </c>
      <c r="V2210" t="s">
        <v>4509</v>
      </c>
      <c r="W2210" t="s">
        <v>4510</v>
      </c>
      <c r="X2210" t="s">
        <v>58</v>
      </c>
      <c r="Y2210">
        <v>20</v>
      </c>
      <c r="Z2210" t="s">
        <v>59</v>
      </c>
      <c r="AA2210" t="s">
        <v>59</v>
      </c>
      <c r="AB2210" t="s">
        <v>59</v>
      </c>
      <c r="AC2210" t="s">
        <v>59</v>
      </c>
      <c r="AD2210" t="s">
        <v>59</v>
      </c>
      <c r="AF2210" s="1">
        <v>38231</v>
      </c>
      <c r="AG2210" t="s">
        <v>137</v>
      </c>
      <c r="AH2210" t="s">
        <v>138</v>
      </c>
      <c r="AI2210" t="str">
        <f>"3240077"</f>
        <v>3240077</v>
      </c>
      <c r="AJ2210" t="s">
        <v>4528</v>
      </c>
      <c r="AK2210">
        <v>2841025978</v>
      </c>
      <c r="AL2210" t="s">
        <v>4529</v>
      </c>
      <c r="AM2210" t="s">
        <v>4513</v>
      </c>
      <c r="AN2210" t="s">
        <v>4514</v>
      </c>
      <c r="AO2210" t="s">
        <v>4514</v>
      </c>
      <c r="AP2210" t="s">
        <v>4514</v>
      </c>
      <c r="AQ2210">
        <v>1</v>
      </c>
      <c r="AR2210" t="s">
        <v>4509</v>
      </c>
      <c r="AS2210" t="s">
        <v>4510</v>
      </c>
      <c r="AT2210" t="s">
        <v>58</v>
      </c>
      <c r="AU2210" t="s">
        <v>68</v>
      </c>
      <c r="AV2210" t="s">
        <v>69</v>
      </c>
      <c r="AW2210" s="1">
        <v>29492</v>
      </c>
      <c r="AX2210">
        <v>2</v>
      </c>
    </row>
    <row r="2211" spans="1:50">
      <c r="A2211">
        <v>149856</v>
      </c>
      <c r="B2211" t="str">
        <f>"029131996"</f>
        <v>029131996</v>
      </c>
      <c r="C2211" t="s">
        <v>105</v>
      </c>
      <c r="D2211" t="s">
        <v>4530</v>
      </c>
      <c r="E2211" t="s">
        <v>383</v>
      </c>
      <c r="F2211" t="s">
        <v>84</v>
      </c>
      <c r="G2211" t="s">
        <v>215</v>
      </c>
      <c r="H2211" t="str">
        <f>" "</f>
        <v xml:space="preserve"> </v>
      </c>
      <c r="M2211" t="s">
        <v>4531</v>
      </c>
      <c r="N2211" t="s">
        <v>232</v>
      </c>
      <c r="O2211" t="s">
        <v>233</v>
      </c>
      <c r="R2211" t="s">
        <v>57</v>
      </c>
      <c r="S2211">
        <v>16</v>
      </c>
      <c r="T2211">
        <v>228</v>
      </c>
      <c r="U2211" s="1">
        <v>31684</v>
      </c>
      <c r="V2211" t="s">
        <v>4509</v>
      </c>
      <c r="W2211" t="s">
        <v>4510</v>
      </c>
      <c r="X2211" t="s">
        <v>58</v>
      </c>
      <c r="Y2211">
        <v>18</v>
      </c>
      <c r="Z2211" t="s">
        <v>59</v>
      </c>
      <c r="AA2211" t="s">
        <v>59</v>
      </c>
      <c r="AB2211" t="s">
        <v>59</v>
      </c>
      <c r="AC2211" t="s">
        <v>59</v>
      </c>
      <c r="AD2211" t="s">
        <v>59</v>
      </c>
      <c r="AF2211" s="1">
        <v>31684</v>
      </c>
      <c r="AG2211" t="s">
        <v>148</v>
      </c>
      <c r="AH2211" t="s">
        <v>149</v>
      </c>
      <c r="AI2211" t="str">
        <f>"3252010"</f>
        <v>3252010</v>
      </c>
      <c r="AJ2211" t="s">
        <v>4532</v>
      </c>
      <c r="AK2211">
        <v>2842022356</v>
      </c>
      <c r="AL2211" t="s">
        <v>4533</v>
      </c>
      <c r="AM2211" t="s">
        <v>4513</v>
      </c>
      <c r="AN2211" t="s">
        <v>4519</v>
      </c>
      <c r="AO2211" t="s">
        <v>4519</v>
      </c>
      <c r="AP2211" t="s">
        <v>4519</v>
      </c>
      <c r="AQ2211">
        <v>4</v>
      </c>
      <c r="AR2211" t="s">
        <v>4509</v>
      </c>
      <c r="AS2211" t="s">
        <v>4510</v>
      </c>
      <c r="AT2211" t="s">
        <v>58</v>
      </c>
      <c r="AU2211" t="s">
        <v>68</v>
      </c>
      <c r="AV2211" t="s">
        <v>69</v>
      </c>
      <c r="AW2211" s="1">
        <v>20859</v>
      </c>
      <c r="AX2211">
        <v>2</v>
      </c>
    </row>
    <row r="2212" spans="1:50">
      <c r="A2212">
        <v>195775</v>
      </c>
      <c r="B2212" t="str">
        <f>"079594460"</f>
        <v>079594460</v>
      </c>
      <c r="C2212" t="s">
        <v>50</v>
      </c>
      <c r="D2212" t="s">
        <v>351</v>
      </c>
      <c r="E2212" t="s">
        <v>237</v>
      </c>
      <c r="F2212" t="s">
        <v>154</v>
      </c>
      <c r="G2212" t="s">
        <v>494</v>
      </c>
      <c r="H2212" t="str">
        <f>"ΜΕΛΙΝΑΣ ΜΕΡΚΟΥΡΗ 53 ΘΕΡΙΣΣΟΣ"</f>
        <v>ΜΕΛΙΝΑΣ ΜΕΡΚΟΥΡΗ 53 ΘΕΡΙΣΣΟΣ</v>
      </c>
      <c r="I2212">
        <v>71305</v>
      </c>
      <c r="J2212">
        <v>2810261234</v>
      </c>
      <c r="K2212">
        <v>6974554763</v>
      </c>
      <c r="M2212" t="s">
        <v>4534</v>
      </c>
      <c r="N2212" t="s">
        <v>306</v>
      </c>
      <c r="O2212" t="s">
        <v>307</v>
      </c>
      <c r="R2212" t="s">
        <v>57</v>
      </c>
      <c r="S2212">
        <v>9</v>
      </c>
      <c r="T2212">
        <v>194</v>
      </c>
      <c r="U2212" s="1">
        <v>37497</v>
      </c>
      <c r="V2212" t="s">
        <v>4509</v>
      </c>
      <c r="W2212" t="s">
        <v>4510</v>
      </c>
      <c r="X2212" t="s">
        <v>58</v>
      </c>
      <c r="Y2212">
        <v>20</v>
      </c>
      <c r="Z2212" t="s">
        <v>59</v>
      </c>
      <c r="AA2212" t="s">
        <v>59</v>
      </c>
      <c r="AB2212" t="s">
        <v>59</v>
      </c>
      <c r="AC2212" t="s">
        <v>59</v>
      </c>
      <c r="AD2212" t="s">
        <v>59</v>
      </c>
      <c r="AF2212" s="1">
        <v>37500</v>
      </c>
      <c r="AG2212" t="s">
        <v>148</v>
      </c>
      <c r="AH2212" t="s">
        <v>149</v>
      </c>
      <c r="AI2212" t="str">
        <f>"3251001"</f>
        <v>3251001</v>
      </c>
      <c r="AJ2212" t="s">
        <v>4535</v>
      </c>
      <c r="AK2212">
        <v>2841082544</v>
      </c>
      <c r="AL2212" t="s">
        <v>4536</v>
      </c>
      <c r="AM2212" t="s">
        <v>4513</v>
      </c>
      <c r="AN2212" t="s">
        <v>4514</v>
      </c>
      <c r="AO2212" t="s">
        <v>4514</v>
      </c>
      <c r="AP2212" t="s">
        <v>4514</v>
      </c>
      <c r="AQ2212">
        <v>1</v>
      </c>
      <c r="AR2212" t="s">
        <v>4509</v>
      </c>
      <c r="AS2212" t="s">
        <v>4510</v>
      </c>
      <c r="AT2212" t="s">
        <v>58</v>
      </c>
      <c r="AU2212" t="s">
        <v>68</v>
      </c>
      <c r="AV2212" t="s">
        <v>132</v>
      </c>
      <c r="AW2212" s="1">
        <v>28033</v>
      </c>
      <c r="AX2212">
        <v>2</v>
      </c>
    </row>
    <row r="2213" spans="1:50">
      <c r="A2213">
        <v>179072</v>
      </c>
      <c r="B2213" t="str">
        <f>"046021399"</f>
        <v>046021399</v>
      </c>
      <c r="C2213" t="s">
        <v>50</v>
      </c>
      <c r="D2213" t="s">
        <v>351</v>
      </c>
      <c r="E2213" t="s">
        <v>250</v>
      </c>
      <c r="F2213" t="s">
        <v>99</v>
      </c>
      <c r="G2213" t="s">
        <v>411</v>
      </c>
      <c r="H2213" t="str">
        <f>" "</f>
        <v xml:space="preserve"> </v>
      </c>
      <c r="K2213">
        <v>6973344955</v>
      </c>
      <c r="M2213" t="s">
        <v>4537</v>
      </c>
      <c r="N2213" t="s">
        <v>146</v>
      </c>
      <c r="O2213" t="s">
        <v>147</v>
      </c>
      <c r="R2213" t="s">
        <v>57</v>
      </c>
      <c r="S2213">
        <v>9</v>
      </c>
      <c r="T2213">
        <v>164</v>
      </c>
      <c r="U2213" s="1">
        <v>36039</v>
      </c>
      <c r="V2213" t="s">
        <v>4509</v>
      </c>
      <c r="W2213" t="s">
        <v>4510</v>
      </c>
      <c r="X2213" t="s">
        <v>58</v>
      </c>
      <c r="Y2213">
        <v>18</v>
      </c>
      <c r="Z2213" t="s">
        <v>59</v>
      </c>
      <c r="AA2213" t="s">
        <v>59</v>
      </c>
      <c r="AB2213" t="s">
        <v>59</v>
      </c>
      <c r="AC2213" t="s">
        <v>59</v>
      </c>
      <c r="AD2213" t="s">
        <v>59</v>
      </c>
      <c r="AF2213" s="1">
        <v>36039</v>
      </c>
      <c r="AG2213" t="s">
        <v>148</v>
      </c>
      <c r="AH2213" t="s">
        <v>149</v>
      </c>
      <c r="AI2213" t="str">
        <f>"3254010"</f>
        <v>3254010</v>
      </c>
      <c r="AJ2213" t="s">
        <v>4538</v>
      </c>
      <c r="AK2213">
        <v>2843022277</v>
      </c>
      <c r="AL2213" t="s">
        <v>4539</v>
      </c>
      <c r="AM2213" t="s">
        <v>4513</v>
      </c>
      <c r="AN2213" t="s">
        <v>4540</v>
      </c>
      <c r="AO2213" t="s">
        <v>4540</v>
      </c>
      <c r="AP2213" t="s">
        <v>4540</v>
      </c>
      <c r="AQ2213">
        <v>6</v>
      </c>
      <c r="AR2213" t="s">
        <v>4509</v>
      </c>
      <c r="AS2213" t="s">
        <v>4510</v>
      </c>
      <c r="AT2213" t="s">
        <v>58</v>
      </c>
      <c r="AU2213" t="s">
        <v>68</v>
      </c>
      <c r="AV2213" t="s">
        <v>69</v>
      </c>
      <c r="AW2213" s="1">
        <v>24018</v>
      </c>
      <c r="AX2213">
        <v>2</v>
      </c>
    </row>
    <row r="2214" spans="1:50">
      <c r="A2214">
        <v>183710</v>
      </c>
      <c r="B2214" t="str">
        <f>"046999297"</f>
        <v>046999297</v>
      </c>
      <c r="C2214" t="s">
        <v>105</v>
      </c>
      <c r="D2214" t="s">
        <v>355</v>
      </c>
      <c r="E2214" t="s">
        <v>760</v>
      </c>
      <c r="F2214" t="s">
        <v>72</v>
      </c>
      <c r="G2214" t="s">
        <v>411</v>
      </c>
      <c r="H2214" t="str">
        <f>"Θερισσου 7 ΣΗΤΕΙΑ"</f>
        <v>Θερισσου 7 ΣΗΤΕΙΑ</v>
      </c>
      <c r="I2214">
        <v>72300</v>
      </c>
      <c r="J2214">
        <v>2843024043</v>
      </c>
      <c r="K2214">
        <v>6944392957</v>
      </c>
      <c r="M2214" t="s">
        <v>4541</v>
      </c>
      <c r="N2214" t="s">
        <v>292</v>
      </c>
      <c r="O2214" t="s">
        <v>293</v>
      </c>
      <c r="R2214" t="s">
        <v>57</v>
      </c>
      <c r="S2214">
        <v>9</v>
      </c>
      <c r="T2214">
        <v>177</v>
      </c>
      <c r="U2214" s="1">
        <v>36403</v>
      </c>
      <c r="V2214" t="s">
        <v>4509</v>
      </c>
      <c r="W2214" t="s">
        <v>4510</v>
      </c>
      <c r="X2214" t="s">
        <v>58</v>
      </c>
      <c r="Y2214">
        <v>20</v>
      </c>
      <c r="Z2214" t="s">
        <v>59</v>
      </c>
      <c r="AA2214" t="s">
        <v>59</v>
      </c>
      <c r="AB2214" t="s">
        <v>59</v>
      </c>
      <c r="AC2214" t="s">
        <v>59</v>
      </c>
      <c r="AD2214" t="s">
        <v>59</v>
      </c>
      <c r="AF2214" s="1">
        <v>36404</v>
      </c>
      <c r="AG2214" t="s">
        <v>125</v>
      </c>
      <c r="AH2214" t="s">
        <v>126</v>
      </c>
      <c r="AI2214" t="str">
        <f>"3204010"</f>
        <v>3204010</v>
      </c>
      <c r="AJ2214" t="s">
        <v>4542</v>
      </c>
      <c r="AK2214">
        <v>2843022503</v>
      </c>
      <c r="AL2214" t="s">
        <v>4543</v>
      </c>
      <c r="AM2214" t="s">
        <v>4513</v>
      </c>
      <c r="AN2214" t="s">
        <v>4540</v>
      </c>
      <c r="AO2214" t="s">
        <v>4540</v>
      </c>
      <c r="AP2214" t="s">
        <v>4540</v>
      </c>
      <c r="AQ2214">
        <v>6</v>
      </c>
      <c r="AR2214" t="s">
        <v>4509</v>
      </c>
      <c r="AS2214" t="s">
        <v>4510</v>
      </c>
      <c r="AT2214" t="s">
        <v>58</v>
      </c>
      <c r="AU2214" t="s">
        <v>68</v>
      </c>
      <c r="AV2214" t="s">
        <v>69</v>
      </c>
      <c r="AW2214" s="1">
        <v>25272</v>
      </c>
      <c r="AX2214">
        <v>2</v>
      </c>
    </row>
    <row r="2215" spans="1:50">
      <c r="A2215">
        <v>219185</v>
      </c>
      <c r="B2215" t="str">
        <f>"102708627"</f>
        <v>102708627</v>
      </c>
      <c r="C2215" t="s">
        <v>50</v>
      </c>
      <c r="D2215" t="s">
        <v>4544</v>
      </c>
      <c r="E2215" t="s">
        <v>630</v>
      </c>
      <c r="F2215" t="s">
        <v>95</v>
      </c>
      <c r="G2215" t="s">
        <v>476</v>
      </c>
      <c r="H2215" t="str">
        <f>"ΗΠΕΙΡΟΥ 30 ΞΑΝΘΗ"</f>
        <v>ΗΠΕΙΡΟΥ 30 ΞΑΝΘΗ</v>
      </c>
      <c r="I2215">
        <v>67100</v>
      </c>
      <c r="J2215">
        <v>2541020090</v>
      </c>
      <c r="K2215">
        <v>6977016093</v>
      </c>
      <c r="N2215" t="s">
        <v>306</v>
      </c>
      <c r="O2215" t="s">
        <v>307</v>
      </c>
      <c r="R2215" t="s">
        <v>57</v>
      </c>
      <c r="S2215">
        <v>8</v>
      </c>
      <c r="T2215">
        <v>599</v>
      </c>
      <c r="U2215" s="1">
        <v>39310</v>
      </c>
      <c r="V2215" t="s">
        <v>4509</v>
      </c>
      <c r="W2215" t="s">
        <v>4510</v>
      </c>
      <c r="X2215" t="s">
        <v>58</v>
      </c>
      <c r="Y2215">
        <v>20</v>
      </c>
      <c r="Z2215" t="s">
        <v>59</v>
      </c>
      <c r="AA2215" t="s">
        <v>59</v>
      </c>
      <c r="AB2215" t="s">
        <v>59</v>
      </c>
      <c r="AC2215" t="s">
        <v>59</v>
      </c>
      <c r="AD2215" t="s">
        <v>59</v>
      </c>
      <c r="AF2215" s="1">
        <v>39328</v>
      </c>
      <c r="AG2215" t="s">
        <v>125</v>
      </c>
      <c r="AH2215" t="s">
        <v>126</v>
      </c>
      <c r="AI2215" t="str">
        <f>"3206010"</f>
        <v>3206010</v>
      </c>
      <c r="AJ2215" t="s">
        <v>4545</v>
      </c>
      <c r="AK2215">
        <v>2843031222</v>
      </c>
      <c r="AL2215" t="s">
        <v>4546</v>
      </c>
      <c r="AM2215" t="s">
        <v>4513</v>
      </c>
      <c r="AN2215" t="s">
        <v>4540</v>
      </c>
      <c r="AO2215" t="s">
        <v>4547</v>
      </c>
      <c r="AP2215" t="s">
        <v>4548</v>
      </c>
      <c r="AQ2215">
        <v>6</v>
      </c>
      <c r="AR2215" t="s">
        <v>4509</v>
      </c>
      <c r="AS2215" t="s">
        <v>4510</v>
      </c>
      <c r="AT2215" t="s">
        <v>58</v>
      </c>
      <c r="AU2215" t="s">
        <v>68</v>
      </c>
      <c r="AV2215" t="s">
        <v>132</v>
      </c>
      <c r="AW2215" s="1">
        <v>27921</v>
      </c>
      <c r="AX2215">
        <v>2</v>
      </c>
    </row>
    <row r="2216" spans="1:50">
      <c r="A2216">
        <v>211819</v>
      </c>
      <c r="B2216" t="str">
        <f>"044776752"</f>
        <v>044776752</v>
      </c>
      <c r="C2216" t="s">
        <v>50</v>
      </c>
      <c r="D2216" t="s">
        <v>4549</v>
      </c>
      <c r="E2216" t="s">
        <v>1306</v>
      </c>
      <c r="F2216" t="s">
        <v>95</v>
      </c>
      <c r="G2216" t="s">
        <v>52</v>
      </c>
      <c r="H2216" t="str">
        <f>"ΕΥΡΩΠΗΣ 35 ΑΓΙΟΣ ΝΙΚΟΛΑΟΣ"</f>
        <v>ΕΥΡΩΠΗΣ 35 ΑΓΙΟΣ ΝΙΚΟΛΑΟΣ</v>
      </c>
      <c r="I2216">
        <v>72100</v>
      </c>
      <c r="K2216">
        <v>6972180178</v>
      </c>
      <c r="M2216" t="s">
        <v>4550</v>
      </c>
      <c r="N2216" t="s">
        <v>146</v>
      </c>
      <c r="O2216" t="s">
        <v>147</v>
      </c>
      <c r="R2216" t="s">
        <v>57</v>
      </c>
      <c r="S2216">
        <v>5</v>
      </c>
      <c r="T2216">
        <v>231</v>
      </c>
      <c r="U2216" s="1">
        <v>38960</v>
      </c>
      <c r="V2216" t="s">
        <v>4509</v>
      </c>
      <c r="W2216" t="s">
        <v>4510</v>
      </c>
      <c r="X2216" t="s">
        <v>58</v>
      </c>
      <c r="Y2216">
        <v>20</v>
      </c>
      <c r="Z2216" t="s">
        <v>59</v>
      </c>
      <c r="AA2216" t="s">
        <v>59</v>
      </c>
      <c r="AB2216" t="s">
        <v>59</v>
      </c>
      <c r="AC2216" t="s">
        <v>59</v>
      </c>
      <c r="AD2216" t="s">
        <v>59</v>
      </c>
      <c r="AF2216" s="1">
        <v>38961</v>
      </c>
      <c r="AG2216" t="s">
        <v>125</v>
      </c>
      <c r="AH2216" t="s">
        <v>126</v>
      </c>
      <c r="AI2216" t="str">
        <f>"3201020"</f>
        <v>3201020</v>
      </c>
      <c r="AJ2216" t="s">
        <v>4511</v>
      </c>
      <c r="AK2216">
        <v>2841024586</v>
      </c>
      <c r="AL2216" t="s">
        <v>4512</v>
      </c>
      <c r="AM2216" t="s">
        <v>4513</v>
      </c>
      <c r="AN2216" t="s">
        <v>4514</v>
      </c>
      <c r="AO2216" t="s">
        <v>4514</v>
      </c>
      <c r="AP2216" t="s">
        <v>4514</v>
      </c>
      <c r="AQ2216">
        <v>1</v>
      </c>
      <c r="AR2216" t="s">
        <v>4509</v>
      </c>
      <c r="AS2216" t="s">
        <v>4510</v>
      </c>
      <c r="AT2216" t="s">
        <v>58</v>
      </c>
      <c r="AU2216" t="s">
        <v>68</v>
      </c>
      <c r="AV2216" t="s">
        <v>69</v>
      </c>
      <c r="AW2216" s="1">
        <v>24717</v>
      </c>
      <c r="AX2216">
        <v>2</v>
      </c>
    </row>
    <row r="2217" spans="1:50">
      <c r="A2217">
        <v>191527</v>
      </c>
      <c r="B2217" t="str">
        <f>"045161731"</f>
        <v>045161731</v>
      </c>
      <c r="C2217" t="s">
        <v>105</v>
      </c>
      <c r="D2217" t="s">
        <v>430</v>
      </c>
      <c r="E2217" t="s">
        <v>106</v>
      </c>
      <c r="F2217" t="s">
        <v>95</v>
      </c>
      <c r="G2217" t="s">
        <v>83</v>
      </c>
      <c r="H2217" t="str">
        <f>" "</f>
        <v xml:space="preserve"> </v>
      </c>
      <c r="K2217">
        <v>6972735151</v>
      </c>
      <c r="M2217" t="s">
        <v>4551</v>
      </c>
      <c r="N2217" t="s">
        <v>168</v>
      </c>
      <c r="O2217" t="s">
        <v>169</v>
      </c>
      <c r="R2217" t="s">
        <v>57</v>
      </c>
      <c r="S2217">
        <v>8</v>
      </c>
      <c r="T2217">
        <v>291</v>
      </c>
      <c r="U2217" s="1">
        <v>37218</v>
      </c>
      <c r="V2217" t="s">
        <v>4509</v>
      </c>
      <c r="W2217" t="s">
        <v>4510</v>
      </c>
      <c r="X2217" t="s">
        <v>58</v>
      </c>
      <c r="Y2217">
        <v>20</v>
      </c>
      <c r="Z2217" t="s">
        <v>59</v>
      </c>
      <c r="AA2217" t="s">
        <v>59</v>
      </c>
      <c r="AB2217" t="s">
        <v>59</v>
      </c>
      <c r="AC2217" t="s">
        <v>59</v>
      </c>
      <c r="AD2217" t="s">
        <v>59</v>
      </c>
      <c r="AF2217" s="1">
        <v>37223</v>
      </c>
      <c r="AG2217" t="s">
        <v>137</v>
      </c>
      <c r="AH2217" t="s">
        <v>138</v>
      </c>
      <c r="AI2217" t="str">
        <f>"3240120"</f>
        <v>3240120</v>
      </c>
      <c r="AJ2217" t="s">
        <v>4552</v>
      </c>
      <c r="AK2217">
        <v>2842028667</v>
      </c>
      <c r="AL2217" t="s">
        <v>4553</v>
      </c>
      <c r="AM2217" t="s">
        <v>4513</v>
      </c>
      <c r="AN2217" t="s">
        <v>4519</v>
      </c>
      <c r="AO2217" t="s">
        <v>4519</v>
      </c>
      <c r="AP2217" t="s">
        <v>4519</v>
      </c>
      <c r="AQ2217">
        <v>4</v>
      </c>
      <c r="AR2217" t="s">
        <v>4509</v>
      </c>
      <c r="AS2217" t="s">
        <v>4510</v>
      </c>
      <c r="AT2217" t="s">
        <v>58</v>
      </c>
      <c r="AU2217" t="s">
        <v>68</v>
      </c>
      <c r="AV2217" t="s">
        <v>69</v>
      </c>
      <c r="AW2217" s="1">
        <v>22987</v>
      </c>
      <c r="AX2217">
        <v>2</v>
      </c>
    </row>
    <row r="2218" spans="1:50">
      <c r="A2218">
        <v>152169</v>
      </c>
      <c r="B2218" t="str">
        <f>"033799575"</f>
        <v>033799575</v>
      </c>
      <c r="C2218" t="s">
        <v>105</v>
      </c>
      <c r="D2218" t="s">
        <v>430</v>
      </c>
      <c r="E2218" t="s">
        <v>53</v>
      </c>
      <c r="F2218" t="s">
        <v>900</v>
      </c>
      <c r="G2218" t="s">
        <v>513</v>
      </c>
      <c r="H2218" t="str">
        <f>" "</f>
        <v xml:space="preserve"> </v>
      </c>
      <c r="J2218">
        <v>2843022967</v>
      </c>
      <c r="L2218">
        <v>2843025190</v>
      </c>
      <c r="M2218" t="s">
        <v>4554</v>
      </c>
      <c r="N2218" t="s">
        <v>157</v>
      </c>
      <c r="O2218" t="s">
        <v>158</v>
      </c>
      <c r="R2218" t="s">
        <v>57</v>
      </c>
      <c r="S2218">
        <v>15</v>
      </c>
      <c r="T2218">
        <v>193</v>
      </c>
      <c r="U2218" s="1">
        <v>32042</v>
      </c>
      <c r="V2218" t="s">
        <v>4509</v>
      </c>
      <c r="W2218" t="s">
        <v>4510</v>
      </c>
      <c r="X2218" t="s">
        <v>58</v>
      </c>
      <c r="Y2218">
        <v>18</v>
      </c>
      <c r="Z2218" t="s">
        <v>59</v>
      </c>
      <c r="AA2218" t="s">
        <v>59</v>
      </c>
      <c r="AB2218" t="s">
        <v>59</v>
      </c>
      <c r="AC2218" t="s">
        <v>59</v>
      </c>
      <c r="AD2218" t="s">
        <v>59</v>
      </c>
      <c r="AF2218" s="1">
        <v>32042</v>
      </c>
      <c r="AG2218" t="s">
        <v>148</v>
      </c>
      <c r="AH2218" t="s">
        <v>149</v>
      </c>
      <c r="AI2218" t="str">
        <f>"3254010"</f>
        <v>3254010</v>
      </c>
      <c r="AJ2218" t="s">
        <v>4538</v>
      </c>
      <c r="AK2218">
        <v>2843022277</v>
      </c>
      <c r="AL2218" t="s">
        <v>4539</v>
      </c>
      <c r="AM2218" t="s">
        <v>4513</v>
      </c>
      <c r="AN2218" t="s">
        <v>4540</v>
      </c>
      <c r="AO2218" t="s">
        <v>4540</v>
      </c>
      <c r="AP2218" t="s">
        <v>4540</v>
      </c>
      <c r="AQ2218">
        <v>6</v>
      </c>
      <c r="AR2218" t="s">
        <v>4509</v>
      </c>
      <c r="AS2218" t="s">
        <v>4510</v>
      </c>
      <c r="AT2218" t="s">
        <v>58</v>
      </c>
      <c r="AU2218" t="s">
        <v>68</v>
      </c>
      <c r="AV2218" t="s">
        <v>69</v>
      </c>
      <c r="AW2218" s="1">
        <v>22283</v>
      </c>
      <c r="AX2218">
        <v>2</v>
      </c>
    </row>
    <row r="2219" spans="1:50">
      <c r="A2219">
        <v>171296</v>
      </c>
      <c r="B2219" t="str">
        <f>"045121641"</f>
        <v>045121641</v>
      </c>
      <c r="C2219" t="s">
        <v>105</v>
      </c>
      <c r="D2219" t="s">
        <v>4555</v>
      </c>
      <c r="E2219" t="s">
        <v>166</v>
      </c>
      <c r="F2219" t="s">
        <v>95</v>
      </c>
      <c r="G2219" t="s">
        <v>4556</v>
      </c>
      <c r="H2219" t="str">
        <f>" "</f>
        <v xml:space="preserve"> </v>
      </c>
      <c r="M2219" t="s">
        <v>4557</v>
      </c>
      <c r="N2219" t="s">
        <v>683</v>
      </c>
      <c r="O2219" t="s">
        <v>684</v>
      </c>
      <c r="R2219" t="s">
        <v>57</v>
      </c>
      <c r="S2219">
        <v>14</v>
      </c>
      <c r="T2219">
        <v>184</v>
      </c>
      <c r="U2219" s="1">
        <v>34941</v>
      </c>
      <c r="V2219" t="s">
        <v>4509</v>
      </c>
      <c r="W2219" t="s">
        <v>4510</v>
      </c>
      <c r="X2219" t="s">
        <v>58</v>
      </c>
      <c r="Y2219">
        <v>18</v>
      </c>
      <c r="Z2219" t="s">
        <v>59</v>
      </c>
      <c r="AA2219" t="s">
        <v>59</v>
      </c>
      <c r="AB2219" t="s">
        <v>59</v>
      </c>
      <c r="AC2219" t="s">
        <v>59</v>
      </c>
      <c r="AD2219" t="s">
        <v>59</v>
      </c>
      <c r="AF2219" s="1">
        <v>34943</v>
      </c>
      <c r="AG2219" t="s">
        <v>125</v>
      </c>
      <c r="AH2219" t="s">
        <v>126</v>
      </c>
      <c r="AI2219" t="str">
        <f>"3202030"</f>
        <v>3202030</v>
      </c>
      <c r="AJ2219" t="s">
        <v>4558</v>
      </c>
      <c r="AK2219">
        <v>2842028751</v>
      </c>
      <c r="AL2219" t="s">
        <v>4559</v>
      </c>
      <c r="AM2219" t="s">
        <v>4513</v>
      </c>
      <c r="AN2219" t="s">
        <v>4519</v>
      </c>
      <c r="AO2219" t="s">
        <v>4519</v>
      </c>
      <c r="AP2219" t="s">
        <v>4519</v>
      </c>
      <c r="AQ2219">
        <v>4</v>
      </c>
      <c r="AR2219" t="s">
        <v>4509</v>
      </c>
      <c r="AS2219" t="s">
        <v>4510</v>
      </c>
      <c r="AT2219" t="s">
        <v>58</v>
      </c>
      <c r="AU2219" t="s">
        <v>68</v>
      </c>
      <c r="AV2219" t="s">
        <v>69</v>
      </c>
      <c r="AW2219" s="1">
        <v>24473</v>
      </c>
      <c r="AX2219">
        <v>2</v>
      </c>
    </row>
    <row r="2220" spans="1:50">
      <c r="A2220">
        <v>183233</v>
      </c>
      <c r="B2220" t="str">
        <f>"066643874"</f>
        <v>066643874</v>
      </c>
      <c r="C2220" t="s">
        <v>50</v>
      </c>
      <c r="D2220" t="s">
        <v>4560</v>
      </c>
      <c r="E2220" t="s">
        <v>155</v>
      </c>
      <c r="F2220" t="s">
        <v>84</v>
      </c>
      <c r="G2220" t="s">
        <v>52</v>
      </c>
      <c r="H2220" t="str">
        <f>" "</f>
        <v xml:space="preserve"> </v>
      </c>
      <c r="N2220" t="s">
        <v>146</v>
      </c>
      <c r="O2220" t="s">
        <v>147</v>
      </c>
      <c r="R2220" t="s">
        <v>57</v>
      </c>
      <c r="S2220">
        <v>8</v>
      </c>
      <c r="T2220">
        <v>177</v>
      </c>
      <c r="U2220" s="1">
        <v>36403</v>
      </c>
      <c r="V2220" t="s">
        <v>4509</v>
      </c>
      <c r="W2220" t="s">
        <v>4510</v>
      </c>
      <c r="X2220" t="s">
        <v>58</v>
      </c>
      <c r="Y2220">
        <v>20</v>
      </c>
      <c r="Z2220" t="s">
        <v>59</v>
      </c>
      <c r="AA2220" t="s">
        <v>59</v>
      </c>
      <c r="AB2220" t="s">
        <v>59</v>
      </c>
      <c r="AC2220" t="s">
        <v>59</v>
      </c>
      <c r="AD2220" t="s">
        <v>59</v>
      </c>
      <c r="AF2220" s="1">
        <v>36409</v>
      </c>
      <c r="AG2220" t="s">
        <v>125</v>
      </c>
      <c r="AH2220" t="s">
        <v>126</v>
      </c>
      <c r="AI2220" t="str">
        <f>"3203010"</f>
        <v>3203010</v>
      </c>
      <c r="AJ2220" t="s">
        <v>4522</v>
      </c>
      <c r="AK2220">
        <v>2841034140</v>
      </c>
      <c r="AL2220" t="s">
        <v>4523</v>
      </c>
      <c r="AM2220" t="s">
        <v>4513</v>
      </c>
      <c r="AN2220" t="s">
        <v>4514</v>
      </c>
      <c r="AO2220" t="s">
        <v>4524</v>
      </c>
      <c r="AP2220" t="s">
        <v>4525</v>
      </c>
      <c r="AQ2220">
        <v>3</v>
      </c>
      <c r="AR2220" t="s">
        <v>4509</v>
      </c>
      <c r="AS2220" t="s">
        <v>4510</v>
      </c>
      <c r="AT2220" t="s">
        <v>58</v>
      </c>
      <c r="AU2220" t="s">
        <v>68</v>
      </c>
      <c r="AV2220" t="s">
        <v>69</v>
      </c>
      <c r="AW2220" s="1">
        <v>23862</v>
      </c>
      <c r="AX2220">
        <v>2</v>
      </c>
    </row>
    <row r="2221" spans="1:50">
      <c r="A2221">
        <v>178762</v>
      </c>
      <c r="B2221" t="str">
        <f>"075836737"</f>
        <v>075836737</v>
      </c>
      <c r="C2221" t="s">
        <v>50</v>
      </c>
      <c r="D2221" t="s">
        <v>4561</v>
      </c>
      <c r="E2221" t="s">
        <v>484</v>
      </c>
      <c r="F2221" t="s">
        <v>450</v>
      </c>
      <c r="G2221" t="s">
        <v>494</v>
      </c>
      <c r="H2221" t="str">
        <f>"ΣΩΚΡΑΤΟΥΣ 2 ΑΓ. ΝΙΚΟΛΑΟΣ"</f>
        <v>ΣΩΚΡΑΤΟΥΣ 2 ΑΓ. ΝΙΚΟΛΑΟΣ</v>
      </c>
      <c r="I2221">
        <v>72100</v>
      </c>
      <c r="J2221">
        <v>2841022293</v>
      </c>
      <c r="M2221" t="s">
        <v>4562</v>
      </c>
      <c r="N2221" t="s">
        <v>337</v>
      </c>
      <c r="O2221" t="s">
        <v>338</v>
      </c>
      <c r="R2221" t="s">
        <v>57</v>
      </c>
      <c r="S2221">
        <v>10</v>
      </c>
      <c r="T2221">
        <v>209</v>
      </c>
      <c r="U2221" s="1">
        <v>35705</v>
      </c>
      <c r="V2221" t="s">
        <v>4509</v>
      </c>
      <c r="W2221" t="s">
        <v>4510</v>
      </c>
      <c r="X2221" t="s">
        <v>58</v>
      </c>
      <c r="Y2221">
        <v>18</v>
      </c>
      <c r="Z2221" t="s">
        <v>59</v>
      </c>
      <c r="AA2221" t="s">
        <v>59</v>
      </c>
      <c r="AB2221" t="s">
        <v>59</v>
      </c>
      <c r="AC2221" t="s">
        <v>59</v>
      </c>
      <c r="AD2221" t="s">
        <v>59</v>
      </c>
      <c r="AF2221" s="1">
        <v>35705</v>
      </c>
      <c r="AG2221" t="s">
        <v>125</v>
      </c>
      <c r="AH2221" t="s">
        <v>126</v>
      </c>
      <c r="AI2221" t="str">
        <f>"3203010"</f>
        <v>3203010</v>
      </c>
      <c r="AJ2221" t="s">
        <v>4522</v>
      </c>
      <c r="AK2221">
        <v>2841034140</v>
      </c>
      <c r="AL2221" t="s">
        <v>4523</v>
      </c>
      <c r="AM2221" t="s">
        <v>4513</v>
      </c>
      <c r="AN2221" t="s">
        <v>4514</v>
      </c>
      <c r="AO2221" t="s">
        <v>4524</v>
      </c>
      <c r="AP2221" t="s">
        <v>4525</v>
      </c>
      <c r="AQ2221">
        <v>3</v>
      </c>
      <c r="AR2221" t="s">
        <v>4509</v>
      </c>
      <c r="AS2221" t="s">
        <v>4510</v>
      </c>
      <c r="AT2221" t="s">
        <v>58</v>
      </c>
      <c r="AU2221" t="s">
        <v>68</v>
      </c>
      <c r="AV2221" t="s">
        <v>69</v>
      </c>
      <c r="AW2221" s="1">
        <v>26083</v>
      </c>
      <c r="AX2221">
        <v>2</v>
      </c>
    </row>
    <row r="2222" spans="1:50">
      <c r="A2222">
        <v>226342</v>
      </c>
      <c r="B2222" t="str">
        <f>"128281168"</f>
        <v>128281168</v>
      </c>
      <c r="C2222" t="s">
        <v>50</v>
      </c>
      <c r="D2222" t="s">
        <v>4563</v>
      </c>
      <c r="E2222" t="s">
        <v>4564</v>
      </c>
      <c r="F2222" t="s">
        <v>202</v>
      </c>
      <c r="G2222" t="s">
        <v>73</v>
      </c>
      <c r="H2222" t="str">
        <f>"ΣΥΡΟΥ 19 "</f>
        <v xml:space="preserve">ΣΥΡΟΥ 19 </v>
      </c>
      <c r="I2222">
        <v>54453</v>
      </c>
      <c r="J2222">
        <v>2310922902</v>
      </c>
      <c r="K2222">
        <v>6974612948</v>
      </c>
      <c r="M2222" t="s">
        <v>4565</v>
      </c>
      <c r="N2222" t="s">
        <v>146</v>
      </c>
      <c r="O2222" t="s">
        <v>147</v>
      </c>
      <c r="R2222" t="s">
        <v>57</v>
      </c>
      <c r="S2222">
        <v>6</v>
      </c>
      <c r="T2222">
        <v>654</v>
      </c>
      <c r="U2222" s="1">
        <v>40043</v>
      </c>
      <c r="V2222" t="s">
        <v>4509</v>
      </c>
      <c r="W2222" t="s">
        <v>4510</v>
      </c>
      <c r="X2222" t="s">
        <v>58</v>
      </c>
      <c r="Y2222">
        <v>21</v>
      </c>
      <c r="Z2222" t="s">
        <v>59</v>
      </c>
      <c r="AA2222" t="s">
        <v>59</v>
      </c>
      <c r="AB2222" t="s">
        <v>59</v>
      </c>
      <c r="AC2222" t="s">
        <v>59</v>
      </c>
      <c r="AD2222" t="s">
        <v>59</v>
      </c>
      <c r="AF2222" s="1">
        <v>40057</v>
      </c>
      <c r="AG2222" t="s">
        <v>148</v>
      </c>
      <c r="AH2222" t="s">
        <v>149</v>
      </c>
      <c r="AI2222" t="str">
        <f>"3251001"</f>
        <v>3251001</v>
      </c>
      <c r="AJ2222" t="s">
        <v>4535</v>
      </c>
      <c r="AK2222">
        <v>2841082544</v>
      </c>
      <c r="AL2222" t="s">
        <v>4536</v>
      </c>
      <c r="AM2222" t="s">
        <v>4513</v>
      </c>
      <c r="AN2222" t="s">
        <v>4514</v>
      </c>
      <c r="AO2222" t="s">
        <v>4514</v>
      </c>
      <c r="AP2222" t="s">
        <v>4514</v>
      </c>
      <c r="AQ2222">
        <v>1</v>
      </c>
      <c r="AR2222" t="s">
        <v>4509</v>
      </c>
      <c r="AS2222" t="s">
        <v>4510</v>
      </c>
      <c r="AT2222" t="s">
        <v>58</v>
      </c>
      <c r="AU2222" t="s">
        <v>68</v>
      </c>
      <c r="AV2222" t="s">
        <v>69</v>
      </c>
      <c r="AW2222" s="1">
        <v>30007</v>
      </c>
      <c r="AX2222">
        <v>2</v>
      </c>
    </row>
    <row r="2223" spans="1:50">
      <c r="A2223">
        <v>179897</v>
      </c>
      <c r="B2223" t="str">
        <f>"027311650"</f>
        <v>027311650</v>
      </c>
      <c r="C2223" t="s">
        <v>105</v>
      </c>
      <c r="D2223" t="s">
        <v>4566</v>
      </c>
      <c r="E2223" t="s">
        <v>201</v>
      </c>
      <c r="F2223" t="s">
        <v>53</v>
      </c>
      <c r="G2223" t="s">
        <v>191</v>
      </c>
      <c r="H2223" t="str">
        <f>"28ης ΟΚΤΩΒΡΙΟΥ 26 ΣΗΤΕΙΑ"</f>
        <v>28ης ΟΚΤΩΒΡΙΟΥ 26 ΣΗΤΕΙΑ</v>
      </c>
      <c r="I2223">
        <v>72300</v>
      </c>
      <c r="J2223">
        <v>2843023530</v>
      </c>
      <c r="K2223">
        <v>6946790842</v>
      </c>
      <c r="M2223" t="s">
        <v>4567</v>
      </c>
      <c r="N2223" t="s">
        <v>292</v>
      </c>
      <c r="O2223" t="s">
        <v>293</v>
      </c>
      <c r="R2223" t="s">
        <v>57</v>
      </c>
      <c r="S2223">
        <v>12</v>
      </c>
      <c r="T2223">
        <v>181</v>
      </c>
      <c r="U2223" s="1">
        <v>36039</v>
      </c>
      <c r="V2223" t="s">
        <v>4509</v>
      </c>
      <c r="W2223" t="s">
        <v>4510</v>
      </c>
      <c r="X2223" t="s">
        <v>58</v>
      </c>
      <c r="Y2223">
        <v>18</v>
      </c>
      <c r="Z2223" t="s">
        <v>59</v>
      </c>
      <c r="AA2223" t="s">
        <v>59</v>
      </c>
      <c r="AB2223" t="s">
        <v>59</v>
      </c>
      <c r="AC2223" t="s">
        <v>59</v>
      </c>
      <c r="AD2223" t="s">
        <v>59</v>
      </c>
      <c r="AF2223" s="1">
        <v>36039</v>
      </c>
      <c r="AG2223" t="s">
        <v>137</v>
      </c>
      <c r="AH2223" t="s">
        <v>138</v>
      </c>
      <c r="AI2223" t="str">
        <f>"3240020"</f>
        <v>3240020</v>
      </c>
      <c r="AJ2223" t="s">
        <v>4568</v>
      </c>
      <c r="AK2223">
        <v>2843028570</v>
      </c>
      <c r="AL2223" t="s">
        <v>4569</v>
      </c>
      <c r="AM2223" t="s">
        <v>4513</v>
      </c>
      <c r="AN2223" t="s">
        <v>4540</v>
      </c>
      <c r="AO2223" t="s">
        <v>4540</v>
      </c>
      <c r="AP2223" t="s">
        <v>4540</v>
      </c>
      <c r="AQ2223">
        <v>6</v>
      </c>
      <c r="AR2223" t="s">
        <v>4509</v>
      </c>
      <c r="AS2223" t="s">
        <v>4510</v>
      </c>
      <c r="AT2223" t="s">
        <v>58</v>
      </c>
      <c r="AU2223" t="s">
        <v>68</v>
      </c>
      <c r="AV2223" t="s">
        <v>69</v>
      </c>
      <c r="AW2223" s="1">
        <v>20712</v>
      </c>
      <c r="AX2223">
        <v>2</v>
      </c>
    </row>
    <row r="2224" spans="1:50">
      <c r="B2224" t="str">
        <f>"141532546"</f>
        <v>141532546</v>
      </c>
      <c r="C2224" t="s">
        <v>50</v>
      </c>
      <c r="D2224" t="s">
        <v>4570</v>
      </c>
      <c r="E2224" t="s">
        <v>155</v>
      </c>
      <c r="F2224" t="s">
        <v>95</v>
      </c>
      <c r="G2224" t="s">
        <v>250</v>
      </c>
      <c r="H2224" t="str">
        <f>"ΜΑΝΩΛΙΑΣΣΑΣ 5 "</f>
        <v xml:space="preserve">ΜΑΝΩΛΙΑΣΣΑΣ 5 </v>
      </c>
      <c r="I2224">
        <v>16121</v>
      </c>
      <c r="J2224">
        <v>2130430995</v>
      </c>
      <c r="K2224">
        <v>6980919803</v>
      </c>
      <c r="M2224" t="s">
        <v>4571</v>
      </c>
      <c r="N2224" t="s">
        <v>146</v>
      </c>
      <c r="O2224" t="s">
        <v>147</v>
      </c>
      <c r="R2224" t="s">
        <v>159</v>
      </c>
      <c r="S2224">
        <v>3</v>
      </c>
      <c r="T2224" t="s">
        <v>160</v>
      </c>
      <c r="U2224" s="1">
        <v>43364</v>
      </c>
      <c r="V2224" t="s">
        <v>4509</v>
      </c>
      <c r="W2224" t="s">
        <v>4510</v>
      </c>
      <c r="X2224" t="s">
        <v>58</v>
      </c>
      <c r="Y2224">
        <v>23</v>
      </c>
      <c r="Z2224" t="s">
        <v>59</v>
      </c>
      <c r="AA2224" t="s">
        <v>59</v>
      </c>
      <c r="AB2224" t="s">
        <v>59</v>
      </c>
      <c r="AC2224" t="s">
        <v>59</v>
      </c>
      <c r="AD2224" t="s">
        <v>59</v>
      </c>
      <c r="AF2224" s="1">
        <v>43367</v>
      </c>
      <c r="AG2224" t="s">
        <v>137</v>
      </c>
      <c r="AH2224" t="s">
        <v>138</v>
      </c>
      <c r="AI2224" t="str">
        <f>"3240120"</f>
        <v>3240120</v>
      </c>
      <c r="AJ2224" t="s">
        <v>4552</v>
      </c>
      <c r="AK2224">
        <v>2842028667</v>
      </c>
      <c r="AL2224" t="s">
        <v>4553</v>
      </c>
      <c r="AM2224" t="s">
        <v>4513</v>
      </c>
      <c r="AN2224" t="s">
        <v>4519</v>
      </c>
      <c r="AO2224" t="s">
        <v>4519</v>
      </c>
      <c r="AP2224" t="s">
        <v>4519</v>
      </c>
      <c r="AQ2224">
        <v>4</v>
      </c>
      <c r="AR2224" t="s">
        <v>4509</v>
      </c>
      <c r="AS2224" t="s">
        <v>4510</v>
      </c>
      <c r="AT2224" t="s">
        <v>58</v>
      </c>
      <c r="AU2224" t="s">
        <v>164</v>
      </c>
      <c r="AV2224" t="s">
        <v>132</v>
      </c>
      <c r="AW2224" s="1">
        <v>30332</v>
      </c>
      <c r="AX2224">
        <v>2</v>
      </c>
    </row>
    <row r="2225" spans="1:50">
      <c r="A2225">
        <v>220841</v>
      </c>
      <c r="B2225" t="str">
        <f>"102935848"</f>
        <v>102935848</v>
      </c>
      <c r="C2225" t="s">
        <v>50</v>
      </c>
      <c r="D2225" t="s">
        <v>4572</v>
      </c>
      <c r="E2225" t="s">
        <v>600</v>
      </c>
      <c r="F2225" t="s">
        <v>670</v>
      </c>
      <c r="G2225" t="s">
        <v>476</v>
      </c>
      <c r="H2225" t="str">
        <f>"ΗΡΩΩΝ ΠΟΛΥΤΕΧΝΕΙΟΥ 56 ΜΕΛΙΣΣΙΑ ΑΤΤΙΚΗΣ"</f>
        <v>ΗΡΩΩΝ ΠΟΛΥΤΕΧΝΕΙΟΥ 56 ΜΕΛΙΣΣΙΑ ΑΤΤΙΚΗΣ</v>
      </c>
      <c r="J2225">
        <v>2108046196</v>
      </c>
      <c r="K2225">
        <v>6939322721</v>
      </c>
      <c r="N2225" t="s">
        <v>683</v>
      </c>
      <c r="O2225" t="s">
        <v>684</v>
      </c>
      <c r="R2225" t="s">
        <v>57</v>
      </c>
      <c r="S2225">
        <v>6</v>
      </c>
      <c r="T2225">
        <v>681</v>
      </c>
      <c r="U2225" s="1">
        <v>39325</v>
      </c>
      <c r="V2225" t="s">
        <v>4509</v>
      </c>
      <c r="W2225" t="s">
        <v>4510</v>
      </c>
      <c r="X2225" t="s">
        <v>58</v>
      </c>
      <c r="Y2225">
        <v>21</v>
      </c>
      <c r="Z2225" t="s">
        <v>59</v>
      </c>
      <c r="AA2225" t="s">
        <v>59</v>
      </c>
      <c r="AB2225" t="s">
        <v>59</v>
      </c>
      <c r="AC2225" t="s">
        <v>59</v>
      </c>
      <c r="AD2225" t="s">
        <v>59</v>
      </c>
      <c r="AF2225" s="1">
        <v>39692</v>
      </c>
      <c r="AG2225" t="s">
        <v>125</v>
      </c>
      <c r="AH2225" t="s">
        <v>126</v>
      </c>
      <c r="AI2225" t="str">
        <f>"3201020"</f>
        <v>3201020</v>
      </c>
      <c r="AJ2225" t="s">
        <v>4511</v>
      </c>
      <c r="AK2225">
        <v>2841024586</v>
      </c>
      <c r="AL2225" t="s">
        <v>4512</v>
      </c>
      <c r="AM2225" t="s">
        <v>4513</v>
      </c>
      <c r="AN2225" t="s">
        <v>4514</v>
      </c>
      <c r="AO2225" t="s">
        <v>4514</v>
      </c>
      <c r="AP2225" t="s">
        <v>4514</v>
      </c>
      <c r="AQ2225">
        <v>1</v>
      </c>
      <c r="AR2225" t="s">
        <v>4509</v>
      </c>
      <c r="AS2225" t="s">
        <v>4510</v>
      </c>
      <c r="AT2225" t="s">
        <v>58</v>
      </c>
      <c r="AU2225" t="s">
        <v>68</v>
      </c>
      <c r="AV2225" t="s">
        <v>69</v>
      </c>
      <c r="AW2225" s="1">
        <v>29436</v>
      </c>
      <c r="AX2225">
        <v>2</v>
      </c>
    </row>
    <row r="2226" spans="1:50">
      <c r="A2226">
        <v>701667</v>
      </c>
      <c r="B2226" t="str">
        <f>"125284872"</f>
        <v>125284872</v>
      </c>
      <c r="C2226" t="s">
        <v>50</v>
      </c>
      <c r="D2226" t="s">
        <v>467</v>
      </c>
      <c r="E2226" t="s">
        <v>4573</v>
      </c>
      <c r="F2226" t="s">
        <v>95</v>
      </c>
      <c r="G2226" t="s">
        <v>237</v>
      </c>
      <c r="H2226" t="str">
        <f>"ΘΕΡΙΣΣΟΥ 6 "</f>
        <v xml:space="preserve">ΘΕΡΙΣΣΟΥ 6 </v>
      </c>
      <c r="I2226">
        <v>72300</v>
      </c>
      <c r="J2226">
        <v>2843022414</v>
      </c>
      <c r="K2226">
        <v>6978440129</v>
      </c>
      <c r="M2226" t="s">
        <v>4574</v>
      </c>
      <c r="N2226" t="s">
        <v>146</v>
      </c>
      <c r="O2226" t="s">
        <v>147</v>
      </c>
      <c r="R2226" t="s">
        <v>57</v>
      </c>
      <c r="S2226">
        <v>4</v>
      </c>
      <c r="T2226">
        <v>772</v>
      </c>
      <c r="U2226" s="1">
        <v>40413</v>
      </c>
      <c r="V2226" t="s">
        <v>4509</v>
      </c>
      <c r="W2226" t="s">
        <v>4510</v>
      </c>
      <c r="X2226" t="s">
        <v>58</v>
      </c>
      <c r="Y2226">
        <v>21</v>
      </c>
      <c r="Z2226" t="s">
        <v>59</v>
      </c>
      <c r="AA2226" t="s">
        <v>59</v>
      </c>
      <c r="AB2226" t="s">
        <v>59</v>
      </c>
      <c r="AC2226" t="s">
        <v>59</v>
      </c>
      <c r="AD2226" t="s">
        <v>59</v>
      </c>
      <c r="AF2226" s="1">
        <v>40413</v>
      </c>
      <c r="AG2226" t="s">
        <v>148</v>
      </c>
      <c r="AH2226" t="s">
        <v>149</v>
      </c>
      <c r="AI2226" t="str">
        <f>"3254010"</f>
        <v>3254010</v>
      </c>
      <c r="AJ2226" t="s">
        <v>4538</v>
      </c>
      <c r="AK2226">
        <v>2843022277</v>
      </c>
      <c r="AL2226" t="s">
        <v>4539</v>
      </c>
      <c r="AM2226" t="s">
        <v>4513</v>
      </c>
      <c r="AN2226" t="s">
        <v>4540</v>
      </c>
      <c r="AO2226" t="s">
        <v>4540</v>
      </c>
      <c r="AP2226" t="s">
        <v>4540</v>
      </c>
      <c r="AQ2226">
        <v>6</v>
      </c>
      <c r="AR2226" t="s">
        <v>4509</v>
      </c>
      <c r="AS2226" t="s">
        <v>4510</v>
      </c>
      <c r="AT2226" t="s">
        <v>58</v>
      </c>
      <c r="AU2226" t="s">
        <v>68</v>
      </c>
      <c r="AV2226" t="s">
        <v>69</v>
      </c>
      <c r="AW2226" s="1">
        <v>31481</v>
      </c>
      <c r="AX2226">
        <v>2</v>
      </c>
    </row>
    <row r="2227" spans="1:50">
      <c r="A2227">
        <v>214141</v>
      </c>
      <c r="B2227" t="str">
        <f>"073658287"</f>
        <v>073658287</v>
      </c>
      <c r="C2227" t="s">
        <v>50</v>
      </c>
      <c r="D2227" t="s">
        <v>505</v>
      </c>
      <c r="E2227" t="s">
        <v>83</v>
      </c>
      <c r="F2227" t="s">
        <v>106</v>
      </c>
      <c r="G2227" t="s">
        <v>4575</v>
      </c>
      <c r="H2227" t="str">
        <f>" "</f>
        <v xml:space="preserve"> </v>
      </c>
      <c r="J2227">
        <v>2102523320</v>
      </c>
      <c r="K2227">
        <v>6932768517</v>
      </c>
      <c r="N2227" t="s">
        <v>683</v>
      </c>
      <c r="O2227" t="s">
        <v>684</v>
      </c>
      <c r="R2227" t="s">
        <v>57</v>
      </c>
      <c r="S2227">
        <v>5</v>
      </c>
      <c r="T2227">
        <v>231</v>
      </c>
      <c r="U2227" s="1">
        <v>38960</v>
      </c>
      <c r="V2227" t="s">
        <v>4509</v>
      </c>
      <c r="W2227" t="s">
        <v>4510</v>
      </c>
      <c r="X2227" t="s">
        <v>58</v>
      </c>
      <c r="Y2227">
        <v>21</v>
      </c>
      <c r="Z2227" t="s">
        <v>59</v>
      </c>
      <c r="AA2227" t="s">
        <v>59</v>
      </c>
      <c r="AB2227" t="s">
        <v>59</v>
      </c>
      <c r="AC2227" t="s">
        <v>59</v>
      </c>
      <c r="AD2227" t="s">
        <v>59</v>
      </c>
      <c r="AF2227" s="1">
        <v>38961</v>
      </c>
      <c r="AG2227" t="s">
        <v>125</v>
      </c>
      <c r="AH2227" t="s">
        <v>126</v>
      </c>
      <c r="AI2227" t="str">
        <f>"3202020"</f>
        <v>3202020</v>
      </c>
      <c r="AJ2227" t="s">
        <v>4576</v>
      </c>
      <c r="AK2227">
        <v>2842022289</v>
      </c>
      <c r="AL2227" t="s">
        <v>4577</v>
      </c>
      <c r="AM2227" t="s">
        <v>4513</v>
      </c>
      <c r="AN2227" t="s">
        <v>4519</v>
      </c>
      <c r="AO2227" t="s">
        <v>4519</v>
      </c>
      <c r="AP2227" t="s">
        <v>4519</v>
      </c>
      <c r="AQ2227">
        <v>4</v>
      </c>
      <c r="AR2227" t="s">
        <v>4509</v>
      </c>
      <c r="AS2227" t="s">
        <v>4510</v>
      </c>
      <c r="AT2227" t="s">
        <v>58</v>
      </c>
      <c r="AU2227" t="s">
        <v>68</v>
      </c>
      <c r="AV2227" t="s">
        <v>132</v>
      </c>
      <c r="AW2227" s="1">
        <v>27562</v>
      </c>
      <c r="AX2227">
        <v>2</v>
      </c>
    </row>
    <row r="2228" spans="1:50">
      <c r="A2228">
        <v>184726</v>
      </c>
      <c r="B2228" t="str">
        <f>"038670596"</f>
        <v>038670596</v>
      </c>
      <c r="C2228" t="s">
        <v>50</v>
      </c>
      <c r="D2228" t="s">
        <v>523</v>
      </c>
      <c r="E2228" t="s">
        <v>513</v>
      </c>
      <c r="F2228" t="s">
        <v>53</v>
      </c>
      <c r="G2228" t="s">
        <v>52</v>
      </c>
      <c r="H2228" t="str">
        <f>" "</f>
        <v xml:space="preserve"> </v>
      </c>
      <c r="M2228" t="s">
        <v>4578</v>
      </c>
      <c r="N2228" t="s">
        <v>257</v>
      </c>
      <c r="O2228" t="s">
        <v>258</v>
      </c>
      <c r="R2228" t="s">
        <v>57</v>
      </c>
      <c r="S2228">
        <v>9</v>
      </c>
      <c r="T2228">
        <v>177</v>
      </c>
      <c r="U2228" s="1">
        <v>36403</v>
      </c>
      <c r="V2228" t="s">
        <v>4509</v>
      </c>
      <c r="W2228" t="s">
        <v>4510</v>
      </c>
      <c r="X2228" t="s">
        <v>58</v>
      </c>
      <c r="Y2228">
        <v>20</v>
      </c>
      <c r="Z2228" t="s">
        <v>59</v>
      </c>
      <c r="AA2228" t="s">
        <v>59</v>
      </c>
      <c r="AB2228" t="s">
        <v>59</v>
      </c>
      <c r="AC2228" t="s">
        <v>59</v>
      </c>
      <c r="AD2228" t="s">
        <v>59</v>
      </c>
      <c r="AF2228" s="1">
        <v>36404</v>
      </c>
      <c r="AG2228" t="s">
        <v>148</v>
      </c>
      <c r="AH2228" t="s">
        <v>149</v>
      </c>
      <c r="AI2228" t="str">
        <f>"3253010"</f>
        <v>3253010</v>
      </c>
      <c r="AJ2228" t="s">
        <v>4579</v>
      </c>
      <c r="AK2228">
        <v>2841031769</v>
      </c>
      <c r="AL2228" t="s">
        <v>4580</v>
      </c>
      <c r="AM2228" t="s">
        <v>4513</v>
      </c>
      <c r="AN2228" t="s">
        <v>4514</v>
      </c>
      <c r="AO2228" t="s">
        <v>4524</v>
      </c>
      <c r="AP2228" t="s">
        <v>4525</v>
      </c>
      <c r="AQ2228">
        <v>3</v>
      </c>
      <c r="AR2228" t="s">
        <v>4509</v>
      </c>
      <c r="AS2228" t="s">
        <v>4510</v>
      </c>
      <c r="AT2228" t="s">
        <v>58</v>
      </c>
      <c r="AU2228" t="s">
        <v>68</v>
      </c>
      <c r="AV2228" t="s">
        <v>69</v>
      </c>
      <c r="AW2228" s="1">
        <v>23653</v>
      </c>
      <c r="AX2228">
        <v>2</v>
      </c>
    </row>
    <row r="2229" spans="1:50">
      <c r="A2229">
        <v>177381</v>
      </c>
      <c r="B2229" t="str">
        <f>"042378508"</f>
        <v>042378508</v>
      </c>
      <c r="C2229" t="s">
        <v>105</v>
      </c>
      <c r="D2229" t="s">
        <v>543</v>
      </c>
      <c r="E2229" t="s">
        <v>99</v>
      </c>
      <c r="F2229" t="s">
        <v>95</v>
      </c>
      <c r="G2229" t="s">
        <v>83</v>
      </c>
      <c r="H2229" t="str">
        <f>"Τελχινίας 10 Αγιος Νικόλαος"</f>
        <v>Τελχινίας 10 Αγιος Νικόλαος</v>
      </c>
      <c r="I2229">
        <v>72100</v>
      </c>
      <c r="J2229">
        <v>2841026252</v>
      </c>
      <c r="K2229">
        <v>6974644212</v>
      </c>
      <c r="M2229" t="s">
        <v>4581</v>
      </c>
      <c r="N2229" t="s">
        <v>189</v>
      </c>
      <c r="O2229" t="s">
        <v>190</v>
      </c>
      <c r="R2229" t="s">
        <v>57</v>
      </c>
      <c r="S2229">
        <v>12</v>
      </c>
      <c r="T2229">
        <v>180</v>
      </c>
      <c r="U2229" s="1">
        <v>35674</v>
      </c>
      <c r="V2229" t="s">
        <v>4509</v>
      </c>
      <c r="W2229" t="s">
        <v>4510</v>
      </c>
      <c r="X2229" t="s">
        <v>58</v>
      </c>
      <c r="Y2229">
        <v>18</v>
      </c>
      <c r="Z2229" t="s">
        <v>59</v>
      </c>
      <c r="AA2229" t="s">
        <v>59</v>
      </c>
      <c r="AB2229" t="s">
        <v>59</v>
      </c>
      <c r="AC2229" t="s">
        <v>59</v>
      </c>
      <c r="AD2229" t="s">
        <v>59</v>
      </c>
      <c r="AF2229" s="1">
        <v>35674</v>
      </c>
      <c r="AG2229" t="s">
        <v>137</v>
      </c>
      <c r="AH2229" t="s">
        <v>138</v>
      </c>
      <c r="AI2229" t="str">
        <f>"3240070"</f>
        <v>3240070</v>
      </c>
      <c r="AJ2229" t="s">
        <v>4582</v>
      </c>
      <c r="AK2229">
        <v>2841032545</v>
      </c>
      <c r="AL2229" t="s">
        <v>4583</v>
      </c>
      <c r="AM2229" t="s">
        <v>4513</v>
      </c>
      <c r="AN2229" t="s">
        <v>4514</v>
      </c>
      <c r="AO2229" t="s">
        <v>4524</v>
      </c>
      <c r="AP2229" t="s">
        <v>4525</v>
      </c>
      <c r="AQ2229">
        <v>3</v>
      </c>
      <c r="AR2229" t="s">
        <v>4509</v>
      </c>
      <c r="AS2229" t="s">
        <v>4510</v>
      </c>
      <c r="AT2229" t="s">
        <v>58</v>
      </c>
      <c r="AU2229" t="s">
        <v>68</v>
      </c>
      <c r="AV2229" t="s">
        <v>69</v>
      </c>
      <c r="AW2229" s="1">
        <v>23917</v>
      </c>
      <c r="AX2229">
        <v>2</v>
      </c>
    </row>
    <row r="2230" spans="1:50">
      <c r="B2230" t="str">
        <f>"039651310"</f>
        <v>039651310</v>
      </c>
      <c r="C2230" t="s">
        <v>50</v>
      </c>
      <c r="D2230" t="s">
        <v>4584</v>
      </c>
      <c r="E2230" t="s">
        <v>215</v>
      </c>
      <c r="F2230" t="s">
        <v>53</v>
      </c>
      <c r="G2230" t="s">
        <v>52</v>
      </c>
      <c r="H2230" t="str">
        <f>"περιβολια ΧΑΝΙΑ"</f>
        <v>περιβολια ΧΑΝΙΑ</v>
      </c>
      <c r="I2230">
        <v>73100</v>
      </c>
      <c r="J2230">
        <v>2821041138</v>
      </c>
      <c r="K2230">
        <v>6931140882</v>
      </c>
      <c r="M2230" t="s">
        <v>4585</v>
      </c>
      <c r="N2230" t="s">
        <v>146</v>
      </c>
      <c r="O2230" t="s">
        <v>147</v>
      </c>
      <c r="R2230" t="s">
        <v>159</v>
      </c>
      <c r="S2230">
        <v>2</v>
      </c>
      <c r="T2230" t="s">
        <v>160</v>
      </c>
      <c r="U2230" s="1">
        <v>43364</v>
      </c>
      <c r="V2230" t="s">
        <v>4509</v>
      </c>
      <c r="W2230" t="s">
        <v>4510</v>
      </c>
      <c r="X2230" t="s">
        <v>58</v>
      </c>
      <c r="Y2230">
        <v>23</v>
      </c>
      <c r="Z2230" t="s">
        <v>59</v>
      </c>
      <c r="AA2230" t="s">
        <v>59</v>
      </c>
      <c r="AB2230" t="s">
        <v>59</v>
      </c>
      <c r="AC2230" t="s">
        <v>59</v>
      </c>
      <c r="AD2230" t="s">
        <v>59</v>
      </c>
      <c r="AF2230" s="1">
        <v>43367</v>
      </c>
      <c r="AG2230" t="s">
        <v>137</v>
      </c>
      <c r="AH2230" t="s">
        <v>138</v>
      </c>
      <c r="AI2230" t="str">
        <f>"3240120"</f>
        <v>3240120</v>
      </c>
      <c r="AJ2230" t="s">
        <v>4552</v>
      </c>
      <c r="AK2230">
        <v>2842028667</v>
      </c>
      <c r="AL2230" t="s">
        <v>4553</v>
      </c>
      <c r="AM2230" t="s">
        <v>4513</v>
      </c>
      <c r="AN2230" t="s">
        <v>4519</v>
      </c>
      <c r="AO2230" t="s">
        <v>4519</v>
      </c>
      <c r="AP2230" t="s">
        <v>4519</v>
      </c>
      <c r="AQ2230">
        <v>4</v>
      </c>
      <c r="AR2230" t="s">
        <v>4509</v>
      </c>
      <c r="AS2230" t="s">
        <v>4510</v>
      </c>
      <c r="AT2230" t="s">
        <v>58</v>
      </c>
      <c r="AU2230" t="s">
        <v>164</v>
      </c>
      <c r="AV2230" t="s">
        <v>132</v>
      </c>
      <c r="AW2230" s="1">
        <v>27277</v>
      </c>
      <c r="AX2230">
        <v>2</v>
      </c>
    </row>
    <row r="2231" spans="1:50">
      <c r="A2231">
        <v>177435</v>
      </c>
      <c r="B2231" t="str">
        <f>"036504550"</f>
        <v>036504550</v>
      </c>
      <c r="C2231" t="s">
        <v>50</v>
      </c>
      <c r="D2231" t="s">
        <v>4586</v>
      </c>
      <c r="E2231" t="s">
        <v>681</v>
      </c>
      <c r="F2231" t="s">
        <v>53</v>
      </c>
      <c r="G2231" t="s">
        <v>783</v>
      </c>
      <c r="H2231" t="str">
        <f>" ΣΗΤΕΙΑ"</f>
        <v xml:space="preserve"> ΣΗΤΕΙΑ</v>
      </c>
      <c r="I2231">
        <v>72300</v>
      </c>
      <c r="J2231">
        <v>2843022848</v>
      </c>
      <c r="K2231">
        <v>6944023486</v>
      </c>
      <c r="M2231" t="s">
        <v>4587</v>
      </c>
      <c r="N2231" t="s">
        <v>168</v>
      </c>
      <c r="O2231" t="s">
        <v>169</v>
      </c>
      <c r="R2231" t="s">
        <v>57</v>
      </c>
      <c r="S2231">
        <v>14</v>
      </c>
      <c r="T2231">
        <v>180</v>
      </c>
      <c r="U2231" s="1">
        <v>35674</v>
      </c>
      <c r="V2231" t="s">
        <v>4509</v>
      </c>
      <c r="W2231" t="s">
        <v>4510</v>
      </c>
      <c r="X2231" t="s">
        <v>58</v>
      </c>
      <c r="Y2231">
        <v>18</v>
      </c>
      <c r="Z2231" t="s">
        <v>59</v>
      </c>
      <c r="AA2231" t="s">
        <v>59</v>
      </c>
      <c r="AB2231" t="s">
        <v>59</v>
      </c>
      <c r="AC2231" t="s">
        <v>59</v>
      </c>
      <c r="AD2231" t="s">
        <v>59</v>
      </c>
      <c r="AF2231" s="1">
        <v>35674</v>
      </c>
      <c r="AG2231" t="s">
        <v>125</v>
      </c>
      <c r="AH2231" t="s">
        <v>126</v>
      </c>
      <c r="AI2231" t="str">
        <f>"3204010"</f>
        <v>3204010</v>
      </c>
      <c r="AJ2231" t="s">
        <v>4542</v>
      </c>
      <c r="AK2231">
        <v>2843022503</v>
      </c>
      <c r="AL2231" t="s">
        <v>4543</v>
      </c>
      <c r="AM2231" t="s">
        <v>4513</v>
      </c>
      <c r="AN2231" t="s">
        <v>4540</v>
      </c>
      <c r="AO2231" t="s">
        <v>4540</v>
      </c>
      <c r="AP2231" t="s">
        <v>4540</v>
      </c>
      <c r="AQ2231">
        <v>6</v>
      </c>
      <c r="AR2231" t="s">
        <v>4509</v>
      </c>
      <c r="AS2231" t="s">
        <v>4510</v>
      </c>
      <c r="AT2231" t="s">
        <v>58</v>
      </c>
      <c r="AU2231" t="s">
        <v>68</v>
      </c>
      <c r="AV2231" t="s">
        <v>69</v>
      </c>
      <c r="AW2231" s="1">
        <v>24026</v>
      </c>
      <c r="AX2231">
        <v>2</v>
      </c>
    </row>
    <row r="2232" spans="1:50">
      <c r="A2232">
        <v>219615</v>
      </c>
      <c r="B2232" t="str">
        <f>"078337481"</f>
        <v>078337481</v>
      </c>
      <c r="C2232" t="s">
        <v>50</v>
      </c>
      <c r="D2232" t="s">
        <v>4588</v>
      </c>
      <c r="E2232" t="s">
        <v>250</v>
      </c>
      <c r="F2232" t="s">
        <v>1573</v>
      </c>
      <c r="G2232" t="s">
        <v>109</v>
      </c>
      <c r="H2232" t="str">
        <f>" "</f>
        <v xml:space="preserve"> </v>
      </c>
      <c r="J2232">
        <v>2810322732</v>
      </c>
      <c r="K2232">
        <v>6979571121</v>
      </c>
      <c r="M2232" t="s">
        <v>4589</v>
      </c>
      <c r="N2232" t="s">
        <v>299</v>
      </c>
      <c r="O2232" t="s">
        <v>300</v>
      </c>
      <c r="R2232" t="s">
        <v>57</v>
      </c>
      <c r="S2232">
        <v>9</v>
      </c>
      <c r="T2232">
        <v>599</v>
      </c>
      <c r="U2232" s="1">
        <v>39310</v>
      </c>
      <c r="V2232" t="s">
        <v>4509</v>
      </c>
      <c r="W2232" t="s">
        <v>4510</v>
      </c>
      <c r="X2232" t="s">
        <v>58</v>
      </c>
      <c r="Y2232">
        <v>21</v>
      </c>
      <c r="Z2232" t="s">
        <v>59</v>
      </c>
      <c r="AA2232" t="s">
        <v>59</v>
      </c>
      <c r="AB2232" t="s">
        <v>59</v>
      </c>
      <c r="AC2232" t="s">
        <v>59</v>
      </c>
      <c r="AD2232" t="s">
        <v>59</v>
      </c>
      <c r="AF2232" s="1">
        <v>39329</v>
      </c>
      <c r="AG2232" t="s">
        <v>148</v>
      </c>
      <c r="AH2232" t="s">
        <v>149</v>
      </c>
      <c r="AI2232" t="str">
        <f>"3255010"</f>
        <v>3255010</v>
      </c>
      <c r="AJ2232" t="s">
        <v>4590</v>
      </c>
      <c r="AK2232">
        <v>2844022058</v>
      </c>
      <c r="AL2232" t="s">
        <v>4591</v>
      </c>
      <c r="AM2232" t="s">
        <v>4513</v>
      </c>
      <c r="AN2232" t="s">
        <v>4592</v>
      </c>
      <c r="AO2232" t="s">
        <v>4592</v>
      </c>
      <c r="AP2232" t="s">
        <v>4593</v>
      </c>
      <c r="AQ2232">
        <v>2</v>
      </c>
      <c r="AR2232" t="s">
        <v>4509</v>
      </c>
      <c r="AS2232" t="s">
        <v>4510</v>
      </c>
      <c r="AT2232" t="s">
        <v>58</v>
      </c>
      <c r="AU2232" t="s">
        <v>68</v>
      </c>
      <c r="AV2232" t="s">
        <v>69</v>
      </c>
      <c r="AW2232" s="1">
        <v>27223</v>
      </c>
      <c r="AX2232">
        <v>2</v>
      </c>
    </row>
    <row r="2233" spans="1:50">
      <c r="A2233">
        <v>210677</v>
      </c>
      <c r="B2233" t="str">
        <f>"101561928"</f>
        <v>101561928</v>
      </c>
      <c r="C2233" t="s">
        <v>50</v>
      </c>
      <c r="D2233" t="s">
        <v>4594</v>
      </c>
      <c r="E2233" t="s">
        <v>1189</v>
      </c>
      <c r="F2233" t="s">
        <v>3483</v>
      </c>
      <c r="G2233" t="s">
        <v>414</v>
      </c>
      <c r="H2233" t="str">
        <f>"Κοραή 4 Κουνουπιδιανά"</f>
        <v>Κοραή 4 Κουνουπιδιανά</v>
      </c>
      <c r="J2233">
        <v>2821090864</v>
      </c>
      <c r="K2233">
        <v>6940512066</v>
      </c>
      <c r="M2233" t="s">
        <v>4595</v>
      </c>
      <c r="N2233" t="s">
        <v>478</v>
      </c>
      <c r="O2233" t="s">
        <v>479</v>
      </c>
      <c r="R2233" t="s">
        <v>57</v>
      </c>
      <c r="S2233">
        <v>6</v>
      </c>
      <c r="T2233">
        <v>256</v>
      </c>
      <c r="U2233" s="1">
        <v>38624</v>
      </c>
      <c r="V2233" t="s">
        <v>4509</v>
      </c>
      <c r="W2233" t="s">
        <v>4510</v>
      </c>
      <c r="X2233" t="s">
        <v>58</v>
      </c>
      <c r="Y2233">
        <v>20</v>
      </c>
      <c r="Z2233" t="s">
        <v>59</v>
      </c>
      <c r="AA2233" t="s">
        <v>59</v>
      </c>
      <c r="AB2233" t="s">
        <v>59</v>
      </c>
      <c r="AC2233" t="s">
        <v>59</v>
      </c>
      <c r="AD2233" t="s">
        <v>59</v>
      </c>
      <c r="AF2233" s="1">
        <v>38628</v>
      </c>
      <c r="AG2233" t="s">
        <v>125</v>
      </c>
      <c r="AH2233" t="s">
        <v>126</v>
      </c>
      <c r="AI2233" t="str">
        <f>"3201010"</f>
        <v>3201010</v>
      </c>
      <c r="AJ2233" t="s">
        <v>4596</v>
      </c>
      <c r="AK2233">
        <v>2841022301</v>
      </c>
      <c r="AL2233" t="s">
        <v>4597</v>
      </c>
      <c r="AM2233" t="s">
        <v>4513</v>
      </c>
      <c r="AN2233" t="s">
        <v>4514</v>
      </c>
      <c r="AO2233" t="s">
        <v>4514</v>
      </c>
      <c r="AP2233" t="s">
        <v>4514</v>
      </c>
      <c r="AQ2233">
        <v>1</v>
      </c>
      <c r="AR2233" t="s">
        <v>4509</v>
      </c>
      <c r="AS2233" t="s">
        <v>4510</v>
      </c>
      <c r="AT2233" t="s">
        <v>58</v>
      </c>
      <c r="AU2233" t="s">
        <v>68</v>
      </c>
      <c r="AV2233" t="s">
        <v>132</v>
      </c>
      <c r="AW2233" s="1">
        <v>26480</v>
      </c>
      <c r="AX2233">
        <v>2</v>
      </c>
    </row>
    <row r="2234" spans="1:50">
      <c r="A2234">
        <v>220243</v>
      </c>
      <c r="B2234" t="str">
        <f>"045248719"</f>
        <v>045248719</v>
      </c>
      <c r="C2234" t="s">
        <v>50</v>
      </c>
      <c r="D2234" t="s">
        <v>4598</v>
      </c>
      <c r="E2234" t="s">
        <v>73</v>
      </c>
      <c r="F2234" t="s">
        <v>95</v>
      </c>
      <c r="G2234" t="s">
        <v>378</v>
      </c>
      <c r="H2234" t="str">
        <f>" "</f>
        <v xml:space="preserve"> </v>
      </c>
      <c r="J2234">
        <v>2842080466</v>
      </c>
      <c r="K2234">
        <v>6946004722</v>
      </c>
      <c r="M2234" t="s">
        <v>4599</v>
      </c>
      <c r="N2234" t="s">
        <v>146</v>
      </c>
      <c r="O2234" t="s">
        <v>147</v>
      </c>
      <c r="R2234" t="s">
        <v>57</v>
      </c>
      <c r="S2234">
        <v>5</v>
      </c>
      <c r="T2234">
        <v>681</v>
      </c>
      <c r="U2234" s="1">
        <v>39325</v>
      </c>
      <c r="V2234" t="s">
        <v>4509</v>
      </c>
      <c r="W2234" t="s">
        <v>4510</v>
      </c>
      <c r="X2234" t="s">
        <v>58</v>
      </c>
      <c r="Y2234">
        <v>21</v>
      </c>
      <c r="Z2234" t="s">
        <v>59</v>
      </c>
      <c r="AA2234" t="s">
        <v>59</v>
      </c>
      <c r="AB2234" t="s">
        <v>59</v>
      </c>
      <c r="AC2234" t="s">
        <v>59</v>
      </c>
      <c r="AD2234" t="s">
        <v>59</v>
      </c>
      <c r="AF2234" s="1">
        <v>39326</v>
      </c>
      <c r="AG2234" t="s">
        <v>125</v>
      </c>
      <c r="AH2234" t="s">
        <v>126</v>
      </c>
      <c r="AI2234" t="str">
        <f>"3202010"</f>
        <v>3202010</v>
      </c>
      <c r="AJ2234" t="s">
        <v>4517</v>
      </c>
      <c r="AK2234">
        <v>2842028229</v>
      </c>
      <c r="AL2234" t="s">
        <v>4518</v>
      </c>
      <c r="AM2234" t="s">
        <v>4513</v>
      </c>
      <c r="AN2234" t="s">
        <v>4519</v>
      </c>
      <c r="AO2234" t="s">
        <v>4519</v>
      </c>
      <c r="AP2234" t="s">
        <v>4519</v>
      </c>
      <c r="AQ2234">
        <v>4</v>
      </c>
      <c r="AR2234" t="s">
        <v>4509</v>
      </c>
      <c r="AS2234" t="s">
        <v>4510</v>
      </c>
      <c r="AT2234" t="s">
        <v>58</v>
      </c>
      <c r="AU2234" t="s">
        <v>68</v>
      </c>
      <c r="AV2234" t="s">
        <v>69</v>
      </c>
      <c r="AW2234" s="1">
        <v>25691</v>
      </c>
      <c r="AX2234">
        <v>2</v>
      </c>
    </row>
    <row r="2235" spans="1:50">
      <c r="A2235">
        <v>152044</v>
      </c>
      <c r="B2235" t="str">
        <f>"126323992"</f>
        <v>126323992</v>
      </c>
      <c r="C2235" t="s">
        <v>50</v>
      </c>
      <c r="D2235" t="s">
        <v>606</v>
      </c>
      <c r="E2235" t="s">
        <v>237</v>
      </c>
      <c r="F2235" t="s">
        <v>95</v>
      </c>
      <c r="G2235" t="s">
        <v>250</v>
      </c>
      <c r="H2235" t="str">
        <f>" "</f>
        <v xml:space="preserve"> </v>
      </c>
      <c r="M2235" t="s">
        <v>4600</v>
      </c>
      <c r="N2235" t="s">
        <v>168</v>
      </c>
      <c r="O2235" t="s">
        <v>169</v>
      </c>
      <c r="R2235" t="s">
        <v>57</v>
      </c>
      <c r="S2235">
        <v>19</v>
      </c>
      <c r="T2235">
        <v>170</v>
      </c>
      <c r="U2235" s="1">
        <v>32016</v>
      </c>
      <c r="V2235" t="s">
        <v>4509</v>
      </c>
      <c r="W2235" t="s">
        <v>4510</v>
      </c>
      <c r="X2235" t="s">
        <v>58</v>
      </c>
      <c r="Y2235">
        <v>18</v>
      </c>
      <c r="Z2235" t="s">
        <v>59</v>
      </c>
      <c r="AA2235" t="s">
        <v>59</v>
      </c>
      <c r="AB2235" t="s">
        <v>59</v>
      </c>
      <c r="AC2235" t="s">
        <v>59</v>
      </c>
      <c r="AD2235" t="s">
        <v>59</v>
      </c>
      <c r="AF2235" s="1">
        <v>32021</v>
      </c>
      <c r="AG2235" t="s">
        <v>137</v>
      </c>
      <c r="AH2235" t="s">
        <v>138</v>
      </c>
      <c r="AI2235" t="str">
        <f>"3240070"</f>
        <v>3240070</v>
      </c>
      <c r="AJ2235" t="s">
        <v>4582</v>
      </c>
      <c r="AK2235">
        <v>2841032545</v>
      </c>
      <c r="AL2235" t="s">
        <v>4583</v>
      </c>
      <c r="AM2235" t="s">
        <v>4513</v>
      </c>
      <c r="AN2235" t="s">
        <v>4514</v>
      </c>
      <c r="AO2235" t="s">
        <v>4524</v>
      </c>
      <c r="AP2235" t="s">
        <v>4525</v>
      </c>
      <c r="AQ2235">
        <v>3</v>
      </c>
      <c r="AR2235" t="s">
        <v>4509</v>
      </c>
      <c r="AS2235" t="s">
        <v>4510</v>
      </c>
      <c r="AT2235" t="s">
        <v>58</v>
      </c>
      <c r="AU2235" t="s">
        <v>68</v>
      </c>
      <c r="AV2235" t="s">
        <v>69</v>
      </c>
      <c r="AW2235" s="1">
        <v>20633</v>
      </c>
      <c r="AX2235">
        <v>2</v>
      </c>
    </row>
    <row r="2236" spans="1:50">
      <c r="B2236" t="str">
        <f>"063919670"</f>
        <v>063919670</v>
      </c>
      <c r="C2236" t="s">
        <v>50</v>
      </c>
      <c r="D2236" t="s">
        <v>606</v>
      </c>
      <c r="E2236" t="s">
        <v>181</v>
      </c>
      <c r="F2236" t="s">
        <v>383</v>
      </c>
      <c r="G2236" t="s">
        <v>112</v>
      </c>
      <c r="H2236" t="str">
        <f>"ΤΡΙΚΑΛΩΝ 13 ΗΡΑΚΛΕΙΟ"</f>
        <v>ΤΡΙΚΑΛΩΝ 13 ΗΡΑΚΛΕΙΟ</v>
      </c>
      <c r="I2236">
        <v>71303</v>
      </c>
      <c r="J2236">
        <v>2810319153</v>
      </c>
      <c r="K2236">
        <v>6932068540</v>
      </c>
      <c r="M2236" t="s">
        <v>4601</v>
      </c>
      <c r="N2236" t="s">
        <v>146</v>
      </c>
      <c r="O2236" t="s">
        <v>147</v>
      </c>
      <c r="R2236" t="s">
        <v>159</v>
      </c>
      <c r="S2236">
        <v>3</v>
      </c>
      <c r="T2236" t="s">
        <v>416</v>
      </c>
      <c r="U2236" s="1">
        <v>43349</v>
      </c>
      <c r="V2236" t="s">
        <v>4509</v>
      </c>
      <c r="W2236" t="s">
        <v>4510</v>
      </c>
      <c r="X2236" t="s">
        <v>58</v>
      </c>
      <c r="Y2236">
        <v>23</v>
      </c>
      <c r="Z2236" t="s">
        <v>59</v>
      </c>
      <c r="AA2236" t="s">
        <v>59</v>
      </c>
      <c r="AB2236" t="s">
        <v>59</v>
      </c>
      <c r="AC2236" t="s">
        <v>59</v>
      </c>
      <c r="AD2236" t="s">
        <v>59</v>
      </c>
      <c r="AF2236" s="1">
        <v>43349</v>
      </c>
      <c r="AG2236" t="s">
        <v>125</v>
      </c>
      <c r="AH2236" t="s">
        <v>126</v>
      </c>
      <c r="AI2236" t="str">
        <f>"3203010"</f>
        <v>3203010</v>
      </c>
      <c r="AJ2236" t="s">
        <v>4522</v>
      </c>
      <c r="AK2236">
        <v>2841034140</v>
      </c>
      <c r="AL2236" t="s">
        <v>4523</v>
      </c>
      <c r="AM2236" t="s">
        <v>4513</v>
      </c>
      <c r="AN2236" t="s">
        <v>4514</v>
      </c>
      <c r="AO2236" t="s">
        <v>4524</v>
      </c>
      <c r="AP2236" t="s">
        <v>4525</v>
      </c>
      <c r="AQ2236">
        <v>3</v>
      </c>
      <c r="AR2236" t="s">
        <v>4509</v>
      </c>
      <c r="AS2236" t="s">
        <v>4510</v>
      </c>
      <c r="AT2236" t="s">
        <v>58</v>
      </c>
      <c r="AU2236" t="s">
        <v>419</v>
      </c>
      <c r="AV2236" t="s">
        <v>132</v>
      </c>
      <c r="AW2236" s="1">
        <v>26835</v>
      </c>
      <c r="AX2236">
        <v>2</v>
      </c>
    </row>
    <row r="2237" spans="1:50">
      <c r="A2237">
        <v>194210</v>
      </c>
      <c r="B2237" t="str">
        <f>"038789282"</f>
        <v>038789282</v>
      </c>
      <c r="C2237" t="s">
        <v>105</v>
      </c>
      <c r="D2237" t="s">
        <v>622</v>
      </c>
      <c r="E2237" t="s">
        <v>53</v>
      </c>
      <c r="F2237" t="s">
        <v>72</v>
      </c>
      <c r="G2237" t="s">
        <v>4602</v>
      </c>
      <c r="H2237" t="str">
        <f>"Τ.Θ. 160 ΑΜΜΟΥΔΑΡΑ"</f>
        <v>Τ.Θ. 160 ΑΜΜΟΥΔΑΡΑ</v>
      </c>
      <c r="I2237">
        <v>72100</v>
      </c>
      <c r="J2237">
        <v>2841082193</v>
      </c>
      <c r="K2237">
        <v>6944675494</v>
      </c>
      <c r="M2237" t="s">
        <v>4603</v>
      </c>
      <c r="N2237" t="s">
        <v>176</v>
      </c>
      <c r="O2237" t="s">
        <v>177</v>
      </c>
      <c r="R2237" t="s">
        <v>57</v>
      </c>
      <c r="S2237">
        <v>14</v>
      </c>
      <c r="T2237">
        <v>193</v>
      </c>
      <c r="U2237" s="1">
        <v>37497</v>
      </c>
      <c r="V2237" t="s">
        <v>4509</v>
      </c>
      <c r="W2237" t="s">
        <v>4510</v>
      </c>
      <c r="X2237" t="s">
        <v>58</v>
      </c>
      <c r="Y2237">
        <v>18</v>
      </c>
      <c r="Z2237" t="s">
        <v>59</v>
      </c>
      <c r="AA2237" t="s">
        <v>59</v>
      </c>
      <c r="AB2237" t="s">
        <v>59</v>
      </c>
      <c r="AC2237" t="s">
        <v>59</v>
      </c>
      <c r="AD2237" t="s">
        <v>59</v>
      </c>
      <c r="AF2237" s="1">
        <v>37503</v>
      </c>
      <c r="AG2237" t="s">
        <v>148</v>
      </c>
      <c r="AH2237" t="s">
        <v>149</v>
      </c>
      <c r="AI2237" t="str">
        <f>"3251001"</f>
        <v>3251001</v>
      </c>
      <c r="AJ2237" t="s">
        <v>4535</v>
      </c>
      <c r="AK2237">
        <v>2841082544</v>
      </c>
      <c r="AL2237" t="s">
        <v>4536</v>
      </c>
      <c r="AM2237" t="s">
        <v>4513</v>
      </c>
      <c r="AN2237" t="s">
        <v>4514</v>
      </c>
      <c r="AO2237" t="s">
        <v>4514</v>
      </c>
      <c r="AP2237" t="s">
        <v>4514</v>
      </c>
      <c r="AQ2237">
        <v>1</v>
      </c>
      <c r="AR2237" t="s">
        <v>4509</v>
      </c>
      <c r="AS2237" t="s">
        <v>4510</v>
      </c>
      <c r="AT2237" t="s">
        <v>58</v>
      </c>
      <c r="AU2237" t="s">
        <v>68</v>
      </c>
      <c r="AV2237" t="s">
        <v>69</v>
      </c>
      <c r="AW2237" s="1">
        <v>23726</v>
      </c>
      <c r="AX2237">
        <v>2</v>
      </c>
    </row>
    <row r="2238" spans="1:50">
      <c r="A2238">
        <v>204302</v>
      </c>
      <c r="B2238" t="str">
        <f>"046977084"</f>
        <v>046977084</v>
      </c>
      <c r="C2238" t="s">
        <v>105</v>
      </c>
      <c r="D2238" t="s">
        <v>4604</v>
      </c>
      <c r="E2238" t="s">
        <v>95</v>
      </c>
      <c r="F2238" t="s">
        <v>589</v>
      </c>
      <c r="G2238" t="s">
        <v>4127</v>
      </c>
      <c r="H2238" t="str">
        <f>"Δ. ΜΑΡΚΟΠΟΥΛΟΥ 97 ΙΕΡΑΠΕΤΡΑ"</f>
        <v>Δ. ΜΑΡΚΟΠΟΥΛΟΥ 97 ΙΕΡΑΠΕΤΡΑ</v>
      </c>
      <c r="I2238">
        <v>72200</v>
      </c>
      <c r="J2238">
        <v>2102798269</v>
      </c>
      <c r="K2238">
        <v>6936685495</v>
      </c>
      <c r="L2238">
        <v>2842022591</v>
      </c>
      <c r="M2238" t="s">
        <v>4605</v>
      </c>
      <c r="N2238" t="s">
        <v>257</v>
      </c>
      <c r="O2238" t="s">
        <v>258</v>
      </c>
      <c r="R2238" t="s">
        <v>57</v>
      </c>
      <c r="S2238">
        <v>9</v>
      </c>
      <c r="T2238">
        <v>231</v>
      </c>
      <c r="U2238" s="1">
        <v>38230</v>
      </c>
      <c r="V2238" t="s">
        <v>4509</v>
      </c>
      <c r="W2238" t="s">
        <v>4510</v>
      </c>
      <c r="X2238" t="s">
        <v>58</v>
      </c>
      <c r="Y2238">
        <v>20</v>
      </c>
      <c r="Z2238" t="s">
        <v>59</v>
      </c>
      <c r="AA2238" t="s">
        <v>59</v>
      </c>
      <c r="AB2238" t="s">
        <v>59</v>
      </c>
      <c r="AC2238" t="s">
        <v>59</v>
      </c>
      <c r="AD2238" t="s">
        <v>59</v>
      </c>
      <c r="AF2238" s="1">
        <v>38231</v>
      </c>
      <c r="AG2238" t="s">
        <v>148</v>
      </c>
      <c r="AH2238" t="s">
        <v>149</v>
      </c>
      <c r="AI2238" t="str">
        <f>"3252010"</f>
        <v>3252010</v>
      </c>
      <c r="AJ2238" t="s">
        <v>4532</v>
      </c>
      <c r="AK2238">
        <v>2842022356</v>
      </c>
      <c r="AL2238" t="s">
        <v>4533</v>
      </c>
      <c r="AM2238" t="s">
        <v>4513</v>
      </c>
      <c r="AN2238" t="s">
        <v>4519</v>
      </c>
      <c r="AO2238" t="s">
        <v>4519</v>
      </c>
      <c r="AP2238" t="s">
        <v>4519</v>
      </c>
      <c r="AQ2238">
        <v>4</v>
      </c>
      <c r="AR2238" t="s">
        <v>4509</v>
      </c>
      <c r="AS2238" t="s">
        <v>4510</v>
      </c>
      <c r="AT2238" t="s">
        <v>58</v>
      </c>
      <c r="AU2238" t="s">
        <v>68</v>
      </c>
      <c r="AV2238" t="s">
        <v>69</v>
      </c>
      <c r="AW2238" s="1">
        <v>24966</v>
      </c>
      <c r="AX2238">
        <v>2</v>
      </c>
    </row>
    <row r="2239" spans="1:50">
      <c r="A2239">
        <v>203649</v>
      </c>
      <c r="B2239" t="str">
        <f>"062023135"</f>
        <v>062023135</v>
      </c>
      <c r="C2239" t="s">
        <v>105</v>
      </c>
      <c r="D2239" t="s">
        <v>4606</v>
      </c>
      <c r="E2239" t="s">
        <v>84</v>
      </c>
      <c r="F2239" t="s">
        <v>72</v>
      </c>
      <c r="G2239" t="s">
        <v>3914</v>
      </c>
      <c r="H2239" t="str">
        <f t="shared" ref="H2239:H2247" si="0">" "</f>
        <v xml:space="preserve"> </v>
      </c>
      <c r="J2239">
        <v>2841023793</v>
      </c>
      <c r="K2239">
        <v>6945255052</v>
      </c>
      <c r="N2239" t="s">
        <v>299</v>
      </c>
      <c r="O2239" t="s">
        <v>300</v>
      </c>
      <c r="R2239" t="s">
        <v>57</v>
      </c>
      <c r="S2239">
        <v>10</v>
      </c>
      <c r="T2239">
        <v>231</v>
      </c>
      <c r="U2239" s="1">
        <v>38230</v>
      </c>
      <c r="V2239" t="s">
        <v>4509</v>
      </c>
      <c r="W2239" t="s">
        <v>4510</v>
      </c>
      <c r="X2239" t="s">
        <v>58</v>
      </c>
      <c r="Y2239">
        <v>20</v>
      </c>
      <c r="Z2239" t="s">
        <v>59</v>
      </c>
      <c r="AA2239" t="s">
        <v>59</v>
      </c>
      <c r="AB2239" t="s">
        <v>59</v>
      </c>
      <c r="AC2239" t="s">
        <v>59</v>
      </c>
      <c r="AD2239" t="s">
        <v>59</v>
      </c>
      <c r="AF2239" s="1">
        <v>38231</v>
      </c>
      <c r="AG2239" t="s">
        <v>137</v>
      </c>
      <c r="AH2239" t="s">
        <v>138</v>
      </c>
      <c r="AI2239" t="str">
        <f>"3240077"</f>
        <v>3240077</v>
      </c>
      <c r="AJ2239" t="s">
        <v>4528</v>
      </c>
      <c r="AK2239">
        <v>2841025978</v>
      </c>
      <c r="AL2239" t="s">
        <v>4529</v>
      </c>
      <c r="AM2239" t="s">
        <v>4513</v>
      </c>
      <c r="AN2239" t="s">
        <v>4514</v>
      </c>
      <c r="AO2239" t="s">
        <v>4514</v>
      </c>
      <c r="AP2239" t="s">
        <v>4514</v>
      </c>
      <c r="AQ2239">
        <v>1</v>
      </c>
      <c r="AR2239" t="s">
        <v>4509</v>
      </c>
      <c r="AS2239" t="s">
        <v>4510</v>
      </c>
      <c r="AT2239" t="s">
        <v>58</v>
      </c>
      <c r="AU2239" t="s">
        <v>68</v>
      </c>
      <c r="AV2239" t="s">
        <v>69</v>
      </c>
      <c r="AW2239" s="1">
        <v>25673</v>
      </c>
      <c r="AX2239">
        <v>2</v>
      </c>
    </row>
    <row r="2240" spans="1:50">
      <c r="A2240">
        <v>214455</v>
      </c>
      <c r="B2240" t="str">
        <f>"075986592"</f>
        <v>075986592</v>
      </c>
      <c r="C2240" t="s">
        <v>105</v>
      </c>
      <c r="D2240" t="s">
        <v>4607</v>
      </c>
      <c r="E2240" t="s">
        <v>95</v>
      </c>
      <c r="F2240" t="s">
        <v>53</v>
      </c>
      <c r="G2240" t="s">
        <v>52</v>
      </c>
      <c r="H2240" t="str">
        <f t="shared" si="0"/>
        <v xml:space="preserve"> </v>
      </c>
      <c r="J2240">
        <v>2842027546</v>
      </c>
      <c r="K2240">
        <v>6944372961</v>
      </c>
      <c r="M2240" t="s">
        <v>4608</v>
      </c>
      <c r="N2240" t="s">
        <v>176</v>
      </c>
      <c r="O2240" t="s">
        <v>177</v>
      </c>
      <c r="R2240" t="s">
        <v>57</v>
      </c>
      <c r="S2240">
        <v>8</v>
      </c>
      <c r="T2240" s="1">
        <v>38960</v>
      </c>
      <c r="U2240" s="1">
        <v>38960</v>
      </c>
      <c r="V2240" t="s">
        <v>4509</v>
      </c>
      <c r="W2240" t="s">
        <v>4510</v>
      </c>
      <c r="X2240" t="s">
        <v>58</v>
      </c>
      <c r="Y2240">
        <v>20</v>
      </c>
      <c r="Z2240" t="s">
        <v>59</v>
      </c>
      <c r="AA2240" t="s">
        <v>59</v>
      </c>
      <c r="AB2240" t="s">
        <v>59</v>
      </c>
      <c r="AC2240" t="s">
        <v>59</v>
      </c>
      <c r="AD2240" t="s">
        <v>59</v>
      </c>
      <c r="AF2240" s="1">
        <v>38961</v>
      </c>
      <c r="AG2240" t="s">
        <v>125</v>
      </c>
      <c r="AH2240" t="s">
        <v>126</v>
      </c>
      <c r="AI2240" t="str">
        <f>"3202020"</f>
        <v>3202020</v>
      </c>
      <c r="AJ2240" t="s">
        <v>4576</v>
      </c>
      <c r="AK2240">
        <v>2842022289</v>
      </c>
      <c r="AL2240" t="s">
        <v>4577</v>
      </c>
      <c r="AM2240" t="s">
        <v>4513</v>
      </c>
      <c r="AN2240" t="s">
        <v>4519</v>
      </c>
      <c r="AO2240" t="s">
        <v>4519</v>
      </c>
      <c r="AP2240" t="s">
        <v>4519</v>
      </c>
      <c r="AQ2240">
        <v>4</v>
      </c>
      <c r="AR2240" t="s">
        <v>4509</v>
      </c>
      <c r="AS2240" t="s">
        <v>4510</v>
      </c>
      <c r="AT2240" t="s">
        <v>58</v>
      </c>
      <c r="AU2240" t="s">
        <v>68</v>
      </c>
      <c r="AV2240" t="s">
        <v>69</v>
      </c>
      <c r="AW2240" s="1">
        <v>26360</v>
      </c>
      <c r="AX2240">
        <v>2</v>
      </c>
    </row>
    <row r="2241" spans="1:50">
      <c r="A2241">
        <v>214456</v>
      </c>
      <c r="B2241" t="str">
        <f>"075135320"</f>
        <v>075135320</v>
      </c>
      <c r="C2241" t="s">
        <v>105</v>
      </c>
      <c r="D2241" t="s">
        <v>4607</v>
      </c>
      <c r="E2241" t="s">
        <v>53</v>
      </c>
      <c r="F2241" t="s">
        <v>4097</v>
      </c>
      <c r="G2241" t="s">
        <v>4127</v>
      </c>
      <c r="H2241" t="str">
        <f t="shared" si="0"/>
        <v xml:space="preserve"> </v>
      </c>
      <c r="J2241">
        <v>2842028361</v>
      </c>
      <c r="K2241">
        <v>6946001664</v>
      </c>
      <c r="M2241" t="s">
        <v>4609</v>
      </c>
      <c r="N2241" t="s">
        <v>176</v>
      </c>
      <c r="O2241" t="s">
        <v>177</v>
      </c>
      <c r="R2241" t="s">
        <v>57</v>
      </c>
      <c r="S2241">
        <v>10</v>
      </c>
      <c r="T2241">
        <v>231</v>
      </c>
      <c r="U2241" s="1">
        <v>38960</v>
      </c>
      <c r="V2241" t="s">
        <v>4509</v>
      </c>
      <c r="W2241" t="s">
        <v>4510</v>
      </c>
      <c r="X2241" t="s">
        <v>58</v>
      </c>
      <c r="Y2241">
        <v>20</v>
      </c>
      <c r="Z2241" t="s">
        <v>59</v>
      </c>
      <c r="AA2241" t="s">
        <v>59</v>
      </c>
      <c r="AB2241" t="s">
        <v>59</v>
      </c>
      <c r="AC2241" t="s">
        <v>59</v>
      </c>
      <c r="AD2241" t="s">
        <v>59</v>
      </c>
      <c r="AF2241" s="1">
        <v>38961</v>
      </c>
      <c r="AG2241" t="s">
        <v>125</v>
      </c>
      <c r="AH2241" t="s">
        <v>126</v>
      </c>
      <c r="AI2241" t="str">
        <f>"3202010"</f>
        <v>3202010</v>
      </c>
      <c r="AJ2241" t="s">
        <v>4517</v>
      </c>
      <c r="AK2241">
        <v>2842028229</v>
      </c>
      <c r="AL2241" t="s">
        <v>4518</v>
      </c>
      <c r="AM2241" t="s">
        <v>4513</v>
      </c>
      <c r="AN2241" t="s">
        <v>4519</v>
      </c>
      <c r="AO2241" t="s">
        <v>4519</v>
      </c>
      <c r="AP2241" t="s">
        <v>4519</v>
      </c>
      <c r="AQ2241">
        <v>4</v>
      </c>
      <c r="AR2241" t="s">
        <v>4509</v>
      </c>
      <c r="AS2241" t="s">
        <v>4510</v>
      </c>
      <c r="AT2241" t="s">
        <v>58</v>
      </c>
      <c r="AU2241" t="s">
        <v>68</v>
      </c>
      <c r="AV2241" t="s">
        <v>69</v>
      </c>
      <c r="AW2241" s="1">
        <v>25514</v>
      </c>
      <c r="AX2241">
        <v>2</v>
      </c>
    </row>
    <row r="2242" spans="1:50">
      <c r="A2242">
        <v>198331</v>
      </c>
      <c r="B2242" t="str">
        <f>"046760020"</f>
        <v>046760020</v>
      </c>
      <c r="C2242" t="s">
        <v>50</v>
      </c>
      <c r="D2242" t="s">
        <v>4610</v>
      </c>
      <c r="E2242" t="s">
        <v>52</v>
      </c>
      <c r="F2242" t="s">
        <v>99</v>
      </c>
      <c r="G2242" t="s">
        <v>507</v>
      </c>
      <c r="H2242" t="str">
        <f t="shared" si="0"/>
        <v xml:space="preserve"> </v>
      </c>
      <c r="J2242">
        <v>2109644445</v>
      </c>
      <c r="K2242">
        <v>6977295542</v>
      </c>
      <c r="N2242" t="s">
        <v>478</v>
      </c>
      <c r="O2242" t="s">
        <v>479</v>
      </c>
      <c r="R2242" t="s">
        <v>57</v>
      </c>
      <c r="S2242">
        <v>9</v>
      </c>
      <c r="T2242">
        <v>206</v>
      </c>
      <c r="U2242" s="1">
        <v>37866</v>
      </c>
      <c r="V2242" t="s">
        <v>4509</v>
      </c>
      <c r="W2242" t="s">
        <v>4510</v>
      </c>
      <c r="X2242" t="s">
        <v>58</v>
      </c>
      <c r="Y2242">
        <v>20</v>
      </c>
      <c r="Z2242" t="s">
        <v>59</v>
      </c>
      <c r="AA2242" t="s">
        <v>59</v>
      </c>
      <c r="AB2242" t="s">
        <v>59</v>
      </c>
      <c r="AC2242" t="s">
        <v>59</v>
      </c>
      <c r="AD2242" t="s">
        <v>59</v>
      </c>
      <c r="AF2242" s="1">
        <v>37866</v>
      </c>
      <c r="AG2242" t="s">
        <v>125</v>
      </c>
      <c r="AH2242" t="s">
        <v>126</v>
      </c>
      <c r="AI2242" t="str">
        <f>"3202030"</f>
        <v>3202030</v>
      </c>
      <c r="AJ2242" t="s">
        <v>4558</v>
      </c>
      <c r="AK2242">
        <v>2842028751</v>
      </c>
      <c r="AL2242" t="s">
        <v>4559</v>
      </c>
      <c r="AM2242" t="s">
        <v>4513</v>
      </c>
      <c r="AN2242" t="s">
        <v>4519</v>
      </c>
      <c r="AO2242" t="s">
        <v>4519</v>
      </c>
      <c r="AP2242" t="s">
        <v>4519</v>
      </c>
      <c r="AQ2242">
        <v>4</v>
      </c>
      <c r="AR2242" t="s">
        <v>4509</v>
      </c>
      <c r="AS2242" t="s">
        <v>4510</v>
      </c>
      <c r="AT2242" t="s">
        <v>58</v>
      </c>
      <c r="AU2242" t="s">
        <v>68</v>
      </c>
      <c r="AV2242" t="s">
        <v>69</v>
      </c>
      <c r="AW2242" s="1">
        <v>25846</v>
      </c>
      <c r="AX2242">
        <v>2</v>
      </c>
    </row>
    <row r="2243" spans="1:50">
      <c r="B2243" t="str">
        <f>"064123130"</f>
        <v>064123130</v>
      </c>
      <c r="C2243" t="s">
        <v>105</v>
      </c>
      <c r="D2243" t="s">
        <v>4611</v>
      </c>
      <c r="E2243" t="s">
        <v>4612</v>
      </c>
      <c r="F2243" t="s">
        <v>72</v>
      </c>
      <c r="G2243" t="s">
        <v>52</v>
      </c>
      <c r="H2243" t="str">
        <f t="shared" si="0"/>
        <v xml:space="preserve"> </v>
      </c>
      <c r="N2243" t="s">
        <v>653</v>
      </c>
      <c r="O2243" t="s">
        <v>654</v>
      </c>
      <c r="R2243" t="s">
        <v>159</v>
      </c>
      <c r="S2243">
        <v>3</v>
      </c>
      <c r="T2243" t="s">
        <v>344</v>
      </c>
      <c r="U2243" s="1">
        <v>43348</v>
      </c>
      <c r="V2243" t="s">
        <v>4509</v>
      </c>
      <c r="W2243" t="s">
        <v>4510</v>
      </c>
      <c r="X2243" t="s">
        <v>58</v>
      </c>
      <c r="Y2243">
        <v>23</v>
      </c>
      <c r="Z2243" t="s">
        <v>59</v>
      </c>
      <c r="AA2243" t="s">
        <v>59</v>
      </c>
      <c r="AB2243" t="s">
        <v>59</v>
      </c>
      <c r="AC2243" t="s">
        <v>59</v>
      </c>
      <c r="AD2243" t="s">
        <v>59</v>
      </c>
      <c r="AF2243" s="1">
        <v>43348</v>
      </c>
      <c r="AG2243" t="s">
        <v>345</v>
      </c>
      <c r="AH2243" t="s">
        <v>346</v>
      </c>
      <c r="AI2243" t="str">
        <f>"3241001"</f>
        <v>3241001</v>
      </c>
      <c r="AJ2243" t="s">
        <v>4613</v>
      </c>
      <c r="AK2243">
        <v>2842026374</v>
      </c>
      <c r="AL2243" t="s">
        <v>4614</v>
      </c>
      <c r="AM2243" t="s">
        <v>4513</v>
      </c>
      <c r="AN2243" t="s">
        <v>4519</v>
      </c>
      <c r="AO2243" t="s">
        <v>4519</v>
      </c>
      <c r="AP2243" t="s">
        <v>4519</v>
      </c>
      <c r="AQ2243">
        <v>4</v>
      </c>
      <c r="AR2243" t="s">
        <v>4509</v>
      </c>
      <c r="AS2243" t="s">
        <v>4510</v>
      </c>
      <c r="AT2243" t="s">
        <v>58</v>
      </c>
      <c r="AU2243" t="s">
        <v>350</v>
      </c>
      <c r="AV2243" t="s">
        <v>132</v>
      </c>
      <c r="AW2243" s="1">
        <v>31122</v>
      </c>
      <c r="AX2243">
        <v>2</v>
      </c>
    </row>
    <row r="2244" spans="1:50">
      <c r="A2244">
        <v>166624</v>
      </c>
      <c r="B2244" t="str">
        <f>"030922240"</f>
        <v>030922240</v>
      </c>
      <c r="C2244" t="s">
        <v>105</v>
      </c>
      <c r="D2244" t="s">
        <v>4615</v>
      </c>
      <c r="E2244" t="s">
        <v>377</v>
      </c>
      <c r="F2244" t="s">
        <v>95</v>
      </c>
      <c r="G2244" t="s">
        <v>4616</v>
      </c>
      <c r="H2244" t="str">
        <f t="shared" si="0"/>
        <v xml:space="preserve"> </v>
      </c>
      <c r="J2244">
        <v>2843026152</v>
      </c>
      <c r="K2244">
        <v>6976589919</v>
      </c>
      <c r="M2244" t="s">
        <v>4617</v>
      </c>
      <c r="N2244" t="s">
        <v>176</v>
      </c>
      <c r="O2244" t="s">
        <v>177</v>
      </c>
      <c r="R2244" t="s">
        <v>57</v>
      </c>
      <c r="S2244">
        <v>15</v>
      </c>
      <c r="T2244">
        <v>137</v>
      </c>
      <c r="U2244" s="1">
        <v>34206</v>
      </c>
      <c r="V2244" t="s">
        <v>4509</v>
      </c>
      <c r="W2244" t="s">
        <v>4510</v>
      </c>
      <c r="X2244" t="s">
        <v>58</v>
      </c>
      <c r="Y2244">
        <v>18</v>
      </c>
      <c r="Z2244" t="s">
        <v>59</v>
      </c>
      <c r="AA2244" t="s">
        <v>59</v>
      </c>
      <c r="AB2244" t="s">
        <v>59</v>
      </c>
      <c r="AC2244" t="s">
        <v>59</v>
      </c>
      <c r="AD2244" t="s">
        <v>59</v>
      </c>
      <c r="AF2244" s="1">
        <v>34213</v>
      </c>
      <c r="AG2244" t="s">
        <v>148</v>
      </c>
      <c r="AH2244" t="s">
        <v>149</v>
      </c>
      <c r="AI2244" t="str">
        <f>"3254010"</f>
        <v>3254010</v>
      </c>
      <c r="AJ2244" t="s">
        <v>4538</v>
      </c>
      <c r="AK2244">
        <v>2843022277</v>
      </c>
      <c r="AL2244" t="s">
        <v>4539</v>
      </c>
      <c r="AM2244" t="s">
        <v>4513</v>
      </c>
      <c r="AN2244" t="s">
        <v>4540</v>
      </c>
      <c r="AO2244" t="s">
        <v>4540</v>
      </c>
      <c r="AP2244" t="s">
        <v>4540</v>
      </c>
      <c r="AQ2244">
        <v>6</v>
      </c>
      <c r="AR2244" t="s">
        <v>4509</v>
      </c>
      <c r="AS2244" t="s">
        <v>4510</v>
      </c>
      <c r="AT2244" t="s">
        <v>58</v>
      </c>
      <c r="AU2244" t="s">
        <v>68</v>
      </c>
      <c r="AV2244" t="s">
        <v>69</v>
      </c>
      <c r="AW2244" s="1">
        <v>21944</v>
      </c>
      <c r="AX2244">
        <v>2</v>
      </c>
    </row>
    <row r="2245" spans="1:50">
      <c r="A2245">
        <v>175239</v>
      </c>
      <c r="B2245" t="str">
        <f>"027196182"</f>
        <v>027196182</v>
      </c>
      <c r="C2245" t="s">
        <v>50</v>
      </c>
      <c r="D2245" t="s">
        <v>4618</v>
      </c>
      <c r="E2245" t="s">
        <v>181</v>
      </c>
      <c r="F2245" t="s">
        <v>72</v>
      </c>
      <c r="G2245" t="s">
        <v>52</v>
      </c>
      <c r="H2245" t="str">
        <f t="shared" si="0"/>
        <v xml:space="preserve"> </v>
      </c>
      <c r="M2245" t="s">
        <v>4619</v>
      </c>
      <c r="N2245" t="s">
        <v>146</v>
      </c>
      <c r="O2245" t="s">
        <v>147</v>
      </c>
      <c r="R2245" t="s">
        <v>57</v>
      </c>
      <c r="S2245">
        <v>10</v>
      </c>
      <c r="T2245">
        <v>180</v>
      </c>
      <c r="U2245" s="1">
        <v>35674</v>
      </c>
      <c r="V2245" t="s">
        <v>4509</v>
      </c>
      <c r="W2245" t="s">
        <v>4510</v>
      </c>
      <c r="X2245" t="s">
        <v>58</v>
      </c>
      <c r="Y2245">
        <v>18</v>
      </c>
      <c r="Z2245" t="s">
        <v>59</v>
      </c>
      <c r="AA2245" t="s">
        <v>59</v>
      </c>
      <c r="AB2245" t="s">
        <v>59</v>
      </c>
      <c r="AC2245" t="s">
        <v>59</v>
      </c>
      <c r="AD2245" t="s">
        <v>59</v>
      </c>
      <c r="AF2245" s="1">
        <v>35674</v>
      </c>
      <c r="AG2245" t="s">
        <v>148</v>
      </c>
      <c r="AH2245" t="s">
        <v>149</v>
      </c>
      <c r="AI2245" t="str">
        <f>"3251001"</f>
        <v>3251001</v>
      </c>
      <c r="AJ2245" t="s">
        <v>4535</v>
      </c>
      <c r="AK2245">
        <v>2841082544</v>
      </c>
      <c r="AL2245" t="s">
        <v>4536</v>
      </c>
      <c r="AM2245" t="s">
        <v>4513</v>
      </c>
      <c r="AN2245" t="s">
        <v>4514</v>
      </c>
      <c r="AO2245" t="s">
        <v>4514</v>
      </c>
      <c r="AP2245" t="s">
        <v>4514</v>
      </c>
      <c r="AQ2245">
        <v>1</v>
      </c>
      <c r="AR2245" t="s">
        <v>4509</v>
      </c>
      <c r="AS2245" t="s">
        <v>4510</v>
      </c>
      <c r="AT2245" t="s">
        <v>58</v>
      </c>
      <c r="AU2245" t="s">
        <v>68</v>
      </c>
      <c r="AV2245" t="s">
        <v>69</v>
      </c>
      <c r="AW2245" s="1">
        <v>21932</v>
      </c>
      <c r="AX2245">
        <v>2</v>
      </c>
    </row>
    <row r="2246" spans="1:50">
      <c r="A2246">
        <v>208012</v>
      </c>
      <c r="B2246" t="str">
        <f>"074558458"</f>
        <v>074558458</v>
      </c>
      <c r="C2246" t="s">
        <v>105</v>
      </c>
      <c r="D2246" t="s">
        <v>4620</v>
      </c>
      <c r="E2246" t="s">
        <v>53</v>
      </c>
      <c r="F2246" t="s">
        <v>309</v>
      </c>
      <c r="G2246" t="s">
        <v>112</v>
      </c>
      <c r="H2246" t="str">
        <f t="shared" si="0"/>
        <v xml:space="preserve"> </v>
      </c>
      <c r="J2246">
        <v>2431077556</v>
      </c>
      <c r="K2246">
        <v>6974905422</v>
      </c>
      <c r="N2246" t="s">
        <v>176</v>
      </c>
      <c r="O2246" t="s">
        <v>177</v>
      </c>
      <c r="R2246" t="s">
        <v>57</v>
      </c>
      <c r="S2246">
        <v>9</v>
      </c>
      <c r="T2246">
        <v>218</v>
      </c>
      <c r="U2246" s="1">
        <v>38596</v>
      </c>
      <c r="V2246" t="s">
        <v>4509</v>
      </c>
      <c r="W2246" t="s">
        <v>4510</v>
      </c>
      <c r="X2246" t="s">
        <v>58</v>
      </c>
      <c r="Y2246">
        <v>20</v>
      </c>
      <c r="Z2246" t="s">
        <v>59</v>
      </c>
      <c r="AA2246" t="s">
        <v>59</v>
      </c>
      <c r="AB2246" t="s">
        <v>59</v>
      </c>
      <c r="AC2246" t="s">
        <v>59</v>
      </c>
      <c r="AD2246" t="s">
        <v>59</v>
      </c>
      <c r="AF2246" s="1">
        <v>38596</v>
      </c>
      <c r="AG2246" t="s">
        <v>125</v>
      </c>
      <c r="AH2246" t="s">
        <v>126</v>
      </c>
      <c r="AI2246" t="str">
        <f>"3202020"</f>
        <v>3202020</v>
      </c>
      <c r="AJ2246" t="s">
        <v>4576</v>
      </c>
      <c r="AK2246">
        <v>2842022289</v>
      </c>
      <c r="AL2246" t="s">
        <v>4577</v>
      </c>
      <c r="AM2246" t="s">
        <v>4513</v>
      </c>
      <c r="AN2246" t="s">
        <v>4519</v>
      </c>
      <c r="AO2246" t="s">
        <v>4519</v>
      </c>
      <c r="AP2246" t="s">
        <v>4519</v>
      </c>
      <c r="AQ2246">
        <v>4</v>
      </c>
      <c r="AR2246" t="s">
        <v>4509</v>
      </c>
      <c r="AS2246" t="s">
        <v>4510</v>
      </c>
      <c r="AT2246" t="s">
        <v>58</v>
      </c>
      <c r="AU2246" t="s">
        <v>68</v>
      </c>
      <c r="AV2246" t="s">
        <v>132</v>
      </c>
      <c r="AW2246" s="1">
        <v>25020</v>
      </c>
      <c r="AX2246">
        <v>2</v>
      </c>
    </row>
    <row r="2247" spans="1:50">
      <c r="A2247">
        <v>198204</v>
      </c>
      <c r="B2247" t="str">
        <f>"066012923"</f>
        <v>066012923</v>
      </c>
      <c r="C2247" t="s">
        <v>50</v>
      </c>
      <c r="D2247" t="s">
        <v>4621</v>
      </c>
      <c r="E2247" t="s">
        <v>143</v>
      </c>
      <c r="F2247" t="s">
        <v>4622</v>
      </c>
      <c r="G2247" t="s">
        <v>378</v>
      </c>
      <c r="H2247" t="str">
        <f t="shared" si="0"/>
        <v xml:space="preserve"> </v>
      </c>
      <c r="J2247">
        <v>2310760275</v>
      </c>
      <c r="K2247">
        <v>6973239998</v>
      </c>
      <c r="M2247" t="s">
        <v>4623</v>
      </c>
      <c r="N2247" t="s">
        <v>246</v>
      </c>
      <c r="O2247" t="s">
        <v>247</v>
      </c>
      <c r="R2247" t="s">
        <v>57</v>
      </c>
      <c r="S2247">
        <v>7</v>
      </c>
      <c r="T2247">
        <v>206</v>
      </c>
      <c r="U2247" s="1">
        <v>37866</v>
      </c>
      <c r="V2247" t="s">
        <v>4509</v>
      </c>
      <c r="W2247" t="s">
        <v>4510</v>
      </c>
      <c r="X2247" t="s">
        <v>58</v>
      </c>
      <c r="Y2247">
        <v>20</v>
      </c>
      <c r="Z2247" t="s">
        <v>59</v>
      </c>
      <c r="AA2247" t="s">
        <v>59</v>
      </c>
      <c r="AB2247" t="s">
        <v>59</v>
      </c>
      <c r="AC2247" t="s">
        <v>59</v>
      </c>
      <c r="AD2247" t="s">
        <v>59</v>
      </c>
      <c r="AF2247" s="1">
        <v>37866</v>
      </c>
      <c r="AG2247" t="s">
        <v>125</v>
      </c>
      <c r="AH2247" t="s">
        <v>126</v>
      </c>
      <c r="AI2247" t="str">
        <f>"3202030"</f>
        <v>3202030</v>
      </c>
      <c r="AJ2247" t="s">
        <v>4558</v>
      </c>
      <c r="AK2247">
        <v>2842028751</v>
      </c>
      <c r="AL2247" t="s">
        <v>4559</v>
      </c>
      <c r="AM2247" t="s">
        <v>4513</v>
      </c>
      <c r="AN2247" t="s">
        <v>4519</v>
      </c>
      <c r="AO2247" t="s">
        <v>4519</v>
      </c>
      <c r="AP2247" t="s">
        <v>4519</v>
      </c>
      <c r="AQ2247">
        <v>4</v>
      </c>
      <c r="AR2247" t="s">
        <v>4509</v>
      </c>
      <c r="AS2247" t="s">
        <v>4510</v>
      </c>
      <c r="AT2247" t="s">
        <v>58</v>
      </c>
      <c r="AU2247" t="s">
        <v>68</v>
      </c>
      <c r="AV2247" t="s">
        <v>69</v>
      </c>
      <c r="AW2247" s="1">
        <v>26732</v>
      </c>
      <c r="AX2247">
        <v>2</v>
      </c>
    </row>
    <row r="2248" spans="1:50">
      <c r="A2248">
        <v>208718</v>
      </c>
      <c r="B2248" t="str">
        <f>"034512032"</f>
        <v>034512032</v>
      </c>
      <c r="C2248" t="s">
        <v>105</v>
      </c>
      <c r="D2248" t="s">
        <v>4624</v>
      </c>
      <c r="E2248" t="s">
        <v>154</v>
      </c>
      <c r="F2248" t="s">
        <v>450</v>
      </c>
      <c r="G2248" t="s">
        <v>1497</v>
      </c>
      <c r="H2248" t="str">
        <f>"ΣΩΚΡΑΤΟΥΣ 16 ΑΓΙΟΣ ΝΙΚΟΛΑΟΣ"</f>
        <v>ΣΩΚΡΑΤΟΥΣ 16 ΑΓΙΟΣ ΝΙΚΟΛΑΟΣ</v>
      </c>
      <c r="I2248">
        <v>72100</v>
      </c>
      <c r="J2248">
        <v>2841024799</v>
      </c>
      <c r="K2248">
        <v>6999924799</v>
      </c>
      <c r="M2248" t="s">
        <v>4625</v>
      </c>
      <c r="N2248" t="s">
        <v>299</v>
      </c>
      <c r="O2248" t="s">
        <v>300</v>
      </c>
      <c r="R2248" t="s">
        <v>57</v>
      </c>
      <c r="S2248">
        <v>12</v>
      </c>
      <c r="T2248">
        <v>218</v>
      </c>
      <c r="U2248" s="1">
        <v>38596</v>
      </c>
      <c r="V2248" t="s">
        <v>4509</v>
      </c>
      <c r="W2248" t="s">
        <v>4510</v>
      </c>
      <c r="X2248" t="s">
        <v>58</v>
      </c>
      <c r="Y2248">
        <v>20</v>
      </c>
      <c r="Z2248" t="s">
        <v>59</v>
      </c>
      <c r="AA2248" t="s">
        <v>59</v>
      </c>
      <c r="AB2248" t="s">
        <v>59</v>
      </c>
      <c r="AC2248" t="s">
        <v>59</v>
      </c>
      <c r="AD2248" t="s">
        <v>59</v>
      </c>
      <c r="AF2248" s="1">
        <v>38600</v>
      </c>
      <c r="AG2248" t="s">
        <v>345</v>
      </c>
      <c r="AH2248" t="s">
        <v>346</v>
      </c>
      <c r="AI2248" t="str">
        <f>"3241002"</f>
        <v>3241002</v>
      </c>
      <c r="AJ2248" t="s">
        <v>4626</v>
      </c>
      <c r="AK2248">
        <v>2841083053</v>
      </c>
      <c r="AL2248" t="s">
        <v>4627</v>
      </c>
      <c r="AM2248" t="s">
        <v>4513</v>
      </c>
      <c r="AN2248" t="s">
        <v>4514</v>
      </c>
      <c r="AO2248" t="s">
        <v>4514</v>
      </c>
      <c r="AP2248" t="s">
        <v>4514</v>
      </c>
      <c r="AQ2248">
        <v>1</v>
      </c>
      <c r="AR2248" t="s">
        <v>4509</v>
      </c>
      <c r="AS2248" t="s">
        <v>4510</v>
      </c>
      <c r="AT2248" t="s">
        <v>58</v>
      </c>
      <c r="AU2248" t="s">
        <v>68</v>
      </c>
      <c r="AV2248" t="s">
        <v>69</v>
      </c>
      <c r="AW2248" s="1">
        <v>22370</v>
      </c>
      <c r="AX2248">
        <v>2</v>
      </c>
    </row>
    <row r="2249" spans="1:50">
      <c r="A2249">
        <v>224833</v>
      </c>
      <c r="B2249" t="str">
        <f>"057480653"</f>
        <v>057480653</v>
      </c>
      <c r="C2249" t="s">
        <v>105</v>
      </c>
      <c r="D2249" t="s">
        <v>4628</v>
      </c>
      <c r="E2249" t="s">
        <v>670</v>
      </c>
      <c r="F2249" t="s">
        <v>414</v>
      </c>
      <c r="G2249" t="s">
        <v>4629</v>
      </c>
      <c r="H2249" t="str">
        <f>"ΝΕΑΠΟΛΗ ΛΑΣΙΘΙΟΥ "</f>
        <v xml:space="preserve">ΝΕΑΠΟΛΗ ΛΑΣΙΘΙΟΥ </v>
      </c>
      <c r="I2249">
        <v>72100</v>
      </c>
      <c r="J2249">
        <v>2841032464</v>
      </c>
      <c r="K2249">
        <v>6972501152</v>
      </c>
      <c r="M2249" t="s">
        <v>4630</v>
      </c>
      <c r="N2249" t="s">
        <v>176</v>
      </c>
      <c r="O2249" t="s">
        <v>177</v>
      </c>
      <c r="R2249" t="s">
        <v>57</v>
      </c>
      <c r="S2249">
        <v>5</v>
      </c>
      <c r="T2249">
        <v>775</v>
      </c>
      <c r="U2249" s="1">
        <v>39680</v>
      </c>
      <c r="V2249" t="s">
        <v>4509</v>
      </c>
      <c r="W2249" t="s">
        <v>4510</v>
      </c>
      <c r="X2249" t="s">
        <v>58</v>
      </c>
      <c r="Y2249">
        <v>21</v>
      </c>
      <c r="Z2249" t="s">
        <v>59</v>
      </c>
      <c r="AA2249" t="s">
        <v>59</v>
      </c>
      <c r="AB2249" t="s">
        <v>59</v>
      </c>
      <c r="AC2249" t="s">
        <v>59</v>
      </c>
      <c r="AD2249" t="s">
        <v>59</v>
      </c>
      <c r="AF2249" s="1">
        <v>39692</v>
      </c>
      <c r="AG2249" t="s">
        <v>137</v>
      </c>
      <c r="AH2249" t="s">
        <v>138</v>
      </c>
      <c r="AI2249" t="str">
        <f>"3240070"</f>
        <v>3240070</v>
      </c>
      <c r="AJ2249" t="s">
        <v>4582</v>
      </c>
      <c r="AK2249">
        <v>2841032545</v>
      </c>
      <c r="AL2249" t="s">
        <v>4583</v>
      </c>
      <c r="AM2249" t="s">
        <v>4513</v>
      </c>
      <c r="AN2249" t="s">
        <v>4514</v>
      </c>
      <c r="AO2249" t="s">
        <v>4524</v>
      </c>
      <c r="AP2249" t="s">
        <v>4525</v>
      </c>
      <c r="AQ2249">
        <v>3</v>
      </c>
      <c r="AR2249" t="s">
        <v>4509</v>
      </c>
      <c r="AS2249" t="s">
        <v>4510</v>
      </c>
      <c r="AT2249" t="s">
        <v>58</v>
      </c>
      <c r="AU2249" t="s">
        <v>68</v>
      </c>
      <c r="AV2249" t="s">
        <v>132</v>
      </c>
      <c r="AW2249" s="1">
        <v>24697</v>
      </c>
      <c r="AX2249">
        <v>2</v>
      </c>
    </row>
    <row r="2250" spans="1:50">
      <c r="A2250">
        <v>182733</v>
      </c>
      <c r="B2250" t="str">
        <f>"062157832"</f>
        <v>062157832</v>
      </c>
      <c r="C2250" t="s">
        <v>50</v>
      </c>
      <c r="D2250" t="s">
        <v>767</v>
      </c>
      <c r="E2250" t="s">
        <v>143</v>
      </c>
      <c r="F2250" t="s">
        <v>95</v>
      </c>
      <c r="G2250" t="s">
        <v>1361</v>
      </c>
      <c r="H2250" t="str">
        <f>"Εμμανουήλ Σταυρακάκη 79 Σητείας"</f>
        <v>Εμμανουήλ Σταυρακάκη 79 Σητείας</v>
      </c>
      <c r="I2250">
        <v>72300</v>
      </c>
      <c r="J2250">
        <v>2843026539</v>
      </c>
      <c r="K2250">
        <v>6937559447</v>
      </c>
      <c r="M2250" t="s">
        <v>4631</v>
      </c>
      <c r="N2250" t="s">
        <v>478</v>
      </c>
      <c r="O2250" t="s">
        <v>479</v>
      </c>
      <c r="R2250" t="s">
        <v>57</v>
      </c>
      <c r="S2250">
        <v>10</v>
      </c>
      <c r="T2250">
        <v>249</v>
      </c>
      <c r="U2250" s="1">
        <v>36160</v>
      </c>
      <c r="V2250" t="s">
        <v>4509</v>
      </c>
      <c r="W2250" t="s">
        <v>4510</v>
      </c>
      <c r="X2250" t="s">
        <v>58</v>
      </c>
      <c r="Y2250">
        <v>18</v>
      </c>
      <c r="Z2250" t="s">
        <v>59</v>
      </c>
      <c r="AA2250" t="s">
        <v>59</v>
      </c>
      <c r="AB2250" t="s">
        <v>59</v>
      </c>
      <c r="AC2250" t="s">
        <v>59</v>
      </c>
      <c r="AD2250" t="s">
        <v>59</v>
      </c>
      <c r="AF2250" s="1">
        <v>36160</v>
      </c>
      <c r="AG2250" t="s">
        <v>125</v>
      </c>
      <c r="AH2250" t="s">
        <v>126</v>
      </c>
      <c r="AI2250" t="str">
        <f>"3204020"</f>
        <v>3204020</v>
      </c>
      <c r="AJ2250" t="s">
        <v>4632</v>
      </c>
      <c r="AK2250">
        <v>2843023923</v>
      </c>
      <c r="AL2250" t="s">
        <v>4633</v>
      </c>
      <c r="AM2250" t="s">
        <v>4513</v>
      </c>
      <c r="AN2250" t="s">
        <v>4540</v>
      </c>
      <c r="AO2250" t="s">
        <v>4540</v>
      </c>
      <c r="AP2250" t="s">
        <v>4540</v>
      </c>
      <c r="AQ2250">
        <v>6</v>
      </c>
      <c r="AR2250" t="s">
        <v>4509</v>
      </c>
      <c r="AS2250" t="s">
        <v>4510</v>
      </c>
      <c r="AT2250" t="s">
        <v>58</v>
      </c>
      <c r="AU2250" t="s">
        <v>68</v>
      </c>
      <c r="AV2250" t="s">
        <v>69</v>
      </c>
      <c r="AW2250" s="1">
        <v>27044</v>
      </c>
      <c r="AX2250">
        <v>2</v>
      </c>
    </row>
    <row r="2251" spans="1:50">
      <c r="A2251">
        <v>162540</v>
      </c>
      <c r="B2251" t="str">
        <f>"026293734"</f>
        <v>026293734</v>
      </c>
      <c r="C2251" t="s">
        <v>105</v>
      </c>
      <c r="D2251" t="s">
        <v>4634</v>
      </c>
      <c r="E2251" t="s">
        <v>377</v>
      </c>
      <c r="F2251" t="s">
        <v>166</v>
      </c>
      <c r="G2251" t="s">
        <v>250</v>
      </c>
      <c r="H2251" t="str">
        <f>" "</f>
        <v xml:space="preserve"> </v>
      </c>
      <c r="M2251" t="s">
        <v>4635</v>
      </c>
      <c r="N2251" t="s">
        <v>292</v>
      </c>
      <c r="O2251" t="s">
        <v>293</v>
      </c>
      <c r="R2251" t="s">
        <v>57</v>
      </c>
      <c r="S2251">
        <v>14</v>
      </c>
      <c r="T2251">
        <v>132</v>
      </c>
      <c r="U2251" s="1">
        <v>33456</v>
      </c>
      <c r="V2251" t="s">
        <v>4509</v>
      </c>
      <c r="W2251" t="s">
        <v>4510</v>
      </c>
      <c r="X2251" t="s">
        <v>58</v>
      </c>
      <c r="Y2251">
        <v>18</v>
      </c>
      <c r="Z2251" t="s">
        <v>59</v>
      </c>
      <c r="AA2251" t="s">
        <v>59</v>
      </c>
      <c r="AB2251" t="s">
        <v>59</v>
      </c>
      <c r="AC2251" t="s">
        <v>59</v>
      </c>
      <c r="AD2251" t="s">
        <v>59</v>
      </c>
      <c r="AF2251" s="1">
        <v>33482</v>
      </c>
      <c r="AG2251" t="s">
        <v>125</v>
      </c>
      <c r="AH2251" t="s">
        <v>126</v>
      </c>
      <c r="AI2251" t="str">
        <f>"3202010"</f>
        <v>3202010</v>
      </c>
      <c r="AJ2251" t="s">
        <v>4517</v>
      </c>
      <c r="AK2251">
        <v>2842028229</v>
      </c>
      <c r="AL2251" t="s">
        <v>4518</v>
      </c>
      <c r="AM2251" t="s">
        <v>4513</v>
      </c>
      <c r="AN2251" t="s">
        <v>4519</v>
      </c>
      <c r="AO2251" t="s">
        <v>4519</v>
      </c>
      <c r="AP2251" t="s">
        <v>4519</v>
      </c>
      <c r="AQ2251">
        <v>4</v>
      </c>
      <c r="AR2251" t="s">
        <v>4509</v>
      </c>
      <c r="AS2251" t="s">
        <v>4510</v>
      </c>
      <c r="AT2251" t="s">
        <v>58</v>
      </c>
      <c r="AU2251" t="s">
        <v>68</v>
      </c>
      <c r="AV2251" t="s">
        <v>69</v>
      </c>
      <c r="AW2251" s="1">
        <v>21024</v>
      </c>
      <c r="AX2251">
        <v>2</v>
      </c>
    </row>
    <row r="2252" spans="1:50">
      <c r="A2252">
        <v>183268</v>
      </c>
      <c r="B2252" t="str">
        <f>"042936756"</f>
        <v>042936756</v>
      </c>
      <c r="C2252" t="s">
        <v>50</v>
      </c>
      <c r="D2252" t="s">
        <v>4636</v>
      </c>
      <c r="E2252" t="s">
        <v>143</v>
      </c>
      <c r="F2252" t="s">
        <v>900</v>
      </c>
      <c r="G2252" t="s">
        <v>513</v>
      </c>
      <c r="H2252" t="str">
        <f>" "</f>
        <v xml:space="preserve"> </v>
      </c>
      <c r="M2252" t="s">
        <v>4637</v>
      </c>
      <c r="N2252" t="s">
        <v>146</v>
      </c>
      <c r="O2252" t="s">
        <v>147</v>
      </c>
      <c r="R2252" t="s">
        <v>57</v>
      </c>
      <c r="S2252">
        <v>15</v>
      </c>
      <c r="T2252">
        <v>177</v>
      </c>
      <c r="U2252" s="1">
        <v>36403</v>
      </c>
      <c r="V2252" t="s">
        <v>4509</v>
      </c>
      <c r="W2252" t="s">
        <v>4510</v>
      </c>
      <c r="X2252" t="s">
        <v>58</v>
      </c>
      <c r="Y2252">
        <v>20</v>
      </c>
      <c r="Z2252" t="s">
        <v>59</v>
      </c>
      <c r="AA2252" t="s">
        <v>59</v>
      </c>
      <c r="AB2252" t="s">
        <v>59</v>
      </c>
      <c r="AC2252" t="s">
        <v>59</v>
      </c>
      <c r="AD2252" t="s">
        <v>59</v>
      </c>
      <c r="AF2252" s="1">
        <v>36404</v>
      </c>
      <c r="AG2252" t="s">
        <v>148</v>
      </c>
      <c r="AH2252" t="s">
        <v>149</v>
      </c>
      <c r="AI2252" t="str">
        <f>"3252020"</f>
        <v>3252020</v>
      </c>
      <c r="AJ2252" t="s">
        <v>4638</v>
      </c>
      <c r="AK2252">
        <v>2842022379</v>
      </c>
      <c r="AL2252" t="s">
        <v>4639</v>
      </c>
      <c r="AM2252" t="s">
        <v>4513</v>
      </c>
      <c r="AN2252" t="s">
        <v>4519</v>
      </c>
      <c r="AO2252" t="s">
        <v>4519</v>
      </c>
      <c r="AP2252" t="s">
        <v>4519</v>
      </c>
      <c r="AQ2252">
        <v>4</v>
      </c>
      <c r="AR2252" t="s">
        <v>4509</v>
      </c>
      <c r="AS2252" t="s">
        <v>4510</v>
      </c>
      <c r="AT2252" t="s">
        <v>58</v>
      </c>
      <c r="AU2252" t="s">
        <v>68</v>
      </c>
      <c r="AV2252" t="s">
        <v>69</v>
      </c>
      <c r="AW2252" s="1">
        <v>23972</v>
      </c>
      <c r="AX2252">
        <v>2</v>
      </c>
    </row>
    <row r="2253" spans="1:50">
      <c r="A2253">
        <v>229793</v>
      </c>
      <c r="B2253" t="str">
        <f>"070992444"</f>
        <v>070992444</v>
      </c>
      <c r="C2253" t="s">
        <v>105</v>
      </c>
      <c r="D2253" t="s">
        <v>808</v>
      </c>
      <c r="E2253" t="s">
        <v>95</v>
      </c>
      <c r="F2253" t="s">
        <v>84</v>
      </c>
      <c r="G2253" t="s">
        <v>3934</v>
      </c>
      <c r="H2253" t="str">
        <f>"ΠΑΜΦΙΛΟΥ 57 ΗΡΑΚΛΕΙΟ"</f>
        <v>ΠΑΜΦΙΛΟΥ 57 ΗΡΑΚΛΕΙΟ</v>
      </c>
      <c r="I2253">
        <v>71305</v>
      </c>
      <c r="J2253">
        <v>2810252456</v>
      </c>
      <c r="K2253">
        <v>6945302018</v>
      </c>
      <c r="M2253" t="s">
        <v>4640</v>
      </c>
      <c r="N2253" t="s">
        <v>168</v>
      </c>
      <c r="O2253" t="s">
        <v>169</v>
      </c>
      <c r="R2253" t="s">
        <v>57</v>
      </c>
      <c r="S2253">
        <v>7</v>
      </c>
      <c r="T2253">
        <v>41</v>
      </c>
      <c r="U2253" s="1">
        <v>40169</v>
      </c>
      <c r="V2253" t="s">
        <v>4509</v>
      </c>
      <c r="W2253" t="s">
        <v>4510</v>
      </c>
      <c r="X2253" t="s">
        <v>58</v>
      </c>
      <c r="Y2253">
        <v>21</v>
      </c>
      <c r="Z2253" t="s">
        <v>59</v>
      </c>
      <c r="AA2253" t="s">
        <v>59</v>
      </c>
      <c r="AB2253" t="s">
        <v>59</v>
      </c>
      <c r="AC2253" t="s">
        <v>59</v>
      </c>
      <c r="AD2253" t="s">
        <v>59</v>
      </c>
      <c r="AF2253" s="1">
        <v>40169</v>
      </c>
      <c r="AG2253" t="s">
        <v>137</v>
      </c>
      <c r="AH2253" t="s">
        <v>138</v>
      </c>
      <c r="AI2253" t="str">
        <f>"3240070"</f>
        <v>3240070</v>
      </c>
      <c r="AJ2253" t="s">
        <v>4582</v>
      </c>
      <c r="AK2253">
        <v>2841032545</v>
      </c>
      <c r="AL2253" t="s">
        <v>4583</v>
      </c>
      <c r="AM2253" t="s">
        <v>4513</v>
      </c>
      <c r="AN2253" t="s">
        <v>4514</v>
      </c>
      <c r="AO2253" t="s">
        <v>4524</v>
      </c>
      <c r="AP2253" t="s">
        <v>4525</v>
      </c>
      <c r="AQ2253">
        <v>3</v>
      </c>
      <c r="AR2253" t="s">
        <v>4509</v>
      </c>
      <c r="AS2253" t="s">
        <v>4510</v>
      </c>
      <c r="AT2253" t="s">
        <v>58</v>
      </c>
      <c r="AU2253" t="s">
        <v>68</v>
      </c>
      <c r="AV2253" t="s">
        <v>69</v>
      </c>
      <c r="AW2253" s="1">
        <v>29555</v>
      </c>
      <c r="AX2253">
        <v>2</v>
      </c>
    </row>
    <row r="2254" spans="1:50">
      <c r="A2254">
        <v>203875</v>
      </c>
      <c r="B2254" t="str">
        <f>"053705660"</f>
        <v>053705660</v>
      </c>
      <c r="C2254" t="s">
        <v>105</v>
      </c>
      <c r="D2254" t="s">
        <v>808</v>
      </c>
      <c r="E2254" t="s">
        <v>166</v>
      </c>
      <c r="F2254" t="s">
        <v>99</v>
      </c>
      <c r="G2254" t="s">
        <v>237</v>
      </c>
      <c r="H2254" t="str">
        <f>" "</f>
        <v xml:space="preserve"> </v>
      </c>
      <c r="J2254">
        <v>2842024650</v>
      </c>
      <c r="K2254">
        <v>6945170805</v>
      </c>
      <c r="M2254" t="s">
        <v>4641</v>
      </c>
      <c r="N2254" t="s">
        <v>176</v>
      </c>
      <c r="O2254" t="s">
        <v>177</v>
      </c>
      <c r="R2254" t="s">
        <v>57</v>
      </c>
      <c r="S2254">
        <v>9</v>
      </c>
      <c r="T2254">
        <v>231</v>
      </c>
      <c r="U2254" s="1">
        <v>38230</v>
      </c>
      <c r="V2254" t="s">
        <v>4509</v>
      </c>
      <c r="W2254" t="s">
        <v>4510</v>
      </c>
      <c r="X2254" t="s">
        <v>58</v>
      </c>
      <c r="Y2254">
        <v>20</v>
      </c>
      <c r="Z2254" t="s">
        <v>59</v>
      </c>
      <c r="AA2254" t="s">
        <v>59</v>
      </c>
      <c r="AB2254" t="s">
        <v>59</v>
      </c>
      <c r="AC2254" t="s">
        <v>59</v>
      </c>
      <c r="AD2254" t="s">
        <v>59</v>
      </c>
      <c r="AF2254" s="1">
        <v>38231</v>
      </c>
      <c r="AG2254" t="s">
        <v>125</v>
      </c>
      <c r="AH2254" t="s">
        <v>126</v>
      </c>
      <c r="AI2254" t="str">
        <f>"3202030"</f>
        <v>3202030</v>
      </c>
      <c r="AJ2254" t="s">
        <v>4558</v>
      </c>
      <c r="AK2254">
        <v>2842028751</v>
      </c>
      <c r="AL2254" t="s">
        <v>4559</v>
      </c>
      <c r="AM2254" t="s">
        <v>4513</v>
      </c>
      <c r="AN2254" t="s">
        <v>4519</v>
      </c>
      <c r="AO2254" t="s">
        <v>4519</v>
      </c>
      <c r="AP2254" t="s">
        <v>4519</v>
      </c>
      <c r="AQ2254">
        <v>4</v>
      </c>
      <c r="AR2254" t="s">
        <v>4509</v>
      </c>
      <c r="AS2254" t="s">
        <v>4510</v>
      </c>
      <c r="AT2254" t="s">
        <v>58</v>
      </c>
      <c r="AU2254" t="s">
        <v>68</v>
      </c>
      <c r="AV2254" t="s">
        <v>69</v>
      </c>
      <c r="AW2254" s="1">
        <v>24573</v>
      </c>
      <c r="AX2254">
        <v>2</v>
      </c>
    </row>
    <row r="2255" spans="1:50">
      <c r="A2255">
        <v>215320</v>
      </c>
      <c r="B2255" t="str">
        <f>"110711287"</f>
        <v>110711287</v>
      </c>
      <c r="C2255" t="s">
        <v>105</v>
      </c>
      <c r="D2255" t="s">
        <v>808</v>
      </c>
      <c r="E2255" t="s">
        <v>1414</v>
      </c>
      <c r="F2255" t="s">
        <v>154</v>
      </c>
      <c r="G2255" t="s">
        <v>506</v>
      </c>
      <c r="H2255" t="str">
        <f>"Αδριανού 1 Θέρισσος, Ηράκλειο"</f>
        <v>Αδριανού 1 Θέρισσος, Ηράκλειο</v>
      </c>
      <c r="I2255">
        <v>71305</v>
      </c>
      <c r="J2255">
        <v>2810372810</v>
      </c>
      <c r="K2255">
        <v>6973744171</v>
      </c>
      <c r="M2255" t="s">
        <v>4642</v>
      </c>
      <c r="N2255" t="s">
        <v>204</v>
      </c>
      <c r="O2255" t="s">
        <v>205</v>
      </c>
      <c r="R2255" t="s">
        <v>57</v>
      </c>
      <c r="S2255">
        <v>8</v>
      </c>
      <c r="T2255">
        <v>231</v>
      </c>
      <c r="U2255" s="1">
        <v>38960</v>
      </c>
      <c r="V2255" t="s">
        <v>4509</v>
      </c>
      <c r="W2255" t="s">
        <v>4510</v>
      </c>
      <c r="X2255" t="s">
        <v>58</v>
      </c>
      <c r="Y2255">
        <v>20</v>
      </c>
      <c r="Z2255" t="s">
        <v>59</v>
      </c>
      <c r="AA2255" t="s">
        <v>59</v>
      </c>
      <c r="AB2255" t="s">
        <v>59</v>
      </c>
      <c r="AC2255" t="s">
        <v>59</v>
      </c>
      <c r="AD2255" t="s">
        <v>59</v>
      </c>
      <c r="AF2255" s="1">
        <v>38961</v>
      </c>
      <c r="AG2255" t="s">
        <v>148</v>
      </c>
      <c r="AH2255" t="s">
        <v>149</v>
      </c>
      <c r="AI2255" t="str">
        <f>"3255010"</f>
        <v>3255010</v>
      </c>
      <c r="AJ2255" t="s">
        <v>4590</v>
      </c>
      <c r="AK2255">
        <v>2844022058</v>
      </c>
      <c r="AL2255" t="s">
        <v>4591</v>
      </c>
      <c r="AM2255" t="s">
        <v>4513</v>
      </c>
      <c r="AN2255" t="s">
        <v>4592</v>
      </c>
      <c r="AO2255" t="s">
        <v>4592</v>
      </c>
      <c r="AP2255" t="s">
        <v>4593</v>
      </c>
      <c r="AQ2255">
        <v>2</v>
      </c>
      <c r="AR2255" t="s">
        <v>4509</v>
      </c>
      <c r="AS2255" t="s">
        <v>4510</v>
      </c>
      <c r="AT2255" t="s">
        <v>58</v>
      </c>
      <c r="AU2255" t="s">
        <v>68</v>
      </c>
      <c r="AV2255" t="s">
        <v>132</v>
      </c>
      <c r="AW2255" s="1">
        <v>29921</v>
      </c>
      <c r="AX2255">
        <v>2</v>
      </c>
    </row>
    <row r="2256" spans="1:50">
      <c r="A2256">
        <v>172206</v>
      </c>
      <c r="B2256" t="str">
        <f>"041776076"</f>
        <v>041776076</v>
      </c>
      <c r="C2256" t="s">
        <v>105</v>
      </c>
      <c r="D2256" t="s">
        <v>4643</v>
      </c>
      <c r="E2256" t="s">
        <v>166</v>
      </c>
      <c r="F2256" t="s">
        <v>53</v>
      </c>
      <c r="G2256" t="s">
        <v>411</v>
      </c>
      <c r="H2256" t="str">
        <f>"ΜΠΟΝΤΑ ΣΗΤΕΙΑΣ ΣΗΤΕΙΑ"</f>
        <v>ΜΠΟΝΤΑ ΣΗΤΕΙΑΣ ΣΗΤΕΙΑ</v>
      </c>
      <c r="I2256">
        <v>72300</v>
      </c>
      <c r="J2256">
        <v>2843022083</v>
      </c>
      <c r="K2256">
        <v>6972885297</v>
      </c>
      <c r="M2256" t="s">
        <v>4644</v>
      </c>
      <c r="N2256" t="s">
        <v>168</v>
      </c>
      <c r="O2256" t="s">
        <v>169</v>
      </c>
      <c r="R2256" t="s">
        <v>57</v>
      </c>
      <c r="S2256">
        <v>12</v>
      </c>
      <c r="T2256">
        <v>184</v>
      </c>
      <c r="U2256" s="1">
        <v>34941</v>
      </c>
      <c r="V2256" t="s">
        <v>4509</v>
      </c>
      <c r="W2256" t="s">
        <v>4510</v>
      </c>
      <c r="X2256" t="s">
        <v>58</v>
      </c>
      <c r="Y2256">
        <v>18</v>
      </c>
      <c r="Z2256" t="s">
        <v>59</v>
      </c>
      <c r="AA2256" t="s">
        <v>59</v>
      </c>
      <c r="AB2256" t="s">
        <v>59</v>
      </c>
      <c r="AC2256" t="s">
        <v>59</v>
      </c>
      <c r="AD2256" t="s">
        <v>59</v>
      </c>
      <c r="AF2256" s="1">
        <v>34943</v>
      </c>
      <c r="AG2256" t="s">
        <v>137</v>
      </c>
      <c r="AH2256" t="s">
        <v>138</v>
      </c>
      <c r="AI2256" t="str">
        <f>"3240020"</f>
        <v>3240020</v>
      </c>
      <c r="AJ2256" t="s">
        <v>4568</v>
      </c>
      <c r="AK2256">
        <v>2843028570</v>
      </c>
      <c r="AL2256" t="s">
        <v>4569</v>
      </c>
      <c r="AM2256" t="s">
        <v>4513</v>
      </c>
      <c r="AN2256" t="s">
        <v>4540</v>
      </c>
      <c r="AO2256" t="s">
        <v>4540</v>
      </c>
      <c r="AP2256" t="s">
        <v>4540</v>
      </c>
      <c r="AQ2256">
        <v>6</v>
      </c>
      <c r="AR2256" t="s">
        <v>4509</v>
      </c>
      <c r="AS2256" t="s">
        <v>4510</v>
      </c>
      <c r="AT2256" t="s">
        <v>58</v>
      </c>
      <c r="AU2256" t="s">
        <v>68</v>
      </c>
      <c r="AV2256" t="s">
        <v>69</v>
      </c>
      <c r="AW2256" s="1">
        <v>21341</v>
      </c>
      <c r="AX2256">
        <v>2</v>
      </c>
    </row>
    <row r="2257" spans="1:50">
      <c r="A2257">
        <v>700981</v>
      </c>
      <c r="B2257" t="str">
        <f>"114270874"</f>
        <v>114270874</v>
      </c>
      <c r="C2257" t="s">
        <v>50</v>
      </c>
      <c r="D2257" t="s">
        <v>844</v>
      </c>
      <c r="E2257" t="s">
        <v>215</v>
      </c>
      <c r="F2257" t="s">
        <v>99</v>
      </c>
      <c r="G2257" t="s">
        <v>83</v>
      </c>
      <c r="H2257" t="str">
        <f>"ΣΟΡΒΟΛΟΥ 9 ΗΡΑΚΛΕΙΟ"</f>
        <v>ΣΟΡΒΟΛΟΥ 9 ΗΡΑΚΛΕΙΟ</v>
      </c>
      <c r="I2257">
        <v>71305</v>
      </c>
      <c r="J2257">
        <v>2810210109</v>
      </c>
      <c r="K2257">
        <v>6944153634</v>
      </c>
      <c r="M2257" t="s">
        <v>4645</v>
      </c>
      <c r="N2257" t="s">
        <v>146</v>
      </c>
      <c r="O2257" t="s">
        <v>147</v>
      </c>
      <c r="R2257" t="s">
        <v>57</v>
      </c>
      <c r="S2257">
        <v>6</v>
      </c>
      <c r="T2257">
        <v>630</v>
      </c>
      <c r="U2257" s="1">
        <v>40032</v>
      </c>
      <c r="V2257" t="s">
        <v>4509</v>
      </c>
      <c r="W2257" t="s">
        <v>4510</v>
      </c>
      <c r="X2257" t="s">
        <v>58</v>
      </c>
      <c r="Y2257">
        <v>21</v>
      </c>
      <c r="Z2257" t="s">
        <v>59</v>
      </c>
      <c r="AA2257" t="s">
        <v>59</v>
      </c>
      <c r="AB2257" t="s">
        <v>59</v>
      </c>
      <c r="AC2257" t="s">
        <v>59</v>
      </c>
      <c r="AD2257" t="s">
        <v>59</v>
      </c>
      <c r="AF2257" s="1">
        <v>40413</v>
      </c>
      <c r="AG2257" t="s">
        <v>148</v>
      </c>
      <c r="AH2257" t="s">
        <v>149</v>
      </c>
      <c r="AI2257" t="str">
        <f>"3251010"</f>
        <v>3251010</v>
      </c>
      <c r="AJ2257" t="s">
        <v>4646</v>
      </c>
      <c r="AK2257">
        <v>2841023649</v>
      </c>
      <c r="AL2257" t="s">
        <v>4647</v>
      </c>
      <c r="AM2257" t="s">
        <v>4513</v>
      </c>
      <c r="AN2257" t="s">
        <v>4514</v>
      </c>
      <c r="AO2257" t="s">
        <v>4514</v>
      </c>
      <c r="AP2257" t="s">
        <v>4514</v>
      </c>
      <c r="AQ2257">
        <v>1</v>
      </c>
      <c r="AR2257" t="s">
        <v>4509</v>
      </c>
      <c r="AS2257" t="s">
        <v>4510</v>
      </c>
      <c r="AT2257" t="s">
        <v>58</v>
      </c>
      <c r="AU2257" t="s">
        <v>68</v>
      </c>
      <c r="AV2257" t="s">
        <v>69</v>
      </c>
      <c r="AW2257" s="1">
        <v>29783</v>
      </c>
      <c r="AX2257">
        <v>2</v>
      </c>
    </row>
    <row r="2258" spans="1:50">
      <c r="A2258">
        <v>157305</v>
      </c>
      <c r="B2258" t="str">
        <f>"043362987"</f>
        <v>043362987</v>
      </c>
      <c r="C2258" t="s">
        <v>105</v>
      </c>
      <c r="D2258" t="s">
        <v>4648</v>
      </c>
      <c r="E2258" t="s">
        <v>53</v>
      </c>
      <c r="F2258" t="s">
        <v>106</v>
      </c>
      <c r="G2258" t="s">
        <v>2564</v>
      </c>
      <c r="H2258" t="str">
        <f>" "</f>
        <v xml:space="preserve"> </v>
      </c>
      <c r="M2258" t="s">
        <v>4649</v>
      </c>
      <c r="N2258" t="s">
        <v>683</v>
      </c>
      <c r="O2258" t="s">
        <v>684</v>
      </c>
      <c r="R2258" t="s">
        <v>57</v>
      </c>
      <c r="S2258">
        <v>14</v>
      </c>
      <c r="T2258">
        <v>188</v>
      </c>
      <c r="U2258" s="1">
        <v>32752</v>
      </c>
      <c r="V2258" t="s">
        <v>4509</v>
      </c>
      <c r="W2258" t="s">
        <v>4510</v>
      </c>
      <c r="X2258" t="s">
        <v>58</v>
      </c>
      <c r="Y2258">
        <v>18</v>
      </c>
      <c r="Z2258" t="s">
        <v>59</v>
      </c>
      <c r="AA2258" t="s">
        <v>59</v>
      </c>
      <c r="AB2258" t="s">
        <v>59</v>
      </c>
      <c r="AC2258" t="s">
        <v>59</v>
      </c>
      <c r="AD2258" t="s">
        <v>59</v>
      </c>
      <c r="AF2258" s="1">
        <v>32752</v>
      </c>
      <c r="AG2258" t="s">
        <v>125</v>
      </c>
      <c r="AH2258" t="s">
        <v>126</v>
      </c>
      <c r="AI2258" t="str">
        <f>"3202010"</f>
        <v>3202010</v>
      </c>
      <c r="AJ2258" t="s">
        <v>4517</v>
      </c>
      <c r="AK2258">
        <v>2842028229</v>
      </c>
      <c r="AL2258" t="s">
        <v>4518</v>
      </c>
      <c r="AM2258" t="s">
        <v>4513</v>
      </c>
      <c r="AN2258" t="s">
        <v>4519</v>
      </c>
      <c r="AO2258" t="s">
        <v>4519</v>
      </c>
      <c r="AP2258" t="s">
        <v>4519</v>
      </c>
      <c r="AQ2258">
        <v>4</v>
      </c>
      <c r="AR2258" t="s">
        <v>4509</v>
      </c>
      <c r="AS2258" t="s">
        <v>4510</v>
      </c>
      <c r="AT2258" t="s">
        <v>58</v>
      </c>
      <c r="AU2258" t="s">
        <v>68</v>
      </c>
      <c r="AV2258" t="s">
        <v>69</v>
      </c>
      <c r="AW2258" s="1">
        <v>22984</v>
      </c>
      <c r="AX2258">
        <v>2</v>
      </c>
    </row>
    <row r="2259" spans="1:50">
      <c r="A2259">
        <v>704361</v>
      </c>
      <c r="B2259" t="str">
        <f>"122625942"</f>
        <v>122625942</v>
      </c>
      <c r="C2259" t="s">
        <v>50</v>
      </c>
      <c r="D2259" t="s">
        <v>4650</v>
      </c>
      <c r="E2259" t="s">
        <v>255</v>
      </c>
      <c r="F2259" t="s">
        <v>4651</v>
      </c>
      <c r="G2259" t="s">
        <v>52</v>
      </c>
      <c r="H2259" t="str">
        <f>" "</f>
        <v xml:space="preserve"> </v>
      </c>
      <c r="N2259" t="s">
        <v>4652</v>
      </c>
      <c r="O2259" t="s">
        <v>4653</v>
      </c>
      <c r="R2259" t="s">
        <v>121</v>
      </c>
      <c r="S2259">
        <v>3</v>
      </c>
      <c r="T2259">
        <v>797</v>
      </c>
      <c r="U2259" s="1">
        <v>42968</v>
      </c>
      <c r="V2259" t="s">
        <v>4509</v>
      </c>
      <c r="W2259" t="s">
        <v>4510</v>
      </c>
      <c r="X2259" t="s">
        <v>58</v>
      </c>
      <c r="Y2259">
        <v>23</v>
      </c>
      <c r="Z2259" t="s">
        <v>59</v>
      </c>
      <c r="AA2259" t="s">
        <v>59</v>
      </c>
      <c r="AB2259" t="s">
        <v>59</v>
      </c>
      <c r="AD2259" t="s">
        <v>59</v>
      </c>
      <c r="AF2259" s="1">
        <v>42968</v>
      </c>
      <c r="AG2259" t="s">
        <v>148</v>
      </c>
      <c r="AH2259" t="s">
        <v>149</v>
      </c>
      <c r="AI2259" t="str">
        <f>"3251010"</f>
        <v>3251010</v>
      </c>
      <c r="AJ2259" t="s">
        <v>4646</v>
      </c>
      <c r="AK2259">
        <v>2841023649</v>
      </c>
      <c r="AL2259" t="s">
        <v>4647</v>
      </c>
      <c r="AM2259" t="s">
        <v>4513</v>
      </c>
      <c r="AN2259" t="s">
        <v>4514</v>
      </c>
      <c r="AO2259" t="s">
        <v>4514</v>
      </c>
      <c r="AP2259" t="s">
        <v>4514</v>
      </c>
      <c r="AQ2259">
        <v>1</v>
      </c>
      <c r="AR2259" t="s">
        <v>4509</v>
      </c>
      <c r="AS2259" t="s">
        <v>4510</v>
      </c>
      <c r="AT2259" t="s">
        <v>58</v>
      </c>
      <c r="AU2259" t="s">
        <v>68</v>
      </c>
      <c r="AV2259" t="s">
        <v>69</v>
      </c>
      <c r="AX2259">
        <v>2</v>
      </c>
    </row>
    <row r="2260" spans="1:50">
      <c r="A2260">
        <v>220263</v>
      </c>
      <c r="B2260" t="str">
        <f>"121165806"</f>
        <v>121165806</v>
      </c>
      <c r="C2260" t="s">
        <v>50</v>
      </c>
      <c r="D2260" t="s">
        <v>880</v>
      </c>
      <c r="E2260" t="s">
        <v>52</v>
      </c>
      <c r="F2260" t="s">
        <v>166</v>
      </c>
      <c r="G2260" t="s">
        <v>4654</v>
      </c>
      <c r="H2260" t="str">
        <f>" "</f>
        <v xml:space="preserve"> </v>
      </c>
      <c r="J2260">
        <v>2843029228</v>
      </c>
      <c r="K2260">
        <v>6979473174</v>
      </c>
      <c r="M2260" t="s">
        <v>4655</v>
      </c>
      <c r="N2260" t="s">
        <v>146</v>
      </c>
      <c r="O2260" t="s">
        <v>147</v>
      </c>
      <c r="R2260" t="s">
        <v>57</v>
      </c>
      <c r="S2260">
        <v>5</v>
      </c>
      <c r="T2260">
        <v>681</v>
      </c>
      <c r="U2260" s="1">
        <v>39325</v>
      </c>
      <c r="V2260" t="s">
        <v>4509</v>
      </c>
      <c r="W2260" t="s">
        <v>4510</v>
      </c>
      <c r="X2260" t="s">
        <v>58</v>
      </c>
      <c r="Y2260">
        <v>21</v>
      </c>
      <c r="Z2260" t="s">
        <v>59</v>
      </c>
      <c r="AA2260" t="s">
        <v>59</v>
      </c>
      <c r="AB2260" t="s">
        <v>59</v>
      </c>
      <c r="AC2260" t="s">
        <v>59</v>
      </c>
      <c r="AD2260" t="s">
        <v>59</v>
      </c>
      <c r="AF2260" s="1">
        <v>39326</v>
      </c>
      <c r="AG2260" t="s">
        <v>148</v>
      </c>
      <c r="AH2260" t="s">
        <v>149</v>
      </c>
      <c r="AI2260" t="str">
        <f>"3254010"</f>
        <v>3254010</v>
      </c>
      <c r="AJ2260" t="s">
        <v>4538</v>
      </c>
      <c r="AK2260">
        <v>2843022277</v>
      </c>
      <c r="AL2260" t="s">
        <v>4539</v>
      </c>
      <c r="AM2260" t="s">
        <v>4513</v>
      </c>
      <c r="AN2260" t="s">
        <v>4540</v>
      </c>
      <c r="AO2260" t="s">
        <v>4540</v>
      </c>
      <c r="AP2260" t="s">
        <v>4540</v>
      </c>
      <c r="AQ2260">
        <v>6</v>
      </c>
      <c r="AR2260" t="s">
        <v>4509</v>
      </c>
      <c r="AS2260" t="s">
        <v>4510</v>
      </c>
      <c r="AT2260" t="s">
        <v>58</v>
      </c>
      <c r="AU2260" t="s">
        <v>68</v>
      </c>
      <c r="AV2260" t="s">
        <v>69</v>
      </c>
      <c r="AW2260" s="1">
        <v>29502</v>
      </c>
      <c r="AX2260">
        <v>2</v>
      </c>
    </row>
    <row r="2261" spans="1:50">
      <c r="A2261">
        <v>221925</v>
      </c>
      <c r="B2261" t="str">
        <f>"061082555"</f>
        <v>061082555</v>
      </c>
      <c r="C2261" t="s">
        <v>50</v>
      </c>
      <c r="D2261" t="s">
        <v>4656</v>
      </c>
      <c r="E2261" t="s">
        <v>1458</v>
      </c>
      <c r="F2261" t="s">
        <v>99</v>
      </c>
      <c r="G2261" t="s">
        <v>507</v>
      </c>
      <c r="H2261" t="str">
        <f>" "</f>
        <v xml:space="preserve"> </v>
      </c>
      <c r="J2261">
        <v>2109645856</v>
      </c>
      <c r="K2261">
        <v>6973282454</v>
      </c>
      <c r="M2261" t="s">
        <v>4657</v>
      </c>
      <c r="N2261" t="s">
        <v>146</v>
      </c>
      <c r="O2261" t="s">
        <v>147</v>
      </c>
      <c r="R2261" t="s">
        <v>57</v>
      </c>
      <c r="S2261">
        <v>7</v>
      </c>
      <c r="T2261">
        <v>775</v>
      </c>
      <c r="U2261" s="1">
        <v>39680</v>
      </c>
      <c r="V2261" t="s">
        <v>4509</v>
      </c>
      <c r="W2261" t="s">
        <v>4510</v>
      </c>
      <c r="X2261" t="s">
        <v>58</v>
      </c>
      <c r="Y2261">
        <v>21</v>
      </c>
      <c r="Z2261" t="s">
        <v>59</v>
      </c>
      <c r="AA2261" t="s">
        <v>59</v>
      </c>
      <c r="AB2261" t="s">
        <v>59</v>
      </c>
      <c r="AC2261" t="s">
        <v>59</v>
      </c>
      <c r="AD2261" t="s">
        <v>452</v>
      </c>
      <c r="AE2261" s="1">
        <v>43708</v>
      </c>
      <c r="AF2261" s="1">
        <v>39692</v>
      </c>
      <c r="AG2261" t="s">
        <v>137</v>
      </c>
      <c r="AH2261" t="s">
        <v>138</v>
      </c>
      <c r="AI2261" t="str">
        <f>"3240120"</f>
        <v>3240120</v>
      </c>
      <c r="AJ2261" t="s">
        <v>4552</v>
      </c>
      <c r="AK2261">
        <v>2842028667</v>
      </c>
      <c r="AL2261" t="s">
        <v>4553</v>
      </c>
      <c r="AM2261" t="s">
        <v>4513</v>
      </c>
      <c r="AN2261" t="s">
        <v>4519</v>
      </c>
      <c r="AO2261" t="s">
        <v>4519</v>
      </c>
      <c r="AP2261" t="s">
        <v>4519</v>
      </c>
      <c r="AQ2261">
        <v>4</v>
      </c>
      <c r="AR2261" t="s">
        <v>4509</v>
      </c>
      <c r="AS2261" t="s">
        <v>4510</v>
      </c>
      <c r="AT2261" t="s">
        <v>58</v>
      </c>
      <c r="AU2261" t="s">
        <v>68</v>
      </c>
      <c r="AV2261" t="s">
        <v>69</v>
      </c>
      <c r="AW2261" s="1">
        <v>28010</v>
      </c>
      <c r="AX2261">
        <v>2</v>
      </c>
    </row>
    <row r="2262" spans="1:50">
      <c r="A2262">
        <v>162763</v>
      </c>
      <c r="B2262" t="str">
        <f>"052097386"</f>
        <v>052097386</v>
      </c>
      <c r="C2262" t="s">
        <v>105</v>
      </c>
      <c r="D2262" t="s">
        <v>4658</v>
      </c>
      <c r="E2262" t="s">
        <v>106</v>
      </c>
      <c r="F2262" t="s">
        <v>166</v>
      </c>
      <c r="G2262" t="s">
        <v>4659</v>
      </c>
      <c r="H2262" t="str">
        <f>"ΔΡΗΡΟΥ 32 ΝΕΑΠΟΛΗ"</f>
        <v>ΔΡΗΡΟΥ 32 ΝΕΑΠΟΛΗ</v>
      </c>
      <c r="I2262">
        <v>72400</v>
      </c>
      <c r="J2262">
        <v>2841033905</v>
      </c>
      <c r="K2262">
        <v>6949535264</v>
      </c>
      <c r="M2262" t="s">
        <v>4660</v>
      </c>
      <c r="N2262" t="s">
        <v>199</v>
      </c>
      <c r="O2262" t="s">
        <v>200</v>
      </c>
      <c r="R2262" t="s">
        <v>57</v>
      </c>
      <c r="S2262">
        <v>19</v>
      </c>
      <c r="T2262">
        <v>132</v>
      </c>
      <c r="U2262" s="1">
        <v>33456</v>
      </c>
      <c r="V2262" t="s">
        <v>4509</v>
      </c>
      <c r="W2262" t="s">
        <v>4510</v>
      </c>
      <c r="X2262" t="s">
        <v>58</v>
      </c>
      <c r="Y2262">
        <v>18</v>
      </c>
      <c r="Z2262" t="s">
        <v>59</v>
      </c>
      <c r="AA2262" t="s">
        <v>59</v>
      </c>
      <c r="AB2262" t="s">
        <v>59</v>
      </c>
      <c r="AC2262" t="s">
        <v>59</v>
      </c>
      <c r="AD2262" t="s">
        <v>59</v>
      </c>
      <c r="AF2262" s="1">
        <v>33485</v>
      </c>
      <c r="AG2262" t="s">
        <v>125</v>
      </c>
      <c r="AH2262" t="s">
        <v>126</v>
      </c>
      <c r="AI2262" t="str">
        <f>"3203010"</f>
        <v>3203010</v>
      </c>
      <c r="AJ2262" t="s">
        <v>4522</v>
      </c>
      <c r="AK2262">
        <v>2841034140</v>
      </c>
      <c r="AL2262" t="s">
        <v>4523</v>
      </c>
      <c r="AM2262" t="s">
        <v>4513</v>
      </c>
      <c r="AN2262" t="s">
        <v>4514</v>
      </c>
      <c r="AO2262" t="s">
        <v>4524</v>
      </c>
      <c r="AP2262" t="s">
        <v>4525</v>
      </c>
      <c r="AQ2262">
        <v>3</v>
      </c>
      <c r="AR2262" t="s">
        <v>4509</v>
      </c>
      <c r="AS2262" t="s">
        <v>4510</v>
      </c>
      <c r="AT2262" t="s">
        <v>58</v>
      </c>
      <c r="AU2262" t="s">
        <v>68</v>
      </c>
      <c r="AV2262" t="s">
        <v>69</v>
      </c>
      <c r="AW2262" s="1">
        <v>21418</v>
      </c>
      <c r="AX2262">
        <v>2</v>
      </c>
    </row>
    <row r="2263" spans="1:50">
      <c r="A2263">
        <v>219927</v>
      </c>
      <c r="B2263" t="str">
        <f>"054965350"</f>
        <v>054965350</v>
      </c>
      <c r="C2263" t="s">
        <v>50</v>
      </c>
      <c r="D2263" t="s">
        <v>898</v>
      </c>
      <c r="E2263" t="s">
        <v>52</v>
      </c>
      <c r="F2263" t="s">
        <v>99</v>
      </c>
      <c r="G2263" t="s">
        <v>1001</v>
      </c>
      <c r="H2263" t="str">
        <f>"ΠΑΡΘΕΝΙΟΥ ΚΕΛΑΪΔΗ 40 ΗΡΑΚΛΕΙΟ"</f>
        <v>ΠΑΡΘΕΝΙΟΥ ΚΕΛΑΪΔΗ 40 ΗΡΑΚΛΕΙΟ</v>
      </c>
      <c r="J2263">
        <v>2810321196</v>
      </c>
      <c r="K2263">
        <v>6973613203</v>
      </c>
      <c r="M2263" t="s">
        <v>4661</v>
      </c>
      <c r="N2263" t="s">
        <v>257</v>
      </c>
      <c r="O2263" t="s">
        <v>258</v>
      </c>
      <c r="R2263" t="s">
        <v>57</v>
      </c>
      <c r="S2263">
        <v>9</v>
      </c>
      <c r="T2263">
        <v>599</v>
      </c>
      <c r="U2263" s="1">
        <v>39310</v>
      </c>
      <c r="V2263" t="s">
        <v>4509</v>
      </c>
      <c r="W2263" t="s">
        <v>4510</v>
      </c>
      <c r="X2263" t="s">
        <v>58</v>
      </c>
      <c r="Y2263">
        <v>21</v>
      </c>
      <c r="Z2263" t="s">
        <v>59</v>
      </c>
      <c r="AA2263" t="s">
        <v>59</v>
      </c>
      <c r="AB2263" t="s">
        <v>59</v>
      </c>
      <c r="AC2263" t="s">
        <v>59</v>
      </c>
      <c r="AD2263" t="s">
        <v>59</v>
      </c>
      <c r="AF2263" s="1">
        <v>39328</v>
      </c>
      <c r="AG2263" t="s">
        <v>148</v>
      </c>
      <c r="AH2263" t="s">
        <v>149</v>
      </c>
      <c r="AI2263" t="str">
        <f>"3251010"</f>
        <v>3251010</v>
      </c>
      <c r="AJ2263" t="s">
        <v>4646</v>
      </c>
      <c r="AK2263">
        <v>2841023649</v>
      </c>
      <c r="AL2263" t="s">
        <v>4647</v>
      </c>
      <c r="AM2263" t="s">
        <v>4513</v>
      </c>
      <c r="AN2263" t="s">
        <v>4514</v>
      </c>
      <c r="AO2263" t="s">
        <v>4514</v>
      </c>
      <c r="AP2263" t="s">
        <v>4514</v>
      </c>
      <c r="AQ2263">
        <v>1</v>
      </c>
      <c r="AR2263" t="s">
        <v>4509</v>
      </c>
      <c r="AS2263" t="s">
        <v>4510</v>
      </c>
      <c r="AT2263" t="s">
        <v>58</v>
      </c>
      <c r="AU2263" t="s">
        <v>68</v>
      </c>
      <c r="AV2263" t="s">
        <v>357</v>
      </c>
      <c r="AW2263" s="1">
        <v>25656</v>
      </c>
      <c r="AX2263">
        <v>2</v>
      </c>
    </row>
    <row r="2264" spans="1:50">
      <c r="A2264">
        <v>159737</v>
      </c>
      <c r="B2264" t="str">
        <f>"110257455"</f>
        <v>110257455</v>
      </c>
      <c r="C2264" t="s">
        <v>50</v>
      </c>
      <c r="D2264" t="s">
        <v>899</v>
      </c>
      <c r="E2264" t="s">
        <v>1740</v>
      </c>
      <c r="F2264" t="s">
        <v>166</v>
      </c>
      <c r="G2264" t="s">
        <v>52</v>
      </c>
      <c r="H2264" t="str">
        <f>" "</f>
        <v xml:space="preserve"> </v>
      </c>
      <c r="K2264">
        <v>6984860976</v>
      </c>
      <c r="M2264" t="s">
        <v>4518</v>
      </c>
      <c r="N2264" t="s">
        <v>292</v>
      </c>
      <c r="O2264" t="s">
        <v>293</v>
      </c>
      <c r="R2264" t="s">
        <v>57</v>
      </c>
      <c r="S2264">
        <v>13</v>
      </c>
      <c r="T2264">
        <v>161</v>
      </c>
      <c r="U2264" s="1">
        <v>33119</v>
      </c>
      <c r="V2264" t="s">
        <v>4509</v>
      </c>
      <c r="W2264" t="s">
        <v>4510</v>
      </c>
      <c r="X2264" t="s">
        <v>58</v>
      </c>
      <c r="Y2264">
        <v>18</v>
      </c>
      <c r="Z2264" t="s">
        <v>59</v>
      </c>
      <c r="AA2264" t="s">
        <v>59</v>
      </c>
      <c r="AB2264" t="s">
        <v>59</v>
      </c>
      <c r="AC2264" t="s">
        <v>59</v>
      </c>
      <c r="AD2264" t="s">
        <v>59</v>
      </c>
      <c r="AF2264" s="1">
        <v>33119</v>
      </c>
      <c r="AG2264" t="s">
        <v>125</v>
      </c>
      <c r="AH2264" t="s">
        <v>126</v>
      </c>
      <c r="AI2264" t="str">
        <f>"3202010"</f>
        <v>3202010</v>
      </c>
      <c r="AJ2264" t="s">
        <v>4517</v>
      </c>
      <c r="AK2264">
        <v>2842028229</v>
      </c>
      <c r="AL2264" t="s">
        <v>4518</v>
      </c>
      <c r="AM2264" t="s">
        <v>4513</v>
      </c>
      <c r="AN2264" t="s">
        <v>4519</v>
      </c>
      <c r="AO2264" t="s">
        <v>4519</v>
      </c>
      <c r="AP2264" t="s">
        <v>4519</v>
      </c>
      <c r="AQ2264">
        <v>4</v>
      </c>
      <c r="AR2264" t="s">
        <v>4509</v>
      </c>
      <c r="AS2264" t="s">
        <v>4510</v>
      </c>
      <c r="AT2264" t="s">
        <v>58</v>
      </c>
      <c r="AU2264" t="s">
        <v>68</v>
      </c>
      <c r="AV2264" t="s">
        <v>69</v>
      </c>
      <c r="AW2264" s="1">
        <v>21387</v>
      </c>
      <c r="AX2264">
        <v>2</v>
      </c>
    </row>
    <row r="2265" spans="1:50">
      <c r="A2265">
        <v>207178</v>
      </c>
      <c r="B2265" t="str">
        <f>"079595873"</f>
        <v>079595873</v>
      </c>
      <c r="C2265" t="s">
        <v>50</v>
      </c>
      <c r="D2265" t="s">
        <v>4662</v>
      </c>
      <c r="E2265" t="s">
        <v>83</v>
      </c>
      <c r="F2265" t="s">
        <v>95</v>
      </c>
      <c r="G2265" t="s">
        <v>4663</v>
      </c>
      <c r="H2265" t="str">
        <f>"ΤΖΕΡΜΙΑΔΩΝ ΟΡΟΠΕΔΙΟ ΛΑΣΙΘΙΟΥ"</f>
        <v>ΤΖΕΡΜΙΑΔΩΝ ΟΡΟΠΕΔΙΟ ΛΑΣΙΘΙΟΥ</v>
      </c>
      <c r="I2265">
        <v>72052</v>
      </c>
      <c r="J2265">
        <v>2844022524</v>
      </c>
      <c r="K2265">
        <v>6982379202</v>
      </c>
      <c r="M2265" t="s">
        <v>4664</v>
      </c>
      <c r="N2265" t="s">
        <v>232</v>
      </c>
      <c r="O2265" t="s">
        <v>233</v>
      </c>
      <c r="R2265" t="s">
        <v>57</v>
      </c>
      <c r="S2265">
        <v>8</v>
      </c>
      <c r="T2265">
        <v>218</v>
      </c>
      <c r="U2265" s="1">
        <v>38596</v>
      </c>
      <c r="V2265" t="s">
        <v>4509</v>
      </c>
      <c r="W2265" t="s">
        <v>4510</v>
      </c>
      <c r="X2265" t="s">
        <v>58</v>
      </c>
      <c r="Y2265">
        <v>20</v>
      </c>
      <c r="Z2265" t="s">
        <v>59</v>
      </c>
      <c r="AA2265" t="s">
        <v>59</v>
      </c>
      <c r="AB2265" t="s">
        <v>59</v>
      </c>
      <c r="AC2265" t="s">
        <v>59</v>
      </c>
      <c r="AD2265" t="s">
        <v>59</v>
      </c>
      <c r="AF2265" s="1">
        <v>38596</v>
      </c>
      <c r="AG2265" t="s">
        <v>125</v>
      </c>
      <c r="AH2265" t="s">
        <v>126</v>
      </c>
      <c r="AI2265" t="str">
        <f>"3205010"</f>
        <v>3205010</v>
      </c>
      <c r="AJ2265" t="s">
        <v>4665</v>
      </c>
      <c r="AK2265">
        <v>2844022217</v>
      </c>
      <c r="AL2265" t="s">
        <v>4666</v>
      </c>
      <c r="AM2265" t="s">
        <v>4513</v>
      </c>
      <c r="AN2265" t="s">
        <v>4592</v>
      </c>
      <c r="AO2265" t="s">
        <v>4592</v>
      </c>
      <c r="AP2265" t="s">
        <v>4593</v>
      </c>
      <c r="AQ2265">
        <v>2</v>
      </c>
      <c r="AR2265" t="s">
        <v>4509</v>
      </c>
      <c r="AS2265" t="s">
        <v>4510</v>
      </c>
      <c r="AT2265" t="s">
        <v>58</v>
      </c>
      <c r="AU2265" t="s">
        <v>68</v>
      </c>
      <c r="AV2265" t="s">
        <v>69</v>
      </c>
      <c r="AW2265" s="1">
        <v>22897</v>
      </c>
      <c r="AX2265">
        <v>2</v>
      </c>
    </row>
    <row r="2266" spans="1:50">
      <c r="A2266">
        <v>139839</v>
      </c>
      <c r="B2266" t="str">
        <f>"110297188"</f>
        <v>110297188</v>
      </c>
      <c r="C2266" t="s">
        <v>50</v>
      </c>
      <c r="D2266" t="s">
        <v>4667</v>
      </c>
      <c r="E2266" t="s">
        <v>52</v>
      </c>
      <c r="F2266" t="s">
        <v>72</v>
      </c>
      <c r="G2266" t="s">
        <v>494</v>
      </c>
      <c r="H2266" t="str">
        <f>" "</f>
        <v xml:space="preserve"> </v>
      </c>
      <c r="N2266" t="s">
        <v>146</v>
      </c>
      <c r="O2266" t="s">
        <v>147</v>
      </c>
      <c r="R2266" t="s">
        <v>57</v>
      </c>
      <c r="S2266">
        <v>17</v>
      </c>
      <c r="T2266">
        <v>311</v>
      </c>
      <c r="U2266" s="1">
        <v>30253</v>
      </c>
      <c r="V2266" t="s">
        <v>4509</v>
      </c>
      <c r="W2266" t="s">
        <v>4510</v>
      </c>
      <c r="X2266" t="s">
        <v>58</v>
      </c>
      <c r="Y2266">
        <v>18</v>
      </c>
      <c r="Z2266" t="s">
        <v>59</v>
      </c>
      <c r="AA2266" t="s">
        <v>59</v>
      </c>
      <c r="AB2266" t="s">
        <v>59</v>
      </c>
      <c r="AC2266" t="s">
        <v>59</v>
      </c>
      <c r="AD2266" t="s">
        <v>59</v>
      </c>
      <c r="AF2266" s="1">
        <v>30253</v>
      </c>
      <c r="AG2266" t="s">
        <v>125</v>
      </c>
      <c r="AH2266" t="s">
        <v>126</v>
      </c>
      <c r="AI2266" t="str">
        <f>"3202030"</f>
        <v>3202030</v>
      </c>
      <c r="AJ2266" t="s">
        <v>4558</v>
      </c>
      <c r="AK2266">
        <v>2842028751</v>
      </c>
      <c r="AL2266" t="s">
        <v>4559</v>
      </c>
      <c r="AM2266" t="s">
        <v>4513</v>
      </c>
      <c r="AN2266" t="s">
        <v>4519</v>
      </c>
      <c r="AO2266" t="s">
        <v>4519</v>
      </c>
      <c r="AP2266" t="s">
        <v>4519</v>
      </c>
      <c r="AQ2266">
        <v>4</v>
      </c>
      <c r="AR2266" t="s">
        <v>4509</v>
      </c>
      <c r="AS2266" t="s">
        <v>4510</v>
      </c>
      <c r="AT2266" t="s">
        <v>58</v>
      </c>
      <c r="AU2266" t="s">
        <v>68</v>
      </c>
      <c r="AV2266" t="s">
        <v>69</v>
      </c>
      <c r="AW2266" s="1">
        <v>20184</v>
      </c>
      <c r="AX2266">
        <v>2</v>
      </c>
    </row>
    <row r="2267" spans="1:50">
      <c r="A2267">
        <v>620224</v>
      </c>
      <c r="B2267" t="str">
        <f>"124021828"</f>
        <v>124021828</v>
      </c>
      <c r="C2267" t="s">
        <v>50</v>
      </c>
      <c r="D2267" t="s">
        <v>4668</v>
      </c>
      <c r="E2267" t="s">
        <v>143</v>
      </c>
      <c r="F2267" t="s">
        <v>95</v>
      </c>
      <c r="G2267" t="s">
        <v>73</v>
      </c>
      <c r="H2267" t="str">
        <f>"ΚΑΛΛΙΘΕΑ ΚΑΛΛΙΘΕΑ"</f>
        <v>ΚΑΛΛΙΘΕΑ ΚΑΛΛΙΘΕΑ</v>
      </c>
      <c r="I2267">
        <v>72200</v>
      </c>
      <c r="J2267">
        <v>2842023392</v>
      </c>
      <c r="K2267">
        <v>6947896609</v>
      </c>
      <c r="L2267">
        <v>2842027849</v>
      </c>
      <c r="M2267" t="s">
        <v>4669</v>
      </c>
      <c r="N2267" t="s">
        <v>55</v>
      </c>
      <c r="O2267" t="s">
        <v>56</v>
      </c>
      <c r="R2267" t="s">
        <v>57</v>
      </c>
      <c r="S2267">
        <v>7</v>
      </c>
      <c r="T2267">
        <v>1141</v>
      </c>
      <c r="U2267" s="1">
        <v>39801</v>
      </c>
      <c r="V2267" t="s">
        <v>4509</v>
      </c>
      <c r="W2267" t="s">
        <v>4510</v>
      </c>
      <c r="X2267" t="s">
        <v>58</v>
      </c>
      <c r="Y2267">
        <v>23</v>
      </c>
      <c r="Z2267" t="s">
        <v>59</v>
      </c>
      <c r="AA2267" t="s">
        <v>59</v>
      </c>
      <c r="AB2267" t="s">
        <v>59</v>
      </c>
      <c r="AC2267" t="s">
        <v>59</v>
      </c>
      <c r="AD2267" t="s">
        <v>59</v>
      </c>
      <c r="AF2267" s="1">
        <v>39815</v>
      </c>
      <c r="AG2267" t="s">
        <v>345</v>
      </c>
      <c r="AH2267" t="s">
        <v>346</v>
      </c>
      <c r="AI2267" t="str">
        <f>"3241001"</f>
        <v>3241001</v>
      </c>
      <c r="AJ2267" t="s">
        <v>4613</v>
      </c>
      <c r="AK2267">
        <v>2842026374</v>
      </c>
      <c r="AL2267" t="s">
        <v>4614</v>
      </c>
      <c r="AM2267" t="s">
        <v>4513</v>
      </c>
      <c r="AN2267" t="s">
        <v>4519</v>
      </c>
      <c r="AO2267" t="s">
        <v>4519</v>
      </c>
      <c r="AP2267" t="s">
        <v>4519</v>
      </c>
      <c r="AQ2267">
        <v>4</v>
      </c>
      <c r="AR2267" t="s">
        <v>4509</v>
      </c>
      <c r="AS2267" t="s">
        <v>4510</v>
      </c>
      <c r="AT2267" t="s">
        <v>58</v>
      </c>
      <c r="AU2267" t="s">
        <v>68</v>
      </c>
      <c r="AV2267" t="s">
        <v>69</v>
      </c>
      <c r="AW2267" s="1">
        <v>27465</v>
      </c>
      <c r="AX2267">
        <v>2</v>
      </c>
    </row>
    <row r="2268" spans="1:50">
      <c r="A2268">
        <v>198127</v>
      </c>
      <c r="B2268" t="str">
        <f>"036016671"</f>
        <v>036016671</v>
      </c>
      <c r="C2268" t="s">
        <v>105</v>
      </c>
      <c r="D2268" t="s">
        <v>4670</v>
      </c>
      <c r="E2268" t="s">
        <v>95</v>
      </c>
      <c r="F2268" t="s">
        <v>99</v>
      </c>
      <c r="G2268" t="s">
        <v>4671</v>
      </c>
      <c r="H2268" t="str">
        <f>" "</f>
        <v xml:space="preserve"> </v>
      </c>
      <c r="J2268">
        <v>2842080521</v>
      </c>
      <c r="K2268">
        <v>6944266583</v>
      </c>
      <c r="M2268" t="s">
        <v>4672</v>
      </c>
      <c r="N2268" t="s">
        <v>199</v>
      </c>
      <c r="O2268" t="s">
        <v>200</v>
      </c>
      <c r="R2268" t="s">
        <v>57</v>
      </c>
      <c r="S2268">
        <v>7</v>
      </c>
      <c r="T2268">
        <v>206</v>
      </c>
      <c r="U2268" s="1">
        <v>37866</v>
      </c>
      <c r="V2268" t="s">
        <v>4509</v>
      </c>
      <c r="W2268" t="s">
        <v>4510</v>
      </c>
      <c r="X2268" t="s">
        <v>58</v>
      </c>
      <c r="Y2268">
        <v>20</v>
      </c>
      <c r="Z2268" t="s">
        <v>59</v>
      </c>
      <c r="AA2268" t="s">
        <v>59</v>
      </c>
      <c r="AB2268" t="s">
        <v>59</v>
      </c>
      <c r="AC2268" t="s">
        <v>59</v>
      </c>
      <c r="AD2268" t="s">
        <v>59</v>
      </c>
      <c r="AF2268" s="1">
        <v>37866</v>
      </c>
      <c r="AG2268" t="s">
        <v>148</v>
      </c>
      <c r="AH2268" t="s">
        <v>149</v>
      </c>
      <c r="AI2268" t="str">
        <f>"3252020"</f>
        <v>3252020</v>
      </c>
      <c r="AJ2268" t="s">
        <v>4638</v>
      </c>
      <c r="AK2268">
        <v>2842022379</v>
      </c>
      <c r="AL2268" t="s">
        <v>4639</v>
      </c>
      <c r="AM2268" t="s">
        <v>4513</v>
      </c>
      <c r="AN2268" t="s">
        <v>4519</v>
      </c>
      <c r="AO2268" t="s">
        <v>4519</v>
      </c>
      <c r="AP2268" t="s">
        <v>4519</v>
      </c>
      <c r="AQ2268">
        <v>4</v>
      </c>
      <c r="AR2268" t="s">
        <v>4509</v>
      </c>
      <c r="AS2268" t="s">
        <v>4510</v>
      </c>
      <c r="AT2268" t="s">
        <v>58</v>
      </c>
      <c r="AU2268" t="s">
        <v>68</v>
      </c>
      <c r="AV2268" t="s">
        <v>69</v>
      </c>
      <c r="AW2268" s="1">
        <v>23512</v>
      </c>
      <c r="AX2268">
        <v>2</v>
      </c>
    </row>
    <row r="2269" spans="1:50">
      <c r="A2269">
        <v>220667</v>
      </c>
      <c r="B2269" t="str">
        <f>"110252736"</f>
        <v>110252736</v>
      </c>
      <c r="C2269" t="s">
        <v>50</v>
      </c>
      <c r="D2269" t="s">
        <v>4673</v>
      </c>
      <c r="E2269" t="s">
        <v>1248</v>
      </c>
      <c r="F2269" t="s">
        <v>4071</v>
      </c>
      <c r="G2269" t="s">
        <v>1358</v>
      </c>
      <c r="H2269" t="str">
        <f>" "</f>
        <v xml:space="preserve"> </v>
      </c>
      <c r="J2269">
        <v>2842026782</v>
      </c>
      <c r="K2269">
        <v>6946515538</v>
      </c>
      <c r="M2269" t="s">
        <v>4674</v>
      </c>
      <c r="N2269" t="s">
        <v>288</v>
      </c>
      <c r="O2269" t="s">
        <v>289</v>
      </c>
      <c r="R2269" t="s">
        <v>57</v>
      </c>
      <c r="S2269">
        <v>7</v>
      </c>
      <c r="T2269">
        <v>681</v>
      </c>
      <c r="U2269" s="1">
        <v>39325</v>
      </c>
      <c r="V2269" t="s">
        <v>4509</v>
      </c>
      <c r="W2269" t="s">
        <v>4510</v>
      </c>
      <c r="X2269" t="s">
        <v>58</v>
      </c>
      <c r="Y2269">
        <v>21</v>
      </c>
      <c r="Z2269" t="s">
        <v>59</v>
      </c>
      <c r="AA2269" t="s">
        <v>59</v>
      </c>
      <c r="AB2269" t="s">
        <v>59</v>
      </c>
      <c r="AC2269" t="s">
        <v>59</v>
      </c>
      <c r="AD2269" t="s">
        <v>59</v>
      </c>
      <c r="AF2269" s="1">
        <v>39329</v>
      </c>
      <c r="AG2269" t="s">
        <v>125</v>
      </c>
      <c r="AH2269" t="s">
        <v>126</v>
      </c>
      <c r="AI2269" t="str">
        <f>"3202010"</f>
        <v>3202010</v>
      </c>
      <c r="AJ2269" t="s">
        <v>4517</v>
      </c>
      <c r="AK2269">
        <v>2842028229</v>
      </c>
      <c r="AL2269" t="s">
        <v>4518</v>
      </c>
      <c r="AM2269" t="s">
        <v>4513</v>
      </c>
      <c r="AN2269" t="s">
        <v>4519</v>
      </c>
      <c r="AO2269" t="s">
        <v>4519</v>
      </c>
      <c r="AP2269" t="s">
        <v>4519</v>
      </c>
      <c r="AQ2269">
        <v>4</v>
      </c>
      <c r="AR2269" t="s">
        <v>4509</v>
      </c>
      <c r="AS2269" t="s">
        <v>4510</v>
      </c>
      <c r="AT2269" t="s">
        <v>58</v>
      </c>
      <c r="AU2269" t="s">
        <v>68</v>
      </c>
      <c r="AV2269" t="s">
        <v>132</v>
      </c>
      <c r="AW2269" s="1">
        <v>26939</v>
      </c>
      <c r="AX2269">
        <v>2</v>
      </c>
    </row>
    <row r="2270" spans="1:50">
      <c r="A2270">
        <v>211345</v>
      </c>
      <c r="B2270" t="str">
        <f>"036176224"</f>
        <v>036176224</v>
      </c>
      <c r="C2270" t="s">
        <v>105</v>
      </c>
      <c r="D2270" t="s">
        <v>4675</v>
      </c>
      <c r="E2270" t="s">
        <v>521</v>
      </c>
      <c r="F2270" t="s">
        <v>95</v>
      </c>
      <c r="G2270" t="s">
        <v>3934</v>
      </c>
      <c r="H2270" t="str">
        <f>" "</f>
        <v xml:space="preserve"> </v>
      </c>
      <c r="J2270">
        <v>2842080148</v>
      </c>
      <c r="K2270">
        <v>6947378514</v>
      </c>
      <c r="N2270" t="s">
        <v>168</v>
      </c>
      <c r="O2270" t="s">
        <v>169</v>
      </c>
      <c r="R2270" t="s">
        <v>57</v>
      </c>
      <c r="S2270">
        <v>9</v>
      </c>
      <c r="T2270">
        <v>0</v>
      </c>
      <c r="U2270" s="1">
        <v>38596</v>
      </c>
      <c r="V2270" t="s">
        <v>4509</v>
      </c>
      <c r="W2270" t="s">
        <v>4510</v>
      </c>
      <c r="X2270" t="s">
        <v>58</v>
      </c>
      <c r="Y2270">
        <v>20</v>
      </c>
      <c r="Z2270" t="s">
        <v>59</v>
      </c>
      <c r="AA2270" t="s">
        <v>59</v>
      </c>
      <c r="AB2270" t="s">
        <v>59</v>
      </c>
      <c r="AC2270" t="s">
        <v>59</v>
      </c>
      <c r="AD2270" t="s">
        <v>59</v>
      </c>
      <c r="AF2270" s="1">
        <v>38673</v>
      </c>
      <c r="AG2270" t="s">
        <v>137</v>
      </c>
      <c r="AH2270" t="s">
        <v>138</v>
      </c>
      <c r="AI2270" t="str">
        <f>"3240120"</f>
        <v>3240120</v>
      </c>
      <c r="AJ2270" t="s">
        <v>4552</v>
      </c>
      <c r="AK2270">
        <v>2842028667</v>
      </c>
      <c r="AL2270" t="s">
        <v>4553</v>
      </c>
      <c r="AM2270" t="s">
        <v>4513</v>
      </c>
      <c r="AN2270" t="s">
        <v>4519</v>
      </c>
      <c r="AO2270" t="s">
        <v>4519</v>
      </c>
      <c r="AP2270" t="s">
        <v>4519</v>
      </c>
      <c r="AQ2270">
        <v>4</v>
      </c>
      <c r="AR2270" t="s">
        <v>4509</v>
      </c>
      <c r="AS2270" t="s">
        <v>4510</v>
      </c>
      <c r="AT2270" t="s">
        <v>58</v>
      </c>
      <c r="AU2270" t="s">
        <v>68</v>
      </c>
      <c r="AV2270" t="s">
        <v>69</v>
      </c>
      <c r="AW2270" s="1">
        <v>24513</v>
      </c>
      <c r="AX2270">
        <v>2</v>
      </c>
    </row>
    <row r="2271" spans="1:50">
      <c r="A2271">
        <v>227553</v>
      </c>
      <c r="B2271" t="str">
        <f>"038472579"</f>
        <v>038472579</v>
      </c>
      <c r="C2271" t="s">
        <v>50</v>
      </c>
      <c r="D2271" t="s">
        <v>4676</v>
      </c>
      <c r="E2271" t="s">
        <v>221</v>
      </c>
      <c r="F2271" t="s">
        <v>72</v>
      </c>
      <c r="G2271" t="s">
        <v>96</v>
      </c>
      <c r="H2271" t="str">
        <f>" "</f>
        <v xml:space="preserve"> </v>
      </c>
      <c r="K2271">
        <v>6937424183</v>
      </c>
      <c r="M2271" t="s">
        <v>4677</v>
      </c>
      <c r="N2271" t="s">
        <v>478</v>
      </c>
      <c r="O2271" t="s">
        <v>479</v>
      </c>
      <c r="R2271" t="s">
        <v>57</v>
      </c>
      <c r="S2271">
        <v>10</v>
      </c>
      <c r="T2271">
        <v>654</v>
      </c>
      <c r="U2271" s="1">
        <v>40043</v>
      </c>
      <c r="V2271" t="s">
        <v>4509</v>
      </c>
      <c r="W2271" t="s">
        <v>4510</v>
      </c>
      <c r="X2271" t="s">
        <v>58</v>
      </c>
      <c r="Y2271">
        <v>21</v>
      </c>
      <c r="Z2271" t="s">
        <v>59</v>
      </c>
      <c r="AA2271" t="s">
        <v>59</v>
      </c>
      <c r="AB2271" t="s">
        <v>59</v>
      </c>
      <c r="AC2271" t="s">
        <v>59</v>
      </c>
      <c r="AD2271" t="s">
        <v>59</v>
      </c>
      <c r="AF2271" s="1">
        <v>40057</v>
      </c>
      <c r="AG2271" t="s">
        <v>125</v>
      </c>
      <c r="AH2271" t="s">
        <v>126</v>
      </c>
      <c r="AI2271" t="str">
        <f>"3201010"</f>
        <v>3201010</v>
      </c>
      <c r="AJ2271" t="s">
        <v>4596</v>
      </c>
      <c r="AK2271">
        <v>2841022301</v>
      </c>
      <c r="AL2271" t="s">
        <v>4597</v>
      </c>
      <c r="AM2271" t="s">
        <v>4513</v>
      </c>
      <c r="AN2271" t="s">
        <v>4514</v>
      </c>
      <c r="AO2271" t="s">
        <v>4514</v>
      </c>
      <c r="AP2271" t="s">
        <v>4514</v>
      </c>
      <c r="AQ2271">
        <v>1</v>
      </c>
      <c r="AR2271" t="s">
        <v>4509</v>
      </c>
      <c r="AS2271" t="s">
        <v>4510</v>
      </c>
      <c r="AT2271" t="s">
        <v>58</v>
      </c>
      <c r="AU2271" t="s">
        <v>68</v>
      </c>
      <c r="AV2271" t="s">
        <v>69</v>
      </c>
      <c r="AW2271" s="1">
        <v>26322</v>
      </c>
      <c r="AX2271">
        <v>2</v>
      </c>
    </row>
    <row r="2272" spans="1:50">
      <c r="B2272" t="str">
        <f>"103170022"</f>
        <v>103170022</v>
      </c>
      <c r="C2272" t="s">
        <v>50</v>
      </c>
      <c r="D2272" t="s">
        <v>963</v>
      </c>
      <c r="E2272" t="s">
        <v>143</v>
      </c>
      <c r="F2272" t="s">
        <v>3049</v>
      </c>
      <c r="H2272" t="str">
        <f>"ΟΛΥΜΠΙΟΥ ΔΙΟΣ 11 ΣΥΡΟΣ"</f>
        <v>ΟΛΥΜΠΙΟΥ ΔΙΟΣ 11 ΣΥΡΟΣ</v>
      </c>
      <c r="I2272">
        <v>84100</v>
      </c>
      <c r="J2272">
        <v>2281076449</v>
      </c>
      <c r="K2272">
        <v>6946466778</v>
      </c>
      <c r="N2272" t="s">
        <v>733</v>
      </c>
      <c r="O2272" t="s">
        <v>734</v>
      </c>
      <c r="R2272" t="s">
        <v>121</v>
      </c>
      <c r="S2272">
        <v>1</v>
      </c>
      <c r="T2272" t="s">
        <v>416</v>
      </c>
      <c r="U2272" s="1">
        <v>43349</v>
      </c>
      <c r="V2272" t="s">
        <v>4509</v>
      </c>
      <c r="W2272" t="s">
        <v>4510</v>
      </c>
      <c r="X2272" t="s">
        <v>58</v>
      </c>
      <c r="Y2272">
        <v>23</v>
      </c>
      <c r="Z2272" t="s">
        <v>59</v>
      </c>
      <c r="AA2272" t="s">
        <v>59</v>
      </c>
      <c r="AB2272" t="s">
        <v>59</v>
      </c>
      <c r="AC2272" t="s">
        <v>59</v>
      </c>
      <c r="AD2272" t="s">
        <v>59</v>
      </c>
      <c r="AF2272" s="1">
        <v>43349</v>
      </c>
      <c r="AG2272" t="s">
        <v>137</v>
      </c>
      <c r="AH2272" t="s">
        <v>138</v>
      </c>
      <c r="AI2272" t="str">
        <f>"3240077"</f>
        <v>3240077</v>
      </c>
      <c r="AJ2272" t="s">
        <v>4528</v>
      </c>
      <c r="AK2272">
        <v>2841025978</v>
      </c>
      <c r="AL2272" t="s">
        <v>4529</v>
      </c>
      <c r="AM2272" t="s">
        <v>4513</v>
      </c>
      <c r="AN2272" t="s">
        <v>4514</v>
      </c>
      <c r="AO2272" t="s">
        <v>4514</v>
      </c>
      <c r="AP2272" t="s">
        <v>4514</v>
      </c>
      <c r="AQ2272">
        <v>1</v>
      </c>
      <c r="AR2272" t="s">
        <v>4509</v>
      </c>
      <c r="AS2272" t="s">
        <v>4510</v>
      </c>
      <c r="AT2272" t="s">
        <v>58</v>
      </c>
      <c r="AU2272" t="s">
        <v>419</v>
      </c>
      <c r="AV2272" t="s">
        <v>132</v>
      </c>
      <c r="AW2272" s="1">
        <v>28633</v>
      </c>
      <c r="AX2272">
        <v>2</v>
      </c>
    </row>
    <row r="2273" spans="1:50">
      <c r="A2273">
        <v>216015</v>
      </c>
      <c r="B2273" t="str">
        <f>"101560620"</f>
        <v>101560620</v>
      </c>
      <c r="C2273" t="s">
        <v>105</v>
      </c>
      <c r="D2273" t="s">
        <v>4678</v>
      </c>
      <c r="E2273" t="s">
        <v>1357</v>
      </c>
      <c r="F2273" t="s">
        <v>95</v>
      </c>
      <c r="G2273" t="s">
        <v>860</v>
      </c>
      <c r="H2273" t="str">
        <f>"Κ  ΣΑΜΙΩΤΑΚΗ 4 ΑΙ. ΓΙΑΝΝΗΣ"</f>
        <v>Κ  ΣΑΜΙΩΤΑΚΗ 4 ΑΙ. ΓΙΑΝΝΗΣ</v>
      </c>
      <c r="I2273">
        <v>73133</v>
      </c>
      <c r="J2273">
        <v>2821058012</v>
      </c>
      <c r="K2273">
        <v>6977755353</v>
      </c>
      <c r="N2273" t="s">
        <v>204</v>
      </c>
      <c r="O2273" t="s">
        <v>205</v>
      </c>
      <c r="R2273" t="s">
        <v>57</v>
      </c>
      <c r="S2273">
        <v>5</v>
      </c>
      <c r="T2273">
        <v>232</v>
      </c>
      <c r="U2273" s="1">
        <v>38960</v>
      </c>
      <c r="V2273" t="s">
        <v>4509</v>
      </c>
      <c r="W2273" t="s">
        <v>4510</v>
      </c>
      <c r="X2273" t="s">
        <v>58</v>
      </c>
      <c r="Y2273">
        <v>21</v>
      </c>
      <c r="Z2273" t="s">
        <v>59</v>
      </c>
      <c r="AA2273" t="s">
        <v>59</v>
      </c>
      <c r="AB2273" t="s">
        <v>59</v>
      </c>
      <c r="AC2273" t="s">
        <v>59</v>
      </c>
      <c r="AD2273" t="s">
        <v>59</v>
      </c>
      <c r="AF2273" s="1">
        <v>38967</v>
      </c>
      <c r="AG2273" t="s">
        <v>125</v>
      </c>
      <c r="AH2273" t="s">
        <v>126</v>
      </c>
      <c r="AI2273" t="str">
        <f>"3206010"</f>
        <v>3206010</v>
      </c>
      <c r="AJ2273" t="s">
        <v>4545</v>
      </c>
      <c r="AK2273">
        <v>2843031222</v>
      </c>
      <c r="AL2273" t="s">
        <v>4546</v>
      </c>
      <c r="AM2273" t="s">
        <v>4513</v>
      </c>
      <c r="AN2273" t="s">
        <v>4540</v>
      </c>
      <c r="AO2273" t="s">
        <v>4547</v>
      </c>
      <c r="AP2273" t="s">
        <v>4548</v>
      </c>
      <c r="AQ2273">
        <v>6</v>
      </c>
      <c r="AR2273" t="s">
        <v>4509</v>
      </c>
      <c r="AS2273" t="s">
        <v>4510</v>
      </c>
      <c r="AT2273" t="s">
        <v>58</v>
      </c>
      <c r="AU2273" t="s">
        <v>68</v>
      </c>
      <c r="AV2273" t="s">
        <v>132</v>
      </c>
      <c r="AW2273" s="1">
        <v>28888</v>
      </c>
      <c r="AX2273">
        <v>2</v>
      </c>
    </row>
    <row r="2274" spans="1:50">
      <c r="B2274" t="str">
        <f>"068059966"</f>
        <v>068059966</v>
      </c>
      <c r="C2274" t="s">
        <v>50</v>
      </c>
      <c r="D2274" t="s">
        <v>4679</v>
      </c>
      <c r="E2274" t="s">
        <v>4680</v>
      </c>
      <c r="F2274" t="s">
        <v>609</v>
      </c>
      <c r="G2274" t="s">
        <v>83</v>
      </c>
      <c r="H2274" t="str">
        <f>"ΔΡΑΓΜΟΥ 3 "</f>
        <v xml:space="preserve">ΔΡΑΓΜΟΥ 3 </v>
      </c>
      <c r="I2274">
        <v>71409</v>
      </c>
      <c r="J2274">
        <v>2891022404</v>
      </c>
      <c r="K2274">
        <v>6932703613</v>
      </c>
      <c r="M2274" t="s">
        <v>4681</v>
      </c>
      <c r="N2274" t="s">
        <v>1647</v>
      </c>
      <c r="O2274" t="s">
        <v>1648</v>
      </c>
      <c r="R2274" t="s">
        <v>159</v>
      </c>
      <c r="S2274">
        <v>4</v>
      </c>
      <c r="T2274" t="s">
        <v>416</v>
      </c>
      <c r="U2274" s="1">
        <v>43349</v>
      </c>
      <c r="V2274" t="s">
        <v>4509</v>
      </c>
      <c r="W2274" t="s">
        <v>4510</v>
      </c>
      <c r="X2274" t="s">
        <v>58</v>
      </c>
      <c r="Y2274">
        <v>23</v>
      </c>
      <c r="Z2274" t="s">
        <v>59</v>
      </c>
      <c r="AA2274" t="s">
        <v>59</v>
      </c>
      <c r="AB2274" t="s">
        <v>59</v>
      </c>
      <c r="AC2274" t="s">
        <v>59</v>
      </c>
      <c r="AD2274" t="s">
        <v>59</v>
      </c>
      <c r="AF2274" s="1">
        <v>43349</v>
      </c>
      <c r="AG2274" t="s">
        <v>125</v>
      </c>
      <c r="AH2274" t="s">
        <v>126</v>
      </c>
      <c r="AI2274" t="str">
        <f>"3201025"</f>
        <v>3201025</v>
      </c>
      <c r="AJ2274" t="s">
        <v>4682</v>
      </c>
      <c r="AK2274">
        <v>2841021388</v>
      </c>
      <c r="AL2274" t="s">
        <v>4683</v>
      </c>
      <c r="AM2274" t="s">
        <v>4513</v>
      </c>
      <c r="AN2274" t="s">
        <v>4514</v>
      </c>
      <c r="AO2274" t="s">
        <v>4514</v>
      </c>
      <c r="AP2274" t="s">
        <v>4514</v>
      </c>
      <c r="AQ2274">
        <v>1</v>
      </c>
      <c r="AR2274" t="s">
        <v>4509</v>
      </c>
      <c r="AS2274" t="s">
        <v>4510</v>
      </c>
      <c r="AT2274" t="s">
        <v>58</v>
      </c>
      <c r="AU2274" t="s">
        <v>419</v>
      </c>
      <c r="AV2274" t="s">
        <v>132</v>
      </c>
      <c r="AW2274" s="1">
        <v>28226</v>
      </c>
      <c r="AX2274">
        <v>2</v>
      </c>
    </row>
    <row r="2275" spans="1:50">
      <c r="A2275">
        <v>211881</v>
      </c>
      <c r="B2275" t="str">
        <f>"301952880"</f>
        <v>301952880</v>
      </c>
      <c r="C2275" t="s">
        <v>50</v>
      </c>
      <c r="D2275" t="s">
        <v>974</v>
      </c>
      <c r="E2275" t="s">
        <v>237</v>
      </c>
      <c r="F2275" t="s">
        <v>53</v>
      </c>
      <c r="G2275" t="s">
        <v>4684</v>
      </c>
      <c r="H2275" t="str">
        <f>"ΠΑΡΟΔΟΣ ΔΡΗΡΟΥ ΝΕΑΠΟΛΗ"</f>
        <v>ΠΑΡΟΔΟΣ ΔΡΗΡΟΥ ΝΕΑΠΟΛΗ</v>
      </c>
      <c r="I2275">
        <v>72400</v>
      </c>
      <c r="J2275">
        <v>2821058798</v>
      </c>
      <c r="K2275">
        <v>6945495554</v>
      </c>
      <c r="M2275" t="s">
        <v>4685</v>
      </c>
      <c r="N2275" t="s">
        <v>146</v>
      </c>
      <c r="O2275" t="s">
        <v>147</v>
      </c>
      <c r="R2275" t="s">
        <v>57</v>
      </c>
      <c r="S2275">
        <v>6</v>
      </c>
      <c r="T2275">
        <v>231</v>
      </c>
      <c r="U2275" s="1">
        <v>38960</v>
      </c>
      <c r="V2275" t="s">
        <v>4509</v>
      </c>
      <c r="W2275" t="s">
        <v>4510</v>
      </c>
      <c r="X2275" t="s">
        <v>58</v>
      </c>
      <c r="Y2275">
        <v>20</v>
      </c>
      <c r="Z2275" t="s">
        <v>59</v>
      </c>
      <c r="AA2275" t="s">
        <v>59</v>
      </c>
      <c r="AB2275" t="s">
        <v>59</v>
      </c>
      <c r="AC2275" t="s">
        <v>59</v>
      </c>
      <c r="AD2275" t="s">
        <v>59</v>
      </c>
      <c r="AF2275" s="1">
        <v>38961</v>
      </c>
      <c r="AG2275" t="s">
        <v>125</v>
      </c>
      <c r="AH2275" t="s">
        <v>126</v>
      </c>
      <c r="AI2275" t="str">
        <f>"3203010"</f>
        <v>3203010</v>
      </c>
      <c r="AJ2275" t="s">
        <v>4522</v>
      </c>
      <c r="AK2275">
        <v>2841034140</v>
      </c>
      <c r="AL2275" t="s">
        <v>4523</v>
      </c>
      <c r="AM2275" t="s">
        <v>4513</v>
      </c>
      <c r="AN2275" t="s">
        <v>4514</v>
      </c>
      <c r="AO2275" t="s">
        <v>4524</v>
      </c>
      <c r="AP2275" t="s">
        <v>4525</v>
      </c>
      <c r="AQ2275">
        <v>3</v>
      </c>
      <c r="AR2275" t="s">
        <v>4509</v>
      </c>
      <c r="AS2275" t="s">
        <v>4510</v>
      </c>
      <c r="AT2275" t="s">
        <v>58</v>
      </c>
      <c r="AU2275" t="s">
        <v>68</v>
      </c>
      <c r="AV2275" t="s">
        <v>69</v>
      </c>
      <c r="AW2275" s="1">
        <v>27896</v>
      </c>
      <c r="AX2275">
        <v>2</v>
      </c>
    </row>
    <row r="2276" spans="1:50">
      <c r="A2276">
        <v>152802</v>
      </c>
      <c r="B2276" t="str">
        <f>"110287134"</f>
        <v>110287134</v>
      </c>
      <c r="C2276" t="s">
        <v>50</v>
      </c>
      <c r="D2276" t="s">
        <v>4686</v>
      </c>
      <c r="E2276" t="s">
        <v>83</v>
      </c>
      <c r="F2276" t="s">
        <v>72</v>
      </c>
      <c r="G2276" t="s">
        <v>2127</v>
      </c>
      <c r="H2276" t="str">
        <f>"ΜΙΧ.ΚΟΘΡΗ 39 ΙΕΡΑΠΕΤΡΑ"</f>
        <v>ΜΙΧ.ΚΟΘΡΗ 39 ΙΕΡΑΠΕΤΡΑ</v>
      </c>
      <c r="I2276">
        <v>72200</v>
      </c>
      <c r="J2276">
        <v>2842023609</v>
      </c>
      <c r="K2276">
        <v>6937408047</v>
      </c>
      <c r="M2276" t="s">
        <v>4687</v>
      </c>
      <c r="N2276" t="s">
        <v>146</v>
      </c>
      <c r="O2276" t="s">
        <v>147</v>
      </c>
      <c r="R2276" t="s">
        <v>57</v>
      </c>
      <c r="S2276">
        <v>16</v>
      </c>
      <c r="T2276">
        <v>166</v>
      </c>
      <c r="U2276" s="1">
        <v>32010</v>
      </c>
      <c r="V2276" t="s">
        <v>4509</v>
      </c>
      <c r="W2276" t="s">
        <v>4510</v>
      </c>
      <c r="X2276" t="s">
        <v>58</v>
      </c>
      <c r="Y2276">
        <v>18</v>
      </c>
      <c r="Z2276" t="s">
        <v>59</v>
      </c>
      <c r="AA2276" t="s">
        <v>59</v>
      </c>
      <c r="AB2276" t="s">
        <v>59</v>
      </c>
      <c r="AC2276" t="s">
        <v>59</v>
      </c>
      <c r="AD2276" t="s">
        <v>59</v>
      </c>
      <c r="AF2276" s="1">
        <v>32021</v>
      </c>
      <c r="AG2276" t="s">
        <v>148</v>
      </c>
      <c r="AH2276" t="s">
        <v>149</v>
      </c>
      <c r="AI2276" t="str">
        <f>"3252010"</f>
        <v>3252010</v>
      </c>
      <c r="AJ2276" t="s">
        <v>4532</v>
      </c>
      <c r="AK2276">
        <v>2842022356</v>
      </c>
      <c r="AL2276" t="s">
        <v>4533</v>
      </c>
      <c r="AM2276" t="s">
        <v>4513</v>
      </c>
      <c r="AN2276" t="s">
        <v>4519</v>
      </c>
      <c r="AO2276" t="s">
        <v>4519</v>
      </c>
      <c r="AP2276" t="s">
        <v>4519</v>
      </c>
      <c r="AQ2276">
        <v>4</v>
      </c>
      <c r="AR2276" t="s">
        <v>4509</v>
      </c>
      <c r="AS2276" t="s">
        <v>4510</v>
      </c>
      <c r="AT2276" t="s">
        <v>58</v>
      </c>
      <c r="AU2276" t="s">
        <v>68</v>
      </c>
      <c r="AV2276" t="s">
        <v>69</v>
      </c>
      <c r="AW2276" s="1">
        <v>22468</v>
      </c>
      <c r="AX2276">
        <v>2</v>
      </c>
    </row>
    <row r="2277" spans="1:50">
      <c r="A2277">
        <v>195581</v>
      </c>
      <c r="B2277" t="str">
        <f>"074773830"</f>
        <v>074773830</v>
      </c>
      <c r="C2277" t="s">
        <v>105</v>
      </c>
      <c r="D2277" t="s">
        <v>1005</v>
      </c>
      <c r="E2277" t="s">
        <v>304</v>
      </c>
      <c r="F2277" t="s">
        <v>53</v>
      </c>
      <c r="G2277" t="s">
        <v>494</v>
      </c>
      <c r="H2277" t="str">
        <f>"ΞΕΡΟΚΑΜΑΡΕΣ ΣΗΤΕΙΑΣ ΣΗΤΕΙΑ"</f>
        <v>ΞΕΡΟΚΑΜΑΡΕΣ ΣΗΤΕΙΑΣ ΣΗΤΕΙΑ</v>
      </c>
      <c r="I2277">
        <v>72300</v>
      </c>
      <c r="J2277">
        <v>2843028176</v>
      </c>
      <c r="K2277">
        <v>6972304642</v>
      </c>
      <c r="M2277" t="s">
        <v>4688</v>
      </c>
      <c r="N2277" t="s">
        <v>232</v>
      </c>
      <c r="O2277" t="s">
        <v>233</v>
      </c>
      <c r="R2277" t="s">
        <v>57</v>
      </c>
      <c r="S2277">
        <v>8</v>
      </c>
      <c r="T2277">
        <v>194</v>
      </c>
      <c r="U2277" s="1">
        <v>37497</v>
      </c>
      <c r="V2277" t="s">
        <v>4509</v>
      </c>
      <c r="W2277" t="s">
        <v>4510</v>
      </c>
      <c r="X2277" t="s">
        <v>58</v>
      </c>
      <c r="Y2277">
        <v>20</v>
      </c>
      <c r="Z2277" t="s">
        <v>59</v>
      </c>
      <c r="AA2277" t="s">
        <v>59</v>
      </c>
      <c r="AB2277" t="s">
        <v>59</v>
      </c>
      <c r="AC2277" t="s">
        <v>59</v>
      </c>
      <c r="AD2277" t="s">
        <v>59</v>
      </c>
      <c r="AF2277" s="1">
        <v>37500</v>
      </c>
      <c r="AG2277" t="s">
        <v>137</v>
      </c>
      <c r="AH2277" t="s">
        <v>138</v>
      </c>
      <c r="AI2277" t="str">
        <f>"3240020"</f>
        <v>3240020</v>
      </c>
      <c r="AJ2277" t="s">
        <v>4568</v>
      </c>
      <c r="AK2277">
        <v>2843028570</v>
      </c>
      <c r="AL2277" t="s">
        <v>4569</v>
      </c>
      <c r="AM2277" t="s">
        <v>4513</v>
      </c>
      <c r="AN2277" t="s">
        <v>4540</v>
      </c>
      <c r="AO2277" t="s">
        <v>4540</v>
      </c>
      <c r="AP2277" t="s">
        <v>4540</v>
      </c>
      <c r="AQ2277">
        <v>6</v>
      </c>
      <c r="AR2277" t="s">
        <v>4509</v>
      </c>
      <c r="AS2277" t="s">
        <v>4510</v>
      </c>
      <c r="AT2277" t="s">
        <v>58</v>
      </c>
      <c r="AU2277" t="s">
        <v>68</v>
      </c>
      <c r="AV2277" t="s">
        <v>69</v>
      </c>
      <c r="AW2277" s="1">
        <v>26270</v>
      </c>
      <c r="AX2277">
        <v>2</v>
      </c>
    </row>
    <row r="2278" spans="1:50">
      <c r="A2278">
        <v>221733</v>
      </c>
      <c r="B2278" t="str">
        <f>"120875726"</f>
        <v>120875726</v>
      </c>
      <c r="C2278" t="s">
        <v>50</v>
      </c>
      <c r="D2278" t="s">
        <v>4689</v>
      </c>
      <c r="E2278" t="s">
        <v>714</v>
      </c>
      <c r="F2278" t="s">
        <v>154</v>
      </c>
      <c r="G2278" t="s">
        <v>396</v>
      </c>
      <c r="H2278" t="str">
        <f>"ΠΑΤΡΟΚΛΟΥ 106 ΙΛΙΟΝ"</f>
        <v>ΠΑΤΡΟΚΛΟΥ 106 ΙΛΙΟΝ</v>
      </c>
      <c r="I2278">
        <v>13122</v>
      </c>
      <c r="J2278">
        <v>2102625395</v>
      </c>
      <c r="K2278">
        <v>6979697501</v>
      </c>
      <c r="M2278" t="s">
        <v>4690</v>
      </c>
      <c r="N2278" t="s">
        <v>157</v>
      </c>
      <c r="O2278" t="s">
        <v>158</v>
      </c>
      <c r="R2278" t="s">
        <v>57</v>
      </c>
      <c r="S2278">
        <v>5</v>
      </c>
      <c r="T2278">
        <v>775</v>
      </c>
      <c r="U2278" s="1">
        <v>39680</v>
      </c>
      <c r="V2278" t="s">
        <v>4509</v>
      </c>
      <c r="W2278" t="s">
        <v>4510</v>
      </c>
      <c r="X2278" t="s">
        <v>58</v>
      </c>
      <c r="Y2278">
        <v>21</v>
      </c>
      <c r="Z2278" t="s">
        <v>59</v>
      </c>
      <c r="AA2278" t="s">
        <v>59</v>
      </c>
      <c r="AB2278" t="s">
        <v>59</v>
      </c>
      <c r="AC2278" t="s">
        <v>59</v>
      </c>
      <c r="AD2278" t="s">
        <v>59</v>
      </c>
      <c r="AF2278" s="1">
        <v>39685</v>
      </c>
      <c r="AG2278" t="s">
        <v>125</v>
      </c>
      <c r="AH2278" t="s">
        <v>126</v>
      </c>
      <c r="AI2278" t="str">
        <f>"3202020"</f>
        <v>3202020</v>
      </c>
      <c r="AJ2278" t="s">
        <v>4576</v>
      </c>
      <c r="AK2278">
        <v>2842022289</v>
      </c>
      <c r="AL2278" t="s">
        <v>4577</v>
      </c>
      <c r="AM2278" t="s">
        <v>4513</v>
      </c>
      <c r="AN2278" t="s">
        <v>4519</v>
      </c>
      <c r="AO2278" t="s">
        <v>4519</v>
      </c>
      <c r="AP2278" t="s">
        <v>4519</v>
      </c>
      <c r="AQ2278">
        <v>4</v>
      </c>
      <c r="AR2278" t="s">
        <v>4509</v>
      </c>
      <c r="AS2278" t="s">
        <v>4510</v>
      </c>
      <c r="AT2278" t="s">
        <v>58</v>
      </c>
      <c r="AU2278" t="s">
        <v>68</v>
      </c>
      <c r="AV2278" t="s">
        <v>69</v>
      </c>
      <c r="AW2278" s="1">
        <v>26871</v>
      </c>
      <c r="AX2278">
        <v>2</v>
      </c>
    </row>
    <row r="2279" spans="1:50">
      <c r="A2279">
        <v>225862</v>
      </c>
      <c r="B2279" t="str">
        <f>"049642253"</f>
        <v>049642253</v>
      </c>
      <c r="C2279" t="s">
        <v>50</v>
      </c>
      <c r="D2279" t="s">
        <v>4691</v>
      </c>
      <c r="E2279" t="s">
        <v>237</v>
      </c>
      <c r="F2279" t="s">
        <v>1316</v>
      </c>
      <c r="G2279" t="s">
        <v>507</v>
      </c>
      <c r="H2279" t="str">
        <f>"ΛΟΥΡΟΣ ΠΡΕΒΕΖΑ"</f>
        <v>ΛΟΥΡΟΣ ΠΡΕΒΕΖΑ</v>
      </c>
      <c r="I2279">
        <v>48061</v>
      </c>
      <c r="J2279">
        <v>2651029562</v>
      </c>
      <c r="K2279">
        <v>6948188020</v>
      </c>
      <c r="L2279">
        <v>2682031579</v>
      </c>
      <c r="M2279" t="s">
        <v>4692</v>
      </c>
      <c r="N2279" t="s">
        <v>176</v>
      </c>
      <c r="O2279" t="s">
        <v>177</v>
      </c>
      <c r="R2279" t="s">
        <v>57</v>
      </c>
      <c r="S2279">
        <v>5</v>
      </c>
      <c r="T2279">
        <v>862</v>
      </c>
      <c r="U2279" s="1">
        <v>39706</v>
      </c>
      <c r="V2279" t="s">
        <v>4509</v>
      </c>
      <c r="W2279" t="s">
        <v>4510</v>
      </c>
      <c r="X2279" t="s">
        <v>58</v>
      </c>
      <c r="Y2279">
        <v>21</v>
      </c>
      <c r="Z2279" t="s">
        <v>59</v>
      </c>
      <c r="AA2279" t="s">
        <v>59</v>
      </c>
      <c r="AB2279" t="s">
        <v>59</v>
      </c>
      <c r="AC2279" t="s">
        <v>59</v>
      </c>
      <c r="AD2279" t="s">
        <v>59</v>
      </c>
      <c r="AF2279" s="1">
        <v>39708</v>
      </c>
      <c r="AG2279" t="s">
        <v>345</v>
      </c>
      <c r="AH2279" t="s">
        <v>346</v>
      </c>
      <c r="AI2279" t="str">
        <f>"3241001"</f>
        <v>3241001</v>
      </c>
      <c r="AJ2279" t="s">
        <v>4613</v>
      </c>
      <c r="AK2279">
        <v>2842026374</v>
      </c>
      <c r="AL2279" t="s">
        <v>4614</v>
      </c>
      <c r="AM2279" t="s">
        <v>4513</v>
      </c>
      <c r="AN2279" t="s">
        <v>4519</v>
      </c>
      <c r="AO2279" t="s">
        <v>4519</v>
      </c>
      <c r="AP2279" t="s">
        <v>4519</v>
      </c>
      <c r="AQ2279">
        <v>4</v>
      </c>
      <c r="AR2279" t="s">
        <v>4509</v>
      </c>
      <c r="AS2279" t="s">
        <v>4510</v>
      </c>
      <c r="AT2279" t="s">
        <v>58</v>
      </c>
      <c r="AU2279" t="s">
        <v>68</v>
      </c>
      <c r="AV2279" t="s">
        <v>132</v>
      </c>
      <c r="AW2279" s="1">
        <v>26634</v>
      </c>
      <c r="AX2279">
        <v>2</v>
      </c>
    </row>
    <row r="2280" spans="1:50">
      <c r="B2280" t="str">
        <f>"065313863"</f>
        <v>065313863</v>
      </c>
      <c r="C2280" t="s">
        <v>50</v>
      </c>
      <c r="D2280" t="s">
        <v>4693</v>
      </c>
      <c r="E2280" t="s">
        <v>237</v>
      </c>
      <c r="F2280" t="s">
        <v>4694</v>
      </c>
      <c r="G2280" t="s">
        <v>4695</v>
      </c>
      <c r="H2280" t="str">
        <f>"ΒΥΡΩΝΟΣ 6 ΔΡΑΜΑ"</f>
        <v>ΒΥΡΩΝΟΣ 6 ΔΡΑΜΑ</v>
      </c>
      <c r="I2280">
        <v>66100</v>
      </c>
      <c r="J2280">
        <v>2521024090</v>
      </c>
      <c r="K2280">
        <v>6977474229</v>
      </c>
      <c r="N2280" t="s">
        <v>146</v>
      </c>
      <c r="O2280" t="s">
        <v>147</v>
      </c>
      <c r="R2280" t="s">
        <v>159</v>
      </c>
      <c r="S2280">
        <v>3</v>
      </c>
      <c r="T2280" t="s">
        <v>160</v>
      </c>
      <c r="U2280" s="1">
        <v>43364</v>
      </c>
      <c r="V2280" t="s">
        <v>4509</v>
      </c>
      <c r="W2280" t="s">
        <v>4510</v>
      </c>
      <c r="X2280" t="s">
        <v>58</v>
      </c>
      <c r="Y2280">
        <v>23</v>
      </c>
      <c r="Z2280" t="s">
        <v>59</v>
      </c>
      <c r="AA2280" t="s">
        <v>59</v>
      </c>
      <c r="AB2280" t="s">
        <v>59</v>
      </c>
      <c r="AC2280" t="s">
        <v>59</v>
      </c>
      <c r="AD2280" t="s">
        <v>59</v>
      </c>
      <c r="AF2280" s="1">
        <v>43367</v>
      </c>
      <c r="AG2280" t="s">
        <v>148</v>
      </c>
      <c r="AH2280" t="s">
        <v>149</v>
      </c>
      <c r="AI2280" t="str">
        <f>"3254010"</f>
        <v>3254010</v>
      </c>
      <c r="AJ2280" t="s">
        <v>4538</v>
      </c>
      <c r="AK2280">
        <v>2843022277</v>
      </c>
      <c r="AL2280" t="s">
        <v>4539</v>
      </c>
      <c r="AM2280" t="s">
        <v>4513</v>
      </c>
      <c r="AN2280" t="s">
        <v>4540</v>
      </c>
      <c r="AO2280" t="s">
        <v>4540</v>
      </c>
      <c r="AP2280" t="s">
        <v>4540</v>
      </c>
      <c r="AQ2280">
        <v>6</v>
      </c>
      <c r="AR2280" t="s">
        <v>4509</v>
      </c>
      <c r="AS2280" t="s">
        <v>4510</v>
      </c>
      <c r="AT2280" t="s">
        <v>58</v>
      </c>
      <c r="AU2280" t="s">
        <v>164</v>
      </c>
      <c r="AV2280" t="s">
        <v>132</v>
      </c>
      <c r="AW2280" s="1">
        <v>26309</v>
      </c>
      <c r="AX2280">
        <v>2</v>
      </c>
    </row>
    <row r="2281" spans="1:50">
      <c r="A2281">
        <v>701199</v>
      </c>
      <c r="B2281" t="str">
        <f>"077471499"</f>
        <v>077471499</v>
      </c>
      <c r="C2281" t="s">
        <v>50</v>
      </c>
      <c r="D2281" t="s">
        <v>4696</v>
      </c>
      <c r="E2281" t="s">
        <v>52</v>
      </c>
      <c r="F2281" t="s">
        <v>408</v>
      </c>
      <c r="G2281" t="s">
        <v>1189</v>
      </c>
      <c r="H2281" t="str">
        <f>"ΜΕΛΙΣΣΟΥ 14 ΑΤΤΙΚΗ"</f>
        <v>ΜΕΛΙΣΣΟΥ 14 ΑΤΤΙΚΗ</v>
      </c>
      <c r="I2281">
        <v>11635</v>
      </c>
      <c r="J2281">
        <v>2107014715</v>
      </c>
      <c r="K2281">
        <v>6976805862</v>
      </c>
      <c r="M2281" t="s">
        <v>4697</v>
      </c>
      <c r="N2281" t="s">
        <v>478</v>
      </c>
      <c r="O2281" t="s">
        <v>479</v>
      </c>
      <c r="R2281" t="s">
        <v>57</v>
      </c>
      <c r="S2281">
        <v>6</v>
      </c>
      <c r="T2281">
        <v>772</v>
      </c>
      <c r="U2281" s="1">
        <v>40413</v>
      </c>
      <c r="V2281" t="s">
        <v>4509</v>
      </c>
      <c r="W2281" t="s">
        <v>4510</v>
      </c>
      <c r="X2281" t="s">
        <v>58</v>
      </c>
      <c r="Y2281">
        <v>21</v>
      </c>
      <c r="Z2281" t="s">
        <v>59</v>
      </c>
      <c r="AA2281" t="s">
        <v>59</v>
      </c>
      <c r="AB2281" t="s">
        <v>59</v>
      </c>
      <c r="AC2281" t="s">
        <v>59</v>
      </c>
      <c r="AD2281" t="s">
        <v>59</v>
      </c>
      <c r="AF2281" s="1">
        <v>40422</v>
      </c>
      <c r="AG2281" t="s">
        <v>125</v>
      </c>
      <c r="AH2281" t="s">
        <v>126</v>
      </c>
      <c r="AI2281" t="str">
        <f>"3209010"</f>
        <v>3209010</v>
      </c>
      <c r="AJ2281" t="s">
        <v>4698</v>
      </c>
      <c r="AK2281">
        <v>2843061207</v>
      </c>
      <c r="AL2281" t="s">
        <v>4699</v>
      </c>
      <c r="AM2281" t="s">
        <v>4513</v>
      </c>
      <c r="AN2281" t="s">
        <v>4540</v>
      </c>
      <c r="AO2281" t="s">
        <v>4700</v>
      </c>
      <c r="AP2281" t="s">
        <v>4701</v>
      </c>
      <c r="AQ2281">
        <v>6</v>
      </c>
      <c r="AR2281" t="s">
        <v>4509</v>
      </c>
      <c r="AS2281" t="s">
        <v>4510</v>
      </c>
      <c r="AT2281" t="s">
        <v>58</v>
      </c>
      <c r="AU2281" t="s">
        <v>68</v>
      </c>
      <c r="AV2281" t="s">
        <v>132</v>
      </c>
      <c r="AW2281" s="1">
        <v>26845</v>
      </c>
      <c r="AX2281">
        <v>2</v>
      </c>
    </row>
    <row r="2282" spans="1:50">
      <c r="A2282">
        <v>220279</v>
      </c>
      <c r="B2282" t="str">
        <f>"064772535"</f>
        <v>064772535</v>
      </c>
      <c r="C2282" t="s">
        <v>50</v>
      </c>
      <c r="D2282" t="s">
        <v>3857</v>
      </c>
      <c r="E2282" t="s">
        <v>73</v>
      </c>
      <c r="F2282" t="s">
        <v>84</v>
      </c>
      <c r="G2282" t="s">
        <v>372</v>
      </c>
      <c r="H2282" t="str">
        <f>"Λ. ΒΥΡΩΝΟΣ 16-18 ΒΟΛΟΣ"</f>
        <v>Λ. ΒΥΡΩΝΟΣ 16-18 ΒΟΛΟΣ</v>
      </c>
      <c r="I2282">
        <v>38333</v>
      </c>
      <c r="J2282">
        <v>2421047733</v>
      </c>
      <c r="K2282">
        <v>6943596527</v>
      </c>
      <c r="L2282">
        <v>6974899835</v>
      </c>
      <c r="M2282" t="s">
        <v>4702</v>
      </c>
      <c r="N2282" t="s">
        <v>146</v>
      </c>
      <c r="O2282" t="s">
        <v>147</v>
      </c>
      <c r="R2282" t="s">
        <v>57</v>
      </c>
      <c r="S2282">
        <v>5</v>
      </c>
      <c r="T2282">
        <v>681</v>
      </c>
      <c r="U2282" s="1">
        <v>39325</v>
      </c>
      <c r="V2282" t="s">
        <v>4509</v>
      </c>
      <c r="W2282" t="s">
        <v>4510</v>
      </c>
      <c r="X2282" t="s">
        <v>58</v>
      </c>
      <c r="Y2282">
        <v>21</v>
      </c>
      <c r="Z2282" t="s">
        <v>59</v>
      </c>
      <c r="AA2282" t="s">
        <v>59</v>
      </c>
      <c r="AB2282" t="s">
        <v>59</v>
      </c>
      <c r="AC2282" t="s">
        <v>59</v>
      </c>
      <c r="AD2282" t="s">
        <v>59</v>
      </c>
      <c r="AF2282" s="1">
        <v>39331</v>
      </c>
      <c r="AG2282" t="s">
        <v>148</v>
      </c>
      <c r="AH2282" t="s">
        <v>1053</v>
      </c>
      <c r="AI2282" t="str">
        <f>"3245001"</f>
        <v>3245001</v>
      </c>
      <c r="AJ2282" t="s">
        <v>4703</v>
      </c>
      <c r="AK2282">
        <v>2843026660</v>
      </c>
      <c r="AL2282" t="s">
        <v>4704</v>
      </c>
      <c r="AM2282" t="s">
        <v>4513</v>
      </c>
      <c r="AN2282" t="s">
        <v>4540</v>
      </c>
      <c r="AO2282" t="s">
        <v>4540</v>
      </c>
      <c r="AP2282" t="s">
        <v>4540</v>
      </c>
      <c r="AQ2282">
        <v>6</v>
      </c>
      <c r="AR2282" t="s">
        <v>4509</v>
      </c>
      <c r="AS2282" t="s">
        <v>4510</v>
      </c>
      <c r="AT2282" t="s">
        <v>58</v>
      </c>
      <c r="AU2282" t="s">
        <v>68</v>
      </c>
      <c r="AV2282" t="s">
        <v>69</v>
      </c>
      <c r="AW2282" s="1">
        <v>27541</v>
      </c>
      <c r="AX2282">
        <v>2</v>
      </c>
    </row>
    <row r="2283" spans="1:50">
      <c r="A2283">
        <v>200657</v>
      </c>
      <c r="B2283" t="str">
        <f>"124023428"</f>
        <v>124023428</v>
      </c>
      <c r="C2283" t="s">
        <v>50</v>
      </c>
      <c r="D2283" t="s">
        <v>1064</v>
      </c>
      <c r="E2283" t="s">
        <v>250</v>
      </c>
      <c r="F2283" t="s">
        <v>92</v>
      </c>
      <c r="G2283" t="s">
        <v>52</v>
      </c>
      <c r="H2283" t="str">
        <f>" "</f>
        <v xml:space="preserve"> </v>
      </c>
      <c r="J2283">
        <v>2842023578</v>
      </c>
      <c r="M2283" t="s">
        <v>4705</v>
      </c>
      <c r="N2283" t="s">
        <v>299</v>
      </c>
      <c r="O2283" t="s">
        <v>300</v>
      </c>
      <c r="R2283" t="s">
        <v>57</v>
      </c>
      <c r="S2283">
        <v>7</v>
      </c>
      <c r="T2283">
        <v>213</v>
      </c>
      <c r="U2283" s="1">
        <v>37874</v>
      </c>
      <c r="V2283" t="s">
        <v>4509</v>
      </c>
      <c r="W2283" t="s">
        <v>4510</v>
      </c>
      <c r="X2283" t="s">
        <v>58</v>
      </c>
      <c r="Y2283">
        <v>20</v>
      </c>
      <c r="Z2283" t="s">
        <v>59</v>
      </c>
      <c r="AA2283" t="s">
        <v>59</v>
      </c>
      <c r="AB2283" t="s">
        <v>59</v>
      </c>
      <c r="AC2283" t="s">
        <v>59</v>
      </c>
      <c r="AD2283" t="s">
        <v>59</v>
      </c>
      <c r="AF2283" s="1">
        <v>37874</v>
      </c>
      <c r="AG2283" t="s">
        <v>125</v>
      </c>
      <c r="AH2283" t="s">
        <v>126</v>
      </c>
      <c r="AI2283" t="str">
        <f>"3202030"</f>
        <v>3202030</v>
      </c>
      <c r="AJ2283" t="s">
        <v>4558</v>
      </c>
      <c r="AK2283">
        <v>2842028751</v>
      </c>
      <c r="AL2283" t="s">
        <v>4559</v>
      </c>
      <c r="AM2283" t="s">
        <v>4513</v>
      </c>
      <c r="AN2283" t="s">
        <v>4519</v>
      </c>
      <c r="AO2283" t="s">
        <v>4519</v>
      </c>
      <c r="AP2283" t="s">
        <v>4519</v>
      </c>
      <c r="AQ2283">
        <v>4</v>
      </c>
      <c r="AR2283" t="s">
        <v>4509</v>
      </c>
      <c r="AS2283" t="s">
        <v>4510</v>
      </c>
      <c r="AT2283" t="s">
        <v>58</v>
      </c>
      <c r="AU2283" t="s">
        <v>68</v>
      </c>
      <c r="AV2283" t="s">
        <v>69</v>
      </c>
      <c r="AW2283" s="1">
        <v>29445</v>
      </c>
      <c r="AX2283">
        <v>2</v>
      </c>
    </row>
    <row r="2284" spans="1:50">
      <c r="A2284">
        <v>208724</v>
      </c>
      <c r="B2284" t="str">
        <f>"051235403"</f>
        <v>051235403</v>
      </c>
      <c r="C2284" t="s">
        <v>105</v>
      </c>
      <c r="D2284" t="s">
        <v>1073</v>
      </c>
      <c r="E2284" t="s">
        <v>166</v>
      </c>
      <c r="F2284" t="s">
        <v>99</v>
      </c>
      <c r="G2284" t="s">
        <v>4455</v>
      </c>
      <c r="H2284" t="str">
        <f>" "</f>
        <v xml:space="preserve"> </v>
      </c>
      <c r="J2284">
        <v>2842024715</v>
      </c>
      <c r="K2284">
        <v>6974069381</v>
      </c>
      <c r="M2284" t="s">
        <v>4706</v>
      </c>
      <c r="N2284" t="s">
        <v>299</v>
      </c>
      <c r="O2284" t="s">
        <v>300</v>
      </c>
      <c r="R2284" t="s">
        <v>57</v>
      </c>
      <c r="S2284">
        <v>10</v>
      </c>
      <c r="T2284">
        <v>218</v>
      </c>
      <c r="U2284" s="1">
        <v>38596</v>
      </c>
      <c r="V2284" t="s">
        <v>4509</v>
      </c>
      <c r="W2284" t="s">
        <v>4510</v>
      </c>
      <c r="X2284" t="s">
        <v>58</v>
      </c>
      <c r="Y2284">
        <v>20</v>
      </c>
      <c r="Z2284" t="s">
        <v>59</v>
      </c>
      <c r="AA2284" t="s">
        <v>59</v>
      </c>
      <c r="AB2284" t="s">
        <v>59</v>
      </c>
      <c r="AC2284" t="s">
        <v>59</v>
      </c>
      <c r="AD2284" t="s">
        <v>59</v>
      </c>
      <c r="AF2284" s="1">
        <v>38596</v>
      </c>
      <c r="AG2284" t="s">
        <v>137</v>
      </c>
      <c r="AH2284" t="s">
        <v>469</v>
      </c>
      <c r="AI2284" t="str">
        <f>"3240125"</f>
        <v>3240125</v>
      </c>
      <c r="AJ2284" t="s">
        <v>4707</v>
      </c>
      <c r="AK2284">
        <v>2842024905</v>
      </c>
      <c r="AL2284" t="s">
        <v>4708</v>
      </c>
      <c r="AM2284" t="s">
        <v>4513</v>
      </c>
      <c r="AN2284" t="s">
        <v>4519</v>
      </c>
      <c r="AO2284" t="s">
        <v>4519</v>
      </c>
      <c r="AP2284" t="s">
        <v>4519</v>
      </c>
      <c r="AQ2284">
        <v>4</v>
      </c>
      <c r="AR2284" t="s">
        <v>4509</v>
      </c>
      <c r="AS2284" t="s">
        <v>4510</v>
      </c>
      <c r="AT2284" t="s">
        <v>58</v>
      </c>
      <c r="AU2284" t="s">
        <v>68</v>
      </c>
      <c r="AV2284" t="s">
        <v>69</v>
      </c>
      <c r="AW2284" s="1">
        <v>26436</v>
      </c>
      <c r="AX2284">
        <v>2</v>
      </c>
    </row>
    <row r="2285" spans="1:50">
      <c r="A2285">
        <v>217175</v>
      </c>
      <c r="B2285" t="str">
        <f>"039291256"</f>
        <v>039291256</v>
      </c>
      <c r="C2285" t="s">
        <v>50</v>
      </c>
      <c r="D2285" t="s">
        <v>1080</v>
      </c>
      <c r="E2285" t="s">
        <v>1108</v>
      </c>
      <c r="F2285" t="s">
        <v>95</v>
      </c>
      <c r="G2285" t="s">
        <v>52</v>
      </c>
      <c r="H2285" t="str">
        <f>"Α ΠΑΡΟΔΟΣ ΛΑΚΕΡΔΑ ΙΕΡΑΠΕΤΡΑ"</f>
        <v>Α ΠΑΡΟΔΟΣ ΛΑΚΕΡΔΑ ΙΕΡΑΠΕΤΡΑ</v>
      </c>
      <c r="I2285">
        <v>72200</v>
      </c>
      <c r="J2285">
        <v>2842080252</v>
      </c>
      <c r="K2285">
        <v>6972440703</v>
      </c>
      <c r="M2285" t="s">
        <v>4709</v>
      </c>
      <c r="N2285" t="s">
        <v>306</v>
      </c>
      <c r="O2285" t="s">
        <v>307</v>
      </c>
      <c r="R2285" t="s">
        <v>57</v>
      </c>
      <c r="S2285">
        <v>15</v>
      </c>
      <c r="T2285">
        <v>154</v>
      </c>
      <c r="U2285" s="1">
        <v>34225</v>
      </c>
      <c r="V2285" t="s">
        <v>4509</v>
      </c>
      <c r="W2285" t="s">
        <v>4510</v>
      </c>
      <c r="X2285" t="s">
        <v>58</v>
      </c>
      <c r="Y2285">
        <v>18</v>
      </c>
      <c r="Z2285" t="s">
        <v>59</v>
      </c>
      <c r="AA2285" t="s">
        <v>59</v>
      </c>
      <c r="AB2285" t="s">
        <v>59</v>
      </c>
      <c r="AC2285" t="s">
        <v>59</v>
      </c>
      <c r="AD2285" t="s">
        <v>59</v>
      </c>
      <c r="AF2285" s="1">
        <v>34225</v>
      </c>
      <c r="AG2285" t="s">
        <v>148</v>
      </c>
      <c r="AH2285" t="s">
        <v>149</v>
      </c>
      <c r="AI2285" t="str">
        <f>"3252020"</f>
        <v>3252020</v>
      </c>
      <c r="AJ2285" t="s">
        <v>4638</v>
      </c>
      <c r="AK2285">
        <v>2842022379</v>
      </c>
      <c r="AL2285" t="s">
        <v>4639</v>
      </c>
      <c r="AM2285" t="s">
        <v>4513</v>
      </c>
      <c r="AN2285" t="s">
        <v>4519</v>
      </c>
      <c r="AO2285" t="s">
        <v>4519</v>
      </c>
      <c r="AP2285" t="s">
        <v>4519</v>
      </c>
      <c r="AQ2285">
        <v>4</v>
      </c>
      <c r="AR2285" t="s">
        <v>4509</v>
      </c>
      <c r="AS2285" t="s">
        <v>4510</v>
      </c>
      <c r="AT2285" t="s">
        <v>58</v>
      </c>
      <c r="AU2285" t="s">
        <v>68</v>
      </c>
      <c r="AV2285" t="s">
        <v>69</v>
      </c>
      <c r="AW2285" s="1">
        <v>25204</v>
      </c>
      <c r="AX2285">
        <v>2</v>
      </c>
    </row>
    <row r="2286" spans="1:50">
      <c r="A2286">
        <v>702993</v>
      </c>
      <c r="B2286" t="str">
        <f>"062689074"</f>
        <v>062689074</v>
      </c>
      <c r="C2286" t="s">
        <v>50</v>
      </c>
      <c r="D2286" t="s">
        <v>1080</v>
      </c>
      <c r="E2286" t="s">
        <v>4710</v>
      </c>
      <c r="F2286" t="s">
        <v>72</v>
      </c>
      <c r="G2286" t="s">
        <v>114</v>
      </c>
      <c r="H2286" t="str">
        <f>"ΜΕΝΕΛΑΟΥ ΠΑΡΛΑΜΑ 3 "</f>
        <v xml:space="preserve">ΜΕΝΕΛΑΟΥ ΠΑΡΛΑΜΑ 3 </v>
      </c>
      <c r="I2286">
        <v>72100</v>
      </c>
      <c r="J2286">
        <v>2841021510</v>
      </c>
      <c r="K2286">
        <v>6970010403</v>
      </c>
      <c r="M2286" t="s">
        <v>4711</v>
      </c>
      <c r="N2286" t="s">
        <v>146</v>
      </c>
      <c r="O2286" t="s">
        <v>147</v>
      </c>
      <c r="P2286" t="s">
        <v>4712</v>
      </c>
      <c r="Q2286" t="s">
        <v>4713</v>
      </c>
      <c r="R2286" t="s">
        <v>57</v>
      </c>
      <c r="S2286">
        <v>6</v>
      </c>
      <c r="T2286">
        <v>588</v>
      </c>
      <c r="U2286" s="1">
        <v>40778</v>
      </c>
      <c r="V2286" t="s">
        <v>4509</v>
      </c>
      <c r="W2286" t="s">
        <v>4510</v>
      </c>
      <c r="X2286" t="s">
        <v>58</v>
      </c>
      <c r="Y2286">
        <v>21</v>
      </c>
      <c r="Z2286" t="s">
        <v>59</v>
      </c>
      <c r="AA2286" t="s">
        <v>59</v>
      </c>
      <c r="AB2286" t="s">
        <v>59</v>
      </c>
      <c r="AC2286" t="s">
        <v>59</v>
      </c>
      <c r="AD2286" t="s">
        <v>59</v>
      </c>
      <c r="AF2286" s="1">
        <v>40781</v>
      </c>
      <c r="AG2286" t="s">
        <v>125</v>
      </c>
      <c r="AH2286" t="s">
        <v>126</v>
      </c>
      <c r="AI2286" t="str">
        <f>"3201025"</f>
        <v>3201025</v>
      </c>
      <c r="AJ2286" t="s">
        <v>4682</v>
      </c>
      <c r="AK2286">
        <v>2841021388</v>
      </c>
      <c r="AL2286" t="s">
        <v>4683</v>
      </c>
      <c r="AM2286" t="s">
        <v>4513</v>
      </c>
      <c r="AN2286" t="s">
        <v>4514</v>
      </c>
      <c r="AO2286" t="s">
        <v>4514</v>
      </c>
      <c r="AP2286" t="s">
        <v>4514</v>
      </c>
      <c r="AQ2286">
        <v>1</v>
      </c>
      <c r="AR2286" t="s">
        <v>4509</v>
      </c>
      <c r="AS2286" t="s">
        <v>4510</v>
      </c>
      <c r="AT2286" t="s">
        <v>58</v>
      </c>
      <c r="AU2286" t="s">
        <v>68</v>
      </c>
      <c r="AV2286" t="s">
        <v>69</v>
      </c>
      <c r="AW2286" s="1">
        <v>27326</v>
      </c>
      <c r="AX2286">
        <v>2</v>
      </c>
    </row>
    <row r="2287" spans="1:50">
      <c r="A2287">
        <v>227845</v>
      </c>
      <c r="B2287" t="str">
        <f>"035213005"</f>
        <v>035213005</v>
      </c>
      <c r="C2287" t="s">
        <v>105</v>
      </c>
      <c r="D2287" t="s">
        <v>4714</v>
      </c>
      <c r="E2287" t="s">
        <v>95</v>
      </c>
      <c r="F2287" t="s">
        <v>1224</v>
      </c>
      <c r="G2287" t="s">
        <v>4715</v>
      </c>
      <c r="H2287" t="str">
        <f>"ΣΚΙΑΘΟΥ 42 ΞΑΝΘΗ"</f>
        <v>ΣΚΙΑΘΟΥ 42 ΞΑΝΘΗ</v>
      </c>
      <c r="I2287">
        <v>67100</v>
      </c>
      <c r="J2287">
        <v>2541023601</v>
      </c>
      <c r="K2287">
        <v>6944278316</v>
      </c>
      <c r="M2287" t="s">
        <v>4716</v>
      </c>
      <c r="N2287" t="s">
        <v>176</v>
      </c>
      <c r="O2287" t="s">
        <v>177</v>
      </c>
      <c r="R2287" t="s">
        <v>57</v>
      </c>
      <c r="S2287">
        <v>7</v>
      </c>
      <c r="T2287">
        <v>654</v>
      </c>
      <c r="U2287" s="1">
        <v>40043</v>
      </c>
      <c r="V2287" t="s">
        <v>4509</v>
      </c>
      <c r="W2287" t="s">
        <v>4510</v>
      </c>
      <c r="X2287" t="s">
        <v>58</v>
      </c>
      <c r="Y2287">
        <v>20</v>
      </c>
      <c r="Z2287" t="s">
        <v>59</v>
      </c>
      <c r="AA2287" t="s">
        <v>59</v>
      </c>
      <c r="AB2287" t="s">
        <v>59</v>
      </c>
      <c r="AC2287" t="s">
        <v>59</v>
      </c>
      <c r="AD2287" t="s">
        <v>59</v>
      </c>
      <c r="AF2287" s="1">
        <v>40044</v>
      </c>
      <c r="AG2287" t="s">
        <v>137</v>
      </c>
      <c r="AH2287" t="s">
        <v>138</v>
      </c>
      <c r="AI2287" t="str">
        <f>"3240120"</f>
        <v>3240120</v>
      </c>
      <c r="AJ2287" t="s">
        <v>4552</v>
      </c>
      <c r="AK2287">
        <v>2842028667</v>
      </c>
      <c r="AL2287" t="s">
        <v>4553</v>
      </c>
      <c r="AM2287" t="s">
        <v>4513</v>
      </c>
      <c r="AN2287" t="s">
        <v>4519</v>
      </c>
      <c r="AO2287" t="s">
        <v>4519</v>
      </c>
      <c r="AP2287" t="s">
        <v>4519</v>
      </c>
      <c r="AQ2287">
        <v>4</v>
      </c>
      <c r="AR2287" t="s">
        <v>4509</v>
      </c>
      <c r="AS2287" t="s">
        <v>4510</v>
      </c>
      <c r="AT2287" t="s">
        <v>58</v>
      </c>
      <c r="AU2287" t="s">
        <v>68</v>
      </c>
      <c r="AV2287" t="s">
        <v>132</v>
      </c>
      <c r="AW2287" s="1">
        <v>22957</v>
      </c>
      <c r="AX2287">
        <v>2</v>
      </c>
    </row>
    <row r="2288" spans="1:50">
      <c r="B2288" t="str">
        <f>"110100913"</f>
        <v>110100913</v>
      </c>
      <c r="C2288" t="s">
        <v>50</v>
      </c>
      <c r="D2288" t="s">
        <v>1099</v>
      </c>
      <c r="E2288" t="s">
        <v>4717</v>
      </c>
      <c r="F2288" t="s">
        <v>99</v>
      </c>
      <c r="G2288" t="s">
        <v>83</v>
      </c>
      <c r="H2288" t="str">
        <f>"ΔΗΜ. ΦΛΩΡΙΑ 3 ΣΕΡΡΕΣ"</f>
        <v>ΔΗΜ. ΦΛΩΡΙΑ 3 ΣΕΡΡΕΣ</v>
      </c>
      <c r="I2288">
        <v>62123</v>
      </c>
      <c r="J2288">
        <v>2321051246</v>
      </c>
      <c r="K2288">
        <v>6947704056</v>
      </c>
      <c r="N2288" t="s">
        <v>292</v>
      </c>
      <c r="O2288" t="s">
        <v>293</v>
      </c>
      <c r="R2288" t="s">
        <v>121</v>
      </c>
      <c r="S2288">
        <v>1</v>
      </c>
      <c r="T2288" t="s">
        <v>574</v>
      </c>
      <c r="U2288" s="1">
        <v>43378</v>
      </c>
      <c r="V2288" t="s">
        <v>4509</v>
      </c>
      <c r="W2288" t="s">
        <v>4510</v>
      </c>
      <c r="X2288" t="s">
        <v>58</v>
      </c>
      <c r="Y2288">
        <v>23</v>
      </c>
      <c r="Z2288" t="s">
        <v>59</v>
      </c>
      <c r="AA2288" t="s">
        <v>59</v>
      </c>
      <c r="AB2288" t="s">
        <v>59</v>
      </c>
      <c r="AC2288" t="s">
        <v>59</v>
      </c>
      <c r="AD2288" t="s">
        <v>59</v>
      </c>
      <c r="AF2288" s="1">
        <v>43381</v>
      </c>
      <c r="AG2288" t="s">
        <v>125</v>
      </c>
      <c r="AH2288" t="s">
        <v>126</v>
      </c>
      <c r="AI2288" t="str">
        <f>"3202010"</f>
        <v>3202010</v>
      </c>
      <c r="AJ2288" t="s">
        <v>4517</v>
      </c>
      <c r="AK2288">
        <v>2842028229</v>
      </c>
      <c r="AL2288" t="s">
        <v>4518</v>
      </c>
      <c r="AM2288" t="s">
        <v>4513</v>
      </c>
      <c r="AN2288" t="s">
        <v>4519</v>
      </c>
      <c r="AO2288" t="s">
        <v>4519</v>
      </c>
      <c r="AP2288" t="s">
        <v>4519</v>
      </c>
      <c r="AQ2288">
        <v>4</v>
      </c>
      <c r="AR2288" t="s">
        <v>4509</v>
      </c>
      <c r="AS2288" t="s">
        <v>4510</v>
      </c>
      <c r="AT2288" t="s">
        <v>58</v>
      </c>
      <c r="AU2288" t="s">
        <v>164</v>
      </c>
      <c r="AV2288" t="s">
        <v>132</v>
      </c>
      <c r="AW2288" s="1">
        <v>27272</v>
      </c>
      <c r="AX2288">
        <v>2</v>
      </c>
    </row>
    <row r="2289" spans="1:50">
      <c r="A2289">
        <v>220852</v>
      </c>
      <c r="B2289" t="str">
        <f>"132684741"</f>
        <v>132684741</v>
      </c>
      <c r="C2289" t="s">
        <v>50</v>
      </c>
      <c r="D2289" t="s">
        <v>4718</v>
      </c>
      <c r="E2289" t="s">
        <v>73</v>
      </c>
      <c r="F2289" t="s">
        <v>72</v>
      </c>
      <c r="G2289" t="s">
        <v>600</v>
      </c>
      <c r="H2289" t="str">
        <f>"ΜΗΔΕΙΑΣ 19 Ν.ΣΜΥΡΝΗ"</f>
        <v>ΜΗΔΕΙΑΣ 19 Ν.ΣΜΥΡΝΗ</v>
      </c>
      <c r="J2289">
        <v>2109347247</v>
      </c>
      <c r="K2289">
        <v>6976884911</v>
      </c>
      <c r="M2289" t="s">
        <v>4719</v>
      </c>
      <c r="N2289" t="s">
        <v>683</v>
      </c>
      <c r="O2289" t="s">
        <v>684</v>
      </c>
      <c r="R2289" t="s">
        <v>57</v>
      </c>
      <c r="S2289">
        <v>5</v>
      </c>
      <c r="T2289">
        <v>681</v>
      </c>
      <c r="U2289" s="1">
        <v>39325</v>
      </c>
      <c r="V2289" t="s">
        <v>4509</v>
      </c>
      <c r="W2289" t="s">
        <v>4510</v>
      </c>
      <c r="X2289" t="s">
        <v>58</v>
      </c>
      <c r="Y2289">
        <v>21</v>
      </c>
      <c r="Z2289" t="s">
        <v>59</v>
      </c>
      <c r="AA2289" t="s">
        <v>59</v>
      </c>
      <c r="AB2289" t="s">
        <v>59</v>
      </c>
      <c r="AC2289" t="s">
        <v>59</v>
      </c>
      <c r="AD2289" t="s">
        <v>59</v>
      </c>
      <c r="AF2289" s="1">
        <v>39330</v>
      </c>
      <c r="AG2289" t="s">
        <v>125</v>
      </c>
      <c r="AH2289" t="s">
        <v>126</v>
      </c>
      <c r="AI2289" t="str">
        <f>"3201025"</f>
        <v>3201025</v>
      </c>
      <c r="AJ2289" t="s">
        <v>4682</v>
      </c>
      <c r="AK2289">
        <v>2841021388</v>
      </c>
      <c r="AL2289" t="s">
        <v>4683</v>
      </c>
      <c r="AM2289" t="s">
        <v>4513</v>
      </c>
      <c r="AN2289" t="s">
        <v>4514</v>
      </c>
      <c r="AO2289" t="s">
        <v>4514</v>
      </c>
      <c r="AP2289" t="s">
        <v>4514</v>
      </c>
      <c r="AQ2289">
        <v>1</v>
      </c>
      <c r="AR2289" t="s">
        <v>4509</v>
      </c>
      <c r="AS2289" t="s">
        <v>4510</v>
      </c>
      <c r="AT2289" t="s">
        <v>58</v>
      </c>
      <c r="AU2289" t="s">
        <v>68</v>
      </c>
      <c r="AV2289" t="s">
        <v>132</v>
      </c>
      <c r="AW2289" s="1">
        <v>29048</v>
      </c>
      <c r="AX2289">
        <v>2</v>
      </c>
    </row>
    <row r="2290" spans="1:50">
      <c r="A2290">
        <v>212633</v>
      </c>
      <c r="B2290" t="str">
        <f>"043458217"</f>
        <v>043458217</v>
      </c>
      <c r="C2290" t="s">
        <v>50</v>
      </c>
      <c r="D2290" t="s">
        <v>4720</v>
      </c>
      <c r="E2290" t="s">
        <v>325</v>
      </c>
      <c r="F2290" t="s">
        <v>95</v>
      </c>
      <c r="G2290" t="s">
        <v>237</v>
      </c>
      <c r="H2290" t="str">
        <f>" "</f>
        <v xml:space="preserve"> </v>
      </c>
      <c r="J2290">
        <v>2841061115</v>
      </c>
      <c r="K2290">
        <v>6974796508</v>
      </c>
      <c r="M2290" t="s">
        <v>4721</v>
      </c>
      <c r="N2290" t="s">
        <v>292</v>
      </c>
      <c r="O2290" t="s">
        <v>293</v>
      </c>
      <c r="R2290" t="s">
        <v>57</v>
      </c>
      <c r="S2290">
        <v>5</v>
      </c>
      <c r="T2290">
        <v>231</v>
      </c>
      <c r="U2290" s="1">
        <v>38960</v>
      </c>
      <c r="V2290" t="s">
        <v>4509</v>
      </c>
      <c r="W2290" t="s">
        <v>4510</v>
      </c>
      <c r="X2290" t="s">
        <v>58</v>
      </c>
      <c r="Y2290">
        <v>20</v>
      </c>
      <c r="Z2290" t="s">
        <v>59</v>
      </c>
      <c r="AA2290" t="s">
        <v>59</v>
      </c>
      <c r="AB2290" t="s">
        <v>59</v>
      </c>
      <c r="AC2290" t="s">
        <v>59</v>
      </c>
      <c r="AD2290" t="s">
        <v>59</v>
      </c>
      <c r="AF2290" s="1">
        <v>38961</v>
      </c>
      <c r="AG2290" t="s">
        <v>125</v>
      </c>
      <c r="AH2290" t="s">
        <v>126</v>
      </c>
      <c r="AI2290" t="str">
        <f>"3201010"</f>
        <v>3201010</v>
      </c>
      <c r="AJ2290" t="s">
        <v>4596</v>
      </c>
      <c r="AK2290">
        <v>2841022301</v>
      </c>
      <c r="AL2290" t="s">
        <v>4597</v>
      </c>
      <c r="AM2290" t="s">
        <v>4513</v>
      </c>
      <c r="AN2290" t="s">
        <v>4514</v>
      </c>
      <c r="AO2290" t="s">
        <v>4514</v>
      </c>
      <c r="AP2290" t="s">
        <v>4514</v>
      </c>
      <c r="AQ2290">
        <v>1</v>
      </c>
      <c r="AR2290" t="s">
        <v>4509</v>
      </c>
      <c r="AS2290" t="s">
        <v>4510</v>
      </c>
      <c r="AT2290" t="s">
        <v>58</v>
      </c>
      <c r="AU2290" t="s">
        <v>68</v>
      </c>
      <c r="AV2290" t="s">
        <v>69</v>
      </c>
      <c r="AW2290" s="1">
        <v>23308</v>
      </c>
      <c r="AX2290">
        <v>2</v>
      </c>
    </row>
    <row r="2291" spans="1:50">
      <c r="B2291" t="str">
        <f>"110256643"</f>
        <v>110256643</v>
      </c>
      <c r="C2291" t="s">
        <v>105</v>
      </c>
      <c r="D2291" t="s">
        <v>4722</v>
      </c>
      <c r="E2291" t="s">
        <v>95</v>
      </c>
      <c r="F2291" t="s">
        <v>72</v>
      </c>
      <c r="G2291" t="s">
        <v>237</v>
      </c>
      <c r="H2291" t="str">
        <f>"Α ΣΦΑΚΙΑΝΑΚΗ 13 ΙΕΡΑΠΕΤΡΑ"</f>
        <v>Α ΣΦΑΚΙΑΝΑΚΗ 13 ΙΕΡΑΠΕΤΡΑ</v>
      </c>
      <c r="I2291">
        <v>72200</v>
      </c>
      <c r="J2291">
        <v>2842028215</v>
      </c>
      <c r="K2291">
        <v>6936668620</v>
      </c>
      <c r="M2291" t="s">
        <v>4723</v>
      </c>
      <c r="N2291" t="s">
        <v>168</v>
      </c>
      <c r="O2291" t="s">
        <v>169</v>
      </c>
      <c r="R2291" t="s">
        <v>159</v>
      </c>
      <c r="S2291">
        <v>4</v>
      </c>
      <c r="T2291" t="s">
        <v>416</v>
      </c>
      <c r="U2291" s="1">
        <v>43349</v>
      </c>
      <c r="V2291" t="s">
        <v>4509</v>
      </c>
      <c r="W2291" t="s">
        <v>4510</v>
      </c>
      <c r="X2291" t="s">
        <v>58</v>
      </c>
      <c r="Y2291">
        <v>21</v>
      </c>
      <c r="Z2291" t="s">
        <v>59</v>
      </c>
      <c r="AA2291" t="s">
        <v>59</v>
      </c>
      <c r="AB2291" t="s">
        <v>59</v>
      </c>
      <c r="AC2291" t="s">
        <v>59</v>
      </c>
      <c r="AD2291" t="s">
        <v>59</v>
      </c>
      <c r="AF2291" s="1">
        <v>43349</v>
      </c>
      <c r="AG2291" t="s">
        <v>137</v>
      </c>
      <c r="AH2291" t="s">
        <v>138</v>
      </c>
      <c r="AI2291" t="str">
        <f>"3240120"</f>
        <v>3240120</v>
      </c>
      <c r="AJ2291" t="s">
        <v>4552</v>
      </c>
      <c r="AK2291">
        <v>2842028667</v>
      </c>
      <c r="AL2291" t="s">
        <v>4553</v>
      </c>
      <c r="AM2291" t="s">
        <v>4513</v>
      </c>
      <c r="AN2291" t="s">
        <v>4519</v>
      </c>
      <c r="AO2291" t="s">
        <v>4519</v>
      </c>
      <c r="AP2291" t="s">
        <v>4519</v>
      </c>
      <c r="AQ2291">
        <v>4</v>
      </c>
      <c r="AR2291" t="s">
        <v>4509</v>
      </c>
      <c r="AS2291" t="s">
        <v>4510</v>
      </c>
      <c r="AT2291" t="s">
        <v>58</v>
      </c>
      <c r="AU2291" t="s">
        <v>419</v>
      </c>
      <c r="AV2291" t="s">
        <v>132</v>
      </c>
      <c r="AW2291" s="1">
        <v>28492</v>
      </c>
      <c r="AX2291">
        <v>2</v>
      </c>
    </row>
    <row r="2292" spans="1:50">
      <c r="A2292">
        <v>202863</v>
      </c>
      <c r="B2292" t="str">
        <f>"034378268"</f>
        <v>034378268</v>
      </c>
      <c r="C2292" t="s">
        <v>105</v>
      </c>
      <c r="D2292" t="s">
        <v>1110</v>
      </c>
      <c r="E2292" t="s">
        <v>166</v>
      </c>
      <c r="F2292" t="s">
        <v>106</v>
      </c>
      <c r="G2292" t="s">
        <v>4455</v>
      </c>
      <c r="H2292" t="str">
        <f>"ΣΕΛΗΝΗΣ 10 ΑΓΙΟΣ ΝΙΚΟΛΑΟΣ"</f>
        <v>ΣΕΛΗΝΗΣ 10 ΑΓΙΟΣ ΝΙΚΟΛΑΟΣ</v>
      </c>
      <c r="I2292">
        <v>72100</v>
      </c>
      <c r="J2292">
        <v>2841026146</v>
      </c>
      <c r="K2292">
        <v>6944566090</v>
      </c>
      <c r="M2292" t="s">
        <v>4724</v>
      </c>
      <c r="N2292" t="s">
        <v>246</v>
      </c>
      <c r="O2292" t="s">
        <v>247</v>
      </c>
      <c r="R2292" t="s">
        <v>57</v>
      </c>
      <c r="S2292">
        <v>9</v>
      </c>
      <c r="T2292">
        <v>231</v>
      </c>
      <c r="U2292" s="1">
        <v>38230</v>
      </c>
      <c r="V2292" t="s">
        <v>4509</v>
      </c>
      <c r="W2292" t="s">
        <v>4510</v>
      </c>
      <c r="X2292" t="s">
        <v>58</v>
      </c>
      <c r="Y2292">
        <v>20</v>
      </c>
      <c r="Z2292" t="s">
        <v>59</v>
      </c>
      <c r="AA2292" t="s">
        <v>59</v>
      </c>
      <c r="AB2292" t="s">
        <v>59</v>
      </c>
      <c r="AC2292" t="s">
        <v>59</v>
      </c>
      <c r="AD2292" t="s">
        <v>59</v>
      </c>
      <c r="AF2292" s="1">
        <v>38231</v>
      </c>
      <c r="AG2292" t="s">
        <v>125</v>
      </c>
      <c r="AH2292" t="s">
        <v>126</v>
      </c>
      <c r="AI2292" t="str">
        <f>"3201020"</f>
        <v>3201020</v>
      </c>
      <c r="AJ2292" t="s">
        <v>4511</v>
      </c>
      <c r="AK2292">
        <v>2841024586</v>
      </c>
      <c r="AL2292" t="s">
        <v>4512</v>
      </c>
      <c r="AM2292" t="s">
        <v>4513</v>
      </c>
      <c r="AN2292" t="s">
        <v>4514</v>
      </c>
      <c r="AO2292" t="s">
        <v>4514</v>
      </c>
      <c r="AP2292" t="s">
        <v>4514</v>
      </c>
      <c r="AQ2292">
        <v>1</v>
      </c>
      <c r="AR2292" t="s">
        <v>4509</v>
      </c>
      <c r="AS2292" t="s">
        <v>4510</v>
      </c>
      <c r="AT2292" t="s">
        <v>58</v>
      </c>
      <c r="AU2292" t="s">
        <v>68</v>
      </c>
      <c r="AV2292" t="s">
        <v>69</v>
      </c>
      <c r="AW2292" s="1">
        <v>22776</v>
      </c>
      <c r="AX2292">
        <v>2</v>
      </c>
    </row>
    <row r="2293" spans="1:50">
      <c r="B2293" t="str">
        <f>"101752770"</f>
        <v>101752770</v>
      </c>
      <c r="C2293" t="s">
        <v>50</v>
      </c>
      <c r="D2293" t="s">
        <v>4725</v>
      </c>
      <c r="E2293" t="s">
        <v>1484</v>
      </c>
      <c r="F2293" t="s">
        <v>4726</v>
      </c>
      <c r="G2293" t="s">
        <v>3671</v>
      </c>
      <c r="H2293" t="str">
        <f>"ΑΡΧΙΜΑΝΔΡΕΙΟΥ 51 ΙΩΑΝΝΙΝΑ"</f>
        <v>ΑΡΧΙΜΑΝΔΡΕΙΟΥ 51 ΙΩΑΝΝΙΝΑ</v>
      </c>
      <c r="I2293">
        <v>45333</v>
      </c>
      <c r="J2293">
        <v>2651040990</v>
      </c>
      <c r="K2293">
        <v>6932864656</v>
      </c>
      <c r="M2293" t="s">
        <v>4727</v>
      </c>
      <c r="N2293" t="s">
        <v>146</v>
      </c>
      <c r="O2293" t="s">
        <v>147</v>
      </c>
      <c r="R2293" t="s">
        <v>159</v>
      </c>
      <c r="S2293">
        <v>3</v>
      </c>
      <c r="T2293" t="s">
        <v>416</v>
      </c>
      <c r="U2293" s="1">
        <v>43349</v>
      </c>
      <c r="V2293" t="s">
        <v>4509</v>
      </c>
      <c r="W2293" t="s">
        <v>4510</v>
      </c>
      <c r="X2293" t="s">
        <v>58</v>
      </c>
      <c r="Y2293">
        <v>23</v>
      </c>
      <c r="Z2293" t="s">
        <v>59</v>
      </c>
      <c r="AA2293" t="s">
        <v>59</v>
      </c>
      <c r="AB2293" t="s">
        <v>59</v>
      </c>
      <c r="AC2293" t="s">
        <v>59</v>
      </c>
      <c r="AD2293" t="s">
        <v>59</v>
      </c>
      <c r="AF2293" s="1">
        <v>43349</v>
      </c>
      <c r="AG2293" t="s">
        <v>125</v>
      </c>
      <c r="AH2293" t="s">
        <v>126</v>
      </c>
      <c r="AI2293" t="str">
        <f>"3202010"</f>
        <v>3202010</v>
      </c>
      <c r="AJ2293" t="s">
        <v>4517</v>
      </c>
      <c r="AK2293">
        <v>2842028229</v>
      </c>
      <c r="AL2293" t="s">
        <v>4518</v>
      </c>
      <c r="AM2293" t="s">
        <v>4513</v>
      </c>
      <c r="AN2293" t="s">
        <v>4519</v>
      </c>
      <c r="AO2293" t="s">
        <v>4519</v>
      </c>
      <c r="AP2293" t="s">
        <v>4519</v>
      </c>
      <c r="AQ2293">
        <v>4</v>
      </c>
      <c r="AR2293" t="s">
        <v>4509</v>
      </c>
      <c r="AS2293" t="s">
        <v>4510</v>
      </c>
      <c r="AT2293" t="s">
        <v>58</v>
      </c>
      <c r="AU2293" t="s">
        <v>419</v>
      </c>
      <c r="AV2293" t="s">
        <v>132</v>
      </c>
      <c r="AW2293" s="1">
        <v>27505</v>
      </c>
      <c r="AX2293">
        <v>2</v>
      </c>
    </row>
    <row r="2294" spans="1:50">
      <c r="A2294">
        <v>228320</v>
      </c>
      <c r="B2294" t="str">
        <f>"103903340"</f>
        <v>103903340</v>
      </c>
      <c r="C2294" t="s">
        <v>50</v>
      </c>
      <c r="D2294" t="s">
        <v>4728</v>
      </c>
      <c r="E2294" t="s">
        <v>4729</v>
      </c>
      <c r="F2294" t="s">
        <v>4730</v>
      </c>
      <c r="G2294" t="s">
        <v>1939</v>
      </c>
      <c r="H2294" t="str">
        <f>"ΡΙΖΑΡΗ 32 ΛΑΡΙΣΑ"</f>
        <v>ΡΙΖΑΡΗ 32 ΛΑΡΙΣΑ</v>
      </c>
      <c r="I2294">
        <v>41335</v>
      </c>
      <c r="J2294">
        <v>2410620777</v>
      </c>
      <c r="K2294">
        <v>6974918354</v>
      </c>
      <c r="M2294" t="s">
        <v>4731</v>
      </c>
      <c r="N2294" t="s">
        <v>798</v>
      </c>
      <c r="O2294" t="s">
        <v>799</v>
      </c>
      <c r="R2294" t="s">
        <v>57</v>
      </c>
      <c r="S2294">
        <v>8</v>
      </c>
      <c r="T2294">
        <v>654</v>
      </c>
      <c r="U2294" s="1">
        <v>40043</v>
      </c>
      <c r="V2294" t="s">
        <v>4509</v>
      </c>
      <c r="W2294" t="s">
        <v>4510</v>
      </c>
      <c r="X2294" t="s">
        <v>58</v>
      </c>
      <c r="Y2294">
        <v>20</v>
      </c>
      <c r="Z2294" t="s">
        <v>59</v>
      </c>
      <c r="AA2294" t="s">
        <v>59</v>
      </c>
      <c r="AB2294" t="s">
        <v>59</v>
      </c>
      <c r="AC2294" t="s">
        <v>59</v>
      </c>
      <c r="AD2294" t="s">
        <v>59</v>
      </c>
      <c r="AF2294" s="1">
        <v>40057</v>
      </c>
      <c r="AG2294" t="s">
        <v>137</v>
      </c>
      <c r="AH2294" t="s">
        <v>469</v>
      </c>
      <c r="AI2294" t="str">
        <f>"3240125"</f>
        <v>3240125</v>
      </c>
      <c r="AJ2294" t="s">
        <v>4707</v>
      </c>
      <c r="AK2294">
        <v>2842024905</v>
      </c>
      <c r="AL2294" t="s">
        <v>4708</v>
      </c>
      <c r="AM2294" t="s">
        <v>4513</v>
      </c>
      <c r="AN2294" t="s">
        <v>4519</v>
      </c>
      <c r="AO2294" t="s">
        <v>4519</v>
      </c>
      <c r="AP2294" t="s">
        <v>4519</v>
      </c>
      <c r="AQ2294">
        <v>4</v>
      </c>
      <c r="AR2294" t="s">
        <v>4509</v>
      </c>
      <c r="AS2294" t="s">
        <v>4510</v>
      </c>
      <c r="AT2294" t="s">
        <v>58</v>
      </c>
      <c r="AU2294" t="s">
        <v>68</v>
      </c>
      <c r="AV2294" t="s">
        <v>69</v>
      </c>
      <c r="AW2294" s="1">
        <v>27624</v>
      </c>
      <c r="AX2294">
        <v>2</v>
      </c>
    </row>
    <row r="2295" spans="1:50">
      <c r="A2295">
        <v>172397</v>
      </c>
      <c r="B2295" t="str">
        <f>"052827117"</f>
        <v>052827117</v>
      </c>
      <c r="C2295" t="s">
        <v>50</v>
      </c>
      <c r="D2295" t="s">
        <v>4732</v>
      </c>
      <c r="E2295" t="s">
        <v>155</v>
      </c>
      <c r="F2295" t="s">
        <v>154</v>
      </c>
      <c r="G2295" t="s">
        <v>340</v>
      </c>
      <c r="H2295" t="str">
        <f>" "</f>
        <v xml:space="preserve"> </v>
      </c>
      <c r="M2295" t="s">
        <v>4733</v>
      </c>
      <c r="N2295" t="s">
        <v>587</v>
      </c>
      <c r="O2295" t="s">
        <v>588</v>
      </c>
      <c r="R2295" t="s">
        <v>57</v>
      </c>
      <c r="S2295">
        <v>12</v>
      </c>
      <c r="T2295">
        <v>184</v>
      </c>
      <c r="U2295" s="1">
        <v>34941</v>
      </c>
      <c r="V2295" t="s">
        <v>4509</v>
      </c>
      <c r="W2295" t="s">
        <v>4510</v>
      </c>
      <c r="X2295" t="s">
        <v>58</v>
      </c>
      <c r="Y2295">
        <v>18</v>
      </c>
      <c r="Z2295" t="s">
        <v>59</v>
      </c>
      <c r="AA2295" t="s">
        <v>59</v>
      </c>
      <c r="AB2295" t="s">
        <v>59</v>
      </c>
      <c r="AC2295" t="s">
        <v>59</v>
      </c>
      <c r="AD2295" t="s">
        <v>59</v>
      </c>
      <c r="AF2295" s="1">
        <v>34943</v>
      </c>
      <c r="AG2295" t="s">
        <v>125</v>
      </c>
      <c r="AH2295" t="s">
        <v>126</v>
      </c>
      <c r="AI2295" t="str">
        <f>"3202010"</f>
        <v>3202010</v>
      </c>
      <c r="AJ2295" t="s">
        <v>4517</v>
      </c>
      <c r="AK2295">
        <v>2842028229</v>
      </c>
      <c r="AL2295" t="s">
        <v>4518</v>
      </c>
      <c r="AM2295" t="s">
        <v>4513</v>
      </c>
      <c r="AN2295" t="s">
        <v>4519</v>
      </c>
      <c r="AO2295" t="s">
        <v>4519</v>
      </c>
      <c r="AP2295" t="s">
        <v>4519</v>
      </c>
      <c r="AQ2295">
        <v>4</v>
      </c>
      <c r="AR2295" t="s">
        <v>4509</v>
      </c>
      <c r="AS2295" t="s">
        <v>4510</v>
      </c>
      <c r="AT2295" t="s">
        <v>58</v>
      </c>
      <c r="AU2295" t="s">
        <v>68</v>
      </c>
      <c r="AV2295" t="s">
        <v>69</v>
      </c>
      <c r="AW2295" s="1">
        <v>24772</v>
      </c>
      <c r="AX2295">
        <v>2</v>
      </c>
    </row>
    <row r="2296" spans="1:50">
      <c r="B2296" t="str">
        <f>"122134932"</f>
        <v>122134932</v>
      </c>
      <c r="C2296" t="s">
        <v>50</v>
      </c>
      <c r="D2296" t="s">
        <v>4734</v>
      </c>
      <c r="E2296" t="s">
        <v>4735</v>
      </c>
      <c r="F2296" t="s">
        <v>53</v>
      </c>
      <c r="G2296" t="s">
        <v>755</v>
      </c>
      <c r="H2296" t="str">
        <f>"Ν ΝΙΚΟΛΑΟΥ 23 ΣΕΡΡΕΣ"</f>
        <v>Ν ΝΙΚΟΛΑΟΥ 23 ΣΕΡΡΕΣ</v>
      </c>
      <c r="I2296">
        <v>62100</v>
      </c>
      <c r="J2296">
        <v>2323022587</v>
      </c>
      <c r="K2296">
        <v>6997269378</v>
      </c>
      <c r="N2296" t="s">
        <v>199</v>
      </c>
      <c r="O2296" t="s">
        <v>200</v>
      </c>
      <c r="R2296" t="s">
        <v>121</v>
      </c>
      <c r="S2296">
        <v>1</v>
      </c>
      <c r="T2296" t="s">
        <v>416</v>
      </c>
      <c r="U2296" s="1">
        <v>43349</v>
      </c>
      <c r="V2296" t="s">
        <v>4509</v>
      </c>
      <c r="W2296" t="s">
        <v>4510</v>
      </c>
      <c r="X2296" t="s">
        <v>58</v>
      </c>
      <c r="Y2296">
        <v>23</v>
      </c>
      <c r="Z2296" t="s">
        <v>59</v>
      </c>
      <c r="AA2296" t="s">
        <v>59</v>
      </c>
      <c r="AB2296" t="s">
        <v>59</v>
      </c>
      <c r="AC2296" t="s">
        <v>59</v>
      </c>
      <c r="AD2296" t="s">
        <v>59</v>
      </c>
      <c r="AF2296" s="1">
        <v>43349</v>
      </c>
      <c r="AG2296" t="s">
        <v>125</v>
      </c>
      <c r="AH2296" t="s">
        <v>126</v>
      </c>
      <c r="AI2296" t="str">
        <f>"3204020"</f>
        <v>3204020</v>
      </c>
      <c r="AJ2296" t="s">
        <v>4632</v>
      </c>
      <c r="AK2296">
        <v>2843023923</v>
      </c>
      <c r="AL2296" t="s">
        <v>4633</v>
      </c>
      <c r="AM2296" t="s">
        <v>4513</v>
      </c>
      <c r="AN2296" t="s">
        <v>4540</v>
      </c>
      <c r="AO2296" t="s">
        <v>4540</v>
      </c>
      <c r="AP2296" t="s">
        <v>4540</v>
      </c>
      <c r="AQ2296">
        <v>6</v>
      </c>
      <c r="AR2296" t="s">
        <v>4509</v>
      </c>
      <c r="AS2296" t="s">
        <v>4510</v>
      </c>
      <c r="AT2296" t="s">
        <v>58</v>
      </c>
      <c r="AU2296" t="s">
        <v>419</v>
      </c>
      <c r="AV2296" t="s">
        <v>132</v>
      </c>
      <c r="AW2296" s="1">
        <v>29938</v>
      </c>
      <c r="AX2296">
        <v>2</v>
      </c>
    </row>
    <row r="2297" spans="1:50">
      <c r="A2297">
        <v>145267</v>
      </c>
      <c r="B2297" t="str">
        <f>"110291344"</f>
        <v>110291344</v>
      </c>
      <c r="C2297" t="s">
        <v>50</v>
      </c>
      <c r="D2297" t="s">
        <v>4736</v>
      </c>
      <c r="E2297" t="s">
        <v>1074</v>
      </c>
      <c r="F2297" t="s">
        <v>670</v>
      </c>
      <c r="G2297" t="s">
        <v>4737</v>
      </c>
      <c r="H2297" t="str">
        <f>" "</f>
        <v xml:space="preserve"> </v>
      </c>
      <c r="M2297" t="s">
        <v>4738</v>
      </c>
      <c r="N2297" t="s">
        <v>157</v>
      </c>
      <c r="O2297" t="s">
        <v>158</v>
      </c>
      <c r="R2297" t="s">
        <v>57</v>
      </c>
      <c r="S2297">
        <v>16</v>
      </c>
      <c r="T2297">
        <v>237</v>
      </c>
      <c r="U2297" s="1">
        <v>31293</v>
      </c>
      <c r="V2297" t="s">
        <v>4509</v>
      </c>
      <c r="W2297" t="s">
        <v>4510</v>
      </c>
      <c r="X2297" t="s">
        <v>58</v>
      </c>
      <c r="Y2297">
        <v>18</v>
      </c>
      <c r="Z2297" t="s">
        <v>59</v>
      </c>
      <c r="AA2297" t="s">
        <v>59</v>
      </c>
      <c r="AB2297" t="s">
        <v>59</v>
      </c>
      <c r="AC2297" t="s">
        <v>59</v>
      </c>
      <c r="AD2297" t="s">
        <v>59</v>
      </c>
      <c r="AF2297" s="1">
        <v>31293</v>
      </c>
      <c r="AG2297" t="s">
        <v>148</v>
      </c>
      <c r="AH2297" t="s">
        <v>149</v>
      </c>
      <c r="AI2297" t="str">
        <f>"3252020"</f>
        <v>3252020</v>
      </c>
      <c r="AJ2297" t="s">
        <v>4638</v>
      </c>
      <c r="AK2297">
        <v>2842022379</v>
      </c>
      <c r="AL2297" t="s">
        <v>4639</v>
      </c>
      <c r="AM2297" t="s">
        <v>4513</v>
      </c>
      <c r="AN2297" t="s">
        <v>4519</v>
      </c>
      <c r="AO2297" t="s">
        <v>4519</v>
      </c>
      <c r="AP2297" t="s">
        <v>4519</v>
      </c>
      <c r="AQ2297">
        <v>4</v>
      </c>
      <c r="AR2297" t="s">
        <v>4509</v>
      </c>
      <c r="AS2297" t="s">
        <v>4510</v>
      </c>
      <c r="AT2297" t="s">
        <v>58</v>
      </c>
      <c r="AU2297" t="s">
        <v>68</v>
      </c>
      <c r="AV2297" t="s">
        <v>69</v>
      </c>
      <c r="AW2297" s="1">
        <v>21060</v>
      </c>
      <c r="AX2297">
        <v>2</v>
      </c>
    </row>
    <row r="2298" spans="1:50">
      <c r="A2298">
        <v>227851</v>
      </c>
      <c r="B2298" t="str">
        <f>"101358649"</f>
        <v>101358649</v>
      </c>
      <c r="C2298" t="s">
        <v>105</v>
      </c>
      <c r="D2298" t="s">
        <v>4739</v>
      </c>
      <c r="E2298" t="s">
        <v>510</v>
      </c>
      <c r="F2298" t="s">
        <v>4740</v>
      </c>
      <c r="G2298" t="s">
        <v>4737</v>
      </c>
      <c r="H2298" t="str">
        <f>"ΛΟΥΡΟΣ ΠΡΕΒΕΖΑΣ ΠΡΕΒΕΖΑ"</f>
        <v>ΛΟΥΡΟΣ ΠΡΕΒΕΖΑΣ ΠΡΕΒΕΖΑ</v>
      </c>
      <c r="I2298">
        <v>48061</v>
      </c>
      <c r="J2298">
        <v>2682031685</v>
      </c>
      <c r="K2298">
        <v>6973301682</v>
      </c>
      <c r="M2298" t="s">
        <v>4741</v>
      </c>
      <c r="N2298" t="s">
        <v>176</v>
      </c>
      <c r="O2298" t="s">
        <v>177</v>
      </c>
      <c r="R2298" t="s">
        <v>57</v>
      </c>
      <c r="S2298">
        <v>5</v>
      </c>
      <c r="T2298">
        <v>654</v>
      </c>
      <c r="U2298" s="1">
        <v>40043</v>
      </c>
      <c r="V2298" t="s">
        <v>4509</v>
      </c>
      <c r="W2298" t="s">
        <v>4510</v>
      </c>
      <c r="X2298" t="s">
        <v>58</v>
      </c>
      <c r="Y2298">
        <v>21</v>
      </c>
      <c r="Z2298" t="s">
        <v>59</v>
      </c>
      <c r="AA2298" t="s">
        <v>59</v>
      </c>
      <c r="AB2298" t="s">
        <v>59</v>
      </c>
      <c r="AC2298" t="s">
        <v>59</v>
      </c>
      <c r="AD2298" t="s">
        <v>59</v>
      </c>
      <c r="AF2298" s="1">
        <v>40043</v>
      </c>
      <c r="AG2298" t="s">
        <v>125</v>
      </c>
      <c r="AH2298" t="s">
        <v>126</v>
      </c>
      <c r="AI2298" t="str">
        <f>"3202010"</f>
        <v>3202010</v>
      </c>
      <c r="AJ2298" t="s">
        <v>4517</v>
      </c>
      <c r="AK2298">
        <v>2842028229</v>
      </c>
      <c r="AL2298" t="s">
        <v>4518</v>
      </c>
      <c r="AM2298" t="s">
        <v>4513</v>
      </c>
      <c r="AN2298" t="s">
        <v>4519</v>
      </c>
      <c r="AO2298" t="s">
        <v>4519</v>
      </c>
      <c r="AP2298" t="s">
        <v>4519</v>
      </c>
      <c r="AQ2298">
        <v>4</v>
      </c>
      <c r="AR2298" t="s">
        <v>4509</v>
      </c>
      <c r="AS2298" t="s">
        <v>4510</v>
      </c>
      <c r="AT2298" t="s">
        <v>58</v>
      </c>
      <c r="AU2298" t="s">
        <v>68</v>
      </c>
      <c r="AV2298" t="s">
        <v>132</v>
      </c>
      <c r="AW2298" s="1">
        <v>27419</v>
      </c>
      <c r="AX2298">
        <v>2</v>
      </c>
    </row>
    <row r="2299" spans="1:50">
      <c r="A2299">
        <v>148204</v>
      </c>
      <c r="B2299" t="str">
        <f>"029959530"</f>
        <v>029959530</v>
      </c>
      <c r="C2299" t="s">
        <v>105</v>
      </c>
      <c r="D2299" t="s">
        <v>4742</v>
      </c>
      <c r="E2299" t="s">
        <v>564</v>
      </c>
      <c r="F2299" t="s">
        <v>510</v>
      </c>
      <c r="G2299" t="s">
        <v>2239</v>
      </c>
      <c r="H2299" t="str">
        <f>"ΣΚΟΡΔΥΛΩΝ 45 ΑΓΙΟΣ ΝΙΚΟΛΑΟΣ"</f>
        <v>ΣΚΟΡΔΥΛΩΝ 45 ΑΓΙΟΣ ΝΙΚΟΛΑΟΣ</v>
      </c>
      <c r="I2299">
        <v>72100</v>
      </c>
      <c r="J2299">
        <v>2841025791</v>
      </c>
      <c r="K2299">
        <v>6948086137</v>
      </c>
      <c r="M2299" t="s">
        <v>4743</v>
      </c>
      <c r="N2299" t="s">
        <v>146</v>
      </c>
      <c r="O2299" t="s">
        <v>147</v>
      </c>
      <c r="R2299" t="s">
        <v>57</v>
      </c>
      <c r="S2299">
        <v>15</v>
      </c>
      <c r="T2299">
        <v>205</v>
      </c>
      <c r="U2299" s="1">
        <v>31658</v>
      </c>
      <c r="V2299" t="s">
        <v>4509</v>
      </c>
      <c r="W2299" t="s">
        <v>4510</v>
      </c>
      <c r="X2299" t="s">
        <v>58</v>
      </c>
      <c r="Y2299">
        <v>18</v>
      </c>
      <c r="Z2299" t="s">
        <v>59</v>
      </c>
      <c r="AA2299" t="s">
        <v>59</v>
      </c>
      <c r="AB2299" t="s">
        <v>59</v>
      </c>
      <c r="AC2299" t="s">
        <v>59</v>
      </c>
      <c r="AD2299" t="s">
        <v>59</v>
      </c>
      <c r="AF2299" s="1">
        <v>31659</v>
      </c>
      <c r="AG2299" t="s">
        <v>125</v>
      </c>
      <c r="AH2299" t="s">
        <v>126</v>
      </c>
      <c r="AI2299" t="str">
        <f>"3201020"</f>
        <v>3201020</v>
      </c>
      <c r="AJ2299" t="s">
        <v>4511</v>
      </c>
      <c r="AK2299">
        <v>2841024586</v>
      </c>
      <c r="AL2299" t="s">
        <v>4512</v>
      </c>
      <c r="AM2299" t="s">
        <v>4513</v>
      </c>
      <c r="AN2299" t="s">
        <v>4514</v>
      </c>
      <c r="AO2299" t="s">
        <v>4514</v>
      </c>
      <c r="AP2299" t="s">
        <v>4514</v>
      </c>
      <c r="AQ2299">
        <v>1</v>
      </c>
      <c r="AR2299" t="s">
        <v>4509</v>
      </c>
      <c r="AS2299" t="s">
        <v>4510</v>
      </c>
      <c r="AT2299" t="s">
        <v>58</v>
      </c>
      <c r="AU2299" t="s">
        <v>68</v>
      </c>
      <c r="AV2299" t="s">
        <v>69</v>
      </c>
      <c r="AW2299" s="1">
        <v>21222</v>
      </c>
      <c r="AX2299">
        <v>2</v>
      </c>
    </row>
    <row r="2300" spans="1:50">
      <c r="A2300">
        <v>190054</v>
      </c>
      <c r="B2300" t="str">
        <f>"049901440"</f>
        <v>049901440</v>
      </c>
      <c r="C2300" t="s">
        <v>105</v>
      </c>
      <c r="D2300" t="s">
        <v>4744</v>
      </c>
      <c r="E2300" t="s">
        <v>72</v>
      </c>
      <c r="F2300" t="s">
        <v>95</v>
      </c>
      <c r="G2300" t="s">
        <v>52</v>
      </c>
      <c r="H2300" t="str">
        <f>" "</f>
        <v xml:space="preserve"> </v>
      </c>
      <c r="M2300" t="s">
        <v>4745</v>
      </c>
      <c r="N2300" t="s">
        <v>199</v>
      </c>
      <c r="O2300" t="s">
        <v>200</v>
      </c>
      <c r="R2300" t="s">
        <v>57</v>
      </c>
      <c r="S2300">
        <v>10</v>
      </c>
      <c r="T2300">
        <v>219</v>
      </c>
      <c r="U2300" s="1">
        <v>37134</v>
      </c>
      <c r="V2300" t="s">
        <v>4509</v>
      </c>
      <c r="W2300" t="s">
        <v>4510</v>
      </c>
      <c r="X2300" t="s">
        <v>58</v>
      </c>
      <c r="Y2300">
        <v>20</v>
      </c>
      <c r="Z2300" t="s">
        <v>59</v>
      </c>
      <c r="AA2300" t="s">
        <v>59</v>
      </c>
      <c r="AB2300" t="s">
        <v>59</v>
      </c>
      <c r="AC2300" t="s">
        <v>59</v>
      </c>
      <c r="AD2300" t="s">
        <v>59</v>
      </c>
      <c r="AF2300" s="1">
        <v>37135</v>
      </c>
      <c r="AG2300" t="s">
        <v>148</v>
      </c>
      <c r="AH2300" t="s">
        <v>149</v>
      </c>
      <c r="AI2300" t="str">
        <f>"3253010"</f>
        <v>3253010</v>
      </c>
      <c r="AJ2300" t="s">
        <v>4579</v>
      </c>
      <c r="AK2300">
        <v>2841031769</v>
      </c>
      <c r="AL2300" t="s">
        <v>4580</v>
      </c>
      <c r="AM2300" t="s">
        <v>4513</v>
      </c>
      <c r="AN2300" t="s">
        <v>4514</v>
      </c>
      <c r="AO2300" t="s">
        <v>4524</v>
      </c>
      <c r="AP2300" t="s">
        <v>4525</v>
      </c>
      <c r="AQ2300">
        <v>3</v>
      </c>
      <c r="AR2300" t="s">
        <v>4509</v>
      </c>
      <c r="AS2300" t="s">
        <v>4510</v>
      </c>
      <c r="AT2300" t="s">
        <v>58</v>
      </c>
      <c r="AU2300" t="s">
        <v>68</v>
      </c>
      <c r="AV2300" t="s">
        <v>69</v>
      </c>
      <c r="AW2300" s="1">
        <v>28176</v>
      </c>
      <c r="AX2300">
        <v>2</v>
      </c>
    </row>
    <row r="2301" spans="1:50">
      <c r="A2301">
        <v>188279</v>
      </c>
      <c r="B2301" t="str">
        <f>"058460142"</f>
        <v>058460142</v>
      </c>
      <c r="C2301" t="s">
        <v>105</v>
      </c>
      <c r="D2301" t="s">
        <v>4746</v>
      </c>
      <c r="E2301" t="s">
        <v>106</v>
      </c>
      <c r="F2301" t="s">
        <v>72</v>
      </c>
      <c r="G2301" t="s">
        <v>52</v>
      </c>
      <c r="H2301" t="str">
        <f>" "</f>
        <v xml:space="preserve"> </v>
      </c>
      <c r="K2301">
        <v>6932094456</v>
      </c>
      <c r="M2301" t="s">
        <v>4747</v>
      </c>
      <c r="N2301" t="s">
        <v>204</v>
      </c>
      <c r="O2301" t="s">
        <v>205</v>
      </c>
      <c r="P2301" t="s">
        <v>331</v>
      </c>
      <c r="Q2301" t="s">
        <v>332</v>
      </c>
      <c r="R2301" t="s">
        <v>57</v>
      </c>
      <c r="S2301">
        <v>11</v>
      </c>
      <c r="T2301">
        <v>251</v>
      </c>
      <c r="U2301" s="1">
        <v>36769</v>
      </c>
      <c r="V2301" t="s">
        <v>4509</v>
      </c>
      <c r="W2301" t="s">
        <v>4510</v>
      </c>
      <c r="X2301" t="s">
        <v>58</v>
      </c>
      <c r="Y2301">
        <v>20</v>
      </c>
      <c r="Z2301" t="s">
        <v>59</v>
      </c>
      <c r="AA2301" t="s">
        <v>59</v>
      </c>
      <c r="AB2301" t="s">
        <v>59</v>
      </c>
      <c r="AC2301" t="s">
        <v>59</v>
      </c>
      <c r="AD2301" t="s">
        <v>59</v>
      </c>
      <c r="AF2301" s="1">
        <v>36770</v>
      </c>
      <c r="AG2301" t="s">
        <v>125</v>
      </c>
      <c r="AH2301" t="s">
        <v>126</v>
      </c>
      <c r="AI2301" t="str">
        <f>"3203010"</f>
        <v>3203010</v>
      </c>
      <c r="AJ2301" t="s">
        <v>4522</v>
      </c>
      <c r="AK2301">
        <v>2841034140</v>
      </c>
      <c r="AL2301" t="s">
        <v>4523</v>
      </c>
      <c r="AM2301" t="s">
        <v>4513</v>
      </c>
      <c r="AN2301" t="s">
        <v>4514</v>
      </c>
      <c r="AO2301" t="s">
        <v>4524</v>
      </c>
      <c r="AP2301" t="s">
        <v>4525</v>
      </c>
      <c r="AQ2301">
        <v>3</v>
      </c>
      <c r="AR2301" t="s">
        <v>4509</v>
      </c>
      <c r="AS2301" t="s">
        <v>4510</v>
      </c>
      <c r="AT2301" t="s">
        <v>58</v>
      </c>
      <c r="AU2301" t="s">
        <v>68</v>
      </c>
      <c r="AV2301" t="s">
        <v>69</v>
      </c>
      <c r="AW2301" s="1">
        <v>27030</v>
      </c>
      <c r="AX2301">
        <v>2</v>
      </c>
    </row>
    <row r="2302" spans="1:50">
      <c r="A2302">
        <v>214486</v>
      </c>
      <c r="B2302" t="str">
        <f>"043144959"</f>
        <v>043144959</v>
      </c>
      <c r="C2302" t="s">
        <v>105</v>
      </c>
      <c r="D2302" t="s">
        <v>4748</v>
      </c>
      <c r="E2302" t="s">
        <v>106</v>
      </c>
      <c r="F2302" t="s">
        <v>99</v>
      </c>
      <c r="G2302" t="s">
        <v>4749</v>
      </c>
      <c r="H2302" t="str">
        <f>"ΘΕΡΙΣΣΟΥ 26 ΣΗΤΕΙΑ"</f>
        <v>ΘΕΡΙΣΣΟΥ 26 ΣΗΤΕΙΑ</v>
      </c>
      <c r="I2302">
        <v>72300</v>
      </c>
      <c r="J2302">
        <v>2843026047</v>
      </c>
      <c r="K2302">
        <v>6937002325</v>
      </c>
      <c r="M2302" t="s">
        <v>4750</v>
      </c>
      <c r="N2302" t="s">
        <v>176</v>
      </c>
      <c r="O2302" t="s">
        <v>177</v>
      </c>
      <c r="R2302" t="s">
        <v>57</v>
      </c>
      <c r="S2302">
        <v>8</v>
      </c>
      <c r="T2302">
        <v>231</v>
      </c>
      <c r="U2302" s="1">
        <v>38960</v>
      </c>
      <c r="V2302" t="s">
        <v>4509</v>
      </c>
      <c r="W2302" t="s">
        <v>4510</v>
      </c>
      <c r="X2302" t="s">
        <v>58</v>
      </c>
      <c r="Y2302">
        <v>20</v>
      </c>
      <c r="Z2302" t="s">
        <v>59</v>
      </c>
      <c r="AA2302" t="s">
        <v>59</v>
      </c>
      <c r="AB2302" t="s">
        <v>59</v>
      </c>
      <c r="AC2302" t="s">
        <v>59</v>
      </c>
      <c r="AD2302" t="s">
        <v>59</v>
      </c>
      <c r="AF2302" s="1">
        <v>38961</v>
      </c>
      <c r="AG2302" t="s">
        <v>125</v>
      </c>
      <c r="AH2302" t="s">
        <v>126</v>
      </c>
      <c r="AI2302" t="str">
        <f>"3204010"</f>
        <v>3204010</v>
      </c>
      <c r="AJ2302" t="s">
        <v>4542</v>
      </c>
      <c r="AK2302">
        <v>2843022503</v>
      </c>
      <c r="AL2302" t="s">
        <v>4543</v>
      </c>
      <c r="AM2302" t="s">
        <v>4513</v>
      </c>
      <c r="AN2302" t="s">
        <v>4540</v>
      </c>
      <c r="AO2302" t="s">
        <v>4540</v>
      </c>
      <c r="AP2302" t="s">
        <v>4540</v>
      </c>
      <c r="AQ2302">
        <v>6</v>
      </c>
      <c r="AR2302" t="s">
        <v>4509</v>
      </c>
      <c r="AS2302" t="s">
        <v>4510</v>
      </c>
      <c r="AT2302" t="s">
        <v>58</v>
      </c>
      <c r="AU2302" t="s">
        <v>68</v>
      </c>
      <c r="AV2302" t="s">
        <v>132</v>
      </c>
      <c r="AW2302" s="1">
        <v>23232</v>
      </c>
      <c r="AX2302">
        <v>2</v>
      </c>
    </row>
    <row r="2303" spans="1:50">
      <c r="A2303">
        <v>200547</v>
      </c>
      <c r="B2303" t="str">
        <f>"103804373"</f>
        <v>103804373</v>
      </c>
      <c r="C2303" t="s">
        <v>50</v>
      </c>
      <c r="D2303" t="s">
        <v>1198</v>
      </c>
      <c r="E2303" t="s">
        <v>52</v>
      </c>
      <c r="F2303" t="s">
        <v>72</v>
      </c>
      <c r="G2303" t="s">
        <v>83</v>
      </c>
      <c r="H2303" t="str">
        <f>" "</f>
        <v xml:space="preserve"> </v>
      </c>
      <c r="J2303">
        <v>2810213757</v>
      </c>
      <c r="K2303">
        <v>6978005941</v>
      </c>
      <c r="M2303" t="s">
        <v>4751</v>
      </c>
      <c r="N2303" t="s">
        <v>299</v>
      </c>
      <c r="O2303" t="s">
        <v>300</v>
      </c>
      <c r="R2303" t="s">
        <v>57</v>
      </c>
      <c r="S2303">
        <v>8</v>
      </c>
      <c r="T2303">
        <v>213</v>
      </c>
      <c r="U2303" s="1">
        <v>37874</v>
      </c>
      <c r="V2303" t="s">
        <v>4509</v>
      </c>
      <c r="W2303" t="s">
        <v>4510</v>
      </c>
      <c r="X2303" t="s">
        <v>58</v>
      </c>
      <c r="Y2303">
        <v>20</v>
      </c>
      <c r="Z2303" t="s">
        <v>59</v>
      </c>
      <c r="AA2303" t="s">
        <v>59</v>
      </c>
      <c r="AB2303" t="s">
        <v>59</v>
      </c>
      <c r="AC2303" t="s">
        <v>59</v>
      </c>
      <c r="AD2303" t="s">
        <v>59</v>
      </c>
      <c r="AF2303" s="1">
        <v>37875</v>
      </c>
      <c r="AG2303" t="s">
        <v>137</v>
      </c>
      <c r="AH2303" t="s">
        <v>138</v>
      </c>
      <c r="AI2303" t="str">
        <f>"3240120"</f>
        <v>3240120</v>
      </c>
      <c r="AJ2303" t="s">
        <v>4552</v>
      </c>
      <c r="AK2303">
        <v>2842028667</v>
      </c>
      <c r="AL2303" t="s">
        <v>4553</v>
      </c>
      <c r="AM2303" t="s">
        <v>4513</v>
      </c>
      <c r="AN2303" t="s">
        <v>4519</v>
      </c>
      <c r="AO2303" t="s">
        <v>4519</v>
      </c>
      <c r="AP2303" t="s">
        <v>4519</v>
      </c>
      <c r="AQ2303">
        <v>4</v>
      </c>
      <c r="AR2303" t="s">
        <v>4509</v>
      </c>
      <c r="AS2303" t="s">
        <v>4510</v>
      </c>
      <c r="AT2303" t="s">
        <v>58</v>
      </c>
      <c r="AU2303" t="s">
        <v>68</v>
      </c>
      <c r="AV2303" t="s">
        <v>69</v>
      </c>
      <c r="AW2303" s="1">
        <v>26306</v>
      </c>
      <c r="AX2303">
        <v>2</v>
      </c>
    </row>
    <row r="2304" spans="1:50">
      <c r="A2304">
        <v>216029</v>
      </c>
      <c r="B2304" t="str">
        <f>"123155323"</f>
        <v>123155323</v>
      </c>
      <c r="C2304" t="s">
        <v>50</v>
      </c>
      <c r="D2304" t="s">
        <v>1206</v>
      </c>
      <c r="E2304" t="s">
        <v>52</v>
      </c>
      <c r="F2304" t="s">
        <v>84</v>
      </c>
      <c r="G2304" t="s">
        <v>610</v>
      </c>
      <c r="H2304" t="str">
        <f>" "</f>
        <v xml:space="preserve"> </v>
      </c>
      <c r="J2304">
        <v>2810319542</v>
      </c>
      <c r="K2304">
        <v>6975875223</v>
      </c>
      <c r="M2304" t="s">
        <v>4752</v>
      </c>
      <c r="N2304" t="s">
        <v>204</v>
      </c>
      <c r="O2304" t="s">
        <v>205</v>
      </c>
      <c r="R2304" t="s">
        <v>57</v>
      </c>
      <c r="S2304">
        <v>6</v>
      </c>
      <c r="T2304">
        <v>232</v>
      </c>
      <c r="U2304" s="1">
        <v>38960</v>
      </c>
      <c r="V2304" t="s">
        <v>4509</v>
      </c>
      <c r="W2304" t="s">
        <v>4510</v>
      </c>
      <c r="X2304" t="s">
        <v>58</v>
      </c>
      <c r="Y2304">
        <v>20</v>
      </c>
      <c r="Z2304" t="s">
        <v>59</v>
      </c>
      <c r="AA2304" t="s">
        <v>59</v>
      </c>
      <c r="AB2304" t="s">
        <v>59</v>
      </c>
      <c r="AC2304" t="s">
        <v>59</v>
      </c>
      <c r="AD2304" t="s">
        <v>59</v>
      </c>
      <c r="AF2304" s="1">
        <v>38964</v>
      </c>
      <c r="AG2304" t="s">
        <v>137</v>
      </c>
      <c r="AH2304" t="s">
        <v>469</v>
      </c>
      <c r="AI2304" t="str">
        <f>"3240125"</f>
        <v>3240125</v>
      </c>
      <c r="AJ2304" t="s">
        <v>4707</v>
      </c>
      <c r="AK2304">
        <v>2842024905</v>
      </c>
      <c r="AL2304" t="s">
        <v>4708</v>
      </c>
      <c r="AM2304" t="s">
        <v>4513</v>
      </c>
      <c r="AN2304" t="s">
        <v>4519</v>
      </c>
      <c r="AO2304" t="s">
        <v>4519</v>
      </c>
      <c r="AP2304" t="s">
        <v>4519</v>
      </c>
      <c r="AQ2304">
        <v>4</v>
      </c>
      <c r="AR2304" t="s">
        <v>4509</v>
      </c>
      <c r="AS2304" t="s">
        <v>4510</v>
      </c>
      <c r="AT2304" t="s">
        <v>58</v>
      </c>
      <c r="AU2304" t="s">
        <v>68</v>
      </c>
      <c r="AV2304" t="s">
        <v>69</v>
      </c>
      <c r="AW2304" s="1">
        <v>29168</v>
      </c>
      <c r="AX2304">
        <v>2</v>
      </c>
    </row>
    <row r="2305" spans="1:50">
      <c r="A2305">
        <v>198805</v>
      </c>
      <c r="B2305" t="str">
        <f>"065260503"</f>
        <v>065260503</v>
      </c>
      <c r="C2305" t="s">
        <v>50</v>
      </c>
      <c r="D2305" t="s">
        <v>1221</v>
      </c>
      <c r="E2305" t="s">
        <v>181</v>
      </c>
      <c r="F2305" t="s">
        <v>311</v>
      </c>
      <c r="G2305" t="s">
        <v>4753</v>
      </c>
      <c r="H2305" t="str">
        <f>" "</f>
        <v xml:space="preserve"> </v>
      </c>
      <c r="J2305">
        <v>2841026360</v>
      </c>
      <c r="K2305">
        <v>6973287731</v>
      </c>
      <c r="M2305" t="s">
        <v>4754</v>
      </c>
      <c r="N2305" t="s">
        <v>288</v>
      </c>
      <c r="O2305" t="s">
        <v>289</v>
      </c>
      <c r="R2305" t="s">
        <v>57</v>
      </c>
      <c r="S2305">
        <v>9</v>
      </c>
      <c r="T2305">
        <v>206</v>
      </c>
      <c r="U2305" s="1">
        <v>37866</v>
      </c>
      <c r="V2305" t="s">
        <v>4509</v>
      </c>
      <c r="W2305" t="s">
        <v>4510</v>
      </c>
      <c r="X2305" t="s">
        <v>58</v>
      </c>
      <c r="Y2305">
        <v>20</v>
      </c>
      <c r="Z2305" t="s">
        <v>59</v>
      </c>
      <c r="AA2305" t="s">
        <v>59</v>
      </c>
      <c r="AB2305" t="s">
        <v>59</v>
      </c>
      <c r="AC2305" t="s">
        <v>59</v>
      </c>
      <c r="AD2305" t="s">
        <v>59</v>
      </c>
      <c r="AF2305" s="1">
        <v>37866</v>
      </c>
      <c r="AG2305" t="s">
        <v>125</v>
      </c>
      <c r="AH2305" t="s">
        <v>126</v>
      </c>
      <c r="AI2305" t="str">
        <f>"3207010"</f>
        <v>3207010</v>
      </c>
      <c r="AJ2305" t="s">
        <v>4755</v>
      </c>
      <c r="AK2305">
        <v>2841051452</v>
      </c>
      <c r="AL2305" t="s">
        <v>4756</v>
      </c>
      <c r="AM2305" t="s">
        <v>4513</v>
      </c>
      <c r="AN2305" t="s">
        <v>4514</v>
      </c>
      <c r="AO2305" t="s">
        <v>4514</v>
      </c>
      <c r="AP2305" t="s">
        <v>4757</v>
      </c>
      <c r="AQ2305">
        <v>1</v>
      </c>
      <c r="AR2305" t="s">
        <v>4509</v>
      </c>
      <c r="AS2305" t="s">
        <v>4510</v>
      </c>
      <c r="AT2305" t="s">
        <v>58</v>
      </c>
      <c r="AU2305" t="s">
        <v>68</v>
      </c>
      <c r="AV2305" t="s">
        <v>69</v>
      </c>
      <c r="AW2305" s="1">
        <v>29520</v>
      </c>
      <c r="AX2305">
        <v>2</v>
      </c>
    </row>
    <row r="2306" spans="1:50">
      <c r="A2306">
        <v>182439</v>
      </c>
      <c r="B2306" t="str">
        <f>"302430761"</f>
        <v>302430761</v>
      </c>
      <c r="C2306" t="s">
        <v>50</v>
      </c>
      <c r="D2306" t="s">
        <v>1243</v>
      </c>
      <c r="E2306" t="s">
        <v>215</v>
      </c>
      <c r="F2306" t="s">
        <v>72</v>
      </c>
      <c r="G2306" t="s">
        <v>382</v>
      </c>
      <c r="H2306" t="str">
        <f>"ΒΙΤΣ.ΚΟΡΝΑΡΟΥ 17 ΑΓΙΟΣ ΝΙΚΟΛΑΟΣ"</f>
        <v>ΒΙΤΣ.ΚΟΡΝΑΡΟΥ 17 ΑΓΙΟΣ ΝΙΚΟΛΑΟΣ</v>
      </c>
      <c r="I2306">
        <v>72100</v>
      </c>
      <c r="J2306">
        <v>2841025256</v>
      </c>
      <c r="K2306">
        <v>6972466362</v>
      </c>
      <c r="M2306" t="s">
        <v>4758</v>
      </c>
      <c r="N2306" t="s">
        <v>146</v>
      </c>
      <c r="O2306" t="s">
        <v>147</v>
      </c>
      <c r="R2306" t="s">
        <v>57</v>
      </c>
      <c r="S2306">
        <v>11</v>
      </c>
      <c r="T2306">
        <v>249</v>
      </c>
      <c r="U2306" s="1">
        <v>36160</v>
      </c>
      <c r="V2306" t="s">
        <v>4509</v>
      </c>
      <c r="W2306" t="s">
        <v>4510</v>
      </c>
      <c r="X2306" t="s">
        <v>58</v>
      </c>
      <c r="Y2306">
        <v>18</v>
      </c>
      <c r="Z2306" t="s">
        <v>59</v>
      </c>
      <c r="AA2306" t="s">
        <v>59</v>
      </c>
      <c r="AB2306" t="s">
        <v>59</v>
      </c>
      <c r="AC2306" t="s">
        <v>59</v>
      </c>
      <c r="AD2306" t="s">
        <v>59</v>
      </c>
      <c r="AF2306" s="1">
        <v>36163</v>
      </c>
      <c r="AG2306" t="s">
        <v>137</v>
      </c>
      <c r="AH2306" t="s">
        <v>138</v>
      </c>
      <c r="AI2306" t="str">
        <f>"3240077"</f>
        <v>3240077</v>
      </c>
      <c r="AJ2306" t="s">
        <v>4528</v>
      </c>
      <c r="AK2306">
        <v>2841025978</v>
      </c>
      <c r="AL2306" t="s">
        <v>4529</v>
      </c>
      <c r="AM2306" t="s">
        <v>4513</v>
      </c>
      <c r="AN2306" t="s">
        <v>4514</v>
      </c>
      <c r="AO2306" t="s">
        <v>4514</v>
      </c>
      <c r="AP2306" t="s">
        <v>4514</v>
      </c>
      <c r="AQ2306">
        <v>1</v>
      </c>
      <c r="AR2306" t="s">
        <v>4509</v>
      </c>
      <c r="AS2306" t="s">
        <v>4510</v>
      </c>
      <c r="AT2306" t="s">
        <v>58</v>
      </c>
      <c r="AU2306" t="s">
        <v>68</v>
      </c>
      <c r="AV2306" t="s">
        <v>69</v>
      </c>
      <c r="AW2306" s="1">
        <v>24928</v>
      </c>
      <c r="AX2306">
        <v>2</v>
      </c>
    </row>
    <row r="2307" spans="1:50">
      <c r="A2307">
        <v>227565</v>
      </c>
      <c r="B2307" t="str">
        <f>"138978742"</f>
        <v>138978742</v>
      </c>
      <c r="C2307" t="s">
        <v>50</v>
      </c>
      <c r="D2307" t="s">
        <v>4759</v>
      </c>
      <c r="E2307" t="s">
        <v>755</v>
      </c>
      <c r="F2307" t="s">
        <v>1357</v>
      </c>
      <c r="G2307" t="s">
        <v>1355</v>
      </c>
      <c r="H2307" t="str">
        <f>"ΔΕΛΑΠΟΡΤΑ 18 ΗΡΑΚΛΕΙΟ"</f>
        <v>ΔΕΛΑΠΟΡΤΑ 18 ΗΡΑΚΛΕΙΟ</v>
      </c>
      <c r="I2307">
        <v>71409</v>
      </c>
      <c r="J2307">
        <v>2810321097</v>
      </c>
      <c r="K2307">
        <v>6972436485</v>
      </c>
      <c r="M2307" t="s">
        <v>4760</v>
      </c>
      <c r="N2307" t="s">
        <v>478</v>
      </c>
      <c r="O2307" t="s">
        <v>479</v>
      </c>
      <c r="R2307" t="s">
        <v>57</v>
      </c>
      <c r="S2307">
        <v>4</v>
      </c>
      <c r="T2307">
        <v>654</v>
      </c>
      <c r="U2307" s="1">
        <v>40043</v>
      </c>
      <c r="V2307" t="s">
        <v>4509</v>
      </c>
      <c r="W2307" t="s">
        <v>4510</v>
      </c>
      <c r="X2307" t="s">
        <v>58</v>
      </c>
      <c r="Y2307">
        <v>21</v>
      </c>
      <c r="Z2307" t="s">
        <v>59</v>
      </c>
      <c r="AA2307" t="s">
        <v>59</v>
      </c>
      <c r="AB2307" t="s">
        <v>59</v>
      </c>
      <c r="AC2307" t="s">
        <v>59</v>
      </c>
      <c r="AD2307" t="s">
        <v>59</v>
      </c>
      <c r="AF2307" s="1">
        <v>40043</v>
      </c>
      <c r="AG2307" t="s">
        <v>125</v>
      </c>
      <c r="AH2307" t="s">
        <v>126</v>
      </c>
      <c r="AI2307" t="str">
        <f>"3201025"</f>
        <v>3201025</v>
      </c>
      <c r="AJ2307" t="s">
        <v>4682</v>
      </c>
      <c r="AK2307">
        <v>2841021388</v>
      </c>
      <c r="AL2307" t="s">
        <v>4683</v>
      </c>
      <c r="AM2307" t="s">
        <v>4513</v>
      </c>
      <c r="AN2307" t="s">
        <v>4514</v>
      </c>
      <c r="AO2307" t="s">
        <v>4514</v>
      </c>
      <c r="AP2307" t="s">
        <v>4514</v>
      </c>
      <c r="AQ2307">
        <v>1</v>
      </c>
      <c r="AR2307" t="s">
        <v>4509</v>
      </c>
      <c r="AS2307" t="s">
        <v>4510</v>
      </c>
      <c r="AT2307" t="s">
        <v>58</v>
      </c>
      <c r="AU2307" t="s">
        <v>68</v>
      </c>
      <c r="AV2307" t="s">
        <v>132</v>
      </c>
      <c r="AW2307" s="1">
        <v>28126</v>
      </c>
      <c r="AX2307">
        <v>2</v>
      </c>
    </row>
    <row r="2308" spans="1:50">
      <c r="A2308">
        <v>152605</v>
      </c>
      <c r="B2308" t="str">
        <f>"023315682"</f>
        <v>023315682</v>
      </c>
      <c r="C2308" t="s">
        <v>50</v>
      </c>
      <c r="D2308" t="s">
        <v>4761</v>
      </c>
      <c r="E2308" t="s">
        <v>215</v>
      </c>
      <c r="F2308" t="s">
        <v>166</v>
      </c>
      <c r="G2308" t="s">
        <v>83</v>
      </c>
      <c r="H2308" t="str">
        <f>"ΗΡΑΚΛΕΙΟΥ 5 ΑΓΙΟΣ ΝΙΚΟΛΑΟΣ"</f>
        <v>ΗΡΑΚΛΕΙΟΥ 5 ΑΓΙΟΣ ΝΙΚΟΛΑΟΣ</v>
      </c>
      <c r="I2308">
        <v>72100</v>
      </c>
      <c r="J2308">
        <v>2841026469</v>
      </c>
      <c r="K2308">
        <v>6976286496</v>
      </c>
      <c r="M2308" t="s">
        <v>4762</v>
      </c>
      <c r="N2308" t="s">
        <v>299</v>
      </c>
      <c r="O2308" t="s">
        <v>300</v>
      </c>
      <c r="R2308" t="s">
        <v>57</v>
      </c>
      <c r="S2308">
        <v>15</v>
      </c>
      <c r="T2308">
        <v>193</v>
      </c>
      <c r="U2308" s="1">
        <v>32042</v>
      </c>
      <c r="V2308" t="s">
        <v>4509</v>
      </c>
      <c r="W2308" t="s">
        <v>4510</v>
      </c>
      <c r="X2308" t="s">
        <v>58</v>
      </c>
      <c r="Y2308">
        <v>18</v>
      </c>
      <c r="Z2308" t="s">
        <v>59</v>
      </c>
      <c r="AA2308" t="s">
        <v>59</v>
      </c>
      <c r="AB2308" t="s">
        <v>59</v>
      </c>
      <c r="AC2308" t="s">
        <v>59</v>
      </c>
      <c r="AD2308" t="s">
        <v>59</v>
      </c>
      <c r="AF2308" s="1">
        <v>32043</v>
      </c>
      <c r="AG2308" t="s">
        <v>137</v>
      </c>
      <c r="AH2308" t="s">
        <v>138</v>
      </c>
      <c r="AI2308" t="str">
        <f>"3240077"</f>
        <v>3240077</v>
      </c>
      <c r="AJ2308" t="s">
        <v>4528</v>
      </c>
      <c r="AK2308">
        <v>2841025978</v>
      </c>
      <c r="AL2308" t="s">
        <v>4529</v>
      </c>
      <c r="AM2308" t="s">
        <v>4513</v>
      </c>
      <c r="AN2308" t="s">
        <v>4514</v>
      </c>
      <c r="AO2308" t="s">
        <v>4514</v>
      </c>
      <c r="AP2308" t="s">
        <v>4514</v>
      </c>
      <c r="AQ2308">
        <v>1</v>
      </c>
      <c r="AR2308" t="s">
        <v>4509</v>
      </c>
      <c r="AS2308" t="s">
        <v>4510</v>
      </c>
      <c r="AT2308" t="s">
        <v>58</v>
      </c>
      <c r="AU2308" t="s">
        <v>68</v>
      </c>
      <c r="AV2308" t="s">
        <v>69</v>
      </c>
      <c r="AW2308" s="1">
        <v>20226</v>
      </c>
      <c r="AX2308">
        <v>2</v>
      </c>
    </row>
    <row r="2309" spans="1:50">
      <c r="A2309">
        <v>224085</v>
      </c>
      <c r="B2309" t="str">
        <f>"110344864"</f>
        <v>110344864</v>
      </c>
      <c r="C2309" t="s">
        <v>50</v>
      </c>
      <c r="D2309" t="s">
        <v>4761</v>
      </c>
      <c r="E2309" t="s">
        <v>52</v>
      </c>
      <c r="F2309" t="s">
        <v>153</v>
      </c>
      <c r="G2309" t="s">
        <v>215</v>
      </c>
      <c r="H2309" t="str">
        <f>" "</f>
        <v xml:space="preserve"> </v>
      </c>
      <c r="J2309">
        <v>2841022024</v>
      </c>
      <c r="K2309">
        <v>6972741669</v>
      </c>
      <c r="M2309" t="s">
        <v>4763</v>
      </c>
      <c r="N2309" t="s">
        <v>306</v>
      </c>
      <c r="O2309" t="s">
        <v>307</v>
      </c>
      <c r="R2309" t="s">
        <v>57</v>
      </c>
      <c r="S2309">
        <v>5</v>
      </c>
      <c r="T2309">
        <v>775</v>
      </c>
      <c r="U2309" s="1">
        <v>39680</v>
      </c>
      <c r="V2309" t="s">
        <v>4509</v>
      </c>
      <c r="W2309" t="s">
        <v>4510</v>
      </c>
      <c r="X2309" t="s">
        <v>58</v>
      </c>
      <c r="Y2309">
        <v>21</v>
      </c>
      <c r="Z2309" t="s">
        <v>59</v>
      </c>
      <c r="AA2309" t="s">
        <v>59</v>
      </c>
      <c r="AB2309" t="s">
        <v>59</v>
      </c>
      <c r="AC2309" t="s">
        <v>59</v>
      </c>
      <c r="AD2309" t="s">
        <v>59</v>
      </c>
      <c r="AF2309" s="1">
        <v>39692</v>
      </c>
      <c r="AG2309" t="s">
        <v>148</v>
      </c>
      <c r="AH2309" t="s">
        <v>149</v>
      </c>
      <c r="AI2309" t="str">
        <f>"3260015"</f>
        <v>3260015</v>
      </c>
      <c r="AJ2309" t="s">
        <v>4764</v>
      </c>
      <c r="AK2309">
        <v>2843051787</v>
      </c>
      <c r="AL2309" t="s">
        <v>4765</v>
      </c>
      <c r="AM2309" t="s">
        <v>4513</v>
      </c>
      <c r="AN2309" t="s">
        <v>4519</v>
      </c>
      <c r="AO2309" t="s">
        <v>4766</v>
      </c>
      <c r="AP2309" t="s">
        <v>4767</v>
      </c>
      <c r="AQ2309">
        <v>5</v>
      </c>
      <c r="AR2309" t="s">
        <v>4509</v>
      </c>
      <c r="AS2309" t="s">
        <v>4510</v>
      </c>
      <c r="AT2309" t="s">
        <v>58</v>
      </c>
      <c r="AU2309" t="s">
        <v>68</v>
      </c>
      <c r="AV2309" t="s">
        <v>69</v>
      </c>
      <c r="AW2309" s="1">
        <v>30277</v>
      </c>
      <c r="AX2309">
        <v>2</v>
      </c>
    </row>
    <row r="2310" spans="1:50">
      <c r="B2310" t="str">
        <f>"137218767"</f>
        <v>137218767</v>
      </c>
      <c r="C2310" t="s">
        <v>50</v>
      </c>
      <c r="D2310" t="s">
        <v>1251</v>
      </c>
      <c r="E2310" t="s">
        <v>4768</v>
      </c>
      <c r="F2310" t="s">
        <v>53</v>
      </c>
      <c r="H2310" t="str">
        <f>" "</f>
        <v xml:space="preserve"> </v>
      </c>
      <c r="K2310">
        <v>6938989950</v>
      </c>
      <c r="M2310" t="s">
        <v>4769</v>
      </c>
      <c r="N2310" t="s">
        <v>257</v>
      </c>
      <c r="O2310" t="s">
        <v>258</v>
      </c>
      <c r="R2310" t="s">
        <v>159</v>
      </c>
      <c r="S2310">
        <v>3</v>
      </c>
      <c r="T2310" t="s">
        <v>416</v>
      </c>
      <c r="U2310" s="1">
        <v>43349</v>
      </c>
      <c r="V2310" t="s">
        <v>4509</v>
      </c>
      <c r="W2310" t="s">
        <v>4510</v>
      </c>
      <c r="X2310" t="s">
        <v>58</v>
      </c>
      <c r="Y2310">
        <v>23</v>
      </c>
      <c r="Z2310" t="s">
        <v>59</v>
      </c>
      <c r="AA2310" t="s">
        <v>59</v>
      </c>
      <c r="AB2310" t="s">
        <v>59</v>
      </c>
      <c r="AC2310" t="s">
        <v>59</v>
      </c>
      <c r="AD2310" t="s">
        <v>59</v>
      </c>
      <c r="AF2310" s="1">
        <v>43349</v>
      </c>
      <c r="AG2310" t="s">
        <v>125</v>
      </c>
      <c r="AH2310" t="s">
        <v>126</v>
      </c>
      <c r="AI2310" t="str">
        <f>"3203010"</f>
        <v>3203010</v>
      </c>
      <c r="AJ2310" t="s">
        <v>4522</v>
      </c>
      <c r="AK2310">
        <v>2841034140</v>
      </c>
      <c r="AL2310" t="s">
        <v>4523</v>
      </c>
      <c r="AM2310" t="s">
        <v>4513</v>
      </c>
      <c r="AN2310" t="s">
        <v>4514</v>
      </c>
      <c r="AO2310" t="s">
        <v>4524</v>
      </c>
      <c r="AP2310" t="s">
        <v>4525</v>
      </c>
      <c r="AQ2310">
        <v>3</v>
      </c>
      <c r="AR2310" t="s">
        <v>4509</v>
      </c>
      <c r="AS2310" t="s">
        <v>4510</v>
      </c>
      <c r="AT2310" t="s">
        <v>58</v>
      </c>
      <c r="AU2310" t="s">
        <v>419</v>
      </c>
      <c r="AV2310" t="s">
        <v>132</v>
      </c>
      <c r="AW2310" s="1">
        <v>30724</v>
      </c>
      <c r="AX2310">
        <v>2</v>
      </c>
    </row>
    <row r="2311" spans="1:50">
      <c r="A2311">
        <v>220315</v>
      </c>
      <c r="B2311" t="str">
        <f>"101447923"</f>
        <v>101447923</v>
      </c>
      <c r="C2311" t="s">
        <v>50</v>
      </c>
      <c r="D2311" t="s">
        <v>1251</v>
      </c>
      <c r="E2311" t="s">
        <v>1134</v>
      </c>
      <c r="F2311" t="s">
        <v>166</v>
      </c>
      <c r="G2311" t="s">
        <v>4770</v>
      </c>
      <c r="H2311" t="str">
        <f>"Οιδιποδος 28 ΑΘΗΝΑ"</f>
        <v>Οιδιποδος 28 ΑΘΗΝΑ</v>
      </c>
      <c r="I2311">
        <v>10443</v>
      </c>
      <c r="J2311">
        <v>2114089461</v>
      </c>
      <c r="K2311">
        <v>6932300124</v>
      </c>
      <c r="M2311" t="s">
        <v>4771</v>
      </c>
      <c r="N2311" t="s">
        <v>146</v>
      </c>
      <c r="O2311" t="s">
        <v>147</v>
      </c>
      <c r="R2311" t="s">
        <v>57</v>
      </c>
      <c r="S2311">
        <v>7</v>
      </c>
      <c r="T2311">
        <v>681</v>
      </c>
      <c r="U2311" s="1">
        <v>39325</v>
      </c>
      <c r="V2311" t="s">
        <v>4509</v>
      </c>
      <c r="W2311" t="s">
        <v>4510</v>
      </c>
      <c r="X2311" t="s">
        <v>58</v>
      </c>
      <c r="Y2311">
        <v>21</v>
      </c>
      <c r="Z2311" t="s">
        <v>59</v>
      </c>
      <c r="AA2311" t="s">
        <v>59</v>
      </c>
      <c r="AB2311" t="s">
        <v>59</v>
      </c>
      <c r="AC2311" t="s">
        <v>59</v>
      </c>
      <c r="AD2311" t="s">
        <v>59</v>
      </c>
      <c r="AF2311" s="1">
        <v>39326</v>
      </c>
      <c r="AG2311" t="s">
        <v>148</v>
      </c>
      <c r="AH2311" t="s">
        <v>149</v>
      </c>
      <c r="AI2311" t="str">
        <f>"3252020"</f>
        <v>3252020</v>
      </c>
      <c r="AJ2311" t="s">
        <v>4638</v>
      </c>
      <c r="AK2311">
        <v>2842022379</v>
      </c>
      <c r="AL2311" t="s">
        <v>4639</v>
      </c>
      <c r="AM2311" t="s">
        <v>4513</v>
      </c>
      <c r="AN2311" t="s">
        <v>4519</v>
      </c>
      <c r="AO2311" t="s">
        <v>4519</v>
      </c>
      <c r="AP2311" t="s">
        <v>4519</v>
      </c>
      <c r="AQ2311">
        <v>4</v>
      </c>
      <c r="AR2311" t="s">
        <v>4509</v>
      </c>
      <c r="AS2311" t="s">
        <v>4510</v>
      </c>
      <c r="AT2311" t="s">
        <v>58</v>
      </c>
      <c r="AU2311" t="s">
        <v>68</v>
      </c>
      <c r="AV2311" t="s">
        <v>69</v>
      </c>
      <c r="AW2311" s="1">
        <v>28974</v>
      </c>
      <c r="AX2311">
        <v>2</v>
      </c>
    </row>
    <row r="2312" spans="1:50">
      <c r="B2312" t="str">
        <f>"130351975"</f>
        <v>130351975</v>
      </c>
      <c r="C2312" t="s">
        <v>50</v>
      </c>
      <c r="D2312" t="s">
        <v>4772</v>
      </c>
      <c r="E2312" t="s">
        <v>1755</v>
      </c>
      <c r="F2312" t="s">
        <v>450</v>
      </c>
      <c r="G2312" t="s">
        <v>155</v>
      </c>
      <c r="H2312" t="str">
        <f>" "</f>
        <v xml:space="preserve"> </v>
      </c>
      <c r="N2312" t="s">
        <v>3520</v>
      </c>
      <c r="O2312" t="s">
        <v>3521</v>
      </c>
      <c r="R2312" t="s">
        <v>121</v>
      </c>
      <c r="S2312">
        <v>1</v>
      </c>
      <c r="T2312" t="s">
        <v>1944</v>
      </c>
      <c r="U2312" s="1">
        <v>43364</v>
      </c>
      <c r="V2312" t="s">
        <v>4509</v>
      </c>
      <c r="W2312" t="s">
        <v>4510</v>
      </c>
      <c r="X2312" t="s">
        <v>58</v>
      </c>
      <c r="Y2312">
        <v>23</v>
      </c>
      <c r="Z2312" t="s">
        <v>59</v>
      </c>
      <c r="AD2312" t="s">
        <v>59</v>
      </c>
      <c r="AF2312" s="1">
        <v>43367</v>
      </c>
      <c r="AG2312" t="s">
        <v>345</v>
      </c>
      <c r="AH2312" t="s">
        <v>346</v>
      </c>
      <c r="AI2312" t="str">
        <f>"3241010"</f>
        <v>3241010</v>
      </c>
      <c r="AJ2312" t="s">
        <v>4773</v>
      </c>
      <c r="AK2312">
        <v>2843029465</v>
      </c>
      <c r="AL2312" t="s">
        <v>4774</v>
      </c>
      <c r="AM2312" t="s">
        <v>4513</v>
      </c>
      <c r="AN2312" t="s">
        <v>4540</v>
      </c>
      <c r="AO2312" t="s">
        <v>4540</v>
      </c>
      <c r="AP2312" t="s">
        <v>4540</v>
      </c>
      <c r="AQ2312">
        <v>6</v>
      </c>
      <c r="AR2312" t="s">
        <v>4509</v>
      </c>
      <c r="AS2312" t="s">
        <v>4510</v>
      </c>
      <c r="AT2312" t="s">
        <v>58</v>
      </c>
      <c r="AU2312" t="s">
        <v>350</v>
      </c>
      <c r="AV2312" t="s">
        <v>132</v>
      </c>
      <c r="AW2312" s="1">
        <v>30382</v>
      </c>
      <c r="AX2312">
        <v>2</v>
      </c>
    </row>
    <row r="2313" spans="1:50">
      <c r="B2313" t="str">
        <f>"118374605"</f>
        <v>118374605</v>
      </c>
      <c r="C2313" t="s">
        <v>50</v>
      </c>
      <c r="D2313" t="s">
        <v>4775</v>
      </c>
      <c r="E2313" t="s">
        <v>250</v>
      </c>
      <c r="F2313" t="s">
        <v>900</v>
      </c>
      <c r="G2313" t="s">
        <v>563</v>
      </c>
      <c r="H2313" t="str">
        <f>"ΜΑΝΗΣ 5 ΠΕΡΙΣΤΕΡΙ"</f>
        <v>ΜΑΝΗΣ 5 ΠΕΡΙΣΤΕΡΙ</v>
      </c>
      <c r="I2313">
        <v>12131</v>
      </c>
      <c r="J2313">
        <v>2105724392</v>
      </c>
      <c r="K2313">
        <v>6948573280</v>
      </c>
      <c r="M2313" t="s">
        <v>4776</v>
      </c>
      <c r="N2313" t="s">
        <v>146</v>
      </c>
      <c r="O2313" t="s">
        <v>147</v>
      </c>
      <c r="R2313" t="s">
        <v>159</v>
      </c>
      <c r="S2313">
        <v>4</v>
      </c>
      <c r="T2313" t="s">
        <v>416</v>
      </c>
      <c r="U2313" s="1">
        <v>43349</v>
      </c>
      <c r="V2313" t="s">
        <v>4509</v>
      </c>
      <c r="W2313" t="s">
        <v>4510</v>
      </c>
      <c r="X2313" t="s">
        <v>58</v>
      </c>
      <c r="Y2313">
        <v>21</v>
      </c>
      <c r="Z2313" t="s">
        <v>59</v>
      </c>
      <c r="AA2313" t="s">
        <v>59</v>
      </c>
      <c r="AB2313" t="s">
        <v>59</v>
      </c>
      <c r="AC2313" t="s">
        <v>59</v>
      </c>
      <c r="AD2313" t="s">
        <v>59</v>
      </c>
      <c r="AF2313" s="1">
        <v>43349</v>
      </c>
      <c r="AG2313" t="s">
        <v>148</v>
      </c>
      <c r="AH2313" t="s">
        <v>149</v>
      </c>
      <c r="AI2313" t="str">
        <f>"3252020"</f>
        <v>3252020</v>
      </c>
      <c r="AJ2313" t="s">
        <v>4638</v>
      </c>
      <c r="AK2313">
        <v>2842022379</v>
      </c>
      <c r="AL2313" t="s">
        <v>4639</v>
      </c>
      <c r="AM2313" t="s">
        <v>4513</v>
      </c>
      <c r="AN2313" t="s">
        <v>4519</v>
      </c>
      <c r="AO2313" t="s">
        <v>4519</v>
      </c>
      <c r="AP2313" t="s">
        <v>4519</v>
      </c>
      <c r="AQ2313">
        <v>4</v>
      </c>
      <c r="AR2313" t="s">
        <v>4509</v>
      </c>
      <c r="AS2313" t="s">
        <v>4510</v>
      </c>
      <c r="AT2313" t="s">
        <v>58</v>
      </c>
      <c r="AU2313" t="s">
        <v>419</v>
      </c>
      <c r="AV2313" t="s">
        <v>132</v>
      </c>
      <c r="AW2313" s="1">
        <v>27626</v>
      </c>
      <c r="AX2313">
        <v>2</v>
      </c>
    </row>
    <row r="2314" spans="1:50">
      <c r="B2314" t="str">
        <f>"108009250"</f>
        <v>108009250</v>
      </c>
      <c r="C2314" t="s">
        <v>50</v>
      </c>
      <c r="D2314" t="s">
        <v>1278</v>
      </c>
      <c r="E2314" t="s">
        <v>4777</v>
      </c>
      <c r="F2314" t="s">
        <v>4778</v>
      </c>
      <c r="G2314" t="s">
        <v>143</v>
      </c>
      <c r="H2314" t="str">
        <f>"ΒΡΥΟΥΛΩΝ 18 Ν.ΣΜΥΡΝΗ"</f>
        <v>ΒΡΥΟΥΛΩΝ 18 Ν.ΣΜΥΡΝΗ</v>
      </c>
      <c r="I2314">
        <v>17122</v>
      </c>
      <c r="J2314">
        <v>2109340868</v>
      </c>
      <c r="K2314">
        <v>6973047470</v>
      </c>
      <c r="N2314" t="s">
        <v>292</v>
      </c>
      <c r="O2314" t="s">
        <v>293</v>
      </c>
      <c r="R2314" t="s">
        <v>159</v>
      </c>
      <c r="S2314">
        <v>4</v>
      </c>
      <c r="T2314" t="s">
        <v>416</v>
      </c>
      <c r="U2314" s="1">
        <v>43349</v>
      </c>
      <c r="V2314" t="s">
        <v>4509</v>
      </c>
      <c r="W2314" t="s">
        <v>4510</v>
      </c>
      <c r="X2314" t="s">
        <v>58</v>
      </c>
      <c r="Y2314">
        <v>21</v>
      </c>
      <c r="Z2314" t="s">
        <v>59</v>
      </c>
      <c r="AA2314" t="s">
        <v>59</v>
      </c>
      <c r="AB2314" t="s">
        <v>59</v>
      </c>
      <c r="AC2314" t="s">
        <v>59</v>
      </c>
      <c r="AD2314" t="s">
        <v>59</v>
      </c>
      <c r="AF2314" s="1">
        <v>43349</v>
      </c>
      <c r="AG2314" t="s">
        <v>125</v>
      </c>
      <c r="AH2314" t="s">
        <v>126</v>
      </c>
      <c r="AI2314" t="str">
        <f>"3202020"</f>
        <v>3202020</v>
      </c>
      <c r="AJ2314" t="s">
        <v>4576</v>
      </c>
      <c r="AK2314">
        <v>2842022289</v>
      </c>
      <c r="AL2314" t="s">
        <v>4577</v>
      </c>
      <c r="AM2314" t="s">
        <v>4513</v>
      </c>
      <c r="AN2314" t="s">
        <v>4519</v>
      </c>
      <c r="AO2314" t="s">
        <v>4519</v>
      </c>
      <c r="AP2314" t="s">
        <v>4519</v>
      </c>
      <c r="AQ2314">
        <v>4</v>
      </c>
      <c r="AR2314" t="s">
        <v>4509</v>
      </c>
      <c r="AS2314" t="s">
        <v>4510</v>
      </c>
      <c r="AT2314" t="s">
        <v>58</v>
      </c>
      <c r="AU2314" t="s">
        <v>419</v>
      </c>
      <c r="AV2314" t="s">
        <v>132</v>
      </c>
      <c r="AW2314" s="1">
        <v>22502</v>
      </c>
      <c r="AX2314">
        <v>2</v>
      </c>
    </row>
    <row r="2315" spans="1:50">
      <c r="B2315" t="str">
        <f>"107023848"</f>
        <v>107023848</v>
      </c>
      <c r="C2315" t="s">
        <v>105</v>
      </c>
      <c r="D2315" t="s">
        <v>1285</v>
      </c>
      <c r="E2315" t="s">
        <v>920</v>
      </c>
      <c r="F2315" t="s">
        <v>84</v>
      </c>
      <c r="G2315" t="s">
        <v>4779</v>
      </c>
      <c r="H2315" t="str">
        <f>" "</f>
        <v xml:space="preserve"> </v>
      </c>
      <c r="N2315" t="s">
        <v>4259</v>
      </c>
      <c r="O2315" t="s">
        <v>4260</v>
      </c>
      <c r="R2315" t="s">
        <v>121</v>
      </c>
      <c r="S2315">
        <v>1</v>
      </c>
      <c r="T2315" t="s">
        <v>344</v>
      </c>
      <c r="U2315" s="1">
        <v>43348</v>
      </c>
      <c r="V2315" t="s">
        <v>4509</v>
      </c>
      <c r="W2315" t="s">
        <v>4510</v>
      </c>
      <c r="X2315" t="s">
        <v>58</v>
      </c>
      <c r="Y2315">
        <v>23</v>
      </c>
      <c r="Z2315" t="s">
        <v>59</v>
      </c>
      <c r="AD2315" t="s">
        <v>59</v>
      </c>
      <c r="AF2315" s="1">
        <v>43348</v>
      </c>
      <c r="AG2315" t="s">
        <v>345</v>
      </c>
      <c r="AH2315" t="s">
        <v>346</v>
      </c>
      <c r="AI2315" t="str">
        <f>"3241010"</f>
        <v>3241010</v>
      </c>
      <c r="AJ2315" t="s">
        <v>4773</v>
      </c>
      <c r="AK2315">
        <v>2843029465</v>
      </c>
      <c r="AL2315" t="s">
        <v>4774</v>
      </c>
      <c r="AM2315" t="s">
        <v>4513</v>
      </c>
      <c r="AN2315" t="s">
        <v>4540</v>
      </c>
      <c r="AO2315" t="s">
        <v>4540</v>
      </c>
      <c r="AP2315" t="s">
        <v>4540</v>
      </c>
      <c r="AQ2315">
        <v>6</v>
      </c>
      <c r="AR2315" t="s">
        <v>4509</v>
      </c>
      <c r="AS2315" t="s">
        <v>4510</v>
      </c>
      <c r="AT2315" t="s">
        <v>58</v>
      </c>
      <c r="AU2315" t="s">
        <v>350</v>
      </c>
      <c r="AV2315" t="s">
        <v>132</v>
      </c>
      <c r="AW2315" s="1">
        <v>30160</v>
      </c>
      <c r="AX2315">
        <v>2</v>
      </c>
    </row>
    <row r="2316" spans="1:50">
      <c r="A2316">
        <v>199450</v>
      </c>
      <c r="B2316" t="str">
        <f>"115750671"</f>
        <v>115750671</v>
      </c>
      <c r="C2316" t="s">
        <v>105</v>
      </c>
      <c r="D2316" t="s">
        <v>1293</v>
      </c>
      <c r="E2316" t="s">
        <v>95</v>
      </c>
      <c r="F2316" t="s">
        <v>166</v>
      </c>
      <c r="G2316" t="s">
        <v>83</v>
      </c>
      <c r="H2316" t="str">
        <f>" "</f>
        <v xml:space="preserve"> </v>
      </c>
      <c r="J2316">
        <v>2842024959</v>
      </c>
      <c r="K2316">
        <v>6906608325</v>
      </c>
      <c r="M2316" t="s">
        <v>4780</v>
      </c>
      <c r="N2316" t="s">
        <v>331</v>
      </c>
      <c r="O2316" t="s">
        <v>332</v>
      </c>
      <c r="R2316" t="s">
        <v>57</v>
      </c>
      <c r="S2316">
        <v>9</v>
      </c>
      <c r="T2316">
        <v>206</v>
      </c>
      <c r="U2316" s="1">
        <v>37866</v>
      </c>
      <c r="V2316" t="s">
        <v>4509</v>
      </c>
      <c r="W2316" t="s">
        <v>4510</v>
      </c>
      <c r="X2316" t="s">
        <v>58</v>
      </c>
      <c r="Y2316">
        <v>20</v>
      </c>
      <c r="Z2316" t="s">
        <v>59</v>
      </c>
      <c r="AA2316" t="s">
        <v>59</v>
      </c>
      <c r="AB2316" t="s">
        <v>59</v>
      </c>
      <c r="AC2316" t="s">
        <v>59</v>
      </c>
      <c r="AD2316" t="s">
        <v>59</v>
      </c>
      <c r="AF2316" s="1">
        <v>37867</v>
      </c>
      <c r="AG2316" t="s">
        <v>137</v>
      </c>
      <c r="AH2316" t="s">
        <v>469</v>
      </c>
      <c r="AI2316" t="str">
        <f>"3240125"</f>
        <v>3240125</v>
      </c>
      <c r="AJ2316" t="s">
        <v>4707</v>
      </c>
      <c r="AK2316">
        <v>2842024905</v>
      </c>
      <c r="AL2316" t="s">
        <v>4708</v>
      </c>
      <c r="AM2316" t="s">
        <v>4513</v>
      </c>
      <c r="AN2316" t="s">
        <v>4519</v>
      </c>
      <c r="AO2316" t="s">
        <v>4519</v>
      </c>
      <c r="AP2316" t="s">
        <v>4519</v>
      </c>
      <c r="AQ2316">
        <v>4</v>
      </c>
      <c r="AR2316" t="s">
        <v>4509</v>
      </c>
      <c r="AS2316" t="s">
        <v>4510</v>
      </c>
      <c r="AT2316" t="s">
        <v>58</v>
      </c>
      <c r="AU2316" t="s">
        <v>68</v>
      </c>
      <c r="AV2316" t="s">
        <v>69</v>
      </c>
      <c r="AW2316" s="1">
        <v>28265</v>
      </c>
      <c r="AX2316">
        <v>2</v>
      </c>
    </row>
    <row r="2317" spans="1:50">
      <c r="A2317">
        <v>224891</v>
      </c>
      <c r="B2317" t="str">
        <f>"077645455"</f>
        <v>077645455</v>
      </c>
      <c r="C2317" t="s">
        <v>105</v>
      </c>
      <c r="D2317" t="s">
        <v>1297</v>
      </c>
      <c r="E2317" t="s">
        <v>166</v>
      </c>
      <c r="F2317" t="s">
        <v>95</v>
      </c>
      <c r="G2317" t="s">
        <v>52</v>
      </c>
      <c r="H2317" t="str">
        <f>" "</f>
        <v xml:space="preserve"> </v>
      </c>
      <c r="J2317">
        <v>2841032050</v>
      </c>
      <c r="K2317">
        <v>6932947300</v>
      </c>
      <c r="M2317" t="s">
        <v>4781</v>
      </c>
      <c r="N2317" t="s">
        <v>176</v>
      </c>
      <c r="O2317" t="s">
        <v>177</v>
      </c>
      <c r="R2317" t="s">
        <v>57</v>
      </c>
      <c r="S2317">
        <v>10</v>
      </c>
      <c r="T2317">
        <v>775</v>
      </c>
      <c r="U2317" s="1">
        <v>39680</v>
      </c>
      <c r="V2317" t="s">
        <v>4509</v>
      </c>
      <c r="W2317" t="s">
        <v>4510</v>
      </c>
      <c r="X2317" t="s">
        <v>58</v>
      </c>
      <c r="Y2317">
        <v>20</v>
      </c>
      <c r="Z2317" t="s">
        <v>59</v>
      </c>
      <c r="AA2317" t="s">
        <v>59</v>
      </c>
      <c r="AB2317" t="s">
        <v>59</v>
      </c>
      <c r="AC2317" t="s">
        <v>59</v>
      </c>
      <c r="AD2317" t="s">
        <v>59</v>
      </c>
      <c r="AF2317" s="1">
        <v>39682</v>
      </c>
      <c r="AG2317" t="s">
        <v>137</v>
      </c>
      <c r="AH2317" t="s">
        <v>138</v>
      </c>
      <c r="AI2317" t="str">
        <f>"3240070"</f>
        <v>3240070</v>
      </c>
      <c r="AJ2317" t="s">
        <v>4582</v>
      </c>
      <c r="AK2317">
        <v>2841032545</v>
      </c>
      <c r="AL2317" t="s">
        <v>4583</v>
      </c>
      <c r="AM2317" t="s">
        <v>4513</v>
      </c>
      <c r="AN2317" t="s">
        <v>4514</v>
      </c>
      <c r="AO2317" t="s">
        <v>4524</v>
      </c>
      <c r="AP2317" t="s">
        <v>4525</v>
      </c>
      <c r="AQ2317">
        <v>3</v>
      </c>
      <c r="AR2317" t="s">
        <v>4509</v>
      </c>
      <c r="AS2317" t="s">
        <v>4510</v>
      </c>
      <c r="AT2317" t="s">
        <v>58</v>
      </c>
      <c r="AU2317" t="s">
        <v>68</v>
      </c>
      <c r="AV2317" t="s">
        <v>132</v>
      </c>
      <c r="AW2317" s="1">
        <v>25662</v>
      </c>
      <c r="AX2317">
        <v>2</v>
      </c>
    </row>
    <row r="2318" spans="1:50">
      <c r="A2318">
        <v>224090</v>
      </c>
      <c r="B2318" t="str">
        <f>"101045319"</f>
        <v>101045319</v>
      </c>
      <c r="C2318" t="s">
        <v>50</v>
      </c>
      <c r="D2318" t="s">
        <v>1308</v>
      </c>
      <c r="E2318" t="s">
        <v>476</v>
      </c>
      <c r="F2318" t="s">
        <v>95</v>
      </c>
      <c r="G2318" t="s">
        <v>188</v>
      </c>
      <c r="H2318" t="str">
        <f>" "</f>
        <v xml:space="preserve"> </v>
      </c>
      <c r="J2318">
        <v>2109024615</v>
      </c>
      <c r="K2318">
        <v>6974908028</v>
      </c>
      <c r="M2318" t="s">
        <v>4782</v>
      </c>
      <c r="N2318" t="s">
        <v>306</v>
      </c>
      <c r="O2318" t="s">
        <v>307</v>
      </c>
      <c r="R2318" t="s">
        <v>57</v>
      </c>
      <c r="S2318">
        <v>6</v>
      </c>
      <c r="T2318">
        <v>775</v>
      </c>
      <c r="U2318" s="1">
        <v>39680</v>
      </c>
      <c r="V2318" t="s">
        <v>4509</v>
      </c>
      <c r="W2318" t="s">
        <v>4510</v>
      </c>
      <c r="X2318" t="s">
        <v>58</v>
      </c>
      <c r="Y2318">
        <v>21</v>
      </c>
      <c r="Z2318" t="s">
        <v>59</v>
      </c>
      <c r="AA2318" t="s">
        <v>59</v>
      </c>
      <c r="AB2318" t="s">
        <v>59</v>
      </c>
      <c r="AC2318" t="s">
        <v>59</v>
      </c>
      <c r="AD2318" t="s">
        <v>59</v>
      </c>
      <c r="AF2318" s="1">
        <v>39692</v>
      </c>
      <c r="AG2318" t="s">
        <v>137</v>
      </c>
      <c r="AH2318" t="s">
        <v>469</v>
      </c>
      <c r="AI2318" t="str">
        <f>"3240125"</f>
        <v>3240125</v>
      </c>
      <c r="AJ2318" t="s">
        <v>4707</v>
      </c>
      <c r="AK2318">
        <v>2842024905</v>
      </c>
      <c r="AL2318" t="s">
        <v>4708</v>
      </c>
      <c r="AM2318" t="s">
        <v>4513</v>
      </c>
      <c r="AN2318" t="s">
        <v>4519</v>
      </c>
      <c r="AO2318" t="s">
        <v>4519</v>
      </c>
      <c r="AP2318" t="s">
        <v>4519</v>
      </c>
      <c r="AQ2318">
        <v>4</v>
      </c>
      <c r="AR2318" t="s">
        <v>4509</v>
      </c>
      <c r="AS2318" t="s">
        <v>4510</v>
      </c>
      <c r="AT2318" t="s">
        <v>58</v>
      </c>
      <c r="AU2318" t="s">
        <v>68</v>
      </c>
      <c r="AV2318" t="s">
        <v>132</v>
      </c>
      <c r="AW2318" s="1">
        <v>29729</v>
      </c>
      <c r="AX2318">
        <v>2</v>
      </c>
    </row>
    <row r="2319" spans="1:50">
      <c r="A2319">
        <v>178014</v>
      </c>
      <c r="B2319" t="str">
        <f>"055940389"</f>
        <v>055940389</v>
      </c>
      <c r="C2319" t="s">
        <v>105</v>
      </c>
      <c r="D2319" t="s">
        <v>4783</v>
      </c>
      <c r="E2319" t="s">
        <v>609</v>
      </c>
      <c r="F2319" t="s">
        <v>377</v>
      </c>
      <c r="G2319" t="s">
        <v>3442</v>
      </c>
      <c r="H2319" t="str">
        <f>"Δωρ.Παπαδακη 8 ΣΗΤΕΙΑ"</f>
        <v>Δωρ.Παπαδακη 8 ΣΗΤΕΙΑ</v>
      </c>
      <c r="I2319">
        <v>72300</v>
      </c>
      <c r="J2319">
        <v>2843026516</v>
      </c>
      <c r="K2319">
        <v>6976602461</v>
      </c>
      <c r="M2319" t="s">
        <v>4784</v>
      </c>
      <c r="N2319" t="s">
        <v>204</v>
      </c>
      <c r="O2319" t="s">
        <v>205</v>
      </c>
      <c r="P2319" t="s">
        <v>232</v>
      </c>
      <c r="Q2319" t="s">
        <v>233</v>
      </c>
      <c r="R2319" t="s">
        <v>57</v>
      </c>
      <c r="S2319">
        <v>11</v>
      </c>
      <c r="T2319">
        <v>180</v>
      </c>
      <c r="U2319" s="1">
        <v>35674</v>
      </c>
      <c r="V2319" t="s">
        <v>4509</v>
      </c>
      <c r="W2319" t="s">
        <v>4510</v>
      </c>
      <c r="X2319" t="s">
        <v>58</v>
      </c>
      <c r="Y2319">
        <v>18</v>
      </c>
      <c r="Z2319" t="s">
        <v>59</v>
      </c>
      <c r="AA2319" t="s">
        <v>59</v>
      </c>
      <c r="AB2319" t="s">
        <v>59</v>
      </c>
      <c r="AC2319" t="s">
        <v>59</v>
      </c>
      <c r="AD2319" t="s">
        <v>59</v>
      </c>
      <c r="AF2319" s="1">
        <v>35675</v>
      </c>
      <c r="AG2319" t="s">
        <v>125</v>
      </c>
      <c r="AH2319" t="s">
        <v>126</v>
      </c>
      <c r="AI2319" t="str">
        <f>"3204010"</f>
        <v>3204010</v>
      </c>
      <c r="AJ2319" t="s">
        <v>4542</v>
      </c>
      <c r="AK2319">
        <v>2843022503</v>
      </c>
      <c r="AL2319" t="s">
        <v>4543</v>
      </c>
      <c r="AM2319" t="s">
        <v>4513</v>
      </c>
      <c r="AN2319" t="s">
        <v>4540</v>
      </c>
      <c r="AO2319" t="s">
        <v>4540</v>
      </c>
      <c r="AP2319" t="s">
        <v>4540</v>
      </c>
      <c r="AQ2319">
        <v>6</v>
      </c>
      <c r="AR2319" t="s">
        <v>4509</v>
      </c>
      <c r="AS2319" t="s">
        <v>4510</v>
      </c>
      <c r="AT2319" t="s">
        <v>58</v>
      </c>
      <c r="AU2319" t="s">
        <v>68</v>
      </c>
      <c r="AV2319" t="s">
        <v>69</v>
      </c>
      <c r="AW2319" s="1">
        <v>24419</v>
      </c>
      <c r="AX2319">
        <v>2</v>
      </c>
    </row>
    <row r="2320" spans="1:50">
      <c r="A2320">
        <v>209026</v>
      </c>
      <c r="B2320" t="str">
        <f>"079871509"</f>
        <v>079871509</v>
      </c>
      <c r="C2320" t="s">
        <v>105</v>
      </c>
      <c r="D2320" t="s">
        <v>4785</v>
      </c>
      <c r="E2320" t="s">
        <v>166</v>
      </c>
      <c r="F2320" t="s">
        <v>377</v>
      </c>
      <c r="G2320" t="s">
        <v>1085</v>
      </c>
      <c r="H2320" t="str">
        <f>"Μ. ΓΕΩΡΓΙΑΔΗ &amp; ΠΑΡΑΣΚΕΥΟΠΟΥΛΟΥ 40 "</f>
        <v xml:space="preserve">Μ. ΓΕΩΡΓΙΑΔΗ &amp; ΠΑΡΑΣΚΕΥΟΠΟΥΛΟΥ 40 </v>
      </c>
      <c r="I2320">
        <v>71306</v>
      </c>
      <c r="J2320">
        <v>2810230711</v>
      </c>
      <c r="K2320">
        <v>6976706238</v>
      </c>
      <c r="M2320" t="s">
        <v>4786</v>
      </c>
      <c r="N2320" t="s">
        <v>204</v>
      </c>
      <c r="O2320" t="s">
        <v>205</v>
      </c>
      <c r="R2320" t="s">
        <v>57</v>
      </c>
      <c r="S2320">
        <v>8</v>
      </c>
      <c r="T2320">
        <v>218</v>
      </c>
      <c r="U2320" s="1">
        <v>38596</v>
      </c>
      <c r="V2320" t="s">
        <v>4509</v>
      </c>
      <c r="W2320" t="s">
        <v>4510</v>
      </c>
      <c r="X2320" t="s">
        <v>58</v>
      </c>
      <c r="Y2320">
        <v>20</v>
      </c>
      <c r="Z2320" t="s">
        <v>59</v>
      </c>
      <c r="AA2320" t="s">
        <v>59</v>
      </c>
      <c r="AB2320" t="s">
        <v>59</v>
      </c>
      <c r="AC2320" t="s">
        <v>59</v>
      </c>
      <c r="AD2320" t="s">
        <v>59</v>
      </c>
      <c r="AF2320" s="1">
        <v>38600</v>
      </c>
      <c r="AG2320" t="s">
        <v>137</v>
      </c>
      <c r="AH2320" t="s">
        <v>138</v>
      </c>
      <c r="AI2320" t="str">
        <f>"3240070"</f>
        <v>3240070</v>
      </c>
      <c r="AJ2320" t="s">
        <v>4582</v>
      </c>
      <c r="AK2320">
        <v>2841032545</v>
      </c>
      <c r="AL2320" t="s">
        <v>4583</v>
      </c>
      <c r="AM2320" t="s">
        <v>4513</v>
      </c>
      <c r="AN2320" t="s">
        <v>4514</v>
      </c>
      <c r="AO2320" t="s">
        <v>4524</v>
      </c>
      <c r="AP2320" t="s">
        <v>4525</v>
      </c>
      <c r="AQ2320">
        <v>3</v>
      </c>
      <c r="AR2320" t="s">
        <v>4509</v>
      </c>
      <c r="AS2320" t="s">
        <v>4510</v>
      </c>
      <c r="AT2320" t="s">
        <v>58</v>
      </c>
      <c r="AU2320" t="s">
        <v>68</v>
      </c>
      <c r="AV2320" t="s">
        <v>69</v>
      </c>
      <c r="AW2320" s="1">
        <v>28043</v>
      </c>
      <c r="AX2320">
        <v>2</v>
      </c>
    </row>
    <row r="2321" spans="1:50">
      <c r="A2321">
        <v>214153</v>
      </c>
      <c r="B2321" t="str">
        <f>"115998098"</f>
        <v>115998098</v>
      </c>
      <c r="C2321" t="s">
        <v>50</v>
      </c>
      <c r="D2321" t="s">
        <v>4787</v>
      </c>
      <c r="E2321" t="s">
        <v>4788</v>
      </c>
      <c r="F2321" t="s">
        <v>72</v>
      </c>
      <c r="G2321" t="s">
        <v>237</v>
      </c>
      <c r="H2321" t="str">
        <f>"ΠΕΤΡΑΣ 1 ΣΗΤΕΙΑ"</f>
        <v>ΠΕΤΡΑΣ 1 ΣΗΤΕΙΑ</v>
      </c>
      <c r="I2321">
        <v>72300</v>
      </c>
      <c r="J2321">
        <v>2102922974</v>
      </c>
      <c r="K2321">
        <v>6986083348</v>
      </c>
      <c r="M2321" t="s">
        <v>4789</v>
      </c>
      <c r="N2321" t="s">
        <v>683</v>
      </c>
      <c r="O2321" t="s">
        <v>684</v>
      </c>
      <c r="R2321" t="s">
        <v>57</v>
      </c>
      <c r="S2321">
        <v>5</v>
      </c>
      <c r="T2321">
        <v>231</v>
      </c>
      <c r="U2321" s="1">
        <v>38960</v>
      </c>
      <c r="V2321" t="s">
        <v>4509</v>
      </c>
      <c r="W2321" t="s">
        <v>4510</v>
      </c>
      <c r="X2321" t="s">
        <v>58</v>
      </c>
      <c r="Y2321">
        <v>20</v>
      </c>
      <c r="Z2321" t="s">
        <v>59</v>
      </c>
      <c r="AA2321" t="s">
        <v>59</v>
      </c>
      <c r="AB2321" t="s">
        <v>59</v>
      </c>
      <c r="AC2321" t="s">
        <v>59</v>
      </c>
      <c r="AD2321" t="s">
        <v>59</v>
      </c>
      <c r="AF2321" s="1">
        <v>38961</v>
      </c>
      <c r="AG2321" t="s">
        <v>125</v>
      </c>
      <c r="AH2321" t="s">
        <v>126</v>
      </c>
      <c r="AI2321" t="str">
        <f>"3204020"</f>
        <v>3204020</v>
      </c>
      <c r="AJ2321" t="s">
        <v>4632</v>
      </c>
      <c r="AK2321">
        <v>2843023923</v>
      </c>
      <c r="AL2321" t="s">
        <v>4633</v>
      </c>
      <c r="AM2321" t="s">
        <v>4513</v>
      </c>
      <c r="AN2321" t="s">
        <v>4540</v>
      </c>
      <c r="AO2321" t="s">
        <v>4540</v>
      </c>
      <c r="AP2321" t="s">
        <v>4540</v>
      </c>
      <c r="AQ2321">
        <v>6</v>
      </c>
      <c r="AR2321" t="s">
        <v>4509</v>
      </c>
      <c r="AS2321" t="s">
        <v>4510</v>
      </c>
      <c r="AT2321" t="s">
        <v>58</v>
      </c>
      <c r="AU2321" t="s">
        <v>68</v>
      </c>
      <c r="AV2321" t="s">
        <v>69</v>
      </c>
      <c r="AW2321" s="1">
        <v>27666</v>
      </c>
      <c r="AX2321">
        <v>2</v>
      </c>
    </row>
    <row r="2322" spans="1:50">
      <c r="A2322">
        <v>203030</v>
      </c>
      <c r="B2322" t="str">
        <f>"035463798"</f>
        <v>035463798</v>
      </c>
      <c r="C2322" t="s">
        <v>50</v>
      </c>
      <c r="D2322" t="s">
        <v>4790</v>
      </c>
      <c r="E2322" t="s">
        <v>4791</v>
      </c>
      <c r="F2322" t="s">
        <v>450</v>
      </c>
      <c r="G2322" t="s">
        <v>4792</v>
      </c>
      <c r="H2322" t="str">
        <f>"ΔΡΗΡΟΥ ΚΑΙ ΚΟΡΥΤΣΑΣ ΝΕΑΠΟΛΗ"</f>
        <v>ΔΡΗΡΟΥ ΚΑΙ ΚΟΡΥΤΣΑΣ ΝΕΑΠΟΛΗ</v>
      </c>
      <c r="I2322">
        <v>72400</v>
      </c>
      <c r="J2322">
        <v>2841033493</v>
      </c>
      <c r="K2322">
        <v>6976162235</v>
      </c>
      <c r="M2322" t="s">
        <v>4793</v>
      </c>
      <c r="N2322" t="s">
        <v>478</v>
      </c>
      <c r="O2322" t="s">
        <v>479</v>
      </c>
      <c r="R2322" t="s">
        <v>57</v>
      </c>
      <c r="S2322">
        <v>8</v>
      </c>
      <c r="T2322">
        <v>231</v>
      </c>
      <c r="U2322" s="1">
        <v>38230</v>
      </c>
      <c r="V2322" t="s">
        <v>4509</v>
      </c>
      <c r="W2322" t="s">
        <v>4510</v>
      </c>
      <c r="X2322" t="s">
        <v>58</v>
      </c>
      <c r="Y2322">
        <v>20</v>
      </c>
      <c r="Z2322" t="s">
        <v>59</v>
      </c>
      <c r="AA2322" t="s">
        <v>59</v>
      </c>
      <c r="AB2322" t="s">
        <v>59</v>
      </c>
      <c r="AC2322" t="s">
        <v>59</v>
      </c>
      <c r="AD2322" t="s">
        <v>59</v>
      </c>
      <c r="AF2322" s="1">
        <v>38231</v>
      </c>
      <c r="AG2322" t="s">
        <v>125</v>
      </c>
      <c r="AH2322" t="s">
        <v>126</v>
      </c>
      <c r="AI2322" t="str">
        <f>"3203010"</f>
        <v>3203010</v>
      </c>
      <c r="AJ2322" t="s">
        <v>4522</v>
      </c>
      <c r="AK2322">
        <v>2841034140</v>
      </c>
      <c r="AL2322" t="s">
        <v>4523</v>
      </c>
      <c r="AM2322" t="s">
        <v>4513</v>
      </c>
      <c r="AN2322" t="s">
        <v>4514</v>
      </c>
      <c r="AO2322" t="s">
        <v>4524</v>
      </c>
      <c r="AP2322" t="s">
        <v>4525</v>
      </c>
      <c r="AQ2322">
        <v>3</v>
      </c>
      <c r="AR2322" t="s">
        <v>4509</v>
      </c>
      <c r="AS2322" t="s">
        <v>4510</v>
      </c>
      <c r="AT2322" t="s">
        <v>58</v>
      </c>
      <c r="AU2322" t="s">
        <v>68</v>
      </c>
      <c r="AV2322" t="s">
        <v>69</v>
      </c>
      <c r="AW2322" s="1">
        <v>23654</v>
      </c>
      <c r="AX2322">
        <v>2</v>
      </c>
    </row>
    <row r="2323" spans="1:50">
      <c r="A2323">
        <v>197682</v>
      </c>
      <c r="B2323" t="str">
        <f>"053704791"</f>
        <v>053704791</v>
      </c>
      <c r="C2323" t="s">
        <v>105</v>
      </c>
      <c r="D2323" t="s">
        <v>4794</v>
      </c>
      <c r="E2323" t="s">
        <v>53</v>
      </c>
      <c r="F2323" t="s">
        <v>106</v>
      </c>
      <c r="G2323" t="s">
        <v>4795</v>
      </c>
      <c r="H2323" t="str">
        <f>"ΚΩΝΣΤΑΝΤΙΝΟΥΠΟΛΕΩΣ ΙΕΡΑΠΕΤΡΑ"</f>
        <v>ΚΩΝΣΤΑΝΤΙΝΟΥΠΟΛΕΩΣ ΙΕΡΑΠΕΤΡΑ</v>
      </c>
      <c r="I2323">
        <v>72200</v>
      </c>
      <c r="J2323">
        <v>2842080225</v>
      </c>
      <c r="K2323">
        <v>6932491636</v>
      </c>
      <c r="M2323" t="s">
        <v>4796</v>
      </c>
      <c r="N2323" t="s">
        <v>292</v>
      </c>
      <c r="O2323" t="s">
        <v>293</v>
      </c>
      <c r="R2323" t="s">
        <v>57</v>
      </c>
      <c r="S2323">
        <v>7</v>
      </c>
      <c r="T2323">
        <v>206</v>
      </c>
      <c r="U2323" s="1">
        <v>37866</v>
      </c>
      <c r="V2323" t="s">
        <v>4509</v>
      </c>
      <c r="W2323" t="s">
        <v>4510</v>
      </c>
      <c r="X2323" t="s">
        <v>58</v>
      </c>
      <c r="Y2323">
        <v>20</v>
      </c>
      <c r="Z2323" t="s">
        <v>59</v>
      </c>
      <c r="AA2323" t="s">
        <v>59</v>
      </c>
      <c r="AB2323" t="s">
        <v>59</v>
      </c>
      <c r="AC2323" t="s">
        <v>59</v>
      </c>
      <c r="AD2323" t="s">
        <v>59</v>
      </c>
      <c r="AF2323" s="1">
        <v>37867</v>
      </c>
      <c r="AG2323" t="s">
        <v>148</v>
      </c>
      <c r="AH2323" t="s">
        <v>149</v>
      </c>
      <c r="AI2323" t="str">
        <f>"3252010"</f>
        <v>3252010</v>
      </c>
      <c r="AJ2323" t="s">
        <v>4532</v>
      </c>
      <c r="AK2323">
        <v>2842022356</v>
      </c>
      <c r="AL2323" t="s">
        <v>4533</v>
      </c>
      <c r="AM2323" t="s">
        <v>4513</v>
      </c>
      <c r="AN2323" t="s">
        <v>4519</v>
      </c>
      <c r="AO2323" t="s">
        <v>4519</v>
      </c>
      <c r="AP2323" t="s">
        <v>4519</v>
      </c>
      <c r="AQ2323">
        <v>4</v>
      </c>
      <c r="AR2323" t="s">
        <v>4509</v>
      </c>
      <c r="AS2323" t="s">
        <v>4510</v>
      </c>
      <c r="AT2323" t="s">
        <v>58</v>
      </c>
      <c r="AU2323" t="s">
        <v>68</v>
      </c>
      <c r="AV2323" t="s">
        <v>69</v>
      </c>
      <c r="AW2323" s="1">
        <v>24533</v>
      </c>
      <c r="AX2323">
        <v>2</v>
      </c>
    </row>
    <row r="2324" spans="1:50">
      <c r="A2324">
        <v>177069</v>
      </c>
      <c r="B2324" t="str">
        <f>"034591909"</f>
        <v>034591909</v>
      </c>
      <c r="C2324" t="s">
        <v>50</v>
      </c>
      <c r="D2324" t="s">
        <v>4797</v>
      </c>
      <c r="E2324" t="s">
        <v>237</v>
      </c>
      <c r="F2324" t="s">
        <v>166</v>
      </c>
      <c r="G2324" t="s">
        <v>2088</v>
      </c>
      <c r="H2324" t="str">
        <f>" "</f>
        <v xml:space="preserve"> </v>
      </c>
      <c r="J2324">
        <v>2842027067</v>
      </c>
      <c r="M2324" t="s">
        <v>4798</v>
      </c>
      <c r="N2324" t="s">
        <v>176</v>
      </c>
      <c r="O2324" t="s">
        <v>177</v>
      </c>
      <c r="R2324" t="s">
        <v>57</v>
      </c>
      <c r="S2324">
        <v>13</v>
      </c>
      <c r="T2324">
        <v>180</v>
      </c>
      <c r="U2324" s="1">
        <v>35674</v>
      </c>
      <c r="V2324" t="s">
        <v>4509</v>
      </c>
      <c r="W2324" t="s">
        <v>4510</v>
      </c>
      <c r="X2324" t="s">
        <v>58</v>
      </c>
      <c r="Y2324">
        <v>18</v>
      </c>
      <c r="Z2324" t="s">
        <v>59</v>
      </c>
      <c r="AA2324" t="s">
        <v>59</v>
      </c>
      <c r="AB2324" t="s">
        <v>59</v>
      </c>
      <c r="AC2324" t="s">
        <v>59</v>
      </c>
      <c r="AD2324" t="s">
        <v>59</v>
      </c>
      <c r="AF2324" s="1">
        <v>35675</v>
      </c>
      <c r="AG2324" t="s">
        <v>148</v>
      </c>
      <c r="AH2324" t="s">
        <v>149</v>
      </c>
      <c r="AI2324" t="str">
        <f>"3252020"</f>
        <v>3252020</v>
      </c>
      <c r="AJ2324" t="s">
        <v>4638</v>
      </c>
      <c r="AK2324">
        <v>2842022379</v>
      </c>
      <c r="AL2324" t="s">
        <v>4639</v>
      </c>
      <c r="AM2324" t="s">
        <v>4513</v>
      </c>
      <c r="AN2324" t="s">
        <v>4519</v>
      </c>
      <c r="AO2324" t="s">
        <v>4519</v>
      </c>
      <c r="AP2324" t="s">
        <v>4519</v>
      </c>
      <c r="AQ2324">
        <v>4</v>
      </c>
      <c r="AR2324" t="s">
        <v>4509</v>
      </c>
      <c r="AS2324" t="s">
        <v>4510</v>
      </c>
      <c r="AT2324" t="s">
        <v>58</v>
      </c>
      <c r="AU2324" t="s">
        <v>68</v>
      </c>
      <c r="AV2324" t="s">
        <v>69</v>
      </c>
      <c r="AW2324" s="1">
        <v>23481</v>
      </c>
      <c r="AX2324">
        <v>2</v>
      </c>
    </row>
    <row r="2325" spans="1:50">
      <c r="A2325">
        <v>199399</v>
      </c>
      <c r="B2325" t="str">
        <f>"110253167"</f>
        <v>110253167</v>
      </c>
      <c r="C2325" t="s">
        <v>50</v>
      </c>
      <c r="D2325" t="s">
        <v>1341</v>
      </c>
      <c r="E2325" t="s">
        <v>52</v>
      </c>
      <c r="F2325" t="s">
        <v>53</v>
      </c>
      <c r="G2325" t="s">
        <v>3914</v>
      </c>
      <c r="H2325" t="str">
        <f>" "</f>
        <v xml:space="preserve"> </v>
      </c>
      <c r="J2325">
        <v>2842024892</v>
      </c>
      <c r="L2325">
        <v>2842027233</v>
      </c>
      <c r="M2325" t="s">
        <v>4799</v>
      </c>
      <c r="N2325" t="s">
        <v>189</v>
      </c>
      <c r="O2325" t="s">
        <v>190</v>
      </c>
      <c r="R2325" t="s">
        <v>57</v>
      </c>
      <c r="S2325">
        <v>11</v>
      </c>
      <c r="T2325">
        <v>206</v>
      </c>
      <c r="U2325" s="1">
        <v>37866</v>
      </c>
      <c r="V2325" t="s">
        <v>4509</v>
      </c>
      <c r="W2325" t="s">
        <v>4510</v>
      </c>
      <c r="X2325" t="s">
        <v>58</v>
      </c>
      <c r="Y2325">
        <v>20</v>
      </c>
      <c r="Z2325" t="s">
        <v>59</v>
      </c>
      <c r="AA2325" t="s">
        <v>59</v>
      </c>
      <c r="AB2325" t="s">
        <v>59</v>
      </c>
      <c r="AC2325" t="s">
        <v>59</v>
      </c>
      <c r="AD2325" t="s">
        <v>59</v>
      </c>
      <c r="AF2325" s="1">
        <v>37867</v>
      </c>
      <c r="AG2325" t="s">
        <v>125</v>
      </c>
      <c r="AH2325" t="s">
        <v>126</v>
      </c>
      <c r="AI2325" t="str">
        <f>"3202030"</f>
        <v>3202030</v>
      </c>
      <c r="AJ2325" t="s">
        <v>4558</v>
      </c>
      <c r="AK2325">
        <v>2842028751</v>
      </c>
      <c r="AL2325" t="s">
        <v>4559</v>
      </c>
      <c r="AM2325" t="s">
        <v>4513</v>
      </c>
      <c r="AN2325" t="s">
        <v>4519</v>
      </c>
      <c r="AO2325" t="s">
        <v>4519</v>
      </c>
      <c r="AP2325" t="s">
        <v>4519</v>
      </c>
      <c r="AQ2325">
        <v>4</v>
      </c>
      <c r="AR2325" t="s">
        <v>4509</v>
      </c>
      <c r="AS2325" t="s">
        <v>4510</v>
      </c>
      <c r="AT2325" t="s">
        <v>58</v>
      </c>
      <c r="AU2325" t="s">
        <v>68</v>
      </c>
      <c r="AV2325" t="s">
        <v>69</v>
      </c>
      <c r="AW2325" s="1">
        <v>25721</v>
      </c>
      <c r="AX2325">
        <v>2</v>
      </c>
    </row>
    <row r="2326" spans="1:50">
      <c r="A2326">
        <v>213663</v>
      </c>
      <c r="B2326" t="str">
        <f>"074087841"</f>
        <v>074087841</v>
      </c>
      <c r="C2326" t="s">
        <v>50</v>
      </c>
      <c r="D2326" t="s">
        <v>1350</v>
      </c>
      <c r="E2326" t="s">
        <v>809</v>
      </c>
      <c r="F2326" t="s">
        <v>95</v>
      </c>
      <c r="G2326" t="s">
        <v>52</v>
      </c>
      <c r="H2326" t="str">
        <f>"ΔΩΡΗΤΟΥ ΠΑΠΑΔΑΚΗ 2α  ΣΗΤΕΙΑ"</f>
        <v>ΔΩΡΗΤΟΥ ΠΑΠΑΔΑΚΗ 2α  ΣΗΤΕΙΑ</v>
      </c>
      <c r="I2326">
        <v>72300</v>
      </c>
      <c r="J2326">
        <v>2810543030</v>
      </c>
      <c r="K2326">
        <v>6948889882</v>
      </c>
      <c r="M2326" t="s">
        <v>4800</v>
      </c>
      <c r="N2326" t="s">
        <v>306</v>
      </c>
      <c r="O2326" t="s">
        <v>307</v>
      </c>
      <c r="R2326" t="s">
        <v>57</v>
      </c>
      <c r="S2326">
        <v>8</v>
      </c>
      <c r="T2326">
        <v>231</v>
      </c>
      <c r="U2326" s="1">
        <v>38960</v>
      </c>
      <c r="V2326" t="s">
        <v>4509</v>
      </c>
      <c r="W2326" t="s">
        <v>4510</v>
      </c>
      <c r="X2326" t="s">
        <v>58</v>
      </c>
      <c r="Y2326">
        <v>20</v>
      </c>
      <c r="Z2326" t="s">
        <v>59</v>
      </c>
      <c r="AA2326" t="s">
        <v>59</v>
      </c>
      <c r="AB2326" t="s">
        <v>59</v>
      </c>
      <c r="AC2326" t="s">
        <v>59</v>
      </c>
      <c r="AD2326" t="s">
        <v>59</v>
      </c>
      <c r="AF2326" s="1">
        <v>38961</v>
      </c>
      <c r="AG2326" t="s">
        <v>137</v>
      </c>
      <c r="AH2326" t="s">
        <v>138</v>
      </c>
      <c r="AI2326" t="str">
        <f>"3240020"</f>
        <v>3240020</v>
      </c>
      <c r="AJ2326" t="s">
        <v>4568</v>
      </c>
      <c r="AK2326">
        <v>2843028570</v>
      </c>
      <c r="AL2326" t="s">
        <v>4569</v>
      </c>
      <c r="AM2326" t="s">
        <v>4513</v>
      </c>
      <c r="AN2326" t="s">
        <v>4540</v>
      </c>
      <c r="AO2326" t="s">
        <v>4540</v>
      </c>
      <c r="AP2326" t="s">
        <v>4540</v>
      </c>
      <c r="AQ2326">
        <v>6</v>
      </c>
      <c r="AR2326" t="s">
        <v>4509</v>
      </c>
      <c r="AS2326" t="s">
        <v>4510</v>
      </c>
      <c r="AT2326" t="s">
        <v>58</v>
      </c>
      <c r="AU2326" t="s">
        <v>68</v>
      </c>
      <c r="AV2326" t="s">
        <v>69</v>
      </c>
      <c r="AW2326" s="1">
        <v>28120</v>
      </c>
      <c r="AX2326">
        <v>2</v>
      </c>
    </row>
    <row r="2327" spans="1:50">
      <c r="A2327">
        <v>211176</v>
      </c>
      <c r="B2327" t="str">
        <f>"126305950"</f>
        <v>126305950</v>
      </c>
      <c r="C2327" t="s">
        <v>50</v>
      </c>
      <c r="D2327" t="s">
        <v>1350</v>
      </c>
      <c r="E2327" t="s">
        <v>4801</v>
      </c>
      <c r="F2327" t="s">
        <v>99</v>
      </c>
      <c r="G2327" t="s">
        <v>54</v>
      </c>
      <c r="H2327" t="str">
        <f>"ΠΑΡΟΔΟΣ ΓΑΒΡΙΗΛ 3 ΑΓΙΟΣ ΝΙΚΟΛΑΟΣ"</f>
        <v>ΠΑΡΟΔΟΣ ΓΑΒΡΙΗΛ 3 ΑΓΙΟΣ ΝΙΚΟΛΑΟΣ</v>
      </c>
      <c r="I2327">
        <v>72100</v>
      </c>
      <c r="K2327">
        <v>6977434006</v>
      </c>
      <c r="M2327" t="s">
        <v>4802</v>
      </c>
      <c r="N2327" t="s">
        <v>288</v>
      </c>
      <c r="O2327" t="s">
        <v>289</v>
      </c>
      <c r="R2327" t="s">
        <v>57</v>
      </c>
      <c r="S2327">
        <v>6</v>
      </c>
      <c r="T2327">
        <v>293</v>
      </c>
      <c r="U2327" s="1">
        <v>38664</v>
      </c>
      <c r="V2327" t="s">
        <v>4509</v>
      </c>
      <c r="W2327" t="s">
        <v>4510</v>
      </c>
      <c r="X2327" t="s">
        <v>58</v>
      </c>
      <c r="Y2327">
        <v>20</v>
      </c>
      <c r="Z2327" t="s">
        <v>59</v>
      </c>
      <c r="AA2327" t="s">
        <v>59</v>
      </c>
      <c r="AB2327" t="s">
        <v>59</v>
      </c>
      <c r="AC2327" t="s">
        <v>59</v>
      </c>
      <c r="AD2327" t="s">
        <v>59</v>
      </c>
      <c r="AF2327" s="1">
        <v>38664</v>
      </c>
      <c r="AG2327" t="s">
        <v>125</v>
      </c>
      <c r="AH2327" t="s">
        <v>126</v>
      </c>
      <c r="AI2327" t="str">
        <f>"3202010"</f>
        <v>3202010</v>
      </c>
      <c r="AJ2327" t="s">
        <v>4517</v>
      </c>
      <c r="AK2327">
        <v>2842028229</v>
      </c>
      <c r="AL2327" t="s">
        <v>4518</v>
      </c>
      <c r="AM2327" t="s">
        <v>4513</v>
      </c>
      <c r="AN2327" t="s">
        <v>4519</v>
      </c>
      <c r="AO2327" t="s">
        <v>4519</v>
      </c>
      <c r="AP2327" t="s">
        <v>4519</v>
      </c>
      <c r="AQ2327">
        <v>4</v>
      </c>
      <c r="AR2327" t="s">
        <v>4509</v>
      </c>
      <c r="AS2327" t="s">
        <v>4510</v>
      </c>
      <c r="AT2327" t="s">
        <v>58</v>
      </c>
      <c r="AU2327" t="s">
        <v>68</v>
      </c>
      <c r="AV2327" t="s">
        <v>69</v>
      </c>
      <c r="AW2327" s="1">
        <v>29321</v>
      </c>
      <c r="AX2327">
        <v>2</v>
      </c>
    </row>
    <row r="2328" spans="1:50">
      <c r="A2328">
        <v>174686</v>
      </c>
      <c r="B2328" t="str">
        <f>"034211155"</f>
        <v>034211155</v>
      </c>
      <c r="C2328" t="s">
        <v>50</v>
      </c>
      <c r="D2328" t="s">
        <v>1350</v>
      </c>
      <c r="E2328" t="s">
        <v>460</v>
      </c>
      <c r="F2328" t="s">
        <v>95</v>
      </c>
      <c r="G2328" t="s">
        <v>4803</v>
      </c>
      <c r="H2328" t="str">
        <f>" "</f>
        <v xml:space="preserve"> </v>
      </c>
      <c r="M2328" t="s">
        <v>4804</v>
      </c>
      <c r="N2328" t="s">
        <v>232</v>
      </c>
      <c r="O2328" t="s">
        <v>233</v>
      </c>
      <c r="R2328" t="s">
        <v>57</v>
      </c>
      <c r="S2328">
        <v>14</v>
      </c>
      <c r="T2328">
        <v>166</v>
      </c>
      <c r="U2328" s="1">
        <v>35300</v>
      </c>
      <c r="V2328" t="s">
        <v>4509</v>
      </c>
      <c r="W2328" t="s">
        <v>4510</v>
      </c>
      <c r="X2328" t="s">
        <v>58</v>
      </c>
      <c r="Y2328">
        <v>18</v>
      </c>
      <c r="Z2328" t="s">
        <v>59</v>
      </c>
      <c r="AA2328" t="s">
        <v>59</v>
      </c>
      <c r="AB2328" t="s">
        <v>59</v>
      </c>
      <c r="AC2328" t="s">
        <v>59</v>
      </c>
      <c r="AD2328" t="s">
        <v>59</v>
      </c>
      <c r="AF2328" s="1">
        <v>35309</v>
      </c>
      <c r="AG2328" t="s">
        <v>148</v>
      </c>
      <c r="AH2328" t="s">
        <v>149</v>
      </c>
      <c r="AI2328" t="str">
        <f>"3251001"</f>
        <v>3251001</v>
      </c>
      <c r="AJ2328" t="s">
        <v>4535</v>
      </c>
      <c r="AK2328">
        <v>2841082544</v>
      </c>
      <c r="AL2328" t="s">
        <v>4536</v>
      </c>
      <c r="AM2328" t="s">
        <v>4513</v>
      </c>
      <c r="AN2328" t="s">
        <v>4514</v>
      </c>
      <c r="AO2328" t="s">
        <v>4514</v>
      </c>
      <c r="AP2328" t="s">
        <v>4514</v>
      </c>
      <c r="AQ2328">
        <v>1</v>
      </c>
      <c r="AR2328" t="s">
        <v>4509</v>
      </c>
      <c r="AS2328" t="s">
        <v>4510</v>
      </c>
      <c r="AT2328" t="s">
        <v>58</v>
      </c>
      <c r="AU2328" t="s">
        <v>68</v>
      </c>
      <c r="AV2328" t="s">
        <v>69</v>
      </c>
      <c r="AW2328" s="1">
        <v>22401</v>
      </c>
      <c r="AX2328">
        <v>2</v>
      </c>
    </row>
    <row r="2329" spans="1:50">
      <c r="A2329">
        <v>222034</v>
      </c>
      <c r="B2329" t="str">
        <f>"078047477"</f>
        <v>078047477</v>
      </c>
      <c r="C2329" t="s">
        <v>50</v>
      </c>
      <c r="D2329" t="s">
        <v>1354</v>
      </c>
      <c r="E2329" t="s">
        <v>143</v>
      </c>
      <c r="F2329" t="s">
        <v>4097</v>
      </c>
      <c r="G2329" t="s">
        <v>950</v>
      </c>
      <c r="H2329" t="str">
        <f>"Γ. ΠΕΡΡΑΚΗ 16 ΑΓΙΟΣ ΝΙΚΟΛΑΟΣ"</f>
        <v>Γ. ΠΕΡΡΑΚΗ 16 ΑΓΙΟΣ ΝΙΚΟΛΑΟΣ</v>
      </c>
      <c r="I2329">
        <v>72100</v>
      </c>
      <c r="J2329">
        <v>2841023269</v>
      </c>
      <c r="K2329">
        <v>6977603911</v>
      </c>
      <c r="M2329" t="s">
        <v>4805</v>
      </c>
      <c r="N2329" t="s">
        <v>146</v>
      </c>
      <c r="O2329" t="s">
        <v>147</v>
      </c>
      <c r="R2329" t="s">
        <v>57</v>
      </c>
      <c r="S2329">
        <v>7</v>
      </c>
      <c r="T2329">
        <v>775</v>
      </c>
      <c r="U2329" s="1">
        <v>39680</v>
      </c>
      <c r="V2329" t="s">
        <v>4509</v>
      </c>
      <c r="W2329" t="s">
        <v>4510</v>
      </c>
      <c r="X2329" t="s">
        <v>58</v>
      </c>
      <c r="Y2329">
        <v>20</v>
      </c>
      <c r="Z2329" t="s">
        <v>59</v>
      </c>
      <c r="AA2329" t="s">
        <v>59</v>
      </c>
      <c r="AB2329" t="s">
        <v>59</v>
      </c>
      <c r="AC2329" t="s">
        <v>59</v>
      </c>
      <c r="AD2329" t="s">
        <v>59</v>
      </c>
      <c r="AF2329" s="1">
        <v>39692</v>
      </c>
      <c r="AG2329" t="s">
        <v>148</v>
      </c>
      <c r="AH2329" t="s">
        <v>149</v>
      </c>
      <c r="AI2329" t="str">
        <f>"3252010"</f>
        <v>3252010</v>
      </c>
      <c r="AJ2329" t="s">
        <v>4532</v>
      </c>
      <c r="AK2329">
        <v>2842022356</v>
      </c>
      <c r="AL2329" t="s">
        <v>4533</v>
      </c>
      <c r="AM2329" t="s">
        <v>4513</v>
      </c>
      <c r="AN2329" t="s">
        <v>4519</v>
      </c>
      <c r="AO2329" t="s">
        <v>4519</v>
      </c>
      <c r="AP2329" t="s">
        <v>4519</v>
      </c>
      <c r="AQ2329">
        <v>4</v>
      </c>
      <c r="AR2329" t="s">
        <v>4509</v>
      </c>
      <c r="AS2329" t="s">
        <v>4510</v>
      </c>
      <c r="AT2329" t="s">
        <v>58</v>
      </c>
      <c r="AU2329" t="s">
        <v>68</v>
      </c>
      <c r="AV2329" t="s">
        <v>69</v>
      </c>
      <c r="AW2329" s="1">
        <v>26643</v>
      </c>
      <c r="AX2329">
        <v>2</v>
      </c>
    </row>
    <row r="2330" spans="1:50">
      <c r="A2330">
        <v>178778</v>
      </c>
      <c r="B2330" t="str">
        <f>"029846756"</f>
        <v>029846756</v>
      </c>
      <c r="C2330" t="s">
        <v>50</v>
      </c>
      <c r="D2330" t="s">
        <v>1354</v>
      </c>
      <c r="E2330" t="s">
        <v>83</v>
      </c>
      <c r="F2330" t="s">
        <v>782</v>
      </c>
      <c r="G2330" t="s">
        <v>314</v>
      </c>
      <c r="H2330" t="str">
        <f>"ΠΛΑΓΙΕΣ ΣΗΤΕΙΑ"</f>
        <v>ΠΛΑΓΙΕΣ ΣΗΤΕΙΑ</v>
      </c>
      <c r="I2330">
        <v>72300</v>
      </c>
      <c r="J2330">
        <v>2843023951</v>
      </c>
      <c r="K2330">
        <v>6979030636</v>
      </c>
      <c r="M2330" t="s">
        <v>4806</v>
      </c>
      <c r="N2330" t="s">
        <v>337</v>
      </c>
      <c r="O2330" t="s">
        <v>338</v>
      </c>
      <c r="R2330" t="s">
        <v>57</v>
      </c>
      <c r="S2330">
        <v>14</v>
      </c>
      <c r="T2330">
        <v>209</v>
      </c>
      <c r="U2330" s="1">
        <v>35705</v>
      </c>
      <c r="V2330" t="s">
        <v>4509</v>
      </c>
      <c r="W2330" t="s">
        <v>4510</v>
      </c>
      <c r="X2330" t="s">
        <v>58</v>
      </c>
      <c r="Y2330">
        <v>18</v>
      </c>
      <c r="Z2330" t="s">
        <v>59</v>
      </c>
      <c r="AA2330" t="s">
        <v>59</v>
      </c>
      <c r="AB2330" t="s">
        <v>59</v>
      </c>
      <c r="AC2330" t="s">
        <v>59</v>
      </c>
      <c r="AD2330" t="s">
        <v>59</v>
      </c>
      <c r="AF2330" s="1">
        <v>35706</v>
      </c>
      <c r="AG2330" t="s">
        <v>125</v>
      </c>
      <c r="AH2330" t="s">
        <v>126</v>
      </c>
      <c r="AI2330" t="str">
        <f>"3204020"</f>
        <v>3204020</v>
      </c>
      <c r="AJ2330" t="s">
        <v>4632</v>
      </c>
      <c r="AK2330">
        <v>2843023923</v>
      </c>
      <c r="AL2330" t="s">
        <v>4633</v>
      </c>
      <c r="AM2330" t="s">
        <v>4513</v>
      </c>
      <c r="AN2330" t="s">
        <v>4540</v>
      </c>
      <c r="AO2330" t="s">
        <v>4540</v>
      </c>
      <c r="AP2330" t="s">
        <v>4540</v>
      </c>
      <c r="AQ2330">
        <v>6</v>
      </c>
      <c r="AR2330" t="s">
        <v>4509</v>
      </c>
      <c r="AS2330" t="s">
        <v>4510</v>
      </c>
      <c r="AT2330" t="s">
        <v>58</v>
      </c>
      <c r="AU2330" t="s">
        <v>68</v>
      </c>
      <c r="AV2330" t="s">
        <v>69</v>
      </c>
      <c r="AW2330" s="1">
        <v>24127</v>
      </c>
      <c r="AX2330">
        <v>2</v>
      </c>
    </row>
    <row r="2331" spans="1:50">
      <c r="A2331">
        <v>227245</v>
      </c>
      <c r="B2331" t="str">
        <f>"064010018"</f>
        <v>064010018</v>
      </c>
      <c r="C2331" t="s">
        <v>50</v>
      </c>
      <c r="D2331" t="s">
        <v>1375</v>
      </c>
      <c r="E2331" t="s">
        <v>52</v>
      </c>
      <c r="F2331" t="s">
        <v>84</v>
      </c>
      <c r="G2331" t="s">
        <v>237</v>
      </c>
      <c r="H2331" t="str">
        <f>"ΠΑΠΑ ΠΕΤΡΟΥ ΓΑΒΑΛΑ 68Γ ΗΡΑΚΛΕΙΟ"</f>
        <v>ΠΑΠΑ ΠΕΤΡΟΥ ΓΑΒΑΛΑ 68Γ ΗΡΑΚΛΕΙΟ</v>
      </c>
      <c r="I2331">
        <v>15235</v>
      </c>
      <c r="J2331">
        <v>2810821309</v>
      </c>
      <c r="K2331">
        <v>6946936425</v>
      </c>
      <c r="N2331" t="s">
        <v>232</v>
      </c>
      <c r="O2331" t="s">
        <v>233</v>
      </c>
      <c r="R2331" t="s">
        <v>57</v>
      </c>
      <c r="S2331">
        <v>13</v>
      </c>
      <c r="T2331">
        <v>654</v>
      </c>
      <c r="U2331" s="1">
        <v>40043</v>
      </c>
      <c r="V2331" t="s">
        <v>4509</v>
      </c>
      <c r="W2331" t="s">
        <v>4510</v>
      </c>
      <c r="X2331" t="s">
        <v>58</v>
      </c>
      <c r="Y2331">
        <v>21</v>
      </c>
      <c r="Z2331" t="s">
        <v>59</v>
      </c>
      <c r="AA2331" t="s">
        <v>59</v>
      </c>
      <c r="AB2331" t="s">
        <v>59</v>
      </c>
      <c r="AC2331" t="s">
        <v>59</v>
      </c>
      <c r="AD2331" t="s">
        <v>59</v>
      </c>
      <c r="AF2331" s="1">
        <v>40043</v>
      </c>
      <c r="AG2331" t="s">
        <v>148</v>
      </c>
      <c r="AH2331" t="s">
        <v>149</v>
      </c>
      <c r="AI2331" t="str">
        <f>"3255010"</f>
        <v>3255010</v>
      </c>
      <c r="AJ2331" t="s">
        <v>4590</v>
      </c>
      <c r="AK2331">
        <v>2844022058</v>
      </c>
      <c r="AL2331" t="s">
        <v>4591</v>
      </c>
      <c r="AM2331" t="s">
        <v>4513</v>
      </c>
      <c r="AN2331" t="s">
        <v>4592</v>
      </c>
      <c r="AO2331" t="s">
        <v>4592</v>
      </c>
      <c r="AP2331" t="s">
        <v>4593</v>
      </c>
      <c r="AQ2331">
        <v>2</v>
      </c>
      <c r="AR2331" t="s">
        <v>4509</v>
      </c>
      <c r="AS2331" t="s">
        <v>4510</v>
      </c>
      <c r="AT2331" t="s">
        <v>58</v>
      </c>
      <c r="AU2331" t="s">
        <v>68</v>
      </c>
      <c r="AV2331" t="s">
        <v>69</v>
      </c>
      <c r="AW2331" s="1">
        <v>27326</v>
      </c>
      <c r="AX2331">
        <v>2</v>
      </c>
    </row>
    <row r="2332" spans="1:50">
      <c r="A2332">
        <v>160106</v>
      </c>
      <c r="B2332" t="str">
        <f>"023552940"</f>
        <v>023552940</v>
      </c>
      <c r="C2332" t="s">
        <v>105</v>
      </c>
      <c r="D2332" t="s">
        <v>4807</v>
      </c>
      <c r="E2332" t="s">
        <v>166</v>
      </c>
      <c r="F2332" t="s">
        <v>949</v>
      </c>
      <c r="G2332" t="s">
        <v>411</v>
      </c>
      <c r="H2332" t="str">
        <f>" "</f>
        <v xml:space="preserve"> </v>
      </c>
      <c r="N2332" t="s">
        <v>232</v>
      </c>
      <c r="O2332" t="s">
        <v>233</v>
      </c>
      <c r="R2332" t="s">
        <v>57</v>
      </c>
      <c r="S2332">
        <v>14</v>
      </c>
      <c r="T2332">
        <v>161</v>
      </c>
      <c r="U2332" s="1">
        <v>33119</v>
      </c>
      <c r="V2332" t="s">
        <v>4509</v>
      </c>
      <c r="W2332" t="s">
        <v>4510</v>
      </c>
      <c r="X2332" t="s">
        <v>58</v>
      </c>
      <c r="Y2332">
        <v>18</v>
      </c>
      <c r="Z2332" t="s">
        <v>59</v>
      </c>
      <c r="AA2332" t="s">
        <v>59</v>
      </c>
      <c r="AB2332" t="s">
        <v>59</v>
      </c>
      <c r="AC2332" t="s">
        <v>59</v>
      </c>
      <c r="AD2332" t="s">
        <v>59</v>
      </c>
      <c r="AF2332" s="1">
        <v>33120</v>
      </c>
      <c r="AG2332" t="s">
        <v>125</v>
      </c>
      <c r="AH2332" t="s">
        <v>126</v>
      </c>
      <c r="AI2332" t="str">
        <f>"3204020"</f>
        <v>3204020</v>
      </c>
      <c r="AJ2332" t="s">
        <v>4632</v>
      </c>
      <c r="AK2332">
        <v>2843023923</v>
      </c>
      <c r="AL2332" t="s">
        <v>4633</v>
      </c>
      <c r="AM2332" t="s">
        <v>4513</v>
      </c>
      <c r="AN2332" t="s">
        <v>4540</v>
      </c>
      <c r="AO2332" t="s">
        <v>4540</v>
      </c>
      <c r="AP2332" t="s">
        <v>4540</v>
      </c>
      <c r="AQ2332">
        <v>6</v>
      </c>
      <c r="AR2332" t="s">
        <v>4509</v>
      </c>
      <c r="AS2332" t="s">
        <v>4510</v>
      </c>
      <c r="AT2332" t="s">
        <v>58</v>
      </c>
      <c r="AU2332" t="s">
        <v>68</v>
      </c>
      <c r="AV2332" t="s">
        <v>69</v>
      </c>
      <c r="AW2332" s="1">
        <v>19157</v>
      </c>
      <c r="AX2332">
        <v>2</v>
      </c>
    </row>
    <row r="2333" spans="1:50">
      <c r="B2333" t="str">
        <f>"123190000"</f>
        <v>123190000</v>
      </c>
      <c r="C2333" t="s">
        <v>50</v>
      </c>
      <c r="D2333" t="s">
        <v>4808</v>
      </c>
      <c r="E2333" t="s">
        <v>52</v>
      </c>
      <c r="F2333" t="s">
        <v>383</v>
      </c>
      <c r="G2333" t="s">
        <v>73</v>
      </c>
      <c r="H2333" t="str">
        <f>"Θ. ΜΑΤΘΑΙΑΚΗ 79 ΗΡΑΚΛΕΙΟ"</f>
        <v>Θ. ΜΑΤΘΑΙΑΚΗ 79 ΗΡΑΚΛΕΙΟ</v>
      </c>
      <c r="I2333">
        <v>71305</v>
      </c>
      <c r="J2333">
        <v>2810343351</v>
      </c>
      <c r="K2333">
        <v>6974480261</v>
      </c>
      <c r="M2333" t="s">
        <v>4809</v>
      </c>
      <c r="N2333" t="s">
        <v>146</v>
      </c>
      <c r="O2333" t="s">
        <v>147</v>
      </c>
      <c r="R2333" t="s">
        <v>159</v>
      </c>
      <c r="S2333">
        <v>2</v>
      </c>
      <c r="T2333" t="s">
        <v>160</v>
      </c>
      <c r="U2333" s="1">
        <v>43364</v>
      </c>
      <c r="V2333" t="s">
        <v>4509</v>
      </c>
      <c r="W2333" t="s">
        <v>4510</v>
      </c>
      <c r="X2333" t="s">
        <v>58</v>
      </c>
      <c r="Y2333">
        <v>23</v>
      </c>
      <c r="Z2333" t="s">
        <v>59</v>
      </c>
      <c r="AA2333" t="s">
        <v>59</v>
      </c>
      <c r="AB2333" t="s">
        <v>59</v>
      </c>
      <c r="AC2333" t="s">
        <v>59</v>
      </c>
      <c r="AD2333" t="s">
        <v>59</v>
      </c>
      <c r="AF2333" s="1">
        <v>43367</v>
      </c>
      <c r="AG2333" t="s">
        <v>137</v>
      </c>
      <c r="AH2333" t="s">
        <v>138</v>
      </c>
      <c r="AI2333" t="str">
        <f>"3240020"</f>
        <v>3240020</v>
      </c>
      <c r="AJ2333" t="s">
        <v>4568</v>
      </c>
      <c r="AK2333">
        <v>2843028570</v>
      </c>
      <c r="AL2333" t="s">
        <v>4569</v>
      </c>
      <c r="AM2333" t="s">
        <v>4513</v>
      </c>
      <c r="AN2333" t="s">
        <v>4540</v>
      </c>
      <c r="AO2333" t="s">
        <v>4540</v>
      </c>
      <c r="AP2333" t="s">
        <v>4540</v>
      </c>
      <c r="AQ2333">
        <v>6</v>
      </c>
      <c r="AR2333" t="s">
        <v>4509</v>
      </c>
      <c r="AS2333" t="s">
        <v>4510</v>
      </c>
      <c r="AT2333" t="s">
        <v>58</v>
      </c>
      <c r="AU2333" t="s">
        <v>164</v>
      </c>
      <c r="AV2333" t="s">
        <v>132</v>
      </c>
      <c r="AW2333" s="1">
        <v>29587</v>
      </c>
      <c r="AX2333">
        <v>2</v>
      </c>
    </row>
    <row r="2334" spans="1:50">
      <c r="B2334" t="str">
        <f>"115368863"</f>
        <v>115368863</v>
      </c>
      <c r="C2334" t="s">
        <v>50</v>
      </c>
      <c r="D2334" t="s">
        <v>4810</v>
      </c>
      <c r="E2334" t="s">
        <v>83</v>
      </c>
      <c r="F2334" t="s">
        <v>377</v>
      </c>
      <c r="G2334" t="s">
        <v>326</v>
      </c>
      <c r="H2334" t="str">
        <f>"Δ  ΠΑΡΟΔΟΣ Π.ΣΟΥΜΕΛΑ ΚΑΤΕΡΙΝΗ"</f>
        <v>Δ  ΠΑΡΟΔΟΣ Π.ΣΟΥΜΕΛΑ ΚΑΤΕΡΙΝΗ</v>
      </c>
      <c r="I2334">
        <v>60100</v>
      </c>
      <c r="J2334">
        <v>2351098258</v>
      </c>
      <c r="K2334">
        <v>6978187197</v>
      </c>
      <c r="M2334" t="s">
        <v>4811</v>
      </c>
      <c r="N2334" t="s">
        <v>146</v>
      </c>
      <c r="O2334" t="s">
        <v>147</v>
      </c>
      <c r="R2334" t="s">
        <v>159</v>
      </c>
      <c r="S2334">
        <v>3</v>
      </c>
      <c r="T2334" t="s">
        <v>416</v>
      </c>
      <c r="U2334" s="1">
        <v>43349</v>
      </c>
      <c r="V2334" t="s">
        <v>4509</v>
      </c>
      <c r="W2334" t="s">
        <v>4510</v>
      </c>
      <c r="X2334" t="s">
        <v>58</v>
      </c>
      <c r="Y2334">
        <v>23</v>
      </c>
      <c r="Z2334" t="s">
        <v>59</v>
      </c>
      <c r="AA2334" t="s">
        <v>59</v>
      </c>
      <c r="AB2334" t="s">
        <v>59</v>
      </c>
      <c r="AC2334" t="s">
        <v>59</v>
      </c>
      <c r="AD2334" t="s">
        <v>59</v>
      </c>
      <c r="AF2334" s="1">
        <v>43349</v>
      </c>
      <c r="AG2334" t="s">
        <v>125</v>
      </c>
      <c r="AH2334" t="s">
        <v>126</v>
      </c>
      <c r="AI2334" t="str">
        <f>"3205010"</f>
        <v>3205010</v>
      </c>
      <c r="AJ2334" t="s">
        <v>4665</v>
      </c>
      <c r="AK2334">
        <v>2844022217</v>
      </c>
      <c r="AL2334" t="s">
        <v>4666</v>
      </c>
      <c r="AM2334" t="s">
        <v>4513</v>
      </c>
      <c r="AN2334" t="s">
        <v>4592</v>
      </c>
      <c r="AO2334" t="s">
        <v>4592</v>
      </c>
      <c r="AP2334" t="s">
        <v>4593</v>
      </c>
      <c r="AQ2334">
        <v>2</v>
      </c>
      <c r="AR2334" t="s">
        <v>4509</v>
      </c>
      <c r="AS2334" t="s">
        <v>4510</v>
      </c>
      <c r="AT2334" t="s">
        <v>58</v>
      </c>
      <c r="AU2334" t="s">
        <v>419</v>
      </c>
      <c r="AV2334" t="s">
        <v>132</v>
      </c>
      <c r="AW2334" s="1">
        <v>29549</v>
      </c>
      <c r="AX2334">
        <v>2</v>
      </c>
    </row>
    <row r="2335" spans="1:50">
      <c r="A2335">
        <v>210055</v>
      </c>
      <c r="B2335" t="str">
        <f>"045166369"</f>
        <v>045166369</v>
      </c>
      <c r="C2335" t="s">
        <v>105</v>
      </c>
      <c r="D2335" t="s">
        <v>4812</v>
      </c>
      <c r="E2335" t="s">
        <v>72</v>
      </c>
      <c r="F2335" t="s">
        <v>510</v>
      </c>
      <c r="G2335" t="s">
        <v>52</v>
      </c>
      <c r="H2335" t="str">
        <f>" "</f>
        <v xml:space="preserve"> </v>
      </c>
      <c r="J2335">
        <v>2842026984</v>
      </c>
      <c r="K2335">
        <v>6972414029</v>
      </c>
      <c r="M2335" t="s">
        <v>4813</v>
      </c>
      <c r="N2335" t="s">
        <v>199</v>
      </c>
      <c r="O2335" t="s">
        <v>200</v>
      </c>
      <c r="R2335" t="s">
        <v>57</v>
      </c>
      <c r="S2335">
        <v>6</v>
      </c>
      <c r="T2335">
        <v>228</v>
      </c>
      <c r="U2335" s="1">
        <v>38608</v>
      </c>
      <c r="V2335" t="s">
        <v>4509</v>
      </c>
      <c r="W2335" t="s">
        <v>4510</v>
      </c>
      <c r="X2335" t="s">
        <v>58</v>
      </c>
      <c r="Y2335">
        <v>20</v>
      </c>
      <c r="Z2335" t="s">
        <v>59</v>
      </c>
      <c r="AA2335" t="s">
        <v>59</v>
      </c>
      <c r="AB2335" t="s">
        <v>59</v>
      </c>
      <c r="AC2335" t="s">
        <v>59</v>
      </c>
      <c r="AD2335" t="s">
        <v>59</v>
      </c>
      <c r="AF2335" s="1">
        <v>38609</v>
      </c>
      <c r="AG2335" t="s">
        <v>137</v>
      </c>
      <c r="AH2335" t="s">
        <v>138</v>
      </c>
      <c r="AI2335" t="str">
        <f>"3240120"</f>
        <v>3240120</v>
      </c>
      <c r="AJ2335" t="s">
        <v>4552</v>
      </c>
      <c r="AK2335">
        <v>2842028667</v>
      </c>
      <c r="AL2335" t="s">
        <v>4553</v>
      </c>
      <c r="AM2335" t="s">
        <v>4513</v>
      </c>
      <c r="AN2335" t="s">
        <v>4519</v>
      </c>
      <c r="AO2335" t="s">
        <v>4519</v>
      </c>
      <c r="AP2335" t="s">
        <v>4519</v>
      </c>
      <c r="AQ2335">
        <v>4</v>
      </c>
      <c r="AR2335" t="s">
        <v>4509</v>
      </c>
      <c r="AS2335" t="s">
        <v>4510</v>
      </c>
      <c r="AT2335" t="s">
        <v>58</v>
      </c>
      <c r="AU2335" t="s">
        <v>68</v>
      </c>
      <c r="AV2335" t="s">
        <v>69</v>
      </c>
      <c r="AW2335" s="1">
        <v>25578</v>
      </c>
      <c r="AX2335">
        <v>2</v>
      </c>
    </row>
    <row r="2336" spans="1:50">
      <c r="A2336">
        <v>227882</v>
      </c>
      <c r="B2336" t="str">
        <f>"055575517"</f>
        <v>055575517</v>
      </c>
      <c r="C2336" t="s">
        <v>50</v>
      </c>
      <c r="D2336" t="s">
        <v>4814</v>
      </c>
      <c r="E2336" t="s">
        <v>4815</v>
      </c>
      <c r="F2336" t="s">
        <v>166</v>
      </c>
      <c r="G2336" t="s">
        <v>52</v>
      </c>
      <c r="H2336" t="str">
        <f>"Χ.ΚΑΡΑΝΔΕΙΝΟΥ 9 ΙΕΡΑΠΕΤΡΑ"</f>
        <v>Χ.ΚΑΡΑΝΔΕΙΝΟΥ 9 ΙΕΡΑΠΕΤΡΑ</v>
      </c>
      <c r="I2336">
        <v>72200</v>
      </c>
      <c r="J2336">
        <v>2842080414</v>
      </c>
      <c r="K2336">
        <v>6937225523</v>
      </c>
      <c r="N2336" t="s">
        <v>176</v>
      </c>
      <c r="O2336" t="s">
        <v>177</v>
      </c>
      <c r="R2336" t="s">
        <v>57</v>
      </c>
      <c r="S2336">
        <v>5</v>
      </c>
      <c r="T2336">
        <v>654</v>
      </c>
      <c r="U2336" s="1">
        <v>40043</v>
      </c>
      <c r="V2336" t="s">
        <v>4509</v>
      </c>
      <c r="W2336" t="s">
        <v>4510</v>
      </c>
      <c r="X2336" t="s">
        <v>58</v>
      </c>
      <c r="Y2336">
        <v>21</v>
      </c>
      <c r="Z2336" t="s">
        <v>59</v>
      </c>
      <c r="AA2336" t="s">
        <v>59</v>
      </c>
      <c r="AB2336" t="s">
        <v>59</v>
      </c>
      <c r="AC2336" t="s">
        <v>59</v>
      </c>
      <c r="AD2336" t="s">
        <v>59</v>
      </c>
      <c r="AF2336" s="1">
        <v>40043</v>
      </c>
      <c r="AG2336" t="s">
        <v>125</v>
      </c>
      <c r="AH2336" t="s">
        <v>126</v>
      </c>
      <c r="AI2336" t="str">
        <f>"3202030"</f>
        <v>3202030</v>
      </c>
      <c r="AJ2336" t="s">
        <v>4558</v>
      </c>
      <c r="AK2336">
        <v>2842028751</v>
      </c>
      <c r="AL2336" t="s">
        <v>4559</v>
      </c>
      <c r="AM2336" t="s">
        <v>4513</v>
      </c>
      <c r="AN2336" t="s">
        <v>4519</v>
      </c>
      <c r="AO2336" t="s">
        <v>4519</v>
      </c>
      <c r="AP2336" t="s">
        <v>4519</v>
      </c>
      <c r="AQ2336">
        <v>4</v>
      </c>
      <c r="AR2336" t="s">
        <v>4509</v>
      </c>
      <c r="AS2336" t="s">
        <v>4510</v>
      </c>
      <c r="AT2336" t="s">
        <v>58</v>
      </c>
      <c r="AU2336" t="s">
        <v>68</v>
      </c>
      <c r="AV2336" t="s">
        <v>132</v>
      </c>
      <c r="AW2336" s="1">
        <v>26705</v>
      </c>
      <c r="AX2336">
        <v>2</v>
      </c>
    </row>
    <row r="2337" spans="1:50">
      <c r="A2337">
        <v>222899</v>
      </c>
      <c r="B2337" t="str">
        <f>"110374832"</f>
        <v>110374832</v>
      </c>
      <c r="C2337" t="s">
        <v>50</v>
      </c>
      <c r="D2337" t="s">
        <v>1447</v>
      </c>
      <c r="E2337" t="s">
        <v>73</v>
      </c>
      <c r="F2337" t="s">
        <v>1286</v>
      </c>
      <c r="G2337" t="s">
        <v>950</v>
      </c>
      <c r="H2337" t="str">
        <f t="shared" ref="H2337:H2342" si="1">" "</f>
        <v xml:space="preserve"> </v>
      </c>
      <c r="J2337">
        <v>2843023333</v>
      </c>
      <c r="K2337">
        <v>6978888092</v>
      </c>
      <c r="M2337" t="s">
        <v>4816</v>
      </c>
      <c r="N2337" t="s">
        <v>292</v>
      </c>
      <c r="O2337" t="s">
        <v>293</v>
      </c>
      <c r="R2337" t="s">
        <v>57</v>
      </c>
      <c r="S2337">
        <v>5</v>
      </c>
      <c r="T2337">
        <v>775</v>
      </c>
      <c r="U2337" s="1">
        <v>39680</v>
      </c>
      <c r="V2337" t="s">
        <v>4509</v>
      </c>
      <c r="W2337" t="s">
        <v>4510</v>
      </c>
      <c r="X2337" t="s">
        <v>58</v>
      </c>
      <c r="Y2337">
        <v>21</v>
      </c>
      <c r="Z2337" t="s">
        <v>59</v>
      </c>
      <c r="AA2337" t="s">
        <v>59</v>
      </c>
      <c r="AB2337" t="s">
        <v>59</v>
      </c>
      <c r="AC2337" t="s">
        <v>59</v>
      </c>
      <c r="AD2337" t="s">
        <v>59</v>
      </c>
      <c r="AF2337" s="1">
        <v>39682</v>
      </c>
      <c r="AG2337" t="s">
        <v>125</v>
      </c>
      <c r="AH2337" t="s">
        <v>126</v>
      </c>
      <c r="AI2337" t="str">
        <f>"3209010"</f>
        <v>3209010</v>
      </c>
      <c r="AJ2337" t="s">
        <v>4698</v>
      </c>
      <c r="AK2337">
        <v>2843061207</v>
      </c>
      <c r="AL2337" t="s">
        <v>4699</v>
      </c>
      <c r="AM2337" t="s">
        <v>4513</v>
      </c>
      <c r="AN2337" t="s">
        <v>4540</v>
      </c>
      <c r="AO2337" t="s">
        <v>4700</v>
      </c>
      <c r="AP2337" t="s">
        <v>4701</v>
      </c>
      <c r="AQ2337">
        <v>6</v>
      </c>
      <c r="AR2337" t="s">
        <v>4509</v>
      </c>
      <c r="AS2337" t="s">
        <v>4510</v>
      </c>
      <c r="AT2337" t="s">
        <v>58</v>
      </c>
      <c r="AU2337" t="s">
        <v>68</v>
      </c>
      <c r="AV2337" t="s">
        <v>69</v>
      </c>
      <c r="AW2337" s="1">
        <v>25996</v>
      </c>
      <c r="AX2337">
        <v>2</v>
      </c>
    </row>
    <row r="2338" spans="1:50">
      <c r="A2338">
        <v>225269</v>
      </c>
      <c r="B2338" t="str">
        <f>"065310990"</f>
        <v>065310990</v>
      </c>
      <c r="C2338" t="s">
        <v>50</v>
      </c>
      <c r="D2338" t="s">
        <v>1447</v>
      </c>
      <c r="E2338" t="s">
        <v>52</v>
      </c>
      <c r="F2338" t="s">
        <v>95</v>
      </c>
      <c r="G2338" t="s">
        <v>215</v>
      </c>
      <c r="H2338" t="str">
        <f t="shared" si="1"/>
        <v xml:space="preserve"> </v>
      </c>
      <c r="J2338">
        <v>2842041747</v>
      </c>
      <c r="K2338">
        <v>6945817882</v>
      </c>
      <c r="N2338" t="s">
        <v>257</v>
      </c>
      <c r="O2338" t="s">
        <v>258</v>
      </c>
      <c r="R2338" t="s">
        <v>57</v>
      </c>
      <c r="S2338">
        <v>5</v>
      </c>
      <c r="T2338">
        <v>775</v>
      </c>
      <c r="U2338" s="1">
        <v>39680</v>
      </c>
      <c r="V2338" t="s">
        <v>4509</v>
      </c>
      <c r="W2338" t="s">
        <v>4510</v>
      </c>
      <c r="X2338" t="s">
        <v>58</v>
      </c>
      <c r="Y2338">
        <v>21</v>
      </c>
      <c r="Z2338" t="s">
        <v>59</v>
      </c>
      <c r="AA2338" t="s">
        <v>59</v>
      </c>
      <c r="AB2338" t="s">
        <v>59</v>
      </c>
      <c r="AC2338" t="s">
        <v>59</v>
      </c>
      <c r="AD2338" t="s">
        <v>59</v>
      </c>
      <c r="AF2338" s="1">
        <v>39681</v>
      </c>
      <c r="AG2338" t="s">
        <v>125</v>
      </c>
      <c r="AH2338" t="s">
        <v>126</v>
      </c>
      <c r="AI2338" t="str">
        <f>"3202020"</f>
        <v>3202020</v>
      </c>
      <c r="AJ2338" t="s">
        <v>4576</v>
      </c>
      <c r="AK2338">
        <v>2842022289</v>
      </c>
      <c r="AL2338" t="s">
        <v>4577</v>
      </c>
      <c r="AM2338" t="s">
        <v>4513</v>
      </c>
      <c r="AN2338" t="s">
        <v>4519</v>
      </c>
      <c r="AO2338" t="s">
        <v>4519</v>
      </c>
      <c r="AP2338" t="s">
        <v>4519</v>
      </c>
      <c r="AQ2338">
        <v>4</v>
      </c>
      <c r="AR2338" t="s">
        <v>4509</v>
      </c>
      <c r="AS2338" t="s">
        <v>4510</v>
      </c>
      <c r="AT2338" t="s">
        <v>58</v>
      </c>
      <c r="AU2338" t="s">
        <v>68</v>
      </c>
      <c r="AV2338" t="s">
        <v>69</v>
      </c>
      <c r="AW2338" s="1">
        <v>25323</v>
      </c>
      <c r="AX2338">
        <v>2</v>
      </c>
    </row>
    <row r="2339" spans="1:50">
      <c r="A2339">
        <v>154347</v>
      </c>
      <c r="B2339" t="str">
        <f>"110256944"</f>
        <v>110256944</v>
      </c>
      <c r="C2339" t="s">
        <v>50</v>
      </c>
      <c r="D2339" t="s">
        <v>4817</v>
      </c>
      <c r="E2339" t="s">
        <v>215</v>
      </c>
      <c r="F2339" t="s">
        <v>95</v>
      </c>
      <c r="G2339" t="s">
        <v>181</v>
      </c>
      <c r="H2339" t="str">
        <f t="shared" si="1"/>
        <v xml:space="preserve"> </v>
      </c>
      <c r="M2339" t="s">
        <v>4818</v>
      </c>
      <c r="N2339" t="s">
        <v>232</v>
      </c>
      <c r="O2339" t="s">
        <v>233</v>
      </c>
      <c r="R2339" t="s">
        <v>57</v>
      </c>
      <c r="S2339">
        <v>15</v>
      </c>
      <c r="T2339">
        <v>161</v>
      </c>
      <c r="U2339" s="1">
        <v>32387</v>
      </c>
      <c r="V2339" t="s">
        <v>4509</v>
      </c>
      <c r="W2339" t="s">
        <v>4510</v>
      </c>
      <c r="X2339" t="s">
        <v>58</v>
      </c>
      <c r="Y2339">
        <v>18</v>
      </c>
      <c r="Z2339" t="s">
        <v>59</v>
      </c>
      <c r="AA2339" t="s">
        <v>59</v>
      </c>
      <c r="AB2339" t="s">
        <v>59</v>
      </c>
      <c r="AC2339" t="s">
        <v>59</v>
      </c>
      <c r="AD2339" t="s">
        <v>59</v>
      </c>
      <c r="AF2339" s="1">
        <v>32388</v>
      </c>
      <c r="AG2339" t="s">
        <v>125</v>
      </c>
      <c r="AH2339" t="s">
        <v>126</v>
      </c>
      <c r="AI2339" t="str">
        <f>"3202010"</f>
        <v>3202010</v>
      </c>
      <c r="AJ2339" t="s">
        <v>4517</v>
      </c>
      <c r="AK2339">
        <v>2842028229</v>
      </c>
      <c r="AL2339" t="s">
        <v>4518</v>
      </c>
      <c r="AM2339" t="s">
        <v>4513</v>
      </c>
      <c r="AN2339" t="s">
        <v>4519</v>
      </c>
      <c r="AO2339" t="s">
        <v>4519</v>
      </c>
      <c r="AP2339" t="s">
        <v>4519</v>
      </c>
      <c r="AQ2339">
        <v>4</v>
      </c>
      <c r="AR2339" t="s">
        <v>4509</v>
      </c>
      <c r="AS2339" t="s">
        <v>4510</v>
      </c>
      <c r="AT2339" t="s">
        <v>58</v>
      </c>
      <c r="AU2339" t="s">
        <v>68</v>
      </c>
      <c r="AV2339" t="s">
        <v>69</v>
      </c>
      <c r="AW2339" s="1">
        <v>21136</v>
      </c>
      <c r="AX2339">
        <v>2</v>
      </c>
    </row>
    <row r="2340" spans="1:50">
      <c r="A2340">
        <v>212678</v>
      </c>
      <c r="B2340" t="str">
        <f>"047000090"</f>
        <v>047000090</v>
      </c>
      <c r="C2340" t="s">
        <v>105</v>
      </c>
      <c r="D2340" t="s">
        <v>1453</v>
      </c>
      <c r="E2340" t="s">
        <v>53</v>
      </c>
      <c r="F2340" t="s">
        <v>1286</v>
      </c>
      <c r="G2340" t="s">
        <v>950</v>
      </c>
      <c r="H2340" t="str">
        <f t="shared" si="1"/>
        <v xml:space="preserve"> </v>
      </c>
      <c r="J2340">
        <v>2843028138</v>
      </c>
      <c r="K2340">
        <v>6977991520</v>
      </c>
      <c r="M2340" t="s">
        <v>4819</v>
      </c>
      <c r="N2340" t="s">
        <v>292</v>
      </c>
      <c r="O2340" t="s">
        <v>293</v>
      </c>
      <c r="R2340" t="s">
        <v>57</v>
      </c>
      <c r="S2340">
        <v>7</v>
      </c>
      <c r="T2340">
        <v>231</v>
      </c>
      <c r="U2340" s="1">
        <v>38960</v>
      </c>
      <c r="V2340" t="s">
        <v>4509</v>
      </c>
      <c r="W2340" t="s">
        <v>4510</v>
      </c>
      <c r="X2340" t="s">
        <v>58</v>
      </c>
      <c r="Y2340">
        <v>20</v>
      </c>
      <c r="Z2340" t="s">
        <v>59</v>
      </c>
      <c r="AA2340" t="s">
        <v>59</v>
      </c>
      <c r="AB2340" t="s">
        <v>59</v>
      </c>
      <c r="AC2340" t="s">
        <v>59</v>
      </c>
      <c r="AD2340" t="s">
        <v>59</v>
      </c>
      <c r="AF2340" s="1">
        <v>38961</v>
      </c>
      <c r="AG2340" t="s">
        <v>125</v>
      </c>
      <c r="AH2340" t="s">
        <v>126</v>
      </c>
      <c r="AI2340" t="str">
        <f>"3208010"</f>
        <v>3208010</v>
      </c>
      <c r="AJ2340" t="s">
        <v>4820</v>
      </c>
      <c r="AK2340">
        <v>2843094338</v>
      </c>
      <c r="AL2340" t="s">
        <v>4821</v>
      </c>
      <c r="AM2340" t="s">
        <v>4513</v>
      </c>
      <c r="AN2340" t="s">
        <v>4540</v>
      </c>
      <c r="AO2340" t="s">
        <v>4540</v>
      </c>
      <c r="AP2340" t="s">
        <v>4822</v>
      </c>
      <c r="AQ2340">
        <v>6</v>
      </c>
      <c r="AR2340" t="s">
        <v>4509</v>
      </c>
      <c r="AS2340" t="s">
        <v>4510</v>
      </c>
      <c r="AT2340" t="s">
        <v>58</v>
      </c>
      <c r="AU2340" t="s">
        <v>68</v>
      </c>
      <c r="AV2340" t="s">
        <v>69</v>
      </c>
      <c r="AW2340" s="1">
        <v>26636</v>
      </c>
      <c r="AX2340">
        <v>2</v>
      </c>
    </row>
    <row r="2341" spans="1:50">
      <c r="A2341">
        <v>175367</v>
      </c>
      <c r="B2341" t="str">
        <f>"034599970"</f>
        <v>034599970</v>
      </c>
      <c r="C2341" t="s">
        <v>50</v>
      </c>
      <c r="D2341" t="s">
        <v>4823</v>
      </c>
      <c r="E2341" t="s">
        <v>215</v>
      </c>
      <c r="F2341" t="s">
        <v>2320</v>
      </c>
      <c r="G2341" t="s">
        <v>52</v>
      </c>
      <c r="H2341" t="str">
        <f t="shared" si="1"/>
        <v xml:space="preserve"> </v>
      </c>
      <c r="M2341" t="s">
        <v>4824</v>
      </c>
      <c r="N2341" t="s">
        <v>146</v>
      </c>
      <c r="O2341" t="s">
        <v>147</v>
      </c>
      <c r="R2341" t="s">
        <v>57</v>
      </c>
      <c r="S2341">
        <v>13</v>
      </c>
      <c r="T2341">
        <v>180</v>
      </c>
      <c r="U2341" s="1">
        <v>35674</v>
      </c>
      <c r="V2341" t="s">
        <v>4509</v>
      </c>
      <c r="W2341" t="s">
        <v>4510</v>
      </c>
      <c r="X2341" t="s">
        <v>58</v>
      </c>
      <c r="Y2341">
        <v>18</v>
      </c>
      <c r="Z2341" t="s">
        <v>59</v>
      </c>
      <c r="AA2341" t="s">
        <v>59</v>
      </c>
      <c r="AB2341" t="s">
        <v>59</v>
      </c>
      <c r="AC2341" t="s">
        <v>59</v>
      </c>
      <c r="AD2341" t="s">
        <v>59</v>
      </c>
      <c r="AF2341" s="1">
        <v>35675</v>
      </c>
      <c r="AG2341" t="s">
        <v>125</v>
      </c>
      <c r="AH2341" t="s">
        <v>126</v>
      </c>
      <c r="AI2341" t="str">
        <f>"3202030"</f>
        <v>3202030</v>
      </c>
      <c r="AJ2341" t="s">
        <v>4558</v>
      </c>
      <c r="AK2341">
        <v>2842028751</v>
      </c>
      <c r="AL2341" t="s">
        <v>4559</v>
      </c>
      <c r="AM2341" t="s">
        <v>4513</v>
      </c>
      <c r="AN2341" t="s">
        <v>4519</v>
      </c>
      <c r="AO2341" t="s">
        <v>4519</v>
      </c>
      <c r="AP2341" t="s">
        <v>4519</v>
      </c>
      <c r="AQ2341">
        <v>4</v>
      </c>
      <c r="AR2341" t="s">
        <v>4509</v>
      </c>
      <c r="AS2341" t="s">
        <v>4510</v>
      </c>
      <c r="AT2341" t="s">
        <v>58</v>
      </c>
      <c r="AU2341" t="s">
        <v>68</v>
      </c>
      <c r="AV2341" t="s">
        <v>69</v>
      </c>
      <c r="AW2341" s="1">
        <v>23163</v>
      </c>
      <c r="AX2341">
        <v>2</v>
      </c>
    </row>
    <row r="2342" spans="1:50">
      <c r="A2342">
        <v>220329</v>
      </c>
      <c r="B2342" t="str">
        <f>"065386310"</f>
        <v>065386310</v>
      </c>
      <c r="C2342" t="s">
        <v>50</v>
      </c>
      <c r="D2342" t="s">
        <v>1455</v>
      </c>
      <c r="E2342" t="s">
        <v>263</v>
      </c>
      <c r="F2342" t="s">
        <v>72</v>
      </c>
      <c r="G2342" t="s">
        <v>1510</v>
      </c>
      <c r="H2342" t="str">
        <f t="shared" si="1"/>
        <v xml:space="preserve"> </v>
      </c>
      <c r="J2342">
        <v>2841041500</v>
      </c>
      <c r="K2342">
        <v>6977455784</v>
      </c>
      <c r="M2342" t="s">
        <v>4825</v>
      </c>
      <c r="N2342" t="s">
        <v>146</v>
      </c>
      <c r="O2342" t="s">
        <v>147</v>
      </c>
      <c r="R2342" t="s">
        <v>57</v>
      </c>
      <c r="S2342">
        <v>5</v>
      </c>
      <c r="T2342">
        <v>681</v>
      </c>
      <c r="U2342" s="1">
        <v>39325</v>
      </c>
      <c r="V2342" t="s">
        <v>4509</v>
      </c>
      <c r="W2342" t="s">
        <v>4510</v>
      </c>
      <c r="X2342" t="s">
        <v>58</v>
      </c>
      <c r="Y2342">
        <v>21</v>
      </c>
      <c r="Z2342" t="s">
        <v>59</v>
      </c>
      <c r="AA2342" t="s">
        <v>59</v>
      </c>
      <c r="AB2342" t="s">
        <v>59</v>
      </c>
      <c r="AC2342" t="s">
        <v>59</v>
      </c>
      <c r="AD2342" t="s">
        <v>59</v>
      </c>
      <c r="AF2342" s="1">
        <v>39330</v>
      </c>
      <c r="AG2342" t="s">
        <v>148</v>
      </c>
      <c r="AH2342" t="s">
        <v>149</v>
      </c>
      <c r="AI2342" t="str">
        <f>"3251001"</f>
        <v>3251001</v>
      </c>
      <c r="AJ2342" t="s">
        <v>4535</v>
      </c>
      <c r="AK2342">
        <v>2841082544</v>
      </c>
      <c r="AL2342" t="s">
        <v>4536</v>
      </c>
      <c r="AM2342" t="s">
        <v>4513</v>
      </c>
      <c r="AN2342" t="s">
        <v>4514</v>
      </c>
      <c r="AO2342" t="s">
        <v>4514</v>
      </c>
      <c r="AP2342" t="s">
        <v>4514</v>
      </c>
      <c r="AQ2342">
        <v>1</v>
      </c>
      <c r="AR2342" t="s">
        <v>4509</v>
      </c>
      <c r="AS2342" t="s">
        <v>4510</v>
      </c>
      <c r="AT2342" t="s">
        <v>58</v>
      </c>
      <c r="AU2342" t="s">
        <v>68</v>
      </c>
      <c r="AV2342" t="s">
        <v>69</v>
      </c>
      <c r="AW2342" s="1">
        <v>27368</v>
      </c>
      <c r="AX2342">
        <v>2</v>
      </c>
    </row>
    <row r="2343" spans="1:50">
      <c r="A2343">
        <v>173297</v>
      </c>
      <c r="B2343" t="str">
        <f>"110304971"</f>
        <v>110304971</v>
      </c>
      <c r="C2343" t="s">
        <v>50</v>
      </c>
      <c r="D2343" t="s">
        <v>4826</v>
      </c>
      <c r="E2343" t="s">
        <v>52</v>
      </c>
      <c r="F2343" t="s">
        <v>106</v>
      </c>
      <c r="G2343" t="s">
        <v>263</v>
      </c>
      <c r="H2343" t="str">
        <f>"ΓΝΩΣΕΩΣ 12 ΑΓΙΟΣ ΝΙΚΟΛΑΟΣ"</f>
        <v>ΓΝΩΣΕΩΣ 12 ΑΓΙΟΣ ΝΙΚΟΛΑΟΣ</v>
      </c>
      <c r="I2343">
        <v>72100</v>
      </c>
      <c r="J2343">
        <v>2841022827</v>
      </c>
      <c r="K2343">
        <v>6973505493</v>
      </c>
      <c r="M2343" t="s">
        <v>4827</v>
      </c>
      <c r="N2343" t="s">
        <v>146</v>
      </c>
      <c r="O2343" t="s">
        <v>147</v>
      </c>
      <c r="R2343" t="s">
        <v>57</v>
      </c>
      <c r="S2343">
        <v>13</v>
      </c>
      <c r="T2343">
        <v>166</v>
      </c>
      <c r="U2343" s="1">
        <v>35300</v>
      </c>
      <c r="V2343" t="s">
        <v>4509</v>
      </c>
      <c r="W2343" t="s">
        <v>4510</v>
      </c>
      <c r="X2343" t="s">
        <v>58</v>
      </c>
      <c r="Y2343">
        <v>18</v>
      </c>
      <c r="Z2343" t="s">
        <v>59</v>
      </c>
      <c r="AA2343" t="s">
        <v>59</v>
      </c>
      <c r="AB2343" t="s">
        <v>59</v>
      </c>
      <c r="AC2343" t="s">
        <v>59</v>
      </c>
      <c r="AD2343" t="s">
        <v>59</v>
      </c>
      <c r="AF2343" s="1">
        <v>35309</v>
      </c>
      <c r="AG2343" t="s">
        <v>125</v>
      </c>
      <c r="AH2343" t="s">
        <v>126</v>
      </c>
      <c r="AI2343" t="str">
        <f>"3201020"</f>
        <v>3201020</v>
      </c>
      <c r="AJ2343" t="s">
        <v>4511</v>
      </c>
      <c r="AK2343">
        <v>2841024586</v>
      </c>
      <c r="AL2343" t="s">
        <v>4512</v>
      </c>
      <c r="AM2343" t="s">
        <v>4513</v>
      </c>
      <c r="AN2343" t="s">
        <v>4514</v>
      </c>
      <c r="AO2343" t="s">
        <v>4514</v>
      </c>
      <c r="AP2343" t="s">
        <v>4514</v>
      </c>
      <c r="AQ2343">
        <v>1</v>
      </c>
      <c r="AR2343" t="s">
        <v>4509</v>
      </c>
      <c r="AS2343" t="s">
        <v>4510</v>
      </c>
      <c r="AT2343" t="s">
        <v>58</v>
      </c>
      <c r="AU2343" t="s">
        <v>68</v>
      </c>
      <c r="AV2343" t="s">
        <v>69</v>
      </c>
      <c r="AW2343" s="1">
        <v>24286</v>
      </c>
      <c r="AX2343">
        <v>2</v>
      </c>
    </row>
    <row r="2344" spans="1:50">
      <c r="B2344" t="str">
        <f>"108868370"</f>
        <v>108868370</v>
      </c>
      <c r="C2344" t="s">
        <v>50</v>
      </c>
      <c r="D2344" t="s">
        <v>4828</v>
      </c>
      <c r="E2344" t="s">
        <v>52</v>
      </c>
      <c r="F2344" t="s">
        <v>72</v>
      </c>
      <c r="G2344" t="s">
        <v>4829</v>
      </c>
      <c r="H2344" t="str">
        <f>"ΠΑΡΟΔΟΣ ΟΜΗΡΟΥ 21 ΙΕΡΑΠΕΤΡΑ"</f>
        <v>ΠΑΡΟΔΟΣ ΟΜΗΡΟΥ 21 ΙΕΡΑΠΕΤΡΑ</v>
      </c>
      <c r="I2344">
        <v>72200</v>
      </c>
      <c r="J2344">
        <v>2842023746</v>
      </c>
      <c r="K2344">
        <v>6947812032</v>
      </c>
      <c r="M2344" t="s">
        <v>4830</v>
      </c>
      <c r="N2344" t="s">
        <v>246</v>
      </c>
      <c r="O2344" t="s">
        <v>247</v>
      </c>
      <c r="R2344" t="s">
        <v>159</v>
      </c>
      <c r="S2344">
        <v>2</v>
      </c>
      <c r="T2344" t="s">
        <v>416</v>
      </c>
      <c r="U2344" s="1">
        <v>43349</v>
      </c>
      <c r="V2344" t="s">
        <v>4509</v>
      </c>
      <c r="W2344" t="s">
        <v>4510</v>
      </c>
      <c r="X2344" t="s">
        <v>58</v>
      </c>
      <c r="Y2344">
        <v>23</v>
      </c>
      <c r="Z2344" t="s">
        <v>59</v>
      </c>
      <c r="AA2344" t="s">
        <v>59</v>
      </c>
      <c r="AB2344" t="s">
        <v>59</v>
      </c>
      <c r="AC2344" t="s">
        <v>59</v>
      </c>
      <c r="AD2344" t="s">
        <v>59</v>
      </c>
      <c r="AF2344" s="1">
        <v>43349</v>
      </c>
      <c r="AG2344" t="s">
        <v>148</v>
      </c>
      <c r="AH2344" t="s">
        <v>149</v>
      </c>
      <c r="AI2344" t="str">
        <f>"3252010"</f>
        <v>3252010</v>
      </c>
      <c r="AJ2344" t="s">
        <v>4532</v>
      </c>
      <c r="AK2344">
        <v>2842022356</v>
      </c>
      <c r="AL2344" t="s">
        <v>4533</v>
      </c>
      <c r="AM2344" t="s">
        <v>4513</v>
      </c>
      <c r="AN2344" t="s">
        <v>4519</v>
      </c>
      <c r="AO2344" t="s">
        <v>4519</v>
      </c>
      <c r="AP2344" t="s">
        <v>4519</v>
      </c>
      <c r="AQ2344">
        <v>4</v>
      </c>
      <c r="AR2344" t="s">
        <v>4509</v>
      </c>
      <c r="AS2344" t="s">
        <v>4510</v>
      </c>
      <c r="AT2344" t="s">
        <v>58</v>
      </c>
      <c r="AU2344" t="s">
        <v>419</v>
      </c>
      <c r="AV2344" t="s">
        <v>132</v>
      </c>
      <c r="AW2344" s="1">
        <v>28127</v>
      </c>
      <c r="AX2344">
        <v>2</v>
      </c>
    </row>
    <row r="2345" spans="1:50">
      <c r="A2345">
        <v>199061</v>
      </c>
      <c r="B2345" t="str">
        <f>"056091705"</f>
        <v>056091705</v>
      </c>
      <c r="C2345" t="s">
        <v>105</v>
      </c>
      <c r="D2345" t="s">
        <v>4831</v>
      </c>
      <c r="E2345" t="s">
        <v>72</v>
      </c>
      <c r="F2345" t="s">
        <v>95</v>
      </c>
      <c r="G2345" t="s">
        <v>3087</v>
      </c>
      <c r="H2345" t="str">
        <f>"ΘΕΡΙΣΣΟΥ 26 ΣΗΤΕΙΑ"</f>
        <v>ΘΕΡΙΣΣΟΥ 26 ΣΗΤΕΙΑ</v>
      </c>
      <c r="I2345">
        <v>72300</v>
      </c>
      <c r="J2345">
        <v>2310436014</v>
      </c>
      <c r="K2345">
        <v>6972915525</v>
      </c>
      <c r="M2345" t="s">
        <v>4832</v>
      </c>
      <c r="N2345" t="s">
        <v>176</v>
      </c>
      <c r="O2345" t="s">
        <v>177</v>
      </c>
      <c r="R2345" t="s">
        <v>57</v>
      </c>
      <c r="S2345">
        <v>12</v>
      </c>
      <c r="T2345">
        <v>206</v>
      </c>
      <c r="U2345" s="1">
        <v>37866</v>
      </c>
      <c r="V2345" t="s">
        <v>4509</v>
      </c>
      <c r="W2345" t="s">
        <v>4510</v>
      </c>
      <c r="X2345" t="s">
        <v>58</v>
      </c>
      <c r="Y2345">
        <v>18</v>
      </c>
      <c r="Z2345" t="s">
        <v>59</v>
      </c>
      <c r="AA2345" t="s">
        <v>59</v>
      </c>
      <c r="AB2345" t="s">
        <v>59</v>
      </c>
      <c r="AC2345" t="s">
        <v>59</v>
      </c>
      <c r="AD2345" t="s">
        <v>59</v>
      </c>
      <c r="AF2345" s="1">
        <v>37867</v>
      </c>
      <c r="AG2345" t="s">
        <v>125</v>
      </c>
      <c r="AH2345" t="s">
        <v>126</v>
      </c>
      <c r="AI2345" t="str">
        <f>"3204010"</f>
        <v>3204010</v>
      </c>
      <c r="AJ2345" t="s">
        <v>4542</v>
      </c>
      <c r="AK2345">
        <v>2843022503</v>
      </c>
      <c r="AL2345" t="s">
        <v>4543</v>
      </c>
      <c r="AM2345" t="s">
        <v>4513</v>
      </c>
      <c r="AN2345" t="s">
        <v>4540</v>
      </c>
      <c r="AO2345" t="s">
        <v>4540</v>
      </c>
      <c r="AP2345" t="s">
        <v>4540</v>
      </c>
      <c r="AQ2345">
        <v>6</v>
      </c>
      <c r="AR2345" t="s">
        <v>4509</v>
      </c>
      <c r="AS2345" t="s">
        <v>4510</v>
      </c>
      <c r="AT2345" t="s">
        <v>58</v>
      </c>
      <c r="AU2345" t="s">
        <v>68</v>
      </c>
      <c r="AV2345" t="s">
        <v>69</v>
      </c>
      <c r="AW2345" s="1">
        <v>25083</v>
      </c>
      <c r="AX2345">
        <v>2</v>
      </c>
    </row>
    <row r="2346" spans="1:50">
      <c r="A2346">
        <v>702311</v>
      </c>
      <c r="B2346" t="str">
        <f>"052381975"</f>
        <v>052381975</v>
      </c>
      <c r="C2346" t="s">
        <v>50</v>
      </c>
      <c r="D2346" t="s">
        <v>4833</v>
      </c>
      <c r="E2346" t="s">
        <v>352</v>
      </c>
      <c r="F2346" t="s">
        <v>99</v>
      </c>
      <c r="G2346" t="s">
        <v>4695</v>
      </c>
      <c r="H2346" t="str">
        <f>"ΛΕΩΦΟΡΟΣ ΗΡΑΚΛΕΙΟΥ 526 ΗΡΑΚΛΕΙΟ ΑΤΤΙΚΗΣ"</f>
        <v>ΛΕΩΦΟΡΟΣ ΗΡΑΚΛΕΙΟΥ 526 ΗΡΑΚΛΕΙΟ ΑΤΤΙΚΗΣ</v>
      </c>
      <c r="I2346">
        <v>14122</v>
      </c>
      <c r="J2346">
        <v>2841082653</v>
      </c>
      <c r="K2346">
        <v>6944534141</v>
      </c>
      <c r="L2346">
        <v>2102844810</v>
      </c>
      <c r="M2346" t="s">
        <v>4834</v>
      </c>
      <c r="N2346" t="s">
        <v>157</v>
      </c>
      <c r="O2346" t="s">
        <v>158</v>
      </c>
      <c r="P2346" t="s">
        <v>146</v>
      </c>
      <c r="Q2346" t="s">
        <v>147</v>
      </c>
      <c r="R2346" t="s">
        <v>57</v>
      </c>
      <c r="S2346">
        <v>4</v>
      </c>
      <c r="T2346">
        <v>772</v>
      </c>
      <c r="U2346" s="1">
        <v>40413</v>
      </c>
      <c r="V2346" t="s">
        <v>4509</v>
      </c>
      <c r="W2346" t="s">
        <v>4510</v>
      </c>
      <c r="X2346" t="s">
        <v>58</v>
      </c>
      <c r="Y2346">
        <v>21</v>
      </c>
      <c r="Z2346" t="s">
        <v>59</v>
      </c>
      <c r="AA2346" t="s">
        <v>59</v>
      </c>
      <c r="AB2346" t="s">
        <v>59</v>
      </c>
      <c r="AC2346" t="s">
        <v>59</v>
      </c>
      <c r="AD2346" t="s">
        <v>59</v>
      </c>
      <c r="AF2346" s="1">
        <v>40422</v>
      </c>
      <c r="AG2346" t="s">
        <v>125</v>
      </c>
      <c r="AH2346" t="s">
        <v>126</v>
      </c>
      <c r="AI2346" t="str">
        <f>"3201025"</f>
        <v>3201025</v>
      </c>
      <c r="AJ2346" t="s">
        <v>4682</v>
      </c>
      <c r="AK2346">
        <v>2841021388</v>
      </c>
      <c r="AL2346" t="s">
        <v>4683</v>
      </c>
      <c r="AM2346" t="s">
        <v>4513</v>
      </c>
      <c r="AN2346" t="s">
        <v>4514</v>
      </c>
      <c r="AO2346" t="s">
        <v>4514</v>
      </c>
      <c r="AP2346" t="s">
        <v>4514</v>
      </c>
      <c r="AQ2346">
        <v>1</v>
      </c>
      <c r="AR2346" t="s">
        <v>4509</v>
      </c>
      <c r="AS2346" t="s">
        <v>4510</v>
      </c>
      <c r="AT2346" t="s">
        <v>58</v>
      </c>
      <c r="AU2346" t="s">
        <v>68</v>
      </c>
      <c r="AV2346" t="s">
        <v>69</v>
      </c>
      <c r="AW2346" s="1">
        <v>23934</v>
      </c>
      <c r="AX2346">
        <v>2</v>
      </c>
    </row>
    <row r="2347" spans="1:50">
      <c r="A2347">
        <v>227577</v>
      </c>
      <c r="B2347" t="str">
        <f>"126891749"</f>
        <v>126891749</v>
      </c>
      <c r="C2347" t="s">
        <v>50</v>
      </c>
      <c r="D2347" t="s">
        <v>4835</v>
      </c>
      <c r="E2347" t="s">
        <v>83</v>
      </c>
      <c r="F2347" t="s">
        <v>510</v>
      </c>
      <c r="G2347" t="s">
        <v>4836</v>
      </c>
      <c r="H2347" t="str">
        <f>" "</f>
        <v xml:space="preserve"> </v>
      </c>
      <c r="M2347" t="s">
        <v>4837</v>
      </c>
      <c r="N2347" t="s">
        <v>478</v>
      </c>
      <c r="O2347" t="s">
        <v>479</v>
      </c>
      <c r="R2347" t="s">
        <v>57</v>
      </c>
      <c r="S2347">
        <v>6</v>
      </c>
      <c r="T2347">
        <v>654</v>
      </c>
      <c r="U2347" s="1">
        <v>40043</v>
      </c>
      <c r="V2347" t="s">
        <v>4509</v>
      </c>
      <c r="W2347" t="s">
        <v>4510</v>
      </c>
      <c r="X2347" t="s">
        <v>58</v>
      </c>
      <c r="Y2347">
        <v>21</v>
      </c>
      <c r="Z2347" t="s">
        <v>59</v>
      </c>
      <c r="AA2347" t="s">
        <v>59</v>
      </c>
      <c r="AB2347" t="s">
        <v>59</v>
      </c>
      <c r="AC2347" t="s">
        <v>59</v>
      </c>
      <c r="AD2347" t="s">
        <v>59</v>
      </c>
      <c r="AF2347" s="1">
        <v>40057</v>
      </c>
      <c r="AG2347" t="s">
        <v>125</v>
      </c>
      <c r="AH2347" t="s">
        <v>126</v>
      </c>
      <c r="AI2347" t="str">
        <f>"3207010"</f>
        <v>3207010</v>
      </c>
      <c r="AJ2347" t="s">
        <v>4755</v>
      </c>
      <c r="AK2347">
        <v>2841051452</v>
      </c>
      <c r="AL2347" t="s">
        <v>4756</v>
      </c>
      <c r="AM2347" t="s">
        <v>4513</v>
      </c>
      <c r="AN2347" t="s">
        <v>4514</v>
      </c>
      <c r="AO2347" t="s">
        <v>4514</v>
      </c>
      <c r="AP2347" t="s">
        <v>4757</v>
      </c>
      <c r="AQ2347">
        <v>1</v>
      </c>
      <c r="AR2347" t="s">
        <v>4509</v>
      </c>
      <c r="AS2347" t="s">
        <v>4510</v>
      </c>
      <c r="AT2347" t="s">
        <v>58</v>
      </c>
      <c r="AU2347" t="s">
        <v>68</v>
      </c>
      <c r="AV2347" t="s">
        <v>132</v>
      </c>
      <c r="AW2347" s="1">
        <v>29385</v>
      </c>
      <c r="AX2347">
        <v>2</v>
      </c>
    </row>
    <row r="2348" spans="1:50">
      <c r="A2348">
        <v>197695</v>
      </c>
      <c r="B2348" t="str">
        <f>"043456920"</f>
        <v>043456920</v>
      </c>
      <c r="C2348" t="s">
        <v>105</v>
      </c>
      <c r="D2348" t="s">
        <v>4838</v>
      </c>
      <c r="E2348" t="s">
        <v>95</v>
      </c>
      <c r="F2348" t="s">
        <v>4097</v>
      </c>
      <c r="G2348" t="s">
        <v>3471</v>
      </c>
      <c r="H2348" t="str">
        <f>" "</f>
        <v xml:space="preserve"> </v>
      </c>
      <c r="J2348">
        <v>2841028073</v>
      </c>
      <c r="K2348">
        <v>6974313117</v>
      </c>
      <c r="M2348" t="s">
        <v>4839</v>
      </c>
      <c r="N2348" t="s">
        <v>292</v>
      </c>
      <c r="O2348" t="s">
        <v>293</v>
      </c>
      <c r="R2348" t="s">
        <v>57</v>
      </c>
      <c r="S2348">
        <v>8</v>
      </c>
      <c r="T2348">
        <v>206</v>
      </c>
      <c r="U2348" s="1">
        <v>37866</v>
      </c>
      <c r="V2348" t="s">
        <v>4509</v>
      </c>
      <c r="W2348" t="s">
        <v>4510</v>
      </c>
      <c r="X2348" t="s">
        <v>58</v>
      </c>
      <c r="Y2348">
        <v>20</v>
      </c>
      <c r="Z2348" t="s">
        <v>59</v>
      </c>
      <c r="AA2348" t="s">
        <v>59</v>
      </c>
      <c r="AB2348" t="s">
        <v>59</v>
      </c>
      <c r="AC2348" t="s">
        <v>59</v>
      </c>
      <c r="AD2348" t="s">
        <v>59</v>
      </c>
      <c r="AF2348" s="1">
        <v>37867</v>
      </c>
      <c r="AG2348" t="s">
        <v>148</v>
      </c>
      <c r="AH2348" t="s">
        <v>149</v>
      </c>
      <c r="AI2348" t="str">
        <f>"3251010"</f>
        <v>3251010</v>
      </c>
      <c r="AJ2348" t="s">
        <v>4646</v>
      </c>
      <c r="AK2348">
        <v>2841023649</v>
      </c>
      <c r="AL2348" t="s">
        <v>4647</v>
      </c>
      <c r="AM2348" t="s">
        <v>4513</v>
      </c>
      <c r="AN2348" t="s">
        <v>4514</v>
      </c>
      <c r="AO2348" t="s">
        <v>4514</v>
      </c>
      <c r="AP2348" t="s">
        <v>4514</v>
      </c>
      <c r="AQ2348">
        <v>1</v>
      </c>
      <c r="AR2348" t="s">
        <v>4509</v>
      </c>
      <c r="AS2348" t="s">
        <v>4510</v>
      </c>
      <c r="AT2348" t="s">
        <v>58</v>
      </c>
      <c r="AU2348" t="s">
        <v>68</v>
      </c>
      <c r="AV2348" t="s">
        <v>69</v>
      </c>
      <c r="AW2348" s="1">
        <v>23443</v>
      </c>
      <c r="AX2348">
        <v>2</v>
      </c>
    </row>
    <row r="2349" spans="1:50">
      <c r="A2349">
        <v>152698</v>
      </c>
      <c r="B2349" t="str">
        <f>"034841884"</f>
        <v>034841884</v>
      </c>
      <c r="C2349" t="s">
        <v>105</v>
      </c>
      <c r="D2349" t="s">
        <v>4840</v>
      </c>
      <c r="E2349" t="s">
        <v>95</v>
      </c>
      <c r="F2349" t="s">
        <v>72</v>
      </c>
      <c r="G2349" t="s">
        <v>727</v>
      </c>
      <c r="H2349" t="str">
        <f>"ΚΟΚΚΙΝΑ ΣΗΤΕΙΑΣ ΣΗΤΕΙΑ"</f>
        <v>ΚΟΚΚΙΝΑ ΣΗΤΕΙΑΣ ΣΗΤΕΙΑ</v>
      </c>
      <c r="I2349">
        <v>72300</v>
      </c>
      <c r="J2349">
        <v>2843023479</v>
      </c>
      <c r="K2349">
        <v>6979332383</v>
      </c>
      <c r="M2349" t="s">
        <v>4841</v>
      </c>
      <c r="N2349" t="s">
        <v>331</v>
      </c>
      <c r="O2349" t="s">
        <v>332</v>
      </c>
      <c r="R2349" t="s">
        <v>57</v>
      </c>
      <c r="S2349">
        <v>17</v>
      </c>
      <c r="T2349">
        <v>193</v>
      </c>
      <c r="U2349" s="1">
        <v>32042</v>
      </c>
      <c r="V2349" t="s">
        <v>4509</v>
      </c>
      <c r="W2349" t="s">
        <v>4510</v>
      </c>
      <c r="X2349" t="s">
        <v>58</v>
      </c>
      <c r="Y2349">
        <v>18</v>
      </c>
      <c r="Z2349" t="s">
        <v>59</v>
      </c>
      <c r="AA2349" t="s">
        <v>59</v>
      </c>
      <c r="AB2349" t="s">
        <v>59</v>
      </c>
      <c r="AC2349" t="s">
        <v>59</v>
      </c>
      <c r="AD2349" t="s">
        <v>59</v>
      </c>
      <c r="AF2349" s="1">
        <v>32043</v>
      </c>
      <c r="AG2349" t="s">
        <v>137</v>
      </c>
      <c r="AH2349" t="s">
        <v>138</v>
      </c>
      <c r="AI2349" t="str">
        <f>"3240020"</f>
        <v>3240020</v>
      </c>
      <c r="AJ2349" t="s">
        <v>4568</v>
      </c>
      <c r="AK2349">
        <v>2843028570</v>
      </c>
      <c r="AL2349" t="s">
        <v>4569</v>
      </c>
      <c r="AM2349" t="s">
        <v>4513</v>
      </c>
      <c r="AN2349" t="s">
        <v>4540</v>
      </c>
      <c r="AO2349" t="s">
        <v>4540</v>
      </c>
      <c r="AP2349" t="s">
        <v>4540</v>
      </c>
      <c r="AQ2349">
        <v>6</v>
      </c>
      <c r="AR2349" t="s">
        <v>4509</v>
      </c>
      <c r="AS2349" t="s">
        <v>4510</v>
      </c>
      <c r="AT2349" t="s">
        <v>58</v>
      </c>
      <c r="AU2349" t="s">
        <v>68</v>
      </c>
      <c r="AV2349" t="s">
        <v>69</v>
      </c>
      <c r="AW2349" s="1">
        <v>21345</v>
      </c>
      <c r="AX2349">
        <v>2</v>
      </c>
    </row>
    <row r="2350" spans="1:50">
      <c r="A2350">
        <v>163719</v>
      </c>
      <c r="B2350" t="str">
        <f>"036512630"</f>
        <v>036512630</v>
      </c>
      <c r="C2350" t="s">
        <v>105</v>
      </c>
      <c r="D2350" t="s">
        <v>1477</v>
      </c>
      <c r="E2350" t="s">
        <v>95</v>
      </c>
      <c r="F2350" t="s">
        <v>72</v>
      </c>
      <c r="G2350" t="s">
        <v>52</v>
      </c>
      <c r="H2350" t="str">
        <f>"Σακκαδακη 21 Σητεια"</f>
        <v>Σακκαδακη 21 Σητεια</v>
      </c>
      <c r="I2350">
        <v>72300</v>
      </c>
      <c r="J2350">
        <v>2843026481</v>
      </c>
      <c r="K2350">
        <v>6973984831</v>
      </c>
      <c r="M2350" t="s">
        <v>4842</v>
      </c>
      <c r="N2350" t="s">
        <v>157</v>
      </c>
      <c r="O2350" t="s">
        <v>158</v>
      </c>
      <c r="R2350" t="s">
        <v>57</v>
      </c>
      <c r="S2350">
        <v>14</v>
      </c>
      <c r="T2350">
        <v>161</v>
      </c>
      <c r="U2350" s="1">
        <v>33844</v>
      </c>
      <c r="V2350" t="s">
        <v>4509</v>
      </c>
      <c r="W2350" t="s">
        <v>4510</v>
      </c>
      <c r="X2350" t="s">
        <v>58</v>
      </c>
      <c r="Y2350">
        <v>18</v>
      </c>
      <c r="Z2350" t="s">
        <v>59</v>
      </c>
      <c r="AA2350" t="s">
        <v>59</v>
      </c>
      <c r="AB2350" t="s">
        <v>59</v>
      </c>
      <c r="AC2350" t="s">
        <v>59</v>
      </c>
      <c r="AD2350" t="s">
        <v>59</v>
      </c>
      <c r="AF2350" s="1">
        <v>33848</v>
      </c>
      <c r="AG2350" t="s">
        <v>125</v>
      </c>
      <c r="AH2350" t="s">
        <v>126</v>
      </c>
      <c r="AI2350" t="str">
        <f>"3204010"</f>
        <v>3204010</v>
      </c>
      <c r="AJ2350" t="s">
        <v>4542</v>
      </c>
      <c r="AK2350">
        <v>2843022503</v>
      </c>
      <c r="AL2350" t="s">
        <v>4543</v>
      </c>
      <c r="AM2350" t="s">
        <v>4513</v>
      </c>
      <c r="AN2350" t="s">
        <v>4540</v>
      </c>
      <c r="AO2350" t="s">
        <v>4540</v>
      </c>
      <c r="AP2350" t="s">
        <v>4540</v>
      </c>
      <c r="AQ2350">
        <v>6</v>
      </c>
      <c r="AR2350" t="s">
        <v>4509</v>
      </c>
      <c r="AS2350" t="s">
        <v>4510</v>
      </c>
      <c r="AT2350" t="s">
        <v>58</v>
      </c>
      <c r="AU2350" t="s">
        <v>68</v>
      </c>
      <c r="AV2350" t="s">
        <v>69</v>
      </c>
      <c r="AW2350" s="1">
        <v>23256</v>
      </c>
      <c r="AX2350">
        <v>2</v>
      </c>
    </row>
    <row r="2351" spans="1:50">
      <c r="A2351">
        <v>229256</v>
      </c>
      <c r="B2351" t="str">
        <f>"126886278"</f>
        <v>126886278</v>
      </c>
      <c r="C2351" t="s">
        <v>105</v>
      </c>
      <c r="D2351" t="s">
        <v>1492</v>
      </c>
      <c r="E2351" t="s">
        <v>72</v>
      </c>
      <c r="F2351" t="s">
        <v>377</v>
      </c>
      <c r="G2351" t="s">
        <v>263</v>
      </c>
      <c r="H2351" t="str">
        <f>"Μ. ΑΛΕΞΑΝΔΡΟΥ 50 ΜΑΡΟΥΣΙ"</f>
        <v>Μ. ΑΛΕΞΑΝΔΡΟΥ 50 ΜΑΡΟΥΣΙ</v>
      </c>
      <c r="I2351">
        <v>15124</v>
      </c>
      <c r="J2351">
        <v>2108067409</v>
      </c>
      <c r="K2351">
        <v>6978173579</v>
      </c>
      <c r="N2351" t="s">
        <v>683</v>
      </c>
      <c r="O2351" t="s">
        <v>684</v>
      </c>
      <c r="R2351" t="s">
        <v>57</v>
      </c>
      <c r="S2351">
        <v>4</v>
      </c>
      <c r="T2351" t="s">
        <v>4843</v>
      </c>
      <c r="U2351" s="1">
        <v>40081</v>
      </c>
      <c r="V2351" t="s">
        <v>4509</v>
      </c>
      <c r="W2351" t="s">
        <v>4510</v>
      </c>
      <c r="X2351" t="s">
        <v>58</v>
      </c>
      <c r="Y2351">
        <v>21</v>
      </c>
      <c r="Z2351" t="s">
        <v>59</v>
      </c>
      <c r="AA2351" t="s">
        <v>59</v>
      </c>
      <c r="AB2351" t="s">
        <v>59</v>
      </c>
      <c r="AC2351" t="s">
        <v>59</v>
      </c>
      <c r="AD2351" t="s">
        <v>59</v>
      </c>
      <c r="AF2351" s="1">
        <v>40081</v>
      </c>
      <c r="AG2351" t="s">
        <v>125</v>
      </c>
      <c r="AH2351" t="s">
        <v>126</v>
      </c>
      <c r="AI2351" t="str">
        <f>"3202020"</f>
        <v>3202020</v>
      </c>
      <c r="AJ2351" t="s">
        <v>4576</v>
      </c>
      <c r="AK2351">
        <v>2842022289</v>
      </c>
      <c r="AL2351" t="s">
        <v>4577</v>
      </c>
      <c r="AM2351" t="s">
        <v>4513</v>
      </c>
      <c r="AN2351" t="s">
        <v>4519</v>
      </c>
      <c r="AO2351" t="s">
        <v>4519</v>
      </c>
      <c r="AP2351" t="s">
        <v>4519</v>
      </c>
      <c r="AQ2351">
        <v>4</v>
      </c>
      <c r="AR2351" t="s">
        <v>4509</v>
      </c>
      <c r="AS2351" t="s">
        <v>4510</v>
      </c>
      <c r="AT2351" t="s">
        <v>58</v>
      </c>
      <c r="AU2351" t="s">
        <v>68</v>
      </c>
      <c r="AV2351" t="s">
        <v>69</v>
      </c>
      <c r="AW2351" s="1">
        <v>30029</v>
      </c>
      <c r="AX2351">
        <v>2</v>
      </c>
    </row>
    <row r="2352" spans="1:50">
      <c r="A2352">
        <v>153890</v>
      </c>
      <c r="B2352" t="str">
        <f>"033798578"</f>
        <v>033798578</v>
      </c>
      <c r="C2352" t="s">
        <v>105</v>
      </c>
      <c r="D2352" t="s">
        <v>4844</v>
      </c>
      <c r="E2352" t="s">
        <v>230</v>
      </c>
      <c r="F2352" t="s">
        <v>383</v>
      </c>
      <c r="G2352" t="s">
        <v>290</v>
      </c>
      <c r="H2352" t="str">
        <f>"ΠΡΑΙΣΣΟΥ  26 ΣΗΤΕΙΑ"</f>
        <v>ΠΡΑΙΣΣΟΥ  26 ΣΗΤΕΙΑ</v>
      </c>
      <c r="I2352">
        <v>72300</v>
      </c>
      <c r="J2352">
        <v>2843028050</v>
      </c>
      <c r="K2352">
        <v>6973357979</v>
      </c>
      <c r="M2352" t="s">
        <v>4845</v>
      </c>
      <c r="N2352" t="s">
        <v>146</v>
      </c>
      <c r="O2352" t="s">
        <v>147</v>
      </c>
      <c r="R2352" t="s">
        <v>57</v>
      </c>
      <c r="S2352">
        <v>15</v>
      </c>
      <c r="T2352">
        <v>161</v>
      </c>
      <c r="U2352" s="1">
        <v>32387</v>
      </c>
      <c r="V2352" t="s">
        <v>4509</v>
      </c>
      <c r="W2352" t="s">
        <v>4510</v>
      </c>
      <c r="X2352" t="s">
        <v>58</v>
      </c>
      <c r="Y2352">
        <v>18</v>
      </c>
      <c r="Z2352" t="s">
        <v>59</v>
      </c>
      <c r="AA2352" t="s">
        <v>59</v>
      </c>
      <c r="AB2352" t="s">
        <v>59</v>
      </c>
      <c r="AC2352" t="s">
        <v>59</v>
      </c>
      <c r="AD2352" t="s">
        <v>59</v>
      </c>
      <c r="AF2352" s="1">
        <v>32388</v>
      </c>
      <c r="AG2352" t="s">
        <v>137</v>
      </c>
      <c r="AH2352" t="s">
        <v>138</v>
      </c>
      <c r="AI2352" t="str">
        <f>"3240020"</f>
        <v>3240020</v>
      </c>
      <c r="AJ2352" t="s">
        <v>4568</v>
      </c>
      <c r="AK2352">
        <v>2843028570</v>
      </c>
      <c r="AL2352" t="s">
        <v>4569</v>
      </c>
      <c r="AM2352" t="s">
        <v>4513</v>
      </c>
      <c r="AN2352" t="s">
        <v>4540</v>
      </c>
      <c r="AO2352" t="s">
        <v>4540</v>
      </c>
      <c r="AP2352" t="s">
        <v>4540</v>
      </c>
      <c r="AQ2352">
        <v>6</v>
      </c>
      <c r="AR2352" t="s">
        <v>4509</v>
      </c>
      <c r="AS2352" t="s">
        <v>4510</v>
      </c>
      <c r="AT2352" t="s">
        <v>58</v>
      </c>
      <c r="AU2352" t="s">
        <v>68</v>
      </c>
      <c r="AV2352" t="s">
        <v>69</v>
      </c>
      <c r="AW2352" s="1">
        <v>22571</v>
      </c>
      <c r="AX2352">
        <v>2</v>
      </c>
    </row>
    <row r="2353" spans="1:50">
      <c r="A2353">
        <v>703931</v>
      </c>
      <c r="B2353" t="str">
        <f>"056058051"</f>
        <v>056058051</v>
      </c>
      <c r="C2353" t="s">
        <v>105</v>
      </c>
      <c r="D2353" t="s">
        <v>4846</v>
      </c>
      <c r="E2353" t="s">
        <v>4847</v>
      </c>
      <c r="F2353" t="s">
        <v>99</v>
      </c>
      <c r="G2353" t="s">
        <v>83</v>
      </c>
      <c r="H2353" t="str">
        <f>"ΛΕΩΦ. ΔΗΜΟΚΡΑΤΙΑΣ 5 ΗΡΑΚΛΕΙΟ"</f>
        <v>ΛΕΩΦ. ΔΗΜΟΚΡΑΤΙΑΣ 5 ΗΡΑΚΛΕΙΟ</v>
      </c>
      <c r="I2353">
        <v>71306</v>
      </c>
      <c r="J2353">
        <v>2810229955</v>
      </c>
      <c r="K2353">
        <v>6939638501</v>
      </c>
      <c r="N2353" t="s">
        <v>478</v>
      </c>
      <c r="O2353" t="s">
        <v>479</v>
      </c>
      <c r="R2353" t="s">
        <v>57</v>
      </c>
      <c r="S2353">
        <v>7</v>
      </c>
      <c r="T2353" t="s">
        <v>4848</v>
      </c>
      <c r="U2353" s="1">
        <v>40778</v>
      </c>
      <c r="V2353" t="s">
        <v>4509</v>
      </c>
      <c r="W2353" t="s">
        <v>4510</v>
      </c>
      <c r="X2353" t="s">
        <v>58</v>
      </c>
      <c r="Y2353">
        <v>21</v>
      </c>
      <c r="Z2353" t="s">
        <v>59</v>
      </c>
      <c r="AA2353" t="s">
        <v>59</v>
      </c>
      <c r="AB2353" t="s">
        <v>59</v>
      </c>
      <c r="AC2353" t="s">
        <v>59</v>
      </c>
      <c r="AD2353" t="s">
        <v>59</v>
      </c>
      <c r="AF2353" s="1">
        <v>42661</v>
      </c>
      <c r="AG2353" t="s">
        <v>125</v>
      </c>
      <c r="AH2353" t="s">
        <v>126</v>
      </c>
      <c r="AI2353" t="str">
        <f>"3208010"</f>
        <v>3208010</v>
      </c>
      <c r="AJ2353" t="s">
        <v>4820</v>
      </c>
      <c r="AK2353">
        <v>2843094338</v>
      </c>
      <c r="AL2353" t="s">
        <v>4821</v>
      </c>
      <c r="AM2353" t="s">
        <v>4513</v>
      </c>
      <c r="AN2353" t="s">
        <v>4540</v>
      </c>
      <c r="AO2353" t="s">
        <v>4540</v>
      </c>
      <c r="AP2353" t="s">
        <v>4822</v>
      </c>
      <c r="AQ2353">
        <v>6</v>
      </c>
      <c r="AR2353" t="s">
        <v>4509</v>
      </c>
      <c r="AS2353" t="s">
        <v>4510</v>
      </c>
      <c r="AT2353" t="s">
        <v>58</v>
      </c>
      <c r="AU2353" t="s">
        <v>68</v>
      </c>
      <c r="AV2353" t="s">
        <v>132</v>
      </c>
      <c r="AW2353" s="1">
        <v>24271</v>
      </c>
      <c r="AX2353">
        <v>2</v>
      </c>
    </row>
    <row r="2354" spans="1:50">
      <c r="A2354">
        <v>701494</v>
      </c>
      <c r="B2354" t="str">
        <f>"078746100"</f>
        <v>078746100</v>
      </c>
      <c r="C2354" t="s">
        <v>50</v>
      </c>
      <c r="D2354" t="s">
        <v>4849</v>
      </c>
      <c r="E2354" t="s">
        <v>83</v>
      </c>
      <c r="F2354" t="s">
        <v>2649</v>
      </c>
      <c r="G2354" t="s">
        <v>868</v>
      </c>
      <c r="H2354" t="str">
        <f>"ΠΛΑΤΩΝΟΣ 12 ΡΑΦΗΝΑ"</f>
        <v>ΠΛΑΤΩΝΟΣ 12 ΡΑΦΗΝΑ</v>
      </c>
      <c r="I2354">
        <v>19009</v>
      </c>
      <c r="J2354">
        <v>2294077716</v>
      </c>
      <c r="K2354">
        <v>6946586458</v>
      </c>
      <c r="M2354" t="s">
        <v>4850</v>
      </c>
      <c r="N2354" t="s">
        <v>478</v>
      </c>
      <c r="O2354" t="s">
        <v>479</v>
      </c>
      <c r="R2354" t="s">
        <v>57</v>
      </c>
      <c r="S2354">
        <v>11</v>
      </c>
      <c r="T2354">
        <v>772</v>
      </c>
      <c r="U2354" s="1">
        <v>40413</v>
      </c>
      <c r="V2354" t="s">
        <v>4509</v>
      </c>
      <c r="W2354" t="s">
        <v>4510</v>
      </c>
      <c r="X2354" t="s">
        <v>58</v>
      </c>
      <c r="Y2354">
        <v>21</v>
      </c>
      <c r="Z2354" t="s">
        <v>59</v>
      </c>
      <c r="AA2354" t="s">
        <v>59</v>
      </c>
      <c r="AB2354" t="s">
        <v>59</v>
      </c>
      <c r="AC2354" t="s">
        <v>59</v>
      </c>
      <c r="AD2354" t="s">
        <v>59</v>
      </c>
      <c r="AF2354" s="1">
        <v>40413</v>
      </c>
      <c r="AG2354" t="s">
        <v>125</v>
      </c>
      <c r="AH2354" t="s">
        <v>126</v>
      </c>
      <c r="AI2354" t="str">
        <f>"3201020"</f>
        <v>3201020</v>
      </c>
      <c r="AJ2354" t="s">
        <v>4511</v>
      </c>
      <c r="AK2354">
        <v>2841024586</v>
      </c>
      <c r="AL2354" t="s">
        <v>4512</v>
      </c>
      <c r="AM2354" t="s">
        <v>4513</v>
      </c>
      <c r="AN2354" t="s">
        <v>4514</v>
      </c>
      <c r="AO2354" t="s">
        <v>4514</v>
      </c>
      <c r="AP2354" t="s">
        <v>4514</v>
      </c>
      <c r="AQ2354">
        <v>1</v>
      </c>
      <c r="AR2354" t="s">
        <v>4509</v>
      </c>
      <c r="AS2354" t="s">
        <v>4510</v>
      </c>
      <c r="AT2354" t="s">
        <v>58</v>
      </c>
      <c r="AU2354" t="s">
        <v>68</v>
      </c>
      <c r="AV2354" t="s">
        <v>132</v>
      </c>
      <c r="AW2354" s="1">
        <v>26379</v>
      </c>
      <c r="AX2354">
        <v>2</v>
      </c>
    </row>
    <row r="2355" spans="1:50">
      <c r="A2355">
        <v>578194</v>
      </c>
      <c r="B2355" t="str">
        <f>"110280514"</f>
        <v>110280514</v>
      </c>
      <c r="C2355" t="s">
        <v>50</v>
      </c>
      <c r="D2355" t="s">
        <v>4851</v>
      </c>
      <c r="E2355" t="s">
        <v>4852</v>
      </c>
      <c r="F2355" t="s">
        <v>84</v>
      </c>
      <c r="G2355" t="s">
        <v>476</v>
      </c>
      <c r="H2355" t="str">
        <f>"ΚΟΚΚΙΝΗ 5 ΙΕΡΑΠΕΤΡΑ"</f>
        <v>ΚΟΚΚΙΝΗ 5 ΙΕΡΑΠΕΤΡΑ</v>
      </c>
      <c r="I2355">
        <v>72200</v>
      </c>
      <c r="J2355">
        <v>2842025211</v>
      </c>
      <c r="N2355" t="s">
        <v>246</v>
      </c>
      <c r="O2355" t="s">
        <v>247</v>
      </c>
      <c r="R2355" t="s">
        <v>57</v>
      </c>
      <c r="S2355">
        <v>11</v>
      </c>
      <c r="T2355">
        <v>165</v>
      </c>
      <c r="U2355" s="1">
        <v>35300</v>
      </c>
      <c r="V2355" t="s">
        <v>4509</v>
      </c>
      <c r="W2355" t="s">
        <v>4510</v>
      </c>
      <c r="X2355" t="s">
        <v>58</v>
      </c>
      <c r="Y2355">
        <v>18</v>
      </c>
      <c r="Z2355" t="s">
        <v>59</v>
      </c>
      <c r="AA2355" t="s">
        <v>59</v>
      </c>
      <c r="AB2355" t="s">
        <v>59</v>
      </c>
      <c r="AC2355" t="s">
        <v>59</v>
      </c>
      <c r="AD2355" t="s">
        <v>59</v>
      </c>
      <c r="AF2355" s="1">
        <v>35312</v>
      </c>
      <c r="AG2355" t="s">
        <v>148</v>
      </c>
      <c r="AH2355" t="s">
        <v>149</v>
      </c>
      <c r="AI2355" t="str">
        <f>"3252020"</f>
        <v>3252020</v>
      </c>
      <c r="AJ2355" t="s">
        <v>4638</v>
      </c>
      <c r="AK2355">
        <v>2842022379</v>
      </c>
      <c r="AL2355" t="s">
        <v>4639</v>
      </c>
      <c r="AM2355" t="s">
        <v>4513</v>
      </c>
      <c r="AN2355" t="s">
        <v>4519</v>
      </c>
      <c r="AO2355" t="s">
        <v>4519</v>
      </c>
      <c r="AP2355" t="s">
        <v>4519</v>
      </c>
      <c r="AQ2355">
        <v>4</v>
      </c>
      <c r="AR2355" t="s">
        <v>4509</v>
      </c>
      <c r="AS2355" t="s">
        <v>4510</v>
      </c>
      <c r="AT2355" t="s">
        <v>58</v>
      </c>
      <c r="AU2355" t="s">
        <v>68</v>
      </c>
      <c r="AV2355" t="s">
        <v>132</v>
      </c>
      <c r="AW2355" s="1">
        <v>24905</v>
      </c>
      <c r="AX2355">
        <v>2</v>
      </c>
    </row>
    <row r="2356" spans="1:50">
      <c r="B2356" t="str">
        <f>"111088192"</f>
        <v>111088192</v>
      </c>
      <c r="C2356" t="s">
        <v>50</v>
      </c>
      <c r="D2356" t="s">
        <v>4853</v>
      </c>
      <c r="E2356" t="s">
        <v>4854</v>
      </c>
      <c r="F2356" t="s">
        <v>4855</v>
      </c>
      <c r="G2356" t="s">
        <v>4856</v>
      </c>
      <c r="H2356" t="str">
        <f>"ΟΙΚΟΝΟΜΟΥ ΤΑΞΗ 20 ΜΥΤΙΛΗΝΗ"</f>
        <v>ΟΙΚΟΝΟΜΟΥ ΤΑΞΗ 20 ΜΥΤΙΛΗΝΗ</v>
      </c>
      <c r="I2356">
        <v>81100</v>
      </c>
      <c r="J2356">
        <v>2251041623</v>
      </c>
      <c r="K2356">
        <v>6978389863</v>
      </c>
      <c r="L2356">
        <v>6940685838</v>
      </c>
      <c r="M2356" t="s">
        <v>4857</v>
      </c>
      <c r="N2356" t="s">
        <v>292</v>
      </c>
      <c r="O2356" t="s">
        <v>293</v>
      </c>
      <c r="R2356" t="s">
        <v>159</v>
      </c>
      <c r="S2356">
        <v>3</v>
      </c>
      <c r="T2356" t="s">
        <v>416</v>
      </c>
      <c r="U2356" s="1">
        <v>43349</v>
      </c>
      <c r="V2356" t="s">
        <v>4509</v>
      </c>
      <c r="W2356" t="s">
        <v>4510</v>
      </c>
      <c r="X2356" t="s">
        <v>58</v>
      </c>
      <c r="Y2356">
        <v>23</v>
      </c>
      <c r="Z2356" t="s">
        <v>59</v>
      </c>
      <c r="AA2356" t="s">
        <v>59</v>
      </c>
      <c r="AB2356" t="s">
        <v>59</v>
      </c>
      <c r="AC2356" t="s">
        <v>59</v>
      </c>
      <c r="AD2356" t="s">
        <v>59</v>
      </c>
      <c r="AF2356" s="1">
        <v>43349</v>
      </c>
      <c r="AG2356" t="s">
        <v>137</v>
      </c>
      <c r="AH2356" t="s">
        <v>138</v>
      </c>
      <c r="AI2356" t="str">
        <f>"3240077"</f>
        <v>3240077</v>
      </c>
      <c r="AJ2356" t="s">
        <v>4528</v>
      </c>
      <c r="AK2356">
        <v>2841025978</v>
      </c>
      <c r="AL2356" t="s">
        <v>4529</v>
      </c>
      <c r="AM2356" t="s">
        <v>4513</v>
      </c>
      <c r="AN2356" t="s">
        <v>4514</v>
      </c>
      <c r="AO2356" t="s">
        <v>4514</v>
      </c>
      <c r="AP2356" t="s">
        <v>4514</v>
      </c>
      <c r="AQ2356">
        <v>1</v>
      </c>
      <c r="AR2356" t="s">
        <v>4509</v>
      </c>
      <c r="AS2356" t="s">
        <v>4510</v>
      </c>
      <c r="AT2356" t="s">
        <v>58</v>
      </c>
      <c r="AU2356" t="s">
        <v>419</v>
      </c>
      <c r="AV2356" t="s">
        <v>132</v>
      </c>
      <c r="AW2356" s="1">
        <v>30142</v>
      </c>
      <c r="AX2356">
        <v>2</v>
      </c>
    </row>
    <row r="2357" spans="1:50">
      <c r="A2357">
        <v>194998</v>
      </c>
      <c r="B2357" t="str">
        <f>"049560200"</f>
        <v>049560200</v>
      </c>
      <c r="C2357" t="s">
        <v>50</v>
      </c>
      <c r="D2357" t="s">
        <v>4858</v>
      </c>
      <c r="E2357" t="s">
        <v>181</v>
      </c>
      <c r="F2357" t="s">
        <v>84</v>
      </c>
      <c r="G2357" t="s">
        <v>52</v>
      </c>
      <c r="H2357" t="str">
        <f>" "</f>
        <v xml:space="preserve"> </v>
      </c>
      <c r="J2357">
        <v>2843061515</v>
      </c>
      <c r="L2357">
        <v>2843024788</v>
      </c>
      <c r="M2357" t="s">
        <v>4859</v>
      </c>
      <c r="N2357" t="s">
        <v>157</v>
      </c>
      <c r="O2357" t="s">
        <v>158</v>
      </c>
      <c r="R2357" t="s">
        <v>57</v>
      </c>
      <c r="S2357">
        <v>9</v>
      </c>
      <c r="T2357">
        <v>194</v>
      </c>
      <c r="U2357" s="1">
        <v>37497</v>
      </c>
      <c r="V2357" t="s">
        <v>4509</v>
      </c>
      <c r="W2357" t="s">
        <v>4510</v>
      </c>
      <c r="X2357" t="s">
        <v>58</v>
      </c>
      <c r="Y2357">
        <v>20</v>
      </c>
      <c r="Z2357" t="s">
        <v>59</v>
      </c>
      <c r="AA2357" t="s">
        <v>59</v>
      </c>
      <c r="AB2357" t="s">
        <v>59</v>
      </c>
      <c r="AC2357" t="s">
        <v>59</v>
      </c>
      <c r="AD2357" t="s">
        <v>59</v>
      </c>
      <c r="AF2357" s="1">
        <v>37501</v>
      </c>
      <c r="AG2357" t="s">
        <v>125</v>
      </c>
      <c r="AH2357" t="s">
        <v>126</v>
      </c>
      <c r="AI2357" t="str">
        <f>"3209010"</f>
        <v>3209010</v>
      </c>
      <c r="AJ2357" t="s">
        <v>4698</v>
      </c>
      <c r="AK2357">
        <v>2843061207</v>
      </c>
      <c r="AL2357" t="s">
        <v>4699</v>
      </c>
      <c r="AM2357" t="s">
        <v>4513</v>
      </c>
      <c r="AN2357" t="s">
        <v>4540</v>
      </c>
      <c r="AO2357" t="s">
        <v>4700</v>
      </c>
      <c r="AP2357" t="s">
        <v>4701</v>
      </c>
      <c r="AQ2357">
        <v>6</v>
      </c>
      <c r="AR2357" t="s">
        <v>4509</v>
      </c>
      <c r="AS2357" t="s">
        <v>4510</v>
      </c>
      <c r="AT2357" t="s">
        <v>58</v>
      </c>
      <c r="AU2357" t="s">
        <v>68</v>
      </c>
      <c r="AV2357" t="s">
        <v>69</v>
      </c>
      <c r="AW2357" s="1">
        <v>26215</v>
      </c>
      <c r="AX2357">
        <v>2</v>
      </c>
    </row>
    <row r="2358" spans="1:50">
      <c r="A2358">
        <v>219032</v>
      </c>
      <c r="B2358" t="str">
        <f>"106871342"</f>
        <v>106871342</v>
      </c>
      <c r="C2358" t="s">
        <v>50</v>
      </c>
      <c r="D2358" t="s">
        <v>4860</v>
      </c>
      <c r="E2358" t="s">
        <v>250</v>
      </c>
      <c r="F2358" t="s">
        <v>4861</v>
      </c>
      <c r="G2358" t="s">
        <v>109</v>
      </c>
      <c r="H2358" t="str">
        <f>"ΒΑΤΑΤΖΗ  26 ΑΘΗΝΑ"</f>
        <v>ΒΑΤΑΤΖΗ  26 ΑΘΗΝΑ</v>
      </c>
      <c r="I2358">
        <v>11472</v>
      </c>
      <c r="J2358">
        <v>2106421681</v>
      </c>
      <c r="K2358">
        <v>6932155610</v>
      </c>
      <c r="N2358" t="s">
        <v>478</v>
      </c>
      <c r="O2358" t="s">
        <v>479</v>
      </c>
      <c r="R2358" t="s">
        <v>57</v>
      </c>
      <c r="S2358">
        <v>7</v>
      </c>
      <c r="T2358">
        <v>599</v>
      </c>
      <c r="U2358" s="1">
        <v>39310</v>
      </c>
      <c r="V2358" t="s">
        <v>4509</v>
      </c>
      <c r="W2358" t="s">
        <v>4510</v>
      </c>
      <c r="X2358" t="s">
        <v>58</v>
      </c>
      <c r="Y2358">
        <v>21</v>
      </c>
      <c r="Z2358" t="s">
        <v>59</v>
      </c>
      <c r="AA2358" t="s">
        <v>59</v>
      </c>
      <c r="AB2358" t="s">
        <v>59</v>
      </c>
      <c r="AC2358" t="s">
        <v>59</v>
      </c>
      <c r="AD2358" t="s">
        <v>59</v>
      </c>
      <c r="AF2358" s="1">
        <v>39328</v>
      </c>
      <c r="AG2358" t="s">
        <v>125</v>
      </c>
      <c r="AH2358" t="s">
        <v>126</v>
      </c>
      <c r="AI2358" t="str">
        <f>"3206010"</f>
        <v>3206010</v>
      </c>
      <c r="AJ2358" t="s">
        <v>4545</v>
      </c>
      <c r="AK2358">
        <v>2843031222</v>
      </c>
      <c r="AL2358" t="s">
        <v>4546</v>
      </c>
      <c r="AM2358" t="s">
        <v>4513</v>
      </c>
      <c r="AN2358" t="s">
        <v>4540</v>
      </c>
      <c r="AO2358" t="s">
        <v>4547</v>
      </c>
      <c r="AP2358" t="s">
        <v>4548</v>
      </c>
      <c r="AQ2358">
        <v>6</v>
      </c>
      <c r="AR2358" t="s">
        <v>4509</v>
      </c>
      <c r="AS2358" t="s">
        <v>4510</v>
      </c>
      <c r="AT2358" t="s">
        <v>58</v>
      </c>
      <c r="AU2358" t="s">
        <v>68</v>
      </c>
      <c r="AV2358" t="s">
        <v>69</v>
      </c>
      <c r="AW2358" s="1">
        <v>26463</v>
      </c>
      <c r="AX2358">
        <v>2</v>
      </c>
    </row>
    <row r="2359" spans="1:50">
      <c r="A2359">
        <v>187297</v>
      </c>
      <c r="B2359" t="str">
        <f>"051892335"</f>
        <v>051892335</v>
      </c>
      <c r="C2359" t="s">
        <v>105</v>
      </c>
      <c r="D2359" t="s">
        <v>4862</v>
      </c>
      <c r="E2359" t="s">
        <v>84</v>
      </c>
      <c r="F2359" t="s">
        <v>72</v>
      </c>
      <c r="G2359" t="s">
        <v>4863</v>
      </c>
      <c r="H2359" t="str">
        <f>" "</f>
        <v xml:space="preserve"> </v>
      </c>
      <c r="J2359">
        <v>2843022455</v>
      </c>
      <c r="K2359">
        <v>6978980045</v>
      </c>
      <c r="M2359" t="s">
        <v>4864</v>
      </c>
      <c r="N2359" t="s">
        <v>331</v>
      </c>
      <c r="O2359" t="s">
        <v>332</v>
      </c>
      <c r="R2359" t="s">
        <v>57</v>
      </c>
      <c r="S2359">
        <v>13</v>
      </c>
      <c r="T2359">
        <v>251</v>
      </c>
      <c r="U2359" s="1">
        <v>36769</v>
      </c>
      <c r="V2359" t="s">
        <v>4509</v>
      </c>
      <c r="W2359" t="s">
        <v>4510</v>
      </c>
      <c r="X2359" t="s">
        <v>58</v>
      </c>
      <c r="Y2359">
        <v>18</v>
      </c>
      <c r="Z2359" t="s">
        <v>59</v>
      </c>
      <c r="AA2359" t="s">
        <v>59</v>
      </c>
      <c r="AB2359" t="s">
        <v>59</v>
      </c>
      <c r="AC2359" t="s">
        <v>59</v>
      </c>
      <c r="AD2359" t="s">
        <v>59</v>
      </c>
      <c r="AF2359" s="1">
        <v>36770</v>
      </c>
      <c r="AG2359" t="s">
        <v>137</v>
      </c>
      <c r="AH2359" t="s">
        <v>138</v>
      </c>
      <c r="AI2359" t="str">
        <f>"3240020"</f>
        <v>3240020</v>
      </c>
      <c r="AJ2359" t="s">
        <v>4568</v>
      </c>
      <c r="AK2359">
        <v>2843028570</v>
      </c>
      <c r="AL2359" t="s">
        <v>4569</v>
      </c>
      <c r="AM2359" t="s">
        <v>4513</v>
      </c>
      <c r="AN2359" t="s">
        <v>4540</v>
      </c>
      <c r="AO2359" t="s">
        <v>4540</v>
      </c>
      <c r="AP2359" t="s">
        <v>4540</v>
      </c>
      <c r="AQ2359">
        <v>6</v>
      </c>
      <c r="AR2359" t="s">
        <v>4509</v>
      </c>
      <c r="AS2359" t="s">
        <v>4510</v>
      </c>
      <c r="AT2359" t="s">
        <v>58</v>
      </c>
      <c r="AU2359" t="s">
        <v>68</v>
      </c>
      <c r="AV2359" t="s">
        <v>69</v>
      </c>
      <c r="AW2359" s="1">
        <v>24293</v>
      </c>
      <c r="AX2359">
        <v>2</v>
      </c>
    </row>
    <row r="2360" spans="1:50">
      <c r="A2360">
        <v>178937</v>
      </c>
      <c r="B2360" t="str">
        <f>"052953797"</f>
        <v>052953797</v>
      </c>
      <c r="C2360" t="s">
        <v>105</v>
      </c>
      <c r="D2360" t="s">
        <v>1616</v>
      </c>
      <c r="E2360" t="s">
        <v>1523</v>
      </c>
      <c r="F2360" t="s">
        <v>92</v>
      </c>
      <c r="G2360" t="s">
        <v>1065</v>
      </c>
      <c r="H2360" t="str">
        <f>"ΒΑΙΝΙΑ ΙΕΡΑΠΕΤΡΑ"</f>
        <v>ΒΑΙΝΙΑ ΙΕΡΑΠΕΤΡΑ</v>
      </c>
      <c r="I2360">
        <v>72200</v>
      </c>
      <c r="J2360">
        <v>2842080018</v>
      </c>
      <c r="M2360" t="s">
        <v>4865</v>
      </c>
      <c r="N2360" t="s">
        <v>157</v>
      </c>
      <c r="O2360" t="s">
        <v>158</v>
      </c>
      <c r="R2360" t="s">
        <v>57</v>
      </c>
      <c r="S2360">
        <v>12</v>
      </c>
      <c r="T2360">
        <v>181</v>
      </c>
      <c r="U2360" s="1">
        <v>36039</v>
      </c>
      <c r="V2360" t="s">
        <v>4509</v>
      </c>
      <c r="W2360" t="s">
        <v>4510</v>
      </c>
      <c r="X2360" t="s">
        <v>58</v>
      </c>
      <c r="Y2360">
        <v>18</v>
      </c>
      <c r="Z2360" t="s">
        <v>59</v>
      </c>
      <c r="AA2360" t="s">
        <v>59</v>
      </c>
      <c r="AB2360" t="s">
        <v>59</v>
      </c>
      <c r="AC2360" t="s">
        <v>59</v>
      </c>
      <c r="AD2360" t="s">
        <v>59</v>
      </c>
      <c r="AF2360" s="1">
        <v>36040</v>
      </c>
      <c r="AG2360" t="s">
        <v>148</v>
      </c>
      <c r="AH2360" t="s">
        <v>149</v>
      </c>
      <c r="AI2360" t="str">
        <f>"3252010"</f>
        <v>3252010</v>
      </c>
      <c r="AJ2360" t="s">
        <v>4532</v>
      </c>
      <c r="AK2360">
        <v>2842022356</v>
      </c>
      <c r="AL2360" t="s">
        <v>4533</v>
      </c>
      <c r="AM2360" t="s">
        <v>4513</v>
      </c>
      <c r="AN2360" t="s">
        <v>4519</v>
      </c>
      <c r="AO2360" t="s">
        <v>4519</v>
      </c>
      <c r="AP2360" t="s">
        <v>4519</v>
      </c>
      <c r="AQ2360">
        <v>4</v>
      </c>
      <c r="AR2360" t="s">
        <v>4509</v>
      </c>
      <c r="AS2360" t="s">
        <v>4510</v>
      </c>
      <c r="AT2360" t="s">
        <v>58</v>
      </c>
      <c r="AU2360" t="s">
        <v>68</v>
      </c>
      <c r="AV2360" t="s">
        <v>69</v>
      </c>
      <c r="AW2360" s="1">
        <v>24166</v>
      </c>
      <c r="AX2360">
        <v>2</v>
      </c>
    </row>
    <row r="2361" spans="1:50">
      <c r="A2361">
        <v>184795</v>
      </c>
      <c r="B2361" t="str">
        <f>"051090744"</f>
        <v>051090744</v>
      </c>
      <c r="C2361" t="s">
        <v>105</v>
      </c>
      <c r="D2361" t="s">
        <v>4866</v>
      </c>
      <c r="E2361" t="s">
        <v>1062</v>
      </c>
      <c r="F2361" t="s">
        <v>84</v>
      </c>
      <c r="G2361" t="s">
        <v>4867</v>
      </c>
      <c r="H2361" t="str">
        <f>" "</f>
        <v xml:space="preserve"> </v>
      </c>
      <c r="M2361" t="s">
        <v>4868</v>
      </c>
      <c r="N2361" t="s">
        <v>176</v>
      </c>
      <c r="O2361" t="s">
        <v>177</v>
      </c>
      <c r="R2361" t="s">
        <v>57</v>
      </c>
      <c r="S2361">
        <v>12</v>
      </c>
      <c r="T2361">
        <v>177</v>
      </c>
      <c r="U2361" s="1">
        <v>36403</v>
      </c>
      <c r="V2361" t="s">
        <v>4509</v>
      </c>
      <c r="W2361" t="s">
        <v>4510</v>
      </c>
      <c r="X2361" t="s">
        <v>58</v>
      </c>
      <c r="Y2361">
        <v>18</v>
      </c>
      <c r="Z2361" t="s">
        <v>59</v>
      </c>
      <c r="AA2361" t="s">
        <v>59</v>
      </c>
      <c r="AB2361" t="s">
        <v>59</v>
      </c>
      <c r="AC2361" t="s">
        <v>59</v>
      </c>
      <c r="AD2361" t="s">
        <v>59</v>
      </c>
      <c r="AF2361" s="1">
        <v>36404</v>
      </c>
      <c r="AG2361" t="s">
        <v>125</v>
      </c>
      <c r="AH2361" t="s">
        <v>126</v>
      </c>
      <c r="AI2361" t="str">
        <f>"3208010"</f>
        <v>3208010</v>
      </c>
      <c r="AJ2361" t="s">
        <v>4820</v>
      </c>
      <c r="AK2361">
        <v>2843094338</v>
      </c>
      <c r="AL2361" t="s">
        <v>4821</v>
      </c>
      <c r="AM2361" t="s">
        <v>4513</v>
      </c>
      <c r="AN2361" t="s">
        <v>4540</v>
      </c>
      <c r="AO2361" t="s">
        <v>4540</v>
      </c>
      <c r="AP2361" t="s">
        <v>4822</v>
      </c>
      <c r="AQ2361">
        <v>6</v>
      </c>
      <c r="AR2361" t="s">
        <v>4509</v>
      </c>
      <c r="AS2361" t="s">
        <v>4510</v>
      </c>
      <c r="AT2361" t="s">
        <v>58</v>
      </c>
      <c r="AU2361" t="s">
        <v>68</v>
      </c>
      <c r="AV2361" t="s">
        <v>69</v>
      </c>
      <c r="AW2361" s="1">
        <v>23861</v>
      </c>
      <c r="AX2361">
        <v>2</v>
      </c>
    </row>
    <row r="2362" spans="1:50">
      <c r="A2362">
        <v>185153</v>
      </c>
      <c r="B2362" t="str">
        <f>"037923951"</f>
        <v>037923951</v>
      </c>
      <c r="C2362" t="s">
        <v>105</v>
      </c>
      <c r="D2362" t="s">
        <v>4869</v>
      </c>
      <c r="E2362" t="s">
        <v>383</v>
      </c>
      <c r="F2362" t="s">
        <v>377</v>
      </c>
      <c r="G2362" t="s">
        <v>1361</v>
      </c>
      <c r="H2362" t="str">
        <f>" "</f>
        <v xml:space="preserve"> </v>
      </c>
      <c r="M2362" t="s">
        <v>4870</v>
      </c>
      <c r="N2362" t="s">
        <v>204</v>
      </c>
      <c r="O2362" t="s">
        <v>205</v>
      </c>
      <c r="P2362" t="s">
        <v>331</v>
      </c>
      <c r="Q2362" t="s">
        <v>332</v>
      </c>
      <c r="R2362" t="s">
        <v>57</v>
      </c>
      <c r="S2362">
        <v>10</v>
      </c>
      <c r="T2362">
        <v>177</v>
      </c>
      <c r="U2362" s="1">
        <v>36403</v>
      </c>
      <c r="V2362" t="s">
        <v>4509</v>
      </c>
      <c r="W2362" t="s">
        <v>4510</v>
      </c>
      <c r="X2362" t="s">
        <v>58</v>
      </c>
      <c r="Y2362">
        <v>18</v>
      </c>
      <c r="Z2362" t="s">
        <v>59</v>
      </c>
      <c r="AA2362" t="s">
        <v>59</v>
      </c>
      <c r="AB2362" t="s">
        <v>59</v>
      </c>
      <c r="AC2362" t="s">
        <v>59</v>
      </c>
      <c r="AD2362" t="s">
        <v>59</v>
      </c>
      <c r="AF2362" s="1">
        <v>36404</v>
      </c>
      <c r="AG2362" t="s">
        <v>137</v>
      </c>
      <c r="AH2362" t="s">
        <v>138</v>
      </c>
      <c r="AI2362" t="str">
        <f>"3240077"</f>
        <v>3240077</v>
      </c>
      <c r="AJ2362" t="s">
        <v>4528</v>
      </c>
      <c r="AK2362">
        <v>2841025978</v>
      </c>
      <c r="AL2362" t="s">
        <v>4529</v>
      </c>
      <c r="AM2362" t="s">
        <v>4513</v>
      </c>
      <c r="AN2362" t="s">
        <v>4514</v>
      </c>
      <c r="AO2362" t="s">
        <v>4514</v>
      </c>
      <c r="AP2362" t="s">
        <v>4514</v>
      </c>
      <c r="AQ2362">
        <v>1</v>
      </c>
      <c r="AR2362" t="s">
        <v>4509</v>
      </c>
      <c r="AS2362" t="s">
        <v>4510</v>
      </c>
      <c r="AT2362" t="s">
        <v>58</v>
      </c>
      <c r="AU2362" t="s">
        <v>68</v>
      </c>
      <c r="AV2362" t="s">
        <v>69</v>
      </c>
      <c r="AW2362" s="1">
        <v>24088</v>
      </c>
      <c r="AX2362">
        <v>2</v>
      </c>
    </row>
    <row r="2363" spans="1:50">
      <c r="A2363">
        <v>216059</v>
      </c>
      <c r="B2363" t="str">
        <f>"120425973"</f>
        <v>120425973</v>
      </c>
      <c r="C2363" t="s">
        <v>105</v>
      </c>
      <c r="D2363" t="s">
        <v>4871</v>
      </c>
      <c r="E2363" t="s">
        <v>72</v>
      </c>
      <c r="F2363" t="s">
        <v>4872</v>
      </c>
      <c r="G2363" t="s">
        <v>52</v>
      </c>
      <c r="H2363" t="str">
        <f>"ΤΙΤΟΥ ΓΕΩΡΓΙΑΔΟΥ 67 ΗΡΑΚΛΕΙΟ"</f>
        <v>ΤΙΤΟΥ ΓΕΩΡΓΙΑΔΟΥ 67 ΗΡΑΚΛΕΙΟ</v>
      </c>
      <c r="J2363">
        <v>2421053495</v>
      </c>
      <c r="K2363">
        <v>6959883776</v>
      </c>
      <c r="M2363" t="s">
        <v>4873</v>
      </c>
      <c r="N2363" t="s">
        <v>204</v>
      </c>
      <c r="O2363" t="s">
        <v>205</v>
      </c>
      <c r="R2363" t="s">
        <v>57</v>
      </c>
      <c r="S2363">
        <v>6</v>
      </c>
      <c r="T2363">
        <v>232</v>
      </c>
      <c r="U2363" s="1">
        <v>38960</v>
      </c>
      <c r="V2363" t="s">
        <v>4509</v>
      </c>
      <c r="W2363" t="s">
        <v>4510</v>
      </c>
      <c r="X2363" t="s">
        <v>58</v>
      </c>
      <c r="Y2363">
        <v>20</v>
      </c>
      <c r="Z2363" t="s">
        <v>59</v>
      </c>
      <c r="AA2363" t="s">
        <v>59</v>
      </c>
      <c r="AB2363" t="s">
        <v>59</v>
      </c>
      <c r="AC2363" t="s">
        <v>59</v>
      </c>
      <c r="AD2363" t="s">
        <v>59</v>
      </c>
      <c r="AF2363" s="1">
        <v>38960</v>
      </c>
      <c r="AG2363" t="s">
        <v>148</v>
      </c>
      <c r="AH2363" t="s">
        <v>149</v>
      </c>
      <c r="AI2363" t="str">
        <f>"3260015"</f>
        <v>3260015</v>
      </c>
      <c r="AJ2363" t="s">
        <v>4764</v>
      </c>
      <c r="AK2363">
        <v>2843051787</v>
      </c>
      <c r="AL2363" t="s">
        <v>4765</v>
      </c>
      <c r="AM2363" t="s">
        <v>4513</v>
      </c>
      <c r="AN2363" t="s">
        <v>4519</v>
      </c>
      <c r="AO2363" t="s">
        <v>4766</v>
      </c>
      <c r="AP2363" t="s">
        <v>4767</v>
      </c>
      <c r="AQ2363">
        <v>5</v>
      </c>
      <c r="AR2363" t="s">
        <v>4509</v>
      </c>
      <c r="AS2363" t="s">
        <v>4510</v>
      </c>
      <c r="AT2363" t="s">
        <v>58</v>
      </c>
      <c r="AU2363" t="s">
        <v>68</v>
      </c>
      <c r="AV2363" t="s">
        <v>69</v>
      </c>
      <c r="AW2363" s="1">
        <v>29463</v>
      </c>
      <c r="AX2363">
        <v>2</v>
      </c>
    </row>
    <row r="2364" spans="1:50">
      <c r="A2364">
        <v>175397</v>
      </c>
      <c r="B2364" t="str">
        <f>"110360342"</f>
        <v>110360342</v>
      </c>
      <c r="C2364" t="s">
        <v>50</v>
      </c>
      <c r="D2364" t="s">
        <v>4874</v>
      </c>
      <c r="E2364" t="s">
        <v>143</v>
      </c>
      <c r="F2364" t="s">
        <v>106</v>
      </c>
      <c r="G2364" t="s">
        <v>52</v>
      </c>
      <c r="H2364" t="str">
        <f>"ΚΟΥΤΣΟΥΡΑΣ ΚΟΥΤΣΟΥΡΑΣ"</f>
        <v>ΚΟΥΤΣΟΥΡΑΣ ΚΟΥΤΣΟΥΡΑΣ</v>
      </c>
      <c r="I2364">
        <v>72055</v>
      </c>
      <c r="J2364">
        <v>2843051396</v>
      </c>
      <c r="K2364">
        <v>6974029372</v>
      </c>
      <c r="N2364" t="s">
        <v>146</v>
      </c>
      <c r="O2364" t="s">
        <v>147</v>
      </c>
      <c r="R2364" t="s">
        <v>57</v>
      </c>
      <c r="S2364">
        <v>13</v>
      </c>
      <c r="T2364">
        <v>180</v>
      </c>
      <c r="U2364" s="1">
        <v>35674</v>
      </c>
      <c r="V2364" t="s">
        <v>4509</v>
      </c>
      <c r="W2364" t="s">
        <v>4510</v>
      </c>
      <c r="X2364" t="s">
        <v>58</v>
      </c>
      <c r="Y2364">
        <v>18</v>
      </c>
      <c r="Z2364" t="s">
        <v>59</v>
      </c>
      <c r="AA2364" t="s">
        <v>59</v>
      </c>
      <c r="AB2364" t="s">
        <v>59</v>
      </c>
      <c r="AC2364" t="s">
        <v>59</v>
      </c>
      <c r="AD2364" t="s">
        <v>59</v>
      </c>
      <c r="AF2364" s="1">
        <v>35675</v>
      </c>
      <c r="AG2364" t="s">
        <v>125</v>
      </c>
      <c r="AH2364" t="s">
        <v>126</v>
      </c>
      <c r="AI2364" t="str">
        <f>"3210015"</f>
        <v>3210015</v>
      </c>
      <c r="AJ2364" t="s">
        <v>4875</v>
      </c>
      <c r="AK2364">
        <v>2843051800</v>
      </c>
      <c r="AL2364" t="s">
        <v>4876</v>
      </c>
      <c r="AM2364" t="s">
        <v>4513</v>
      </c>
      <c r="AN2364" t="s">
        <v>4519</v>
      </c>
      <c r="AO2364" t="s">
        <v>4766</v>
      </c>
      <c r="AP2364" t="s">
        <v>4767</v>
      </c>
      <c r="AQ2364">
        <v>5</v>
      </c>
      <c r="AR2364" t="s">
        <v>4509</v>
      </c>
      <c r="AS2364" t="s">
        <v>4510</v>
      </c>
      <c r="AT2364" t="s">
        <v>58</v>
      </c>
      <c r="AU2364" t="s">
        <v>68</v>
      </c>
      <c r="AV2364" t="s">
        <v>69</v>
      </c>
      <c r="AW2364" s="1">
        <v>23536</v>
      </c>
      <c r="AX2364">
        <v>2</v>
      </c>
    </row>
    <row r="2365" spans="1:50">
      <c r="A2365">
        <v>197709</v>
      </c>
      <c r="B2365" t="str">
        <f>"042110983"</f>
        <v>042110983</v>
      </c>
      <c r="C2365" t="s">
        <v>105</v>
      </c>
      <c r="D2365" t="s">
        <v>4877</v>
      </c>
      <c r="E2365" t="s">
        <v>53</v>
      </c>
      <c r="F2365" t="s">
        <v>450</v>
      </c>
      <c r="G2365" t="s">
        <v>83</v>
      </c>
      <c r="H2365" t="str">
        <f>"ΕΘΝΙΚΗΣ ΑΝΤΙΣΤΑΣΕΩΣ 40 ΑΓΙΟΣ ΝΙΚΟΛΑΟΣ"</f>
        <v>ΕΘΝΙΚΗΣ ΑΝΤΙΣΤΑΣΕΩΣ 40 ΑΓΙΟΣ ΝΙΚΟΛΑΟΣ</v>
      </c>
      <c r="I2365">
        <v>72100</v>
      </c>
      <c r="J2365">
        <v>2841026090</v>
      </c>
      <c r="K2365">
        <v>6972824641</v>
      </c>
      <c r="M2365" t="s">
        <v>4878</v>
      </c>
      <c r="N2365" t="s">
        <v>292</v>
      </c>
      <c r="O2365" t="s">
        <v>293</v>
      </c>
      <c r="R2365" t="s">
        <v>57</v>
      </c>
      <c r="S2365">
        <v>10</v>
      </c>
      <c r="T2365">
        <v>206</v>
      </c>
      <c r="U2365" s="1">
        <v>37866</v>
      </c>
      <c r="V2365" t="s">
        <v>4509</v>
      </c>
      <c r="W2365" t="s">
        <v>4510</v>
      </c>
      <c r="X2365" t="s">
        <v>58</v>
      </c>
      <c r="Y2365">
        <v>18</v>
      </c>
      <c r="Z2365" t="s">
        <v>59</v>
      </c>
      <c r="AA2365" t="s">
        <v>59</v>
      </c>
      <c r="AB2365" t="s">
        <v>59</v>
      </c>
      <c r="AC2365" t="s">
        <v>59</v>
      </c>
      <c r="AD2365" t="s">
        <v>59</v>
      </c>
      <c r="AF2365" s="1">
        <v>37867</v>
      </c>
      <c r="AG2365" t="s">
        <v>125</v>
      </c>
      <c r="AH2365" t="s">
        <v>126</v>
      </c>
      <c r="AI2365" t="str">
        <f>"3201025"</f>
        <v>3201025</v>
      </c>
      <c r="AJ2365" t="s">
        <v>4682</v>
      </c>
      <c r="AK2365">
        <v>2841021388</v>
      </c>
      <c r="AL2365" t="s">
        <v>4683</v>
      </c>
      <c r="AM2365" t="s">
        <v>4513</v>
      </c>
      <c r="AN2365" t="s">
        <v>4514</v>
      </c>
      <c r="AO2365" t="s">
        <v>4514</v>
      </c>
      <c r="AP2365" t="s">
        <v>4514</v>
      </c>
      <c r="AQ2365">
        <v>1</v>
      </c>
      <c r="AR2365" t="s">
        <v>4509</v>
      </c>
      <c r="AS2365" t="s">
        <v>4510</v>
      </c>
      <c r="AT2365" t="s">
        <v>58</v>
      </c>
      <c r="AU2365" t="s">
        <v>68</v>
      </c>
      <c r="AV2365" t="s">
        <v>69</v>
      </c>
      <c r="AW2365" s="1">
        <v>21126</v>
      </c>
      <c r="AX2365">
        <v>2</v>
      </c>
    </row>
    <row r="2366" spans="1:50">
      <c r="A2366">
        <v>203043</v>
      </c>
      <c r="B2366" t="str">
        <f>"047412685"</f>
        <v>047412685</v>
      </c>
      <c r="C2366" t="s">
        <v>50</v>
      </c>
      <c r="D2366" t="s">
        <v>4879</v>
      </c>
      <c r="E2366" t="s">
        <v>484</v>
      </c>
      <c r="F2366" t="s">
        <v>936</v>
      </c>
      <c r="G2366" t="s">
        <v>52</v>
      </c>
      <c r="H2366" t="str">
        <f>"ΖΗΛΩΝ 43 ΡΙΖΟΥΠΟΛΗ-ΑΘΗΝΑ"</f>
        <v>ΖΗΛΩΝ 43 ΡΙΖΟΥΠΟΛΗ-ΑΘΗΝΑ</v>
      </c>
      <c r="I2366">
        <v>11142</v>
      </c>
      <c r="J2366">
        <v>2102581776</v>
      </c>
      <c r="K2366">
        <v>6984485007</v>
      </c>
      <c r="N2366" t="s">
        <v>478</v>
      </c>
      <c r="O2366" t="s">
        <v>479</v>
      </c>
      <c r="R2366" t="s">
        <v>57</v>
      </c>
      <c r="S2366">
        <v>12</v>
      </c>
      <c r="T2366" t="s">
        <v>4880</v>
      </c>
      <c r="U2366" s="1">
        <v>38230</v>
      </c>
      <c r="V2366" t="s">
        <v>4509</v>
      </c>
      <c r="W2366" t="s">
        <v>4510</v>
      </c>
      <c r="X2366" t="s">
        <v>58</v>
      </c>
      <c r="Y2366">
        <v>20</v>
      </c>
      <c r="Z2366" t="s">
        <v>59</v>
      </c>
      <c r="AA2366" t="s">
        <v>59</v>
      </c>
      <c r="AB2366" t="s">
        <v>59</v>
      </c>
      <c r="AC2366" t="s">
        <v>59</v>
      </c>
      <c r="AD2366" t="s">
        <v>59</v>
      </c>
      <c r="AF2366" s="1">
        <v>38232</v>
      </c>
      <c r="AG2366" t="s">
        <v>125</v>
      </c>
      <c r="AH2366" t="s">
        <v>126</v>
      </c>
      <c r="AI2366" t="str">
        <f>"3205010"</f>
        <v>3205010</v>
      </c>
      <c r="AJ2366" t="s">
        <v>4665</v>
      </c>
      <c r="AK2366">
        <v>2844022217</v>
      </c>
      <c r="AL2366" t="s">
        <v>4666</v>
      </c>
      <c r="AM2366" t="s">
        <v>4513</v>
      </c>
      <c r="AN2366" t="s">
        <v>4592</v>
      </c>
      <c r="AO2366" t="s">
        <v>4592</v>
      </c>
      <c r="AP2366" t="s">
        <v>4593</v>
      </c>
      <c r="AQ2366">
        <v>2</v>
      </c>
      <c r="AR2366" t="s">
        <v>4509</v>
      </c>
      <c r="AS2366" t="s">
        <v>4510</v>
      </c>
      <c r="AT2366" t="s">
        <v>58</v>
      </c>
      <c r="AU2366" t="s">
        <v>68</v>
      </c>
      <c r="AV2366" t="s">
        <v>69</v>
      </c>
      <c r="AW2366" s="1">
        <v>26782</v>
      </c>
      <c r="AX2366">
        <v>2</v>
      </c>
    </row>
    <row r="2367" spans="1:50">
      <c r="A2367">
        <v>182302</v>
      </c>
      <c r="B2367" t="str">
        <f>"043599040"</f>
        <v>043599040</v>
      </c>
      <c r="C2367" t="s">
        <v>105</v>
      </c>
      <c r="D2367" t="s">
        <v>4881</v>
      </c>
      <c r="E2367" t="s">
        <v>95</v>
      </c>
      <c r="F2367" t="s">
        <v>975</v>
      </c>
      <c r="G2367" t="s">
        <v>787</v>
      </c>
      <c r="H2367" t="str">
        <f>" "</f>
        <v xml:space="preserve"> </v>
      </c>
      <c r="M2367" t="s">
        <v>4882</v>
      </c>
      <c r="N2367" t="s">
        <v>176</v>
      </c>
      <c r="O2367" t="s">
        <v>177</v>
      </c>
      <c r="R2367" t="s">
        <v>57</v>
      </c>
      <c r="S2367">
        <v>11</v>
      </c>
      <c r="T2367">
        <v>184</v>
      </c>
      <c r="U2367" s="1">
        <v>34941</v>
      </c>
      <c r="V2367" t="s">
        <v>4509</v>
      </c>
      <c r="W2367" t="s">
        <v>4510</v>
      </c>
      <c r="X2367" t="s">
        <v>58</v>
      </c>
      <c r="Y2367">
        <v>18</v>
      </c>
      <c r="Z2367" t="s">
        <v>59</v>
      </c>
      <c r="AA2367" t="s">
        <v>59</v>
      </c>
      <c r="AB2367" t="s">
        <v>59</v>
      </c>
      <c r="AC2367" t="s">
        <v>59</v>
      </c>
      <c r="AD2367" t="s">
        <v>59</v>
      </c>
      <c r="AF2367" s="1">
        <v>34943</v>
      </c>
      <c r="AG2367" t="s">
        <v>125</v>
      </c>
      <c r="AH2367" t="s">
        <v>126</v>
      </c>
      <c r="AI2367" t="str">
        <f>"3202010"</f>
        <v>3202010</v>
      </c>
      <c r="AJ2367" t="s">
        <v>4517</v>
      </c>
      <c r="AK2367">
        <v>2842028229</v>
      </c>
      <c r="AL2367" t="s">
        <v>4518</v>
      </c>
      <c r="AM2367" t="s">
        <v>4513</v>
      </c>
      <c r="AN2367" t="s">
        <v>4519</v>
      </c>
      <c r="AO2367" t="s">
        <v>4519</v>
      </c>
      <c r="AP2367" t="s">
        <v>4519</v>
      </c>
      <c r="AQ2367">
        <v>4</v>
      </c>
      <c r="AR2367" t="s">
        <v>4509</v>
      </c>
      <c r="AS2367" t="s">
        <v>4510</v>
      </c>
      <c r="AT2367" t="s">
        <v>58</v>
      </c>
      <c r="AU2367" t="s">
        <v>68</v>
      </c>
      <c r="AV2367" t="s">
        <v>69</v>
      </c>
      <c r="AW2367" s="1">
        <v>24124</v>
      </c>
      <c r="AX2367">
        <v>2</v>
      </c>
    </row>
    <row r="2368" spans="1:50">
      <c r="A2368">
        <v>223354</v>
      </c>
      <c r="B2368" t="str">
        <f>"059164351"</f>
        <v>059164351</v>
      </c>
      <c r="C2368" t="s">
        <v>50</v>
      </c>
      <c r="D2368" t="s">
        <v>1691</v>
      </c>
      <c r="E2368" t="s">
        <v>83</v>
      </c>
      <c r="F2368" t="s">
        <v>84</v>
      </c>
      <c r="G2368" t="s">
        <v>188</v>
      </c>
      <c r="H2368" t="str">
        <f>"ΠΕΡΓΑΜΟΥ 16 ΘΕΡΙΣΣΟΣ"</f>
        <v>ΠΕΡΓΑΜΟΥ 16 ΘΕΡΙΣΣΟΣ</v>
      </c>
      <c r="I2368">
        <v>71304</v>
      </c>
      <c r="J2368">
        <v>2810259485</v>
      </c>
      <c r="K2368">
        <v>6942792430</v>
      </c>
      <c r="M2368" t="s">
        <v>4883</v>
      </c>
      <c r="N2368" t="s">
        <v>232</v>
      </c>
      <c r="O2368" t="s">
        <v>233</v>
      </c>
      <c r="R2368" t="s">
        <v>57</v>
      </c>
      <c r="S2368">
        <v>6</v>
      </c>
      <c r="T2368">
        <v>775</v>
      </c>
      <c r="U2368" s="1">
        <v>39680</v>
      </c>
      <c r="V2368" t="s">
        <v>4509</v>
      </c>
      <c r="W2368" t="s">
        <v>4510</v>
      </c>
      <c r="X2368" t="s">
        <v>58</v>
      </c>
      <c r="Y2368">
        <v>20</v>
      </c>
      <c r="Z2368" t="s">
        <v>59</v>
      </c>
      <c r="AA2368" t="s">
        <v>59</v>
      </c>
      <c r="AB2368" t="s">
        <v>59</v>
      </c>
      <c r="AC2368" t="s">
        <v>59</v>
      </c>
      <c r="AD2368" t="s">
        <v>59</v>
      </c>
      <c r="AF2368" s="1">
        <v>39692</v>
      </c>
      <c r="AG2368" t="s">
        <v>137</v>
      </c>
      <c r="AH2368" t="s">
        <v>138</v>
      </c>
      <c r="AI2368" t="str">
        <f>"3240120"</f>
        <v>3240120</v>
      </c>
      <c r="AJ2368" t="s">
        <v>4552</v>
      </c>
      <c r="AK2368">
        <v>2842028667</v>
      </c>
      <c r="AL2368" t="s">
        <v>4553</v>
      </c>
      <c r="AM2368" t="s">
        <v>4513</v>
      </c>
      <c r="AN2368" t="s">
        <v>4519</v>
      </c>
      <c r="AO2368" t="s">
        <v>4519</v>
      </c>
      <c r="AP2368" t="s">
        <v>4519</v>
      </c>
      <c r="AQ2368">
        <v>4</v>
      </c>
      <c r="AR2368" t="s">
        <v>4509</v>
      </c>
      <c r="AS2368" t="s">
        <v>4510</v>
      </c>
      <c r="AT2368" t="s">
        <v>58</v>
      </c>
      <c r="AU2368" t="s">
        <v>68</v>
      </c>
      <c r="AV2368" t="s">
        <v>69</v>
      </c>
      <c r="AW2368" s="1">
        <v>25651</v>
      </c>
      <c r="AX2368">
        <v>2</v>
      </c>
    </row>
    <row r="2369" spans="1:50">
      <c r="A2369">
        <v>177239</v>
      </c>
      <c r="B2369" t="str">
        <f>"034379321"</f>
        <v>034379321</v>
      </c>
      <c r="C2369" t="s">
        <v>50</v>
      </c>
      <c r="D2369" t="s">
        <v>4884</v>
      </c>
      <c r="E2369" t="s">
        <v>52</v>
      </c>
      <c r="F2369" t="s">
        <v>166</v>
      </c>
      <c r="G2369" t="s">
        <v>2127</v>
      </c>
      <c r="H2369" t="str">
        <f>" "</f>
        <v xml:space="preserve"> </v>
      </c>
      <c r="M2369" t="s">
        <v>4885</v>
      </c>
      <c r="N2369" t="s">
        <v>257</v>
      </c>
      <c r="O2369" t="s">
        <v>258</v>
      </c>
      <c r="R2369" t="s">
        <v>57</v>
      </c>
      <c r="S2369">
        <v>13</v>
      </c>
      <c r="T2369">
        <v>180</v>
      </c>
      <c r="U2369" s="1">
        <v>35674</v>
      </c>
      <c r="V2369" t="s">
        <v>4509</v>
      </c>
      <c r="W2369" t="s">
        <v>4510</v>
      </c>
      <c r="X2369" t="s">
        <v>58</v>
      </c>
      <c r="Y2369">
        <v>18</v>
      </c>
      <c r="Z2369" t="s">
        <v>59</v>
      </c>
      <c r="AA2369" t="s">
        <v>59</v>
      </c>
      <c r="AB2369" t="s">
        <v>59</v>
      </c>
      <c r="AC2369" t="s">
        <v>59</v>
      </c>
      <c r="AD2369" t="s">
        <v>59</v>
      </c>
      <c r="AF2369" s="1">
        <v>35675</v>
      </c>
      <c r="AG2369" t="s">
        <v>137</v>
      </c>
      <c r="AH2369" t="s">
        <v>138</v>
      </c>
      <c r="AI2369" t="str">
        <f>"3240077"</f>
        <v>3240077</v>
      </c>
      <c r="AJ2369" t="s">
        <v>4528</v>
      </c>
      <c r="AK2369">
        <v>2841025978</v>
      </c>
      <c r="AL2369" t="s">
        <v>4529</v>
      </c>
      <c r="AM2369" t="s">
        <v>4513</v>
      </c>
      <c r="AN2369" t="s">
        <v>4514</v>
      </c>
      <c r="AO2369" t="s">
        <v>4514</v>
      </c>
      <c r="AP2369" t="s">
        <v>4514</v>
      </c>
      <c r="AQ2369">
        <v>1</v>
      </c>
      <c r="AR2369" t="s">
        <v>4509</v>
      </c>
      <c r="AS2369" t="s">
        <v>4510</v>
      </c>
      <c r="AT2369" t="s">
        <v>58</v>
      </c>
      <c r="AU2369" t="s">
        <v>68</v>
      </c>
      <c r="AV2369" t="s">
        <v>69</v>
      </c>
      <c r="AW2369" s="1">
        <v>22376</v>
      </c>
      <c r="AX2369">
        <v>2</v>
      </c>
    </row>
    <row r="2370" spans="1:50">
      <c r="A2370">
        <v>228217</v>
      </c>
      <c r="B2370" t="str">
        <f>"073264606"</f>
        <v>073264606</v>
      </c>
      <c r="C2370" t="s">
        <v>105</v>
      </c>
      <c r="D2370" t="s">
        <v>4886</v>
      </c>
      <c r="E2370" t="s">
        <v>95</v>
      </c>
      <c r="F2370" t="s">
        <v>53</v>
      </c>
      <c r="G2370" t="s">
        <v>1227</v>
      </c>
      <c r="H2370" t="str">
        <f>" "</f>
        <v xml:space="preserve"> </v>
      </c>
      <c r="I2370">
        <v>72300</v>
      </c>
      <c r="J2370">
        <v>2105726245</v>
      </c>
      <c r="K2370">
        <v>6945272287</v>
      </c>
      <c r="M2370" t="s">
        <v>4887</v>
      </c>
      <c r="N2370" t="s">
        <v>257</v>
      </c>
      <c r="O2370" t="s">
        <v>258</v>
      </c>
      <c r="P2370" t="s">
        <v>176</v>
      </c>
      <c r="Q2370" t="s">
        <v>177</v>
      </c>
      <c r="R2370" t="s">
        <v>57</v>
      </c>
      <c r="S2370">
        <v>6</v>
      </c>
      <c r="T2370">
        <v>654</v>
      </c>
      <c r="U2370" s="1">
        <v>40043</v>
      </c>
      <c r="V2370" t="s">
        <v>4509</v>
      </c>
      <c r="W2370" t="s">
        <v>4510</v>
      </c>
      <c r="X2370" t="s">
        <v>58</v>
      </c>
      <c r="Y2370">
        <v>21</v>
      </c>
      <c r="Z2370" t="s">
        <v>59</v>
      </c>
      <c r="AA2370" t="s">
        <v>59</v>
      </c>
      <c r="AB2370" t="s">
        <v>59</v>
      </c>
      <c r="AC2370" t="s">
        <v>59</v>
      </c>
      <c r="AD2370" t="s">
        <v>59</v>
      </c>
      <c r="AF2370" s="1">
        <v>40045</v>
      </c>
      <c r="AG2370" t="s">
        <v>148</v>
      </c>
      <c r="AH2370" t="s">
        <v>149</v>
      </c>
      <c r="AI2370" t="str">
        <f>"3254010"</f>
        <v>3254010</v>
      </c>
      <c r="AJ2370" t="s">
        <v>4538</v>
      </c>
      <c r="AK2370">
        <v>2843022277</v>
      </c>
      <c r="AL2370" t="s">
        <v>4539</v>
      </c>
      <c r="AM2370" t="s">
        <v>4513</v>
      </c>
      <c r="AN2370" t="s">
        <v>4540</v>
      </c>
      <c r="AO2370" t="s">
        <v>4540</v>
      </c>
      <c r="AP2370" t="s">
        <v>4540</v>
      </c>
      <c r="AQ2370">
        <v>6</v>
      </c>
      <c r="AR2370" t="s">
        <v>4509</v>
      </c>
      <c r="AS2370" t="s">
        <v>4510</v>
      </c>
      <c r="AT2370" t="s">
        <v>58</v>
      </c>
      <c r="AU2370" t="s">
        <v>68</v>
      </c>
      <c r="AV2370" t="s">
        <v>69</v>
      </c>
      <c r="AW2370" s="1">
        <v>26519</v>
      </c>
      <c r="AX2370">
        <v>2</v>
      </c>
    </row>
    <row r="2371" spans="1:50">
      <c r="A2371">
        <v>202246</v>
      </c>
      <c r="B2371" t="str">
        <f>"044794745"</f>
        <v>044794745</v>
      </c>
      <c r="C2371" t="s">
        <v>105</v>
      </c>
      <c r="D2371" t="s">
        <v>4886</v>
      </c>
      <c r="E2371" t="s">
        <v>72</v>
      </c>
      <c r="F2371" t="s">
        <v>4612</v>
      </c>
      <c r="G2371" t="s">
        <v>52</v>
      </c>
      <c r="H2371" t="str">
        <f>" "</f>
        <v xml:space="preserve"> </v>
      </c>
      <c r="J2371">
        <v>2843051973</v>
      </c>
      <c r="K2371">
        <v>6947610642</v>
      </c>
      <c r="M2371" t="s">
        <v>4888</v>
      </c>
      <c r="N2371" t="s">
        <v>292</v>
      </c>
      <c r="O2371" t="s">
        <v>293</v>
      </c>
      <c r="R2371" t="s">
        <v>57</v>
      </c>
      <c r="S2371">
        <v>6</v>
      </c>
      <c r="T2371">
        <v>231</v>
      </c>
      <c r="U2371" s="1">
        <v>38230</v>
      </c>
      <c r="V2371" t="s">
        <v>4509</v>
      </c>
      <c r="W2371" t="s">
        <v>4510</v>
      </c>
      <c r="X2371" t="s">
        <v>58</v>
      </c>
      <c r="Y2371">
        <v>20</v>
      </c>
      <c r="Z2371" t="s">
        <v>59</v>
      </c>
      <c r="AA2371" t="s">
        <v>59</v>
      </c>
      <c r="AB2371" t="s">
        <v>59</v>
      </c>
      <c r="AC2371" t="s">
        <v>59</v>
      </c>
      <c r="AD2371" t="s">
        <v>59</v>
      </c>
      <c r="AF2371" s="1">
        <v>38231</v>
      </c>
      <c r="AG2371" t="s">
        <v>148</v>
      </c>
      <c r="AH2371" t="s">
        <v>149</v>
      </c>
      <c r="AI2371" t="str">
        <f>"3254010"</f>
        <v>3254010</v>
      </c>
      <c r="AJ2371" t="s">
        <v>4538</v>
      </c>
      <c r="AK2371">
        <v>2843022277</v>
      </c>
      <c r="AL2371" t="s">
        <v>4539</v>
      </c>
      <c r="AM2371" t="s">
        <v>4513</v>
      </c>
      <c r="AN2371" t="s">
        <v>4540</v>
      </c>
      <c r="AO2371" t="s">
        <v>4540</v>
      </c>
      <c r="AP2371" t="s">
        <v>4540</v>
      </c>
      <c r="AQ2371">
        <v>6</v>
      </c>
      <c r="AR2371" t="s">
        <v>4509</v>
      </c>
      <c r="AS2371" t="s">
        <v>4510</v>
      </c>
      <c r="AT2371" t="s">
        <v>58</v>
      </c>
      <c r="AU2371" t="s">
        <v>68</v>
      </c>
      <c r="AV2371" t="s">
        <v>69</v>
      </c>
      <c r="AW2371" s="1">
        <v>24001</v>
      </c>
      <c r="AX2371">
        <v>2</v>
      </c>
    </row>
    <row r="2372" spans="1:50">
      <c r="A2372">
        <v>220059</v>
      </c>
      <c r="B2372" t="str">
        <f>"038515142"</f>
        <v>038515142</v>
      </c>
      <c r="C2372" t="s">
        <v>50</v>
      </c>
      <c r="D2372" t="s">
        <v>1699</v>
      </c>
      <c r="E2372" t="s">
        <v>52</v>
      </c>
      <c r="F2372" t="s">
        <v>106</v>
      </c>
      <c r="G2372" t="s">
        <v>215</v>
      </c>
      <c r="H2372" t="str">
        <f>"ΙΠΠΟΚΡΑΤΟΥΣ 9 ΑΛΙΚΑΡΝΑΣΣΟΣ ΗΡΑΚΛΕΙΟ"</f>
        <v>ΙΠΠΟΚΡΑΤΟΥΣ 9 ΑΛΙΚΑΡΝΑΣΣΟΣ ΗΡΑΚΛΕΙΟ</v>
      </c>
      <c r="I2372">
        <v>71601</v>
      </c>
      <c r="K2372">
        <v>6974451852</v>
      </c>
      <c r="M2372" t="s">
        <v>4889</v>
      </c>
      <c r="N2372" t="s">
        <v>299</v>
      </c>
      <c r="O2372" t="s">
        <v>300</v>
      </c>
      <c r="R2372" t="s">
        <v>57</v>
      </c>
      <c r="S2372">
        <v>6</v>
      </c>
      <c r="T2372">
        <v>599</v>
      </c>
      <c r="U2372" s="1">
        <v>39310</v>
      </c>
      <c r="V2372" t="s">
        <v>4509</v>
      </c>
      <c r="W2372" t="s">
        <v>4510</v>
      </c>
      <c r="X2372" t="s">
        <v>58</v>
      </c>
      <c r="Y2372">
        <v>20</v>
      </c>
      <c r="Z2372" t="s">
        <v>59</v>
      </c>
      <c r="AA2372" t="s">
        <v>59</v>
      </c>
      <c r="AB2372" t="s">
        <v>59</v>
      </c>
      <c r="AC2372" t="s">
        <v>59</v>
      </c>
      <c r="AD2372" t="s">
        <v>59</v>
      </c>
      <c r="AF2372" s="1">
        <v>39328</v>
      </c>
      <c r="AG2372" t="s">
        <v>137</v>
      </c>
      <c r="AH2372" t="s">
        <v>138</v>
      </c>
      <c r="AI2372" t="str">
        <f>"3240077"</f>
        <v>3240077</v>
      </c>
      <c r="AJ2372" t="s">
        <v>4528</v>
      </c>
      <c r="AK2372">
        <v>2841025978</v>
      </c>
      <c r="AL2372" t="s">
        <v>4529</v>
      </c>
      <c r="AM2372" t="s">
        <v>4513</v>
      </c>
      <c r="AN2372" t="s">
        <v>4514</v>
      </c>
      <c r="AO2372" t="s">
        <v>4514</v>
      </c>
      <c r="AP2372" t="s">
        <v>4514</v>
      </c>
      <c r="AQ2372">
        <v>1</v>
      </c>
      <c r="AR2372" t="s">
        <v>4509</v>
      </c>
      <c r="AS2372" t="s">
        <v>4510</v>
      </c>
      <c r="AT2372" t="s">
        <v>58</v>
      </c>
      <c r="AU2372" t="s">
        <v>68</v>
      </c>
      <c r="AV2372" t="s">
        <v>69</v>
      </c>
      <c r="AW2372" s="1">
        <v>25784</v>
      </c>
      <c r="AX2372">
        <v>2</v>
      </c>
    </row>
    <row r="2373" spans="1:50">
      <c r="A2373">
        <v>226492</v>
      </c>
      <c r="B2373" t="str">
        <f>"062096060"</f>
        <v>062096060</v>
      </c>
      <c r="C2373" t="s">
        <v>50</v>
      </c>
      <c r="D2373" t="s">
        <v>4890</v>
      </c>
      <c r="E2373" t="s">
        <v>52</v>
      </c>
      <c r="F2373" t="s">
        <v>95</v>
      </c>
      <c r="G2373" t="s">
        <v>4515</v>
      </c>
      <c r="H2373" t="str">
        <f>"ΜΑΚΡΥΛΙΑ ΙΕΡΑΠΕΤΡΑ"</f>
        <v>ΜΑΚΡΥΛΙΑ ΙΕΡΑΠΕΤΡΑ</v>
      </c>
      <c r="I2373">
        <v>72200</v>
      </c>
      <c r="J2373">
        <v>2842061428</v>
      </c>
      <c r="K2373">
        <v>6945577214</v>
      </c>
      <c r="M2373" t="s">
        <v>4891</v>
      </c>
      <c r="N2373" t="s">
        <v>146</v>
      </c>
      <c r="O2373" t="s">
        <v>147</v>
      </c>
      <c r="R2373" t="s">
        <v>57</v>
      </c>
      <c r="S2373">
        <v>5</v>
      </c>
      <c r="T2373">
        <v>654</v>
      </c>
      <c r="U2373" s="1">
        <v>40043</v>
      </c>
      <c r="V2373" t="s">
        <v>4509</v>
      </c>
      <c r="W2373" t="s">
        <v>4510</v>
      </c>
      <c r="X2373" t="s">
        <v>58</v>
      </c>
      <c r="Y2373">
        <v>21</v>
      </c>
      <c r="Z2373" t="s">
        <v>59</v>
      </c>
      <c r="AA2373" t="s">
        <v>59</v>
      </c>
      <c r="AB2373" t="s">
        <v>59</v>
      </c>
      <c r="AC2373" t="s">
        <v>59</v>
      </c>
      <c r="AD2373" t="s">
        <v>59</v>
      </c>
      <c r="AF2373" s="1">
        <v>40043</v>
      </c>
      <c r="AG2373" t="s">
        <v>125</v>
      </c>
      <c r="AH2373" t="s">
        <v>126</v>
      </c>
      <c r="AI2373" t="str">
        <f>"3202030"</f>
        <v>3202030</v>
      </c>
      <c r="AJ2373" t="s">
        <v>4558</v>
      </c>
      <c r="AK2373">
        <v>2842028751</v>
      </c>
      <c r="AL2373" t="s">
        <v>4559</v>
      </c>
      <c r="AM2373" t="s">
        <v>4513</v>
      </c>
      <c r="AN2373" t="s">
        <v>4519</v>
      </c>
      <c r="AO2373" t="s">
        <v>4519</v>
      </c>
      <c r="AP2373" t="s">
        <v>4519</v>
      </c>
      <c r="AQ2373">
        <v>4</v>
      </c>
      <c r="AR2373" t="s">
        <v>4509</v>
      </c>
      <c r="AS2373" t="s">
        <v>4510</v>
      </c>
      <c r="AT2373" t="s">
        <v>58</v>
      </c>
      <c r="AU2373" t="s">
        <v>68</v>
      </c>
      <c r="AV2373" t="s">
        <v>69</v>
      </c>
      <c r="AW2373" s="1">
        <v>27712</v>
      </c>
      <c r="AX2373">
        <v>2</v>
      </c>
    </row>
    <row r="2374" spans="1:50">
      <c r="A2374">
        <v>216063</v>
      </c>
      <c r="B2374" t="str">
        <f>"137217316"</f>
        <v>137217316</v>
      </c>
      <c r="C2374" t="s">
        <v>50</v>
      </c>
      <c r="D2374" t="s">
        <v>1729</v>
      </c>
      <c r="E2374" t="s">
        <v>237</v>
      </c>
      <c r="F2374" t="s">
        <v>95</v>
      </c>
      <c r="G2374" t="s">
        <v>563</v>
      </c>
      <c r="H2374" t="str">
        <f>" "</f>
        <v xml:space="preserve"> </v>
      </c>
      <c r="J2374">
        <v>2843022418</v>
      </c>
      <c r="K2374">
        <v>6974757279</v>
      </c>
      <c r="M2374" t="s">
        <v>4892</v>
      </c>
      <c r="N2374" t="s">
        <v>204</v>
      </c>
      <c r="O2374" t="s">
        <v>205</v>
      </c>
      <c r="R2374" t="s">
        <v>57</v>
      </c>
      <c r="S2374">
        <v>6</v>
      </c>
      <c r="T2374">
        <v>232</v>
      </c>
      <c r="U2374" s="1">
        <v>38960</v>
      </c>
      <c r="V2374" t="s">
        <v>4509</v>
      </c>
      <c r="W2374" t="s">
        <v>4510</v>
      </c>
      <c r="X2374" t="s">
        <v>58</v>
      </c>
      <c r="Y2374">
        <v>20</v>
      </c>
      <c r="Z2374" t="s">
        <v>59</v>
      </c>
      <c r="AA2374" t="s">
        <v>59</v>
      </c>
      <c r="AB2374" t="s">
        <v>59</v>
      </c>
      <c r="AC2374" t="s">
        <v>59</v>
      </c>
      <c r="AD2374" t="s">
        <v>59</v>
      </c>
      <c r="AF2374" s="1">
        <v>38964</v>
      </c>
      <c r="AG2374" t="s">
        <v>148</v>
      </c>
      <c r="AH2374" t="s">
        <v>149</v>
      </c>
      <c r="AI2374" t="str">
        <f>"3253010"</f>
        <v>3253010</v>
      </c>
      <c r="AJ2374" t="s">
        <v>4579</v>
      </c>
      <c r="AK2374">
        <v>2841031769</v>
      </c>
      <c r="AL2374" t="s">
        <v>4580</v>
      </c>
      <c r="AM2374" t="s">
        <v>4513</v>
      </c>
      <c r="AN2374" t="s">
        <v>4514</v>
      </c>
      <c r="AO2374" t="s">
        <v>4524</v>
      </c>
      <c r="AP2374" t="s">
        <v>4525</v>
      </c>
      <c r="AQ2374">
        <v>3</v>
      </c>
      <c r="AR2374" t="s">
        <v>4509</v>
      </c>
      <c r="AS2374" t="s">
        <v>4510</v>
      </c>
      <c r="AT2374" t="s">
        <v>58</v>
      </c>
      <c r="AU2374" t="s">
        <v>68</v>
      </c>
      <c r="AV2374" t="s">
        <v>69</v>
      </c>
      <c r="AW2374" s="1">
        <v>29328</v>
      </c>
      <c r="AX2374">
        <v>2</v>
      </c>
    </row>
    <row r="2375" spans="1:50">
      <c r="A2375">
        <v>156592</v>
      </c>
      <c r="B2375" t="str">
        <f>"110258464"</f>
        <v>110258464</v>
      </c>
      <c r="C2375" t="s">
        <v>50</v>
      </c>
      <c r="D2375" t="s">
        <v>4893</v>
      </c>
      <c r="E2375" t="s">
        <v>801</v>
      </c>
      <c r="F2375" t="s">
        <v>450</v>
      </c>
      <c r="G2375" t="s">
        <v>181</v>
      </c>
      <c r="H2375" t="str">
        <f>" "</f>
        <v xml:space="preserve"> </v>
      </c>
      <c r="M2375" t="s">
        <v>4894</v>
      </c>
      <c r="N2375" t="s">
        <v>292</v>
      </c>
      <c r="O2375" t="s">
        <v>293</v>
      </c>
      <c r="R2375" t="s">
        <v>57</v>
      </c>
      <c r="S2375">
        <v>15</v>
      </c>
      <c r="T2375">
        <v>188</v>
      </c>
      <c r="U2375" s="1">
        <v>32752</v>
      </c>
      <c r="V2375" t="s">
        <v>4509</v>
      </c>
      <c r="W2375" t="s">
        <v>4510</v>
      </c>
      <c r="X2375" t="s">
        <v>58</v>
      </c>
      <c r="Y2375">
        <v>18</v>
      </c>
      <c r="Z2375" t="s">
        <v>59</v>
      </c>
      <c r="AA2375" t="s">
        <v>59</v>
      </c>
      <c r="AB2375" t="s">
        <v>59</v>
      </c>
      <c r="AC2375" t="s">
        <v>59</v>
      </c>
      <c r="AD2375" t="s">
        <v>59</v>
      </c>
      <c r="AF2375" s="1">
        <v>32753</v>
      </c>
      <c r="AG2375" t="s">
        <v>137</v>
      </c>
      <c r="AH2375" t="s">
        <v>469</v>
      </c>
      <c r="AI2375" t="str">
        <f>"3240125"</f>
        <v>3240125</v>
      </c>
      <c r="AJ2375" t="s">
        <v>4707</v>
      </c>
      <c r="AK2375">
        <v>2842024905</v>
      </c>
      <c r="AL2375" t="s">
        <v>4708</v>
      </c>
      <c r="AM2375" t="s">
        <v>4513</v>
      </c>
      <c r="AN2375" t="s">
        <v>4519</v>
      </c>
      <c r="AO2375" t="s">
        <v>4519</v>
      </c>
      <c r="AP2375" t="s">
        <v>4519</v>
      </c>
      <c r="AQ2375">
        <v>4</v>
      </c>
      <c r="AR2375" t="s">
        <v>4509</v>
      </c>
      <c r="AS2375" t="s">
        <v>4510</v>
      </c>
      <c r="AT2375" t="s">
        <v>58</v>
      </c>
      <c r="AU2375" t="s">
        <v>68</v>
      </c>
      <c r="AV2375" t="s">
        <v>69</v>
      </c>
      <c r="AW2375" s="1">
        <v>20789</v>
      </c>
      <c r="AX2375">
        <v>2</v>
      </c>
    </row>
    <row r="2376" spans="1:50">
      <c r="A2376">
        <v>210064</v>
      </c>
      <c r="B2376" t="str">
        <f>"110289975"</f>
        <v>110289975</v>
      </c>
      <c r="C2376" t="s">
        <v>105</v>
      </c>
      <c r="D2376" t="s">
        <v>4895</v>
      </c>
      <c r="E2376" t="s">
        <v>53</v>
      </c>
      <c r="F2376" t="s">
        <v>450</v>
      </c>
      <c r="G2376" t="s">
        <v>4896</v>
      </c>
      <c r="H2376" t="str">
        <f>"ΠΑΧΕΙΑ ΑΜΜΟΣ ΙΕΡΑΠΕΤΡΑ"</f>
        <v>ΠΑΧΕΙΑ ΑΜΜΟΣ ΙΕΡΑΠΕΤΡΑ</v>
      </c>
      <c r="I2376">
        <v>72200</v>
      </c>
      <c r="J2376">
        <v>2842093411</v>
      </c>
      <c r="K2376">
        <v>6976732239</v>
      </c>
      <c r="L2376">
        <v>6936993659</v>
      </c>
      <c r="M2376" t="s">
        <v>4897</v>
      </c>
      <c r="N2376" t="s">
        <v>199</v>
      </c>
      <c r="O2376" t="s">
        <v>200</v>
      </c>
      <c r="R2376" t="s">
        <v>57</v>
      </c>
      <c r="S2376">
        <v>6</v>
      </c>
      <c r="T2376" t="s">
        <v>4898</v>
      </c>
      <c r="U2376" s="1">
        <v>38610</v>
      </c>
      <c r="V2376" t="s">
        <v>4509</v>
      </c>
      <c r="W2376" t="s">
        <v>4510</v>
      </c>
      <c r="X2376" t="s">
        <v>58</v>
      </c>
      <c r="Y2376">
        <v>20</v>
      </c>
      <c r="Z2376" t="s">
        <v>59</v>
      </c>
      <c r="AA2376" t="s">
        <v>59</v>
      </c>
      <c r="AB2376" t="s">
        <v>59</v>
      </c>
      <c r="AC2376" t="s">
        <v>59</v>
      </c>
      <c r="AD2376" t="s">
        <v>59</v>
      </c>
      <c r="AF2376" s="1">
        <v>38610</v>
      </c>
      <c r="AG2376" t="s">
        <v>148</v>
      </c>
      <c r="AH2376" t="s">
        <v>149</v>
      </c>
      <c r="AI2376" t="str">
        <f>"3252010"</f>
        <v>3252010</v>
      </c>
      <c r="AJ2376" t="s">
        <v>4532</v>
      </c>
      <c r="AK2376">
        <v>2842022356</v>
      </c>
      <c r="AL2376" t="s">
        <v>4533</v>
      </c>
      <c r="AM2376" t="s">
        <v>4513</v>
      </c>
      <c r="AN2376" t="s">
        <v>4519</v>
      </c>
      <c r="AO2376" t="s">
        <v>4519</v>
      </c>
      <c r="AP2376" t="s">
        <v>4519</v>
      </c>
      <c r="AQ2376">
        <v>4</v>
      </c>
      <c r="AR2376" t="s">
        <v>4509</v>
      </c>
      <c r="AS2376" t="s">
        <v>4510</v>
      </c>
      <c r="AT2376" t="s">
        <v>58</v>
      </c>
      <c r="AU2376" t="s">
        <v>68</v>
      </c>
      <c r="AV2376" t="s">
        <v>69</v>
      </c>
      <c r="AW2376" s="1">
        <v>28678</v>
      </c>
      <c r="AX2376">
        <v>2</v>
      </c>
    </row>
    <row r="2377" spans="1:50">
      <c r="A2377">
        <v>703981</v>
      </c>
      <c r="B2377" t="str">
        <f>"126591728"</f>
        <v>126591728</v>
      </c>
      <c r="C2377" t="s">
        <v>50</v>
      </c>
      <c r="D2377" t="s">
        <v>4899</v>
      </c>
      <c r="E2377" t="s">
        <v>52</v>
      </c>
      <c r="F2377" t="s">
        <v>95</v>
      </c>
      <c r="G2377" t="s">
        <v>83</v>
      </c>
      <c r="H2377" t="str">
        <f>"ΓΡΑΒΙΑΣ 30 ΠΕΤΡΟΥΠΟΛΗ"</f>
        <v>ΓΡΑΒΙΑΣ 30 ΠΕΤΡΟΥΠΟΛΗ</v>
      </c>
      <c r="I2377">
        <v>13231</v>
      </c>
      <c r="J2377">
        <v>2105027897</v>
      </c>
      <c r="K2377">
        <v>6974574083</v>
      </c>
      <c r="N2377" t="s">
        <v>306</v>
      </c>
      <c r="O2377" t="s">
        <v>307</v>
      </c>
      <c r="R2377" t="s">
        <v>57</v>
      </c>
      <c r="S2377">
        <v>4</v>
      </c>
      <c r="T2377" t="s">
        <v>4900</v>
      </c>
      <c r="U2377" s="1">
        <v>40413</v>
      </c>
      <c r="V2377" t="s">
        <v>4509</v>
      </c>
      <c r="W2377" t="s">
        <v>4510</v>
      </c>
      <c r="X2377" t="s">
        <v>58</v>
      </c>
      <c r="Y2377">
        <v>21</v>
      </c>
      <c r="Z2377" t="s">
        <v>59</v>
      </c>
      <c r="AA2377" t="s">
        <v>59</v>
      </c>
      <c r="AB2377" t="s">
        <v>59</v>
      </c>
      <c r="AC2377" t="s">
        <v>59</v>
      </c>
      <c r="AD2377" t="s">
        <v>59</v>
      </c>
      <c r="AF2377" s="1">
        <v>42716</v>
      </c>
      <c r="AG2377" t="s">
        <v>125</v>
      </c>
      <c r="AH2377" t="s">
        <v>126</v>
      </c>
      <c r="AI2377" t="str">
        <f>"3202010"</f>
        <v>3202010</v>
      </c>
      <c r="AJ2377" t="s">
        <v>4517</v>
      </c>
      <c r="AK2377">
        <v>2842028229</v>
      </c>
      <c r="AL2377" t="s">
        <v>4518</v>
      </c>
      <c r="AM2377" t="s">
        <v>4513</v>
      </c>
      <c r="AN2377" t="s">
        <v>4519</v>
      </c>
      <c r="AO2377" t="s">
        <v>4519</v>
      </c>
      <c r="AP2377" t="s">
        <v>4519</v>
      </c>
      <c r="AQ2377">
        <v>4</v>
      </c>
      <c r="AR2377" t="s">
        <v>4509</v>
      </c>
      <c r="AS2377" t="s">
        <v>4510</v>
      </c>
      <c r="AT2377" t="s">
        <v>58</v>
      </c>
      <c r="AU2377" t="s">
        <v>68</v>
      </c>
      <c r="AV2377" t="s">
        <v>132</v>
      </c>
      <c r="AW2377" s="1">
        <v>31048</v>
      </c>
      <c r="AX2377">
        <v>2</v>
      </c>
    </row>
    <row r="2378" spans="1:50">
      <c r="A2378">
        <v>180418</v>
      </c>
      <c r="B2378" t="str">
        <f>"030025540"</f>
        <v>030025540</v>
      </c>
      <c r="C2378" t="s">
        <v>105</v>
      </c>
      <c r="D2378" t="s">
        <v>4901</v>
      </c>
      <c r="E2378" t="s">
        <v>53</v>
      </c>
      <c r="F2378" t="s">
        <v>166</v>
      </c>
      <c r="G2378" t="s">
        <v>181</v>
      </c>
      <c r="H2378" t="str">
        <f>" "</f>
        <v xml:space="preserve"> </v>
      </c>
      <c r="K2378">
        <v>6974391821</v>
      </c>
      <c r="M2378" t="s">
        <v>4902</v>
      </c>
      <c r="N2378" t="s">
        <v>232</v>
      </c>
      <c r="O2378" t="s">
        <v>233</v>
      </c>
      <c r="R2378" t="s">
        <v>57</v>
      </c>
      <c r="S2378">
        <v>9</v>
      </c>
      <c r="T2378">
        <v>181</v>
      </c>
      <c r="U2378" s="1">
        <v>36039</v>
      </c>
      <c r="V2378" t="s">
        <v>4509</v>
      </c>
      <c r="W2378" t="s">
        <v>4510</v>
      </c>
      <c r="X2378" t="s">
        <v>58</v>
      </c>
      <c r="Y2378">
        <v>18</v>
      </c>
      <c r="Z2378" t="s">
        <v>59</v>
      </c>
      <c r="AA2378" t="s">
        <v>59</v>
      </c>
      <c r="AB2378" t="s">
        <v>59</v>
      </c>
      <c r="AC2378" t="s">
        <v>59</v>
      </c>
      <c r="AD2378" t="s">
        <v>59</v>
      </c>
      <c r="AF2378" s="1">
        <v>36042</v>
      </c>
      <c r="AG2378" t="s">
        <v>148</v>
      </c>
      <c r="AH2378" t="s">
        <v>149</v>
      </c>
      <c r="AI2378" t="str">
        <f>"3251010"</f>
        <v>3251010</v>
      </c>
      <c r="AJ2378" t="s">
        <v>4646</v>
      </c>
      <c r="AK2378">
        <v>2841023649</v>
      </c>
      <c r="AL2378" t="s">
        <v>4647</v>
      </c>
      <c r="AM2378" t="s">
        <v>4513</v>
      </c>
      <c r="AN2378" t="s">
        <v>4514</v>
      </c>
      <c r="AO2378" t="s">
        <v>4514</v>
      </c>
      <c r="AP2378" t="s">
        <v>4514</v>
      </c>
      <c r="AQ2378">
        <v>1</v>
      </c>
      <c r="AR2378" t="s">
        <v>4509</v>
      </c>
      <c r="AS2378" t="s">
        <v>4510</v>
      </c>
      <c r="AT2378" t="s">
        <v>58</v>
      </c>
      <c r="AU2378" t="s">
        <v>68</v>
      </c>
      <c r="AV2378" t="s">
        <v>69</v>
      </c>
      <c r="AW2378" s="1">
        <v>22055</v>
      </c>
      <c r="AX2378">
        <v>2</v>
      </c>
    </row>
    <row r="2379" spans="1:50">
      <c r="A2379">
        <v>227586</v>
      </c>
      <c r="B2379" t="str">
        <f>"063822096"</f>
        <v>063822096</v>
      </c>
      <c r="C2379" t="s">
        <v>50</v>
      </c>
      <c r="D2379" t="s">
        <v>4903</v>
      </c>
      <c r="E2379" t="s">
        <v>396</v>
      </c>
      <c r="F2379" t="s">
        <v>72</v>
      </c>
      <c r="G2379" t="s">
        <v>52</v>
      </c>
      <c r="H2379" t="str">
        <f>"ΗΡΩΣ ΚΩΝΣΤΑΝΤΟΠΟΥΛΟΥ 142 ΗΛΙΟΥΠΟΛΗ"</f>
        <v>ΗΡΩΣ ΚΩΝΣΤΑΝΤΟΠΟΥΛΟΥ 142 ΗΛΙΟΥΠΟΛΗ</v>
      </c>
      <c r="I2379">
        <v>16341</v>
      </c>
      <c r="K2379">
        <v>6976395717</v>
      </c>
      <c r="M2379" t="s">
        <v>4904</v>
      </c>
      <c r="N2379" t="s">
        <v>478</v>
      </c>
      <c r="O2379" t="s">
        <v>479</v>
      </c>
      <c r="R2379" t="s">
        <v>57</v>
      </c>
      <c r="S2379">
        <v>4</v>
      </c>
      <c r="T2379">
        <v>654</v>
      </c>
      <c r="U2379" s="1">
        <v>40043</v>
      </c>
      <c r="V2379" t="s">
        <v>4509</v>
      </c>
      <c r="W2379" t="s">
        <v>4510</v>
      </c>
      <c r="X2379" t="s">
        <v>58</v>
      </c>
      <c r="Y2379">
        <v>21</v>
      </c>
      <c r="Z2379" t="s">
        <v>59</v>
      </c>
      <c r="AA2379" t="s">
        <v>59</v>
      </c>
      <c r="AB2379" t="s">
        <v>59</v>
      </c>
      <c r="AC2379" t="s">
        <v>59</v>
      </c>
      <c r="AD2379" t="s">
        <v>59</v>
      </c>
      <c r="AF2379" s="1">
        <v>40045</v>
      </c>
      <c r="AG2379" t="s">
        <v>125</v>
      </c>
      <c r="AH2379" t="s">
        <v>126</v>
      </c>
      <c r="AI2379" t="str">
        <f>"3209010"</f>
        <v>3209010</v>
      </c>
      <c r="AJ2379" t="s">
        <v>4698</v>
      </c>
      <c r="AK2379">
        <v>2843061207</v>
      </c>
      <c r="AL2379" t="s">
        <v>4699</v>
      </c>
      <c r="AM2379" t="s">
        <v>4513</v>
      </c>
      <c r="AN2379" t="s">
        <v>4540</v>
      </c>
      <c r="AO2379" t="s">
        <v>4700</v>
      </c>
      <c r="AP2379" t="s">
        <v>4701</v>
      </c>
      <c r="AQ2379">
        <v>6</v>
      </c>
      <c r="AR2379" t="s">
        <v>4509</v>
      </c>
      <c r="AS2379" t="s">
        <v>4510</v>
      </c>
      <c r="AT2379" t="s">
        <v>58</v>
      </c>
      <c r="AU2379" t="s">
        <v>68</v>
      </c>
      <c r="AV2379" t="s">
        <v>69</v>
      </c>
      <c r="AW2379" s="1">
        <v>27033</v>
      </c>
      <c r="AX2379">
        <v>2</v>
      </c>
    </row>
    <row r="2380" spans="1:50">
      <c r="A2380">
        <v>228977</v>
      </c>
      <c r="B2380" t="str">
        <f>"110274753"</f>
        <v>110274753</v>
      </c>
      <c r="C2380" t="s">
        <v>50</v>
      </c>
      <c r="D2380" t="s">
        <v>4905</v>
      </c>
      <c r="E2380" t="s">
        <v>52</v>
      </c>
      <c r="F2380" t="s">
        <v>4906</v>
      </c>
      <c r="G2380" t="s">
        <v>4907</v>
      </c>
      <c r="H2380" t="str">
        <f>"ΚΑΛΑΜΑΥΚΑ ΙΕΡΑΠΕΤΡΑ"</f>
        <v>ΚΑΛΑΜΑΥΚΑ ΙΕΡΑΠΕΤΡΑ</v>
      </c>
      <c r="I2380">
        <v>72200</v>
      </c>
      <c r="J2380">
        <v>2842092471</v>
      </c>
      <c r="K2380">
        <v>6995425288</v>
      </c>
      <c r="M2380" t="s">
        <v>4908</v>
      </c>
      <c r="N2380" t="s">
        <v>547</v>
      </c>
      <c r="O2380" t="s">
        <v>548</v>
      </c>
      <c r="R2380" t="s">
        <v>57</v>
      </c>
      <c r="S2380">
        <v>5</v>
      </c>
      <c r="T2380">
        <v>683</v>
      </c>
      <c r="U2380" s="1">
        <v>40052</v>
      </c>
      <c r="V2380" t="s">
        <v>4509</v>
      </c>
      <c r="W2380" t="s">
        <v>4510</v>
      </c>
      <c r="X2380" t="s">
        <v>58</v>
      </c>
      <c r="Y2380">
        <v>21</v>
      </c>
      <c r="Z2380" t="s">
        <v>59</v>
      </c>
      <c r="AA2380" t="s">
        <v>59</v>
      </c>
      <c r="AB2380" t="s">
        <v>59</v>
      </c>
      <c r="AC2380" t="s">
        <v>59</v>
      </c>
      <c r="AD2380" t="s">
        <v>59</v>
      </c>
      <c r="AF2380" s="1">
        <v>40057</v>
      </c>
      <c r="AG2380" t="s">
        <v>137</v>
      </c>
      <c r="AH2380" t="s">
        <v>138</v>
      </c>
      <c r="AI2380" t="str">
        <f>"3240120"</f>
        <v>3240120</v>
      </c>
      <c r="AJ2380" t="s">
        <v>4552</v>
      </c>
      <c r="AK2380">
        <v>2842028667</v>
      </c>
      <c r="AL2380" t="s">
        <v>4553</v>
      </c>
      <c r="AM2380" t="s">
        <v>4513</v>
      </c>
      <c r="AN2380" t="s">
        <v>4519</v>
      </c>
      <c r="AO2380" t="s">
        <v>4519</v>
      </c>
      <c r="AP2380" t="s">
        <v>4519</v>
      </c>
      <c r="AQ2380">
        <v>4</v>
      </c>
      <c r="AR2380" t="s">
        <v>4509</v>
      </c>
      <c r="AS2380" t="s">
        <v>4510</v>
      </c>
      <c r="AT2380" t="s">
        <v>58</v>
      </c>
      <c r="AU2380" t="s">
        <v>68</v>
      </c>
      <c r="AV2380" t="s">
        <v>69</v>
      </c>
      <c r="AW2380" s="1">
        <v>26299</v>
      </c>
      <c r="AX2380">
        <v>2</v>
      </c>
    </row>
    <row r="2381" spans="1:50">
      <c r="A2381">
        <v>199403</v>
      </c>
      <c r="B2381" t="str">
        <f>"059963462"</f>
        <v>059963462</v>
      </c>
      <c r="C2381" t="s">
        <v>50</v>
      </c>
      <c r="D2381" t="s">
        <v>4909</v>
      </c>
      <c r="E2381" t="s">
        <v>52</v>
      </c>
      <c r="F2381" t="s">
        <v>99</v>
      </c>
      <c r="G2381" t="s">
        <v>3282</v>
      </c>
      <c r="H2381" t="str">
        <f>" "</f>
        <v xml:space="preserve"> </v>
      </c>
      <c r="J2381">
        <v>2841082344</v>
      </c>
      <c r="K2381">
        <v>6947304142</v>
      </c>
      <c r="M2381" t="s">
        <v>4910</v>
      </c>
      <c r="N2381" t="s">
        <v>189</v>
      </c>
      <c r="O2381" t="s">
        <v>190</v>
      </c>
      <c r="R2381" t="s">
        <v>57</v>
      </c>
      <c r="S2381">
        <v>12</v>
      </c>
      <c r="T2381">
        <v>206</v>
      </c>
      <c r="U2381" s="1">
        <v>37866</v>
      </c>
      <c r="V2381" t="s">
        <v>4509</v>
      </c>
      <c r="W2381" t="s">
        <v>4510</v>
      </c>
      <c r="X2381" t="s">
        <v>58</v>
      </c>
      <c r="Y2381">
        <v>20</v>
      </c>
      <c r="Z2381" t="s">
        <v>59</v>
      </c>
      <c r="AA2381" t="s">
        <v>59</v>
      </c>
      <c r="AB2381" t="s">
        <v>59</v>
      </c>
      <c r="AC2381" t="s">
        <v>59</v>
      </c>
      <c r="AD2381" t="s">
        <v>59</v>
      </c>
      <c r="AF2381" s="1">
        <v>37867</v>
      </c>
      <c r="AG2381" t="s">
        <v>125</v>
      </c>
      <c r="AH2381" t="s">
        <v>126</v>
      </c>
      <c r="AI2381" t="str">
        <f>"3201010"</f>
        <v>3201010</v>
      </c>
      <c r="AJ2381" t="s">
        <v>4596</v>
      </c>
      <c r="AK2381">
        <v>2841022301</v>
      </c>
      <c r="AL2381" t="s">
        <v>4597</v>
      </c>
      <c r="AM2381" t="s">
        <v>4513</v>
      </c>
      <c r="AN2381" t="s">
        <v>4514</v>
      </c>
      <c r="AO2381" t="s">
        <v>4514</v>
      </c>
      <c r="AP2381" t="s">
        <v>4514</v>
      </c>
      <c r="AQ2381">
        <v>1</v>
      </c>
      <c r="AR2381" t="s">
        <v>4509</v>
      </c>
      <c r="AS2381" t="s">
        <v>4510</v>
      </c>
      <c r="AT2381" t="s">
        <v>58</v>
      </c>
      <c r="AU2381" t="s">
        <v>68</v>
      </c>
      <c r="AV2381" t="s">
        <v>69</v>
      </c>
      <c r="AW2381" s="1">
        <v>26193</v>
      </c>
      <c r="AX2381">
        <v>2</v>
      </c>
    </row>
    <row r="2382" spans="1:50">
      <c r="B2382" t="str">
        <f>"119679240"</f>
        <v>119679240</v>
      </c>
      <c r="C2382" t="s">
        <v>50</v>
      </c>
      <c r="D2382" t="s">
        <v>4911</v>
      </c>
      <c r="E2382" t="s">
        <v>73</v>
      </c>
      <c r="F2382" t="s">
        <v>92</v>
      </c>
      <c r="G2382" t="s">
        <v>83</v>
      </c>
      <c r="H2382" t="str">
        <f>"ΚΑΖΑΝΗ 70 ΑΓΙΟΣ ΝΙΚΟΛΑΟΣ"</f>
        <v>ΚΑΖΑΝΗ 70 ΑΓΙΟΣ ΝΙΚΟΛΑΟΣ</v>
      </c>
      <c r="I2382">
        <v>72100</v>
      </c>
      <c r="J2382">
        <v>2841022023</v>
      </c>
      <c r="K2382">
        <v>6972758841</v>
      </c>
      <c r="M2382" t="s">
        <v>4912</v>
      </c>
      <c r="N2382" t="s">
        <v>146</v>
      </c>
      <c r="O2382" t="s">
        <v>147</v>
      </c>
      <c r="R2382" t="s">
        <v>159</v>
      </c>
      <c r="S2382">
        <v>4</v>
      </c>
      <c r="T2382" t="s">
        <v>160</v>
      </c>
      <c r="U2382" s="1">
        <v>43364</v>
      </c>
      <c r="V2382" t="s">
        <v>4509</v>
      </c>
      <c r="W2382" t="s">
        <v>4510</v>
      </c>
      <c r="X2382" t="s">
        <v>58</v>
      </c>
      <c r="Y2382">
        <v>21</v>
      </c>
      <c r="Z2382" t="s">
        <v>59</v>
      </c>
      <c r="AA2382" t="s">
        <v>59</v>
      </c>
      <c r="AB2382" t="s">
        <v>59</v>
      </c>
      <c r="AC2382" t="s">
        <v>59</v>
      </c>
      <c r="AD2382" t="s">
        <v>59</v>
      </c>
      <c r="AF2382" s="1">
        <v>43367</v>
      </c>
      <c r="AG2382" t="s">
        <v>125</v>
      </c>
      <c r="AH2382" t="s">
        <v>126</v>
      </c>
      <c r="AI2382" t="str">
        <f>"3201010"</f>
        <v>3201010</v>
      </c>
      <c r="AJ2382" t="s">
        <v>4596</v>
      </c>
      <c r="AK2382">
        <v>2841022301</v>
      </c>
      <c r="AL2382" t="s">
        <v>4597</v>
      </c>
      <c r="AM2382" t="s">
        <v>4513</v>
      </c>
      <c r="AN2382" t="s">
        <v>4514</v>
      </c>
      <c r="AO2382" t="s">
        <v>4514</v>
      </c>
      <c r="AP2382" t="s">
        <v>4514</v>
      </c>
      <c r="AQ2382">
        <v>1</v>
      </c>
      <c r="AR2382" t="s">
        <v>4509</v>
      </c>
      <c r="AS2382" t="s">
        <v>4510</v>
      </c>
      <c r="AT2382" t="s">
        <v>58</v>
      </c>
      <c r="AU2382" t="s">
        <v>164</v>
      </c>
      <c r="AV2382" t="s">
        <v>132</v>
      </c>
      <c r="AW2382" s="1">
        <v>28253</v>
      </c>
      <c r="AX2382">
        <v>2</v>
      </c>
    </row>
    <row r="2383" spans="1:50">
      <c r="A2383">
        <v>214923</v>
      </c>
      <c r="B2383" t="str">
        <f>"037350609"</f>
        <v>037350609</v>
      </c>
      <c r="C2383" t="s">
        <v>105</v>
      </c>
      <c r="D2383" t="s">
        <v>4913</v>
      </c>
      <c r="E2383" t="s">
        <v>202</v>
      </c>
      <c r="F2383" t="s">
        <v>53</v>
      </c>
      <c r="G2383" t="s">
        <v>4914</v>
      </c>
      <c r="H2383" t="str">
        <f>" "</f>
        <v xml:space="preserve"> </v>
      </c>
      <c r="J2383">
        <v>2231025088</v>
      </c>
      <c r="K2383">
        <v>6944523475</v>
      </c>
      <c r="M2383" t="s">
        <v>4915</v>
      </c>
      <c r="N2383" t="s">
        <v>189</v>
      </c>
      <c r="O2383" t="s">
        <v>190</v>
      </c>
      <c r="R2383" t="s">
        <v>57</v>
      </c>
      <c r="S2383">
        <v>10</v>
      </c>
      <c r="T2383">
        <v>231</v>
      </c>
      <c r="U2383" s="1">
        <v>38960</v>
      </c>
      <c r="V2383" t="s">
        <v>4509</v>
      </c>
      <c r="W2383" t="s">
        <v>4510</v>
      </c>
      <c r="X2383" t="s">
        <v>58</v>
      </c>
      <c r="Y2383">
        <v>20</v>
      </c>
      <c r="Z2383" t="s">
        <v>59</v>
      </c>
      <c r="AA2383" t="s">
        <v>59</v>
      </c>
      <c r="AB2383" t="s">
        <v>59</v>
      </c>
      <c r="AC2383" t="s">
        <v>59</v>
      </c>
      <c r="AD2383" t="s">
        <v>59</v>
      </c>
      <c r="AF2383" s="1">
        <v>38961</v>
      </c>
      <c r="AG2383" t="s">
        <v>137</v>
      </c>
      <c r="AH2383" t="s">
        <v>138</v>
      </c>
      <c r="AI2383" t="str">
        <f>"3240077"</f>
        <v>3240077</v>
      </c>
      <c r="AJ2383" t="s">
        <v>4528</v>
      </c>
      <c r="AK2383">
        <v>2841025978</v>
      </c>
      <c r="AL2383" t="s">
        <v>4529</v>
      </c>
      <c r="AM2383" t="s">
        <v>4513</v>
      </c>
      <c r="AN2383" t="s">
        <v>4514</v>
      </c>
      <c r="AO2383" t="s">
        <v>4514</v>
      </c>
      <c r="AP2383" t="s">
        <v>4514</v>
      </c>
      <c r="AQ2383">
        <v>1</v>
      </c>
      <c r="AR2383" t="s">
        <v>4509</v>
      </c>
      <c r="AS2383" t="s">
        <v>4510</v>
      </c>
      <c r="AT2383" t="s">
        <v>58</v>
      </c>
      <c r="AU2383" t="s">
        <v>68</v>
      </c>
      <c r="AV2383" t="s">
        <v>69</v>
      </c>
      <c r="AW2383" s="1">
        <v>24558</v>
      </c>
      <c r="AX2383">
        <v>2</v>
      </c>
    </row>
    <row r="2384" spans="1:50">
      <c r="B2384" t="str">
        <f>"079210130"</f>
        <v>079210130</v>
      </c>
      <c r="C2384" t="s">
        <v>50</v>
      </c>
      <c r="D2384" t="s">
        <v>4916</v>
      </c>
      <c r="E2384" t="s">
        <v>964</v>
      </c>
      <c r="F2384" t="s">
        <v>84</v>
      </c>
      <c r="G2384" t="s">
        <v>950</v>
      </c>
      <c r="H2384" t="str">
        <f>"ΚΟΡΙΝΘΟΥ ΠΑΤΡΩΝ 195 "</f>
        <v xml:space="preserve">ΚΟΡΙΝΘΟΥ ΠΑΤΡΩΝ 195 </v>
      </c>
      <c r="I2384">
        <v>20002</v>
      </c>
      <c r="J2384">
        <v>2742032082</v>
      </c>
      <c r="K2384">
        <v>6973080507</v>
      </c>
      <c r="N2384" t="s">
        <v>146</v>
      </c>
      <c r="O2384" t="s">
        <v>147</v>
      </c>
      <c r="R2384" t="s">
        <v>159</v>
      </c>
      <c r="S2384">
        <v>2</v>
      </c>
      <c r="T2384" t="s">
        <v>416</v>
      </c>
      <c r="U2384" s="1">
        <v>43349</v>
      </c>
      <c r="V2384" t="s">
        <v>4509</v>
      </c>
      <c r="W2384" t="s">
        <v>4510</v>
      </c>
      <c r="X2384" t="s">
        <v>58</v>
      </c>
      <c r="Y2384">
        <v>23</v>
      </c>
      <c r="Z2384" t="s">
        <v>59</v>
      </c>
      <c r="AA2384" t="s">
        <v>59</v>
      </c>
      <c r="AB2384" t="s">
        <v>59</v>
      </c>
      <c r="AC2384" t="s">
        <v>59</v>
      </c>
      <c r="AD2384" t="s">
        <v>59</v>
      </c>
      <c r="AF2384" s="1">
        <v>43349</v>
      </c>
      <c r="AG2384" t="s">
        <v>125</v>
      </c>
      <c r="AH2384" t="s">
        <v>126</v>
      </c>
      <c r="AI2384" t="str">
        <f>"3202020"</f>
        <v>3202020</v>
      </c>
      <c r="AJ2384" t="s">
        <v>4576</v>
      </c>
      <c r="AK2384">
        <v>2842022289</v>
      </c>
      <c r="AL2384" t="s">
        <v>4577</v>
      </c>
      <c r="AM2384" t="s">
        <v>4513</v>
      </c>
      <c r="AN2384" t="s">
        <v>4519</v>
      </c>
      <c r="AO2384" t="s">
        <v>4519</v>
      </c>
      <c r="AP2384" t="s">
        <v>4519</v>
      </c>
      <c r="AQ2384">
        <v>4</v>
      </c>
      <c r="AR2384" t="s">
        <v>4509</v>
      </c>
      <c r="AS2384" t="s">
        <v>4510</v>
      </c>
      <c r="AT2384" t="s">
        <v>58</v>
      </c>
      <c r="AU2384" t="s">
        <v>419</v>
      </c>
      <c r="AV2384" t="s">
        <v>132</v>
      </c>
      <c r="AW2384" s="1">
        <v>26178</v>
      </c>
      <c r="AX2384">
        <v>2</v>
      </c>
    </row>
    <row r="2385" spans="1:50">
      <c r="A2385">
        <v>227589</v>
      </c>
      <c r="B2385" t="str">
        <f>"132955858"</f>
        <v>132955858</v>
      </c>
      <c r="C2385" t="s">
        <v>50</v>
      </c>
      <c r="D2385" t="s">
        <v>4917</v>
      </c>
      <c r="E2385" t="s">
        <v>545</v>
      </c>
      <c r="F2385" t="s">
        <v>72</v>
      </c>
      <c r="G2385" t="s">
        <v>513</v>
      </c>
      <c r="H2385" t="str">
        <f>"Ατσιπόπουλο ΤΘ.4-280 ΡΕΘΥΜΝΟ"</f>
        <v>Ατσιπόπουλο ΤΘ.4-280 ΡΕΘΥΜΝΟ</v>
      </c>
      <c r="I2385">
        <v>74100</v>
      </c>
      <c r="J2385">
        <v>2831021702</v>
      </c>
      <c r="K2385">
        <v>6977085808</v>
      </c>
      <c r="M2385" t="s">
        <v>4918</v>
      </c>
      <c r="N2385" t="s">
        <v>478</v>
      </c>
      <c r="O2385" t="s">
        <v>479</v>
      </c>
      <c r="R2385" t="s">
        <v>57</v>
      </c>
      <c r="S2385">
        <v>6</v>
      </c>
      <c r="T2385">
        <v>654</v>
      </c>
      <c r="U2385" s="1">
        <v>40043</v>
      </c>
      <c r="V2385" t="s">
        <v>4509</v>
      </c>
      <c r="W2385" t="s">
        <v>4510</v>
      </c>
      <c r="X2385" t="s">
        <v>58</v>
      </c>
      <c r="Y2385">
        <v>21</v>
      </c>
      <c r="Z2385" t="s">
        <v>59</v>
      </c>
      <c r="AA2385" t="s">
        <v>59</v>
      </c>
      <c r="AB2385" t="s">
        <v>59</v>
      </c>
      <c r="AC2385" t="s">
        <v>59</v>
      </c>
      <c r="AD2385" t="s">
        <v>59</v>
      </c>
      <c r="AF2385" s="1">
        <v>40044</v>
      </c>
      <c r="AG2385" t="s">
        <v>125</v>
      </c>
      <c r="AH2385" t="s">
        <v>126</v>
      </c>
      <c r="AI2385" t="str">
        <f>"3201025"</f>
        <v>3201025</v>
      </c>
      <c r="AJ2385" t="s">
        <v>4682</v>
      </c>
      <c r="AK2385">
        <v>2841021388</v>
      </c>
      <c r="AL2385" t="s">
        <v>4683</v>
      </c>
      <c r="AM2385" t="s">
        <v>4513</v>
      </c>
      <c r="AN2385" t="s">
        <v>4514</v>
      </c>
      <c r="AO2385" t="s">
        <v>4514</v>
      </c>
      <c r="AP2385" t="s">
        <v>4514</v>
      </c>
      <c r="AQ2385">
        <v>1</v>
      </c>
      <c r="AR2385" t="s">
        <v>4509</v>
      </c>
      <c r="AS2385" t="s">
        <v>4510</v>
      </c>
      <c r="AT2385" t="s">
        <v>58</v>
      </c>
      <c r="AU2385" t="s">
        <v>68</v>
      </c>
      <c r="AV2385" t="s">
        <v>132</v>
      </c>
      <c r="AW2385" s="1">
        <v>29409</v>
      </c>
      <c r="AX2385">
        <v>2</v>
      </c>
    </row>
    <row r="2386" spans="1:50">
      <c r="A2386">
        <v>165635</v>
      </c>
      <c r="B2386" t="str">
        <f>"036502593"</f>
        <v>036502593</v>
      </c>
      <c r="C2386" t="s">
        <v>105</v>
      </c>
      <c r="D2386" t="s">
        <v>4919</v>
      </c>
      <c r="E2386" t="s">
        <v>154</v>
      </c>
      <c r="F2386" t="s">
        <v>95</v>
      </c>
      <c r="G2386" t="s">
        <v>1189</v>
      </c>
      <c r="H2386" t="str">
        <f>" "</f>
        <v xml:space="preserve"> </v>
      </c>
      <c r="N2386" t="s">
        <v>146</v>
      </c>
      <c r="O2386" t="s">
        <v>147</v>
      </c>
      <c r="R2386" t="s">
        <v>57</v>
      </c>
      <c r="S2386">
        <v>13</v>
      </c>
      <c r="T2386">
        <v>137</v>
      </c>
      <c r="U2386" s="1">
        <v>34206</v>
      </c>
      <c r="V2386" t="s">
        <v>4509</v>
      </c>
      <c r="W2386" t="s">
        <v>4510</v>
      </c>
      <c r="X2386" t="s">
        <v>58</v>
      </c>
      <c r="Y2386">
        <v>18</v>
      </c>
      <c r="Z2386" t="s">
        <v>59</v>
      </c>
      <c r="AA2386" t="s">
        <v>59</v>
      </c>
      <c r="AB2386" t="s">
        <v>59</v>
      </c>
      <c r="AC2386" t="s">
        <v>59</v>
      </c>
      <c r="AD2386" t="s">
        <v>59</v>
      </c>
      <c r="AF2386" s="1">
        <v>34213</v>
      </c>
      <c r="AG2386" t="s">
        <v>125</v>
      </c>
      <c r="AH2386" t="s">
        <v>126</v>
      </c>
      <c r="AI2386" t="str">
        <f>"3202030"</f>
        <v>3202030</v>
      </c>
      <c r="AJ2386" t="s">
        <v>4558</v>
      </c>
      <c r="AK2386">
        <v>2842028751</v>
      </c>
      <c r="AL2386" t="s">
        <v>4559</v>
      </c>
      <c r="AM2386" t="s">
        <v>4513</v>
      </c>
      <c r="AN2386" t="s">
        <v>4519</v>
      </c>
      <c r="AO2386" t="s">
        <v>4519</v>
      </c>
      <c r="AP2386" t="s">
        <v>4519</v>
      </c>
      <c r="AQ2386">
        <v>4</v>
      </c>
      <c r="AR2386" t="s">
        <v>4509</v>
      </c>
      <c r="AS2386" t="s">
        <v>4510</v>
      </c>
      <c r="AT2386" t="s">
        <v>58</v>
      </c>
      <c r="AU2386" t="s">
        <v>68</v>
      </c>
      <c r="AV2386" t="s">
        <v>69</v>
      </c>
      <c r="AW2386" s="1">
        <v>23477</v>
      </c>
      <c r="AX2386">
        <v>2</v>
      </c>
    </row>
    <row r="2387" spans="1:50">
      <c r="A2387">
        <v>213147</v>
      </c>
      <c r="B2387" t="str">
        <f>"043457012"</f>
        <v>043457012</v>
      </c>
      <c r="C2387" t="s">
        <v>105</v>
      </c>
      <c r="D2387" t="s">
        <v>4920</v>
      </c>
      <c r="E2387" t="s">
        <v>496</v>
      </c>
      <c r="F2387" t="s">
        <v>166</v>
      </c>
      <c r="G2387" t="s">
        <v>73</v>
      </c>
      <c r="H2387" t="str">
        <f>" "</f>
        <v xml:space="preserve"> </v>
      </c>
      <c r="J2387">
        <v>2841026241</v>
      </c>
      <c r="K2387">
        <v>6947048176</v>
      </c>
      <c r="M2387" t="s">
        <v>4921</v>
      </c>
      <c r="N2387" t="s">
        <v>246</v>
      </c>
      <c r="O2387" t="s">
        <v>247</v>
      </c>
      <c r="R2387" t="s">
        <v>57</v>
      </c>
      <c r="S2387">
        <v>5</v>
      </c>
      <c r="T2387">
        <v>231</v>
      </c>
      <c r="U2387" s="1">
        <v>38960</v>
      </c>
      <c r="V2387" t="s">
        <v>4509</v>
      </c>
      <c r="W2387" t="s">
        <v>4510</v>
      </c>
      <c r="X2387" t="s">
        <v>58</v>
      </c>
      <c r="Y2387">
        <v>20</v>
      </c>
      <c r="Z2387" t="s">
        <v>59</v>
      </c>
      <c r="AA2387" t="s">
        <v>59</v>
      </c>
      <c r="AB2387" t="s">
        <v>59</v>
      </c>
      <c r="AC2387" t="s">
        <v>59</v>
      </c>
      <c r="AD2387" t="s">
        <v>59</v>
      </c>
      <c r="AF2387" s="1">
        <v>38961</v>
      </c>
      <c r="AG2387" t="s">
        <v>148</v>
      </c>
      <c r="AH2387" t="s">
        <v>149</v>
      </c>
      <c r="AI2387" t="str">
        <f>"3251010"</f>
        <v>3251010</v>
      </c>
      <c r="AJ2387" t="s">
        <v>4646</v>
      </c>
      <c r="AK2387">
        <v>2841023649</v>
      </c>
      <c r="AL2387" t="s">
        <v>4647</v>
      </c>
      <c r="AM2387" t="s">
        <v>4513</v>
      </c>
      <c r="AN2387" t="s">
        <v>4514</v>
      </c>
      <c r="AO2387" t="s">
        <v>4514</v>
      </c>
      <c r="AP2387" t="s">
        <v>4514</v>
      </c>
      <c r="AQ2387">
        <v>1</v>
      </c>
      <c r="AR2387" t="s">
        <v>4509</v>
      </c>
      <c r="AS2387" t="s">
        <v>4510</v>
      </c>
      <c r="AT2387" t="s">
        <v>58</v>
      </c>
      <c r="AU2387" t="s">
        <v>68</v>
      </c>
      <c r="AV2387" t="s">
        <v>69</v>
      </c>
      <c r="AW2387" s="1">
        <v>24357</v>
      </c>
      <c r="AX2387">
        <v>2</v>
      </c>
    </row>
    <row r="2388" spans="1:50">
      <c r="A2388">
        <v>198537</v>
      </c>
      <c r="B2388" t="str">
        <f>"104246079"</f>
        <v>104246079</v>
      </c>
      <c r="C2388" t="s">
        <v>50</v>
      </c>
      <c r="D2388" t="s">
        <v>4922</v>
      </c>
      <c r="E2388" t="s">
        <v>255</v>
      </c>
      <c r="F2388" t="s">
        <v>2632</v>
      </c>
      <c r="G2388" t="s">
        <v>1588</v>
      </c>
      <c r="H2388" t="str">
        <f>" "</f>
        <v xml:space="preserve"> </v>
      </c>
      <c r="J2388">
        <v>2510250319</v>
      </c>
      <c r="K2388">
        <v>6936168422</v>
      </c>
      <c r="M2388" t="s">
        <v>4923</v>
      </c>
      <c r="N2388" t="s">
        <v>306</v>
      </c>
      <c r="O2388" t="s">
        <v>307</v>
      </c>
      <c r="R2388" t="s">
        <v>57</v>
      </c>
      <c r="S2388">
        <v>9</v>
      </c>
      <c r="T2388">
        <v>206</v>
      </c>
      <c r="U2388" s="1">
        <v>37866</v>
      </c>
      <c r="V2388" t="s">
        <v>4509</v>
      </c>
      <c r="W2388" t="s">
        <v>4510</v>
      </c>
      <c r="X2388" t="s">
        <v>58</v>
      </c>
      <c r="Y2388">
        <v>20</v>
      </c>
      <c r="Z2388" t="s">
        <v>59</v>
      </c>
      <c r="AA2388" t="s">
        <v>59</v>
      </c>
      <c r="AB2388" t="s">
        <v>59</v>
      </c>
      <c r="AC2388" t="s">
        <v>59</v>
      </c>
      <c r="AD2388" t="s">
        <v>59</v>
      </c>
      <c r="AF2388" s="1">
        <v>37867</v>
      </c>
      <c r="AG2388" t="s">
        <v>148</v>
      </c>
      <c r="AH2388" t="s">
        <v>149</v>
      </c>
      <c r="AI2388" t="str">
        <f>"3251010"</f>
        <v>3251010</v>
      </c>
      <c r="AJ2388" t="s">
        <v>4646</v>
      </c>
      <c r="AK2388">
        <v>2841023649</v>
      </c>
      <c r="AL2388" t="s">
        <v>4647</v>
      </c>
      <c r="AM2388" t="s">
        <v>4513</v>
      </c>
      <c r="AN2388" t="s">
        <v>4514</v>
      </c>
      <c r="AO2388" t="s">
        <v>4514</v>
      </c>
      <c r="AP2388" t="s">
        <v>4514</v>
      </c>
      <c r="AQ2388">
        <v>1</v>
      </c>
      <c r="AR2388" t="s">
        <v>4509</v>
      </c>
      <c r="AS2388" t="s">
        <v>4510</v>
      </c>
      <c r="AT2388" t="s">
        <v>58</v>
      </c>
      <c r="AU2388" t="s">
        <v>68</v>
      </c>
      <c r="AV2388" t="s">
        <v>69</v>
      </c>
      <c r="AW2388" s="1">
        <v>27606</v>
      </c>
      <c r="AX2388">
        <v>2</v>
      </c>
    </row>
    <row r="2389" spans="1:50">
      <c r="A2389">
        <v>701540</v>
      </c>
      <c r="B2389" t="str">
        <f>"045973886"</f>
        <v>045973886</v>
      </c>
      <c r="C2389" t="s">
        <v>50</v>
      </c>
      <c r="D2389" t="s">
        <v>4924</v>
      </c>
      <c r="E2389" t="s">
        <v>4925</v>
      </c>
      <c r="F2389" t="s">
        <v>965</v>
      </c>
      <c r="G2389" t="s">
        <v>2811</v>
      </c>
      <c r="H2389" t="str">
        <f>"ΚΟΡΥΤΣΑΣ 6 ΠΕΙΡΑΙΑΣ"</f>
        <v>ΚΟΡΥΤΣΑΣ 6 ΠΕΙΡΑΙΑΣ</v>
      </c>
      <c r="I2389">
        <v>18542</v>
      </c>
      <c r="J2389">
        <v>2104916287</v>
      </c>
      <c r="K2389">
        <v>6932208920</v>
      </c>
      <c r="M2389" t="s">
        <v>4926</v>
      </c>
      <c r="N2389" t="s">
        <v>478</v>
      </c>
      <c r="O2389" t="s">
        <v>479</v>
      </c>
      <c r="R2389" t="s">
        <v>57</v>
      </c>
      <c r="S2389">
        <v>5</v>
      </c>
      <c r="T2389">
        <v>772</v>
      </c>
      <c r="U2389" s="1">
        <v>40413</v>
      </c>
      <c r="V2389" t="s">
        <v>4509</v>
      </c>
      <c r="W2389" t="s">
        <v>4510</v>
      </c>
      <c r="X2389" t="s">
        <v>58</v>
      </c>
      <c r="Y2389">
        <v>21</v>
      </c>
      <c r="Z2389" t="s">
        <v>59</v>
      </c>
      <c r="AA2389" t="s">
        <v>59</v>
      </c>
      <c r="AB2389" t="s">
        <v>59</v>
      </c>
      <c r="AC2389" t="s">
        <v>59</v>
      </c>
      <c r="AD2389" t="s">
        <v>59</v>
      </c>
      <c r="AF2389" s="1">
        <v>40422</v>
      </c>
      <c r="AG2389" t="s">
        <v>148</v>
      </c>
      <c r="AH2389" t="s">
        <v>149</v>
      </c>
      <c r="AI2389" t="str">
        <f>"3251001"</f>
        <v>3251001</v>
      </c>
      <c r="AJ2389" t="s">
        <v>4535</v>
      </c>
      <c r="AK2389">
        <v>2841082544</v>
      </c>
      <c r="AL2389" t="s">
        <v>4536</v>
      </c>
      <c r="AM2389" t="s">
        <v>4513</v>
      </c>
      <c r="AN2389" t="s">
        <v>4514</v>
      </c>
      <c r="AO2389" t="s">
        <v>4514</v>
      </c>
      <c r="AP2389" t="s">
        <v>4514</v>
      </c>
      <c r="AQ2389">
        <v>1</v>
      </c>
      <c r="AR2389" t="s">
        <v>4509</v>
      </c>
      <c r="AS2389" t="s">
        <v>4510</v>
      </c>
      <c r="AT2389" t="s">
        <v>58</v>
      </c>
      <c r="AU2389" t="s">
        <v>68</v>
      </c>
      <c r="AV2389" t="s">
        <v>132</v>
      </c>
      <c r="AW2389" s="1">
        <v>24981</v>
      </c>
      <c r="AX2389">
        <v>2</v>
      </c>
    </row>
    <row r="2390" spans="1:50">
      <c r="A2390">
        <v>167644</v>
      </c>
      <c r="B2390" t="str">
        <f>"034378140"</f>
        <v>034378140</v>
      </c>
      <c r="C2390" t="s">
        <v>50</v>
      </c>
      <c r="D2390" t="s">
        <v>1858</v>
      </c>
      <c r="E2390" t="s">
        <v>52</v>
      </c>
      <c r="F2390" t="s">
        <v>989</v>
      </c>
      <c r="G2390" t="s">
        <v>250</v>
      </c>
      <c r="H2390" t="str">
        <f>" "</f>
        <v xml:space="preserve"> </v>
      </c>
      <c r="M2390" t="s">
        <v>4927</v>
      </c>
      <c r="N2390" t="s">
        <v>146</v>
      </c>
      <c r="O2390" t="s">
        <v>147</v>
      </c>
      <c r="R2390" t="s">
        <v>57</v>
      </c>
      <c r="S2390">
        <v>14</v>
      </c>
      <c r="T2390">
        <v>159</v>
      </c>
      <c r="U2390" s="1">
        <v>34582</v>
      </c>
      <c r="V2390" t="s">
        <v>4509</v>
      </c>
      <c r="W2390" t="s">
        <v>4510</v>
      </c>
      <c r="X2390" t="s">
        <v>58</v>
      </c>
      <c r="Y2390">
        <v>18</v>
      </c>
      <c r="Z2390" t="s">
        <v>59</v>
      </c>
      <c r="AA2390" t="s">
        <v>59</v>
      </c>
      <c r="AB2390" t="s">
        <v>59</v>
      </c>
      <c r="AC2390" t="s">
        <v>59</v>
      </c>
      <c r="AD2390" t="s">
        <v>59</v>
      </c>
      <c r="AF2390" s="1">
        <v>34583</v>
      </c>
      <c r="AG2390" t="s">
        <v>148</v>
      </c>
      <c r="AH2390" t="s">
        <v>149</v>
      </c>
      <c r="AI2390" t="str">
        <f>"3251001"</f>
        <v>3251001</v>
      </c>
      <c r="AJ2390" t="s">
        <v>4535</v>
      </c>
      <c r="AK2390">
        <v>2841082544</v>
      </c>
      <c r="AL2390" t="s">
        <v>4536</v>
      </c>
      <c r="AM2390" t="s">
        <v>4513</v>
      </c>
      <c r="AN2390" t="s">
        <v>4514</v>
      </c>
      <c r="AO2390" t="s">
        <v>4514</v>
      </c>
      <c r="AP2390" t="s">
        <v>4514</v>
      </c>
      <c r="AQ2390">
        <v>1</v>
      </c>
      <c r="AR2390" t="s">
        <v>4509</v>
      </c>
      <c r="AS2390" t="s">
        <v>4510</v>
      </c>
      <c r="AT2390" t="s">
        <v>58</v>
      </c>
      <c r="AU2390" t="s">
        <v>68</v>
      </c>
      <c r="AV2390" t="s">
        <v>69</v>
      </c>
      <c r="AW2390" s="1">
        <v>23636</v>
      </c>
      <c r="AX2390">
        <v>2</v>
      </c>
    </row>
    <row r="2391" spans="1:50">
      <c r="A2391">
        <v>704307</v>
      </c>
      <c r="B2391" t="str">
        <f>"079277164"</f>
        <v>079277164</v>
      </c>
      <c r="C2391" t="s">
        <v>50</v>
      </c>
      <c r="D2391" t="s">
        <v>4928</v>
      </c>
      <c r="E2391" t="s">
        <v>250</v>
      </c>
      <c r="F2391" t="s">
        <v>1493</v>
      </c>
      <c r="G2391" t="s">
        <v>707</v>
      </c>
      <c r="H2391" t="str">
        <f>" "</f>
        <v xml:space="preserve"> </v>
      </c>
      <c r="K2391">
        <v>6974311224</v>
      </c>
      <c r="N2391" t="s">
        <v>189</v>
      </c>
      <c r="O2391" t="s">
        <v>190</v>
      </c>
      <c r="R2391" t="s">
        <v>121</v>
      </c>
      <c r="S2391">
        <v>1</v>
      </c>
      <c r="T2391">
        <v>797</v>
      </c>
      <c r="U2391" s="1">
        <v>42968</v>
      </c>
      <c r="V2391" t="s">
        <v>4509</v>
      </c>
      <c r="W2391" t="s">
        <v>4510</v>
      </c>
      <c r="X2391" t="s">
        <v>58</v>
      </c>
      <c r="Y2391">
        <v>23</v>
      </c>
      <c r="Z2391" t="s">
        <v>59</v>
      </c>
      <c r="AA2391" t="s">
        <v>59</v>
      </c>
      <c r="AB2391" t="s">
        <v>452</v>
      </c>
      <c r="AD2391" t="s">
        <v>59</v>
      </c>
      <c r="AF2391" s="1">
        <v>42968</v>
      </c>
      <c r="AG2391" t="s">
        <v>125</v>
      </c>
      <c r="AH2391" t="s">
        <v>126</v>
      </c>
      <c r="AI2391" t="str">
        <f>"3202020"</f>
        <v>3202020</v>
      </c>
      <c r="AJ2391" t="s">
        <v>4576</v>
      </c>
      <c r="AK2391">
        <v>2842022289</v>
      </c>
      <c r="AL2391" t="s">
        <v>4577</v>
      </c>
      <c r="AM2391" t="s">
        <v>4513</v>
      </c>
      <c r="AN2391" t="s">
        <v>4519</v>
      </c>
      <c r="AO2391" t="s">
        <v>4519</v>
      </c>
      <c r="AP2391" t="s">
        <v>4519</v>
      </c>
      <c r="AQ2391">
        <v>4</v>
      </c>
      <c r="AR2391" t="s">
        <v>4509</v>
      </c>
      <c r="AS2391" t="s">
        <v>4510</v>
      </c>
      <c r="AT2391" t="s">
        <v>58</v>
      </c>
      <c r="AU2391" t="s">
        <v>68</v>
      </c>
      <c r="AV2391" t="s">
        <v>69</v>
      </c>
      <c r="AX2391">
        <v>2</v>
      </c>
    </row>
    <row r="2392" spans="1:50">
      <c r="A2392">
        <v>184809</v>
      </c>
      <c r="B2392" t="str">
        <f>"036916532"</f>
        <v>036916532</v>
      </c>
      <c r="C2392" t="s">
        <v>105</v>
      </c>
      <c r="D2392" t="s">
        <v>4929</v>
      </c>
      <c r="E2392" t="s">
        <v>957</v>
      </c>
      <c r="F2392" t="s">
        <v>72</v>
      </c>
      <c r="G2392" t="s">
        <v>4616</v>
      </c>
      <c r="H2392" t="str">
        <f>" "</f>
        <v xml:space="preserve"> </v>
      </c>
      <c r="N2392" t="s">
        <v>176</v>
      </c>
      <c r="O2392" t="s">
        <v>177</v>
      </c>
      <c r="R2392" t="s">
        <v>57</v>
      </c>
      <c r="S2392">
        <v>12</v>
      </c>
      <c r="T2392">
        <v>177</v>
      </c>
      <c r="U2392" s="1">
        <v>36403</v>
      </c>
      <c r="V2392" t="s">
        <v>4509</v>
      </c>
      <c r="W2392" t="s">
        <v>4510</v>
      </c>
      <c r="X2392" t="s">
        <v>58</v>
      </c>
      <c r="Y2392">
        <v>18</v>
      </c>
      <c r="Z2392" t="s">
        <v>59</v>
      </c>
      <c r="AA2392" t="s">
        <v>59</v>
      </c>
      <c r="AB2392" t="s">
        <v>59</v>
      </c>
      <c r="AC2392" t="s">
        <v>59</v>
      </c>
      <c r="AD2392" t="s">
        <v>59</v>
      </c>
      <c r="AF2392" s="1">
        <v>36404</v>
      </c>
      <c r="AG2392" t="s">
        <v>125</v>
      </c>
      <c r="AH2392" t="s">
        <v>126</v>
      </c>
      <c r="AI2392" t="str">
        <f>"3202020"</f>
        <v>3202020</v>
      </c>
      <c r="AJ2392" t="s">
        <v>4576</v>
      </c>
      <c r="AK2392">
        <v>2842022289</v>
      </c>
      <c r="AL2392" t="s">
        <v>4577</v>
      </c>
      <c r="AM2392" t="s">
        <v>4513</v>
      </c>
      <c r="AN2392" t="s">
        <v>4519</v>
      </c>
      <c r="AO2392" t="s">
        <v>4519</v>
      </c>
      <c r="AP2392" t="s">
        <v>4519</v>
      </c>
      <c r="AQ2392">
        <v>4</v>
      </c>
      <c r="AR2392" t="s">
        <v>4509</v>
      </c>
      <c r="AS2392" t="s">
        <v>4510</v>
      </c>
      <c r="AT2392" t="s">
        <v>58</v>
      </c>
      <c r="AU2392" t="s">
        <v>68</v>
      </c>
      <c r="AV2392" t="s">
        <v>69</v>
      </c>
      <c r="AW2392" s="1">
        <v>24254</v>
      </c>
      <c r="AX2392">
        <v>2</v>
      </c>
    </row>
    <row r="2393" spans="1:50">
      <c r="A2393">
        <v>221365</v>
      </c>
      <c r="B2393" t="str">
        <f>"063167651"</f>
        <v>063167651</v>
      </c>
      <c r="C2393" t="s">
        <v>105</v>
      </c>
      <c r="D2393" t="s">
        <v>4930</v>
      </c>
      <c r="E2393" t="s">
        <v>99</v>
      </c>
      <c r="F2393" t="s">
        <v>53</v>
      </c>
      <c r="G2393" t="s">
        <v>52</v>
      </c>
      <c r="H2393" t="str">
        <f>"Λοχαγού Δεδούση 13 Περιστέρι"</f>
        <v>Λοχαγού Δεδούση 13 Περιστέρι</v>
      </c>
      <c r="I2393">
        <v>12135</v>
      </c>
      <c r="J2393">
        <v>2105737578</v>
      </c>
      <c r="K2393">
        <v>6978035764</v>
      </c>
      <c r="M2393" t="s">
        <v>4931</v>
      </c>
      <c r="N2393" t="s">
        <v>331</v>
      </c>
      <c r="O2393" t="s">
        <v>332</v>
      </c>
      <c r="R2393" t="s">
        <v>57</v>
      </c>
      <c r="S2393">
        <v>5</v>
      </c>
      <c r="T2393">
        <v>691</v>
      </c>
      <c r="U2393" s="1">
        <v>39331</v>
      </c>
      <c r="V2393" t="s">
        <v>4509</v>
      </c>
      <c r="W2393" t="s">
        <v>4510</v>
      </c>
      <c r="X2393" t="s">
        <v>58</v>
      </c>
      <c r="Y2393">
        <v>21</v>
      </c>
      <c r="Z2393" t="s">
        <v>59</v>
      </c>
      <c r="AA2393" t="s">
        <v>59</v>
      </c>
      <c r="AB2393" t="s">
        <v>59</v>
      </c>
      <c r="AC2393" t="s">
        <v>59</v>
      </c>
      <c r="AD2393" t="s">
        <v>59</v>
      </c>
      <c r="AF2393" s="1">
        <v>39335</v>
      </c>
      <c r="AG2393" t="s">
        <v>137</v>
      </c>
      <c r="AH2393" t="s">
        <v>138</v>
      </c>
      <c r="AI2393" t="str">
        <f>"3240077"</f>
        <v>3240077</v>
      </c>
      <c r="AJ2393" t="s">
        <v>4528</v>
      </c>
      <c r="AK2393">
        <v>2841025978</v>
      </c>
      <c r="AL2393" t="s">
        <v>4529</v>
      </c>
      <c r="AM2393" t="s">
        <v>4513</v>
      </c>
      <c r="AN2393" t="s">
        <v>4514</v>
      </c>
      <c r="AO2393" t="s">
        <v>4514</v>
      </c>
      <c r="AP2393" t="s">
        <v>4514</v>
      </c>
      <c r="AQ2393">
        <v>1</v>
      </c>
      <c r="AR2393" t="s">
        <v>4509</v>
      </c>
      <c r="AS2393" t="s">
        <v>4510</v>
      </c>
      <c r="AT2393" t="s">
        <v>58</v>
      </c>
      <c r="AU2393" t="s">
        <v>68</v>
      </c>
      <c r="AV2393" t="s">
        <v>69</v>
      </c>
      <c r="AW2393" s="1">
        <v>27822</v>
      </c>
      <c r="AX2393">
        <v>2</v>
      </c>
    </row>
    <row r="2394" spans="1:50">
      <c r="A2394">
        <v>196339</v>
      </c>
      <c r="B2394" t="str">
        <f>"038804787"</f>
        <v>038804787</v>
      </c>
      <c r="C2394" t="s">
        <v>105</v>
      </c>
      <c r="D2394" t="s">
        <v>4932</v>
      </c>
      <c r="E2394" t="s">
        <v>309</v>
      </c>
      <c r="F2394" t="s">
        <v>4730</v>
      </c>
      <c r="G2394" t="s">
        <v>787</v>
      </c>
      <c r="H2394" t="str">
        <f>"ΙΩΑΝΝΙΔΟΥ 4 ΙΕΡΑΠΕΤΡΑ"</f>
        <v>ΙΩΑΝΝΙΔΟΥ 4 ΙΕΡΑΠΕΤΡΑ</v>
      </c>
      <c r="I2394">
        <v>72200</v>
      </c>
      <c r="J2394">
        <v>2842027753</v>
      </c>
      <c r="K2394">
        <v>6977232766</v>
      </c>
      <c r="M2394" t="s">
        <v>4933</v>
      </c>
      <c r="N2394" t="s">
        <v>176</v>
      </c>
      <c r="O2394" t="s">
        <v>177</v>
      </c>
      <c r="R2394" t="s">
        <v>57</v>
      </c>
      <c r="S2394">
        <v>17</v>
      </c>
      <c r="T2394">
        <v>184</v>
      </c>
      <c r="U2394" s="1">
        <v>34941</v>
      </c>
      <c r="V2394" t="s">
        <v>4509</v>
      </c>
      <c r="W2394" t="s">
        <v>4510</v>
      </c>
      <c r="X2394" t="s">
        <v>58</v>
      </c>
      <c r="Y2394">
        <v>21</v>
      </c>
      <c r="Z2394" t="s">
        <v>59</v>
      </c>
      <c r="AA2394" t="s">
        <v>59</v>
      </c>
      <c r="AB2394" t="s">
        <v>59</v>
      </c>
      <c r="AC2394" t="s">
        <v>59</v>
      </c>
      <c r="AD2394" t="s">
        <v>59</v>
      </c>
      <c r="AF2394" s="1">
        <v>39692</v>
      </c>
      <c r="AG2394" t="s">
        <v>148</v>
      </c>
      <c r="AH2394" t="s">
        <v>149</v>
      </c>
      <c r="AI2394" t="str">
        <f>"3252010"</f>
        <v>3252010</v>
      </c>
      <c r="AJ2394" t="s">
        <v>4532</v>
      </c>
      <c r="AK2394">
        <v>2842022356</v>
      </c>
      <c r="AL2394" t="s">
        <v>4533</v>
      </c>
      <c r="AM2394" t="s">
        <v>4513</v>
      </c>
      <c r="AN2394" t="s">
        <v>4519</v>
      </c>
      <c r="AO2394" t="s">
        <v>4519</v>
      </c>
      <c r="AP2394" t="s">
        <v>4519</v>
      </c>
      <c r="AQ2394">
        <v>4</v>
      </c>
      <c r="AR2394" t="s">
        <v>4509</v>
      </c>
      <c r="AS2394" t="s">
        <v>4510</v>
      </c>
      <c r="AT2394" t="s">
        <v>58</v>
      </c>
      <c r="AU2394" t="s">
        <v>68</v>
      </c>
      <c r="AV2394" t="s">
        <v>69</v>
      </c>
      <c r="AW2394" s="1">
        <v>23697</v>
      </c>
      <c r="AX2394">
        <v>2</v>
      </c>
    </row>
    <row r="2395" spans="1:50">
      <c r="B2395" t="str">
        <f>"137228841"</f>
        <v>137228841</v>
      </c>
      <c r="C2395" t="s">
        <v>50</v>
      </c>
      <c r="D2395" t="s">
        <v>1903</v>
      </c>
      <c r="E2395" t="s">
        <v>892</v>
      </c>
      <c r="F2395" t="s">
        <v>106</v>
      </c>
      <c r="G2395" t="s">
        <v>263</v>
      </c>
      <c r="H2395" t="str">
        <f>" "</f>
        <v xml:space="preserve"> </v>
      </c>
      <c r="N2395" t="s">
        <v>119</v>
      </c>
      <c r="O2395" t="s">
        <v>120</v>
      </c>
      <c r="R2395" t="s">
        <v>121</v>
      </c>
      <c r="S2395">
        <v>3</v>
      </c>
      <c r="T2395" t="s">
        <v>344</v>
      </c>
      <c r="U2395" s="1">
        <v>43348</v>
      </c>
      <c r="V2395" t="s">
        <v>4509</v>
      </c>
      <c r="W2395" t="s">
        <v>4510</v>
      </c>
      <c r="X2395" t="s">
        <v>58</v>
      </c>
      <c r="Y2395">
        <v>23</v>
      </c>
      <c r="Z2395" t="s">
        <v>59</v>
      </c>
      <c r="AA2395" t="s">
        <v>59</v>
      </c>
      <c r="AB2395" t="s">
        <v>59</v>
      </c>
      <c r="AD2395" t="s">
        <v>59</v>
      </c>
      <c r="AF2395" s="1">
        <v>43348</v>
      </c>
      <c r="AG2395" t="s">
        <v>125</v>
      </c>
      <c r="AH2395" t="s">
        <v>126</v>
      </c>
      <c r="AI2395" t="str">
        <f>"3203010"</f>
        <v>3203010</v>
      </c>
      <c r="AJ2395" t="s">
        <v>4522</v>
      </c>
      <c r="AK2395">
        <v>2841034140</v>
      </c>
      <c r="AL2395" t="s">
        <v>4523</v>
      </c>
      <c r="AM2395" t="s">
        <v>4513</v>
      </c>
      <c r="AN2395" t="s">
        <v>4514</v>
      </c>
      <c r="AO2395" t="s">
        <v>4524</v>
      </c>
      <c r="AP2395" t="s">
        <v>4525</v>
      </c>
      <c r="AQ2395">
        <v>3</v>
      </c>
      <c r="AR2395" t="s">
        <v>4509</v>
      </c>
      <c r="AS2395" t="s">
        <v>4510</v>
      </c>
      <c r="AT2395" t="s">
        <v>58</v>
      </c>
      <c r="AU2395" t="s">
        <v>350</v>
      </c>
      <c r="AV2395" t="s">
        <v>132</v>
      </c>
      <c r="AW2395" s="1">
        <v>31335</v>
      </c>
      <c r="AX2395">
        <v>2</v>
      </c>
    </row>
    <row r="2396" spans="1:50">
      <c r="B2396" t="str">
        <f>"046911950"</f>
        <v>046911950</v>
      </c>
      <c r="C2396" t="s">
        <v>50</v>
      </c>
      <c r="D2396" t="s">
        <v>4934</v>
      </c>
      <c r="E2396" t="s">
        <v>237</v>
      </c>
      <c r="F2396" t="s">
        <v>95</v>
      </c>
      <c r="G2396" t="s">
        <v>250</v>
      </c>
      <c r="H2396" t="str">
        <f>"Κ. ΠΑΛΑΙΟΛΟΓΟΥ 162 ΧΑΝΙΑ"</f>
        <v>Κ. ΠΑΛΑΙΟΛΟΓΟΥ 162 ΧΑΝΙΑ</v>
      </c>
      <c r="I2396">
        <v>73135</v>
      </c>
      <c r="J2396">
        <v>2821088905</v>
      </c>
      <c r="K2396">
        <v>6985973749</v>
      </c>
      <c r="N2396" t="s">
        <v>146</v>
      </c>
      <c r="O2396" t="s">
        <v>147</v>
      </c>
      <c r="R2396" t="s">
        <v>159</v>
      </c>
      <c r="S2396">
        <v>2</v>
      </c>
      <c r="T2396" t="s">
        <v>160</v>
      </c>
      <c r="U2396" s="1">
        <v>43364</v>
      </c>
      <c r="V2396" t="s">
        <v>4509</v>
      </c>
      <c r="W2396" t="s">
        <v>4510</v>
      </c>
      <c r="X2396" t="s">
        <v>58</v>
      </c>
      <c r="Y2396">
        <v>23</v>
      </c>
      <c r="Z2396" t="s">
        <v>59</v>
      </c>
      <c r="AA2396" t="s">
        <v>59</v>
      </c>
      <c r="AB2396" t="s">
        <v>59</v>
      </c>
      <c r="AC2396" t="s">
        <v>59</v>
      </c>
      <c r="AD2396" t="s">
        <v>59</v>
      </c>
      <c r="AF2396" s="1">
        <v>43367</v>
      </c>
      <c r="AG2396" t="s">
        <v>125</v>
      </c>
      <c r="AH2396" t="s">
        <v>126</v>
      </c>
      <c r="AI2396" t="str">
        <f>"3201025"</f>
        <v>3201025</v>
      </c>
      <c r="AJ2396" t="s">
        <v>4682</v>
      </c>
      <c r="AK2396">
        <v>2841021388</v>
      </c>
      <c r="AL2396" t="s">
        <v>4683</v>
      </c>
      <c r="AM2396" t="s">
        <v>4513</v>
      </c>
      <c r="AN2396" t="s">
        <v>4514</v>
      </c>
      <c r="AO2396" t="s">
        <v>4514</v>
      </c>
      <c r="AP2396" t="s">
        <v>4514</v>
      </c>
      <c r="AQ2396">
        <v>1</v>
      </c>
      <c r="AR2396" t="s">
        <v>4509</v>
      </c>
      <c r="AS2396" t="s">
        <v>4510</v>
      </c>
      <c r="AT2396" t="s">
        <v>58</v>
      </c>
      <c r="AU2396" t="s">
        <v>164</v>
      </c>
      <c r="AV2396" t="s">
        <v>132</v>
      </c>
      <c r="AW2396" s="1">
        <v>25908</v>
      </c>
      <c r="AX2396">
        <v>2</v>
      </c>
    </row>
    <row r="2397" spans="1:50">
      <c r="A2397">
        <v>203301</v>
      </c>
      <c r="B2397" t="str">
        <f>"110250534"</f>
        <v>110250534</v>
      </c>
      <c r="C2397" t="s">
        <v>50</v>
      </c>
      <c r="D2397" t="s">
        <v>4935</v>
      </c>
      <c r="E2397" t="s">
        <v>237</v>
      </c>
      <c r="F2397" t="s">
        <v>84</v>
      </c>
      <c r="G2397" t="s">
        <v>52</v>
      </c>
      <c r="H2397" t="str">
        <f>" "</f>
        <v xml:space="preserve"> </v>
      </c>
      <c r="J2397">
        <v>2842028922</v>
      </c>
      <c r="K2397">
        <v>6973803946</v>
      </c>
      <c r="N2397" t="s">
        <v>306</v>
      </c>
      <c r="O2397" t="s">
        <v>307</v>
      </c>
      <c r="R2397" t="s">
        <v>57</v>
      </c>
      <c r="S2397">
        <v>7</v>
      </c>
      <c r="T2397">
        <v>231</v>
      </c>
      <c r="U2397" s="1">
        <v>38230</v>
      </c>
      <c r="V2397" t="s">
        <v>4509</v>
      </c>
      <c r="W2397" t="s">
        <v>4510</v>
      </c>
      <c r="X2397" t="s">
        <v>58</v>
      </c>
      <c r="Y2397">
        <v>20</v>
      </c>
      <c r="Z2397" t="s">
        <v>59</v>
      </c>
      <c r="AA2397" t="s">
        <v>59</v>
      </c>
      <c r="AB2397" t="s">
        <v>59</v>
      </c>
      <c r="AC2397" t="s">
        <v>59</v>
      </c>
      <c r="AD2397" t="s">
        <v>59</v>
      </c>
      <c r="AF2397" s="1">
        <v>38231</v>
      </c>
      <c r="AG2397" t="s">
        <v>125</v>
      </c>
      <c r="AH2397" t="s">
        <v>126</v>
      </c>
      <c r="AI2397" t="str">
        <f>"3202020"</f>
        <v>3202020</v>
      </c>
      <c r="AJ2397" t="s">
        <v>4576</v>
      </c>
      <c r="AK2397">
        <v>2842022289</v>
      </c>
      <c r="AL2397" t="s">
        <v>4577</v>
      </c>
      <c r="AM2397" t="s">
        <v>4513</v>
      </c>
      <c r="AN2397" t="s">
        <v>4519</v>
      </c>
      <c r="AO2397" t="s">
        <v>4519</v>
      </c>
      <c r="AP2397" t="s">
        <v>4519</v>
      </c>
      <c r="AQ2397">
        <v>4</v>
      </c>
      <c r="AR2397" t="s">
        <v>4509</v>
      </c>
      <c r="AS2397" t="s">
        <v>4510</v>
      </c>
      <c r="AT2397" t="s">
        <v>58</v>
      </c>
      <c r="AU2397" t="s">
        <v>68</v>
      </c>
      <c r="AV2397" t="s">
        <v>69</v>
      </c>
      <c r="AW2397" s="1">
        <v>27701</v>
      </c>
      <c r="AX2397">
        <v>2</v>
      </c>
    </row>
    <row r="2398" spans="1:50">
      <c r="B2398" t="str">
        <f>"124993783"</f>
        <v>124993783</v>
      </c>
      <c r="C2398" t="s">
        <v>50</v>
      </c>
      <c r="D2398" t="s">
        <v>4936</v>
      </c>
      <c r="E2398" t="s">
        <v>460</v>
      </c>
      <c r="F2398" t="s">
        <v>53</v>
      </c>
      <c r="G2398" t="s">
        <v>484</v>
      </c>
      <c r="H2398" t="str">
        <f>" Ν ΖΙΧΝΗ ΣΕΡΡΡΩΝ "</f>
        <v xml:space="preserve"> Ν ΖΙΧΝΗ ΣΕΡΡΡΩΝ </v>
      </c>
      <c r="I2398">
        <v>62042</v>
      </c>
      <c r="J2398">
        <v>2324022637</v>
      </c>
      <c r="K2398">
        <v>6946744763</v>
      </c>
      <c r="M2398" t="s">
        <v>4937</v>
      </c>
      <c r="N2398" t="s">
        <v>1351</v>
      </c>
      <c r="O2398" t="s">
        <v>1352</v>
      </c>
      <c r="R2398" t="s">
        <v>159</v>
      </c>
      <c r="S2398">
        <v>2</v>
      </c>
      <c r="T2398" t="s">
        <v>416</v>
      </c>
      <c r="U2398" s="1">
        <v>43349</v>
      </c>
      <c r="V2398" t="s">
        <v>4509</v>
      </c>
      <c r="W2398" t="s">
        <v>4510</v>
      </c>
      <c r="X2398" t="s">
        <v>58</v>
      </c>
      <c r="Y2398">
        <v>23</v>
      </c>
      <c r="Z2398" t="s">
        <v>59</v>
      </c>
      <c r="AA2398" t="s">
        <v>59</v>
      </c>
      <c r="AB2398" t="s">
        <v>59</v>
      </c>
      <c r="AC2398" t="s">
        <v>59</v>
      </c>
      <c r="AD2398" t="s">
        <v>59</v>
      </c>
      <c r="AF2398" s="1">
        <v>43349</v>
      </c>
      <c r="AG2398" t="s">
        <v>137</v>
      </c>
      <c r="AH2398" t="s">
        <v>138</v>
      </c>
      <c r="AI2398" t="str">
        <f>"3240120"</f>
        <v>3240120</v>
      </c>
      <c r="AJ2398" t="s">
        <v>4552</v>
      </c>
      <c r="AK2398">
        <v>2842028667</v>
      </c>
      <c r="AL2398" t="s">
        <v>4553</v>
      </c>
      <c r="AM2398" t="s">
        <v>4513</v>
      </c>
      <c r="AN2398" t="s">
        <v>4519</v>
      </c>
      <c r="AO2398" t="s">
        <v>4519</v>
      </c>
      <c r="AP2398" t="s">
        <v>4519</v>
      </c>
      <c r="AQ2398">
        <v>4</v>
      </c>
      <c r="AR2398" t="s">
        <v>4509</v>
      </c>
      <c r="AS2398" t="s">
        <v>4510</v>
      </c>
      <c r="AT2398" t="s">
        <v>58</v>
      </c>
      <c r="AU2398" t="s">
        <v>419</v>
      </c>
      <c r="AV2398" t="s">
        <v>132</v>
      </c>
      <c r="AW2398" s="1">
        <v>30287</v>
      </c>
      <c r="AX2398">
        <v>2</v>
      </c>
    </row>
    <row r="2399" spans="1:50">
      <c r="A2399">
        <v>154937</v>
      </c>
      <c r="B2399" t="str">
        <f>"020544147"</f>
        <v>020544147</v>
      </c>
      <c r="C2399" t="s">
        <v>50</v>
      </c>
      <c r="D2399" t="s">
        <v>4938</v>
      </c>
      <c r="E2399" t="s">
        <v>188</v>
      </c>
      <c r="F2399" t="s">
        <v>154</v>
      </c>
      <c r="G2399" t="s">
        <v>237</v>
      </c>
      <c r="H2399" t="str">
        <f>" "</f>
        <v xml:space="preserve"> </v>
      </c>
      <c r="J2399">
        <v>2841083053</v>
      </c>
      <c r="N2399" t="s">
        <v>257</v>
      </c>
      <c r="O2399" t="s">
        <v>258</v>
      </c>
      <c r="R2399" t="s">
        <v>57</v>
      </c>
      <c r="S2399">
        <v>14</v>
      </c>
      <c r="T2399">
        <v>161</v>
      </c>
      <c r="U2399" s="1">
        <v>32387</v>
      </c>
      <c r="V2399" t="s">
        <v>4509</v>
      </c>
      <c r="W2399" t="s">
        <v>4510</v>
      </c>
      <c r="X2399" t="s">
        <v>58</v>
      </c>
      <c r="Y2399">
        <v>18</v>
      </c>
      <c r="Z2399" t="s">
        <v>59</v>
      </c>
      <c r="AA2399" t="s">
        <v>59</v>
      </c>
      <c r="AB2399" t="s">
        <v>59</v>
      </c>
      <c r="AC2399" t="s">
        <v>59</v>
      </c>
      <c r="AD2399" t="s">
        <v>59</v>
      </c>
      <c r="AF2399" s="1">
        <v>32392</v>
      </c>
      <c r="AG2399" t="s">
        <v>125</v>
      </c>
      <c r="AH2399" t="s">
        <v>126</v>
      </c>
      <c r="AI2399" t="str">
        <f>"3201010"</f>
        <v>3201010</v>
      </c>
      <c r="AJ2399" t="s">
        <v>4596</v>
      </c>
      <c r="AK2399">
        <v>2841022301</v>
      </c>
      <c r="AL2399" t="s">
        <v>4597</v>
      </c>
      <c r="AM2399" t="s">
        <v>4513</v>
      </c>
      <c r="AN2399" t="s">
        <v>4514</v>
      </c>
      <c r="AO2399" t="s">
        <v>4514</v>
      </c>
      <c r="AP2399" t="s">
        <v>4514</v>
      </c>
      <c r="AQ2399">
        <v>1</v>
      </c>
      <c r="AR2399" t="s">
        <v>4509</v>
      </c>
      <c r="AS2399" t="s">
        <v>4510</v>
      </c>
      <c r="AT2399" t="s">
        <v>58</v>
      </c>
      <c r="AU2399" t="s">
        <v>68</v>
      </c>
      <c r="AV2399" t="s">
        <v>69</v>
      </c>
      <c r="AW2399" s="1">
        <v>21449</v>
      </c>
      <c r="AX2399">
        <v>2</v>
      </c>
    </row>
    <row r="2400" spans="1:50">
      <c r="A2400">
        <v>703943</v>
      </c>
      <c r="B2400" t="str">
        <f>"077744408"</f>
        <v>077744408</v>
      </c>
      <c r="C2400" t="s">
        <v>50</v>
      </c>
      <c r="D2400" t="s">
        <v>4939</v>
      </c>
      <c r="E2400" t="s">
        <v>1694</v>
      </c>
      <c r="F2400" t="s">
        <v>640</v>
      </c>
      <c r="G2400" t="s">
        <v>83</v>
      </c>
      <c r="H2400" t="str">
        <f>"ΘΥΑΤΕΙΡΩΝ 60 ΞΑΝΘΗ"</f>
        <v>ΘΥΑΤΕΙΡΩΝ 60 ΞΑΝΘΗ</v>
      </c>
      <c r="I2400">
        <v>67100</v>
      </c>
      <c r="J2400">
        <v>2541025983</v>
      </c>
      <c r="K2400">
        <v>6976627494</v>
      </c>
      <c r="M2400" t="s">
        <v>4940</v>
      </c>
      <c r="N2400" t="s">
        <v>306</v>
      </c>
      <c r="O2400" t="s">
        <v>307</v>
      </c>
      <c r="R2400" t="s">
        <v>57</v>
      </c>
      <c r="S2400">
        <v>7</v>
      </c>
      <c r="T2400" t="s">
        <v>3204</v>
      </c>
      <c r="U2400" s="1">
        <v>40413</v>
      </c>
      <c r="V2400" t="s">
        <v>4509</v>
      </c>
      <c r="W2400" t="s">
        <v>4510</v>
      </c>
      <c r="X2400" t="s">
        <v>58</v>
      </c>
      <c r="Y2400">
        <v>21</v>
      </c>
      <c r="Z2400" t="s">
        <v>59</v>
      </c>
      <c r="AA2400" t="s">
        <v>59</v>
      </c>
      <c r="AB2400" t="s">
        <v>59</v>
      </c>
      <c r="AC2400" t="s">
        <v>59</v>
      </c>
      <c r="AD2400" t="s">
        <v>59</v>
      </c>
      <c r="AF2400" s="1">
        <v>42716</v>
      </c>
      <c r="AG2400" t="s">
        <v>125</v>
      </c>
      <c r="AH2400" t="s">
        <v>126</v>
      </c>
      <c r="AI2400" t="str">
        <f>"3210015"</f>
        <v>3210015</v>
      </c>
      <c r="AJ2400" t="s">
        <v>4875</v>
      </c>
      <c r="AK2400">
        <v>2843051800</v>
      </c>
      <c r="AL2400" t="s">
        <v>4876</v>
      </c>
      <c r="AM2400" t="s">
        <v>4513</v>
      </c>
      <c r="AN2400" t="s">
        <v>4519</v>
      </c>
      <c r="AO2400" t="s">
        <v>4766</v>
      </c>
      <c r="AP2400" t="s">
        <v>4767</v>
      </c>
      <c r="AQ2400">
        <v>5</v>
      </c>
      <c r="AR2400" t="s">
        <v>4509</v>
      </c>
      <c r="AS2400" t="s">
        <v>4510</v>
      </c>
      <c r="AT2400" t="s">
        <v>58</v>
      </c>
      <c r="AU2400" t="s">
        <v>68</v>
      </c>
      <c r="AV2400" t="s">
        <v>69</v>
      </c>
      <c r="AW2400" s="1">
        <v>28797</v>
      </c>
      <c r="AX2400">
        <v>2</v>
      </c>
    </row>
    <row r="2401" spans="1:50">
      <c r="A2401">
        <v>166133</v>
      </c>
      <c r="B2401" t="str">
        <f>"028790838"</f>
        <v>028790838</v>
      </c>
      <c r="C2401" t="s">
        <v>105</v>
      </c>
      <c r="D2401" t="s">
        <v>4941</v>
      </c>
      <c r="E2401" t="s">
        <v>53</v>
      </c>
      <c r="F2401" t="s">
        <v>760</v>
      </c>
      <c r="G2401" t="s">
        <v>4942</v>
      </c>
      <c r="H2401" t="str">
        <f>"Πισκοκεφαλο Σητεια"</f>
        <v>Πισκοκεφαλο Σητεια</v>
      </c>
      <c r="I2401">
        <v>72300</v>
      </c>
      <c r="J2401">
        <v>2843022867</v>
      </c>
      <c r="K2401">
        <v>6976766397</v>
      </c>
      <c r="M2401" t="s">
        <v>4943</v>
      </c>
      <c r="N2401" t="s">
        <v>232</v>
      </c>
      <c r="O2401" t="s">
        <v>233</v>
      </c>
      <c r="R2401" t="s">
        <v>57</v>
      </c>
      <c r="S2401">
        <v>13</v>
      </c>
      <c r="T2401">
        <v>137</v>
      </c>
      <c r="U2401" s="1">
        <v>34206</v>
      </c>
      <c r="V2401" t="s">
        <v>4509</v>
      </c>
      <c r="W2401" t="s">
        <v>4510</v>
      </c>
      <c r="X2401" t="s">
        <v>58</v>
      </c>
      <c r="Y2401">
        <v>18</v>
      </c>
      <c r="Z2401" t="s">
        <v>59</v>
      </c>
      <c r="AA2401" t="s">
        <v>59</v>
      </c>
      <c r="AB2401" t="s">
        <v>59</v>
      </c>
      <c r="AC2401" t="s">
        <v>59</v>
      </c>
      <c r="AD2401" t="s">
        <v>59</v>
      </c>
      <c r="AF2401" s="1">
        <v>34213</v>
      </c>
      <c r="AG2401" t="s">
        <v>125</v>
      </c>
      <c r="AH2401" t="s">
        <v>126</v>
      </c>
      <c r="AI2401" t="str">
        <f>"3204010"</f>
        <v>3204010</v>
      </c>
      <c r="AJ2401" t="s">
        <v>4542</v>
      </c>
      <c r="AK2401">
        <v>2843022503</v>
      </c>
      <c r="AL2401" t="s">
        <v>4543</v>
      </c>
      <c r="AM2401" t="s">
        <v>4513</v>
      </c>
      <c r="AN2401" t="s">
        <v>4540</v>
      </c>
      <c r="AO2401" t="s">
        <v>4540</v>
      </c>
      <c r="AP2401" t="s">
        <v>4540</v>
      </c>
      <c r="AQ2401">
        <v>6</v>
      </c>
      <c r="AR2401" t="s">
        <v>4509</v>
      </c>
      <c r="AS2401" t="s">
        <v>4510</v>
      </c>
      <c r="AT2401" t="s">
        <v>58</v>
      </c>
      <c r="AU2401" t="s">
        <v>68</v>
      </c>
      <c r="AV2401" t="s">
        <v>69</v>
      </c>
      <c r="AW2401" s="1">
        <v>22200</v>
      </c>
      <c r="AX2401">
        <v>2</v>
      </c>
    </row>
    <row r="2402" spans="1:50">
      <c r="A2402">
        <v>223385</v>
      </c>
      <c r="B2402" t="str">
        <f>"044636478"</f>
        <v>044636478</v>
      </c>
      <c r="C2402" t="s">
        <v>105</v>
      </c>
      <c r="D2402" t="s">
        <v>4944</v>
      </c>
      <c r="E2402" t="s">
        <v>166</v>
      </c>
      <c r="F2402" t="s">
        <v>106</v>
      </c>
      <c r="G2402" t="s">
        <v>250</v>
      </c>
      <c r="H2402" t="str">
        <f>" "</f>
        <v xml:space="preserve"> </v>
      </c>
      <c r="J2402">
        <v>2841028237</v>
      </c>
      <c r="K2402">
        <v>6945111351</v>
      </c>
      <c r="M2402" t="s">
        <v>4945</v>
      </c>
      <c r="N2402" t="s">
        <v>232</v>
      </c>
      <c r="O2402" t="s">
        <v>233</v>
      </c>
      <c r="R2402" t="s">
        <v>57</v>
      </c>
      <c r="S2402">
        <v>5</v>
      </c>
      <c r="T2402">
        <v>775</v>
      </c>
      <c r="U2402" s="1">
        <v>39680</v>
      </c>
      <c r="V2402" t="s">
        <v>4509</v>
      </c>
      <c r="W2402" t="s">
        <v>4510</v>
      </c>
      <c r="X2402" t="s">
        <v>58</v>
      </c>
      <c r="Y2402">
        <v>21</v>
      </c>
      <c r="Z2402" t="s">
        <v>59</v>
      </c>
      <c r="AA2402" t="s">
        <v>59</v>
      </c>
      <c r="AB2402" t="s">
        <v>59</v>
      </c>
      <c r="AC2402" t="s">
        <v>59</v>
      </c>
      <c r="AD2402" t="s">
        <v>59</v>
      </c>
      <c r="AF2402" s="1">
        <v>39680</v>
      </c>
      <c r="AG2402" t="s">
        <v>125</v>
      </c>
      <c r="AH2402" t="s">
        <v>126</v>
      </c>
      <c r="AI2402" t="str">
        <f>"3201010"</f>
        <v>3201010</v>
      </c>
      <c r="AJ2402" t="s">
        <v>4596</v>
      </c>
      <c r="AK2402">
        <v>2841022301</v>
      </c>
      <c r="AL2402" t="s">
        <v>4597</v>
      </c>
      <c r="AM2402" t="s">
        <v>4513</v>
      </c>
      <c r="AN2402" t="s">
        <v>4514</v>
      </c>
      <c r="AO2402" t="s">
        <v>4514</v>
      </c>
      <c r="AP2402" t="s">
        <v>4514</v>
      </c>
      <c r="AQ2402">
        <v>1</v>
      </c>
      <c r="AR2402" t="s">
        <v>4509</v>
      </c>
      <c r="AS2402" t="s">
        <v>4510</v>
      </c>
      <c r="AT2402" t="s">
        <v>58</v>
      </c>
      <c r="AU2402" t="s">
        <v>68</v>
      </c>
      <c r="AV2402" t="s">
        <v>69</v>
      </c>
      <c r="AW2402" s="1">
        <v>23979</v>
      </c>
      <c r="AX2402">
        <v>2</v>
      </c>
    </row>
    <row r="2403" spans="1:50">
      <c r="A2403">
        <v>210290</v>
      </c>
      <c r="B2403" t="str">
        <f>"065092251"</f>
        <v>065092251</v>
      </c>
      <c r="C2403" t="s">
        <v>50</v>
      </c>
      <c r="D2403" t="s">
        <v>4946</v>
      </c>
      <c r="E2403" t="s">
        <v>52</v>
      </c>
      <c r="F2403" t="s">
        <v>72</v>
      </c>
      <c r="G2403" t="s">
        <v>476</v>
      </c>
      <c r="H2403" t="str">
        <f>" "</f>
        <v xml:space="preserve"> </v>
      </c>
      <c r="J2403">
        <v>2841061607</v>
      </c>
      <c r="K2403">
        <v>6976058174</v>
      </c>
      <c r="M2403" t="s">
        <v>4947</v>
      </c>
      <c r="N2403" t="s">
        <v>299</v>
      </c>
      <c r="O2403" t="s">
        <v>300</v>
      </c>
      <c r="R2403" t="s">
        <v>57</v>
      </c>
      <c r="S2403">
        <v>6</v>
      </c>
      <c r="T2403">
        <v>235</v>
      </c>
      <c r="U2403" s="1">
        <v>38611</v>
      </c>
      <c r="V2403" t="s">
        <v>4509</v>
      </c>
      <c r="W2403" t="s">
        <v>4510</v>
      </c>
      <c r="X2403" t="s">
        <v>58</v>
      </c>
      <c r="Y2403">
        <v>20</v>
      </c>
      <c r="Z2403" t="s">
        <v>59</v>
      </c>
      <c r="AA2403" t="s">
        <v>59</v>
      </c>
      <c r="AB2403" t="s">
        <v>59</v>
      </c>
      <c r="AC2403" t="s">
        <v>59</v>
      </c>
      <c r="AD2403" t="s">
        <v>59</v>
      </c>
      <c r="AF2403" s="1">
        <v>38614</v>
      </c>
      <c r="AG2403" t="s">
        <v>148</v>
      </c>
      <c r="AH2403" t="s">
        <v>149</v>
      </c>
      <c r="AI2403" t="str">
        <f>"3251010"</f>
        <v>3251010</v>
      </c>
      <c r="AJ2403" t="s">
        <v>4646</v>
      </c>
      <c r="AK2403">
        <v>2841023649</v>
      </c>
      <c r="AL2403" t="s">
        <v>4647</v>
      </c>
      <c r="AM2403" t="s">
        <v>4513</v>
      </c>
      <c r="AN2403" t="s">
        <v>4514</v>
      </c>
      <c r="AO2403" t="s">
        <v>4514</v>
      </c>
      <c r="AP2403" t="s">
        <v>4514</v>
      </c>
      <c r="AQ2403">
        <v>1</v>
      </c>
      <c r="AR2403" t="s">
        <v>4509</v>
      </c>
      <c r="AS2403" t="s">
        <v>4510</v>
      </c>
      <c r="AT2403" t="s">
        <v>58</v>
      </c>
      <c r="AU2403" t="s">
        <v>68</v>
      </c>
      <c r="AV2403" t="s">
        <v>69</v>
      </c>
      <c r="AW2403" s="1">
        <v>27206</v>
      </c>
      <c r="AX2403">
        <v>2</v>
      </c>
    </row>
    <row r="2404" spans="1:50">
      <c r="B2404" t="str">
        <f>"045581541"</f>
        <v>045581541</v>
      </c>
      <c r="C2404" t="s">
        <v>105</v>
      </c>
      <c r="D2404" t="s">
        <v>4948</v>
      </c>
      <c r="E2404" t="s">
        <v>95</v>
      </c>
      <c r="F2404" t="s">
        <v>72</v>
      </c>
      <c r="G2404" t="s">
        <v>589</v>
      </c>
      <c r="H2404" t="str">
        <f>"ΒΙΤΣΕΝΤΖΟΥ ΚΟΡΝΑΡΟΥ 24 ΑΓΙΟΣ ΝΙΚΟΛΑΟΣ"</f>
        <v>ΒΙΤΣΕΝΤΖΟΥ ΚΟΡΝΑΡΟΥ 24 ΑΓΙΟΣ ΝΙΚΟΛΑΟΣ</v>
      </c>
      <c r="I2404">
        <v>72100</v>
      </c>
      <c r="J2404">
        <v>2841026433</v>
      </c>
      <c r="K2404">
        <v>6978811818</v>
      </c>
      <c r="M2404" t="s">
        <v>4949</v>
      </c>
      <c r="N2404" t="s">
        <v>199</v>
      </c>
      <c r="O2404" t="s">
        <v>200</v>
      </c>
      <c r="R2404" t="s">
        <v>159</v>
      </c>
      <c r="S2404">
        <v>4</v>
      </c>
      <c r="T2404" t="s">
        <v>416</v>
      </c>
      <c r="U2404" s="1">
        <v>43349</v>
      </c>
      <c r="V2404" t="s">
        <v>4509</v>
      </c>
      <c r="W2404" t="s">
        <v>4510</v>
      </c>
      <c r="X2404" t="s">
        <v>58</v>
      </c>
      <c r="Y2404">
        <v>21</v>
      </c>
      <c r="Z2404" t="s">
        <v>59</v>
      </c>
      <c r="AA2404" t="s">
        <v>59</v>
      </c>
      <c r="AB2404" t="s">
        <v>59</v>
      </c>
      <c r="AC2404" t="s">
        <v>59</v>
      </c>
      <c r="AD2404" t="s">
        <v>59</v>
      </c>
      <c r="AF2404" s="1">
        <v>43349</v>
      </c>
      <c r="AG2404" t="s">
        <v>148</v>
      </c>
      <c r="AH2404" t="s">
        <v>149</v>
      </c>
      <c r="AI2404" t="str">
        <f>"3255010"</f>
        <v>3255010</v>
      </c>
      <c r="AJ2404" t="s">
        <v>4590</v>
      </c>
      <c r="AK2404">
        <v>2844022058</v>
      </c>
      <c r="AL2404" t="s">
        <v>4591</v>
      </c>
      <c r="AM2404" t="s">
        <v>4513</v>
      </c>
      <c r="AN2404" t="s">
        <v>4592</v>
      </c>
      <c r="AO2404" t="s">
        <v>4592</v>
      </c>
      <c r="AP2404" t="s">
        <v>4593</v>
      </c>
      <c r="AQ2404">
        <v>2</v>
      </c>
      <c r="AR2404" t="s">
        <v>4509</v>
      </c>
      <c r="AS2404" t="s">
        <v>4510</v>
      </c>
      <c r="AT2404" t="s">
        <v>58</v>
      </c>
      <c r="AU2404" t="s">
        <v>419</v>
      </c>
      <c r="AV2404" t="s">
        <v>132</v>
      </c>
      <c r="AW2404" s="1">
        <v>24325</v>
      </c>
      <c r="AX2404">
        <v>2</v>
      </c>
    </row>
    <row r="2405" spans="1:50">
      <c r="A2405">
        <v>202600</v>
      </c>
      <c r="B2405" t="str">
        <f>"062023215"</f>
        <v>062023215</v>
      </c>
      <c r="C2405" t="s">
        <v>105</v>
      </c>
      <c r="D2405" t="s">
        <v>4950</v>
      </c>
      <c r="E2405" t="s">
        <v>53</v>
      </c>
      <c r="F2405" t="s">
        <v>72</v>
      </c>
      <c r="G2405" t="s">
        <v>73</v>
      </c>
      <c r="H2405" t="str">
        <f>" "</f>
        <v xml:space="preserve"> </v>
      </c>
      <c r="J2405">
        <v>2841024326</v>
      </c>
      <c r="K2405">
        <v>6973803169</v>
      </c>
      <c r="M2405" t="s">
        <v>4951</v>
      </c>
      <c r="N2405" t="s">
        <v>232</v>
      </c>
      <c r="O2405" t="s">
        <v>233</v>
      </c>
      <c r="R2405" t="s">
        <v>57</v>
      </c>
      <c r="S2405">
        <v>8</v>
      </c>
      <c r="T2405">
        <v>231</v>
      </c>
      <c r="U2405" s="1">
        <v>38230</v>
      </c>
      <c r="V2405" t="s">
        <v>4509</v>
      </c>
      <c r="W2405" t="s">
        <v>4510</v>
      </c>
      <c r="X2405" t="s">
        <v>58</v>
      </c>
      <c r="Y2405">
        <v>20</v>
      </c>
      <c r="Z2405" t="s">
        <v>59</v>
      </c>
      <c r="AA2405" t="s">
        <v>59</v>
      </c>
      <c r="AB2405" t="s">
        <v>59</v>
      </c>
      <c r="AC2405" t="s">
        <v>59</v>
      </c>
      <c r="AD2405" t="s">
        <v>59</v>
      </c>
      <c r="AF2405" s="1">
        <v>38231</v>
      </c>
      <c r="AG2405" t="s">
        <v>125</v>
      </c>
      <c r="AH2405" t="s">
        <v>126</v>
      </c>
      <c r="AI2405" t="str">
        <f>"3201010"</f>
        <v>3201010</v>
      </c>
      <c r="AJ2405" t="s">
        <v>4596</v>
      </c>
      <c r="AK2405">
        <v>2841022301</v>
      </c>
      <c r="AL2405" t="s">
        <v>4597</v>
      </c>
      <c r="AM2405" t="s">
        <v>4513</v>
      </c>
      <c r="AN2405" t="s">
        <v>4514</v>
      </c>
      <c r="AO2405" t="s">
        <v>4514</v>
      </c>
      <c r="AP2405" t="s">
        <v>4514</v>
      </c>
      <c r="AQ2405">
        <v>1</v>
      </c>
      <c r="AR2405" t="s">
        <v>4509</v>
      </c>
      <c r="AS2405" t="s">
        <v>4510</v>
      </c>
      <c r="AT2405" t="s">
        <v>58</v>
      </c>
      <c r="AU2405" t="s">
        <v>68</v>
      </c>
      <c r="AV2405" t="s">
        <v>69</v>
      </c>
      <c r="AW2405" s="1">
        <v>26090</v>
      </c>
      <c r="AX2405">
        <v>2</v>
      </c>
    </row>
    <row r="2406" spans="1:50">
      <c r="A2406">
        <v>197736</v>
      </c>
      <c r="B2406" t="str">
        <f>"046634954"</f>
        <v>046634954</v>
      </c>
      <c r="C2406" t="s">
        <v>105</v>
      </c>
      <c r="D2406" t="s">
        <v>1999</v>
      </c>
      <c r="E2406" t="s">
        <v>99</v>
      </c>
      <c r="F2406" t="s">
        <v>4097</v>
      </c>
      <c r="G2406" t="s">
        <v>1358</v>
      </c>
      <c r="H2406" t="str">
        <f>" "</f>
        <v xml:space="preserve"> </v>
      </c>
      <c r="J2406">
        <v>2841024232</v>
      </c>
      <c r="K2406">
        <v>6974551330</v>
      </c>
      <c r="M2406" t="s">
        <v>4952</v>
      </c>
      <c r="N2406" t="s">
        <v>292</v>
      </c>
      <c r="O2406" t="s">
        <v>293</v>
      </c>
      <c r="R2406" t="s">
        <v>57</v>
      </c>
      <c r="S2406">
        <v>7</v>
      </c>
      <c r="T2406">
        <v>206</v>
      </c>
      <c r="U2406" s="1">
        <v>37866</v>
      </c>
      <c r="V2406" t="s">
        <v>4509</v>
      </c>
      <c r="W2406" t="s">
        <v>4510</v>
      </c>
      <c r="X2406" t="s">
        <v>58</v>
      </c>
      <c r="Y2406">
        <v>20</v>
      </c>
      <c r="Z2406" t="s">
        <v>59</v>
      </c>
      <c r="AA2406" t="s">
        <v>59</v>
      </c>
      <c r="AB2406" t="s">
        <v>59</v>
      </c>
      <c r="AC2406" t="s">
        <v>59</v>
      </c>
      <c r="AD2406" t="s">
        <v>59</v>
      </c>
      <c r="AF2406" s="1">
        <v>37867</v>
      </c>
      <c r="AG2406" t="s">
        <v>148</v>
      </c>
      <c r="AH2406" t="s">
        <v>149</v>
      </c>
      <c r="AI2406" t="str">
        <f>"3251010"</f>
        <v>3251010</v>
      </c>
      <c r="AJ2406" t="s">
        <v>4646</v>
      </c>
      <c r="AK2406">
        <v>2841023649</v>
      </c>
      <c r="AL2406" t="s">
        <v>4647</v>
      </c>
      <c r="AM2406" t="s">
        <v>4513</v>
      </c>
      <c r="AN2406" t="s">
        <v>4514</v>
      </c>
      <c r="AO2406" t="s">
        <v>4514</v>
      </c>
      <c r="AP2406" t="s">
        <v>4514</v>
      </c>
      <c r="AQ2406">
        <v>1</v>
      </c>
      <c r="AR2406" t="s">
        <v>4509</v>
      </c>
      <c r="AS2406" t="s">
        <v>4510</v>
      </c>
      <c r="AT2406" t="s">
        <v>58</v>
      </c>
      <c r="AU2406" t="s">
        <v>68</v>
      </c>
      <c r="AV2406" t="s">
        <v>69</v>
      </c>
      <c r="AW2406" s="1">
        <v>25243</v>
      </c>
      <c r="AX2406">
        <v>2</v>
      </c>
    </row>
    <row r="2407" spans="1:50">
      <c r="A2407">
        <v>200574</v>
      </c>
      <c r="B2407" t="str">
        <f>"045580114"</f>
        <v>045580114</v>
      </c>
      <c r="C2407" t="s">
        <v>105</v>
      </c>
      <c r="D2407" t="s">
        <v>1999</v>
      </c>
      <c r="E2407" t="s">
        <v>106</v>
      </c>
      <c r="F2407" t="s">
        <v>95</v>
      </c>
      <c r="G2407" t="s">
        <v>4127</v>
      </c>
      <c r="H2407" t="str">
        <f>" "</f>
        <v xml:space="preserve"> </v>
      </c>
      <c r="J2407">
        <v>2841022556</v>
      </c>
      <c r="K2407">
        <v>6973038872</v>
      </c>
      <c r="L2407">
        <v>2841027002</v>
      </c>
      <c r="M2407" t="s">
        <v>4953</v>
      </c>
      <c r="N2407" t="s">
        <v>299</v>
      </c>
      <c r="O2407" t="s">
        <v>300</v>
      </c>
      <c r="R2407" t="s">
        <v>57</v>
      </c>
      <c r="S2407">
        <v>8</v>
      </c>
      <c r="T2407">
        <v>213</v>
      </c>
      <c r="U2407" s="1">
        <v>37874</v>
      </c>
      <c r="V2407" t="s">
        <v>4509</v>
      </c>
      <c r="W2407" t="s">
        <v>4510</v>
      </c>
      <c r="X2407" t="s">
        <v>58</v>
      </c>
      <c r="Y2407">
        <v>20</v>
      </c>
      <c r="Z2407" t="s">
        <v>59</v>
      </c>
      <c r="AA2407" t="s">
        <v>59</v>
      </c>
      <c r="AB2407" t="s">
        <v>59</v>
      </c>
      <c r="AC2407" t="s">
        <v>59</v>
      </c>
      <c r="AD2407" t="s">
        <v>59</v>
      </c>
      <c r="AF2407" s="1">
        <v>37875</v>
      </c>
      <c r="AG2407" t="s">
        <v>137</v>
      </c>
      <c r="AH2407" t="s">
        <v>138</v>
      </c>
      <c r="AI2407" t="str">
        <f>"3240077"</f>
        <v>3240077</v>
      </c>
      <c r="AJ2407" t="s">
        <v>4528</v>
      </c>
      <c r="AK2407">
        <v>2841025978</v>
      </c>
      <c r="AL2407" t="s">
        <v>4529</v>
      </c>
      <c r="AM2407" t="s">
        <v>4513</v>
      </c>
      <c r="AN2407" t="s">
        <v>4514</v>
      </c>
      <c r="AO2407" t="s">
        <v>4514</v>
      </c>
      <c r="AP2407" t="s">
        <v>4514</v>
      </c>
      <c r="AQ2407">
        <v>1</v>
      </c>
      <c r="AR2407" t="s">
        <v>4509</v>
      </c>
      <c r="AS2407" t="s">
        <v>4510</v>
      </c>
      <c r="AT2407" t="s">
        <v>58</v>
      </c>
      <c r="AU2407" t="s">
        <v>68</v>
      </c>
      <c r="AV2407" t="s">
        <v>69</v>
      </c>
      <c r="AW2407" s="1">
        <v>24846</v>
      </c>
      <c r="AX2407">
        <v>2</v>
      </c>
    </row>
    <row r="2408" spans="1:50">
      <c r="A2408">
        <v>227274</v>
      </c>
      <c r="B2408" t="str">
        <f>"052242232"</f>
        <v>052242232</v>
      </c>
      <c r="C2408" t="s">
        <v>50</v>
      </c>
      <c r="D2408" t="s">
        <v>4954</v>
      </c>
      <c r="E2408" t="s">
        <v>250</v>
      </c>
      <c r="F2408" t="s">
        <v>72</v>
      </c>
      <c r="G2408" t="s">
        <v>73</v>
      </c>
      <c r="H2408" t="str">
        <f>"ΠΑΠΑΠΕΤΡΟΥ ΓΑΒΑΛΑ 23 ΗΡΑΚΛΕΙΟ"</f>
        <v>ΠΑΠΑΠΕΤΡΟΥ ΓΑΒΑΛΑ 23 ΗΡΑΚΛΕΙΟ</v>
      </c>
      <c r="I2408">
        <v>71304</v>
      </c>
      <c r="J2408">
        <v>2810239598</v>
      </c>
      <c r="K2408">
        <v>6978220900</v>
      </c>
      <c r="M2408" t="s">
        <v>4955</v>
      </c>
      <c r="N2408" t="s">
        <v>232</v>
      </c>
      <c r="O2408" t="s">
        <v>233</v>
      </c>
      <c r="R2408" t="s">
        <v>57</v>
      </c>
      <c r="S2408">
        <v>5</v>
      </c>
      <c r="T2408">
        <v>654</v>
      </c>
      <c r="U2408" s="1">
        <v>40043</v>
      </c>
      <c r="V2408" t="s">
        <v>4509</v>
      </c>
      <c r="W2408" t="s">
        <v>4510</v>
      </c>
      <c r="X2408" t="s">
        <v>58</v>
      </c>
      <c r="Y2408">
        <v>21</v>
      </c>
      <c r="Z2408" t="s">
        <v>59</v>
      </c>
      <c r="AA2408" t="s">
        <v>59</v>
      </c>
      <c r="AB2408" t="s">
        <v>59</v>
      </c>
      <c r="AC2408" t="s">
        <v>59</v>
      </c>
      <c r="AD2408" t="s">
        <v>59</v>
      </c>
      <c r="AF2408" s="1">
        <v>40057</v>
      </c>
      <c r="AG2408" t="s">
        <v>125</v>
      </c>
      <c r="AH2408" t="s">
        <v>126</v>
      </c>
      <c r="AI2408" t="str">
        <f>"3207010"</f>
        <v>3207010</v>
      </c>
      <c r="AJ2408" t="s">
        <v>4755</v>
      </c>
      <c r="AK2408">
        <v>2841051452</v>
      </c>
      <c r="AL2408" t="s">
        <v>4756</v>
      </c>
      <c r="AM2408" t="s">
        <v>4513</v>
      </c>
      <c r="AN2408" t="s">
        <v>4514</v>
      </c>
      <c r="AO2408" t="s">
        <v>4514</v>
      </c>
      <c r="AP2408" t="s">
        <v>4757</v>
      </c>
      <c r="AQ2408">
        <v>1</v>
      </c>
      <c r="AR2408" t="s">
        <v>4509</v>
      </c>
      <c r="AS2408" t="s">
        <v>4510</v>
      </c>
      <c r="AT2408" t="s">
        <v>58</v>
      </c>
      <c r="AU2408" t="s">
        <v>68</v>
      </c>
      <c r="AV2408" t="s">
        <v>69</v>
      </c>
      <c r="AW2408" s="1">
        <v>24375</v>
      </c>
      <c r="AX2408">
        <v>2</v>
      </c>
    </row>
    <row r="2409" spans="1:50">
      <c r="A2409">
        <v>703934</v>
      </c>
      <c r="B2409" t="str">
        <f>"063023526"</f>
        <v>063023526</v>
      </c>
      <c r="C2409" t="s">
        <v>105</v>
      </c>
      <c r="D2409" t="s">
        <v>4956</v>
      </c>
      <c r="E2409" t="s">
        <v>230</v>
      </c>
      <c r="F2409" t="s">
        <v>53</v>
      </c>
      <c r="G2409" t="s">
        <v>484</v>
      </c>
      <c r="H2409" t="str">
        <f>"ΠΡΟΜΗΘΕΩΣ 35 ΑΝΩ ΓΛΥΦΑΔΑ"</f>
        <v>ΠΡΟΜΗΘΕΩΣ 35 ΑΝΩ ΓΛΥΦΑΔΑ</v>
      </c>
      <c r="I2409">
        <v>16674</v>
      </c>
      <c r="J2409">
        <v>2109637058</v>
      </c>
      <c r="K2409">
        <v>6946437733</v>
      </c>
      <c r="N2409" t="s">
        <v>157</v>
      </c>
      <c r="O2409" t="s">
        <v>158</v>
      </c>
      <c r="R2409" t="s">
        <v>57</v>
      </c>
      <c r="S2409">
        <v>10</v>
      </c>
      <c r="T2409" t="s">
        <v>3204</v>
      </c>
      <c r="U2409" s="1">
        <v>40413</v>
      </c>
      <c r="V2409" t="s">
        <v>4509</v>
      </c>
      <c r="W2409" t="s">
        <v>4510</v>
      </c>
      <c r="X2409" t="s">
        <v>58</v>
      </c>
      <c r="Y2409">
        <v>21</v>
      </c>
      <c r="Z2409" t="s">
        <v>59</v>
      </c>
      <c r="AA2409" t="s">
        <v>59</v>
      </c>
      <c r="AB2409" t="s">
        <v>59</v>
      </c>
      <c r="AC2409" t="s">
        <v>59</v>
      </c>
      <c r="AD2409" t="s">
        <v>59</v>
      </c>
      <c r="AF2409" s="1">
        <v>42716</v>
      </c>
      <c r="AG2409" t="s">
        <v>125</v>
      </c>
      <c r="AH2409" t="s">
        <v>126</v>
      </c>
      <c r="AI2409" t="str">
        <f>"3201010"</f>
        <v>3201010</v>
      </c>
      <c r="AJ2409" t="s">
        <v>4596</v>
      </c>
      <c r="AK2409">
        <v>2841022301</v>
      </c>
      <c r="AL2409" t="s">
        <v>4597</v>
      </c>
      <c r="AM2409" t="s">
        <v>4513</v>
      </c>
      <c r="AN2409" t="s">
        <v>4514</v>
      </c>
      <c r="AO2409" t="s">
        <v>4514</v>
      </c>
      <c r="AP2409" t="s">
        <v>4514</v>
      </c>
      <c r="AQ2409">
        <v>1</v>
      </c>
      <c r="AR2409" t="s">
        <v>4509</v>
      </c>
      <c r="AS2409" t="s">
        <v>4510</v>
      </c>
      <c r="AT2409" t="s">
        <v>58</v>
      </c>
      <c r="AU2409" t="s">
        <v>68</v>
      </c>
      <c r="AV2409" t="s">
        <v>132</v>
      </c>
      <c r="AW2409" s="1">
        <v>27030</v>
      </c>
      <c r="AX2409">
        <v>2</v>
      </c>
    </row>
    <row r="2410" spans="1:50">
      <c r="A2410">
        <v>160143</v>
      </c>
      <c r="B2410" t="str">
        <f>"025984744"</f>
        <v>025984744</v>
      </c>
      <c r="C2410" t="s">
        <v>105</v>
      </c>
      <c r="D2410" t="s">
        <v>4957</v>
      </c>
      <c r="E2410" t="s">
        <v>166</v>
      </c>
      <c r="F2410" t="s">
        <v>95</v>
      </c>
      <c r="G2410" t="s">
        <v>1065</v>
      </c>
      <c r="H2410" t="str">
        <f>" "</f>
        <v xml:space="preserve"> </v>
      </c>
      <c r="N2410" t="s">
        <v>232</v>
      </c>
      <c r="O2410" t="s">
        <v>233</v>
      </c>
      <c r="R2410" t="s">
        <v>57</v>
      </c>
      <c r="S2410">
        <v>15</v>
      </c>
      <c r="T2410">
        <v>161</v>
      </c>
      <c r="U2410" s="1">
        <v>33119</v>
      </c>
      <c r="V2410" t="s">
        <v>4509</v>
      </c>
      <c r="W2410" t="s">
        <v>4510</v>
      </c>
      <c r="X2410" t="s">
        <v>58</v>
      </c>
      <c r="Y2410">
        <v>18</v>
      </c>
      <c r="Z2410" t="s">
        <v>59</v>
      </c>
      <c r="AA2410" t="s">
        <v>59</v>
      </c>
      <c r="AB2410" t="s">
        <v>59</v>
      </c>
      <c r="AC2410" t="s">
        <v>59</v>
      </c>
      <c r="AD2410" t="s">
        <v>59</v>
      </c>
      <c r="AF2410" s="1">
        <v>33120</v>
      </c>
      <c r="AG2410" t="s">
        <v>125</v>
      </c>
      <c r="AH2410" t="s">
        <v>126</v>
      </c>
      <c r="AI2410" t="str">
        <f>"3202020"</f>
        <v>3202020</v>
      </c>
      <c r="AJ2410" t="s">
        <v>4576</v>
      </c>
      <c r="AK2410">
        <v>2842022289</v>
      </c>
      <c r="AL2410" t="s">
        <v>4577</v>
      </c>
      <c r="AM2410" t="s">
        <v>4513</v>
      </c>
      <c r="AN2410" t="s">
        <v>4519</v>
      </c>
      <c r="AO2410" t="s">
        <v>4519</v>
      </c>
      <c r="AP2410" t="s">
        <v>4519</v>
      </c>
      <c r="AQ2410">
        <v>4</v>
      </c>
      <c r="AR2410" t="s">
        <v>4509</v>
      </c>
      <c r="AS2410" t="s">
        <v>4510</v>
      </c>
      <c r="AT2410" t="s">
        <v>58</v>
      </c>
      <c r="AU2410" t="s">
        <v>68</v>
      </c>
      <c r="AV2410" t="s">
        <v>69</v>
      </c>
      <c r="AW2410" s="1">
        <v>20441</v>
      </c>
      <c r="AX2410">
        <v>2</v>
      </c>
    </row>
    <row r="2411" spans="1:50">
      <c r="A2411">
        <v>165656</v>
      </c>
      <c r="B2411" t="str">
        <f>"034808090"</f>
        <v>034808090</v>
      </c>
      <c r="C2411" t="s">
        <v>50</v>
      </c>
      <c r="D2411" t="s">
        <v>4958</v>
      </c>
      <c r="E2411" t="s">
        <v>181</v>
      </c>
      <c r="F2411" t="s">
        <v>72</v>
      </c>
      <c r="G2411" t="s">
        <v>473</v>
      </c>
      <c r="H2411" t="str">
        <f>" "</f>
        <v xml:space="preserve"> </v>
      </c>
      <c r="N2411" t="s">
        <v>146</v>
      </c>
      <c r="O2411" t="s">
        <v>147</v>
      </c>
      <c r="R2411" t="s">
        <v>57</v>
      </c>
      <c r="S2411">
        <v>15</v>
      </c>
      <c r="T2411">
        <v>137</v>
      </c>
      <c r="U2411" s="1">
        <v>34206</v>
      </c>
      <c r="V2411" t="s">
        <v>4509</v>
      </c>
      <c r="W2411" t="s">
        <v>4510</v>
      </c>
      <c r="X2411" t="s">
        <v>58</v>
      </c>
      <c r="Y2411">
        <v>18</v>
      </c>
      <c r="Z2411" t="s">
        <v>59</v>
      </c>
      <c r="AA2411" t="s">
        <v>59</v>
      </c>
      <c r="AB2411" t="s">
        <v>59</v>
      </c>
      <c r="AC2411" t="s">
        <v>59</v>
      </c>
      <c r="AD2411" t="s">
        <v>59</v>
      </c>
      <c r="AF2411" s="1">
        <v>34213</v>
      </c>
      <c r="AG2411" t="s">
        <v>148</v>
      </c>
      <c r="AH2411" t="s">
        <v>149</v>
      </c>
      <c r="AI2411" t="str">
        <f>"3252010"</f>
        <v>3252010</v>
      </c>
      <c r="AJ2411" t="s">
        <v>4532</v>
      </c>
      <c r="AK2411">
        <v>2842022356</v>
      </c>
      <c r="AL2411" t="s">
        <v>4533</v>
      </c>
      <c r="AM2411" t="s">
        <v>4513</v>
      </c>
      <c r="AN2411" t="s">
        <v>4519</v>
      </c>
      <c r="AO2411" t="s">
        <v>4519</v>
      </c>
      <c r="AP2411" t="s">
        <v>4519</v>
      </c>
      <c r="AQ2411">
        <v>4</v>
      </c>
      <c r="AR2411" t="s">
        <v>4509</v>
      </c>
      <c r="AS2411" t="s">
        <v>4510</v>
      </c>
      <c r="AT2411" t="s">
        <v>58</v>
      </c>
      <c r="AU2411" t="s">
        <v>68</v>
      </c>
      <c r="AV2411" t="s">
        <v>69</v>
      </c>
      <c r="AW2411" s="1">
        <v>23600</v>
      </c>
      <c r="AX2411">
        <v>2</v>
      </c>
    </row>
    <row r="2412" spans="1:50">
      <c r="A2412">
        <v>221273</v>
      </c>
      <c r="B2412" t="str">
        <f>"046021314"</f>
        <v>046021314</v>
      </c>
      <c r="C2412" t="s">
        <v>105</v>
      </c>
      <c r="D2412" t="s">
        <v>4959</v>
      </c>
      <c r="E2412" t="s">
        <v>496</v>
      </c>
      <c r="F2412" t="s">
        <v>72</v>
      </c>
      <c r="G2412" t="s">
        <v>134</v>
      </c>
      <c r="H2412" t="str">
        <f>" "</f>
        <v xml:space="preserve"> </v>
      </c>
      <c r="J2412">
        <v>2843024259</v>
      </c>
      <c r="K2412">
        <v>6976998359</v>
      </c>
      <c r="M2412" t="s">
        <v>4960</v>
      </c>
      <c r="N2412" t="s">
        <v>176</v>
      </c>
      <c r="O2412" t="s">
        <v>177</v>
      </c>
      <c r="R2412" t="s">
        <v>57</v>
      </c>
      <c r="S2412">
        <v>8</v>
      </c>
      <c r="T2412">
        <v>691</v>
      </c>
      <c r="U2412" s="1">
        <v>39331</v>
      </c>
      <c r="V2412" t="s">
        <v>4509</v>
      </c>
      <c r="W2412" t="s">
        <v>4510</v>
      </c>
      <c r="X2412" t="s">
        <v>58</v>
      </c>
      <c r="Y2412">
        <v>21</v>
      </c>
      <c r="Z2412" t="s">
        <v>59</v>
      </c>
      <c r="AA2412" t="s">
        <v>59</v>
      </c>
      <c r="AB2412" t="s">
        <v>59</v>
      </c>
      <c r="AC2412" t="s">
        <v>59</v>
      </c>
      <c r="AD2412" t="s">
        <v>59</v>
      </c>
      <c r="AF2412" s="1">
        <v>39332</v>
      </c>
      <c r="AG2412" t="s">
        <v>148</v>
      </c>
      <c r="AH2412" t="s">
        <v>149</v>
      </c>
      <c r="AI2412" t="str">
        <f>"3254010"</f>
        <v>3254010</v>
      </c>
      <c r="AJ2412" t="s">
        <v>4538</v>
      </c>
      <c r="AK2412">
        <v>2843022277</v>
      </c>
      <c r="AL2412" t="s">
        <v>4539</v>
      </c>
      <c r="AM2412" t="s">
        <v>4513</v>
      </c>
      <c r="AN2412" t="s">
        <v>4540</v>
      </c>
      <c r="AO2412" t="s">
        <v>4540</v>
      </c>
      <c r="AP2412" t="s">
        <v>4540</v>
      </c>
      <c r="AQ2412">
        <v>6</v>
      </c>
      <c r="AR2412" t="s">
        <v>4509</v>
      </c>
      <c r="AS2412" t="s">
        <v>4510</v>
      </c>
      <c r="AT2412" t="s">
        <v>58</v>
      </c>
      <c r="AU2412" t="s">
        <v>68</v>
      </c>
      <c r="AV2412" t="s">
        <v>69</v>
      </c>
      <c r="AW2412" s="1">
        <v>25153</v>
      </c>
      <c r="AX2412">
        <v>2</v>
      </c>
    </row>
    <row r="2413" spans="1:50">
      <c r="A2413">
        <v>191746</v>
      </c>
      <c r="B2413" t="str">
        <f>"074604129"</f>
        <v>074604129</v>
      </c>
      <c r="C2413" t="s">
        <v>105</v>
      </c>
      <c r="D2413" t="s">
        <v>4961</v>
      </c>
      <c r="E2413" t="s">
        <v>496</v>
      </c>
      <c r="F2413" t="s">
        <v>72</v>
      </c>
      <c r="G2413" t="s">
        <v>4962</v>
      </c>
      <c r="H2413" t="str">
        <f>" "</f>
        <v xml:space="preserve"> </v>
      </c>
      <c r="M2413" t="s">
        <v>4963</v>
      </c>
      <c r="N2413" t="s">
        <v>168</v>
      </c>
      <c r="O2413" t="s">
        <v>169</v>
      </c>
      <c r="R2413" t="s">
        <v>57</v>
      </c>
      <c r="S2413">
        <v>11</v>
      </c>
      <c r="T2413">
        <v>291</v>
      </c>
      <c r="U2413" s="1">
        <v>37218</v>
      </c>
      <c r="V2413" t="s">
        <v>4509</v>
      </c>
      <c r="W2413" t="s">
        <v>4510</v>
      </c>
      <c r="X2413" t="s">
        <v>58</v>
      </c>
      <c r="Y2413">
        <v>20</v>
      </c>
      <c r="Z2413" t="s">
        <v>59</v>
      </c>
      <c r="AA2413" t="s">
        <v>59</v>
      </c>
      <c r="AB2413" t="s">
        <v>59</v>
      </c>
      <c r="AC2413" t="s">
        <v>59</v>
      </c>
      <c r="AD2413" t="s">
        <v>59</v>
      </c>
      <c r="AF2413" s="1">
        <v>37218</v>
      </c>
      <c r="AG2413" t="s">
        <v>137</v>
      </c>
      <c r="AH2413" t="s">
        <v>138</v>
      </c>
      <c r="AI2413" t="str">
        <f>"3240070"</f>
        <v>3240070</v>
      </c>
      <c r="AJ2413" t="s">
        <v>4582</v>
      </c>
      <c r="AK2413">
        <v>2841032545</v>
      </c>
      <c r="AL2413" t="s">
        <v>4583</v>
      </c>
      <c r="AM2413" t="s">
        <v>4513</v>
      </c>
      <c r="AN2413" t="s">
        <v>4514</v>
      </c>
      <c r="AO2413" t="s">
        <v>4524</v>
      </c>
      <c r="AP2413" t="s">
        <v>4525</v>
      </c>
      <c r="AQ2413">
        <v>3</v>
      </c>
      <c r="AR2413" t="s">
        <v>4509</v>
      </c>
      <c r="AS2413" t="s">
        <v>4510</v>
      </c>
      <c r="AT2413" t="s">
        <v>58</v>
      </c>
      <c r="AU2413" t="s">
        <v>68</v>
      </c>
      <c r="AV2413" t="s">
        <v>69</v>
      </c>
      <c r="AW2413" s="1">
        <v>26669</v>
      </c>
      <c r="AX2413">
        <v>2</v>
      </c>
    </row>
    <row r="2414" spans="1:50">
      <c r="A2414">
        <v>215022</v>
      </c>
      <c r="B2414" t="str">
        <f>"110269626"</f>
        <v>110269626</v>
      </c>
      <c r="C2414" t="s">
        <v>105</v>
      </c>
      <c r="D2414" t="s">
        <v>4964</v>
      </c>
      <c r="E2414" t="s">
        <v>106</v>
      </c>
      <c r="F2414" t="s">
        <v>84</v>
      </c>
      <c r="G2414" t="s">
        <v>52</v>
      </c>
      <c r="H2414" t="str">
        <f>" "</f>
        <v xml:space="preserve"> </v>
      </c>
      <c r="K2414">
        <v>6972720065</v>
      </c>
      <c r="M2414" t="s">
        <v>4965</v>
      </c>
      <c r="N2414" t="s">
        <v>331</v>
      </c>
      <c r="O2414" t="s">
        <v>332</v>
      </c>
      <c r="R2414" t="s">
        <v>57</v>
      </c>
      <c r="S2414">
        <v>11</v>
      </c>
      <c r="T2414">
        <v>231</v>
      </c>
      <c r="U2414" s="1">
        <v>38960</v>
      </c>
      <c r="V2414" t="s">
        <v>4509</v>
      </c>
      <c r="W2414" t="s">
        <v>4510</v>
      </c>
      <c r="X2414" t="s">
        <v>58</v>
      </c>
      <c r="Y2414">
        <v>20</v>
      </c>
      <c r="Z2414" t="s">
        <v>59</v>
      </c>
      <c r="AA2414" t="s">
        <v>59</v>
      </c>
      <c r="AB2414" t="s">
        <v>59</v>
      </c>
      <c r="AC2414" t="s">
        <v>59</v>
      </c>
      <c r="AD2414" t="s">
        <v>59</v>
      </c>
      <c r="AF2414" s="1">
        <v>38961</v>
      </c>
      <c r="AG2414" t="s">
        <v>137</v>
      </c>
      <c r="AH2414" t="s">
        <v>469</v>
      </c>
      <c r="AI2414" t="str">
        <f>"3240125"</f>
        <v>3240125</v>
      </c>
      <c r="AJ2414" t="s">
        <v>4707</v>
      </c>
      <c r="AK2414">
        <v>2842024905</v>
      </c>
      <c r="AL2414" t="s">
        <v>4708</v>
      </c>
      <c r="AM2414" t="s">
        <v>4513</v>
      </c>
      <c r="AN2414" t="s">
        <v>4519</v>
      </c>
      <c r="AO2414" t="s">
        <v>4519</v>
      </c>
      <c r="AP2414" t="s">
        <v>4519</v>
      </c>
      <c r="AQ2414">
        <v>4</v>
      </c>
      <c r="AR2414" t="s">
        <v>4509</v>
      </c>
      <c r="AS2414" t="s">
        <v>4510</v>
      </c>
      <c r="AT2414" t="s">
        <v>58</v>
      </c>
      <c r="AU2414" t="s">
        <v>68</v>
      </c>
      <c r="AV2414" t="s">
        <v>69</v>
      </c>
      <c r="AW2414" s="1">
        <v>27136</v>
      </c>
      <c r="AX2414">
        <v>2</v>
      </c>
    </row>
    <row r="2415" spans="1:50">
      <c r="B2415" t="str">
        <f>"125527419"</f>
        <v>125527419</v>
      </c>
      <c r="C2415" t="s">
        <v>50</v>
      </c>
      <c r="D2415" t="s">
        <v>4966</v>
      </c>
      <c r="E2415" t="s">
        <v>1068</v>
      </c>
      <c r="F2415" t="s">
        <v>920</v>
      </c>
      <c r="G2415" t="s">
        <v>372</v>
      </c>
      <c r="H2415" t="str">
        <f>"ΑΝΑΤΟΛΙΚΟ ΠΤΟΛΕΜΑΙΔΑΣ ΑΝΑΤΟΛΙΚΟ"</f>
        <v>ΑΝΑΤΟΛΙΚΟ ΠΤΟΛΕΜΑΙΔΑΣ ΑΝΑΤΟΛΙΚΟ</v>
      </c>
      <c r="I2415">
        <v>50200</v>
      </c>
      <c r="J2415">
        <v>2463031541</v>
      </c>
      <c r="K2415">
        <v>6972413987</v>
      </c>
      <c r="N2415" t="s">
        <v>536</v>
      </c>
      <c r="O2415" t="s">
        <v>537</v>
      </c>
      <c r="R2415" t="s">
        <v>159</v>
      </c>
      <c r="S2415">
        <v>4</v>
      </c>
      <c r="T2415" t="s">
        <v>344</v>
      </c>
      <c r="U2415" s="1">
        <v>43348</v>
      </c>
      <c r="V2415" t="s">
        <v>4509</v>
      </c>
      <c r="W2415" t="s">
        <v>4510</v>
      </c>
      <c r="X2415" t="s">
        <v>58</v>
      </c>
      <c r="Y2415">
        <v>23</v>
      </c>
      <c r="Z2415" t="s">
        <v>59</v>
      </c>
      <c r="AA2415" t="s">
        <v>59</v>
      </c>
      <c r="AB2415" t="s">
        <v>59</v>
      </c>
      <c r="AC2415" t="s">
        <v>59</v>
      </c>
      <c r="AD2415" t="s">
        <v>59</v>
      </c>
      <c r="AF2415" s="1">
        <v>43348</v>
      </c>
      <c r="AG2415" t="s">
        <v>125</v>
      </c>
      <c r="AH2415" t="s">
        <v>126</v>
      </c>
      <c r="AI2415" t="str">
        <f>"3203010"</f>
        <v>3203010</v>
      </c>
      <c r="AJ2415" t="s">
        <v>4522</v>
      </c>
      <c r="AK2415">
        <v>2841034140</v>
      </c>
      <c r="AL2415" t="s">
        <v>4523</v>
      </c>
      <c r="AM2415" t="s">
        <v>4513</v>
      </c>
      <c r="AN2415" t="s">
        <v>4514</v>
      </c>
      <c r="AO2415" t="s">
        <v>4524</v>
      </c>
      <c r="AP2415" t="s">
        <v>4525</v>
      </c>
      <c r="AQ2415">
        <v>3</v>
      </c>
      <c r="AR2415" t="s">
        <v>4509</v>
      </c>
      <c r="AS2415" t="s">
        <v>4510</v>
      </c>
      <c r="AT2415" t="s">
        <v>58</v>
      </c>
      <c r="AU2415" t="s">
        <v>350</v>
      </c>
      <c r="AV2415" t="s">
        <v>132</v>
      </c>
      <c r="AW2415" s="1">
        <v>29085</v>
      </c>
      <c r="AX2415">
        <v>2</v>
      </c>
    </row>
    <row r="2416" spans="1:50">
      <c r="A2416">
        <v>227953</v>
      </c>
      <c r="B2416" t="str">
        <f>"038805944"</f>
        <v>038805944</v>
      </c>
      <c r="C2416" t="s">
        <v>105</v>
      </c>
      <c r="D2416" t="s">
        <v>4967</v>
      </c>
      <c r="E2416" t="s">
        <v>106</v>
      </c>
      <c r="F2416" t="s">
        <v>53</v>
      </c>
      <c r="G2416" t="s">
        <v>4968</v>
      </c>
      <c r="H2416" t="str">
        <f>"ΜΑΥΡΟΔΗΜΟΥ 26 ΕΛΑΣΣΟΝΑ"</f>
        <v>ΜΑΥΡΟΔΗΜΟΥ 26 ΕΛΑΣΣΟΝΑ</v>
      </c>
      <c r="I2416">
        <v>40200</v>
      </c>
      <c r="J2416">
        <v>2410591652</v>
      </c>
      <c r="K2416">
        <v>6948886187</v>
      </c>
      <c r="L2416">
        <v>6958477979</v>
      </c>
      <c r="M2416" t="s">
        <v>4969</v>
      </c>
      <c r="N2416" t="s">
        <v>176</v>
      </c>
      <c r="O2416" t="s">
        <v>177</v>
      </c>
      <c r="R2416" t="s">
        <v>57</v>
      </c>
      <c r="S2416">
        <v>6</v>
      </c>
      <c r="T2416">
        <v>654</v>
      </c>
      <c r="U2416" s="1">
        <v>40043</v>
      </c>
      <c r="V2416" t="s">
        <v>4509</v>
      </c>
      <c r="W2416" t="s">
        <v>4510</v>
      </c>
      <c r="X2416" t="s">
        <v>58</v>
      </c>
      <c r="Y2416">
        <v>20</v>
      </c>
      <c r="Z2416" t="s">
        <v>59</v>
      </c>
      <c r="AA2416" t="s">
        <v>59</v>
      </c>
      <c r="AB2416" t="s">
        <v>59</v>
      </c>
      <c r="AC2416" t="s">
        <v>59</v>
      </c>
      <c r="AD2416" t="s">
        <v>59</v>
      </c>
      <c r="AF2416" s="1">
        <v>40046</v>
      </c>
      <c r="AG2416" t="s">
        <v>148</v>
      </c>
      <c r="AH2416" t="s">
        <v>149</v>
      </c>
      <c r="AI2416" t="str">
        <f>"3252010"</f>
        <v>3252010</v>
      </c>
      <c r="AJ2416" t="s">
        <v>4532</v>
      </c>
      <c r="AK2416">
        <v>2842022356</v>
      </c>
      <c r="AL2416" t="s">
        <v>4533</v>
      </c>
      <c r="AM2416" t="s">
        <v>4513</v>
      </c>
      <c r="AN2416" t="s">
        <v>4519</v>
      </c>
      <c r="AO2416" t="s">
        <v>4519</v>
      </c>
      <c r="AP2416" t="s">
        <v>4519</v>
      </c>
      <c r="AQ2416">
        <v>4</v>
      </c>
      <c r="AR2416" t="s">
        <v>4509</v>
      </c>
      <c r="AS2416" t="s">
        <v>4510</v>
      </c>
      <c r="AT2416" t="s">
        <v>58</v>
      </c>
      <c r="AU2416" t="s">
        <v>68</v>
      </c>
      <c r="AV2416" t="s">
        <v>132</v>
      </c>
      <c r="AW2416" s="1">
        <v>23512</v>
      </c>
      <c r="AX2416">
        <v>2</v>
      </c>
    </row>
    <row r="2417" spans="1:50">
      <c r="A2417">
        <v>168402</v>
      </c>
      <c r="B2417" t="str">
        <f>"038765470"</f>
        <v>038765470</v>
      </c>
      <c r="C2417" t="s">
        <v>50</v>
      </c>
      <c r="D2417" t="s">
        <v>4970</v>
      </c>
      <c r="E2417" t="s">
        <v>73</v>
      </c>
      <c r="F2417" t="s">
        <v>166</v>
      </c>
      <c r="G2417" t="s">
        <v>52</v>
      </c>
      <c r="H2417" t="str">
        <f>" "</f>
        <v xml:space="preserve"> </v>
      </c>
      <c r="J2417">
        <v>2843026321</v>
      </c>
      <c r="K2417">
        <v>6974335887</v>
      </c>
      <c r="M2417" t="s">
        <v>4971</v>
      </c>
      <c r="N2417" t="s">
        <v>306</v>
      </c>
      <c r="O2417" t="s">
        <v>307</v>
      </c>
      <c r="R2417" t="s">
        <v>57</v>
      </c>
      <c r="S2417">
        <v>11</v>
      </c>
      <c r="T2417">
        <v>159</v>
      </c>
      <c r="U2417" s="1">
        <v>34582</v>
      </c>
      <c r="V2417" t="s">
        <v>4509</v>
      </c>
      <c r="W2417" t="s">
        <v>4510</v>
      </c>
      <c r="X2417" t="s">
        <v>58</v>
      </c>
      <c r="Y2417">
        <v>18</v>
      </c>
      <c r="Z2417" t="s">
        <v>59</v>
      </c>
      <c r="AA2417" t="s">
        <v>59</v>
      </c>
      <c r="AB2417" t="s">
        <v>59</v>
      </c>
      <c r="AC2417" t="s">
        <v>59</v>
      </c>
      <c r="AD2417" t="s">
        <v>59</v>
      </c>
      <c r="AF2417" s="1">
        <v>34583</v>
      </c>
      <c r="AG2417" t="s">
        <v>148</v>
      </c>
      <c r="AH2417" t="s">
        <v>149</v>
      </c>
      <c r="AI2417" t="str">
        <f>"3254010"</f>
        <v>3254010</v>
      </c>
      <c r="AJ2417" t="s">
        <v>4538</v>
      </c>
      <c r="AK2417">
        <v>2843022277</v>
      </c>
      <c r="AL2417" t="s">
        <v>4539</v>
      </c>
      <c r="AM2417" t="s">
        <v>4513</v>
      </c>
      <c r="AN2417" t="s">
        <v>4540</v>
      </c>
      <c r="AO2417" t="s">
        <v>4540</v>
      </c>
      <c r="AP2417" t="s">
        <v>4540</v>
      </c>
      <c r="AQ2417">
        <v>6</v>
      </c>
      <c r="AR2417" t="s">
        <v>4509</v>
      </c>
      <c r="AS2417" t="s">
        <v>4510</v>
      </c>
      <c r="AT2417" t="s">
        <v>58</v>
      </c>
      <c r="AU2417" t="s">
        <v>68</v>
      </c>
      <c r="AV2417" t="s">
        <v>69</v>
      </c>
      <c r="AW2417" s="1">
        <v>24816</v>
      </c>
      <c r="AX2417">
        <v>2</v>
      </c>
    </row>
    <row r="2418" spans="1:50">
      <c r="B2418" t="str">
        <f>"051586530"</f>
        <v>051586530</v>
      </c>
      <c r="C2418" t="s">
        <v>105</v>
      </c>
      <c r="D2418" t="s">
        <v>4972</v>
      </c>
      <c r="E2418" t="s">
        <v>202</v>
      </c>
      <c r="F2418" t="s">
        <v>383</v>
      </c>
      <c r="G2418" t="s">
        <v>181</v>
      </c>
      <c r="H2418" t="str">
        <f>"ΧΟΡΤΑΤΣΩΝ 6 ΗΡΑΚΛΕΙΟ"</f>
        <v>ΧΟΡΤΑΤΣΩΝ 6 ΗΡΑΚΛΕΙΟ</v>
      </c>
      <c r="I2418">
        <v>71202</v>
      </c>
      <c r="J2418">
        <v>2810282990</v>
      </c>
      <c r="K2418">
        <v>6932239039</v>
      </c>
      <c r="N2418" t="s">
        <v>282</v>
      </c>
      <c r="O2418" t="s">
        <v>283</v>
      </c>
      <c r="R2418" t="s">
        <v>159</v>
      </c>
      <c r="S2418">
        <v>2</v>
      </c>
      <c r="T2418" t="s">
        <v>574</v>
      </c>
      <c r="U2418" s="1">
        <v>43378</v>
      </c>
      <c r="V2418" t="s">
        <v>4509</v>
      </c>
      <c r="W2418" t="s">
        <v>4510</v>
      </c>
      <c r="X2418" t="s">
        <v>58</v>
      </c>
      <c r="Y2418">
        <v>23</v>
      </c>
      <c r="Z2418" t="s">
        <v>59</v>
      </c>
      <c r="AA2418" t="s">
        <v>59</v>
      </c>
      <c r="AB2418" t="s">
        <v>59</v>
      </c>
      <c r="AC2418" t="s">
        <v>59</v>
      </c>
      <c r="AD2418" t="s">
        <v>59</v>
      </c>
      <c r="AF2418" s="1">
        <v>43381</v>
      </c>
      <c r="AG2418" t="s">
        <v>137</v>
      </c>
      <c r="AH2418" t="s">
        <v>138</v>
      </c>
      <c r="AI2418" t="str">
        <f>"3240077"</f>
        <v>3240077</v>
      </c>
      <c r="AJ2418" t="s">
        <v>4528</v>
      </c>
      <c r="AK2418">
        <v>2841025978</v>
      </c>
      <c r="AL2418" t="s">
        <v>4529</v>
      </c>
      <c r="AM2418" t="s">
        <v>4513</v>
      </c>
      <c r="AN2418" t="s">
        <v>4514</v>
      </c>
      <c r="AO2418" t="s">
        <v>4514</v>
      </c>
      <c r="AP2418" t="s">
        <v>4514</v>
      </c>
      <c r="AQ2418">
        <v>1</v>
      </c>
      <c r="AR2418" t="s">
        <v>4509</v>
      </c>
      <c r="AS2418" t="s">
        <v>4510</v>
      </c>
      <c r="AT2418" t="s">
        <v>58</v>
      </c>
      <c r="AU2418" t="s">
        <v>164</v>
      </c>
      <c r="AV2418" t="s">
        <v>132</v>
      </c>
      <c r="AW2418" s="1">
        <v>24328</v>
      </c>
      <c r="AX2418">
        <v>2</v>
      </c>
    </row>
    <row r="2419" spans="1:50">
      <c r="B2419" t="str">
        <f>"143693480"</f>
        <v>143693480</v>
      </c>
      <c r="C2419" t="s">
        <v>105</v>
      </c>
      <c r="D2419" t="s">
        <v>4973</v>
      </c>
      <c r="E2419" t="s">
        <v>153</v>
      </c>
      <c r="F2419" t="s">
        <v>166</v>
      </c>
      <c r="G2419" t="s">
        <v>143</v>
      </c>
      <c r="H2419" t="str">
        <f>" "</f>
        <v xml:space="preserve"> </v>
      </c>
      <c r="N2419" t="s">
        <v>536</v>
      </c>
      <c r="O2419" t="s">
        <v>537</v>
      </c>
      <c r="R2419" t="s">
        <v>121</v>
      </c>
      <c r="S2419">
        <v>3</v>
      </c>
      <c r="T2419" t="s">
        <v>344</v>
      </c>
      <c r="U2419" s="1">
        <v>43348</v>
      </c>
      <c r="V2419" t="s">
        <v>4509</v>
      </c>
      <c r="W2419" t="s">
        <v>4510</v>
      </c>
      <c r="X2419" t="s">
        <v>58</v>
      </c>
      <c r="Y2419">
        <v>23</v>
      </c>
      <c r="Z2419" t="s">
        <v>59</v>
      </c>
      <c r="AA2419" t="s">
        <v>59</v>
      </c>
      <c r="AB2419" t="s">
        <v>59</v>
      </c>
      <c r="AD2419" t="s">
        <v>59</v>
      </c>
      <c r="AF2419" s="1">
        <v>43348</v>
      </c>
      <c r="AG2419" t="s">
        <v>125</v>
      </c>
      <c r="AH2419" t="s">
        <v>126</v>
      </c>
      <c r="AI2419" t="str">
        <f>"3202020"</f>
        <v>3202020</v>
      </c>
      <c r="AJ2419" t="s">
        <v>4576</v>
      </c>
      <c r="AK2419">
        <v>2842022289</v>
      </c>
      <c r="AL2419" t="s">
        <v>4577</v>
      </c>
      <c r="AM2419" t="s">
        <v>4513</v>
      </c>
      <c r="AN2419" t="s">
        <v>4519</v>
      </c>
      <c r="AO2419" t="s">
        <v>4519</v>
      </c>
      <c r="AP2419" t="s">
        <v>4519</v>
      </c>
      <c r="AQ2419">
        <v>4</v>
      </c>
      <c r="AR2419" t="s">
        <v>4509</v>
      </c>
      <c r="AS2419" t="s">
        <v>4510</v>
      </c>
      <c r="AT2419" t="s">
        <v>58</v>
      </c>
      <c r="AU2419" t="s">
        <v>350</v>
      </c>
      <c r="AV2419" t="s">
        <v>132</v>
      </c>
      <c r="AW2419" s="1">
        <v>32066</v>
      </c>
      <c r="AX2419">
        <v>2</v>
      </c>
    </row>
    <row r="2420" spans="1:50">
      <c r="A2420">
        <v>139472</v>
      </c>
      <c r="B2420" t="str">
        <f>"063428450"</f>
        <v>063428450</v>
      </c>
      <c r="C2420" t="s">
        <v>50</v>
      </c>
      <c r="D2420" t="s">
        <v>4974</v>
      </c>
      <c r="E2420" t="s">
        <v>237</v>
      </c>
      <c r="F2420" t="s">
        <v>3585</v>
      </c>
      <c r="G2420" t="s">
        <v>494</v>
      </c>
      <c r="H2420" t="str">
        <f>" "</f>
        <v xml:space="preserve"> </v>
      </c>
      <c r="M2420" t="s">
        <v>4975</v>
      </c>
      <c r="N2420" t="s">
        <v>146</v>
      </c>
      <c r="O2420" t="s">
        <v>147</v>
      </c>
      <c r="R2420" t="s">
        <v>57</v>
      </c>
      <c r="S2420">
        <v>19</v>
      </c>
      <c r="T2420">
        <v>331</v>
      </c>
      <c r="U2420" s="1">
        <v>30253</v>
      </c>
      <c r="V2420" t="s">
        <v>4509</v>
      </c>
      <c r="W2420" t="s">
        <v>4510</v>
      </c>
      <c r="X2420" t="s">
        <v>58</v>
      </c>
      <c r="Y2420">
        <v>18</v>
      </c>
      <c r="Z2420" t="s">
        <v>59</v>
      </c>
      <c r="AA2420" t="s">
        <v>59</v>
      </c>
      <c r="AB2420" t="s">
        <v>59</v>
      </c>
      <c r="AC2420" t="s">
        <v>59</v>
      </c>
      <c r="AD2420" t="s">
        <v>59</v>
      </c>
      <c r="AF2420" s="1">
        <v>30253</v>
      </c>
      <c r="AG2420" t="s">
        <v>148</v>
      </c>
      <c r="AH2420" t="s">
        <v>149</v>
      </c>
      <c r="AI2420" t="str">
        <f>"3251010"</f>
        <v>3251010</v>
      </c>
      <c r="AJ2420" t="s">
        <v>4646</v>
      </c>
      <c r="AK2420">
        <v>2841023649</v>
      </c>
      <c r="AL2420" t="s">
        <v>4647</v>
      </c>
      <c r="AM2420" t="s">
        <v>4513</v>
      </c>
      <c r="AN2420" t="s">
        <v>4514</v>
      </c>
      <c r="AO2420" t="s">
        <v>4514</v>
      </c>
      <c r="AP2420" t="s">
        <v>4514</v>
      </c>
      <c r="AQ2420">
        <v>1</v>
      </c>
      <c r="AR2420" t="s">
        <v>4509</v>
      </c>
      <c r="AS2420" t="s">
        <v>4510</v>
      </c>
      <c r="AT2420" t="s">
        <v>58</v>
      </c>
      <c r="AU2420" t="s">
        <v>68</v>
      </c>
      <c r="AV2420" t="s">
        <v>69</v>
      </c>
      <c r="AW2420" s="1">
        <v>19712</v>
      </c>
      <c r="AX2420">
        <v>2</v>
      </c>
    </row>
    <row r="2421" spans="1:50">
      <c r="A2421">
        <v>219778</v>
      </c>
      <c r="B2421" t="str">
        <f>"027585869"</f>
        <v>027585869</v>
      </c>
      <c r="C2421" t="s">
        <v>105</v>
      </c>
      <c r="D2421" t="s">
        <v>4976</v>
      </c>
      <c r="E2421" t="s">
        <v>95</v>
      </c>
      <c r="F2421" t="s">
        <v>315</v>
      </c>
      <c r="G2421" t="s">
        <v>3604</v>
      </c>
      <c r="H2421" t="str">
        <f>"ΜΑΣΤΡΟΠΑΥΛΟΥ 55 ΣΗΤΕΙΑ"</f>
        <v>ΜΑΣΤΡΟΠΑΥΛΟΥ 55 ΣΗΤΕΙΑ</v>
      </c>
      <c r="I2421">
        <v>72300</v>
      </c>
      <c r="K2421">
        <v>6945567314</v>
      </c>
      <c r="M2421" t="s">
        <v>4977</v>
      </c>
      <c r="N2421" t="s">
        <v>176</v>
      </c>
      <c r="O2421" t="s">
        <v>177</v>
      </c>
      <c r="R2421" t="s">
        <v>57</v>
      </c>
      <c r="S2421">
        <v>5</v>
      </c>
      <c r="T2421">
        <v>599</v>
      </c>
      <c r="U2421" s="1">
        <v>39310</v>
      </c>
      <c r="V2421" t="s">
        <v>4509</v>
      </c>
      <c r="W2421" t="s">
        <v>4510</v>
      </c>
      <c r="X2421" t="s">
        <v>58</v>
      </c>
      <c r="Y2421">
        <v>21</v>
      </c>
      <c r="Z2421" t="s">
        <v>59</v>
      </c>
      <c r="AA2421" t="s">
        <v>59</v>
      </c>
      <c r="AB2421" t="s">
        <v>59</v>
      </c>
      <c r="AC2421" t="s">
        <v>59</v>
      </c>
      <c r="AD2421" t="s">
        <v>59</v>
      </c>
      <c r="AF2421" s="1">
        <v>39329</v>
      </c>
      <c r="AG2421" t="s">
        <v>345</v>
      </c>
      <c r="AH2421" t="s">
        <v>346</v>
      </c>
      <c r="AI2421" t="str">
        <f>"3241010"</f>
        <v>3241010</v>
      </c>
      <c r="AJ2421" t="s">
        <v>4773</v>
      </c>
      <c r="AK2421">
        <v>2843029465</v>
      </c>
      <c r="AL2421" t="s">
        <v>4774</v>
      </c>
      <c r="AM2421" t="s">
        <v>4513</v>
      </c>
      <c r="AN2421" t="s">
        <v>4540</v>
      </c>
      <c r="AO2421" t="s">
        <v>4540</v>
      </c>
      <c r="AP2421" t="s">
        <v>4540</v>
      </c>
      <c r="AQ2421">
        <v>6</v>
      </c>
      <c r="AR2421" t="s">
        <v>4509</v>
      </c>
      <c r="AS2421" t="s">
        <v>4510</v>
      </c>
      <c r="AT2421" t="s">
        <v>58</v>
      </c>
      <c r="AU2421" t="s">
        <v>68</v>
      </c>
      <c r="AV2421" t="s">
        <v>132</v>
      </c>
      <c r="AW2421" s="1">
        <v>21328</v>
      </c>
      <c r="AX2421">
        <v>2</v>
      </c>
    </row>
    <row r="2422" spans="1:50">
      <c r="A2422">
        <v>182154</v>
      </c>
      <c r="B2422" t="str">
        <f>"059561830"</f>
        <v>059561830</v>
      </c>
      <c r="C2422" t="s">
        <v>50</v>
      </c>
      <c r="D2422" t="s">
        <v>4978</v>
      </c>
      <c r="E2422" t="s">
        <v>112</v>
      </c>
      <c r="F2422" t="s">
        <v>166</v>
      </c>
      <c r="G2422" t="s">
        <v>411</v>
      </c>
      <c r="H2422" t="str">
        <f>"ΠΑΠΟΥΡΑ ΣΗΤΕΙΑΣ ΣΗΤΕΙΑ"</f>
        <v>ΠΑΠΟΥΡΑ ΣΗΤΕΙΑΣ ΣΗΤΕΙΑ</v>
      </c>
      <c r="I2422">
        <v>72300</v>
      </c>
      <c r="J2422">
        <v>2843026631</v>
      </c>
      <c r="K2422">
        <v>6937803404</v>
      </c>
      <c r="M2422" t="s">
        <v>4979</v>
      </c>
      <c r="N2422" t="s">
        <v>204</v>
      </c>
      <c r="O2422" t="s">
        <v>205</v>
      </c>
      <c r="R2422" t="s">
        <v>57</v>
      </c>
      <c r="S2422">
        <v>11</v>
      </c>
      <c r="T2422">
        <v>164</v>
      </c>
      <c r="U2422" s="1">
        <v>36039</v>
      </c>
      <c r="V2422" t="s">
        <v>4509</v>
      </c>
      <c r="W2422" t="s">
        <v>4510</v>
      </c>
      <c r="X2422" t="s">
        <v>58</v>
      </c>
      <c r="Y2422">
        <v>18</v>
      </c>
      <c r="Z2422" t="s">
        <v>59</v>
      </c>
      <c r="AA2422" t="s">
        <v>59</v>
      </c>
      <c r="AB2422" t="s">
        <v>59</v>
      </c>
      <c r="AC2422" t="s">
        <v>59</v>
      </c>
      <c r="AD2422" t="s">
        <v>59</v>
      </c>
      <c r="AF2422" s="1">
        <v>36040</v>
      </c>
      <c r="AG2422" t="s">
        <v>137</v>
      </c>
      <c r="AH2422" t="s">
        <v>138</v>
      </c>
      <c r="AI2422" t="str">
        <f>"3240020"</f>
        <v>3240020</v>
      </c>
      <c r="AJ2422" t="s">
        <v>4568</v>
      </c>
      <c r="AK2422">
        <v>2843028570</v>
      </c>
      <c r="AL2422" t="s">
        <v>4569</v>
      </c>
      <c r="AM2422" t="s">
        <v>4513</v>
      </c>
      <c r="AN2422" t="s">
        <v>4540</v>
      </c>
      <c r="AO2422" t="s">
        <v>4540</v>
      </c>
      <c r="AP2422" t="s">
        <v>4540</v>
      </c>
      <c r="AQ2422">
        <v>6</v>
      </c>
      <c r="AR2422" t="s">
        <v>4509</v>
      </c>
      <c r="AS2422" t="s">
        <v>4510</v>
      </c>
      <c r="AT2422" t="s">
        <v>58</v>
      </c>
      <c r="AU2422" t="s">
        <v>68</v>
      </c>
      <c r="AV2422" t="s">
        <v>69</v>
      </c>
      <c r="AW2422" s="1">
        <v>25892</v>
      </c>
      <c r="AX2422">
        <v>2</v>
      </c>
    </row>
    <row r="2423" spans="1:50">
      <c r="A2423">
        <v>227957</v>
      </c>
      <c r="B2423" t="str">
        <f>"051921022"</f>
        <v>051921022</v>
      </c>
      <c r="C2423" t="s">
        <v>105</v>
      </c>
      <c r="D2423" t="s">
        <v>4980</v>
      </c>
      <c r="E2423" t="s">
        <v>450</v>
      </c>
      <c r="F2423" t="s">
        <v>72</v>
      </c>
      <c r="G2423" t="s">
        <v>3914</v>
      </c>
      <c r="H2423" t="str">
        <f>"ΒΙΝΤΖΕΝΤΖΟΥ ΚΟΡΝΑΡΟΥ 24 ΑΓ ΝΙΚΟΛΑΟΣ"</f>
        <v>ΒΙΝΤΖΕΝΤΖΟΥ ΚΟΡΝΑΡΟΥ 24 ΑΓ ΝΙΚΟΛΑΟΣ</v>
      </c>
      <c r="I2423">
        <v>72100</v>
      </c>
      <c r="J2423">
        <v>2841083326</v>
      </c>
      <c r="K2423">
        <v>6948793839</v>
      </c>
      <c r="M2423" t="s">
        <v>4981</v>
      </c>
      <c r="N2423" t="s">
        <v>176</v>
      </c>
      <c r="O2423" t="s">
        <v>177</v>
      </c>
      <c r="R2423" t="s">
        <v>57</v>
      </c>
      <c r="S2423">
        <v>7</v>
      </c>
      <c r="T2423">
        <v>654</v>
      </c>
      <c r="U2423" s="1">
        <v>40043</v>
      </c>
      <c r="V2423" t="s">
        <v>4509</v>
      </c>
      <c r="W2423" t="s">
        <v>4510</v>
      </c>
      <c r="X2423" t="s">
        <v>58</v>
      </c>
      <c r="Y2423">
        <v>20</v>
      </c>
      <c r="Z2423" t="s">
        <v>59</v>
      </c>
      <c r="AA2423" t="s">
        <v>59</v>
      </c>
      <c r="AB2423" t="s">
        <v>59</v>
      </c>
      <c r="AC2423" t="s">
        <v>59</v>
      </c>
      <c r="AD2423" t="s">
        <v>59</v>
      </c>
      <c r="AF2423" s="1">
        <v>40057</v>
      </c>
      <c r="AG2423" t="s">
        <v>345</v>
      </c>
      <c r="AH2423" t="s">
        <v>346</v>
      </c>
      <c r="AI2423" t="str">
        <f>"3241001"</f>
        <v>3241001</v>
      </c>
      <c r="AJ2423" t="s">
        <v>4613</v>
      </c>
      <c r="AK2423">
        <v>2842026374</v>
      </c>
      <c r="AL2423" t="s">
        <v>4614</v>
      </c>
      <c r="AM2423" t="s">
        <v>4513</v>
      </c>
      <c r="AN2423" t="s">
        <v>4519</v>
      </c>
      <c r="AO2423" t="s">
        <v>4519</v>
      </c>
      <c r="AP2423" t="s">
        <v>4519</v>
      </c>
      <c r="AQ2423">
        <v>4</v>
      </c>
      <c r="AR2423" t="s">
        <v>4509</v>
      </c>
      <c r="AS2423" t="s">
        <v>4510</v>
      </c>
      <c r="AT2423" t="s">
        <v>58</v>
      </c>
      <c r="AU2423" t="s">
        <v>68</v>
      </c>
      <c r="AV2423" t="s">
        <v>69</v>
      </c>
      <c r="AW2423" s="1">
        <v>24495</v>
      </c>
      <c r="AX2423">
        <v>2</v>
      </c>
    </row>
    <row r="2424" spans="1:50">
      <c r="B2424" t="str">
        <f>"062578085"</f>
        <v>062578085</v>
      </c>
      <c r="C2424" t="s">
        <v>50</v>
      </c>
      <c r="D2424" t="s">
        <v>4982</v>
      </c>
      <c r="E2424" t="s">
        <v>250</v>
      </c>
      <c r="F2424" t="s">
        <v>166</v>
      </c>
      <c r="G2424" t="s">
        <v>54</v>
      </c>
      <c r="H2424" t="str">
        <f>"ΒΡΑΧΟΚΗΠΟΣ ΚΟΚΚΙΝΗ ΧΑΝΙ ΗΡΑΚΛΕΙΟ"</f>
        <v>ΒΡΑΧΟΚΗΠΟΣ ΚΟΚΚΙΝΗ ΧΑΝΙ ΗΡΑΚΛΕΙΟ</v>
      </c>
      <c r="I2424">
        <v>71500</v>
      </c>
      <c r="J2424">
        <v>2810762487</v>
      </c>
      <c r="K2424">
        <v>6972502720</v>
      </c>
      <c r="N2424" t="s">
        <v>883</v>
      </c>
      <c r="O2424" t="s">
        <v>884</v>
      </c>
      <c r="R2424" t="s">
        <v>159</v>
      </c>
      <c r="S2424">
        <v>3</v>
      </c>
      <c r="T2424" t="s">
        <v>344</v>
      </c>
      <c r="U2424" s="1">
        <v>43348</v>
      </c>
      <c r="V2424" t="s">
        <v>4509</v>
      </c>
      <c r="W2424" t="s">
        <v>4510</v>
      </c>
      <c r="X2424" t="s">
        <v>58</v>
      </c>
      <c r="Y2424">
        <v>23</v>
      </c>
      <c r="Z2424" t="s">
        <v>59</v>
      </c>
      <c r="AA2424" t="s">
        <v>59</v>
      </c>
      <c r="AB2424" t="s">
        <v>59</v>
      </c>
      <c r="AC2424" t="s">
        <v>59</v>
      </c>
      <c r="AD2424" t="s">
        <v>59</v>
      </c>
      <c r="AF2424" s="1">
        <v>43348</v>
      </c>
      <c r="AG2424" t="s">
        <v>125</v>
      </c>
      <c r="AH2424" t="s">
        <v>126</v>
      </c>
      <c r="AI2424" t="str">
        <f>"3203010"</f>
        <v>3203010</v>
      </c>
      <c r="AJ2424" t="s">
        <v>4522</v>
      </c>
      <c r="AK2424">
        <v>2841034140</v>
      </c>
      <c r="AL2424" t="s">
        <v>4523</v>
      </c>
      <c r="AM2424" t="s">
        <v>4513</v>
      </c>
      <c r="AN2424" t="s">
        <v>4514</v>
      </c>
      <c r="AO2424" t="s">
        <v>4524</v>
      </c>
      <c r="AP2424" t="s">
        <v>4525</v>
      </c>
      <c r="AQ2424">
        <v>3</v>
      </c>
      <c r="AR2424" t="s">
        <v>4509</v>
      </c>
      <c r="AS2424" t="s">
        <v>4510</v>
      </c>
      <c r="AT2424" t="s">
        <v>58</v>
      </c>
      <c r="AU2424" t="s">
        <v>350</v>
      </c>
      <c r="AV2424" t="s">
        <v>132</v>
      </c>
      <c r="AW2424" s="1">
        <v>30156</v>
      </c>
      <c r="AX2424">
        <v>2</v>
      </c>
    </row>
    <row r="2425" spans="1:50">
      <c r="A2425">
        <v>181626</v>
      </c>
      <c r="B2425" t="str">
        <f>"050678394"</f>
        <v>050678394</v>
      </c>
      <c r="C2425" t="s">
        <v>105</v>
      </c>
      <c r="D2425" t="s">
        <v>4983</v>
      </c>
      <c r="E2425" t="s">
        <v>309</v>
      </c>
      <c r="F2425" t="s">
        <v>377</v>
      </c>
      <c r="G2425" t="s">
        <v>181</v>
      </c>
      <c r="H2425" t="str">
        <f>"ΛΑΜΠΙΡΗ  16Α ΣΗΤΕΙΑ"</f>
        <v>ΛΑΜΠΙΡΗ  16Α ΣΗΤΕΙΑ</v>
      </c>
      <c r="I2425">
        <v>72300</v>
      </c>
      <c r="J2425">
        <v>2843025707</v>
      </c>
      <c r="K2425">
        <v>6946293921</v>
      </c>
      <c r="M2425" t="s">
        <v>4984</v>
      </c>
      <c r="N2425" t="s">
        <v>176</v>
      </c>
      <c r="O2425" t="s">
        <v>177</v>
      </c>
      <c r="R2425" t="s">
        <v>57</v>
      </c>
      <c r="S2425">
        <v>12</v>
      </c>
      <c r="T2425">
        <v>181</v>
      </c>
      <c r="U2425" s="1">
        <v>36039</v>
      </c>
      <c r="V2425" t="s">
        <v>4509</v>
      </c>
      <c r="W2425" t="s">
        <v>4510</v>
      </c>
      <c r="X2425" t="s">
        <v>58</v>
      </c>
      <c r="Y2425">
        <v>18</v>
      </c>
      <c r="Z2425" t="s">
        <v>59</v>
      </c>
      <c r="AA2425" t="s">
        <v>59</v>
      </c>
      <c r="AB2425" t="s">
        <v>59</v>
      </c>
      <c r="AC2425" t="s">
        <v>59</v>
      </c>
      <c r="AD2425" t="s">
        <v>59</v>
      </c>
      <c r="AF2425" s="1">
        <v>36040</v>
      </c>
      <c r="AG2425" t="s">
        <v>125</v>
      </c>
      <c r="AH2425" t="s">
        <v>126</v>
      </c>
      <c r="AI2425" t="str">
        <f>"3206010"</f>
        <v>3206010</v>
      </c>
      <c r="AJ2425" t="s">
        <v>4545</v>
      </c>
      <c r="AK2425">
        <v>2843031222</v>
      </c>
      <c r="AL2425" t="s">
        <v>4546</v>
      </c>
      <c r="AM2425" t="s">
        <v>4513</v>
      </c>
      <c r="AN2425" t="s">
        <v>4540</v>
      </c>
      <c r="AO2425" t="s">
        <v>4547</v>
      </c>
      <c r="AP2425" t="s">
        <v>4548</v>
      </c>
      <c r="AQ2425">
        <v>6</v>
      </c>
      <c r="AR2425" t="s">
        <v>4509</v>
      </c>
      <c r="AS2425" t="s">
        <v>4510</v>
      </c>
      <c r="AT2425" t="s">
        <v>58</v>
      </c>
      <c r="AU2425" t="s">
        <v>68</v>
      </c>
      <c r="AV2425" t="s">
        <v>69</v>
      </c>
      <c r="AW2425" s="1">
        <v>23643</v>
      </c>
      <c r="AX2425">
        <v>2</v>
      </c>
    </row>
    <row r="2426" spans="1:50">
      <c r="A2426">
        <v>165228</v>
      </c>
      <c r="B2426" t="str">
        <f>"033970788"</f>
        <v>033970788</v>
      </c>
      <c r="C2426" t="s">
        <v>50</v>
      </c>
      <c r="D2426" t="s">
        <v>4985</v>
      </c>
      <c r="E2426" t="s">
        <v>707</v>
      </c>
      <c r="F2426" t="s">
        <v>72</v>
      </c>
      <c r="G2426" t="s">
        <v>1065</v>
      </c>
      <c r="H2426" t="str">
        <f>" Σητεια"</f>
        <v xml:space="preserve"> Σητεια</v>
      </c>
      <c r="I2426">
        <v>72300</v>
      </c>
      <c r="J2426">
        <v>2107751686</v>
      </c>
      <c r="K2426">
        <v>6973886640</v>
      </c>
      <c r="M2426" t="s">
        <v>4986</v>
      </c>
      <c r="N2426" t="s">
        <v>306</v>
      </c>
      <c r="O2426" t="s">
        <v>307</v>
      </c>
      <c r="R2426" t="s">
        <v>57</v>
      </c>
      <c r="S2426">
        <v>17</v>
      </c>
      <c r="T2426">
        <v>238</v>
      </c>
      <c r="U2426" s="1">
        <v>33968</v>
      </c>
      <c r="V2426" t="s">
        <v>4509</v>
      </c>
      <c r="W2426" t="s">
        <v>4510</v>
      </c>
      <c r="X2426" t="s">
        <v>58</v>
      </c>
      <c r="Y2426">
        <v>18</v>
      </c>
      <c r="Z2426" t="s">
        <v>59</v>
      </c>
      <c r="AA2426" t="s">
        <v>59</v>
      </c>
      <c r="AB2426" t="s">
        <v>59</v>
      </c>
      <c r="AC2426" t="s">
        <v>59</v>
      </c>
      <c r="AD2426" t="s">
        <v>59</v>
      </c>
      <c r="AF2426" s="1">
        <v>33977</v>
      </c>
      <c r="AG2426" t="s">
        <v>125</v>
      </c>
      <c r="AH2426" t="s">
        <v>126</v>
      </c>
      <c r="AI2426" t="str">
        <f>"3204010"</f>
        <v>3204010</v>
      </c>
      <c r="AJ2426" t="s">
        <v>4542</v>
      </c>
      <c r="AK2426">
        <v>2843022503</v>
      </c>
      <c r="AL2426" t="s">
        <v>4543</v>
      </c>
      <c r="AM2426" t="s">
        <v>4513</v>
      </c>
      <c r="AN2426" t="s">
        <v>4540</v>
      </c>
      <c r="AO2426" t="s">
        <v>4540</v>
      </c>
      <c r="AP2426" t="s">
        <v>4540</v>
      </c>
      <c r="AQ2426">
        <v>6</v>
      </c>
      <c r="AR2426" t="s">
        <v>4509</v>
      </c>
      <c r="AS2426" t="s">
        <v>4510</v>
      </c>
      <c r="AT2426" t="s">
        <v>58</v>
      </c>
      <c r="AU2426" t="s">
        <v>68</v>
      </c>
      <c r="AV2426" t="s">
        <v>69</v>
      </c>
      <c r="AW2426" s="1">
        <v>22598</v>
      </c>
      <c r="AX2426">
        <v>2</v>
      </c>
    </row>
    <row r="2427" spans="1:50">
      <c r="A2427">
        <v>215512</v>
      </c>
      <c r="B2427" t="str">
        <f>"065857031"</f>
        <v>065857031</v>
      </c>
      <c r="C2427" t="s">
        <v>105</v>
      </c>
      <c r="D2427" t="s">
        <v>2154</v>
      </c>
      <c r="E2427" t="s">
        <v>95</v>
      </c>
      <c r="F2427" t="s">
        <v>53</v>
      </c>
      <c r="G2427" t="s">
        <v>4987</v>
      </c>
      <c r="H2427" t="str">
        <f>"ΕΜΜ ΠΟΘΟΥ 6 ΑΓ. ΝΙΚΟΛΑΟΣ"</f>
        <v>ΕΜΜ ΠΟΘΟΥ 6 ΑΓ. ΝΙΚΟΛΑΟΣ</v>
      </c>
      <c r="I2427">
        <v>72100</v>
      </c>
      <c r="J2427">
        <v>2841300580</v>
      </c>
      <c r="K2427">
        <v>6936836900</v>
      </c>
      <c r="M2427" t="s">
        <v>4988</v>
      </c>
      <c r="N2427" t="s">
        <v>204</v>
      </c>
      <c r="O2427" t="s">
        <v>205</v>
      </c>
      <c r="R2427" t="s">
        <v>57</v>
      </c>
      <c r="S2427">
        <v>6</v>
      </c>
      <c r="T2427">
        <v>231</v>
      </c>
      <c r="U2427" s="1">
        <v>38960</v>
      </c>
      <c r="V2427" t="s">
        <v>4509</v>
      </c>
      <c r="W2427" t="s">
        <v>4510</v>
      </c>
      <c r="X2427" t="s">
        <v>58</v>
      </c>
      <c r="Y2427">
        <v>20</v>
      </c>
      <c r="Z2427" t="s">
        <v>59</v>
      </c>
      <c r="AA2427" t="s">
        <v>59</v>
      </c>
      <c r="AB2427" t="s">
        <v>59</v>
      </c>
      <c r="AC2427" t="s">
        <v>59</v>
      </c>
      <c r="AD2427" t="s">
        <v>59</v>
      </c>
      <c r="AF2427" s="1">
        <v>38965</v>
      </c>
      <c r="AG2427" t="s">
        <v>125</v>
      </c>
      <c r="AH2427" t="s">
        <v>126</v>
      </c>
      <c r="AI2427" t="str">
        <f>"3203010"</f>
        <v>3203010</v>
      </c>
      <c r="AJ2427" t="s">
        <v>4522</v>
      </c>
      <c r="AK2427">
        <v>2841034140</v>
      </c>
      <c r="AL2427" t="s">
        <v>4523</v>
      </c>
      <c r="AM2427" t="s">
        <v>4513</v>
      </c>
      <c r="AN2427" t="s">
        <v>4514</v>
      </c>
      <c r="AO2427" t="s">
        <v>4524</v>
      </c>
      <c r="AP2427" t="s">
        <v>4525</v>
      </c>
      <c r="AQ2427">
        <v>3</v>
      </c>
      <c r="AR2427" t="s">
        <v>4509</v>
      </c>
      <c r="AS2427" t="s">
        <v>4510</v>
      </c>
      <c r="AT2427" t="s">
        <v>58</v>
      </c>
      <c r="AU2427" t="s">
        <v>68</v>
      </c>
      <c r="AV2427" t="s">
        <v>132</v>
      </c>
      <c r="AW2427" s="1">
        <v>28627</v>
      </c>
      <c r="AX2427">
        <v>2</v>
      </c>
    </row>
    <row r="2428" spans="1:50">
      <c r="A2428">
        <v>172148</v>
      </c>
      <c r="B2428" t="str">
        <f>"038517252"</f>
        <v>038517252</v>
      </c>
      <c r="C2428" t="s">
        <v>105</v>
      </c>
      <c r="D2428" t="s">
        <v>2154</v>
      </c>
      <c r="E2428" t="s">
        <v>72</v>
      </c>
      <c r="F2428" t="s">
        <v>106</v>
      </c>
      <c r="G2428" t="s">
        <v>181</v>
      </c>
      <c r="H2428" t="str">
        <f>" "</f>
        <v xml:space="preserve"> </v>
      </c>
      <c r="K2428">
        <v>6944642177</v>
      </c>
      <c r="M2428" t="s">
        <v>4989</v>
      </c>
      <c r="N2428" t="s">
        <v>331</v>
      </c>
      <c r="O2428" t="s">
        <v>332</v>
      </c>
      <c r="P2428" t="s">
        <v>232</v>
      </c>
      <c r="Q2428" t="s">
        <v>233</v>
      </c>
      <c r="R2428" t="s">
        <v>57</v>
      </c>
      <c r="S2428">
        <v>15</v>
      </c>
      <c r="T2428">
        <v>184</v>
      </c>
      <c r="U2428" s="1">
        <v>34941</v>
      </c>
      <c r="V2428" t="s">
        <v>4509</v>
      </c>
      <c r="W2428" t="s">
        <v>4510</v>
      </c>
      <c r="X2428" t="s">
        <v>58</v>
      </c>
      <c r="Y2428">
        <v>18</v>
      </c>
      <c r="Z2428" t="s">
        <v>59</v>
      </c>
      <c r="AA2428" t="s">
        <v>59</v>
      </c>
      <c r="AB2428" t="s">
        <v>59</v>
      </c>
      <c r="AC2428" t="s">
        <v>59</v>
      </c>
      <c r="AD2428" t="s">
        <v>59</v>
      </c>
      <c r="AF2428" s="1">
        <v>34943</v>
      </c>
      <c r="AG2428" t="s">
        <v>137</v>
      </c>
      <c r="AH2428" t="s">
        <v>138</v>
      </c>
      <c r="AI2428" t="str">
        <f>"3240070"</f>
        <v>3240070</v>
      </c>
      <c r="AJ2428" t="s">
        <v>4582</v>
      </c>
      <c r="AK2428">
        <v>2841032545</v>
      </c>
      <c r="AL2428" t="s">
        <v>4583</v>
      </c>
      <c r="AM2428" t="s">
        <v>4513</v>
      </c>
      <c r="AN2428" t="s">
        <v>4514</v>
      </c>
      <c r="AO2428" t="s">
        <v>4524</v>
      </c>
      <c r="AP2428" t="s">
        <v>4525</v>
      </c>
      <c r="AQ2428">
        <v>3</v>
      </c>
      <c r="AR2428" t="s">
        <v>4509</v>
      </c>
      <c r="AS2428" t="s">
        <v>4510</v>
      </c>
      <c r="AT2428" t="s">
        <v>58</v>
      </c>
      <c r="AU2428" t="s">
        <v>68</v>
      </c>
      <c r="AV2428" t="s">
        <v>69</v>
      </c>
      <c r="AW2428" s="1">
        <v>24185</v>
      </c>
      <c r="AX2428">
        <v>2</v>
      </c>
    </row>
    <row r="2429" spans="1:50">
      <c r="A2429">
        <v>209338</v>
      </c>
      <c r="B2429" t="str">
        <f>"061813020"</f>
        <v>061813020</v>
      </c>
      <c r="C2429" t="s">
        <v>50</v>
      </c>
      <c r="D2429" t="s">
        <v>2162</v>
      </c>
      <c r="E2429" t="s">
        <v>112</v>
      </c>
      <c r="F2429" t="s">
        <v>309</v>
      </c>
      <c r="G2429" t="s">
        <v>372</v>
      </c>
      <c r="H2429" t="str">
        <f>"Ρ. ΦΕΡΑΙΟΥ 13 ΣΗΤΕΙΑ"</f>
        <v>Ρ. ΦΕΡΑΙΟΥ 13 ΣΗΤΕΙΑ</v>
      </c>
      <c r="I2429">
        <v>72300</v>
      </c>
      <c r="J2429">
        <v>2109353721</v>
      </c>
      <c r="K2429">
        <v>6945774033</v>
      </c>
      <c r="L2429">
        <v>2843025903</v>
      </c>
      <c r="M2429" t="s">
        <v>4990</v>
      </c>
      <c r="N2429" t="s">
        <v>157</v>
      </c>
      <c r="O2429" t="s">
        <v>158</v>
      </c>
      <c r="R2429" t="s">
        <v>57</v>
      </c>
      <c r="S2429">
        <v>6</v>
      </c>
      <c r="T2429">
        <v>225</v>
      </c>
      <c r="U2429" s="1">
        <v>38604</v>
      </c>
      <c r="V2429" t="s">
        <v>4509</v>
      </c>
      <c r="W2429" t="s">
        <v>4510</v>
      </c>
      <c r="X2429" t="s">
        <v>58</v>
      </c>
      <c r="Y2429">
        <v>20</v>
      </c>
      <c r="Z2429" t="s">
        <v>59</v>
      </c>
      <c r="AA2429" t="s">
        <v>59</v>
      </c>
      <c r="AB2429" t="s">
        <v>59</v>
      </c>
      <c r="AC2429" t="s">
        <v>59</v>
      </c>
      <c r="AD2429" t="s">
        <v>59</v>
      </c>
      <c r="AF2429" s="1">
        <v>38605</v>
      </c>
      <c r="AG2429" t="s">
        <v>137</v>
      </c>
      <c r="AH2429" t="s">
        <v>138</v>
      </c>
      <c r="AI2429" t="str">
        <f>"3240020"</f>
        <v>3240020</v>
      </c>
      <c r="AJ2429" t="s">
        <v>4568</v>
      </c>
      <c r="AK2429">
        <v>2843028570</v>
      </c>
      <c r="AL2429" t="s">
        <v>4569</v>
      </c>
      <c r="AM2429" t="s">
        <v>4513</v>
      </c>
      <c r="AN2429" t="s">
        <v>4540</v>
      </c>
      <c r="AO2429" t="s">
        <v>4540</v>
      </c>
      <c r="AP2429" t="s">
        <v>4540</v>
      </c>
      <c r="AQ2429">
        <v>6</v>
      </c>
      <c r="AR2429" t="s">
        <v>4509</v>
      </c>
      <c r="AS2429" t="s">
        <v>4510</v>
      </c>
      <c r="AT2429" t="s">
        <v>58</v>
      </c>
      <c r="AU2429" t="s">
        <v>68</v>
      </c>
      <c r="AV2429" t="s">
        <v>69</v>
      </c>
      <c r="AW2429" s="1">
        <v>25921</v>
      </c>
      <c r="AX2429">
        <v>2</v>
      </c>
    </row>
    <row r="2430" spans="1:50">
      <c r="A2430">
        <v>203994</v>
      </c>
      <c r="B2430" t="str">
        <f>"039203250"</f>
        <v>039203250</v>
      </c>
      <c r="C2430" t="s">
        <v>105</v>
      </c>
      <c r="D2430" t="s">
        <v>4991</v>
      </c>
      <c r="E2430" t="s">
        <v>957</v>
      </c>
      <c r="F2430" t="s">
        <v>1376</v>
      </c>
      <c r="G2430" t="s">
        <v>4992</v>
      </c>
      <c r="H2430" t="str">
        <f>" "</f>
        <v xml:space="preserve"> </v>
      </c>
      <c r="J2430">
        <v>2841089181</v>
      </c>
      <c r="K2430">
        <v>6948879024</v>
      </c>
      <c r="M2430" t="s">
        <v>4993</v>
      </c>
      <c r="N2430" t="s">
        <v>176</v>
      </c>
      <c r="O2430" t="s">
        <v>177</v>
      </c>
      <c r="R2430" t="s">
        <v>57</v>
      </c>
      <c r="S2430">
        <v>9</v>
      </c>
      <c r="T2430" s="1">
        <v>38230</v>
      </c>
      <c r="U2430" s="1">
        <v>38231</v>
      </c>
      <c r="V2430" t="s">
        <v>4509</v>
      </c>
      <c r="W2430" t="s">
        <v>4510</v>
      </c>
      <c r="X2430" t="s">
        <v>58</v>
      </c>
      <c r="Y2430">
        <v>20</v>
      </c>
      <c r="Z2430" t="s">
        <v>59</v>
      </c>
      <c r="AA2430" t="s">
        <v>59</v>
      </c>
      <c r="AB2430" t="s">
        <v>59</v>
      </c>
      <c r="AC2430" t="s">
        <v>59</v>
      </c>
      <c r="AD2430" t="s">
        <v>59</v>
      </c>
      <c r="AF2430" s="1">
        <v>38231</v>
      </c>
      <c r="AG2430" t="s">
        <v>125</v>
      </c>
      <c r="AH2430" t="s">
        <v>126</v>
      </c>
      <c r="AI2430" t="str">
        <f>"3201010"</f>
        <v>3201010</v>
      </c>
      <c r="AJ2430" t="s">
        <v>4596</v>
      </c>
      <c r="AK2430">
        <v>2841022301</v>
      </c>
      <c r="AL2430" t="s">
        <v>4597</v>
      </c>
      <c r="AM2430" t="s">
        <v>4513</v>
      </c>
      <c r="AN2430" t="s">
        <v>4514</v>
      </c>
      <c r="AO2430" t="s">
        <v>4514</v>
      </c>
      <c r="AP2430" t="s">
        <v>4514</v>
      </c>
      <c r="AQ2430">
        <v>1</v>
      </c>
      <c r="AR2430" t="s">
        <v>4509</v>
      </c>
      <c r="AS2430" t="s">
        <v>4510</v>
      </c>
      <c r="AT2430" t="s">
        <v>58</v>
      </c>
      <c r="AU2430" t="s">
        <v>68</v>
      </c>
      <c r="AV2430" t="s">
        <v>132</v>
      </c>
      <c r="AW2430" s="1">
        <v>24718</v>
      </c>
      <c r="AX2430">
        <v>2</v>
      </c>
    </row>
    <row r="2431" spans="1:50">
      <c r="A2431">
        <v>196671</v>
      </c>
      <c r="B2431" t="str">
        <f>"034377886"</f>
        <v>034377886</v>
      </c>
      <c r="C2431" t="s">
        <v>105</v>
      </c>
      <c r="D2431" t="s">
        <v>4994</v>
      </c>
      <c r="E2431" t="s">
        <v>111</v>
      </c>
      <c r="F2431" t="s">
        <v>154</v>
      </c>
      <c r="G2431" t="s">
        <v>787</v>
      </c>
      <c r="H2431" t="str">
        <f>" "</f>
        <v xml:space="preserve"> </v>
      </c>
      <c r="K2431">
        <v>6978289886</v>
      </c>
      <c r="M2431" t="s">
        <v>4995</v>
      </c>
      <c r="N2431" t="s">
        <v>176</v>
      </c>
      <c r="O2431" t="s">
        <v>177</v>
      </c>
      <c r="R2431" t="s">
        <v>57</v>
      </c>
      <c r="S2431">
        <v>12</v>
      </c>
      <c r="T2431">
        <v>198</v>
      </c>
      <c r="U2431" s="1">
        <v>34941</v>
      </c>
      <c r="V2431" t="s">
        <v>4509</v>
      </c>
      <c r="W2431" t="s">
        <v>4510</v>
      </c>
      <c r="X2431" t="s">
        <v>58</v>
      </c>
      <c r="Y2431">
        <v>20</v>
      </c>
      <c r="Z2431" t="s">
        <v>59</v>
      </c>
      <c r="AA2431" t="s">
        <v>59</v>
      </c>
      <c r="AB2431" t="s">
        <v>59</v>
      </c>
      <c r="AC2431" t="s">
        <v>59</v>
      </c>
      <c r="AD2431" t="s">
        <v>59</v>
      </c>
      <c r="AF2431" s="1">
        <v>37865</v>
      </c>
      <c r="AG2431" t="s">
        <v>125</v>
      </c>
      <c r="AH2431" t="s">
        <v>126</v>
      </c>
      <c r="AI2431" t="str">
        <f>"3201010"</f>
        <v>3201010</v>
      </c>
      <c r="AJ2431" t="s">
        <v>4596</v>
      </c>
      <c r="AK2431">
        <v>2841022301</v>
      </c>
      <c r="AL2431" t="s">
        <v>4597</v>
      </c>
      <c r="AM2431" t="s">
        <v>4513</v>
      </c>
      <c r="AN2431" t="s">
        <v>4514</v>
      </c>
      <c r="AO2431" t="s">
        <v>4514</v>
      </c>
      <c r="AP2431" t="s">
        <v>4514</v>
      </c>
      <c r="AQ2431">
        <v>1</v>
      </c>
      <c r="AR2431" t="s">
        <v>4509</v>
      </c>
      <c r="AS2431" t="s">
        <v>4510</v>
      </c>
      <c r="AT2431" t="s">
        <v>58</v>
      </c>
      <c r="AU2431" t="s">
        <v>68</v>
      </c>
      <c r="AV2431" t="s">
        <v>69</v>
      </c>
      <c r="AW2431" s="1">
        <v>24058</v>
      </c>
      <c r="AX2431">
        <v>2</v>
      </c>
    </row>
    <row r="2432" spans="1:50">
      <c r="A2432">
        <v>203714</v>
      </c>
      <c r="B2432" t="str">
        <f>"042494568"</f>
        <v>042494568</v>
      </c>
      <c r="C2432" t="s">
        <v>105</v>
      </c>
      <c r="D2432" t="s">
        <v>4996</v>
      </c>
      <c r="E2432" t="s">
        <v>166</v>
      </c>
      <c r="F2432" t="s">
        <v>53</v>
      </c>
      <c r="G2432" t="s">
        <v>3483</v>
      </c>
      <c r="H2432" t="str">
        <f>" "</f>
        <v xml:space="preserve"> </v>
      </c>
      <c r="J2432">
        <v>2842023126</v>
      </c>
      <c r="K2432">
        <v>6974019034</v>
      </c>
      <c r="N2432" t="s">
        <v>299</v>
      </c>
      <c r="O2432" t="s">
        <v>300</v>
      </c>
      <c r="R2432" t="s">
        <v>57</v>
      </c>
      <c r="S2432">
        <v>9</v>
      </c>
      <c r="T2432">
        <v>231</v>
      </c>
      <c r="U2432" s="1">
        <v>38230</v>
      </c>
      <c r="V2432" t="s">
        <v>4509</v>
      </c>
      <c r="W2432" t="s">
        <v>4510</v>
      </c>
      <c r="X2432" t="s">
        <v>58</v>
      </c>
      <c r="Y2432">
        <v>20</v>
      </c>
      <c r="Z2432" t="s">
        <v>59</v>
      </c>
      <c r="AA2432" t="s">
        <v>59</v>
      </c>
      <c r="AB2432" t="s">
        <v>59</v>
      </c>
      <c r="AC2432" t="s">
        <v>59</v>
      </c>
      <c r="AD2432" t="s">
        <v>59</v>
      </c>
      <c r="AF2432" s="1">
        <v>38230</v>
      </c>
      <c r="AG2432" t="s">
        <v>137</v>
      </c>
      <c r="AH2432" t="s">
        <v>138</v>
      </c>
      <c r="AI2432" t="str">
        <f>"3240120"</f>
        <v>3240120</v>
      </c>
      <c r="AJ2432" t="s">
        <v>4552</v>
      </c>
      <c r="AK2432">
        <v>2842028667</v>
      </c>
      <c r="AL2432" t="s">
        <v>4553</v>
      </c>
      <c r="AM2432" t="s">
        <v>4513</v>
      </c>
      <c r="AN2432" t="s">
        <v>4519</v>
      </c>
      <c r="AO2432" t="s">
        <v>4519</v>
      </c>
      <c r="AP2432" t="s">
        <v>4519</v>
      </c>
      <c r="AQ2432">
        <v>4</v>
      </c>
      <c r="AR2432" t="s">
        <v>4509</v>
      </c>
      <c r="AS2432" t="s">
        <v>4510</v>
      </c>
      <c r="AT2432" t="s">
        <v>58</v>
      </c>
      <c r="AU2432" t="s">
        <v>68</v>
      </c>
      <c r="AV2432" t="s">
        <v>69</v>
      </c>
      <c r="AW2432" s="1">
        <v>20214</v>
      </c>
      <c r="AX2432">
        <v>2</v>
      </c>
    </row>
    <row r="2433" spans="1:50">
      <c r="A2433">
        <v>700971</v>
      </c>
      <c r="B2433" t="str">
        <f>"032244191"</f>
        <v>032244191</v>
      </c>
      <c r="C2433" t="s">
        <v>50</v>
      </c>
      <c r="D2433" t="s">
        <v>2170</v>
      </c>
      <c r="E2433" t="s">
        <v>52</v>
      </c>
      <c r="F2433" t="s">
        <v>106</v>
      </c>
      <c r="G2433" t="s">
        <v>396</v>
      </c>
      <c r="H2433" t="str">
        <f>"ΛΑΣΘΕΝΟΥΣ 79 ΙΕΡΑΠΕΤΡΑ"</f>
        <v>ΛΑΣΘΕΝΟΥΣ 79 ΙΕΡΑΠΕΤΡΑ</v>
      </c>
      <c r="I2433">
        <v>72200</v>
      </c>
      <c r="J2433">
        <v>2842024943</v>
      </c>
      <c r="K2433">
        <v>6932908392</v>
      </c>
      <c r="M2433" t="s">
        <v>4997</v>
      </c>
      <c r="N2433" t="s">
        <v>232</v>
      </c>
      <c r="O2433" t="s">
        <v>233</v>
      </c>
      <c r="R2433" t="s">
        <v>57</v>
      </c>
      <c r="S2433">
        <v>6</v>
      </c>
      <c r="T2433">
        <v>772</v>
      </c>
      <c r="U2433" s="1">
        <v>40413</v>
      </c>
      <c r="V2433" t="s">
        <v>4509</v>
      </c>
      <c r="W2433" t="s">
        <v>4510</v>
      </c>
      <c r="X2433" t="s">
        <v>58</v>
      </c>
      <c r="Y2433">
        <v>21</v>
      </c>
      <c r="Z2433" t="s">
        <v>59</v>
      </c>
      <c r="AA2433" t="s">
        <v>59</v>
      </c>
      <c r="AB2433" t="s">
        <v>59</v>
      </c>
      <c r="AC2433" t="s">
        <v>59</v>
      </c>
      <c r="AD2433" t="s">
        <v>59</v>
      </c>
      <c r="AF2433" s="1">
        <v>40413</v>
      </c>
      <c r="AG2433" t="s">
        <v>148</v>
      </c>
      <c r="AH2433" t="s">
        <v>149</v>
      </c>
      <c r="AI2433" t="str">
        <f>"3252020"</f>
        <v>3252020</v>
      </c>
      <c r="AJ2433" t="s">
        <v>4638</v>
      </c>
      <c r="AK2433">
        <v>2842022379</v>
      </c>
      <c r="AL2433" t="s">
        <v>4639</v>
      </c>
      <c r="AM2433" t="s">
        <v>4513</v>
      </c>
      <c r="AN2433" t="s">
        <v>4519</v>
      </c>
      <c r="AO2433" t="s">
        <v>4519</v>
      </c>
      <c r="AP2433" t="s">
        <v>4519</v>
      </c>
      <c r="AQ2433">
        <v>4</v>
      </c>
      <c r="AR2433" t="s">
        <v>4509</v>
      </c>
      <c r="AS2433" t="s">
        <v>4510</v>
      </c>
      <c r="AT2433" t="s">
        <v>58</v>
      </c>
      <c r="AU2433" t="s">
        <v>68</v>
      </c>
      <c r="AV2433" t="s">
        <v>69</v>
      </c>
      <c r="AW2433" s="1">
        <v>30015</v>
      </c>
      <c r="AX2433">
        <v>2</v>
      </c>
    </row>
    <row r="2434" spans="1:50">
      <c r="B2434" t="str">
        <f>"110389187"</f>
        <v>110389187</v>
      </c>
      <c r="C2434" t="s">
        <v>50</v>
      </c>
      <c r="D2434" t="s">
        <v>4998</v>
      </c>
      <c r="E2434" t="s">
        <v>109</v>
      </c>
      <c r="F2434" t="s">
        <v>4999</v>
      </c>
      <c r="G2434" t="s">
        <v>5000</v>
      </c>
      <c r="H2434" t="str">
        <f>"Δ.ΠΑΠΑΔΑΚΗ 20 ΣΗΤΕΙΑ"</f>
        <v>Δ.ΠΑΠΑΔΑΚΗ 20 ΣΗΤΕΙΑ</v>
      </c>
      <c r="I2434">
        <v>72300</v>
      </c>
      <c r="J2434">
        <v>2843022286</v>
      </c>
      <c r="K2434">
        <v>6944056795</v>
      </c>
      <c r="M2434" t="s">
        <v>5001</v>
      </c>
      <c r="N2434" t="s">
        <v>299</v>
      </c>
      <c r="O2434" t="s">
        <v>300</v>
      </c>
      <c r="R2434" t="s">
        <v>159</v>
      </c>
      <c r="S2434">
        <v>3</v>
      </c>
      <c r="T2434" t="s">
        <v>574</v>
      </c>
      <c r="U2434" s="1">
        <v>43378</v>
      </c>
      <c r="V2434" t="s">
        <v>4509</v>
      </c>
      <c r="W2434" t="s">
        <v>4510</v>
      </c>
      <c r="X2434" t="s">
        <v>58</v>
      </c>
      <c r="Y2434">
        <v>23</v>
      </c>
      <c r="Z2434" t="s">
        <v>59</v>
      </c>
      <c r="AA2434" t="s">
        <v>59</v>
      </c>
      <c r="AB2434" t="s">
        <v>59</v>
      </c>
      <c r="AC2434" t="s">
        <v>59</v>
      </c>
      <c r="AD2434" t="s">
        <v>59</v>
      </c>
      <c r="AF2434" s="1">
        <v>43381</v>
      </c>
      <c r="AG2434" t="s">
        <v>137</v>
      </c>
      <c r="AH2434" t="s">
        <v>138</v>
      </c>
      <c r="AI2434" t="str">
        <f>"3240020"</f>
        <v>3240020</v>
      </c>
      <c r="AJ2434" t="s">
        <v>4568</v>
      </c>
      <c r="AK2434">
        <v>2843028570</v>
      </c>
      <c r="AL2434" t="s">
        <v>4569</v>
      </c>
      <c r="AM2434" t="s">
        <v>4513</v>
      </c>
      <c r="AN2434" t="s">
        <v>4540</v>
      </c>
      <c r="AO2434" t="s">
        <v>4540</v>
      </c>
      <c r="AP2434" t="s">
        <v>4540</v>
      </c>
      <c r="AQ2434">
        <v>6</v>
      </c>
      <c r="AR2434" t="s">
        <v>4509</v>
      </c>
      <c r="AS2434" t="s">
        <v>4510</v>
      </c>
      <c r="AT2434" t="s">
        <v>58</v>
      </c>
      <c r="AU2434" t="s">
        <v>164</v>
      </c>
      <c r="AV2434" t="s">
        <v>132</v>
      </c>
      <c r="AW2434" s="1">
        <v>26607</v>
      </c>
      <c r="AX2434">
        <v>2</v>
      </c>
    </row>
    <row r="2435" spans="1:50">
      <c r="A2435">
        <v>203319</v>
      </c>
      <c r="B2435" t="str">
        <f>"100825234"</f>
        <v>100825234</v>
      </c>
      <c r="C2435" t="s">
        <v>50</v>
      </c>
      <c r="D2435" t="s">
        <v>2174</v>
      </c>
      <c r="E2435" t="s">
        <v>396</v>
      </c>
      <c r="F2435" t="s">
        <v>153</v>
      </c>
      <c r="G2435" t="s">
        <v>5002</v>
      </c>
      <c r="H2435" t="str">
        <f>" "</f>
        <v xml:space="preserve"> </v>
      </c>
      <c r="J2435">
        <v>2331024043</v>
      </c>
      <c r="K2435">
        <v>6977959124</v>
      </c>
      <c r="M2435" t="s">
        <v>5003</v>
      </c>
      <c r="N2435" t="s">
        <v>306</v>
      </c>
      <c r="O2435" t="s">
        <v>307</v>
      </c>
      <c r="R2435" t="s">
        <v>57</v>
      </c>
      <c r="S2435">
        <v>6</v>
      </c>
      <c r="T2435">
        <v>231</v>
      </c>
      <c r="U2435" s="1">
        <v>38230</v>
      </c>
      <c r="V2435" t="s">
        <v>4509</v>
      </c>
      <c r="W2435" t="s">
        <v>4510</v>
      </c>
      <c r="X2435" t="s">
        <v>58</v>
      </c>
      <c r="Y2435">
        <v>20</v>
      </c>
      <c r="Z2435" t="s">
        <v>59</v>
      </c>
      <c r="AA2435" t="s">
        <v>59</v>
      </c>
      <c r="AB2435" t="s">
        <v>59</v>
      </c>
      <c r="AC2435" t="s">
        <v>59</v>
      </c>
      <c r="AD2435" t="s">
        <v>59</v>
      </c>
      <c r="AF2435" s="1">
        <v>38231</v>
      </c>
      <c r="AG2435" t="s">
        <v>137</v>
      </c>
      <c r="AH2435" t="s">
        <v>138</v>
      </c>
      <c r="AI2435" t="str">
        <f>"3240070"</f>
        <v>3240070</v>
      </c>
      <c r="AJ2435" t="s">
        <v>4582</v>
      </c>
      <c r="AK2435">
        <v>2841032545</v>
      </c>
      <c r="AL2435" t="s">
        <v>4583</v>
      </c>
      <c r="AM2435" t="s">
        <v>4513</v>
      </c>
      <c r="AN2435" t="s">
        <v>4514</v>
      </c>
      <c r="AO2435" t="s">
        <v>4524</v>
      </c>
      <c r="AP2435" t="s">
        <v>4525</v>
      </c>
      <c r="AQ2435">
        <v>3</v>
      </c>
      <c r="AR2435" t="s">
        <v>4509</v>
      </c>
      <c r="AS2435" t="s">
        <v>4510</v>
      </c>
      <c r="AT2435" t="s">
        <v>58</v>
      </c>
      <c r="AU2435" t="s">
        <v>68</v>
      </c>
      <c r="AV2435" t="s">
        <v>69</v>
      </c>
      <c r="AW2435" s="1">
        <v>29634</v>
      </c>
      <c r="AX2435">
        <v>2</v>
      </c>
    </row>
    <row r="2436" spans="1:50">
      <c r="A2436">
        <v>180089</v>
      </c>
      <c r="B2436" t="str">
        <f>"029960381"</f>
        <v>029960381</v>
      </c>
      <c r="C2436" t="s">
        <v>105</v>
      </c>
      <c r="D2436" t="s">
        <v>2180</v>
      </c>
      <c r="E2436" t="s">
        <v>95</v>
      </c>
      <c r="F2436" t="s">
        <v>166</v>
      </c>
      <c r="G2436" t="s">
        <v>52</v>
      </c>
      <c r="H2436" t="str">
        <f>" ΟΡΟΠΕΔΙΟΥ  ΛΑΣΙΘΙΟΥ"</f>
        <v xml:space="preserve"> ΟΡΟΠΕΔΙΟΥ  ΛΑΣΙΘΙΟΥ</v>
      </c>
      <c r="I2436">
        <v>72052</v>
      </c>
      <c r="J2436">
        <v>2810262151</v>
      </c>
      <c r="K2436">
        <v>6977771307</v>
      </c>
      <c r="M2436" t="s">
        <v>5004</v>
      </c>
      <c r="N2436" t="s">
        <v>292</v>
      </c>
      <c r="O2436" t="s">
        <v>293</v>
      </c>
      <c r="R2436" t="s">
        <v>57</v>
      </c>
      <c r="S2436">
        <v>10</v>
      </c>
      <c r="T2436">
        <v>181</v>
      </c>
      <c r="U2436" s="1">
        <v>36039</v>
      </c>
      <c r="V2436" t="s">
        <v>4509</v>
      </c>
      <c r="W2436" t="s">
        <v>4510</v>
      </c>
      <c r="X2436" t="s">
        <v>58</v>
      </c>
      <c r="Y2436">
        <v>18</v>
      </c>
      <c r="Z2436" t="s">
        <v>59</v>
      </c>
      <c r="AA2436" t="s">
        <v>59</v>
      </c>
      <c r="AB2436" t="s">
        <v>59</v>
      </c>
      <c r="AC2436" t="s">
        <v>59</v>
      </c>
      <c r="AD2436" t="s">
        <v>59</v>
      </c>
      <c r="AF2436" s="1">
        <v>36040</v>
      </c>
      <c r="AG2436" t="s">
        <v>148</v>
      </c>
      <c r="AH2436" t="s">
        <v>149</v>
      </c>
      <c r="AI2436" t="str">
        <f>"3255010"</f>
        <v>3255010</v>
      </c>
      <c r="AJ2436" t="s">
        <v>4590</v>
      </c>
      <c r="AK2436">
        <v>2844022058</v>
      </c>
      <c r="AL2436" t="s">
        <v>4591</v>
      </c>
      <c r="AM2436" t="s">
        <v>4513</v>
      </c>
      <c r="AN2436" t="s">
        <v>4592</v>
      </c>
      <c r="AO2436" t="s">
        <v>4592</v>
      </c>
      <c r="AP2436" t="s">
        <v>4593</v>
      </c>
      <c r="AQ2436">
        <v>2</v>
      </c>
      <c r="AR2436" t="s">
        <v>4509</v>
      </c>
      <c r="AS2436" t="s">
        <v>4510</v>
      </c>
      <c r="AT2436" t="s">
        <v>58</v>
      </c>
      <c r="AU2436" t="s">
        <v>68</v>
      </c>
      <c r="AV2436" t="s">
        <v>69</v>
      </c>
      <c r="AW2436" s="1">
        <v>21212</v>
      </c>
      <c r="AX2436">
        <v>2</v>
      </c>
    </row>
    <row r="2437" spans="1:50">
      <c r="A2437">
        <v>223412</v>
      </c>
      <c r="B2437" t="str">
        <f>"055432402"</f>
        <v>055432402</v>
      </c>
      <c r="C2437" t="s">
        <v>50</v>
      </c>
      <c r="D2437" t="s">
        <v>2187</v>
      </c>
      <c r="E2437" t="s">
        <v>191</v>
      </c>
      <c r="F2437" t="s">
        <v>106</v>
      </c>
      <c r="G2437" t="s">
        <v>52</v>
      </c>
      <c r="H2437" t="str">
        <f>"ΣΟΥΤΣΟΥ 15 ΗΡΑΚΛΕΙΟ"</f>
        <v>ΣΟΥΤΣΟΥ 15 ΗΡΑΚΛΕΙΟ</v>
      </c>
      <c r="I2437">
        <v>71306</v>
      </c>
      <c r="J2437">
        <v>2811107654</v>
      </c>
      <c r="K2437">
        <v>6977851221</v>
      </c>
      <c r="M2437" t="s">
        <v>5005</v>
      </c>
      <c r="N2437" t="s">
        <v>232</v>
      </c>
      <c r="O2437" t="s">
        <v>233</v>
      </c>
      <c r="R2437" t="s">
        <v>57</v>
      </c>
      <c r="S2437">
        <v>7</v>
      </c>
      <c r="T2437">
        <v>775</v>
      </c>
      <c r="U2437" s="1">
        <v>39680</v>
      </c>
      <c r="V2437" t="s">
        <v>4509</v>
      </c>
      <c r="W2437" t="s">
        <v>4510</v>
      </c>
      <c r="X2437" t="s">
        <v>58</v>
      </c>
      <c r="Y2437">
        <v>20</v>
      </c>
      <c r="Z2437" t="s">
        <v>59</v>
      </c>
      <c r="AA2437" t="s">
        <v>59</v>
      </c>
      <c r="AB2437" t="s">
        <v>59</v>
      </c>
      <c r="AC2437" t="s">
        <v>59</v>
      </c>
      <c r="AD2437" t="s">
        <v>59</v>
      </c>
      <c r="AF2437" s="1">
        <v>39681</v>
      </c>
      <c r="AG2437" t="s">
        <v>148</v>
      </c>
      <c r="AH2437" t="s">
        <v>149</v>
      </c>
      <c r="AI2437" t="str">
        <f>"3252010"</f>
        <v>3252010</v>
      </c>
      <c r="AJ2437" t="s">
        <v>4532</v>
      </c>
      <c r="AK2437">
        <v>2842022356</v>
      </c>
      <c r="AL2437" t="s">
        <v>4533</v>
      </c>
      <c r="AM2437" t="s">
        <v>4513</v>
      </c>
      <c r="AN2437" t="s">
        <v>4519</v>
      </c>
      <c r="AO2437" t="s">
        <v>4519</v>
      </c>
      <c r="AP2437" t="s">
        <v>4519</v>
      </c>
      <c r="AQ2437">
        <v>4</v>
      </c>
      <c r="AR2437" t="s">
        <v>4509</v>
      </c>
      <c r="AS2437" t="s">
        <v>4510</v>
      </c>
      <c r="AT2437" t="s">
        <v>58</v>
      </c>
      <c r="AU2437" t="s">
        <v>68</v>
      </c>
      <c r="AV2437" t="s">
        <v>69</v>
      </c>
      <c r="AW2437" s="1">
        <v>24977</v>
      </c>
      <c r="AX2437">
        <v>2</v>
      </c>
    </row>
    <row r="2438" spans="1:50">
      <c r="A2438">
        <v>227967</v>
      </c>
      <c r="B2438" t="str">
        <f>"126307666"</f>
        <v>126307666</v>
      </c>
      <c r="C2438" t="s">
        <v>105</v>
      </c>
      <c r="D2438" t="s">
        <v>2200</v>
      </c>
      <c r="E2438" t="s">
        <v>154</v>
      </c>
      <c r="F2438" t="s">
        <v>95</v>
      </c>
      <c r="G2438" t="s">
        <v>3728</v>
      </c>
      <c r="H2438" t="str">
        <f>"ΚΡΙΤΣΑ ΛΑΣΙΘΙΟΥ ΚΡΙΤΣΑ"</f>
        <v>ΚΡΙΤΣΑ ΛΑΣΙΘΙΟΥ ΚΡΙΤΣΑ</v>
      </c>
      <c r="I2438">
        <v>72051</v>
      </c>
      <c r="J2438">
        <v>2841051598</v>
      </c>
      <c r="K2438">
        <v>6942987577</v>
      </c>
      <c r="M2438" t="s">
        <v>5006</v>
      </c>
      <c r="N2438" t="s">
        <v>176</v>
      </c>
      <c r="O2438" t="s">
        <v>177</v>
      </c>
      <c r="R2438" t="s">
        <v>57</v>
      </c>
      <c r="S2438">
        <v>6</v>
      </c>
      <c r="T2438">
        <v>654</v>
      </c>
      <c r="U2438" s="1">
        <v>40043</v>
      </c>
      <c r="V2438" t="s">
        <v>4509</v>
      </c>
      <c r="W2438" t="s">
        <v>4510</v>
      </c>
      <c r="X2438" t="s">
        <v>58</v>
      </c>
      <c r="Y2438">
        <v>20</v>
      </c>
      <c r="Z2438" t="s">
        <v>59</v>
      </c>
      <c r="AA2438" t="s">
        <v>59</v>
      </c>
      <c r="AB2438" t="s">
        <v>59</v>
      </c>
      <c r="AC2438" t="s">
        <v>59</v>
      </c>
      <c r="AD2438" t="s">
        <v>59</v>
      </c>
      <c r="AF2438" s="1">
        <v>40057</v>
      </c>
      <c r="AG2438" t="s">
        <v>137</v>
      </c>
      <c r="AH2438" t="s">
        <v>138</v>
      </c>
      <c r="AI2438" t="str">
        <f>"3240077"</f>
        <v>3240077</v>
      </c>
      <c r="AJ2438" t="s">
        <v>4528</v>
      </c>
      <c r="AK2438">
        <v>2841025978</v>
      </c>
      <c r="AL2438" t="s">
        <v>4529</v>
      </c>
      <c r="AM2438" t="s">
        <v>4513</v>
      </c>
      <c r="AN2438" t="s">
        <v>4514</v>
      </c>
      <c r="AO2438" t="s">
        <v>4514</v>
      </c>
      <c r="AP2438" t="s">
        <v>4514</v>
      </c>
      <c r="AQ2438">
        <v>1</v>
      </c>
      <c r="AR2438" t="s">
        <v>4509</v>
      </c>
      <c r="AS2438" t="s">
        <v>4510</v>
      </c>
      <c r="AT2438" t="s">
        <v>58</v>
      </c>
      <c r="AU2438" t="s">
        <v>68</v>
      </c>
      <c r="AV2438" t="s">
        <v>132</v>
      </c>
      <c r="AW2438" s="1">
        <v>28562</v>
      </c>
      <c r="AX2438">
        <v>2</v>
      </c>
    </row>
    <row r="2439" spans="1:50">
      <c r="A2439">
        <v>159860</v>
      </c>
      <c r="B2439" t="str">
        <f>"030965515"</f>
        <v>030965515</v>
      </c>
      <c r="C2439" t="s">
        <v>105</v>
      </c>
      <c r="D2439" t="s">
        <v>2212</v>
      </c>
      <c r="E2439" t="s">
        <v>5007</v>
      </c>
      <c r="F2439" t="s">
        <v>99</v>
      </c>
      <c r="G2439" t="s">
        <v>73</v>
      </c>
      <c r="H2439" t="str">
        <f>" "</f>
        <v xml:space="preserve"> </v>
      </c>
      <c r="N2439" t="s">
        <v>292</v>
      </c>
      <c r="O2439" t="s">
        <v>293</v>
      </c>
      <c r="R2439" t="s">
        <v>57</v>
      </c>
      <c r="S2439">
        <v>13</v>
      </c>
      <c r="T2439">
        <v>161</v>
      </c>
      <c r="U2439" s="1">
        <v>33119</v>
      </c>
      <c r="V2439" t="s">
        <v>4509</v>
      </c>
      <c r="W2439" t="s">
        <v>4510</v>
      </c>
      <c r="X2439" t="s">
        <v>58</v>
      </c>
      <c r="Y2439">
        <v>18</v>
      </c>
      <c r="Z2439" t="s">
        <v>59</v>
      </c>
      <c r="AA2439" t="s">
        <v>59</v>
      </c>
      <c r="AB2439" t="s">
        <v>59</v>
      </c>
      <c r="AC2439" t="s">
        <v>59</v>
      </c>
      <c r="AD2439" t="s">
        <v>59</v>
      </c>
      <c r="AF2439" s="1">
        <v>33121</v>
      </c>
      <c r="AG2439" t="s">
        <v>125</v>
      </c>
      <c r="AH2439" t="s">
        <v>126</v>
      </c>
      <c r="AI2439" t="str">
        <f>"3202030"</f>
        <v>3202030</v>
      </c>
      <c r="AJ2439" t="s">
        <v>4558</v>
      </c>
      <c r="AK2439">
        <v>2842028751</v>
      </c>
      <c r="AL2439" t="s">
        <v>4559</v>
      </c>
      <c r="AM2439" t="s">
        <v>4513</v>
      </c>
      <c r="AN2439" t="s">
        <v>4519</v>
      </c>
      <c r="AO2439" t="s">
        <v>4519</v>
      </c>
      <c r="AP2439" t="s">
        <v>4519</v>
      </c>
      <c r="AQ2439">
        <v>4</v>
      </c>
      <c r="AR2439" t="s">
        <v>4509</v>
      </c>
      <c r="AS2439" t="s">
        <v>4510</v>
      </c>
      <c r="AT2439" t="s">
        <v>58</v>
      </c>
      <c r="AU2439" t="s">
        <v>68</v>
      </c>
      <c r="AV2439" t="s">
        <v>69</v>
      </c>
      <c r="AW2439" s="1">
        <v>20689</v>
      </c>
      <c r="AX2439">
        <v>2</v>
      </c>
    </row>
    <row r="2440" spans="1:50">
      <c r="B2440" t="str">
        <f>"103261177"</f>
        <v>103261177</v>
      </c>
      <c r="C2440" t="s">
        <v>50</v>
      </c>
      <c r="D2440" t="s">
        <v>5008</v>
      </c>
      <c r="E2440" t="s">
        <v>73</v>
      </c>
      <c r="F2440" t="s">
        <v>3914</v>
      </c>
      <c r="G2440" t="s">
        <v>52</v>
      </c>
      <c r="H2440" t="str">
        <f>"ΔΗΜΟΚΡΑΤΙΑΣ ΜΑΛΙΑ ΗΡΑΚΛΕΙΟ"</f>
        <v>ΔΗΜΟΚΡΑΤΙΑΣ ΜΑΛΙΑ ΗΡΑΚΛΕΙΟ</v>
      </c>
      <c r="I2440">
        <v>70007</v>
      </c>
      <c r="J2440">
        <v>2897033819</v>
      </c>
      <c r="K2440">
        <v>6977598693</v>
      </c>
      <c r="N2440" t="s">
        <v>146</v>
      </c>
      <c r="O2440" t="s">
        <v>147</v>
      </c>
      <c r="R2440" t="s">
        <v>121</v>
      </c>
      <c r="S2440">
        <v>1</v>
      </c>
      <c r="T2440" t="s">
        <v>574</v>
      </c>
      <c r="U2440" s="1">
        <v>43378</v>
      </c>
      <c r="V2440" t="s">
        <v>4509</v>
      </c>
      <c r="W2440" t="s">
        <v>4510</v>
      </c>
      <c r="X2440" t="s">
        <v>58</v>
      </c>
      <c r="Y2440">
        <v>23</v>
      </c>
      <c r="Z2440" t="s">
        <v>59</v>
      </c>
      <c r="AA2440" t="s">
        <v>59</v>
      </c>
      <c r="AB2440" t="s">
        <v>59</v>
      </c>
      <c r="AC2440" t="s">
        <v>59</v>
      </c>
      <c r="AD2440" t="s">
        <v>59</v>
      </c>
      <c r="AF2440" s="1">
        <v>43381</v>
      </c>
      <c r="AG2440" t="s">
        <v>148</v>
      </c>
      <c r="AH2440" t="s">
        <v>149</v>
      </c>
      <c r="AI2440" t="str">
        <f>"3252010"</f>
        <v>3252010</v>
      </c>
      <c r="AJ2440" t="s">
        <v>4532</v>
      </c>
      <c r="AK2440">
        <v>2842022356</v>
      </c>
      <c r="AL2440" t="s">
        <v>4533</v>
      </c>
      <c r="AM2440" t="s">
        <v>4513</v>
      </c>
      <c r="AN2440" t="s">
        <v>4519</v>
      </c>
      <c r="AO2440" t="s">
        <v>4519</v>
      </c>
      <c r="AP2440" t="s">
        <v>4519</v>
      </c>
      <c r="AQ2440">
        <v>4</v>
      </c>
      <c r="AR2440" t="s">
        <v>4509</v>
      </c>
      <c r="AS2440" t="s">
        <v>4510</v>
      </c>
      <c r="AT2440" t="s">
        <v>58</v>
      </c>
      <c r="AU2440" t="s">
        <v>164</v>
      </c>
      <c r="AV2440" t="s">
        <v>132</v>
      </c>
      <c r="AW2440" s="1">
        <v>28528</v>
      </c>
      <c r="AX2440">
        <v>2</v>
      </c>
    </row>
    <row r="2441" spans="1:50">
      <c r="A2441">
        <v>226578</v>
      </c>
      <c r="B2441" t="str">
        <f>"064590360"</f>
        <v>064590360</v>
      </c>
      <c r="C2441" t="s">
        <v>50</v>
      </c>
      <c r="D2441" t="s">
        <v>2224</v>
      </c>
      <c r="E2441" t="s">
        <v>755</v>
      </c>
      <c r="F2441" t="s">
        <v>95</v>
      </c>
      <c r="G2441" t="s">
        <v>5009</v>
      </c>
      <c r="H2441" t="str">
        <f>"ΜΟΝΗΣ ΠΡΕΒΕΛΗΣ 3 ΗΡΑΚΛΕΙΟ"</f>
        <v>ΜΟΝΗΣ ΠΡΕΒΕΛΗΣ 3 ΗΡΑΚΛΕΙΟ</v>
      </c>
      <c r="I2441">
        <v>71306</v>
      </c>
      <c r="J2441">
        <v>2810330555</v>
      </c>
      <c r="K2441">
        <v>6974208253</v>
      </c>
      <c r="M2441" t="s">
        <v>5010</v>
      </c>
      <c r="N2441" t="s">
        <v>146</v>
      </c>
      <c r="O2441" t="s">
        <v>147</v>
      </c>
      <c r="R2441" t="s">
        <v>57</v>
      </c>
      <c r="S2441">
        <v>5</v>
      </c>
      <c r="T2441">
        <v>654</v>
      </c>
      <c r="U2441" s="1">
        <v>40043</v>
      </c>
      <c r="V2441" t="s">
        <v>4509</v>
      </c>
      <c r="W2441" t="s">
        <v>4510</v>
      </c>
      <c r="X2441" t="s">
        <v>58</v>
      </c>
      <c r="Y2441">
        <v>21</v>
      </c>
      <c r="Z2441" t="s">
        <v>59</v>
      </c>
      <c r="AA2441" t="s">
        <v>59</v>
      </c>
      <c r="AB2441" t="s">
        <v>59</v>
      </c>
      <c r="AC2441" t="s">
        <v>59</v>
      </c>
      <c r="AD2441" t="s">
        <v>59</v>
      </c>
      <c r="AF2441" s="1">
        <v>40057</v>
      </c>
      <c r="AG2441" t="s">
        <v>148</v>
      </c>
      <c r="AH2441" t="s">
        <v>149</v>
      </c>
      <c r="AI2441" t="str">
        <f>"3253010"</f>
        <v>3253010</v>
      </c>
      <c r="AJ2441" t="s">
        <v>4579</v>
      </c>
      <c r="AK2441">
        <v>2841031769</v>
      </c>
      <c r="AL2441" t="s">
        <v>4580</v>
      </c>
      <c r="AM2441" t="s">
        <v>4513</v>
      </c>
      <c r="AN2441" t="s">
        <v>4514</v>
      </c>
      <c r="AO2441" t="s">
        <v>4524</v>
      </c>
      <c r="AP2441" t="s">
        <v>4525</v>
      </c>
      <c r="AQ2441">
        <v>3</v>
      </c>
      <c r="AR2441" t="s">
        <v>4509</v>
      </c>
      <c r="AS2441" t="s">
        <v>4510</v>
      </c>
      <c r="AT2441" t="s">
        <v>58</v>
      </c>
      <c r="AU2441" t="s">
        <v>68</v>
      </c>
      <c r="AV2441" t="s">
        <v>69</v>
      </c>
      <c r="AW2441" s="1">
        <v>26021</v>
      </c>
      <c r="AX2441">
        <v>2</v>
      </c>
    </row>
    <row r="2442" spans="1:50">
      <c r="B2442" t="str">
        <f>"067014489"</f>
        <v>067014489</v>
      </c>
      <c r="C2442" t="s">
        <v>50</v>
      </c>
      <c r="D2442" t="s">
        <v>2232</v>
      </c>
      <c r="E2442" t="s">
        <v>52</v>
      </c>
      <c r="F2442" t="s">
        <v>166</v>
      </c>
      <c r="G2442" t="s">
        <v>155</v>
      </c>
      <c r="H2442" t="str">
        <f>"ΔΗΜΟΚΡΑΤΙΑΣ 23Α "</f>
        <v xml:space="preserve">ΔΗΜΟΚΡΑΤΙΑΣ 23Α </v>
      </c>
      <c r="I2442">
        <v>72100</v>
      </c>
      <c r="J2442">
        <v>2841021068</v>
      </c>
      <c r="K2442">
        <v>6974488021</v>
      </c>
      <c r="M2442" t="s">
        <v>5011</v>
      </c>
      <c r="N2442" t="s">
        <v>246</v>
      </c>
      <c r="O2442" t="s">
        <v>247</v>
      </c>
      <c r="R2442" t="s">
        <v>121</v>
      </c>
      <c r="S2442">
        <v>1</v>
      </c>
      <c r="T2442" t="s">
        <v>416</v>
      </c>
      <c r="U2442" s="1">
        <v>43349</v>
      </c>
      <c r="V2442" t="s">
        <v>4509</v>
      </c>
      <c r="W2442" t="s">
        <v>4510</v>
      </c>
      <c r="X2442" t="s">
        <v>58</v>
      </c>
      <c r="Y2442">
        <v>23</v>
      </c>
      <c r="Z2442" t="s">
        <v>59</v>
      </c>
      <c r="AA2442" t="s">
        <v>59</v>
      </c>
      <c r="AB2442" t="s">
        <v>59</v>
      </c>
      <c r="AC2442" t="s">
        <v>59</v>
      </c>
      <c r="AD2442" t="s">
        <v>59</v>
      </c>
      <c r="AF2442" s="1">
        <v>43349</v>
      </c>
      <c r="AG2442" t="s">
        <v>125</v>
      </c>
      <c r="AH2442" t="s">
        <v>126</v>
      </c>
      <c r="AI2442" t="str">
        <f>"3208010"</f>
        <v>3208010</v>
      </c>
      <c r="AJ2442" t="s">
        <v>4820</v>
      </c>
      <c r="AK2442">
        <v>2843094338</v>
      </c>
      <c r="AL2442" t="s">
        <v>4821</v>
      </c>
      <c r="AM2442" t="s">
        <v>4513</v>
      </c>
      <c r="AN2442" t="s">
        <v>4540</v>
      </c>
      <c r="AO2442" t="s">
        <v>4540</v>
      </c>
      <c r="AP2442" t="s">
        <v>4822</v>
      </c>
      <c r="AQ2442">
        <v>6</v>
      </c>
      <c r="AR2442" t="s">
        <v>4509</v>
      </c>
      <c r="AS2442" t="s">
        <v>4510</v>
      </c>
      <c r="AT2442" t="s">
        <v>58</v>
      </c>
      <c r="AU2442" t="s">
        <v>419</v>
      </c>
      <c r="AV2442" t="s">
        <v>132</v>
      </c>
      <c r="AW2442" s="1">
        <v>28919</v>
      </c>
      <c r="AX2442">
        <v>2</v>
      </c>
    </row>
    <row r="2443" spans="1:50">
      <c r="B2443" t="str">
        <f>"128327704"</f>
        <v>128327704</v>
      </c>
      <c r="C2443" t="s">
        <v>50</v>
      </c>
      <c r="D2443" t="s">
        <v>2232</v>
      </c>
      <c r="E2443" t="s">
        <v>52</v>
      </c>
      <c r="F2443" t="s">
        <v>72</v>
      </c>
      <c r="G2443" t="s">
        <v>52</v>
      </c>
      <c r="H2443" t="str">
        <f>" "</f>
        <v xml:space="preserve"> </v>
      </c>
      <c r="N2443" t="s">
        <v>536</v>
      </c>
      <c r="O2443" t="s">
        <v>537</v>
      </c>
      <c r="R2443" t="s">
        <v>121</v>
      </c>
      <c r="S2443">
        <v>3</v>
      </c>
      <c r="T2443" t="s">
        <v>122</v>
      </c>
      <c r="U2443" s="1">
        <v>43348</v>
      </c>
      <c r="V2443" t="s">
        <v>4509</v>
      </c>
      <c r="W2443" t="s">
        <v>4510</v>
      </c>
      <c r="X2443" t="s">
        <v>58</v>
      </c>
      <c r="Y2443">
        <v>23</v>
      </c>
      <c r="Z2443" t="s">
        <v>59</v>
      </c>
      <c r="AA2443" t="s">
        <v>59</v>
      </c>
      <c r="AB2443" t="s">
        <v>59</v>
      </c>
      <c r="AD2443" t="s">
        <v>59</v>
      </c>
      <c r="AF2443" s="1">
        <v>43348</v>
      </c>
      <c r="AG2443" t="s">
        <v>148</v>
      </c>
      <c r="AH2443" t="s">
        <v>149</v>
      </c>
      <c r="AI2443" t="str">
        <f>"3251010"</f>
        <v>3251010</v>
      </c>
      <c r="AJ2443" t="s">
        <v>4646</v>
      </c>
      <c r="AK2443">
        <v>2841023649</v>
      </c>
      <c r="AL2443" t="s">
        <v>4647</v>
      </c>
      <c r="AM2443" t="s">
        <v>4513</v>
      </c>
      <c r="AN2443" t="s">
        <v>4514</v>
      </c>
      <c r="AO2443" t="s">
        <v>4514</v>
      </c>
      <c r="AP2443" t="s">
        <v>4514</v>
      </c>
      <c r="AQ2443">
        <v>1</v>
      </c>
      <c r="AR2443" t="s">
        <v>4509</v>
      </c>
      <c r="AS2443" t="s">
        <v>4510</v>
      </c>
      <c r="AT2443" t="s">
        <v>58</v>
      </c>
      <c r="AU2443" t="s">
        <v>131</v>
      </c>
      <c r="AV2443" t="s">
        <v>132</v>
      </c>
      <c r="AW2443" s="1">
        <v>30435</v>
      </c>
      <c r="AX2443">
        <v>2</v>
      </c>
    </row>
    <row r="2444" spans="1:50">
      <c r="B2444" t="str">
        <f>"047475291"</f>
        <v>047475291</v>
      </c>
      <c r="C2444" t="s">
        <v>105</v>
      </c>
      <c r="D2444" t="s">
        <v>5012</v>
      </c>
      <c r="E2444" t="s">
        <v>5013</v>
      </c>
      <c r="F2444" t="s">
        <v>72</v>
      </c>
      <c r="H2444" t="str">
        <f>" Ιεράπετρα"</f>
        <v xml:space="preserve"> Ιεράπετρα</v>
      </c>
      <c r="I2444">
        <v>72200</v>
      </c>
      <c r="M2444" t="s">
        <v>5014</v>
      </c>
      <c r="N2444" t="s">
        <v>119</v>
      </c>
      <c r="O2444" t="s">
        <v>120</v>
      </c>
      <c r="R2444" t="s">
        <v>159</v>
      </c>
      <c r="S2444">
        <v>3</v>
      </c>
      <c r="T2444" t="s">
        <v>344</v>
      </c>
      <c r="U2444" s="1">
        <v>43348</v>
      </c>
      <c r="V2444" t="s">
        <v>4509</v>
      </c>
      <c r="W2444" t="s">
        <v>4510</v>
      </c>
      <c r="X2444" t="s">
        <v>58</v>
      </c>
      <c r="Y2444">
        <v>23</v>
      </c>
      <c r="Z2444" t="s">
        <v>59</v>
      </c>
      <c r="AA2444" t="s">
        <v>59</v>
      </c>
      <c r="AB2444" t="s">
        <v>59</v>
      </c>
      <c r="AC2444" t="s">
        <v>59</v>
      </c>
      <c r="AD2444" t="s">
        <v>59</v>
      </c>
      <c r="AF2444" s="1">
        <v>43348</v>
      </c>
      <c r="AG2444" t="s">
        <v>345</v>
      </c>
      <c r="AH2444" t="s">
        <v>346</v>
      </c>
      <c r="AI2444" t="str">
        <f>"3241002"</f>
        <v>3241002</v>
      </c>
      <c r="AJ2444" t="s">
        <v>4626</v>
      </c>
      <c r="AK2444">
        <v>2841083053</v>
      </c>
      <c r="AL2444" t="s">
        <v>4627</v>
      </c>
      <c r="AM2444" t="s">
        <v>4513</v>
      </c>
      <c r="AN2444" t="s">
        <v>4514</v>
      </c>
      <c r="AO2444" t="s">
        <v>4514</v>
      </c>
      <c r="AP2444" t="s">
        <v>4514</v>
      </c>
      <c r="AQ2444">
        <v>1</v>
      </c>
      <c r="AR2444" t="s">
        <v>4509</v>
      </c>
      <c r="AS2444" t="s">
        <v>4510</v>
      </c>
      <c r="AT2444" t="s">
        <v>58</v>
      </c>
      <c r="AU2444" t="s">
        <v>350</v>
      </c>
      <c r="AV2444" t="s">
        <v>132</v>
      </c>
      <c r="AW2444" s="1">
        <v>25038</v>
      </c>
      <c r="AX2444">
        <v>2</v>
      </c>
    </row>
    <row r="2445" spans="1:50">
      <c r="B2445" t="str">
        <f>"070264846"</f>
        <v>070264846</v>
      </c>
      <c r="C2445" t="s">
        <v>105</v>
      </c>
      <c r="D2445" t="s">
        <v>5015</v>
      </c>
      <c r="E2445" t="s">
        <v>84</v>
      </c>
      <c r="F2445" t="s">
        <v>95</v>
      </c>
      <c r="G2445" t="s">
        <v>83</v>
      </c>
      <c r="H2445" t="str">
        <f>"ΜΕΓΑΛΟΥ ΑΛΕΞΑΝΔΡΟΥ 93 ΜΑΡΟΥΣΙ"</f>
        <v>ΜΕΓΑΛΟΥ ΑΛΕΞΑΝΔΡΟΥ 93 ΜΑΡΟΥΣΙ</v>
      </c>
      <c r="I2445">
        <v>15125</v>
      </c>
      <c r="J2445">
        <v>2691024979</v>
      </c>
      <c r="K2445">
        <v>6947701732</v>
      </c>
      <c r="N2445" t="s">
        <v>146</v>
      </c>
      <c r="O2445" t="s">
        <v>147</v>
      </c>
      <c r="R2445" t="s">
        <v>57</v>
      </c>
      <c r="S2445">
        <v>5</v>
      </c>
      <c r="T2445" t="s">
        <v>574</v>
      </c>
      <c r="U2445" s="1">
        <v>43378</v>
      </c>
      <c r="V2445" t="s">
        <v>4509</v>
      </c>
      <c r="W2445" t="s">
        <v>4510</v>
      </c>
      <c r="X2445" t="s">
        <v>58</v>
      </c>
      <c r="Y2445">
        <v>21</v>
      </c>
      <c r="Z2445" t="s">
        <v>59</v>
      </c>
      <c r="AA2445" t="s">
        <v>59</v>
      </c>
      <c r="AB2445" t="s">
        <v>59</v>
      </c>
      <c r="AC2445" t="s">
        <v>59</v>
      </c>
      <c r="AD2445" t="s">
        <v>59</v>
      </c>
      <c r="AF2445" s="1">
        <v>43381</v>
      </c>
      <c r="AG2445" t="s">
        <v>125</v>
      </c>
      <c r="AH2445" t="s">
        <v>126</v>
      </c>
      <c r="AI2445" t="str">
        <f>"3208010"</f>
        <v>3208010</v>
      </c>
      <c r="AJ2445" t="s">
        <v>4820</v>
      </c>
      <c r="AK2445">
        <v>2843094338</v>
      </c>
      <c r="AL2445" t="s">
        <v>4821</v>
      </c>
      <c r="AM2445" t="s">
        <v>4513</v>
      </c>
      <c r="AN2445" t="s">
        <v>4540</v>
      </c>
      <c r="AO2445" t="s">
        <v>4540</v>
      </c>
      <c r="AP2445" t="s">
        <v>4822</v>
      </c>
      <c r="AQ2445">
        <v>6</v>
      </c>
      <c r="AR2445" t="s">
        <v>4509</v>
      </c>
      <c r="AS2445" t="s">
        <v>4510</v>
      </c>
      <c r="AT2445" t="s">
        <v>58</v>
      </c>
      <c r="AU2445" t="s">
        <v>164</v>
      </c>
      <c r="AV2445" t="s">
        <v>132</v>
      </c>
      <c r="AW2445" s="1">
        <v>27860</v>
      </c>
      <c r="AX2445">
        <v>2</v>
      </c>
    </row>
    <row r="2446" spans="1:50">
      <c r="A2446">
        <v>145717</v>
      </c>
      <c r="B2446" t="str">
        <f>"024883996"</f>
        <v>024883996</v>
      </c>
      <c r="C2446" t="s">
        <v>50</v>
      </c>
      <c r="D2446" t="s">
        <v>2257</v>
      </c>
      <c r="E2446" t="s">
        <v>52</v>
      </c>
      <c r="F2446" t="s">
        <v>166</v>
      </c>
      <c r="G2446" t="s">
        <v>109</v>
      </c>
      <c r="H2446" t="str">
        <f>"Κ. ΦΡΟΥΔΑ 4 ΝΕΑΠΟΛΗ"</f>
        <v>Κ. ΦΡΟΥΔΑ 4 ΝΕΑΠΟΛΗ</v>
      </c>
      <c r="I2446">
        <v>72400</v>
      </c>
      <c r="J2446">
        <v>2841033253</v>
      </c>
      <c r="K2446">
        <v>6973217583</v>
      </c>
      <c r="M2446" t="s">
        <v>5016</v>
      </c>
      <c r="N2446" t="s">
        <v>146</v>
      </c>
      <c r="O2446" t="s">
        <v>147</v>
      </c>
      <c r="R2446" t="s">
        <v>57</v>
      </c>
      <c r="S2446">
        <v>16</v>
      </c>
      <c r="T2446">
        <v>237</v>
      </c>
      <c r="U2446" s="1">
        <v>31293</v>
      </c>
      <c r="V2446" t="s">
        <v>4509</v>
      </c>
      <c r="W2446" t="s">
        <v>4510</v>
      </c>
      <c r="X2446" t="s">
        <v>58</v>
      </c>
      <c r="Y2446">
        <v>18</v>
      </c>
      <c r="Z2446" t="s">
        <v>59</v>
      </c>
      <c r="AA2446" t="s">
        <v>59</v>
      </c>
      <c r="AB2446" t="s">
        <v>59</v>
      </c>
      <c r="AC2446" t="s">
        <v>59</v>
      </c>
      <c r="AD2446" t="s">
        <v>59</v>
      </c>
      <c r="AF2446" s="1">
        <v>31294</v>
      </c>
      <c r="AG2446" t="s">
        <v>125</v>
      </c>
      <c r="AH2446" t="s">
        <v>126</v>
      </c>
      <c r="AI2446" t="str">
        <f>"3201010"</f>
        <v>3201010</v>
      </c>
      <c r="AJ2446" t="s">
        <v>4596</v>
      </c>
      <c r="AK2446">
        <v>2841022301</v>
      </c>
      <c r="AL2446" t="s">
        <v>4597</v>
      </c>
      <c r="AM2446" t="s">
        <v>4513</v>
      </c>
      <c r="AN2446" t="s">
        <v>4514</v>
      </c>
      <c r="AO2446" t="s">
        <v>4514</v>
      </c>
      <c r="AP2446" t="s">
        <v>4514</v>
      </c>
      <c r="AQ2446">
        <v>1</v>
      </c>
      <c r="AR2446" t="s">
        <v>4509</v>
      </c>
      <c r="AS2446" t="s">
        <v>4510</v>
      </c>
      <c r="AT2446" t="s">
        <v>58</v>
      </c>
      <c r="AU2446" t="s">
        <v>68</v>
      </c>
      <c r="AV2446" t="s">
        <v>69</v>
      </c>
      <c r="AW2446" s="1">
        <v>21236</v>
      </c>
      <c r="AX2446">
        <v>2</v>
      </c>
    </row>
    <row r="2447" spans="1:50">
      <c r="A2447">
        <v>169810</v>
      </c>
      <c r="B2447" t="str">
        <f>"110360305"</f>
        <v>110360305</v>
      </c>
      <c r="C2447" t="s">
        <v>50</v>
      </c>
      <c r="D2447" t="s">
        <v>2257</v>
      </c>
      <c r="E2447" t="s">
        <v>681</v>
      </c>
      <c r="F2447" t="s">
        <v>72</v>
      </c>
      <c r="G2447" t="s">
        <v>52</v>
      </c>
      <c r="H2447" t="str">
        <f>"ΜΑΚΡΥ ΓΙΑΛΟΣ ΜΑΚΡΥ ΓΙΑΛΟΣ"</f>
        <v>ΜΑΚΡΥ ΓΙΑΛΟΣ ΜΑΚΡΥ ΓΙΑΛΟΣ</v>
      </c>
      <c r="I2447">
        <v>72055</v>
      </c>
      <c r="J2447">
        <v>2843052039</v>
      </c>
      <c r="K2447">
        <v>6972981753</v>
      </c>
      <c r="L2447">
        <v>6972981753</v>
      </c>
      <c r="M2447" t="s">
        <v>5017</v>
      </c>
      <c r="N2447" t="s">
        <v>146</v>
      </c>
      <c r="O2447" t="s">
        <v>147</v>
      </c>
      <c r="R2447" t="s">
        <v>57</v>
      </c>
      <c r="S2447">
        <v>12</v>
      </c>
      <c r="T2447">
        <v>184</v>
      </c>
      <c r="U2447" s="1">
        <v>34941</v>
      </c>
      <c r="V2447" t="s">
        <v>4509</v>
      </c>
      <c r="W2447" t="s">
        <v>4510</v>
      </c>
      <c r="X2447" t="s">
        <v>58</v>
      </c>
      <c r="Y2447">
        <v>18</v>
      </c>
      <c r="Z2447" t="s">
        <v>59</v>
      </c>
      <c r="AA2447" t="s">
        <v>59</v>
      </c>
      <c r="AB2447" t="s">
        <v>59</v>
      </c>
      <c r="AC2447" t="s">
        <v>59</v>
      </c>
      <c r="AD2447" t="s">
        <v>59</v>
      </c>
      <c r="AF2447" s="1">
        <v>34943</v>
      </c>
      <c r="AG2447" t="s">
        <v>125</v>
      </c>
      <c r="AH2447" t="s">
        <v>126</v>
      </c>
      <c r="AI2447" t="str">
        <f>"3210015"</f>
        <v>3210015</v>
      </c>
      <c r="AJ2447" t="s">
        <v>4875</v>
      </c>
      <c r="AK2447">
        <v>2843051800</v>
      </c>
      <c r="AL2447" t="s">
        <v>4876</v>
      </c>
      <c r="AM2447" t="s">
        <v>4513</v>
      </c>
      <c r="AN2447" t="s">
        <v>4519</v>
      </c>
      <c r="AO2447" t="s">
        <v>4766</v>
      </c>
      <c r="AP2447" t="s">
        <v>4767</v>
      </c>
      <c r="AQ2447">
        <v>5</v>
      </c>
      <c r="AR2447" t="s">
        <v>4509</v>
      </c>
      <c r="AS2447" t="s">
        <v>4510</v>
      </c>
      <c r="AT2447" t="s">
        <v>58</v>
      </c>
      <c r="AU2447" t="s">
        <v>68</v>
      </c>
      <c r="AV2447" t="s">
        <v>69</v>
      </c>
      <c r="AW2447" s="1">
        <v>23941</v>
      </c>
      <c r="AX2447">
        <v>2</v>
      </c>
    </row>
    <row r="2448" spans="1:50">
      <c r="A2448">
        <v>226590</v>
      </c>
      <c r="B2448" t="str">
        <f>"073077260"</f>
        <v>073077260</v>
      </c>
      <c r="C2448" t="s">
        <v>105</v>
      </c>
      <c r="D2448" t="s">
        <v>2261</v>
      </c>
      <c r="E2448" t="s">
        <v>72</v>
      </c>
      <c r="F2448" t="s">
        <v>99</v>
      </c>
      <c r="G2448" t="s">
        <v>5018</v>
      </c>
      <c r="H2448" t="str">
        <f>"ΛΑΚΕΡΔΑ 18 ΙΕΡΑΠΕΤΡΑ"</f>
        <v>ΛΑΚΕΡΔΑ 18 ΙΕΡΑΠΕΤΡΑ</v>
      </c>
      <c r="I2448">
        <v>72200</v>
      </c>
      <c r="J2448">
        <v>2842080106</v>
      </c>
      <c r="K2448">
        <v>6974027043</v>
      </c>
      <c r="M2448" t="s">
        <v>5019</v>
      </c>
      <c r="N2448" t="s">
        <v>146</v>
      </c>
      <c r="O2448" t="s">
        <v>147</v>
      </c>
      <c r="R2448" t="s">
        <v>57</v>
      </c>
      <c r="S2448">
        <v>6</v>
      </c>
      <c r="T2448">
        <v>654</v>
      </c>
      <c r="U2448" s="1">
        <v>40043</v>
      </c>
      <c r="V2448" t="s">
        <v>4509</v>
      </c>
      <c r="W2448" t="s">
        <v>4510</v>
      </c>
      <c r="X2448" t="s">
        <v>58</v>
      </c>
      <c r="Y2448">
        <v>21</v>
      </c>
      <c r="Z2448" t="s">
        <v>59</v>
      </c>
      <c r="AA2448" t="s">
        <v>59</v>
      </c>
      <c r="AB2448" t="s">
        <v>59</v>
      </c>
      <c r="AC2448" t="s">
        <v>59</v>
      </c>
      <c r="AD2448" t="s">
        <v>59</v>
      </c>
      <c r="AF2448" s="1">
        <v>40043</v>
      </c>
      <c r="AG2448" t="s">
        <v>125</v>
      </c>
      <c r="AH2448" t="s">
        <v>126</v>
      </c>
      <c r="AI2448" t="str">
        <f>"3202010"</f>
        <v>3202010</v>
      </c>
      <c r="AJ2448" t="s">
        <v>4517</v>
      </c>
      <c r="AK2448">
        <v>2842028229</v>
      </c>
      <c r="AL2448" t="s">
        <v>4518</v>
      </c>
      <c r="AM2448" t="s">
        <v>4513</v>
      </c>
      <c r="AN2448" t="s">
        <v>4519</v>
      </c>
      <c r="AO2448" t="s">
        <v>4519</v>
      </c>
      <c r="AP2448" t="s">
        <v>4519</v>
      </c>
      <c r="AQ2448">
        <v>4</v>
      </c>
      <c r="AR2448" t="s">
        <v>4509</v>
      </c>
      <c r="AS2448" t="s">
        <v>4510</v>
      </c>
      <c r="AT2448" t="s">
        <v>58</v>
      </c>
      <c r="AU2448" t="s">
        <v>68</v>
      </c>
      <c r="AV2448" t="s">
        <v>69</v>
      </c>
      <c r="AW2448" s="1">
        <v>25035</v>
      </c>
      <c r="AX2448">
        <v>2</v>
      </c>
    </row>
    <row r="2449" spans="1:50">
      <c r="A2449">
        <v>217992</v>
      </c>
      <c r="B2449" t="str">
        <f>"103376024"</f>
        <v>103376024</v>
      </c>
      <c r="C2449" t="s">
        <v>105</v>
      </c>
      <c r="D2449" t="s">
        <v>5020</v>
      </c>
      <c r="E2449" t="s">
        <v>84</v>
      </c>
      <c r="F2449" t="s">
        <v>99</v>
      </c>
      <c r="G2449" t="s">
        <v>83</v>
      </c>
      <c r="H2449" t="str">
        <f>" "</f>
        <v xml:space="preserve"> </v>
      </c>
      <c r="J2449">
        <v>2109644445</v>
      </c>
      <c r="K2449">
        <v>6972284489</v>
      </c>
      <c r="M2449" t="s">
        <v>5021</v>
      </c>
      <c r="N2449" t="s">
        <v>292</v>
      </c>
      <c r="O2449" t="s">
        <v>293</v>
      </c>
      <c r="R2449" t="s">
        <v>57</v>
      </c>
      <c r="S2449">
        <v>7</v>
      </c>
      <c r="T2449">
        <v>599</v>
      </c>
      <c r="U2449" s="1">
        <v>39310</v>
      </c>
      <c r="V2449" t="s">
        <v>4509</v>
      </c>
      <c r="W2449" t="s">
        <v>4510</v>
      </c>
      <c r="X2449" t="s">
        <v>58</v>
      </c>
      <c r="Y2449">
        <v>21</v>
      </c>
      <c r="Z2449" t="s">
        <v>59</v>
      </c>
      <c r="AA2449" t="s">
        <v>59</v>
      </c>
      <c r="AB2449" t="s">
        <v>59</v>
      </c>
      <c r="AC2449" t="s">
        <v>59</v>
      </c>
      <c r="AD2449" t="s">
        <v>59</v>
      </c>
      <c r="AF2449" s="1">
        <v>39328</v>
      </c>
      <c r="AG2449" t="s">
        <v>148</v>
      </c>
      <c r="AH2449" t="s">
        <v>149</v>
      </c>
      <c r="AI2449" t="str">
        <f>"3252020"</f>
        <v>3252020</v>
      </c>
      <c r="AJ2449" t="s">
        <v>4638</v>
      </c>
      <c r="AK2449">
        <v>2842022379</v>
      </c>
      <c r="AL2449" t="s">
        <v>4639</v>
      </c>
      <c r="AM2449" t="s">
        <v>4513</v>
      </c>
      <c r="AN2449" t="s">
        <v>4519</v>
      </c>
      <c r="AO2449" t="s">
        <v>4519</v>
      </c>
      <c r="AP2449" t="s">
        <v>4519</v>
      </c>
      <c r="AQ2449">
        <v>4</v>
      </c>
      <c r="AR2449" t="s">
        <v>4509</v>
      </c>
      <c r="AS2449" t="s">
        <v>4510</v>
      </c>
      <c r="AT2449" t="s">
        <v>58</v>
      </c>
      <c r="AU2449" t="s">
        <v>68</v>
      </c>
      <c r="AV2449" t="s">
        <v>69</v>
      </c>
      <c r="AW2449" s="1">
        <v>25999</v>
      </c>
      <c r="AX2449">
        <v>2</v>
      </c>
    </row>
    <row r="2450" spans="1:50">
      <c r="A2450">
        <v>703673</v>
      </c>
      <c r="B2450" t="str">
        <f>"039940851"</f>
        <v>039940851</v>
      </c>
      <c r="C2450" t="s">
        <v>105</v>
      </c>
      <c r="D2450" t="s">
        <v>5022</v>
      </c>
      <c r="E2450" t="s">
        <v>108</v>
      </c>
      <c r="F2450" t="s">
        <v>84</v>
      </c>
      <c r="H2450" t="str">
        <f>" "</f>
        <v xml:space="preserve"> </v>
      </c>
      <c r="K2450">
        <v>6944143044</v>
      </c>
      <c r="M2450" t="s">
        <v>5023</v>
      </c>
      <c r="N2450" t="s">
        <v>232</v>
      </c>
      <c r="O2450" t="s">
        <v>233</v>
      </c>
      <c r="R2450" t="s">
        <v>57</v>
      </c>
      <c r="S2450">
        <v>4</v>
      </c>
      <c r="T2450">
        <v>1229</v>
      </c>
      <c r="U2450" s="1">
        <v>41233</v>
      </c>
      <c r="V2450" t="s">
        <v>4509</v>
      </c>
      <c r="W2450" t="s">
        <v>4510</v>
      </c>
      <c r="X2450" t="s">
        <v>58</v>
      </c>
      <c r="Y2450">
        <v>23</v>
      </c>
      <c r="Z2450" t="s">
        <v>59</v>
      </c>
      <c r="AA2450" t="s">
        <v>59</v>
      </c>
      <c r="AB2450" t="s">
        <v>59</v>
      </c>
      <c r="AC2450" t="s">
        <v>59</v>
      </c>
      <c r="AD2450" t="s">
        <v>59</v>
      </c>
      <c r="AF2450" s="1">
        <v>41233</v>
      </c>
      <c r="AG2450" t="s">
        <v>148</v>
      </c>
      <c r="AH2450" t="s">
        <v>1053</v>
      </c>
      <c r="AI2450" t="str">
        <f>"3245001"</f>
        <v>3245001</v>
      </c>
      <c r="AJ2450" t="s">
        <v>4703</v>
      </c>
      <c r="AK2450">
        <v>2843026660</v>
      </c>
      <c r="AL2450" t="s">
        <v>4704</v>
      </c>
      <c r="AM2450" t="s">
        <v>4513</v>
      </c>
      <c r="AN2450" t="s">
        <v>4540</v>
      </c>
      <c r="AO2450" t="s">
        <v>4540</v>
      </c>
      <c r="AP2450" t="s">
        <v>4540</v>
      </c>
      <c r="AQ2450">
        <v>6</v>
      </c>
      <c r="AR2450" t="s">
        <v>4509</v>
      </c>
      <c r="AS2450" t="s">
        <v>4510</v>
      </c>
      <c r="AT2450" t="s">
        <v>58</v>
      </c>
      <c r="AU2450" t="s">
        <v>68</v>
      </c>
      <c r="AV2450" t="s">
        <v>69</v>
      </c>
      <c r="AW2450" s="1">
        <v>24473</v>
      </c>
      <c r="AX2450">
        <v>2</v>
      </c>
    </row>
    <row r="2451" spans="1:50">
      <c r="A2451">
        <v>178840</v>
      </c>
      <c r="B2451" t="str">
        <f>"035464433"</f>
        <v>035464433</v>
      </c>
      <c r="C2451" t="s">
        <v>105</v>
      </c>
      <c r="D2451" t="s">
        <v>5024</v>
      </c>
      <c r="E2451" t="s">
        <v>564</v>
      </c>
      <c r="F2451" t="s">
        <v>53</v>
      </c>
      <c r="G2451" t="s">
        <v>1074</v>
      </c>
      <c r="H2451" t="str">
        <f>" "</f>
        <v xml:space="preserve"> </v>
      </c>
      <c r="M2451" t="s">
        <v>5025</v>
      </c>
      <c r="N2451" t="s">
        <v>176</v>
      </c>
      <c r="O2451" t="s">
        <v>177</v>
      </c>
      <c r="R2451" t="s">
        <v>57</v>
      </c>
      <c r="S2451">
        <v>13</v>
      </c>
      <c r="T2451">
        <v>161</v>
      </c>
      <c r="U2451" s="1">
        <v>34941</v>
      </c>
      <c r="V2451" t="s">
        <v>4509</v>
      </c>
      <c r="W2451" t="s">
        <v>4510</v>
      </c>
      <c r="X2451" t="s">
        <v>58</v>
      </c>
      <c r="Y2451">
        <v>18</v>
      </c>
      <c r="Z2451" t="s">
        <v>59</v>
      </c>
      <c r="AA2451" t="s">
        <v>59</v>
      </c>
      <c r="AB2451" t="s">
        <v>59</v>
      </c>
      <c r="AC2451" t="s">
        <v>59</v>
      </c>
      <c r="AD2451" t="s">
        <v>59</v>
      </c>
      <c r="AF2451" s="1">
        <v>35674</v>
      </c>
      <c r="AG2451" t="s">
        <v>137</v>
      </c>
      <c r="AH2451" t="s">
        <v>138</v>
      </c>
      <c r="AI2451" t="str">
        <f>"3240077"</f>
        <v>3240077</v>
      </c>
      <c r="AJ2451" t="s">
        <v>4528</v>
      </c>
      <c r="AK2451">
        <v>2841025978</v>
      </c>
      <c r="AL2451" t="s">
        <v>4529</v>
      </c>
      <c r="AM2451" t="s">
        <v>4513</v>
      </c>
      <c r="AN2451" t="s">
        <v>4514</v>
      </c>
      <c r="AO2451" t="s">
        <v>4514</v>
      </c>
      <c r="AP2451" t="s">
        <v>4514</v>
      </c>
      <c r="AQ2451">
        <v>1</v>
      </c>
      <c r="AR2451" t="s">
        <v>4509</v>
      </c>
      <c r="AS2451" t="s">
        <v>4510</v>
      </c>
      <c r="AT2451" t="s">
        <v>58</v>
      </c>
      <c r="AU2451" t="s">
        <v>68</v>
      </c>
      <c r="AV2451" t="s">
        <v>69</v>
      </c>
      <c r="AW2451" s="1">
        <v>23472</v>
      </c>
      <c r="AX2451">
        <v>2</v>
      </c>
    </row>
    <row r="2452" spans="1:50">
      <c r="A2452">
        <v>188006</v>
      </c>
      <c r="B2452" t="str">
        <f>"046850104"</f>
        <v>046850104</v>
      </c>
      <c r="C2452" t="s">
        <v>50</v>
      </c>
      <c r="D2452" t="s">
        <v>2269</v>
      </c>
      <c r="E2452" t="s">
        <v>1345</v>
      </c>
      <c r="F2452" t="s">
        <v>95</v>
      </c>
      <c r="G2452" t="s">
        <v>868</v>
      </c>
      <c r="H2452" t="str">
        <f>"Σταυρακάκη 43 Σητεία"</f>
        <v>Σταυρακάκη 43 Σητεία</v>
      </c>
      <c r="I2452">
        <v>72300</v>
      </c>
      <c r="J2452">
        <v>2843023437</v>
      </c>
      <c r="K2452">
        <v>6976645150</v>
      </c>
      <c r="M2452" t="s">
        <v>5026</v>
      </c>
      <c r="N2452" t="s">
        <v>204</v>
      </c>
      <c r="O2452" t="s">
        <v>205</v>
      </c>
      <c r="R2452" t="s">
        <v>57</v>
      </c>
      <c r="S2452">
        <v>8</v>
      </c>
      <c r="T2452">
        <v>251</v>
      </c>
      <c r="U2452" s="1">
        <v>36769</v>
      </c>
      <c r="V2452" t="s">
        <v>4509</v>
      </c>
      <c r="W2452" t="s">
        <v>4510</v>
      </c>
      <c r="X2452" t="s">
        <v>58</v>
      </c>
      <c r="Y2452">
        <v>20</v>
      </c>
      <c r="Z2452" t="s">
        <v>59</v>
      </c>
      <c r="AA2452" t="s">
        <v>59</v>
      </c>
      <c r="AB2452" t="s">
        <v>59</v>
      </c>
      <c r="AC2452" t="s">
        <v>59</v>
      </c>
      <c r="AD2452" t="s">
        <v>59</v>
      </c>
      <c r="AF2452" s="1">
        <v>36770</v>
      </c>
      <c r="AG2452" t="s">
        <v>125</v>
      </c>
      <c r="AH2452" t="s">
        <v>126</v>
      </c>
      <c r="AI2452" t="str">
        <f>"3204020"</f>
        <v>3204020</v>
      </c>
      <c r="AJ2452" t="s">
        <v>4632</v>
      </c>
      <c r="AK2452">
        <v>2843023923</v>
      </c>
      <c r="AL2452" t="s">
        <v>4633</v>
      </c>
      <c r="AM2452" t="s">
        <v>4513</v>
      </c>
      <c r="AN2452" t="s">
        <v>4540</v>
      </c>
      <c r="AO2452" t="s">
        <v>4540</v>
      </c>
      <c r="AP2452" t="s">
        <v>4540</v>
      </c>
      <c r="AQ2452">
        <v>6</v>
      </c>
      <c r="AR2452" t="s">
        <v>4509</v>
      </c>
      <c r="AS2452" t="s">
        <v>4510</v>
      </c>
      <c r="AT2452" t="s">
        <v>58</v>
      </c>
      <c r="AU2452" t="s">
        <v>68</v>
      </c>
      <c r="AV2452" t="s">
        <v>69</v>
      </c>
      <c r="AW2452" s="1">
        <v>26203</v>
      </c>
      <c r="AX2452">
        <v>2</v>
      </c>
    </row>
    <row r="2453" spans="1:50">
      <c r="A2453">
        <v>159294</v>
      </c>
      <c r="B2453" t="str">
        <f>"110272446"</f>
        <v>110272446</v>
      </c>
      <c r="C2453" t="s">
        <v>50</v>
      </c>
      <c r="D2453" t="s">
        <v>5027</v>
      </c>
      <c r="E2453" t="s">
        <v>52</v>
      </c>
      <c r="F2453" t="s">
        <v>154</v>
      </c>
      <c r="G2453" t="s">
        <v>411</v>
      </c>
      <c r="H2453" t="str">
        <f>" "</f>
        <v xml:space="preserve"> </v>
      </c>
      <c r="N2453" t="s">
        <v>146</v>
      </c>
      <c r="O2453" t="s">
        <v>147</v>
      </c>
      <c r="R2453" t="s">
        <v>57</v>
      </c>
      <c r="S2453">
        <v>15</v>
      </c>
      <c r="T2453">
        <v>161</v>
      </c>
      <c r="U2453" s="1">
        <v>33119</v>
      </c>
      <c r="V2453" t="s">
        <v>4509</v>
      </c>
      <c r="W2453" t="s">
        <v>4510</v>
      </c>
      <c r="X2453" t="s">
        <v>58</v>
      </c>
      <c r="Y2453">
        <v>18</v>
      </c>
      <c r="Z2453" t="s">
        <v>59</v>
      </c>
      <c r="AA2453" t="s">
        <v>59</v>
      </c>
      <c r="AB2453" t="s">
        <v>59</v>
      </c>
      <c r="AC2453" t="s">
        <v>59</v>
      </c>
      <c r="AD2453" t="s">
        <v>59</v>
      </c>
      <c r="AF2453" s="1">
        <v>33120</v>
      </c>
      <c r="AG2453" t="s">
        <v>125</v>
      </c>
      <c r="AH2453" t="s">
        <v>126</v>
      </c>
      <c r="AI2453" t="str">
        <f>"3202020"</f>
        <v>3202020</v>
      </c>
      <c r="AJ2453" t="s">
        <v>4576</v>
      </c>
      <c r="AK2453">
        <v>2842022289</v>
      </c>
      <c r="AL2453" t="s">
        <v>4577</v>
      </c>
      <c r="AM2453" t="s">
        <v>4513</v>
      </c>
      <c r="AN2453" t="s">
        <v>4519</v>
      </c>
      <c r="AO2453" t="s">
        <v>4519</v>
      </c>
      <c r="AP2453" t="s">
        <v>4519</v>
      </c>
      <c r="AQ2453">
        <v>4</v>
      </c>
      <c r="AR2453" t="s">
        <v>4509</v>
      </c>
      <c r="AS2453" t="s">
        <v>4510</v>
      </c>
      <c r="AT2453" t="s">
        <v>58</v>
      </c>
      <c r="AU2453" t="s">
        <v>68</v>
      </c>
      <c r="AV2453" t="s">
        <v>69</v>
      </c>
      <c r="AW2453" s="1">
        <v>23308</v>
      </c>
      <c r="AX2453">
        <v>2</v>
      </c>
    </row>
    <row r="2454" spans="1:50">
      <c r="A2454">
        <v>190088</v>
      </c>
      <c r="B2454" t="str">
        <f>"034590704"</f>
        <v>034590704</v>
      </c>
      <c r="C2454" t="s">
        <v>105</v>
      </c>
      <c r="D2454" t="s">
        <v>5028</v>
      </c>
      <c r="E2454" t="s">
        <v>95</v>
      </c>
      <c r="F2454" t="s">
        <v>72</v>
      </c>
      <c r="G2454" t="s">
        <v>191</v>
      </c>
      <c r="H2454" t="str">
        <f>"ΜΙΧΑΗΛ ΚΟΛΥΒΑΚΗ 16 ΣΗΤΕΙΑ"</f>
        <v>ΜΙΧΑΗΛ ΚΟΛΥΒΑΚΗ 16 ΣΗΤΕΙΑ</v>
      </c>
      <c r="I2454">
        <v>72300</v>
      </c>
      <c r="J2454">
        <v>2843023638</v>
      </c>
      <c r="K2454">
        <v>6976886243</v>
      </c>
      <c r="M2454" t="s">
        <v>5029</v>
      </c>
      <c r="N2454" t="s">
        <v>199</v>
      </c>
      <c r="O2454" t="s">
        <v>200</v>
      </c>
      <c r="R2454" t="s">
        <v>57</v>
      </c>
      <c r="S2454">
        <v>11</v>
      </c>
      <c r="T2454">
        <v>219</v>
      </c>
      <c r="U2454" s="1">
        <v>37134</v>
      </c>
      <c r="V2454" t="s">
        <v>4509</v>
      </c>
      <c r="W2454" t="s">
        <v>4510</v>
      </c>
      <c r="X2454" t="s">
        <v>58</v>
      </c>
      <c r="Y2454">
        <v>18</v>
      </c>
      <c r="Z2454" t="s">
        <v>59</v>
      </c>
      <c r="AA2454" t="s">
        <v>59</v>
      </c>
      <c r="AB2454" t="s">
        <v>59</v>
      </c>
      <c r="AC2454" t="s">
        <v>59</v>
      </c>
      <c r="AD2454" t="s">
        <v>59</v>
      </c>
      <c r="AF2454" s="1">
        <v>37135</v>
      </c>
      <c r="AG2454" t="s">
        <v>125</v>
      </c>
      <c r="AH2454" t="s">
        <v>126</v>
      </c>
      <c r="AI2454" t="str">
        <f>"3204020"</f>
        <v>3204020</v>
      </c>
      <c r="AJ2454" t="s">
        <v>4632</v>
      </c>
      <c r="AK2454">
        <v>2843023923</v>
      </c>
      <c r="AL2454" t="s">
        <v>4633</v>
      </c>
      <c r="AM2454" t="s">
        <v>4513</v>
      </c>
      <c r="AN2454" t="s">
        <v>4540</v>
      </c>
      <c r="AO2454" t="s">
        <v>4540</v>
      </c>
      <c r="AP2454" t="s">
        <v>4540</v>
      </c>
      <c r="AQ2454">
        <v>6</v>
      </c>
      <c r="AR2454" t="s">
        <v>4509</v>
      </c>
      <c r="AS2454" t="s">
        <v>4510</v>
      </c>
      <c r="AT2454" t="s">
        <v>58</v>
      </c>
      <c r="AU2454" t="s">
        <v>68</v>
      </c>
      <c r="AV2454" t="s">
        <v>69</v>
      </c>
      <c r="AW2454" s="1">
        <v>22697</v>
      </c>
      <c r="AX2454">
        <v>2</v>
      </c>
    </row>
    <row r="2455" spans="1:50">
      <c r="B2455" t="str">
        <f>"052261098"</f>
        <v>052261098</v>
      </c>
      <c r="C2455" t="s">
        <v>105</v>
      </c>
      <c r="D2455" t="s">
        <v>5030</v>
      </c>
      <c r="E2455" t="s">
        <v>309</v>
      </c>
      <c r="F2455" t="s">
        <v>920</v>
      </c>
      <c r="G2455" t="s">
        <v>83</v>
      </c>
      <c r="H2455" t="str">
        <f>"ΜΑΡΚΟΥ ΜΠΟΤΣΑΡΗ 6 ΛΑΜΙΑ"</f>
        <v>ΜΑΡΚΟΥ ΜΠΟΤΣΑΡΗ 6 ΛΑΜΙΑ</v>
      </c>
      <c r="I2455">
        <v>35100</v>
      </c>
      <c r="J2455">
        <v>2231045403</v>
      </c>
      <c r="K2455">
        <v>6978600942</v>
      </c>
      <c r="N2455" t="s">
        <v>587</v>
      </c>
      <c r="O2455" t="s">
        <v>588</v>
      </c>
      <c r="R2455" t="s">
        <v>159</v>
      </c>
      <c r="S2455">
        <v>1</v>
      </c>
      <c r="T2455" t="s">
        <v>416</v>
      </c>
      <c r="U2455" s="1">
        <v>43349</v>
      </c>
      <c r="V2455" t="s">
        <v>4509</v>
      </c>
      <c r="W2455" t="s">
        <v>4510</v>
      </c>
      <c r="X2455" t="s">
        <v>58</v>
      </c>
      <c r="Y2455">
        <v>23</v>
      </c>
      <c r="Z2455" t="s">
        <v>59</v>
      </c>
      <c r="AA2455" t="s">
        <v>59</v>
      </c>
      <c r="AB2455" t="s">
        <v>59</v>
      </c>
      <c r="AC2455" t="s">
        <v>59</v>
      </c>
      <c r="AD2455" t="s">
        <v>59</v>
      </c>
      <c r="AF2455" s="1">
        <v>43349</v>
      </c>
      <c r="AG2455" t="s">
        <v>137</v>
      </c>
      <c r="AH2455" t="s">
        <v>138</v>
      </c>
      <c r="AI2455" t="str">
        <f>"3240120"</f>
        <v>3240120</v>
      </c>
      <c r="AJ2455" t="s">
        <v>4552</v>
      </c>
      <c r="AK2455">
        <v>2842028667</v>
      </c>
      <c r="AL2455" t="s">
        <v>4553</v>
      </c>
      <c r="AM2455" t="s">
        <v>4513</v>
      </c>
      <c r="AN2455" t="s">
        <v>4519</v>
      </c>
      <c r="AO2455" t="s">
        <v>4519</v>
      </c>
      <c r="AP2455" t="s">
        <v>4519</v>
      </c>
      <c r="AQ2455">
        <v>4</v>
      </c>
      <c r="AR2455" t="s">
        <v>4509</v>
      </c>
      <c r="AS2455" t="s">
        <v>4510</v>
      </c>
      <c r="AT2455" t="s">
        <v>58</v>
      </c>
      <c r="AU2455" t="s">
        <v>419</v>
      </c>
      <c r="AV2455" t="s">
        <v>132</v>
      </c>
      <c r="AW2455" s="1">
        <v>24637</v>
      </c>
      <c r="AX2455">
        <v>2</v>
      </c>
    </row>
    <row r="2456" spans="1:50">
      <c r="B2456" t="str">
        <f>"066451298"</f>
        <v>066451298</v>
      </c>
      <c r="C2456" t="s">
        <v>50</v>
      </c>
      <c r="D2456" t="s">
        <v>2303</v>
      </c>
      <c r="E2456" t="s">
        <v>83</v>
      </c>
      <c r="F2456" t="s">
        <v>95</v>
      </c>
      <c r="G2456" t="s">
        <v>52</v>
      </c>
      <c r="H2456" t="str">
        <f>"Γ. ΜΠΑΞΕΒΑΝΗ 3 ΗΡΑΚΛΕΙΟ"</f>
        <v>Γ. ΜΠΑΞΕΒΑΝΗ 3 ΗΡΑΚΛΕΙΟ</v>
      </c>
      <c r="I2456">
        <v>71409</v>
      </c>
      <c r="J2456">
        <v>2813007073</v>
      </c>
      <c r="K2456">
        <v>6946082769</v>
      </c>
      <c r="M2456" t="s">
        <v>5031</v>
      </c>
      <c r="N2456" t="s">
        <v>146</v>
      </c>
      <c r="O2456" t="s">
        <v>147</v>
      </c>
      <c r="R2456" t="s">
        <v>159</v>
      </c>
      <c r="S2456">
        <v>2</v>
      </c>
      <c r="T2456" t="s">
        <v>160</v>
      </c>
      <c r="U2456" s="1">
        <v>43364</v>
      </c>
      <c r="V2456" t="s">
        <v>4509</v>
      </c>
      <c r="W2456" t="s">
        <v>4510</v>
      </c>
      <c r="X2456" t="s">
        <v>58</v>
      </c>
      <c r="Y2456">
        <v>23</v>
      </c>
      <c r="Z2456" t="s">
        <v>59</v>
      </c>
      <c r="AA2456" t="s">
        <v>59</v>
      </c>
      <c r="AB2456" t="s">
        <v>59</v>
      </c>
      <c r="AC2456" t="s">
        <v>59</v>
      </c>
      <c r="AD2456" t="s">
        <v>59</v>
      </c>
      <c r="AF2456" s="1">
        <v>43367</v>
      </c>
      <c r="AG2456" t="s">
        <v>148</v>
      </c>
      <c r="AH2456" t="s">
        <v>149</v>
      </c>
      <c r="AI2456" t="str">
        <f>"3253010"</f>
        <v>3253010</v>
      </c>
      <c r="AJ2456" t="s">
        <v>4579</v>
      </c>
      <c r="AK2456">
        <v>2841031769</v>
      </c>
      <c r="AL2456" t="s">
        <v>4580</v>
      </c>
      <c r="AM2456" t="s">
        <v>4513</v>
      </c>
      <c r="AN2456" t="s">
        <v>4514</v>
      </c>
      <c r="AO2456" t="s">
        <v>4524</v>
      </c>
      <c r="AP2456" t="s">
        <v>4525</v>
      </c>
      <c r="AQ2456">
        <v>3</v>
      </c>
      <c r="AR2456" t="s">
        <v>4509</v>
      </c>
      <c r="AS2456" t="s">
        <v>4510</v>
      </c>
      <c r="AT2456" t="s">
        <v>58</v>
      </c>
      <c r="AU2456" t="s">
        <v>164</v>
      </c>
      <c r="AV2456" t="s">
        <v>132</v>
      </c>
      <c r="AW2456" s="1">
        <v>25753</v>
      </c>
      <c r="AX2456">
        <v>2</v>
      </c>
    </row>
    <row r="2457" spans="1:50">
      <c r="A2457">
        <v>209570</v>
      </c>
      <c r="B2457" t="str">
        <f>"126318970"</f>
        <v>126318970</v>
      </c>
      <c r="C2457" t="s">
        <v>50</v>
      </c>
      <c r="D2457" t="s">
        <v>2305</v>
      </c>
      <c r="E2457" t="s">
        <v>476</v>
      </c>
      <c r="F2457" t="s">
        <v>106</v>
      </c>
      <c r="G2457" t="s">
        <v>250</v>
      </c>
      <c r="H2457" t="str">
        <f>" "</f>
        <v xml:space="preserve"> </v>
      </c>
      <c r="J2457">
        <v>2841023723</v>
      </c>
      <c r="K2457">
        <v>6972679965</v>
      </c>
      <c r="M2457" t="s">
        <v>5032</v>
      </c>
      <c r="N2457" t="s">
        <v>146</v>
      </c>
      <c r="O2457" t="s">
        <v>147</v>
      </c>
      <c r="R2457" t="s">
        <v>57</v>
      </c>
      <c r="S2457">
        <v>8</v>
      </c>
      <c r="T2457">
        <v>255</v>
      </c>
      <c r="U2457" s="1">
        <v>38604</v>
      </c>
      <c r="V2457" t="s">
        <v>4509</v>
      </c>
      <c r="W2457" t="s">
        <v>4510</v>
      </c>
      <c r="X2457" t="s">
        <v>58</v>
      </c>
      <c r="Y2457">
        <v>20</v>
      </c>
      <c r="Z2457" t="s">
        <v>59</v>
      </c>
      <c r="AA2457" t="s">
        <v>59</v>
      </c>
      <c r="AB2457" t="s">
        <v>59</v>
      </c>
      <c r="AC2457" t="s">
        <v>59</v>
      </c>
      <c r="AD2457" t="s">
        <v>59</v>
      </c>
      <c r="AF2457" s="1">
        <v>38605</v>
      </c>
      <c r="AG2457" t="s">
        <v>125</v>
      </c>
      <c r="AH2457" t="s">
        <v>126</v>
      </c>
      <c r="AI2457" t="str">
        <f>"3201010"</f>
        <v>3201010</v>
      </c>
      <c r="AJ2457" t="s">
        <v>4596</v>
      </c>
      <c r="AK2457">
        <v>2841022301</v>
      </c>
      <c r="AL2457" t="s">
        <v>4597</v>
      </c>
      <c r="AM2457" t="s">
        <v>4513</v>
      </c>
      <c r="AN2457" t="s">
        <v>4514</v>
      </c>
      <c r="AO2457" t="s">
        <v>4514</v>
      </c>
      <c r="AP2457" t="s">
        <v>4514</v>
      </c>
      <c r="AQ2457">
        <v>1</v>
      </c>
      <c r="AR2457" t="s">
        <v>4509</v>
      </c>
      <c r="AS2457" t="s">
        <v>4510</v>
      </c>
      <c r="AT2457" t="s">
        <v>58</v>
      </c>
      <c r="AU2457" t="s">
        <v>68</v>
      </c>
      <c r="AV2457" t="s">
        <v>69</v>
      </c>
      <c r="AW2457" s="1">
        <v>29561</v>
      </c>
      <c r="AX2457">
        <v>2</v>
      </c>
    </row>
    <row r="2458" spans="1:50">
      <c r="A2458">
        <v>612908</v>
      </c>
      <c r="B2458" t="str">
        <f>"049401814"</f>
        <v>049401814</v>
      </c>
      <c r="C2458" t="s">
        <v>50</v>
      </c>
      <c r="D2458" t="s">
        <v>5033</v>
      </c>
      <c r="E2458" t="s">
        <v>842</v>
      </c>
      <c r="F2458" t="s">
        <v>450</v>
      </c>
      <c r="G2458" t="s">
        <v>411</v>
      </c>
      <c r="H2458" t="str">
        <f>" "</f>
        <v xml:space="preserve"> </v>
      </c>
      <c r="M2458" t="s">
        <v>5034</v>
      </c>
      <c r="N2458" t="s">
        <v>5035</v>
      </c>
      <c r="O2458" t="s">
        <v>5036</v>
      </c>
      <c r="R2458" t="s">
        <v>57</v>
      </c>
      <c r="S2458">
        <v>4</v>
      </c>
      <c r="T2458" t="s">
        <v>5037</v>
      </c>
      <c r="U2458" s="1">
        <v>38967</v>
      </c>
      <c r="V2458" t="s">
        <v>4509</v>
      </c>
      <c r="W2458" t="s">
        <v>4510</v>
      </c>
      <c r="X2458" t="s">
        <v>58</v>
      </c>
      <c r="Y2458">
        <v>30</v>
      </c>
      <c r="Z2458" t="s">
        <v>59</v>
      </c>
      <c r="AA2458" t="s">
        <v>59</v>
      </c>
      <c r="AB2458" t="s">
        <v>59</v>
      </c>
      <c r="AC2458" t="s">
        <v>59</v>
      </c>
      <c r="AD2458" t="s">
        <v>59</v>
      </c>
      <c r="AF2458" s="1">
        <v>39011</v>
      </c>
      <c r="AG2458" t="s">
        <v>345</v>
      </c>
      <c r="AH2458" t="s">
        <v>346</v>
      </c>
      <c r="AI2458" t="str">
        <f>"3241010"</f>
        <v>3241010</v>
      </c>
      <c r="AJ2458" t="s">
        <v>4773</v>
      </c>
      <c r="AK2458">
        <v>2843029465</v>
      </c>
      <c r="AL2458" t="s">
        <v>4774</v>
      </c>
      <c r="AM2458" t="s">
        <v>4513</v>
      </c>
      <c r="AN2458" t="s">
        <v>4540</v>
      </c>
      <c r="AO2458" t="s">
        <v>4540</v>
      </c>
      <c r="AP2458" t="s">
        <v>4540</v>
      </c>
      <c r="AQ2458">
        <v>6</v>
      </c>
      <c r="AR2458" t="s">
        <v>4509</v>
      </c>
      <c r="AS2458" t="s">
        <v>4510</v>
      </c>
      <c r="AT2458" t="s">
        <v>58</v>
      </c>
      <c r="AU2458" t="s">
        <v>68</v>
      </c>
      <c r="AV2458" t="s">
        <v>69</v>
      </c>
      <c r="AW2458" s="1">
        <v>26091</v>
      </c>
      <c r="AX2458">
        <v>2</v>
      </c>
    </row>
    <row r="2459" spans="1:50">
      <c r="A2459">
        <v>202619</v>
      </c>
      <c r="B2459" t="str">
        <f>"042378281"</f>
        <v>042378281</v>
      </c>
      <c r="C2459" t="s">
        <v>50</v>
      </c>
      <c r="D2459" t="s">
        <v>2319</v>
      </c>
      <c r="E2459" t="s">
        <v>237</v>
      </c>
      <c r="F2459" t="s">
        <v>5038</v>
      </c>
      <c r="G2459" t="s">
        <v>414</v>
      </c>
      <c r="H2459" t="str">
        <f>"ΕΜΠΟΔΙΟΥ 6 ΞΗΡΟΚΑΜΠΟΣ"</f>
        <v>ΕΜΠΟΔΙΟΥ 6 ΞΗΡΟΚΑΜΠΟΣ</v>
      </c>
      <c r="I2459">
        <v>72100</v>
      </c>
      <c r="J2459">
        <v>2841025626</v>
      </c>
      <c r="K2459">
        <v>6944441483</v>
      </c>
      <c r="M2459" t="s">
        <v>5039</v>
      </c>
      <c r="N2459" t="s">
        <v>232</v>
      </c>
      <c r="O2459" t="s">
        <v>233</v>
      </c>
      <c r="R2459" t="s">
        <v>57</v>
      </c>
      <c r="S2459">
        <v>9</v>
      </c>
      <c r="T2459">
        <v>231</v>
      </c>
      <c r="U2459" s="1">
        <v>38230</v>
      </c>
      <c r="V2459" t="s">
        <v>4509</v>
      </c>
      <c r="W2459" t="s">
        <v>4510</v>
      </c>
      <c r="X2459" t="s">
        <v>58</v>
      </c>
      <c r="Y2459">
        <v>18</v>
      </c>
      <c r="Z2459" t="s">
        <v>59</v>
      </c>
      <c r="AA2459" t="s">
        <v>59</v>
      </c>
      <c r="AB2459" t="s">
        <v>59</v>
      </c>
      <c r="AC2459" t="s">
        <v>59</v>
      </c>
      <c r="AD2459" t="s">
        <v>59</v>
      </c>
      <c r="AF2459" s="1">
        <v>38231</v>
      </c>
      <c r="AG2459" t="s">
        <v>148</v>
      </c>
      <c r="AH2459" t="s">
        <v>149</v>
      </c>
      <c r="AI2459" t="str">
        <f>"3251001"</f>
        <v>3251001</v>
      </c>
      <c r="AJ2459" t="s">
        <v>4535</v>
      </c>
      <c r="AK2459">
        <v>2841082544</v>
      </c>
      <c r="AL2459" t="s">
        <v>4536</v>
      </c>
      <c r="AM2459" t="s">
        <v>4513</v>
      </c>
      <c r="AN2459" t="s">
        <v>4514</v>
      </c>
      <c r="AO2459" t="s">
        <v>4514</v>
      </c>
      <c r="AP2459" t="s">
        <v>4514</v>
      </c>
      <c r="AQ2459">
        <v>1</v>
      </c>
      <c r="AR2459" t="s">
        <v>4509</v>
      </c>
      <c r="AS2459" t="s">
        <v>4510</v>
      </c>
      <c r="AT2459" t="s">
        <v>58</v>
      </c>
      <c r="AU2459" t="s">
        <v>68</v>
      </c>
      <c r="AV2459" t="s">
        <v>69</v>
      </c>
      <c r="AW2459" s="1">
        <v>22544</v>
      </c>
      <c r="AX2459">
        <v>2</v>
      </c>
    </row>
    <row r="2460" spans="1:50">
      <c r="A2460">
        <v>199476</v>
      </c>
      <c r="B2460" t="str">
        <f>"046019750"</f>
        <v>046019750</v>
      </c>
      <c r="C2460" t="s">
        <v>105</v>
      </c>
      <c r="D2460" t="s">
        <v>5040</v>
      </c>
      <c r="E2460" t="s">
        <v>108</v>
      </c>
      <c r="F2460" t="s">
        <v>450</v>
      </c>
      <c r="G2460" t="s">
        <v>5041</v>
      </c>
      <c r="H2460" t="str">
        <f>"ΚΟΚΚΙΝΑ ΣΗΤΕΙΑΣ ΣΗΤΕΙΑ"</f>
        <v>ΚΟΚΚΙΝΑ ΣΗΤΕΙΑΣ ΣΗΤΕΙΑ</v>
      </c>
      <c r="I2460">
        <v>72300</v>
      </c>
      <c r="J2460">
        <v>2843025517</v>
      </c>
      <c r="K2460">
        <v>6944814733</v>
      </c>
      <c r="N2460" t="s">
        <v>282</v>
      </c>
      <c r="O2460" t="s">
        <v>283</v>
      </c>
      <c r="R2460" t="s">
        <v>57</v>
      </c>
      <c r="S2460">
        <v>11</v>
      </c>
      <c r="T2460">
        <v>206</v>
      </c>
      <c r="U2460" s="1">
        <v>37866</v>
      </c>
      <c r="V2460" t="s">
        <v>4509</v>
      </c>
      <c r="W2460" t="s">
        <v>4510</v>
      </c>
      <c r="X2460" t="s">
        <v>58</v>
      </c>
      <c r="Y2460">
        <v>20</v>
      </c>
      <c r="Z2460" t="s">
        <v>59</v>
      </c>
      <c r="AA2460" t="s">
        <v>59</v>
      </c>
      <c r="AB2460" t="s">
        <v>59</v>
      </c>
      <c r="AC2460" t="s">
        <v>59</v>
      </c>
      <c r="AD2460" t="s">
        <v>59</v>
      </c>
      <c r="AF2460" s="1">
        <v>37867</v>
      </c>
      <c r="AG2460" t="s">
        <v>137</v>
      </c>
      <c r="AH2460" t="s">
        <v>138</v>
      </c>
      <c r="AI2460" t="str">
        <f>"3240020"</f>
        <v>3240020</v>
      </c>
      <c r="AJ2460" t="s">
        <v>4568</v>
      </c>
      <c r="AK2460">
        <v>2843028570</v>
      </c>
      <c r="AL2460" t="s">
        <v>4569</v>
      </c>
      <c r="AM2460" t="s">
        <v>4513</v>
      </c>
      <c r="AN2460" t="s">
        <v>4540</v>
      </c>
      <c r="AO2460" t="s">
        <v>4540</v>
      </c>
      <c r="AP2460" t="s">
        <v>4540</v>
      </c>
      <c r="AQ2460">
        <v>6</v>
      </c>
      <c r="AR2460" t="s">
        <v>4509</v>
      </c>
      <c r="AS2460" t="s">
        <v>4510</v>
      </c>
      <c r="AT2460" t="s">
        <v>58</v>
      </c>
      <c r="AU2460" t="s">
        <v>68</v>
      </c>
      <c r="AV2460" t="s">
        <v>69</v>
      </c>
      <c r="AW2460" s="1">
        <v>26713</v>
      </c>
      <c r="AX2460">
        <v>2</v>
      </c>
    </row>
    <row r="2461" spans="1:50">
      <c r="A2461">
        <v>215534</v>
      </c>
      <c r="B2461" t="str">
        <f>"061079907"</f>
        <v>061079907</v>
      </c>
      <c r="C2461" t="s">
        <v>105</v>
      </c>
      <c r="D2461" t="s">
        <v>5042</v>
      </c>
      <c r="E2461" t="s">
        <v>5043</v>
      </c>
      <c r="F2461" t="s">
        <v>309</v>
      </c>
      <c r="G2461" t="s">
        <v>3249</v>
      </c>
      <c r="H2461" t="str">
        <f>" "</f>
        <v xml:space="preserve"> </v>
      </c>
      <c r="J2461">
        <v>2310287584</v>
      </c>
      <c r="K2461">
        <v>6945393790</v>
      </c>
      <c r="M2461" t="s">
        <v>5044</v>
      </c>
      <c r="N2461" t="s">
        <v>204</v>
      </c>
      <c r="O2461" t="s">
        <v>205</v>
      </c>
      <c r="R2461" t="s">
        <v>57</v>
      </c>
      <c r="S2461">
        <v>6</v>
      </c>
      <c r="T2461">
        <v>231</v>
      </c>
      <c r="U2461" s="1">
        <v>38960</v>
      </c>
      <c r="V2461" t="s">
        <v>4509</v>
      </c>
      <c r="W2461" t="s">
        <v>4510</v>
      </c>
      <c r="X2461" t="s">
        <v>58</v>
      </c>
      <c r="Y2461">
        <v>20</v>
      </c>
      <c r="Z2461" t="s">
        <v>59</v>
      </c>
      <c r="AA2461" t="s">
        <v>59</v>
      </c>
      <c r="AB2461" t="s">
        <v>59</v>
      </c>
      <c r="AC2461" t="s">
        <v>59</v>
      </c>
      <c r="AD2461" t="s">
        <v>59</v>
      </c>
      <c r="AF2461" s="1">
        <v>38961</v>
      </c>
      <c r="AG2461" t="s">
        <v>137</v>
      </c>
      <c r="AH2461" t="s">
        <v>469</v>
      </c>
      <c r="AI2461" t="str">
        <f>"3240125"</f>
        <v>3240125</v>
      </c>
      <c r="AJ2461" t="s">
        <v>4707</v>
      </c>
      <c r="AK2461">
        <v>2842024905</v>
      </c>
      <c r="AL2461" t="s">
        <v>4708</v>
      </c>
      <c r="AM2461" t="s">
        <v>4513</v>
      </c>
      <c r="AN2461" t="s">
        <v>4519</v>
      </c>
      <c r="AO2461" t="s">
        <v>4519</v>
      </c>
      <c r="AP2461" t="s">
        <v>4519</v>
      </c>
      <c r="AQ2461">
        <v>4</v>
      </c>
      <c r="AR2461" t="s">
        <v>4509</v>
      </c>
      <c r="AS2461" t="s">
        <v>4510</v>
      </c>
      <c r="AT2461" t="s">
        <v>58</v>
      </c>
      <c r="AU2461" t="s">
        <v>68</v>
      </c>
      <c r="AV2461" t="s">
        <v>69</v>
      </c>
      <c r="AW2461" s="1">
        <v>26260</v>
      </c>
      <c r="AX2461">
        <v>2</v>
      </c>
    </row>
    <row r="2462" spans="1:50">
      <c r="A2462">
        <v>199952</v>
      </c>
      <c r="B2462" t="str">
        <f>"110263578"</f>
        <v>110263578</v>
      </c>
      <c r="C2462" t="s">
        <v>105</v>
      </c>
      <c r="D2462" t="s">
        <v>5045</v>
      </c>
      <c r="E2462" t="s">
        <v>95</v>
      </c>
      <c r="F2462" t="s">
        <v>3483</v>
      </c>
      <c r="G2462" t="s">
        <v>5041</v>
      </c>
      <c r="H2462" t="str">
        <f>" "</f>
        <v xml:space="preserve"> </v>
      </c>
      <c r="J2462">
        <v>2842028903</v>
      </c>
      <c r="K2462">
        <v>6977650635</v>
      </c>
      <c r="N2462" t="s">
        <v>204</v>
      </c>
      <c r="O2462" t="s">
        <v>205</v>
      </c>
      <c r="R2462" t="s">
        <v>57</v>
      </c>
      <c r="S2462">
        <v>8</v>
      </c>
      <c r="T2462">
        <v>206</v>
      </c>
      <c r="U2462" s="1">
        <v>37866</v>
      </c>
      <c r="V2462" t="s">
        <v>4509</v>
      </c>
      <c r="W2462" t="s">
        <v>4510</v>
      </c>
      <c r="X2462" t="s">
        <v>58</v>
      </c>
      <c r="Y2462">
        <v>20</v>
      </c>
      <c r="Z2462" t="s">
        <v>59</v>
      </c>
      <c r="AA2462" t="s">
        <v>59</v>
      </c>
      <c r="AB2462" t="s">
        <v>59</v>
      </c>
      <c r="AC2462" t="s">
        <v>59</v>
      </c>
      <c r="AD2462" t="s">
        <v>59</v>
      </c>
      <c r="AF2462" s="1">
        <v>37867</v>
      </c>
      <c r="AG2462" t="s">
        <v>137</v>
      </c>
      <c r="AH2462" t="s">
        <v>138</v>
      </c>
      <c r="AI2462" t="str">
        <f>"3240120"</f>
        <v>3240120</v>
      </c>
      <c r="AJ2462" t="s">
        <v>4552</v>
      </c>
      <c r="AK2462">
        <v>2842028667</v>
      </c>
      <c r="AL2462" t="s">
        <v>4553</v>
      </c>
      <c r="AM2462" t="s">
        <v>4513</v>
      </c>
      <c r="AN2462" t="s">
        <v>4519</v>
      </c>
      <c r="AO2462" t="s">
        <v>4519</v>
      </c>
      <c r="AP2462" t="s">
        <v>4519</v>
      </c>
      <c r="AQ2462">
        <v>4</v>
      </c>
      <c r="AR2462" t="s">
        <v>4509</v>
      </c>
      <c r="AS2462" t="s">
        <v>4510</v>
      </c>
      <c r="AT2462" t="s">
        <v>58</v>
      </c>
      <c r="AU2462" t="s">
        <v>68</v>
      </c>
      <c r="AV2462" t="s">
        <v>69</v>
      </c>
      <c r="AW2462" s="1">
        <v>27526</v>
      </c>
      <c r="AX2462">
        <v>2</v>
      </c>
    </row>
    <row r="2463" spans="1:50">
      <c r="A2463">
        <v>701739</v>
      </c>
      <c r="B2463" t="str">
        <f>"126327014"</f>
        <v>126327014</v>
      </c>
      <c r="C2463" t="s">
        <v>105</v>
      </c>
      <c r="D2463" t="s">
        <v>5045</v>
      </c>
      <c r="E2463" t="s">
        <v>72</v>
      </c>
      <c r="F2463" t="s">
        <v>53</v>
      </c>
      <c r="G2463" t="s">
        <v>964</v>
      </c>
      <c r="H2463" t="str">
        <f>"ΚΡΙΤΣΑ ΛΑΣΙΘΙΟΥ "</f>
        <v xml:space="preserve">ΚΡΙΤΣΑ ΛΑΣΙΘΙΟΥ </v>
      </c>
      <c r="I2463">
        <v>72051</v>
      </c>
      <c r="J2463">
        <v>2841051300</v>
      </c>
      <c r="K2463">
        <v>6947156230</v>
      </c>
      <c r="M2463" t="s">
        <v>5046</v>
      </c>
      <c r="N2463" t="s">
        <v>292</v>
      </c>
      <c r="O2463" t="s">
        <v>293</v>
      </c>
      <c r="R2463" t="s">
        <v>57</v>
      </c>
      <c r="S2463">
        <v>6</v>
      </c>
      <c r="T2463">
        <v>772</v>
      </c>
      <c r="U2463" s="1">
        <v>40413</v>
      </c>
      <c r="V2463" t="s">
        <v>4509</v>
      </c>
      <c r="W2463" t="s">
        <v>4510</v>
      </c>
      <c r="X2463" t="s">
        <v>58</v>
      </c>
      <c r="Y2463">
        <v>21</v>
      </c>
      <c r="Z2463" t="s">
        <v>59</v>
      </c>
      <c r="AA2463" t="s">
        <v>59</v>
      </c>
      <c r="AB2463" t="s">
        <v>59</v>
      </c>
      <c r="AC2463" t="s">
        <v>59</v>
      </c>
      <c r="AD2463" t="s">
        <v>59</v>
      </c>
      <c r="AF2463" s="1">
        <v>40422</v>
      </c>
      <c r="AG2463" t="s">
        <v>125</v>
      </c>
      <c r="AH2463" t="s">
        <v>126</v>
      </c>
      <c r="AI2463" t="str">
        <f>"3201020"</f>
        <v>3201020</v>
      </c>
      <c r="AJ2463" t="s">
        <v>4511</v>
      </c>
      <c r="AK2463">
        <v>2841024586</v>
      </c>
      <c r="AL2463" t="s">
        <v>4512</v>
      </c>
      <c r="AM2463" t="s">
        <v>4513</v>
      </c>
      <c r="AN2463" t="s">
        <v>4514</v>
      </c>
      <c r="AO2463" t="s">
        <v>4514</v>
      </c>
      <c r="AP2463" t="s">
        <v>4514</v>
      </c>
      <c r="AQ2463">
        <v>1</v>
      </c>
      <c r="AR2463" t="s">
        <v>4509</v>
      </c>
      <c r="AS2463" t="s">
        <v>4510</v>
      </c>
      <c r="AT2463" t="s">
        <v>58</v>
      </c>
      <c r="AU2463" t="s">
        <v>68</v>
      </c>
      <c r="AV2463" t="s">
        <v>357</v>
      </c>
      <c r="AW2463" s="1">
        <v>31266</v>
      </c>
      <c r="AX2463">
        <v>2</v>
      </c>
    </row>
    <row r="2464" spans="1:50">
      <c r="A2464">
        <v>198592</v>
      </c>
      <c r="B2464" t="str">
        <f>"073741138"</f>
        <v>073741138</v>
      </c>
      <c r="C2464" t="s">
        <v>50</v>
      </c>
      <c r="D2464" t="s">
        <v>5047</v>
      </c>
      <c r="E2464" t="s">
        <v>143</v>
      </c>
      <c r="F2464" t="s">
        <v>53</v>
      </c>
      <c r="G2464" t="s">
        <v>950</v>
      </c>
      <c r="H2464" t="str">
        <f>" "</f>
        <v xml:space="preserve"> </v>
      </c>
      <c r="J2464">
        <v>2842031094</v>
      </c>
      <c r="L2464">
        <v>2842031519</v>
      </c>
      <c r="M2464" t="s">
        <v>5048</v>
      </c>
      <c r="N2464" t="s">
        <v>306</v>
      </c>
      <c r="O2464" t="s">
        <v>307</v>
      </c>
      <c r="R2464" t="s">
        <v>57</v>
      </c>
      <c r="S2464">
        <v>9</v>
      </c>
      <c r="T2464">
        <v>206</v>
      </c>
      <c r="U2464" s="1">
        <v>37866</v>
      </c>
      <c r="V2464" t="s">
        <v>4509</v>
      </c>
      <c r="W2464" t="s">
        <v>4510</v>
      </c>
      <c r="X2464" t="s">
        <v>58</v>
      </c>
      <c r="Y2464">
        <v>20</v>
      </c>
      <c r="Z2464" t="s">
        <v>59</v>
      </c>
      <c r="AA2464" t="s">
        <v>59</v>
      </c>
      <c r="AB2464" t="s">
        <v>59</v>
      </c>
      <c r="AC2464" t="s">
        <v>59</v>
      </c>
      <c r="AD2464" t="s">
        <v>59</v>
      </c>
      <c r="AF2464" s="1">
        <v>37867</v>
      </c>
      <c r="AG2464" t="s">
        <v>137</v>
      </c>
      <c r="AH2464" t="s">
        <v>138</v>
      </c>
      <c r="AI2464" t="str">
        <f>"3240120"</f>
        <v>3240120</v>
      </c>
      <c r="AJ2464" t="s">
        <v>4552</v>
      </c>
      <c r="AK2464">
        <v>2842028667</v>
      </c>
      <c r="AL2464" t="s">
        <v>4553</v>
      </c>
      <c r="AM2464" t="s">
        <v>4513</v>
      </c>
      <c r="AN2464" t="s">
        <v>4519</v>
      </c>
      <c r="AO2464" t="s">
        <v>4519</v>
      </c>
      <c r="AP2464" t="s">
        <v>4519</v>
      </c>
      <c r="AQ2464">
        <v>4</v>
      </c>
      <c r="AR2464" t="s">
        <v>4509</v>
      </c>
      <c r="AS2464" t="s">
        <v>4510</v>
      </c>
      <c r="AT2464" t="s">
        <v>58</v>
      </c>
      <c r="AU2464" t="s">
        <v>68</v>
      </c>
      <c r="AV2464" t="s">
        <v>69</v>
      </c>
      <c r="AW2464" s="1">
        <v>26107</v>
      </c>
      <c r="AX2464">
        <v>2</v>
      </c>
    </row>
    <row r="2465" spans="1:50">
      <c r="A2465">
        <v>704389</v>
      </c>
      <c r="B2465" t="str">
        <f>"129427264"</f>
        <v>129427264</v>
      </c>
      <c r="C2465" t="s">
        <v>50</v>
      </c>
      <c r="D2465" t="s">
        <v>5049</v>
      </c>
      <c r="E2465" t="s">
        <v>671</v>
      </c>
      <c r="F2465" t="s">
        <v>995</v>
      </c>
      <c r="G2465" t="s">
        <v>155</v>
      </c>
      <c r="H2465" t="str">
        <f>"ΙΟΥΣΤΙΝΙΑΝΟΥ 4 ΝΙΓΡΙΤΑ ΣΕΡΡΩΝ"</f>
        <v>ΙΟΥΣΤΙΝΙΑΝΟΥ 4 ΝΙΓΡΙΤΑ ΣΕΡΡΩΝ</v>
      </c>
      <c r="I2465">
        <v>62200</v>
      </c>
      <c r="J2465">
        <v>2322022840</v>
      </c>
      <c r="K2465">
        <v>6974533424</v>
      </c>
      <c r="N2465" t="s">
        <v>306</v>
      </c>
      <c r="O2465" t="s">
        <v>307</v>
      </c>
      <c r="R2465" t="s">
        <v>159</v>
      </c>
      <c r="S2465">
        <v>5</v>
      </c>
      <c r="T2465" t="s">
        <v>5050</v>
      </c>
      <c r="U2465" s="1">
        <v>40413</v>
      </c>
      <c r="V2465" t="s">
        <v>4509</v>
      </c>
      <c r="W2465" t="s">
        <v>4510</v>
      </c>
      <c r="X2465" t="s">
        <v>58</v>
      </c>
      <c r="Y2465">
        <v>21</v>
      </c>
      <c r="Z2465" t="s">
        <v>59</v>
      </c>
      <c r="AA2465" t="s">
        <v>59</v>
      </c>
      <c r="AB2465" t="s">
        <v>59</v>
      </c>
      <c r="AC2465" t="s">
        <v>59</v>
      </c>
      <c r="AD2465" t="s">
        <v>59</v>
      </c>
      <c r="AF2465" s="1">
        <v>43066</v>
      </c>
      <c r="AG2465" t="s">
        <v>148</v>
      </c>
      <c r="AH2465" t="s">
        <v>149</v>
      </c>
      <c r="AI2465" t="str">
        <f>"3252010"</f>
        <v>3252010</v>
      </c>
      <c r="AJ2465" t="s">
        <v>4532</v>
      </c>
      <c r="AK2465">
        <v>2842022356</v>
      </c>
      <c r="AL2465" t="s">
        <v>4533</v>
      </c>
      <c r="AM2465" t="s">
        <v>4513</v>
      </c>
      <c r="AN2465" t="s">
        <v>4519</v>
      </c>
      <c r="AO2465" t="s">
        <v>4519</v>
      </c>
      <c r="AP2465" t="s">
        <v>4519</v>
      </c>
      <c r="AQ2465">
        <v>4</v>
      </c>
      <c r="AR2465" t="s">
        <v>4509</v>
      </c>
      <c r="AS2465" t="s">
        <v>4510</v>
      </c>
      <c r="AT2465" t="s">
        <v>58</v>
      </c>
      <c r="AU2465" t="s">
        <v>68</v>
      </c>
      <c r="AV2465" t="s">
        <v>69</v>
      </c>
      <c r="AW2465" s="1">
        <v>29195</v>
      </c>
      <c r="AX2465">
        <v>2</v>
      </c>
    </row>
    <row r="2466" spans="1:50">
      <c r="A2466">
        <v>225005</v>
      </c>
      <c r="B2466" t="str">
        <f>"110268330"</f>
        <v>110268330</v>
      </c>
      <c r="C2466" t="s">
        <v>50</v>
      </c>
      <c r="D2466" t="s">
        <v>2361</v>
      </c>
      <c r="E2466" t="s">
        <v>620</v>
      </c>
      <c r="F2466" t="s">
        <v>1286</v>
      </c>
      <c r="G2466" t="s">
        <v>52</v>
      </c>
      <c r="H2466" t="str">
        <f>"ΙΕΡΑΠΕΤΡΑ ΙΕΡΑΠΕΤΡΑΣ"</f>
        <v>ΙΕΡΑΠΕΤΡΑ ΙΕΡΑΠΕΤΡΑΣ</v>
      </c>
      <c r="I2466">
        <v>72200</v>
      </c>
      <c r="J2466">
        <v>2842023337</v>
      </c>
      <c r="K2466">
        <v>6945907865</v>
      </c>
      <c r="N2466" t="s">
        <v>176</v>
      </c>
      <c r="O2466" t="s">
        <v>177</v>
      </c>
      <c r="R2466" t="s">
        <v>57</v>
      </c>
      <c r="S2466">
        <v>7</v>
      </c>
      <c r="T2466">
        <v>775</v>
      </c>
      <c r="U2466" s="1">
        <v>39680</v>
      </c>
      <c r="V2466" t="s">
        <v>4509</v>
      </c>
      <c r="W2466" t="s">
        <v>4510</v>
      </c>
      <c r="X2466" t="s">
        <v>58</v>
      </c>
      <c r="Y2466">
        <v>20</v>
      </c>
      <c r="Z2466" t="s">
        <v>59</v>
      </c>
      <c r="AA2466" t="s">
        <v>59</v>
      </c>
      <c r="AB2466" t="s">
        <v>59</v>
      </c>
      <c r="AC2466" t="s">
        <v>59</v>
      </c>
      <c r="AD2466" t="s">
        <v>59</v>
      </c>
      <c r="AF2466" s="1">
        <v>39681</v>
      </c>
      <c r="AG2466" t="s">
        <v>125</v>
      </c>
      <c r="AH2466" t="s">
        <v>126</v>
      </c>
      <c r="AI2466" t="str">
        <f>"3202030"</f>
        <v>3202030</v>
      </c>
      <c r="AJ2466" t="s">
        <v>4558</v>
      </c>
      <c r="AK2466">
        <v>2842028751</v>
      </c>
      <c r="AL2466" t="s">
        <v>4559</v>
      </c>
      <c r="AM2466" t="s">
        <v>4513</v>
      </c>
      <c r="AN2466" t="s">
        <v>4519</v>
      </c>
      <c r="AO2466" t="s">
        <v>4519</v>
      </c>
      <c r="AP2466" t="s">
        <v>4519</v>
      </c>
      <c r="AQ2466">
        <v>4</v>
      </c>
      <c r="AR2466" t="s">
        <v>4509</v>
      </c>
      <c r="AS2466" t="s">
        <v>4510</v>
      </c>
      <c r="AT2466" t="s">
        <v>58</v>
      </c>
      <c r="AU2466" t="s">
        <v>68</v>
      </c>
      <c r="AV2466" t="s">
        <v>132</v>
      </c>
      <c r="AW2466" s="1">
        <v>27426</v>
      </c>
      <c r="AX2466">
        <v>2</v>
      </c>
    </row>
    <row r="2467" spans="1:50">
      <c r="A2467">
        <v>225011</v>
      </c>
      <c r="B2467" t="str">
        <f>"049864673"</f>
        <v>049864673</v>
      </c>
      <c r="C2467" t="s">
        <v>50</v>
      </c>
      <c r="D2467" t="s">
        <v>5051</v>
      </c>
      <c r="E2467" t="s">
        <v>5052</v>
      </c>
      <c r="F2467" t="s">
        <v>99</v>
      </c>
      <c r="G2467" t="s">
        <v>215</v>
      </c>
      <c r="H2467" t="str">
        <f>" "</f>
        <v xml:space="preserve"> </v>
      </c>
      <c r="J2467">
        <v>2841032464</v>
      </c>
      <c r="K2467">
        <v>6972501152</v>
      </c>
      <c r="M2467" t="s">
        <v>5053</v>
      </c>
      <c r="N2467" t="s">
        <v>176</v>
      </c>
      <c r="O2467" t="s">
        <v>177</v>
      </c>
      <c r="R2467" t="s">
        <v>57</v>
      </c>
      <c r="S2467">
        <v>4</v>
      </c>
      <c r="T2467">
        <v>775</v>
      </c>
      <c r="U2467" s="1">
        <v>39680</v>
      </c>
      <c r="V2467" t="s">
        <v>4509</v>
      </c>
      <c r="W2467" t="s">
        <v>4510</v>
      </c>
      <c r="X2467" t="s">
        <v>58</v>
      </c>
      <c r="Y2467">
        <v>21</v>
      </c>
      <c r="Z2467" t="s">
        <v>59</v>
      </c>
      <c r="AA2467" t="s">
        <v>59</v>
      </c>
      <c r="AB2467" t="s">
        <v>59</v>
      </c>
      <c r="AC2467" t="s">
        <v>59</v>
      </c>
      <c r="AD2467" t="s">
        <v>59</v>
      </c>
      <c r="AF2467" s="1">
        <v>39692</v>
      </c>
      <c r="AG2467" t="s">
        <v>148</v>
      </c>
      <c r="AH2467" t="s">
        <v>149</v>
      </c>
      <c r="AI2467" t="str">
        <f>"3253010"</f>
        <v>3253010</v>
      </c>
      <c r="AJ2467" t="s">
        <v>4579</v>
      </c>
      <c r="AK2467">
        <v>2841031769</v>
      </c>
      <c r="AL2467" t="s">
        <v>4580</v>
      </c>
      <c r="AM2467" t="s">
        <v>4513</v>
      </c>
      <c r="AN2467" t="s">
        <v>4514</v>
      </c>
      <c r="AO2467" t="s">
        <v>4524</v>
      </c>
      <c r="AP2467" t="s">
        <v>4525</v>
      </c>
      <c r="AQ2467">
        <v>3</v>
      </c>
      <c r="AR2467" t="s">
        <v>4509</v>
      </c>
      <c r="AS2467" t="s">
        <v>4510</v>
      </c>
      <c r="AT2467" t="s">
        <v>58</v>
      </c>
      <c r="AU2467" t="s">
        <v>68</v>
      </c>
      <c r="AV2467" t="s">
        <v>132</v>
      </c>
      <c r="AW2467" s="1">
        <v>24958</v>
      </c>
      <c r="AX2467">
        <v>2</v>
      </c>
    </row>
    <row r="2468" spans="1:50">
      <c r="A2468">
        <v>145353</v>
      </c>
      <c r="B2468" t="str">
        <f>"030939860"</f>
        <v>030939860</v>
      </c>
      <c r="C2468" t="s">
        <v>105</v>
      </c>
      <c r="D2468" t="s">
        <v>5054</v>
      </c>
      <c r="E2468" t="s">
        <v>166</v>
      </c>
      <c r="F2468" t="s">
        <v>309</v>
      </c>
      <c r="G2468" t="s">
        <v>83</v>
      </c>
      <c r="H2468" t="str">
        <f>" "</f>
        <v xml:space="preserve"> </v>
      </c>
      <c r="M2468" t="s">
        <v>5055</v>
      </c>
      <c r="N2468" t="s">
        <v>157</v>
      </c>
      <c r="O2468" t="s">
        <v>158</v>
      </c>
      <c r="R2468" t="s">
        <v>57</v>
      </c>
      <c r="S2468">
        <v>18</v>
      </c>
      <c r="T2468">
        <v>237</v>
      </c>
      <c r="U2468" s="1">
        <v>31293</v>
      </c>
      <c r="V2468" t="s">
        <v>4509</v>
      </c>
      <c r="W2468" t="s">
        <v>4510</v>
      </c>
      <c r="X2468" t="s">
        <v>58</v>
      </c>
      <c r="Y2468">
        <v>18</v>
      </c>
      <c r="Z2468" t="s">
        <v>59</v>
      </c>
      <c r="AA2468" t="s">
        <v>59</v>
      </c>
      <c r="AB2468" t="s">
        <v>59</v>
      </c>
      <c r="AC2468" t="s">
        <v>59</v>
      </c>
      <c r="AD2468" t="s">
        <v>59</v>
      </c>
      <c r="AF2468" s="1">
        <v>31296</v>
      </c>
      <c r="AG2468" t="s">
        <v>137</v>
      </c>
      <c r="AH2468" t="s">
        <v>138</v>
      </c>
      <c r="AI2468" t="str">
        <f>"3240077"</f>
        <v>3240077</v>
      </c>
      <c r="AJ2468" t="s">
        <v>4528</v>
      </c>
      <c r="AK2468">
        <v>2841025978</v>
      </c>
      <c r="AL2468" t="s">
        <v>4529</v>
      </c>
      <c r="AM2468" t="s">
        <v>4513</v>
      </c>
      <c r="AN2468" t="s">
        <v>4514</v>
      </c>
      <c r="AO2468" t="s">
        <v>4514</v>
      </c>
      <c r="AP2468" t="s">
        <v>4514</v>
      </c>
      <c r="AQ2468">
        <v>1</v>
      </c>
      <c r="AR2468" t="s">
        <v>4509</v>
      </c>
      <c r="AS2468" t="s">
        <v>4510</v>
      </c>
      <c r="AT2468" t="s">
        <v>58</v>
      </c>
      <c r="AU2468" t="s">
        <v>68</v>
      </c>
      <c r="AV2468" t="s">
        <v>69</v>
      </c>
      <c r="AW2468" s="1">
        <v>19441</v>
      </c>
      <c r="AX2468">
        <v>2</v>
      </c>
    </row>
    <row r="2469" spans="1:50">
      <c r="B2469" t="str">
        <f>"071799863"</f>
        <v>071799863</v>
      </c>
      <c r="C2469" t="s">
        <v>105</v>
      </c>
      <c r="D2469" t="s">
        <v>5054</v>
      </c>
      <c r="E2469" t="s">
        <v>53</v>
      </c>
      <c r="F2469" t="s">
        <v>166</v>
      </c>
      <c r="G2469" t="s">
        <v>52</v>
      </c>
      <c r="H2469" t="str">
        <f>"ΔΗΜΟΚΡΑΤΙΑΣ 1 ΕΛΟΥΝΤΑ"</f>
        <v>ΔΗΜΟΚΡΑΤΙΑΣ 1 ΕΛΟΥΝΤΑ</v>
      </c>
      <c r="I2469">
        <v>72053</v>
      </c>
      <c r="J2469">
        <v>2841041511</v>
      </c>
      <c r="K2469">
        <v>6939050076</v>
      </c>
      <c r="L2469">
        <v>6980008136</v>
      </c>
      <c r="N2469" t="s">
        <v>292</v>
      </c>
      <c r="O2469" t="s">
        <v>293</v>
      </c>
      <c r="R2469" t="s">
        <v>57</v>
      </c>
      <c r="S2469">
        <v>5</v>
      </c>
      <c r="T2469" t="s">
        <v>416</v>
      </c>
      <c r="U2469" s="1">
        <v>43349</v>
      </c>
      <c r="V2469" t="s">
        <v>4509</v>
      </c>
      <c r="W2469" t="s">
        <v>4510</v>
      </c>
      <c r="X2469" t="s">
        <v>58</v>
      </c>
      <c r="Y2469">
        <v>21</v>
      </c>
      <c r="Z2469" t="s">
        <v>59</v>
      </c>
      <c r="AA2469" t="s">
        <v>59</v>
      </c>
      <c r="AB2469" t="s">
        <v>59</v>
      </c>
      <c r="AC2469" t="s">
        <v>59</v>
      </c>
      <c r="AD2469" t="s">
        <v>59</v>
      </c>
      <c r="AF2469" s="1">
        <v>43349</v>
      </c>
      <c r="AG2469" t="s">
        <v>137</v>
      </c>
      <c r="AH2469" t="s">
        <v>138</v>
      </c>
      <c r="AI2469" t="str">
        <f>"3240070"</f>
        <v>3240070</v>
      </c>
      <c r="AJ2469" t="s">
        <v>4582</v>
      </c>
      <c r="AK2469">
        <v>2841032545</v>
      </c>
      <c r="AL2469" t="s">
        <v>4583</v>
      </c>
      <c r="AM2469" t="s">
        <v>4513</v>
      </c>
      <c r="AN2469" t="s">
        <v>4514</v>
      </c>
      <c r="AO2469" t="s">
        <v>4524</v>
      </c>
      <c r="AP2469" t="s">
        <v>4525</v>
      </c>
      <c r="AQ2469">
        <v>3</v>
      </c>
      <c r="AR2469" t="s">
        <v>4509</v>
      </c>
      <c r="AS2469" t="s">
        <v>4510</v>
      </c>
      <c r="AT2469" t="s">
        <v>58</v>
      </c>
      <c r="AU2469" t="s">
        <v>419</v>
      </c>
      <c r="AV2469" t="s">
        <v>132</v>
      </c>
      <c r="AW2469" s="1">
        <v>24465</v>
      </c>
      <c r="AX2469">
        <v>2</v>
      </c>
    </row>
    <row r="2470" spans="1:50">
      <c r="A2470">
        <v>225720</v>
      </c>
      <c r="B2470" t="str">
        <f>"065046246"</f>
        <v>065046246</v>
      </c>
      <c r="C2470" t="s">
        <v>50</v>
      </c>
      <c r="D2470" t="s">
        <v>2385</v>
      </c>
      <c r="E2470" t="s">
        <v>181</v>
      </c>
      <c r="F2470" t="s">
        <v>3483</v>
      </c>
      <c r="G2470" t="s">
        <v>109</v>
      </c>
      <c r="H2470" t="str">
        <f>"ΚΕΝΤΡΙ ΚΕΝΤΡΙ ΙΕΡΑΠΕΤΡΑΣ"</f>
        <v>ΚΕΝΤΡΙ ΚΕΝΤΡΙ ΙΕΡΑΠΕΤΡΑΣ</v>
      </c>
      <c r="I2470">
        <v>72200</v>
      </c>
      <c r="J2470">
        <v>2842022496</v>
      </c>
      <c r="K2470">
        <v>6976633171</v>
      </c>
      <c r="M2470" t="s">
        <v>5056</v>
      </c>
      <c r="N2470" t="s">
        <v>292</v>
      </c>
      <c r="O2470" t="s">
        <v>293</v>
      </c>
      <c r="R2470" t="s">
        <v>57</v>
      </c>
      <c r="S2470">
        <v>5</v>
      </c>
      <c r="T2470">
        <v>862</v>
      </c>
      <c r="U2470" s="1">
        <v>39706</v>
      </c>
      <c r="V2470" t="s">
        <v>4509</v>
      </c>
      <c r="W2470" t="s">
        <v>4510</v>
      </c>
      <c r="X2470" t="s">
        <v>58</v>
      </c>
      <c r="Y2470">
        <v>21</v>
      </c>
      <c r="Z2470" t="s">
        <v>59</v>
      </c>
      <c r="AA2470" t="s">
        <v>59</v>
      </c>
      <c r="AB2470" t="s">
        <v>59</v>
      </c>
      <c r="AC2470" t="s">
        <v>59</v>
      </c>
      <c r="AD2470" t="s">
        <v>59</v>
      </c>
      <c r="AF2470" s="1">
        <v>39706</v>
      </c>
      <c r="AG2470" t="s">
        <v>137</v>
      </c>
      <c r="AH2470" t="s">
        <v>138</v>
      </c>
      <c r="AI2470" t="str">
        <f>"3240120"</f>
        <v>3240120</v>
      </c>
      <c r="AJ2470" t="s">
        <v>4552</v>
      </c>
      <c r="AK2470">
        <v>2842028667</v>
      </c>
      <c r="AL2470" t="s">
        <v>4553</v>
      </c>
      <c r="AM2470" t="s">
        <v>4513</v>
      </c>
      <c r="AN2470" t="s">
        <v>4519</v>
      </c>
      <c r="AO2470" t="s">
        <v>4519</v>
      </c>
      <c r="AP2470" t="s">
        <v>4519</v>
      </c>
      <c r="AQ2470">
        <v>4</v>
      </c>
      <c r="AR2470" t="s">
        <v>4509</v>
      </c>
      <c r="AS2470" t="s">
        <v>4510</v>
      </c>
      <c r="AT2470" t="s">
        <v>58</v>
      </c>
      <c r="AU2470" t="s">
        <v>68</v>
      </c>
      <c r="AV2470" t="s">
        <v>69</v>
      </c>
      <c r="AW2470" s="1">
        <v>27933</v>
      </c>
      <c r="AX2470">
        <v>2</v>
      </c>
    </row>
    <row r="2471" spans="1:50">
      <c r="A2471">
        <v>179435</v>
      </c>
      <c r="B2471" t="str">
        <f>"034841546"</f>
        <v>034841546</v>
      </c>
      <c r="C2471" t="s">
        <v>50</v>
      </c>
      <c r="D2471" t="s">
        <v>5057</v>
      </c>
      <c r="E2471" t="s">
        <v>5058</v>
      </c>
      <c r="F2471" t="s">
        <v>95</v>
      </c>
      <c r="G2471" t="s">
        <v>83</v>
      </c>
      <c r="H2471" t="str">
        <f>" "</f>
        <v xml:space="preserve"> </v>
      </c>
      <c r="N2471" t="s">
        <v>146</v>
      </c>
      <c r="O2471" t="s">
        <v>147</v>
      </c>
      <c r="R2471" t="s">
        <v>57</v>
      </c>
      <c r="S2471">
        <v>10</v>
      </c>
      <c r="T2471">
        <v>164</v>
      </c>
      <c r="U2471" s="1">
        <v>36040</v>
      </c>
      <c r="V2471" t="s">
        <v>4509</v>
      </c>
      <c r="W2471" t="s">
        <v>4510</v>
      </c>
      <c r="X2471" t="s">
        <v>58</v>
      </c>
      <c r="Y2471">
        <v>18</v>
      </c>
      <c r="Z2471" t="s">
        <v>59</v>
      </c>
      <c r="AA2471" t="s">
        <v>59</v>
      </c>
      <c r="AB2471" t="s">
        <v>59</v>
      </c>
      <c r="AC2471" t="s">
        <v>59</v>
      </c>
      <c r="AD2471" t="s">
        <v>59</v>
      </c>
      <c r="AF2471" s="1">
        <v>36040</v>
      </c>
      <c r="AG2471" t="s">
        <v>125</v>
      </c>
      <c r="AH2471" t="s">
        <v>126</v>
      </c>
      <c r="AI2471" t="str">
        <f>"3204020"</f>
        <v>3204020</v>
      </c>
      <c r="AJ2471" t="s">
        <v>4632</v>
      </c>
      <c r="AK2471">
        <v>2843023923</v>
      </c>
      <c r="AL2471" t="s">
        <v>4633</v>
      </c>
      <c r="AM2471" t="s">
        <v>4513</v>
      </c>
      <c r="AN2471" t="s">
        <v>4540</v>
      </c>
      <c r="AO2471" t="s">
        <v>4540</v>
      </c>
      <c r="AP2471" t="s">
        <v>4540</v>
      </c>
      <c r="AQ2471">
        <v>6</v>
      </c>
      <c r="AR2471" t="s">
        <v>4509</v>
      </c>
      <c r="AS2471" t="s">
        <v>4510</v>
      </c>
      <c r="AT2471" t="s">
        <v>58</v>
      </c>
      <c r="AU2471" t="s">
        <v>68</v>
      </c>
      <c r="AV2471" t="s">
        <v>69</v>
      </c>
      <c r="AW2471" s="1">
        <v>24464</v>
      </c>
      <c r="AX2471">
        <v>2</v>
      </c>
    </row>
    <row r="2472" spans="1:50">
      <c r="A2472">
        <v>906428</v>
      </c>
      <c r="B2472" t="str">
        <f>"110368155"</f>
        <v>110368155</v>
      </c>
      <c r="C2472" t="s">
        <v>50</v>
      </c>
      <c r="D2472" t="s">
        <v>5059</v>
      </c>
      <c r="E2472" t="s">
        <v>73</v>
      </c>
      <c r="F2472" t="s">
        <v>95</v>
      </c>
      <c r="G2472" t="s">
        <v>494</v>
      </c>
      <c r="H2472" t="str">
        <f>"Δ. ΠΑΠΑΔΑΚΗ 35 ΣΗΤΕΙΑ"</f>
        <v>Δ. ΠΑΠΑΔΑΚΗ 35 ΣΗΤΕΙΑ</v>
      </c>
      <c r="I2472">
        <v>72300</v>
      </c>
      <c r="J2472">
        <v>2843024268</v>
      </c>
      <c r="K2472">
        <v>6973736678</v>
      </c>
      <c r="M2472" t="s">
        <v>5060</v>
      </c>
      <c r="N2472" t="s">
        <v>146</v>
      </c>
      <c r="O2472" t="s">
        <v>147</v>
      </c>
      <c r="R2472" t="s">
        <v>57</v>
      </c>
      <c r="S2472">
        <v>16</v>
      </c>
      <c r="T2472">
        <v>237</v>
      </c>
      <c r="U2472" s="1">
        <v>31293</v>
      </c>
      <c r="V2472" t="s">
        <v>4509</v>
      </c>
      <c r="W2472" t="s">
        <v>4510</v>
      </c>
      <c r="X2472" t="s">
        <v>58</v>
      </c>
      <c r="Y2472">
        <v>18</v>
      </c>
      <c r="Z2472" t="s">
        <v>59</v>
      </c>
      <c r="AA2472" t="s">
        <v>59</v>
      </c>
      <c r="AB2472" t="s">
        <v>59</v>
      </c>
      <c r="AC2472" t="s">
        <v>59</v>
      </c>
      <c r="AD2472" t="s">
        <v>59</v>
      </c>
      <c r="AF2472" s="1">
        <v>31302</v>
      </c>
      <c r="AG2472" t="s">
        <v>137</v>
      </c>
      <c r="AH2472" t="s">
        <v>138</v>
      </c>
      <c r="AI2472" t="str">
        <f>"3240020"</f>
        <v>3240020</v>
      </c>
      <c r="AJ2472" t="s">
        <v>4568</v>
      </c>
      <c r="AK2472">
        <v>2843028570</v>
      </c>
      <c r="AL2472" t="s">
        <v>4569</v>
      </c>
      <c r="AM2472" t="s">
        <v>4513</v>
      </c>
      <c r="AN2472" t="s">
        <v>4540</v>
      </c>
      <c r="AO2472" t="s">
        <v>4540</v>
      </c>
      <c r="AP2472" t="s">
        <v>4540</v>
      </c>
      <c r="AQ2472">
        <v>6</v>
      </c>
      <c r="AR2472" t="s">
        <v>4509</v>
      </c>
      <c r="AS2472" t="s">
        <v>4510</v>
      </c>
      <c r="AT2472" t="s">
        <v>58</v>
      </c>
      <c r="AU2472" t="s">
        <v>68</v>
      </c>
      <c r="AV2472" t="s">
        <v>69</v>
      </c>
      <c r="AW2472" s="1">
        <v>22126</v>
      </c>
      <c r="AX2472">
        <v>2</v>
      </c>
    </row>
    <row r="2473" spans="1:50">
      <c r="A2473">
        <v>212174</v>
      </c>
      <c r="B2473" t="str">
        <f>"046020692"</f>
        <v>046020692</v>
      </c>
      <c r="C2473" t="s">
        <v>50</v>
      </c>
      <c r="D2473" t="s">
        <v>5061</v>
      </c>
      <c r="E2473" t="s">
        <v>316</v>
      </c>
      <c r="F2473" t="s">
        <v>84</v>
      </c>
      <c r="G2473" t="s">
        <v>5062</v>
      </c>
      <c r="H2473" t="str">
        <f>"Β. ΟΥΓΚΩ 10 ΣΗΤΕΙΑ"</f>
        <v>Β. ΟΥΓΚΩ 10 ΣΗΤΕΙΑ</v>
      </c>
      <c r="I2473">
        <v>72300</v>
      </c>
      <c r="J2473">
        <v>2843026843</v>
      </c>
      <c r="K2473">
        <v>6972272086</v>
      </c>
      <c r="L2473">
        <v>2843023523</v>
      </c>
      <c r="M2473" t="s">
        <v>5063</v>
      </c>
      <c r="N2473" t="s">
        <v>146</v>
      </c>
      <c r="O2473" t="s">
        <v>147</v>
      </c>
      <c r="R2473" t="s">
        <v>57</v>
      </c>
      <c r="S2473">
        <v>6</v>
      </c>
      <c r="T2473">
        <v>231</v>
      </c>
      <c r="U2473" s="1">
        <v>38960</v>
      </c>
      <c r="V2473" t="s">
        <v>4509</v>
      </c>
      <c r="W2473" t="s">
        <v>4510</v>
      </c>
      <c r="X2473" t="s">
        <v>58</v>
      </c>
      <c r="Y2473">
        <v>20</v>
      </c>
      <c r="Z2473" t="s">
        <v>59</v>
      </c>
      <c r="AA2473" t="s">
        <v>59</v>
      </c>
      <c r="AB2473" t="s">
        <v>59</v>
      </c>
      <c r="AC2473" t="s">
        <v>59</v>
      </c>
      <c r="AD2473" t="s">
        <v>59</v>
      </c>
      <c r="AF2473" s="1">
        <v>38961</v>
      </c>
      <c r="AG2473" t="s">
        <v>148</v>
      </c>
      <c r="AH2473" t="s">
        <v>149</v>
      </c>
      <c r="AI2473" t="str">
        <f>"3254010"</f>
        <v>3254010</v>
      </c>
      <c r="AJ2473" t="s">
        <v>4538</v>
      </c>
      <c r="AK2473">
        <v>2843022277</v>
      </c>
      <c r="AL2473" t="s">
        <v>4539</v>
      </c>
      <c r="AM2473" t="s">
        <v>4513</v>
      </c>
      <c r="AN2473" t="s">
        <v>4540</v>
      </c>
      <c r="AO2473" t="s">
        <v>4540</v>
      </c>
      <c r="AP2473" t="s">
        <v>4540</v>
      </c>
      <c r="AQ2473">
        <v>6</v>
      </c>
      <c r="AR2473" t="s">
        <v>4509</v>
      </c>
      <c r="AS2473" t="s">
        <v>4510</v>
      </c>
      <c r="AT2473" t="s">
        <v>58</v>
      </c>
      <c r="AU2473" t="s">
        <v>68</v>
      </c>
      <c r="AV2473" t="s">
        <v>69</v>
      </c>
      <c r="AW2473" s="1">
        <v>26486</v>
      </c>
      <c r="AX2473">
        <v>2</v>
      </c>
    </row>
    <row r="2474" spans="1:50">
      <c r="A2474">
        <v>212184</v>
      </c>
      <c r="B2474" t="str">
        <f>"041560093"</f>
        <v>041560093</v>
      </c>
      <c r="C2474" t="s">
        <v>50</v>
      </c>
      <c r="D2474" t="s">
        <v>5064</v>
      </c>
      <c r="E2474" t="s">
        <v>73</v>
      </c>
      <c r="F2474" t="s">
        <v>166</v>
      </c>
      <c r="G2474" t="s">
        <v>52</v>
      </c>
      <c r="H2474" t="str">
        <f>" "</f>
        <v xml:space="preserve"> </v>
      </c>
      <c r="J2474">
        <v>2841083354</v>
      </c>
      <c r="K2474">
        <v>6944743915</v>
      </c>
      <c r="M2474" t="s">
        <v>5065</v>
      </c>
      <c r="N2474" t="s">
        <v>146</v>
      </c>
      <c r="O2474" t="s">
        <v>147</v>
      </c>
      <c r="R2474" t="s">
        <v>57</v>
      </c>
      <c r="S2474">
        <v>5</v>
      </c>
      <c r="T2474">
        <v>231</v>
      </c>
      <c r="U2474" s="1">
        <v>38960</v>
      </c>
      <c r="V2474" t="s">
        <v>4509</v>
      </c>
      <c r="W2474" t="s">
        <v>4510</v>
      </c>
      <c r="X2474" t="s">
        <v>58</v>
      </c>
      <c r="Y2474">
        <v>20</v>
      </c>
      <c r="Z2474" t="s">
        <v>59</v>
      </c>
      <c r="AA2474" t="s">
        <v>59</v>
      </c>
      <c r="AB2474" t="s">
        <v>59</v>
      </c>
      <c r="AC2474" t="s">
        <v>59</v>
      </c>
      <c r="AD2474" t="s">
        <v>59</v>
      </c>
      <c r="AF2474" s="1">
        <v>38961</v>
      </c>
      <c r="AG2474" t="s">
        <v>148</v>
      </c>
      <c r="AH2474" t="s">
        <v>149</v>
      </c>
      <c r="AI2474" t="str">
        <f>"3251010"</f>
        <v>3251010</v>
      </c>
      <c r="AJ2474" t="s">
        <v>4646</v>
      </c>
      <c r="AK2474">
        <v>2841023649</v>
      </c>
      <c r="AL2474" t="s">
        <v>4647</v>
      </c>
      <c r="AM2474" t="s">
        <v>4513</v>
      </c>
      <c r="AN2474" t="s">
        <v>4514</v>
      </c>
      <c r="AO2474" t="s">
        <v>4514</v>
      </c>
      <c r="AP2474" t="s">
        <v>4514</v>
      </c>
      <c r="AQ2474">
        <v>1</v>
      </c>
      <c r="AR2474" t="s">
        <v>4509</v>
      </c>
      <c r="AS2474" t="s">
        <v>4510</v>
      </c>
      <c r="AT2474" t="s">
        <v>58</v>
      </c>
      <c r="AU2474" t="s">
        <v>68</v>
      </c>
      <c r="AV2474" t="s">
        <v>69</v>
      </c>
      <c r="AW2474" s="1">
        <v>25725</v>
      </c>
      <c r="AX2474">
        <v>2</v>
      </c>
    </row>
    <row r="2475" spans="1:50">
      <c r="A2475">
        <v>220746</v>
      </c>
      <c r="B2475" t="str">
        <f>"047833781"</f>
        <v>047833781</v>
      </c>
      <c r="C2475" t="s">
        <v>50</v>
      </c>
      <c r="D2475" t="s">
        <v>5066</v>
      </c>
      <c r="E2475" t="s">
        <v>73</v>
      </c>
      <c r="F2475" t="s">
        <v>920</v>
      </c>
      <c r="G2475" t="s">
        <v>103</v>
      </c>
      <c r="H2475" t="str">
        <f>" "</f>
        <v xml:space="preserve"> </v>
      </c>
      <c r="J2475">
        <v>2841061068</v>
      </c>
      <c r="K2475">
        <v>6973822387</v>
      </c>
      <c r="M2475" t="s">
        <v>5067</v>
      </c>
      <c r="N2475" t="s">
        <v>288</v>
      </c>
      <c r="O2475" t="s">
        <v>289</v>
      </c>
      <c r="R2475" t="s">
        <v>57</v>
      </c>
      <c r="S2475">
        <v>7</v>
      </c>
      <c r="T2475">
        <v>681</v>
      </c>
      <c r="U2475" s="1">
        <v>39325</v>
      </c>
      <c r="V2475" t="s">
        <v>4509</v>
      </c>
      <c r="W2475" t="s">
        <v>4510</v>
      </c>
      <c r="X2475" t="s">
        <v>58</v>
      </c>
      <c r="Y2475">
        <v>21</v>
      </c>
      <c r="Z2475" t="s">
        <v>59</v>
      </c>
      <c r="AA2475" t="s">
        <v>59</v>
      </c>
      <c r="AB2475" t="s">
        <v>59</v>
      </c>
      <c r="AC2475" t="s">
        <v>59</v>
      </c>
      <c r="AD2475" t="s">
        <v>59</v>
      </c>
      <c r="AF2475" s="1">
        <v>39326</v>
      </c>
      <c r="AG2475" t="s">
        <v>125</v>
      </c>
      <c r="AH2475" t="s">
        <v>126</v>
      </c>
      <c r="AI2475" t="str">
        <f>"3201025"</f>
        <v>3201025</v>
      </c>
      <c r="AJ2475" t="s">
        <v>4682</v>
      </c>
      <c r="AK2475">
        <v>2841021388</v>
      </c>
      <c r="AL2475" t="s">
        <v>4683</v>
      </c>
      <c r="AM2475" t="s">
        <v>4513</v>
      </c>
      <c r="AN2475" t="s">
        <v>4514</v>
      </c>
      <c r="AO2475" t="s">
        <v>4514</v>
      </c>
      <c r="AP2475" t="s">
        <v>4514</v>
      </c>
      <c r="AQ2475">
        <v>1</v>
      </c>
      <c r="AR2475" t="s">
        <v>4509</v>
      </c>
      <c r="AS2475" t="s">
        <v>4510</v>
      </c>
      <c r="AT2475" t="s">
        <v>58</v>
      </c>
      <c r="AU2475" t="s">
        <v>68</v>
      </c>
      <c r="AV2475" t="s">
        <v>132</v>
      </c>
      <c r="AW2475" s="1">
        <v>28240</v>
      </c>
      <c r="AX2475">
        <v>2</v>
      </c>
    </row>
    <row r="2476" spans="1:50">
      <c r="A2476">
        <v>226622</v>
      </c>
      <c r="B2476" t="str">
        <f>"067274380"</f>
        <v>067274380</v>
      </c>
      <c r="C2476" t="s">
        <v>50</v>
      </c>
      <c r="D2476" t="s">
        <v>5068</v>
      </c>
      <c r="E2476" t="s">
        <v>52</v>
      </c>
      <c r="F2476" t="s">
        <v>450</v>
      </c>
      <c r="G2476" t="s">
        <v>1764</v>
      </c>
      <c r="H2476" t="str">
        <f>"ΧΑΤΖΟΠΟΥΛΟΥ 41 ΚΑΛΛΙΘΕΑ"</f>
        <v>ΧΑΤΖΟΠΟΥΛΟΥ 41 ΚΑΛΛΙΘΕΑ</v>
      </c>
      <c r="I2476">
        <v>17671</v>
      </c>
      <c r="J2476">
        <v>2109532314</v>
      </c>
      <c r="K2476">
        <v>6976410468</v>
      </c>
      <c r="M2476" t="s">
        <v>5069</v>
      </c>
      <c r="N2476" t="s">
        <v>146</v>
      </c>
      <c r="O2476" t="s">
        <v>147</v>
      </c>
      <c r="R2476" t="s">
        <v>57</v>
      </c>
      <c r="S2476">
        <v>4</v>
      </c>
      <c r="T2476">
        <v>654</v>
      </c>
      <c r="U2476" s="1">
        <v>40043</v>
      </c>
      <c r="V2476" t="s">
        <v>4509</v>
      </c>
      <c r="W2476" t="s">
        <v>4510</v>
      </c>
      <c r="X2476" t="s">
        <v>58</v>
      </c>
      <c r="Y2476">
        <v>21</v>
      </c>
      <c r="Z2476" t="s">
        <v>59</v>
      </c>
      <c r="AA2476" t="s">
        <v>59</v>
      </c>
      <c r="AB2476" t="s">
        <v>59</v>
      </c>
      <c r="AC2476" t="s">
        <v>59</v>
      </c>
      <c r="AD2476" t="s">
        <v>59</v>
      </c>
      <c r="AF2476" s="1">
        <v>40044</v>
      </c>
      <c r="AG2476" t="s">
        <v>125</v>
      </c>
      <c r="AH2476" t="s">
        <v>126</v>
      </c>
      <c r="AI2476" t="str">
        <f>"3202020"</f>
        <v>3202020</v>
      </c>
      <c r="AJ2476" t="s">
        <v>4576</v>
      </c>
      <c r="AK2476">
        <v>2842022289</v>
      </c>
      <c r="AL2476" t="s">
        <v>4577</v>
      </c>
      <c r="AM2476" t="s">
        <v>4513</v>
      </c>
      <c r="AN2476" t="s">
        <v>4519</v>
      </c>
      <c r="AO2476" t="s">
        <v>4519</v>
      </c>
      <c r="AP2476" t="s">
        <v>4519</v>
      </c>
      <c r="AQ2476">
        <v>4</v>
      </c>
      <c r="AR2476" t="s">
        <v>4509</v>
      </c>
      <c r="AS2476" t="s">
        <v>4510</v>
      </c>
      <c r="AT2476" t="s">
        <v>58</v>
      </c>
      <c r="AU2476" t="s">
        <v>68</v>
      </c>
      <c r="AV2476" t="s">
        <v>69</v>
      </c>
      <c r="AW2476" s="1">
        <v>27352</v>
      </c>
      <c r="AX2476">
        <v>2</v>
      </c>
    </row>
    <row r="2477" spans="1:50">
      <c r="A2477">
        <v>183446</v>
      </c>
      <c r="B2477" t="str">
        <f>"043457478"</f>
        <v>043457478</v>
      </c>
      <c r="C2477" t="s">
        <v>50</v>
      </c>
      <c r="D2477" t="s">
        <v>5070</v>
      </c>
      <c r="E2477" t="s">
        <v>5071</v>
      </c>
      <c r="F2477" t="s">
        <v>4318</v>
      </c>
      <c r="G2477" t="s">
        <v>411</v>
      </c>
      <c r="H2477" t="str">
        <f>"ΕΥΝΟΜΙΑΣ, ΕΛΟΥΝΤΑ ΕΛΟΥΝΤΑ"</f>
        <v>ΕΥΝΟΜΙΑΣ, ΕΛΟΥΝΤΑ ΕΛΟΥΝΤΑ</v>
      </c>
      <c r="I2477">
        <v>72053</v>
      </c>
      <c r="J2477">
        <v>2841041051</v>
      </c>
      <c r="K2477">
        <v>6945052418</v>
      </c>
      <c r="M2477" t="s">
        <v>5072</v>
      </c>
      <c r="N2477" t="s">
        <v>146</v>
      </c>
      <c r="O2477" t="s">
        <v>147</v>
      </c>
      <c r="R2477" t="s">
        <v>57</v>
      </c>
      <c r="S2477">
        <v>11</v>
      </c>
      <c r="T2477">
        <v>177</v>
      </c>
      <c r="U2477" s="1">
        <v>36403</v>
      </c>
      <c r="V2477" t="s">
        <v>4509</v>
      </c>
      <c r="W2477" t="s">
        <v>4510</v>
      </c>
      <c r="X2477" t="s">
        <v>58</v>
      </c>
      <c r="Y2477">
        <v>18</v>
      </c>
      <c r="Z2477" t="s">
        <v>59</v>
      </c>
      <c r="AA2477" t="s">
        <v>59</v>
      </c>
      <c r="AB2477" t="s">
        <v>59</v>
      </c>
      <c r="AC2477" t="s">
        <v>59</v>
      </c>
      <c r="AD2477" t="s">
        <v>59</v>
      </c>
      <c r="AF2477" s="1">
        <v>36404</v>
      </c>
      <c r="AG2477" t="s">
        <v>125</v>
      </c>
      <c r="AH2477" t="s">
        <v>126</v>
      </c>
      <c r="AI2477" t="str">
        <f>"3201020"</f>
        <v>3201020</v>
      </c>
      <c r="AJ2477" t="s">
        <v>4511</v>
      </c>
      <c r="AK2477">
        <v>2841024586</v>
      </c>
      <c r="AL2477" t="s">
        <v>4512</v>
      </c>
      <c r="AM2477" t="s">
        <v>4513</v>
      </c>
      <c r="AN2477" t="s">
        <v>4514</v>
      </c>
      <c r="AO2477" t="s">
        <v>4514</v>
      </c>
      <c r="AP2477" t="s">
        <v>4514</v>
      </c>
      <c r="AQ2477">
        <v>1</v>
      </c>
      <c r="AR2477" t="s">
        <v>4509</v>
      </c>
      <c r="AS2477" t="s">
        <v>4510</v>
      </c>
      <c r="AT2477" t="s">
        <v>58</v>
      </c>
      <c r="AU2477" t="s">
        <v>68</v>
      </c>
      <c r="AV2477" t="s">
        <v>69</v>
      </c>
      <c r="AW2477" s="1">
        <v>22936</v>
      </c>
      <c r="AX2477">
        <v>2</v>
      </c>
    </row>
    <row r="2478" spans="1:50">
      <c r="A2478">
        <v>141541</v>
      </c>
      <c r="B2478" t="str">
        <f>"024882404"</f>
        <v>024882404</v>
      </c>
      <c r="C2478" t="s">
        <v>105</v>
      </c>
      <c r="D2478" t="s">
        <v>2507</v>
      </c>
      <c r="E2478" t="s">
        <v>315</v>
      </c>
      <c r="F2478" t="s">
        <v>166</v>
      </c>
      <c r="G2478" t="s">
        <v>494</v>
      </c>
      <c r="H2478" t="str">
        <f>" "</f>
        <v xml:space="preserve"> </v>
      </c>
      <c r="M2478" t="s">
        <v>5073</v>
      </c>
      <c r="N2478" t="s">
        <v>199</v>
      </c>
      <c r="O2478" t="s">
        <v>200</v>
      </c>
      <c r="R2478" t="s">
        <v>57</v>
      </c>
      <c r="S2478">
        <v>18</v>
      </c>
      <c r="T2478">
        <v>331</v>
      </c>
      <c r="U2478" s="1">
        <v>30253</v>
      </c>
      <c r="V2478" t="s">
        <v>4509</v>
      </c>
      <c r="W2478" t="s">
        <v>4510</v>
      </c>
      <c r="X2478" t="s">
        <v>58</v>
      </c>
      <c r="Y2478">
        <v>18</v>
      </c>
      <c r="Z2478" t="s">
        <v>59</v>
      </c>
      <c r="AA2478" t="s">
        <v>59</v>
      </c>
      <c r="AB2478" t="s">
        <v>59</v>
      </c>
      <c r="AC2478" t="s">
        <v>59</v>
      </c>
      <c r="AD2478" t="s">
        <v>59</v>
      </c>
      <c r="AF2478" s="1">
        <v>30254</v>
      </c>
      <c r="AG2478" t="s">
        <v>148</v>
      </c>
      <c r="AH2478" t="s">
        <v>149</v>
      </c>
      <c r="AI2478" t="str">
        <f>"3252010"</f>
        <v>3252010</v>
      </c>
      <c r="AJ2478" t="s">
        <v>4532</v>
      </c>
      <c r="AK2478">
        <v>2842022356</v>
      </c>
      <c r="AL2478" t="s">
        <v>4533</v>
      </c>
      <c r="AM2478" t="s">
        <v>4513</v>
      </c>
      <c r="AN2478" t="s">
        <v>4519</v>
      </c>
      <c r="AO2478" t="s">
        <v>4519</v>
      </c>
      <c r="AP2478" t="s">
        <v>4519</v>
      </c>
      <c r="AQ2478">
        <v>4</v>
      </c>
      <c r="AR2478" t="s">
        <v>4509</v>
      </c>
      <c r="AS2478" t="s">
        <v>4510</v>
      </c>
      <c r="AT2478" t="s">
        <v>58</v>
      </c>
      <c r="AU2478" t="s">
        <v>68</v>
      </c>
      <c r="AV2478" t="s">
        <v>69</v>
      </c>
      <c r="AW2478" s="1">
        <v>19894</v>
      </c>
      <c r="AX2478">
        <v>2</v>
      </c>
    </row>
    <row r="2479" spans="1:50">
      <c r="A2479">
        <v>189384</v>
      </c>
      <c r="B2479" t="str">
        <f>"110705441"</f>
        <v>110705441</v>
      </c>
      <c r="C2479" t="s">
        <v>50</v>
      </c>
      <c r="D2479" t="s">
        <v>5074</v>
      </c>
      <c r="E2479" t="s">
        <v>52</v>
      </c>
      <c r="F2479" t="s">
        <v>72</v>
      </c>
      <c r="G2479" t="s">
        <v>83</v>
      </c>
      <c r="H2479" t="str">
        <f>" "</f>
        <v xml:space="preserve"> </v>
      </c>
      <c r="J2479">
        <v>2841082774</v>
      </c>
      <c r="K2479">
        <v>6977691454</v>
      </c>
      <c r="M2479" t="s">
        <v>5075</v>
      </c>
      <c r="N2479" t="s">
        <v>146</v>
      </c>
      <c r="O2479" t="s">
        <v>147</v>
      </c>
      <c r="R2479" t="s">
        <v>57</v>
      </c>
      <c r="S2479">
        <v>8</v>
      </c>
      <c r="T2479">
        <v>219</v>
      </c>
      <c r="U2479" s="1">
        <v>37134</v>
      </c>
      <c r="V2479" t="s">
        <v>4509</v>
      </c>
      <c r="W2479" t="s">
        <v>4510</v>
      </c>
      <c r="X2479" t="s">
        <v>58</v>
      </c>
      <c r="Y2479">
        <v>20</v>
      </c>
      <c r="Z2479" t="s">
        <v>59</v>
      </c>
      <c r="AA2479" t="s">
        <v>59</v>
      </c>
      <c r="AB2479" t="s">
        <v>59</v>
      </c>
      <c r="AC2479" t="s">
        <v>59</v>
      </c>
      <c r="AD2479" t="s">
        <v>59</v>
      </c>
      <c r="AF2479" s="1">
        <v>37135</v>
      </c>
      <c r="AG2479" t="s">
        <v>125</v>
      </c>
      <c r="AH2479" t="s">
        <v>126</v>
      </c>
      <c r="AI2479" t="str">
        <f>"3201010"</f>
        <v>3201010</v>
      </c>
      <c r="AJ2479" t="s">
        <v>4596</v>
      </c>
      <c r="AK2479">
        <v>2841022301</v>
      </c>
      <c r="AL2479" t="s">
        <v>4597</v>
      </c>
      <c r="AM2479" t="s">
        <v>4513</v>
      </c>
      <c r="AN2479" t="s">
        <v>4514</v>
      </c>
      <c r="AO2479" t="s">
        <v>4514</v>
      </c>
      <c r="AP2479" t="s">
        <v>4514</v>
      </c>
      <c r="AQ2479">
        <v>1</v>
      </c>
      <c r="AR2479" t="s">
        <v>4509</v>
      </c>
      <c r="AS2479" t="s">
        <v>4510</v>
      </c>
      <c r="AT2479" t="s">
        <v>58</v>
      </c>
      <c r="AU2479" t="s">
        <v>68</v>
      </c>
      <c r="AV2479" t="s">
        <v>69</v>
      </c>
      <c r="AW2479" s="1">
        <v>27621</v>
      </c>
      <c r="AX2479">
        <v>2</v>
      </c>
    </row>
    <row r="2480" spans="1:50">
      <c r="B2480" t="str">
        <f>"102152633"</f>
        <v>102152633</v>
      </c>
      <c r="C2480" t="s">
        <v>105</v>
      </c>
      <c r="D2480" t="s">
        <v>5076</v>
      </c>
      <c r="E2480" t="s">
        <v>53</v>
      </c>
      <c r="F2480" t="s">
        <v>108</v>
      </c>
      <c r="G2480" t="s">
        <v>143</v>
      </c>
      <c r="H2480" t="str">
        <f>" "</f>
        <v xml:space="preserve"> </v>
      </c>
      <c r="K2480">
        <v>6973005192</v>
      </c>
      <c r="M2480" t="s">
        <v>5077</v>
      </c>
      <c r="N2480" t="s">
        <v>257</v>
      </c>
      <c r="O2480" t="s">
        <v>258</v>
      </c>
      <c r="R2480" t="s">
        <v>159</v>
      </c>
      <c r="S2480">
        <v>3</v>
      </c>
      <c r="T2480" t="s">
        <v>416</v>
      </c>
      <c r="U2480" s="1">
        <v>43349</v>
      </c>
      <c r="V2480" t="s">
        <v>4509</v>
      </c>
      <c r="W2480" t="s">
        <v>4510</v>
      </c>
      <c r="X2480" t="s">
        <v>58</v>
      </c>
      <c r="Y2480">
        <v>23</v>
      </c>
      <c r="Z2480" t="s">
        <v>59</v>
      </c>
      <c r="AA2480" t="s">
        <v>59</v>
      </c>
      <c r="AB2480" t="s">
        <v>59</v>
      </c>
      <c r="AC2480" t="s">
        <v>59</v>
      </c>
      <c r="AD2480" t="s">
        <v>59</v>
      </c>
      <c r="AF2480" s="1">
        <v>43349</v>
      </c>
      <c r="AG2480" t="s">
        <v>148</v>
      </c>
      <c r="AH2480" t="s">
        <v>149</v>
      </c>
      <c r="AI2480" t="str">
        <f>"3254010"</f>
        <v>3254010</v>
      </c>
      <c r="AJ2480" t="s">
        <v>4538</v>
      </c>
      <c r="AK2480">
        <v>2843022277</v>
      </c>
      <c r="AL2480" t="s">
        <v>4539</v>
      </c>
      <c r="AM2480" t="s">
        <v>4513</v>
      </c>
      <c r="AN2480" t="s">
        <v>4540</v>
      </c>
      <c r="AO2480" t="s">
        <v>4540</v>
      </c>
      <c r="AP2480" t="s">
        <v>4540</v>
      </c>
      <c r="AQ2480">
        <v>6</v>
      </c>
      <c r="AR2480" t="s">
        <v>4509</v>
      </c>
      <c r="AS2480" t="s">
        <v>4510</v>
      </c>
      <c r="AT2480" t="s">
        <v>58</v>
      </c>
      <c r="AU2480" t="s">
        <v>419</v>
      </c>
      <c r="AV2480" t="s">
        <v>132</v>
      </c>
      <c r="AW2480" s="1">
        <v>29450</v>
      </c>
      <c r="AX2480">
        <v>2</v>
      </c>
    </row>
    <row r="2481" spans="1:50">
      <c r="B2481" t="str">
        <f>"064589427"</f>
        <v>064589427</v>
      </c>
      <c r="C2481" t="s">
        <v>105</v>
      </c>
      <c r="D2481" t="s">
        <v>2557</v>
      </c>
      <c r="E2481" t="s">
        <v>72</v>
      </c>
      <c r="F2481" t="s">
        <v>1743</v>
      </c>
      <c r="G2481" t="s">
        <v>5078</v>
      </c>
      <c r="H2481" t="str">
        <f>"ΠΟΤΑΜΙΕΣ "</f>
        <v xml:space="preserve">ΠΟΤΑΜΙΕΣ </v>
      </c>
      <c r="I2481">
        <v>70005</v>
      </c>
      <c r="K2481">
        <v>6947926065</v>
      </c>
      <c r="N2481" t="s">
        <v>883</v>
      </c>
      <c r="O2481" t="s">
        <v>884</v>
      </c>
      <c r="R2481" t="s">
        <v>121</v>
      </c>
      <c r="S2481">
        <v>1</v>
      </c>
      <c r="T2481" t="s">
        <v>344</v>
      </c>
      <c r="U2481" s="1">
        <v>43348</v>
      </c>
      <c r="V2481" t="s">
        <v>4509</v>
      </c>
      <c r="W2481" t="s">
        <v>4510</v>
      </c>
      <c r="X2481" t="s">
        <v>58</v>
      </c>
      <c r="Y2481">
        <v>23</v>
      </c>
      <c r="Z2481" t="s">
        <v>59</v>
      </c>
      <c r="AD2481" t="s">
        <v>59</v>
      </c>
      <c r="AF2481" s="1">
        <v>43348</v>
      </c>
      <c r="AG2481" t="s">
        <v>125</v>
      </c>
      <c r="AH2481" t="s">
        <v>126</v>
      </c>
      <c r="AI2481" t="str">
        <f>"3201020"</f>
        <v>3201020</v>
      </c>
      <c r="AJ2481" t="s">
        <v>4511</v>
      </c>
      <c r="AK2481">
        <v>2841024586</v>
      </c>
      <c r="AL2481" t="s">
        <v>4512</v>
      </c>
      <c r="AM2481" t="s">
        <v>4513</v>
      </c>
      <c r="AN2481" t="s">
        <v>4514</v>
      </c>
      <c r="AO2481" t="s">
        <v>4514</v>
      </c>
      <c r="AP2481" t="s">
        <v>4514</v>
      </c>
      <c r="AQ2481">
        <v>1</v>
      </c>
      <c r="AR2481" t="s">
        <v>4509</v>
      </c>
      <c r="AS2481" t="s">
        <v>4510</v>
      </c>
      <c r="AT2481" t="s">
        <v>58</v>
      </c>
      <c r="AU2481" t="s">
        <v>350</v>
      </c>
      <c r="AV2481" t="s">
        <v>132</v>
      </c>
      <c r="AW2481" s="1">
        <v>29803</v>
      </c>
      <c r="AX2481">
        <v>2</v>
      </c>
    </row>
    <row r="2482" spans="1:50">
      <c r="A2482">
        <v>220064</v>
      </c>
      <c r="B2482" t="str">
        <f>"038362391"</f>
        <v>038362391</v>
      </c>
      <c r="C2482" t="s">
        <v>50</v>
      </c>
      <c r="D2482" t="s">
        <v>2582</v>
      </c>
      <c r="E2482" t="s">
        <v>964</v>
      </c>
      <c r="F2482" t="s">
        <v>450</v>
      </c>
      <c r="G2482" t="s">
        <v>155</v>
      </c>
      <c r="H2482" t="str">
        <f>"ΤΡΥΠΗΤΟΣ ΣΗΤΕΙΑΣ ΣΗΤΕΙΑ"</f>
        <v>ΤΡΥΠΗΤΟΣ ΣΗΤΕΙΑΣ ΣΗΤΕΙΑ</v>
      </c>
      <c r="I2482">
        <v>72300</v>
      </c>
      <c r="J2482">
        <v>2843026453</v>
      </c>
      <c r="K2482">
        <v>6978871239</v>
      </c>
      <c r="M2482" t="s">
        <v>5079</v>
      </c>
      <c r="N2482" t="s">
        <v>299</v>
      </c>
      <c r="O2482" t="s">
        <v>300</v>
      </c>
      <c r="R2482" t="s">
        <v>57</v>
      </c>
      <c r="S2482">
        <v>7</v>
      </c>
      <c r="T2482">
        <v>599</v>
      </c>
      <c r="U2482" s="1">
        <v>39310</v>
      </c>
      <c r="V2482" t="s">
        <v>4509</v>
      </c>
      <c r="W2482" t="s">
        <v>4510</v>
      </c>
      <c r="X2482" t="s">
        <v>58</v>
      </c>
      <c r="Y2482">
        <v>20</v>
      </c>
      <c r="Z2482" t="s">
        <v>59</v>
      </c>
      <c r="AA2482" t="s">
        <v>59</v>
      </c>
      <c r="AB2482" t="s">
        <v>59</v>
      </c>
      <c r="AC2482" t="s">
        <v>59</v>
      </c>
      <c r="AD2482" t="s">
        <v>59</v>
      </c>
      <c r="AF2482" s="1">
        <v>39310</v>
      </c>
      <c r="AG2482" t="s">
        <v>137</v>
      </c>
      <c r="AH2482" t="s">
        <v>138</v>
      </c>
      <c r="AI2482" t="str">
        <f>"3240020"</f>
        <v>3240020</v>
      </c>
      <c r="AJ2482" t="s">
        <v>4568</v>
      </c>
      <c r="AK2482">
        <v>2843028570</v>
      </c>
      <c r="AL2482" t="s">
        <v>4569</v>
      </c>
      <c r="AM2482" t="s">
        <v>4513</v>
      </c>
      <c r="AN2482" t="s">
        <v>4540</v>
      </c>
      <c r="AO2482" t="s">
        <v>4540</v>
      </c>
      <c r="AP2482" t="s">
        <v>4540</v>
      </c>
      <c r="AQ2482">
        <v>6</v>
      </c>
      <c r="AR2482" t="s">
        <v>4509</v>
      </c>
      <c r="AS2482" t="s">
        <v>4510</v>
      </c>
      <c r="AT2482" t="s">
        <v>58</v>
      </c>
      <c r="AU2482" t="s">
        <v>68</v>
      </c>
      <c r="AV2482" t="s">
        <v>69</v>
      </c>
      <c r="AW2482" s="1">
        <v>24743</v>
      </c>
      <c r="AX2482">
        <v>2</v>
      </c>
    </row>
    <row r="2483" spans="1:50">
      <c r="A2483">
        <v>185179</v>
      </c>
      <c r="B2483" t="str">
        <f>"074604302"</f>
        <v>074604302</v>
      </c>
      <c r="C2483" t="s">
        <v>105</v>
      </c>
      <c r="D2483" t="s">
        <v>5080</v>
      </c>
      <c r="E2483" t="s">
        <v>1848</v>
      </c>
      <c r="F2483" t="s">
        <v>95</v>
      </c>
      <c r="G2483" t="s">
        <v>83</v>
      </c>
      <c r="H2483" t="str">
        <f>" "</f>
        <v xml:space="preserve"> </v>
      </c>
      <c r="J2483">
        <v>2841082579</v>
      </c>
      <c r="K2483">
        <v>6993036506</v>
      </c>
      <c r="M2483" t="s">
        <v>5081</v>
      </c>
      <c r="N2483" t="s">
        <v>204</v>
      </c>
      <c r="O2483" t="s">
        <v>205</v>
      </c>
      <c r="R2483" t="s">
        <v>57</v>
      </c>
      <c r="S2483">
        <v>10</v>
      </c>
      <c r="T2483">
        <v>177</v>
      </c>
      <c r="U2483" s="1">
        <v>36403</v>
      </c>
      <c r="V2483" t="s">
        <v>4509</v>
      </c>
      <c r="W2483" t="s">
        <v>4510</v>
      </c>
      <c r="X2483" t="s">
        <v>58</v>
      </c>
      <c r="Y2483">
        <v>18</v>
      </c>
      <c r="Z2483" t="s">
        <v>59</v>
      </c>
      <c r="AA2483" t="s">
        <v>59</v>
      </c>
      <c r="AB2483" t="s">
        <v>59</v>
      </c>
      <c r="AC2483" t="s">
        <v>59</v>
      </c>
      <c r="AD2483" t="s">
        <v>59</v>
      </c>
      <c r="AF2483" s="1">
        <v>36404</v>
      </c>
      <c r="AG2483" t="s">
        <v>125</v>
      </c>
      <c r="AH2483" t="s">
        <v>126</v>
      </c>
      <c r="AI2483" t="str">
        <f>"3201010"</f>
        <v>3201010</v>
      </c>
      <c r="AJ2483" t="s">
        <v>4596</v>
      </c>
      <c r="AK2483">
        <v>2841022301</v>
      </c>
      <c r="AL2483" t="s">
        <v>4597</v>
      </c>
      <c r="AM2483" t="s">
        <v>4513</v>
      </c>
      <c r="AN2483" t="s">
        <v>4514</v>
      </c>
      <c r="AO2483" t="s">
        <v>4514</v>
      </c>
      <c r="AP2483" t="s">
        <v>4514</v>
      </c>
      <c r="AQ2483">
        <v>1</v>
      </c>
      <c r="AR2483" t="s">
        <v>4509</v>
      </c>
      <c r="AS2483" t="s">
        <v>4510</v>
      </c>
      <c r="AT2483" t="s">
        <v>58</v>
      </c>
      <c r="AU2483" t="s">
        <v>68</v>
      </c>
      <c r="AV2483" t="s">
        <v>69</v>
      </c>
      <c r="AW2483" s="1">
        <v>25157</v>
      </c>
      <c r="AX2483">
        <v>2</v>
      </c>
    </row>
    <row r="2484" spans="1:50">
      <c r="A2484">
        <v>180126</v>
      </c>
      <c r="B2484" t="str">
        <f>"029960633"</f>
        <v>029960633</v>
      </c>
      <c r="C2484" t="s">
        <v>105</v>
      </c>
      <c r="D2484" t="s">
        <v>5082</v>
      </c>
      <c r="E2484" t="s">
        <v>510</v>
      </c>
      <c r="F2484" t="s">
        <v>166</v>
      </c>
      <c r="G2484" t="s">
        <v>411</v>
      </c>
      <c r="H2484" t="str">
        <f>" "</f>
        <v xml:space="preserve"> </v>
      </c>
      <c r="M2484" t="s">
        <v>5083</v>
      </c>
      <c r="N2484" t="s">
        <v>292</v>
      </c>
      <c r="O2484" t="s">
        <v>293</v>
      </c>
      <c r="R2484" t="s">
        <v>57</v>
      </c>
      <c r="S2484">
        <v>11</v>
      </c>
      <c r="T2484">
        <v>181</v>
      </c>
      <c r="U2484" s="1">
        <v>36039</v>
      </c>
      <c r="V2484" t="s">
        <v>4509</v>
      </c>
      <c r="W2484" t="s">
        <v>4510</v>
      </c>
      <c r="X2484" t="s">
        <v>58</v>
      </c>
      <c r="Y2484">
        <v>18</v>
      </c>
      <c r="Z2484" t="s">
        <v>59</v>
      </c>
      <c r="AA2484" t="s">
        <v>59</v>
      </c>
      <c r="AB2484" t="s">
        <v>59</v>
      </c>
      <c r="AC2484" t="s">
        <v>59</v>
      </c>
      <c r="AD2484" t="s">
        <v>59</v>
      </c>
      <c r="AF2484" s="1">
        <v>36039</v>
      </c>
      <c r="AG2484" t="s">
        <v>148</v>
      </c>
      <c r="AH2484" t="s">
        <v>149</v>
      </c>
      <c r="AI2484" t="str">
        <f>"3251001"</f>
        <v>3251001</v>
      </c>
      <c r="AJ2484" t="s">
        <v>4535</v>
      </c>
      <c r="AK2484">
        <v>2841082544</v>
      </c>
      <c r="AL2484" t="s">
        <v>4536</v>
      </c>
      <c r="AM2484" t="s">
        <v>4513</v>
      </c>
      <c r="AN2484" t="s">
        <v>4514</v>
      </c>
      <c r="AO2484" t="s">
        <v>4514</v>
      </c>
      <c r="AP2484" t="s">
        <v>4514</v>
      </c>
      <c r="AQ2484">
        <v>1</v>
      </c>
      <c r="AR2484" t="s">
        <v>4509</v>
      </c>
      <c r="AS2484" t="s">
        <v>4510</v>
      </c>
      <c r="AT2484" t="s">
        <v>58</v>
      </c>
      <c r="AU2484" t="s">
        <v>68</v>
      </c>
      <c r="AV2484" t="s">
        <v>69</v>
      </c>
      <c r="AW2484" s="1">
        <v>21221</v>
      </c>
      <c r="AX2484">
        <v>2</v>
      </c>
    </row>
    <row r="2485" spans="1:50">
      <c r="A2485">
        <v>700447</v>
      </c>
      <c r="B2485" t="str">
        <f>"028656373"</f>
        <v>028656373</v>
      </c>
      <c r="C2485" t="s">
        <v>50</v>
      </c>
      <c r="D2485" t="s">
        <v>5084</v>
      </c>
      <c r="E2485" t="s">
        <v>714</v>
      </c>
      <c r="F2485" t="s">
        <v>4730</v>
      </c>
      <c r="G2485" t="s">
        <v>367</v>
      </c>
      <c r="H2485" t="str">
        <f>"ΝΙΚΟΛΑΟΥ ΠΑΝΟΥΣΗ  1 "</f>
        <v xml:space="preserve">ΝΙΚΟΛΑΟΥ ΠΑΝΟΥΣΗ  1 </v>
      </c>
      <c r="I2485">
        <v>48200</v>
      </c>
      <c r="J2485">
        <v>2683024514</v>
      </c>
      <c r="K2485">
        <v>6975908400</v>
      </c>
      <c r="M2485" t="s">
        <v>5085</v>
      </c>
      <c r="N2485" t="s">
        <v>176</v>
      </c>
      <c r="O2485" t="s">
        <v>177</v>
      </c>
      <c r="R2485" t="s">
        <v>57</v>
      </c>
      <c r="S2485">
        <v>6</v>
      </c>
      <c r="T2485">
        <v>772</v>
      </c>
      <c r="U2485" s="1">
        <v>40413</v>
      </c>
      <c r="V2485" t="s">
        <v>4509</v>
      </c>
      <c r="W2485" t="s">
        <v>4510</v>
      </c>
      <c r="X2485" t="s">
        <v>58</v>
      </c>
      <c r="Y2485">
        <v>21</v>
      </c>
      <c r="Z2485" t="s">
        <v>59</v>
      </c>
      <c r="AA2485" t="s">
        <v>59</v>
      </c>
      <c r="AB2485" t="s">
        <v>59</v>
      </c>
      <c r="AC2485" t="s">
        <v>59</v>
      </c>
      <c r="AD2485" t="s">
        <v>59</v>
      </c>
      <c r="AF2485" s="1">
        <v>40414</v>
      </c>
      <c r="AG2485" t="s">
        <v>345</v>
      </c>
      <c r="AH2485" t="s">
        <v>346</v>
      </c>
      <c r="AI2485" t="str">
        <f>"3241002"</f>
        <v>3241002</v>
      </c>
      <c r="AJ2485" t="s">
        <v>4626</v>
      </c>
      <c r="AK2485">
        <v>2841083053</v>
      </c>
      <c r="AL2485" t="s">
        <v>4627</v>
      </c>
      <c r="AM2485" t="s">
        <v>4513</v>
      </c>
      <c r="AN2485" t="s">
        <v>4514</v>
      </c>
      <c r="AO2485" t="s">
        <v>4514</v>
      </c>
      <c r="AP2485" t="s">
        <v>4514</v>
      </c>
      <c r="AQ2485">
        <v>1</v>
      </c>
      <c r="AR2485" t="s">
        <v>4509</v>
      </c>
      <c r="AS2485" t="s">
        <v>4510</v>
      </c>
      <c r="AT2485" t="s">
        <v>58</v>
      </c>
      <c r="AU2485" t="s">
        <v>68</v>
      </c>
      <c r="AV2485" t="s">
        <v>132</v>
      </c>
      <c r="AW2485" s="1">
        <v>24196</v>
      </c>
      <c r="AX2485">
        <v>2</v>
      </c>
    </row>
    <row r="2486" spans="1:50">
      <c r="A2486">
        <v>198604</v>
      </c>
      <c r="B2486" t="str">
        <f>"066454577"</f>
        <v>066454577</v>
      </c>
      <c r="C2486" t="s">
        <v>50</v>
      </c>
      <c r="D2486" t="s">
        <v>2601</v>
      </c>
      <c r="E2486" t="s">
        <v>215</v>
      </c>
      <c r="F2486" t="s">
        <v>166</v>
      </c>
      <c r="G2486" t="s">
        <v>52</v>
      </c>
      <c r="H2486" t="str">
        <f>"ΜΙΧ. ΣΦΑΚΙΑΝΑΚΗ ΑΓ. ΝΙΚΟΛΑΟΣ"</f>
        <v>ΜΙΧ. ΣΦΑΚΙΑΝΑΚΗ ΑΓ. ΝΙΚΟΛΑΟΣ</v>
      </c>
      <c r="I2486">
        <v>72100</v>
      </c>
      <c r="J2486">
        <v>2841022339</v>
      </c>
      <c r="K2486">
        <v>6972708926</v>
      </c>
      <c r="M2486" t="s">
        <v>5086</v>
      </c>
      <c r="N2486" t="s">
        <v>306</v>
      </c>
      <c r="O2486" t="s">
        <v>307</v>
      </c>
      <c r="P2486" t="s">
        <v>5087</v>
      </c>
      <c r="Q2486" t="s">
        <v>5088</v>
      </c>
      <c r="R2486" t="s">
        <v>57</v>
      </c>
      <c r="S2486">
        <v>8</v>
      </c>
      <c r="T2486">
        <v>206</v>
      </c>
      <c r="U2486" s="1">
        <v>37866</v>
      </c>
      <c r="V2486" t="s">
        <v>4509</v>
      </c>
      <c r="W2486" t="s">
        <v>4510</v>
      </c>
      <c r="X2486" t="s">
        <v>58</v>
      </c>
      <c r="Y2486">
        <v>20</v>
      </c>
      <c r="Z2486" t="s">
        <v>59</v>
      </c>
      <c r="AA2486" t="s">
        <v>59</v>
      </c>
      <c r="AB2486" t="s">
        <v>59</v>
      </c>
      <c r="AC2486" t="s">
        <v>59</v>
      </c>
      <c r="AD2486" t="s">
        <v>59</v>
      </c>
      <c r="AF2486" s="1">
        <v>37867</v>
      </c>
      <c r="AG2486" t="s">
        <v>125</v>
      </c>
      <c r="AH2486" t="s">
        <v>126</v>
      </c>
      <c r="AI2486" t="str">
        <f>"3203010"</f>
        <v>3203010</v>
      </c>
      <c r="AJ2486" t="s">
        <v>4522</v>
      </c>
      <c r="AK2486">
        <v>2841034140</v>
      </c>
      <c r="AL2486" t="s">
        <v>4523</v>
      </c>
      <c r="AM2486" t="s">
        <v>4513</v>
      </c>
      <c r="AN2486" t="s">
        <v>4514</v>
      </c>
      <c r="AO2486" t="s">
        <v>4524</v>
      </c>
      <c r="AP2486" t="s">
        <v>4525</v>
      </c>
      <c r="AQ2486">
        <v>3</v>
      </c>
      <c r="AR2486" t="s">
        <v>4509</v>
      </c>
      <c r="AS2486" t="s">
        <v>4510</v>
      </c>
      <c r="AT2486" t="s">
        <v>58</v>
      </c>
      <c r="AU2486" t="s">
        <v>68</v>
      </c>
      <c r="AV2486" t="s">
        <v>69</v>
      </c>
      <c r="AW2486" s="1">
        <v>27979</v>
      </c>
      <c r="AX2486">
        <v>2</v>
      </c>
    </row>
    <row r="2487" spans="1:50">
      <c r="A2487">
        <v>171598</v>
      </c>
      <c r="B2487" t="str">
        <f>"035690424"</f>
        <v>035690424</v>
      </c>
      <c r="C2487" t="s">
        <v>105</v>
      </c>
      <c r="D2487" t="s">
        <v>5089</v>
      </c>
      <c r="E2487" t="s">
        <v>99</v>
      </c>
      <c r="F2487" t="s">
        <v>920</v>
      </c>
      <c r="G2487" t="s">
        <v>2248</v>
      </c>
      <c r="H2487" t="str">
        <f>" ΑΓΙΟΣ ΝΙΚΟΛΑΟΣ"</f>
        <v xml:space="preserve"> ΑΓΙΟΣ ΝΙΚΟΛΑΟΣ</v>
      </c>
      <c r="I2487">
        <v>72100</v>
      </c>
      <c r="J2487">
        <v>2841026500</v>
      </c>
      <c r="M2487" t="s">
        <v>5090</v>
      </c>
      <c r="N2487" t="s">
        <v>176</v>
      </c>
      <c r="O2487" t="s">
        <v>177</v>
      </c>
      <c r="R2487" t="s">
        <v>57</v>
      </c>
      <c r="S2487">
        <v>13</v>
      </c>
      <c r="T2487">
        <v>184</v>
      </c>
      <c r="U2487" s="1">
        <v>34941</v>
      </c>
      <c r="V2487" t="s">
        <v>4509</v>
      </c>
      <c r="W2487" t="s">
        <v>4510</v>
      </c>
      <c r="X2487" t="s">
        <v>58</v>
      </c>
      <c r="Y2487">
        <v>18</v>
      </c>
      <c r="Z2487" t="s">
        <v>59</v>
      </c>
      <c r="AA2487" t="s">
        <v>59</v>
      </c>
      <c r="AB2487" t="s">
        <v>59</v>
      </c>
      <c r="AC2487" t="s">
        <v>59</v>
      </c>
      <c r="AD2487" t="s">
        <v>59</v>
      </c>
      <c r="AF2487" s="1">
        <v>34943</v>
      </c>
      <c r="AG2487" t="s">
        <v>125</v>
      </c>
      <c r="AH2487" t="s">
        <v>126</v>
      </c>
      <c r="AI2487" t="str">
        <f>"3201020"</f>
        <v>3201020</v>
      </c>
      <c r="AJ2487" t="s">
        <v>4511</v>
      </c>
      <c r="AK2487">
        <v>2841024586</v>
      </c>
      <c r="AL2487" t="s">
        <v>4512</v>
      </c>
      <c r="AM2487" t="s">
        <v>4513</v>
      </c>
      <c r="AN2487" t="s">
        <v>4514</v>
      </c>
      <c r="AO2487" t="s">
        <v>4514</v>
      </c>
      <c r="AP2487" t="s">
        <v>4514</v>
      </c>
      <c r="AQ2487">
        <v>1</v>
      </c>
      <c r="AR2487" t="s">
        <v>4509</v>
      </c>
      <c r="AS2487" t="s">
        <v>4510</v>
      </c>
      <c r="AT2487" t="s">
        <v>58</v>
      </c>
      <c r="AU2487" t="s">
        <v>68</v>
      </c>
      <c r="AV2487" t="s">
        <v>69</v>
      </c>
      <c r="AW2487" s="1">
        <v>23775</v>
      </c>
      <c r="AX2487">
        <v>2</v>
      </c>
    </row>
    <row r="2488" spans="1:50">
      <c r="A2488">
        <v>183456</v>
      </c>
      <c r="B2488" t="str">
        <f>"045248062"</f>
        <v>045248062</v>
      </c>
      <c r="C2488" t="s">
        <v>50</v>
      </c>
      <c r="D2488" t="s">
        <v>5091</v>
      </c>
      <c r="E2488" t="s">
        <v>255</v>
      </c>
      <c r="F2488" t="s">
        <v>166</v>
      </c>
      <c r="G2488" t="s">
        <v>52</v>
      </c>
      <c r="H2488" t="str">
        <f>"ΠΑΡ. ΒΙΤΣ. ΚΟΡΝΑΡΟΥ 3 ΙΕΡΑΠΕΤΡΑ"</f>
        <v>ΠΑΡ. ΒΙΤΣ. ΚΟΡΝΑΡΟΥ 3 ΙΕΡΑΠΕΤΡΑ</v>
      </c>
      <c r="I2488">
        <v>72200</v>
      </c>
      <c r="J2488">
        <v>2842027307</v>
      </c>
      <c r="K2488">
        <v>6979146689</v>
      </c>
      <c r="M2488" t="s">
        <v>5092</v>
      </c>
      <c r="N2488" t="s">
        <v>146</v>
      </c>
      <c r="O2488" t="s">
        <v>147</v>
      </c>
      <c r="R2488" t="s">
        <v>57</v>
      </c>
      <c r="S2488">
        <v>10</v>
      </c>
      <c r="T2488">
        <v>177</v>
      </c>
      <c r="U2488" s="1">
        <v>36403</v>
      </c>
      <c r="V2488" t="s">
        <v>4509</v>
      </c>
      <c r="W2488" t="s">
        <v>4510</v>
      </c>
      <c r="X2488" t="s">
        <v>58</v>
      </c>
      <c r="Y2488">
        <v>18</v>
      </c>
      <c r="Z2488" t="s">
        <v>59</v>
      </c>
      <c r="AA2488" t="s">
        <v>59</v>
      </c>
      <c r="AB2488" t="s">
        <v>59</v>
      </c>
      <c r="AC2488" t="s">
        <v>59</v>
      </c>
      <c r="AD2488" t="s">
        <v>59</v>
      </c>
      <c r="AF2488" s="1">
        <v>36404</v>
      </c>
      <c r="AG2488" t="s">
        <v>148</v>
      </c>
      <c r="AH2488" t="s">
        <v>149</v>
      </c>
      <c r="AI2488" t="str">
        <f>"3252010"</f>
        <v>3252010</v>
      </c>
      <c r="AJ2488" t="s">
        <v>4532</v>
      </c>
      <c r="AK2488">
        <v>2842022356</v>
      </c>
      <c r="AL2488" t="s">
        <v>4533</v>
      </c>
      <c r="AM2488" t="s">
        <v>4513</v>
      </c>
      <c r="AN2488" t="s">
        <v>4519</v>
      </c>
      <c r="AO2488" t="s">
        <v>4519</v>
      </c>
      <c r="AP2488" t="s">
        <v>4519</v>
      </c>
      <c r="AQ2488">
        <v>4</v>
      </c>
      <c r="AR2488" t="s">
        <v>4509</v>
      </c>
      <c r="AS2488" t="s">
        <v>4510</v>
      </c>
      <c r="AT2488" t="s">
        <v>58</v>
      </c>
      <c r="AU2488" t="s">
        <v>68</v>
      </c>
      <c r="AV2488" t="s">
        <v>69</v>
      </c>
      <c r="AW2488" s="1">
        <v>24865</v>
      </c>
      <c r="AX2488">
        <v>2</v>
      </c>
    </row>
    <row r="2489" spans="1:50">
      <c r="B2489" t="str">
        <f>"070368703"</f>
        <v>070368703</v>
      </c>
      <c r="C2489" t="s">
        <v>50</v>
      </c>
      <c r="D2489" t="s">
        <v>5093</v>
      </c>
      <c r="E2489" t="s">
        <v>237</v>
      </c>
      <c r="F2489" t="s">
        <v>72</v>
      </c>
      <c r="G2489" t="s">
        <v>52</v>
      </c>
      <c r="H2489" t="str">
        <f>"ΜΗΤΡΟΠΟΛΙΤΗ ΦΙΛΟΘΕΟΥ 11 ΣΗΤΕΙΑ"</f>
        <v>ΜΗΤΡΟΠΟΛΙΤΗ ΦΙΛΟΘΕΟΥ 11 ΣΗΤΕΙΑ</v>
      </c>
      <c r="I2489">
        <v>72300</v>
      </c>
      <c r="J2489">
        <v>2843026037</v>
      </c>
      <c r="K2489">
        <v>6977138630</v>
      </c>
      <c r="M2489" t="s">
        <v>5094</v>
      </c>
      <c r="N2489" t="s">
        <v>536</v>
      </c>
      <c r="O2489" t="s">
        <v>537</v>
      </c>
      <c r="R2489" t="s">
        <v>159</v>
      </c>
      <c r="S2489">
        <v>5</v>
      </c>
      <c r="T2489" t="s">
        <v>344</v>
      </c>
      <c r="U2489" s="1">
        <v>43348</v>
      </c>
      <c r="V2489" t="s">
        <v>4509</v>
      </c>
      <c r="W2489" t="s">
        <v>4510</v>
      </c>
      <c r="X2489" t="s">
        <v>58</v>
      </c>
      <c r="Y2489">
        <v>23</v>
      </c>
      <c r="Z2489" t="s">
        <v>59</v>
      </c>
      <c r="AA2489" t="s">
        <v>59</v>
      </c>
      <c r="AB2489" t="s">
        <v>59</v>
      </c>
      <c r="AC2489" t="s">
        <v>59</v>
      </c>
      <c r="AD2489" t="s">
        <v>59</v>
      </c>
      <c r="AF2489" s="1">
        <v>43348</v>
      </c>
      <c r="AG2489" t="s">
        <v>345</v>
      </c>
      <c r="AH2489" t="s">
        <v>346</v>
      </c>
      <c r="AI2489" t="str">
        <f>"3241010"</f>
        <v>3241010</v>
      </c>
      <c r="AJ2489" t="s">
        <v>4773</v>
      </c>
      <c r="AK2489">
        <v>2843029465</v>
      </c>
      <c r="AL2489" t="s">
        <v>4774</v>
      </c>
      <c r="AM2489" t="s">
        <v>4513</v>
      </c>
      <c r="AN2489" t="s">
        <v>4540</v>
      </c>
      <c r="AO2489" t="s">
        <v>4540</v>
      </c>
      <c r="AP2489" t="s">
        <v>4540</v>
      </c>
      <c r="AQ2489">
        <v>6</v>
      </c>
      <c r="AR2489" t="s">
        <v>4509</v>
      </c>
      <c r="AS2489" t="s">
        <v>4510</v>
      </c>
      <c r="AT2489" t="s">
        <v>58</v>
      </c>
      <c r="AU2489" t="s">
        <v>350</v>
      </c>
      <c r="AV2489" t="s">
        <v>132</v>
      </c>
      <c r="AW2489" s="1">
        <v>27803</v>
      </c>
      <c r="AX2489">
        <v>2</v>
      </c>
    </row>
    <row r="2490" spans="1:50">
      <c r="A2490">
        <v>173669</v>
      </c>
      <c r="B2490" t="str">
        <f>"063579307"</f>
        <v>063579307</v>
      </c>
      <c r="C2490" t="s">
        <v>50</v>
      </c>
      <c r="D2490" t="s">
        <v>5095</v>
      </c>
      <c r="E2490" t="s">
        <v>52</v>
      </c>
      <c r="F2490" t="s">
        <v>166</v>
      </c>
      <c r="G2490" t="s">
        <v>5096</v>
      </c>
      <c r="H2490" t="str">
        <f>" "</f>
        <v xml:space="preserve"> </v>
      </c>
      <c r="J2490">
        <v>2841025013</v>
      </c>
      <c r="K2490">
        <v>6979923074</v>
      </c>
      <c r="M2490" t="s">
        <v>5097</v>
      </c>
      <c r="N2490" t="s">
        <v>292</v>
      </c>
      <c r="O2490" t="s">
        <v>293</v>
      </c>
      <c r="R2490" t="s">
        <v>57</v>
      </c>
      <c r="S2490">
        <v>11</v>
      </c>
      <c r="T2490">
        <v>166</v>
      </c>
      <c r="U2490" s="1">
        <v>35300</v>
      </c>
      <c r="V2490" t="s">
        <v>4509</v>
      </c>
      <c r="W2490" t="s">
        <v>4510</v>
      </c>
      <c r="X2490" t="s">
        <v>58</v>
      </c>
      <c r="Y2490">
        <v>18</v>
      </c>
      <c r="Z2490" t="s">
        <v>59</v>
      </c>
      <c r="AA2490" t="s">
        <v>59</v>
      </c>
      <c r="AB2490" t="s">
        <v>59</v>
      </c>
      <c r="AC2490" t="s">
        <v>59</v>
      </c>
      <c r="AD2490" t="s">
        <v>59</v>
      </c>
      <c r="AF2490" s="1">
        <v>35309</v>
      </c>
      <c r="AG2490" t="s">
        <v>148</v>
      </c>
      <c r="AH2490" t="s">
        <v>149</v>
      </c>
      <c r="AI2490" t="str">
        <f>"3251010"</f>
        <v>3251010</v>
      </c>
      <c r="AJ2490" t="s">
        <v>4646</v>
      </c>
      <c r="AK2490">
        <v>2841023649</v>
      </c>
      <c r="AL2490" t="s">
        <v>4647</v>
      </c>
      <c r="AM2490" t="s">
        <v>4513</v>
      </c>
      <c r="AN2490" t="s">
        <v>4514</v>
      </c>
      <c r="AO2490" t="s">
        <v>4514</v>
      </c>
      <c r="AP2490" t="s">
        <v>4514</v>
      </c>
      <c r="AQ2490">
        <v>1</v>
      </c>
      <c r="AR2490" t="s">
        <v>4509</v>
      </c>
      <c r="AS2490" t="s">
        <v>4510</v>
      </c>
      <c r="AT2490" t="s">
        <v>58</v>
      </c>
      <c r="AU2490" t="s">
        <v>68</v>
      </c>
      <c r="AV2490" t="s">
        <v>69</v>
      </c>
      <c r="AW2490" s="1">
        <v>21654</v>
      </c>
      <c r="AX2490">
        <v>2</v>
      </c>
    </row>
    <row r="2491" spans="1:50">
      <c r="A2491">
        <v>169436</v>
      </c>
      <c r="B2491" t="str">
        <f>"042717443"</f>
        <v>042717443</v>
      </c>
      <c r="C2491" t="s">
        <v>50</v>
      </c>
      <c r="D2491" t="s">
        <v>5095</v>
      </c>
      <c r="E2491" t="s">
        <v>52</v>
      </c>
      <c r="F2491" t="s">
        <v>53</v>
      </c>
      <c r="G2491" t="s">
        <v>1189</v>
      </c>
      <c r="H2491" t="str">
        <f>"ΑΜΜΟΥΔΙ ΑΓΙΟΣ ΝΙΚΟΛΑΟΣ"</f>
        <v>ΑΜΜΟΥΔΙ ΑΓΙΟΣ ΝΙΚΟΛΑΟΣ</v>
      </c>
      <c r="I2491">
        <v>72100</v>
      </c>
      <c r="J2491">
        <v>2841026146</v>
      </c>
      <c r="M2491" t="s">
        <v>5098</v>
      </c>
      <c r="N2491" t="s">
        <v>157</v>
      </c>
      <c r="O2491" t="s">
        <v>158</v>
      </c>
      <c r="R2491" t="s">
        <v>57</v>
      </c>
      <c r="S2491">
        <v>13</v>
      </c>
      <c r="T2491">
        <v>184</v>
      </c>
      <c r="U2491" s="1">
        <v>34941</v>
      </c>
      <c r="V2491" t="s">
        <v>4509</v>
      </c>
      <c r="W2491" t="s">
        <v>4510</v>
      </c>
      <c r="X2491" t="s">
        <v>58</v>
      </c>
      <c r="Y2491">
        <v>18</v>
      </c>
      <c r="Z2491" t="s">
        <v>59</v>
      </c>
      <c r="AA2491" t="s">
        <v>59</v>
      </c>
      <c r="AB2491" t="s">
        <v>59</v>
      </c>
      <c r="AC2491" t="s">
        <v>59</v>
      </c>
      <c r="AD2491" t="s">
        <v>59</v>
      </c>
      <c r="AF2491" s="1">
        <v>34943</v>
      </c>
      <c r="AG2491" t="s">
        <v>125</v>
      </c>
      <c r="AH2491" t="s">
        <v>126</v>
      </c>
      <c r="AI2491" t="str">
        <f>"3201020"</f>
        <v>3201020</v>
      </c>
      <c r="AJ2491" t="s">
        <v>4511</v>
      </c>
      <c r="AK2491">
        <v>2841024586</v>
      </c>
      <c r="AL2491" t="s">
        <v>4512</v>
      </c>
      <c r="AM2491" t="s">
        <v>4513</v>
      </c>
      <c r="AN2491" t="s">
        <v>4514</v>
      </c>
      <c r="AO2491" t="s">
        <v>4514</v>
      </c>
      <c r="AP2491" t="s">
        <v>4514</v>
      </c>
      <c r="AQ2491">
        <v>1</v>
      </c>
      <c r="AR2491" t="s">
        <v>4509</v>
      </c>
      <c r="AS2491" t="s">
        <v>4510</v>
      </c>
      <c r="AT2491" t="s">
        <v>58</v>
      </c>
      <c r="AU2491" t="s">
        <v>68</v>
      </c>
      <c r="AV2491" t="s">
        <v>69</v>
      </c>
      <c r="AW2491" s="1">
        <v>23454</v>
      </c>
      <c r="AX2491">
        <v>2</v>
      </c>
    </row>
    <row r="2492" spans="1:50">
      <c r="B2492" t="str">
        <f>"038768760"</f>
        <v>038768760</v>
      </c>
      <c r="C2492" t="s">
        <v>50</v>
      </c>
      <c r="D2492" t="s">
        <v>5099</v>
      </c>
      <c r="E2492" t="s">
        <v>73</v>
      </c>
      <c r="F2492" t="s">
        <v>95</v>
      </c>
      <c r="G2492" t="s">
        <v>52</v>
      </c>
      <c r="H2492" t="str">
        <f>"ΙΩΑΝΝΙΝΩΝ 175 ΑΘΗΝΑ"</f>
        <v>ΙΩΑΝΝΙΝΩΝ 175 ΑΘΗΝΑ</v>
      </c>
      <c r="I2492">
        <v>10443</v>
      </c>
      <c r="J2492">
        <v>2105155299</v>
      </c>
      <c r="K2492">
        <v>6974737071</v>
      </c>
      <c r="M2492" t="s">
        <v>5100</v>
      </c>
      <c r="N2492" t="s">
        <v>146</v>
      </c>
      <c r="O2492" t="s">
        <v>147</v>
      </c>
      <c r="R2492" t="s">
        <v>159</v>
      </c>
      <c r="S2492">
        <v>2</v>
      </c>
      <c r="T2492" t="s">
        <v>160</v>
      </c>
      <c r="U2492" s="1">
        <v>43364</v>
      </c>
      <c r="V2492" t="s">
        <v>4509</v>
      </c>
      <c r="W2492" t="s">
        <v>4510</v>
      </c>
      <c r="X2492" t="s">
        <v>58</v>
      </c>
      <c r="Y2492">
        <v>23</v>
      </c>
      <c r="Z2492" t="s">
        <v>59</v>
      </c>
      <c r="AA2492" t="s">
        <v>59</v>
      </c>
      <c r="AB2492" t="s">
        <v>59</v>
      </c>
      <c r="AC2492" t="s">
        <v>59</v>
      </c>
      <c r="AD2492" t="s">
        <v>59</v>
      </c>
      <c r="AF2492" s="1">
        <v>43367</v>
      </c>
      <c r="AG2492" t="s">
        <v>125</v>
      </c>
      <c r="AH2492" t="s">
        <v>126</v>
      </c>
      <c r="AI2492" t="str">
        <f>"3202010"</f>
        <v>3202010</v>
      </c>
      <c r="AJ2492" t="s">
        <v>4517</v>
      </c>
      <c r="AK2492">
        <v>2842028229</v>
      </c>
      <c r="AL2492" t="s">
        <v>4518</v>
      </c>
      <c r="AM2492" t="s">
        <v>4513</v>
      </c>
      <c r="AN2492" t="s">
        <v>4519</v>
      </c>
      <c r="AO2492" t="s">
        <v>4519</v>
      </c>
      <c r="AP2492" t="s">
        <v>4519</v>
      </c>
      <c r="AQ2492">
        <v>4</v>
      </c>
      <c r="AR2492" t="s">
        <v>4509</v>
      </c>
      <c r="AS2492" t="s">
        <v>4510</v>
      </c>
      <c r="AT2492" t="s">
        <v>58</v>
      </c>
      <c r="AU2492" t="s">
        <v>164</v>
      </c>
      <c r="AV2492" t="s">
        <v>132</v>
      </c>
      <c r="AW2492" s="1">
        <v>25075</v>
      </c>
      <c r="AX2492">
        <v>2</v>
      </c>
    </row>
    <row r="2493" spans="1:50">
      <c r="A2493">
        <v>215978</v>
      </c>
      <c r="B2493" t="str">
        <f>"037031426"</f>
        <v>037031426</v>
      </c>
      <c r="C2493" t="s">
        <v>105</v>
      </c>
      <c r="D2493" t="s">
        <v>5101</v>
      </c>
      <c r="E2493" t="s">
        <v>95</v>
      </c>
      <c r="F2493" t="s">
        <v>166</v>
      </c>
      <c r="G2493" t="s">
        <v>73</v>
      </c>
      <c r="H2493" t="str">
        <f>"ΚΑΠΕΤΑΝ ΚΟΚΚΙΝΗ 11 ΝΕΑΠΟΛΗ ΛΑΣΙΘΙΟΥ"</f>
        <v>ΚΑΠΕΤΑΝ ΚΟΚΚΙΝΗ 11 ΝΕΑΠΟΛΗ ΛΑΣΙΘΙΟΥ</v>
      </c>
      <c r="I2493">
        <v>72400</v>
      </c>
      <c r="J2493">
        <v>2841083053</v>
      </c>
      <c r="K2493">
        <v>6973966424</v>
      </c>
      <c r="M2493" t="s">
        <v>5102</v>
      </c>
      <c r="N2493" t="s">
        <v>587</v>
      </c>
      <c r="O2493" t="s">
        <v>588</v>
      </c>
      <c r="R2493" t="s">
        <v>57</v>
      </c>
      <c r="S2493">
        <v>6</v>
      </c>
      <c r="T2493">
        <v>232</v>
      </c>
      <c r="U2493" s="1">
        <v>38960</v>
      </c>
      <c r="V2493" t="s">
        <v>4509</v>
      </c>
      <c r="W2493" t="s">
        <v>4510</v>
      </c>
      <c r="X2493" t="s">
        <v>58</v>
      </c>
      <c r="Y2493">
        <v>20</v>
      </c>
      <c r="Z2493" t="s">
        <v>59</v>
      </c>
      <c r="AA2493" t="s">
        <v>59</v>
      </c>
      <c r="AB2493" t="s">
        <v>59</v>
      </c>
      <c r="AC2493" t="s">
        <v>59</v>
      </c>
      <c r="AD2493" t="s">
        <v>59</v>
      </c>
      <c r="AF2493" s="1">
        <v>38964</v>
      </c>
      <c r="AG2493" t="s">
        <v>345</v>
      </c>
      <c r="AH2493" t="s">
        <v>346</v>
      </c>
      <c r="AI2493" t="str">
        <f>"3241002"</f>
        <v>3241002</v>
      </c>
      <c r="AJ2493" t="s">
        <v>4626</v>
      </c>
      <c r="AK2493">
        <v>2841083053</v>
      </c>
      <c r="AL2493" t="s">
        <v>4627</v>
      </c>
      <c r="AM2493" t="s">
        <v>4513</v>
      </c>
      <c r="AN2493" t="s">
        <v>4514</v>
      </c>
      <c r="AO2493" t="s">
        <v>4514</v>
      </c>
      <c r="AP2493" t="s">
        <v>4514</v>
      </c>
      <c r="AQ2493">
        <v>1</v>
      </c>
      <c r="AR2493" t="s">
        <v>4509</v>
      </c>
      <c r="AS2493" t="s">
        <v>4510</v>
      </c>
      <c r="AT2493" t="s">
        <v>58</v>
      </c>
      <c r="AU2493" t="s">
        <v>68</v>
      </c>
      <c r="AV2493" t="s">
        <v>69</v>
      </c>
      <c r="AW2493" s="1">
        <v>24026</v>
      </c>
      <c r="AX2493">
        <v>2</v>
      </c>
    </row>
    <row r="2494" spans="1:50">
      <c r="A2494">
        <v>701277</v>
      </c>
      <c r="B2494" t="str">
        <f>"102234546"</f>
        <v>102234546</v>
      </c>
      <c r="C2494" t="s">
        <v>50</v>
      </c>
      <c r="D2494" t="s">
        <v>5103</v>
      </c>
      <c r="E2494" t="s">
        <v>5104</v>
      </c>
      <c r="F2494" t="s">
        <v>95</v>
      </c>
      <c r="G2494" t="s">
        <v>155</v>
      </c>
      <c r="H2494" t="str">
        <f>"ΑΙΔΙΝΙΟΥ 20 ΠΕΙΡΑΙΑΣ"</f>
        <v>ΑΙΔΙΝΙΟΥ 20 ΠΕΙΡΑΙΑΣ</v>
      </c>
      <c r="I2494">
        <v>18533</v>
      </c>
      <c r="J2494">
        <v>2104123807</v>
      </c>
      <c r="K2494">
        <v>6974498581</v>
      </c>
      <c r="M2494" t="s">
        <v>5105</v>
      </c>
      <c r="N2494" t="s">
        <v>478</v>
      </c>
      <c r="O2494" t="s">
        <v>479</v>
      </c>
      <c r="R2494" t="s">
        <v>57</v>
      </c>
      <c r="S2494">
        <v>6</v>
      </c>
      <c r="T2494">
        <v>772</v>
      </c>
      <c r="U2494" s="1">
        <v>40413</v>
      </c>
      <c r="V2494" t="s">
        <v>4509</v>
      </c>
      <c r="W2494" t="s">
        <v>4510</v>
      </c>
      <c r="X2494" t="s">
        <v>58</v>
      </c>
      <c r="Y2494">
        <v>21</v>
      </c>
      <c r="Z2494" t="s">
        <v>59</v>
      </c>
      <c r="AA2494" t="s">
        <v>59</v>
      </c>
      <c r="AB2494" t="s">
        <v>59</v>
      </c>
      <c r="AC2494" t="s">
        <v>59</v>
      </c>
      <c r="AD2494" t="s">
        <v>59</v>
      </c>
      <c r="AF2494" s="1">
        <v>40413</v>
      </c>
      <c r="AG2494" t="s">
        <v>125</v>
      </c>
      <c r="AH2494" t="s">
        <v>126</v>
      </c>
      <c r="AI2494" t="str">
        <f>"3202010"</f>
        <v>3202010</v>
      </c>
      <c r="AJ2494" t="s">
        <v>4517</v>
      </c>
      <c r="AK2494">
        <v>2842028229</v>
      </c>
      <c r="AL2494" t="s">
        <v>4518</v>
      </c>
      <c r="AM2494" t="s">
        <v>4513</v>
      </c>
      <c r="AN2494" t="s">
        <v>4519</v>
      </c>
      <c r="AO2494" t="s">
        <v>4519</v>
      </c>
      <c r="AP2494" t="s">
        <v>4519</v>
      </c>
      <c r="AQ2494">
        <v>4</v>
      </c>
      <c r="AR2494" t="s">
        <v>4509</v>
      </c>
      <c r="AS2494" t="s">
        <v>4510</v>
      </c>
      <c r="AT2494" t="s">
        <v>58</v>
      </c>
      <c r="AU2494" t="s">
        <v>68</v>
      </c>
      <c r="AV2494" t="s">
        <v>132</v>
      </c>
      <c r="AW2494" s="1">
        <v>28705</v>
      </c>
      <c r="AX2494">
        <v>2</v>
      </c>
    </row>
    <row r="2495" spans="1:50">
      <c r="A2495">
        <v>177043</v>
      </c>
      <c r="B2495" t="str">
        <f>"035464132"</f>
        <v>035464132</v>
      </c>
      <c r="C2495" t="s">
        <v>105</v>
      </c>
      <c r="D2495" t="s">
        <v>5106</v>
      </c>
      <c r="E2495" t="s">
        <v>166</v>
      </c>
      <c r="F2495" t="s">
        <v>84</v>
      </c>
      <c r="G2495" t="s">
        <v>2088</v>
      </c>
      <c r="H2495" t="str">
        <f>"Δημοκρατίας 29 ¶γιος Νικόλαος"</f>
        <v>Δημοκρατίας 29 ¶γιος Νικόλαος</v>
      </c>
      <c r="I2495">
        <v>72100</v>
      </c>
      <c r="J2495">
        <v>2841026354</v>
      </c>
      <c r="K2495">
        <v>6975924408</v>
      </c>
      <c r="L2495">
        <v>6974194420</v>
      </c>
      <c r="M2495" t="s">
        <v>5107</v>
      </c>
      <c r="N2495" t="s">
        <v>257</v>
      </c>
      <c r="O2495" t="s">
        <v>258</v>
      </c>
      <c r="P2495" t="s">
        <v>615</v>
      </c>
      <c r="Q2495" t="s">
        <v>616</v>
      </c>
      <c r="R2495" t="s">
        <v>57</v>
      </c>
      <c r="S2495">
        <v>14</v>
      </c>
      <c r="T2495">
        <v>180</v>
      </c>
      <c r="U2495" s="1">
        <v>35674</v>
      </c>
      <c r="V2495" t="s">
        <v>4509</v>
      </c>
      <c r="W2495" t="s">
        <v>4510</v>
      </c>
      <c r="X2495" t="s">
        <v>58</v>
      </c>
      <c r="Y2495">
        <v>18</v>
      </c>
      <c r="Z2495" t="s">
        <v>59</v>
      </c>
      <c r="AA2495" t="s">
        <v>59</v>
      </c>
      <c r="AB2495" t="s">
        <v>59</v>
      </c>
      <c r="AC2495" t="s">
        <v>59</v>
      </c>
      <c r="AD2495" t="s">
        <v>59</v>
      </c>
      <c r="AF2495" s="1">
        <v>35675</v>
      </c>
      <c r="AG2495" t="s">
        <v>148</v>
      </c>
      <c r="AH2495" t="s">
        <v>149</v>
      </c>
      <c r="AI2495" t="str">
        <f>"3251001"</f>
        <v>3251001</v>
      </c>
      <c r="AJ2495" t="s">
        <v>4535</v>
      </c>
      <c r="AK2495">
        <v>2841082544</v>
      </c>
      <c r="AL2495" t="s">
        <v>4536</v>
      </c>
      <c r="AM2495" t="s">
        <v>4513</v>
      </c>
      <c r="AN2495" t="s">
        <v>4514</v>
      </c>
      <c r="AO2495" t="s">
        <v>4514</v>
      </c>
      <c r="AP2495" t="s">
        <v>4514</v>
      </c>
      <c r="AQ2495">
        <v>1</v>
      </c>
      <c r="AR2495" t="s">
        <v>4509</v>
      </c>
      <c r="AS2495" t="s">
        <v>4510</v>
      </c>
      <c r="AT2495" t="s">
        <v>58</v>
      </c>
      <c r="AU2495" t="s">
        <v>68</v>
      </c>
      <c r="AV2495" t="s">
        <v>69</v>
      </c>
      <c r="AW2495" s="1">
        <v>24506</v>
      </c>
      <c r="AX2495">
        <v>2</v>
      </c>
    </row>
    <row r="2496" spans="1:50">
      <c r="A2496">
        <v>171346</v>
      </c>
      <c r="B2496" t="str">
        <f>"045404677"</f>
        <v>045404677</v>
      </c>
      <c r="C2496" t="s">
        <v>50</v>
      </c>
      <c r="D2496" t="s">
        <v>5108</v>
      </c>
      <c r="E2496" t="s">
        <v>237</v>
      </c>
      <c r="F2496" t="s">
        <v>315</v>
      </c>
      <c r="G2496" t="s">
        <v>340</v>
      </c>
      <c r="H2496" t="str">
        <f>"ΜΑΚΡΥ ΓΙΑΛΟΣ ΜΑΚΡΥ ΓΙΑΛΟΣ"</f>
        <v>ΜΑΚΡΥ ΓΙΑΛΟΣ ΜΑΚΡΥ ΓΙΑΛΟΣ</v>
      </c>
      <c r="I2496">
        <v>72055</v>
      </c>
      <c r="J2496">
        <v>2843026011</v>
      </c>
      <c r="K2496">
        <v>6979339534</v>
      </c>
      <c r="M2496" t="s">
        <v>5109</v>
      </c>
      <c r="N2496" t="s">
        <v>683</v>
      </c>
      <c r="O2496" t="s">
        <v>684</v>
      </c>
      <c r="R2496" t="s">
        <v>57</v>
      </c>
      <c r="S2496">
        <v>11</v>
      </c>
      <c r="T2496">
        <v>184</v>
      </c>
      <c r="U2496" s="1">
        <v>34941</v>
      </c>
      <c r="V2496" t="s">
        <v>4509</v>
      </c>
      <c r="W2496" t="s">
        <v>4510</v>
      </c>
      <c r="X2496" t="s">
        <v>58</v>
      </c>
      <c r="Y2496">
        <v>18</v>
      </c>
      <c r="Z2496" t="s">
        <v>59</v>
      </c>
      <c r="AA2496" t="s">
        <v>59</v>
      </c>
      <c r="AB2496" t="s">
        <v>59</v>
      </c>
      <c r="AC2496" t="s">
        <v>59</v>
      </c>
      <c r="AD2496" t="s">
        <v>59</v>
      </c>
      <c r="AF2496" s="1">
        <v>34943</v>
      </c>
      <c r="AG2496" t="s">
        <v>125</v>
      </c>
      <c r="AH2496" t="s">
        <v>126</v>
      </c>
      <c r="AI2496" t="str">
        <f>"3210015"</f>
        <v>3210015</v>
      </c>
      <c r="AJ2496" t="s">
        <v>4875</v>
      </c>
      <c r="AK2496">
        <v>2843051800</v>
      </c>
      <c r="AL2496" t="s">
        <v>4876</v>
      </c>
      <c r="AM2496" t="s">
        <v>4513</v>
      </c>
      <c r="AN2496" t="s">
        <v>4519</v>
      </c>
      <c r="AO2496" t="s">
        <v>4766</v>
      </c>
      <c r="AP2496" t="s">
        <v>4767</v>
      </c>
      <c r="AQ2496">
        <v>5</v>
      </c>
      <c r="AR2496" t="s">
        <v>4509</v>
      </c>
      <c r="AS2496" t="s">
        <v>4510</v>
      </c>
      <c r="AT2496" t="s">
        <v>58</v>
      </c>
      <c r="AU2496" t="s">
        <v>68</v>
      </c>
      <c r="AV2496" t="s">
        <v>69</v>
      </c>
      <c r="AW2496" s="1">
        <v>25110</v>
      </c>
      <c r="AX2496">
        <v>2</v>
      </c>
    </row>
    <row r="2497" spans="1:50">
      <c r="A2497">
        <v>702112</v>
      </c>
      <c r="B2497" t="str">
        <f>"141249612"</f>
        <v>141249612</v>
      </c>
      <c r="C2497" t="s">
        <v>50</v>
      </c>
      <c r="D2497" t="s">
        <v>2679</v>
      </c>
      <c r="E2497" t="s">
        <v>52</v>
      </c>
      <c r="F2497" t="s">
        <v>166</v>
      </c>
      <c r="G2497" t="s">
        <v>83</v>
      </c>
      <c r="H2497" t="str">
        <f>"ΖΕΡΒΟΥΔΑΚΗ 16 "</f>
        <v xml:space="preserve">ΖΕΡΒΟΥΔΑΚΗ 16 </v>
      </c>
      <c r="I2497">
        <v>71306</v>
      </c>
      <c r="J2497">
        <v>2811110103</v>
      </c>
      <c r="K2497">
        <v>6945085194</v>
      </c>
      <c r="M2497" t="s">
        <v>5110</v>
      </c>
      <c r="N2497" t="s">
        <v>146</v>
      </c>
      <c r="O2497" t="s">
        <v>147</v>
      </c>
      <c r="R2497" t="s">
        <v>57</v>
      </c>
      <c r="S2497">
        <v>3</v>
      </c>
      <c r="T2497">
        <v>772</v>
      </c>
      <c r="U2497" s="1">
        <v>40413</v>
      </c>
      <c r="V2497" t="s">
        <v>4509</v>
      </c>
      <c r="W2497" t="s">
        <v>4510</v>
      </c>
      <c r="X2497" t="s">
        <v>58</v>
      </c>
      <c r="Y2497">
        <v>21</v>
      </c>
      <c r="Z2497" t="s">
        <v>59</v>
      </c>
      <c r="AA2497" t="s">
        <v>59</v>
      </c>
      <c r="AB2497" t="s">
        <v>59</v>
      </c>
      <c r="AC2497" t="s">
        <v>59</v>
      </c>
      <c r="AD2497" t="s">
        <v>59</v>
      </c>
      <c r="AF2497" s="1">
        <v>40413</v>
      </c>
      <c r="AG2497" t="s">
        <v>148</v>
      </c>
      <c r="AH2497" t="s">
        <v>149</v>
      </c>
      <c r="AI2497" t="str">
        <f>"3252020"</f>
        <v>3252020</v>
      </c>
      <c r="AJ2497" t="s">
        <v>4638</v>
      </c>
      <c r="AK2497">
        <v>2842022379</v>
      </c>
      <c r="AL2497" t="s">
        <v>4639</v>
      </c>
      <c r="AM2497" t="s">
        <v>4513</v>
      </c>
      <c r="AN2497" t="s">
        <v>4519</v>
      </c>
      <c r="AO2497" t="s">
        <v>4519</v>
      </c>
      <c r="AP2497" t="s">
        <v>4519</v>
      </c>
      <c r="AQ2497">
        <v>4</v>
      </c>
      <c r="AR2497" t="s">
        <v>4509</v>
      </c>
      <c r="AS2497" t="s">
        <v>4510</v>
      </c>
      <c r="AT2497" t="s">
        <v>58</v>
      </c>
      <c r="AU2497" t="s">
        <v>68</v>
      </c>
      <c r="AV2497" t="s">
        <v>69</v>
      </c>
      <c r="AW2497" s="1">
        <v>29752</v>
      </c>
      <c r="AX2497">
        <v>2</v>
      </c>
    </row>
    <row r="2498" spans="1:50">
      <c r="A2498">
        <v>175529</v>
      </c>
      <c r="B2498" t="str">
        <f>"038117060"</f>
        <v>038117060</v>
      </c>
      <c r="C2498" t="s">
        <v>50</v>
      </c>
      <c r="D2498" t="s">
        <v>5111</v>
      </c>
      <c r="E2498" t="s">
        <v>52</v>
      </c>
      <c r="F2498" t="s">
        <v>106</v>
      </c>
      <c r="G2498" t="s">
        <v>2088</v>
      </c>
      <c r="H2498" t="str">
        <f>"Σφακα Σητεια"</f>
        <v>Σφακα Σητεια</v>
      </c>
      <c r="J2498">
        <v>2843094272</v>
      </c>
      <c r="K2498">
        <v>6973363701</v>
      </c>
      <c r="M2498" t="s">
        <v>5112</v>
      </c>
      <c r="N2498" t="s">
        <v>146</v>
      </c>
      <c r="O2498" t="s">
        <v>147</v>
      </c>
      <c r="R2498" t="s">
        <v>57</v>
      </c>
      <c r="S2498">
        <v>12</v>
      </c>
      <c r="T2498">
        <v>180</v>
      </c>
      <c r="U2498" s="1">
        <v>35674</v>
      </c>
      <c r="V2498" t="s">
        <v>4509</v>
      </c>
      <c r="W2498" t="s">
        <v>4510</v>
      </c>
      <c r="X2498" t="s">
        <v>58</v>
      </c>
      <c r="Y2498">
        <v>18</v>
      </c>
      <c r="Z2498" t="s">
        <v>59</v>
      </c>
      <c r="AA2498" t="s">
        <v>59</v>
      </c>
      <c r="AB2498" t="s">
        <v>59</v>
      </c>
      <c r="AC2498" t="s">
        <v>59</v>
      </c>
      <c r="AD2498" t="s">
        <v>59</v>
      </c>
      <c r="AF2498" s="1">
        <v>35675</v>
      </c>
      <c r="AG2498" t="s">
        <v>125</v>
      </c>
      <c r="AH2498" t="s">
        <v>126</v>
      </c>
      <c r="AI2498" t="str">
        <f>"3204010"</f>
        <v>3204010</v>
      </c>
      <c r="AJ2498" t="s">
        <v>4542</v>
      </c>
      <c r="AK2498">
        <v>2843022503</v>
      </c>
      <c r="AL2498" t="s">
        <v>4543</v>
      </c>
      <c r="AM2498" t="s">
        <v>4513</v>
      </c>
      <c r="AN2498" t="s">
        <v>4540</v>
      </c>
      <c r="AO2498" t="s">
        <v>4540</v>
      </c>
      <c r="AP2498" t="s">
        <v>4540</v>
      </c>
      <c r="AQ2498">
        <v>6</v>
      </c>
      <c r="AR2498" t="s">
        <v>4509</v>
      </c>
      <c r="AS2498" t="s">
        <v>4510</v>
      </c>
      <c r="AT2498" t="s">
        <v>58</v>
      </c>
      <c r="AU2498" t="s">
        <v>68</v>
      </c>
      <c r="AV2498" t="s">
        <v>69</v>
      </c>
      <c r="AW2498" s="1">
        <v>24516</v>
      </c>
      <c r="AX2498">
        <v>2</v>
      </c>
    </row>
    <row r="2499" spans="1:50">
      <c r="A2499">
        <v>185799</v>
      </c>
      <c r="B2499" t="str">
        <f>"079064841"</f>
        <v>079064841</v>
      </c>
      <c r="C2499" t="s">
        <v>50</v>
      </c>
      <c r="D2499" t="s">
        <v>5113</v>
      </c>
      <c r="E2499" t="s">
        <v>181</v>
      </c>
      <c r="F2499" t="s">
        <v>95</v>
      </c>
      <c r="G2499" t="s">
        <v>83</v>
      </c>
      <c r="H2499" t="str">
        <f>" "</f>
        <v xml:space="preserve"> </v>
      </c>
      <c r="J2499">
        <v>2841041806</v>
      </c>
      <c r="K2499">
        <v>6974408668</v>
      </c>
      <c r="M2499" t="s">
        <v>5114</v>
      </c>
      <c r="N2499" t="s">
        <v>146</v>
      </c>
      <c r="O2499" t="s">
        <v>147</v>
      </c>
      <c r="R2499" t="s">
        <v>57</v>
      </c>
      <c r="S2499">
        <v>8</v>
      </c>
      <c r="T2499">
        <v>250</v>
      </c>
      <c r="U2499" s="1">
        <v>36769</v>
      </c>
      <c r="V2499" t="s">
        <v>4509</v>
      </c>
      <c r="W2499" t="s">
        <v>4510</v>
      </c>
      <c r="X2499" t="s">
        <v>58</v>
      </c>
      <c r="Y2499">
        <v>20</v>
      </c>
      <c r="Z2499" t="s">
        <v>59</v>
      </c>
      <c r="AA2499" t="s">
        <v>59</v>
      </c>
      <c r="AB2499" t="s">
        <v>59</v>
      </c>
      <c r="AC2499" t="s">
        <v>59</v>
      </c>
      <c r="AD2499" t="s">
        <v>59</v>
      </c>
      <c r="AF2499" s="1">
        <v>36770</v>
      </c>
      <c r="AG2499" t="s">
        <v>125</v>
      </c>
      <c r="AH2499" t="s">
        <v>126</v>
      </c>
      <c r="AI2499" t="str">
        <f>"3201010"</f>
        <v>3201010</v>
      </c>
      <c r="AJ2499" t="s">
        <v>4596</v>
      </c>
      <c r="AK2499">
        <v>2841022301</v>
      </c>
      <c r="AL2499" t="s">
        <v>4597</v>
      </c>
      <c r="AM2499" t="s">
        <v>4513</v>
      </c>
      <c r="AN2499" t="s">
        <v>4514</v>
      </c>
      <c r="AO2499" t="s">
        <v>4514</v>
      </c>
      <c r="AP2499" t="s">
        <v>4514</v>
      </c>
      <c r="AQ2499">
        <v>1</v>
      </c>
      <c r="AR2499" t="s">
        <v>4509</v>
      </c>
      <c r="AS2499" t="s">
        <v>4510</v>
      </c>
      <c r="AT2499" t="s">
        <v>58</v>
      </c>
      <c r="AU2499" t="s">
        <v>68</v>
      </c>
      <c r="AV2499" t="s">
        <v>69</v>
      </c>
      <c r="AW2499" s="1">
        <v>26500</v>
      </c>
      <c r="AX2499">
        <v>2</v>
      </c>
    </row>
    <row r="2500" spans="1:50">
      <c r="B2500" t="str">
        <f>"126326400"</f>
        <v>126326400</v>
      </c>
      <c r="C2500" t="s">
        <v>50</v>
      </c>
      <c r="D2500" t="s">
        <v>2704</v>
      </c>
      <c r="E2500" t="s">
        <v>83</v>
      </c>
      <c r="F2500" t="s">
        <v>106</v>
      </c>
      <c r="G2500" t="s">
        <v>237</v>
      </c>
      <c r="H2500" t="str">
        <f>"ΜΟΝΗΣ ΑΡΕΤΙΟΥ  5 ΑΓΙΟΣ  ΝΙΚΟΛΑΟΣ"</f>
        <v>ΜΟΝΗΣ ΑΡΕΤΙΟΥ  5 ΑΓΙΟΣ  ΝΙΚΟΛΑΟΣ</v>
      </c>
      <c r="I2500">
        <v>72100</v>
      </c>
      <c r="J2500">
        <v>2841034006</v>
      </c>
      <c r="K2500">
        <v>6978151256</v>
      </c>
      <c r="M2500" t="s">
        <v>5115</v>
      </c>
      <c r="N2500" t="s">
        <v>146</v>
      </c>
      <c r="O2500" t="s">
        <v>147</v>
      </c>
      <c r="R2500" t="s">
        <v>159</v>
      </c>
      <c r="S2500">
        <v>4</v>
      </c>
      <c r="T2500" t="s">
        <v>416</v>
      </c>
      <c r="U2500" s="1">
        <v>43349</v>
      </c>
      <c r="V2500" t="s">
        <v>4509</v>
      </c>
      <c r="W2500" t="s">
        <v>4510</v>
      </c>
      <c r="X2500" t="s">
        <v>58</v>
      </c>
      <c r="Y2500">
        <v>21</v>
      </c>
      <c r="Z2500" t="s">
        <v>59</v>
      </c>
      <c r="AA2500" t="s">
        <v>59</v>
      </c>
      <c r="AB2500" t="s">
        <v>59</v>
      </c>
      <c r="AC2500" t="s">
        <v>59</v>
      </c>
      <c r="AD2500" t="s">
        <v>59</v>
      </c>
      <c r="AF2500" s="1">
        <v>43349</v>
      </c>
      <c r="AG2500" t="s">
        <v>125</v>
      </c>
      <c r="AH2500" t="s">
        <v>126</v>
      </c>
      <c r="AI2500" t="str">
        <f>"3203010"</f>
        <v>3203010</v>
      </c>
      <c r="AJ2500" t="s">
        <v>4522</v>
      </c>
      <c r="AK2500">
        <v>2841034140</v>
      </c>
      <c r="AL2500" t="s">
        <v>4523</v>
      </c>
      <c r="AM2500" t="s">
        <v>4513</v>
      </c>
      <c r="AN2500" t="s">
        <v>4514</v>
      </c>
      <c r="AO2500" t="s">
        <v>4524</v>
      </c>
      <c r="AP2500" t="s">
        <v>4525</v>
      </c>
      <c r="AQ2500">
        <v>3</v>
      </c>
      <c r="AR2500" t="s">
        <v>4509</v>
      </c>
      <c r="AS2500" t="s">
        <v>4510</v>
      </c>
      <c r="AT2500" t="s">
        <v>58</v>
      </c>
      <c r="AU2500" t="s">
        <v>419</v>
      </c>
      <c r="AV2500" t="s">
        <v>132</v>
      </c>
      <c r="AW2500" s="1">
        <v>28363</v>
      </c>
      <c r="AX2500">
        <v>2</v>
      </c>
    </row>
    <row r="2501" spans="1:50">
      <c r="A2501">
        <v>222334</v>
      </c>
      <c r="B2501" t="str">
        <f>"049114616"</f>
        <v>049114616</v>
      </c>
      <c r="C2501" t="s">
        <v>50</v>
      </c>
      <c r="D2501" t="s">
        <v>5116</v>
      </c>
      <c r="E2501" t="s">
        <v>52</v>
      </c>
      <c r="F2501" t="s">
        <v>166</v>
      </c>
      <c r="G2501" t="s">
        <v>658</v>
      </c>
      <c r="H2501" t="str">
        <f>" "</f>
        <v xml:space="preserve"> </v>
      </c>
      <c r="J2501">
        <v>2843029047</v>
      </c>
      <c r="K2501">
        <v>6979728973</v>
      </c>
      <c r="M2501" t="s">
        <v>5117</v>
      </c>
      <c r="N2501" t="s">
        <v>146</v>
      </c>
      <c r="O2501" t="s">
        <v>147</v>
      </c>
      <c r="R2501" t="s">
        <v>57</v>
      </c>
      <c r="S2501">
        <v>6</v>
      </c>
      <c r="T2501">
        <v>775</v>
      </c>
      <c r="U2501" s="1">
        <v>39680</v>
      </c>
      <c r="V2501" t="s">
        <v>4509</v>
      </c>
      <c r="W2501" t="s">
        <v>4510</v>
      </c>
      <c r="X2501" t="s">
        <v>58</v>
      </c>
      <c r="Y2501">
        <v>20</v>
      </c>
      <c r="Z2501" t="s">
        <v>59</v>
      </c>
      <c r="AA2501" t="s">
        <v>59</v>
      </c>
      <c r="AB2501" t="s">
        <v>59</v>
      </c>
      <c r="AC2501" t="s">
        <v>59</v>
      </c>
      <c r="AD2501" t="s">
        <v>59</v>
      </c>
      <c r="AF2501" s="1">
        <v>39681</v>
      </c>
      <c r="AG2501" t="s">
        <v>125</v>
      </c>
      <c r="AH2501" t="s">
        <v>126</v>
      </c>
      <c r="AI2501" t="str">
        <f>"3204020"</f>
        <v>3204020</v>
      </c>
      <c r="AJ2501" t="s">
        <v>4632</v>
      </c>
      <c r="AK2501">
        <v>2843023923</v>
      </c>
      <c r="AL2501" t="s">
        <v>4633</v>
      </c>
      <c r="AM2501" t="s">
        <v>4513</v>
      </c>
      <c r="AN2501" t="s">
        <v>4540</v>
      </c>
      <c r="AO2501" t="s">
        <v>4540</v>
      </c>
      <c r="AP2501" t="s">
        <v>4540</v>
      </c>
      <c r="AQ2501">
        <v>6</v>
      </c>
      <c r="AR2501" t="s">
        <v>4509</v>
      </c>
      <c r="AS2501" t="s">
        <v>4510</v>
      </c>
      <c r="AT2501" t="s">
        <v>58</v>
      </c>
      <c r="AU2501" t="s">
        <v>68</v>
      </c>
      <c r="AV2501" t="s">
        <v>69</v>
      </c>
      <c r="AW2501" s="1">
        <v>27832</v>
      </c>
      <c r="AX2501">
        <v>2</v>
      </c>
    </row>
    <row r="2502" spans="1:50">
      <c r="A2502">
        <v>225035</v>
      </c>
      <c r="B2502" t="str">
        <f>"045571861"</f>
        <v>045571861</v>
      </c>
      <c r="C2502" t="s">
        <v>50</v>
      </c>
      <c r="D2502" t="s">
        <v>5118</v>
      </c>
      <c r="E2502" t="s">
        <v>5119</v>
      </c>
      <c r="F2502" t="s">
        <v>5120</v>
      </c>
      <c r="G2502" t="s">
        <v>5121</v>
      </c>
      <c r="H2502" t="str">
        <f>" "</f>
        <v xml:space="preserve"> </v>
      </c>
      <c r="J2502">
        <v>2552025682</v>
      </c>
      <c r="K2502">
        <v>6946041086</v>
      </c>
      <c r="M2502" t="s">
        <v>5122</v>
      </c>
      <c r="N2502" t="s">
        <v>176</v>
      </c>
      <c r="O2502" t="s">
        <v>177</v>
      </c>
      <c r="R2502" t="s">
        <v>57</v>
      </c>
      <c r="S2502">
        <v>7</v>
      </c>
      <c r="T2502">
        <v>775</v>
      </c>
      <c r="U2502" s="1">
        <v>39680</v>
      </c>
      <c r="V2502" t="s">
        <v>4509</v>
      </c>
      <c r="W2502" t="s">
        <v>4510</v>
      </c>
      <c r="X2502" t="s">
        <v>58</v>
      </c>
      <c r="Y2502">
        <v>20</v>
      </c>
      <c r="Z2502" t="s">
        <v>59</v>
      </c>
      <c r="AA2502" t="s">
        <v>59</v>
      </c>
      <c r="AB2502" t="s">
        <v>59</v>
      </c>
      <c r="AC2502" t="s">
        <v>59</v>
      </c>
      <c r="AD2502" t="s">
        <v>59</v>
      </c>
      <c r="AF2502" s="1">
        <v>39692</v>
      </c>
      <c r="AG2502" t="s">
        <v>148</v>
      </c>
      <c r="AH2502" t="s">
        <v>149</v>
      </c>
      <c r="AI2502" t="str">
        <f>"3251001"</f>
        <v>3251001</v>
      </c>
      <c r="AJ2502" t="s">
        <v>4535</v>
      </c>
      <c r="AK2502">
        <v>2841082544</v>
      </c>
      <c r="AL2502" t="s">
        <v>4536</v>
      </c>
      <c r="AM2502" t="s">
        <v>4513</v>
      </c>
      <c r="AN2502" t="s">
        <v>4514</v>
      </c>
      <c r="AO2502" t="s">
        <v>4514</v>
      </c>
      <c r="AP2502" t="s">
        <v>4514</v>
      </c>
      <c r="AQ2502">
        <v>1</v>
      </c>
      <c r="AR2502" t="s">
        <v>4509</v>
      </c>
      <c r="AS2502" t="s">
        <v>4510</v>
      </c>
      <c r="AT2502" t="s">
        <v>58</v>
      </c>
      <c r="AU2502" t="s">
        <v>68</v>
      </c>
      <c r="AV2502" t="s">
        <v>132</v>
      </c>
      <c r="AW2502" s="1">
        <v>21895</v>
      </c>
      <c r="AX2502">
        <v>2</v>
      </c>
    </row>
    <row r="2503" spans="1:50">
      <c r="B2503" t="str">
        <f>"132139763"</f>
        <v>132139763</v>
      </c>
      <c r="C2503" t="s">
        <v>105</v>
      </c>
      <c r="D2503" t="s">
        <v>5123</v>
      </c>
      <c r="E2503" t="s">
        <v>53</v>
      </c>
      <c r="F2503" t="s">
        <v>154</v>
      </c>
      <c r="G2503" t="s">
        <v>687</v>
      </c>
      <c r="H2503" t="str">
        <f>"Θεοτοκοπούλου 46 &amp; Μητρ. Μητροφάνη ΡΕΘΥΜΝΟ"</f>
        <v>Θεοτοκοπούλου 46 &amp; Μητρ. Μητροφάνη ΡΕΘΥΜΝΟ</v>
      </c>
      <c r="I2503">
        <v>74100</v>
      </c>
      <c r="K2503">
        <v>6976741824</v>
      </c>
      <c r="M2503" t="s">
        <v>5124</v>
      </c>
      <c r="N2503" t="s">
        <v>536</v>
      </c>
      <c r="O2503" t="s">
        <v>537</v>
      </c>
      <c r="R2503" t="s">
        <v>121</v>
      </c>
      <c r="S2503">
        <v>3</v>
      </c>
      <c r="T2503" t="s">
        <v>344</v>
      </c>
      <c r="U2503" s="1">
        <v>43348</v>
      </c>
      <c r="V2503" t="s">
        <v>4509</v>
      </c>
      <c r="W2503" t="s">
        <v>4510</v>
      </c>
      <c r="X2503" t="s">
        <v>58</v>
      </c>
      <c r="Y2503">
        <v>23</v>
      </c>
      <c r="Z2503" t="s">
        <v>59</v>
      </c>
      <c r="AA2503" t="s">
        <v>59</v>
      </c>
      <c r="AB2503" t="s">
        <v>59</v>
      </c>
      <c r="AD2503" t="s">
        <v>59</v>
      </c>
      <c r="AF2503" s="1">
        <v>43348</v>
      </c>
      <c r="AG2503" t="s">
        <v>345</v>
      </c>
      <c r="AH2503" t="s">
        <v>346</v>
      </c>
      <c r="AI2503" t="str">
        <f>"3241001"</f>
        <v>3241001</v>
      </c>
      <c r="AJ2503" t="s">
        <v>4613</v>
      </c>
      <c r="AK2503">
        <v>2842026374</v>
      </c>
      <c r="AL2503" t="s">
        <v>4614</v>
      </c>
      <c r="AM2503" t="s">
        <v>4513</v>
      </c>
      <c r="AN2503" t="s">
        <v>4519</v>
      </c>
      <c r="AO2503" t="s">
        <v>4519</v>
      </c>
      <c r="AP2503" t="s">
        <v>4519</v>
      </c>
      <c r="AQ2503">
        <v>4</v>
      </c>
      <c r="AR2503" t="s">
        <v>4509</v>
      </c>
      <c r="AS2503" t="s">
        <v>4510</v>
      </c>
      <c r="AT2503" t="s">
        <v>58</v>
      </c>
      <c r="AU2503" t="s">
        <v>350</v>
      </c>
      <c r="AV2503" t="s">
        <v>132</v>
      </c>
      <c r="AW2503" s="1">
        <v>32199</v>
      </c>
      <c r="AX2503">
        <v>2</v>
      </c>
    </row>
    <row r="2504" spans="1:50">
      <c r="A2504">
        <v>156650</v>
      </c>
      <c r="B2504" t="str">
        <f>"015420666"</f>
        <v>015420666</v>
      </c>
      <c r="C2504" t="s">
        <v>105</v>
      </c>
      <c r="D2504" t="s">
        <v>106</v>
      </c>
      <c r="E2504" t="s">
        <v>670</v>
      </c>
      <c r="F2504" t="s">
        <v>72</v>
      </c>
      <c r="G2504" t="s">
        <v>1068</v>
      </c>
      <c r="H2504" t="str">
        <f>" "</f>
        <v xml:space="preserve"> </v>
      </c>
      <c r="M2504" t="s">
        <v>5125</v>
      </c>
      <c r="N2504" t="s">
        <v>292</v>
      </c>
      <c r="O2504" t="s">
        <v>293</v>
      </c>
      <c r="R2504" t="s">
        <v>57</v>
      </c>
      <c r="S2504">
        <v>18</v>
      </c>
      <c r="T2504">
        <v>188</v>
      </c>
      <c r="U2504" s="1">
        <v>32752</v>
      </c>
      <c r="V2504" t="s">
        <v>4509</v>
      </c>
      <c r="W2504" t="s">
        <v>4510</v>
      </c>
      <c r="X2504" t="s">
        <v>58</v>
      </c>
      <c r="Y2504">
        <v>18</v>
      </c>
      <c r="Z2504" t="s">
        <v>59</v>
      </c>
      <c r="AA2504" t="s">
        <v>59</v>
      </c>
      <c r="AB2504" t="s">
        <v>59</v>
      </c>
      <c r="AC2504" t="s">
        <v>59</v>
      </c>
      <c r="AD2504" t="s">
        <v>59</v>
      </c>
      <c r="AF2504" s="1">
        <v>32756</v>
      </c>
      <c r="AG2504" t="s">
        <v>148</v>
      </c>
      <c r="AH2504" t="s">
        <v>149</v>
      </c>
      <c r="AI2504" t="str">
        <f>"3252020"</f>
        <v>3252020</v>
      </c>
      <c r="AJ2504" t="s">
        <v>4638</v>
      </c>
      <c r="AK2504">
        <v>2842022379</v>
      </c>
      <c r="AL2504" t="s">
        <v>4639</v>
      </c>
      <c r="AM2504" t="s">
        <v>4513</v>
      </c>
      <c r="AN2504" t="s">
        <v>4519</v>
      </c>
      <c r="AO2504" t="s">
        <v>4519</v>
      </c>
      <c r="AP2504" t="s">
        <v>4519</v>
      </c>
      <c r="AQ2504">
        <v>4</v>
      </c>
      <c r="AR2504" t="s">
        <v>4509</v>
      </c>
      <c r="AS2504" t="s">
        <v>4510</v>
      </c>
      <c r="AT2504" t="s">
        <v>58</v>
      </c>
      <c r="AU2504" t="s">
        <v>68</v>
      </c>
      <c r="AV2504" t="s">
        <v>69</v>
      </c>
      <c r="AW2504" s="1">
        <v>20892</v>
      </c>
      <c r="AX2504">
        <v>2</v>
      </c>
    </row>
    <row r="2505" spans="1:50">
      <c r="B2505" t="str">
        <f>"102420681"</f>
        <v>102420681</v>
      </c>
      <c r="C2505" t="s">
        <v>50</v>
      </c>
      <c r="D2505" t="s">
        <v>5126</v>
      </c>
      <c r="E2505" t="s">
        <v>809</v>
      </c>
      <c r="F2505" t="s">
        <v>309</v>
      </c>
      <c r="G2505" t="s">
        <v>484</v>
      </c>
      <c r="H2505" t="str">
        <f>"ΜΑΚΡΥΓΙΑΝΝΗ 5 "</f>
        <v xml:space="preserve">ΜΑΚΡΥΓΙΑΝΝΗ 5 </v>
      </c>
      <c r="I2505">
        <v>30100</v>
      </c>
      <c r="J2505">
        <v>2641027435</v>
      </c>
      <c r="K2505">
        <v>6981547821</v>
      </c>
      <c r="M2505" t="s">
        <v>5127</v>
      </c>
      <c r="N2505" t="s">
        <v>5128</v>
      </c>
      <c r="O2505" t="s">
        <v>5129</v>
      </c>
      <c r="R2505" t="s">
        <v>159</v>
      </c>
      <c r="S2505">
        <v>5</v>
      </c>
      <c r="T2505" t="s">
        <v>344</v>
      </c>
      <c r="U2505" s="1">
        <v>43348</v>
      </c>
      <c r="V2505" t="s">
        <v>4509</v>
      </c>
      <c r="W2505" t="s">
        <v>4510</v>
      </c>
      <c r="X2505" t="s">
        <v>58</v>
      </c>
      <c r="Y2505">
        <v>21</v>
      </c>
      <c r="Z2505" t="s">
        <v>59</v>
      </c>
      <c r="AA2505" t="s">
        <v>59</v>
      </c>
      <c r="AB2505" t="s">
        <v>59</v>
      </c>
      <c r="AC2505" t="s">
        <v>59</v>
      </c>
      <c r="AD2505" t="s">
        <v>59</v>
      </c>
      <c r="AF2505" s="1">
        <v>43348</v>
      </c>
      <c r="AG2505" t="s">
        <v>345</v>
      </c>
      <c r="AH2505" t="s">
        <v>346</v>
      </c>
      <c r="AI2505" t="str">
        <f>"3241002"</f>
        <v>3241002</v>
      </c>
      <c r="AJ2505" t="s">
        <v>4626</v>
      </c>
      <c r="AK2505">
        <v>2841083053</v>
      </c>
      <c r="AL2505" t="s">
        <v>4627</v>
      </c>
      <c r="AM2505" t="s">
        <v>4513</v>
      </c>
      <c r="AN2505" t="s">
        <v>4514</v>
      </c>
      <c r="AO2505" t="s">
        <v>4514</v>
      </c>
      <c r="AP2505" t="s">
        <v>4514</v>
      </c>
      <c r="AQ2505">
        <v>1</v>
      </c>
      <c r="AR2505" t="s">
        <v>4509</v>
      </c>
      <c r="AS2505" t="s">
        <v>4510</v>
      </c>
      <c r="AT2505" t="s">
        <v>58</v>
      </c>
      <c r="AU2505" t="s">
        <v>350</v>
      </c>
      <c r="AV2505" t="s">
        <v>132</v>
      </c>
      <c r="AW2505" s="1">
        <v>30078</v>
      </c>
      <c r="AX2505">
        <v>2</v>
      </c>
    </row>
    <row r="2506" spans="1:50">
      <c r="A2506">
        <v>224730</v>
      </c>
      <c r="B2506" t="str">
        <f>"074128919"</f>
        <v>074128919</v>
      </c>
      <c r="C2506" t="s">
        <v>105</v>
      </c>
      <c r="D2506" t="s">
        <v>5130</v>
      </c>
      <c r="E2506" t="s">
        <v>166</v>
      </c>
      <c r="F2506" t="s">
        <v>99</v>
      </c>
      <c r="G2506" t="s">
        <v>237</v>
      </c>
      <c r="H2506" t="str">
        <f>"Ι. Σακαδάκη 1Α ΣΗΤΕΙΑ"</f>
        <v>Ι. Σακαδάκη 1Α ΣΗΤΕΙΑ</v>
      </c>
      <c r="I2506">
        <v>72300</v>
      </c>
      <c r="J2506">
        <v>2843028069</v>
      </c>
      <c r="K2506">
        <v>6972200359</v>
      </c>
      <c r="M2506" t="s">
        <v>5131</v>
      </c>
      <c r="N2506" t="s">
        <v>299</v>
      </c>
      <c r="O2506" t="s">
        <v>300</v>
      </c>
      <c r="R2506" t="s">
        <v>57</v>
      </c>
      <c r="S2506">
        <v>9</v>
      </c>
      <c r="T2506">
        <v>775</v>
      </c>
      <c r="U2506" s="1">
        <v>39680</v>
      </c>
      <c r="V2506" t="s">
        <v>4509</v>
      </c>
      <c r="W2506" t="s">
        <v>4510</v>
      </c>
      <c r="X2506" t="s">
        <v>58</v>
      </c>
      <c r="Y2506">
        <v>21</v>
      </c>
      <c r="Z2506" t="s">
        <v>59</v>
      </c>
      <c r="AA2506" t="s">
        <v>59</v>
      </c>
      <c r="AB2506" t="s">
        <v>59</v>
      </c>
      <c r="AC2506" t="s">
        <v>59</v>
      </c>
      <c r="AD2506" t="s">
        <v>59</v>
      </c>
      <c r="AF2506" s="1">
        <v>39692</v>
      </c>
      <c r="AG2506" t="s">
        <v>137</v>
      </c>
      <c r="AH2506" t="s">
        <v>138</v>
      </c>
      <c r="AI2506" t="str">
        <f>"3240020"</f>
        <v>3240020</v>
      </c>
      <c r="AJ2506" t="s">
        <v>4568</v>
      </c>
      <c r="AK2506">
        <v>2843028570</v>
      </c>
      <c r="AL2506" t="s">
        <v>4569</v>
      </c>
      <c r="AM2506" t="s">
        <v>4513</v>
      </c>
      <c r="AN2506" t="s">
        <v>4540</v>
      </c>
      <c r="AO2506" t="s">
        <v>4540</v>
      </c>
      <c r="AP2506" t="s">
        <v>4540</v>
      </c>
      <c r="AQ2506">
        <v>6</v>
      </c>
      <c r="AR2506" t="s">
        <v>4509</v>
      </c>
      <c r="AS2506" t="s">
        <v>4510</v>
      </c>
      <c r="AT2506" t="s">
        <v>58</v>
      </c>
      <c r="AU2506" t="s">
        <v>68</v>
      </c>
      <c r="AV2506" t="s">
        <v>69</v>
      </c>
      <c r="AW2506" s="1">
        <v>27361</v>
      </c>
      <c r="AX2506">
        <v>2</v>
      </c>
    </row>
    <row r="2507" spans="1:50">
      <c r="A2507">
        <v>211297</v>
      </c>
      <c r="B2507" t="str">
        <f>"064120533"</f>
        <v>064120533</v>
      </c>
      <c r="C2507" t="s">
        <v>105</v>
      </c>
      <c r="D2507" t="s">
        <v>5130</v>
      </c>
      <c r="E2507" t="s">
        <v>2933</v>
      </c>
      <c r="F2507" t="s">
        <v>166</v>
      </c>
      <c r="G2507" t="s">
        <v>553</v>
      </c>
      <c r="H2507" t="str">
        <f>"ΙΚΑΡΟΥ 12Α "</f>
        <v xml:space="preserve">ΙΚΑΡΟΥ 12Α </v>
      </c>
      <c r="I2507">
        <v>72100</v>
      </c>
      <c r="J2507">
        <v>2841500911</v>
      </c>
      <c r="K2507">
        <v>6974453844</v>
      </c>
      <c r="M2507" t="s">
        <v>5132</v>
      </c>
      <c r="N2507" t="s">
        <v>282</v>
      </c>
      <c r="O2507" t="s">
        <v>283</v>
      </c>
      <c r="R2507" t="s">
        <v>57</v>
      </c>
      <c r="S2507">
        <v>10</v>
      </c>
      <c r="T2507">
        <v>299</v>
      </c>
      <c r="U2507" s="1">
        <v>38670</v>
      </c>
      <c r="V2507" t="s">
        <v>4509</v>
      </c>
      <c r="W2507" t="s">
        <v>4510</v>
      </c>
      <c r="X2507" t="s">
        <v>58</v>
      </c>
      <c r="Y2507">
        <v>20</v>
      </c>
      <c r="Z2507" t="s">
        <v>59</v>
      </c>
      <c r="AA2507" t="s">
        <v>59</v>
      </c>
      <c r="AB2507" t="s">
        <v>59</v>
      </c>
      <c r="AC2507" t="s">
        <v>59</v>
      </c>
      <c r="AD2507" t="s">
        <v>59</v>
      </c>
      <c r="AF2507" s="1">
        <v>38671</v>
      </c>
      <c r="AG2507" t="s">
        <v>137</v>
      </c>
      <c r="AH2507" t="s">
        <v>138</v>
      </c>
      <c r="AI2507" t="str">
        <f>"3240077"</f>
        <v>3240077</v>
      </c>
      <c r="AJ2507" t="s">
        <v>4528</v>
      </c>
      <c r="AK2507">
        <v>2841025978</v>
      </c>
      <c r="AL2507" t="s">
        <v>4529</v>
      </c>
      <c r="AM2507" t="s">
        <v>4513</v>
      </c>
      <c r="AN2507" t="s">
        <v>4514</v>
      </c>
      <c r="AO2507" t="s">
        <v>4514</v>
      </c>
      <c r="AP2507" t="s">
        <v>4514</v>
      </c>
      <c r="AQ2507">
        <v>1</v>
      </c>
      <c r="AR2507" t="s">
        <v>4509</v>
      </c>
      <c r="AS2507" t="s">
        <v>4510</v>
      </c>
      <c r="AT2507" t="s">
        <v>58</v>
      </c>
      <c r="AU2507" t="s">
        <v>68</v>
      </c>
      <c r="AV2507" t="s">
        <v>69</v>
      </c>
      <c r="AW2507" s="1">
        <v>27230</v>
      </c>
      <c r="AX2507">
        <v>2</v>
      </c>
    </row>
    <row r="2508" spans="1:50">
      <c r="B2508" t="str">
        <f>"105619636"</f>
        <v>105619636</v>
      </c>
      <c r="C2508" t="s">
        <v>105</v>
      </c>
      <c r="D2508" t="s">
        <v>5133</v>
      </c>
      <c r="E2508" t="s">
        <v>99</v>
      </c>
      <c r="F2508" t="s">
        <v>459</v>
      </c>
      <c r="G2508" t="s">
        <v>52</v>
      </c>
      <c r="H2508" t="str">
        <f>"25ΗΣ ΜΑΡΤΙΟΥ 43 - ΣΤΑΥΡΑΚΙ "</f>
        <v xml:space="preserve">25ΗΣ ΜΑΡΤΙΟΥ 43 - ΣΤΑΥΡΑΚΙ </v>
      </c>
      <c r="I2508">
        <v>45332</v>
      </c>
      <c r="J2508">
        <v>2651044190</v>
      </c>
      <c r="K2508">
        <v>6944223721</v>
      </c>
      <c r="M2508" t="s">
        <v>5134</v>
      </c>
      <c r="N2508" t="s">
        <v>204</v>
      </c>
      <c r="O2508" t="s">
        <v>205</v>
      </c>
      <c r="R2508" t="s">
        <v>159</v>
      </c>
      <c r="S2508">
        <v>3</v>
      </c>
      <c r="T2508" t="s">
        <v>416</v>
      </c>
      <c r="U2508" s="1">
        <v>43349</v>
      </c>
      <c r="V2508" t="s">
        <v>4509</v>
      </c>
      <c r="W2508" t="s">
        <v>4510</v>
      </c>
      <c r="X2508" t="s">
        <v>58</v>
      </c>
      <c r="Y2508">
        <v>21</v>
      </c>
      <c r="Z2508" t="s">
        <v>59</v>
      </c>
      <c r="AA2508" t="s">
        <v>59</v>
      </c>
      <c r="AB2508" t="s">
        <v>59</v>
      </c>
      <c r="AC2508" t="s">
        <v>59</v>
      </c>
      <c r="AD2508" t="s">
        <v>59</v>
      </c>
      <c r="AF2508" s="1">
        <v>43349</v>
      </c>
      <c r="AG2508" t="s">
        <v>125</v>
      </c>
      <c r="AH2508" t="s">
        <v>126</v>
      </c>
      <c r="AI2508" t="str">
        <f>"3201025"</f>
        <v>3201025</v>
      </c>
      <c r="AJ2508" t="s">
        <v>4682</v>
      </c>
      <c r="AK2508">
        <v>2841021388</v>
      </c>
      <c r="AL2508" t="s">
        <v>4683</v>
      </c>
      <c r="AM2508" t="s">
        <v>4513</v>
      </c>
      <c r="AN2508" t="s">
        <v>4514</v>
      </c>
      <c r="AO2508" t="s">
        <v>4514</v>
      </c>
      <c r="AP2508" t="s">
        <v>4514</v>
      </c>
      <c r="AQ2508">
        <v>1</v>
      </c>
      <c r="AR2508" t="s">
        <v>4509</v>
      </c>
      <c r="AS2508" t="s">
        <v>4510</v>
      </c>
      <c r="AT2508" t="s">
        <v>58</v>
      </c>
      <c r="AU2508" t="s">
        <v>419</v>
      </c>
      <c r="AV2508" t="s">
        <v>132</v>
      </c>
      <c r="AW2508" s="1">
        <v>28361</v>
      </c>
      <c r="AX2508">
        <v>2</v>
      </c>
    </row>
    <row r="2509" spans="1:50">
      <c r="A2509">
        <v>182328</v>
      </c>
      <c r="B2509" t="str">
        <f>"037494918"</f>
        <v>037494918</v>
      </c>
      <c r="C2509" t="s">
        <v>105</v>
      </c>
      <c r="D2509" t="s">
        <v>5135</v>
      </c>
      <c r="E2509" t="s">
        <v>3049</v>
      </c>
      <c r="F2509" t="s">
        <v>84</v>
      </c>
      <c r="G2509" t="s">
        <v>787</v>
      </c>
      <c r="H2509" t="str">
        <f>" "</f>
        <v xml:space="preserve"> </v>
      </c>
      <c r="K2509">
        <v>6972271826</v>
      </c>
      <c r="M2509" t="s">
        <v>5136</v>
      </c>
      <c r="N2509" t="s">
        <v>176</v>
      </c>
      <c r="O2509" t="s">
        <v>177</v>
      </c>
      <c r="R2509" t="s">
        <v>57</v>
      </c>
      <c r="S2509">
        <v>13</v>
      </c>
      <c r="T2509">
        <v>166</v>
      </c>
      <c r="U2509" s="1">
        <v>35300</v>
      </c>
      <c r="V2509" t="s">
        <v>4509</v>
      </c>
      <c r="W2509" t="s">
        <v>4510</v>
      </c>
      <c r="X2509" t="s">
        <v>58</v>
      </c>
      <c r="Y2509">
        <v>18</v>
      </c>
      <c r="Z2509" t="s">
        <v>59</v>
      </c>
      <c r="AA2509" t="s">
        <v>59</v>
      </c>
      <c r="AB2509" t="s">
        <v>59</v>
      </c>
      <c r="AC2509" t="s">
        <v>59</v>
      </c>
      <c r="AD2509" t="s">
        <v>59</v>
      </c>
      <c r="AF2509" s="1">
        <v>35309</v>
      </c>
      <c r="AG2509" t="s">
        <v>148</v>
      </c>
      <c r="AH2509" t="s">
        <v>149</v>
      </c>
      <c r="AI2509" t="str">
        <f>"3251010"</f>
        <v>3251010</v>
      </c>
      <c r="AJ2509" t="s">
        <v>4646</v>
      </c>
      <c r="AK2509">
        <v>2841023649</v>
      </c>
      <c r="AL2509" t="s">
        <v>4647</v>
      </c>
      <c r="AM2509" t="s">
        <v>4513</v>
      </c>
      <c r="AN2509" t="s">
        <v>4514</v>
      </c>
      <c r="AO2509" t="s">
        <v>4514</v>
      </c>
      <c r="AP2509" t="s">
        <v>4514</v>
      </c>
      <c r="AQ2509">
        <v>1</v>
      </c>
      <c r="AR2509" t="s">
        <v>4509</v>
      </c>
      <c r="AS2509" t="s">
        <v>4510</v>
      </c>
      <c r="AT2509" t="s">
        <v>58</v>
      </c>
      <c r="AU2509" t="s">
        <v>68</v>
      </c>
      <c r="AV2509" t="s">
        <v>69</v>
      </c>
      <c r="AW2509" s="1">
        <v>22767</v>
      </c>
      <c r="AX2509">
        <v>2</v>
      </c>
    </row>
    <row r="2510" spans="1:50">
      <c r="A2510">
        <v>194419</v>
      </c>
      <c r="B2510" t="str">
        <f>"037638457"</f>
        <v>037638457</v>
      </c>
      <c r="C2510" t="s">
        <v>105</v>
      </c>
      <c r="D2510" t="s">
        <v>5137</v>
      </c>
      <c r="E2510" t="s">
        <v>84</v>
      </c>
      <c r="F2510" t="s">
        <v>309</v>
      </c>
      <c r="G2510" t="s">
        <v>589</v>
      </c>
      <c r="H2510" t="str">
        <f>" "</f>
        <v xml:space="preserve"> </v>
      </c>
      <c r="J2510">
        <v>2841028511</v>
      </c>
      <c r="K2510">
        <v>6977740987</v>
      </c>
      <c r="M2510" t="s">
        <v>5138</v>
      </c>
      <c r="N2510" t="s">
        <v>176</v>
      </c>
      <c r="O2510" t="s">
        <v>177</v>
      </c>
      <c r="R2510" t="s">
        <v>57</v>
      </c>
      <c r="S2510">
        <v>11</v>
      </c>
      <c r="T2510">
        <v>193</v>
      </c>
      <c r="U2510" s="1">
        <v>37497</v>
      </c>
      <c r="V2510" t="s">
        <v>4509</v>
      </c>
      <c r="W2510" t="s">
        <v>4510</v>
      </c>
      <c r="X2510" t="s">
        <v>58</v>
      </c>
      <c r="Y2510">
        <v>18</v>
      </c>
      <c r="Z2510" t="s">
        <v>59</v>
      </c>
      <c r="AA2510" t="s">
        <v>59</v>
      </c>
      <c r="AB2510" t="s">
        <v>59</v>
      </c>
      <c r="AC2510" t="s">
        <v>59</v>
      </c>
      <c r="AD2510" t="s">
        <v>59</v>
      </c>
      <c r="AF2510" s="1">
        <v>37500</v>
      </c>
      <c r="AG2510" t="s">
        <v>148</v>
      </c>
      <c r="AH2510" t="s">
        <v>149</v>
      </c>
      <c r="AI2510" t="str">
        <f>"3253010"</f>
        <v>3253010</v>
      </c>
      <c r="AJ2510" t="s">
        <v>4579</v>
      </c>
      <c r="AK2510">
        <v>2841031769</v>
      </c>
      <c r="AL2510" t="s">
        <v>4580</v>
      </c>
      <c r="AM2510" t="s">
        <v>4513</v>
      </c>
      <c r="AN2510" t="s">
        <v>4514</v>
      </c>
      <c r="AO2510" t="s">
        <v>4524</v>
      </c>
      <c r="AP2510" t="s">
        <v>4525</v>
      </c>
      <c r="AQ2510">
        <v>3</v>
      </c>
      <c r="AR2510" t="s">
        <v>4509</v>
      </c>
      <c r="AS2510" t="s">
        <v>4510</v>
      </c>
      <c r="AT2510" t="s">
        <v>58</v>
      </c>
      <c r="AU2510" t="s">
        <v>68</v>
      </c>
      <c r="AV2510" t="s">
        <v>69</v>
      </c>
      <c r="AW2510" s="1">
        <v>22913</v>
      </c>
      <c r="AX2510">
        <v>2</v>
      </c>
    </row>
    <row r="2511" spans="1:50">
      <c r="B2511" t="str">
        <f>"106347777"</f>
        <v>106347777</v>
      </c>
      <c r="C2511" t="s">
        <v>105</v>
      </c>
      <c r="D2511" t="s">
        <v>5139</v>
      </c>
      <c r="E2511" t="s">
        <v>53</v>
      </c>
      <c r="F2511" t="s">
        <v>321</v>
      </c>
      <c r="G2511" t="s">
        <v>83</v>
      </c>
      <c r="H2511" t="str">
        <f>" "</f>
        <v xml:space="preserve"> </v>
      </c>
      <c r="N2511" t="s">
        <v>292</v>
      </c>
      <c r="O2511" t="s">
        <v>293</v>
      </c>
      <c r="R2511" t="s">
        <v>121</v>
      </c>
      <c r="S2511">
        <v>1</v>
      </c>
      <c r="T2511" t="s">
        <v>416</v>
      </c>
      <c r="U2511" s="1">
        <v>43349</v>
      </c>
      <c r="V2511" t="s">
        <v>4509</v>
      </c>
      <c r="W2511" t="s">
        <v>4510</v>
      </c>
      <c r="X2511" t="s">
        <v>58</v>
      </c>
      <c r="Y2511">
        <v>23</v>
      </c>
      <c r="Z2511" t="s">
        <v>59</v>
      </c>
      <c r="AA2511" t="s">
        <v>59</v>
      </c>
      <c r="AB2511" t="s">
        <v>59</v>
      </c>
      <c r="AD2511" t="s">
        <v>59</v>
      </c>
      <c r="AF2511" s="1">
        <v>43349</v>
      </c>
      <c r="AG2511" t="s">
        <v>148</v>
      </c>
      <c r="AH2511" t="s">
        <v>149</v>
      </c>
      <c r="AI2511" t="str">
        <f>"3251001"</f>
        <v>3251001</v>
      </c>
      <c r="AJ2511" t="s">
        <v>4535</v>
      </c>
      <c r="AK2511">
        <v>2841082544</v>
      </c>
      <c r="AL2511" t="s">
        <v>4536</v>
      </c>
      <c r="AM2511" t="s">
        <v>4513</v>
      </c>
      <c r="AN2511" t="s">
        <v>4514</v>
      </c>
      <c r="AO2511" t="s">
        <v>4514</v>
      </c>
      <c r="AP2511" t="s">
        <v>4514</v>
      </c>
      <c r="AQ2511">
        <v>1</v>
      </c>
      <c r="AR2511" t="s">
        <v>4509</v>
      </c>
      <c r="AS2511" t="s">
        <v>4510</v>
      </c>
      <c r="AT2511" t="s">
        <v>58</v>
      </c>
      <c r="AU2511" t="s">
        <v>419</v>
      </c>
      <c r="AV2511" t="s">
        <v>132</v>
      </c>
      <c r="AW2511" s="1">
        <v>29587</v>
      </c>
      <c r="AX2511">
        <v>2</v>
      </c>
    </row>
    <row r="2512" spans="1:50">
      <c r="B2512" t="str">
        <f>"074559338"</f>
        <v>074559338</v>
      </c>
      <c r="C2512" t="s">
        <v>50</v>
      </c>
      <c r="D2512" t="s">
        <v>2776</v>
      </c>
      <c r="E2512" t="s">
        <v>263</v>
      </c>
      <c r="F2512" t="s">
        <v>166</v>
      </c>
      <c r="G2512" t="s">
        <v>83</v>
      </c>
      <c r="H2512" t="str">
        <f>"ΚΑΝΙΑΔΑΚΗ 7 ΧΕΡΣΟΝΗΣΟΣ"</f>
        <v>ΚΑΝΙΑΔΑΚΗ 7 ΧΕΡΣΟΝΗΣΟΣ</v>
      </c>
      <c r="I2512">
        <v>70014</v>
      </c>
      <c r="J2512">
        <v>2897023171</v>
      </c>
      <c r="K2512">
        <v>6973789567</v>
      </c>
      <c r="M2512" t="s">
        <v>5140</v>
      </c>
      <c r="N2512" t="s">
        <v>146</v>
      </c>
      <c r="O2512" t="s">
        <v>147</v>
      </c>
      <c r="R2512" t="s">
        <v>159</v>
      </c>
      <c r="S2512">
        <v>4</v>
      </c>
      <c r="T2512" t="s">
        <v>416</v>
      </c>
      <c r="U2512" s="1">
        <v>43349</v>
      </c>
      <c r="V2512" t="s">
        <v>4509</v>
      </c>
      <c r="W2512" t="s">
        <v>4510</v>
      </c>
      <c r="X2512" t="s">
        <v>58</v>
      </c>
      <c r="Y2512">
        <v>21</v>
      </c>
      <c r="Z2512" t="s">
        <v>59</v>
      </c>
      <c r="AA2512" t="s">
        <v>59</v>
      </c>
      <c r="AB2512" t="s">
        <v>59</v>
      </c>
      <c r="AC2512" t="s">
        <v>59</v>
      </c>
      <c r="AD2512" t="s">
        <v>59</v>
      </c>
      <c r="AF2512" s="1">
        <v>43349</v>
      </c>
      <c r="AG2512" t="s">
        <v>148</v>
      </c>
      <c r="AH2512" t="s">
        <v>149</v>
      </c>
      <c r="AI2512" t="str">
        <f>"3253010"</f>
        <v>3253010</v>
      </c>
      <c r="AJ2512" t="s">
        <v>4579</v>
      </c>
      <c r="AK2512">
        <v>2841031769</v>
      </c>
      <c r="AL2512" t="s">
        <v>4580</v>
      </c>
      <c r="AM2512" t="s">
        <v>4513</v>
      </c>
      <c r="AN2512" t="s">
        <v>4514</v>
      </c>
      <c r="AO2512" t="s">
        <v>4524</v>
      </c>
      <c r="AP2512" t="s">
        <v>4525</v>
      </c>
      <c r="AQ2512">
        <v>3</v>
      </c>
      <c r="AR2512" t="s">
        <v>4509</v>
      </c>
      <c r="AS2512" t="s">
        <v>4510</v>
      </c>
      <c r="AT2512" t="s">
        <v>58</v>
      </c>
      <c r="AU2512" t="s">
        <v>419</v>
      </c>
      <c r="AV2512" t="s">
        <v>132</v>
      </c>
      <c r="AW2512" s="1">
        <v>28823</v>
      </c>
      <c r="AX2512">
        <v>2</v>
      </c>
    </row>
    <row r="2513" spans="1:50">
      <c r="B2513" t="str">
        <f>"120622041"</f>
        <v>120622041</v>
      </c>
      <c r="C2513" t="s">
        <v>50</v>
      </c>
      <c r="D2513" t="s">
        <v>5141</v>
      </c>
      <c r="E2513" t="s">
        <v>5142</v>
      </c>
      <c r="F2513" t="s">
        <v>99</v>
      </c>
      <c r="G2513" t="s">
        <v>250</v>
      </c>
      <c r="H2513" t="str">
        <f>"ΠΕΤΑ ΑΡΤΑΣ ΠΕΤΑ ΑΡΤΑΣ"</f>
        <v>ΠΕΤΑ ΑΡΤΑΣ ΠΕΤΑ ΑΡΤΑΣ</v>
      </c>
      <c r="I2513">
        <v>47200</v>
      </c>
      <c r="J2513">
        <v>2681083335</v>
      </c>
      <c r="K2513">
        <v>6936352943</v>
      </c>
      <c r="M2513" t="s">
        <v>5143</v>
      </c>
      <c r="N2513" t="s">
        <v>146</v>
      </c>
      <c r="O2513" t="s">
        <v>147</v>
      </c>
      <c r="R2513" t="s">
        <v>159</v>
      </c>
      <c r="S2513">
        <v>2</v>
      </c>
      <c r="T2513" t="s">
        <v>160</v>
      </c>
      <c r="U2513" s="1">
        <v>43364</v>
      </c>
      <c r="V2513" t="s">
        <v>4509</v>
      </c>
      <c r="W2513" t="s">
        <v>4510</v>
      </c>
      <c r="X2513" t="s">
        <v>58</v>
      </c>
      <c r="Y2513">
        <v>23</v>
      </c>
      <c r="Z2513" t="s">
        <v>59</v>
      </c>
      <c r="AA2513" t="s">
        <v>59</v>
      </c>
      <c r="AB2513" t="s">
        <v>59</v>
      </c>
      <c r="AC2513" t="s">
        <v>59</v>
      </c>
      <c r="AD2513" t="s">
        <v>59</v>
      </c>
      <c r="AF2513" s="1">
        <v>43367</v>
      </c>
      <c r="AG2513" t="s">
        <v>148</v>
      </c>
      <c r="AH2513" t="s">
        <v>1053</v>
      </c>
      <c r="AI2513" t="str">
        <f>"3245001"</f>
        <v>3245001</v>
      </c>
      <c r="AJ2513" t="s">
        <v>4703</v>
      </c>
      <c r="AK2513">
        <v>2843026660</v>
      </c>
      <c r="AL2513" t="s">
        <v>4704</v>
      </c>
      <c r="AM2513" t="s">
        <v>4513</v>
      </c>
      <c r="AN2513" t="s">
        <v>4540</v>
      </c>
      <c r="AO2513" t="s">
        <v>4540</v>
      </c>
      <c r="AP2513" t="s">
        <v>4540</v>
      </c>
      <c r="AQ2513">
        <v>6</v>
      </c>
      <c r="AR2513" t="s">
        <v>4509</v>
      </c>
      <c r="AS2513" t="s">
        <v>4510</v>
      </c>
      <c r="AT2513" t="s">
        <v>58</v>
      </c>
      <c r="AU2513" t="s">
        <v>164</v>
      </c>
      <c r="AV2513" t="s">
        <v>132</v>
      </c>
      <c r="AW2513" s="1">
        <v>27632</v>
      </c>
      <c r="AX2513">
        <v>2</v>
      </c>
    </row>
    <row r="2514" spans="1:50">
      <c r="A2514">
        <v>208830</v>
      </c>
      <c r="B2514" t="str">
        <f>"110284469"</f>
        <v>110284469</v>
      </c>
      <c r="C2514" t="s">
        <v>50</v>
      </c>
      <c r="D2514" t="s">
        <v>5144</v>
      </c>
      <c r="E2514" t="s">
        <v>3480</v>
      </c>
      <c r="F2514" t="s">
        <v>108</v>
      </c>
      <c r="G2514" t="s">
        <v>5145</v>
      </c>
      <c r="H2514" t="str">
        <f>" "</f>
        <v xml:space="preserve"> </v>
      </c>
      <c r="J2514">
        <v>2842031195</v>
      </c>
      <c r="K2514">
        <v>6976519820</v>
      </c>
      <c r="N2514" t="s">
        <v>1351</v>
      </c>
      <c r="O2514" t="s">
        <v>1352</v>
      </c>
      <c r="R2514" t="s">
        <v>57</v>
      </c>
      <c r="S2514">
        <v>8</v>
      </c>
      <c r="T2514">
        <v>218</v>
      </c>
      <c r="U2514" s="1">
        <v>38596</v>
      </c>
      <c r="V2514" t="s">
        <v>4509</v>
      </c>
      <c r="W2514" t="s">
        <v>4510</v>
      </c>
      <c r="X2514" t="s">
        <v>58</v>
      </c>
      <c r="Y2514">
        <v>20</v>
      </c>
      <c r="Z2514" t="s">
        <v>59</v>
      </c>
      <c r="AA2514" t="s">
        <v>59</v>
      </c>
      <c r="AB2514" t="s">
        <v>59</v>
      </c>
      <c r="AC2514" t="s">
        <v>59</v>
      </c>
      <c r="AD2514" t="s">
        <v>59</v>
      </c>
      <c r="AF2514" s="1">
        <v>38596</v>
      </c>
      <c r="AG2514" t="s">
        <v>137</v>
      </c>
      <c r="AH2514" t="s">
        <v>138</v>
      </c>
      <c r="AI2514" t="str">
        <f>"3240120"</f>
        <v>3240120</v>
      </c>
      <c r="AJ2514" t="s">
        <v>4552</v>
      </c>
      <c r="AK2514">
        <v>2842028667</v>
      </c>
      <c r="AL2514" t="s">
        <v>4553</v>
      </c>
      <c r="AM2514" t="s">
        <v>4513</v>
      </c>
      <c r="AN2514" t="s">
        <v>4519</v>
      </c>
      <c r="AO2514" t="s">
        <v>4519</v>
      </c>
      <c r="AP2514" t="s">
        <v>4519</v>
      </c>
      <c r="AQ2514">
        <v>4</v>
      </c>
      <c r="AR2514" t="s">
        <v>4509</v>
      </c>
      <c r="AS2514" t="s">
        <v>4510</v>
      </c>
      <c r="AT2514" t="s">
        <v>58</v>
      </c>
      <c r="AU2514" t="s">
        <v>68</v>
      </c>
      <c r="AV2514" t="s">
        <v>69</v>
      </c>
      <c r="AW2514" s="1">
        <v>24108</v>
      </c>
      <c r="AX2514">
        <v>2</v>
      </c>
    </row>
    <row r="2515" spans="1:50">
      <c r="A2515">
        <v>212230</v>
      </c>
      <c r="B2515" t="str">
        <f>"047259601"</f>
        <v>047259601</v>
      </c>
      <c r="C2515" t="s">
        <v>50</v>
      </c>
      <c r="D2515" t="s">
        <v>5146</v>
      </c>
      <c r="E2515" t="s">
        <v>52</v>
      </c>
      <c r="F2515" t="s">
        <v>72</v>
      </c>
      <c r="G2515" t="s">
        <v>5147</v>
      </c>
      <c r="H2515" t="str">
        <f>"Αντόνιο Αλμέιδα 1 Τρίκαλα"</f>
        <v>Αντόνιο Αλμέιδα 1 Τρίκαλα</v>
      </c>
      <c r="I2515">
        <v>42131</v>
      </c>
      <c r="J2515">
        <v>2431028656</v>
      </c>
      <c r="K2515">
        <v>6979175308</v>
      </c>
      <c r="M2515" t="s">
        <v>5148</v>
      </c>
      <c r="N2515" t="s">
        <v>146</v>
      </c>
      <c r="O2515" t="s">
        <v>147</v>
      </c>
      <c r="R2515" t="s">
        <v>57</v>
      </c>
      <c r="S2515">
        <v>7</v>
      </c>
      <c r="T2515">
        <v>231</v>
      </c>
      <c r="U2515" s="1">
        <v>38960</v>
      </c>
      <c r="V2515" t="s">
        <v>4509</v>
      </c>
      <c r="W2515" t="s">
        <v>4510</v>
      </c>
      <c r="X2515" t="s">
        <v>58</v>
      </c>
      <c r="Y2515">
        <v>21</v>
      </c>
      <c r="Z2515" t="s">
        <v>59</v>
      </c>
      <c r="AA2515" t="s">
        <v>59</v>
      </c>
      <c r="AB2515" t="s">
        <v>59</v>
      </c>
      <c r="AC2515" t="s">
        <v>59</v>
      </c>
      <c r="AD2515" t="s">
        <v>59</v>
      </c>
      <c r="AF2515" s="1">
        <v>38964</v>
      </c>
      <c r="AG2515" t="s">
        <v>125</v>
      </c>
      <c r="AH2515" t="s">
        <v>126</v>
      </c>
      <c r="AI2515" t="str">
        <f>"3208010"</f>
        <v>3208010</v>
      </c>
      <c r="AJ2515" t="s">
        <v>4820</v>
      </c>
      <c r="AK2515">
        <v>2843094338</v>
      </c>
      <c r="AL2515" t="s">
        <v>4821</v>
      </c>
      <c r="AM2515" t="s">
        <v>4513</v>
      </c>
      <c r="AN2515" t="s">
        <v>4540</v>
      </c>
      <c r="AO2515" t="s">
        <v>4540</v>
      </c>
      <c r="AP2515" t="s">
        <v>4822</v>
      </c>
      <c r="AQ2515">
        <v>6</v>
      </c>
      <c r="AR2515" t="s">
        <v>4509</v>
      </c>
      <c r="AS2515" t="s">
        <v>4510</v>
      </c>
      <c r="AT2515" t="s">
        <v>58</v>
      </c>
      <c r="AU2515" t="s">
        <v>68</v>
      </c>
      <c r="AV2515" t="s">
        <v>69</v>
      </c>
      <c r="AW2515" s="1">
        <v>26398</v>
      </c>
      <c r="AX2515">
        <v>2</v>
      </c>
    </row>
    <row r="2516" spans="1:50">
      <c r="A2516">
        <v>203369</v>
      </c>
      <c r="B2516" t="str">
        <f>"061292743"</f>
        <v>061292743</v>
      </c>
      <c r="C2516" t="s">
        <v>105</v>
      </c>
      <c r="D2516" t="s">
        <v>5149</v>
      </c>
      <c r="E2516" t="s">
        <v>95</v>
      </c>
      <c r="F2516" t="s">
        <v>782</v>
      </c>
      <c r="G2516" t="s">
        <v>4629</v>
      </c>
      <c r="H2516" t="str">
        <f>" "</f>
        <v xml:space="preserve"> </v>
      </c>
      <c r="J2516">
        <v>2310421102</v>
      </c>
      <c r="K2516">
        <v>6973224180</v>
      </c>
      <c r="M2516" t="s">
        <v>5150</v>
      </c>
      <c r="N2516" t="s">
        <v>306</v>
      </c>
      <c r="O2516" t="s">
        <v>307</v>
      </c>
      <c r="R2516" t="s">
        <v>57</v>
      </c>
      <c r="S2516">
        <v>10</v>
      </c>
      <c r="T2516">
        <v>231</v>
      </c>
      <c r="U2516" s="1">
        <v>38230</v>
      </c>
      <c r="V2516" t="s">
        <v>4509</v>
      </c>
      <c r="W2516" t="s">
        <v>4510</v>
      </c>
      <c r="X2516" t="s">
        <v>58</v>
      </c>
      <c r="Y2516">
        <v>20</v>
      </c>
      <c r="Z2516" t="s">
        <v>59</v>
      </c>
      <c r="AA2516" t="s">
        <v>59</v>
      </c>
      <c r="AB2516" t="s">
        <v>59</v>
      </c>
      <c r="AC2516" t="s">
        <v>59</v>
      </c>
      <c r="AD2516" t="s">
        <v>59</v>
      </c>
      <c r="AF2516" s="1">
        <v>38231</v>
      </c>
      <c r="AG2516" t="s">
        <v>148</v>
      </c>
      <c r="AH2516" t="s">
        <v>149</v>
      </c>
      <c r="AI2516" t="str">
        <f>"3253010"</f>
        <v>3253010</v>
      </c>
      <c r="AJ2516" t="s">
        <v>4579</v>
      </c>
      <c r="AK2516">
        <v>2841031769</v>
      </c>
      <c r="AL2516" t="s">
        <v>4580</v>
      </c>
      <c r="AM2516" t="s">
        <v>4513</v>
      </c>
      <c r="AN2516" t="s">
        <v>4514</v>
      </c>
      <c r="AO2516" t="s">
        <v>4524</v>
      </c>
      <c r="AP2516" t="s">
        <v>4525</v>
      </c>
      <c r="AQ2516">
        <v>3</v>
      </c>
      <c r="AR2516" t="s">
        <v>4509</v>
      </c>
      <c r="AS2516" t="s">
        <v>4510</v>
      </c>
      <c r="AT2516" t="s">
        <v>58</v>
      </c>
      <c r="AU2516" t="s">
        <v>68</v>
      </c>
      <c r="AV2516" t="s">
        <v>69</v>
      </c>
      <c r="AW2516" s="1">
        <v>25711</v>
      </c>
      <c r="AX2516">
        <v>2</v>
      </c>
    </row>
    <row r="2517" spans="1:50">
      <c r="A2517">
        <v>220013</v>
      </c>
      <c r="B2517" t="str">
        <f>"109751036"</f>
        <v>109751036</v>
      </c>
      <c r="C2517" t="s">
        <v>105</v>
      </c>
      <c r="D2517" t="s">
        <v>5151</v>
      </c>
      <c r="E2517" t="s">
        <v>72</v>
      </c>
      <c r="F2517" t="s">
        <v>670</v>
      </c>
      <c r="G2517" t="s">
        <v>1279</v>
      </c>
      <c r="H2517" t="str">
        <f>" "</f>
        <v xml:space="preserve"> </v>
      </c>
      <c r="J2517">
        <v>2310424986</v>
      </c>
      <c r="K2517">
        <v>6973223141</v>
      </c>
      <c r="M2517" t="s">
        <v>5152</v>
      </c>
      <c r="N2517" t="s">
        <v>168</v>
      </c>
      <c r="O2517" t="s">
        <v>169</v>
      </c>
      <c r="R2517" t="s">
        <v>57</v>
      </c>
      <c r="S2517">
        <v>8</v>
      </c>
      <c r="T2517">
        <v>599</v>
      </c>
      <c r="U2517" s="1">
        <v>39310</v>
      </c>
      <c r="V2517" t="s">
        <v>4509</v>
      </c>
      <c r="W2517" t="s">
        <v>4510</v>
      </c>
      <c r="X2517" t="s">
        <v>58</v>
      </c>
      <c r="Y2517">
        <v>20</v>
      </c>
      <c r="Z2517" t="s">
        <v>59</v>
      </c>
      <c r="AA2517" t="s">
        <v>59</v>
      </c>
      <c r="AB2517" t="s">
        <v>59</v>
      </c>
      <c r="AC2517" t="s">
        <v>59</v>
      </c>
      <c r="AD2517" t="s">
        <v>59</v>
      </c>
      <c r="AF2517" s="1">
        <v>39310</v>
      </c>
      <c r="AG2517" t="s">
        <v>137</v>
      </c>
      <c r="AH2517" t="s">
        <v>138</v>
      </c>
      <c r="AI2517" t="str">
        <f>"3240120"</f>
        <v>3240120</v>
      </c>
      <c r="AJ2517" t="s">
        <v>4552</v>
      </c>
      <c r="AK2517">
        <v>2842028667</v>
      </c>
      <c r="AL2517" t="s">
        <v>4553</v>
      </c>
      <c r="AM2517" t="s">
        <v>4513</v>
      </c>
      <c r="AN2517" t="s">
        <v>4519</v>
      </c>
      <c r="AO2517" t="s">
        <v>4519</v>
      </c>
      <c r="AP2517" t="s">
        <v>4519</v>
      </c>
      <c r="AQ2517">
        <v>4</v>
      </c>
      <c r="AR2517" t="s">
        <v>4509</v>
      </c>
      <c r="AS2517" t="s">
        <v>4510</v>
      </c>
      <c r="AT2517" t="s">
        <v>58</v>
      </c>
      <c r="AU2517" t="s">
        <v>68</v>
      </c>
      <c r="AV2517" t="s">
        <v>69</v>
      </c>
      <c r="AW2517" s="1">
        <v>27148</v>
      </c>
      <c r="AX2517">
        <v>2</v>
      </c>
    </row>
    <row r="2518" spans="1:50">
      <c r="B2518" t="str">
        <f>"070955910"</f>
        <v>070955910</v>
      </c>
      <c r="C2518" t="s">
        <v>50</v>
      </c>
      <c r="D2518" t="s">
        <v>5153</v>
      </c>
      <c r="E2518" t="s">
        <v>255</v>
      </c>
      <c r="F2518" t="s">
        <v>166</v>
      </c>
      <c r="G2518" t="s">
        <v>52</v>
      </c>
      <c r="H2518" t="str">
        <f>"ΞΕΝΟΦΩΝΤΟΣ 1 ΗΡΑΚΛΕΙΟ"</f>
        <v>ΞΕΝΟΦΩΝΤΟΣ 1 ΗΡΑΚΛΕΙΟ</v>
      </c>
      <c r="I2518">
        <v>71307</v>
      </c>
      <c r="J2518">
        <v>2810220404</v>
      </c>
      <c r="K2518">
        <v>6978777420</v>
      </c>
      <c r="M2518" t="s">
        <v>5154</v>
      </c>
      <c r="N2518" t="s">
        <v>292</v>
      </c>
      <c r="O2518" t="s">
        <v>293</v>
      </c>
      <c r="R2518" t="s">
        <v>159</v>
      </c>
      <c r="S2518">
        <v>2</v>
      </c>
      <c r="T2518" t="s">
        <v>416</v>
      </c>
      <c r="U2518" s="1">
        <v>43349</v>
      </c>
      <c r="V2518" t="s">
        <v>4509</v>
      </c>
      <c r="W2518" t="s">
        <v>4510</v>
      </c>
      <c r="X2518" t="s">
        <v>58</v>
      </c>
      <c r="Y2518">
        <v>23</v>
      </c>
      <c r="Z2518" t="s">
        <v>59</v>
      </c>
      <c r="AA2518" t="s">
        <v>59</v>
      </c>
      <c r="AB2518" t="s">
        <v>59</v>
      </c>
      <c r="AC2518" t="s">
        <v>59</v>
      </c>
      <c r="AD2518" t="s">
        <v>59</v>
      </c>
      <c r="AF2518" s="1">
        <v>43349</v>
      </c>
      <c r="AG2518" t="s">
        <v>148</v>
      </c>
      <c r="AH2518" t="s">
        <v>149</v>
      </c>
      <c r="AI2518" t="str">
        <f>"3253010"</f>
        <v>3253010</v>
      </c>
      <c r="AJ2518" t="s">
        <v>4579</v>
      </c>
      <c r="AK2518">
        <v>2841031769</v>
      </c>
      <c r="AL2518" t="s">
        <v>4580</v>
      </c>
      <c r="AM2518" t="s">
        <v>4513</v>
      </c>
      <c r="AN2518" t="s">
        <v>4514</v>
      </c>
      <c r="AO2518" t="s">
        <v>4524</v>
      </c>
      <c r="AP2518" t="s">
        <v>4525</v>
      </c>
      <c r="AQ2518">
        <v>3</v>
      </c>
      <c r="AR2518" t="s">
        <v>4509</v>
      </c>
      <c r="AS2518" t="s">
        <v>4510</v>
      </c>
      <c r="AT2518" t="s">
        <v>58</v>
      </c>
      <c r="AU2518" t="s">
        <v>419</v>
      </c>
      <c r="AV2518" t="s">
        <v>132</v>
      </c>
      <c r="AW2518" s="1">
        <v>28320</v>
      </c>
      <c r="AX2518">
        <v>2</v>
      </c>
    </row>
    <row r="2519" spans="1:50">
      <c r="B2519" t="str">
        <f>"110727513"</f>
        <v>110727513</v>
      </c>
      <c r="C2519" t="s">
        <v>50</v>
      </c>
      <c r="D2519" t="s">
        <v>2804</v>
      </c>
      <c r="E2519" t="s">
        <v>250</v>
      </c>
      <c r="F2519" t="s">
        <v>84</v>
      </c>
      <c r="G2519" t="s">
        <v>5155</v>
      </c>
      <c r="H2519" t="str">
        <f>"ΜΙΧΑΗΛ ΣΚΛΑΒΟΥ 26 "</f>
        <v xml:space="preserve">ΜΙΧΑΗΛ ΣΚΛΑΒΟΥ 26 </v>
      </c>
      <c r="I2519">
        <v>71304</v>
      </c>
      <c r="J2519">
        <v>2810310195</v>
      </c>
      <c r="K2519">
        <v>6942402711</v>
      </c>
      <c r="M2519" t="s">
        <v>5156</v>
      </c>
      <c r="N2519" t="s">
        <v>1514</v>
      </c>
      <c r="O2519" t="s">
        <v>1515</v>
      </c>
      <c r="R2519" t="s">
        <v>159</v>
      </c>
      <c r="S2519">
        <v>4</v>
      </c>
      <c r="T2519" t="s">
        <v>344</v>
      </c>
      <c r="U2519" s="1">
        <v>43348</v>
      </c>
      <c r="V2519" t="s">
        <v>4509</v>
      </c>
      <c r="W2519" t="s">
        <v>4510</v>
      </c>
      <c r="X2519" t="s">
        <v>58</v>
      </c>
      <c r="Y2519">
        <v>23</v>
      </c>
      <c r="Z2519" t="s">
        <v>59</v>
      </c>
      <c r="AA2519" t="s">
        <v>59</v>
      </c>
      <c r="AB2519" t="s">
        <v>59</v>
      </c>
      <c r="AC2519" t="s">
        <v>59</v>
      </c>
      <c r="AD2519" t="s">
        <v>59</v>
      </c>
      <c r="AF2519" s="1">
        <v>43348</v>
      </c>
      <c r="AG2519" t="s">
        <v>345</v>
      </c>
      <c r="AH2519" t="s">
        <v>346</v>
      </c>
      <c r="AI2519" t="str">
        <f>"3241002"</f>
        <v>3241002</v>
      </c>
      <c r="AJ2519" t="s">
        <v>4626</v>
      </c>
      <c r="AK2519">
        <v>2841083053</v>
      </c>
      <c r="AL2519" t="s">
        <v>4627</v>
      </c>
      <c r="AM2519" t="s">
        <v>4513</v>
      </c>
      <c r="AN2519" t="s">
        <v>4514</v>
      </c>
      <c r="AO2519" t="s">
        <v>4514</v>
      </c>
      <c r="AP2519" t="s">
        <v>4514</v>
      </c>
      <c r="AQ2519">
        <v>1</v>
      </c>
      <c r="AR2519" t="s">
        <v>4509</v>
      </c>
      <c r="AS2519" t="s">
        <v>4510</v>
      </c>
      <c r="AT2519" t="s">
        <v>58</v>
      </c>
      <c r="AU2519" t="s">
        <v>350</v>
      </c>
      <c r="AV2519" t="s">
        <v>132</v>
      </c>
      <c r="AW2519" s="1">
        <v>31362</v>
      </c>
      <c r="AX2519">
        <v>2</v>
      </c>
    </row>
    <row r="2520" spans="1:50">
      <c r="A2520">
        <v>224180</v>
      </c>
      <c r="B2520" t="str">
        <f>"108622462"</f>
        <v>108622462</v>
      </c>
      <c r="C2520" t="s">
        <v>50</v>
      </c>
      <c r="D2520" t="s">
        <v>5157</v>
      </c>
      <c r="E2520" t="s">
        <v>155</v>
      </c>
      <c r="F2520" t="s">
        <v>510</v>
      </c>
      <c r="G2520" t="s">
        <v>1792</v>
      </c>
      <c r="H2520" t="str">
        <f>"ΚΑΜΠΙΤΗ 4 ΝΑΟΥΣΑ"</f>
        <v>ΚΑΜΠΙΤΗ 4 ΝΑΟΥΣΑ</v>
      </c>
      <c r="I2520">
        <v>59200</v>
      </c>
      <c r="J2520">
        <v>2332027746</v>
      </c>
      <c r="M2520" t="s">
        <v>5158</v>
      </c>
      <c r="N2520" t="s">
        <v>306</v>
      </c>
      <c r="O2520" t="s">
        <v>307</v>
      </c>
      <c r="R2520" t="s">
        <v>57</v>
      </c>
      <c r="S2520">
        <v>6</v>
      </c>
      <c r="T2520">
        <v>775</v>
      </c>
      <c r="U2520" s="1">
        <v>39680</v>
      </c>
      <c r="V2520" t="s">
        <v>4509</v>
      </c>
      <c r="W2520" t="s">
        <v>4510</v>
      </c>
      <c r="X2520" t="s">
        <v>58</v>
      </c>
      <c r="Y2520">
        <v>21</v>
      </c>
      <c r="Z2520" t="s">
        <v>59</v>
      </c>
      <c r="AA2520" t="s">
        <v>59</v>
      </c>
      <c r="AB2520" t="s">
        <v>59</v>
      </c>
      <c r="AC2520" t="s">
        <v>59</v>
      </c>
      <c r="AD2520" t="s">
        <v>59</v>
      </c>
      <c r="AF2520" s="1">
        <v>39692</v>
      </c>
      <c r="AG2520" t="s">
        <v>125</v>
      </c>
      <c r="AH2520" t="s">
        <v>126</v>
      </c>
      <c r="AI2520" t="str">
        <f>"3209010"</f>
        <v>3209010</v>
      </c>
      <c r="AJ2520" t="s">
        <v>4698</v>
      </c>
      <c r="AK2520">
        <v>2843061207</v>
      </c>
      <c r="AL2520" t="s">
        <v>4699</v>
      </c>
      <c r="AM2520" t="s">
        <v>4513</v>
      </c>
      <c r="AN2520" t="s">
        <v>4540</v>
      </c>
      <c r="AO2520" t="s">
        <v>4700</v>
      </c>
      <c r="AP2520" t="s">
        <v>4701</v>
      </c>
      <c r="AQ2520">
        <v>6</v>
      </c>
      <c r="AR2520" t="s">
        <v>4509</v>
      </c>
      <c r="AS2520" t="s">
        <v>4510</v>
      </c>
      <c r="AT2520" t="s">
        <v>58</v>
      </c>
      <c r="AU2520" t="s">
        <v>68</v>
      </c>
      <c r="AV2520" t="s">
        <v>132</v>
      </c>
      <c r="AW2520" s="1">
        <v>30877</v>
      </c>
      <c r="AX2520">
        <v>2</v>
      </c>
    </row>
    <row r="2521" spans="1:50">
      <c r="A2521">
        <v>219102</v>
      </c>
      <c r="B2521" t="str">
        <f>"045579742"</f>
        <v>045579742</v>
      </c>
      <c r="C2521" t="s">
        <v>50</v>
      </c>
      <c r="D2521" t="s">
        <v>5159</v>
      </c>
      <c r="E2521" t="s">
        <v>181</v>
      </c>
      <c r="F2521" t="s">
        <v>53</v>
      </c>
      <c r="G2521" t="s">
        <v>2315</v>
      </c>
      <c r="H2521" t="str">
        <f>" "</f>
        <v xml:space="preserve"> </v>
      </c>
      <c r="J2521">
        <v>2841026780</v>
      </c>
      <c r="K2521">
        <v>6944877427</v>
      </c>
      <c r="N2521" t="s">
        <v>478</v>
      </c>
      <c r="O2521" t="s">
        <v>479</v>
      </c>
      <c r="R2521" t="s">
        <v>57</v>
      </c>
      <c r="S2521">
        <v>7</v>
      </c>
      <c r="T2521">
        <v>599</v>
      </c>
      <c r="U2521" s="1">
        <v>39310</v>
      </c>
      <c r="V2521" t="s">
        <v>4509</v>
      </c>
      <c r="W2521" t="s">
        <v>4510</v>
      </c>
      <c r="X2521" t="s">
        <v>58</v>
      </c>
      <c r="Y2521">
        <v>20</v>
      </c>
      <c r="Z2521" t="s">
        <v>59</v>
      </c>
      <c r="AA2521" t="s">
        <v>59</v>
      </c>
      <c r="AB2521" t="s">
        <v>59</v>
      </c>
      <c r="AC2521" t="s">
        <v>59</v>
      </c>
      <c r="AD2521" t="s">
        <v>59</v>
      </c>
      <c r="AF2521" s="1">
        <v>39328</v>
      </c>
      <c r="AG2521" t="s">
        <v>125</v>
      </c>
      <c r="AH2521" t="s">
        <v>126</v>
      </c>
      <c r="AI2521" t="str">
        <f>"3201010"</f>
        <v>3201010</v>
      </c>
      <c r="AJ2521" t="s">
        <v>4596</v>
      </c>
      <c r="AK2521">
        <v>2841022301</v>
      </c>
      <c r="AL2521" t="s">
        <v>4597</v>
      </c>
      <c r="AM2521" t="s">
        <v>4513</v>
      </c>
      <c r="AN2521" t="s">
        <v>4514</v>
      </c>
      <c r="AO2521" t="s">
        <v>4514</v>
      </c>
      <c r="AP2521" t="s">
        <v>4514</v>
      </c>
      <c r="AQ2521">
        <v>1</v>
      </c>
      <c r="AR2521" t="s">
        <v>4509</v>
      </c>
      <c r="AS2521" t="s">
        <v>4510</v>
      </c>
      <c r="AT2521" t="s">
        <v>58</v>
      </c>
      <c r="AU2521" t="s">
        <v>68</v>
      </c>
      <c r="AV2521" t="s">
        <v>132</v>
      </c>
      <c r="AW2521" s="1">
        <v>23831</v>
      </c>
      <c r="AX2521">
        <v>2</v>
      </c>
    </row>
    <row r="2522" spans="1:50">
      <c r="A2522">
        <v>135660</v>
      </c>
      <c r="B2522" t="str">
        <f>"110257154"</f>
        <v>110257154</v>
      </c>
      <c r="C2522" t="s">
        <v>50</v>
      </c>
      <c r="D2522" t="s">
        <v>5160</v>
      </c>
      <c r="E2522" t="s">
        <v>610</v>
      </c>
      <c r="F2522" t="s">
        <v>84</v>
      </c>
      <c r="G2522" t="s">
        <v>494</v>
      </c>
      <c r="H2522" t="str">
        <f>" "</f>
        <v xml:space="preserve"> </v>
      </c>
      <c r="N2522" t="s">
        <v>306</v>
      </c>
      <c r="O2522" t="s">
        <v>307</v>
      </c>
      <c r="R2522" t="s">
        <v>57</v>
      </c>
      <c r="S2522">
        <v>18</v>
      </c>
      <c r="T2522">
        <v>383</v>
      </c>
      <c r="U2522" s="1">
        <v>29938</v>
      </c>
      <c r="V2522" t="s">
        <v>4509</v>
      </c>
      <c r="W2522" t="s">
        <v>4510</v>
      </c>
      <c r="X2522" t="s">
        <v>58</v>
      </c>
      <c r="Y2522">
        <v>18</v>
      </c>
      <c r="Z2522" t="s">
        <v>59</v>
      </c>
      <c r="AA2522" t="s">
        <v>59</v>
      </c>
      <c r="AB2522" t="s">
        <v>59</v>
      </c>
      <c r="AC2522" t="s">
        <v>59</v>
      </c>
      <c r="AD2522" t="s">
        <v>59</v>
      </c>
      <c r="AF2522" s="1">
        <v>29958</v>
      </c>
      <c r="AG2522" t="s">
        <v>125</v>
      </c>
      <c r="AH2522" t="s">
        <v>126</v>
      </c>
      <c r="AI2522" t="str">
        <f>"3202030"</f>
        <v>3202030</v>
      </c>
      <c r="AJ2522" t="s">
        <v>4558</v>
      </c>
      <c r="AK2522">
        <v>2842028751</v>
      </c>
      <c r="AL2522" t="s">
        <v>4559</v>
      </c>
      <c r="AM2522" t="s">
        <v>4513</v>
      </c>
      <c r="AN2522" t="s">
        <v>4519</v>
      </c>
      <c r="AO2522" t="s">
        <v>4519</v>
      </c>
      <c r="AP2522" t="s">
        <v>4519</v>
      </c>
      <c r="AQ2522">
        <v>4</v>
      </c>
      <c r="AR2522" t="s">
        <v>4509</v>
      </c>
      <c r="AS2522" t="s">
        <v>4510</v>
      </c>
      <c r="AT2522" t="s">
        <v>58</v>
      </c>
      <c r="AU2522" t="s">
        <v>68</v>
      </c>
      <c r="AV2522" t="s">
        <v>69</v>
      </c>
      <c r="AW2522" s="1">
        <v>19984</v>
      </c>
      <c r="AX2522">
        <v>2</v>
      </c>
    </row>
    <row r="2523" spans="1:50">
      <c r="A2523">
        <v>207625</v>
      </c>
      <c r="B2523" t="str">
        <f>"074921055"</f>
        <v>074921055</v>
      </c>
      <c r="C2523" t="s">
        <v>105</v>
      </c>
      <c r="D2523" t="s">
        <v>5161</v>
      </c>
      <c r="E2523" t="s">
        <v>53</v>
      </c>
      <c r="F2523" t="s">
        <v>99</v>
      </c>
      <c r="G2523" t="s">
        <v>809</v>
      </c>
      <c r="H2523" t="str">
        <f>" "</f>
        <v xml:space="preserve"> </v>
      </c>
      <c r="J2523">
        <v>2841082530</v>
      </c>
      <c r="K2523">
        <v>6979501418</v>
      </c>
      <c r="M2523" t="s">
        <v>5162</v>
      </c>
      <c r="N2523" t="s">
        <v>306</v>
      </c>
      <c r="O2523" t="s">
        <v>307</v>
      </c>
      <c r="R2523" t="s">
        <v>57</v>
      </c>
      <c r="S2523">
        <v>9</v>
      </c>
      <c r="T2523">
        <v>218</v>
      </c>
      <c r="U2523" s="1">
        <v>38596</v>
      </c>
      <c r="V2523" t="s">
        <v>4509</v>
      </c>
      <c r="W2523" t="s">
        <v>4510</v>
      </c>
      <c r="X2523" t="s">
        <v>58</v>
      </c>
      <c r="Y2523">
        <v>20</v>
      </c>
      <c r="Z2523" t="s">
        <v>59</v>
      </c>
      <c r="AA2523" t="s">
        <v>59</v>
      </c>
      <c r="AB2523" t="s">
        <v>59</v>
      </c>
      <c r="AC2523" t="s">
        <v>59</v>
      </c>
      <c r="AD2523" t="s">
        <v>59</v>
      </c>
      <c r="AF2523" s="1">
        <v>38600</v>
      </c>
      <c r="AG2523" t="s">
        <v>137</v>
      </c>
      <c r="AH2523" t="s">
        <v>138</v>
      </c>
      <c r="AI2523" t="str">
        <f>"3240077"</f>
        <v>3240077</v>
      </c>
      <c r="AJ2523" t="s">
        <v>4528</v>
      </c>
      <c r="AK2523">
        <v>2841025978</v>
      </c>
      <c r="AL2523" t="s">
        <v>4529</v>
      </c>
      <c r="AM2523" t="s">
        <v>4513</v>
      </c>
      <c r="AN2523" t="s">
        <v>4514</v>
      </c>
      <c r="AO2523" t="s">
        <v>4514</v>
      </c>
      <c r="AP2523" t="s">
        <v>4514</v>
      </c>
      <c r="AQ2523">
        <v>1</v>
      </c>
      <c r="AR2523" t="s">
        <v>4509</v>
      </c>
      <c r="AS2523" t="s">
        <v>4510</v>
      </c>
      <c r="AT2523" t="s">
        <v>58</v>
      </c>
      <c r="AU2523" t="s">
        <v>68</v>
      </c>
      <c r="AV2523" t="s">
        <v>69</v>
      </c>
      <c r="AW2523" s="1">
        <v>25245</v>
      </c>
      <c r="AX2523">
        <v>2</v>
      </c>
    </row>
    <row r="2524" spans="1:50">
      <c r="A2524">
        <v>188634</v>
      </c>
      <c r="B2524" t="str">
        <f>"056095869"</f>
        <v>056095869</v>
      </c>
      <c r="C2524" t="s">
        <v>105</v>
      </c>
      <c r="D2524" t="s">
        <v>5163</v>
      </c>
      <c r="E2524" t="s">
        <v>166</v>
      </c>
      <c r="F2524" t="s">
        <v>53</v>
      </c>
      <c r="G2524" t="s">
        <v>5164</v>
      </c>
      <c r="H2524" t="str">
        <f>"ΠΑΠΟΥΡΑ ΣΗΤΕΙΑΣ ΣΗΤΕΙΑ"</f>
        <v>ΠΑΠΟΥΡΑ ΣΗΤΕΙΑΣ ΣΗΤΕΙΑ</v>
      </c>
      <c r="I2524">
        <v>72300</v>
      </c>
      <c r="J2524">
        <v>2843026631</v>
      </c>
      <c r="K2524">
        <v>6972915483</v>
      </c>
      <c r="M2524" t="s">
        <v>5165</v>
      </c>
      <c r="N2524" t="s">
        <v>331</v>
      </c>
      <c r="O2524" t="s">
        <v>332</v>
      </c>
      <c r="R2524" t="s">
        <v>57</v>
      </c>
      <c r="S2524">
        <v>12</v>
      </c>
      <c r="T2524">
        <v>310</v>
      </c>
      <c r="U2524" s="1">
        <v>36833</v>
      </c>
      <c r="V2524" t="s">
        <v>4509</v>
      </c>
      <c r="W2524" t="s">
        <v>4510</v>
      </c>
      <c r="X2524" t="s">
        <v>58</v>
      </c>
      <c r="Y2524">
        <v>18</v>
      </c>
      <c r="Z2524" t="s">
        <v>59</v>
      </c>
      <c r="AA2524" t="s">
        <v>59</v>
      </c>
      <c r="AB2524" t="s">
        <v>59</v>
      </c>
      <c r="AC2524" t="s">
        <v>59</v>
      </c>
      <c r="AD2524" t="s">
        <v>59</v>
      </c>
      <c r="AF2524" s="1">
        <v>36834</v>
      </c>
      <c r="AG2524" t="s">
        <v>137</v>
      </c>
      <c r="AH2524" t="s">
        <v>138</v>
      </c>
      <c r="AI2524" t="str">
        <f>"3240020"</f>
        <v>3240020</v>
      </c>
      <c r="AJ2524" t="s">
        <v>4568</v>
      </c>
      <c r="AK2524">
        <v>2843028570</v>
      </c>
      <c r="AL2524" t="s">
        <v>4569</v>
      </c>
      <c r="AM2524" t="s">
        <v>4513</v>
      </c>
      <c r="AN2524" t="s">
        <v>4540</v>
      </c>
      <c r="AO2524" t="s">
        <v>4540</v>
      </c>
      <c r="AP2524" t="s">
        <v>4540</v>
      </c>
      <c r="AQ2524">
        <v>6</v>
      </c>
      <c r="AR2524" t="s">
        <v>4509</v>
      </c>
      <c r="AS2524" t="s">
        <v>4510</v>
      </c>
      <c r="AT2524" t="s">
        <v>58</v>
      </c>
      <c r="AU2524" t="s">
        <v>68</v>
      </c>
      <c r="AV2524" t="s">
        <v>69</v>
      </c>
      <c r="AW2524" s="1">
        <v>25707</v>
      </c>
      <c r="AX2524">
        <v>2</v>
      </c>
    </row>
    <row r="2525" spans="1:50">
      <c r="A2525">
        <v>188057</v>
      </c>
      <c r="B2525" t="str">
        <f>"051448802"</f>
        <v>051448802</v>
      </c>
      <c r="C2525" t="s">
        <v>105</v>
      </c>
      <c r="D2525" t="s">
        <v>5166</v>
      </c>
      <c r="E2525" t="s">
        <v>106</v>
      </c>
      <c r="F2525" t="s">
        <v>166</v>
      </c>
      <c r="G2525" t="s">
        <v>52</v>
      </c>
      <c r="H2525" t="str">
        <f>" "</f>
        <v xml:space="preserve"> </v>
      </c>
      <c r="M2525" t="s">
        <v>5167</v>
      </c>
      <c r="N2525" t="s">
        <v>204</v>
      </c>
      <c r="O2525" t="s">
        <v>205</v>
      </c>
      <c r="R2525" t="s">
        <v>57</v>
      </c>
      <c r="S2525">
        <v>15</v>
      </c>
      <c r="T2525">
        <v>251</v>
      </c>
      <c r="U2525" s="1">
        <v>36769</v>
      </c>
      <c r="V2525" t="s">
        <v>4509</v>
      </c>
      <c r="W2525" t="s">
        <v>4510</v>
      </c>
      <c r="X2525" t="s">
        <v>58</v>
      </c>
      <c r="Y2525">
        <v>20</v>
      </c>
      <c r="Z2525" t="s">
        <v>59</v>
      </c>
      <c r="AA2525" t="s">
        <v>59</v>
      </c>
      <c r="AB2525" t="s">
        <v>59</v>
      </c>
      <c r="AC2525" t="s">
        <v>59</v>
      </c>
      <c r="AD2525" t="s">
        <v>59</v>
      </c>
      <c r="AF2525" s="1">
        <v>36770</v>
      </c>
      <c r="AG2525" t="s">
        <v>125</v>
      </c>
      <c r="AH2525" t="s">
        <v>126</v>
      </c>
      <c r="AI2525" t="str">
        <f>"3202030"</f>
        <v>3202030</v>
      </c>
      <c r="AJ2525" t="s">
        <v>4558</v>
      </c>
      <c r="AK2525">
        <v>2842028751</v>
      </c>
      <c r="AL2525" t="s">
        <v>4559</v>
      </c>
      <c r="AM2525" t="s">
        <v>4513</v>
      </c>
      <c r="AN2525" t="s">
        <v>4519</v>
      </c>
      <c r="AO2525" t="s">
        <v>4519</v>
      </c>
      <c r="AP2525" t="s">
        <v>4519</v>
      </c>
      <c r="AQ2525">
        <v>4</v>
      </c>
      <c r="AR2525" t="s">
        <v>4509</v>
      </c>
      <c r="AS2525" t="s">
        <v>4510</v>
      </c>
      <c r="AT2525" t="s">
        <v>58</v>
      </c>
      <c r="AU2525" t="s">
        <v>68</v>
      </c>
      <c r="AV2525" t="s">
        <v>69</v>
      </c>
      <c r="AW2525" s="1">
        <v>23765</v>
      </c>
      <c r="AX2525">
        <v>2</v>
      </c>
    </row>
    <row r="2526" spans="1:50">
      <c r="A2526">
        <v>202971</v>
      </c>
      <c r="B2526" t="str">
        <f>"023211125"</f>
        <v>023211125</v>
      </c>
      <c r="C2526" t="s">
        <v>50</v>
      </c>
      <c r="D2526" t="s">
        <v>5168</v>
      </c>
      <c r="E2526" t="s">
        <v>1019</v>
      </c>
      <c r="F2526" t="s">
        <v>166</v>
      </c>
      <c r="G2526" t="s">
        <v>52</v>
      </c>
      <c r="H2526" t="str">
        <f>" "</f>
        <v xml:space="preserve"> </v>
      </c>
      <c r="J2526">
        <v>2841022440</v>
      </c>
      <c r="K2526">
        <v>6974780652</v>
      </c>
      <c r="M2526" t="s">
        <v>5169</v>
      </c>
      <c r="N2526" t="s">
        <v>1647</v>
      </c>
      <c r="O2526" t="s">
        <v>1648</v>
      </c>
      <c r="R2526" t="s">
        <v>57</v>
      </c>
      <c r="S2526">
        <v>9</v>
      </c>
      <c r="T2526">
        <v>231</v>
      </c>
      <c r="U2526" s="1">
        <v>38230</v>
      </c>
      <c r="V2526" t="s">
        <v>4509</v>
      </c>
      <c r="W2526" t="s">
        <v>4510</v>
      </c>
      <c r="X2526" t="s">
        <v>58</v>
      </c>
      <c r="Y2526">
        <v>20</v>
      </c>
      <c r="Z2526" t="s">
        <v>59</v>
      </c>
      <c r="AA2526" t="s">
        <v>59</v>
      </c>
      <c r="AB2526" t="s">
        <v>59</v>
      </c>
      <c r="AC2526" t="s">
        <v>59</v>
      </c>
      <c r="AD2526" t="s">
        <v>59</v>
      </c>
      <c r="AF2526" s="1">
        <v>38231</v>
      </c>
      <c r="AG2526" t="s">
        <v>125</v>
      </c>
      <c r="AH2526" t="s">
        <v>126</v>
      </c>
      <c r="AI2526" t="str">
        <f>"3201010"</f>
        <v>3201010</v>
      </c>
      <c r="AJ2526" t="s">
        <v>4596</v>
      </c>
      <c r="AK2526">
        <v>2841022301</v>
      </c>
      <c r="AL2526" t="s">
        <v>4597</v>
      </c>
      <c r="AM2526" t="s">
        <v>4513</v>
      </c>
      <c r="AN2526" t="s">
        <v>4514</v>
      </c>
      <c r="AO2526" t="s">
        <v>4514</v>
      </c>
      <c r="AP2526" t="s">
        <v>4514</v>
      </c>
      <c r="AQ2526">
        <v>1</v>
      </c>
      <c r="AR2526" t="s">
        <v>4509</v>
      </c>
      <c r="AS2526" t="s">
        <v>4510</v>
      </c>
      <c r="AT2526" t="s">
        <v>58</v>
      </c>
      <c r="AU2526" t="s">
        <v>68</v>
      </c>
      <c r="AV2526" t="s">
        <v>69</v>
      </c>
      <c r="AW2526" s="1">
        <v>22074</v>
      </c>
      <c r="AX2526">
        <v>2</v>
      </c>
    </row>
    <row r="2527" spans="1:50">
      <c r="A2527">
        <v>200430</v>
      </c>
      <c r="B2527" t="str">
        <f>"103960474"</f>
        <v>103960474</v>
      </c>
      <c r="C2527" t="s">
        <v>50</v>
      </c>
      <c r="D2527" t="s">
        <v>5170</v>
      </c>
      <c r="E2527" t="s">
        <v>372</v>
      </c>
      <c r="F2527" t="s">
        <v>99</v>
      </c>
      <c r="G2527" t="s">
        <v>950</v>
      </c>
      <c r="H2527" t="str">
        <f>"ΔΕΣΠΟΤΑΚΗ ΓΩΝΙΑ ΙΕΡΑΠΕΤΡΑ"</f>
        <v>ΔΕΣΠΟΤΑΚΗ ΓΩΝΙΑ ΙΕΡΑΠΕΤΡΑ</v>
      </c>
      <c r="I2527">
        <v>72200</v>
      </c>
      <c r="J2527">
        <v>2842500620</v>
      </c>
      <c r="K2527">
        <v>6948590899</v>
      </c>
      <c r="M2527" t="s">
        <v>5171</v>
      </c>
      <c r="N2527" t="s">
        <v>204</v>
      </c>
      <c r="O2527" t="s">
        <v>205</v>
      </c>
      <c r="R2527" t="s">
        <v>57</v>
      </c>
      <c r="S2527">
        <v>7</v>
      </c>
      <c r="T2527">
        <v>206</v>
      </c>
      <c r="U2527" s="1">
        <v>37866</v>
      </c>
      <c r="V2527" t="s">
        <v>4509</v>
      </c>
      <c r="W2527" t="s">
        <v>4510</v>
      </c>
      <c r="X2527" t="s">
        <v>58</v>
      </c>
      <c r="Y2527">
        <v>20</v>
      </c>
      <c r="Z2527" t="s">
        <v>59</v>
      </c>
      <c r="AA2527" t="s">
        <v>59</v>
      </c>
      <c r="AB2527" t="s">
        <v>59</v>
      </c>
      <c r="AC2527" t="s">
        <v>59</v>
      </c>
      <c r="AD2527" t="s">
        <v>59</v>
      </c>
      <c r="AF2527" s="1">
        <v>37867</v>
      </c>
      <c r="AG2527" t="s">
        <v>148</v>
      </c>
      <c r="AH2527" t="s">
        <v>149</v>
      </c>
      <c r="AI2527" t="str">
        <f>"3252010"</f>
        <v>3252010</v>
      </c>
      <c r="AJ2527" t="s">
        <v>4532</v>
      </c>
      <c r="AK2527">
        <v>2842022356</v>
      </c>
      <c r="AL2527" t="s">
        <v>4533</v>
      </c>
      <c r="AM2527" t="s">
        <v>4513</v>
      </c>
      <c r="AN2527" t="s">
        <v>4519</v>
      </c>
      <c r="AO2527" t="s">
        <v>4519</v>
      </c>
      <c r="AP2527" t="s">
        <v>4519</v>
      </c>
      <c r="AQ2527">
        <v>4</v>
      </c>
      <c r="AR2527" t="s">
        <v>4509</v>
      </c>
      <c r="AS2527" t="s">
        <v>4510</v>
      </c>
      <c r="AT2527" t="s">
        <v>58</v>
      </c>
      <c r="AU2527" t="s">
        <v>68</v>
      </c>
      <c r="AV2527" t="s">
        <v>69</v>
      </c>
      <c r="AW2527" s="1">
        <v>29116</v>
      </c>
      <c r="AX2527">
        <v>2</v>
      </c>
    </row>
    <row r="2528" spans="1:50">
      <c r="A2528">
        <v>700264</v>
      </c>
      <c r="B2528" t="str">
        <f>"101026286"</f>
        <v>101026286</v>
      </c>
      <c r="C2528" t="s">
        <v>50</v>
      </c>
      <c r="D2528" t="s">
        <v>5172</v>
      </c>
      <c r="E2528" t="s">
        <v>566</v>
      </c>
      <c r="F2528" t="s">
        <v>99</v>
      </c>
      <c r="G2528" t="s">
        <v>155</v>
      </c>
      <c r="H2528" t="str">
        <f>"ΚΑΡΥΔΙΕΣ 18 ΧΟΡΤΙΑΤΗΣ"</f>
        <v>ΚΑΡΥΔΙΕΣ 18 ΧΟΡΤΙΑΤΗΣ</v>
      </c>
      <c r="I2528">
        <v>57010</v>
      </c>
      <c r="J2528">
        <v>2310348281</v>
      </c>
      <c r="K2528">
        <v>6972124123</v>
      </c>
      <c r="N2528" t="s">
        <v>157</v>
      </c>
      <c r="O2528" t="s">
        <v>158</v>
      </c>
      <c r="R2528" t="s">
        <v>57</v>
      </c>
      <c r="S2528">
        <v>6</v>
      </c>
      <c r="T2528">
        <v>772</v>
      </c>
      <c r="U2528" s="1">
        <v>40413</v>
      </c>
      <c r="V2528" t="s">
        <v>4509</v>
      </c>
      <c r="W2528" t="s">
        <v>4510</v>
      </c>
      <c r="X2528" t="s">
        <v>58</v>
      </c>
      <c r="Y2528">
        <v>21</v>
      </c>
      <c r="Z2528" t="s">
        <v>59</v>
      </c>
      <c r="AA2528" t="s">
        <v>59</v>
      </c>
      <c r="AB2528" t="s">
        <v>59</v>
      </c>
      <c r="AC2528" t="s">
        <v>59</v>
      </c>
      <c r="AD2528" t="s">
        <v>59</v>
      </c>
      <c r="AF2528" s="1">
        <v>40414</v>
      </c>
      <c r="AG2528" t="s">
        <v>148</v>
      </c>
      <c r="AH2528" t="s">
        <v>149</v>
      </c>
      <c r="AI2528" t="str">
        <f>"3255010"</f>
        <v>3255010</v>
      </c>
      <c r="AJ2528" t="s">
        <v>4590</v>
      </c>
      <c r="AK2528">
        <v>2844022058</v>
      </c>
      <c r="AL2528" t="s">
        <v>4591</v>
      </c>
      <c r="AM2528" t="s">
        <v>4513</v>
      </c>
      <c r="AN2528" t="s">
        <v>4592</v>
      </c>
      <c r="AO2528" t="s">
        <v>4592</v>
      </c>
      <c r="AP2528" t="s">
        <v>4593</v>
      </c>
      <c r="AQ2528">
        <v>2</v>
      </c>
      <c r="AR2528" t="s">
        <v>4509</v>
      </c>
      <c r="AS2528" t="s">
        <v>4510</v>
      </c>
      <c r="AT2528" t="s">
        <v>58</v>
      </c>
      <c r="AU2528" t="s">
        <v>68</v>
      </c>
      <c r="AV2528" t="s">
        <v>69</v>
      </c>
      <c r="AW2528" s="1">
        <v>26736</v>
      </c>
      <c r="AX2528">
        <v>2</v>
      </c>
    </row>
    <row r="2529" spans="1:50">
      <c r="A2529">
        <v>197321</v>
      </c>
      <c r="B2529" t="str">
        <f>"069111389"</f>
        <v>069111389</v>
      </c>
      <c r="C2529" t="s">
        <v>50</v>
      </c>
      <c r="D2529" t="s">
        <v>5173</v>
      </c>
      <c r="E2529" t="s">
        <v>1204</v>
      </c>
      <c r="F2529" t="s">
        <v>450</v>
      </c>
      <c r="G2529" t="s">
        <v>5174</v>
      </c>
      <c r="H2529" t="str">
        <f t="shared" ref="H2529:H2534" si="2">" "</f>
        <v xml:space="preserve"> </v>
      </c>
      <c r="J2529">
        <v>2105913104</v>
      </c>
      <c r="K2529">
        <v>6945203779</v>
      </c>
      <c r="N2529" t="s">
        <v>146</v>
      </c>
      <c r="O2529" t="s">
        <v>147</v>
      </c>
      <c r="R2529" t="s">
        <v>57</v>
      </c>
      <c r="S2529">
        <v>7</v>
      </c>
      <c r="T2529">
        <v>206</v>
      </c>
      <c r="U2529" s="1">
        <v>37866</v>
      </c>
      <c r="V2529" t="s">
        <v>4509</v>
      </c>
      <c r="W2529" t="s">
        <v>4510</v>
      </c>
      <c r="X2529" t="s">
        <v>58</v>
      </c>
      <c r="Y2529">
        <v>20</v>
      </c>
      <c r="Z2529" t="s">
        <v>59</v>
      </c>
      <c r="AA2529" t="s">
        <v>59</v>
      </c>
      <c r="AB2529" t="s">
        <v>59</v>
      </c>
      <c r="AC2529" t="s">
        <v>59</v>
      </c>
      <c r="AD2529" t="s">
        <v>59</v>
      </c>
      <c r="AF2529" s="1">
        <v>37866</v>
      </c>
      <c r="AG2529" t="s">
        <v>60</v>
      </c>
      <c r="AH2529" t="s">
        <v>61</v>
      </c>
      <c r="AI2529" t="str">
        <f>"9000638"</f>
        <v>9000638</v>
      </c>
      <c r="AJ2529" t="s">
        <v>5175</v>
      </c>
      <c r="AK2529">
        <v>2841082480</v>
      </c>
      <c r="AL2529" t="s">
        <v>5176</v>
      </c>
      <c r="AM2529" t="s">
        <v>4513</v>
      </c>
      <c r="AN2529" t="s">
        <v>4514</v>
      </c>
      <c r="AO2529" t="s">
        <v>4514</v>
      </c>
      <c r="AP2529" t="s">
        <v>4514</v>
      </c>
      <c r="AR2529" t="s">
        <v>5177</v>
      </c>
      <c r="AS2529" t="s">
        <v>5178</v>
      </c>
      <c r="AT2529" t="s">
        <v>58</v>
      </c>
      <c r="AU2529" t="s">
        <v>68</v>
      </c>
      <c r="AV2529" t="s">
        <v>69</v>
      </c>
      <c r="AW2529" s="1">
        <v>25619</v>
      </c>
      <c r="AX2529">
        <v>0</v>
      </c>
    </row>
    <row r="2530" spans="1:50">
      <c r="A2530">
        <v>156151</v>
      </c>
      <c r="B2530" t="str">
        <f>"030766759"</f>
        <v>030766759</v>
      </c>
      <c r="C2530" t="s">
        <v>50</v>
      </c>
      <c r="D2530" t="s">
        <v>5179</v>
      </c>
      <c r="E2530" t="s">
        <v>155</v>
      </c>
      <c r="F2530" t="s">
        <v>166</v>
      </c>
      <c r="G2530" t="s">
        <v>5180</v>
      </c>
      <c r="H2530" t="str">
        <f t="shared" si="2"/>
        <v xml:space="preserve"> </v>
      </c>
      <c r="M2530" t="s">
        <v>5055</v>
      </c>
      <c r="N2530" t="s">
        <v>146</v>
      </c>
      <c r="O2530" t="s">
        <v>147</v>
      </c>
      <c r="R2530" t="s">
        <v>57</v>
      </c>
      <c r="S2530">
        <v>15</v>
      </c>
      <c r="T2530">
        <v>188</v>
      </c>
      <c r="U2530" s="1">
        <v>32752</v>
      </c>
      <c r="V2530" t="s">
        <v>4509</v>
      </c>
      <c r="W2530" t="s">
        <v>4510</v>
      </c>
      <c r="X2530" t="s">
        <v>58</v>
      </c>
      <c r="Y2530">
        <v>18</v>
      </c>
      <c r="Z2530" t="s">
        <v>59</v>
      </c>
      <c r="AA2530" t="s">
        <v>59</v>
      </c>
      <c r="AB2530" t="s">
        <v>59</v>
      </c>
      <c r="AC2530" t="s">
        <v>59</v>
      </c>
      <c r="AD2530" t="s">
        <v>59</v>
      </c>
      <c r="AF2530" s="1">
        <v>32753</v>
      </c>
      <c r="AG2530" t="s">
        <v>125</v>
      </c>
      <c r="AH2530" t="s">
        <v>126</v>
      </c>
      <c r="AI2530" t="str">
        <f>"3201010"</f>
        <v>3201010</v>
      </c>
      <c r="AJ2530" t="s">
        <v>4596</v>
      </c>
      <c r="AK2530">
        <v>2841022301</v>
      </c>
      <c r="AL2530" t="s">
        <v>4597</v>
      </c>
      <c r="AM2530" t="s">
        <v>4513</v>
      </c>
      <c r="AN2530" t="s">
        <v>4514</v>
      </c>
      <c r="AO2530" t="s">
        <v>4514</v>
      </c>
      <c r="AP2530" t="s">
        <v>4514</v>
      </c>
      <c r="AQ2530">
        <v>1</v>
      </c>
      <c r="AR2530" t="s">
        <v>4509</v>
      </c>
      <c r="AS2530" t="s">
        <v>4510</v>
      </c>
      <c r="AT2530" t="s">
        <v>58</v>
      </c>
      <c r="AU2530" t="s">
        <v>68</v>
      </c>
      <c r="AV2530" t="s">
        <v>69</v>
      </c>
      <c r="AW2530" s="1">
        <v>21350</v>
      </c>
      <c r="AX2530">
        <v>2</v>
      </c>
    </row>
    <row r="2531" spans="1:50">
      <c r="A2531">
        <v>159918</v>
      </c>
      <c r="B2531" t="str">
        <f>"030499200"</f>
        <v>030499200</v>
      </c>
      <c r="C2531" t="s">
        <v>105</v>
      </c>
      <c r="D2531" t="s">
        <v>5181</v>
      </c>
      <c r="E2531" t="s">
        <v>202</v>
      </c>
      <c r="F2531" t="s">
        <v>670</v>
      </c>
      <c r="G2531" t="s">
        <v>5182</v>
      </c>
      <c r="H2531" t="str">
        <f t="shared" si="2"/>
        <v xml:space="preserve"> </v>
      </c>
      <c r="N2531" t="s">
        <v>292</v>
      </c>
      <c r="O2531" t="s">
        <v>293</v>
      </c>
      <c r="R2531" t="s">
        <v>57</v>
      </c>
      <c r="S2531">
        <v>16</v>
      </c>
      <c r="T2531">
        <v>161</v>
      </c>
      <c r="U2531" s="1">
        <v>33119</v>
      </c>
      <c r="V2531" t="s">
        <v>4509</v>
      </c>
      <c r="W2531" t="s">
        <v>4510</v>
      </c>
      <c r="X2531" t="s">
        <v>58</v>
      </c>
      <c r="Y2531">
        <v>18</v>
      </c>
      <c r="Z2531" t="s">
        <v>59</v>
      </c>
      <c r="AA2531" t="s">
        <v>59</v>
      </c>
      <c r="AB2531" t="s">
        <v>59</v>
      </c>
      <c r="AC2531" t="s">
        <v>59</v>
      </c>
      <c r="AD2531" t="s">
        <v>59</v>
      </c>
      <c r="AF2531" s="1">
        <v>33120</v>
      </c>
      <c r="AG2531" t="s">
        <v>125</v>
      </c>
      <c r="AH2531" t="s">
        <v>126</v>
      </c>
      <c r="AI2531" t="str">
        <f>"3202020"</f>
        <v>3202020</v>
      </c>
      <c r="AJ2531" t="s">
        <v>4576</v>
      </c>
      <c r="AK2531">
        <v>2842022289</v>
      </c>
      <c r="AL2531" t="s">
        <v>4577</v>
      </c>
      <c r="AM2531" t="s">
        <v>4513</v>
      </c>
      <c r="AN2531" t="s">
        <v>4519</v>
      </c>
      <c r="AO2531" t="s">
        <v>4519</v>
      </c>
      <c r="AP2531" t="s">
        <v>4519</v>
      </c>
      <c r="AQ2531">
        <v>4</v>
      </c>
      <c r="AR2531" t="s">
        <v>4509</v>
      </c>
      <c r="AS2531" t="s">
        <v>4510</v>
      </c>
      <c r="AT2531" t="s">
        <v>58</v>
      </c>
      <c r="AU2531" t="s">
        <v>68</v>
      </c>
      <c r="AV2531" t="s">
        <v>69</v>
      </c>
      <c r="AW2531" s="1">
        <v>20652</v>
      </c>
      <c r="AX2531">
        <v>2</v>
      </c>
    </row>
    <row r="2532" spans="1:50">
      <c r="A2532">
        <v>216437</v>
      </c>
      <c r="B2532" t="str">
        <f>"036406704"</f>
        <v>036406704</v>
      </c>
      <c r="C2532" t="s">
        <v>105</v>
      </c>
      <c r="D2532" t="s">
        <v>5183</v>
      </c>
      <c r="E2532" t="s">
        <v>72</v>
      </c>
      <c r="F2532" t="s">
        <v>53</v>
      </c>
      <c r="G2532" t="s">
        <v>188</v>
      </c>
      <c r="H2532" t="str">
        <f t="shared" si="2"/>
        <v xml:space="preserve"> </v>
      </c>
      <c r="I2532">
        <v>72200</v>
      </c>
      <c r="J2532">
        <v>2842028576</v>
      </c>
      <c r="K2532">
        <v>6937531063</v>
      </c>
      <c r="M2532" t="s">
        <v>5184</v>
      </c>
      <c r="N2532" t="s">
        <v>299</v>
      </c>
      <c r="O2532" t="s">
        <v>300</v>
      </c>
      <c r="R2532" t="s">
        <v>57</v>
      </c>
      <c r="S2532">
        <v>7</v>
      </c>
      <c r="T2532">
        <v>236</v>
      </c>
      <c r="U2532" s="1">
        <v>38961</v>
      </c>
      <c r="V2532" t="s">
        <v>4509</v>
      </c>
      <c r="W2532" t="s">
        <v>4510</v>
      </c>
      <c r="X2532" t="s">
        <v>58</v>
      </c>
      <c r="Y2532">
        <v>20</v>
      </c>
      <c r="Z2532" t="s">
        <v>59</v>
      </c>
      <c r="AA2532" t="s">
        <v>59</v>
      </c>
      <c r="AB2532" t="s">
        <v>59</v>
      </c>
      <c r="AC2532" t="s">
        <v>59</v>
      </c>
      <c r="AD2532" t="s">
        <v>59</v>
      </c>
      <c r="AF2532" s="1">
        <v>38962</v>
      </c>
      <c r="AG2532" t="s">
        <v>137</v>
      </c>
      <c r="AH2532" t="s">
        <v>138</v>
      </c>
      <c r="AI2532" t="str">
        <f>"3240120"</f>
        <v>3240120</v>
      </c>
      <c r="AJ2532" t="s">
        <v>4552</v>
      </c>
      <c r="AK2532">
        <v>2842028667</v>
      </c>
      <c r="AL2532" t="s">
        <v>4553</v>
      </c>
      <c r="AM2532" t="s">
        <v>4513</v>
      </c>
      <c r="AN2532" t="s">
        <v>4519</v>
      </c>
      <c r="AO2532" t="s">
        <v>4519</v>
      </c>
      <c r="AP2532" t="s">
        <v>4519</v>
      </c>
      <c r="AQ2532">
        <v>4</v>
      </c>
      <c r="AR2532" t="s">
        <v>4509</v>
      </c>
      <c r="AS2532" t="s">
        <v>4510</v>
      </c>
      <c r="AT2532" t="s">
        <v>58</v>
      </c>
      <c r="AU2532" t="s">
        <v>68</v>
      </c>
      <c r="AV2532" t="s">
        <v>69</v>
      </c>
      <c r="AW2532" s="1">
        <v>24254</v>
      </c>
      <c r="AX2532">
        <v>2</v>
      </c>
    </row>
    <row r="2533" spans="1:50">
      <c r="A2533">
        <v>223075</v>
      </c>
      <c r="B2533" t="str">
        <f>"110328250"</f>
        <v>110328250</v>
      </c>
      <c r="C2533" t="s">
        <v>50</v>
      </c>
      <c r="D2533" t="s">
        <v>2916</v>
      </c>
      <c r="E2533" t="s">
        <v>109</v>
      </c>
      <c r="F2533" t="s">
        <v>84</v>
      </c>
      <c r="G2533" t="s">
        <v>52</v>
      </c>
      <c r="H2533" t="str">
        <f t="shared" si="2"/>
        <v xml:space="preserve"> </v>
      </c>
      <c r="J2533">
        <v>2841089134</v>
      </c>
      <c r="K2533">
        <v>6947201403</v>
      </c>
      <c r="M2533" t="s">
        <v>5185</v>
      </c>
      <c r="N2533" t="s">
        <v>292</v>
      </c>
      <c r="O2533" t="s">
        <v>293</v>
      </c>
      <c r="R2533" t="s">
        <v>57</v>
      </c>
      <c r="S2533">
        <v>6</v>
      </c>
      <c r="T2533">
        <v>775</v>
      </c>
      <c r="U2533" s="1">
        <v>39680</v>
      </c>
      <c r="V2533" t="s">
        <v>4509</v>
      </c>
      <c r="W2533" t="s">
        <v>4510</v>
      </c>
      <c r="X2533" t="s">
        <v>58</v>
      </c>
      <c r="Y2533">
        <v>20</v>
      </c>
      <c r="Z2533" t="s">
        <v>59</v>
      </c>
      <c r="AA2533" t="s">
        <v>59</v>
      </c>
      <c r="AB2533" t="s">
        <v>59</v>
      </c>
      <c r="AC2533" t="s">
        <v>59</v>
      </c>
      <c r="AD2533" t="s">
        <v>59</v>
      </c>
      <c r="AF2533" s="1">
        <v>39692</v>
      </c>
      <c r="AG2533" t="s">
        <v>148</v>
      </c>
      <c r="AH2533" t="s">
        <v>149</v>
      </c>
      <c r="AI2533" t="str">
        <f>"3251001"</f>
        <v>3251001</v>
      </c>
      <c r="AJ2533" t="s">
        <v>4535</v>
      </c>
      <c r="AK2533">
        <v>2841082544</v>
      </c>
      <c r="AL2533" t="s">
        <v>4536</v>
      </c>
      <c r="AM2533" t="s">
        <v>4513</v>
      </c>
      <c r="AN2533" t="s">
        <v>4514</v>
      </c>
      <c r="AO2533" t="s">
        <v>4514</v>
      </c>
      <c r="AP2533" t="s">
        <v>4514</v>
      </c>
      <c r="AQ2533">
        <v>1</v>
      </c>
      <c r="AR2533" t="s">
        <v>4509</v>
      </c>
      <c r="AS2533" t="s">
        <v>4510</v>
      </c>
      <c r="AT2533" t="s">
        <v>58</v>
      </c>
      <c r="AU2533" t="s">
        <v>68</v>
      </c>
      <c r="AV2533" t="s">
        <v>69</v>
      </c>
      <c r="AW2533" s="1">
        <v>27833</v>
      </c>
      <c r="AX2533">
        <v>2</v>
      </c>
    </row>
    <row r="2534" spans="1:50">
      <c r="A2534">
        <v>181314</v>
      </c>
      <c r="B2534" t="str">
        <f>"036976670"</f>
        <v>036976670</v>
      </c>
      <c r="C2534" t="s">
        <v>50</v>
      </c>
      <c r="D2534" t="s">
        <v>5186</v>
      </c>
      <c r="E2534" t="s">
        <v>460</v>
      </c>
      <c r="F2534" t="s">
        <v>383</v>
      </c>
      <c r="G2534" t="s">
        <v>2088</v>
      </c>
      <c r="H2534" t="str">
        <f t="shared" si="2"/>
        <v xml:space="preserve"> </v>
      </c>
      <c r="J2534">
        <v>2841026123</v>
      </c>
      <c r="K2534">
        <v>6946253044</v>
      </c>
      <c r="M2534" t="s">
        <v>5187</v>
      </c>
      <c r="N2534" t="s">
        <v>288</v>
      </c>
      <c r="O2534" t="s">
        <v>289</v>
      </c>
      <c r="R2534" t="s">
        <v>57</v>
      </c>
      <c r="S2534">
        <v>9</v>
      </c>
      <c r="T2534">
        <v>181</v>
      </c>
      <c r="U2534" s="1">
        <v>36039</v>
      </c>
      <c r="V2534" t="s">
        <v>4509</v>
      </c>
      <c r="W2534" t="s">
        <v>4510</v>
      </c>
      <c r="X2534" t="s">
        <v>58</v>
      </c>
      <c r="Y2534">
        <v>18</v>
      </c>
      <c r="Z2534" t="s">
        <v>59</v>
      </c>
      <c r="AA2534" t="s">
        <v>59</v>
      </c>
      <c r="AB2534" t="s">
        <v>59</v>
      </c>
      <c r="AC2534" t="s">
        <v>59</v>
      </c>
      <c r="AD2534" t="s">
        <v>59</v>
      </c>
      <c r="AF2534" s="1">
        <v>36040</v>
      </c>
      <c r="AG2534" t="s">
        <v>125</v>
      </c>
      <c r="AH2534" t="s">
        <v>126</v>
      </c>
      <c r="AI2534" t="str">
        <f>"3201010"</f>
        <v>3201010</v>
      </c>
      <c r="AJ2534" t="s">
        <v>4596</v>
      </c>
      <c r="AK2534">
        <v>2841022301</v>
      </c>
      <c r="AL2534" t="s">
        <v>4597</v>
      </c>
      <c r="AM2534" t="s">
        <v>4513</v>
      </c>
      <c r="AN2534" t="s">
        <v>4514</v>
      </c>
      <c r="AO2534" t="s">
        <v>4514</v>
      </c>
      <c r="AP2534" t="s">
        <v>4514</v>
      </c>
      <c r="AQ2534">
        <v>1</v>
      </c>
      <c r="AR2534" t="s">
        <v>4509</v>
      </c>
      <c r="AS2534" t="s">
        <v>4510</v>
      </c>
      <c r="AT2534" t="s">
        <v>58</v>
      </c>
      <c r="AU2534" t="s">
        <v>68</v>
      </c>
      <c r="AV2534" t="s">
        <v>69</v>
      </c>
      <c r="AW2534" s="1">
        <v>22871</v>
      </c>
      <c r="AX2534">
        <v>2</v>
      </c>
    </row>
    <row r="2535" spans="1:50">
      <c r="A2535">
        <v>701244</v>
      </c>
      <c r="B2535" t="str">
        <f>"063444265"</f>
        <v>063444265</v>
      </c>
      <c r="C2535" t="s">
        <v>50</v>
      </c>
      <c r="D2535" t="s">
        <v>5188</v>
      </c>
      <c r="E2535" t="s">
        <v>112</v>
      </c>
      <c r="F2535" t="s">
        <v>84</v>
      </c>
      <c r="G2535" t="s">
        <v>52</v>
      </c>
      <c r="H2535" t="str">
        <f>"ΒΙΚΤΩΡΟΣ ΟΥΓΚΩ 27 ΣΗΤΕΙΑ"</f>
        <v>ΒΙΚΤΩΡΟΣ ΟΥΓΚΩ 27 ΣΗΤΕΙΑ</v>
      </c>
      <c r="I2535">
        <v>72300</v>
      </c>
      <c r="J2535">
        <v>2843023703</v>
      </c>
      <c r="K2535">
        <v>6972774837</v>
      </c>
      <c r="M2535" t="s">
        <v>5189</v>
      </c>
      <c r="N2535" t="s">
        <v>199</v>
      </c>
      <c r="O2535" t="s">
        <v>200</v>
      </c>
      <c r="R2535" t="s">
        <v>57</v>
      </c>
      <c r="S2535">
        <v>10</v>
      </c>
      <c r="T2535">
        <v>772</v>
      </c>
      <c r="U2535" s="1">
        <v>40413</v>
      </c>
      <c r="V2535" t="s">
        <v>4509</v>
      </c>
      <c r="W2535" t="s">
        <v>4510</v>
      </c>
      <c r="X2535" t="s">
        <v>58</v>
      </c>
      <c r="Y2535">
        <v>21</v>
      </c>
      <c r="Z2535" t="s">
        <v>59</v>
      </c>
      <c r="AA2535" t="s">
        <v>59</v>
      </c>
      <c r="AB2535" t="s">
        <v>59</v>
      </c>
      <c r="AC2535" t="s">
        <v>59</v>
      </c>
      <c r="AD2535" t="s">
        <v>59</v>
      </c>
      <c r="AF2535" s="1">
        <v>40413</v>
      </c>
      <c r="AG2535" t="s">
        <v>125</v>
      </c>
      <c r="AH2535" t="s">
        <v>126</v>
      </c>
      <c r="AI2535" t="str">
        <f>"3204010"</f>
        <v>3204010</v>
      </c>
      <c r="AJ2535" t="s">
        <v>4542</v>
      </c>
      <c r="AK2535">
        <v>2843022503</v>
      </c>
      <c r="AL2535" t="s">
        <v>4543</v>
      </c>
      <c r="AM2535" t="s">
        <v>4513</v>
      </c>
      <c r="AN2535" t="s">
        <v>4540</v>
      </c>
      <c r="AO2535" t="s">
        <v>4540</v>
      </c>
      <c r="AP2535" t="s">
        <v>4540</v>
      </c>
      <c r="AQ2535">
        <v>6</v>
      </c>
      <c r="AR2535" t="s">
        <v>4509</v>
      </c>
      <c r="AS2535" t="s">
        <v>4510</v>
      </c>
      <c r="AT2535" t="s">
        <v>58</v>
      </c>
      <c r="AU2535" t="s">
        <v>68</v>
      </c>
      <c r="AV2535" t="s">
        <v>69</v>
      </c>
      <c r="AW2535" s="1">
        <v>29247</v>
      </c>
      <c r="AX2535">
        <v>2</v>
      </c>
    </row>
    <row r="2536" spans="1:50">
      <c r="A2536">
        <v>229127</v>
      </c>
      <c r="B2536" t="str">
        <f>"065284107"</f>
        <v>065284107</v>
      </c>
      <c r="C2536" t="s">
        <v>50</v>
      </c>
      <c r="D2536" t="s">
        <v>5190</v>
      </c>
      <c r="E2536" t="s">
        <v>237</v>
      </c>
      <c r="F2536" t="s">
        <v>92</v>
      </c>
      <c r="G2536" t="s">
        <v>5191</v>
      </c>
      <c r="H2536" t="str">
        <f>"ΙΛΑΡΙΩΝΟΣ ΚΑΤΣΟΥΛΗ 23 ΗΡΑΚΛΕΙΟ"</f>
        <v>ΙΛΑΡΙΩΝΟΣ ΚΑΤΣΟΥΛΗ 23 ΗΡΑΚΛΕΙΟ</v>
      </c>
      <c r="I2536">
        <v>71305</v>
      </c>
      <c r="J2536">
        <v>2810324132</v>
      </c>
      <c r="K2536">
        <v>6947262632</v>
      </c>
      <c r="N2536" t="s">
        <v>306</v>
      </c>
      <c r="O2536" t="s">
        <v>307</v>
      </c>
      <c r="R2536" t="s">
        <v>57</v>
      </c>
      <c r="S2536">
        <v>7</v>
      </c>
      <c r="T2536">
        <v>720</v>
      </c>
      <c r="U2536" s="1">
        <v>40059</v>
      </c>
      <c r="V2536" t="s">
        <v>4509</v>
      </c>
      <c r="W2536" t="s">
        <v>4510</v>
      </c>
      <c r="X2536" t="s">
        <v>58</v>
      </c>
      <c r="Y2536">
        <v>21</v>
      </c>
      <c r="Z2536" t="s">
        <v>59</v>
      </c>
      <c r="AA2536" t="s">
        <v>59</v>
      </c>
      <c r="AB2536" t="s">
        <v>59</v>
      </c>
      <c r="AC2536" t="s">
        <v>59</v>
      </c>
      <c r="AD2536" t="s">
        <v>59</v>
      </c>
      <c r="AF2536" s="1">
        <v>40063</v>
      </c>
      <c r="AG2536" t="s">
        <v>125</v>
      </c>
      <c r="AH2536" t="s">
        <v>126</v>
      </c>
      <c r="AI2536" t="str">
        <f>"3201025"</f>
        <v>3201025</v>
      </c>
      <c r="AJ2536" t="s">
        <v>4682</v>
      </c>
      <c r="AK2536">
        <v>2841021388</v>
      </c>
      <c r="AL2536" t="s">
        <v>4683</v>
      </c>
      <c r="AM2536" t="s">
        <v>4513</v>
      </c>
      <c r="AN2536" t="s">
        <v>4514</v>
      </c>
      <c r="AO2536" t="s">
        <v>4514</v>
      </c>
      <c r="AP2536" t="s">
        <v>4514</v>
      </c>
      <c r="AQ2536">
        <v>1</v>
      </c>
      <c r="AR2536" t="s">
        <v>4509</v>
      </c>
      <c r="AS2536" t="s">
        <v>4510</v>
      </c>
      <c r="AT2536" t="s">
        <v>58</v>
      </c>
      <c r="AU2536" t="s">
        <v>68</v>
      </c>
      <c r="AV2536" t="s">
        <v>132</v>
      </c>
      <c r="AW2536" s="1">
        <v>27229</v>
      </c>
      <c r="AX2536">
        <v>2</v>
      </c>
    </row>
    <row r="2537" spans="1:50">
      <c r="A2537">
        <v>197333</v>
      </c>
      <c r="B2537" t="str">
        <f>"075288913"</f>
        <v>075288913</v>
      </c>
      <c r="C2537" t="s">
        <v>50</v>
      </c>
      <c r="D2537" t="s">
        <v>5192</v>
      </c>
      <c r="E2537" t="s">
        <v>215</v>
      </c>
      <c r="F2537" t="s">
        <v>166</v>
      </c>
      <c r="G2537" t="s">
        <v>188</v>
      </c>
      <c r="H2537" t="str">
        <f>"ΑΡΧ.ΣΕΡΑΦΗΜ 2 ΣΗΤΕΙΑ"</f>
        <v>ΑΡΧ.ΣΕΡΑΦΗΜ 2 ΣΗΤΕΙΑ</v>
      </c>
      <c r="I2537">
        <v>72300</v>
      </c>
      <c r="J2537">
        <v>2842022946</v>
      </c>
      <c r="K2537">
        <v>6977360298</v>
      </c>
      <c r="M2537" t="s">
        <v>5193</v>
      </c>
      <c r="N2537" t="s">
        <v>146</v>
      </c>
      <c r="O2537" t="s">
        <v>147</v>
      </c>
      <c r="R2537" t="s">
        <v>57</v>
      </c>
      <c r="S2537">
        <v>7</v>
      </c>
      <c r="T2537">
        <v>206</v>
      </c>
      <c r="U2537" s="1">
        <v>37866</v>
      </c>
      <c r="V2537" t="s">
        <v>4509</v>
      </c>
      <c r="W2537" t="s">
        <v>4510</v>
      </c>
      <c r="X2537" t="s">
        <v>58</v>
      </c>
      <c r="Y2537">
        <v>20</v>
      </c>
      <c r="Z2537" t="s">
        <v>59</v>
      </c>
      <c r="AA2537" t="s">
        <v>59</v>
      </c>
      <c r="AB2537" t="s">
        <v>59</v>
      </c>
      <c r="AC2537" t="s">
        <v>59</v>
      </c>
      <c r="AD2537" t="s">
        <v>59</v>
      </c>
      <c r="AF2537" s="1">
        <v>37867</v>
      </c>
      <c r="AG2537" t="s">
        <v>125</v>
      </c>
      <c r="AH2537" t="s">
        <v>126</v>
      </c>
      <c r="AI2537" t="str">
        <f>"3204010"</f>
        <v>3204010</v>
      </c>
      <c r="AJ2537" t="s">
        <v>4542</v>
      </c>
      <c r="AK2537">
        <v>2843022503</v>
      </c>
      <c r="AL2537" t="s">
        <v>4543</v>
      </c>
      <c r="AM2537" t="s">
        <v>4513</v>
      </c>
      <c r="AN2537" t="s">
        <v>4540</v>
      </c>
      <c r="AO2537" t="s">
        <v>4540</v>
      </c>
      <c r="AP2537" t="s">
        <v>4540</v>
      </c>
      <c r="AQ2537">
        <v>6</v>
      </c>
      <c r="AR2537" t="s">
        <v>4509</v>
      </c>
      <c r="AS2537" t="s">
        <v>4510</v>
      </c>
      <c r="AT2537" t="s">
        <v>58</v>
      </c>
      <c r="AU2537" t="s">
        <v>68</v>
      </c>
      <c r="AV2537" t="s">
        <v>69</v>
      </c>
      <c r="AW2537" s="1">
        <v>27078</v>
      </c>
      <c r="AX2537">
        <v>2</v>
      </c>
    </row>
    <row r="2538" spans="1:50">
      <c r="A2538">
        <v>205435</v>
      </c>
      <c r="B2538" t="str">
        <f>"049341991"</f>
        <v>049341991</v>
      </c>
      <c r="C2538" t="s">
        <v>50</v>
      </c>
      <c r="D2538" t="s">
        <v>5194</v>
      </c>
      <c r="E2538" t="s">
        <v>250</v>
      </c>
      <c r="F2538" t="s">
        <v>95</v>
      </c>
      <c r="G2538" t="s">
        <v>83</v>
      </c>
      <c r="H2538" t="str">
        <f>"ΜΕΣΟΛΟΓΓΙΟΥ 50 "</f>
        <v xml:space="preserve">ΜΕΣΟΛΟΓΓΙΟΥ 50 </v>
      </c>
      <c r="I2538">
        <v>72100</v>
      </c>
      <c r="J2538">
        <v>2841500911</v>
      </c>
      <c r="K2538">
        <v>6973710858</v>
      </c>
      <c r="M2538" t="s">
        <v>5195</v>
      </c>
      <c r="N2538" t="s">
        <v>204</v>
      </c>
      <c r="O2538" t="s">
        <v>205</v>
      </c>
      <c r="R2538" t="s">
        <v>57</v>
      </c>
      <c r="S2538">
        <v>8</v>
      </c>
      <c r="T2538">
        <v>231</v>
      </c>
      <c r="U2538" s="1">
        <v>38230</v>
      </c>
      <c r="V2538" t="s">
        <v>4509</v>
      </c>
      <c r="W2538" t="s">
        <v>4510</v>
      </c>
      <c r="X2538" t="s">
        <v>58</v>
      </c>
      <c r="Y2538">
        <v>20</v>
      </c>
      <c r="Z2538" t="s">
        <v>59</v>
      </c>
      <c r="AA2538" t="s">
        <v>59</v>
      </c>
      <c r="AB2538" t="s">
        <v>59</v>
      </c>
      <c r="AC2538" t="s">
        <v>59</v>
      </c>
      <c r="AD2538" t="s">
        <v>59</v>
      </c>
      <c r="AF2538" s="1">
        <v>38596</v>
      </c>
      <c r="AG2538" t="s">
        <v>125</v>
      </c>
      <c r="AH2538" t="s">
        <v>126</v>
      </c>
      <c r="AI2538" t="str">
        <f>"3201025"</f>
        <v>3201025</v>
      </c>
      <c r="AJ2538" t="s">
        <v>4682</v>
      </c>
      <c r="AK2538">
        <v>2841021388</v>
      </c>
      <c r="AL2538" t="s">
        <v>4683</v>
      </c>
      <c r="AM2538" t="s">
        <v>4513</v>
      </c>
      <c r="AN2538" t="s">
        <v>4514</v>
      </c>
      <c r="AO2538" t="s">
        <v>4514</v>
      </c>
      <c r="AP2538" t="s">
        <v>4514</v>
      </c>
      <c r="AQ2538">
        <v>1</v>
      </c>
      <c r="AR2538" t="s">
        <v>4509</v>
      </c>
      <c r="AS2538" t="s">
        <v>4510</v>
      </c>
      <c r="AT2538" t="s">
        <v>58</v>
      </c>
      <c r="AU2538" t="s">
        <v>68</v>
      </c>
      <c r="AV2538" t="s">
        <v>69</v>
      </c>
      <c r="AW2538" s="1">
        <v>29340</v>
      </c>
      <c r="AX2538">
        <v>2</v>
      </c>
    </row>
    <row r="2539" spans="1:50">
      <c r="A2539">
        <v>228045</v>
      </c>
      <c r="B2539" t="str">
        <f>"038516568"</f>
        <v>038516568</v>
      </c>
      <c r="C2539" t="s">
        <v>105</v>
      </c>
      <c r="D2539" t="s">
        <v>2959</v>
      </c>
      <c r="E2539" t="s">
        <v>670</v>
      </c>
      <c r="F2539" t="s">
        <v>154</v>
      </c>
      <c r="G2539" t="s">
        <v>5196</v>
      </c>
      <c r="H2539" t="str">
        <f>"ΚΑΛΟ ΧΩΡΙΟ  ΑΓ ΝΙΚΟΛΑΟΣ"</f>
        <v>ΚΑΛΟ ΧΩΡΙΟ  ΑΓ ΝΙΚΟΛΑΟΣ</v>
      </c>
      <c r="I2539">
        <v>72100</v>
      </c>
      <c r="J2539">
        <v>2841089406</v>
      </c>
      <c r="K2539">
        <v>6973750147</v>
      </c>
      <c r="L2539">
        <v>2841061556</v>
      </c>
      <c r="M2539" t="s">
        <v>5197</v>
      </c>
      <c r="N2539" t="s">
        <v>176</v>
      </c>
      <c r="O2539" t="s">
        <v>177</v>
      </c>
      <c r="R2539" t="s">
        <v>57</v>
      </c>
      <c r="S2539">
        <v>7</v>
      </c>
      <c r="T2539">
        <v>654</v>
      </c>
      <c r="U2539" s="1">
        <v>40043</v>
      </c>
      <c r="V2539" t="s">
        <v>4509</v>
      </c>
      <c r="W2539" t="s">
        <v>4510</v>
      </c>
      <c r="X2539" t="s">
        <v>58</v>
      </c>
      <c r="Y2539">
        <v>20</v>
      </c>
      <c r="Z2539" t="s">
        <v>59</v>
      </c>
      <c r="AA2539" t="s">
        <v>59</v>
      </c>
      <c r="AB2539" t="s">
        <v>59</v>
      </c>
      <c r="AC2539" t="s">
        <v>59</v>
      </c>
      <c r="AD2539" t="s">
        <v>59</v>
      </c>
      <c r="AF2539" s="1">
        <v>40043</v>
      </c>
      <c r="AG2539" t="s">
        <v>125</v>
      </c>
      <c r="AH2539" t="s">
        <v>126</v>
      </c>
      <c r="AI2539" t="str">
        <f>"3201020"</f>
        <v>3201020</v>
      </c>
      <c r="AJ2539" t="s">
        <v>4511</v>
      </c>
      <c r="AK2539">
        <v>2841024586</v>
      </c>
      <c r="AL2539" t="s">
        <v>4512</v>
      </c>
      <c r="AM2539" t="s">
        <v>4513</v>
      </c>
      <c r="AN2539" t="s">
        <v>4514</v>
      </c>
      <c r="AO2539" t="s">
        <v>4514</v>
      </c>
      <c r="AP2539" t="s">
        <v>4514</v>
      </c>
      <c r="AQ2539">
        <v>1</v>
      </c>
      <c r="AR2539" t="s">
        <v>4509</v>
      </c>
      <c r="AS2539" t="s">
        <v>4510</v>
      </c>
      <c r="AT2539" t="s">
        <v>58</v>
      </c>
      <c r="AU2539" t="s">
        <v>68</v>
      </c>
      <c r="AV2539" t="s">
        <v>132</v>
      </c>
      <c r="AW2539" s="1">
        <v>25240</v>
      </c>
      <c r="AX2539">
        <v>2</v>
      </c>
    </row>
    <row r="2540" spans="1:50">
      <c r="B2540" t="str">
        <f>"301958810"</f>
        <v>301958810</v>
      </c>
      <c r="C2540" t="s">
        <v>105</v>
      </c>
      <c r="D2540" t="s">
        <v>2980</v>
      </c>
      <c r="E2540" t="s">
        <v>979</v>
      </c>
      <c r="F2540" t="s">
        <v>670</v>
      </c>
      <c r="G2540" t="s">
        <v>52</v>
      </c>
      <c r="H2540" t="str">
        <f>"Τ. ΣΙΛΛΙΓΑΡΔΑΚΗ 3 "</f>
        <v xml:space="preserve">Τ. ΣΙΛΛΙΓΑΡΔΑΚΗ 3 </v>
      </c>
      <c r="I2540">
        <v>72400</v>
      </c>
      <c r="J2540">
        <v>2841032042</v>
      </c>
      <c r="K2540">
        <v>6977457033</v>
      </c>
      <c r="N2540" t="s">
        <v>1351</v>
      </c>
      <c r="O2540" t="s">
        <v>1352</v>
      </c>
      <c r="R2540" t="s">
        <v>121</v>
      </c>
      <c r="S2540">
        <v>1</v>
      </c>
      <c r="T2540" t="s">
        <v>416</v>
      </c>
      <c r="U2540" s="1">
        <v>43349</v>
      </c>
      <c r="V2540" t="s">
        <v>4509</v>
      </c>
      <c r="W2540" t="s">
        <v>4510</v>
      </c>
      <c r="X2540" t="s">
        <v>58</v>
      </c>
      <c r="Y2540">
        <v>23</v>
      </c>
      <c r="Z2540" t="s">
        <v>59</v>
      </c>
      <c r="AA2540" t="s">
        <v>59</v>
      </c>
      <c r="AB2540" t="s">
        <v>59</v>
      </c>
      <c r="AC2540" t="s">
        <v>59</v>
      </c>
      <c r="AD2540" t="s">
        <v>59</v>
      </c>
      <c r="AF2540" s="1">
        <v>43349</v>
      </c>
      <c r="AG2540" t="s">
        <v>137</v>
      </c>
      <c r="AH2540" t="s">
        <v>138</v>
      </c>
      <c r="AI2540" t="str">
        <f>"3240077"</f>
        <v>3240077</v>
      </c>
      <c r="AJ2540" t="s">
        <v>4528</v>
      </c>
      <c r="AK2540">
        <v>2841025978</v>
      </c>
      <c r="AL2540" t="s">
        <v>4529</v>
      </c>
      <c r="AM2540" t="s">
        <v>4513</v>
      </c>
      <c r="AN2540" t="s">
        <v>4514</v>
      </c>
      <c r="AO2540" t="s">
        <v>4514</v>
      </c>
      <c r="AP2540" t="s">
        <v>4514</v>
      </c>
      <c r="AQ2540">
        <v>1</v>
      </c>
      <c r="AR2540" t="s">
        <v>4509</v>
      </c>
      <c r="AS2540" t="s">
        <v>4510</v>
      </c>
      <c r="AT2540" t="s">
        <v>58</v>
      </c>
      <c r="AU2540" t="s">
        <v>419</v>
      </c>
      <c r="AV2540" t="s">
        <v>132</v>
      </c>
      <c r="AW2540" s="1">
        <v>29693</v>
      </c>
      <c r="AX2540">
        <v>2</v>
      </c>
    </row>
    <row r="2541" spans="1:50">
      <c r="A2541">
        <v>153086</v>
      </c>
      <c r="B2541" t="str">
        <f>"110336028"</f>
        <v>110336028</v>
      </c>
      <c r="C2541" t="s">
        <v>50</v>
      </c>
      <c r="D2541" t="s">
        <v>2983</v>
      </c>
      <c r="E2541" t="s">
        <v>181</v>
      </c>
      <c r="F2541" t="s">
        <v>3483</v>
      </c>
      <c r="G2541" t="s">
        <v>52</v>
      </c>
      <c r="H2541" t="str">
        <f>" "</f>
        <v xml:space="preserve"> </v>
      </c>
      <c r="M2541" t="s">
        <v>5198</v>
      </c>
      <c r="N2541" t="s">
        <v>292</v>
      </c>
      <c r="O2541" t="s">
        <v>293</v>
      </c>
      <c r="R2541" t="s">
        <v>57</v>
      </c>
      <c r="S2541">
        <v>16</v>
      </c>
      <c r="T2541">
        <v>166</v>
      </c>
      <c r="U2541" s="1">
        <v>32010</v>
      </c>
      <c r="V2541" t="s">
        <v>4509</v>
      </c>
      <c r="W2541" t="s">
        <v>4510</v>
      </c>
      <c r="X2541" t="s">
        <v>58</v>
      </c>
      <c r="Y2541">
        <v>18</v>
      </c>
      <c r="Z2541" t="s">
        <v>59</v>
      </c>
      <c r="AA2541" t="s">
        <v>59</v>
      </c>
      <c r="AB2541" t="s">
        <v>59</v>
      </c>
      <c r="AC2541" t="s">
        <v>59</v>
      </c>
      <c r="AD2541" t="s">
        <v>59</v>
      </c>
      <c r="AF2541" s="1">
        <v>32021</v>
      </c>
      <c r="AG2541" t="s">
        <v>125</v>
      </c>
      <c r="AH2541" t="s">
        <v>126</v>
      </c>
      <c r="AI2541" t="str">
        <f>"3201010"</f>
        <v>3201010</v>
      </c>
      <c r="AJ2541" t="s">
        <v>4596</v>
      </c>
      <c r="AK2541">
        <v>2841022301</v>
      </c>
      <c r="AL2541" t="s">
        <v>4597</v>
      </c>
      <c r="AM2541" t="s">
        <v>4513</v>
      </c>
      <c r="AN2541" t="s">
        <v>4514</v>
      </c>
      <c r="AO2541" t="s">
        <v>4514</v>
      </c>
      <c r="AP2541" t="s">
        <v>4514</v>
      </c>
      <c r="AQ2541">
        <v>1</v>
      </c>
      <c r="AR2541" t="s">
        <v>4509</v>
      </c>
      <c r="AS2541" t="s">
        <v>4510</v>
      </c>
      <c r="AT2541" t="s">
        <v>58</v>
      </c>
      <c r="AU2541" t="s">
        <v>68</v>
      </c>
      <c r="AV2541" t="s">
        <v>69</v>
      </c>
      <c r="AW2541" s="1">
        <v>20311</v>
      </c>
      <c r="AX2541">
        <v>2</v>
      </c>
    </row>
    <row r="2542" spans="1:50">
      <c r="B2542" t="str">
        <f>"127895365"</f>
        <v>127895365</v>
      </c>
      <c r="C2542" t="s">
        <v>105</v>
      </c>
      <c r="D2542" t="s">
        <v>5199</v>
      </c>
      <c r="E2542" t="s">
        <v>84</v>
      </c>
      <c r="F2542" t="s">
        <v>72</v>
      </c>
      <c r="G2542" t="s">
        <v>263</v>
      </c>
      <c r="H2542" t="str">
        <f>" "</f>
        <v xml:space="preserve"> </v>
      </c>
      <c r="N2542" t="s">
        <v>246</v>
      </c>
      <c r="O2542" t="s">
        <v>247</v>
      </c>
      <c r="R2542" t="s">
        <v>121</v>
      </c>
      <c r="S2542">
        <v>1</v>
      </c>
      <c r="T2542" t="s">
        <v>574</v>
      </c>
      <c r="U2542" s="1">
        <v>43378</v>
      </c>
      <c r="V2542" t="s">
        <v>4509</v>
      </c>
      <c r="W2542" t="s">
        <v>4510</v>
      </c>
      <c r="X2542" t="s">
        <v>58</v>
      </c>
      <c r="Y2542">
        <v>23</v>
      </c>
      <c r="Z2542" t="s">
        <v>59</v>
      </c>
      <c r="AA2542" t="s">
        <v>59</v>
      </c>
      <c r="AB2542" t="s">
        <v>59</v>
      </c>
      <c r="AC2542" t="s">
        <v>59</v>
      </c>
      <c r="AD2542" t="s">
        <v>59</v>
      </c>
      <c r="AF2542" s="1">
        <v>43381</v>
      </c>
      <c r="AG2542" t="s">
        <v>148</v>
      </c>
      <c r="AH2542" t="s">
        <v>149</v>
      </c>
      <c r="AI2542" t="str">
        <f>"3254010"</f>
        <v>3254010</v>
      </c>
      <c r="AJ2542" t="s">
        <v>4538</v>
      </c>
      <c r="AK2542">
        <v>2843022277</v>
      </c>
      <c r="AL2542" t="s">
        <v>4539</v>
      </c>
      <c r="AM2542" t="s">
        <v>4513</v>
      </c>
      <c r="AN2542" t="s">
        <v>4540</v>
      </c>
      <c r="AO2542" t="s">
        <v>4540</v>
      </c>
      <c r="AP2542" t="s">
        <v>4540</v>
      </c>
      <c r="AQ2542">
        <v>6</v>
      </c>
      <c r="AR2542" t="s">
        <v>4509</v>
      </c>
      <c r="AS2542" t="s">
        <v>4510</v>
      </c>
      <c r="AT2542" t="s">
        <v>58</v>
      </c>
      <c r="AU2542" t="s">
        <v>164</v>
      </c>
      <c r="AV2542" t="s">
        <v>132</v>
      </c>
      <c r="AW2542" s="1">
        <v>26167</v>
      </c>
      <c r="AX2542">
        <v>2</v>
      </c>
    </row>
    <row r="2543" spans="1:50">
      <c r="A2543">
        <v>181477</v>
      </c>
      <c r="B2543" t="str">
        <f>"110359539"</f>
        <v>110359539</v>
      </c>
      <c r="C2543" t="s">
        <v>50</v>
      </c>
      <c r="D2543" t="s">
        <v>5200</v>
      </c>
      <c r="E2543" t="s">
        <v>1204</v>
      </c>
      <c r="F2543" t="s">
        <v>230</v>
      </c>
      <c r="G2543" t="s">
        <v>5201</v>
      </c>
      <c r="H2543" t="str">
        <f>"ΠΡΑΙΣΟΥ 56 ΣΗΤΕΙΑ"</f>
        <v>ΠΡΑΙΣΟΥ 56 ΣΗΤΕΙΑ</v>
      </c>
      <c r="I2543">
        <v>72300</v>
      </c>
      <c r="J2543">
        <v>2843028111</v>
      </c>
      <c r="K2543">
        <v>6973286194</v>
      </c>
      <c r="M2543" t="s">
        <v>5202</v>
      </c>
      <c r="N2543" t="s">
        <v>299</v>
      </c>
      <c r="O2543" t="s">
        <v>300</v>
      </c>
      <c r="P2543" t="s">
        <v>615</v>
      </c>
      <c r="Q2543" t="s">
        <v>616</v>
      </c>
      <c r="R2543" t="s">
        <v>57</v>
      </c>
      <c r="S2543">
        <v>10</v>
      </c>
      <c r="T2543">
        <v>181</v>
      </c>
      <c r="U2543" s="1">
        <v>36039</v>
      </c>
      <c r="V2543" t="s">
        <v>4509</v>
      </c>
      <c r="W2543" t="s">
        <v>4510</v>
      </c>
      <c r="X2543" t="s">
        <v>58</v>
      </c>
      <c r="Y2543">
        <v>18</v>
      </c>
      <c r="Z2543" t="s">
        <v>59</v>
      </c>
      <c r="AA2543" t="s">
        <v>59</v>
      </c>
      <c r="AB2543" t="s">
        <v>59</v>
      </c>
      <c r="AC2543" t="s">
        <v>59</v>
      </c>
      <c r="AD2543" t="s">
        <v>59</v>
      </c>
      <c r="AF2543" s="1">
        <v>36040</v>
      </c>
      <c r="AG2543" t="s">
        <v>148</v>
      </c>
      <c r="AH2543" t="s">
        <v>149</v>
      </c>
      <c r="AI2543" t="str">
        <f>"3254010"</f>
        <v>3254010</v>
      </c>
      <c r="AJ2543" t="s">
        <v>4538</v>
      </c>
      <c r="AK2543">
        <v>2843022277</v>
      </c>
      <c r="AL2543" t="s">
        <v>4539</v>
      </c>
      <c r="AM2543" t="s">
        <v>4513</v>
      </c>
      <c r="AN2543" t="s">
        <v>4540</v>
      </c>
      <c r="AO2543" t="s">
        <v>4540</v>
      </c>
      <c r="AP2543" t="s">
        <v>4540</v>
      </c>
      <c r="AQ2543">
        <v>6</v>
      </c>
      <c r="AR2543" t="s">
        <v>4509</v>
      </c>
      <c r="AS2543" t="s">
        <v>4510</v>
      </c>
      <c r="AT2543" t="s">
        <v>58</v>
      </c>
      <c r="AU2543" t="s">
        <v>68</v>
      </c>
      <c r="AV2543" t="s">
        <v>69</v>
      </c>
      <c r="AW2543" s="1">
        <v>23793</v>
      </c>
      <c r="AX2543">
        <v>2</v>
      </c>
    </row>
    <row r="2544" spans="1:50">
      <c r="A2544">
        <v>225076</v>
      </c>
      <c r="B2544" t="str">
        <f>"101371985"</f>
        <v>101371985</v>
      </c>
      <c r="C2544" t="s">
        <v>105</v>
      </c>
      <c r="D2544" t="s">
        <v>5203</v>
      </c>
      <c r="E2544" t="s">
        <v>315</v>
      </c>
      <c r="F2544" t="s">
        <v>377</v>
      </c>
      <c r="G2544" t="s">
        <v>52</v>
      </c>
      <c r="H2544" t="str">
        <f>" "</f>
        <v xml:space="preserve"> </v>
      </c>
      <c r="J2544">
        <v>2682024737</v>
      </c>
      <c r="K2544">
        <v>6942445354</v>
      </c>
      <c r="L2544">
        <v>6932501831</v>
      </c>
      <c r="N2544" t="s">
        <v>176</v>
      </c>
      <c r="O2544" t="s">
        <v>177</v>
      </c>
      <c r="R2544" t="s">
        <v>57</v>
      </c>
      <c r="S2544">
        <v>4</v>
      </c>
      <c r="T2544">
        <v>775</v>
      </c>
      <c r="U2544" s="1">
        <v>39680</v>
      </c>
      <c r="V2544" t="s">
        <v>4509</v>
      </c>
      <c r="W2544" t="s">
        <v>4510</v>
      </c>
      <c r="X2544" t="s">
        <v>58</v>
      </c>
      <c r="Y2544">
        <v>21</v>
      </c>
      <c r="Z2544" t="s">
        <v>59</v>
      </c>
      <c r="AA2544" t="s">
        <v>59</v>
      </c>
      <c r="AB2544" t="s">
        <v>59</v>
      </c>
      <c r="AC2544" t="s">
        <v>59</v>
      </c>
      <c r="AD2544" t="s">
        <v>59</v>
      </c>
      <c r="AF2544" s="1">
        <v>39680</v>
      </c>
      <c r="AG2544" t="s">
        <v>125</v>
      </c>
      <c r="AH2544" t="s">
        <v>126</v>
      </c>
      <c r="AI2544" t="str">
        <f>"3201020"</f>
        <v>3201020</v>
      </c>
      <c r="AJ2544" t="s">
        <v>4511</v>
      </c>
      <c r="AK2544">
        <v>2841024586</v>
      </c>
      <c r="AL2544" t="s">
        <v>4512</v>
      </c>
      <c r="AM2544" t="s">
        <v>4513</v>
      </c>
      <c r="AN2544" t="s">
        <v>4514</v>
      </c>
      <c r="AO2544" t="s">
        <v>4514</v>
      </c>
      <c r="AP2544" t="s">
        <v>4514</v>
      </c>
      <c r="AQ2544">
        <v>1</v>
      </c>
      <c r="AR2544" t="s">
        <v>4509</v>
      </c>
      <c r="AS2544" t="s">
        <v>4510</v>
      </c>
      <c r="AT2544" t="s">
        <v>58</v>
      </c>
      <c r="AU2544" t="s">
        <v>68</v>
      </c>
      <c r="AV2544" t="s">
        <v>132</v>
      </c>
      <c r="AW2544" s="1">
        <v>29881</v>
      </c>
      <c r="AX2544">
        <v>2</v>
      </c>
    </row>
    <row r="2545" spans="1:50">
      <c r="B2545" t="str">
        <f>"072117055"</f>
        <v>072117055</v>
      </c>
      <c r="C2545" t="s">
        <v>105</v>
      </c>
      <c r="D2545" t="s">
        <v>5204</v>
      </c>
      <c r="E2545" t="s">
        <v>521</v>
      </c>
      <c r="F2545" t="s">
        <v>95</v>
      </c>
      <c r="G2545" t="s">
        <v>52</v>
      </c>
      <c r="H2545" t="str">
        <f>"ΣΟΥΛΙΟΥ 33 ΑΓΙΟΣ ΝΙΚΟΛΑΟΣ"</f>
        <v>ΣΟΥΛΙΟΥ 33 ΑΓΙΟΣ ΝΙΚΟΛΑΟΣ</v>
      </c>
      <c r="I2545">
        <v>72100</v>
      </c>
      <c r="J2545">
        <v>2841027100</v>
      </c>
      <c r="K2545">
        <v>6938001020</v>
      </c>
      <c r="N2545" t="s">
        <v>798</v>
      </c>
      <c r="O2545" t="s">
        <v>799</v>
      </c>
      <c r="R2545" t="s">
        <v>159</v>
      </c>
      <c r="S2545">
        <v>3</v>
      </c>
      <c r="T2545" t="s">
        <v>416</v>
      </c>
      <c r="U2545" s="1">
        <v>43349</v>
      </c>
      <c r="V2545" t="s">
        <v>4509</v>
      </c>
      <c r="W2545" t="s">
        <v>4510</v>
      </c>
      <c r="X2545" t="s">
        <v>58</v>
      </c>
      <c r="Y2545">
        <v>23</v>
      </c>
      <c r="Z2545" t="s">
        <v>59</v>
      </c>
      <c r="AA2545" t="s">
        <v>59</v>
      </c>
      <c r="AB2545" t="s">
        <v>59</v>
      </c>
      <c r="AC2545" t="s">
        <v>59</v>
      </c>
      <c r="AD2545" t="s">
        <v>59</v>
      </c>
      <c r="AF2545" s="1">
        <v>43349</v>
      </c>
      <c r="AG2545" t="s">
        <v>137</v>
      </c>
      <c r="AH2545" t="s">
        <v>469</v>
      </c>
      <c r="AI2545" t="str">
        <f>"3240125"</f>
        <v>3240125</v>
      </c>
      <c r="AJ2545" t="s">
        <v>4707</v>
      </c>
      <c r="AK2545">
        <v>2842024905</v>
      </c>
      <c r="AL2545" t="s">
        <v>4708</v>
      </c>
      <c r="AM2545" t="s">
        <v>4513</v>
      </c>
      <c r="AN2545" t="s">
        <v>4519</v>
      </c>
      <c r="AO2545" t="s">
        <v>4519</v>
      </c>
      <c r="AP2545" t="s">
        <v>4519</v>
      </c>
      <c r="AQ2545">
        <v>4</v>
      </c>
      <c r="AR2545" t="s">
        <v>4509</v>
      </c>
      <c r="AS2545" t="s">
        <v>4510</v>
      </c>
      <c r="AT2545" t="s">
        <v>58</v>
      </c>
      <c r="AU2545" t="s">
        <v>419</v>
      </c>
      <c r="AV2545" t="s">
        <v>132</v>
      </c>
      <c r="AW2545" s="1">
        <v>24567</v>
      </c>
      <c r="AX2545">
        <v>2</v>
      </c>
    </row>
    <row r="2546" spans="1:50">
      <c r="B2546" t="str">
        <f>"062803127"</f>
        <v>062803127</v>
      </c>
      <c r="C2546" t="s">
        <v>105</v>
      </c>
      <c r="D2546" t="s">
        <v>3030</v>
      </c>
      <c r="E2546" t="s">
        <v>166</v>
      </c>
      <c r="F2546" t="s">
        <v>5205</v>
      </c>
      <c r="G2546" t="s">
        <v>237</v>
      </c>
      <c r="H2546" t="str">
        <f>" "</f>
        <v xml:space="preserve"> </v>
      </c>
      <c r="K2546">
        <v>6940588329</v>
      </c>
      <c r="N2546" t="s">
        <v>292</v>
      </c>
      <c r="O2546" t="s">
        <v>293</v>
      </c>
      <c r="R2546" t="s">
        <v>121</v>
      </c>
      <c r="S2546">
        <v>1</v>
      </c>
      <c r="T2546" t="s">
        <v>416</v>
      </c>
      <c r="U2546" s="1">
        <v>43349</v>
      </c>
      <c r="V2546" t="s">
        <v>4509</v>
      </c>
      <c r="W2546" t="s">
        <v>4510</v>
      </c>
      <c r="X2546" t="s">
        <v>58</v>
      </c>
      <c r="Y2546">
        <v>23</v>
      </c>
      <c r="Z2546" t="s">
        <v>59</v>
      </c>
      <c r="AA2546" t="s">
        <v>59</v>
      </c>
      <c r="AB2546" t="s">
        <v>59</v>
      </c>
      <c r="AD2546" t="s">
        <v>59</v>
      </c>
      <c r="AF2546" s="1">
        <v>43349</v>
      </c>
      <c r="AG2546" t="s">
        <v>137</v>
      </c>
      <c r="AH2546" t="s">
        <v>138</v>
      </c>
      <c r="AI2546" t="str">
        <f>"3240120"</f>
        <v>3240120</v>
      </c>
      <c r="AJ2546" t="s">
        <v>4552</v>
      </c>
      <c r="AK2546">
        <v>2842028667</v>
      </c>
      <c r="AL2546" t="s">
        <v>4553</v>
      </c>
      <c r="AM2546" t="s">
        <v>4513</v>
      </c>
      <c r="AN2546" t="s">
        <v>4519</v>
      </c>
      <c r="AO2546" t="s">
        <v>4519</v>
      </c>
      <c r="AP2546" t="s">
        <v>4519</v>
      </c>
      <c r="AQ2546">
        <v>4</v>
      </c>
      <c r="AR2546" t="s">
        <v>4509</v>
      </c>
      <c r="AS2546" t="s">
        <v>4510</v>
      </c>
      <c r="AT2546" t="s">
        <v>58</v>
      </c>
      <c r="AU2546" t="s">
        <v>419</v>
      </c>
      <c r="AV2546" t="s">
        <v>132</v>
      </c>
      <c r="AW2546" s="1">
        <v>28435</v>
      </c>
      <c r="AX2546">
        <v>2</v>
      </c>
    </row>
    <row r="2547" spans="1:50">
      <c r="A2547">
        <v>225078</v>
      </c>
      <c r="B2547" t="str">
        <f>"077226746"</f>
        <v>077226746</v>
      </c>
      <c r="C2547" t="s">
        <v>105</v>
      </c>
      <c r="D2547" t="s">
        <v>5206</v>
      </c>
      <c r="E2547" t="s">
        <v>95</v>
      </c>
      <c r="F2547" t="s">
        <v>4097</v>
      </c>
      <c r="G2547" t="s">
        <v>5207</v>
      </c>
      <c r="H2547" t="str">
        <f>"ΗΛΙΑ ΣΩΤΗΡΧΟΥ 34 ΑΓΙΟΣ ΝΙΚΟΛΑΟΣ"</f>
        <v>ΗΛΙΑ ΣΩΤΗΡΧΟΥ 34 ΑΓΙΟΣ ΝΙΚΟΛΑΟΣ</v>
      </c>
      <c r="I2547">
        <v>72100</v>
      </c>
      <c r="J2547">
        <v>2841023874</v>
      </c>
      <c r="K2547">
        <v>6937120627</v>
      </c>
      <c r="M2547" t="s">
        <v>5208</v>
      </c>
      <c r="N2547" t="s">
        <v>176</v>
      </c>
      <c r="O2547" t="s">
        <v>177</v>
      </c>
      <c r="R2547" t="s">
        <v>57</v>
      </c>
      <c r="S2547">
        <v>6</v>
      </c>
      <c r="T2547">
        <v>775</v>
      </c>
      <c r="U2547" s="1">
        <v>39680</v>
      </c>
      <c r="V2547" t="s">
        <v>4509</v>
      </c>
      <c r="W2547" t="s">
        <v>4510</v>
      </c>
      <c r="X2547" t="s">
        <v>58</v>
      </c>
      <c r="Y2547">
        <v>21</v>
      </c>
      <c r="Z2547" t="s">
        <v>59</v>
      </c>
      <c r="AA2547" t="s">
        <v>59</v>
      </c>
      <c r="AB2547" t="s">
        <v>59</v>
      </c>
      <c r="AC2547" t="s">
        <v>59</v>
      </c>
      <c r="AD2547" t="s">
        <v>59</v>
      </c>
      <c r="AF2547" s="1">
        <v>39692</v>
      </c>
      <c r="AG2547" t="s">
        <v>125</v>
      </c>
      <c r="AH2547" t="s">
        <v>126</v>
      </c>
      <c r="AI2547" t="str">
        <f>"3201020"</f>
        <v>3201020</v>
      </c>
      <c r="AJ2547" t="s">
        <v>4511</v>
      </c>
      <c r="AK2547">
        <v>2841024586</v>
      </c>
      <c r="AL2547" t="s">
        <v>4512</v>
      </c>
      <c r="AM2547" t="s">
        <v>4513</v>
      </c>
      <c r="AN2547" t="s">
        <v>4514</v>
      </c>
      <c r="AO2547" t="s">
        <v>4514</v>
      </c>
      <c r="AP2547" t="s">
        <v>4514</v>
      </c>
      <c r="AQ2547">
        <v>1</v>
      </c>
      <c r="AR2547" t="s">
        <v>4509</v>
      </c>
      <c r="AS2547" t="s">
        <v>4510</v>
      </c>
      <c r="AT2547" t="s">
        <v>58</v>
      </c>
      <c r="AU2547" t="s">
        <v>68</v>
      </c>
      <c r="AV2547" t="s">
        <v>132</v>
      </c>
      <c r="AW2547" s="1">
        <v>26061</v>
      </c>
      <c r="AX2547">
        <v>2</v>
      </c>
    </row>
    <row r="2548" spans="1:50">
      <c r="B2548" t="str">
        <f>"064569176"</f>
        <v>064569176</v>
      </c>
      <c r="C2548" t="s">
        <v>105</v>
      </c>
      <c r="D2548" t="s">
        <v>5209</v>
      </c>
      <c r="E2548" t="s">
        <v>230</v>
      </c>
      <c r="F2548" t="s">
        <v>95</v>
      </c>
      <c r="G2548" t="s">
        <v>600</v>
      </c>
      <c r="H2548" t="str">
        <f>" "</f>
        <v xml:space="preserve"> </v>
      </c>
      <c r="N2548" t="s">
        <v>292</v>
      </c>
      <c r="O2548" t="s">
        <v>293</v>
      </c>
      <c r="R2548" t="s">
        <v>121</v>
      </c>
      <c r="S2548">
        <v>1</v>
      </c>
      <c r="T2548" t="s">
        <v>416</v>
      </c>
      <c r="U2548" s="1">
        <v>43349</v>
      </c>
      <c r="V2548" t="s">
        <v>4509</v>
      </c>
      <c r="W2548" t="s">
        <v>4510</v>
      </c>
      <c r="X2548" t="s">
        <v>58</v>
      </c>
      <c r="Y2548">
        <v>23</v>
      </c>
      <c r="Z2548" t="s">
        <v>59</v>
      </c>
      <c r="AA2548" t="s">
        <v>59</v>
      </c>
      <c r="AB2548" t="s">
        <v>59</v>
      </c>
      <c r="AD2548" t="s">
        <v>59</v>
      </c>
      <c r="AF2548" s="1">
        <v>43349</v>
      </c>
      <c r="AG2548" t="s">
        <v>148</v>
      </c>
      <c r="AH2548" t="s">
        <v>149</v>
      </c>
      <c r="AI2548" t="str">
        <f>"3253010"</f>
        <v>3253010</v>
      </c>
      <c r="AJ2548" t="s">
        <v>4579</v>
      </c>
      <c r="AK2548">
        <v>2841031769</v>
      </c>
      <c r="AL2548" t="s">
        <v>4580</v>
      </c>
      <c r="AM2548" t="s">
        <v>4513</v>
      </c>
      <c r="AN2548" t="s">
        <v>4514</v>
      </c>
      <c r="AO2548" t="s">
        <v>4524</v>
      </c>
      <c r="AP2548" t="s">
        <v>4525</v>
      </c>
      <c r="AQ2548">
        <v>3</v>
      </c>
      <c r="AR2548" t="s">
        <v>4509</v>
      </c>
      <c r="AS2548" t="s">
        <v>4510</v>
      </c>
      <c r="AT2548" t="s">
        <v>58</v>
      </c>
      <c r="AU2548" t="s">
        <v>419</v>
      </c>
      <c r="AV2548" t="s">
        <v>132</v>
      </c>
      <c r="AW2548" s="1">
        <v>27624</v>
      </c>
      <c r="AX2548">
        <v>2</v>
      </c>
    </row>
    <row r="2549" spans="1:50">
      <c r="B2549" t="str">
        <f>"127725550"</f>
        <v>127725550</v>
      </c>
      <c r="C2549" t="s">
        <v>105</v>
      </c>
      <c r="D2549" t="s">
        <v>5210</v>
      </c>
      <c r="E2549" t="s">
        <v>72</v>
      </c>
      <c r="F2549" t="s">
        <v>304</v>
      </c>
      <c r="G2549" t="s">
        <v>73</v>
      </c>
      <c r="H2549" t="str">
        <f>"ΔΩΔΕΚΑΝΗΣΟΥ 32 ΧΑΝΙΑ"</f>
        <v>ΔΩΔΕΚΑΝΗΣΟΥ 32 ΧΑΝΙΑ</v>
      </c>
      <c r="I2549">
        <v>73132</v>
      </c>
      <c r="J2549">
        <v>2821046286</v>
      </c>
      <c r="K2549">
        <v>6932827865</v>
      </c>
      <c r="N2549" t="s">
        <v>292</v>
      </c>
      <c r="O2549" t="s">
        <v>293</v>
      </c>
      <c r="R2549" t="s">
        <v>159</v>
      </c>
      <c r="S2549">
        <v>3</v>
      </c>
      <c r="T2549" t="s">
        <v>160</v>
      </c>
      <c r="U2549" s="1">
        <v>43364</v>
      </c>
      <c r="V2549" t="s">
        <v>4509</v>
      </c>
      <c r="W2549" t="s">
        <v>4510</v>
      </c>
      <c r="X2549" t="s">
        <v>58</v>
      </c>
      <c r="Y2549">
        <v>23</v>
      </c>
      <c r="Z2549" t="s">
        <v>59</v>
      </c>
      <c r="AA2549" t="s">
        <v>59</v>
      </c>
      <c r="AB2549" t="s">
        <v>59</v>
      </c>
      <c r="AC2549" t="s">
        <v>59</v>
      </c>
      <c r="AD2549" t="s">
        <v>59</v>
      </c>
      <c r="AF2549" s="1">
        <v>43367</v>
      </c>
      <c r="AG2549" t="s">
        <v>125</v>
      </c>
      <c r="AH2549" t="s">
        <v>126</v>
      </c>
      <c r="AI2549" t="str">
        <f>"3207010"</f>
        <v>3207010</v>
      </c>
      <c r="AJ2549" t="s">
        <v>4755</v>
      </c>
      <c r="AK2549">
        <v>2841051452</v>
      </c>
      <c r="AL2549" t="s">
        <v>4756</v>
      </c>
      <c r="AM2549" t="s">
        <v>4513</v>
      </c>
      <c r="AN2549" t="s">
        <v>4514</v>
      </c>
      <c r="AO2549" t="s">
        <v>4514</v>
      </c>
      <c r="AP2549" t="s">
        <v>4757</v>
      </c>
      <c r="AQ2549">
        <v>1</v>
      </c>
      <c r="AR2549" t="s">
        <v>4509</v>
      </c>
      <c r="AS2549" t="s">
        <v>4510</v>
      </c>
      <c r="AT2549" t="s">
        <v>58</v>
      </c>
      <c r="AU2549" t="s">
        <v>164</v>
      </c>
      <c r="AV2549" t="s">
        <v>132</v>
      </c>
      <c r="AW2549" s="1">
        <v>29544</v>
      </c>
      <c r="AX2549">
        <v>2</v>
      </c>
    </row>
    <row r="2550" spans="1:50">
      <c r="A2550">
        <v>206267</v>
      </c>
      <c r="B2550" t="str">
        <f>"075987251"</f>
        <v>075987251</v>
      </c>
      <c r="C2550" t="s">
        <v>50</v>
      </c>
      <c r="D2550" t="s">
        <v>5211</v>
      </c>
      <c r="E2550" t="s">
        <v>143</v>
      </c>
      <c r="F2550" t="s">
        <v>72</v>
      </c>
      <c r="G2550" t="s">
        <v>52</v>
      </c>
      <c r="H2550" t="str">
        <f>" "</f>
        <v xml:space="preserve"> </v>
      </c>
      <c r="J2550">
        <v>2842025085</v>
      </c>
      <c r="K2550">
        <v>6937373583</v>
      </c>
      <c r="M2550" t="s">
        <v>5212</v>
      </c>
      <c r="N2550" t="s">
        <v>257</v>
      </c>
      <c r="O2550" t="s">
        <v>258</v>
      </c>
      <c r="R2550" t="s">
        <v>57</v>
      </c>
      <c r="S2550">
        <v>9</v>
      </c>
      <c r="T2550">
        <v>301</v>
      </c>
      <c r="U2550" s="1">
        <v>38302</v>
      </c>
      <c r="V2550" t="s">
        <v>4509</v>
      </c>
      <c r="W2550" t="s">
        <v>4510</v>
      </c>
      <c r="X2550" t="s">
        <v>58</v>
      </c>
      <c r="Y2550">
        <v>20</v>
      </c>
      <c r="Z2550" t="s">
        <v>59</v>
      </c>
      <c r="AA2550" t="s">
        <v>59</v>
      </c>
      <c r="AB2550" t="s">
        <v>59</v>
      </c>
      <c r="AC2550" t="s">
        <v>59</v>
      </c>
      <c r="AD2550" t="s">
        <v>59</v>
      </c>
      <c r="AF2550" s="1">
        <v>38303</v>
      </c>
      <c r="AG2550" t="s">
        <v>137</v>
      </c>
      <c r="AH2550" t="s">
        <v>138</v>
      </c>
      <c r="AI2550" t="str">
        <f>"3240120"</f>
        <v>3240120</v>
      </c>
      <c r="AJ2550" t="s">
        <v>4552</v>
      </c>
      <c r="AK2550">
        <v>2842028667</v>
      </c>
      <c r="AL2550" t="s">
        <v>4553</v>
      </c>
      <c r="AM2550" t="s">
        <v>4513</v>
      </c>
      <c r="AN2550" t="s">
        <v>4519</v>
      </c>
      <c r="AO2550" t="s">
        <v>4519</v>
      </c>
      <c r="AP2550" t="s">
        <v>4519</v>
      </c>
      <c r="AQ2550">
        <v>4</v>
      </c>
      <c r="AR2550" t="s">
        <v>4509</v>
      </c>
      <c r="AS2550" t="s">
        <v>4510</v>
      </c>
      <c r="AT2550" t="s">
        <v>58</v>
      </c>
      <c r="AU2550" t="s">
        <v>68</v>
      </c>
      <c r="AV2550" t="s">
        <v>69</v>
      </c>
      <c r="AW2550" s="1">
        <v>26119</v>
      </c>
      <c r="AX2550">
        <v>2</v>
      </c>
    </row>
    <row r="2551" spans="1:50">
      <c r="A2551">
        <v>203749</v>
      </c>
      <c r="B2551" t="str">
        <f>"062924331"</f>
        <v>062924331</v>
      </c>
      <c r="C2551" t="s">
        <v>50</v>
      </c>
      <c r="D2551" t="s">
        <v>5213</v>
      </c>
      <c r="E2551" t="s">
        <v>83</v>
      </c>
      <c r="F2551" t="s">
        <v>760</v>
      </c>
      <c r="G2551" t="s">
        <v>610</v>
      </c>
      <c r="H2551" t="str">
        <f>" "</f>
        <v xml:space="preserve"> </v>
      </c>
      <c r="J2551">
        <v>2892031519</v>
      </c>
      <c r="K2551">
        <v>6944654354</v>
      </c>
      <c r="M2551" t="s">
        <v>5214</v>
      </c>
      <c r="N2551" t="s">
        <v>299</v>
      </c>
      <c r="O2551" t="s">
        <v>300</v>
      </c>
      <c r="R2551" t="s">
        <v>57</v>
      </c>
      <c r="S2551">
        <v>10</v>
      </c>
      <c r="T2551">
        <v>231</v>
      </c>
      <c r="U2551" s="1">
        <v>38230</v>
      </c>
      <c r="V2551" t="s">
        <v>4509</v>
      </c>
      <c r="W2551" t="s">
        <v>4510</v>
      </c>
      <c r="X2551" t="s">
        <v>58</v>
      </c>
      <c r="Y2551">
        <v>20</v>
      </c>
      <c r="Z2551" t="s">
        <v>59</v>
      </c>
      <c r="AA2551" t="s">
        <v>59</v>
      </c>
      <c r="AB2551" t="s">
        <v>59</v>
      </c>
      <c r="AC2551" t="s">
        <v>59</v>
      </c>
      <c r="AD2551" t="s">
        <v>59</v>
      </c>
      <c r="AF2551" s="1">
        <v>38233</v>
      </c>
      <c r="AG2551" t="s">
        <v>148</v>
      </c>
      <c r="AH2551" t="s">
        <v>149</v>
      </c>
      <c r="AI2551" t="str">
        <f>"3252010"</f>
        <v>3252010</v>
      </c>
      <c r="AJ2551" t="s">
        <v>4532</v>
      </c>
      <c r="AK2551">
        <v>2842022356</v>
      </c>
      <c r="AL2551" t="s">
        <v>4533</v>
      </c>
      <c r="AM2551" t="s">
        <v>4513</v>
      </c>
      <c r="AN2551" t="s">
        <v>4519</v>
      </c>
      <c r="AO2551" t="s">
        <v>4519</v>
      </c>
      <c r="AP2551" t="s">
        <v>4519</v>
      </c>
      <c r="AQ2551">
        <v>4</v>
      </c>
      <c r="AR2551" t="s">
        <v>4509</v>
      </c>
      <c r="AS2551" t="s">
        <v>4510</v>
      </c>
      <c r="AT2551" t="s">
        <v>58</v>
      </c>
      <c r="AU2551" t="s">
        <v>68</v>
      </c>
      <c r="AV2551" t="s">
        <v>69</v>
      </c>
      <c r="AW2551" s="1">
        <v>26827</v>
      </c>
      <c r="AX2551">
        <v>2</v>
      </c>
    </row>
    <row r="2552" spans="1:50">
      <c r="B2552" t="str">
        <f>"067459153"</f>
        <v>067459153</v>
      </c>
      <c r="C2552" t="s">
        <v>50</v>
      </c>
      <c r="D2552" t="s">
        <v>3051</v>
      </c>
      <c r="E2552" t="s">
        <v>52</v>
      </c>
      <c r="F2552" t="s">
        <v>166</v>
      </c>
      <c r="G2552" t="s">
        <v>143</v>
      </c>
      <c r="H2552" t="str">
        <f>"ΖΟΥΜΑΚΗ ΒΑΣΙΛΑΚΗ 5 ΣΗΤΕΙΑ"</f>
        <v>ΖΟΥΜΑΚΗ ΒΑΣΙΛΑΚΗ 5 ΣΗΤΕΙΑ</v>
      </c>
      <c r="I2552">
        <v>72300</v>
      </c>
      <c r="J2552">
        <v>2843026298</v>
      </c>
      <c r="K2552">
        <v>6973349927</v>
      </c>
      <c r="M2552" t="s">
        <v>5215</v>
      </c>
      <c r="N2552" t="s">
        <v>146</v>
      </c>
      <c r="O2552" t="s">
        <v>147</v>
      </c>
      <c r="R2552" t="s">
        <v>121</v>
      </c>
      <c r="S2552">
        <v>1</v>
      </c>
      <c r="T2552" t="s">
        <v>416</v>
      </c>
      <c r="U2552" s="1">
        <v>43349</v>
      </c>
      <c r="V2552" t="s">
        <v>4509</v>
      </c>
      <c r="W2552" t="s">
        <v>4510</v>
      </c>
      <c r="X2552" t="s">
        <v>58</v>
      </c>
      <c r="Y2552">
        <v>23</v>
      </c>
      <c r="Z2552" t="s">
        <v>59</v>
      </c>
      <c r="AA2552" t="s">
        <v>59</v>
      </c>
      <c r="AB2552" t="s">
        <v>59</v>
      </c>
      <c r="AD2552" t="s">
        <v>59</v>
      </c>
      <c r="AF2552" s="1">
        <v>43349</v>
      </c>
      <c r="AG2552" t="s">
        <v>125</v>
      </c>
      <c r="AH2552" t="s">
        <v>126</v>
      </c>
      <c r="AI2552" t="str">
        <f>"3204010"</f>
        <v>3204010</v>
      </c>
      <c r="AJ2552" t="s">
        <v>4542</v>
      </c>
      <c r="AK2552">
        <v>2843022503</v>
      </c>
      <c r="AL2552" t="s">
        <v>4543</v>
      </c>
      <c r="AM2552" t="s">
        <v>4513</v>
      </c>
      <c r="AN2552" t="s">
        <v>4540</v>
      </c>
      <c r="AO2552" t="s">
        <v>4540</v>
      </c>
      <c r="AP2552" t="s">
        <v>4540</v>
      </c>
      <c r="AQ2552">
        <v>6</v>
      </c>
      <c r="AR2552" t="s">
        <v>4509</v>
      </c>
      <c r="AS2552" t="s">
        <v>4510</v>
      </c>
      <c r="AT2552" t="s">
        <v>58</v>
      </c>
      <c r="AU2552" t="s">
        <v>419</v>
      </c>
      <c r="AV2552" t="s">
        <v>132</v>
      </c>
      <c r="AW2552" s="1">
        <v>29012</v>
      </c>
      <c r="AX2552">
        <v>2</v>
      </c>
    </row>
    <row r="2553" spans="1:50">
      <c r="A2553">
        <v>164415</v>
      </c>
      <c r="B2553" t="str">
        <f>"032920879"</f>
        <v>032920879</v>
      </c>
      <c r="C2553" t="s">
        <v>105</v>
      </c>
      <c r="D2553" t="s">
        <v>3055</v>
      </c>
      <c r="E2553" t="s">
        <v>53</v>
      </c>
      <c r="F2553" t="s">
        <v>1679</v>
      </c>
      <c r="G2553" t="s">
        <v>52</v>
      </c>
      <c r="H2553" t="str">
        <f>" "</f>
        <v xml:space="preserve"> </v>
      </c>
      <c r="J2553">
        <v>2843023512</v>
      </c>
      <c r="K2553">
        <v>6973503641</v>
      </c>
      <c r="M2553" t="s">
        <v>5216</v>
      </c>
      <c r="N2553" t="s">
        <v>292</v>
      </c>
      <c r="O2553" t="s">
        <v>293</v>
      </c>
      <c r="R2553" t="s">
        <v>57</v>
      </c>
      <c r="S2553">
        <v>14</v>
      </c>
      <c r="T2553">
        <v>161</v>
      </c>
      <c r="U2553" s="1">
        <v>33844</v>
      </c>
      <c r="V2553" t="s">
        <v>4509</v>
      </c>
      <c r="W2553" t="s">
        <v>4510</v>
      </c>
      <c r="X2553" t="s">
        <v>58</v>
      </c>
      <c r="Y2553">
        <v>18</v>
      </c>
      <c r="Z2553" t="s">
        <v>59</v>
      </c>
      <c r="AA2553" t="s">
        <v>59</v>
      </c>
      <c r="AB2553" t="s">
        <v>59</v>
      </c>
      <c r="AC2553" t="s">
        <v>59</v>
      </c>
      <c r="AD2553" t="s">
        <v>59</v>
      </c>
      <c r="AF2553" s="1">
        <v>33848</v>
      </c>
      <c r="AG2553" t="s">
        <v>148</v>
      </c>
      <c r="AH2553" t="s">
        <v>149</v>
      </c>
      <c r="AI2553" t="str">
        <f>"3254010"</f>
        <v>3254010</v>
      </c>
      <c r="AJ2553" t="s">
        <v>4538</v>
      </c>
      <c r="AK2553">
        <v>2843022277</v>
      </c>
      <c r="AL2553" t="s">
        <v>4539</v>
      </c>
      <c r="AM2553" t="s">
        <v>4513</v>
      </c>
      <c r="AN2553" t="s">
        <v>4540</v>
      </c>
      <c r="AO2553" t="s">
        <v>4540</v>
      </c>
      <c r="AP2553" t="s">
        <v>4540</v>
      </c>
      <c r="AQ2553">
        <v>6</v>
      </c>
      <c r="AR2553" t="s">
        <v>4509</v>
      </c>
      <c r="AS2553" t="s">
        <v>4510</v>
      </c>
      <c r="AT2553" t="s">
        <v>58</v>
      </c>
      <c r="AU2553" t="s">
        <v>68</v>
      </c>
      <c r="AV2553" t="s">
        <v>69</v>
      </c>
      <c r="AW2553" s="1">
        <v>21565</v>
      </c>
      <c r="AX2553">
        <v>2</v>
      </c>
    </row>
    <row r="2554" spans="1:50">
      <c r="A2554">
        <v>169936</v>
      </c>
      <c r="B2554" t="str">
        <f>"126302566"</f>
        <v>126302566</v>
      </c>
      <c r="C2554" t="s">
        <v>50</v>
      </c>
      <c r="D2554" t="s">
        <v>3060</v>
      </c>
      <c r="E2554" t="s">
        <v>2301</v>
      </c>
      <c r="F2554" t="s">
        <v>99</v>
      </c>
      <c r="G2554" t="s">
        <v>5217</v>
      </c>
      <c r="H2554" t="str">
        <f>"ΕΡΥΘΡΟΥ ΣΤΡΑΥΡΟΥ 53 ΑΓΙΟΣ ΝΙΚΟΛΑΟΣ"</f>
        <v>ΕΡΥΘΡΟΥ ΣΤΡΑΥΡΟΥ 53 ΑΓΙΟΣ ΝΙΚΟΛΑΟΣ</v>
      </c>
      <c r="I2554">
        <v>72100</v>
      </c>
      <c r="J2554">
        <v>2841025571</v>
      </c>
      <c r="L2554">
        <v>2841028912</v>
      </c>
      <c r="M2554" t="s">
        <v>5218</v>
      </c>
      <c r="N2554" t="s">
        <v>146</v>
      </c>
      <c r="O2554" t="s">
        <v>147</v>
      </c>
      <c r="R2554" t="s">
        <v>57</v>
      </c>
      <c r="S2554">
        <v>13</v>
      </c>
      <c r="T2554">
        <v>184</v>
      </c>
      <c r="U2554" s="1">
        <v>34941</v>
      </c>
      <c r="V2554" t="s">
        <v>4509</v>
      </c>
      <c r="W2554" t="s">
        <v>4510</v>
      </c>
      <c r="X2554" t="s">
        <v>58</v>
      </c>
      <c r="Y2554">
        <v>18</v>
      </c>
      <c r="Z2554" t="s">
        <v>59</v>
      </c>
      <c r="AA2554" t="s">
        <v>59</v>
      </c>
      <c r="AB2554" t="s">
        <v>59</v>
      </c>
      <c r="AC2554" t="s">
        <v>59</v>
      </c>
      <c r="AD2554" t="s">
        <v>59</v>
      </c>
      <c r="AF2554" s="1">
        <v>34943</v>
      </c>
      <c r="AG2554" t="s">
        <v>345</v>
      </c>
      <c r="AH2554" t="s">
        <v>346</v>
      </c>
      <c r="AI2554" t="str">
        <f>"3241002"</f>
        <v>3241002</v>
      </c>
      <c r="AJ2554" t="s">
        <v>4626</v>
      </c>
      <c r="AK2554">
        <v>2841083053</v>
      </c>
      <c r="AL2554" t="s">
        <v>4627</v>
      </c>
      <c r="AM2554" t="s">
        <v>4513</v>
      </c>
      <c r="AN2554" t="s">
        <v>4514</v>
      </c>
      <c r="AO2554" t="s">
        <v>4514</v>
      </c>
      <c r="AP2554" t="s">
        <v>4514</v>
      </c>
      <c r="AQ2554">
        <v>1</v>
      </c>
      <c r="AR2554" t="s">
        <v>4509</v>
      </c>
      <c r="AS2554" t="s">
        <v>4510</v>
      </c>
      <c r="AT2554" t="s">
        <v>58</v>
      </c>
      <c r="AU2554" t="s">
        <v>68</v>
      </c>
      <c r="AV2554" t="s">
        <v>69</v>
      </c>
      <c r="AW2554" s="1">
        <v>23886</v>
      </c>
      <c r="AX2554">
        <v>2</v>
      </c>
    </row>
    <row r="2555" spans="1:50">
      <c r="A2555">
        <v>204855</v>
      </c>
      <c r="B2555" t="str">
        <f>"020648121"</f>
        <v>020648121</v>
      </c>
      <c r="C2555" t="s">
        <v>105</v>
      </c>
      <c r="D2555" t="s">
        <v>3060</v>
      </c>
      <c r="E2555" t="s">
        <v>106</v>
      </c>
      <c r="F2555" t="s">
        <v>936</v>
      </c>
      <c r="G2555" t="s">
        <v>3477</v>
      </c>
      <c r="H2555" t="str">
        <f>"ΧΡ. ΚΑΤΣΑΡΗ 67 ΙΩΑΝΝΙΝΑ"</f>
        <v>ΧΡ. ΚΑΤΣΑΡΗ 67 ΙΩΑΝΝΙΝΑ</v>
      </c>
      <c r="I2555">
        <v>45221</v>
      </c>
      <c r="J2555">
        <v>2651067855</v>
      </c>
      <c r="K2555">
        <v>6977694450</v>
      </c>
      <c r="L2555">
        <v>2651029354</v>
      </c>
      <c r="M2555" t="s">
        <v>5219</v>
      </c>
      <c r="N2555" t="s">
        <v>282</v>
      </c>
      <c r="O2555" t="s">
        <v>283</v>
      </c>
      <c r="R2555" t="s">
        <v>57</v>
      </c>
      <c r="S2555">
        <v>8</v>
      </c>
      <c r="T2555" t="s">
        <v>5220</v>
      </c>
      <c r="U2555" s="1">
        <v>37874</v>
      </c>
      <c r="V2555" t="s">
        <v>4509</v>
      </c>
      <c r="W2555" t="s">
        <v>4510</v>
      </c>
      <c r="X2555" t="s">
        <v>58</v>
      </c>
      <c r="Y2555">
        <v>20</v>
      </c>
      <c r="Z2555" t="s">
        <v>59</v>
      </c>
      <c r="AA2555" t="s">
        <v>59</v>
      </c>
      <c r="AB2555" t="s">
        <v>59</v>
      </c>
      <c r="AC2555" t="s">
        <v>59</v>
      </c>
      <c r="AD2555" t="s">
        <v>59</v>
      </c>
      <c r="AF2555" s="1">
        <v>38236</v>
      </c>
      <c r="AG2555" t="s">
        <v>137</v>
      </c>
      <c r="AH2555" t="s">
        <v>138</v>
      </c>
      <c r="AI2555" t="str">
        <f>"3240077"</f>
        <v>3240077</v>
      </c>
      <c r="AJ2555" t="s">
        <v>4528</v>
      </c>
      <c r="AK2555">
        <v>2841025978</v>
      </c>
      <c r="AL2555" t="s">
        <v>4529</v>
      </c>
      <c r="AM2555" t="s">
        <v>4513</v>
      </c>
      <c r="AN2555" t="s">
        <v>4514</v>
      </c>
      <c r="AO2555" t="s">
        <v>4514</v>
      </c>
      <c r="AP2555" t="s">
        <v>4514</v>
      </c>
      <c r="AQ2555">
        <v>1</v>
      </c>
      <c r="AR2555" t="s">
        <v>4509</v>
      </c>
      <c r="AS2555" t="s">
        <v>4510</v>
      </c>
      <c r="AT2555" t="s">
        <v>58</v>
      </c>
      <c r="AU2555" t="s">
        <v>68</v>
      </c>
      <c r="AV2555" t="s">
        <v>69</v>
      </c>
      <c r="AW2555" s="1">
        <v>22270</v>
      </c>
      <c r="AX2555">
        <v>2</v>
      </c>
    </row>
    <row r="2556" spans="1:50">
      <c r="A2556">
        <v>190940</v>
      </c>
      <c r="B2556" t="str">
        <f>"037536902"</f>
        <v>037536902</v>
      </c>
      <c r="C2556" t="s">
        <v>105</v>
      </c>
      <c r="D2556" t="s">
        <v>3062</v>
      </c>
      <c r="E2556" t="s">
        <v>383</v>
      </c>
      <c r="F2556" t="s">
        <v>106</v>
      </c>
      <c r="G2556" t="s">
        <v>460</v>
      </c>
      <c r="H2556" t="str">
        <f>" "</f>
        <v xml:space="preserve"> </v>
      </c>
      <c r="M2556" t="s">
        <v>5221</v>
      </c>
      <c r="N2556" t="s">
        <v>204</v>
      </c>
      <c r="O2556" t="s">
        <v>205</v>
      </c>
      <c r="R2556" t="s">
        <v>57</v>
      </c>
      <c r="S2556">
        <v>10</v>
      </c>
      <c r="T2556">
        <v>219</v>
      </c>
      <c r="U2556" s="1">
        <v>37134</v>
      </c>
      <c r="V2556" t="s">
        <v>4509</v>
      </c>
      <c r="W2556" t="s">
        <v>4510</v>
      </c>
      <c r="X2556" t="s">
        <v>58</v>
      </c>
      <c r="Y2556">
        <v>20</v>
      </c>
      <c r="Z2556" t="s">
        <v>59</v>
      </c>
      <c r="AA2556" t="s">
        <v>59</v>
      </c>
      <c r="AB2556" t="s">
        <v>59</v>
      </c>
      <c r="AC2556" t="s">
        <v>59</v>
      </c>
      <c r="AD2556" t="s">
        <v>59</v>
      </c>
      <c r="AF2556" s="1">
        <v>37135</v>
      </c>
      <c r="AG2556" t="s">
        <v>137</v>
      </c>
      <c r="AH2556" t="s">
        <v>138</v>
      </c>
      <c r="AI2556" t="str">
        <f>"3240077"</f>
        <v>3240077</v>
      </c>
      <c r="AJ2556" t="s">
        <v>4528</v>
      </c>
      <c r="AK2556">
        <v>2841025978</v>
      </c>
      <c r="AL2556" t="s">
        <v>4529</v>
      </c>
      <c r="AM2556" t="s">
        <v>4513</v>
      </c>
      <c r="AN2556" t="s">
        <v>4514</v>
      </c>
      <c r="AO2556" t="s">
        <v>4514</v>
      </c>
      <c r="AP2556" t="s">
        <v>4514</v>
      </c>
      <c r="AQ2556">
        <v>1</v>
      </c>
      <c r="AR2556" t="s">
        <v>4509</v>
      </c>
      <c r="AS2556" t="s">
        <v>4510</v>
      </c>
      <c r="AT2556" t="s">
        <v>58</v>
      </c>
      <c r="AU2556" t="s">
        <v>68</v>
      </c>
      <c r="AV2556" t="s">
        <v>69</v>
      </c>
      <c r="AW2556" s="1">
        <v>27509</v>
      </c>
      <c r="AX2556">
        <v>2</v>
      </c>
    </row>
    <row r="2557" spans="1:50">
      <c r="A2557">
        <v>183849</v>
      </c>
      <c r="B2557" t="str">
        <f>"026787680"</f>
        <v>026787680</v>
      </c>
      <c r="C2557" t="s">
        <v>105</v>
      </c>
      <c r="D2557" t="s">
        <v>3062</v>
      </c>
      <c r="E2557" t="s">
        <v>510</v>
      </c>
      <c r="F2557" t="s">
        <v>95</v>
      </c>
      <c r="G2557" t="s">
        <v>52</v>
      </c>
      <c r="H2557" t="str">
        <f>"ΠΕΝΤΕΛΗΣ 12 ΠΕΡΙΣΤΕΡΙ"</f>
        <v>ΠΕΝΤΕΛΗΣ 12 ΠΕΡΙΣΤΕΡΙ</v>
      </c>
      <c r="I2557">
        <v>12132</v>
      </c>
      <c r="J2557">
        <v>2105749554</v>
      </c>
      <c r="K2557">
        <v>6947049737</v>
      </c>
      <c r="M2557" t="s">
        <v>5222</v>
      </c>
      <c r="N2557" t="s">
        <v>292</v>
      </c>
      <c r="O2557" t="s">
        <v>293</v>
      </c>
      <c r="R2557" t="s">
        <v>57</v>
      </c>
      <c r="S2557">
        <v>11</v>
      </c>
      <c r="T2557">
        <v>177</v>
      </c>
      <c r="U2557" s="1">
        <v>36403</v>
      </c>
      <c r="V2557" t="s">
        <v>4509</v>
      </c>
      <c r="W2557" t="s">
        <v>4510</v>
      </c>
      <c r="X2557" t="s">
        <v>58</v>
      </c>
      <c r="Y2557">
        <v>20</v>
      </c>
      <c r="Z2557" t="s">
        <v>59</v>
      </c>
      <c r="AA2557" t="s">
        <v>59</v>
      </c>
      <c r="AB2557" t="s">
        <v>59</v>
      </c>
      <c r="AC2557" t="s">
        <v>59</v>
      </c>
      <c r="AD2557" t="s">
        <v>59</v>
      </c>
      <c r="AF2557" s="1">
        <v>36405</v>
      </c>
      <c r="AG2557" t="s">
        <v>148</v>
      </c>
      <c r="AH2557" t="s">
        <v>149</v>
      </c>
      <c r="AI2557" t="str">
        <f>"3252010"</f>
        <v>3252010</v>
      </c>
      <c r="AJ2557" t="s">
        <v>4532</v>
      </c>
      <c r="AK2557">
        <v>2842022356</v>
      </c>
      <c r="AL2557" t="s">
        <v>4533</v>
      </c>
      <c r="AM2557" t="s">
        <v>4513</v>
      </c>
      <c r="AN2557" t="s">
        <v>4519</v>
      </c>
      <c r="AO2557" t="s">
        <v>4519</v>
      </c>
      <c r="AP2557" t="s">
        <v>4519</v>
      </c>
      <c r="AQ2557">
        <v>4</v>
      </c>
      <c r="AR2557" t="s">
        <v>4509</v>
      </c>
      <c r="AS2557" t="s">
        <v>4510</v>
      </c>
      <c r="AT2557" t="s">
        <v>58</v>
      </c>
      <c r="AU2557" t="s">
        <v>68</v>
      </c>
      <c r="AV2557" t="s">
        <v>69</v>
      </c>
      <c r="AW2557" s="1">
        <v>22124</v>
      </c>
      <c r="AX2557">
        <v>2</v>
      </c>
    </row>
    <row r="2558" spans="1:50">
      <c r="A2558">
        <v>228740</v>
      </c>
      <c r="B2558" t="str">
        <f>"047260083"</f>
        <v>047260083</v>
      </c>
      <c r="C2558" t="s">
        <v>50</v>
      </c>
      <c r="D2558" t="s">
        <v>5223</v>
      </c>
      <c r="E2558" t="s">
        <v>263</v>
      </c>
      <c r="F2558" t="s">
        <v>581</v>
      </c>
      <c r="G2558" t="s">
        <v>98</v>
      </c>
      <c r="H2558" t="str">
        <f>" "</f>
        <v xml:space="preserve"> </v>
      </c>
      <c r="N2558" t="s">
        <v>176</v>
      </c>
      <c r="O2558" t="s">
        <v>177</v>
      </c>
      <c r="R2558" t="s">
        <v>57</v>
      </c>
      <c r="S2558">
        <v>6</v>
      </c>
      <c r="T2558">
        <v>683</v>
      </c>
      <c r="U2558" s="1">
        <v>40052</v>
      </c>
      <c r="V2558" t="s">
        <v>4509</v>
      </c>
      <c r="W2558" t="s">
        <v>4510</v>
      </c>
      <c r="X2558" t="s">
        <v>58</v>
      </c>
      <c r="Y2558">
        <v>21</v>
      </c>
      <c r="Z2558" t="s">
        <v>59</v>
      </c>
      <c r="AA2558" t="s">
        <v>59</v>
      </c>
      <c r="AB2558" t="s">
        <v>59</v>
      </c>
      <c r="AC2558" t="s">
        <v>59</v>
      </c>
      <c r="AD2558" t="s">
        <v>59</v>
      </c>
      <c r="AF2558" s="1">
        <v>40053</v>
      </c>
      <c r="AG2558" t="s">
        <v>137</v>
      </c>
      <c r="AH2558" t="s">
        <v>138</v>
      </c>
      <c r="AI2558" t="str">
        <f>"3240120"</f>
        <v>3240120</v>
      </c>
      <c r="AJ2558" t="s">
        <v>4552</v>
      </c>
      <c r="AK2558">
        <v>2842028667</v>
      </c>
      <c r="AL2558" t="s">
        <v>4553</v>
      </c>
      <c r="AM2558" t="s">
        <v>4513</v>
      </c>
      <c r="AN2558" t="s">
        <v>4519</v>
      </c>
      <c r="AO2558" t="s">
        <v>4519</v>
      </c>
      <c r="AP2558" t="s">
        <v>4519</v>
      </c>
      <c r="AQ2558">
        <v>4</v>
      </c>
      <c r="AR2558" t="s">
        <v>4509</v>
      </c>
      <c r="AS2558" t="s">
        <v>4510</v>
      </c>
      <c r="AT2558" t="s">
        <v>58</v>
      </c>
      <c r="AU2558" t="s">
        <v>68</v>
      </c>
      <c r="AV2558" t="s">
        <v>132</v>
      </c>
      <c r="AW2558" s="1">
        <v>24513</v>
      </c>
      <c r="AX2558">
        <v>2</v>
      </c>
    </row>
    <row r="2559" spans="1:50">
      <c r="A2559">
        <v>212297</v>
      </c>
      <c r="B2559" t="str">
        <f>"074890314"</f>
        <v>074890314</v>
      </c>
      <c r="C2559" t="s">
        <v>50</v>
      </c>
      <c r="D2559" t="s">
        <v>3077</v>
      </c>
      <c r="E2559" t="s">
        <v>934</v>
      </c>
      <c r="F2559" t="s">
        <v>95</v>
      </c>
      <c r="G2559" t="s">
        <v>52</v>
      </c>
      <c r="H2559" t="str">
        <f>" ΑΓΙΟΣ ΝΙΚΟΛΑΟΣ"</f>
        <v xml:space="preserve"> ΑΓΙΟΣ ΝΙΚΟΛΑΟΣ</v>
      </c>
      <c r="I2559">
        <v>72100</v>
      </c>
      <c r="J2559">
        <v>2841028167</v>
      </c>
      <c r="L2559">
        <v>2841026177</v>
      </c>
      <c r="M2559" t="s">
        <v>5224</v>
      </c>
      <c r="N2559" t="s">
        <v>146</v>
      </c>
      <c r="O2559" t="s">
        <v>147</v>
      </c>
      <c r="R2559" t="s">
        <v>57</v>
      </c>
      <c r="S2559">
        <v>7</v>
      </c>
      <c r="T2559">
        <v>231</v>
      </c>
      <c r="U2559" s="1">
        <v>38960</v>
      </c>
      <c r="V2559" t="s">
        <v>4509</v>
      </c>
      <c r="W2559" t="s">
        <v>4510</v>
      </c>
      <c r="X2559" t="s">
        <v>58</v>
      </c>
      <c r="Y2559">
        <v>20</v>
      </c>
      <c r="Z2559" t="s">
        <v>59</v>
      </c>
      <c r="AA2559" t="s">
        <v>59</v>
      </c>
      <c r="AB2559" t="s">
        <v>59</v>
      </c>
      <c r="AC2559" t="s">
        <v>59</v>
      </c>
      <c r="AD2559" t="s">
        <v>59</v>
      </c>
      <c r="AF2559" s="1">
        <v>38961</v>
      </c>
      <c r="AG2559" t="s">
        <v>137</v>
      </c>
      <c r="AH2559" t="s">
        <v>138</v>
      </c>
      <c r="AI2559" t="str">
        <f>"3240077"</f>
        <v>3240077</v>
      </c>
      <c r="AJ2559" t="s">
        <v>4528</v>
      </c>
      <c r="AK2559">
        <v>2841025978</v>
      </c>
      <c r="AL2559" t="s">
        <v>4529</v>
      </c>
      <c r="AM2559" t="s">
        <v>4513</v>
      </c>
      <c r="AN2559" t="s">
        <v>4514</v>
      </c>
      <c r="AO2559" t="s">
        <v>4514</v>
      </c>
      <c r="AP2559" t="s">
        <v>4514</v>
      </c>
      <c r="AQ2559">
        <v>1</v>
      </c>
      <c r="AR2559" t="s">
        <v>4509</v>
      </c>
      <c r="AS2559" t="s">
        <v>4510</v>
      </c>
      <c r="AT2559" t="s">
        <v>58</v>
      </c>
      <c r="AU2559" t="s">
        <v>68</v>
      </c>
      <c r="AV2559" t="s">
        <v>69</v>
      </c>
      <c r="AW2559" s="1">
        <v>25300</v>
      </c>
      <c r="AX2559">
        <v>2</v>
      </c>
    </row>
    <row r="2560" spans="1:50">
      <c r="A2560">
        <v>202386</v>
      </c>
      <c r="B2560" t="str">
        <f>"051531056"</f>
        <v>051531056</v>
      </c>
      <c r="C2560" t="s">
        <v>105</v>
      </c>
      <c r="D2560" t="s">
        <v>5225</v>
      </c>
      <c r="E2560" t="s">
        <v>72</v>
      </c>
      <c r="F2560" t="s">
        <v>383</v>
      </c>
      <c r="G2560" t="s">
        <v>484</v>
      </c>
      <c r="H2560" t="str">
        <f>" "</f>
        <v xml:space="preserve"> </v>
      </c>
      <c r="J2560">
        <v>2843025814</v>
      </c>
      <c r="K2560">
        <v>6977686237</v>
      </c>
      <c r="M2560" t="s">
        <v>5226</v>
      </c>
      <c r="N2560" t="s">
        <v>292</v>
      </c>
      <c r="O2560" t="s">
        <v>293</v>
      </c>
      <c r="R2560" t="s">
        <v>57</v>
      </c>
      <c r="S2560">
        <v>10</v>
      </c>
      <c r="T2560">
        <v>231</v>
      </c>
      <c r="U2560" s="1">
        <v>38230</v>
      </c>
      <c r="V2560" t="s">
        <v>4509</v>
      </c>
      <c r="W2560" t="s">
        <v>4510</v>
      </c>
      <c r="X2560" t="s">
        <v>58</v>
      </c>
      <c r="Y2560">
        <v>18</v>
      </c>
      <c r="Z2560" t="s">
        <v>59</v>
      </c>
      <c r="AA2560" t="s">
        <v>59</v>
      </c>
      <c r="AB2560" t="s">
        <v>59</v>
      </c>
      <c r="AC2560" t="s">
        <v>59</v>
      </c>
      <c r="AD2560" t="s">
        <v>59</v>
      </c>
      <c r="AF2560" s="1">
        <v>38232</v>
      </c>
      <c r="AG2560" t="s">
        <v>137</v>
      </c>
      <c r="AH2560" t="s">
        <v>138</v>
      </c>
      <c r="AI2560" t="str">
        <f>"3240020"</f>
        <v>3240020</v>
      </c>
      <c r="AJ2560" t="s">
        <v>4568</v>
      </c>
      <c r="AK2560">
        <v>2843028570</v>
      </c>
      <c r="AL2560" t="s">
        <v>4569</v>
      </c>
      <c r="AM2560" t="s">
        <v>4513</v>
      </c>
      <c r="AN2560" t="s">
        <v>4540</v>
      </c>
      <c r="AO2560" t="s">
        <v>4540</v>
      </c>
      <c r="AP2560" t="s">
        <v>4540</v>
      </c>
      <c r="AQ2560">
        <v>6</v>
      </c>
      <c r="AR2560" t="s">
        <v>4509</v>
      </c>
      <c r="AS2560" t="s">
        <v>4510</v>
      </c>
      <c r="AT2560" t="s">
        <v>58</v>
      </c>
      <c r="AU2560" t="s">
        <v>68</v>
      </c>
      <c r="AV2560" t="s">
        <v>69</v>
      </c>
      <c r="AW2560" s="1">
        <v>21150</v>
      </c>
      <c r="AX2560">
        <v>2</v>
      </c>
    </row>
    <row r="2561" spans="1:50">
      <c r="A2561">
        <v>200446</v>
      </c>
      <c r="B2561" t="str">
        <f>"049666122"</f>
        <v>049666122</v>
      </c>
      <c r="C2561" t="s">
        <v>50</v>
      </c>
      <c r="D2561" t="s">
        <v>5227</v>
      </c>
      <c r="E2561" t="s">
        <v>476</v>
      </c>
      <c r="F2561" t="s">
        <v>95</v>
      </c>
      <c r="G2561" t="s">
        <v>414</v>
      </c>
      <c r="H2561" t="str">
        <f>"ΣΑΚΚΑΔΑΚΗ 4 ΣΗΤΕΙΑ"</f>
        <v>ΣΑΚΚΑΔΑΚΗ 4 ΣΗΤΕΙΑ</v>
      </c>
      <c r="I2561">
        <v>72300</v>
      </c>
      <c r="J2561">
        <v>2843022229</v>
      </c>
      <c r="K2561">
        <v>6978483588</v>
      </c>
      <c r="M2561" t="s">
        <v>5228</v>
      </c>
      <c r="N2561" t="s">
        <v>204</v>
      </c>
      <c r="O2561" t="s">
        <v>205</v>
      </c>
      <c r="R2561" t="s">
        <v>57</v>
      </c>
      <c r="S2561">
        <v>10</v>
      </c>
      <c r="T2561">
        <v>206</v>
      </c>
      <c r="U2561" s="1">
        <v>37866</v>
      </c>
      <c r="V2561" t="s">
        <v>4509</v>
      </c>
      <c r="W2561" t="s">
        <v>4510</v>
      </c>
      <c r="X2561" t="s">
        <v>58</v>
      </c>
      <c r="Y2561">
        <v>20</v>
      </c>
      <c r="Z2561" t="s">
        <v>59</v>
      </c>
      <c r="AA2561" t="s">
        <v>59</v>
      </c>
      <c r="AB2561" t="s">
        <v>59</v>
      </c>
      <c r="AC2561" t="s">
        <v>59</v>
      </c>
      <c r="AD2561" t="s">
        <v>59</v>
      </c>
      <c r="AF2561" s="1">
        <v>37866</v>
      </c>
      <c r="AG2561" t="s">
        <v>137</v>
      </c>
      <c r="AH2561" t="s">
        <v>138</v>
      </c>
      <c r="AI2561" t="str">
        <f>"3240020"</f>
        <v>3240020</v>
      </c>
      <c r="AJ2561" t="s">
        <v>4568</v>
      </c>
      <c r="AK2561">
        <v>2843028570</v>
      </c>
      <c r="AL2561" t="s">
        <v>4569</v>
      </c>
      <c r="AM2561" t="s">
        <v>4513</v>
      </c>
      <c r="AN2561" t="s">
        <v>4540</v>
      </c>
      <c r="AO2561" t="s">
        <v>4540</v>
      </c>
      <c r="AP2561" t="s">
        <v>4540</v>
      </c>
      <c r="AQ2561">
        <v>6</v>
      </c>
      <c r="AR2561" t="s">
        <v>4509</v>
      </c>
      <c r="AS2561" t="s">
        <v>4510</v>
      </c>
      <c r="AT2561" t="s">
        <v>58</v>
      </c>
      <c r="AU2561" t="s">
        <v>68</v>
      </c>
      <c r="AV2561" t="s">
        <v>69</v>
      </c>
      <c r="AW2561" s="1">
        <v>27634</v>
      </c>
      <c r="AX2561">
        <v>2</v>
      </c>
    </row>
    <row r="2562" spans="1:50">
      <c r="A2562">
        <v>194469</v>
      </c>
      <c r="B2562" t="str">
        <f>"043811054"</f>
        <v>043811054</v>
      </c>
      <c r="C2562" t="s">
        <v>50</v>
      </c>
      <c r="D2562" t="s">
        <v>5227</v>
      </c>
      <c r="E2562" t="s">
        <v>484</v>
      </c>
      <c r="F2562" t="s">
        <v>95</v>
      </c>
      <c r="G2562" t="s">
        <v>414</v>
      </c>
      <c r="H2562" t="str">
        <f>" "</f>
        <v xml:space="preserve"> </v>
      </c>
      <c r="J2562">
        <v>2843022229</v>
      </c>
      <c r="K2562">
        <v>6906667123</v>
      </c>
      <c r="M2562" t="s">
        <v>5229</v>
      </c>
      <c r="N2562" t="s">
        <v>176</v>
      </c>
      <c r="O2562" t="s">
        <v>177</v>
      </c>
      <c r="R2562" t="s">
        <v>57</v>
      </c>
      <c r="S2562">
        <v>10</v>
      </c>
      <c r="T2562">
        <v>193</v>
      </c>
      <c r="U2562" s="1">
        <v>37497</v>
      </c>
      <c r="V2562" t="s">
        <v>4509</v>
      </c>
      <c r="W2562" t="s">
        <v>4510</v>
      </c>
      <c r="X2562" t="s">
        <v>58</v>
      </c>
      <c r="Y2562">
        <v>18</v>
      </c>
      <c r="Z2562" t="s">
        <v>59</v>
      </c>
      <c r="AA2562" t="s">
        <v>59</v>
      </c>
      <c r="AB2562" t="s">
        <v>59</v>
      </c>
      <c r="AC2562" t="s">
        <v>59</v>
      </c>
      <c r="AD2562" t="s">
        <v>59</v>
      </c>
      <c r="AF2562" s="1">
        <v>37501</v>
      </c>
      <c r="AG2562" t="s">
        <v>125</v>
      </c>
      <c r="AH2562" t="s">
        <v>126</v>
      </c>
      <c r="AI2562" t="str">
        <f>"3204020"</f>
        <v>3204020</v>
      </c>
      <c r="AJ2562" t="s">
        <v>4632</v>
      </c>
      <c r="AK2562">
        <v>2843023923</v>
      </c>
      <c r="AL2562" t="s">
        <v>4633</v>
      </c>
      <c r="AM2562" t="s">
        <v>4513</v>
      </c>
      <c r="AN2562" t="s">
        <v>4540</v>
      </c>
      <c r="AO2562" t="s">
        <v>4540</v>
      </c>
      <c r="AP2562" t="s">
        <v>4540</v>
      </c>
      <c r="AQ2562">
        <v>6</v>
      </c>
      <c r="AR2562" t="s">
        <v>4509</v>
      </c>
      <c r="AS2562" t="s">
        <v>4510</v>
      </c>
      <c r="AT2562" t="s">
        <v>58</v>
      </c>
      <c r="AU2562" t="s">
        <v>68</v>
      </c>
      <c r="AV2562" t="s">
        <v>69</v>
      </c>
      <c r="AW2562" s="1">
        <v>24021</v>
      </c>
      <c r="AX2562">
        <v>2</v>
      </c>
    </row>
    <row r="2563" spans="1:50">
      <c r="A2563">
        <v>223472</v>
      </c>
      <c r="B2563" t="str">
        <f>"073436955"</f>
        <v>073436955</v>
      </c>
      <c r="C2563" t="s">
        <v>105</v>
      </c>
      <c r="D2563" t="s">
        <v>3094</v>
      </c>
      <c r="E2563" t="s">
        <v>108</v>
      </c>
      <c r="F2563" t="s">
        <v>670</v>
      </c>
      <c r="G2563" t="s">
        <v>181</v>
      </c>
      <c r="H2563" t="str">
        <f>" "</f>
        <v xml:space="preserve"> </v>
      </c>
      <c r="J2563">
        <v>2810824267</v>
      </c>
      <c r="K2563">
        <v>6974577149</v>
      </c>
      <c r="L2563">
        <v>2273030124</v>
      </c>
      <c r="M2563" t="s">
        <v>5230</v>
      </c>
      <c r="N2563" t="s">
        <v>232</v>
      </c>
      <c r="O2563" t="s">
        <v>233</v>
      </c>
      <c r="R2563" t="s">
        <v>57</v>
      </c>
      <c r="S2563">
        <v>4</v>
      </c>
      <c r="T2563">
        <v>775</v>
      </c>
      <c r="U2563" s="1">
        <v>39680</v>
      </c>
      <c r="V2563" t="s">
        <v>4509</v>
      </c>
      <c r="W2563" t="s">
        <v>4510</v>
      </c>
      <c r="X2563" t="s">
        <v>58</v>
      </c>
      <c r="Y2563">
        <v>21</v>
      </c>
      <c r="Z2563" t="s">
        <v>59</v>
      </c>
      <c r="AA2563" t="s">
        <v>59</v>
      </c>
      <c r="AB2563" t="s">
        <v>59</v>
      </c>
      <c r="AC2563" t="s">
        <v>59</v>
      </c>
      <c r="AD2563" t="s">
        <v>59</v>
      </c>
      <c r="AF2563" s="1">
        <v>39680</v>
      </c>
      <c r="AG2563" t="s">
        <v>148</v>
      </c>
      <c r="AH2563" t="s">
        <v>149</v>
      </c>
      <c r="AI2563" t="str">
        <f>"3251010"</f>
        <v>3251010</v>
      </c>
      <c r="AJ2563" t="s">
        <v>4646</v>
      </c>
      <c r="AK2563">
        <v>2841023649</v>
      </c>
      <c r="AL2563" t="s">
        <v>4647</v>
      </c>
      <c r="AM2563" t="s">
        <v>4513</v>
      </c>
      <c r="AN2563" t="s">
        <v>4514</v>
      </c>
      <c r="AO2563" t="s">
        <v>4514</v>
      </c>
      <c r="AP2563" t="s">
        <v>4514</v>
      </c>
      <c r="AQ2563">
        <v>1</v>
      </c>
      <c r="AR2563" t="s">
        <v>4509</v>
      </c>
      <c r="AS2563" t="s">
        <v>4510</v>
      </c>
      <c r="AT2563" t="s">
        <v>58</v>
      </c>
      <c r="AU2563" t="s">
        <v>68</v>
      </c>
      <c r="AV2563" t="s">
        <v>69</v>
      </c>
      <c r="AW2563" s="1">
        <v>26175</v>
      </c>
      <c r="AX2563">
        <v>2</v>
      </c>
    </row>
    <row r="2564" spans="1:50">
      <c r="A2564">
        <v>194965</v>
      </c>
      <c r="B2564" t="str">
        <f>"042112903"</f>
        <v>042112903</v>
      </c>
      <c r="C2564" t="s">
        <v>50</v>
      </c>
      <c r="D2564" t="s">
        <v>3103</v>
      </c>
      <c r="E2564" t="s">
        <v>5231</v>
      </c>
      <c r="F2564" t="s">
        <v>377</v>
      </c>
      <c r="G2564" t="s">
        <v>83</v>
      </c>
      <c r="H2564" t="str">
        <f>" "</f>
        <v xml:space="preserve"> </v>
      </c>
      <c r="N2564" t="s">
        <v>5232</v>
      </c>
      <c r="O2564" t="s">
        <v>5233</v>
      </c>
      <c r="R2564" t="s">
        <v>57</v>
      </c>
      <c r="S2564">
        <v>13</v>
      </c>
      <c r="T2564">
        <v>193</v>
      </c>
      <c r="U2564" s="1">
        <v>37497</v>
      </c>
      <c r="V2564" t="s">
        <v>4509</v>
      </c>
      <c r="W2564" t="s">
        <v>4510</v>
      </c>
      <c r="X2564" t="s">
        <v>58</v>
      </c>
      <c r="Y2564">
        <v>20</v>
      </c>
      <c r="Z2564" t="s">
        <v>59</v>
      </c>
      <c r="AA2564" t="s">
        <v>59</v>
      </c>
      <c r="AB2564" t="s">
        <v>59</v>
      </c>
      <c r="AC2564" t="s">
        <v>59</v>
      </c>
      <c r="AD2564" t="s">
        <v>59</v>
      </c>
      <c r="AF2564" s="1">
        <v>37500</v>
      </c>
      <c r="AG2564" t="s">
        <v>137</v>
      </c>
      <c r="AH2564" t="s">
        <v>138</v>
      </c>
      <c r="AI2564" t="str">
        <f>"3240020"</f>
        <v>3240020</v>
      </c>
      <c r="AJ2564" t="s">
        <v>4568</v>
      </c>
      <c r="AK2564">
        <v>2843028570</v>
      </c>
      <c r="AL2564" t="s">
        <v>4569</v>
      </c>
      <c r="AM2564" t="s">
        <v>4513</v>
      </c>
      <c r="AN2564" t="s">
        <v>4540</v>
      </c>
      <c r="AO2564" t="s">
        <v>4540</v>
      </c>
      <c r="AP2564" t="s">
        <v>4540</v>
      </c>
      <c r="AQ2564">
        <v>6</v>
      </c>
      <c r="AR2564" t="s">
        <v>4509</v>
      </c>
      <c r="AS2564" t="s">
        <v>4510</v>
      </c>
      <c r="AT2564" t="s">
        <v>58</v>
      </c>
      <c r="AU2564" t="s">
        <v>68</v>
      </c>
      <c r="AV2564" t="s">
        <v>69</v>
      </c>
      <c r="AW2564" s="1">
        <v>20789</v>
      </c>
      <c r="AX2564">
        <v>2</v>
      </c>
    </row>
    <row r="2565" spans="1:50">
      <c r="B2565" t="str">
        <f>"078833323"</f>
        <v>078833323</v>
      </c>
      <c r="C2565" t="s">
        <v>105</v>
      </c>
      <c r="D2565" t="s">
        <v>5234</v>
      </c>
      <c r="E2565" t="s">
        <v>309</v>
      </c>
      <c r="F2565" t="s">
        <v>1493</v>
      </c>
      <c r="G2565" t="s">
        <v>714</v>
      </c>
      <c r="H2565" t="str">
        <f>"ΚΛΕΙΟΥΣ 38 ΠΑΤΡΑ ΑΧΑΪΑΣ"</f>
        <v>ΚΛΕΙΟΥΣ 38 ΠΑΤΡΑ ΑΧΑΪΑΣ</v>
      </c>
      <c r="I2565">
        <v>26333</v>
      </c>
      <c r="J2565">
        <v>2610340854</v>
      </c>
      <c r="K2565">
        <v>6948540377</v>
      </c>
      <c r="M2565" t="s">
        <v>5235</v>
      </c>
      <c r="N2565" t="s">
        <v>232</v>
      </c>
      <c r="O2565" t="s">
        <v>233</v>
      </c>
      <c r="R2565" t="s">
        <v>159</v>
      </c>
      <c r="S2565">
        <v>4</v>
      </c>
      <c r="T2565" t="s">
        <v>416</v>
      </c>
      <c r="U2565" s="1">
        <v>43349</v>
      </c>
      <c r="V2565" t="s">
        <v>4509</v>
      </c>
      <c r="W2565" t="s">
        <v>4510</v>
      </c>
      <c r="X2565" t="s">
        <v>58</v>
      </c>
      <c r="Y2565">
        <v>21</v>
      </c>
      <c r="Z2565" t="s">
        <v>59</v>
      </c>
      <c r="AA2565" t="s">
        <v>59</v>
      </c>
      <c r="AB2565" t="s">
        <v>59</v>
      </c>
      <c r="AC2565" t="s">
        <v>59</v>
      </c>
      <c r="AD2565" t="s">
        <v>59</v>
      </c>
      <c r="AF2565" s="1">
        <v>43349</v>
      </c>
      <c r="AG2565" t="s">
        <v>148</v>
      </c>
      <c r="AH2565" t="s">
        <v>149</v>
      </c>
      <c r="AI2565" t="str">
        <f>"3253010"</f>
        <v>3253010</v>
      </c>
      <c r="AJ2565" t="s">
        <v>4579</v>
      </c>
      <c r="AK2565">
        <v>2841031769</v>
      </c>
      <c r="AL2565" t="s">
        <v>4580</v>
      </c>
      <c r="AM2565" t="s">
        <v>4513</v>
      </c>
      <c r="AN2565" t="s">
        <v>4514</v>
      </c>
      <c r="AO2565" t="s">
        <v>4524</v>
      </c>
      <c r="AP2565" t="s">
        <v>4525</v>
      </c>
      <c r="AQ2565">
        <v>3</v>
      </c>
      <c r="AR2565" t="s">
        <v>4509</v>
      </c>
      <c r="AS2565" t="s">
        <v>4510</v>
      </c>
      <c r="AT2565" t="s">
        <v>58</v>
      </c>
      <c r="AU2565" t="s">
        <v>419</v>
      </c>
      <c r="AV2565" t="s">
        <v>132</v>
      </c>
      <c r="AW2565" s="1">
        <v>25934</v>
      </c>
      <c r="AX2565">
        <v>2</v>
      </c>
    </row>
    <row r="2566" spans="1:50">
      <c r="A2566">
        <v>188091</v>
      </c>
      <c r="B2566" t="str">
        <f>"065174232"</f>
        <v>065174232</v>
      </c>
      <c r="C2566" t="s">
        <v>105</v>
      </c>
      <c r="D2566" t="s">
        <v>940</v>
      </c>
      <c r="E2566" t="s">
        <v>670</v>
      </c>
      <c r="F2566" t="s">
        <v>99</v>
      </c>
      <c r="G2566" t="s">
        <v>83</v>
      </c>
      <c r="H2566" t="str">
        <f>"28η ΟΚΤΩΒΡΙΟΥ 35α ΣΗΤΕΙΑ"</f>
        <v>28η ΟΚΤΩΒΡΙΟΥ 35α ΣΗΤΕΙΑ</v>
      </c>
      <c r="I2566">
        <v>72300</v>
      </c>
      <c r="J2566">
        <v>2843028761</v>
      </c>
      <c r="K2566">
        <v>6974426224</v>
      </c>
      <c r="N2566" t="s">
        <v>204</v>
      </c>
      <c r="O2566" t="s">
        <v>205</v>
      </c>
      <c r="R2566" t="s">
        <v>57</v>
      </c>
      <c r="S2566">
        <v>8</v>
      </c>
      <c r="T2566">
        <v>251</v>
      </c>
      <c r="U2566" s="1">
        <v>36769</v>
      </c>
      <c r="V2566" t="s">
        <v>4509</v>
      </c>
      <c r="W2566" t="s">
        <v>4510</v>
      </c>
      <c r="X2566" t="s">
        <v>58</v>
      </c>
      <c r="Y2566">
        <v>20</v>
      </c>
      <c r="Z2566" t="s">
        <v>59</v>
      </c>
      <c r="AA2566" t="s">
        <v>59</v>
      </c>
      <c r="AB2566" t="s">
        <v>59</v>
      </c>
      <c r="AC2566" t="s">
        <v>59</v>
      </c>
      <c r="AD2566" t="s">
        <v>59</v>
      </c>
      <c r="AF2566" s="1">
        <v>36770</v>
      </c>
      <c r="AG2566" t="s">
        <v>137</v>
      </c>
      <c r="AH2566" t="s">
        <v>138</v>
      </c>
      <c r="AI2566" t="str">
        <f>"3240020"</f>
        <v>3240020</v>
      </c>
      <c r="AJ2566" t="s">
        <v>4568</v>
      </c>
      <c r="AK2566">
        <v>2843028570</v>
      </c>
      <c r="AL2566" t="s">
        <v>4569</v>
      </c>
      <c r="AM2566" t="s">
        <v>4513</v>
      </c>
      <c r="AN2566" t="s">
        <v>4540</v>
      </c>
      <c r="AO2566" t="s">
        <v>4540</v>
      </c>
      <c r="AP2566" t="s">
        <v>4540</v>
      </c>
      <c r="AQ2566">
        <v>6</v>
      </c>
      <c r="AR2566" t="s">
        <v>4509</v>
      </c>
      <c r="AS2566" t="s">
        <v>4510</v>
      </c>
      <c r="AT2566" t="s">
        <v>58</v>
      </c>
      <c r="AU2566" t="s">
        <v>68</v>
      </c>
      <c r="AV2566" t="s">
        <v>69</v>
      </c>
      <c r="AW2566" s="1">
        <v>26478</v>
      </c>
      <c r="AX2566">
        <v>2</v>
      </c>
    </row>
    <row r="2567" spans="1:50">
      <c r="A2567">
        <v>228975</v>
      </c>
      <c r="B2567" t="str">
        <f>"024882662"</f>
        <v>024882662</v>
      </c>
      <c r="C2567" t="s">
        <v>105</v>
      </c>
      <c r="D2567" t="s">
        <v>5236</v>
      </c>
      <c r="E2567" t="s">
        <v>166</v>
      </c>
      <c r="F2567" t="s">
        <v>383</v>
      </c>
      <c r="G2567" t="s">
        <v>181</v>
      </c>
      <c r="H2567" t="str">
        <f>" "</f>
        <v xml:space="preserve"> </v>
      </c>
      <c r="K2567">
        <v>6995346908</v>
      </c>
      <c r="N2567" t="s">
        <v>168</v>
      </c>
      <c r="O2567" t="s">
        <v>169</v>
      </c>
      <c r="R2567" t="s">
        <v>57</v>
      </c>
      <c r="S2567">
        <v>4</v>
      </c>
      <c r="T2567">
        <v>683</v>
      </c>
      <c r="U2567" s="1">
        <v>40052</v>
      </c>
      <c r="V2567" t="s">
        <v>4509</v>
      </c>
      <c r="W2567" t="s">
        <v>4510</v>
      </c>
      <c r="X2567" t="s">
        <v>58</v>
      </c>
      <c r="Y2567">
        <v>21</v>
      </c>
      <c r="Z2567" t="s">
        <v>59</v>
      </c>
      <c r="AA2567" t="s">
        <v>59</v>
      </c>
      <c r="AB2567" t="s">
        <v>59</v>
      </c>
      <c r="AC2567" t="s">
        <v>59</v>
      </c>
      <c r="AD2567" t="s">
        <v>59</v>
      </c>
      <c r="AF2567" s="1">
        <v>40053</v>
      </c>
      <c r="AG2567" t="s">
        <v>137</v>
      </c>
      <c r="AH2567" t="s">
        <v>138</v>
      </c>
      <c r="AI2567" t="str">
        <f>"3240120"</f>
        <v>3240120</v>
      </c>
      <c r="AJ2567" t="s">
        <v>4552</v>
      </c>
      <c r="AK2567">
        <v>2842028667</v>
      </c>
      <c r="AL2567" t="s">
        <v>4553</v>
      </c>
      <c r="AM2567" t="s">
        <v>4513</v>
      </c>
      <c r="AN2567" t="s">
        <v>4519</v>
      </c>
      <c r="AO2567" t="s">
        <v>4519</v>
      </c>
      <c r="AP2567" t="s">
        <v>4519</v>
      </c>
      <c r="AQ2567">
        <v>4</v>
      </c>
      <c r="AR2567" t="s">
        <v>4509</v>
      </c>
      <c r="AS2567" t="s">
        <v>4510</v>
      </c>
      <c r="AT2567" t="s">
        <v>58</v>
      </c>
      <c r="AU2567" t="s">
        <v>68</v>
      </c>
      <c r="AV2567" t="s">
        <v>69</v>
      </c>
      <c r="AW2567" s="1">
        <v>21598</v>
      </c>
      <c r="AX2567">
        <v>2</v>
      </c>
    </row>
    <row r="2568" spans="1:50">
      <c r="A2568">
        <v>190949</v>
      </c>
      <c r="B2568" t="str">
        <f>"103802240"</f>
        <v>103802240</v>
      </c>
      <c r="C2568" t="s">
        <v>105</v>
      </c>
      <c r="D2568" t="s">
        <v>3155</v>
      </c>
      <c r="E2568" t="s">
        <v>496</v>
      </c>
      <c r="F2568" t="s">
        <v>95</v>
      </c>
      <c r="G2568" t="s">
        <v>52</v>
      </c>
      <c r="H2568" t="str">
        <f>"ΦΩΤΗ ΚΟΝΤΟΓΛΟΥ 19 ΛΑΓΚΟΣ ΑΓΙΟΥ ΝΙΚΟΛΑΟΥ"</f>
        <v>ΦΩΤΗ ΚΟΝΤΟΓΛΟΥ 19 ΛΑΓΚΟΣ ΑΓΙΟΥ ΝΙΚΟΛΑΟΥ</v>
      </c>
      <c r="I2568">
        <v>72100</v>
      </c>
      <c r="J2568">
        <v>2841026849</v>
      </c>
      <c r="K2568">
        <v>6974044091</v>
      </c>
      <c r="M2568" t="s">
        <v>5237</v>
      </c>
      <c r="N2568" t="s">
        <v>204</v>
      </c>
      <c r="O2568" t="s">
        <v>205</v>
      </c>
      <c r="R2568" t="s">
        <v>57</v>
      </c>
      <c r="S2568">
        <v>8</v>
      </c>
      <c r="T2568">
        <v>219</v>
      </c>
      <c r="U2568" s="1">
        <v>37134</v>
      </c>
      <c r="V2568" t="s">
        <v>4509</v>
      </c>
      <c r="W2568" t="s">
        <v>4510</v>
      </c>
      <c r="X2568" t="s">
        <v>58</v>
      </c>
      <c r="Y2568">
        <v>20</v>
      </c>
      <c r="Z2568" t="s">
        <v>59</v>
      </c>
      <c r="AA2568" t="s">
        <v>59</v>
      </c>
      <c r="AB2568" t="s">
        <v>59</v>
      </c>
      <c r="AC2568" t="s">
        <v>59</v>
      </c>
      <c r="AD2568" t="s">
        <v>59</v>
      </c>
      <c r="AF2568" s="1">
        <v>37137</v>
      </c>
      <c r="AG2568" t="s">
        <v>137</v>
      </c>
      <c r="AH2568" t="s">
        <v>138</v>
      </c>
      <c r="AI2568" t="str">
        <f>"3240077"</f>
        <v>3240077</v>
      </c>
      <c r="AJ2568" t="s">
        <v>4528</v>
      </c>
      <c r="AK2568">
        <v>2841025978</v>
      </c>
      <c r="AL2568" t="s">
        <v>4529</v>
      </c>
      <c r="AM2568" t="s">
        <v>4513</v>
      </c>
      <c r="AN2568" t="s">
        <v>4514</v>
      </c>
      <c r="AO2568" t="s">
        <v>4514</v>
      </c>
      <c r="AP2568" t="s">
        <v>4514</v>
      </c>
      <c r="AQ2568">
        <v>1</v>
      </c>
      <c r="AR2568" t="s">
        <v>4509</v>
      </c>
      <c r="AS2568" t="s">
        <v>4510</v>
      </c>
      <c r="AT2568" t="s">
        <v>58</v>
      </c>
      <c r="AU2568" t="s">
        <v>68</v>
      </c>
      <c r="AV2568" t="s">
        <v>69</v>
      </c>
      <c r="AW2568" s="1">
        <v>27001</v>
      </c>
      <c r="AX2568">
        <v>2</v>
      </c>
    </row>
    <row r="2569" spans="1:50">
      <c r="A2569">
        <v>194477</v>
      </c>
      <c r="B2569" t="str">
        <f>"037903860"</f>
        <v>037903860</v>
      </c>
      <c r="C2569" t="s">
        <v>50</v>
      </c>
      <c r="D2569" t="s">
        <v>3157</v>
      </c>
      <c r="E2569" t="s">
        <v>112</v>
      </c>
      <c r="F2569" t="s">
        <v>4097</v>
      </c>
      <c r="G2569" t="s">
        <v>215</v>
      </c>
      <c r="H2569" t="str">
        <f>" "</f>
        <v xml:space="preserve"> </v>
      </c>
      <c r="J2569">
        <v>2593023885</v>
      </c>
      <c r="K2569">
        <v>6974924760</v>
      </c>
      <c r="N2569" t="s">
        <v>176</v>
      </c>
      <c r="O2569" t="s">
        <v>177</v>
      </c>
      <c r="R2569" t="s">
        <v>57</v>
      </c>
      <c r="S2569">
        <v>11</v>
      </c>
      <c r="T2569">
        <v>193</v>
      </c>
      <c r="U2569" s="1">
        <v>37497</v>
      </c>
      <c r="V2569" t="s">
        <v>4509</v>
      </c>
      <c r="W2569" t="s">
        <v>4510</v>
      </c>
      <c r="X2569" t="s">
        <v>58</v>
      </c>
      <c r="Y2569">
        <v>20</v>
      </c>
      <c r="Z2569" t="s">
        <v>59</v>
      </c>
      <c r="AA2569" t="s">
        <v>59</v>
      </c>
      <c r="AB2569" t="s">
        <v>59</v>
      </c>
      <c r="AC2569" t="s">
        <v>59</v>
      </c>
      <c r="AD2569" t="s">
        <v>59</v>
      </c>
      <c r="AF2569" s="1">
        <v>37502</v>
      </c>
      <c r="AG2569" t="s">
        <v>125</v>
      </c>
      <c r="AH2569" t="s">
        <v>126</v>
      </c>
      <c r="AI2569" t="str">
        <f>"3202020"</f>
        <v>3202020</v>
      </c>
      <c r="AJ2569" t="s">
        <v>4576</v>
      </c>
      <c r="AK2569">
        <v>2842022289</v>
      </c>
      <c r="AL2569" t="s">
        <v>4577</v>
      </c>
      <c r="AM2569" t="s">
        <v>4513</v>
      </c>
      <c r="AN2569" t="s">
        <v>4519</v>
      </c>
      <c r="AO2569" t="s">
        <v>4519</v>
      </c>
      <c r="AP2569" t="s">
        <v>4519</v>
      </c>
      <c r="AQ2569">
        <v>4</v>
      </c>
      <c r="AR2569" t="s">
        <v>4509</v>
      </c>
      <c r="AS2569" t="s">
        <v>4510</v>
      </c>
      <c r="AT2569" t="s">
        <v>58</v>
      </c>
      <c r="AU2569" t="s">
        <v>68</v>
      </c>
      <c r="AV2569" t="s">
        <v>69</v>
      </c>
      <c r="AW2569" s="1">
        <v>24800</v>
      </c>
      <c r="AX2569">
        <v>2</v>
      </c>
    </row>
    <row r="2570" spans="1:50">
      <c r="A2570">
        <v>172034</v>
      </c>
      <c r="B2570" t="str">
        <f>"074846886"</f>
        <v>074846886</v>
      </c>
      <c r="C2570" t="s">
        <v>50</v>
      </c>
      <c r="D2570" t="s">
        <v>3157</v>
      </c>
      <c r="E2570" t="s">
        <v>109</v>
      </c>
      <c r="F2570" t="s">
        <v>95</v>
      </c>
      <c r="G2570" t="s">
        <v>1065</v>
      </c>
      <c r="H2570" t="str">
        <f>"ΑΘΑΝΑΣΙΟΥ ΔΙΑΚΟΥ  4 ΑΓΙΟΣ ΝΙΚΟΛΑΟΣ"</f>
        <v>ΑΘΑΝΑΣΙΟΥ ΔΙΑΚΟΥ  4 ΑΓΙΟΣ ΝΙΚΟΛΑΟΣ</v>
      </c>
      <c r="I2570">
        <v>72100</v>
      </c>
      <c r="J2570">
        <v>2841082033</v>
      </c>
      <c r="K2570">
        <v>6945183993</v>
      </c>
      <c r="M2570" t="s">
        <v>5238</v>
      </c>
      <c r="N2570" t="s">
        <v>337</v>
      </c>
      <c r="O2570" t="s">
        <v>338</v>
      </c>
      <c r="R2570" t="s">
        <v>57</v>
      </c>
      <c r="S2570">
        <v>11</v>
      </c>
      <c r="T2570">
        <v>184</v>
      </c>
      <c r="U2570" s="1">
        <v>34941</v>
      </c>
      <c r="V2570" t="s">
        <v>4509</v>
      </c>
      <c r="W2570" t="s">
        <v>4510</v>
      </c>
      <c r="X2570" t="s">
        <v>58</v>
      </c>
      <c r="Y2570">
        <v>18</v>
      </c>
      <c r="Z2570" t="s">
        <v>59</v>
      </c>
      <c r="AA2570" t="s">
        <v>59</v>
      </c>
      <c r="AB2570" t="s">
        <v>59</v>
      </c>
      <c r="AC2570" t="s">
        <v>59</v>
      </c>
      <c r="AD2570" t="s">
        <v>59</v>
      </c>
      <c r="AF2570" s="1">
        <v>34943</v>
      </c>
      <c r="AG2570" t="s">
        <v>125</v>
      </c>
      <c r="AH2570" t="s">
        <v>126</v>
      </c>
      <c r="AI2570" t="str">
        <f>"3201020"</f>
        <v>3201020</v>
      </c>
      <c r="AJ2570" t="s">
        <v>4511</v>
      </c>
      <c r="AK2570">
        <v>2841024586</v>
      </c>
      <c r="AL2570" t="s">
        <v>4512</v>
      </c>
      <c r="AM2570" t="s">
        <v>4513</v>
      </c>
      <c r="AN2570" t="s">
        <v>4514</v>
      </c>
      <c r="AO2570" t="s">
        <v>4514</v>
      </c>
      <c r="AP2570" t="s">
        <v>4514</v>
      </c>
      <c r="AQ2570">
        <v>1</v>
      </c>
      <c r="AR2570" t="s">
        <v>4509</v>
      </c>
      <c r="AS2570" t="s">
        <v>4510</v>
      </c>
      <c r="AT2570" t="s">
        <v>58</v>
      </c>
      <c r="AU2570" t="s">
        <v>68</v>
      </c>
      <c r="AV2570" t="s">
        <v>69</v>
      </c>
      <c r="AW2570" s="1">
        <v>25669</v>
      </c>
      <c r="AX2570">
        <v>2</v>
      </c>
    </row>
    <row r="2571" spans="1:50">
      <c r="A2571">
        <v>214089</v>
      </c>
      <c r="B2571" t="str">
        <f>"065733600"</f>
        <v>065733600</v>
      </c>
      <c r="C2571" t="s">
        <v>50</v>
      </c>
      <c r="D2571" t="s">
        <v>3157</v>
      </c>
      <c r="E2571" t="s">
        <v>215</v>
      </c>
      <c r="F2571" t="s">
        <v>2165</v>
      </c>
      <c r="G2571" t="s">
        <v>5239</v>
      </c>
      <c r="H2571" t="str">
        <f>"Δωρ.Παπαδακη 8 ΣΗΤΕΙΑ"</f>
        <v>Δωρ.Παπαδακη 8 ΣΗΤΕΙΑ</v>
      </c>
      <c r="I2571">
        <v>72300</v>
      </c>
      <c r="J2571">
        <v>2843026635</v>
      </c>
      <c r="K2571">
        <v>6981447451</v>
      </c>
      <c r="M2571" t="s">
        <v>5240</v>
      </c>
      <c r="N2571" t="s">
        <v>288</v>
      </c>
      <c r="O2571" t="s">
        <v>289</v>
      </c>
      <c r="R2571" t="s">
        <v>57</v>
      </c>
      <c r="S2571">
        <v>8</v>
      </c>
      <c r="T2571">
        <v>231</v>
      </c>
      <c r="U2571" s="1">
        <v>38960</v>
      </c>
      <c r="V2571" t="s">
        <v>4509</v>
      </c>
      <c r="W2571" t="s">
        <v>4510</v>
      </c>
      <c r="X2571" t="s">
        <v>58</v>
      </c>
      <c r="Y2571">
        <v>20</v>
      </c>
      <c r="Z2571" t="s">
        <v>59</v>
      </c>
      <c r="AA2571" t="s">
        <v>59</v>
      </c>
      <c r="AB2571" t="s">
        <v>59</v>
      </c>
      <c r="AC2571" t="s">
        <v>59</v>
      </c>
      <c r="AD2571" t="s">
        <v>59</v>
      </c>
      <c r="AF2571" s="1">
        <v>38961</v>
      </c>
      <c r="AG2571" t="s">
        <v>125</v>
      </c>
      <c r="AH2571" t="s">
        <v>126</v>
      </c>
      <c r="AI2571" t="str">
        <f>"3204020"</f>
        <v>3204020</v>
      </c>
      <c r="AJ2571" t="s">
        <v>4632</v>
      </c>
      <c r="AK2571">
        <v>2843023923</v>
      </c>
      <c r="AL2571" t="s">
        <v>4633</v>
      </c>
      <c r="AM2571" t="s">
        <v>4513</v>
      </c>
      <c r="AN2571" t="s">
        <v>4540</v>
      </c>
      <c r="AO2571" t="s">
        <v>4540</v>
      </c>
      <c r="AP2571" t="s">
        <v>4540</v>
      </c>
      <c r="AQ2571">
        <v>6</v>
      </c>
      <c r="AR2571" t="s">
        <v>4509</v>
      </c>
      <c r="AS2571" t="s">
        <v>4510</v>
      </c>
      <c r="AT2571" t="s">
        <v>58</v>
      </c>
      <c r="AU2571" t="s">
        <v>68</v>
      </c>
      <c r="AV2571" t="s">
        <v>69</v>
      </c>
      <c r="AW2571" s="1">
        <v>27972</v>
      </c>
      <c r="AX2571">
        <v>2</v>
      </c>
    </row>
    <row r="2572" spans="1:50">
      <c r="A2572">
        <v>190281</v>
      </c>
      <c r="B2572" t="str">
        <f>"112640650"</f>
        <v>112640650</v>
      </c>
      <c r="C2572" t="s">
        <v>50</v>
      </c>
      <c r="D2572" t="s">
        <v>3157</v>
      </c>
      <c r="E2572" t="s">
        <v>52</v>
      </c>
      <c r="F2572" t="s">
        <v>95</v>
      </c>
      <c r="G2572" t="s">
        <v>5241</v>
      </c>
      <c r="H2572" t="str">
        <f>"ΜΑΚΡΥΓΙΑΛΟΣ ΜΑΚΡΥΓΙΑΛΟΣ"</f>
        <v>ΜΑΚΡΥΓΙΑΛΟΣ ΜΑΚΡΥΓΙΑΛΟΣ</v>
      </c>
      <c r="I2572">
        <v>72055</v>
      </c>
      <c r="K2572">
        <v>6981062251</v>
      </c>
      <c r="M2572" t="s">
        <v>5242</v>
      </c>
      <c r="N2572" t="s">
        <v>1647</v>
      </c>
      <c r="O2572" t="s">
        <v>1648</v>
      </c>
      <c r="R2572" t="s">
        <v>57</v>
      </c>
      <c r="S2572">
        <v>10</v>
      </c>
      <c r="T2572">
        <v>219</v>
      </c>
      <c r="U2572" s="1">
        <v>37134</v>
      </c>
      <c r="V2572" t="s">
        <v>4509</v>
      </c>
      <c r="W2572" t="s">
        <v>4510</v>
      </c>
      <c r="X2572" t="s">
        <v>58</v>
      </c>
      <c r="Y2572">
        <v>20</v>
      </c>
      <c r="Z2572" t="s">
        <v>59</v>
      </c>
      <c r="AA2572" t="s">
        <v>59</v>
      </c>
      <c r="AB2572" t="s">
        <v>59</v>
      </c>
      <c r="AC2572" t="s">
        <v>59</v>
      </c>
      <c r="AD2572" t="s">
        <v>59</v>
      </c>
      <c r="AF2572" s="1">
        <v>37135</v>
      </c>
      <c r="AG2572" t="s">
        <v>125</v>
      </c>
      <c r="AH2572" t="s">
        <v>126</v>
      </c>
      <c r="AI2572" t="str">
        <f>"3206010"</f>
        <v>3206010</v>
      </c>
      <c r="AJ2572" t="s">
        <v>4545</v>
      </c>
      <c r="AK2572">
        <v>2843031222</v>
      </c>
      <c r="AL2572" t="s">
        <v>4546</v>
      </c>
      <c r="AM2572" t="s">
        <v>4513</v>
      </c>
      <c r="AN2572" t="s">
        <v>4540</v>
      </c>
      <c r="AO2572" t="s">
        <v>4547</v>
      </c>
      <c r="AP2572" t="s">
        <v>4548</v>
      </c>
      <c r="AQ2572">
        <v>6</v>
      </c>
      <c r="AR2572" t="s">
        <v>4509</v>
      </c>
      <c r="AS2572" t="s">
        <v>4510</v>
      </c>
      <c r="AT2572" t="s">
        <v>58</v>
      </c>
      <c r="AU2572" t="s">
        <v>68</v>
      </c>
      <c r="AV2572" t="s">
        <v>69</v>
      </c>
      <c r="AW2572" s="1">
        <v>24929</v>
      </c>
      <c r="AX2572">
        <v>2</v>
      </c>
    </row>
    <row r="2573" spans="1:50">
      <c r="A2573">
        <v>703141</v>
      </c>
      <c r="B2573" t="str">
        <f>"045642803"</f>
        <v>045642803</v>
      </c>
      <c r="C2573" t="s">
        <v>105</v>
      </c>
      <c r="D2573" t="s">
        <v>3190</v>
      </c>
      <c r="E2573" t="s">
        <v>95</v>
      </c>
      <c r="F2573" t="s">
        <v>72</v>
      </c>
      <c r="G2573" t="s">
        <v>83</v>
      </c>
      <c r="H2573" t="str">
        <f>"ΟΔΥΣΣΕΩΣ 6Α ΗΡΑΚΛΕΙΟ"</f>
        <v>ΟΔΥΣΣΕΩΣ 6Α ΗΡΑΚΛΕΙΟ</v>
      </c>
      <c r="I2573">
        <v>71307</v>
      </c>
      <c r="J2573">
        <v>2810242398</v>
      </c>
      <c r="K2573">
        <v>6974473673</v>
      </c>
      <c r="M2573" t="s">
        <v>5243</v>
      </c>
      <c r="N2573" t="s">
        <v>232</v>
      </c>
      <c r="O2573" t="s">
        <v>233</v>
      </c>
      <c r="R2573" t="s">
        <v>57</v>
      </c>
      <c r="S2573">
        <v>5</v>
      </c>
      <c r="T2573">
        <v>588</v>
      </c>
      <c r="U2573" s="1">
        <v>40778</v>
      </c>
      <c r="V2573" t="s">
        <v>4509</v>
      </c>
      <c r="W2573" t="s">
        <v>4510</v>
      </c>
      <c r="X2573" t="s">
        <v>58</v>
      </c>
      <c r="Y2573">
        <v>21</v>
      </c>
      <c r="Z2573" t="s">
        <v>59</v>
      </c>
      <c r="AA2573" t="s">
        <v>59</v>
      </c>
      <c r="AB2573" t="s">
        <v>59</v>
      </c>
      <c r="AC2573" t="s">
        <v>59</v>
      </c>
      <c r="AD2573" t="s">
        <v>59</v>
      </c>
      <c r="AF2573" s="1">
        <v>40787</v>
      </c>
      <c r="AG2573" t="s">
        <v>137</v>
      </c>
      <c r="AH2573" t="s">
        <v>138</v>
      </c>
      <c r="AI2573" t="str">
        <f>"3240077"</f>
        <v>3240077</v>
      </c>
      <c r="AJ2573" t="s">
        <v>4528</v>
      </c>
      <c r="AK2573">
        <v>2841025978</v>
      </c>
      <c r="AL2573" t="s">
        <v>4529</v>
      </c>
      <c r="AM2573" t="s">
        <v>4513</v>
      </c>
      <c r="AN2573" t="s">
        <v>4514</v>
      </c>
      <c r="AO2573" t="s">
        <v>4514</v>
      </c>
      <c r="AP2573" t="s">
        <v>4514</v>
      </c>
      <c r="AQ2573">
        <v>1</v>
      </c>
      <c r="AR2573" t="s">
        <v>4509</v>
      </c>
      <c r="AS2573" t="s">
        <v>4510</v>
      </c>
      <c r="AT2573" t="s">
        <v>58</v>
      </c>
      <c r="AU2573" t="s">
        <v>68</v>
      </c>
      <c r="AV2573" t="s">
        <v>69</v>
      </c>
      <c r="AW2573" s="1">
        <v>24020</v>
      </c>
      <c r="AX2573">
        <v>2</v>
      </c>
    </row>
    <row r="2574" spans="1:50">
      <c r="A2574">
        <v>229683</v>
      </c>
      <c r="B2574" t="str">
        <f>"110371608"</f>
        <v>110371608</v>
      </c>
      <c r="C2574" t="s">
        <v>105</v>
      </c>
      <c r="D2574" t="s">
        <v>3190</v>
      </c>
      <c r="E2574" t="s">
        <v>166</v>
      </c>
      <c r="F2574" t="s">
        <v>53</v>
      </c>
      <c r="G2574" t="s">
        <v>83</v>
      </c>
      <c r="H2574" t="str">
        <f>"ΘΕΡΙΣΣΟΥ 22 ΣΗΤΕΙΑ"</f>
        <v>ΘΕΡΙΣΣΟΥ 22 ΣΗΤΕΙΑ</v>
      </c>
      <c r="I2574">
        <v>72300</v>
      </c>
      <c r="J2574">
        <v>2843028846</v>
      </c>
      <c r="K2574">
        <v>6948458114</v>
      </c>
      <c r="M2574" t="s">
        <v>5244</v>
      </c>
      <c r="N2574" t="s">
        <v>331</v>
      </c>
      <c r="O2574" t="s">
        <v>332</v>
      </c>
      <c r="P2574" t="s">
        <v>1116</v>
      </c>
      <c r="Q2574" t="s">
        <v>1117</v>
      </c>
      <c r="R2574" t="s">
        <v>57</v>
      </c>
      <c r="S2574">
        <v>4</v>
      </c>
      <c r="T2574">
        <v>988</v>
      </c>
      <c r="U2574" s="1">
        <v>40157</v>
      </c>
      <c r="V2574" t="s">
        <v>4509</v>
      </c>
      <c r="W2574" t="s">
        <v>4510</v>
      </c>
      <c r="X2574" t="s">
        <v>58</v>
      </c>
      <c r="Y2574">
        <v>21</v>
      </c>
      <c r="Z2574" t="s">
        <v>59</v>
      </c>
      <c r="AA2574" t="s">
        <v>59</v>
      </c>
      <c r="AB2574" t="s">
        <v>59</v>
      </c>
      <c r="AC2574" t="s">
        <v>59</v>
      </c>
      <c r="AD2574" t="s">
        <v>59</v>
      </c>
      <c r="AF2574" s="1">
        <v>40158</v>
      </c>
      <c r="AG2574" t="s">
        <v>137</v>
      </c>
      <c r="AH2574" t="s">
        <v>138</v>
      </c>
      <c r="AI2574" t="str">
        <f>"3240120"</f>
        <v>3240120</v>
      </c>
      <c r="AJ2574" t="s">
        <v>4552</v>
      </c>
      <c r="AK2574">
        <v>2842028667</v>
      </c>
      <c r="AL2574" t="s">
        <v>4553</v>
      </c>
      <c r="AM2574" t="s">
        <v>4513</v>
      </c>
      <c r="AN2574" t="s">
        <v>4519</v>
      </c>
      <c r="AO2574" t="s">
        <v>4519</v>
      </c>
      <c r="AP2574" t="s">
        <v>4519</v>
      </c>
      <c r="AQ2574">
        <v>4</v>
      </c>
      <c r="AR2574" t="s">
        <v>4509</v>
      </c>
      <c r="AS2574" t="s">
        <v>4510</v>
      </c>
      <c r="AT2574" t="s">
        <v>58</v>
      </c>
      <c r="AU2574" t="s">
        <v>68</v>
      </c>
      <c r="AV2574" t="s">
        <v>69</v>
      </c>
      <c r="AW2574" s="1">
        <v>28304</v>
      </c>
      <c r="AX2574">
        <v>2</v>
      </c>
    </row>
    <row r="2575" spans="1:50">
      <c r="A2575">
        <v>210130</v>
      </c>
      <c r="B2575" t="str">
        <f>"049336471"</f>
        <v>049336471</v>
      </c>
      <c r="C2575" t="s">
        <v>105</v>
      </c>
      <c r="D2575" t="s">
        <v>3190</v>
      </c>
      <c r="E2575" t="s">
        <v>72</v>
      </c>
      <c r="F2575" t="s">
        <v>5245</v>
      </c>
      <c r="G2575" t="s">
        <v>4515</v>
      </c>
      <c r="H2575" t="str">
        <f>" "</f>
        <v xml:space="preserve"> </v>
      </c>
      <c r="J2575">
        <v>2843025723</v>
      </c>
      <c r="K2575">
        <v>6973657170</v>
      </c>
      <c r="M2575" t="s">
        <v>5246</v>
      </c>
      <c r="N2575" t="s">
        <v>199</v>
      </c>
      <c r="O2575" t="s">
        <v>200</v>
      </c>
      <c r="R2575" t="s">
        <v>57</v>
      </c>
      <c r="S2575">
        <v>7</v>
      </c>
      <c r="T2575" t="s">
        <v>5247</v>
      </c>
      <c r="U2575" s="1">
        <v>38608</v>
      </c>
      <c r="V2575" t="s">
        <v>4509</v>
      </c>
      <c r="W2575" t="s">
        <v>4510</v>
      </c>
      <c r="X2575" t="s">
        <v>58</v>
      </c>
      <c r="Y2575">
        <v>20</v>
      </c>
      <c r="Z2575" t="s">
        <v>59</v>
      </c>
      <c r="AA2575" t="s">
        <v>59</v>
      </c>
      <c r="AB2575" t="s">
        <v>59</v>
      </c>
      <c r="AC2575" t="s">
        <v>59</v>
      </c>
      <c r="AD2575" t="s">
        <v>59</v>
      </c>
      <c r="AF2575" s="1">
        <v>38609</v>
      </c>
      <c r="AG2575" t="s">
        <v>148</v>
      </c>
      <c r="AH2575" t="s">
        <v>149</v>
      </c>
      <c r="AI2575" t="str">
        <f>"3254010"</f>
        <v>3254010</v>
      </c>
      <c r="AJ2575" t="s">
        <v>4538</v>
      </c>
      <c r="AK2575">
        <v>2843022277</v>
      </c>
      <c r="AL2575" t="s">
        <v>4539</v>
      </c>
      <c r="AM2575" t="s">
        <v>4513</v>
      </c>
      <c r="AN2575" t="s">
        <v>4540</v>
      </c>
      <c r="AO2575" t="s">
        <v>4540</v>
      </c>
      <c r="AP2575" t="s">
        <v>4540</v>
      </c>
      <c r="AQ2575">
        <v>6</v>
      </c>
      <c r="AR2575" t="s">
        <v>4509</v>
      </c>
      <c r="AS2575" t="s">
        <v>4510</v>
      </c>
      <c r="AT2575" t="s">
        <v>58</v>
      </c>
      <c r="AU2575" t="s">
        <v>68</v>
      </c>
      <c r="AV2575" t="s">
        <v>69</v>
      </c>
      <c r="AW2575" s="1">
        <v>27019</v>
      </c>
      <c r="AX2575">
        <v>2</v>
      </c>
    </row>
    <row r="2576" spans="1:50">
      <c r="A2576">
        <v>190950</v>
      </c>
      <c r="B2576" t="str">
        <f>"078047569"</f>
        <v>078047569</v>
      </c>
      <c r="C2576" t="s">
        <v>105</v>
      </c>
      <c r="D2576" t="s">
        <v>3190</v>
      </c>
      <c r="E2576" t="s">
        <v>99</v>
      </c>
      <c r="F2576" t="s">
        <v>95</v>
      </c>
      <c r="G2576" t="s">
        <v>143</v>
      </c>
      <c r="H2576" t="str">
        <f>" "</f>
        <v xml:space="preserve"> </v>
      </c>
      <c r="J2576">
        <v>2841025414</v>
      </c>
      <c r="K2576">
        <v>6932531351</v>
      </c>
      <c r="M2576" t="s">
        <v>5248</v>
      </c>
      <c r="N2576" t="s">
        <v>204</v>
      </c>
      <c r="O2576" t="s">
        <v>205</v>
      </c>
      <c r="R2576" t="s">
        <v>57</v>
      </c>
      <c r="S2576">
        <v>9</v>
      </c>
      <c r="T2576">
        <v>219</v>
      </c>
      <c r="U2576" s="1">
        <v>37134</v>
      </c>
      <c r="V2576" t="s">
        <v>4509</v>
      </c>
      <c r="W2576" t="s">
        <v>4510</v>
      </c>
      <c r="X2576" t="s">
        <v>58</v>
      </c>
      <c r="Y2576">
        <v>20</v>
      </c>
      <c r="Z2576" t="s">
        <v>59</v>
      </c>
      <c r="AA2576" t="s">
        <v>59</v>
      </c>
      <c r="AB2576" t="s">
        <v>59</v>
      </c>
      <c r="AC2576" t="s">
        <v>59</v>
      </c>
      <c r="AD2576" t="s">
        <v>59</v>
      </c>
      <c r="AF2576" s="1">
        <v>37135</v>
      </c>
      <c r="AG2576" t="s">
        <v>137</v>
      </c>
      <c r="AH2576" t="s">
        <v>138</v>
      </c>
      <c r="AI2576" t="str">
        <f>"3240077"</f>
        <v>3240077</v>
      </c>
      <c r="AJ2576" t="s">
        <v>4528</v>
      </c>
      <c r="AK2576">
        <v>2841025978</v>
      </c>
      <c r="AL2576" t="s">
        <v>4529</v>
      </c>
      <c r="AM2576" t="s">
        <v>4513</v>
      </c>
      <c r="AN2576" t="s">
        <v>4514</v>
      </c>
      <c r="AO2576" t="s">
        <v>4514</v>
      </c>
      <c r="AP2576" t="s">
        <v>4514</v>
      </c>
      <c r="AQ2576">
        <v>1</v>
      </c>
      <c r="AR2576" t="s">
        <v>4509</v>
      </c>
      <c r="AS2576" t="s">
        <v>4510</v>
      </c>
      <c r="AT2576" t="s">
        <v>58</v>
      </c>
      <c r="AU2576" t="s">
        <v>68</v>
      </c>
      <c r="AV2576" t="s">
        <v>69</v>
      </c>
      <c r="AW2576" s="1">
        <v>26620</v>
      </c>
      <c r="AX2576">
        <v>2</v>
      </c>
    </row>
    <row r="2577" spans="1:50">
      <c r="A2577">
        <v>207066</v>
      </c>
      <c r="B2577" t="str">
        <f>"027871211"</f>
        <v>027871211</v>
      </c>
      <c r="C2577" t="s">
        <v>105</v>
      </c>
      <c r="D2577" t="s">
        <v>3190</v>
      </c>
      <c r="E2577" t="s">
        <v>106</v>
      </c>
      <c r="F2577" t="s">
        <v>5249</v>
      </c>
      <c r="G2577" t="s">
        <v>2812</v>
      </c>
      <c r="H2577" t="str">
        <f>" "</f>
        <v xml:space="preserve"> </v>
      </c>
      <c r="J2577">
        <v>2842022208</v>
      </c>
      <c r="K2577">
        <v>6974588892</v>
      </c>
      <c r="M2577" t="s">
        <v>5250</v>
      </c>
      <c r="N2577" t="s">
        <v>292</v>
      </c>
      <c r="O2577" t="s">
        <v>293</v>
      </c>
      <c r="R2577" t="s">
        <v>57</v>
      </c>
      <c r="S2577">
        <v>8</v>
      </c>
      <c r="T2577">
        <v>218</v>
      </c>
      <c r="U2577" s="1">
        <v>38596</v>
      </c>
      <c r="V2577" t="s">
        <v>4509</v>
      </c>
      <c r="W2577" t="s">
        <v>4510</v>
      </c>
      <c r="X2577" t="s">
        <v>58</v>
      </c>
      <c r="Y2577">
        <v>20</v>
      </c>
      <c r="Z2577" t="s">
        <v>59</v>
      </c>
      <c r="AA2577" t="s">
        <v>59</v>
      </c>
      <c r="AB2577" t="s">
        <v>59</v>
      </c>
      <c r="AC2577" t="s">
        <v>59</v>
      </c>
      <c r="AD2577" t="s">
        <v>59</v>
      </c>
      <c r="AF2577" s="1">
        <v>38603</v>
      </c>
      <c r="AG2577" t="s">
        <v>148</v>
      </c>
      <c r="AH2577" t="s">
        <v>149</v>
      </c>
      <c r="AI2577" t="str">
        <f>"3252020"</f>
        <v>3252020</v>
      </c>
      <c r="AJ2577" t="s">
        <v>4638</v>
      </c>
      <c r="AK2577">
        <v>2842022379</v>
      </c>
      <c r="AL2577" t="s">
        <v>4639</v>
      </c>
      <c r="AM2577" t="s">
        <v>4513</v>
      </c>
      <c r="AN2577" t="s">
        <v>4519</v>
      </c>
      <c r="AO2577" t="s">
        <v>4519</v>
      </c>
      <c r="AP2577" t="s">
        <v>4519</v>
      </c>
      <c r="AQ2577">
        <v>4</v>
      </c>
      <c r="AR2577" t="s">
        <v>4509</v>
      </c>
      <c r="AS2577" t="s">
        <v>4510</v>
      </c>
      <c r="AT2577" t="s">
        <v>58</v>
      </c>
      <c r="AU2577" t="s">
        <v>68</v>
      </c>
      <c r="AV2577" t="s">
        <v>69</v>
      </c>
      <c r="AW2577" s="1">
        <v>20441</v>
      </c>
      <c r="AX2577">
        <v>2</v>
      </c>
    </row>
    <row r="2578" spans="1:50">
      <c r="A2578">
        <v>205474</v>
      </c>
      <c r="B2578" t="str">
        <f>"123191174"</f>
        <v>123191174</v>
      </c>
      <c r="C2578" t="s">
        <v>105</v>
      </c>
      <c r="D2578" t="s">
        <v>3190</v>
      </c>
      <c r="E2578" t="s">
        <v>53</v>
      </c>
      <c r="F2578" t="s">
        <v>72</v>
      </c>
      <c r="G2578" t="s">
        <v>52</v>
      </c>
      <c r="H2578" t="str">
        <f>" "</f>
        <v xml:space="preserve"> </v>
      </c>
      <c r="M2578" t="s">
        <v>5251</v>
      </c>
      <c r="N2578" t="s">
        <v>204</v>
      </c>
      <c r="O2578" t="s">
        <v>205</v>
      </c>
      <c r="R2578" t="s">
        <v>57</v>
      </c>
      <c r="S2578">
        <v>7</v>
      </c>
      <c r="T2578">
        <v>231</v>
      </c>
      <c r="U2578" s="1">
        <v>38230</v>
      </c>
      <c r="V2578" t="s">
        <v>4509</v>
      </c>
      <c r="W2578" t="s">
        <v>4510</v>
      </c>
      <c r="X2578" t="s">
        <v>58</v>
      </c>
      <c r="Y2578">
        <v>20</v>
      </c>
      <c r="Z2578" t="s">
        <v>59</v>
      </c>
      <c r="AA2578" t="s">
        <v>59</v>
      </c>
      <c r="AB2578" t="s">
        <v>59</v>
      </c>
      <c r="AC2578" t="s">
        <v>59</v>
      </c>
      <c r="AD2578" t="s">
        <v>59</v>
      </c>
      <c r="AF2578" s="1">
        <v>38231</v>
      </c>
      <c r="AG2578" t="s">
        <v>137</v>
      </c>
      <c r="AH2578" t="s">
        <v>138</v>
      </c>
      <c r="AI2578" t="str">
        <f>"3240120"</f>
        <v>3240120</v>
      </c>
      <c r="AJ2578" t="s">
        <v>4552</v>
      </c>
      <c r="AK2578">
        <v>2842028667</v>
      </c>
      <c r="AL2578" t="s">
        <v>4553</v>
      </c>
      <c r="AM2578" t="s">
        <v>4513</v>
      </c>
      <c r="AN2578" t="s">
        <v>4519</v>
      </c>
      <c r="AO2578" t="s">
        <v>4519</v>
      </c>
      <c r="AP2578" t="s">
        <v>4519</v>
      </c>
      <c r="AQ2578">
        <v>4</v>
      </c>
      <c r="AR2578" t="s">
        <v>4509</v>
      </c>
      <c r="AS2578" t="s">
        <v>4510</v>
      </c>
      <c r="AT2578" t="s">
        <v>58</v>
      </c>
      <c r="AU2578" t="s">
        <v>68</v>
      </c>
      <c r="AV2578" t="s">
        <v>69</v>
      </c>
      <c r="AW2578" s="1">
        <v>28524</v>
      </c>
      <c r="AX2578">
        <v>2</v>
      </c>
    </row>
    <row r="2579" spans="1:50">
      <c r="A2579">
        <v>220070</v>
      </c>
      <c r="B2579" t="str">
        <f>"052350292"</f>
        <v>052350292</v>
      </c>
      <c r="C2579" t="s">
        <v>50</v>
      </c>
      <c r="D2579" t="s">
        <v>5252</v>
      </c>
      <c r="E2579" t="s">
        <v>52</v>
      </c>
      <c r="F2579" t="s">
        <v>84</v>
      </c>
      <c r="G2579" t="s">
        <v>83</v>
      </c>
      <c r="H2579" t="str">
        <f>"ΕΛΥΡΟΥ 45 "</f>
        <v xml:space="preserve">ΕΛΥΡΟΥ 45 </v>
      </c>
      <c r="I2579">
        <v>71303</v>
      </c>
      <c r="J2579">
        <v>2810310804</v>
      </c>
      <c r="K2579">
        <v>6938786541</v>
      </c>
      <c r="M2579" t="s">
        <v>5253</v>
      </c>
      <c r="N2579" t="s">
        <v>299</v>
      </c>
      <c r="O2579" t="s">
        <v>300</v>
      </c>
      <c r="R2579" t="s">
        <v>57</v>
      </c>
      <c r="S2579">
        <v>7</v>
      </c>
      <c r="T2579">
        <v>599</v>
      </c>
      <c r="U2579" s="1">
        <v>39310</v>
      </c>
      <c r="V2579" t="s">
        <v>4509</v>
      </c>
      <c r="W2579" t="s">
        <v>4510</v>
      </c>
      <c r="X2579" t="s">
        <v>58</v>
      </c>
      <c r="Y2579">
        <v>20</v>
      </c>
      <c r="Z2579" t="s">
        <v>59</v>
      </c>
      <c r="AA2579" t="s">
        <v>59</v>
      </c>
      <c r="AB2579" t="s">
        <v>59</v>
      </c>
      <c r="AC2579" t="s">
        <v>59</v>
      </c>
      <c r="AD2579" t="s">
        <v>59</v>
      </c>
      <c r="AF2579" s="1">
        <v>39328</v>
      </c>
      <c r="AG2579" t="s">
        <v>137</v>
      </c>
      <c r="AH2579" t="s">
        <v>138</v>
      </c>
      <c r="AI2579" t="str">
        <f>"3240077"</f>
        <v>3240077</v>
      </c>
      <c r="AJ2579" t="s">
        <v>4528</v>
      </c>
      <c r="AK2579">
        <v>2841025978</v>
      </c>
      <c r="AL2579" t="s">
        <v>4529</v>
      </c>
      <c r="AM2579" t="s">
        <v>4513</v>
      </c>
      <c r="AN2579" t="s">
        <v>4514</v>
      </c>
      <c r="AO2579" t="s">
        <v>4514</v>
      </c>
      <c r="AP2579" t="s">
        <v>4514</v>
      </c>
      <c r="AQ2579">
        <v>1</v>
      </c>
      <c r="AR2579" t="s">
        <v>4509</v>
      </c>
      <c r="AS2579" t="s">
        <v>4510</v>
      </c>
      <c r="AT2579" t="s">
        <v>58</v>
      </c>
      <c r="AU2579" t="s">
        <v>68</v>
      </c>
      <c r="AV2579" t="s">
        <v>69</v>
      </c>
      <c r="AW2579" s="1">
        <v>24468</v>
      </c>
      <c r="AX2579">
        <v>2</v>
      </c>
    </row>
    <row r="2580" spans="1:50">
      <c r="A2580">
        <v>210988</v>
      </c>
      <c r="B2580" t="str">
        <f>"123158061"</f>
        <v>123158061</v>
      </c>
      <c r="C2580" t="s">
        <v>50</v>
      </c>
      <c r="D2580" t="s">
        <v>3219</v>
      </c>
      <c r="E2580" t="s">
        <v>5254</v>
      </c>
      <c r="F2580" t="s">
        <v>166</v>
      </c>
      <c r="G2580" t="s">
        <v>52</v>
      </c>
      <c r="H2580" t="str">
        <f>" "</f>
        <v xml:space="preserve"> </v>
      </c>
      <c r="J2580">
        <v>2810231031</v>
      </c>
      <c r="K2580">
        <v>6946051775</v>
      </c>
      <c r="M2580" t="s">
        <v>5255</v>
      </c>
      <c r="N2580" t="s">
        <v>204</v>
      </c>
      <c r="O2580" t="s">
        <v>205</v>
      </c>
      <c r="R2580" t="s">
        <v>57</v>
      </c>
      <c r="S2580">
        <v>8</v>
      </c>
      <c r="T2580">
        <v>262</v>
      </c>
      <c r="U2580" s="1">
        <v>38630</v>
      </c>
      <c r="V2580" t="s">
        <v>4509</v>
      </c>
      <c r="W2580" t="s">
        <v>4510</v>
      </c>
      <c r="X2580" t="s">
        <v>58</v>
      </c>
      <c r="Y2580">
        <v>20</v>
      </c>
      <c r="Z2580" t="s">
        <v>59</v>
      </c>
      <c r="AA2580" t="s">
        <v>59</v>
      </c>
      <c r="AB2580" t="s">
        <v>59</v>
      </c>
      <c r="AC2580" t="s">
        <v>59</v>
      </c>
      <c r="AD2580" t="s">
        <v>59</v>
      </c>
      <c r="AF2580" s="1">
        <v>38630</v>
      </c>
      <c r="AG2580" t="s">
        <v>137</v>
      </c>
      <c r="AH2580" t="s">
        <v>138</v>
      </c>
      <c r="AI2580" t="str">
        <f>"3240077"</f>
        <v>3240077</v>
      </c>
      <c r="AJ2580" t="s">
        <v>4528</v>
      </c>
      <c r="AK2580">
        <v>2841025978</v>
      </c>
      <c r="AL2580" t="s">
        <v>4529</v>
      </c>
      <c r="AM2580" t="s">
        <v>4513</v>
      </c>
      <c r="AN2580" t="s">
        <v>4514</v>
      </c>
      <c r="AO2580" t="s">
        <v>4514</v>
      </c>
      <c r="AP2580" t="s">
        <v>4514</v>
      </c>
      <c r="AQ2580">
        <v>1</v>
      </c>
      <c r="AR2580" t="s">
        <v>4509</v>
      </c>
      <c r="AS2580" t="s">
        <v>4510</v>
      </c>
      <c r="AT2580" t="s">
        <v>58</v>
      </c>
      <c r="AU2580" t="s">
        <v>68</v>
      </c>
      <c r="AV2580" t="s">
        <v>132</v>
      </c>
      <c r="AW2580" s="1">
        <v>29369</v>
      </c>
      <c r="AX2580">
        <v>2</v>
      </c>
    </row>
    <row r="2581" spans="1:50">
      <c r="A2581">
        <v>220035</v>
      </c>
      <c r="B2581" t="str">
        <f>"036494496"</f>
        <v>036494496</v>
      </c>
      <c r="C2581" t="s">
        <v>105</v>
      </c>
      <c r="D2581" t="s">
        <v>3225</v>
      </c>
      <c r="E2581" t="s">
        <v>111</v>
      </c>
      <c r="F2581" t="s">
        <v>95</v>
      </c>
      <c r="G2581" t="s">
        <v>73</v>
      </c>
      <c r="H2581" t="str">
        <f>"ΚΑΠΕΤΑΝ ΓΙΑΝΝΗ ΠΑΠΑΔΑΚΗ 19 ΣΗΤΕΙΑ"</f>
        <v>ΚΑΠΕΤΑΝ ΓΙΑΝΝΗ ΠΑΠΑΔΑΚΗ 19 ΣΗΤΕΙΑ</v>
      </c>
      <c r="I2581">
        <v>72300</v>
      </c>
      <c r="J2581">
        <v>2843024566</v>
      </c>
      <c r="K2581">
        <v>6977669764</v>
      </c>
      <c r="M2581" t="s">
        <v>5256</v>
      </c>
      <c r="N2581" t="s">
        <v>331</v>
      </c>
      <c r="O2581" t="s">
        <v>332</v>
      </c>
      <c r="R2581" t="s">
        <v>57</v>
      </c>
      <c r="S2581">
        <v>7</v>
      </c>
      <c r="T2581">
        <v>599</v>
      </c>
      <c r="U2581" s="1">
        <v>39310</v>
      </c>
      <c r="V2581" t="s">
        <v>4509</v>
      </c>
      <c r="W2581" t="s">
        <v>4510</v>
      </c>
      <c r="X2581" t="s">
        <v>58</v>
      </c>
      <c r="Y2581">
        <v>20</v>
      </c>
      <c r="Z2581" t="s">
        <v>59</v>
      </c>
      <c r="AA2581" t="s">
        <v>59</v>
      </c>
      <c r="AB2581" t="s">
        <v>59</v>
      </c>
      <c r="AC2581" t="s">
        <v>59</v>
      </c>
      <c r="AD2581" t="s">
        <v>59</v>
      </c>
      <c r="AF2581" s="1">
        <v>39326</v>
      </c>
      <c r="AG2581" t="s">
        <v>137</v>
      </c>
      <c r="AH2581" t="s">
        <v>138</v>
      </c>
      <c r="AI2581" t="str">
        <f>"3240020"</f>
        <v>3240020</v>
      </c>
      <c r="AJ2581" t="s">
        <v>4568</v>
      </c>
      <c r="AK2581">
        <v>2843028570</v>
      </c>
      <c r="AL2581" t="s">
        <v>4569</v>
      </c>
      <c r="AM2581" t="s">
        <v>4513</v>
      </c>
      <c r="AN2581" t="s">
        <v>4540</v>
      </c>
      <c r="AO2581" t="s">
        <v>4540</v>
      </c>
      <c r="AP2581" t="s">
        <v>4540</v>
      </c>
      <c r="AQ2581">
        <v>6</v>
      </c>
      <c r="AR2581" t="s">
        <v>4509</v>
      </c>
      <c r="AS2581" t="s">
        <v>4510</v>
      </c>
      <c r="AT2581" t="s">
        <v>58</v>
      </c>
      <c r="AU2581" t="s">
        <v>68</v>
      </c>
      <c r="AV2581" t="s">
        <v>69</v>
      </c>
      <c r="AW2581" s="1">
        <v>21980</v>
      </c>
      <c r="AX2581">
        <v>2</v>
      </c>
    </row>
    <row r="2582" spans="1:50">
      <c r="A2582">
        <v>226736</v>
      </c>
      <c r="B2582" t="str">
        <f>"101436700"</f>
        <v>101436700</v>
      </c>
      <c r="C2582" t="s">
        <v>50</v>
      </c>
      <c r="D2582" t="s">
        <v>5257</v>
      </c>
      <c r="E2582" t="s">
        <v>52</v>
      </c>
      <c r="F2582" t="s">
        <v>643</v>
      </c>
      <c r="G2582" t="s">
        <v>414</v>
      </c>
      <c r="H2582" t="str">
        <f>"ΠΑΡΟΔΟΣ ΟΠΛΑΡΧΗΓΟΥ ΚΟΚΚΙΝΗ 20Β ΙΕΡΑΠΕΤΡΑ"</f>
        <v>ΠΑΡΟΔΟΣ ΟΠΛΑΡΧΗΓΟΥ ΚΟΚΚΙΝΗ 20Β ΙΕΡΑΠΕΤΡΑ</v>
      </c>
      <c r="I2582">
        <v>72200</v>
      </c>
      <c r="J2582">
        <v>2842025846</v>
      </c>
      <c r="K2582">
        <v>6973316433</v>
      </c>
      <c r="M2582" t="s">
        <v>5258</v>
      </c>
      <c r="N2582" t="s">
        <v>146</v>
      </c>
      <c r="O2582" t="s">
        <v>147</v>
      </c>
      <c r="R2582" t="s">
        <v>57</v>
      </c>
      <c r="S2582">
        <v>5</v>
      </c>
      <c r="T2582">
        <v>654</v>
      </c>
      <c r="U2582" s="1">
        <v>40043</v>
      </c>
      <c r="V2582" t="s">
        <v>4509</v>
      </c>
      <c r="W2582" t="s">
        <v>4510</v>
      </c>
      <c r="X2582" t="s">
        <v>58</v>
      </c>
      <c r="Y2582">
        <v>21</v>
      </c>
      <c r="Z2582" t="s">
        <v>59</v>
      </c>
      <c r="AA2582" t="s">
        <v>59</v>
      </c>
      <c r="AB2582" t="s">
        <v>59</v>
      </c>
      <c r="AC2582" t="s">
        <v>59</v>
      </c>
      <c r="AD2582" t="s">
        <v>59</v>
      </c>
      <c r="AF2582" s="1">
        <v>40043</v>
      </c>
      <c r="AG2582" t="s">
        <v>125</v>
      </c>
      <c r="AH2582" t="s">
        <v>126</v>
      </c>
      <c r="AI2582" t="str">
        <f>"3202030"</f>
        <v>3202030</v>
      </c>
      <c r="AJ2582" t="s">
        <v>4558</v>
      </c>
      <c r="AK2582">
        <v>2842028751</v>
      </c>
      <c r="AL2582" t="s">
        <v>4559</v>
      </c>
      <c r="AM2582" t="s">
        <v>4513</v>
      </c>
      <c r="AN2582" t="s">
        <v>4519</v>
      </c>
      <c r="AO2582" t="s">
        <v>4519</v>
      </c>
      <c r="AP2582" t="s">
        <v>4519</v>
      </c>
      <c r="AQ2582">
        <v>4</v>
      </c>
      <c r="AR2582" t="s">
        <v>4509</v>
      </c>
      <c r="AS2582" t="s">
        <v>4510</v>
      </c>
      <c r="AT2582" t="s">
        <v>58</v>
      </c>
      <c r="AU2582" t="s">
        <v>68</v>
      </c>
      <c r="AV2582" t="s">
        <v>69</v>
      </c>
      <c r="AW2582" s="1">
        <v>28090</v>
      </c>
      <c r="AX2582">
        <v>2</v>
      </c>
    </row>
    <row r="2583" spans="1:50">
      <c r="A2583">
        <v>211309</v>
      </c>
      <c r="B2583" t="str">
        <f>"040861328"</f>
        <v>040861328</v>
      </c>
      <c r="C2583" t="s">
        <v>105</v>
      </c>
      <c r="D2583" t="s">
        <v>3230</v>
      </c>
      <c r="E2583" t="s">
        <v>99</v>
      </c>
      <c r="F2583" t="s">
        <v>84</v>
      </c>
      <c r="G2583" t="s">
        <v>83</v>
      </c>
      <c r="H2583" t="str">
        <f>" "</f>
        <v xml:space="preserve"> </v>
      </c>
      <c r="J2583">
        <v>2541029024</v>
      </c>
      <c r="K2583">
        <v>6939168080</v>
      </c>
      <c r="M2583" t="s">
        <v>5259</v>
      </c>
      <c r="N2583" t="s">
        <v>299</v>
      </c>
      <c r="O2583" t="s">
        <v>300</v>
      </c>
      <c r="R2583" t="s">
        <v>57</v>
      </c>
      <c r="S2583">
        <v>7</v>
      </c>
      <c r="T2583" t="s">
        <v>5260</v>
      </c>
      <c r="U2583" s="1">
        <v>38671</v>
      </c>
      <c r="V2583" t="s">
        <v>4509</v>
      </c>
      <c r="W2583" t="s">
        <v>4510</v>
      </c>
      <c r="X2583" t="s">
        <v>58</v>
      </c>
      <c r="Y2583">
        <v>20</v>
      </c>
      <c r="Z2583" t="s">
        <v>59</v>
      </c>
      <c r="AA2583" t="s">
        <v>59</v>
      </c>
      <c r="AB2583" t="s">
        <v>59</v>
      </c>
      <c r="AC2583" t="s">
        <v>59</v>
      </c>
      <c r="AD2583" t="s">
        <v>59</v>
      </c>
      <c r="AF2583" s="1">
        <v>38671</v>
      </c>
      <c r="AG2583" t="s">
        <v>137</v>
      </c>
      <c r="AH2583" t="s">
        <v>469</v>
      </c>
      <c r="AI2583" t="str">
        <f>"3240125"</f>
        <v>3240125</v>
      </c>
      <c r="AJ2583" t="s">
        <v>4707</v>
      </c>
      <c r="AK2583">
        <v>2842024905</v>
      </c>
      <c r="AL2583" t="s">
        <v>4708</v>
      </c>
      <c r="AM2583" t="s">
        <v>4513</v>
      </c>
      <c r="AN2583" t="s">
        <v>4519</v>
      </c>
      <c r="AO2583" t="s">
        <v>4519</v>
      </c>
      <c r="AP2583" t="s">
        <v>4519</v>
      </c>
      <c r="AQ2583">
        <v>4</v>
      </c>
      <c r="AR2583" t="s">
        <v>4509</v>
      </c>
      <c r="AS2583" t="s">
        <v>4510</v>
      </c>
      <c r="AT2583" t="s">
        <v>58</v>
      </c>
      <c r="AU2583" t="s">
        <v>68</v>
      </c>
      <c r="AV2583" t="s">
        <v>69</v>
      </c>
      <c r="AW2583" s="1">
        <v>23306</v>
      </c>
      <c r="AX2583">
        <v>2</v>
      </c>
    </row>
    <row r="2584" spans="1:50">
      <c r="A2584">
        <v>227627</v>
      </c>
      <c r="B2584" t="str">
        <f>"073499192"</f>
        <v>073499192</v>
      </c>
      <c r="C2584" t="s">
        <v>50</v>
      </c>
      <c r="D2584" t="s">
        <v>3232</v>
      </c>
      <c r="E2584" t="s">
        <v>2333</v>
      </c>
      <c r="F2584" t="s">
        <v>900</v>
      </c>
      <c r="G2584" t="s">
        <v>52</v>
      </c>
      <c r="H2584" t="str">
        <f>"ΑΛ.ΠΑΠΑΓΟΥ 68 ΠΑΤΡΑ"</f>
        <v>ΑΛ.ΠΑΠΑΓΟΥ 68 ΠΑΤΡΑ</v>
      </c>
      <c r="I2584">
        <v>26335</v>
      </c>
      <c r="J2584">
        <v>2610222204</v>
      </c>
      <c r="K2584">
        <v>6945805582</v>
      </c>
      <c r="M2584" t="s">
        <v>5261</v>
      </c>
      <c r="N2584" t="s">
        <v>478</v>
      </c>
      <c r="O2584" t="s">
        <v>479</v>
      </c>
      <c r="R2584" t="s">
        <v>57</v>
      </c>
      <c r="S2584">
        <v>10</v>
      </c>
      <c r="T2584">
        <v>654</v>
      </c>
      <c r="U2584" s="1">
        <v>40043</v>
      </c>
      <c r="V2584" t="s">
        <v>4509</v>
      </c>
      <c r="W2584" t="s">
        <v>4510</v>
      </c>
      <c r="X2584" t="s">
        <v>58</v>
      </c>
      <c r="Y2584">
        <v>21</v>
      </c>
      <c r="Z2584" t="s">
        <v>59</v>
      </c>
      <c r="AA2584" t="s">
        <v>59</v>
      </c>
      <c r="AB2584" t="s">
        <v>59</v>
      </c>
      <c r="AC2584" t="s">
        <v>59</v>
      </c>
      <c r="AD2584" t="s">
        <v>59</v>
      </c>
      <c r="AF2584" s="1">
        <v>40057</v>
      </c>
      <c r="AG2584" t="s">
        <v>125</v>
      </c>
      <c r="AH2584" t="s">
        <v>126</v>
      </c>
      <c r="AI2584" t="str">
        <f>"3202010"</f>
        <v>3202010</v>
      </c>
      <c r="AJ2584" t="s">
        <v>4517</v>
      </c>
      <c r="AK2584">
        <v>2842028229</v>
      </c>
      <c r="AL2584" t="s">
        <v>4518</v>
      </c>
      <c r="AM2584" t="s">
        <v>4513</v>
      </c>
      <c r="AN2584" t="s">
        <v>4519</v>
      </c>
      <c r="AO2584" t="s">
        <v>4519</v>
      </c>
      <c r="AP2584" t="s">
        <v>4519</v>
      </c>
      <c r="AQ2584">
        <v>4</v>
      </c>
      <c r="AR2584" t="s">
        <v>4509</v>
      </c>
      <c r="AS2584" t="s">
        <v>4510</v>
      </c>
      <c r="AT2584" t="s">
        <v>58</v>
      </c>
      <c r="AU2584" t="s">
        <v>68</v>
      </c>
      <c r="AV2584" t="s">
        <v>69</v>
      </c>
      <c r="AW2584" s="1">
        <v>29397</v>
      </c>
      <c r="AX2584">
        <v>2</v>
      </c>
    </row>
    <row r="2585" spans="1:50">
      <c r="A2585">
        <v>201841</v>
      </c>
      <c r="B2585" t="str">
        <f>"110372710"</f>
        <v>110372710</v>
      </c>
      <c r="C2585" t="s">
        <v>50</v>
      </c>
      <c r="D2585" t="s">
        <v>3232</v>
      </c>
      <c r="E2585" t="s">
        <v>620</v>
      </c>
      <c r="F2585" t="s">
        <v>414</v>
      </c>
      <c r="G2585" t="s">
        <v>4425</v>
      </c>
      <c r="H2585" t="str">
        <f>" "</f>
        <v xml:space="preserve"> </v>
      </c>
      <c r="J2585">
        <v>2843023829</v>
      </c>
      <c r="K2585">
        <v>6942400264</v>
      </c>
      <c r="N2585" t="s">
        <v>146</v>
      </c>
      <c r="O2585" t="s">
        <v>147</v>
      </c>
      <c r="R2585" t="s">
        <v>57</v>
      </c>
      <c r="S2585">
        <v>9</v>
      </c>
      <c r="T2585">
        <v>231</v>
      </c>
      <c r="U2585" s="1">
        <v>38230</v>
      </c>
      <c r="V2585" t="s">
        <v>4509</v>
      </c>
      <c r="W2585" t="s">
        <v>4510</v>
      </c>
      <c r="X2585" t="s">
        <v>58</v>
      </c>
      <c r="Y2585">
        <v>20</v>
      </c>
      <c r="Z2585" t="s">
        <v>59</v>
      </c>
      <c r="AA2585" t="s">
        <v>59</v>
      </c>
      <c r="AB2585" t="s">
        <v>59</v>
      </c>
      <c r="AC2585" t="s">
        <v>59</v>
      </c>
      <c r="AD2585" t="s">
        <v>59</v>
      </c>
      <c r="AF2585" s="1">
        <v>38231</v>
      </c>
      <c r="AG2585" t="s">
        <v>125</v>
      </c>
      <c r="AH2585" t="s">
        <v>126</v>
      </c>
      <c r="AI2585" t="str">
        <f>"3204020"</f>
        <v>3204020</v>
      </c>
      <c r="AJ2585" t="s">
        <v>4632</v>
      </c>
      <c r="AK2585">
        <v>2843023923</v>
      </c>
      <c r="AL2585" t="s">
        <v>4633</v>
      </c>
      <c r="AM2585" t="s">
        <v>4513</v>
      </c>
      <c r="AN2585" t="s">
        <v>4540</v>
      </c>
      <c r="AO2585" t="s">
        <v>4540</v>
      </c>
      <c r="AP2585" t="s">
        <v>4540</v>
      </c>
      <c r="AQ2585">
        <v>6</v>
      </c>
      <c r="AR2585" t="s">
        <v>4509</v>
      </c>
      <c r="AS2585" t="s">
        <v>4510</v>
      </c>
      <c r="AT2585" t="s">
        <v>58</v>
      </c>
      <c r="AU2585" t="s">
        <v>68</v>
      </c>
      <c r="AV2585" t="s">
        <v>69</v>
      </c>
      <c r="AW2585" s="1">
        <v>24774</v>
      </c>
      <c r="AX2585">
        <v>2</v>
      </c>
    </row>
    <row r="2586" spans="1:50">
      <c r="B2586" t="str">
        <f>"077554441"</f>
        <v>077554441</v>
      </c>
      <c r="C2586" t="s">
        <v>50</v>
      </c>
      <c r="D2586" t="s">
        <v>3232</v>
      </c>
      <c r="E2586" t="s">
        <v>460</v>
      </c>
      <c r="F2586" t="s">
        <v>99</v>
      </c>
      <c r="G2586" t="s">
        <v>155</v>
      </c>
      <c r="H2586" t="str">
        <f>" "</f>
        <v xml:space="preserve"> </v>
      </c>
      <c r="N2586" t="s">
        <v>146</v>
      </c>
      <c r="O2586" t="s">
        <v>147</v>
      </c>
      <c r="R2586" t="s">
        <v>159</v>
      </c>
      <c r="S2586">
        <v>4</v>
      </c>
      <c r="T2586" t="s">
        <v>160</v>
      </c>
      <c r="U2586" s="1">
        <v>43364</v>
      </c>
      <c r="V2586" t="s">
        <v>4509</v>
      </c>
      <c r="W2586" t="s">
        <v>4510</v>
      </c>
      <c r="X2586" t="s">
        <v>58</v>
      </c>
      <c r="Y2586">
        <v>21</v>
      </c>
      <c r="Z2586" t="s">
        <v>59</v>
      </c>
      <c r="AA2586" t="s">
        <v>59</v>
      </c>
      <c r="AB2586" t="s">
        <v>59</v>
      </c>
      <c r="AD2586" t="s">
        <v>59</v>
      </c>
      <c r="AF2586" s="1">
        <v>43367</v>
      </c>
      <c r="AG2586" t="s">
        <v>125</v>
      </c>
      <c r="AH2586" t="s">
        <v>126</v>
      </c>
      <c r="AI2586" t="str">
        <f>"3207010"</f>
        <v>3207010</v>
      </c>
      <c r="AJ2586" t="s">
        <v>4755</v>
      </c>
      <c r="AK2586">
        <v>2841051452</v>
      </c>
      <c r="AL2586" t="s">
        <v>4756</v>
      </c>
      <c r="AM2586" t="s">
        <v>4513</v>
      </c>
      <c r="AN2586" t="s">
        <v>4514</v>
      </c>
      <c r="AO2586" t="s">
        <v>4514</v>
      </c>
      <c r="AP2586" t="s">
        <v>4757</v>
      </c>
      <c r="AQ2586">
        <v>1</v>
      </c>
      <c r="AR2586" t="s">
        <v>4509</v>
      </c>
      <c r="AS2586" t="s">
        <v>4510</v>
      </c>
      <c r="AT2586" t="s">
        <v>58</v>
      </c>
      <c r="AU2586" t="s">
        <v>164</v>
      </c>
      <c r="AV2586" t="s">
        <v>132</v>
      </c>
      <c r="AW2586" s="1">
        <v>27202</v>
      </c>
      <c r="AX2586">
        <v>2</v>
      </c>
    </row>
    <row r="2587" spans="1:50">
      <c r="A2587">
        <v>701535</v>
      </c>
      <c r="B2587" t="str">
        <f>"038683531"</f>
        <v>038683531</v>
      </c>
      <c r="C2587" t="s">
        <v>50</v>
      </c>
      <c r="D2587" t="s">
        <v>5262</v>
      </c>
      <c r="E2587" t="s">
        <v>52</v>
      </c>
      <c r="F2587" t="s">
        <v>1316</v>
      </c>
      <c r="G2587" t="s">
        <v>4695</v>
      </c>
      <c r="H2587" t="str">
        <f>"ΣΚΡΑ 3 "</f>
        <v xml:space="preserve">ΣΚΡΑ 3 </v>
      </c>
      <c r="I2587">
        <v>68100</v>
      </c>
      <c r="J2587">
        <v>2551082081</v>
      </c>
      <c r="K2587">
        <v>6972857529</v>
      </c>
      <c r="N2587" t="s">
        <v>299</v>
      </c>
      <c r="O2587" t="s">
        <v>300</v>
      </c>
      <c r="R2587" t="s">
        <v>57</v>
      </c>
      <c r="S2587">
        <v>10</v>
      </c>
      <c r="T2587">
        <v>772</v>
      </c>
      <c r="U2587" s="1">
        <v>40413</v>
      </c>
      <c r="V2587" t="s">
        <v>4509</v>
      </c>
      <c r="W2587" t="s">
        <v>4510</v>
      </c>
      <c r="X2587" t="s">
        <v>58</v>
      </c>
      <c r="Y2587">
        <v>20</v>
      </c>
      <c r="Z2587" t="s">
        <v>59</v>
      </c>
      <c r="AA2587" t="s">
        <v>59</v>
      </c>
      <c r="AB2587" t="s">
        <v>59</v>
      </c>
      <c r="AC2587" t="s">
        <v>59</v>
      </c>
      <c r="AD2587" t="s">
        <v>59</v>
      </c>
      <c r="AF2587" s="1">
        <v>40413</v>
      </c>
      <c r="AG2587" t="s">
        <v>137</v>
      </c>
      <c r="AH2587" t="s">
        <v>138</v>
      </c>
      <c r="AI2587" t="str">
        <f>"3240020"</f>
        <v>3240020</v>
      </c>
      <c r="AJ2587" t="s">
        <v>4568</v>
      </c>
      <c r="AK2587">
        <v>2843028570</v>
      </c>
      <c r="AL2587" t="s">
        <v>4569</v>
      </c>
      <c r="AM2587" t="s">
        <v>4513</v>
      </c>
      <c r="AN2587" t="s">
        <v>4540</v>
      </c>
      <c r="AO2587" t="s">
        <v>4540</v>
      </c>
      <c r="AP2587" t="s">
        <v>4540</v>
      </c>
      <c r="AQ2587">
        <v>6</v>
      </c>
      <c r="AR2587" t="s">
        <v>4509</v>
      </c>
      <c r="AS2587" t="s">
        <v>4510</v>
      </c>
      <c r="AT2587" t="s">
        <v>58</v>
      </c>
      <c r="AU2587" t="s">
        <v>68</v>
      </c>
      <c r="AV2587" t="s">
        <v>69</v>
      </c>
      <c r="AW2587" s="1">
        <v>24136</v>
      </c>
      <c r="AX2587">
        <v>2</v>
      </c>
    </row>
    <row r="2588" spans="1:50">
      <c r="A2588">
        <v>700919</v>
      </c>
      <c r="B2588" t="str">
        <f>"079292653"</f>
        <v>079292653</v>
      </c>
      <c r="C2588" t="s">
        <v>50</v>
      </c>
      <c r="D2588" t="s">
        <v>5263</v>
      </c>
      <c r="E2588" t="s">
        <v>109</v>
      </c>
      <c r="F2588" t="s">
        <v>383</v>
      </c>
      <c r="G2588" t="s">
        <v>73</v>
      </c>
      <c r="H2588" t="str">
        <f>"ΠΑΠΑΝΙΚΟΛΗ 44 ΧΑΛΑΝΔΡΙ"</f>
        <v>ΠΑΠΑΝΙΚΟΛΗ 44 ΧΑΛΑΝΔΡΙ</v>
      </c>
      <c r="I2588">
        <v>15232</v>
      </c>
      <c r="J2588">
        <v>2106823505</v>
      </c>
      <c r="K2588">
        <v>6976225706</v>
      </c>
      <c r="N2588" t="s">
        <v>306</v>
      </c>
      <c r="O2588" t="s">
        <v>307</v>
      </c>
      <c r="R2588" t="s">
        <v>57</v>
      </c>
      <c r="S2588">
        <v>4</v>
      </c>
      <c r="T2588">
        <v>772</v>
      </c>
      <c r="U2588" s="1">
        <v>40413</v>
      </c>
      <c r="V2588" t="s">
        <v>4509</v>
      </c>
      <c r="W2588" t="s">
        <v>4510</v>
      </c>
      <c r="X2588" t="s">
        <v>58</v>
      </c>
      <c r="Y2588">
        <v>21</v>
      </c>
      <c r="Z2588" t="s">
        <v>59</v>
      </c>
      <c r="AA2588" t="s">
        <v>59</v>
      </c>
      <c r="AB2588" t="s">
        <v>59</v>
      </c>
      <c r="AC2588" t="s">
        <v>59</v>
      </c>
      <c r="AD2588" t="s">
        <v>59</v>
      </c>
      <c r="AF2588" s="1">
        <v>40422</v>
      </c>
      <c r="AG2588" t="s">
        <v>137</v>
      </c>
      <c r="AH2588" t="s">
        <v>138</v>
      </c>
      <c r="AI2588" t="str">
        <f>"3240120"</f>
        <v>3240120</v>
      </c>
      <c r="AJ2588" t="s">
        <v>4552</v>
      </c>
      <c r="AK2588">
        <v>2842028667</v>
      </c>
      <c r="AL2588" t="s">
        <v>4553</v>
      </c>
      <c r="AM2588" t="s">
        <v>4513</v>
      </c>
      <c r="AN2588" t="s">
        <v>4519</v>
      </c>
      <c r="AO2588" t="s">
        <v>4519</v>
      </c>
      <c r="AP2588" t="s">
        <v>4519</v>
      </c>
      <c r="AQ2588">
        <v>4</v>
      </c>
      <c r="AR2588" t="s">
        <v>4509</v>
      </c>
      <c r="AS2588" t="s">
        <v>4510</v>
      </c>
      <c r="AT2588" t="s">
        <v>58</v>
      </c>
      <c r="AU2588" t="s">
        <v>68</v>
      </c>
      <c r="AV2588" t="s">
        <v>132</v>
      </c>
      <c r="AW2588" s="1">
        <v>26299</v>
      </c>
      <c r="AX2588">
        <v>2</v>
      </c>
    </row>
    <row r="2589" spans="1:50">
      <c r="A2589">
        <v>195897</v>
      </c>
      <c r="B2589" t="str">
        <f>"079256899"</f>
        <v>079256899</v>
      </c>
      <c r="C2589" t="s">
        <v>50</v>
      </c>
      <c r="D2589" t="s">
        <v>5264</v>
      </c>
      <c r="E2589" t="s">
        <v>52</v>
      </c>
      <c r="F2589" t="s">
        <v>2990</v>
      </c>
      <c r="G2589" t="s">
        <v>787</v>
      </c>
      <c r="H2589" t="str">
        <f>"ΠΟΛΥΤΕΧΝΕΙΟΥ 27 ΝΕΑΠΟΛΗ"</f>
        <v>ΠΟΛΥΤΕΧΝΕΙΟΥ 27 ΝΕΑΠΟΛΗ</v>
      </c>
      <c r="I2589">
        <v>72400</v>
      </c>
      <c r="J2589">
        <v>2841032050</v>
      </c>
      <c r="M2589" t="s">
        <v>5265</v>
      </c>
      <c r="N2589" t="s">
        <v>176</v>
      </c>
      <c r="O2589" t="s">
        <v>177</v>
      </c>
      <c r="R2589" t="s">
        <v>57</v>
      </c>
      <c r="S2589">
        <v>10</v>
      </c>
      <c r="T2589">
        <v>194</v>
      </c>
      <c r="U2589" s="1">
        <v>37497</v>
      </c>
      <c r="V2589" t="s">
        <v>4509</v>
      </c>
      <c r="W2589" t="s">
        <v>4510</v>
      </c>
      <c r="X2589" t="s">
        <v>58</v>
      </c>
      <c r="Y2589">
        <v>20</v>
      </c>
      <c r="Z2589" t="s">
        <v>59</v>
      </c>
      <c r="AA2589" t="s">
        <v>59</v>
      </c>
      <c r="AB2589" t="s">
        <v>59</v>
      </c>
      <c r="AC2589" t="s">
        <v>59</v>
      </c>
      <c r="AD2589" t="s">
        <v>59</v>
      </c>
      <c r="AF2589" s="1">
        <v>37501</v>
      </c>
      <c r="AG2589" t="s">
        <v>125</v>
      </c>
      <c r="AH2589" t="s">
        <v>126</v>
      </c>
      <c r="AI2589" t="str">
        <f>"3203010"</f>
        <v>3203010</v>
      </c>
      <c r="AJ2589" t="s">
        <v>4522</v>
      </c>
      <c r="AK2589">
        <v>2841034140</v>
      </c>
      <c r="AL2589" t="s">
        <v>4523</v>
      </c>
      <c r="AM2589" t="s">
        <v>4513</v>
      </c>
      <c r="AN2589" t="s">
        <v>4514</v>
      </c>
      <c r="AO2589" t="s">
        <v>4524</v>
      </c>
      <c r="AP2589" t="s">
        <v>4525</v>
      </c>
      <c r="AQ2589">
        <v>3</v>
      </c>
      <c r="AR2589" t="s">
        <v>4509</v>
      </c>
      <c r="AS2589" t="s">
        <v>4510</v>
      </c>
      <c r="AT2589" t="s">
        <v>58</v>
      </c>
      <c r="AU2589" t="s">
        <v>68</v>
      </c>
      <c r="AV2589" t="s">
        <v>69</v>
      </c>
      <c r="AW2589" s="1">
        <v>26440</v>
      </c>
      <c r="AX2589">
        <v>2</v>
      </c>
    </row>
    <row r="2590" spans="1:50">
      <c r="A2590">
        <v>182062</v>
      </c>
      <c r="B2590" t="str">
        <f>"075888015"</f>
        <v>075888015</v>
      </c>
      <c r="C2590" t="s">
        <v>105</v>
      </c>
      <c r="D2590" t="s">
        <v>5266</v>
      </c>
      <c r="E2590" t="s">
        <v>99</v>
      </c>
      <c r="F2590" t="s">
        <v>166</v>
      </c>
      <c r="G2590" t="s">
        <v>5267</v>
      </c>
      <c r="H2590" t="str">
        <f>" "</f>
        <v xml:space="preserve"> </v>
      </c>
      <c r="M2590" t="s">
        <v>5268</v>
      </c>
      <c r="N2590" t="s">
        <v>204</v>
      </c>
      <c r="O2590" t="s">
        <v>205</v>
      </c>
      <c r="R2590" t="s">
        <v>57</v>
      </c>
      <c r="S2590">
        <v>10</v>
      </c>
      <c r="T2590">
        <v>164</v>
      </c>
      <c r="U2590" s="1">
        <v>36039</v>
      </c>
      <c r="V2590" t="s">
        <v>4509</v>
      </c>
      <c r="W2590" t="s">
        <v>4510</v>
      </c>
      <c r="X2590" t="s">
        <v>58</v>
      </c>
      <c r="Y2590">
        <v>18</v>
      </c>
      <c r="Z2590" t="s">
        <v>59</v>
      </c>
      <c r="AA2590" t="s">
        <v>59</v>
      </c>
      <c r="AB2590" t="s">
        <v>59</v>
      </c>
      <c r="AC2590" t="s">
        <v>59</v>
      </c>
      <c r="AD2590" t="s">
        <v>59</v>
      </c>
      <c r="AF2590" s="1">
        <v>36039</v>
      </c>
      <c r="AG2590" t="s">
        <v>125</v>
      </c>
      <c r="AH2590" t="s">
        <v>126</v>
      </c>
      <c r="AI2590" t="str">
        <f>"3202010"</f>
        <v>3202010</v>
      </c>
      <c r="AJ2590" t="s">
        <v>4517</v>
      </c>
      <c r="AK2590">
        <v>2842028229</v>
      </c>
      <c r="AL2590" t="s">
        <v>4518</v>
      </c>
      <c r="AM2590" t="s">
        <v>4513</v>
      </c>
      <c r="AN2590" t="s">
        <v>4519</v>
      </c>
      <c r="AO2590" t="s">
        <v>4519</v>
      </c>
      <c r="AP2590" t="s">
        <v>4519</v>
      </c>
      <c r="AQ2590">
        <v>4</v>
      </c>
      <c r="AR2590" t="s">
        <v>4509</v>
      </c>
      <c r="AS2590" t="s">
        <v>4510</v>
      </c>
      <c r="AT2590" t="s">
        <v>58</v>
      </c>
      <c r="AU2590" t="s">
        <v>68</v>
      </c>
      <c r="AV2590" t="s">
        <v>69</v>
      </c>
      <c r="AW2590" s="1">
        <v>23059</v>
      </c>
      <c r="AX2590">
        <v>2</v>
      </c>
    </row>
    <row r="2591" spans="1:50">
      <c r="A2591">
        <v>211751</v>
      </c>
      <c r="B2591" t="str">
        <f>"119588052"</f>
        <v>119588052</v>
      </c>
      <c r="C2591" t="s">
        <v>105</v>
      </c>
      <c r="D2591" t="s">
        <v>5269</v>
      </c>
      <c r="E2591" t="s">
        <v>995</v>
      </c>
      <c r="F2591" t="s">
        <v>72</v>
      </c>
      <c r="G2591" t="s">
        <v>755</v>
      </c>
      <c r="H2591" t="str">
        <f>"ΣΚΟΥΛΟΥΔΗ  11 ΣΗΤΕΙΑ"</f>
        <v>ΣΚΟΥΛΟΥΔΗ  11 ΣΗΤΕΙΑ</v>
      </c>
      <c r="I2591">
        <v>72300</v>
      </c>
      <c r="J2591">
        <v>2521096206</v>
      </c>
      <c r="K2591">
        <v>6974791489</v>
      </c>
      <c r="M2591" t="s">
        <v>5270</v>
      </c>
      <c r="N2591" t="s">
        <v>157</v>
      </c>
      <c r="O2591" t="s">
        <v>158</v>
      </c>
      <c r="P2591" t="s">
        <v>1116</v>
      </c>
      <c r="Q2591" t="s">
        <v>1117</v>
      </c>
      <c r="R2591" t="s">
        <v>57</v>
      </c>
      <c r="S2591">
        <v>5</v>
      </c>
      <c r="T2591">
        <v>231</v>
      </c>
      <c r="U2591" s="1">
        <v>38960</v>
      </c>
      <c r="V2591" t="s">
        <v>4509</v>
      </c>
      <c r="W2591" t="s">
        <v>4510</v>
      </c>
      <c r="X2591" t="s">
        <v>58</v>
      </c>
      <c r="Y2591">
        <v>20</v>
      </c>
      <c r="Z2591" t="s">
        <v>59</v>
      </c>
      <c r="AA2591" t="s">
        <v>59</v>
      </c>
      <c r="AB2591" t="s">
        <v>59</v>
      </c>
      <c r="AC2591" t="s">
        <v>59</v>
      </c>
      <c r="AD2591" t="s">
        <v>59</v>
      </c>
      <c r="AF2591" s="1">
        <v>38961</v>
      </c>
      <c r="AG2591" t="s">
        <v>125</v>
      </c>
      <c r="AH2591" t="s">
        <v>126</v>
      </c>
      <c r="AI2591" t="str">
        <f>"3210015"</f>
        <v>3210015</v>
      </c>
      <c r="AJ2591" t="s">
        <v>4875</v>
      </c>
      <c r="AK2591">
        <v>2843051800</v>
      </c>
      <c r="AL2591" t="s">
        <v>4876</v>
      </c>
      <c r="AM2591" t="s">
        <v>4513</v>
      </c>
      <c r="AN2591" t="s">
        <v>4519</v>
      </c>
      <c r="AO2591" t="s">
        <v>4766</v>
      </c>
      <c r="AP2591" t="s">
        <v>4767</v>
      </c>
      <c r="AQ2591">
        <v>5</v>
      </c>
      <c r="AR2591" t="s">
        <v>4509</v>
      </c>
      <c r="AS2591" t="s">
        <v>4510</v>
      </c>
      <c r="AT2591" t="s">
        <v>58</v>
      </c>
      <c r="AU2591" t="s">
        <v>68</v>
      </c>
      <c r="AV2591" t="s">
        <v>69</v>
      </c>
      <c r="AW2591" s="1">
        <v>29214</v>
      </c>
      <c r="AX2591">
        <v>2</v>
      </c>
    </row>
    <row r="2592" spans="1:50">
      <c r="A2592">
        <v>215664</v>
      </c>
      <c r="B2592" t="str">
        <f>"102078453"</f>
        <v>102078453</v>
      </c>
      <c r="C2592" t="s">
        <v>105</v>
      </c>
      <c r="D2592" t="s">
        <v>5271</v>
      </c>
      <c r="E2592" t="s">
        <v>377</v>
      </c>
      <c r="F2592" t="s">
        <v>53</v>
      </c>
      <c r="G2592" t="s">
        <v>1484</v>
      </c>
      <c r="H2592" t="str">
        <f>"ΔΙΓΕΝΗ ΑΚΡΙΤΑ 5 ΗΡΑΚΛΕΙΟ"</f>
        <v>ΔΙΓΕΝΗ ΑΚΡΙΤΑ 5 ΗΡΑΚΛΕΙΟ</v>
      </c>
      <c r="I2592">
        <v>71305</v>
      </c>
      <c r="J2592">
        <v>2351026559</v>
      </c>
      <c r="K2592">
        <v>6973900583</v>
      </c>
      <c r="M2592" t="s">
        <v>5272</v>
      </c>
      <c r="N2592" t="s">
        <v>204</v>
      </c>
      <c r="O2592" t="s">
        <v>205</v>
      </c>
      <c r="R2592" t="s">
        <v>57</v>
      </c>
      <c r="S2592">
        <v>7</v>
      </c>
      <c r="T2592">
        <v>231</v>
      </c>
      <c r="U2592" s="1">
        <v>38960</v>
      </c>
      <c r="V2592" t="s">
        <v>4509</v>
      </c>
      <c r="W2592" t="s">
        <v>4510</v>
      </c>
      <c r="X2592" t="s">
        <v>58</v>
      </c>
      <c r="Y2592">
        <v>20</v>
      </c>
      <c r="Z2592" t="s">
        <v>59</v>
      </c>
      <c r="AA2592" t="s">
        <v>59</v>
      </c>
      <c r="AB2592" t="s">
        <v>59</v>
      </c>
      <c r="AC2592" t="s">
        <v>59</v>
      </c>
      <c r="AD2592" t="s">
        <v>59</v>
      </c>
      <c r="AF2592" s="1">
        <v>39328</v>
      </c>
      <c r="AG2592" t="s">
        <v>137</v>
      </c>
      <c r="AH2592" t="s">
        <v>138</v>
      </c>
      <c r="AI2592" t="str">
        <f>"3240077"</f>
        <v>3240077</v>
      </c>
      <c r="AJ2592" t="s">
        <v>4528</v>
      </c>
      <c r="AK2592">
        <v>2841025978</v>
      </c>
      <c r="AL2592" t="s">
        <v>4529</v>
      </c>
      <c r="AM2592" t="s">
        <v>4513</v>
      </c>
      <c r="AN2592" t="s">
        <v>4514</v>
      </c>
      <c r="AO2592" t="s">
        <v>4514</v>
      </c>
      <c r="AP2592" t="s">
        <v>4514</v>
      </c>
      <c r="AQ2592">
        <v>1</v>
      </c>
      <c r="AR2592" t="s">
        <v>4509</v>
      </c>
      <c r="AS2592" t="s">
        <v>4510</v>
      </c>
      <c r="AT2592" t="s">
        <v>58</v>
      </c>
      <c r="AU2592" t="s">
        <v>68</v>
      </c>
      <c r="AV2592" t="s">
        <v>69</v>
      </c>
      <c r="AW2592" s="1">
        <v>29373</v>
      </c>
      <c r="AX2592">
        <v>2</v>
      </c>
    </row>
    <row r="2593" spans="1:50">
      <c r="A2593">
        <v>225867</v>
      </c>
      <c r="B2593" t="str">
        <f>"059306333"</f>
        <v>059306333</v>
      </c>
      <c r="C2593" t="s">
        <v>105</v>
      </c>
      <c r="D2593" t="s">
        <v>5273</v>
      </c>
      <c r="E2593" t="s">
        <v>72</v>
      </c>
      <c r="F2593" t="s">
        <v>450</v>
      </c>
      <c r="G2593" t="s">
        <v>52</v>
      </c>
      <c r="H2593" t="str">
        <f>"ΑΡΝΑΙΑ ΧΑΛΚΙΔΙΚΗΣ ΑΡΝΑΙΑ ΧΑΛΚΙΔΙΚΗΣ"</f>
        <v>ΑΡΝΑΙΑ ΧΑΛΚΙΔΙΚΗΣ ΑΡΝΑΙΑ ΧΑΛΚΙΔΙΚΗΣ</v>
      </c>
      <c r="I2593">
        <v>63074</v>
      </c>
      <c r="J2593">
        <v>2372023128</v>
      </c>
      <c r="K2593">
        <v>6977422248</v>
      </c>
      <c r="M2593" t="s">
        <v>5274</v>
      </c>
      <c r="N2593" t="s">
        <v>176</v>
      </c>
      <c r="O2593" t="s">
        <v>177</v>
      </c>
      <c r="R2593" t="s">
        <v>57</v>
      </c>
      <c r="S2593">
        <v>6</v>
      </c>
      <c r="T2593">
        <v>862</v>
      </c>
      <c r="U2593" s="1">
        <v>39706</v>
      </c>
      <c r="V2593" t="s">
        <v>4509</v>
      </c>
      <c r="W2593" t="s">
        <v>4510</v>
      </c>
      <c r="X2593" t="s">
        <v>58</v>
      </c>
      <c r="Y2593">
        <v>20</v>
      </c>
      <c r="Z2593" t="s">
        <v>59</v>
      </c>
      <c r="AA2593" t="s">
        <v>59</v>
      </c>
      <c r="AB2593" t="s">
        <v>59</v>
      </c>
      <c r="AC2593" t="s">
        <v>59</v>
      </c>
      <c r="AD2593" t="s">
        <v>59</v>
      </c>
      <c r="AF2593" s="1">
        <v>39709</v>
      </c>
      <c r="AG2593" t="s">
        <v>125</v>
      </c>
      <c r="AH2593" t="s">
        <v>126</v>
      </c>
      <c r="AI2593" t="str">
        <f>"3202020"</f>
        <v>3202020</v>
      </c>
      <c r="AJ2593" t="s">
        <v>4576</v>
      </c>
      <c r="AK2593">
        <v>2842022289</v>
      </c>
      <c r="AL2593" t="s">
        <v>4577</v>
      </c>
      <c r="AM2593" t="s">
        <v>4513</v>
      </c>
      <c r="AN2593" t="s">
        <v>4519</v>
      </c>
      <c r="AO2593" t="s">
        <v>4519</v>
      </c>
      <c r="AP2593" t="s">
        <v>4519</v>
      </c>
      <c r="AQ2593">
        <v>4</v>
      </c>
      <c r="AR2593" t="s">
        <v>4509</v>
      </c>
      <c r="AS2593" t="s">
        <v>4510</v>
      </c>
      <c r="AT2593" t="s">
        <v>58</v>
      </c>
      <c r="AU2593" t="s">
        <v>68</v>
      </c>
      <c r="AV2593" t="s">
        <v>132</v>
      </c>
      <c r="AW2593" s="1">
        <v>24631</v>
      </c>
      <c r="AX2593">
        <v>2</v>
      </c>
    </row>
    <row r="2594" spans="1:50">
      <c r="A2594">
        <v>701180</v>
      </c>
      <c r="B2594" t="str">
        <f>"037894766"</f>
        <v>037894766</v>
      </c>
      <c r="C2594" t="s">
        <v>50</v>
      </c>
      <c r="D2594" t="s">
        <v>5275</v>
      </c>
      <c r="E2594" t="s">
        <v>255</v>
      </c>
      <c r="F2594" t="s">
        <v>95</v>
      </c>
      <c r="G2594" t="s">
        <v>5276</v>
      </c>
      <c r="H2594" t="str">
        <f>"ΕΘΝΙΚΩΝ ΑΓΩΝΩΝ 72 ΒΟΛΟΣ"</f>
        <v>ΕΘΝΙΚΩΝ ΑΓΩΝΩΝ 72 ΒΟΛΟΣ</v>
      </c>
      <c r="I2594">
        <v>38445</v>
      </c>
      <c r="J2594">
        <v>2421085623</v>
      </c>
      <c r="K2594">
        <v>6977911116</v>
      </c>
      <c r="M2594" t="s">
        <v>5277</v>
      </c>
      <c r="N2594" t="s">
        <v>146</v>
      </c>
      <c r="O2594" t="s">
        <v>147</v>
      </c>
      <c r="R2594" t="s">
        <v>57</v>
      </c>
      <c r="S2594">
        <v>5</v>
      </c>
      <c r="T2594">
        <v>772</v>
      </c>
      <c r="U2594" s="1">
        <v>40413</v>
      </c>
      <c r="V2594" t="s">
        <v>4509</v>
      </c>
      <c r="W2594" t="s">
        <v>4510</v>
      </c>
      <c r="X2594" t="s">
        <v>58</v>
      </c>
      <c r="Y2594">
        <v>21</v>
      </c>
      <c r="Z2594" t="s">
        <v>59</v>
      </c>
      <c r="AA2594" t="s">
        <v>59</v>
      </c>
      <c r="AB2594" t="s">
        <v>59</v>
      </c>
      <c r="AC2594" t="s">
        <v>59</v>
      </c>
      <c r="AD2594" t="s">
        <v>59</v>
      </c>
      <c r="AF2594" s="1">
        <v>40422</v>
      </c>
      <c r="AG2594" t="s">
        <v>125</v>
      </c>
      <c r="AH2594" t="s">
        <v>126</v>
      </c>
      <c r="AI2594" t="str">
        <f>"3203010"</f>
        <v>3203010</v>
      </c>
      <c r="AJ2594" t="s">
        <v>4522</v>
      </c>
      <c r="AK2594">
        <v>2841034140</v>
      </c>
      <c r="AL2594" t="s">
        <v>4523</v>
      </c>
      <c r="AM2594" t="s">
        <v>4513</v>
      </c>
      <c r="AN2594" t="s">
        <v>4514</v>
      </c>
      <c r="AO2594" t="s">
        <v>4524</v>
      </c>
      <c r="AP2594" t="s">
        <v>4525</v>
      </c>
      <c r="AQ2594">
        <v>3</v>
      </c>
      <c r="AR2594" t="s">
        <v>4509</v>
      </c>
      <c r="AS2594" t="s">
        <v>4510</v>
      </c>
      <c r="AT2594" t="s">
        <v>58</v>
      </c>
      <c r="AU2594" t="s">
        <v>68</v>
      </c>
      <c r="AV2594" t="s">
        <v>69</v>
      </c>
      <c r="AW2594" s="1">
        <v>25959</v>
      </c>
      <c r="AX2594">
        <v>2</v>
      </c>
    </row>
    <row r="2595" spans="1:50">
      <c r="A2595">
        <v>197415</v>
      </c>
      <c r="B2595" t="str">
        <f>"041560081"</f>
        <v>041560081</v>
      </c>
      <c r="C2595" t="s">
        <v>50</v>
      </c>
      <c r="D2595" t="s">
        <v>3299</v>
      </c>
      <c r="E2595" t="s">
        <v>460</v>
      </c>
      <c r="F2595" t="s">
        <v>99</v>
      </c>
      <c r="G2595" t="s">
        <v>1358</v>
      </c>
      <c r="H2595" t="str">
        <f>"Μονής Φραρού 6 Νεάπολη"</f>
        <v>Μονής Φραρού 6 Νεάπολη</v>
      </c>
      <c r="I2595">
        <v>72400</v>
      </c>
      <c r="J2595">
        <v>2841033195</v>
      </c>
      <c r="K2595">
        <v>6946403289</v>
      </c>
      <c r="M2595" t="s">
        <v>5278</v>
      </c>
      <c r="N2595" t="s">
        <v>146</v>
      </c>
      <c r="O2595" t="s">
        <v>147</v>
      </c>
      <c r="R2595" t="s">
        <v>57</v>
      </c>
      <c r="S2595">
        <v>7</v>
      </c>
      <c r="T2595">
        <v>206</v>
      </c>
      <c r="U2595" s="1">
        <v>37866</v>
      </c>
      <c r="V2595" t="s">
        <v>4509</v>
      </c>
      <c r="W2595" t="s">
        <v>4510</v>
      </c>
      <c r="X2595" t="s">
        <v>58</v>
      </c>
      <c r="Y2595">
        <v>20</v>
      </c>
      <c r="Z2595" t="s">
        <v>59</v>
      </c>
      <c r="AA2595" t="s">
        <v>59</v>
      </c>
      <c r="AB2595" t="s">
        <v>59</v>
      </c>
      <c r="AC2595" t="s">
        <v>59</v>
      </c>
      <c r="AD2595" t="s">
        <v>59</v>
      </c>
      <c r="AF2595" s="1">
        <v>37867</v>
      </c>
      <c r="AG2595" t="s">
        <v>148</v>
      </c>
      <c r="AH2595" t="s">
        <v>149</v>
      </c>
      <c r="AI2595" t="str">
        <f>"3253010"</f>
        <v>3253010</v>
      </c>
      <c r="AJ2595" t="s">
        <v>4579</v>
      </c>
      <c r="AK2595">
        <v>2841031769</v>
      </c>
      <c r="AL2595" t="s">
        <v>4580</v>
      </c>
      <c r="AM2595" t="s">
        <v>4513</v>
      </c>
      <c r="AN2595" t="s">
        <v>4514</v>
      </c>
      <c r="AO2595" t="s">
        <v>4524</v>
      </c>
      <c r="AP2595" t="s">
        <v>4525</v>
      </c>
      <c r="AQ2595">
        <v>3</v>
      </c>
      <c r="AR2595" t="s">
        <v>4509</v>
      </c>
      <c r="AS2595" t="s">
        <v>4510</v>
      </c>
      <c r="AT2595" t="s">
        <v>58</v>
      </c>
      <c r="AU2595" t="s">
        <v>68</v>
      </c>
      <c r="AV2595" t="s">
        <v>69</v>
      </c>
      <c r="AW2595" s="1">
        <v>25959</v>
      </c>
      <c r="AX2595">
        <v>2</v>
      </c>
    </row>
    <row r="2596" spans="1:50">
      <c r="A2596">
        <v>202980</v>
      </c>
      <c r="B2596" t="str">
        <f>"030717808"</f>
        <v>030717808</v>
      </c>
      <c r="C2596" t="s">
        <v>105</v>
      </c>
      <c r="D2596" t="s">
        <v>3302</v>
      </c>
      <c r="E2596" t="s">
        <v>166</v>
      </c>
      <c r="F2596" t="s">
        <v>95</v>
      </c>
      <c r="G2596" t="s">
        <v>2811</v>
      </c>
      <c r="H2596" t="str">
        <f t="shared" ref="H2596:H2607" si="3">" "</f>
        <v xml:space="preserve"> </v>
      </c>
      <c r="J2596">
        <v>2842022512</v>
      </c>
      <c r="K2596">
        <v>6945993510</v>
      </c>
      <c r="M2596" t="s">
        <v>5279</v>
      </c>
      <c r="N2596" t="s">
        <v>1647</v>
      </c>
      <c r="O2596" t="s">
        <v>1648</v>
      </c>
      <c r="R2596" t="s">
        <v>57</v>
      </c>
      <c r="S2596">
        <v>9</v>
      </c>
      <c r="T2596">
        <v>231</v>
      </c>
      <c r="U2596" s="1">
        <v>38230</v>
      </c>
      <c r="V2596" t="s">
        <v>4509</v>
      </c>
      <c r="W2596" t="s">
        <v>4510</v>
      </c>
      <c r="X2596" t="s">
        <v>58</v>
      </c>
      <c r="Y2596">
        <v>20</v>
      </c>
      <c r="Z2596" t="s">
        <v>59</v>
      </c>
      <c r="AA2596" t="s">
        <v>59</v>
      </c>
      <c r="AB2596" t="s">
        <v>59</v>
      </c>
      <c r="AC2596" t="s">
        <v>59</v>
      </c>
      <c r="AD2596" t="s">
        <v>59</v>
      </c>
      <c r="AF2596" s="1">
        <v>38231</v>
      </c>
      <c r="AG2596" t="s">
        <v>148</v>
      </c>
      <c r="AH2596" t="s">
        <v>149</v>
      </c>
      <c r="AI2596" t="str">
        <f>"3252020"</f>
        <v>3252020</v>
      </c>
      <c r="AJ2596" t="s">
        <v>4638</v>
      </c>
      <c r="AK2596">
        <v>2842022379</v>
      </c>
      <c r="AL2596" t="s">
        <v>4639</v>
      </c>
      <c r="AM2596" t="s">
        <v>4513</v>
      </c>
      <c r="AN2596" t="s">
        <v>4519</v>
      </c>
      <c r="AO2596" t="s">
        <v>4519</v>
      </c>
      <c r="AP2596" t="s">
        <v>4519</v>
      </c>
      <c r="AQ2596">
        <v>4</v>
      </c>
      <c r="AR2596" t="s">
        <v>4509</v>
      </c>
      <c r="AS2596" t="s">
        <v>4510</v>
      </c>
      <c r="AT2596" t="s">
        <v>58</v>
      </c>
      <c r="AU2596" t="s">
        <v>68</v>
      </c>
      <c r="AV2596" t="s">
        <v>69</v>
      </c>
      <c r="AW2596" s="1">
        <v>21361</v>
      </c>
      <c r="AX2596">
        <v>2</v>
      </c>
    </row>
    <row r="2597" spans="1:50">
      <c r="A2597">
        <v>225126</v>
      </c>
      <c r="B2597" t="str">
        <f>"124979900"</f>
        <v>124979900</v>
      </c>
      <c r="C2597" t="s">
        <v>50</v>
      </c>
      <c r="D2597" t="s">
        <v>5280</v>
      </c>
      <c r="E2597" t="s">
        <v>541</v>
      </c>
      <c r="F2597" t="s">
        <v>564</v>
      </c>
      <c r="G2597" t="s">
        <v>5281</v>
      </c>
      <c r="H2597" t="str">
        <f t="shared" si="3"/>
        <v xml:space="preserve"> </v>
      </c>
      <c r="J2597">
        <v>2531027974</v>
      </c>
      <c r="K2597">
        <v>6973398044</v>
      </c>
      <c r="M2597" t="s">
        <v>5282</v>
      </c>
      <c r="N2597" t="s">
        <v>176</v>
      </c>
      <c r="O2597" t="s">
        <v>177</v>
      </c>
      <c r="R2597" t="s">
        <v>57</v>
      </c>
      <c r="S2597">
        <v>6</v>
      </c>
      <c r="T2597">
        <v>775</v>
      </c>
      <c r="U2597" s="1">
        <v>39680</v>
      </c>
      <c r="V2597" t="s">
        <v>4509</v>
      </c>
      <c r="W2597" t="s">
        <v>4510</v>
      </c>
      <c r="X2597" t="s">
        <v>58</v>
      </c>
      <c r="Y2597">
        <v>21</v>
      </c>
      <c r="Z2597" t="s">
        <v>59</v>
      </c>
      <c r="AA2597" t="s">
        <v>59</v>
      </c>
      <c r="AB2597" t="s">
        <v>59</v>
      </c>
      <c r="AC2597" t="s">
        <v>59</v>
      </c>
      <c r="AD2597" t="s">
        <v>59</v>
      </c>
      <c r="AF2597" s="1">
        <v>39692</v>
      </c>
      <c r="AG2597" t="s">
        <v>345</v>
      </c>
      <c r="AH2597" t="s">
        <v>346</v>
      </c>
      <c r="AI2597" t="str">
        <f>"3241001"</f>
        <v>3241001</v>
      </c>
      <c r="AJ2597" t="s">
        <v>4613</v>
      </c>
      <c r="AK2597">
        <v>2842026374</v>
      </c>
      <c r="AL2597" t="s">
        <v>4614</v>
      </c>
      <c r="AM2597" t="s">
        <v>4513</v>
      </c>
      <c r="AN2597" t="s">
        <v>4519</v>
      </c>
      <c r="AO2597" t="s">
        <v>4519</v>
      </c>
      <c r="AP2597" t="s">
        <v>4519</v>
      </c>
      <c r="AQ2597">
        <v>4</v>
      </c>
      <c r="AR2597" t="s">
        <v>4509</v>
      </c>
      <c r="AS2597" t="s">
        <v>4510</v>
      </c>
      <c r="AT2597" t="s">
        <v>58</v>
      </c>
      <c r="AU2597" t="s">
        <v>68</v>
      </c>
      <c r="AV2597" t="s">
        <v>132</v>
      </c>
      <c r="AW2597" s="1">
        <v>28918</v>
      </c>
      <c r="AX2597">
        <v>2</v>
      </c>
    </row>
    <row r="2598" spans="1:50">
      <c r="A2598">
        <v>225127</v>
      </c>
      <c r="B2598" t="str">
        <f>"045845170"</f>
        <v>045845170</v>
      </c>
      <c r="C2598" t="s">
        <v>105</v>
      </c>
      <c r="D2598" t="s">
        <v>5283</v>
      </c>
      <c r="E2598" t="s">
        <v>496</v>
      </c>
      <c r="F2598" t="s">
        <v>166</v>
      </c>
      <c r="G2598" t="s">
        <v>5284</v>
      </c>
      <c r="H2598" t="str">
        <f t="shared" si="3"/>
        <v xml:space="preserve"> </v>
      </c>
      <c r="J2598">
        <v>2810288777</v>
      </c>
      <c r="K2598">
        <v>6946794677</v>
      </c>
      <c r="M2598" t="s">
        <v>5285</v>
      </c>
      <c r="N2598" t="s">
        <v>176</v>
      </c>
      <c r="O2598" t="s">
        <v>177</v>
      </c>
      <c r="R2598" t="s">
        <v>57</v>
      </c>
      <c r="S2598">
        <v>5</v>
      </c>
      <c r="T2598">
        <v>775</v>
      </c>
      <c r="U2598" s="1">
        <v>39680</v>
      </c>
      <c r="V2598" t="s">
        <v>4509</v>
      </c>
      <c r="W2598" t="s">
        <v>4510</v>
      </c>
      <c r="X2598" t="s">
        <v>58</v>
      </c>
      <c r="Y2598">
        <v>21</v>
      </c>
      <c r="Z2598" t="s">
        <v>59</v>
      </c>
      <c r="AA2598" t="s">
        <v>59</v>
      </c>
      <c r="AB2598" t="s">
        <v>59</v>
      </c>
      <c r="AC2598" t="s">
        <v>59</v>
      </c>
      <c r="AD2598" t="s">
        <v>59</v>
      </c>
      <c r="AF2598" s="1">
        <v>39692</v>
      </c>
      <c r="AG2598" t="s">
        <v>148</v>
      </c>
      <c r="AH2598" t="s">
        <v>149</v>
      </c>
      <c r="AI2598" t="str">
        <f>"3253010"</f>
        <v>3253010</v>
      </c>
      <c r="AJ2598" t="s">
        <v>4579</v>
      </c>
      <c r="AK2598">
        <v>2841031769</v>
      </c>
      <c r="AL2598" t="s">
        <v>4580</v>
      </c>
      <c r="AM2598" t="s">
        <v>4513</v>
      </c>
      <c r="AN2598" t="s">
        <v>4514</v>
      </c>
      <c r="AO2598" t="s">
        <v>4524</v>
      </c>
      <c r="AP2598" t="s">
        <v>4525</v>
      </c>
      <c r="AQ2598">
        <v>3</v>
      </c>
      <c r="AR2598" t="s">
        <v>4509</v>
      </c>
      <c r="AS2598" t="s">
        <v>4510</v>
      </c>
      <c r="AT2598" t="s">
        <v>58</v>
      </c>
      <c r="AU2598" t="s">
        <v>68</v>
      </c>
      <c r="AV2598" t="s">
        <v>132</v>
      </c>
      <c r="AW2598" s="1">
        <v>27315</v>
      </c>
      <c r="AX2598">
        <v>2</v>
      </c>
    </row>
    <row r="2599" spans="1:50">
      <c r="A2599">
        <v>189520</v>
      </c>
      <c r="B2599" t="str">
        <f>"044638700"</f>
        <v>044638700</v>
      </c>
      <c r="C2599" t="s">
        <v>50</v>
      </c>
      <c r="D2599" t="s">
        <v>5286</v>
      </c>
      <c r="E2599" t="s">
        <v>237</v>
      </c>
      <c r="F2599" t="s">
        <v>377</v>
      </c>
      <c r="G2599" t="s">
        <v>52</v>
      </c>
      <c r="H2599" t="str">
        <f t="shared" si="3"/>
        <v xml:space="preserve"> </v>
      </c>
      <c r="M2599" t="s">
        <v>5287</v>
      </c>
      <c r="N2599" t="s">
        <v>146</v>
      </c>
      <c r="O2599" t="s">
        <v>147</v>
      </c>
      <c r="R2599" t="s">
        <v>57</v>
      </c>
      <c r="S2599">
        <v>10</v>
      </c>
      <c r="T2599">
        <v>219</v>
      </c>
      <c r="U2599" s="1">
        <v>37134</v>
      </c>
      <c r="V2599" t="s">
        <v>4509</v>
      </c>
      <c r="W2599" t="s">
        <v>4510</v>
      </c>
      <c r="X2599" t="s">
        <v>58</v>
      </c>
      <c r="Y2599">
        <v>20</v>
      </c>
      <c r="Z2599" t="s">
        <v>59</v>
      </c>
      <c r="AA2599" t="s">
        <v>59</v>
      </c>
      <c r="AB2599" t="s">
        <v>59</v>
      </c>
      <c r="AC2599" t="s">
        <v>59</v>
      </c>
      <c r="AD2599" t="s">
        <v>59</v>
      </c>
      <c r="AF2599" s="1">
        <v>37135</v>
      </c>
      <c r="AG2599" t="s">
        <v>125</v>
      </c>
      <c r="AH2599" t="s">
        <v>126</v>
      </c>
      <c r="AI2599" t="str">
        <f>"3201010"</f>
        <v>3201010</v>
      </c>
      <c r="AJ2599" t="s">
        <v>4596</v>
      </c>
      <c r="AK2599">
        <v>2841022301</v>
      </c>
      <c r="AL2599" t="s">
        <v>4597</v>
      </c>
      <c r="AM2599" t="s">
        <v>4513</v>
      </c>
      <c r="AN2599" t="s">
        <v>4514</v>
      </c>
      <c r="AO2599" t="s">
        <v>4514</v>
      </c>
      <c r="AP2599" t="s">
        <v>4514</v>
      </c>
      <c r="AQ2599">
        <v>1</v>
      </c>
      <c r="AR2599" t="s">
        <v>4509</v>
      </c>
      <c r="AS2599" t="s">
        <v>4510</v>
      </c>
      <c r="AT2599" t="s">
        <v>58</v>
      </c>
      <c r="AU2599" t="s">
        <v>68</v>
      </c>
      <c r="AV2599" t="s">
        <v>69</v>
      </c>
      <c r="AW2599" s="1">
        <v>25276</v>
      </c>
      <c r="AX2599">
        <v>2</v>
      </c>
    </row>
    <row r="2600" spans="1:50">
      <c r="A2600">
        <v>163350</v>
      </c>
      <c r="B2600" t="str">
        <f>"035690031"</f>
        <v>035690031</v>
      </c>
      <c r="C2600" t="s">
        <v>50</v>
      </c>
      <c r="D2600" t="s">
        <v>5288</v>
      </c>
      <c r="E2600" t="s">
        <v>5289</v>
      </c>
      <c r="F2600" t="s">
        <v>53</v>
      </c>
      <c r="G2600" t="s">
        <v>83</v>
      </c>
      <c r="H2600" t="str">
        <f t="shared" si="3"/>
        <v xml:space="preserve"> </v>
      </c>
      <c r="M2600" t="s">
        <v>5290</v>
      </c>
      <c r="N2600" t="s">
        <v>299</v>
      </c>
      <c r="O2600" t="s">
        <v>300</v>
      </c>
      <c r="R2600" t="s">
        <v>57</v>
      </c>
      <c r="S2600">
        <v>14</v>
      </c>
      <c r="T2600">
        <v>132</v>
      </c>
      <c r="U2600" s="1">
        <v>33456</v>
      </c>
      <c r="V2600" t="s">
        <v>4509</v>
      </c>
      <c r="W2600" t="s">
        <v>4510</v>
      </c>
      <c r="X2600" t="s">
        <v>58</v>
      </c>
      <c r="Y2600">
        <v>18</v>
      </c>
      <c r="Z2600" t="s">
        <v>59</v>
      </c>
      <c r="AA2600" t="s">
        <v>59</v>
      </c>
      <c r="AB2600" t="s">
        <v>59</v>
      </c>
      <c r="AC2600" t="s">
        <v>59</v>
      </c>
      <c r="AD2600" t="s">
        <v>59</v>
      </c>
      <c r="AF2600" s="1">
        <v>33482</v>
      </c>
      <c r="AG2600" t="s">
        <v>125</v>
      </c>
      <c r="AH2600" t="s">
        <v>126</v>
      </c>
      <c r="AI2600" t="str">
        <f>"3201020"</f>
        <v>3201020</v>
      </c>
      <c r="AJ2600" t="s">
        <v>4511</v>
      </c>
      <c r="AK2600">
        <v>2841024586</v>
      </c>
      <c r="AL2600" t="s">
        <v>4512</v>
      </c>
      <c r="AM2600" t="s">
        <v>4513</v>
      </c>
      <c r="AN2600" t="s">
        <v>4514</v>
      </c>
      <c r="AO2600" t="s">
        <v>4514</v>
      </c>
      <c r="AP2600" t="s">
        <v>4514</v>
      </c>
      <c r="AQ2600">
        <v>1</v>
      </c>
      <c r="AR2600" t="s">
        <v>4509</v>
      </c>
      <c r="AS2600" t="s">
        <v>4510</v>
      </c>
      <c r="AT2600" t="s">
        <v>58</v>
      </c>
      <c r="AU2600" t="s">
        <v>68</v>
      </c>
      <c r="AV2600" t="s">
        <v>69</v>
      </c>
      <c r="AW2600" s="1">
        <v>24370</v>
      </c>
      <c r="AX2600">
        <v>2</v>
      </c>
    </row>
    <row r="2601" spans="1:50">
      <c r="A2601">
        <v>222513</v>
      </c>
      <c r="B2601" t="str">
        <f>"105135390"</f>
        <v>105135390</v>
      </c>
      <c r="C2601" t="s">
        <v>50</v>
      </c>
      <c r="D2601" t="s">
        <v>5291</v>
      </c>
      <c r="E2601" t="s">
        <v>52</v>
      </c>
      <c r="F2601" t="s">
        <v>3192</v>
      </c>
      <c r="G2601" t="s">
        <v>112</v>
      </c>
      <c r="H2601" t="str">
        <f t="shared" si="3"/>
        <v xml:space="preserve"> </v>
      </c>
      <c r="J2601">
        <v>2841082454</v>
      </c>
      <c r="K2601">
        <v>6948063264</v>
      </c>
      <c r="M2601" t="s">
        <v>5292</v>
      </c>
      <c r="N2601" t="s">
        <v>146</v>
      </c>
      <c r="O2601" t="s">
        <v>147</v>
      </c>
      <c r="R2601" t="s">
        <v>57</v>
      </c>
      <c r="S2601">
        <v>7</v>
      </c>
      <c r="T2601">
        <v>775</v>
      </c>
      <c r="U2601" s="1">
        <v>39680</v>
      </c>
      <c r="V2601" t="s">
        <v>4509</v>
      </c>
      <c r="W2601" t="s">
        <v>4510</v>
      </c>
      <c r="X2601" t="s">
        <v>58</v>
      </c>
      <c r="Y2601">
        <v>21</v>
      </c>
      <c r="Z2601" t="s">
        <v>59</v>
      </c>
      <c r="AA2601" t="s">
        <v>59</v>
      </c>
      <c r="AB2601" t="s">
        <v>59</v>
      </c>
      <c r="AC2601" t="s">
        <v>59</v>
      </c>
      <c r="AD2601" t="s">
        <v>59</v>
      </c>
      <c r="AF2601" s="1">
        <v>39682</v>
      </c>
      <c r="AG2601" t="s">
        <v>148</v>
      </c>
      <c r="AH2601" t="s">
        <v>149</v>
      </c>
      <c r="AI2601" t="str">
        <f>"3251010"</f>
        <v>3251010</v>
      </c>
      <c r="AJ2601" t="s">
        <v>4646</v>
      </c>
      <c r="AK2601">
        <v>2841023649</v>
      </c>
      <c r="AL2601" t="s">
        <v>4647</v>
      </c>
      <c r="AM2601" t="s">
        <v>4513</v>
      </c>
      <c r="AN2601" t="s">
        <v>4514</v>
      </c>
      <c r="AO2601" t="s">
        <v>4514</v>
      </c>
      <c r="AP2601" t="s">
        <v>4514</v>
      </c>
      <c r="AQ2601">
        <v>1</v>
      </c>
      <c r="AR2601" t="s">
        <v>4509</v>
      </c>
      <c r="AS2601" t="s">
        <v>4510</v>
      </c>
      <c r="AT2601" t="s">
        <v>58</v>
      </c>
      <c r="AU2601" t="s">
        <v>68</v>
      </c>
      <c r="AV2601" t="s">
        <v>69</v>
      </c>
      <c r="AW2601" s="1">
        <v>27859</v>
      </c>
      <c r="AX2601">
        <v>2</v>
      </c>
    </row>
    <row r="2602" spans="1:50">
      <c r="A2602">
        <v>208607</v>
      </c>
      <c r="B2602" t="str">
        <f>"056779769"</f>
        <v>056779769</v>
      </c>
      <c r="C2602" t="s">
        <v>105</v>
      </c>
      <c r="D2602" t="s">
        <v>3345</v>
      </c>
      <c r="E2602" t="s">
        <v>108</v>
      </c>
      <c r="F2602" t="s">
        <v>646</v>
      </c>
      <c r="G2602" t="s">
        <v>5293</v>
      </c>
      <c r="H2602" t="str">
        <f t="shared" si="3"/>
        <v xml:space="preserve"> </v>
      </c>
      <c r="J2602">
        <v>2842024645</v>
      </c>
      <c r="K2602">
        <v>6977354481</v>
      </c>
      <c r="M2602" t="s">
        <v>5294</v>
      </c>
      <c r="N2602" t="s">
        <v>168</v>
      </c>
      <c r="O2602" t="s">
        <v>169</v>
      </c>
      <c r="R2602" t="s">
        <v>57</v>
      </c>
      <c r="S2602">
        <v>8</v>
      </c>
      <c r="T2602">
        <v>218</v>
      </c>
      <c r="U2602" s="1">
        <v>38596</v>
      </c>
      <c r="V2602" t="s">
        <v>4509</v>
      </c>
      <c r="W2602" t="s">
        <v>4510</v>
      </c>
      <c r="X2602" t="s">
        <v>58</v>
      </c>
      <c r="Y2602">
        <v>20</v>
      </c>
      <c r="Z2602" t="s">
        <v>59</v>
      </c>
      <c r="AA2602" t="s">
        <v>59</v>
      </c>
      <c r="AB2602" t="s">
        <v>59</v>
      </c>
      <c r="AC2602" t="s">
        <v>59</v>
      </c>
      <c r="AD2602" t="s">
        <v>59</v>
      </c>
      <c r="AF2602" s="1">
        <v>38596</v>
      </c>
      <c r="AG2602" t="s">
        <v>137</v>
      </c>
      <c r="AH2602" t="s">
        <v>138</v>
      </c>
      <c r="AI2602" t="str">
        <f>"3240120"</f>
        <v>3240120</v>
      </c>
      <c r="AJ2602" t="s">
        <v>4552</v>
      </c>
      <c r="AK2602">
        <v>2842028667</v>
      </c>
      <c r="AL2602" t="s">
        <v>4553</v>
      </c>
      <c r="AM2602" t="s">
        <v>4513</v>
      </c>
      <c r="AN2602" t="s">
        <v>4519</v>
      </c>
      <c r="AO2602" t="s">
        <v>4519</v>
      </c>
      <c r="AP2602" t="s">
        <v>4519</v>
      </c>
      <c r="AQ2602">
        <v>4</v>
      </c>
      <c r="AR2602" t="s">
        <v>4509</v>
      </c>
      <c r="AS2602" t="s">
        <v>4510</v>
      </c>
      <c r="AT2602" t="s">
        <v>58</v>
      </c>
      <c r="AU2602" t="s">
        <v>68</v>
      </c>
      <c r="AV2602" t="s">
        <v>69</v>
      </c>
      <c r="AW2602" s="1">
        <v>24986</v>
      </c>
      <c r="AX2602">
        <v>2</v>
      </c>
    </row>
    <row r="2603" spans="1:50">
      <c r="A2603">
        <v>221240</v>
      </c>
      <c r="B2603" t="str">
        <f>"110263923"</f>
        <v>110263923</v>
      </c>
      <c r="C2603" t="s">
        <v>105</v>
      </c>
      <c r="D2603" t="s">
        <v>5295</v>
      </c>
      <c r="E2603" t="s">
        <v>95</v>
      </c>
      <c r="F2603" t="s">
        <v>106</v>
      </c>
      <c r="G2603" t="s">
        <v>52</v>
      </c>
      <c r="H2603" t="str">
        <f t="shared" si="3"/>
        <v xml:space="preserve"> </v>
      </c>
      <c r="J2603">
        <v>2842080492</v>
      </c>
      <c r="K2603">
        <v>6948506308</v>
      </c>
      <c r="M2603" t="s">
        <v>5296</v>
      </c>
      <c r="N2603" t="s">
        <v>299</v>
      </c>
      <c r="O2603" t="s">
        <v>300</v>
      </c>
      <c r="R2603" t="s">
        <v>57</v>
      </c>
      <c r="S2603">
        <v>5</v>
      </c>
      <c r="T2603">
        <v>691</v>
      </c>
      <c r="U2603" s="1">
        <v>39331</v>
      </c>
      <c r="V2603" t="s">
        <v>4509</v>
      </c>
      <c r="W2603" t="s">
        <v>4510</v>
      </c>
      <c r="X2603" t="s">
        <v>58</v>
      </c>
      <c r="Y2603">
        <v>21</v>
      </c>
      <c r="Z2603" t="s">
        <v>59</v>
      </c>
      <c r="AA2603" t="s">
        <v>59</v>
      </c>
      <c r="AB2603" t="s">
        <v>59</v>
      </c>
      <c r="AC2603" t="s">
        <v>59</v>
      </c>
      <c r="AD2603" t="s">
        <v>59</v>
      </c>
      <c r="AF2603" s="1">
        <v>39332</v>
      </c>
      <c r="AG2603" t="s">
        <v>137</v>
      </c>
      <c r="AH2603" t="s">
        <v>469</v>
      </c>
      <c r="AI2603" t="str">
        <f>"3240125"</f>
        <v>3240125</v>
      </c>
      <c r="AJ2603" t="s">
        <v>4707</v>
      </c>
      <c r="AK2603">
        <v>2842024905</v>
      </c>
      <c r="AL2603" t="s">
        <v>4708</v>
      </c>
      <c r="AM2603" t="s">
        <v>4513</v>
      </c>
      <c r="AN2603" t="s">
        <v>4519</v>
      </c>
      <c r="AO2603" t="s">
        <v>4519</v>
      </c>
      <c r="AP2603" t="s">
        <v>4519</v>
      </c>
      <c r="AQ2603">
        <v>4</v>
      </c>
      <c r="AR2603" t="s">
        <v>4509</v>
      </c>
      <c r="AS2603" t="s">
        <v>4510</v>
      </c>
      <c r="AT2603" t="s">
        <v>58</v>
      </c>
      <c r="AU2603" t="s">
        <v>68</v>
      </c>
      <c r="AV2603" t="s">
        <v>69</v>
      </c>
      <c r="AW2603" s="1">
        <v>26993</v>
      </c>
      <c r="AX2603">
        <v>2</v>
      </c>
    </row>
    <row r="2604" spans="1:50">
      <c r="A2604">
        <v>156909</v>
      </c>
      <c r="B2604" t="str">
        <f>"032461369"</f>
        <v>032461369</v>
      </c>
      <c r="C2604" t="s">
        <v>105</v>
      </c>
      <c r="D2604" t="s">
        <v>5295</v>
      </c>
      <c r="E2604" t="s">
        <v>53</v>
      </c>
      <c r="F2604" t="s">
        <v>154</v>
      </c>
      <c r="G2604" t="s">
        <v>1065</v>
      </c>
      <c r="H2604" t="str">
        <f t="shared" si="3"/>
        <v xml:space="preserve"> </v>
      </c>
      <c r="J2604">
        <v>2843025166</v>
      </c>
      <c r="K2604">
        <v>6977683296</v>
      </c>
      <c r="M2604" t="s">
        <v>5297</v>
      </c>
      <c r="N2604" t="s">
        <v>232</v>
      </c>
      <c r="O2604" t="s">
        <v>233</v>
      </c>
      <c r="R2604" t="s">
        <v>57</v>
      </c>
      <c r="S2604">
        <v>14</v>
      </c>
      <c r="T2604">
        <v>188</v>
      </c>
      <c r="U2604" s="1">
        <v>32752</v>
      </c>
      <c r="V2604" t="s">
        <v>4509</v>
      </c>
      <c r="W2604" t="s">
        <v>4510</v>
      </c>
      <c r="X2604" t="s">
        <v>58</v>
      </c>
      <c r="Y2604">
        <v>18</v>
      </c>
      <c r="Z2604" t="s">
        <v>59</v>
      </c>
      <c r="AA2604" t="s">
        <v>59</v>
      </c>
      <c r="AB2604" t="s">
        <v>59</v>
      </c>
      <c r="AC2604" t="s">
        <v>59</v>
      </c>
      <c r="AD2604" t="s">
        <v>59</v>
      </c>
      <c r="AF2604" s="1">
        <v>32753</v>
      </c>
      <c r="AG2604" t="s">
        <v>148</v>
      </c>
      <c r="AH2604" t="s">
        <v>149</v>
      </c>
      <c r="AI2604" t="str">
        <f>"3254010"</f>
        <v>3254010</v>
      </c>
      <c r="AJ2604" t="s">
        <v>4538</v>
      </c>
      <c r="AK2604">
        <v>2843022277</v>
      </c>
      <c r="AL2604" t="s">
        <v>4539</v>
      </c>
      <c r="AM2604" t="s">
        <v>4513</v>
      </c>
      <c r="AN2604" t="s">
        <v>4540</v>
      </c>
      <c r="AO2604" t="s">
        <v>4540</v>
      </c>
      <c r="AP2604" t="s">
        <v>4540</v>
      </c>
      <c r="AQ2604">
        <v>6</v>
      </c>
      <c r="AR2604" t="s">
        <v>4509</v>
      </c>
      <c r="AS2604" t="s">
        <v>4510</v>
      </c>
      <c r="AT2604" t="s">
        <v>58</v>
      </c>
      <c r="AU2604" t="s">
        <v>68</v>
      </c>
      <c r="AV2604" t="s">
        <v>69</v>
      </c>
      <c r="AW2604" s="1">
        <v>21189</v>
      </c>
      <c r="AX2604">
        <v>2</v>
      </c>
    </row>
    <row r="2605" spans="1:50">
      <c r="A2605">
        <v>702788</v>
      </c>
      <c r="B2605" t="str">
        <f>"050481905"</f>
        <v>050481905</v>
      </c>
      <c r="C2605" t="s">
        <v>50</v>
      </c>
      <c r="D2605" t="s">
        <v>5298</v>
      </c>
      <c r="E2605" t="s">
        <v>83</v>
      </c>
      <c r="F2605" t="s">
        <v>53</v>
      </c>
      <c r="G2605" t="s">
        <v>52</v>
      </c>
      <c r="H2605" t="str">
        <f t="shared" si="3"/>
        <v xml:space="preserve"> </v>
      </c>
      <c r="N2605" t="s">
        <v>478</v>
      </c>
      <c r="O2605" t="s">
        <v>479</v>
      </c>
      <c r="R2605" t="s">
        <v>57</v>
      </c>
      <c r="S2605">
        <v>10</v>
      </c>
      <c r="T2605" t="s">
        <v>938</v>
      </c>
      <c r="U2605" s="1">
        <v>40417</v>
      </c>
      <c r="V2605" t="s">
        <v>4509</v>
      </c>
      <c r="W2605" t="s">
        <v>4510</v>
      </c>
      <c r="X2605" t="s">
        <v>58</v>
      </c>
      <c r="Y2605">
        <v>18</v>
      </c>
      <c r="Z2605" t="s">
        <v>59</v>
      </c>
      <c r="AA2605" t="s">
        <v>59</v>
      </c>
      <c r="AB2605" t="s">
        <v>59</v>
      </c>
      <c r="AC2605" t="s">
        <v>59</v>
      </c>
      <c r="AD2605" t="s">
        <v>59</v>
      </c>
      <c r="AF2605" s="1">
        <v>40500</v>
      </c>
      <c r="AG2605" t="s">
        <v>125</v>
      </c>
      <c r="AH2605" t="s">
        <v>126</v>
      </c>
      <c r="AI2605" t="str">
        <f>"3201020"</f>
        <v>3201020</v>
      </c>
      <c r="AJ2605" t="s">
        <v>4511</v>
      </c>
      <c r="AK2605">
        <v>2841024586</v>
      </c>
      <c r="AL2605" t="s">
        <v>4512</v>
      </c>
      <c r="AM2605" t="s">
        <v>4513</v>
      </c>
      <c r="AN2605" t="s">
        <v>4514</v>
      </c>
      <c r="AO2605" t="s">
        <v>4514</v>
      </c>
      <c r="AP2605" t="s">
        <v>4514</v>
      </c>
      <c r="AQ2605">
        <v>1</v>
      </c>
      <c r="AR2605" t="s">
        <v>4509</v>
      </c>
      <c r="AS2605" t="s">
        <v>4510</v>
      </c>
      <c r="AT2605" t="s">
        <v>58</v>
      </c>
      <c r="AU2605" t="s">
        <v>68</v>
      </c>
      <c r="AV2605" t="s">
        <v>69</v>
      </c>
      <c r="AW2605" s="1">
        <v>24402</v>
      </c>
      <c r="AX2605">
        <v>2</v>
      </c>
    </row>
    <row r="2606" spans="1:50">
      <c r="A2606">
        <v>171472</v>
      </c>
      <c r="B2606" t="str">
        <f>"052629696"</f>
        <v>052629696</v>
      </c>
      <c r="C2606" t="s">
        <v>50</v>
      </c>
      <c r="D2606" t="s">
        <v>5298</v>
      </c>
      <c r="E2606" t="s">
        <v>1713</v>
      </c>
      <c r="F2606" t="s">
        <v>95</v>
      </c>
      <c r="G2606" t="s">
        <v>191</v>
      </c>
      <c r="H2606" t="str">
        <f t="shared" si="3"/>
        <v xml:space="preserve"> </v>
      </c>
      <c r="M2606" t="s">
        <v>5299</v>
      </c>
      <c r="N2606" t="s">
        <v>299</v>
      </c>
      <c r="O2606" t="s">
        <v>300</v>
      </c>
      <c r="R2606" t="s">
        <v>57</v>
      </c>
      <c r="S2606">
        <v>12</v>
      </c>
      <c r="T2606">
        <v>184</v>
      </c>
      <c r="U2606" s="1">
        <v>34941</v>
      </c>
      <c r="V2606" t="s">
        <v>4509</v>
      </c>
      <c r="W2606" t="s">
        <v>4510</v>
      </c>
      <c r="X2606" t="s">
        <v>58</v>
      </c>
      <c r="Y2606">
        <v>18</v>
      </c>
      <c r="Z2606" t="s">
        <v>59</v>
      </c>
      <c r="AA2606" t="s">
        <v>59</v>
      </c>
      <c r="AB2606" t="s">
        <v>59</v>
      </c>
      <c r="AC2606" t="s">
        <v>59</v>
      </c>
      <c r="AD2606" t="s">
        <v>59</v>
      </c>
      <c r="AF2606" s="1">
        <v>34943</v>
      </c>
      <c r="AG2606" t="s">
        <v>148</v>
      </c>
      <c r="AH2606" t="s">
        <v>149</v>
      </c>
      <c r="AI2606" t="str">
        <f>"3252020"</f>
        <v>3252020</v>
      </c>
      <c r="AJ2606" t="s">
        <v>4638</v>
      </c>
      <c r="AK2606">
        <v>2842022379</v>
      </c>
      <c r="AL2606" t="s">
        <v>4639</v>
      </c>
      <c r="AM2606" t="s">
        <v>4513</v>
      </c>
      <c r="AN2606" t="s">
        <v>4519</v>
      </c>
      <c r="AO2606" t="s">
        <v>4519</v>
      </c>
      <c r="AP2606" t="s">
        <v>4519</v>
      </c>
      <c r="AQ2606">
        <v>4</v>
      </c>
      <c r="AR2606" t="s">
        <v>4509</v>
      </c>
      <c r="AS2606" t="s">
        <v>4510</v>
      </c>
      <c r="AT2606" t="s">
        <v>58</v>
      </c>
      <c r="AU2606" t="s">
        <v>68</v>
      </c>
      <c r="AV2606" t="s">
        <v>69</v>
      </c>
      <c r="AW2606" s="1">
        <v>22997</v>
      </c>
      <c r="AX2606">
        <v>2</v>
      </c>
    </row>
    <row r="2607" spans="1:50">
      <c r="A2607">
        <v>176063</v>
      </c>
      <c r="B2607" t="str">
        <f>"042008325"</f>
        <v>042008325</v>
      </c>
      <c r="C2607" t="s">
        <v>105</v>
      </c>
      <c r="D2607" t="s">
        <v>3349</v>
      </c>
      <c r="E2607" t="s">
        <v>72</v>
      </c>
      <c r="F2607" t="s">
        <v>95</v>
      </c>
      <c r="G2607" t="s">
        <v>191</v>
      </c>
      <c r="H2607" t="str">
        <f t="shared" si="3"/>
        <v xml:space="preserve"> </v>
      </c>
      <c r="N2607" t="s">
        <v>232</v>
      </c>
      <c r="O2607" t="s">
        <v>233</v>
      </c>
      <c r="R2607" t="s">
        <v>57</v>
      </c>
      <c r="S2607">
        <v>13</v>
      </c>
      <c r="T2607">
        <v>180</v>
      </c>
      <c r="U2607" s="1">
        <v>35674</v>
      </c>
      <c r="V2607" t="s">
        <v>4509</v>
      </c>
      <c r="W2607" t="s">
        <v>4510</v>
      </c>
      <c r="X2607" t="s">
        <v>58</v>
      </c>
      <c r="Y2607">
        <v>18</v>
      </c>
      <c r="Z2607" t="s">
        <v>59</v>
      </c>
      <c r="AA2607" t="s">
        <v>59</v>
      </c>
      <c r="AB2607" t="s">
        <v>59</v>
      </c>
      <c r="AC2607" t="s">
        <v>59</v>
      </c>
      <c r="AD2607" t="s">
        <v>59</v>
      </c>
      <c r="AF2607" s="1">
        <v>35675</v>
      </c>
      <c r="AG2607" t="s">
        <v>125</v>
      </c>
      <c r="AH2607" t="s">
        <v>126</v>
      </c>
      <c r="AI2607" t="str">
        <f>"3202020"</f>
        <v>3202020</v>
      </c>
      <c r="AJ2607" t="s">
        <v>4576</v>
      </c>
      <c r="AK2607">
        <v>2842022289</v>
      </c>
      <c r="AL2607" t="s">
        <v>4577</v>
      </c>
      <c r="AM2607" t="s">
        <v>4513</v>
      </c>
      <c r="AN2607" t="s">
        <v>4519</v>
      </c>
      <c r="AO2607" t="s">
        <v>4519</v>
      </c>
      <c r="AP2607" t="s">
        <v>4519</v>
      </c>
      <c r="AQ2607">
        <v>4</v>
      </c>
      <c r="AR2607" t="s">
        <v>4509</v>
      </c>
      <c r="AS2607" t="s">
        <v>4510</v>
      </c>
      <c r="AT2607" t="s">
        <v>58</v>
      </c>
      <c r="AU2607" t="s">
        <v>68</v>
      </c>
      <c r="AV2607" t="s">
        <v>69</v>
      </c>
      <c r="AW2607" s="1">
        <v>21916</v>
      </c>
      <c r="AX2607">
        <v>2</v>
      </c>
    </row>
    <row r="2608" spans="1:50">
      <c r="A2608">
        <v>159961</v>
      </c>
      <c r="B2608" t="str">
        <f>"030717845"</f>
        <v>030717845</v>
      </c>
      <c r="C2608" t="s">
        <v>105</v>
      </c>
      <c r="D2608" t="s">
        <v>5300</v>
      </c>
      <c r="E2608" t="s">
        <v>95</v>
      </c>
      <c r="F2608" t="s">
        <v>1070</v>
      </c>
      <c r="G2608" t="s">
        <v>52</v>
      </c>
      <c r="H2608" t="str">
        <f>"ΚΑΡΑΝΔΕΙΝΟΥ 10 ΙΕΡΑΠΕΤΡΑ ΙΕΡΑΠΕΤΡΑΣ"</f>
        <v>ΚΑΡΑΝΔΕΙΝΟΥ 10 ΙΕΡΑΠΕΤΡΑ ΙΕΡΑΠΕΤΡΑΣ</v>
      </c>
      <c r="I2608">
        <v>72200</v>
      </c>
      <c r="J2608">
        <v>2842025321</v>
      </c>
      <c r="K2608">
        <v>6959268857</v>
      </c>
      <c r="M2608" t="s">
        <v>5301</v>
      </c>
      <c r="N2608" t="s">
        <v>292</v>
      </c>
      <c r="O2608" t="s">
        <v>293</v>
      </c>
      <c r="R2608" t="s">
        <v>57</v>
      </c>
      <c r="S2608">
        <v>13</v>
      </c>
      <c r="T2608">
        <v>161</v>
      </c>
      <c r="U2608" s="1">
        <v>33119</v>
      </c>
      <c r="V2608" t="s">
        <v>4509</v>
      </c>
      <c r="W2608" t="s">
        <v>4510</v>
      </c>
      <c r="X2608" t="s">
        <v>58</v>
      </c>
      <c r="Y2608">
        <v>18</v>
      </c>
      <c r="Z2608" t="s">
        <v>59</v>
      </c>
      <c r="AA2608" t="s">
        <v>59</v>
      </c>
      <c r="AB2608" t="s">
        <v>59</v>
      </c>
      <c r="AC2608" t="s">
        <v>59</v>
      </c>
      <c r="AD2608" t="s">
        <v>59</v>
      </c>
      <c r="AF2608" s="1">
        <v>33120</v>
      </c>
      <c r="AG2608" t="s">
        <v>125</v>
      </c>
      <c r="AH2608" t="s">
        <v>126</v>
      </c>
      <c r="AI2608" t="str">
        <f>"3202010"</f>
        <v>3202010</v>
      </c>
      <c r="AJ2608" t="s">
        <v>4517</v>
      </c>
      <c r="AK2608">
        <v>2842028229</v>
      </c>
      <c r="AL2608" t="s">
        <v>4518</v>
      </c>
      <c r="AM2608" t="s">
        <v>4513</v>
      </c>
      <c r="AN2608" t="s">
        <v>4519</v>
      </c>
      <c r="AO2608" t="s">
        <v>4519</v>
      </c>
      <c r="AP2608" t="s">
        <v>4519</v>
      </c>
      <c r="AQ2608">
        <v>4</v>
      </c>
      <c r="AR2608" t="s">
        <v>4509</v>
      </c>
      <c r="AS2608" t="s">
        <v>4510</v>
      </c>
      <c r="AT2608" t="s">
        <v>58</v>
      </c>
      <c r="AU2608" t="s">
        <v>68</v>
      </c>
      <c r="AV2608" t="s">
        <v>69</v>
      </c>
      <c r="AW2608" s="1">
        <v>20338</v>
      </c>
      <c r="AX2608">
        <v>2</v>
      </c>
    </row>
    <row r="2609" spans="1:50">
      <c r="A2609">
        <v>193666</v>
      </c>
      <c r="B2609" t="str">
        <f>"031142404"</f>
        <v>031142404</v>
      </c>
      <c r="C2609" t="s">
        <v>50</v>
      </c>
      <c r="D2609" t="s">
        <v>3377</v>
      </c>
      <c r="E2609" t="s">
        <v>3150</v>
      </c>
      <c r="F2609" t="s">
        <v>1286</v>
      </c>
      <c r="G2609" t="s">
        <v>52</v>
      </c>
      <c r="H2609" t="str">
        <f>" "</f>
        <v xml:space="preserve"> </v>
      </c>
      <c r="J2609">
        <v>2842025510</v>
      </c>
      <c r="L2609">
        <v>2842022236</v>
      </c>
      <c r="M2609" t="s">
        <v>5302</v>
      </c>
      <c r="N2609" t="s">
        <v>232</v>
      </c>
      <c r="O2609" t="s">
        <v>233</v>
      </c>
      <c r="R2609" t="s">
        <v>57</v>
      </c>
      <c r="S2609">
        <v>11</v>
      </c>
      <c r="T2609">
        <v>193</v>
      </c>
      <c r="U2609" s="1">
        <v>37497</v>
      </c>
      <c r="V2609" t="s">
        <v>4509</v>
      </c>
      <c r="W2609" t="s">
        <v>4510</v>
      </c>
      <c r="X2609" t="s">
        <v>58</v>
      </c>
      <c r="Y2609">
        <v>18</v>
      </c>
      <c r="Z2609" t="s">
        <v>59</v>
      </c>
      <c r="AA2609" t="s">
        <v>59</v>
      </c>
      <c r="AB2609" t="s">
        <v>59</v>
      </c>
      <c r="AC2609" t="s">
        <v>59</v>
      </c>
      <c r="AD2609" t="s">
        <v>59</v>
      </c>
      <c r="AF2609" s="1">
        <v>37500</v>
      </c>
      <c r="AG2609" t="s">
        <v>148</v>
      </c>
      <c r="AH2609" t="s">
        <v>149</v>
      </c>
      <c r="AI2609" t="str">
        <f>"3252020"</f>
        <v>3252020</v>
      </c>
      <c r="AJ2609" t="s">
        <v>4638</v>
      </c>
      <c r="AK2609">
        <v>2842022379</v>
      </c>
      <c r="AL2609" t="s">
        <v>4639</v>
      </c>
      <c r="AM2609" t="s">
        <v>4513</v>
      </c>
      <c r="AN2609" t="s">
        <v>4519</v>
      </c>
      <c r="AO2609" t="s">
        <v>4519</v>
      </c>
      <c r="AP2609" t="s">
        <v>4519</v>
      </c>
      <c r="AQ2609">
        <v>4</v>
      </c>
      <c r="AR2609" t="s">
        <v>4509</v>
      </c>
      <c r="AS2609" t="s">
        <v>4510</v>
      </c>
      <c r="AT2609" t="s">
        <v>58</v>
      </c>
      <c r="AU2609" t="s">
        <v>68</v>
      </c>
      <c r="AV2609" t="s">
        <v>69</v>
      </c>
      <c r="AW2609" s="1">
        <v>22177</v>
      </c>
      <c r="AX2609">
        <v>2</v>
      </c>
    </row>
    <row r="2610" spans="1:50">
      <c r="A2610">
        <v>225129</v>
      </c>
      <c r="B2610" t="str">
        <f>"109496070"</f>
        <v>109496070</v>
      </c>
      <c r="C2610" t="s">
        <v>50</v>
      </c>
      <c r="D2610" t="s">
        <v>5303</v>
      </c>
      <c r="E2610" t="s">
        <v>5304</v>
      </c>
      <c r="F2610" t="s">
        <v>2023</v>
      </c>
      <c r="G2610" t="s">
        <v>378</v>
      </c>
      <c r="H2610" t="str">
        <f>"Γ. Κονδύλη 46 - 48 ΚΟΜΟΤΗΝΗ"</f>
        <v>Γ. Κονδύλη 46 - 48 ΚΟΜΟΤΗΝΗ</v>
      </c>
      <c r="I2610">
        <v>69100</v>
      </c>
      <c r="J2610">
        <v>2531082993</v>
      </c>
      <c r="K2610">
        <v>6944634899</v>
      </c>
      <c r="M2610" t="s">
        <v>5305</v>
      </c>
      <c r="N2610" t="s">
        <v>176</v>
      </c>
      <c r="O2610" t="s">
        <v>177</v>
      </c>
      <c r="R2610" t="s">
        <v>57</v>
      </c>
      <c r="S2610">
        <v>10</v>
      </c>
      <c r="T2610">
        <v>775</v>
      </c>
      <c r="U2610" s="1">
        <v>39680</v>
      </c>
      <c r="V2610" t="s">
        <v>4509</v>
      </c>
      <c r="W2610" t="s">
        <v>4510</v>
      </c>
      <c r="X2610" t="s">
        <v>58</v>
      </c>
      <c r="Y2610">
        <v>20</v>
      </c>
      <c r="Z2610" t="s">
        <v>59</v>
      </c>
      <c r="AA2610" t="s">
        <v>59</v>
      </c>
      <c r="AB2610" t="s">
        <v>59</v>
      </c>
      <c r="AC2610" t="s">
        <v>59</v>
      </c>
      <c r="AD2610" t="s">
        <v>59</v>
      </c>
      <c r="AF2610" s="1">
        <v>39692</v>
      </c>
      <c r="AG2610" t="s">
        <v>345</v>
      </c>
      <c r="AH2610" t="s">
        <v>346</v>
      </c>
      <c r="AI2610" t="str">
        <f>"3241002"</f>
        <v>3241002</v>
      </c>
      <c r="AJ2610" t="s">
        <v>4626</v>
      </c>
      <c r="AK2610">
        <v>2841083053</v>
      </c>
      <c r="AL2610" t="s">
        <v>4627</v>
      </c>
      <c r="AM2610" t="s">
        <v>4513</v>
      </c>
      <c r="AN2610" t="s">
        <v>4514</v>
      </c>
      <c r="AO2610" t="s">
        <v>4514</v>
      </c>
      <c r="AP2610" t="s">
        <v>4514</v>
      </c>
      <c r="AQ2610">
        <v>1</v>
      </c>
      <c r="AR2610" t="s">
        <v>4509</v>
      </c>
      <c r="AS2610" t="s">
        <v>4510</v>
      </c>
      <c r="AT2610" t="s">
        <v>58</v>
      </c>
      <c r="AU2610" t="s">
        <v>68</v>
      </c>
      <c r="AV2610" t="s">
        <v>132</v>
      </c>
      <c r="AW2610" s="1">
        <v>25346</v>
      </c>
      <c r="AX2610">
        <v>2</v>
      </c>
    </row>
    <row r="2611" spans="1:50">
      <c r="A2611">
        <v>184402</v>
      </c>
      <c r="B2611" t="str">
        <f>"053757225"</f>
        <v>053757225</v>
      </c>
      <c r="C2611" t="s">
        <v>50</v>
      </c>
      <c r="D2611" t="s">
        <v>5306</v>
      </c>
      <c r="E2611" t="s">
        <v>52</v>
      </c>
      <c r="F2611" t="s">
        <v>450</v>
      </c>
      <c r="G2611" t="s">
        <v>83</v>
      </c>
      <c r="H2611" t="str">
        <f>" "</f>
        <v xml:space="preserve"> </v>
      </c>
      <c r="K2611">
        <v>6936500113</v>
      </c>
      <c r="M2611" t="s">
        <v>5307</v>
      </c>
      <c r="N2611" t="s">
        <v>306</v>
      </c>
      <c r="O2611" t="s">
        <v>307</v>
      </c>
      <c r="R2611" t="s">
        <v>57</v>
      </c>
      <c r="S2611">
        <v>11</v>
      </c>
      <c r="T2611">
        <v>177</v>
      </c>
      <c r="U2611" s="1">
        <v>36403</v>
      </c>
      <c r="V2611" t="s">
        <v>4509</v>
      </c>
      <c r="W2611" t="s">
        <v>4510</v>
      </c>
      <c r="X2611" t="s">
        <v>58</v>
      </c>
      <c r="Y2611">
        <v>20</v>
      </c>
      <c r="Z2611" t="s">
        <v>59</v>
      </c>
      <c r="AA2611" t="s">
        <v>59</v>
      </c>
      <c r="AB2611" t="s">
        <v>59</v>
      </c>
      <c r="AC2611" t="s">
        <v>59</v>
      </c>
      <c r="AD2611" t="s">
        <v>59</v>
      </c>
      <c r="AF2611" s="1">
        <v>36404</v>
      </c>
      <c r="AG2611" t="s">
        <v>125</v>
      </c>
      <c r="AH2611" t="s">
        <v>126</v>
      </c>
      <c r="AI2611" t="str">
        <f>"3208010"</f>
        <v>3208010</v>
      </c>
      <c r="AJ2611" t="s">
        <v>4820</v>
      </c>
      <c r="AK2611">
        <v>2843094338</v>
      </c>
      <c r="AL2611" t="s">
        <v>4821</v>
      </c>
      <c r="AM2611" t="s">
        <v>4513</v>
      </c>
      <c r="AN2611" t="s">
        <v>4540</v>
      </c>
      <c r="AO2611" t="s">
        <v>4540</v>
      </c>
      <c r="AP2611" t="s">
        <v>4822</v>
      </c>
      <c r="AQ2611">
        <v>6</v>
      </c>
      <c r="AR2611" t="s">
        <v>4509</v>
      </c>
      <c r="AS2611" t="s">
        <v>4510</v>
      </c>
      <c r="AT2611" t="s">
        <v>58</v>
      </c>
      <c r="AU2611" t="s">
        <v>68</v>
      </c>
      <c r="AV2611" t="s">
        <v>69</v>
      </c>
      <c r="AW2611" s="1">
        <v>25252</v>
      </c>
      <c r="AX2611">
        <v>2</v>
      </c>
    </row>
    <row r="2612" spans="1:50">
      <c r="A2612">
        <v>178862</v>
      </c>
      <c r="B2612" t="str">
        <f>"043145655"</f>
        <v>043145655</v>
      </c>
      <c r="C2612" t="s">
        <v>105</v>
      </c>
      <c r="D2612" t="s">
        <v>5308</v>
      </c>
      <c r="E2612" t="s">
        <v>5309</v>
      </c>
      <c r="F2612" t="s">
        <v>5310</v>
      </c>
      <c r="G2612" t="s">
        <v>5311</v>
      </c>
      <c r="H2612" t="str">
        <f>"ΕΛΕΥΘΕΡΙΟΥ ΒΕΝΙΖΕΛΟΥ 97 ΣΗΤΕΙΑ"</f>
        <v>ΕΛΕΥΘΕΡΙΟΥ ΒΕΝΙΖΕΛΟΥ 97 ΣΗΤΕΙΑ</v>
      </c>
      <c r="I2612">
        <v>72300</v>
      </c>
      <c r="J2612">
        <v>2843024956</v>
      </c>
      <c r="K2612">
        <v>6980811419</v>
      </c>
      <c r="M2612" t="s">
        <v>5312</v>
      </c>
      <c r="N2612" t="s">
        <v>176</v>
      </c>
      <c r="O2612" t="s">
        <v>177</v>
      </c>
      <c r="R2612" t="s">
        <v>57</v>
      </c>
      <c r="S2612">
        <v>13</v>
      </c>
      <c r="T2612">
        <v>134</v>
      </c>
      <c r="U2612" s="1">
        <v>34941</v>
      </c>
      <c r="V2612" t="s">
        <v>4509</v>
      </c>
      <c r="W2612" t="s">
        <v>4510</v>
      </c>
      <c r="X2612" t="s">
        <v>58</v>
      </c>
      <c r="Y2612">
        <v>18</v>
      </c>
      <c r="Z2612" t="s">
        <v>59</v>
      </c>
      <c r="AA2612" t="s">
        <v>59</v>
      </c>
      <c r="AB2612" t="s">
        <v>59</v>
      </c>
      <c r="AC2612" t="s">
        <v>59</v>
      </c>
      <c r="AD2612" t="s">
        <v>59</v>
      </c>
      <c r="AF2612" s="1">
        <v>34943</v>
      </c>
      <c r="AG2612" t="s">
        <v>137</v>
      </c>
      <c r="AH2612" t="s">
        <v>138</v>
      </c>
      <c r="AI2612" t="str">
        <f>"3240020"</f>
        <v>3240020</v>
      </c>
      <c r="AJ2612" t="s">
        <v>4568</v>
      </c>
      <c r="AK2612">
        <v>2843028570</v>
      </c>
      <c r="AL2612" t="s">
        <v>4569</v>
      </c>
      <c r="AM2612" t="s">
        <v>4513</v>
      </c>
      <c r="AN2612" t="s">
        <v>4540</v>
      </c>
      <c r="AO2612" t="s">
        <v>4540</v>
      </c>
      <c r="AP2612" t="s">
        <v>4540</v>
      </c>
      <c r="AQ2612">
        <v>6</v>
      </c>
      <c r="AR2612" t="s">
        <v>4509</v>
      </c>
      <c r="AS2612" t="s">
        <v>4510</v>
      </c>
      <c r="AT2612" t="s">
        <v>58</v>
      </c>
      <c r="AU2612" t="s">
        <v>68</v>
      </c>
      <c r="AV2612" t="s">
        <v>69</v>
      </c>
      <c r="AW2612" s="1">
        <v>23052</v>
      </c>
      <c r="AX2612">
        <v>2</v>
      </c>
    </row>
    <row r="2613" spans="1:50">
      <c r="A2613">
        <v>701223</v>
      </c>
      <c r="B2613" t="str">
        <f>"051374741"</f>
        <v>051374741</v>
      </c>
      <c r="C2613" t="s">
        <v>50</v>
      </c>
      <c r="D2613" t="s">
        <v>5308</v>
      </c>
      <c r="E2613" t="s">
        <v>5313</v>
      </c>
      <c r="F2613" t="s">
        <v>5314</v>
      </c>
      <c r="G2613" t="s">
        <v>5311</v>
      </c>
      <c r="H2613" t="str">
        <f>"Καραμανλη κ Πωσειδωνος 2 ΣΗΤΕΙΑ"</f>
        <v>Καραμανλη κ Πωσειδωνος 2 ΣΗΤΕΙΑ</v>
      </c>
      <c r="I2613">
        <v>72300</v>
      </c>
      <c r="J2613">
        <v>2106842830</v>
      </c>
      <c r="K2613">
        <v>6947040104</v>
      </c>
      <c r="M2613" t="s">
        <v>5315</v>
      </c>
      <c r="N2613" t="s">
        <v>292</v>
      </c>
      <c r="O2613" t="s">
        <v>293</v>
      </c>
      <c r="R2613" t="s">
        <v>57</v>
      </c>
      <c r="S2613">
        <v>7</v>
      </c>
      <c r="T2613">
        <v>772</v>
      </c>
      <c r="U2613" s="1">
        <v>40413</v>
      </c>
      <c r="V2613" t="s">
        <v>4509</v>
      </c>
      <c r="W2613" t="s">
        <v>4510</v>
      </c>
      <c r="X2613" t="s">
        <v>58</v>
      </c>
      <c r="Y2613">
        <v>21</v>
      </c>
      <c r="Z2613" t="s">
        <v>59</v>
      </c>
      <c r="AA2613" t="s">
        <v>59</v>
      </c>
      <c r="AB2613" t="s">
        <v>59</v>
      </c>
      <c r="AC2613" t="s">
        <v>59</v>
      </c>
      <c r="AD2613" t="s">
        <v>59</v>
      </c>
      <c r="AF2613" s="1">
        <v>40413</v>
      </c>
      <c r="AG2613" t="s">
        <v>125</v>
      </c>
      <c r="AH2613" t="s">
        <v>126</v>
      </c>
      <c r="AI2613" t="str">
        <f>"3204010"</f>
        <v>3204010</v>
      </c>
      <c r="AJ2613" t="s">
        <v>4542</v>
      </c>
      <c r="AK2613">
        <v>2843022503</v>
      </c>
      <c r="AL2613" t="s">
        <v>4543</v>
      </c>
      <c r="AM2613" t="s">
        <v>4513</v>
      </c>
      <c r="AN2613" t="s">
        <v>4540</v>
      </c>
      <c r="AO2613" t="s">
        <v>4540</v>
      </c>
      <c r="AP2613" t="s">
        <v>4540</v>
      </c>
      <c r="AQ2613">
        <v>6</v>
      </c>
      <c r="AR2613" t="s">
        <v>4509</v>
      </c>
      <c r="AS2613" t="s">
        <v>4510</v>
      </c>
      <c r="AT2613" t="s">
        <v>58</v>
      </c>
      <c r="AU2613" t="s">
        <v>68</v>
      </c>
      <c r="AV2613" t="s">
        <v>69</v>
      </c>
      <c r="AW2613" s="1">
        <v>24405</v>
      </c>
      <c r="AX2613">
        <v>2</v>
      </c>
    </row>
    <row r="2614" spans="1:50">
      <c r="A2614">
        <v>155637</v>
      </c>
      <c r="B2614" t="str">
        <f>"030844810"</f>
        <v>030844810</v>
      </c>
      <c r="C2614" t="s">
        <v>50</v>
      </c>
      <c r="D2614" t="s">
        <v>3401</v>
      </c>
      <c r="E2614" t="s">
        <v>396</v>
      </c>
      <c r="F2614" t="s">
        <v>95</v>
      </c>
      <c r="G2614" t="s">
        <v>52</v>
      </c>
      <c r="H2614" t="str">
        <f>" "</f>
        <v xml:space="preserve"> </v>
      </c>
      <c r="N2614" t="s">
        <v>157</v>
      </c>
      <c r="O2614" t="s">
        <v>158</v>
      </c>
      <c r="R2614" t="s">
        <v>57</v>
      </c>
      <c r="S2614">
        <v>15</v>
      </c>
      <c r="T2614">
        <v>188</v>
      </c>
      <c r="U2614" s="1">
        <v>32752</v>
      </c>
      <c r="V2614" t="s">
        <v>4509</v>
      </c>
      <c r="W2614" t="s">
        <v>4510</v>
      </c>
      <c r="X2614" t="s">
        <v>58</v>
      </c>
      <c r="Y2614">
        <v>18</v>
      </c>
      <c r="Z2614" t="s">
        <v>59</v>
      </c>
      <c r="AA2614" t="s">
        <v>59</v>
      </c>
      <c r="AB2614" t="s">
        <v>59</v>
      </c>
      <c r="AC2614" t="s">
        <v>59</v>
      </c>
      <c r="AD2614" t="s">
        <v>59</v>
      </c>
      <c r="AF2614" s="1">
        <v>32752</v>
      </c>
      <c r="AG2614" t="s">
        <v>125</v>
      </c>
      <c r="AH2614" t="s">
        <v>126</v>
      </c>
      <c r="AI2614" t="str">
        <f>"3204020"</f>
        <v>3204020</v>
      </c>
      <c r="AJ2614" t="s">
        <v>4632</v>
      </c>
      <c r="AK2614">
        <v>2843023923</v>
      </c>
      <c r="AL2614" t="s">
        <v>4633</v>
      </c>
      <c r="AM2614" t="s">
        <v>4513</v>
      </c>
      <c r="AN2614" t="s">
        <v>4540</v>
      </c>
      <c r="AO2614" t="s">
        <v>4540</v>
      </c>
      <c r="AP2614" t="s">
        <v>4540</v>
      </c>
      <c r="AQ2614">
        <v>6</v>
      </c>
      <c r="AR2614" t="s">
        <v>4509</v>
      </c>
      <c r="AS2614" t="s">
        <v>4510</v>
      </c>
      <c r="AT2614" t="s">
        <v>58</v>
      </c>
      <c r="AU2614" t="s">
        <v>68</v>
      </c>
      <c r="AV2614" t="s">
        <v>69</v>
      </c>
      <c r="AW2614" s="1">
        <v>23015</v>
      </c>
      <c r="AX2614">
        <v>2</v>
      </c>
    </row>
    <row r="2615" spans="1:50">
      <c r="A2615">
        <v>177804</v>
      </c>
      <c r="B2615" t="str">
        <f>"035635287"</f>
        <v>035635287</v>
      </c>
      <c r="C2615" t="s">
        <v>105</v>
      </c>
      <c r="D2615" t="s">
        <v>5316</v>
      </c>
      <c r="E2615" t="s">
        <v>95</v>
      </c>
      <c r="F2615" t="s">
        <v>949</v>
      </c>
      <c r="G2615" t="s">
        <v>411</v>
      </c>
      <c r="H2615" t="str">
        <f>" "</f>
        <v xml:space="preserve"> </v>
      </c>
      <c r="M2615" t="s">
        <v>5317</v>
      </c>
      <c r="N2615" t="s">
        <v>587</v>
      </c>
      <c r="O2615" t="s">
        <v>588</v>
      </c>
      <c r="R2615" t="s">
        <v>57</v>
      </c>
      <c r="S2615">
        <v>15</v>
      </c>
      <c r="T2615">
        <v>180</v>
      </c>
      <c r="U2615" s="1">
        <v>35674</v>
      </c>
      <c r="V2615" t="s">
        <v>4509</v>
      </c>
      <c r="W2615" t="s">
        <v>4510</v>
      </c>
      <c r="X2615" t="s">
        <v>58</v>
      </c>
      <c r="Y2615">
        <v>18</v>
      </c>
      <c r="Z2615" t="s">
        <v>59</v>
      </c>
      <c r="AA2615" t="s">
        <v>59</v>
      </c>
      <c r="AB2615" t="s">
        <v>59</v>
      </c>
      <c r="AC2615" t="s">
        <v>59</v>
      </c>
      <c r="AD2615" t="s">
        <v>59</v>
      </c>
      <c r="AF2615" s="1">
        <v>35674</v>
      </c>
      <c r="AG2615" t="s">
        <v>137</v>
      </c>
      <c r="AH2615" t="s">
        <v>138</v>
      </c>
      <c r="AI2615" t="str">
        <f>"3240120"</f>
        <v>3240120</v>
      </c>
      <c r="AJ2615" t="s">
        <v>4552</v>
      </c>
      <c r="AK2615">
        <v>2842028667</v>
      </c>
      <c r="AL2615" t="s">
        <v>4553</v>
      </c>
      <c r="AM2615" t="s">
        <v>4513</v>
      </c>
      <c r="AN2615" t="s">
        <v>4519</v>
      </c>
      <c r="AO2615" t="s">
        <v>4519</v>
      </c>
      <c r="AP2615" t="s">
        <v>4519</v>
      </c>
      <c r="AQ2615">
        <v>4</v>
      </c>
      <c r="AR2615" t="s">
        <v>4509</v>
      </c>
      <c r="AS2615" t="s">
        <v>4510</v>
      </c>
      <c r="AT2615" t="s">
        <v>58</v>
      </c>
      <c r="AU2615" t="s">
        <v>68</v>
      </c>
      <c r="AV2615" t="s">
        <v>69</v>
      </c>
      <c r="AW2615" s="1">
        <v>22301</v>
      </c>
      <c r="AX2615">
        <v>2</v>
      </c>
    </row>
    <row r="2616" spans="1:50">
      <c r="A2616">
        <v>194664</v>
      </c>
      <c r="B2616" t="str">
        <f>"069274560"</f>
        <v>069274560</v>
      </c>
      <c r="C2616" t="s">
        <v>50</v>
      </c>
      <c r="D2616" t="s">
        <v>3408</v>
      </c>
      <c r="E2616" t="s">
        <v>727</v>
      </c>
      <c r="F2616" t="s">
        <v>95</v>
      </c>
      <c r="G2616" t="s">
        <v>5318</v>
      </c>
      <c r="H2616" t="str">
        <f>" "</f>
        <v xml:space="preserve"> </v>
      </c>
      <c r="M2616" t="s">
        <v>5319</v>
      </c>
      <c r="N2616" t="s">
        <v>135</v>
      </c>
      <c r="O2616" t="s">
        <v>136</v>
      </c>
      <c r="R2616" t="s">
        <v>57</v>
      </c>
      <c r="S2616">
        <v>12</v>
      </c>
      <c r="T2616">
        <v>193</v>
      </c>
      <c r="U2616" s="1">
        <v>37497</v>
      </c>
      <c r="V2616" t="s">
        <v>4509</v>
      </c>
      <c r="W2616" t="s">
        <v>4510</v>
      </c>
      <c r="X2616" t="s">
        <v>58</v>
      </c>
      <c r="Y2616">
        <v>20</v>
      </c>
      <c r="Z2616" t="s">
        <v>59</v>
      </c>
      <c r="AA2616" t="s">
        <v>59</v>
      </c>
      <c r="AB2616" t="s">
        <v>59</v>
      </c>
      <c r="AC2616" t="s">
        <v>59</v>
      </c>
      <c r="AD2616" t="s">
        <v>59</v>
      </c>
      <c r="AF2616" s="1">
        <v>37501</v>
      </c>
      <c r="AG2616" t="s">
        <v>137</v>
      </c>
      <c r="AH2616" t="s">
        <v>469</v>
      </c>
      <c r="AI2616" t="str">
        <f>"3240125"</f>
        <v>3240125</v>
      </c>
      <c r="AJ2616" t="s">
        <v>4707</v>
      </c>
      <c r="AK2616">
        <v>2842024905</v>
      </c>
      <c r="AL2616" t="s">
        <v>4708</v>
      </c>
      <c r="AM2616" t="s">
        <v>4513</v>
      </c>
      <c r="AN2616" t="s">
        <v>4519</v>
      </c>
      <c r="AO2616" t="s">
        <v>4519</v>
      </c>
      <c r="AP2616" t="s">
        <v>4519</v>
      </c>
      <c r="AQ2616">
        <v>4</v>
      </c>
      <c r="AR2616" t="s">
        <v>4509</v>
      </c>
      <c r="AS2616" t="s">
        <v>4510</v>
      </c>
      <c r="AT2616" t="s">
        <v>58</v>
      </c>
      <c r="AU2616" t="s">
        <v>68</v>
      </c>
      <c r="AV2616" t="s">
        <v>69</v>
      </c>
      <c r="AW2616" s="1">
        <v>25205</v>
      </c>
      <c r="AX2616">
        <v>2</v>
      </c>
    </row>
    <row r="2617" spans="1:50">
      <c r="B2617" t="str">
        <f>"100075142"</f>
        <v>100075142</v>
      </c>
      <c r="C2617" t="s">
        <v>50</v>
      </c>
      <c r="D2617" t="s">
        <v>5320</v>
      </c>
      <c r="E2617" t="s">
        <v>54</v>
      </c>
      <c r="F2617" t="s">
        <v>4097</v>
      </c>
      <c r="G2617" t="s">
        <v>52</v>
      </c>
      <c r="H2617" t="str">
        <f>"ΜΑΡΓΑΡΙΤΕΣ ΓΕΡΟΠΟΤΑΜΟΥ ΓΕΡΟΠΟΤΑΜΟΣ"</f>
        <v>ΜΑΡΓΑΡΙΤΕΣ ΓΕΡΟΠΟΤΑΜΟΥ ΓΕΡΟΠΟΤΑΜΟΣ</v>
      </c>
      <c r="I2617">
        <v>74052</v>
      </c>
      <c r="J2617">
        <v>2834092063</v>
      </c>
      <c r="K2617">
        <v>6948249269</v>
      </c>
      <c r="N2617" t="s">
        <v>146</v>
      </c>
      <c r="O2617" t="s">
        <v>147</v>
      </c>
      <c r="R2617" t="s">
        <v>159</v>
      </c>
      <c r="S2617">
        <v>3</v>
      </c>
      <c r="T2617" t="s">
        <v>160</v>
      </c>
      <c r="U2617" s="1">
        <v>43364</v>
      </c>
      <c r="V2617" t="s">
        <v>4509</v>
      </c>
      <c r="W2617" t="s">
        <v>4510</v>
      </c>
      <c r="X2617" t="s">
        <v>58</v>
      </c>
      <c r="Y2617">
        <v>21</v>
      </c>
      <c r="Z2617" t="s">
        <v>59</v>
      </c>
      <c r="AA2617" t="s">
        <v>59</v>
      </c>
      <c r="AB2617" t="s">
        <v>59</v>
      </c>
      <c r="AC2617" t="s">
        <v>59</v>
      </c>
      <c r="AD2617" t="s">
        <v>59</v>
      </c>
      <c r="AF2617" s="1">
        <v>43367</v>
      </c>
      <c r="AG2617" t="s">
        <v>125</v>
      </c>
      <c r="AH2617" t="s">
        <v>126</v>
      </c>
      <c r="AI2617" t="str">
        <f>"3202020"</f>
        <v>3202020</v>
      </c>
      <c r="AJ2617" t="s">
        <v>4576</v>
      </c>
      <c r="AK2617">
        <v>2842022289</v>
      </c>
      <c r="AL2617" t="s">
        <v>4577</v>
      </c>
      <c r="AM2617" t="s">
        <v>4513</v>
      </c>
      <c r="AN2617" t="s">
        <v>4519</v>
      </c>
      <c r="AO2617" t="s">
        <v>4519</v>
      </c>
      <c r="AP2617" t="s">
        <v>4519</v>
      </c>
      <c r="AQ2617">
        <v>4</v>
      </c>
      <c r="AR2617" t="s">
        <v>4509</v>
      </c>
      <c r="AS2617" t="s">
        <v>4510</v>
      </c>
      <c r="AT2617" t="s">
        <v>58</v>
      </c>
      <c r="AU2617" t="s">
        <v>164</v>
      </c>
      <c r="AV2617" t="s">
        <v>132</v>
      </c>
      <c r="AW2617" s="1">
        <v>24765</v>
      </c>
      <c r="AX2617">
        <v>2</v>
      </c>
    </row>
    <row r="2618" spans="1:50">
      <c r="A2618">
        <v>702403</v>
      </c>
      <c r="B2618" t="str">
        <f>"054073808"</f>
        <v>054073808</v>
      </c>
      <c r="C2618" t="s">
        <v>50</v>
      </c>
      <c r="D2618" t="s">
        <v>5321</v>
      </c>
      <c r="E2618" t="s">
        <v>181</v>
      </c>
      <c r="F2618" t="s">
        <v>72</v>
      </c>
      <c r="G2618" t="s">
        <v>5322</v>
      </c>
      <c r="H2618" t="str">
        <f>"ΑΠΡΟΒΑΤΟ ΑΝΔΡΟΣ"</f>
        <v>ΑΠΡΟΒΑΤΟ ΑΝΔΡΟΣ</v>
      </c>
      <c r="I2618">
        <v>84501</v>
      </c>
      <c r="J2618">
        <v>2282041938</v>
      </c>
      <c r="K2618">
        <v>6974220719</v>
      </c>
      <c r="N2618" t="s">
        <v>146</v>
      </c>
      <c r="O2618" t="s">
        <v>147</v>
      </c>
      <c r="R2618" t="s">
        <v>57</v>
      </c>
      <c r="S2618">
        <v>4</v>
      </c>
      <c r="T2618">
        <v>772</v>
      </c>
      <c r="U2618" s="1">
        <v>40413</v>
      </c>
      <c r="V2618" t="s">
        <v>4509</v>
      </c>
      <c r="W2618" t="s">
        <v>4510</v>
      </c>
      <c r="X2618" t="s">
        <v>58</v>
      </c>
      <c r="Y2618">
        <v>21</v>
      </c>
      <c r="Z2618" t="s">
        <v>59</v>
      </c>
      <c r="AA2618" t="s">
        <v>59</v>
      </c>
      <c r="AB2618" t="s">
        <v>59</v>
      </c>
      <c r="AC2618" t="s">
        <v>59</v>
      </c>
      <c r="AD2618" t="s">
        <v>59</v>
      </c>
      <c r="AF2618" s="1">
        <v>40413</v>
      </c>
      <c r="AG2618" t="s">
        <v>125</v>
      </c>
      <c r="AH2618" t="s">
        <v>126</v>
      </c>
      <c r="AI2618" t="str">
        <f>"3202020"</f>
        <v>3202020</v>
      </c>
      <c r="AJ2618" t="s">
        <v>4576</v>
      </c>
      <c r="AK2618">
        <v>2842022289</v>
      </c>
      <c r="AL2618" t="s">
        <v>4577</v>
      </c>
      <c r="AM2618" t="s">
        <v>4513</v>
      </c>
      <c r="AN2618" t="s">
        <v>4519</v>
      </c>
      <c r="AO2618" t="s">
        <v>4519</v>
      </c>
      <c r="AP2618" t="s">
        <v>4519</v>
      </c>
      <c r="AQ2618">
        <v>4</v>
      </c>
      <c r="AR2618" t="s">
        <v>4509</v>
      </c>
      <c r="AS2618" t="s">
        <v>4510</v>
      </c>
      <c r="AT2618" t="s">
        <v>58</v>
      </c>
      <c r="AU2618" t="s">
        <v>68</v>
      </c>
      <c r="AV2618" t="s">
        <v>69</v>
      </c>
      <c r="AW2618" s="1">
        <v>26390</v>
      </c>
      <c r="AX2618">
        <v>2</v>
      </c>
    </row>
    <row r="2619" spans="1:50">
      <c r="A2619">
        <v>172946</v>
      </c>
      <c r="B2619" t="str">
        <f>"035561706"</f>
        <v>035561706</v>
      </c>
      <c r="C2619" t="s">
        <v>50</v>
      </c>
      <c r="D2619" t="s">
        <v>3420</v>
      </c>
      <c r="E2619" t="s">
        <v>1281</v>
      </c>
      <c r="F2619" t="s">
        <v>106</v>
      </c>
      <c r="G2619" t="s">
        <v>494</v>
      </c>
      <c r="H2619" t="str">
        <f>" "</f>
        <v xml:space="preserve"> </v>
      </c>
      <c r="M2619" t="s">
        <v>5323</v>
      </c>
      <c r="N2619" t="s">
        <v>306</v>
      </c>
      <c r="O2619" t="s">
        <v>307</v>
      </c>
      <c r="R2619" t="s">
        <v>57</v>
      </c>
      <c r="S2619">
        <v>13</v>
      </c>
      <c r="T2619">
        <v>150</v>
      </c>
      <c r="U2619" s="1">
        <v>33847</v>
      </c>
      <c r="V2619" t="s">
        <v>4509</v>
      </c>
      <c r="W2619" t="s">
        <v>4510</v>
      </c>
      <c r="X2619" t="s">
        <v>58</v>
      </c>
      <c r="Y2619">
        <v>18</v>
      </c>
      <c r="Z2619" t="s">
        <v>59</v>
      </c>
      <c r="AA2619" t="s">
        <v>59</v>
      </c>
      <c r="AB2619" t="s">
        <v>59</v>
      </c>
      <c r="AC2619" t="s">
        <v>59</v>
      </c>
      <c r="AD2619" t="s">
        <v>59</v>
      </c>
      <c r="AF2619" s="1">
        <v>33976</v>
      </c>
      <c r="AG2619" t="s">
        <v>125</v>
      </c>
      <c r="AH2619" t="s">
        <v>126</v>
      </c>
      <c r="AI2619" t="str">
        <f>"3202010"</f>
        <v>3202010</v>
      </c>
      <c r="AJ2619" t="s">
        <v>4517</v>
      </c>
      <c r="AK2619">
        <v>2842028229</v>
      </c>
      <c r="AL2619" t="s">
        <v>4518</v>
      </c>
      <c r="AM2619" t="s">
        <v>4513</v>
      </c>
      <c r="AN2619" t="s">
        <v>4519</v>
      </c>
      <c r="AO2619" t="s">
        <v>4519</v>
      </c>
      <c r="AP2619" t="s">
        <v>4519</v>
      </c>
      <c r="AQ2619">
        <v>4</v>
      </c>
      <c r="AR2619" t="s">
        <v>4509</v>
      </c>
      <c r="AS2619" t="s">
        <v>4510</v>
      </c>
      <c r="AT2619" t="s">
        <v>58</v>
      </c>
      <c r="AU2619" t="s">
        <v>68</v>
      </c>
      <c r="AV2619" t="s">
        <v>69</v>
      </c>
      <c r="AW2619" s="1">
        <v>24324</v>
      </c>
      <c r="AX2619">
        <v>2</v>
      </c>
    </row>
    <row r="2620" spans="1:50">
      <c r="A2620">
        <v>209212</v>
      </c>
      <c r="B2620" t="str">
        <f>"119676410"</f>
        <v>119676410</v>
      </c>
      <c r="C2620" t="s">
        <v>50</v>
      </c>
      <c r="D2620" t="s">
        <v>3420</v>
      </c>
      <c r="E2620" t="s">
        <v>54</v>
      </c>
      <c r="F2620" t="s">
        <v>304</v>
      </c>
      <c r="G2620" t="s">
        <v>52</v>
      </c>
      <c r="H2620" t="str">
        <f>"ΚΝΩΣΣΟΥ 6 ΗΡΑΚΛΕΙΟ "</f>
        <v xml:space="preserve">ΚΝΩΣΣΟΥ 6 ΗΡΑΚΛΕΙΟ </v>
      </c>
      <c r="I2620">
        <v>71306</v>
      </c>
      <c r="J2620">
        <v>2810280715</v>
      </c>
      <c r="K2620">
        <v>6979983035</v>
      </c>
      <c r="M2620" t="s">
        <v>5324</v>
      </c>
      <c r="N2620" t="s">
        <v>204</v>
      </c>
      <c r="O2620" t="s">
        <v>205</v>
      </c>
      <c r="R2620" t="s">
        <v>57</v>
      </c>
      <c r="S2620">
        <v>8</v>
      </c>
      <c r="T2620">
        <v>218</v>
      </c>
      <c r="U2620" s="1">
        <v>38596</v>
      </c>
      <c r="V2620" t="s">
        <v>4509</v>
      </c>
      <c r="W2620" t="s">
        <v>4510</v>
      </c>
      <c r="X2620" t="s">
        <v>58</v>
      </c>
      <c r="Y2620">
        <v>20</v>
      </c>
      <c r="Z2620" t="s">
        <v>59</v>
      </c>
      <c r="AA2620" t="s">
        <v>59</v>
      </c>
      <c r="AB2620" t="s">
        <v>59</v>
      </c>
      <c r="AC2620" t="s">
        <v>59</v>
      </c>
      <c r="AD2620" t="s">
        <v>59</v>
      </c>
      <c r="AF2620" s="1">
        <v>38596</v>
      </c>
      <c r="AG2620" t="s">
        <v>125</v>
      </c>
      <c r="AH2620" t="s">
        <v>126</v>
      </c>
      <c r="AI2620" t="str">
        <f>"3210015"</f>
        <v>3210015</v>
      </c>
      <c r="AJ2620" t="s">
        <v>4875</v>
      </c>
      <c r="AK2620">
        <v>2843051800</v>
      </c>
      <c r="AL2620" t="s">
        <v>4876</v>
      </c>
      <c r="AM2620" t="s">
        <v>4513</v>
      </c>
      <c r="AN2620" t="s">
        <v>4519</v>
      </c>
      <c r="AO2620" t="s">
        <v>4766</v>
      </c>
      <c r="AP2620" t="s">
        <v>4767</v>
      </c>
      <c r="AQ2620">
        <v>5</v>
      </c>
      <c r="AR2620" t="s">
        <v>4509</v>
      </c>
      <c r="AS2620" t="s">
        <v>4510</v>
      </c>
      <c r="AT2620" t="s">
        <v>58</v>
      </c>
      <c r="AU2620" t="s">
        <v>68</v>
      </c>
      <c r="AV2620" t="s">
        <v>69</v>
      </c>
      <c r="AW2620" s="1">
        <v>29487</v>
      </c>
      <c r="AX2620">
        <v>2</v>
      </c>
    </row>
    <row r="2621" spans="1:50">
      <c r="A2621">
        <v>194924</v>
      </c>
      <c r="B2621" t="str">
        <f>"041841339"</f>
        <v>041841339</v>
      </c>
      <c r="C2621" t="s">
        <v>105</v>
      </c>
      <c r="D2621" t="s">
        <v>5325</v>
      </c>
      <c r="E2621" t="s">
        <v>72</v>
      </c>
      <c r="F2621" t="s">
        <v>106</v>
      </c>
      <c r="G2621" t="s">
        <v>52</v>
      </c>
      <c r="H2621" t="str">
        <f>" "</f>
        <v xml:space="preserve"> </v>
      </c>
      <c r="M2621" t="s">
        <v>5326</v>
      </c>
      <c r="N2621" t="s">
        <v>204</v>
      </c>
      <c r="O2621" t="s">
        <v>205</v>
      </c>
      <c r="R2621" t="s">
        <v>57</v>
      </c>
      <c r="S2621">
        <v>11</v>
      </c>
      <c r="T2621">
        <v>193</v>
      </c>
      <c r="U2621" s="1">
        <v>37497</v>
      </c>
      <c r="V2621" t="s">
        <v>4509</v>
      </c>
      <c r="W2621" t="s">
        <v>4510</v>
      </c>
      <c r="X2621" t="s">
        <v>58</v>
      </c>
      <c r="Y2621">
        <v>18</v>
      </c>
      <c r="Z2621" t="s">
        <v>59</v>
      </c>
      <c r="AA2621" t="s">
        <v>59</v>
      </c>
      <c r="AB2621" t="s">
        <v>59</v>
      </c>
      <c r="AC2621" t="s">
        <v>59</v>
      </c>
      <c r="AD2621" t="s">
        <v>59</v>
      </c>
      <c r="AF2621" s="1">
        <v>37500</v>
      </c>
      <c r="AG2621" t="s">
        <v>148</v>
      </c>
      <c r="AH2621" t="s">
        <v>149</v>
      </c>
      <c r="AI2621" t="str">
        <f>"3252020"</f>
        <v>3252020</v>
      </c>
      <c r="AJ2621" t="s">
        <v>4638</v>
      </c>
      <c r="AK2621">
        <v>2842022379</v>
      </c>
      <c r="AL2621" t="s">
        <v>4639</v>
      </c>
      <c r="AM2621" t="s">
        <v>4513</v>
      </c>
      <c r="AN2621" t="s">
        <v>4519</v>
      </c>
      <c r="AO2621" t="s">
        <v>4519</v>
      </c>
      <c r="AP2621" t="s">
        <v>4519</v>
      </c>
      <c r="AQ2621">
        <v>4</v>
      </c>
      <c r="AR2621" t="s">
        <v>4509</v>
      </c>
      <c r="AS2621" t="s">
        <v>4510</v>
      </c>
      <c r="AT2621" t="s">
        <v>58</v>
      </c>
      <c r="AU2621" t="s">
        <v>68</v>
      </c>
      <c r="AV2621" t="s">
        <v>69</v>
      </c>
      <c r="AW2621" s="1">
        <v>20107</v>
      </c>
      <c r="AX2621">
        <v>2</v>
      </c>
    </row>
    <row r="2622" spans="1:50">
      <c r="A2622">
        <v>216770</v>
      </c>
      <c r="B2622" t="str">
        <f>"136742881"</f>
        <v>136742881</v>
      </c>
      <c r="C2622" t="s">
        <v>50</v>
      </c>
      <c r="D2622" t="s">
        <v>5327</v>
      </c>
      <c r="E2622" t="s">
        <v>5328</v>
      </c>
      <c r="F2622" t="s">
        <v>564</v>
      </c>
      <c r="G2622" t="s">
        <v>5329</v>
      </c>
      <c r="H2622" t="str">
        <f>" "</f>
        <v xml:space="preserve"> </v>
      </c>
      <c r="J2622">
        <v>2431029474</v>
      </c>
      <c r="K2622">
        <v>6946054619</v>
      </c>
      <c r="N2622" t="s">
        <v>478</v>
      </c>
      <c r="O2622" t="s">
        <v>479</v>
      </c>
      <c r="R2622" t="s">
        <v>57</v>
      </c>
      <c r="S2622">
        <v>6</v>
      </c>
      <c r="T2622">
        <v>298</v>
      </c>
      <c r="U2622" s="1">
        <v>38985</v>
      </c>
      <c r="V2622" t="s">
        <v>4509</v>
      </c>
      <c r="W2622" t="s">
        <v>4510</v>
      </c>
      <c r="X2622" t="s">
        <v>58</v>
      </c>
      <c r="Y2622">
        <v>20</v>
      </c>
      <c r="Z2622" t="s">
        <v>59</v>
      </c>
      <c r="AA2622" t="s">
        <v>59</v>
      </c>
      <c r="AB2622" t="s">
        <v>59</v>
      </c>
      <c r="AC2622" t="s">
        <v>59</v>
      </c>
      <c r="AD2622" t="s">
        <v>59</v>
      </c>
      <c r="AF2622" s="1">
        <v>38987</v>
      </c>
      <c r="AG2622" t="s">
        <v>125</v>
      </c>
      <c r="AH2622" t="s">
        <v>126</v>
      </c>
      <c r="AI2622" t="str">
        <f>"3202020"</f>
        <v>3202020</v>
      </c>
      <c r="AJ2622" t="s">
        <v>4576</v>
      </c>
      <c r="AK2622">
        <v>2842022289</v>
      </c>
      <c r="AL2622" t="s">
        <v>4577</v>
      </c>
      <c r="AM2622" t="s">
        <v>4513</v>
      </c>
      <c r="AN2622" t="s">
        <v>4519</v>
      </c>
      <c r="AO2622" t="s">
        <v>4519</v>
      </c>
      <c r="AP2622" t="s">
        <v>4519</v>
      </c>
      <c r="AQ2622">
        <v>4</v>
      </c>
      <c r="AR2622" t="s">
        <v>4509</v>
      </c>
      <c r="AS2622" t="s">
        <v>4510</v>
      </c>
      <c r="AT2622" t="s">
        <v>58</v>
      </c>
      <c r="AU2622" t="s">
        <v>68</v>
      </c>
      <c r="AV2622" t="s">
        <v>69</v>
      </c>
      <c r="AW2622" s="1">
        <v>30191</v>
      </c>
      <c r="AX2622">
        <v>2</v>
      </c>
    </row>
    <row r="2623" spans="1:50">
      <c r="B2623" t="str">
        <f>"045862989"</f>
        <v>045862989</v>
      </c>
      <c r="C2623" t="s">
        <v>50</v>
      </c>
      <c r="D2623" t="s">
        <v>5330</v>
      </c>
      <c r="E2623" t="s">
        <v>52</v>
      </c>
      <c r="F2623" t="s">
        <v>53</v>
      </c>
      <c r="G2623" t="s">
        <v>5331</v>
      </c>
      <c r="H2623" t="str">
        <f>"ΟΠΛ.ΛΑΚΕΡΔΑ 18 ΙΕΡΑΠΕΤΡΑ"</f>
        <v>ΟΠΛ.ΛΑΚΕΡΔΑ 18 ΙΕΡΑΠΕΤΡΑ</v>
      </c>
      <c r="I2623">
        <v>72200</v>
      </c>
      <c r="J2623">
        <v>2842080106</v>
      </c>
      <c r="K2623">
        <v>6974028043</v>
      </c>
      <c r="M2623" t="s">
        <v>5332</v>
      </c>
      <c r="N2623" t="s">
        <v>146</v>
      </c>
      <c r="O2623" t="s">
        <v>147</v>
      </c>
      <c r="R2623" t="s">
        <v>159</v>
      </c>
      <c r="S2623">
        <v>3</v>
      </c>
      <c r="T2623" t="s">
        <v>160</v>
      </c>
      <c r="U2623" s="1">
        <v>43364</v>
      </c>
      <c r="V2623" t="s">
        <v>4509</v>
      </c>
      <c r="W2623" t="s">
        <v>4510</v>
      </c>
      <c r="X2623" t="s">
        <v>58</v>
      </c>
      <c r="Y2623">
        <v>23</v>
      </c>
      <c r="Z2623" t="s">
        <v>59</v>
      </c>
      <c r="AA2623" t="s">
        <v>59</v>
      </c>
      <c r="AB2623" t="s">
        <v>59</v>
      </c>
      <c r="AC2623" t="s">
        <v>59</v>
      </c>
      <c r="AD2623" t="s">
        <v>59</v>
      </c>
      <c r="AF2623" s="1">
        <v>43367</v>
      </c>
      <c r="AG2623" t="s">
        <v>125</v>
      </c>
      <c r="AH2623" t="s">
        <v>126</v>
      </c>
      <c r="AI2623" t="str">
        <f>"3202020"</f>
        <v>3202020</v>
      </c>
      <c r="AJ2623" t="s">
        <v>4576</v>
      </c>
      <c r="AK2623">
        <v>2842022289</v>
      </c>
      <c r="AL2623" t="s">
        <v>4577</v>
      </c>
      <c r="AM2623" t="s">
        <v>4513</v>
      </c>
      <c r="AN2623" t="s">
        <v>4519</v>
      </c>
      <c r="AO2623" t="s">
        <v>4519</v>
      </c>
      <c r="AP2623" t="s">
        <v>4519</v>
      </c>
      <c r="AQ2623">
        <v>4</v>
      </c>
      <c r="AR2623" t="s">
        <v>4509</v>
      </c>
      <c r="AS2623" t="s">
        <v>4510</v>
      </c>
      <c r="AT2623" t="s">
        <v>58</v>
      </c>
      <c r="AU2623" t="s">
        <v>164</v>
      </c>
      <c r="AV2623" t="s">
        <v>132</v>
      </c>
      <c r="AW2623" s="1">
        <v>26884</v>
      </c>
      <c r="AX2623">
        <v>2</v>
      </c>
    </row>
    <row r="2624" spans="1:50">
      <c r="A2624">
        <v>212895</v>
      </c>
      <c r="B2624" t="str">
        <f>"049238011"</f>
        <v>049238011</v>
      </c>
      <c r="C2624" t="s">
        <v>50</v>
      </c>
      <c r="D2624" t="s">
        <v>5333</v>
      </c>
      <c r="E2624" t="s">
        <v>755</v>
      </c>
      <c r="F2624" t="s">
        <v>450</v>
      </c>
      <c r="G2624" t="s">
        <v>237</v>
      </c>
      <c r="H2624" t="str">
        <f>" "</f>
        <v xml:space="preserve"> </v>
      </c>
      <c r="J2624">
        <v>2842023410</v>
      </c>
      <c r="K2624">
        <v>6945389600</v>
      </c>
      <c r="M2624" t="s">
        <v>5334</v>
      </c>
      <c r="N2624" t="s">
        <v>292</v>
      </c>
      <c r="O2624" t="s">
        <v>293</v>
      </c>
      <c r="R2624" t="s">
        <v>57</v>
      </c>
      <c r="S2624">
        <v>11</v>
      </c>
      <c r="T2624">
        <v>231</v>
      </c>
      <c r="U2624" s="1">
        <v>38960</v>
      </c>
      <c r="V2624" t="s">
        <v>4509</v>
      </c>
      <c r="W2624" t="s">
        <v>4510</v>
      </c>
      <c r="X2624" t="s">
        <v>58</v>
      </c>
      <c r="Y2624">
        <v>20</v>
      </c>
      <c r="Z2624" t="s">
        <v>59</v>
      </c>
      <c r="AA2624" t="s">
        <v>59</v>
      </c>
      <c r="AB2624" t="s">
        <v>59</v>
      </c>
      <c r="AC2624" t="s">
        <v>59</v>
      </c>
      <c r="AD2624" t="s">
        <v>59</v>
      </c>
      <c r="AF2624" s="1">
        <v>38961</v>
      </c>
      <c r="AG2624" t="s">
        <v>137</v>
      </c>
      <c r="AH2624" t="s">
        <v>138</v>
      </c>
      <c r="AI2624" t="str">
        <f>"3240120"</f>
        <v>3240120</v>
      </c>
      <c r="AJ2624" t="s">
        <v>4552</v>
      </c>
      <c r="AK2624">
        <v>2842028667</v>
      </c>
      <c r="AL2624" t="s">
        <v>4553</v>
      </c>
      <c r="AM2624" t="s">
        <v>4513</v>
      </c>
      <c r="AN2624" t="s">
        <v>4519</v>
      </c>
      <c r="AO2624" t="s">
        <v>4519</v>
      </c>
      <c r="AP2624" t="s">
        <v>4519</v>
      </c>
      <c r="AQ2624">
        <v>4</v>
      </c>
      <c r="AR2624" t="s">
        <v>4509</v>
      </c>
      <c r="AS2624" t="s">
        <v>4510</v>
      </c>
      <c r="AT2624" t="s">
        <v>58</v>
      </c>
      <c r="AU2624" t="s">
        <v>68</v>
      </c>
      <c r="AV2624" t="s">
        <v>69</v>
      </c>
      <c r="AW2624" s="1">
        <v>29247</v>
      </c>
      <c r="AX2624">
        <v>2</v>
      </c>
    </row>
    <row r="2625" spans="1:50">
      <c r="B2625" t="str">
        <f>"070996001"</f>
        <v>070996001</v>
      </c>
      <c r="C2625" t="s">
        <v>50</v>
      </c>
      <c r="D2625" t="s">
        <v>3446</v>
      </c>
      <c r="E2625" t="s">
        <v>250</v>
      </c>
      <c r="F2625" t="s">
        <v>1848</v>
      </c>
      <c r="G2625" t="s">
        <v>237</v>
      </c>
      <c r="H2625" t="str">
        <f>"ΙΕΡΟΛΟΧΙΤΩΝ 162 ΗΡΑΚΛΕΙΟ"</f>
        <v>ΙΕΡΟΛΟΧΙΤΩΝ 162 ΗΡΑΚΛΕΙΟ</v>
      </c>
      <c r="I2625">
        <v>71306</v>
      </c>
      <c r="J2625">
        <v>2810327355</v>
      </c>
      <c r="K2625">
        <v>6973889856</v>
      </c>
      <c r="N2625" t="s">
        <v>199</v>
      </c>
      <c r="O2625" t="s">
        <v>200</v>
      </c>
      <c r="R2625" t="s">
        <v>121</v>
      </c>
      <c r="S2625">
        <v>1</v>
      </c>
      <c r="T2625" t="s">
        <v>574</v>
      </c>
      <c r="U2625" s="1">
        <v>43378</v>
      </c>
      <c r="V2625" t="s">
        <v>4509</v>
      </c>
      <c r="W2625" t="s">
        <v>4510</v>
      </c>
      <c r="X2625" t="s">
        <v>58</v>
      </c>
      <c r="Y2625">
        <v>23</v>
      </c>
      <c r="Z2625" t="s">
        <v>59</v>
      </c>
      <c r="AA2625" t="s">
        <v>59</v>
      </c>
      <c r="AB2625" t="s">
        <v>59</v>
      </c>
      <c r="AC2625" t="s">
        <v>59</v>
      </c>
      <c r="AD2625" t="s">
        <v>59</v>
      </c>
      <c r="AF2625" s="1">
        <v>43381</v>
      </c>
      <c r="AG2625" t="s">
        <v>148</v>
      </c>
      <c r="AH2625" t="s">
        <v>149</v>
      </c>
      <c r="AI2625" t="str">
        <f>"3260015"</f>
        <v>3260015</v>
      </c>
      <c r="AJ2625" t="s">
        <v>4764</v>
      </c>
      <c r="AK2625">
        <v>2843051787</v>
      </c>
      <c r="AL2625" t="s">
        <v>4765</v>
      </c>
      <c r="AM2625" t="s">
        <v>4513</v>
      </c>
      <c r="AN2625" t="s">
        <v>4519</v>
      </c>
      <c r="AO2625" t="s">
        <v>4766</v>
      </c>
      <c r="AP2625" t="s">
        <v>4767</v>
      </c>
      <c r="AQ2625">
        <v>5</v>
      </c>
      <c r="AR2625" t="s">
        <v>4509</v>
      </c>
      <c r="AS2625" t="s">
        <v>4510</v>
      </c>
      <c r="AT2625" t="s">
        <v>58</v>
      </c>
      <c r="AU2625" t="s">
        <v>164</v>
      </c>
      <c r="AV2625" t="s">
        <v>132</v>
      </c>
      <c r="AW2625" s="1">
        <v>27589</v>
      </c>
      <c r="AX2625">
        <v>2</v>
      </c>
    </row>
    <row r="2626" spans="1:50">
      <c r="B2626" t="str">
        <f>"070289392"</f>
        <v>070289392</v>
      </c>
      <c r="C2626" t="s">
        <v>105</v>
      </c>
      <c r="D2626" t="s">
        <v>5335</v>
      </c>
      <c r="E2626" t="s">
        <v>383</v>
      </c>
      <c r="F2626" t="s">
        <v>1716</v>
      </c>
      <c r="G2626" t="s">
        <v>237</v>
      </c>
      <c r="H2626" t="str">
        <f>" "</f>
        <v xml:space="preserve"> </v>
      </c>
      <c r="N2626" t="s">
        <v>883</v>
      </c>
      <c r="O2626" t="s">
        <v>884</v>
      </c>
      <c r="R2626" t="s">
        <v>159</v>
      </c>
      <c r="S2626">
        <v>3</v>
      </c>
      <c r="T2626" t="s">
        <v>344</v>
      </c>
      <c r="U2626" s="1">
        <v>43348</v>
      </c>
      <c r="V2626" t="s">
        <v>4509</v>
      </c>
      <c r="W2626" t="s">
        <v>4510</v>
      </c>
      <c r="X2626" t="s">
        <v>58</v>
      </c>
      <c r="Y2626">
        <v>23</v>
      </c>
      <c r="Z2626" t="s">
        <v>59</v>
      </c>
      <c r="AA2626" t="s">
        <v>59</v>
      </c>
      <c r="AB2626" t="s">
        <v>59</v>
      </c>
      <c r="AC2626" t="s">
        <v>59</v>
      </c>
      <c r="AD2626" t="s">
        <v>59</v>
      </c>
      <c r="AF2626" s="1">
        <v>43348</v>
      </c>
      <c r="AG2626" t="s">
        <v>125</v>
      </c>
      <c r="AH2626" t="s">
        <v>126</v>
      </c>
      <c r="AI2626" t="str">
        <f>"3202020"</f>
        <v>3202020</v>
      </c>
      <c r="AJ2626" t="s">
        <v>4576</v>
      </c>
      <c r="AK2626">
        <v>2842022289</v>
      </c>
      <c r="AL2626" t="s">
        <v>4577</v>
      </c>
      <c r="AM2626" t="s">
        <v>4513</v>
      </c>
      <c r="AN2626" t="s">
        <v>4519</v>
      </c>
      <c r="AO2626" t="s">
        <v>4519</v>
      </c>
      <c r="AP2626" t="s">
        <v>4519</v>
      </c>
      <c r="AQ2626">
        <v>4</v>
      </c>
      <c r="AR2626" t="s">
        <v>4509</v>
      </c>
      <c r="AS2626" t="s">
        <v>4510</v>
      </c>
      <c r="AT2626" t="s">
        <v>58</v>
      </c>
      <c r="AU2626" t="s">
        <v>350</v>
      </c>
      <c r="AV2626" t="s">
        <v>132</v>
      </c>
      <c r="AW2626" s="1">
        <v>29479</v>
      </c>
      <c r="AX2626">
        <v>2</v>
      </c>
    </row>
    <row r="2627" spans="1:50">
      <c r="A2627">
        <v>204127</v>
      </c>
      <c r="B2627" t="str">
        <f>"038161869"</f>
        <v>038161869</v>
      </c>
      <c r="C2627" t="s">
        <v>105</v>
      </c>
      <c r="D2627" t="s">
        <v>5336</v>
      </c>
      <c r="E2627" t="s">
        <v>377</v>
      </c>
      <c r="F2627" t="s">
        <v>95</v>
      </c>
      <c r="G2627" t="s">
        <v>4375</v>
      </c>
      <c r="H2627" t="str">
        <f>" "</f>
        <v xml:space="preserve"> </v>
      </c>
      <c r="J2627">
        <v>2841028487</v>
      </c>
      <c r="K2627">
        <v>6972667202</v>
      </c>
      <c r="M2627" t="s">
        <v>5337</v>
      </c>
      <c r="N2627" t="s">
        <v>176</v>
      </c>
      <c r="O2627" t="s">
        <v>177</v>
      </c>
      <c r="R2627" t="s">
        <v>57</v>
      </c>
      <c r="S2627">
        <v>9</v>
      </c>
      <c r="T2627">
        <v>231</v>
      </c>
      <c r="U2627" s="1">
        <v>38230</v>
      </c>
      <c r="V2627" t="s">
        <v>4509</v>
      </c>
      <c r="W2627" t="s">
        <v>4510</v>
      </c>
      <c r="X2627" t="s">
        <v>58</v>
      </c>
      <c r="Y2627">
        <v>20</v>
      </c>
      <c r="Z2627" t="s">
        <v>59</v>
      </c>
      <c r="AA2627" t="s">
        <v>59</v>
      </c>
      <c r="AB2627" t="s">
        <v>59</v>
      </c>
      <c r="AC2627" t="s">
        <v>59</v>
      </c>
      <c r="AD2627" t="s">
        <v>59</v>
      </c>
      <c r="AF2627" s="1">
        <v>38231</v>
      </c>
      <c r="AG2627" t="s">
        <v>345</v>
      </c>
      <c r="AH2627" t="s">
        <v>346</v>
      </c>
      <c r="AI2627" t="str">
        <f>"3241002"</f>
        <v>3241002</v>
      </c>
      <c r="AJ2627" t="s">
        <v>4626</v>
      </c>
      <c r="AK2627">
        <v>2841083053</v>
      </c>
      <c r="AL2627" t="s">
        <v>4627</v>
      </c>
      <c r="AM2627" t="s">
        <v>4513</v>
      </c>
      <c r="AN2627" t="s">
        <v>4514</v>
      </c>
      <c r="AO2627" t="s">
        <v>4514</v>
      </c>
      <c r="AP2627" t="s">
        <v>4514</v>
      </c>
      <c r="AQ2627">
        <v>1</v>
      </c>
      <c r="AR2627" t="s">
        <v>4509</v>
      </c>
      <c r="AS2627" t="s">
        <v>4510</v>
      </c>
      <c r="AT2627" t="s">
        <v>58</v>
      </c>
      <c r="AU2627" t="s">
        <v>68</v>
      </c>
      <c r="AV2627" t="s">
        <v>69</v>
      </c>
      <c r="AW2627" s="1">
        <v>24290</v>
      </c>
      <c r="AX2627">
        <v>2</v>
      </c>
    </row>
    <row r="2628" spans="1:50">
      <c r="A2628">
        <v>186531</v>
      </c>
      <c r="B2628" t="str">
        <f>"049680939"</f>
        <v>049680939</v>
      </c>
      <c r="C2628" t="s">
        <v>50</v>
      </c>
      <c r="D2628" t="s">
        <v>5338</v>
      </c>
      <c r="E2628" t="s">
        <v>671</v>
      </c>
      <c r="F2628" t="s">
        <v>95</v>
      </c>
      <c r="G2628" t="s">
        <v>1078</v>
      </c>
      <c r="H2628" t="str">
        <f>" "</f>
        <v xml:space="preserve"> </v>
      </c>
      <c r="M2628" t="s">
        <v>5339</v>
      </c>
      <c r="N2628" t="s">
        <v>146</v>
      </c>
      <c r="O2628" t="s">
        <v>147</v>
      </c>
      <c r="R2628" t="s">
        <v>57</v>
      </c>
      <c r="S2628">
        <v>11</v>
      </c>
      <c r="T2628">
        <v>251</v>
      </c>
      <c r="U2628" s="1">
        <v>36769</v>
      </c>
      <c r="V2628" t="s">
        <v>4509</v>
      </c>
      <c r="W2628" t="s">
        <v>4510</v>
      </c>
      <c r="X2628" t="s">
        <v>58</v>
      </c>
      <c r="Y2628">
        <v>18</v>
      </c>
      <c r="Z2628" t="s">
        <v>59</v>
      </c>
      <c r="AA2628" t="s">
        <v>59</v>
      </c>
      <c r="AB2628" t="s">
        <v>59</v>
      </c>
      <c r="AC2628" t="s">
        <v>59</v>
      </c>
      <c r="AD2628" t="s">
        <v>59</v>
      </c>
      <c r="AF2628" s="1">
        <v>36770</v>
      </c>
      <c r="AG2628" t="s">
        <v>125</v>
      </c>
      <c r="AH2628" t="s">
        <v>126</v>
      </c>
      <c r="AI2628" t="str">
        <f>"3202010"</f>
        <v>3202010</v>
      </c>
      <c r="AJ2628" t="s">
        <v>4517</v>
      </c>
      <c r="AK2628">
        <v>2842028229</v>
      </c>
      <c r="AL2628" t="s">
        <v>4518</v>
      </c>
      <c r="AM2628" t="s">
        <v>4513</v>
      </c>
      <c r="AN2628" t="s">
        <v>4519</v>
      </c>
      <c r="AO2628" t="s">
        <v>4519</v>
      </c>
      <c r="AP2628" t="s">
        <v>4519</v>
      </c>
      <c r="AQ2628">
        <v>4</v>
      </c>
      <c r="AR2628" t="s">
        <v>4509</v>
      </c>
      <c r="AS2628" t="s">
        <v>4510</v>
      </c>
      <c r="AT2628" t="s">
        <v>58</v>
      </c>
      <c r="AU2628" t="s">
        <v>68</v>
      </c>
      <c r="AV2628" t="s">
        <v>69</v>
      </c>
      <c r="AW2628" s="1">
        <v>24280</v>
      </c>
      <c r="AX2628">
        <v>2</v>
      </c>
    </row>
    <row r="2629" spans="1:50">
      <c r="B2629" t="str">
        <f>"047014308"</f>
        <v>047014308</v>
      </c>
      <c r="C2629" t="s">
        <v>50</v>
      </c>
      <c r="D2629" t="s">
        <v>5340</v>
      </c>
      <c r="E2629" t="s">
        <v>5341</v>
      </c>
      <c r="F2629" t="s">
        <v>95</v>
      </c>
      <c r="G2629" t="s">
        <v>5342</v>
      </c>
      <c r="H2629" t="str">
        <f>"Γ. ΔΙΒΟΛΗ 46 ΘΕΣΣΑΛΟΝΙΚΗ"</f>
        <v>Γ. ΔΙΒΟΛΗ 46 ΘΕΣΣΑΛΟΝΙΚΗ</v>
      </c>
      <c r="I2629">
        <v>54352</v>
      </c>
      <c r="J2629">
        <v>2310930224</v>
      </c>
      <c r="K2629">
        <v>6976787836</v>
      </c>
      <c r="M2629" t="s">
        <v>5343</v>
      </c>
      <c r="N2629" t="s">
        <v>292</v>
      </c>
      <c r="O2629" t="s">
        <v>293</v>
      </c>
      <c r="R2629" t="s">
        <v>121</v>
      </c>
      <c r="S2629">
        <v>1</v>
      </c>
      <c r="T2629" t="s">
        <v>160</v>
      </c>
      <c r="U2629" s="1">
        <v>43364</v>
      </c>
      <c r="V2629" t="s">
        <v>4509</v>
      </c>
      <c r="W2629" t="s">
        <v>4510</v>
      </c>
      <c r="X2629" t="s">
        <v>58</v>
      </c>
      <c r="Y2629">
        <v>23</v>
      </c>
      <c r="Z2629" t="s">
        <v>59</v>
      </c>
      <c r="AA2629" t="s">
        <v>59</v>
      </c>
      <c r="AB2629" t="s">
        <v>59</v>
      </c>
      <c r="AC2629" t="s">
        <v>59</v>
      </c>
      <c r="AD2629" t="s">
        <v>59</v>
      </c>
      <c r="AF2629" s="1">
        <v>43367</v>
      </c>
      <c r="AG2629" t="s">
        <v>125</v>
      </c>
      <c r="AH2629" t="s">
        <v>126</v>
      </c>
      <c r="AI2629" t="str">
        <f>"3210015"</f>
        <v>3210015</v>
      </c>
      <c r="AJ2629" t="s">
        <v>4875</v>
      </c>
      <c r="AK2629">
        <v>2843051800</v>
      </c>
      <c r="AL2629" t="s">
        <v>4876</v>
      </c>
      <c r="AM2629" t="s">
        <v>4513</v>
      </c>
      <c r="AN2629" t="s">
        <v>4519</v>
      </c>
      <c r="AO2629" t="s">
        <v>4766</v>
      </c>
      <c r="AP2629" t="s">
        <v>4767</v>
      </c>
      <c r="AQ2629">
        <v>5</v>
      </c>
      <c r="AR2629" t="s">
        <v>4509</v>
      </c>
      <c r="AS2629" t="s">
        <v>4510</v>
      </c>
      <c r="AT2629" t="s">
        <v>58</v>
      </c>
      <c r="AU2629" t="s">
        <v>164</v>
      </c>
      <c r="AV2629" t="s">
        <v>132</v>
      </c>
      <c r="AW2629" s="1">
        <v>22466</v>
      </c>
      <c r="AX2629">
        <v>2</v>
      </c>
    </row>
    <row r="2630" spans="1:50">
      <c r="A2630">
        <v>206098</v>
      </c>
      <c r="B2630" t="str">
        <f>"045260604"</f>
        <v>045260604</v>
      </c>
      <c r="C2630" t="s">
        <v>50</v>
      </c>
      <c r="D2630" t="s">
        <v>5344</v>
      </c>
      <c r="E2630" t="s">
        <v>3087</v>
      </c>
      <c r="F2630" t="s">
        <v>5345</v>
      </c>
      <c r="G2630" t="s">
        <v>73</v>
      </c>
      <c r="H2630" t="str">
        <f>" "</f>
        <v xml:space="preserve"> </v>
      </c>
      <c r="J2630">
        <v>2841023873</v>
      </c>
      <c r="K2630">
        <v>6944412127</v>
      </c>
      <c r="M2630" t="s">
        <v>5346</v>
      </c>
      <c r="N2630" t="s">
        <v>337</v>
      </c>
      <c r="O2630" t="s">
        <v>338</v>
      </c>
      <c r="R2630" t="s">
        <v>57</v>
      </c>
      <c r="S2630">
        <v>8</v>
      </c>
      <c r="T2630">
        <v>231</v>
      </c>
      <c r="U2630" s="1">
        <v>38960</v>
      </c>
      <c r="V2630" t="s">
        <v>4509</v>
      </c>
      <c r="W2630" t="s">
        <v>4510</v>
      </c>
      <c r="X2630" t="s">
        <v>58</v>
      </c>
      <c r="Y2630">
        <v>20</v>
      </c>
      <c r="Z2630" t="s">
        <v>59</v>
      </c>
      <c r="AA2630" t="s">
        <v>59</v>
      </c>
      <c r="AB2630" t="s">
        <v>59</v>
      </c>
      <c r="AC2630" t="s">
        <v>59</v>
      </c>
      <c r="AD2630" t="s">
        <v>59</v>
      </c>
      <c r="AF2630" s="1">
        <v>38960</v>
      </c>
      <c r="AG2630" t="s">
        <v>125</v>
      </c>
      <c r="AH2630" t="s">
        <v>126</v>
      </c>
      <c r="AI2630" t="str">
        <f>"3201010"</f>
        <v>3201010</v>
      </c>
      <c r="AJ2630" t="s">
        <v>4596</v>
      </c>
      <c r="AK2630">
        <v>2841022301</v>
      </c>
      <c r="AL2630" t="s">
        <v>4597</v>
      </c>
      <c r="AM2630" t="s">
        <v>4513</v>
      </c>
      <c r="AN2630" t="s">
        <v>4514</v>
      </c>
      <c r="AO2630" t="s">
        <v>4514</v>
      </c>
      <c r="AP2630" t="s">
        <v>4514</v>
      </c>
      <c r="AQ2630">
        <v>1</v>
      </c>
      <c r="AR2630" t="s">
        <v>4509</v>
      </c>
      <c r="AS2630" t="s">
        <v>4510</v>
      </c>
      <c r="AT2630" t="s">
        <v>58</v>
      </c>
      <c r="AU2630" t="s">
        <v>68</v>
      </c>
      <c r="AV2630" t="s">
        <v>357</v>
      </c>
      <c r="AW2630" s="1">
        <v>25054</v>
      </c>
      <c r="AX2630">
        <v>2</v>
      </c>
    </row>
    <row r="2631" spans="1:50">
      <c r="A2631">
        <v>220543</v>
      </c>
      <c r="B2631" t="str">
        <f>"049315659"</f>
        <v>049315659</v>
      </c>
      <c r="C2631" t="s">
        <v>50</v>
      </c>
      <c r="D2631" t="s">
        <v>5347</v>
      </c>
      <c r="E2631" t="s">
        <v>699</v>
      </c>
      <c r="F2631" t="s">
        <v>53</v>
      </c>
      <c r="G2631" t="s">
        <v>52</v>
      </c>
      <c r="H2631" t="str">
        <f>" "</f>
        <v xml:space="preserve"> </v>
      </c>
      <c r="J2631">
        <v>2843028098</v>
      </c>
      <c r="K2631">
        <v>6977473544</v>
      </c>
      <c r="M2631" t="s">
        <v>5348</v>
      </c>
      <c r="N2631" t="s">
        <v>146</v>
      </c>
      <c r="O2631" t="s">
        <v>147</v>
      </c>
      <c r="R2631" t="s">
        <v>57</v>
      </c>
      <c r="S2631">
        <v>7</v>
      </c>
      <c r="T2631">
        <v>681</v>
      </c>
      <c r="U2631" s="1">
        <v>39325</v>
      </c>
      <c r="V2631" t="s">
        <v>4509</v>
      </c>
      <c r="W2631" t="s">
        <v>4510</v>
      </c>
      <c r="X2631" t="s">
        <v>58</v>
      </c>
      <c r="Y2631">
        <v>21</v>
      </c>
      <c r="Z2631" t="s">
        <v>59</v>
      </c>
      <c r="AA2631" t="s">
        <v>59</v>
      </c>
      <c r="AB2631" t="s">
        <v>59</v>
      </c>
      <c r="AC2631" t="s">
        <v>59</v>
      </c>
      <c r="AD2631" t="s">
        <v>59</v>
      </c>
      <c r="AF2631" s="1">
        <v>39326</v>
      </c>
      <c r="AG2631" t="s">
        <v>125</v>
      </c>
      <c r="AH2631" t="s">
        <v>126</v>
      </c>
      <c r="AI2631" t="str">
        <f>"3204010"</f>
        <v>3204010</v>
      </c>
      <c r="AJ2631" t="s">
        <v>4542</v>
      </c>
      <c r="AK2631">
        <v>2843022503</v>
      </c>
      <c r="AL2631" t="s">
        <v>4543</v>
      </c>
      <c r="AM2631" t="s">
        <v>4513</v>
      </c>
      <c r="AN2631" t="s">
        <v>4540</v>
      </c>
      <c r="AO2631" t="s">
        <v>4540</v>
      </c>
      <c r="AP2631" t="s">
        <v>4540</v>
      </c>
      <c r="AQ2631">
        <v>6</v>
      </c>
      <c r="AR2631" t="s">
        <v>4509</v>
      </c>
      <c r="AS2631" t="s">
        <v>4510</v>
      </c>
      <c r="AT2631" t="s">
        <v>58</v>
      </c>
      <c r="AU2631" t="s">
        <v>68</v>
      </c>
      <c r="AV2631" t="s">
        <v>69</v>
      </c>
      <c r="AW2631" s="1">
        <v>27468</v>
      </c>
      <c r="AX2631">
        <v>2</v>
      </c>
    </row>
    <row r="2632" spans="1:50">
      <c r="A2632">
        <v>215686</v>
      </c>
      <c r="B2632" t="str">
        <f>"113812983"</f>
        <v>113812983</v>
      </c>
      <c r="C2632" t="s">
        <v>105</v>
      </c>
      <c r="D2632" t="s">
        <v>5349</v>
      </c>
      <c r="E2632" t="s">
        <v>72</v>
      </c>
      <c r="F2632" t="s">
        <v>53</v>
      </c>
      <c r="G2632" t="s">
        <v>52</v>
      </c>
      <c r="H2632" t="str">
        <f>" "</f>
        <v xml:space="preserve"> </v>
      </c>
      <c r="J2632">
        <v>2843024633</v>
      </c>
      <c r="K2632">
        <v>6996232323</v>
      </c>
      <c r="M2632" t="s">
        <v>5350</v>
      </c>
      <c r="N2632" t="s">
        <v>204</v>
      </c>
      <c r="O2632" t="s">
        <v>205</v>
      </c>
      <c r="R2632" t="s">
        <v>57</v>
      </c>
      <c r="S2632">
        <v>8</v>
      </c>
      <c r="T2632">
        <v>231</v>
      </c>
      <c r="U2632" s="1">
        <v>38960</v>
      </c>
      <c r="V2632" t="s">
        <v>4509</v>
      </c>
      <c r="W2632" t="s">
        <v>4510</v>
      </c>
      <c r="X2632" t="s">
        <v>58</v>
      </c>
      <c r="Y2632">
        <v>20</v>
      </c>
      <c r="Z2632" t="s">
        <v>59</v>
      </c>
      <c r="AA2632" t="s">
        <v>59</v>
      </c>
      <c r="AB2632" t="s">
        <v>59</v>
      </c>
      <c r="AC2632" t="s">
        <v>59</v>
      </c>
      <c r="AD2632" t="s">
        <v>59</v>
      </c>
      <c r="AF2632" s="1">
        <v>38961</v>
      </c>
      <c r="AG2632" t="s">
        <v>148</v>
      </c>
      <c r="AH2632" t="s">
        <v>1053</v>
      </c>
      <c r="AI2632" t="str">
        <f>"3245001"</f>
        <v>3245001</v>
      </c>
      <c r="AJ2632" t="s">
        <v>4703</v>
      </c>
      <c r="AK2632">
        <v>2843026660</v>
      </c>
      <c r="AL2632" t="s">
        <v>4704</v>
      </c>
      <c r="AM2632" t="s">
        <v>4513</v>
      </c>
      <c r="AN2632" t="s">
        <v>4540</v>
      </c>
      <c r="AO2632" t="s">
        <v>4540</v>
      </c>
      <c r="AP2632" t="s">
        <v>4540</v>
      </c>
      <c r="AQ2632">
        <v>6</v>
      </c>
      <c r="AR2632" t="s">
        <v>4509</v>
      </c>
      <c r="AS2632" t="s">
        <v>4510</v>
      </c>
      <c r="AT2632" t="s">
        <v>58</v>
      </c>
      <c r="AU2632" t="s">
        <v>68</v>
      </c>
      <c r="AV2632" t="s">
        <v>357</v>
      </c>
      <c r="AW2632" s="1">
        <v>28435</v>
      </c>
      <c r="AX2632">
        <v>2</v>
      </c>
    </row>
    <row r="2633" spans="1:50">
      <c r="A2633">
        <v>215687</v>
      </c>
      <c r="B2633" t="str">
        <f>"049342987"</f>
        <v>049342987</v>
      </c>
      <c r="C2633" t="s">
        <v>105</v>
      </c>
      <c r="D2633" t="s">
        <v>5349</v>
      </c>
      <c r="E2633" t="s">
        <v>106</v>
      </c>
      <c r="F2633" t="s">
        <v>95</v>
      </c>
      <c r="G2633" t="s">
        <v>215</v>
      </c>
      <c r="H2633" t="str">
        <f>" "</f>
        <v xml:space="preserve"> </v>
      </c>
      <c r="J2633">
        <v>2842028804</v>
      </c>
      <c r="K2633">
        <v>6977796192</v>
      </c>
      <c r="M2633" t="s">
        <v>5351</v>
      </c>
      <c r="N2633" t="s">
        <v>204</v>
      </c>
      <c r="O2633" t="s">
        <v>205</v>
      </c>
      <c r="R2633" t="s">
        <v>57</v>
      </c>
      <c r="S2633">
        <v>8</v>
      </c>
      <c r="T2633">
        <v>231</v>
      </c>
      <c r="U2633" s="1">
        <v>38960</v>
      </c>
      <c r="V2633" t="s">
        <v>4509</v>
      </c>
      <c r="W2633" t="s">
        <v>4510</v>
      </c>
      <c r="X2633" t="s">
        <v>58</v>
      </c>
      <c r="Y2633">
        <v>20</v>
      </c>
      <c r="Z2633" t="s">
        <v>59</v>
      </c>
      <c r="AA2633" t="s">
        <v>59</v>
      </c>
      <c r="AB2633" t="s">
        <v>59</v>
      </c>
      <c r="AC2633" t="s">
        <v>59</v>
      </c>
      <c r="AD2633" t="s">
        <v>59</v>
      </c>
      <c r="AF2633" s="1">
        <v>38961</v>
      </c>
      <c r="AG2633" t="s">
        <v>137</v>
      </c>
      <c r="AH2633" t="s">
        <v>138</v>
      </c>
      <c r="AI2633" t="str">
        <f>"3240120"</f>
        <v>3240120</v>
      </c>
      <c r="AJ2633" t="s">
        <v>4552</v>
      </c>
      <c r="AK2633">
        <v>2842028667</v>
      </c>
      <c r="AL2633" t="s">
        <v>4553</v>
      </c>
      <c r="AM2633" t="s">
        <v>4513</v>
      </c>
      <c r="AN2633" t="s">
        <v>4519</v>
      </c>
      <c r="AO2633" t="s">
        <v>4519</v>
      </c>
      <c r="AP2633" t="s">
        <v>4519</v>
      </c>
      <c r="AQ2633">
        <v>4</v>
      </c>
      <c r="AR2633" t="s">
        <v>4509</v>
      </c>
      <c r="AS2633" t="s">
        <v>4510</v>
      </c>
      <c r="AT2633" t="s">
        <v>58</v>
      </c>
      <c r="AU2633" t="s">
        <v>68</v>
      </c>
      <c r="AV2633" t="s">
        <v>69</v>
      </c>
      <c r="AW2633" s="1">
        <v>29823</v>
      </c>
      <c r="AX2633">
        <v>2</v>
      </c>
    </row>
    <row r="2634" spans="1:50">
      <c r="A2634">
        <v>211016</v>
      </c>
      <c r="B2634" t="str">
        <f>"133310581"</f>
        <v>133310581</v>
      </c>
      <c r="C2634" t="s">
        <v>105</v>
      </c>
      <c r="D2634" t="s">
        <v>5352</v>
      </c>
      <c r="E2634" t="s">
        <v>166</v>
      </c>
      <c r="F2634" t="s">
        <v>99</v>
      </c>
      <c r="G2634" t="s">
        <v>83</v>
      </c>
      <c r="H2634" t="str">
        <f>" "</f>
        <v xml:space="preserve"> </v>
      </c>
      <c r="J2634">
        <v>2107752124</v>
      </c>
      <c r="K2634">
        <v>6947998738</v>
      </c>
      <c r="N2634" t="s">
        <v>204</v>
      </c>
      <c r="O2634" t="s">
        <v>205</v>
      </c>
      <c r="R2634" t="s">
        <v>57</v>
      </c>
      <c r="S2634">
        <v>8</v>
      </c>
      <c r="T2634">
        <v>262</v>
      </c>
      <c r="U2634" s="1">
        <v>38629</v>
      </c>
      <c r="V2634" t="s">
        <v>4509</v>
      </c>
      <c r="W2634" t="s">
        <v>4510</v>
      </c>
      <c r="X2634" t="s">
        <v>58</v>
      </c>
      <c r="Y2634">
        <v>20</v>
      </c>
      <c r="Z2634" t="s">
        <v>59</v>
      </c>
      <c r="AA2634" t="s">
        <v>59</v>
      </c>
      <c r="AB2634" t="s">
        <v>59</v>
      </c>
      <c r="AC2634" t="s">
        <v>59</v>
      </c>
      <c r="AD2634" t="s">
        <v>59</v>
      </c>
      <c r="AF2634" s="1">
        <v>38635</v>
      </c>
      <c r="AG2634" t="s">
        <v>148</v>
      </c>
      <c r="AH2634" t="s">
        <v>149</v>
      </c>
      <c r="AI2634" t="str">
        <f>"3255010"</f>
        <v>3255010</v>
      </c>
      <c r="AJ2634" t="s">
        <v>4590</v>
      </c>
      <c r="AK2634">
        <v>2844022058</v>
      </c>
      <c r="AL2634" t="s">
        <v>4591</v>
      </c>
      <c r="AM2634" t="s">
        <v>4513</v>
      </c>
      <c r="AN2634" t="s">
        <v>4592</v>
      </c>
      <c r="AO2634" t="s">
        <v>4592</v>
      </c>
      <c r="AP2634" t="s">
        <v>4593</v>
      </c>
      <c r="AQ2634">
        <v>2</v>
      </c>
      <c r="AR2634" t="s">
        <v>4509</v>
      </c>
      <c r="AS2634" t="s">
        <v>4510</v>
      </c>
      <c r="AT2634" t="s">
        <v>58</v>
      </c>
      <c r="AU2634" t="s">
        <v>68</v>
      </c>
      <c r="AV2634" t="s">
        <v>69</v>
      </c>
      <c r="AW2634" s="1">
        <v>29260</v>
      </c>
      <c r="AX2634">
        <v>2</v>
      </c>
    </row>
    <row r="2635" spans="1:50">
      <c r="A2635">
        <v>183994</v>
      </c>
      <c r="B2635" t="str">
        <f>"043458150"</f>
        <v>043458150</v>
      </c>
      <c r="C2635" t="s">
        <v>105</v>
      </c>
      <c r="D2635" t="s">
        <v>5353</v>
      </c>
      <c r="E2635" t="s">
        <v>95</v>
      </c>
      <c r="F2635" t="s">
        <v>53</v>
      </c>
      <c r="G2635" t="s">
        <v>52</v>
      </c>
      <c r="H2635" t="str">
        <f>"ΛΑΚΕΡΔΑ 1 ΙΕΡΑΠΕΤΡΑ"</f>
        <v>ΛΑΚΕΡΔΑ 1 ΙΕΡΑΠΕΤΡΑ</v>
      </c>
      <c r="I2635">
        <v>72200</v>
      </c>
      <c r="J2635">
        <v>2842026453</v>
      </c>
      <c r="K2635">
        <v>6932430347</v>
      </c>
      <c r="M2635" t="s">
        <v>5354</v>
      </c>
      <c r="N2635" t="s">
        <v>232</v>
      </c>
      <c r="O2635" t="s">
        <v>233</v>
      </c>
      <c r="R2635" t="s">
        <v>57</v>
      </c>
      <c r="S2635">
        <v>11</v>
      </c>
      <c r="T2635">
        <v>177</v>
      </c>
      <c r="U2635" s="1">
        <v>36403</v>
      </c>
      <c r="V2635" t="s">
        <v>4509</v>
      </c>
      <c r="W2635" t="s">
        <v>4510</v>
      </c>
      <c r="X2635" t="s">
        <v>58</v>
      </c>
      <c r="Y2635">
        <v>20</v>
      </c>
      <c r="Z2635" t="s">
        <v>59</v>
      </c>
      <c r="AA2635" t="s">
        <v>59</v>
      </c>
      <c r="AB2635" t="s">
        <v>59</v>
      </c>
      <c r="AC2635" t="s">
        <v>59</v>
      </c>
      <c r="AD2635" t="s">
        <v>59</v>
      </c>
      <c r="AF2635" s="1">
        <v>36404</v>
      </c>
      <c r="AG2635" t="s">
        <v>148</v>
      </c>
      <c r="AH2635" t="s">
        <v>149</v>
      </c>
      <c r="AI2635" t="str">
        <f>"3252010"</f>
        <v>3252010</v>
      </c>
      <c r="AJ2635" t="s">
        <v>4532</v>
      </c>
      <c r="AK2635">
        <v>2842022356</v>
      </c>
      <c r="AL2635" t="s">
        <v>4533</v>
      </c>
      <c r="AM2635" t="s">
        <v>4513</v>
      </c>
      <c r="AN2635" t="s">
        <v>4519</v>
      </c>
      <c r="AO2635" t="s">
        <v>4519</v>
      </c>
      <c r="AP2635" t="s">
        <v>4519</v>
      </c>
      <c r="AQ2635">
        <v>4</v>
      </c>
      <c r="AR2635" t="s">
        <v>4509</v>
      </c>
      <c r="AS2635" t="s">
        <v>4510</v>
      </c>
      <c r="AT2635" t="s">
        <v>58</v>
      </c>
      <c r="AU2635" t="s">
        <v>68</v>
      </c>
      <c r="AV2635" t="s">
        <v>69</v>
      </c>
      <c r="AW2635" s="1">
        <v>22361</v>
      </c>
      <c r="AX2635">
        <v>2</v>
      </c>
    </row>
    <row r="2636" spans="1:50">
      <c r="B2636" t="str">
        <f>"125596100"</f>
        <v>125596100</v>
      </c>
      <c r="C2636" t="s">
        <v>50</v>
      </c>
      <c r="D2636" t="s">
        <v>5355</v>
      </c>
      <c r="E2636" t="s">
        <v>460</v>
      </c>
      <c r="F2636" t="s">
        <v>72</v>
      </c>
      <c r="G2636" t="s">
        <v>155</v>
      </c>
      <c r="H2636" t="str">
        <f>"ΙΡΙΔΟΣ 10 ΚΕΡΑΤΣΙΝ Ι"</f>
        <v>ΙΡΙΔΟΣ 10 ΚΕΡΑΤΣΙΝ Ι</v>
      </c>
      <c r="I2636">
        <v>18757</v>
      </c>
      <c r="J2636">
        <v>2104928603</v>
      </c>
      <c r="K2636">
        <v>6974256465</v>
      </c>
      <c r="M2636" t="s">
        <v>5356</v>
      </c>
      <c r="N2636" t="s">
        <v>292</v>
      </c>
      <c r="O2636" t="s">
        <v>293</v>
      </c>
      <c r="R2636" t="s">
        <v>159</v>
      </c>
      <c r="S2636">
        <v>4</v>
      </c>
      <c r="T2636" t="s">
        <v>416</v>
      </c>
      <c r="U2636" s="1">
        <v>43349</v>
      </c>
      <c r="V2636" t="s">
        <v>4509</v>
      </c>
      <c r="W2636" t="s">
        <v>4510</v>
      </c>
      <c r="X2636" t="s">
        <v>58</v>
      </c>
      <c r="Y2636">
        <v>21</v>
      </c>
      <c r="Z2636" t="s">
        <v>59</v>
      </c>
      <c r="AA2636" t="s">
        <v>59</v>
      </c>
      <c r="AB2636" t="s">
        <v>59</v>
      </c>
      <c r="AC2636" t="s">
        <v>59</v>
      </c>
      <c r="AD2636" t="s">
        <v>59</v>
      </c>
      <c r="AF2636" s="1">
        <v>43349</v>
      </c>
      <c r="AG2636" t="s">
        <v>125</v>
      </c>
      <c r="AH2636" t="s">
        <v>126</v>
      </c>
      <c r="AI2636" t="str">
        <f>"3202030"</f>
        <v>3202030</v>
      </c>
      <c r="AJ2636" t="s">
        <v>4558</v>
      </c>
      <c r="AK2636">
        <v>2842028751</v>
      </c>
      <c r="AL2636" t="s">
        <v>4559</v>
      </c>
      <c r="AM2636" t="s">
        <v>4513</v>
      </c>
      <c r="AN2636" t="s">
        <v>4519</v>
      </c>
      <c r="AO2636" t="s">
        <v>4519</v>
      </c>
      <c r="AP2636" t="s">
        <v>4519</v>
      </c>
      <c r="AQ2636">
        <v>4</v>
      </c>
      <c r="AR2636" t="s">
        <v>4509</v>
      </c>
      <c r="AS2636" t="s">
        <v>4510</v>
      </c>
      <c r="AT2636" t="s">
        <v>58</v>
      </c>
      <c r="AU2636" t="s">
        <v>419</v>
      </c>
      <c r="AV2636" t="s">
        <v>132</v>
      </c>
      <c r="AW2636" s="1">
        <v>30042</v>
      </c>
      <c r="AX2636">
        <v>2</v>
      </c>
    </row>
    <row r="2637" spans="1:50">
      <c r="A2637">
        <v>214336</v>
      </c>
      <c r="B2637" t="str">
        <f>"049335310"</f>
        <v>049335310</v>
      </c>
      <c r="C2637" t="s">
        <v>50</v>
      </c>
      <c r="D2637" t="s">
        <v>3497</v>
      </c>
      <c r="E2637" t="s">
        <v>83</v>
      </c>
      <c r="F2637" t="s">
        <v>4097</v>
      </c>
      <c r="G2637" t="s">
        <v>5207</v>
      </c>
      <c r="H2637" t="str">
        <f>"ΙΑΤΡΟΥ ΠΑΠΑΓΕΩΡΓΙΟΥ 42 ΙΕΡΑΠΕΤΡΑ"</f>
        <v>ΙΑΤΡΟΥ ΠΑΠΑΓΕΩΡΓΙΟΥ 42 ΙΕΡΑΠΕΤΡΑ</v>
      </c>
      <c r="I2637">
        <v>72200</v>
      </c>
      <c r="J2637">
        <v>2842024181</v>
      </c>
      <c r="K2637">
        <v>6973538173</v>
      </c>
      <c r="M2637" t="s">
        <v>5357</v>
      </c>
      <c r="N2637" t="s">
        <v>299</v>
      </c>
      <c r="O2637" t="s">
        <v>300</v>
      </c>
      <c r="R2637" t="s">
        <v>57</v>
      </c>
      <c r="S2637">
        <v>7</v>
      </c>
      <c r="T2637">
        <v>231</v>
      </c>
      <c r="U2637" s="1">
        <v>38960</v>
      </c>
      <c r="V2637" t="s">
        <v>4509</v>
      </c>
      <c r="W2637" t="s">
        <v>4510</v>
      </c>
      <c r="X2637" t="s">
        <v>58</v>
      </c>
      <c r="Y2637">
        <v>20</v>
      </c>
      <c r="Z2637" t="s">
        <v>59</v>
      </c>
      <c r="AA2637" t="s">
        <v>59</v>
      </c>
      <c r="AB2637" t="s">
        <v>59</v>
      </c>
      <c r="AC2637" t="s">
        <v>59</v>
      </c>
      <c r="AD2637" t="s">
        <v>59</v>
      </c>
      <c r="AF2637" s="1">
        <v>38961</v>
      </c>
      <c r="AG2637" t="s">
        <v>137</v>
      </c>
      <c r="AH2637" t="s">
        <v>138</v>
      </c>
      <c r="AI2637" t="str">
        <f>"3240077"</f>
        <v>3240077</v>
      </c>
      <c r="AJ2637" t="s">
        <v>4528</v>
      </c>
      <c r="AK2637">
        <v>2841025978</v>
      </c>
      <c r="AL2637" t="s">
        <v>4529</v>
      </c>
      <c r="AM2637" t="s">
        <v>4513</v>
      </c>
      <c r="AN2637" t="s">
        <v>4514</v>
      </c>
      <c r="AO2637" t="s">
        <v>4514</v>
      </c>
      <c r="AP2637" t="s">
        <v>4514</v>
      </c>
      <c r="AQ2637">
        <v>1</v>
      </c>
      <c r="AR2637" t="s">
        <v>4509</v>
      </c>
      <c r="AS2637" t="s">
        <v>4510</v>
      </c>
      <c r="AT2637" t="s">
        <v>58</v>
      </c>
      <c r="AU2637" t="s">
        <v>68</v>
      </c>
      <c r="AV2637" t="s">
        <v>69</v>
      </c>
      <c r="AW2637" s="1">
        <v>27360</v>
      </c>
      <c r="AX2637">
        <v>2</v>
      </c>
    </row>
    <row r="2638" spans="1:50">
      <c r="A2638">
        <v>204652</v>
      </c>
      <c r="B2638" t="str">
        <f>"076168568"</f>
        <v>076168568</v>
      </c>
      <c r="C2638" t="s">
        <v>105</v>
      </c>
      <c r="D2638" t="s">
        <v>5358</v>
      </c>
      <c r="E2638" t="s">
        <v>72</v>
      </c>
      <c r="F2638" t="s">
        <v>166</v>
      </c>
      <c r="G2638" t="s">
        <v>316</v>
      </c>
      <c r="H2638" t="str">
        <f>"Ρ. ΦΕΡΡΑΙΟΥ 16 ΣΗΤΕΙΑ"</f>
        <v>Ρ. ΦΕΡΡΑΙΟΥ 16 ΣΗΤΕΙΑ</v>
      </c>
      <c r="I2638">
        <v>72300</v>
      </c>
      <c r="J2638">
        <v>2843022449</v>
      </c>
      <c r="K2638">
        <v>6974198628</v>
      </c>
      <c r="M2638" t="s">
        <v>5359</v>
      </c>
      <c r="N2638" t="s">
        <v>189</v>
      </c>
      <c r="O2638" t="s">
        <v>190</v>
      </c>
      <c r="R2638" t="s">
        <v>57</v>
      </c>
      <c r="S2638">
        <v>9</v>
      </c>
      <c r="T2638">
        <v>231</v>
      </c>
      <c r="U2638" s="1">
        <v>38230</v>
      </c>
      <c r="V2638" t="s">
        <v>4509</v>
      </c>
      <c r="W2638" t="s">
        <v>4510</v>
      </c>
      <c r="X2638" t="s">
        <v>58</v>
      </c>
      <c r="Y2638">
        <v>20</v>
      </c>
      <c r="Z2638" t="s">
        <v>59</v>
      </c>
      <c r="AA2638" t="s">
        <v>59</v>
      </c>
      <c r="AB2638" t="s">
        <v>59</v>
      </c>
      <c r="AC2638" t="s">
        <v>59</v>
      </c>
      <c r="AD2638" t="s">
        <v>59</v>
      </c>
      <c r="AF2638" s="1">
        <v>38233</v>
      </c>
      <c r="AG2638" t="s">
        <v>125</v>
      </c>
      <c r="AH2638" t="s">
        <v>126</v>
      </c>
      <c r="AI2638" t="str">
        <f>"3204020"</f>
        <v>3204020</v>
      </c>
      <c r="AJ2638" t="s">
        <v>4632</v>
      </c>
      <c r="AK2638">
        <v>2843023923</v>
      </c>
      <c r="AL2638" t="s">
        <v>4633</v>
      </c>
      <c r="AM2638" t="s">
        <v>4513</v>
      </c>
      <c r="AN2638" t="s">
        <v>4540</v>
      </c>
      <c r="AO2638" t="s">
        <v>4540</v>
      </c>
      <c r="AP2638" t="s">
        <v>4540</v>
      </c>
      <c r="AQ2638">
        <v>6</v>
      </c>
      <c r="AR2638" t="s">
        <v>4509</v>
      </c>
      <c r="AS2638" t="s">
        <v>4510</v>
      </c>
      <c r="AT2638" t="s">
        <v>58</v>
      </c>
      <c r="AU2638" t="s">
        <v>68</v>
      </c>
      <c r="AV2638" t="s">
        <v>69</v>
      </c>
      <c r="AW2638" s="1">
        <v>25792</v>
      </c>
      <c r="AX2638">
        <v>2</v>
      </c>
    </row>
    <row r="2639" spans="1:50">
      <c r="A2639">
        <v>704438</v>
      </c>
      <c r="B2639" t="str">
        <f>"130153541"</f>
        <v>130153541</v>
      </c>
      <c r="C2639" t="s">
        <v>50</v>
      </c>
      <c r="D2639" t="s">
        <v>5360</v>
      </c>
      <c r="E2639" t="s">
        <v>96</v>
      </c>
      <c r="F2639" t="s">
        <v>72</v>
      </c>
      <c r="H2639" t="str">
        <f>" "</f>
        <v xml:space="preserve"> </v>
      </c>
      <c r="N2639" t="s">
        <v>4652</v>
      </c>
      <c r="O2639" t="s">
        <v>4653</v>
      </c>
      <c r="R2639" t="s">
        <v>121</v>
      </c>
      <c r="S2639">
        <v>1</v>
      </c>
      <c r="T2639">
        <v>1134</v>
      </c>
      <c r="U2639" s="1">
        <v>43381</v>
      </c>
      <c r="V2639" t="s">
        <v>4509</v>
      </c>
      <c r="W2639" t="s">
        <v>4510</v>
      </c>
      <c r="X2639" t="s">
        <v>58</v>
      </c>
      <c r="Y2639">
        <v>23</v>
      </c>
      <c r="Z2639" t="s">
        <v>59</v>
      </c>
      <c r="AD2639" t="s">
        <v>59</v>
      </c>
      <c r="AF2639" s="1">
        <v>43381</v>
      </c>
      <c r="AI2639" t="str">
        <f>""</f>
        <v/>
      </c>
      <c r="AS2639" t="s">
        <v>4510</v>
      </c>
      <c r="AT2639" t="s">
        <v>58</v>
      </c>
      <c r="AU2639" t="s">
        <v>68</v>
      </c>
      <c r="AX2639">
        <v>2</v>
      </c>
    </row>
    <row r="2640" spans="1:50">
      <c r="A2640">
        <v>215691</v>
      </c>
      <c r="B2640" t="str">
        <f>"124581611"</f>
        <v>124581611</v>
      </c>
      <c r="C2640" t="s">
        <v>50</v>
      </c>
      <c r="D2640" t="s">
        <v>5361</v>
      </c>
      <c r="E2640" t="s">
        <v>52</v>
      </c>
      <c r="F2640" t="s">
        <v>95</v>
      </c>
      <c r="G2640" t="s">
        <v>71</v>
      </c>
      <c r="H2640" t="str">
        <f>"ΓΡΑ ΛΥΓΙΑ ΙΕΡΑΠΕΤΡΑ"</f>
        <v>ΓΡΑ ΛΥΓΙΑ ΙΕΡΑΠΕΤΡΑ</v>
      </c>
      <c r="I2640">
        <v>72200</v>
      </c>
      <c r="J2640">
        <v>2842024042</v>
      </c>
      <c r="K2640">
        <v>6974727858</v>
      </c>
      <c r="M2640" t="s">
        <v>5362</v>
      </c>
      <c r="N2640" t="s">
        <v>204</v>
      </c>
      <c r="O2640" t="s">
        <v>205</v>
      </c>
      <c r="P2640" t="s">
        <v>331</v>
      </c>
      <c r="Q2640" t="s">
        <v>332</v>
      </c>
      <c r="R2640" t="s">
        <v>57</v>
      </c>
      <c r="S2640">
        <v>6</v>
      </c>
      <c r="T2640">
        <v>231</v>
      </c>
      <c r="U2640" s="1">
        <v>38960</v>
      </c>
      <c r="V2640" t="s">
        <v>4509</v>
      </c>
      <c r="W2640" t="s">
        <v>4510</v>
      </c>
      <c r="X2640" t="s">
        <v>58</v>
      </c>
      <c r="Y2640">
        <v>20</v>
      </c>
      <c r="Z2640" t="s">
        <v>59</v>
      </c>
      <c r="AA2640" t="s">
        <v>59</v>
      </c>
      <c r="AB2640" t="s">
        <v>59</v>
      </c>
      <c r="AC2640" t="s">
        <v>59</v>
      </c>
      <c r="AD2640" t="s">
        <v>59</v>
      </c>
      <c r="AF2640" s="1">
        <v>38961</v>
      </c>
      <c r="AG2640" t="s">
        <v>125</v>
      </c>
      <c r="AH2640" t="s">
        <v>126</v>
      </c>
      <c r="AI2640" t="str">
        <f>"3202010"</f>
        <v>3202010</v>
      </c>
      <c r="AJ2640" t="s">
        <v>4517</v>
      </c>
      <c r="AK2640">
        <v>2842028229</v>
      </c>
      <c r="AL2640" t="s">
        <v>4518</v>
      </c>
      <c r="AM2640" t="s">
        <v>4513</v>
      </c>
      <c r="AN2640" t="s">
        <v>4519</v>
      </c>
      <c r="AO2640" t="s">
        <v>4519</v>
      </c>
      <c r="AP2640" t="s">
        <v>4519</v>
      </c>
      <c r="AQ2640">
        <v>4</v>
      </c>
      <c r="AR2640" t="s">
        <v>4509</v>
      </c>
      <c r="AS2640" t="s">
        <v>4510</v>
      </c>
      <c r="AT2640" t="s">
        <v>58</v>
      </c>
      <c r="AU2640" t="s">
        <v>68</v>
      </c>
      <c r="AV2640" t="s">
        <v>69</v>
      </c>
      <c r="AW2640" s="1">
        <v>26471</v>
      </c>
      <c r="AX2640">
        <v>2</v>
      </c>
    </row>
    <row r="2641" spans="1:50">
      <c r="A2641">
        <v>904502</v>
      </c>
      <c r="B2641" t="str">
        <f>"027342491"</f>
        <v>027342491</v>
      </c>
      <c r="C2641" t="s">
        <v>105</v>
      </c>
      <c r="D2641" t="s">
        <v>5363</v>
      </c>
      <c r="E2641" t="s">
        <v>936</v>
      </c>
      <c r="F2641" t="s">
        <v>166</v>
      </c>
      <c r="G2641" t="s">
        <v>494</v>
      </c>
      <c r="H2641" t="str">
        <f>"Ν. ΠΛΑΣΤΗΡΑ 25 ΣΗΤΕΙΑ"</f>
        <v>Ν. ΠΛΑΣΤΗΡΑ 25 ΣΗΤΕΙΑ</v>
      </c>
      <c r="I2641">
        <v>72300</v>
      </c>
      <c r="J2641">
        <v>2843024150</v>
      </c>
      <c r="K2641">
        <v>6974997620</v>
      </c>
      <c r="N2641" t="s">
        <v>168</v>
      </c>
      <c r="O2641" t="s">
        <v>169</v>
      </c>
      <c r="R2641" t="s">
        <v>57</v>
      </c>
      <c r="S2641">
        <v>19</v>
      </c>
      <c r="T2641">
        <v>969</v>
      </c>
      <c r="U2641" s="1">
        <v>30547</v>
      </c>
      <c r="V2641" t="s">
        <v>4509</v>
      </c>
      <c r="W2641" t="s">
        <v>4510</v>
      </c>
      <c r="X2641" t="s">
        <v>58</v>
      </c>
      <c r="Y2641">
        <v>18</v>
      </c>
      <c r="Z2641" t="s">
        <v>59</v>
      </c>
      <c r="AA2641" t="s">
        <v>59</v>
      </c>
      <c r="AB2641" t="s">
        <v>59</v>
      </c>
      <c r="AC2641" t="s">
        <v>59</v>
      </c>
      <c r="AD2641" t="s">
        <v>59</v>
      </c>
      <c r="AF2641" s="1">
        <v>30560</v>
      </c>
      <c r="AG2641" t="s">
        <v>137</v>
      </c>
      <c r="AH2641" t="s">
        <v>138</v>
      </c>
      <c r="AI2641" t="str">
        <f>"3240020"</f>
        <v>3240020</v>
      </c>
      <c r="AJ2641" t="s">
        <v>4568</v>
      </c>
      <c r="AK2641">
        <v>2843028570</v>
      </c>
      <c r="AL2641" t="s">
        <v>4569</v>
      </c>
      <c r="AM2641" t="s">
        <v>4513</v>
      </c>
      <c r="AN2641" t="s">
        <v>4540</v>
      </c>
      <c r="AO2641" t="s">
        <v>4540</v>
      </c>
      <c r="AP2641" t="s">
        <v>4540</v>
      </c>
      <c r="AQ2641">
        <v>6</v>
      </c>
      <c r="AR2641" t="s">
        <v>4509</v>
      </c>
      <c r="AS2641" t="s">
        <v>4510</v>
      </c>
      <c r="AT2641" t="s">
        <v>58</v>
      </c>
      <c r="AU2641" t="s">
        <v>68</v>
      </c>
      <c r="AV2641" t="s">
        <v>69</v>
      </c>
      <c r="AW2641" s="1">
        <v>21111</v>
      </c>
      <c r="AX2641">
        <v>2</v>
      </c>
    </row>
    <row r="2642" spans="1:50">
      <c r="A2642">
        <v>208249</v>
      </c>
      <c r="B2642" t="str">
        <f>"059992501"</f>
        <v>059992501</v>
      </c>
      <c r="C2642" t="s">
        <v>105</v>
      </c>
      <c r="D2642" t="s">
        <v>5364</v>
      </c>
      <c r="E2642" t="s">
        <v>166</v>
      </c>
      <c r="F2642" t="s">
        <v>53</v>
      </c>
      <c r="G2642" t="s">
        <v>1358</v>
      </c>
      <c r="H2642" t="str">
        <f>" "</f>
        <v xml:space="preserve"> </v>
      </c>
      <c r="J2642">
        <v>2843020779</v>
      </c>
      <c r="K2642">
        <v>6977404743</v>
      </c>
      <c r="M2642" t="s">
        <v>5365</v>
      </c>
      <c r="N2642" t="s">
        <v>176</v>
      </c>
      <c r="O2642" t="s">
        <v>177</v>
      </c>
      <c r="R2642" t="s">
        <v>57</v>
      </c>
      <c r="S2642">
        <v>8</v>
      </c>
      <c r="T2642" t="s">
        <v>5366</v>
      </c>
      <c r="U2642" s="1">
        <v>38602</v>
      </c>
      <c r="V2642" t="s">
        <v>4509</v>
      </c>
      <c r="W2642" t="s">
        <v>4510</v>
      </c>
      <c r="X2642" t="s">
        <v>58</v>
      </c>
      <c r="Y2642">
        <v>20</v>
      </c>
      <c r="Z2642" t="s">
        <v>59</v>
      </c>
      <c r="AA2642" t="s">
        <v>59</v>
      </c>
      <c r="AB2642" t="s">
        <v>59</v>
      </c>
      <c r="AC2642" t="s">
        <v>59</v>
      </c>
      <c r="AD2642" t="s">
        <v>59</v>
      </c>
      <c r="AF2642" s="1">
        <v>38602</v>
      </c>
      <c r="AG2642" t="s">
        <v>125</v>
      </c>
      <c r="AH2642" t="s">
        <v>126</v>
      </c>
      <c r="AI2642" t="str">
        <f>"3204020"</f>
        <v>3204020</v>
      </c>
      <c r="AJ2642" t="s">
        <v>4632</v>
      </c>
      <c r="AK2642">
        <v>2843023923</v>
      </c>
      <c r="AL2642" t="s">
        <v>4633</v>
      </c>
      <c r="AM2642" t="s">
        <v>4513</v>
      </c>
      <c r="AN2642" t="s">
        <v>4540</v>
      </c>
      <c r="AO2642" t="s">
        <v>4540</v>
      </c>
      <c r="AP2642" t="s">
        <v>4540</v>
      </c>
      <c r="AQ2642">
        <v>6</v>
      </c>
      <c r="AR2642" t="s">
        <v>4509</v>
      </c>
      <c r="AS2642" t="s">
        <v>4510</v>
      </c>
      <c r="AT2642" t="s">
        <v>58</v>
      </c>
      <c r="AU2642" t="s">
        <v>68</v>
      </c>
      <c r="AV2642" t="s">
        <v>132</v>
      </c>
      <c r="AW2642" s="1">
        <v>25782</v>
      </c>
      <c r="AX2642">
        <v>2</v>
      </c>
    </row>
    <row r="2643" spans="1:50">
      <c r="A2643">
        <v>171276</v>
      </c>
      <c r="B2643" t="str">
        <f>"063668353"</f>
        <v>063668353</v>
      </c>
      <c r="C2643" t="s">
        <v>50</v>
      </c>
      <c r="D2643" t="s">
        <v>5367</v>
      </c>
      <c r="E2643" t="s">
        <v>1068</v>
      </c>
      <c r="F2643" t="s">
        <v>166</v>
      </c>
      <c r="G2643" t="s">
        <v>263</v>
      </c>
      <c r="H2643" t="str">
        <f>" ΞΗΡΟΚΑΜΠΟΣ"</f>
        <v xml:space="preserve"> ΞΗΡΟΚΑΜΠΟΣ</v>
      </c>
      <c r="I2643">
        <v>72100</v>
      </c>
      <c r="J2643">
        <v>2841024441</v>
      </c>
      <c r="K2643">
        <v>6977541933</v>
      </c>
      <c r="M2643" t="s">
        <v>5368</v>
      </c>
      <c r="N2643" t="s">
        <v>288</v>
      </c>
      <c r="O2643" t="s">
        <v>289</v>
      </c>
      <c r="R2643" t="s">
        <v>57</v>
      </c>
      <c r="S2643">
        <v>12</v>
      </c>
      <c r="T2643">
        <v>184</v>
      </c>
      <c r="U2643" s="1">
        <v>34941</v>
      </c>
      <c r="V2643" t="s">
        <v>4509</v>
      </c>
      <c r="W2643" t="s">
        <v>4510</v>
      </c>
      <c r="X2643" t="s">
        <v>58</v>
      </c>
      <c r="Y2643">
        <v>18</v>
      </c>
      <c r="Z2643" t="s">
        <v>59</v>
      </c>
      <c r="AA2643" t="s">
        <v>59</v>
      </c>
      <c r="AB2643" t="s">
        <v>59</v>
      </c>
      <c r="AC2643" t="s">
        <v>59</v>
      </c>
      <c r="AD2643" t="s">
        <v>59</v>
      </c>
      <c r="AF2643" s="1">
        <v>34943</v>
      </c>
      <c r="AG2643" t="s">
        <v>125</v>
      </c>
      <c r="AH2643" t="s">
        <v>126</v>
      </c>
      <c r="AI2643" t="str">
        <f>"3201025"</f>
        <v>3201025</v>
      </c>
      <c r="AJ2643" t="s">
        <v>4682</v>
      </c>
      <c r="AK2643">
        <v>2841021388</v>
      </c>
      <c r="AL2643" t="s">
        <v>4683</v>
      </c>
      <c r="AM2643" t="s">
        <v>4513</v>
      </c>
      <c r="AN2643" t="s">
        <v>4514</v>
      </c>
      <c r="AO2643" t="s">
        <v>4514</v>
      </c>
      <c r="AP2643" t="s">
        <v>4514</v>
      </c>
      <c r="AQ2643">
        <v>1</v>
      </c>
      <c r="AR2643" t="s">
        <v>4509</v>
      </c>
      <c r="AS2643" t="s">
        <v>4510</v>
      </c>
      <c r="AT2643" t="s">
        <v>58</v>
      </c>
      <c r="AU2643" t="s">
        <v>68</v>
      </c>
      <c r="AV2643" t="s">
        <v>69</v>
      </c>
      <c r="AW2643" s="1">
        <v>23012</v>
      </c>
      <c r="AX2643">
        <v>2</v>
      </c>
    </row>
    <row r="2644" spans="1:50">
      <c r="A2644">
        <v>214630</v>
      </c>
      <c r="B2644" t="str">
        <f>"075200317"</f>
        <v>075200317</v>
      </c>
      <c r="C2644" t="s">
        <v>105</v>
      </c>
      <c r="D2644" t="s">
        <v>5369</v>
      </c>
      <c r="E2644" t="s">
        <v>304</v>
      </c>
      <c r="F2644" t="s">
        <v>5370</v>
      </c>
      <c r="G2644" t="s">
        <v>610</v>
      </c>
      <c r="H2644" t="str">
        <f>" "</f>
        <v xml:space="preserve"> </v>
      </c>
      <c r="J2644">
        <v>2841025199</v>
      </c>
      <c r="K2644">
        <v>6977507054</v>
      </c>
      <c r="N2644" t="s">
        <v>176</v>
      </c>
      <c r="O2644" t="s">
        <v>177</v>
      </c>
      <c r="R2644" t="s">
        <v>57</v>
      </c>
      <c r="S2644">
        <v>14</v>
      </c>
      <c r="T2644">
        <v>231</v>
      </c>
      <c r="U2644" s="1">
        <v>38960</v>
      </c>
      <c r="V2644" t="s">
        <v>4509</v>
      </c>
      <c r="W2644" t="s">
        <v>4510</v>
      </c>
      <c r="X2644" t="s">
        <v>58</v>
      </c>
      <c r="Y2644">
        <v>20</v>
      </c>
      <c r="Z2644" t="s">
        <v>59</v>
      </c>
      <c r="AA2644" t="s">
        <v>59</v>
      </c>
      <c r="AB2644" t="s">
        <v>59</v>
      </c>
      <c r="AC2644" t="s">
        <v>59</v>
      </c>
      <c r="AD2644" t="s">
        <v>59</v>
      </c>
      <c r="AF2644" s="1">
        <v>38961</v>
      </c>
      <c r="AG2644" t="s">
        <v>148</v>
      </c>
      <c r="AH2644" t="s">
        <v>149</v>
      </c>
      <c r="AI2644" t="str">
        <f>"3251010"</f>
        <v>3251010</v>
      </c>
      <c r="AJ2644" t="s">
        <v>4646</v>
      </c>
      <c r="AK2644">
        <v>2841023649</v>
      </c>
      <c r="AL2644" t="s">
        <v>4647</v>
      </c>
      <c r="AM2644" t="s">
        <v>4513</v>
      </c>
      <c r="AN2644" t="s">
        <v>4514</v>
      </c>
      <c r="AO2644" t="s">
        <v>4514</v>
      </c>
      <c r="AP2644" t="s">
        <v>4514</v>
      </c>
      <c r="AQ2644">
        <v>1</v>
      </c>
      <c r="AR2644" t="s">
        <v>4509</v>
      </c>
      <c r="AS2644" t="s">
        <v>4510</v>
      </c>
      <c r="AT2644" t="s">
        <v>58</v>
      </c>
      <c r="AU2644" t="s">
        <v>68</v>
      </c>
      <c r="AV2644" t="s">
        <v>132</v>
      </c>
      <c r="AW2644" s="1">
        <v>26391</v>
      </c>
      <c r="AX2644">
        <v>2</v>
      </c>
    </row>
    <row r="2645" spans="1:50">
      <c r="A2645">
        <v>160783</v>
      </c>
      <c r="B2645" t="str">
        <f>"033930477"</f>
        <v>033930477</v>
      </c>
      <c r="C2645" t="s">
        <v>105</v>
      </c>
      <c r="D2645" t="s">
        <v>5371</v>
      </c>
      <c r="E2645" t="s">
        <v>95</v>
      </c>
      <c r="F2645" t="s">
        <v>5372</v>
      </c>
      <c r="G2645" t="s">
        <v>411</v>
      </c>
      <c r="H2645" t="str">
        <f>" "</f>
        <v xml:space="preserve"> </v>
      </c>
      <c r="J2645">
        <v>2843025507</v>
      </c>
      <c r="K2645">
        <v>6973344958</v>
      </c>
      <c r="M2645" t="s">
        <v>5373</v>
      </c>
      <c r="N2645" t="s">
        <v>299</v>
      </c>
      <c r="O2645" t="s">
        <v>300</v>
      </c>
      <c r="R2645" t="s">
        <v>57</v>
      </c>
      <c r="S2645">
        <v>14</v>
      </c>
      <c r="T2645">
        <v>161</v>
      </c>
      <c r="U2645" s="1">
        <v>33119</v>
      </c>
      <c r="V2645" t="s">
        <v>4509</v>
      </c>
      <c r="W2645" t="s">
        <v>4510</v>
      </c>
      <c r="X2645" t="s">
        <v>58</v>
      </c>
      <c r="Y2645">
        <v>18</v>
      </c>
      <c r="Z2645" t="s">
        <v>59</v>
      </c>
      <c r="AA2645" t="s">
        <v>59</v>
      </c>
      <c r="AB2645" t="s">
        <v>59</v>
      </c>
      <c r="AC2645" t="s">
        <v>59</v>
      </c>
      <c r="AD2645" t="s">
        <v>59</v>
      </c>
      <c r="AF2645" s="1">
        <v>33120</v>
      </c>
      <c r="AG2645" t="s">
        <v>148</v>
      </c>
      <c r="AH2645" t="s">
        <v>149</v>
      </c>
      <c r="AI2645" t="str">
        <f>"3254010"</f>
        <v>3254010</v>
      </c>
      <c r="AJ2645" t="s">
        <v>4538</v>
      </c>
      <c r="AK2645">
        <v>2843022277</v>
      </c>
      <c r="AL2645" t="s">
        <v>4539</v>
      </c>
      <c r="AM2645" t="s">
        <v>4513</v>
      </c>
      <c r="AN2645" t="s">
        <v>4540</v>
      </c>
      <c r="AO2645" t="s">
        <v>4540</v>
      </c>
      <c r="AP2645" t="s">
        <v>4540</v>
      </c>
      <c r="AQ2645">
        <v>6</v>
      </c>
      <c r="AR2645" t="s">
        <v>4509</v>
      </c>
      <c r="AS2645" t="s">
        <v>4510</v>
      </c>
      <c r="AT2645" t="s">
        <v>58</v>
      </c>
      <c r="AU2645" t="s">
        <v>68</v>
      </c>
      <c r="AV2645" t="s">
        <v>69</v>
      </c>
      <c r="AW2645" s="1">
        <v>22614</v>
      </c>
      <c r="AX2645">
        <v>2</v>
      </c>
    </row>
    <row r="2646" spans="1:50">
      <c r="A2646">
        <v>225149</v>
      </c>
      <c r="B2646" t="str">
        <f>"044669694"</f>
        <v>044669694</v>
      </c>
      <c r="C2646" t="s">
        <v>105</v>
      </c>
      <c r="D2646" t="s">
        <v>5374</v>
      </c>
      <c r="E2646" t="s">
        <v>95</v>
      </c>
      <c r="F2646" t="s">
        <v>53</v>
      </c>
      <c r="G2646" t="s">
        <v>3483</v>
      </c>
      <c r="H2646" t="str">
        <f>" "</f>
        <v xml:space="preserve"> </v>
      </c>
      <c r="J2646">
        <v>2461027205</v>
      </c>
      <c r="K2646">
        <v>6937936276</v>
      </c>
      <c r="N2646" t="s">
        <v>176</v>
      </c>
      <c r="O2646" t="s">
        <v>177</v>
      </c>
      <c r="R2646" t="s">
        <v>57</v>
      </c>
      <c r="S2646">
        <v>7</v>
      </c>
      <c r="T2646">
        <v>775</v>
      </c>
      <c r="U2646" s="1">
        <v>39680</v>
      </c>
      <c r="V2646" t="s">
        <v>4509</v>
      </c>
      <c r="W2646" t="s">
        <v>4510</v>
      </c>
      <c r="X2646" t="s">
        <v>58</v>
      </c>
      <c r="Y2646">
        <v>20</v>
      </c>
      <c r="Z2646" t="s">
        <v>59</v>
      </c>
      <c r="AA2646" t="s">
        <v>59</v>
      </c>
      <c r="AB2646" t="s">
        <v>59</v>
      </c>
      <c r="AC2646" t="s">
        <v>59</v>
      </c>
      <c r="AD2646" t="s">
        <v>59</v>
      </c>
      <c r="AF2646" s="1">
        <v>39692</v>
      </c>
      <c r="AG2646" t="s">
        <v>148</v>
      </c>
      <c r="AH2646" t="s">
        <v>149</v>
      </c>
      <c r="AI2646" t="str">
        <f>"3252010"</f>
        <v>3252010</v>
      </c>
      <c r="AJ2646" t="s">
        <v>4532</v>
      </c>
      <c r="AK2646">
        <v>2842022356</v>
      </c>
      <c r="AL2646" t="s">
        <v>4533</v>
      </c>
      <c r="AM2646" t="s">
        <v>4513</v>
      </c>
      <c r="AN2646" t="s">
        <v>4519</v>
      </c>
      <c r="AO2646" t="s">
        <v>4519</v>
      </c>
      <c r="AP2646" t="s">
        <v>4519</v>
      </c>
      <c r="AQ2646">
        <v>4</v>
      </c>
      <c r="AR2646" t="s">
        <v>4509</v>
      </c>
      <c r="AS2646" t="s">
        <v>4510</v>
      </c>
      <c r="AT2646" t="s">
        <v>58</v>
      </c>
      <c r="AU2646" t="s">
        <v>68</v>
      </c>
      <c r="AV2646" t="s">
        <v>132</v>
      </c>
      <c r="AW2646" s="1">
        <v>24981</v>
      </c>
      <c r="AX2646">
        <v>2</v>
      </c>
    </row>
    <row r="2647" spans="1:50">
      <c r="A2647">
        <v>171644</v>
      </c>
      <c r="B2647" t="str">
        <f>"041815870"</f>
        <v>041815870</v>
      </c>
      <c r="C2647" t="s">
        <v>105</v>
      </c>
      <c r="D2647" t="s">
        <v>5375</v>
      </c>
      <c r="E2647" t="s">
        <v>383</v>
      </c>
      <c r="F2647" t="s">
        <v>309</v>
      </c>
      <c r="G2647" t="s">
        <v>1355</v>
      </c>
      <c r="H2647" t="str">
        <f>" "</f>
        <v xml:space="preserve"> </v>
      </c>
      <c r="M2647" t="s">
        <v>5376</v>
      </c>
      <c r="N2647" t="s">
        <v>176</v>
      </c>
      <c r="O2647" t="s">
        <v>177</v>
      </c>
      <c r="R2647" t="s">
        <v>57</v>
      </c>
      <c r="S2647">
        <v>13</v>
      </c>
      <c r="T2647">
        <v>184</v>
      </c>
      <c r="U2647" s="1">
        <v>34941</v>
      </c>
      <c r="V2647" t="s">
        <v>4509</v>
      </c>
      <c r="W2647" t="s">
        <v>4510</v>
      </c>
      <c r="X2647" t="s">
        <v>58</v>
      </c>
      <c r="Y2647">
        <v>18</v>
      </c>
      <c r="Z2647" t="s">
        <v>59</v>
      </c>
      <c r="AA2647" t="s">
        <v>59</v>
      </c>
      <c r="AB2647" t="s">
        <v>59</v>
      </c>
      <c r="AC2647" t="s">
        <v>59</v>
      </c>
      <c r="AD2647" t="s">
        <v>59</v>
      </c>
      <c r="AF2647" s="1">
        <v>34943</v>
      </c>
      <c r="AG2647" t="s">
        <v>125</v>
      </c>
      <c r="AH2647" t="s">
        <v>126</v>
      </c>
      <c r="AI2647" t="str">
        <f>"3203010"</f>
        <v>3203010</v>
      </c>
      <c r="AJ2647" t="s">
        <v>4522</v>
      </c>
      <c r="AK2647">
        <v>2841034140</v>
      </c>
      <c r="AL2647" t="s">
        <v>4523</v>
      </c>
      <c r="AM2647" t="s">
        <v>4513</v>
      </c>
      <c r="AN2647" t="s">
        <v>4514</v>
      </c>
      <c r="AO2647" t="s">
        <v>4524</v>
      </c>
      <c r="AP2647" t="s">
        <v>4525</v>
      </c>
      <c r="AQ2647">
        <v>3</v>
      </c>
      <c r="AR2647" t="s">
        <v>4509</v>
      </c>
      <c r="AS2647" t="s">
        <v>4510</v>
      </c>
      <c r="AT2647" t="s">
        <v>58</v>
      </c>
      <c r="AU2647" t="s">
        <v>68</v>
      </c>
      <c r="AV2647" t="s">
        <v>69</v>
      </c>
      <c r="AW2647" s="1">
        <v>23446</v>
      </c>
      <c r="AX2647">
        <v>2</v>
      </c>
    </row>
    <row r="2648" spans="1:50">
      <c r="A2648">
        <v>219662</v>
      </c>
      <c r="B2648" t="str">
        <f>"103508098"</f>
        <v>103508098</v>
      </c>
      <c r="C2648" t="s">
        <v>105</v>
      </c>
      <c r="D2648" t="s">
        <v>5377</v>
      </c>
      <c r="E2648" t="s">
        <v>670</v>
      </c>
      <c r="F2648" t="s">
        <v>53</v>
      </c>
      <c r="G2648" t="s">
        <v>1644</v>
      </c>
      <c r="H2648" t="str">
        <f>"ΚΟΝΙΤΣΗΣ 49 ΗΡΑΚΛΕΙΟ"</f>
        <v>ΚΟΝΙΤΣΗΣ 49 ΗΡΑΚΛΕΙΟ</v>
      </c>
      <c r="I2648">
        <v>71307</v>
      </c>
      <c r="J2648">
        <v>2810245166</v>
      </c>
      <c r="K2648">
        <v>6946207011</v>
      </c>
      <c r="M2648" t="s">
        <v>5378</v>
      </c>
      <c r="N2648" t="s">
        <v>299</v>
      </c>
      <c r="O2648" t="s">
        <v>300</v>
      </c>
      <c r="R2648" t="s">
        <v>57</v>
      </c>
      <c r="S2648">
        <v>8</v>
      </c>
      <c r="T2648">
        <v>599</v>
      </c>
      <c r="U2648" s="1">
        <v>39310</v>
      </c>
      <c r="V2648" t="s">
        <v>4509</v>
      </c>
      <c r="W2648" t="s">
        <v>4510</v>
      </c>
      <c r="X2648" t="s">
        <v>58</v>
      </c>
      <c r="Y2648">
        <v>21</v>
      </c>
      <c r="Z2648" t="s">
        <v>59</v>
      </c>
      <c r="AA2648" t="s">
        <v>59</v>
      </c>
      <c r="AB2648" t="s">
        <v>59</v>
      </c>
      <c r="AC2648" t="s">
        <v>59</v>
      </c>
      <c r="AD2648" t="s">
        <v>59</v>
      </c>
      <c r="AF2648" s="1">
        <v>39328</v>
      </c>
      <c r="AG2648" t="s">
        <v>148</v>
      </c>
      <c r="AH2648" t="s">
        <v>149</v>
      </c>
      <c r="AI2648" t="str">
        <f>"3253010"</f>
        <v>3253010</v>
      </c>
      <c r="AJ2648" t="s">
        <v>4579</v>
      </c>
      <c r="AK2648">
        <v>2841031769</v>
      </c>
      <c r="AL2648" t="s">
        <v>4580</v>
      </c>
      <c r="AM2648" t="s">
        <v>4513</v>
      </c>
      <c r="AN2648" t="s">
        <v>4514</v>
      </c>
      <c r="AO2648" t="s">
        <v>4524</v>
      </c>
      <c r="AP2648" t="s">
        <v>4525</v>
      </c>
      <c r="AQ2648">
        <v>3</v>
      </c>
      <c r="AR2648" t="s">
        <v>4509</v>
      </c>
      <c r="AS2648" t="s">
        <v>4510</v>
      </c>
      <c r="AT2648" t="s">
        <v>58</v>
      </c>
      <c r="AU2648" t="s">
        <v>68</v>
      </c>
      <c r="AV2648" t="s">
        <v>69</v>
      </c>
      <c r="AW2648" s="1">
        <v>26933</v>
      </c>
      <c r="AX2648">
        <v>2</v>
      </c>
    </row>
    <row r="2649" spans="1:50">
      <c r="A2649">
        <v>153245</v>
      </c>
      <c r="B2649" t="str">
        <f>"032941899"</f>
        <v>032941899</v>
      </c>
      <c r="C2649" t="s">
        <v>50</v>
      </c>
      <c r="D2649" t="s">
        <v>5379</v>
      </c>
      <c r="E2649" t="s">
        <v>250</v>
      </c>
      <c r="F2649" t="s">
        <v>920</v>
      </c>
      <c r="G2649" t="s">
        <v>2564</v>
      </c>
      <c r="H2649" t="str">
        <f>" "</f>
        <v xml:space="preserve"> </v>
      </c>
      <c r="J2649">
        <v>2843025188</v>
      </c>
      <c r="K2649">
        <v>6978772699</v>
      </c>
      <c r="M2649" t="s">
        <v>5380</v>
      </c>
      <c r="N2649" t="s">
        <v>306</v>
      </c>
      <c r="O2649" t="s">
        <v>307</v>
      </c>
      <c r="R2649" t="s">
        <v>57</v>
      </c>
      <c r="S2649">
        <v>15</v>
      </c>
      <c r="T2649">
        <v>166</v>
      </c>
      <c r="U2649" s="1">
        <v>32010</v>
      </c>
      <c r="V2649" t="s">
        <v>4509</v>
      </c>
      <c r="W2649" t="s">
        <v>4510</v>
      </c>
      <c r="X2649" t="s">
        <v>58</v>
      </c>
      <c r="Y2649">
        <v>18</v>
      </c>
      <c r="Z2649" t="s">
        <v>59</v>
      </c>
      <c r="AA2649" t="s">
        <v>59</v>
      </c>
      <c r="AB2649" t="s">
        <v>59</v>
      </c>
      <c r="AC2649" t="s">
        <v>59</v>
      </c>
      <c r="AD2649" t="s">
        <v>59</v>
      </c>
      <c r="AF2649" s="1">
        <v>32021</v>
      </c>
      <c r="AG2649" t="s">
        <v>125</v>
      </c>
      <c r="AH2649" t="s">
        <v>126</v>
      </c>
      <c r="AI2649" t="str">
        <f>"3204020"</f>
        <v>3204020</v>
      </c>
      <c r="AJ2649" t="s">
        <v>4632</v>
      </c>
      <c r="AK2649">
        <v>2843023923</v>
      </c>
      <c r="AL2649" t="s">
        <v>4633</v>
      </c>
      <c r="AM2649" t="s">
        <v>4513</v>
      </c>
      <c r="AN2649" t="s">
        <v>4540</v>
      </c>
      <c r="AO2649" t="s">
        <v>4540</v>
      </c>
      <c r="AP2649" t="s">
        <v>4540</v>
      </c>
      <c r="AQ2649">
        <v>6</v>
      </c>
      <c r="AR2649" t="s">
        <v>4509</v>
      </c>
      <c r="AS2649" t="s">
        <v>4510</v>
      </c>
      <c r="AT2649" t="s">
        <v>58</v>
      </c>
      <c r="AU2649" t="s">
        <v>68</v>
      </c>
      <c r="AV2649" t="s">
        <v>357</v>
      </c>
      <c r="AW2649" s="1">
        <v>22663</v>
      </c>
      <c r="AX2649">
        <v>2</v>
      </c>
    </row>
    <row r="2650" spans="1:50">
      <c r="A2650">
        <v>222563</v>
      </c>
      <c r="B2650" t="str">
        <f>"043965713"</f>
        <v>043965713</v>
      </c>
      <c r="C2650" t="s">
        <v>50</v>
      </c>
      <c r="D2650" t="s">
        <v>5381</v>
      </c>
      <c r="E2650" t="s">
        <v>473</v>
      </c>
      <c r="F2650" t="s">
        <v>106</v>
      </c>
      <c r="G2650" t="s">
        <v>52</v>
      </c>
      <c r="H2650" t="str">
        <f>"ΑΡΓΥΡΟΠΟΥΛΩΝ 18 "</f>
        <v xml:space="preserve">ΑΡΓΥΡΟΠΟΥΛΩΝ 18 </v>
      </c>
      <c r="I2650">
        <v>72100</v>
      </c>
      <c r="J2650">
        <v>2841024373</v>
      </c>
      <c r="K2650">
        <v>6944967296</v>
      </c>
      <c r="M2650" t="s">
        <v>5382</v>
      </c>
      <c r="N2650" t="s">
        <v>146</v>
      </c>
      <c r="O2650" t="s">
        <v>147</v>
      </c>
      <c r="R2650" t="s">
        <v>57</v>
      </c>
      <c r="S2650">
        <v>7</v>
      </c>
      <c r="T2650">
        <v>775</v>
      </c>
      <c r="U2650" s="1">
        <v>39680</v>
      </c>
      <c r="V2650" t="s">
        <v>4509</v>
      </c>
      <c r="W2650" t="s">
        <v>4510</v>
      </c>
      <c r="X2650" t="s">
        <v>58</v>
      </c>
      <c r="Y2650">
        <v>21</v>
      </c>
      <c r="Z2650" t="s">
        <v>59</v>
      </c>
      <c r="AA2650" t="s">
        <v>59</v>
      </c>
      <c r="AB2650" t="s">
        <v>59</v>
      </c>
      <c r="AC2650" t="s">
        <v>59</v>
      </c>
      <c r="AD2650" t="s">
        <v>59</v>
      </c>
      <c r="AF2650" s="1">
        <v>39692</v>
      </c>
      <c r="AG2650" t="s">
        <v>125</v>
      </c>
      <c r="AH2650" t="s">
        <v>126</v>
      </c>
      <c r="AI2650" t="str">
        <f>"3201025"</f>
        <v>3201025</v>
      </c>
      <c r="AJ2650" t="s">
        <v>4682</v>
      </c>
      <c r="AK2650">
        <v>2841021388</v>
      </c>
      <c r="AL2650" t="s">
        <v>4683</v>
      </c>
      <c r="AM2650" t="s">
        <v>4513</v>
      </c>
      <c r="AN2650" t="s">
        <v>4514</v>
      </c>
      <c r="AO2650" t="s">
        <v>4514</v>
      </c>
      <c r="AP2650" t="s">
        <v>4514</v>
      </c>
      <c r="AQ2650">
        <v>1</v>
      </c>
      <c r="AR2650" t="s">
        <v>4509</v>
      </c>
      <c r="AS2650" t="s">
        <v>4510</v>
      </c>
      <c r="AT2650" t="s">
        <v>58</v>
      </c>
      <c r="AU2650" t="s">
        <v>68</v>
      </c>
      <c r="AV2650" t="s">
        <v>69</v>
      </c>
      <c r="AW2650" s="1">
        <v>28350</v>
      </c>
      <c r="AX2650">
        <v>2</v>
      </c>
    </row>
    <row r="2651" spans="1:50">
      <c r="A2651">
        <v>161521</v>
      </c>
      <c r="B2651" t="str">
        <f>"036715250"</f>
        <v>036715250</v>
      </c>
      <c r="C2651" t="s">
        <v>105</v>
      </c>
      <c r="D2651" t="s">
        <v>5383</v>
      </c>
      <c r="E2651" t="s">
        <v>309</v>
      </c>
      <c r="F2651" t="s">
        <v>154</v>
      </c>
      <c r="G2651" t="s">
        <v>513</v>
      </c>
      <c r="H2651" t="str">
        <f>"ΣΟΦΙΑΣ ΜΑΥΡΟΕΙΔΗ ΠΑΠΑΔΑΚΗ 8 ΑΓΙΟΣ ΝΙΚΟΛΑΟΣ "</f>
        <v xml:space="preserve">ΣΟΦΙΑΣ ΜΑΥΡΟΕΙΔΗ ΠΑΠΑΔΑΚΗ 8 ΑΓΙΟΣ ΝΙΚΟΛΑΟΣ </v>
      </c>
      <c r="I2651">
        <v>72100</v>
      </c>
      <c r="J2651">
        <v>2841026595</v>
      </c>
      <c r="K2651">
        <v>6974041214</v>
      </c>
      <c r="M2651" t="s">
        <v>5384</v>
      </c>
      <c r="N2651" t="s">
        <v>168</v>
      </c>
      <c r="O2651" t="s">
        <v>169</v>
      </c>
      <c r="R2651" t="s">
        <v>57</v>
      </c>
      <c r="S2651">
        <v>15</v>
      </c>
      <c r="T2651">
        <v>161</v>
      </c>
      <c r="U2651" s="1">
        <v>33119</v>
      </c>
      <c r="V2651" t="s">
        <v>4509</v>
      </c>
      <c r="W2651" t="s">
        <v>4510</v>
      </c>
      <c r="X2651" t="s">
        <v>58</v>
      </c>
      <c r="Y2651">
        <v>18</v>
      </c>
      <c r="Z2651" t="s">
        <v>59</v>
      </c>
      <c r="AA2651" t="s">
        <v>59</v>
      </c>
      <c r="AB2651" t="s">
        <v>59</v>
      </c>
      <c r="AC2651" t="s">
        <v>59</v>
      </c>
      <c r="AD2651" t="s">
        <v>59</v>
      </c>
      <c r="AF2651" s="1">
        <v>33120</v>
      </c>
      <c r="AG2651" t="s">
        <v>125</v>
      </c>
      <c r="AH2651" t="s">
        <v>126</v>
      </c>
      <c r="AI2651" t="str">
        <f>"3201020"</f>
        <v>3201020</v>
      </c>
      <c r="AJ2651" t="s">
        <v>4511</v>
      </c>
      <c r="AK2651">
        <v>2841024586</v>
      </c>
      <c r="AL2651" t="s">
        <v>4512</v>
      </c>
      <c r="AM2651" t="s">
        <v>4513</v>
      </c>
      <c r="AN2651" t="s">
        <v>4514</v>
      </c>
      <c r="AO2651" t="s">
        <v>4514</v>
      </c>
      <c r="AP2651" t="s">
        <v>4514</v>
      </c>
      <c r="AQ2651">
        <v>1</v>
      </c>
      <c r="AR2651" t="s">
        <v>4509</v>
      </c>
      <c r="AS2651" t="s">
        <v>4510</v>
      </c>
      <c r="AT2651" t="s">
        <v>58</v>
      </c>
      <c r="AU2651" t="s">
        <v>68</v>
      </c>
      <c r="AV2651" t="s">
        <v>69</v>
      </c>
      <c r="AW2651" s="1">
        <v>22738</v>
      </c>
      <c r="AX2651">
        <v>2</v>
      </c>
    </row>
    <row r="2652" spans="1:50">
      <c r="A2652">
        <v>227156</v>
      </c>
      <c r="B2652" t="str">
        <f>"047260464"</f>
        <v>047260464</v>
      </c>
      <c r="C2652" t="s">
        <v>105</v>
      </c>
      <c r="D2652" t="s">
        <v>3628</v>
      </c>
      <c r="E2652" t="s">
        <v>106</v>
      </c>
      <c r="F2652" t="s">
        <v>53</v>
      </c>
      <c r="G2652" t="s">
        <v>143</v>
      </c>
      <c r="H2652" t="str">
        <f>"ΜΑΧΗΤΩΝ ΣΧΟΛΗΣ ΧΩΡΟΦΥΛΑΚΗΣ 39 ΡΕΘΥΜΝΟ"</f>
        <v>ΜΑΧΗΤΩΝ ΣΧΟΛΗΣ ΧΩΡΟΦΥΛΑΚΗΣ 39 ΡΕΘΥΜΝΟ</v>
      </c>
      <c r="I2652">
        <v>74100</v>
      </c>
      <c r="J2652">
        <v>2842094517</v>
      </c>
      <c r="K2652">
        <v>6972215847</v>
      </c>
      <c r="M2652" t="s">
        <v>5385</v>
      </c>
      <c r="N2652" t="s">
        <v>292</v>
      </c>
      <c r="O2652" t="s">
        <v>293</v>
      </c>
      <c r="R2652" t="s">
        <v>57</v>
      </c>
      <c r="S2652">
        <v>5</v>
      </c>
      <c r="T2652">
        <v>654</v>
      </c>
      <c r="U2652" s="1">
        <v>40043</v>
      </c>
      <c r="V2652" t="s">
        <v>4509</v>
      </c>
      <c r="W2652" t="s">
        <v>4510</v>
      </c>
      <c r="X2652" t="s">
        <v>58</v>
      </c>
      <c r="Y2652">
        <v>21</v>
      </c>
      <c r="Z2652" t="s">
        <v>59</v>
      </c>
      <c r="AA2652" t="s">
        <v>59</v>
      </c>
      <c r="AB2652" t="s">
        <v>59</v>
      </c>
      <c r="AC2652" t="s">
        <v>59</v>
      </c>
      <c r="AD2652" t="s">
        <v>59</v>
      </c>
      <c r="AF2652" s="1">
        <v>40044</v>
      </c>
      <c r="AG2652" t="s">
        <v>125</v>
      </c>
      <c r="AH2652" t="s">
        <v>126</v>
      </c>
      <c r="AI2652" t="str">
        <f>"3202030"</f>
        <v>3202030</v>
      </c>
      <c r="AJ2652" t="s">
        <v>4558</v>
      </c>
      <c r="AK2652">
        <v>2842028751</v>
      </c>
      <c r="AL2652" t="s">
        <v>4559</v>
      </c>
      <c r="AM2652" t="s">
        <v>4513</v>
      </c>
      <c r="AN2652" t="s">
        <v>4519</v>
      </c>
      <c r="AO2652" t="s">
        <v>4519</v>
      </c>
      <c r="AP2652" t="s">
        <v>4519</v>
      </c>
      <c r="AQ2652">
        <v>4</v>
      </c>
      <c r="AR2652" t="s">
        <v>4509</v>
      </c>
      <c r="AS2652" t="s">
        <v>4510</v>
      </c>
      <c r="AT2652" t="s">
        <v>58</v>
      </c>
      <c r="AU2652" t="s">
        <v>68</v>
      </c>
      <c r="AV2652" t="s">
        <v>357</v>
      </c>
      <c r="AW2652" s="1">
        <v>25623</v>
      </c>
      <c r="AX2652">
        <v>2</v>
      </c>
    </row>
    <row r="2653" spans="1:50">
      <c r="A2653">
        <v>211038</v>
      </c>
      <c r="B2653" t="str">
        <f>"064124138"</f>
        <v>064124138</v>
      </c>
      <c r="C2653" t="s">
        <v>105</v>
      </c>
      <c r="D2653" t="s">
        <v>3628</v>
      </c>
      <c r="E2653" t="s">
        <v>53</v>
      </c>
      <c r="F2653" t="s">
        <v>5386</v>
      </c>
      <c r="G2653" t="s">
        <v>1588</v>
      </c>
      <c r="H2653" t="str">
        <f>" "</f>
        <v xml:space="preserve"> </v>
      </c>
      <c r="J2653">
        <v>2810333816</v>
      </c>
      <c r="K2653">
        <v>6942967498</v>
      </c>
      <c r="M2653" t="s">
        <v>5387</v>
      </c>
      <c r="N2653" t="s">
        <v>204</v>
      </c>
      <c r="O2653" t="s">
        <v>205</v>
      </c>
      <c r="P2653" t="s">
        <v>1116</v>
      </c>
      <c r="Q2653" t="s">
        <v>1117</v>
      </c>
      <c r="R2653" t="s">
        <v>57</v>
      </c>
      <c r="S2653">
        <v>6</v>
      </c>
      <c r="T2653">
        <v>262</v>
      </c>
      <c r="U2653" s="1">
        <v>38629</v>
      </c>
      <c r="V2653" t="s">
        <v>4509</v>
      </c>
      <c r="W2653" t="s">
        <v>4510</v>
      </c>
      <c r="X2653" t="s">
        <v>58</v>
      </c>
      <c r="Y2653">
        <v>20</v>
      </c>
      <c r="Z2653" t="s">
        <v>59</v>
      </c>
      <c r="AA2653" t="s">
        <v>59</v>
      </c>
      <c r="AB2653" t="s">
        <v>59</v>
      </c>
      <c r="AC2653" t="s">
        <v>59</v>
      </c>
      <c r="AD2653" t="s">
        <v>59</v>
      </c>
      <c r="AF2653" s="1">
        <v>38630</v>
      </c>
      <c r="AG2653" t="s">
        <v>125</v>
      </c>
      <c r="AH2653" t="s">
        <v>126</v>
      </c>
      <c r="AI2653" t="str">
        <f>"3201010"</f>
        <v>3201010</v>
      </c>
      <c r="AJ2653" t="s">
        <v>4596</v>
      </c>
      <c r="AK2653">
        <v>2841022301</v>
      </c>
      <c r="AL2653" t="s">
        <v>4597</v>
      </c>
      <c r="AM2653" t="s">
        <v>4513</v>
      </c>
      <c r="AN2653" t="s">
        <v>4514</v>
      </c>
      <c r="AO2653" t="s">
        <v>4514</v>
      </c>
      <c r="AP2653" t="s">
        <v>4514</v>
      </c>
      <c r="AQ2653">
        <v>1</v>
      </c>
      <c r="AR2653" t="s">
        <v>4509</v>
      </c>
      <c r="AS2653" t="s">
        <v>4510</v>
      </c>
      <c r="AT2653" t="s">
        <v>58</v>
      </c>
      <c r="AU2653" t="s">
        <v>68</v>
      </c>
      <c r="AV2653" t="s">
        <v>69</v>
      </c>
      <c r="AW2653" s="1">
        <v>28127</v>
      </c>
      <c r="AX2653">
        <v>2</v>
      </c>
    </row>
    <row r="2654" spans="1:50">
      <c r="A2654">
        <v>153101</v>
      </c>
      <c r="B2654" t="str">
        <f>"026765281"</f>
        <v>026765281</v>
      </c>
      <c r="C2654" t="s">
        <v>105</v>
      </c>
      <c r="D2654" t="s">
        <v>5388</v>
      </c>
      <c r="E2654" t="s">
        <v>95</v>
      </c>
      <c r="F2654" t="s">
        <v>166</v>
      </c>
      <c r="G2654" t="s">
        <v>647</v>
      </c>
      <c r="H2654" t="str">
        <f>"ΦΡΑΓΚΑΚΗ Λ 8 ΙΕΡΑΠΕΤΡΑ"</f>
        <v>ΦΡΑΓΚΑΚΗ Λ 8 ΙΕΡΑΠΕΤΡΑ</v>
      </c>
      <c r="I2654">
        <v>72200</v>
      </c>
      <c r="J2654">
        <v>2842026359</v>
      </c>
      <c r="K2654">
        <v>6982253009</v>
      </c>
      <c r="M2654" t="s">
        <v>4824</v>
      </c>
      <c r="N2654" t="s">
        <v>292</v>
      </c>
      <c r="O2654" t="s">
        <v>293</v>
      </c>
      <c r="R2654" t="s">
        <v>57</v>
      </c>
      <c r="S2654">
        <v>16</v>
      </c>
      <c r="T2654">
        <v>166</v>
      </c>
      <c r="U2654" s="1">
        <v>32007</v>
      </c>
      <c r="V2654" t="s">
        <v>4509</v>
      </c>
      <c r="W2654" t="s">
        <v>4510</v>
      </c>
      <c r="X2654" t="s">
        <v>58</v>
      </c>
      <c r="Y2654">
        <v>18</v>
      </c>
      <c r="Z2654" t="s">
        <v>59</v>
      </c>
      <c r="AA2654" t="s">
        <v>59</v>
      </c>
      <c r="AB2654" t="s">
        <v>59</v>
      </c>
      <c r="AC2654" t="s">
        <v>59</v>
      </c>
      <c r="AD2654" t="s">
        <v>59</v>
      </c>
      <c r="AF2654" s="1">
        <v>32021</v>
      </c>
      <c r="AG2654" t="s">
        <v>148</v>
      </c>
      <c r="AH2654" t="s">
        <v>149</v>
      </c>
      <c r="AI2654" t="str">
        <f>"3252010"</f>
        <v>3252010</v>
      </c>
      <c r="AJ2654" t="s">
        <v>4532</v>
      </c>
      <c r="AK2654">
        <v>2842022356</v>
      </c>
      <c r="AL2654" t="s">
        <v>4533</v>
      </c>
      <c r="AM2654" t="s">
        <v>4513</v>
      </c>
      <c r="AN2654" t="s">
        <v>4519</v>
      </c>
      <c r="AO2654" t="s">
        <v>4519</v>
      </c>
      <c r="AP2654" t="s">
        <v>4519</v>
      </c>
      <c r="AQ2654">
        <v>4</v>
      </c>
      <c r="AR2654" t="s">
        <v>4509</v>
      </c>
      <c r="AS2654" t="s">
        <v>4510</v>
      </c>
      <c r="AT2654" t="s">
        <v>58</v>
      </c>
      <c r="AU2654" t="s">
        <v>68</v>
      </c>
      <c r="AV2654" t="s">
        <v>69</v>
      </c>
      <c r="AW2654" s="1">
        <v>20654</v>
      </c>
      <c r="AX2654">
        <v>2</v>
      </c>
    </row>
    <row r="2655" spans="1:50">
      <c r="A2655">
        <v>224240</v>
      </c>
      <c r="B2655" t="str">
        <f>"301951280"</f>
        <v>301951280</v>
      </c>
      <c r="C2655" t="s">
        <v>50</v>
      </c>
      <c r="D2655" t="s">
        <v>5389</v>
      </c>
      <c r="E2655" t="s">
        <v>237</v>
      </c>
      <c r="F2655" t="s">
        <v>166</v>
      </c>
      <c r="G2655" t="s">
        <v>52</v>
      </c>
      <c r="H2655" t="str">
        <f>" "</f>
        <v xml:space="preserve"> </v>
      </c>
      <c r="J2655">
        <v>2841031088</v>
      </c>
      <c r="K2655">
        <v>6972385077</v>
      </c>
      <c r="M2655" t="s">
        <v>5390</v>
      </c>
      <c r="N2655" t="s">
        <v>306</v>
      </c>
      <c r="O2655" t="s">
        <v>307</v>
      </c>
      <c r="R2655" t="s">
        <v>57</v>
      </c>
      <c r="S2655">
        <v>6</v>
      </c>
      <c r="T2655">
        <v>775</v>
      </c>
      <c r="U2655" s="1">
        <v>39680</v>
      </c>
      <c r="V2655" t="s">
        <v>4509</v>
      </c>
      <c r="W2655" t="s">
        <v>4510</v>
      </c>
      <c r="X2655" t="s">
        <v>58</v>
      </c>
      <c r="Y2655">
        <v>20</v>
      </c>
      <c r="Z2655" t="s">
        <v>59</v>
      </c>
      <c r="AA2655" t="s">
        <v>59</v>
      </c>
      <c r="AB2655" t="s">
        <v>59</v>
      </c>
      <c r="AC2655" t="s">
        <v>59</v>
      </c>
      <c r="AD2655" t="s">
        <v>59</v>
      </c>
      <c r="AF2655" s="1">
        <v>39681</v>
      </c>
      <c r="AG2655" t="s">
        <v>148</v>
      </c>
      <c r="AH2655" t="s">
        <v>149</v>
      </c>
      <c r="AI2655" t="str">
        <f>"3251001"</f>
        <v>3251001</v>
      </c>
      <c r="AJ2655" t="s">
        <v>4535</v>
      </c>
      <c r="AK2655">
        <v>2841082544</v>
      </c>
      <c r="AL2655" t="s">
        <v>4536</v>
      </c>
      <c r="AM2655" t="s">
        <v>4513</v>
      </c>
      <c r="AN2655" t="s">
        <v>4514</v>
      </c>
      <c r="AO2655" t="s">
        <v>4514</v>
      </c>
      <c r="AP2655" t="s">
        <v>4514</v>
      </c>
      <c r="AQ2655">
        <v>1</v>
      </c>
      <c r="AR2655" t="s">
        <v>4509</v>
      </c>
      <c r="AS2655" t="s">
        <v>4510</v>
      </c>
      <c r="AT2655" t="s">
        <v>58</v>
      </c>
      <c r="AU2655" t="s">
        <v>68</v>
      </c>
      <c r="AV2655" t="s">
        <v>69</v>
      </c>
      <c r="AW2655" s="1">
        <v>30182</v>
      </c>
      <c r="AX2655">
        <v>2</v>
      </c>
    </row>
    <row r="2656" spans="1:50">
      <c r="A2656">
        <v>156709</v>
      </c>
      <c r="B2656" t="str">
        <f>"025525183"</f>
        <v>025525183</v>
      </c>
      <c r="C2656" t="s">
        <v>50</v>
      </c>
      <c r="D2656" t="s">
        <v>5389</v>
      </c>
      <c r="E2656" t="s">
        <v>52</v>
      </c>
      <c r="F2656" t="s">
        <v>377</v>
      </c>
      <c r="G2656" t="s">
        <v>1361</v>
      </c>
      <c r="H2656" t="str">
        <f>"ΗΡΩΩΝ ΠΟΛΥΤΕΧΝΕΙΟΥ 16Α ΝΕΑΠΟΛΗ"</f>
        <v>ΗΡΩΩΝ ΠΟΛΥΤΕΧΝΕΙΟΥ 16Α ΝΕΑΠΟΛΗ</v>
      </c>
      <c r="I2656">
        <v>72400</v>
      </c>
      <c r="J2656">
        <v>2841032455</v>
      </c>
      <c r="K2656">
        <v>6977587466</v>
      </c>
      <c r="N2656" t="s">
        <v>292</v>
      </c>
      <c r="O2656" t="s">
        <v>293</v>
      </c>
      <c r="R2656" t="s">
        <v>57</v>
      </c>
      <c r="S2656">
        <v>15</v>
      </c>
      <c r="T2656">
        <v>188</v>
      </c>
      <c r="U2656" s="1">
        <v>32752</v>
      </c>
      <c r="V2656" t="s">
        <v>4509</v>
      </c>
      <c r="W2656" t="s">
        <v>4510</v>
      </c>
      <c r="X2656" t="s">
        <v>58</v>
      </c>
      <c r="Y2656">
        <v>18</v>
      </c>
      <c r="Z2656" t="s">
        <v>59</v>
      </c>
      <c r="AA2656" t="s">
        <v>59</v>
      </c>
      <c r="AB2656" t="s">
        <v>59</v>
      </c>
      <c r="AC2656" t="s">
        <v>59</v>
      </c>
      <c r="AD2656" t="s">
        <v>59</v>
      </c>
      <c r="AF2656" s="1">
        <v>32753</v>
      </c>
      <c r="AG2656" t="s">
        <v>125</v>
      </c>
      <c r="AH2656" t="s">
        <v>126</v>
      </c>
      <c r="AI2656" t="str">
        <f>"3203010"</f>
        <v>3203010</v>
      </c>
      <c r="AJ2656" t="s">
        <v>4522</v>
      </c>
      <c r="AK2656">
        <v>2841034140</v>
      </c>
      <c r="AL2656" t="s">
        <v>4523</v>
      </c>
      <c r="AM2656" t="s">
        <v>4513</v>
      </c>
      <c r="AN2656" t="s">
        <v>4514</v>
      </c>
      <c r="AO2656" t="s">
        <v>4524</v>
      </c>
      <c r="AP2656" t="s">
        <v>4525</v>
      </c>
      <c r="AQ2656">
        <v>3</v>
      </c>
      <c r="AR2656" t="s">
        <v>4509</v>
      </c>
      <c r="AS2656" t="s">
        <v>4510</v>
      </c>
      <c r="AT2656" t="s">
        <v>58</v>
      </c>
      <c r="AU2656" t="s">
        <v>68</v>
      </c>
      <c r="AV2656" t="s">
        <v>69</v>
      </c>
      <c r="AW2656" s="1">
        <v>20090</v>
      </c>
      <c r="AX2656">
        <v>2</v>
      </c>
    </row>
    <row r="2657" spans="1:50">
      <c r="A2657">
        <v>227357</v>
      </c>
      <c r="B2657" t="str">
        <f>"049634542"</f>
        <v>049634542</v>
      </c>
      <c r="C2657" t="s">
        <v>105</v>
      </c>
      <c r="D2657" t="s">
        <v>5391</v>
      </c>
      <c r="E2657" t="s">
        <v>72</v>
      </c>
      <c r="F2657" t="s">
        <v>4097</v>
      </c>
      <c r="G2657" t="s">
        <v>855</v>
      </c>
      <c r="H2657" t="str">
        <f>"ΑΜΟΥΔΑΡΑ ΑΓΙΟΣ ΝΙΚΟΛΑΟΣ"</f>
        <v>ΑΜΟΥΔΑΡΑ ΑΓΙΟΣ ΝΙΚΟΛΑΟΣ</v>
      </c>
      <c r="I2657">
        <v>72100</v>
      </c>
      <c r="J2657">
        <v>2841083078</v>
      </c>
      <c r="K2657">
        <v>6945167637</v>
      </c>
      <c r="M2657" t="s">
        <v>5392</v>
      </c>
      <c r="N2657" t="s">
        <v>232</v>
      </c>
      <c r="O2657" t="s">
        <v>233</v>
      </c>
      <c r="R2657" t="s">
        <v>57</v>
      </c>
      <c r="S2657">
        <v>5</v>
      </c>
      <c r="T2657">
        <v>654</v>
      </c>
      <c r="U2657" s="1">
        <v>40043</v>
      </c>
      <c r="V2657" t="s">
        <v>4509</v>
      </c>
      <c r="W2657" t="s">
        <v>4510</v>
      </c>
      <c r="X2657" t="s">
        <v>58</v>
      </c>
      <c r="Y2657">
        <v>21</v>
      </c>
      <c r="Z2657" t="s">
        <v>59</v>
      </c>
      <c r="AA2657" t="s">
        <v>59</v>
      </c>
      <c r="AB2657" t="s">
        <v>59</v>
      </c>
      <c r="AC2657" t="s">
        <v>59</v>
      </c>
      <c r="AD2657" t="s">
        <v>59</v>
      </c>
      <c r="AF2657" s="1">
        <v>40043</v>
      </c>
      <c r="AG2657" t="s">
        <v>125</v>
      </c>
      <c r="AH2657" t="s">
        <v>126</v>
      </c>
      <c r="AI2657" t="str">
        <f>"3201020"</f>
        <v>3201020</v>
      </c>
      <c r="AJ2657" t="s">
        <v>4511</v>
      </c>
      <c r="AK2657">
        <v>2841024586</v>
      </c>
      <c r="AL2657" t="s">
        <v>4512</v>
      </c>
      <c r="AM2657" t="s">
        <v>4513</v>
      </c>
      <c r="AN2657" t="s">
        <v>4514</v>
      </c>
      <c r="AO2657" t="s">
        <v>4514</v>
      </c>
      <c r="AP2657" t="s">
        <v>4514</v>
      </c>
      <c r="AQ2657">
        <v>1</v>
      </c>
      <c r="AR2657" t="s">
        <v>4509</v>
      </c>
      <c r="AS2657" t="s">
        <v>4510</v>
      </c>
      <c r="AT2657" t="s">
        <v>58</v>
      </c>
      <c r="AU2657" t="s">
        <v>68</v>
      </c>
      <c r="AV2657" t="s">
        <v>69</v>
      </c>
      <c r="AW2657" s="1">
        <v>26792</v>
      </c>
      <c r="AX2657">
        <v>2</v>
      </c>
    </row>
    <row r="2658" spans="1:50">
      <c r="A2658">
        <v>152577</v>
      </c>
      <c r="B2658" t="str">
        <f>"033122437"</f>
        <v>033122437</v>
      </c>
      <c r="C2658" t="s">
        <v>50</v>
      </c>
      <c r="D2658" t="s">
        <v>5393</v>
      </c>
      <c r="E2658" t="s">
        <v>237</v>
      </c>
      <c r="F2658" t="s">
        <v>5394</v>
      </c>
      <c r="G2658" t="s">
        <v>396</v>
      </c>
      <c r="H2658" t="str">
        <f>"ΚΑΤΣΙΚΙΑ ΑΓΙΟΣ ΝΙΚΟΛΑΟΣ"</f>
        <v>ΚΑΤΣΙΚΙΑ ΑΓΙΟΣ ΝΙΚΟΛΑΟΣ</v>
      </c>
      <c r="I2658">
        <v>72100</v>
      </c>
      <c r="J2658">
        <v>2841082776</v>
      </c>
      <c r="K2658">
        <v>6978196858</v>
      </c>
      <c r="M2658" t="s">
        <v>5395</v>
      </c>
      <c r="N2658" t="s">
        <v>306</v>
      </c>
      <c r="O2658" t="s">
        <v>307</v>
      </c>
      <c r="R2658" t="s">
        <v>57</v>
      </c>
      <c r="S2658">
        <v>15</v>
      </c>
      <c r="T2658">
        <v>193</v>
      </c>
      <c r="U2658" s="1">
        <v>32042</v>
      </c>
      <c r="V2658" t="s">
        <v>4509</v>
      </c>
      <c r="W2658" t="s">
        <v>4510</v>
      </c>
      <c r="X2658" t="s">
        <v>58</v>
      </c>
      <c r="Y2658">
        <v>18</v>
      </c>
      <c r="Z2658" t="s">
        <v>59</v>
      </c>
      <c r="AA2658" t="s">
        <v>59</v>
      </c>
      <c r="AB2658" t="s">
        <v>59</v>
      </c>
      <c r="AC2658" t="s">
        <v>59</v>
      </c>
      <c r="AD2658" t="s">
        <v>59</v>
      </c>
      <c r="AF2658" s="1">
        <v>32043</v>
      </c>
      <c r="AG2658" t="s">
        <v>125</v>
      </c>
      <c r="AH2658" t="s">
        <v>126</v>
      </c>
      <c r="AI2658" t="str">
        <f>"3201020"</f>
        <v>3201020</v>
      </c>
      <c r="AJ2658" t="s">
        <v>4511</v>
      </c>
      <c r="AK2658">
        <v>2841024586</v>
      </c>
      <c r="AL2658" t="s">
        <v>4512</v>
      </c>
      <c r="AM2658" t="s">
        <v>4513</v>
      </c>
      <c r="AN2658" t="s">
        <v>4514</v>
      </c>
      <c r="AO2658" t="s">
        <v>4514</v>
      </c>
      <c r="AP2658" t="s">
        <v>4514</v>
      </c>
      <c r="AQ2658">
        <v>1</v>
      </c>
      <c r="AR2658" t="s">
        <v>4509</v>
      </c>
      <c r="AS2658" t="s">
        <v>4510</v>
      </c>
      <c r="AT2658" t="s">
        <v>58</v>
      </c>
      <c r="AU2658" t="s">
        <v>68</v>
      </c>
      <c r="AV2658" t="s">
        <v>69</v>
      </c>
      <c r="AW2658" s="1">
        <v>20815</v>
      </c>
      <c r="AX2658">
        <v>2</v>
      </c>
    </row>
    <row r="2659" spans="1:50">
      <c r="A2659">
        <v>214202</v>
      </c>
      <c r="B2659" t="str">
        <f>"073569451"</f>
        <v>073569451</v>
      </c>
      <c r="C2659" t="s">
        <v>50</v>
      </c>
      <c r="D2659" t="s">
        <v>5396</v>
      </c>
      <c r="E2659" t="s">
        <v>964</v>
      </c>
      <c r="F2659" t="s">
        <v>5397</v>
      </c>
      <c r="G2659" t="s">
        <v>4455</v>
      </c>
      <c r="H2659" t="str">
        <f>" "</f>
        <v xml:space="preserve"> </v>
      </c>
      <c r="J2659">
        <v>2103635442</v>
      </c>
      <c r="K2659">
        <v>6947038083</v>
      </c>
      <c r="L2659">
        <v>2103635688</v>
      </c>
      <c r="M2659" t="s">
        <v>5398</v>
      </c>
      <c r="N2659" t="s">
        <v>683</v>
      </c>
      <c r="O2659" t="s">
        <v>684</v>
      </c>
      <c r="R2659" t="s">
        <v>57</v>
      </c>
      <c r="S2659">
        <v>7</v>
      </c>
      <c r="T2659">
        <v>231</v>
      </c>
      <c r="U2659" s="1">
        <v>38960</v>
      </c>
      <c r="V2659" t="s">
        <v>4509</v>
      </c>
      <c r="W2659" t="s">
        <v>4510</v>
      </c>
      <c r="X2659" t="s">
        <v>58</v>
      </c>
      <c r="Y2659">
        <v>21</v>
      </c>
      <c r="Z2659" t="s">
        <v>59</v>
      </c>
      <c r="AA2659" t="s">
        <v>59</v>
      </c>
      <c r="AB2659" t="s">
        <v>59</v>
      </c>
      <c r="AC2659" t="s">
        <v>59</v>
      </c>
      <c r="AD2659" t="s">
        <v>59</v>
      </c>
      <c r="AF2659" s="1">
        <v>38961</v>
      </c>
      <c r="AG2659" t="s">
        <v>125</v>
      </c>
      <c r="AH2659" t="s">
        <v>126</v>
      </c>
      <c r="AI2659" t="str">
        <f>"3201010"</f>
        <v>3201010</v>
      </c>
      <c r="AJ2659" t="s">
        <v>4596</v>
      </c>
      <c r="AK2659">
        <v>2841022301</v>
      </c>
      <c r="AL2659" t="s">
        <v>4597</v>
      </c>
      <c r="AM2659" t="s">
        <v>4513</v>
      </c>
      <c r="AN2659" t="s">
        <v>4514</v>
      </c>
      <c r="AO2659" t="s">
        <v>4514</v>
      </c>
      <c r="AP2659" t="s">
        <v>4514</v>
      </c>
      <c r="AQ2659">
        <v>1</v>
      </c>
      <c r="AR2659" t="s">
        <v>4509</v>
      </c>
      <c r="AS2659" t="s">
        <v>4510</v>
      </c>
      <c r="AT2659" t="s">
        <v>58</v>
      </c>
      <c r="AU2659" t="s">
        <v>68</v>
      </c>
      <c r="AV2659" t="s">
        <v>69</v>
      </c>
      <c r="AW2659" s="1">
        <v>27940</v>
      </c>
      <c r="AX2659">
        <v>2</v>
      </c>
    </row>
    <row r="2660" spans="1:50">
      <c r="A2660">
        <v>701886</v>
      </c>
      <c r="B2660" t="str">
        <f>"122057577"</f>
        <v>122057577</v>
      </c>
      <c r="C2660" t="s">
        <v>50</v>
      </c>
      <c r="D2660" t="s">
        <v>5399</v>
      </c>
      <c r="E2660" t="s">
        <v>250</v>
      </c>
      <c r="F2660" t="s">
        <v>99</v>
      </c>
      <c r="G2660" t="s">
        <v>4729</v>
      </c>
      <c r="H2660" t="str">
        <f>"ΚΩΝ/ΝΟΥ ΠΑΛΑΙΟΛΟΓΟΥ 13 ΚΟΖΑΝΗ"</f>
        <v>ΚΩΝ/ΝΟΥ ΠΑΛΑΙΟΛΟΓΟΥ 13 ΚΟΖΑΝΗ</v>
      </c>
      <c r="I2660">
        <v>50100</v>
      </c>
      <c r="J2660">
        <v>2461503124</v>
      </c>
      <c r="K2660">
        <v>6947598924</v>
      </c>
      <c r="M2660" t="s">
        <v>5400</v>
      </c>
      <c r="N2660" t="s">
        <v>146</v>
      </c>
      <c r="O2660" t="s">
        <v>147</v>
      </c>
      <c r="R2660" t="s">
        <v>57</v>
      </c>
      <c r="S2660">
        <v>4</v>
      </c>
      <c r="T2660">
        <v>772</v>
      </c>
      <c r="U2660" s="1">
        <v>40413</v>
      </c>
      <c r="V2660" t="s">
        <v>4509</v>
      </c>
      <c r="W2660" t="s">
        <v>4510</v>
      </c>
      <c r="X2660" t="s">
        <v>58</v>
      </c>
      <c r="Y2660">
        <v>21</v>
      </c>
      <c r="Z2660" t="s">
        <v>59</v>
      </c>
      <c r="AA2660" t="s">
        <v>59</v>
      </c>
      <c r="AB2660" t="s">
        <v>59</v>
      </c>
      <c r="AC2660" t="s">
        <v>59</v>
      </c>
      <c r="AD2660" t="s">
        <v>59</v>
      </c>
      <c r="AF2660" s="1">
        <v>40413</v>
      </c>
      <c r="AG2660" t="s">
        <v>125</v>
      </c>
      <c r="AH2660" t="s">
        <v>126</v>
      </c>
      <c r="AI2660" t="str">
        <f>"3210015"</f>
        <v>3210015</v>
      </c>
      <c r="AJ2660" t="s">
        <v>4875</v>
      </c>
      <c r="AK2660">
        <v>2843051800</v>
      </c>
      <c r="AL2660" t="s">
        <v>4876</v>
      </c>
      <c r="AM2660" t="s">
        <v>4513</v>
      </c>
      <c r="AN2660" t="s">
        <v>4519</v>
      </c>
      <c r="AO2660" t="s">
        <v>4766</v>
      </c>
      <c r="AP2660" t="s">
        <v>4767</v>
      </c>
      <c r="AQ2660">
        <v>5</v>
      </c>
      <c r="AR2660" t="s">
        <v>4509</v>
      </c>
      <c r="AS2660" t="s">
        <v>4510</v>
      </c>
      <c r="AT2660" t="s">
        <v>58</v>
      </c>
      <c r="AU2660" t="s">
        <v>68</v>
      </c>
      <c r="AV2660" t="s">
        <v>69</v>
      </c>
      <c r="AW2660" s="1">
        <v>29419</v>
      </c>
      <c r="AX2660">
        <v>2</v>
      </c>
    </row>
    <row r="2661" spans="1:50">
      <c r="A2661">
        <v>154075</v>
      </c>
      <c r="B2661" t="str">
        <f>"029615063"</f>
        <v>029615063</v>
      </c>
      <c r="C2661" t="s">
        <v>50</v>
      </c>
      <c r="D2661" t="s">
        <v>5401</v>
      </c>
      <c r="E2661" t="s">
        <v>52</v>
      </c>
      <c r="F2661" t="s">
        <v>72</v>
      </c>
      <c r="G2661" t="s">
        <v>5402</v>
      </c>
      <c r="H2661" t="str">
        <f>" "</f>
        <v xml:space="preserve"> </v>
      </c>
      <c r="M2661" t="s">
        <v>5403</v>
      </c>
      <c r="N2661" t="s">
        <v>146</v>
      </c>
      <c r="O2661" t="s">
        <v>147</v>
      </c>
      <c r="R2661" t="s">
        <v>57</v>
      </c>
      <c r="S2661">
        <v>15</v>
      </c>
      <c r="T2661">
        <v>161</v>
      </c>
      <c r="U2661" s="1">
        <v>32387</v>
      </c>
      <c r="V2661" t="s">
        <v>4509</v>
      </c>
      <c r="W2661" t="s">
        <v>4510</v>
      </c>
      <c r="X2661" t="s">
        <v>58</v>
      </c>
      <c r="Y2661">
        <v>18</v>
      </c>
      <c r="Z2661" t="s">
        <v>59</v>
      </c>
      <c r="AA2661" t="s">
        <v>59</v>
      </c>
      <c r="AB2661" t="s">
        <v>59</v>
      </c>
      <c r="AC2661" t="s">
        <v>59</v>
      </c>
      <c r="AD2661" t="s">
        <v>59</v>
      </c>
      <c r="AF2661" s="1">
        <v>32387</v>
      </c>
      <c r="AG2661" t="s">
        <v>148</v>
      </c>
      <c r="AH2661" t="s">
        <v>149</v>
      </c>
      <c r="AI2661" t="str">
        <f>"3251001"</f>
        <v>3251001</v>
      </c>
      <c r="AJ2661" t="s">
        <v>4535</v>
      </c>
      <c r="AK2661">
        <v>2841082544</v>
      </c>
      <c r="AL2661" t="s">
        <v>4536</v>
      </c>
      <c r="AM2661" t="s">
        <v>4513</v>
      </c>
      <c r="AN2661" t="s">
        <v>4514</v>
      </c>
      <c r="AO2661" t="s">
        <v>4514</v>
      </c>
      <c r="AP2661" t="s">
        <v>4514</v>
      </c>
      <c r="AQ2661">
        <v>1</v>
      </c>
      <c r="AR2661" t="s">
        <v>4509</v>
      </c>
      <c r="AS2661" t="s">
        <v>4510</v>
      </c>
      <c r="AT2661" t="s">
        <v>58</v>
      </c>
      <c r="AU2661" t="s">
        <v>68</v>
      </c>
      <c r="AV2661" t="s">
        <v>69</v>
      </c>
      <c r="AW2661" s="1">
        <v>21900</v>
      </c>
      <c r="AX2661">
        <v>2</v>
      </c>
    </row>
    <row r="2662" spans="1:50">
      <c r="A2662">
        <v>198272</v>
      </c>
      <c r="B2662" t="str">
        <f>"105738084"</f>
        <v>105738084</v>
      </c>
      <c r="C2662" t="s">
        <v>105</v>
      </c>
      <c r="D2662" t="s">
        <v>5404</v>
      </c>
      <c r="E2662" t="s">
        <v>92</v>
      </c>
      <c r="F2662" t="s">
        <v>5405</v>
      </c>
      <c r="G2662" t="s">
        <v>4695</v>
      </c>
      <c r="H2662" t="str">
        <f>" "</f>
        <v xml:space="preserve"> </v>
      </c>
      <c r="J2662">
        <v>2310538570</v>
      </c>
      <c r="K2662">
        <v>6945701630</v>
      </c>
      <c r="M2662" t="s">
        <v>5406</v>
      </c>
      <c r="N2662" t="s">
        <v>246</v>
      </c>
      <c r="O2662" t="s">
        <v>247</v>
      </c>
      <c r="R2662" t="s">
        <v>57</v>
      </c>
      <c r="S2662">
        <v>13</v>
      </c>
      <c r="T2662">
        <v>206</v>
      </c>
      <c r="U2662" s="1">
        <v>37866</v>
      </c>
      <c r="V2662" t="s">
        <v>4509</v>
      </c>
      <c r="W2662" t="s">
        <v>4510</v>
      </c>
      <c r="X2662" t="s">
        <v>58</v>
      </c>
      <c r="Y2662">
        <v>20</v>
      </c>
      <c r="Z2662" t="s">
        <v>59</v>
      </c>
      <c r="AA2662" t="s">
        <v>59</v>
      </c>
      <c r="AB2662" t="s">
        <v>59</v>
      </c>
      <c r="AC2662" t="s">
        <v>59</v>
      </c>
      <c r="AD2662" t="s">
        <v>59</v>
      </c>
      <c r="AF2662" s="1">
        <v>37866</v>
      </c>
      <c r="AG2662" t="s">
        <v>125</v>
      </c>
      <c r="AH2662" t="s">
        <v>126</v>
      </c>
      <c r="AI2662" t="str">
        <f>"3202010"</f>
        <v>3202010</v>
      </c>
      <c r="AJ2662" t="s">
        <v>4517</v>
      </c>
      <c r="AK2662">
        <v>2842028229</v>
      </c>
      <c r="AL2662" t="s">
        <v>4518</v>
      </c>
      <c r="AM2662" t="s">
        <v>4513</v>
      </c>
      <c r="AN2662" t="s">
        <v>4519</v>
      </c>
      <c r="AO2662" t="s">
        <v>4519</v>
      </c>
      <c r="AP2662" t="s">
        <v>4519</v>
      </c>
      <c r="AQ2662">
        <v>4</v>
      </c>
      <c r="AR2662" t="s">
        <v>4509</v>
      </c>
      <c r="AS2662" t="s">
        <v>4510</v>
      </c>
      <c r="AT2662" t="s">
        <v>58</v>
      </c>
      <c r="AU2662" t="s">
        <v>68</v>
      </c>
      <c r="AV2662" t="s">
        <v>69</v>
      </c>
      <c r="AW2662" s="1">
        <v>24225</v>
      </c>
      <c r="AX2662">
        <v>2</v>
      </c>
    </row>
    <row r="2663" spans="1:50">
      <c r="A2663">
        <v>205545</v>
      </c>
      <c r="B2663" t="str">
        <f>"135213844"</f>
        <v>135213844</v>
      </c>
      <c r="C2663" t="s">
        <v>50</v>
      </c>
      <c r="D2663" t="s">
        <v>5407</v>
      </c>
      <c r="E2663" t="s">
        <v>1755</v>
      </c>
      <c r="F2663" t="s">
        <v>315</v>
      </c>
      <c r="G2663" t="s">
        <v>382</v>
      </c>
      <c r="H2663" t="str">
        <f>" "</f>
        <v xml:space="preserve"> </v>
      </c>
      <c r="J2663">
        <v>2821028175</v>
      </c>
      <c r="M2663" t="s">
        <v>5408</v>
      </c>
      <c r="N2663" t="s">
        <v>204</v>
      </c>
      <c r="O2663" t="s">
        <v>205</v>
      </c>
      <c r="P2663" t="s">
        <v>282</v>
      </c>
      <c r="Q2663" t="s">
        <v>283</v>
      </c>
      <c r="R2663" t="s">
        <v>57</v>
      </c>
      <c r="S2663">
        <v>7</v>
      </c>
      <c r="T2663">
        <v>231</v>
      </c>
      <c r="U2663" s="1">
        <v>38230</v>
      </c>
      <c r="V2663" t="s">
        <v>4509</v>
      </c>
      <c r="W2663" t="s">
        <v>4510</v>
      </c>
      <c r="X2663" t="s">
        <v>58</v>
      </c>
      <c r="Y2663">
        <v>20</v>
      </c>
      <c r="Z2663" t="s">
        <v>59</v>
      </c>
      <c r="AA2663" t="s">
        <v>59</v>
      </c>
      <c r="AB2663" t="s">
        <v>59</v>
      </c>
      <c r="AC2663" t="s">
        <v>59</v>
      </c>
      <c r="AD2663" t="s">
        <v>59</v>
      </c>
      <c r="AF2663" s="1">
        <v>38231</v>
      </c>
      <c r="AG2663" t="s">
        <v>137</v>
      </c>
      <c r="AH2663" t="s">
        <v>138</v>
      </c>
      <c r="AI2663" t="str">
        <f>"3240120"</f>
        <v>3240120</v>
      </c>
      <c r="AJ2663" t="s">
        <v>4552</v>
      </c>
      <c r="AK2663">
        <v>2842028667</v>
      </c>
      <c r="AL2663" t="s">
        <v>4553</v>
      </c>
      <c r="AM2663" t="s">
        <v>4513</v>
      </c>
      <c r="AN2663" t="s">
        <v>4519</v>
      </c>
      <c r="AO2663" t="s">
        <v>4519</v>
      </c>
      <c r="AP2663" t="s">
        <v>4519</v>
      </c>
      <c r="AQ2663">
        <v>4</v>
      </c>
      <c r="AR2663" t="s">
        <v>4509</v>
      </c>
      <c r="AS2663" t="s">
        <v>4510</v>
      </c>
      <c r="AT2663" t="s">
        <v>58</v>
      </c>
      <c r="AU2663" t="s">
        <v>68</v>
      </c>
      <c r="AV2663" t="s">
        <v>69</v>
      </c>
      <c r="AW2663" s="1">
        <v>29668</v>
      </c>
      <c r="AX2663">
        <v>2</v>
      </c>
    </row>
    <row r="2664" spans="1:50">
      <c r="A2664">
        <v>703900</v>
      </c>
      <c r="B2664" t="str">
        <f>"108202326"</f>
        <v>108202326</v>
      </c>
      <c r="C2664" t="s">
        <v>50</v>
      </c>
      <c r="D2664" t="s">
        <v>5409</v>
      </c>
      <c r="E2664" t="s">
        <v>73</v>
      </c>
      <c r="F2664" t="s">
        <v>5410</v>
      </c>
      <c r="G2664" t="s">
        <v>52</v>
      </c>
      <c r="H2664" t="str">
        <f>"ΛΕΟΝΑΡΔΟΠΟΥΛΟΥ 15 ΚΙΛΚΙΣ"</f>
        <v>ΛΕΟΝΑΡΔΟΠΟΥΛΟΥ 15 ΚΙΛΚΙΣ</v>
      </c>
      <c r="I2664">
        <v>61100</v>
      </c>
      <c r="J2664">
        <v>2341026829</v>
      </c>
      <c r="K2664">
        <v>6944126796</v>
      </c>
      <c r="M2664" t="s">
        <v>5411</v>
      </c>
      <c r="N2664" t="s">
        <v>331</v>
      </c>
      <c r="O2664" t="s">
        <v>332</v>
      </c>
      <c r="R2664" t="s">
        <v>57</v>
      </c>
      <c r="S2664">
        <v>3</v>
      </c>
      <c r="T2664">
        <v>1170</v>
      </c>
      <c r="U2664" s="1">
        <v>41880</v>
      </c>
      <c r="V2664" t="s">
        <v>4509</v>
      </c>
      <c r="W2664" t="s">
        <v>4510</v>
      </c>
      <c r="X2664" t="s">
        <v>58</v>
      </c>
      <c r="Y2664">
        <v>21</v>
      </c>
      <c r="Z2664" t="s">
        <v>59</v>
      </c>
      <c r="AA2664" t="s">
        <v>59</v>
      </c>
      <c r="AB2664" t="s">
        <v>59</v>
      </c>
      <c r="AC2664" t="s">
        <v>59</v>
      </c>
      <c r="AD2664" t="s">
        <v>59</v>
      </c>
      <c r="AF2664" s="1">
        <v>41880</v>
      </c>
      <c r="AG2664" t="s">
        <v>137</v>
      </c>
      <c r="AH2664" t="s">
        <v>138</v>
      </c>
      <c r="AI2664" t="str">
        <f>"3240070"</f>
        <v>3240070</v>
      </c>
      <c r="AJ2664" t="s">
        <v>4582</v>
      </c>
      <c r="AK2664">
        <v>2841032545</v>
      </c>
      <c r="AL2664" t="s">
        <v>4583</v>
      </c>
      <c r="AM2664" t="s">
        <v>4513</v>
      </c>
      <c r="AN2664" t="s">
        <v>4514</v>
      </c>
      <c r="AO2664" t="s">
        <v>4524</v>
      </c>
      <c r="AP2664" t="s">
        <v>4525</v>
      </c>
      <c r="AQ2664">
        <v>3</v>
      </c>
      <c r="AR2664" t="s">
        <v>4509</v>
      </c>
      <c r="AS2664" t="s">
        <v>4510</v>
      </c>
      <c r="AT2664" t="s">
        <v>58</v>
      </c>
      <c r="AU2664" t="s">
        <v>68</v>
      </c>
      <c r="AV2664" t="s">
        <v>69</v>
      </c>
      <c r="AW2664" s="1">
        <v>27395</v>
      </c>
      <c r="AX2664">
        <v>2</v>
      </c>
    </row>
    <row r="2665" spans="1:50">
      <c r="A2665">
        <v>703097</v>
      </c>
      <c r="B2665" t="str">
        <f>"069005300"</f>
        <v>069005300</v>
      </c>
      <c r="C2665" t="s">
        <v>50</v>
      </c>
      <c r="D2665" t="s">
        <v>5412</v>
      </c>
      <c r="E2665" t="s">
        <v>314</v>
      </c>
      <c r="F2665" t="s">
        <v>106</v>
      </c>
      <c r="G2665" t="s">
        <v>5413</v>
      </c>
      <c r="H2665" t="str">
        <f>"ΑΓΓΕΛΟΥ ΓΚΙΝΗ 15 ΑΘΗΝΑ"</f>
        <v>ΑΓΓΕΛΟΥ ΓΚΙΝΗ 15 ΑΘΗΝΑ</v>
      </c>
      <c r="I2665">
        <v>11525</v>
      </c>
      <c r="J2665">
        <v>2106717214</v>
      </c>
      <c r="K2665">
        <v>6944862294</v>
      </c>
      <c r="M2665" t="s">
        <v>5414</v>
      </c>
      <c r="N2665" t="s">
        <v>478</v>
      </c>
      <c r="O2665" t="s">
        <v>479</v>
      </c>
      <c r="R2665" t="s">
        <v>57</v>
      </c>
      <c r="S2665">
        <v>3</v>
      </c>
      <c r="T2665">
        <v>588</v>
      </c>
      <c r="U2665" s="1">
        <v>40778</v>
      </c>
      <c r="V2665" t="s">
        <v>4509</v>
      </c>
      <c r="W2665" t="s">
        <v>4510</v>
      </c>
      <c r="X2665" t="s">
        <v>58</v>
      </c>
      <c r="Y2665">
        <v>21</v>
      </c>
      <c r="Z2665" t="s">
        <v>59</v>
      </c>
      <c r="AA2665" t="s">
        <v>59</v>
      </c>
      <c r="AB2665" t="s">
        <v>59</v>
      </c>
      <c r="AC2665" t="s">
        <v>59</v>
      </c>
      <c r="AD2665" t="s">
        <v>59</v>
      </c>
      <c r="AF2665" s="1">
        <v>40781</v>
      </c>
      <c r="AG2665" t="s">
        <v>125</v>
      </c>
      <c r="AH2665" t="s">
        <v>126</v>
      </c>
      <c r="AI2665" t="str">
        <f>"3208010"</f>
        <v>3208010</v>
      </c>
      <c r="AJ2665" t="s">
        <v>4820</v>
      </c>
      <c r="AK2665">
        <v>2843094338</v>
      </c>
      <c r="AL2665" t="s">
        <v>4821</v>
      </c>
      <c r="AM2665" t="s">
        <v>4513</v>
      </c>
      <c r="AN2665" t="s">
        <v>4540</v>
      </c>
      <c r="AO2665" t="s">
        <v>4540</v>
      </c>
      <c r="AP2665" t="s">
        <v>4822</v>
      </c>
      <c r="AQ2665">
        <v>6</v>
      </c>
      <c r="AR2665" t="s">
        <v>4509</v>
      </c>
      <c r="AS2665" t="s">
        <v>4510</v>
      </c>
      <c r="AT2665" t="s">
        <v>58</v>
      </c>
      <c r="AU2665" t="s">
        <v>68</v>
      </c>
      <c r="AV2665" t="s">
        <v>132</v>
      </c>
      <c r="AW2665" s="1">
        <v>27729</v>
      </c>
      <c r="AX2665">
        <v>2</v>
      </c>
    </row>
    <row r="2666" spans="1:50">
      <c r="A2666">
        <v>174163</v>
      </c>
      <c r="B2666" t="str">
        <f>"030236080"</f>
        <v>030236080</v>
      </c>
      <c r="C2666" t="s">
        <v>50</v>
      </c>
      <c r="D2666" t="s">
        <v>5415</v>
      </c>
      <c r="E2666" t="s">
        <v>5416</v>
      </c>
      <c r="F2666" t="s">
        <v>106</v>
      </c>
      <c r="G2666" t="s">
        <v>1065</v>
      </c>
      <c r="H2666" t="str">
        <f>" "</f>
        <v xml:space="preserve"> </v>
      </c>
      <c r="J2666">
        <v>2841082919</v>
      </c>
      <c r="K2666">
        <v>6977574643</v>
      </c>
      <c r="M2666" t="s">
        <v>5417</v>
      </c>
      <c r="N2666" t="s">
        <v>288</v>
      </c>
      <c r="O2666" t="s">
        <v>289</v>
      </c>
      <c r="R2666" t="s">
        <v>57</v>
      </c>
      <c r="S2666">
        <v>16</v>
      </c>
      <c r="T2666">
        <v>166</v>
      </c>
      <c r="U2666" s="1">
        <v>35300</v>
      </c>
      <c r="V2666" t="s">
        <v>4509</v>
      </c>
      <c r="W2666" t="s">
        <v>4510</v>
      </c>
      <c r="X2666" t="s">
        <v>58</v>
      </c>
      <c r="Y2666">
        <v>18</v>
      </c>
      <c r="Z2666" t="s">
        <v>59</v>
      </c>
      <c r="AA2666" t="s">
        <v>59</v>
      </c>
      <c r="AB2666" t="s">
        <v>59</v>
      </c>
      <c r="AC2666" t="s">
        <v>59</v>
      </c>
      <c r="AD2666" t="s">
        <v>59</v>
      </c>
      <c r="AF2666" s="1">
        <v>35309</v>
      </c>
      <c r="AG2666" t="s">
        <v>125</v>
      </c>
      <c r="AH2666" t="s">
        <v>126</v>
      </c>
      <c r="AI2666" t="str">
        <f>"3201010"</f>
        <v>3201010</v>
      </c>
      <c r="AJ2666" t="s">
        <v>4596</v>
      </c>
      <c r="AK2666">
        <v>2841022301</v>
      </c>
      <c r="AL2666" t="s">
        <v>4597</v>
      </c>
      <c r="AM2666" t="s">
        <v>4513</v>
      </c>
      <c r="AN2666" t="s">
        <v>4514</v>
      </c>
      <c r="AO2666" t="s">
        <v>4514</v>
      </c>
      <c r="AP2666" t="s">
        <v>4514</v>
      </c>
      <c r="AQ2666">
        <v>1</v>
      </c>
      <c r="AR2666" t="s">
        <v>4509</v>
      </c>
      <c r="AS2666" t="s">
        <v>4510</v>
      </c>
      <c r="AT2666" t="s">
        <v>58</v>
      </c>
      <c r="AU2666" t="s">
        <v>68</v>
      </c>
      <c r="AV2666" t="s">
        <v>69</v>
      </c>
      <c r="AW2666" s="1">
        <v>21852</v>
      </c>
      <c r="AX2666">
        <v>2</v>
      </c>
    </row>
    <row r="2667" spans="1:50">
      <c r="A2667">
        <v>188154</v>
      </c>
      <c r="B2667" t="str">
        <f>"073270938"</f>
        <v>073270938</v>
      </c>
      <c r="C2667" t="s">
        <v>105</v>
      </c>
      <c r="D2667" t="s">
        <v>3661</v>
      </c>
      <c r="E2667" t="s">
        <v>95</v>
      </c>
      <c r="F2667" t="s">
        <v>1357</v>
      </c>
      <c r="G2667" t="s">
        <v>181</v>
      </c>
      <c r="H2667" t="str">
        <f>"ΑΘΑΝΑΣΙΟΥ ΔΙΑΚΟΥ 2 ΑΓΙΟΣ ΝΙΚΟΛΑΟΣ"</f>
        <v>ΑΘΑΝΑΣΙΟΥ ΔΙΑΚΟΥ 2 ΑΓΙΟΣ ΝΙΚΟΛΑΟΣ</v>
      </c>
      <c r="I2667">
        <v>72100</v>
      </c>
      <c r="J2667">
        <v>2841090070</v>
      </c>
      <c r="K2667">
        <v>6974107001</v>
      </c>
      <c r="M2667" t="s">
        <v>5418</v>
      </c>
      <c r="N2667" t="s">
        <v>204</v>
      </c>
      <c r="O2667" t="s">
        <v>205</v>
      </c>
      <c r="R2667" t="s">
        <v>57</v>
      </c>
      <c r="S2667">
        <v>9</v>
      </c>
      <c r="T2667">
        <v>251</v>
      </c>
      <c r="U2667" s="1">
        <v>36769</v>
      </c>
      <c r="V2667" t="s">
        <v>4509</v>
      </c>
      <c r="W2667" t="s">
        <v>4510</v>
      </c>
      <c r="X2667" t="s">
        <v>58</v>
      </c>
      <c r="Y2667">
        <v>20</v>
      </c>
      <c r="Z2667" t="s">
        <v>59</v>
      </c>
      <c r="AA2667" t="s">
        <v>59</v>
      </c>
      <c r="AB2667" t="s">
        <v>59</v>
      </c>
      <c r="AC2667" t="s">
        <v>59</v>
      </c>
      <c r="AD2667" t="s">
        <v>59</v>
      </c>
      <c r="AF2667" s="1">
        <v>36770</v>
      </c>
      <c r="AG2667" t="s">
        <v>148</v>
      </c>
      <c r="AH2667" t="s">
        <v>149</v>
      </c>
      <c r="AI2667" t="str">
        <f>"3251001"</f>
        <v>3251001</v>
      </c>
      <c r="AJ2667" t="s">
        <v>4535</v>
      </c>
      <c r="AK2667">
        <v>2841082544</v>
      </c>
      <c r="AL2667" t="s">
        <v>4536</v>
      </c>
      <c r="AM2667" t="s">
        <v>4513</v>
      </c>
      <c r="AN2667" t="s">
        <v>4514</v>
      </c>
      <c r="AO2667" t="s">
        <v>4514</v>
      </c>
      <c r="AP2667" t="s">
        <v>4514</v>
      </c>
      <c r="AQ2667">
        <v>1</v>
      </c>
      <c r="AR2667" t="s">
        <v>4509</v>
      </c>
      <c r="AS2667" t="s">
        <v>4510</v>
      </c>
      <c r="AT2667" t="s">
        <v>58</v>
      </c>
      <c r="AU2667" t="s">
        <v>68</v>
      </c>
      <c r="AV2667" t="s">
        <v>69</v>
      </c>
      <c r="AW2667" s="1">
        <v>25977</v>
      </c>
      <c r="AX2667">
        <v>2</v>
      </c>
    </row>
    <row r="2668" spans="1:50">
      <c r="A2668">
        <v>192814</v>
      </c>
      <c r="B2668" t="str">
        <f>"041558558"</f>
        <v>041558558</v>
      </c>
      <c r="C2668" t="s">
        <v>50</v>
      </c>
      <c r="D2668" t="s">
        <v>5419</v>
      </c>
      <c r="E2668" t="s">
        <v>215</v>
      </c>
      <c r="F2668" t="s">
        <v>383</v>
      </c>
      <c r="G2668" t="s">
        <v>52</v>
      </c>
      <c r="H2668" t="str">
        <f>"ΕΝΑΝΤΙ ΚΟΛΥΜΒΗΤΗΡΙΟΥ ΑΓΙΟΣ ΝΙΚΟΛΑΟΣ"</f>
        <v>ΕΝΑΝΤΙ ΚΟΛΥΜΒΗΤΗΡΙΟΥ ΑΓΙΟΣ ΝΙΚΟΛΑΟΣ</v>
      </c>
      <c r="I2668">
        <v>72100</v>
      </c>
      <c r="J2668">
        <v>2841026895</v>
      </c>
      <c r="K2668">
        <v>6972691181</v>
      </c>
      <c r="M2668" t="s">
        <v>5420</v>
      </c>
      <c r="N2668" t="s">
        <v>157</v>
      </c>
      <c r="O2668" t="s">
        <v>158</v>
      </c>
      <c r="P2668" t="s">
        <v>74</v>
      </c>
      <c r="Q2668" t="s">
        <v>75</v>
      </c>
      <c r="R2668" t="s">
        <v>57</v>
      </c>
      <c r="S2668">
        <v>8</v>
      </c>
      <c r="T2668">
        <v>193</v>
      </c>
      <c r="U2668" s="1">
        <v>37497</v>
      </c>
      <c r="V2668" t="s">
        <v>4509</v>
      </c>
      <c r="W2668" t="s">
        <v>4510</v>
      </c>
      <c r="X2668" t="s">
        <v>58</v>
      </c>
      <c r="Y2668">
        <v>20</v>
      </c>
      <c r="Z2668" t="s">
        <v>59</v>
      </c>
      <c r="AA2668" t="s">
        <v>59</v>
      </c>
      <c r="AB2668" t="s">
        <v>59</v>
      </c>
      <c r="AC2668" t="s">
        <v>59</v>
      </c>
      <c r="AD2668" t="s">
        <v>59</v>
      </c>
      <c r="AF2668" s="1">
        <v>37500</v>
      </c>
      <c r="AG2668" t="s">
        <v>125</v>
      </c>
      <c r="AH2668" t="s">
        <v>126</v>
      </c>
      <c r="AI2668" t="str">
        <f>"3203010"</f>
        <v>3203010</v>
      </c>
      <c r="AJ2668" t="s">
        <v>4522</v>
      </c>
      <c r="AK2668">
        <v>2841034140</v>
      </c>
      <c r="AL2668" t="s">
        <v>4523</v>
      </c>
      <c r="AM2668" t="s">
        <v>4513</v>
      </c>
      <c r="AN2668" t="s">
        <v>4514</v>
      </c>
      <c r="AO2668" t="s">
        <v>4524</v>
      </c>
      <c r="AP2668" t="s">
        <v>4525</v>
      </c>
      <c r="AQ2668">
        <v>3</v>
      </c>
      <c r="AR2668" t="s">
        <v>4509</v>
      </c>
      <c r="AS2668" t="s">
        <v>4510</v>
      </c>
      <c r="AT2668" t="s">
        <v>58</v>
      </c>
      <c r="AU2668" t="s">
        <v>68</v>
      </c>
      <c r="AV2668" t="s">
        <v>69</v>
      </c>
      <c r="AW2668" s="1">
        <v>24404</v>
      </c>
      <c r="AX2668">
        <v>2</v>
      </c>
    </row>
    <row r="2669" spans="1:50">
      <c r="A2669">
        <v>222584</v>
      </c>
      <c r="B2669" t="str">
        <f>"110348630"</f>
        <v>110348630</v>
      </c>
      <c r="C2669" t="s">
        <v>50</v>
      </c>
      <c r="D2669" t="s">
        <v>5421</v>
      </c>
      <c r="E2669" t="s">
        <v>215</v>
      </c>
      <c r="F2669" t="s">
        <v>53</v>
      </c>
      <c r="G2669" t="s">
        <v>5422</v>
      </c>
      <c r="H2669" t="str">
        <f>" "</f>
        <v xml:space="preserve"> </v>
      </c>
      <c r="J2669">
        <v>2841023525</v>
      </c>
      <c r="K2669">
        <v>6977317598</v>
      </c>
      <c r="M2669" t="s">
        <v>5423</v>
      </c>
      <c r="N2669" t="s">
        <v>146</v>
      </c>
      <c r="O2669" t="s">
        <v>147</v>
      </c>
      <c r="R2669" t="s">
        <v>57</v>
      </c>
      <c r="S2669">
        <v>5</v>
      </c>
      <c r="T2669">
        <v>775</v>
      </c>
      <c r="U2669" s="1">
        <v>39680</v>
      </c>
      <c r="V2669" t="s">
        <v>4509</v>
      </c>
      <c r="W2669" t="s">
        <v>4510</v>
      </c>
      <c r="X2669" t="s">
        <v>58</v>
      </c>
      <c r="Y2669">
        <v>21</v>
      </c>
      <c r="Z2669" t="s">
        <v>59</v>
      </c>
      <c r="AA2669" t="s">
        <v>59</v>
      </c>
      <c r="AB2669" t="s">
        <v>59</v>
      </c>
      <c r="AC2669" t="s">
        <v>59</v>
      </c>
      <c r="AD2669" t="s">
        <v>59</v>
      </c>
      <c r="AF2669" s="1">
        <v>39692</v>
      </c>
      <c r="AG2669" t="s">
        <v>148</v>
      </c>
      <c r="AH2669" t="s">
        <v>149</v>
      </c>
      <c r="AI2669" t="str">
        <f>"3251010"</f>
        <v>3251010</v>
      </c>
      <c r="AJ2669" t="s">
        <v>4646</v>
      </c>
      <c r="AK2669">
        <v>2841023649</v>
      </c>
      <c r="AL2669" t="s">
        <v>4647</v>
      </c>
      <c r="AM2669" t="s">
        <v>4513</v>
      </c>
      <c r="AN2669" t="s">
        <v>4514</v>
      </c>
      <c r="AO2669" t="s">
        <v>4514</v>
      </c>
      <c r="AP2669" t="s">
        <v>4514</v>
      </c>
      <c r="AQ2669">
        <v>1</v>
      </c>
      <c r="AR2669" t="s">
        <v>4509</v>
      </c>
      <c r="AS2669" t="s">
        <v>4510</v>
      </c>
      <c r="AT2669" t="s">
        <v>58</v>
      </c>
      <c r="AU2669" t="s">
        <v>68</v>
      </c>
      <c r="AV2669" t="s">
        <v>69</v>
      </c>
      <c r="AW2669" s="1">
        <v>28613</v>
      </c>
      <c r="AX2669">
        <v>2</v>
      </c>
    </row>
    <row r="2670" spans="1:50">
      <c r="A2670">
        <v>704029</v>
      </c>
      <c r="B2670" t="str">
        <f>"063634294"</f>
        <v>063634294</v>
      </c>
      <c r="C2670" t="s">
        <v>50</v>
      </c>
      <c r="D2670" t="s">
        <v>3665</v>
      </c>
      <c r="E2670" t="s">
        <v>237</v>
      </c>
      <c r="F2670" t="s">
        <v>99</v>
      </c>
      <c r="G2670" t="s">
        <v>396</v>
      </c>
      <c r="H2670" t="str">
        <f>"ΣΩΤ. ΜΕΡΚΟΥΡΗ 50 ΚΑΛΥΒΙΑ ΑΤΤΙΚΗΣ"</f>
        <v>ΣΩΤ. ΜΕΡΚΟΥΡΗ 50 ΚΑΛΥΒΙΑ ΑΤΤΙΚΗΣ</v>
      </c>
      <c r="I2670">
        <v>19010</v>
      </c>
      <c r="J2670">
        <v>2299047962</v>
      </c>
      <c r="K2670">
        <v>6977341308</v>
      </c>
      <c r="N2670" t="s">
        <v>478</v>
      </c>
      <c r="O2670" t="s">
        <v>479</v>
      </c>
      <c r="R2670" t="s">
        <v>57</v>
      </c>
      <c r="S2670">
        <v>4</v>
      </c>
      <c r="T2670" t="s">
        <v>5424</v>
      </c>
      <c r="U2670" s="1">
        <v>40413</v>
      </c>
      <c r="V2670" t="s">
        <v>4509</v>
      </c>
      <c r="W2670" t="s">
        <v>4510</v>
      </c>
      <c r="X2670" t="s">
        <v>58</v>
      </c>
      <c r="Y2670">
        <v>21</v>
      </c>
      <c r="Z2670" t="s">
        <v>59</v>
      </c>
      <c r="AA2670" t="s">
        <v>59</v>
      </c>
      <c r="AB2670" t="s">
        <v>59</v>
      </c>
      <c r="AC2670" t="s">
        <v>59</v>
      </c>
      <c r="AD2670" t="s">
        <v>59</v>
      </c>
      <c r="AF2670" s="1">
        <v>42734</v>
      </c>
      <c r="AG2670" t="s">
        <v>125</v>
      </c>
      <c r="AH2670" t="s">
        <v>126</v>
      </c>
      <c r="AI2670" t="str">
        <f>"3202020"</f>
        <v>3202020</v>
      </c>
      <c r="AJ2670" t="s">
        <v>4576</v>
      </c>
      <c r="AK2670">
        <v>2842022289</v>
      </c>
      <c r="AL2670" t="s">
        <v>4577</v>
      </c>
      <c r="AM2670" t="s">
        <v>4513</v>
      </c>
      <c r="AN2670" t="s">
        <v>4519</v>
      </c>
      <c r="AO2670" t="s">
        <v>4519</v>
      </c>
      <c r="AP2670" t="s">
        <v>4519</v>
      </c>
      <c r="AQ2670">
        <v>4</v>
      </c>
      <c r="AR2670" t="s">
        <v>4509</v>
      </c>
      <c r="AS2670" t="s">
        <v>4510</v>
      </c>
      <c r="AT2670" t="s">
        <v>58</v>
      </c>
      <c r="AU2670" t="s">
        <v>68</v>
      </c>
      <c r="AV2670" t="s">
        <v>132</v>
      </c>
      <c r="AW2670" s="1">
        <v>21114</v>
      </c>
      <c r="AX2670">
        <v>2</v>
      </c>
    </row>
    <row r="2671" spans="1:50">
      <c r="A2671">
        <v>204147</v>
      </c>
      <c r="B2671" t="str">
        <f>"038083838"</f>
        <v>038083838</v>
      </c>
      <c r="C2671" t="s">
        <v>50</v>
      </c>
      <c r="D2671" t="s">
        <v>3667</v>
      </c>
      <c r="E2671" t="s">
        <v>181</v>
      </c>
      <c r="F2671" t="s">
        <v>95</v>
      </c>
      <c r="G2671" t="s">
        <v>4515</v>
      </c>
      <c r="H2671" t="str">
        <f>"ΑΛΥΚΗ ΙΕΡΑΠΕΤΡΑ"</f>
        <v>ΑΛΥΚΗ ΙΕΡΑΠΕΤΡΑ</v>
      </c>
      <c r="I2671">
        <v>72200</v>
      </c>
      <c r="J2671">
        <v>2842024650</v>
      </c>
      <c r="K2671">
        <v>6934668294</v>
      </c>
      <c r="M2671" t="s">
        <v>5425</v>
      </c>
      <c r="N2671" t="s">
        <v>176</v>
      </c>
      <c r="O2671" t="s">
        <v>177</v>
      </c>
      <c r="R2671" t="s">
        <v>57</v>
      </c>
      <c r="S2671">
        <v>8</v>
      </c>
      <c r="T2671">
        <v>231</v>
      </c>
      <c r="U2671" s="1">
        <v>38230</v>
      </c>
      <c r="V2671" t="s">
        <v>4509</v>
      </c>
      <c r="W2671" t="s">
        <v>4510</v>
      </c>
      <c r="X2671" t="s">
        <v>58</v>
      </c>
      <c r="Y2671">
        <v>20</v>
      </c>
      <c r="Z2671" t="s">
        <v>59</v>
      </c>
      <c r="AA2671" t="s">
        <v>59</v>
      </c>
      <c r="AB2671" t="s">
        <v>59</v>
      </c>
      <c r="AC2671" t="s">
        <v>59</v>
      </c>
      <c r="AD2671" t="s">
        <v>59</v>
      </c>
      <c r="AF2671" s="1">
        <v>38231</v>
      </c>
      <c r="AG2671" t="s">
        <v>148</v>
      </c>
      <c r="AH2671" t="s">
        <v>149</v>
      </c>
      <c r="AI2671" t="str">
        <f>"3252010"</f>
        <v>3252010</v>
      </c>
      <c r="AJ2671" t="s">
        <v>4532</v>
      </c>
      <c r="AK2671">
        <v>2842022356</v>
      </c>
      <c r="AL2671" t="s">
        <v>4533</v>
      </c>
      <c r="AM2671" t="s">
        <v>4513</v>
      </c>
      <c r="AN2671" t="s">
        <v>4519</v>
      </c>
      <c r="AO2671" t="s">
        <v>4519</v>
      </c>
      <c r="AP2671" t="s">
        <v>4519</v>
      </c>
      <c r="AQ2671">
        <v>4</v>
      </c>
      <c r="AR2671" t="s">
        <v>4509</v>
      </c>
      <c r="AS2671" t="s">
        <v>4510</v>
      </c>
      <c r="AT2671" t="s">
        <v>58</v>
      </c>
      <c r="AU2671" t="s">
        <v>68</v>
      </c>
      <c r="AV2671" t="s">
        <v>69</v>
      </c>
      <c r="AW2671" s="1">
        <v>24251</v>
      </c>
      <c r="AX2671">
        <v>2</v>
      </c>
    </row>
    <row r="2672" spans="1:50">
      <c r="B2672" t="str">
        <f>"046097369"</f>
        <v>046097369</v>
      </c>
      <c r="C2672" t="s">
        <v>50</v>
      </c>
      <c r="D2672" t="s">
        <v>3672</v>
      </c>
      <c r="E2672" t="s">
        <v>1902</v>
      </c>
      <c r="F2672" t="s">
        <v>99</v>
      </c>
      <c r="G2672" t="s">
        <v>4749</v>
      </c>
      <c r="H2672" t="str">
        <f>"ΚΥΠΡΟΥ 40 ΒΟΛΟΣ"</f>
        <v>ΚΥΠΡΟΥ 40 ΒΟΛΟΣ</v>
      </c>
      <c r="I2672">
        <v>38221</v>
      </c>
      <c r="J2672">
        <v>2421072732</v>
      </c>
      <c r="K2672">
        <v>6946940111</v>
      </c>
      <c r="M2672" t="s">
        <v>5426</v>
      </c>
      <c r="N2672" t="s">
        <v>146</v>
      </c>
      <c r="O2672" t="s">
        <v>147</v>
      </c>
      <c r="R2672" t="s">
        <v>159</v>
      </c>
      <c r="S2672">
        <v>4</v>
      </c>
      <c r="T2672" t="s">
        <v>416</v>
      </c>
      <c r="U2672" s="1">
        <v>43349</v>
      </c>
      <c r="V2672" t="s">
        <v>4509</v>
      </c>
      <c r="W2672" t="s">
        <v>4510</v>
      </c>
      <c r="X2672" t="s">
        <v>58</v>
      </c>
      <c r="Y2672">
        <v>21</v>
      </c>
      <c r="Z2672" t="s">
        <v>59</v>
      </c>
      <c r="AA2672" t="s">
        <v>59</v>
      </c>
      <c r="AB2672" t="s">
        <v>59</v>
      </c>
      <c r="AC2672" t="s">
        <v>59</v>
      </c>
      <c r="AD2672" t="s">
        <v>59</v>
      </c>
      <c r="AF2672" s="1">
        <v>43349</v>
      </c>
      <c r="AG2672" t="s">
        <v>148</v>
      </c>
      <c r="AH2672" t="s">
        <v>149</v>
      </c>
      <c r="AI2672" t="str">
        <f>"3252010"</f>
        <v>3252010</v>
      </c>
      <c r="AJ2672" t="s">
        <v>4532</v>
      </c>
      <c r="AK2672">
        <v>2842022356</v>
      </c>
      <c r="AL2672" t="s">
        <v>4533</v>
      </c>
      <c r="AM2672" t="s">
        <v>4513</v>
      </c>
      <c r="AN2672" t="s">
        <v>4519</v>
      </c>
      <c r="AO2672" t="s">
        <v>4519</v>
      </c>
      <c r="AP2672" t="s">
        <v>4519</v>
      </c>
      <c r="AQ2672">
        <v>4</v>
      </c>
      <c r="AR2672" t="s">
        <v>4509</v>
      </c>
      <c r="AS2672" t="s">
        <v>4510</v>
      </c>
      <c r="AT2672" t="s">
        <v>58</v>
      </c>
      <c r="AU2672" t="s">
        <v>419</v>
      </c>
      <c r="AV2672" t="s">
        <v>132</v>
      </c>
      <c r="AW2672" s="1">
        <v>25429</v>
      </c>
      <c r="AX2672">
        <v>2</v>
      </c>
    </row>
    <row r="2673" spans="1:50">
      <c r="B2673" t="str">
        <f>"061935427"</f>
        <v>061935427</v>
      </c>
      <c r="C2673" t="s">
        <v>105</v>
      </c>
      <c r="D2673" t="s">
        <v>5427</v>
      </c>
      <c r="E2673" t="s">
        <v>84</v>
      </c>
      <c r="F2673" t="s">
        <v>670</v>
      </c>
      <c r="G2673" t="s">
        <v>950</v>
      </c>
      <c r="H2673" t="str">
        <f>"ΑΝΔ. ΠΑΠΑΝΔΡΕΟΥ 81 ΗΡΑΚΛΕΙΟ"</f>
        <v>ΑΝΔ. ΠΑΠΑΝΔΡΕΟΥ 81 ΗΡΑΚΛΕΙΟ</v>
      </c>
      <c r="I2673">
        <v>71414</v>
      </c>
      <c r="J2673">
        <v>2810250507</v>
      </c>
      <c r="K2673">
        <v>6977003357</v>
      </c>
      <c r="M2673" t="s">
        <v>5428</v>
      </c>
      <c r="N2673" t="s">
        <v>282</v>
      </c>
      <c r="O2673" t="s">
        <v>283</v>
      </c>
      <c r="R2673" t="s">
        <v>159</v>
      </c>
      <c r="S2673">
        <v>3</v>
      </c>
      <c r="T2673" t="s">
        <v>574</v>
      </c>
      <c r="U2673" s="1">
        <v>43378</v>
      </c>
      <c r="V2673" t="s">
        <v>4509</v>
      </c>
      <c r="W2673" t="s">
        <v>4510</v>
      </c>
      <c r="X2673" t="s">
        <v>58</v>
      </c>
      <c r="Y2673">
        <v>23</v>
      </c>
      <c r="Z2673" t="s">
        <v>59</v>
      </c>
      <c r="AA2673" t="s">
        <v>59</v>
      </c>
      <c r="AB2673" t="s">
        <v>59</v>
      </c>
      <c r="AC2673" t="s">
        <v>59</v>
      </c>
      <c r="AD2673" t="s">
        <v>59</v>
      </c>
      <c r="AF2673" s="1">
        <v>43381</v>
      </c>
      <c r="AG2673" t="s">
        <v>137</v>
      </c>
      <c r="AH2673" t="s">
        <v>138</v>
      </c>
      <c r="AI2673" t="str">
        <f>"3240077"</f>
        <v>3240077</v>
      </c>
      <c r="AJ2673" t="s">
        <v>4528</v>
      </c>
      <c r="AK2673">
        <v>2841025978</v>
      </c>
      <c r="AL2673" t="s">
        <v>4529</v>
      </c>
      <c r="AM2673" t="s">
        <v>4513</v>
      </c>
      <c r="AN2673" t="s">
        <v>4514</v>
      </c>
      <c r="AO2673" t="s">
        <v>4514</v>
      </c>
      <c r="AP2673" t="s">
        <v>4514</v>
      </c>
      <c r="AQ2673">
        <v>1</v>
      </c>
      <c r="AR2673" t="s">
        <v>4509</v>
      </c>
      <c r="AS2673" t="s">
        <v>4510</v>
      </c>
      <c r="AT2673" t="s">
        <v>58</v>
      </c>
      <c r="AU2673" t="s">
        <v>164</v>
      </c>
      <c r="AV2673" t="s">
        <v>132</v>
      </c>
      <c r="AW2673" s="1">
        <v>26500</v>
      </c>
      <c r="AX2673">
        <v>2</v>
      </c>
    </row>
    <row r="2674" spans="1:50">
      <c r="A2674">
        <v>171516</v>
      </c>
      <c r="B2674" t="str">
        <f>"044089687"</f>
        <v>044089687</v>
      </c>
      <c r="C2674" t="s">
        <v>105</v>
      </c>
      <c r="D2674" t="s">
        <v>5429</v>
      </c>
      <c r="E2674" t="s">
        <v>53</v>
      </c>
      <c r="F2674" t="s">
        <v>304</v>
      </c>
      <c r="G2674" t="s">
        <v>783</v>
      </c>
      <c r="H2674" t="str">
        <f>" "</f>
        <v xml:space="preserve"> </v>
      </c>
      <c r="M2674" t="s">
        <v>5430</v>
      </c>
      <c r="N2674" t="s">
        <v>257</v>
      </c>
      <c r="O2674" t="s">
        <v>258</v>
      </c>
      <c r="R2674" t="s">
        <v>57</v>
      </c>
      <c r="S2674">
        <v>13</v>
      </c>
      <c r="T2674">
        <v>184</v>
      </c>
      <c r="U2674" s="1">
        <v>34941</v>
      </c>
      <c r="V2674" t="s">
        <v>4509</v>
      </c>
      <c r="W2674" t="s">
        <v>4510</v>
      </c>
      <c r="X2674" t="s">
        <v>58</v>
      </c>
      <c r="Y2674">
        <v>18</v>
      </c>
      <c r="Z2674" t="s">
        <v>59</v>
      </c>
      <c r="AA2674" t="s">
        <v>59</v>
      </c>
      <c r="AB2674" t="s">
        <v>59</v>
      </c>
      <c r="AC2674" t="s">
        <v>59</v>
      </c>
      <c r="AD2674" t="s">
        <v>59</v>
      </c>
      <c r="AF2674" s="1">
        <v>34943</v>
      </c>
      <c r="AG2674" t="s">
        <v>148</v>
      </c>
      <c r="AH2674" t="s">
        <v>149</v>
      </c>
      <c r="AI2674" t="str">
        <f>"3252020"</f>
        <v>3252020</v>
      </c>
      <c r="AJ2674" t="s">
        <v>4638</v>
      </c>
      <c r="AK2674">
        <v>2842022379</v>
      </c>
      <c r="AL2674" t="s">
        <v>4639</v>
      </c>
      <c r="AM2674" t="s">
        <v>4513</v>
      </c>
      <c r="AN2674" t="s">
        <v>4519</v>
      </c>
      <c r="AO2674" t="s">
        <v>4519</v>
      </c>
      <c r="AP2674" t="s">
        <v>4519</v>
      </c>
      <c r="AQ2674">
        <v>4</v>
      </c>
      <c r="AR2674" t="s">
        <v>4509</v>
      </c>
      <c r="AS2674" t="s">
        <v>4510</v>
      </c>
      <c r="AT2674" t="s">
        <v>58</v>
      </c>
      <c r="AU2674" t="s">
        <v>68</v>
      </c>
      <c r="AV2674" t="s">
        <v>69</v>
      </c>
      <c r="AW2674" s="1">
        <v>23166</v>
      </c>
      <c r="AX2674">
        <v>2</v>
      </c>
    </row>
    <row r="2675" spans="1:50">
      <c r="A2675">
        <v>158983</v>
      </c>
      <c r="B2675" t="str">
        <f>"110263591"</f>
        <v>110263591</v>
      </c>
      <c r="C2675" t="s">
        <v>50</v>
      </c>
      <c r="D2675" t="s">
        <v>5431</v>
      </c>
      <c r="E2675" t="s">
        <v>600</v>
      </c>
      <c r="F2675" t="s">
        <v>95</v>
      </c>
      <c r="G2675" t="s">
        <v>5432</v>
      </c>
      <c r="H2675" t="str">
        <f>" "</f>
        <v xml:space="preserve"> </v>
      </c>
      <c r="K2675">
        <v>6974793098</v>
      </c>
      <c r="M2675" t="s">
        <v>4518</v>
      </c>
      <c r="N2675" t="s">
        <v>157</v>
      </c>
      <c r="O2675" t="s">
        <v>158</v>
      </c>
      <c r="R2675" t="s">
        <v>57</v>
      </c>
      <c r="S2675">
        <v>13</v>
      </c>
      <c r="T2675">
        <v>161</v>
      </c>
      <c r="U2675" s="1">
        <v>33119</v>
      </c>
      <c r="V2675" t="s">
        <v>4509</v>
      </c>
      <c r="W2675" t="s">
        <v>4510</v>
      </c>
      <c r="X2675" t="s">
        <v>58</v>
      </c>
      <c r="Y2675">
        <v>18</v>
      </c>
      <c r="Z2675" t="s">
        <v>59</v>
      </c>
      <c r="AA2675" t="s">
        <v>59</v>
      </c>
      <c r="AB2675" t="s">
        <v>59</v>
      </c>
      <c r="AC2675" t="s">
        <v>59</v>
      </c>
      <c r="AD2675" t="s">
        <v>59</v>
      </c>
      <c r="AF2675" s="1">
        <v>33120</v>
      </c>
      <c r="AG2675" t="s">
        <v>125</v>
      </c>
      <c r="AH2675" t="s">
        <v>126</v>
      </c>
      <c r="AI2675" t="str">
        <f>"3202010"</f>
        <v>3202010</v>
      </c>
      <c r="AJ2675" t="s">
        <v>4517</v>
      </c>
      <c r="AK2675">
        <v>2842028229</v>
      </c>
      <c r="AL2675" t="s">
        <v>4518</v>
      </c>
      <c r="AM2675" t="s">
        <v>4513</v>
      </c>
      <c r="AN2675" t="s">
        <v>4519</v>
      </c>
      <c r="AO2675" t="s">
        <v>4519</v>
      </c>
      <c r="AP2675" t="s">
        <v>4519</v>
      </c>
      <c r="AQ2675">
        <v>4</v>
      </c>
      <c r="AR2675" t="s">
        <v>4509</v>
      </c>
      <c r="AS2675" t="s">
        <v>4510</v>
      </c>
      <c r="AT2675" t="s">
        <v>58</v>
      </c>
      <c r="AU2675" t="s">
        <v>68</v>
      </c>
      <c r="AV2675" t="s">
        <v>69</v>
      </c>
      <c r="AW2675" s="1">
        <v>22855</v>
      </c>
      <c r="AX2675">
        <v>2</v>
      </c>
    </row>
    <row r="2676" spans="1:50">
      <c r="B2676" t="str">
        <f>"123224394"</f>
        <v>123224394</v>
      </c>
      <c r="C2676" t="s">
        <v>105</v>
      </c>
      <c r="D2676" t="s">
        <v>5433</v>
      </c>
      <c r="E2676" t="s">
        <v>408</v>
      </c>
      <c r="F2676" t="s">
        <v>5434</v>
      </c>
      <c r="G2676" t="s">
        <v>83</v>
      </c>
      <c r="H2676" t="str">
        <f>"ΑΛΕΞΑΝΔΡΟΥ ΠΑΠΑΓΟΥ 2 ΚΑΤΕΡΙΝΗ"</f>
        <v>ΑΛΕΞΑΝΔΡΟΥ ΠΑΠΑΓΟΥ 2 ΚΑΤΕΡΙΝΗ</v>
      </c>
      <c r="I2676">
        <v>60100</v>
      </c>
      <c r="J2676">
        <v>2351031954</v>
      </c>
      <c r="K2676">
        <v>6997276606</v>
      </c>
      <c r="N2676" t="s">
        <v>1514</v>
      </c>
      <c r="O2676" t="s">
        <v>1515</v>
      </c>
      <c r="R2676" t="s">
        <v>121</v>
      </c>
      <c r="S2676">
        <v>1</v>
      </c>
      <c r="T2676" t="s">
        <v>344</v>
      </c>
      <c r="U2676" s="1">
        <v>43348</v>
      </c>
      <c r="V2676" t="s">
        <v>4509</v>
      </c>
      <c r="W2676" t="s">
        <v>4510</v>
      </c>
      <c r="X2676" t="s">
        <v>58</v>
      </c>
      <c r="Y2676">
        <v>23</v>
      </c>
      <c r="Z2676" t="s">
        <v>59</v>
      </c>
      <c r="AA2676" t="s">
        <v>59</v>
      </c>
      <c r="AB2676" t="s">
        <v>59</v>
      </c>
      <c r="AC2676" t="s">
        <v>59</v>
      </c>
      <c r="AD2676" t="s">
        <v>59</v>
      </c>
      <c r="AF2676" s="1">
        <v>43348</v>
      </c>
      <c r="AG2676" t="s">
        <v>345</v>
      </c>
      <c r="AH2676" t="s">
        <v>346</v>
      </c>
      <c r="AI2676" t="str">
        <f>"3241001"</f>
        <v>3241001</v>
      </c>
      <c r="AJ2676" t="s">
        <v>4613</v>
      </c>
      <c r="AK2676">
        <v>2842026374</v>
      </c>
      <c r="AL2676" t="s">
        <v>4614</v>
      </c>
      <c r="AM2676" t="s">
        <v>4513</v>
      </c>
      <c r="AN2676" t="s">
        <v>4519</v>
      </c>
      <c r="AO2676" t="s">
        <v>4519</v>
      </c>
      <c r="AP2676" t="s">
        <v>4519</v>
      </c>
      <c r="AQ2676">
        <v>4</v>
      </c>
      <c r="AR2676" t="s">
        <v>4509</v>
      </c>
      <c r="AS2676" t="s">
        <v>4510</v>
      </c>
      <c r="AT2676" t="s">
        <v>58</v>
      </c>
      <c r="AU2676" t="s">
        <v>350</v>
      </c>
      <c r="AV2676" t="s">
        <v>132</v>
      </c>
      <c r="AW2676" s="1">
        <v>28404</v>
      </c>
      <c r="AX2676">
        <v>2</v>
      </c>
    </row>
    <row r="2677" spans="1:50">
      <c r="B2677" t="str">
        <f>"116556595"</f>
        <v>116556595</v>
      </c>
      <c r="C2677" t="s">
        <v>50</v>
      </c>
      <c r="D2677" t="s">
        <v>5435</v>
      </c>
      <c r="E2677" t="s">
        <v>263</v>
      </c>
      <c r="F2677" t="s">
        <v>474</v>
      </c>
      <c r="G2677" t="s">
        <v>620</v>
      </c>
      <c r="H2677" t="str">
        <f>"ΧΙΛΙΟΜΟΔΙ ΚΟΡΙΝΘΙΑΣ"</f>
        <v>ΧΙΛΙΟΜΟΔΙ ΚΟΡΙΝΘΙΑΣ</v>
      </c>
      <c r="I2677">
        <v>20008</v>
      </c>
      <c r="J2677">
        <v>2741099541</v>
      </c>
      <c r="K2677">
        <v>6970032903</v>
      </c>
      <c r="N2677" t="s">
        <v>146</v>
      </c>
      <c r="O2677" t="s">
        <v>147</v>
      </c>
      <c r="R2677" t="s">
        <v>159</v>
      </c>
      <c r="S2677">
        <v>3</v>
      </c>
      <c r="T2677" t="s">
        <v>416</v>
      </c>
      <c r="U2677" s="1">
        <v>43349</v>
      </c>
      <c r="V2677" t="s">
        <v>4509</v>
      </c>
      <c r="W2677" t="s">
        <v>4510</v>
      </c>
      <c r="X2677" t="s">
        <v>58</v>
      </c>
      <c r="Y2677">
        <v>21</v>
      </c>
      <c r="Z2677" t="s">
        <v>59</v>
      </c>
      <c r="AA2677" t="s">
        <v>59</v>
      </c>
      <c r="AB2677" t="s">
        <v>59</v>
      </c>
      <c r="AC2677" t="s">
        <v>59</v>
      </c>
      <c r="AD2677" t="s">
        <v>59</v>
      </c>
      <c r="AF2677" s="1">
        <v>43349</v>
      </c>
      <c r="AG2677" t="s">
        <v>148</v>
      </c>
      <c r="AH2677" t="s">
        <v>149</v>
      </c>
      <c r="AI2677" t="str">
        <f>"3255010"</f>
        <v>3255010</v>
      </c>
      <c r="AJ2677" t="s">
        <v>4590</v>
      </c>
      <c r="AK2677">
        <v>2844022058</v>
      </c>
      <c r="AL2677" t="s">
        <v>4591</v>
      </c>
      <c r="AM2677" t="s">
        <v>4513</v>
      </c>
      <c r="AN2677" t="s">
        <v>4592</v>
      </c>
      <c r="AO2677" t="s">
        <v>4592</v>
      </c>
      <c r="AP2677" t="s">
        <v>4593</v>
      </c>
      <c r="AQ2677">
        <v>2</v>
      </c>
      <c r="AR2677" t="s">
        <v>4509</v>
      </c>
      <c r="AS2677" t="s">
        <v>4510</v>
      </c>
      <c r="AT2677" t="s">
        <v>58</v>
      </c>
      <c r="AU2677" t="s">
        <v>419</v>
      </c>
      <c r="AV2677" t="s">
        <v>132</v>
      </c>
      <c r="AW2677" s="1">
        <v>30125</v>
      </c>
      <c r="AX2677">
        <v>2</v>
      </c>
    </row>
    <row r="2678" spans="1:50">
      <c r="B2678" t="str">
        <f>"073362311"</f>
        <v>073362311</v>
      </c>
      <c r="C2678" t="s">
        <v>105</v>
      </c>
      <c r="D2678" t="s">
        <v>5436</v>
      </c>
      <c r="E2678" t="s">
        <v>5437</v>
      </c>
      <c r="F2678" t="s">
        <v>72</v>
      </c>
      <c r="G2678" t="s">
        <v>610</v>
      </c>
      <c r="H2678" t="str">
        <f>"ΝΙΚΟΜΗΔΕΙΑΣ 15 ΦΕΡΕΣ"</f>
        <v>ΝΙΚΟΜΗΔΕΙΑΣ 15 ΦΕΡΕΣ</v>
      </c>
      <c r="I2678">
        <v>68500</v>
      </c>
      <c r="J2678">
        <v>2555024747</v>
      </c>
      <c r="K2678">
        <v>6944786441</v>
      </c>
      <c r="N2678" t="s">
        <v>232</v>
      </c>
      <c r="O2678" t="s">
        <v>233</v>
      </c>
      <c r="R2678" t="s">
        <v>159</v>
      </c>
      <c r="S2678">
        <v>3</v>
      </c>
      <c r="T2678" t="s">
        <v>574</v>
      </c>
      <c r="U2678" s="1">
        <v>43378</v>
      </c>
      <c r="V2678" t="s">
        <v>4509</v>
      </c>
      <c r="W2678" t="s">
        <v>4510</v>
      </c>
      <c r="X2678" t="s">
        <v>58</v>
      </c>
      <c r="Y2678">
        <v>21</v>
      </c>
      <c r="Z2678" t="s">
        <v>59</v>
      </c>
      <c r="AA2678" t="s">
        <v>59</v>
      </c>
      <c r="AB2678" t="s">
        <v>59</v>
      </c>
      <c r="AC2678" t="s">
        <v>59</v>
      </c>
      <c r="AD2678" t="s">
        <v>59</v>
      </c>
      <c r="AF2678" s="1">
        <v>43381</v>
      </c>
      <c r="AG2678" t="s">
        <v>137</v>
      </c>
      <c r="AH2678" t="s">
        <v>138</v>
      </c>
      <c r="AI2678" t="str">
        <f>"3240120"</f>
        <v>3240120</v>
      </c>
      <c r="AJ2678" t="s">
        <v>4552</v>
      </c>
      <c r="AK2678">
        <v>2842028667</v>
      </c>
      <c r="AL2678" t="s">
        <v>4553</v>
      </c>
      <c r="AM2678" t="s">
        <v>4513</v>
      </c>
      <c r="AN2678" t="s">
        <v>4519</v>
      </c>
      <c r="AO2678" t="s">
        <v>4519</v>
      </c>
      <c r="AP2678" t="s">
        <v>4519</v>
      </c>
      <c r="AQ2678">
        <v>4</v>
      </c>
      <c r="AR2678" t="s">
        <v>4509</v>
      </c>
      <c r="AS2678" t="s">
        <v>4510</v>
      </c>
      <c r="AT2678" t="s">
        <v>58</v>
      </c>
      <c r="AU2678" t="s">
        <v>164</v>
      </c>
      <c r="AV2678" t="s">
        <v>132</v>
      </c>
      <c r="AW2678" s="1">
        <v>25163</v>
      </c>
      <c r="AX2678">
        <v>2</v>
      </c>
    </row>
    <row r="2679" spans="1:50">
      <c r="A2679">
        <v>226821</v>
      </c>
      <c r="B2679" t="str">
        <f>"114583530"</f>
        <v>114583530</v>
      </c>
      <c r="C2679" t="s">
        <v>50</v>
      </c>
      <c r="D2679" t="s">
        <v>3726</v>
      </c>
      <c r="E2679" t="s">
        <v>83</v>
      </c>
      <c r="F2679" t="s">
        <v>95</v>
      </c>
      <c r="G2679" t="s">
        <v>52</v>
      </c>
      <c r="H2679" t="str">
        <f>"ΠΑΠΑΘΕΟΔΩΡΟΥ 10 ΣΙΣΙ ΛΑΣΙΘΙΟΥ"</f>
        <v>ΠΑΠΑΘΕΟΔΩΡΟΥ 10 ΣΙΣΙ ΛΑΣΙΘΙΟΥ</v>
      </c>
      <c r="I2679">
        <v>72400</v>
      </c>
      <c r="J2679">
        <v>2841071140</v>
      </c>
      <c r="K2679">
        <v>6957203209</v>
      </c>
      <c r="M2679" t="s">
        <v>5438</v>
      </c>
      <c r="N2679" t="s">
        <v>146</v>
      </c>
      <c r="O2679" t="s">
        <v>147</v>
      </c>
      <c r="R2679" t="s">
        <v>57</v>
      </c>
      <c r="S2679">
        <v>5</v>
      </c>
      <c r="T2679">
        <v>654</v>
      </c>
      <c r="U2679" s="1">
        <v>40043</v>
      </c>
      <c r="V2679" t="s">
        <v>4509</v>
      </c>
      <c r="W2679" t="s">
        <v>4510</v>
      </c>
      <c r="X2679" t="s">
        <v>58</v>
      </c>
      <c r="Y2679">
        <v>21</v>
      </c>
      <c r="Z2679" t="s">
        <v>59</v>
      </c>
      <c r="AA2679" t="s">
        <v>59</v>
      </c>
      <c r="AB2679" t="s">
        <v>59</v>
      </c>
      <c r="AC2679" t="s">
        <v>59</v>
      </c>
      <c r="AD2679" t="s">
        <v>59</v>
      </c>
      <c r="AF2679" s="1">
        <v>40057</v>
      </c>
      <c r="AG2679" t="s">
        <v>125</v>
      </c>
      <c r="AH2679" t="s">
        <v>126</v>
      </c>
      <c r="AI2679" t="str">
        <f>"3203010"</f>
        <v>3203010</v>
      </c>
      <c r="AJ2679" t="s">
        <v>4522</v>
      </c>
      <c r="AK2679">
        <v>2841034140</v>
      </c>
      <c r="AL2679" t="s">
        <v>4523</v>
      </c>
      <c r="AM2679" t="s">
        <v>4513</v>
      </c>
      <c r="AN2679" t="s">
        <v>4514</v>
      </c>
      <c r="AO2679" t="s">
        <v>4524</v>
      </c>
      <c r="AP2679" t="s">
        <v>4525</v>
      </c>
      <c r="AQ2679">
        <v>3</v>
      </c>
      <c r="AR2679" t="s">
        <v>4509</v>
      </c>
      <c r="AS2679" t="s">
        <v>4510</v>
      </c>
      <c r="AT2679" t="s">
        <v>58</v>
      </c>
      <c r="AU2679" t="s">
        <v>68</v>
      </c>
      <c r="AV2679" t="s">
        <v>69</v>
      </c>
      <c r="AW2679" s="1">
        <v>28345</v>
      </c>
      <c r="AX2679">
        <v>2</v>
      </c>
    </row>
    <row r="2680" spans="1:50">
      <c r="A2680">
        <v>177327</v>
      </c>
      <c r="B2680" t="str">
        <f>"034655485"</f>
        <v>034655485</v>
      </c>
      <c r="C2680" t="s">
        <v>50</v>
      </c>
      <c r="D2680" t="s">
        <v>5439</v>
      </c>
      <c r="E2680" t="s">
        <v>52</v>
      </c>
      <c r="F2680" t="s">
        <v>72</v>
      </c>
      <c r="G2680" t="s">
        <v>2251</v>
      </c>
      <c r="H2680" t="str">
        <f>" "</f>
        <v xml:space="preserve"> </v>
      </c>
      <c r="M2680" t="s">
        <v>5440</v>
      </c>
      <c r="N2680" t="s">
        <v>135</v>
      </c>
      <c r="O2680" t="s">
        <v>136</v>
      </c>
      <c r="R2680" t="s">
        <v>57</v>
      </c>
      <c r="S2680">
        <v>10</v>
      </c>
      <c r="T2680">
        <v>180</v>
      </c>
      <c r="U2680" s="1">
        <v>35674</v>
      </c>
      <c r="V2680" t="s">
        <v>4509</v>
      </c>
      <c r="W2680" t="s">
        <v>4510</v>
      </c>
      <c r="X2680" t="s">
        <v>58</v>
      </c>
      <c r="Y2680">
        <v>18</v>
      </c>
      <c r="Z2680" t="s">
        <v>59</v>
      </c>
      <c r="AA2680" t="s">
        <v>59</v>
      </c>
      <c r="AB2680" t="s">
        <v>59</v>
      </c>
      <c r="AC2680" t="s">
        <v>59</v>
      </c>
      <c r="AD2680" t="s">
        <v>59</v>
      </c>
      <c r="AF2680" s="1">
        <v>35674</v>
      </c>
      <c r="AG2680" t="s">
        <v>137</v>
      </c>
      <c r="AH2680" t="s">
        <v>138</v>
      </c>
      <c r="AI2680" t="str">
        <f>"3240120"</f>
        <v>3240120</v>
      </c>
      <c r="AJ2680" t="s">
        <v>4552</v>
      </c>
      <c r="AK2680">
        <v>2842028667</v>
      </c>
      <c r="AL2680" t="s">
        <v>4553</v>
      </c>
      <c r="AM2680" t="s">
        <v>4513</v>
      </c>
      <c r="AN2680" t="s">
        <v>4519</v>
      </c>
      <c r="AO2680" t="s">
        <v>4519</v>
      </c>
      <c r="AP2680" t="s">
        <v>4519</v>
      </c>
      <c r="AQ2680">
        <v>4</v>
      </c>
      <c r="AR2680" t="s">
        <v>4509</v>
      </c>
      <c r="AS2680" t="s">
        <v>4510</v>
      </c>
      <c r="AT2680" t="s">
        <v>58</v>
      </c>
      <c r="AU2680" t="s">
        <v>68</v>
      </c>
      <c r="AV2680" t="s">
        <v>69</v>
      </c>
      <c r="AW2680" s="1">
        <v>23712</v>
      </c>
      <c r="AX2680">
        <v>2</v>
      </c>
    </row>
    <row r="2681" spans="1:50">
      <c r="A2681">
        <v>227366</v>
      </c>
      <c r="B2681" t="str">
        <f>"065132867"</f>
        <v>065132867</v>
      </c>
      <c r="C2681" t="s">
        <v>50</v>
      </c>
      <c r="D2681" t="s">
        <v>3769</v>
      </c>
      <c r="E2681" t="s">
        <v>52</v>
      </c>
      <c r="F2681" t="s">
        <v>154</v>
      </c>
      <c r="G2681" t="s">
        <v>237</v>
      </c>
      <c r="H2681" t="str">
        <f>"ΤΥΡΤΑΙΟΥ 12 ΗΡΑΚΛΕΙΟ"</f>
        <v>ΤΥΡΤΑΙΟΥ 12 ΗΡΑΚΛΕΙΟ</v>
      </c>
      <c r="I2681">
        <v>71303</v>
      </c>
      <c r="J2681">
        <v>2810519588</v>
      </c>
      <c r="K2681">
        <v>6974821236</v>
      </c>
      <c r="M2681" t="s">
        <v>5441</v>
      </c>
      <c r="N2681" t="s">
        <v>232</v>
      </c>
      <c r="O2681" t="s">
        <v>233</v>
      </c>
      <c r="R2681" t="s">
        <v>57</v>
      </c>
      <c r="S2681">
        <v>11</v>
      </c>
      <c r="T2681">
        <v>654</v>
      </c>
      <c r="U2681" s="1">
        <v>40043</v>
      </c>
      <c r="V2681" t="s">
        <v>4509</v>
      </c>
      <c r="W2681" t="s">
        <v>4510</v>
      </c>
      <c r="X2681" t="s">
        <v>58</v>
      </c>
      <c r="Y2681">
        <v>21</v>
      </c>
      <c r="Z2681" t="s">
        <v>59</v>
      </c>
      <c r="AA2681" t="s">
        <v>59</v>
      </c>
      <c r="AB2681" t="s">
        <v>59</v>
      </c>
      <c r="AC2681" t="s">
        <v>59</v>
      </c>
      <c r="AD2681" t="s">
        <v>59</v>
      </c>
      <c r="AF2681" s="1">
        <v>40045</v>
      </c>
      <c r="AG2681" t="s">
        <v>125</v>
      </c>
      <c r="AH2681" t="s">
        <v>126</v>
      </c>
      <c r="AI2681" t="str">
        <f>"3208010"</f>
        <v>3208010</v>
      </c>
      <c r="AJ2681" t="s">
        <v>4820</v>
      </c>
      <c r="AK2681">
        <v>2843094338</v>
      </c>
      <c r="AL2681" t="s">
        <v>4821</v>
      </c>
      <c r="AM2681" t="s">
        <v>4513</v>
      </c>
      <c r="AN2681" t="s">
        <v>4540</v>
      </c>
      <c r="AO2681" t="s">
        <v>4540</v>
      </c>
      <c r="AP2681" t="s">
        <v>4822</v>
      </c>
      <c r="AQ2681">
        <v>6</v>
      </c>
      <c r="AR2681" t="s">
        <v>4509</v>
      </c>
      <c r="AS2681" t="s">
        <v>4510</v>
      </c>
      <c r="AT2681" t="s">
        <v>58</v>
      </c>
      <c r="AU2681" t="s">
        <v>68</v>
      </c>
      <c r="AV2681" t="s">
        <v>69</v>
      </c>
      <c r="AW2681" s="1">
        <v>27901</v>
      </c>
      <c r="AX2681">
        <v>2</v>
      </c>
    </row>
    <row r="2682" spans="1:50">
      <c r="A2682">
        <v>226052</v>
      </c>
      <c r="B2682" t="str">
        <f>"034655589"</f>
        <v>034655589</v>
      </c>
      <c r="C2682" t="s">
        <v>50</v>
      </c>
      <c r="D2682" t="s">
        <v>3769</v>
      </c>
      <c r="E2682" t="s">
        <v>52</v>
      </c>
      <c r="F2682" t="s">
        <v>989</v>
      </c>
      <c r="G2682" t="s">
        <v>1065</v>
      </c>
      <c r="H2682" t="str">
        <f>" "</f>
        <v xml:space="preserve"> </v>
      </c>
      <c r="M2682" t="s">
        <v>5442</v>
      </c>
      <c r="N2682" t="s">
        <v>176</v>
      </c>
      <c r="O2682" t="s">
        <v>177</v>
      </c>
      <c r="R2682" t="s">
        <v>57</v>
      </c>
      <c r="S2682">
        <v>12</v>
      </c>
      <c r="T2682">
        <v>164</v>
      </c>
      <c r="U2682" s="1">
        <v>36040</v>
      </c>
      <c r="V2682" t="s">
        <v>4509</v>
      </c>
      <c r="W2682" t="s">
        <v>4510</v>
      </c>
      <c r="X2682" t="s">
        <v>58</v>
      </c>
      <c r="Y2682">
        <v>18</v>
      </c>
      <c r="Z2682" t="s">
        <v>59</v>
      </c>
      <c r="AA2682" t="s">
        <v>59</v>
      </c>
      <c r="AB2682" t="s">
        <v>59</v>
      </c>
      <c r="AC2682" t="s">
        <v>59</v>
      </c>
      <c r="AD2682" t="s">
        <v>59</v>
      </c>
      <c r="AF2682" s="1">
        <v>36042</v>
      </c>
      <c r="AG2682" t="s">
        <v>137</v>
      </c>
      <c r="AH2682" t="s">
        <v>138</v>
      </c>
      <c r="AI2682" t="str">
        <f>"3240120"</f>
        <v>3240120</v>
      </c>
      <c r="AJ2682" t="s">
        <v>4552</v>
      </c>
      <c r="AK2682">
        <v>2842028667</v>
      </c>
      <c r="AL2682" t="s">
        <v>4553</v>
      </c>
      <c r="AM2682" t="s">
        <v>4513</v>
      </c>
      <c r="AN2682" t="s">
        <v>4519</v>
      </c>
      <c r="AO2682" t="s">
        <v>4519</v>
      </c>
      <c r="AP2682" t="s">
        <v>4519</v>
      </c>
      <c r="AQ2682">
        <v>4</v>
      </c>
      <c r="AR2682" t="s">
        <v>4509</v>
      </c>
      <c r="AS2682" t="s">
        <v>4510</v>
      </c>
      <c r="AT2682" t="s">
        <v>58</v>
      </c>
      <c r="AU2682" t="s">
        <v>68</v>
      </c>
      <c r="AV2682" t="s">
        <v>69</v>
      </c>
      <c r="AW2682" s="1">
        <v>24367</v>
      </c>
      <c r="AX2682">
        <v>2</v>
      </c>
    </row>
    <row r="2683" spans="1:50">
      <c r="B2683" t="str">
        <f>"114558300"</f>
        <v>114558300</v>
      </c>
      <c r="C2683" t="s">
        <v>105</v>
      </c>
      <c r="D2683" t="s">
        <v>5443</v>
      </c>
      <c r="E2683" t="s">
        <v>166</v>
      </c>
      <c r="F2683" t="s">
        <v>92</v>
      </c>
      <c r="G2683" t="s">
        <v>255</v>
      </c>
      <c r="H2683" t="str">
        <f>"ΑΔΑΜΑΚΗ 19 ΗΡΑΚΛΕΙΟ"</f>
        <v>ΑΔΑΜΑΚΗ 19 ΗΡΑΚΛΕΙΟ</v>
      </c>
      <c r="I2683">
        <v>71305</v>
      </c>
      <c r="J2683">
        <v>2810236541</v>
      </c>
      <c r="K2683">
        <v>6946560607</v>
      </c>
      <c r="N2683" t="s">
        <v>204</v>
      </c>
      <c r="O2683" t="s">
        <v>205</v>
      </c>
      <c r="R2683" t="s">
        <v>159</v>
      </c>
      <c r="S2683">
        <v>4</v>
      </c>
      <c r="T2683" t="s">
        <v>873</v>
      </c>
      <c r="U2683" s="1">
        <v>43377</v>
      </c>
      <c r="V2683" t="s">
        <v>4509</v>
      </c>
      <c r="W2683" t="s">
        <v>4510</v>
      </c>
      <c r="X2683" t="s">
        <v>58</v>
      </c>
      <c r="Y2683">
        <v>23</v>
      </c>
      <c r="Z2683" t="s">
        <v>59</v>
      </c>
      <c r="AA2683" t="s">
        <v>59</v>
      </c>
      <c r="AB2683" t="s">
        <v>59</v>
      </c>
      <c r="AC2683" t="s">
        <v>59</v>
      </c>
      <c r="AD2683" t="s">
        <v>59</v>
      </c>
      <c r="AF2683" s="1">
        <v>43377</v>
      </c>
      <c r="AG2683" t="s">
        <v>137</v>
      </c>
      <c r="AH2683" t="s">
        <v>138</v>
      </c>
      <c r="AI2683" t="str">
        <f>"3240077"</f>
        <v>3240077</v>
      </c>
      <c r="AJ2683" t="s">
        <v>4528</v>
      </c>
      <c r="AK2683">
        <v>2841025978</v>
      </c>
      <c r="AL2683" t="s">
        <v>4529</v>
      </c>
      <c r="AM2683" t="s">
        <v>4513</v>
      </c>
      <c r="AN2683" t="s">
        <v>4514</v>
      </c>
      <c r="AO2683" t="s">
        <v>4514</v>
      </c>
      <c r="AP2683" t="s">
        <v>4514</v>
      </c>
      <c r="AQ2683">
        <v>1</v>
      </c>
      <c r="AR2683" t="s">
        <v>4509</v>
      </c>
      <c r="AS2683" t="s">
        <v>4510</v>
      </c>
      <c r="AT2683" t="s">
        <v>58</v>
      </c>
      <c r="AU2683" t="s">
        <v>164</v>
      </c>
      <c r="AV2683" t="s">
        <v>132</v>
      </c>
      <c r="AW2683" s="1">
        <v>29587</v>
      </c>
      <c r="AX2683">
        <v>2</v>
      </c>
    </row>
    <row r="2684" spans="1:50">
      <c r="B2684" t="str">
        <f>"063894694"</f>
        <v>063894694</v>
      </c>
      <c r="C2684" t="s">
        <v>50</v>
      </c>
      <c r="D2684" t="s">
        <v>5444</v>
      </c>
      <c r="E2684" t="s">
        <v>52</v>
      </c>
      <c r="F2684" t="s">
        <v>95</v>
      </c>
      <c r="G2684" t="s">
        <v>73</v>
      </c>
      <c r="H2684" t="str">
        <f>"ΑΡΧΑΝΕΣ "</f>
        <v xml:space="preserve">ΑΡΧΑΝΕΣ </v>
      </c>
      <c r="I2684">
        <v>74100</v>
      </c>
      <c r="J2684">
        <v>2810752827</v>
      </c>
      <c r="K2684">
        <v>6944375502</v>
      </c>
      <c r="N2684" t="s">
        <v>299</v>
      </c>
      <c r="O2684" t="s">
        <v>300</v>
      </c>
      <c r="R2684" t="s">
        <v>121</v>
      </c>
      <c r="S2684">
        <v>1</v>
      </c>
      <c r="T2684" t="s">
        <v>574</v>
      </c>
      <c r="U2684" s="1">
        <v>43378</v>
      </c>
      <c r="V2684" t="s">
        <v>4509</v>
      </c>
      <c r="W2684" t="s">
        <v>4510</v>
      </c>
      <c r="X2684" t="s">
        <v>58</v>
      </c>
      <c r="Y2684">
        <v>23</v>
      </c>
      <c r="Z2684" t="s">
        <v>59</v>
      </c>
      <c r="AA2684" t="s">
        <v>59</v>
      </c>
      <c r="AB2684" t="s">
        <v>59</v>
      </c>
      <c r="AC2684" t="s">
        <v>59</v>
      </c>
      <c r="AD2684" t="s">
        <v>59</v>
      </c>
      <c r="AF2684" s="1">
        <v>43381</v>
      </c>
      <c r="AG2684" t="s">
        <v>148</v>
      </c>
      <c r="AH2684" t="s">
        <v>149</v>
      </c>
      <c r="AI2684" t="str">
        <f>"3251001"</f>
        <v>3251001</v>
      </c>
      <c r="AJ2684" t="s">
        <v>4535</v>
      </c>
      <c r="AK2684">
        <v>2841082544</v>
      </c>
      <c r="AL2684" t="s">
        <v>4536</v>
      </c>
      <c r="AM2684" t="s">
        <v>4513</v>
      </c>
      <c r="AN2684" t="s">
        <v>4514</v>
      </c>
      <c r="AO2684" t="s">
        <v>4514</v>
      </c>
      <c r="AP2684" t="s">
        <v>4514</v>
      </c>
      <c r="AQ2684">
        <v>1</v>
      </c>
      <c r="AR2684" t="s">
        <v>4509</v>
      </c>
      <c r="AS2684" t="s">
        <v>4510</v>
      </c>
      <c r="AT2684" t="s">
        <v>58</v>
      </c>
      <c r="AU2684" t="s">
        <v>164</v>
      </c>
      <c r="AV2684" t="s">
        <v>132</v>
      </c>
      <c r="AW2684" s="1">
        <v>27148</v>
      </c>
      <c r="AX2684">
        <v>2</v>
      </c>
    </row>
    <row r="2685" spans="1:50">
      <c r="B2685" t="str">
        <f>"056744597"</f>
        <v>056744597</v>
      </c>
      <c r="C2685" t="s">
        <v>105</v>
      </c>
      <c r="D2685" t="s">
        <v>3792</v>
      </c>
      <c r="E2685" t="s">
        <v>95</v>
      </c>
      <c r="F2685" t="s">
        <v>304</v>
      </c>
      <c r="G2685" t="s">
        <v>52</v>
      </c>
      <c r="H2685" t="str">
        <f>"ΛΕΥΚΩΣΙΑΣ 21 ΗΡΑΚΛΕΙΟ"</f>
        <v>ΛΕΥΚΩΣΙΑΣ 21 ΗΡΑΚΛΕΙΟ</v>
      </c>
      <c r="I2685">
        <v>71304</v>
      </c>
      <c r="J2685">
        <v>2810811737</v>
      </c>
      <c r="K2685">
        <v>6972703400</v>
      </c>
      <c r="N2685" t="s">
        <v>146</v>
      </c>
      <c r="O2685" t="s">
        <v>147</v>
      </c>
      <c r="R2685" t="s">
        <v>159</v>
      </c>
      <c r="S2685">
        <v>4</v>
      </c>
      <c r="T2685" t="s">
        <v>416</v>
      </c>
      <c r="U2685" s="1">
        <v>43349</v>
      </c>
      <c r="V2685" t="s">
        <v>4509</v>
      </c>
      <c r="W2685" t="s">
        <v>4510</v>
      </c>
      <c r="X2685" t="s">
        <v>58</v>
      </c>
      <c r="Y2685">
        <v>21</v>
      </c>
      <c r="Z2685" t="s">
        <v>59</v>
      </c>
      <c r="AA2685" t="s">
        <v>59</v>
      </c>
      <c r="AB2685" t="s">
        <v>59</v>
      </c>
      <c r="AC2685" t="s">
        <v>59</v>
      </c>
      <c r="AD2685" t="s">
        <v>59</v>
      </c>
      <c r="AF2685" s="1">
        <v>43349</v>
      </c>
      <c r="AG2685" t="s">
        <v>148</v>
      </c>
      <c r="AH2685" t="s">
        <v>149</v>
      </c>
      <c r="AI2685" t="str">
        <f>"3255010"</f>
        <v>3255010</v>
      </c>
      <c r="AJ2685" t="s">
        <v>4590</v>
      </c>
      <c r="AK2685">
        <v>2844022058</v>
      </c>
      <c r="AL2685" t="s">
        <v>4591</v>
      </c>
      <c r="AM2685" t="s">
        <v>4513</v>
      </c>
      <c r="AN2685" t="s">
        <v>4592</v>
      </c>
      <c r="AO2685" t="s">
        <v>4592</v>
      </c>
      <c r="AP2685" t="s">
        <v>4593</v>
      </c>
      <c r="AQ2685">
        <v>2</v>
      </c>
      <c r="AR2685" t="s">
        <v>4509</v>
      </c>
      <c r="AS2685" t="s">
        <v>4510</v>
      </c>
      <c r="AT2685" t="s">
        <v>58</v>
      </c>
      <c r="AU2685" t="s">
        <v>419</v>
      </c>
      <c r="AV2685" t="s">
        <v>132</v>
      </c>
      <c r="AW2685" s="1">
        <v>24798</v>
      </c>
      <c r="AX2685">
        <v>2</v>
      </c>
    </row>
    <row r="2686" spans="1:50">
      <c r="A2686">
        <v>215737</v>
      </c>
      <c r="B2686" t="str">
        <f>"054030998"</f>
        <v>054030998</v>
      </c>
      <c r="C2686" t="s">
        <v>105</v>
      </c>
      <c r="D2686" t="s">
        <v>3792</v>
      </c>
      <c r="E2686" t="s">
        <v>95</v>
      </c>
      <c r="F2686" t="s">
        <v>72</v>
      </c>
      <c r="G2686" t="s">
        <v>5445</v>
      </c>
      <c r="H2686" t="str">
        <f>" "</f>
        <v xml:space="preserve"> </v>
      </c>
      <c r="J2686">
        <v>2810226864</v>
      </c>
      <c r="K2686">
        <v>6948526980</v>
      </c>
      <c r="N2686" t="s">
        <v>204</v>
      </c>
      <c r="O2686" t="s">
        <v>205</v>
      </c>
      <c r="R2686" t="s">
        <v>57</v>
      </c>
      <c r="S2686">
        <v>7</v>
      </c>
      <c r="T2686">
        <v>231</v>
      </c>
      <c r="U2686" s="1">
        <v>38960</v>
      </c>
      <c r="V2686" t="s">
        <v>4509</v>
      </c>
      <c r="W2686" t="s">
        <v>4510</v>
      </c>
      <c r="X2686" t="s">
        <v>58</v>
      </c>
      <c r="Y2686">
        <v>21</v>
      </c>
      <c r="Z2686" t="s">
        <v>59</v>
      </c>
      <c r="AA2686" t="s">
        <v>59</v>
      </c>
      <c r="AB2686" t="s">
        <v>59</v>
      </c>
      <c r="AC2686" t="s">
        <v>59</v>
      </c>
      <c r="AD2686" t="s">
        <v>59</v>
      </c>
      <c r="AF2686" s="1">
        <v>38966</v>
      </c>
      <c r="AG2686" t="s">
        <v>148</v>
      </c>
      <c r="AH2686" t="s">
        <v>149</v>
      </c>
      <c r="AI2686" t="str">
        <f>"3252020"</f>
        <v>3252020</v>
      </c>
      <c r="AJ2686" t="s">
        <v>4638</v>
      </c>
      <c r="AK2686">
        <v>2842022379</v>
      </c>
      <c r="AL2686" t="s">
        <v>4639</v>
      </c>
      <c r="AM2686" t="s">
        <v>4513</v>
      </c>
      <c r="AN2686" t="s">
        <v>4519</v>
      </c>
      <c r="AO2686" t="s">
        <v>4519</v>
      </c>
      <c r="AP2686" t="s">
        <v>4519</v>
      </c>
      <c r="AQ2686">
        <v>4</v>
      </c>
      <c r="AR2686" t="s">
        <v>4509</v>
      </c>
      <c r="AS2686" t="s">
        <v>4510</v>
      </c>
      <c r="AT2686" t="s">
        <v>58</v>
      </c>
      <c r="AU2686" t="s">
        <v>68</v>
      </c>
      <c r="AV2686" t="s">
        <v>132</v>
      </c>
      <c r="AW2686" s="1">
        <v>28450</v>
      </c>
      <c r="AX2686">
        <v>2</v>
      </c>
    </row>
    <row r="2687" spans="1:50">
      <c r="A2687">
        <v>215739</v>
      </c>
      <c r="B2687" t="str">
        <f>"054031043"</f>
        <v>054031043</v>
      </c>
      <c r="C2687" t="s">
        <v>105</v>
      </c>
      <c r="D2687" t="s">
        <v>3792</v>
      </c>
      <c r="E2687" t="s">
        <v>92</v>
      </c>
      <c r="F2687" t="s">
        <v>72</v>
      </c>
      <c r="G2687" t="s">
        <v>5446</v>
      </c>
      <c r="H2687" t="str">
        <f>" "</f>
        <v xml:space="preserve"> </v>
      </c>
      <c r="J2687">
        <v>2810226864</v>
      </c>
      <c r="K2687">
        <v>6948208887</v>
      </c>
      <c r="M2687" t="s">
        <v>5447</v>
      </c>
      <c r="N2687" t="s">
        <v>204</v>
      </c>
      <c r="O2687" t="s">
        <v>205</v>
      </c>
      <c r="R2687" t="s">
        <v>57</v>
      </c>
      <c r="S2687">
        <v>7</v>
      </c>
      <c r="T2687">
        <v>231</v>
      </c>
      <c r="U2687" s="1">
        <v>38960</v>
      </c>
      <c r="V2687" t="s">
        <v>4509</v>
      </c>
      <c r="W2687" t="s">
        <v>4510</v>
      </c>
      <c r="X2687" t="s">
        <v>58</v>
      </c>
      <c r="Y2687">
        <v>20</v>
      </c>
      <c r="Z2687" t="s">
        <v>59</v>
      </c>
      <c r="AA2687" t="s">
        <v>59</v>
      </c>
      <c r="AB2687" t="s">
        <v>59</v>
      </c>
      <c r="AC2687" t="s">
        <v>59</v>
      </c>
      <c r="AD2687" t="s">
        <v>59</v>
      </c>
      <c r="AF2687" s="1">
        <v>38961</v>
      </c>
      <c r="AG2687" t="s">
        <v>137</v>
      </c>
      <c r="AH2687" t="s">
        <v>138</v>
      </c>
      <c r="AI2687" t="str">
        <f>"3240070"</f>
        <v>3240070</v>
      </c>
      <c r="AJ2687" t="s">
        <v>4582</v>
      </c>
      <c r="AK2687">
        <v>2841032545</v>
      </c>
      <c r="AL2687" t="s">
        <v>4583</v>
      </c>
      <c r="AM2687" t="s">
        <v>4513</v>
      </c>
      <c r="AN2687" t="s">
        <v>4514</v>
      </c>
      <c r="AO2687" t="s">
        <v>4524</v>
      </c>
      <c r="AP2687" t="s">
        <v>4525</v>
      </c>
      <c r="AQ2687">
        <v>3</v>
      </c>
      <c r="AR2687" t="s">
        <v>4509</v>
      </c>
      <c r="AS2687" t="s">
        <v>4510</v>
      </c>
      <c r="AT2687" t="s">
        <v>58</v>
      </c>
      <c r="AU2687" t="s">
        <v>68</v>
      </c>
      <c r="AV2687" t="s">
        <v>132</v>
      </c>
      <c r="AW2687" s="1">
        <v>28094</v>
      </c>
      <c r="AX2687">
        <v>2</v>
      </c>
    </row>
    <row r="2688" spans="1:50">
      <c r="A2688">
        <v>228136</v>
      </c>
      <c r="B2688" t="str">
        <f>"037882478"</f>
        <v>037882478</v>
      </c>
      <c r="C2688" t="s">
        <v>105</v>
      </c>
      <c r="D2688" t="s">
        <v>5448</v>
      </c>
      <c r="E2688" t="s">
        <v>564</v>
      </c>
      <c r="F2688" t="s">
        <v>106</v>
      </c>
      <c r="G2688" t="s">
        <v>340</v>
      </c>
      <c r="H2688" t="str">
        <f>"Σπανάκη 1 "</f>
        <v xml:space="preserve">Σπανάκη 1 </v>
      </c>
      <c r="J2688">
        <v>2552027324</v>
      </c>
      <c r="K2688">
        <v>6932646822</v>
      </c>
      <c r="M2688" t="s">
        <v>5449</v>
      </c>
      <c r="N2688" t="s">
        <v>176</v>
      </c>
      <c r="O2688" t="s">
        <v>177</v>
      </c>
      <c r="R2688" t="s">
        <v>57</v>
      </c>
      <c r="S2688">
        <v>6</v>
      </c>
      <c r="T2688">
        <v>654</v>
      </c>
      <c r="U2688" s="1">
        <v>40043</v>
      </c>
      <c r="V2688" t="s">
        <v>4509</v>
      </c>
      <c r="W2688" t="s">
        <v>4510</v>
      </c>
      <c r="X2688" t="s">
        <v>58</v>
      </c>
      <c r="Y2688">
        <v>20</v>
      </c>
      <c r="Z2688" t="s">
        <v>59</v>
      </c>
      <c r="AA2688" t="s">
        <v>59</v>
      </c>
      <c r="AB2688" t="s">
        <v>59</v>
      </c>
      <c r="AC2688" t="s">
        <v>59</v>
      </c>
      <c r="AD2688" t="s">
        <v>59</v>
      </c>
      <c r="AF2688" s="1">
        <v>40057</v>
      </c>
      <c r="AG2688" t="s">
        <v>137</v>
      </c>
      <c r="AH2688" t="s">
        <v>138</v>
      </c>
      <c r="AI2688" t="str">
        <f>"3240070"</f>
        <v>3240070</v>
      </c>
      <c r="AJ2688" t="s">
        <v>4582</v>
      </c>
      <c r="AK2688">
        <v>2841032545</v>
      </c>
      <c r="AL2688" t="s">
        <v>4583</v>
      </c>
      <c r="AM2688" t="s">
        <v>4513</v>
      </c>
      <c r="AN2688" t="s">
        <v>4514</v>
      </c>
      <c r="AO2688" t="s">
        <v>4524</v>
      </c>
      <c r="AP2688" t="s">
        <v>4525</v>
      </c>
      <c r="AQ2688">
        <v>3</v>
      </c>
      <c r="AR2688" t="s">
        <v>4509</v>
      </c>
      <c r="AS2688" t="s">
        <v>4510</v>
      </c>
      <c r="AT2688" t="s">
        <v>58</v>
      </c>
      <c r="AU2688" t="s">
        <v>68</v>
      </c>
      <c r="AV2688" t="s">
        <v>132</v>
      </c>
      <c r="AW2688" s="1">
        <v>23579</v>
      </c>
      <c r="AX2688">
        <v>2</v>
      </c>
    </row>
    <row r="2689" spans="1:50">
      <c r="A2689">
        <v>153104</v>
      </c>
      <c r="B2689" t="str">
        <f>"032843071"</f>
        <v>032843071</v>
      </c>
      <c r="C2689" t="s">
        <v>105</v>
      </c>
      <c r="D2689" t="s">
        <v>3804</v>
      </c>
      <c r="E2689" t="s">
        <v>72</v>
      </c>
      <c r="F2689" t="s">
        <v>414</v>
      </c>
      <c r="G2689" t="s">
        <v>181</v>
      </c>
      <c r="H2689" t="str">
        <f>"ΕΜΜ. ΣΚΥΒΑΛΟΥ 1 ΑΓΙΟΣ ΝΙΚΟΛΑΟΣ"</f>
        <v>ΕΜΜ. ΣΚΥΒΑΛΟΥ 1 ΑΓΙΟΣ ΝΙΚΟΛΑΟΣ</v>
      </c>
      <c r="I2689">
        <v>72100</v>
      </c>
      <c r="J2689">
        <v>2841024789</v>
      </c>
      <c r="K2689">
        <v>6977192004</v>
      </c>
      <c r="M2689" t="s">
        <v>5450</v>
      </c>
      <c r="N2689" t="s">
        <v>292</v>
      </c>
      <c r="O2689" t="s">
        <v>293</v>
      </c>
      <c r="R2689" t="s">
        <v>57</v>
      </c>
      <c r="S2689">
        <v>18</v>
      </c>
      <c r="T2689">
        <v>166</v>
      </c>
      <c r="U2689" s="1">
        <v>32010</v>
      </c>
      <c r="V2689" t="s">
        <v>4509</v>
      </c>
      <c r="W2689" t="s">
        <v>4510</v>
      </c>
      <c r="X2689" t="s">
        <v>58</v>
      </c>
      <c r="Y2689">
        <v>18</v>
      </c>
      <c r="Z2689" t="s">
        <v>59</v>
      </c>
      <c r="AA2689" t="s">
        <v>59</v>
      </c>
      <c r="AB2689" t="s">
        <v>59</v>
      </c>
      <c r="AC2689" t="s">
        <v>59</v>
      </c>
      <c r="AD2689" t="s">
        <v>59</v>
      </c>
      <c r="AF2689" s="1">
        <v>32021</v>
      </c>
      <c r="AG2689" t="s">
        <v>125</v>
      </c>
      <c r="AH2689" t="s">
        <v>126</v>
      </c>
      <c r="AI2689" t="str">
        <f>"3201020"</f>
        <v>3201020</v>
      </c>
      <c r="AJ2689" t="s">
        <v>4511</v>
      </c>
      <c r="AK2689">
        <v>2841024586</v>
      </c>
      <c r="AL2689" t="s">
        <v>4512</v>
      </c>
      <c r="AM2689" t="s">
        <v>4513</v>
      </c>
      <c r="AN2689" t="s">
        <v>4514</v>
      </c>
      <c r="AO2689" t="s">
        <v>4514</v>
      </c>
      <c r="AP2689" t="s">
        <v>4514</v>
      </c>
      <c r="AQ2689">
        <v>1</v>
      </c>
      <c r="AR2689" t="s">
        <v>4509</v>
      </c>
      <c r="AS2689" t="s">
        <v>4510</v>
      </c>
      <c r="AT2689" t="s">
        <v>58</v>
      </c>
      <c r="AU2689" t="s">
        <v>68</v>
      </c>
      <c r="AV2689" t="s">
        <v>69</v>
      </c>
      <c r="AW2689" s="1">
        <v>20734</v>
      </c>
      <c r="AX2689">
        <v>2</v>
      </c>
    </row>
    <row r="2690" spans="1:50">
      <c r="A2690">
        <v>188596</v>
      </c>
      <c r="B2690" t="str">
        <f>"064288157"</f>
        <v>064288157</v>
      </c>
      <c r="C2690" t="s">
        <v>50</v>
      </c>
      <c r="D2690" t="s">
        <v>3807</v>
      </c>
      <c r="E2690" t="s">
        <v>255</v>
      </c>
      <c r="F2690" t="s">
        <v>95</v>
      </c>
      <c r="G2690" t="s">
        <v>52</v>
      </c>
      <c r="H2690" t="str">
        <f>" "</f>
        <v xml:space="preserve"> </v>
      </c>
      <c r="J2690">
        <v>2841026595</v>
      </c>
      <c r="K2690">
        <v>6932179506</v>
      </c>
      <c r="M2690" t="s">
        <v>5451</v>
      </c>
      <c r="N2690" t="s">
        <v>189</v>
      </c>
      <c r="O2690" t="s">
        <v>190</v>
      </c>
      <c r="R2690" t="s">
        <v>57</v>
      </c>
      <c r="S2690">
        <v>13</v>
      </c>
      <c r="T2690">
        <v>310</v>
      </c>
      <c r="U2690" s="1">
        <v>36833</v>
      </c>
      <c r="V2690" t="s">
        <v>4509</v>
      </c>
      <c r="W2690" t="s">
        <v>4510</v>
      </c>
      <c r="X2690" t="s">
        <v>58</v>
      </c>
      <c r="Y2690">
        <v>18</v>
      </c>
      <c r="Z2690" t="s">
        <v>59</v>
      </c>
      <c r="AA2690" t="s">
        <v>59</v>
      </c>
      <c r="AB2690" t="s">
        <v>59</v>
      </c>
      <c r="AC2690" t="s">
        <v>59</v>
      </c>
      <c r="AD2690" t="s">
        <v>59</v>
      </c>
      <c r="AF2690" s="1">
        <v>36834</v>
      </c>
      <c r="AG2690" t="s">
        <v>125</v>
      </c>
      <c r="AH2690" t="s">
        <v>126</v>
      </c>
      <c r="AI2690" t="str">
        <f>"3201025"</f>
        <v>3201025</v>
      </c>
      <c r="AJ2690" t="s">
        <v>4682</v>
      </c>
      <c r="AK2690">
        <v>2841021388</v>
      </c>
      <c r="AL2690" t="s">
        <v>4683</v>
      </c>
      <c r="AM2690" t="s">
        <v>4513</v>
      </c>
      <c r="AN2690" t="s">
        <v>4514</v>
      </c>
      <c r="AO2690" t="s">
        <v>4514</v>
      </c>
      <c r="AP2690" t="s">
        <v>4514</v>
      </c>
      <c r="AQ2690">
        <v>1</v>
      </c>
      <c r="AR2690" t="s">
        <v>4509</v>
      </c>
      <c r="AS2690" t="s">
        <v>4510</v>
      </c>
      <c r="AT2690" t="s">
        <v>58</v>
      </c>
      <c r="AU2690" t="s">
        <v>68</v>
      </c>
      <c r="AV2690" t="s">
        <v>357</v>
      </c>
      <c r="AW2690" s="1">
        <v>23868</v>
      </c>
      <c r="AX2690">
        <v>2</v>
      </c>
    </row>
    <row r="2691" spans="1:50">
      <c r="B2691" t="str">
        <f>"114561235"</f>
        <v>114561235</v>
      </c>
      <c r="C2691" t="s">
        <v>50</v>
      </c>
      <c r="D2691" t="s">
        <v>3807</v>
      </c>
      <c r="E2691" t="s">
        <v>255</v>
      </c>
      <c r="F2691" t="s">
        <v>640</v>
      </c>
      <c r="G2691" t="s">
        <v>237</v>
      </c>
      <c r="H2691" t="str">
        <f>"ΚΑΠΟΔΙΣΤΡΙΟΥ 35 ΗΡΑΚΛΕΙΟ"</f>
        <v>ΚΑΠΟΔΙΣΤΡΙΟΥ 35 ΗΡΑΚΛΕΙΟ</v>
      </c>
      <c r="I2691">
        <v>71306</v>
      </c>
      <c r="J2691">
        <v>2810763077</v>
      </c>
      <c r="K2691">
        <v>6978116827</v>
      </c>
      <c r="M2691" t="s">
        <v>5452</v>
      </c>
      <c r="N2691" t="s">
        <v>1039</v>
      </c>
      <c r="O2691" t="s">
        <v>1040</v>
      </c>
      <c r="R2691" t="s">
        <v>159</v>
      </c>
      <c r="S2691">
        <v>2</v>
      </c>
      <c r="T2691" t="s">
        <v>344</v>
      </c>
      <c r="U2691" s="1">
        <v>43348</v>
      </c>
      <c r="V2691" t="s">
        <v>4509</v>
      </c>
      <c r="W2691" t="s">
        <v>4510</v>
      </c>
      <c r="X2691" t="s">
        <v>58</v>
      </c>
      <c r="Y2691">
        <v>23</v>
      </c>
      <c r="Z2691" t="s">
        <v>59</v>
      </c>
      <c r="AA2691" t="s">
        <v>59</v>
      </c>
      <c r="AB2691" t="s">
        <v>59</v>
      </c>
      <c r="AC2691" t="s">
        <v>59</v>
      </c>
      <c r="AD2691" t="s">
        <v>59</v>
      </c>
      <c r="AF2691" s="1">
        <v>43348</v>
      </c>
      <c r="AG2691" t="s">
        <v>345</v>
      </c>
      <c r="AH2691" t="s">
        <v>346</v>
      </c>
      <c r="AI2691" t="str">
        <f>"3241001"</f>
        <v>3241001</v>
      </c>
      <c r="AJ2691" t="s">
        <v>4613</v>
      </c>
      <c r="AK2691">
        <v>2842026374</v>
      </c>
      <c r="AL2691" t="s">
        <v>4614</v>
      </c>
      <c r="AM2691" t="s">
        <v>4513</v>
      </c>
      <c r="AN2691" t="s">
        <v>4519</v>
      </c>
      <c r="AO2691" t="s">
        <v>4519</v>
      </c>
      <c r="AP2691" t="s">
        <v>4519</v>
      </c>
      <c r="AQ2691">
        <v>4</v>
      </c>
      <c r="AR2691" t="s">
        <v>4509</v>
      </c>
      <c r="AS2691" t="s">
        <v>4510</v>
      </c>
      <c r="AT2691" t="s">
        <v>58</v>
      </c>
      <c r="AU2691" t="s">
        <v>350</v>
      </c>
      <c r="AV2691" t="s">
        <v>132</v>
      </c>
      <c r="AW2691" s="1">
        <v>29486</v>
      </c>
      <c r="AX2691">
        <v>2</v>
      </c>
    </row>
    <row r="2692" spans="1:50">
      <c r="A2692">
        <v>223712</v>
      </c>
      <c r="B2692" t="str">
        <f>"063340034"</f>
        <v>063340034</v>
      </c>
      <c r="C2692" t="s">
        <v>105</v>
      </c>
      <c r="D2692" t="s">
        <v>3821</v>
      </c>
      <c r="E2692" t="s">
        <v>166</v>
      </c>
      <c r="F2692" t="s">
        <v>84</v>
      </c>
      <c r="G2692" t="s">
        <v>263</v>
      </c>
      <c r="H2692" t="str">
        <f>"ΙΣΤΡΟΝ ΚΑΛΟΥ ΧΩΡΙΟΥ "</f>
        <v xml:space="preserve">ΙΣΤΡΟΝ ΚΑΛΟΥ ΧΩΡΙΟΥ </v>
      </c>
      <c r="I2692">
        <v>72100</v>
      </c>
      <c r="J2692">
        <v>2841061390</v>
      </c>
      <c r="K2692">
        <v>6977244928</v>
      </c>
      <c r="M2692" t="s">
        <v>5453</v>
      </c>
      <c r="N2692" t="s">
        <v>199</v>
      </c>
      <c r="O2692" t="s">
        <v>200</v>
      </c>
      <c r="R2692" t="s">
        <v>57</v>
      </c>
      <c r="S2692">
        <v>5</v>
      </c>
      <c r="T2692">
        <v>775</v>
      </c>
      <c r="U2692" s="1">
        <v>39680</v>
      </c>
      <c r="V2692" t="s">
        <v>4509</v>
      </c>
      <c r="W2692" t="s">
        <v>4510</v>
      </c>
      <c r="X2692" t="s">
        <v>58</v>
      </c>
      <c r="Y2692">
        <v>21</v>
      </c>
      <c r="Z2692" t="s">
        <v>59</v>
      </c>
      <c r="AA2692" t="s">
        <v>59</v>
      </c>
      <c r="AB2692" t="s">
        <v>59</v>
      </c>
      <c r="AC2692" t="s">
        <v>59</v>
      </c>
      <c r="AD2692" t="s">
        <v>59</v>
      </c>
      <c r="AF2692" s="1">
        <v>39682</v>
      </c>
      <c r="AG2692" t="s">
        <v>125</v>
      </c>
      <c r="AH2692" t="s">
        <v>126</v>
      </c>
      <c r="AI2692" t="str">
        <f>"3201025"</f>
        <v>3201025</v>
      </c>
      <c r="AJ2692" t="s">
        <v>4682</v>
      </c>
      <c r="AK2692">
        <v>2841021388</v>
      </c>
      <c r="AL2692" t="s">
        <v>4683</v>
      </c>
      <c r="AM2692" t="s">
        <v>4513</v>
      </c>
      <c r="AN2692" t="s">
        <v>4514</v>
      </c>
      <c r="AO2692" t="s">
        <v>4514</v>
      </c>
      <c r="AP2692" t="s">
        <v>4514</v>
      </c>
      <c r="AQ2692">
        <v>1</v>
      </c>
      <c r="AR2692" t="s">
        <v>4509</v>
      </c>
      <c r="AS2692" t="s">
        <v>4510</v>
      </c>
      <c r="AT2692" t="s">
        <v>58</v>
      </c>
      <c r="AU2692" t="s">
        <v>68</v>
      </c>
      <c r="AV2692" t="s">
        <v>69</v>
      </c>
      <c r="AW2692" s="1">
        <v>28302</v>
      </c>
      <c r="AX2692">
        <v>2</v>
      </c>
    </row>
    <row r="2693" spans="1:50">
      <c r="A2693">
        <v>176478</v>
      </c>
      <c r="B2693" t="str">
        <f>"042112896"</f>
        <v>042112896</v>
      </c>
      <c r="C2693" t="s">
        <v>50</v>
      </c>
      <c r="D2693" t="s">
        <v>5454</v>
      </c>
      <c r="E2693" t="s">
        <v>5455</v>
      </c>
      <c r="F2693" t="s">
        <v>5456</v>
      </c>
      <c r="G2693" t="s">
        <v>5457</v>
      </c>
      <c r="H2693" t="str">
        <f>"Σπιτακια Π. Εκκλησιας Σητεια"</f>
        <v>Σπιτακια Π. Εκκλησιας Σητεια</v>
      </c>
      <c r="I2693">
        <v>72300</v>
      </c>
      <c r="J2693">
        <v>2843024483</v>
      </c>
      <c r="K2693">
        <v>6937343772</v>
      </c>
      <c r="M2693" t="s">
        <v>5458</v>
      </c>
      <c r="N2693" t="s">
        <v>478</v>
      </c>
      <c r="O2693" t="s">
        <v>479</v>
      </c>
      <c r="R2693" t="s">
        <v>57</v>
      </c>
      <c r="S2693">
        <v>11</v>
      </c>
      <c r="T2693">
        <v>180</v>
      </c>
      <c r="U2693" s="1">
        <v>35674</v>
      </c>
      <c r="V2693" t="s">
        <v>4509</v>
      </c>
      <c r="W2693" t="s">
        <v>4510</v>
      </c>
      <c r="X2693" t="s">
        <v>58</v>
      </c>
      <c r="Y2693">
        <v>18</v>
      </c>
      <c r="Z2693" t="s">
        <v>59</v>
      </c>
      <c r="AA2693" t="s">
        <v>59</v>
      </c>
      <c r="AB2693" t="s">
        <v>59</v>
      </c>
      <c r="AC2693" t="s">
        <v>59</v>
      </c>
      <c r="AD2693" t="s">
        <v>59</v>
      </c>
      <c r="AF2693" s="1">
        <v>35674</v>
      </c>
      <c r="AG2693" t="s">
        <v>125</v>
      </c>
      <c r="AH2693" t="s">
        <v>126</v>
      </c>
      <c r="AI2693" t="str">
        <f>"3204010"</f>
        <v>3204010</v>
      </c>
      <c r="AJ2693" t="s">
        <v>4542</v>
      </c>
      <c r="AK2693">
        <v>2843022503</v>
      </c>
      <c r="AL2693" t="s">
        <v>4543</v>
      </c>
      <c r="AM2693" t="s">
        <v>4513</v>
      </c>
      <c r="AN2693" t="s">
        <v>4540</v>
      </c>
      <c r="AO2693" t="s">
        <v>4540</v>
      </c>
      <c r="AP2693" t="s">
        <v>4540</v>
      </c>
      <c r="AQ2693">
        <v>6</v>
      </c>
      <c r="AR2693" t="s">
        <v>4509</v>
      </c>
      <c r="AS2693" t="s">
        <v>4510</v>
      </c>
      <c r="AT2693" t="s">
        <v>58</v>
      </c>
      <c r="AU2693" t="s">
        <v>68</v>
      </c>
      <c r="AV2693" t="s">
        <v>69</v>
      </c>
      <c r="AW2693" s="1">
        <v>20481</v>
      </c>
      <c r="AX2693">
        <v>2</v>
      </c>
    </row>
    <row r="2694" spans="1:50">
      <c r="A2694">
        <v>703188</v>
      </c>
      <c r="B2694" t="str">
        <f>"125004368"</f>
        <v>125004368</v>
      </c>
      <c r="C2694" t="s">
        <v>50</v>
      </c>
      <c r="D2694" t="s">
        <v>5459</v>
      </c>
      <c r="E2694" t="s">
        <v>52</v>
      </c>
      <c r="F2694" t="s">
        <v>95</v>
      </c>
      <c r="G2694" t="s">
        <v>237</v>
      </c>
      <c r="H2694" t="str">
        <f>"ΜΑΡΤΥΡΩΝ ΑΡΜΕΝΙΑΣ 4 Ν. ΣΜΥΡΝΗ ΑΤΤΙΚΗΣ"</f>
        <v>ΜΑΡΤΥΡΩΝ ΑΡΜΕΝΙΑΣ 4 Ν. ΣΜΥΡΝΗ ΑΤΤΙΚΗΣ</v>
      </c>
      <c r="I2694">
        <v>17123</v>
      </c>
      <c r="J2694">
        <v>2109341172</v>
      </c>
      <c r="K2694">
        <v>6974976355</v>
      </c>
      <c r="N2694" t="s">
        <v>146</v>
      </c>
      <c r="O2694" t="s">
        <v>147</v>
      </c>
      <c r="R2694" t="s">
        <v>57</v>
      </c>
      <c r="S2694">
        <v>5</v>
      </c>
      <c r="T2694">
        <v>588</v>
      </c>
      <c r="U2694" s="1">
        <v>40778</v>
      </c>
      <c r="V2694" t="s">
        <v>4509</v>
      </c>
      <c r="W2694" t="s">
        <v>4510</v>
      </c>
      <c r="X2694" t="s">
        <v>58</v>
      </c>
      <c r="Y2694">
        <v>21</v>
      </c>
      <c r="Z2694" t="s">
        <v>59</v>
      </c>
      <c r="AA2694" t="s">
        <v>59</v>
      </c>
      <c r="AB2694" t="s">
        <v>59</v>
      </c>
      <c r="AC2694" t="s">
        <v>59</v>
      </c>
      <c r="AD2694" t="s">
        <v>59</v>
      </c>
      <c r="AF2694" s="1">
        <v>40787</v>
      </c>
      <c r="AG2694" t="s">
        <v>148</v>
      </c>
      <c r="AH2694" t="s">
        <v>149</v>
      </c>
      <c r="AI2694" t="str">
        <f>"3255010"</f>
        <v>3255010</v>
      </c>
      <c r="AJ2694" t="s">
        <v>4590</v>
      </c>
      <c r="AK2694">
        <v>2844022058</v>
      </c>
      <c r="AL2694" t="s">
        <v>4591</v>
      </c>
      <c r="AM2694" t="s">
        <v>4513</v>
      </c>
      <c r="AN2694" t="s">
        <v>4592</v>
      </c>
      <c r="AO2694" t="s">
        <v>4592</v>
      </c>
      <c r="AP2694" t="s">
        <v>4593</v>
      </c>
      <c r="AQ2694">
        <v>2</v>
      </c>
      <c r="AR2694" t="s">
        <v>4509</v>
      </c>
      <c r="AS2694" t="s">
        <v>4510</v>
      </c>
      <c r="AT2694" t="s">
        <v>58</v>
      </c>
      <c r="AU2694" t="s">
        <v>68</v>
      </c>
      <c r="AV2694" t="s">
        <v>69</v>
      </c>
      <c r="AW2694" s="1">
        <v>28520</v>
      </c>
      <c r="AX2694">
        <v>2</v>
      </c>
    </row>
    <row r="2695" spans="1:50">
      <c r="B2695" t="str">
        <f>"110374475"</f>
        <v>110374475</v>
      </c>
      <c r="C2695" t="s">
        <v>50</v>
      </c>
      <c r="D2695" t="s">
        <v>3837</v>
      </c>
      <c r="E2695" t="s">
        <v>1001</v>
      </c>
      <c r="F2695" t="s">
        <v>5460</v>
      </c>
      <c r="G2695" t="s">
        <v>52</v>
      </c>
      <c r="H2695" t="str">
        <f>"ΓΕΩΡΓΙΟ ΜΑΥΡΙΚΑΚΗ 20Α ΣΗΤΕΙΑ"</f>
        <v>ΓΕΩΡΓΙΟ ΜΑΥΡΙΚΑΚΗ 20Α ΣΗΤΕΙΑ</v>
      </c>
      <c r="I2695">
        <v>72300</v>
      </c>
      <c r="J2695">
        <v>2843026182</v>
      </c>
      <c r="K2695">
        <v>6937680065</v>
      </c>
      <c r="M2695" t="s">
        <v>5461</v>
      </c>
      <c r="N2695" t="s">
        <v>146</v>
      </c>
      <c r="O2695" t="s">
        <v>147</v>
      </c>
      <c r="R2695" t="s">
        <v>159</v>
      </c>
      <c r="S2695">
        <v>3</v>
      </c>
      <c r="T2695" t="s">
        <v>416</v>
      </c>
      <c r="U2695" s="1">
        <v>43349</v>
      </c>
      <c r="V2695" t="s">
        <v>4509</v>
      </c>
      <c r="W2695" t="s">
        <v>4510</v>
      </c>
      <c r="X2695" t="s">
        <v>58</v>
      </c>
      <c r="Y2695">
        <v>23</v>
      </c>
      <c r="Z2695" t="s">
        <v>59</v>
      </c>
      <c r="AA2695" t="s">
        <v>59</v>
      </c>
      <c r="AB2695" t="s">
        <v>59</v>
      </c>
      <c r="AC2695" t="s">
        <v>59</v>
      </c>
      <c r="AD2695" t="s">
        <v>59</v>
      </c>
      <c r="AF2695" s="1">
        <v>43349</v>
      </c>
      <c r="AG2695" t="s">
        <v>125</v>
      </c>
      <c r="AH2695" t="s">
        <v>126</v>
      </c>
      <c r="AI2695" t="str">
        <f>"3206010"</f>
        <v>3206010</v>
      </c>
      <c r="AJ2695" t="s">
        <v>4545</v>
      </c>
      <c r="AK2695">
        <v>2843031222</v>
      </c>
      <c r="AL2695" t="s">
        <v>4546</v>
      </c>
      <c r="AM2695" t="s">
        <v>4513</v>
      </c>
      <c r="AN2695" t="s">
        <v>4540</v>
      </c>
      <c r="AO2695" t="s">
        <v>4547</v>
      </c>
      <c r="AP2695" t="s">
        <v>4548</v>
      </c>
      <c r="AQ2695">
        <v>6</v>
      </c>
      <c r="AR2695" t="s">
        <v>4509</v>
      </c>
      <c r="AS2695" t="s">
        <v>4510</v>
      </c>
      <c r="AT2695" t="s">
        <v>58</v>
      </c>
      <c r="AU2695" t="s">
        <v>419</v>
      </c>
      <c r="AV2695" t="s">
        <v>132</v>
      </c>
      <c r="AW2695" s="1">
        <v>28529</v>
      </c>
      <c r="AX2695">
        <v>2</v>
      </c>
    </row>
    <row r="2696" spans="1:50">
      <c r="A2696">
        <v>197922</v>
      </c>
      <c r="B2696" t="str">
        <f>"038119587"</f>
        <v>038119587</v>
      </c>
      <c r="C2696" t="s">
        <v>105</v>
      </c>
      <c r="D2696" t="s">
        <v>5462</v>
      </c>
      <c r="E2696" t="s">
        <v>95</v>
      </c>
      <c r="F2696" t="s">
        <v>72</v>
      </c>
      <c r="G2696" t="s">
        <v>52</v>
      </c>
      <c r="H2696" t="str">
        <f>"Β. ΟΥΓΚΩ 10 ΣΗΤΕΙΑ"</f>
        <v>Β. ΟΥΓΚΩ 10 ΣΗΤΕΙΑ</v>
      </c>
      <c r="I2696">
        <v>72300</v>
      </c>
      <c r="J2696">
        <v>2843026843</v>
      </c>
      <c r="K2696">
        <v>6944648454</v>
      </c>
      <c r="L2696">
        <v>2843026843</v>
      </c>
      <c r="M2696" t="s">
        <v>5063</v>
      </c>
      <c r="N2696" t="s">
        <v>292</v>
      </c>
      <c r="O2696" t="s">
        <v>293</v>
      </c>
      <c r="R2696" t="s">
        <v>57</v>
      </c>
      <c r="S2696">
        <v>9</v>
      </c>
      <c r="T2696">
        <v>206</v>
      </c>
      <c r="U2696" s="1">
        <v>37866</v>
      </c>
      <c r="V2696" t="s">
        <v>4509</v>
      </c>
      <c r="W2696" t="s">
        <v>4510</v>
      </c>
      <c r="X2696" t="s">
        <v>58</v>
      </c>
      <c r="Y2696">
        <v>20</v>
      </c>
      <c r="Z2696" t="s">
        <v>59</v>
      </c>
      <c r="AA2696" t="s">
        <v>59</v>
      </c>
      <c r="AB2696" t="s">
        <v>59</v>
      </c>
      <c r="AC2696" t="s">
        <v>59</v>
      </c>
      <c r="AD2696" t="s">
        <v>59</v>
      </c>
      <c r="AF2696" s="1">
        <v>37867</v>
      </c>
      <c r="AG2696" t="s">
        <v>125</v>
      </c>
      <c r="AH2696" t="s">
        <v>126</v>
      </c>
      <c r="AI2696" t="str">
        <f>"3204020"</f>
        <v>3204020</v>
      </c>
      <c r="AJ2696" t="s">
        <v>4632</v>
      </c>
      <c r="AK2696">
        <v>2843023923</v>
      </c>
      <c r="AL2696" t="s">
        <v>4633</v>
      </c>
      <c r="AM2696" t="s">
        <v>4513</v>
      </c>
      <c r="AN2696" t="s">
        <v>4540</v>
      </c>
      <c r="AO2696" t="s">
        <v>4540</v>
      </c>
      <c r="AP2696" t="s">
        <v>4540</v>
      </c>
      <c r="AQ2696">
        <v>6</v>
      </c>
      <c r="AR2696" t="s">
        <v>4509</v>
      </c>
      <c r="AS2696" t="s">
        <v>4510</v>
      </c>
      <c r="AT2696" t="s">
        <v>58</v>
      </c>
      <c r="AU2696" t="s">
        <v>68</v>
      </c>
      <c r="AV2696" t="s">
        <v>69</v>
      </c>
      <c r="AW2696" s="1">
        <v>23354</v>
      </c>
      <c r="AX2696">
        <v>2</v>
      </c>
    </row>
    <row r="2697" spans="1:50">
      <c r="A2697">
        <v>182726</v>
      </c>
      <c r="B2697" t="str">
        <f>"110367748"</f>
        <v>110367748</v>
      </c>
      <c r="C2697" t="s">
        <v>50</v>
      </c>
      <c r="D2697" t="s">
        <v>3861</v>
      </c>
      <c r="E2697" t="s">
        <v>191</v>
      </c>
      <c r="F2697" t="s">
        <v>166</v>
      </c>
      <c r="G2697" t="s">
        <v>52</v>
      </c>
      <c r="H2697" t="str">
        <f>"Δημοκρατίας 44 Σητεία"</f>
        <v>Δημοκρατίας 44 Σητεία</v>
      </c>
      <c r="I2697">
        <v>72300</v>
      </c>
      <c r="J2697">
        <v>2843023997</v>
      </c>
      <c r="K2697">
        <v>6945750937</v>
      </c>
      <c r="M2697" t="s">
        <v>5463</v>
      </c>
      <c r="N2697" t="s">
        <v>246</v>
      </c>
      <c r="O2697" t="s">
        <v>247</v>
      </c>
      <c r="R2697" t="s">
        <v>57</v>
      </c>
      <c r="S2697">
        <v>11</v>
      </c>
      <c r="T2697">
        <v>249</v>
      </c>
      <c r="U2697" s="1">
        <v>36160</v>
      </c>
      <c r="V2697" t="s">
        <v>4509</v>
      </c>
      <c r="W2697" t="s">
        <v>4510</v>
      </c>
      <c r="X2697" t="s">
        <v>58</v>
      </c>
      <c r="Y2697">
        <v>20</v>
      </c>
      <c r="Z2697" t="s">
        <v>59</v>
      </c>
      <c r="AA2697" t="s">
        <v>59</v>
      </c>
      <c r="AB2697" t="s">
        <v>59</v>
      </c>
      <c r="AC2697" t="s">
        <v>59</v>
      </c>
      <c r="AD2697" t="s">
        <v>59</v>
      </c>
      <c r="AF2697" s="1">
        <v>36164</v>
      </c>
      <c r="AG2697" t="s">
        <v>148</v>
      </c>
      <c r="AH2697" t="s">
        <v>149</v>
      </c>
      <c r="AI2697" t="str">
        <f>"3254010"</f>
        <v>3254010</v>
      </c>
      <c r="AJ2697" t="s">
        <v>4538</v>
      </c>
      <c r="AK2697">
        <v>2843022277</v>
      </c>
      <c r="AL2697" t="s">
        <v>4539</v>
      </c>
      <c r="AM2697" t="s">
        <v>4513</v>
      </c>
      <c r="AN2697" t="s">
        <v>4540</v>
      </c>
      <c r="AO2697" t="s">
        <v>4540</v>
      </c>
      <c r="AP2697" t="s">
        <v>4540</v>
      </c>
      <c r="AQ2697">
        <v>6</v>
      </c>
      <c r="AR2697" t="s">
        <v>4509</v>
      </c>
      <c r="AS2697" t="s">
        <v>4510</v>
      </c>
      <c r="AT2697" t="s">
        <v>58</v>
      </c>
      <c r="AU2697" t="s">
        <v>68</v>
      </c>
      <c r="AV2697" t="s">
        <v>69</v>
      </c>
      <c r="AW2697" s="1">
        <v>24275</v>
      </c>
      <c r="AX2697">
        <v>2</v>
      </c>
    </row>
    <row r="2698" spans="1:50">
      <c r="B2698" t="str">
        <f>"103532941"</f>
        <v>103532941</v>
      </c>
      <c r="C2698" t="s">
        <v>50</v>
      </c>
      <c r="D2698" t="s">
        <v>3865</v>
      </c>
      <c r="E2698" t="s">
        <v>707</v>
      </c>
      <c r="F2698" t="s">
        <v>166</v>
      </c>
      <c r="G2698" t="s">
        <v>52</v>
      </c>
      <c r="H2698" t="str">
        <f>"ΣΜΠΩΚΟΥ 21 ΗΡΑΚΛΕΙΟ"</f>
        <v>ΣΜΠΩΚΟΥ 21 ΗΡΑΚΛΕΙΟ</v>
      </c>
      <c r="I2698">
        <v>71306</v>
      </c>
      <c r="J2698">
        <v>2810237663</v>
      </c>
      <c r="K2698">
        <v>6977275838</v>
      </c>
      <c r="M2698" t="s">
        <v>5464</v>
      </c>
      <c r="N2698" t="s">
        <v>146</v>
      </c>
      <c r="O2698" t="s">
        <v>147</v>
      </c>
      <c r="R2698" t="s">
        <v>159</v>
      </c>
      <c r="S2698">
        <v>4</v>
      </c>
      <c r="T2698" t="s">
        <v>416</v>
      </c>
      <c r="U2698" s="1">
        <v>43349</v>
      </c>
      <c r="V2698" t="s">
        <v>4509</v>
      </c>
      <c r="W2698" t="s">
        <v>4510</v>
      </c>
      <c r="X2698" t="s">
        <v>58</v>
      </c>
      <c r="Y2698">
        <v>21</v>
      </c>
      <c r="Z2698" t="s">
        <v>59</v>
      </c>
      <c r="AA2698" t="s">
        <v>59</v>
      </c>
      <c r="AB2698" t="s">
        <v>59</v>
      </c>
      <c r="AC2698" t="s">
        <v>59</v>
      </c>
      <c r="AD2698" t="s">
        <v>59</v>
      </c>
      <c r="AF2698" s="1">
        <v>43349</v>
      </c>
      <c r="AG2698" t="s">
        <v>125</v>
      </c>
      <c r="AH2698" t="s">
        <v>126</v>
      </c>
      <c r="AI2698" t="str">
        <f>"3201010"</f>
        <v>3201010</v>
      </c>
      <c r="AJ2698" t="s">
        <v>4596</v>
      </c>
      <c r="AK2698">
        <v>2841022301</v>
      </c>
      <c r="AL2698" t="s">
        <v>4597</v>
      </c>
      <c r="AM2698" t="s">
        <v>4513</v>
      </c>
      <c r="AN2698" t="s">
        <v>4514</v>
      </c>
      <c r="AO2698" t="s">
        <v>4514</v>
      </c>
      <c r="AP2698" t="s">
        <v>4514</v>
      </c>
      <c r="AQ2698">
        <v>1</v>
      </c>
      <c r="AR2698" t="s">
        <v>4509</v>
      </c>
      <c r="AS2698" t="s">
        <v>4510</v>
      </c>
      <c r="AT2698" t="s">
        <v>58</v>
      </c>
      <c r="AU2698" t="s">
        <v>419</v>
      </c>
      <c r="AV2698" t="s">
        <v>132</v>
      </c>
      <c r="AW2698" s="1">
        <v>28769</v>
      </c>
      <c r="AX2698">
        <v>2</v>
      </c>
    </row>
    <row r="2699" spans="1:50">
      <c r="A2699">
        <v>227169</v>
      </c>
      <c r="B2699" t="str">
        <f>"063793350"</f>
        <v>063793350</v>
      </c>
      <c r="C2699" t="s">
        <v>50</v>
      </c>
      <c r="D2699" t="s">
        <v>3865</v>
      </c>
      <c r="E2699" t="s">
        <v>563</v>
      </c>
      <c r="F2699" t="s">
        <v>53</v>
      </c>
      <c r="G2699" t="s">
        <v>255</v>
      </c>
      <c r="H2699" t="str">
        <f>"ΚΝΩΣΣΟΥ 4 ΑΓ ΝΙΚΟΛΑΟΣ ΚΡΗΤΗΣ"</f>
        <v>ΚΝΩΣΣΟΥ 4 ΑΓ ΝΙΚΟΛΑΟΣ ΚΡΗΤΗΣ</v>
      </c>
      <c r="I2699">
        <v>72100</v>
      </c>
      <c r="J2699">
        <v>2841022141</v>
      </c>
      <c r="K2699">
        <v>6973317468</v>
      </c>
      <c r="M2699" t="s">
        <v>5465</v>
      </c>
      <c r="N2699" t="s">
        <v>292</v>
      </c>
      <c r="O2699" t="s">
        <v>293</v>
      </c>
      <c r="R2699" t="s">
        <v>57</v>
      </c>
      <c r="S2699">
        <v>5</v>
      </c>
      <c r="T2699">
        <v>654</v>
      </c>
      <c r="U2699" s="1">
        <v>40043</v>
      </c>
      <c r="V2699" t="s">
        <v>4509</v>
      </c>
      <c r="W2699" t="s">
        <v>4510</v>
      </c>
      <c r="X2699" t="s">
        <v>58</v>
      </c>
      <c r="Y2699">
        <v>21</v>
      </c>
      <c r="Z2699" t="s">
        <v>59</v>
      </c>
      <c r="AA2699" t="s">
        <v>59</v>
      </c>
      <c r="AB2699" t="s">
        <v>59</v>
      </c>
      <c r="AC2699" t="s">
        <v>59</v>
      </c>
      <c r="AD2699" t="s">
        <v>59</v>
      </c>
      <c r="AF2699" s="1">
        <v>40044</v>
      </c>
      <c r="AG2699" t="s">
        <v>148</v>
      </c>
      <c r="AH2699" t="s">
        <v>149</v>
      </c>
      <c r="AI2699" t="str">
        <f>"3251001"</f>
        <v>3251001</v>
      </c>
      <c r="AJ2699" t="s">
        <v>4535</v>
      </c>
      <c r="AK2699">
        <v>2841082544</v>
      </c>
      <c r="AL2699" t="s">
        <v>4536</v>
      </c>
      <c r="AM2699" t="s">
        <v>4513</v>
      </c>
      <c r="AN2699" t="s">
        <v>4514</v>
      </c>
      <c r="AO2699" t="s">
        <v>4514</v>
      </c>
      <c r="AP2699" t="s">
        <v>4514</v>
      </c>
      <c r="AQ2699">
        <v>1</v>
      </c>
      <c r="AR2699" t="s">
        <v>4509</v>
      </c>
      <c r="AS2699" t="s">
        <v>4510</v>
      </c>
      <c r="AT2699" t="s">
        <v>58</v>
      </c>
      <c r="AU2699" t="s">
        <v>68</v>
      </c>
      <c r="AV2699" t="s">
        <v>69</v>
      </c>
      <c r="AW2699" s="1">
        <v>27426</v>
      </c>
      <c r="AX2699">
        <v>2</v>
      </c>
    </row>
    <row r="2700" spans="1:50">
      <c r="A2700">
        <v>205578</v>
      </c>
      <c r="B2700" t="str">
        <f>"067763894"</f>
        <v>067763894</v>
      </c>
      <c r="C2700" t="s">
        <v>105</v>
      </c>
      <c r="D2700" t="s">
        <v>3874</v>
      </c>
      <c r="E2700" t="s">
        <v>2320</v>
      </c>
      <c r="F2700" t="s">
        <v>95</v>
      </c>
      <c r="G2700" t="s">
        <v>5466</v>
      </c>
      <c r="H2700" t="str">
        <f>" "</f>
        <v xml:space="preserve"> </v>
      </c>
      <c r="J2700">
        <v>2810743229</v>
      </c>
      <c r="K2700">
        <v>6974027265</v>
      </c>
      <c r="M2700" t="s">
        <v>5467</v>
      </c>
      <c r="N2700" t="s">
        <v>204</v>
      </c>
      <c r="O2700" t="s">
        <v>205</v>
      </c>
      <c r="R2700" t="s">
        <v>57</v>
      </c>
      <c r="S2700">
        <v>6</v>
      </c>
      <c r="T2700">
        <v>231</v>
      </c>
      <c r="U2700" s="1">
        <v>38230</v>
      </c>
      <c r="V2700" t="s">
        <v>4509</v>
      </c>
      <c r="W2700" t="s">
        <v>4510</v>
      </c>
      <c r="X2700" t="s">
        <v>58</v>
      </c>
      <c r="Y2700">
        <v>20</v>
      </c>
      <c r="Z2700" t="s">
        <v>59</v>
      </c>
      <c r="AA2700" t="s">
        <v>59</v>
      </c>
      <c r="AB2700" t="s">
        <v>59</v>
      </c>
      <c r="AC2700" t="s">
        <v>59</v>
      </c>
      <c r="AD2700" t="s">
        <v>59</v>
      </c>
      <c r="AF2700" s="1">
        <v>38231</v>
      </c>
      <c r="AG2700" t="s">
        <v>148</v>
      </c>
      <c r="AH2700" t="s">
        <v>149</v>
      </c>
      <c r="AI2700" t="str">
        <f>"3252020"</f>
        <v>3252020</v>
      </c>
      <c r="AJ2700" t="s">
        <v>4638</v>
      </c>
      <c r="AK2700">
        <v>2842022379</v>
      </c>
      <c r="AL2700" t="s">
        <v>4639</v>
      </c>
      <c r="AM2700" t="s">
        <v>4513</v>
      </c>
      <c r="AN2700" t="s">
        <v>4519</v>
      </c>
      <c r="AO2700" t="s">
        <v>4519</v>
      </c>
      <c r="AP2700" t="s">
        <v>4519</v>
      </c>
      <c r="AQ2700">
        <v>4</v>
      </c>
      <c r="AR2700" t="s">
        <v>4509</v>
      </c>
      <c r="AS2700" t="s">
        <v>4510</v>
      </c>
      <c r="AT2700" t="s">
        <v>58</v>
      </c>
      <c r="AU2700" t="s">
        <v>68</v>
      </c>
      <c r="AV2700" t="s">
        <v>69</v>
      </c>
      <c r="AW2700" s="1">
        <v>28230</v>
      </c>
      <c r="AX2700">
        <v>2</v>
      </c>
    </row>
    <row r="2701" spans="1:50">
      <c r="A2701">
        <v>204597</v>
      </c>
      <c r="B2701" t="str">
        <f>"110373755"</f>
        <v>110373755</v>
      </c>
      <c r="C2701" t="s">
        <v>105</v>
      </c>
      <c r="D2701" t="s">
        <v>5468</v>
      </c>
      <c r="E2701" t="s">
        <v>166</v>
      </c>
      <c r="F2701" t="s">
        <v>53</v>
      </c>
      <c r="G2701" t="s">
        <v>5469</v>
      </c>
      <c r="H2701" t="str">
        <f>"ΝΕΑΡΧΟΥ 3Β ΣΗΤΕΙΑ"</f>
        <v>ΝΕΑΡΧΟΥ 3Β ΣΗΤΕΙΑ</v>
      </c>
      <c r="I2701">
        <v>72300</v>
      </c>
      <c r="J2701">
        <v>2843028837</v>
      </c>
      <c r="K2701">
        <v>6937734126</v>
      </c>
      <c r="M2701" t="s">
        <v>5470</v>
      </c>
      <c r="N2701" t="s">
        <v>337</v>
      </c>
      <c r="O2701" t="s">
        <v>338</v>
      </c>
      <c r="R2701" t="s">
        <v>57</v>
      </c>
      <c r="S2701">
        <v>7</v>
      </c>
      <c r="T2701">
        <v>231</v>
      </c>
      <c r="U2701" s="1">
        <v>38230</v>
      </c>
      <c r="V2701" t="s">
        <v>4509</v>
      </c>
      <c r="W2701" t="s">
        <v>4510</v>
      </c>
      <c r="X2701" t="s">
        <v>58</v>
      </c>
      <c r="Y2701">
        <v>20</v>
      </c>
      <c r="Z2701" t="s">
        <v>59</v>
      </c>
      <c r="AA2701" t="s">
        <v>59</v>
      </c>
      <c r="AB2701" t="s">
        <v>59</v>
      </c>
      <c r="AC2701" t="s">
        <v>59</v>
      </c>
      <c r="AD2701" t="s">
        <v>59</v>
      </c>
      <c r="AF2701" s="1">
        <v>38231</v>
      </c>
      <c r="AG2701" t="s">
        <v>125</v>
      </c>
      <c r="AH2701" t="s">
        <v>126</v>
      </c>
      <c r="AI2701" t="str">
        <f>"3210015"</f>
        <v>3210015</v>
      </c>
      <c r="AJ2701" t="s">
        <v>4875</v>
      </c>
      <c r="AK2701">
        <v>2843051800</v>
      </c>
      <c r="AL2701" t="s">
        <v>4876</v>
      </c>
      <c r="AM2701" t="s">
        <v>4513</v>
      </c>
      <c r="AN2701" t="s">
        <v>4519</v>
      </c>
      <c r="AO2701" t="s">
        <v>4766</v>
      </c>
      <c r="AP2701" t="s">
        <v>4767</v>
      </c>
      <c r="AQ2701">
        <v>5</v>
      </c>
      <c r="AR2701" t="s">
        <v>4509</v>
      </c>
      <c r="AS2701" t="s">
        <v>4510</v>
      </c>
      <c r="AT2701" t="s">
        <v>58</v>
      </c>
      <c r="AU2701" t="s">
        <v>68</v>
      </c>
      <c r="AV2701" t="s">
        <v>69</v>
      </c>
      <c r="AW2701" s="1">
        <v>27725</v>
      </c>
      <c r="AX2701">
        <v>2</v>
      </c>
    </row>
    <row r="2702" spans="1:50">
      <c r="A2702">
        <v>189593</v>
      </c>
      <c r="B2702" t="str">
        <f>"047697430"</f>
        <v>047697430</v>
      </c>
      <c r="C2702" t="s">
        <v>50</v>
      </c>
      <c r="D2702" t="s">
        <v>5471</v>
      </c>
      <c r="E2702" t="s">
        <v>143</v>
      </c>
      <c r="F2702" t="s">
        <v>95</v>
      </c>
      <c r="G2702" t="s">
        <v>93</v>
      </c>
      <c r="H2702" t="str">
        <f>" "</f>
        <v xml:space="preserve"> </v>
      </c>
      <c r="J2702">
        <v>2843022454</v>
      </c>
      <c r="K2702">
        <v>6983032026</v>
      </c>
      <c r="M2702" t="s">
        <v>5472</v>
      </c>
      <c r="N2702" t="s">
        <v>146</v>
      </c>
      <c r="O2702" t="s">
        <v>147</v>
      </c>
      <c r="R2702" t="s">
        <v>57</v>
      </c>
      <c r="S2702">
        <v>8</v>
      </c>
      <c r="T2702">
        <v>219</v>
      </c>
      <c r="U2702" s="1">
        <v>37134</v>
      </c>
      <c r="V2702" t="s">
        <v>4509</v>
      </c>
      <c r="W2702" t="s">
        <v>4510</v>
      </c>
      <c r="X2702" t="s">
        <v>58</v>
      </c>
      <c r="Y2702">
        <v>20</v>
      </c>
      <c r="Z2702" t="s">
        <v>59</v>
      </c>
      <c r="AA2702" t="s">
        <v>59</v>
      </c>
      <c r="AB2702" t="s">
        <v>59</v>
      </c>
      <c r="AC2702" t="s">
        <v>59</v>
      </c>
      <c r="AD2702" t="s">
        <v>59</v>
      </c>
      <c r="AF2702" s="1">
        <v>37135</v>
      </c>
      <c r="AG2702" t="s">
        <v>148</v>
      </c>
      <c r="AH2702" t="s">
        <v>149</v>
      </c>
      <c r="AI2702" t="str">
        <f>"3254010"</f>
        <v>3254010</v>
      </c>
      <c r="AJ2702" t="s">
        <v>4538</v>
      </c>
      <c r="AK2702">
        <v>2843022277</v>
      </c>
      <c r="AL2702" t="s">
        <v>4539</v>
      </c>
      <c r="AM2702" t="s">
        <v>4513</v>
      </c>
      <c r="AN2702" t="s">
        <v>4540</v>
      </c>
      <c r="AO2702" t="s">
        <v>4540</v>
      </c>
      <c r="AP2702" t="s">
        <v>4540</v>
      </c>
      <c r="AQ2702">
        <v>6</v>
      </c>
      <c r="AR2702" t="s">
        <v>4509</v>
      </c>
      <c r="AS2702" t="s">
        <v>4510</v>
      </c>
      <c r="AT2702" t="s">
        <v>58</v>
      </c>
      <c r="AU2702" t="s">
        <v>68</v>
      </c>
      <c r="AV2702" t="s">
        <v>69</v>
      </c>
      <c r="AW2702" s="1">
        <v>26412</v>
      </c>
      <c r="AX2702">
        <v>2</v>
      </c>
    </row>
    <row r="2703" spans="1:50">
      <c r="A2703">
        <v>218242</v>
      </c>
      <c r="B2703" t="str">
        <f>"112284780"</f>
        <v>112284780</v>
      </c>
      <c r="C2703" t="s">
        <v>105</v>
      </c>
      <c r="D2703" t="s">
        <v>3881</v>
      </c>
      <c r="E2703" t="s">
        <v>166</v>
      </c>
      <c r="F2703" t="s">
        <v>450</v>
      </c>
      <c r="G2703" t="s">
        <v>3483</v>
      </c>
      <c r="H2703" t="str">
        <f>"ΠΙΣΚΟΚΕΦΑΛΟ ΠΙΣΚΟΚΕΦΑΛΟ"</f>
        <v>ΠΙΣΚΟΚΕΦΑΛΟ ΠΙΣΚΟΚΕΦΑΛΟ</v>
      </c>
      <c r="I2703">
        <v>72300</v>
      </c>
      <c r="J2703">
        <v>2843026891</v>
      </c>
      <c r="K2703">
        <v>6978188179</v>
      </c>
      <c r="M2703" t="s">
        <v>5473</v>
      </c>
      <c r="N2703" t="s">
        <v>292</v>
      </c>
      <c r="O2703" t="s">
        <v>293</v>
      </c>
      <c r="R2703" t="s">
        <v>57</v>
      </c>
      <c r="S2703">
        <v>7</v>
      </c>
      <c r="T2703">
        <v>599</v>
      </c>
      <c r="U2703" s="1">
        <v>39310</v>
      </c>
      <c r="V2703" t="s">
        <v>4509</v>
      </c>
      <c r="W2703" t="s">
        <v>4510</v>
      </c>
      <c r="X2703" t="s">
        <v>58</v>
      </c>
      <c r="Y2703">
        <v>20</v>
      </c>
      <c r="Z2703" t="s">
        <v>59</v>
      </c>
      <c r="AA2703" t="s">
        <v>59</v>
      </c>
      <c r="AB2703" t="s">
        <v>59</v>
      </c>
      <c r="AC2703" t="s">
        <v>59</v>
      </c>
      <c r="AD2703" t="s">
        <v>59</v>
      </c>
      <c r="AF2703" s="1">
        <v>39328</v>
      </c>
      <c r="AG2703" t="s">
        <v>125</v>
      </c>
      <c r="AH2703" t="s">
        <v>126</v>
      </c>
      <c r="AI2703" t="str">
        <f>"3204020"</f>
        <v>3204020</v>
      </c>
      <c r="AJ2703" t="s">
        <v>4632</v>
      </c>
      <c r="AK2703">
        <v>2843023923</v>
      </c>
      <c r="AL2703" t="s">
        <v>4633</v>
      </c>
      <c r="AM2703" t="s">
        <v>4513</v>
      </c>
      <c r="AN2703" t="s">
        <v>4540</v>
      </c>
      <c r="AO2703" t="s">
        <v>4540</v>
      </c>
      <c r="AP2703" t="s">
        <v>4540</v>
      </c>
      <c r="AQ2703">
        <v>6</v>
      </c>
      <c r="AR2703" t="s">
        <v>4509</v>
      </c>
      <c r="AS2703" t="s">
        <v>4510</v>
      </c>
      <c r="AT2703" t="s">
        <v>58</v>
      </c>
      <c r="AU2703" t="s">
        <v>68</v>
      </c>
      <c r="AV2703" t="s">
        <v>69</v>
      </c>
      <c r="AW2703" s="1">
        <v>26864</v>
      </c>
      <c r="AX2703">
        <v>2</v>
      </c>
    </row>
    <row r="2704" spans="1:50">
      <c r="A2704">
        <v>204280</v>
      </c>
      <c r="B2704" t="str">
        <f>"054309094"</f>
        <v>054309094</v>
      </c>
      <c r="C2704" t="s">
        <v>105</v>
      </c>
      <c r="D2704" t="s">
        <v>3881</v>
      </c>
      <c r="E2704" t="s">
        <v>72</v>
      </c>
      <c r="F2704" t="s">
        <v>450</v>
      </c>
      <c r="G2704" t="s">
        <v>112</v>
      </c>
      <c r="H2704" t="str">
        <f>" "</f>
        <v xml:space="preserve"> </v>
      </c>
      <c r="J2704">
        <v>2843028771</v>
      </c>
      <c r="L2704">
        <v>2843022751</v>
      </c>
      <c r="M2704" t="s">
        <v>5474</v>
      </c>
      <c r="N2704" t="s">
        <v>168</v>
      </c>
      <c r="O2704" t="s">
        <v>169</v>
      </c>
      <c r="R2704" t="s">
        <v>57</v>
      </c>
      <c r="S2704">
        <v>9</v>
      </c>
      <c r="T2704">
        <v>231</v>
      </c>
      <c r="U2704" s="1">
        <v>38230</v>
      </c>
      <c r="V2704" t="s">
        <v>4509</v>
      </c>
      <c r="W2704" t="s">
        <v>4510</v>
      </c>
      <c r="X2704" t="s">
        <v>58</v>
      </c>
      <c r="Y2704">
        <v>20</v>
      </c>
      <c r="Z2704" t="s">
        <v>59</v>
      </c>
      <c r="AA2704" t="s">
        <v>59</v>
      </c>
      <c r="AB2704" t="s">
        <v>59</v>
      </c>
      <c r="AC2704" t="s">
        <v>59</v>
      </c>
      <c r="AD2704" t="s">
        <v>59</v>
      </c>
      <c r="AF2704" s="1">
        <v>38230</v>
      </c>
      <c r="AG2704" t="s">
        <v>137</v>
      </c>
      <c r="AH2704" t="s">
        <v>138</v>
      </c>
      <c r="AI2704" t="str">
        <f>"3240020"</f>
        <v>3240020</v>
      </c>
      <c r="AJ2704" t="s">
        <v>4568</v>
      </c>
      <c r="AK2704">
        <v>2843028570</v>
      </c>
      <c r="AL2704" t="s">
        <v>4569</v>
      </c>
      <c r="AM2704" t="s">
        <v>4513</v>
      </c>
      <c r="AN2704" t="s">
        <v>4540</v>
      </c>
      <c r="AO2704" t="s">
        <v>4540</v>
      </c>
      <c r="AP2704" t="s">
        <v>4540</v>
      </c>
      <c r="AQ2704">
        <v>6</v>
      </c>
      <c r="AR2704" t="s">
        <v>4509</v>
      </c>
      <c r="AS2704" t="s">
        <v>4510</v>
      </c>
      <c r="AT2704" t="s">
        <v>58</v>
      </c>
      <c r="AU2704" t="s">
        <v>68</v>
      </c>
      <c r="AV2704" t="s">
        <v>69</v>
      </c>
      <c r="AW2704" s="1">
        <v>24073</v>
      </c>
      <c r="AX2704">
        <v>2</v>
      </c>
    </row>
    <row r="2705" spans="1:50">
      <c r="B2705" t="str">
        <f>"050278073"</f>
        <v>050278073</v>
      </c>
      <c r="C2705" t="s">
        <v>105</v>
      </c>
      <c r="D2705" t="s">
        <v>5475</v>
      </c>
      <c r="E2705" t="s">
        <v>106</v>
      </c>
      <c r="F2705" t="s">
        <v>760</v>
      </c>
      <c r="G2705" t="s">
        <v>372</v>
      </c>
      <c r="H2705" t="str">
        <f>"ΑΓ.ΦΑΝΟΥΡΙΟΥ 2 "</f>
        <v xml:space="preserve">ΑΓ.ΦΑΝΟΥΡΙΟΥ 2 </v>
      </c>
      <c r="I2705">
        <v>71601</v>
      </c>
      <c r="J2705">
        <v>2810228477</v>
      </c>
      <c r="K2705">
        <v>6979025513</v>
      </c>
      <c r="N2705" t="s">
        <v>342</v>
      </c>
      <c r="O2705" t="s">
        <v>343</v>
      </c>
      <c r="R2705" t="s">
        <v>159</v>
      </c>
      <c r="S2705">
        <v>4</v>
      </c>
      <c r="T2705" t="s">
        <v>344</v>
      </c>
      <c r="U2705" s="1">
        <v>43348</v>
      </c>
      <c r="V2705" t="s">
        <v>4509</v>
      </c>
      <c r="W2705" t="s">
        <v>4510</v>
      </c>
      <c r="X2705" t="s">
        <v>58</v>
      </c>
      <c r="Y2705">
        <v>23</v>
      </c>
      <c r="Z2705" t="s">
        <v>59</v>
      </c>
      <c r="AA2705" t="s">
        <v>59</v>
      </c>
      <c r="AB2705" t="s">
        <v>59</v>
      </c>
      <c r="AC2705" t="s">
        <v>59</v>
      </c>
      <c r="AD2705" t="s">
        <v>59</v>
      </c>
      <c r="AF2705" s="1">
        <v>43348</v>
      </c>
      <c r="AG2705" t="s">
        <v>345</v>
      </c>
      <c r="AH2705" t="s">
        <v>346</v>
      </c>
      <c r="AI2705" t="str">
        <f>"3241010"</f>
        <v>3241010</v>
      </c>
      <c r="AJ2705" t="s">
        <v>4773</v>
      </c>
      <c r="AK2705">
        <v>2843029465</v>
      </c>
      <c r="AL2705" t="s">
        <v>4774</v>
      </c>
      <c r="AM2705" t="s">
        <v>4513</v>
      </c>
      <c r="AN2705" t="s">
        <v>4540</v>
      </c>
      <c r="AO2705" t="s">
        <v>4540</v>
      </c>
      <c r="AP2705" t="s">
        <v>4540</v>
      </c>
      <c r="AQ2705">
        <v>6</v>
      </c>
      <c r="AR2705" t="s">
        <v>4509</v>
      </c>
      <c r="AS2705" t="s">
        <v>4510</v>
      </c>
      <c r="AT2705" t="s">
        <v>58</v>
      </c>
      <c r="AU2705" t="s">
        <v>350</v>
      </c>
      <c r="AV2705" t="s">
        <v>132</v>
      </c>
      <c r="AW2705" s="1">
        <v>32129</v>
      </c>
      <c r="AX2705">
        <v>2</v>
      </c>
    </row>
    <row r="2706" spans="1:50">
      <c r="A2706">
        <v>219672</v>
      </c>
      <c r="B2706" t="str">
        <f>"064312684"</f>
        <v>064312684</v>
      </c>
      <c r="C2706" t="s">
        <v>50</v>
      </c>
      <c r="D2706" t="s">
        <v>5476</v>
      </c>
      <c r="E2706" t="s">
        <v>263</v>
      </c>
      <c r="F2706" t="s">
        <v>760</v>
      </c>
      <c r="G2706" t="s">
        <v>658</v>
      </c>
      <c r="H2706" t="str">
        <f>" "</f>
        <v xml:space="preserve"> </v>
      </c>
      <c r="J2706">
        <v>2810241940</v>
      </c>
      <c r="K2706">
        <v>6942522830</v>
      </c>
      <c r="N2706" t="s">
        <v>299</v>
      </c>
      <c r="O2706" t="s">
        <v>300</v>
      </c>
      <c r="R2706" t="s">
        <v>57</v>
      </c>
      <c r="S2706">
        <v>7</v>
      </c>
      <c r="T2706">
        <v>599</v>
      </c>
      <c r="U2706" s="1">
        <v>39310</v>
      </c>
      <c r="V2706" t="s">
        <v>4509</v>
      </c>
      <c r="W2706" t="s">
        <v>4510</v>
      </c>
      <c r="X2706" t="s">
        <v>58</v>
      </c>
      <c r="Y2706">
        <v>21</v>
      </c>
      <c r="Z2706" t="s">
        <v>59</v>
      </c>
      <c r="AA2706" t="s">
        <v>59</v>
      </c>
      <c r="AB2706" t="s">
        <v>59</v>
      </c>
      <c r="AC2706" t="s">
        <v>59</v>
      </c>
      <c r="AD2706" t="s">
        <v>59</v>
      </c>
      <c r="AF2706" s="1">
        <v>39328</v>
      </c>
      <c r="AG2706" t="s">
        <v>137</v>
      </c>
      <c r="AH2706" t="s">
        <v>138</v>
      </c>
      <c r="AI2706" t="str">
        <f>"3240020"</f>
        <v>3240020</v>
      </c>
      <c r="AJ2706" t="s">
        <v>4568</v>
      </c>
      <c r="AK2706">
        <v>2843028570</v>
      </c>
      <c r="AL2706" t="s">
        <v>4569</v>
      </c>
      <c r="AM2706" t="s">
        <v>4513</v>
      </c>
      <c r="AN2706" t="s">
        <v>4540</v>
      </c>
      <c r="AO2706" t="s">
        <v>4540</v>
      </c>
      <c r="AP2706" t="s">
        <v>4540</v>
      </c>
      <c r="AQ2706">
        <v>6</v>
      </c>
      <c r="AR2706" t="s">
        <v>4509</v>
      </c>
      <c r="AS2706" t="s">
        <v>4510</v>
      </c>
      <c r="AT2706" t="s">
        <v>58</v>
      </c>
      <c r="AU2706" t="s">
        <v>68</v>
      </c>
      <c r="AV2706" t="s">
        <v>69</v>
      </c>
      <c r="AW2706" s="1">
        <v>29523</v>
      </c>
      <c r="AX2706">
        <v>2</v>
      </c>
    </row>
    <row r="2707" spans="1:50">
      <c r="A2707">
        <v>154109</v>
      </c>
      <c r="B2707" t="str">
        <f>"063485038"</f>
        <v>063485038</v>
      </c>
      <c r="C2707" t="s">
        <v>50</v>
      </c>
      <c r="D2707" t="s">
        <v>3908</v>
      </c>
      <c r="E2707" t="s">
        <v>600</v>
      </c>
      <c r="F2707" t="s">
        <v>166</v>
      </c>
      <c r="G2707" t="s">
        <v>658</v>
      </c>
      <c r="H2707" t="str">
        <f>" "</f>
        <v xml:space="preserve"> </v>
      </c>
      <c r="J2707">
        <v>2843028050</v>
      </c>
      <c r="M2707" t="s">
        <v>4845</v>
      </c>
      <c r="N2707" t="s">
        <v>146</v>
      </c>
      <c r="O2707" t="s">
        <v>147</v>
      </c>
      <c r="R2707" t="s">
        <v>57</v>
      </c>
      <c r="S2707">
        <v>16</v>
      </c>
      <c r="T2707">
        <v>161</v>
      </c>
      <c r="U2707" s="1">
        <v>32387</v>
      </c>
      <c r="V2707" t="s">
        <v>4509</v>
      </c>
      <c r="W2707" t="s">
        <v>4510</v>
      </c>
      <c r="X2707" t="s">
        <v>58</v>
      </c>
      <c r="Y2707">
        <v>18</v>
      </c>
      <c r="Z2707" t="s">
        <v>59</v>
      </c>
      <c r="AA2707" t="s">
        <v>59</v>
      </c>
      <c r="AB2707" t="s">
        <v>59</v>
      </c>
      <c r="AC2707" t="s">
        <v>59</v>
      </c>
      <c r="AD2707" t="s">
        <v>59</v>
      </c>
      <c r="AF2707" s="1">
        <v>32387</v>
      </c>
      <c r="AG2707" t="s">
        <v>125</v>
      </c>
      <c r="AH2707" t="s">
        <v>126</v>
      </c>
      <c r="AI2707" t="str">
        <f>"3209010"</f>
        <v>3209010</v>
      </c>
      <c r="AJ2707" t="s">
        <v>4698</v>
      </c>
      <c r="AK2707">
        <v>2843061207</v>
      </c>
      <c r="AL2707" t="s">
        <v>4699</v>
      </c>
      <c r="AM2707" t="s">
        <v>4513</v>
      </c>
      <c r="AN2707" t="s">
        <v>4540</v>
      </c>
      <c r="AO2707" t="s">
        <v>4700</v>
      </c>
      <c r="AP2707" t="s">
        <v>4701</v>
      </c>
      <c r="AQ2707">
        <v>6</v>
      </c>
      <c r="AR2707" t="s">
        <v>4509</v>
      </c>
      <c r="AS2707" t="s">
        <v>4510</v>
      </c>
      <c r="AT2707" t="s">
        <v>58</v>
      </c>
      <c r="AU2707" t="s">
        <v>68</v>
      </c>
      <c r="AV2707" t="s">
        <v>69</v>
      </c>
      <c r="AW2707" s="1">
        <v>22567</v>
      </c>
      <c r="AX2707">
        <v>2</v>
      </c>
    </row>
    <row r="2708" spans="1:50">
      <c r="A2708">
        <v>213947</v>
      </c>
      <c r="B2708" t="str">
        <f>"110328201"</f>
        <v>110328201</v>
      </c>
      <c r="C2708" t="s">
        <v>50</v>
      </c>
      <c r="D2708" t="s">
        <v>3917</v>
      </c>
      <c r="E2708" t="s">
        <v>250</v>
      </c>
      <c r="F2708" t="s">
        <v>95</v>
      </c>
      <c r="G2708" t="s">
        <v>3483</v>
      </c>
      <c r="H2708" t="str">
        <f>" "</f>
        <v xml:space="preserve"> </v>
      </c>
      <c r="J2708">
        <v>2841028633</v>
      </c>
      <c r="K2708">
        <v>6977008222</v>
      </c>
      <c r="M2708" t="s">
        <v>5477</v>
      </c>
      <c r="N2708" t="s">
        <v>306</v>
      </c>
      <c r="O2708" t="s">
        <v>307</v>
      </c>
      <c r="R2708" t="s">
        <v>57</v>
      </c>
      <c r="S2708">
        <v>7</v>
      </c>
      <c r="T2708">
        <v>231</v>
      </c>
      <c r="U2708" s="1">
        <v>38960</v>
      </c>
      <c r="V2708" t="s">
        <v>4509</v>
      </c>
      <c r="W2708" t="s">
        <v>4510</v>
      </c>
      <c r="X2708" t="s">
        <v>58</v>
      </c>
      <c r="Y2708">
        <v>20</v>
      </c>
      <c r="Z2708" t="s">
        <v>59</v>
      </c>
      <c r="AA2708" t="s">
        <v>59</v>
      </c>
      <c r="AB2708" t="s">
        <v>59</v>
      </c>
      <c r="AC2708" t="s">
        <v>59</v>
      </c>
      <c r="AD2708" t="s">
        <v>59</v>
      </c>
      <c r="AF2708" s="1">
        <v>38961</v>
      </c>
      <c r="AG2708" t="s">
        <v>125</v>
      </c>
      <c r="AH2708" t="s">
        <v>126</v>
      </c>
      <c r="AI2708" t="str">
        <f>"3201010"</f>
        <v>3201010</v>
      </c>
      <c r="AJ2708" t="s">
        <v>4596</v>
      </c>
      <c r="AK2708">
        <v>2841022301</v>
      </c>
      <c r="AL2708" t="s">
        <v>4597</v>
      </c>
      <c r="AM2708" t="s">
        <v>4513</v>
      </c>
      <c r="AN2708" t="s">
        <v>4514</v>
      </c>
      <c r="AO2708" t="s">
        <v>4514</v>
      </c>
      <c r="AP2708" t="s">
        <v>4514</v>
      </c>
      <c r="AQ2708">
        <v>1</v>
      </c>
      <c r="AR2708" t="s">
        <v>4509</v>
      </c>
      <c r="AS2708" t="s">
        <v>4510</v>
      </c>
      <c r="AT2708" t="s">
        <v>58</v>
      </c>
      <c r="AU2708" t="s">
        <v>68</v>
      </c>
      <c r="AV2708" t="s">
        <v>69</v>
      </c>
      <c r="AW2708" s="1">
        <v>28924</v>
      </c>
      <c r="AX2708">
        <v>2</v>
      </c>
    </row>
    <row r="2709" spans="1:50">
      <c r="A2709">
        <v>205776</v>
      </c>
      <c r="B2709" t="str">
        <f>"049989433"</f>
        <v>049989433</v>
      </c>
      <c r="C2709" t="s">
        <v>105</v>
      </c>
      <c r="D2709" t="s">
        <v>5478</v>
      </c>
      <c r="E2709" t="s">
        <v>166</v>
      </c>
      <c r="F2709" t="s">
        <v>670</v>
      </c>
      <c r="G2709" t="s">
        <v>4455</v>
      </c>
      <c r="H2709" t="str">
        <f>"ΑΝΔΡΕΑ ΠΑΠΑΝΔΡΕΟΥ 77 ΕΛΟΥΝΤΑ ΛΑΣΙΘΙΟΥ"</f>
        <v>ΑΝΔΡΕΑ ΠΑΠΑΝΔΡΕΟΥ 77 ΕΛΟΥΝΤΑ ΛΑΣΙΘΙΟΥ</v>
      </c>
      <c r="I2709">
        <v>72053</v>
      </c>
      <c r="J2709">
        <v>2841041806</v>
      </c>
      <c r="K2709">
        <v>6945264564</v>
      </c>
      <c r="L2709">
        <v>2841041548</v>
      </c>
      <c r="M2709" t="s">
        <v>5479</v>
      </c>
      <c r="N2709" t="s">
        <v>204</v>
      </c>
      <c r="O2709" t="s">
        <v>205</v>
      </c>
      <c r="R2709" t="s">
        <v>57</v>
      </c>
      <c r="S2709">
        <v>7</v>
      </c>
      <c r="T2709">
        <v>231</v>
      </c>
      <c r="U2709" s="1">
        <v>38230</v>
      </c>
      <c r="V2709" t="s">
        <v>4509</v>
      </c>
      <c r="W2709" t="s">
        <v>4510</v>
      </c>
      <c r="X2709" t="s">
        <v>58</v>
      </c>
      <c r="Y2709">
        <v>20</v>
      </c>
      <c r="Z2709" t="s">
        <v>59</v>
      </c>
      <c r="AA2709" t="s">
        <v>59</v>
      </c>
      <c r="AB2709" t="s">
        <v>59</v>
      </c>
      <c r="AC2709" t="s">
        <v>59</v>
      </c>
      <c r="AD2709" t="s">
        <v>59</v>
      </c>
      <c r="AF2709" s="1">
        <v>38231</v>
      </c>
      <c r="AG2709" t="s">
        <v>137</v>
      </c>
      <c r="AH2709" t="s">
        <v>138</v>
      </c>
      <c r="AI2709" t="str">
        <f>"3240077"</f>
        <v>3240077</v>
      </c>
      <c r="AJ2709" t="s">
        <v>4528</v>
      </c>
      <c r="AK2709">
        <v>2841025978</v>
      </c>
      <c r="AL2709" t="s">
        <v>4529</v>
      </c>
      <c r="AM2709" t="s">
        <v>4513</v>
      </c>
      <c r="AN2709" t="s">
        <v>4514</v>
      </c>
      <c r="AO2709" t="s">
        <v>4514</v>
      </c>
      <c r="AP2709" t="s">
        <v>4514</v>
      </c>
      <c r="AQ2709">
        <v>1</v>
      </c>
      <c r="AR2709" t="s">
        <v>4509</v>
      </c>
      <c r="AS2709" t="s">
        <v>4510</v>
      </c>
      <c r="AT2709" t="s">
        <v>58</v>
      </c>
      <c r="AU2709" t="s">
        <v>68</v>
      </c>
      <c r="AV2709" t="s">
        <v>69</v>
      </c>
      <c r="AW2709" s="1">
        <v>28088</v>
      </c>
      <c r="AX2709">
        <v>2</v>
      </c>
    </row>
    <row r="2710" spans="1:50">
      <c r="A2710">
        <v>181340</v>
      </c>
      <c r="B2710" t="str">
        <f>"035857150"</f>
        <v>035857150</v>
      </c>
      <c r="C2710" t="s">
        <v>50</v>
      </c>
      <c r="D2710" t="s">
        <v>5480</v>
      </c>
      <c r="E2710" t="s">
        <v>372</v>
      </c>
      <c r="F2710" t="s">
        <v>99</v>
      </c>
      <c r="G2710" t="s">
        <v>1694</v>
      </c>
      <c r="H2710" t="str">
        <f>"ΕΛΟΥΝΤΑ ΕΛΟΥΝΤΑ"</f>
        <v>ΕΛΟΥΝΤΑ ΕΛΟΥΝΤΑ</v>
      </c>
      <c r="I2710">
        <v>72053</v>
      </c>
      <c r="K2710">
        <v>6974024079</v>
      </c>
      <c r="M2710" t="s">
        <v>5481</v>
      </c>
      <c r="N2710" t="s">
        <v>288</v>
      </c>
      <c r="O2710" t="s">
        <v>289</v>
      </c>
      <c r="R2710" t="s">
        <v>57</v>
      </c>
      <c r="S2710">
        <v>13</v>
      </c>
      <c r="T2710">
        <v>164</v>
      </c>
      <c r="U2710" s="1">
        <v>36040</v>
      </c>
      <c r="V2710" t="s">
        <v>4509</v>
      </c>
      <c r="W2710" t="s">
        <v>4510</v>
      </c>
      <c r="X2710" t="s">
        <v>58</v>
      </c>
      <c r="Y2710">
        <v>18</v>
      </c>
      <c r="Z2710" t="s">
        <v>59</v>
      </c>
      <c r="AA2710" t="s">
        <v>59</v>
      </c>
      <c r="AB2710" t="s">
        <v>59</v>
      </c>
      <c r="AC2710" t="s">
        <v>59</v>
      </c>
      <c r="AD2710" t="s">
        <v>59</v>
      </c>
      <c r="AF2710" s="1">
        <v>36040</v>
      </c>
      <c r="AG2710" t="s">
        <v>125</v>
      </c>
      <c r="AH2710" t="s">
        <v>126</v>
      </c>
      <c r="AI2710" t="str">
        <f>"3201020"</f>
        <v>3201020</v>
      </c>
      <c r="AJ2710" t="s">
        <v>4511</v>
      </c>
      <c r="AK2710">
        <v>2841024586</v>
      </c>
      <c r="AL2710" t="s">
        <v>4512</v>
      </c>
      <c r="AM2710" t="s">
        <v>4513</v>
      </c>
      <c r="AN2710" t="s">
        <v>4514</v>
      </c>
      <c r="AO2710" t="s">
        <v>4514</v>
      </c>
      <c r="AP2710" t="s">
        <v>4514</v>
      </c>
      <c r="AQ2710">
        <v>1</v>
      </c>
      <c r="AR2710" t="s">
        <v>4509</v>
      </c>
      <c r="AS2710" t="s">
        <v>4510</v>
      </c>
      <c r="AT2710" t="s">
        <v>58</v>
      </c>
      <c r="AU2710" t="s">
        <v>68</v>
      </c>
      <c r="AV2710" t="s">
        <v>69</v>
      </c>
      <c r="AW2710" s="1">
        <v>23683</v>
      </c>
      <c r="AX2710">
        <v>2</v>
      </c>
    </row>
    <row r="2711" spans="1:50">
      <c r="A2711">
        <v>703944</v>
      </c>
      <c r="B2711" t="str">
        <f>"132128539"</f>
        <v>132128539</v>
      </c>
      <c r="C2711" t="s">
        <v>50</v>
      </c>
      <c r="D2711" t="s">
        <v>5482</v>
      </c>
      <c r="E2711" t="s">
        <v>109</v>
      </c>
      <c r="F2711" t="s">
        <v>99</v>
      </c>
      <c r="G2711" t="s">
        <v>155</v>
      </c>
      <c r="H2711" t="str">
        <f>"Κ. ΒΑΡΝΑΛΗ 12 "</f>
        <v xml:space="preserve">Κ. ΒΑΡΝΑΛΗ 12 </v>
      </c>
      <c r="I2711">
        <v>59200</v>
      </c>
      <c r="J2711">
        <v>2332027617</v>
      </c>
      <c r="K2711">
        <v>6947819979</v>
      </c>
      <c r="M2711" t="s">
        <v>5483</v>
      </c>
      <c r="N2711" t="s">
        <v>306</v>
      </c>
      <c r="O2711" t="s">
        <v>307</v>
      </c>
      <c r="R2711" t="s">
        <v>57</v>
      </c>
      <c r="S2711">
        <v>3</v>
      </c>
      <c r="T2711" t="s">
        <v>3204</v>
      </c>
      <c r="U2711" s="1">
        <v>40413</v>
      </c>
      <c r="V2711" t="s">
        <v>4509</v>
      </c>
      <c r="W2711" t="s">
        <v>4510</v>
      </c>
      <c r="X2711" t="s">
        <v>58</v>
      </c>
      <c r="Y2711">
        <v>21</v>
      </c>
      <c r="Z2711" t="s">
        <v>59</v>
      </c>
      <c r="AA2711" t="s">
        <v>59</v>
      </c>
      <c r="AB2711" t="s">
        <v>59</v>
      </c>
      <c r="AC2711" t="s">
        <v>59</v>
      </c>
      <c r="AD2711" t="s">
        <v>59</v>
      </c>
      <c r="AF2711" s="1">
        <v>42716</v>
      </c>
      <c r="AG2711" t="s">
        <v>137</v>
      </c>
      <c r="AH2711" t="s">
        <v>469</v>
      </c>
      <c r="AI2711" t="str">
        <f>"3240125"</f>
        <v>3240125</v>
      </c>
      <c r="AJ2711" t="s">
        <v>4707</v>
      </c>
      <c r="AK2711">
        <v>2842024905</v>
      </c>
      <c r="AL2711" t="s">
        <v>4708</v>
      </c>
      <c r="AM2711" t="s">
        <v>4513</v>
      </c>
      <c r="AN2711" t="s">
        <v>4519</v>
      </c>
      <c r="AO2711" t="s">
        <v>4519</v>
      </c>
      <c r="AP2711" t="s">
        <v>4519</v>
      </c>
      <c r="AQ2711">
        <v>4</v>
      </c>
      <c r="AR2711" t="s">
        <v>4509</v>
      </c>
      <c r="AS2711" t="s">
        <v>4510</v>
      </c>
      <c r="AT2711" t="s">
        <v>58</v>
      </c>
      <c r="AU2711" t="s">
        <v>68</v>
      </c>
      <c r="AV2711" t="s">
        <v>69</v>
      </c>
      <c r="AW2711" s="1">
        <v>31413</v>
      </c>
      <c r="AX2711">
        <v>2</v>
      </c>
    </row>
    <row r="2712" spans="1:50">
      <c r="B2712" t="str">
        <f>"114571738"</f>
        <v>114571738</v>
      </c>
      <c r="C2712" t="s">
        <v>50</v>
      </c>
      <c r="D2712" t="s">
        <v>3930</v>
      </c>
      <c r="E2712" t="s">
        <v>54</v>
      </c>
      <c r="F2712" t="s">
        <v>72</v>
      </c>
      <c r="G2712" t="s">
        <v>237</v>
      </c>
      <c r="H2712" t="str">
        <f>"ΝΙΔΑΣ 5 "</f>
        <v xml:space="preserve">ΝΙΔΑΣ 5 </v>
      </c>
      <c r="I2712">
        <v>71307</v>
      </c>
      <c r="J2712">
        <v>2810224151</v>
      </c>
      <c r="K2712">
        <v>6974427788</v>
      </c>
      <c r="N2712" t="s">
        <v>536</v>
      </c>
      <c r="O2712" t="s">
        <v>537</v>
      </c>
      <c r="R2712" t="s">
        <v>159</v>
      </c>
      <c r="S2712">
        <v>4</v>
      </c>
      <c r="T2712" t="s">
        <v>344</v>
      </c>
      <c r="U2712" s="1">
        <v>43348</v>
      </c>
      <c r="V2712" t="s">
        <v>4509</v>
      </c>
      <c r="W2712" t="s">
        <v>4510</v>
      </c>
      <c r="X2712" t="s">
        <v>58</v>
      </c>
      <c r="Y2712">
        <v>23</v>
      </c>
      <c r="Z2712" t="s">
        <v>59</v>
      </c>
      <c r="AA2712" t="s">
        <v>59</v>
      </c>
      <c r="AB2712" t="s">
        <v>59</v>
      </c>
      <c r="AC2712" t="s">
        <v>59</v>
      </c>
      <c r="AD2712" t="s">
        <v>59</v>
      </c>
      <c r="AF2712" s="1">
        <v>43348</v>
      </c>
      <c r="AG2712" t="s">
        <v>125</v>
      </c>
      <c r="AH2712" t="s">
        <v>126</v>
      </c>
      <c r="AI2712" t="str">
        <f>"3204020"</f>
        <v>3204020</v>
      </c>
      <c r="AJ2712" t="s">
        <v>4632</v>
      </c>
      <c r="AK2712">
        <v>2843023923</v>
      </c>
      <c r="AL2712" t="s">
        <v>4633</v>
      </c>
      <c r="AM2712" t="s">
        <v>4513</v>
      </c>
      <c r="AN2712" t="s">
        <v>4540</v>
      </c>
      <c r="AO2712" t="s">
        <v>4540</v>
      </c>
      <c r="AP2712" t="s">
        <v>4540</v>
      </c>
      <c r="AQ2712">
        <v>6</v>
      </c>
      <c r="AR2712" t="s">
        <v>4509</v>
      </c>
      <c r="AS2712" t="s">
        <v>4510</v>
      </c>
      <c r="AT2712" t="s">
        <v>58</v>
      </c>
      <c r="AU2712" t="s">
        <v>350</v>
      </c>
      <c r="AV2712" t="s">
        <v>132</v>
      </c>
      <c r="AW2712" s="1">
        <v>30843</v>
      </c>
      <c r="AX2712">
        <v>2</v>
      </c>
    </row>
    <row r="2713" spans="1:50">
      <c r="A2713">
        <v>225188</v>
      </c>
      <c r="B2713" t="str">
        <f>"110367460"</f>
        <v>110367460</v>
      </c>
      <c r="C2713" t="s">
        <v>105</v>
      </c>
      <c r="D2713" t="s">
        <v>5484</v>
      </c>
      <c r="E2713" t="s">
        <v>1357</v>
      </c>
      <c r="F2713" t="s">
        <v>564</v>
      </c>
      <c r="G2713" t="s">
        <v>73</v>
      </c>
      <c r="H2713" t="str">
        <f>" "</f>
        <v xml:space="preserve"> </v>
      </c>
      <c r="J2713">
        <v>2843027227</v>
      </c>
      <c r="K2713">
        <v>6973336882</v>
      </c>
      <c r="M2713" t="s">
        <v>5485</v>
      </c>
      <c r="N2713" t="s">
        <v>176</v>
      </c>
      <c r="O2713" t="s">
        <v>177</v>
      </c>
      <c r="R2713" t="s">
        <v>57</v>
      </c>
      <c r="S2713">
        <v>6</v>
      </c>
      <c r="T2713">
        <v>775</v>
      </c>
      <c r="U2713" s="1">
        <v>39680</v>
      </c>
      <c r="V2713" t="s">
        <v>4509</v>
      </c>
      <c r="W2713" t="s">
        <v>4510</v>
      </c>
      <c r="X2713" t="s">
        <v>58</v>
      </c>
      <c r="Y2713">
        <v>20</v>
      </c>
      <c r="Z2713" t="s">
        <v>59</v>
      </c>
      <c r="AA2713" t="s">
        <v>59</v>
      </c>
      <c r="AB2713" t="s">
        <v>59</v>
      </c>
      <c r="AC2713" t="s">
        <v>59</v>
      </c>
      <c r="AD2713" t="s">
        <v>59</v>
      </c>
      <c r="AF2713" s="1">
        <v>39692</v>
      </c>
      <c r="AG2713" t="s">
        <v>125</v>
      </c>
      <c r="AH2713" t="s">
        <v>126</v>
      </c>
      <c r="AI2713" t="str">
        <f>"3204020"</f>
        <v>3204020</v>
      </c>
      <c r="AJ2713" t="s">
        <v>4632</v>
      </c>
      <c r="AK2713">
        <v>2843023923</v>
      </c>
      <c r="AL2713" t="s">
        <v>4633</v>
      </c>
      <c r="AM2713" t="s">
        <v>4513</v>
      </c>
      <c r="AN2713" t="s">
        <v>4540</v>
      </c>
      <c r="AO2713" t="s">
        <v>4540</v>
      </c>
      <c r="AP2713" t="s">
        <v>4540</v>
      </c>
      <c r="AQ2713">
        <v>6</v>
      </c>
      <c r="AR2713" t="s">
        <v>4509</v>
      </c>
      <c r="AS2713" t="s">
        <v>4510</v>
      </c>
      <c r="AT2713" t="s">
        <v>58</v>
      </c>
      <c r="AU2713" t="s">
        <v>68</v>
      </c>
      <c r="AV2713" t="s">
        <v>132</v>
      </c>
      <c r="AW2713" s="1">
        <v>27898</v>
      </c>
      <c r="AX2713">
        <v>2</v>
      </c>
    </row>
    <row r="2714" spans="1:50">
      <c r="A2714">
        <v>192826</v>
      </c>
      <c r="B2714" t="str">
        <f>"044181399"</f>
        <v>044181399</v>
      </c>
      <c r="C2714" t="s">
        <v>105</v>
      </c>
      <c r="D2714" t="s">
        <v>5486</v>
      </c>
      <c r="E2714" t="s">
        <v>95</v>
      </c>
      <c r="F2714" t="s">
        <v>99</v>
      </c>
      <c r="G2714" t="s">
        <v>869</v>
      </c>
      <c r="H2714" t="str">
        <f>" "</f>
        <v xml:space="preserve"> </v>
      </c>
      <c r="J2714">
        <v>2841082679</v>
      </c>
      <c r="K2714">
        <v>6972446313</v>
      </c>
      <c r="M2714" t="s">
        <v>5487</v>
      </c>
      <c r="N2714" t="s">
        <v>157</v>
      </c>
      <c r="O2714" t="s">
        <v>158</v>
      </c>
      <c r="R2714" t="s">
        <v>57</v>
      </c>
      <c r="S2714">
        <v>10</v>
      </c>
      <c r="T2714">
        <v>193</v>
      </c>
      <c r="U2714" s="1">
        <v>37497</v>
      </c>
      <c r="V2714" t="s">
        <v>4509</v>
      </c>
      <c r="W2714" t="s">
        <v>4510</v>
      </c>
      <c r="X2714" t="s">
        <v>58</v>
      </c>
      <c r="Y2714">
        <v>18</v>
      </c>
      <c r="Z2714" t="s">
        <v>59</v>
      </c>
      <c r="AA2714" t="s">
        <v>59</v>
      </c>
      <c r="AB2714" t="s">
        <v>59</v>
      </c>
      <c r="AC2714" t="s">
        <v>59</v>
      </c>
      <c r="AD2714" t="s">
        <v>59</v>
      </c>
      <c r="AF2714" s="1">
        <v>37500</v>
      </c>
      <c r="AG2714" t="s">
        <v>148</v>
      </c>
      <c r="AH2714" t="s">
        <v>149</v>
      </c>
      <c r="AI2714" t="str">
        <f>"3251001"</f>
        <v>3251001</v>
      </c>
      <c r="AJ2714" t="s">
        <v>4535</v>
      </c>
      <c r="AK2714">
        <v>2841082544</v>
      </c>
      <c r="AL2714" t="s">
        <v>4536</v>
      </c>
      <c r="AM2714" t="s">
        <v>4513</v>
      </c>
      <c r="AN2714" t="s">
        <v>4514</v>
      </c>
      <c r="AO2714" t="s">
        <v>4514</v>
      </c>
      <c r="AP2714" t="s">
        <v>4514</v>
      </c>
      <c r="AQ2714">
        <v>1</v>
      </c>
      <c r="AR2714" t="s">
        <v>4509</v>
      </c>
      <c r="AS2714" t="s">
        <v>4510</v>
      </c>
      <c r="AT2714" t="s">
        <v>58</v>
      </c>
      <c r="AU2714" t="s">
        <v>68</v>
      </c>
      <c r="AV2714" t="s">
        <v>69</v>
      </c>
      <c r="AW2714" s="1">
        <v>24562</v>
      </c>
      <c r="AX2714">
        <v>2</v>
      </c>
    </row>
    <row r="2715" spans="1:50">
      <c r="A2715">
        <v>208775</v>
      </c>
      <c r="B2715" t="str">
        <f>"042112036"</f>
        <v>042112036</v>
      </c>
      <c r="C2715" t="s">
        <v>105</v>
      </c>
      <c r="D2715" t="s">
        <v>5486</v>
      </c>
      <c r="E2715" t="s">
        <v>72</v>
      </c>
      <c r="F2715" t="s">
        <v>99</v>
      </c>
      <c r="G2715" t="s">
        <v>507</v>
      </c>
      <c r="H2715" t="str">
        <f>" "</f>
        <v xml:space="preserve"> </v>
      </c>
      <c r="J2715">
        <v>2841026337</v>
      </c>
      <c r="K2715">
        <v>6977475034</v>
      </c>
      <c r="N2715" t="s">
        <v>299</v>
      </c>
      <c r="O2715" t="s">
        <v>300</v>
      </c>
      <c r="R2715" t="s">
        <v>57</v>
      </c>
      <c r="S2715">
        <v>9</v>
      </c>
      <c r="T2715">
        <v>218</v>
      </c>
      <c r="U2715" s="1">
        <v>38596</v>
      </c>
      <c r="V2715" t="s">
        <v>4509</v>
      </c>
      <c r="W2715" t="s">
        <v>4510</v>
      </c>
      <c r="X2715" t="s">
        <v>58</v>
      </c>
      <c r="Y2715">
        <v>20</v>
      </c>
      <c r="Z2715" t="s">
        <v>59</v>
      </c>
      <c r="AA2715" t="s">
        <v>59</v>
      </c>
      <c r="AB2715" t="s">
        <v>59</v>
      </c>
      <c r="AC2715" t="s">
        <v>59</v>
      </c>
      <c r="AD2715" t="s">
        <v>59</v>
      </c>
      <c r="AF2715" s="1">
        <v>38601</v>
      </c>
      <c r="AG2715" t="s">
        <v>137</v>
      </c>
      <c r="AH2715" t="s">
        <v>138</v>
      </c>
      <c r="AI2715" t="str">
        <f>"3240077"</f>
        <v>3240077</v>
      </c>
      <c r="AJ2715" t="s">
        <v>4528</v>
      </c>
      <c r="AK2715">
        <v>2841025978</v>
      </c>
      <c r="AL2715" t="s">
        <v>4529</v>
      </c>
      <c r="AM2715" t="s">
        <v>4513</v>
      </c>
      <c r="AN2715" t="s">
        <v>4514</v>
      </c>
      <c r="AO2715" t="s">
        <v>4514</v>
      </c>
      <c r="AP2715" t="s">
        <v>4514</v>
      </c>
      <c r="AQ2715">
        <v>1</v>
      </c>
      <c r="AR2715" t="s">
        <v>4509</v>
      </c>
      <c r="AS2715" t="s">
        <v>4510</v>
      </c>
      <c r="AT2715" t="s">
        <v>58</v>
      </c>
      <c r="AU2715" t="s">
        <v>68</v>
      </c>
      <c r="AV2715" t="s">
        <v>69</v>
      </c>
      <c r="AW2715" s="1">
        <v>22972</v>
      </c>
      <c r="AX2715">
        <v>2</v>
      </c>
    </row>
    <row r="2716" spans="1:50">
      <c r="A2716">
        <v>703662</v>
      </c>
      <c r="B2716" t="str">
        <f>"061388685"</f>
        <v>061388685</v>
      </c>
      <c r="C2716" t="s">
        <v>50</v>
      </c>
      <c r="D2716" t="s">
        <v>3938</v>
      </c>
      <c r="E2716" t="s">
        <v>109</v>
      </c>
      <c r="F2716" t="s">
        <v>95</v>
      </c>
      <c r="G2716" t="s">
        <v>4829</v>
      </c>
      <c r="H2716" t="str">
        <f>"ΕΜΠΕΔΟΚΛΗ 3 ΗΡΑΚΛΕΙΟ"</f>
        <v>ΕΜΠΕΔΟΚΛΗ 3 ΗΡΑΚΛΕΙΟ</v>
      </c>
      <c r="I2716">
        <v>71307</v>
      </c>
      <c r="J2716">
        <v>2810314226</v>
      </c>
      <c r="K2716">
        <v>6973215005</v>
      </c>
      <c r="M2716" t="s">
        <v>5488</v>
      </c>
      <c r="N2716" t="s">
        <v>232</v>
      </c>
      <c r="O2716" t="s">
        <v>233</v>
      </c>
      <c r="R2716" t="s">
        <v>57</v>
      </c>
      <c r="S2716">
        <v>6</v>
      </c>
      <c r="T2716">
        <v>1229</v>
      </c>
      <c r="U2716" s="1">
        <v>41233</v>
      </c>
      <c r="V2716" t="s">
        <v>4509</v>
      </c>
      <c r="W2716" t="s">
        <v>4510</v>
      </c>
      <c r="X2716" t="s">
        <v>58</v>
      </c>
      <c r="Y2716">
        <v>21</v>
      </c>
      <c r="Z2716" t="s">
        <v>59</v>
      </c>
      <c r="AA2716" t="s">
        <v>59</v>
      </c>
      <c r="AB2716" t="s">
        <v>59</v>
      </c>
      <c r="AC2716" t="s">
        <v>59</v>
      </c>
      <c r="AD2716" t="s">
        <v>59</v>
      </c>
      <c r="AF2716" s="1">
        <v>41233</v>
      </c>
      <c r="AG2716" t="s">
        <v>137</v>
      </c>
      <c r="AH2716" t="s">
        <v>138</v>
      </c>
      <c r="AI2716" t="str">
        <f>"3240070"</f>
        <v>3240070</v>
      </c>
      <c r="AJ2716" t="s">
        <v>4582</v>
      </c>
      <c r="AK2716">
        <v>2841032545</v>
      </c>
      <c r="AL2716" t="s">
        <v>4583</v>
      </c>
      <c r="AM2716" t="s">
        <v>4513</v>
      </c>
      <c r="AN2716" t="s">
        <v>4514</v>
      </c>
      <c r="AO2716" t="s">
        <v>4524</v>
      </c>
      <c r="AP2716" t="s">
        <v>4525</v>
      </c>
      <c r="AQ2716">
        <v>3</v>
      </c>
      <c r="AR2716" t="s">
        <v>4509</v>
      </c>
      <c r="AS2716" t="s">
        <v>4510</v>
      </c>
      <c r="AT2716" t="s">
        <v>58</v>
      </c>
      <c r="AU2716" t="s">
        <v>68</v>
      </c>
      <c r="AV2716" t="s">
        <v>69</v>
      </c>
      <c r="AW2716" s="1">
        <v>27203</v>
      </c>
      <c r="AX2716">
        <v>2</v>
      </c>
    </row>
    <row r="2717" spans="1:50">
      <c r="A2717">
        <v>196856</v>
      </c>
      <c r="B2717" t="str">
        <f>"038043122"</f>
        <v>038043122</v>
      </c>
      <c r="C2717" t="s">
        <v>105</v>
      </c>
      <c r="D2717" t="s">
        <v>5489</v>
      </c>
      <c r="E2717" t="s">
        <v>3548</v>
      </c>
      <c r="F2717" t="s">
        <v>166</v>
      </c>
      <c r="G2717" t="s">
        <v>52</v>
      </c>
      <c r="H2717" t="str">
        <f>" "</f>
        <v xml:space="preserve"> </v>
      </c>
      <c r="J2717">
        <v>2842027242</v>
      </c>
      <c r="K2717">
        <v>6936347760</v>
      </c>
      <c r="M2717" t="s">
        <v>5490</v>
      </c>
      <c r="N2717" t="s">
        <v>157</v>
      </c>
      <c r="O2717" t="s">
        <v>158</v>
      </c>
      <c r="R2717" t="s">
        <v>57</v>
      </c>
      <c r="S2717">
        <v>10</v>
      </c>
      <c r="T2717">
        <v>206</v>
      </c>
      <c r="U2717" s="1">
        <v>37866</v>
      </c>
      <c r="V2717" t="s">
        <v>4509</v>
      </c>
      <c r="W2717" t="s">
        <v>4510</v>
      </c>
      <c r="X2717" t="s">
        <v>58</v>
      </c>
      <c r="Y2717">
        <v>18</v>
      </c>
      <c r="Z2717" t="s">
        <v>59</v>
      </c>
      <c r="AA2717" t="s">
        <v>59</v>
      </c>
      <c r="AB2717" t="s">
        <v>59</v>
      </c>
      <c r="AC2717" t="s">
        <v>59</v>
      </c>
      <c r="AD2717" t="s">
        <v>59</v>
      </c>
      <c r="AF2717" s="1">
        <v>37866</v>
      </c>
      <c r="AG2717" t="s">
        <v>125</v>
      </c>
      <c r="AH2717" t="s">
        <v>126</v>
      </c>
      <c r="AI2717" t="str">
        <f>"3202010"</f>
        <v>3202010</v>
      </c>
      <c r="AJ2717" t="s">
        <v>4517</v>
      </c>
      <c r="AK2717">
        <v>2842028229</v>
      </c>
      <c r="AL2717" t="s">
        <v>4518</v>
      </c>
      <c r="AM2717" t="s">
        <v>4513</v>
      </c>
      <c r="AN2717" t="s">
        <v>4519</v>
      </c>
      <c r="AO2717" t="s">
        <v>4519</v>
      </c>
      <c r="AP2717" t="s">
        <v>4519</v>
      </c>
      <c r="AQ2717">
        <v>4</v>
      </c>
      <c r="AR2717" t="s">
        <v>4509</v>
      </c>
      <c r="AS2717" t="s">
        <v>4510</v>
      </c>
      <c r="AT2717" t="s">
        <v>58</v>
      </c>
      <c r="AU2717" t="s">
        <v>68</v>
      </c>
      <c r="AV2717" t="s">
        <v>69</v>
      </c>
      <c r="AW2717" s="1">
        <v>23175</v>
      </c>
      <c r="AX2717">
        <v>2</v>
      </c>
    </row>
    <row r="2718" spans="1:50">
      <c r="A2718">
        <v>202474</v>
      </c>
      <c r="B2718" t="str">
        <f>"044636560"</f>
        <v>044636560</v>
      </c>
      <c r="C2718" t="s">
        <v>50</v>
      </c>
      <c r="D2718" t="s">
        <v>5491</v>
      </c>
      <c r="E2718" t="s">
        <v>83</v>
      </c>
      <c r="F2718" t="s">
        <v>111</v>
      </c>
      <c r="G2718" t="s">
        <v>5492</v>
      </c>
      <c r="H2718" t="str">
        <f>" "</f>
        <v xml:space="preserve"> </v>
      </c>
      <c r="J2718">
        <v>2841028001</v>
      </c>
      <c r="K2718">
        <v>6945897028</v>
      </c>
      <c r="M2718" t="s">
        <v>5493</v>
      </c>
      <c r="N2718" t="s">
        <v>292</v>
      </c>
      <c r="O2718" t="s">
        <v>293</v>
      </c>
      <c r="R2718" t="s">
        <v>57</v>
      </c>
      <c r="S2718">
        <v>7</v>
      </c>
      <c r="T2718">
        <v>231</v>
      </c>
      <c r="U2718" s="1">
        <v>38230</v>
      </c>
      <c r="V2718" t="s">
        <v>4509</v>
      </c>
      <c r="W2718" t="s">
        <v>4510</v>
      </c>
      <c r="X2718" t="s">
        <v>58</v>
      </c>
      <c r="Y2718">
        <v>20</v>
      </c>
      <c r="Z2718" t="s">
        <v>59</v>
      </c>
      <c r="AA2718" t="s">
        <v>59</v>
      </c>
      <c r="AB2718" t="s">
        <v>59</v>
      </c>
      <c r="AC2718" t="s">
        <v>59</v>
      </c>
      <c r="AD2718" t="s">
        <v>59</v>
      </c>
      <c r="AF2718" s="1">
        <v>38231</v>
      </c>
      <c r="AG2718" t="s">
        <v>125</v>
      </c>
      <c r="AH2718" t="s">
        <v>126</v>
      </c>
      <c r="AI2718" t="str">
        <f>"3201010"</f>
        <v>3201010</v>
      </c>
      <c r="AJ2718" t="s">
        <v>4596</v>
      </c>
      <c r="AK2718">
        <v>2841022301</v>
      </c>
      <c r="AL2718" t="s">
        <v>4597</v>
      </c>
      <c r="AM2718" t="s">
        <v>4513</v>
      </c>
      <c r="AN2718" t="s">
        <v>4514</v>
      </c>
      <c r="AO2718" t="s">
        <v>4514</v>
      </c>
      <c r="AP2718" t="s">
        <v>4514</v>
      </c>
      <c r="AQ2718">
        <v>1</v>
      </c>
      <c r="AR2718" t="s">
        <v>4509</v>
      </c>
      <c r="AS2718" t="s">
        <v>4510</v>
      </c>
      <c r="AT2718" t="s">
        <v>58</v>
      </c>
      <c r="AU2718" t="s">
        <v>68</v>
      </c>
      <c r="AV2718" t="s">
        <v>69</v>
      </c>
      <c r="AW2718" s="1">
        <v>25094</v>
      </c>
      <c r="AX2718">
        <v>2</v>
      </c>
    </row>
    <row r="2719" spans="1:50">
      <c r="A2719">
        <v>214675</v>
      </c>
      <c r="B2719" t="str">
        <f>"055445655"</f>
        <v>055445655</v>
      </c>
      <c r="C2719" t="s">
        <v>105</v>
      </c>
      <c r="D2719" t="s">
        <v>3965</v>
      </c>
      <c r="E2719" t="s">
        <v>84</v>
      </c>
      <c r="F2719" t="s">
        <v>5494</v>
      </c>
      <c r="G2719" t="s">
        <v>215</v>
      </c>
      <c r="H2719" t="str">
        <f>"ΠΕΡΙΟΧΗ ΒΑΘΥ ΑΓΙΟΣ ΝΙΚΟΛΑΟΣ"</f>
        <v>ΠΕΡΙΟΧΗ ΒΑΘΥ ΑΓΙΟΣ ΝΙΚΟΛΑΟΣ</v>
      </c>
      <c r="I2719">
        <v>72100</v>
      </c>
      <c r="J2719">
        <v>2841061062</v>
      </c>
      <c r="K2719">
        <v>6976111865</v>
      </c>
      <c r="M2719" t="s">
        <v>5495</v>
      </c>
      <c r="N2719" t="s">
        <v>176</v>
      </c>
      <c r="O2719" t="s">
        <v>177</v>
      </c>
      <c r="R2719" t="s">
        <v>57</v>
      </c>
      <c r="S2719">
        <v>8</v>
      </c>
      <c r="T2719">
        <v>231</v>
      </c>
      <c r="U2719" s="1">
        <v>38960</v>
      </c>
      <c r="V2719" t="s">
        <v>4509</v>
      </c>
      <c r="W2719" t="s">
        <v>4510</v>
      </c>
      <c r="X2719" t="s">
        <v>58</v>
      </c>
      <c r="Y2719">
        <v>20</v>
      </c>
      <c r="Z2719" t="s">
        <v>59</v>
      </c>
      <c r="AA2719" t="s">
        <v>59</v>
      </c>
      <c r="AB2719" t="s">
        <v>59</v>
      </c>
      <c r="AC2719" t="s">
        <v>59</v>
      </c>
      <c r="AD2719" t="s">
        <v>59</v>
      </c>
      <c r="AF2719" s="1">
        <v>38961</v>
      </c>
      <c r="AG2719" t="s">
        <v>125</v>
      </c>
      <c r="AH2719" t="s">
        <v>126</v>
      </c>
      <c r="AI2719" t="str">
        <f>"3205010"</f>
        <v>3205010</v>
      </c>
      <c r="AJ2719" t="s">
        <v>4665</v>
      </c>
      <c r="AK2719">
        <v>2844022217</v>
      </c>
      <c r="AL2719" t="s">
        <v>4666</v>
      </c>
      <c r="AM2719" t="s">
        <v>4513</v>
      </c>
      <c r="AN2719" t="s">
        <v>4592</v>
      </c>
      <c r="AO2719" t="s">
        <v>4592</v>
      </c>
      <c r="AP2719" t="s">
        <v>4593</v>
      </c>
      <c r="AQ2719">
        <v>2</v>
      </c>
      <c r="AR2719" t="s">
        <v>4509</v>
      </c>
      <c r="AS2719" t="s">
        <v>4510</v>
      </c>
      <c r="AT2719" t="s">
        <v>58</v>
      </c>
      <c r="AU2719" t="s">
        <v>68</v>
      </c>
      <c r="AV2719" t="s">
        <v>69</v>
      </c>
      <c r="AW2719" s="1">
        <v>25071</v>
      </c>
      <c r="AX2719">
        <v>2</v>
      </c>
    </row>
    <row r="2720" spans="1:50">
      <c r="A2720">
        <v>193281</v>
      </c>
      <c r="B2720" t="str">
        <f>"036383760"</f>
        <v>036383760</v>
      </c>
      <c r="C2720" t="s">
        <v>50</v>
      </c>
      <c r="D2720" t="s">
        <v>5496</v>
      </c>
      <c r="E2720" t="s">
        <v>237</v>
      </c>
      <c r="F2720" t="s">
        <v>4071</v>
      </c>
      <c r="G2720" t="s">
        <v>3483</v>
      </c>
      <c r="H2720" t="str">
        <f>" "</f>
        <v xml:space="preserve"> </v>
      </c>
      <c r="J2720">
        <v>2841061149</v>
      </c>
      <c r="K2720">
        <v>6943451330</v>
      </c>
      <c r="L2720">
        <v>2842028389</v>
      </c>
      <c r="M2720" t="s">
        <v>5497</v>
      </c>
      <c r="N2720" t="s">
        <v>146</v>
      </c>
      <c r="O2720" t="s">
        <v>147</v>
      </c>
      <c r="R2720" t="s">
        <v>57</v>
      </c>
      <c r="S2720">
        <v>11</v>
      </c>
      <c r="T2720">
        <v>193</v>
      </c>
      <c r="U2720" s="1">
        <v>37497</v>
      </c>
      <c r="V2720" t="s">
        <v>4509</v>
      </c>
      <c r="W2720" t="s">
        <v>4510</v>
      </c>
      <c r="X2720" t="s">
        <v>58</v>
      </c>
      <c r="Y2720">
        <v>18</v>
      </c>
      <c r="Z2720" t="s">
        <v>59</v>
      </c>
      <c r="AA2720" t="s">
        <v>59</v>
      </c>
      <c r="AB2720" t="s">
        <v>59</v>
      </c>
      <c r="AC2720" t="s">
        <v>59</v>
      </c>
      <c r="AD2720" t="s">
        <v>59</v>
      </c>
      <c r="AF2720" s="1">
        <v>37500</v>
      </c>
      <c r="AG2720" t="s">
        <v>137</v>
      </c>
      <c r="AH2720" t="s">
        <v>138</v>
      </c>
      <c r="AI2720" t="str">
        <f>"3240120"</f>
        <v>3240120</v>
      </c>
      <c r="AJ2720" t="s">
        <v>4552</v>
      </c>
      <c r="AK2720">
        <v>2842028667</v>
      </c>
      <c r="AL2720" t="s">
        <v>4553</v>
      </c>
      <c r="AM2720" t="s">
        <v>4513</v>
      </c>
      <c r="AN2720" t="s">
        <v>4519</v>
      </c>
      <c r="AO2720" t="s">
        <v>4519</v>
      </c>
      <c r="AP2720" t="s">
        <v>4519</v>
      </c>
      <c r="AQ2720">
        <v>4</v>
      </c>
      <c r="AR2720" t="s">
        <v>4509</v>
      </c>
      <c r="AS2720" t="s">
        <v>4510</v>
      </c>
      <c r="AT2720" t="s">
        <v>58</v>
      </c>
      <c r="AU2720" t="s">
        <v>68</v>
      </c>
      <c r="AV2720" t="s">
        <v>69</v>
      </c>
      <c r="AW2720" s="1">
        <v>23244</v>
      </c>
      <c r="AX2720">
        <v>2</v>
      </c>
    </row>
    <row r="2721" spans="1:50">
      <c r="A2721">
        <v>222664</v>
      </c>
      <c r="B2721" t="str">
        <f>"061673447"</f>
        <v>061673447</v>
      </c>
      <c r="C2721" t="s">
        <v>50</v>
      </c>
      <c r="D2721" t="s">
        <v>5498</v>
      </c>
      <c r="E2721" t="s">
        <v>5499</v>
      </c>
      <c r="F2721" t="s">
        <v>99</v>
      </c>
      <c r="G2721" t="s">
        <v>950</v>
      </c>
      <c r="H2721" t="str">
        <f>" "</f>
        <v xml:space="preserve"> </v>
      </c>
      <c r="J2721">
        <v>2842080388</v>
      </c>
      <c r="K2721">
        <v>6974148767</v>
      </c>
      <c r="M2721" t="s">
        <v>5500</v>
      </c>
      <c r="N2721" t="s">
        <v>146</v>
      </c>
      <c r="O2721" t="s">
        <v>147</v>
      </c>
      <c r="R2721" t="s">
        <v>57</v>
      </c>
      <c r="S2721">
        <v>5</v>
      </c>
      <c r="T2721">
        <v>775</v>
      </c>
      <c r="U2721" s="1">
        <v>39680</v>
      </c>
      <c r="V2721" t="s">
        <v>4509</v>
      </c>
      <c r="W2721" t="s">
        <v>4510</v>
      </c>
      <c r="X2721" t="s">
        <v>58</v>
      </c>
      <c r="Y2721">
        <v>21</v>
      </c>
      <c r="Z2721" t="s">
        <v>59</v>
      </c>
      <c r="AA2721" t="s">
        <v>59</v>
      </c>
      <c r="AB2721" t="s">
        <v>59</v>
      </c>
      <c r="AC2721" t="s">
        <v>59</v>
      </c>
      <c r="AD2721" t="s">
        <v>59</v>
      </c>
      <c r="AF2721" s="1">
        <v>39692</v>
      </c>
      <c r="AG2721" t="s">
        <v>148</v>
      </c>
      <c r="AH2721" t="s">
        <v>149</v>
      </c>
      <c r="AI2721" t="str">
        <f>"3252020"</f>
        <v>3252020</v>
      </c>
      <c r="AJ2721" t="s">
        <v>4638</v>
      </c>
      <c r="AK2721">
        <v>2842022379</v>
      </c>
      <c r="AL2721" t="s">
        <v>4639</v>
      </c>
      <c r="AM2721" t="s">
        <v>4513</v>
      </c>
      <c r="AN2721" t="s">
        <v>4519</v>
      </c>
      <c r="AO2721" t="s">
        <v>4519</v>
      </c>
      <c r="AP2721" t="s">
        <v>4519</v>
      </c>
      <c r="AQ2721">
        <v>4</v>
      </c>
      <c r="AR2721" t="s">
        <v>4509</v>
      </c>
      <c r="AS2721" t="s">
        <v>4510</v>
      </c>
      <c r="AT2721" t="s">
        <v>58</v>
      </c>
      <c r="AU2721" t="s">
        <v>68</v>
      </c>
      <c r="AV2721" t="s">
        <v>69</v>
      </c>
      <c r="AW2721" s="1">
        <v>27211</v>
      </c>
      <c r="AX2721">
        <v>2</v>
      </c>
    </row>
    <row r="2722" spans="1:50">
      <c r="B2722" t="str">
        <f>"059839715"</f>
        <v>059839715</v>
      </c>
      <c r="C2722" t="s">
        <v>50</v>
      </c>
      <c r="D2722" t="s">
        <v>3975</v>
      </c>
      <c r="E2722" t="s">
        <v>263</v>
      </c>
      <c r="F2722" t="s">
        <v>166</v>
      </c>
      <c r="G2722" t="s">
        <v>5207</v>
      </c>
      <c r="H2722" t="str">
        <f>"Δ. ΑΡΒΑΝΙΤΑΚΗ 15 ΗΡΑΚΛΕΙΟ"</f>
        <v>Δ. ΑΡΒΑΝΙΤΑΚΗ 15 ΗΡΑΚΛΕΙΟ</v>
      </c>
      <c r="I2722">
        <v>71409</v>
      </c>
      <c r="J2722">
        <v>2810214414</v>
      </c>
      <c r="K2722">
        <v>6974624395</v>
      </c>
      <c r="M2722" t="s">
        <v>5501</v>
      </c>
      <c r="N2722" t="s">
        <v>146</v>
      </c>
      <c r="O2722" t="s">
        <v>147</v>
      </c>
      <c r="R2722" t="s">
        <v>159</v>
      </c>
      <c r="S2722">
        <v>2</v>
      </c>
      <c r="T2722" t="s">
        <v>416</v>
      </c>
      <c r="U2722" s="1">
        <v>43349</v>
      </c>
      <c r="V2722" t="s">
        <v>4509</v>
      </c>
      <c r="W2722" t="s">
        <v>4510</v>
      </c>
      <c r="X2722" t="s">
        <v>58</v>
      </c>
      <c r="Y2722">
        <v>23</v>
      </c>
      <c r="Z2722" t="s">
        <v>59</v>
      </c>
      <c r="AA2722" t="s">
        <v>59</v>
      </c>
      <c r="AB2722" t="s">
        <v>59</v>
      </c>
      <c r="AC2722" t="s">
        <v>59</v>
      </c>
      <c r="AD2722" t="s">
        <v>59</v>
      </c>
      <c r="AF2722" s="1">
        <v>43349</v>
      </c>
      <c r="AG2722" t="s">
        <v>125</v>
      </c>
      <c r="AH2722" t="s">
        <v>126</v>
      </c>
      <c r="AI2722" t="str">
        <f>"3203010"</f>
        <v>3203010</v>
      </c>
      <c r="AJ2722" t="s">
        <v>4522</v>
      </c>
      <c r="AK2722">
        <v>2841034140</v>
      </c>
      <c r="AL2722" t="s">
        <v>4523</v>
      </c>
      <c r="AM2722" t="s">
        <v>4513</v>
      </c>
      <c r="AN2722" t="s">
        <v>4514</v>
      </c>
      <c r="AO2722" t="s">
        <v>4524</v>
      </c>
      <c r="AP2722" t="s">
        <v>4525</v>
      </c>
      <c r="AQ2722">
        <v>3</v>
      </c>
      <c r="AR2722" t="s">
        <v>4509</v>
      </c>
      <c r="AS2722" t="s">
        <v>4510</v>
      </c>
      <c r="AT2722" t="s">
        <v>58</v>
      </c>
      <c r="AU2722" t="s">
        <v>419</v>
      </c>
      <c r="AV2722" t="s">
        <v>132</v>
      </c>
      <c r="AW2722" s="1">
        <v>25304</v>
      </c>
      <c r="AX2722">
        <v>2</v>
      </c>
    </row>
    <row r="2723" spans="1:50">
      <c r="A2723">
        <v>194697</v>
      </c>
      <c r="B2723" t="str">
        <f>"050205646"</f>
        <v>050205646</v>
      </c>
      <c r="C2723" t="s">
        <v>50</v>
      </c>
      <c r="D2723" t="s">
        <v>5502</v>
      </c>
      <c r="E2723" t="s">
        <v>513</v>
      </c>
      <c r="F2723" t="s">
        <v>166</v>
      </c>
      <c r="G2723" t="s">
        <v>83</v>
      </c>
      <c r="H2723" t="str">
        <f>"ΜΙΛΑΤΟΥ 1 ΝΕΑΠΟΛΗ"</f>
        <v>ΜΙΛΑΤΟΥ 1 ΝΕΑΠΟΛΗ</v>
      </c>
      <c r="I2723">
        <v>72400</v>
      </c>
      <c r="J2723">
        <v>2841033761</v>
      </c>
      <c r="K2723">
        <v>6937922066</v>
      </c>
      <c r="M2723" t="s">
        <v>5503</v>
      </c>
      <c r="N2723" t="s">
        <v>189</v>
      </c>
      <c r="O2723" t="s">
        <v>190</v>
      </c>
      <c r="R2723" t="s">
        <v>57</v>
      </c>
      <c r="S2723">
        <v>12</v>
      </c>
      <c r="T2723">
        <v>193</v>
      </c>
      <c r="U2723" s="1">
        <v>37497</v>
      </c>
      <c r="V2723" t="s">
        <v>4509</v>
      </c>
      <c r="W2723" t="s">
        <v>4510</v>
      </c>
      <c r="X2723" t="s">
        <v>58</v>
      </c>
      <c r="Y2723">
        <v>18</v>
      </c>
      <c r="Z2723" t="s">
        <v>59</v>
      </c>
      <c r="AA2723" t="s">
        <v>59</v>
      </c>
      <c r="AB2723" t="s">
        <v>59</v>
      </c>
      <c r="AC2723" t="s">
        <v>59</v>
      </c>
      <c r="AD2723" t="s">
        <v>59</v>
      </c>
      <c r="AF2723" s="1">
        <v>37501</v>
      </c>
      <c r="AG2723" t="s">
        <v>125</v>
      </c>
      <c r="AH2723" t="s">
        <v>126</v>
      </c>
      <c r="AI2723" t="str">
        <f>"3203010"</f>
        <v>3203010</v>
      </c>
      <c r="AJ2723" t="s">
        <v>4522</v>
      </c>
      <c r="AK2723">
        <v>2841034140</v>
      </c>
      <c r="AL2723" t="s">
        <v>4523</v>
      </c>
      <c r="AM2723" t="s">
        <v>4513</v>
      </c>
      <c r="AN2723" t="s">
        <v>4514</v>
      </c>
      <c r="AO2723" t="s">
        <v>4524</v>
      </c>
      <c r="AP2723" t="s">
        <v>4525</v>
      </c>
      <c r="AQ2723">
        <v>3</v>
      </c>
      <c r="AR2723" t="s">
        <v>4509</v>
      </c>
      <c r="AS2723" t="s">
        <v>4510</v>
      </c>
      <c r="AT2723" t="s">
        <v>58</v>
      </c>
      <c r="AU2723" t="s">
        <v>68</v>
      </c>
      <c r="AV2723" t="s">
        <v>69</v>
      </c>
      <c r="AW2723" s="1">
        <v>24578</v>
      </c>
      <c r="AX2723">
        <v>2</v>
      </c>
    </row>
    <row r="2724" spans="1:50">
      <c r="A2724">
        <v>701797</v>
      </c>
      <c r="B2724" t="str">
        <f>"071835971"</f>
        <v>071835971</v>
      </c>
      <c r="C2724" t="s">
        <v>50</v>
      </c>
      <c r="D2724" t="s">
        <v>5502</v>
      </c>
      <c r="E2724" t="s">
        <v>396</v>
      </c>
      <c r="F2724" t="s">
        <v>95</v>
      </c>
      <c r="G2724" t="s">
        <v>5504</v>
      </c>
      <c r="H2724" t="str">
        <f>"ΑΡΓΥΡΟΚΑΣΤΡΟΥ 30 ΑΘΗΝΑ"</f>
        <v>ΑΡΓΥΡΟΚΑΣΤΡΟΥ 30 ΑΘΗΝΑ</v>
      </c>
      <c r="I2724">
        <v>15343</v>
      </c>
      <c r="J2724">
        <v>2106002287</v>
      </c>
      <c r="K2724">
        <v>6944683659</v>
      </c>
      <c r="N2724" t="s">
        <v>478</v>
      </c>
      <c r="O2724" t="s">
        <v>479</v>
      </c>
      <c r="R2724" t="s">
        <v>57</v>
      </c>
      <c r="S2724">
        <v>5</v>
      </c>
      <c r="T2724">
        <v>772</v>
      </c>
      <c r="U2724" s="1">
        <v>40413</v>
      </c>
      <c r="V2724" t="s">
        <v>4509</v>
      </c>
      <c r="W2724" t="s">
        <v>4510</v>
      </c>
      <c r="X2724" t="s">
        <v>58</v>
      </c>
      <c r="Y2724">
        <v>21</v>
      </c>
      <c r="Z2724" t="s">
        <v>59</v>
      </c>
      <c r="AA2724" t="s">
        <v>59</v>
      </c>
      <c r="AB2724" t="s">
        <v>59</v>
      </c>
      <c r="AC2724" t="s">
        <v>59</v>
      </c>
      <c r="AD2724" t="s">
        <v>59</v>
      </c>
      <c r="AF2724" s="1">
        <v>40422</v>
      </c>
      <c r="AG2724" t="s">
        <v>125</v>
      </c>
      <c r="AH2724" t="s">
        <v>126</v>
      </c>
      <c r="AI2724" t="str">
        <f>"3202020"</f>
        <v>3202020</v>
      </c>
      <c r="AJ2724" t="s">
        <v>4576</v>
      </c>
      <c r="AK2724">
        <v>2842022289</v>
      </c>
      <c r="AL2724" t="s">
        <v>4577</v>
      </c>
      <c r="AM2724" t="s">
        <v>4513</v>
      </c>
      <c r="AN2724" t="s">
        <v>4519</v>
      </c>
      <c r="AO2724" t="s">
        <v>4519</v>
      </c>
      <c r="AP2724" t="s">
        <v>4519</v>
      </c>
      <c r="AQ2724">
        <v>4</v>
      </c>
      <c r="AR2724" t="s">
        <v>4509</v>
      </c>
      <c r="AS2724" t="s">
        <v>4510</v>
      </c>
      <c r="AT2724" t="s">
        <v>58</v>
      </c>
      <c r="AU2724" t="s">
        <v>68</v>
      </c>
      <c r="AV2724" t="s">
        <v>132</v>
      </c>
      <c r="AW2724" s="1">
        <v>25108</v>
      </c>
      <c r="AX2724">
        <v>2</v>
      </c>
    </row>
    <row r="2725" spans="1:50">
      <c r="A2725">
        <v>153681</v>
      </c>
      <c r="B2725" t="str">
        <f>"027257026"</f>
        <v>027257026</v>
      </c>
      <c r="C2725" t="s">
        <v>105</v>
      </c>
      <c r="D2725" t="s">
        <v>5505</v>
      </c>
      <c r="E2725" t="s">
        <v>95</v>
      </c>
      <c r="F2725" t="s">
        <v>72</v>
      </c>
      <c r="G2725" t="s">
        <v>5506</v>
      </c>
      <c r="H2725" t="str">
        <f>"KAZANTZAKH 3 ΑΓΙΟΣ ΝΙΚΟΛΑΟΣ"</f>
        <v>KAZANTZAKH 3 ΑΓΙΟΣ ΝΙΚΟΛΑΟΣ</v>
      </c>
      <c r="I2725">
        <v>72100</v>
      </c>
      <c r="J2725">
        <v>2841025466</v>
      </c>
      <c r="K2725">
        <v>6986886003</v>
      </c>
      <c r="M2725" t="s">
        <v>5507</v>
      </c>
      <c r="N2725" t="s">
        <v>176</v>
      </c>
      <c r="O2725" t="s">
        <v>177</v>
      </c>
      <c r="R2725" t="s">
        <v>57</v>
      </c>
      <c r="S2725">
        <v>15</v>
      </c>
      <c r="T2725">
        <v>139</v>
      </c>
      <c r="U2725" s="1">
        <v>32366</v>
      </c>
      <c r="V2725" t="s">
        <v>4509</v>
      </c>
      <c r="W2725" t="s">
        <v>4510</v>
      </c>
      <c r="X2725" t="s">
        <v>58</v>
      </c>
      <c r="Y2725">
        <v>18</v>
      </c>
      <c r="Z2725" t="s">
        <v>59</v>
      </c>
      <c r="AA2725" t="s">
        <v>59</v>
      </c>
      <c r="AB2725" t="s">
        <v>59</v>
      </c>
      <c r="AC2725" t="s">
        <v>59</v>
      </c>
      <c r="AD2725" t="s">
        <v>59</v>
      </c>
      <c r="AF2725" s="1">
        <v>32391</v>
      </c>
      <c r="AG2725" t="s">
        <v>125</v>
      </c>
      <c r="AH2725" t="s">
        <v>126</v>
      </c>
      <c r="AI2725" t="str">
        <f>"3201010"</f>
        <v>3201010</v>
      </c>
      <c r="AJ2725" t="s">
        <v>4596</v>
      </c>
      <c r="AK2725">
        <v>2841022301</v>
      </c>
      <c r="AL2725" t="s">
        <v>4597</v>
      </c>
      <c r="AM2725" t="s">
        <v>4513</v>
      </c>
      <c r="AN2725" t="s">
        <v>4514</v>
      </c>
      <c r="AO2725" t="s">
        <v>4514</v>
      </c>
      <c r="AP2725" t="s">
        <v>4514</v>
      </c>
      <c r="AQ2725">
        <v>1</v>
      </c>
      <c r="AR2725" t="s">
        <v>4509</v>
      </c>
      <c r="AS2725" t="s">
        <v>4510</v>
      </c>
      <c r="AT2725" t="s">
        <v>58</v>
      </c>
      <c r="AU2725" t="s">
        <v>68</v>
      </c>
      <c r="AV2725" t="s">
        <v>69</v>
      </c>
      <c r="AW2725" s="1">
        <v>22845</v>
      </c>
      <c r="AX2725">
        <v>2</v>
      </c>
    </row>
    <row r="2726" spans="1:50">
      <c r="A2726">
        <v>185523</v>
      </c>
      <c r="B2726" t="str">
        <f>"044137419"</f>
        <v>044137419</v>
      </c>
      <c r="C2726" t="s">
        <v>105</v>
      </c>
      <c r="D2726" t="s">
        <v>5505</v>
      </c>
      <c r="E2726" t="s">
        <v>95</v>
      </c>
      <c r="F2726" t="s">
        <v>72</v>
      </c>
      <c r="G2726" t="s">
        <v>52</v>
      </c>
      <c r="H2726" t="str">
        <f>" "</f>
        <v xml:space="preserve"> </v>
      </c>
      <c r="M2726" t="s">
        <v>5508</v>
      </c>
      <c r="N2726" t="s">
        <v>176</v>
      </c>
      <c r="O2726" t="s">
        <v>177</v>
      </c>
      <c r="R2726" t="s">
        <v>57</v>
      </c>
      <c r="S2726">
        <v>13</v>
      </c>
      <c r="T2726">
        <v>184</v>
      </c>
      <c r="U2726" s="1">
        <v>34943</v>
      </c>
      <c r="V2726" t="s">
        <v>4509</v>
      </c>
      <c r="W2726" t="s">
        <v>4510</v>
      </c>
      <c r="X2726" t="s">
        <v>58</v>
      </c>
      <c r="Y2726">
        <v>18</v>
      </c>
      <c r="Z2726" t="s">
        <v>59</v>
      </c>
      <c r="AA2726" t="s">
        <v>59</v>
      </c>
      <c r="AB2726" t="s">
        <v>59</v>
      </c>
      <c r="AC2726" t="s">
        <v>59</v>
      </c>
      <c r="AD2726" t="s">
        <v>59</v>
      </c>
      <c r="AF2726" s="1">
        <v>34943</v>
      </c>
      <c r="AG2726" t="s">
        <v>148</v>
      </c>
      <c r="AH2726" t="s">
        <v>149</v>
      </c>
      <c r="AI2726" t="str">
        <f>"3251001"</f>
        <v>3251001</v>
      </c>
      <c r="AJ2726" t="s">
        <v>4535</v>
      </c>
      <c r="AK2726">
        <v>2841082544</v>
      </c>
      <c r="AL2726" t="s">
        <v>4536</v>
      </c>
      <c r="AM2726" t="s">
        <v>4513</v>
      </c>
      <c r="AN2726" t="s">
        <v>4514</v>
      </c>
      <c r="AO2726" t="s">
        <v>4514</v>
      </c>
      <c r="AP2726" t="s">
        <v>4514</v>
      </c>
      <c r="AQ2726">
        <v>1</v>
      </c>
      <c r="AR2726" t="s">
        <v>4509</v>
      </c>
      <c r="AS2726" t="s">
        <v>4510</v>
      </c>
      <c r="AT2726" t="s">
        <v>58</v>
      </c>
      <c r="AU2726" t="s">
        <v>68</v>
      </c>
      <c r="AV2726" t="s">
        <v>132</v>
      </c>
      <c r="AW2726" s="1">
        <v>22829</v>
      </c>
      <c r="AX2726">
        <v>2</v>
      </c>
    </row>
    <row r="2727" spans="1:50">
      <c r="A2727">
        <v>208481</v>
      </c>
      <c r="B2727" t="str">
        <f>"037038600"</f>
        <v>037038600</v>
      </c>
      <c r="C2727" t="s">
        <v>105</v>
      </c>
      <c r="D2727" t="s">
        <v>5509</v>
      </c>
      <c r="E2727" t="s">
        <v>72</v>
      </c>
      <c r="F2727" t="s">
        <v>106</v>
      </c>
      <c r="G2727" t="s">
        <v>2409</v>
      </c>
      <c r="H2727" t="str">
        <f>" "</f>
        <v xml:space="preserve"> </v>
      </c>
      <c r="J2727">
        <v>2842094559</v>
      </c>
      <c r="K2727">
        <v>6937524324</v>
      </c>
      <c r="M2727" t="s">
        <v>5510</v>
      </c>
      <c r="N2727" t="s">
        <v>733</v>
      </c>
      <c r="O2727" t="s">
        <v>734</v>
      </c>
      <c r="R2727" t="s">
        <v>57</v>
      </c>
      <c r="S2727">
        <v>10</v>
      </c>
      <c r="T2727">
        <v>218</v>
      </c>
      <c r="U2727" s="1">
        <v>38596</v>
      </c>
      <c r="V2727" t="s">
        <v>4509</v>
      </c>
      <c r="W2727" t="s">
        <v>4510</v>
      </c>
      <c r="X2727" t="s">
        <v>58</v>
      </c>
      <c r="Y2727">
        <v>20</v>
      </c>
      <c r="Z2727" t="s">
        <v>59</v>
      </c>
      <c r="AA2727" t="s">
        <v>59</v>
      </c>
      <c r="AB2727" t="s">
        <v>59</v>
      </c>
      <c r="AC2727" t="s">
        <v>59</v>
      </c>
      <c r="AD2727" t="s">
        <v>59</v>
      </c>
      <c r="AF2727" s="1">
        <v>38596</v>
      </c>
      <c r="AG2727" t="s">
        <v>137</v>
      </c>
      <c r="AH2727" t="s">
        <v>138</v>
      </c>
      <c r="AI2727" t="str">
        <f>"3240120"</f>
        <v>3240120</v>
      </c>
      <c r="AJ2727" t="s">
        <v>4552</v>
      </c>
      <c r="AK2727">
        <v>2842028667</v>
      </c>
      <c r="AL2727" t="s">
        <v>4553</v>
      </c>
      <c r="AM2727" t="s">
        <v>4513</v>
      </c>
      <c r="AN2727" t="s">
        <v>4519</v>
      </c>
      <c r="AO2727" t="s">
        <v>4519</v>
      </c>
      <c r="AP2727" t="s">
        <v>4519</v>
      </c>
      <c r="AQ2727">
        <v>4</v>
      </c>
      <c r="AR2727" t="s">
        <v>4509</v>
      </c>
      <c r="AS2727" t="s">
        <v>4510</v>
      </c>
      <c r="AT2727" t="s">
        <v>58</v>
      </c>
      <c r="AU2727" t="s">
        <v>68</v>
      </c>
      <c r="AV2727" t="s">
        <v>69</v>
      </c>
      <c r="AW2727" s="1">
        <v>22282</v>
      </c>
      <c r="AX2727">
        <v>2</v>
      </c>
    </row>
    <row r="2728" spans="1:50">
      <c r="A2728">
        <v>212958</v>
      </c>
      <c r="B2728" t="str">
        <f>"044637101"</f>
        <v>044637101</v>
      </c>
      <c r="C2728" t="s">
        <v>50</v>
      </c>
      <c r="D2728" t="s">
        <v>4019</v>
      </c>
      <c r="E2728" t="s">
        <v>52</v>
      </c>
      <c r="F2728" t="s">
        <v>84</v>
      </c>
      <c r="G2728" t="s">
        <v>950</v>
      </c>
      <c r="H2728" t="str">
        <f>" "</f>
        <v xml:space="preserve"> </v>
      </c>
      <c r="J2728">
        <v>2841083194</v>
      </c>
      <c r="K2728">
        <v>6986591769</v>
      </c>
      <c r="M2728" t="s">
        <v>5511</v>
      </c>
      <c r="N2728" t="s">
        <v>292</v>
      </c>
      <c r="O2728" t="s">
        <v>293</v>
      </c>
      <c r="R2728" t="s">
        <v>57</v>
      </c>
      <c r="S2728">
        <v>7</v>
      </c>
      <c r="T2728">
        <v>231</v>
      </c>
      <c r="U2728" s="1">
        <v>38960</v>
      </c>
      <c r="V2728" t="s">
        <v>4509</v>
      </c>
      <c r="W2728" t="s">
        <v>4510</v>
      </c>
      <c r="X2728" t="s">
        <v>58</v>
      </c>
      <c r="Y2728">
        <v>20</v>
      </c>
      <c r="Z2728" t="s">
        <v>59</v>
      </c>
      <c r="AA2728" t="s">
        <v>59</v>
      </c>
      <c r="AB2728" t="s">
        <v>59</v>
      </c>
      <c r="AC2728" t="s">
        <v>59</v>
      </c>
      <c r="AD2728" t="s">
        <v>59</v>
      </c>
      <c r="AF2728" s="1">
        <v>38961</v>
      </c>
      <c r="AG2728" t="s">
        <v>137</v>
      </c>
      <c r="AH2728" t="s">
        <v>138</v>
      </c>
      <c r="AI2728" t="str">
        <f>"3240077"</f>
        <v>3240077</v>
      </c>
      <c r="AJ2728" t="s">
        <v>4528</v>
      </c>
      <c r="AK2728">
        <v>2841025978</v>
      </c>
      <c r="AL2728" t="s">
        <v>4529</v>
      </c>
      <c r="AM2728" t="s">
        <v>4513</v>
      </c>
      <c r="AN2728" t="s">
        <v>4514</v>
      </c>
      <c r="AO2728" t="s">
        <v>4514</v>
      </c>
      <c r="AP2728" t="s">
        <v>4514</v>
      </c>
      <c r="AQ2728">
        <v>1</v>
      </c>
      <c r="AR2728" t="s">
        <v>4509</v>
      </c>
      <c r="AS2728" t="s">
        <v>4510</v>
      </c>
      <c r="AT2728" t="s">
        <v>58</v>
      </c>
      <c r="AU2728" t="s">
        <v>68</v>
      </c>
      <c r="AV2728" t="s">
        <v>69</v>
      </c>
      <c r="AW2728" s="1">
        <v>23063</v>
      </c>
      <c r="AX2728">
        <v>2</v>
      </c>
    </row>
    <row r="2729" spans="1:50">
      <c r="A2729">
        <v>182560</v>
      </c>
      <c r="B2729" t="str">
        <f>"044636405"</f>
        <v>044636405</v>
      </c>
      <c r="C2729" t="s">
        <v>50</v>
      </c>
      <c r="D2729" t="s">
        <v>4019</v>
      </c>
      <c r="E2729" t="s">
        <v>188</v>
      </c>
      <c r="F2729" t="s">
        <v>106</v>
      </c>
      <c r="G2729" t="s">
        <v>411</v>
      </c>
      <c r="H2729" t="str">
        <f>"ΕΡΥΘΡΟΥ ΣΤΑΥΡΟΥ 50 ΑΓΙΟΣ ΝΙΚΟΛΑΟΣ"</f>
        <v>ΕΡΥΘΡΟΥ ΣΤΑΥΡΟΥ 50 ΑΓΙΟΣ ΝΙΚΟΛΑΟΣ</v>
      </c>
      <c r="I2729">
        <v>72100</v>
      </c>
      <c r="J2729">
        <v>2841500404</v>
      </c>
      <c r="K2729">
        <v>6981904844</v>
      </c>
      <c r="M2729" t="s">
        <v>5512</v>
      </c>
      <c r="N2729" t="s">
        <v>146</v>
      </c>
      <c r="O2729" t="s">
        <v>147</v>
      </c>
      <c r="R2729" t="s">
        <v>57</v>
      </c>
      <c r="S2729">
        <v>11</v>
      </c>
      <c r="T2729">
        <v>249</v>
      </c>
      <c r="U2729" s="1">
        <v>36160</v>
      </c>
      <c r="V2729" t="s">
        <v>4509</v>
      </c>
      <c r="W2729" t="s">
        <v>4510</v>
      </c>
      <c r="X2729" t="s">
        <v>58</v>
      </c>
      <c r="Y2729">
        <v>20</v>
      </c>
      <c r="Z2729" t="s">
        <v>59</v>
      </c>
      <c r="AA2729" t="s">
        <v>59</v>
      </c>
      <c r="AB2729" t="s">
        <v>59</v>
      </c>
      <c r="AC2729" t="s">
        <v>59</v>
      </c>
      <c r="AD2729" t="s">
        <v>59</v>
      </c>
      <c r="AF2729" s="1">
        <v>36164</v>
      </c>
      <c r="AG2729" t="s">
        <v>125</v>
      </c>
      <c r="AH2729" t="s">
        <v>126</v>
      </c>
      <c r="AI2729" t="str">
        <f>"3201020"</f>
        <v>3201020</v>
      </c>
      <c r="AJ2729" t="s">
        <v>4511</v>
      </c>
      <c r="AK2729">
        <v>2841024586</v>
      </c>
      <c r="AL2729" t="s">
        <v>4512</v>
      </c>
      <c r="AM2729" t="s">
        <v>4513</v>
      </c>
      <c r="AN2729" t="s">
        <v>4514</v>
      </c>
      <c r="AO2729" t="s">
        <v>4514</v>
      </c>
      <c r="AP2729" t="s">
        <v>4514</v>
      </c>
      <c r="AQ2729">
        <v>1</v>
      </c>
      <c r="AR2729" t="s">
        <v>4509</v>
      </c>
      <c r="AS2729" t="s">
        <v>4510</v>
      </c>
      <c r="AT2729" t="s">
        <v>58</v>
      </c>
      <c r="AU2729" t="s">
        <v>68</v>
      </c>
      <c r="AV2729" t="s">
        <v>69</v>
      </c>
      <c r="AW2729" s="1">
        <v>25205</v>
      </c>
      <c r="AX2729">
        <v>2</v>
      </c>
    </row>
    <row r="2730" spans="1:50">
      <c r="A2730">
        <v>210173</v>
      </c>
      <c r="B2730" t="str">
        <f>"051266047"</f>
        <v>051266047</v>
      </c>
      <c r="C2730" t="s">
        <v>105</v>
      </c>
      <c r="D2730" t="s">
        <v>4021</v>
      </c>
      <c r="E2730" t="s">
        <v>53</v>
      </c>
      <c r="F2730" t="s">
        <v>106</v>
      </c>
      <c r="G2730" t="s">
        <v>237</v>
      </c>
      <c r="H2730" t="str">
        <f>"ΕΡΥΘΡΟΥ ΣΤΑΥΡΟΥ 50 ΑΓΙΟΣ ΝΙΚΟΛΑΟΣ"</f>
        <v>ΕΡΥΘΡΟΥ ΣΤΑΥΡΟΥ 50 ΑΓΙΟΣ ΝΙΚΟΛΑΟΣ</v>
      </c>
      <c r="I2730">
        <v>72100</v>
      </c>
      <c r="J2730">
        <v>2841082836</v>
      </c>
      <c r="K2730">
        <v>6974819805</v>
      </c>
      <c r="M2730" t="s">
        <v>5513</v>
      </c>
      <c r="N2730" t="s">
        <v>232</v>
      </c>
      <c r="O2730" t="s">
        <v>233</v>
      </c>
      <c r="R2730" t="s">
        <v>57</v>
      </c>
      <c r="S2730">
        <v>6</v>
      </c>
      <c r="T2730">
        <v>228</v>
      </c>
      <c r="U2730" s="1">
        <v>38608</v>
      </c>
      <c r="V2730" t="s">
        <v>4509</v>
      </c>
      <c r="W2730" t="s">
        <v>4510</v>
      </c>
      <c r="X2730" t="s">
        <v>58</v>
      </c>
      <c r="Y2730">
        <v>20</v>
      </c>
      <c r="Z2730" t="s">
        <v>59</v>
      </c>
      <c r="AA2730" t="s">
        <v>59</v>
      </c>
      <c r="AB2730" t="s">
        <v>59</v>
      </c>
      <c r="AC2730" t="s">
        <v>59</v>
      </c>
      <c r="AD2730" t="s">
        <v>59</v>
      </c>
      <c r="AF2730" s="1">
        <v>38609</v>
      </c>
      <c r="AG2730" t="s">
        <v>125</v>
      </c>
      <c r="AH2730" t="s">
        <v>126</v>
      </c>
      <c r="AI2730" t="str">
        <f>"3201020"</f>
        <v>3201020</v>
      </c>
      <c r="AJ2730" t="s">
        <v>4511</v>
      </c>
      <c r="AK2730">
        <v>2841024586</v>
      </c>
      <c r="AL2730" t="s">
        <v>4512</v>
      </c>
      <c r="AM2730" t="s">
        <v>4513</v>
      </c>
      <c r="AN2730" t="s">
        <v>4514</v>
      </c>
      <c r="AO2730" t="s">
        <v>4514</v>
      </c>
      <c r="AP2730" t="s">
        <v>4514</v>
      </c>
      <c r="AQ2730">
        <v>1</v>
      </c>
      <c r="AR2730" t="s">
        <v>4509</v>
      </c>
      <c r="AS2730" t="s">
        <v>4510</v>
      </c>
      <c r="AT2730" t="s">
        <v>58</v>
      </c>
      <c r="AU2730" t="s">
        <v>68</v>
      </c>
      <c r="AV2730" t="s">
        <v>69</v>
      </c>
      <c r="AW2730" s="1">
        <v>25792</v>
      </c>
      <c r="AX2730">
        <v>2</v>
      </c>
    </row>
    <row r="2731" spans="1:50">
      <c r="A2731">
        <v>197944</v>
      </c>
      <c r="B2731" t="str">
        <f>"057543306"</f>
        <v>057543306</v>
      </c>
      <c r="C2731" t="s">
        <v>50</v>
      </c>
      <c r="D2731" t="s">
        <v>5514</v>
      </c>
      <c r="E2731" t="s">
        <v>5515</v>
      </c>
      <c r="F2731" t="s">
        <v>53</v>
      </c>
      <c r="G2731" t="s">
        <v>250</v>
      </c>
      <c r="H2731" t="str">
        <f>" "</f>
        <v xml:space="preserve"> </v>
      </c>
      <c r="J2731">
        <v>2842022872</v>
      </c>
      <c r="M2731" t="s">
        <v>5516</v>
      </c>
      <c r="N2731" t="s">
        <v>292</v>
      </c>
      <c r="O2731" t="s">
        <v>293</v>
      </c>
      <c r="R2731" t="s">
        <v>57</v>
      </c>
      <c r="S2731">
        <v>7</v>
      </c>
      <c r="T2731">
        <v>206</v>
      </c>
      <c r="U2731" s="1">
        <v>37866</v>
      </c>
      <c r="V2731" t="s">
        <v>4509</v>
      </c>
      <c r="W2731" t="s">
        <v>4510</v>
      </c>
      <c r="X2731" t="s">
        <v>58</v>
      </c>
      <c r="Y2731">
        <v>20</v>
      </c>
      <c r="Z2731" t="s">
        <v>59</v>
      </c>
      <c r="AA2731" t="s">
        <v>59</v>
      </c>
      <c r="AB2731" t="s">
        <v>59</v>
      </c>
      <c r="AC2731" t="s">
        <v>59</v>
      </c>
      <c r="AD2731" t="s">
        <v>59</v>
      </c>
      <c r="AF2731" s="1">
        <v>37866</v>
      </c>
      <c r="AG2731" t="s">
        <v>125</v>
      </c>
      <c r="AH2731" t="s">
        <v>126</v>
      </c>
      <c r="AI2731" t="str">
        <f>"3202020"</f>
        <v>3202020</v>
      </c>
      <c r="AJ2731" t="s">
        <v>4576</v>
      </c>
      <c r="AK2731">
        <v>2842022289</v>
      </c>
      <c r="AL2731" t="s">
        <v>4577</v>
      </c>
      <c r="AM2731" t="s">
        <v>4513</v>
      </c>
      <c r="AN2731" t="s">
        <v>4519</v>
      </c>
      <c r="AO2731" t="s">
        <v>4519</v>
      </c>
      <c r="AP2731" t="s">
        <v>4519</v>
      </c>
      <c r="AQ2731">
        <v>4</v>
      </c>
      <c r="AR2731" t="s">
        <v>4509</v>
      </c>
      <c r="AS2731" t="s">
        <v>4510</v>
      </c>
      <c r="AT2731" t="s">
        <v>58</v>
      </c>
      <c r="AU2731" t="s">
        <v>68</v>
      </c>
      <c r="AV2731" t="s">
        <v>69</v>
      </c>
      <c r="AW2731" s="1">
        <v>25032</v>
      </c>
      <c r="AX2731">
        <v>2</v>
      </c>
    </row>
    <row r="2732" spans="1:50">
      <c r="A2732">
        <v>202051</v>
      </c>
      <c r="B2732" t="str">
        <f>"044941320"</f>
        <v>044941320</v>
      </c>
      <c r="C2732" t="s">
        <v>50</v>
      </c>
      <c r="D2732" t="s">
        <v>5517</v>
      </c>
      <c r="E2732" t="s">
        <v>52</v>
      </c>
      <c r="F2732" t="s">
        <v>95</v>
      </c>
      <c r="G2732" t="s">
        <v>52</v>
      </c>
      <c r="H2732" t="str">
        <f>"Καραμανλη κ Πωσειδωνος 2 ΣΗΤΕΙΑ"</f>
        <v>Καραμανλη κ Πωσειδωνος 2 ΣΗΤΕΙΑ</v>
      </c>
      <c r="I2732">
        <v>72300</v>
      </c>
      <c r="J2732">
        <v>2102713466</v>
      </c>
      <c r="K2732">
        <v>6945781449</v>
      </c>
      <c r="M2732" t="s">
        <v>5518</v>
      </c>
      <c r="N2732" t="s">
        <v>146</v>
      </c>
      <c r="O2732" t="s">
        <v>147</v>
      </c>
      <c r="R2732" t="s">
        <v>57</v>
      </c>
      <c r="S2732">
        <v>8</v>
      </c>
      <c r="T2732">
        <v>231</v>
      </c>
      <c r="U2732" s="1">
        <v>38230</v>
      </c>
      <c r="V2732" t="s">
        <v>4509</v>
      </c>
      <c r="W2732" t="s">
        <v>4510</v>
      </c>
      <c r="X2732" t="s">
        <v>58</v>
      </c>
      <c r="Y2732">
        <v>20</v>
      </c>
      <c r="Z2732" t="s">
        <v>59</v>
      </c>
      <c r="AA2732" t="s">
        <v>59</v>
      </c>
      <c r="AB2732" t="s">
        <v>59</v>
      </c>
      <c r="AC2732" t="s">
        <v>59</v>
      </c>
      <c r="AD2732" t="s">
        <v>59</v>
      </c>
      <c r="AF2732" s="1">
        <v>38236</v>
      </c>
      <c r="AG2732" t="s">
        <v>125</v>
      </c>
      <c r="AH2732" t="s">
        <v>126</v>
      </c>
      <c r="AI2732" t="str">
        <f>"3204010"</f>
        <v>3204010</v>
      </c>
      <c r="AJ2732" t="s">
        <v>4542</v>
      </c>
      <c r="AK2732">
        <v>2843022503</v>
      </c>
      <c r="AL2732" t="s">
        <v>4543</v>
      </c>
      <c r="AM2732" t="s">
        <v>4513</v>
      </c>
      <c r="AN2732" t="s">
        <v>4540</v>
      </c>
      <c r="AO2732" t="s">
        <v>4540</v>
      </c>
      <c r="AP2732" t="s">
        <v>4540</v>
      </c>
      <c r="AQ2732">
        <v>6</v>
      </c>
      <c r="AR2732" t="s">
        <v>4509</v>
      </c>
      <c r="AS2732" t="s">
        <v>4510</v>
      </c>
      <c r="AT2732" t="s">
        <v>58</v>
      </c>
      <c r="AU2732" t="s">
        <v>68</v>
      </c>
      <c r="AV2732" t="s">
        <v>69</v>
      </c>
      <c r="AW2732" s="1">
        <v>24320</v>
      </c>
      <c r="AX2732">
        <v>2</v>
      </c>
    </row>
    <row r="2733" spans="1:50">
      <c r="A2733">
        <v>202052</v>
      </c>
      <c r="B2733" t="str">
        <f>"065411739"</f>
        <v>065411739</v>
      </c>
      <c r="C2733" t="s">
        <v>50</v>
      </c>
      <c r="D2733" t="s">
        <v>4037</v>
      </c>
      <c r="E2733" t="s">
        <v>727</v>
      </c>
      <c r="F2733" t="s">
        <v>166</v>
      </c>
      <c r="G2733" t="s">
        <v>414</v>
      </c>
      <c r="H2733" t="str">
        <f>" "</f>
        <v xml:space="preserve"> </v>
      </c>
      <c r="J2733">
        <v>2841024268</v>
      </c>
      <c r="L2733">
        <v>2841022806</v>
      </c>
      <c r="M2733" t="s">
        <v>5519</v>
      </c>
      <c r="N2733" t="s">
        <v>146</v>
      </c>
      <c r="O2733" t="s">
        <v>147</v>
      </c>
      <c r="R2733" t="s">
        <v>57</v>
      </c>
      <c r="S2733">
        <v>7</v>
      </c>
      <c r="T2733" t="s">
        <v>5520</v>
      </c>
      <c r="U2733" s="1">
        <v>38230</v>
      </c>
      <c r="V2733" t="s">
        <v>4509</v>
      </c>
      <c r="W2733" t="s">
        <v>4510</v>
      </c>
      <c r="X2733" t="s">
        <v>58</v>
      </c>
      <c r="Y2733">
        <v>20</v>
      </c>
      <c r="Z2733" t="s">
        <v>59</v>
      </c>
      <c r="AA2733" t="s">
        <v>59</v>
      </c>
      <c r="AB2733" t="s">
        <v>59</v>
      </c>
      <c r="AC2733" t="s">
        <v>59</v>
      </c>
      <c r="AD2733" t="s">
        <v>59</v>
      </c>
      <c r="AF2733" s="1">
        <v>38231</v>
      </c>
      <c r="AG2733" t="s">
        <v>148</v>
      </c>
      <c r="AH2733" t="s">
        <v>149</v>
      </c>
      <c r="AI2733" t="str">
        <f>"3251010"</f>
        <v>3251010</v>
      </c>
      <c r="AJ2733" t="s">
        <v>4646</v>
      </c>
      <c r="AK2733">
        <v>2841023649</v>
      </c>
      <c r="AL2733" t="s">
        <v>4647</v>
      </c>
      <c r="AM2733" t="s">
        <v>4513</v>
      </c>
      <c r="AN2733" t="s">
        <v>4514</v>
      </c>
      <c r="AO2733" t="s">
        <v>4514</v>
      </c>
      <c r="AP2733" t="s">
        <v>4514</v>
      </c>
      <c r="AQ2733">
        <v>1</v>
      </c>
      <c r="AR2733" t="s">
        <v>4509</v>
      </c>
      <c r="AS2733" t="s">
        <v>4510</v>
      </c>
      <c r="AT2733" t="s">
        <v>58</v>
      </c>
      <c r="AU2733" t="s">
        <v>68</v>
      </c>
      <c r="AV2733" t="s">
        <v>69</v>
      </c>
      <c r="AW2733" s="1">
        <v>27583</v>
      </c>
      <c r="AX2733">
        <v>2</v>
      </c>
    </row>
    <row r="2734" spans="1:50">
      <c r="A2734">
        <v>182409</v>
      </c>
      <c r="B2734" t="str">
        <f>"020573917"</f>
        <v>020573917</v>
      </c>
      <c r="C2734" t="s">
        <v>105</v>
      </c>
      <c r="D2734" t="s">
        <v>5521</v>
      </c>
      <c r="E2734" t="s">
        <v>106</v>
      </c>
      <c r="F2734" t="s">
        <v>72</v>
      </c>
      <c r="G2734" t="s">
        <v>181</v>
      </c>
      <c r="H2734" t="str">
        <f>" "</f>
        <v xml:space="preserve"> </v>
      </c>
      <c r="M2734" t="s">
        <v>5522</v>
      </c>
      <c r="N2734" t="s">
        <v>157</v>
      </c>
      <c r="O2734" t="s">
        <v>158</v>
      </c>
      <c r="R2734" t="s">
        <v>57</v>
      </c>
      <c r="S2734">
        <v>12</v>
      </c>
      <c r="T2734">
        <v>249</v>
      </c>
      <c r="U2734" s="1">
        <v>36160</v>
      </c>
      <c r="V2734" t="s">
        <v>4509</v>
      </c>
      <c r="W2734" t="s">
        <v>4510</v>
      </c>
      <c r="X2734" t="s">
        <v>58</v>
      </c>
      <c r="Y2734">
        <v>18</v>
      </c>
      <c r="Z2734" t="s">
        <v>59</v>
      </c>
      <c r="AA2734" t="s">
        <v>59</v>
      </c>
      <c r="AB2734" t="s">
        <v>59</v>
      </c>
      <c r="AC2734" t="s">
        <v>59</v>
      </c>
      <c r="AD2734" t="s">
        <v>59</v>
      </c>
      <c r="AF2734" s="1">
        <v>36164</v>
      </c>
      <c r="AG2734" t="s">
        <v>125</v>
      </c>
      <c r="AH2734" t="s">
        <v>126</v>
      </c>
      <c r="AI2734" t="str">
        <f>"3201010"</f>
        <v>3201010</v>
      </c>
      <c r="AJ2734" t="s">
        <v>4596</v>
      </c>
      <c r="AK2734">
        <v>2841022301</v>
      </c>
      <c r="AL2734" t="s">
        <v>4597</v>
      </c>
      <c r="AM2734" t="s">
        <v>4513</v>
      </c>
      <c r="AN2734" t="s">
        <v>4514</v>
      </c>
      <c r="AO2734" t="s">
        <v>4514</v>
      </c>
      <c r="AP2734" t="s">
        <v>4514</v>
      </c>
      <c r="AQ2734">
        <v>1</v>
      </c>
      <c r="AR2734" t="s">
        <v>4509</v>
      </c>
      <c r="AS2734" t="s">
        <v>4510</v>
      </c>
      <c r="AT2734" t="s">
        <v>58</v>
      </c>
      <c r="AU2734" t="s">
        <v>68</v>
      </c>
      <c r="AV2734" t="s">
        <v>69</v>
      </c>
      <c r="AW2734" s="1">
        <v>23770</v>
      </c>
      <c r="AX2734">
        <v>2</v>
      </c>
    </row>
    <row r="2735" spans="1:50">
      <c r="A2735">
        <v>227465</v>
      </c>
      <c r="B2735" t="str">
        <f>"075986506"</f>
        <v>075986506</v>
      </c>
      <c r="C2735" t="s">
        <v>50</v>
      </c>
      <c r="D2735" t="s">
        <v>4061</v>
      </c>
      <c r="E2735" t="s">
        <v>255</v>
      </c>
      <c r="F2735" t="s">
        <v>72</v>
      </c>
      <c r="G2735" t="s">
        <v>52</v>
      </c>
      <c r="H2735" t="str">
        <f>"ΙΩΑΝΝΟΥ ΣΑΡΕΙΔΑΚΗ 5 ΙΕΡΑΠΕΤΡΑ ΚΡΗΤΗΣ"</f>
        <v>ΙΩΑΝΝΟΥ ΣΑΡΕΙΔΑΚΗ 5 ΙΕΡΑΠΕΤΡΑ ΚΡΗΤΗΣ</v>
      </c>
      <c r="I2735">
        <v>72200</v>
      </c>
      <c r="J2735">
        <v>2842024851</v>
      </c>
      <c r="K2735">
        <v>6944881554</v>
      </c>
      <c r="M2735" t="s">
        <v>5523</v>
      </c>
      <c r="N2735" t="s">
        <v>199</v>
      </c>
      <c r="O2735" t="s">
        <v>200</v>
      </c>
      <c r="R2735" t="s">
        <v>57</v>
      </c>
      <c r="S2735">
        <v>5</v>
      </c>
      <c r="T2735">
        <v>654</v>
      </c>
      <c r="U2735" s="1">
        <v>40043</v>
      </c>
      <c r="V2735" t="s">
        <v>4509</v>
      </c>
      <c r="W2735" t="s">
        <v>4510</v>
      </c>
      <c r="X2735" t="s">
        <v>58</v>
      </c>
      <c r="Y2735">
        <v>21</v>
      </c>
      <c r="Z2735" t="s">
        <v>59</v>
      </c>
      <c r="AA2735" t="s">
        <v>59</v>
      </c>
      <c r="AB2735" t="s">
        <v>59</v>
      </c>
      <c r="AC2735" t="s">
        <v>59</v>
      </c>
      <c r="AD2735" t="s">
        <v>59</v>
      </c>
      <c r="AF2735" s="1">
        <v>40043</v>
      </c>
      <c r="AG2735" t="s">
        <v>125</v>
      </c>
      <c r="AH2735" t="s">
        <v>126</v>
      </c>
      <c r="AI2735" t="str">
        <f>"3202030"</f>
        <v>3202030</v>
      </c>
      <c r="AJ2735" t="s">
        <v>4558</v>
      </c>
      <c r="AK2735">
        <v>2842028751</v>
      </c>
      <c r="AL2735" t="s">
        <v>4559</v>
      </c>
      <c r="AM2735" t="s">
        <v>4513</v>
      </c>
      <c r="AN2735" t="s">
        <v>4519</v>
      </c>
      <c r="AO2735" t="s">
        <v>4519</v>
      </c>
      <c r="AP2735" t="s">
        <v>4519</v>
      </c>
      <c r="AQ2735">
        <v>4</v>
      </c>
      <c r="AR2735" t="s">
        <v>4509</v>
      </c>
      <c r="AS2735" t="s">
        <v>4510</v>
      </c>
      <c r="AT2735" t="s">
        <v>58</v>
      </c>
      <c r="AU2735" t="s">
        <v>68</v>
      </c>
      <c r="AV2735" t="s">
        <v>69</v>
      </c>
      <c r="AW2735" s="1">
        <v>28329</v>
      </c>
      <c r="AX2735">
        <v>2</v>
      </c>
    </row>
    <row r="2736" spans="1:50">
      <c r="A2736">
        <v>194582</v>
      </c>
      <c r="B2736" t="str">
        <f>"051066603"</f>
        <v>051066603</v>
      </c>
      <c r="C2736" t="s">
        <v>105</v>
      </c>
      <c r="D2736" t="s">
        <v>5524</v>
      </c>
      <c r="E2736" t="s">
        <v>166</v>
      </c>
      <c r="F2736" t="s">
        <v>72</v>
      </c>
      <c r="G2736" t="s">
        <v>4515</v>
      </c>
      <c r="H2736" t="str">
        <f>" "</f>
        <v xml:space="preserve"> </v>
      </c>
      <c r="J2736">
        <v>2841082987</v>
      </c>
      <c r="K2736">
        <v>6945531843</v>
      </c>
      <c r="M2736" t="s">
        <v>5525</v>
      </c>
      <c r="N2736" t="s">
        <v>176</v>
      </c>
      <c r="O2736" t="s">
        <v>177</v>
      </c>
      <c r="R2736" t="s">
        <v>57</v>
      </c>
      <c r="S2736">
        <v>11</v>
      </c>
      <c r="T2736">
        <v>193</v>
      </c>
      <c r="U2736" s="1">
        <v>37497</v>
      </c>
      <c r="V2736" t="s">
        <v>4509</v>
      </c>
      <c r="W2736" t="s">
        <v>4510</v>
      </c>
      <c r="X2736" t="s">
        <v>58</v>
      </c>
      <c r="Y2736">
        <v>18</v>
      </c>
      <c r="Z2736" t="s">
        <v>59</v>
      </c>
      <c r="AA2736" t="s">
        <v>59</v>
      </c>
      <c r="AB2736" t="s">
        <v>59</v>
      </c>
      <c r="AC2736" t="s">
        <v>59</v>
      </c>
      <c r="AD2736" t="s">
        <v>59</v>
      </c>
      <c r="AF2736" s="1">
        <v>37501</v>
      </c>
      <c r="AG2736" t="s">
        <v>125</v>
      </c>
      <c r="AH2736" t="s">
        <v>126</v>
      </c>
      <c r="AI2736" t="str">
        <f>"3201025"</f>
        <v>3201025</v>
      </c>
      <c r="AJ2736" t="s">
        <v>4682</v>
      </c>
      <c r="AK2736">
        <v>2841021388</v>
      </c>
      <c r="AL2736" t="s">
        <v>4683</v>
      </c>
      <c r="AM2736" t="s">
        <v>4513</v>
      </c>
      <c r="AN2736" t="s">
        <v>4514</v>
      </c>
      <c r="AO2736" t="s">
        <v>4514</v>
      </c>
      <c r="AP2736" t="s">
        <v>4514</v>
      </c>
      <c r="AQ2736">
        <v>1</v>
      </c>
      <c r="AR2736" t="s">
        <v>4509</v>
      </c>
      <c r="AS2736" t="s">
        <v>4510</v>
      </c>
      <c r="AT2736" t="s">
        <v>58</v>
      </c>
      <c r="AU2736" t="s">
        <v>68</v>
      </c>
      <c r="AV2736" t="s">
        <v>357</v>
      </c>
      <c r="AW2736" s="1">
        <v>24872</v>
      </c>
      <c r="AX2736">
        <v>2</v>
      </c>
    </row>
    <row r="2737" spans="1:50">
      <c r="A2737">
        <v>180707</v>
      </c>
      <c r="B2737" t="str">
        <f>"040907507"</f>
        <v>040907507</v>
      </c>
      <c r="C2737" t="s">
        <v>50</v>
      </c>
      <c r="D2737" t="s">
        <v>5526</v>
      </c>
      <c r="E2737" t="s">
        <v>181</v>
      </c>
      <c r="F2737" t="s">
        <v>564</v>
      </c>
      <c r="G2737" t="s">
        <v>411</v>
      </c>
      <c r="H2737" t="str">
        <f>" "</f>
        <v xml:space="preserve"> </v>
      </c>
      <c r="M2737" t="s">
        <v>5527</v>
      </c>
      <c r="N2737" t="s">
        <v>1647</v>
      </c>
      <c r="O2737" t="s">
        <v>1648</v>
      </c>
      <c r="R2737" t="s">
        <v>57</v>
      </c>
      <c r="S2737">
        <v>10</v>
      </c>
      <c r="T2737">
        <v>164</v>
      </c>
      <c r="U2737" s="1">
        <v>36039</v>
      </c>
      <c r="V2737" t="s">
        <v>4509</v>
      </c>
      <c r="W2737" t="s">
        <v>4510</v>
      </c>
      <c r="X2737" t="s">
        <v>58</v>
      </c>
      <c r="Y2737">
        <v>18</v>
      </c>
      <c r="Z2737" t="s">
        <v>59</v>
      </c>
      <c r="AA2737" t="s">
        <v>59</v>
      </c>
      <c r="AB2737" t="s">
        <v>59</v>
      </c>
      <c r="AC2737" t="s">
        <v>59</v>
      </c>
      <c r="AD2737" t="s">
        <v>59</v>
      </c>
      <c r="AF2737" s="1">
        <v>36040</v>
      </c>
      <c r="AG2737" t="s">
        <v>125</v>
      </c>
      <c r="AH2737" t="s">
        <v>126</v>
      </c>
      <c r="AI2737" t="str">
        <f>"3202010"</f>
        <v>3202010</v>
      </c>
      <c r="AJ2737" t="s">
        <v>4517</v>
      </c>
      <c r="AK2737">
        <v>2842028229</v>
      </c>
      <c r="AL2737" t="s">
        <v>4518</v>
      </c>
      <c r="AM2737" t="s">
        <v>4513</v>
      </c>
      <c r="AN2737" t="s">
        <v>4519</v>
      </c>
      <c r="AO2737" t="s">
        <v>4519</v>
      </c>
      <c r="AP2737" t="s">
        <v>4519</v>
      </c>
      <c r="AQ2737">
        <v>4</v>
      </c>
      <c r="AR2737" t="s">
        <v>4509</v>
      </c>
      <c r="AS2737" t="s">
        <v>4510</v>
      </c>
      <c r="AT2737" t="s">
        <v>58</v>
      </c>
      <c r="AU2737" t="s">
        <v>68</v>
      </c>
      <c r="AV2737" t="s">
        <v>69</v>
      </c>
      <c r="AW2737" s="1">
        <v>22383</v>
      </c>
      <c r="AX2737">
        <v>2</v>
      </c>
    </row>
    <row r="2738" spans="1:50">
      <c r="A2738">
        <v>226873</v>
      </c>
      <c r="B2738" t="str">
        <f>"132883060"</f>
        <v>132883060</v>
      </c>
      <c r="C2738" t="s">
        <v>50</v>
      </c>
      <c r="D2738" t="s">
        <v>4068</v>
      </c>
      <c r="E2738" t="s">
        <v>396</v>
      </c>
      <c r="F2738" t="s">
        <v>230</v>
      </c>
      <c r="G2738" t="s">
        <v>4737</v>
      </c>
      <c r="H2738" t="str">
        <f>" "</f>
        <v xml:space="preserve"> </v>
      </c>
      <c r="J2738">
        <v>2531072259</v>
      </c>
      <c r="K2738">
        <v>6972059651</v>
      </c>
      <c r="M2738" t="s">
        <v>5528</v>
      </c>
      <c r="N2738" t="s">
        <v>146</v>
      </c>
      <c r="O2738" t="s">
        <v>147</v>
      </c>
      <c r="R2738" t="s">
        <v>57</v>
      </c>
      <c r="S2738">
        <v>4</v>
      </c>
      <c r="T2738">
        <v>654</v>
      </c>
      <c r="U2738" s="1">
        <v>40043</v>
      </c>
      <c r="V2738" t="s">
        <v>4509</v>
      </c>
      <c r="W2738" t="s">
        <v>4510</v>
      </c>
      <c r="X2738" t="s">
        <v>58</v>
      </c>
      <c r="Y2738">
        <v>21</v>
      </c>
      <c r="Z2738" t="s">
        <v>59</v>
      </c>
      <c r="AA2738" t="s">
        <v>59</v>
      </c>
      <c r="AB2738" t="s">
        <v>59</v>
      </c>
      <c r="AC2738" t="s">
        <v>59</v>
      </c>
      <c r="AD2738" t="s">
        <v>59</v>
      </c>
      <c r="AF2738" s="1">
        <v>40044</v>
      </c>
      <c r="AG2738" t="s">
        <v>125</v>
      </c>
      <c r="AH2738" t="s">
        <v>126</v>
      </c>
      <c r="AI2738" t="str">
        <f>"3202010"</f>
        <v>3202010</v>
      </c>
      <c r="AJ2738" t="s">
        <v>4517</v>
      </c>
      <c r="AK2738">
        <v>2842028229</v>
      </c>
      <c r="AL2738" t="s">
        <v>4518</v>
      </c>
      <c r="AM2738" t="s">
        <v>4513</v>
      </c>
      <c r="AN2738" t="s">
        <v>4519</v>
      </c>
      <c r="AO2738" t="s">
        <v>4519</v>
      </c>
      <c r="AP2738" t="s">
        <v>4519</v>
      </c>
      <c r="AQ2738">
        <v>4</v>
      </c>
      <c r="AR2738" t="s">
        <v>4509</v>
      </c>
      <c r="AS2738" t="s">
        <v>4510</v>
      </c>
      <c r="AT2738" t="s">
        <v>58</v>
      </c>
      <c r="AU2738" t="s">
        <v>68</v>
      </c>
      <c r="AV2738" t="s">
        <v>69</v>
      </c>
      <c r="AW2738" s="1">
        <v>26453</v>
      </c>
      <c r="AX2738">
        <v>2</v>
      </c>
    </row>
    <row r="2739" spans="1:50">
      <c r="A2739">
        <v>701215</v>
      </c>
      <c r="B2739" t="str">
        <f>"124728127"</f>
        <v>124728127</v>
      </c>
      <c r="C2739" t="s">
        <v>50</v>
      </c>
      <c r="D2739" t="s">
        <v>5529</v>
      </c>
      <c r="E2739" t="s">
        <v>460</v>
      </c>
      <c r="F2739" t="s">
        <v>383</v>
      </c>
      <c r="G2739" t="s">
        <v>396</v>
      </c>
      <c r="H2739" t="str">
        <f>"17ΗΣ ΝΟΕΜΒΡΙΟΥ 88 ΧΟΛΑΡΓΟΣ"</f>
        <v>17ΗΣ ΝΟΕΜΒΡΙΟΥ 88 ΧΟΛΑΡΓΟΣ</v>
      </c>
      <c r="I2739">
        <v>15562</v>
      </c>
      <c r="J2739">
        <v>2106520636</v>
      </c>
      <c r="K2739">
        <v>6948808512</v>
      </c>
      <c r="M2739" t="s">
        <v>5530</v>
      </c>
      <c r="N2739" t="s">
        <v>146</v>
      </c>
      <c r="O2739" t="s">
        <v>147</v>
      </c>
      <c r="R2739" t="s">
        <v>57</v>
      </c>
      <c r="S2739">
        <v>4</v>
      </c>
      <c r="T2739">
        <v>772</v>
      </c>
      <c r="U2739" s="1">
        <v>40413</v>
      </c>
      <c r="V2739" t="s">
        <v>4509</v>
      </c>
      <c r="W2739" t="s">
        <v>4510</v>
      </c>
      <c r="X2739" t="s">
        <v>58</v>
      </c>
      <c r="Y2739">
        <v>21</v>
      </c>
      <c r="Z2739" t="s">
        <v>59</v>
      </c>
      <c r="AA2739" t="s">
        <v>59</v>
      </c>
      <c r="AB2739" t="s">
        <v>59</v>
      </c>
      <c r="AC2739" t="s">
        <v>59</v>
      </c>
      <c r="AD2739" t="s">
        <v>59</v>
      </c>
      <c r="AF2739" s="1">
        <v>40413</v>
      </c>
      <c r="AG2739" t="s">
        <v>148</v>
      </c>
      <c r="AH2739" t="s">
        <v>149</v>
      </c>
      <c r="AI2739" t="str">
        <f>"3252020"</f>
        <v>3252020</v>
      </c>
      <c r="AJ2739" t="s">
        <v>4638</v>
      </c>
      <c r="AK2739">
        <v>2842022379</v>
      </c>
      <c r="AL2739" t="s">
        <v>4639</v>
      </c>
      <c r="AM2739" t="s">
        <v>4513</v>
      </c>
      <c r="AN2739" t="s">
        <v>4519</v>
      </c>
      <c r="AO2739" t="s">
        <v>4519</v>
      </c>
      <c r="AP2739" t="s">
        <v>4519</v>
      </c>
      <c r="AQ2739">
        <v>4</v>
      </c>
      <c r="AR2739" t="s">
        <v>4509</v>
      </c>
      <c r="AS2739" t="s">
        <v>4510</v>
      </c>
      <c r="AT2739" t="s">
        <v>58</v>
      </c>
      <c r="AU2739" t="s">
        <v>68</v>
      </c>
      <c r="AV2739" t="s">
        <v>69</v>
      </c>
      <c r="AW2739" s="1">
        <v>28867</v>
      </c>
      <c r="AX2739">
        <v>2</v>
      </c>
    </row>
    <row r="2740" spans="1:50">
      <c r="A2740">
        <v>703596</v>
      </c>
      <c r="B2740" t="str">
        <f>"126311643"</f>
        <v>126311643</v>
      </c>
      <c r="C2740" t="s">
        <v>50</v>
      </c>
      <c r="D2740" t="s">
        <v>5531</v>
      </c>
      <c r="E2740" t="s">
        <v>52</v>
      </c>
      <c r="F2740" t="s">
        <v>99</v>
      </c>
      <c r="G2740" t="s">
        <v>73</v>
      </c>
      <c r="H2740" t="str">
        <f>"ΜΟΝΗΣ ΦΑΝΕΡΩΜΕΝΗΣ ΣΤΑΥΡΟΣ ΑΓΙΟΣ ΝΙΚΟΛΑΟΣ"</f>
        <v>ΜΟΝΗΣ ΦΑΝΕΡΩΜΕΝΗΣ ΣΤΑΥΡΟΣ ΑΓΙΟΣ ΝΙΚΟΛΑΟΣ</v>
      </c>
      <c r="I2740">
        <v>72100</v>
      </c>
      <c r="J2740">
        <v>2841083239</v>
      </c>
      <c r="K2740">
        <v>6975796918</v>
      </c>
      <c r="M2740" t="s">
        <v>5532</v>
      </c>
      <c r="N2740" t="s">
        <v>146</v>
      </c>
      <c r="O2740" t="s">
        <v>147</v>
      </c>
      <c r="R2740" t="s">
        <v>57</v>
      </c>
      <c r="S2740">
        <v>6</v>
      </c>
      <c r="T2740">
        <v>925</v>
      </c>
      <c r="U2740" s="1">
        <v>41158</v>
      </c>
      <c r="V2740" t="s">
        <v>4509</v>
      </c>
      <c r="W2740" t="s">
        <v>4510</v>
      </c>
      <c r="X2740" t="s">
        <v>58</v>
      </c>
      <c r="Y2740">
        <v>21</v>
      </c>
      <c r="Z2740" t="s">
        <v>59</v>
      </c>
      <c r="AA2740" t="s">
        <v>59</v>
      </c>
      <c r="AB2740" t="s">
        <v>59</v>
      </c>
      <c r="AC2740" t="s">
        <v>59</v>
      </c>
      <c r="AD2740" t="s">
        <v>59</v>
      </c>
      <c r="AF2740" s="1">
        <v>41159</v>
      </c>
      <c r="AG2740" t="s">
        <v>125</v>
      </c>
      <c r="AH2740" t="s">
        <v>126</v>
      </c>
      <c r="AI2740" t="str">
        <f>"3207010"</f>
        <v>3207010</v>
      </c>
      <c r="AJ2740" t="s">
        <v>4755</v>
      </c>
      <c r="AK2740">
        <v>2841051452</v>
      </c>
      <c r="AL2740" t="s">
        <v>4756</v>
      </c>
      <c r="AM2740" t="s">
        <v>4513</v>
      </c>
      <c r="AN2740" t="s">
        <v>4514</v>
      </c>
      <c r="AO2740" t="s">
        <v>4514</v>
      </c>
      <c r="AP2740" t="s">
        <v>4757</v>
      </c>
      <c r="AQ2740">
        <v>1</v>
      </c>
      <c r="AR2740" t="s">
        <v>4509</v>
      </c>
      <c r="AS2740" t="s">
        <v>4510</v>
      </c>
      <c r="AT2740" t="s">
        <v>58</v>
      </c>
      <c r="AU2740" t="s">
        <v>68</v>
      </c>
      <c r="AV2740" t="s">
        <v>69</v>
      </c>
      <c r="AW2740" s="1">
        <v>28252</v>
      </c>
      <c r="AX2740">
        <v>2</v>
      </c>
    </row>
    <row r="2741" spans="1:50">
      <c r="A2741">
        <v>191294</v>
      </c>
      <c r="B2741" t="str">
        <f>"066912821"</f>
        <v>066912821</v>
      </c>
      <c r="C2741" t="s">
        <v>105</v>
      </c>
      <c r="D2741" t="s">
        <v>5533</v>
      </c>
      <c r="E2741" t="s">
        <v>166</v>
      </c>
      <c r="F2741" t="s">
        <v>95</v>
      </c>
      <c r="G2741" t="s">
        <v>83</v>
      </c>
      <c r="H2741" t="str">
        <f>"ΠΛΑΣΤΗΡΑ 28 ΣΗΤΕΙΑ"</f>
        <v>ΠΛΑΣΤΗΡΑ 28 ΣΗΤΕΙΑ</v>
      </c>
      <c r="I2741">
        <v>72300</v>
      </c>
      <c r="J2741">
        <v>2843029486</v>
      </c>
      <c r="K2741">
        <v>6977456842</v>
      </c>
      <c r="L2741">
        <v>6977456842</v>
      </c>
      <c r="M2741" t="s">
        <v>5534</v>
      </c>
      <c r="N2741" t="s">
        <v>204</v>
      </c>
      <c r="O2741" t="s">
        <v>205</v>
      </c>
      <c r="R2741" t="s">
        <v>57</v>
      </c>
      <c r="S2741">
        <v>10</v>
      </c>
      <c r="T2741">
        <v>219</v>
      </c>
      <c r="U2741" s="1">
        <v>37134</v>
      </c>
      <c r="V2741" t="s">
        <v>4509</v>
      </c>
      <c r="W2741" t="s">
        <v>4510</v>
      </c>
      <c r="X2741" t="s">
        <v>58</v>
      </c>
      <c r="Y2741">
        <v>20</v>
      </c>
      <c r="Z2741" t="s">
        <v>59</v>
      </c>
      <c r="AA2741" t="s">
        <v>59</v>
      </c>
      <c r="AB2741" t="s">
        <v>59</v>
      </c>
      <c r="AC2741" t="s">
        <v>59</v>
      </c>
      <c r="AD2741" t="s">
        <v>59</v>
      </c>
      <c r="AF2741" s="1">
        <v>37135</v>
      </c>
      <c r="AG2741" t="s">
        <v>148</v>
      </c>
      <c r="AH2741" t="s">
        <v>149</v>
      </c>
      <c r="AI2741" t="str">
        <f>"3254010"</f>
        <v>3254010</v>
      </c>
      <c r="AJ2741" t="s">
        <v>4538</v>
      </c>
      <c r="AK2741">
        <v>2843022277</v>
      </c>
      <c r="AL2741" t="s">
        <v>4539</v>
      </c>
      <c r="AM2741" t="s">
        <v>4513</v>
      </c>
      <c r="AN2741" t="s">
        <v>4540</v>
      </c>
      <c r="AO2741" t="s">
        <v>4540</v>
      </c>
      <c r="AP2741" t="s">
        <v>4540</v>
      </c>
      <c r="AQ2741">
        <v>6</v>
      </c>
      <c r="AR2741" t="s">
        <v>4509</v>
      </c>
      <c r="AS2741" t="s">
        <v>4510</v>
      </c>
      <c r="AT2741" t="s">
        <v>58</v>
      </c>
      <c r="AU2741" t="s">
        <v>68</v>
      </c>
      <c r="AV2741" t="s">
        <v>69</v>
      </c>
      <c r="AW2741" s="1">
        <v>27762</v>
      </c>
      <c r="AX2741">
        <v>2</v>
      </c>
    </row>
    <row r="2742" spans="1:50">
      <c r="A2742">
        <v>213423</v>
      </c>
      <c r="B2742" t="str">
        <f>"065388129"</f>
        <v>065388129</v>
      </c>
      <c r="C2742" t="s">
        <v>105</v>
      </c>
      <c r="D2742" t="s">
        <v>5535</v>
      </c>
      <c r="E2742" t="s">
        <v>95</v>
      </c>
      <c r="F2742" t="s">
        <v>900</v>
      </c>
      <c r="G2742" t="s">
        <v>950</v>
      </c>
      <c r="H2742" t="str">
        <f>" "</f>
        <v xml:space="preserve"> </v>
      </c>
      <c r="J2742">
        <v>2841081060</v>
      </c>
      <c r="K2742">
        <v>6972846072</v>
      </c>
      <c r="M2742" t="s">
        <v>5536</v>
      </c>
      <c r="N2742" t="s">
        <v>199</v>
      </c>
      <c r="O2742" t="s">
        <v>200</v>
      </c>
      <c r="R2742" t="s">
        <v>57</v>
      </c>
      <c r="S2742">
        <v>6</v>
      </c>
      <c r="T2742">
        <v>231</v>
      </c>
      <c r="U2742" s="1">
        <v>38960</v>
      </c>
      <c r="V2742" t="s">
        <v>4509</v>
      </c>
      <c r="W2742" t="s">
        <v>4510</v>
      </c>
      <c r="X2742" t="s">
        <v>58</v>
      </c>
      <c r="Y2742">
        <v>20</v>
      </c>
      <c r="Z2742" t="s">
        <v>59</v>
      </c>
      <c r="AA2742" t="s">
        <v>59</v>
      </c>
      <c r="AB2742" t="s">
        <v>59</v>
      </c>
      <c r="AC2742" t="s">
        <v>59</v>
      </c>
      <c r="AD2742" t="s">
        <v>59</v>
      </c>
      <c r="AF2742" s="1">
        <v>38961</v>
      </c>
      <c r="AG2742" t="s">
        <v>148</v>
      </c>
      <c r="AH2742" t="s">
        <v>149</v>
      </c>
      <c r="AI2742" t="str">
        <f>"3253010"</f>
        <v>3253010</v>
      </c>
      <c r="AJ2742" t="s">
        <v>4579</v>
      </c>
      <c r="AK2742">
        <v>2841031769</v>
      </c>
      <c r="AL2742" t="s">
        <v>4580</v>
      </c>
      <c r="AM2742" t="s">
        <v>4513</v>
      </c>
      <c r="AN2742" t="s">
        <v>4514</v>
      </c>
      <c r="AO2742" t="s">
        <v>4524</v>
      </c>
      <c r="AP2742" t="s">
        <v>4525</v>
      </c>
      <c r="AQ2742">
        <v>3</v>
      </c>
      <c r="AR2742" t="s">
        <v>4509</v>
      </c>
      <c r="AS2742" t="s">
        <v>4510</v>
      </c>
      <c r="AT2742" t="s">
        <v>58</v>
      </c>
      <c r="AU2742" t="s">
        <v>68</v>
      </c>
      <c r="AV2742" t="s">
        <v>69</v>
      </c>
      <c r="AW2742" s="1">
        <v>27796</v>
      </c>
      <c r="AX2742">
        <v>2</v>
      </c>
    </row>
    <row r="2743" spans="1:50">
      <c r="A2743">
        <v>159652</v>
      </c>
      <c r="B2743" t="str">
        <f>"037801947"</f>
        <v>037801947</v>
      </c>
      <c r="C2743" t="s">
        <v>105</v>
      </c>
      <c r="D2743" t="s">
        <v>5537</v>
      </c>
      <c r="E2743" t="s">
        <v>1363</v>
      </c>
      <c r="F2743" t="s">
        <v>5538</v>
      </c>
      <c r="G2743" t="s">
        <v>114</v>
      </c>
      <c r="H2743" t="str">
        <f>" "</f>
        <v xml:space="preserve"> </v>
      </c>
      <c r="M2743" t="s">
        <v>5539</v>
      </c>
      <c r="N2743" t="s">
        <v>146</v>
      </c>
      <c r="O2743" t="s">
        <v>147</v>
      </c>
      <c r="R2743" t="s">
        <v>57</v>
      </c>
      <c r="S2743">
        <v>14</v>
      </c>
      <c r="T2743">
        <v>161</v>
      </c>
      <c r="U2743" s="1">
        <v>33119</v>
      </c>
      <c r="V2743" t="s">
        <v>4509</v>
      </c>
      <c r="W2743" t="s">
        <v>4510</v>
      </c>
      <c r="X2743" t="s">
        <v>58</v>
      </c>
      <c r="Y2743">
        <v>18</v>
      </c>
      <c r="Z2743" t="s">
        <v>59</v>
      </c>
      <c r="AA2743" t="s">
        <v>59</v>
      </c>
      <c r="AB2743" t="s">
        <v>59</v>
      </c>
      <c r="AC2743" t="s">
        <v>59</v>
      </c>
      <c r="AD2743" t="s">
        <v>59</v>
      </c>
      <c r="AF2743" s="1">
        <v>33120</v>
      </c>
      <c r="AG2743" t="s">
        <v>137</v>
      </c>
      <c r="AH2743" t="s">
        <v>138</v>
      </c>
      <c r="AI2743" t="str">
        <f>"3240070"</f>
        <v>3240070</v>
      </c>
      <c r="AJ2743" t="s">
        <v>4582</v>
      </c>
      <c r="AK2743">
        <v>2841032545</v>
      </c>
      <c r="AL2743" t="s">
        <v>4583</v>
      </c>
      <c r="AM2743" t="s">
        <v>4513</v>
      </c>
      <c r="AN2743" t="s">
        <v>4514</v>
      </c>
      <c r="AO2743" t="s">
        <v>4524</v>
      </c>
      <c r="AP2743" t="s">
        <v>4525</v>
      </c>
      <c r="AQ2743">
        <v>3</v>
      </c>
      <c r="AR2743" t="s">
        <v>4509</v>
      </c>
      <c r="AS2743" t="s">
        <v>4510</v>
      </c>
      <c r="AT2743" t="s">
        <v>58</v>
      </c>
      <c r="AU2743" t="s">
        <v>68</v>
      </c>
      <c r="AV2743" t="s">
        <v>69</v>
      </c>
      <c r="AW2743" s="1">
        <v>21410</v>
      </c>
      <c r="AX2743">
        <v>2</v>
      </c>
    </row>
    <row r="2744" spans="1:50">
      <c r="A2744">
        <v>216243</v>
      </c>
      <c r="B2744" t="str">
        <f>"049666423"</f>
        <v>049666423</v>
      </c>
      <c r="C2744" t="s">
        <v>105</v>
      </c>
      <c r="D2744" t="s">
        <v>5540</v>
      </c>
      <c r="E2744" t="s">
        <v>92</v>
      </c>
      <c r="F2744" t="s">
        <v>72</v>
      </c>
      <c r="G2744" t="s">
        <v>727</v>
      </c>
      <c r="H2744" t="str">
        <f>"ΠΑΝΤΟΓΑΛΛΩΝ 3 ΣΗΤΕΙΑ"</f>
        <v>ΠΑΝΤΟΓΑΛΛΩΝ 3 ΣΗΤΕΙΑ</v>
      </c>
      <c r="I2744">
        <v>72300</v>
      </c>
      <c r="J2744">
        <v>2843024013</v>
      </c>
      <c r="K2744">
        <v>6978940213</v>
      </c>
      <c r="L2744">
        <v>2241090893</v>
      </c>
      <c r="M2744" t="s">
        <v>5541</v>
      </c>
      <c r="N2744" t="s">
        <v>204</v>
      </c>
      <c r="O2744" t="s">
        <v>205</v>
      </c>
      <c r="P2744" t="s">
        <v>282</v>
      </c>
      <c r="Q2744" t="s">
        <v>283</v>
      </c>
      <c r="R2744" t="s">
        <v>57</v>
      </c>
      <c r="S2744">
        <v>6</v>
      </c>
      <c r="T2744">
        <v>232</v>
      </c>
      <c r="U2744" s="1">
        <v>38960</v>
      </c>
      <c r="V2744" t="s">
        <v>4509</v>
      </c>
      <c r="W2744" t="s">
        <v>4510</v>
      </c>
      <c r="X2744" t="s">
        <v>58</v>
      </c>
      <c r="Y2744">
        <v>20</v>
      </c>
      <c r="Z2744" t="s">
        <v>59</v>
      </c>
      <c r="AA2744" t="s">
        <v>59</v>
      </c>
      <c r="AB2744" t="s">
        <v>59</v>
      </c>
      <c r="AC2744" t="s">
        <v>59</v>
      </c>
      <c r="AD2744" t="s">
        <v>59</v>
      </c>
      <c r="AF2744" s="1">
        <v>38960</v>
      </c>
      <c r="AG2744" t="s">
        <v>125</v>
      </c>
      <c r="AH2744" t="s">
        <v>126</v>
      </c>
      <c r="AI2744" t="str">
        <f>"3209010"</f>
        <v>3209010</v>
      </c>
      <c r="AJ2744" t="s">
        <v>4698</v>
      </c>
      <c r="AK2744">
        <v>2843061207</v>
      </c>
      <c r="AL2744" t="s">
        <v>4699</v>
      </c>
      <c r="AM2744" t="s">
        <v>4513</v>
      </c>
      <c r="AN2744" t="s">
        <v>4540</v>
      </c>
      <c r="AO2744" t="s">
        <v>4700</v>
      </c>
      <c r="AP2744" t="s">
        <v>4701</v>
      </c>
      <c r="AQ2744">
        <v>6</v>
      </c>
      <c r="AR2744" t="s">
        <v>4509</v>
      </c>
      <c r="AS2744" t="s">
        <v>4510</v>
      </c>
      <c r="AT2744" t="s">
        <v>58</v>
      </c>
      <c r="AU2744" t="s">
        <v>68</v>
      </c>
      <c r="AV2744" t="s">
        <v>69</v>
      </c>
      <c r="AW2744" s="1">
        <v>28291</v>
      </c>
      <c r="AX2744">
        <v>2</v>
      </c>
    </row>
    <row r="2745" spans="1:50">
      <c r="A2745">
        <v>215066</v>
      </c>
      <c r="B2745" t="str">
        <f>"062802837"</f>
        <v>062802837</v>
      </c>
      <c r="C2745" t="s">
        <v>105</v>
      </c>
      <c r="D2745" t="s">
        <v>5542</v>
      </c>
      <c r="E2745" t="s">
        <v>154</v>
      </c>
      <c r="F2745" t="s">
        <v>5543</v>
      </c>
      <c r="G2745" t="s">
        <v>237</v>
      </c>
      <c r="H2745" t="str">
        <f>"ΜΕΓ. ΑΛΕΞΑΝΔΡΟΥ 69 ΜΑΣΤΑΜΠΑΣ - ΗΡΑΚΛΕΙΟ ΚΡΗΤΗΣ"</f>
        <v>ΜΕΓ. ΑΛΕΞΑΝΔΡΟΥ 69 ΜΑΣΤΑΜΠΑΣ - ΗΡΑΚΛΕΙΟ ΚΡΗΤΗΣ</v>
      </c>
      <c r="I2745">
        <v>71305</v>
      </c>
      <c r="K2745">
        <v>6948809747</v>
      </c>
      <c r="L2745">
        <v>6949077547</v>
      </c>
      <c r="M2745" t="s">
        <v>5544</v>
      </c>
      <c r="N2745" t="s">
        <v>282</v>
      </c>
      <c r="O2745" t="s">
        <v>283</v>
      </c>
      <c r="R2745" t="s">
        <v>57</v>
      </c>
      <c r="S2745">
        <v>8</v>
      </c>
      <c r="T2745">
        <v>231</v>
      </c>
      <c r="U2745" s="1">
        <v>38960</v>
      </c>
      <c r="V2745" t="s">
        <v>4509</v>
      </c>
      <c r="W2745" t="s">
        <v>4510</v>
      </c>
      <c r="X2745" t="s">
        <v>58</v>
      </c>
      <c r="Y2745">
        <v>20</v>
      </c>
      <c r="Z2745" t="s">
        <v>59</v>
      </c>
      <c r="AA2745" t="s">
        <v>59</v>
      </c>
      <c r="AB2745" t="s">
        <v>59</v>
      </c>
      <c r="AC2745" t="s">
        <v>59</v>
      </c>
      <c r="AD2745" t="s">
        <v>59</v>
      </c>
      <c r="AF2745" s="1">
        <v>38961</v>
      </c>
      <c r="AG2745" t="s">
        <v>137</v>
      </c>
      <c r="AH2745" t="s">
        <v>138</v>
      </c>
      <c r="AI2745" t="str">
        <f>"3240077"</f>
        <v>3240077</v>
      </c>
      <c r="AJ2745" t="s">
        <v>4528</v>
      </c>
      <c r="AK2745">
        <v>2841025978</v>
      </c>
      <c r="AL2745" t="s">
        <v>4529</v>
      </c>
      <c r="AM2745" t="s">
        <v>4513</v>
      </c>
      <c r="AN2745" t="s">
        <v>4514</v>
      </c>
      <c r="AO2745" t="s">
        <v>4514</v>
      </c>
      <c r="AP2745" t="s">
        <v>4514</v>
      </c>
      <c r="AQ2745">
        <v>1</v>
      </c>
      <c r="AR2745" t="s">
        <v>4509</v>
      </c>
      <c r="AS2745" t="s">
        <v>4510</v>
      </c>
      <c r="AT2745" t="s">
        <v>58</v>
      </c>
      <c r="AU2745" t="s">
        <v>68</v>
      </c>
      <c r="AV2745" t="s">
        <v>69</v>
      </c>
      <c r="AW2745" s="1">
        <v>26541</v>
      </c>
      <c r="AX2745">
        <v>2</v>
      </c>
    </row>
    <row r="2746" spans="1:50">
      <c r="A2746">
        <v>194698</v>
      </c>
      <c r="B2746" t="str">
        <f>"041560345"</f>
        <v>041560345</v>
      </c>
      <c r="C2746" t="s">
        <v>105</v>
      </c>
      <c r="D2746" t="s">
        <v>5545</v>
      </c>
      <c r="E2746" t="s">
        <v>95</v>
      </c>
      <c r="F2746" t="s">
        <v>315</v>
      </c>
      <c r="G2746" t="s">
        <v>5546</v>
      </c>
      <c r="H2746" t="str">
        <f>" "</f>
        <v xml:space="preserve"> </v>
      </c>
      <c r="J2746">
        <v>2841031575</v>
      </c>
      <c r="L2746">
        <v>2841033480</v>
      </c>
      <c r="M2746" t="s">
        <v>5547</v>
      </c>
      <c r="N2746" t="s">
        <v>189</v>
      </c>
      <c r="O2746" t="s">
        <v>190</v>
      </c>
      <c r="R2746" t="s">
        <v>57</v>
      </c>
      <c r="S2746">
        <v>12</v>
      </c>
      <c r="T2746">
        <v>193</v>
      </c>
      <c r="U2746" s="1">
        <v>37497</v>
      </c>
      <c r="V2746" t="s">
        <v>4509</v>
      </c>
      <c r="W2746" t="s">
        <v>4510</v>
      </c>
      <c r="X2746" t="s">
        <v>58</v>
      </c>
      <c r="Y2746">
        <v>18</v>
      </c>
      <c r="Z2746" t="s">
        <v>59</v>
      </c>
      <c r="AA2746" t="s">
        <v>59</v>
      </c>
      <c r="AB2746" t="s">
        <v>59</v>
      </c>
      <c r="AC2746" t="s">
        <v>59</v>
      </c>
      <c r="AD2746" t="s">
        <v>59</v>
      </c>
      <c r="AF2746" s="1">
        <v>37500</v>
      </c>
      <c r="AG2746" t="s">
        <v>137</v>
      </c>
      <c r="AH2746" t="s">
        <v>138</v>
      </c>
      <c r="AI2746" t="str">
        <f>"3240070"</f>
        <v>3240070</v>
      </c>
      <c r="AJ2746" t="s">
        <v>4582</v>
      </c>
      <c r="AK2746">
        <v>2841032545</v>
      </c>
      <c r="AL2746" t="s">
        <v>4583</v>
      </c>
      <c r="AM2746" t="s">
        <v>4513</v>
      </c>
      <c r="AN2746" t="s">
        <v>4514</v>
      </c>
      <c r="AO2746" t="s">
        <v>4524</v>
      </c>
      <c r="AP2746" t="s">
        <v>4525</v>
      </c>
      <c r="AQ2746">
        <v>3</v>
      </c>
      <c r="AR2746" t="s">
        <v>4509</v>
      </c>
      <c r="AS2746" t="s">
        <v>4510</v>
      </c>
      <c r="AT2746" t="s">
        <v>58</v>
      </c>
      <c r="AU2746" t="s">
        <v>68</v>
      </c>
      <c r="AV2746" t="s">
        <v>69</v>
      </c>
      <c r="AW2746" s="1">
        <v>24780</v>
      </c>
      <c r="AX2746">
        <v>2</v>
      </c>
    </row>
    <row r="2747" spans="1:50">
      <c r="B2747" t="str">
        <f>"124018848"</f>
        <v>124018848</v>
      </c>
      <c r="C2747" t="s">
        <v>50</v>
      </c>
      <c r="D2747" t="s">
        <v>4148</v>
      </c>
      <c r="E2747" t="s">
        <v>143</v>
      </c>
      <c r="F2747" t="s">
        <v>166</v>
      </c>
      <c r="G2747" t="s">
        <v>52</v>
      </c>
      <c r="H2747" t="str">
        <f>" "</f>
        <v xml:space="preserve"> </v>
      </c>
      <c r="M2747" t="s">
        <v>5548</v>
      </c>
      <c r="N2747" t="s">
        <v>119</v>
      </c>
      <c r="O2747" t="s">
        <v>120</v>
      </c>
      <c r="R2747" t="s">
        <v>121</v>
      </c>
      <c r="S2747">
        <v>3</v>
      </c>
      <c r="T2747" t="s">
        <v>344</v>
      </c>
      <c r="U2747" s="1">
        <v>43348</v>
      </c>
      <c r="V2747" t="s">
        <v>4509</v>
      </c>
      <c r="W2747" t="s">
        <v>4510</v>
      </c>
      <c r="X2747" t="s">
        <v>58</v>
      </c>
      <c r="Y2747">
        <v>23</v>
      </c>
      <c r="Z2747" t="s">
        <v>59</v>
      </c>
      <c r="AA2747" t="s">
        <v>59</v>
      </c>
      <c r="AB2747" t="s">
        <v>59</v>
      </c>
      <c r="AC2747" t="s">
        <v>59</v>
      </c>
      <c r="AD2747" t="s">
        <v>59</v>
      </c>
      <c r="AF2747" s="1">
        <v>43348</v>
      </c>
      <c r="AG2747" t="s">
        <v>125</v>
      </c>
      <c r="AH2747" t="s">
        <v>126</v>
      </c>
      <c r="AI2747" t="str">
        <f>"3202020"</f>
        <v>3202020</v>
      </c>
      <c r="AJ2747" t="s">
        <v>4576</v>
      </c>
      <c r="AK2747">
        <v>2842022289</v>
      </c>
      <c r="AL2747" t="s">
        <v>4577</v>
      </c>
      <c r="AM2747" t="s">
        <v>4513</v>
      </c>
      <c r="AN2747" t="s">
        <v>4519</v>
      </c>
      <c r="AO2747" t="s">
        <v>4519</v>
      </c>
      <c r="AP2747" t="s">
        <v>4519</v>
      </c>
      <c r="AQ2747">
        <v>4</v>
      </c>
      <c r="AR2747" t="s">
        <v>4509</v>
      </c>
      <c r="AS2747" t="s">
        <v>4510</v>
      </c>
      <c r="AT2747" t="s">
        <v>58</v>
      </c>
      <c r="AU2747" t="s">
        <v>350</v>
      </c>
      <c r="AV2747" t="s">
        <v>132</v>
      </c>
      <c r="AW2747" s="1">
        <v>30641</v>
      </c>
      <c r="AX2747">
        <v>2</v>
      </c>
    </row>
    <row r="2748" spans="1:50">
      <c r="B2748" t="str">
        <f>"048004313"</f>
        <v>048004313</v>
      </c>
      <c r="C2748" t="s">
        <v>105</v>
      </c>
      <c r="D2748" t="s">
        <v>4150</v>
      </c>
      <c r="E2748" t="s">
        <v>3811</v>
      </c>
      <c r="F2748" t="s">
        <v>2049</v>
      </c>
      <c r="G2748" t="s">
        <v>52</v>
      </c>
      <c r="H2748" t="str">
        <f>"ΤΖΩΝ ΚΕΝΝΕΝΤΥ 37 "</f>
        <v xml:space="preserve">ΤΖΩΝ ΚΕΝΝΕΝΤΥ 37 </v>
      </c>
      <c r="I2748">
        <v>70007</v>
      </c>
      <c r="J2748">
        <v>2897031504</v>
      </c>
      <c r="K2748">
        <v>6978900166</v>
      </c>
      <c r="M2748" t="s">
        <v>5549</v>
      </c>
      <c r="N2748" t="s">
        <v>168</v>
      </c>
      <c r="O2748" t="s">
        <v>169</v>
      </c>
      <c r="R2748" t="s">
        <v>57</v>
      </c>
      <c r="S2748">
        <v>5</v>
      </c>
      <c r="T2748" t="s">
        <v>574</v>
      </c>
      <c r="U2748" s="1">
        <v>43378</v>
      </c>
      <c r="V2748" t="s">
        <v>4509</v>
      </c>
      <c r="W2748" t="s">
        <v>4510</v>
      </c>
      <c r="X2748" t="s">
        <v>58</v>
      </c>
      <c r="Y2748">
        <v>23</v>
      </c>
      <c r="Z2748" t="s">
        <v>59</v>
      </c>
      <c r="AA2748" t="s">
        <v>59</v>
      </c>
      <c r="AB2748" t="s">
        <v>59</v>
      </c>
      <c r="AC2748" t="s">
        <v>59</v>
      </c>
      <c r="AD2748" t="s">
        <v>59</v>
      </c>
      <c r="AF2748" s="1">
        <v>43381</v>
      </c>
      <c r="AG2748" t="s">
        <v>137</v>
      </c>
      <c r="AH2748" t="s">
        <v>138</v>
      </c>
      <c r="AI2748" t="str">
        <f>"3240120"</f>
        <v>3240120</v>
      </c>
      <c r="AJ2748" t="s">
        <v>4552</v>
      </c>
      <c r="AK2748">
        <v>2842028667</v>
      </c>
      <c r="AL2748" t="s">
        <v>4553</v>
      </c>
      <c r="AM2748" t="s">
        <v>4513</v>
      </c>
      <c r="AN2748" t="s">
        <v>4519</v>
      </c>
      <c r="AO2748" t="s">
        <v>4519</v>
      </c>
      <c r="AP2748" t="s">
        <v>4519</v>
      </c>
      <c r="AQ2748">
        <v>4</v>
      </c>
      <c r="AR2748" t="s">
        <v>4509</v>
      </c>
      <c r="AS2748" t="s">
        <v>4510</v>
      </c>
      <c r="AT2748" t="s">
        <v>58</v>
      </c>
      <c r="AU2748" t="s">
        <v>164</v>
      </c>
      <c r="AV2748" t="s">
        <v>132</v>
      </c>
      <c r="AW2748" s="1">
        <v>29425</v>
      </c>
      <c r="AX2748">
        <v>2</v>
      </c>
    </row>
    <row r="2749" spans="1:50">
      <c r="A2749">
        <v>218288</v>
      </c>
      <c r="B2749" t="str">
        <f>"045247110"</f>
        <v>045247110</v>
      </c>
      <c r="C2749" t="s">
        <v>105</v>
      </c>
      <c r="D2749" t="s">
        <v>4150</v>
      </c>
      <c r="E2749" t="s">
        <v>72</v>
      </c>
      <c r="F2749" t="s">
        <v>99</v>
      </c>
      <c r="G2749" t="s">
        <v>52</v>
      </c>
      <c r="H2749" t="str">
        <f>"ΚΟΚΚΙΝΗ 5 ΙΕΡΑΠΕΤΡΑ"</f>
        <v>ΚΟΚΚΙΝΗ 5 ΙΕΡΑΠΕΤΡΑ</v>
      </c>
      <c r="I2749">
        <v>72200</v>
      </c>
      <c r="J2749">
        <v>2842025211</v>
      </c>
      <c r="K2749">
        <v>6972919505</v>
      </c>
      <c r="M2749" t="s">
        <v>5550</v>
      </c>
      <c r="N2749" t="s">
        <v>292</v>
      </c>
      <c r="O2749" t="s">
        <v>293</v>
      </c>
      <c r="R2749" t="s">
        <v>57</v>
      </c>
      <c r="S2749">
        <v>5</v>
      </c>
      <c r="T2749">
        <v>599</v>
      </c>
      <c r="U2749" s="1">
        <v>39310</v>
      </c>
      <c r="V2749" t="s">
        <v>4509</v>
      </c>
      <c r="W2749" t="s">
        <v>4510</v>
      </c>
      <c r="X2749" t="s">
        <v>58</v>
      </c>
      <c r="Y2749">
        <v>21</v>
      </c>
      <c r="Z2749" t="s">
        <v>59</v>
      </c>
      <c r="AA2749" t="s">
        <v>59</v>
      </c>
      <c r="AB2749" t="s">
        <v>59</v>
      </c>
      <c r="AC2749" t="s">
        <v>59</v>
      </c>
      <c r="AD2749" t="s">
        <v>59</v>
      </c>
      <c r="AF2749" s="1">
        <v>39328</v>
      </c>
      <c r="AG2749" t="s">
        <v>148</v>
      </c>
      <c r="AH2749" t="s">
        <v>149</v>
      </c>
      <c r="AI2749" t="str">
        <f>"3252010"</f>
        <v>3252010</v>
      </c>
      <c r="AJ2749" t="s">
        <v>4532</v>
      </c>
      <c r="AK2749">
        <v>2842022356</v>
      </c>
      <c r="AL2749" t="s">
        <v>4533</v>
      </c>
      <c r="AM2749" t="s">
        <v>4513</v>
      </c>
      <c r="AN2749" t="s">
        <v>4519</v>
      </c>
      <c r="AO2749" t="s">
        <v>4519</v>
      </c>
      <c r="AP2749" t="s">
        <v>4519</v>
      </c>
      <c r="AQ2749">
        <v>4</v>
      </c>
      <c r="AR2749" t="s">
        <v>4509</v>
      </c>
      <c r="AS2749" t="s">
        <v>4510</v>
      </c>
      <c r="AT2749" t="s">
        <v>58</v>
      </c>
      <c r="AU2749" t="s">
        <v>68</v>
      </c>
      <c r="AV2749" t="s">
        <v>69</v>
      </c>
      <c r="AW2749" s="1">
        <v>23902</v>
      </c>
      <c r="AX2749">
        <v>2</v>
      </c>
    </row>
    <row r="2750" spans="1:50">
      <c r="A2750">
        <v>226322</v>
      </c>
      <c r="B2750" t="str">
        <f>"047932297"</f>
        <v>047932297</v>
      </c>
      <c r="C2750" t="s">
        <v>105</v>
      </c>
      <c r="D2750" t="s">
        <v>4160</v>
      </c>
      <c r="E2750" t="s">
        <v>760</v>
      </c>
      <c r="F2750" t="s">
        <v>99</v>
      </c>
      <c r="G2750" t="s">
        <v>52</v>
      </c>
      <c r="H2750" t="str">
        <f>"ΛΑΣΙΘΙΟΥ 92 ΑΓ ΝΙΚΟΛΑΟΣ ΚΡΗΤΗΣ"</f>
        <v>ΛΑΣΙΘΙΟΥ 92 ΑΓ ΝΙΚΟΛΑΟΣ ΚΡΗΤΗΣ</v>
      </c>
      <c r="I2750">
        <v>72100</v>
      </c>
      <c r="J2750">
        <v>2841028327</v>
      </c>
      <c r="K2750">
        <v>6949478206</v>
      </c>
      <c r="M2750" t="s">
        <v>5551</v>
      </c>
      <c r="N2750" t="s">
        <v>157</v>
      </c>
      <c r="O2750" t="s">
        <v>158</v>
      </c>
      <c r="R2750" t="s">
        <v>57</v>
      </c>
      <c r="S2750">
        <v>7</v>
      </c>
      <c r="T2750">
        <v>654</v>
      </c>
      <c r="U2750" s="1">
        <v>40043</v>
      </c>
      <c r="V2750" t="s">
        <v>4509</v>
      </c>
      <c r="W2750" t="s">
        <v>4510</v>
      </c>
      <c r="X2750" t="s">
        <v>58</v>
      </c>
      <c r="Y2750">
        <v>21</v>
      </c>
      <c r="Z2750" t="s">
        <v>59</v>
      </c>
      <c r="AA2750" t="s">
        <v>59</v>
      </c>
      <c r="AB2750" t="s">
        <v>59</v>
      </c>
      <c r="AC2750" t="s">
        <v>59</v>
      </c>
      <c r="AD2750" t="s">
        <v>59</v>
      </c>
      <c r="AF2750" s="1">
        <v>40043</v>
      </c>
      <c r="AG2750" t="s">
        <v>148</v>
      </c>
      <c r="AH2750" t="s">
        <v>149</v>
      </c>
      <c r="AI2750" t="str">
        <f>"3253010"</f>
        <v>3253010</v>
      </c>
      <c r="AJ2750" t="s">
        <v>4579</v>
      </c>
      <c r="AK2750">
        <v>2841031769</v>
      </c>
      <c r="AL2750" t="s">
        <v>4580</v>
      </c>
      <c r="AM2750" t="s">
        <v>4513</v>
      </c>
      <c r="AN2750" t="s">
        <v>4514</v>
      </c>
      <c r="AO2750" t="s">
        <v>4524</v>
      </c>
      <c r="AP2750" t="s">
        <v>4525</v>
      </c>
      <c r="AQ2750">
        <v>3</v>
      </c>
      <c r="AR2750" t="s">
        <v>4509</v>
      </c>
      <c r="AS2750" t="s">
        <v>4510</v>
      </c>
      <c r="AT2750" t="s">
        <v>58</v>
      </c>
      <c r="AU2750" t="s">
        <v>68</v>
      </c>
      <c r="AV2750" t="s">
        <v>69</v>
      </c>
      <c r="AW2750" s="1">
        <v>26602</v>
      </c>
      <c r="AX2750">
        <v>2</v>
      </c>
    </row>
    <row r="2751" spans="1:50">
      <c r="A2751">
        <v>205627</v>
      </c>
      <c r="B2751" t="str">
        <f>"062023055"</f>
        <v>062023055</v>
      </c>
      <c r="C2751" t="s">
        <v>105</v>
      </c>
      <c r="D2751" t="s">
        <v>4160</v>
      </c>
      <c r="E2751" t="s">
        <v>106</v>
      </c>
      <c r="F2751" t="s">
        <v>99</v>
      </c>
      <c r="G2751" t="s">
        <v>52</v>
      </c>
      <c r="H2751" t="str">
        <f>" "</f>
        <v xml:space="preserve"> </v>
      </c>
      <c r="J2751">
        <v>2841023111</v>
      </c>
      <c r="K2751">
        <v>6972000150</v>
      </c>
      <c r="N2751" t="s">
        <v>204</v>
      </c>
      <c r="O2751" t="s">
        <v>205</v>
      </c>
      <c r="R2751" t="s">
        <v>57</v>
      </c>
      <c r="S2751">
        <v>10</v>
      </c>
      <c r="T2751">
        <v>231</v>
      </c>
      <c r="U2751" s="1">
        <v>38230</v>
      </c>
      <c r="V2751" t="s">
        <v>4509</v>
      </c>
      <c r="W2751" t="s">
        <v>4510</v>
      </c>
      <c r="X2751" t="s">
        <v>58</v>
      </c>
      <c r="Y2751">
        <v>20</v>
      </c>
      <c r="Z2751" t="s">
        <v>59</v>
      </c>
      <c r="AA2751" t="s">
        <v>59</v>
      </c>
      <c r="AB2751" t="s">
        <v>59</v>
      </c>
      <c r="AC2751" t="s">
        <v>59</v>
      </c>
      <c r="AD2751" t="s">
        <v>59</v>
      </c>
      <c r="AF2751" s="1">
        <v>38231</v>
      </c>
      <c r="AG2751" t="s">
        <v>125</v>
      </c>
      <c r="AH2751" t="s">
        <v>126</v>
      </c>
      <c r="AI2751" t="str">
        <f>"3201020"</f>
        <v>3201020</v>
      </c>
      <c r="AJ2751" t="s">
        <v>4511</v>
      </c>
      <c r="AK2751">
        <v>2841024586</v>
      </c>
      <c r="AL2751" t="s">
        <v>4512</v>
      </c>
      <c r="AM2751" t="s">
        <v>4513</v>
      </c>
      <c r="AN2751" t="s">
        <v>4514</v>
      </c>
      <c r="AO2751" t="s">
        <v>4514</v>
      </c>
      <c r="AP2751" t="s">
        <v>4514</v>
      </c>
      <c r="AQ2751">
        <v>1</v>
      </c>
      <c r="AR2751" t="s">
        <v>4509</v>
      </c>
      <c r="AS2751" t="s">
        <v>4510</v>
      </c>
      <c r="AT2751" t="s">
        <v>58</v>
      </c>
      <c r="AU2751" t="s">
        <v>68</v>
      </c>
      <c r="AV2751" t="s">
        <v>69</v>
      </c>
      <c r="AW2751" s="1">
        <v>28546</v>
      </c>
      <c r="AX2751">
        <v>2</v>
      </c>
    </row>
    <row r="2752" spans="1:50">
      <c r="A2752">
        <v>207441</v>
      </c>
      <c r="B2752" t="str">
        <f>"034655080"</f>
        <v>034655080</v>
      </c>
      <c r="C2752" t="s">
        <v>105</v>
      </c>
      <c r="D2752" t="s">
        <v>5552</v>
      </c>
      <c r="E2752" t="s">
        <v>72</v>
      </c>
      <c r="F2752" t="s">
        <v>166</v>
      </c>
      <c r="G2752" t="s">
        <v>5553</v>
      </c>
      <c r="H2752" t="str">
        <f>" "</f>
        <v xml:space="preserve"> </v>
      </c>
      <c r="J2752">
        <v>2842024842</v>
      </c>
      <c r="K2752">
        <v>6972032411</v>
      </c>
      <c r="M2752" t="s">
        <v>5554</v>
      </c>
      <c r="N2752" t="s">
        <v>199</v>
      </c>
      <c r="O2752" t="s">
        <v>200</v>
      </c>
      <c r="R2752" t="s">
        <v>57</v>
      </c>
      <c r="S2752">
        <v>8</v>
      </c>
      <c r="T2752" t="s">
        <v>5366</v>
      </c>
      <c r="U2752" s="1">
        <v>38600</v>
      </c>
      <c r="V2752" t="s">
        <v>4509</v>
      </c>
      <c r="W2752" t="s">
        <v>4510</v>
      </c>
      <c r="X2752" t="s">
        <v>58</v>
      </c>
      <c r="Y2752">
        <v>20</v>
      </c>
      <c r="Z2752" t="s">
        <v>59</v>
      </c>
      <c r="AA2752" t="s">
        <v>59</v>
      </c>
      <c r="AB2752" t="s">
        <v>59</v>
      </c>
      <c r="AC2752" t="s">
        <v>59</v>
      </c>
      <c r="AD2752" t="s">
        <v>59</v>
      </c>
      <c r="AF2752" s="1">
        <v>38600</v>
      </c>
      <c r="AG2752" t="s">
        <v>125</v>
      </c>
      <c r="AH2752" t="s">
        <v>126</v>
      </c>
      <c r="AI2752" t="str">
        <f>"3202030"</f>
        <v>3202030</v>
      </c>
      <c r="AJ2752" t="s">
        <v>4558</v>
      </c>
      <c r="AK2752">
        <v>2842028751</v>
      </c>
      <c r="AL2752" t="s">
        <v>4559</v>
      </c>
      <c r="AM2752" t="s">
        <v>4513</v>
      </c>
      <c r="AN2752" t="s">
        <v>4519</v>
      </c>
      <c r="AO2752" t="s">
        <v>4519</v>
      </c>
      <c r="AP2752" t="s">
        <v>4519</v>
      </c>
      <c r="AQ2752">
        <v>4</v>
      </c>
      <c r="AR2752" t="s">
        <v>4509</v>
      </c>
      <c r="AS2752" t="s">
        <v>4510</v>
      </c>
      <c r="AT2752" t="s">
        <v>58</v>
      </c>
      <c r="AU2752" t="s">
        <v>68</v>
      </c>
      <c r="AV2752" t="s">
        <v>69</v>
      </c>
      <c r="AW2752" s="1">
        <v>22448</v>
      </c>
      <c r="AX2752">
        <v>2</v>
      </c>
    </row>
    <row r="2753" spans="1:50">
      <c r="A2753">
        <v>226056</v>
      </c>
      <c r="B2753" t="str">
        <f>"035560212"</f>
        <v>035560212</v>
      </c>
      <c r="C2753" t="s">
        <v>50</v>
      </c>
      <c r="D2753" t="s">
        <v>5555</v>
      </c>
      <c r="E2753" t="s">
        <v>5556</v>
      </c>
      <c r="F2753" t="s">
        <v>99</v>
      </c>
      <c r="G2753" t="s">
        <v>3907</v>
      </c>
      <c r="H2753" t="str">
        <f>"ΩΡΙΟΝΟΣ 13 ΑΓΙΟΣ ΝΙΚΟΛΑΟΣ"</f>
        <v>ΩΡΙΟΝΟΣ 13 ΑΓΙΟΣ ΝΙΚΟΛΑΟΣ</v>
      </c>
      <c r="I2753">
        <v>72100</v>
      </c>
      <c r="J2753">
        <v>2841026413</v>
      </c>
      <c r="K2753">
        <v>6945172650</v>
      </c>
      <c r="M2753" t="s">
        <v>5557</v>
      </c>
      <c r="N2753" t="s">
        <v>176</v>
      </c>
      <c r="O2753" t="s">
        <v>177</v>
      </c>
      <c r="R2753" t="s">
        <v>57</v>
      </c>
      <c r="S2753">
        <v>13</v>
      </c>
      <c r="T2753">
        <v>166</v>
      </c>
      <c r="U2753" s="1">
        <v>35300</v>
      </c>
      <c r="V2753" t="s">
        <v>4509</v>
      </c>
      <c r="W2753" t="s">
        <v>4510</v>
      </c>
      <c r="X2753" t="s">
        <v>58</v>
      </c>
      <c r="Y2753">
        <v>18</v>
      </c>
      <c r="Z2753" t="s">
        <v>59</v>
      </c>
      <c r="AA2753" t="s">
        <v>59</v>
      </c>
      <c r="AB2753" t="s">
        <v>59</v>
      </c>
      <c r="AC2753" t="s">
        <v>59</v>
      </c>
      <c r="AD2753" t="s">
        <v>59</v>
      </c>
      <c r="AF2753" s="1">
        <v>35310</v>
      </c>
      <c r="AG2753" t="s">
        <v>148</v>
      </c>
      <c r="AH2753" t="s">
        <v>149</v>
      </c>
      <c r="AI2753" t="str">
        <f>"3251001"</f>
        <v>3251001</v>
      </c>
      <c r="AJ2753" t="s">
        <v>4535</v>
      </c>
      <c r="AK2753">
        <v>2841082544</v>
      </c>
      <c r="AL2753" t="s">
        <v>4536</v>
      </c>
      <c r="AM2753" t="s">
        <v>4513</v>
      </c>
      <c r="AN2753" t="s">
        <v>4514</v>
      </c>
      <c r="AO2753" t="s">
        <v>4514</v>
      </c>
      <c r="AP2753" t="s">
        <v>4514</v>
      </c>
      <c r="AQ2753">
        <v>1</v>
      </c>
      <c r="AR2753" t="s">
        <v>4509</v>
      </c>
      <c r="AS2753" t="s">
        <v>4510</v>
      </c>
      <c r="AT2753" t="s">
        <v>58</v>
      </c>
      <c r="AU2753" t="s">
        <v>68</v>
      </c>
      <c r="AV2753" t="s">
        <v>132</v>
      </c>
      <c r="AW2753" s="1">
        <v>23806</v>
      </c>
      <c r="AX2753">
        <v>2</v>
      </c>
    </row>
    <row r="2754" spans="1:50">
      <c r="A2754">
        <v>206330</v>
      </c>
      <c r="B2754" t="str">
        <f>"031142453"</f>
        <v>031142453</v>
      </c>
      <c r="C2754" t="s">
        <v>105</v>
      </c>
      <c r="D2754" t="s">
        <v>5558</v>
      </c>
      <c r="E2754" t="s">
        <v>106</v>
      </c>
      <c r="F2754" t="s">
        <v>95</v>
      </c>
      <c r="G2754" t="s">
        <v>5207</v>
      </c>
      <c r="H2754" t="str">
        <f>" "</f>
        <v xml:space="preserve"> </v>
      </c>
      <c r="J2754">
        <v>2842027087</v>
      </c>
      <c r="K2754">
        <v>6946464048</v>
      </c>
      <c r="M2754" t="s">
        <v>5559</v>
      </c>
      <c r="N2754" t="s">
        <v>176</v>
      </c>
      <c r="O2754" t="s">
        <v>177</v>
      </c>
      <c r="R2754" t="s">
        <v>57</v>
      </c>
      <c r="S2754">
        <v>7</v>
      </c>
      <c r="T2754" t="s">
        <v>5560</v>
      </c>
      <c r="U2754" s="1">
        <v>38295</v>
      </c>
      <c r="V2754" t="s">
        <v>4509</v>
      </c>
      <c r="W2754" t="s">
        <v>4510</v>
      </c>
      <c r="X2754" t="s">
        <v>58</v>
      </c>
      <c r="Y2754">
        <v>20</v>
      </c>
      <c r="Z2754" t="s">
        <v>59</v>
      </c>
      <c r="AA2754" t="s">
        <v>59</v>
      </c>
      <c r="AB2754" t="s">
        <v>59</v>
      </c>
      <c r="AC2754" t="s">
        <v>59</v>
      </c>
      <c r="AD2754" t="s">
        <v>59</v>
      </c>
      <c r="AF2754" s="1">
        <v>38300</v>
      </c>
      <c r="AG2754" t="s">
        <v>125</v>
      </c>
      <c r="AH2754" t="s">
        <v>126</v>
      </c>
      <c r="AI2754" t="str">
        <f>"3202010"</f>
        <v>3202010</v>
      </c>
      <c r="AJ2754" t="s">
        <v>4517</v>
      </c>
      <c r="AK2754">
        <v>2842028229</v>
      </c>
      <c r="AL2754" t="s">
        <v>4518</v>
      </c>
      <c r="AM2754" t="s">
        <v>4513</v>
      </c>
      <c r="AN2754" t="s">
        <v>4519</v>
      </c>
      <c r="AO2754" t="s">
        <v>4519</v>
      </c>
      <c r="AP2754" t="s">
        <v>4519</v>
      </c>
      <c r="AQ2754">
        <v>4</v>
      </c>
      <c r="AR2754" t="s">
        <v>4509</v>
      </c>
      <c r="AS2754" t="s">
        <v>4510</v>
      </c>
      <c r="AT2754" t="s">
        <v>58</v>
      </c>
      <c r="AU2754" t="s">
        <v>68</v>
      </c>
      <c r="AV2754" t="s">
        <v>132</v>
      </c>
      <c r="AW2754" s="1">
        <v>23424</v>
      </c>
      <c r="AX2754">
        <v>2</v>
      </c>
    </row>
    <row r="2755" spans="1:50">
      <c r="B2755" t="str">
        <f>"047505828"</f>
        <v>047505828</v>
      </c>
      <c r="C2755" t="s">
        <v>105</v>
      </c>
      <c r="D2755" t="s">
        <v>4189</v>
      </c>
      <c r="E2755" t="s">
        <v>459</v>
      </c>
      <c r="F2755" t="s">
        <v>72</v>
      </c>
      <c r="G2755" t="s">
        <v>352</v>
      </c>
      <c r="H2755" t="str">
        <f>" "</f>
        <v xml:space="preserve"> </v>
      </c>
      <c r="N2755" t="s">
        <v>683</v>
      </c>
      <c r="O2755" t="s">
        <v>684</v>
      </c>
      <c r="R2755" t="s">
        <v>121</v>
      </c>
      <c r="S2755">
        <v>1</v>
      </c>
      <c r="T2755" t="s">
        <v>344</v>
      </c>
      <c r="U2755" s="1">
        <v>43348</v>
      </c>
      <c r="V2755" t="s">
        <v>4509</v>
      </c>
      <c r="W2755" t="s">
        <v>4510</v>
      </c>
      <c r="X2755" t="s">
        <v>58</v>
      </c>
      <c r="Y2755">
        <v>23</v>
      </c>
      <c r="Z2755" t="s">
        <v>59</v>
      </c>
      <c r="AD2755" t="s">
        <v>59</v>
      </c>
      <c r="AF2755" s="1">
        <v>43348</v>
      </c>
      <c r="AG2755" t="s">
        <v>345</v>
      </c>
      <c r="AH2755" t="s">
        <v>346</v>
      </c>
      <c r="AI2755" t="str">
        <f>"3241002"</f>
        <v>3241002</v>
      </c>
      <c r="AJ2755" t="s">
        <v>4626</v>
      </c>
      <c r="AK2755">
        <v>2841083053</v>
      </c>
      <c r="AL2755" t="s">
        <v>4627</v>
      </c>
      <c r="AM2755" t="s">
        <v>4513</v>
      </c>
      <c r="AN2755" t="s">
        <v>4514</v>
      </c>
      <c r="AO2755" t="s">
        <v>4514</v>
      </c>
      <c r="AP2755" t="s">
        <v>4514</v>
      </c>
      <c r="AQ2755">
        <v>1</v>
      </c>
      <c r="AR2755" t="s">
        <v>4509</v>
      </c>
      <c r="AS2755" t="s">
        <v>4510</v>
      </c>
      <c r="AT2755" t="s">
        <v>58</v>
      </c>
      <c r="AU2755" t="s">
        <v>350</v>
      </c>
      <c r="AV2755" t="s">
        <v>132</v>
      </c>
      <c r="AW2755" s="1">
        <v>26036</v>
      </c>
      <c r="AX2755">
        <v>2</v>
      </c>
    </row>
    <row r="2756" spans="1:50">
      <c r="A2756">
        <v>229697</v>
      </c>
      <c r="B2756" t="str">
        <f>"115980083"</f>
        <v>115980083</v>
      </c>
      <c r="C2756" t="s">
        <v>105</v>
      </c>
      <c r="D2756" t="s">
        <v>5561</v>
      </c>
      <c r="E2756" t="s">
        <v>84</v>
      </c>
      <c r="F2756" t="s">
        <v>72</v>
      </c>
      <c r="G2756" t="s">
        <v>52</v>
      </c>
      <c r="H2756" t="str">
        <f>"ΛΑΣΘΕΝΟΥΣ 79 ΙΕΡΑΠΕΤΡΑ"</f>
        <v>ΛΑΣΘΕΝΟΥΣ 79 ΙΕΡΑΠΕΤΡΑ</v>
      </c>
      <c r="I2756">
        <v>72200</v>
      </c>
      <c r="J2756">
        <v>2842024943</v>
      </c>
      <c r="K2756">
        <v>6946881824</v>
      </c>
      <c r="L2756">
        <v>2102929515</v>
      </c>
      <c r="M2756" t="s">
        <v>5562</v>
      </c>
      <c r="N2756" t="s">
        <v>331</v>
      </c>
      <c r="O2756" t="s">
        <v>332</v>
      </c>
      <c r="R2756" t="s">
        <v>57</v>
      </c>
      <c r="S2756">
        <v>8</v>
      </c>
      <c r="T2756">
        <v>988</v>
      </c>
      <c r="U2756" s="1">
        <v>40157</v>
      </c>
      <c r="V2756" t="s">
        <v>4509</v>
      </c>
      <c r="W2756" t="s">
        <v>4510</v>
      </c>
      <c r="X2756" t="s">
        <v>58</v>
      </c>
      <c r="Y2756">
        <v>21</v>
      </c>
      <c r="Z2756" t="s">
        <v>59</v>
      </c>
      <c r="AA2756" t="s">
        <v>59</v>
      </c>
      <c r="AB2756" t="s">
        <v>59</v>
      </c>
      <c r="AC2756" t="s">
        <v>59</v>
      </c>
      <c r="AD2756" t="s">
        <v>59</v>
      </c>
      <c r="AF2756" s="1">
        <v>40157</v>
      </c>
      <c r="AG2756" t="s">
        <v>137</v>
      </c>
      <c r="AH2756" t="s">
        <v>138</v>
      </c>
      <c r="AI2756" t="str">
        <f>"3240120"</f>
        <v>3240120</v>
      </c>
      <c r="AJ2756" t="s">
        <v>4552</v>
      </c>
      <c r="AK2756">
        <v>2842028667</v>
      </c>
      <c r="AL2756" t="s">
        <v>4553</v>
      </c>
      <c r="AM2756" t="s">
        <v>4513</v>
      </c>
      <c r="AN2756" t="s">
        <v>4519</v>
      </c>
      <c r="AO2756" t="s">
        <v>4519</v>
      </c>
      <c r="AP2756" t="s">
        <v>4519</v>
      </c>
      <c r="AQ2756">
        <v>4</v>
      </c>
      <c r="AR2756" t="s">
        <v>4509</v>
      </c>
      <c r="AS2756" t="s">
        <v>4510</v>
      </c>
      <c r="AT2756" t="s">
        <v>58</v>
      </c>
      <c r="AU2756" t="s">
        <v>68</v>
      </c>
      <c r="AV2756" t="s">
        <v>69</v>
      </c>
      <c r="AW2756" s="1">
        <v>30402</v>
      </c>
      <c r="AX2756">
        <v>2</v>
      </c>
    </row>
    <row r="2757" spans="1:50">
      <c r="A2757">
        <v>183921</v>
      </c>
      <c r="B2757" t="str">
        <f>"031661702"</f>
        <v>031661702</v>
      </c>
      <c r="C2757" t="s">
        <v>105</v>
      </c>
      <c r="D2757" t="s">
        <v>5563</v>
      </c>
      <c r="E2757" t="s">
        <v>72</v>
      </c>
      <c r="F2757" t="s">
        <v>95</v>
      </c>
      <c r="G2757" t="s">
        <v>83</v>
      </c>
      <c r="H2757" t="str">
        <f>"ΑΛΕΞΟΜΑΝΟΛΗ 8 ΝΕΑΠΟΛΗ"</f>
        <v>ΑΛΕΞΟΜΑΝΟΛΗ 8 ΝΕΑΠΟΛΗ</v>
      </c>
      <c r="I2757">
        <v>72400</v>
      </c>
      <c r="N2757" t="s">
        <v>292</v>
      </c>
      <c r="O2757" t="s">
        <v>293</v>
      </c>
      <c r="R2757" t="s">
        <v>57</v>
      </c>
      <c r="S2757">
        <v>9</v>
      </c>
      <c r="T2757">
        <v>177</v>
      </c>
      <c r="U2757" s="1">
        <v>36403</v>
      </c>
      <c r="V2757" t="s">
        <v>4509</v>
      </c>
      <c r="W2757" t="s">
        <v>4510</v>
      </c>
      <c r="X2757" t="s">
        <v>58</v>
      </c>
      <c r="Y2757">
        <v>18</v>
      </c>
      <c r="Z2757" t="s">
        <v>59</v>
      </c>
      <c r="AA2757" t="s">
        <v>59</v>
      </c>
      <c r="AB2757" t="s">
        <v>59</v>
      </c>
      <c r="AC2757" t="s">
        <v>59</v>
      </c>
      <c r="AD2757" t="s">
        <v>59</v>
      </c>
      <c r="AF2757" s="1">
        <v>36404</v>
      </c>
      <c r="AG2757" t="s">
        <v>125</v>
      </c>
      <c r="AH2757" t="s">
        <v>126</v>
      </c>
      <c r="AI2757" t="str">
        <f>"3203010"</f>
        <v>3203010</v>
      </c>
      <c r="AJ2757" t="s">
        <v>4522</v>
      </c>
      <c r="AK2757">
        <v>2841034140</v>
      </c>
      <c r="AL2757" t="s">
        <v>4523</v>
      </c>
      <c r="AM2757" t="s">
        <v>4513</v>
      </c>
      <c r="AN2757" t="s">
        <v>4514</v>
      </c>
      <c r="AO2757" t="s">
        <v>4524</v>
      </c>
      <c r="AP2757" t="s">
        <v>4525</v>
      </c>
      <c r="AQ2757">
        <v>3</v>
      </c>
      <c r="AR2757" t="s">
        <v>4509</v>
      </c>
      <c r="AS2757" t="s">
        <v>4510</v>
      </c>
      <c r="AT2757" t="s">
        <v>58</v>
      </c>
      <c r="AU2757" t="s">
        <v>68</v>
      </c>
      <c r="AV2757" t="s">
        <v>69</v>
      </c>
      <c r="AW2757" s="1">
        <v>22212</v>
      </c>
      <c r="AX2757">
        <v>2</v>
      </c>
    </row>
    <row r="2758" spans="1:50">
      <c r="A2758">
        <v>208779</v>
      </c>
      <c r="B2758" t="str">
        <f>"053951083"</f>
        <v>053951083</v>
      </c>
      <c r="C2758" t="s">
        <v>50</v>
      </c>
      <c r="D2758" t="s">
        <v>5564</v>
      </c>
      <c r="E2758" t="s">
        <v>52</v>
      </c>
      <c r="F2758" t="s">
        <v>95</v>
      </c>
      <c r="G2758" t="s">
        <v>1764</v>
      </c>
      <c r="H2758" t="str">
        <f>" "</f>
        <v xml:space="preserve"> </v>
      </c>
      <c r="J2758">
        <v>2842022645</v>
      </c>
      <c r="K2758">
        <v>6972251251</v>
      </c>
      <c r="M2758" t="s">
        <v>5565</v>
      </c>
      <c r="N2758" t="s">
        <v>299</v>
      </c>
      <c r="O2758" t="s">
        <v>300</v>
      </c>
      <c r="R2758" t="s">
        <v>57</v>
      </c>
      <c r="S2758">
        <v>11</v>
      </c>
      <c r="T2758">
        <v>218</v>
      </c>
      <c r="U2758" s="1">
        <v>38596</v>
      </c>
      <c r="V2758" t="s">
        <v>4509</v>
      </c>
      <c r="W2758" t="s">
        <v>4510</v>
      </c>
      <c r="X2758" t="s">
        <v>58</v>
      </c>
      <c r="Y2758">
        <v>20</v>
      </c>
      <c r="Z2758" t="s">
        <v>59</v>
      </c>
      <c r="AA2758" t="s">
        <v>59</v>
      </c>
      <c r="AB2758" t="s">
        <v>59</v>
      </c>
      <c r="AC2758" t="s">
        <v>59</v>
      </c>
      <c r="AD2758" t="s">
        <v>59</v>
      </c>
      <c r="AF2758" s="1">
        <v>38597</v>
      </c>
      <c r="AG2758" t="s">
        <v>137</v>
      </c>
      <c r="AH2758" t="s">
        <v>138</v>
      </c>
      <c r="AI2758" t="str">
        <f>"3240120"</f>
        <v>3240120</v>
      </c>
      <c r="AJ2758" t="s">
        <v>4552</v>
      </c>
      <c r="AK2758">
        <v>2842028667</v>
      </c>
      <c r="AL2758" t="s">
        <v>4553</v>
      </c>
      <c r="AM2758" t="s">
        <v>4513</v>
      </c>
      <c r="AN2758" t="s">
        <v>4519</v>
      </c>
      <c r="AO2758" t="s">
        <v>4519</v>
      </c>
      <c r="AP2758" t="s">
        <v>4519</v>
      </c>
      <c r="AQ2758">
        <v>4</v>
      </c>
      <c r="AR2758" t="s">
        <v>4509</v>
      </c>
      <c r="AS2758" t="s">
        <v>4510</v>
      </c>
      <c r="AT2758" t="s">
        <v>58</v>
      </c>
      <c r="AU2758" t="s">
        <v>68</v>
      </c>
      <c r="AV2758" t="s">
        <v>69</v>
      </c>
      <c r="AW2758" s="1">
        <v>25980</v>
      </c>
      <c r="AX2758">
        <v>2</v>
      </c>
    </row>
    <row r="2759" spans="1:50">
      <c r="B2759" t="str">
        <f>"073744823"</f>
        <v>073744823</v>
      </c>
      <c r="C2759" t="s">
        <v>50</v>
      </c>
      <c r="D2759" t="s">
        <v>5566</v>
      </c>
      <c r="E2759" t="s">
        <v>707</v>
      </c>
      <c r="F2759" t="s">
        <v>72</v>
      </c>
      <c r="G2759" t="s">
        <v>316</v>
      </c>
      <c r="H2759" t="str">
        <f>"ΙΑΤΡΟΥ ΠΑΠΑΓΕΩΡΓΙΟΥ ΙΕΡΑΠΕΤΡΑ"</f>
        <v>ΙΑΤΡΟΥ ΠΑΠΑΓΕΩΡΓΙΟΥ ΙΕΡΑΠΕΤΡΑ</v>
      </c>
      <c r="I2759">
        <v>72200</v>
      </c>
      <c r="J2759">
        <v>2842027641</v>
      </c>
      <c r="K2759">
        <v>6944614844</v>
      </c>
      <c r="N2759" t="s">
        <v>733</v>
      </c>
      <c r="O2759" t="s">
        <v>734</v>
      </c>
      <c r="R2759" t="s">
        <v>159</v>
      </c>
      <c r="S2759">
        <v>3</v>
      </c>
      <c r="T2759" t="s">
        <v>416</v>
      </c>
      <c r="U2759" s="1">
        <v>43349</v>
      </c>
      <c r="V2759" t="s">
        <v>4509</v>
      </c>
      <c r="W2759" t="s">
        <v>4510</v>
      </c>
      <c r="X2759" t="s">
        <v>58</v>
      </c>
      <c r="Y2759">
        <v>23</v>
      </c>
      <c r="Z2759" t="s">
        <v>59</v>
      </c>
      <c r="AA2759" t="s">
        <v>59</v>
      </c>
      <c r="AB2759" t="s">
        <v>59</v>
      </c>
      <c r="AC2759" t="s">
        <v>59</v>
      </c>
      <c r="AD2759" t="s">
        <v>59</v>
      </c>
      <c r="AF2759" s="1">
        <v>43349</v>
      </c>
      <c r="AG2759" t="s">
        <v>137</v>
      </c>
      <c r="AH2759" t="s">
        <v>138</v>
      </c>
      <c r="AI2759" t="str">
        <f>"3240120"</f>
        <v>3240120</v>
      </c>
      <c r="AJ2759" t="s">
        <v>4552</v>
      </c>
      <c r="AK2759">
        <v>2842028667</v>
      </c>
      <c r="AL2759" t="s">
        <v>4553</v>
      </c>
      <c r="AM2759" t="s">
        <v>4513</v>
      </c>
      <c r="AN2759" t="s">
        <v>4519</v>
      </c>
      <c r="AO2759" t="s">
        <v>4519</v>
      </c>
      <c r="AP2759" t="s">
        <v>4519</v>
      </c>
      <c r="AQ2759">
        <v>4</v>
      </c>
      <c r="AR2759" t="s">
        <v>4509</v>
      </c>
      <c r="AS2759" t="s">
        <v>4510</v>
      </c>
      <c r="AT2759" t="s">
        <v>58</v>
      </c>
      <c r="AU2759" t="s">
        <v>419</v>
      </c>
      <c r="AV2759" t="s">
        <v>132</v>
      </c>
      <c r="AW2759" s="1">
        <v>26676</v>
      </c>
      <c r="AX2759">
        <v>2</v>
      </c>
    </row>
    <row r="2760" spans="1:50">
      <c r="A2760">
        <v>211249</v>
      </c>
      <c r="B2760" t="str">
        <f>"073740928"</f>
        <v>073740928</v>
      </c>
      <c r="C2760" t="s">
        <v>50</v>
      </c>
      <c r="D2760" t="s">
        <v>5567</v>
      </c>
      <c r="E2760" t="s">
        <v>2555</v>
      </c>
      <c r="F2760" t="s">
        <v>99</v>
      </c>
      <c r="G2760" t="s">
        <v>4425</v>
      </c>
      <c r="H2760" t="str">
        <f>" "</f>
        <v xml:space="preserve"> </v>
      </c>
      <c r="J2760">
        <v>2842028621</v>
      </c>
      <c r="L2760">
        <v>2842080085</v>
      </c>
      <c r="M2760" t="s">
        <v>5568</v>
      </c>
      <c r="N2760" t="s">
        <v>135</v>
      </c>
      <c r="O2760" t="s">
        <v>136</v>
      </c>
      <c r="R2760" t="s">
        <v>57</v>
      </c>
      <c r="S2760">
        <v>9</v>
      </c>
      <c r="T2760" t="s">
        <v>5260</v>
      </c>
      <c r="U2760" s="1">
        <v>38671</v>
      </c>
      <c r="V2760" t="s">
        <v>4509</v>
      </c>
      <c r="W2760" t="s">
        <v>4510</v>
      </c>
      <c r="X2760" t="s">
        <v>58</v>
      </c>
      <c r="Y2760">
        <v>20</v>
      </c>
      <c r="Z2760" t="s">
        <v>59</v>
      </c>
      <c r="AA2760" t="s">
        <v>59</v>
      </c>
      <c r="AB2760" t="s">
        <v>59</v>
      </c>
      <c r="AC2760" t="s">
        <v>59</v>
      </c>
      <c r="AD2760" t="s">
        <v>59</v>
      </c>
      <c r="AF2760" s="1">
        <v>38671</v>
      </c>
      <c r="AG2760" t="s">
        <v>137</v>
      </c>
      <c r="AH2760" t="s">
        <v>138</v>
      </c>
      <c r="AI2760" t="str">
        <f>"3240120"</f>
        <v>3240120</v>
      </c>
      <c r="AJ2760" t="s">
        <v>4552</v>
      </c>
      <c r="AK2760">
        <v>2842028667</v>
      </c>
      <c r="AL2760" t="s">
        <v>4553</v>
      </c>
      <c r="AM2760" t="s">
        <v>4513</v>
      </c>
      <c r="AN2760" t="s">
        <v>4519</v>
      </c>
      <c r="AO2760" t="s">
        <v>4519</v>
      </c>
      <c r="AP2760" t="s">
        <v>4519</v>
      </c>
      <c r="AQ2760">
        <v>4</v>
      </c>
      <c r="AR2760" t="s">
        <v>4509</v>
      </c>
      <c r="AS2760" t="s">
        <v>4510</v>
      </c>
      <c r="AT2760" t="s">
        <v>58</v>
      </c>
      <c r="AU2760" t="s">
        <v>68</v>
      </c>
      <c r="AV2760" t="s">
        <v>69</v>
      </c>
      <c r="AW2760" s="1">
        <v>25524</v>
      </c>
      <c r="AX2760">
        <v>2</v>
      </c>
    </row>
    <row r="2761" spans="1:50">
      <c r="A2761">
        <v>182870</v>
      </c>
      <c r="B2761" t="str">
        <f>"047259569"</f>
        <v>047259569</v>
      </c>
      <c r="C2761" t="s">
        <v>50</v>
      </c>
      <c r="D2761" t="s">
        <v>5567</v>
      </c>
      <c r="E2761" t="s">
        <v>2555</v>
      </c>
      <c r="F2761" t="s">
        <v>106</v>
      </c>
      <c r="G2761" t="s">
        <v>2088</v>
      </c>
      <c r="H2761" t="str">
        <f>" "</f>
        <v xml:space="preserve"> </v>
      </c>
      <c r="M2761" t="s">
        <v>5569</v>
      </c>
      <c r="N2761" t="s">
        <v>306</v>
      </c>
      <c r="O2761" t="s">
        <v>307</v>
      </c>
      <c r="R2761" t="s">
        <v>57</v>
      </c>
      <c r="S2761">
        <v>9</v>
      </c>
      <c r="T2761">
        <v>249</v>
      </c>
      <c r="U2761" s="1">
        <v>36160</v>
      </c>
      <c r="V2761" t="s">
        <v>4509</v>
      </c>
      <c r="W2761" t="s">
        <v>4510</v>
      </c>
      <c r="X2761" t="s">
        <v>58</v>
      </c>
      <c r="Y2761">
        <v>20</v>
      </c>
      <c r="Z2761" t="s">
        <v>59</v>
      </c>
      <c r="AA2761" t="s">
        <v>59</v>
      </c>
      <c r="AB2761" t="s">
        <v>59</v>
      </c>
      <c r="AC2761" t="s">
        <v>59</v>
      </c>
      <c r="AD2761" t="s">
        <v>59</v>
      </c>
      <c r="AF2761" s="1">
        <v>36164</v>
      </c>
      <c r="AG2761" t="s">
        <v>137</v>
      </c>
      <c r="AH2761" t="s">
        <v>138</v>
      </c>
      <c r="AI2761" t="str">
        <f>"3240120"</f>
        <v>3240120</v>
      </c>
      <c r="AJ2761" t="s">
        <v>4552</v>
      </c>
      <c r="AK2761">
        <v>2842028667</v>
      </c>
      <c r="AL2761" t="s">
        <v>4553</v>
      </c>
      <c r="AM2761" t="s">
        <v>4513</v>
      </c>
      <c r="AN2761" t="s">
        <v>4519</v>
      </c>
      <c r="AO2761" t="s">
        <v>4519</v>
      </c>
      <c r="AP2761" t="s">
        <v>4519</v>
      </c>
      <c r="AQ2761">
        <v>4</v>
      </c>
      <c r="AR2761" t="s">
        <v>4509</v>
      </c>
      <c r="AS2761" t="s">
        <v>4510</v>
      </c>
      <c r="AT2761" t="s">
        <v>58</v>
      </c>
      <c r="AU2761" t="s">
        <v>68</v>
      </c>
      <c r="AV2761" t="s">
        <v>357</v>
      </c>
      <c r="AW2761" s="1">
        <v>26585</v>
      </c>
      <c r="AX2761">
        <v>2</v>
      </c>
    </row>
    <row r="2762" spans="1:50">
      <c r="B2762" t="str">
        <f>"077645178"</f>
        <v>077645178</v>
      </c>
      <c r="C2762" t="s">
        <v>50</v>
      </c>
      <c r="D2762" t="s">
        <v>5570</v>
      </c>
      <c r="E2762" t="s">
        <v>5571</v>
      </c>
      <c r="F2762" t="s">
        <v>377</v>
      </c>
      <c r="G2762" t="s">
        <v>52</v>
      </c>
      <c r="H2762" t="str">
        <f>"ΑΝΑΠΗΡΩΝ ΠΟΛΕΜΟΥ ΝΕΑΠΟΛΗ"</f>
        <v>ΑΝΑΠΗΡΩΝ ΠΟΛΕΜΟΥ ΝΕΑΠΟΛΗ</v>
      </c>
      <c r="I2762">
        <v>72400</v>
      </c>
      <c r="J2762">
        <v>2841033621</v>
      </c>
      <c r="K2762">
        <v>6979224847</v>
      </c>
      <c r="M2762" t="s">
        <v>5572</v>
      </c>
      <c r="N2762" t="s">
        <v>536</v>
      </c>
      <c r="O2762" t="s">
        <v>537</v>
      </c>
      <c r="R2762" t="s">
        <v>159</v>
      </c>
      <c r="S2762">
        <v>3</v>
      </c>
      <c r="T2762" t="s">
        <v>344</v>
      </c>
      <c r="U2762" s="1">
        <v>43348</v>
      </c>
      <c r="V2762" t="s">
        <v>4509</v>
      </c>
      <c r="W2762" t="s">
        <v>4510</v>
      </c>
      <c r="X2762" t="s">
        <v>58</v>
      </c>
      <c r="Y2762">
        <v>23</v>
      </c>
      <c r="Z2762" t="s">
        <v>59</v>
      </c>
      <c r="AA2762" t="s">
        <v>59</v>
      </c>
      <c r="AB2762" t="s">
        <v>59</v>
      </c>
      <c r="AC2762" t="s">
        <v>59</v>
      </c>
      <c r="AD2762" t="s">
        <v>59</v>
      </c>
      <c r="AF2762" s="1">
        <v>43348</v>
      </c>
      <c r="AG2762" t="s">
        <v>345</v>
      </c>
      <c r="AH2762" t="s">
        <v>346</v>
      </c>
      <c r="AI2762" t="str">
        <f>"3241002"</f>
        <v>3241002</v>
      </c>
      <c r="AJ2762" t="s">
        <v>4626</v>
      </c>
      <c r="AK2762">
        <v>2841083053</v>
      </c>
      <c r="AL2762" t="s">
        <v>4627</v>
      </c>
      <c r="AM2762" t="s">
        <v>4513</v>
      </c>
      <c r="AN2762" t="s">
        <v>4514</v>
      </c>
      <c r="AO2762" t="s">
        <v>4514</v>
      </c>
      <c r="AP2762" t="s">
        <v>4514</v>
      </c>
      <c r="AQ2762">
        <v>1</v>
      </c>
      <c r="AR2762" t="s">
        <v>4509</v>
      </c>
      <c r="AS2762" t="s">
        <v>4510</v>
      </c>
      <c r="AT2762" t="s">
        <v>58</v>
      </c>
      <c r="AU2762" t="s">
        <v>350</v>
      </c>
      <c r="AV2762" t="s">
        <v>132</v>
      </c>
      <c r="AW2762" s="1">
        <v>31130</v>
      </c>
      <c r="AX2762">
        <v>2</v>
      </c>
    </row>
    <row r="2763" spans="1:50">
      <c r="A2763">
        <v>229836</v>
      </c>
      <c r="B2763" t="str">
        <f>"110396338"</f>
        <v>110396338</v>
      </c>
      <c r="C2763" t="s">
        <v>105</v>
      </c>
      <c r="D2763" t="s">
        <v>5573</v>
      </c>
      <c r="E2763" t="s">
        <v>72</v>
      </c>
      <c r="F2763" t="s">
        <v>106</v>
      </c>
      <c r="G2763" t="s">
        <v>3934</v>
      </c>
      <c r="H2763" t="str">
        <f>"Β. ΖΟΥΜΑΚΗ 5 ΣΗΤΕΙΑ"</f>
        <v>Β. ΖΟΥΜΑΚΗ 5 ΣΗΤΕΙΑ</v>
      </c>
      <c r="I2763">
        <v>72300</v>
      </c>
      <c r="J2763">
        <v>2843026298</v>
      </c>
      <c r="K2763">
        <v>6974590057</v>
      </c>
      <c r="L2763">
        <v>2843026248</v>
      </c>
      <c r="N2763" t="s">
        <v>168</v>
      </c>
      <c r="O2763" t="s">
        <v>169</v>
      </c>
      <c r="R2763" t="s">
        <v>57</v>
      </c>
      <c r="S2763">
        <v>7</v>
      </c>
      <c r="T2763">
        <v>41</v>
      </c>
      <c r="U2763" s="1">
        <v>40169</v>
      </c>
      <c r="V2763" t="s">
        <v>4509</v>
      </c>
      <c r="W2763" t="s">
        <v>4510</v>
      </c>
      <c r="X2763" t="s">
        <v>58</v>
      </c>
      <c r="Y2763">
        <v>21</v>
      </c>
      <c r="Z2763" t="s">
        <v>59</v>
      </c>
      <c r="AA2763" t="s">
        <v>59</v>
      </c>
      <c r="AB2763" t="s">
        <v>59</v>
      </c>
      <c r="AC2763" t="s">
        <v>59</v>
      </c>
      <c r="AD2763" t="s">
        <v>59</v>
      </c>
      <c r="AF2763" s="1">
        <v>40170</v>
      </c>
      <c r="AG2763" t="s">
        <v>137</v>
      </c>
      <c r="AH2763" t="s">
        <v>138</v>
      </c>
      <c r="AI2763" t="str">
        <f>"3240020"</f>
        <v>3240020</v>
      </c>
      <c r="AJ2763" t="s">
        <v>4568</v>
      </c>
      <c r="AK2763">
        <v>2843028570</v>
      </c>
      <c r="AL2763" t="s">
        <v>4569</v>
      </c>
      <c r="AM2763" t="s">
        <v>4513</v>
      </c>
      <c r="AN2763" t="s">
        <v>4540</v>
      </c>
      <c r="AO2763" t="s">
        <v>4540</v>
      </c>
      <c r="AP2763" t="s">
        <v>4540</v>
      </c>
      <c r="AQ2763">
        <v>6</v>
      </c>
      <c r="AR2763" t="s">
        <v>4509</v>
      </c>
      <c r="AS2763" t="s">
        <v>4510</v>
      </c>
      <c r="AT2763" t="s">
        <v>58</v>
      </c>
      <c r="AU2763" t="s">
        <v>68</v>
      </c>
      <c r="AV2763" t="s">
        <v>69</v>
      </c>
      <c r="AW2763" s="1">
        <v>29879</v>
      </c>
      <c r="AX2763">
        <v>2</v>
      </c>
    </row>
    <row r="2764" spans="1:50">
      <c r="A2764">
        <v>194111</v>
      </c>
      <c r="B2764" t="str">
        <f>"059910930"</f>
        <v>059910930</v>
      </c>
      <c r="C2764" t="s">
        <v>105</v>
      </c>
      <c r="D2764" t="s">
        <v>5574</v>
      </c>
      <c r="E2764" t="s">
        <v>84</v>
      </c>
      <c r="F2764" t="s">
        <v>53</v>
      </c>
      <c r="G2764" t="s">
        <v>4515</v>
      </c>
      <c r="H2764" t="str">
        <f>"Γ.ΣΕΦΕΡΗ 43 ΑΓΙΟΣ ΝΙΚΟΛΑΟΣ"</f>
        <v>Γ.ΣΕΦΕΡΗ 43 ΑΓΙΟΣ ΝΙΚΟΛΑΟΣ</v>
      </c>
      <c r="I2764">
        <v>72100</v>
      </c>
      <c r="J2764">
        <v>2841022882</v>
      </c>
      <c r="K2764">
        <v>6948560230</v>
      </c>
      <c r="M2764" t="s">
        <v>5575</v>
      </c>
      <c r="N2764" t="s">
        <v>306</v>
      </c>
      <c r="O2764" t="s">
        <v>307</v>
      </c>
      <c r="R2764" t="s">
        <v>57</v>
      </c>
      <c r="S2764">
        <v>10</v>
      </c>
      <c r="T2764">
        <v>193</v>
      </c>
      <c r="U2764" s="1">
        <v>37497</v>
      </c>
      <c r="V2764" t="s">
        <v>4509</v>
      </c>
      <c r="W2764" t="s">
        <v>4510</v>
      </c>
      <c r="X2764" t="s">
        <v>58</v>
      </c>
      <c r="Y2764">
        <v>18</v>
      </c>
      <c r="Z2764" t="s">
        <v>59</v>
      </c>
      <c r="AA2764" t="s">
        <v>59</v>
      </c>
      <c r="AB2764" t="s">
        <v>59</v>
      </c>
      <c r="AC2764" t="s">
        <v>59</v>
      </c>
      <c r="AD2764" t="s">
        <v>59</v>
      </c>
      <c r="AF2764" s="1">
        <v>37501</v>
      </c>
      <c r="AG2764" t="s">
        <v>125</v>
      </c>
      <c r="AH2764" t="s">
        <v>126</v>
      </c>
      <c r="AI2764" t="str">
        <f>"3201025"</f>
        <v>3201025</v>
      </c>
      <c r="AJ2764" t="s">
        <v>4682</v>
      </c>
      <c r="AK2764">
        <v>2841021388</v>
      </c>
      <c r="AL2764" t="s">
        <v>4683</v>
      </c>
      <c r="AM2764" t="s">
        <v>4513</v>
      </c>
      <c r="AN2764" t="s">
        <v>4514</v>
      </c>
      <c r="AO2764" t="s">
        <v>4514</v>
      </c>
      <c r="AP2764" t="s">
        <v>4514</v>
      </c>
      <c r="AQ2764">
        <v>1</v>
      </c>
      <c r="AR2764" t="s">
        <v>4509</v>
      </c>
      <c r="AS2764" t="s">
        <v>4510</v>
      </c>
      <c r="AT2764" t="s">
        <v>58</v>
      </c>
      <c r="AU2764" t="s">
        <v>68</v>
      </c>
      <c r="AV2764" t="s">
        <v>69</v>
      </c>
      <c r="AW2764" s="1">
        <v>24985</v>
      </c>
      <c r="AX2764">
        <v>2</v>
      </c>
    </row>
    <row r="2765" spans="1:50">
      <c r="A2765">
        <v>185915</v>
      </c>
      <c r="B2765" t="str">
        <f>"054299809"</f>
        <v>054299809</v>
      </c>
      <c r="C2765" t="s">
        <v>50</v>
      </c>
      <c r="D2765" t="s">
        <v>5576</v>
      </c>
      <c r="E2765" t="s">
        <v>181</v>
      </c>
      <c r="F2765" t="s">
        <v>92</v>
      </c>
      <c r="G2765" t="s">
        <v>4737</v>
      </c>
      <c r="H2765" t="str">
        <f>"Δωρ. Παπαδακη 8  Σητεια"</f>
        <v>Δωρ. Παπαδακη 8  Σητεια</v>
      </c>
      <c r="I2765">
        <v>72300</v>
      </c>
      <c r="J2765">
        <v>2843026516</v>
      </c>
      <c r="K2765">
        <v>6936495404</v>
      </c>
      <c r="M2765" t="s">
        <v>5577</v>
      </c>
      <c r="N2765" t="s">
        <v>146</v>
      </c>
      <c r="O2765" t="s">
        <v>147</v>
      </c>
      <c r="R2765" t="s">
        <v>57</v>
      </c>
      <c r="S2765">
        <v>10</v>
      </c>
      <c r="T2765">
        <v>250</v>
      </c>
      <c r="U2765" s="1">
        <v>36769</v>
      </c>
      <c r="V2765" t="s">
        <v>4509</v>
      </c>
      <c r="W2765" t="s">
        <v>4510</v>
      </c>
      <c r="X2765" t="s">
        <v>58</v>
      </c>
      <c r="Y2765">
        <v>20</v>
      </c>
      <c r="Z2765" t="s">
        <v>59</v>
      </c>
      <c r="AA2765" t="s">
        <v>59</v>
      </c>
      <c r="AB2765" t="s">
        <v>59</v>
      </c>
      <c r="AC2765" t="s">
        <v>59</v>
      </c>
      <c r="AD2765" t="s">
        <v>59</v>
      </c>
      <c r="AF2765" s="1">
        <v>36770</v>
      </c>
      <c r="AG2765" t="s">
        <v>125</v>
      </c>
      <c r="AH2765" t="s">
        <v>126</v>
      </c>
      <c r="AI2765" t="str">
        <f>"3204010"</f>
        <v>3204010</v>
      </c>
      <c r="AJ2765" t="s">
        <v>4542</v>
      </c>
      <c r="AK2765">
        <v>2843022503</v>
      </c>
      <c r="AL2765" t="s">
        <v>4543</v>
      </c>
      <c r="AM2765" t="s">
        <v>4513</v>
      </c>
      <c r="AN2765" t="s">
        <v>4540</v>
      </c>
      <c r="AO2765" t="s">
        <v>4540</v>
      </c>
      <c r="AP2765" t="s">
        <v>4540</v>
      </c>
      <c r="AQ2765">
        <v>6</v>
      </c>
      <c r="AR2765" t="s">
        <v>4509</v>
      </c>
      <c r="AS2765" t="s">
        <v>4510</v>
      </c>
      <c r="AT2765" t="s">
        <v>58</v>
      </c>
      <c r="AU2765" t="s">
        <v>68</v>
      </c>
      <c r="AV2765" t="s">
        <v>69</v>
      </c>
      <c r="AW2765" s="1">
        <v>27404</v>
      </c>
      <c r="AX2765">
        <v>2</v>
      </c>
    </row>
    <row r="2766" spans="1:50">
      <c r="A2766">
        <v>202095</v>
      </c>
      <c r="B2766" t="str">
        <f>"057732953"</f>
        <v>057732953</v>
      </c>
      <c r="C2766" t="s">
        <v>50</v>
      </c>
      <c r="D2766" t="s">
        <v>5578</v>
      </c>
      <c r="E2766" t="s">
        <v>681</v>
      </c>
      <c r="F2766" t="s">
        <v>84</v>
      </c>
      <c r="G2766" t="s">
        <v>589</v>
      </c>
      <c r="H2766" t="str">
        <f>" "</f>
        <v xml:space="preserve"> </v>
      </c>
      <c r="J2766">
        <v>2843024585</v>
      </c>
      <c r="K2766">
        <v>6978446486</v>
      </c>
      <c r="M2766" t="s">
        <v>5579</v>
      </c>
      <c r="N2766" t="s">
        <v>146</v>
      </c>
      <c r="O2766" t="s">
        <v>147</v>
      </c>
      <c r="R2766" t="s">
        <v>57</v>
      </c>
      <c r="S2766">
        <v>10</v>
      </c>
      <c r="T2766">
        <v>231</v>
      </c>
      <c r="U2766" s="1">
        <v>38230</v>
      </c>
      <c r="V2766" t="s">
        <v>4509</v>
      </c>
      <c r="W2766" t="s">
        <v>4510</v>
      </c>
      <c r="X2766" t="s">
        <v>58</v>
      </c>
      <c r="Y2766">
        <v>20</v>
      </c>
      <c r="Z2766" t="s">
        <v>59</v>
      </c>
      <c r="AA2766" t="s">
        <v>59</v>
      </c>
      <c r="AB2766" t="s">
        <v>59</v>
      </c>
      <c r="AC2766" t="s">
        <v>59</v>
      </c>
      <c r="AD2766" t="s">
        <v>59</v>
      </c>
      <c r="AF2766" s="1">
        <v>38231</v>
      </c>
      <c r="AG2766" t="s">
        <v>125</v>
      </c>
      <c r="AH2766" t="s">
        <v>126</v>
      </c>
      <c r="AI2766" t="str">
        <f>"3201010"</f>
        <v>3201010</v>
      </c>
      <c r="AJ2766" t="s">
        <v>4596</v>
      </c>
      <c r="AK2766">
        <v>2841022301</v>
      </c>
      <c r="AL2766" t="s">
        <v>4597</v>
      </c>
      <c r="AM2766" t="s">
        <v>4513</v>
      </c>
      <c r="AN2766" t="s">
        <v>4514</v>
      </c>
      <c r="AO2766" t="s">
        <v>4514</v>
      </c>
      <c r="AP2766" t="s">
        <v>4514</v>
      </c>
      <c r="AQ2766">
        <v>1</v>
      </c>
      <c r="AR2766" t="s">
        <v>4509</v>
      </c>
      <c r="AS2766" t="s">
        <v>4510</v>
      </c>
      <c r="AT2766" t="s">
        <v>58</v>
      </c>
      <c r="AU2766" t="s">
        <v>68</v>
      </c>
      <c r="AV2766" t="s">
        <v>69</v>
      </c>
      <c r="AW2766" s="1">
        <v>24588</v>
      </c>
      <c r="AX2766">
        <v>2</v>
      </c>
    </row>
    <row r="2767" spans="1:50">
      <c r="A2767">
        <v>208511</v>
      </c>
      <c r="B2767" t="str">
        <f>"055978423"</f>
        <v>055978423</v>
      </c>
      <c r="C2767" t="s">
        <v>50</v>
      </c>
      <c r="D2767" t="s">
        <v>5580</v>
      </c>
      <c r="E2767" t="s">
        <v>181</v>
      </c>
      <c r="F2767" t="s">
        <v>106</v>
      </c>
      <c r="G2767" t="s">
        <v>1358</v>
      </c>
      <c r="H2767" t="str">
        <f>" "</f>
        <v xml:space="preserve"> </v>
      </c>
      <c r="J2767">
        <v>2842023201</v>
      </c>
      <c r="M2767" t="s">
        <v>5581</v>
      </c>
      <c r="N2767" t="s">
        <v>135</v>
      </c>
      <c r="O2767" t="s">
        <v>136</v>
      </c>
      <c r="R2767" t="s">
        <v>57</v>
      </c>
      <c r="S2767">
        <v>9</v>
      </c>
      <c r="T2767">
        <v>218</v>
      </c>
      <c r="U2767" s="1">
        <v>38596</v>
      </c>
      <c r="V2767" t="s">
        <v>4509</v>
      </c>
      <c r="W2767" t="s">
        <v>4510</v>
      </c>
      <c r="X2767" t="s">
        <v>58</v>
      </c>
      <c r="Y2767">
        <v>20</v>
      </c>
      <c r="Z2767" t="s">
        <v>59</v>
      </c>
      <c r="AA2767" t="s">
        <v>59</v>
      </c>
      <c r="AB2767" t="s">
        <v>59</v>
      </c>
      <c r="AC2767" t="s">
        <v>59</v>
      </c>
      <c r="AD2767" t="s">
        <v>59</v>
      </c>
      <c r="AF2767" s="1">
        <v>38601</v>
      </c>
      <c r="AG2767" t="s">
        <v>137</v>
      </c>
      <c r="AH2767" t="s">
        <v>469</v>
      </c>
      <c r="AI2767" t="str">
        <f>"3240125"</f>
        <v>3240125</v>
      </c>
      <c r="AJ2767" t="s">
        <v>4707</v>
      </c>
      <c r="AK2767">
        <v>2842024905</v>
      </c>
      <c r="AL2767" t="s">
        <v>4708</v>
      </c>
      <c r="AM2767" t="s">
        <v>4513</v>
      </c>
      <c r="AN2767" t="s">
        <v>4519</v>
      </c>
      <c r="AO2767" t="s">
        <v>4519</v>
      </c>
      <c r="AP2767" t="s">
        <v>4519</v>
      </c>
      <c r="AQ2767">
        <v>4</v>
      </c>
      <c r="AR2767" t="s">
        <v>4509</v>
      </c>
      <c r="AS2767" t="s">
        <v>4510</v>
      </c>
      <c r="AT2767" t="s">
        <v>58</v>
      </c>
      <c r="AU2767" t="s">
        <v>68</v>
      </c>
      <c r="AV2767" t="s">
        <v>69</v>
      </c>
      <c r="AW2767" s="1">
        <v>21330</v>
      </c>
      <c r="AX2767">
        <v>2</v>
      </c>
    </row>
    <row r="2768" spans="1:50">
      <c r="A2768">
        <v>212520</v>
      </c>
      <c r="B2768" t="str">
        <f>"047855496"</f>
        <v>047855496</v>
      </c>
      <c r="C2768" t="s">
        <v>105</v>
      </c>
      <c r="D2768" t="s">
        <v>5582</v>
      </c>
      <c r="E2768" t="s">
        <v>53</v>
      </c>
      <c r="F2768" t="s">
        <v>95</v>
      </c>
      <c r="G2768" t="s">
        <v>215</v>
      </c>
      <c r="H2768" t="str">
        <f>" "</f>
        <v xml:space="preserve"> </v>
      </c>
      <c r="J2768">
        <v>2843020229</v>
      </c>
      <c r="K2768">
        <v>6907589440</v>
      </c>
      <c r="M2768" t="s">
        <v>5583</v>
      </c>
      <c r="N2768" t="s">
        <v>146</v>
      </c>
      <c r="O2768" t="s">
        <v>147</v>
      </c>
      <c r="R2768" t="s">
        <v>57</v>
      </c>
      <c r="S2768">
        <v>5</v>
      </c>
      <c r="T2768">
        <v>231</v>
      </c>
      <c r="U2768" s="1">
        <v>38960</v>
      </c>
      <c r="V2768" t="s">
        <v>4509</v>
      </c>
      <c r="W2768" t="s">
        <v>4510</v>
      </c>
      <c r="X2768" t="s">
        <v>58</v>
      </c>
      <c r="Y2768">
        <v>20</v>
      </c>
      <c r="Z2768" t="s">
        <v>59</v>
      </c>
      <c r="AA2768" t="s">
        <v>59</v>
      </c>
      <c r="AB2768" t="s">
        <v>59</v>
      </c>
      <c r="AC2768" t="s">
        <v>59</v>
      </c>
      <c r="AD2768" t="s">
        <v>59</v>
      </c>
      <c r="AF2768" s="1">
        <v>38961</v>
      </c>
      <c r="AG2768" t="s">
        <v>125</v>
      </c>
      <c r="AH2768" t="s">
        <v>126</v>
      </c>
      <c r="AI2768" t="str">
        <f>"3204020"</f>
        <v>3204020</v>
      </c>
      <c r="AJ2768" t="s">
        <v>4632</v>
      </c>
      <c r="AK2768">
        <v>2843023923</v>
      </c>
      <c r="AL2768" t="s">
        <v>4633</v>
      </c>
      <c r="AM2768" t="s">
        <v>4513</v>
      </c>
      <c r="AN2768" t="s">
        <v>4540</v>
      </c>
      <c r="AO2768" t="s">
        <v>4540</v>
      </c>
      <c r="AP2768" t="s">
        <v>4540</v>
      </c>
      <c r="AQ2768">
        <v>6</v>
      </c>
      <c r="AR2768" t="s">
        <v>4509</v>
      </c>
      <c r="AS2768" t="s">
        <v>4510</v>
      </c>
      <c r="AT2768" t="s">
        <v>58</v>
      </c>
      <c r="AU2768" t="s">
        <v>68</v>
      </c>
      <c r="AV2768" t="s">
        <v>69</v>
      </c>
      <c r="AW2768" s="1">
        <v>27001</v>
      </c>
      <c r="AX2768">
        <v>2</v>
      </c>
    </row>
    <row r="2769" spans="1:50">
      <c r="A2769">
        <v>193545</v>
      </c>
      <c r="B2769" t="str">
        <f>"043458309"</f>
        <v>043458309</v>
      </c>
      <c r="C2769" t="s">
        <v>105</v>
      </c>
      <c r="D2769" t="s">
        <v>5584</v>
      </c>
      <c r="E2769" t="s">
        <v>95</v>
      </c>
      <c r="F2769" t="s">
        <v>72</v>
      </c>
      <c r="G2769" t="s">
        <v>823</v>
      </c>
      <c r="H2769" t="str">
        <f>" "</f>
        <v xml:space="preserve"> </v>
      </c>
      <c r="J2769">
        <v>2841026684</v>
      </c>
      <c r="M2769" t="s">
        <v>5585</v>
      </c>
      <c r="N2769" t="s">
        <v>292</v>
      </c>
      <c r="O2769" t="s">
        <v>293</v>
      </c>
      <c r="R2769" t="s">
        <v>57</v>
      </c>
      <c r="S2769">
        <v>10</v>
      </c>
      <c r="T2769">
        <v>193</v>
      </c>
      <c r="U2769" s="1">
        <v>37497</v>
      </c>
      <c r="V2769" t="s">
        <v>4509</v>
      </c>
      <c r="W2769" t="s">
        <v>4510</v>
      </c>
      <c r="X2769" t="s">
        <v>58</v>
      </c>
      <c r="Y2769">
        <v>20</v>
      </c>
      <c r="Z2769" t="s">
        <v>59</v>
      </c>
      <c r="AA2769" t="s">
        <v>59</v>
      </c>
      <c r="AB2769" t="s">
        <v>59</v>
      </c>
      <c r="AC2769" t="s">
        <v>59</v>
      </c>
      <c r="AD2769" t="s">
        <v>59</v>
      </c>
      <c r="AF2769" s="1">
        <v>37500</v>
      </c>
      <c r="AG2769" t="s">
        <v>148</v>
      </c>
      <c r="AH2769" t="s">
        <v>149</v>
      </c>
      <c r="AI2769" t="str">
        <f>"3253010"</f>
        <v>3253010</v>
      </c>
      <c r="AJ2769" t="s">
        <v>4579</v>
      </c>
      <c r="AK2769">
        <v>2841031769</v>
      </c>
      <c r="AL2769" t="s">
        <v>4580</v>
      </c>
      <c r="AM2769" t="s">
        <v>4513</v>
      </c>
      <c r="AN2769" t="s">
        <v>4514</v>
      </c>
      <c r="AO2769" t="s">
        <v>4524</v>
      </c>
      <c r="AP2769" t="s">
        <v>4525</v>
      </c>
      <c r="AQ2769">
        <v>3</v>
      </c>
      <c r="AR2769" t="s">
        <v>4509</v>
      </c>
      <c r="AS2769" t="s">
        <v>4510</v>
      </c>
      <c r="AT2769" t="s">
        <v>58</v>
      </c>
      <c r="AU2769" t="s">
        <v>68</v>
      </c>
      <c r="AV2769" t="s">
        <v>69</v>
      </c>
      <c r="AW2769" s="1">
        <v>23566</v>
      </c>
      <c r="AX2769">
        <v>2</v>
      </c>
    </row>
    <row r="2770" spans="1:50">
      <c r="A2770">
        <v>203804</v>
      </c>
      <c r="B2770" t="str">
        <f>"050459230"</f>
        <v>050459230</v>
      </c>
      <c r="C2770" t="s">
        <v>105</v>
      </c>
      <c r="D2770" t="s">
        <v>5586</v>
      </c>
      <c r="E2770" t="s">
        <v>106</v>
      </c>
      <c r="F2770" t="s">
        <v>166</v>
      </c>
      <c r="G2770" t="s">
        <v>52</v>
      </c>
      <c r="H2770" t="str">
        <f>" "</f>
        <v xml:space="preserve"> </v>
      </c>
      <c r="M2770" t="s">
        <v>5587</v>
      </c>
      <c r="N2770" t="s">
        <v>299</v>
      </c>
      <c r="O2770" t="s">
        <v>300</v>
      </c>
      <c r="R2770" t="s">
        <v>57</v>
      </c>
      <c r="S2770">
        <v>14</v>
      </c>
      <c r="T2770">
        <v>231</v>
      </c>
      <c r="U2770" s="1">
        <v>38230</v>
      </c>
      <c r="V2770" t="s">
        <v>4509</v>
      </c>
      <c r="W2770" t="s">
        <v>4510</v>
      </c>
      <c r="X2770" t="s">
        <v>58</v>
      </c>
      <c r="Y2770">
        <v>20</v>
      </c>
      <c r="Z2770" t="s">
        <v>59</v>
      </c>
      <c r="AA2770" t="s">
        <v>59</v>
      </c>
      <c r="AB2770" t="s">
        <v>59</v>
      </c>
      <c r="AC2770" t="s">
        <v>59</v>
      </c>
      <c r="AD2770" t="s">
        <v>59</v>
      </c>
      <c r="AF2770" s="1">
        <v>38596</v>
      </c>
      <c r="AG2770" t="s">
        <v>148</v>
      </c>
      <c r="AH2770" t="s">
        <v>149</v>
      </c>
      <c r="AI2770" t="str">
        <f>"3260015"</f>
        <v>3260015</v>
      </c>
      <c r="AJ2770" t="s">
        <v>4764</v>
      </c>
      <c r="AK2770">
        <v>2843051787</v>
      </c>
      <c r="AL2770" t="s">
        <v>4765</v>
      </c>
      <c r="AM2770" t="s">
        <v>4513</v>
      </c>
      <c r="AN2770" t="s">
        <v>4519</v>
      </c>
      <c r="AO2770" t="s">
        <v>4766</v>
      </c>
      <c r="AP2770" t="s">
        <v>4767</v>
      </c>
      <c r="AQ2770">
        <v>5</v>
      </c>
      <c r="AR2770" t="s">
        <v>4509</v>
      </c>
      <c r="AS2770" t="s">
        <v>4510</v>
      </c>
      <c r="AT2770" t="s">
        <v>58</v>
      </c>
      <c r="AU2770" t="s">
        <v>68</v>
      </c>
      <c r="AV2770" t="s">
        <v>69</v>
      </c>
      <c r="AW2770" s="1">
        <v>21186</v>
      </c>
      <c r="AX2770">
        <v>2</v>
      </c>
    </row>
    <row r="2771" spans="1:50">
      <c r="A2771">
        <v>227387</v>
      </c>
      <c r="B2771" t="str">
        <f>"046596379"</f>
        <v>046596379</v>
      </c>
      <c r="C2771" t="s">
        <v>105</v>
      </c>
      <c r="D2771" t="s">
        <v>4275</v>
      </c>
      <c r="E2771" t="s">
        <v>459</v>
      </c>
      <c r="F2771" t="s">
        <v>72</v>
      </c>
      <c r="G2771" t="s">
        <v>52</v>
      </c>
      <c r="H2771" t="str">
        <f>"Μ. ΦΙΟΡΑΚΗ 15 "</f>
        <v xml:space="preserve">Μ. ΦΙΟΡΑΚΗ 15 </v>
      </c>
      <c r="I2771">
        <v>71409</v>
      </c>
      <c r="J2771">
        <v>2810310760</v>
      </c>
      <c r="K2771">
        <v>6972777481</v>
      </c>
      <c r="M2771" t="s">
        <v>5588</v>
      </c>
      <c r="N2771" t="s">
        <v>232</v>
      </c>
      <c r="O2771" t="s">
        <v>233</v>
      </c>
      <c r="R2771" t="s">
        <v>57</v>
      </c>
      <c r="S2771">
        <v>5</v>
      </c>
      <c r="T2771">
        <v>654</v>
      </c>
      <c r="U2771" s="1">
        <v>40043</v>
      </c>
      <c r="V2771" t="s">
        <v>4509</v>
      </c>
      <c r="W2771" t="s">
        <v>4510</v>
      </c>
      <c r="X2771" t="s">
        <v>58</v>
      </c>
      <c r="Y2771">
        <v>21</v>
      </c>
      <c r="Z2771" t="s">
        <v>59</v>
      </c>
      <c r="AA2771" t="s">
        <v>59</v>
      </c>
      <c r="AB2771" t="s">
        <v>59</v>
      </c>
      <c r="AC2771" t="s">
        <v>59</v>
      </c>
      <c r="AD2771" t="s">
        <v>59</v>
      </c>
      <c r="AF2771" s="1">
        <v>40046</v>
      </c>
      <c r="AG2771" t="s">
        <v>125</v>
      </c>
      <c r="AH2771" t="s">
        <v>126</v>
      </c>
      <c r="AI2771" t="str">
        <f>"3203010"</f>
        <v>3203010</v>
      </c>
      <c r="AJ2771" t="s">
        <v>4522</v>
      </c>
      <c r="AK2771">
        <v>2841034140</v>
      </c>
      <c r="AL2771" t="s">
        <v>4523</v>
      </c>
      <c r="AM2771" t="s">
        <v>4513</v>
      </c>
      <c r="AN2771" t="s">
        <v>4514</v>
      </c>
      <c r="AO2771" t="s">
        <v>4524</v>
      </c>
      <c r="AP2771" t="s">
        <v>4525</v>
      </c>
      <c r="AQ2771">
        <v>3</v>
      </c>
      <c r="AR2771" t="s">
        <v>4509</v>
      </c>
      <c r="AS2771" t="s">
        <v>4510</v>
      </c>
      <c r="AT2771" t="s">
        <v>58</v>
      </c>
      <c r="AU2771" t="s">
        <v>68</v>
      </c>
      <c r="AV2771" t="s">
        <v>69</v>
      </c>
      <c r="AW2771" s="1">
        <v>24250</v>
      </c>
      <c r="AX2771">
        <v>2</v>
      </c>
    </row>
    <row r="2772" spans="1:50">
      <c r="A2772">
        <v>224600</v>
      </c>
      <c r="B2772" t="str">
        <f>"065977422"</f>
        <v>065977422</v>
      </c>
      <c r="C2772" t="s">
        <v>50</v>
      </c>
      <c r="D2772" t="s">
        <v>5589</v>
      </c>
      <c r="E2772" t="s">
        <v>707</v>
      </c>
      <c r="F2772" t="s">
        <v>5590</v>
      </c>
      <c r="G2772" t="s">
        <v>513</v>
      </c>
      <c r="H2772" t="str">
        <f>" "</f>
        <v xml:space="preserve"> </v>
      </c>
      <c r="J2772">
        <v>2842022537</v>
      </c>
      <c r="K2772">
        <v>6974194808</v>
      </c>
      <c r="N2772" t="s">
        <v>288</v>
      </c>
      <c r="O2772" t="s">
        <v>289</v>
      </c>
      <c r="R2772" t="s">
        <v>57</v>
      </c>
      <c r="S2772">
        <v>8</v>
      </c>
      <c r="T2772">
        <v>775</v>
      </c>
      <c r="U2772" s="1">
        <v>39680</v>
      </c>
      <c r="V2772" t="s">
        <v>4509</v>
      </c>
      <c r="W2772" t="s">
        <v>4510</v>
      </c>
      <c r="X2772" t="s">
        <v>58</v>
      </c>
      <c r="Y2772">
        <v>20</v>
      </c>
      <c r="Z2772" t="s">
        <v>59</v>
      </c>
      <c r="AA2772" t="s">
        <v>59</v>
      </c>
      <c r="AB2772" t="s">
        <v>59</v>
      </c>
      <c r="AC2772" t="s">
        <v>59</v>
      </c>
      <c r="AD2772" t="s">
        <v>59</v>
      </c>
      <c r="AF2772" s="1">
        <v>39692</v>
      </c>
      <c r="AG2772" t="s">
        <v>125</v>
      </c>
      <c r="AH2772" t="s">
        <v>126</v>
      </c>
      <c r="AI2772" t="str">
        <f>"3202020"</f>
        <v>3202020</v>
      </c>
      <c r="AJ2772" t="s">
        <v>4576</v>
      </c>
      <c r="AK2772">
        <v>2842022289</v>
      </c>
      <c r="AL2772" t="s">
        <v>4577</v>
      </c>
      <c r="AM2772" t="s">
        <v>4513</v>
      </c>
      <c r="AN2772" t="s">
        <v>4519</v>
      </c>
      <c r="AO2772" t="s">
        <v>4519</v>
      </c>
      <c r="AP2772" t="s">
        <v>4519</v>
      </c>
      <c r="AQ2772">
        <v>4</v>
      </c>
      <c r="AR2772" t="s">
        <v>4509</v>
      </c>
      <c r="AS2772" t="s">
        <v>4510</v>
      </c>
      <c r="AT2772" t="s">
        <v>58</v>
      </c>
      <c r="AU2772" t="s">
        <v>68</v>
      </c>
      <c r="AV2772" t="s">
        <v>357</v>
      </c>
      <c r="AW2772" s="1">
        <v>27179</v>
      </c>
      <c r="AX2772">
        <v>2</v>
      </c>
    </row>
    <row r="2773" spans="1:50">
      <c r="A2773">
        <v>224289</v>
      </c>
      <c r="B2773" t="str">
        <f>"119829061"</f>
        <v>119829061</v>
      </c>
      <c r="C2773" t="s">
        <v>50</v>
      </c>
      <c r="D2773" t="s">
        <v>5591</v>
      </c>
      <c r="E2773" t="s">
        <v>143</v>
      </c>
      <c r="F2773" t="s">
        <v>166</v>
      </c>
      <c r="G2773" t="s">
        <v>372</v>
      </c>
      <c r="H2773" t="str">
        <f>" "</f>
        <v xml:space="preserve"> </v>
      </c>
      <c r="J2773">
        <v>2531026667</v>
      </c>
      <c r="K2773">
        <v>6942401016</v>
      </c>
      <c r="N2773" t="s">
        <v>306</v>
      </c>
      <c r="O2773" t="s">
        <v>307</v>
      </c>
      <c r="R2773" t="s">
        <v>57</v>
      </c>
      <c r="S2773">
        <v>8</v>
      </c>
      <c r="T2773">
        <v>775</v>
      </c>
      <c r="U2773" s="1">
        <v>39680</v>
      </c>
      <c r="V2773" t="s">
        <v>4509</v>
      </c>
      <c r="W2773" t="s">
        <v>4510</v>
      </c>
      <c r="X2773" t="s">
        <v>58</v>
      </c>
      <c r="Y2773">
        <v>20</v>
      </c>
      <c r="Z2773" t="s">
        <v>59</v>
      </c>
      <c r="AA2773" t="s">
        <v>59</v>
      </c>
      <c r="AB2773" t="s">
        <v>59</v>
      </c>
      <c r="AC2773" t="s">
        <v>59</v>
      </c>
      <c r="AD2773" t="s">
        <v>59</v>
      </c>
      <c r="AF2773" s="1">
        <v>39692</v>
      </c>
      <c r="AG2773" t="s">
        <v>148</v>
      </c>
      <c r="AH2773" t="s">
        <v>149</v>
      </c>
      <c r="AI2773" t="str">
        <f>"3255010"</f>
        <v>3255010</v>
      </c>
      <c r="AJ2773" t="s">
        <v>4590</v>
      </c>
      <c r="AK2773">
        <v>2844022058</v>
      </c>
      <c r="AL2773" t="s">
        <v>4591</v>
      </c>
      <c r="AM2773" t="s">
        <v>4513</v>
      </c>
      <c r="AN2773" t="s">
        <v>4592</v>
      </c>
      <c r="AO2773" t="s">
        <v>4592</v>
      </c>
      <c r="AP2773" t="s">
        <v>4593</v>
      </c>
      <c r="AQ2773">
        <v>2</v>
      </c>
      <c r="AR2773" t="s">
        <v>4509</v>
      </c>
      <c r="AS2773" t="s">
        <v>4510</v>
      </c>
      <c r="AT2773" t="s">
        <v>58</v>
      </c>
      <c r="AU2773" t="s">
        <v>68</v>
      </c>
      <c r="AV2773" t="s">
        <v>69</v>
      </c>
      <c r="AW2773" s="1">
        <v>27929</v>
      </c>
      <c r="AX2773">
        <v>2</v>
      </c>
    </row>
    <row r="2774" spans="1:50">
      <c r="A2774">
        <v>175811</v>
      </c>
      <c r="B2774" t="str">
        <f>"036372026"</f>
        <v>036372026</v>
      </c>
      <c r="C2774" t="s">
        <v>50</v>
      </c>
      <c r="D2774" t="s">
        <v>5592</v>
      </c>
      <c r="E2774" t="s">
        <v>237</v>
      </c>
      <c r="F2774" t="s">
        <v>72</v>
      </c>
      <c r="G2774" t="s">
        <v>52</v>
      </c>
      <c r="H2774" t="str">
        <f>" "</f>
        <v xml:space="preserve"> </v>
      </c>
      <c r="M2774" t="s">
        <v>5593</v>
      </c>
      <c r="N2774" t="s">
        <v>146</v>
      </c>
      <c r="O2774" t="s">
        <v>147</v>
      </c>
      <c r="R2774" t="s">
        <v>57</v>
      </c>
      <c r="S2774">
        <v>13</v>
      </c>
      <c r="T2774">
        <v>180</v>
      </c>
      <c r="U2774" s="1">
        <v>35674</v>
      </c>
      <c r="V2774" t="s">
        <v>4509</v>
      </c>
      <c r="W2774" t="s">
        <v>4510</v>
      </c>
      <c r="X2774" t="s">
        <v>58</v>
      </c>
      <c r="Y2774">
        <v>18</v>
      </c>
      <c r="Z2774" t="s">
        <v>59</v>
      </c>
      <c r="AA2774" t="s">
        <v>59</v>
      </c>
      <c r="AB2774" t="s">
        <v>59</v>
      </c>
      <c r="AC2774" t="s">
        <v>59</v>
      </c>
      <c r="AD2774" t="s">
        <v>59</v>
      </c>
      <c r="AF2774" s="1">
        <v>35674</v>
      </c>
      <c r="AG2774" t="s">
        <v>125</v>
      </c>
      <c r="AH2774" t="s">
        <v>126</v>
      </c>
      <c r="AI2774" t="str">
        <f>"3202030"</f>
        <v>3202030</v>
      </c>
      <c r="AJ2774" t="s">
        <v>4558</v>
      </c>
      <c r="AK2774">
        <v>2842028751</v>
      </c>
      <c r="AL2774" t="s">
        <v>4559</v>
      </c>
      <c r="AM2774" t="s">
        <v>4513</v>
      </c>
      <c r="AN2774" t="s">
        <v>4519</v>
      </c>
      <c r="AO2774" t="s">
        <v>4519</v>
      </c>
      <c r="AP2774" t="s">
        <v>4519</v>
      </c>
      <c r="AQ2774">
        <v>4</v>
      </c>
      <c r="AR2774" t="s">
        <v>4509</v>
      </c>
      <c r="AS2774" t="s">
        <v>4510</v>
      </c>
      <c r="AT2774" t="s">
        <v>58</v>
      </c>
      <c r="AU2774" t="s">
        <v>68</v>
      </c>
      <c r="AV2774" t="s">
        <v>69</v>
      </c>
      <c r="AW2774" s="1">
        <v>24286</v>
      </c>
      <c r="AX2774">
        <v>2</v>
      </c>
    </row>
    <row r="2775" spans="1:50">
      <c r="A2775">
        <v>221835</v>
      </c>
      <c r="B2775" t="str">
        <f>"049378554"</f>
        <v>049378554</v>
      </c>
      <c r="C2775" t="s">
        <v>105</v>
      </c>
      <c r="D2775" t="s">
        <v>4286</v>
      </c>
      <c r="E2775" t="s">
        <v>99</v>
      </c>
      <c r="F2775" t="s">
        <v>166</v>
      </c>
      <c r="G2775" t="s">
        <v>191</v>
      </c>
      <c r="H2775" t="str">
        <f>" "</f>
        <v xml:space="preserve"> </v>
      </c>
      <c r="J2775">
        <v>2841083239</v>
      </c>
      <c r="K2775">
        <v>6972891316</v>
      </c>
      <c r="M2775" t="s">
        <v>5594</v>
      </c>
      <c r="N2775" t="s">
        <v>157</v>
      </c>
      <c r="O2775" t="s">
        <v>158</v>
      </c>
      <c r="R2775" t="s">
        <v>57</v>
      </c>
      <c r="S2775">
        <v>7</v>
      </c>
      <c r="T2775">
        <v>775</v>
      </c>
      <c r="U2775" s="1">
        <v>39680</v>
      </c>
      <c r="V2775" t="s">
        <v>4509</v>
      </c>
      <c r="W2775" t="s">
        <v>4510</v>
      </c>
      <c r="X2775" t="s">
        <v>58</v>
      </c>
      <c r="Y2775">
        <v>21</v>
      </c>
      <c r="Z2775" t="s">
        <v>59</v>
      </c>
      <c r="AA2775" t="s">
        <v>59</v>
      </c>
      <c r="AB2775" t="s">
        <v>59</v>
      </c>
      <c r="AC2775" t="s">
        <v>59</v>
      </c>
      <c r="AD2775" t="s">
        <v>59</v>
      </c>
      <c r="AF2775" s="1">
        <v>39692</v>
      </c>
      <c r="AG2775" t="s">
        <v>148</v>
      </c>
      <c r="AH2775" t="s">
        <v>149</v>
      </c>
      <c r="AI2775" t="str">
        <f>"3251010"</f>
        <v>3251010</v>
      </c>
      <c r="AJ2775" t="s">
        <v>4646</v>
      </c>
      <c r="AK2775">
        <v>2841023649</v>
      </c>
      <c r="AL2775" t="s">
        <v>4647</v>
      </c>
      <c r="AM2775" t="s">
        <v>4513</v>
      </c>
      <c r="AN2775" t="s">
        <v>4514</v>
      </c>
      <c r="AO2775" t="s">
        <v>4514</v>
      </c>
      <c r="AP2775" t="s">
        <v>4514</v>
      </c>
      <c r="AQ2775">
        <v>1</v>
      </c>
      <c r="AR2775" t="s">
        <v>4509</v>
      </c>
      <c r="AS2775" t="s">
        <v>4510</v>
      </c>
      <c r="AT2775" t="s">
        <v>58</v>
      </c>
      <c r="AU2775" t="s">
        <v>68</v>
      </c>
      <c r="AV2775" t="s">
        <v>69</v>
      </c>
      <c r="AW2775" s="1">
        <v>27908</v>
      </c>
      <c r="AX2775">
        <v>2</v>
      </c>
    </row>
    <row r="2776" spans="1:50">
      <c r="A2776">
        <v>205933</v>
      </c>
      <c r="B2776" t="str">
        <f>"110275762"</f>
        <v>110275762</v>
      </c>
      <c r="C2776" t="s">
        <v>50</v>
      </c>
      <c r="D2776" t="s">
        <v>5595</v>
      </c>
      <c r="E2776" t="s">
        <v>396</v>
      </c>
      <c r="F2776" t="s">
        <v>2227</v>
      </c>
      <c r="G2776" t="s">
        <v>191</v>
      </c>
      <c r="H2776" t="str">
        <f>" "</f>
        <v xml:space="preserve"> </v>
      </c>
      <c r="J2776">
        <v>2842080247</v>
      </c>
      <c r="K2776">
        <v>6972303124</v>
      </c>
      <c r="M2776" t="s">
        <v>5596</v>
      </c>
      <c r="N2776" t="s">
        <v>292</v>
      </c>
      <c r="O2776" t="s">
        <v>293</v>
      </c>
      <c r="R2776" t="s">
        <v>57</v>
      </c>
      <c r="S2776">
        <v>6</v>
      </c>
      <c r="T2776">
        <v>231</v>
      </c>
      <c r="U2776" s="1">
        <v>38230</v>
      </c>
      <c r="V2776" t="s">
        <v>4509</v>
      </c>
      <c r="W2776" t="s">
        <v>4510</v>
      </c>
      <c r="X2776" t="s">
        <v>58</v>
      </c>
      <c r="Y2776">
        <v>20</v>
      </c>
      <c r="Z2776" t="s">
        <v>59</v>
      </c>
      <c r="AA2776" t="s">
        <v>59</v>
      </c>
      <c r="AB2776" t="s">
        <v>59</v>
      </c>
      <c r="AC2776" t="s">
        <v>59</v>
      </c>
      <c r="AD2776" t="s">
        <v>59</v>
      </c>
      <c r="AF2776" s="1">
        <v>38231</v>
      </c>
      <c r="AG2776" t="s">
        <v>148</v>
      </c>
      <c r="AH2776" t="s">
        <v>149</v>
      </c>
      <c r="AI2776" t="str">
        <f>"3260015"</f>
        <v>3260015</v>
      </c>
      <c r="AJ2776" t="s">
        <v>4764</v>
      </c>
      <c r="AK2776">
        <v>2843051787</v>
      </c>
      <c r="AL2776" t="s">
        <v>4765</v>
      </c>
      <c r="AM2776" t="s">
        <v>4513</v>
      </c>
      <c r="AN2776" t="s">
        <v>4519</v>
      </c>
      <c r="AO2776" t="s">
        <v>4766</v>
      </c>
      <c r="AP2776" t="s">
        <v>4767</v>
      </c>
      <c r="AQ2776">
        <v>5</v>
      </c>
      <c r="AR2776" t="s">
        <v>4509</v>
      </c>
      <c r="AS2776" t="s">
        <v>4510</v>
      </c>
      <c r="AT2776" t="s">
        <v>58</v>
      </c>
      <c r="AU2776" t="s">
        <v>68</v>
      </c>
      <c r="AV2776" t="s">
        <v>69</v>
      </c>
      <c r="AW2776" s="1">
        <v>28440</v>
      </c>
      <c r="AX2776">
        <v>2</v>
      </c>
    </row>
    <row r="2777" spans="1:50">
      <c r="A2777">
        <v>185533</v>
      </c>
      <c r="B2777" t="str">
        <f>"040181869"</f>
        <v>040181869</v>
      </c>
      <c r="C2777" t="s">
        <v>105</v>
      </c>
      <c r="D2777" t="s">
        <v>5597</v>
      </c>
      <c r="E2777" t="s">
        <v>72</v>
      </c>
      <c r="F2777" t="s">
        <v>166</v>
      </c>
      <c r="G2777" t="s">
        <v>83</v>
      </c>
      <c r="H2777" t="str">
        <f>"Αρκαδίου 32 ΣΗΤΕΙΑΣ ΛΑΣΙΘΙΟΥ"</f>
        <v>Αρκαδίου 32 ΣΗΤΕΙΑΣ ΛΑΣΙΘΙΟΥ</v>
      </c>
      <c r="I2777">
        <v>72300</v>
      </c>
      <c r="J2777">
        <v>2843026509</v>
      </c>
      <c r="M2777" t="s">
        <v>5598</v>
      </c>
      <c r="N2777" t="s">
        <v>176</v>
      </c>
      <c r="O2777" t="s">
        <v>177</v>
      </c>
      <c r="R2777" t="s">
        <v>57</v>
      </c>
      <c r="S2777">
        <v>13</v>
      </c>
      <c r="T2777">
        <v>184</v>
      </c>
      <c r="U2777" s="1">
        <v>34941</v>
      </c>
      <c r="V2777" t="s">
        <v>4509</v>
      </c>
      <c r="W2777" t="s">
        <v>4510</v>
      </c>
      <c r="X2777" t="s">
        <v>58</v>
      </c>
      <c r="Y2777">
        <v>18</v>
      </c>
      <c r="Z2777" t="s">
        <v>59</v>
      </c>
      <c r="AA2777" t="s">
        <v>59</v>
      </c>
      <c r="AB2777" t="s">
        <v>59</v>
      </c>
      <c r="AC2777" t="s">
        <v>59</v>
      </c>
      <c r="AD2777" t="s">
        <v>59</v>
      </c>
      <c r="AF2777" s="1">
        <v>36409</v>
      </c>
      <c r="AG2777" t="s">
        <v>125</v>
      </c>
      <c r="AH2777" t="s">
        <v>126</v>
      </c>
      <c r="AI2777" t="str">
        <f>"3204020"</f>
        <v>3204020</v>
      </c>
      <c r="AJ2777" t="s">
        <v>4632</v>
      </c>
      <c r="AK2777">
        <v>2843023923</v>
      </c>
      <c r="AL2777" t="s">
        <v>4633</v>
      </c>
      <c r="AM2777" t="s">
        <v>4513</v>
      </c>
      <c r="AN2777" t="s">
        <v>4540</v>
      </c>
      <c r="AO2777" t="s">
        <v>4540</v>
      </c>
      <c r="AP2777" t="s">
        <v>4540</v>
      </c>
      <c r="AQ2777">
        <v>6</v>
      </c>
      <c r="AR2777" t="s">
        <v>4509</v>
      </c>
      <c r="AS2777" t="s">
        <v>4510</v>
      </c>
      <c r="AT2777" t="s">
        <v>58</v>
      </c>
      <c r="AU2777" t="s">
        <v>68</v>
      </c>
      <c r="AV2777" t="s">
        <v>69</v>
      </c>
      <c r="AW2777" s="1">
        <v>23698</v>
      </c>
      <c r="AX2777">
        <v>2</v>
      </c>
    </row>
    <row r="2778" spans="1:50">
      <c r="A2778">
        <v>185534</v>
      </c>
      <c r="B2778" t="str">
        <f>"036511461"</f>
        <v>036511461</v>
      </c>
      <c r="C2778" t="s">
        <v>105</v>
      </c>
      <c r="D2778" t="s">
        <v>5597</v>
      </c>
      <c r="E2778" t="s">
        <v>106</v>
      </c>
      <c r="F2778" t="s">
        <v>99</v>
      </c>
      <c r="G2778" t="s">
        <v>787</v>
      </c>
      <c r="H2778" t="str">
        <f>"Επιμενιδου 5 ΣΗΤΕΙΑ"</f>
        <v>Επιμενιδου 5 ΣΗΤΕΙΑ</v>
      </c>
      <c r="I2778">
        <v>72300</v>
      </c>
      <c r="J2778">
        <v>2843500598</v>
      </c>
      <c r="K2778">
        <v>6972890971</v>
      </c>
      <c r="M2778" t="s">
        <v>5599</v>
      </c>
      <c r="N2778" t="s">
        <v>176</v>
      </c>
      <c r="O2778" t="s">
        <v>177</v>
      </c>
      <c r="R2778" t="s">
        <v>57</v>
      </c>
      <c r="S2778">
        <v>13</v>
      </c>
      <c r="T2778">
        <v>184</v>
      </c>
      <c r="U2778" s="1">
        <v>34941</v>
      </c>
      <c r="V2778" t="s">
        <v>4509</v>
      </c>
      <c r="W2778" t="s">
        <v>4510</v>
      </c>
      <c r="X2778" t="s">
        <v>58</v>
      </c>
      <c r="Y2778">
        <v>18</v>
      </c>
      <c r="Z2778" t="s">
        <v>59</v>
      </c>
      <c r="AA2778" t="s">
        <v>59</v>
      </c>
      <c r="AB2778" t="s">
        <v>59</v>
      </c>
      <c r="AC2778" t="s">
        <v>59</v>
      </c>
      <c r="AD2778" t="s">
        <v>59</v>
      </c>
      <c r="AF2778" s="1">
        <v>34943</v>
      </c>
      <c r="AG2778" t="s">
        <v>125</v>
      </c>
      <c r="AH2778" t="s">
        <v>126</v>
      </c>
      <c r="AI2778" t="str">
        <f>"3204010"</f>
        <v>3204010</v>
      </c>
      <c r="AJ2778" t="s">
        <v>4542</v>
      </c>
      <c r="AK2778">
        <v>2843022503</v>
      </c>
      <c r="AL2778" t="s">
        <v>4543</v>
      </c>
      <c r="AM2778" t="s">
        <v>4513</v>
      </c>
      <c r="AN2778" t="s">
        <v>4540</v>
      </c>
      <c r="AO2778" t="s">
        <v>4540</v>
      </c>
      <c r="AP2778" t="s">
        <v>4540</v>
      </c>
      <c r="AQ2778">
        <v>6</v>
      </c>
      <c r="AR2778" t="s">
        <v>4509</v>
      </c>
      <c r="AS2778" t="s">
        <v>4510</v>
      </c>
      <c r="AT2778" t="s">
        <v>58</v>
      </c>
      <c r="AU2778" t="s">
        <v>68</v>
      </c>
      <c r="AV2778" t="s">
        <v>69</v>
      </c>
      <c r="AW2778" s="1">
        <v>23036</v>
      </c>
      <c r="AX2778">
        <v>2</v>
      </c>
    </row>
    <row r="2779" spans="1:50">
      <c r="A2779">
        <v>703953</v>
      </c>
      <c r="B2779" t="str">
        <f>"107252159"</f>
        <v>107252159</v>
      </c>
      <c r="C2779" t="s">
        <v>105</v>
      </c>
      <c r="D2779" t="s">
        <v>5600</v>
      </c>
      <c r="E2779" t="s">
        <v>5601</v>
      </c>
      <c r="F2779" t="s">
        <v>53</v>
      </c>
      <c r="G2779" t="s">
        <v>255</v>
      </c>
      <c r="H2779" t="str">
        <f>"ΧΩΡΑ ΝΑΞΟΣ"</f>
        <v>ΧΩΡΑ ΝΑΞΟΣ</v>
      </c>
      <c r="I2779">
        <v>84300</v>
      </c>
      <c r="J2779">
        <v>2285023654</v>
      </c>
      <c r="K2779">
        <v>6944556325</v>
      </c>
      <c r="N2779" t="s">
        <v>176</v>
      </c>
      <c r="O2779" t="s">
        <v>177</v>
      </c>
      <c r="R2779" t="s">
        <v>57</v>
      </c>
      <c r="S2779">
        <v>1</v>
      </c>
      <c r="T2779" t="s">
        <v>3204</v>
      </c>
      <c r="U2779" s="1">
        <v>40413</v>
      </c>
      <c r="V2779" t="s">
        <v>4509</v>
      </c>
      <c r="W2779" t="s">
        <v>4510</v>
      </c>
      <c r="X2779" t="s">
        <v>58</v>
      </c>
      <c r="Y2779">
        <v>21</v>
      </c>
      <c r="Z2779" t="s">
        <v>59</v>
      </c>
      <c r="AA2779" t="s">
        <v>59</v>
      </c>
      <c r="AB2779" t="s">
        <v>59</v>
      </c>
      <c r="AC2779" t="s">
        <v>59</v>
      </c>
      <c r="AD2779" t="s">
        <v>59</v>
      </c>
      <c r="AF2779" s="1">
        <v>42716</v>
      </c>
      <c r="AG2779" t="s">
        <v>148</v>
      </c>
      <c r="AH2779" t="s">
        <v>149</v>
      </c>
      <c r="AI2779" t="str">
        <f>"3252020"</f>
        <v>3252020</v>
      </c>
      <c r="AJ2779" t="s">
        <v>4638</v>
      </c>
      <c r="AK2779">
        <v>2842022379</v>
      </c>
      <c r="AL2779" t="s">
        <v>4639</v>
      </c>
      <c r="AM2779" t="s">
        <v>4513</v>
      </c>
      <c r="AN2779" t="s">
        <v>4519</v>
      </c>
      <c r="AO2779" t="s">
        <v>4519</v>
      </c>
      <c r="AP2779" t="s">
        <v>4519</v>
      </c>
      <c r="AQ2779">
        <v>4</v>
      </c>
      <c r="AR2779" t="s">
        <v>4509</v>
      </c>
      <c r="AS2779" t="s">
        <v>4510</v>
      </c>
      <c r="AT2779" t="s">
        <v>58</v>
      </c>
      <c r="AU2779" t="s">
        <v>68</v>
      </c>
      <c r="AV2779" t="s">
        <v>132</v>
      </c>
      <c r="AW2779" s="1">
        <v>27395</v>
      </c>
      <c r="AX2779">
        <v>2</v>
      </c>
    </row>
    <row r="2780" spans="1:50">
      <c r="A2780">
        <v>211205</v>
      </c>
      <c r="B2780" t="str">
        <f>"076495463"</f>
        <v>076495463</v>
      </c>
      <c r="C2780" t="s">
        <v>50</v>
      </c>
      <c r="D2780" t="s">
        <v>5602</v>
      </c>
      <c r="E2780" t="s">
        <v>5603</v>
      </c>
      <c r="F2780" t="s">
        <v>5604</v>
      </c>
      <c r="G2780" t="s">
        <v>5605</v>
      </c>
      <c r="H2780" t="str">
        <f>"ΡΗΓΑ ΦΕΡΑΙΟΥ 18Α ΣΗΤΕΙΑ ΚΡΗΤΗ"</f>
        <v>ΡΗΓΑ ΦΕΡΑΙΟΥ 18Α ΣΗΤΕΙΑ ΚΡΗΤΗ</v>
      </c>
      <c r="I2780">
        <v>72300</v>
      </c>
      <c r="J2780">
        <v>2843023383</v>
      </c>
      <c r="K2780">
        <v>6945912819</v>
      </c>
      <c r="M2780" t="s">
        <v>5606</v>
      </c>
      <c r="N2780" t="s">
        <v>288</v>
      </c>
      <c r="O2780" t="s">
        <v>289</v>
      </c>
      <c r="R2780" t="s">
        <v>57</v>
      </c>
      <c r="S2780">
        <v>10</v>
      </c>
      <c r="T2780">
        <v>293</v>
      </c>
      <c r="U2780" s="1">
        <v>38665</v>
      </c>
      <c r="V2780" t="s">
        <v>4509</v>
      </c>
      <c r="W2780" t="s">
        <v>4510</v>
      </c>
      <c r="X2780" t="s">
        <v>58</v>
      </c>
      <c r="Y2780">
        <v>20</v>
      </c>
      <c r="Z2780" t="s">
        <v>59</v>
      </c>
      <c r="AA2780" t="s">
        <v>59</v>
      </c>
      <c r="AB2780" t="s">
        <v>59</v>
      </c>
      <c r="AC2780" t="s">
        <v>59</v>
      </c>
      <c r="AD2780" t="s">
        <v>59</v>
      </c>
      <c r="AF2780" s="1">
        <v>38665</v>
      </c>
      <c r="AG2780" t="s">
        <v>125</v>
      </c>
      <c r="AH2780" t="s">
        <v>126</v>
      </c>
      <c r="AI2780" t="str">
        <f>"3204010"</f>
        <v>3204010</v>
      </c>
      <c r="AJ2780" t="s">
        <v>4542</v>
      </c>
      <c r="AK2780">
        <v>2843022503</v>
      </c>
      <c r="AL2780" t="s">
        <v>4543</v>
      </c>
      <c r="AM2780" t="s">
        <v>4513</v>
      </c>
      <c r="AN2780" t="s">
        <v>4540</v>
      </c>
      <c r="AO2780" t="s">
        <v>4540</v>
      </c>
      <c r="AP2780" t="s">
        <v>4540</v>
      </c>
      <c r="AQ2780">
        <v>6</v>
      </c>
      <c r="AR2780" t="s">
        <v>4509</v>
      </c>
      <c r="AS2780" t="s">
        <v>4510</v>
      </c>
      <c r="AT2780" t="s">
        <v>58</v>
      </c>
      <c r="AU2780" t="s">
        <v>68</v>
      </c>
      <c r="AV2780" t="s">
        <v>69</v>
      </c>
      <c r="AW2780" s="1">
        <v>25996</v>
      </c>
      <c r="AX2780">
        <v>2</v>
      </c>
    </row>
    <row r="2781" spans="1:50">
      <c r="A2781">
        <v>702333</v>
      </c>
      <c r="B2781" t="str">
        <f>"124021017"</f>
        <v>124021017</v>
      </c>
      <c r="C2781" t="s">
        <v>50</v>
      </c>
      <c r="D2781" t="s">
        <v>4296</v>
      </c>
      <c r="E2781" t="s">
        <v>1019</v>
      </c>
      <c r="F2781" t="s">
        <v>53</v>
      </c>
      <c r="G2781" t="s">
        <v>52</v>
      </c>
      <c r="H2781" t="str">
        <f>"ΚΥΠΡΟΥ 36 ΙΕΡΑΠΕΤΡΑ"</f>
        <v>ΚΥΠΡΟΥ 36 ΙΕΡΑΠΕΤΡΑ</v>
      </c>
      <c r="I2781">
        <v>72200</v>
      </c>
      <c r="J2781">
        <v>2842022754</v>
      </c>
      <c r="K2781">
        <v>6973005703</v>
      </c>
      <c r="M2781" t="s">
        <v>5607</v>
      </c>
      <c r="N2781" t="s">
        <v>1116</v>
      </c>
      <c r="O2781" t="s">
        <v>1117</v>
      </c>
      <c r="P2781" t="s">
        <v>146</v>
      </c>
      <c r="Q2781" t="s">
        <v>147</v>
      </c>
      <c r="R2781" t="s">
        <v>57</v>
      </c>
      <c r="S2781">
        <v>6</v>
      </c>
      <c r="T2781">
        <v>772</v>
      </c>
      <c r="U2781" s="1">
        <v>40413</v>
      </c>
      <c r="V2781" t="s">
        <v>4509</v>
      </c>
      <c r="W2781" t="s">
        <v>4510</v>
      </c>
      <c r="X2781" t="s">
        <v>58</v>
      </c>
      <c r="Y2781">
        <v>21</v>
      </c>
      <c r="Z2781" t="s">
        <v>59</v>
      </c>
      <c r="AA2781" t="s">
        <v>59</v>
      </c>
      <c r="AB2781" t="s">
        <v>59</v>
      </c>
      <c r="AC2781" t="s">
        <v>59</v>
      </c>
      <c r="AD2781" t="s">
        <v>59</v>
      </c>
      <c r="AF2781" s="1">
        <v>40413</v>
      </c>
      <c r="AG2781" t="s">
        <v>125</v>
      </c>
      <c r="AH2781" t="s">
        <v>126</v>
      </c>
      <c r="AI2781" t="str">
        <f>"3202010"</f>
        <v>3202010</v>
      </c>
      <c r="AJ2781" t="s">
        <v>4517</v>
      </c>
      <c r="AK2781">
        <v>2842028229</v>
      </c>
      <c r="AL2781" t="s">
        <v>4518</v>
      </c>
      <c r="AM2781" t="s">
        <v>4513</v>
      </c>
      <c r="AN2781" t="s">
        <v>4519</v>
      </c>
      <c r="AO2781" t="s">
        <v>4519</v>
      </c>
      <c r="AP2781" t="s">
        <v>4519</v>
      </c>
      <c r="AQ2781">
        <v>4</v>
      </c>
      <c r="AR2781" t="s">
        <v>4509</v>
      </c>
      <c r="AS2781" t="s">
        <v>4510</v>
      </c>
      <c r="AT2781" t="s">
        <v>58</v>
      </c>
      <c r="AU2781" t="s">
        <v>68</v>
      </c>
      <c r="AV2781" t="s">
        <v>69</v>
      </c>
      <c r="AW2781" s="1">
        <v>28919</v>
      </c>
      <c r="AX2781">
        <v>2</v>
      </c>
    </row>
    <row r="2782" spans="1:50">
      <c r="A2782">
        <v>185515</v>
      </c>
      <c r="B2782" t="str">
        <f>"050027886"</f>
        <v>050027886</v>
      </c>
      <c r="C2782" t="s">
        <v>50</v>
      </c>
      <c r="D2782" t="s">
        <v>5608</v>
      </c>
      <c r="E2782" t="s">
        <v>71</v>
      </c>
      <c r="F2782" t="s">
        <v>5609</v>
      </c>
      <c r="G2782" t="s">
        <v>787</v>
      </c>
      <c r="H2782" t="str">
        <f>"ΑΓΙΑ ΠΑΡΑΣΚΕΥΗ - ΚΑΛΛΙΘΕΑ ΙΕΡΑΠΕΤΡΑ"</f>
        <v>ΑΓΙΑ ΠΑΡΑΣΚΕΥΗ - ΚΑΛΛΙΘΕΑ ΙΕΡΑΠΕΤΡΑ</v>
      </c>
      <c r="I2782">
        <v>72200</v>
      </c>
      <c r="J2782">
        <v>2842023715</v>
      </c>
      <c r="K2782">
        <v>6977445117</v>
      </c>
      <c r="M2782" t="s">
        <v>5610</v>
      </c>
      <c r="N2782" t="s">
        <v>306</v>
      </c>
      <c r="O2782" t="s">
        <v>307</v>
      </c>
      <c r="R2782" t="s">
        <v>57</v>
      </c>
      <c r="S2782">
        <v>13</v>
      </c>
      <c r="T2782">
        <v>239</v>
      </c>
      <c r="U2782" s="1">
        <v>33969</v>
      </c>
      <c r="V2782" t="s">
        <v>4509</v>
      </c>
      <c r="W2782" t="s">
        <v>4510</v>
      </c>
      <c r="X2782" t="s">
        <v>58</v>
      </c>
      <c r="Y2782">
        <v>18</v>
      </c>
      <c r="Z2782" t="s">
        <v>59</v>
      </c>
      <c r="AA2782" t="s">
        <v>59</v>
      </c>
      <c r="AB2782" t="s">
        <v>59</v>
      </c>
      <c r="AC2782" t="s">
        <v>59</v>
      </c>
      <c r="AD2782" t="s">
        <v>59</v>
      </c>
      <c r="AF2782" s="1">
        <v>36404</v>
      </c>
      <c r="AG2782" t="s">
        <v>148</v>
      </c>
      <c r="AH2782" t="s">
        <v>149</v>
      </c>
      <c r="AI2782" t="str">
        <f>"3252010"</f>
        <v>3252010</v>
      </c>
      <c r="AJ2782" t="s">
        <v>4532</v>
      </c>
      <c r="AK2782">
        <v>2842022356</v>
      </c>
      <c r="AL2782" t="s">
        <v>4533</v>
      </c>
      <c r="AM2782" t="s">
        <v>4513</v>
      </c>
      <c r="AN2782" t="s">
        <v>4519</v>
      </c>
      <c r="AO2782" t="s">
        <v>4519</v>
      </c>
      <c r="AP2782" t="s">
        <v>4519</v>
      </c>
      <c r="AQ2782">
        <v>4</v>
      </c>
      <c r="AR2782" t="s">
        <v>4509</v>
      </c>
      <c r="AS2782" t="s">
        <v>4510</v>
      </c>
      <c r="AT2782" t="s">
        <v>58</v>
      </c>
      <c r="AU2782" t="s">
        <v>68</v>
      </c>
      <c r="AV2782" t="s">
        <v>69</v>
      </c>
      <c r="AW2782" s="1">
        <v>24524</v>
      </c>
      <c r="AX2782">
        <v>2</v>
      </c>
    </row>
    <row r="2783" spans="1:50">
      <c r="A2783">
        <v>208695</v>
      </c>
      <c r="B2783" t="str">
        <f>"024887670"</f>
        <v>024887670</v>
      </c>
      <c r="C2783" t="s">
        <v>105</v>
      </c>
      <c r="D2783" t="s">
        <v>5611</v>
      </c>
      <c r="E2783" t="s">
        <v>166</v>
      </c>
      <c r="F2783" t="s">
        <v>72</v>
      </c>
      <c r="G2783" t="s">
        <v>52</v>
      </c>
      <c r="H2783" t="str">
        <f>"ΣΤΑΥΡΑΚΑΚΗ 106 ΣΗΤΕΙΑ"</f>
        <v>ΣΤΑΥΡΑΚΑΚΗ 106 ΣΗΤΕΙΑ</v>
      </c>
      <c r="I2783">
        <v>72300</v>
      </c>
      <c r="J2783">
        <v>2843025649</v>
      </c>
      <c r="M2783" t="s">
        <v>5612</v>
      </c>
      <c r="N2783" t="s">
        <v>282</v>
      </c>
      <c r="O2783" t="s">
        <v>283</v>
      </c>
      <c r="R2783" t="s">
        <v>57</v>
      </c>
      <c r="S2783">
        <v>7</v>
      </c>
      <c r="T2783">
        <v>218</v>
      </c>
      <c r="U2783" s="1">
        <v>38596</v>
      </c>
      <c r="V2783" t="s">
        <v>4509</v>
      </c>
      <c r="W2783" t="s">
        <v>4510</v>
      </c>
      <c r="X2783" t="s">
        <v>58</v>
      </c>
      <c r="Y2783">
        <v>20</v>
      </c>
      <c r="Z2783" t="s">
        <v>59</v>
      </c>
      <c r="AA2783" t="s">
        <v>59</v>
      </c>
      <c r="AB2783" t="s">
        <v>59</v>
      </c>
      <c r="AC2783" t="s">
        <v>59</v>
      </c>
      <c r="AD2783" t="s">
        <v>59</v>
      </c>
      <c r="AF2783" s="1">
        <v>38596</v>
      </c>
      <c r="AG2783" t="s">
        <v>137</v>
      </c>
      <c r="AH2783" t="s">
        <v>138</v>
      </c>
      <c r="AI2783" t="str">
        <f>"3240020"</f>
        <v>3240020</v>
      </c>
      <c r="AJ2783" t="s">
        <v>4568</v>
      </c>
      <c r="AK2783">
        <v>2843028570</v>
      </c>
      <c r="AL2783" t="s">
        <v>4569</v>
      </c>
      <c r="AM2783" t="s">
        <v>4513</v>
      </c>
      <c r="AN2783" t="s">
        <v>4540</v>
      </c>
      <c r="AO2783" t="s">
        <v>4540</v>
      </c>
      <c r="AP2783" t="s">
        <v>4540</v>
      </c>
      <c r="AQ2783">
        <v>6</v>
      </c>
      <c r="AR2783" t="s">
        <v>4509</v>
      </c>
      <c r="AS2783" t="s">
        <v>4510</v>
      </c>
      <c r="AT2783" t="s">
        <v>58</v>
      </c>
      <c r="AU2783" t="s">
        <v>68</v>
      </c>
      <c r="AV2783" t="s">
        <v>69</v>
      </c>
      <c r="AW2783" s="1">
        <v>18887</v>
      </c>
      <c r="AX2783">
        <v>2</v>
      </c>
    </row>
    <row r="2784" spans="1:50">
      <c r="A2784">
        <v>175817</v>
      </c>
      <c r="B2784" t="str">
        <f>"031771478"</f>
        <v>031771478</v>
      </c>
      <c r="C2784" t="s">
        <v>105</v>
      </c>
      <c r="D2784" t="s">
        <v>4332</v>
      </c>
      <c r="E2784" t="s">
        <v>95</v>
      </c>
      <c r="F2784" t="s">
        <v>166</v>
      </c>
      <c r="G2784" t="s">
        <v>2406</v>
      </c>
      <c r="H2784" t="str">
        <f>"ΜΑΚΡΥ ΓΙΑΛΟΣ ΜΑΚΡΥ ΓΙΑΛΟΣ"</f>
        <v>ΜΑΚΡΥ ΓΙΑΛΟΣ ΜΑΚΡΥ ΓΙΑΛΟΣ</v>
      </c>
      <c r="I2784">
        <v>72055</v>
      </c>
      <c r="J2784">
        <v>2843052039</v>
      </c>
      <c r="K2784">
        <v>6978055006</v>
      </c>
      <c r="M2784" t="s">
        <v>5613</v>
      </c>
      <c r="N2784" t="s">
        <v>146</v>
      </c>
      <c r="O2784" t="s">
        <v>147</v>
      </c>
      <c r="R2784" t="s">
        <v>57</v>
      </c>
      <c r="S2784">
        <v>16</v>
      </c>
      <c r="T2784">
        <v>180</v>
      </c>
      <c r="U2784" s="1">
        <v>35674</v>
      </c>
      <c r="V2784" t="s">
        <v>4509</v>
      </c>
      <c r="W2784" t="s">
        <v>4510</v>
      </c>
      <c r="X2784" t="s">
        <v>58</v>
      </c>
      <c r="Y2784">
        <v>18</v>
      </c>
      <c r="Z2784" t="s">
        <v>59</v>
      </c>
      <c r="AA2784" t="s">
        <v>59</v>
      </c>
      <c r="AB2784" t="s">
        <v>59</v>
      </c>
      <c r="AC2784" t="s">
        <v>59</v>
      </c>
      <c r="AD2784" t="s">
        <v>59</v>
      </c>
      <c r="AF2784" s="1">
        <v>35674</v>
      </c>
      <c r="AG2784" t="s">
        <v>125</v>
      </c>
      <c r="AH2784" t="s">
        <v>126</v>
      </c>
      <c r="AI2784" t="str">
        <f>"3210015"</f>
        <v>3210015</v>
      </c>
      <c r="AJ2784" t="s">
        <v>4875</v>
      </c>
      <c r="AK2784">
        <v>2843051800</v>
      </c>
      <c r="AL2784" t="s">
        <v>4876</v>
      </c>
      <c r="AM2784" t="s">
        <v>4513</v>
      </c>
      <c r="AN2784" t="s">
        <v>4519</v>
      </c>
      <c r="AO2784" t="s">
        <v>4766</v>
      </c>
      <c r="AP2784" t="s">
        <v>4767</v>
      </c>
      <c r="AQ2784">
        <v>5</v>
      </c>
      <c r="AR2784" t="s">
        <v>4509</v>
      </c>
      <c r="AS2784" t="s">
        <v>4510</v>
      </c>
      <c r="AT2784" t="s">
        <v>58</v>
      </c>
      <c r="AU2784" t="s">
        <v>68</v>
      </c>
      <c r="AV2784" t="s">
        <v>69</v>
      </c>
      <c r="AW2784" s="1">
        <v>23089</v>
      </c>
      <c r="AX2784">
        <v>2</v>
      </c>
    </row>
    <row r="2785" spans="1:50">
      <c r="A2785">
        <v>192424</v>
      </c>
      <c r="B2785" t="str">
        <f>"037036540"</f>
        <v>037036540</v>
      </c>
      <c r="C2785" t="s">
        <v>105</v>
      </c>
      <c r="D2785" t="s">
        <v>4332</v>
      </c>
      <c r="E2785" t="s">
        <v>72</v>
      </c>
      <c r="F2785" t="s">
        <v>166</v>
      </c>
      <c r="G2785" t="s">
        <v>494</v>
      </c>
      <c r="H2785" t="str">
        <f>"Ι ΚΟΝΔΥΛΑΚΗ       16 ΙΕΡΑΠΕΤΡΑ"</f>
        <v>Ι ΚΟΝΔΥΛΑΚΗ       16 ΙΕΡΑΠΕΤΡΑ</v>
      </c>
      <c r="I2785">
        <v>72200</v>
      </c>
      <c r="J2785">
        <v>2842026755</v>
      </c>
      <c r="K2785">
        <v>6944661155</v>
      </c>
      <c r="L2785">
        <v>6944661155</v>
      </c>
      <c r="M2785" t="s">
        <v>5614</v>
      </c>
      <c r="N2785" t="s">
        <v>176</v>
      </c>
      <c r="O2785" t="s">
        <v>177</v>
      </c>
      <c r="R2785" t="s">
        <v>57</v>
      </c>
      <c r="S2785">
        <v>13</v>
      </c>
      <c r="T2785">
        <v>184</v>
      </c>
      <c r="U2785" s="1">
        <v>34941</v>
      </c>
      <c r="V2785" t="s">
        <v>4509</v>
      </c>
      <c r="W2785" t="s">
        <v>4510</v>
      </c>
      <c r="X2785" t="s">
        <v>58</v>
      </c>
      <c r="Y2785">
        <v>18</v>
      </c>
      <c r="Z2785" t="s">
        <v>59</v>
      </c>
      <c r="AA2785" t="s">
        <v>59</v>
      </c>
      <c r="AB2785" t="s">
        <v>59</v>
      </c>
      <c r="AC2785" t="s">
        <v>59</v>
      </c>
      <c r="AD2785" t="s">
        <v>59</v>
      </c>
      <c r="AF2785" s="1">
        <v>34943</v>
      </c>
      <c r="AG2785" t="s">
        <v>125</v>
      </c>
      <c r="AH2785" t="s">
        <v>126</v>
      </c>
      <c r="AI2785" t="str">
        <f>"3202030"</f>
        <v>3202030</v>
      </c>
      <c r="AJ2785" t="s">
        <v>4558</v>
      </c>
      <c r="AK2785">
        <v>2842028751</v>
      </c>
      <c r="AL2785" t="s">
        <v>4559</v>
      </c>
      <c r="AM2785" t="s">
        <v>4513</v>
      </c>
      <c r="AN2785" t="s">
        <v>4519</v>
      </c>
      <c r="AO2785" t="s">
        <v>4519</v>
      </c>
      <c r="AP2785" t="s">
        <v>4519</v>
      </c>
      <c r="AQ2785">
        <v>4</v>
      </c>
      <c r="AR2785" t="s">
        <v>4509</v>
      </c>
      <c r="AS2785" t="s">
        <v>4510</v>
      </c>
      <c r="AT2785" t="s">
        <v>58</v>
      </c>
      <c r="AU2785" t="s">
        <v>68</v>
      </c>
      <c r="AV2785" t="s">
        <v>69</v>
      </c>
      <c r="AW2785" s="1">
        <v>23772</v>
      </c>
      <c r="AX2785">
        <v>2</v>
      </c>
    </row>
    <row r="2786" spans="1:50">
      <c r="A2786">
        <v>199181</v>
      </c>
      <c r="B2786" t="str">
        <f>"072836074"</f>
        <v>072836074</v>
      </c>
      <c r="C2786" t="s">
        <v>105</v>
      </c>
      <c r="D2786" t="s">
        <v>4332</v>
      </c>
      <c r="E2786" t="s">
        <v>92</v>
      </c>
      <c r="F2786" t="s">
        <v>166</v>
      </c>
      <c r="G2786" t="s">
        <v>5615</v>
      </c>
      <c r="H2786" t="str">
        <f>"ΜΑΚΡΥ ΓΙΑΛΟΣ ΜΑΚΡΥ ΓΙΑΛΟΣ"</f>
        <v>ΜΑΚΡΥ ΓΙΑΛΟΣ ΜΑΚΡΥ ΓΙΑΛΟΣ</v>
      </c>
      <c r="I2786">
        <v>72055</v>
      </c>
      <c r="J2786">
        <v>2843026011</v>
      </c>
      <c r="K2786">
        <v>6978091755</v>
      </c>
      <c r="M2786" t="s">
        <v>5109</v>
      </c>
      <c r="N2786" t="s">
        <v>176</v>
      </c>
      <c r="O2786" t="s">
        <v>177</v>
      </c>
      <c r="R2786" t="s">
        <v>57</v>
      </c>
      <c r="S2786">
        <v>8</v>
      </c>
      <c r="T2786">
        <v>206</v>
      </c>
      <c r="U2786" s="1">
        <v>37866</v>
      </c>
      <c r="V2786" t="s">
        <v>4509</v>
      </c>
      <c r="W2786" t="s">
        <v>4510</v>
      </c>
      <c r="X2786" t="s">
        <v>58</v>
      </c>
      <c r="Y2786">
        <v>20</v>
      </c>
      <c r="Z2786" t="s">
        <v>59</v>
      </c>
      <c r="AA2786" t="s">
        <v>59</v>
      </c>
      <c r="AB2786" t="s">
        <v>59</v>
      </c>
      <c r="AC2786" t="s">
        <v>59</v>
      </c>
      <c r="AD2786" t="s">
        <v>59</v>
      </c>
      <c r="AF2786" s="1">
        <v>37866</v>
      </c>
      <c r="AG2786" t="s">
        <v>125</v>
      </c>
      <c r="AH2786" t="s">
        <v>126</v>
      </c>
      <c r="AI2786" t="str">
        <f>"3210015"</f>
        <v>3210015</v>
      </c>
      <c r="AJ2786" t="s">
        <v>4875</v>
      </c>
      <c r="AK2786">
        <v>2843051800</v>
      </c>
      <c r="AL2786" t="s">
        <v>4876</v>
      </c>
      <c r="AM2786" t="s">
        <v>4513</v>
      </c>
      <c r="AN2786" t="s">
        <v>4519</v>
      </c>
      <c r="AO2786" t="s">
        <v>4766</v>
      </c>
      <c r="AP2786" t="s">
        <v>4767</v>
      </c>
      <c r="AQ2786">
        <v>5</v>
      </c>
      <c r="AR2786" t="s">
        <v>4509</v>
      </c>
      <c r="AS2786" t="s">
        <v>4510</v>
      </c>
      <c r="AT2786" t="s">
        <v>58</v>
      </c>
      <c r="AU2786" t="s">
        <v>68</v>
      </c>
      <c r="AV2786" t="s">
        <v>69</v>
      </c>
      <c r="AW2786" s="1">
        <v>25045</v>
      </c>
      <c r="AX2786">
        <v>2</v>
      </c>
    </row>
    <row r="2787" spans="1:50">
      <c r="A2787">
        <v>197602</v>
      </c>
      <c r="B2787" t="str">
        <f>"057455994"</f>
        <v>057455994</v>
      </c>
      <c r="C2787" t="s">
        <v>50</v>
      </c>
      <c r="D2787" t="s">
        <v>4343</v>
      </c>
      <c r="E2787" t="s">
        <v>215</v>
      </c>
      <c r="F2787" t="s">
        <v>4097</v>
      </c>
      <c r="G2787" t="s">
        <v>4127</v>
      </c>
      <c r="H2787" t="str">
        <f>"ΔΙΟΝΥΣΟΥ 5 "</f>
        <v xml:space="preserve">ΔΙΟΝΥΣΟΥ 5 </v>
      </c>
      <c r="I2787">
        <v>72100</v>
      </c>
      <c r="J2787">
        <v>2841024261</v>
      </c>
      <c r="K2787">
        <v>6978385877</v>
      </c>
      <c r="M2787" t="s">
        <v>5616</v>
      </c>
      <c r="N2787" t="s">
        <v>146</v>
      </c>
      <c r="O2787" t="s">
        <v>147</v>
      </c>
      <c r="R2787" t="s">
        <v>57</v>
      </c>
      <c r="S2787">
        <v>7</v>
      </c>
      <c r="T2787">
        <v>206</v>
      </c>
      <c r="U2787" s="1">
        <v>37866</v>
      </c>
      <c r="V2787" t="s">
        <v>4509</v>
      </c>
      <c r="W2787" t="s">
        <v>4510</v>
      </c>
      <c r="X2787" t="s">
        <v>58</v>
      </c>
      <c r="Y2787">
        <v>20</v>
      </c>
      <c r="Z2787" t="s">
        <v>59</v>
      </c>
      <c r="AA2787" t="s">
        <v>59</v>
      </c>
      <c r="AB2787" t="s">
        <v>59</v>
      </c>
      <c r="AC2787" t="s">
        <v>59</v>
      </c>
      <c r="AD2787" t="s">
        <v>59</v>
      </c>
      <c r="AF2787" s="1">
        <v>37867</v>
      </c>
      <c r="AG2787" t="s">
        <v>125</v>
      </c>
      <c r="AH2787" t="s">
        <v>126</v>
      </c>
      <c r="AI2787" t="str">
        <f>"3201025"</f>
        <v>3201025</v>
      </c>
      <c r="AJ2787" t="s">
        <v>4682</v>
      </c>
      <c r="AK2787">
        <v>2841021388</v>
      </c>
      <c r="AL2787" t="s">
        <v>4683</v>
      </c>
      <c r="AM2787" t="s">
        <v>4513</v>
      </c>
      <c r="AN2787" t="s">
        <v>4514</v>
      </c>
      <c r="AO2787" t="s">
        <v>4514</v>
      </c>
      <c r="AP2787" t="s">
        <v>4514</v>
      </c>
      <c r="AQ2787">
        <v>1</v>
      </c>
      <c r="AR2787" t="s">
        <v>4509</v>
      </c>
      <c r="AS2787" t="s">
        <v>4510</v>
      </c>
      <c r="AT2787" t="s">
        <v>58</v>
      </c>
      <c r="AU2787" t="s">
        <v>68</v>
      </c>
      <c r="AV2787" t="s">
        <v>69</v>
      </c>
      <c r="AW2787" s="1">
        <v>27555</v>
      </c>
      <c r="AX2787">
        <v>2</v>
      </c>
    </row>
    <row r="2788" spans="1:50">
      <c r="A2788">
        <v>226208</v>
      </c>
      <c r="B2788" t="str">
        <f>"125262112"</f>
        <v>125262112</v>
      </c>
      <c r="C2788" t="s">
        <v>50</v>
      </c>
      <c r="D2788" t="s">
        <v>5617</v>
      </c>
      <c r="E2788" t="s">
        <v>52</v>
      </c>
      <c r="F2788" t="s">
        <v>670</v>
      </c>
      <c r="G2788" t="s">
        <v>3934</v>
      </c>
      <c r="H2788" t="str">
        <f>"ΕΜΜΑΝΟΥΗΛ ΣΤΑΥΡΑΚΑΚΗ 81 ΣΗΤΕΙΑ ΚΡΗΤΗΣ"</f>
        <v>ΕΜΜΑΝΟΥΗΛ ΣΤΑΥΡΑΚΑΚΗ 81 ΣΗΤΕΙΑ ΚΡΗΤΗΣ</v>
      </c>
      <c r="I2788">
        <v>72300</v>
      </c>
      <c r="J2788">
        <v>2843022355</v>
      </c>
      <c r="K2788">
        <v>6945704273</v>
      </c>
      <c r="M2788" t="s">
        <v>5618</v>
      </c>
      <c r="N2788" t="s">
        <v>337</v>
      </c>
      <c r="O2788" t="s">
        <v>338</v>
      </c>
      <c r="R2788" t="s">
        <v>57</v>
      </c>
      <c r="S2788">
        <v>7</v>
      </c>
      <c r="T2788">
        <v>652</v>
      </c>
      <c r="U2788" s="1">
        <v>40043</v>
      </c>
      <c r="V2788" t="s">
        <v>4509</v>
      </c>
      <c r="W2788" t="s">
        <v>4510</v>
      </c>
      <c r="X2788" t="s">
        <v>58</v>
      </c>
      <c r="Y2788">
        <v>21</v>
      </c>
      <c r="Z2788" t="s">
        <v>59</v>
      </c>
      <c r="AA2788" t="s">
        <v>59</v>
      </c>
      <c r="AB2788" t="s">
        <v>59</v>
      </c>
      <c r="AC2788" t="s">
        <v>59</v>
      </c>
      <c r="AD2788" t="s">
        <v>59</v>
      </c>
      <c r="AF2788" s="1">
        <v>40057</v>
      </c>
      <c r="AG2788" t="s">
        <v>125</v>
      </c>
      <c r="AH2788" t="s">
        <v>126</v>
      </c>
      <c r="AI2788" t="str">
        <f>"3204010"</f>
        <v>3204010</v>
      </c>
      <c r="AJ2788" t="s">
        <v>4542</v>
      </c>
      <c r="AK2788">
        <v>2843022503</v>
      </c>
      <c r="AL2788" t="s">
        <v>4543</v>
      </c>
      <c r="AM2788" t="s">
        <v>4513</v>
      </c>
      <c r="AN2788" t="s">
        <v>4540</v>
      </c>
      <c r="AO2788" t="s">
        <v>4540</v>
      </c>
      <c r="AP2788" t="s">
        <v>4540</v>
      </c>
      <c r="AQ2788">
        <v>6</v>
      </c>
      <c r="AR2788" t="s">
        <v>4509</v>
      </c>
      <c r="AS2788" t="s">
        <v>4510</v>
      </c>
      <c r="AT2788" t="s">
        <v>58</v>
      </c>
      <c r="AU2788" t="s">
        <v>68</v>
      </c>
      <c r="AV2788" t="s">
        <v>69</v>
      </c>
      <c r="AW2788" s="1">
        <v>30289</v>
      </c>
      <c r="AX2788">
        <v>2</v>
      </c>
    </row>
    <row r="2789" spans="1:50">
      <c r="A2789">
        <v>161458</v>
      </c>
      <c r="B2789" t="str">
        <f>"032226972"</f>
        <v>032226972</v>
      </c>
      <c r="C2789" t="s">
        <v>50</v>
      </c>
      <c r="D2789" t="s">
        <v>5619</v>
      </c>
      <c r="E2789" t="s">
        <v>215</v>
      </c>
      <c r="F2789" t="s">
        <v>377</v>
      </c>
      <c r="G2789" t="s">
        <v>530</v>
      </c>
      <c r="H2789" t="str">
        <f>" "</f>
        <v xml:space="preserve"> </v>
      </c>
      <c r="M2789" t="s">
        <v>5620</v>
      </c>
      <c r="N2789" t="s">
        <v>299</v>
      </c>
      <c r="O2789" t="s">
        <v>300</v>
      </c>
      <c r="R2789" t="s">
        <v>57</v>
      </c>
      <c r="S2789">
        <v>13</v>
      </c>
      <c r="T2789">
        <v>161</v>
      </c>
      <c r="U2789" s="1">
        <v>33119</v>
      </c>
      <c r="V2789" t="s">
        <v>4509</v>
      </c>
      <c r="W2789" t="s">
        <v>4510</v>
      </c>
      <c r="X2789" t="s">
        <v>58</v>
      </c>
      <c r="Y2789">
        <v>18</v>
      </c>
      <c r="Z2789" t="s">
        <v>59</v>
      </c>
      <c r="AA2789" t="s">
        <v>59</v>
      </c>
      <c r="AB2789" t="s">
        <v>59</v>
      </c>
      <c r="AC2789" t="s">
        <v>59</v>
      </c>
      <c r="AD2789" t="s">
        <v>59</v>
      </c>
      <c r="AF2789" s="1">
        <v>33120</v>
      </c>
      <c r="AG2789" t="s">
        <v>125</v>
      </c>
      <c r="AH2789" t="s">
        <v>126</v>
      </c>
      <c r="AI2789" t="str">
        <f>"3202010"</f>
        <v>3202010</v>
      </c>
      <c r="AJ2789" t="s">
        <v>4517</v>
      </c>
      <c r="AK2789">
        <v>2842028229</v>
      </c>
      <c r="AL2789" t="s">
        <v>4518</v>
      </c>
      <c r="AM2789" t="s">
        <v>4513</v>
      </c>
      <c r="AN2789" t="s">
        <v>4519</v>
      </c>
      <c r="AO2789" t="s">
        <v>4519</v>
      </c>
      <c r="AP2789" t="s">
        <v>4519</v>
      </c>
      <c r="AQ2789">
        <v>4</v>
      </c>
      <c r="AR2789" t="s">
        <v>4509</v>
      </c>
      <c r="AS2789" t="s">
        <v>4510</v>
      </c>
      <c r="AT2789" t="s">
        <v>58</v>
      </c>
      <c r="AU2789" t="s">
        <v>68</v>
      </c>
      <c r="AV2789" t="s">
        <v>69</v>
      </c>
      <c r="AW2789" s="1">
        <v>23571</v>
      </c>
      <c r="AX2789">
        <v>2</v>
      </c>
    </row>
    <row r="2790" spans="1:50">
      <c r="A2790">
        <v>222763</v>
      </c>
      <c r="B2790" t="str">
        <f>"041707311"</f>
        <v>041707311</v>
      </c>
      <c r="C2790" t="s">
        <v>50</v>
      </c>
      <c r="D2790" t="s">
        <v>5621</v>
      </c>
      <c r="E2790" t="s">
        <v>52</v>
      </c>
      <c r="F2790" t="s">
        <v>84</v>
      </c>
      <c r="G2790" t="s">
        <v>5622</v>
      </c>
      <c r="H2790" t="str">
        <f>" "</f>
        <v xml:space="preserve"> </v>
      </c>
      <c r="J2790">
        <v>2841024304</v>
      </c>
      <c r="K2790">
        <v>6942667808</v>
      </c>
      <c r="M2790" t="s">
        <v>5623</v>
      </c>
      <c r="N2790" t="s">
        <v>146</v>
      </c>
      <c r="O2790" t="s">
        <v>147</v>
      </c>
      <c r="R2790" t="s">
        <v>57</v>
      </c>
      <c r="S2790">
        <v>10</v>
      </c>
      <c r="T2790">
        <v>775</v>
      </c>
      <c r="U2790" s="1">
        <v>39680</v>
      </c>
      <c r="V2790" t="s">
        <v>4509</v>
      </c>
      <c r="W2790" t="s">
        <v>4510</v>
      </c>
      <c r="X2790" t="s">
        <v>58</v>
      </c>
      <c r="Y2790">
        <v>20</v>
      </c>
      <c r="Z2790" t="s">
        <v>59</v>
      </c>
      <c r="AA2790" t="s">
        <v>59</v>
      </c>
      <c r="AB2790" t="s">
        <v>59</v>
      </c>
      <c r="AC2790" t="s">
        <v>59</v>
      </c>
      <c r="AD2790" t="s">
        <v>59</v>
      </c>
      <c r="AF2790" s="1">
        <v>39692</v>
      </c>
      <c r="AG2790" t="s">
        <v>125</v>
      </c>
      <c r="AH2790" t="s">
        <v>126</v>
      </c>
      <c r="AI2790" t="str">
        <f>"3207010"</f>
        <v>3207010</v>
      </c>
      <c r="AJ2790" t="s">
        <v>4755</v>
      </c>
      <c r="AK2790">
        <v>2841051452</v>
      </c>
      <c r="AL2790" t="s">
        <v>4756</v>
      </c>
      <c r="AM2790" t="s">
        <v>4513</v>
      </c>
      <c r="AN2790" t="s">
        <v>4514</v>
      </c>
      <c r="AO2790" t="s">
        <v>4514</v>
      </c>
      <c r="AP2790" t="s">
        <v>4757</v>
      </c>
      <c r="AQ2790">
        <v>1</v>
      </c>
      <c r="AR2790" t="s">
        <v>4509</v>
      </c>
      <c r="AS2790" t="s">
        <v>4510</v>
      </c>
      <c r="AT2790" t="s">
        <v>58</v>
      </c>
      <c r="AU2790" t="s">
        <v>68</v>
      </c>
      <c r="AV2790" t="s">
        <v>69</v>
      </c>
      <c r="AW2790" s="1">
        <v>24262</v>
      </c>
      <c r="AX2790">
        <v>2</v>
      </c>
    </row>
    <row r="2791" spans="1:50">
      <c r="A2791">
        <v>185110</v>
      </c>
      <c r="B2791" t="str">
        <f>"045550472"</f>
        <v>045550472</v>
      </c>
      <c r="C2791" t="s">
        <v>50</v>
      </c>
      <c r="D2791" t="s">
        <v>4377</v>
      </c>
      <c r="E2791" t="s">
        <v>112</v>
      </c>
      <c r="F2791" t="s">
        <v>106</v>
      </c>
      <c r="G2791" t="s">
        <v>1078</v>
      </c>
      <c r="H2791" t="str">
        <f>" "</f>
        <v xml:space="preserve"> </v>
      </c>
      <c r="N2791" t="s">
        <v>204</v>
      </c>
      <c r="O2791" t="s">
        <v>205</v>
      </c>
      <c r="P2791" t="s">
        <v>292</v>
      </c>
      <c r="Q2791" t="s">
        <v>293</v>
      </c>
      <c r="R2791" t="s">
        <v>57</v>
      </c>
      <c r="S2791">
        <v>11</v>
      </c>
      <c r="T2791">
        <v>177</v>
      </c>
      <c r="U2791" s="1">
        <v>36403</v>
      </c>
      <c r="V2791" t="s">
        <v>4509</v>
      </c>
      <c r="W2791" t="s">
        <v>4510</v>
      </c>
      <c r="X2791" t="s">
        <v>58</v>
      </c>
      <c r="Y2791">
        <v>18</v>
      </c>
      <c r="Z2791" t="s">
        <v>59</v>
      </c>
      <c r="AA2791" t="s">
        <v>59</v>
      </c>
      <c r="AB2791" t="s">
        <v>59</v>
      </c>
      <c r="AC2791" t="s">
        <v>59</v>
      </c>
      <c r="AD2791" t="s">
        <v>59</v>
      </c>
      <c r="AF2791" s="1">
        <v>36404</v>
      </c>
      <c r="AG2791" t="s">
        <v>125</v>
      </c>
      <c r="AH2791" t="s">
        <v>126</v>
      </c>
      <c r="AI2791" t="str">
        <f>"3202020"</f>
        <v>3202020</v>
      </c>
      <c r="AJ2791" t="s">
        <v>4576</v>
      </c>
      <c r="AK2791">
        <v>2842022289</v>
      </c>
      <c r="AL2791" t="s">
        <v>4577</v>
      </c>
      <c r="AM2791" t="s">
        <v>4513</v>
      </c>
      <c r="AN2791" t="s">
        <v>4519</v>
      </c>
      <c r="AO2791" t="s">
        <v>4519</v>
      </c>
      <c r="AP2791" t="s">
        <v>4519</v>
      </c>
      <c r="AQ2791">
        <v>4</v>
      </c>
      <c r="AR2791" t="s">
        <v>4509</v>
      </c>
      <c r="AS2791" t="s">
        <v>4510</v>
      </c>
      <c r="AT2791" t="s">
        <v>58</v>
      </c>
      <c r="AU2791" t="s">
        <v>68</v>
      </c>
      <c r="AV2791" t="s">
        <v>69</v>
      </c>
      <c r="AW2791" s="1">
        <v>23399</v>
      </c>
      <c r="AX2791">
        <v>2</v>
      </c>
    </row>
    <row r="2792" spans="1:50">
      <c r="B2792" t="str">
        <f>"061865920"</f>
        <v>061865920</v>
      </c>
      <c r="C2792" t="s">
        <v>50</v>
      </c>
      <c r="D2792" t="s">
        <v>5624</v>
      </c>
      <c r="E2792" t="s">
        <v>910</v>
      </c>
      <c r="F2792" t="s">
        <v>309</v>
      </c>
      <c r="G2792" t="s">
        <v>255</v>
      </c>
      <c r="H2792" t="str">
        <f>"ΚΟΥΝΤΟΥΡΙΩΤΟΥ 12 ΕΥΟΣΜΟΣ ΘΕΣΣΑΛΟΝΙΚΗ"</f>
        <v>ΚΟΥΝΤΟΥΡΙΩΤΟΥ 12 ΕΥΟΣΜΟΣ ΘΕΣΣΑΛΟΝΙΚΗ</v>
      </c>
      <c r="I2792">
        <v>56224</v>
      </c>
      <c r="J2792">
        <v>2310756924</v>
      </c>
      <c r="K2792">
        <v>6945367167</v>
      </c>
      <c r="N2792" t="s">
        <v>146</v>
      </c>
      <c r="O2792" t="s">
        <v>147</v>
      </c>
      <c r="R2792" t="s">
        <v>159</v>
      </c>
      <c r="S2792">
        <v>3</v>
      </c>
      <c r="T2792" t="s">
        <v>416</v>
      </c>
      <c r="U2792" s="1">
        <v>43349</v>
      </c>
      <c r="V2792" t="s">
        <v>4509</v>
      </c>
      <c r="W2792" t="s">
        <v>4510</v>
      </c>
      <c r="X2792" t="s">
        <v>58</v>
      </c>
      <c r="Y2792">
        <v>23</v>
      </c>
      <c r="Z2792" t="s">
        <v>59</v>
      </c>
      <c r="AA2792" t="s">
        <v>59</v>
      </c>
      <c r="AB2792" t="s">
        <v>59</v>
      </c>
      <c r="AC2792" t="s">
        <v>59</v>
      </c>
      <c r="AD2792" t="s">
        <v>59</v>
      </c>
      <c r="AF2792" s="1">
        <v>43349</v>
      </c>
      <c r="AG2792" t="s">
        <v>148</v>
      </c>
      <c r="AH2792" t="s">
        <v>149</v>
      </c>
      <c r="AI2792" t="str">
        <f>"3252010"</f>
        <v>3252010</v>
      </c>
      <c r="AJ2792" t="s">
        <v>4532</v>
      </c>
      <c r="AK2792">
        <v>2842022356</v>
      </c>
      <c r="AL2792" t="s">
        <v>4533</v>
      </c>
      <c r="AM2792" t="s">
        <v>4513</v>
      </c>
      <c r="AN2792" t="s">
        <v>4519</v>
      </c>
      <c r="AO2792" t="s">
        <v>4519</v>
      </c>
      <c r="AP2792" t="s">
        <v>4519</v>
      </c>
      <c r="AQ2792">
        <v>4</v>
      </c>
      <c r="AR2792" t="s">
        <v>4509</v>
      </c>
      <c r="AS2792" t="s">
        <v>4510</v>
      </c>
      <c r="AT2792" t="s">
        <v>58</v>
      </c>
      <c r="AU2792" t="s">
        <v>419</v>
      </c>
      <c r="AV2792" t="s">
        <v>132</v>
      </c>
      <c r="AW2792" s="1">
        <v>25924</v>
      </c>
      <c r="AX2792">
        <v>2</v>
      </c>
    </row>
    <row r="2793" spans="1:50">
      <c r="A2793">
        <v>217388</v>
      </c>
      <c r="B2793" t="str">
        <f>"066309245"</f>
        <v>066309245</v>
      </c>
      <c r="C2793" t="s">
        <v>105</v>
      </c>
      <c r="D2793" t="s">
        <v>5625</v>
      </c>
      <c r="E2793" t="s">
        <v>84</v>
      </c>
      <c r="F2793" t="s">
        <v>99</v>
      </c>
      <c r="G2793" t="s">
        <v>2248</v>
      </c>
      <c r="H2793" t="str">
        <f>" "</f>
        <v xml:space="preserve"> </v>
      </c>
      <c r="J2793">
        <v>2310665626</v>
      </c>
      <c r="K2793">
        <v>6945535435</v>
      </c>
      <c r="N2793" t="s">
        <v>157</v>
      </c>
      <c r="O2793" t="s">
        <v>158</v>
      </c>
      <c r="R2793" t="s">
        <v>57</v>
      </c>
      <c r="S2793">
        <v>11</v>
      </c>
      <c r="T2793">
        <v>599</v>
      </c>
      <c r="U2793" s="1">
        <v>39310</v>
      </c>
      <c r="V2793" t="s">
        <v>4509</v>
      </c>
      <c r="W2793" t="s">
        <v>4510</v>
      </c>
      <c r="X2793" t="s">
        <v>58</v>
      </c>
      <c r="Y2793">
        <v>21</v>
      </c>
      <c r="Z2793" t="s">
        <v>59</v>
      </c>
      <c r="AA2793" t="s">
        <v>59</v>
      </c>
      <c r="AB2793" t="s">
        <v>59</v>
      </c>
      <c r="AC2793" t="s">
        <v>59</v>
      </c>
      <c r="AD2793" t="s">
        <v>59</v>
      </c>
      <c r="AF2793" s="1">
        <v>39328</v>
      </c>
      <c r="AG2793" t="s">
        <v>125</v>
      </c>
      <c r="AH2793" t="s">
        <v>126</v>
      </c>
      <c r="AI2793" t="str">
        <f>"3202030"</f>
        <v>3202030</v>
      </c>
      <c r="AJ2793" t="s">
        <v>4558</v>
      </c>
      <c r="AK2793">
        <v>2842028751</v>
      </c>
      <c r="AL2793" t="s">
        <v>4559</v>
      </c>
      <c r="AM2793" t="s">
        <v>4513</v>
      </c>
      <c r="AN2793" t="s">
        <v>4519</v>
      </c>
      <c r="AO2793" t="s">
        <v>4519</v>
      </c>
      <c r="AP2793" t="s">
        <v>4519</v>
      </c>
      <c r="AQ2793">
        <v>4</v>
      </c>
      <c r="AR2793" t="s">
        <v>4509</v>
      </c>
      <c r="AS2793" t="s">
        <v>4510</v>
      </c>
      <c r="AT2793" t="s">
        <v>58</v>
      </c>
      <c r="AU2793" t="s">
        <v>68</v>
      </c>
      <c r="AV2793" t="s">
        <v>357</v>
      </c>
      <c r="AW2793" s="1">
        <v>29496</v>
      </c>
      <c r="AX2793">
        <v>2</v>
      </c>
    </row>
    <row r="2794" spans="1:50">
      <c r="A2794">
        <v>229929</v>
      </c>
      <c r="B2794" t="str">
        <f>"077103297"</f>
        <v>077103297</v>
      </c>
      <c r="C2794" t="s">
        <v>105</v>
      </c>
      <c r="D2794" t="s">
        <v>4410</v>
      </c>
      <c r="E2794" t="s">
        <v>95</v>
      </c>
      <c r="F2794" t="s">
        <v>166</v>
      </c>
      <c r="G2794" t="s">
        <v>5626</v>
      </c>
      <c r="H2794" t="str">
        <f>"ΔΗΜΟΚΡΑΤΙΑΣ 28 ΣΗΤΕΙΑ"</f>
        <v>ΔΗΜΟΚΡΑΤΙΑΣ 28 ΣΗΤΕΙΑ</v>
      </c>
      <c r="I2794">
        <v>72300</v>
      </c>
      <c r="J2794">
        <v>2843027219</v>
      </c>
      <c r="K2794">
        <v>6974471841</v>
      </c>
      <c r="L2794">
        <v>2891051304</v>
      </c>
      <c r="M2794" t="s">
        <v>5627</v>
      </c>
      <c r="N2794" t="s">
        <v>299</v>
      </c>
      <c r="O2794" t="s">
        <v>300</v>
      </c>
      <c r="P2794" t="s">
        <v>1647</v>
      </c>
      <c r="Q2794" t="s">
        <v>1648</v>
      </c>
      <c r="R2794" t="s">
        <v>57</v>
      </c>
      <c r="S2794">
        <v>8</v>
      </c>
      <c r="T2794">
        <v>4</v>
      </c>
      <c r="U2794" s="1">
        <v>40186</v>
      </c>
      <c r="V2794" t="s">
        <v>4509</v>
      </c>
      <c r="W2794" t="s">
        <v>4510</v>
      </c>
      <c r="X2794" t="s">
        <v>58</v>
      </c>
      <c r="Y2794">
        <v>21</v>
      </c>
      <c r="Z2794" t="s">
        <v>59</v>
      </c>
      <c r="AA2794" t="s">
        <v>59</v>
      </c>
      <c r="AB2794" t="s">
        <v>59</v>
      </c>
      <c r="AC2794" t="s">
        <v>59</v>
      </c>
      <c r="AD2794" t="s">
        <v>59</v>
      </c>
      <c r="AF2794" s="1">
        <v>40191</v>
      </c>
      <c r="AG2794" t="s">
        <v>345</v>
      </c>
      <c r="AH2794" t="s">
        <v>346</v>
      </c>
      <c r="AI2794" t="str">
        <f>"3241010"</f>
        <v>3241010</v>
      </c>
      <c r="AJ2794" t="s">
        <v>4773</v>
      </c>
      <c r="AK2794">
        <v>2843029465</v>
      </c>
      <c r="AL2794" t="s">
        <v>4774</v>
      </c>
      <c r="AM2794" t="s">
        <v>4513</v>
      </c>
      <c r="AN2794" t="s">
        <v>4540</v>
      </c>
      <c r="AO2794" t="s">
        <v>4540</v>
      </c>
      <c r="AP2794" t="s">
        <v>4540</v>
      </c>
      <c r="AQ2794">
        <v>6</v>
      </c>
      <c r="AR2794" t="s">
        <v>4509</v>
      </c>
      <c r="AS2794" t="s">
        <v>4510</v>
      </c>
      <c r="AT2794" t="s">
        <v>58</v>
      </c>
      <c r="AU2794" t="s">
        <v>68</v>
      </c>
      <c r="AV2794" t="s">
        <v>69</v>
      </c>
      <c r="AW2794" s="1">
        <v>25204</v>
      </c>
      <c r="AX2794">
        <v>2</v>
      </c>
    </row>
    <row r="2795" spans="1:50">
      <c r="A2795">
        <v>200259</v>
      </c>
      <c r="B2795" t="str">
        <f>"066837576"</f>
        <v>066837576</v>
      </c>
      <c r="C2795" t="s">
        <v>105</v>
      </c>
      <c r="D2795" t="s">
        <v>4410</v>
      </c>
      <c r="E2795" t="s">
        <v>166</v>
      </c>
      <c r="F2795" t="s">
        <v>99</v>
      </c>
      <c r="G2795" t="s">
        <v>52</v>
      </c>
      <c r="H2795" t="str">
        <f>"ΑΝΤΩΝΙΟΥ ΣΑΜΑΡΑΚΗ 2Β ΗΡΑΚΛΕΙΟ"</f>
        <v>ΑΝΤΩΝΙΟΥ ΣΑΜΑΡΑΚΗ 2Β ΗΡΑΚΛΕΙΟ</v>
      </c>
      <c r="I2795">
        <v>71409</v>
      </c>
      <c r="J2795">
        <v>2810321968</v>
      </c>
      <c r="K2795">
        <v>6936888164</v>
      </c>
      <c r="M2795" t="s">
        <v>5628</v>
      </c>
      <c r="N2795" t="s">
        <v>204</v>
      </c>
      <c r="O2795" t="s">
        <v>205</v>
      </c>
      <c r="R2795" t="s">
        <v>57</v>
      </c>
      <c r="S2795">
        <v>7</v>
      </c>
      <c r="T2795">
        <v>206</v>
      </c>
      <c r="U2795" s="1">
        <v>37866</v>
      </c>
      <c r="V2795" t="s">
        <v>4509</v>
      </c>
      <c r="W2795" t="s">
        <v>4510</v>
      </c>
      <c r="X2795" t="s">
        <v>58</v>
      </c>
      <c r="Y2795">
        <v>20</v>
      </c>
      <c r="Z2795" t="s">
        <v>59</v>
      </c>
      <c r="AA2795" t="s">
        <v>59</v>
      </c>
      <c r="AB2795" t="s">
        <v>59</v>
      </c>
      <c r="AC2795" t="s">
        <v>59</v>
      </c>
      <c r="AD2795" t="s">
        <v>59</v>
      </c>
      <c r="AF2795" s="1">
        <v>37866</v>
      </c>
      <c r="AG2795" t="s">
        <v>148</v>
      </c>
      <c r="AH2795" t="s">
        <v>149</v>
      </c>
      <c r="AI2795" t="str">
        <f>"3251010"</f>
        <v>3251010</v>
      </c>
      <c r="AJ2795" t="s">
        <v>4646</v>
      </c>
      <c r="AK2795">
        <v>2841023649</v>
      </c>
      <c r="AL2795" t="s">
        <v>4647</v>
      </c>
      <c r="AM2795" t="s">
        <v>4513</v>
      </c>
      <c r="AN2795" t="s">
        <v>4514</v>
      </c>
      <c r="AO2795" t="s">
        <v>4514</v>
      </c>
      <c r="AP2795" t="s">
        <v>4514</v>
      </c>
      <c r="AQ2795">
        <v>1</v>
      </c>
      <c r="AR2795" t="s">
        <v>4509</v>
      </c>
      <c r="AS2795" t="s">
        <v>4510</v>
      </c>
      <c r="AT2795" t="s">
        <v>58</v>
      </c>
      <c r="AU2795" t="s">
        <v>68</v>
      </c>
      <c r="AV2795" t="s">
        <v>69</v>
      </c>
      <c r="AW2795" s="1">
        <v>28594</v>
      </c>
      <c r="AX2795">
        <v>2</v>
      </c>
    </row>
    <row r="2796" spans="1:50">
      <c r="A2796">
        <v>173775</v>
      </c>
      <c r="B2796" t="str">
        <f>"101873647"</f>
        <v>101873647</v>
      </c>
      <c r="C2796" t="s">
        <v>50</v>
      </c>
      <c r="D2796" t="s">
        <v>5629</v>
      </c>
      <c r="E2796" t="s">
        <v>316</v>
      </c>
      <c r="F2796" t="s">
        <v>900</v>
      </c>
      <c r="G2796" t="s">
        <v>263</v>
      </c>
      <c r="H2796" t="str">
        <f>" "</f>
        <v xml:space="preserve"> </v>
      </c>
      <c r="J2796">
        <v>2843023512</v>
      </c>
      <c r="K2796">
        <v>6978747681</v>
      </c>
      <c r="M2796" t="s">
        <v>5216</v>
      </c>
      <c r="N2796" t="s">
        <v>292</v>
      </c>
      <c r="O2796" t="s">
        <v>293</v>
      </c>
      <c r="R2796" t="s">
        <v>57</v>
      </c>
      <c r="S2796">
        <v>13</v>
      </c>
      <c r="T2796">
        <v>166</v>
      </c>
      <c r="U2796" s="1">
        <v>35300</v>
      </c>
      <c r="V2796" t="s">
        <v>4509</v>
      </c>
      <c r="W2796" t="s">
        <v>4510</v>
      </c>
      <c r="X2796" t="s">
        <v>58</v>
      </c>
      <c r="Y2796">
        <v>18</v>
      </c>
      <c r="Z2796" t="s">
        <v>59</v>
      </c>
      <c r="AA2796" t="s">
        <v>59</v>
      </c>
      <c r="AB2796" t="s">
        <v>59</v>
      </c>
      <c r="AC2796" t="s">
        <v>59</v>
      </c>
      <c r="AD2796" t="s">
        <v>59</v>
      </c>
      <c r="AF2796" s="1">
        <v>35309</v>
      </c>
      <c r="AG2796" t="s">
        <v>148</v>
      </c>
      <c r="AH2796" t="s">
        <v>149</v>
      </c>
      <c r="AI2796" t="str">
        <f>"3254010"</f>
        <v>3254010</v>
      </c>
      <c r="AJ2796" t="s">
        <v>4538</v>
      </c>
      <c r="AK2796">
        <v>2843022277</v>
      </c>
      <c r="AL2796" t="s">
        <v>4539</v>
      </c>
      <c r="AM2796" t="s">
        <v>4513</v>
      </c>
      <c r="AN2796" t="s">
        <v>4540</v>
      </c>
      <c r="AO2796" t="s">
        <v>4540</v>
      </c>
      <c r="AP2796" t="s">
        <v>4540</v>
      </c>
      <c r="AQ2796">
        <v>6</v>
      </c>
      <c r="AR2796" t="s">
        <v>4509</v>
      </c>
      <c r="AS2796" t="s">
        <v>4510</v>
      </c>
      <c r="AT2796" t="s">
        <v>58</v>
      </c>
      <c r="AU2796" t="s">
        <v>68</v>
      </c>
      <c r="AV2796" t="s">
        <v>69</v>
      </c>
      <c r="AW2796" s="1">
        <v>21941</v>
      </c>
      <c r="AX2796">
        <v>2</v>
      </c>
    </row>
    <row r="2797" spans="1:50">
      <c r="A2797">
        <v>221495</v>
      </c>
      <c r="B2797" t="str">
        <f>"059756590"</f>
        <v>059756590</v>
      </c>
      <c r="C2797" t="s">
        <v>50</v>
      </c>
      <c r="D2797" t="s">
        <v>4424</v>
      </c>
      <c r="E2797" t="s">
        <v>964</v>
      </c>
      <c r="F2797" t="s">
        <v>72</v>
      </c>
      <c r="G2797" t="s">
        <v>250</v>
      </c>
      <c r="H2797" t="str">
        <f>" "</f>
        <v xml:space="preserve"> </v>
      </c>
      <c r="M2797" t="s">
        <v>5630</v>
      </c>
      <c r="N2797" t="s">
        <v>306</v>
      </c>
      <c r="O2797" t="s">
        <v>307</v>
      </c>
      <c r="R2797" t="s">
        <v>57</v>
      </c>
      <c r="S2797">
        <v>12</v>
      </c>
      <c r="T2797">
        <v>193</v>
      </c>
      <c r="U2797" s="1">
        <v>37497</v>
      </c>
      <c r="V2797" t="s">
        <v>4509</v>
      </c>
      <c r="W2797" t="s">
        <v>4510</v>
      </c>
      <c r="X2797" t="s">
        <v>58</v>
      </c>
      <c r="Y2797">
        <v>18</v>
      </c>
      <c r="Z2797" t="s">
        <v>59</v>
      </c>
      <c r="AA2797" t="s">
        <v>59</v>
      </c>
      <c r="AB2797" t="s">
        <v>59</v>
      </c>
      <c r="AC2797" t="s">
        <v>59</v>
      </c>
      <c r="AD2797" t="s">
        <v>59</v>
      </c>
      <c r="AF2797" s="1">
        <v>37501</v>
      </c>
      <c r="AG2797" t="s">
        <v>137</v>
      </c>
      <c r="AH2797" t="s">
        <v>138</v>
      </c>
      <c r="AI2797" t="str">
        <f>"3240020"</f>
        <v>3240020</v>
      </c>
      <c r="AJ2797" t="s">
        <v>4568</v>
      </c>
      <c r="AK2797">
        <v>2843028570</v>
      </c>
      <c r="AL2797" t="s">
        <v>4569</v>
      </c>
      <c r="AM2797" t="s">
        <v>4513</v>
      </c>
      <c r="AN2797" t="s">
        <v>4540</v>
      </c>
      <c r="AO2797" t="s">
        <v>4540</v>
      </c>
      <c r="AP2797" t="s">
        <v>4540</v>
      </c>
      <c r="AQ2797">
        <v>6</v>
      </c>
      <c r="AR2797" t="s">
        <v>4509</v>
      </c>
      <c r="AS2797" t="s">
        <v>4510</v>
      </c>
      <c r="AT2797" t="s">
        <v>58</v>
      </c>
      <c r="AU2797" t="s">
        <v>68</v>
      </c>
      <c r="AV2797" t="s">
        <v>357</v>
      </c>
      <c r="AW2797" s="1">
        <v>25582</v>
      </c>
      <c r="AX2797">
        <v>2</v>
      </c>
    </row>
    <row r="2798" spans="1:50">
      <c r="A2798">
        <v>224603</v>
      </c>
      <c r="B2798" t="str">
        <f>"034201438"</f>
        <v>034201438</v>
      </c>
      <c r="C2798" t="s">
        <v>50</v>
      </c>
      <c r="D2798" t="s">
        <v>5631</v>
      </c>
      <c r="E2798" t="s">
        <v>52</v>
      </c>
      <c r="F2798" t="s">
        <v>53</v>
      </c>
      <c r="G2798" t="s">
        <v>188</v>
      </c>
      <c r="H2798" t="str">
        <f>" "</f>
        <v xml:space="preserve"> </v>
      </c>
      <c r="J2798">
        <v>2842061007</v>
      </c>
      <c r="K2798">
        <v>6936772348</v>
      </c>
      <c r="M2798" t="s">
        <v>5632</v>
      </c>
      <c r="N2798" t="s">
        <v>288</v>
      </c>
      <c r="O2798" t="s">
        <v>289</v>
      </c>
      <c r="R2798" t="s">
        <v>57</v>
      </c>
      <c r="S2798">
        <v>5</v>
      </c>
      <c r="T2798">
        <v>775</v>
      </c>
      <c r="U2798" s="1">
        <v>39680</v>
      </c>
      <c r="V2798" t="s">
        <v>4509</v>
      </c>
      <c r="W2798" t="s">
        <v>4510</v>
      </c>
      <c r="X2798" t="s">
        <v>58</v>
      </c>
      <c r="Y2798">
        <v>21</v>
      </c>
      <c r="Z2798" t="s">
        <v>59</v>
      </c>
      <c r="AA2798" t="s">
        <v>59</v>
      </c>
      <c r="AB2798" t="s">
        <v>59</v>
      </c>
      <c r="AC2798" t="s">
        <v>59</v>
      </c>
      <c r="AD2798" t="s">
        <v>59</v>
      </c>
      <c r="AF2798" s="1">
        <v>39692</v>
      </c>
      <c r="AG2798" t="s">
        <v>125</v>
      </c>
      <c r="AH2798" t="s">
        <v>126</v>
      </c>
      <c r="AI2798" t="str">
        <f>"3202030"</f>
        <v>3202030</v>
      </c>
      <c r="AJ2798" t="s">
        <v>4558</v>
      </c>
      <c r="AK2798">
        <v>2842028751</v>
      </c>
      <c r="AL2798" t="s">
        <v>4559</v>
      </c>
      <c r="AM2798" t="s">
        <v>4513</v>
      </c>
      <c r="AN2798" t="s">
        <v>4519</v>
      </c>
      <c r="AO2798" t="s">
        <v>4519</v>
      </c>
      <c r="AP2798" t="s">
        <v>4519</v>
      </c>
      <c r="AQ2798">
        <v>4</v>
      </c>
      <c r="AR2798" t="s">
        <v>4509</v>
      </c>
      <c r="AS2798" t="s">
        <v>4510</v>
      </c>
      <c r="AT2798" t="s">
        <v>58</v>
      </c>
      <c r="AU2798" t="s">
        <v>68</v>
      </c>
      <c r="AV2798" t="s">
        <v>132</v>
      </c>
      <c r="AW2798" s="1">
        <v>29034</v>
      </c>
      <c r="AX2798">
        <v>2</v>
      </c>
    </row>
    <row r="2799" spans="1:50">
      <c r="A2799">
        <v>213455</v>
      </c>
      <c r="B2799" t="str">
        <f>"055223745"</f>
        <v>055223745</v>
      </c>
      <c r="C2799" t="s">
        <v>50</v>
      </c>
      <c r="D2799" t="s">
        <v>5631</v>
      </c>
      <c r="E2799" t="s">
        <v>52</v>
      </c>
      <c r="F2799" t="s">
        <v>450</v>
      </c>
      <c r="G2799" t="s">
        <v>4515</v>
      </c>
      <c r="H2799" t="str">
        <f>" "</f>
        <v xml:space="preserve"> </v>
      </c>
      <c r="J2799">
        <v>2842026879</v>
      </c>
      <c r="L2799">
        <v>2842026366</v>
      </c>
      <c r="N2799" t="s">
        <v>232</v>
      </c>
      <c r="O2799" t="s">
        <v>233</v>
      </c>
      <c r="R2799" t="s">
        <v>57</v>
      </c>
      <c r="S2799">
        <v>7</v>
      </c>
      <c r="T2799">
        <v>231</v>
      </c>
      <c r="U2799" s="1">
        <v>38960</v>
      </c>
      <c r="V2799" t="s">
        <v>4509</v>
      </c>
      <c r="W2799" t="s">
        <v>4510</v>
      </c>
      <c r="X2799" t="s">
        <v>58</v>
      </c>
      <c r="Y2799">
        <v>20</v>
      </c>
      <c r="Z2799" t="s">
        <v>59</v>
      </c>
      <c r="AA2799" t="s">
        <v>59</v>
      </c>
      <c r="AB2799" t="s">
        <v>59</v>
      </c>
      <c r="AC2799" t="s">
        <v>59</v>
      </c>
      <c r="AD2799" t="s">
        <v>59</v>
      </c>
      <c r="AF2799" s="1">
        <v>38961</v>
      </c>
      <c r="AG2799" t="s">
        <v>125</v>
      </c>
      <c r="AH2799" t="s">
        <v>126</v>
      </c>
      <c r="AI2799" t="str">
        <f>"3202020"</f>
        <v>3202020</v>
      </c>
      <c r="AJ2799" t="s">
        <v>4576</v>
      </c>
      <c r="AK2799">
        <v>2842022289</v>
      </c>
      <c r="AL2799" t="s">
        <v>4577</v>
      </c>
      <c r="AM2799" t="s">
        <v>4513</v>
      </c>
      <c r="AN2799" t="s">
        <v>4519</v>
      </c>
      <c r="AO2799" t="s">
        <v>4519</v>
      </c>
      <c r="AP2799" t="s">
        <v>4519</v>
      </c>
      <c r="AQ2799">
        <v>4</v>
      </c>
      <c r="AR2799" t="s">
        <v>4509</v>
      </c>
      <c r="AS2799" t="s">
        <v>4510</v>
      </c>
      <c r="AT2799" t="s">
        <v>58</v>
      </c>
      <c r="AU2799" t="s">
        <v>68</v>
      </c>
      <c r="AV2799" t="s">
        <v>69</v>
      </c>
      <c r="AW2799" s="1">
        <v>25094</v>
      </c>
      <c r="AX2799">
        <v>2</v>
      </c>
    </row>
    <row r="2800" spans="1:50">
      <c r="B2800" t="str">
        <f>"114466084"</f>
        <v>114466084</v>
      </c>
      <c r="C2800" t="s">
        <v>105</v>
      </c>
      <c r="D2800" t="s">
        <v>5633</v>
      </c>
      <c r="E2800" t="s">
        <v>670</v>
      </c>
      <c r="F2800" t="s">
        <v>95</v>
      </c>
      <c r="G2800" t="s">
        <v>5009</v>
      </c>
      <c r="H2800" t="str">
        <f>"ΑΡΧΙΜΑΝΔΡΕΙΟΥ 51 ΙΩΑΝΝΙΝΑ"</f>
        <v>ΑΡΧΙΜΑΝΔΡΕΙΟΥ 51 ΙΩΑΝΝΙΝΑ</v>
      </c>
      <c r="I2800">
        <v>45333</v>
      </c>
      <c r="J2800">
        <v>2651040990</v>
      </c>
      <c r="K2800">
        <v>6974384605</v>
      </c>
      <c r="M2800" t="s">
        <v>5634</v>
      </c>
      <c r="N2800" t="s">
        <v>146</v>
      </c>
      <c r="O2800" t="s">
        <v>147</v>
      </c>
      <c r="R2800" t="s">
        <v>159</v>
      </c>
      <c r="S2800">
        <v>3</v>
      </c>
      <c r="T2800" t="s">
        <v>416</v>
      </c>
      <c r="U2800" s="1">
        <v>43349</v>
      </c>
      <c r="V2800" t="s">
        <v>4509</v>
      </c>
      <c r="W2800" t="s">
        <v>4510</v>
      </c>
      <c r="X2800" t="s">
        <v>58</v>
      </c>
      <c r="Y2800">
        <v>23</v>
      </c>
      <c r="Z2800" t="s">
        <v>59</v>
      </c>
      <c r="AA2800" t="s">
        <v>59</v>
      </c>
      <c r="AB2800" t="s">
        <v>59</v>
      </c>
      <c r="AC2800" t="s">
        <v>59</v>
      </c>
      <c r="AD2800" t="s">
        <v>59</v>
      </c>
      <c r="AF2800" s="1">
        <v>43349</v>
      </c>
      <c r="AG2800" t="s">
        <v>148</v>
      </c>
      <c r="AH2800" t="s">
        <v>149</v>
      </c>
      <c r="AI2800" t="str">
        <f>"3260015"</f>
        <v>3260015</v>
      </c>
      <c r="AJ2800" t="s">
        <v>4764</v>
      </c>
      <c r="AK2800">
        <v>2843051787</v>
      </c>
      <c r="AL2800" t="s">
        <v>4765</v>
      </c>
      <c r="AM2800" t="s">
        <v>4513</v>
      </c>
      <c r="AN2800" t="s">
        <v>4519</v>
      </c>
      <c r="AO2800" t="s">
        <v>4766</v>
      </c>
      <c r="AP2800" t="s">
        <v>4767</v>
      </c>
      <c r="AQ2800">
        <v>5</v>
      </c>
      <c r="AR2800" t="s">
        <v>4509</v>
      </c>
      <c r="AS2800" t="s">
        <v>4510</v>
      </c>
      <c r="AT2800" t="s">
        <v>58</v>
      </c>
      <c r="AU2800" t="s">
        <v>419</v>
      </c>
      <c r="AV2800" t="s">
        <v>132</v>
      </c>
      <c r="AW2800" s="1">
        <v>28064</v>
      </c>
      <c r="AX2800">
        <v>2</v>
      </c>
    </row>
    <row r="2801" spans="1:50">
      <c r="A2801">
        <v>195463</v>
      </c>
      <c r="B2801" t="str">
        <f>"038493760"</f>
        <v>038493760</v>
      </c>
      <c r="C2801" t="s">
        <v>50</v>
      </c>
      <c r="D2801" t="s">
        <v>4441</v>
      </c>
      <c r="E2801" t="s">
        <v>52</v>
      </c>
      <c r="F2801" t="s">
        <v>95</v>
      </c>
      <c r="G2801" t="s">
        <v>494</v>
      </c>
      <c r="H2801" t="str">
        <f>" "</f>
        <v xml:space="preserve"> </v>
      </c>
      <c r="M2801" t="s">
        <v>5635</v>
      </c>
      <c r="N2801" t="s">
        <v>146</v>
      </c>
      <c r="O2801" t="s">
        <v>147</v>
      </c>
      <c r="R2801" t="s">
        <v>57</v>
      </c>
      <c r="S2801">
        <v>8</v>
      </c>
      <c r="T2801">
        <v>194</v>
      </c>
      <c r="U2801" s="1">
        <v>37497</v>
      </c>
      <c r="V2801" t="s">
        <v>4509</v>
      </c>
      <c r="W2801" t="s">
        <v>4510</v>
      </c>
      <c r="X2801" t="s">
        <v>58</v>
      </c>
      <c r="Y2801">
        <v>20</v>
      </c>
      <c r="Z2801" t="s">
        <v>59</v>
      </c>
      <c r="AA2801" t="s">
        <v>59</v>
      </c>
      <c r="AB2801" t="s">
        <v>59</v>
      </c>
      <c r="AC2801" t="s">
        <v>59</v>
      </c>
      <c r="AD2801" t="s">
        <v>59</v>
      </c>
      <c r="AF2801" s="1">
        <v>37501</v>
      </c>
      <c r="AG2801" t="s">
        <v>148</v>
      </c>
      <c r="AH2801" t="s">
        <v>149</v>
      </c>
      <c r="AI2801" t="str">
        <f>"3251001"</f>
        <v>3251001</v>
      </c>
      <c r="AJ2801" t="s">
        <v>4535</v>
      </c>
      <c r="AK2801">
        <v>2841082544</v>
      </c>
      <c r="AL2801" t="s">
        <v>4536</v>
      </c>
      <c r="AM2801" t="s">
        <v>4513</v>
      </c>
      <c r="AN2801" t="s">
        <v>4514</v>
      </c>
      <c r="AO2801" t="s">
        <v>4514</v>
      </c>
      <c r="AP2801" t="s">
        <v>4514</v>
      </c>
      <c r="AQ2801">
        <v>1</v>
      </c>
      <c r="AR2801" t="s">
        <v>4509</v>
      </c>
      <c r="AS2801" t="s">
        <v>4510</v>
      </c>
      <c r="AT2801" t="s">
        <v>58</v>
      </c>
      <c r="AU2801" t="s">
        <v>68</v>
      </c>
      <c r="AV2801" t="s">
        <v>69</v>
      </c>
      <c r="AW2801" s="1">
        <v>25146</v>
      </c>
      <c r="AX2801">
        <v>2</v>
      </c>
    </row>
    <row r="2802" spans="1:50">
      <c r="A2802">
        <v>194845</v>
      </c>
      <c r="B2802" t="str">
        <f>"039880026"</f>
        <v>039880026</v>
      </c>
      <c r="C2802" t="s">
        <v>105</v>
      </c>
      <c r="D2802" t="s">
        <v>4443</v>
      </c>
      <c r="E2802" t="s">
        <v>166</v>
      </c>
      <c r="F2802" t="s">
        <v>53</v>
      </c>
      <c r="G2802" t="s">
        <v>950</v>
      </c>
      <c r="H2802" t="str">
        <f>"K.Kavafi 4 ΙΕΡΑΠΕΤΡΑ"</f>
        <v>K.Kavafi 4 ΙΕΡΑΠΕΤΡΑ</v>
      </c>
      <c r="I2802">
        <v>72200</v>
      </c>
      <c r="J2802">
        <v>2842024793</v>
      </c>
      <c r="L2802">
        <v>2842080016</v>
      </c>
      <c r="M2802" t="s">
        <v>5636</v>
      </c>
      <c r="N2802" t="s">
        <v>299</v>
      </c>
      <c r="O2802" t="s">
        <v>300</v>
      </c>
      <c r="R2802" t="s">
        <v>57</v>
      </c>
      <c r="S2802">
        <v>11</v>
      </c>
      <c r="T2802">
        <v>193</v>
      </c>
      <c r="U2802" s="1">
        <v>37497</v>
      </c>
      <c r="V2802" t="s">
        <v>4509</v>
      </c>
      <c r="W2802" t="s">
        <v>4510</v>
      </c>
      <c r="X2802" t="s">
        <v>58</v>
      </c>
      <c r="Y2802">
        <v>20</v>
      </c>
      <c r="Z2802" t="s">
        <v>59</v>
      </c>
      <c r="AA2802" t="s">
        <v>59</v>
      </c>
      <c r="AB2802" t="s">
        <v>59</v>
      </c>
      <c r="AC2802" t="s">
        <v>59</v>
      </c>
      <c r="AD2802" t="s">
        <v>59</v>
      </c>
      <c r="AF2802" s="1">
        <v>37500</v>
      </c>
      <c r="AG2802" t="s">
        <v>137</v>
      </c>
      <c r="AH2802" t="s">
        <v>138</v>
      </c>
      <c r="AI2802" t="str">
        <f>"3240120"</f>
        <v>3240120</v>
      </c>
      <c r="AJ2802" t="s">
        <v>4552</v>
      </c>
      <c r="AK2802">
        <v>2842028667</v>
      </c>
      <c r="AL2802" t="s">
        <v>4553</v>
      </c>
      <c r="AM2802" t="s">
        <v>4513</v>
      </c>
      <c r="AN2802" t="s">
        <v>4519</v>
      </c>
      <c r="AO2802" t="s">
        <v>4519</v>
      </c>
      <c r="AP2802" t="s">
        <v>4519</v>
      </c>
      <c r="AQ2802">
        <v>4</v>
      </c>
      <c r="AR2802" t="s">
        <v>4509</v>
      </c>
      <c r="AS2802" t="s">
        <v>4510</v>
      </c>
      <c r="AT2802" t="s">
        <v>58</v>
      </c>
      <c r="AU2802" t="s">
        <v>68</v>
      </c>
      <c r="AV2802" t="s">
        <v>69</v>
      </c>
      <c r="AW2802" s="1">
        <v>25408</v>
      </c>
      <c r="AX2802">
        <v>2</v>
      </c>
    </row>
    <row r="2803" spans="1:50">
      <c r="A2803">
        <v>214018</v>
      </c>
      <c r="B2803" t="str">
        <f>"110277190"</f>
        <v>110277190</v>
      </c>
      <c r="C2803" t="s">
        <v>50</v>
      </c>
      <c r="D2803" t="s">
        <v>4490</v>
      </c>
      <c r="E2803" t="s">
        <v>215</v>
      </c>
      <c r="F2803" t="s">
        <v>760</v>
      </c>
      <c r="G2803" t="s">
        <v>1512</v>
      </c>
      <c r="H2803" t="str">
        <f>" "</f>
        <v xml:space="preserve"> </v>
      </c>
      <c r="J2803">
        <v>2842031224</v>
      </c>
      <c r="K2803">
        <v>6974861049</v>
      </c>
      <c r="M2803" t="s">
        <v>5637</v>
      </c>
      <c r="N2803" t="s">
        <v>306</v>
      </c>
      <c r="O2803" t="s">
        <v>307</v>
      </c>
      <c r="R2803" t="s">
        <v>57</v>
      </c>
      <c r="S2803">
        <v>6</v>
      </c>
      <c r="T2803">
        <v>231</v>
      </c>
      <c r="U2803" s="1">
        <v>38960</v>
      </c>
      <c r="V2803" t="s">
        <v>4509</v>
      </c>
      <c r="W2803" t="s">
        <v>4510</v>
      </c>
      <c r="X2803" t="s">
        <v>58</v>
      </c>
      <c r="Y2803">
        <v>20</v>
      </c>
      <c r="Z2803" t="s">
        <v>59</v>
      </c>
      <c r="AA2803" t="s">
        <v>59</v>
      </c>
      <c r="AB2803" t="s">
        <v>59</v>
      </c>
      <c r="AC2803" t="s">
        <v>59</v>
      </c>
      <c r="AD2803" t="s">
        <v>59</v>
      </c>
      <c r="AF2803" s="1">
        <v>38961</v>
      </c>
      <c r="AG2803" t="s">
        <v>125</v>
      </c>
      <c r="AH2803" t="s">
        <v>126</v>
      </c>
      <c r="AI2803" t="str">
        <f>"3202010"</f>
        <v>3202010</v>
      </c>
      <c r="AJ2803" t="s">
        <v>4517</v>
      </c>
      <c r="AK2803">
        <v>2842028229</v>
      </c>
      <c r="AL2803" t="s">
        <v>4518</v>
      </c>
      <c r="AM2803" t="s">
        <v>4513</v>
      </c>
      <c r="AN2803" t="s">
        <v>4519</v>
      </c>
      <c r="AO2803" t="s">
        <v>4519</v>
      </c>
      <c r="AP2803" t="s">
        <v>4519</v>
      </c>
      <c r="AQ2803">
        <v>4</v>
      </c>
      <c r="AR2803" t="s">
        <v>4509</v>
      </c>
      <c r="AS2803" t="s">
        <v>4510</v>
      </c>
      <c r="AT2803" t="s">
        <v>58</v>
      </c>
      <c r="AU2803" t="s">
        <v>68</v>
      </c>
      <c r="AV2803" t="s">
        <v>69</v>
      </c>
      <c r="AW2803" s="1">
        <v>27228</v>
      </c>
      <c r="AX2803">
        <v>2</v>
      </c>
    </row>
    <row r="2804" spans="1:50">
      <c r="A2804">
        <v>194641</v>
      </c>
      <c r="B2804" t="str">
        <f>"053950302"</f>
        <v>053950302</v>
      </c>
      <c r="C2804" t="s">
        <v>105</v>
      </c>
      <c r="D2804" t="s">
        <v>4494</v>
      </c>
      <c r="E2804" t="s">
        <v>377</v>
      </c>
      <c r="F2804" t="s">
        <v>95</v>
      </c>
      <c r="G2804" t="s">
        <v>4602</v>
      </c>
      <c r="H2804" t="str">
        <f>" "</f>
        <v xml:space="preserve"> </v>
      </c>
      <c r="J2804">
        <v>2842024283</v>
      </c>
      <c r="K2804">
        <v>6972093840</v>
      </c>
      <c r="M2804" t="s">
        <v>5638</v>
      </c>
      <c r="N2804" t="s">
        <v>331</v>
      </c>
      <c r="O2804" t="s">
        <v>332</v>
      </c>
      <c r="R2804" t="s">
        <v>57</v>
      </c>
      <c r="S2804">
        <v>10</v>
      </c>
      <c r="T2804">
        <v>193</v>
      </c>
      <c r="U2804" s="1">
        <v>37497</v>
      </c>
      <c r="V2804" t="s">
        <v>4509</v>
      </c>
      <c r="W2804" t="s">
        <v>4510</v>
      </c>
      <c r="X2804" t="s">
        <v>58</v>
      </c>
      <c r="Y2804">
        <v>18</v>
      </c>
      <c r="Z2804" t="s">
        <v>59</v>
      </c>
      <c r="AA2804" t="s">
        <v>59</v>
      </c>
      <c r="AB2804" t="s">
        <v>59</v>
      </c>
      <c r="AC2804" t="s">
        <v>59</v>
      </c>
      <c r="AD2804" t="s">
        <v>59</v>
      </c>
      <c r="AF2804" s="1">
        <v>37500</v>
      </c>
      <c r="AG2804" t="s">
        <v>137</v>
      </c>
      <c r="AH2804" t="s">
        <v>138</v>
      </c>
      <c r="AI2804" t="str">
        <f>"3240120"</f>
        <v>3240120</v>
      </c>
      <c r="AJ2804" t="s">
        <v>4552</v>
      </c>
      <c r="AK2804">
        <v>2842028667</v>
      </c>
      <c r="AL2804" t="s">
        <v>4553</v>
      </c>
      <c r="AM2804" t="s">
        <v>4513</v>
      </c>
      <c r="AN2804" t="s">
        <v>4519</v>
      </c>
      <c r="AO2804" t="s">
        <v>4519</v>
      </c>
      <c r="AP2804" t="s">
        <v>4519</v>
      </c>
      <c r="AQ2804">
        <v>4</v>
      </c>
      <c r="AR2804" t="s">
        <v>4509</v>
      </c>
      <c r="AS2804" t="s">
        <v>4510</v>
      </c>
      <c r="AT2804" t="s">
        <v>58</v>
      </c>
      <c r="AU2804" t="s">
        <v>68</v>
      </c>
      <c r="AV2804" t="s">
        <v>69</v>
      </c>
      <c r="AW2804" s="1">
        <v>24552</v>
      </c>
      <c r="AX2804">
        <v>2</v>
      </c>
    </row>
    <row r="2805" spans="1:50">
      <c r="A2805">
        <v>167888</v>
      </c>
      <c r="B2805" t="str">
        <f>"050141093"</f>
        <v>050141093</v>
      </c>
      <c r="C2805" t="s">
        <v>105</v>
      </c>
      <c r="D2805" t="s">
        <v>4494</v>
      </c>
      <c r="E2805" t="s">
        <v>72</v>
      </c>
      <c r="F2805" t="s">
        <v>760</v>
      </c>
      <c r="G2805" t="s">
        <v>5639</v>
      </c>
      <c r="H2805" t="str">
        <f>" "</f>
        <v xml:space="preserve"> </v>
      </c>
      <c r="M2805" t="s">
        <v>5640</v>
      </c>
      <c r="N2805" t="s">
        <v>146</v>
      </c>
      <c r="O2805" t="s">
        <v>147</v>
      </c>
      <c r="R2805" t="s">
        <v>57</v>
      </c>
      <c r="S2805">
        <v>13</v>
      </c>
      <c r="T2805">
        <v>159</v>
      </c>
      <c r="U2805" s="1">
        <v>34582</v>
      </c>
      <c r="V2805" t="s">
        <v>4509</v>
      </c>
      <c r="W2805" t="s">
        <v>4510</v>
      </c>
      <c r="X2805" t="s">
        <v>58</v>
      </c>
      <c r="Y2805">
        <v>18</v>
      </c>
      <c r="Z2805" t="s">
        <v>59</v>
      </c>
      <c r="AA2805" t="s">
        <v>59</v>
      </c>
      <c r="AB2805" t="s">
        <v>59</v>
      </c>
      <c r="AC2805" t="s">
        <v>59</v>
      </c>
      <c r="AD2805" t="s">
        <v>59</v>
      </c>
      <c r="AF2805" s="1">
        <v>34583</v>
      </c>
      <c r="AG2805" t="s">
        <v>125</v>
      </c>
      <c r="AH2805" t="s">
        <v>126</v>
      </c>
      <c r="AI2805" t="str">
        <f>"3202010"</f>
        <v>3202010</v>
      </c>
      <c r="AJ2805" t="s">
        <v>4517</v>
      </c>
      <c r="AK2805">
        <v>2842028229</v>
      </c>
      <c r="AL2805" t="s">
        <v>4518</v>
      </c>
      <c r="AM2805" t="s">
        <v>4513</v>
      </c>
      <c r="AN2805" t="s">
        <v>4519</v>
      </c>
      <c r="AO2805" t="s">
        <v>4519</v>
      </c>
      <c r="AP2805" t="s">
        <v>4519</v>
      </c>
      <c r="AQ2805">
        <v>4</v>
      </c>
      <c r="AR2805" t="s">
        <v>4509</v>
      </c>
      <c r="AS2805" t="s">
        <v>4510</v>
      </c>
      <c r="AT2805" t="s">
        <v>58</v>
      </c>
      <c r="AU2805" t="s">
        <v>68</v>
      </c>
      <c r="AV2805" t="s">
        <v>69</v>
      </c>
      <c r="AW2805" s="1">
        <v>23120</v>
      </c>
      <c r="AX2805">
        <v>2</v>
      </c>
    </row>
    <row r="2806" spans="1:50">
      <c r="A2806">
        <v>214136</v>
      </c>
      <c r="B2806" t="str">
        <f>"042762752"</f>
        <v>042762752</v>
      </c>
      <c r="C2806" t="s">
        <v>105</v>
      </c>
      <c r="D2806" t="s">
        <v>4494</v>
      </c>
      <c r="E2806" t="s">
        <v>3018</v>
      </c>
      <c r="F2806" t="s">
        <v>377</v>
      </c>
      <c r="G2806" t="s">
        <v>4127</v>
      </c>
      <c r="H2806" t="str">
        <f>" "</f>
        <v xml:space="preserve"> </v>
      </c>
      <c r="J2806">
        <v>2842024289</v>
      </c>
      <c r="K2806">
        <v>6977558504</v>
      </c>
      <c r="M2806" t="s">
        <v>5641</v>
      </c>
      <c r="N2806" t="s">
        <v>288</v>
      </c>
      <c r="O2806" t="s">
        <v>289</v>
      </c>
      <c r="R2806" t="s">
        <v>57</v>
      </c>
      <c r="S2806">
        <v>14</v>
      </c>
      <c r="T2806">
        <v>231</v>
      </c>
      <c r="U2806" s="1">
        <v>38960</v>
      </c>
      <c r="V2806" t="s">
        <v>4509</v>
      </c>
      <c r="W2806" t="s">
        <v>4510</v>
      </c>
      <c r="X2806" t="s">
        <v>58</v>
      </c>
      <c r="Y2806">
        <v>20</v>
      </c>
      <c r="Z2806" t="s">
        <v>59</v>
      </c>
      <c r="AA2806" t="s">
        <v>59</v>
      </c>
      <c r="AB2806" t="s">
        <v>59</v>
      </c>
      <c r="AC2806" t="s">
        <v>59</v>
      </c>
      <c r="AD2806" t="s">
        <v>59</v>
      </c>
      <c r="AF2806" s="1">
        <v>38961</v>
      </c>
      <c r="AG2806" t="s">
        <v>125</v>
      </c>
      <c r="AH2806" t="s">
        <v>126</v>
      </c>
      <c r="AI2806" t="str">
        <f>"3202030"</f>
        <v>3202030</v>
      </c>
      <c r="AJ2806" t="s">
        <v>4558</v>
      </c>
      <c r="AK2806">
        <v>2842028751</v>
      </c>
      <c r="AL2806" t="s">
        <v>4559</v>
      </c>
      <c r="AM2806" t="s">
        <v>4513</v>
      </c>
      <c r="AN2806" t="s">
        <v>4519</v>
      </c>
      <c r="AO2806" t="s">
        <v>4519</v>
      </c>
      <c r="AP2806" t="s">
        <v>4519</v>
      </c>
      <c r="AQ2806">
        <v>4</v>
      </c>
      <c r="AR2806" t="s">
        <v>4509</v>
      </c>
      <c r="AS2806" t="s">
        <v>4510</v>
      </c>
      <c r="AT2806" t="s">
        <v>58</v>
      </c>
      <c r="AU2806" t="s">
        <v>68</v>
      </c>
      <c r="AV2806" t="s">
        <v>69</v>
      </c>
      <c r="AW2806" s="1">
        <v>25643</v>
      </c>
      <c r="AX2806">
        <v>2</v>
      </c>
    </row>
    <row r="2807" spans="1:50">
      <c r="B2807" t="str">
        <f>"301094093"</f>
        <v>301094093</v>
      </c>
      <c r="C2807" t="s">
        <v>50</v>
      </c>
      <c r="D2807" t="s">
        <v>144</v>
      </c>
      <c r="E2807" t="s">
        <v>1155</v>
      </c>
      <c r="F2807" t="s">
        <v>5642</v>
      </c>
      <c r="G2807" t="s">
        <v>52</v>
      </c>
      <c r="H2807" t="str">
        <f>"ΑΓΙΟΥ ΙΩΑΝΝΗ 25 ΡΕΘΥΜΝΟ"</f>
        <v>ΑΓΙΟΥ ΙΩΑΝΝΗ 25 ΡΕΘΥΜΝΟ</v>
      </c>
      <c r="I2807">
        <v>74100</v>
      </c>
      <c r="K2807">
        <v>6976692436</v>
      </c>
      <c r="N2807" t="s">
        <v>536</v>
      </c>
      <c r="O2807" t="s">
        <v>537</v>
      </c>
      <c r="R2807" t="s">
        <v>121</v>
      </c>
      <c r="S2807">
        <v>3</v>
      </c>
      <c r="T2807" t="s">
        <v>5643</v>
      </c>
      <c r="U2807" s="1">
        <v>43348</v>
      </c>
      <c r="V2807" t="s">
        <v>5644</v>
      </c>
      <c r="W2807" t="s">
        <v>5645</v>
      </c>
      <c r="X2807" t="s">
        <v>58</v>
      </c>
      <c r="Y2807">
        <v>23</v>
      </c>
      <c r="Z2807" t="s">
        <v>59</v>
      </c>
      <c r="AA2807" t="s">
        <v>59</v>
      </c>
      <c r="AB2807" t="s">
        <v>59</v>
      </c>
      <c r="AD2807" t="s">
        <v>59</v>
      </c>
      <c r="AF2807" s="1">
        <v>43348</v>
      </c>
      <c r="AG2807" t="s">
        <v>125</v>
      </c>
      <c r="AH2807" t="s">
        <v>126</v>
      </c>
      <c r="AI2807" t="str">
        <f>"4101030"</f>
        <v>4101030</v>
      </c>
      <c r="AJ2807" t="s">
        <v>5646</v>
      </c>
      <c r="AK2807">
        <v>2831022359</v>
      </c>
      <c r="AL2807" t="s">
        <v>5647</v>
      </c>
      <c r="AM2807" t="s">
        <v>64</v>
      </c>
      <c r="AN2807" t="s">
        <v>65</v>
      </c>
      <c r="AO2807" t="s">
        <v>65</v>
      </c>
      <c r="AP2807" t="s">
        <v>65</v>
      </c>
      <c r="AQ2807">
        <v>1</v>
      </c>
      <c r="AR2807" t="s">
        <v>5644</v>
      </c>
      <c r="AS2807" t="s">
        <v>5645</v>
      </c>
      <c r="AT2807" t="s">
        <v>58</v>
      </c>
      <c r="AU2807" t="s">
        <v>350</v>
      </c>
      <c r="AV2807" t="s">
        <v>132</v>
      </c>
      <c r="AW2807" s="1">
        <v>31509</v>
      </c>
      <c r="AX2807">
        <v>2</v>
      </c>
    </row>
    <row r="2808" spans="1:50">
      <c r="B2808" t="str">
        <f>"074365292"</f>
        <v>074365292</v>
      </c>
      <c r="C2808" t="s">
        <v>50</v>
      </c>
      <c r="D2808" t="s">
        <v>187</v>
      </c>
      <c r="E2808" t="s">
        <v>714</v>
      </c>
      <c r="F2808" t="s">
        <v>920</v>
      </c>
      <c r="H2808" t="str">
        <f>" "</f>
        <v xml:space="preserve"> </v>
      </c>
      <c r="K2808">
        <v>6942251602</v>
      </c>
      <c r="M2808" t="s">
        <v>5648</v>
      </c>
      <c r="N2808" t="s">
        <v>299</v>
      </c>
      <c r="O2808" t="s">
        <v>300</v>
      </c>
      <c r="R2808" t="s">
        <v>159</v>
      </c>
      <c r="S2808">
        <v>2</v>
      </c>
      <c r="T2808" t="s">
        <v>416</v>
      </c>
      <c r="U2808" s="1">
        <v>43349</v>
      </c>
      <c r="V2808" t="s">
        <v>5644</v>
      </c>
      <c r="W2808" t="s">
        <v>5645</v>
      </c>
      <c r="X2808" t="s">
        <v>58</v>
      </c>
      <c r="Y2808">
        <v>23</v>
      </c>
      <c r="Z2808" t="s">
        <v>59</v>
      </c>
      <c r="AA2808" t="s">
        <v>59</v>
      </c>
      <c r="AB2808" t="s">
        <v>59</v>
      </c>
      <c r="AC2808" t="s">
        <v>59</v>
      </c>
      <c r="AD2808" t="s">
        <v>59</v>
      </c>
      <c r="AF2808" s="1">
        <v>43349</v>
      </c>
      <c r="AG2808" t="s">
        <v>125</v>
      </c>
      <c r="AH2808" t="s">
        <v>126</v>
      </c>
      <c r="AI2808" t="str">
        <f>"4101030"</f>
        <v>4101030</v>
      </c>
      <c r="AJ2808" t="s">
        <v>5646</v>
      </c>
      <c r="AK2808">
        <v>2831022359</v>
      </c>
      <c r="AL2808" t="s">
        <v>5647</v>
      </c>
      <c r="AM2808" t="s">
        <v>64</v>
      </c>
      <c r="AN2808" t="s">
        <v>65</v>
      </c>
      <c r="AO2808" t="s">
        <v>65</v>
      </c>
      <c r="AP2808" t="s">
        <v>65</v>
      </c>
      <c r="AQ2808">
        <v>1</v>
      </c>
      <c r="AR2808" t="s">
        <v>5644</v>
      </c>
      <c r="AS2808" t="s">
        <v>5645</v>
      </c>
      <c r="AT2808" t="s">
        <v>58</v>
      </c>
      <c r="AU2808" t="s">
        <v>419</v>
      </c>
      <c r="AV2808" t="s">
        <v>132</v>
      </c>
      <c r="AW2808" s="1">
        <v>27025</v>
      </c>
      <c r="AX2808">
        <v>2</v>
      </c>
    </row>
    <row r="2809" spans="1:50">
      <c r="A2809">
        <v>141977</v>
      </c>
      <c r="B2809" t="str">
        <f>"065068957"</f>
        <v>065068957</v>
      </c>
      <c r="C2809" t="s">
        <v>50</v>
      </c>
      <c r="D2809" t="s">
        <v>214</v>
      </c>
      <c r="E2809" t="s">
        <v>143</v>
      </c>
      <c r="F2809" t="s">
        <v>4999</v>
      </c>
      <c r="G2809" t="s">
        <v>52</v>
      </c>
      <c r="H2809" t="str">
        <f>"ΨΥΧΟΥΝΤΑΚΗ 9 ΡΕΘΥΜΝΟ"</f>
        <v>ΨΥΧΟΥΝΤΑΚΗ 9 ΡΕΘΥΜΝΟ</v>
      </c>
      <c r="I2809">
        <v>74100</v>
      </c>
      <c r="K2809">
        <v>6972782638</v>
      </c>
      <c r="N2809" t="s">
        <v>306</v>
      </c>
      <c r="O2809" t="s">
        <v>307</v>
      </c>
      <c r="R2809" t="s">
        <v>57</v>
      </c>
      <c r="S2809">
        <v>19</v>
      </c>
      <c r="T2809">
        <v>311</v>
      </c>
      <c r="U2809" s="1">
        <v>30253</v>
      </c>
      <c r="V2809" t="s">
        <v>5644</v>
      </c>
      <c r="W2809" t="s">
        <v>5645</v>
      </c>
      <c r="X2809" t="s">
        <v>58</v>
      </c>
      <c r="Y2809">
        <v>18</v>
      </c>
      <c r="Z2809" t="s">
        <v>59</v>
      </c>
      <c r="AA2809" t="s">
        <v>59</v>
      </c>
      <c r="AB2809" t="s">
        <v>59</v>
      </c>
      <c r="AC2809" t="s">
        <v>59</v>
      </c>
      <c r="AD2809" t="s">
        <v>59</v>
      </c>
      <c r="AF2809" s="1">
        <v>30257</v>
      </c>
      <c r="AG2809" t="s">
        <v>148</v>
      </c>
      <c r="AH2809" t="s">
        <v>149</v>
      </c>
      <c r="AI2809" t="str">
        <f>"4151009"</f>
        <v>4151009</v>
      </c>
      <c r="AJ2809" t="s">
        <v>5649</v>
      </c>
      <c r="AK2809">
        <v>2831027115</v>
      </c>
      <c r="AL2809" t="s">
        <v>5650</v>
      </c>
      <c r="AM2809" t="s">
        <v>64</v>
      </c>
      <c r="AN2809" t="s">
        <v>65</v>
      </c>
      <c r="AO2809" t="s">
        <v>65</v>
      </c>
      <c r="AP2809" t="s">
        <v>65</v>
      </c>
      <c r="AQ2809">
        <v>1</v>
      </c>
      <c r="AR2809" t="s">
        <v>5644</v>
      </c>
      <c r="AS2809" t="s">
        <v>5645</v>
      </c>
      <c r="AT2809" t="s">
        <v>58</v>
      </c>
      <c r="AU2809" t="s">
        <v>68</v>
      </c>
      <c r="AV2809" t="s">
        <v>69</v>
      </c>
      <c r="AW2809" s="1">
        <v>20539</v>
      </c>
      <c r="AX2809">
        <v>2</v>
      </c>
    </row>
    <row r="2810" spans="1:50">
      <c r="A2810">
        <v>209382</v>
      </c>
      <c r="B2810" t="str">
        <f>"137478682"</f>
        <v>137478682</v>
      </c>
      <c r="C2810" t="s">
        <v>50</v>
      </c>
      <c r="D2810" t="s">
        <v>214</v>
      </c>
      <c r="E2810" t="s">
        <v>134</v>
      </c>
      <c r="F2810" t="s">
        <v>166</v>
      </c>
      <c r="G2810" t="s">
        <v>73</v>
      </c>
      <c r="H2810" t="str">
        <f>"ΕΜΜ. ΠΟΡΤΑΛΙΟΥ 28 ΡΕΘΥΜΝΟ"</f>
        <v>ΕΜΜ. ΠΟΡΤΑΛΙΟΥ 28 ΡΕΘΥΜΝΟ</v>
      </c>
      <c r="I2810">
        <v>74100</v>
      </c>
      <c r="J2810">
        <v>2831051553</v>
      </c>
      <c r="K2810">
        <v>6974625940</v>
      </c>
      <c r="N2810" t="s">
        <v>146</v>
      </c>
      <c r="O2810" t="s">
        <v>147</v>
      </c>
      <c r="R2810" t="s">
        <v>57</v>
      </c>
      <c r="S2810">
        <v>6</v>
      </c>
      <c r="T2810" t="s">
        <v>5651</v>
      </c>
      <c r="U2810" s="1">
        <v>38604</v>
      </c>
      <c r="V2810" t="s">
        <v>5644</v>
      </c>
      <c r="W2810" t="s">
        <v>5645</v>
      </c>
      <c r="X2810" t="s">
        <v>58</v>
      </c>
      <c r="Y2810">
        <v>20</v>
      </c>
      <c r="Z2810" t="s">
        <v>59</v>
      </c>
      <c r="AA2810" t="s">
        <v>59</v>
      </c>
      <c r="AB2810" t="s">
        <v>59</v>
      </c>
      <c r="AC2810" t="s">
        <v>59</v>
      </c>
      <c r="AD2810" t="s">
        <v>59</v>
      </c>
      <c r="AF2810" s="1">
        <v>38607</v>
      </c>
      <c r="AG2810" t="s">
        <v>125</v>
      </c>
      <c r="AH2810" t="s">
        <v>126</v>
      </c>
      <c r="AI2810" t="str">
        <f>"4101020"</f>
        <v>4101020</v>
      </c>
      <c r="AJ2810" t="s">
        <v>5652</v>
      </c>
      <c r="AK2810">
        <v>2831023560</v>
      </c>
      <c r="AL2810" t="s">
        <v>5653</v>
      </c>
      <c r="AM2810" t="s">
        <v>64</v>
      </c>
      <c r="AN2810" t="s">
        <v>65</v>
      </c>
      <c r="AO2810" t="s">
        <v>65</v>
      </c>
      <c r="AP2810" t="s">
        <v>65</v>
      </c>
      <c r="AQ2810">
        <v>1</v>
      </c>
      <c r="AR2810" t="s">
        <v>5644</v>
      </c>
      <c r="AS2810" t="s">
        <v>5645</v>
      </c>
      <c r="AT2810" t="s">
        <v>58</v>
      </c>
      <c r="AU2810" t="s">
        <v>68</v>
      </c>
      <c r="AV2810" t="s">
        <v>69</v>
      </c>
      <c r="AW2810" s="1">
        <v>27569</v>
      </c>
      <c r="AX2810">
        <v>2</v>
      </c>
    </row>
    <row r="2811" spans="1:50">
      <c r="A2811">
        <v>173226</v>
      </c>
      <c r="B2811" t="str">
        <f>"043631774"</f>
        <v>043631774</v>
      </c>
      <c r="C2811" t="s">
        <v>50</v>
      </c>
      <c r="D2811" t="s">
        <v>214</v>
      </c>
      <c r="E2811" t="s">
        <v>215</v>
      </c>
      <c r="F2811" t="s">
        <v>53</v>
      </c>
      <c r="G2811" t="s">
        <v>255</v>
      </c>
      <c r="H2811" t="str">
        <f>"ΑΚΡΩΤΗΡΙΟΥ 14 ΧΑΝΙΑ"</f>
        <v>ΑΚΡΩΤΗΡΙΟΥ 14 ΧΑΝΙΑ</v>
      </c>
      <c r="I2811">
        <v>73100</v>
      </c>
      <c r="J2811">
        <v>2831022452</v>
      </c>
      <c r="K2811">
        <v>6977701002</v>
      </c>
      <c r="M2811" t="s">
        <v>5654</v>
      </c>
      <c r="N2811" t="s">
        <v>146</v>
      </c>
      <c r="O2811" t="s">
        <v>147</v>
      </c>
      <c r="R2811" t="s">
        <v>57</v>
      </c>
      <c r="S2811">
        <v>13</v>
      </c>
      <c r="T2811">
        <v>166</v>
      </c>
      <c r="U2811" s="1">
        <v>35300</v>
      </c>
      <c r="V2811" t="s">
        <v>5644</v>
      </c>
      <c r="W2811" t="s">
        <v>5645</v>
      </c>
      <c r="X2811" t="s">
        <v>58</v>
      </c>
      <c r="Y2811">
        <v>18</v>
      </c>
      <c r="Z2811" t="s">
        <v>59</v>
      </c>
      <c r="AA2811" t="s">
        <v>59</v>
      </c>
      <c r="AB2811" t="s">
        <v>59</v>
      </c>
      <c r="AC2811" t="s">
        <v>59</v>
      </c>
      <c r="AD2811" t="s">
        <v>59</v>
      </c>
      <c r="AF2811" s="1">
        <v>35310</v>
      </c>
      <c r="AG2811" t="s">
        <v>148</v>
      </c>
      <c r="AH2811" t="s">
        <v>149</v>
      </c>
      <c r="AI2811" t="str">
        <f>"4144002"</f>
        <v>4144002</v>
      </c>
      <c r="AJ2811" t="s">
        <v>5655</v>
      </c>
      <c r="AK2811">
        <v>2831061110</v>
      </c>
      <c r="AL2811" t="s">
        <v>5656</v>
      </c>
      <c r="AM2811" t="s">
        <v>64</v>
      </c>
      <c r="AN2811" t="s">
        <v>65</v>
      </c>
      <c r="AO2811" t="s">
        <v>5657</v>
      </c>
      <c r="AP2811" t="s">
        <v>1437</v>
      </c>
      <c r="AQ2811">
        <v>1</v>
      </c>
      <c r="AR2811" t="s">
        <v>5644</v>
      </c>
      <c r="AS2811" t="s">
        <v>5645</v>
      </c>
      <c r="AT2811" t="s">
        <v>58</v>
      </c>
      <c r="AU2811" t="s">
        <v>68</v>
      </c>
      <c r="AV2811" t="s">
        <v>69</v>
      </c>
      <c r="AW2811" s="1">
        <v>24490</v>
      </c>
      <c r="AX2811">
        <v>2</v>
      </c>
    </row>
    <row r="2812" spans="1:50">
      <c r="A2812">
        <v>186885</v>
      </c>
      <c r="B2812" t="str">
        <f>"044281386"</f>
        <v>044281386</v>
      </c>
      <c r="C2812" t="s">
        <v>105</v>
      </c>
      <c r="D2812" t="s">
        <v>5658</v>
      </c>
      <c r="E2812" t="s">
        <v>315</v>
      </c>
      <c r="F2812" t="s">
        <v>459</v>
      </c>
      <c r="G2812" t="s">
        <v>476</v>
      </c>
      <c r="H2812" t="str">
        <f>"ΠΛΑΤΕΙΑ ΤΕΡΨΙΘΕΑΣ 3 ΘΕΣΣΑΛΟΝΙΚΗ"</f>
        <v>ΠΛΑΤΕΙΑ ΤΕΡΨΙΘΕΑΣ 3 ΘΕΣΣΑΛΟΝΙΚΗ</v>
      </c>
      <c r="I2812">
        <v>54633</v>
      </c>
      <c r="J2812">
        <v>2310286759</v>
      </c>
      <c r="K2812">
        <v>6972827929</v>
      </c>
      <c r="M2812" t="s">
        <v>5659</v>
      </c>
      <c r="N2812" t="s">
        <v>176</v>
      </c>
      <c r="O2812" t="s">
        <v>177</v>
      </c>
      <c r="R2812" t="s">
        <v>57</v>
      </c>
      <c r="S2812">
        <v>11</v>
      </c>
      <c r="T2812">
        <v>251</v>
      </c>
      <c r="U2812" s="1">
        <v>36769</v>
      </c>
      <c r="V2812" t="s">
        <v>5644</v>
      </c>
      <c r="W2812" t="s">
        <v>5645</v>
      </c>
      <c r="X2812" t="s">
        <v>58</v>
      </c>
      <c r="Y2812">
        <v>20</v>
      </c>
      <c r="Z2812" t="s">
        <v>59</v>
      </c>
      <c r="AA2812" t="s">
        <v>59</v>
      </c>
      <c r="AB2812" t="s">
        <v>59</v>
      </c>
      <c r="AC2812" t="s">
        <v>59</v>
      </c>
      <c r="AD2812" t="s">
        <v>59</v>
      </c>
      <c r="AF2812" s="1">
        <v>36773</v>
      </c>
      <c r="AG2812" t="s">
        <v>125</v>
      </c>
      <c r="AH2812" t="s">
        <v>126</v>
      </c>
      <c r="AI2812" t="str">
        <f>"4101020"</f>
        <v>4101020</v>
      </c>
      <c r="AJ2812" t="s">
        <v>5652</v>
      </c>
      <c r="AK2812">
        <v>2831023560</v>
      </c>
      <c r="AL2812" t="s">
        <v>5653</v>
      </c>
      <c r="AM2812" t="s">
        <v>64</v>
      </c>
      <c r="AN2812" t="s">
        <v>65</v>
      </c>
      <c r="AO2812" t="s">
        <v>65</v>
      </c>
      <c r="AP2812" t="s">
        <v>65</v>
      </c>
      <c r="AQ2812">
        <v>1</v>
      </c>
      <c r="AR2812" t="s">
        <v>5644</v>
      </c>
      <c r="AS2812" t="s">
        <v>5645</v>
      </c>
      <c r="AT2812" t="s">
        <v>58</v>
      </c>
      <c r="AU2812" t="s">
        <v>68</v>
      </c>
      <c r="AV2812" t="s">
        <v>69</v>
      </c>
      <c r="AW2812" s="1">
        <v>24545</v>
      </c>
      <c r="AX2812">
        <v>2</v>
      </c>
    </row>
    <row r="2813" spans="1:50">
      <c r="A2813">
        <v>217732</v>
      </c>
      <c r="B2813" t="str">
        <f>"043417087"</f>
        <v>043417087</v>
      </c>
      <c r="C2813" t="s">
        <v>105</v>
      </c>
      <c r="D2813" t="s">
        <v>5660</v>
      </c>
      <c r="E2813" t="s">
        <v>53</v>
      </c>
      <c r="F2813" t="s">
        <v>383</v>
      </c>
      <c r="G2813" t="s">
        <v>372</v>
      </c>
      <c r="H2813" t="str">
        <f>"ΓΑΛΛΟΣ ΡΕΘΥΜΝΟ"</f>
        <v>ΓΑΛΛΟΣ ΡΕΘΥΜΝΟ</v>
      </c>
      <c r="I2813">
        <v>74100</v>
      </c>
      <c r="J2813">
        <v>2821097802</v>
      </c>
      <c r="K2813">
        <v>6972582328</v>
      </c>
      <c r="N2813" t="s">
        <v>292</v>
      </c>
      <c r="O2813" t="s">
        <v>293</v>
      </c>
      <c r="R2813" t="s">
        <v>57</v>
      </c>
      <c r="S2813">
        <v>6</v>
      </c>
      <c r="T2813">
        <v>599</v>
      </c>
      <c r="U2813" s="1">
        <v>39310</v>
      </c>
      <c r="V2813" t="s">
        <v>5644</v>
      </c>
      <c r="W2813" t="s">
        <v>5645</v>
      </c>
      <c r="X2813" t="s">
        <v>58</v>
      </c>
      <c r="Y2813">
        <v>20</v>
      </c>
      <c r="Z2813" t="s">
        <v>59</v>
      </c>
      <c r="AA2813" t="s">
        <v>59</v>
      </c>
      <c r="AB2813" t="s">
        <v>59</v>
      </c>
      <c r="AC2813" t="s">
        <v>59</v>
      </c>
      <c r="AD2813" t="s">
        <v>59</v>
      </c>
      <c r="AF2813" s="1">
        <v>39328</v>
      </c>
      <c r="AG2813" t="s">
        <v>137</v>
      </c>
      <c r="AH2813" t="s">
        <v>138</v>
      </c>
      <c r="AI2813" t="str">
        <f>"4150040"</f>
        <v>4150040</v>
      </c>
      <c r="AJ2813" t="s">
        <v>5661</v>
      </c>
      <c r="AK2813">
        <v>2831029048</v>
      </c>
      <c r="AL2813" t="s">
        <v>5662</v>
      </c>
      <c r="AM2813" t="s">
        <v>64</v>
      </c>
      <c r="AN2813" t="s">
        <v>65</v>
      </c>
      <c r="AO2813" t="s">
        <v>65</v>
      </c>
      <c r="AP2813" t="s">
        <v>65</v>
      </c>
      <c r="AQ2813">
        <v>1</v>
      </c>
      <c r="AR2813" t="s">
        <v>5644</v>
      </c>
      <c r="AS2813" t="s">
        <v>5645</v>
      </c>
      <c r="AT2813" t="s">
        <v>58</v>
      </c>
      <c r="AU2813" t="s">
        <v>68</v>
      </c>
      <c r="AV2813" t="s">
        <v>69</v>
      </c>
      <c r="AW2813" s="1">
        <v>25084</v>
      </c>
      <c r="AX2813">
        <v>2</v>
      </c>
    </row>
    <row r="2814" spans="1:50">
      <c r="B2814" t="str">
        <f>"101562060"</f>
        <v>101562060</v>
      </c>
      <c r="C2814" t="s">
        <v>50</v>
      </c>
      <c r="D2814" t="s">
        <v>320</v>
      </c>
      <c r="E2814" t="s">
        <v>460</v>
      </c>
      <c r="F2814" t="s">
        <v>72</v>
      </c>
      <c r="G2814" t="s">
        <v>237</v>
      </c>
      <c r="H2814" t="str">
        <f>"ΒΑΣΙΛΕΙΟΥ ΠΟΘΟΥΛΑΚΗ 7 "</f>
        <v xml:space="preserve">ΒΑΣΙΛΕΙΟΥ ΠΟΘΟΥΛΑΚΗ 7 </v>
      </c>
      <c r="I2814">
        <v>73134</v>
      </c>
      <c r="J2814">
        <v>2821073997</v>
      </c>
      <c r="K2814">
        <v>6974032590</v>
      </c>
      <c r="M2814" t="s">
        <v>5663</v>
      </c>
      <c r="N2814" t="s">
        <v>765</v>
      </c>
      <c r="O2814" t="s">
        <v>766</v>
      </c>
      <c r="R2814" t="s">
        <v>159</v>
      </c>
      <c r="S2814">
        <v>2</v>
      </c>
      <c r="T2814" t="s">
        <v>574</v>
      </c>
      <c r="U2814" s="1">
        <v>43378</v>
      </c>
      <c r="V2814" t="s">
        <v>5644</v>
      </c>
      <c r="W2814" t="s">
        <v>5645</v>
      </c>
      <c r="X2814" t="s">
        <v>58</v>
      </c>
      <c r="Y2814">
        <v>24</v>
      </c>
      <c r="Z2814" t="s">
        <v>59</v>
      </c>
      <c r="AA2814" t="s">
        <v>59</v>
      </c>
      <c r="AB2814" t="s">
        <v>59</v>
      </c>
      <c r="AC2814" t="s">
        <v>59</v>
      </c>
      <c r="AD2814" t="s">
        <v>59</v>
      </c>
      <c r="AF2814" s="1">
        <v>43381</v>
      </c>
      <c r="AG2814" t="s">
        <v>137</v>
      </c>
      <c r="AH2814" t="s">
        <v>138</v>
      </c>
      <c r="AI2814" t="str">
        <f>"4150040"</f>
        <v>4150040</v>
      </c>
      <c r="AJ2814" t="s">
        <v>5661</v>
      </c>
      <c r="AK2814">
        <v>2831029048</v>
      </c>
      <c r="AL2814" t="s">
        <v>5662</v>
      </c>
      <c r="AM2814" t="s">
        <v>64</v>
      </c>
      <c r="AN2814" t="s">
        <v>65</v>
      </c>
      <c r="AO2814" t="s">
        <v>65</v>
      </c>
      <c r="AP2814" t="s">
        <v>65</v>
      </c>
      <c r="AQ2814">
        <v>1</v>
      </c>
      <c r="AR2814" t="s">
        <v>5644</v>
      </c>
      <c r="AS2814" t="s">
        <v>5645</v>
      </c>
      <c r="AT2814" t="s">
        <v>58</v>
      </c>
      <c r="AU2814" t="s">
        <v>164</v>
      </c>
      <c r="AV2814" t="s">
        <v>132</v>
      </c>
      <c r="AW2814" s="1">
        <v>28425</v>
      </c>
      <c r="AX2814">
        <v>2</v>
      </c>
    </row>
    <row r="2815" spans="1:50">
      <c r="A2815">
        <v>215087</v>
      </c>
      <c r="B2815" t="str">
        <f>"110746367"</f>
        <v>110746367</v>
      </c>
      <c r="C2815" t="s">
        <v>105</v>
      </c>
      <c r="D2815" t="s">
        <v>5664</v>
      </c>
      <c r="E2815" t="s">
        <v>95</v>
      </c>
      <c r="F2815" t="s">
        <v>106</v>
      </c>
      <c r="G2815" t="s">
        <v>52</v>
      </c>
      <c r="H2815" t="str">
        <f>"ΠΗΝΕΙΟΥ 6 ΗΡΑΚΛΕΙΟ "</f>
        <v xml:space="preserve">ΠΗΝΕΙΟΥ 6 ΗΡΑΚΛΕΙΟ </v>
      </c>
      <c r="I2815">
        <v>71303</v>
      </c>
      <c r="J2815">
        <v>2810261927</v>
      </c>
      <c r="K2815">
        <v>6937137702</v>
      </c>
      <c r="N2815" t="s">
        <v>299</v>
      </c>
      <c r="O2815" t="s">
        <v>300</v>
      </c>
      <c r="R2815" t="s">
        <v>57</v>
      </c>
      <c r="S2815">
        <v>8</v>
      </c>
      <c r="T2815">
        <v>231</v>
      </c>
      <c r="U2815" s="1">
        <v>38960</v>
      </c>
      <c r="V2815" t="s">
        <v>5644</v>
      </c>
      <c r="W2815" t="s">
        <v>5645</v>
      </c>
      <c r="X2815" t="s">
        <v>58</v>
      </c>
      <c r="Y2815">
        <v>20</v>
      </c>
      <c r="Z2815" t="s">
        <v>59</v>
      </c>
      <c r="AA2815" t="s">
        <v>59</v>
      </c>
      <c r="AB2815" t="s">
        <v>59</v>
      </c>
      <c r="AC2815" t="s">
        <v>59</v>
      </c>
      <c r="AD2815" t="s">
        <v>59</v>
      </c>
      <c r="AF2815" s="1">
        <v>38961</v>
      </c>
      <c r="AG2815" t="s">
        <v>137</v>
      </c>
      <c r="AH2815" t="s">
        <v>138</v>
      </c>
      <c r="AI2815" t="str">
        <f>"4152001"</f>
        <v>4152001</v>
      </c>
      <c r="AJ2815" t="s">
        <v>5665</v>
      </c>
      <c r="AK2815">
        <v>2831024375</v>
      </c>
      <c r="AL2815" t="s">
        <v>5666</v>
      </c>
      <c r="AM2815" t="s">
        <v>64</v>
      </c>
      <c r="AN2815" t="s">
        <v>65</v>
      </c>
      <c r="AO2815" t="s">
        <v>65</v>
      </c>
      <c r="AP2815" t="s">
        <v>65</v>
      </c>
      <c r="AQ2815">
        <v>1</v>
      </c>
      <c r="AR2815" t="s">
        <v>5644</v>
      </c>
      <c r="AS2815" t="s">
        <v>5645</v>
      </c>
      <c r="AT2815" t="s">
        <v>58</v>
      </c>
      <c r="AU2815" t="s">
        <v>68</v>
      </c>
      <c r="AV2815" t="s">
        <v>132</v>
      </c>
      <c r="AW2815" s="1">
        <v>28131</v>
      </c>
      <c r="AX2815">
        <v>2</v>
      </c>
    </row>
    <row r="2816" spans="1:50">
      <c r="B2816" t="str">
        <f>"133703690"</f>
        <v>133703690</v>
      </c>
      <c r="C2816" t="s">
        <v>50</v>
      </c>
      <c r="D2816" t="s">
        <v>5667</v>
      </c>
      <c r="E2816" t="s">
        <v>83</v>
      </c>
      <c r="F2816" t="s">
        <v>72</v>
      </c>
      <c r="G2816" t="s">
        <v>191</v>
      </c>
      <c r="H2816" t="str">
        <f>"ΚΑΠΟΔΙΣΤΡΙΟΥ 2 ΡΕΘΥΜΝΟ"</f>
        <v>ΚΑΠΟΔΙΣΤΡΙΟΥ 2 ΡΕΘΥΜΝΟ</v>
      </c>
      <c r="I2816">
        <v>74133</v>
      </c>
      <c r="K2816">
        <v>6938004021</v>
      </c>
      <c r="M2816" t="s">
        <v>5668</v>
      </c>
      <c r="N2816" t="s">
        <v>146</v>
      </c>
      <c r="O2816" t="s">
        <v>147</v>
      </c>
      <c r="R2816" t="s">
        <v>121</v>
      </c>
      <c r="S2816">
        <v>1</v>
      </c>
      <c r="T2816" t="s">
        <v>416</v>
      </c>
      <c r="U2816" s="1">
        <v>43349</v>
      </c>
      <c r="V2816" t="s">
        <v>5644</v>
      </c>
      <c r="W2816" t="s">
        <v>5645</v>
      </c>
      <c r="X2816" t="s">
        <v>58</v>
      </c>
      <c r="Y2816">
        <v>23</v>
      </c>
      <c r="Z2816" t="s">
        <v>59</v>
      </c>
      <c r="AA2816" t="s">
        <v>59</v>
      </c>
      <c r="AB2816" t="s">
        <v>59</v>
      </c>
      <c r="AD2816" t="s">
        <v>59</v>
      </c>
      <c r="AF2816" s="1">
        <v>43349</v>
      </c>
      <c r="AG2816" t="s">
        <v>137</v>
      </c>
      <c r="AH2816" t="s">
        <v>138</v>
      </c>
      <c r="AI2816" t="str">
        <f>"4150040"</f>
        <v>4150040</v>
      </c>
      <c r="AJ2816" t="s">
        <v>5661</v>
      </c>
      <c r="AK2816">
        <v>2831029048</v>
      </c>
      <c r="AL2816" t="s">
        <v>5662</v>
      </c>
      <c r="AM2816" t="s">
        <v>64</v>
      </c>
      <c r="AN2816" t="s">
        <v>65</v>
      </c>
      <c r="AO2816" t="s">
        <v>65</v>
      </c>
      <c r="AP2816" t="s">
        <v>65</v>
      </c>
      <c r="AQ2816">
        <v>1</v>
      </c>
      <c r="AR2816" t="s">
        <v>5644</v>
      </c>
      <c r="AS2816" t="s">
        <v>5645</v>
      </c>
      <c r="AT2816" t="s">
        <v>58</v>
      </c>
      <c r="AU2816" t="s">
        <v>419</v>
      </c>
      <c r="AV2816" t="s">
        <v>132</v>
      </c>
      <c r="AW2816" s="1">
        <v>29128</v>
      </c>
      <c r="AX2816">
        <v>2</v>
      </c>
    </row>
    <row r="2817" spans="1:50">
      <c r="B2817" t="str">
        <f>"120041572"</f>
        <v>120041572</v>
      </c>
      <c r="C2817" t="s">
        <v>50</v>
      </c>
      <c r="D2817" t="s">
        <v>433</v>
      </c>
      <c r="E2817" t="s">
        <v>52</v>
      </c>
      <c r="F2817" t="s">
        <v>166</v>
      </c>
      <c r="G2817" t="s">
        <v>255</v>
      </c>
      <c r="H2817" t="str">
        <f>"ΚΟΥΡΜΟΥΛΗ 125 ΡΕΘΥΜΝΟ"</f>
        <v>ΚΟΥΡΜΟΥΛΗ 125 ΡΕΘΥΜΝΟ</v>
      </c>
      <c r="I2817">
        <v>74100</v>
      </c>
      <c r="J2817">
        <v>2831040925</v>
      </c>
      <c r="K2817">
        <v>6972842864</v>
      </c>
      <c r="M2817" t="s">
        <v>5669</v>
      </c>
      <c r="N2817" t="s">
        <v>146</v>
      </c>
      <c r="O2817" t="s">
        <v>147</v>
      </c>
      <c r="R2817" t="s">
        <v>121</v>
      </c>
      <c r="S2817">
        <v>1</v>
      </c>
      <c r="T2817" t="s">
        <v>416</v>
      </c>
      <c r="U2817" s="1">
        <v>43349</v>
      </c>
      <c r="V2817" t="s">
        <v>5644</v>
      </c>
      <c r="W2817" t="s">
        <v>5645</v>
      </c>
      <c r="X2817" t="s">
        <v>58</v>
      </c>
      <c r="Y2817">
        <v>23</v>
      </c>
      <c r="Z2817" t="s">
        <v>59</v>
      </c>
      <c r="AA2817" t="s">
        <v>59</v>
      </c>
      <c r="AB2817" t="s">
        <v>59</v>
      </c>
      <c r="AC2817" t="s">
        <v>59</v>
      </c>
      <c r="AD2817" t="s">
        <v>59</v>
      </c>
      <c r="AF2817" s="1">
        <v>43349</v>
      </c>
      <c r="AG2817" t="s">
        <v>148</v>
      </c>
      <c r="AH2817" t="s">
        <v>149</v>
      </c>
      <c r="AI2817" t="str">
        <f>"4153010"</f>
        <v>4153010</v>
      </c>
      <c r="AJ2817" t="s">
        <v>5670</v>
      </c>
      <c r="AK2817">
        <v>2834052090</v>
      </c>
      <c r="AL2817" t="s">
        <v>5671</v>
      </c>
      <c r="AM2817" t="s">
        <v>64</v>
      </c>
      <c r="AN2817" t="s">
        <v>5672</v>
      </c>
      <c r="AO2817" t="s">
        <v>5673</v>
      </c>
      <c r="AP2817" t="s">
        <v>5674</v>
      </c>
      <c r="AQ2817">
        <v>2</v>
      </c>
      <c r="AR2817" t="s">
        <v>5644</v>
      </c>
      <c r="AS2817" t="s">
        <v>5645</v>
      </c>
      <c r="AT2817" t="s">
        <v>58</v>
      </c>
      <c r="AU2817" t="s">
        <v>419</v>
      </c>
      <c r="AV2817" t="s">
        <v>132</v>
      </c>
      <c r="AW2817" s="1">
        <v>30193</v>
      </c>
      <c r="AX2817">
        <v>2</v>
      </c>
    </row>
    <row r="2818" spans="1:50">
      <c r="A2818">
        <v>182730</v>
      </c>
      <c r="B2818" t="str">
        <f>"043770669"</f>
        <v>043770669</v>
      </c>
      <c r="C2818" t="s">
        <v>50</v>
      </c>
      <c r="D2818" t="s">
        <v>5675</v>
      </c>
      <c r="E2818" t="s">
        <v>52</v>
      </c>
      <c r="F2818" t="s">
        <v>2733</v>
      </c>
      <c r="G2818" t="s">
        <v>191</v>
      </c>
      <c r="H2818" t="str">
        <f>"ΒΙΟΛΙ ΧΑΡΑΚΙ ΘΥΡΙΔΑ: 4-101 ΡΕΘΥΜΝΟ"</f>
        <v>ΒΙΟΛΙ ΧΑΡΑΚΙ ΘΥΡΙΔΑ: 4-101 ΡΕΘΥΜΝΟ</v>
      </c>
      <c r="I2818">
        <v>74100</v>
      </c>
      <c r="J2818">
        <v>2831036211</v>
      </c>
      <c r="K2818">
        <v>6977086685</v>
      </c>
      <c r="M2818" t="s">
        <v>5676</v>
      </c>
      <c r="N2818" t="s">
        <v>478</v>
      </c>
      <c r="O2818" t="s">
        <v>479</v>
      </c>
      <c r="R2818" t="s">
        <v>57</v>
      </c>
      <c r="S2818">
        <v>10</v>
      </c>
      <c r="T2818">
        <v>249</v>
      </c>
      <c r="U2818" s="1">
        <v>36160</v>
      </c>
      <c r="V2818" t="s">
        <v>5644</v>
      </c>
      <c r="W2818" t="s">
        <v>5645</v>
      </c>
      <c r="X2818" t="s">
        <v>58</v>
      </c>
      <c r="Y2818">
        <v>18</v>
      </c>
      <c r="Z2818" t="s">
        <v>59</v>
      </c>
      <c r="AA2818" t="s">
        <v>59</v>
      </c>
      <c r="AB2818" t="s">
        <v>59</v>
      </c>
      <c r="AC2818" t="s">
        <v>59</v>
      </c>
      <c r="AD2818" t="s">
        <v>59</v>
      </c>
      <c r="AF2818" s="1">
        <v>36160</v>
      </c>
      <c r="AG2818" t="s">
        <v>125</v>
      </c>
      <c r="AH2818" t="s">
        <v>294</v>
      </c>
      <c r="AI2818" t="str">
        <f>"4101045"</f>
        <v>4101045</v>
      </c>
      <c r="AJ2818" t="s">
        <v>5677</v>
      </c>
      <c r="AK2818">
        <v>2831027553</v>
      </c>
      <c r="AL2818" t="s">
        <v>5678</v>
      </c>
      <c r="AM2818" t="s">
        <v>64</v>
      </c>
      <c r="AN2818" t="s">
        <v>65</v>
      </c>
      <c r="AO2818" t="s">
        <v>65</v>
      </c>
      <c r="AP2818" t="s">
        <v>65</v>
      </c>
      <c r="AQ2818">
        <v>1</v>
      </c>
      <c r="AR2818" t="s">
        <v>5644</v>
      </c>
      <c r="AS2818" t="s">
        <v>5645</v>
      </c>
      <c r="AT2818" t="s">
        <v>58</v>
      </c>
      <c r="AU2818" t="s">
        <v>68</v>
      </c>
      <c r="AV2818" t="s">
        <v>69</v>
      </c>
      <c r="AW2818" s="1">
        <v>19648</v>
      </c>
      <c r="AX2818">
        <v>2</v>
      </c>
    </row>
    <row r="2819" spans="1:50">
      <c r="A2819">
        <v>212571</v>
      </c>
      <c r="B2819" t="str">
        <f>"079146047"</f>
        <v>079146047</v>
      </c>
      <c r="C2819" t="s">
        <v>50</v>
      </c>
      <c r="D2819" t="s">
        <v>5679</v>
      </c>
      <c r="E2819" t="s">
        <v>934</v>
      </c>
      <c r="F2819" t="s">
        <v>53</v>
      </c>
      <c r="G2819" t="s">
        <v>396</v>
      </c>
      <c r="H2819" t="str">
        <f>"ΑΝΘ/ΓΟΥ Π.ΨΥΧΟΥΝΤΑΚΗ 1 ΡΕΘΥΜΝΟ"</f>
        <v>ΑΝΘ/ΓΟΥ Π.ΨΥΧΟΥΝΤΑΚΗ 1 ΡΕΘΥΜΝΟ</v>
      </c>
      <c r="I2819">
        <v>74100</v>
      </c>
      <c r="J2819">
        <v>2831026857</v>
      </c>
      <c r="K2819">
        <v>6938221227</v>
      </c>
      <c r="M2819" t="s">
        <v>5680</v>
      </c>
      <c r="N2819" t="s">
        <v>292</v>
      </c>
      <c r="O2819" t="s">
        <v>293</v>
      </c>
      <c r="R2819" t="s">
        <v>57</v>
      </c>
      <c r="S2819">
        <v>10</v>
      </c>
      <c r="T2819">
        <v>231</v>
      </c>
      <c r="U2819" s="1">
        <v>38960</v>
      </c>
      <c r="V2819" t="s">
        <v>5644</v>
      </c>
      <c r="W2819" t="s">
        <v>5645</v>
      </c>
      <c r="X2819" t="s">
        <v>58</v>
      </c>
      <c r="Y2819">
        <v>20</v>
      </c>
      <c r="Z2819" t="s">
        <v>59</v>
      </c>
      <c r="AA2819" t="s">
        <v>59</v>
      </c>
      <c r="AB2819" t="s">
        <v>59</v>
      </c>
      <c r="AC2819" t="s">
        <v>59</v>
      </c>
      <c r="AD2819" t="s">
        <v>59</v>
      </c>
      <c r="AF2819" s="1">
        <v>38961</v>
      </c>
      <c r="AG2819" t="s">
        <v>148</v>
      </c>
      <c r="AH2819" t="s">
        <v>149</v>
      </c>
      <c r="AI2819" t="str">
        <f>"4151030"</f>
        <v>4151030</v>
      </c>
      <c r="AJ2819" t="s">
        <v>5681</v>
      </c>
      <c r="AK2819">
        <v>2831023422</v>
      </c>
      <c r="AL2819" t="s">
        <v>5682</v>
      </c>
      <c r="AM2819" t="s">
        <v>64</v>
      </c>
      <c r="AN2819" t="s">
        <v>65</v>
      </c>
      <c r="AO2819" t="s">
        <v>65</v>
      </c>
      <c r="AP2819" t="s">
        <v>65</v>
      </c>
      <c r="AQ2819">
        <v>1</v>
      </c>
      <c r="AR2819" t="s">
        <v>5644</v>
      </c>
      <c r="AS2819" t="s">
        <v>5645</v>
      </c>
      <c r="AT2819" t="s">
        <v>58</v>
      </c>
      <c r="AU2819" t="s">
        <v>68</v>
      </c>
      <c r="AV2819" t="s">
        <v>69</v>
      </c>
      <c r="AW2819" s="1">
        <v>26310</v>
      </c>
      <c r="AX2819">
        <v>2</v>
      </c>
    </row>
    <row r="2820" spans="1:50">
      <c r="A2820">
        <v>212573</v>
      </c>
      <c r="B2820" t="str">
        <f>"034027260"</f>
        <v>034027260</v>
      </c>
      <c r="C2820" t="s">
        <v>105</v>
      </c>
      <c r="D2820" t="s">
        <v>5683</v>
      </c>
      <c r="E2820" t="s">
        <v>53</v>
      </c>
      <c r="F2820" t="s">
        <v>995</v>
      </c>
      <c r="G2820" t="s">
        <v>255</v>
      </c>
      <c r="H2820" t="str">
        <f>"ΕΥΡΙΔΙΚΗΣ 5 ΡΕΘΥΜΝΟ"</f>
        <v>ΕΥΡΙΔΙΚΗΣ 5 ΡΕΘΥΜΝΟ</v>
      </c>
      <c r="I2820">
        <v>74100</v>
      </c>
      <c r="J2820">
        <v>2104945604</v>
      </c>
      <c r="K2820">
        <v>6977022458</v>
      </c>
      <c r="N2820" t="s">
        <v>292</v>
      </c>
      <c r="O2820" t="s">
        <v>293</v>
      </c>
      <c r="R2820" t="s">
        <v>57</v>
      </c>
      <c r="S2820">
        <v>6</v>
      </c>
      <c r="T2820">
        <v>231</v>
      </c>
      <c r="U2820" s="1">
        <v>38960</v>
      </c>
      <c r="V2820" t="s">
        <v>5644</v>
      </c>
      <c r="W2820" t="s">
        <v>5645</v>
      </c>
      <c r="X2820" t="s">
        <v>58</v>
      </c>
      <c r="Y2820">
        <v>20</v>
      </c>
      <c r="Z2820" t="s">
        <v>59</v>
      </c>
      <c r="AA2820" t="s">
        <v>59</v>
      </c>
      <c r="AB2820" t="s">
        <v>59</v>
      </c>
      <c r="AC2820" t="s">
        <v>59</v>
      </c>
      <c r="AD2820" t="s">
        <v>59</v>
      </c>
      <c r="AF2820" s="1">
        <v>38961</v>
      </c>
      <c r="AG2820" t="s">
        <v>125</v>
      </c>
      <c r="AH2820" t="s">
        <v>126</v>
      </c>
      <c r="AI2820" t="str">
        <f>"4103010"</f>
        <v>4103010</v>
      </c>
      <c r="AJ2820" t="s">
        <v>5684</v>
      </c>
      <c r="AK2820">
        <v>2834051206</v>
      </c>
      <c r="AL2820" t="s">
        <v>5685</v>
      </c>
      <c r="AM2820" t="s">
        <v>64</v>
      </c>
      <c r="AN2820" t="s">
        <v>5672</v>
      </c>
      <c r="AO2820" t="s">
        <v>5673</v>
      </c>
      <c r="AP2820" t="s">
        <v>5674</v>
      </c>
      <c r="AQ2820">
        <v>2</v>
      </c>
      <c r="AR2820" t="s">
        <v>5644</v>
      </c>
      <c r="AS2820" t="s">
        <v>5645</v>
      </c>
      <c r="AT2820" t="s">
        <v>58</v>
      </c>
      <c r="AU2820" t="s">
        <v>68</v>
      </c>
      <c r="AV2820" t="s">
        <v>69</v>
      </c>
      <c r="AW2820" s="1">
        <v>25712</v>
      </c>
      <c r="AX2820">
        <v>2</v>
      </c>
    </row>
    <row r="2821" spans="1:50">
      <c r="A2821">
        <v>221865</v>
      </c>
      <c r="B2821" t="str">
        <f>"118542840"</f>
        <v>118542840</v>
      </c>
      <c r="C2821" t="s">
        <v>50</v>
      </c>
      <c r="D2821" t="s">
        <v>5686</v>
      </c>
      <c r="E2821" t="s">
        <v>109</v>
      </c>
      <c r="F2821" t="s">
        <v>3049</v>
      </c>
      <c r="G2821" t="s">
        <v>112</v>
      </c>
      <c r="H2821" t="str">
        <f>"Γ.ΑΝΔΡΟΥΛΙΔΑΚΗ 25 ΡΕΘΥΜΝΟ"</f>
        <v>Γ.ΑΝΔΡΟΥΛΙΔΑΚΗ 25 ΡΕΘΥΜΝΟ</v>
      </c>
      <c r="I2821">
        <v>74100</v>
      </c>
      <c r="J2821">
        <v>2831055269</v>
      </c>
      <c r="K2821">
        <v>6937392747</v>
      </c>
      <c r="N2821" t="s">
        <v>146</v>
      </c>
      <c r="O2821" t="s">
        <v>147</v>
      </c>
      <c r="R2821" t="s">
        <v>57</v>
      </c>
      <c r="S2821">
        <v>5</v>
      </c>
      <c r="T2821">
        <v>775</v>
      </c>
      <c r="U2821" s="1">
        <v>39680</v>
      </c>
      <c r="V2821" t="s">
        <v>5644</v>
      </c>
      <c r="W2821" t="s">
        <v>5645</v>
      </c>
      <c r="X2821" t="s">
        <v>58</v>
      </c>
      <c r="Y2821">
        <v>21</v>
      </c>
      <c r="Z2821" t="s">
        <v>59</v>
      </c>
      <c r="AA2821" t="s">
        <v>59</v>
      </c>
      <c r="AB2821" t="s">
        <v>59</v>
      </c>
      <c r="AC2821" t="s">
        <v>59</v>
      </c>
      <c r="AD2821" t="s">
        <v>59</v>
      </c>
      <c r="AF2821" s="1">
        <v>39680</v>
      </c>
      <c r="AG2821" t="s">
        <v>148</v>
      </c>
      <c r="AH2821" t="s">
        <v>149</v>
      </c>
      <c r="AI2821" t="str">
        <f>"4154010"</f>
        <v>4154010</v>
      </c>
      <c r="AJ2821" t="s">
        <v>5687</v>
      </c>
      <c r="AK2821">
        <v>2834023300</v>
      </c>
      <c r="AL2821" t="s">
        <v>5688</v>
      </c>
      <c r="AM2821" t="s">
        <v>64</v>
      </c>
      <c r="AN2821" t="s">
        <v>5672</v>
      </c>
      <c r="AO2821" t="s">
        <v>5673</v>
      </c>
      <c r="AP2821" t="s">
        <v>5689</v>
      </c>
      <c r="AQ2821">
        <v>2</v>
      </c>
      <c r="AR2821" t="s">
        <v>5644</v>
      </c>
      <c r="AS2821" t="s">
        <v>5645</v>
      </c>
      <c r="AT2821" t="s">
        <v>58</v>
      </c>
      <c r="AU2821" t="s">
        <v>68</v>
      </c>
      <c r="AV2821" t="s">
        <v>69</v>
      </c>
      <c r="AW2821" s="1">
        <v>28473</v>
      </c>
      <c r="AX2821">
        <v>2</v>
      </c>
    </row>
    <row r="2822" spans="1:50">
      <c r="A2822">
        <v>193560</v>
      </c>
      <c r="B2822" t="str">
        <f>"033279938"</f>
        <v>033279938</v>
      </c>
      <c r="C2822" t="s">
        <v>105</v>
      </c>
      <c r="D2822" t="s">
        <v>5690</v>
      </c>
      <c r="E2822" t="s">
        <v>377</v>
      </c>
      <c r="F2822" t="s">
        <v>111</v>
      </c>
      <c r="G2822" t="s">
        <v>1108</v>
      </c>
      <c r="H2822" t="str">
        <f>"ΒΑΒΟΥΡΑΗΔΩΝ 18 ΡΕΘΥΜΝΟ"</f>
        <v>ΒΑΒΟΥΡΑΗΔΩΝ 18 ΡΕΘΥΜΝΟ</v>
      </c>
      <c r="I2822">
        <v>74100</v>
      </c>
      <c r="J2822">
        <v>2310238800</v>
      </c>
      <c r="K2822">
        <v>6932121032</v>
      </c>
      <c r="L2822">
        <v>2831050329</v>
      </c>
      <c r="M2822" t="s">
        <v>5691</v>
      </c>
      <c r="N2822" t="s">
        <v>232</v>
      </c>
      <c r="O2822" t="s">
        <v>233</v>
      </c>
      <c r="R2822" t="s">
        <v>57</v>
      </c>
      <c r="S2822">
        <v>12</v>
      </c>
      <c r="T2822">
        <v>193</v>
      </c>
      <c r="U2822" s="1">
        <v>37497</v>
      </c>
      <c r="V2822" t="s">
        <v>5644</v>
      </c>
      <c r="W2822" t="s">
        <v>5645</v>
      </c>
      <c r="X2822" t="s">
        <v>58</v>
      </c>
      <c r="Y2822">
        <v>18</v>
      </c>
      <c r="Z2822" t="s">
        <v>59</v>
      </c>
      <c r="AA2822" t="s">
        <v>59</v>
      </c>
      <c r="AB2822" t="s">
        <v>59</v>
      </c>
      <c r="AC2822" t="s">
        <v>59</v>
      </c>
      <c r="AD2822" t="s">
        <v>59</v>
      </c>
      <c r="AF2822" s="1">
        <v>37502</v>
      </c>
      <c r="AG2822" t="s">
        <v>125</v>
      </c>
      <c r="AH2822" t="s">
        <v>126</v>
      </c>
      <c r="AI2822" t="str">
        <f>"4101030"</f>
        <v>4101030</v>
      </c>
      <c r="AJ2822" t="s">
        <v>5646</v>
      </c>
      <c r="AK2822">
        <v>2831022359</v>
      </c>
      <c r="AL2822" t="s">
        <v>5647</v>
      </c>
      <c r="AM2822" t="s">
        <v>64</v>
      </c>
      <c r="AN2822" t="s">
        <v>65</v>
      </c>
      <c r="AO2822" t="s">
        <v>65</v>
      </c>
      <c r="AP2822" t="s">
        <v>65</v>
      </c>
      <c r="AQ2822">
        <v>1</v>
      </c>
      <c r="AR2822" t="s">
        <v>5644</v>
      </c>
      <c r="AS2822" t="s">
        <v>5645</v>
      </c>
      <c r="AT2822" t="s">
        <v>58</v>
      </c>
      <c r="AU2822" t="s">
        <v>68</v>
      </c>
      <c r="AV2822" t="s">
        <v>69</v>
      </c>
      <c r="AW2822" s="1">
        <v>23080</v>
      </c>
      <c r="AX2822">
        <v>2</v>
      </c>
    </row>
    <row r="2823" spans="1:50">
      <c r="A2823">
        <v>199699</v>
      </c>
      <c r="B2823" t="str">
        <f>"061657226"</f>
        <v>061657226</v>
      </c>
      <c r="C2823" t="s">
        <v>105</v>
      </c>
      <c r="D2823" t="s">
        <v>5692</v>
      </c>
      <c r="E2823" t="s">
        <v>2847</v>
      </c>
      <c r="F2823" t="s">
        <v>1062</v>
      </c>
      <c r="G2823" t="s">
        <v>52</v>
      </c>
      <c r="H2823" t="str">
        <f>"ΝΕΑ ΜΑΓΝΗΣΙΑ "</f>
        <v xml:space="preserve">ΝΕΑ ΜΑΓΝΗΣΙΑ </v>
      </c>
      <c r="I2823">
        <v>74052</v>
      </c>
      <c r="J2823">
        <v>2834020607</v>
      </c>
      <c r="K2823">
        <v>6979613201</v>
      </c>
      <c r="M2823" t="s">
        <v>5693</v>
      </c>
      <c r="N2823" t="s">
        <v>204</v>
      </c>
      <c r="O2823" t="s">
        <v>205</v>
      </c>
      <c r="R2823" t="s">
        <v>57</v>
      </c>
      <c r="S2823">
        <v>8</v>
      </c>
      <c r="T2823">
        <v>206</v>
      </c>
      <c r="U2823" s="1">
        <v>37866</v>
      </c>
      <c r="V2823" t="s">
        <v>5644</v>
      </c>
      <c r="W2823" t="s">
        <v>5645</v>
      </c>
      <c r="X2823" t="s">
        <v>58</v>
      </c>
      <c r="Y2823">
        <v>20</v>
      </c>
      <c r="Z2823" t="s">
        <v>59</v>
      </c>
      <c r="AA2823" t="s">
        <v>59</v>
      </c>
      <c r="AB2823" t="s">
        <v>59</v>
      </c>
      <c r="AC2823" t="s">
        <v>59</v>
      </c>
      <c r="AD2823" t="s">
        <v>59</v>
      </c>
      <c r="AF2823" s="1">
        <v>37866</v>
      </c>
      <c r="AG2823" t="s">
        <v>125</v>
      </c>
      <c r="AH2823" t="s">
        <v>126</v>
      </c>
      <c r="AI2823" t="str">
        <f>"4101020"</f>
        <v>4101020</v>
      </c>
      <c r="AJ2823" t="s">
        <v>5652</v>
      </c>
      <c r="AK2823">
        <v>2831023560</v>
      </c>
      <c r="AL2823" t="s">
        <v>5653</v>
      </c>
      <c r="AM2823" t="s">
        <v>64</v>
      </c>
      <c r="AN2823" t="s">
        <v>65</v>
      </c>
      <c r="AO2823" t="s">
        <v>65</v>
      </c>
      <c r="AP2823" t="s">
        <v>65</v>
      </c>
      <c r="AQ2823">
        <v>1</v>
      </c>
      <c r="AR2823" t="s">
        <v>5644</v>
      </c>
      <c r="AS2823" t="s">
        <v>5645</v>
      </c>
      <c r="AT2823" t="s">
        <v>58</v>
      </c>
      <c r="AU2823" t="s">
        <v>68</v>
      </c>
      <c r="AV2823" t="s">
        <v>69</v>
      </c>
      <c r="AW2823" s="1">
        <v>25482</v>
      </c>
      <c r="AX2823">
        <v>2</v>
      </c>
    </row>
    <row r="2824" spans="1:50">
      <c r="A2824">
        <v>194203</v>
      </c>
      <c r="B2824" t="str">
        <f>"054840497"</f>
        <v>054840497</v>
      </c>
      <c r="C2824" t="s">
        <v>105</v>
      </c>
      <c r="D2824" t="s">
        <v>5694</v>
      </c>
      <c r="E2824" t="s">
        <v>609</v>
      </c>
      <c r="F2824" t="s">
        <v>202</v>
      </c>
      <c r="G2824" t="s">
        <v>815</v>
      </c>
      <c r="H2824" t="str">
        <f>"ΠΑΝΟΡΜΟ ΡΕΘΥΜΝΟ"</f>
        <v>ΠΑΝΟΡΜΟ ΡΕΘΥΜΝΟ</v>
      </c>
      <c r="I2824">
        <v>74100</v>
      </c>
      <c r="J2824">
        <v>2834051452</v>
      </c>
      <c r="K2824">
        <v>6937289460</v>
      </c>
      <c r="M2824" t="s">
        <v>5695</v>
      </c>
      <c r="N2824" t="s">
        <v>176</v>
      </c>
      <c r="O2824" t="s">
        <v>177</v>
      </c>
      <c r="R2824" t="s">
        <v>57</v>
      </c>
      <c r="S2824">
        <v>9</v>
      </c>
      <c r="T2824">
        <v>193</v>
      </c>
      <c r="U2824" s="1">
        <v>37497</v>
      </c>
      <c r="V2824" t="s">
        <v>5644</v>
      </c>
      <c r="W2824" t="s">
        <v>5645</v>
      </c>
      <c r="X2824" t="s">
        <v>58</v>
      </c>
      <c r="Y2824">
        <v>20</v>
      </c>
      <c r="Z2824" t="s">
        <v>59</v>
      </c>
      <c r="AA2824" t="s">
        <v>59</v>
      </c>
      <c r="AB2824" t="s">
        <v>59</v>
      </c>
      <c r="AC2824" t="s">
        <v>59</v>
      </c>
      <c r="AD2824" t="s">
        <v>59</v>
      </c>
      <c r="AF2824" s="1">
        <v>37501</v>
      </c>
      <c r="AG2824" t="s">
        <v>125</v>
      </c>
      <c r="AH2824" t="s">
        <v>126</v>
      </c>
      <c r="AI2824" t="str">
        <f>"4110010"</f>
        <v>4110010</v>
      </c>
      <c r="AJ2824" t="s">
        <v>5696</v>
      </c>
      <c r="AK2824">
        <v>2834061417</v>
      </c>
      <c r="AL2824" t="s">
        <v>5697</v>
      </c>
      <c r="AM2824" t="s">
        <v>64</v>
      </c>
      <c r="AN2824" t="s">
        <v>5672</v>
      </c>
      <c r="AO2824" t="s">
        <v>5698</v>
      </c>
      <c r="AP2824" t="s">
        <v>5699</v>
      </c>
      <c r="AQ2824">
        <v>3</v>
      </c>
      <c r="AR2824" t="s">
        <v>5644</v>
      </c>
      <c r="AS2824" t="s">
        <v>5645</v>
      </c>
      <c r="AT2824" t="s">
        <v>58</v>
      </c>
      <c r="AU2824" t="s">
        <v>68</v>
      </c>
      <c r="AV2824" t="s">
        <v>69</v>
      </c>
      <c r="AW2824" s="1">
        <v>25700</v>
      </c>
      <c r="AX2824">
        <v>2</v>
      </c>
    </row>
    <row r="2825" spans="1:50">
      <c r="A2825">
        <v>157039</v>
      </c>
      <c r="B2825" t="str">
        <f>"032212899"</f>
        <v>032212899</v>
      </c>
      <c r="C2825" t="s">
        <v>105</v>
      </c>
      <c r="D2825" t="s">
        <v>5700</v>
      </c>
      <c r="E2825" t="s">
        <v>166</v>
      </c>
      <c r="F2825" t="s">
        <v>108</v>
      </c>
      <c r="G2825" t="s">
        <v>3444</v>
      </c>
      <c r="H2825" t="str">
        <f>"Παπανικολάου 19 "</f>
        <v xml:space="preserve">Παπανικολάου 19 </v>
      </c>
      <c r="I2825">
        <v>74100</v>
      </c>
      <c r="J2825">
        <v>2831054502</v>
      </c>
      <c r="K2825">
        <v>6942417185</v>
      </c>
      <c r="M2825" t="s">
        <v>5701</v>
      </c>
      <c r="N2825" t="s">
        <v>246</v>
      </c>
      <c r="O2825" t="s">
        <v>247</v>
      </c>
      <c r="R2825" t="s">
        <v>57</v>
      </c>
      <c r="S2825">
        <v>15</v>
      </c>
      <c r="T2825">
        <v>188</v>
      </c>
      <c r="U2825" s="1">
        <v>32752</v>
      </c>
      <c r="V2825" t="s">
        <v>5644</v>
      </c>
      <c r="W2825" t="s">
        <v>5645</v>
      </c>
      <c r="X2825" t="s">
        <v>58</v>
      </c>
      <c r="Y2825">
        <v>18</v>
      </c>
      <c r="Z2825" t="s">
        <v>59</v>
      </c>
      <c r="AA2825" t="s">
        <v>59</v>
      </c>
      <c r="AB2825" t="s">
        <v>59</v>
      </c>
      <c r="AC2825" t="s">
        <v>59</v>
      </c>
      <c r="AD2825" t="s">
        <v>452</v>
      </c>
      <c r="AE2825" s="1">
        <v>43708</v>
      </c>
      <c r="AF2825" s="1">
        <v>32762</v>
      </c>
      <c r="AG2825" t="s">
        <v>125</v>
      </c>
      <c r="AH2825" t="s">
        <v>5702</v>
      </c>
      <c r="AI2825" t="str">
        <f>"4101042"</f>
        <v>4101042</v>
      </c>
      <c r="AJ2825" t="s">
        <v>5703</v>
      </c>
      <c r="AK2825">
        <v>2831027230</v>
      </c>
      <c r="AL2825" t="s">
        <v>5704</v>
      </c>
      <c r="AM2825" t="s">
        <v>64</v>
      </c>
      <c r="AN2825" t="s">
        <v>65</v>
      </c>
      <c r="AO2825" t="s">
        <v>65</v>
      </c>
      <c r="AP2825" t="s">
        <v>65</v>
      </c>
      <c r="AQ2825">
        <v>1</v>
      </c>
      <c r="AR2825" t="s">
        <v>5644</v>
      </c>
      <c r="AS2825" t="s">
        <v>5645</v>
      </c>
      <c r="AT2825" t="s">
        <v>58</v>
      </c>
      <c r="AU2825" t="s">
        <v>68</v>
      </c>
      <c r="AV2825" t="s">
        <v>69</v>
      </c>
      <c r="AW2825" s="1">
        <v>21269</v>
      </c>
      <c r="AX2825">
        <v>2</v>
      </c>
    </row>
    <row r="2826" spans="1:50">
      <c r="A2826">
        <v>195575</v>
      </c>
      <c r="B2826" t="str">
        <f>"035276956"</f>
        <v>035276956</v>
      </c>
      <c r="C2826" t="s">
        <v>105</v>
      </c>
      <c r="D2826" t="s">
        <v>497</v>
      </c>
      <c r="E2826" t="s">
        <v>95</v>
      </c>
      <c r="F2826" t="s">
        <v>84</v>
      </c>
      <c r="G2826" t="s">
        <v>335</v>
      </c>
      <c r="H2826" t="str">
        <f>"ΧΑΡΙΤΑΚΗ 9 ΠΕΡΙΒΟΛΙΑ"</f>
        <v>ΧΑΡΙΤΑΚΗ 9 ΠΕΡΙΒΟΛΙΑ</v>
      </c>
      <c r="I2826">
        <v>74100</v>
      </c>
      <c r="J2826">
        <v>2831035029</v>
      </c>
      <c r="K2826">
        <v>6973403805</v>
      </c>
      <c r="M2826" t="s">
        <v>5705</v>
      </c>
      <c r="N2826" t="s">
        <v>232</v>
      </c>
      <c r="O2826" t="s">
        <v>233</v>
      </c>
      <c r="R2826" t="s">
        <v>57</v>
      </c>
      <c r="S2826">
        <v>8</v>
      </c>
      <c r="T2826">
        <v>194</v>
      </c>
      <c r="U2826" s="1">
        <v>37497</v>
      </c>
      <c r="V2826" t="s">
        <v>5644</v>
      </c>
      <c r="W2826" t="s">
        <v>5645</v>
      </c>
      <c r="X2826" t="s">
        <v>58</v>
      </c>
      <c r="Y2826">
        <v>20</v>
      </c>
      <c r="Z2826" t="s">
        <v>59</v>
      </c>
      <c r="AA2826" t="s">
        <v>59</v>
      </c>
      <c r="AB2826" t="s">
        <v>59</v>
      </c>
      <c r="AC2826" t="s">
        <v>59</v>
      </c>
      <c r="AD2826" t="s">
        <v>59</v>
      </c>
      <c r="AF2826" s="1">
        <v>37501</v>
      </c>
      <c r="AG2826" t="s">
        <v>148</v>
      </c>
      <c r="AH2826" t="s">
        <v>149</v>
      </c>
      <c r="AI2826" t="str">
        <f>"4151009"</f>
        <v>4151009</v>
      </c>
      <c r="AJ2826" t="s">
        <v>5649</v>
      </c>
      <c r="AK2826">
        <v>2831027115</v>
      </c>
      <c r="AL2826" t="s">
        <v>5650</v>
      </c>
      <c r="AM2826" t="s">
        <v>64</v>
      </c>
      <c r="AN2826" t="s">
        <v>65</v>
      </c>
      <c r="AO2826" t="s">
        <v>65</v>
      </c>
      <c r="AP2826" t="s">
        <v>65</v>
      </c>
      <c r="AQ2826">
        <v>1</v>
      </c>
      <c r="AR2826" t="s">
        <v>5644</v>
      </c>
      <c r="AS2826" t="s">
        <v>5645</v>
      </c>
      <c r="AT2826" t="s">
        <v>58</v>
      </c>
      <c r="AU2826" t="s">
        <v>68</v>
      </c>
      <c r="AV2826" t="s">
        <v>69</v>
      </c>
      <c r="AW2826" s="1">
        <v>22394</v>
      </c>
      <c r="AX2826">
        <v>2</v>
      </c>
    </row>
    <row r="2827" spans="1:50">
      <c r="A2827">
        <v>201243</v>
      </c>
      <c r="B2827" t="str">
        <f>"044260090"</f>
        <v>044260090</v>
      </c>
      <c r="C2827" t="s">
        <v>50</v>
      </c>
      <c r="D2827" t="s">
        <v>5706</v>
      </c>
      <c r="E2827" t="s">
        <v>155</v>
      </c>
      <c r="F2827" t="s">
        <v>4368</v>
      </c>
      <c r="G2827" t="s">
        <v>5707</v>
      </c>
      <c r="H2827" t="str">
        <f>"ΠΑΝΟΡΑΜΑ ΡΕΘΥΜΝΟ"</f>
        <v>ΠΑΝΟΡΑΜΑ ΡΕΘΥΜΝΟ</v>
      </c>
      <c r="I2827">
        <v>74100</v>
      </c>
      <c r="J2827">
        <v>2831081098</v>
      </c>
      <c r="K2827">
        <v>6944477542</v>
      </c>
      <c r="M2827" t="s">
        <v>5708</v>
      </c>
      <c r="N2827" t="s">
        <v>146</v>
      </c>
      <c r="O2827" t="s">
        <v>147</v>
      </c>
      <c r="R2827" t="s">
        <v>57</v>
      </c>
      <c r="S2827">
        <v>9</v>
      </c>
      <c r="T2827">
        <v>231</v>
      </c>
      <c r="U2827" s="1">
        <v>38230</v>
      </c>
      <c r="V2827" t="s">
        <v>5644</v>
      </c>
      <c r="W2827" t="s">
        <v>5645</v>
      </c>
      <c r="X2827" t="s">
        <v>58</v>
      </c>
      <c r="Y2827">
        <v>20</v>
      </c>
      <c r="Z2827" t="s">
        <v>59</v>
      </c>
      <c r="AA2827" t="s">
        <v>59</v>
      </c>
      <c r="AB2827" t="s">
        <v>59</v>
      </c>
      <c r="AC2827" t="s">
        <v>59</v>
      </c>
      <c r="AD2827" t="s">
        <v>59</v>
      </c>
      <c r="AF2827" s="1">
        <v>38232</v>
      </c>
      <c r="AG2827" t="s">
        <v>148</v>
      </c>
      <c r="AH2827" t="s">
        <v>149</v>
      </c>
      <c r="AI2827" t="str">
        <f>"4144002"</f>
        <v>4144002</v>
      </c>
      <c r="AJ2827" t="s">
        <v>5655</v>
      </c>
      <c r="AK2827">
        <v>2831061110</v>
      </c>
      <c r="AL2827" t="s">
        <v>5656</v>
      </c>
      <c r="AM2827" t="s">
        <v>64</v>
      </c>
      <c r="AN2827" t="s">
        <v>65</v>
      </c>
      <c r="AO2827" t="s">
        <v>5657</v>
      </c>
      <c r="AP2827" t="s">
        <v>1437</v>
      </c>
      <c r="AQ2827">
        <v>1</v>
      </c>
      <c r="AR2827" t="s">
        <v>5644</v>
      </c>
      <c r="AS2827" t="s">
        <v>5645</v>
      </c>
      <c r="AT2827" t="s">
        <v>58</v>
      </c>
      <c r="AU2827" t="s">
        <v>68</v>
      </c>
      <c r="AV2827" t="s">
        <v>69</v>
      </c>
      <c r="AW2827" s="1">
        <v>24125</v>
      </c>
      <c r="AX2827">
        <v>2</v>
      </c>
    </row>
    <row r="2828" spans="1:50">
      <c r="B2828" t="str">
        <f>"125553775"</f>
        <v>125553775</v>
      </c>
      <c r="C2828" t="s">
        <v>50</v>
      </c>
      <c r="D2828" t="s">
        <v>568</v>
      </c>
      <c r="E2828" t="s">
        <v>83</v>
      </c>
      <c r="F2828" t="s">
        <v>95</v>
      </c>
      <c r="G2828" t="s">
        <v>188</v>
      </c>
      <c r="H2828" t="str">
        <f>" "</f>
        <v xml:space="preserve"> </v>
      </c>
      <c r="N2828" t="s">
        <v>1989</v>
      </c>
      <c r="O2828" t="s">
        <v>1990</v>
      </c>
      <c r="R2828" t="s">
        <v>121</v>
      </c>
      <c r="S2828">
        <v>1</v>
      </c>
      <c r="T2828" t="s">
        <v>574</v>
      </c>
      <c r="U2828" s="1">
        <v>43378</v>
      </c>
      <c r="V2828" t="s">
        <v>5644</v>
      </c>
      <c r="W2828" t="s">
        <v>5645</v>
      </c>
      <c r="X2828" t="s">
        <v>58</v>
      </c>
      <c r="Y2828">
        <v>23</v>
      </c>
      <c r="Z2828" t="s">
        <v>59</v>
      </c>
      <c r="AD2828" t="s">
        <v>59</v>
      </c>
      <c r="AF2828" s="1">
        <v>43381</v>
      </c>
      <c r="AG2828" t="s">
        <v>137</v>
      </c>
      <c r="AH2828" t="s">
        <v>138</v>
      </c>
      <c r="AI2828" t="str">
        <f>"4150040"</f>
        <v>4150040</v>
      </c>
      <c r="AJ2828" t="s">
        <v>5661</v>
      </c>
      <c r="AK2828">
        <v>2831029048</v>
      </c>
      <c r="AL2828" t="s">
        <v>5662</v>
      </c>
      <c r="AM2828" t="s">
        <v>64</v>
      </c>
      <c r="AN2828" t="s">
        <v>65</v>
      </c>
      <c r="AO2828" t="s">
        <v>65</v>
      </c>
      <c r="AP2828" t="s">
        <v>65</v>
      </c>
      <c r="AQ2828">
        <v>1</v>
      </c>
      <c r="AR2828" t="s">
        <v>5644</v>
      </c>
      <c r="AS2828" t="s">
        <v>5645</v>
      </c>
      <c r="AT2828" t="s">
        <v>58</v>
      </c>
      <c r="AU2828" t="s">
        <v>164</v>
      </c>
      <c r="AV2828" t="s">
        <v>132</v>
      </c>
      <c r="AW2828" s="1">
        <v>30668</v>
      </c>
      <c r="AX2828">
        <v>2</v>
      </c>
    </row>
    <row r="2829" spans="1:50">
      <c r="A2829">
        <v>221884</v>
      </c>
      <c r="B2829" t="str">
        <f>"061245023"</f>
        <v>061245023</v>
      </c>
      <c r="C2829" t="s">
        <v>105</v>
      </c>
      <c r="D2829" t="s">
        <v>5709</v>
      </c>
      <c r="E2829" t="s">
        <v>311</v>
      </c>
      <c r="F2829" t="s">
        <v>84</v>
      </c>
      <c r="G2829" t="s">
        <v>783</v>
      </c>
      <c r="H2829" t="str">
        <f>"ΑΔΕΛΕ ΡΕΘΥΜΝΟΥ ΡΕΘΥΜΝΟ"</f>
        <v>ΑΔΕΛΕ ΡΕΘΥΜΝΟΥ ΡΕΘΥΜΝΟ</v>
      </c>
      <c r="I2829">
        <v>74100</v>
      </c>
      <c r="J2829">
        <v>2831072147</v>
      </c>
      <c r="K2829">
        <v>6972160718</v>
      </c>
      <c r="M2829" t="s">
        <v>5710</v>
      </c>
      <c r="N2829" t="s">
        <v>146</v>
      </c>
      <c r="O2829" t="s">
        <v>147</v>
      </c>
      <c r="R2829" t="s">
        <v>57</v>
      </c>
      <c r="S2829">
        <v>7</v>
      </c>
      <c r="T2829">
        <v>775</v>
      </c>
      <c r="U2829" s="1">
        <v>39680</v>
      </c>
      <c r="V2829" t="s">
        <v>5644</v>
      </c>
      <c r="W2829" t="s">
        <v>5645</v>
      </c>
      <c r="X2829" t="s">
        <v>58</v>
      </c>
      <c r="Y2829">
        <v>21</v>
      </c>
      <c r="Z2829" t="s">
        <v>59</v>
      </c>
      <c r="AA2829" t="s">
        <v>59</v>
      </c>
      <c r="AB2829" t="s">
        <v>59</v>
      </c>
      <c r="AC2829" t="s">
        <v>59</v>
      </c>
      <c r="AD2829" t="s">
        <v>59</v>
      </c>
      <c r="AF2829" s="1">
        <v>39681</v>
      </c>
      <c r="AG2829" t="s">
        <v>125</v>
      </c>
      <c r="AH2829" t="s">
        <v>126</v>
      </c>
      <c r="AI2829" t="str">
        <f>"4111010"</f>
        <v>4111010</v>
      </c>
      <c r="AJ2829" t="s">
        <v>5711</v>
      </c>
      <c r="AK2829">
        <v>2833022325</v>
      </c>
      <c r="AL2829" t="s">
        <v>5712</v>
      </c>
      <c r="AM2829" t="s">
        <v>64</v>
      </c>
      <c r="AN2829" t="s">
        <v>5713</v>
      </c>
      <c r="AO2829" t="s">
        <v>5714</v>
      </c>
      <c r="AP2829" t="s">
        <v>5715</v>
      </c>
      <c r="AQ2829">
        <v>4</v>
      </c>
      <c r="AR2829" t="s">
        <v>5644</v>
      </c>
      <c r="AS2829" t="s">
        <v>5645</v>
      </c>
      <c r="AT2829" t="s">
        <v>58</v>
      </c>
      <c r="AU2829" t="s">
        <v>68</v>
      </c>
      <c r="AV2829" t="s">
        <v>69</v>
      </c>
      <c r="AW2829" s="1">
        <v>28251</v>
      </c>
      <c r="AX2829">
        <v>2</v>
      </c>
    </row>
    <row r="2830" spans="1:50">
      <c r="A2830">
        <v>221501</v>
      </c>
      <c r="B2830" t="str">
        <f>"112727754"</f>
        <v>112727754</v>
      </c>
      <c r="C2830" t="s">
        <v>105</v>
      </c>
      <c r="D2830" t="s">
        <v>5716</v>
      </c>
      <c r="E2830" t="s">
        <v>450</v>
      </c>
      <c r="F2830" t="s">
        <v>609</v>
      </c>
      <c r="G2830" t="s">
        <v>714</v>
      </c>
      <c r="H2830" t="str">
        <f>"ΤΙΜ. ΒΑΣΣΟΥ 19 ΡΕΘΥΜΝΟ"</f>
        <v>ΤΙΜ. ΒΑΣΣΟΥ 19 ΡΕΘΥΜΝΟ</v>
      </c>
      <c r="I2830">
        <v>74132</v>
      </c>
      <c r="K2830">
        <v>6947326432</v>
      </c>
      <c r="M2830" t="s">
        <v>5717</v>
      </c>
      <c r="N2830" t="s">
        <v>176</v>
      </c>
      <c r="O2830" t="s">
        <v>177</v>
      </c>
      <c r="R2830" t="s">
        <v>57</v>
      </c>
      <c r="S2830">
        <v>9</v>
      </c>
      <c r="T2830">
        <v>177</v>
      </c>
      <c r="U2830" s="1">
        <v>36403</v>
      </c>
      <c r="V2830" t="s">
        <v>5644</v>
      </c>
      <c r="W2830" t="s">
        <v>5645</v>
      </c>
      <c r="X2830" t="s">
        <v>58</v>
      </c>
      <c r="Y2830">
        <v>20</v>
      </c>
      <c r="Z2830" t="s">
        <v>59</v>
      </c>
      <c r="AA2830" t="s">
        <v>59</v>
      </c>
      <c r="AB2830" t="s">
        <v>59</v>
      </c>
      <c r="AC2830" t="s">
        <v>59</v>
      </c>
      <c r="AD2830" t="s">
        <v>59</v>
      </c>
      <c r="AF2830" s="1">
        <v>36403</v>
      </c>
      <c r="AG2830" t="s">
        <v>148</v>
      </c>
      <c r="AH2830" t="s">
        <v>149</v>
      </c>
      <c r="AI2830" t="str">
        <f>"4144001"</f>
        <v>4144001</v>
      </c>
      <c r="AJ2830" t="s">
        <v>5718</v>
      </c>
      <c r="AK2830">
        <v>2831033277</v>
      </c>
      <c r="AL2830" t="s">
        <v>5719</v>
      </c>
      <c r="AM2830" t="s">
        <v>64</v>
      </c>
      <c r="AN2830" t="s">
        <v>65</v>
      </c>
      <c r="AO2830" t="s">
        <v>5720</v>
      </c>
      <c r="AP2830" t="s">
        <v>5721</v>
      </c>
      <c r="AQ2830">
        <v>1</v>
      </c>
      <c r="AR2830" t="s">
        <v>5644</v>
      </c>
      <c r="AS2830" t="s">
        <v>5645</v>
      </c>
      <c r="AT2830" t="s">
        <v>58</v>
      </c>
      <c r="AU2830" t="s">
        <v>68</v>
      </c>
      <c r="AV2830" t="s">
        <v>357</v>
      </c>
      <c r="AW2830" s="1">
        <v>24502</v>
      </c>
      <c r="AX2830">
        <v>2</v>
      </c>
    </row>
    <row r="2831" spans="1:50">
      <c r="B2831" t="str">
        <f>"158205380"</f>
        <v>158205380</v>
      </c>
      <c r="C2831" t="s">
        <v>105</v>
      </c>
      <c r="D2831" t="s">
        <v>585</v>
      </c>
      <c r="E2831" t="s">
        <v>3049</v>
      </c>
      <c r="F2831" t="s">
        <v>1062</v>
      </c>
      <c r="G2831" t="s">
        <v>155</v>
      </c>
      <c r="H2831" t="str">
        <f>" "</f>
        <v xml:space="preserve"> </v>
      </c>
      <c r="N2831" t="s">
        <v>337</v>
      </c>
      <c r="O2831" t="s">
        <v>338</v>
      </c>
      <c r="R2831" t="s">
        <v>121</v>
      </c>
      <c r="S2831">
        <v>1</v>
      </c>
      <c r="T2831" t="s">
        <v>1908</v>
      </c>
      <c r="U2831" s="1">
        <v>43368</v>
      </c>
      <c r="V2831" t="s">
        <v>5644</v>
      </c>
      <c r="W2831" t="s">
        <v>5645</v>
      </c>
      <c r="X2831" t="s">
        <v>58</v>
      </c>
      <c r="Y2831">
        <v>23</v>
      </c>
      <c r="Z2831" t="s">
        <v>59</v>
      </c>
      <c r="AA2831" t="s">
        <v>59</v>
      </c>
      <c r="AB2831" t="s">
        <v>59</v>
      </c>
      <c r="AD2831" t="s">
        <v>59</v>
      </c>
      <c r="AF2831" s="1">
        <v>43368</v>
      </c>
      <c r="AG2831" t="s">
        <v>125</v>
      </c>
      <c r="AH2831" t="s">
        <v>294</v>
      </c>
      <c r="AI2831" t="str">
        <f>"4101045"</f>
        <v>4101045</v>
      </c>
      <c r="AJ2831" t="s">
        <v>5677</v>
      </c>
      <c r="AK2831">
        <v>2831027553</v>
      </c>
      <c r="AL2831" t="s">
        <v>5678</v>
      </c>
      <c r="AM2831" t="s">
        <v>64</v>
      </c>
      <c r="AN2831" t="s">
        <v>65</v>
      </c>
      <c r="AO2831" t="s">
        <v>65</v>
      </c>
      <c r="AP2831" t="s">
        <v>65</v>
      </c>
      <c r="AQ2831">
        <v>1</v>
      </c>
      <c r="AR2831" t="s">
        <v>5644</v>
      </c>
      <c r="AS2831" t="s">
        <v>5645</v>
      </c>
      <c r="AT2831" t="s">
        <v>58</v>
      </c>
      <c r="AU2831" t="s">
        <v>164</v>
      </c>
      <c r="AV2831" t="s">
        <v>132</v>
      </c>
      <c r="AW2831" s="1">
        <v>33667</v>
      </c>
      <c r="AX2831">
        <v>2</v>
      </c>
    </row>
    <row r="2832" spans="1:50">
      <c r="A2832">
        <v>217758</v>
      </c>
      <c r="B2832" t="str">
        <f>"123436250"</f>
        <v>123436250</v>
      </c>
      <c r="C2832" t="s">
        <v>105</v>
      </c>
      <c r="D2832" t="s">
        <v>585</v>
      </c>
      <c r="E2832" t="s">
        <v>154</v>
      </c>
      <c r="F2832" t="s">
        <v>84</v>
      </c>
      <c r="G2832" t="s">
        <v>250</v>
      </c>
      <c r="H2832" t="str">
        <f>"Τιμόθεου Δασκαλάκη 9 ΓΑΛΛΟΥ"</f>
        <v>Τιμόθεου Δασκαλάκη 9 ΓΑΛΛΟΥ</v>
      </c>
      <c r="I2832">
        <v>74100</v>
      </c>
      <c r="J2832">
        <v>2109022525</v>
      </c>
      <c r="K2832">
        <v>6979714524</v>
      </c>
      <c r="M2832" t="s">
        <v>5722</v>
      </c>
      <c r="N2832" t="s">
        <v>292</v>
      </c>
      <c r="O2832" t="s">
        <v>293</v>
      </c>
      <c r="R2832" t="s">
        <v>57</v>
      </c>
      <c r="S2832">
        <v>7</v>
      </c>
      <c r="T2832">
        <v>599</v>
      </c>
      <c r="U2832" s="1">
        <v>39310</v>
      </c>
      <c r="V2832" t="s">
        <v>5644</v>
      </c>
      <c r="W2832" t="s">
        <v>5645</v>
      </c>
      <c r="X2832" t="s">
        <v>58</v>
      </c>
      <c r="Y2832">
        <v>21</v>
      </c>
      <c r="Z2832" t="s">
        <v>59</v>
      </c>
      <c r="AA2832" t="s">
        <v>59</v>
      </c>
      <c r="AB2832" t="s">
        <v>59</v>
      </c>
      <c r="AC2832" t="s">
        <v>59</v>
      </c>
      <c r="AD2832" t="s">
        <v>59</v>
      </c>
      <c r="AF2832" s="1">
        <v>39328</v>
      </c>
      <c r="AG2832" t="s">
        <v>148</v>
      </c>
      <c r="AH2832" t="s">
        <v>149</v>
      </c>
      <c r="AI2832" t="str">
        <f>"4144002"</f>
        <v>4144002</v>
      </c>
      <c r="AJ2832" t="s">
        <v>5655</v>
      </c>
      <c r="AK2832">
        <v>2831061110</v>
      </c>
      <c r="AL2832" t="s">
        <v>5656</v>
      </c>
      <c r="AM2832" t="s">
        <v>64</v>
      </c>
      <c r="AN2832" t="s">
        <v>65</v>
      </c>
      <c r="AO2832" t="s">
        <v>5657</v>
      </c>
      <c r="AP2832" t="s">
        <v>1437</v>
      </c>
      <c r="AQ2832">
        <v>1</v>
      </c>
      <c r="AR2832" t="s">
        <v>5644</v>
      </c>
      <c r="AS2832" t="s">
        <v>5645</v>
      </c>
      <c r="AT2832" t="s">
        <v>58</v>
      </c>
      <c r="AU2832" t="s">
        <v>68</v>
      </c>
      <c r="AV2832" t="s">
        <v>69</v>
      </c>
      <c r="AW2832" s="1">
        <v>29035</v>
      </c>
      <c r="AX2832">
        <v>2</v>
      </c>
    </row>
    <row r="2833" spans="1:50">
      <c r="A2833">
        <v>218335</v>
      </c>
      <c r="B2833" t="str">
        <f>"059901238"</f>
        <v>059901238</v>
      </c>
      <c r="C2833" t="s">
        <v>50</v>
      </c>
      <c r="D2833" t="s">
        <v>585</v>
      </c>
      <c r="E2833" t="s">
        <v>250</v>
      </c>
      <c r="F2833" t="s">
        <v>84</v>
      </c>
      <c r="G2833" t="s">
        <v>54</v>
      </c>
      <c r="H2833" t="str">
        <f>"ΚΑΠΟΔΙΣΤΡΙΟΥ 21 ΚΑΛΛΙΘΕΑ"</f>
        <v>ΚΑΠΟΔΙΣΤΡΙΟΥ 21 ΚΑΛΛΙΘΕΑ</v>
      </c>
      <c r="I2833">
        <v>74100</v>
      </c>
      <c r="J2833">
        <v>2831023189</v>
      </c>
      <c r="K2833">
        <v>6972310257</v>
      </c>
      <c r="N2833" t="s">
        <v>232</v>
      </c>
      <c r="O2833" t="s">
        <v>233</v>
      </c>
      <c r="P2833" t="s">
        <v>257</v>
      </c>
      <c r="Q2833" t="s">
        <v>258</v>
      </c>
      <c r="R2833" t="s">
        <v>57</v>
      </c>
      <c r="S2833">
        <v>8</v>
      </c>
      <c r="T2833">
        <v>599</v>
      </c>
      <c r="U2833" s="1">
        <v>39310</v>
      </c>
      <c r="V2833" t="s">
        <v>5644</v>
      </c>
      <c r="W2833" t="s">
        <v>5645</v>
      </c>
      <c r="X2833" t="s">
        <v>58</v>
      </c>
      <c r="Y2833">
        <v>20</v>
      </c>
      <c r="Z2833" t="s">
        <v>59</v>
      </c>
      <c r="AA2833" t="s">
        <v>59</v>
      </c>
      <c r="AB2833" t="s">
        <v>59</v>
      </c>
      <c r="AC2833" t="s">
        <v>59</v>
      </c>
      <c r="AD2833" t="s">
        <v>59</v>
      </c>
      <c r="AF2833" s="1">
        <v>39328</v>
      </c>
      <c r="AG2833" t="s">
        <v>125</v>
      </c>
      <c r="AH2833" t="s">
        <v>126</v>
      </c>
      <c r="AI2833" t="str">
        <f>"4110015"</f>
        <v>4110015</v>
      </c>
      <c r="AJ2833" t="s">
        <v>5723</v>
      </c>
      <c r="AK2833">
        <v>2831022741</v>
      </c>
      <c r="AL2833" t="s">
        <v>5724</v>
      </c>
      <c r="AM2833" t="s">
        <v>64</v>
      </c>
      <c r="AN2833" t="s">
        <v>65</v>
      </c>
      <c r="AO2833" t="s">
        <v>5720</v>
      </c>
      <c r="AP2833" t="s">
        <v>5721</v>
      </c>
      <c r="AQ2833">
        <v>1</v>
      </c>
      <c r="AR2833" t="s">
        <v>5644</v>
      </c>
      <c r="AS2833" t="s">
        <v>5645</v>
      </c>
      <c r="AT2833" t="s">
        <v>58</v>
      </c>
      <c r="AU2833" t="s">
        <v>68</v>
      </c>
      <c r="AV2833" t="s">
        <v>69</v>
      </c>
      <c r="AW2833" s="1">
        <v>27193</v>
      </c>
      <c r="AX2833">
        <v>2</v>
      </c>
    </row>
    <row r="2834" spans="1:50">
      <c r="A2834">
        <v>198441</v>
      </c>
      <c r="B2834" t="str">
        <f>"055068532"</f>
        <v>055068532</v>
      </c>
      <c r="C2834" t="s">
        <v>50</v>
      </c>
      <c r="D2834" t="s">
        <v>585</v>
      </c>
      <c r="E2834" t="s">
        <v>5201</v>
      </c>
      <c r="F2834" t="s">
        <v>4999</v>
      </c>
      <c r="G2834" t="s">
        <v>1740</v>
      </c>
      <c r="H2834" t="str">
        <f>"ΓΕΡΑΝΙ  ΡΕΘΥΜΝΟ"</f>
        <v>ΓΕΡΑΝΙ  ΡΕΘΥΜΝΟ</v>
      </c>
      <c r="I2834">
        <v>74100</v>
      </c>
      <c r="J2834">
        <v>2831072074</v>
      </c>
      <c r="K2834">
        <v>6978674266</v>
      </c>
      <c r="L2834">
        <v>6938894929</v>
      </c>
      <c r="N2834" t="s">
        <v>306</v>
      </c>
      <c r="O2834" t="s">
        <v>307</v>
      </c>
      <c r="R2834" t="s">
        <v>57</v>
      </c>
      <c r="S2834">
        <v>9</v>
      </c>
      <c r="T2834">
        <v>206</v>
      </c>
      <c r="U2834" s="1">
        <v>37866</v>
      </c>
      <c r="V2834" t="s">
        <v>5644</v>
      </c>
      <c r="W2834" t="s">
        <v>5645</v>
      </c>
      <c r="X2834" t="s">
        <v>58</v>
      </c>
      <c r="Y2834">
        <v>20</v>
      </c>
      <c r="Z2834" t="s">
        <v>59</v>
      </c>
      <c r="AA2834" t="s">
        <v>59</v>
      </c>
      <c r="AB2834" t="s">
        <v>59</v>
      </c>
      <c r="AC2834" t="s">
        <v>59</v>
      </c>
      <c r="AD2834" t="s">
        <v>59</v>
      </c>
      <c r="AF2834" s="1">
        <v>37866</v>
      </c>
      <c r="AG2834" t="s">
        <v>148</v>
      </c>
      <c r="AH2834" t="s">
        <v>149</v>
      </c>
      <c r="AI2834" t="str">
        <f>"4151020"</f>
        <v>4151020</v>
      </c>
      <c r="AJ2834" t="s">
        <v>5725</v>
      </c>
      <c r="AK2834">
        <v>2831022475</v>
      </c>
      <c r="AL2834" t="s">
        <v>5726</v>
      </c>
      <c r="AM2834" t="s">
        <v>64</v>
      </c>
      <c r="AN2834" t="s">
        <v>65</v>
      </c>
      <c r="AO2834" t="s">
        <v>65</v>
      </c>
      <c r="AP2834" t="s">
        <v>65</v>
      </c>
      <c r="AQ2834">
        <v>1</v>
      </c>
      <c r="AR2834" t="s">
        <v>5644</v>
      </c>
      <c r="AS2834" t="s">
        <v>5645</v>
      </c>
      <c r="AT2834" t="s">
        <v>58</v>
      </c>
      <c r="AU2834" t="s">
        <v>68</v>
      </c>
      <c r="AV2834" t="s">
        <v>69</v>
      </c>
      <c r="AW2834" s="1">
        <v>25713</v>
      </c>
      <c r="AX2834">
        <v>2</v>
      </c>
    </row>
    <row r="2835" spans="1:50">
      <c r="B2835" t="str">
        <f>"057936175"</f>
        <v>057936175</v>
      </c>
      <c r="C2835" t="s">
        <v>105</v>
      </c>
      <c r="D2835" t="s">
        <v>5727</v>
      </c>
      <c r="E2835" t="s">
        <v>166</v>
      </c>
      <c r="F2835" t="s">
        <v>166</v>
      </c>
      <c r="G2835" t="s">
        <v>83</v>
      </c>
      <c r="H2835" t="str">
        <f>"ΜΙΚΡΑΣΙΑΤΩΝ 8 ΡΕΘΥΜΝΟ"</f>
        <v>ΜΙΚΡΑΣΙΑΤΩΝ 8 ΡΕΘΥΜΝΟ</v>
      </c>
      <c r="I2835">
        <v>74100</v>
      </c>
      <c r="J2835">
        <v>2831029311</v>
      </c>
      <c r="K2835">
        <v>6932904467</v>
      </c>
      <c r="M2835" t="s">
        <v>5728</v>
      </c>
      <c r="N2835" t="s">
        <v>1351</v>
      </c>
      <c r="O2835" t="s">
        <v>1352</v>
      </c>
      <c r="R2835" t="s">
        <v>159</v>
      </c>
      <c r="S2835">
        <v>3</v>
      </c>
      <c r="T2835" t="s">
        <v>416</v>
      </c>
      <c r="U2835" s="1">
        <v>43349</v>
      </c>
      <c r="V2835" t="s">
        <v>5644</v>
      </c>
      <c r="W2835" t="s">
        <v>5645</v>
      </c>
      <c r="X2835" t="s">
        <v>58</v>
      </c>
      <c r="Y2835">
        <v>23</v>
      </c>
      <c r="Z2835" t="s">
        <v>59</v>
      </c>
      <c r="AA2835" t="s">
        <v>59</v>
      </c>
      <c r="AB2835" t="s">
        <v>59</v>
      </c>
      <c r="AC2835" t="s">
        <v>59</v>
      </c>
      <c r="AD2835" t="s">
        <v>59</v>
      </c>
      <c r="AF2835" s="1">
        <v>43349</v>
      </c>
      <c r="AG2835" t="s">
        <v>137</v>
      </c>
      <c r="AH2835" t="s">
        <v>138</v>
      </c>
      <c r="AI2835" t="str">
        <f>"4150040"</f>
        <v>4150040</v>
      </c>
      <c r="AJ2835" t="s">
        <v>5661</v>
      </c>
      <c r="AK2835">
        <v>2831029048</v>
      </c>
      <c r="AL2835" t="s">
        <v>5662</v>
      </c>
      <c r="AM2835" t="s">
        <v>64</v>
      </c>
      <c r="AN2835" t="s">
        <v>65</v>
      </c>
      <c r="AO2835" t="s">
        <v>65</v>
      </c>
      <c r="AP2835" t="s">
        <v>65</v>
      </c>
      <c r="AQ2835">
        <v>1</v>
      </c>
      <c r="AR2835" t="s">
        <v>5644</v>
      </c>
      <c r="AS2835" t="s">
        <v>5645</v>
      </c>
      <c r="AT2835" t="s">
        <v>58</v>
      </c>
      <c r="AU2835" t="s">
        <v>419</v>
      </c>
      <c r="AV2835" t="s">
        <v>132</v>
      </c>
      <c r="AW2835" s="1">
        <v>26049</v>
      </c>
      <c r="AX2835">
        <v>2</v>
      </c>
    </row>
    <row r="2836" spans="1:50">
      <c r="A2836">
        <v>203864</v>
      </c>
      <c r="B2836" t="str">
        <f>"052735388"</f>
        <v>052735388</v>
      </c>
      <c r="C2836" t="s">
        <v>105</v>
      </c>
      <c r="D2836" t="s">
        <v>5727</v>
      </c>
      <c r="E2836" t="s">
        <v>377</v>
      </c>
      <c r="F2836" t="s">
        <v>2847</v>
      </c>
      <c r="G2836" t="s">
        <v>52</v>
      </c>
      <c r="H2836" t="str">
        <f>"ΕΡΩΤΟΚΡΙΤΟΥ  5 ΡΕΘΥΜΝΟ"</f>
        <v>ΕΡΩΤΟΚΡΙΤΟΥ  5 ΡΕΘΥΜΝΟ</v>
      </c>
      <c r="I2836">
        <v>74100</v>
      </c>
      <c r="J2836">
        <v>2834051092</v>
      </c>
      <c r="K2836">
        <v>6932259159</v>
      </c>
      <c r="N2836" t="s">
        <v>176</v>
      </c>
      <c r="O2836" t="s">
        <v>177</v>
      </c>
      <c r="R2836" t="s">
        <v>57</v>
      </c>
      <c r="S2836">
        <v>9</v>
      </c>
      <c r="T2836">
        <v>231</v>
      </c>
      <c r="U2836" s="1">
        <v>38230</v>
      </c>
      <c r="V2836" t="s">
        <v>5644</v>
      </c>
      <c r="W2836" t="s">
        <v>5645</v>
      </c>
      <c r="X2836" t="s">
        <v>58</v>
      </c>
      <c r="Y2836">
        <v>20</v>
      </c>
      <c r="Z2836" t="s">
        <v>59</v>
      </c>
      <c r="AA2836" t="s">
        <v>59</v>
      </c>
      <c r="AB2836" t="s">
        <v>59</v>
      </c>
      <c r="AC2836" t="s">
        <v>59</v>
      </c>
      <c r="AD2836" t="s">
        <v>59</v>
      </c>
      <c r="AF2836" s="1">
        <v>38230</v>
      </c>
      <c r="AG2836" t="s">
        <v>125</v>
      </c>
      <c r="AH2836" t="s">
        <v>126</v>
      </c>
      <c r="AI2836" t="str">
        <f>"4135001"</f>
        <v>4135001</v>
      </c>
      <c r="AJ2836" t="s">
        <v>5729</v>
      </c>
      <c r="AK2836">
        <v>2831073938</v>
      </c>
      <c r="AL2836" t="s">
        <v>5730</v>
      </c>
      <c r="AM2836" t="s">
        <v>64</v>
      </c>
      <c r="AN2836" t="s">
        <v>65</v>
      </c>
      <c r="AO2836" t="s">
        <v>65</v>
      </c>
      <c r="AP2836" t="s">
        <v>65</v>
      </c>
      <c r="AQ2836">
        <v>1</v>
      </c>
      <c r="AR2836" t="s">
        <v>5644</v>
      </c>
      <c r="AS2836" t="s">
        <v>5645</v>
      </c>
      <c r="AT2836" t="s">
        <v>58</v>
      </c>
      <c r="AU2836" t="s">
        <v>68</v>
      </c>
      <c r="AV2836" t="s">
        <v>357</v>
      </c>
      <c r="AW2836" s="1">
        <v>24005</v>
      </c>
      <c r="AX2836">
        <v>2</v>
      </c>
    </row>
    <row r="2837" spans="1:50">
      <c r="A2837">
        <v>175230</v>
      </c>
      <c r="B2837" t="str">
        <f>"044259564"</f>
        <v>044259564</v>
      </c>
      <c r="C2837" t="s">
        <v>50</v>
      </c>
      <c r="D2837" t="s">
        <v>606</v>
      </c>
      <c r="E2837" t="s">
        <v>5731</v>
      </c>
      <c r="F2837" t="s">
        <v>315</v>
      </c>
      <c r="G2837" t="s">
        <v>237</v>
      </c>
      <c r="H2837" t="str">
        <f>"ΘΕΟΤΟΚΟΠΟΥΛΟΥ 54 "</f>
        <v xml:space="preserve">ΘΕΟΤΟΚΟΠΟΥΛΟΥ 54 </v>
      </c>
      <c r="I2837">
        <v>74100</v>
      </c>
      <c r="N2837" t="s">
        <v>146</v>
      </c>
      <c r="O2837" t="s">
        <v>147</v>
      </c>
      <c r="R2837" t="s">
        <v>57</v>
      </c>
      <c r="S2837">
        <v>12</v>
      </c>
      <c r="T2837">
        <v>180</v>
      </c>
      <c r="U2837" s="1">
        <v>35674</v>
      </c>
      <c r="V2837" t="s">
        <v>5644</v>
      </c>
      <c r="W2837" t="s">
        <v>5645</v>
      </c>
      <c r="X2837" t="s">
        <v>58</v>
      </c>
      <c r="Y2837">
        <v>18</v>
      </c>
      <c r="Z2837" t="s">
        <v>59</v>
      </c>
      <c r="AA2837" t="s">
        <v>59</v>
      </c>
      <c r="AB2837" t="s">
        <v>59</v>
      </c>
      <c r="AC2837" t="s">
        <v>59</v>
      </c>
      <c r="AD2837" t="s">
        <v>59</v>
      </c>
      <c r="AF2837" s="1">
        <v>35678</v>
      </c>
      <c r="AG2837" t="s">
        <v>125</v>
      </c>
      <c r="AH2837" t="s">
        <v>126</v>
      </c>
      <c r="AI2837" t="str">
        <f>"4101040"</f>
        <v>4101040</v>
      </c>
      <c r="AJ2837" t="s">
        <v>5732</v>
      </c>
      <c r="AK2837">
        <v>2831029261</v>
      </c>
      <c r="AL2837" t="s">
        <v>5733</v>
      </c>
      <c r="AM2837" t="s">
        <v>64</v>
      </c>
      <c r="AN2837" t="s">
        <v>65</v>
      </c>
      <c r="AO2837" t="s">
        <v>65</v>
      </c>
      <c r="AP2837" t="s">
        <v>65</v>
      </c>
      <c r="AQ2837">
        <v>1</v>
      </c>
      <c r="AR2837" t="s">
        <v>5644</v>
      </c>
      <c r="AS2837" t="s">
        <v>5645</v>
      </c>
      <c r="AT2837" t="s">
        <v>58</v>
      </c>
      <c r="AU2837" t="s">
        <v>68</v>
      </c>
      <c r="AV2837" t="s">
        <v>69</v>
      </c>
      <c r="AW2837" s="1">
        <v>24405</v>
      </c>
      <c r="AX2837">
        <v>2</v>
      </c>
    </row>
    <row r="2838" spans="1:50">
      <c r="A2838">
        <v>150057</v>
      </c>
      <c r="B2838" t="str">
        <f>"033885698"</f>
        <v>033885698</v>
      </c>
      <c r="C2838" t="s">
        <v>105</v>
      </c>
      <c r="D2838" t="s">
        <v>622</v>
      </c>
      <c r="E2838" t="s">
        <v>474</v>
      </c>
      <c r="F2838" t="s">
        <v>166</v>
      </c>
      <c r="G2838" t="s">
        <v>1345</v>
      </c>
      <c r="H2838" t="str">
        <f>"Γιαμπουδάκη 50 ΡΕΘΥΜΝΟ"</f>
        <v>Γιαμπουδάκη 50 ΡΕΘΥΜΝΟ</v>
      </c>
      <c r="I2838">
        <v>74100</v>
      </c>
      <c r="K2838">
        <v>6986704725</v>
      </c>
      <c r="N2838" t="s">
        <v>157</v>
      </c>
      <c r="O2838" t="s">
        <v>158</v>
      </c>
      <c r="R2838" t="s">
        <v>57</v>
      </c>
      <c r="S2838">
        <v>15</v>
      </c>
      <c r="T2838">
        <v>170</v>
      </c>
      <c r="U2838" s="1">
        <v>32016</v>
      </c>
      <c r="V2838" t="s">
        <v>5644</v>
      </c>
      <c r="W2838" t="s">
        <v>5645</v>
      </c>
      <c r="X2838" t="s">
        <v>58</v>
      </c>
      <c r="Y2838">
        <v>18</v>
      </c>
      <c r="Z2838" t="s">
        <v>59</v>
      </c>
      <c r="AA2838" t="s">
        <v>59</v>
      </c>
      <c r="AB2838" t="s">
        <v>59</v>
      </c>
      <c r="AC2838" t="s">
        <v>59</v>
      </c>
      <c r="AD2838" t="s">
        <v>59</v>
      </c>
      <c r="AF2838" s="1">
        <v>32016</v>
      </c>
      <c r="AG2838" t="s">
        <v>148</v>
      </c>
      <c r="AH2838" t="s">
        <v>149</v>
      </c>
      <c r="AI2838" t="str">
        <f>"4151030"</f>
        <v>4151030</v>
      </c>
      <c r="AJ2838" t="s">
        <v>5681</v>
      </c>
      <c r="AK2838">
        <v>2831023422</v>
      </c>
      <c r="AL2838" t="s">
        <v>5682</v>
      </c>
      <c r="AM2838" t="s">
        <v>64</v>
      </c>
      <c r="AN2838" t="s">
        <v>65</v>
      </c>
      <c r="AO2838" t="s">
        <v>65</v>
      </c>
      <c r="AP2838" t="s">
        <v>65</v>
      </c>
      <c r="AQ2838">
        <v>1</v>
      </c>
      <c r="AR2838" t="s">
        <v>5644</v>
      </c>
      <c r="AS2838" t="s">
        <v>5645</v>
      </c>
      <c r="AT2838" t="s">
        <v>58</v>
      </c>
      <c r="AU2838" t="s">
        <v>68</v>
      </c>
      <c r="AV2838" t="s">
        <v>69</v>
      </c>
      <c r="AW2838" s="1">
        <v>20685</v>
      </c>
      <c r="AX2838">
        <v>2</v>
      </c>
    </row>
    <row r="2839" spans="1:50">
      <c r="A2839">
        <v>227810</v>
      </c>
      <c r="B2839" t="str">
        <f>"054252687"</f>
        <v>054252687</v>
      </c>
      <c r="C2839" t="s">
        <v>105</v>
      </c>
      <c r="D2839" t="s">
        <v>622</v>
      </c>
      <c r="E2839" t="s">
        <v>106</v>
      </c>
      <c r="F2839" t="s">
        <v>166</v>
      </c>
      <c r="G2839" t="s">
        <v>1108</v>
      </c>
      <c r="H2839" t="str">
        <f>"ΑΓ. ΝΙΚΩΝΟΣ ΤΟΥ ΜΕΤΑΝΟΗΤΕ 7 ΗΡΑΚΛΕΙΟ ΚΡΗΤΗΣ"</f>
        <v>ΑΓ. ΝΙΚΩΝΟΣ ΤΟΥ ΜΕΤΑΝΟΗΤΕ 7 ΗΡΑΚΛΕΙΟ ΚΡΗΤΗΣ</v>
      </c>
      <c r="I2839">
        <v>71304</v>
      </c>
      <c r="J2839">
        <v>2810254523</v>
      </c>
      <c r="K2839">
        <v>6945050889</v>
      </c>
      <c r="M2839" t="s">
        <v>5734</v>
      </c>
      <c r="N2839" t="s">
        <v>176</v>
      </c>
      <c r="O2839" t="s">
        <v>177</v>
      </c>
      <c r="R2839" t="s">
        <v>57</v>
      </c>
      <c r="S2839">
        <v>6</v>
      </c>
      <c r="T2839">
        <v>654</v>
      </c>
      <c r="U2839" s="1">
        <v>40043</v>
      </c>
      <c r="V2839" t="s">
        <v>5644</v>
      </c>
      <c r="W2839" t="s">
        <v>5645</v>
      </c>
      <c r="X2839" t="s">
        <v>58</v>
      </c>
      <c r="Y2839">
        <v>20</v>
      </c>
      <c r="Z2839" t="s">
        <v>59</v>
      </c>
      <c r="AA2839" t="s">
        <v>59</v>
      </c>
      <c r="AB2839" t="s">
        <v>59</v>
      </c>
      <c r="AC2839" t="s">
        <v>59</v>
      </c>
      <c r="AD2839" t="s">
        <v>59</v>
      </c>
      <c r="AF2839" s="1">
        <v>40043</v>
      </c>
      <c r="AG2839" t="s">
        <v>125</v>
      </c>
      <c r="AH2839" t="s">
        <v>126</v>
      </c>
      <c r="AI2839" t="str">
        <f>"4102010"</f>
        <v>4102010</v>
      </c>
      <c r="AJ2839" t="s">
        <v>5735</v>
      </c>
      <c r="AK2839">
        <v>2834031331</v>
      </c>
      <c r="AL2839" t="s">
        <v>5736</v>
      </c>
      <c r="AM2839" t="s">
        <v>64</v>
      </c>
      <c r="AN2839" t="s">
        <v>5737</v>
      </c>
      <c r="AO2839" t="s">
        <v>5737</v>
      </c>
      <c r="AP2839" t="s">
        <v>5737</v>
      </c>
      <c r="AQ2839">
        <v>3</v>
      </c>
      <c r="AR2839" t="s">
        <v>5644</v>
      </c>
      <c r="AS2839" t="s">
        <v>5645</v>
      </c>
      <c r="AT2839" t="s">
        <v>58</v>
      </c>
      <c r="AU2839" t="s">
        <v>68</v>
      </c>
      <c r="AV2839" t="s">
        <v>69</v>
      </c>
      <c r="AW2839" s="1">
        <v>24512</v>
      </c>
      <c r="AX2839">
        <v>2</v>
      </c>
    </row>
    <row r="2840" spans="1:50">
      <c r="A2840">
        <v>162140</v>
      </c>
      <c r="B2840" t="str">
        <f>"042294800"</f>
        <v>042294800</v>
      </c>
      <c r="C2840" t="s">
        <v>50</v>
      </c>
      <c r="D2840" t="s">
        <v>5738</v>
      </c>
      <c r="E2840" t="s">
        <v>934</v>
      </c>
      <c r="F2840" t="s">
        <v>936</v>
      </c>
      <c r="G2840" t="s">
        <v>699</v>
      </c>
      <c r="H2840" t="str">
        <f>"ΚΟΥΡΗΤΩΝ 2 ΡΕΘΥΜΝΝΟ"</f>
        <v>ΚΟΥΡΗΤΩΝ 2 ΡΕΘΥΜΝΝΟ</v>
      </c>
      <c r="I2840">
        <v>74100</v>
      </c>
      <c r="N2840" t="s">
        <v>146</v>
      </c>
      <c r="O2840" t="s">
        <v>147</v>
      </c>
      <c r="R2840" t="s">
        <v>57</v>
      </c>
      <c r="S2840">
        <v>15</v>
      </c>
      <c r="T2840">
        <v>132</v>
      </c>
      <c r="U2840" s="1">
        <v>33456</v>
      </c>
      <c r="V2840" t="s">
        <v>5644</v>
      </c>
      <c r="W2840" t="s">
        <v>5645</v>
      </c>
      <c r="X2840" t="s">
        <v>58</v>
      </c>
      <c r="Y2840">
        <v>18</v>
      </c>
      <c r="Z2840" t="s">
        <v>59</v>
      </c>
      <c r="AA2840" t="s">
        <v>59</v>
      </c>
      <c r="AB2840" t="s">
        <v>59</v>
      </c>
      <c r="AC2840" t="s">
        <v>59</v>
      </c>
      <c r="AD2840" t="s">
        <v>59</v>
      </c>
      <c r="AF2840" s="1">
        <v>33456</v>
      </c>
      <c r="AG2840" t="s">
        <v>148</v>
      </c>
      <c r="AH2840" t="s">
        <v>149</v>
      </c>
      <c r="AI2840" t="str">
        <f>"4152010"</f>
        <v>4152010</v>
      </c>
      <c r="AJ2840" t="s">
        <v>5739</v>
      </c>
      <c r="AK2840">
        <v>2834031205</v>
      </c>
      <c r="AL2840" t="s">
        <v>5740</v>
      </c>
      <c r="AM2840" t="s">
        <v>64</v>
      </c>
      <c r="AN2840" t="s">
        <v>5737</v>
      </c>
      <c r="AO2840" t="s">
        <v>5737</v>
      </c>
      <c r="AP2840" t="s">
        <v>5737</v>
      </c>
      <c r="AQ2840">
        <v>3</v>
      </c>
      <c r="AR2840" t="s">
        <v>5644</v>
      </c>
      <c r="AS2840" t="s">
        <v>5645</v>
      </c>
      <c r="AT2840" t="s">
        <v>58</v>
      </c>
      <c r="AU2840" t="s">
        <v>68</v>
      </c>
      <c r="AV2840" t="s">
        <v>69</v>
      </c>
      <c r="AW2840" s="1">
        <v>22504</v>
      </c>
      <c r="AX2840">
        <v>2</v>
      </c>
    </row>
    <row r="2841" spans="1:50">
      <c r="A2841">
        <v>703501</v>
      </c>
      <c r="B2841" t="str">
        <f>"062301860"</f>
        <v>062301860</v>
      </c>
      <c r="C2841" t="s">
        <v>50</v>
      </c>
      <c r="D2841" t="s">
        <v>5741</v>
      </c>
      <c r="E2841" t="s">
        <v>868</v>
      </c>
      <c r="F2841" t="s">
        <v>920</v>
      </c>
      <c r="G2841" t="s">
        <v>1164</v>
      </c>
      <c r="H2841" t="str">
        <f>"ΜΗΔΕΙΑΣ 3 Ν.ΦΙΛΑΔΕΛΦΕΙΑ"</f>
        <v>ΜΗΔΕΙΑΣ 3 Ν.ΦΙΛΑΔΕΛΦΕΙΑ</v>
      </c>
      <c r="I2841">
        <v>14342</v>
      </c>
      <c r="J2841">
        <v>2102524350</v>
      </c>
      <c r="K2841">
        <v>6977213041</v>
      </c>
      <c r="M2841" t="s">
        <v>5742</v>
      </c>
      <c r="N2841" t="s">
        <v>232</v>
      </c>
      <c r="O2841" t="s">
        <v>233</v>
      </c>
      <c r="P2841" t="s">
        <v>1116</v>
      </c>
      <c r="Q2841" t="s">
        <v>1117</v>
      </c>
      <c r="R2841" t="s">
        <v>57</v>
      </c>
      <c r="S2841">
        <v>6</v>
      </c>
      <c r="T2841">
        <v>925</v>
      </c>
      <c r="U2841" s="1">
        <v>41158</v>
      </c>
      <c r="V2841" t="s">
        <v>5644</v>
      </c>
      <c r="W2841" t="s">
        <v>5645</v>
      </c>
      <c r="X2841" t="s">
        <v>58</v>
      </c>
      <c r="Y2841">
        <v>21</v>
      </c>
      <c r="Z2841" t="s">
        <v>59</v>
      </c>
      <c r="AA2841" t="s">
        <v>59</v>
      </c>
      <c r="AB2841" t="s">
        <v>59</v>
      </c>
      <c r="AC2841" t="s">
        <v>59</v>
      </c>
      <c r="AD2841" t="s">
        <v>59</v>
      </c>
      <c r="AF2841" s="1">
        <v>41163</v>
      </c>
      <c r="AG2841" t="s">
        <v>137</v>
      </c>
      <c r="AH2841" t="s">
        <v>138</v>
      </c>
      <c r="AI2841" t="str">
        <f>"4150040"</f>
        <v>4150040</v>
      </c>
      <c r="AJ2841" t="s">
        <v>5661</v>
      </c>
      <c r="AK2841">
        <v>2831029048</v>
      </c>
      <c r="AL2841" t="s">
        <v>5662</v>
      </c>
      <c r="AM2841" t="s">
        <v>64</v>
      </c>
      <c r="AN2841" t="s">
        <v>65</v>
      </c>
      <c r="AO2841" t="s">
        <v>65</v>
      </c>
      <c r="AP2841" t="s">
        <v>65</v>
      </c>
      <c r="AQ2841">
        <v>1</v>
      </c>
      <c r="AR2841" t="s">
        <v>5644</v>
      </c>
      <c r="AS2841" t="s">
        <v>5645</v>
      </c>
      <c r="AT2841" t="s">
        <v>58</v>
      </c>
      <c r="AU2841" t="s">
        <v>68</v>
      </c>
      <c r="AV2841" t="s">
        <v>69</v>
      </c>
      <c r="AW2841" s="1">
        <v>26262</v>
      </c>
      <c r="AX2841">
        <v>2</v>
      </c>
    </row>
    <row r="2842" spans="1:50">
      <c r="A2842">
        <v>220651</v>
      </c>
      <c r="B2842" t="str">
        <f>"101877401"</f>
        <v>101877401</v>
      </c>
      <c r="C2842" t="s">
        <v>50</v>
      </c>
      <c r="D2842" t="s">
        <v>5743</v>
      </c>
      <c r="E2842" t="s">
        <v>250</v>
      </c>
      <c r="F2842" t="s">
        <v>315</v>
      </c>
      <c r="G2842" t="s">
        <v>671</v>
      </c>
      <c r="H2842" t="str">
        <f>"ΒΟΓΙΑΤΖΑΚΗ 17 ΡΕΘΥΜΝΟ"</f>
        <v>ΒΟΓΙΑΤΖΑΚΗ 17 ΡΕΘΥΜΝΟ</v>
      </c>
      <c r="I2842">
        <v>74100</v>
      </c>
      <c r="J2842">
        <v>2831300442</v>
      </c>
      <c r="K2842">
        <v>6944445489</v>
      </c>
      <c r="M2842" t="s">
        <v>5744</v>
      </c>
      <c r="N2842" t="s">
        <v>288</v>
      </c>
      <c r="O2842" t="s">
        <v>289</v>
      </c>
      <c r="R2842" t="s">
        <v>57</v>
      </c>
      <c r="S2842">
        <v>6</v>
      </c>
      <c r="T2842">
        <v>681</v>
      </c>
      <c r="U2842" s="1">
        <v>39325</v>
      </c>
      <c r="V2842" t="s">
        <v>5644</v>
      </c>
      <c r="W2842" t="s">
        <v>5645</v>
      </c>
      <c r="X2842" t="s">
        <v>58</v>
      </c>
      <c r="Y2842">
        <v>20</v>
      </c>
      <c r="Z2842" t="s">
        <v>59</v>
      </c>
      <c r="AA2842" t="s">
        <v>59</v>
      </c>
      <c r="AB2842" t="s">
        <v>59</v>
      </c>
      <c r="AC2842" t="s">
        <v>59</v>
      </c>
      <c r="AD2842" t="s">
        <v>59</v>
      </c>
      <c r="AF2842" s="1">
        <v>39325</v>
      </c>
      <c r="AG2842" t="s">
        <v>125</v>
      </c>
      <c r="AH2842" t="s">
        <v>126</v>
      </c>
      <c r="AI2842" t="str">
        <f>"4104010"</f>
        <v>4104010</v>
      </c>
      <c r="AJ2842" t="s">
        <v>5745</v>
      </c>
      <c r="AK2842">
        <v>2834022235</v>
      </c>
      <c r="AL2842" t="s">
        <v>5746</v>
      </c>
      <c r="AM2842" t="s">
        <v>64</v>
      </c>
      <c r="AN2842" t="s">
        <v>5672</v>
      </c>
      <c r="AO2842" t="s">
        <v>5673</v>
      </c>
      <c r="AP2842" t="s">
        <v>5689</v>
      </c>
      <c r="AQ2842">
        <v>2</v>
      </c>
      <c r="AR2842" t="s">
        <v>5644</v>
      </c>
      <c r="AS2842" t="s">
        <v>5645</v>
      </c>
      <c r="AT2842" t="s">
        <v>58</v>
      </c>
      <c r="AU2842" t="s">
        <v>68</v>
      </c>
      <c r="AV2842" t="s">
        <v>69</v>
      </c>
      <c r="AW2842" s="1">
        <v>29222</v>
      </c>
      <c r="AX2842">
        <v>2</v>
      </c>
    </row>
    <row r="2843" spans="1:50">
      <c r="A2843">
        <v>206523</v>
      </c>
      <c r="B2843" t="str">
        <f>"059974612"</f>
        <v>059974612</v>
      </c>
      <c r="C2843" t="s">
        <v>50</v>
      </c>
      <c r="D2843" t="s">
        <v>5747</v>
      </c>
      <c r="E2843" t="s">
        <v>809</v>
      </c>
      <c r="F2843" t="s">
        <v>166</v>
      </c>
      <c r="G2843" t="s">
        <v>83</v>
      </c>
      <c r="H2843" t="str">
        <f>"ΖΑΚΡΟΣ  ΣΗΤΕΙΑ"</f>
        <v>ΖΑΚΡΟΣ  ΣΗΤΕΙΑ</v>
      </c>
      <c r="I2843">
        <v>72300</v>
      </c>
      <c r="J2843">
        <v>2831051327</v>
      </c>
      <c r="K2843">
        <v>6936492101</v>
      </c>
      <c r="N2843" t="s">
        <v>146</v>
      </c>
      <c r="O2843" t="s">
        <v>147</v>
      </c>
      <c r="R2843" t="s">
        <v>57</v>
      </c>
      <c r="S2843">
        <v>10</v>
      </c>
      <c r="T2843">
        <v>218</v>
      </c>
      <c r="U2843" s="1">
        <v>38596</v>
      </c>
      <c r="V2843" t="s">
        <v>5644</v>
      </c>
      <c r="W2843" t="s">
        <v>5645</v>
      </c>
      <c r="X2843" t="s">
        <v>58</v>
      </c>
      <c r="Y2843">
        <v>20</v>
      </c>
      <c r="Z2843" t="s">
        <v>59</v>
      </c>
      <c r="AA2843" t="s">
        <v>59</v>
      </c>
      <c r="AB2843" t="s">
        <v>59</v>
      </c>
      <c r="AC2843" t="s">
        <v>452</v>
      </c>
      <c r="AD2843" t="s">
        <v>59</v>
      </c>
      <c r="AF2843" s="1">
        <v>38596</v>
      </c>
      <c r="AG2843" t="s">
        <v>148</v>
      </c>
      <c r="AH2843" t="s">
        <v>149</v>
      </c>
      <c r="AI2843" t="str">
        <f>"4152010"</f>
        <v>4152010</v>
      </c>
      <c r="AJ2843" t="s">
        <v>5739</v>
      </c>
      <c r="AK2843">
        <v>2834031205</v>
      </c>
      <c r="AL2843" t="s">
        <v>5740</v>
      </c>
      <c r="AM2843" t="s">
        <v>64</v>
      </c>
      <c r="AN2843" t="s">
        <v>5737</v>
      </c>
      <c r="AO2843" t="s">
        <v>5737</v>
      </c>
      <c r="AP2843" t="s">
        <v>5737</v>
      </c>
      <c r="AQ2843">
        <v>3</v>
      </c>
      <c r="AR2843" t="s">
        <v>5644</v>
      </c>
      <c r="AS2843" t="s">
        <v>5645</v>
      </c>
      <c r="AT2843" t="s">
        <v>58</v>
      </c>
      <c r="AU2843" t="s">
        <v>68</v>
      </c>
      <c r="AV2843" t="s">
        <v>69</v>
      </c>
      <c r="AW2843" s="1">
        <v>26494</v>
      </c>
      <c r="AX2843">
        <v>2</v>
      </c>
    </row>
    <row r="2844" spans="1:50">
      <c r="A2844">
        <v>226260</v>
      </c>
      <c r="B2844" t="str">
        <f>"067839950"</f>
        <v>067839950</v>
      </c>
      <c r="C2844" t="s">
        <v>105</v>
      </c>
      <c r="D2844" t="s">
        <v>5748</v>
      </c>
      <c r="E2844" t="s">
        <v>5749</v>
      </c>
      <c r="F2844" t="s">
        <v>5750</v>
      </c>
      <c r="G2844" t="s">
        <v>3934</v>
      </c>
      <c r="H2844" t="str">
        <f>"Ρουσσοσπίτι  ΡΕΘΥΜΝΟ"</f>
        <v>Ρουσσοσπίτι  ΡΕΘΥΜΝΟ</v>
      </c>
      <c r="I2844">
        <v>74100</v>
      </c>
      <c r="J2844">
        <v>2831075327</v>
      </c>
      <c r="K2844">
        <v>6982444989</v>
      </c>
      <c r="M2844" t="s">
        <v>5751</v>
      </c>
      <c r="N2844" t="s">
        <v>157</v>
      </c>
      <c r="O2844" t="s">
        <v>158</v>
      </c>
      <c r="R2844" t="s">
        <v>57</v>
      </c>
      <c r="S2844">
        <v>6</v>
      </c>
      <c r="T2844" t="s">
        <v>5752</v>
      </c>
      <c r="U2844" s="1">
        <v>40043</v>
      </c>
      <c r="V2844" t="s">
        <v>5644</v>
      </c>
      <c r="W2844" t="s">
        <v>5645</v>
      </c>
      <c r="X2844" t="s">
        <v>58</v>
      </c>
      <c r="Y2844">
        <v>21</v>
      </c>
      <c r="Z2844" t="s">
        <v>59</v>
      </c>
      <c r="AA2844" t="s">
        <v>59</v>
      </c>
      <c r="AB2844" t="s">
        <v>59</v>
      </c>
      <c r="AC2844" t="s">
        <v>59</v>
      </c>
      <c r="AD2844" t="s">
        <v>452</v>
      </c>
      <c r="AE2844" s="1">
        <v>43708</v>
      </c>
      <c r="AF2844" s="1">
        <v>40045</v>
      </c>
      <c r="AG2844" t="s">
        <v>125</v>
      </c>
      <c r="AH2844" t="s">
        <v>5702</v>
      </c>
      <c r="AI2844" t="str">
        <f>"4101042"</f>
        <v>4101042</v>
      </c>
      <c r="AJ2844" t="s">
        <v>5703</v>
      </c>
      <c r="AK2844">
        <v>2831027230</v>
      </c>
      <c r="AL2844" t="s">
        <v>5704</v>
      </c>
      <c r="AM2844" t="s">
        <v>64</v>
      </c>
      <c r="AN2844" t="s">
        <v>65</v>
      </c>
      <c r="AO2844" t="s">
        <v>65</v>
      </c>
      <c r="AP2844" t="s">
        <v>65</v>
      </c>
      <c r="AQ2844">
        <v>1</v>
      </c>
      <c r="AR2844" t="s">
        <v>5644</v>
      </c>
      <c r="AS2844" t="s">
        <v>5645</v>
      </c>
      <c r="AT2844" t="s">
        <v>58</v>
      </c>
      <c r="AU2844" t="s">
        <v>68</v>
      </c>
      <c r="AV2844" t="s">
        <v>69</v>
      </c>
      <c r="AW2844" s="1">
        <v>29209</v>
      </c>
      <c r="AX2844">
        <v>2</v>
      </c>
    </row>
    <row r="2845" spans="1:50">
      <c r="A2845">
        <v>228208</v>
      </c>
      <c r="B2845" t="str">
        <f>"100075351"</f>
        <v>100075351</v>
      </c>
      <c r="C2845" t="s">
        <v>105</v>
      </c>
      <c r="D2845" t="s">
        <v>667</v>
      </c>
      <c r="E2845" t="s">
        <v>154</v>
      </c>
      <c r="F2845" t="s">
        <v>95</v>
      </c>
      <c r="G2845" t="s">
        <v>188</v>
      </c>
      <c r="H2845" t="str">
        <f>"ΑΘΗΝΩΝ 116Β ΡΟΔΟΣ"</f>
        <v>ΑΘΗΝΩΝ 116Β ΡΟΔΟΣ</v>
      </c>
      <c r="I2845">
        <v>85100</v>
      </c>
      <c r="K2845">
        <v>6932922779</v>
      </c>
      <c r="M2845" t="s">
        <v>5753</v>
      </c>
      <c r="N2845" t="s">
        <v>257</v>
      </c>
      <c r="O2845" t="s">
        <v>258</v>
      </c>
      <c r="R2845" t="s">
        <v>57</v>
      </c>
      <c r="S2845">
        <v>8</v>
      </c>
      <c r="T2845">
        <v>654</v>
      </c>
      <c r="U2845" s="1">
        <v>40043</v>
      </c>
      <c r="V2845" t="s">
        <v>5644</v>
      </c>
      <c r="W2845" t="s">
        <v>5645</v>
      </c>
      <c r="X2845" t="s">
        <v>58</v>
      </c>
      <c r="Y2845">
        <v>21</v>
      </c>
      <c r="Z2845" t="s">
        <v>59</v>
      </c>
      <c r="AA2845" t="s">
        <v>59</v>
      </c>
      <c r="AB2845" t="s">
        <v>59</v>
      </c>
      <c r="AC2845" t="s">
        <v>59</v>
      </c>
      <c r="AD2845" t="s">
        <v>59</v>
      </c>
      <c r="AF2845" s="1">
        <v>40422</v>
      </c>
      <c r="AG2845" t="s">
        <v>148</v>
      </c>
      <c r="AH2845" t="s">
        <v>149</v>
      </c>
      <c r="AI2845" t="str">
        <f>"4151020"</f>
        <v>4151020</v>
      </c>
      <c r="AJ2845" t="s">
        <v>5725</v>
      </c>
      <c r="AK2845">
        <v>2831022475</v>
      </c>
      <c r="AL2845" t="s">
        <v>5726</v>
      </c>
      <c r="AM2845" t="s">
        <v>64</v>
      </c>
      <c r="AN2845" t="s">
        <v>65</v>
      </c>
      <c r="AO2845" t="s">
        <v>65</v>
      </c>
      <c r="AP2845" t="s">
        <v>65</v>
      </c>
      <c r="AQ2845">
        <v>1</v>
      </c>
      <c r="AR2845" t="s">
        <v>5644</v>
      </c>
      <c r="AS2845" t="s">
        <v>5645</v>
      </c>
      <c r="AT2845" t="s">
        <v>58</v>
      </c>
      <c r="AU2845" t="s">
        <v>68</v>
      </c>
      <c r="AV2845" t="s">
        <v>69</v>
      </c>
      <c r="AW2845" s="1">
        <v>27386</v>
      </c>
      <c r="AX2845">
        <v>2</v>
      </c>
    </row>
    <row r="2846" spans="1:50">
      <c r="A2846">
        <v>223861</v>
      </c>
      <c r="B2846" t="str">
        <f>"030221772"</f>
        <v>030221772</v>
      </c>
      <c r="C2846" t="s">
        <v>50</v>
      </c>
      <c r="D2846" t="s">
        <v>5754</v>
      </c>
      <c r="E2846" t="s">
        <v>2235</v>
      </c>
      <c r="F2846" t="s">
        <v>53</v>
      </c>
      <c r="G2846" t="s">
        <v>255</v>
      </c>
      <c r="H2846" t="str">
        <f>"ΚΟΥΡΜΟΥΛΗ 19 ΡΕΘΥΜΝΟΥ"</f>
        <v>ΚΟΥΡΜΟΥΛΗ 19 ΡΕΘΥΜΝΟΥ</v>
      </c>
      <c r="I2846">
        <v>74132</v>
      </c>
      <c r="J2846">
        <v>2831027716</v>
      </c>
      <c r="K2846">
        <v>6972327703</v>
      </c>
      <c r="M2846" t="s">
        <v>5755</v>
      </c>
      <c r="N2846" t="s">
        <v>478</v>
      </c>
      <c r="O2846" t="s">
        <v>479</v>
      </c>
      <c r="R2846" t="s">
        <v>57</v>
      </c>
      <c r="S2846">
        <v>11</v>
      </c>
      <c r="T2846">
        <v>775</v>
      </c>
      <c r="U2846" s="1">
        <v>39680</v>
      </c>
      <c r="V2846" t="s">
        <v>5644</v>
      </c>
      <c r="W2846" t="s">
        <v>5645</v>
      </c>
      <c r="X2846" t="s">
        <v>58</v>
      </c>
      <c r="Y2846">
        <v>21</v>
      </c>
      <c r="Z2846" t="s">
        <v>59</v>
      </c>
      <c r="AA2846" t="s">
        <v>59</v>
      </c>
      <c r="AB2846" t="s">
        <v>59</v>
      </c>
      <c r="AC2846" t="s">
        <v>59</v>
      </c>
      <c r="AD2846" t="s">
        <v>59</v>
      </c>
      <c r="AF2846" s="1">
        <v>39681</v>
      </c>
      <c r="AG2846" t="s">
        <v>125</v>
      </c>
      <c r="AH2846" t="s">
        <v>126</v>
      </c>
      <c r="AI2846" t="str">
        <f>"4101030"</f>
        <v>4101030</v>
      </c>
      <c r="AJ2846" t="s">
        <v>5646</v>
      </c>
      <c r="AK2846">
        <v>2831022359</v>
      </c>
      <c r="AL2846" t="s">
        <v>5647</v>
      </c>
      <c r="AM2846" t="s">
        <v>64</v>
      </c>
      <c r="AN2846" t="s">
        <v>65</v>
      </c>
      <c r="AO2846" t="s">
        <v>65</v>
      </c>
      <c r="AP2846" t="s">
        <v>65</v>
      </c>
      <c r="AQ2846">
        <v>1</v>
      </c>
      <c r="AR2846" t="s">
        <v>5644</v>
      </c>
      <c r="AS2846" t="s">
        <v>5645</v>
      </c>
      <c r="AT2846" t="s">
        <v>58</v>
      </c>
      <c r="AU2846" t="s">
        <v>68</v>
      </c>
      <c r="AV2846" t="s">
        <v>132</v>
      </c>
      <c r="AW2846" s="1">
        <v>26866</v>
      </c>
      <c r="AX2846">
        <v>2</v>
      </c>
    </row>
    <row r="2847" spans="1:50">
      <c r="A2847">
        <v>211848</v>
      </c>
      <c r="B2847" t="str">
        <f>"077220103"</f>
        <v>077220103</v>
      </c>
      <c r="C2847" t="s">
        <v>50</v>
      </c>
      <c r="D2847" t="s">
        <v>5756</v>
      </c>
      <c r="E2847" t="s">
        <v>367</v>
      </c>
      <c r="F2847" t="s">
        <v>4999</v>
      </c>
      <c r="G2847" t="s">
        <v>2811</v>
      </c>
      <c r="H2847" t="str">
        <f>"ΠΡΙΝΟΣ ΡΕΘΥΜΝΟ"</f>
        <v>ΠΡΙΝΟΣ ΡΕΘΥΜΝΟ</v>
      </c>
      <c r="I2847">
        <v>74100</v>
      </c>
      <c r="J2847">
        <v>2834093122</v>
      </c>
      <c r="K2847">
        <v>6972889327</v>
      </c>
      <c r="N2847" t="s">
        <v>146</v>
      </c>
      <c r="O2847" t="s">
        <v>147</v>
      </c>
      <c r="R2847" t="s">
        <v>57</v>
      </c>
      <c r="S2847">
        <v>6</v>
      </c>
      <c r="T2847">
        <v>231</v>
      </c>
      <c r="U2847" s="1">
        <v>38960</v>
      </c>
      <c r="V2847" t="s">
        <v>5644</v>
      </c>
      <c r="W2847" t="s">
        <v>5645</v>
      </c>
      <c r="X2847" t="s">
        <v>58</v>
      </c>
      <c r="Y2847">
        <v>20</v>
      </c>
      <c r="Z2847" t="s">
        <v>59</v>
      </c>
      <c r="AA2847" t="s">
        <v>59</v>
      </c>
      <c r="AB2847" t="s">
        <v>59</v>
      </c>
      <c r="AC2847" t="s">
        <v>59</v>
      </c>
      <c r="AD2847" t="s">
        <v>59</v>
      </c>
      <c r="AF2847" s="1">
        <v>38960</v>
      </c>
      <c r="AG2847" t="s">
        <v>148</v>
      </c>
      <c r="AH2847" t="s">
        <v>149</v>
      </c>
      <c r="AI2847" t="str">
        <f>"4144003"</f>
        <v>4144003</v>
      </c>
      <c r="AJ2847" t="s">
        <v>5757</v>
      </c>
      <c r="AK2847">
        <v>2831073970</v>
      </c>
      <c r="AL2847" t="s">
        <v>5758</v>
      </c>
      <c r="AM2847" t="s">
        <v>64</v>
      </c>
      <c r="AN2847" t="s">
        <v>65</v>
      </c>
      <c r="AO2847" t="s">
        <v>65</v>
      </c>
      <c r="AP2847" t="s">
        <v>65</v>
      </c>
      <c r="AQ2847">
        <v>1</v>
      </c>
      <c r="AR2847" t="s">
        <v>5644</v>
      </c>
      <c r="AS2847" t="s">
        <v>5645</v>
      </c>
      <c r="AT2847" t="s">
        <v>58</v>
      </c>
      <c r="AU2847" t="s">
        <v>68</v>
      </c>
      <c r="AV2847" t="s">
        <v>357</v>
      </c>
      <c r="AW2847" s="1">
        <v>27096</v>
      </c>
      <c r="AX2847">
        <v>2</v>
      </c>
    </row>
    <row r="2848" spans="1:50">
      <c r="A2848">
        <v>217415</v>
      </c>
      <c r="B2848" t="str">
        <f>"120037859"</f>
        <v>120037859</v>
      </c>
      <c r="C2848" t="s">
        <v>50</v>
      </c>
      <c r="D2848" t="s">
        <v>5759</v>
      </c>
      <c r="E2848" t="s">
        <v>263</v>
      </c>
      <c r="F2848" t="s">
        <v>474</v>
      </c>
      <c r="G2848" t="s">
        <v>181</v>
      </c>
      <c r="H2848" t="str">
        <f>"ΑΣΚΟΥΤΣΗ 60 ΡΕΘΥΜΝΟ"</f>
        <v>ΑΣΚΟΥΤΣΗ 60 ΡΕΘΥΜΝΟ</v>
      </c>
      <c r="I2848">
        <v>74052</v>
      </c>
      <c r="J2848">
        <v>2831024289</v>
      </c>
      <c r="K2848">
        <v>6938144445</v>
      </c>
      <c r="N2848" t="s">
        <v>146</v>
      </c>
      <c r="O2848" t="s">
        <v>147</v>
      </c>
      <c r="R2848" t="s">
        <v>57</v>
      </c>
      <c r="S2848">
        <v>8</v>
      </c>
      <c r="T2848">
        <v>599</v>
      </c>
      <c r="U2848" s="1">
        <v>39310</v>
      </c>
      <c r="V2848" t="s">
        <v>5644</v>
      </c>
      <c r="W2848" t="s">
        <v>5645</v>
      </c>
      <c r="X2848" t="s">
        <v>58</v>
      </c>
      <c r="Y2848">
        <v>20</v>
      </c>
      <c r="Z2848" t="s">
        <v>59</v>
      </c>
      <c r="AA2848" t="s">
        <v>59</v>
      </c>
      <c r="AB2848" t="s">
        <v>59</v>
      </c>
      <c r="AC2848" t="s">
        <v>59</v>
      </c>
      <c r="AD2848" t="s">
        <v>59</v>
      </c>
      <c r="AF2848" s="1">
        <v>39331</v>
      </c>
      <c r="AG2848" t="s">
        <v>137</v>
      </c>
      <c r="AH2848" t="s">
        <v>138</v>
      </c>
      <c r="AI2848" t="str">
        <f>"4152001"</f>
        <v>4152001</v>
      </c>
      <c r="AJ2848" t="s">
        <v>5665</v>
      </c>
      <c r="AK2848">
        <v>2831024375</v>
      </c>
      <c r="AL2848" t="s">
        <v>5666</v>
      </c>
      <c r="AM2848" t="s">
        <v>64</v>
      </c>
      <c r="AN2848" t="s">
        <v>65</v>
      </c>
      <c r="AO2848" t="s">
        <v>65</v>
      </c>
      <c r="AP2848" t="s">
        <v>65</v>
      </c>
      <c r="AQ2848">
        <v>1</v>
      </c>
      <c r="AR2848" t="s">
        <v>5644</v>
      </c>
      <c r="AS2848" t="s">
        <v>5645</v>
      </c>
      <c r="AT2848" t="s">
        <v>58</v>
      </c>
      <c r="AU2848" t="s">
        <v>68</v>
      </c>
      <c r="AV2848" t="s">
        <v>69</v>
      </c>
      <c r="AW2848" s="1">
        <v>28940</v>
      </c>
      <c r="AX2848">
        <v>2</v>
      </c>
    </row>
    <row r="2849" spans="1:50">
      <c r="A2849">
        <v>172955</v>
      </c>
      <c r="B2849" t="str">
        <f>"065491551"</f>
        <v>065491551</v>
      </c>
      <c r="C2849" t="s">
        <v>50</v>
      </c>
      <c r="D2849" t="s">
        <v>5759</v>
      </c>
      <c r="E2849" t="s">
        <v>52</v>
      </c>
      <c r="F2849" t="s">
        <v>99</v>
      </c>
      <c r="G2849" t="s">
        <v>494</v>
      </c>
      <c r="H2849" t="str">
        <f>"Β.ΨΥΛΛΑΚΗ 4 ΡΕΘΥΜΝΟ"</f>
        <v>Β.ΨΥΛΛΑΚΗ 4 ΡΕΘΥΜΝΟ</v>
      </c>
      <c r="I2849">
        <v>74100</v>
      </c>
      <c r="J2849">
        <v>2831025887</v>
      </c>
      <c r="K2849">
        <v>6973344282</v>
      </c>
      <c r="N2849" t="s">
        <v>306</v>
      </c>
      <c r="O2849" t="s">
        <v>307</v>
      </c>
      <c r="R2849" t="s">
        <v>57</v>
      </c>
      <c r="S2849">
        <v>15</v>
      </c>
      <c r="T2849">
        <v>150</v>
      </c>
      <c r="U2849" s="1">
        <v>34577</v>
      </c>
      <c r="V2849" t="s">
        <v>5644</v>
      </c>
      <c r="W2849" t="s">
        <v>5645</v>
      </c>
      <c r="X2849" t="s">
        <v>58</v>
      </c>
      <c r="Y2849">
        <v>18</v>
      </c>
      <c r="Z2849" t="s">
        <v>59</v>
      </c>
      <c r="AA2849" t="s">
        <v>59</v>
      </c>
      <c r="AB2849" t="s">
        <v>59</v>
      </c>
      <c r="AC2849" t="s">
        <v>59</v>
      </c>
      <c r="AD2849" t="s">
        <v>59</v>
      </c>
      <c r="AF2849" s="1">
        <v>34578</v>
      </c>
      <c r="AG2849" t="s">
        <v>148</v>
      </c>
      <c r="AH2849" t="s">
        <v>149</v>
      </c>
      <c r="AI2849" t="str">
        <f>"4151020"</f>
        <v>4151020</v>
      </c>
      <c r="AJ2849" t="s">
        <v>5725</v>
      </c>
      <c r="AK2849">
        <v>2831022475</v>
      </c>
      <c r="AL2849" t="s">
        <v>5726</v>
      </c>
      <c r="AM2849" t="s">
        <v>64</v>
      </c>
      <c r="AN2849" t="s">
        <v>65</v>
      </c>
      <c r="AO2849" t="s">
        <v>65</v>
      </c>
      <c r="AP2849" t="s">
        <v>65</v>
      </c>
      <c r="AQ2849">
        <v>1</v>
      </c>
      <c r="AR2849" t="s">
        <v>5644</v>
      </c>
      <c r="AS2849" t="s">
        <v>5645</v>
      </c>
      <c r="AT2849" t="s">
        <v>58</v>
      </c>
      <c r="AU2849" t="s">
        <v>68</v>
      </c>
      <c r="AV2849" t="s">
        <v>69</v>
      </c>
      <c r="AW2849" s="1">
        <v>23551</v>
      </c>
      <c r="AX2849">
        <v>2</v>
      </c>
    </row>
    <row r="2850" spans="1:50">
      <c r="A2850">
        <v>153827</v>
      </c>
      <c r="B2850" t="str">
        <f>"100068650"</f>
        <v>100068650</v>
      </c>
      <c r="C2850" t="s">
        <v>50</v>
      </c>
      <c r="D2850" t="s">
        <v>5760</v>
      </c>
      <c r="E2850" t="s">
        <v>237</v>
      </c>
      <c r="F2850" t="s">
        <v>1543</v>
      </c>
      <c r="G2850" t="s">
        <v>3172</v>
      </c>
      <c r="H2850" t="str">
        <f>"ΑΓΓΕΛΟΥ ΣΙΚΕΛΙΑΝΟΥ 7 ΚΑΛΛΙΘΕΑ"</f>
        <v>ΑΓΓΕΛΟΥ ΣΙΚΕΛΙΑΝΟΥ 7 ΚΑΛΛΙΘΕΑ</v>
      </c>
      <c r="I2850">
        <v>74100</v>
      </c>
      <c r="N2850" t="s">
        <v>146</v>
      </c>
      <c r="O2850" t="s">
        <v>147</v>
      </c>
      <c r="R2850" t="s">
        <v>57</v>
      </c>
      <c r="S2850">
        <v>15</v>
      </c>
      <c r="T2850">
        <v>161</v>
      </c>
      <c r="U2850" s="1">
        <v>32387</v>
      </c>
      <c r="V2850" t="s">
        <v>5644</v>
      </c>
      <c r="W2850" t="s">
        <v>5645</v>
      </c>
      <c r="X2850" t="s">
        <v>58</v>
      </c>
      <c r="Y2850">
        <v>18</v>
      </c>
      <c r="Z2850" t="s">
        <v>59</v>
      </c>
      <c r="AA2850" t="s">
        <v>59</v>
      </c>
      <c r="AB2850" t="s">
        <v>59</v>
      </c>
      <c r="AC2850" t="s">
        <v>59</v>
      </c>
      <c r="AD2850" t="s">
        <v>59</v>
      </c>
      <c r="AF2850" s="1">
        <v>32387</v>
      </c>
      <c r="AG2850" t="s">
        <v>125</v>
      </c>
      <c r="AH2850" t="s">
        <v>126</v>
      </c>
      <c r="AI2850" t="str">
        <f>"4102020"</f>
        <v>4102020</v>
      </c>
      <c r="AJ2850" t="s">
        <v>5761</v>
      </c>
      <c r="AK2850">
        <v>2831061491</v>
      </c>
      <c r="AL2850" t="s">
        <v>5762</v>
      </c>
      <c r="AM2850" t="s">
        <v>64</v>
      </c>
      <c r="AN2850" t="s">
        <v>65</v>
      </c>
      <c r="AO2850" t="s">
        <v>5657</v>
      </c>
      <c r="AP2850" t="s">
        <v>1437</v>
      </c>
      <c r="AQ2850">
        <v>1</v>
      </c>
      <c r="AR2850" t="s">
        <v>5644</v>
      </c>
      <c r="AS2850" t="s">
        <v>5645</v>
      </c>
      <c r="AT2850" t="s">
        <v>58</v>
      </c>
      <c r="AU2850" t="s">
        <v>68</v>
      </c>
      <c r="AV2850" t="s">
        <v>69</v>
      </c>
      <c r="AW2850" s="1">
        <v>21593</v>
      </c>
      <c r="AX2850">
        <v>2</v>
      </c>
    </row>
    <row r="2851" spans="1:50">
      <c r="B2851" t="str">
        <f>"132276930"</f>
        <v>132276930</v>
      </c>
      <c r="C2851" t="s">
        <v>50</v>
      </c>
      <c r="D2851" t="s">
        <v>5763</v>
      </c>
      <c r="E2851" t="s">
        <v>250</v>
      </c>
      <c r="F2851" t="s">
        <v>84</v>
      </c>
      <c r="G2851" t="s">
        <v>5764</v>
      </c>
      <c r="H2851" t="str">
        <f>" "</f>
        <v xml:space="preserve"> </v>
      </c>
      <c r="N2851" t="s">
        <v>2241</v>
      </c>
      <c r="O2851" t="s">
        <v>2242</v>
      </c>
      <c r="R2851" t="s">
        <v>121</v>
      </c>
      <c r="S2851">
        <v>1</v>
      </c>
      <c r="T2851" t="s">
        <v>1944</v>
      </c>
      <c r="U2851" s="1">
        <v>43364</v>
      </c>
      <c r="V2851" t="s">
        <v>5644</v>
      </c>
      <c r="W2851" t="s">
        <v>5645</v>
      </c>
      <c r="X2851" t="s">
        <v>58</v>
      </c>
      <c r="Y2851">
        <v>23</v>
      </c>
      <c r="Z2851" t="s">
        <v>59</v>
      </c>
      <c r="AD2851" t="s">
        <v>59</v>
      </c>
      <c r="AF2851" s="1">
        <v>43367</v>
      </c>
      <c r="AG2851" t="s">
        <v>137</v>
      </c>
      <c r="AH2851" t="s">
        <v>138</v>
      </c>
      <c r="AI2851" t="str">
        <f>"4150040"</f>
        <v>4150040</v>
      </c>
      <c r="AJ2851" t="s">
        <v>5661</v>
      </c>
      <c r="AK2851">
        <v>2831029048</v>
      </c>
      <c r="AL2851" t="s">
        <v>5662</v>
      </c>
      <c r="AM2851" t="s">
        <v>64</v>
      </c>
      <c r="AN2851" t="s">
        <v>65</v>
      </c>
      <c r="AO2851" t="s">
        <v>65</v>
      </c>
      <c r="AP2851" t="s">
        <v>65</v>
      </c>
      <c r="AQ2851">
        <v>1</v>
      </c>
      <c r="AR2851" t="s">
        <v>5644</v>
      </c>
      <c r="AS2851" t="s">
        <v>5645</v>
      </c>
      <c r="AT2851" t="s">
        <v>58</v>
      </c>
      <c r="AU2851" t="s">
        <v>350</v>
      </c>
      <c r="AV2851" t="s">
        <v>132</v>
      </c>
      <c r="AW2851" s="1">
        <v>30156</v>
      </c>
      <c r="AX2851">
        <v>2</v>
      </c>
    </row>
    <row r="2852" spans="1:50">
      <c r="B2852" t="str">
        <f>"152353795"</f>
        <v>152353795</v>
      </c>
      <c r="C2852" t="s">
        <v>50</v>
      </c>
      <c r="D2852" t="s">
        <v>5765</v>
      </c>
      <c r="E2852" t="s">
        <v>2774</v>
      </c>
      <c r="F2852" t="s">
        <v>377</v>
      </c>
      <c r="G2852" t="s">
        <v>52</v>
      </c>
      <c r="H2852" t="str">
        <f>"ΛΕΠΕΝΟΥ ΑΓΡΙΝΙΟ"</f>
        <v>ΛΕΠΕΝΟΥ ΑΓΡΙΝΙΟ</v>
      </c>
      <c r="I2852">
        <v>30100</v>
      </c>
      <c r="K2852">
        <v>6973857427</v>
      </c>
      <c r="M2852" t="s">
        <v>5766</v>
      </c>
      <c r="N2852" t="s">
        <v>536</v>
      </c>
      <c r="O2852" t="s">
        <v>537</v>
      </c>
      <c r="R2852" t="s">
        <v>121</v>
      </c>
      <c r="S2852">
        <v>3</v>
      </c>
      <c r="T2852" t="s">
        <v>1944</v>
      </c>
      <c r="U2852" s="1">
        <v>43364</v>
      </c>
      <c r="V2852" t="s">
        <v>5644</v>
      </c>
      <c r="W2852" t="s">
        <v>5645</v>
      </c>
      <c r="X2852" t="s">
        <v>58</v>
      </c>
      <c r="Y2852">
        <v>23</v>
      </c>
      <c r="Z2852" t="s">
        <v>59</v>
      </c>
      <c r="AA2852" t="s">
        <v>59</v>
      </c>
      <c r="AB2852" t="s">
        <v>59</v>
      </c>
      <c r="AC2852" t="s">
        <v>59</v>
      </c>
      <c r="AD2852" t="s">
        <v>59</v>
      </c>
      <c r="AF2852" s="1">
        <v>43367</v>
      </c>
      <c r="AG2852" t="s">
        <v>125</v>
      </c>
      <c r="AH2852" t="s">
        <v>126</v>
      </c>
      <c r="AI2852" t="str">
        <f>"4101020"</f>
        <v>4101020</v>
      </c>
      <c r="AJ2852" t="s">
        <v>5652</v>
      </c>
      <c r="AK2852">
        <v>2831023560</v>
      </c>
      <c r="AL2852" t="s">
        <v>5653</v>
      </c>
      <c r="AM2852" t="s">
        <v>64</v>
      </c>
      <c r="AN2852" t="s">
        <v>65</v>
      </c>
      <c r="AO2852" t="s">
        <v>65</v>
      </c>
      <c r="AP2852" t="s">
        <v>65</v>
      </c>
      <c r="AQ2852">
        <v>1</v>
      </c>
      <c r="AR2852" t="s">
        <v>5644</v>
      </c>
      <c r="AS2852" t="s">
        <v>5645</v>
      </c>
      <c r="AT2852" t="s">
        <v>58</v>
      </c>
      <c r="AU2852" t="s">
        <v>350</v>
      </c>
      <c r="AV2852" t="s">
        <v>132</v>
      </c>
      <c r="AW2852" s="1">
        <v>31684</v>
      </c>
      <c r="AX2852">
        <v>2</v>
      </c>
    </row>
    <row r="2853" spans="1:50">
      <c r="A2853">
        <v>198987</v>
      </c>
      <c r="B2853" t="str">
        <f>"064138782"</f>
        <v>064138782</v>
      </c>
      <c r="C2853" t="s">
        <v>105</v>
      </c>
      <c r="D2853" t="s">
        <v>5767</v>
      </c>
      <c r="E2853" t="s">
        <v>377</v>
      </c>
      <c r="F2853" t="s">
        <v>166</v>
      </c>
      <c r="G2853" t="s">
        <v>1108</v>
      </c>
      <c r="H2853" t="str">
        <f>"Λητούς 8 ΡΕΘΥΜΝΟ"</f>
        <v>Λητούς 8 ΡΕΘΥΜΝΟ</v>
      </c>
      <c r="I2853">
        <v>74133</v>
      </c>
      <c r="J2853">
        <v>2843028903</v>
      </c>
      <c r="K2853">
        <v>6978377476</v>
      </c>
      <c r="M2853" t="s">
        <v>5768</v>
      </c>
      <c r="N2853" t="s">
        <v>257</v>
      </c>
      <c r="O2853" t="s">
        <v>258</v>
      </c>
      <c r="R2853" t="s">
        <v>57</v>
      </c>
      <c r="S2853">
        <v>13</v>
      </c>
      <c r="T2853">
        <v>206</v>
      </c>
      <c r="U2853" s="1">
        <v>37866</v>
      </c>
      <c r="V2853" t="s">
        <v>5644</v>
      </c>
      <c r="W2853" t="s">
        <v>5645</v>
      </c>
      <c r="X2853" t="s">
        <v>58</v>
      </c>
      <c r="Y2853">
        <v>20</v>
      </c>
      <c r="Z2853" t="s">
        <v>59</v>
      </c>
      <c r="AA2853" t="s">
        <v>59</v>
      </c>
      <c r="AB2853" t="s">
        <v>59</v>
      </c>
      <c r="AC2853" t="s">
        <v>59</v>
      </c>
      <c r="AD2853" t="s">
        <v>59</v>
      </c>
      <c r="AF2853" s="1">
        <v>37866</v>
      </c>
      <c r="AG2853" t="s">
        <v>148</v>
      </c>
      <c r="AH2853" t="s">
        <v>149</v>
      </c>
      <c r="AI2853" t="str">
        <f>"4151030"</f>
        <v>4151030</v>
      </c>
      <c r="AJ2853" t="s">
        <v>5681</v>
      </c>
      <c r="AK2853">
        <v>2831023422</v>
      </c>
      <c r="AL2853" t="s">
        <v>5682</v>
      </c>
      <c r="AM2853" t="s">
        <v>64</v>
      </c>
      <c r="AN2853" t="s">
        <v>65</v>
      </c>
      <c r="AO2853" t="s">
        <v>65</v>
      </c>
      <c r="AP2853" t="s">
        <v>65</v>
      </c>
      <c r="AQ2853">
        <v>1</v>
      </c>
      <c r="AR2853" t="s">
        <v>5644</v>
      </c>
      <c r="AS2853" t="s">
        <v>5645</v>
      </c>
      <c r="AT2853" t="s">
        <v>58</v>
      </c>
      <c r="AU2853" t="s">
        <v>68</v>
      </c>
      <c r="AV2853" t="s">
        <v>69</v>
      </c>
      <c r="AW2853" s="1">
        <v>24766</v>
      </c>
      <c r="AX2853">
        <v>2</v>
      </c>
    </row>
    <row r="2854" spans="1:50">
      <c r="A2854">
        <v>224053</v>
      </c>
      <c r="B2854" t="str">
        <f>"113828932"</f>
        <v>113828932</v>
      </c>
      <c r="C2854" t="s">
        <v>50</v>
      </c>
      <c r="D2854" t="s">
        <v>5769</v>
      </c>
      <c r="E2854" t="s">
        <v>1068</v>
      </c>
      <c r="F2854" t="s">
        <v>315</v>
      </c>
      <c r="G2854" t="s">
        <v>143</v>
      </c>
      <c r="H2854" t="str">
        <f>"ΚΟΥΡΜΟΥΛΗ 93 ΡΕΘΥΜΝΟ"</f>
        <v>ΚΟΥΡΜΟΥΛΗ 93 ΡΕΘΥΜΝΟ</v>
      </c>
      <c r="I2854">
        <v>74100</v>
      </c>
      <c r="J2854">
        <v>2831036083</v>
      </c>
      <c r="K2854">
        <v>6942267297</v>
      </c>
      <c r="M2854" t="s">
        <v>5770</v>
      </c>
      <c r="N2854" t="s">
        <v>306</v>
      </c>
      <c r="O2854" t="s">
        <v>307</v>
      </c>
      <c r="R2854" t="s">
        <v>57</v>
      </c>
      <c r="S2854">
        <v>5</v>
      </c>
      <c r="T2854">
        <v>775</v>
      </c>
      <c r="U2854" s="1">
        <v>39680</v>
      </c>
      <c r="V2854" t="s">
        <v>5644</v>
      </c>
      <c r="W2854" t="s">
        <v>5645</v>
      </c>
      <c r="X2854" t="s">
        <v>58</v>
      </c>
      <c r="Y2854">
        <v>21</v>
      </c>
      <c r="Z2854" t="s">
        <v>59</v>
      </c>
      <c r="AA2854" t="s">
        <v>59</v>
      </c>
      <c r="AB2854" t="s">
        <v>59</v>
      </c>
      <c r="AC2854" t="s">
        <v>59</v>
      </c>
      <c r="AD2854" t="s">
        <v>59</v>
      </c>
      <c r="AF2854" s="1">
        <v>39680</v>
      </c>
      <c r="AG2854" t="s">
        <v>125</v>
      </c>
      <c r="AH2854" t="s">
        <v>126</v>
      </c>
      <c r="AI2854" t="str">
        <f>"4102020"</f>
        <v>4102020</v>
      </c>
      <c r="AJ2854" t="s">
        <v>5761</v>
      </c>
      <c r="AK2854">
        <v>2831061491</v>
      </c>
      <c r="AL2854" t="s">
        <v>5762</v>
      </c>
      <c r="AM2854" t="s">
        <v>64</v>
      </c>
      <c r="AN2854" t="s">
        <v>65</v>
      </c>
      <c r="AO2854" t="s">
        <v>5657</v>
      </c>
      <c r="AP2854" t="s">
        <v>1437</v>
      </c>
      <c r="AQ2854">
        <v>1</v>
      </c>
      <c r="AR2854" t="s">
        <v>5644</v>
      </c>
      <c r="AS2854" t="s">
        <v>5645</v>
      </c>
      <c r="AT2854" t="s">
        <v>58</v>
      </c>
      <c r="AU2854" t="s">
        <v>68</v>
      </c>
      <c r="AV2854" t="s">
        <v>69</v>
      </c>
      <c r="AW2854" s="1">
        <v>28590</v>
      </c>
      <c r="AX2854">
        <v>2</v>
      </c>
    </row>
    <row r="2855" spans="1:50">
      <c r="A2855">
        <v>216008</v>
      </c>
      <c r="B2855" t="str">
        <f>"120891806"</f>
        <v>120891806</v>
      </c>
      <c r="C2855" t="s">
        <v>50</v>
      </c>
      <c r="D2855" t="s">
        <v>5771</v>
      </c>
      <c r="E2855" t="s">
        <v>1068</v>
      </c>
      <c r="F2855" t="s">
        <v>510</v>
      </c>
      <c r="G2855" t="s">
        <v>600</v>
      </c>
      <c r="H2855" t="str">
        <f>"Βενί Μυλοποτάμου Μυλοπόταμος"</f>
        <v>Βενί Μυλοποτάμου Μυλοπόταμος</v>
      </c>
      <c r="I2855">
        <v>74051</v>
      </c>
      <c r="J2855">
        <v>2834041431</v>
      </c>
      <c r="K2855">
        <v>6973359722</v>
      </c>
      <c r="M2855" t="s">
        <v>5772</v>
      </c>
      <c r="N2855" t="s">
        <v>204</v>
      </c>
      <c r="O2855" t="s">
        <v>205</v>
      </c>
      <c r="R2855" t="s">
        <v>57</v>
      </c>
      <c r="S2855">
        <v>6</v>
      </c>
      <c r="T2855">
        <v>232</v>
      </c>
      <c r="U2855" s="1">
        <v>38960</v>
      </c>
      <c r="V2855" t="s">
        <v>5644</v>
      </c>
      <c r="W2855" t="s">
        <v>5645</v>
      </c>
      <c r="X2855" t="s">
        <v>58</v>
      </c>
      <c r="Y2855">
        <v>20</v>
      </c>
      <c r="Z2855" t="s">
        <v>59</v>
      </c>
      <c r="AA2855" t="s">
        <v>59</v>
      </c>
      <c r="AB2855" t="s">
        <v>59</v>
      </c>
      <c r="AC2855" t="s">
        <v>59</v>
      </c>
      <c r="AD2855" t="s">
        <v>59</v>
      </c>
      <c r="AF2855" s="1">
        <v>38966</v>
      </c>
      <c r="AG2855" t="s">
        <v>125</v>
      </c>
      <c r="AH2855" t="s">
        <v>126</v>
      </c>
      <c r="AI2855" t="str">
        <f>"4102010"</f>
        <v>4102010</v>
      </c>
      <c r="AJ2855" t="s">
        <v>5735</v>
      </c>
      <c r="AK2855">
        <v>2834031331</v>
      </c>
      <c r="AL2855" t="s">
        <v>5736</v>
      </c>
      <c r="AM2855" t="s">
        <v>64</v>
      </c>
      <c r="AN2855" t="s">
        <v>5737</v>
      </c>
      <c r="AO2855" t="s">
        <v>5737</v>
      </c>
      <c r="AP2855" t="s">
        <v>5737</v>
      </c>
      <c r="AQ2855">
        <v>3</v>
      </c>
      <c r="AR2855" t="s">
        <v>5644</v>
      </c>
      <c r="AS2855" t="s">
        <v>5645</v>
      </c>
      <c r="AT2855" t="s">
        <v>58</v>
      </c>
      <c r="AU2855" t="s">
        <v>68</v>
      </c>
      <c r="AV2855" t="s">
        <v>69</v>
      </c>
      <c r="AW2855" s="1">
        <v>29376</v>
      </c>
      <c r="AX2855">
        <v>2</v>
      </c>
    </row>
    <row r="2856" spans="1:50">
      <c r="A2856">
        <v>221915</v>
      </c>
      <c r="B2856" t="str">
        <f>"109102050"</f>
        <v>109102050</v>
      </c>
      <c r="C2856" t="s">
        <v>50</v>
      </c>
      <c r="D2856" t="s">
        <v>5773</v>
      </c>
      <c r="E2856" t="s">
        <v>534</v>
      </c>
      <c r="F2856" t="s">
        <v>3483</v>
      </c>
      <c r="G2856" t="s">
        <v>250</v>
      </c>
      <c r="H2856" t="str">
        <f>"  ΑΔΕΛΙΑΝΟΣ ΚΑΜΠΟΣ "</f>
        <v xml:space="preserve">  ΑΔΕΛΙΑΝΟΣ ΚΑΜΠΟΣ </v>
      </c>
      <c r="I2856">
        <v>74100</v>
      </c>
      <c r="J2856">
        <v>2831072651</v>
      </c>
      <c r="K2856">
        <v>6977468219</v>
      </c>
      <c r="N2856" t="s">
        <v>146</v>
      </c>
      <c r="O2856" t="s">
        <v>147</v>
      </c>
      <c r="R2856" t="s">
        <v>57</v>
      </c>
      <c r="S2856">
        <v>5</v>
      </c>
      <c r="T2856">
        <v>775</v>
      </c>
      <c r="U2856" s="1">
        <v>39680</v>
      </c>
      <c r="V2856" t="s">
        <v>5644</v>
      </c>
      <c r="W2856" t="s">
        <v>5645</v>
      </c>
      <c r="X2856" t="s">
        <v>58</v>
      </c>
      <c r="Y2856">
        <v>21</v>
      </c>
      <c r="Z2856" t="s">
        <v>59</v>
      </c>
      <c r="AA2856" t="s">
        <v>59</v>
      </c>
      <c r="AB2856" t="s">
        <v>59</v>
      </c>
      <c r="AC2856" t="s">
        <v>59</v>
      </c>
      <c r="AD2856" t="s">
        <v>59</v>
      </c>
      <c r="AF2856" s="1">
        <v>39680</v>
      </c>
      <c r="AG2856" t="s">
        <v>125</v>
      </c>
      <c r="AH2856" t="s">
        <v>126</v>
      </c>
      <c r="AI2856" t="str">
        <f>"4101040"</f>
        <v>4101040</v>
      </c>
      <c r="AJ2856" t="s">
        <v>5732</v>
      </c>
      <c r="AK2856">
        <v>2831029261</v>
      </c>
      <c r="AL2856" t="s">
        <v>5733</v>
      </c>
      <c r="AM2856" t="s">
        <v>64</v>
      </c>
      <c r="AN2856" t="s">
        <v>65</v>
      </c>
      <c r="AO2856" t="s">
        <v>65</v>
      </c>
      <c r="AP2856" t="s">
        <v>65</v>
      </c>
      <c r="AQ2856">
        <v>1</v>
      </c>
      <c r="AR2856" t="s">
        <v>5644</v>
      </c>
      <c r="AS2856" t="s">
        <v>5645</v>
      </c>
      <c r="AT2856" t="s">
        <v>58</v>
      </c>
      <c r="AU2856" t="s">
        <v>68</v>
      </c>
      <c r="AV2856" t="s">
        <v>69</v>
      </c>
      <c r="AW2856" s="1">
        <v>27551</v>
      </c>
      <c r="AX2856">
        <v>2</v>
      </c>
    </row>
    <row r="2857" spans="1:50">
      <c r="A2857">
        <v>700883</v>
      </c>
      <c r="B2857" t="str">
        <f>"103528350"</f>
        <v>103528350</v>
      </c>
      <c r="C2857" t="s">
        <v>50</v>
      </c>
      <c r="D2857" t="s">
        <v>5774</v>
      </c>
      <c r="E2857" t="s">
        <v>188</v>
      </c>
      <c r="F2857" t="s">
        <v>92</v>
      </c>
      <c r="G2857" t="s">
        <v>109</v>
      </c>
      <c r="H2857" t="str">
        <f>"ΔΕΛΑΠΟΡΤΑ 5 ΗΡΑΚΛΕΙΟ"</f>
        <v>ΔΕΛΑΠΟΡΤΑ 5 ΗΡΑΚΛΕΙΟ</v>
      </c>
      <c r="I2857">
        <v>71409</v>
      </c>
      <c r="J2857">
        <v>2815004379</v>
      </c>
      <c r="K2857">
        <v>6944258546</v>
      </c>
      <c r="M2857" t="s">
        <v>5775</v>
      </c>
      <c r="N2857" t="s">
        <v>288</v>
      </c>
      <c r="O2857" t="s">
        <v>289</v>
      </c>
      <c r="R2857" t="s">
        <v>57</v>
      </c>
      <c r="S2857">
        <v>5</v>
      </c>
      <c r="T2857">
        <v>772</v>
      </c>
      <c r="U2857" s="1">
        <v>40413</v>
      </c>
      <c r="V2857" t="s">
        <v>5644</v>
      </c>
      <c r="W2857" t="s">
        <v>5645</v>
      </c>
      <c r="X2857" t="s">
        <v>58</v>
      </c>
      <c r="Y2857">
        <v>21</v>
      </c>
      <c r="Z2857" t="s">
        <v>59</v>
      </c>
      <c r="AA2857" t="s">
        <v>59</v>
      </c>
      <c r="AB2857" t="s">
        <v>59</v>
      </c>
      <c r="AC2857" t="s">
        <v>59</v>
      </c>
      <c r="AD2857" t="s">
        <v>59</v>
      </c>
      <c r="AF2857" s="1">
        <v>40413</v>
      </c>
      <c r="AG2857" t="s">
        <v>125</v>
      </c>
      <c r="AH2857" t="s">
        <v>126</v>
      </c>
      <c r="AI2857" t="str">
        <f>"4101020"</f>
        <v>4101020</v>
      </c>
      <c r="AJ2857" t="s">
        <v>5652</v>
      </c>
      <c r="AK2857">
        <v>2831023560</v>
      </c>
      <c r="AL2857" t="s">
        <v>5653</v>
      </c>
      <c r="AM2857" t="s">
        <v>64</v>
      </c>
      <c r="AN2857" t="s">
        <v>65</v>
      </c>
      <c r="AO2857" t="s">
        <v>65</v>
      </c>
      <c r="AP2857" t="s">
        <v>65</v>
      </c>
      <c r="AQ2857">
        <v>1</v>
      </c>
      <c r="AR2857" t="s">
        <v>5644</v>
      </c>
      <c r="AS2857" t="s">
        <v>5645</v>
      </c>
      <c r="AT2857" t="s">
        <v>58</v>
      </c>
      <c r="AU2857" t="s">
        <v>68</v>
      </c>
      <c r="AV2857" t="s">
        <v>132</v>
      </c>
      <c r="AW2857" s="1">
        <v>28399</v>
      </c>
      <c r="AX2857">
        <v>2</v>
      </c>
    </row>
    <row r="2858" spans="1:50">
      <c r="A2858">
        <v>205096</v>
      </c>
      <c r="B2858" t="str">
        <f>"128314211"</f>
        <v>128314211</v>
      </c>
      <c r="C2858" t="s">
        <v>105</v>
      </c>
      <c r="D2858" t="s">
        <v>808</v>
      </c>
      <c r="E2858" t="s">
        <v>782</v>
      </c>
      <c r="F2858" t="s">
        <v>95</v>
      </c>
      <c r="G2858" t="s">
        <v>255</v>
      </c>
      <c r="H2858" t="str">
        <f>"Γ.ΣΚΟΥΛΑ 12 ΡΕΘΥΜΝΟ"</f>
        <v>Γ.ΣΚΟΥΛΑ 12 ΡΕΘΥΜΝΟ</v>
      </c>
      <c r="I2858">
        <v>74100</v>
      </c>
      <c r="K2858">
        <v>6973044483</v>
      </c>
      <c r="N2858" t="s">
        <v>204</v>
      </c>
      <c r="O2858" t="s">
        <v>205</v>
      </c>
      <c r="P2858" t="s">
        <v>299</v>
      </c>
      <c r="Q2858" t="s">
        <v>300</v>
      </c>
      <c r="R2858" t="s">
        <v>57</v>
      </c>
      <c r="S2858">
        <v>7</v>
      </c>
      <c r="T2858">
        <v>231</v>
      </c>
      <c r="U2858" s="1">
        <v>38230</v>
      </c>
      <c r="V2858" t="s">
        <v>5644</v>
      </c>
      <c r="W2858" t="s">
        <v>5645</v>
      </c>
      <c r="X2858" t="s">
        <v>58</v>
      </c>
      <c r="Y2858">
        <v>20</v>
      </c>
      <c r="Z2858" t="s">
        <v>59</v>
      </c>
      <c r="AA2858" t="s">
        <v>59</v>
      </c>
      <c r="AB2858" t="s">
        <v>59</v>
      </c>
      <c r="AC2858" t="s">
        <v>59</v>
      </c>
      <c r="AD2858" t="s">
        <v>59</v>
      </c>
      <c r="AF2858" s="1">
        <v>38231</v>
      </c>
      <c r="AG2858" t="s">
        <v>125</v>
      </c>
      <c r="AH2858" t="s">
        <v>126</v>
      </c>
      <c r="AI2858" t="str">
        <f>"4101030"</f>
        <v>4101030</v>
      </c>
      <c r="AJ2858" t="s">
        <v>5646</v>
      </c>
      <c r="AK2858">
        <v>2831022359</v>
      </c>
      <c r="AL2858" t="s">
        <v>5647</v>
      </c>
      <c r="AM2858" t="s">
        <v>64</v>
      </c>
      <c r="AN2858" t="s">
        <v>65</v>
      </c>
      <c r="AO2858" t="s">
        <v>65</v>
      </c>
      <c r="AP2858" t="s">
        <v>65</v>
      </c>
      <c r="AQ2858">
        <v>1</v>
      </c>
      <c r="AR2858" t="s">
        <v>5644</v>
      </c>
      <c r="AS2858" t="s">
        <v>5645</v>
      </c>
      <c r="AT2858" t="s">
        <v>58</v>
      </c>
      <c r="AU2858" t="s">
        <v>68</v>
      </c>
      <c r="AV2858" t="s">
        <v>132</v>
      </c>
      <c r="AW2858" s="1">
        <v>27359</v>
      </c>
      <c r="AX2858">
        <v>2</v>
      </c>
    </row>
    <row r="2859" spans="1:50">
      <c r="A2859">
        <v>187854</v>
      </c>
      <c r="B2859" t="str">
        <f>"079383483"</f>
        <v>079383483</v>
      </c>
      <c r="C2859" t="s">
        <v>105</v>
      </c>
      <c r="D2859" t="s">
        <v>5776</v>
      </c>
      <c r="E2859" t="s">
        <v>450</v>
      </c>
      <c r="F2859" t="s">
        <v>1316</v>
      </c>
      <c r="G2859" t="s">
        <v>687</v>
      </c>
      <c r="H2859" t="str">
        <f>"ΚΑΠΟΔΙΣΤΡΙΟΥ  25 ΡΕΘΥΜΝΟ"</f>
        <v>ΚΑΠΟΔΙΣΤΡΙΟΥ  25 ΡΕΘΥΜΝΟ</v>
      </c>
      <c r="I2859">
        <v>74100</v>
      </c>
      <c r="J2859">
        <v>2285071954</v>
      </c>
      <c r="K2859">
        <v>6977015508</v>
      </c>
      <c r="N2859" t="s">
        <v>204</v>
      </c>
      <c r="O2859" t="s">
        <v>205</v>
      </c>
      <c r="R2859" t="s">
        <v>57</v>
      </c>
      <c r="S2859">
        <v>9</v>
      </c>
      <c r="T2859">
        <v>251</v>
      </c>
      <c r="U2859" s="1">
        <v>36769</v>
      </c>
      <c r="V2859" t="s">
        <v>5644</v>
      </c>
      <c r="W2859" t="s">
        <v>5645</v>
      </c>
      <c r="X2859" t="s">
        <v>58</v>
      </c>
      <c r="Y2859">
        <v>20</v>
      </c>
      <c r="Z2859" t="s">
        <v>59</v>
      </c>
      <c r="AA2859" t="s">
        <v>59</v>
      </c>
      <c r="AB2859" t="s">
        <v>59</v>
      </c>
      <c r="AC2859" t="s">
        <v>59</v>
      </c>
      <c r="AD2859" t="s">
        <v>59</v>
      </c>
      <c r="AF2859" s="1">
        <v>36770</v>
      </c>
      <c r="AG2859" t="s">
        <v>125</v>
      </c>
      <c r="AH2859" t="s">
        <v>126</v>
      </c>
      <c r="AI2859" t="str">
        <f>"4110015"</f>
        <v>4110015</v>
      </c>
      <c r="AJ2859" t="s">
        <v>5723</v>
      </c>
      <c r="AK2859">
        <v>2831022741</v>
      </c>
      <c r="AL2859" t="s">
        <v>5724</v>
      </c>
      <c r="AM2859" t="s">
        <v>64</v>
      </c>
      <c r="AN2859" t="s">
        <v>65</v>
      </c>
      <c r="AO2859" t="s">
        <v>5720</v>
      </c>
      <c r="AP2859" t="s">
        <v>5721</v>
      </c>
      <c r="AQ2859">
        <v>1</v>
      </c>
      <c r="AR2859" t="s">
        <v>5644</v>
      </c>
      <c r="AS2859" t="s">
        <v>5645</v>
      </c>
      <c r="AT2859" t="s">
        <v>58</v>
      </c>
      <c r="AU2859" t="s">
        <v>68</v>
      </c>
      <c r="AV2859" t="s">
        <v>69</v>
      </c>
      <c r="AW2859" s="1">
        <v>26199</v>
      </c>
      <c r="AX2859">
        <v>2</v>
      </c>
    </row>
    <row r="2860" spans="1:50">
      <c r="A2860">
        <v>209316</v>
      </c>
      <c r="B2860" t="str">
        <f>"140261049"</f>
        <v>140261049</v>
      </c>
      <c r="C2860" t="s">
        <v>50</v>
      </c>
      <c r="D2860" t="s">
        <v>5777</v>
      </c>
      <c r="E2860" t="s">
        <v>476</v>
      </c>
      <c r="F2860" t="s">
        <v>989</v>
      </c>
      <c r="G2860" t="s">
        <v>188</v>
      </c>
      <c r="H2860" t="str">
        <f>"ΡΟΥΣΟΣΠΙΤΙ ΡΕΘΥΜΝΟ"</f>
        <v>ΡΟΥΣΟΣΠΙΤΙ ΡΕΘΥΜΝΟ</v>
      </c>
      <c r="I2860">
        <v>74100</v>
      </c>
      <c r="J2860">
        <v>2831075327</v>
      </c>
      <c r="K2860">
        <v>6978924400</v>
      </c>
      <c r="N2860" t="s">
        <v>157</v>
      </c>
      <c r="O2860" t="s">
        <v>158</v>
      </c>
      <c r="R2860" t="s">
        <v>57</v>
      </c>
      <c r="S2860">
        <v>8</v>
      </c>
      <c r="T2860">
        <v>225</v>
      </c>
      <c r="U2860" s="1">
        <v>38604</v>
      </c>
      <c r="V2860" t="s">
        <v>5644</v>
      </c>
      <c r="W2860" t="s">
        <v>5645</v>
      </c>
      <c r="X2860" t="s">
        <v>58</v>
      </c>
      <c r="Y2860">
        <v>20</v>
      </c>
      <c r="Z2860" t="s">
        <v>59</v>
      </c>
      <c r="AA2860" t="s">
        <v>59</v>
      </c>
      <c r="AB2860" t="s">
        <v>59</v>
      </c>
      <c r="AC2860" t="s">
        <v>59</v>
      </c>
      <c r="AD2860" t="s">
        <v>59</v>
      </c>
      <c r="AF2860" s="1">
        <v>38605</v>
      </c>
      <c r="AG2860" t="s">
        <v>137</v>
      </c>
      <c r="AH2860" t="s">
        <v>138</v>
      </c>
      <c r="AI2860" t="str">
        <f>"4150040"</f>
        <v>4150040</v>
      </c>
      <c r="AJ2860" t="s">
        <v>5661</v>
      </c>
      <c r="AK2860">
        <v>2831029048</v>
      </c>
      <c r="AL2860" t="s">
        <v>5662</v>
      </c>
      <c r="AM2860" t="s">
        <v>64</v>
      </c>
      <c r="AN2860" t="s">
        <v>65</v>
      </c>
      <c r="AO2860" t="s">
        <v>65</v>
      </c>
      <c r="AP2860" t="s">
        <v>65</v>
      </c>
      <c r="AQ2860">
        <v>1</v>
      </c>
      <c r="AR2860" t="s">
        <v>5644</v>
      </c>
      <c r="AS2860" t="s">
        <v>5645</v>
      </c>
      <c r="AT2860" t="s">
        <v>58</v>
      </c>
      <c r="AU2860" t="s">
        <v>68</v>
      </c>
      <c r="AV2860" t="s">
        <v>69</v>
      </c>
      <c r="AW2860" s="1">
        <v>29095</v>
      </c>
      <c r="AX2860">
        <v>2</v>
      </c>
    </row>
    <row r="2861" spans="1:50">
      <c r="A2861">
        <v>224685</v>
      </c>
      <c r="B2861" t="str">
        <f>"115392410"</f>
        <v>115392410</v>
      </c>
      <c r="C2861" t="s">
        <v>50</v>
      </c>
      <c r="D2861" t="s">
        <v>5777</v>
      </c>
      <c r="E2861" t="s">
        <v>83</v>
      </c>
      <c r="F2861" t="s">
        <v>84</v>
      </c>
      <c r="G2861" t="s">
        <v>372</v>
      </c>
      <c r="H2861" t="str">
        <f>"ΚΑΛΑΜΑΚΙ ΗΡΑΚΛΕΙΟΥ ΗΡΑΚΛΕΙΟ"</f>
        <v>ΚΑΛΑΜΑΚΙ ΗΡΑΚΛΕΙΟΥ ΗΡΑΚΛΕΙΟ</v>
      </c>
      <c r="I2861">
        <v>70200</v>
      </c>
      <c r="K2861">
        <v>6932899930</v>
      </c>
      <c r="N2861" t="s">
        <v>299</v>
      </c>
      <c r="O2861" t="s">
        <v>300</v>
      </c>
      <c r="R2861" t="s">
        <v>57</v>
      </c>
      <c r="S2861">
        <v>8</v>
      </c>
      <c r="T2861">
        <v>775</v>
      </c>
      <c r="U2861" s="1">
        <v>39680</v>
      </c>
      <c r="V2861" t="s">
        <v>5644</v>
      </c>
      <c r="W2861" t="s">
        <v>5645</v>
      </c>
      <c r="X2861" t="s">
        <v>58</v>
      </c>
      <c r="Y2861">
        <v>20</v>
      </c>
      <c r="Z2861" t="s">
        <v>59</v>
      </c>
      <c r="AA2861" t="s">
        <v>59</v>
      </c>
      <c r="AB2861" t="s">
        <v>59</v>
      </c>
      <c r="AC2861" t="s">
        <v>59</v>
      </c>
      <c r="AD2861" t="s">
        <v>59</v>
      </c>
      <c r="AF2861" s="1">
        <v>39685</v>
      </c>
      <c r="AG2861" t="s">
        <v>148</v>
      </c>
      <c r="AH2861" t="s">
        <v>149</v>
      </c>
      <c r="AI2861" t="str">
        <f>"4158010"</f>
        <v>4158010</v>
      </c>
      <c r="AJ2861" t="s">
        <v>5778</v>
      </c>
      <c r="AK2861">
        <v>2833041400</v>
      </c>
      <c r="AL2861" t="s">
        <v>5779</v>
      </c>
      <c r="AM2861" t="s">
        <v>64</v>
      </c>
      <c r="AN2861" t="s">
        <v>5713</v>
      </c>
      <c r="AO2861" t="s">
        <v>5780</v>
      </c>
      <c r="AP2861" t="s">
        <v>5781</v>
      </c>
      <c r="AQ2861">
        <v>4</v>
      </c>
      <c r="AR2861" t="s">
        <v>5644</v>
      </c>
      <c r="AS2861" t="s">
        <v>5645</v>
      </c>
      <c r="AT2861" t="s">
        <v>58</v>
      </c>
      <c r="AU2861" t="s">
        <v>68</v>
      </c>
      <c r="AV2861" t="s">
        <v>69</v>
      </c>
      <c r="AW2861" s="1">
        <v>29979</v>
      </c>
      <c r="AX2861">
        <v>2</v>
      </c>
    </row>
    <row r="2862" spans="1:50">
      <c r="A2862">
        <v>187230</v>
      </c>
      <c r="B2862" t="str">
        <f>"078121368"</f>
        <v>078121368</v>
      </c>
      <c r="C2862" t="s">
        <v>105</v>
      </c>
      <c r="D2862" t="s">
        <v>5782</v>
      </c>
      <c r="E2862" t="s">
        <v>53</v>
      </c>
      <c r="F2862" t="s">
        <v>72</v>
      </c>
      <c r="G2862" t="s">
        <v>83</v>
      </c>
      <c r="H2862" t="str">
        <f>"ΚΑΠΟΔΙΣΤΡΙΟΥ 63 "</f>
        <v xml:space="preserve">ΚΑΠΟΔΙΣΤΡΙΟΥ 63 </v>
      </c>
      <c r="I2862">
        <v>74100</v>
      </c>
      <c r="K2862">
        <v>6932549959</v>
      </c>
      <c r="N2862" t="s">
        <v>168</v>
      </c>
      <c r="O2862" t="s">
        <v>169</v>
      </c>
      <c r="R2862" t="s">
        <v>57</v>
      </c>
      <c r="S2862">
        <v>12</v>
      </c>
      <c r="T2862">
        <v>251</v>
      </c>
      <c r="U2862" s="1">
        <v>36769</v>
      </c>
      <c r="V2862" t="s">
        <v>5644</v>
      </c>
      <c r="W2862" t="s">
        <v>5645</v>
      </c>
      <c r="X2862" t="s">
        <v>58</v>
      </c>
      <c r="Y2862">
        <v>18</v>
      </c>
      <c r="Z2862" t="s">
        <v>59</v>
      </c>
      <c r="AA2862" t="s">
        <v>59</v>
      </c>
      <c r="AB2862" t="s">
        <v>59</v>
      </c>
      <c r="AC2862" t="s">
        <v>59</v>
      </c>
      <c r="AD2862" t="s">
        <v>59</v>
      </c>
      <c r="AF2862" s="1">
        <v>36769</v>
      </c>
      <c r="AG2862" t="s">
        <v>137</v>
      </c>
      <c r="AH2862" t="s">
        <v>138</v>
      </c>
      <c r="AI2862" t="str">
        <f>"4150040"</f>
        <v>4150040</v>
      </c>
      <c r="AJ2862" t="s">
        <v>5661</v>
      </c>
      <c r="AK2862">
        <v>2831029048</v>
      </c>
      <c r="AL2862" t="s">
        <v>5662</v>
      </c>
      <c r="AM2862" t="s">
        <v>64</v>
      </c>
      <c r="AN2862" t="s">
        <v>65</v>
      </c>
      <c r="AO2862" t="s">
        <v>65</v>
      </c>
      <c r="AP2862" t="s">
        <v>65</v>
      </c>
      <c r="AQ2862">
        <v>1</v>
      </c>
      <c r="AR2862" t="s">
        <v>5644</v>
      </c>
      <c r="AS2862" t="s">
        <v>5645</v>
      </c>
      <c r="AT2862" t="s">
        <v>58</v>
      </c>
      <c r="AU2862" t="s">
        <v>68</v>
      </c>
      <c r="AV2862" t="s">
        <v>69</v>
      </c>
      <c r="AW2862" s="1">
        <v>25593</v>
      </c>
      <c r="AX2862">
        <v>2</v>
      </c>
    </row>
    <row r="2863" spans="1:50">
      <c r="A2863">
        <v>208017</v>
      </c>
      <c r="B2863" t="str">
        <f>"045568973"</f>
        <v>045568973</v>
      </c>
      <c r="C2863" t="s">
        <v>50</v>
      </c>
      <c r="D2863" t="s">
        <v>5783</v>
      </c>
      <c r="E2863" t="s">
        <v>699</v>
      </c>
      <c r="F2863" t="s">
        <v>95</v>
      </c>
      <c r="G2863" t="s">
        <v>52</v>
      </c>
      <c r="H2863" t="str">
        <f>"ΜΕΛΙΔΟΝΙ ΡΕΘΥΜΝΟΥ"</f>
        <v>ΜΕΛΙΔΟΝΙ ΡΕΘΥΜΝΟΥ</v>
      </c>
      <c r="I2863">
        <v>74052</v>
      </c>
      <c r="K2863">
        <v>6972100202</v>
      </c>
      <c r="M2863" t="s">
        <v>5784</v>
      </c>
      <c r="N2863" t="s">
        <v>176</v>
      </c>
      <c r="O2863" t="s">
        <v>177</v>
      </c>
      <c r="R2863" t="s">
        <v>57</v>
      </c>
      <c r="S2863">
        <v>9</v>
      </c>
      <c r="T2863" t="s">
        <v>5785</v>
      </c>
      <c r="U2863" s="1">
        <v>38596</v>
      </c>
      <c r="V2863" t="s">
        <v>5644</v>
      </c>
      <c r="W2863" t="s">
        <v>5645</v>
      </c>
      <c r="X2863" t="s">
        <v>58</v>
      </c>
      <c r="Y2863">
        <v>20</v>
      </c>
      <c r="Z2863" t="s">
        <v>59</v>
      </c>
      <c r="AA2863" t="s">
        <v>59</v>
      </c>
      <c r="AB2863" t="s">
        <v>59</v>
      </c>
      <c r="AC2863" t="s">
        <v>59</v>
      </c>
      <c r="AD2863" t="s">
        <v>59</v>
      </c>
      <c r="AF2863" s="1">
        <v>38596</v>
      </c>
      <c r="AG2863" t="s">
        <v>125</v>
      </c>
      <c r="AH2863" t="s">
        <v>126</v>
      </c>
      <c r="AI2863" t="str">
        <f>"4109010"</f>
        <v>4109010</v>
      </c>
      <c r="AJ2863" t="s">
        <v>5786</v>
      </c>
      <c r="AK2863">
        <v>2834041366</v>
      </c>
      <c r="AL2863" t="s">
        <v>5787</v>
      </c>
      <c r="AM2863" t="s">
        <v>64</v>
      </c>
      <c r="AN2863" t="s">
        <v>5672</v>
      </c>
      <c r="AO2863" t="s">
        <v>5698</v>
      </c>
      <c r="AP2863" t="s">
        <v>5788</v>
      </c>
      <c r="AQ2863">
        <v>2</v>
      </c>
      <c r="AR2863" t="s">
        <v>5644</v>
      </c>
      <c r="AS2863" t="s">
        <v>5645</v>
      </c>
      <c r="AT2863" t="s">
        <v>58</v>
      </c>
      <c r="AU2863" t="s">
        <v>68</v>
      </c>
      <c r="AV2863" t="s">
        <v>69</v>
      </c>
      <c r="AW2863" s="1">
        <v>25221</v>
      </c>
      <c r="AX2863">
        <v>2</v>
      </c>
    </row>
    <row r="2864" spans="1:50">
      <c r="A2864">
        <v>179125</v>
      </c>
      <c r="B2864" t="str">
        <f>"050288226"</f>
        <v>050288226</v>
      </c>
      <c r="C2864" t="s">
        <v>105</v>
      </c>
      <c r="D2864" t="s">
        <v>5789</v>
      </c>
      <c r="E2864" t="s">
        <v>377</v>
      </c>
      <c r="F2864" t="s">
        <v>564</v>
      </c>
      <c r="G2864" t="s">
        <v>83</v>
      </c>
      <c r="H2864" t="str">
        <f>"Αγία Παρασκευή Ρεθύμνου ΡΕΘΥΜΝΟ"</f>
        <v>Αγία Παρασκευή Ρεθύμνου ΡΕΘΥΜΝΟ</v>
      </c>
      <c r="I2864">
        <v>74100</v>
      </c>
      <c r="J2864">
        <v>2831072835</v>
      </c>
      <c r="K2864">
        <v>6973373544</v>
      </c>
      <c r="M2864" t="s">
        <v>5790</v>
      </c>
      <c r="N2864" t="s">
        <v>146</v>
      </c>
      <c r="O2864" t="s">
        <v>147</v>
      </c>
      <c r="R2864" t="s">
        <v>57</v>
      </c>
      <c r="S2864">
        <v>12</v>
      </c>
      <c r="T2864">
        <v>181</v>
      </c>
      <c r="U2864" s="1">
        <v>36039</v>
      </c>
      <c r="V2864" t="s">
        <v>5644</v>
      </c>
      <c r="W2864" t="s">
        <v>5645</v>
      </c>
      <c r="X2864" t="s">
        <v>58</v>
      </c>
      <c r="Y2864">
        <v>18</v>
      </c>
      <c r="Z2864" t="s">
        <v>59</v>
      </c>
      <c r="AA2864" t="s">
        <v>59</v>
      </c>
      <c r="AB2864" t="s">
        <v>59</v>
      </c>
      <c r="AC2864" t="s">
        <v>59</v>
      </c>
      <c r="AD2864" t="s">
        <v>59</v>
      </c>
      <c r="AF2864" s="1">
        <v>36040</v>
      </c>
      <c r="AG2864" t="s">
        <v>148</v>
      </c>
      <c r="AH2864" t="s">
        <v>149</v>
      </c>
      <c r="AI2864" t="str">
        <f>"4144003"</f>
        <v>4144003</v>
      </c>
      <c r="AJ2864" t="s">
        <v>5757</v>
      </c>
      <c r="AK2864">
        <v>2831073970</v>
      </c>
      <c r="AL2864" t="s">
        <v>5758</v>
      </c>
      <c r="AM2864" t="s">
        <v>64</v>
      </c>
      <c r="AN2864" t="s">
        <v>65</v>
      </c>
      <c r="AO2864" t="s">
        <v>65</v>
      </c>
      <c r="AP2864" t="s">
        <v>65</v>
      </c>
      <c r="AQ2864">
        <v>1</v>
      </c>
      <c r="AR2864" t="s">
        <v>5644</v>
      </c>
      <c r="AS2864" t="s">
        <v>5645</v>
      </c>
      <c r="AT2864" t="s">
        <v>58</v>
      </c>
      <c r="AU2864" t="s">
        <v>68</v>
      </c>
      <c r="AV2864" t="s">
        <v>69</v>
      </c>
      <c r="AW2864" s="1">
        <v>24152</v>
      </c>
      <c r="AX2864">
        <v>2</v>
      </c>
    </row>
    <row r="2865" spans="1:50">
      <c r="A2865">
        <v>155770</v>
      </c>
      <c r="B2865" t="str">
        <f>"033205833"</f>
        <v>033205833</v>
      </c>
      <c r="C2865" t="s">
        <v>50</v>
      </c>
      <c r="D2865" t="s">
        <v>5791</v>
      </c>
      <c r="E2865" t="s">
        <v>3467</v>
      </c>
      <c r="F2865" t="s">
        <v>564</v>
      </c>
      <c r="G2865" t="s">
        <v>83</v>
      </c>
      <c r="H2865" t="str">
        <f>"ΚΟΥΡΗΤΩΝ 16 ΤΙΜΙΟΣ ΣΤΑΥΡΟΣ"</f>
        <v>ΚΟΥΡΗΤΩΝ 16 ΤΙΜΙΟΣ ΣΤΑΥΡΟΣ</v>
      </c>
      <c r="I2865">
        <v>74132</v>
      </c>
      <c r="J2865">
        <v>2831056734</v>
      </c>
      <c r="K2865">
        <v>6945693105</v>
      </c>
      <c r="M2865" t="s">
        <v>5792</v>
      </c>
      <c r="N2865" t="s">
        <v>146</v>
      </c>
      <c r="O2865" t="s">
        <v>147</v>
      </c>
      <c r="R2865" t="s">
        <v>57</v>
      </c>
      <c r="S2865">
        <v>15</v>
      </c>
      <c r="T2865">
        <v>188</v>
      </c>
      <c r="U2865" s="1">
        <v>32752</v>
      </c>
      <c r="V2865" t="s">
        <v>5644</v>
      </c>
      <c r="W2865" t="s">
        <v>5645</v>
      </c>
      <c r="X2865" t="s">
        <v>58</v>
      </c>
      <c r="Y2865">
        <v>18</v>
      </c>
      <c r="Z2865" t="s">
        <v>59</v>
      </c>
      <c r="AA2865" t="s">
        <v>59</v>
      </c>
      <c r="AB2865" t="s">
        <v>59</v>
      </c>
      <c r="AC2865" t="s">
        <v>59</v>
      </c>
      <c r="AD2865" t="s">
        <v>59</v>
      </c>
      <c r="AF2865" s="1">
        <v>32752</v>
      </c>
      <c r="AG2865" t="s">
        <v>148</v>
      </c>
      <c r="AH2865" t="s">
        <v>149</v>
      </c>
      <c r="AI2865" t="str">
        <f>"4151009"</f>
        <v>4151009</v>
      </c>
      <c r="AJ2865" t="s">
        <v>5649</v>
      </c>
      <c r="AK2865">
        <v>2831027115</v>
      </c>
      <c r="AL2865" t="s">
        <v>5650</v>
      </c>
      <c r="AM2865" t="s">
        <v>64</v>
      </c>
      <c r="AN2865" t="s">
        <v>65</v>
      </c>
      <c r="AO2865" t="s">
        <v>65</v>
      </c>
      <c r="AP2865" t="s">
        <v>65</v>
      </c>
      <c r="AQ2865">
        <v>1</v>
      </c>
      <c r="AR2865" t="s">
        <v>5644</v>
      </c>
      <c r="AS2865" t="s">
        <v>5645</v>
      </c>
      <c r="AT2865" t="s">
        <v>58</v>
      </c>
      <c r="AU2865" t="s">
        <v>68</v>
      </c>
      <c r="AV2865" t="s">
        <v>69</v>
      </c>
      <c r="AW2865" s="1">
        <v>23524</v>
      </c>
      <c r="AX2865">
        <v>2</v>
      </c>
    </row>
    <row r="2866" spans="1:50">
      <c r="A2866">
        <v>229577</v>
      </c>
      <c r="B2866" t="str">
        <f>"118749364"</f>
        <v>118749364</v>
      </c>
      <c r="C2866" t="s">
        <v>50</v>
      </c>
      <c r="D2866" t="s">
        <v>5793</v>
      </c>
      <c r="E2866" t="s">
        <v>5794</v>
      </c>
      <c r="F2866" t="s">
        <v>99</v>
      </c>
      <c r="G2866" t="s">
        <v>250</v>
      </c>
      <c r="H2866" t="str">
        <f>"Φαιστού 1 ΡΕΘΥΜΝΟ"</f>
        <v>Φαιστού 1 ΡΕΘΥΜΝΟ</v>
      </c>
      <c r="I2866">
        <v>74100</v>
      </c>
      <c r="J2866">
        <v>2831025020</v>
      </c>
      <c r="K2866">
        <v>6944297079</v>
      </c>
      <c r="M2866" t="s">
        <v>5795</v>
      </c>
      <c r="N2866" t="s">
        <v>384</v>
      </c>
      <c r="O2866" t="s">
        <v>385</v>
      </c>
      <c r="P2866" t="s">
        <v>146</v>
      </c>
      <c r="Q2866" t="s">
        <v>147</v>
      </c>
      <c r="R2866" t="s">
        <v>57</v>
      </c>
      <c r="S2866">
        <v>5</v>
      </c>
      <c r="T2866">
        <v>926</v>
      </c>
      <c r="U2866" s="1">
        <v>40130</v>
      </c>
      <c r="V2866" t="s">
        <v>5644</v>
      </c>
      <c r="W2866" t="s">
        <v>5645</v>
      </c>
      <c r="X2866" t="s">
        <v>58</v>
      </c>
      <c r="Y2866">
        <v>21</v>
      </c>
      <c r="Z2866" t="s">
        <v>59</v>
      </c>
      <c r="AA2866" t="s">
        <v>59</v>
      </c>
      <c r="AB2866" t="s">
        <v>59</v>
      </c>
      <c r="AC2866" t="s">
        <v>59</v>
      </c>
      <c r="AD2866" t="s">
        <v>59</v>
      </c>
      <c r="AF2866" s="1">
        <v>40136</v>
      </c>
      <c r="AG2866" t="s">
        <v>125</v>
      </c>
      <c r="AH2866" t="s">
        <v>294</v>
      </c>
      <c r="AI2866" t="str">
        <f>"4101045"</f>
        <v>4101045</v>
      </c>
      <c r="AJ2866" t="s">
        <v>5677</v>
      </c>
      <c r="AK2866">
        <v>2831027553</v>
      </c>
      <c r="AL2866" t="s">
        <v>5678</v>
      </c>
      <c r="AM2866" t="s">
        <v>64</v>
      </c>
      <c r="AN2866" t="s">
        <v>65</v>
      </c>
      <c r="AO2866" t="s">
        <v>65</v>
      </c>
      <c r="AP2866" t="s">
        <v>65</v>
      </c>
      <c r="AQ2866">
        <v>1</v>
      </c>
      <c r="AR2866" t="s">
        <v>5644</v>
      </c>
      <c r="AS2866" t="s">
        <v>5645</v>
      </c>
      <c r="AT2866" t="s">
        <v>58</v>
      </c>
      <c r="AU2866" t="s">
        <v>68</v>
      </c>
      <c r="AV2866" t="s">
        <v>132</v>
      </c>
      <c r="AW2866" s="1">
        <v>28460</v>
      </c>
      <c r="AX2866">
        <v>2</v>
      </c>
    </row>
    <row r="2867" spans="1:50">
      <c r="A2867">
        <v>226378</v>
      </c>
      <c r="B2867" t="str">
        <f>"112994162"</f>
        <v>112994162</v>
      </c>
      <c r="C2867" t="s">
        <v>50</v>
      </c>
      <c r="D2867" t="s">
        <v>5796</v>
      </c>
      <c r="E2867" t="s">
        <v>892</v>
      </c>
      <c r="F2867" t="s">
        <v>166</v>
      </c>
      <c r="G2867" t="s">
        <v>255</v>
      </c>
      <c r="H2867" t="str">
        <f>"ΑΛΚΑΜΕΝΟΥΣ 28 ΝΙΚΑΙΑ"</f>
        <v>ΑΛΚΑΜΕΝΟΥΣ 28 ΝΙΚΑΙΑ</v>
      </c>
      <c r="I2867">
        <v>18452</v>
      </c>
      <c r="J2867">
        <v>2104946011</v>
      </c>
      <c r="K2867">
        <v>6974628250</v>
      </c>
      <c r="M2867" t="s">
        <v>5797</v>
      </c>
      <c r="N2867" t="s">
        <v>146</v>
      </c>
      <c r="O2867" t="s">
        <v>147</v>
      </c>
      <c r="R2867" t="s">
        <v>57</v>
      </c>
      <c r="S2867">
        <v>4</v>
      </c>
      <c r="T2867">
        <v>654</v>
      </c>
      <c r="U2867" s="1">
        <v>40043</v>
      </c>
      <c r="V2867" t="s">
        <v>5644</v>
      </c>
      <c r="W2867" t="s">
        <v>5645</v>
      </c>
      <c r="X2867" t="s">
        <v>58</v>
      </c>
      <c r="Y2867">
        <v>21</v>
      </c>
      <c r="Z2867" t="s">
        <v>59</v>
      </c>
      <c r="AA2867" t="s">
        <v>59</v>
      </c>
      <c r="AB2867" t="s">
        <v>59</v>
      </c>
      <c r="AC2867" t="s">
        <v>59</v>
      </c>
      <c r="AD2867" t="s">
        <v>59</v>
      </c>
      <c r="AF2867" s="1">
        <v>40044</v>
      </c>
      <c r="AG2867" t="s">
        <v>125</v>
      </c>
      <c r="AH2867" t="s">
        <v>126</v>
      </c>
      <c r="AI2867" t="str">
        <f>"4108010"</f>
        <v>4108010</v>
      </c>
      <c r="AJ2867" t="s">
        <v>5798</v>
      </c>
      <c r="AK2867">
        <v>2833041264</v>
      </c>
      <c r="AL2867" t="s">
        <v>5799</v>
      </c>
      <c r="AM2867" t="s">
        <v>64</v>
      </c>
      <c r="AN2867" t="s">
        <v>5713</v>
      </c>
      <c r="AO2867" t="s">
        <v>5780</v>
      </c>
      <c r="AP2867" t="s">
        <v>5781</v>
      </c>
      <c r="AQ2867">
        <v>4</v>
      </c>
      <c r="AR2867" t="s">
        <v>5644</v>
      </c>
      <c r="AS2867" t="s">
        <v>5645</v>
      </c>
      <c r="AT2867" t="s">
        <v>58</v>
      </c>
      <c r="AU2867" t="s">
        <v>68</v>
      </c>
      <c r="AV2867" t="s">
        <v>69</v>
      </c>
      <c r="AW2867" s="1">
        <v>27888</v>
      </c>
      <c r="AX2867">
        <v>2</v>
      </c>
    </row>
    <row r="2868" spans="1:50">
      <c r="A2868">
        <v>182126</v>
      </c>
      <c r="B2868" t="str">
        <f>"059779462"</f>
        <v>059779462</v>
      </c>
      <c r="C2868" t="s">
        <v>105</v>
      </c>
      <c r="D2868" t="s">
        <v>5800</v>
      </c>
      <c r="E2868" t="s">
        <v>450</v>
      </c>
      <c r="F2868" t="s">
        <v>459</v>
      </c>
      <c r="G2868" t="s">
        <v>93</v>
      </c>
      <c r="H2868" t="str">
        <f>"Γ. ΣΚΟΥΛΑ 15 "</f>
        <v xml:space="preserve">Γ. ΣΚΟΥΛΑ 15 </v>
      </c>
      <c r="I2868">
        <v>74132</v>
      </c>
      <c r="N2868" t="s">
        <v>204</v>
      </c>
      <c r="O2868" t="s">
        <v>205</v>
      </c>
      <c r="R2868" t="s">
        <v>57</v>
      </c>
      <c r="S2868">
        <v>13</v>
      </c>
      <c r="T2868">
        <v>164</v>
      </c>
      <c r="U2868" s="1">
        <v>36040</v>
      </c>
      <c r="V2868" t="s">
        <v>5644</v>
      </c>
      <c r="W2868" t="s">
        <v>5645</v>
      </c>
      <c r="X2868" t="s">
        <v>58</v>
      </c>
      <c r="Y2868">
        <v>18</v>
      </c>
      <c r="Z2868" t="s">
        <v>59</v>
      </c>
      <c r="AA2868" t="s">
        <v>59</v>
      </c>
      <c r="AB2868" t="s">
        <v>59</v>
      </c>
      <c r="AC2868" t="s">
        <v>59</v>
      </c>
      <c r="AD2868" t="s">
        <v>59</v>
      </c>
      <c r="AF2868" s="1">
        <v>36040</v>
      </c>
      <c r="AG2868" t="s">
        <v>137</v>
      </c>
      <c r="AH2868" t="s">
        <v>138</v>
      </c>
      <c r="AI2868" t="str">
        <f>"4150040"</f>
        <v>4150040</v>
      </c>
      <c r="AJ2868" t="s">
        <v>5661</v>
      </c>
      <c r="AK2868">
        <v>2831029048</v>
      </c>
      <c r="AL2868" t="s">
        <v>5662</v>
      </c>
      <c r="AM2868" t="s">
        <v>64</v>
      </c>
      <c r="AN2868" t="s">
        <v>65</v>
      </c>
      <c r="AO2868" t="s">
        <v>65</v>
      </c>
      <c r="AP2868" t="s">
        <v>65</v>
      </c>
      <c r="AQ2868">
        <v>1</v>
      </c>
      <c r="AR2868" t="s">
        <v>5644</v>
      </c>
      <c r="AS2868" t="s">
        <v>5645</v>
      </c>
      <c r="AT2868" t="s">
        <v>58</v>
      </c>
      <c r="AU2868" t="s">
        <v>68</v>
      </c>
      <c r="AV2868" t="s">
        <v>69</v>
      </c>
      <c r="AW2868" s="1">
        <v>25252</v>
      </c>
      <c r="AX2868">
        <v>2</v>
      </c>
    </row>
    <row r="2869" spans="1:50">
      <c r="B2869" t="str">
        <f>"131936914"</f>
        <v>131936914</v>
      </c>
      <c r="C2869" t="s">
        <v>50</v>
      </c>
      <c r="D2869" t="s">
        <v>5801</v>
      </c>
      <c r="E2869" t="s">
        <v>237</v>
      </c>
      <c r="F2869" t="s">
        <v>72</v>
      </c>
      <c r="G2869" t="s">
        <v>476</v>
      </c>
      <c r="H2869" t="str">
        <f>"ΜΙΛΧΙΣΕΔΕΚ  12 ΡΕΘΥΜΝΟ"</f>
        <v>ΜΙΛΧΙΣΕΔΕΚ  12 ΡΕΘΥΜΝΟ</v>
      </c>
      <c r="I2869">
        <v>74100</v>
      </c>
      <c r="J2869">
        <v>2822024094</v>
      </c>
      <c r="K2869">
        <v>6944716172</v>
      </c>
      <c r="N2869" t="s">
        <v>119</v>
      </c>
      <c r="O2869" t="s">
        <v>120</v>
      </c>
      <c r="R2869" t="s">
        <v>121</v>
      </c>
      <c r="S2869">
        <v>3</v>
      </c>
      <c r="T2869" t="s">
        <v>5643</v>
      </c>
      <c r="U2869" s="1">
        <v>43348</v>
      </c>
      <c r="V2869" t="s">
        <v>5644</v>
      </c>
      <c r="W2869" t="s">
        <v>5645</v>
      </c>
      <c r="X2869" t="s">
        <v>58</v>
      </c>
      <c r="Y2869">
        <v>23</v>
      </c>
      <c r="Z2869" t="s">
        <v>59</v>
      </c>
      <c r="AA2869" t="s">
        <v>59</v>
      </c>
      <c r="AB2869" t="s">
        <v>59</v>
      </c>
      <c r="AC2869" t="s">
        <v>59</v>
      </c>
      <c r="AD2869" t="s">
        <v>59</v>
      </c>
      <c r="AF2869" s="1">
        <v>43348</v>
      </c>
      <c r="AG2869" t="s">
        <v>125</v>
      </c>
      <c r="AH2869" t="s">
        <v>126</v>
      </c>
      <c r="AI2869" t="str">
        <f>"4101020"</f>
        <v>4101020</v>
      </c>
      <c r="AJ2869" t="s">
        <v>5652</v>
      </c>
      <c r="AK2869">
        <v>2831023560</v>
      </c>
      <c r="AL2869" t="s">
        <v>5653</v>
      </c>
      <c r="AM2869" t="s">
        <v>64</v>
      </c>
      <c r="AN2869" t="s">
        <v>65</v>
      </c>
      <c r="AO2869" t="s">
        <v>65</v>
      </c>
      <c r="AP2869" t="s">
        <v>65</v>
      </c>
      <c r="AQ2869">
        <v>1</v>
      </c>
      <c r="AR2869" t="s">
        <v>5644</v>
      </c>
      <c r="AS2869" t="s">
        <v>5645</v>
      </c>
      <c r="AT2869" t="s">
        <v>58</v>
      </c>
      <c r="AU2869" t="s">
        <v>350</v>
      </c>
      <c r="AV2869" t="s">
        <v>132</v>
      </c>
      <c r="AW2869" s="1">
        <v>28506</v>
      </c>
      <c r="AX2869">
        <v>2</v>
      </c>
    </row>
    <row r="2870" spans="1:50">
      <c r="A2870">
        <v>225462</v>
      </c>
      <c r="B2870" t="str">
        <f>"106598019"</f>
        <v>106598019</v>
      </c>
      <c r="C2870" t="s">
        <v>50</v>
      </c>
      <c r="D2870" t="s">
        <v>5802</v>
      </c>
      <c r="E2870" t="s">
        <v>710</v>
      </c>
      <c r="F2870" t="s">
        <v>95</v>
      </c>
      <c r="G2870" t="s">
        <v>263</v>
      </c>
      <c r="H2870" t="str">
        <f>"ΚΑΖΑΝΤΖΑΚΗ 35 "</f>
        <v xml:space="preserve">ΚΑΖΑΝΤΖΑΚΗ 35 </v>
      </c>
      <c r="I2870">
        <v>74100</v>
      </c>
      <c r="J2870">
        <v>2831054779</v>
      </c>
      <c r="K2870">
        <v>6932023477</v>
      </c>
      <c r="N2870" t="s">
        <v>907</v>
      </c>
      <c r="O2870" t="s">
        <v>908</v>
      </c>
      <c r="R2870" t="s">
        <v>57</v>
      </c>
      <c r="S2870">
        <v>8</v>
      </c>
      <c r="T2870">
        <v>775</v>
      </c>
      <c r="U2870" s="1">
        <v>39680</v>
      </c>
      <c r="V2870" t="s">
        <v>5644</v>
      </c>
      <c r="W2870" t="s">
        <v>5645</v>
      </c>
      <c r="X2870" t="s">
        <v>58</v>
      </c>
      <c r="Y2870">
        <v>20</v>
      </c>
      <c r="Z2870" t="s">
        <v>59</v>
      </c>
      <c r="AA2870" t="s">
        <v>59</v>
      </c>
      <c r="AB2870" t="s">
        <v>59</v>
      </c>
      <c r="AC2870" t="s">
        <v>59</v>
      </c>
      <c r="AD2870" t="s">
        <v>59</v>
      </c>
      <c r="AF2870" s="1">
        <v>39692</v>
      </c>
      <c r="AG2870" t="s">
        <v>137</v>
      </c>
      <c r="AH2870" t="s">
        <v>138</v>
      </c>
      <c r="AI2870" t="str">
        <f>"4150040"</f>
        <v>4150040</v>
      </c>
      <c r="AJ2870" t="s">
        <v>5661</v>
      </c>
      <c r="AK2870">
        <v>2831029048</v>
      </c>
      <c r="AL2870" t="s">
        <v>5662</v>
      </c>
      <c r="AM2870" t="s">
        <v>64</v>
      </c>
      <c r="AN2870" t="s">
        <v>65</v>
      </c>
      <c r="AO2870" t="s">
        <v>65</v>
      </c>
      <c r="AP2870" t="s">
        <v>65</v>
      </c>
      <c r="AQ2870">
        <v>1</v>
      </c>
      <c r="AR2870" t="s">
        <v>5644</v>
      </c>
      <c r="AS2870" t="s">
        <v>5645</v>
      </c>
      <c r="AT2870" t="s">
        <v>58</v>
      </c>
      <c r="AU2870" t="s">
        <v>68</v>
      </c>
      <c r="AV2870" t="s">
        <v>69</v>
      </c>
      <c r="AW2870" s="1">
        <v>28504</v>
      </c>
      <c r="AX2870">
        <v>2</v>
      </c>
    </row>
    <row r="2871" spans="1:50">
      <c r="A2871">
        <v>225745</v>
      </c>
      <c r="B2871" t="str">
        <f>"105875540"</f>
        <v>105875540</v>
      </c>
      <c r="C2871" t="s">
        <v>105</v>
      </c>
      <c r="D2871" t="s">
        <v>5803</v>
      </c>
      <c r="E2871" t="s">
        <v>72</v>
      </c>
      <c r="F2871" t="s">
        <v>315</v>
      </c>
      <c r="G2871" t="s">
        <v>620</v>
      </c>
      <c r="H2871" t="str">
        <f>"ΑΤΣΙΠΟΠΟΥΛΟ "</f>
        <v xml:space="preserve">ΑΤΣΙΠΟΠΟΥΛΟ </v>
      </c>
      <c r="I2871">
        <v>74100</v>
      </c>
      <c r="J2871">
        <v>2102617766</v>
      </c>
      <c r="K2871">
        <v>6978094915</v>
      </c>
      <c r="N2871" t="s">
        <v>232</v>
      </c>
      <c r="O2871" t="s">
        <v>233</v>
      </c>
      <c r="R2871" t="s">
        <v>57</v>
      </c>
      <c r="S2871">
        <v>7</v>
      </c>
      <c r="T2871">
        <v>862</v>
      </c>
      <c r="U2871" s="1">
        <v>39706</v>
      </c>
      <c r="V2871" t="s">
        <v>5644</v>
      </c>
      <c r="W2871" t="s">
        <v>5645</v>
      </c>
      <c r="X2871" t="s">
        <v>58</v>
      </c>
      <c r="Y2871">
        <v>21</v>
      </c>
      <c r="Z2871" t="s">
        <v>59</v>
      </c>
      <c r="AA2871" t="s">
        <v>59</v>
      </c>
      <c r="AB2871" t="s">
        <v>59</v>
      </c>
      <c r="AC2871" t="s">
        <v>59</v>
      </c>
      <c r="AD2871" t="s">
        <v>59</v>
      </c>
      <c r="AF2871" s="1">
        <v>39710</v>
      </c>
      <c r="AG2871" t="s">
        <v>137</v>
      </c>
      <c r="AH2871" t="s">
        <v>138</v>
      </c>
      <c r="AI2871" t="str">
        <f>"4150040"</f>
        <v>4150040</v>
      </c>
      <c r="AJ2871" t="s">
        <v>5661</v>
      </c>
      <c r="AK2871">
        <v>2831029048</v>
      </c>
      <c r="AL2871" t="s">
        <v>5662</v>
      </c>
      <c r="AM2871" t="s">
        <v>64</v>
      </c>
      <c r="AN2871" t="s">
        <v>65</v>
      </c>
      <c r="AO2871" t="s">
        <v>65</v>
      </c>
      <c r="AP2871" t="s">
        <v>65</v>
      </c>
      <c r="AQ2871">
        <v>1</v>
      </c>
      <c r="AR2871" t="s">
        <v>5644</v>
      </c>
      <c r="AS2871" t="s">
        <v>5645</v>
      </c>
      <c r="AT2871" t="s">
        <v>58</v>
      </c>
      <c r="AU2871" t="s">
        <v>68</v>
      </c>
      <c r="AV2871" t="s">
        <v>69</v>
      </c>
      <c r="AW2871" s="1">
        <v>28745</v>
      </c>
      <c r="AX2871">
        <v>2</v>
      </c>
    </row>
    <row r="2872" spans="1:50">
      <c r="A2872">
        <v>194230</v>
      </c>
      <c r="B2872" t="str">
        <f>"052958191"</f>
        <v>052958191</v>
      </c>
      <c r="C2872" t="s">
        <v>105</v>
      </c>
      <c r="D2872" t="s">
        <v>5804</v>
      </c>
      <c r="E2872" t="s">
        <v>95</v>
      </c>
      <c r="F2872" t="s">
        <v>4368</v>
      </c>
      <c r="G2872" t="s">
        <v>5805</v>
      </c>
      <c r="H2872" t="str">
        <f>"ΚΑΛΑΪΤΖΑΚΗ  3 "</f>
        <v xml:space="preserve">ΚΑΛΑΪΤΖΑΚΗ  3 </v>
      </c>
      <c r="I2872">
        <v>74100</v>
      </c>
      <c r="J2872">
        <v>2831025713</v>
      </c>
      <c r="K2872">
        <v>6977656039</v>
      </c>
      <c r="N2872" t="s">
        <v>176</v>
      </c>
      <c r="O2872" t="s">
        <v>177</v>
      </c>
      <c r="R2872" t="s">
        <v>57</v>
      </c>
      <c r="S2872">
        <v>10</v>
      </c>
      <c r="T2872">
        <v>193</v>
      </c>
      <c r="U2872" s="1">
        <v>37497</v>
      </c>
      <c r="V2872" t="s">
        <v>5644</v>
      </c>
      <c r="W2872" t="s">
        <v>5645</v>
      </c>
      <c r="X2872" t="s">
        <v>58</v>
      </c>
      <c r="Y2872">
        <v>18</v>
      </c>
      <c r="Z2872" t="s">
        <v>59</v>
      </c>
      <c r="AA2872" t="s">
        <v>59</v>
      </c>
      <c r="AB2872" t="s">
        <v>59</v>
      </c>
      <c r="AC2872" t="s">
        <v>59</v>
      </c>
      <c r="AD2872" t="s">
        <v>59</v>
      </c>
      <c r="AF2872" s="1">
        <v>37501</v>
      </c>
      <c r="AG2872" t="s">
        <v>125</v>
      </c>
      <c r="AH2872" t="s">
        <v>126</v>
      </c>
      <c r="AI2872" t="str">
        <f>"4110015"</f>
        <v>4110015</v>
      </c>
      <c r="AJ2872" t="s">
        <v>5723</v>
      </c>
      <c r="AK2872">
        <v>2831022741</v>
      </c>
      <c r="AL2872" t="s">
        <v>5724</v>
      </c>
      <c r="AM2872" t="s">
        <v>64</v>
      </c>
      <c r="AN2872" t="s">
        <v>65</v>
      </c>
      <c r="AO2872" t="s">
        <v>5720</v>
      </c>
      <c r="AP2872" t="s">
        <v>5721</v>
      </c>
      <c r="AQ2872">
        <v>1</v>
      </c>
      <c r="AR2872" t="s">
        <v>5644</v>
      </c>
      <c r="AS2872" t="s">
        <v>5645</v>
      </c>
      <c r="AT2872" t="s">
        <v>58</v>
      </c>
      <c r="AU2872" t="s">
        <v>68</v>
      </c>
      <c r="AV2872" t="s">
        <v>69</v>
      </c>
      <c r="AW2872" s="1">
        <v>23493</v>
      </c>
      <c r="AX2872">
        <v>2</v>
      </c>
    </row>
    <row r="2873" spans="1:50">
      <c r="A2873">
        <v>223869</v>
      </c>
      <c r="B2873" t="str">
        <f>"061953967"</f>
        <v>061953967</v>
      </c>
      <c r="C2873" t="s">
        <v>50</v>
      </c>
      <c r="D2873" t="s">
        <v>5806</v>
      </c>
      <c r="E2873" t="s">
        <v>83</v>
      </c>
      <c r="F2873" t="s">
        <v>989</v>
      </c>
      <c r="G2873" t="s">
        <v>1189</v>
      </c>
      <c r="H2873" t="str">
        <f>"Χατζ.Μιχάλη Νταλιάνη 13 ΧΑΝΙΑ"</f>
        <v>Χατζ.Μιχάλη Νταλιάνη 13 ΧΑΝΙΑ</v>
      </c>
      <c r="I2873">
        <v>73132</v>
      </c>
      <c r="J2873">
        <v>2821028566</v>
      </c>
      <c r="K2873">
        <v>6944548444</v>
      </c>
      <c r="M2873" t="s">
        <v>5807</v>
      </c>
      <c r="N2873" t="s">
        <v>478</v>
      </c>
      <c r="O2873" t="s">
        <v>479</v>
      </c>
      <c r="R2873" t="s">
        <v>57</v>
      </c>
      <c r="S2873">
        <v>5</v>
      </c>
      <c r="T2873">
        <v>775</v>
      </c>
      <c r="U2873" s="1">
        <v>39680</v>
      </c>
      <c r="V2873" t="s">
        <v>5644</v>
      </c>
      <c r="W2873" t="s">
        <v>5645</v>
      </c>
      <c r="X2873" t="s">
        <v>58</v>
      </c>
      <c r="Y2873">
        <v>21</v>
      </c>
      <c r="Z2873" t="s">
        <v>59</v>
      </c>
      <c r="AA2873" t="s">
        <v>59</v>
      </c>
      <c r="AB2873" t="s">
        <v>59</v>
      </c>
      <c r="AC2873" t="s">
        <v>59</v>
      </c>
      <c r="AD2873" t="s">
        <v>59</v>
      </c>
      <c r="AF2873" s="1">
        <v>39680</v>
      </c>
      <c r="AG2873" t="s">
        <v>125</v>
      </c>
      <c r="AH2873" t="s">
        <v>126</v>
      </c>
      <c r="AI2873" t="str">
        <f>"4103010"</f>
        <v>4103010</v>
      </c>
      <c r="AJ2873" t="s">
        <v>5684</v>
      </c>
      <c r="AK2873">
        <v>2834051206</v>
      </c>
      <c r="AL2873" t="s">
        <v>5685</v>
      </c>
      <c r="AM2873" t="s">
        <v>64</v>
      </c>
      <c r="AN2873" t="s">
        <v>5672</v>
      </c>
      <c r="AO2873" t="s">
        <v>5673</v>
      </c>
      <c r="AP2873" t="s">
        <v>5674</v>
      </c>
      <c r="AQ2873">
        <v>2</v>
      </c>
      <c r="AR2873" t="s">
        <v>5644</v>
      </c>
      <c r="AS2873" t="s">
        <v>5645</v>
      </c>
      <c r="AT2873" t="s">
        <v>58</v>
      </c>
      <c r="AU2873" t="s">
        <v>68</v>
      </c>
      <c r="AV2873" t="s">
        <v>69</v>
      </c>
      <c r="AW2873" s="1">
        <v>24998</v>
      </c>
      <c r="AX2873">
        <v>2</v>
      </c>
    </row>
    <row r="2874" spans="1:50">
      <c r="A2874">
        <v>216733</v>
      </c>
      <c r="B2874" t="str">
        <f>"109367929"</f>
        <v>109367929</v>
      </c>
      <c r="C2874" t="s">
        <v>50</v>
      </c>
      <c r="D2874" t="s">
        <v>5808</v>
      </c>
      <c r="E2874" t="s">
        <v>372</v>
      </c>
      <c r="F2874" t="s">
        <v>459</v>
      </c>
      <c r="G2874" t="s">
        <v>3483</v>
      </c>
      <c r="H2874" t="str">
        <f>"ΑΓΙΑ ΠΕΛΑΓΙΑ ΞΗΡΟ ΧΩΡΙΟ"</f>
        <v>ΑΓΙΑ ΠΕΛΑΓΙΑ ΞΗΡΟ ΧΩΡΙΟ</v>
      </c>
      <c r="I2874">
        <v>74100</v>
      </c>
      <c r="N2874" t="s">
        <v>146</v>
      </c>
      <c r="O2874" t="s">
        <v>147</v>
      </c>
      <c r="R2874" t="s">
        <v>57</v>
      </c>
      <c r="S2874">
        <v>6</v>
      </c>
      <c r="T2874">
        <v>231</v>
      </c>
      <c r="U2874" s="1">
        <v>38960</v>
      </c>
      <c r="V2874" t="s">
        <v>5644</v>
      </c>
      <c r="W2874" t="s">
        <v>5645</v>
      </c>
      <c r="X2874" t="s">
        <v>58</v>
      </c>
      <c r="Y2874">
        <v>20</v>
      </c>
      <c r="Z2874" t="s">
        <v>59</v>
      </c>
      <c r="AA2874" t="s">
        <v>59</v>
      </c>
      <c r="AB2874" t="s">
        <v>59</v>
      </c>
      <c r="AC2874" t="s">
        <v>59</v>
      </c>
      <c r="AD2874" t="s">
        <v>59</v>
      </c>
      <c r="AF2874" s="1">
        <v>38985</v>
      </c>
      <c r="AG2874" t="s">
        <v>125</v>
      </c>
      <c r="AH2874" t="s">
        <v>126</v>
      </c>
      <c r="AI2874" t="str">
        <f>"4110015"</f>
        <v>4110015</v>
      </c>
      <c r="AJ2874" t="s">
        <v>5723</v>
      </c>
      <c r="AK2874">
        <v>2831022741</v>
      </c>
      <c r="AL2874" t="s">
        <v>5724</v>
      </c>
      <c r="AM2874" t="s">
        <v>64</v>
      </c>
      <c r="AN2874" t="s">
        <v>65</v>
      </c>
      <c r="AO2874" t="s">
        <v>5720</v>
      </c>
      <c r="AP2874" t="s">
        <v>5721</v>
      </c>
      <c r="AQ2874">
        <v>1</v>
      </c>
      <c r="AR2874" t="s">
        <v>5644</v>
      </c>
      <c r="AS2874" t="s">
        <v>5645</v>
      </c>
      <c r="AT2874" t="s">
        <v>58</v>
      </c>
      <c r="AU2874" t="s">
        <v>68</v>
      </c>
      <c r="AV2874" t="s">
        <v>69</v>
      </c>
      <c r="AW2874" s="1">
        <v>27660</v>
      </c>
      <c r="AX2874">
        <v>2</v>
      </c>
    </row>
    <row r="2875" spans="1:50">
      <c r="A2875">
        <v>205108</v>
      </c>
      <c r="B2875" t="str">
        <f>"048343488"</f>
        <v>048343488</v>
      </c>
      <c r="C2875" t="s">
        <v>105</v>
      </c>
      <c r="D2875" t="s">
        <v>5809</v>
      </c>
      <c r="E2875" t="s">
        <v>84</v>
      </c>
      <c r="F2875" t="s">
        <v>377</v>
      </c>
      <c r="G2875" t="s">
        <v>112</v>
      </c>
      <c r="H2875" t="str">
        <f>"ΡΗΓΑ ΦΕΡΑΙΟΥ 8 ΠΑΝΟΡΑΜΑ ΑΤΣΙΠΟΠΟΥΛΟΥ"</f>
        <v>ΡΗΓΑ ΦΕΡΑΙΟΥ 8 ΠΑΝΟΡΑΜΑ ΑΤΣΙΠΟΠΟΥΛΟΥ</v>
      </c>
      <c r="I2875">
        <v>74100</v>
      </c>
      <c r="J2875">
        <v>2831057056</v>
      </c>
      <c r="K2875">
        <v>6939197858</v>
      </c>
      <c r="N2875" t="s">
        <v>204</v>
      </c>
      <c r="O2875" t="s">
        <v>205</v>
      </c>
      <c r="P2875" t="s">
        <v>331</v>
      </c>
      <c r="Q2875" t="s">
        <v>332</v>
      </c>
      <c r="R2875" t="s">
        <v>57</v>
      </c>
      <c r="S2875">
        <v>8</v>
      </c>
      <c r="T2875">
        <v>231</v>
      </c>
      <c r="U2875" s="1">
        <v>38230</v>
      </c>
      <c r="V2875" t="s">
        <v>5644</v>
      </c>
      <c r="W2875" t="s">
        <v>5645</v>
      </c>
      <c r="X2875" t="s">
        <v>58</v>
      </c>
      <c r="Y2875">
        <v>20</v>
      </c>
      <c r="Z2875" t="s">
        <v>59</v>
      </c>
      <c r="AA2875" t="s">
        <v>59</v>
      </c>
      <c r="AB2875" t="s">
        <v>59</v>
      </c>
      <c r="AC2875" t="s">
        <v>59</v>
      </c>
      <c r="AD2875" t="s">
        <v>59</v>
      </c>
      <c r="AF2875" s="1">
        <v>38230</v>
      </c>
      <c r="AG2875" t="s">
        <v>137</v>
      </c>
      <c r="AH2875" t="s">
        <v>138</v>
      </c>
      <c r="AI2875" t="str">
        <f>"4150040"</f>
        <v>4150040</v>
      </c>
      <c r="AJ2875" t="s">
        <v>5661</v>
      </c>
      <c r="AK2875">
        <v>2831029048</v>
      </c>
      <c r="AL2875" t="s">
        <v>5662</v>
      </c>
      <c r="AM2875" t="s">
        <v>64</v>
      </c>
      <c r="AN2875" t="s">
        <v>65</v>
      </c>
      <c r="AO2875" t="s">
        <v>65</v>
      </c>
      <c r="AP2875" t="s">
        <v>65</v>
      </c>
      <c r="AQ2875">
        <v>1</v>
      </c>
      <c r="AR2875" t="s">
        <v>5644</v>
      </c>
      <c r="AS2875" t="s">
        <v>5645</v>
      </c>
      <c r="AT2875" t="s">
        <v>58</v>
      </c>
      <c r="AU2875" t="s">
        <v>68</v>
      </c>
      <c r="AV2875" t="s">
        <v>69</v>
      </c>
      <c r="AW2875" s="1">
        <v>22900</v>
      </c>
      <c r="AX2875">
        <v>2</v>
      </c>
    </row>
    <row r="2876" spans="1:50">
      <c r="B2876" t="str">
        <f>"101580678"</f>
        <v>101580678</v>
      </c>
      <c r="C2876" t="s">
        <v>50</v>
      </c>
      <c r="D2876" t="s">
        <v>899</v>
      </c>
      <c r="E2876" t="s">
        <v>237</v>
      </c>
      <c r="F2876" t="s">
        <v>72</v>
      </c>
      <c r="G2876" t="s">
        <v>589</v>
      </c>
      <c r="H2876" t="str">
        <f>"ΒΡΥΣΩΝ 65 ΧΑΝΙΑ"</f>
        <v>ΒΡΥΣΩΝ 65 ΧΑΝΙΑ</v>
      </c>
      <c r="I2876">
        <v>73100</v>
      </c>
      <c r="J2876">
        <v>2821055297</v>
      </c>
      <c r="K2876">
        <v>6974034550</v>
      </c>
      <c r="N2876" t="s">
        <v>199</v>
      </c>
      <c r="O2876" t="s">
        <v>200</v>
      </c>
      <c r="R2876" t="s">
        <v>159</v>
      </c>
      <c r="S2876">
        <v>2</v>
      </c>
      <c r="T2876" t="s">
        <v>574</v>
      </c>
      <c r="U2876" s="1">
        <v>43378</v>
      </c>
      <c r="V2876" t="s">
        <v>5644</v>
      </c>
      <c r="W2876" t="s">
        <v>5645</v>
      </c>
      <c r="X2876" t="s">
        <v>58</v>
      </c>
      <c r="Y2876">
        <v>23</v>
      </c>
      <c r="Z2876" t="s">
        <v>59</v>
      </c>
      <c r="AA2876" t="s">
        <v>59</v>
      </c>
      <c r="AB2876" t="s">
        <v>59</v>
      </c>
      <c r="AC2876" t="s">
        <v>59</v>
      </c>
      <c r="AD2876" t="s">
        <v>59</v>
      </c>
      <c r="AF2876" s="1">
        <v>43381</v>
      </c>
      <c r="AG2876" t="s">
        <v>125</v>
      </c>
      <c r="AH2876" t="s">
        <v>126</v>
      </c>
      <c r="AI2876" t="str">
        <f>"4110015"</f>
        <v>4110015</v>
      </c>
      <c r="AJ2876" t="s">
        <v>5723</v>
      </c>
      <c r="AK2876">
        <v>2831022741</v>
      </c>
      <c r="AL2876" t="s">
        <v>5724</v>
      </c>
      <c r="AM2876" t="s">
        <v>64</v>
      </c>
      <c r="AN2876" t="s">
        <v>65</v>
      </c>
      <c r="AO2876" t="s">
        <v>5720</v>
      </c>
      <c r="AP2876" t="s">
        <v>5721</v>
      </c>
      <c r="AQ2876">
        <v>1</v>
      </c>
      <c r="AR2876" t="s">
        <v>5644</v>
      </c>
      <c r="AS2876" t="s">
        <v>5645</v>
      </c>
      <c r="AT2876" t="s">
        <v>58</v>
      </c>
      <c r="AU2876" t="s">
        <v>164</v>
      </c>
      <c r="AV2876" t="s">
        <v>132</v>
      </c>
      <c r="AW2876" s="1">
        <v>27053</v>
      </c>
      <c r="AX2876">
        <v>2</v>
      </c>
    </row>
    <row r="2877" spans="1:50">
      <c r="A2877">
        <v>222837</v>
      </c>
      <c r="B2877" t="str">
        <f>"047401960"</f>
        <v>047401960</v>
      </c>
      <c r="C2877" t="s">
        <v>50</v>
      </c>
      <c r="D2877" t="s">
        <v>899</v>
      </c>
      <c r="E2877" t="s">
        <v>114</v>
      </c>
      <c r="F2877" t="s">
        <v>936</v>
      </c>
      <c r="G2877" t="s">
        <v>255</v>
      </c>
      <c r="H2877" t="str">
        <f>"Ν. ΒΑΡΔΙΝΟΓΙΑΝΝΗ 18 "</f>
        <v xml:space="preserve">Ν. ΒΑΡΔΙΝΟΓΙΑΝΝΗ 18 </v>
      </c>
      <c r="I2877">
        <v>74100</v>
      </c>
      <c r="J2877">
        <v>2810751858</v>
      </c>
      <c r="K2877">
        <v>6973747005</v>
      </c>
      <c r="N2877" t="s">
        <v>292</v>
      </c>
      <c r="O2877" t="s">
        <v>293</v>
      </c>
      <c r="R2877" t="s">
        <v>57</v>
      </c>
      <c r="S2877">
        <v>5</v>
      </c>
      <c r="T2877">
        <v>775</v>
      </c>
      <c r="U2877" s="1">
        <v>39680</v>
      </c>
      <c r="V2877" t="s">
        <v>5644</v>
      </c>
      <c r="W2877" t="s">
        <v>5645</v>
      </c>
      <c r="X2877" t="s">
        <v>58</v>
      </c>
      <c r="Y2877">
        <v>21</v>
      </c>
      <c r="Z2877" t="s">
        <v>59</v>
      </c>
      <c r="AA2877" t="s">
        <v>59</v>
      </c>
      <c r="AB2877" t="s">
        <v>59</v>
      </c>
      <c r="AC2877" t="s">
        <v>59</v>
      </c>
      <c r="AD2877" t="s">
        <v>59</v>
      </c>
      <c r="AF2877" s="1">
        <v>39692</v>
      </c>
      <c r="AG2877" t="s">
        <v>137</v>
      </c>
      <c r="AH2877" t="s">
        <v>138</v>
      </c>
      <c r="AI2877" t="str">
        <f>"4150040"</f>
        <v>4150040</v>
      </c>
      <c r="AJ2877" t="s">
        <v>5661</v>
      </c>
      <c r="AK2877">
        <v>2831029048</v>
      </c>
      <c r="AL2877" t="s">
        <v>5662</v>
      </c>
      <c r="AM2877" t="s">
        <v>64</v>
      </c>
      <c r="AN2877" t="s">
        <v>65</v>
      </c>
      <c r="AO2877" t="s">
        <v>65</v>
      </c>
      <c r="AP2877" t="s">
        <v>65</v>
      </c>
      <c r="AQ2877">
        <v>1</v>
      </c>
      <c r="AR2877" t="s">
        <v>5644</v>
      </c>
      <c r="AS2877" t="s">
        <v>5645</v>
      </c>
      <c r="AT2877" t="s">
        <v>58</v>
      </c>
      <c r="AU2877" t="s">
        <v>68</v>
      </c>
      <c r="AV2877" t="s">
        <v>69</v>
      </c>
      <c r="AW2877" s="1">
        <v>27833</v>
      </c>
      <c r="AX2877">
        <v>2</v>
      </c>
    </row>
    <row r="2878" spans="1:50">
      <c r="A2878">
        <v>701507</v>
      </c>
      <c r="B2878" t="str">
        <f>"043853600"</f>
        <v>043853600</v>
      </c>
      <c r="C2878" t="s">
        <v>50</v>
      </c>
      <c r="D2878" t="s">
        <v>926</v>
      </c>
      <c r="E2878" t="s">
        <v>255</v>
      </c>
      <c r="F2878" t="s">
        <v>95</v>
      </c>
      <c r="G2878" t="s">
        <v>255</v>
      </c>
      <c r="H2878" t="str">
        <f>"ΧΑΝΙΩΝ 3 "</f>
        <v xml:space="preserve">ΧΑΝΙΩΝ 3 </v>
      </c>
      <c r="I2878">
        <v>74100</v>
      </c>
      <c r="J2878">
        <v>2831056855</v>
      </c>
      <c r="K2878">
        <v>6937065822</v>
      </c>
      <c r="N2878" t="s">
        <v>2871</v>
      </c>
      <c r="O2878" t="s">
        <v>2872</v>
      </c>
      <c r="P2878" t="s">
        <v>1116</v>
      </c>
      <c r="Q2878" t="s">
        <v>1117</v>
      </c>
      <c r="R2878" t="s">
        <v>57</v>
      </c>
      <c r="S2878">
        <v>4</v>
      </c>
      <c r="T2878">
        <v>772</v>
      </c>
      <c r="U2878" s="1">
        <v>40413</v>
      </c>
      <c r="V2878" t="s">
        <v>5644</v>
      </c>
      <c r="W2878" t="s">
        <v>5645</v>
      </c>
      <c r="X2878" t="s">
        <v>58</v>
      </c>
      <c r="Y2878">
        <v>21</v>
      </c>
      <c r="Z2878" t="s">
        <v>59</v>
      </c>
      <c r="AA2878" t="s">
        <v>59</v>
      </c>
      <c r="AB2878" t="s">
        <v>59</v>
      </c>
      <c r="AC2878" t="s">
        <v>59</v>
      </c>
      <c r="AD2878" t="s">
        <v>59</v>
      </c>
      <c r="AF2878" s="1">
        <v>40413</v>
      </c>
      <c r="AG2878" t="s">
        <v>137</v>
      </c>
      <c r="AH2878" t="s">
        <v>138</v>
      </c>
      <c r="AI2878" t="str">
        <f>"4150040"</f>
        <v>4150040</v>
      </c>
      <c r="AJ2878" t="s">
        <v>5661</v>
      </c>
      <c r="AK2878">
        <v>2831029048</v>
      </c>
      <c r="AL2878" t="s">
        <v>5662</v>
      </c>
      <c r="AM2878" t="s">
        <v>64</v>
      </c>
      <c r="AN2878" t="s">
        <v>65</v>
      </c>
      <c r="AO2878" t="s">
        <v>65</v>
      </c>
      <c r="AP2878" t="s">
        <v>65</v>
      </c>
      <c r="AQ2878">
        <v>1</v>
      </c>
      <c r="AR2878" t="s">
        <v>5644</v>
      </c>
      <c r="AS2878" t="s">
        <v>5645</v>
      </c>
      <c r="AT2878" t="s">
        <v>58</v>
      </c>
      <c r="AU2878" t="s">
        <v>68</v>
      </c>
      <c r="AV2878" t="s">
        <v>69</v>
      </c>
      <c r="AW2878" s="1">
        <v>25934</v>
      </c>
      <c r="AX2878">
        <v>2</v>
      </c>
    </row>
    <row r="2879" spans="1:50">
      <c r="A2879">
        <v>152201</v>
      </c>
      <c r="B2879" t="str">
        <f>"028553464"</f>
        <v>028553464</v>
      </c>
      <c r="C2879" t="s">
        <v>50</v>
      </c>
      <c r="D2879" t="s">
        <v>928</v>
      </c>
      <c r="E2879" t="s">
        <v>250</v>
      </c>
      <c r="F2879" t="s">
        <v>920</v>
      </c>
      <c r="G2879" t="s">
        <v>255</v>
      </c>
      <c r="H2879" t="str">
        <f>"ΔΗΜΟΚΡΑΤΙΑΣ 34 ΡΕΘΥΜΝΟ"</f>
        <v>ΔΗΜΟΚΡΑΤΙΑΣ 34 ΡΕΘΥΜΝΟ</v>
      </c>
      <c r="I2879">
        <v>74132</v>
      </c>
      <c r="J2879">
        <v>2831027565</v>
      </c>
      <c r="K2879">
        <v>6946814620</v>
      </c>
      <c r="N2879" t="s">
        <v>146</v>
      </c>
      <c r="O2879" t="s">
        <v>147</v>
      </c>
      <c r="R2879" t="s">
        <v>57</v>
      </c>
      <c r="S2879">
        <v>17</v>
      </c>
      <c r="T2879">
        <v>193</v>
      </c>
      <c r="U2879" s="1">
        <v>32042</v>
      </c>
      <c r="V2879" t="s">
        <v>5644</v>
      </c>
      <c r="W2879" t="s">
        <v>5645</v>
      </c>
      <c r="X2879" t="s">
        <v>58</v>
      </c>
      <c r="Y2879">
        <v>18</v>
      </c>
      <c r="Z2879" t="s">
        <v>59</v>
      </c>
      <c r="AA2879" t="s">
        <v>59</v>
      </c>
      <c r="AB2879" t="s">
        <v>59</v>
      </c>
      <c r="AC2879" t="s">
        <v>59</v>
      </c>
      <c r="AD2879" t="s">
        <v>452</v>
      </c>
      <c r="AE2879" s="1">
        <v>43708</v>
      </c>
      <c r="AF2879" s="1">
        <v>32042</v>
      </c>
      <c r="AG2879" t="s">
        <v>148</v>
      </c>
      <c r="AH2879" t="s">
        <v>2782</v>
      </c>
      <c r="AI2879" t="str">
        <f>"4151040"</f>
        <v>4151040</v>
      </c>
      <c r="AJ2879" t="s">
        <v>5810</v>
      </c>
      <c r="AK2879">
        <v>2831023425</v>
      </c>
      <c r="AL2879" t="s">
        <v>5811</v>
      </c>
      <c r="AM2879" t="s">
        <v>64</v>
      </c>
      <c r="AN2879" t="s">
        <v>65</v>
      </c>
      <c r="AO2879" t="s">
        <v>65</v>
      </c>
      <c r="AP2879" t="s">
        <v>65</v>
      </c>
      <c r="AQ2879">
        <v>1</v>
      </c>
      <c r="AR2879" t="s">
        <v>5644</v>
      </c>
      <c r="AS2879" t="s">
        <v>5645</v>
      </c>
      <c r="AT2879" t="s">
        <v>58</v>
      </c>
      <c r="AU2879" t="s">
        <v>68</v>
      </c>
      <c r="AV2879" t="s">
        <v>69</v>
      </c>
      <c r="AW2879" s="1">
        <v>22425</v>
      </c>
      <c r="AX2879">
        <v>2</v>
      </c>
    </row>
    <row r="2880" spans="1:50">
      <c r="A2880">
        <v>208975</v>
      </c>
      <c r="B2880" t="str">
        <f>"079646343"</f>
        <v>079646343</v>
      </c>
      <c r="C2880" t="s">
        <v>105</v>
      </c>
      <c r="D2880" t="s">
        <v>5812</v>
      </c>
      <c r="E2880" t="s">
        <v>99</v>
      </c>
      <c r="F2880" t="s">
        <v>92</v>
      </c>
      <c r="G2880" t="s">
        <v>263</v>
      </c>
      <c r="H2880" t="str">
        <f>"ΣΚΟΡΔΙΛΩΝ 2 ΡΕΘΥΜΝΟ"</f>
        <v>ΣΚΟΡΔΙΛΩΝ 2 ΡΕΘΥΜΝΟ</v>
      </c>
      <c r="I2880">
        <v>74100</v>
      </c>
      <c r="J2880">
        <v>2831029459</v>
      </c>
      <c r="K2880">
        <v>6978961045</v>
      </c>
      <c r="N2880" t="s">
        <v>204</v>
      </c>
      <c r="O2880" t="s">
        <v>205</v>
      </c>
      <c r="R2880" t="s">
        <v>57</v>
      </c>
      <c r="S2880">
        <v>8</v>
      </c>
      <c r="T2880" t="s">
        <v>5813</v>
      </c>
      <c r="U2880" s="1">
        <v>38596</v>
      </c>
      <c r="V2880" t="s">
        <v>5644</v>
      </c>
      <c r="W2880" t="s">
        <v>5645</v>
      </c>
      <c r="X2880" t="s">
        <v>58</v>
      </c>
      <c r="Y2880">
        <v>20</v>
      </c>
      <c r="Z2880" t="s">
        <v>59</v>
      </c>
      <c r="AA2880" t="s">
        <v>59</v>
      </c>
      <c r="AB2880" t="s">
        <v>59</v>
      </c>
      <c r="AC2880" t="s">
        <v>59</v>
      </c>
      <c r="AD2880" t="s">
        <v>59</v>
      </c>
      <c r="AF2880" s="1">
        <v>38600</v>
      </c>
      <c r="AG2880" t="s">
        <v>125</v>
      </c>
      <c r="AH2880" t="s">
        <v>126</v>
      </c>
      <c r="AI2880" t="str">
        <f>"4101010"</f>
        <v>4101010</v>
      </c>
      <c r="AJ2880" t="s">
        <v>5814</v>
      </c>
      <c r="AK2880">
        <v>2831022283</v>
      </c>
      <c r="AL2880" t="s">
        <v>5815</v>
      </c>
      <c r="AM2880" t="s">
        <v>64</v>
      </c>
      <c r="AN2880" t="s">
        <v>65</v>
      </c>
      <c r="AO2880" t="s">
        <v>65</v>
      </c>
      <c r="AP2880" t="s">
        <v>65</v>
      </c>
      <c r="AQ2880">
        <v>1</v>
      </c>
      <c r="AR2880" t="s">
        <v>5644</v>
      </c>
      <c r="AS2880" t="s">
        <v>5645</v>
      </c>
      <c r="AT2880" t="s">
        <v>58</v>
      </c>
      <c r="AU2880" t="s">
        <v>68</v>
      </c>
      <c r="AV2880" t="s">
        <v>357</v>
      </c>
      <c r="AW2880" s="1">
        <v>29477</v>
      </c>
      <c r="AX2880">
        <v>2</v>
      </c>
    </row>
    <row r="2881" spans="1:50">
      <c r="A2881">
        <v>207547</v>
      </c>
      <c r="B2881" t="str">
        <f>"038659660"</f>
        <v>038659660</v>
      </c>
      <c r="C2881" t="s">
        <v>50</v>
      </c>
      <c r="D2881" t="s">
        <v>5816</v>
      </c>
      <c r="E2881" t="s">
        <v>181</v>
      </c>
      <c r="F2881" t="s">
        <v>377</v>
      </c>
      <c r="G2881" t="s">
        <v>620</v>
      </c>
      <c r="H2881" t="str">
        <f>"ΣΤΑΜΑΘΙΟΥΔΑΚΗ 102 ΡΕΘΥΜΝΟ"</f>
        <v>ΣΤΑΜΑΘΙΟΥΔΑΚΗ 102 ΡΕΘΥΜΝΟ</v>
      </c>
      <c r="I2881">
        <v>74100</v>
      </c>
      <c r="J2881">
        <v>2831030398</v>
      </c>
      <c r="K2881">
        <v>6974728036</v>
      </c>
      <c r="N2881" t="s">
        <v>306</v>
      </c>
      <c r="O2881" t="s">
        <v>307</v>
      </c>
      <c r="R2881" t="s">
        <v>57</v>
      </c>
      <c r="S2881">
        <v>9</v>
      </c>
      <c r="T2881" t="s">
        <v>5366</v>
      </c>
      <c r="U2881" s="1">
        <v>38596</v>
      </c>
      <c r="V2881" t="s">
        <v>5644</v>
      </c>
      <c r="W2881" t="s">
        <v>5645</v>
      </c>
      <c r="X2881" t="s">
        <v>58</v>
      </c>
      <c r="Y2881">
        <v>20</v>
      </c>
      <c r="Z2881" t="s">
        <v>59</v>
      </c>
      <c r="AA2881" t="s">
        <v>59</v>
      </c>
      <c r="AB2881" t="s">
        <v>59</v>
      </c>
      <c r="AC2881" t="s">
        <v>59</v>
      </c>
      <c r="AD2881" t="s">
        <v>59</v>
      </c>
      <c r="AF2881" s="1">
        <v>38596</v>
      </c>
      <c r="AG2881" t="s">
        <v>125</v>
      </c>
      <c r="AH2881" t="s">
        <v>126</v>
      </c>
      <c r="AI2881" t="str">
        <f>"4101020"</f>
        <v>4101020</v>
      </c>
      <c r="AJ2881" t="s">
        <v>5652</v>
      </c>
      <c r="AK2881">
        <v>2831023560</v>
      </c>
      <c r="AL2881" t="s">
        <v>5653</v>
      </c>
      <c r="AM2881" t="s">
        <v>64</v>
      </c>
      <c r="AN2881" t="s">
        <v>65</v>
      </c>
      <c r="AO2881" t="s">
        <v>65</v>
      </c>
      <c r="AP2881" t="s">
        <v>65</v>
      </c>
      <c r="AQ2881">
        <v>1</v>
      </c>
      <c r="AR2881" t="s">
        <v>5644</v>
      </c>
      <c r="AS2881" t="s">
        <v>5645</v>
      </c>
      <c r="AT2881" t="s">
        <v>58</v>
      </c>
      <c r="AU2881" t="s">
        <v>68</v>
      </c>
      <c r="AV2881" t="s">
        <v>69</v>
      </c>
      <c r="AW2881" s="1">
        <v>24648</v>
      </c>
      <c r="AX2881">
        <v>2</v>
      </c>
    </row>
    <row r="2882" spans="1:50">
      <c r="A2882">
        <v>201312</v>
      </c>
      <c r="B2882" t="str">
        <f>"109147195"</f>
        <v>109147195</v>
      </c>
      <c r="C2882" t="s">
        <v>50</v>
      </c>
      <c r="D2882" t="s">
        <v>5817</v>
      </c>
      <c r="E2882" t="s">
        <v>143</v>
      </c>
      <c r="F2882" t="s">
        <v>166</v>
      </c>
      <c r="G2882" t="s">
        <v>73</v>
      </c>
      <c r="H2882" t="str">
        <f>"ΑΠ. ΑΠΟΣΤΟΛΑΚΗ 2 ΡΕΘΥΜΝΟ"</f>
        <v>ΑΠ. ΑΠΟΣΤΟΛΑΚΗ 2 ΡΕΘΥΜΝΟ</v>
      </c>
      <c r="I2882">
        <v>74100</v>
      </c>
      <c r="J2882">
        <v>2834022003</v>
      </c>
      <c r="K2882">
        <v>6987341643</v>
      </c>
      <c r="L2882">
        <v>2831058525</v>
      </c>
      <c r="M2882" t="s">
        <v>5818</v>
      </c>
      <c r="N2882" t="s">
        <v>146</v>
      </c>
      <c r="O2882" t="s">
        <v>147</v>
      </c>
      <c r="R2882" t="s">
        <v>57</v>
      </c>
      <c r="S2882">
        <v>7</v>
      </c>
      <c r="T2882">
        <v>231</v>
      </c>
      <c r="U2882" s="1">
        <v>38230</v>
      </c>
      <c r="V2882" t="s">
        <v>5644</v>
      </c>
      <c r="W2882" t="s">
        <v>5645</v>
      </c>
      <c r="X2882" t="s">
        <v>58</v>
      </c>
      <c r="Y2882">
        <v>20</v>
      </c>
      <c r="Z2882" t="s">
        <v>59</v>
      </c>
      <c r="AA2882" t="s">
        <v>59</v>
      </c>
      <c r="AB2882" t="s">
        <v>59</v>
      </c>
      <c r="AC2882" t="s">
        <v>59</v>
      </c>
      <c r="AD2882" t="s">
        <v>59</v>
      </c>
      <c r="AF2882" s="1">
        <v>38230</v>
      </c>
      <c r="AG2882" t="s">
        <v>125</v>
      </c>
      <c r="AH2882" t="s">
        <v>126</v>
      </c>
      <c r="AI2882" t="str">
        <f>"4101030"</f>
        <v>4101030</v>
      </c>
      <c r="AJ2882" t="s">
        <v>5646</v>
      </c>
      <c r="AK2882">
        <v>2831022359</v>
      </c>
      <c r="AL2882" t="s">
        <v>5647</v>
      </c>
      <c r="AM2882" t="s">
        <v>64</v>
      </c>
      <c r="AN2882" t="s">
        <v>65</v>
      </c>
      <c r="AO2882" t="s">
        <v>65</v>
      </c>
      <c r="AP2882" t="s">
        <v>65</v>
      </c>
      <c r="AQ2882">
        <v>1</v>
      </c>
      <c r="AR2882" t="s">
        <v>5644</v>
      </c>
      <c r="AS2882" t="s">
        <v>5645</v>
      </c>
      <c r="AT2882" t="s">
        <v>58</v>
      </c>
      <c r="AU2882" t="s">
        <v>68</v>
      </c>
      <c r="AV2882" t="s">
        <v>69</v>
      </c>
      <c r="AW2882" s="1">
        <v>24982</v>
      </c>
      <c r="AX2882">
        <v>2</v>
      </c>
    </row>
    <row r="2883" spans="1:50">
      <c r="A2883">
        <v>205113</v>
      </c>
      <c r="B2883" t="str">
        <f>"051682854"</f>
        <v>051682854</v>
      </c>
      <c r="C2883" t="s">
        <v>105</v>
      </c>
      <c r="D2883" t="s">
        <v>5819</v>
      </c>
      <c r="E2883" t="s">
        <v>154</v>
      </c>
      <c r="F2883" t="s">
        <v>609</v>
      </c>
      <c r="G2883" t="s">
        <v>5820</v>
      </c>
      <c r="H2883" t="str">
        <f>"ΜΠΑΡΟΤΣΙ 31 ΡΕΘΥΜΝΟ"</f>
        <v>ΜΠΑΡΟΤΣΙ 31 ΡΕΘΥΜΝΟ</v>
      </c>
      <c r="I2883">
        <v>74100</v>
      </c>
      <c r="J2883">
        <v>2831028887</v>
      </c>
      <c r="K2883">
        <v>6945871051</v>
      </c>
      <c r="M2883" t="s">
        <v>5821</v>
      </c>
      <c r="N2883" t="s">
        <v>204</v>
      </c>
      <c r="O2883" t="s">
        <v>205</v>
      </c>
      <c r="R2883" t="s">
        <v>57</v>
      </c>
      <c r="S2883">
        <v>7</v>
      </c>
      <c r="T2883">
        <v>231</v>
      </c>
      <c r="U2883" s="1">
        <v>38230</v>
      </c>
      <c r="V2883" t="s">
        <v>5644</v>
      </c>
      <c r="W2883" t="s">
        <v>5645</v>
      </c>
      <c r="X2883" t="s">
        <v>58</v>
      </c>
      <c r="Y2883">
        <v>20</v>
      </c>
      <c r="Z2883" t="s">
        <v>59</v>
      </c>
      <c r="AA2883" t="s">
        <v>59</v>
      </c>
      <c r="AB2883" t="s">
        <v>59</v>
      </c>
      <c r="AC2883" t="s">
        <v>59</v>
      </c>
      <c r="AD2883" t="s">
        <v>59</v>
      </c>
      <c r="AF2883" s="1">
        <v>38231</v>
      </c>
      <c r="AG2883" t="s">
        <v>125</v>
      </c>
      <c r="AH2883" t="s">
        <v>126</v>
      </c>
      <c r="AI2883" t="str">
        <f>"4102020"</f>
        <v>4102020</v>
      </c>
      <c r="AJ2883" t="s">
        <v>5761</v>
      </c>
      <c r="AK2883">
        <v>2831061491</v>
      </c>
      <c r="AL2883" t="s">
        <v>5762</v>
      </c>
      <c r="AM2883" t="s">
        <v>64</v>
      </c>
      <c r="AN2883" t="s">
        <v>65</v>
      </c>
      <c r="AO2883" t="s">
        <v>5657</v>
      </c>
      <c r="AP2883" t="s">
        <v>1437</v>
      </c>
      <c r="AQ2883">
        <v>1</v>
      </c>
      <c r="AR2883" t="s">
        <v>5644</v>
      </c>
      <c r="AS2883" t="s">
        <v>5645</v>
      </c>
      <c r="AT2883" t="s">
        <v>58</v>
      </c>
      <c r="AU2883" t="s">
        <v>68</v>
      </c>
      <c r="AV2883" t="s">
        <v>69</v>
      </c>
      <c r="AW2883" s="1">
        <v>28086</v>
      </c>
      <c r="AX2883">
        <v>2</v>
      </c>
    </row>
    <row r="2884" spans="1:50">
      <c r="A2884">
        <v>219920</v>
      </c>
      <c r="B2884" t="str">
        <f>"109121223"</f>
        <v>109121223</v>
      </c>
      <c r="C2884" t="s">
        <v>105</v>
      </c>
      <c r="D2884" t="s">
        <v>5822</v>
      </c>
      <c r="E2884" t="s">
        <v>154</v>
      </c>
      <c r="F2884" t="s">
        <v>92</v>
      </c>
      <c r="G2884" t="s">
        <v>83</v>
      </c>
      <c r="H2884" t="str">
        <f>"ΜΑΝΟΥΣΑΚΑ 9 "</f>
        <v xml:space="preserve">ΜΑΝΟΥΣΑΚΑ 9 </v>
      </c>
      <c r="I2884">
        <v>74100</v>
      </c>
      <c r="J2884">
        <v>2831041579</v>
      </c>
      <c r="K2884">
        <v>6977794318</v>
      </c>
      <c r="L2884">
        <v>2821028221</v>
      </c>
      <c r="M2884" t="s">
        <v>5823</v>
      </c>
      <c r="N2884" t="s">
        <v>168</v>
      </c>
      <c r="O2884" t="s">
        <v>169</v>
      </c>
      <c r="R2884" t="s">
        <v>57</v>
      </c>
      <c r="S2884">
        <v>5</v>
      </c>
      <c r="T2884">
        <v>599</v>
      </c>
      <c r="U2884" s="1">
        <v>39310</v>
      </c>
      <c r="V2884" t="s">
        <v>5644</v>
      </c>
      <c r="W2884" t="s">
        <v>5645</v>
      </c>
      <c r="X2884" t="s">
        <v>58</v>
      </c>
      <c r="Y2884">
        <v>21</v>
      </c>
      <c r="Z2884" t="s">
        <v>59</v>
      </c>
      <c r="AA2884" t="s">
        <v>59</v>
      </c>
      <c r="AB2884" t="s">
        <v>59</v>
      </c>
      <c r="AC2884" t="s">
        <v>59</v>
      </c>
      <c r="AD2884" t="s">
        <v>59</v>
      </c>
      <c r="AF2884" s="1">
        <v>39329</v>
      </c>
      <c r="AG2884" t="s">
        <v>137</v>
      </c>
      <c r="AH2884" t="s">
        <v>138</v>
      </c>
      <c r="AI2884" t="str">
        <f>"4150040"</f>
        <v>4150040</v>
      </c>
      <c r="AJ2884" t="s">
        <v>5661</v>
      </c>
      <c r="AK2884">
        <v>2831029048</v>
      </c>
      <c r="AL2884" t="s">
        <v>5662</v>
      </c>
      <c r="AM2884" t="s">
        <v>64</v>
      </c>
      <c r="AN2884" t="s">
        <v>65</v>
      </c>
      <c r="AO2884" t="s">
        <v>65</v>
      </c>
      <c r="AP2884" t="s">
        <v>65</v>
      </c>
      <c r="AQ2884">
        <v>1</v>
      </c>
      <c r="AR2884" t="s">
        <v>5644</v>
      </c>
      <c r="AS2884" t="s">
        <v>5645</v>
      </c>
      <c r="AT2884" t="s">
        <v>58</v>
      </c>
      <c r="AU2884" t="s">
        <v>68</v>
      </c>
      <c r="AV2884" t="s">
        <v>69</v>
      </c>
      <c r="AW2884" s="1">
        <v>28801</v>
      </c>
      <c r="AX2884">
        <v>2</v>
      </c>
    </row>
    <row r="2885" spans="1:50">
      <c r="A2885">
        <v>216958</v>
      </c>
      <c r="B2885" t="str">
        <f>"045548962"</f>
        <v>045548962</v>
      </c>
      <c r="C2885" t="s">
        <v>50</v>
      </c>
      <c r="D2885" t="s">
        <v>5824</v>
      </c>
      <c r="E2885" t="s">
        <v>659</v>
      </c>
      <c r="F2885" t="s">
        <v>92</v>
      </c>
      <c r="G2885" t="s">
        <v>255</v>
      </c>
      <c r="H2885" t="str">
        <f>"Β. ΞΑΝΘΟΠΟΥΛΟΥ 14 ΡΕΘΥΜΝΟ"</f>
        <v>Β. ΞΑΝΘΟΠΟΥΛΟΥ 14 ΡΕΘΥΜΝΟ</v>
      </c>
      <c r="I2885">
        <v>74100</v>
      </c>
      <c r="J2885">
        <v>2831058841</v>
      </c>
      <c r="K2885">
        <v>6944802171</v>
      </c>
      <c r="M2885" t="s">
        <v>5825</v>
      </c>
      <c r="N2885" t="s">
        <v>337</v>
      </c>
      <c r="O2885" t="s">
        <v>338</v>
      </c>
      <c r="R2885" t="s">
        <v>57</v>
      </c>
      <c r="S2885">
        <v>8</v>
      </c>
      <c r="T2885">
        <v>298</v>
      </c>
      <c r="U2885" s="1">
        <v>38985</v>
      </c>
      <c r="V2885" t="s">
        <v>5644</v>
      </c>
      <c r="W2885" t="s">
        <v>5645</v>
      </c>
      <c r="X2885" t="s">
        <v>58</v>
      </c>
      <c r="Y2885">
        <v>20</v>
      </c>
      <c r="Z2885" t="s">
        <v>59</v>
      </c>
      <c r="AA2885" t="s">
        <v>59</v>
      </c>
      <c r="AB2885" t="s">
        <v>59</v>
      </c>
      <c r="AC2885" t="s">
        <v>59</v>
      </c>
      <c r="AD2885" t="s">
        <v>59</v>
      </c>
      <c r="AF2885" s="1">
        <v>38985</v>
      </c>
      <c r="AG2885" t="s">
        <v>125</v>
      </c>
      <c r="AH2885" t="s">
        <v>294</v>
      </c>
      <c r="AI2885" t="str">
        <f>"4101045"</f>
        <v>4101045</v>
      </c>
      <c r="AJ2885" t="s">
        <v>5677</v>
      </c>
      <c r="AK2885">
        <v>2831027553</v>
      </c>
      <c r="AL2885" t="s">
        <v>5678</v>
      </c>
      <c r="AM2885" t="s">
        <v>64</v>
      </c>
      <c r="AN2885" t="s">
        <v>65</v>
      </c>
      <c r="AO2885" t="s">
        <v>65</v>
      </c>
      <c r="AP2885" t="s">
        <v>65</v>
      </c>
      <c r="AQ2885">
        <v>1</v>
      </c>
      <c r="AR2885" t="s">
        <v>5644</v>
      </c>
      <c r="AS2885" t="s">
        <v>5645</v>
      </c>
      <c r="AT2885" t="s">
        <v>58</v>
      </c>
      <c r="AU2885" t="s">
        <v>68</v>
      </c>
      <c r="AV2885" t="s">
        <v>69</v>
      </c>
      <c r="AW2885" s="1">
        <v>25570</v>
      </c>
      <c r="AX2885">
        <v>2</v>
      </c>
    </row>
    <row r="2886" spans="1:50">
      <c r="A2886">
        <v>207181</v>
      </c>
      <c r="B2886" t="str">
        <f>"042410181"</f>
        <v>042410181</v>
      </c>
      <c r="C2886" t="s">
        <v>105</v>
      </c>
      <c r="D2886" t="s">
        <v>5826</v>
      </c>
      <c r="E2886" t="s">
        <v>106</v>
      </c>
      <c r="F2886" t="s">
        <v>84</v>
      </c>
      <c r="G2886" t="s">
        <v>473</v>
      </c>
      <c r="H2886" t="str">
        <f>"ΠΡΕΒΕΛΑΚΗ 8 ΡΕΘΥΜΝΟ"</f>
        <v>ΠΡΕΒΕΛΑΚΗ 8 ΡΕΘΥΜΝΟ</v>
      </c>
      <c r="I2886">
        <v>74100</v>
      </c>
      <c r="J2886">
        <v>2831053535</v>
      </c>
      <c r="K2886">
        <v>6946967872</v>
      </c>
      <c r="M2886" t="s">
        <v>5827</v>
      </c>
      <c r="N2886" t="s">
        <v>199</v>
      </c>
      <c r="O2886" t="s">
        <v>200</v>
      </c>
      <c r="R2886" t="s">
        <v>57</v>
      </c>
      <c r="S2886">
        <v>8</v>
      </c>
      <c r="T2886">
        <v>218</v>
      </c>
      <c r="U2886" s="1">
        <v>38596</v>
      </c>
      <c r="V2886" t="s">
        <v>5644</v>
      </c>
      <c r="W2886" t="s">
        <v>5645</v>
      </c>
      <c r="X2886" t="s">
        <v>58</v>
      </c>
      <c r="Y2886">
        <v>20</v>
      </c>
      <c r="Z2886" t="s">
        <v>59</v>
      </c>
      <c r="AA2886" t="s">
        <v>59</v>
      </c>
      <c r="AB2886" t="s">
        <v>59</v>
      </c>
      <c r="AC2886" t="s">
        <v>59</v>
      </c>
      <c r="AD2886" t="s">
        <v>59</v>
      </c>
      <c r="AF2886" s="1">
        <v>38596</v>
      </c>
      <c r="AG2886" t="s">
        <v>125</v>
      </c>
      <c r="AH2886" t="s">
        <v>126</v>
      </c>
      <c r="AI2886" t="str">
        <f>"4101030"</f>
        <v>4101030</v>
      </c>
      <c r="AJ2886" t="s">
        <v>5646</v>
      </c>
      <c r="AK2886">
        <v>2831022359</v>
      </c>
      <c r="AL2886" t="s">
        <v>5647</v>
      </c>
      <c r="AM2886" t="s">
        <v>64</v>
      </c>
      <c r="AN2886" t="s">
        <v>65</v>
      </c>
      <c r="AO2886" t="s">
        <v>65</v>
      </c>
      <c r="AP2886" t="s">
        <v>65</v>
      </c>
      <c r="AQ2886">
        <v>1</v>
      </c>
      <c r="AR2886" t="s">
        <v>5644</v>
      </c>
      <c r="AS2886" t="s">
        <v>5645</v>
      </c>
      <c r="AT2886" t="s">
        <v>58</v>
      </c>
      <c r="AU2886" t="s">
        <v>68</v>
      </c>
      <c r="AV2886" t="s">
        <v>69</v>
      </c>
      <c r="AW2886" s="1">
        <v>22626</v>
      </c>
      <c r="AX2886">
        <v>2</v>
      </c>
    </row>
    <row r="2887" spans="1:50">
      <c r="A2887">
        <v>182596</v>
      </c>
      <c r="B2887" t="str">
        <f>"044670263"</f>
        <v>044670263</v>
      </c>
      <c r="C2887" t="s">
        <v>105</v>
      </c>
      <c r="D2887" t="s">
        <v>5828</v>
      </c>
      <c r="E2887" t="s">
        <v>154</v>
      </c>
      <c r="F2887" t="s">
        <v>99</v>
      </c>
      <c r="G2887" t="s">
        <v>1001</v>
      </c>
      <c r="H2887" t="str">
        <f>"ΒΙΟΛΙ ΧΑΡΑΚΙ ΡΕΘΥΜΝΟΥ ΡΕΘΥΜΝΟ"</f>
        <v>ΒΙΟΛΙ ΧΑΡΑΚΙ ΡΕΘΥΜΝΟΥ ΡΕΘΥΜΝΟ</v>
      </c>
      <c r="I2887">
        <v>74100</v>
      </c>
      <c r="J2887">
        <v>2831021530</v>
      </c>
      <c r="K2887">
        <v>6937020200</v>
      </c>
      <c r="M2887" t="s">
        <v>5829</v>
      </c>
      <c r="N2887" t="s">
        <v>292</v>
      </c>
      <c r="O2887" t="s">
        <v>293</v>
      </c>
      <c r="R2887" t="s">
        <v>57</v>
      </c>
      <c r="S2887">
        <v>9</v>
      </c>
      <c r="T2887">
        <v>249</v>
      </c>
      <c r="U2887" s="1">
        <v>36160</v>
      </c>
      <c r="V2887" t="s">
        <v>5644</v>
      </c>
      <c r="W2887" t="s">
        <v>5645</v>
      </c>
      <c r="X2887" t="s">
        <v>58</v>
      </c>
      <c r="Y2887">
        <v>20</v>
      </c>
      <c r="Z2887" t="s">
        <v>59</v>
      </c>
      <c r="AA2887" t="s">
        <v>59</v>
      </c>
      <c r="AB2887" t="s">
        <v>59</v>
      </c>
      <c r="AC2887" t="s">
        <v>59</v>
      </c>
      <c r="AD2887" t="s">
        <v>59</v>
      </c>
      <c r="AF2887" s="1">
        <v>36171</v>
      </c>
      <c r="AG2887" t="s">
        <v>125</v>
      </c>
      <c r="AH2887" t="s">
        <v>126</v>
      </c>
      <c r="AI2887" t="str">
        <f>"4101030"</f>
        <v>4101030</v>
      </c>
      <c r="AJ2887" t="s">
        <v>5646</v>
      </c>
      <c r="AK2887">
        <v>2831022359</v>
      </c>
      <c r="AL2887" t="s">
        <v>5647</v>
      </c>
      <c r="AM2887" t="s">
        <v>64</v>
      </c>
      <c r="AN2887" t="s">
        <v>65</v>
      </c>
      <c r="AO2887" t="s">
        <v>65</v>
      </c>
      <c r="AP2887" t="s">
        <v>65</v>
      </c>
      <c r="AQ2887">
        <v>1</v>
      </c>
      <c r="AR2887" t="s">
        <v>5644</v>
      </c>
      <c r="AS2887" t="s">
        <v>5645</v>
      </c>
      <c r="AT2887" t="s">
        <v>58</v>
      </c>
      <c r="AU2887" t="s">
        <v>68</v>
      </c>
      <c r="AV2887" t="s">
        <v>69</v>
      </c>
      <c r="AW2887" s="1">
        <v>24624</v>
      </c>
      <c r="AX2887">
        <v>2</v>
      </c>
    </row>
    <row r="2888" spans="1:50">
      <c r="B2888" t="str">
        <f>"114293052"</f>
        <v>114293052</v>
      </c>
      <c r="C2888" t="s">
        <v>50</v>
      </c>
      <c r="D2888" t="s">
        <v>966</v>
      </c>
      <c r="E2888" t="s">
        <v>5830</v>
      </c>
      <c r="F2888" t="s">
        <v>2847</v>
      </c>
      <c r="G2888" t="s">
        <v>783</v>
      </c>
      <c r="H2888" t="str">
        <f>"ΒΙΟΛΙ ΧΑΡΑΚΙ - ΑΤΣΙΠΟΠΟΥΛΟ ΡΕΘΥΜΝΟ"</f>
        <v>ΒΙΟΛΙ ΧΑΡΑΚΙ - ΑΤΣΙΠΟΠΟΥΛΟ ΡΕΘΥΜΝΟ</v>
      </c>
      <c r="I2888">
        <v>74100</v>
      </c>
      <c r="J2888">
        <v>2831036112</v>
      </c>
      <c r="K2888">
        <v>6937134052</v>
      </c>
      <c r="M2888" t="s">
        <v>5831</v>
      </c>
      <c r="N2888" t="s">
        <v>119</v>
      </c>
      <c r="O2888" t="s">
        <v>120</v>
      </c>
      <c r="R2888" t="s">
        <v>159</v>
      </c>
      <c r="S2888">
        <v>4</v>
      </c>
      <c r="T2888" t="s">
        <v>5643</v>
      </c>
      <c r="U2888" s="1">
        <v>43348</v>
      </c>
      <c r="V2888" t="s">
        <v>5644</v>
      </c>
      <c r="W2888" t="s">
        <v>5645</v>
      </c>
      <c r="X2888" t="s">
        <v>58</v>
      </c>
      <c r="Y2888">
        <v>23</v>
      </c>
      <c r="Z2888" t="s">
        <v>59</v>
      </c>
      <c r="AA2888" t="s">
        <v>59</v>
      </c>
      <c r="AB2888" t="s">
        <v>59</v>
      </c>
      <c r="AC2888" t="s">
        <v>59</v>
      </c>
      <c r="AD2888" t="s">
        <v>59</v>
      </c>
      <c r="AF2888" s="1">
        <v>43348</v>
      </c>
      <c r="AG2888" t="s">
        <v>125</v>
      </c>
      <c r="AH2888" t="s">
        <v>126</v>
      </c>
      <c r="AI2888" t="str">
        <f>"4101030"</f>
        <v>4101030</v>
      </c>
      <c r="AJ2888" t="s">
        <v>5646</v>
      </c>
      <c r="AK2888">
        <v>2831022359</v>
      </c>
      <c r="AL2888" t="s">
        <v>5647</v>
      </c>
      <c r="AM2888" t="s">
        <v>64</v>
      </c>
      <c r="AN2888" t="s">
        <v>65</v>
      </c>
      <c r="AO2888" t="s">
        <v>65</v>
      </c>
      <c r="AP2888" t="s">
        <v>65</v>
      </c>
      <c r="AQ2888">
        <v>1</v>
      </c>
      <c r="AR2888" t="s">
        <v>5644</v>
      </c>
      <c r="AS2888" t="s">
        <v>5645</v>
      </c>
      <c r="AT2888" t="s">
        <v>58</v>
      </c>
      <c r="AU2888" t="s">
        <v>350</v>
      </c>
      <c r="AV2888" t="s">
        <v>132</v>
      </c>
      <c r="AW2888" s="1">
        <v>28149</v>
      </c>
      <c r="AX2888">
        <v>2</v>
      </c>
    </row>
    <row r="2889" spans="1:50">
      <c r="A2889">
        <v>182802</v>
      </c>
      <c r="B2889" t="str">
        <f>"075132746"</f>
        <v>075132746</v>
      </c>
      <c r="C2889" t="s">
        <v>50</v>
      </c>
      <c r="D2889" t="s">
        <v>5832</v>
      </c>
      <c r="E2889" t="s">
        <v>255</v>
      </c>
      <c r="F2889" t="s">
        <v>5833</v>
      </c>
      <c r="G2889" t="s">
        <v>650</v>
      </c>
      <c r="H2889" t="str">
        <f>"Γ ΣΚΟΥΛΑ 15 ΡΕΘΥΜΝΟ"</f>
        <v>Γ ΣΚΟΥΛΑ 15 ΡΕΘΥΜΝΟ</v>
      </c>
      <c r="I2889">
        <v>74100</v>
      </c>
      <c r="J2889">
        <v>2831058239</v>
      </c>
      <c r="K2889">
        <v>6944548444</v>
      </c>
      <c r="N2889" t="s">
        <v>306</v>
      </c>
      <c r="O2889" t="s">
        <v>307</v>
      </c>
      <c r="R2889" t="s">
        <v>57</v>
      </c>
      <c r="S2889">
        <v>9</v>
      </c>
      <c r="T2889">
        <v>249</v>
      </c>
      <c r="U2889" s="1">
        <v>36160</v>
      </c>
      <c r="V2889" t="s">
        <v>5644</v>
      </c>
      <c r="W2889" t="s">
        <v>5645</v>
      </c>
      <c r="X2889" t="s">
        <v>58</v>
      </c>
      <c r="Y2889">
        <v>20</v>
      </c>
      <c r="Z2889" t="s">
        <v>59</v>
      </c>
      <c r="AA2889" t="s">
        <v>59</v>
      </c>
      <c r="AB2889" t="s">
        <v>59</v>
      </c>
      <c r="AC2889" t="s">
        <v>59</v>
      </c>
      <c r="AD2889" t="s">
        <v>59</v>
      </c>
      <c r="AF2889" s="1">
        <v>36160</v>
      </c>
      <c r="AG2889" t="s">
        <v>125</v>
      </c>
      <c r="AH2889" t="s">
        <v>126</v>
      </c>
      <c r="AI2889" t="str">
        <f>"4103010"</f>
        <v>4103010</v>
      </c>
      <c r="AJ2889" t="s">
        <v>5684</v>
      </c>
      <c r="AK2889">
        <v>2834051206</v>
      </c>
      <c r="AL2889" t="s">
        <v>5685</v>
      </c>
      <c r="AM2889" t="s">
        <v>64</v>
      </c>
      <c r="AN2889" t="s">
        <v>5672</v>
      </c>
      <c r="AO2889" t="s">
        <v>5673</v>
      </c>
      <c r="AP2889" t="s">
        <v>5674</v>
      </c>
      <c r="AQ2889">
        <v>2</v>
      </c>
      <c r="AR2889" t="s">
        <v>5644</v>
      </c>
      <c r="AS2889" t="s">
        <v>5645</v>
      </c>
      <c r="AT2889" t="s">
        <v>58</v>
      </c>
      <c r="AU2889" t="s">
        <v>68</v>
      </c>
      <c r="AV2889" t="s">
        <v>69</v>
      </c>
      <c r="AW2889" s="1">
        <v>25859</v>
      </c>
      <c r="AX2889">
        <v>2</v>
      </c>
    </row>
    <row r="2890" spans="1:50">
      <c r="A2890">
        <v>218668</v>
      </c>
      <c r="B2890" t="str">
        <f>"110735617"</f>
        <v>110735617</v>
      </c>
      <c r="C2890" t="s">
        <v>50</v>
      </c>
      <c r="D2890" t="s">
        <v>5834</v>
      </c>
      <c r="E2890" t="s">
        <v>671</v>
      </c>
      <c r="F2890" t="s">
        <v>315</v>
      </c>
      <c r="G2890" t="s">
        <v>54</v>
      </c>
      <c r="H2890" t="str">
        <f>" ΓΙΑΝΝΟΥΛΗ 8 ΡΕΘΥΜΝΟ"</f>
        <v xml:space="preserve"> ΓΙΑΝΝΟΥΛΗ 8 ΡΕΘΥΜΝΟ</v>
      </c>
      <c r="I2890">
        <v>74100</v>
      </c>
      <c r="J2890">
        <v>2831302497</v>
      </c>
      <c r="K2890">
        <v>6972391708</v>
      </c>
      <c r="M2890" t="s">
        <v>5835</v>
      </c>
      <c r="N2890" t="s">
        <v>199</v>
      </c>
      <c r="O2890" t="s">
        <v>200</v>
      </c>
      <c r="R2890" t="s">
        <v>57</v>
      </c>
      <c r="S2890">
        <v>8</v>
      </c>
      <c r="T2890">
        <v>599</v>
      </c>
      <c r="U2890" s="1">
        <v>39310</v>
      </c>
      <c r="V2890" t="s">
        <v>5644</v>
      </c>
      <c r="W2890" t="s">
        <v>5645</v>
      </c>
      <c r="X2890" t="s">
        <v>58</v>
      </c>
      <c r="Y2890">
        <v>20</v>
      </c>
      <c r="Z2890" t="s">
        <v>59</v>
      </c>
      <c r="AA2890" t="s">
        <v>59</v>
      </c>
      <c r="AB2890" t="s">
        <v>59</v>
      </c>
      <c r="AC2890" t="s">
        <v>59</v>
      </c>
      <c r="AD2890" t="s">
        <v>59</v>
      </c>
      <c r="AF2890" s="1">
        <v>39328</v>
      </c>
      <c r="AG2890" t="s">
        <v>125</v>
      </c>
      <c r="AH2890" t="s">
        <v>126</v>
      </c>
      <c r="AI2890" t="str">
        <f>"4101020"</f>
        <v>4101020</v>
      </c>
      <c r="AJ2890" t="s">
        <v>5652</v>
      </c>
      <c r="AK2890">
        <v>2831023560</v>
      </c>
      <c r="AL2890" t="s">
        <v>5653</v>
      </c>
      <c r="AM2890" t="s">
        <v>64</v>
      </c>
      <c r="AN2890" t="s">
        <v>65</v>
      </c>
      <c r="AO2890" t="s">
        <v>65</v>
      </c>
      <c r="AP2890" t="s">
        <v>65</v>
      </c>
      <c r="AQ2890">
        <v>1</v>
      </c>
      <c r="AR2890" t="s">
        <v>5644</v>
      </c>
      <c r="AS2890" t="s">
        <v>5645</v>
      </c>
      <c r="AT2890" t="s">
        <v>58</v>
      </c>
      <c r="AU2890" t="s">
        <v>68</v>
      </c>
      <c r="AV2890" t="s">
        <v>69</v>
      </c>
      <c r="AW2890" s="1">
        <v>28307</v>
      </c>
      <c r="AX2890">
        <v>2</v>
      </c>
    </row>
    <row r="2891" spans="1:50">
      <c r="A2891">
        <v>213061</v>
      </c>
      <c r="B2891" t="str">
        <f>"076083075"</f>
        <v>076083075</v>
      </c>
      <c r="C2891" t="s">
        <v>105</v>
      </c>
      <c r="D2891" t="s">
        <v>5836</v>
      </c>
      <c r="E2891" t="s">
        <v>95</v>
      </c>
      <c r="F2891" t="s">
        <v>315</v>
      </c>
      <c r="G2891" t="s">
        <v>54</v>
      </c>
      <c r="H2891" t="str">
        <f>"ΛΗΤΟΥΣ 11 ΡΕΘΥΜΝΟ"</f>
        <v>ΛΗΤΟΥΣ 11 ΡΕΘΥΜΝΟ</v>
      </c>
      <c r="I2891">
        <v>74100</v>
      </c>
      <c r="J2891">
        <v>2831501062</v>
      </c>
      <c r="K2891">
        <v>6944952212</v>
      </c>
      <c r="N2891" t="s">
        <v>1647</v>
      </c>
      <c r="O2891" t="s">
        <v>1648</v>
      </c>
      <c r="R2891" t="s">
        <v>57</v>
      </c>
      <c r="S2891">
        <v>6</v>
      </c>
      <c r="T2891">
        <v>231</v>
      </c>
      <c r="U2891" s="1">
        <v>38960</v>
      </c>
      <c r="V2891" t="s">
        <v>5644</v>
      </c>
      <c r="W2891" t="s">
        <v>5645</v>
      </c>
      <c r="X2891" t="s">
        <v>58</v>
      </c>
      <c r="Y2891">
        <v>20</v>
      </c>
      <c r="Z2891" t="s">
        <v>59</v>
      </c>
      <c r="AA2891" t="s">
        <v>59</v>
      </c>
      <c r="AB2891" t="s">
        <v>59</v>
      </c>
      <c r="AC2891" t="s">
        <v>59</v>
      </c>
      <c r="AD2891" t="s">
        <v>59</v>
      </c>
      <c r="AF2891" s="1">
        <v>38961</v>
      </c>
      <c r="AG2891" t="s">
        <v>125</v>
      </c>
      <c r="AH2891" t="s">
        <v>126</v>
      </c>
      <c r="AI2891" t="str">
        <f>"4101020"</f>
        <v>4101020</v>
      </c>
      <c r="AJ2891" t="s">
        <v>5652</v>
      </c>
      <c r="AK2891">
        <v>2831023560</v>
      </c>
      <c r="AL2891" t="s">
        <v>5653</v>
      </c>
      <c r="AM2891" t="s">
        <v>64</v>
      </c>
      <c r="AN2891" t="s">
        <v>65</v>
      </c>
      <c r="AO2891" t="s">
        <v>65</v>
      </c>
      <c r="AP2891" t="s">
        <v>65</v>
      </c>
      <c r="AQ2891">
        <v>1</v>
      </c>
      <c r="AR2891" t="s">
        <v>5644</v>
      </c>
      <c r="AS2891" t="s">
        <v>5645</v>
      </c>
      <c r="AT2891" t="s">
        <v>58</v>
      </c>
      <c r="AU2891" t="s">
        <v>68</v>
      </c>
      <c r="AV2891" t="s">
        <v>69</v>
      </c>
      <c r="AW2891" s="1">
        <v>26167</v>
      </c>
      <c r="AX2891">
        <v>2</v>
      </c>
    </row>
    <row r="2892" spans="1:50">
      <c r="A2892">
        <v>150201</v>
      </c>
      <c r="B2892" t="str">
        <f>"065515694"</f>
        <v>065515694</v>
      </c>
      <c r="C2892" t="s">
        <v>50</v>
      </c>
      <c r="D2892" t="s">
        <v>2649</v>
      </c>
      <c r="E2892" t="s">
        <v>3200</v>
      </c>
      <c r="F2892" t="s">
        <v>760</v>
      </c>
      <c r="G2892" t="s">
        <v>96</v>
      </c>
      <c r="H2892" t="str">
        <f>"AΡΗ ΒΕΛΟΥΧΙΩΤΗ 17 ΠΕΡΙΒΟΛΙΑ"</f>
        <v>AΡΗ ΒΕΛΟΥΧΙΩΤΗ 17 ΠΕΡΙΒΟΛΙΑ</v>
      </c>
      <c r="I2892">
        <v>74100</v>
      </c>
      <c r="N2892" t="s">
        <v>146</v>
      </c>
      <c r="O2892" t="s">
        <v>147</v>
      </c>
      <c r="R2892" t="s">
        <v>57</v>
      </c>
      <c r="S2892">
        <v>16</v>
      </c>
      <c r="T2892">
        <v>170</v>
      </c>
      <c r="U2892" s="1">
        <v>32016</v>
      </c>
      <c r="V2892" t="s">
        <v>5644</v>
      </c>
      <c r="W2892" t="s">
        <v>5645</v>
      </c>
      <c r="X2892" t="s">
        <v>58</v>
      </c>
      <c r="Y2892">
        <v>18</v>
      </c>
      <c r="Z2892" t="s">
        <v>59</v>
      </c>
      <c r="AA2892" t="s">
        <v>59</v>
      </c>
      <c r="AB2892" t="s">
        <v>59</v>
      </c>
      <c r="AC2892" t="s">
        <v>59</v>
      </c>
      <c r="AD2892" t="s">
        <v>59</v>
      </c>
      <c r="AF2892" s="1">
        <v>32016</v>
      </c>
      <c r="AG2892" t="s">
        <v>125</v>
      </c>
      <c r="AH2892" t="s">
        <v>126</v>
      </c>
      <c r="AI2892" t="str">
        <f>"4101010"</f>
        <v>4101010</v>
      </c>
      <c r="AJ2892" t="s">
        <v>5814</v>
      </c>
      <c r="AK2892">
        <v>2831022283</v>
      </c>
      <c r="AL2892" t="s">
        <v>5815</v>
      </c>
      <c r="AM2892" t="s">
        <v>64</v>
      </c>
      <c r="AN2892" t="s">
        <v>65</v>
      </c>
      <c r="AO2892" t="s">
        <v>65</v>
      </c>
      <c r="AP2892" t="s">
        <v>65</v>
      </c>
      <c r="AQ2892">
        <v>1</v>
      </c>
      <c r="AR2892" t="s">
        <v>5644</v>
      </c>
      <c r="AS2892" t="s">
        <v>5645</v>
      </c>
      <c r="AT2892" t="s">
        <v>58</v>
      </c>
      <c r="AU2892" t="s">
        <v>68</v>
      </c>
      <c r="AV2892" t="s">
        <v>69</v>
      </c>
      <c r="AW2892" s="1">
        <v>22272</v>
      </c>
      <c r="AX2892">
        <v>2</v>
      </c>
    </row>
    <row r="2893" spans="1:50">
      <c r="A2893">
        <v>207183</v>
      </c>
      <c r="B2893" t="str">
        <f>"039705015"</f>
        <v>039705015</v>
      </c>
      <c r="C2893" t="s">
        <v>50</v>
      </c>
      <c r="D2893" t="s">
        <v>5837</v>
      </c>
      <c r="E2893" t="s">
        <v>52</v>
      </c>
      <c r="F2893" t="s">
        <v>53</v>
      </c>
      <c r="G2893" t="s">
        <v>250</v>
      </c>
      <c r="H2893" t="str">
        <f>"ΒΙΟΛΙ ΧΑΡΑΚΙ ΡΕΘΥΜΝΟ"</f>
        <v>ΒΙΟΛΙ ΧΑΡΑΚΙ ΡΕΘΥΜΝΟ</v>
      </c>
      <c r="I2893">
        <v>74100</v>
      </c>
      <c r="J2893">
        <v>2831050535</v>
      </c>
      <c r="K2893">
        <v>6947271422</v>
      </c>
      <c r="N2893" t="s">
        <v>232</v>
      </c>
      <c r="O2893" t="s">
        <v>233</v>
      </c>
      <c r="R2893" t="s">
        <v>57</v>
      </c>
      <c r="S2893">
        <v>8</v>
      </c>
      <c r="T2893">
        <v>218</v>
      </c>
      <c r="U2893" s="1">
        <v>38596</v>
      </c>
      <c r="V2893" t="s">
        <v>5644</v>
      </c>
      <c r="W2893" t="s">
        <v>5645</v>
      </c>
      <c r="X2893" t="s">
        <v>58</v>
      </c>
      <c r="Y2893">
        <v>20</v>
      </c>
      <c r="Z2893" t="s">
        <v>59</v>
      </c>
      <c r="AA2893" t="s">
        <v>59</v>
      </c>
      <c r="AB2893" t="s">
        <v>59</v>
      </c>
      <c r="AC2893" t="s">
        <v>59</v>
      </c>
      <c r="AD2893" t="s">
        <v>59</v>
      </c>
      <c r="AF2893" s="1">
        <v>38600</v>
      </c>
      <c r="AG2893" t="s">
        <v>125</v>
      </c>
      <c r="AH2893" t="s">
        <v>126</v>
      </c>
      <c r="AI2893" t="str">
        <f>"4101020"</f>
        <v>4101020</v>
      </c>
      <c r="AJ2893" t="s">
        <v>5652</v>
      </c>
      <c r="AK2893">
        <v>2831023560</v>
      </c>
      <c r="AL2893" t="s">
        <v>5653</v>
      </c>
      <c r="AM2893" t="s">
        <v>64</v>
      </c>
      <c r="AN2893" t="s">
        <v>65</v>
      </c>
      <c r="AO2893" t="s">
        <v>65</v>
      </c>
      <c r="AP2893" t="s">
        <v>65</v>
      </c>
      <c r="AQ2893">
        <v>1</v>
      </c>
      <c r="AR2893" t="s">
        <v>5644</v>
      </c>
      <c r="AS2893" t="s">
        <v>5645</v>
      </c>
      <c r="AT2893" t="s">
        <v>58</v>
      </c>
      <c r="AU2893" t="s">
        <v>68</v>
      </c>
      <c r="AV2893" t="s">
        <v>69</v>
      </c>
      <c r="AW2893" s="1">
        <v>24914</v>
      </c>
      <c r="AX2893">
        <v>2</v>
      </c>
    </row>
    <row r="2894" spans="1:50">
      <c r="A2894">
        <v>207184</v>
      </c>
      <c r="B2894" t="str">
        <f>"045568310"</f>
        <v>045568310</v>
      </c>
      <c r="C2894" t="s">
        <v>105</v>
      </c>
      <c r="D2894" t="s">
        <v>5838</v>
      </c>
      <c r="E2894" t="s">
        <v>1493</v>
      </c>
      <c r="F2894" t="s">
        <v>95</v>
      </c>
      <c r="G2894" t="s">
        <v>5839</v>
      </c>
      <c r="H2894" t="str">
        <f>"ΑΤΣΙΠΟΠΟΥΛΟ ΤΘ 4473 ΡΕΘΥΜΝΟ"</f>
        <v>ΑΤΣΙΠΟΠΟΥΛΟ ΤΘ 4473 ΡΕΘΥΜΝΟ</v>
      </c>
      <c r="I2894">
        <v>74100</v>
      </c>
      <c r="J2894">
        <v>2831054660</v>
      </c>
      <c r="K2894">
        <v>6977042425</v>
      </c>
      <c r="N2894" t="s">
        <v>232</v>
      </c>
      <c r="O2894" t="s">
        <v>233</v>
      </c>
      <c r="R2894" t="s">
        <v>57</v>
      </c>
      <c r="S2894">
        <v>8</v>
      </c>
      <c r="T2894">
        <v>218</v>
      </c>
      <c r="U2894" s="1">
        <v>38596</v>
      </c>
      <c r="V2894" t="s">
        <v>5644</v>
      </c>
      <c r="W2894" t="s">
        <v>5645</v>
      </c>
      <c r="X2894" t="s">
        <v>58</v>
      </c>
      <c r="Y2894">
        <v>20</v>
      </c>
      <c r="Z2894" t="s">
        <v>59</v>
      </c>
      <c r="AA2894" t="s">
        <v>59</v>
      </c>
      <c r="AB2894" t="s">
        <v>59</v>
      </c>
      <c r="AC2894" t="s">
        <v>59</v>
      </c>
      <c r="AD2894" t="s">
        <v>59</v>
      </c>
      <c r="AF2894" s="1">
        <v>38596</v>
      </c>
      <c r="AG2894" t="s">
        <v>125</v>
      </c>
      <c r="AH2894" t="s">
        <v>126</v>
      </c>
      <c r="AI2894" t="str">
        <f>"4101010"</f>
        <v>4101010</v>
      </c>
      <c r="AJ2894" t="s">
        <v>5814</v>
      </c>
      <c r="AK2894">
        <v>2831022283</v>
      </c>
      <c r="AL2894" t="s">
        <v>5815</v>
      </c>
      <c r="AM2894" t="s">
        <v>64</v>
      </c>
      <c r="AN2894" t="s">
        <v>65</v>
      </c>
      <c r="AO2894" t="s">
        <v>65</v>
      </c>
      <c r="AP2894" t="s">
        <v>65</v>
      </c>
      <c r="AQ2894">
        <v>1</v>
      </c>
      <c r="AR2894" t="s">
        <v>5644</v>
      </c>
      <c r="AS2894" t="s">
        <v>5645</v>
      </c>
      <c r="AT2894" t="s">
        <v>58</v>
      </c>
      <c r="AU2894" t="s">
        <v>68</v>
      </c>
      <c r="AV2894" t="s">
        <v>69</v>
      </c>
      <c r="AW2894" s="1">
        <v>22161</v>
      </c>
      <c r="AX2894">
        <v>2</v>
      </c>
    </row>
    <row r="2895" spans="1:50">
      <c r="A2895">
        <v>219580</v>
      </c>
      <c r="B2895" t="str">
        <f>"037927962"</f>
        <v>037927962</v>
      </c>
      <c r="C2895" t="s">
        <v>105</v>
      </c>
      <c r="D2895" t="s">
        <v>5838</v>
      </c>
      <c r="E2895" t="s">
        <v>53</v>
      </c>
      <c r="F2895" t="s">
        <v>106</v>
      </c>
      <c r="G2895" t="s">
        <v>3866</v>
      </c>
      <c r="H2895" t="str">
        <f>"ΗΡΩΩΝ ΠΟΛΥΤΕΧΝΕΙΟΥ 3 ΧΑΝΙΑ"</f>
        <v>ΗΡΩΩΝ ΠΟΛΥΤΕΧΝΕΙΟΥ 3 ΧΑΝΙΑ</v>
      </c>
      <c r="I2895">
        <v>73100</v>
      </c>
      <c r="J2895">
        <v>2821027952</v>
      </c>
      <c r="K2895">
        <v>6973733196</v>
      </c>
      <c r="M2895" t="s">
        <v>5840</v>
      </c>
      <c r="N2895" t="s">
        <v>683</v>
      </c>
      <c r="O2895" t="s">
        <v>684</v>
      </c>
      <c r="R2895" t="s">
        <v>57</v>
      </c>
      <c r="S2895">
        <v>6</v>
      </c>
      <c r="T2895">
        <v>599</v>
      </c>
      <c r="U2895" s="1">
        <v>39310</v>
      </c>
      <c r="V2895" t="s">
        <v>5644</v>
      </c>
      <c r="W2895" t="s">
        <v>5645</v>
      </c>
      <c r="X2895" t="s">
        <v>58</v>
      </c>
      <c r="Y2895">
        <v>20</v>
      </c>
      <c r="Z2895" t="s">
        <v>59</v>
      </c>
      <c r="AA2895" t="s">
        <v>59</v>
      </c>
      <c r="AB2895" t="s">
        <v>59</v>
      </c>
      <c r="AC2895" t="s">
        <v>59</v>
      </c>
      <c r="AD2895" t="s">
        <v>59</v>
      </c>
      <c r="AF2895" s="1">
        <v>39328</v>
      </c>
      <c r="AG2895" t="s">
        <v>125</v>
      </c>
      <c r="AH2895" t="s">
        <v>126</v>
      </c>
      <c r="AI2895" t="str">
        <f>"4135001"</f>
        <v>4135001</v>
      </c>
      <c r="AJ2895" t="s">
        <v>5729</v>
      </c>
      <c r="AK2895">
        <v>2831073938</v>
      </c>
      <c r="AL2895" t="s">
        <v>5730</v>
      </c>
      <c r="AM2895" t="s">
        <v>64</v>
      </c>
      <c r="AN2895" t="s">
        <v>65</v>
      </c>
      <c r="AO2895" t="s">
        <v>65</v>
      </c>
      <c r="AP2895" t="s">
        <v>65</v>
      </c>
      <c r="AQ2895">
        <v>1</v>
      </c>
      <c r="AR2895" t="s">
        <v>5644</v>
      </c>
      <c r="AS2895" t="s">
        <v>5645</v>
      </c>
      <c r="AT2895" t="s">
        <v>58</v>
      </c>
      <c r="AU2895" t="s">
        <v>68</v>
      </c>
      <c r="AV2895" t="s">
        <v>132</v>
      </c>
      <c r="AW2895" s="1">
        <v>26392</v>
      </c>
      <c r="AX2895">
        <v>2</v>
      </c>
    </row>
    <row r="2896" spans="1:50">
      <c r="A2896">
        <v>192876</v>
      </c>
      <c r="B2896" t="str">
        <f>"052161376"</f>
        <v>052161376</v>
      </c>
      <c r="C2896" t="s">
        <v>105</v>
      </c>
      <c r="D2896" t="s">
        <v>5841</v>
      </c>
      <c r="E2896" t="s">
        <v>72</v>
      </c>
      <c r="F2896" t="s">
        <v>3483</v>
      </c>
      <c r="G2896" t="s">
        <v>109</v>
      </c>
      <c r="H2896" t="str">
        <f>"ΠΛ ΑΓΝΩΣΤΟΥ ΣΤΡΑΤΙΩΤΗ Κ ΓΙΑΜΠΟΥΔΑΚΗ. ΡΕΘΥΜΝΟ"</f>
        <v>ΠΛ ΑΓΝΩΣΤΟΥ ΣΤΡΑΤΙΩΤΗ Κ ΓΙΑΜΠΟΥΔΑΚΗ. ΡΕΘΥΜΝΟ</v>
      </c>
      <c r="I2896">
        <v>74100</v>
      </c>
      <c r="J2896">
        <v>2834022038</v>
      </c>
      <c r="K2896">
        <v>6972071517</v>
      </c>
      <c r="M2896" t="s">
        <v>5842</v>
      </c>
      <c r="N2896" t="s">
        <v>146</v>
      </c>
      <c r="O2896" t="s">
        <v>147</v>
      </c>
      <c r="R2896" t="s">
        <v>57</v>
      </c>
      <c r="S2896">
        <v>11</v>
      </c>
      <c r="T2896">
        <v>193</v>
      </c>
      <c r="U2896" s="1">
        <v>37497</v>
      </c>
      <c r="V2896" t="s">
        <v>5644</v>
      </c>
      <c r="W2896" t="s">
        <v>5645</v>
      </c>
      <c r="X2896" t="s">
        <v>58</v>
      </c>
      <c r="Y2896">
        <v>18</v>
      </c>
      <c r="Z2896" t="s">
        <v>59</v>
      </c>
      <c r="AA2896" t="s">
        <v>59</v>
      </c>
      <c r="AB2896" t="s">
        <v>59</v>
      </c>
      <c r="AC2896" t="s">
        <v>59</v>
      </c>
      <c r="AD2896" t="s">
        <v>59</v>
      </c>
      <c r="AF2896" s="1">
        <v>37501</v>
      </c>
      <c r="AG2896" t="s">
        <v>125</v>
      </c>
      <c r="AH2896" t="s">
        <v>126</v>
      </c>
      <c r="AI2896" t="str">
        <f>"4104010"</f>
        <v>4104010</v>
      </c>
      <c r="AJ2896" t="s">
        <v>5745</v>
      </c>
      <c r="AK2896">
        <v>2834022235</v>
      </c>
      <c r="AL2896" t="s">
        <v>5746</v>
      </c>
      <c r="AM2896" t="s">
        <v>64</v>
      </c>
      <c r="AN2896" t="s">
        <v>5672</v>
      </c>
      <c r="AO2896" t="s">
        <v>5673</v>
      </c>
      <c r="AP2896" t="s">
        <v>5689</v>
      </c>
      <c r="AQ2896">
        <v>2</v>
      </c>
      <c r="AR2896" t="s">
        <v>5644</v>
      </c>
      <c r="AS2896" t="s">
        <v>5645</v>
      </c>
      <c r="AT2896" t="s">
        <v>58</v>
      </c>
      <c r="AU2896" t="s">
        <v>68</v>
      </c>
      <c r="AV2896" t="s">
        <v>69</v>
      </c>
      <c r="AW2896" s="1">
        <v>23551</v>
      </c>
      <c r="AX2896">
        <v>2</v>
      </c>
    </row>
    <row r="2897" spans="1:50">
      <c r="A2897">
        <v>208981</v>
      </c>
      <c r="B2897" t="str">
        <f>"039643360"</f>
        <v>039643360</v>
      </c>
      <c r="C2897" t="s">
        <v>105</v>
      </c>
      <c r="D2897" t="s">
        <v>5843</v>
      </c>
      <c r="E2897" t="s">
        <v>72</v>
      </c>
      <c r="F2897" t="s">
        <v>95</v>
      </c>
      <c r="G2897" t="s">
        <v>5844</v>
      </c>
      <c r="H2897" t="str">
        <f>"ΚΑΣΤΕΛΛΑΚΙΑ 81 ΡΕΘΥΜΝΟ"</f>
        <v>ΚΑΣΤΕΛΛΑΚΙΑ 81 ΡΕΘΥΜΝΟ</v>
      </c>
      <c r="I2897">
        <v>74100</v>
      </c>
      <c r="J2897">
        <v>2831401654</v>
      </c>
      <c r="K2897">
        <v>6972848158</v>
      </c>
      <c r="M2897" t="s">
        <v>5845</v>
      </c>
      <c r="N2897" t="s">
        <v>204</v>
      </c>
      <c r="O2897" t="s">
        <v>205</v>
      </c>
      <c r="R2897" t="s">
        <v>57</v>
      </c>
      <c r="S2897">
        <v>7</v>
      </c>
      <c r="T2897">
        <v>218</v>
      </c>
      <c r="U2897" s="1">
        <v>38596</v>
      </c>
      <c r="V2897" t="s">
        <v>5644</v>
      </c>
      <c r="W2897" t="s">
        <v>5645</v>
      </c>
      <c r="X2897" t="s">
        <v>58</v>
      </c>
      <c r="Y2897">
        <v>20</v>
      </c>
      <c r="Z2897" t="s">
        <v>59</v>
      </c>
      <c r="AA2897" t="s">
        <v>59</v>
      </c>
      <c r="AB2897" t="s">
        <v>59</v>
      </c>
      <c r="AC2897" t="s">
        <v>59</v>
      </c>
      <c r="AD2897" t="s">
        <v>59</v>
      </c>
      <c r="AF2897" s="1">
        <v>38602</v>
      </c>
      <c r="AG2897" t="s">
        <v>125</v>
      </c>
      <c r="AH2897" t="s">
        <v>126</v>
      </c>
      <c r="AI2897" t="str">
        <f>"4101010"</f>
        <v>4101010</v>
      </c>
      <c r="AJ2897" t="s">
        <v>5814</v>
      </c>
      <c r="AK2897">
        <v>2831022283</v>
      </c>
      <c r="AL2897" t="s">
        <v>5815</v>
      </c>
      <c r="AM2897" t="s">
        <v>64</v>
      </c>
      <c r="AN2897" t="s">
        <v>65</v>
      </c>
      <c r="AO2897" t="s">
        <v>65</v>
      </c>
      <c r="AP2897" t="s">
        <v>65</v>
      </c>
      <c r="AQ2897">
        <v>1</v>
      </c>
      <c r="AR2897" t="s">
        <v>5644</v>
      </c>
      <c r="AS2897" t="s">
        <v>5645</v>
      </c>
      <c r="AT2897" t="s">
        <v>58</v>
      </c>
      <c r="AU2897" t="s">
        <v>68</v>
      </c>
      <c r="AV2897" t="s">
        <v>132</v>
      </c>
      <c r="AW2897" s="1">
        <v>24010</v>
      </c>
      <c r="AX2897">
        <v>2</v>
      </c>
    </row>
    <row r="2898" spans="1:50">
      <c r="A2898">
        <v>221941</v>
      </c>
      <c r="B2898" t="str">
        <f>"128321202"</f>
        <v>128321202</v>
      </c>
      <c r="C2898" t="s">
        <v>50</v>
      </c>
      <c r="D2898" t="s">
        <v>974</v>
      </c>
      <c r="E2898" t="s">
        <v>181</v>
      </c>
      <c r="F2898" t="s">
        <v>166</v>
      </c>
      <c r="G2898" t="s">
        <v>237</v>
      </c>
      <c r="H2898" t="str">
        <f>"ΑΓΙΟΥ ΛΟΥΚΑ 18 ΡΕΘΥΜΝΟ"</f>
        <v>ΑΓΙΟΥ ΛΟΥΚΑ 18 ΡΕΘΥΜΝΟ</v>
      </c>
      <c r="I2898">
        <v>74100</v>
      </c>
      <c r="J2898">
        <v>2810731214</v>
      </c>
      <c r="K2898">
        <v>6970306660</v>
      </c>
      <c r="N2898" t="s">
        <v>146</v>
      </c>
      <c r="O2898" t="s">
        <v>147</v>
      </c>
      <c r="R2898" t="s">
        <v>57</v>
      </c>
      <c r="S2898">
        <v>6</v>
      </c>
      <c r="T2898">
        <v>775</v>
      </c>
      <c r="U2898" s="1">
        <v>39680</v>
      </c>
      <c r="V2898" t="s">
        <v>5644</v>
      </c>
      <c r="W2898" t="s">
        <v>5645</v>
      </c>
      <c r="X2898" t="s">
        <v>58</v>
      </c>
      <c r="Y2898">
        <v>21</v>
      </c>
      <c r="Z2898" t="s">
        <v>59</v>
      </c>
      <c r="AA2898" t="s">
        <v>59</v>
      </c>
      <c r="AB2898" t="s">
        <v>59</v>
      </c>
      <c r="AC2898" t="s">
        <v>59</v>
      </c>
      <c r="AD2898" t="s">
        <v>59</v>
      </c>
      <c r="AF2898" s="1">
        <v>39681</v>
      </c>
      <c r="AG2898" t="s">
        <v>148</v>
      </c>
      <c r="AH2898" t="s">
        <v>149</v>
      </c>
      <c r="AI2898" t="str">
        <f>"4158010"</f>
        <v>4158010</v>
      </c>
      <c r="AJ2898" t="s">
        <v>5778</v>
      </c>
      <c r="AK2898">
        <v>2833041400</v>
      </c>
      <c r="AL2898" t="s">
        <v>5779</v>
      </c>
      <c r="AM2898" t="s">
        <v>64</v>
      </c>
      <c r="AN2898" t="s">
        <v>5713</v>
      </c>
      <c r="AO2898" t="s">
        <v>5780</v>
      </c>
      <c r="AP2898" t="s">
        <v>5781</v>
      </c>
      <c r="AQ2898">
        <v>4</v>
      </c>
      <c r="AR2898" t="s">
        <v>5644</v>
      </c>
      <c r="AS2898" t="s">
        <v>5645</v>
      </c>
      <c r="AT2898" t="s">
        <v>58</v>
      </c>
      <c r="AU2898" t="s">
        <v>68</v>
      </c>
      <c r="AV2898" t="s">
        <v>69</v>
      </c>
      <c r="AW2898" s="1">
        <v>28581</v>
      </c>
      <c r="AX2898">
        <v>2</v>
      </c>
    </row>
    <row r="2899" spans="1:50">
      <c r="A2899">
        <v>171536</v>
      </c>
      <c r="B2899" t="str">
        <f>"072787769"</f>
        <v>072787769</v>
      </c>
      <c r="C2899" t="s">
        <v>105</v>
      </c>
      <c r="D2899" t="s">
        <v>986</v>
      </c>
      <c r="E2899" t="s">
        <v>510</v>
      </c>
      <c r="F2899" t="s">
        <v>53</v>
      </c>
      <c r="G2899" t="s">
        <v>5556</v>
      </c>
      <c r="H2899" t="str">
        <f>"ΣΑΟΥΝΑΤΣΟΥ 10 ΡΕΘΥΜΝΟ"</f>
        <v>ΣΑΟΥΝΑΤΣΟΥ 10 ΡΕΘΥΜΝΟ</v>
      </c>
      <c r="I2899">
        <v>74133</v>
      </c>
      <c r="N2899" t="s">
        <v>176</v>
      </c>
      <c r="O2899" t="s">
        <v>177</v>
      </c>
      <c r="R2899" t="s">
        <v>57</v>
      </c>
      <c r="S2899">
        <v>11</v>
      </c>
      <c r="T2899">
        <v>184</v>
      </c>
      <c r="U2899" s="1">
        <v>34941</v>
      </c>
      <c r="V2899" t="s">
        <v>5644</v>
      </c>
      <c r="W2899" t="s">
        <v>5645</v>
      </c>
      <c r="X2899" t="s">
        <v>58</v>
      </c>
      <c r="Y2899">
        <v>18</v>
      </c>
      <c r="Z2899" t="s">
        <v>59</v>
      </c>
      <c r="AA2899" t="s">
        <v>59</v>
      </c>
      <c r="AB2899" t="s">
        <v>59</v>
      </c>
      <c r="AC2899" t="s">
        <v>59</v>
      </c>
      <c r="AD2899" t="s">
        <v>59</v>
      </c>
      <c r="AF2899" s="1">
        <v>34941</v>
      </c>
      <c r="AG2899" t="s">
        <v>125</v>
      </c>
      <c r="AH2899" t="s">
        <v>126</v>
      </c>
      <c r="AI2899" t="str">
        <f>"4101010"</f>
        <v>4101010</v>
      </c>
      <c r="AJ2899" t="s">
        <v>5814</v>
      </c>
      <c r="AK2899">
        <v>2831022283</v>
      </c>
      <c r="AL2899" t="s">
        <v>5815</v>
      </c>
      <c r="AM2899" t="s">
        <v>64</v>
      </c>
      <c r="AN2899" t="s">
        <v>65</v>
      </c>
      <c r="AO2899" t="s">
        <v>65</v>
      </c>
      <c r="AP2899" t="s">
        <v>65</v>
      </c>
      <c r="AQ2899">
        <v>1</v>
      </c>
      <c r="AR2899" t="s">
        <v>5644</v>
      </c>
      <c r="AS2899" t="s">
        <v>5645</v>
      </c>
      <c r="AT2899" t="s">
        <v>58</v>
      </c>
      <c r="AU2899" t="s">
        <v>68</v>
      </c>
      <c r="AV2899" t="s">
        <v>69</v>
      </c>
      <c r="AW2899" s="1">
        <v>23620</v>
      </c>
      <c r="AX2899">
        <v>2</v>
      </c>
    </row>
    <row r="2900" spans="1:50">
      <c r="A2900">
        <v>154171</v>
      </c>
      <c r="B2900" t="str">
        <f>"027518009"</f>
        <v>027518009</v>
      </c>
      <c r="C2900" t="s">
        <v>105</v>
      </c>
      <c r="D2900" t="s">
        <v>5846</v>
      </c>
      <c r="E2900" t="s">
        <v>95</v>
      </c>
      <c r="F2900" t="s">
        <v>315</v>
      </c>
      <c r="G2900" t="s">
        <v>52</v>
      </c>
      <c r="H2900" t="str">
        <f>"Ι. ΜΕΛΙΣΣΙΝΟΥ 60 ΡΕΘΥΜΝΟ"</f>
        <v>Ι. ΜΕΛΙΣΣΙΝΟΥ 60 ΡΕΘΥΜΝΟ</v>
      </c>
      <c r="I2900">
        <v>74131</v>
      </c>
      <c r="J2900">
        <v>2831027595</v>
      </c>
      <c r="K2900">
        <v>6948035735</v>
      </c>
      <c r="M2900" t="s">
        <v>5847</v>
      </c>
      <c r="N2900" t="s">
        <v>292</v>
      </c>
      <c r="O2900" t="s">
        <v>293</v>
      </c>
      <c r="R2900" t="s">
        <v>57</v>
      </c>
      <c r="S2900">
        <v>16</v>
      </c>
      <c r="T2900">
        <v>161</v>
      </c>
      <c r="U2900" s="1">
        <v>32387</v>
      </c>
      <c r="V2900" t="s">
        <v>5644</v>
      </c>
      <c r="W2900" t="s">
        <v>5645</v>
      </c>
      <c r="X2900" t="s">
        <v>58</v>
      </c>
      <c r="Y2900">
        <v>18</v>
      </c>
      <c r="Z2900" t="s">
        <v>59</v>
      </c>
      <c r="AA2900" t="s">
        <v>59</v>
      </c>
      <c r="AB2900" t="s">
        <v>59</v>
      </c>
      <c r="AC2900" t="s">
        <v>59</v>
      </c>
      <c r="AD2900" t="s">
        <v>59</v>
      </c>
      <c r="AF2900" s="1">
        <v>32387</v>
      </c>
      <c r="AG2900" t="s">
        <v>148</v>
      </c>
      <c r="AH2900" t="s">
        <v>149</v>
      </c>
      <c r="AI2900" t="str">
        <f>"4151030"</f>
        <v>4151030</v>
      </c>
      <c r="AJ2900" t="s">
        <v>5681</v>
      </c>
      <c r="AK2900">
        <v>2831023422</v>
      </c>
      <c r="AL2900" t="s">
        <v>5682</v>
      </c>
      <c r="AM2900" t="s">
        <v>64</v>
      </c>
      <c r="AN2900" t="s">
        <v>65</v>
      </c>
      <c r="AO2900" t="s">
        <v>65</v>
      </c>
      <c r="AP2900" t="s">
        <v>65</v>
      </c>
      <c r="AQ2900">
        <v>1</v>
      </c>
      <c r="AR2900" t="s">
        <v>5644</v>
      </c>
      <c r="AS2900" t="s">
        <v>5645</v>
      </c>
      <c r="AT2900" t="s">
        <v>58</v>
      </c>
      <c r="AU2900" t="s">
        <v>68</v>
      </c>
      <c r="AV2900" t="s">
        <v>69</v>
      </c>
      <c r="AW2900" s="1">
        <v>20632</v>
      </c>
      <c r="AX2900">
        <v>2</v>
      </c>
    </row>
    <row r="2901" spans="1:50">
      <c r="B2901" t="str">
        <f>"034743018"</f>
        <v>034743018</v>
      </c>
      <c r="C2901" t="s">
        <v>105</v>
      </c>
      <c r="D2901" t="s">
        <v>5846</v>
      </c>
      <c r="E2901" t="s">
        <v>920</v>
      </c>
      <c r="F2901" t="s">
        <v>377</v>
      </c>
      <c r="G2901" t="s">
        <v>3467</v>
      </c>
      <c r="H2901" t="str">
        <f>"ΑΣΚΟΥΤΣΗ 47 ΡΕΘΥΜΝΟ"</f>
        <v>ΑΣΚΟΥΤΣΗ 47 ΡΕΘΥΜΝΟ</v>
      </c>
      <c r="I2901">
        <v>74100</v>
      </c>
      <c r="J2901">
        <v>2831053405</v>
      </c>
      <c r="K2901">
        <v>6979250615</v>
      </c>
      <c r="N2901" t="s">
        <v>292</v>
      </c>
      <c r="O2901" t="s">
        <v>293</v>
      </c>
      <c r="R2901" t="s">
        <v>159</v>
      </c>
      <c r="S2901">
        <v>4</v>
      </c>
      <c r="T2901" t="s">
        <v>416</v>
      </c>
      <c r="U2901" s="1">
        <v>43349</v>
      </c>
      <c r="V2901" t="s">
        <v>5644</v>
      </c>
      <c r="W2901" t="s">
        <v>5645</v>
      </c>
      <c r="X2901" t="s">
        <v>58</v>
      </c>
      <c r="Y2901">
        <v>21</v>
      </c>
      <c r="Z2901" t="s">
        <v>59</v>
      </c>
      <c r="AA2901" t="s">
        <v>59</v>
      </c>
      <c r="AB2901" t="s">
        <v>59</v>
      </c>
      <c r="AC2901" t="s">
        <v>59</v>
      </c>
      <c r="AD2901" t="s">
        <v>59</v>
      </c>
      <c r="AF2901" s="1">
        <v>43349</v>
      </c>
      <c r="AG2901" t="s">
        <v>125</v>
      </c>
      <c r="AH2901" t="s">
        <v>126</v>
      </c>
      <c r="AI2901" t="str">
        <f>"4135001"</f>
        <v>4135001</v>
      </c>
      <c r="AJ2901" t="s">
        <v>5729</v>
      </c>
      <c r="AK2901">
        <v>2831073938</v>
      </c>
      <c r="AL2901" t="s">
        <v>5730</v>
      </c>
      <c r="AM2901" t="s">
        <v>64</v>
      </c>
      <c r="AN2901" t="s">
        <v>65</v>
      </c>
      <c r="AO2901" t="s">
        <v>65</v>
      </c>
      <c r="AP2901" t="s">
        <v>65</v>
      </c>
      <c r="AQ2901">
        <v>1</v>
      </c>
      <c r="AR2901" t="s">
        <v>5644</v>
      </c>
      <c r="AS2901" t="s">
        <v>5645</v>
      </c>
      <c r="AT2901" t="s">
        <v>58</v>
      </c>
      <c r="AU2901" t="s">
        <v>419</v>
      </c>
      <c r="AV2901" t="s">
        <v>132</v>
      </c>
      <c r="AW2901" s="1">
        <v>24065</v>
      </c>
      <c r="AX2901">
        <v>2</v>
      </c>
    </row>
    <row r="2902" spans="1:50">
      <c r="A2902">
        <v>195104</v>
      </c>
      <c r="B2902" t="str">
        <f>"044915732"</f>
        <v>044915732</v>
      </c>
      <c r="C2902" t="s">
        <v>50</v>
      </c>
      <c r="D2902" t="s">
        <v>5848</v>
      </c>
      <c r="E2902" t="s">
        <v>263</v>
      </c>
      <c r="F2902" t="s">
        <v>53</v>
      </c>
      <c r="G2902" t="s">
        <v>727</v>
      </c>
      <c r="H2902" t="str">
        <f>"ΚΟΥΡΗΤΩΝ 11 ΡΕΘΥΜΝΟ"</f>
        <v>ΚΟΥΡΗΤΩΝ 11 ΡΕΘΥΜΝΟ</v>
      </c>
      <c r="I2902">
        <v>74132</v>
      </c>
      <c r="J2902">
        <v>2831054329</v>
      </c>
      <c r="K2902">
        <v>6975933922</v>
      </c>
      <c r="M2902" t="s">
        <v>5849</v>
      </c>
      <c r="N2902" t="s">
        <v>146</v>
      </c>
      <c r="O2902" t="s">
        <v>147</v>
      </c>
      <c r="R2902" t="s">
        <v>57</v>
      </c>
      <c r="S2902">
        <v>8</v>
      </c>
      <c r="T2902">
        <v>194</v>
      </c>
      <c r="U2902" s="1">
        <v>37497</v>
      </c>
      <c r="V2902" t="s">
        <v>5644</v>
      </c>
      <c r="W2902" t="s">
        <v>5645</v>
      </c>
      <c r="X2902" t="s">
        <v>58</v>
      </c>
      <c r="Y2902">
        <v>20</v>
      </c>
      <c r="Z2902" t="s">
        <v>59</v>
      </c>
      <c r="AA2902" t="s">
        <v>59</v>
      </c>
      <c r="AB2902" t="s">
        <v>59</v>
      </c>
      <c r="AC2902" t="s">
        <v>59</v>
      </c>
      <c r="AD2902" t="s">
        <v>59</v>
      </c>
      <c r="AF2902" s="1">
        <v>37501</v>
      </c>
      <c r="AG2902" t="s">
        <v>148</v>
      </c>
      <c r="AH2902" t="s">
        <v>149</v>
      </c>
      <c r="AI2902" t="str">
        <f>"4151030"</f>
        <v>4151030</v>
      </c>
      <c r="AJ2902" t="s">
        <v>5681</v>
      </c>
      <c r="AK2902">
        <v>2831023422</v>
      </c>
      <c r="AL2902" t="s">
        <v>5682</v>
      </c>
      <c r="AM2902" t="s">
        <v>64</v>
      </c>
      <c r="AN2902" t="s">
        <v>65</v>
      </c>
      <c r="AO2902" t="s">
        <v>65</v>
      </c>
      <c r="AP2902" t="s">
        <v>65</v>
      </c>
      <c r="AQ2902">
        <v>1</v>
      </c>
      <c r="AR2902" t="s">
        <v>5644</v>
      </c>
      <c r="AS2902" t="s">
        <v>5645</v>
      </c>
      <c r="AT2902" t="s">
        <v>58</v>
      </c>
      <c r="AU2902" t="s">
        <v>68</v>
      </c>
      <c r="AV2902" t="s">
        <v>69</v>
      </c>
      <c r="AW2902" s="1">
        <v>24972</v>
      </c>
      <c r="AX2902">
        <v>2</v>
      </c>
    </row>
    <row r="2903" spans="1:50">
      <c r="A2903">
        <v>144361</v>
      </c>
      <c r="B2903" t="str">
        <f>"022242964"</f>
        <v>022242964</v>
      </c>
      <c r="C2903" t="s">
        <v>105</v>
      </c>
      <c r="D2903" t="s">
        <v>5850</v>
      </c>
      <c r="E2903" t="s">
        <v>166</v>
      </c>
      <c r="F2903" t="s">
        <v>154</v>
      </c>
      <c r="G2903" t="s">
        <v>250</v>
      </c>
      <c r="H2903" t="str">
        <f>"ΡΟΥΣΣΟΣΠΙΤΙ ΘΥΡΙΔΑ 4645 ΡΕΘΥΜΝΟ"</f>
        <v>ΡΟΥΣΣΟΣΠΙΤΙ ΘΥΡΙΔΑ 4645 ΡΕΘΥΜΝΟ</v>
      </c>
      <c r="I2903">
        <v>74100</v>
      </c>
      <c r="K2903">
        <v>6978395007</v>
      </c>
      <c r="M2903" t="s">
        <v>5851</v>
      </c>
      <c r="N2903" t="s">
        <v>199</v>
      </c>
      <c r="O2903" t="s">
        <v>200</v>
      </c>
      <c r="R2903" t="s">
        <v>57</v>
      </c>
      <c r="S2903">
        <v>19</v>
      </c>
      <c r="T2903">
        <v>262</v>
      </c>
      <c r="U2903" s="1">
        <v>30916</v>
      </c>
      <c r="V2903" t="s">
        <v>5644</v>
      </c>
      <c r="W2903" t="s">
        <v>5645</v>
      </c>
      <c r="X2903" t="s">
        <v>58</v>
      </c>
      <c r="Y2903">
        <v>18</v>
      </c>
      <c r="Z2903" t="s">
        <v>59</v>
      </c>
      <c r="AA2903" t="s">
        <v>59</v>
      </c>
      <c r="AB2903" t="s">
        <v>59</v>
      </c>
      <c r="AC2903" t="s">
        <v>59</v>
      </c>
      <c r="AD2903" t="s">
        <v>59</v>
      </c>
      <c r="AF2903" s="1">
        <v>30916</v>
      </c>
      <c r="AG2903" t="s">
        <v>148</v>
      </c>
      <c r="AH2903" t="s">
        <v>149</v>
      </c>
      <c r="AI2903" t="str">
        <f>"4151030"</f>
        <v>4151030</v>
      </c>
      <c r="AJ2903" t="s">
        <v>5681</v>
      </c>
      <c r="AK2903">
        <v>2831023422</v>
      </c>
      <c r="AL2903" t="s">
        <v>5682</v>
      </c>
      <c r="AM2903" t="s">
        <v>64</v>
      </c>
      <c r="AN2903" t="s">
        <v>65</v>
      </c>
      <c r="AO2903" t="s">
        <v>65</v>
      </c>
      <c r="AP2903" t="s">
        <v>65</v>
      </c>
      <c r="AQ2903">
        <v>1</v>
      </c>
      <c r="AR2903" t="s">
        <v>5644</v>
      </c>
      <c r="AS2903" t="s">
        <v>5645</v>
      </c>
      <c r="AT2903" t="s">
        <v>58</v>
      </c>
      <c r="AU2903" t="s">
        <v>68</v>
      </c>
      <c r="AV2903" t="s">
        <v>69</v>
      </c>
      <c r="AW2903" s="1">
        <v>19593</v>
      </c>
      <c r="AX2903">
        <v>2</v>
      </c>
    </row>
    <row r="2904" spans="1:50">
      <c r="A2904">
        <v>221670</v>
      </c>
      <c r="B2904" t="str">
        <f>"036360200"</f>
        <v>036360200</v>
      </c>
      <c r="C2904" t="s">
        <v>105</v>
      </c>
      <c r="D2904" t="s">
        <v>5850</v>
      </c>
      <c r="E2904" t="s">
        <v>377</v>
      </c>
      <c r="F2904" t="s">
        <v>92</v>
      </c>
      <c r="G2904" t="s">
        <v>255</v>
      </c>
      <c r="H2904" t="str">
        <f>"Ι.Μ.ΠΡΕΒΕΛΗ 10 ΡΕΘΥΜΝΟ"</f>
        <v>Ι.Μ.ΠΡΕΒΕΛΗ 10 ΡΕΘΥΜΝΟ</v>
      </c>
      <c r="I2904">
        <v>74100</v>
      </c>
      <c r="J2904">
        <v>2831026322</v>
      </c>
      <c r="K2904">
        <v>6972919967</v>
      </c>
      <c r="M2904" t="s">
        <v>5852</v>
      </c>
      <c r="N2904" t="s">
        <v>176</v>
      </c>
      <c r="O2904" t="s">
        <v>177</v>
      </c>
      <c r="R2904" t="s">
        <v>57</v>
      </c>
      <c r="S2904">
        <v>13</v>
      </c>
      <c r="T2904">
        <v>184</v>
      </c>
      <c r="U2904" s="1">
        <v>34941</v>
      </c>
      <c r="V2904" t="s">
        <v>5644</v>
      </c>
      <c r="W2904" t="s">
        <v>5645</v>
      </c>
      <c r="X2904" t="s">
        <v>58</v>
      </c>
      <c r="Y2904">
        <v>18</v>
      </c>
      <c r="Z2904" t="s">
        <v>59</v>
      </c>
      <c r="AA2904" t="s">
        <v>59</v>
      </c>
      <c r="AB2904" t="s">
        <v>59</v>
      </c>
      <c r="AC2904" t="s">
        <v>59</v>
      </c>
      <c r="AD2904" t="s">
        <v>59</v>
      </c>
      <c r="AF2904" s="1">
        <v>34941</v>
      </c>
      <c r="AG2904" t="s">
        <v>125</v>
      </c>
      <c r="AH2904" t="s">
        <v>126</v>
      </c>
      <c r="AI2904" t="str">
        <f>"4101020"</f>
        <v>4101020</v>
      </c>
      <c r="AJ2904" t="s">
        <v>5652</v>
      </c>
      <c r="AK2904">
        <v>2831023560</v>
      </c>
      <c r="AL2904" t="s">
        <v>5653</v>
      </c>
      <c r="AM2904" t="s">
        <v>64</v>
      </c>
      <c r="AN2904" t="s">
        <v>65</v>
      </c>
      <c r="AO2904" t="s">
        <v>65</v>
      </c>
      <c r="AP2904" t="s">
        <v>65</v>
      </c>
      <c r="AQ2904">
        <v>1</v>
      </c>
      <c r="AR2904" t="s">
        <v>5644</v>
      </c>
      <c r="AS2904" t="s">
        <v>5645</v>
      </c>
      <c r="AT2904" t="s">
        <v>58</v>
      </c>
      <c r="AU2904" t="s">
        <v>68</v>
      </c>
      <c r="AV2904" t="s">
        <v>69</v>
      </c>
      <c r="AW2904" s="1">
        <v>22905</v>
      </c>
      <c r="AX2904">
        <v>2</v>
      </c>
    </row>
    <row r="2905" spans="1:50">
      <c r="A2905">
        <v>703768</v>
      </c>
      <c r="B2905" t="str">
        <f>"064946400"</f>
        <v>064946400</v>
      </c>
      <c r="C2905" t="s">
        <v>50</v>
      </c>
      <c r="D2905" t="s">
        <v>5853</v>
      </c>
      <c r="E2905" t="s">
        <v>5854</v>
      </c>
      <c r="F2905" t="s">
        <v>202</v>
      </c>
      <c r="G2905" t="s">
        <v>237</v>
      </c>
      <c r="H2905" t="str">
        <f>"ΚΟΝΩΝΟΣ 5 ΠΑΓΚΡΑΤΙ ΑΘΗΝΑ"</f>
        <v>ΚΟΝΩΝΟΣ 5 ΠΑΓΚΡΑΤΙ ΑΘΗΝΑ</v>
      </c>
      <c r="I2905">
        <v>11634</v>
      </c>
      <c r="J2905">
        <v>2107233880</v>
      </c>
      <c r="K2905">
        <v>6976532207</v>
      </c>
      <c r="M2905" t="s">
        <v>5855</v>
      </c>
      <c r="N2905" t="s">
        <v>146</v>
      </c>
      <c r="O2905" t="s">
        <v>147</v>
      </c>
      <c r="R2905" t="s">
        <v>57</v>
      </c>
      <c r="S2905">
        <v>4</v>
      </c>
      <c r="T2905">
        <v>225</v>
      </c>
      <c r="U2905" s="1">
        <v>41695</v>
      </c>
      <c r="V2905" t="s">
        <v>5644</v>
      </c>
      <c r="W2905" t="s">
        <v>5645</v>
      </c>
      <c r="X2905" t="s">
        <v>58</v>
      </c>
      <c r="Y2905">
        <v>21</v>
      </c>
      <c r="Z2905" t="s">
        <v>59</v>
      </c>
      <c r="AA2905" t="s">
        <v>59</v>
      </c>
      <c r="AB2905" t="s">
        <v>59</v>
      </c>
      <c r="AC2905" t="s">
        <v>59</v>
      </c>
      <c r="AD2905" t="s">
        <v>59</v>
      </c>
      <c r="AF2905" s="1">
        <v>41695</v>
      </c>
      <c r="AG2905" t="s">
        <v>125</v>
      </c>
      <c r="AH2905" t="s">
        <v>126</v>
      </c>
      <c r="AI2905" t="str">
        <f>"4108010"</f>
        <v>4108010</v>
      </c>
      <c r="AJ2905" t="s">
        <v>5798</v>
      </c>
      <c r="AK2905">
        <v>2833041264</v>
      </c>
      <c r="AL2905" t="s">
        <v>5799</v>
      </c>
      <c r="AM2905" t="s">
        <v>64</v>
      </c>
      <c r="AN2905" t="s">
        <v>5713</v>
      </c>
      <c r="AO2905" t="s">
        <v>5780</v>
      </c>
      <c r="AP2905" t="s">
        <v>5781</v>
      </c>
      <c r="AQ2905">
        <v>4</v>
      </c>
      <c r="AR2905" t="s">
        <v>5644</v>
      </c>
      <c r="AS2905" t="s">
        <v>5645</v>
      </c>
      <c r="AT2905" t="s">
        <v>58</v>
      </c>
      <c r="AU2905" t="s">
        <v>68</v>
      </c>
      <c r="AV2905" t="s">
        <v>69</v>
      </c>
      <c r="AW2905" s="1">
        <v>29221</v>
      </c>
      <c r="AX2905">
        <v>2</v>
      </c>
    </row>
    <row r="2906" spans="1:50">
      <c r="A2906">
        <v>227836</v>
      </c>
      <c r="B2906" t="str">
        <f>"065736546"</f>
        <v>065736546</v>
      </c>
      <c r="C2906" t="s">
        <v>50</v>
      </c>
      <c r="D2906" t="s">
        <v>5856</v>
      </c>
      <c r="E2906" t="s">
        <v>5857</v>
      </c>
      <c r="F2906" t="s">
        <v>609</v>
      </c>
      <c r="G2906" t="s">
        <v>188</v>
      </c>
      <c r="H2906" t="str">
        <f>"ΘΕΟΦΙΛΟΥ 22 ΗΡΑΚΛΕΙΟ ΚΡΗΤΗΣ"</f>
        <v>ΘΕΟΦΙΛΟΥ 22 ΗΡΑΚΛΕΙΟ ΚΡΗΤΗΣ</v>
      </c>
      <c r="I2906">
        <v>71304</v>
      </c>
      <c r="K2906">
        <v>6947148994</v>
      </c>
      <c r="N2906" t="s">
        <v>176</v>
      </c>
      <c r="O2906" t="s">
        <v>177</v>
      </c>
      <c r="R2906" t="s">
        <v>57</v>
      </c>
      <c r="S2906">
        <v>8</v>
      </c>
      <c r="T2906">
        <v>654</v>
      </c>
      <c r="U2906" s="1">
        <v>40043</v>
      </c>
      <c r="V2906" t="s">
        <v>5644</v>
      </c>
      <c r="W2906" t="s">
        <v>5645</v>
      </c>
      <c r="X2906" t="s">
        <v>58</v>
      </c>
      <c r="Y2906">
        <v>20</v>
      </c>
      <c r="Z2906" t="s">
        <v>59</v>
      </c>
      <c r="AA2906" t="s">
        <v>59</v>
      </c>
      <c r="AB2906" t="s">
        <v>59</v>
      </c>
      <c r="AC2906" t="s">
        <v>59</v>
      </c>
      <c r="AD2906" t="s">
        <v>59</v>
      </c>
      <c r="AF2906" s="1">
        <v>40043</v>
      </c>
      <c r="AG2906" t="s">
        <v>125</v>
      </c>
      <c r="AH2906" t="s">
        <v>126</v>
      </c>
      <c r="AI2906" t="str">
        <f>"4102010"</f>
        <v>4102010</v>
      </c>
      <c r="AJ2906" t="s">
        <v>5735</v>
      </c>
      <c r="AK2906">
        <v>2834031331</v>
      </c>
      <c r="AL2906" t="s">
        <v>5736</v>
      </c>
      <c r="AM2906" t="s">
        <v>64</v>
      </c>
      <c r="AN2906" t="s">
        <v>5737</v>
      </c>
      <c r="AO2906" t="s">
        <v>5737</v>
      </c>
      <c r="AP2906" t="s">
        <v>5737</v>
      </c>
      <c r="AQ2906">
        <v>3</v>
      </c>
      <c r="AR2906" t="s">
        <v>5644</v>
      </c>
      <c r="AS2906" t="s">
        <v>5645</v>
      </c>
      <c r="AT2906" t="s">
        <v>58</v>
      </c>
      <c r="AU2906" t="s">
        <v>68</v>
      </c>
      <c r="AV2906" t="s">
        <v>132</v>
      </c>
      <c r="AW2906" s="1">
        <v>26841</v>
      </c>
      <c r="AX2906">
        <v>2</v>
      </c>
    </row>
    <row r="2907" spans="1:50">
      <c r="A2907">
        <v>217436</v>
      </c>
      <c r="B2907" t="str">
        <f>"118697480"</f>
        <v>118697480</v>
      </c>
      <c r="C2907" t="s">
        <v>50</v>
      </c>
      <c r="D2907" t="s">
        <v>4693</v>
      </c>
      <c r="E2907" t="s">
        <v>263</v>
      </c>
      <c r="F2907" t="s">
        <v>5858</v>
      </c>
      <c r="G2907" t="s">
        <v>83</v>
      </c>
      <c r="H2907" t="str">
        <f>"ΣΥΒΡΙΤΟΥ 4 ΡΕΘΥΜΝΟ"</f>
        <v>ΣΥΒΡΙΤΟΥ 4 ΡΕΘΥΜΝΟ</v>
      </c>
      <c r="I2907">
        <v>74100</v>
      </c>
      <c r="J2907">
        <v>2831058754</v>
      </c>
      <c r="K2907">
        <v>6974979869</v>
      </c>
      <c r="N2907" t="s">
        <v>146</v>
      </c>
      <c r="O2907" t="s">
        <v>147</v>
      </c>
      <c r="R2907" t="s">
        <v>57</v>
      </c>
      <c r="S2907">
        <v>6</v>
      </c>
      <c r="T2907">
        <v>599</v>
      </c>
      <c r="U2907" s="1">
        <v>39310</v>
      </c>
      <c r="V2907" t="s">
        <v>5644</v>
      </c>
      <c r="W2907" t="s">
        <v>5645</v>
      </c>
      <c r="X2907" t="s">
        <v>58</v>
      </c>
      <c r="Y2907">
        <v>20</v>
      </c>
      <c r="Z2907" t="s">
        <v>59</v>
      </c>
      <c r="AA2907" t="s">
        <v>59</v>
      </c>
      <c r="AB2907" t="s">
        <v>59</v>
      </c>
      <c r="AC2907" t="s">
        <v>59</v>
      </c>
      <c r="AD2907" t="s">
        <v>59</v>
      </c>
      <c r="AF2907" s="1">
        <v>39310</v>
      </c>
      <c r="AG2907" t="s">
        <v>125</v>
      </c>
      <c r="AH2907" t="s">
        <v>294</v>
      </c>
      <c r="AI2907" t="str">
        <f>"4101045"</f>
        <v>4101045</v>
      </c>
      <c r="AJ2907" t="s">
        <v>5677</v>
      </c>
      <c r="AK2907">
        <v>2831027553</v>
      </c>
      <c r="AL2907" t="s">
        <v>5678</v>
      </c>
      <c r="AM2907" t="s">
        <v>64</v>
      </c>
      <c r="AN2907" t="s">
        <v>65</v>
      </c>
      <c r="AO2907" t="s">
        <v>65</v>
      </c>
      <c r="AP2907" t="s">
        <v>65</v>
      </c>
      <c r="AQ2907">
        <v>1</v>
      </c>
      <c r="AR2907" t="s">
        <v>5644</v>
      </c>
      <c r="AS2907" t="s">
        <v>5645</v>
      </c>
      <c r="AT2907" t="s">
        <v>58</v>
      </c>
      <c r="AU2907" t="s">
        <v>68</v>
      </c>
      <c r="AV2907" t="s">
        <v>69</v>
      </c>
      <c r="AW2907" s="1">
        <v>27978</v>
      </c>
      <c r="AX2907">
        <v>2</v>
      </c>
    </row>
    <row r="2908" spans="1:50">
      <c r="A2908">
        <v>221965</v>
      </c>
      <c r="B2908" t="str">
        <f>"102935492"</f>
        <v>102935492</v>
      </c>
      <c r="C2908" t="s">
        <v>50</v>
      </c>
      <c r="D2908" t="s">
        <v>5859</v>
      </c>
      <c r="E2908" t="s">
        <v>5860</v>
      </c>
      <c r="F2908" t="s">
        <v>670</v>
      </c>
      <c r="G2908" t="s">
        <v>263</v>
      </c>
      <c r="H2908" t="str">
        <f>"ΕΛΕΥΘΕΡΝΑΣ 2 ΡΕΘΥΜΝΟ"</f>
        <v>ΕΛΕΥΘΕΡΝΑΣ 2 ΡΕΘΥΜΝΟ</v>
      </c>
      <c r="I2908">
        <v>74100</v>
      </c>
      <c r="J2908">
        <v>2108052677</v>
      </c>
      <c r="K2908">
        <v>6938628256</v>
      </c>
      <c r="L2908">
        <v>2831058010</v>
      </c>
      <c r="M2908" t="s">
        <v>5861</v>
      </c>
      <c r="N2908" t="s">
        <v>146</v>
      </c>
      <c r="O2908" t="s">
        <v>147</v>
      </c>
      <c r="R2908" t="s">
        <v>57</v>
      </c>
      <c r="S2908">
        <v>7</v>
      </c>
      <c r="T2908">
        <v>775</v>
      </c>
      <c r="U2908" s="1">
        <v>39680</v>
      </c>
      <c r="V2908" t="s">
        <v>5644</v>
      </c>
      <c r="W2908" t="s">
        <v>5645</v>
      </c>
      <c r="X2908" t="s">
        <v>58</v>
      </c>
      <c r="Y2908">
        <v>21</v>
      </c>
      <c r="Z2908" t="s">
        <v>59</v>
      </c>
      <c r="AA2908" t="s">
        <v>59</v>
      </c>
      <c r="AB2908" t="s">
        <v>59</v>
      </c>
      <c r="AC2908" t="s">
        <v>59</v>
      </c>
      <c r="AD2908" t="s">
        <v>59</v>
      </c>
      <c r="AF2908" s="1">
        <v>39681</v>
      </c>
      <c r="AG2908" t="s">
        <v>125</v>
      </c>
      <c r="AH2908" t="s">
        <v>294</v>
      </c>
      <c r="AI2908" t="str">
        <f>"4101045"</f>
        <v>4101045</v>
      </c>
      <c r="AJ2908" t="s">
        <v>5677</v>
      </c>
      <c r="AK2908">
        <v>2831027553</v>
      </c>
      <c r="AL2908" t="s">
        <v>5678</v>
      </c>
      <c r="AM2908" t="s">
        <v>64</v>
      </c>
      <c r="AN2908" t="s">
        <v>65</v>
      </c>
      <c r="AO2908" t="s">
        <v>65</v>
      </c>
      <c r="AP2908" t="s">
        <v>65</v>
      </c>
      <c r="AQ2908">
        <v>1</v>
      </c>
      <c r="AR2908" t="s">
        <v>5644</v>
      </c>
      <c r="AS2908" t="s">
        <v>5645</v>
      </c>
      <c r="AT2908" t="s">
        <v>58</v>
      </c>
      <c r="AU2908" t="s">
        <v>68</v>
      </c>
      <c r="AV2908" t="s">
        <v>69</v>
      </c>
      <c r="AW2908" s="1">
        <v>29198</v>
      </c>
      <c r="AX2908">
        <v>2</v>
      </c>
    </row>
    <row r="2909" spans="1:50">
      <c r="B2909" t="str">
        <f>"032123589"</f>
        <v>032123589</v>
      </c>
      <c r="C2909" t="s">
        <v>50</v>
      </c>
      <c r="D2909" t="s">
        <v>5862</v>
      </c>
      <c r="E2909" t="s">
        <v>476</v>
      </c>
      <c r="F2909" t="s">
        <v>309</v>
      </c>
      <c r="G2909" t="s">
        <v>73</v>
      </c>
      <c r="H2909" t="str">
        <f>"ΚΩΝ. ΠΑΛΑΙΟΛΟΓΟΥ 17 ΠΑΝΟΡΑΜΑ"</f>
        <v>ΚΩΝ. ΠΑΛΑΙΟΛΟΓΟΥ 17 ΠΑΝΟΡΑΜΑ</v>
      </c>
      <c r="I2909">
        <v>55236</v>
      </c>
      <c r="J2909">
        <v>2310347493</v>
      </c>
      <c r="K2909">
        <v>6977602114</v>
      </c>
      <c r="M2909" t="s">
        <v>5863</v>
      </c>
      <c r="N2909" t="s">
        <v>146</v>
      </c>
      <c r="O2909" t="s">
        <v>147</v>
      </c>
      <c r="R2909" t="s">
        <v>159</v>
      </c>
      <c r="S2909">
        <v>4</v>
      </c>
      <c r="T2909" t="s">
        <v>574</v>
      </c>
      <c r="U2909" s="1">
        <v>43378</v>
      </c>
      <c r="V2909" t="s">
        <v>5644</v>
      </c>
      <c r="W2909" t="s">
        <v>5645</v>
      </c>
      <c r="X2909" t="s">
        <v>58</v>
      </c>
      <c r="Y2909">
        <v>21</v>
      </c>
      <c r="Z2909" t="s">
        <v>59</v>
      </c>
      <c r="AA2909" t="s">
        <v>59</v>
      </c>
      <c r="AB2909" t="s">
        <v>59</v>
      </c>
      <c r="AC2909" t="s">
        <v>59</v>
      </c>
      <c r="AD2909" t="s">
        <v>59</v>
      </c>
      <c r="AF2909" s="1">
        <v>43381</v>
      </c>
      <c r="AG2909" t="s">
        <v>148</v>
      </c>
      <c r="AH2909" t="s">
        <v>149</v>
      </c>
      <c r="AI2909" t="str">
        <f>"4144003"</f>
        <v>4144003</v>
      </c>
      <c r="AJ2909" t="s">
        <v>5757</v>
      </c>
      <c r="AK2909">
        <v>2831073970</v>
      </c>
      <c r="AL2909" t="s">
        <v>5758</v>
      </c>
      <c r="AM2909" t="s">
        <v>64</v>
      </c>
      <c r="AN2909" t="s">
        <v>65</v>
      </c>
      <c r="AO2909" t="s">
        <v>65</v>
      </c>
      <c r="AP2909" t="s">
        <v>65</v>
      </c>
      <c r="AQ2909">
        <v>1</v>
      </c>
      <c r="AR2909" t="s">
        <v>5644</v>
      </c>
      <c r="AS2909" t="s">
        <v>5645</v>
      </c>
      <c r="AT2909" t="s">
        <v>58</v>
      </c>
      <c r="AU2909" t="s">
        <v>164</v>
      </c>
      <c r="AV2909" t="s">
        <v>132</v>
      </c>
      <c r="AW2909" s="1">
        <v>24828</v>
      </c>
      <c r="AX2909">
        <v>2</v>
      </c>
    </row>
    <row r="2910" spans="1:50">
      <c r="A2910">
        <v>191854</v>
      </c>
      <c r="B2910" t="str">
        <f>"049426218"</f>
        <v>049426218</v>
      </c>
      <c r="C2910" t="s">
        <v>105</v>
      </c>
      <c r="D2910" t="s">
        <v>1073</v>
      </c>
      <c r="E2910" t="s">
        <v>782</v>
      </c>
      <c r="F2910" t="s">
        <v>99</v>
      </c>
      <c r="G2910" t="s">
        <v>114</v>
      </c>
      <c r="H2910" t="str">
        <f>"ΑΓΓΕΛΙΑΝΑ ΡΕΘΥΜΝΟ"</f>
        <v>ΑΓΓΕΛΙΑΝΑ ΡΕΘΥΜΝΟ</v>
      </c>
      <c r="I2910">
        <v>74052</v>
      </c>
      <c r="J2910">
        <v>2834023497</v>
      </c>
      <c r="K2910">
        <v>6973510821</v>
      </c>
      <c r="N2910" t="s">
        <v>331</v>
      </c>
      <c r="O2910" t="s">
        <v>332</v>
      </c>
      <c r="R2910" t="s">
        <v>57</v>
      </c>
      <c r="S2910">
        <v>10</v>
      </c>
      <c r="T2910">
        <v>291</v>
      </c>
      <c r="U2910" s="1">
        <v>37218</v>
      </c>
      <c r="V2910" t="s">
        <v>5644</v>
      </c>
      <c r="W2910" t="s">
        <v>5645</v>
      </c>
      <c r="X2910" t="s">
        <v>58</v>
      </c>
      <c r="Y2910">
        <v>20</v>
      </c>
      <c r="Z2910" t="s">
        <v>59</v>
      </c>
      <c r="AA2910" t="s">
        <v>59</v>
      </c>
      <c r="AB2910" t="s">
        <v>59</v>
      </c>
      <c r="AC2910" t="s">
        <v>59</v>
      </c>
      <c r="AD2910" t="s">
        <v>59</v>
      </c>
      <c r="AF2910" s="1">
        <v>37218</v>
      </c>
      <c r="AG2910" t="s">
        <v>125</v>
      </c>
      <c r="AH2910" t="s">
        <v>126</v>
      </c>
      <c r="AI2910" t="str">
        <f>"4104010"</f>
        <v>4104010</v>
      </c>
      <c r="AJ2910" t="s">
        <v>5745</v>
      </c>
      <c r="AK2910">
        <v>2834022235</v>
      </c>
      <c r="AL2910" t="s">
        <v>5746</v>
      </c>
      <c r="AM2910" t="s">
        <v>64</v>
      </c>
      <c r="AN2910" t="s">
        <v>5672</v>
      </c>
      <c r="AO2910" t="s">
        <v>5673</v>
      </c>
      <c r="AP2910" t="s">
        <v>5689</v>
      </c>
      <c r="AQ2910">
        <v>2</v>
      </c>
      <c r="AR2910" t="s">
        <v>5644</v>
      </c>
      <c r="AS2910" t="s">
        <v>5645</v>
      </c>
      <c r="AT2910" t="s">
        <v>58</v>
      </c>
      <c r="AU2910" t="s">
        <v>68</v>
      </c>
      <c r="AV2910" t="s">
        <v>69</v>
      </c>
      <c r="AW2910" s="1">
        <v>27320</v>
      </c>
      <c r="AX2910">
        <v>2</v>
      </c>
    </row>
    <row r="2911" spans="1:50">
      <c r="A2911">
        <v>188272</v>
      </c>
      <c r="B2911" t="str">
        <f>"050287346"</f>
        <v>050287346</v>
      </c>
      <c r="C2911" t="s">
        <v>105</v>
      </c>
      <c r="D2911" t="s">
        <v>1073</v>
      </c>
      <c r="E2911" t="s">
        <v>111</v>
      </c>
      <c r="F2911" t="s">
        <v>72</v>
      </c>
      <c r="G2911" t="s">
        <v>143</v>
      </c>
      <c r="H2911" t="str">
        <f>"ΣΕΛΛΙ ΡΕΘΥΜΝΟ"</f>
        <v>ΣΕΛΛΙ ΡΕΘΥΜΝΟ</v>
      </c>
      <c r="I2911">
        <v>74100</v>
      </c>
      <c r="K2911">
        <v>6940152391</v>
      </c>
      <c r="N2911" t="s">
        <v>204</v>
      </c>
      <c r="O2911" t="s">
        <v>205</v>
      </c>
      <c r="R2911" t="s">
        <v>57</v>
      </c>
      <c r="S2911">
        <v>9</v>
      </c>
      <c r="T2911">
        <v>251</v>
      </c>
      <c r="U2911" s="1">
        <v>36769</v>
      </c>
      <c r="V2911" t="s">
        <v>5644</v>
      </c>
      <c r="W2911" t="s">
        <v>5645</v>
      </c>
      <c r="X2911" t="s">
        <v>58</v>
      </c>
      <c r="Y2911">
        <v>20</v>
      </c>
      <c r="Z2911" t="s">
        <v>59</v>
      </c>
      <c r="AA2911" t="s">
        <v>59</v>
      </c>
      <c r="AB2911" t="s">
        <v>59</v>
      </c>
      <c r="AC2911" t="s">
        <v>59</v>
      </c>
      <c r="AD2911" t="s">
        <v>59</v>
      </c>
      <c r="AF2911" s="1">
        <v>36769</v>
      </c>
      <c r="AG2911" t="s">
        <v>148</v>
      </c>
      <c r="AH2911" t="s">
        <v>149</v>
      </c>
      <c r="AI2911" t="str">
        <f>"4151020"</f>
        <v>4151020</v>
      </c>
      <c r="AJ2911" t="s">
        <v>5725</v>
      </c>
      <c r="AK2911">
        <v>2831022475</v>
      </c>
      <c r="AL2911" t="s">
        <v>5726</v>
      </c>
      <c r="AM2911" t="s">
        <v>64</v>
      </c>
      <c r="AN2911" t="s">
        <v>65</v>
      </c>
      <c r="AO2911" t="s">
        <v>65</v>
      </c>
      <c r="AP2911" t="s">
        <v>65</v>
      </c>
      <c r="AQ2911">
        <v>1</v>
      </c>
      <c r="AR2911" t="s">
        <v>5644</v>
      </c>
      <c r="AS2911" t="s">
        <v>5645</v>
      </c>
      <c r="AT2911" t="s">
        <v>58</v>
      </c>
      <c r="AU2911" t="s">
        <v>68</v>
      </c>
      <c r="AV2911" t="s">
        <v>69</v>
      </c>
      <c r="AW2911" s="1">
        <v>24016</v>
      </c>
      <c r="AX2911">
        <v>2</v>
      </c>
    </row>
    <row r="2912" spans="1:50">
      <c r="A2912">
        <v>214036</v>
      </c>
      <c r="B2912" t="str">
        <f>"100069670"</f>
        <v>100069670</v>
      </c>
      <c r="C2912" t="s">
        <v>50</v>
      </c>
      <c r="D2912" t="s">
        <v>1088</v>
      </c>
      <c r="E2912" t="s">
        <v>191</v>
      </c>
      <c r="F2912" t="s">
        <v>2933</v>
      </c>
      <c r="G2912" t="s">
        <v>109</v>
      </c>
      <c r="H2912" t="str">
        <f>"Aρη Βελουχιώτη 27 "</f>
        <v xml:space="preserve">Aρη Βελουχιώτη 27 </v>
      </c>
      <c r="I2912">
        <v>74100</v>
      </c>
      <c r="J2912">
        <v>2831055351</v>
      </c>
      <c r="K2912">
        <v>6974800216</v>
      </c>
      <c r="M2912" t="s">
        <v>5864</v>
      </c>
      <c r="N2912" t="s">
        <v>288</v>
      </c>
      <c r="O2912" t="s">
        <v>289</v>
      </c>
      <c r="R2912" t="s">
        <v>57</v>
      </c>
      <c r="S2912">
        <v>10</v>
      </c>
      <c r="T2912">
        <v>231</v>
      </c>
      <c r="U2912" s="1">
        <v>38960</v>
      </c>
      <c r="V2912" t="s">
        <v>5644</v>
      </c>
      <c r="W2912" t="s">
        <v>5645</v>
      </c>
      <c r="X2912" t="s">
        <v>58</v>
      </c>
      <c r="Y2912">
        <v>20</v>
      </c>
      <c r="Z2912" t="s">
        <v>59</v>
      </c>
      <c r="AA2912" t="s">
        <v>59</v>
      </c>
      <c r="AB2912" t="s">
        <v>59</v>
      </c>
      <c r="AC2912" t="s">
        <v>59</v>
      </c>
      <c r="AD2912" t="s">
        <v>452</v>
      </c>
      <c r="AE2912" s="1">
        <v>43708</v>
      </c>
      <c r="AF2912" s="1">
        <v>38960</v>
      </c>
      <c r="AG2912" t="s">
        <v>125</v>
      </c>
      <c r="AH2912" t="s">
        <v>5702</v>
      </c>
      <c r="AI2912" t="str">
        <f>"4101042"</f>
        <v>4101042</v>
      </c>
      <c r="AJ2912" t="s">
        <v>5703</v>
      </c>
      <c r="AK2912">
        <v>2831027230</v>
      </c>
      <c r="AL2912" t="s">
        <v>5704</v>
      </c>
      <c r="AM2912" t="s">
        <v>64</v>
      </c>
      <c r="AN2912" t="s">
        <v>65</v>
      </c>
      <c r="AO2912" t="s">
        <v>65</v>
      </c>
      <c r="AP2912" t="s">
        <v>65</v>
      </c>
      <c r="AQ2912">
        <v>1</v>
      </c>
      <c r="AR2912" t="s">
        <v>5644</v>
      </c>
      <c r="AS2912" t="s">
        <v>5645</v>
      </c>
      <c r="AT2912" t="s">
        <v>58</v>
      </c>
      <c r="AU2912" t="s">
        <v>68</v>
      </c>
      <c r="AV2912" t="s">
        <v>69</v>
      </c>
      <c r="AW2912" s="1">
        <v>25595</v>
      </c>
      <c r="AX2912">
        <v>2</v>
      </c>
    </row>
    <row r="2913" spans="1:50">
      <c r="A2913">
        <v>184648</v>
      </c>
      <c r="B2913" t="str">
        <f>"072527879"</f>
        <v>072527879</v>
      </c>
      <c r="C2913" t="s">
        <v>50</v>
      </c>
      <c r="D2913" t="s">
        <v>5865</v>
      </c>
      <c r="E2913" t="s">
        <v>783</v>
      </c>
      <c r="F2913" t="s">
        <v>99</v>
      </c>
      <c r="G2913" t="s">
        <v>620</v>
      </c>
      <c r="H2913" t="str">
        <f>"ΚΑΠΟΔΙΣΤΡΙΟΥ 63 ΡΕΘΥΜΝΟ"</f>
        <v>ΚΑΠΟΔΙΣΤΡΙΟΥ 63 ΡΕΘΥΜΝΟ</v>
      </c>
      <c r="I2913">
        <v>74100</v>
      </c>
      <c r="K2913">
        <v>6972393632</v>
      </c>
      <c r="N2913" t="s">
        <v>299</v>
      </c>
      <c r="O2913" t="s">
        <v>300</v>
      </c>
      <c r="R2913" t="s">
        <v>57</v>
      </c>
      <c r="S2913">
        <v>13</v>
      </c>
      <c r="T2913">
        <v>177</v>
      </c>
      <c r="U2913" s="1">
        <v>36403</v>
      </c>
      <c r="V2913" t="s">
        <v>5644</v>
      </c>
      <c r="W2913" t="s">
        <v>5645</v>
      </c>
      <c r="X2913" t="s">
        <v>58</v>
      </c>
      <c r="Y2913">
        <v>18</v>
      </c>
      <c r="Z2913" t="s">
        <v>59</v>
      </c>
      <c r="AA2913" t="s">
        <v>59</v>
      </c>
      <c r="AB2913" t="s">
        <v>59</v>
      </c>
      <c r="AC2913" t="s">
        <v>59</v>
      </c>
      <c r="AD2913" t="s">
        <v>59</v>
      </c>
      <c r="AF2913" s="1">
        <v>36404</v>
      </c>
      <c r="AG2913" t="s">
        <v>148</v>
      </c>
      <c r="AH2913" t="s">
        <v>149</v>
      </c>
      <c r="AI2913" t="str">
        <f>"4154010"</f>
        <v>4154010</v>
      </c>
      <c r="AJ2913" t="s">
        <v>5687</v>
      </c>
      <c r="AK2913">
        <v>2834023300</v>
      </c>
      <c r="AL2913" t="s">
        <v>5688</v>
      </c>
      <c r="AM2913" t="s">
        <v>64</v>
      </c>
      <c r="AN2913" t="s">
        <v>5672</v>
      </c>
      <c r="AO2913" t="s">
        <v>5673</v>
      </c>
      <c r="AP2913" t="s">
        <v>5689</v>
      </c>
      <c r="AQ2913">
        <v>2</v>
      </c>
      <c r="AR2913" t="s">
        <v>5644</v>
      </c>
      <c r="AS2913" t="s">
        <v>5645</v>
      </c>
      <c r="AT2913" t="s">
        <v>58</v>
      </c>
      <c r="AU2913" t="s">
        <v>68</v>
      </c>
      <c r="AV2913" t="s">
        <v>69</v>
      </c>
      <c r="AW2913" s="1">
        <v>24762</v>
      </c>
      <c r="AX2913">
        <v>2</v>
      </c>
    </row>
    <row r="2914" spans="1:50">
      <c r="A2914">
        <v>226409</v>
      </c>
      <c r="B2914" t="str">
        <f>"045735595"</f>
        <v>045735595</v>
      </c>
      <c r="C2914" t="s">
        <v>105</v>
      </c>
      <c r="D2914" t="s">
        <v>5866</v>
      </c>
      <c r="E2914" t="s">
        <v>2023</v>
      </c>
      <c r="F2914" t="s">
        <v>84</v>
      </c>
      <c r="G2914" t="s">
        <v>5867</v>
      </c>
      <c r="H2914" t="str">
        <f>"ΚΟΛΟΚΟΤΡΩΝΗ 56 ΡΕΘΥΜΝΟ"</f>
        <v>ΚΟΛΟΚΟΤΡΩΝΗ 56 ΡΕΘΥΜΝΟ</v>
      </c>
      <c r="I2914">
        <v>74100</v>
      </c>
      <c r="J2914">
        <v>2241039488</v>
      </c>
      <c r="K2914">
        <v>6945593677</v>
      </c>
      <c r="M2914" t="s">
        <v>5868</v>
      </c>
      <c r="N2914" t="s">
        <v>146</v>
      </c>
      <c r="O2914" t="s">
        <v>147</v>
      </c>
      <c r="R2914" t="s">
        <v>57</v>
      </c>
      <c r="S2914">
        <v>5</v>
      </c>
      <c r="T2914">
        <v>654</v>
      </c>
      <c r="U2914" s="1">
        <v>40043</v>
      </c>
      <c r="V2914" t="s">
        <v>5644</v>
      </c>
      <c r="W2914" t="s">
        <v>5645</v>
      </c>
      <c r="X2914" t="s">
        <v>58</v>
      </c>
      <c r="Y2914">
        <v>21</v>
      </c>
      <c r="Z2914" t="s">
        <v>59</v>
      </c>
      <c r="AA2914" t="s">
        <v>59</v>
      </c>
      <c r="AB2914" t="s">
        <v>59</v>
      </c>
      <c r="AC2914" t="s">
        <v>59</v>
      </c>
      <c r="AD2914" t="s">
        <v>59</v>
      </c>
      <c r="AF2914" s="1">
        <v>40045</v>
      </c>
      <c r="AG2914" t="s">
        <v>148</v>
      </c>
      <c r="AH2914" t="s">
        <v>149</v>
      </c>
      <c r="AI2914" t="str">
        <f>"4154010"</f>
        <v>4154010</v>
      </c>
      <c r="AJ2914" t="s">
        <v>5687</v>
      </c>
      <c r="AK2914">
        <v>2834023300</v>
      </c>
      <c r="AL2914" t="s">
        <v>5688</v>
      </c>
      <c r="AM2914" t="s">
        <v>64</v>
      </c>
      <c r="AN2914" t="s">
        <v>5672</v>
      </c>
      <c r="AO2914" t="s">
        <v>5673</v>
      </c>
      <c r="AP2914" t="s">
        <v>5689</v>
      </c>
      <c r="AQ2914">
        <v>2</v>
      </c>
      <c r="AR2914" t="s">
        <v>5644</v>
      </c>
      <c r="AS2914" t="s">
        <v>5645</v>
      </c>
      <c r="AT2914" t="s">
        <v>58</v>
      </c>
      <c r="AU2914" t="s">
        <v>68</v>
      </c>
      <c r="AV2914" t="s">
        <v>69</v>
      </c>
      <c r="AW2914" s="1">
        <v>21778</v>
      </c>
      <c r="AX2914">
        <v>2</v>
      </c>
    </row>
    <row r="2915" spans="1:50">
      <c r="A2915">
        <v>203209</v>
      </c>
      <c r="B2915" t="str">
        <f>"047082502"</f>
        <v>047082502</v>
      </c>
      <c r="C2915" t="s">
        <v>50</v>
      </c>
      <c r="D2915" t="s">
        <v>1101</v>
      </c>
      <c r="E2915" t="s">
        <v>476</v>
      </c>
      <c r="F2915" t="s">
        <v>84</v>
      </c>
      <c r="G2915" t="s">
        <v>860</v>
      </c>
      <c r="H2915" t="str">
        <f>"Χαμαλεύρι Τ.Θ. 290 ΡΕΘΥΜΝΟ"</f>
        <v>Χαμαλεύρι Τ.Θ. 290 ΡΕΘΥΜΝΟ</v>
      </c>
      <c r="I2915">
        <v>74100</v>
      </c>
      <c r="J2915">
        <v>2310438073</v>
      </c>
      <c r="K2915">
        <v>6945615919</v>
      </c>
      <c r="M2915" t="s">
        <v>5869</v>
      </c>
      <c r="N2915" t="s">
        <v>306</v>
      </c>
      <c r="O2915" t="s">
        <v>307</v>
      </c>
      <c r="R2915" t="s">
        <v>57</v>
      </c>
      <c r="S2915">
        <v>9</v>
      </c>
      <c r="T2915">
        <v>231</v>
      </c>
      <c r="U2915" s="1">
        <v>38230</v>
      </c>
      <c r="V2915" t="s">
        <v>5644</v>
      </c>
      <c r="W2915" t="s">
        <v>5645</v>
      </c>
      <c r="X2915" t="s">
        <v>58</v>
      </c>
      <c r="Y2915">
        <v>20</v>
      </c>
      <c r="Z2915" t="s">
        <v>59</v>
      </c>
      <c r="AA2915" t="s">
        <v>59</v>
      </c>
      <c r="AB2915" t="s">
        <v>59</v>
      </c>
      <c r="AC2915" t="s">
        <v>59</v>
      </c>
      <c r="AD2915" t="s">
        <v>59</v>
      </c>
      <c r="AF2915" s="1">
        <v>38230</v>
      </c>
      <c r="AG2915" t="s">
        <v>137</v>
      </c>
      <c r="AH2915" t="s">
        <v>138</v>
      </c>
      <c r="AI2915" t="str">
        <f>"4152001"</f>
        <v>4152001</v>
      </c>
      <c r="AJ2915" t="s">
        <v>5665</v>
      </c>
      <c r="AK2915">
        <v>2831024375</v>
      </c>
      <c r="AL2915" t="s">
        <v>5666</v>
      </c>
      <c r="AM2915" t="s">
        <v>64</v>
      </c>
      <c r="AN2915" t="s">
        <v>65</v>
      </c>
      <c r="AO2915" t="s">
        <v>65</v>
      </c>
      <c r="AP2915" t="s">
        <v>65</v>
      </c>
      <c r="AQ2915">
        <v>1</v>
      </c>
      <c r="AR2915" t="s">
        <v>5644</v>
      </c>
      <c r="AS2915" t="s">
        <v>5645</v>
      </c>
      <c r="AT2915" t="s">
        <v>58</v>
      </c>
      <c r="AU2915" t="s">
        <v>68</v>
      </c>
      <c r="AV2915" t="s">
        <v>69</v>
      </c>
      <c r="AW2915" s="1">
        <v>28356</v>
      </c>
      <c r="AX2915">
        <v>2</v>
      </c>
    </row>
    <row r="2916" spans="1:50">
      <c r="A2916">
        <v>226412</v>
      </c>
      <c r="B2916" t="str">
        <f>"073947614"</f>
        <v>073947614</v>
      </c>
      <c r="C2916" t="s">
        <v>50</v>
      </c>
      <c r="D2916" t="s">
        <v>5870</v>
      </c>
      <c r="E2916" t="s">
        <v>237</v>
      </c>
      <c r="F2916" t="s">
        <v>474</v>
      </c>
      <c r="G2916" t="s">
        <v>109</v>
      </c>
      <c r="H2916" t="str">
        <f>"ΚΑΛΛΙΡΟΗΣ ΠΑΡΡΕΝ ΣΙΓΑΝΟΥ 6 ΡΕΘΥΜΝΟ"</f>
        <v>ΚΑΛΛΙΡΟΗΣ ΠΑΡΡΕΝ ΣΙΓΑΝΟΥ 6 ΡΕΘΥΜΝΟ</v>
      </c>
      <c r="I2916">
        <v>74100</v>
      </c>
      <c r="J2916">
        <v>2831101551</v>
      </c>
      <c r="K2916">
        <v>6972291362</v>
      </c>
      <c r="N2916" t="s">
        <v>146</v>
      </c>
      <c r="O2916" t="s">
        <v>147</v>
      </c>
      <c r="R2916" t="s">
        <v>57</v>
      </c>
      <c r="S2916">
        <v>4</v>
      </c>
      <c r="T2916">
        <v>654</v>
      </c>
      <c r="U2916" s="1">
        <v>40043</v>
      </c>
      <c r="V2916" t="s">
        <v>5644</v>
      </c>
      <c r="W2916" t="s">
        <v>5645</v>
      </c>
      <c r="X2916" t="s">
        <v>58</v>
      </c>
      <c r="Y2916">
        <v>21</v>
      </c>
      <c r="Z2916" t="s">
        <v>59</v>
      </c>
      <c r="AA2916" t="s">
        <v>59</v>
      </c>
      <c r="AB2916" t="s">
        <v>59</v>
      </c>
      <c r="AC2916" t="s">
        <v>59</v>
      </c>
      <c r="AD2916" t="s">
        <v>59</v>
      </c>
      <c r="AF2916" s="1">
        <v>40043</v>
      </c>
      <c r="AG2916" t="s">
        <v>125</v>
      </c>
      <c r="AH2916" t="s">
        <v>126</v>
      </c>
      <c r="AI2916" t="str">
        <f>"4135001"</f>
        <v>4135001</v>
      </c>
      <c r="AJ2916" t="s">
        <v>5729</v>
      </c>
      <c r="AK2916">
        <v>2831073938</v>
      </c>
      <c r="AL2916" t="s">
        <v>5730</v>
      </c>
      <c r="AM2916" t="s">
        <v>64</v>
      </c>
      <c r="AN2916" t="s">
        <v>65</v>
      </c>
      <c r="AO2916" t="s">
        <v>65</v>
      </c>
      <c r="AP2916" t="s">
        <v>65</v>
      </c>
      <c r="AQ2916">
        <v>1</v>
      </c>
      <c r="AR2916" t="s">
        <v>5644</v>
      </c>
      <c r="AS2916" t="s">
        <v>5645</v>
      </c>
      <c r="AT2916" t="s">
        <v>58</v>
      </c>
      <c r="AU2916" t="s">
        <v>68</v>
      </c>
      <c r="AV2916" t="s">
        <v>357</v>
      </c>
      <c r="AW2916" s="1">
        <v>26749</v>
      </c>
      <c r="AX2916">
        <v>2</v>
      </c>
    </row>
    <row r="2917" spans="1:50">
      <c r="A2917">
        <v>222863</v>
      </c>
      <c r="B2917" t="str">
        <f>"100058747"</f>
        <v>100058747</v>
      </c>
      <c r="C2917" t="s">
        <v>50</v>
      </c>
      <c r="D2917" t="s">
        <v>5870</v>
      </c>
      <c r="E2917" t="s">
        <v>52</v>
      </c>
      <c r="F2917" t="s">
        <v>474</v>
      </c>
      <c r="G2917" t="s">
        <v>109</v>
      </c>
      <c r="H2917" t="str">
        <f>"ΧΡΙΣΤΟΦΟΡΑΚΗ 6 ΡΕΘΥΜΝΟ"</f>
        <v>ΧΡΙΣΤΟΦΟΡΑΚΗ 6 ΡΕΘΥΜΝΟ</v>
      </c>
      <c r="I2917">
        <v>74100</v>
      </c>
      <c r="J2917">
        <v>2821080021</v>
      </c>
      <c r="K2917">
        <v>6937035792</v>
      </c>
      <c r="N2917" t="s">
        <v>292</v>
      </c>
      <c r="O2917" t="s">
        <v>293</v>
      </c>
      <c r="R2917" t="s">
        <v>57</v>
      </c>
      <c r="S2917">
        <v>5</v>
      </c>
      <c r="T2917">
        <v>775</v>
      </c>
      <c r="U2917" s="1">
        <v>39680</v>
      </c>
      <c r="V2917" t="s">
        <v>5644</v>
      </c>
      <c r="W2917" t="s">
        <v>5645</v>
      </c>
      <c r="X2917" t="s">
        <v>58</v>
      </c>
      <c r="Y2917">
        <v>21</v>
      </c>
      <c r="Z2917" t="s">
        <v>59</v>
      </c>
      <c r="AA2917" t="s">
        <v>59</v>
      </c>
      <c r="AB2917" t="s">
        <v>59</v>
      </c>
      <c r="AC2917" t="s">
        <v>59</v>
      </c>
      <c r="AD2917" t="s">
        <v>59</v>
      </c>
      <c r="AF2917" s="1">
        <v>39681</v>
      </c>
      <c r="AG2917" t="s">
        <v>137</v>
      </c>
      <c r="AH2917" t="s">
        <v>469</v>
      </c>
      <c r="AI2917" t="str">
        <f>"4150045"</f>
        <v>4150045</v>
      </c>
      <c r="AJ2917" t="s">
        <v>5871</v>
      </c>
      <c r="AK2917">
        <v>2831022248</v>
      </c>
      <c r="AL2917" t="s">
        <v>5872</v>
      </c>
      <c r="AM2917" t="s">
        <v>64</v>
      </c>
      <c r="AN2917" t="s">
        <v>65</v>
      </c>
      <c r="AO2917" t="s">
        <v>65</v>
      </c>
      <c r="AP2917" t="s">
        <v>65</v>
      </c>
      <c r="AQ2917">
        <v>1</v>
      </c>
      <c r="AR2917" t="s">
        <v>5644</v>
      </c>
      <c r="AS2917" t="s">
        <v>5645</v>
      </c>
      <c r="AT2917" t="s">
        <v>58</v>
      </c>
      <c r="AU2917" t="s">
        <v>68</v>
      </c>
      <c r="AV2917" t="s">
        <v>357</v>
      </c>
      <c r="AW2917" s="1">
        <v>27418</v>
      </c>
      <c r="AX2917">
        <v>2</v>
      </c>
    </row>
    <row r="2918" spans="1:50">
      <c r="A2918">
        <v>704404</v>
      </c>
      <c r="B2918" t="str">
        <f>"079612597"</f>
        <v>079612597</v>
      </c>
      <c r="C2918" t="s">
        <v>50</v>
      </c>
      <c r="D2918" t="s">
        <v>5873</v>
      </c>
      <c r="E2918" t="s">
        <v>134</v>
      </c>
      <c r="F2918" t="s">
        <v>309</v>
      </c>
      <c r="G2918" t="s">
        <v>237</v>
      </c>
      <c r="H2918" t="str">
        <f>"ΜΑΚΕΔΟΝΟΜΑΧΩΝ 6 ΘΕΣ/ΝΙΚΗ"</f>
        <v>ΜΑΚΕΔΟΝΟΜΑΧΩΝ 6 ΘΕΣ/ΝΙΚΗ</v>
      </c>
      <c r="I2918">
        <v>56224</v>
      </c>
      <c r="J2918">
        <v>2310772951</v>
      </c>
      <c r="K2918">
        <v>6938655878</v>
      </c>
      <c r="M2918" t="s">
        <v>5874</v>
      </c>
      <c r="N2918" t="s">
        <v>547</v>
      </c>
      <c r="O2918" t="s">
        <v>548</v>
      </c>
      <c r="R2918" t="s">
        <v>159</v>
      </c>
      <c r="S2918">
        <v>5</v>
      </c>
      <c r="T2918">
        <v>1337</v>
      </c>
      <c r="U2918" s="1">
        <v>43090</v>
      </c>
      <c r="V2918" t="s">
        <v>5644</v>
      </c>
      <c r="W2918" t="s">
        <v>5645</v>
      </c>
      <c r="X2918" t="s">
        <v>58</v>
      </c>
      <c r="Y2918">
        <v>21</v>
      </c>
      <c r="Z2918" t="s">
        <v>59</v>
      </c>
      <c r="AA2918" t="s">
        <v>59</v>
      </c>
      <c r="AB2918" t="s">
        <v>59</v>
      </c>
      <c r="AC2918" t="s">
        <v>59</v>
      </c>
      <c r="AD2918" t="s">
        <v>59</v>
      </c>
      <c r="AF2918" s="1">
        <v>43102</v>
      </c>
      <c r="AG2918" t="s">
        <v>137</v>
      </c>
      <c r="AH2918" t="s">
        <v>469</v>
      </c>
      <c r="AI2918" t="str">
        <f>"4150045"</f>
        <v>4150045</v>
      </c>
      <c r="AJ2918" t="s">
        <v>5871</v>
      </c>
      <c r="AK2918">
        <v>2831022248</v>
      </c>
      <c r="AL2918" t="s">
        <v>5872</v>
      </c>
      <c r="AM2918" t="s">
        <v>64</v>
      </c>
      <c r="AN2918" t="s">
        <v>65</v>
      </c>
      <c r="AO2918" t="s">
        <v>65</v>
      </c>
      <c r="AP2918" t="s">
        <v>65</v>
      </c>
      <c r="AQ2918">
        <v>1</v>
      </c>
      <c r="AR2918" t="s">
        <v>5644</v>
      </c>
      <c r="AS2918" t="s">
        <v>5645</v>
      </c>
      <c r="AT2918" t="s">
        <v>58</v>
      </c>
      <c r="AU2918" t="s">
        <v>68</v>
      </c>
      <c r="AV2918" t="s">
        <v>69</v>
      </c>
      <c r="AW2918" s="1">
        <v>25788</v>
      </c>
      <c r="AX2918">
        <v>2</v>
      </c>
    </row>
    <row r="2919" spans="1:50">
      <c r="B2919" t="str">
        <f>"070285448"</f>
        <v>070285448</v>
      </c>
      <c r="C2919" t="s">
        <v>50</v>
      </c>
      <c r="D2919" t="s">
        <v>5875</v>
      </c>
      <c r="E2919" t="s">
        <v>382</v>
      </c>
      <c r="F2919" t="s">
        <v>166</v>
      </c>
      <c r="G2919" t="s">
        <v>83</v>
      </c>
      <c r="H2919" t="str">
        <f>" "</f>
        <v xml:space="preserve"> </v>
      </c>
      <c r="M2919" t="s">
        <v>5876</v>
      </c>
      <c r="N2919" t="s">
        <v>146</v>
      </c>
      <c r="O2919" t="s">
        <v>147</v>
      </c>
      <c r="R2919" t="s">
        <v>57</v>
      </c>
      <c r="S2919">
        <v>8</v>
      </c>
      <c r="T2919" t="s">
        <v>416</v>
      </c>
      <c r="U2919" s="1">
        <v>43349</v>
      </c>
      <c r="V2919" t="s">
        <v>5644</v>
      </c>
      <c r="W2919" t="s">
        <v>5645</v>
      </c>
      <c r="X2919" t="s">
        <v>58</v>
      </c>
      <c r="Y2919">
        <v>20</v>
      </c>
      <c r="Z2919" t="s">
        <v>59</v>
      </c>
      <c r="AA2919" t="s">
        <v>59</v>
      </c>
      <c r="AB2919" t="s">
        <v>59</v>
      </c>
      <c r="AC2919" t="s">
        <v>59</v>
      </c>
      <c r="AD2919" t="s">
        <v>59</v>
      </c>
      <c r="AF2919" s="1">
        <v>43349</v>
      </c>
      <c r="AG2919" t="s">
        <v>148</v>
      </c>
      <c r="AH2919" t="s">
        <v>149</v>
      </c>
      <c r="AI2919" t="str">
        <f>"4158010"</f>
        <v>4158010</v>
      </c>
      <c r="AJ2919" t="s">
        <v>5778</v>
      </c>
      <c r="AK2919">
        <v>2833041400</v>
      </c>
      <c r="AL2919" t="s">
        <v>5779</v>
      </c>
      <c r="AM2919" t="s">
        <v>64</v>
      </c>
      <c r="AN2919" t="s">
        <v>5713</v>
      </c>
      <c r="AO2919" t="s">
        <v>5780</v>
      </c>
      <c r="AP2919" t="s">
        <v>5781</v>
      </c>
      <c r="AQ2919">
        <v>4</v>
      </c>
      <c r="AR2919" t="s">
        <v>5644</v>
      </c>
      <c r="AS2919" t="s">
        <v>5645</v>
      </c>
      <c r="AT2919" t="s">
        <v>58</v>
      </c>
      <c r="AU2919" t="s">
        <v>419</v>
      </c>
      <c r="AV2919" t="s">
        <v>132</v>
      </c>
      <c r="AW2919" s="1">
        <v>27013</v>
      </c>
      <c r="AX2919">
        <v>2</v>
      </c>
    </row>
    <row r="2920" spans="1:50">
      <c r="A2920">
        <v>196970</v>
      </c>
      <c r="B2920" t="str">
        <f>"102276168"</f>
        <v>102276168</v>
      </c>
      <c r="C2920" t="s">
        <v>50</v>
      </c>
      <c r="D2920" t="s">
        <v>5877</v>
      </c>
      <c r="E2920" t="s">
        <v>4801</v>
      </c>
      <c r="F2920" t="s">
        <v>84</v>
      </c>
      <c r="G2920" t="s">
        <v>5820</v>
      </c>
      <c r="H2920" t="str">
        <f>"ΜΑΝΔΗΛΑΡΑ  7    ΜΙΣΣΙΡΙΑ ΡΕΘΥΜΝΟ"</f>
        <v>ΜΑΝΔΗΛΑΡΑ  7    ΜΙΣΣΙΡΙΑ ΡΕΘΥΜΝΟ</v>
      </c>
      <c r="I2920">
        <v>74100</v>
      </c>
      <c r="J2920">
        <v>2108320338</v>
      </c>
      <c r="K2920">
        <v>6973471495</v>
      </c>
      <c r="N2920" t="s">
        <v>146</v>
      </c>
      <c r="O2920" t="s">
        <v>147</v>
      </c>
      <c r="R2920" t="s">
        <v>57</v>
      </c>
      <c r="S2920">
        <v>7</v>
      </c>
      <c r="T2920">
        <v>206</v>
      </c>
      <c r="U2920" s="1">
        <v>37866</v>
      </c>
      <c r="V2920" t="s">
        <v>5644</v>
      </c>
      <c r="W2920" t="s">
        <v>5645</v>
      </c>
      <c r="X2920" t="s">
        <v>58</v>
      </c>
      <c r="Y2920">
        <v>20</v>
      </c>
      <c r="Z2920" t="s">
        <v>59</v>
      </c>
      <c r="AA2920" t="s">
        <v>59</v>
      </c>
      <c r="AB2920" t="s">
        <v>59</v>
      </c>
      <c r="AC2920" t="s">
        <v>59</v>
      </c>
      <c r="AD2920" t="s">
        <v>59</v>
      </c>
      <c r="AF2920" s="1">
        <v>37866</v>
      </c>
      <c r="AG2920" t="s">
        <v>125</v>
      </c>
      <c r="AH2920" t="s">
        <v>126</v>
      </c>
      <c r="AI2920" t="str">
        <f>"4135001"</f>
        <v>4135001</v>
      </c>
      <c r="AJ2920" t="s">
        <v>5729</v>
      </c>
      <c r="AK2920">
        <v>2831073938</v>
      </c>
      <c r="AL2920" t="s">
        <v>5730</v>
      </c>
      <c r="AM2920" t="s">
        <v>64</v>
      </c>
      <c r="AN2920" t="s">
        <v>65</v>
      </c>
      <c r="AO2920" t="s">
        <v>65</v>
      </c>
      <c r="AP2920" t="s">
        <v>65</v>
      </c>
      <c r="AQ2920">
        <v>1</v>
      </c>
      <c r="AR2920" t="s">
        <v>5644</v>
      </c>
      <c r="AS2920" t="s">
        <v>5645</v>
      </c>
      <c r="AT2920" t="s">
        <v>58</v>
      </c>
      <c r="AU2920" t="s">
        <v>68</v>
      </c>
      <c r="AV2920" t="s">
        <v>357</v>
      </c>
      <c r="AW2920" s="1">
        <v>28809</v>
      </c>
      <c r="AX2920">
        <v>2</v>
      </c>
    </row>
    <row r="2921" spans="1:50">
      <c r="A2921">
        <v>221741</v>
      </c>
      <c r="B2921" t="str">
        <f>"111818248"</f>
        <v>111818248</v>
      </c>
      <c r="C2921" t="s">
        <v>50</v>
      </c>
      <c r="D2921" t="s">
        <v>5878</v>
      </c>
      <c r="E2921" t="s">
        <v>155</v>
      </c>
      <c r="F2921" t="s">
        <v>95</v>
      </c>
      <c r="G2921" t="s">
        <v>174</v>
      </c>
      <c r="H2921" t="str">
        <f>"ΚΑΛΥΒΙΑ ΣΚΥΔΡΑΣ ΣΚΥΔΡΑ ΠΕΛΛΑΣ"</f>
        <v>ΚΑΛΥΒΙΑ ΣΚΥΔΡΑΣ ΣΚΥΔΡΑ ΠΕΛΛΑΣ</v>
      </c>
      <c r="I2921">
        <v>58500</v>
      </c>
      <c r="J2921">
        <v>2381061615</v>
      </c>
      <c r="K2921">
        <v>6976685085</v>
      </c>
      <c r="M2921" t="s">
        <v>5879</v>
      </c>
      <c r="N2921" t="s">
        <v>157</v>
      </c>
      <c r="O2921" t="s">
        <v>158</v>
      </c>
      <c r="R2921" t="s">
        <v>57</v>
      </c>
      <c r="S2921">
        <v>5</v>
      </c>
      <c r="T2921">
        <v>775</v>
      </c>
      <c r="U2921" s="1">
        <v>39680</v>
      </c>
      <c r="V2921" t="s">
        <v>5644</v>
      </c>
      <c r="W2921" t="s">
        <v>5645</v>
      </c>
      <c r="X2921" t="s">
        <v>58</v>
      </c>
      <c r="Y2921">
        <v>21</v>
      </c>
      <c r="Z2921" t="s">
        <v>59</v>
      </c>
      <c r="AA2921" t="s">
        <v>59</v>
      </c>
      <c r="AB2921" t="s">
        <v>59</v>
      </c>
      <c r="AC2921" t="s">
        <v>59</v>
      </c>
      <c r="AD2921" t="s">
        <v>59</v>
      </c>
      <c r="AF2921" s="1">
        <v>39685</v>
      </c>
      <c r="AG2921" t="s">
        <v>125</v>
      </c>
      <c r="AH2921" t="s">
        <v>126</v>
      </c>
      <c r="AI2921" t="str">
        <f>"4106010"</f>
        <v>4106010</v>
      </c>
      <c r="AJ2921" t="s">
        <v>5880</v>
      </c>
      <c r="AK2921">
        <v>2832022035</v>
      </c>
      <c r="AL2921" t="s">
        <v>5881</v>
      </c>
      <c r="AM2921" t="s">
        <v>64</v>
      </c>
      <c r="AN2921" t="s">
        <v>5882</v>
      </c>
      <c r="AO2921" t="s">
        <v>5883</v>
      </c>
      <c r="AP2921" t="s">
        <v>5884</v>
      </c>
      <c r="AQ2921">
        <v>5</v>
      </c>
      <c r="AR2921" t="s">
        <v>5644</v>
      </c>
      <c r="AS2921" t="s">
        <v>5645</v>
      </c>
      <c r="AT2921" t="s">
        <v>58</v>
      </c>
      <c r="AU2921" t="s">
        <v>68</v>
      </c>
      <c r="AV2921" t="s">
        <v>69</v>
      </c>
      <c r="AW2921" s="1">
        <v>28015</v>
      </c>
      <c r="AX2921">
        <v>2</v>
      </c>
    </row>
    <row r="2922" spans="1:50">
      <c r="A2922">
        <v>701743</v>
      </c>
      <c r="B2922" t="str">
        <f>"128283844"</f>
        <v>128283844</v>
      </c>
      <c r="C2922" t="s">
        <v>105</v>
      </c>
      <c r="D2922" t="s">
        <v>5885</v>
      </c>
      <c r="E2922" t="s">
        <v>957</v>
      </c>
      <c r="F2922" t="s">
        <v>309</v>
      </c>
      <c r="G2922" t="s">
        <v>52</v>
      </c>
      <c r="H2922" t="str">
        <f>"ΑΜΦΙΠΟΛΕΩΣ 36 "</f>
        <v xml:space="preserve">ΑΜΦΙΠΟΛΕΩΣ 36 </v>
      </c>
      <c r="I2922">
        <v>54454</v>
      </c>
      <c r="J2922">
        <v>2310903386</v>
      </c>
      <c r="K2922">
        <v>6974083887</v>
      </c>
      <c r="L2922">
        <v>2897032466</v>
      </c>
      <c r="N2922" t="s">
        <v>157</v>
      </c>
      <c r="O2922" t="s">
        <v>158</v>
      </c>
      <c r="R2922" t="s">
        <v>57</v>
      </c>
      <c r="S2922">
        <v>4</v>
      </c>
      <c r="T2922">
        <v>772</v>
      </c>
      <c r="U2922" s="1">
        <v>40413</v>
      </c>
      <c r="V2922" t="s">
        <v>5644</v>
      </c>
      <c r="W2922" t="s">
        <v>5645</v>
      </c>
      <c r="X2922" t="s">
        <v>58</v>
      </c>
      <c r="Y2922">
        <v>23</v>
      </c>
      <c r="Z2922" t="s">
        <v>59</v>
      </c>
      <c r="AA2922" t="s">
        <v>59</v>
      </c>
      <c r="AB2922" t="s">
        <v>59</v>
      </c>
      <c r="AC2922" t="s">
        <v>59</v>
      </c>
      <c r="AD2922" t="s">
        <v>59</v>
      </c>
      <c r="AF2922" s="1">
        <v>40415</v>
      </c>
      <c r="AG2922" t="s">
        <v>125</v>
      </c>
      <c r="AH2922" t="s">
        <v>126</v>
      </c>
      <c r="AI2922" t="str">
        <f>"4104010"</f>
        <v>4104010</v>
      </c>
      <c r="AJ2922" t="s">
        <v>5745</v>
      </c>
      <c r="AK2922">
        <v>2834022235</v>
      </c>
      <c r="AL2922" t="s">
        <v>5746</v>
      </c>
      <c r="AM2922" t="s">
        <v>64</v>
      </c>
      <c r="AN2922" t="s">
        <v>5672</v>
      </c>
      <c r="AO2922" t="s">
        <v>5673</v>
      </c>
      <c r="AP2922" t="s">
        <v>5689</v>
      </c>
      <c r="AQ2922">
        <v>2</v>
      </c>
      <c r="AR2922" t="s">
        <v>5644</v>
      </c>
      <c r="AS2922" t="s">
        <v>5645</v>
      </c>
      <c r="AT2922" t="s">
        <v>58</v>
      </c>
      <c r="AU2922" t="s">
        <v>68</v>
      </c>
      <c r="AV2922" t="s">
        <v>69</v>
      </c>
      <c r="AW2922" s="1">
        <v>31052</v>
      </c>
      <c r="AX2922">
        <v>2</v>
      </c>
    </row>
    <row r="2923" spans="1:50">
      <c r="A2923">
        <v>192458</v>
      </c>
      <c r="B2923" t="str">
        <f>"032067618"</f>
        <v>032067618</v>
      </c>
      <c r="C2923" t="s">
        <v>105</v>
      </c>
      <c r="D2923" t="s">
        <v>5886</v>
      </c>
      <c r="E2923" t="s">
        <v>53</v>
      </c>
      <c r="F2923" t="s">
        <v>940</v>
      </c>
      <c r="G2923" t="s">
        <v>5887</v>
      </c>
      <c r="H2923" t="str">
        <f>"ΓΑΛΛΟΣ "</f>
        <v xml:space="preserve">ΓΑΛΛΟΣ </v>
      </c>
      <c r="I2923">
        <v>74100</v>
      </c>
      <c r="N2923" t="s">
        <v>232</v>
      </c>
      <c r="O2923" t="s">
        <v>233</v>
      </c>
      <c r="R2923" t="s">
        <v>57</v>
      </c>
      <c r="S2923">
        <v>11</v>
      </c>
      <c r="T2923">
        <v>3</v>
      </c>
      <c r="U2923" s="1">
        <v>37263</v>
      </c>
      <c r="V2923" t="s">
        <v>5644</v>
      </c>
      <c r="W2923" t="s">
        <v>5645</v>
      </c>
      <c r="X2923" t="s">
        <v>58</v>
      </c>
      <c r="Y2923">
        <v>18</v>
      </c>
      <c r="Z2923" t="s">
        <v>59</v>
      </c>
      <c r="AA2923" t="s">
        <v>59</v>
      </c>
      <c r="AB2923" t="s">
        <v>59</v>
      </c>
      <c r="AC2923" t="s">
        <v>59</v>
      </c>
      <c r="AD2923" t="s">
        <v>59</v>
      </c>
      <c r="AF2923" s="1">
        <v>37265</v>
      </c>
      <c r="AG2923" t="s">
        <v>125</v>
      </c>
      <c r="AH2923" t="s">
        <v>126</v>
      </c>
      <c r="AI2923" t="str">
        <f>"4101040"</f>
        <v>4101040</v>
      </c>
      <c r="AJ2923" t="s">
        <v>5732</v>
      </c>
      <c r="AK2923">
        <v>2831029261</v>
      </c>
      <c r="AL2923" t="s">
        <v>5733</v>
      </c>
      <c r="AM2923" t="s">
        <v>64</v>
      </c>
      <c r="AN2923" t="s">
        <v>65</v>
      </c>
      <c r="AO2923" t="s">
        <v>65</v>
      </c>
      <c r="AP2923" t="s">
        <v>65</v>
      </c>
      <c r="AQ2923">
        <v>1</v>
      </c>
      <c r="AR2923" t="s">
        <v>5644</v>
      </c>
      <c r="AS2923" t="s">
        <v>5645</v>
      </c>
      <c r="AT2923" t="s">
        <v>58</v>
      </c>
      <c r="AU2923" t="s">
        <v>68</v>
      </c>
      <c r="AV2923" t="s">
        <v>69</v>
      </c>
      <c r="AW2923" s="1">
        <v>22235</v>
      </c>
      <c r="AX2923">
        <v>2</v>
      </c>
    </row>
    <row r="2924" spans="1:50">
      <c r="B2924" t="str">
        <f>"137492904"</f>
        <v>137492904</v>
      </c>
      <c r="C2924" t="s">
        <v>50</v>
      </c>
      <c r="D2924" t="s">
        <v>5888</v>
      </c>
      <c r="E2924" t="s">
        <v>1074</v>
      </c>
      <c r="F2924" t="s">
        <v>106</v>
      </c>
      <c r="G2924" t="s">
        <v>83</v>
      </c>
      <c r="H2924" t="str">
        <f>" "</f>
        <v xml:space="preserve"> </v>
      </c>
      <c r="N2924" t="s">
        <v>119</v>
      </c>
      <c r="O2924" t="s">
        <v>120</v>
      </c>
      <c r="R2924" t="s">
        <v>121</v>
      </c>
      <c r="S2924">
        <v>1</v>
      </c>
      <c r="T2924" t="s">
        <v>1944</v>
      </c>
      <c r="U2924" s="1">
        <v>43364</v>
      </c>
      <c r="V2924" t="s">
        <v>5644</v>
      </c>
      <c r="W2924" t="s">
        <v>5645</v>
      </c>
      <c r="X2924" t="s">
        <v>58</v>
      </c>
      <c r="Y2924">
        <v>23</v>
      </c>
      <c r="Z2924" t="s">
        <v>59</v>
      </c>
      <c r="AD2924" t="s">
        <v>59</v>
      </c>
      <c r="AF2924" s="1">
        <v>43367</v>
      </c>
      <c r="AG2924" t="s">
        <v>137</v>
      </c>
      <c r="AH2924" t="s">
        <v>138</v>
      </c>
      <c r="AI2924" t="str">
        <f>"4150040"</f>
        <v>4150040</v>
      </c>
      <c r="AJ2924" t="s">
        <v>5661</v>
      </c>
      <c r="AK2924">
        <v>2831029048</v>
      </c>
      <c r="AL2924" t="s">
        <v>5662</v>
      </c>
      <c r="AM2924" t="s">
        <v>64</v>
      </c>
      <c r="AN2924" t="s">
        <v>65</v>
      </c>
      <c r="AO2924" t="s">
        <v>65</v>
      </c>
      <c r="AP2924" t="s">
        <v>65</v>
      </c>
      <c r="AQ2924">
        <v>1</v>
      </c>
      <c r="AR2924" t="s">
        <v>5644</v>
      </c>
      <c r="AS2924" t="s">
        <v>5645</v>
      </c>
      <c r="AT2924" t="s">
        <v>58</v>
      </c>
      <c r="AU2924" t="s">
        <v>350</v>
      </c>
      <c r="AV2924" t="s">
        <v>132</v>
      </c>
      <c r="AW2924" s="1">
        <v>32679</v>
      </c>
      <c r="AX2924">
        <v>2</v>
      </c>
    </row>
    <row r="2925" spans="1:50">
      <c r="A2925">
        <v>206927</v>
      </c>
      <c r="B2925" t="str">
        <f>"043629281"</f>
        <v>043629281</v>
      </c>
      <c r="C2925" t="s">
        <v>50</v>
      </c>
      <c r="D2925" t="s">
        <v>5889</v>
      </c>
      <c r="E2925" t="s">
        <v>52</v>
      </c>
      <c r="F2925" t="s">
        <v>321</v>
      </c>
      <c r="G2925" t="s">
        <v>1408</v>
      </c>
      <c r="H2925" t="str">
        <f>"ΚΟΥΡΜΟΥΛΗ 94 ΡΕΘΥΜΝΟ"</f>
        <v>ΚΟΥΡΜΟΥΛΗ 94 ΡΕΘΥΜΝΟ</v>
      </c>
      <c r="I2925">
        <v>74100</v>
      </c>
      <c r="J2925">
        <v>2831051197</v>
      </c>
      <c r="K2925">
        <v>6984140521</v>
      </c>
      <c r="M2925" t="s">
        <v>5890</v>
      </c>
      <c r="N2925" t="s">
        <v>292</v>
      </c>
      <c r="O2925" t="s">
        <v>293</v>
      </c>
      <c r="R2925" t="s">
        <v>57</v>
      </c>
      <c r="S2925">
        <v>9</v>
      </c>
      <c r="T2925">
        <v>218</v>
      </c>
      <c r="U2925" s="1">
        <v>38596</v>
      </c>
      <c r="V2925" t="s">
        <v>5644</v>
      </c>
      <c r="W2925" t="s">
        <v>5645</v>
      </c>
      <c r="X2925" t="s">
        <v>58</v>
      </c>
      <c r="Y2925">
        <v>20</v>
      </c>
      <c r="Z2925" t="s">
        <v>59</v>
      </c>
      <c r="AA2925" t="s">
        <v>59</v>
      </c>
      <c r="AB2925" t="s">
        <v>59</v>
      </c>
      <c r="AC2925" t="s">
        <v>59</v>
      </c>
      <c r="AD2925" t="s">
        <v>59</v>
      </c>
      <c r="AF2925" s="1">
        <v>38600</v>
      </c>
      <c r="AG2925" t="s">
        <v>125</v>
      </c>
      <c r="AH2925" t="s">
        <v>126</v>
      </c>
      <c r="AI2925" t="str">
        <f>"4101030"</f>
        <v>4101030</v>
      </c>
      <c r="AJ2925" t="s">
        <v>5646</v>
      </c>
      <c r="AK2925">
        <v>2831022359</v>
      </c>
      <c r="AL2925" t="s">
        <v>5647</v>
      </c>
      <c r="AM2925" t="s">
        <v>64</v>
      </c>
      <c r="AN2925" t="s">
        <v>65</v>
      </c>
      <c r="AO2925" t="s">
        <v>65</v>
      </c>
      <c r="AP2925" t="s">
        <v>65</v>
      </c>
      <c r="AQ2925">
        <v>1</v>
      </c>
      <c r="AR2925" t="s">
        <v>5644</v>
      </c>
      <c r="AS2925" t="s">
        <v>5645</v>
      </c>
      <c r="AT2925" t="s">
        <v>58</v>
      </c>
      <c r="AU2925" t="s">
        <v>68</v>
      </c>
      <c r="AV2925" t="s">
        <v>69</v>
      </c>
      <c r="AW2925" s="1">
        <v>23007</v>
      </c>
      <c r="AX2925">
        <v>2</v>
      </c>
    </row>
    <row r="2926" spans="1:50">
      <c r="A2926">
        <v>211936</v>
      </c>
      <c r="B2926" t="str">
        <f>"065772570"</f>
        <v>065772570</v>
      </c>
      <c r="C2926" t="s">
        <v>50</v>
      </c>
      <c r="D2926" t="s">
        <v>5891</v>
      </c>
      <c r="E2926" t="s">
        <v>52</v>
      </c>
      <c r="F2926" t="s">
        <v>670</v>
      </c>
      <c r="G2926" t="s">
        <v>250</v>
      </c>
      <c r="H2926" t="str">
        <f>"Αθανασιάδη 5 "</f>
        <v xml:space="preserve">Αθανασιάδη 5 </v>
      </c>
      <c r="I2926">
        <v>74100</v>
      </c>
      <c r="J2926">
        <v>2831035624</v>
      </c>
      <c r="K2926">
        <v>6932095936</v>
      </c>
      <c r="M2926" t="s">
        <v>5892</v>
      </c>
      <c r="N2926" t="s">
        <v>146</v>
      </c>
      <c r="O2926" t="s">
        <v>147</v>
      </c>
      <c r="R2926" t="s">
        <v>57</v>
      </c>
      <c r="S2926">
        <v>8</v>
      </c>
      <c r="T2926" t="s">
        <v>5893</v>
      </c>
      <c r="U2926" s="1">
        <v>38960</v>
      </c>
      <c r="V2926" t="s">
        <v>5644</v>
      </c>
      <c r="W2926" t="s">
        <v>5645</v>
      </c>
      <c r="X2926" t="s">
        <v>58</v>
      </c>
      <c r="Y2926">
        <v>20</v>
      </c>
      <c r="Z2926" t="s">
        <v>59</v>
      </c>
      <c r="AA2926" t="s">
        <v>59</v>
      </c>
      <c r="AB2926" t="s">
        <v>59</v>
      </c>
      <c r="AC2926" t="s">
        <v>59</v>
      </c>
      <c r="AD2926" t="s">
        <v>452</v>
      </c>
      <c r="AE2926" s="1">
        <v>43708</v>
      </c>
      <c r="AF2926" s="1">
        <v>38961</v>
      </c>
      <c r="AG2926" t="s">
        <v>125</v>
      </c>
      <c r="AH2926" t="s">
        <v>5702</v>
      </c>
      <c r="AI2926" t="str">
        <f>"4101042"</f>
        <v>4101042</v>
      </c>
      <c r="AJ2926" t="s">
        <v>5703</v>
      </c>
      <c r="AK2926">
        <v>2831027230</v>
      </c>
      <c r="AL2926" t="s">
        <v>5704</v>
      </c>
      <c r="AM2926" t="s">
        <v>64</v>
      </c>
      <c r="AN2926" t="s">
        <v>65</v>
      </c>
      <c r="AO2926" t="s">
        <v>65</v>
      </c>
      <c r="AP2926" t="s">
        <v>65</v>
      </c>
      <c r="AQ2926">
        <v>1</v>
      </c>
      <c r="AR2926" t="s">
        <v>5644</v>
      </c>
      <c r="AS2926" t="s">
        <v>5645</v>
      </c>
      <c r="AT2926" t="s">
        <v>58</v>
      </c>
      <c r="AU2926" t="s">
        <v>68</v>
      </c>
      <c r="AV2926" t="s">
        <v>69</v>
      </c>
      <c r="AW2926" s="1">
        <v>27037</v>
      </c>
      <c r="AX2926">
        <v>2</v>
      </c>
    </row>
    <row r="2927" spans="1:50">
      <c r="A2927">
        <v>151726</v>
      </c>
      <c r="B2927" t="str">
        <f>"120127761"</f>
        <v>120127761</v>
      </c>
      <c r="C2927" t="s">
        <v>50</v>
      </c>
      <c r="D2927" t="s">
        <v>5894</v>
      </c>
      <c r="E2927" t="s">
        <v>783</v>
      </c>
      <c r="F2927" t="s">
        <v>202</v>
      </c>
      <c r="G2927" t="s">
        <v>155</v>
      </c>
      <c r="H2927" t="str">
        <f>"ΛΟΥΤΡΑ ΡΕΘΥΜΝΟ"</f>
        <v>ΛΟΥΤΡΑ ΡΕΘΥΜΝΟ</v>
      </c>
      <c r="I2927">
        <v>74100</v>
      </c>
      <c r="J2927">
        <v>2831072231</v>
      </c>
      <c r="K2927">
        <v>6974329816</v>
      </c>
      <c r="N2927" t="s">
        <v>257</v>
      </c>
      <c r="O2927" t="s">
        <v>258</v>
      </c>
      <c r="R2927" t="s">
        <v>57</v>
      </c>
      <c r="S2927">
        <v>15</v>
      </c>
      <c r="T2927">
        <v>170170</v>
      </c>
      <c r="U2927" s="1">
        <v>32016</v>
      </c>
      <c r="V2927" t="s">
        <v>5644</v>
      </c>
      <c r="W2927" t="s">
        <v>5645</v>
      </c>
      <c r="X2927" t="s">
        <v>58</v>
      </c>
      <c r="Y2927">
        <v>18</v>
      </c>
      <c r="Z2927" t="s">
        <v>59</v>
      </c>
      <c r="AA2927" t="s">
        <v>59</v>
      </c>
      <c r="AB2927" t="s">
        <v>59</v>
      </c>
      <c r="AC2927" t="s">
        <v>59</v>
      </c>
      <c r="AD2927" t="s">
        <v>59</v>
      </c>
      <c r="AF2927" s="1">
        <v>32016</v>
      </c>
      <c r="AG2927" t="s">
        <v>148</v>
      </c>
      <c r="AH2927" t="s">
        <v>149</v>
      </c>
      <c r="AI2927" t="str">
        <f>"4144001"</f>
        <v>4144001</v>
      </c>
      <c r="AJ2927" t="s">
        <v>5718</v>
      </c>
      <c r="AK2927">
        <v>2831033277</v>
      </c>
      <c r="AL2927" t="s">
        <v>5719</v>
      </c>
      <c r="AM2927" t="s">
        <v>64</v>
      </c>
      <c r="AN2927" t="s">
        <v>65</v>
      </c>
      <c r="AO2927" t="s">
        <v>5720</v>
      </c>
      <c r="AP2927" t="s">
        <v>5721</v>
      </c>
      <c r="AQ2927">
        <v>1</v>
      </c>
      <c r="AR2927" t="s">
        <v>5644</v>
      </c>
      <c r="AS2927" t="s">
        <v>5645</v>
      </c>
      <c r="AT2927" t="s">
        <v>58</v>
      </c>
      <c r="AU2927" t="s">
        <v>68</v>
      </c>
      <c r="AV2927" t="s">
        <v>357</v>
      </c>
      <c r="AW2927" s="1">
        <v>20160</v>
      </c>
      <c r="AX2927">
        <v>2</v>
      </c>
    </row>
    <row r="2928" spans="1:50">
      <c r="A2928">
        <v>703398</v>
      </c>
      <c r="B2928" t="str">
        <f>"066895579"</f>
        <v>066895579</v>
      </c>
      <c r="C2928" t="s">
        <v>105</v>
      </c>
      <c r="D2928" t="s">
        <v>1182</v>
      </c>
      <c r="E2928" t="s">
        <v>95</v>
      </c>
      <c r="F2928" t="s">
        <v>936</v>
      </c>
      <c r="G2928" t="s">
        <v>215</v>
      </c>
      <c r="H2928" t="str">
        <f>"ΣΤΕΦΑΝΟΥ ΣΑΡΑΦΗ 4 ΜΙΣΣΙΡΙΑ"</f>
        <v>ΣΤΕΦΑΝΟΥ ΣΑΡΑΦΗ 4 ΜΙΣΣΙΡΙΑ</v>
      </c>
      <c r="I2928">
        <v>74100</v>
      </c>
      <c r="J2928">
        <v>2109917777</v>
      </c>
      <c r="K2928">
        <v>6906231166</v>
      </c>
      <c r="N2928" t="s">
        <v>331</v>
      </c>
      <c r="O2928" t="s">
        <v>332</v>
      </c>
      <c r="R2928" t="s">
        <v>57</v>
      </c>
      <c r="S2928">
        <v>3</v>
      </c>
      <c r="T2928">
        <v>588</v>
      </c>
      <c r="U2928" s="1">
        <v>40778</v>
      </c>
      <c r="V2928" t="s">
        <v>5644</v>
      </c>
      <c r="W2928" t="s">
        <v>5645</v>
      </c>
      <c r="X2928" t="s">
        <v>58</v>
      </c>
      <c r="Y2928">
        <v>21</v>
      </c>
      <c r="Z2928" t="s">
        <v>59</v>
      </c>
      <c r="AA2928" t="s">
        <v>59</v>
      </c>
      <c r="AB2928" t="s">
        <v>59</v>
      </c>
      <c r="AC2928" t="s">
        <v>59</v>
      </c>
      <c r="AD2928" t="s">
        <v>59</v>
      </c>
      <c r="AF2928" s="1">
        <v>40785</v>
      </c>
      <c r="AG2928" t="s">
        <v>137</v>
      </c>
      <c r="AH2928" t="s">
        <v>469</v>
      </c>
      <c r="AI2928" t="str">
        <f>"4150045"</f>
        <v>4150045</v>
      </c>
      <c r="AJ2928" t="s">
        <v>5871</v>
      </c>
      <c r="AK2928">
        <v>2831022248</v>
      </c>
      <c r="AL2928" t="s">
        <v>5872</v>
      </c>
      <c r="AM2928" t="s">
        <v>64</v>
      </c>
      <c r="AN2928" t="s">
        <v>65</v>
      </c>
      <c r="AO2928" t="s">
        <v>65</v>
      </c>
      <c r="AP2928" t="s">
        <v>65</v>
      </c>
      <c r="AQ2928">
        <v>1</v>
      </c>
      <c r="AR2928" t="s">
        <v>5644</v>
      </c>
      <c r="AS2928" t="s">
        <v>5645</v>
      </c>
      <c r="AT2928" t="s">
        <v>58</v>
      </c>
      <c r="AU2928" t="s">
        <v>68</v>
      </c>
      <c r="AV2928" t="s">
        <v>69</v>
      </c>
      <c r="AW2928" s="1">
        <v>29625</v>
      </c>
      <c r="AX2928">
        <v>2</v>
      </c>
    </row>
    <row r="2929" spans="1:50">
      <c r="A2929">
        <v>175321</v>
      </c>
      <c r="B2929" t="str">
        <f>"039096395"</f>
        <v>039096395</v>
      </c>
      <c r="C2929" t="s">
        <v>50</v>
      </c>
      <c r="D2929" t="s">
        <v>5895</v>
      </c>
      <c r="E2929" t="s">
        <v>1001</v>
      </c>
      <c r="F2929" t="s">
        <v>5896</v>
      </c>
      <c r="G2929" t="s">
        <v>181</v>
      </c>
      <c r="H2929" t="str">
        <f>"ΑΜΑΛΘΕΙΑΣ  2 ΡΕΘΥΜΝΗΣ"</f>
        <v>ΑΜΑΛΘΕΙΑΣ  2 ΡΕΘΥΜΝΗΣ</v>
      </c>
      <c r="I2929">
        <v>74100</v>
      </c>
      <c r="N2929" t="s">
        <v>146</v>
      </c>
      <c r="O2929" t="s">
        <v>147</v>
      </c>
      <c r="R2929" t="s">
        <v>57</v>
      </c>
      <c r="S2929">
        <v>13</v>
      </c>
      <c r="T2929" t="s">
        <v>5897</v>
      </c>
      <c r="U2929" s="1">
        <v>35674</v>
      </c>
      <c r="V2929" t="s">
        <v>5644</v>
      </c>
      <c r="W2929" t="s">
        <v>5645</v>
      </c>
      <c r="X2929" t="s">
        <v>58</v>
      </c>
      <c r="Y2929">
        <v>18</v>
      </c>
      <c r="Z2929" t="s">
        <v>59</v>
      </c>
      <c r="AA2929" t="s">
        <v>59</v>
      </c>
      <c r="AB2929" t="s">
        <v>59</v>
      </c>
      <c r="AC2929" t="s">
        <v>59</v>
      </c>
      <c r="AD2929" t="s">
        <v>59</v>
      </c>
      <c r="AF2929" s="1">
        <v>35678</v>
      </c>
      <c r="AG2929" t="s">
        <v>125</v>
      </c>
      <c r="AH2929" t="s">
        <v>126</v>
      </c>
      <c r="AI2929" t="str">
        <f>"4110015"</f>
        <v>4110015</v>
      </c>
      <c r="AJ2929" t="s">
        <v>5723</v>
      </c>
      <c r="AK2929">
        <v>2831022741</v>
      </c>
      <c r="AL2929" t="s">
        <v>5724</v>
      </c>
      <c r="AM2929" t="s">
        <v>64</v>
      </c>
      <c r="AN2929" t="s">
        <v>65</v>
      </c>
      <c r="AO2929" t="s">
        <v>5720</v>
      </c>
      <c r="AP2929" t="s">
        <v>5721</v>
      </c>
      <c r="AQ2929">
        <v>1</v>
      </c>
      <c r="AR2929" t="s">
        <v>5644</v>
      </c>
      <c r="AS2929" t="s">
        <v>5645</v>
      </c>
      <c r="AT2929" t="s">
        <v>58</v>
      </c>
      <c r="AU2929" t="s">
        <v>68</v>
      </c>
      <c r="AV2929" t="s">
        <v>69</v>
      </c>
      <c r="AW2929" s="1">
        <v>23946</v>
      </c>
      <c r="AX2929">
        <v>2</v>
      </c>
    </row>
    <row r="2930" spans="1:50">
      <c r="B2930" t="str">
        <f>"131518267"</f>
        <v>131518267</v>
      </c>
      <c r="C2930" t="s">
        <v>50</v>
      </c>
      <c r="D2930" t="s">
        <v>1211</v>
      </c>
      <c r="E2930" t="s">
        <v>250</v>
      </c>
      <c r="F2930" t="s">
        <v>4730</v>
      </c>
      <c r="G2930" t="s">
        <v>714</v>
      </c>
      <c r="H2930" t="str">
        <f>"ΑΓΙΟΥ ΠΑΥΛΟΥ 8 ΘΕΣΣΑΛΟΝΙΚΗ"</f>
        <v>ΑΓΙΟΥ ΠΑΥΛΟΥ 8 ΘΕΣΣΑΛΟΝΙΚΗ</v>
      </c>
      <c r="I2930">
        <v>55438</v>
      </c>
      <c r="J2930">
        <v>2310211298</v>
      </c>
      <c r="K2930">
        <v>6974841986</v>
      </c>
      <c r="N2930" t="s">
        <v>536</v>
      </c>
      <c r="O2930" t="s">
        <v>537</v>
      </c>
      <c r="R2930" t="s">
        <v>159</v>
      </c>
      <c r="S2930">
        <v>4</v>
      </c>
      <c r="T2930" t="s">
        <v>1944</v>
      </c>
      <c r="U2930" s="1">
        <v>43364</v>
      </c>
      <c r="V2930" t="s">
        <v>5644</v>
      </c>
      <c r="W2930" t="s">
        <v>5645</v>
      </c>
      <c r="X2930" t="s">
        <v>58</v>
      </c>
      <c r="Y2930">
        <v>23</v>
      </c>
      <c r="Z2930" t="s">
        <v>59</v>
      </c>
      <c r="AA2930" t="s">
        <v>59</v>
      </c>
      <c r="AB2930" t="s">
        <v>59</v>
      </c>
      <c r="AC2930" t="s">
        <v>59</v>
      </c>
      <c r="AD2930" t="s">
        <v>59</v>
      </c>
      <c r="AF2930" s="1">
        <v>43367</v>
      </c>
      <c r="AG2930" t="s">
        <v>125</v>
      </c>
      <c r="AH2930" t="s">
        <v>126</v>
      </c>
      <c r="AI2930" t="str">
        <f>"4110015"</f>
        <v>4110015</v>
      </c>
      <c r="AJ2930" t="s">
        <v>5723</v>
      </c>
      <c r="AK2930">
        <v>2831022741</v>
      </c>
      <c r="AL2930" t="s">
        <v>5724</v>
      </c>
      <c r="AM2930" t="s">
        <v>64</v>
      </c>
      <c r="AN2930" t="s">
        <v>65</v>
      </c>
      <c r="AO2930" t="s">
        <v>5720</v>
      </c>
      <c r="AP2930" t="s">
        <v>5721</v>
      </c>
      <c r="AQ2930">
        <v>1</v>
      </c>
      <c r="AR2930" t="s">
        <v>5644</v>
      </c>
      <c r="AS2930" t="s">
        <v>5645</v>
      </c>
      <c r="AT2930" t="s">
        <v>58</v>
      </c>
      <c r="AU2930" t="s">
        <v>350</v>
      </c>
      <c r="AV2930" t="s">
        <v>132</v>
      </c>
      <c r="AW2930" s="1">
        <v>29244</v>
      </c>
      <c r="AX2930">
        <v>2</v>
      </c>
    </row>
    <row r="2931" spans="1:50">
      <c r="A2931">
        <v>222874</v>
      </c>
      <c r="B2931" t="str">
        <f>"079147007"</f>
        <v>079147007</v>
      </c>
      <c r="C2931" t="s">
        <v>105</v>
      </c>
      <c r="D2931" t="s">
        <v>5898</v>
      </c>
      <c r="E2931" t="s">
        <v>760</v>
      </c>
      <c r="F2931" t="s">
        <v>92</v>
      </c>
      <c r="G2931" t="s">
        <v>367</v>
      </c>
      <c r="H2931" t="str">
        <f>"ΤΡΙΑ ΜΟΝΑΣΤΗΡΙΑ ΡΕΘΥΜΝΟ"</f>
        <v>ΤΡΙΑ ΜΟΝΑΣΤΗΡΙΑ ΡΕΘΥΜΝΟ</v>
      </c>
      <c r="I2931">
        <v>74100</v>
      </c>
      <c r="J2931">
        <v>2102633501</v>
      </c>
      <c r="K2931">
        <v>6972896178</v>
      </c>
      <c r="N2931" t="s">
        <v>292</v>
      </c>
      <c r="O2931" t="s">
        <v>293</v>
      </c>
      <c r="R2931" t="s">
        <v>57</v>
      </c>
      <c r="S2931">
        <v>5</v>
      </c>
      <c r="T2931">
        <v>775</v>
      </c>
      <c r="U2931" s="1">
        <v>39680</v>
      </c>
      <c r="V2931" t="s">
        <v>5644</v>
      </c>
      <c r="W2931" t="s">
        <v>5645</v>
      </c>
      <c r="X2931" t="s">
        <v>58</v>
      </c>
      <c r="Y2931">
        <v>21</v>
      </c>
      <c r="Z2931" t="s">
        <v>59</v>
      </c>
      <c r="AA2931" t="s">
        <v>59</v>
      </c>
      <c r="AB2931" t="s">
        <v>59</v>
      </c>
      <c r="AC2931" t="s">
        <v>59</v>
      </c>
      <c r="AD2931" t="s">
        <v>59</v>
      </c>
      <c r="AF2931" s="1">
        <v>39681</v>
      </c>
      <c r="AG2931" t="s">
        <v>125</v>
      </c>
      <c r="AH2931" t="s">
        <v>126</v>
      </c>
      <c r="AI2931" t="str">
        <f>"4110015"</f>
        <v>4110015</v>
      </c>
      <c r="AJ2931" t="s">
        <v>5723</v>
      </c>
      <c r="AK2931">
        <v>2831022741</v>
      </c>
      <c r="AL2931" t="s">
        <v>5724</v>
      </c>
      <c r="AM2931" t="s">
        <v>64</v>
      </c>
      <c r="AN2931" t="s">
        <v>65</v>
      </c>
      <c r="AO2931" t="s">
        <v>5720</v>
      </c>
      <c r="AP2931" t="s">
        <v>5721</v>
      </c>
      <c r="AQ2931">
        <v>1</v>
      </c>
      <c r="AR2931" t="s">
        <v>5644</v>
      </c>
      <c r="AS2931" t="s">
        <v>5645</v>
      </c>
      <c r="AT2931" t="s">
        <v>58</v>
      </c>
      <c r="AU2931" t="s">
        <v>68</v>
      </c>
      <c r="AV2931" t="s">
        <v>69</v>
      </c>
      <c r="AW2931" s="1">
        <v>26191</v>
      </c>
      <c r="AX2931">
        <v>2</v>
      </c>
    </row>
    <row r="2932" spans="1:50">
      <c r="A2932">
        <v>214489</v>
      </c>
      <c r="B2932" t="str">
        <f>"061245059"</f>
        <v>061245059</v>
      </c>
      <c r="C2932" t="s">
        <v>105</v>
      </c>
      <c r="D2932" t="s">
        <v>5898</v>
      </c>
      <c r="E2932" t="s">
        <v>153</v>
      </c>
      <c r="F2932" t="s">
        <v>4097</v>
      </c>
      <c r="G2932" t="s">
        <v>118</v>
      </c>
      <c r="H2932" t="str">
        <f>"ΤΙΜΟΛΕΟΝΤΟΣ ΒΑΣΟΥ 4 ΡΕΘΥΜΝΟ"</f>
        <v>ΤΙΜΟΛΕΟΝΤΟΣ ΒΑΣΟΥ 4 ΡΕΘΥΜΝΟ</v>
      </c>
      <c r="I2932">
        <v>74132</v>
      </c>
      <c r="J2932">
        <v>2831023309</v>
      </c>
      <c r="K2932">
        <v>6932004002</v>
      </c>
      <c r="N2932" t="s">
        <v>176</v>
      </c>
      <c r="O2932" t="s">
        <v>177</v>
      </c>
      <c r="R2932" t="s">
        <v>57</v>
      </c>
      <c r="S2932">
        <v>7</v>
      </c>
      <c r="T2932">
        <v>231</v>
      </c>
      <c r="U2932" s="1">
        <v>38960</v>
      </c>
      <c r="V2932" t="s">
        <v>5644</v>
      </c>
      <c r="W2932" t="s">
        <v>5645</v>
      </c>
      <c r="X2932" t="s">
        <v>58</v>
      </c>
      <c r="Y2932">
        <v>20</v>
      </c>
      <c r="Z2932" t="s">
        <v>59</v>
      </c>
      <c r="AA2932" t="s">
        <v>59</v>
      </c>
      <c r="AB2932" t="s">
        <v>59</v>
      </c>
      <c r="AC2932" t="s">
        <v>59</v>
      </c>
      <c r="AD2932" t="s">
        <v>59</v>
      </c>
      <c r="AF2932" s="1">
        <v>38961</v>
      </c>
      <c r="AG2932" t="s">
        <v>125</v>
      </c>
      <c r="AH2932" t="s">
        <v>126</v>
      </c>
      <c r="AI2932" t="str">
        <f>"4101040"</f>
        <v>4101040</v>
      </c>
      <c r="AJ2932" t="s">
        <v>5732</v>
      </c>
      <c r="AK2932">
        <v>2831029261</v>
      </c>
      <c r="AL2932" t="s">
        <v>5733</v>
      </c>
      <c r="AM2932" t="s">
        <v>64</v>
      </c>
      <c r="AN2932" t="s">
        <v>65</v>
      </c>
      <c r="AO2932" t="s">
        <v>65</v>
      </c>
      <c r="AP2932" t="s">
        <v>65</v>
      </c>
      <c r="AQ2932">
        <v>1</v>
      </c>
      <c r="AR2932" t="s">
        <v>5644</v>
      </c>
      <c r="AS2932" t="s">
        <v>5645</v>
      </c>
      <c r="AT2932" t="s">
        <v>58</v>
      </c>
      <c r="AU2932" t="s">
        <v>68</v>
      </c>
      <c r="AV2932" t="s">
        <v>132</v>
      </c>
      <c r="AW2932" s="1">
        <v>25683</v>
      </c>
      <c r="AX2932">
        <v>2</v>
      </c>
    </row>
    <row r="2933" spans="1:50">
      <c r="A2933">
        <v>195139</v>
      </c>
      <c r="B2933" t="str">
        <f>"048027560"</f>
        <v>048027560</v>
      </c>
      <c r="C2933" t="s">
        <v>50</v>
      </c>
      <c r="D2933" t="s">
        <v>5899</v>
      </c>
      <c r="E2933" t="s">
        <v>263</v>
      </c>
      <c r="F2933" t="s">
        <v>166</v>
      </c>
      <c r="G2933" t="s">
        <v>73</v>
      </c>
      <c r="H2933" t="str">
        <f>"ΤΡΙΑ ΜΟΝΑΣΤΗΡΙΑ ΤΘ. 2331 ΡΕΘΥΜΝΟ"</f>
        <v>ΤΡΙΑ ΜΟΝΑΣΤΗΡΙΑ ΤΘ. 2331 ΡΕΘΥΜΝΟ</v>
      </c>
      <c r="I2933">
        <v>74100</v>
      </c>
      <c r="J2933">
        <v>2821031522</v>
      </c>
      <c r="K2933">
        <v>6976623351</v>
      </c>
      <c r="N2933" t="s">
        <v>146</v>
      </c>
      <c r="O2933" t="s">
        <v>147</v>
      </c>
      <c r="R2933" t="s">
        <v>57</v>
      </c>
      <c r="S2933">
        <v>8</v>
      </c>
      <c r="T2933">
        <v>194</v>
      </c>
      <c r="U2933" s="1">
        <v>37497</v>
      </c>
      <c r="V2933" t="s">
        <v>5644</v>
      </c>
      <c r="W2933" t="s">
        <v>5645</v>
      </c>
      <c r="X2933" t="s">
        <v>58</v>
      </c>
      <c r="Y2933">
        <v>20</v>
      </c>
      <c r="Z2933" t="s">
        <v>59</v>
      </c>
      <c r="AA2933" t="s">
        <v>59</v>
      </c>
      <c r="AB2933" t="s">
        <v>59</v>
      </c>
      <c r="AC2933" t="s">
        <v>59</v>
      </c>
      <c r="AD2933" t="s">
        <v>59</v>
      </c>
      <c r="AF2933" s="1">
        <v>37497</v>
      </c>
      <c r="AG2933" t="s">
        <v>125</v>
      </c>
      <c r="AH2933" t="s">
        <v>126</v>
      </c>
      <c r="AI2933" t="str">
        <f>"4101010"</f>
        <v>4101010</v>
      </c>
      <c r="AJ2933" t="s">
        <v>5814</v>
      </c>
      <c r="AK2933">
        <v>2831022283</v>
      </c>
      <c r="AL2933" t="s">
        <v>5815</v>
      </c>
      <c r="AM2933" t="s">
        <v>64</v>
      </c>
      <c r="AN2933" t="s">
        <v>65</v>
      </c>
      <c r="AO2933" t="s">
        <v>65</v>
      </c>
      <c r="AP2933" t="s">
        <v>65</v>
      </c>
      <c r="AQ2933">
        <v>1</v>
      </c>
      <c r="AR2933" t="s">
        <v>5644</v>
      </c>
      <c r="AS2933" t="s">
        <v>5645</v>
      </c>
      <c r="AT2933" t="s">
        <v>58</v>
      </c>
      <c r="AU2933" t="s">
        <v>68</v>
      </c>
      <c r="AV2933" t="s">
        <v>69</v>
      </c>
      <c r="AW2933" s="1">
        <v>27500</v>
      </c>
      <c r="AX2933">
        <v>2</v>
      </c>
    </row>
    <row r="2934" spans="1:50">
      <c r="B2934" t="str">
        <f>"119022959"</f>
        <v>119022959</v>
      </c>
      <c r="C2934" t="s">
        <v>50</v>
      </c>
      <c r="D2934" t="s">
        <v>5900</v>
      </c>
      <c r="E2934" t="s">
        <v>237</v>
      </c>
      <c r="F2934" t="s">
        <v>99</v>
      </c>
      <c r="H2934" t="str">
        <f>"Νιγρίτα Σερρών Σέρρες"</f>
        <v>Νιγρίτα Σερρών Σέρρες</v>
      </c>
      <c r="K2934">
        <v>6975624533</v>
      </c>
      <c r="M2934" t="s">
        <v>5901</v>
      </c>
      <c r="N2934" t="s">
        <v>536</v>
      </c>
      <c r="O2934" t="s">
        <v>537</v>
      </c>
      <c r="R2934" t="s">
        <v>159</v>
      </c>
      <c r="S2934">
        <v>3</v>
      </c>
      <c r="T2934" t="s">
        <v>122</v>
      </c>
      <c r="U2934" s="1">
        <v>43348</v>
      </c>
      <c r="V2934" t="s">
        <v>5644</v>
      </c>
      <c r="W2934" t="s">
        <v>5645</v>
      </c>
      <c r="X2934" t="s">
        <v>58</v>
      </c>
      <c r="Y2934">
        <v>23</v>
      </c>
      <c r="Z2934" t="s">
        <v>59</v>
      </c>
      <c r="AA2934" t="s">
        <v>59</v>
      </c>
      <c r="AB2934" t="s">
        <v>59</v>
      </c>
      <c r="AC2934" t="s">
        <v>59</v>
      </c>
      <c r="AD2934" t="s">
        <v>59</v>
      </c>
      <c r="AF2934" s="1">
        <v>43348</v>
      </c>
      <c r="AG2934" t="s">
        <v>148</v>
      </c>
      <c r="AH2934" t="s">
        <v>149</v>
      </c>
      <c r="AI2934" t="str">
        <f>"4154010"</f>
        <v>4154010</v>
      </c>
      <c r="AJ2934" t="s">
        <v>5687</v>
      </c>
      <c r="AK2934">
        <v>2834023300</v>
      </c>
      <c r="AL2934" t="s">
        <v>5688</v>
      </c>
      <c r="AM2934" t="s">
        <v>64</v>
      </c>
      <c r="AN2934" t="s">
        <v>5672</v>
      </c>
      <c r="AO2934" t="s">
        <v>5673</v>
      </c>
      <c r="AP2934" t="s">
        <v>5689</v>
      </c>
      <c r="AQ2934">
        <v>2</v>
      </c>
      <c r="AR2934" t="s">
        <v>5644</v>
      </c>
      <c r="AS2934" t="s">
        <v>5645</v>
      </c>
      <c r="AT2934" t="s">
        <v>58</v>
      </c>
      <c r="AU2934" t="s">
        <v>131</v>
      </c>
      <c r="AV2934" t="s">
        <v>132</v>
      </c>
      <c r="AW2934" s="1">
        <v>30227</v>
      </c>
      <c r="AX2934">
        <v>2</v>
      </c>
    </row>
    <row r="2935" spans="1:50">
      <c r="B2935" t="str">
        <f>"070952888"</f>
        <v>070952888</v>
      </c>
      <c r="C2935" t="s">
        <v>50</v>
      </c>
      <c r="D2935" t="s">
        <v>5902</v>
      </c>
      <c r="E2935" t="s">
        <v>5903</v>
      </c>
      <c r="F2935" t="s">
        <v>5345</v>
      </c>
      <c r="G2935" t="s">
        <v>191</v>
      </c>
      <c r="H2935" t="str">
        <f>"ΖΩΟΔΟΧΟΥ ΠΗΓΗΣ 16 ΗΡΑΚΛΕΙΟ ΚΡΗΤΗΣ"</f>
        <v>ΖΩΟΔΟΧΟΥ ΠΗΓΗΣ 16 ΗΡΑΚΛΕΙΟ ΚΡΗΤΗΣ</v>
      </c>
      <c r="I2935">
        <v>71307</v>
      </c>
      <c r="J2935">
        <v>2810223796</v>
      </c>
      <c r="K2935">
        <v>6973868413</v>
      </c>
      <c r="M2935" t="s">
        <v>5904</v>
      </c>
      <c r="N2935" t="s">
        <v>587</v>
      </c>
      <c r="O2935" t="s">
        <v>588</v>
      </c>
      <c r="R2935" t="s">
        <v>159</v>
      </c>
      <c r="S2935">
        <v>2</v>
      </c>
      <c r="T2935" t="s">
        <v>416</v>
      </c>
      <c r="U2935" s="1">
        <v>43349</v>
      </c>
      <c r="V2935" t="s">
        <v>5644</v>
      </c>
      <c r="W2935" t="s">
        <v>5645</v>
      </c>
      <c r="X2935" t="s">
        <v>58</v>
      </c>
      <c r="Y2935">
        <v>23</v>
      </c>
      <c r="Z2935" t="s">
        <v>59</v>
      </c>
      <c r="AA2935" t="s">
        <v>59</v>
      </c>
      <c r="AB2935" t="s">
        <v>59</v>
      </c>
      <c r="AC2935" t="s">
        <v>59</v>
      </c>
      <c r="AD2935" t="s">
        <v>59</v>
      </c>
      <c r="AF2935" s="1">
        <v>43349</v>
      </c>
      <c r="AG2935" t="s">
        <v>137</v>
      </c>
      <c r="AH2935" t="s">
        <v>138</v>
      </c>
      <c r="AI2935" t="str">
        <f>"4140035"</f>
        <v>4140035</v>
      </c>
      <c r="AJ2935" t="s">
        <v>5905</v>
      </c>
      <c r="AK2935">
        <v>2834041440</v>
      </c>
      <c r="AL2935" t="s">
        <v>5906</v>
      </c>
      <c r="AM2935" t="s">
        <v>64</v>
      </c>
      <c r="AN2935" t="s">
        <v>5672</v>
      </c>
      <c r="AO2935" t="s">
        <v>5698</v>
      </c>
      <c r="AP2935" t="s">
        <v>5788</v>
      </c>
      <c r="AQ2935">
        <v>2</v>
      </c>
      <c r="AR2935" t="s">
        <v>5644</v>
      </c>
      <c r="AS2935" t="s">
        <v>5645</v>
      </c>
      <c r="AT2935" t="s">
        <v>58</v>
      </c>
      <c r="AU2935" t="s">
        <v>419</v>
      </c>
      <c r="AV2935" t="s">
        <v>132</v>
      </c>
      <c r="AW2935" s="1">
        <v>23896</v>
      </c>
      <c r="AX2935">
        <v>2</v>
      </c>
    </row>
    <row r="2936" spans="1:50">
      <c r="A2936">
        <v>200745</v>
      </c>
      <c r="B2936" t="str">
        <f>"044914827"</f>
        <v>044914827</v>
      </c>
      <c r="C2936" t="s">
        <v>105</v>
      </c>
      <c r="D2936" t="s">
        <v>1232</v>
      </c>
      <c r="E2936" t="s">
        <v>776</v>
      </c>
      <c r="F2936" t="s">
        <v>5907</v>
      </c>
      <c r="G2936" t="s">
        <v>1108</v>
      </c>
      <c r="H2936" t="str">
        <f>"ΔΗΜΟΚΡΙΤΟΥ ΑΤΣΙΠΟΠΟΥΛΟ - ΤΑΧ.ΘΥΡ.  4-177"</f>
        <v>ΔΗΜΟΚΡΙΤΟΥ ΑΤΣΙΠΟΠΟΥΛΟ - ΤΑΧ.ΘΥΡ.  4-177</v>
      </c>
      <c r="I2936">
        <v>74100</v>
      </c>
      <c r="J2936">
        <v>2831031677</v>
      </c>
      <c r="K2936">
        <v>6972479768</v>
      </c>
      <c r="N2936" t="s">
        <v>331</v>
      </c>
      <c r="O2936" t="s">
        <v>332</v>
      </c>
      <c r="R2936" t="s">
        <v>57</v>
      </c>
      <c r="S2936">
        <v>9</v>
      </c>
      <c r="T2936">
        <v>213</v>
      </c>
      <c r="U2936" s="1">
        <v>37874</v>
      </c>
      <c r="V2936" t="s">
        <v>5644</v>
      </c>
      <c r="W2936" t="s">
        <v>5645</v>
      </c>
      <c r="X2936" t="s">
        <v>58</v>
      </c>
      <c r="Y2936">
        <v>20</v>
      </c>
      <c r="Z2936" t="s">
        <v>59</v>
      </c>
      <c r="AA2936" t="s">
        <v>59</v>
      </c>
      <c r="AB2936" t="s">
        <v>59</v>
      </c>
      <c r="AC2936" t="s">
        <v>59</v>
      </c>
      <c r="AD2936" t="s">
        <v>59</v>
      </c>
      <c r="AF2936" s="1">
        <v>37874</v>
      </c>
      <c r="AG2936" t="s">
        <v>137</v>
      </c>
      <c r="AH2936" t="s">
        <v>138</v>
      </c>
      <c r="AI2936" t="str">
        <f>"4150040"</f>
        <v>4150040</v>
      </c>
      <c r="AJ2936" t="s">
        <v>5661</v>
      </c>
      <c r="AK2936">
        <v>2831029048</v>
      </c>
      <c r="AL2936" t="s">
        <v>5662</v>
      </c>
      <c r="AM2936" t="s">
        <v>64</v>
      </c>
      <c r="AN2936" t="s">
        <v>65</v>
      </c>
      <c r="AO2936" t="s">
        <v>65</v>
      </c>
      <c r="AP2936" t="s">
        <v>65</v>
      </c>
      <c r="AQ2936">
        <v>1</v>
      </c>
      <c r="AR2936" t="s">
        <v>5644</v>
      </c>
      <c r="AS2936" t="s">
        <v>5645</v>
      </c>
      <c r="AT2936" t="s">
        <v>58</v>
      </c>
      <c r="AU2936" t="s">
        <v>68</v>
      </c>
      <c r="AV2936" t="s">
        <v>69</v>
      </c>
      <c r="AW2936" s="1">
        <v>23718</v>
      </c>
      <c r="AX2936">
        <v>2</v>
      </c>
    </row>
    <row r="2937" spans="1:50">
      <c r="A2937">
        <v>155534</v>
      </c>
      <c r="B2937" t="str">
        <f>"032093255"</f>
        <v>032093255</v>
      </c>
      <c r="C2937" t="s">
        <v>105</v>
      </c>
      <c r="D2937" t="s">
        <v>1232</v>
      </c>
      <c r="E2937" t="s">
        <v>474</v>
      </c>
      <c r="F2937" t="s">
        <v>383</v>
      </c>
      <c r="G2937" t="s">
        <v>52</v>
      </c>
      <c r="H2937" t="str">
        <f>"ΚΑΣΤΕΝΑΖΟ 4 ΡΕΘΥΜΝΟ"</f>
        <v>ΚΑΣΤΕΝΑΖΟ 4 ΡΕΘΥΜΝΟ</v>
      </c>
      <c r="I2937">
        <v>74132</v>
      </c>
      <c r="J2937">
        <v>2831053087</v>
      </c>
      <c r="K2937">
        <v>6936949008</v>
      </c>
      <c r="N2937" t="s">
        <v>157</v>
      </c>
      <c r="O2937" t="s">
        <v>158</v>
      </c>
      <c r="R2937" t="s">
        <v>57</v>
      </c>
      <c r="S2937">
        <v>16</v>
      </c>
      <c r="T2937">
        <v>188</v>
      </c>
      <c r="U2937" s="1">
        <v>32752</v>
      </c>
      <c r="V2937" t="s">
        <v>5644</v>
      </c>
      <c r="W2937" t="s">
        <v>5645</v>
      </c>
      <c r="X2937" t="s">
        <v>58</v>
      </c>
      <c r="Y2937">
        <v>18</v>
      </c>
      <c r="Z2937" t="s">
        <v>59</v>
      </c>
      <c r="AA2937" t="s">
        <v>59</v>
      </c>
      <c r="AB2937" t="s">
        <v>59</v>
      </c>
      <c r="AC2937" t="s">
        <v>59</v>
      </c>
      <c r="AD2937" t="s">
        <v>452</v>
      </c>
      <c r="AE2937" s="1">
        <v>43708</v>
      </c>
      <c r="AF2937" s="1">
        <v>32752</v>
      </c>
      <c r="AG2937" t="s">
        <v>148</v>
      </c>
      <c r="AH2937" t="s">
        <v>2782</v>
      </c>
      <c r="AI2937" t="str">
        <f>"4151040"</f>
        <v>4151040</v>
      </c>
      <c r="AJ2937" t="s">
        <v>5810</v>
      </c>
      <c r="AK2937">
        <v>2831023425</v>
      </c>
      <c r="AL2937" t="s">
        <v>5811</v>
      </c>
      <c r="AM2937" t="s">
        <v>64</v>
      </c>
      <c r="AN2937" t="s">
        <v>65</v>
      </c>
      <c r="AO2937" t="s">
        <v>65</v>
      </c>
      <c r="AP2937" t="s">
        <v>65</v>
      </c>
      <c r="AQ2937">
        <v>1</v>
      </c>
      <c r="AR2937" t="s">
        <v>5644</v>
      </c>
      <c r="AS2937" t="s">
        <v>5645</v>
      </c>
      <c r="AT2937" t="s">
        <v>58</v>
      </c>
      <c r="AU2937" t="s">
        <v>68</v>
      </c>
      <c r="AV2937" t="s">
        <v>69</v>
      </c>
      <c r="AW2937" s="1">
        <v>22991</v>
      </c>
      <c r="AX2937">
        <v>2</v>
      </c>
    </row>
    <row r="2938" spans="1:50">
      <c r="A2938">
        <v>202189</v>
      </c>
      <c r="B2938" t="str">
        <f>"044591886"</f>
        <v>044591886</v>
      </c>
      <c r="C2938" t="s">
        <v>50</v>
      </c>
      <c r="D2938" t="s">
        <v>5908</v>
      </c>
      <c r="E2938" t="s">
        <v>563</v>
      </c>
      <c r="F2938" t="s">
        <v>760</v>
      </c>
      <c r="G2938" t="s">
        <v>52</v>
      </c>
      <c r="H2938" t="str">
        <f>"Τ. Θ. 4-243 ΑΤΣΙΠΟΠΟΥΛΟ"</f>
        <v>Τ. Θ. 4-243 ΑΤΣΙΠΟΠΟΥΛΟ</v>
      </c>
      <c r="I2938">
        <v>74100</v>
      </c>
      <c r="K2938">
        <v>6974071179</v>
      </c>
      <c r="M2938" t="s">
        <v>5909</v>
      </c>
      <c r="N2938" t="s">
        <v>292</v>
      </c>
      <c r="O2938" t="s">
        <v>293</v>
      </c>
      <c r="R2938" t="s">
        <v>57</v>
      </c>
      <c r="S2938">
        <v>7</v>
      </c>
      <c r="T2938">
        <v>231</v>
      </c>
      <c r="U2938" s="1">
        <v>38230</v>
      </c>
      <c r="V2938" t="s">
        <v>5644</v>
      </c>
      <c r="W2938" t="s">
        <v>5645</v>
      </c>
      <c r="X2938" t="s">
        <v>58</v>
      </c>
      <c r="Y2938">
        <v>20</v>
      </c>
      <c r="Z2938" t="s">
        <v>59</v>
      </c>
      <c r="AA2938" t="s">
        <v>59</v>
      </c>
      <c r="AB2938" t="s">
        <v>59</v>
      </c>
      <c r="AC2938" t="s">
        <v>59</v>
      </c>
      <c r="AD2938" t="s">
        <v>59</v>
      </c>
      <c r="AF2938" s="1">
        <v>38230</v>
      </c>
      <c r="AG2938" t="s">
        <v>148</v>
      </c>
      <c r="AH2938" t="s">
        <v>149</v>
      </c>
      <c r="AI2938" t="str">
        <f>"4144001"</f>
        <v>4144001</v>
      </c>
      <c r="AJ2938" t="s">
        <v>5718</v>
      </c>
      <c r="AK2938">
        <v>2831033277</v>
      </c>
      <c r="AL2938" t="s">
        <v>5719</v>
      </c>
      <c r="AM2938" t="s">
        <v>64</v>
      </c>
      <c r="AN2938" t="s">
        <v>65</v>
      </c>
      <c r="AO2938" t="s">
        <v>5720</v>
      </c>
      <c r="AP2938" t="s">
        <v>5721</v>
      </c>
      <c r="AQ2938">
        <v>1</v>
      </c>
      <c r="AR2938" t="s">
        <v>5644</v>
      </c>
      <c r="AS2938" t="s">
        <v>5645</v>
      </c>
      <c r="AT2938" t="s">
        <v>58</v>
      </c>
      <c r="AU2938" t="s">
        <v>68</v>
      </c>
      <c r="AV2938" t="s">
        <v>357</v>
      </c>
      <c r="AW2938" s="1">
        <v>23340</v>
      </c>
      <c r="AX2938">
        <v>2</v>
      </c>
    </row>
    <row r="2939" spans="1:50">
      <c r="A2939">
        <v>169263</v>
      </c>
      <c r="B2939" t="str">
        <f>"061264130"</f>
        <v>061264130</v>
      </c>
      <c r="C2939" t="s">
        <v>50</v>
      </c>
      <c r="D2939" t="s">
        <v>5910</v>
      </c>
      <c r="E2939" t="s">
        <v>600</v>
      </c>
      <c r="F2939" t="s">
        <v>202</v>
      </c>
      <c r="G2939" t="s">
        <v>5911</v>
      </c>
      <c r="H2939" t="str">
        <f>"Μ.ΚΑΤΡΑΚΗ 1 ΡΕΘΥΜΝΟ"</f>
        <v>Μ.ΚΑΤΡΑΚΗ 1 ΡΕΘΥΜΝΟ</v>
      </c>
      <c r="I2939">
        <v>74100</v>
      </c>
      <c r="J2939">
        <v>2831055007</v>
      </c>
      <c r="K2939">
        <v>6977528595</v>
      </c>
      <c r="M2939" t="s">
        <v>5912</v>
      </c>
      <c r="N2939" t="s">
        <v>337</v>
      </c>
      <c r="O2939" t="s">
        <v>338</v>
      </c>
      <c r="R2939" t="s">
        <v>57</v>
      </c>
      <c r="S2939">
        <v>12</v>
      </c>
      <c r="T2939">
        <v>159</v>
      </c>
      <c r="U2939" s="1">
        <v>34582</v>
      </c>
      <c r="V2939" t="s">
        <v>5644</v>
      </c>
      <c r="W2939" t="s">
        <v>5645</v>
      </c>
      <c r="X2939" t="s">
        <v>58</v>
      </c>
      <c r="Y2939">
        <v>18</v>
      </c>
      <c r="Z2939" t="s">
        <v>59</v>
      </c>
      <c r="AA2939" t="s">
        <v>59</v>
      </c>
      <c r="AB2939" t="s">
        <v>59</v>
      </c>
      <c r="AC2939" t="s">
        <v>59</v>
      </c>
      <c r="AD2939" t="s">
        <v>59</v>
      </c>
      <c r="AF2939" s="1">
        <v>34582</v>
      </c>
      <c r="AG2939" t="s">
        <v>125</v>
      </c>
      <c r="AH2939" t="s">
        <v>126</v>
      </c>
      <c r="AI2939" t="str">
        <f>"4101030"</f>
        <v>4101030</v>
      </c>
      <c r="AJ2939" t="s">
        <v>5646</v>
      </c>
      <c r="AK2939">
        <v>2831022359</v>
      </c>
      <c r="AL2939" t="s">
        <v>5647</v>
      </c>
      <c r="AM2939" t="s">
        <v>64</v>
      </c>
      <c r="AN2939" t="s">
        <v>65</v>
      </c>
      <c r="AO2939" t="s">
        <v>65</v>
      </c>
      <c r="AP2939" t="s">
        <v>65</v>
      </c>
      <c r="AQ2939">
        <v>1</v>
      </c>
      <c r="AR2939" t="s">
        <v>5644</v>
      </c>
      <c r="AS2939" t="s">
        <v>5645</v>
      </c>
      <c r="AT2939" t="s">
        <v>58</v>
      </c>
      <c r="AU2939" t="s">
        <v>68</v>
      </c>
      <c r="AV2939" t="s">
        <v>69</v>
      </c>
      <c r="AW2939" s="1">
        <v>25481</v>
      </c>
      <c r="AX2939">
        <v>2</v>
      </c>
    </row>
    <row r="2940" spans="1:50">
      <c r="A2940">
        <v>224083</v>
      </c>
      <c r="B2940" t="str">
        <f>"108338021"</f>
        <v>108338021</v>
      </c>
      <c r="C2940" t="s">
        <v>50</v>
      </c>
      <c r="D2940" t="s">
        <v>5913</v>
      </c>
      <c r="E2940" t="s">
        <v>255</v>
      </c>
      <c r="F2940" t="s">
        <v>99</v>
      </c>
      <c r="G2940" t="s">
        <v>5914</v>
      </c>
      <c r="H2940" t="str">
        <f>"ΝΑΥΑΡΧΟΥ ΝΟΤΑΡΑ 29 ΑΓΙΟΣ ΔΗΜΗΤΡΙΟΣ"</f>
        <v>ΝΑΥΑΡΧΟΥ ΝΟΤΑΡΑ 29 ΑΓΙΟΣ ΔΗΜΗΤΡΙΟΣ</v>
      </c>
      <c r="I2940">
        <v>17343</v>
      </c>
      <c r="J2940">
        <v>2130094932</v>
      </c>
      <c r="K2940">
        <v>6972307860</v>
      </c>
      <c r="M2940" t="s">
        <v>5915</v>
      </c>
      <c r="N2940" t="s">
        <v>306</v>
      </c>
      <c r="O2940" t="s">
        <v>307</v>
      </c>
      <c r="R2940" t="s">
        <v>57</v>
      </c>
      <c r="S2940">
        <v>6</v>
      </c>
      <c r="T2940">
        <v>775</v>
      </c>
      <c r="U2940" s="1">
        <v>39680</v>
      </c>
      <c r="V2940" t="s">
        <v>5644</v>
      </c>
      <c r="W2940" t="s">
        <v>5645</v>
      </c>
      <c r="X2940" t="s">
        <v>58</v>
      </c>
      <c r="Y2940">
        <v>21</v>
      </c>
      <c r="Z2940" t="s">
        <v>59</v>
      </c>
      <c r="AA2940" t="s">
        <v>59</v>
      </c>
      <c r="AB2940" t="s">
        <v>59</v>
      </c>
      <c r="AC2940" t="s">
        <v>59</v>
      </c>
      <c r="AD2940" t="s">
        <v>59</v>
      </c>
      <c r="AF2940" s="1">
        <v>39680</v>
      </c>
      <c r="AG2940" t="s">
        <v>148</v>
      </c>
      <c r="AH2940" t="s">
        <v>1053</v>
      </c>
      <c r="AI2940" t="str">
        <f>"4141057"</f>
        <v>4141057</v>
      </c>
      <c r="AJ2940" t="s">
        <v>5916</v>
      </c>
      <c r="AK2940">
        <v>2831035241</v>
      </c>
      <c r="AL2940" t="s">
        <v>5917</v>
      </c>
      <c r="AM2940" t="s">
        <v>64</v>
      </c>
      <c r="AN2940" t="s">
        <v>65</v>
      </c>
      <c r="AO2940" t="s">
        <v>65</v>
      </c>
      <c r="AP2940" t="s">
        <v>65</v>
      </c>
      <c r="AQ2940">
        <v>1</v>
      </c>
      <c r="AR2940" t="s">
        <v>5644</v>
      </c>
      <c r="AS2940" t="s">
        <v>5645</v>
      </c>
      <c r="AT2940" t="s">
        <v>58</v>
      </c>
      <c r="AU2940" t="s">
        <v>68</v>
      </c>
      <c r="AV2940" t="s">
        <v>69</v>
      </c>
      <c r="AW2940" s="1">
        <v>28255</v>
      </c>
      <c r="AX2940">
        <v>2</v>
      </c>
    </row>
    <row r="2941" spans="1:50">
      <c r="A2941">
        <v>181528</v>
      </c>
      <c r="B2941" t="str">
        <f>"046494500"</f>
        <v>046494500</v>
      </c>
      <c r="C2941" t="s">
        <v>50</v>
      </c>
      <c r="D2941" t="s">
        <v>5918</v>
      </c>
      <c r="E2941" t="s">
        <v>476</v>
      </c>
      <c r="F2941" t="s">
        <v>309</v>
      </c>
      <c r="G2941" t="s">
        <v>52</v>
      </c>
      <c r="H2941" t="str">
        <f>"ΧΡΙΣΤ. ΣΠΥΡΑΚΗ 23 ΓΑΛΛΟΥ"</f>
        <v>ΧΡΙΣΤ. ΣΠΥΡΑΚΗ 23 ΓΑΛΛΟΥ</v>
      </c>
      <c r="I2941">
        <v>74100</v>
      </c>
      <c r="J2941">
        <v>2831058482</v>
      </c>
      <c r="K2941">
        <v>6953094161</v>
      </c>
      <c r="N2941" t="s">
        <v>257</v>
      </c>
      <c r="O2941" t="s">
        <v>258</v>
      </c>
      <c r="R2941" t="s">
        <v>57</v>
      </c>
      <c r="S2941">
        <v>12</v>
      </c>
      <c r="T2941">
        <v>181</v>
      </c>
      <c r="U2941" s="1">
        <v>36039</v>
      </c>
      <c r="V2941" t="s">
        <v>5644</v>
      </c>
      <c r="W2941" t="s">
        <v>5645</v>
      </c>
      <c r="X2941" t="s">
        <v>58</v>
      </c>
      <c r="Y2941">
        <v>18</v>
      </c>
      <c r="Z2941" t="s">
        <v>59</v>
      </c>
      <c r="AA2941" t="s">
        <v>59</v>
      </c>
      <c r="AB2941" t="s">
        <v>59</v>
      </c>
      <c r="AC2941" t="s">
        <v>59</v>
      </c>
      <c r="AD2941" t="s">
        <v>452</v>
      </c>
      <c r="AE2941" s="1">
        <v>43708</v>
      </c>
      <c r="AF2941" s="1">
        <v>36040</v>
      </c>
      <c r="AG2941" t="s">
        <v>148</v>
      </c>
      <c r="AH2941" t="s">
        <v>2782</v>
      </c>
      <c r="AI2941" t="str">
        <f>"4151040"</f>
        <v>4151040</v>
      </c>
      <c r="AJ2941" t="s">
        <v>5810</v>
      </c>
      <c r="AK2941">
        <v>2831023425</v>
      </c>
      <c r="AL2941" t="s">
        <v>5811</v>
      </c>
      <c r="AM2941" t="s">
        <v>64</v>
      </c>
      <c r="AN2941" t="s">
        <v>65</v>
      </c>
      <c r="AO2941" t="s">
        <v>65</v>
      </c>
      <c r="AP2941" t="s">
        <v>65</v>
      </c>
      <c r="AQ2941">
        <v>1</v>
      </c>
      <c r="AR2941" t="s">
        <v>5644</v>
      </c>
      <c r="AS2941" t="s">
        <v>5645</v>
      </c>
      <c r="AT2941" t="s">
        <v>58</v>
      </c>
      <c r="AU2941" t="s">
        <v>68</v>
      </c>
      <c r="AV2941" t="s">
        <v>69</v>
      </c>
      <c r="AW2941" s="1">
        <v>25306</v>
      </c>
      <c r="AX2941">
        <v>2</v>
      </c>
    </row>
    <row r="2942" spans="1:50">
      <c r="A2942">
        <v>149200</v>
      </c>
      <c r="B2942" t="str">
        <f>"100071862"</f>
        <v>100071862</v>
      </c>
      <c r="C2942" t="s">
        <v>50</v>
      </c>
      <c r="D2942" t="s">
        <v>5919</v>
      </c>
      <c r="E2942" t="s">
        <v>5920</v>
      </c>
      <c r="F2942" t="s">
        <v>95</v>
      </c>
      <c r="G2942" t="s">
        <v>5921</v>
      </c>
      <c r="H2942" t="str">
        <f>"ΦΛΕΜΙΓΚ 5 ΡΕΘΥΜΝΟ"</f>
        <v>ΦΛΕΜΙΓΚ 5 ΡΕΘΥΜΝΟ</v>
      </c>
      <c r="I2942">
        <v>74100</v>
      </c>
      <c r="J2942">
        <v>2831050444</v>
      </c>
      <c r="K2942">
        <v>6981557996</v>
      </c>
      <c r="M2942" t="s">
        <v>5922</v>
      </c>
      <c r="N2942" t="s">
        <v>176</v>
      </c>
      <c r="O2942" t="s">
        <v>177</v>
      </c>
      <c r="R2942" t="s">
        <v>57</v>
      </c>
      <c r="S2942">
        <v>16</v>
      </c>
      <c r="T2942">
        <v>205</v>
      </c>
      <c r="U2942" s="1">
        <v>31658</v>
      </c>
      <c r="V2942" t="s">
        <v>5644</v>
      </c>
      <c r="W2942" t="s">
        <v>5645</v>
      </c>
      <c r="X2942" t="s">
        <v>58</v>
      </c>
      <c r="Y2942">
        <v>18</v>
      </c>
      <c r="Z2942" t="s">
        <v>59</v>
      </c>
      <c r="AA2942" t="s">
        <v>59</v>
      </c>
      <c r="AB2942" t="s">
        <v>59</v>
      </c>
      <c r="AC2942" t="s">
        <v>59</v>
      </c>
      <c r="AD2942" t="s">
        <v>59</v>
      </c>
      <c r="AF2942" s="1">
        <v>31658</v>
      </c>
      <c r="AG2942" t="s">
        <v>125</v>
      </c>
      <c r="AH2942" t="s">
        <v>126</v>
      </c>
      <c r="AI2942" t="str">
        <f>"4101020"</f>
        <v>4101020</v>
      </c>
      <c r="AJ2942" t="s">
        <v>5652</v>
      </c>
      <c r="AK2942">
        <v>2831023560</v>
      </c>
      <c r="AL2942" t="s">
        <v>5653</v>
      </c>
      <c r="AM2942" t="s">
        <v>64</v>
      </c>
      <c r="AN2942" t="s">
        <v>65</v>
      </c>
      <c r="AO2942" t="s">
        <v>65</v>
      </c>
      <c r="AP2942" t="s">
        <v>65</v>
      </c>
      <c r="AQ2942">
        <v>1</v>
      </c>
      <c r="AR2942" t="s">
        <v>5644</v>
      </c>
      <c r="AS2942" t="s">
        <v>5645</v>
      </c>
      <c r="AT2942" t="s">
        <v>58</v>
      </c>
      <c r="AU2942" t="s">
        <v>68</v>
      </c>
      <c r="AV2942" t="s">
        <v>69</v>
      </c>
      <c r="AW2942" s="1">
        <v>22098</v>
      </c>
      <c r="AX2942">
        <v>2</v>
      </c>
    </row>
    <row r="2943" spans="1:50">
      <c r="A2943">
        <v>211952</v>
      </c>
      <c r="B2943" t="str">
        <f>"076545030"</f>
        <v>076545030</v>
      </c>
      <c r="C2943" t="s">
        <v>105</v>
      </c>
      <c r="D2943" t="s">
        <v>5923</v>
      </c>
      <c r="E2943" t="s">
        <v>72</v>
      </c>
      <c r="F2943" t="s">
        <v>5924</v>
      </c>
      <c r="G2943" t="s">
        <v>626</v>
      </c>
      <c r="H2943" t="str">
        <f>"Νέστορος Βασσάλου 11 ΚΟΥΜΠΕΣ ΡΕΘΥΜΝΟΥ"</f>
        <v>Νέστορος Βασσάλου 11 ΚΟΥΜΠΕΣ ΡΕΘΥΜΝΟΥ</v>
      </c>
      <c r="I2943">
        <v>74100</v>
      </c>
      <c r="J2943">
        <v>2831058720</v>
      </c>
      <c r="K2943">
        <v>6973693005</v>
      </c>
      <c r="N2943" t="s">
        <v>146</v>
      </c>
      <c r="O2943" t="s">
        <v>147</v>
      </c>
      <c r="R2943" t="s">
        <v>57</v>
      </c>
      <c r="S2943">
        <v>6</v>
      </c>
      <c r="T2943">
        <v>231</v>
      </c>
      <c r="U2943" s="1">
        <v>38960</v>
      </c>
      <c r="V2943" t="s">
        <v>5644</v>
      </c>
      <c r="W2943" t="s">
        <v>5645</v>
      </c>
      <c r="X2943" t="s">
        <v>58</v>
      </c>
      <c r="Y2943">
        <v>20</v>
      </c>
      <c r="Z2943" t="s">
        <v>59</v>
      </c>
      <c r="AA2943" t="s">
        <v>59</v>
      </c>
      <c r="AB2943" t="s">
        <v>59</v>
      </c>
      <c r="AC2943" t="s">
        <v>59</v>
      </c>
      <c r="AD2943" t="s">
        <v>59</v>
      </c>
      <c r="AF2943" s="1">
        <v>38960</v>
      </c>
      <c r="AG2943" t="s">
        <v>148</v>
      </c>
      <c r="AH2943" t="s">
        <v>149</v>
      </c>
      <c r="AI2943" t="str">
        <f>"4156010"</f>
        <v>4156010</v>
      </c>
      <c r="AJ2943" t="s">
        <v>5925</v>
      </c>
      <c r="AK2943">
        <v>2832022328</v>
      </c>
      <c r="AL2943" t="s">
        <v>5926</v>
      </c>
      <c r="AM2943" t="s">
        <v>64</v>
      </c>
      <c r="AN2943" t="s">
        <v>5882</v>
      </c>
      <c r="AO2943" t="s">
        <v>5883</v>
      </c>
      <c r="AP2943" t="s">
        <v>5884</v>
      </c>
      <c r="AQ2943">
        <v>5</v>
      </c>
      <c r="AR2943" t="s">
        <v>5644</v>
      </c>
      <c r="AS2943" t="s">
        <v>5645</v>
      </c>
      <c r="AT2943" t="s">
        <v>58</v>
      </c>
      <c r="AU2943" t="s">
        <v>68</v>
      </c>
      <c r="AV2943" t="s">
        <v>69</v>
      </c>
      <c r="AW2943" s="1">
        <v>26188</v>
      </c>
      <c r="AX2943">
        <v>2</v>
      </c>
    </row>
    <row r="2944" spans="1:50">
      <c r="A2944">
        <v>227478</v>
      </c>
      <c r="B2944" t="str">
        <f>"130004640"</f>
        <v>130004640</v>
      </c>
      <c r="C2944" t="s">
        <v>50</v>
      </c>
      <c r="D2944" t="s">
        <v>5927</v>
      </c>
      <c r="E2944" t="s">
        <v>263</v>
      </c>
      <c r="F2944" t="s">
        <v>450</v>
      </c>
      <c r="G2944" t="s">
        <v>238</v>
      </c>
      <c r="H2944" t="str">
        <f>"ΚΑΣΤΕΛΑΚΙΑ 70 ΡΕΘΥΜΝΟ"</f>
        <v>ΚΑΣΤΕΛΑΚΙΑ 70 ΡΕΘΥΜΝΟ</v>
      </c>
      <c r="I2944">
        <v>74100</v>
      </c>
      <c r="J2944">
        <v>2831056129</v>
      </c>
      <c r="K2944">
        <v>6989629546</v>
      </c>
      <c r="M2944" t="s">
        <v>5928</v>
      </c>
      <c r="N2944" t="s">
        <v>246</v>
      </c>
      <c r="O2944" t="s">
        <v>247</v>
      </c>
      <c r="R2944" t="s">
        <v>57</v>
      </c>
      <c r="S2944">
        <v>6</v>
      </c>
      <c r="T2944">
        <v>654</v>
      </c>
      <c r="U2944" s="1">
        <v>40043</v>
      </c>
      <c r="V2944" t="s">
        <v>5644</v>
      </c>
      <c r="W2944" t="s">
        <v>5645</v>
      </c>
      <c r="X2944" t="s">
        <v>58</v>
      </c>
      <c r="Y2944">
        <v>21</v>
      </c>
      <c r="Z2944" t="s">
        <v>59</v>
      </c>
      <c r="AA2944" t="s">
        <v>59</v>
      </c>
      <c r="AB2944" t="s">
        <v>59</v>
      </c>
      <c r="AC2944" t="s">
        <v>59</v>
      </c>
      <c r="AD2944" t="s">
        <v>59</v>
      </c>
      <c r="AF2944" s="1">
        <v>40044</v>
      </c>
      <c r="AG2944" t="s">
        <v>148</v>
      </c>
      <c r="AH2944" t="s">
        <v>149</v>
      </c>
      <c r="AI2944" t="str">
        <f>"4151030"</f>
        <v>4151030</v>
      </c>
      <c r="AJ2944" t="s">
        <v>5681</v>
      </c>
      <c r="AK2944">
        <v>2831023422</v>
      </c>
      <c r="AL2944" t="s">
        <v>5682</v>
      </c>
      <c r="AM2944" t="s">
        <v>64</v>
      </c>
      <c r="AN2944" t="s">
        <v>65</v>
      </c>
      <c r="AO2944" t="s">
        <v>65</v>
      </c>
      <c r="AP2944" t="s">
        <v>65</v>
      </c>
      <c r="AQ2944">
        <v>1</v>
      </c>
      <c r="AR2944" t="s">
        <v>5644</v>
      </c>
      <c r="AS2944" t="s">
        <v>5645</v>
      </c>
      <c r="AT2944" t="s">
        <v>58</v>
      </c>
      <c r="AU2944" t="s">
        <v>68</v>
      </c>
      <c r="AV2944" t="s">
        <v>69</v>
      </c>
      <c r="AW2944" s="1">
        <v>29918</v>
      </c>
      <c r="AX2944">
        <v>2</v>
      </c>
    </row>
    <row r="2945" spans="1:50">
      <c r="A2945">
        <v>224695</v>
      </c>
      <c r="B2945" t="str">
        <f>"070349450"</f>
        <v>070349450</v>
      </c>
      <c r="C2945" t="s">
        <v>105</v>
      </c>
      <c r="D2945" t="s">
        <v>5929</v>
      </c>
      <c r="E2945" t="s">
        <v>106</v>
      </c>
      <c r="F2945" t="s">
        <v>99</v>
      </c>
      <c r="G2945" t="s">
        <v>934</v>
      </c>
      <c r="H2945" t="str">
        <f>"ΦΩΣΚΟΛΟΥ 26  ΗΡΑΚΛΕΙΟ"</f>
        <v>ΦΩΣΚΟΛΟΥ 26  ΗΡΑΚΛΕΙΟ</v>
      </c>
      <c r="I2945">
        <v>71409</v>
      </c>
      <c r="J2945">
        <v>2811111616</v>
      </c>
      <c r="K2945">
        <v>6977349969</v>
      </c>
      <c r="M2945" t="s">
        <v>5930</v>
      </c>
      <c r="N2945" t="s">
        <v>299</v>
      </c>
      <c r="O2945" t="s">
        <v>300</v>
      </c>
      <c r="P2945" t="s">
        <v>1116</v>
      </c>
      <c r="Q2945" t="s">
        <v>1117</v>
      </c>
      <c r="R2945" t="s">
        <v>57</v>
      </c>
      <c r="S2945">
        <v>7</v>
      </c>
      <c r="T2945">
        <v>775</v>
      </c>
      <c r="U2945" s="1">
        <v>39680</v>
      </c>
      <c r="V2945" t="s">
        <v>5644</v>
      </c>
      <c r="W2945" t="s">
        <v>5645</v>
      </c>
      <c r="X2945" t="s">
        <v>58</v>
      </c>
      <c r="Y2945">
        <v>21</v>
      </c>
      <c r="Z2945" t="s">
        <v>59</v>
      </c>
      <c r="AA2945" t="s">
        <v>59</v>
      </c>
      <c r="AB2945" t="s">
        <v>59</v>
      </c>
      <c r="AC2945" t="s">
        <v>59</v>
      </c>
      <c r="AD2945" t="s">
        <v>59</v>
      </c>
      <c r="AF2945" s="1">
        <v>39680</v>
      </c>
      <c r="AG2945" t="s">
        <v>137</v>
      </c>
      <c r="AH2945" t="s">
        <v>138</v>
      </c>
      <c r="AI2945" t="str">
        <f>"4140035"</f>
        <v>4140035</v>
      </c>
      <c r="AJ2945" t="s">
        <v>5905</v>
      </c>
      <c r="AK2945">
        <v>2834041440</v>
      </c>
      <c r="AL2945" t="s">
        <v>5906</v>
      </c>
      <c r="AM2945" t="s">
        <v>64</v>
      </c>
      <c r="AN2945" t="s">
        <v>5672</v>
      </c>
      <c r="AO2945" t="s">
        <v>5698</v>
      </c>
      <c r="AP2945" t="s">
        <v>5788</v>
      </c>
      <c r="AQ2945">
        <v>2</v>
      </c>
      <c r="AR2945" t="s">
        <v>5644</v>
      </c>
      <c r="AS2945" t="s">
        <v>5645</v>
      </c>
      <c r="AT2945" t="s">
        <v>58</v>
      </c>
      <c r="AU2945" t="s">
        <v>68</v>
      </c>
      <c r="AV2945" t="s">
        <v>69</v>
      </c>
      <c r="AW2945" s="1">
        <v>29766</v>
      </c>
      <c r="AX2945">
        <v>2</v>
      </c>
    </row>
    <row r="2946" spans="1:50">
      <c r="A2946">
        <v>220150</v>
      </c>
      <c r="B2946" t="str">
        <f>"072597894"</f>
        <v>072597894</v>
      </c>
      <c r="C2946" t="s">
        <v>105</v>
      </c>
      <c r="D2946" t="s">
        <v>1250</v>
      </c>
      <c r="E2946" t="s">
        <v>53</v>
      </c>
      <c r="F2946" t="s">
        <v>166</v>
      </c>
      <c r="G2946" t="s">
        <v>1189</v>
      </c>
      <c r="H2946" t="str">
        <f>"ΜΙΧ. ΑΡΧΑΓΓΕΛΟΥ 45 ΗΡΑΚΛΕΙΟ"</f>
        <v>ΜΙΧ. ΑΡΧΑΓΓΕΛΟΥ 45 ΗΡΑΚΛΕΙΟ</v>
      </c>
      <c r="I2946">
        <v>71304</v>
      </c>
      <c r="J2946">
        <v>2810314805</v>
      </c>
      <c r="K2946">
        <v>6946464843</v>
      </c>
      <c r="N2946" t="s">
        <v>583</v>
      </c>
      <c r="O2946" t="s">
        <v>584</v>
      </c>
      <c r="R2946" t="s">
        <v>57</v>
      </c>
      <c r="S2946">
        <v>7</v>
      </c>
      <c r="T2946">
        <v>599</v>
      </c>
      <c r="U2946" s="1">
        <v>39310</v>
      </c>
      <c r="V2946" t="s">
        <v>5644</v>
      </c>
      <c r="W2946" t="s">
        <v>5645</v>
      </c>
      <c r="X2946" t="s">
        <v>58</v>
      </c>
      <c r="Y2946">
        <v>20</v>
      </c>
      <c r="Z2946" t="s">
        <v>59</v>
      </c>
      <c r="AA2946" t="s">
        <v>59</v>
      </c>
      <c r="AB2946" t="s">
        <v>59</v>
      </c>
      <c r="AC2946" t="s">
        <v>59</v>
      </c>
      <c r="AD2946" t="s">
        <v>59</v>
      </c>
      <c r="AF2946" s="1">
        <v>39328</v>
      </c>
      <c r="AG2946" t="s">
        <v>137</v>
      </c>
      <c r="AH2946" t="s">
        <v>138</v>
      </c>
      <c r="AI2946" t="str">
        <f>"4150040"</f>
        <v>4150040</v>
      </c>
      <c r="AJ2946" t="s">
        <v>5661</v>
      </c>
      <c r="AK2946">
        <v>2831029048</v>
      </c>
      <c r="AL2946" t="s">
        <v>5662</v>
      </c>
      <c r="AM2946" t="s">
        <v>64</v>
      </c>
      <c r="AN2946" t="s">
        <v>65</v>
      </c>
      <c r="AO2946" t="s">
        <v>65</v>
      </c>
      <c r="AP2946" t="s">
        <v>65</v>
      </c>
      <c r="AQ2946">
        <v>1</v>
      </c>
      <c r="AR2946" t="s">
        <v>5644</v>
      </c>
      <c r="AS2946" t="s">
        <v>5645</v>
      </c>
      <c r="AT2946" t="s">
        <v>58</v>
      </c>
      <c r="AU2946" t="s">
        <v>68</v>
      </c>
      <c r="AV2946" t="s">
        <v>69</v>
      </c>
      <c r="AW2946" s="1">
        <v>24914</v>
      </c>
      <c r="AX2946">
        <v>2</v>
      </c>
    </row>
    <row r="2947" spans="1:50">
      <c r="A2947">
        <v>223888</v>
      </c>
      <c r="B2947" t="str">
        <f>"067555687"</f>
        <v>067555687</v>
      </c>
      <c r="C2947" t="s">
        <v>50</v>
      </c>
      <c r="D2947" t="s">
        <v>1276</v>
      </c>
      <c r="E2947" t="s">
        <v>513</v>
      </c>
      <c r="F2947" t="s">
        <v>1286</v>
      </c>
      <c r="G2947" t="s">
        <v>1571</v>
      </c>
      <c r="H2947" t="str">
        <f>"ΚΟΥΡΗΤΩΝ 10 ΡΕΘΥΜΝΟ"</f>
        <v>ΚΟΥΡΗΤΩΝ 10 ΡΕΘΥΜΝΟ</v>
      </c>
      <c r="I2947">
        <v>74100</v>
      </c>
      <c r="J2947">
        <v>2831022118</v>
      </c>
      <c r="K2947">
        <v>6947371207</v>
      </c>
      <c r="L2947">
        <v>2107759436</v>
      </c>
      <c r="N2947" t="s">
        <v>478</v>
      </c>
      <c r="O2947" t="s">
        <v>479</v>
      </c>
      <c r="R2947" t="s">
        <v>57</v>
      </c>
      <c r="S2947">
        <v>8</v>
      </c>
      <c r="T2947">
        <v>775</v>
      </c>
      <c r="U2947" s="1">
        <v>39680</v>
      </c>
      <c r="V2947" t="s">
        <v>5644</v>
      </c>
      <c r="W2947" t="s">
        <v>5645</v>
      </c>
      <c r="X2947" t="s">
        <v>58</v>
      </c>
      <c r="Y2947">
        <v>21</v>
      </c>
      <c r="Z2947" t="s">
        <v>59</v>
      </c>
      <c r="AA2947" t="s">
        <v>59</v>
      </c>
      <c r="AB2947" t="s">
        <v>59</v>
      </c>
      <c r="AC2947" t="s">
        <v>59</v>
      </c>
      <c r="AD2947" t="s">
        <v>59</v>
      </c>
      <c r="AF2947" s="1">
        <v>39692</v>
      </c>
      <c r="AG2947" t="s">
        <v>125</v>
      </c>
      <c r="AH2947" t="s">
        <v>126</v>
      </c>
      <c r="AI2947" t="str">
        <f>"4101010"</f>
        <v>4101010</v>
      </c>
      <c r="AJ2947" t="s">
        <v>5814</v>
      </c>
      <c r="AK2947">
        <v>2831022283</v>
      </c>
      <c r="AL2947" t="s">
        <v>5815</v>
      </c>
      <c r="AM2947" t="s">
        <v>64</v>
      </c>
      <c r="AN2947" t="s">
        <v>65</v>
      </c>
      <c r="AO2947" t="s">
        <v>65</v>
      </c>
      <c r="AP2947" t="s">
        <v>65</v>
      </c>
      <c r="AQ2947">
        <v>1</v>
      </c>
      <c r="AR2947" t="s">
        <v>5644</v>
      </c>
      <c r="AS2947" t="s">
        <v>5645</v>
      </c>
      <c r="AT2947" t="s">
        <v>58</v>
      </c>
      <c r="AU2947" t="s">
        <v>68</v>
      </c>
      <c r="AV2947" t="s">
        <v>132</v>
      </c>
      <c r="AW2947" s="1">
        <v>27070</v>
      </c>
      <c r="AX2947">
        <v>2</v>
      </c>
    </row>
    <row r="2948" spans="1:50">
      <c r="A2948">
        <v>179206</v>
      </c>
      <c r="B2948" t="str">
        <f>"064693163"</f>
        <v>064693163</v>
      </c>
      <c r="C2948" t="s">
        <v>50</v>
      </c>
      <c r="D2948" t="s">
        <v>5931</v>
      </c>
      <c r="E2948" t="s">
        <v>566</v>
      </c>
      <c r="F2948" t="s">
        <v>309</v>
      </c>
      <c r="G2948" t="s">
        <v>5142</v>
      </c>
      <c r="H2948" t="str">
        <f>"ΔΗΜΟΚΡΑΤΙΑΣ 34 ΡΕΘΥΜΝΟ"</f>
        <v>ΔΗΜΟΚΡΑΤΙΑΣ 34 ΡΕΘΥΜΝΟ</v>
      </c>
      <c r="I2948">
        <v>74132</v>
      </c>
      <c r="J2948">
        <v>2831057514</v>
      </c>
      <c r="K2948">
        <v>6972350827</v>
      </c>
      <c r="M2948" t="s">
        <v>5932</v>
      </c>
      <c r="N2948" t="s">
        <v>146</v>
      </c>
      <c r="O2948" t="s">
        <v>147</v>
      </c>
      <c r="R2948" t="s">
        <v>57</v>
      </c>
      <c r="S2948">
        <v>11</v>
      </c>
      <c r="T2948">
        <v>181</v>
      </c>
      <c r="U2948" s="1">
        <v>36039</v>
      </c>
      <c r="V2948" t="s">
        <v>5644</v>
      </c>
      <c r="W2948" t="s">
        <v>5645</v>
      </c>
      <c r="X2948" t="s">
        <v>58</v>
      </c>
      <c r="Y2948">
        <v>18</v>
      </c>
      <c r="Z2948" t="s">
        <v>59</v>
      </c>
      <c r="AA2948" t="s">
        <v>59</v>
      </c>
      <c r="AB2948" t="s">
        <v>59</v>
      </c>
      <c r="AC2948" t="s">
        <v>59</v>
      </c>
      <c r="AD2948" t="s">
        <v>59</v>
      </c>
      <c r="AF2948" s="1">
        <v>36039</v>
      </c>
      <c r="AG2948" t="s">
        <v>148</v>
      </c>
      <c r="AH2948" t="s">
        <v>149</v>
      </c>
      <c r="AI2948" t="str">
        <f>"4151009"</f>
        <v>4151009</v>
      </c>
      <c r="AJ2948" t="s">
        <v>5649</v>
      </c>
      <c r="AK2948">
        <v>2831027115</v>
      </c>
      <c r="AL2948" t="s">
        <v>5650</v>
      </c>
      <c r="AM2948" t="s">
        <v>64</v>
      </c>
      <c r="AN2948" t="s">
        <v>65</v>
      </c>
      <c r="AO2948" t="s">
        <v>65</v>
      </c>
      <c r="AP2948" t="s">
        <v>65</v>
      </c>
      <c r="AQ2948">
        <v>1</v>
      </c>
      <c r="AR2948" t="s">
        <v>5644</v>
      </c>
      <c r="AS2948" t="s">
        <v>5645</v>
      </c>
      <c r="AT2948" t="s">
        <v>58</v>
      </c>
      <c r="AU2948" t="s">
        <v>68</v>
      </c>
      <c r="AV2948" t="s">
        <v>69</v>
      </c>
      <c r="AW2948" s="1">
        <v>23964</v>
      </c>
      <c r="AX2948">
        <v>2</v>
      </c>
    </row>
    <row r="2949" spans="1:50">
      <c r="B2949" t="str">
        <f>"121564817"</f>
        <v>121564817</v>
      </c>
      <c r="C2949" t="s">
        <v>50</v>
      </c>
      <c r="D2949" t="s">
        <v>1278</v>
      </c>
      <c r="E2949" t="s">
        <v>237</v>
      </c>
      <c r="F2949" t="s">
        <v>383</v>
      </c>
      <c r="G2949" t="s">
        <v>314</v>
      </c>
      <c r="H2949" t="str">
        <f>" "</f>
        <v xml:space="preserve"> </v>
      </c>
      <c r="N2949" t="s">
        <v>883</v>
      </c>
      <c r="O2949" t="s">
        <v>884</v>
      </c>
      <c r="R2949" t="s">
        <v>121</v>
      </c>
      <c r="S2949">
        <v>1</v>
      </c>
      <c r="T2949" t="s">
        <v>1944</v>
      </c>
      <c r="U2949" s="1">
        <v>43364</v>
      </c>
      <c r="V2949" t="s">
        <v>5644</v>
      </c>
      <c r="W2949" t="s">
        <v>5645</v>
      </c>
      <c r="X2949" t="s">
        <v>58</v>
      </c>
      <c r="Y2949">
        <v>23</v>
      </c>
      <c r="Z2949" t="s">
        <v>59</v>
      </c>
      <c r="AA2949" t="s">
        <v>59</v>
      </c>
      <c r="AB2949" t="s">
        <v>59</v>
      </c>
      <c r="AC2949" t="s">
        <v>59</v>
      </c>
      <c r="AD2949" t="s">
        <v>59</v>
      </c>
      <c r="AF2949" s="1">
        <v>43367</v>
      </c>
      <c r="AG2949" t="s">
        <v>125</v>
      </c>
      <c r="AH2949" t="s">
        <v>126</v>
      </c>
      <c r="AI2949" t="str">
        <f>"4101020"</f>
        <v>4101020</v>
      </c>
      <c r="AJ2949" t="s">
        <v>5652</v>
      </c>
      <c r="AK2949">
        <v>2831023560</v>
      </c>
      <c r="AL2949" t="s">
        <v>5653</v>
      </c>
      <c r="AM2949" t="s">
        <v>64</v>
      </c>
      <c r="AN2949" t="s">
        <v>65</v>
      </c>
      <c r="AO2949" t="s">
        <v>65</v>
      </c>
      <c r="AP2949" t="s">
        <v>65</v>
      </c>
      <c r="AQ2949">
        <v>1</v>
      </c>
      <c r="AR2949" t="s">
        <v>5644</v>
      </c>
      <c r="AS2949" t="s">
        <v>5645</v>
      </c>
      <c r="AT2949" t="s">
        <v>58</v>
      </c>
      <c r="AU2949" t="s">
        <v>350</v>
      </c>
      <c r="AV2949" t="s">
        <v>132</v>
      </c>
      <c r="AW2949" s="1">
        <v>29272</v>
      </c>
      <c r="AX2949">
        <v>2</v>
      </c>
    </row>
    <row r="2950" spans="1:50">
      <c r="A2950">
        <v>213096</v>
      </c>
      <c r="B2950" t="str">
        <f>"115544980"</f>
        <v>115544980</v>
      </c>
      <c r="C2950" t="s">
        <v>105</v>
      </c>
      <c r="D2950" t="s">
        <v>1297</v>
      </c>
      <c r="E2950" t="s">
        <v>95</v>
      </c>
      <c r="F2950" t="s">
        <v>166</v>
      </c>
      <c r="G2950" t="s">
        <v>181</v>
      </c>
      <c r="H2950" t="str">
        <f>"ΓΕΩΡΓΙΟΥ ΠΑΠΑΝΔΡΕΟΥ 59 ΗΡΑΚΛΕΙΟ"</f>
        <v>ΓΕΩΡΓΙΟΥ ΠΑΠΑΝΔΡΕΟΥ 59 ΗΡΑΚΛΕΙΟ</v>
      </c>
      <c r="I2950">
        <v>71305</v>
      </c>
      <c r="J2950">
        <v>2810326941</v>
      </c>
      <c r="K2950">
        <v>6977754599</v>
      </c>
      <c r="M2950" t="s">
        <v>5933</v>
      </c>
      <c r="N2950" t="s">
        <v>232</v>
      </c>
      <c r="O2950" t="s">
        <v>233</v>
      </c>
      <c r="R2950" t="s">
        <v>57</v>
      </c>
      <c r="S2950">
        <v>8</v>
      </c>
      <c r="T2950">
        <v>231</v>
      </c>
      <c r="U2950" s="1">
        <v>38960</v>
      </c>
      <c r="V2950" t="s">
        <v>5644</v>
      </c>
      <c r="W2950" t="s">
        <v>5645</v>
      </c>
      <c r="X2950" t="s">
        <v>58</v>
      </c>
      <c r="Y2950">
        <v>20</v>
      </c>
      <c r="Z2950" t="s">
        <v>59</v>
      </c>
      <c r="AA2950" t="s">
        <v>59</v>
      </c>
      <c r="AB2950" t="s">
        <v>59</v>
      </c>
      <c r="AC2950" t="s">
        <v>59</v>
      </c>
      <c r="AD2950" t="s">
        <v>59</v>
      </c>
      <c r="AF2950" s="1">
        <v>38961</v>
      </c>
      <c r="AG2950" t="s">
        <v>125</v>
      </c>
      <c r="AH2950" t="s">
        <v>126</v>
      </c>
      <c r="AI2950" t="str">
        <f>"4102010"</f>
        <v>4102010</v>
      </c>
      <c r="AJ2950" t="s">
        <v>5735</v>
      </c>
      <c r="AK2950">
        <v>2834031331</v>
      </c>
      <c r="AL2950" t="s">
        <v>5736</v>
      </c>
      <c r="AM2950" t="s">
        <v>64</v>
      </c>
      <c r="AN2950" t="s">
        <v>5737</v>
      </c>
      <c r="AO2950" t="s">
        <v>5737</v>
      </c>
      <c r="AP2950" t="s">
        <v>5737</v>
      </c>
      <c r="AQ2950">
        <v>3</v>
      </c>
      <c r="AR2950" t="s">
        <v>5644</v>
      </c>
      <c r="AS2950" t="s">
        <v>5645</v>
      </c>
      <c r="AT2950" t="s">
        <v>58</v>
      </c>
      <c r="AU2950" t="s">
        <v>68</v>
      </c>
      <c r="AV2950" t="s">
        <v>69</v>
      </c>
      <c r="AW2950" s="1">
        <v>28741</v>
      </c>
      <c r="AX2950">
        <v>2</v>
      </c>
    </row>
    <row r="2951" spans="1:50">
      <c r="A2951">
        <v>182603</v>
      </c>
      <c r="B2951" t="str">
        <f>"078359356"</f>
        <v>078359356</v>
      </c>
      <c r="C2951" t="s">
        <v>50</v>
      </c>
      <c r="D2951" t="s">
        <v>1308</v>
      </c>
      <c r="E2951" t="s">
        <v>1207</v>
      </c>
      <c r="F2951" t="s">
        <v>321</v>
      </c>
      <c r="G2951" t="s">
        <v>52</v>
      </c>
      <c r="H2951" t="str">
        <f>"ΑΤΣΙΠΟΠΟΥΛΟ  ΑΤΣΙΠΟΠΟΥΛΟ"</f>
        <v>ΑΤΣΙΠΟΠΟΥΛΟ  ΑΤΣΙΠΟΠΟΥΛΟ</v>
      </c>
      <c r="I2951">
        <v>74100</v>
      </c>
      <c r="J2951">
        <v>2831032562</v>
      </c>
      <c r="K2951">
        <v>6976783024</v>
      </c>
      <c r="M2951" t="s">
        <v>5934</v>
      </c>
      <c r="N2951" t="s">
        <v>292</v>
      </c>
      <c r="O2951" t="s">
        <v>293</v>
      </c>
      <c r="R2951" t="s">
        <v>57</v>
      </c>
      <c r="S2951">
        <v>9</v>
      </c>
      <c r="T2951">
        <v>249</v>
      </c>
      <c r="U2951" s="1">
        <v>36160</v>
      </c>
      <c r="V2951" t="s">
        <v>5644</v>
      </c>
      <c r="W2951" t="s">
        <v>5645</v>
      </c>
      <c r="X2951" t="s">
        <v>58</v>
      </c>
      <c r="Y2951">
        <v>20</v>
      </c>
      <c r="Z2951" t="s">
        <v>59</v>
      </c>
      <c r="AA2951" t="s">
        <v>59</v>
      </c>
      <c r="AB2951" t="s">
        <v>59</v>
      </c>
      <c r="AC2951" t="s">
        <v>59</v>
      </c>
      <c r="AD2951" t="s">
        <v>59</v>
      </c>
      <c r="AF2951" s="1">
        <v>36181</v>
      </c>
      <c r="AG2951" t="s">
        <v>148</v>
      </c>
      <c r="AH2951" t="s">
        <v>149</v>
      </c>
      <c r="AI2951" t="str">
        <f>"4151009"</f>
        <v>4151009</v>
      </c>
      <c r="AJ2951" t="s">
        <v>5649</v>
      </c>
      <c r="AK2951">
        <v>2831027115</v>
      </c>
      <c r="AL2951" t="s">
        <v>5650</v>
      </c>
      <c r="AM2951" t="s">
        <v>64</v>
      </c>
      <c r="AN2951" t="s">
        <v>65</v>
      </c>
      <c r="AO2951" t="s">
        <v>65</v>
      </c>
      <c r="AP2951" t="s">
        <v>65</v>
      </c>
      <c r="AQ2951">
        <v>1</v>
      </c>
      <c r="AR2951" t="s">
        <v>5644</v>
      </c>
      <c r="AS2951" t="s">
        <v>5645</v>
      </c>
      <c r="AT2951" t="s">
        <v>58</v>
      </c>
      <c r="AU2951" t="s">
        <v>68</v>
      </c>
      <c r="AV2951" t="s">
        <v>69</v>
      </c>
      <c r="AW2951" s="1">
        <v>26442</v>
      </c>
      <c r="AX2951">
        <v>2</v>
      </c>
    </row>
    <row r="2952" spans="1:50">
      <c r="B2952" t="str">
        <f>"126162737"</f>
        <v>126162737</v>
      </c>
      <c r="C2952" t="s">
        <v>50</v>
      </c>
      <c r="D2952" t="s">
        <v>5935</v>
      </c>
      <c r="E2952" t="s">
        <v>5936</v>
      </c>
      <c r="F2952" t="s">
        <v>1320</v>
      </c>
      <c r="G2952" t="s">
        <v>507</v>
      </c>
      <c r="H2952" t="str">
        <f>" "</f>
        <v xml:space="preserve"> </v>
      </c>
      <c r="N2952" t="s">
        <v>447</v>
      </c>
      <c r="O2952" t="s">
        <v>448</v>
      </c>
      <c r="R2952" t="s">
        <v>121</v>
      </c>
      <c r="S2952">
        <v>1</v>
      </c>
      <c r="T2952" t="s">
        <v>1944</v>
      </c>
      <c r="U2952" s="1">
        <v>43364</v>
      </c>
      <c r="V2952" t="s">
        <v>5644</v>
      </c>
      <c r="W2952" t="s">
        <v>5645</v>
      </c>
      <c r="X2952" t="s">
        <v>58</v>
      </c>
      <c r="Y2952">
        <v>23</v>
      </c>
      <c r="Z2952" t="s">
        <v>59</v>
      </c>
      <c r="AD2952" t="s">
        <v>59</v>
      </c>
      <c r="AF2952" s="1">
        <v>43367</v>
      </c>
      <c r="AG2952" t="s">
        <v>125</v>
      </c>
      <c r="AH2952" t="s">
        <v>126</v>
      </c>
      <c r="AI2952" t="str">
        <f>"4110015"</f>
        <v>4110015</v>
      </c>
      <c r="AJ2952" t="s">
        <v>5723</v>
      </c>
      <c r="AK2952">
        <v>2831022741</v>
      </c>
      <c r="AL2952" t="s">
        <v>5724</v>
      </c>
      <c r="AM2952" t="s">
        <v>64</v>
      </c>
      <c r="AN2952" t="s">
        <v>65</v>
      </c>
      <c r="AO2952" t="s">
        <v>5720</v>
      </c>
      <c r="AP2952" t="s">
        <v>5721</v>
      </c>
      <c r="AQ2952">
        <v>1</v>
      </c>
      <c r="AR2952" t="s">
        <v>5644</v>
      </c>
      <c r="AS2952" t="s">
        <v>5645</v>
      </c>
      <c r="AT2952" t="s">
        <v>58</v>
      </c>
      <c r="AU2952" t="s">
        <v>350</v>
      </c>
      <c r="AV2952" t="s">
        <v>132</v>
      </c>
      <c r="AW2952" s="1">
        <v>31275</v>
      </c>
      <c r="AX2952">
        <v>2</v>
      </c>
    </row>
    <row r="2953" spans="1:50">
      <c r="A2953">
        <v>207207</v>
      </c>
      <c r="B2953" t="str">
        <f>"029887321"</f>
        <v>029887321</v>
      </c>
      <c r="C2953" t="s">
        <v>50</v>
      </c>
      <c r="D2953" t="s">
        <v>1331</v>
      </c>
      <c r="E2953" t="s">
        <v>54</v>
      </c>
      <c r="F2953" t="s">
        <v>106</v>
      </c>
      <c r="G2953" t="s">
        <v>5041</v>
      </c>
      <c r="H2953" t="str">
        <f>"ΦΑΙΣΤΟΥ 12 ΡΕΘΥΜΝΟ"</f>
        <v>ΦΑΙΣΤΟΥ 12 ΡΕΘΥΜΝΟ</v>
      </c>
      <c r="I2953">
        <v>74100</v>
      </c>
      <c r="J2953">
        <v>2831029640</v>
      </c>
      <c r="K2953">
        <v>6938094892</v>
      </c>
      <c r="N2953" t="s">
        <v>199</v>
      </c>
      <c r="O2953" t="s">
        <v>200</v>
      </c>
      <c r="R2953" t="s">
        <v>57</v>
      </c>
      <c r="S2953">
        <v>9</v>
      </c>
      <c r="T2953" t="s">
        <v>5937</v>
      </c>
      <c r="U2953" s="1">
        <v>38600</v>
      </c>
      <c r="V2953" t="s">
        <v>5644</v>
      </c>
      <c r="W2953" t="s">
        <v>5645</v>
      </c>
      <c r="X2953" t="s">
        <v>58</v>
      </c>
      <c r="Y2953">
        <v>20</v>
      </c>
      <c r="Z2953" t="s">
        <v>59</v>
      </c>
      <c r="AA2953" t="s">
        <v>59</v>
      </c>
      <c r="AB2953" t="s">
        <v>59</v>
      </c>
      <c r="AC2953" t="s">
        <v>59</v>
      </c>
      <c r="AD2953" t="s">
        <v>59</v>
      </c>
      <c r="AF2953" s="1">
        <v>38600</v>
      </c>
      <c r="AG2953" t="s">
        <v>125</v>
      </c>
      <c r="AH2953" t="s">
        <v>126</v>
      </c>
      <c r="AI2953" t="str">
        <f>"4101010"</f>
        <v>4101010</v>
      </c>
      <c r="AJ2953" t="s">
        <v>5814</v>
      </c>
      <c r="AK2953">
        <v>2831022283</v>
      </c>
      <c r="AL2953" t="s">
        <v>5815</v>
      </c>
      <c r="AM2953" t="s">
        <v>64</v>
      </c>
      <c r="AN2953" t="s">
        <v>65</v>
      </c>
      <c r="AO2953" t="s">
        <v>65</v>
      </c>
      <c r="AP2953" t="s">
        <v>65</v>
      </c>
      <c r="AQ2953">
        <v>1</v>
      </c>
      <c r="AR2953" t="s">
        <v>5644</v>
      </c>
      <c r="AS2953" t="s">
        <v>5645</v>
      </c>
      <c r="AT2953" t="s">
        <v>58</v>
      </c>
      <c r="AU2953" t="s">
        <v>68</v>
      </c>
      <c r="AV2953" t="s">
        <v>69</v>
      </c>
      <c r="AW2953" s="1">
        <v>23228</v>
      </c>
      <c r="AX2953">
        <v>2</v>
      </c>
    </row>
    <row r="2954" spans="1:50">
      <c r="A2954">
        <v>222889</v>
      </c>
      <c r="B2954" t="str">
        <f>"045244143"</f>
        <v>045244143</v>
      </c>
      <c r="C2954" t="s">
        <v>50</v>
      </c>
      <c r="D2954" t="s">
        <v>5938</v>
      </c>
      <c r="E2954" t="s">
        <v>155</v>
      </c>
      <c r="F2954" t="s">
        <v>383</v>
      </c>
      <c r="G2954" t="s">
        <v>215</v>
      </c>
      <c r="H2954" t="str">
        <f>"ΣΟΦΟΥΛΗ 56 ΙΛΙΟΝ"</f>
        <v>ΣΟΦΟΥΛΗ 56 ΙΛΙΟΝ</v>
      </c>
      <c r="I2954">
        <v>13123</v>
      </c>
      <c r="J2954">
        <v>2102635555</v>
      </c>
      <c r="K2954">
        <v>6932282881</v>
      </c>
      <c r="N2954" t="s">
        <v>292</v>
      </c>
      <c r="O2954" t="s">
        <v>293</v>
      </c>
      <c r="R2954" t="s">
        <v>57</v>
      </c>
      <c r="S2954">
        <v>7</v>
      </c>
      <c r="T2954">
        <v>775</v>
      </c>
      <c r="U2954" s="1">
        <v>39680</v>
      </c>
      <c r="V2954" t="s">
        <v>5644</v>
      </c>
      <c r="W2954" t="s">
        <v>5645</v>
      </c>
      <c r="X2954" t="s">
        <v>58</v>
      </c>
      <c r="Y2954">
        <v>21</v>
      </c>
      <c r="Z2954" t="s">
        <v>59</v>
      </c>
      <c r="AA2954" t="s">
        <v>59</v>
      </c>
      <c r="AB2954" t="s">
        <v>59</v>
      </c>
      <c r="AC2954" t="s">
        <v>59</v>
      </c>
      <c r="AD2954" t="s">
        <v>59</v>
      </c>
      <c r="AF2954" s="1">
        <v>39681</v>
      </c>
      <c r="AG2954" t="s">
        <v>148</v>
      </c>
      <c r="AH2954" t="s">
        <v>149</v>
      </c>
      <c r="AI2954" t="str">
        <f>"4154010"</f>
        <v>4154010</v>
      </c>
      <c r="AJ2954" t="s">
        <v>5687</v>
      </c>
      <c r="AK2954">
        <v>2834023300</v>
      </c>
      <c r="AL2954" t="s">
        <v>5688</v>
      </c>
      <c r="AM2954" t="s">
        <v>64</v>
      </c>
      <c r="AN2954" t="s">
        <v>5672</v>
      </c>
      <c r="AO2954" t="s">
        <v>5673</v>
      </c>
      <c r="AP2954" t="s">
        <v>5689</v>
      </c>
      <c r="AQ2954">
        <v>2</v>
      </c>
      <c r="AR2954" t="s">
        <v>5644</v>
      </c>
      <c r="AS2954" t="s">
        <v>5645</v>
      </c>
      <c r="AT2954" t="s">
        <v>58</v>
      </c>
      <c r="AU2954" t="s">
        <v>68</v>
      </c>
      <c r="AV2954" t="s">
        <v>69</v>
      </c>
      <c r="AW2954" s="1">
        <v>23902</v>
      </c>
      <c r="AX2954">
        <v>2</v>
      </c>
    </row>
    <row r="2955" spans="1:50">
      <c r="A2955">
        <v>213664</v>
      </c>
      <c r="B2955" t="str">
        <f>"070511390"</f>
        <v>070511390</v>
      </c>
      <c r="C2955" t="s">
        <v>50</v>
      </c>
      <c r="D2955" t="s">
        <v>5939</v>
      </c>
      <c r="E2955" t="s">
        <v>52</v>
      </c>
      <c r="F2955" t="s">
        <v>99</v>
      </c>
      <c r="G2955" t="s">
        <v>73</v>
      </c>
      <c r="H2955" t="str">
        <f>"Π. Μυλωνάκη 34 ΓΑΛΛΟΣ"</f>
        <v>Π. Μυλωνάκη 34 ΓΑΛΛΟΣ</v>
      </c>
      <c r="I2955">
        <v>74100</v>
      </c>
      <c r="J2955">
        <v>2521035689</v>
      </c>
      <c r="K2955">
        <v>6976842463</v>
      </c>
      <c r="N2955" t="s">
        <v>306</v>
      </c>
      <c r="O2955" t="s">
        <v>307</v>
      </c>
      <c r="R2955" t="s">
        <v>57</v>
      </c>
      <c r="S2955">
        <v>8</v>
      </c>
      <c r="T2955">
        <v>231</v>
      </c>
      <c r="U2955" s="1">
        <v>38960</v>
      </c>
      <c r="V2955" t="s">
        <v>5644</v>
      </c>
      <c r="W2955" t="s">
        <v>5645</v>
      </c>
      <c r="X2955" t="s">
        <v>58</v>
      </c>
      <c r="Y2955">
        <v>20</v>
      </c>
      <c r="Z2955" t="s">
        <v>59</v>
      </c>
      <c r="AA2955" t="s">
        <v>59</v>
      </c>
      <c r="AB2955" t="s">
        <v>59</v>
      </c>
      <c r="AC2955" t="s">
        <v>59</v>
      </c>
      <c r="AD2955" t="s">
        <v>59</v>
      </c>
      <c r="AF2955" s="1">
        <v>38961</v>
      </c>
      <c r="AG2955" t="s">
        <v>148</v>
      </c>
      <c r="AH2955" t="s">
        <v>149</v>
      </c>
      <c r="AI2955" t="str">
        <f>"4156010"</f>
        <v>4156010</v>
      </c>
      <c r="AJ2955" t="s">
        <v>5925</v>
      </c>
      <c r="AK2955">
        <v>2832022328</v>
      </c>
      <c r="AL2955" t="s">
        <v>5926</v>
      </c>
      <c r="AM2955" t="s">
        <v>64</v>
      </c>
      <c r="AN2955" t="s">
        <v>5882</v>
      </c>
      <c r="AO2955" t="s">
        <v>5883</v>
      </c>
      <c r="AP2955" t="s">
        <v>5884</v>
      </c>
      <c r="AQ2955">
        <v>5</v>
      </c>
      <c r="AR2955" t="s">
        <v>5644</v>
      </c>
      <c r="AS2955" t="s">
        <v>5645</v>
      </c>
      <c r="AT2955" t="s">
        <v>58</v>
      </c>
      <c r="AU2955" t="s">
        <v>68</v>
      </c>
      <c r="AV2955" t="s">
        <v>69</v>
      </c>
      <c r="AW2955" s="1">
        <v>27578</v>
      </c>
      <c r="AX2955">
        <v>2</v>
      </c>
    </row>
    <row r="2956" spans="1:50">
      <c r="A2956">
        <v>169652</v>
      </c>
      <c r="B2956" t="str">
        <f>"027306260"</f>
        <v>027306260</v>
      </c>
      <c r="C2956" t="s">
        <v>50</v>
      </c>
      <c r="D2956" t="s">
        <v>5940</v>
      </c>
      <c r="E2956" t="s">
        <v>513</v>
      </c>
      <c r="F2956" t="s">
        <v>95</v>
      </c>
      <c r="G2956" t="s">
        <v>1176</v>
      </c>
      <c r="H2956" t="str">
        <f>"Ζυμβρακάκη 10 "</f>
        <v xml:space="preserve">Ζυμβρακάκη 10 </v>
      </c>
      <c r="I2956">
        <v>74100</v>
      </c>
      <c r="J2956">
        <v>2831050973</v>
      </c>
      <c r="K2956">
        <v>6984489073</v>
      </c>
      <c r="M2956" t="s">
        <v>5941</v>
      </c>
      <c r="N2956" t="s">
        <v>146</v>
      </c>
      <c r="O2956" t="s">
        <v>147</v>
      </c>
      <c r="R2956" t="s">
        <v>57</v>
      </c>
      <c r="S2956">
        <v>13</v>
      </c>
      <c r="T2956">
        <v>184</v>
      </c>
      <c r="U2956" s="1">
        <v>34941</v>
      </c>
      <c r="V2956" t="s">
        <v>5644</v>
      </c>
      <c r="W2956" t="s">
        <v>5645</v>
      </c>
      <c r="X2956" t="s">
        <v>58</v>
      </c>
      <c r="Y2956">
        <v>18</v>
      </c>
      <c r="Z2956" t="s">
        <v>59</v>
      </c>
      <c r="AA2956" t="s">
        <v>59</v>
      </c>
      <c r="AB2956" t="s">
        <v>59</v>
      </c>
      <c r="AC2956" t="s">
        <v>59</v>
      </c>
      <c r="AD2956" t="s">
        <v>452</v>
      </c>
      <c r="AE2956" s="1">
        <v>43708</v>
      </c>
      <c r="AF2956" s="1">
        <v>34946</v>
      </c>
      <c r="AG2956" t="s">
        <v>125</v>
      </c>
      <c r="AH2956" t="s">
        <v>5702</v>
      </c>
      <c r="AI2956" t="str">
        <f>"4101042"</f>
        <v>4101042</v>
      </c>
      <c r="AJ2956" t="s">
        <v>5703</v>
      </c>
      <c r="AK2956">
        <v>2831027230</v>
      </c>
      <c r="AL2956" t="s">
        <v>5704</v>
      </c>
      <c r="AM2956" t="s">
        <v>64</v>
      </c>
      <c r="AN2956" t="s">
        <v>65</v>
      </c>
      <c r="AO2956" t="s">
        <v>65</v>
      </c>
      <c r="AP2956" t="s">
        <v>65</v>
      </c>
      <c r="AQ2956">
        <v>1</v>
      </c>
      <c r="AR2956" t="s">
        <v>5644</v>
      </c>
      <c r="AS2956" t="s">
        <v>5645</v>
      </c>
      <c r="AT2956" t="s">
        <v>58</v>
      </c>
      <c r="AU2956" t="s">
        <v>68</v>
      </c>
      <c r="AV2956" t="s">
        <v>69</v>
      </c>
      <c r="AW2956" s="1">
        <v>23569</v>
      </c>
      <c r="AX2956">
        <v>2</v>
      </c>
    </row>
    <row r="2957" spans="1:50">
      <c r="A2957">
        <v>169158</v>
      </c>
      <c r="B2957" t="str">
        <f>"053333834"</f>
        <v>053333834</v>
      </c>
      <c r="C2957" t="s">
        <v>105</v>
      </c>
      <c r="D2957" t="s">
        <v>5942</v>
      </c>
      <c r="E2957" t="s">
        <v>53</v>
      </c>
      <c r="F2957" t="s">
        <v>760</v>
      </c>
      <c r="G2957" t="s">
        <v>1068</v>
      </c>
      <c r="H2957" t="str">
        <f>"ΚΑΠΟΔΙΣΤΡΙΟΥ  59 ΡΕΘΥΜΝΟ"</f>
        <v>ΚΑΠΟΔΙΣΤΡΙΟΥ  59 ΡΕΘΥΜΝΟ</v>
      </c>
      <c r="I2957">
        <v>74100</v>
      </c>
      <c r="N2957" t="s">
        <v>204</v>
      </c>
      <c r="O2957" t="s">
        <v>205</v>
      </c>
      <c r="R2957" t="s">
        <v>57</v>
      </c>
      <c r="S2957">
        <v>12</v>
      </c>
      <c r="T2957">
        <v>159</v>
      </c>
      <c r="U2957" s="1">
        <v>34582</v>
      </c>
      <c r="V2957" t="s">
        <v>5644</v>
      </c>
      <c r="W2957" t="s">
        <v>5645</v>
      </c>
      <c r="X2957" t="s">
        <v>58</v>
      </c>
      <c r="Y2957">
        <v>18</v>
      </c>
      <c r="Z2957" t="s">
        <v>59</v>
      </c>
      <c r="AA2957" t="s">
        <v>59</v>
      </c>
      <c r="AB2957" t="s">
        <v>59</v>
      </c>
      <c r="AC2957" t="s">
        <v>59</v>
      </c>
      <c r="AD2957" t="s">
        <v>59</v>
      </c>
      <c r="AF2957" s="1">
        <v>34582</v>
      </c>
      <c r="AG2957" t="s">
        <v>125</v>
      </c>
      <c r="AH2957" t="s">
        <v>126</v>
      </c>
      <c r="AI2957" t="str">
        <f>"4135001"</f>
        <v>4135001</v>
      </c>
      <c r="AJ2957" t="s">
        <v>5729</v>
      </c>
      <c r="AK2957">
        <v>2831073938</v>
      </c>
      <c r="AL2957" t="s">
        <v>5730</v>
      </c>
      <c r="AM2957" t="s">
        <v>64</v>
      </c>
      <c r="AN2957" t="s">
        <v>65</v>
      </c>
      <c r="AO2957" t="s">
        <v>65</v>
      </c>
      <c r="AP2957" t="s">
        <v>65</v>
      </c>
      <c r="AQ2957">
        <v>1</v>
      </c>
      <c r="AR2957" t="s">
        <v>5644</v>
      </c>
      <c r="AS2957" t="s">
        <v>5645</v>
      </c>
      <c r="AT2957" t="s">
        <v>58</v>
      </c>
      <c r="AU2957" t="s">
        <v>68</v>
      </c>
      <c r="AV2957" t="s">
        <v>357</v>
      </c>
      <c r="AW2957" s="1">
        <v>24760</v>
      </c>
      <c r="AX2957">
        <v>2</v>
      </c>
    </row>
    <row r="2958" spans="1:50">
      <c r="A2958">
        <v>204243</v>
      </c>
      <c r="B2958" t="str">
        <f>"045956146"</f>
        <v>045956146</v>
      </c>
      <c r="C2958" t="s">
        <v>50</v>
      </c>
      <c r="D2958" t="s">
        <v>5943</v>
      </c>
      <c r="E2958" t="s">
        <v>263</v>
      </c>
      <c r="F2958" t="s">
        <v>72</v>
      </c>
      <c r="G2958" t="s">
        <v>964</v>
      </c>
      <c r="H2958" t="str">
        <f>"Ν. ΒΑΡΔΙΝΟΓΙΑΝΝΗ 37 ΡΕΘΥΜΝΟ"</f>
        <v>Ν. ΒΑΡΔΙΝΟΓΙΑΝΝΗ 37 ΡΕΘΥΜΝΟ</v>
      </c>
      <c r="I2958">
        <v>74100</v>
      </c>
      <c r="J2958">
        <v>2831052640</v>
      </c>
      <c r="K2958">
        <v>6977663402</v>
      </c>
      <c r="N2958" t="s">
        <v>189</v>
      </c>
      <c r="O2958" t="s">
        <v>190</v>
      </c>
      <c r="R2958" t="s">
        <v>57</v>
      </c>
      <c r="S2958">
        <v>8</v>
      </c>
      <c r="T2958">
        <v>231</v>
      </c>
      <c r="U2958" s="1">
        <v>38230</v>
      </c>
      <c r="V2958" t="s">
        <v>5644</v>
      </c>
      <c r="W2958" t="s">
        <v>5645</v>
      </c>
      <c r="X2958" t="s">
        <v>58</v>
      </c>
      <c r="Y2958">
        <v>20</v>
      </c>
      <c r="Z2958" t="s">
        <v>59</v>
      </c>
      <c r="AA2958" t="s">
        <v>59</v>
      </c>
      <c r="AB2958" t="s">
        <v>59</v>
      </c>
      <c r="AC2958" t="s">
        <v>59</v>
      </c>
      <c r="AD2958" t="s">
        <v>59</v>
      </c>
      <c r="AF2958" s="1">
        <v>38233</v>
      </c>
      <c r="AG2958" t="s">
        <v>137</v>
      </c>
      <c r="AH2958" t="s">
        <v>138</v>
      </c>
      <c r="AI2958" t="str">
        <f>"4150040"</f>
        <v>4150040</v>
      </c>
      <c r="AJ2958" t="s">
        <v>5661</v>
      </c>
      <c r="AK2958">
        <v>2831029048</v>
      </c>
      <c r="AL2958" t="s">
        <v>5662</v>
      </c>
      <c r="AM2958" t="s">
        <v>64</v>
      </c>
      <c r="AN2958" t="s">
        <v>65</v>
      </c>
      <c r="AO2958" t="s">
        <v>65</v>
      </c>
      <c r="AP2958" t="s">
        <v>65</v>
      </c>
      <c r="AQ2958">
        <v>1</v>
      </c>
      <c r="AR2958" t="s">
        <v>5644</v>
      </c>
      <c r="AS2958" t="s">
        <v>5645</v>
      </c>
      <c r="AT2958" t="s">
        <v>58</v>
      </c>
      <c r="AU2958" t="s">
        <v>68</v>
      </c>
      <c r="AV2958" t="s">
        <v>69</v>
      </c>
      <c r="AW2958" s="1">
        <v>24324</v>
      </c>
      <c r="AX2958">
        <v>2</v>
      </c>
    </row>
    <row r="2959" spans="1:50">
      <c r="A2959">
        <v>146427</v>
      </c>
      <c r="B2959" t="str">
        <f>"026355140"</f>
        <v>026355140</v>
      </c>
      <c r="C2959" t="s">
        <v>105</v>
      </c>
      <c r="D2959" t="s">
        <v>5944</v>
      </c>
      <c r="E2959" t="s">
        <v>53</v>
      </c>
      <c r="F2959" t="s">
        <v>2184</v>
      </c>
      <c r="G2959" t="s">
        <v>83</v>
      </c>
      <c r="H2959" t="str">
        <f>"Λ. ΚΟΥΝΤΟΥΡΙΩΤΗ 129 ΡΕΘΥΜΝΟ"</f>
        <v>Λ. ΚΟΥΝΤΟΥΡΙΩΤΗ 129 ΡΕΘΥΜΝΟ</v>
      </c>
      <c r="I2959">
        <v>74100</v>
      </c>
      <c r="J2959">
        <v>2831025405</v>
      </c>
      <c r="K2959">
        <v>6944686863</v>
      </c>
      <c r="M2959" t="s">
        <v>5945</v>
      </c>
      <c r="N2959" t="s">
        <v>292</v>
      </c>
      <c r="O2959" t="s">
        <v>293</v>
      </c>
      <c r="R2959" t="s">
        <v>57</v>
      </c>
      <c r="S2959">
        <v>16</v>
      </c>
      <c r="T2959">
        <v>237</v>
      </c>
      <c r="U2959" s="1">
        <v>31293</v>
      </c>
      <c r="V2959" t="s">
        <v>5644</v>
      </c>
      <c r="W2959" t="s">
        <v>5645</v>
      </c>
      <c r="X2959" t="s">
        <v>58</v>
      </c>
      <c r="Y2959">
        <v>18</v>
      </c>
      <c r="Z2959" t="s">
        <v>59</v>
      </c>
      <c r="AA2959" t="s">
        <v>59</v>
      </c>
      <c r="AB2959" t="s">
        <v>59</v>
      </c>
      <c r="AC2959" t="s">
        <v>59</v>
      </c>
      <c r="AD2959" t="s">
        <v>59</v>
      </c>
      <c r="AF2959" s="1">
        <v>31293</v>
      </c>
      <c r="AG2959" t="s">
        <v>148</v>
      </c>
      <c r="AH2959" t="s">
        <v>149</v>
      </c>
      <c r="AI2959" t="str">
        <f>"4151009"</f>
        <v>4151009</v>
      </c>
      <c r="AJ2959" t="s">
        <v>5649</v>
      </c>
      <c r="AK2959">
        <v>2831027115</v>
      </c>
      <c r="AL2959" t="s">
        <v>5650</v>
      </c>
      <c r="AM2959" t="s">
        <v>64</v>
      </c>
      <c r="AN2959" t="s">
        <v>65</v>
      </c>
      <c r="AO2959" t="s">
        <v>65</v>
      </c>
      <c r="AP2959" t="s">
        <v>65</v>
      </c>
      <c r="AQ2959">
        <v>1</v>
      </c>
      <c r="AR2959" t="s">
        <v>5644</v>
      </c>
      <c r="AS2959" t="s">
        <v>5645</v>
      </c>
      <c r="AT2959" t="s">
        <v>58</v>
      </c>
      <c r="AU2959" t="s">
        <v>68</v>
      </c>
      <c r="AV2959" t="s">
        <v>69</v>
      </c>
      <c r="AW2959" s="1">
        <v>20297</v>
      </c>
      <c r="AX2959">
        <v>2</v>
      </c>
    </row>
    <row r="2960" spans="1:50">
      <c r="B2960" t="str">
        <f>"113170240"</f>
        <v>113170240</v>
      </c>
      <c r="C2960" t="s">
        <v>105</v>
      </c>
      <c r="D2960" t="s">
        <v>5946</v>
      </c>
      <c r="E2960" t="s">
        <v>53</v>
      </c>
      <c r="F2960" t="s">
        <v>72</v>
      </c>
      <c r="G2960" t="s">
        <v>155</v>
      </c>
      <c r="H2960" t="str">
        <f>" "</f>
        <v xml:space="preserve"> </v>
      </c>
      <c r="N2960" t="s">
        <v>282</v>
      </c>
      <c r="O2960" t="s">
        <v>283</v>
      </c>
      <c r="R2960" t="s">
        <v>121</v>
      </c>
      <c r="S2960">
        <v>1</v>
      </c>
      <c r="T2960" t="s">
        <v>574</v>
      </c>
      <c r="U2960" s="1">
        <v>43378</v>
      </c>
      <c r="V2960" t="s">
        <v>5644</v>
      </c>
      <c r="W2960" t="s">
        <v>5645</v>
      </c>
      <c r="X2960" t="s">
        <v>58</v>
      </c>
      <c r="Y2960">
        <v>23</v>
      </c>
      <c r="Z2960" t="s">
        <v>59</v>
      </c>
      <c r="AD2960" t="s">
        <v>59</v>
      </c>
      <c r="AF2960" s="1">
        <v>43381</v>
      </c>
      <c r="AG2960" t="s">
        <v>137</v>
      </c>
      <c r="AH2960" t="s">
        <v>138</v>
      </c>
      <c r="AI2960" t="str">
        <f>"4140035"</f>
        <v>4140035</v>
      </c>
      <c r="AJ2960" t="s">
        <v>5905</v>
      </c>
      <c r="AK2960">
        <v>2834041440</v>
      </c>
      <c r="AL2960" t="s">
        <v>5906</v>
      </c>
      <c r="AM2960" t="s">
        <v>64</v>
      </c>
      <c r="AN2960" t="s">
        <v>5672</v>
      </c>
      <c r="AO2960" t="s">
        <v>5698</v>
      </c>
      <c r="AP2960" t="s">
        <v>5788</v>
      </c>
      <c r="AQ2960">
        <v>2</v>
      </c>
      <c r="AR2960" t="s">
        <v>5644</v>
      </c>
      <c r="AS2960" t="s">
        <v>5645</v>
      </c>
      <c r="AT2960" t="s">
        <v>58</v>
      </c>
      <c r="AU2960" t="s">
        <v>164</v>
      </c>
      <c r="AV2960" t="s">
        <v>132</v>
      </c>
      <c r="AW2960" s="1">
        <v>29587</v>
      </c>
      <c r="AX2960">
        <v>2</v>
      </c>
    </row>
    <row r="2961" spans="1:50">
      <c r="A2961">
        <v>208428</v>
      </c>
      <c r="B2961" t="str">
        <f>"072915796"</f>
        <v>072915796</v>
      </c>
      <c r="C2961" t="s">
        <v>50</v>
      </c>
      <c r="D2961" t="s">
        <v>5947</v>
      </c>
      <c r="E2961" t="s">
        <v>5948</v>
      </c>
      <c r="F2961" t="s">
        <v>5949</v>
      </c>
      <c r="G2961" t="s">
        <v>5950</v>
      </c>
      <c r="H2961" t="str">
        <f>"ΒΑΣΙΛΗ ΞΑΝΘΟΠΟΥΛΟΥ 5 "</f>
        <v xml:space="preserve">ΒΑΣΙΛΗ ΞΑΝΘΟΠΟΥΛΟΥ 5 </v>
      </c>
      <c r="I2961">
        <v>74100</v>
      </c>
      <c r="J2961">
        <v>2831026758</v>
      </c>
      <c r="K2961">
        <v>6932685118</v>
      </c>
      <c r="M2961" t="s">
        <v>5951</v>
      </c>
      <c r="N2961" t="s">
        <v>257</v>
      </c>
      <c r="O2961" t="s">
        <v>258</v>
      </c>
      <c r="P2961" t="s">
        <v>1116</v>
      </c>
      <c r="Q2961" t="s">
        <v>1117</v>
      </c>
      <c r="R2961" t="s">
        <v>57</v>
      </c>
      <c r="S2961">
        <v>10</v>
      </c>
      <c r="T2961">
        <v>218</v>
      </c>
      <c r="U2961" s="1">
        <v>38596</v>
      </c>
      <c r="V2961" t="s">
        <v>5644</v>
      </c>
      <c r="W2961" t="s">
        <v>5645</v>
      </c>
      <c r="X2961" t="s">
        <v>58</v>
      </c>
      <c r="Y2961">
        <v>20</v>
      </c>
      <c r="Z2961" t="s">
        <v>59</v>
      </c>
      <c r="AA2961" t="s">
        <v>59</v>
      </c>
      <c r="AB2961" t="s">
        <v>59</v>
      </c>
      <c r="AC2961" t="s">
        <v>59</v>
      </c>
      <c r="AD2961" t="s">
        <v>59</v>
      </c>
      <c r="AF2961" s="1">
        <v>38600</v>
      </c>
      <c r="AG2961" t="s">
        <v>125</v>
      </c>
      <c r="AH2961" t="s">
        <v>126</v>
      </c>
      <c r="AI2961" t="str">
        <f>"4101020"</f>
        <v>4101020</v>
      </c>
      <c r="AJ2961" t="s">
        <v>5652</v>
      </c>
      <c r="AK2961">
        <v>2831023560</v>
      </c>
      <c r="AL2961" t="s">
        <v>5653</v>
      </c>
      <c r="AM2961" t="s">
        <v>64</v>
      </c>
      <c r="AN2961" t="s">
        <v>65</v>
      </c>
      <c r="AO2961" t="s">
        <v>65</v>
      </c>
      <c r="AP2961" t="s">
        <v>65</v>
      </c>
      <c r="AQ2961">
        <v>1</v>
      </c>
      <c r="AR2961" t="s">
        <v>5644</v>
      </c>
      <c r="AS2961" t="s">
        <v>5645</v>
      </c>
      <c r="AT2961" t="s">
        <v>58</v>
      </c>
      <c r="AU2961" t="s">
        <v>68</v>
      </c>
      <c r="AV2961" t="s">
        <v>69</v>
      </c>
      <c r="AW2961" s="1">
        <v>26479</v>
      </c>
      <c r="AX2961">
        <v>2</v>
      </c>
    </row>
    <row r="2962" spans="1:50">
      <c r="B2962" t="str">
        <f>"113632345"</f>
        <v>113632345</v>
      </c>
      <c r="C2962" t="s">
        <v>50</v>
      </c>
      <c r="D2962" t="s">
        <v>1420</v>
      </c>
      <c r="E2962" t="s">
        <v>710</v>
      </c>
      <c r="F2962" t="s">
        <v>718</v>
      </c>
      <c r="G2962" t="s">
        <v>263</v>
      </c>
      <c r="H2962" t="str">
        <f>"ΠΡΙΝΕΣ-ΡΕΘΥΜΝΟΥ ΡΕΘΥΜΝΟ"</f>
        <v>ΠΡΙΝΕΣ-ΡΕΘΥΜΝΟΥ ΡΕΘΥΜΝΟ</v>
      </c>
      <c r="I2962">
        <v>74100</v>
      </c>
      <c r="J2962">
        <v>2831031522</v>
      </c>
      <c r="K2962">
        <v>6973920117</v>
      </c>
      <c r="M2962" t="s">
        <v>5952</v>
      </c>
      <c r="N2962" t="s">
        <v>146</v>
      </c>
      <c r="O2962" t="s">
        <v>147</v>
      </c>
      <c r="R2962" t="s">
        <v>121</v>
      </c>
      <c r="S2962">
        <v>1</v>
      </c>
      <c r="T2962" t="s">
        <v>416</v>
      </c>
      <c r="U2962" s="1">
        <v>43349</v>
      </c>
      <c r="V2962" t="s">
        <v>5644</v>
      </c>
      <c r="W2962" t="s">
        <v>5645</v>
      </c>
      <c r="X2962" t="s">
        <v>58</v>
      </c>
      <c r="Y2962">
        <v>23</v>
      </c>
      <c r="Z2962" t="s">
        <v>59</v>
      </c>
      <c r="AA2962" t="s">
        <v>59</v>
      </c>
      <c r="AB2962" t="s">
        <v>59</v>
      </c>
      <c r="AC2962" t="s">
        <v>59</v>
      </c>
      <c r="AD2962" t="s">
        <v>59</v>
      </c>
      <c r="AF2962" s="1">
        <v>43349</v>
      </c>
      <c r="AG2962" t="s">
        <v>137</v>
      </c>
      <c r="AH2962" t="s">
        <v>138</v>
      </c>
      <c r="AI2962" t="str">
        <f>"4150040"</f>
        <v>4150040</v>
      </c>
      <c r="AJ2962" t="s">
        <v>5661</v>
      </c>
      <c r="AK2962">
        <v>2831029048</v>
      </c>
      <c r="AL2962" t="s">
        <v>5662</v>
      </c>
      <c r="AM2962" t="s">
        <v>64</v>
      </c>
      <c r="AN2962" t="s">
        <v>65</v>
      </c>
      <c r="AO2962" t="s">
        <v>65</v>
      </c>
      <c r="AP2962" t="s">
        <v>65</v>
      </c>
      <c r="AQ2962">
        <v>1</v>
      </c>
      <c r="AR2962" t="s">
        <v>5644</v>
      </c>
      <c r="AS2962" t="s">
        <v>5645</v>
      </c>
      <c r="AT2962" t="s">
        <v>58</v>
      </c>
      <c r="AU2962" t="s">
        <v>419</v>
      </c>
      <c r="AV2962" t="s">
        <v>132</v>
      </c>
      <c r="AW2962" s="1">
        <v>28840</v>
      </c>
      <c r="AX2962">
        <v>2</v>
      </c>
    </row>
    <row r="2963" spans="1:50">
      <c r="A2963">
        <v>181433</v>
      </c>
      <c r="B2963" t="str">
        <f>"037782965"</f>
        <v>037782965</v>
      </c>
      <c r="C2963" t="s">
        <v>105</v>
      </c>
      <c r="D2963" t="s">
        <v>4812</v>
      </c>
      <c r="E2963" t="s">
        <v>106</v>
      </c>
      <c r="F2963" t="s">
        <v>95</v>
      </c>
      <c r="G2963" t="s">
        <v>1001</v>
      </c>
      <c r="H2963" t="str">
        <f>"ΣΤΑΥΡΩΜΕΝΟΣ  ΡΕΘΥΜΝΟ"</f>
        <v>ΣΤΑΥΡΩΜΕΝΟΣ  ΡΕΘΥΜΝΟ</v>
      </c>
      <c r="I2963">
        <v>74100</v>
      </c>
      <c r="J2963">
        <v>2831072939</v>
      </c>
      <c r="K2963">
        <v>6977682050</v>
      </c>
      <c r="M2963" t="s">
        <v>5953</v>
      </c>
      <c r="N2963" t="s">
        <v>299</v>
      </c>
      <c r="O2963" t="s">
        <v>300</v>
      </c>
      <c r="R2963" t="s">
        <v>57</v>
      </c>
      <c r="S2963">
        <v>12</v>
      </c>
      <c r="T2963">
        <v>181</v>
      </c>
      <c r="U2963" s="1">
        <v>36039</v>
      </c>
      <c r="V2963" t="s">
        <v>5644</v>
      </c>
      <c r="W2963" t="s">
        <v>5645</v>
      </c>
      <c r="X2963" t="s">
        <v>58</v>
      </c>
      <c r="Y2963">
        <v>18</v>
      </c>
      <c r="Z2963" t="s">
        <v>59</v>
      </c>
      <c r="AA2963" t="s">
        <v>59</v>
      </c>
      <c r="AB2963" t="s">
        <v>59</v>
      </c>
      <c r="AC2963" t="s">
        <v>59</v>
      </c>
      <c r="AD2963" t="s">
        <v>59</v>
      </c>
      <c r="AF2963" s="1">
        <v>36040</v>
      </c>
      <c r="AG2963" t="s">
        <v>148</v>
      </c>
      <c r="AH2963" t="s">
        <v>149</v>
      </c>
      <c r="AI2963" t="str">
        <f>"4151009"</f>
        <v>4151009</v>
      </c>
      <c r="AJ2963" t="s">
        <v>5649</v>
      </c>
      <c r="AK2963">
        <v>2831027115</v>
      </c>
      <c r="AL2963" t="s">
        <v>5650</v>
      </c>
      <c r="AM2963" t="s">
        <v>64</v>
      </c>
      <c r="AN2963" t="s">
        <v>65</v>
      </c>
      <c r="AO2963" t="s">
        <v>65</v>
      </c>
      <c r="AP2963" t="s">
        <v>65</v>
      </c>
      <c r="AQ2963">
        <v>1</v>
      </c>
      <c r="AR2963" t="s">
        <v>5644</v>
      </c>
      <c r="AS2963" t="s">
        <v>5645</v>
      </c>
      <c r="AT2963" t="s">
        <v>58</v>
      </c>
      <c r="AU2963" t="s">
        <v>68</v>
      </c>
      <c r="AV2963" t="s">
        <v>69</v>
      </c>
      <c r="AW2963" s="1">
        <v>21596</v>
      </c>
      <c r="AX2963">
        <v>2</v>
      </c>
    </row>
    <row r="2964" spans="1:50">
      <c r="A2964">
        <v>227884</v>
      </c>
      <c r="B2964" t="str">
        <f>"118456440"</f>
        <v>118456440</v>
      </c>
      <c r="C2964" t="s">
        <v>50</v>
      </c>
      <c r="D2964" t="s">
        <v>1430</v>
      </c>
      <c r="E2964" t="s">
        <v>460</v>
      </c>
      <c r="F2964" t="s">
        <v>2635</v>
      </c>
      <c r="G2964" t="s">
        <v>83</v>
      </c>
      <c r="H2964" t="str">
        <f>"ΠΑΡΗΓΟΡΙΑ ΧΑΝΙΑ"</f>
        <v>ΠΑΡΗΓΟΡΙΑ ΧΑΝΙΑ</v>
      </c>
      <c r="I2964">
        <v>73100</v>
      </c>
      <c r="J2964">
        <v>2821080080</v>
      </c>
      <c r="K2964">
        <v>6947373259</v>
      </c>
      <c r="M2964" t="s">
        <v>5954</v>
      </c>
      <c r="N2964" t="s">
        <v>176</v>
      </c>
      <c r="O2964" t="s">
        <v>177</v>
      </c>
      <c r="R2964" t="s">
        <v>57</v>
      </c>
      <c r="S2964">
        <v>5</v>
      </c>
      <c r="T2964">
        <v>654</v>
      </c>
      <c r="U2964" s="1">
        <v>40043</v>
      </c>
      <c r="V2964" t="s">
        <v>5644</v>
      </c>
      <c r="W2964" t="s">
        <v>5645</v>
      </c>
      <c r="X2964" t="s">
        <v>58</v>
      </c>
      <c r="Y2964">
        <v>21</v>
      </c>
      <c r="Z2964" t="s">
        <v>59</v>
      </c>
      <c r="AA2964" t="s">
        <v>59</v>
      </c>
      <c r="AB2964" t="s">
        <v>59</v>
      </c>
      <c r="AC2964" t="s">
        <v>59</v>
      </c>
      <c r="AD2964" t="s">
        <v>59</v>
      </c>
      <c r="AF2964" s="1">
        <v>40043</v>
      </c>
      <c r="AG2964" t="s">
        <v>148</v>
      </c>
      <c r="AH2964" t="s">
        <v>149</v>
      </c>
      <c r="AI2964" t="str">
        <f>"4151009"</f>
        <v>4151009</v>
      </c>
      <c r="AJ2964" t="s">
        <v>5649</v>
      </c>
      <c r="AK2964">
        <v>2831027115</v>
      </c>
      <c r="AL2964" t="s">
        <v>5650</v>
      </c>
      <c r="AM2964" t="s">
        <v>64</v>
      </c>
      <c r="AN2964" t="s">
        <v>65</v>
      </c>
      <c r="AO2964" t="s">
        <v>65</v>
      </c>
      <c r="AP2964" t="s">
        <v>65</v>
      </c>
      <c r="AQ2964">
        <v>1</v>
      </c>
      <c r="AR2964" t="s">
        <v>5644</v>
      </c>
      <c r="AS2964" t="s">
        <v>5645</v>
      </c>
      <c r="AT2964" t="s">
        <v>58</v>
      </c>
      <c r="AU2964" t="s">
        <v>68</v>
      </c>
      <c r="AV2964" t="s">
        <v>132</v>
      </c>
      <c r="AW2964" s="1">
        <v>29153</v>
      </c>
      <c r="AX2964">
        <v>2</v>
      </c>
    </row>
    <row r="2965" spans="1:50">
      <c r="B2965" t="str">
        <f>"104742419"</f>
        <v>104742419</v>
      </c>
      <c r="C2965" t="s">
        <v>50</v>
      </c>
      <c r="D2965" t="s">
        <v>1439</v>
      </c>
      <c r="E2965" t="s">
        <v>476</v>
      </c>
      <c r="F2965" t="s">
        <v>3914</v>
      </c>
      <c r="G2965" t="s">
        <v>5955</v>
      </c>
      <c r="H2965" t="str">
        <f>"Λ. ΠΟΡΦΥΡΑ 17 ΛΑΡΙΣΑ"</f>
        <v>Λ. ΠΟΡΦΥΡΑ 17 ΛΑΡΙΣΑ</v>
      </c>
      <c r="I2965">
        <v>41221</v>
      </c>
      <c r="J2965">
        <v>2410283479</v>
      </c>
      <c r="K2965">
        <v>6973874816</v>
      </c>
      <c r="M2965" t="s">
        <v>5956</v>
      </c>
      <c r="N2965" t="s">
        <v>536</v>
      </c>
      <c r="O2965" t="s">
        <v>537</v>
      </c>
      <c r="R2965" t="s">
        <v>121</v>
      </c>
      <c r="S2965">
        <v>3</v>
      </c>
      <c r="T2965" t="s">
        <v>122</v>
      </c>
      <c r="U2965" s="1">
        <v>43348</v>
      </c>
      <c r="V2965" t="s">
        <v>5644</v>
      </c>
      <c r="W2965" t="s">
        <v>5645</v>
      </c>
      <c r="X2965" t="s">
        <v>58</v>
      </c>
      <c r="Y2965">
        <v>23</v>
      </c>
      <c r="Z2965" t="s">
        <v>59</v>
      </c>
      <c r="AA2965" t="s">
        <v>59</v>
      </c>
      <c r="AB2965" t="s">
        <v>59</v>
      </c>
      <c r="AC2965" t="s">
        <v>59</v>
      </c>
      <c r="AD2965" t="s">
        <v>59</v>
      </c>
      <c r="AF2965" s="1">
        <v>43348</v>
      </c>
      <c r="AG2965" t="s">
        <v>137</v>
      </c>
      <c r="AH2965" t="s">
        <v>138</v>
      </c>
      <c r="AI2965" t="str">
        <f>"4152001"</f>
        <v>4152001</v>
      </c>
      <c r="AJ2965" t="s">
        <v>5665</v>
      </c>
      <c r="AK2965">
        <v>2831024375</v>
      </c>
      <c r="AL2965" t="s">
        <v>5666</v>
      </c>
      <c r="AM2965" t="s">
        <v>64</v>
      </c>
      <c r="AN2965" t="s">
        <v>65</v>
      </c>
      <c r="AO2965" t="s">
        <v>65</v>
      </c>
      <c r="AP2965" t="s">
        <v>65</v>
      </c>
      <c r="AQ2965">
        <v>1</v>
      </c>
      <c r="AR2965" t="s">
        <v>5644</v>
      </c>
      <c r="AS2965" t="s">
        <v>5645</v>
      </c>
      <c r="AT2965" t="s">
        <v>58</v>
      </c>
      <c r="AU2965" t="s">
        <v>131</v>
      </c>
      <c r="AV2965" t="s">
        <v>132</v>
      </c>
      <c r="AW2965" s="1">
        <v>27885</v>
      </c>
      <c r="AX2965">
        <v>2</v>
      </c>
    </row>
    <row r="2966" spans="1:50">
      <c r="A2966">
        <v>703079</v>
      </c>
      <c r="B2966" t="str">
        <f>"115539472"</f>
        <v>115539472</v>
      </c>
      <c r="C2966" t="s">
        <v>50</v>
      </c>
      <c r="D2966" t="s">
        <v>5957</v>
      </c>
      <c r="E2966" t="s">
        <v>620</v>
      </c>
      <c r="F2966" t="s">
        <v>2733</v>
      </c>
      <c r="G2966" t="s">
        <v>52</v>
      </c>
      <c r="H2966" t="str">
        <f>"ΚΩΝΣΤΑΝΤΙΝΟΥΠΟΛΕΩΣ 180 ΑΘΗΝΑ"</f>
        <v>ΚΩΝΣΤΑΝΤΙΝΟΥΠΟΛΕΩΣ 180 ΑΘΗΝΑ</v>
      </c>
      <c r="I2966">
        <v>12133</v>
      </c>
      <c r="J2966">
        <v>2105749058</v>
      </c>
      <c r="K2966">
        <v>6977894605</v>
      </c>
      <c r="M2966" t="s">
        <v>5958</v>
      </c>
      <c r="N2966" t="s">
        <v>157</v>
      </c>
      <c r="O2966" t="s">
        <v>158</v>
      </c>
      <c r="R2966" t="s">
        <v>57</v>
      </c>
      <c r="S2966">
        <v>7</v>
      </c>
      <c r="T2966">
        <v>588</v>
      </c>
      <c r="U2966" s="1">
        <v>40778</v>
      </c>
      <c r="V2966" t="s">
        <v>5644</v>
      </c>
      <c r="W2966" t="s">
        <v>5645</v>
      </c>
      <c r="X2966" t="s">
        <v>58</v>
      </c>
      <c r="Y2966">
        <v>21</v>
      </c>
      <c r="Z2966" t="s">
        <v>59</v>
      </c>
      <c r="AA2966" t="s">
        <v>59</v>
      </c>
      <c r="AB2966" t="s">
        <v>59</v>
      </c>
      <c r="AC2966" t="s">
        <v>59</v>
      </c>
      <c r="AD2966" t="s">
        <v>59</v>
      </c>
      <c r="AF2966" s="1">
        <v>40784</v>
      </c>
      <c r="AG2966" t="s">
        <v>125</v>
      </c>
      <c r="AH2966" t="s">
        <v>126</v>
      </c>
      <c r="AI2966" t="str">
        <f>"4103010"</f>
        <v>4103010</v>
      </c>
      <c r="AJ2966" t="s">
        <v>5684</v>
      </c>
      <c r="AK2966">
        <v>2834051206</v>
      </c>
      <c r="AL2966" t="s">
        <v>5685</v>
      </c>
      <c r="AM2966" t="s">
        <v>64</v>
      </c>
      <c r="AN2966" t="s">
        <v>5672</v>
      </c>
      <c r="AO2966" t="s">
        <v>5673</v>
      </c>
      <c r="AP2966" t="s">
        <v>5674</v>
      </c>
      <c r="AQ2966">
        <v>2</v>
      </c>
      <c r="AR2966" t="s">
        <v>5644</v>
      </c>
      <c r="AS2966" t="s">
        <v>5645</v>
      </c>
      <c r="AT2966" t="s">
        <v>58</v>
      </c>
      <c r="AU2966" t="s">
        <v>68</v>
      </c>
      <c r="AV2966" t="s">
        <v>69</v>
      </c>
      <c r="AW2966" s="1">
        <v>23658</v>
      </c>
      <c r="AX2966">
        <v>2</v>
      </c>
    </row>
    <row r="2967" spans="1:50">
      <c r="A2967">
        <v>702910</v>
      </c>
      <c r="B2967" t="str">
        <f>"038019496"</f>
        <v>038019496</v>
      </c>
      <c r="C2967" t="s">
        <v>105</v>
      </c>
      <c r="D2967" t="s">
        <v>5959</v>
      </c>
      <c r="E2967" t="s">
        <v>166</v>
      </c>
      <c r="F2967" t="s">
        <v>53</v>
      </c>
      <c r="G2967" t="s">
        <v>155</v>
      </c>
      <c r="H2967" t="str">
        <f>"ΠΑΝΟΡΜΟ ΜΥΛΟΠΟΤΑΜΟΥ ΡΕΘΥΜΝΟ"</f>
        <v>ΠΑΝΟΡΜΟ ΜΥΛΟΠΟΤΑΜΟΥ ΡΕΘΥΜΝΟ</v>
      </c>
      <c r="I2967">
        <v>74057</v>
      </c>
      <c r="J2967">
        <v>2834052094</v>
      </c>
      <c r="K2967">
        <v>6932310230</v>
      </c>
      <c r="N2967" t="s">
        <v>292</v>
      </c>
      <c r="O2967" t="s">
        <v>293</v>
      </c>
      <c r="R2967" t="s">
        <v>57</v>
      </c>
      <c r="S2967">
        <v>6</v>
      </c>
      <c r="T2967">
        <v>588</v>
      </c>
      <c r="U2967" s="1">
        <v>40778</v>
      </c>
      <c r="V2967" t="s">
        <v>5644</v>
      </c>
      <c r="W2967" t="s">
        <v>5645</v>
      </c>
      <c r="X2967" t="s">
        <v>58</v>
      </c>
      <c r="Y2967">
        <v>20</v>
      </c>
      <c r="Z2967" t="s">
        <v>59</v>
      </c>
      <c r="AA2967" t="s">
        <v>59</v>
      </c>
      <c r="AB2967" t="s">
        <v>59</v>
      </c>
      <c r="AC2967" t="s">
        <v>59</v>
      </c>
      <c r="AD2967" t="s">
        <v>59</v>
      </c>
      <c r="AF2967" s="1">
        <v>40784</v>
      </c>
      <c r="AG2967" t="s">
        <v>148</v>
      </c>
      <c r="AH2967" t="s">
        <v>149</v>
      </c>
      <c r="AI2967" t="str">
        <f>"4153010"</f>
        <v>4153010</v>
      </c>
      <c r="AJ2967" t="s">
        <v>5670</v>
      </c>
      <c r="AK2967">
        <v>2834052090</v>
      </c>
      <c r="AL2967" t="s">
        <v>5671</v>
      </c>
      <c r="AM2967" t="s">
        <v>64</v>
      </c>
      <c r="AN2967" t="s">
        <v>5672</v>
      </c>
      <c r="AO2967" t="s">
        <v>5673</v>
      </c>
      <c r="AP2967" t="s">
        <v>5674</v>
      </c>
      <c r="AQ2967">
        <v>2</v>
      </c>
      <c r="AR2967" t="s">
        <v>5644</v>
      </c>
      <c r="AS2967" t="s">
        <v>5645</v>
      </c>
      <c r="AT2967" t="s">
        <v>58</v>
      </c>
      <c r="AU2967" t="s">
        <v>68</v>
      </c>
      <c r="AV2967" t="s">
        <v>69</v>
      </c>
      <c r="AW2967" s="1">
        <v>22771</v>
      </c>
      <c r="AX2967">
        <v>2</v>
      </c>
    </row>
    <row r="2968" spans="1:50">
      <c r="B2968" t="str">
        <f>"103541440"</f>
        <v>103541440</v>
      </c>
      <c r="C2968" t="s">
        <v>105</v>
      </c>
      <c r="D2968" t="s">
        <v>5960</v>
      </c>
      <c r="E2968" t="s">
        <v>53</v>
      </c>
      <c r="F2968" t="s">
        <v>99</v>
      </c>
      <c r="G2968" t="s">
        <v>1355</v>
      </c>
      <c r="H2968" t="str">
        <f>"Μ. ΔΗΜΑΚΗ 29 ΗΡΑΚΛΕΙΟ"</f>
        <v>Μ. ΔΗΜΑΚΗ 29 ΗΡΑΚΛΕΙΟ</v>
      </c>
      <c r="I2968">
        <v>71409</v>
      </c>
      <c r="J2968">
        <v>2810238537</v>
      </c>
      <c r="K2968">
        <v>6947830228</v>
      </c>
      <c r="M2968" t="s">
        <v>5961</v>
      </c>
      <c r="N2968" t="s">
        <v>536</v>
      </c>
      <c r="O2968" t="s">
        <v>537</v>
      </c>
      <c r="R2968" t="s">
        <v>121</v>
      </c>
      <c r="S2968">
        <v>3</v>
      </c>
      <c r="T2968" t="s">
        <v>122</v>
      </c>
      <c r="U2968" s="1">
        <v>43348</v>
      </c>
      <c r="V2968" t="s">
        <v>5644</v>
      </c>
      <c r="W2968" t="s">
        <v>5645</v>
      </c>
      <c r="X2968" t="s">
        <v>58</v>
      </c>
      <c r="Y2968">
        <v>23</v>
      </c>
      <c r="Z2968" t="s">
        <v>59</v>
      </c>
      <c r="AA2968" t="s">
        <v>59</v>
      </c>
      <c r="AB2968" t="s">
        <v>59</v>
      </c>
      <c r="AC2968" t="s">
        <v>59</v>
      </c>
      <c r="AD2968" t="s">
        <v>59</v>
      </c>
      <c r="AF2968" s="1">
        <v>43348</v>
      </c>
      <c r="AG2968" t="s">
        <v>125</v>
      </c>
      <c r="AH2968" t="s">
        <v>126</v>
      </c>
      <c r="AI2968" t="str">
        <f>"4101010"</f>
        <v>4101010</v>
      </c>
      <c r="AJ2968" t="s">
        <v>5814</v>
      </c>
      <c r="AK2968">
        <v>2831022283</v>
      </c>
      <c r="AL2968" t="s">
        <v>5815</v>
      </c>
      <c r="AM2968" t="s">
        <v>64</v>
      </c>
      <c r="AN2968" t="s">
        <v>65</v>
      </c>
      <c r="AO2968" t="s">
        <v>65</v>
      </c>
      <c r="AP2968" t="s">
        <v>65</v>
      </c>
      <c r="AQ2968">
        <v>1</v>
      </c>
      <c r="AR2968" t="s">
        <v>5644</v>
      </c>
      <c r="AS2968" t="s">
        <v>5645</v>
      </c>
      <c r="AT2968" t="s">
        <v>58</v>
      </c>
      <c r="AU2968" t="s">
        <v>131</v>
      </c>
      <c r="AV2968" t="s">
        <v>132</v>
      </c>
      <c r="AW2968" s="1">
        <v>27916</v>
      </c>
      <c r="AX2968">
        <v>2</v>
      </c>
    </row>
    <row r="2969" spans="1:50">
      <c r="A2969">
        <v>175370</v>
      </c>
      <c r="B2969" t="str">
        <f>"063035802"</f>
        <v>063035802</v>
      </c>
      <c r="C2969" t="s">
        <v>50</v>
      </c>
      <c r="D2969" t="s">
        <v>5962</v>
      </c>
      <c r="E2969" t="s">
        <v>484</v>
      </c>
      <c r="F2969" t="s">
        <v>72</v>
      </c>
      <c r="G2969" t="s">
        <v>411</v>
      </c>
      <c r="H2969" t="str">
        <f>"ΚΡΙΑΡΗ 95 ΜΑΣΤΑΜΠΑΣ"</f>
        <v>ΚΡΙΑΡΗ 95 ΜΑΣΤΑΜΠΑΣ</v>
      </c>
      <c r="I2969">
        <v>74100</v>
      </c>
      <c r="J2969">
        <v>2831052252</v>
      </c>
      <c r="K2969">
        <v>6973864068</v>
      </c>
      <c r="M2969" t="s">
        <v>5963</v>
      </c>
      <c r="N2969" t="s">
        <v>146</v>
      </c>
      <c r="O2969" t="s">
        <v>147</v>
      </c>
      <c r="R2969" t="s">
        <v>57</v>
      </c>
      <c r="S2969">
        <v>12</v>
      </c>
      <c r="T2969">
        <v>180</v>
      </c>
      <c r="U2969" s="1">
        <v>35674</v>
      </c>
      <c r="V2969" t="s">
        <v>5644</v>
      </c>
      <c r="W2969" t="s">
        <v>5645</v>
      </c>
      <c r="X2969" t="s">
        <v>58</v>
      </c>
      <c r="Y2969">
        <v>18</v>
      </c>
      <c r="Z2969" t="s">
        <v>59</v>
      </c>
      <c r="AA2969" t="s">
        <v>59</v>
      </c>
      <c r="AB2969" t="s">
        <v>59</v>
      </c>
      <c r="AC2969" t="s">
        <v>59</v>
      </c>
      <c r="AD2969" t="s">
        <v>59</v>
      </c>
      <c r="AF2969" s="1">
        <v>35674</v>
      </c>
      <c r="AG2969" t="s">
        <v>148</v>
      </c>
      <c r="AH2969" t="s">
        <v>1053</v>
      </c>
      <c r="AI2969" t="str">
        <f>"4141057"</f>
        <v>4141057</v>
      </c>
      <c r="AJ2969" t="s">
        <v>5916</v>
      </c>
      <c r="AK2969">
        <v>2831035241</v>
      </c>
      <c r="AL2969" t="s">
        <v>5917</v>
      </c>
      <c r="AM2969" t="s">
        <v>64</v>
      </c>
      <c r="AN2969" t="s">
        <v>65</v>
      </c>
      <c r="AO2969" t="s">
        <v>65</v>
      </c>
      <c r="AP2969" t="s">
        <v>65</v>
      </c>
      <c r="AQ2969">
        <v>1</v>
      </c>
      <c r="AR2969" t="s">
        <v>5644</v>
      </c>
      <c r="AS2969" t="s">
        <v>5645</v>
      </c>
      <c r="AT2969" t="s">
        <v>58</v>
      </c>
      <c r="AU2969" t="s">
        <v>68</v>
      </c>
      <c r="AV2969" t="s">
        <v>69</v>
      </c>
      <c r="AW2969" s="1">
        <v>22251</v>
      </c>
      <c r="AX2969">
        <v>2</v>
      </c>
    </row>
    <row r="2970" spans="1:50">
      <c r="A2970">
        <v>148225</v>
      </c>
      <c r="B2970" t="str">
        <f>"065579905"</f>
        <v>065579905</v>
      </c>
      <c r="C2970" t="s">
        <v>50</v>
      </c>
      <c r="D2970" t="s">
        <v>5964</v>
      </c>
      <c r="E2970" t="s">
        <v>513</v>
      </c>
      <c r="F2970" t="s">
        <v>1868</v>
      </c>
      <c r="G2970" t="s">
        <v>396</v>
      </c>
      <c r="H2970" t="str">
        <f>"ΚΑΠΟΔΙΣΤΡΙΟΥ 55 ΡΕΘΥΜΝΟ"</f>
        <v>ΚΑΠΟΔΙΣΤΡΙΟΥ 55 ΡΕΘΥΜΝΟ</v>
      </c>
      <c r="I2970">
        <v>74100</v>
      </c>
      <c r="J2970">
        <v>2831051055</v>
      </c>
      <c r="K2970">
        <v>6944583958</v>
      </c>
      <c r="M2970" t="s">
        <v>5965</v>
      </c>
      <c r="N2970" t="s">
        <v>146</v>
      </c>
      <c r="O2970" t="s">
        <v>147</v>
      </c>
      <c r="R2970" t="s">
        <v>57</v>
      </c>
      <c r="S2970">
        <v>17</v>
      </c>
      <c r="T2970">
        <v>205</v>
      </c>
      <c r="U2970" s="1">
        <v>31658</v>
      </c>
      <c r="V2970" t="s">
        <v>5644</v>
      </c>
      <c r="W2970" t="s">
        <v>5645</v>
      </c>
      <c r="X2970" t="s">
        <v>58</v>
      </c>
      <c r="Y2970">
        <v>18</v>
      </c>
      <c r="Z2970" t="s">
        <v>59</v>
      </c>
      <c r="AA2970" t="s">
        <v>59</v>
      </c>
      <c r="AB2970" t="s">
        <v>59</v>
      </c>
      <c r="AC2970" t="s">
        <v>59</v>
      </c>
      <c r="AD2970" t="s">
        <v>59</v>
      </c>
      <c r="AF2970" s="1">
        <v>31658</v>
      </c>
      <c r="AG2970" t="s">
        <v>148</v>
      </c>
      <c r="AH2970" t="s">
        <v>149</v>
      </c>
      <c r="AI2970" t="str">
        <f>"4151009"</f>
        <v>4151009</v>
      </c>
      <c r="AJ2970" t="s">
        <v>5649</v>
      </c>
      <c r="AK2970">
        <v>2831027115</v>
      </c>
      <c r="AL2970" t="s">
        <v>5650</v>
      </c>
      <c r="AM2970" t="s">
        <v>64</v>
      </c>
      <c r="AN2970" t="s">
        <v>65</v>
      </c>
      <c r="AO2970" t="s">
        <v>65</v>
      </c>
      <c r="AP2970" t="s">
        <v>65</v>
      </c>
      <c r="AQ2970">
        <v>1</v>
      </c>
      <c r="AR2970" t="s">
        <v>5644</v>
      </c>
      <c r="AS2970" t="s">
        <v>5645</v>
      </c>
      <c r="AT2970" t="s">
        <v>58</v>
      </c>
      <c r="AU2970" t="s">
        <v>68</v>
      </c>
      <c r="AV2970" t="s">
        <v>69</v>
      </c>
      <c r="AW2970" s="1">
        <v>21418</v>
      </c>
      <c r="AX2970">
        <v>2</v>
      </c>
    </row>
    <row r="2971" spans="1:50">
      <c r="A2971">
        <v>181606</v>
      </c>
      <c r="B2971" t="str">
        <f>"037400469"</f>
        <v>037400469</v>
      </c>
      <c r="C2971" t="s">
        <v>105</v>
      </c>
      <c r="D2971" t="s">
        <v>5966</v>
      </c>
      <c r="E2971" t="s">
        <v>5013</v>
      </c>
      <c r="F2971" t="s">
        <v>166</v>
      </c>
      <c r="G2971" t="s">
        <v>52</v>
      </c>
      <c r="H2971" t="str">
        <f>"ΚΑΖΑΝΤΖΑΚΗ 45 ΡΕΘΥΜΝΟ"</f>
        <v>ΚΑΖΑΝΤΖΑΚΗ 45 ΡΕΘΥΜΝΟ</v>
      </c>
      <c r="I2971">
        <v>74100</v>
      </c>
      <c r="N2971" t="s">
        <v>176</v>
      </c>
      <c r="O2971" t="s">
        <v>177</v>
      </c>
      <c r="R2971" t="s">
        <v>57</v>
      </c>
      <c r="S2971">
        <v>12</v>
      </c>
      <c r="T2971">
        <v>164</v>
      </c>
      <c r="U2971" s="1">
        <v>36040</v>
      </c>
      <c r="V2971" t="s">
        <v>5644</v>
      </c>
      <c r="W2971" t="s">
        <v>5645</v>
      </c>
      <c r="X2971" t="s">
        <v>58</v>
      </c>
      <c r="Y2971">
        <v>18</v>
      </c>
      <c r="Z2971" t="s">
        <v>59</v>
      </c>
      <c r="AA2971" t="s">
        <v>59</v>
      </c>
      <c r="AB2971" t="s">
        <v>59</v>
      </c>
      <c r="AC2971" t="s">
        <v>59</v>
      </c>
      <c r="AD2971" t="s">
        <v>59</v>
      </c>
      <c r="AF2971" s="1">
        <v>36040</v>
      </c>
      <c r="AG2971" t="s">
        <v>125</v>
      </c>
      <c r="AH2971" t="s">
        <v>126</v>
      </c>
      <c r="AI2971" t="str">
        <f>"4101010"</f>
        <v>4101010</v>
      </c>
      <c r="AJ2971" t="s">
        <v>5814</v>
      </c>
      <c r="AK2971">
        <v>2831022283</v>
      </c>
      <c r="AL2971" t="s">
        <v>5815</v>
      </c>
      <c r="AM2971" t="s">
        <v>64</v>
      </c>
      <c r="AN2971" t="s">
        <v>65</v>
      </c>
      <c r="AO2971" t="s">
        <v>65</v>
      </c>
      <c r="AP2971" t="s">
        <v>65</v>
      </c>
      <c r="AQ2971">
        <v>1</v>
      </c>
      <c r="AR2971" t="s">
        <v>5644</v>
      </c>
      <c r="AS2971" t="s">
        <v>5645</v>
      </c>
      <c r="AT2971" t="s">
        <v>58</v>
      </c>
      <c r="AU2971" t="s">
        <v>68</v>
      </c>
      <c r="AV2971" t="s">
        <v>69</v>
      </c>
      <c r="AW2971" s="1">
        <v>23071</v>
      </c>
      <c r="AX2971">
        <v>2</v>
      </c>
    </row>
    <row r="2972" spans="1:50">
      <c r="A2972">
        <v>219450</v>
      </c>
      <c r="B2972" t="str">
        <f>"100080594"</f>
        <v>100080594</v>
      </c>
      <c r="C2972" t="s">
        <v>50</v>
      </c>
      <c r="D2972" t="s">
        <v>5967</v>
      </c>
      <c r="E2972" t="s">
        <v>964</v>
      </c>
      <c r="F2972" t="s">
        <v>72</v>
      </c>
      <c r="G2972" t="s">
        <v>52</v>
      </c>
      <c r="H2972" t="str">
        <f>"ΑΤΣΙΠΟΠΟΥΛΟ ΡΕΘΥΜΝΟ"</f>
        <v>ΑΤΣΙΠΟΠΟΥΛΟ ΡΕΘΥΜΝΟ</v>
      </c>
      <c r="I2972">
        <v>74100</v>
      </c>
      <c r="K2972">
        <v>6936922848</v>
      </c>
      <c r="N2972" t="s">
        <v>288</v>
      </c>
      <c r="O2972" t="s">
        <v>289</v>
      </c>
      <c r="R2972" t="s">
        <v>57</v>
      </c>
      <c r="S2972">
        <v>6</v>
      </c>
      <c r="T2972">
        <v>599</v>
      </c>
      <c r="U2972" s="1">
        <v>39310</v>
      </c>
      <c r="V2972" t="s">
        <v>5644</v>
      </c>
      <c r="W2972" t="s">
        <v>5645</v>
      </c>
      <c r="X2972" t="s">
        <v>58</v>
      </c>
      <c r="Y2972">
        <v>20</v>
      </c>
      <c r="Z2972" t="s">
        <v>59</v>
      </c>
      <c r="AA2972" t="s">
        <v>59</v>
      </c>
      <c r="AB2972" t="s">
        <v>59</v>
      </c>
      <c r="AC2972" t="s">
        <v>59</v>
      </c>
      <c r="AD2972" t="s">
        <v>59</v>
      </c>
      <c r="AF2972" s="1">
        <v>39310</v>
      </c>
      <c r="AG2972" t="s">
        <v>125</v>
      </c>
      <c r="AH2972" t="s">
        <v>126</v>
      </c>
      <c r="AI2972" t="str">
        <f>"4101020"</f>
        <v>4101020</v>
      </c>
      <c r="AJ2972" t="s">
        <v>5652</v>
      </c>
      <c r="AK2972">
        <v>2831023560</v>
      </c>
      <c r="AL2972" t="s">
        <v>5653</v>
      </c>
      <c r="AM2972" t="s">
        <v>64</v>
      </c>
      <c r="AN2972" t="s">
        <v>65</v>
      </c>
      <c r="AO2972" t="s">
        <v>65</v>
      </c>
      <c r="AP2972" t="s">
        <v>65</v>
      </c>
      <c r="AQ2972">
        <v>1</v>
      </c>
      <c r="AR2972" t="s">
        <v>5644</v>
      </c>
      <c r="AS2972" t="s">
        <v>5645</v>
      </c>
      <c r="AT2972" t="s">
        <v>58</v>
      </c>
      <c r="AU2972" t="s">
        <v>68</v>
      </c>
      <c r="AV2972" t="s">
        <v>69</v>
      </c>
      <c r="AW2972" s="1">
        <v>27491</v>
      </c>
      <c r="AX2972">
        <v>2</v>
      </c>
    </row>
    <row r="2973" spans="1:50">
      <c r="A2973">
        <v>226471</v>
      </c>
      <c r="B2973" t="str">
        <f>"124489230"</f>
        <v>124489230</v>
      </c>
      <c r="C2973" t="s">
        <v>50</v>
      </c>
      <c r="D2973" t="s">
        <v>1488</v>
      </c>
      <c r="E2973" t="s">
        <v>460</v>
      </c>
      <c r="F2973" t="s">
        <v>564</v>
      </c>
      <c r="G2973" t="s">
        <v>5968</v>
      </c>
      <c r="H2973" t="str">
        <f>"ΠΡΙΝΕΣ ΡΕΘΥΜΝΟΥ ΠΡΙΝΕΣ"</f>
        <v>ΠΡΙΝΕΣ ΡΕΘΥΜΝΟΥ ΠΡΙΝΕΣ</v>
      </c>
      <c r="I2973">
        <v>74100</v>
      </c>
      <c r="J2973">
        <v>2831032184</v>
      </c>
      <c r="K2973">
        <v>6974329823</v>
      </c>
      <c r="M2973" t="s">
        <v>5969</v>
      </c>
      <c r="N2973" t="s">
        <v>146</v>
      </c>
      <c r="O2973" t="s">
        <v>147</v>
      </c>
      <c r="R2973" t="s">
        <v>57</v>
      </c>
      <c r="S2973">
        <v>6</v>
      </c>
      <c r="T2973">
        <v>654</v>
      </c>
      <c r="U2973" s="1">
        <v>40043</v>
      </c>
      <c r="V2973" t="s">
        <v>5644</v>
      </c>
      <c r="W2973" t="s">
        <v>5645</v>
      </c>
      <c r="X2973" t="s">
        <v>58</v>
      </c>
      <c r="Y2973">
        <v>21</v>
      </c>
      <c r="Z2973" t="s">
        <v>59</v>
      </c>
      <c r="AA2973" t="s">
        <v>59</v>
      </c>
      <c r="AB2973" t="s">
        <v>59</v>
      </c>
      <c r="AC2973" t="s">
        <v>59</v>
      </c>
      <c r="AD2973" t="s">
        <v>59</v>
      </c>
      <c r="AF2973" s="1">
        <v>40043</v>
      </c>
      <c r="AG2973" t="s">
        <v>125</v>
      </c>
      <c r="AH2973" t="s">
        <v>126</v>
      </c>
      <c r="AI2973" t="str">
        <f>"4102010"</f>
        <v>4102010</v>
      </c>
      <c r="AJ2973" t="s">
        <v>5735</v>
      </c>
      <c r="AK2973">
        <v>2834031331</v>
      </c>
      <c r="AL2973" t="s">
        <v>5736</v>
      </c>
      <c r="AM2973" t="s">
        <v>64</v>
      </c>
      <c r="AN2973" t="s">
        <v>5737</v>
      </c>
      <c r="AO2973" t="s">
        <v>5737</v>
      </c>
      <c r="AP2973" t="s">
        <v>5737</v>
      </c>
      <c r="AQ2973">
        <v>3</v>
      </c>
      <c r="AR2973" t="s">
        <v>5644</v>
      </c>
      <c r="AS2973" t="s">
        <v>5645</v>
      </c>
      <c r="AT2973" t="s">
        <v>58</v>
      </c>
      <c r="AU2973" t="s">
        <v>68</v>
      </c>
      <c r="AV2973" t="s">
        <v>69</v>
      </c>
      <c r="AW2973" s="1">
        <v>25226</v>
      </c>
      <c r="AX2973">
        <v>2</v>
      </c>
    </row>
    <row r="2974" spans="1:50">
      <c r="A2974">
        <v>157101</v>
      </c>
      <c r="B2974" t="str">
        <f>"047857336"</f>
        <v>047857336</v>
      </c>
      <c r="C2974" t="s">
        <v>50</v>
      </c>
      <c r="D2974" t="s">
        <v>5970</v>
      </c>
      <c r="E2974" t="s">
        <v>52</v>
      </c>
      <c r="F2974" t="s">
        <v>92</v>
      </c>
      <c r="G2974" t="s">
        <v>1108</v>
      </c>
      <c r="H2974" t="str">
        <f>"Κ. ΒΑΡΝΑΛΗ 14 ΡΕΘΥΜΝΟ"</f>
        <v>Κ. ΒΑΡΝΑΛΗ 14 ΡΕΘΥΜΝΟ</v>
      </c>
      <c r="I2974">
        <v>74100</v>
      </c>
      <c r="N2974" t="s">
        <v>478</v>
      </c>
      <c r="O2974" t="s">
        <v>479</v>
      </c>
      <c r="R2974" t="s">
        <v>57</v>
      </c>
      <c r="S2974">
        <v>15</v>
      </c>
      <c r="T2974">
        <v>188</v>
      </c>
      <c r="U2974" s="1">
        <v>32752</v>
      </c>
      <c r="V2974" t="s">
        <v>5644</v>
      </c>
      <c r="W2974" t="s">
        <v>5645</v>
      </c>
      <c r="X2974" t="s">
        <v>58</v>
      </c>
      <c r="Y2974">
        <v>18</v>
      </c>
      <c r="Z2974" t="s">
        <v>59</v>
      </c>
      <c r="AA2974" t="s">
        <v>59</v>
      </c>
      <c r="AB2974" t="s">
        <v>59</v>
      </c>
      <c r="AC2974" t="s">
        <v>59</v>
      </c>
      <c r="AD2974" t="s">
        <v>59</v>
      </c>
      <c r="AF2974" s="1">
        <v>32752</v>
      </c>
      <c r="AG2974" t="s">
        <v>125</v>
      </c>
      <c r="AH2974" t="s">
        <v>126</v>
      </c>
      <c r="AI2974" t="str">
        <f>"4101010"</f>
        <v>4101010</v>
      </c>
      <c r="AJ2974" t="s">
        <v>5814</v>
      </c>
      <c r="AK2974">
        <v>2831022283</v>
      </c>
      <c r="AL2974" t="s">
        <v>5815</v>
      </c>
      <c r="AM2974" t="s">
        <v>64</v>
      </c>
      <c r="AN2974" t="s">
        <v>65</v>
      </c>
      <c r="AO2974" t="s">
        <v>65</v>
      </c>
      <c r="AP2974" t="s">
        <v>65</v>
      </c>
      <c r="AQ2974">
        <v>1</v>
      </c>
      <c r="AR2974" t="s">
        <v>5644</v>
      </c>
      <c r="AS2974" t="s">
        <v>5645</v>
      </c>
      <c r="AT2974" t="s">
        <v>58</v>
      </c>
      <c r="AU2974" t="s">
        <v>68</v>
      </c>
      <c r="AV2974" t="s">
        <v>69</v>
      </c>
      <c r="AW2974" s="1">
        <v>20611</v>
      </c>
      <c r="AX2974">
        <v>2</v>
      </c>
    </row>
    <row r="2975" spans="1:50">
      <c r="A2975">
        <v>146194</v>
      </c>
      <c r="B2975" t="str">
        <f>"079798916"</f>
        <v>079798916</v>
      </c>
      <c r="C2975" t="s">
        <v>50</v>
      </c>
      <c r="D2975" t="s">
        <v>5971</v>
      </c>
      <c r="E2975" t="s">
        <v>255</v>
      </c>
      <c r="F2975" t="s">
        <v>92</v>
      </c>
      <c r="G2975" t="s">
        <v>1108</v>
      </c>
      <c r="H2975" t="str">
        <f>"Κ. ΒΑΡΝΑΛΗ 14 ΚΑΛΛΙΘΕΑ"</f>
        <v>Κ. ΒΑΡΝΑΛΗ 14 ΚΑΛΛΙΘΕΑ</v>
      </c>
      <c r="I2975">
        <v>74100</v>
      </c>
      <c r="J2975">
        <v>2831052223</v>
      </c>
      <c r="K2975">
        <v>6973077588</v>
      </c>
      <c r="M2975" t="s">
        <v>5972</v>
      </c>
      <c r="N2975" t="s">
        <v>146</v>
      </c>
      <c r="O2975" t="s">
        <v>147</v>
      </c>
      <c r="R2975" t="s">
        <v>57</v>
      </c>
      <c r="S2975">
        <v>16</v>
      </c>
      <c r="T2975">
        <v>237</v>
      </c>
      <c r="U2975" s="1">
        <v>31293</v>
      </c>
      <c r="V2975" t="s">
        <v>5644</v>
      </c>
      <c r="W2975" t="s">
        <v>5645</v>
      </c>
      <c r="X2975" t="s">
        <v>58</v>
      </c>
      <c r="Y2975">
        <v>18</v>
      </c>
      <c r="Z2975" t="s">
        <v>59</v>
      </c>
      <c r="AA2975" t="s">
        <v>59</v>
      </c>
      <c r="AB2975" t="s">
        <v>59</v>
      </c>
      <c r="AC2975" t="s">
        <v>59</v>
      </c>
      <c r="AD2975" t="s">
        <v>59</v>
      </c>
      <c r="AF2975" s="1">
        <v>31293</v>
      </c>
      <c r="AG2975" t="s">
        <v>148</v>
      </c>
      <c r="AH2975" t="s">
        <v>1053</v>
      </c>
      <c r="AI2975" t="str">
        <f>"4141057"</f>
        <v>4141057</v>
      </c>
      <c r="AJ2975" t="s">
        <v>5916</v>
      </c>
      <c r="AK2975">
        <v>2831035241</v>
      </c>
      <c r="AL2975" t="s">
        <v>5917</v>
      </c>
      <c r="AM2975" t="s">
        <v>64</v>
      </c>
      <c r="AN2975" t="s">
        <v>65</v>
      </c>
      <c r="AO2975" t="s">
        <v>65</v>
      </c>
      <c r="AP2975" t="s">
        <v>65</v>
      </c>
      <c r="AQ2975">
        <v>1</v>
      </c>
      <c r="AR2975" t="s">
        <v>5644</v>
      </c>
      <c r="AS2975" t="s">
        <v>5645</v>
      </c>
      <c r="AT2975" t="s">
        <v>58</v>
      </c>
      <c r="AU2975" t="s">
        <v>68</v>
      </c>
      <c r="AV2975" t="s">
        <v>69</v>
      </c>
      <c r="AW2975" s="1">
        <v>21660</v>
      </c>
      <c r="AX2975">
        <v>2</v>
      </c>
    </row>
    <row r="2976" spans="1:50">
      <c r="B2976" t="str">
        <f>"100081437"</f>
        <v>100081437</v>
      </c>
      <c r="C2976" t="s">
        <v>50</v>
      </c>
      <c r="D2976" t="s">
        <v>5973</v>
      </c>
      <c r="E2976" t="s">
        <v>255</v>
      </c>
      <c r="F2976" t="s">
        <v>5974</v>
      </c>
      <c r="G2976" t="s">
        <v>4455</v>
      </c>
      <c r="H2976" t="str">
        <f>"ΠΗΓΗ  ΡΕΘΥΜΝΟΥ ΡΕΘΥΜΝΟ"</f>
        <v>ΠΗΓΗ  ΡΕΘΥΜΝΟΥ ΡΕΘΥΜΝΟ</v>
      </c>
      <c r="I2976">
        <v>74100</v>
      </c>
      <c r="J2976">
        <v>2831072277</v>
      </c>
      <c r="K2976">
        <v>6948834157</v>
      </c>
      <c r="N2976" t="s">
        <v>146</v>
      </c>
      <c r="O2976" t="s">
        <v>147</v>
      </c>
      <c r="R2976" t="s">
        <v>159</v>
      </c>
      <c r="S2976">
        <v>3</v>
      </c>
      <c r="T2976" t="s">
        <v>160</v>
      </c>
      <c r="U2976" s="1">
        <v>43364</v>
      </c>
      <c r="V2976" t="s">
        <v>5644</v>
      </c>
      <c r="W2976" t="s">
        <v>5645</v>
      </c>
      <c r="X2976" t="s">
        <v>58</v>
      </c>
      <c r="Y2976">
        <v>23</v>
      </c>
      <c r="Z2976" t="s">
        <v>59</v>
      </c>
      <c r="AA2976" t="s">
        <v>59</v>
      </c>
      <c r="AB2976" t="s">
        <v>59</v>
      </c>
      <c r="AC2976" t="s">
        <v>59</v>
      </c>
      <c r="AD2976" t="s">
        <v>59</v>
      </c>
      <c r="AF2976" s="1">
        <v>43367</v>
      </c>
      <c r="AG2976" t="s">
        <v>148</v>
      </c>
      <c r="AH2976" t="s">
        <v>149</v>
      </c>
      <c r="AI2976" t="str">
        <f>"4152010"</f>
        <v>4152010</v>
      </c>
      <c r="AJ2976" t="s">
        <v>5739</v>
      </c>
      <c r="AK2976">
        <v>2834031205</v>
      </c>
      <c r="AL2976" t="s">
        <v>5740</v>
      </c>
      <c r="AM2976" t="s">
        <v>64</v>
      </c>
      <c r="AN2976" t="s">
        <v>5737</v>
      </c>
      <c r="AO2976" t="s">
        <v>5737</v>
      </c>
      <c r="AP2976" t="s">
        <v>5737</v>
      </c>
      <c r="AQ2976">
        <v>3</v>
      </c>
      <c r="AR2976" t="s">
        <v>5644</v>
      </c>
      <c r="AS2976" t="s">
        <v>5645</v>
      </c>
      <c r="AT2976" t="s">
        <v>58</v>
      </c>
      <c r="AU2976" t="s">
        <v>164</v>
      </c>
      <c r="AV2976" t="s">
        <v>132</v>
      </c>
      <c r="AW2976" s="1">
        <v>28440</v>
      </c>
      <c r="AX2976">
        <v>2</v>
      </c>
    </row>
    <row r="2977" spans="1:50">
      <c r="A2977">
        <v>224702</v>
      </c>
      <c r="B2977" t="str">
        <f>"120041977"</f>
        <v>120041977</v>
      </c>
      <c r="C2977" t="s">
        <v>105</v>
      </c>
      <c r="D2977" t="s">
        <v>1492</v>
      </c>
      <c r="E2977" t="s">
        <v>166</v>
      </c>
      <c r="F2977" t="s">
        <v>377</v>
      </c>
      <c r="G2977" t="s">
        <v>382</v>
      </c>
      <c r="H2977" t="str">
        <f>"ΠΑΠΑΝΑΣΤΑΣΙΟΥ 3Β ΡΕΘΥΜΝΟ"</f>
        <v>ΠΑΠΑΝΑΣΤΑΣΙΟΥ 3Β ΡΕΘΥΜΝΟ</v>
      </c>
      <c r="I2977">
        <v>74100</v>
      </c>
      <c r="J2977">
        <v>2831100186</v>
      </c>
      <c r="K2977">
        <v>6972231489</v>
      </c>
      <c r="N2977" t="s">
        <v>299</v>
      </c>
      <c r="O2977" t="s">
        <v>300</v>
      </c>
      <c r="R2977" t="s">
        <v>57</v>
      </c>
      <c r="S2977">
        <v>7</v>
      </c>
      <c r="T2977">
        <v>775</v>
      </c>
      <c r="U2977" s="1">
        <v>39680</v>
      </c>
      <c r="V2977" t="s">
        <v>5644</v>
      </c>
      <c r="W2977" t="s">
        <v>5645</v>
      </c>
      <c r="X2977" t="s">
        <v>58</v>
      </c>
      <c r="Y2977">
        <v>21</v>
      </c>
      <c r="Z2977" t="s">
        <v>59</v>
      </c>
      <c r="AA2977" t="s">
        <v>59</v>
      </c>
      <c r="AB2977" t="s">
        <v>59</v>
      </c>
      <c r="AC2977" t="s">
        <v>59</v>
      </c>
      <c r="AD2977" t="s">
        <v>59</v>
      </c>
      <c r="AF2977" s="1">
        <v>39681</v>
      </c>
      <c r="AG2977" t="s">
        <v>137</v>
      </c>
      <c r="AH2977" t="s">
        <v>138</v>
      </c>
      <c r="AI2977" t="str">
        <f>"4150040"</f>
        <v>4150040</v>
      </c>
      <c r="AJ2977" t="s">
        <v>5661</v>
      </c>
      <c r="AK2977">
        <v>2831029048</v>
      </c>
      <c r="AL2977" t="s">
        <v>5662</v>
      </c>
      <c r="AM2977" t="s">
        <v>64</v>
      </c>
      <c r="AN2977" t="s">
        <v>65</v>
      </c>
      <c r="AO2977" t="s">
        <v>65</v>
      </c>
      <c r="AP2977" t="s">
        <v>65</v>
      </c>
      <c r="AQ2977">
        <v>1</v>
      </c>
      <c r="AR2977" t="s">
        <v>5644</v>
      </c>
      <c r="AS2977" t="s">
        <v>5645</v>
      </c>
      <c r="AT2977" t="s">
        <v>58</v>
      </c>
      <c r="AU2977" t="s">
        <v>68</v>
      </c>
      <c r="AV2977" t="s">
        <v>69</v>
      </c>
      <c r="AW2977" s="1">
        <v>30190</v>
      </c>
      <c r="AX2977">
        <v>2</v>
      </c>
    </row>
    <row r="2978" spans="1:50">
      <c r="A2978">
        <v>227891</v>
      </c>
      <c r="B2978" t="str">
        <f>"075947173"</f>
        <v>075947173</v>
      </c>
      <c r="C2978" t="s">
        <v>105</v>
      </c>
      <c r="D2978" t="s">
        <v>5975</v>
      </c>
      <c r="E2978" t="s">
        <v>95</v>
      </c>
      <c r="F2978" t="s">
        <v>72</v>
      </c>
      <c r="G2978" t="s">
        <v>1367</v>
      </c>
      <c r="H2978" t="str">
        <f>"ΚΑΣΤΕΝΑΖΟ 12 ΡΕΘΥΜΝΟ"</f>
        <v>ΚΑΣΤΕΝΑΖΟ 12 ΡΕΘΥΜΝΟ</v>
      </c>
      <c r="I2978">
        <v>74100</v>
      </c>
      <c r="J2978">
        <v>2832022175</v>
      </c>
      <c r="K2978">
        <v>6972735426</v>
      </c>
      <c r="L2978">
        <v>3831030658</v>
      </c>
      <c r="M2978" t="s">
        <v>5976</v>
      </c>
      <c r="N2978" t="s">
        <v>176</v>
      </c>
      <c r="O2978" t="s">
        <v>177</v>
      </c>
      <c r="R2978" t="s">
        <v>57</v>
      </c>
      <c r="S2978">
        <v>5</v>
      </c>
      <c r="T2978">
        <v>654</v>
      </c>
      <c r="U2978" s="1">
        <v>40043</v>
      </c>
      <c r="V2978" t="s">
        <v>5644</v>
      </c>
      <c r="W2978" t="s">
        <v>5645</v>
      </c>
      <c r="X2978" t="s">
        <v>58</v>
      </c>
      <c r="Y2978">
        <v>21</v>
      </c>
      <c r="Z2978" t="s">
        <v>59</v>
      </c>
      <c r="AA2978" t="s">
        <v>59</v>
      </c>
      <c r="AB2978" t="s">
        <v>59</v>
      </c>
      <c r="AC2978" t="s">
        <v>59</v>
      </c>
      <c r="AD2978" t="s">
        <v>59</v>
      </c>
      <c r="AF2978" s="1">
        <v>40043</v>
      </c>
      <c r="AG2978" t="s">
        <v>125</v>
      </c>
      <c r="AH2978" t="s">
        <v>126</v>
      </c>
      <c r="AI2978" t="str">
        <f>"4104010"</f>
        <v>4104010</v>
      </c>
      <c r="AJ2978" t="s">
        <v>5745</v>
      </c>
      <c r="AK2978">
        <v>2834022235</v>
      </c>
      <c r="AL2978" t="s">
        <v>5746</v>
      </c>
      <c r="AM2978" t="s">
        <v>64</v>
      </c>
      <c r="AN2978" t="s">
        <v>5672</v>
      </c>
      <c r="AO2978" t="s">
        <v>5673</v>
      </c>
      <c r="AP2978" t="s">
        <v>5689</v>
      </c>
      <c r="AQ2978">
        <v>2</v>
      </c>
      <c r="AR2978" t="s">
        <v>5644</v>
      </c>
      <c r="AS2978" t="s">
        <v>5645</v>
      </c>
      <c r="AT2978" t="s">
        <v>58</v>
      </c>
      <c r="AU2978" t="s">
        <v>68</v>
      </c>
      <c r="AV2978" t="s">
        <v>132</v>
      </c>
      <c r="AW2978" s="1">
        <v>25485</v>
      </c>
      <c r="AX2978">
        <v>2</v>
      </c>
    </row>
    <row r="2979" spans="1:50">
      <c r="A2979">
        <v>198342</v>
      </c>
      <c r="B2979" t="str">
        <f>"071929244"</f>
        <v>071929244</v>
      </c>
      <c r="C2979" t="s">
        <v>50</v>
      </c>
      <c r="D2979" t="s">
        <v>1509</v>
      </c>
      <c r="E2979" t="s">
        <v>83</v>
      </c>
      <c r="F2979" t="s">
        <v>1286</v>
      </c>
      <c r="G2979" t="s">
        <v>237</v>
      </c>
      <c r="H2979" t="str">
        <f>"ΣΒΑΙΤΣΕΡ 17 ΡΕΘΥΜΝΟ"</f>
        <v>ΣΒΑΙΤΣΕΡ 17 ΡΕΘΥΜΝΟ</v>
      </c>
      <c r="I2979">
        <v>74100</v>
      </c>
      <c r="J2979">
        <v>2831052488</v>
      </c>
      <c r="K2979">
        <v>6984520205</v>
      </c>
      <c r="N2979" t="s">
        <v>478</v>
      </c>
      <c r="O2979" t="s">
        <v>479</v>
      </c>
      <c r="R2979" t="s">
        <v>57</v>
      </c>
      <c r="S2979">
        <v>10</v>
      </c>
      <c r="T2979">
        <v>206</v>
      </c>
      <c r="U2979" s="1">
        <v>37866</v>
      </c>
      <c r="V2979" t="s">
        <v>5644</v>
      </c>
      <c r="W2979" t="s">
        <v>5645</v>
      </c>
      <c r="X2979" t="s">
        <v>58</v>
      </c>
      <c r="Y2979">
        <v>18</v>
      </c>
      <c r="Z2979" t="s">
        <v>59</v>
      </c>
      <c r="AA2979" t="s">
        <v>59</v>
      </c>
      <c r="AB2979" t="s">
        <v>59</v>
      </c>
      <c r="AC2979" t="s">
        <v>59</v>
      </c>
      <c r="AD2979" t="s">
        <v>59</v>
      </c>
      <c r="AF2979" s="1">
        <v>37866</v>
      </c>
      <c r="AG2979" t="s">
        <v>125</v>
      </c>
      <c r="AH2979" t="s">
        <v>126</v>
      </c>
      <c r="AI2979" t="str">
        <f>"4101020"</f>
        <v>4101020</v>
      </c>
      <c r="AJ2979" t="s">
        <v>5652</v>
      </c>
      <c r="AK2979">
        <v>2831023560</v>
      </c>
      <c r="AL2979" t="s">
        <v>5653</v>
      </c>
      <c r="AM2979" t="s">
        <v>64</v>
      </c>
      <c r="AN2979" t="s">
        <v>65</v>
      </c>
      <c r="AO2979" t="s">
        <v>65</v>
      </c>
      <c r="AP2979" t="s">
        <v>65</v>
      </c>
      <c r="AQ2979">
        <v>1</v>
      </c>
      <c r="AR2979" t="s">
        <v>5644</v>
      </c>
      <c r="AS2979" t="s">
        <v>5645</v>
      </c>
      <c r="AT2979" t="s">
        <v>58</v>
      </c>
      <c r="AU2979" t="s">
        <v>68</v>
      </c>
      <c r="AV2979" t="s">
        <v>69</v>
      </c>
      <c r="AW2979" s="1">
        <v>24202</v>
      </c>
      <c r="AX2979">
        <v>2</v>
      </c>
    </row>
    <row r="2980" spans="1:50">
      <c r="B2980" t="str">
        <f>"109126697"</f>
        <v>109126697</v>
      </c>
      <c r="C2980" t="s">
        <v>50</v>
      </c>
      <c r="D2980" t="s">
        <v>5977</v>
      </c>
      <c r="E2980" t="s">
        <v>3297</v>
      </c>
      <c r="F2980" t="s">
        <v>459</v>
      </c>
      <c r="G2980" t="s">
        <v>964</v>
      </c>
      <c r="H2980" t="str">
        <f>"ΓΕΡΑΝΙ ΡΕΘΥΜΝΟ"</f>
        <v>ΓΕΡΑΝΙ ΡΕΘΥΜΝΟ</v>
      </c>
      <c r="I2980">
        <v>74100</v>
      </c>
      <c r="J2980">
        <v>2831026954</v>
      </c>
      <c r="K2980">
        <v>6970012127</v>
      </c>
      <c r="M2980" t="s">
        <v>5978</v>
      </c>
      <c r="N2980" t="s">
        <v>299</v>
      </c>
      <c r="O2980" t="s">
        <v>300</v>
      </c>
      <c r="R2980" t="s">
        <v>121</v>
      </c>
      <c r="S2980">
        <v>1</v>
      </c>
      <c r="T2980" t="s">
        <v>416</v>
      </c>
      <c r="U2980" s="1">
        <v>43349</v>
      </c>
      <c r="V2980" t="s">
        <v>5644</v>
      </c>
      <c r="W2980" t="s">
        <v>5645</v>
      </c>
      <c r="X2980" t="s">
        <v>58</v>
      </c>
      <c r="Y2980">
        <v>23</v>
      </c>
      <c r="Z2980" t="s">
        <v>59</v>
      </c>
      <c r="AA2980" t="s">
        <v>59</v>
      </c>
      <c r="AB2980" t="s">
        <v>59</v>
      </c>
      <c r="AD2980" t="s">
        <v>59</v>
      </c>
      <c r="AF2980" s="1">
        <v>43349</v>
      </c>
      <c r="AG2980" t="s">
        <v>148</v>
      </c>
      <c r="AH2980" t="s">
        <v>149</v>
      </c>
      <c r="AI2980" t="str">
        <f>"4144002"</f>
        <v>4144002</v>
      </c>
      <c r="AJ2980" t="s">
        <v>5655</v>
      </c>
      <c r="AK2980">
        <v>2831061110</v>
      </c>
      <c r="AL2980" t="s">
        <v>5656</v>
      </c>
      <c r="AM2980" t="s">
        <v>64</v>
      </c>
      <c r="AN2980" t="s">
        <v>65</v>
      </c>
      <c r="AO2980" t="s">
        <v>5657</v>
      </c>
      <c r="AP2980" t="s">
        <v>1437</v>
      </c>
      <c r="AQ2980">
        <v>1</v>
      </c>
      <c r="AR2980" t="s">
        <v>5644</v>
      </c>
      <c r="AS2980" t="s">
        <v>5645</v>
      </c>
      <c r="AT2980" t="s">
        <v>58</v>
      </c>
      <c r="AU2980" t="s">
        <v>419</v>
      </c>
      <c r="AV2980" t="s">
        <v>132</v>
      </c>
      <c r="AW2980" s="1">
        <v>27726</v>
      </c>
      <c r="AX2980">
        <v>2</v>
      </c>
    </row>
    <row r="2981" spans="1:50">
      <c r="A2981">
        <v>146570</v>
      </c>
      <c r="B2981" t="str">
        <f>"079842803"</f>
        <v>079842803</v>
      </c>
      <c r="C2981" t="s">
        <v>50</v>
      </c>
      <c r="D2981" t="s">
        <v>5979</v>
      </c>
      <c r="E2981" t="s">
        <v>740</v>
      </c>
      <c r="F2981" t="s">
        <v>450</v>
      </c>
      <c r="G2981" t="s">
        <v>263</v>
      </c>
      <c r="H2981" t="str">
        <f>"ΠΡΙΝΕΣ ΡΕΘΥΜΝΟ"</f>
        <v>ΠΡΙΝΕΣ ΡΕΘΥΜΝΟ</v>
      </c>
      <c r="I2981">
        <v>74100</v>
      </c>
      <c r="N2981" t="s">
        <v>292</v>
      </c>
      <c r="O2981" t="s">
        <v>293</v>
      </c>
      <c r="R2981" t="s">
        <v>57</v>
      </c>
      <c r="S2981">
        <v>16</v>
      </c>
      <c r="T2981">
        <v>237</v>
      </c>
      <c r="U2981" s="1">
        <v>31293</v>
      </c>
      <c r="V2981" t="s">
        <v>5644</v>
      </c>
      <c r="W2981" t="s">
        <v>5645</v>
      </c>
      <c r="X2981" t="s">
        <v>58</v>
      </c>
      <c r="Y2981">
        <v>18</v>
      </c>
      <c r="Z2981" t="s">
        <v>59</v>
      </c>
      <c r="AA2981" t="s">
        <v>59</v>
      </c>
      <c r="AB2981" t="s">
        <v>59</v>
      </c>
      <c r="AC2981" t="s">
        <v>59</v>
      </c>
      <c r="AD2981" t="s">
        <v>59</v>
      </c>
      <c r="AF2981" s="1">
        <v>31293</v>
      </c>
      <c r="AG2981" t="s">
        <v>125</v>
      </c>
      <c r="AH2981" t="s">
        <v>126</v>
      </c>
      <c r="AI2981" t="str">
        <f>"4101010"</f>
        <v>4101010</v>
      </c>
      <c r="AJ2981" t="s">
        <v>5814</v>
      </c>
      <c r="AK2981">
        <v>2831022283</v>
      </c>
      <c r="AL2981" t="s">
        <v>5815</v>
      </c>
      <c r="AM2981" t="s">
        <v>64</v>
      </c>
      <c r="AN2981" t="s">
        <v>65</v>
      </c>
      <c r="AO2981" t="s">
        <v>65</v>
      </c>
      <c r="AP2981" t="s">
        <v>65</v>
      </c>
      <c r="AQ2981">
        <v>1</v>
      </c>
      <c r="AR2981" t="s">
        <v>5644</v>
      </c>
      <c r="AS2981" t="s">
        <v>5645</v>
      </c>
      <c r="AT2981" t="s">
        <v>58</v>
      </c>
      <c r="AU2981" t="s">
        <v>68</v>
      </c>
      <c r="AV2981" t="s">
        <v>69</v>
      </c>
      <c r="AW2981" s="1">
        <v>20520</v>
      </c>
      <c r="AX2981">
        <v>2</v>
      </c>
    </row>
    <row r="2982" spans="1:50">
      <c r="A2982">
        <v>229896</v>
      </c>
      <c r="B2982" t="str">
        <f>"106719749"</f>
        <v>106719749</v>
      </c>
      <c r="C2982" t="s">
        <v>50</v>
      </c>
      <c r="D2982" t="s">
        <v>5980</v>
      </c>
      <c r="E2982" t="s">
        <v>367</v>
      </c>
      <c r="F2982" t="s">
        <v>5981</v>
      </c>
      <c r="G2982" t="s">
        <v>83</v>
      </c>
      <c r="H2982" t="str">
        <f>"ΑΣΤΕΡΙ  "</f>
        <v xml:space="preserve">ΑΣΤΕΡΙ  </v>
      </c>
      <c r="I2982">
        <v>74100</v>
      </c>
      <c r="J2982">
        <v>2273080904</v>
      </c>
      <c r="K2982">
        <v>6974377183</v>
      </c>
      <c r="L2982">
        <v>2102797863</v>
      </c>
      <c r="M2982" t="s">
        <v>5982</v>
      </c>
      <c r="N2982" t="s">
        <v>189</v>
      </c>
      <c r="O2982" t="s">
        <v>190</v>
      </c>
      <c r="R2982" t="s">
        <v>57</v>
      </c>
      <c r="S2982">
        <v>6</v>
      </c>
      <c r="T2982">
        <v>4</v>
      </c>
      <c r="U2982" s="1">
        <v>40186</v>
      </c>
      <c r="V2982" t="s">
        <v>5644</v>
      </c>
      <c r="W2982" t="s">
        <v>5645</v>
      </c>
      <c r="X2982" t="s">
        <v>58</v>
      </c>
      <c r="Y2982">
        <v>21</v>
      </c>
      <c r="Z2982" t="s">
        <v>59</v>
      </c>
      <c r="AA2982" t="s">
        <v>59</v>
      </c>
      <c r="AB2982" t="s">
        <v>59</v>
      </c>
      <c r="AC2982" t="s">
        <v>59</v>
      </c>
      <c r="AD2982" t="s">
        <v>59</v>
      </c>
      <c r="AF2982" s="1">
        <v>40190</v>
      </c>
      <c r="AG2982" t="s">
        <v>125</v>
      </c>
      <c r="AH2982" t="s">
        <v>126</v>
      </c>
      <c r="AI2982" t="str">
        <f>"4101040"</f>
        <v>4101040</v>
      </c>
      <c r="AJ2982" t="s">
        <v>5732</v>
      </c>
      <c r="AK2982">
        <v>2831029261</v>
      </c>
      <c r="AL2982" t="s">
        <v>5733</v>
      </c>
      <c r="AM2982" t="s">
        <v>64</v>
      </c>
      <c r="AN2982" t="s">
        <v>65</v>
      </c>
      <c r="AO2982" t="s">
        <v>65</v>
      </c>
      <c r="AP2982" t="s">
        <v>65</v>
      </c>
      <c r="AQ2982">
        <v>1</v>
      </c>
      <c r="AR2982" t="s">
        <v>5644</v>
      </c>
      <c r="AS2982" t="s">
        <v>5645</v>
      </c>
      <c r="AT2982" t="s">
        <v>58</v>
      </c>
      <c r="AU2982" t="s">
        <v>68</v>
      </c>
      <c r="AV2982" t="s">
        <v>357</v>
      </c>
      <c r="AW2982" s="1">
        <v>29789</v>
      </c>
      <c r="AX2982">
        <v>2</v>
      </c>
    </row>
    <row r="2983" spans="1:50">
      <c r="A2983">
        <v>152837</v>
      </c>
      <c r="B2983" t="str">
        <f>"033354261"</f>
        <v>033354261</v>
      </c>
      <c r="C2983" t="s">
        <v>50</v>
      </c>
      <c r="D2983" t="s">
        <v>5983</v>
      </c>
      <c r="E2983" t="s">
        <v>905</v>
      </c>
      <c r="F2983" t="s">
        <v>99</v>
      </c>
      <c r="G2983" t="s">
        <v>237</v>
      </c>
      <c r="H2983" t="str">
        <f>"ΜΑΡΙΟΥ, ΑΓΙΟΥ ΒΑΣΙΛΕΙΟΥ "</f>
        <v xml:space="preserve">ΜΑΡΙΟΥ, ΑΓΙΟΥ ΒΑΣΙΛΕΙΟΥ </v>
      </c>
      <c r="I2983">
        <v>74060</v>
      </c>
      <c r="J2983">
        <v>2832032096</v>
      </c>
      <c r="K2983">
        <v>6937200310</v>
      </c>
      <c r="M2983" t="s">
        <v>5984</v>
      </c>
      <c r="N2983" t="s">
        <v>146</v>
      </c>
      <c r="O2983" t="s">
        <v>147</v>
      </c>
      <c r="R2983" t="s">
        <v>57</v>
      </c>
      <c r="S2983">
        <v>15</v>
      </c>
      <c r="T2983">
        <v>166</v>
      </c>
      <c r="U2983" s="1">
        <v>32010</v>
      </c>
      <c r="V2983" t="s">
        <v>5644</v>
      </c>
      <c r="W2983" t="s">
        <v>5645</v>
      </c>
      <c r="X2983" t="s">
        <v>58</v>
      </c>
      <c r="Y2983">
        <v>18</v>
      </c>
      <c r="Z2983" t="s">
        <v>59</v>
      </c>
      <c r="AA2983" t="s">
        <v>59</v>
      </c>
      <c r="AB2983" t="s">
        <v>59</v>
      </c>
      <c r="AC2983" t="s">
        <v>59</v>
      </c>
      <c r="AD2983" t="s">
        <v>59</v>
      </c>
      <c r="AF2983" s="1">
        <v>32021</v>
      </c>
      <c r="AG2983" t="s">
        <v>125</v>
      </c>
      <c r="AH2983" t="s">
        <v>126</v>
      </c>
      <c r="AI2983" t="str">
        <f>"4110015"</f>
        <v>4110015</v>
      </c>
      <c r="AJ2983" t="s">
        <v>5723</v>
      </c>
      <c r="AK2983">
        <v>2831022741</v>
      </c>
      <c r="AL2983" t="s">
        <v>5724</v>
      </c>
      <c r="AM2983" t="s">
        <v>64</v>
      </c>
      <c r="AN2983" t="s">
        <v>65</v>
      </c>
      <c r="AO2983" t="s">
        <v>5720</v>
      </c>
      <c r="AP2983" t="s">
        <v>5721</v>
      </c>
      <c r="AQ2983">
        <v>1</v>
      </c>
      <c r="AR2983" t="s">
        <v>5644</v>
      </c>
      <c r="AS2983" t="s">
        <v>5645</v>
      </c>
      <c r="AT2983" t="s">
        <v>58</v>
      </c>
      <c r="AU2983" t="s">
        <v>68</v>
      </c>
      <c r="AV2983" t="s">
        <v>69</v>
      </c>
      <c r="AW2983" s="1">
        <v>23373</v>
      </c>
      <c r="AX2983">
        <v>2</v>
      </c>
    </row>
    <row r="2984" spans="1:50">
      <c r="A2984">
        <v>163961</v>
      </c>
      <c r="B2984" t="str">
        <f>"032277093"</f>
        <v>032277093</v>
      </c>
      <c r="C2984" t="s">
        <v>50</v>
      </c>
      <c r="D2984" t="s">
        <v>5985</v>
      </c>
      <c r="E2984" t="s">
        <v>237</v>
      </c>
      <c r="F2984" t="s">
        <v>1062</v>
      </c>
      <c r="G2984" t="s">
        <v>610</v>
      </c>
      <c r="H2984" t="str">
        <f>"ΒΑΒΟΥΡΑΚΗΔΩΝ 20 ΡΕΘΥΜΝΟ"</f>
        <v>ΒΑΒΟΥΡΑΚΗΔΩΝ 20 ΡΕΘΥΜΝΟ</v>
      </c>
      <c r="I2984">
        <v>74100</v>
      </c>
      <c r="N2984" t="s">
        <v>146</v>
      </c>
      <c r="O2984" t="s">
        <v>147</v>
      </c>
      <c r="R2984" t="s">
        <v>57</v>
      </c>
      <c r="S2984">
        <v>14</v>
      </c>
      <c r="T2984">
        <v>161</v>
      </c>
      <c r="U2984" s="1">
        <v>33844</v>
      </c>
      <c r="V2984" t="s">
        <v>5644</v>
      </c>
      <c r="W2984" t="s">
        <v>5645</v>
      </c>
      <c r="X2984" t="s">
        <v>58</v>
      </c>
      <c r="Y2984">
        <v>18</v>
      </c>
      <c r="Z2984" t="s">
        <v>59</v>
      </c>
      <c r="AA2984" t="s">
        <v>59</v>
      </c>
      <c r="AB2984" t="s">
        <v>59</v>
      </c>
      <c r="AC2984" t="s">
        <v>59</v>
      </c>
      <c r="AD2984" t="s">
        <v>59</v>
      </c>
      <c r="AF2984" s="1">
        <v>33844</v>
      </c>
      <c r="AG2984" t="s">
        <v>125</v>
      </c>
      <c r="AH2984" t="s">
        <v>126</v>
      </c>
      <c r="AI2984" t="str">
        <f>"4101010"</f>
        <v>4101010</v>
      </c>
      <c r="AJ2984" t="s">
        <v>5814</v>
      </c>
      <c r="AK2984">
        <v>2831022283</v>
      </c>
      <c r="AL2984" t="s">
        <v>5815</v>
      </c>
      <c r="AM2984" t="s">
        <v>64</v>
      </c>
      <c r="AN2984" t="s">
        <v>65</v>
      </c>
      <c r="AO2984" t="s">
        <v>65</v>
      </c>
      <c r="AP2984" t="s">
        <v>65</v>
      </c>
      <c r="AQ2984">
        <v>1</v>
      </c>
      <c r="AR2984" t="s">
        <v>5644</v>
      </c>
      <c r="AS2984" t="s">
        <v>5645</v>
      </c>
      <c r="AT2984" t="s">
        <v>58</v>
      </c>
      <c r="AU2984" t="s">
        <v>68</v>
      </c>
      <c r="AV2984" t="s">
        <v>69</v>
      </c>
      <c r="AW2984" s="1">
        <v>23514</v>
      </c>
      <c r="AX2984">
        <v>2</v>
      </c>
    </row>
    <row r="2985" spans="1:50">
      <c r="A2985">
        <v>199830</v>
      </c>
      <c r="B2985" t="str">
        <f>"103206698"</f>
        <v>103206698</v>
      </c>
      <c r="C2985" t="s">
        <v>105</v>
      </c>
      <c r="D2985" t="s">
        <v>1555</v>
      </c>
      <c r="E2985" t="s">
        <v>760</v>
      </c>
      <c r="F2985" t="s">
        <v>5986</v>
      </c>
      <c r="G2985" t="s">
        <v>325</v>
      </c>
      <c r="H2985" t="str">
        <f>"ΛΗΤΟΥΣ 10 ΡΕΘΥΜΝΟ"</f>
        <v>ΛΗΤΟΥΣ 10 ΡΕΘΥΜΝΟ</v>
      </c>
      <c r="I2985">
        <v>74100</v>
      </c>
      <c r="J2985">
        <v>2106083417</v>
      </c>
      <c r="K2985">
        <v>6945675151</v>
      </c>
      <c r="N2985" t="s">
        <v>204</v>
      </c>
      <c r="O2985" t="s">
        <v>205</v>
      </c>
      <c r="R2985" t="s">
        <v>57</v>
      </c>
      <c r="S2985">
        <v>7</v>
      </c>
      <c r="T2985">
        <v>206</v>
      </c>
      <c r="U2985" s="1">
        <v>37866</v>
      </c>
      <c r="V2985" t="s">
        <v>5644</v>
      </c>
      <c r="W2985" t="s">
        <v>5645</v>
      </c>
      <c r="X2985" t="s">
        <v>58</v>
      </c>
      <c r="Y2985">
        <v>20</v>
      </c>
      <c r="Z2985" t="s">
        <v>59</v>
      </c>
      <c r="AA2985" t="s">
        <v>59</v>
      </c>
      <c r="AB2985" t="s">
        <v>59</v>
      </c>
      <c r="AC2985" t="s">
        <v>59</v>
      </c>
      <c r="AD2985" t="s">
        <v>59</v>
      </c>
      <c r="AF2985" s="1">
        <v>37866</v>
      </c>
      <c r="AG2985" t="s">
        <v>137</v>
      </c>
      <c r="AH2985" t="s">
        <v>138</v>
      </c>
      <c r="AI2985" t="str">
        <f>"4150040"</f>
        <v>4150040</v>
      </c>
      <c r="AJ2985" t="s">
        <v>5661</v>
      </c>
      <c r="AK2985">
        <v>2831029048</v>
      </c>
      <c r="AL2985" t="s">
        <v>5662</v>
      </c>
      <c r="AM2985" t="s">
        <v>64</v>
      </c>
      <c r="AN2985" t="s">
        <v>65</v>
      </c>
      <c r="AO2985" t="s">
        <v>65</v>
      </c>
      <c r="AP2985" t="s">
        <v>65</v>
      </c>
      <c r="AQ2985">
        <v>1</v>
      </c>
      <c r="AR2985" t="s">
        <v>5644</v>
      </c>
      <c r="AS2985" t="s">
        <v>5645</v>
      </c>
      <c r="AT2985" t="s">
        <v>58</v>
      </c>
      <c r="AU2985" t="s">
        <v>68</v>
      </c>
      <c r="AV2985" t="s">
        <v>69</v>
      </c>
      <c r="AW2985" s="1">
        <v>27246</v>
      </c>
      <c r="AX2985">
        <v>2</v>
      </c>
    </row>
    <row r="2986" spans="1:50">
      <c r="A2986">
        <v>206606</v>
      </c>
      <c r="B2986" t="str">
        <f>"031812545"</f>
        <v>031812545</v>
      </c>
      <c r="C2986" t="s">
        <v>50</v>
      </c>
      <c r="D2986" t="s">
        <v>4849</v>
      </c>
      <c r="E2986" t="s">
        <v>83</v>
      </c>
      <c r="F2986" t="s">
        <v>72</v>
      </c>
      <c r="G2986" t="s">
        <v>589</v>
      </c>
      <c r="H2986" t="str">
        <f>"ΠΡΙΝΕΣ ΡΕΘΥΜΝΟ"</f>
        <v>ΠΡΙΝΕΣ ΡΕΘΥΜΝΟ</v>
      </c>
      <c r="I2986">
        <v>74100</v>
      </c>
      <c r="J2986">
        <v>2831031769</v>
      </c>
      <c r="K2986">
        <v>6974464094</v>
      </c>
      <c r="N2986" t="s">
        <v>146</v>
      </c>
      <c r="O2986" t="s">
        <v>147</v>
      </c>
      <c r="R2986" t="s">
        <v>57</v>
      </c>
      <c r="S2986">
        <v>8</v>
      </c>
      <c r="T2986">
        <v>218</v>
      </c>
      <c r="U2986" s="1">
        <v>38596</v>
      </c>
      <c r="V2986" t="s">
        <v>5644</v>
      </c>
      <c r="W2986" t="s">
        <v>5645</v>
      </c>
      <c r="X2986" t="s">
        <v>58</v>
      </c>
      <c r="Y2986">
        <v>20</v>
      </c>
      <c r="Z2986" t="s">
        <v>59</v>
      </c>
      <c r="AA2986" t="s">
        <v>59</v>
      </c>
      <c r="AB2986" t="s">
        <v>59</v>
      </c>
      <c r="AC2986" t="s">
        <v>59</v>
      </c>
      <c r="AD2986" t="s">
        <v>59</v>
      </c>
      <c r="AF2986" s="1">
        <v>38603</v>
      </c>
      <c r="AG2986" t="s">
        <v>125</v>
      </c>
      <c r="AH2986" t="s">
        <v>126</v>
      </c>
      <c r="AI2986" t="str">
        <f>"4101020"</f>
        <v>4101020</v>
      </c>
      <c r="AJ2986" t="s">
        <v>5652</v>
      </c>
      <c r="AK2986">
        <v>2831023560</v>
      </c>
      <c r="AL2986" t="s">
        <v>5653</v>
      </c>
      <c r="AM2986" t="s">
        <v>64</v>
      </c>
      <c r="AN2986" t="s">
        <v>65</v>
      </c>
      <c r="AO2986" t="s">
        <v>65</v>
      </c>
      <c r="AP2986" t="s">
        <v>65</v>
      </c>
      <c r="AQ2986">
        <v>1</v>
      </c>
      <c r="AR2986" t="s">
        <v>5644</v>
      </c>
      <c r="AS2986" t="s">
        <v>5645</v>
      </c>
      <c r="AT2986" t="s">
        <v>58</v>
      </c>
      <c r="AU2986" t="s">
        <v>68</v>
      </c>
      <c r="AV2986" t="s">
        <v>69</v>
      </c>
      <c r="AW2986" s="1">
        <v>22585</v>
      </c>
      <c r="AX2986">
        <v>2</v>
      </c>
    </row>
    <row r="2987" spans="1:50">
      <c r="A2987">
        <v>175392</v>
      </c>
      <c r="B2987" t="str">
        <f>"043853125"</f>
        <v>043853125</v>
      </c>
      <c r="C2987" t="s">
        <v>50</v>
      </c>
      <c r="D2987" t="s">
        <v>5987</v>
      </c>
      <c r="E2987" t="s">
        <v>1348</v>
      </c>
      <c r="F2987" t="s">
        <v>5394</v>
      </c>
      <c r="G2987" t="s">
        <v>52</v>
      </c>
      <c r="H2987" t="str">
        <f>"Ν ΦΩΚΑΙΑΣ 15 ΤΣΕΣΜΕΣ"</f>
        <v>Ν ΦΩΚΑΙΑΣ 15 ΤΣΕΣΜΕΣ</v>
      </c>
      <c r="I2987">
        <v>74100</v>
      </c>
      <c r="J2987">
        <v>2831056018</v>
      </c>
      <c r="K2987">
        <v>6974710169</v>
      </c>
      <c r="N2987" t="s">
        <v>146</v>
      </c>
      <c r="O2987" t="s">
        <v>147</v>
      </c>
      <c r="R2987" t="s">
        <v>57</v>
      </c>
      <c r="S2987">
        <v>11</v>
      </c>
      <c r="T2987">
        <v>180</v>
      </c>
      <c r="U2987" s="1">
        <v>35674</v>
      </c>
      <c r="V2987" t="s">
        <v>5644</v>
      </c>
      <c r="W2987" t="s">
        <v>5645</v>
      </c>
      <c r="X2987" t="s">
        <v>58</v>
      </c>
      <c r="Y2987">
        <v>18</v>
      </c>
      <c r="Z2987" t="s">
        <v>59</v>
      </c>
      <c r="AA2987" t="s">
        <v>59</v>
      </c>
      <c r="AB2987" t="s">
        <v>59</v>
      </c>
      <c r="AC2987" t="s">
        <v>59</v>
      </c>
      <c r="AD2987" t="s">
        <v>59</v>
      </c>
      <c r="AF2987" s="1">
        <v>35674</v>
      </c>
      <c r="AG2987" t="s">
        <v>125</v>
      </c>
      <c r="AH2987" t="s">
        <v>126</v>
      </c>
      <c r="AI2987" t="str">
        <f>"4103010"</f>
        <v>4103010</v>
      </c>
      <c r="AJ2987" t="s">
        <v>5684</v>
      </c>
      <c r="AK2987">
        <v>2834051206</v>
      </c>
      <c r="AL2987" t="s">
        <v>5685</v>
      </c>
      <c r="AM2987" t="s">
        <v>64</v>
      </c>
      <c r="AN2987" t="s">
        <v>5672</v>
      </c>
      <c r="AO2987" t="s">
        <v>5673</v>
      </c>
      <c r="AP2987" t="s">
        <v>5674</v>
      </c>
      <c r="AQ2987">
        <v>2</v>
      </c>
      <c r="AR2987" t="s">
        <v>5644</v>
      </c>
      <c r="AS2987" t="s">
        <v>5645</v>
      </c>
      <c r="AT2987" t="s">
        <v>58</v>
      </c>
      <c r="AU2987" t="s">
        <v>68</v>
      </c>
      <c r="AV2987" t="s">
        <v>69</v>
      </c>
      <c r="AW2987" s="1">
        <v>24275</v>
      </c>
      <c r="AX2987">
        <v>2</v>
      </c>
    </row>
    <row r="2988" spans="1:50">
      <c r="A2988">
        <v>169690</v>
      </c>
      <c r="B2988" t="str">
        <f>"043770866"</f>
        <v>043770866</v>
      </c>
      <c r="C2988" t="s">
        <v>50</v>
      </c>
      <c r="D2988" t="s">
        <v>5988</v>
      </c>
      <c r="E2988" t="s">
        <v>143</v>
      </c>
      <c r="F2988" t="s">
        <v>166</v>
      </c>
      <c r="G2988" t="s">
        <v>250</v>
      </c>
      <c r="H2988" t="str">
        <f>"ΠΡΙΝΕΣ  ΡΕΘΥΜΝΟ"</f>
        <v>ΠΡΙΝΕΣ  ΡΕΘΥΜΝΟ</v>
      </c>
      <c r="I2988">
        <v>74100</v>
      </c>
      <c r="N2988" t="s">
        <v>146</v>
      </c>
      <c r="O2988" t="s">
        <v>147</v>
      </c>
      <c r="R2988" t="s">
        <v>57</v>
      </c>
      <c r="S2988">
        <v>12</v>
      </c>
      <c r="T2988">
        <v>184</v>
      </c>
      <c r="U2988" s="1">
        <v>34941</v>
      </c>
      <c r="V2988" t="s">
        <v>5644</v>
      </c>
      <c r="W2988" t="s">
        <v>5645</v>
      </c>
      <c r="X2988" t="s">
        <v>58</v>
      </c>
      <c r="Y2988">
        <v>18</v>
      </c>
      <c r="Z2988" t="s">
        <v>59</v>
      </c>
      <c r="AA2988" t="s">
        <v>59</v>
      </c>
      <c r="AB2988" t="s">
        <v>59</v>
      </c>
      <c r="AC2988" t="s">
        <v>59</v>
      </c>
      <c r="AD2988" t="s">
        <v>59</v>
      </c>
      <c r="AF2988" s="1">
        <v>34943</v>
      </c>
      <c r="AG2988" t="s">
        <v>125</v>
      </c>
      <c r="AH2988" t="s">
        <v>126</v>
      </c>
      <c r="AI2988" t="str">
        <f>"4101010"</f>
        <v>4101010</v>
      </c>
      <c r="AJ2988" t="s">
        <v>5814</v>
      </c>
      <c r="AK2988">
        <v>2831022283</v>
      </c>
      <c r="AL2988" t="s">
        <v>5815</v>
      </c>
      <c r="AM2988" t="s">
        <v>64</v>
      </c>
      <c r="AN2988" t="s">
        <v>65</v>
      </c>
      <c r="AO2988" t="s">
        <v>65</v>
      </c>
      <c r="AP2988" t="s">
        <v>65</v>
      </c>
      <c r="AQ2988">
        <v>1</v>
      </c>
      <c r="AR2988" t="s">
        <v>5644</v>
      </c>
      <c r="AS2988" t="s">
        <v>5645</v>
      </c>
      <c r="AT2988" t="s">
        <v>58</v>
      </c>
      <c r="AU2988" t="s">
        <v>68</v>
      </c>
      <c r="AV2988" t="s">
        <v>69</v>
      </c>
      <c r="AW2988" s="1">
        <v>23733</v>
      </c>
      <c r="AX2988">
        <v>2</v>
      </c>
    </row>
    <row r="2989" spans="1:50">
      <c r="A2989">
        <v>209482</v>
      </c>
      <c r="B2989" t="str">
        <f>"062134228"</f>
        <v>062134228</v>
      </c>
      <c r="C2989" t="s">
        <v>50</v>
      </c>
      <c r="D2989" t="s">
        <v>1582</v>
      </c>
      <c r="E2989" t="s">
        <v>54</v>
      </c>
      <c r="F2989" t="s">
        <v>760</v>
      </c>
      <c r="G2989" t="s">
        <v>5989</v>
      </c>
      <c r="H2989" t="str">
        <f>"ΖΥΜΒΡΑΚΑΚΗ 16 ΡΕΘΥΜΝΟ"</f>
        <v>ΖΥΜΒΡΑΚΑΚΗ 16 ΡΕΘΥΜΝΟ</v>
      </c>
      <c r="I2989">
        <v>74100</v>
      </c>
      <c r="J2989">
        <v>2831053778</v>
      </c>
      <c r="K2989">
        <v>6944334686</v>
      </c>
      <c r="N2989" t="s">
        <v>146</v>
      </c>
      <c r="O2989" t="s">
        <v>147</v>
      </c>
      <c r="R2989" t="s">
        <v>57</v>
      </c>
      <c r="S2989">
        <v>6</v>
      </c>
      <c r="T2989" t="s">
        <v>5990</v>
      </c>
      <c r="U2989" s="1">
        <v>38609</v>
      </c>
      <c r="V2989" t="s">
        <v>5644</v>
      </c>
      <c r="W2989" t="s">
        <v>5645</v>
      </c>
      <c r="X2989" t="s">
        <v>58</v>
      </c>
      <c r="Y2989">
        <v>20</v>
      </c>
      <c r="Z2989" t="s">
        <v>59</v>
      </c>
      <c r="AA2989" t="s">
        <v>59</v>
      </c>
      <c r="AB2989" t="s">
        <v>59</v>
      </c>
      <c r="AC2989" t="s">
        <v>59</v>
      </c>
      <c r="AD2989" t="s">
        <v>59</v>
      </c>
      <c r="AF2989" s="1">
        <v>38609</v>
      </c>
      <c r="AG2989" t="s">
        <v>137</v>
      </c>
      <c r="AH2989" t="s">
        <v>469</v>
      </c>
      <c r="AI2989" t="str">
        <f>"4150045"</f>
        <v>4150045</v>
      </c>
      <c r="AJ2989" t="s">
        <v>5871</v>
      </c>
      <c r="AK2989">
        <v>2831022248</v>
      </c>
      <c r="AL2989" t="s">
        <v>5872</v>
      </c>
      <c r="AM2989" t="s">
        <v>64</v>
      </c>
      <c r="AN2989" t="s">
        <v>65</v>
      </c>
      <c r="AO2989" t="s">
        <v>65</v>
      </c>
      <c r="AP2989" t="s">
        <v>65</v>
      </c>
      <c r="AQ2989">
        <v>1</v>
      </c>
      <c r="AR2989" t="s">
        <v>5644</v>
      </c>
      <c r="AS2989" t="s">
        <v>5645</v>
      </c>
      <c r="AT2989" t="s">
        <v>58</v>
      </c>
      <c r="AU2989" t="s">
        <v>68</v>
      </c>
      <c r="AV2989" t="s">
        <v>69</v>
      </c>
      <c r="AW2989" s="1">
        <v>28222</v>
      </c>
      <c r="AX2989">
        <v>2</v>
      </c>
    </row>
    <row r="2990" spans="1:50">
      <c r="A2990">
        <v>162234</v>
      </c>
      <c r="B2990" t="str">
        <f>"028641937"</f>
        <v>028641937</v>
      </c>
      <c r="C2990" t="s">
        <v>50</v>
      </c>
      <c r="D2990" t="s">
        <v>5991</v>
      </c>
      <c r="E2990" t="s">
        <v>255</v>
      </c>
      <c r="F2990" t="s">
        <v>84</v>
      </c>
      <c r="G2990" t="s">
        <v>83</v>
      </c>
      <c r="H2990" t="str">
        <f>"ΚΑΠΟΔΙΣΤΡΙΟΥ 8  ΡΕΘΥΜΝΟ"</f>
        <v>ΚΑΠΟΔΙΣΤΡΙΟΥ 8  ΡΕΘΥΜΝΟ</v>
      </c>
      <c r="I2990">
        <v>74100</v>
      </c>
      <c r="J2990">
        <v>2831051048</v>
      </c>
      <c r="K2990">
        <v>6978780964</v>
      </c>
      <c r="N2990" t="s">
        <v>146</v>
      </c>
      <c r="O2990" t="s">
        <v>147</v>
      </c>
      <c r="R2990" t="s">
        <v>57</v>
      </c>
      <c r="S2990">
        <v>16</v>
      </c>
      <c r="T2990">
        <v>132</v>
      </c>
      <c r="U2990" s="1">
        <v>33456</v>
      </c>
      <c r="V2990" t="s">
        <v>5644</v>
      </c>
      <c r="W2990" t="s">
        <v>5645</v>
      </c>
      <c r="X2990" t="s">
        <v>58</v>
      </c>
      <c r="Y2990">
        <v>18</v>
      </c>
      <c r="Z2990" t="s">
        <v>59</v>
      </c>
      <c r="AA2990" t="s">
        <v>59</v>
      </c>
      <c r="AB2990" t="s">
        <v>59</v>
      </c>
      <c r="AC2990" t="s">
        <v>59</v>
      </c>
      <c r="AD2990" t="s">
        <v>59</v>
      </c>
      <c r="AF2990" s="1">
        <v>33456</v>
      </c>
      <c r="AG2990" t="s">
        <v>148</v>
      </c>
      <c r="AH2990" t="s">
        <v>149</v>
      </c>
      <c r="AI2990" t="str">
        <f>"4154010"</f>
        <v>4154010</v>
      </c>
      <c r="AJ2990" t="s">
        <v>5687</v>
      </c>
      <c r="AK2990">
        <v>2834023300</v>
      </c>
      <c r="AL2990" t="s">
        <v>5688</v>
      </c>
      <c r="AM2990" t="s">
        <v>64</v>
      </c>
      <c r="AN2990" t="s">
        <v>5672</v>
      </c>
      <c r="AO2990" t="s">
        <v>5673</v>
      </c>
      <c r="AP2990" t="s">
        <v>5689</v>
      </c>
      <c r="AQ2990">
        <v>2</v>
      </c>
      <c r="AR2990" t="s">
        <v>5644</v>
      </c>
      <c r="AS2990" t="s">
        <v>5645</v>
      </c>
      <c r="AT2990" t="s">
        <v>58</v>
      </c>
      <c r="AU2990" t="s">
        <v>68</v>
      </c>
      <c r="AV2990" t="s">
        <v>69</v>
      </c>
      <c r="AW2990" s="1">
        <v>22932</v>
      </c>
      <c r="AX2990">
        <v>2</v>
      </c>
    </row>
    <row r="2991" spans="1:50">
      <c r="A2991">
        <v>211584</v>
      </c>
      <c r="B2991" t="str">
        <f>"118823046"</f>
        <v>118823046</v>
      </c>
      <c r="C2991" t="s">
        <v>50</v>
      </c>
      <c r="D2991" t="s">
        <v>5992</v>
      </c>
      <c r="E2991" t="s">
        <v>255</v>
      </c>
      <c r="F2991" t="s">
        <v>72</v>
      </c>
      <c r="G2991" t="s">
        <v>52</v>
      </c>
      <c r="H2991" t="str">
        <f>"Πλατεία Αγνώστου Στρατιώτη 5-6 ΡΕΘΥΜΝΟ"</f>
        <v>Πλατεία Αγνώστου Στρατιώτη 5-6 ΡΕΘΥΜΝΟ</v>
      </c>
      <c r="I2991">
        <v>74100</v>
      </c>
      <c r="J2991">
        <v>2105443451</v>
      </c>
      <c r="K2991">
        <v>6972721433</v>
      </c>
      <c r="M2991" t="s">
        <v>5993</v>
      </c>
      <c r="N2991" t="s">
        <v>189</v>
      </c>
      <c r="O2991" t="s">
        <v>190</v>
      </c>
      <c r="R2991" t="s">
        <v>57</v>
      </c>
      <c r="S2991">
        <v>8</v>
      </c>
      <c r="T2991" t="s">
        <v>5994</v>
      </c>
      <c r="U2991" s="1">
        <v>38687</v>
      </c>
      <c r="V2991" t="s">
        <v>5644</v>
      </c>
      <c r="W2991" t="s">
        <v>5645</v>
      </c>
      <c r="X2991" t="s">
        <v>58</v>
      </c>
      <c r="Y2991">
        <v>20</v>
      </c>
      <c r="Z2991" t="s">
        <v>59</v>
      </c>
      <c r="AA2991" t="s">
        <v>59</v>
      </c>
      <c r="AB2991" t="s">
        <v>59</v>
      </c>
      <c r="AC2991" t="s">
        <v>59</v>
      </c>
      <c r="AD2991" t="s">
        <v>59</v>
      </c>
      <c r="AF2991" s="1">
        <v>38687</v>
      </c>
      <c r="AG2991" t="s">
        <v>148</v>
      </c>
      <c r="AH2991" t="s">
        <v>149</v>
      </c>
      <c r="AI2991" t="str">
        <f>"4151030"</f>
        <v>4151030</v>
      </c>
      <c r="AJ2991" t="s">
        <v>5681</v>
      </c>
      <c r="AK2991">
        <v>2831023422</v>
      </c>
      <c r="AL2991" t="s">
        <v>5682</v>
      </c>
      <c r="AM2991" t="s">
        <v>64</v>
      </c>
      <c r="AN2991" t="s">
        <v>65</v>
      </c>
      <c r="AO2991" t="s">
        <v>65</v>
      </c>
      <c r="AP2991" t="s">
        <v>65</v>
      </c>
      <c r="AQ2991">
        <v>1</v>
      </c>
      <c r="AR2991" t="s">
        <v>5644</v>
      </c>
      <c r="AS2991" t="s">
        <v>5645</v>
      </c>
      <c r="AT2991" t="s">
        <v>58</v>
      </c>
      <c r="AU2991" t="s">
        <v>68</v>
      </c>
      <c r="AV2991" t="s">
        <v>69</v>
      </c>
      <c r="AW2991" s="1">
        <v>28085</v>
      </c>
      <c r="AX2991">
        <v>2</v>
      </c>
    </row>
    <row r="2992" spans="1:50">
      <c r="A2992">
        <v>169693</v>
      </c>
      <c r="B2992" t="str">
        <f>"043346293"</f>
        <v>043346293</v>
      </c>
      <c r="C2992" t="s">
        <v>50</v>
      </c>
      <c r="D2992" t="s">
        <v>5995</v>
      </c>
      <c r="E2992" t="s">
        <v>237</v>
      </c>
      <c r="F2992" t="s">
        <v>95</v>
      </c>
      <c r="G2992" t="s">
        <v>181</v>
      </c>
      <c r="H2992" t="str">
        <f>"Βαβουράκηδων 15 (Β κτίριο) "</f>
        <v xml:space="preserve">Βαβουράκηδων 15 (Β κτίριο) </v>
      </c>
      <c r="I2992">
        <v>74100</v>
      </c>
      <c r="J2992">
        <v>2831052135</v>
      </c>
      <c r="K2992">
        <v>6944827170</v>
      </c>
      <c r="M2992" t="s">
        <v>5996</v>
      </c>
      <c r="N2992" t="s">
        <v>146</v>
      </c>
      <c r="O2992" t="s">
        <v>147</v>
      </c>
      <c r="R2992" t="s">
        <v>57</v>
      </c>
      <c r="S2992">
        <v>13</v>
      </c>
      <c r="T2992">
        <v>184</v>
      </c>
      <c r="U2992" s="1">
        <v>34941</v>
      </c>
      <c r="V2992" t="s">
        <v>5644</v>
      </c>
      <c r="W2992" t="s">
        <v>5645</v>
      </c>
      <c r="X2992" t="s">
        <v>58</v>
      </c>
      <c r="Y2992">
        <v>18</v>
      </c>
      <c r="Z2992" t="s">
        <v>59</v>
      </c>
      <c r="AA2992" t="s">
        <v>59</v>
      </c>
      <c r="AB2992" t="s">
        <v>59</v>
      </c>
      <c r="AC2992" t="s">
        <v>59</v>
      </c>
      <c r="AD2992" t="s">
        <v>452</v>
      </c>
      <c r="AE2992" s="1">
        <v>43708</v>
      </c>
      <c r="AF2992" s="1">
        <v>34941</v>
      </c>
      <c r="AG2992" t="s">
        <v>125</v>
      </c>
      <c r="AH2992" t="s">
        <v>5702</v>
      </c>
      <c r="AI2992" t="str">
        <f>"4101042"</f>
        <v>4101042</v>
      </c>
      <c r="AJ2992" t="s">
        <v>5703</v>
      </c>
      <c r="AK2992">
        <v>2831027230</v>
      </c>
      <c r="AL2992" t="s">
        <v>5704</v>
      </c>
      <c r="AM2992" t="s">
        <v>64</v>
      </c>
      <c r="AN2992" t="s">
        <v>65</v>
      </c>
      <c r="AO2992" t="s">
        <v>65</v>
      </c>
      <c r="AP2992" t="s">
        <v>65</v>
      </c>
      <c r="AQ2992">
        <v>1</v>
      </c>
      <c r="AR2992" t="s">
        <v>5644</v>
      </c>
      <c r="AS2992" t="s">
        <v>5645</v>
      </c>
      <c r="AT2992" t="s">
        <v>58</v>
      </c>
      <c r="AU2992" t="s">
        <v>68</v>
      </c>
      <c r="AV2992" t="s">
        <v>69</v>
      </c>
      <c r="AW2992" s="1">
        <v>21718</v>
      </c>
      <c r="AX2992">
        <v>2</v>
      </c>
    </row>
    <row r="2993" spans="1:50">
      <c r="A2993">
        <v>175396</v>
      </c>
      <c r="B2993" t="str">
        <f>"043629385"</f>
        <v>043629385</v>
      </c>
      <c r="C2993" t="s">
        <v>50</v>
      </c>
      <c r="D2993" t="s">
        <v>1625</v>
      </c>
      <c r="E2993" t="s">
        <v>52</v>
      </c>
      <c r="F2993" t="s">
        <v>166</v>
      </c>
      <c r="G2993" t="s">
        <v>237</v>
      </c>
      <c r="H2993" t="str">
        <f>"ΣΑΟΥΝΑΤΣΟΥ 26 ΡΕΘΥΜΝΟ"</f>
        <v>ΣΑΟΥΝΑΤΣΟΥ 26 ΡΕΘΥΜΝΟ</v>
      </c>
      <c r="I2993">
        <v>74100</v>
      </c>
      <c r="J2993">
        <v>2831022020</v>
      </c>
      <c r="K2993">
        <v>6945398684</v>
      </c>
      <c r="N2993" t="s">
        <v>146</v>
      </c>
      <c r="O2993" t="s">
        <v>147</v>
      </c>
      <c r="R2993" t="s">
        <v>57</v>
      </c>
      <c r="S2993">
        <v>11</v>
      </c>
      <c r="T2993">
        <v>180</v>
      </c>
      <c r="U2993" s="1">
        <v>35674</v>
      </c>
      <c r="V2993" t="s">
        <v>5644</v>
      </c>
      <c r="W2993" t="s">
        <v>5645</v>
      </c>
      <c r="X2993" t="s">
        <v>58</v>
      </c>
      <c r="Y2993">
        <v>18</v>
      </c>
      <c r="Z2993" t="s">
        <v>59</v>
      </c>
      <c r="AA2993" t="s">
        <v>59</v>
      </c>
      <c r="AB2993" t="s">
        <v>59</v>
      </c>
      <c r="AC2993" t="s">
        <v>59</v>
      </c>
      <c r="AD2993" t="s">
        <v>59</v>
      </c>
      <c r="AF2993" s="1">
        <v>35675</v>
      </c>
      <c r="AG2993" t="s">
        <v>148</v>
      </c>
      <c r="AH2993" t="s">
        <v>149</v>
      </c>
      <c r="AI2993" t="str">
        <f>"4151020"</f>
        <v>4151020</v>
      </c>
      <c r="AJ2993" t="s">
        <v>5725</v>
      </c>
      <c r="AK2993">
        <v>2831022475</v>
      </c>
      <c r="AL2993" t="s">
        <v>5726</v>
      </c>
      <c r="AM2993" t="s">
        <v>64</v>
      </c>
      <c r="AN2993" t="s">
        <v>65</v>
      </c>
      <c r="AO2993" t="s">
        <v>65</v>
      </c>
      <c r="AP2993" t="s">
        <v>65</v>
      </c>
      <c r="AQ2993">
        <v>1</v>
      </c>
      <c r="AR2993" t="s">
        <v>5644</v>
      </c>
      <c r="AS2993" t="s">
        <v>5645</v>
      </c>
      <c r="AT2993" t="s">
        <v>58</v>
      </c>
      <c r="AU2993" t="s">
        <v>68</v>
      </c>
      <c r="AV2993" t="s">
        <v>69</v>
      </c>
      <c r="AW2993" s="1">
        <v>24559</v>
      </c>
      <c r="AX2993">
        <v>2</v>
      </c>
    </row>
    <row r="2994" spans="1:50">
      <c r="A2994">
        <v>217892</v>
      </c>
      <c r="B2994" t="str">
        <f>"043345468"</f>
        <v>043345468</v>
      </c>
      <c r="C2994" t="s">
        <v>105</v>
      </c>
      <c r="D2994" t="s">
        <v>5997</v>
      </c>
      <c r="E2994" t="s">
        <v>166</v>
      </c>
      <c r="F2994" t="s">
        <v>53</v>
      </c>
      <c r="G2994" t="s">
        <v>112</v>
      </c>
      <c r="H2994" t="str">
        <f>"ΑΝΩΓΕΙΑ ΡΕΘΥΜΝΟΥ ΑΝΩΓΕΙΑ"</f>
        <v>ΑΝΩΓΕΙΑ ΡΕΘΥΜΝΟΥ ΑΝΩΓΕΙΑ</v>
      </c>
      <c r="I2994">
        <v>74051</v>
      </c>
      <c r="J2994">
        <v>2834031359</v>
      </c>
      <c r="K2994">
        <v>6974726223</v>
      </c>
      <c r="N2994" t="s">
        <v>292</v>
      </c>
      <c r="O2994" t="s">
        <v>293</v>
      </c>
      <c r="R2994" t="s">
        <v>57</v>
      </c>
      <c r="S2994">
        <v>6</v>
      </c>
      <c r="T2994">
        <v>599</v>
      </c>
      <c r="U2994" s="1">
        <v>39310</v>
      </c>
      <c r="V2994" t="s">
        <v>5644</v>
      </c>
      <c r="W2994" t="s">
        <v>5645</v>
      </c>
      <c r="X2994" t="s">
        <v>58</v>
      </c>
      <c r="Y2994">
        <v>20</v>
      </c>
      <c r="Z2994" t="s">
        <v>59</v>
      </c>
      <c r="AA2994" t="s">
        <v>59</v>
      </c>
      <c r="AB2994" t="s">
        <v>59</v>
      </c>
      <c r="AC2994" t="s">
        <v>59</v>
      </c>
      <c r="AD2994" t="s">
        <v>59</v>
      </c>
      <c r="AF2994" s="1">
        <v>39310</v>
      </c>
      <c r="AG2994" t="s">
        <v>125</v>
      </c>
      <c r="AH2994" t="s">
        <v>126</v>
      </c>
      <c r="AI2994" t="str">
        <f>"4102010"</f>
        <v>4102010</v>
      </c>
      <c r="AJ2994" t="s">
        <v>5735</v>
      </c>
      <c r="AK2994">
        <v>2834031331</v>
      </c>
      <c r="AL2994" t="s">
        <v>5736</v>
      </c>
      <c r="AM2994" t="s">
        <v>64</v>
      </c>
      <c r="AN2994" t="s">
        <v>5737</v>
      </c>
      <c r="AO2994" t="s">
        <v>5737</v>
      </c>
      <c r="AP2994" t="s">
        <v>5737</v>
      </c>
      <c r="AQ2994">
        <v>3</v>
      </c>
      <c r="AR2994" t="s">
        <v>5644</v>
      </c>
      <c r="AS2994" t="s">
        <v>5645</v>
      </c>
      <c r="AT2994" t="s">
        <v>58</v>
      </c>
      <c r="AU2994" t="s">
        <v>68</v>
      </c>
      <c r="AV2994" t="s">
        <v>69</v>
      </c>
      <c r="AW2994" s="1">
        <v>22272</v>
      </c>
      <c r="AX2994">
        <v>2</v>
      </c>
    </row>
    <row r="2995" spans="1:50">
      <c r="A2995">
        <v>163971</v>
      </c>
      <c r="B2995" t="str">
        <f>"042033346"</f>
        <v>042033346</v>
      </c>
      <c r="C2995" t="s">
        <v>50</v>
      </c>
      <c r="D2995" t="s">
        <v>5998</v>
      </c>
      <c r="E2995" t="s">
        <v>237</v>
      </c>
      <c r="F2995" t="s">
        <v>383</v>
      </c>
      <c r="G2995" t="s">
        <v>250</v>
      </c>
      <c r="H2995" t="str">
        <f>"ΓΕΡΑΚΑΡΗ 99 ΡΕΘΥΜΝΟ"</f>
        <v>ΓΕΡΑΚΑΡΗ 99 ΡΕΘΥΜΝΟ</v>
      </c>
      <c r="I2995">
        <v>74100</v>
      </c>
      <c r="J2995">
        <v>2831054036</v>
      </c>
      <c r="K2995">
        <v>6979297827</v>
      </c>
      <c r="M2995" t="s">
        <v>5999</v>
      </c>
      <c r="N2995" t="s">
        <v>146</v>
      </c>
      <c r="O2995" t="s">
        <v>147</v>
      </c>
      <c r="R2995" t="s">
        <v>57</v>
      </c>
      <c r="S2995">
        <v>14</v>
      </c>
      <c r="T2995">
        <v>161</v>
      </c>
      <c r="U2995" s="1">
        <v>33844</v>
      </c>
      <c r="V2995" t="s">
        <v>5644</v>
      </c>
      <c r="W2995" t="s">
        <v>5645</v>
      </c>
      <c r="X2995" t="s">
        <v>58</v>
      </c>
      <c r="Y2995">
        <v>18</v>
      </c>
      <c r="Z2995" t="s">
        <v>59</v>
      </c>
      <c r="AA2995" t="s">
        <v>59</v>
      </c>
      <c r="AB2995" t="s">
        <v>59</v>
      </c>
      <c r="AC2995" t="s">
        <v>59</v>
      </c>
      <c r="AD2995" t="s">
        <v>59</v>
      </c>
      <c r="AF2995" s="1">
        <v>33844</v>
      </c>
      <c r="AG2995" t="s">
        <v>148</v>
      </c>
      <c r="AH2995" t="s">
        <v>149</v>
      </c>
      <c r="AI2995" t="str">
        <f>"4151009"</f>
        <v>4151009</v>
      </c>
      <c r="AJ2995" t="s">
        <v>5649</v>
      </c>
      <c r="AK2995">
        <v>2831027115</v>
      </c>
      <c r="AL2995" t="s">
        <v>5650</v>
      </c>
      <c r="AM2995" t="s">
        <v>64</v>
      </c>
      <c r="AN2995" t="s">
        <v>65</v>
      </c>
      <c r="AO2995" t="s">
        <v>65</v>
      </c>
      <c r="AP2995" t="s">
        <v>65</v>
      </c>
      <c r="AQ2995">
        <v>1</v>
      </c>
      <c r="AR2995" t="s">
        <v>5644</v>
      </c>
      <c r="AS2995" t="s">
        <v>5645</v>
      </c>
      <c r="AT2995" t="s">
        <v>58</v>
      </c>
      <c r="AU2995" t="s">
        <v>68</v>
      </c>
      <c r="AV2995" t="s">
        <v>69</v>
      </c>
      <c r="AW2995" s="1">
        <v>23159</v>
      </c>
      <c r="AX2995">
        <v>2</v>
      </c>
    </row>
    <row r="2996" spans="1:50">
      <c r="B2996" t="str">
        <f>"150404269"</f>
        <v>150404269</v>
      </c>
      <c r="C2996" t="s">
        <v>50</v>
      </c>
      <c r="D2996" t="s">
        <v>1627</v>
      </c>
      <c r="E2996" t="s">
        <v>714</v>
      </c>
      <c r="F2996" t="s">
        <v>95</v>
      </c>
      <c r="G2996" t="s">
        <v>143</v>
      </c>
      <c r="H2996" t="str">
        <f>" "</f>
        <v xml:space="preserve"> </v>
      </c>
      <c r="N2996" t="s">
        <v>119</v>
      </c>
      <c r="O2996" t="s">
        <v>120</v>
      </c>
      <c r="R2996" t="s">
        <v>121</v>
      </c>
      <c r="S2996">
        <v>1</v>
      </c>
      <c r="T2996" t="s">
        <v>1944</v>
      </c>
      <c r="U2996" s="1">
        <v>43364</v>
      </c>
      <c r="V2996" t="s">
        <v>5644</v>
      </c>
      <c r="W2996" t="s">
        <v>5645</v>
      </c>
      <c r="X2996" t="s">
        <v>58</v>
      </c>
      <c r="Y2996">
        <v>23</v>
      </c>
      <c r="Z2996" t="s">
        <v>59</v>
      </c>
      <c r="AD2996" t="s">
        <v>59</v>
      </c>
      <c r="AF2996" s="1">
        <v>43367</v>
      </c>
      <c r="AG2996" t="s">
        <v>137</v>
      </c>
      <c r="AH2996" t="s">
        <v>138</v>
      </c>
      <c r="AI2996" t="str">
        <f>"4150040"</f>
        <v>4150040</v>
      </c>
      <c r="AJ2996" t="s">
        <v>5661</v>
      </c>
      <c r="AK2996">
        <v>2831029048</v>
      </c>
      <c r="AL2996" t="s">
        <v>5662</v>
      </c>
      <c r="AM2996" t="s">
        <v>64</v>
      </c>
      <c r="AN2996" t="s">
        <v>65</v>
      </c>
      <c r="AO2996" t="s">
        <v>65</v>
      </c>
      <c r="AP2996" t="s">
        <v>65</v>
      </c>
      <c r="AQ2996">
        <v>1</v>
      </c>
      <c r="AR2996" t="s">
        <v>5644</v>
      </c>
      <c r="AS2996" t="s">
        <v>5645</v>
      </c>
      <c r="AT2996" t="s">
        <v>58</v>
      </c>
      <c r="AU2996" t="s">
        <v>350</v>
      </c>
      <c r="AV2996" t="s">
        <v>132</v>
      </c>
      <c r="AW2996" s="1">
        <v>32827</v>
      </c>
      <c r="AX2996">
        <v>2</v>
      </c>
    </row>
    <row r="2997" spans="1:50">
      <c r="A2997">
        <v>155923</v>
      </c>
      <c r="B2997" t="str">
        <f>"032277634"</f>
        <v>032277634</v>
      </c>
      <c r="C2997" t="s">
        <v>50</v>
      </c>
      <c r="D2997" t="s">
        <v>6000</v>
      </c>
      <c r="E2997" t="s">
        <v>1074</v>
      </c>
      <c r="F2997" t="s">
        <v>108</v>
      </c>
      <c r="G2997" t="s">
        <v>330</v>
      </c>
      <c r="H2997" t="str">
        <f>"Ι ΑΘΑΝΑΣΙΑΔΗ 5 ΡΕΘΥΜΝΟ"</f>
        <v>Ι ΑΘΑΝΑΣΙΑΔΗ 5 ΡΕΘΥΜΝΟ</v>
      </c>
      <c r="I2997">
        <v>74100</v>
      </c>
      <c r="J2997">
        <v>2831054490</v>
      </c>
      <c r="K2997">
        <v>6938461387</v>
      </c>
      <c r="M2997" t="s">
        <v>6001</v>
      </c>
      <c r="N2997" t="s">
        <v>146</v>
      </c>
      <c r="O2997" t="s">
        <v>147</v>
      </c>
      <c r="R2997" t="s">
        <v>57</v>
      </c>
      <c r="S2997">
        <v>15</v>
      </c>
      <c r="T2997">
        <v>188</v>
      </c>
      <c r="U2997" s="1">
        <v>32752</v>
      </c>
      <c r="V2997" t="s">
        <v>5644</v>
      </c>
      <c r="W2997" t="s">
        <v>5645</v>
      </c>
      <c r="X2997" t="s">
        <v>58</v>
      </c>
      <c r="Y2997">
        <v>18</v>
      </c>
      <c r="Z2997" t="s">
        <v>59</v>
      </c>
      <c r="AA2997" t="s">
        <v>59</v>
      </c>
      <c r="AB2997" t="s">
        <v>59</v>
      </c>
      <c r="AC2997" t="s">
        <v>59</v>
      </c>
      <c r="AD2997" t="s">
        <v>59</v>
      </c>
      <c r="AF2997" s="1">
        <v>32756</v>
      </c>
      <c r="AG2997" t="s">
        <v>125</v>
      </c>
      <c r="AH2997" t="s">
        <v>126</v>
      </c>
      <c r="AI2997" t="str">
        <f>"4101030"</f>
        <v>4101030</v>
      </c>
      <c r="AJ2997" t="s">
        <v>5646</v>
      </c>
      <c r="AK2997">
        <v>2831022359</v>
      </c>
      <c r="AL2997" t="s">
        <v>5647</v>
      </c>
      <c r="AM2997" t="s">
        <v>64</v>
      </c>
      <c r="AN2997" t="s">
        <v>65</v>
      </c>
      <c r="AO2997" t="s">
        <v>65</v>
      </c>
      <c r="AP2997" t="s">
        <v>65</v>
      </c>
      <c r="AQ2997">
        <v>1</v>
      </c>
      <c r="AR2997" t="s">
        <v>5644</v>
      </c>
      <c r="AS2997" t="s">
        <v>5645</v>
      </c>
      <c r="AT2997" t="s">
        <v>58</v>
      </c>
      <c r="AU2997" t="s">
        <v>68</v>
      </c>
      <c r="AV2997" t="s">
        <v>69</v>
      </c>
      <c r="AW2997" s="1">
        <v>23715</v>
      </c>
      <c r="AX2997">
        <v>2</v>
      </c>
    </row>
    <row r="2998" spans="1:50">
      <c r="A2998">
        <v>183962</v>
      </c>
      <c r="B2998" t="str">
        <f>"032277530"</f>
        <v>032277530</v>
      </c>
      <c r="C2998" t="s">
        <v>105</v>
      </c>
      <c r="D2998" t="s">
        <v>1630</v>
      </c>
      <c r="E2998" t="s">
        <v>53</v>
      </c>
      <c r="F2998" t="s">
        <v>106</v>
      </c>
      <c r="G2998" t="s">
        <v>52</v>
      </c>
      <c r="H2998" t="str">
        <f>"ΑΓ. ΜΑΡΚΟΣ ΡΕΘΥΜΝΟ"</f>
        <v>ΑΓ. ΜΑΡΚΟΣ ΡΕΘΥΜΝΟ</v>
      </c>
      <c r="I2998">
        <v>74100</v>
      </c>
      <c r="J2998">
        <v>2831023767</v>
      </c>
      <c r="K2998">
        <v>6974466085</v>
      </c>
      <c r="M2998" t="s">
        <v>6002</v>
      </c>
      <c r="N2998" t="s">
        <v>232</v>
      </c>
      <c r="O2998" t="s">
        <v>233</v>
      </c>
      <c r="R2998" t="s">
        <v>57</v>
      </c>
      <c r="S2998">
        <v>11</v>
      </c>
      <c r="T2998">
        <v>177</v>
      </c>
      <c r="U2998" s="1">
        <v>36403</v>
      </c>
      <c r="V2998" t="s">
        <v>5644</v>
      </c>
      <c r="W2998" t="s">
        <v>5645</v>
      </c>
      <c r="X2998" t="s">
        <v>58</v>
      </c>
      <c r="Y2998">
        <v>18</v>
      </c>
      <c r="Z2998" t="s">
        <v>59</v>
      </c>
      <c r="AA2998" t="s">
        <v>59</v>
      </c>
      <c r="AB2998" t="s">
        <v>59</v>
      </c>
      <c r="AC2998" t="s">
        <v>59</v>
      </c>
      <c r="AD2998" t="s">
        <v>59</v>
      </c>
      <c r="AF2998" s="1">
        <v>36403</v>
      </c>
      <c r="AG2998" t="s">
        <v>148</v>
      </c>
      <c r="AH2998" t="s">
        <v>149</v>
      </c>
      <c r="AI2998" t="str">
        <f>"4151009"</f>
        <v>4151009</v>
      </c>
      <c r="AJ2998" t="s">
        <v>5649</v>
      </c>
      <c r="AK2998">
        <v>2831027115</v>
      </c>
      <c r="AL2998" t="s">
        <v>5650</v>
      </c>
      <c r="AM2998" t="s">
        <v>64</v>
      </c>
      <c r="AN2998" t="s">
        <v>65</v>
      </c>
      <c r="AO2998" t="s">
        <v>65</v>
      </c>
      <c r="AP2998" t="s">
        <v>65</v>
      </c>
      <c r="AQ2998">
        <v>1</v>
      </c>
      <c r="AR2998" t="s">
        <v>5644</v>
      </c>
      <c r="AS2998" t="s">
        <v>5645</v>
      </c>
      <c r="AT2998" t="s">
        <v>58</v>
      </c>
      <c r="AU2998" t="s">
        <v>68</v>
      </c>
      <c r="AV2998" t="s">
        <v>69</v>
      </c>
      <c r="AW2998" s="1">
        <v>22415</v>
      </c>
      <c r="AX2998">
        <v>2</v>
      </c>
    </row>
    <row r="2999" spans="1:50">
      <c r="A2999">
        <v>195176</v>
      </c>
      <c r="B2999" t="str">
        <f>"046197669"</f>
        <v>046197669</v>
      </c>
      <c r="C2999" t="s">
        <v>50</v>
      </c>
      <c r="D2999" t="s">
        <v>1643</v>
      </c>
      <c r="E2999" t="s">
        <v>143</v>
      </c>
      <c r="F2999" t="s">
        <v>1516</v>
      </c>
      <c r="G2999" t="s">
        <v>215</v>
      </c>
      <c r="H2999" t="str">
        <f>"ΣΒΑΙΤΣΕΡ 15 ΡΕΘΥΜΝΟ"</f>
        <v>ΣΒΑΙΤΣΕΡ 15 ΡΕΘΥΜΝΟ</v>
      </c>
      <c r="I2999">
        <v>74100</v>
      </c>
      <c r="J2999">
        <v>2831050778</v>
      </c>
      <c r="K2999">
        <v>6972870914</v>
      </c>
      <c r="N2999" t="s">
        <v>146</v>
      </c>
      <c r="O2999" t="s">
        <v>147</v>
      </c>
      <c r="R2999" t="s">
        <v>57</v>
      </c>
      <c r="S2999">
        <v>8</v>
      </c>
      <c r="T2999">
        <v>194</v>
      </c>
      <c r="U2999" s="1">
        <v>37497</v>
      </c>
      <c r="V2999" t="s">
        <v>5644</v>
      </c>
      <c r="W2999" t="s">
        <v>5645</v>
      </c>
      <c r="X2999" t="s">
        <v>58</v>
      </c>
      <c r="Y2999">
        <v>20</v>
      </c>
      <c r="Z2999" t="s">
        <v>59</v>
      </c>
      <c r="AA2999" t="s">
        <v>59</v>
      </c>
      <c r="AB2999" t="s">
        <v>59</v>
      </c>
      <c r="AC2999" t="s">
        <v>59</v>
      </c>
      <c r="AD2999" t="s">
        <v>59</v>
      </c>
      <c r="AF2999" s="1">
        <v>37497</v>
      </c>
      <c r="AG2999" t="s">
        <v>148</v>
      </c>
      <c r="AH2999" t="s">
        <v>149</v>
      </c>
      <c r="AI2999" t="str">
        <f>"4151020"</f>
        <v>4151020</v>
      </c>
      <c r="AJ2999" t="s">
        <v>5725</v>
      </c>
      <c r="AK2999">
        <v>2831022475</v>
      </c>
      <c r="AL2999" t="s">
        <v>5726</v>
      </c>
      <c r="AM2999" t="s">
        <v>64</v>
      </c>
      <c r="AN2999" t="s">
        <v>65</v>
      </c>
      <c r="AO2999" t="s">
        <v>65</v>
      </c>
      <c r="AP2999" t="s">
        <v>65</v>
      </c>
      <c r="AQ2999">
        <v>1</v>
      </c>
      <c r="AR2999" t="s">
        <v>5644</v>
      </c>
      <c r="AS2999" t="s">
        <v>5645</v>
      </c>
      <c r="AT2999" t="s">
        <v>58</v>
      </c>
      <c r="AU2999" t="s">
        <v>68</v>
      </c>
      <c r="AV2999" t="s">
        <v>69</v>
      </c>
      <c r="AW2999" s="1">
        <v>25003</v>
      </c>
      <c r="AX2999">
        <v>2</v>
      </c>
    </row>
    <row r="3000" spans="1:50">
      <c r="A3000">
        <v>217005</v>
      </c>
      <c r="B3000" t="str">
        <f>"077472459"</f>
        <v>077472459</v>
      </c>
      <c r="C3000" t="s">
        <v>50</v>
      </c>
      <c r="D3000" t="s">
        <v>6003</v>
      </c>
      <c r="E3000" t="s">
        <v>52</v>
      </c>
      <c r="F3000" t="s">
        <v>154</v>
      </c>
      <c r="G3000" t="s">
        <v>1078</v>
      </c>
      <c r="H3000" t="str">
        <f>"Β. ΚΟΡΝΑΡΟΥ ΒΙΟΛΙ ΧΑΡΑΚΙ"</f>
        <v>Β. ΚΟΡΝΑΡΟΥ ΒΙΟΛΙ ΧΑΡΑΚΙ</v>
      </c>
      <c r="I3000">
        <v>74100</v>
      </c>
      <c r="J3000">
        <v>2831056361</v>
      </c>
      <c r="K3000">
        <v>6972444236</v>
      </c>
      <c r="N3000" t="s">
        <v>337</v>
      </c>
      <c r="O3000" t="s">
        <v>338</v>
      </c>
      <c r="R3000" t="s">
        <v>57</v>
      </c>
      <c r="S3000">
        <v>8</v>
      </c>
      <c r="T3000">
        <v>298</v>
      </c>
      <c r="U3000" s="1">
        <v>38985</v>
      </c>
      <c r="V3000" t="s">
        <v>5644</v>
      </c>
      <c r="W3000" t="s">
        <v>5645</v>
      </c>
      <c r="X3000" t="s">
        <v>58</v>
      </c>
      <c r="Y3000">
        <v>20</v>
      </c>
      <c r="Z3000" t="s">
        <v>59</v>
      </c>
      <c r="AA3000" t="s">
        <v>59</v>
      </c>
      <c r="AB3000" t="s">
        <v>59</v>
      </c>
      <c r="AC3000" t="s">
        <v>59</v>
      </c>
      <c r="AD3000" t="s">
        <v>59</v>
      </c>
      <c r="AF3000" s="1">
        <v>38985</v>
      </c>
      <c r="AG3000" t="s">
        <v>125</v>
      </c>
      <c r="AH3000" t="s">
        <v>294</v>
      </c>
      <c r="AI3000" t="str">
        <f>"4101045"</f>
        <v>4101045</v>
      </c>
      <c r="AJ3000" t="s">
        <v>5677</v>
      </c>
      <c r="AK3000">
        <v>2831027553</v>
      </c>
      <c r="AL3000" t="s">
        <v>5678</v>
      </c>
      <c r="AM3000" t="s">
        <v>64</v>
      </c>
      <c r="AN3000" t="s">
        <v>65</v>
      </c>
      <c r="AO3000" t="s">
        <v>65</v>
      </c>
      <c r="AP3000" t="s">
        <v>65</v>
      </c>
      <c r="AQ3000">
        <v>1</v>
      </c>
      <c r="AR3000" t="s">
        <v>5644</v>
      </c>
      <c r="AS3000" t="s">
        <v>5645</v>
      </c>
      <c r="AT3000" t="s">
        <v>58</v>
      </c>
      <c r="AU3000" t="s">
        <v>68</v>
      </c>
      <c r="AV3000" t="s">
        <v>69</v>
      </c>
      <c r="AW3000" s="1">
        <v>27625</v>
      </c>
      <c r="AX3000">
        <v>2</v>
      </c>
    </row>
    <row r="3001" spans="1:50">
      <c r="A3001">
        <v>145330</v>
      </c>
      <c r="B3001" t="str">
        <f>"029075091"</f>
        <v>029075091</v>
      </c>
      <c r="C3001" t="s">
        <v>105</v>
      </c>
      <c r="D3001" t="s">
        <v>6004</v>
      </c>
      <c r="E3001" t="s">
        <v>72</v>
      </c>
      <c r="F3001" t="s">
        <v>166</v>
      </c>
      <c r="G3001" t="s">
        <v>83</v>
      </c>
      <c r="H3001" t="str">
        <f>"ΕΡΑΤΟΥΣ 11 ΡΕΘΥΜΝΟ"</f>
        <v>ΕΡΑΤΟΥΣ 11 ΡΕΘΥΜΝΟ</v>
      </c>
      <c r="I3001">
        <v>74133</v>
      </c>
      <c r="J3001">
        <v>2831058424</v>
      </c>
      <c r="K3001">
        <v>6944676626</v>
      </c>
      <c r="M3001" t="s">
        <v>6005</v>
      </c>
      <c r="N3001" t="s">
        <v>157</v>
      </c>
      <c r="O3001" t="s">
        <v>158</v>
      </c>
      <c r="R3001" t="s">
        <v>57</v>
      </c>
      <c r="S3001">
        <v>16</v>
      </c>
      <c r="T3001" t="s">
        <v>6006</v>
      </c>
      <c r="U3001" s="1">
        <v>31293</v>
      </c>
      <c r="V3001" t="s">
        <v>5644</v>
      </c>
      <c r="W3001" t="s">
        <v>5645</v>
      </c>
      <c r="X3001" t="s">
        <v>58</v>
      </c>
      <c r="Y3001">
        <v>18</v>
      </c>
      <c r="Z3001" t="s">
        <v>59</v>
      </c>
      <c r="AA3001" t="s">
        <v>59</v>
      </c>
      <c r="AB3001" t="s">
        <v>59</v>
      </c>
      <c r="AC3001" t="s">
        <v>59</v>
      </c>
      <c r="AD3001" t="s">
        <v>59</v>
      </c>
      <c r="AF3001" s="1">
        <v>31293</v>
      </c>
      <c r="AG3001" t="s">
        <v>148</v>
      </c>
      <c r="AH3001" t="s">
        <v>149</v>
      </c>
      <c r="AI3001" t="str">
        <f>"4144001"</f>
        <v>4144001</v>
      </c>
      <c r="AJ3001" t="s">
        <v>5718</v>
      </c>
      <c r="AK3001">
        <v>2831033277</v>
      </c>
      <c r="AL3001" t="s">
        <v>5719</v>
      </c>
      <c r="AM3001" t="s">
        <v>64</v>
      </c>
      <c r="AN3001" t="s">
        <v>65</v>
      </c>
      <c r="AO3001" t="s">
        <v>5720</v>
      </c>
      <c r="AP3001" t="s">
        <v>5721</v>
      </c>
      <c r="AQ3001">
        <v>1</v>
      </c>
      <c r="AR3001" t="s">
        <v>5644</v>
      </c>
      <c r="AS3001" t="s">
        <v>5645</v>
      </c>
      <c r="AT3001" t="s">
        <v>58</v>
      </c>
      <c r="AU3001" t="s">
        <v>68</v>
      </c>
      <c r="AV3001" t="s">
        <v>357</v>
      </c>
      <c r="AW3001" s="1">
        <v>21218</v>
      </c>
      <c r="AX3001">
        <v>2</v>
      </c>
    </row>
    <row r="3002" spans="1:50">
      <c r="B3002" t="str">
        <f>"063497756"</f>
        <v>063497756</v>
      </c>
      <c r="C3002" t="s">
        <v>105</v>
      </c>
      <c r="D3002" t="s">
        <v>6007</v>
      </c>
      <c r="E3002" t="s">
        <v>670</v>
      </c>
      <c r="F3002" t="s">
        <v>230</v>
      </c>
      <c r="G3002" t="s">
        <v>250</v>
      </c>
      <c r="H3002" t="str">
        <f>"Μηνά Δημάκη 29 Ηράκλειο ΗΡΑΚΛΕΙΟ"</f>
        <v>Μηνά Δημάκη 29 Ηράκλειο ΗΡΑΚΛΕΙΟ</v>
      </c>
      <c r="J3002">
        <v>2811101506</v>
      </c>
      <c r="K3002">
        <v>6937233413</v>
      </c>
      <c r="M3002" t="s">
        <v>6008</v>
      </c>
      <c r="N3002" t="s">
        <v>447</v>
      </c>
      <c r="O3002" t="s">
        <v>448</v>
      </c>
      <c r="R3002" t="s">
        <v>159</v>
      </c>
      <c r="S3002">
        <v>2</v>
      </c>
      <c r="T3002" t="s">
        <v>1944</v>
      </c>
      <c r="U3002" s="1">
        <v>43364</v>
      </c>
      <c r="V3002" t="s">
        <v>5644</v>
      </c>
      <c r="W3002" t="s">
        <v>5645</v>
      </c>
      <c r="X3002" t="s">
        <v>58</v>
      </c>
      <c r="Y3002">
        <v>23</v>
      </c>
      <c r="Z3002" t="s">
        <v>59</v>
      </c>
      <c r="AA3002" t="s">
        <v>59</v>
      </c>
      <c r="AB3002" t="s">
        <v>59</v>
      </c>
      <c r="AC3002" t="s">
        <v>59</v>
      </c>
      <c r="AD3002" t="s">
        <v>59</v>
      </c>
      <c r="AF3002" s="1">
        <v>43367</v>
      </c>
      <c r="AG3002" t="s">
        <v>125</v>
      </c>
      <c r="AH3002" t="s">
        <v>126</v>
      </c>
      <c r="AI3002" t="str">
        <f>"4101040"</f>
        <v>4101040</v>
      </c>
      <c r="AJ3002" t="s">
        <v>5732</v>
      </c>
      <c r="AK3002">
        <v>2831029261</v>
      </c>
      <c r="AL3002" t="s">
        <v>5733</v>
      </c>
      <c r="AM3002" t="s">
        <v>64</v>
      </c>
      <c r="AN3002" t="s">
        <v>65</v>
      </c>
      <c r="AO3002" t="s">
        <v>65</v>
      </c>
      <c r="AP3002" t="s">
        <v>65</v>
      </c>
      <c r="AQ3002">
        <v>1</v>
      </c>
      <c r="AR3002" t="s">
        <v>5644</v>
      </c>
      <c r="AS3002" t="s">
        <v>5645</v>
      </c>
      <c r="AT3002" t="s">
        <v>58</v>
      </c>
      <c r="AU3002" t="s">
        <v>350</v>
      </c>
      <c r="AV3002" t="s">
        <v>132</v>
      </c>
      <c r="AW3002" s="1">
        <v>27488</v>
      </c>
      <c r="AX3002">
        <v>2</v>
      </c>
    </row>
    <row r="3003" spans="1:50">
      <c r="A3003">
        <v>152238</v>
      </c>
      <c r="B3003" t="str">
        <f>"120002976"</f>
        <v>120002976</v>
      </c>
      <c r="C3003" t="s">
        <v>50</v>
      </c>
      <c r="D3003" t="s">
        <v>6009</v>
      </c>
      <c r="E3003" t="s">
        <v>52</v>
      </c>
      <c r="F3003" t="s">
        <v>95</v>
      </c>
      <c r="G3003" t="s">
        <v>83</v>
      </c>
      <c r="H3003" t="str">
        <f>"ΣΑΟΥΝΑΤΣΟΥ 26 ΡΕΘΥΜΝΟ"</f>
        <v>ΣΑΟΥΝΑΤΣΟΥ 26 ΡΕΘΥΜΝΟ</v>
      </c>
      <c r="I3003">
        <v>74100</v>
      </c>
      <c r="J3003">
        <v>2831024320</v>
      </c>
      <c r="K3003">
        <v>6972005852</v>
      </c>
      <c r="N3003" t="s">
        <v>146</v>
      </c>
      <c r="O3003" t="s">
        <v>147</v>
      </c>
      <c r="R3003" t="s">
        <v>57</v>
      </c>
      <c r="S3003">
        <v>16</v>
      </c>
      <c r="T3003">
        <v>193</v>
      </c>
      <c r="U3003" s="1">
        <v>32042</v>
      </c>
      <c r="V3003" t="s">
        <v>5644</v>
      </c>
      <c r="W3003" t="s">
        <v>5645</v>
      </c>
      <c r="X3003" t="s">
        <v>58</v>
      </c>
      <c r="Y3003">
        <v>18</v>
      </c>
      <c r="Z3003" t="s">
        <v>59</v>
      </c>
      <c r="AA3003" t="s">
        <v>59</v>
      </c>
      <c r="AB3003" t="s">
        <v>59</v>
      </c>
      <c r="AC3003" t="s">
        <v>59</v>
      </c>
      <c r="AD3003" t="s">
        <v>59</v>
      </c>
      <c r="AF3003" s="1">
        <v>32042</v>
      </c>
      <c r="AG3003" t="s">
        <v>125</v>
      </c>
      <c r="AH3003" t="s">
        <v>126</v>
      </c>
      <c r="AI3003" t="str">
        <f>"4103010"</f>
        <v>4103010</v>
      </c>
      <c r="AJ3003" t="s">
        <v>5684</v>
      </c>
      <c r="AK3003">
        <v>2834051206</v>
      </c>
      <c r="AL3003" t="s">
        <v>5685</v>
      </c>
      <c r="AM3003" t="s">
        <v>64</v>
      </c>
      <c r="AN3003" t="s">
        <v>5672</v>
      </c>
      <c r="AO3003" t="s">
        <v>5673</v>
      </c>
      <c r="AP3003" t="s">
        <v>5674</v>
      </c>
      <c r="AQ3003">
        <v>2</v>
      </c>
      <c r="AR3003" t="s">
        <v>5644</v>
      </c>
      <c r="AS3003" t="s">
        <v>5645</v>
      </c>
      <c r="AT3003" t="s">
        <v>58</v>
      </c>
      <c r="AU3003" t="s">
        <v>68</v>
      </c>
      <c r="AV3003" t="s">
        <v>69</v>
      </c>
      <c r="AW3003" s="1">
        <v>22672</v>
      </c>
      <c r="AX3003">
        <v>2</v>
      </c>
    </row>
    <row r="3004" spans="1:50">
      <c r="A3004">
        <v>202779</v>
      </c>
      <c r="B3004" t="str">
        <f>"046495777"</f>
        <v>046495777</v>
      </c>
      <c r="C3004" t="s">
        <v>50</v>
      </c>
      <c r="D3004" t="s">
        <v>6010</v>
      </c>
      <c r="E3004" t="s">
        <v>83</v>
      </c>
      <c r="F3004" t="s">
        <v>95</v>
      </c>
      <c r="G3004" t="s">
        <v>52</v>
      </c>
      <c r="H3004" t="str">
        <f>"ΤΡΙΑ ΜΟΝΑΣΤΗΡΙΑ ΡΕΘΥΜΝΟ"</f>
        <v>ΤΡΙΑ ΜΟΝΑΣΤΗΡΙΑ ΡΕΘΥΜΝΟ</v>
      </c>
      <c r="I3004">
        <v>74100</v>
      </c>
      <c r="J3004">
        <v>2831057536</v>
      </c>
      <c r="K3004">
        <v>6942609171</v>
      </c>
      <c r="N3004" t="s">
        <v>199</v>
      </c>
      <c r="O3004" t="s">
        <v>200</v>
      </c>
      <c r="R3004" t="s">
        <v>57</v>
      </c>
      <c r="S3004">
        <v>7</v>
      </c>
      <c r="T3004">
        <v>231</v>
      </c>
      <c r="U3004" s="1">
        <v>38230</v>
      </c>
      <c r="V3004" t="s">
        <v>5644</v>
      </c>
      <c r="W3004" t="s">
        <v>5645</v>
      </c>
      <c r="X3004" t="s">
        <v>58</v>
      </c>
      <c r="Y3004">
        <v>20</v>
      </c>
      <c r="Z3004" t="s">
        <v>59</v>
      </c>
      <c r="AA3004" t="s">
        <v>59</v>
      </c>
      <c r="AB3004" t="s">
        <v>59</v>
      </c>
      <c r="AC3004" t="s">
        <v>59</v>
      </c>
      <c r="AD3004" t="s">
        <v>59</v>
      </c>
      <c r="AF3004" s="1">
        <v>38231</v>
      </c>
      <c r="AG3004" t="s">
        <v>148</v>
      </c>
      <c r="AH3004" t="s">
        <v>149</v>
      </c>
      <c r="AI3004" t="str">
        <f>"4151020"</f>
        <v>4151020</v>
      </c>
      <c r="AJ3004" t="s">
        <v>5725</v>
      </c>
      <c r="AK3004">
        <v>2831022475</v>
      </c>
      <c r="AL3004" t="s">
        <v>5726</v>
      </c>
      <c r="AM3004" t="s">
        <v>64</v>
      </c>
      <c r="AN3004" t="s">
        <v>65</v>
      </c>
      <c r="AO3004" t="s">
        <v>65</v>
      </c>
      <c r="AP3004" t="s">
        <v>65</v>
      </c>
      <c r="AQ3004">
        <v>1</v>
      </c>
      <c r="AR3004" t="s">
        <v>5644</v>
      </c>
      <c r="AS3004" t="s">
        <v>5645</v>
      </c>
      <c r="AT3004" t="s">
        <v>58</v>
      </c>
      <c r="AU3004" t="s">
        <v>68</v>
      </c>
      <c r="AV3004" t="s">
        <v>69</v>
      </c>
      <c r="AW3004" s="1">
        <v>26714</v>
      </c>
      <c r="AX3004">
        <v>2</v>
      </c>
    </row>
    <row r="3005" spans="1:50">
      <c r="A3005">
        <v>210858</v>
      </c>
      <c r="B3005" t="str">
        <f>"063377906"</f>
        <v>063377906</v>
      </c>
      <c r="C3005" t="s">
        <v>105</v>
      </c>
      <c r="D3005" t="s">
        <v>6011</v>
      </c>
      <c r="E3005" t="s">
        <v>1585</v>
      </c>
      <c r="F3005" t="s">
        <v>670</v>
      </c>
      <c r="G3005" t="s">
        <v>96</v>
      </c>
      <c r="H3005" t="str">
        <f>"ΒΙΟΛΙ ΧΑΡΑΚΙ  ΡΕΘΥΜΝΟ"</f>
        <v>ΒΙΟΛΙ ΧΑΡΑΚΙ  ΡΕΘΥΜΝΟ</v>
      </c>
      <c r="I3005">
        <v>74100</v>
      </c>
      <c r="J3005">
        <v>2821042159</v>
      </c>
      <c r="K3005">
        <v>6947103890</v>
      </c>
      <c r="M3005" t="s">
        <v>6012</v>
      </c>
      <c r="N3005" t="s">
        <v>204</v>
      </c>
      <c r="O3005" t="s">
        <v>205</v>
      </c>
      <c r="R3005" t="s">
        <v>57</v>
      </c>
      <c r="S3005">
        <v>8</v>
      </c>
      <c r="T3005">
        <v>262</v>
      </c>
      <c r="U3005" s="1">
        <v>38629</v>
      </c>
      <c r="V3005" t="s">
        <v>5644</v>
      </c>
      <c r="W3005" t="s">
        <v>5645</v>
      </c>
      <c r="X3005" t="s">
        <v>58</v>
      </c>
      <c r="Y3005">
        <v>20</v>
      </c>
      <c r="Z3005" t="s">
        <v>59</v>
      </c>
      <c r="AA3005" t="s">
        <v>59</v>
      </c>
      <c r="AB3005" t="s">
        <v>59</v>
      </c>
      <c r="AC3005" t="s">
        <v>59</v>
      </c>
      <c r="AD3005" t="s">
        <v>59</v>
      </c>
      <c r="AF3005" s="1">
        <v>38629</v>
      </c>
      <c r="AG3005" t="s">
        <v>148</v>
      </c>
      <c r="AH3005" t="s">
        <v>149</v>
      </c>
      <c r="AI3005" t="str">
        <f>"4152010"</f>
        <v>4152010</v>
      </c>
      <c r="AJ3005" t="s">
        <v>5739</v>
      </c>
      <c r="AK3005">
        <v>2834031205</v>
      </c>
      <c r="AL3005" t="s">
        <v>5740</v>
      </c>
      <c r="AM3005" t="s">
        <v>64</v>
      </c>
      <c r="AN3005" t="s">
        <v>5737</v>
      </c>
      <c r="AO3005" t="s">
        <v>5737</v>
      </c>
      <c r="AP3005" t="s">
        <v>5737</v>
      </c>
      <c r="AQ3005">
        <v>3</v>
      </c>
      <c r="AR3005" t="s">
        <v>5644</v>
      </c>
      <c r="AS3005" t="s">
        <v>5645</v>
      </c>
      <c r="AT3005" t="s">
        <v>58</v>
      </c>
      <c r="AU3005" t="s">
        <v>68</v>
      </c>
      <c r="AV3005" t="s">
        <v>132</v>
      </c>
      <c r="AW3005" s="1">
        <v>28511</v>
      </c>
      <c r="AX3005">
        <v>2</v>
      </c>
    </row>
    <row r="3006" spans="1:50">
      <c r="A3006">
        <v>222110</v>
      </c>
      <c r="B3006" t="str">
        <f>"065775781"</f>
        <v>065775781</v>
      </c>
      <c r="C3006" t="s">
        <v>50</v>
      </c>
      <c r="D3006" t="s">
        <v>6013</v>
      </c>
      <c r="E3006" t="s">
        <v>1108</v>
      </c>
      <c r="F3006" t="s">
        <v>383</v>
      </c>
      <c r="G3006" t="s">
        <v>6014</v>
      </c>
      <c r="H3006" t="str">
        <f>"ΠΛΑΤΑΝΙΑΣ ΡΕΘΥΜΝΟ"</f>
        <v>ΠΛΑΤΑΝΙΑΣ ΡΕΘΥΜΝΟ</v>
      </c>
      <c r="I3006">
        <v>74100</v>
      </c>
      <c r="J3006">
        <v>2831057661</v>
      </c>
      <c r="K3006">
        <v>6972846874</v>
      </c>
      <c r="M3006" t="s">
        <v>6015</v>
      </c>
      <c r="N3006" t="s">
        <v>146</v>
      </c>
      <c r="O3006" t="s">
        <v>147</v>
      </c>
      <c r="R3006" t="s">
        <v>57</v>
      </c>
      <c r="S3006">
        <v>6</v>
      </c>
      <c r="T3006">
        <v>775</v>
      </c>
      <c r="U3006" s="1">
        <v>39680</v>
      </c>
      <c r="V3006" t="s">
        <v>5644</v>
      </c>
      <c r="W3006" t="s">
        <v>5645</v>
      </c>
      <c r="X3006" t="s">
        <v>58</v>
      </c>
      <c r="Y3006">
        <v>20</v>
      </c>
      <c r="Z3006" t="s">
        <v>59</v>
      </c>
      <c r="AA3006" t="s">
        <v>59</v>
      </c>
      <c r="AB3006" t="s">
        <v>59</v>
      </c>
      <c r="AC3006" t="s">
        <v>59</v>
      </c>
      <c r="AD3006" t="s">
        <v>59</v>
      </c>
      <c r="AF3006" s="1">
        <v>39681</v>
      </c>
      <c r="AG3006" t="s">
        <v>125</v>
      </c>
      <c r="AH3006" t="s">
        <v>126</v>
      </c>
      <c r="AI3006" t="str">
        <f>"4101040"</f>
        <v>4101040</v>
      </c>
      <c r="AJ3006" t="s">
        <v>5732</v>
      </c>
      <c r="AK3006">
        <v>2831029261</v>
      </c>
      <c r="AL3006" t="s">
        <v>5733</v>
      </c>
      <c r="AM3006" t="s">
        <v>64</v>
      </c>
      <c r="AN3006" t="s">
        <v>65</v>
      </c>
      <c r="AO3006" t="s">
        <v>65</v>
      </c>
      <c r="AP3006" t="s">
        <v>65</v>
      </c>
      <c r="AQ3006">
        <v>1</v>
      </c>
      <c r="AR3006" t="s">
        <v>5644</v>
      </c>
      <c r="AS3006" t="s">
        <v>5645</v>
      </c>
      <c r="AT3006" t="s">
        <v>58</v>
      </c>
      <c r="AU3006" t="s">
        <v>68</v>
      </c>
      <c r="AV3006" t="s">
        <v>69</v>
      </c>
      <c r="AW3006" s="1">
        <v>26330</v>
      </c>
      <c r="AX3006">
        <v>2</v>
      </c>
    </row>
    <row r="3007" spans="1:50">
      <c r="A3007">
        <v>228246</v>
      </c>
      <c r="B3007" t="str">
        <f>"116997536"</f>
        <v>116997536</v>
      </c>
      <c r="C3007" t="s">
        <v>50</v>
      </c>
      <c r="D3007" t="s">
        <v>6016</v>
      </c>
      <c r="E3007" t="s">
        <v>658</v>
      </c>
      <c r="F3007" t="s">
        <v>1868</v>
      </c>
      <c r="G3007" t="s">
        <v>1484</v>
      </c>
      <c r="H3007" t="str">
        <f>"ΠΥΡΓΟΙ ΘΕΡΜΗΣ Τ.Θ. 118 "</f>
        <v xml:space="preserve">ΠΥΡΓΟΙ ΘΕΡΜΗΣ Τ.Θ. 118 </v>
      </c>
      <c r="I3007">
        <v>81100</v>
      </c>
      <c r="J3007">
        <v>2251071583</v>
      </c>
      <c r="K3007">
        <v>6980272878</v>
      </c>
      <c r="M3007" t="s">
        <v>6017</v>
      </c>
      <c r="N3007" t="s">
        <v>299</v>
      </c>
      <c r="O3007" t="s">
        <v>300</v>
      </c>
      <c r="R3007" t="s">
        <v>57</v>
      </c>
      <c r="S3007">
        <v>6</v>
      </c>
      <c r="T3007">
        <v>654</v>
      </c>
      <c r="U3007" s="1">
        <v>40043</v>
      </c>
      <c r="V3007" t="s">
        <v>5644</v>
      </c>
      <c r="W3007" t="s">
        <v>5645</v>
      </c>
      <c r="X3007" t="s">
        <v>58</v>
      </c>
      <c r="Y3007">
        <v>21</v>
      </c>
      <c r="Z3007" t="s">
        <v>59</v>
      </c>
      <c r="AA3007" t="s">
        <v>59</v>
      </c>
      <c r="AB3007" t="s">
        <v>59</v>
      </c>
      <c r="AC3007" t="s">
        <v>59</v>
      </c>
      <c r="AD3007" t="s">
        <v>59</v>
      </c>
      <c r="AF3007" s="1">
        <v>40043</v>
      </c>
      <c r="AG3007" t="s">
        <v>125</v>
      </c>
      <c r="AH3007" t="s">
        <v>126</v>
      </c>
      <c r="AI3007" t="str">
        <f>"4101020"</f>
        <v>4101020</v>
      </c>
      <c r="AJ3007" t="s">
        <v>5652</v>
      </c>
      <c r="AK3007">
        <v>2831023560</v>
      </c>
      <c r="AL3007" t="s">
        <v>5653</v>
      </c>
      <c r="AM3007" t="s">
        <v>64</v>
      </c>
      <c r="AN3007" t="s">
        <v>65</v>
      </c>
      <c r="AO3007" t="s">
        <v>65</v>
      </c>
      <c r="AP3007" t="s">
        <v>65</v>
      </c>
      <c r="AQ3007">
        <v>1</v>
      </c>
      <c r="AR3007" t="s">
        <v>5644</v>
      </c>
      <c r="AS3007" t="s">
        <v>5645</v>
      </c>
      <c r="AT3007" t="s">
        <v>58</v>
      </c>
      <c r="AU3007" t="s">
        <v>68</v>
      </c>
      <c r="AV3007" t="s">
        <v>69</v>
      </c>
      <c r="AW3007" s="1">
        <v>31632</v>
      </c>
      <c r="AX3007">
        <v>2</v>
      </c>
    </row>
    <row r="3008" spans="1:50">
      <c r="A3008">
        <v>190830</v>
      </c>
      <c r="B3008" t="str">
        <f>"103514658"</f>
        <v>103514658</v>
      </c>
      <c r="C3008" t="s">
        <v>50</v>
      </c>
      <c r="D3008" t="s">
        <v>6018</v>
      </c>
      <c r="E3008" t="s">
        <v>460</v>
      </c>
      <c r="F3008" t="s">
        <v>309</v>
      </c>
      <c r="G3008" t="s">
        <v>83</v>
      </c>
      <c r="H3008" t="str">
        <f>"Καζαντζάκη 41 "</f>
        <v xml:space="preserve">Καζαντζάκη 41 </v>
      </c>
      <c r="I3008">
        <v>74100</v>
      </c>
      <c r="J3008">
        <v>2831102665</v>
      </c>
      <c r="K3008">
        <v>6973311639</v>
      </c>
      <c r="M3008" t="s">
        <v>6019</v>
      </c>
      <c r="N3008" t="s">
        <v>204</v>
      </c>
      <c r="O3008" t="s">
        <v>205</v>
      </c>
      <c r="R3008" t="s">
        <v>57</v>
      </c>
      <c r="S3008">
        <v>10</v>
      </c>
      <c r="T3008">
        <v>219</v>
      </c>
      <c r="U3008" s="1">
        <v>37134</v>
      </c>
      <c r="V3008" t="s">
        <v>5644</v>
      </c>
      <c r="W3008" t="s">
        <v>5645</v>
      </c>
      <c r="X3008" t="s">
        <v>58</v>
      </c>
      <c r="Y3008">
        <v>20</v>
      </c>
      <c r="Z3008" t="s">
        <v>59</v>
      </c>
      <c r="AA3008" t="s">
        <v>59</v>
      </c>
      <c r="AB3008" t="s">
        <v>59</v>
      </c>
      <c r="AC3008" t="s">
        <v>59</v>
      </c>
      <c r="AD3008" t="s">
        <v>452</v>
      </c>
      <c r="AE3008" s="1">
        <v>43708</v>
      </c>
      <c r="AF3008" s="1">
        <v>37135</v>
      </c>
      <c r="AG3008" t="s">
        <v>125</v>
      </c>
      <c r="AH3008" t="s">
        <v>5702</v>
      </c>
      <c r="AI3008" t="str">
        <f>"4101042"</f>
        <v>4101042</v>
      </c>
      <c r="AJ3008" t="s">
        <v>5703</v>
      </c>
      <c r="AK3008">
        <v>2831027230</v>
      </c>
      <c r="AL3008" t="s">
        <v>5704</v>
      </c>
      <c r="AM3008" t="s">
        <v>64</v>
      </c>
      <c r="AN3008" t="s">
        <v>65</v>
      </c>
      <c r="AO3008" t="s">
        <v>65</v>
      </c>
      <c r="AP3008" t="s">
        <v>65</v>
      </c>
      <c r="AQ3008">
        <v>1</v>
      </c>
      <c r="AR3008" t="s">
        <v>5644</v>
      </c>
      <c r="AS3008" t="s">
        <v>5645</v>
      </c>
      <c r="AT3008" t="s">
        <v>58</v>
      </c>
      <c r="AU3008" t="s">
        <v>68</v>
      </c>
      <c r="AV3008" t="s">
        <v>69</v>
      </c>
      <c r="AW3008" s="1">
        <v>28322</v>
      </c>
      <c r="AX3008">
        <v>2</v>
      </c>
    </row>
    <row r="3009" spans="1:50">
      <c r="A3009">
        <v>207811</v>
      </c>
      <c r="B3009" t="str">
        <f>"104409868"</f>
        <v>104409868</v>
      </c>
      <c r="C3009" t="s">
        <v>50</v>
      </c>
      <c r="D3009" t="s">
        <v>6020</v>
      </c>
      <c r="E3009" t="s">
        <v>96</v>
      </c>
      <c r="F3009" t="s">
        <v>106</v>
      </c>
      <c r="G3009" t="s">
        <v>188</v>
      </c>
      <c r="H3009" t="str">
        <f>"ΣΟΦ. ΒΕΝΙΖΕΛΟΥ 64 ΡΕΘΥΜΝΟ"</f>
        <v>ΣΟΦ. ΒΕΝΙΖΕΛΟΥ 64 ΡΕΘΥΜΝΟ</v>
      </c>
      <c r="I3009">
        <v>74100</v>
      </c>
      <c r="J3009">
        <v>2831022639</v>
      </c>
      <c r="K3009">
        <v>6978651744</v>
      </c>
      <c r="L3009">
        <v>6975517911</v>
      </c>
      <c r="N3009" t="s">
        <v>683</v>
      </c>
      <c r="O3009" t="s">
        <v>684</v>
      </c>
      <c r="R3009" t="s">
        <v>57</v>
      </c>
      <c r="S3009">
        <v>7</v>
      </c>
      <c r="T3009">
        <v>218</v>
      </c>
      <c r="U3009" s="1">
        <v>38596</v>
      </c>
      <c r="V3009" t="s">
        <v>5644</v>
      </c>
      <c r="W3009" t="s">
        <v>5645</v>
      </c>
      <c r="X3009" t="s">
        <v>58</v>
      </c>
      <c r="Y3009">
        <v>20</v>
      </c>
      <c r="Z3009" t="s">
        <v>59</v>
      </c>
      <c r="AA3009" t="s">
        <v>59</v>
      </c>
      <c r="AB3009" t="s">
        <v>59</v>
      </c>
      <c r="AC3009" t="s">
        <v>59</v>
      </c>
      <c r="AD3009" t="s">
        <v>59</v>
      </c>
      <c r="AF3009" s="1">
        <v>38596</v>
      </c>
      <c r="AG3009" t="s">
        <v>125</v>
      </c>
      <c r="AH3009" t="s">
        <v>126</v>
      </c>
      <c r="AI3009" t="str">
        <f>"4110015"</f>
        <v>4110015</v>
      </c>
      <c r="AJ3009" t="s">
        <v>5723</v>
      </c>
      <c r="AK3009">
        <v>2831022741</v>
      </c>
      <c r="AL3009" t="s">
        <v>5724</v>
      </c>
      <c r="AM3009" t="s">
        <v>64</v>
      </c>
      <c r="AN3009" t="s">
        <v>65</v>
      </c>
      <c r="AO3009" t="s">
        <v>5720</v>
      </c>
      <c r="AP3009" t="s">
        <v>5721</v>
      </c>
      <c r="AQ3009">
        <v>1</v>
      </c>
      <c r="AR3009" t="s">
        <v>5644</v>
      </c>
      <c r="AS3009" t="s">
        <v>5645</v>
      </c>
      <c r="AT3009" t="s">
        <v>58</v>
      </c>
      <c r="AU3009" t="s">
        <v>68</v>
      </c>
      <c r="AV3009" t="s">
        <v>69</v>
      </c>
      <c r="AW3009" s="1">
        <v>26289</v>
      </c>
      <c r="AX3009">
        <v>2</v>
      </c>
    </row>
    <row r="3010" spans="1:50">
      <c r="A3010">
        <v>213700</v>
      </c>
      <c r="B3010" t="str">
        <f>"109793980"</f>
        <v>109793980</v>
      </c>
      <c r="C3010" t="s">
        <v>105</v>
      </c>
      <c r="D3010" t="s">
        <v>6021</v>
      </c>
      <c r="E3010" t="s">
        <v>84</v>
      </c>
      <c r="F3010" t="s">
        <v>6022</v>
      </c>
      <c r="G3010" t="s">
        <v>52</v>
      </c>
      <c r="H3010" t="str">
        <f>"ΓΑΛΛΟΥ ΡΕΘΥΜΝΟΥ ΡΕΘΥΜΝΟ"</f>
        <v>ΓΑΛΛΟΥ ΡΕΘΥΜΝΟΥ ΡΕΘΥΜΝΟ</v>
      </c>
      <c r="I3010">
        <v>74100</v>
      </c>
      <c r="J3010">
        <v>2831054569</v>
      </c>
      <c r="K3010">
        <v>6971670101</v>
      </c>
      <c r="N3010" t="s">
        <v>306</v>
      </c>
      <c r="O3010" t="s">
        <v>307</v>
      </c>
      <c r="R3010" t="s">
        <v>57</v>
      </c>
      <c r="S3010">
        <v>5</v>
      </c>
      <c r="T3010">
        <v>231</v>
      </c>
      <c r="U3010" s="1">
        <v>38960</v>
      </c>
      <c r="V3010" t="s">
        <v>5644</v>
      </c>
      <c r="W3010" t="s">
        <v>5645</v>
      </c>
      <c r="X3010" t="s">
        <v>58</v>
      </c>
      <c r="Y3010">
        <v>21</v>
      </c>
      <c r="Z3010" t="s">
        <v>59</v>
      </c>
      <c r="AA3010" t="s">
        <v>59</v>
      </c>
      <c r="AB3010" t="s">
        <v>59</v>
      </c>
      <c r="AC3010" t="s">
        <v>59</v>
      </c>
      <c r="AD3010" t="s">
        <v>59</v>
      </c>
      <c r="AF3010" s="1">
        <v>38961</v>
      </c>
      <c r="AG3010" t="s">
        <v>125</v>
      </c>
      <c r="AH3010" t="s">
        <v>126</v>
      </c>
      <c r="AI3010" t="str">
        <f>"4101040"</f>
        <v>4101040</v>
      </c>
      <c r="AJ3010" t="s">
        <v>5732</v>
      </c>
      <c r="AK3010">
        <v>2831029261</v>
      </c>
      <c r="AL3010" t="s">
        <v>5733</v>
      </c>
      <c r="AM3010" t="s">
        <v>64</v>
      </c>
      <c r="AN3010" t="s">
        <v>65</v>
      </c>
      <c r="AO3010" t="s">
        <v>65</v>
      </c>
      <c r="AP3010" t="s">
        <v>65</v>
      </c>
      <c r="AQ3010">
        <v>1</v>
      </c>
      <c r="AR3010" t="s">
        <v>5644</v>
      </c>
      <c r="AS3010" t="s">
        <v>5645</v>
      </c>
      <c r="AT3010" t="s">
        <v>58</v>
      </c>
      <c r="AU3010" t="s">
        <v>68</v>
      </c>
      <c r="AV3010" t="s">
        <v>69</v>
      </c>
      <c r="AW3010" s="1">
        <v>29522</v>
      </c>
      <c r="AX3010">
        <v>2</v>
      </c>
    </row>
    <row r="3011" spans="1:50">
      <c r="A3011">
        <v>208395</v>
      </c>
      <c r="B3011" t="str">
        <f>"075169070"</f>
        <v>075169070</v>
      </c>
      <c r="C3011" t="s">
        <v>105</v>
      </c>
      <c r="D3011" t="s">
        <v>6023</v>
      </c>
      <c r="E3011" t="s">
        <v>6024</v>
      </c>
      <c r="F3011" t="s">
        <v>383</v>
      </c>
      <c r="G3011" t="s">
        <v>950</v>
      </c>
      <c r="H3011" t="str">
        <f>"ΚΟΥΜΟΥΝΔΟΥΡΟΥ 5 ΡΕΘΥΜΝΟ"</f>
        <v>ΚΟΥΜΟΥΝΔΟΥΡΟΥ 5 ΡΕΘΥΜΝΟ</v>
      </c>
      <c r="I3011">
        <v>74100</v>
      </c>
      <c r="J3011">
        <v>2310445256</v>
      </c>
      <c r="K3011">
        <v>6936552366</v>
      </c>
      <c r="M3011" t="s">
        <v>6025</v>
      </c>
      <c r="N3011" t="s">
        <v>232</v>
      </c>
      <c r="O3011" t="s">
        <v>233</v>
      </c>
      <c r="R3011" t="s">
        <v>57</v>
      </c>
      <c r="S3011">
        <v>9</v>
      </c>
      <c r="T3011">
        <v>218</v>
      </c>
      <c r="U3011" s="1">
        <v>38596</v>
      </c>
      <c r="V3011" t="s">
        <v>5644</v>
      </c>
      <c r="W3011" t="s">
        <v>5645</v>
      </c>
      <c r="X3011" t="s">
        <v>58</v>
      </c>
      <c r="Y3011">
        <v>20</v>
      </c>
      <c r="Z3011" t="s">
        <v>59</v>
      </c>
      <c r="AA3011" t="s">
        <v>59</v>
      </c>
      <c r="AB3011" t="s">
        <v>59</v>
      </c>
      <c r="AC3011" t="s">
        <v>59</v>
      </c>
      <c r="AD3011" t="s">
        <v>59</v>
      </c>
      <c r="AF3011" s="1">
        <v>38602</v>
      </c>
      <c r="AG3011" t="s">
        <v>137</v>
      </c>
      <c r="AH3011" t="s">
        <v>138</v>
      </c>
      <c r="AI3011" t="str">
        <f>"4152001"</f>
        <v>4152001</v>
      </c>
      <c r="AJ3011" t="s">
        <v>5665</v>
      </c>
      <c r="AK3011">
        <v>2831024375</v>
      </c>
      <c r="AL3011" t="s">
        <v>5666</v>
      </c>
      <c r="AM3011" t="s">
        <v>64</v>
      </c>
      <c r="AN3011" t="s">
        <v>65</v>
      </c>
      <c r="AO3011" t="s">
        <v>65</v>
      </c>
      <c r="AP3011" t="s">
        <v>65</v>
      </c>
      <c r="AQ3011">
        <v>1</v>
      </c>
      <c r="AR3011" t="s">
        <v>5644</v>
      </c>
      <c r="AS3011" t="s">
        <v>5645</v>
      </c>
      <c r="AT3011" t="s">
        <v>58</v>
      </c>
      <c r="AU3011" t="s">
        <v>68</v>
      </c>
      <c r="AV3011" t="s">
        <v>357</v>
      </c>
      <c r="AW3011" s="1">
        <v>25990</v>
      </c>
      <c r="AX3011">
        <v>2</v>
      </c>
    </row>
    <row r="3012" spans="1:50">
      <c r="A3012">
        <v>174286</v>
      </c>
      <c r="B3012" t="str">
        <f>"076082066"</f>
        <v>076082066</v>
      </c>
      <c r="C3012" t="s">
        <v>50</v>
      </c>
      <c r="D3012" t="s">
        <v>1763</v>
      </c>
      <c r="E3012" t="s">
        <v>755</v>
      </c>
      <c r="F3012" t="s">
        <v>154</v>
      </c>
      <c r="G3012" t="s">
        <v>52</v>
      </c>
      <c r="H3012" t="str">
        <f>"ΚΑΣΤΕΝΑΖΟ 4 ΡΕΘΥΜΝΟ"</f>
        <v>ΚΑΣΤΕΝΑΖΟ 4 ΡΕΘΥΜΝΟ</v>
      </c>
      <c r="I3012">
        <v>74100</v>
      </c>
      <c r="J3012">
        <v>2831053389</v>
      </c>
      <c r="K3012">
        <v>6932306970</v>
      </c>
      <c r="M3012" t="s">
        <v>6026</v>
      </c>
      <c r="N3012" t="s">
        <v>257</v>
      </c>
      <c r="O3012" t="s">
        <v>258</v>
      </c>
      <c r="R3012" t="s">
        <v>57</v>
      </c>
      <c r="S3012">
        <v>11</v>
      </c>
      <c r="T3012">
        <v>166</v>
      </c>
      <c r="U3012" s="1">
        <v>35300</v>
      </c>
      <c r="V3012" t="s">
        <v>5644</v>
      </c>
      <c r="W3012" t="s">
        <v>5645</v>
      </c>
      <c r="X3012" t="s">
        <v>58</v>
      </c>
      <c r="Y3012">
        <v>18</v>
      </c>
      <c r="Z3012" t="s">
        <v>59</v>
      </c>
      <c r="AA3012" t="s">
        <v>59</v>
      </c>
      <c r="AB3012" t="s">
        <v>59</v>
      </c>
      <c r="AC3012" t="s">
        <v>59</v>
      </c>
      <c r="AD3012" t="s">
        <v>59</v>
      </c>
      <c r="AF3012" s="1">
        <v>35300</v>
      </c>
      <c r="AG3012" t="s">
        <v>148</v>
      </c>
      <c r="AH3012" t="s">
        <v>149</v>
      </c>
      <c r="AI3012" t="str">
        <f>"4151009"</f>
        <v>4151009</v>
      </c>
      <c r="AJ3012" t="s">
        <v>5649</v>
      </c>
      <c r="AK3012">
        <v>2831027115</v>
      </c>
      <c r="AL3012" t="s">
        <v>5650</v>
      </c>
      <c r="AM3012" t="s">
        <v>64</v>
      </c>
      <c r="AN3012" t="s">
        <v>65</v>
      </c>
      <c r="AO3012" t="s">
        <v>65</v>
      </c>
      <c r="AP3012" t="s">
        <v>65</v>
      </c>
      <c r="AQ3012">
        <v>1</v>
      </c>
      <c r="AR3012" t="s">
        <v>5644</v>
      </c>
      <c r="AS3012" t="s">
        <v>5645</v>
      </c>
      <c r="AT3012" t="s">
        <v>58</v>
      </c>
      <c r="AU3012" t="s">
        <v>68</v>
      </c>
      <c r="AV3012" t="s">
        <v>69</v>
      </c>
      <c r="AW3012" s="1">
        <v>24108</v>
      </c>
      <c r="AX3012">
        <v>2</v>
      </c>
    </row>
    <row r="3013" spans="1:50">
      <c r="B3013" t="str">
        <f>"114265330"</f>
        <v>114265330</v>
      </c>
      <c r="C3013" t="s">
        <v>105</v>
      </c>
      <c r="D3013" t="s">
        <v>6027</v>
      </c>
      <c r="E3013" t="s">
        <v>72</v>
      </c>
      <c r="F3013" t="s">
        <v>95</v>
      </c>
      <c r="G3013" t="s">
        <v>237</v>
      </c>
      <c r="H3013" t="str">
        <f>"62 ΜΑΡΤΥΡΩΝ ΗΡΑΚΛΕΙΟ-ΑΝΩ ΑΡΧΑΝΕΣ"</f>
        <v>62 ΜΑΡΤΥΡΩΝ ΗΡΑΚΛΕΙΟ-ΑΝΩ ΑΡΧΑΝΕΣ</v>
      </c>
      <c r="I3013">
        <v>70100</v>
      </c>
      <c r="J3013">
        <v>2810751630</v>
      </c>
      <c r="K3013">
        <v>6942456543</v>
      </c>
      <c r="N3013" t="s">
        <v>292</v>
      </c>
      <c r="O3013" t="s">
        <v>293</v>
      </c>
      <c r="R3013" t="s">
        <v>121</v>
      </c>
      <c r="S3013">
        <v>1</v>
      </c>
      <c r="T3013" t="s">
        <v>574</v>
      </c>
      <c r="U3013" s="1">
        <v>43378</v>
      </c>
      <c r="V3013" t="s">
        <v>5644</v>
      </c>
      <c r="W3013" t="s">
        <v>5645</v>
      </c>
      <c r="X3013" t="s">
        <v>58</v>
      </c>
      <c r="Y3013">
        <v>23</v>
      </c>
      <c r="Z3013" t="s">
        <v>59</v>
      </c>
      <c r="AA3013" t="s">
        <v>59</v>
      </c>
      <c r="AB3013" t="s">
        <v>59</v>
      </c>
      <c r="AC3013" t="s">
        <v>59</v>
      </c>
      <c r="AD3013" t="s">
        <v>59</v>
      </c>
      <c r="AF3013" s="1">
        <v>43381</v>
      </c>
      <c r="AG3013" t="s">
        <v>125</v>
      </c>
      <c r="AH3013" t="s">
        <v>126</v>
      </c>
      <c r="AI3013" t="str">
        <f>"4102010"</f>
        <v>4102010</v>
      </c>
      <c r="AJ3013" t="s">
        <v>5735</v>
      </c>
      <c r="AK3013">
        <v>2834031331</v>
      </c>
      <c r="AL3013" t="s">
        <v>5736</v>
      </c>
      <c r="AM3013" t="s">
        <v>64</v>
      </c>
      <c r="AN3013" t="s">
        <v>5737</v>
      </c>
      <c r="AO3013" t="s">
        <v>5737</v>
      </c>
      <c r="AP3013" t="s">
        <v>5737</v>
      </c>
      <c r="AQ3013">
        <v>3</v>
      </c>
      <c r="AR3013" t="s">
        <v>5644</v>
      </c>
      <c r="AS3013" t="s">
        <v>5645</v>
      </c>
      <c r="AT3013" t="s">
        <v>58</v>
      </c>
      <c r="AU3013" t="s">
        <v>164</v>
      </c>
      <c r="AV3013" t="s">
        <v>132</v>
      </c>
      <c r="AW3013" s="1">
        <v>29253</v>
      </c>
      <c r="AX3013">
        <v>2</v>
      </c>
    </row>
    <row r="3014" spans="1:50">
      <c r="A3014">
        <v>704318</v>
      </c>
      <c r="B3014" t="str">
        <f>"100985266"</f>
        <v>100985266</v>
      </c>
      <c r="C3014" t="s">
        <v>105</v>
      </c>
      <c r="D3014" t="s">
        <v>6028</v>
      </c>
      <c r="E3014" t="s">
        <v>201</v>
      </c>
      <c r="F3014" t="s">
        <v>153</v>
      </c>
      <c r="G3014" t="s">
        <v>237</v>
      </c>
      <c r="H3014" t="str">
        <f>"ΞΗΡΟ ΧΩΡΙΟ ΡΕΘΥΜΝΟ"</f>
        <v>ΞΗΡΟ ΧΩΡΙΟ ΡΕΘΥΜΝΟ</v>
      </c>
      <c r="I3014">
        <v>74100</v>
      </c>
      <c r="K3014">
        <v>6978774074</v>
      </c>
      <c r="N3014" t="s">
        <v>282</v>
      </c>
      <c r="O3014" t="s">
        <v>283</v>
      </c>
      <c r="R3014" t="s">
        <v>121</v>
      </c>
      <c r="S3014">
        <v>1</v>
      </c>
      <c r="T3014">
        <v>797</v>
      </c>
      <c r="U3014" s="1">
        <v>42968</v>
      </c>
      <c r="V3014" t="s">
        <v>5644</v>
      </c>
      <c r="W3014" t="s">
        <v>5645</v>
      </c>
      <c r="X3014" t="s">
        <v>58</v>
      </c>
      <c r="Y3014">
        <v>23</v>
      </c>
      <c r="Z3014" t="s">
        <v>59</v>
      </c>
      <c r="AA3014" t="s">
        <v>59</v>
      </c>
      <c r="AB3014" t="s">
        <v>59</v>
      </c>
      <c r="AC3014" t="s">
        <v>59</v>
      </c>
      <c r="AD3014" t="s">
        <v>59</v>
      </c>
      <c r="AF3014" s="1">
        <v>42968</v>
      </c>
      <c r="AG3014" t="s">
        <v>137</v>
      </c>
      <c r="AH3014" t="s">
        <v>138</v>
      </c>
      <c r="AI3014" t="str">
        <f>"4150040"</f>
        <v>4150040</v>
      </c>
      <c r="AJ3014" t="s">
        <v>5661</v>
      </c>
      <c r="AK3014">
        <v>2831029048</v>
      </c>
      <c r="AL3014" t="s">
        <v>5662</v>
      </c>
      <c r="AM3014" t="s">
        <v>64</v>
      </c>
      <c r="AN3014" t="s">
        <v>65</v>
      </c>
      <c r="AO3014" t="s">
        <v>65</v>
      </c>
      <c r="AP3014" t="s">
        <v>65</v>
      </c>
      <c r="AQ3014">
        <v>1</v>
      </c>
      <c r="AR3014" t="s">
        <v>5644</v>
      </c>
      <c r="AS3014" t="s">
        <v>5645</v>
      </c>
      <c r="AT3014" t="s">
        <v>58</v>
      </c>
      <c r="AU3014" t="s">
        <v>68</v>
      </c>
      <c r="AV3014" t="s">
        <v>69</v>
      </c>
      <c r="AW3014" s="1">
        <v>29607</v>
      </c>
      <c r="AX3014">
        <v>2</v>
      </c>
    </row>
    <row r="3015" spans="1:50">
      <c r="A3015">
        <v>219934</v>
      </c>
      <c r="B3015" t="str">
        <f>"051856281"</f>
        <v>051856281</v>
      </c>
      <c r="C3015" t="s">
        <v>50</v>
      </c>
      <c r="D3015" t="s">
        <v>6029</v>
      </c>
      <c r="E3015" t="s">
        <v>237</v>
      </c>
      <c r="F3015" t="s">
        <v>53</v>
      </c>
      <c r="G3015" t="s">
        <v>1510</v>
      </c>
      <c r="H3015" t="str">
        <f>"ΧΡΙΣΤΙΝΑΣ ΣΠΥΡΑΚΗ 14 ΡΕΘΥΜΝΟ"</f>
        <v>ΧΡΙΣΤΙΝΑΣ ΣΠΥΡΑΚΗ 14 ΡΕΘΥΜΝΟ</v>
      </c>
      <c r="I3015">
        <v>74100</v>
      </c>
      <c r="J3015">
        <v>2831028483</v>
      </c>
      <c r="K3015">
        <v>6983677217</v>
      </c>
      <c r="L3015">
        <v>2643022555</v>
      </c>
      <c r="M3015" t="s">
        <v>5653</v>
      </c>
      <c r="N3015" t="s">
        <v>257</v>
      </c>
      <c r="O3015" t="s">
        <v>258</v>
      </c>
      <c r="R3015" t="s">
        <v>57</v>
      </c>
      <c r="S3015">
        <v>9</v>
      </c>
      <c r="T3015">
        <v>599</v>
      </c>
      <c r="U3015" s="1">
        <v>39310</v>
      </c>
      <c r="V3015" t="s">
        <v>5644</v>
      </c>
      <c r="W3015" t="s">
        <v>5645</v>
      </c>
      <c r="X3015" t="s">
        <v>58</v>
      </c>
      <c r="Y3015">
        <v>21</v>
      </c>
      <c r="Z3015" t="s">
        <v>59</v>
      </c>
      <c r="AA3015" t="s">
        <v>59</v>
      </c>
      <c r="AB3015" t="s">
        <v>59</v>
      </c>
      <c r="AC3015" t="s">
        <v>59</v>
      </c>
      <c r="AD3015" t="s">
        <v>59</v>
      </c>
      <c r="AF3015" s="1">
        <v>39328</v>
      </c>
      <c r="AG3015" t="s">
        <v>148</v>
      </c>
      <c r="AH3015" t="s">
        <v>149</v>
      </c>
      <c r="AI3015" t="str">
        <f>"4151030"</f>
        <v>4151030</v>
      </c>
      <c r="AJ3015" t="s">
        <v>5681</v>
      </c>
      <c r="AK3015">
        <v>2831023422</v>
      </c>
      <c r="AL3015" t="s">
        <v>5682</v>
      </c>
      <c r="AM3015" t="s">
        <v>64</v>
      </c>
      <c r="AN3015" t="s">
        <v>65</v>
      </c>
      <c r="AO3015" t="s">
        <v>65</v>
      </c>
      <c r="AP3015" t="s">
        <v>65</v>
      </c>
      <c r="AQ3015">
        <v>1</v>
      </c>
      <c r="AR3015" t="s">
        <v>5644</v>
      </c>
      <c r="AS3015" t="s">
        <v>5645</v>
      </c>
      <c r="AT3015" t="s">
        <v>58</v>
      </c>
      <c r="AU3015" t="s">
        <v>68</v>
      </c>
      <c r="AV3015" t="s">
        <v>132</v>
      </c>
      <c r="AW3015" s="1">
        <v>21690</v>
      </c>
      <c r="AX3015">
        <v>2</v>
      </c>
    </row>
    <row r="3016" spans="1:50">
      <c r="A3016">
        <v>228506</v>
      </c>
      <c r="B3016" t="str">
        <f>"047781534"</f>
        <v>047781534</v>
      </c>
      <c r="C3016" t="s">
        <v>50</v>
      </c>
      <c r="D3016" t="s">
        <v>6030</v>
      </c>
      <c r="E3016" t="s">
        <v>83</v>
      </c>
      <c r="F3016" t="s">
        <v>414</v>
      </c>
      <c r="G3016" t="s">
        <v>378</v>
      </c>
      <c r="H3016" t="str">
        <f>"ΔΩΔΕΚΑΝΗΣΣΟΥ ΠΕΡΒΟΛΙΑ"</f>
        <v>ΔΩΔΕΚΑΝΗΣΣΟΥ ΠΕΡΒΟΛΙΑ</v>
      </c>
      <c r="I3016">
        <v>74100</v>
      </c>
      <c r="J3016">
        <v>2831035795</v>
      </c>
      <c r="K3016">
        <v>6945798603</v>
      </c>
      <c r="N3016" t="s">
        <v>146</v>
      </c>
      <c r="O3016" t="s">
        <v>147</v>
      </c>
      <c r="R3016" t="s">
        <v>57</v>
      </c>
      <c r="S3016">
        <v>6</v>
      </c>
      <c r="T3016">
        <v>683</v>
      </c>
      <c r="U3016" s="1">
        <v>40052</v>
      </c>
      <c r="V3016" t="s">
        <v>5644</v>
      </c>
      <c r="W3016" t="s">
        <v>5645</v>
      </c>
      <c r="X3016" t="s">
        <v>58</v>
      </c>
      <c r="Y3016">
        <v>21</v>
      </c>
      <c r="Z3016" t="s">
        <v>59</v>
      </c>
      <c r="AA3016" t="s">
        <v>59</v>
      </c>
      <c r="AB3016" t="s">
        <v>59</v>
      </c>
      <c r="AC3016" t="s">
        <v>59</v>
      </c>
      <c r="AD3016" t="s">
        <v>59</v>
      </c>
      <c r="AF3016" s="1">
        <v>40057</v>
      </c>
      <c r="AG3016" t="s">
        <v>125</v>
      </c>
      <c r="AH3016" t="s">
        <v>126</v>
      </c>
      <c r="AI3016" t="str">
        <f>"4101040"</f>
        <v>4101040</v>
      </c>
      <c r="AJ3016" t="s">
        <v>5732</v>
      </c>
      <c r="AK3016">
        <v>2831029261</v>
      </c>
      <c r="AL3016" t="s">
        <v>5733</v>
      </c>
      <c r="AM3016" t="s">
        <v>64</v>
      </c>
      <c r="AN3016" t="s">
        <v>65</v>
      </c>
      <c r="AO3016" t="s">
        <v>65</v>
      </c>
      <c r="AP3016" t="s">
        <v>65</v>
      </c>
      <c r="AQ3016">
        <v>1</v>
      </c>
      <c r="AR3016" t="s">
        <v>5644</v>
      </c>
      <c r="AS3016" t="s">
        <v>5645</v>
      </c>
      <c r="AT3016" t="s">
        <v>58</v>
      </c>
      <c r="AU3016" t="s">
        <v>68</v>
      </c>
      <c r="AV3016" t="s">
        <v>69</v>
      </c>
      <c r="AW3016" s="1">
        <v>26068</v>
      </c>
      <c r="AX3016">
        <v>2</v>
      </c>
    </row>
    <row r="3017" spans="1:50">
      <c r="A3017">
        <v>190359</v>
      </c>
      <c r="B3017" t="str">
        <f>"070937222"</f>
        <v>070937222</v>
      </c>
      <c r="C3017" t="s">
        <v>50</v>
      </c>
      <c r="D3017" t="s">
        <v>6031</v>
      </c>
      <c r="E3017" t="s">
        <v>73</v>
      </c>
      <c r="F3017" t="s">
        <v>309</v>
      </c>
      <c r="G3017" t="s">
        <v>330</v>
      </c>
      <c r="H3017" t="str">
        <f>"ΜΑΡΚΟΥ ΠΟΡΤΑΛΙΟΥ 7 ΚΑΛΛΙΘΕΑ"</f>
        <v>ΜΑΡΚΟΥ ΠΟΡΤΑΛΙΟΥ 7 ΚΑΛΛΙΘΕΑ</v>
      </c>
      <c r="I3017">
        <v>74133</v>
      </c>
      <c r="N3017" t="s">
        <v>306</v>
      </c>
      <c r="O3017" t="s">
        <v>307</v>
      </c>
      <c r="R3017" t="s">
        <v>57</v>
      </c>
      <c r="S3017">
        <v>8</v>
      </c>
      <c r="T3017">
        <v>219</v>
      </c>
      <c r="U3017" s="1">
        <v>37134</v>
      </c>
      <c r="V3017" t="s">
        <v>5644</v>
      </c>
      <c r="W3017" t="s">
        <v>5645</v>
      </c>
      <c r="X3017" t="s">
        <v>58</v>
      </c>
      <c r="Y3017">
        <v>20</v>
      </c>
      <c r="Z3017" t="s">
        <v>59</v>
      </c>
      <c r="AA3017" t="s">
        <v>59</v>
      </c>
      <c r="AB3017" t="s">
        <v>59</v>
      </c>
      <c r="AC3017" t="s">
        <v>59</v>
      </c>
      <c r="AD3017" t="s">
        <v>59</v>
      </c>
      <c r="AF3017" s="1">
        <v>37134</v>
      </c>
      <c r="AG3017" t="s">
        <v>125</v>
      </c>
      <c r="AH3017" t="s">
        <v>126</v>
      </c>
      <c r="AI3017" t="str">
        <f>"4101010"</f>
        <v>4101010</v>
      </c>
      <c r="AJ3017" t="s">
        <v>5814</v>
      </c>
      <c r="AK3017">
        <v>2831022283</v>
      </c>
      <c r="AL3017" t="s">
        <v>5815</v>
      </c>
      <c r="AM3017" t="s">
        <v>64</v>
      </c>
      <c r="AN3017" t="s">
        <v>65</v>
      </c>
      <c r="AO3017" t="s">
        <v>65</v>
      </c>
      <c r="AP3017" t="s">
        <v>65</v>
      </c>
      <c r="AQ3017">
        <v>1</v>
      </c>
      <c r="AR3017" t="s">
        <v>5644</v>
      </c>
      <c r="AS3017" t="s">
        <v>5645</v>
      </c>
      <c r="AT3017" t="s">
        <v>58</v>
      </c>
      <c r="AU3017" t="s">
        <v>68</v>
      </c>
      <c r="AV3017" t="s">
        <v>69</v>
      </c>
      <c r="AW3017" s="1">
        <v>28468</v>
      </c>
      <c r="AX3017">
        <v>2</v>
      </c>
    </row>
    <row r="3018" spans="1:50">
      <c r="A3018">
        <v>173823</v>
      </c>
      <c r="B3018" t="str">
        <f>"032154068"</f>
        <v>032154068</v>
      </c>
      <c r="C3018" t="s">
        <v>105</v>
      </c>
      <c r="D3018" t="s">
        <v>6032</v>
      </c>
      <c r="E3018" t="s">
        <v>383</v>
      </c>
      <c r="F3018" t="s">
        <v>99</v>
      </c>
      <c r="G3018" t="s">
        <v>1452</v>
      </c>
      <c r="H3018" t="str">
        <f>"ΤΡΑΝΤΑΛΛΙΔΟΥ 10 ΡΕΘΥΜΝΟ"</f>
        <v>ΤΡΑΝΤΑΛΛΙΔΟΥ 10 ΡΕΘΥΜΝΟ</v>
      </c>
      <c r="I3018">
        <v>74100</v>
      </c>
      <c r="K3018">
        <v>6947266580</v>
      </c>
      <c r="M3018" t="s">
        <v>6033</v>
      </c>
      <c r="N3018" t="s">
        <v>232</v>
      </c>
      <c r="O3018" t="s">
        <v>233</v>
      </c>
      <c r="R3018" t="s">
        <v>57</v>
      </c>
      <c r="S3018">
        <v>12</v>
      </c>
      <c r="T3018">
        <v>166</v>
      </c>
      <c r="U3018" s="1">
        <v>35300</v>
      </c>
      <c r="V3018" t="s">
        <v>5644</v>
      </c>
      <c r="W3018" t="s">
        <v>5645</v>
      </c>
      <c r="X3018" t="s">
        <v>58</v>
      </c>
      <c r="Y3018">
        <v>18</v>
      </c>
      <c r="Z3018" t="s">
        <v>59</v>
      </c>
      <c r="AA3018" t="s">
        <v>59</v>
      </c>
      <c r="AB3018" t="s">
        <v>59</v>
      </c>
      <c r="AC3018" t="s">
        <v>59</v>
      </c>
      <c r="AD3018" t="s">
        <v>59</v>
      </c>
      <c r="AF3018" s="1">
        <v>35300</v>
      </c>
      <c r="AG3018" t="s">
        <v>148</v>
      </c>
      <c r="AH3018" t="s">
        <v>149</v>
      </c>
      <c r="AI3018" t="str">
        <f>"4151030"</f>
        <v>4151030</v>
      </c>
      <c r="AJ3018" t="s">
        <v>5681</v>
      </c>
      <c r="AK3018">
        <v>2831023422</v>
      </c>
      <c r="AL3018" t="s">
        <v>5682</v>
      </c>
      <c r="AM3018" t="s">
        <v>64</v>
      </c>
      <c r="AN3018" t="s">
        <v>65</v>
      </c>
      <c r="AO3018" t="s">
        <v>65</v>
      </c>
      <c r="AP3018" t="s">
        <v>65</v>
      </c>
      <c r="AQ3018">
        <v>1</v>
      </c>
      <c r="AR3018" t="s">
        <v>5644</v>
      </c>
      <c r="AS3018" t="s">
        <v>5645</v>
      </c>
      <c r="AT3018" t="s">
        <v>58</v>
      </c>
      <c r="AU3018" t="s">
        <v>68</v>
      </c>
      <c r="AV3018" t="s">
        <v>69</v>
      </c>
      <c r="AW3018" s="1">
        <v>22716</v>
      </c>
      <c r="AX3018">
        <v>2</v>
      </c>
    </row>
    <row r="3019" spans="1:50">
      <c r="A3019">
        <v>183369</v>
      </c>
      <c r="B3019" t="str">
        <f>"105679621"</f>
        <v>105679621</v>
      </c>
      <c r="C3019" t="s">
        <v>50</v>
      </c>
      <c r="D3019" t="s">
        <v>6034</v>
      </c>
      <c r="E3019" t="s">
        <v>255</v>
      </c>
      <c r="F3019" t="s">
        <v>609</v>
      </c>
      <c r="G3019" t="s">
        <v>215</v>
      </c>
      <c r="H3019" t="str">
        <f>"Αρκεσιλάου 15 Νέος Κόσμος"</f>
        <v>Αρκεσιλάου 15 Νέος Κόσμος</v>
      </c>
      <c r="I3019">
        <v>11763</v>
      </c>
      <c r="J3019">
        <v>2831057020</v>
      </c>
      <c r="K3019">
        <v>6982890746</v>
      </c>
      <c r="L3019">
        <v>2108842721</v>
      </c>
      <c r="M3019" t="s">
        <v>6035</v>
      </c>
      <c r="N3019" t="s">
        <v>146</v>
      </c>
      <c r="O3019" t="s">
        <v>147</v>
      </c>
      <c r="R3019" t="s">
        <v>57</v>
      </c>
      <c r="S3019">
        <v>16</v>
      </c>
      <c r="T3019">
        <v>177</v>
      </c>
      <c r="U3019" s="1">
        <v>36403</v>
      </c>
      <c r="V3019" t="s">
        <v>5644</v>
      </c>
      <c r="W3019" t="s">
        <v>5645</v>
      </c>
      <c r="X3019" t="s">
        <v>58</v>
      </c>
      <c r="Y3019">
        <v>18</v>
      </c>
      <c r="Z3019" t="s">
        <v>59</v>
      </c>
      <c r="AA3019" t="s">
        <v>59</v>
      </c>
      <c r="AB3019" t="s">
        <v>59</v>
      </c>
      <c r="AC3019" t="s">
        <v>59</v>
      </c>
      <c r="AD3019" t="s">
        <v>59</v>
      </c>
      <c r="AF3019" s="1">
        <v>36403</v>
      </c>
      <c r="AG3019" t="s">
        <v>148</v>
      </c>
      <c r="AH3019" t="s">
        <v>149</v>
      </c>
      <c r="AI3019" t="str">
        <f>"4152010"</f>
        <v>4152010</v>
      </c>
      <c r="AJ3019" t="s">
        <v>5739</v>
      </c>
      <c r="AK3019">
        <v>2834031205</v>
      </c>
      <c r="AL3019" t="s">
        <v>5740</v>
      </c>
      <c r="AM3019" t="s">
        <v>64</v>
      </c>
      <c r="AN3019" t="s">
        <v>5737</v>
      </c>
      <c r="AO3019" t="s">
        <v>5737</v>
      </c>
      <c r="AP3019" t="s">
        <v>5737</v>
      </c>
      <c r="AQ3019">
        <v>3</v>
      </c>
      <c r="AR3019" t="s">
        <v>5644</v>
      </c>
      <c r="AS3019" t="s">
        <v>5645</v>
      </c>
      <c r="AT3019" t="s">
        <v>58</v>
      </c>
      <c r="AU3019" t="s">
        <v>68</v>
      </c>
      <c r="AV3019" t="s">
        <v>69</v>
      </c>
      <c r="AW3019" s="1">
        <v>23604</v>
      </c>
      <c r="AX3019">
        <v>2</v>
      </c>
    </row>
    <row r="3020" spans="1:50">
      <c r="A3020">
        <v>222955</v>
      </c>
      <c r="B3020" t="str">
        <f>"063245934"</f>
        <v>063245934</v>
      </c>
      <c r="C3020" t="s">
        <v>50</v>
      </c>
      <c r="D3020" t="s">
        <v>6036</v>
      </c>
      <c r="E3020" t="s">
        <v>52</v>
      </c>
      <c r="F3020" t="s">
        <v>95</v>
      </c>
      <c r="G3020" t="s">
        <v>1408</v>
      </c>
      <c r="H3020" t="str">
        <f>"Λ. ΔΗΜΟΚΡΑΤΙΑΣ 38 ΡΕΘΥΜΝΟ"</f>
        <v>Λ. ΔΗΜΟΚΡΑΤΙΑΣ 38 ΡΕΘΥΜΝΟ</v>
      </c>
      <c r="I3020">
        <v>74132</v>
      </c>
      <c r="J3020">
        <v>2831030202</v>
      </c>
      <c r="K3020">
        <v>6982287229</v>
      </c>
      <c r="M3020" t="s">
        <v>6037</v>
      </c>
      <c r="N3020" t="s">
        <v>292</v>
      </c>
      <c r="O3020" t="s">
        <v>293</v>
      </c>
      <c r="R3020" t="s">
        <v>57</v>
      </c>
      <c r="S3020">
        <v>7</v>
      </c>
      <c r="T3020">
        <v>775</v>
      </c>
      <c r="U3020" s="1">
        <v>39680</v>
      </c>
      <c r="V3020" t="s">
        <v>5644</v>
      </c>
      <c r="W3020" t="s">
        <v>5645</v>
      </c>
      <c r="X3020" t="s">
        <v>58</v>
      </c>
      <c r="Y3020">
        <v>21</v>
      </c>
      <c r="Z3020" t="s">
        <v>59</v>
      </c>
      <c r="AA3020" t="s">
        <v>59</v>
      </c>
      <c r="AB3020" t="s">
        <v>59</v>
      </c>
      <c r="AC3020" t="s">
        <v>59</v>
      </c>
      <c r="AD3020" t="s">
        <v>452</v>
      </c>
      <c r="AE3020" s="1">
        <v>43708</v>
      </c>
      <c r="AF3020" s="1">
        <v>39681</v>
      </c>
      <c r="AG3020" t="s">
        <v>148</v>
      </c>
      <c r="AH3020" t="s">
        <v>2782</v>
      </c>
      <c r="AI3020" t="str">
        <f>"4151040"</f>
        <v>4151040</v>
      </c>
      <c r="AJ3020" t="s">
        <v>5810</v>
      </c>
      <c r="AK3020">
        <v>2831023425</v>
      </c>
      <c r="AL3020" t="s">
        <v>5811</v>
      </c>
      <c r="AM3020" t="s">
        <v>64</v>
      </c>
      <c r="AN3020" t="s">
        <v>65</v>
      </c>
      <c r="AO3020" t="s">
        <v>65</v>
      </c>
      <c r="AP3020" t="s">
        <v>65</v>
      </c>
      <c r="AQ3020">
        <v>1</v>
      </c>
      <c r="AR3020" t="s">
        <v>5644</v>
      </c>
      <c r="AS3020" t="s">
        <v>5645</v>
      </c>
      <c r="AT3020" t="s">
        <v>58</v>
      </c>
      <c r="AU3020" t="s">
        <v>68</v>
      </c>
      <c r="AV3020" t="s">
        <v>69</v>
      </c>
      <c r="AW3020" s="1">
        <v>29304</v>
      </c>
      <c r="AX3020">
        <v>2</v>
      </c>
    </row>
    <row r="3021" spans="1:50">
      <c r="A3021">
        <v>223916</v>
      </c>
      <c r="B3021" t="str">
        <f>"101588258"</f>
        <v>101588258</v>
      </c>
      <c r="C3021" t="s">
        <v>50</v>
      </c>
      <c r="D3021" t="s">
        <v>6038</v>
      </c>
      <c r="E3021" t="s">
        <v>250</v>
      </c>
      <c r="F3021" t="s">
        <v>5397</v>
      </c>
      <c r="G3021" t="s">
        <v>589</v>
      </c>
      <c r="H3021" t="str">
        <f>"ΒΑΜΟΥ 24 ΧΑΝΙΑ"</f>
        <v>ΒΑΜΟΥ 24 ΧΑΝΙΑ</v>
      </c>
      <c r="I3021">
        <v>73134</v>
      </c>
      <c r="J3021">
        <v>2821045945</v>
      </c>
      <c r="K3021">
        <v>6977959844</v>
      </c>
      <c r="L3021">
        <v>2821045945</v>
      </c>
      <c r="M3021" t="s">
        <v>6039</v>
      </c>
      <c r="N3021" t="s">
        <v>478</v>
      </c>
      <c r="O3021" t="s">
        <v>479</v>
      </c>
      <c r="R3021" t="s">
        <v>57</v>
      </c>
      <c r="S3021">
        <v>8</v>
      </c>
      <c r="T3021">
        <v>775</v>
      </c>
      <c r="U3021" s="1">
        <v>39680</v>
      </c>
      <c r="V3021" t="s">
        <v>5644</v>
      </c>
      <c r="W3021" t="s">
        <v>5645</v>
      </c>
      <c r="X3021" t="s">
        <v>58</v>
      </c>
      <c r="Y3021">
        <v>20</v>
      </c>
      <c r="Z3021" t="s">
        <v>59</v>
      </c>
      <c r="AA3021" t="s">
        <v>59</v>
      </c>
      <c r="AB3021" t="s">
        <v>59</v>
      </c>
      <c r="AC3021" t="s">
        <v>59</v>
      </c>
      <c r="AD3021" t="s">
        <v>59</v>
      </c>
      <c r="AF3021" s="1">
        <v>39680</v>
      </c>
      <c r="AG3021" t="s">
        <v>125</v>
      </c>
      <c r="AH3021" t="s">
        <v>126</v>
      </c>
      <c r="AI3021" t="str">
        <f>"4109010"</f>
        <v>4109010</v>
      </c>
      <c r="AJ3021" t="s">
        <v>5786</v>
      </c>
      <c r="AK3021">
        <v>2834041366</v>
      </c>
      <c r="AL3021" t="s">
        <v>5787</v>
      </c>
      <c r="AM3021" t="s">
        <v>64</v>
      </c>
      <c r="AN3021" t="s">
        <v>5672</v>
      </c>
      <c r="AO3021" t="s">
        <v>5698</v>
      </c>
      <c r="AP3021" t="s">
        <v>5788</v>
      </c>
      <c r="AQ3021">
        <v>2</v>
      </c>
      <c r="AR3021" t="s">
        <v>5644</v>
      </c>
      <c r="AS3021" t="s">
        <v>5645</v>
      </c>
      <c r="AT3021" t="s">
        <v>58</v>
      </c>
      <c r="AU3021" t="s">
        <v>68</v>
      </c>
      <c r="AV3021" t="s">
        <v>69</v>
      </c>
      <c r="AW3021" s="1">
        <v>27030</v>
      </c>
      <c r="AX3021">
        <v>2</v>
      </c>
    </row>
    <row r="3022" spans="1:50">
      <c r="A3022">
        <v>195875</v>
      </c>
      <c r="B3022" t="str">
        <f>"053818500"</f>
        <v>053818500</v>
      </c>
      <c r="C3022" t="s">
        <v>105</v>
      </c>
      <c r="D3022" t="s">
        <v>6040</v>
      </c>
      <c r="E3022" t="s">
        <v>84</v>
      </c>
      <c r="F3022" t="s">
        <v>383</v>
      </c>
      <c r="G3022" t="s">
        <v>440</v>
      </c>
      <c r="H3022" t="str">
        <f>"ΝΙΚΟΥ ΒΑΡΔΙΝΟΓΙΑΝΝΗ 34 ΡΕΘΥΜΝΟ"</f>
        <v>ΝΙΚΟΥ ΒΑΡΔΙΝΟΓΙΑΝΝΗ 34 ΡΕΘΥΜΝΟ</v>
      </c>
      <c r="I3022">
        <v>74100</v>
      </c>
      <c r="K3022">
        <v>6936762355</v>
      </c>
      <c r="M3022" t="s">
        <v>6041</v>
      </c>
      <c r="N3022" t="s">
        <v>176</v>
      </c>
      <c r="O3022" t="s">
        <v>177</v>
      </c>
      <c r="R3022" t="s">
        <v>57</v>
      </c>
      <c r="S3022">
        <v>10</v>
      </c>
      <c r="T3022">
        <v>194</v>
      </c>
      <c r="U3022" s="1">
        <v>37497</v>
      </c>
      <c r="V3022" t="s">
        <v>5644</v>
      </c>
      <c r="W3022" t="s">
        <v>5645</v>
      </c>
      <c r="X3022" t="s">
        <v>58</v>
      </c>
      <c r="Y3022">
        <v>20</v>
      </c>
      <c r="Z3022" t="s">
        <v>59</v>
      </c>
      <c r="AA3022" t="s">
        <v>59</v>
      </c>
      <c r="AB3022" t="s">
        <v>59</v>
      </c>
      <c r="AC3022" t="s">
        <v>59</v>
      </c>
      <c r="AD3022" t="s">
        <v>59</v>
      </c>
      <c r="AF3022" s="1">
        <v>37497</v>
      </c>
      <c r="AG3022" t="s">
        <v>125</v>
      </c>
      <c r="AH3022" t="s">
        <v>126</v>
      </c>
      <c r="AI3022" t="str">
        <f>"4106010"</f>
        <v>4106010</v>
      </c>
      <c r="AJ3022" t="s">
        <v>5880</v>
      </c>
      <c r="AK3022">
        <v>2832022035</v>
      </c>
      <c r="AL3022" t="s">
        <v>5881</v>
      </c>
      <c r="AM3022" t="s">
        <v>64</v>
      </c>
      <c r="AN3022" t="s">
        <v>5882</v>
      </c>
      <c r="AO3022" t="s">
        <v>5883</v>
      </c>
      <c r="AP3022" t="s">
        <v>5884</v>
      </c>
      <c r="AQ3022">
        <v>5</v>
      </c>
      <c r="AR3022" t="s">
        <v>5644</v>
      </c>
      <c r="AS3022" t="s">
        <v>5645</v>
      </c>
      <c r="AT3022" t="s">
        <v>58</v>
      </c>
      <c r="AU3022" t="s">
        <v>68</v>
      </c>
      <c r="AV3022" t="s">
        <v>69</v>
      </c>
      <c r="AW3022" s="1">
        <v>25677</v>
      </c>
      <c r="AX3022">
        <v>2</v>
      </c>
    </row>
    <row r="3023" spans="1:50">
      <c r="A3023">
        <v>207244</v>
      </c>
      <c r="B3023" t="str">
        <f>"045566826"</f>
        <v>045566826</v>
      </c>
      <c r="C3023" t="s">
        <v>105</v>
      </c>
      <c r="D3023" t="s">
        <v>1813</v>
      </c>
      <c r="E3023" t="s">
        <v>760</v>
      </c>
      <c r="F3023" t="s">
        <v>106</v>
      </c>
      <c r="G3023" t="s">
        <v>54</v>
      </c>
      <c r="H3023" t="str">
        <f>"ΑΤΣΙΠΟΠΟΥΛΟ ΡΕΘΥΜΝΟ"</f>
        <v>ΑΤΣΙΠΟΠΟΥΛΟ ΡΕΘΥΜΝΟ</v>
      </c>
      <c r="I3023">
        <v>74100</v>
      </c>
      <c r="J3023">
        <v>2831031916</v>
      </c>
      <c r="K3023">
        <v>6947273256</v>
      </c>
      <c r="N3023" t="s">
        <v>232</v>
      </c>
      <c r="O3023" t="s">
        <v>233</v>
      </c>
      <c r="R3023" t="s">
        <v>57</v>
      </c>
      <c r="S3023">
        <v>9</v>
      </c>
      <c r="T3023">
        <v>218</v>
      </c>
      <c r="U3023" s="1">
        <v>38596</v>
      </c>
      <c r="V3023" t="s">
        <v>5644</v>
      </c>
      <c r="W3023" t="s">
        <v>5645</v>
      </c>
      <c r="X3023" t="s">
        <v>58</v>
      </c>
      <c r="Y3023">
        <v>20</v>
      </c>
      <c r="Z3023" t="s">
        <v>59</v>
      </c>
      <c r="AA3023" t="s">
        <v>59</v>
      </c>
      <c r="AB3023" t="s">
        <v>59</v>
      </c>
      <c r="AC3023" t="s">
        <v>59</v>
      </c>
      <c r="AD3023" t="s">
        <v>59</v>
      </c>
      <c r="AF3023" s="1">
        <v>38596</v>
      </c>
      <c r="AG3023" t="s">
        <v>148</v>
      </c>
      <c r="AH3023" t="s">
        <v>149</v>
      </c>
      <c r="AI3023" t="str">
        <f>"4154010"</f>
        <v>4154010</v>
      </c>
      <c r="AJ3023" t="s">
        <v>5687</v>
      </c>
      <c r="AK3023">
        <v>2834023300</v>
      </c>
      <c r="AL3023" t="s">
        <v>5688</v>
      </c>
      <c r="AM3023" t="s">
        <v>64</v>
      </c>
      <c r="AN3023" t="s">
        <v>5672</v>
      </c>
      <c r="AO3023" t="s">
        <v>5673</v>
      </c>
      <c r="AP3023" t="s">
        <v>5689</v>
      </c>
      <c r="AQ3023">
        <v>2</v>
      </c>
      <c r="AR3023" t="s">
        <v>5644</v>
      </c>
      <c r="AS3023" t="s">
        <v>5645</v>
      </c>
      <c r="AT3023" t="s">
        <v>58</v>
      </c>
      <c r="AU3023" t="s">
        <v>68</v>
      </c>
      <c r="AV3023" t="s">
        <v>69</v>
      </c>
      <c r="AW3023" s="1">
        <v>24006</v>
      </c>
      <c r="AX3023">
        <v>2</v>
      </c>
    </row>
    <row r="3024" spans="1:50">
      <c r="A3024">
        <v>222135</v>
      </c>
      <c r="B3024" t="str">
        <f>"073153550"</f>
        <v>073153550</v>
      </c>
      <c r="C3024" t="s">
        <v>105</v>
      </c>
      <c r="D3024" t="s">
        <v>1813</v>
      </c>
      <c r="E3024" t="s">
        <v>2933</v>
      </c>
      <c r="F3024" t="s">
        <v>53</v>
      </c>
      <c r="G3024" t="s">
        <v>181</v>
      </c>
      <c r="H3024" t="str">
        <f>"ΣΤΕΦΑΝΟΥ ΣΑΡΑΦΗ 13Α ΜΙΣΣΙΡΙΑ"</f>
        <v>ΣΤΕΦΑΝΟΥ ΣΑΡΑΦΗ 13Α ΜΙΣΣΙΡΙΑ</v>
      </c>
      <c r="I3024">
        <v>74133</v>
      </c>
      <c r="J3024">
        <v>2831055106</v>
      </c>
      <c r="K3024">
        <v>6978296326</v>
      </c>
      <c r="N3024" t="s">
        <v>146</v>
      </c>
      <c r="O3024" t="s">
        <v>147</v>
      </c>
      <c r="R3024" t="s">
        <v>57</v>
      </c>
      <c r="S3024">
        <v>8</v>
      </c>
      <c r="T3024">
        <v>775</v>
      </c>
      <c r="U3024" s="1">
        <v>39680</v>
      </c>
      <c r="V3024" t="s">
        <v>5644</v>
      </c>
      <c r="W3024" t="s">
        <v>5645</v>
      </c>
      <c r="X3024" t="s">
        <v>58</v>
      </c>
      <c r="Y3024">
        <v>20</v>
      </c>
      <c r="Z3024" t="s">
        <v>59</v>
      </c>
      <c r="AA3024" t="s">
        <v>59</v>
      </c>
      <c r="AB3024" t="s">
        <v>59</v>
      </c>
      <c r="AC3024" t="s">
        <v>59</v>
      </c>
      <c r="AD3024" t="s">
        <v>59</v>
      </c>
      <c r="AF3024" s="1">
        <v>39681</v>
      </c>
      <c r="AG3024" t="s">
        <v>137</v>
      </c>
      <c r="AH3024" t="s">
        <v>138</v>
      </c>
      <c r="AI3024" t="str">
        <f>"4150040"</f>
        <v>4150040</v>
      </c>
      <c r="AJ3024" t="s">
        <v>5661</v>
      </c>
      <c r="AK3024">
        <v>2831029048</v>
      </c>
      <c r="AL3024" t="s">
        <v>5662</v>
      </c>
      <c r="AM3024" t="s">
        <v>64</v>
      </c>
      <c r="AN3024" t="s">
        <v>65</v>
      </c>
      <c r="AO3024" t="s">
        <v>65</v>
      </c>
      <c r="AP3024" t="s">
        <v>65</v>
      </c>
      <c r="AQ3024">
        <v>1</v>
      </c>
      <c r="AR3024" t="s">
        <v>5644</v>
      </c>
      <c r="AS3024" t="s">
        <v>5645</v>
      </c>
      <c r="AT3024" t="s">
        <v>58</v>
      </c>
      <c r="AU3024" t="s">
        <v>68</v>
      </c>
      <c r="AV3024" t="s">
        <v>69</v>
      </c>
      <c r="AW3024" s="1">
        <v>25565</v>
      </c>
      <c r="AX3024">
        <v>2</v>
      </c>
    </row>
    <row r="3025" spans="1:50">
      <c r="A3025">
        <v>229910</v>
      </c>
      <c r="B3025" t="str">
        <f>"124562830"</f>
        <v>124562830</v>
      </c>
      <c r="C3025" t="s">
        <v>105</v>
      </c>
      <c r="D3025" t="s">
        <v>6042</v>
      </c>
      <c r="E3025" t="s">
        <v>670</v>
      </c>
      <c r="F3025" t="s">
        <v>72</v>
      </c>
      <c r="G3025" t="s">
        <v>52</v>
      </c>
      <c r="H3025" t="str">
        <f>"Παν.Κρητης 8 Καλλιθεα,"</f>
        <v>Παν.Κρητης 8 Καλλιθεα,</v>
      </c>
      <c r="I3025">
        <v>74100</v>
      </c>
      <c r="K3025">
        <v>6946245285</v>
      </c>
      <c r="M3025" t="s">
        <v>6043</v>
      </c>
      <c r="N3025" t="s">
        <v>282</v>
      </c>
      <c r="O3025" t="s">
        <v>283</v>
      </c>
      <c r="R3025" t="s">
        <v>57</v>
      </c>
      <c r="S3025">
        <v>4</v>
      </c>
      <c r="T3025">
        <v>4</v>
      </c>
      <c r="U3025" s="1">
        <v>40186</v>
      </c>
      <c r="V3025" t="s">
        <v>5644</v>
      </c>
      <c r="W3025" t="s">
        <v>5645</v>
      </c>
      <c r="X3025" t="s">
        <v>58</v>
      </c>
      <c r="Y3025">
        <v>21</v>
      </c>
      <c r="Z3025" t="s">
        <v>59</v>
      </c>
      <c r="AA3025" t="s">
        <v>59</v>
      </c>
      <c r="AB3025" t="s">
        <v>59</v>
      </c>
      <c r="AC3025" t="s">
        <v>59</v>
      </c>
      <c r="AD3025" t="s">
        <v>59</v>
      </c>
      <c r="AF3025" s="1">
        <v>40191</v>
      </c>
      <c r="AG3025" t="s">
        <v>125</v>
      </c>
      <c r="AH3025" t="s">
        <v>126</v>
      </c>
      <c r="AI3025" t="str">
        <f>"4101030"</f>
        <v>4101030</v>
      </c>
      <c r="AJ3025" t="s">
        <v>5646</v>
      </c>
      <c r="AK3025">
        <v>2831022359</v>
      </c>
      <c r="AL3025" t="s">
        <v>5647</v>
      </c>
      <c r="AM3025" t="s">
        <v>64</v>
      </c>
      <c r="AN3025" t="s">
        <v>65</v>
      </c>
      <c r="AO3025" t="s">
        <v>65</v>
      </c>
      <c r="AP3025" t="s">
        <v>65</v>
      </c>
      <c r="AQ3025">
        <v>1</v>
      </c>
      <c r="AR3025" t="s">
        <v>5644</v>
      </c>
      <c r="AS3025" t="s">
        <v>5645</v>
      </c>
      <c r="AT3025" t="s">
        <v>58</v>
      </c>
      <c r="AU3025" t="s">
        <v>68</v>
      </c>
      <c r="AV3025" t="s">
        <v>69</v>
      </c>
      <c r="AW3025" s="1">
        <v>29232</v>
      </c>
      <c r="AX3025">
        <v>2</v>
      </c>
    </row>
    <row r="3026" spans="1:50">
      <c r="A3026">
        <v>223370</v>
      </c>
      <c r="B3026" t="str">
        <f>"045964263"</f>
        <v>045964263</v>
      </c>
      <c r="C3026" t="s">
        <v>105</v>
      </c>
      <c r="D3026" t="s">
        <v>6044</v>
      </c>
      <c r="E3026" t="s">
        <v>72</v>
      </c>
      <c r="F3026" t="s">
        <v>95</v>
      </c>
      <c r="G3026" t="s">
        <v>714</v>
      </c>
      <c r="H3026" t="str">
        <f>"ΜΑΧ.ΣΧΟΛΗΣ ΧΩΡ/ΚΗΣ 2 ΡΕΘΥΜΝΟ"</f>
        <v>ΜΑΧ.ΣΧΟΛΗΣ ΧΩΡ/ΚΗΣ 2 ΡΕΘΥΜΝΟ</v>
      </c>
      <c r="I3026">
        <v>74100</v>
      </c>
      <c r="J3026">
        <v>2831029747</v>
      </c>
      <c r="K3026">
        <v>6946384848</v>
      </c>
      <c r="N3026" t="s">
        <v>232</v>
      </c>
      <c r="O3026" t="s">
        <v>233</v>
      </c>
      <c r="R3026" t="s">
        <v>57</v>
      </c>
      <c r="S3026">
        <v>11</v>
      </c>
      <c r="T3026">
        <v>775</v>
      </c>
      <c r="U3026" s="1">
        <v>39680</v>
      </c>
      <c r="V3026" t="s">
        <v>5644</v>
      </c>
      <c r="W3026" t="s">
        <v>5645</v>
      </c>
      <c r="X3026" t="s">
        <v>58</v>
      </c>
      <c r="Y3026">
        <v>21</v>
      </c>
      <c r="Z3026" t="s">
        <v>59</v>
      </c>
      <c r="AA3026" t="s">
        <v>59</v>
      </c>
      <c r="AB3026" t="s">
        <v>59</v>
      </c>
      <c r="AC3026" t="s">
        <v>59</v>
      </c>
      <c r="AD3026" t="s">
        <v>59</v>
      </c>
      <c r="AF3026" s="1">
        <v>39692</v>
      </c>
      <c r="AG3026" t="s">
        <v>125</v>
      </c>
      <c r="AH3026" t="s">
        <v>126</v>
      </c>
      <c r="AI3026" t="str">
        <f>"4102020"</f>
        <v>4102020</v>
      </c>
      <c r="AJ3026" t="s">
        <v>5761</v>
      </c>
      <c r="AK3026">
        <v>2831061491</v>
      </c>
      <c r="AL3026" t="s">
        <v>5762</v>
      </c>
      <c r="AM3026" t="s">
        <v>64</v>
      </c>
      <c r="AN3026" t="s">
        <v>65</v>
      </c>
      <c r="AO3026" t="s">
        <v>5657</v>
      </c>
      <c r="AP3026" t="s">
        <v>1437</v>
      </c>
      <c r="AQ3026">
        <v>1</v>
      </c>
      <c r="AR3026" t="s">
        <v>5644</v>
      </c>
      <c r="AS3026" t="s">
        <v>5645</v>
      </c>
      <c r="AT3026" t="s">
        <v>58</v>
      </c>
      <c r="AU3026" t="s">
        <v>68</v>
      </c>
      <c r="AV3026" t="s">
        <v>69</v>
      </c>
      <c r="AW3026" s="1">
        <v>25226</v>
      </c>
      <c r="AX3026">
        <v>2</v>
      </c>
    </row>
    <row r="3027" spans="1:50">
      <c r="A3027">
        <v>210071</v>
      </c>
      <c r="B3027" t="str">
        <f>"046847634"</f>
        <v>046847634</v>
      </c>
      <c r="C3027" t="s">
        <v>105</v>
      </c>
      <c r="D3027" t="s">
        <v>6045</v>
      </c>
      <c r="E3027" t="s">
        <v>108</v>
      </c>
      <c r="F3027" t="s">
        <v>311</v>
      </c>
      <c r="G3027" t="s">
        <v>658</v>
      </c>
      <c r="H3027" t="str">
        <f>"ΜΗΤΡΟΠΟΥΛΟΥ 13 ΡΕΘΥΜΝΟ"</f>
        <v>ΜΗΤΡΟΠΟΥΛΟΥ 13 ΡΕΘΥΜΝΟ</v>
      </c>
      <c r="I3027">
        <v>74132</v>
      </c>
      <c r="J3027">
        <v>2831026185</v>
      </c>
      <c r="K3027">
        <v>6976038086</v>
      </c>
      <c r="N3027" t="s">
        <v>232</v>
      </c>
      <c r="O3027" t="s">
        <v>233</v>
      </c>
      <c r="R3027" t="s">
        <v>57</v>
      </c>
      <c r="S3027">
        <v>7</v>
      </c>
      <c r="T3027">
        <v>228</v>
      </c>
      <c r="U3027" s="1">
        <v>38608</v>
      </c>
      <c r="V3027" t="s">
        <v>5644</v>
      </c>
      <c r="W3027" t="s">
        <v>5645</v>
      </c>
      <c r="X3027" t="s">
        <v>58</v>
      </c>
      <c r="Y3027">
        <v>20</v>
      </c>
      <c r="Z3027" t="s">
        <v>59</v>
      </c>
      <c r="AA3027" t="s">
        <v>59</v>
      </c>
      <c r="AB3027" t="s">
        <v>59</v>
      </c>
      <c r="AC3027" t="s">
        <v>59</v>
      </c>
      <c r="AD3027" t="s">
        <v>452</v>
      </c>
      <c r="AE3027" s="1">
        <v>43708</v>
      </c>
      <c r="AF3027" s="1">
        <v>38609</v>
      </c>
      <c r="AG3027" t="s">
        <v>125</v>
      </c>
      <c r="AH3027" t="s">
        <v>126</v>
      </c>
      <c r="AI3027" t="str">
        <f>"4101030"</f>
        <v>4101030</v>
      </c>
      <c r="AJ3027" t="s">
        <v>5646</v>
      </c>
      <c r="AK3027">
        <v>2831022359</v>
      </c>
      <c r="AL3027" t="s">
        <v>5647</v>
      </c>
      <c r="AM3027" t="s">
        <v>64</v>
      </c>
      <c r="AN3027" t="s">
        <v>65</v>
      </c>
      <c r="AO3027" t="s">
        <v>65</v>
      </c>
      <c r="AP3027" t="s">
        <v>65</v>
      </c>
      <c r="AQ3027">
        <v>1</v>
      </c>
      <c r="AR3027" t="s">
        <v>5644</v>
      </c>
      <c r="AS3027" t="s">
        <v>5645</v>
      </c>
      <c r="AT3027" t="s">
        <v>58</v>
      </c>
      <c r="AU3027" t="s">
        <v>68</v>
      </c>
      <c r="AV3027" t="s">
        <v>69</v>
      </c>
      <c r="AW3027" s="1">
        <v>26120</v>
      </c>
      <c r="AX3027">
        <v>2</v>
      </c>
    </row>
    <row r="3028" spans="1:50">
      <c r="A3028">
        <v>210872</v>
      </c>
      <c r="B3028" t="str">
        <f>"118559962"</f>
        <v>118559962</v>
      </c>
      <c r="C3028" t="s">
        <v>105</v>
      </c>
      <c r="D3028" t="s">
        <v>6046</v>
      </c>
      <c r="E3028" t="s">
        <v>99</v>
      </c>
      <c r="F3028" t="s">
        <v>92</v>
      </c>
      <c r="G3028" t="s">
        <v>109</v>
      </c>
      <c r="H3028" t="str">
        <f>"ΓΕΡ. ΠΑΡΔΑΛΗ 30 ΧΑΝΙΑ"</f>
        <v>ΓΕΡ. ΠΑΡΔΑΛΗ 30 ΧΑΝΙΑ</v>
      </c>
      <c r="I3028">
        <v>73100</v>
      </c>
      <c r="J3028">
        <v>2821098539</v>
      </c>
      <c r="K3028">
        <v>6974302232</v>
      </c>
      <c r="N3028" t="s">
        <v>204</v>
      </c>
      <c r="O3028" t="s">
        <v>205</v>
      </c>
      <c r="R3028" t="s">
        <v>57</v>
      </c>
      <c r="S3028">
        <v>6</v>
      </c>
      <c r="T3028">
        <v>262</v>
      </c>
      <c r="U3028" s="1">
        <v>38629</v>
      </c>
      <c r="V3028" t="s">
        <v>5644</v>
      </c>
      <c r="W3028" t="s">
        <v>5645</v>
      </c>
      <c r="X3028" t="s">
        <v>58</v>
      </c>
      <c r="Y3028">
        <v>20</v>
      </c>
      <c r="Z3028" t="s">
        <v>59</v>
      </c>
      <c r="AA3028" t="s">
        <v>59</v>
      </c>
      <c r="AB3028" t="s">
        <v>59</v>
      </c>
      <c r="AC3028" t="s">
        <v>59</v>
      </c>
      <c r="AD3028" t="s">
        <v>59</v>
      </c>
      <c r="AF3028" s="1">
        <v>38631</v>
      </c>
      <c r="AG3028" t="s">
        <v>125</v>
      </c>
      <c r="AH3028" t="s">
        <v>126</v>
      </c>
      <c r="AI3028" t="str">
        <f>"4101020"</f>
        <v>4101020</v>
      </c>
      <c r="AJ3028" t="s">
        <v>5652</v>
      </c>
      <c r="AK3028">
        <v>2831023560</v>
      </c>
      <c r="AL3028" t="s">
        <v>5653</v>
      </c>
      <c r="AM3028" t="s">
        <v>64</v>
      </c>
      <c r="AN3028" t="s">
        <v>65</v>
      </c>
      <c r="AO3028" t="s">
        <v>65</v>
      </c>
      <c r="AP3028" t="s">
        <v>65</v>
      </c>
      <c r="AQ3028">
        <v>1</v>
      </c>
      <c r="AR3028" t="s">
        <v>5644</v>
      </c>
      <c r="AS3028" t="s">
        <v>5645</v>
      </c>
      <c r="AT3028" t="s">
        <v>58</v>
      </c>
      <c r="AU3028" t="s">
        <v>68</v>
      </c>
      <c r="AV3028" t="s">
        <v>132</v>
      </c>
      <c r="AW3028" s="1">
        <v>28269</v>
      </c>
      <c r="AX3028">
        <v>2</v>
      </c>
    </row>
    <row r="3029" spans="1:50">
      <c r="A3029">
        <v>200362</v>
      </c>
      <c r="B3029" t="str">
        <f>"066311357"</f>
        <v>066311357</v>
      </c>
      <c r="C3029" t="s">
        <v>105</v>
      </c>
      <c r="D3029" t="s">
        <v>6047</v>
      </c>
      <c r="E3029" t="s">
        <v>377</v>
      </c>
      <c r="F3029" t="s">
        <v>95</v>
      </c>
      <c r="G3029" t="s">
        <v>755</v>
      </c>
      <c r="H3029" t="str">
        <f>"ΔΥΡΡΑΧΙΟΥ 4 ΗΡΑΚΛΕΙΟ"</f>
        <v>ΔΥΡΡΑΧΙΟΥ 4 ΗΡΑΚΛΕΙΟ</v>
      </c>
      <c r="I3029">
        <v>71307</v>
      </c>
      <c r="J3029">
        <v>2892024651</v>
      </c>
      <c r="K3029">
        <v>6948501400</v>
      </c>
      <c r="N3029" t="s">
        <v>204</v>
      </c>
      <c r="O3029" t="s">
        <v>205</v>
      </c>
      <c r="R3029" t="s">
        <v>57</v>
      </c>
      <c r="S3029">
        <v>9</v>
      </c>
      <c r="T3029">
        <v>206</v>
      </c>
      <c r="U3029" s="1">
        <v>37866</v>
      </c>
      <c r="V3029" t="s">
        <v>5644</v>
      </c>
      <c r="W3029" t="s">
        <v>5645</v>
      </c>
      <c r="X3029" t="s">
        <v>58</v>
      </c>
      <c r="Y3029">
        <v>20</v>
      </c>
      <c r="Z3029" t="s">
        <v>59</v>
      </c>
      <c r="AA3029" t="s">
        <v>59</v>
      </c>
      <c r="AB3029" t="s">
        <v>59</v>
      </c>
      <c r="AC3029" t="s">
        <v>59</v>
      </c>
      <c r="AD3029" t="s">
        <v>59</v>
      </c>
      <c r="AF3029" s="1">
        <v>37866</v>
      </c>
      <c r="AG3029" t="s">
        <v>137</v>
      </c>
      <c r="AH3029" t="s">
        <v>138</v>
      </c>
      <c r="AI3029" t="str">
        <f>"4150040"</f>
        <v>4150040</v>
      </c>
      <c r="AJ3029" t="s">
        <v>5661</v>
      </c>
      <c r="AK3029">
        <v>2831029048</v>
      </c>
      <c r="AL3029" t="s">
        <v>5662</v>
      </c>
      <c r="AM3029" t="s">
        <v>64</v>
      </c>
      <c r="AN3029" t="s">
        <v>65</v>
      </c>
      <c r="AO3029" t="s">
        <v>65</v>
      </c>
      <c r="AP3029" t="s">
        <v>65</v>
      </c>
      <c r="AQ3029">
        <v>1</v>
      </c>
      <c r="AR3029" t="s">
        <v>5644</v>
      </c>
      <c r="AS3029" t="s">
        <v>5645</v>
      </c>
      <c r="AT3029" t="s">
        <v>58</v>
      </c>
      <c r="AU3029" t="s">
        <v>68</v>
      </c>
      <c r="AV3029" t="s">
        <v>69</v>
      </c>
      <c r="AW3029" s="1">
        <v>27738</v>
      </c>
      <c r="AX3029">
        <v>2</v>
      </c>
    </row>
    <row r="3030" spans="1:50">
      <c r="A3030">
        <v>167191</v>
      </c>
      <c r="B3030" t="str">
        <f>"065554382"</f>
        <v>065554382</v>
      </c>
      <c r="C3030" t="s">
        <v>50</v>
      </c>
      <c r="D3030" t="s">
        <v>6048</v>
      </c>
      <c r="E3030" t="s">
        <v>476</v>
      </c>
      <c r="F3030" t="s">
        <v>166</v>
      </c>
      <c r="G3030" t="s">
        <v>1452</v>
      </c>
      <c r="H3030" t="str">
        <f>"ΕΤΕΑΡΧΟΥ 3 ΡΕΘΥΜΝΟ"</f>
        <v>ΕΤΕΑΡΧΟΥ 3 ΡΕΘΥΜΝΟ</v>
      </c>
      <c r="I3030">
        <v>74132</v>
      </c>
      <c r="N3030" t="s">
        <v>204</v>
      </c>
      <c r="O3030" t="s">
        <v>205</v>
      </c>
      <c r="R3030" t="s">
        <v>57</v>
      </c>
      <c r="S3030">
        <v>12</v>
      </c>
      <c r="T3030">
        <v>154</v>
      </c>
      <c r="U3030" s="1">
        <v>34225</v>
      </c>
      <c r="V3030" t="s">
        <v>5644</v>
      </c>
      <c r="W3030" t="s">
        <v>5645</v>
      </c>
      <c r="X3030" t="s">
        <v>58</v>
      </c>
      <c r="Y3030">
        <v>18</v>
      </c>
      <c r="Z3030" t="s">
        <v>59</v>
      </c>
      <c r="AA3030" t="s">
        <v>59</v>
      </c>
      <c r="AB3030" t="s">
        <v>59</v>
      </c>
      <c r="AC3030" t="s">
        <v>59</v>
      </c>
      <c r="AD3030" t="s">
        <v>59</v>
      </c>
      <c r="AF3030" s="1">
        <v>34225</v>
      </c>
      <c r="AG3030" t="s">
        <v>125</v>
      </c>
      <c r="AH3030" t="s">
        <v>126</v>
      </c>
      <c r="AI3030" t="str">
        <f>"4101010"</f>
        <v>4101010</v>
      </c>
      <c r="AJ3030" t="s">
        <v>5814</v>
      </c>
      <c r="AK3030">
        <v>2831022283</v>
      </c>
      <c r="AL3030" t="s">
        <v>5815</v>
      </c>
      <c r="AM3030" t="s">
        <v>64</v>
      </c>
      <c r="AN3030" t="s">
        <v>65</v>
      </c>
      <c r="AO3030" t="s">
        <v>65</v>
      </c>
      <c r="AP3030" t="s">
        <v>65</v>
      </c>
      <c r="AQ3030">
        <v>1</v>
      </c>
      <c r="AR3030" t="s">
        <v>5644</v>
      </c>
      <c r="AS3030" t="s">
        <v>5645</v>
      </c>
      <c r="AT3030" t="s">
        <v>58</v>
      </c>
      <c r="AU3030" t="s">
        <v>68</v>
      </c>
      <c r="AV3030" t="s">
        <v>69</v>
      </c>
      <c r="AW3030" s="1">
        <v>25174</v>
      </c>
      <c r="AX3030">
        <v>2</v>
      </c>
    </row>
    <row r="3031" spans="1:50">
      <c r="B3031" t="str">
        <f>"114571892"</f>
        <v>114571892</v>
      </c>
      <c r="C3031" t="s">
        <v>105</v>
      </c>
      <c r="D3031" t="s">
        <v>6049</v>
      </c>
      <c r="E3031" t="s">
        <v>166</v>
      </c>
      <c r="F3031" t="s">
        <v>106</v>
      </c>
      <c r="G3031" t="s">
        <v>143</v>
      </c>
      <c r="H3031" t="str">
        <f>"ΠΕΤΡΟΥ ΕΜΜ. ΦΟΥΜΗ 24 ΗΡΑΚΛΕΙΟ"</f>
        <v>ΠΕΤΡΟΥ ΕΜΜ. ΦΟΥΜΗ 24 ΗΡΑΚΛΕΙΟ</v>
      </c>
      <c r="I3031">
        <v>71307</v>
      </c>
      <c r="J3031">
        <v>2810325237</v>
      </c>
      <c r="K3031">
        <v>6937646024</v>
      </c>
      <c r="N3031" t="s">
        <v>292</v>
      </c>
      <c r="O3031" t="s">
        <v>293</v>
      </c>
      <c r="R3031" t="s">
        <v>159</v>
      </c>
      <c r="S3031">
        <v>4</v>
      </c>
      <c r="T3031" t="s">
        <v>416</v>
      </c>
      <c r="U3031" s="1">
        <v>43349</v>
      </c>
      <c r="V3031" t="s">
        <v>5644</v>
      </c>
      <c r="W3031" t="s">
        <v>5645</v>
      </c>
      <c r="X3031" t="s">
        <v>58</v>
      </c>
      <c r="Y3031">
        <v>21</v>
      </c>
      <c r="Z3031" t="s">
        <v>59</v>
      </c>
      <c r="AA3031" t="s">
        <v>59</v>
      </c>
      <c r="AB3031" t="s">
        <v>59</v>
      </c>
      <c r="AC3031" t="s">
        <v>59</v>
      </c>
      <c r="AD3031" t="s">
        <v>59</v>
      </c>
      <c r="AF3031" s="1">
        <v>43349</v>
      </c>
      <c r="AG3031" t="s">
        <v>125</v>
      </c>
      <c r="AH3031" t="s">
        <v>126</v>
      </c>
      <c r="AI3031" t="str">
        <f>"4110010"</f>
        <v>4110010</v>
      </c>
      <c r="AJ3031" t="s">
        <v>5696</v>
      </c>
      <c r="AK3031">
        <v>2834061417</v>
      </c>
      <c r="AL3031" t="s">
        <v>5697</v>
      </c>
      <c r="AM3031" t="s">
        <v>64</v>
      </c>
      <c r="AN3031" t="s">
        <v>5672</v>
      </c>
      <c r="AO3031" t="s">
        <v>5698</v>
      </c>
      <c r="AP3031" t="s">
        <v>5699</v>
      </c>
      <c r="AQ3031">
        <v>3</v>
      </c>
      <c r="AR3031" t="s">
        <v>5644</v>
      </c>
      <c r="AS3031" t="s">
        <v>5645</v>
      </c>
      <c r="AT3031" t="s">
        <v>58</v>
      </c>
      <c r="AU3031" t="s">
        <v>419</v>
      </c>
      <c r="AV3031" t="s">
        <v>132</v>
      </c>
      <c r="AW3031" s="1">
        <v>28233</v>
      </c>
      <c r="AX3031">
        <v>2</v>
      </c>
    </row>
    <row r="3032" spans="1:50">
      <c r="A3032">
        <v>229404</v>
      </c>
      <c r="B3032" t="str">
        <f>"050144323"</f>
        <v>050144323</v>
      </c>
      <c r="C3032" t="s">
        <v>105</v>
      </c>
      <c r="D3032" t="s">
        <v>6050</v>
      </c>
      <c r="E3032" t="s">
        <v>510</v>
      </c>
      <c r="F3032" t="s">
        <v>450</v>
      </c>
      <c r="G3032" t="s">
        <v>787</v>
      </c>
      <c r="H3032" t="str">
        <f>"ΧΑΜΑΛΕΥΡΙ ΧΑΜΑΛΕΥΡΙ"</f>
        <v>ΧΑΜΑΛΕΥΡΙ ΧΑΜΑΛΕΥΡΙ</v>
      </c>
      <c r="I3032">
        <v>74100</v>
      </c>
      <c r="N3032" t="s">
        <v>6051</v>
      </c>
      <c r="O3032" t="s">
        <v>2714</v>
      </c>
      <c r="R3032" t="s">
        <v>57</v>
      </c>
      <c r="S3032">
        <v>8</v>
      </c>
      <c r="T3032" t="s">
        <v>6052</v>
      </c>
      <c r="U3032" s="1">
        <v>37865</v>
      </c>
      <c r="V3032" t="s">
        <v>5644</v>
      </c>
      <c r="W3032" t="s">
        <v>5645</v>
      </c>
      <c r="X3032" t="s">
        <v>58</v>
      </c>
      <c r="Y3032">
        <v>28</v>
      </c>
      <c r="Z3032" t="s">
        <v>59</v>
      </c>
      <c r="AA3032" t="s">
        <v>59</v>
      </c>
      <c r="AB3032" t="s">
        <v>59</v>
      </c>
      <c r="AC3032" t="s">
        <v>59</v>
      </c>
      <c r="AD3032" t="s">
        <v>59</v>
      </c>
      <c r="AF3032" s="1">
        <v>37865</v>
      </c>
      <c r="AG3032" t="s">
        <v>137</v>
      </c>
      <c r="AH3032" t="s">
        <v>138</v>
      </c>
      <c r="AI3032" t="str">
        <f>"4150040"</f>
        <v>4150040</v>
      </c>
      <c r="AJ3032" t="s">
        <v>5661</v>
      </c>
      <c r="AK3032">
        <v>2831029048</v>
      </c>
      <c r="AL3032" t="s">
        <v>5662</v>
      </c>
      <c r="AM3032" t="s">
        <v>64</v>
      </c>
      <c r="AN3032" t="s">
        <v>65</v>
      </c>
      <c r="AO3032" t="s">
        <v>65</v>
      </c>
      <c r="AP3032" t="s">
        <v>65</v>
      </c>
      <c r="AQ3032">
        <v>1</v>
      </c>
      <c r="AR3032" t="s">
        <v>5644</v>
      </c>
      <c r="AS3032" t="s">
        <v>5645</v>
      </c>
      <c r="AT3032" t="s">
        <v>58</v>
      </c>
      <c r="AU3032" t="s">
        <v>68</v>
      </c>
      <c r="AV3032" t="s">
        <v>69</v>
      </c>
      <c r="AW3032" s="1">
        <v>20391</v>
      </c>
      <c r="AX3032">
        <v>2</v>
      </c>
    </row>
    <row r="3033" spans="1:50">
      <c r="A3033">
        <v>195878</v>
      </c>
      <c r="B3033" t="str">
        <f>"073088077"</f>
        <v>073088077</v>
      </c>
      <c r="C3033" t="s">
        <v>105</v>
      </c>
      <c r="D3033" t="s">
        <v>6053</v>
      </c>
      <c r="E3033" t="s">
        <v>153</v>
      </c>
      <c r="F3033" t="s">
        <v>72</v>
      </c>
      <c r="G3033" t="s">
        <v>221</v>
      </c>
      <c r="H3033" t="str">
        <f>"ΕΜ. ΓΕΝΕΡΑΛΗ 1 ΡΕΘΥΜΝΟ"</f>
        <v>ΕΜ. ΓΕΝΕΡΑΛΗ 1 ΡΕΘΥΜΝΟ</v>
      </c>
      <c r="I3033">
        <v>74100</v>
      </c>
      <c r="J3033">
        <v>2831042935</v>
      </c>
      <c r="K3033">
        <v>6936769034</v>
      </c>
      <c r="M3033" t="s">
        <v>6054</v>
      </c>
      <c r="N3033" t="s">
        <v>176</v>
      </c>
      <c r="O3033" t="s">
        <v>177</v>
      </c>
      <c r="R3033" t="s">
        <v>57</v>
      </c>
      <c r="S3033">
        <v>10</v>
      </c>
      <c r="T3033">
        <v>194</v>
      </c>
      <c r="U3033" s="1">
        <v>37497</v>
      </c>
      <c r="V3033" t="s">
        <v>5644</v>
      </c>
      <c r="W3033" t="s">
        <v>5645</v>
      </c>
      <c r="X3033" t="s">
        <v>58</v>
      </c>
      <c r="Y3033">
        <v>20</v>
      </c>
      <c r="Z3033" t="s">
        <v>59</v>
      </c>
      <c r="AA3033" t="s">
        <v>59</v>
      </c>
      <c r="AB3033" t="s">
        <v>59</v>
      </c>
      <c r="AC3033" t="s">
        <v>59</v>
      </c>
      <c r="AD3033" t="s">
        <v>59</v>
      </c>
      <c r="AF3033" s="1">
        <v>37501</v>
      </c>
      <c r="AG3033" t="s">
        <v>125</v>
      </c>
      <c r="AH3033" t="s">
        <v>126</v>
      </c>
      <c r="AI3033" t="str">
        <f>"4101030"</f>
        <v>4101030</v>
      </c>
      <c r="AJ3033" t="s">
        <v>5646</v>
      </c>
      <c r="AK3033">
        <v>2831022359</v>
      </c>
      <c r="AL3033" t="s">
        <v>5647</v>
      </c>
      <c r="AM3033" t="s">
        <v>64</v>
      </c>
      <c r="AN3033" t="s">
        <v>65</v>
      </c>
      <c r="AO3033" t="s">
        <v>65</v>
      </c>
      <c r="AP3033" t="s">
        <v>65</v>
      </c>
      <c r="AQ3033">
        <v>1</v>
      </c>
      <c r="AR3033" t="s">
        <v>5644</v>
      </c>
      <c r="AS3033" t="s">
        <v>5645</v>
      </c>
      <c r="AT3033" t="s">
        <v>58</v>
      </c>
      <c r="AU3033" t="s">
        <v>68</v>
      </c>
      <c r="AV3033" t="s">
        <v>69</v>
      </c>
      <c r="AW3033" s="1">
        <v>26440</v>
      </c>
      <c r="AX3033">
        <v>2</v>
      </c>
    </row>
    <row r="3034" spans="1:50">
      <c r="A3034">
        <v>196760</v>
      </c>
      <c r="B3034" t="str">
        <f>"045642760"</f>
        <v>045642760</v>
      </c>
      <c r="C3034" t="s">
        <v>50</v>
      </c>
      <c r="D3034" t="s">
        <v>6055</v>
      </c>
      <c r="E3034" t="s">
        <v>109</v>
      </c>
      <c r="F3034" t="s">
        <v>377</v>
      </c>
      <c r="G3034" t="s">
        <v>563</v>
      </c>
      <c r="H3034" t="str">
        <f>"ΠΑΠΑΝΙΚΟΛΑΟΥ 26 ΚΑΛΛΙΘΕΑΣ"</f>
        <v>ΠΑΠΑΝΙΚΟΛΑΟΥ 26 ΚΑΛΛΙΘΕΑΣ</v>
      </c>
      <c r="I3034">
        <v>74133</v>
      </c>
      <c r="J3034">
        <v>2831056076</v>
      </c>
      <c r="K3034">
        <v>6937428589</v>
      </c>
      <c r="M3034" t="s">
        <v>6056</v>
      </c>
      <c r="N3034" t="s">
        <v>146</v>
      </c>
      <c r="O3034" t="s">
        <v>147</v>
      </c>
      <c r="R3034" t="s">
        <v>57</v>
      </c>
      <c r="S3034">
        <v>7</v>
      </c>
      <c r="T3034">
        <v>206</v>
      </c>
      <c r="U3034" s="1">
        <v>37866</v>
      </c>
      <c r="V3034" t="s">
        <v>5644</v>
      </c>
      <c r="W3034" t="s">
        <v>5645</v>
      </c>
      <c r="X3034" t="s">
        <v>58</v>
      </c>
      <c r="Y3034">
        <v>20</v>
      </c>
      <c r="Z3034" t="s">
        <v>59</v>
      </c>
      <c r="AA3034" t="s">
        <v>59</v>
      </c>
      <c r="AB3034" t="s">
        <v>59</v>
      </c>
      <c r="AC3034" t="s">
        <v>59</v>
      </c>
      <c r="AD3034" t="s">
        <v>59</v>
      </c>
      <c r="AF3034" s="1">
        <v>37869</v>
      </c>
      <c r="AG3034" t="s">
        <v>148</v>
      </c>
      <c r="AH3034" t="s">
        <v>149</v>
      </c>
      <c r="AI3034" t="str">
        <f>"4144001"</f>
        <v>4144001</v>
      </c>
      <c r="AJ3034" t="s">
        <v>5718</v>
      </c>
      <c r="AK3034">
        <v>2831033277</v>
      </c>
      <c r="AL3034" t="s">
        <v>5719</v>
      </c>
      <c r="AM3034" t="s">
        <v>64</v>
      </c>
      <c r="AN3034" t="s">
        <v>65</v>
      </c>
      <c r="AO3034" t="s">
        <v>5720</v>
      </c>
      <c r="AP3034" t="s">
        <v>5721</v>
      </c>
      <c r="AQ3034">
        <v>1</v>
      </c>
      <c r="AR3034" t="s">
        <v>5644</v>
      </c>
      <c r="AS3034" t="s">
        <v>5645</v>
      </c>
      <c r="AT3034" t="s">
        <v>58</v>
      </c>
      <c r="AU3034" t="s">
        <v>68</v>
      </c>
      <c r="AV3034" t="s">
        <v>357</v>
      </c>
      <c r="AW3034" s="1">
        <v>25368</v>
      </c>
      <c r="AX3034">
        <v>2</v>
      </c>
    </row>
    <row r="3035" spans="1:50">
      <c r="A3035">
        <v>207254</v>
      </c>
      <c r="B3035" t="str">
        <f>"029373008"</f>
        <v>029373008</v>
      </c>
      <c r="C3035" t="s">
        <v>105</v>
      </c>
      <c r="D3035" t="s">
        <v>6057</v>
      </c>
      <c r="E3035" t="s">
        <v>92</v>
      </c>
      <c r="F3035" t="s">
        <v>564</v>
      </c>
      <c r="G3035" t="s">
        <v>950</v>
      </c>
      <c r="H3035" t="str">
        <f>"ΜΑΧΗΣ ΠΟΤΑΜΩΝ 4 ΡΕΘΥΜΝΟ"</f>
        <v>ΜΑΧΗΣ ΠΟΤΑΜΩΝ 4 ΡΕΘΥΜΝΟ</v>
      </c>
      <c r="I3035">
        <v>74100</v>
      </c>
      <c r="J3035">
        <v>2831056434</v>
      </c>
      <c r="K3035">
        <v>6948518965</v>
      </c>
      <c r="N3035" t="s">
        <v>232</v>
      </c>
      <c r="O3035" t="s">
        <v>233</v>
      </c>
      <c r="R3035" t="s">
        <v>57</v>
      </c>
      <c r="S3035">
        <v>9</v>
      </c>
      <c r="T3035">
        <v>218</v>
      </c>
      <c r="U3035" s="1">
        <v>38596</v>
      </c>
      <c r="V3035" t="s">
        <v>5644</v>
      </c>
      <c r="W3035" t="s">
        <v>5645</v>
      </c>
      <c r="X3035" t="s">
        <v>58</v>
      </c>
      <c r="Y3035">
        <v>20</v>
      </c>
      <c r="Z3035" t="s">
        <v>59</v>
      </c>
      <c r="AA3035" t="s">
        <v>59</v>
      </c>
      <c r="AB3035" t="s">
        <v>59</v>
      </c>
      <c r="AC3035" t="s">
        <v>59</v>
      </c>
      <c r="AD3035" t="s">
        <v>59</v>
      </c>
      <c r="AF3035" s="1">
        <v>38596</v>
      </c>
      <c r="AG3035" t="s">
        <v>148</v>
      </c>
      <c r="AH3035" t="s">
        <v>149</v>
      </c>
      <c r="AI3035" t="str">
        <f>"4151020"</f>
        <v>4151020</v>
      </c>
      <c r="AJ3035" t="s">
        <v>5725</v>
      </c>
      <c r="AK3035">
        <v>2831022475</v>
      </c>
      <c r="AL3035" t="s">
        <v>5726</v>
      </c>
      <c r="AM3035" t="s">
        <v>64</v>
      </c>
      <c r="AN3035" t="s">
        <v>65</v>
      </c>
      <c r="AO3035" t="s">
        <v>65</v>
      </c>
      <c r="AP3035" t="s">
        <v>65</v>
      </c>
      <c r="AQ3035">
        <v>1</v>
      </c>
      <c r="AR3035" t="s">
        <v>5644</v>
      </c>
      <c r="AS3035" t="s">
        <v>5645</v>
      </c>
      <c r="AT3035" t="s">
        <v>58</v>
      </c>
      <c r="AU3035" t="s">
        <v>68</v>
      </c>
      <c r="AV3035" t="s">
        <v>69</v>
      </c>
      <c r="AW3035" s="1">
        <v>22094</v>
      </c>
      <c r="AX3035">
        <v>2</v>
      </c>
    </row>
    <row r="3036" spans="1:50">
      <c r="A3036">
        <v>217508</v>
      </c>
      <c r="B3036" t="str">
        <f>"046200586"</f>
        <v>046200586</v>
      </c>
      <c r="C3036" t="s">
        <v>50</v>
      </c>
      <c r="D3036" t="s">
        <v>6058</v>
      </c>
      <c r="E3036" t="s">
        <v>964</v>
      </c>
      <c r="F3036" t="s">
        <v>3483</v>
      </c>
      <c r="G3036" t="s">
        <v>1164</v>
      </c>
      <c r="H3036" t="str">
        <f>"Τ.Θ. 40 ΠΗΓΙΑΝΟΣ ΚΑΜΠΟΣ"</f>
        <v>Τ.Θ. 40 ΠΗΓΙΑΝΟΣ ΚΑΜΠΟΣ</v>
      </c>
      <c r="I3036">
        <v>74100</v>
      </c>
      <c r="J3036">
        <v>2831072290</v>
      </c>
      <c r="K3036">
        <v>6932429928</v>
      </c>
      <c r="N3036" t="s">
        <v>146</v>
      </c>
      <c r="O3036" t="s">
        <v>147</v>
      </c>
      <c r="R3036" t="s">
        <v>57</v>
      </c>
      <c r="S3036">
        <v>6</v>
      </c>
      <c r="T3036">
        <v>599</v>
      </c>
      <c r="U3036" s="1">
        <v>39310</v>
      </c>
      <c r="V3036" t="s">
        <v>5644</v>
      </c>
      <c r="W3036" t="s">
        <v>5645</v>
      </c>
      <c r="X3036" t="s">
        <v>58</v>
      </c>
      <c r="Y3036">
        <v>20</v>
      </c>
      <c r="Z3036" t="s">
        <v>59</v>
      </c>
      <c r="AA3036" t="s">
        <v>59</v>
      </c>
      <c r="AB3036" t="s">
        <v>59</v>
      </c>
      <c r="AC3036" t="s">
        <v>59</v>
      </c>
      <c r="AD3036" t="s">
        <v>59</v>
      </c>
      <c r="AF3036" s="1">
        <v>39328</v>
      </c>
      <c r="AG3036" t="s">
        <v>125</v>
      </c>
      <c r="AH3036" t="s">
        <v>126</v>
      </c>
      <c r="AI3036" t="str">
        <f>"4110015"</f>
        <v>4110015</v>
      </c>
      <c r="AJ3036" t="s">
        <v>5723</v>
      </c>
      <c r="AK3036">
        <v>2831022741</v>
      </c>
      <c r="AL3036" t="s">
        <v>5724</v>
      </c>
      <c r="AM3036" t="s">
        <v>64</v>
      </c>
      <c r="AN3036" t="s">
        <v>65</v>
      </c>
      <c r="AO3036" t="s">
        <v>5720</v>
      </c>
      <c r="AP3036" t="s">
        <v>5721</v>
      </c>
      <c r="AQ3036">
        <v>1</v>
      </c>
      <c r="AR3036" t="s">
        <v>5644</v>
      </c>
      <c r="AS3036" t="s">
        <v>5645</v>
      </c>
      <c r="AT3036" t="s">
        <v>58</v>
      </c>
      <c r="AU3036" t="s">
        <v>68</v>
      </c>
      <c r="AV3036" t="s">
        <v>69</v>
      </c>
      <c r="AW3036" s="1">
        <v>24242</v>
      </c>
      <c r="AX3036">
        <v>2</v>
      </c>
    </row>
    <row r="3037" spans="1:50">
      <c r="A3037">
        <v>703584</v>
      </c>
      <c r="B3037" t="str">
        <f>"138564127"</f>
        <v>138564127</v>
      </c>
      <c r="C3037" t="s">
        <v>50</v>
      </c>
      <c r="D3037" t="s">
        <v>6059</v>
      </c>
      <c r="E3037" t="s">
        <v>316</v>
      </c>
      <c r="F3037" t="s">
        <v>99</v>
      </c>
      <c r="G3037" t="s">
        <v>931</v>
      </c>
      <c r="H3037" t="str">
        <f>"ΓΡΑΜΜΑΤΙΚΟΥ ΑΙΤΩΛ/ΝΙΑΣ ΔΗΜΟΣ ΑΡΑΚΥΝΘΟΥ"</f>
        <v>ΓΡΑΜΜΑΤΙΚΟΥ ΑΙΤΩΛ/ΝΙΑΣ ΔΗΜΟΣ ΑΡΑΚΥΝΘΟΥ</v>
      </c>
      <c r="I3037">
        <v>30015</v>
      </c>
      <c r="J3037">
        <v>2635041536</v>
      </c>
      <c r="K3037">
        <v>6932964098</v>
      </c>
      <c r="M3037" t="s">
        <v>6060</v>
      </c>
      <c r="N3037" t="s">
        <v>146</v>
      </c>
      <c r="O3037" t="s">
        <v>147</v>
      </c>
      <c r="R3037" t="s">
        <v>57</v>
      </c>
      <c r="S3037">
        <v>5</v>
      </c>
      <c r="T3037">
        <v>925</v>
      </c>
      <c r="U3037" s="1">
        <v>41158</v>
      </c>
      <c r="V3037" t="s">
        <v>5644</v>
      </c>
      <c r="W3037" t="s">
        <v>5645</v>
      </c>
      <c r="X3037" t="s">
        <v>58</v>
      </c>
      <c r="Y3037">
        <v>21</v>
      </c>
      <c r="Z3037" t="s">
        <v>59</v>
      </c>
      <c r="AA3037" t="s">
        <v>59</v>
      </c>
      <c r="AB3037" t="s">
        <v>59</v>
      </c>
      <c r="AC3037" t="s">
        <v>59</v>
      </c>
      <c r="AD3037" t="s">
        <v>59</v>
      </c>
      <c r="AF3037" s="1">
        <v>41159</v>
      </c>
      <c r="AG3037" t="s">
        <v>148</v>
      </c>
      <c r="AH3037" t="s">
        <v>149</v>
      </c>
      <c r="AI3037" t="str">
        <f>"4154010"</f>
        <v>4154010</v>
      </c>
      <c r="AJ3037" t="s">
        <v>5687</v>
      </c>
      <c r="AK3037">
        <v>2834023300</v>
      </c>
      <c r="AL3037" t="s">
        <v>5688</v>
      </c>
      <c r="AM3037" t="s">
        <v>64</v>
      </c>
      <c r="AN3037" t="s">
        <v>5672</v>
      </c>
      <c r="AO3037" t="s">
        <v>5673</v>
      </c>
      <c r="AP3037" t="s">
        <v>5689</v>
      </c>
      <c r="AQ3037">
        <v>2</v>
      </c>
      <c r="AR3037" t="s">
        <v>5644</v>
      </c>
      <c r="AS3037" t="s">
        <v>5645</v>
      </c>
      <c r="AT3037" t="s">
        <v>58</v>
      </c>
      <c r="AU3037" t="s">
        <v>68</v>
      </c>
      <c r="AV3037" t="s">
        <v>69</v>
      </c>
      <c r="AW3037" s="1">
        <v>29116</v>
      </c>
      <c r="AX3037">
        <v>2</v>
      </c>
    </row>
    <row r="3038" spans="1:50">
      <c r="A3038">
        <v>222159</v>
      </c>
      <c r="B3038" t="str">
        <f>"066537021"</f>
        <v>066537021</v>
      </c>
      <c r="C3038" t="s">
        <v>50</v>
      </c>
      <c r="D3038" t="s">
        <v>6059</v>
      </c>
      <c r="E3038" t="s">
        <v>155</v>
      </c>
      <c r="F3038" t="s">
        <v>99</v>
      </c>
      <c r="G3038" t="s">
        <v>2851</v>
      </c>
      <c r="H3038" t="str">
        <f>"Ι. ΓΡΥΠΑΡΗ 5 ΡΕΘΥΜΝΟ"</f>
        <v>Ι. ΓΡΥΠΑΡΗ 5 ΡΕΘΥΜΝΟ</v>
      </c>
      <c r="I3038">
        <v>74100</v>
      </c>
      <c r="J3038">
        <v>2831056092</v>
      </c>
      <c r="K3038">
        <v>6944892376</v>
      </c>
      <c r="M3038" t="s">
        <v>6061</v>
      </c>
      <c r="N3038" t="s">
        <v>146</v>
      </c>
      <c r="O3038" t="s">
        <v>147</v>
      </c>
      <c r="R3038" t="s">
        <v>57</v>
      </c>
      <c r="S3038">
        <v>5</v>
      </c>
      <c r="T3038">
        <v>775</v>
      </c>
      <c r="U3038" s="1">
        <v>39680</v>
      </c>
      <c r="V3038" t="s">
        <v>5644</v>
      </c>
      <c r="W3038" t="s">
        <v>5645</v>
      </c>
      <c r="X3038" t="s">
        <v>58</v>
      </c>
      <c r="Y3038">
        <v>21</v>
      </c>
      <c r="Z3038" t="s">
        <v>59</v>
      </c>
      <c r="AA3038" t="s">
        <v>59</v>
      </c>
      <c r="AB3038" t="s">
        <v>59</v>
      </c>
      <c r="AC3038" t="s">
        <v>59</v>
      </c>
      <c r="AD3038" t="s">
        <v>59</v>
      </c>
      <c r="AF3038" s="1">
        <v>39692</v>
      </c>
      <c r="AG3038" t="s">
        <v>125</v>
      </c>
      <c r="AH3038" t="s">
        <v>126</v>
      </c>
      <c r="AI3038" t="str">
        <f>"4135001"</f>
        <v>4135001</v>
      </c>
      <c r="AJ3038" t="s">
        <v>5729</v>
      </c>
      <c r="AK3038">
        <v>2831073938</v>
      </c>
      <c r="AL3038" t="s">
        <v>5730</v>
      </c>
      <c r="AM3038" t="s">
        <v>64</v>
      </c>
      <c r="AN3038" t="s">
        <v>65</v>
      </c>
      <c r="AO3038" t="s">
        <v>65</v>
      </c>
      <c r="AP3038" t="s">
        <v>65</v>
      </c>
      <c r="AQ3038">
        <v>1</v>
      </c>
      <c r="AR3038" t="s">
        <v>5644</v>
      </c>
      <c r="AS3038" t="s">
        <v>5645</v>
      </c>
      <c r="AT3038" t="s">
        <v>58</v>
      </c>
      <c r="AU3038" t="s">
        <v>68</v>
      </c>
      <c r="AV3038" t="s">
        <v>357</v>
      </c>
      <c r="AW3038" s="1">
        <v>27249</v>
      </c>
      <c r="AX3038">
        <v>2</v>
      </c>
    </row>
    <row r="3039" spans="1:50">
      <c r="A3039">
        <v>205711</v>
      </c>
      <c r="B3039" t="str">
        <f>"038451418"</f>
        <v>038451418</v>
      </c>
      <c r="C3039" t="s">
        <v>50</v>
      </c>
      <c r="D3039" t="s">
        <v>6062</v>
      </c>
      <c r="E3039" t="s">
        <v>83</v>
      </c>
      <c r="F3039" t="s">
        <v>95</v>
      </c>
      <c r="G3039" t="s">
        <v>5556</v>
      </c>
      <c r="H3039" t="str">
        <f>"ΙΔΟΜΕΝΕΩΣ ΚΑΛΑΘΑΣ"</f>
        <v>ΙΔΟΜΕΝΕΩΣ ΚΑΛΑΘΑΣ</v>
      </c>
      <c r="I3039">
        <v>73100</v>
      </c>
      <c r="N3039" t="s">
        <v>204</v>
      </c>
      <c r="O3039" t="s">
        <v>205</v>
      </c>
      <c r="R3039" t="s">
        <v>57</v>
      </c>
      <c r="S3039">
        <v>7</v>
      </c>
      <c r="T3039">
        <v>231</v>
      </c>
      <c r="U3039" s="1">
        <v>38230</v>
      </c>
      <c r="V3039" t="s">
        <v>5644</v>
      </c>
      <c r="W3039" t="s">
        <v>5645</v>
      </c>
      <c r="X3039" t="s">
        <v>58</v>
      </c>
      <c r="Y3039">
        <v>20</v>
      </c>
      <c r="Z3039" t="s">
        <v>59</v>
      </c>
      <c r="AA3039" t="s">
        <v>59</v>
      </c>
      <c r="AB3039" t="s">
        <v>59</v>
      </c>
      <c r="AC3039" t="s">
        <v>59</v>
      </c>
      <c r="AD3039" t="s">
        <v>59</v>
      </c>
      <c r="AF3039" s="1">
        <v>38231</v>
      </c>
      <c r="AG3039" t="s">
        <v>125</v>
      </c>
      <c r="AH3039" t="s">
        <v>294</v>
      </c>
      <c r="AI3039" t="str">
        <f>"4101045"</f>
        <v>4101045</v>
      </c>
      <c r="AJ3039" t="s">
        <v>5677</v>
      </c>
      <c r="AK3039">
        <v>2831027553</v>
      </c>
      <c r="AL3039" t="s">
        <v>5678</v>
      </c>
      <c r="AM3039" t="s">
        <v>64</v>
      </c>
      <c r="AN3039" t="s">
        <v>65</v>
      </c>
      <c r="AO3039" t="s">
        <v>65</v>
      </c>
      <c r="AP3039" t="s">
        <v>65</v>
      </c>
      <c r="AQ3039">
        <v>1</v>
      </c>
      <c r="AR3039" t="s">
        <v>5644</v>
      </c>
      <c r="AS3039" t="s">
        <v>5645</v>
      </c>
      <c r="AT3039" t="s">
        <v>58</v>
      </c>
      <c r="AU3039" t="s">
        <v>68</v>
      </c>
      <c r="AV3039" t="s">
        <v>69</v>
      </c>
      <c r="AW3039" s="1">
        <v>25668</v>
      </c>
      <c r="AX3039">
        <v>2</v>
      </c>
    </row>
    <row r="3040" spans="1:50">
      <c r="A3040">
        <v>226526</v>
      </c>
      <c r="B3040" t="str">
        <f>"113640204"</f>
        <v>113640204</v>
      </c>
      <c r="C3040" t="s">
        <v>50</v>
      </c>
      <c r="D3040" t="s">
        <v>6063</v>
      </c>
      <c r="E3040" t="s">
        <v>237</v>
      </c>
      <c r="F3040" t="s">
        <v>309</v>
      </c>
      <c r="G3040" t="s">
        <v>52</v>
      </c>
      <c r="H3040" t="str">
        <f>"ΒΑΣΙΛΑΚΗ 1 ΡΕΘΥΜΝΟ"</f>
        <v>ΒΑΣΙΛΑΚΗ 1 ΡΕΘΥΜΝΟ</v>
      </c>
      <c r="I3040">
        <v>74100</v>
      </c>
      <c r="J3040">
        <v>2831058028</v>
      </c>
      <c r="K3040">
        <v>6973554307</v>
      </c>
      <c r="N3040" t="s">
        <v>146</v>
      </c>
      <c r="O3040" t="s">
        <v>147</v>
      </c>
      <c r="R3040" t="s">
        <v>57</v>
      </c>
      <c r="S3040">
        <v>5</v>
      </c>
      <c r="T3040">
        <v>654</v>
      </c>
      <c r="U3040" s="1">
        <v>40043</v>
      </c>
      <c r="V3040" t="s">
        <v>5644</v>
      </c>
      <c r="W3040" t="s">
        <v>5645</v>
      </c>
      <c r="X3040" t="s">
        <v>58</v>
      </c>
      <c r="Y3040">
        <v>21</v>
      </c>
      <c r="Z3040" t="s">
        <v>59</v>
      </c>
      <c r="AA3040" t="s">
        <v>59</v>
      </c>
      <c r="AB3040" t="s">
        <v>59</v>
      </c>
      <c r="AC3040" t="s">
        <v>59</v>
      </c>
      <c r="AD3040" t="s">
        <v>59</v>
      </c>
      <c r="AF3040" s="1">
        <v>40057</v>
      </c>
      <c r="AG3040" t="s">
        <v>125</v>
      </c>
      <c r="AH3040" t="s">
        <v>126</v>
      </c>
      <c r="AI3040" t="str">
        <f>"4135001"</f>
        <v>4135001</v>
      </c>
      <c r="AJ3040" t="s">
        <v>5729</v>
      </c>
      <c r="AK3040">
        <v>2831073938</v>
      </c>
      <c r="AL3040" t="s">
        <v>5730</v>
      </c>
      <c r="AM3040" t="s">
        <v>64</v>
      </c>
      <c r="AN3040" t="s">
        <v>65</v>
      </c>
      <c r="AO3040" t="s">
        <v>65</v>
      </c>
      <c r="AP3040" t="s">
        <v>65</v>
      </c>
      <c r="AQ3040">
        <v>1</v>
      </c>
      <c r="AR3040" t="s">
        <v>5644</v>
      </c>
      <c r="AS3040" t="s">
        <v>5645</v>
      </c>
      <c r="AT3040" t="s">
        <v>58</v>
      </c>
      <c r="AU3040" t="s">
        <v>68</v>
      </c>
      <c r="AV3040" t="s">
        <v>357</v>
      </c>
      <c r="AW3040" s="1">
        <v>24793</v>
      </c>
      <c r="AX3040">
        <v>2</v>
      </c>
    </row>
    <row r="3041" spans="1:50">
      <c r="A3041">
        <v>145814</v>
      </c>
      <c r="B3041" t="str">
        <f>"032156431"</f>
        <v>032156431</v>
      </c>
      <c r="C3041" t="s">
        <v>50</v>
      </c>
      <c r="D3041" t="s">
        <v>6064</v>
      </c>
      <c r="E3041" t="s">
        <v>964</v>
      </c>
      <c r="F3041" t="s">
        <v>84</v>
      </c>
      <c r="G3041" t="s">
        <v>1752</v>
      </c>
      <c r="H3041" t="str">
        <f>"ΑΤΣΙΠΟΠΟΥΛΟ Τ.Θ. 917 ΡΕΘΥΜΝΟ"</f>
        <v>ΑΤΣΙΠΟΠΟΥΛΟ Τ.Θ. 917 ΡΕΘΥΜΝΟ</v>
      </c>
      <c r="I3041">
        <v>74100</v>
      </c>
      <c r="J3041">
        <v>2831023646</v>
      </c>
      <c r="K3041">
        <v>6932479101</v>
      </c>
      <c r="M3041" t="s">
        <v>6065</v>
      </c>
      <c r="N3041" t="s">
        <v>146</v>
      </c>
      <c r="O3041" t="s">
        <v>147</v>
      </c>
      <c r="R3041" t="s">
        <v>57</v>
      </c>
      <c r="S3041">
        <v>19</v>
      </c>
      <c r="T3041">
        <v>237</v>
      </c>
      <c r="U3041" s="1">
        <v>31293</v>
      </c>
      <c r="V3041" t="s">
        <v>5644</v>
      </c>
      <c r="W3041" t="s">
        <v>5645</v>
      </c>
      <c r="X3041" t="s">
        <v>58</v>
      </c>
      <c r="Y3041">
        <v>18</v>
      </c>
      <c r="Z3041" t="s">
        <v>59</v>
      </c>
      <c r="AA3041" t="s">
        <v>59</v>
      </c>
      <c r="AB3041" t="s">
        <v>59</v>
      </c>
      <c r="AC3041" t="s">
        <v>59</v>
      </c>
      <c r="AD3041" t="s">
        <v>59</v>
      </c>
      <c r="AF3041" s="1">
        <v>31565</v>
      </c>
      <c r="AG3041" t="s">
        <v>125</v>
      </c>
      <c r="AH3041" t="s">
        <v>126</v>
      </c>
      <c r="AI3041" t="str">
        <f>"4101030"</f>
        <v>4101030</v>
      </c>
      <c r="AJ3041" t="s">
        <v>5646</v>
      </c>
      <c r="AK3041">
        <v>2831022359</v>
      </c>
      <c r="AL3041" t="s">
        <v>5647</v>
      </c>
      <c r="AM3041" t="s">
        <v>64</v>
      </c>
      <c r="AN3041" t="s">
        <v>65</v>
      </c>
      <c r="AO3041" t="s">
        <v>65</v>
      </c>
      <c r="AP3041" t="s">
        <v>65</v>
      </c>
      <c r="AQ3041">
        <v>1</v>
      </c>
      <c r="AR3041" t="s">
        <v>5644</v>
      </c>
      <c r="AS3041" t="s">
        <v>5645</v>
      </c>
      <c r="AT3041" t="s">
        <v>58</v>
      </c>
      <c r="AU3041" t="s">
        <v>68</v>
      </c>
      <c r="AV3041" t="s">
        <v>69</v>
      </c>
      <c r="AW3041" s="1">
        <v>21664</v>
      </c>
      <c r="AX3041">
        <v>2</v>
      </c>
    </row>
    <row r="3042" spans="1:50">
      <c r="A3042">
        <v>150355</v>
      </c>
      <c r="B3042" t="str">
        <f>"065418556"</f>
        <v>065418556</v>
      </c>
      <c r="C3042" t="s">
        <v>50</v>
      </c>
      <c r="D3042" t="s">
        <v>6066</v>
      </c>
      <c r="E3042" t="s">
        <v>143</v>
      </c>
      <c r="F3042" t="s">
        <v>95</v>
      </c>
      <c r="G3042" t="s">
        <v>83</v>
      </c>
      <c r="H3042" t="str">
        <f>"ΡΟΥΣΣΟΣΠΙΤΙ ΡΕΘΥΜΝΟ"</f>
        <v>ΡΟΥΣΣΟΣΠΙΤΙ ΡΕΘΥΜΝΟ</v>
      </c>
      <c r="I3042">
        <v>74100</v>
      </c>
      <c r="J3042">
        <v>2831075284</v>
      </c>
      <c r="K3042">
        <v>6973012677</v>
      </c>
      <c r="N3042" t="s">
        <v>146</v>
      </c>
      <c r="O3042" t="s">
        <v>147</v>
      </c>
      <c r="R3042" t="s">
        <v>57</v>
      </c>
      <c r="S3042">
        <v>16</v>
      </c>
      <c r="T3042">
        <v>170</v>
      </c>
      <c r="U3042" s="1">
        <v>32016</v>
      </c>
      <c r="V3042" t="s">
        <v>5644</v>
      </c>
      <c r="W3042" t="s">
        <v>5645</v>
      </c>
      <c r="X3042" t="s">
        <v>58</v>
      </c>
      <c r="Y3042">
        <v>18</v>
      </c>
      <c r="Z3042" t="s">
        <v>59</v>
      </c>
      <c r="AA3042" t="s">
        <v>59</v>
      </c>
      <c r="AB3042" t="s">
        <v>59</v>
      </c>
      <c r="AC3042" t="s">
        <v>59</v>
      </c>
      <c r="AD3042" t="s">
        <v>59</v>
      </c>
      <c r="AF3042" s="1">
        <v>32016</v>
      </c>
      <c r="AG3042" t="s">
        <v>148</v>
      </c>
      <c r="AH3042" t="s">
        <v>149</v>
      </c>
      <c r="AI3042" t="str">
        <f>"4151020"</f>
        <v>4151020</v>
      </c>
      <c r="AJ3042" t="s">
        <v>5725</v>
      </c>
      <c r="AK3042">
        <v>2831022475</v>
      </c>
      <c r="AL3042" t="s">
        <v>5726</v>
      </c>
      <c r="AM3042" t="s">
        <v>64</v>
      </c>
      <c r="AN3042" t="s">
        <v>65</v>
      </c>
      <c r="AO3042" t="s">
        <v>65</v>
      </c>
      <c r="AP3042" t="s">
        <v>65</v>
      </c>
      <c r="AQ3042">
        <v>1</v>
      </c>
      <c r="AR3042" t="s">
        <v>5644</v>
      </c>
      <c r="AS3042" t="s">
        <v>5645</v>
      </c>
      <c r="AT3042" t="s">
        <v>58</v>
      </c>
      <c r="AU3042" t="s">
        <v>68</v>
      </c>
      <c r="AV3042" t="s">
        <v>69</v>
      </c>
      <c r="AW3042" s="1">
        <v>22160</v>
      </c>
      <c r="AX3042">
        <v>2</v>
      </c>
    </row>
    <row r="3043" spans="1:50">
      <c r="A3043">
        <v>150356</v>
      </c>
      <c r="B3043" t="str">
        <f>"063746568"</f>
        <v>063746568</v>
      </c>
      <c r="C3043" t="s">
        <v>50</v>
      </c>
      <c r="D3043" t="s">
        <v>6067</v>
      </c>
      <c r="E3043" t="s">
        <v>6068</v>
      </c>
      <c r="F3043" t="s">
        <v>84</v>
      </c>
      <c r="G3043" t="s">
        <v>215</v>
      </c>
      <c r="H3043" t="str">
        <f>"ΑΤΣΙΠΟΠΟΥΛΟ ΡΕΘΥΜΝΟ"</f>
        <v>ΑΤΣΙΠΟΠΟΥΛΟ ΡΕΘΥΜΝΟ</v>
      </c>
      <c r="I3043">
        <v>74100</v>
      </c>
      <c r="J3043">
        <v>2831025850</v>
      </c>
      <c r="K3043">
        <v>6942432019</v>
      </c>
      <c r="N3043" t="s">
        <v>146</v>
      </c>
      <c r="O3043" t="s">
        <v>147</v>
      </c>
      <c r="R3043" t="s">
        <v>57</v>
      </c>
      <c r="S3043">
        <v>16</v>
      </c>
      <c r="T3043">
        <v>170</v>
      </c>
      <c r="U3043" s="1">
        <v>32016</v>
      </c>
      <c r="V3043" t="s">
        <v>5644</v>
      </c>
      <c r="W3043" t="s">
        <v>5645</v>
      </c>
      <c r="X3043" t="s">
        <v>58</v>
      </c>
      <c r="Y3043">
        <v>18</v>
      </c>
      <c r="Z3043" t="s">
        <v>59</v>
      </c>
      <c r="AA3043" t="s">
        <v>59</v>
      </c>
      <c r="AB3043" t="s">
        <v>59</v>
      </c>
      <c r="AC3043" t="s">
        <v>59</v>
      </c>
      <c r="AD3043" t="s">
        <v>59</v>
      </c>
      <c r="AF3043" s="1">
        <v>32016</v>
      </c>
      <c r="AG3043" t="s">
        <v>148</v>
      </c>
      <c r="AH3043" t="s">
        <v>149</v>
      </c>
      <c r="AI3043" t="str">
        <f>"4151020"</f>
        <v>4151020</v>
      </c>
      <c r="AJ3043" t="s">
        <v>5725</v>
      </c>
      <c r="AK3043">
        <v>2831022475</v>
      </c>
      <c r="AL3043" t="s">
        <v>5726</v>
      </c>
      <c r="AM3043" t="s">
        <v>64</v>
      </c>
      <c r="AN3043" t="s">
        <v>65</v>
      </c>
      <c r="AO3043" t="s">
        <v>65</v>
      </c>
      <c r="AP3043" t="s">
        <v>65</v>
      </c>
      <c r="AQ3043">
        <v>1</v>
      </c>
      <c r="AR3043" t="s">
        <v>5644</v>
      </c>
      <c r="AS3043" t="s">
        <v>5645</v>
      </c>
      <c r="AT3043" t="s">
        <v>58</v>
      </c>
      <c r="AU3043" t="s">
        <v>68</v>
      </c>
      <c r="AV3043" t="s">
        <v>69</v>
      </c>
      <c r="AW3043" s="1">
        <v>21637</v>
      </c>
      <c r="AX3043">
        <v>2</v>
      </c>
    </row>
    <row r="3044" spans="1:50">
      <c r="A3044">
        <v>227040</v>
      </c>
      <c r="B3044" t="str">
        <f>"105938647"</f>
        <v>105938647</v>
      </c>
      <c r="C3044" t="s">
        <v>105</v>
      </c>
      <c r="D3044" t="s">
        <v>6069</v>
      </c>
      <c r="E3044" t="s">
        <v>383</v>
      </c>
      <c r="F3044" t="s">
        <v>53</v>
      </c>
      <c r="G3044" t="s">
        <v>801</v>
      </c>
      <c r="H3044" t="str">
        <f>"Ν. Ασκούτση 35 "</f>
        <v xml:space="preserve">Ν. Ασκούτση 35 </v>
      </c>
      <c r="I3044">
        <v>74100</v>
      </c>
      <c r="J3044">
        <v>2261024745</v>
      </c>
      <c r="K3044">
        <v>6974156952</v>
      </c>
      <c r="L3044">
        <v>2831102634</v>
      </c>
      <c r="M3044" t="s">
        <v>6070</v>
      </c>
      <c r="N3044" t="s">
        <v>292</v>
      </c>
      <c r="O3044" t="s">
        <v>293</v>
      </c>
      <c r="R3044" t="s">
        <v>57</v>
      </c>
      <c r="S3044">
        <v>4</v>
      </c>
      <c r="T3044">
        <v>654</v>
      </c>
      <c r="U3044" s="1">
        <v>40043</v>
      </c>
      <c r="V3044" t="s">
        <v>5644</v>
      </c>
      <c r="W3044" t="s">
        <v>5645</v>
      </c>
      <c r="X3044" t="s">
        <v>58</v>
      </c>
      <c r="Y3044">
        <v>21</v>
      </c>
      <c r="Z3044" t="s">
        <v>59</v>
      </c>
      <c r="AA3044" t="s">
        <v>59</v>
      </c>
      <c r="AB3044" t="s">
        <v>59</v>
      </c>
      <c r="AC3044" t="s">
        <v>59</v>
      </c>
      <c r="AD3044" t="s">
        <v>59</v>
      </c>
      <c r="AF3044" s="1">
        <v>40044</v>
      </c>
      <c r="AG3044" t="s">
        <v>137</v>
      </c>
      <c r="AH3044" t="s">
        <v>138</v>
      </c>
      <c r="AI3044" t="str">
        <f>"4152001"</f>
        <v>4152001</v>
      </c>
      <c r="AJ3044" t="s">
        <v>5665</v>
      </c>
      <c r="AK3044">
        <v>2831024375</v>
      </c>
      <c r="AL3044" t="s">
        <v>5666</v>
      </c>
      <c r="AM3044" t="s">
        <v>64</v>
      </c>
      <c r="AN3044" t="s">
        <v>65</v>
      </c>
      <c r="AO3044" t="s">
        <v>65</v>
      </c>
      <c r="AP3044" t="s">
        <v>65</v>
      </c>
      <c r="AQ3044">
        <v>1</v>
      </c>
      <c r="AR3044" t="s">
        <v>5644</v>
      </c>
      <c r="AS3044" t="s">
        <v>5645</v>
      </c>
      <c r="AT3044" t="s">
        <v>58</v>
      </c>
      <c r="AU3044" t="s">
        <v>68</v>
      </c>
      <c r="AV3044" t="s">
        <v>69</v>
      </c>
      <c r="AW3044" s="1">
        <v>27525</v>
      </c>
      <c r="AX3044">
        <v>2</v>
      </c>
    </row>
    <row r="3045" spans="1:50">
      <c r="A3045">
        <v>206633</v>
      </c>
      <c r="B3045" t="str">
        <f>"055181092"</f>
        <v>055181092</v>
      </c>
      <c r="C3045" t="s">
        <v>50</v>
      </c>
      <c r="D3045" t="s">
        <v>6071</v>
      </c>
      <c r="E3045" t="s">
        <v>103</v>
      </c>
      <c r="F3045" t="s">
        <v>1506</v>
      </c>
      <c r="G3045" t="s">
        <v>1954</v>
      </c>
      <c r="H3045" t="str">
        <f>"ΑΝΩΓΕΙΑ ΡΕΘΥΜΝΟΥ ΑΝΩΓΕΙΑ"</f>
        <v>ΑΝΩΓΕΙΑ ΡΕΘΥΜΝΟΥ ΑΝΩΓΕΙΑ</v>
      </c>
      <c r="I3045">
        <v>74051</v>
      </c>
      <c r="J3045">
        <v>2834031562</v>
      </c>
      <c r="K3045">
        <v>6944830322</v>
      </c>
      <c r="N3045" t="s">
        <v>146</v>
      </c>
      <c r="O3045" t="s">
        <v>147</v>
      </c>
      <c r="R3045" t="s">
        <v>57</v>
      </c>
      <c r="S3045">
        <v>9</v>
      </c>
      <c r="T3045">
        <v>218</v>
      </c>
      <c r="U3045" s="1">
        <v>38596</v>
      </c>
      <c r="V3045" t="s">
        <v>5644</v>
      </c>
      <c r="W3045" t="s">
        <v>5645</v>
      </c>
      <c r="X3045" t="s">
        <v>58</v>
      </c>
      <c r="Y3045">
        <v>20</v>
      </c>
      <c r="Z3045" t="s">
        <v>59</v>
      </c>
      <c r="AA3045" t="s">
        <v>59</v>
      </c>
      <c r="AB3045" t="s">
        <v>59</v>
      </c>
      <c r="AC3045" t="s">
        <v>59</v>
      </c>
      <c r="AD3045" t="s">
        <v>59</v>
      </c>
      <c r="AF3045" s="1">
        <v>38596</v>
      </c>
      <c r="AG3045" t="s">
        <v>125</v>
      </c>
      <c r="AH3045" t="s">
        <v>126</v>
      </c>
      <c r="AI3045" t="str">
        <f>"4102010"</f>
        <v>4102010</v>
      </c>
      <c r="AJ3045" t="s">
        <v>5735</v>
      </c>
      <c r="AK3045">
        <v>2834031331</v>
      </c>
      <c r="AL3045" t="s">
        <v>5736</v>
      </c>
      <c r="AM3045" t="s">
        <v>64</v>
      </c>
      <c r="AN3045" t="s">
        <v>5737</v>
      </c>
      <c r="AO3045" t="s">
        <v>5737</v>
      </c>
      <c r="AP3045" t="s">
        <v>5737</v>
      </c>
      <c r="AQ3045">
        <v>3</v>
      </c>
      <c r="AR3045" t="s">
        <v>5644</v>
      </c>
      <c r="AS3045" t="s">
        <v>5645</v>
      </c>
      <c r="AT3045" t="s">
        <v>58</v>
      </c>
      <c r="AU3045" t="s">
        <v>68</v>
      </c>
      <c r="AV3045" t="s">
        <v>69</v>
      </c>
      <c r="AW3045" s="1">
        <v>25109</v>
      </c>
      <c r="AX3045">
        <v>2</v>
      </c>
    </row>
    <row r="3046" spans="1:50">
      <c r="A3046">
        <v>204380</v>
      </c>
      <c r="B3046" t="str">
        <f>"046605774"</f>
        <v>046605774</v>
      </c>
      <c r="C3046" t="s">
        <v>105</v>
      </c>
      <c r="D3046" t="s">
        <v>6072</v>
      </c>
      <c r="E3046" t="s">
        <v>84</v>
      </c>
      <c r="F3046" t="s">
        <v>99</v>
      </c>
      <c r="G3046" t="s">
        <v>237</v>
      </c>
      <c r="H3046" t="str">
        <f>"Ηγουμένου Γαβριήλ 45 ΡΕΘΥΜΝΟ"</f>
        <v>Ηγουμένου Γαβριήλ 45 ΡΕΘΥΜΝΟ</v>
      </c>
      <c r="I3046">
        <v>74100</v>
      </c>
      <c r="J3046">
        <v>2831051110</v>
      </c>
      <c r="K3046">
        <v>6974100387</v>
      </c>
      <c r="N3046" t="s">
        <v>135</v>
      </c>
      <c r="O3046" t="s">
        <v>136</v>
      </c>
      <c r="R3046" t="s">
        <v>57</v>
      </c>
      <c r="S3046">
        <v>8</v>
      </c>
      <c r="T3046">
        <v>231</v>
      </c>
      <c r="U3046" s="1">
        <v>38230</v>
      </c>
      <c r="V3046" t="s">
        <v>5644</v>
      </c>
      <c r="W3046" t="s">
        <v>5645</v>
      </c>
      <c r="X3046" t="s">
        <v>58</v>
      </c>
      <c r="Y3046">
        <v>20</v>
      </c>
      <c r="Z3046" t="s">
        <v>59</v>
      </c>
      <c r="AA3046" t="s">
        <v>59</v>
      </c>
      <c r="AB3046" t="s">
        <v>59</v>
      </c>
      <c r="AC3046" t="s">
        <v>59</v>
      </c>
      <c r="AD3046" t="s">
        <v>59</v>
      </c>
      <c r="AF3046" s="1">
        <v>38231</v>
      </c>
      <c r="AG3046" t="s">
        <v>137</v>
      </c>
      <c r="AH3046" t="s">
        <v>138</v>
      </c>
      <c r="AI3046" t="str">
        <f>"4152001"</f>
        <v>4152001</v>
      </c>
      <c r="AJ3046" t="s">
        <v>5665</v>
      </c>
      <c r="AK3046">
        <v>2831024375</v>
      </c>
      <c r="AL3046" t="s">
        <v>5666</v>
      </c>
      <c r="AM3046" t="s">
        <v>64</v>
      </c>
      <c r="AN3046" t="s">
        <v>65</v>
      </c>
      <c r="AO3046" t="s">
        <v>65</v>
      </c>
      <c r="AP3046" t="s">
        <v>65</v>
      </c>
      <c r="AQ3046">
        <v>1</v>
      </c>
      <c r="AR3046" t="s">
        <v>5644</v>
      </c>
      <c r="AS3046" t="s">
        <v>5645</v>
      </c>
      <c r="AT3046" t="s">
        <v>58</v>
      </c>
      <c r="AU3046" t="s">
        <v>68</v>
      </c>
      <c r="AV3046" t="s">
        <v>69</v>
      </c>
      <c r="AW3046" s="1">
        <v>24697</v>
      </c>
      <c r="AX3046">
        <v>2</v>
      </c>
    </row>
    <row r="3047" spans="1:50">
      <c r="A3047">
        <v>226067</v>
      </c>
      <c r="B3047" t="str">
        <f>"077075085"</f>
        <v>077075085</v>
      </c>
      <c r="C3047" t="s">
        <v>50</v>
      </c>
      <c r="D3047" t="s">
        <v>6073</v>
      </c>
      <c r="E3047" t="s">
        <v>600</v>
      </c>
      <c r="F3047" t="s">
        <v>99</v>
      </c>
      <c r="G3047" t="s">
        <v>237</v>
      </c>
      <c r="H3047" t="str">
        <f>"Παγκαλοχώρι 67 ΡΕΘΥΜΝΟ"</f>
        <v>Παγκαλοχώρι 67 ΡΕΘΥΜΝΟ</v>
      </c>
      <c r="I3047">
        <v>74100</v>
      </c>
      <c r="J3047">
        <v>2831071361</v>
      </c>
      <c r="K3047">
        <v>6945059340</v>
      </c>
      <c r="N3047" t="s">
        <v>257</v>
      </c>
      <c r="O3047" t="s">
        <v>258</v>
      </c>
      <c r="R3047" t="s">
        <v>57</v>
      </c>
      <c r="S3047">
        <v>8</v>
      </c>
      <c r="T3047">
        <v>231</v>
      </c>
      <c r="U3047" s="1">
        <v>38230</v>
      </c>
      <c r="V3047" t="s">
        <v>5644</v>
      </c>
      <c r="W3047" t="s">
        <v>5645</v>
      </c>
      <c r="X3047" t="s">
        <v>58</v>
      </c>
      <c r="Y3047">
        <v>20</v>
      </c>
      <c r="Z3047" t="s">
        <v>59</v>
      </c>
      <c r="AA3047" t="s">
        <v>59</v>
      </c>
      <c r="AB3047" t="s">
        <v>59</v>
      </c>
      <c r="AC3047" t="s">
        <v>59</v>
      </c>
      <c r="AD3047" t="s">
        <v>59</v>
      </c>
      <c r="AF3047" s="1">
        <v>38231</v>
      </c>
      <c r="AG3047" t="s">
        <v>148</v>
      </c>
      <c r="AH3047" t="s">
        <v>149</v>
      </c>
      <c r="AI3047" t="str">
        <f>"4151030"</f>
        <v>4151030</v>
      </c>
      <c r="AJ3047" t="s">
        <v>5681</v>
      </c>
      <c r="AK3047">
        <v>2831023422</v>
      </c>
      <c r="AL3047" t="s">
        <v>5682</v>
      </c>
      <c r="AM3047" t="s">
        <v>64</v>
      </c>
      <c r="AN3047" t="s">
        <v>65</v>
      </c>
      <c r="AO3047" t="s">
        <v>65</v>
      </c>
      <c r="AP3047" t="s">
        <v>65</v>
      </c>
      <c r="AQ3047">
        <v>1</v>
      </c>
      <c r="AR3047" t="s">
        <v>5644</v>
      </c>
      <c r="AS3047" t="s">
        <v>5645</v>
      </c>
      <c r="AT3047" t="s">
        <v>58</v>
      </c>
      <c r="AU3047" t="s">
        <v>68</v>
      </c>
      <c r="AV3047" t="s">
        <v>357</v>
      </c>
      <c r="AW3047" s="1">
        <v>24388</v>
      </c>
      <c r="AX3047">
        <v>2</v>
      </c>
    </row>
    <row r="3048" spans="1:50">
      <c r="A3048">
        <v>223928</v>
      </c>
      <c r="B3048" t="str">
        <f>"118960827"</f>
        <v>118960827</v>
      </c>
      <c r="C3048" t="s">
        <v>50</v>
      </c>
      <c r="D3048" t="s">
        <v>6074</v>
      </c>
      <c r="E3048" t="s">
        <v>52</v>
      </c>
      <c r="F3048" t="s">
        <v>154</v>
      </c>
      <c r="G3048" t="s">
        <v>1189</v>
      </c>
      <c r="H3048" t="str">
        <f>"ΨΥΛΛΑΚΗ 24 ΧΑΝΙΑ"</f>
        <v>ΨΥΛΛΑΚΗ 24 ΧΑΝΙΑ</v>
      </c>
      <c r="I3048">
        <v>73100</v>
      </c>
      <c r="J3048">
        <v>2821059920</v>
      </c>
      <c r="K3048">
        <v>6942446560</v>
      </c>
      <c r="M3048" t="s">
        <v>6075</v>
      </c>
      <c r="N3048" t="s">
        <v>478</v>
      </c>
      <c r="O3048" t="s">
        <v>479</v>
      </c>
      <c r="R3048" t="s">
        <v>57</v>
      </c>
      <c r="S3048">
        <v>7</v>
      </c>
      <c r="T3048">
        <v>775</v>
      </c>
      <c r="U3048" s="1">
        <v>39680</v>
      </c>
      <c r="V3048" t="s">
        <v>5644</v>
      </c>
      <c r="W3048" t="s">
        <v>5645</v>
      </c>
      <c r="X3048" t="s">
        <v>58</v>
      </c>
      <c r="Y3048">
        <v>21</v>
      </c>
      <c r="Z3048" t="s">
        <v>59</v>
      </c>
      <c r="AA3048" t="s">
        <v>59</v>
      </c>
      <c r="AB3048" t="s">
        <v>59</v>
      </c>
      <c r="AC3048" t="s">
        <v>59</v>
      </c>
      <c r="AD3048" t="s">
        <v>59</v>
      </c>
      <c r="AF3048" s="1">
        <v>39680</v>
      </c>
      <c r="AG3048" t="s">
        <v>125</v>
      </c>
      <c r="AH3048" t="s">
        <v>126</v>
      </c>
      <c r="AI3048" t="str">
        <f>"4110010"</f>
        <v>4110010</v>
      </c>
      <c r="AJ3048" t="s">
        <v>5696</v>
      </c>
      <c r="AK3048">
        <v>2834061417</v>
      </c>
      <c r="AL3048" t="s">
        <v>5697</v>
      </c>
      <c r="AM3048" t="s">
        <v>64</v>
      </c>
      <c r="AN3048" t="s">
        <v>5672</v>
      </c>
      <c r="AO3048" t="s">
        <v>5698</v>
      </c>
      <c r="AP3048" t="s">
        <v>5699</v>
      </c>
      <c r="AQ3048">
        <v>3</v>
      </c>
      <c r="AR3048" t="s">
        <v>5644</v>
      </c>
      <c r="AS3048" t="s">
        <v>5645</v>
      </c>
      <c r="AT3048" t="s">
        <v>58</v>
      </c>
      <c r="AU3048" t="s">
        <v>68</v>
      </c>
      <c r="AV3048" t="s">
        <v>132</v>
      </c>
      <c r="AW3048" s="1">
        <v>27618</v>
      </c>
      <c r="AX3048">
        <v>2</v>
      </c>
    </row>
    <row r="3049" spans="1:50">
      <c r="B3049" t="str">
        <f>"103502101"</f>
        <v>103502101</v>
      </c>
      <c r="C3049" t="s">
        <v>50</v>
      </c>
      <c r="D3049" t="s">
        <v>6076</v>
      </c>
      <c r="E3049" t="s">
        <v>83</v>
      </c>
      <c r="F3049" t="s">
        <v>72</v>
      </c>
      <c r="G3049" t="s">
        <v>237</v>
      </c>
      <c r="H3049" t="str">
        <f>"Μ. ΚΑΛΟΜΟΙΡΗ 14 ΗΡΑΚΛΕΙΟ"</f>
        <v>Μ. ΚΑΛΟΜΟΙΡΗ 14 ΗΡΑΚΛΕΙΟ</v>
      </c>
      <c r="I3049">
        <v>71500</v>
      </c>
      <c r="J3049">
        <v>2810234605</v>
      </c>
      <c r="K3049">
        <v>6945158497</v>
      </c>
      <c r="N3049" t="s">
        <v>204</v>
      </c>
      <c r="O3049" t="s">
        <v>205</v>
      </c>
      <c r="R3049" t="s">
        <v>159</v>
      </c>
      <c r="S3049">
        <v>4</v>
      </c>
      <c r="T3049" t="s">
        <v>873</v>
      </c>
      <c r="U3049" s="1">
        <v>43377</v>
      </c>
      <c r="V3049" t="s">
        <v>5644</v>
      </c>
      <c r="W3049" t="s">
        <v>5645</v>
      </c>
      <c r="X3049" t="s">
        <v>58</v>
      </c>
      <c r="Y3049">
        <v>23</v>
      </c>
      <c r="Z3049" t="s">
        <v>59</v>
      </c>
      <c r="AA3049" t="s">
        <v>59</v>
      </c>
      <c r="AB3049" t="s">
        <v>59</v>
      </c>
      <c r="AC3049" t="s">
        <v>59</v>
      </c>
      <c r="AD3049" t="s">
        <v>59</v>
      </c>
      <c r="AF3049" s="1">
        <v>43377</v>
      </c>
      <c r="AG3049" t="s">
        <v>125</v>
      </c>
      <c r="AH3049" t="s">
        <v>126</v>
      </c>
      <c r="AI3049" t="str">
        <f>"4104010"</f>
        <v>4104010</v>
      </c>
      <c r="AJ3049" t="s">
        <v>5745</v>
      </c>
      <c r="AK3049">
        <v>2834022235</v>
      </c>
      <c r="AL3049" t="s">
        <v>5746</v>
      </c>
      <c r="AM3049" t="s">
        <v>64</v>
      </c>
      <c r="AN3049" t="s">
        <v>5672</v>
      </c>
      <c r="AO3049" t="s">
        <v>5673</v>
      </c>
      <c r="AP3049" t="s">
        <v>5689</v>
      </c>
      <c r="AQ3049">
        <v>2</v>
      </c>
      <c r="AR3049" t="s">
        <v>5644</v>
      </c>
      <c r="AS3049" t="s">
        <v>5645</v>
      </c>
      <c r="AT3049" t="s">
        <v>58</v>
      </c>
      <c r="AU3049" t="s">
        <v>164</v>
      </c>
      <c r="AV3049" t="s">
        <v>132</v>
      </c>
      <c r="AW3049" s="1">
        <v>28371</v>
      </c>
      <c r="AX3049">
        <v>2</v>
      </c>
    </row>
    <row r="3050" spans="1:50">
      <c r="B3050" t="str">
        <f>"108297280"</f>
        <v>108297280</v>
      </c>
      <c r="C3050" t="s">
        <v>105</v>
      </c>
      <c r="D3050" t="s">
        <v>6077</v>
      </c>
      <c r="E3050" t="s">
        <v>900</v>
      </c>
      <c r="F3050" t="s">
        <v>99</v>
      </c>
      <c r="G3050" t="s">
        <v>1114</v>
      </c>
      <c r="H3050" t="str">
        <f>"ΦΛΩΡΙΝΑΣ "</f>
        <v xml:space="preserve">ΦΛΩΡΙΝΑΣ </v>
      </c>
      <c r="I3050">
        <v>53073</v>
      </c>
      <c r="J3050">
        <v>2386071186</v>
      </c>
      <c r="K3050">
        <v>6938978193</v>
      </c>
      <c r="M3050" t="s">
        <v>6078</v>
      </c>
      <c r="N3050" t="s">
        <v>168</v>
      </c>
      <c r="O3050" t="s">
        <v>169</v>
      </c>
      <c r="R3050" t="s">
        <v>159</v>
      </c>
      <c r="S3050">
        <v>3</v>
      </c>
      <c r="T3050" t="s">
        <v>416</v>
      </c>
      <c r="U3050" s="1">
        <v>43349</v>
      </c>
      <c r="V3050" t="s">
        <v>5644</v>
      </c>
      <c r="W3050" t="s">
        <v>5645</v>
      </c>
      <c r="X3050" t="s">
        <v>58</v>
      </c>
      <c r="Y3050">
        <v>23</v>
      </c>
      <c r="Z3050" t="s">
        <v>59</v>
      </c>
      <c r="AA3050" t="s">
        <v>59</v>
      </c>
      <c r="AB3050" t="s">
        <v>59</v>
      </c>
      <c r="AC3050" t="s">
        <v>59</v>
      </c>
      <c r="AD3050" t="s">
        <v>59</v>
      </c>
      <c r="AF3050" s="1">
        <v>43349</v>
      </c>
      <c r="AG3050" t="s">
        <v>137</v>
      </c>
      <c r="AH3050" t="s">
        <v>469</v>
      </c>
      <c r="AI3050" t="str">
        <f>"4150045"</f>
        <v>4150045</v>
      </c>
      <c r="AJ3050" t="s">
        <v>5871</v>
      </c>
      <c r="AK3050">
        <v>2831022248</v>
      </c>
      <c r="AL3050" t="s">
        <v>5872</v>
      </c>
      <c r="AM3050" t="s">
        <v>64</v>
      </c>
      <c r="AN3050" t="s">
        <v>65</v>
      </c>
      <c r="AO3050" t="s">
        <v>65</v>
      </c>
      <c r="AP3050" t="s">
        <v>65</v>
      </c>
      <c r="AQ3050">
        <v>1</v>
      </c>
      <c r="AR3050" t="s">
        <v>5644</v>
      </c>
      <c r="AS3050" t="s">
        <v>5645</v>
      </c>
      <c r="AT3050" t="s">
        <v>58</v>
      </c>
      <c r="AU3050" t="s">
        <v>419</v>
      </c>
      <c r="AV3050" t="s">
        <v>132</v>
      </c>
      <c r="AW3050" s="1">
        <v>30474</v>
      </c>
      <c r="AX3050">
        <v>2</v>
      </c>
    </row>
    <row r="3051" spans="1:50">
      <c r="A3051">
        <v>178505</v>
      </c>
      <c r="B3051" t="str">
        <f>"057057193"</f>
        <v>057057193</v>
      </c>
      <c r="C3051" t="s">
        <v>50</v>
      </c>
      <c r="D3051" t="s">
        <v>2057</v>
      </c>
      <c r="E3051" t="s">
        <v>52</v>
      </c>
      <c r="F3051" t="s">
        <v>108</v>
      </c>
      <c r="G3051" t="s">
        <v>250</v>
      </c>
      <c r="H3051" t="str">
        <f>"ΑΝΩΓΕΙΑ ΡΕΘΥΜΝΟ"</f>
        <v>ΑΝΩΓΕΙΑ ΡΕΘΥΜΝΟ</v>
      </c>
      <c r="I3051">
        <v>74051</v>
      </c>
      <c r="J3051">
        <v>2834031175</v>
      </c>
      <c r="K3051">
        <v>6979773560</v>
      </c>
      <c r="M3051" t="s">
        <v>6079</v>
      </c>
      <c r="N3051" t="s">
        <v>232</v>
      </c>
      <c r="O3051" t="s">
        <v>233</v>
      </c>
      <c r="R3051" t="s">
        <v>57</v>
      </c>
      <c r="S3051">
        <v>11</v>
      </c>
      <c r="T3051">
        <v>181</v>
      </c>
      <c r="U3051" s="1">
        <v>35674</v>
      </c>
      <c r="V3051" t="s">
        <v>5644</v>
      </c>
      <c r="W3051" t="s">
        <v>5645</v>
      </c>
      <c r="X3051" t="s">
        <v>58</v>
      </c>
      <c r="Y3051">
        <v>18</v>
      </c>
      <c r="Z3051" t="s">
        <v>59</v>
      </c>
      <c r="AA3051" t="s">
        <v>59</v>
      </c>
      <c r="AB3051" t="s">
        <v>59</v>
      </c>
      <c r="AC3051" t="s">
        <v>59</v>
      </c>
      <c r="AD3051" t="s">
        <v>59</v>
      </c>
      <c r="AF3051" s="1">
        <v>35674</v>
      </c>
      <c r="AG3051" t="s">
        <v>125</v>
      </c>
      <c r="AH3051" t="s">
        <v>126</v>
      </c>
      <c r="AI3051" t="str">
        <f>"4104010"</f>
        <v>4104010</v>
      </c>
      <c r="AJ3051" t="s">
        <v>5745</v>
      </c>
      <c r="AK3051">
        <v>2834022235</v>
      </c>
      <c r="AL3051" t="s">
        <v>5746</v>
      </c>
      <c r="AM3051" t="s">
        <v>64</v>
      </c>
      <c r="AN3051" t="s">
        <v>5672</v>
      </c>
      <c r="AO3051" t="s">
        <v>5673</v>
      </c>
      <c r="AP3051" t="s">
        <v>5689</v>
      </c>
      <c r="AQ3051">
        <v>2</v>
      </c>
      <c r="AR3051" t="s">
        <v>5644</v>
      </c>
      <c r="AS3051" t="s">
        <v>5645</v>
      </c>
      <c r="AT3051" t="s">
        <v>58</v>
      </c>
      <c r="AU3051" t="s">
        <v>68</v>
      </c>
      <c r="AV3051" t="s">
        <v>69</v>
      </c>
      <c r="AW3051" s="1">
        <v>22472</v>
      </c>
      <c r="AX3051">
        <v>2</v>
      </c>
    </row>
    <row r="3052" spans="1:50">
      <c r="B3052" t="str">
        <f>"105758060"</f>
        <v>105758060</v>
      </c>
      <c r="C3052" t="s">
        <v>105</v>
      </c>
      <c r="D3052" t="s">
        <v>6080</v>
      </c>
      <c r="E3052" t="s">
        <v>99</v>
      </c>
      <c r="F3052" t="s">
        <v>581</v>
      </c>
      <c r="G3052" t="s">
        <v>396</v>
      </c>
      <c r="H3052" t="str">
        <f>"ΓΑΛΛΟΥ ΡΕΘΥΜΝΟ"</f>
        <v>ΓΑΛΛΟΥ ΡΕΘΥΜΝΟ</v>
      </c>
      <c r="I3052">
        <v>74100</v>
      </c>
      <c r="J3052">
        <v>2831059249</v>
      </c>
      <c r="K3052">
        <v>6977495140</v>
      </c>
      <c r="M3052" t="s">
        <v>6081</v>
      </c>
      <c r="N3052" t="s">
        <v>292</v>
      </c>
      <c r="O3052" t="s">
        <v>293</v>
      </c>
      <c r="R3052" t="s">
        <v>159</v>
      </c>
      <c r="S3052">
        <v>3</v>
      </c>
      <c r="T3052" t="s">
        <v>416</v>
      </c>
      <c r="U3052" s="1">
        <v>43349</v>
      </c>
      <c r="V3052" t="s">
        <v>5644</v>
      </c>
      <c r="W3052" t="s">
        <v>5645</v>
      </c>
      <c r="X3052" t="s">
        <v>58</v>
      </c>
      <c r="Y3052">
        <v>23</v>
      </c>
      <c r="Z3052" t="s">
        <v>59</v>
      </c>
      <c r="AA3052" t="s">
        <v>59</v>
      </c>
      <c r="AB3052" t="s">
        <v>59</v>
      </c>
      <c r="AC3052" t="s">
        <v>59</v>
      </c>
      <c r="AD3052" t="s">
        <v>59</v>
      </c>
      <c r="AF3052" s="1">
        <v>43349</v>
      </c>
      <c r="AG3052" t="s">
        <v>125</v>
      </c>
      <c r="AH3052" t="s">
        <v>126</v>
      </c>
      <c r="AI3052" t="str">
        <f>"4101020"</f>
        <v>4101020</v>
      </c>
      <c r="AJ3052" t="s">
        <v>5652</v>
      </c>
      <c r="AK3052">
        <v>2831023560</v>
      </c>
      <c r="AL3052" t="s">
        <v>5653</v>
      </c>
      <c r="AM3052" t="s">
        <v>64</v>
      </c>
      <c r="AN3052" t="s">
        <v>65</v>
      </c>
      <c r="AO3052" t="s">
        <v>65</v>
      </c>
      <c r="AP3052" t="s">
        <v>65</v>
      </c>
      <c r="AQ3052">
        <v>1</v>
      </c>
      <c r="AR3052" t="s">
        <v>5644</v>
      </c>
      <c r="AS3052" t="s">
        <v>5645</v>
      </c>
      <c r="AT3052" t="s">
        <v>58</v>
      </c>
      <c r="AU3052" t="s">
        <v>419</v>
      </c>
      <c r="AV3052" t="s">
        <v>132</v>
      </c>
      <c r="AW3052" s="1">
        <v>29705</v>
      </c>
      <c r="AX3052">
        <v>2</v>
      </c>
    </row>
    <row r="3053" spans="1:50">
      <c r="A3053">
        <v>211379</v>
      </c>
      <c r="B3053" t="str">
        <f>"064409943"</f>
        <v>064409943</v>
      </c>
      <c r="C3053" t="s">
        <v>105</v>
      </c>
      <c r="D3053" t="s">
        <v>6082</v>
      </c>
      <c r="E3053" t="s">
        <v>53</v>
      </c>
      <c r="F3053" t="s">
        <v>95</v>
      </c>
      <c r="G3053" t="s">
        <v>610</v>
      </c>
      <c r="H3053" t="str">
        <f>"Ν. ΒΑΡΔΙΝΟΓΙΑΝΝΗ 18 "</f>
        <v xml:space="preserve">Ν. ΒΑΡΔΙΝΟΓΙΑΝΝΗ 18 </v>
      </c>
      <c r="I3053">
        <v>74100</v>
      </c>
      <c r="K3053">
        <v>6974430911</v>
      </c>
      <c r="N3053" t="s">
        <v>168</v>
      </c>
      <c r="O3053" t="s">
        <v>169</v>
      </c>
      <c r="R3053" t="s">
        <v>57</v>
      </c>
      <c r="S3053">
        <v>8</v>
      </c>
      <c r="T3053">
        <v>306</v>
      </c>
      <c r="U3053" s="1">
        <v>38659</v>
      </c>
      <c r="V3053" t="s">
        <v>5644</v>
      </c>
      <c r="W3053" t="s">
        <v>5645</v>
      </c>
      <c r="X3053" t="s">
        <v>58</v>
      </c>
      <c r="Y3053">
        <v>20</v>
      </c>
      <c r="Z3053" t="s">
        <v>59</v>
      </c>
      <c r="AA3053" t="s">
        <v>59</v>
      </c>
      <c r="AB3053" t="s">
        <v>59</v>
      </c>
      <c r="AC3053" t="s">
        <v>59</v>
      </c>
      <c r="AD3053" t="s">
        <v>59</v>
      </c>
      <c r="AF3053" s="1">
        <v>38677</v>
      </c>
      <c r="AG3053" t="s">
        <v>137</v>
      </c>
      <c r="AH3053" t="s">
        <v>138</v>
      </c>
      <c r="AI3053" t="str">
        <f>"4150040"</f>
        <v>4150040</v>
      </c>
      <c r="AJ3053" t="s">
        <v>5661</v>
      </c>
      <c r="AK3053">
        <v>2831029048</v>
      </c>
      <c r="AL3053" t="s">
        <v>5662</v>
      </c>
      <c r="AM3053" t="s">
        <v>64</v>
      </c>
      <c r="AN3053" t="s">
        <v>65</v>
      </c>
      <c r="AO3053" t="s">
        <v>65</v>
      </c>
      <c r="AP3053" t="s">
        <v>65</v>
      </c>
      <c r="AQ3053">
        <v>1</v>
      </c>
      <c r="AR3053" t="s">
        <v>5644</v>
      </c>
      <c r="AS3053" t="s">
        <v>5645</v>
      </c>
      <c r="AT3053" t="s">
        <v>58</v>
      </c>
      <c r="AU3053" t="s">
        <v>68</v>
      </c>
      <c r="AV3053" t="s">
        <v>69</v>
      </c>
      <c r="AW3053" s="1">
        <v>25602</v>
      </c>
      <c r="AX3053">
        <v>2</v>
      </c>
    </row>
    <row r="3054" spans="1:50">
      <c r="A3054">
        <v>159260</v>
      </c>
      <c r="B3054" t="str">
        <f>"069116000"</f>
        <v>069116000</v>
      </c>
      <c r="C3054" t="s">
        <v>50</v>
      </c>
      <c r="D3054" t="s">
        <v>6083</v>
      </c>
      <c r="E3054" t="s">
        <v>1440</v>
      </c>
      <c r="F3054" t="s">
        <v>84</v>
      </c>
      <c r="G3054" t="s">
        <v>1001</v>
      </c>
      <c r="H3054" t="str">
        <f>"ΚΡΥΑ ΒΡΥΣΗ  ΑΓΙΟΥ ΒΑΣΙΛΕΙΟΥ"</f>
        <v>ΚΡΥΑ ΒΡΥΣΗ  ΑΓΙΟΥ ΒΑΣΙΛΕΙΟΥ</v>
      </c>
      <c r="I3054">
        <v>74053</v>
      </c>
      <c r="K3054">
        <v>6970258689</v>
      </c>
      <c r="M3054" t="s">
        <v>6084</v>
      </c>
      <c r="N3054" t="s">
        <v>146</v>
      </c>
      <c r="O3054" t="s">
        <v>147</v>
      </c>
      <c r="R3054" t="s">
        <v>57</v>
      </c>
      <c r="S3054">
        <v>15</v>
      </c>
      <c r="T3054">
        <v>161</v>
      </c>
      <c r="U3054" s="1">
        <v>33119</v>
      </c>
      <c r="V3054" t="s">
        <v>5644</v>
      </c>
      <c r="W3054" t="s">
        <v>5645</v>
      </c>
      <c r="X3054" t="s">
        <v>58</v>
      </c>
      <c r="Y3054">
        <v>18</v>
      </c>
      <c r="Z3054" t="s">
        <v>59</v>
      </c>
      <c r="AA3054" t="s">
        <v>59</v>
      </c>
      <c r="AB3054" t="s">
        <v>59</v>
      </c>
      <c r="AC3054" t="s">
        <v>59</v>
      </c>
      <c r="AD3054" t="s">
        <v>59</v>
      </c>
      <c r="AF3054" s="1">
        <v>33121</v>
      </c>
      <c r="AG3054" t="s">
        <v>148</v>
      </c>
      <c r="AH3054" t="s">
        <v>149</v>
      </c>
      <c r="AI3054" t="str">
        <f>"4154010"</f>
        <v>4154010</v>
      </c>
      <c r="AJ3054" t="s">
        <v>5687</v>
      </c>
      <c r="AK3054">
        <v>2834023300</v>
      </c>
      <c r="AL3054" t="s">
        <v>5688</v>
      </c>
      <c r="AM3054" t="s">
        <v>64</v>
      </c>
      <c r="AN3054" t="s">
        <v>5672</v>
      </c>
      <c r="AO3054" t="s">
        <v>5673</v>
      </c>
      <c r="AP3054" t="s">
        <v>5689</v>
      </c>
      <c r="AQ3054">
        <v>2</v>
      </c>
      <c r="AR3054" t="s">
        <v>5644</v>
      </c>
      <c r="AS3054" t="s">
        <v>5645</v>
      </c>
      <c r="AT3054" t="s">
        <v>58</v>
      </c>
      <c r="AU3054" t="s">
        <v>68</v>
      </c>
      <c r="AV3054" t="s">
        <v>69</v>
      </c>
      <c r="AW3054" s="1">
        <v>22490</v>
      </c>
      <c r="AX3054">
        <v>2</v>
      </c>
    </row>
    <row r="3055" spans="1:50">
      <c r="A3055">
        <v>201077</v>
      </c>
      <c r="B3055" t="str">
        <f>"047379555"</f>
        <v>047379555</v>
      </c>
      <c r="C3055" t="s">
        <v>50</v>
      </c>
      <c r="D3055" t="s">
        <v>6085</v>
      </c>
      <c r="E3055" t="s">
        <v>476</v>
      </c>
      <c r="F3055" t="s">
        <v>53</v>
      </c>
      <c r="G3055" t="s">
        <v>83</v>
      </c>
      <c r="H3055" t="str">
        <f>"ΖΥΜΒΡΑΚΑΚΗ 12 ΡΕΘΥΜΝΟ"</f>
        <v>ΖΥΜΒΡΑΚΑΚΗ 12 ΡΕΘΥΜΝΟ</v>
      </c>
      <c r="I3055">
        <v>74100</v>
      </c>
      <c r="J3055">
        <v>2831035101</v>
      </c>
      <c r="K3055">
        <v>6934249047</v>
      </c>
      <c r="M3055" t="s">
        <v>6086</v>
      </c>
      <c r="N3055" t="s">
        <v>157</v>
      </c>
      <c r="O3055" t="s">
        <v>158</v>
      </c>
      <c r="R3055" t="s">
        <v>57</v>
      </c>
      <c r="S3055">
        <v>9</v>
      </c>
      <c r="T3055">
        <v>231</v>
      </c>
      <c r="U3055" s="1">
        <v>38230</v>
      </c>
      <c r="V3055" t="s">
        <v>5644</v>
      </c>
      <c r="W3055" t="s">
        <v>5645</v>
      </c>
      <c r="X3055" t="s">
        <v>58</v>
      </c>
      <c r="Y3055">
        <v>20</v>
      </c>
      <c r="Z3055" t="s">
        <v>59</v>
      </c>
      <c r="AA3055" t="s">
        <v>59</v>
      </c>
      <c r="AB3055" t="s">
        <v>59</v>
      </c>
      <c r="AC3055" t="s">
        <v>59</v>
      </c>
      <c r="AD3055" t="s">
        <v>59</v>
      </c>
      <c r="AF3055" s="1">
        <v>38230</v>
      </c>
      <c r="AG3055" t="s">
        <v>125</v>
      </c>
      <c r="AH3055" t="s">
        <v>126</v>
      </c>
      <c r="AI3055" t="str">
        <f>"4101030"</f>
        <v>4101030</v>
      </c>
      <c r="AJ3055" t="s">
        <v>5646</v>
      </c>
      <c r="AK3055">
        <v>2831022359</v>
      </c>
      <c r="AL3055" t="s">
        <v>5647</v>
      </c>
      <c r="AM3055" t="s">
        <v>64</v>
      </c>
      <c r="AN3055" t="s">
        <v>65</v>
      </c>
      <c r="AO3055" t="s">
        <v>65</v>
      </c>
      <c r="AP3055" t="s">
        <v>65</v>
      </c>
      <c r="AQ3055">
        <v>1</v>
      </c>
      <c r="AR3055" t="s">
        <v>5644</v>
      </c>
      <c r="AS3055" t="s">
        <v>5645</v>
      </c>
      <c r="AT3055" t="s">
        <v>58</v>
      </c>
      <c r="AU3055" t="s">
        <v>68</v>
      </c>
      <c r="AV3055" t="s">
        <v>69</v>
      </c>
      <c r="AW3055" s="1">
        <v>25721</v>
      </c>
      <c r="AX3055">
        <v>2</v>
      </c>
    </row>
    <row r="3056" spans="1:50">
      <c r="B3056" t="str">
        <f>"127714325"</f>
        <v>127714325</v>
      </c>
      <c r="C3056" t="s">
        <v>50</v>
      </c>
      <c r="D3056" t="s">
        <v>6087</v>
      </c>
      <c r="E3056" t="s">
        <v>143</v>
      </c>
      <c r="F3056" t="s">
        <v>564</v>
      </c>
      <c r="G3056" t="s">
        <v>6088</v>
      </c>
      <c r="H3056" t="str">
        <f>"ΛΑΣΘΕΝΟΥΣ 18 ΧΑΝΙΑ"</f>
        <v>ΛΑΣΘΕΝΟΥΣ 18 ΧΑΝΙΑ</v>
      </c>
      <c r="I3056">
        <v>73100</v>
      </c>
      <c r="J3056">
        <v>2821041497</v>
      </c>
      <c r="K3056">
        <v>6972318973</v>
      </c>
      <c r="N3056" t="s">
        <v>232</v>
      </c>
      <c r="O3056" t="s">
        <v>233</v>
      </c>
      <c r="R3056" t="s">
        <v>57</v>
      </c>
      <c r="S3056">
        <v>6</v>
      </c>
      <c r="T3056" t="s">
        <v>416</v>
      </c>
      <c r="U3056" s="1">
        <v>43349</v>
      </c>
      <c r="V3056" t="s">
        <v>5644</v>
      </c>
      <c r="W3056" t="s">
        <v>5645</v>
      </c>
      <c r="X3056" t="s">
        <v>58</v>
      </c>
      <c r="Y3056">
        <v>21</v>
      </c>
      <c r="Z3056" t="s">
        <v>59</v>
      </c>
      <c r="AA3056" t="s">
        <v>59</v>
      </c>
      <c r="AB3056" t="s">
        <v>59</v>
      </c>
      <c r="AC3056" t="s">
        <v>59</v>
      </c>
      <c r="AD3056" t="s">
        <v>59</v>
      </c>
      <c r="AF3056" s="1">
        <v>43349</v>
      </c>
      <c r="AG3056" t="s">
        <v>125</v>
      </c>
      <c r="AH3056" t="s">
        <v>126</v>
      </c>
      <c r="AI3056" t="str">
        <f>"4102020"</f>
        <v>4102020</v>
      </c>
      <c r="AJ3056" t="s">
        <v>5761</v>
      </c>
      <c r="AK3056">
        <v>2831061491</v>
      </c>
      <c r="AL3056" t="s">
        <v>5762</v>
      </c>
      <c r="AM3056" t="s">
        <v>64</v>
      </c>
      <c r="AN3056" t="s">
        <v>65</v>
      </c>
      <c r="AO3056" t="s">
        <v>5657</v>
      </c>
      <c r="AP3056" t="s">
        <v>1437</v>
      </c>
      <c r="AQ3056">
        <v>1</v>
      </c>
      <c r="AR3056" t="s">
        <v>5644</v>
      </c>
      <c r="AS3056" t="s">
        <v>5645</v>
      </c>
      <c r="AT3056" t="s">
        <v>58</v>
      </c>
      <c r="AU3056" t="s">
        <v>419</v>
      </c>
      <c r="AV3056" t="s">
        <v>132</v>
      </c>
      <c r="AW3056" s="1">
        <v>28843</v>
      </c>
      <c r="AX3056">
        <v>2</v>
      </c>
    </row>
    <row r="3057" spans="1:50">
      <c r="B3057" t="str">
        <f>"038631480"</f>
        <v>038631480</v>
      </c>
      <c r="C3057" t="s">
        <v>105</v>
      </c>
      <c r="D3057" t="s">
        <v>6089</v>
      </c>
      <c r="E3057" t="s">
        <v>95</v>
      </c>
      <c r="F3057" t="s">
        <v>106</v>
      </c>
      <c r="G3057" t="s">
        <v>96</v>
      </c>
      <c r="H3057" t="str">
        <f>"ΚΑΚΕΠΑΚΗ 8 ΝΕΑ ΑΛΙΚΑΡΝΑΣΣΟΣ ΗΡΑΚΛΕΙΟ"</f>
        <v>ΚΑΚΕΠΑΚΗ 8 ΝΕΑ ΑΛΙΚΑΡΝΑΣΣΟΣ ΗΡΑΚΛΕΙΟ</v>
      </c>
      <c r="I3057">
        <v>71601</v>
      </c>
      <c r="J3057">
        <v>2810243223</v>
      </c>
      <c r="K3057">
        <v>6939194681</v>
      </c>
      <c r="N3057" t="s">
        <v>168</v>
      </c>
      <c r="O3057" t="s">
        <v>169</v>
      </c>
      <c r="R3057" t="s">
        <v>159</v>
      </c>
      <c r="S3057">
        <v>4</v>
      </c>
      <c r="T3057" t="s">
        <v>416</v>
      </c>
      <c r="U3057" s="1">
        <v>43349</v>
      </c>
      <c r="V3057" t="s">
        <v>5644</v>
      </c>
      <c r="W3057" t="s">
        <v>5645</v>
      </c>
      <c r="X3057" t="s">
        <v>58</v>
      </c>
      <c r="Y3057">
        <v>21</v>
      </c>
      <c r="Z3057" t="s">
        <v>59</v>
      </c>
      <c r="AA3057" t="s">
        <v>59</v>
      </c>
      <c r="AB3057" t="s">
        <v>59</v>
      </c>
      <c r="AC3057" t="s">
        <v>59</v>
      </c>
      <c r="AD3057" t="s">
        <v>59</v>
      </c>
      <c r="AF3057" s="1">
        <v>43349</v>
      </c>
      <c r="AG3057" t="s">
        <v>137</v>
      </c>
      <c r="AH3057" t="s">
        <v>138</v>
      </c>
      <c r="AI3057" t="str">
        <f>"4150040"</f>
        <v>4150040</v>
      </c>
      <c r="AJ3057" t="s">
        <v>5661</v>
      </c>
      <c r="AK3057">
        <v>2831029048</v>
      </c>
      <c r="AL3057" t="s">
        <v>5662</v>
      </c>
      <c r="AM3057" t="s">
        <v>64</v>
      </c>
      <c r="AN3057" t="s">
        <v>65</v>
      </c>
      <c r="AO3057" t="s">
        <v>65</v>
      </c>
      <c r="AP3057" t="s">
        <v>65</v>
      </c>
      <c r="AQ3057">
        <v>1</v>
      </c>
      <c r="AR3057" t="s">
        <v>5644</v>
      </c>
      <c r="AS3057" t="s">
        <v>5645</v>
      </c>
      <c r="AT3057" t="s">
        <v>58</v>
      </c>
      <c r="AU3057" t="s">
        <v>419</v>
      </c>
      <c r="AV3057" t="s">
        <v>132</v>
      </c>
      <c r="AW3057" s="1">
        <v>23845</v>
      </c>
      <c r="AX3057">
        <v>2</v>
      </c>
    </row>
    <row r="3058" spans="1:50">
      <c r="A3058">
        <v>190465</v>
      </c>
      <c r="B3058" t="str">
        <f>"073339786"</f>
        <v>073339786</v>
      </c>
      <c r="C3058" t="s">
        <v>50</v>
      </c>
      <c r="D3058" t="s">
        <v>6090</v>
      </c>
      <c r="E3058" t="s">
        <v>215</v>
      </c>
      <c r="F3058" t="s">
        <v>99</v>
      </c>
      <c r="G3058" t="s">
        <v>280</v>
      </c>
      <c r="H3058" t="str">
        <f>"ΖΑΧΑΡΙΑ ΚΑΛΛΕΙΡΓΗ 14 ΡΕΘΥΜΝΟ"</f>
        <v>ΖΑΧΑΡΙΑ ΚΑΛΛΕΙΡΓΗ 14 ΡΕΘΥΜΝΟ</v>
      </c>
      <c r="I3058">
        <v>74100</v>
      </c>
      <c r="J3058">
        <v>2831026831</v>
      </c>
      <c r="K3058">
        <v>6977300993</v>
      </c>
      <c r="M3058" t="s">
        <v>6091</v>
      </c>
      <c r="N3058" t="s">
        <v>288</v>
      </c>
      <c r="O3058" t="s">
        <v>289</v>
      </c>
      <c r="R3058" t="s">
        <v>57</v>
      </c>
      <c r="S3058">
        <v>8</v>
      </c>
      <c r="T3058">
        <v>219</v>
      </c>
      <c r="U3058" s="1">
        <v>37134</v>
      </c>
      <c r="V3058" t="s">
        <v>5644</v>
      </c>
      <c r="W3058" t="s">
        <v>5645</v>
      </c>
      <c r="X3058" t="s">
        <v>58</v>
      </c>
      <c r="Y3058">
        <v>20</v>
      </c>
      <c r="Z3058" t="s">
        <v>59</v>
      </c>
      <c r="AA3058" t="s">
        <v>59</v>
      </c>
      <c r="AB3058" t="s">
        <v>59</v>
      </c>
      <c r="AC3058" t="s">
        <v>59</v>
      </c>
      <c r="AD3058" t="s">
        <v>59</v>
      </c>
      <c r="AF3058" s="1">
        <v>37134</v>
      </c>
      <c r="AG3058" t="s">
        <v>125</v>
      </c>
      <c r="AH3058" t="s">
        <v>126</v>
      </c>
      <c r="AI3058" t="str">
        <f>"4101030"</f>
        <v>4101030</v>
      </c>
      <c r="AJ3058" t="s">
        <v>5646</v>
      </c>
      <c r="AK3058">
        <v>2831022359</v>
      </c>
      <c r="AL3058" t="s">
        <v>5647</v>
      </c>
      <c r="AM3058" t="s">
        <v>64</v>
      </c>
      <c r="AN3058" t="s">
        <v>65</v>
      </c>
      <c r="AO3058" t="s">
        <v>65</v>
      </c>
      <c r="AP3058" t="s">
        <v>65</v>
      </c>
      <c r="AQ3058">
        <v>1</v>
      </c>
      <c r="AR3058" t="s">
        <v>5644</v>
      </c>
      <c r="AS3058" t="s">
        <v>5645</v>
      </c>
      <c r="AT3058" t="s">
        <v>58</v>
      </c>
      <c r="AU3058" t="s">
        <v>68</v>
      </c>
      <c r="AV3058" t="s">
        <v>69</v>
      </c>
      <c r="AW3058" s="1">
        <v>26020</v>
      </c>
      <c r="AX3058">
        <v>2</v>
      </c>
    </row>
    <row r="3059" spans="1:50">
      <c r="A3059">
        <v>206444</v>
      </c>
      <c r="B3059" t="str">
        <f>"049279122"</f>
        <v>049279122</v>
      </c>
      <c r="C3059" t="s">
        <v>50</v>
      </c>
      <c r="D3059" t="s">
        <v>6092</v>
      </c>
      <c r="E3059" t="s">
        <v>6093</v>
      </c>
      <c r="F3059" t="s">
        <v>1280</v>
      </c>
      <c r="G3059" t="s">
        <v>626</v>
      </c>
      <c r="H3059" t="str">
        <f>"Τ.Θ. 4-287 ΑΤΣΙΠΟΠΟΥΛΟ"</f>
        <v>Τ.Θ. 4-287 ΑΤΣΙΠΟΠΟΥΛΟ</v>
      </c>
      <c r="I3059">
        <v>74100</v>
      </c>
      <c r="J3059">
        <v>2831031690</v>
      </c>
      <c r="K3059">
        <v>6977959822</v>
      </c>
      <c r="N3059" t="s">
        <v>157</v>
      </c>
      <c r="O3059" t="s">
        <v>158</v>
      </c>
      <c r="R3059" t="s">
        <v>57</v>
      </c>
      <c r="S3059">
        <v>6</v>
      </c>
      <c r="T3059">
        <v>218</v>
      </c>
      <c r="U3059" s="1">
        <v>38596</v>
      </c>
      <c r="V3059" t="s">
        <v>5644</v>
      </c>
      <c r="W3059" t="s">
        <v>5645</v>
      </c>
      <c r="X3059" t="s">
        <v>58</v>
      </c>
      <c r="Y3059">
        <v>20</v>
      </c>
      <c r="Z3059" t="s">
        <v>59</v>
      </c>
      <c r="AA3059" t="s">
        <v>59</v>
      </c>
      <c r="AB3059" t="s">
        <v>59</v>
      </c>
      <c r="AC3059" t="s">
        <v>59</v>
      </c>
      <c r="AD3059" t="s">
        <v>59</v>
      </c>
      <c r="AF3059" s="1">
        <v>38600</v>
      </c>
      <c r="AG3059" t="s">
        <v>125</v>
      </c>
      <c r="AH3059" t="s">
        <v>126</v>
      </c>
      <c r="AI3059" t="str">
        <f>"4110015"</f>
        <v>4110015</v>
      </c>
      <c r="AJ3059" t="s">
        <v>5723</v>
      </c>
      <c r="AK3059">
        <v>2831022741</v>
      </c>
      <c r="AL3059" t="s">
        <v>5724</v>
      </c>
      <c r="AM3059" t="s">
        <v>64</v>
      </c>
      <c r="AN3059" t="s">
        <v>65</v>
      </c>
      <c r="AO3059" t="s">
        <v>5720</v>
      </c>
      <c r="AP3059" t="s">
        <v>5721</v>
      </c>
      <c r="AQ3059">
        <v>1</v>
      </c>
      <c r="AR3059" t="s">
        <v>5644</v>
      </c>
      <c r="AS3059" t="s">
        <v>5645</v>
      </c>
      <c r="AT3059" t="s">
        <v>58</v>
      </c>
      <c r="AU3059" t="s">
        <v>68</v>
      </c>
      <c r="AV3059" t="s">
        <v>69</v>
      </c>
      <c r="AW3059" s="1">
        <v>25645</v>
      </c>
      <c r="AX3059">
        <v>2</v>
      </c>
    </row>
    <row r="3060" spans="1:50">
      <c r="A3060">
        <v>212113</v>
      </c>
      <c r="B3060" t="str">
        <f>"068465618"</f>
        <v>068465618</v>
      </c>
      <c r="C3060" t="s">
        <v>50</v>
      </c>
      <c r="D3060" t="s">
        <v>6094</v>
      </c>
      <c r="E3060" t="s">
        <v>6095</v>
      </c>
      <c r="F3060" t="s">
        <v>450</v>
      </c>
      <c r="G3060" t="s">
        <v>3742</v>
      </c>
      <c r="H3060" t="str">
        <f>"ΛΗΤΟΥΣ 11 ΚΑΛΛΙΘΕΑ"</f>
        <v>ΛΗΤΟΥΣ 11 ΚΑΛΛΙΘΕΑ</v>
      </c>
      <c r="I3060">
        <v>74133</v>
      </c>
      <c r="J3060">
        <v>2831501062</v>
      </c>
      <c r="K3060">
        <v>6973906553</v>
      </c>
      <c r="L3060">
        <v>2755031537</v>
      </c>
      <c r="M3060" t="s">
        <v>6096</v>
      </c>
      <c r="N3060" t="s">
        <v>146</v>
      </c>
      <c r="O3060" t="s">
        <v>147</v>
      </c>
      <c r="R3060" t="s">
        <v>57</v>
      </c>
      <c r="S3060">
        <v>6</v>
      </c>
      <c r="T3060">
        <v>231</v>
      </c>
      <c r="U3060" s="1">
        <v>38960</v>
      </c>
      <c r="V3060" t="s">
        <v>5644</v>
      </c>
      <c r="W3060" t="s">
        <v>5645</v>
      </c>
      <c r="X3060" t="s">
        <v>58</v>
      </c>
      <c r="Y3060">
        <v>20</v>
      </c>
      <c r="Z3060" t="s">
        <v>59</v>
      </c>
      <c r="AA3060" t="s">
        <v>59</v>
      </c>
      <c r="AB3060" t="s">
        <v>59</v>
      </c>
      <c r="AC3060" t="s">
        <v>59</v>
      </c>
      <c r="AD3060" t="s">
        <v>59</v>
      </c>
      <c r="AF3060" s="1">
        <v>38961</v>
      </c>
      <c r="AG3060" t="s">
        <v>125</v>
      </c>
      <c r="AH3060" t="s">
        <v>126</v>
      </c>
      <c r="AI3060" t="str">
        <f>"4106030"</f>
        <v>4106030</v>
      </c>
      <c r="AJ3060" t="s">
        <v>6097</v>
      </c>
      <c r="AK3060">
        <v>2832051138</v>
      </c>
      <c r="AL3060" t="s">
        <v>6098</v>
      </c>
      <c r="AM3060" t="s">
        <v>64</v>
      </c>
      <c r="AN3060" t="s">
        <v>5882</v>
      </c>
      <c r="AO3060" t="s">
        <v>6099</v>
      </c>
      <c r="AP3060" t="s">
        <v>6100</v>
      </c>
      <c r="AQ3060">
        <v>5</v>
      </c>
      <c r="AR3060" t="s">
        <v>5644</v>
      </c>
      <c r="AS3060" t="s">
        <v>5645</v>
      </c>
      <c r="AT3060" t="s">
        <v>58</v>
      </c>
      <c r="AU3060" t="s">
        <v>68</v>
      </c>
      <c r="AV3060" t="s">
        <v>69</v>
      </c>
      <c r="AW3060" s="1">
        <v>27561</v>
      </c>
      <c r="AX3060">
        <v>2</v>
      </c>
    </row>
    <row r="3061" spans="1:50">
      <c r="A3061">
        <v>222984</v>
      </c>
      <c r="B3061" t="str">
        <f>"068629212"</f>
        <v>068629212</v>
      </c>
      <c r="C3061" t="s">
        <v>50</v>
      </c>
      <c r="D3061" t="s">
        <v>6101</v>
      </c>
      <c r="E3061" t="s">
        <v>484</v>
      </c>
      <c r="F3061" t="s">
        <v>5833</v>
      </c>
      <c r="G3061" t="s">
        <v>4671</v>
      </c>
      <c r="H3061" t="str">
        <f>"ΒΙΟΛΙ ΧΑΡΑΚΙ  ΡΕΘΥΜΝΟ"</f>
        <v>ΒΙΟΛΙ ΧΑΡΑΚΙ  ΡΕΘΥΜΝΟ</v>
      </c>
      <c r="I3061">
        <v>74100</v>
      </c>
      <c r="K3061">
        <v>6980052002</v>
      </c>
      <c r="N3061" t="s">
        <v>292</v>
      </c>
      <c r="O3061" t="s">
        <v>293</v>
      </c>
      <c r="R3061" t="s">
        <v>57</v>
      </c>
      <c r="S3061">
        <v>7</v>
      </c>
      <c r="T3061">
        <v>775</v>
      </c>
      <c r="U3061" s="1">
        <v>39680</v>
      </c>
      <c r="V3061" t="s">
        <v>5644</v>
      </c>
      <c r="W3061" t="s">
        <v>5645</v>
      </c>
      <c r="X3061" t="s">
        <v>58</v>
      </c>
      <c r="Y3061">
        <v>21</v>
      </c>
      <c r="Z3061" t="s">
        <v>59</v>
      </c>
      <c r="AA3061" t="s">
        <v>59</v>
      </c>
      <c r="AB3061" t="s">
        <v>59</v>
      </c>
      <c r="AC3061" t="s">
        <v>59</v>
      </c>
      <c r="AD3061" t="s">
        <v>59</v>
      </c>
      <c r="AF3061" s="1">
        <v>39680</v>
      </c>
      <c r="AG3061" t="s">
        <v>148</v>
      </c>
      <c r="AH3061" t="s">
        <v>149</v>
      </c>
      <c r="AI3061" t="str">
        <f>"4158010"</f>
        <v>4158010</v>
      </c>
      <c r="AJ3061" t="s">
        <v>5778</v>
      </c>
      <c r="AK3061">
        <v>2833041400</v>
      </c>
      <c r="AL3061" t="s">
        <v>5779</v>
      </c>
      <c r="AM3061" t="s">
        <v>64</v>
      </c>
      <c r="AN3061" t="s">
        <v>5713</v>
      </c>
      <c r="AO3061" t="s">
        <v>5780</v>
      </c>
      <c r="AP3061" t="s">
        <v>5781</v>
      </c>
      <c r="AQ3061">
        <v>4</v>
      </c>
      <c r="AR3061" t="s">
        <v>5644</v>
      </c>
      <c r="AS3061" t="s">
        <v>5645</v>
      </c>
      <c r="AT3061" t="s">
        <v>58</v>
      </c>
      <c r="AU3061" t="s">
        <v>68</v>
      </c>
      <c r="AV3061" t="s">
        <v>69</v>
      </c>
      <c r="AW3061" s="1">
        <v>26112</v>
      </c>
      <c r="AX3061">
        <v>2</v>
      </c>
    </row>
    <row r="3062" spans="1:50">
      <c r="A3062">
        <v>206991</v>
      </c>
      <c r="B3062" t="str">
        <f>"045957930"</f>
        <v>045957930</v>
      </c>
      <c r="C3062" t="s">
        <v>50</v>
      </c>
      <c r="D3062" t="s">
        <v>6102</v>
      </c>
      <c r="E3062" t="s">
        <v>134</v>
      </c>
      <c r="F3062" t="s">
        <v>72</v>
      </c>
      <c r="G3062" t="s">
        <v>250</v>
      </c>
      <c r="H3062" t="str">
        <f>"ΣΚΑΛΕΤΑ Τ.Θ 5178 "</f>
        <v xml:space="preserve">ΣΚΑΛΕΤΑ Τ.Θ 5178 </v>
      </c>
      <c r="I3062">
        <v>74100</v>
      </c>
      <c r="J3062">
        <v>2831050611</v>
      </c>
      <c r="N3062" t="s">
        <v>292</v>
      </c>
      <c r="O3062" t="s">
        <v>293</v>
      </c>
      <c r="R3062" t="s">
        <v>57</v>
      </c>
      <c r="S3062">
        <v>6</v>
      </c>
      <c r="T3062">
        <v>218</v>
      </c>
      <c r="U3062" s="1">
        <v>38596</v>
      </c>
      <c r="V3062" t="s">
        <v>5644</v>
      </c>
      <c r="W3062" t="s">
        <v>5645</v>
      </c>
      <c r="X3062" t="s">
        <v>58</v>
      </c>
      <c r="Y3062">
        <v>20</v>
      </c>
      <c r="Z3062" t="s">
        <v>59</v>
      </c>
      <c r="AA3062" t="s">
        <v>59</v>
      </c>
      <c r="AB3062" t="s">
        <v>59</v>
      </c>
      <c r="AC3062" t="s">
        <v>59</v>
      </c>
      <c r="AD3062" t="s">
        <v>59</v>
      </c>
      <c r="AF3062" s="1">
        <v>38596</v>
      </c>
      <c r="AG3062" t="s">
        <v>125</v>
      </c>
      <c r="AH3062" t="s">
        <v>126</v>
      </c>
      <c r="AI3062" t="str">
        <f>"4101040"</f>
        <v>4101040</v>
      </c>
      <c r="AJ3062" t="s">
        <v>5732</v>
      </c>
      <c r="AK3062">
        <v>2831029261</v>
      </c>
      <c r="AL3062" t="s">
        <v>5733</v>
      </c>
      <c r="AM3062" t="s">
        <v>64</v>
      </c>
      <c r="AN3062" t="s">
        <v>65</v>
      </c>
      <c r="AO3062" t="s">
        <v>65</v>
      </c>
      <c r="AP3062" t="s">
        <v>65</v>
      </c>
      <c r="AQ3062">
        <v>1</v>
      </c>
      <c r="AR3062" t="s">
        <v>5644</v>
      </c>
      <c r="AS3062" t="s">
        <v>5645</v>
      </c>
      <c r="AT3062" t="s">
        <v>58</v>
      </c>
      <c r="AU3062" t="s">
        <v>68</v>
      </c>
      <c r="AV3062" t="s">
        <v>69</v>
      </c>
      <c r="AW3062" s="1">
        <v>23567</v>
      </c>
      <c r="AX3062">
        <v>2</v>
      </c>
    </row>
    <row r="3063" spans="1:50">
      <c r="B3063" t="str">
        <f>"159570983"</f>
        <v>159570983</v>
      </c>
      <c r="C3063" t="s">
        <v>50</v>
      </c>
      <c r="D3063" t="s">
        <v>4978</v>
      </c>
      <c r="E3063" t="s">
        <v>263</v>
      </c>
      <c r="F3063" t="s">
        <v>1679</v>
      </c>
      <c r="G3063" t="s">
        <v>96</v>
      </c>
      <c r="H3063" t="str">
        <f>"ΚΟΥΜΟΥΝΔΟΥΡΟΥ 12 ΡΕΘΥΜΝΟ"</f>
        <v>ΚΟΥΜΟΥΝΔΟΥΡΟΥ 12 ΡΕΘΥΜΝΟ</v>
      </c>
      <c r="I3063">
        <v>74100</v>
      </c>
      <c r="J3063">
        <v>2831023268</v>
      </c>
      <c r="K3063">
        <v>6973514655</v>
      </c>
      <c r="N3063" t="s">
        <v>536</v>
      </c>
      <c r="O3063" t="s">
        <v>537</v>
      </c>
      <c r="R3063" t="s">
        <v>121</v>
      </c>
      <c r="S3063">
        <v>3</v>
      </c>
      <c r="T3063" t="s">
        <v>1944</v>
      </c>
      <c r="U3063" s="1">
        <v>43364</v>
      </c>
      <c r="V3063" t="s">
        <v>5644</v>
      </c>
      <c r="W3063" t="s">
        <v>5645</v>
      </c>
      <c r="X3063" t="s">
        <v>58</v>
      </c>
      <c r="Y3063">
        <v>23</v>
      </c>
      <c r="Z3063" t="s">
        <v>59</v>
      </c>
      <c r="AA3063" t="s">
        <v>59</v>
      </c>
      <c r="AB3063" t="s">
        <v>59</v>
      </c>
      <c r="AC3063" t="s">
        <v>59</v>
      </c>
      <c r="AD3063" t="s">
        <v>59</v>
      </c>
      <c r="AF3063" s="1">
        <v>43367</v>
      </c>
      <c r="AG3063" t="s">
        <v>125</v>
      </c>
      <c r="AH3063" t="s">
        <v>126</v>
      </c>
      <c r="AI3063" t="str">
        <f>"4101030"</f>
        <v>4101030</v>
      </c>
      <c r="AJ3063" t="s">
        <v>5646</v>
      </c>
      <c r="AK3063">
        <v>2831022359</v>
      </c>
      <c r="AL3063" t="s">
        <v>5647</v>
      </c>
      <c r="AM3063" t="s">
        <v>64</v>
      </c>
      <c r="AN3063" t="s">
        <v>65</v>
      </c>
      <c r="AO3063" t="s">
        <v>65</v>
      </c>
      <c r="AP3063" t="s">
        <v>65</v>
      </c>
      <c r="AQ3063">
        <v>1</v>
      </c>
      <c r="AR3063" t="s">
        <v>5644</v>
      </c>
      <c r="AS3063" t="s">
        <v>5645</v>
      </c>
      <c r="AT3063" t="s">
        <v>58</v>
      </c>
      <c r="AU3063" t="s">
        <v>350</v>
      </c>
      <c r="AV3063" t="s">
        <v>132</v>
      </c>
      <c r="AW3063" s="1">
        <v>32224</v>
      </c>
      <c r="AX3063">
        <v>2</v>
      </c>
    </row>
    <row r="3064" spans="1:50">
      <c r="B3064" t="str">
        <f>"030305015"</f>
        <v>030305015</v>
      </c>
      <c r="C3064" t="s">
        <v>105</v>
      </c>
      <c r="D3064" t="s">
        <v>6103</v>
      </c>
      <c r="E3064" t="s">
        <v>309</v>
      </c>
      <c r="F3064" t="s">
        <v>95</v>
      </c>
      <c r="G3064" t="s">
        <v>83</v>
      </c>
      <c r="H3064" t="str">
        <f>"ΧΑΤΖΗΠΑΝΤΑΖΗ 24 ΣΕΡΡΕΣ"</f>
        <v>ΧΑΤΖΗΠΑΝΤΑΖΗ 24 ΣΕΡΡΕΣ</v>
      </c>
      <c r="I3064">
        <v>62100</v>
      </c>
      <c r="J3064">
        <v>2321024179</v>
      </c>
      <c r="K3064">
        <v>6973536765</v>
      </c>
      <c r="N3064" t="s">
        <v>199</v>
      </c>
      <c r="O3064" t="s">
        <v>200</v>
      </c>
      <c r="R3064" t="s">
        <v>121</v>
      </c>
      <c r="S3064">
        <v>1</v>
      </c>
      <c r="T3064" t="s">
        <v>574</v>
      </c>
      <c r="U3064" s="1">
        <v>43378</v>
      </c>
      <c r="V3064" t="s">
        <v>5644</v>
      </c>
      <c r="W3064" t="s">
        <v>5645</v>
      </c>
      <c r="X3064" t="s">
        <v>58</v>
      </c>
      <c r="Y3064">
        <v>23</v>
      </c>
      <c r="Z3064" t="s">
        <v>59</v>
      </c>
      <c r="AA3064" t="s">
        <v>59</v>
      </c>
      <c r="AB3064" t="s">
        <v>59</v>
      </c>
      <c r="AC3064" t="s">
        <v>59</v>
      </c>
      <c r="AD3064" t="s">
        <v>59</v>
      </c>
      <c r="AF3064" s="1">
        <v>43381</v>
      </c>
      <c r="AG3064" t="s">
        <v>148</v>
      </c>
      <c r="AH3064" t="s">
        <v>149</v>
      </c>
      <c r="AI3064" t="str">
        <f>"4158010"</f>
        <v>4158010</v>
      </c>
      <c r="AJ3064" t="s">
        <v>5778</v>
      </c>
      <c r="AK3064">
        <v>2833041400</v>
      </c>
      <c r="AL3064" t="s">
        <v>5779</v>
      </c>
      <c r="AM3064" t="s">
        <v>64</v>
      </c>
      <c r="AN3064" t="s">
        <v>5713</v>
      </c>
      <c r="AO3064" t="s">
        <v>5780</v>
      </c>
      <c r="AP3064" t="s">
        <v>5781</v>
      </c>
      <c r="AQ3064">
        <v>4</v>
      </c>
      <c r="AR3064" t="s">
        <v>5644</v>
      </c>
      <c r="AS3064" t="s">
        <v>5645</v>
      </c>
      <c r="AT3064" t="s">
        <v>58</v>
      </c>
      <c r="AU3064" t="s">
        <v>164</v>
      </c>
      <c r="AV3064" t="s">
        <v>132</v>
      </c>
      <c r="AW3064" s="1">
        <v>26188</v>
      </c>
      <c r="AX3064">
        <v>2</v>
      </c>
    </row>
    <row r="3065" spans="1:50">
      <c r="A3065">
        <v>175896</v>
      </c>
      <c r="B3065" t="str">
        <f>"028444167"</f>
        <v>028444167</v>
      </c>
      <c r="C3065" t="s">
        <v>50</v>
      </c>
      <c r="D3065" t="s">
        <v>6104</v>
      </c>
      <c r="E3065" t="s">
        <v>109</v>
      </c>
      <c r="F3065" t="s">
        <v>166</v>
      </c>
      <c r="G3065" t="s">
        <v>71</v>
      </c>
      <c r="H3065" t="str">
        <f>"ΝΙΚ.ΑΣΚΟΥΤΣΗ 60 ΡΕΘΥΜΝΟ"</f>
        <v>ΝΙΚ.ΑΣΚΟΥΤΣΗ 60 ΡΕΘΥΜΝΟ</v>
      </c>
      <c r="I3065">
        <v>74100</v>
      </c>
      <c r="J3065">
        <v>2831052269</v>
      </c>
      <c r="K3065">
        <v>6973520987</v>
      </c>
      <c r="N3065" t="s">
        <v>292</v>
      </c>
      <c r="O3065" t="s">
        <v>293</v>
      </c>
      <c r="R3065" t="s">
        <v>57</v>
      </c>
      <c r="S3065">
        <v>11</v>
      </c>
      <c r="T3065" t="s">
        <v>5897</v>
      </c>
      <c r="U3065" s="1">
        <v>35674</v>
      </c>
      <c r="V3065" t="s">
        <v>5644</v>
      </c>
      <c r="W3065" t="s">
        <v>5645</v>
      </c>
      <c r="X3065" t="s">
        <v>58</v>
      </c>
      <c r="Y3065">
        <v>18</v>
      </c>
      <c r="Z3065" t="s">
        <v>59</v>
      </c>
      <c r="AA3065" t="s">
        <v>59</v>
      </c>
      <c r="AB3065" t="s">
        <v>59</v>
      </c>
      <c r="AC3065" t="s">
        <v>59</v>
      </c>
      <c r="AD3065" t="s">
        <v>59</v>
      </c>
      <c r="AF3065" s="1">
        <v>35681</v>
      </c>
      <c r="AG3065" t="s">
        <v>125</v>
      </c>
      <c r="AH3065" t="s">
        <v>126</v>
      </c>
      <c r="AI3065" t="str">
        <f>"4101020"</f>
        <v>4101020</v>
      </c>
      <c r="AJ3065" t="s">
        <v>5652</v>
      </c>
      <c r="AK3065">
        <v>2831023560</v>
      </c>
      <c r="AL3065" t="s">
        <v>5653</v>
      </c>
      <c r="AM3065" t="s">
        <v>64</v>
      </c>
      <c r="AN3065" t="s">
        <v>65</v>
      </c>
      <c r="AO3065" t="s">
        <v>65</v>
      </c>
      <c r="AP3065" t="s">
        <v>65</v>
      </c>
      <c r="AQ3065">
        <v>1</v>
      </c>
      <c r="AR3065" t="s">
        <v>5644</v>
      </c>
      <c r="AS3065" t="s">
        <v>5645</v>
      </c>
      <c r="AT3065" t="s">
        <v>58</v>
      </c>
      <c r="AU3065" t="s">
        <v>68</v>
      </c>
      <c r="AV3065" t="s">
        <v>69</v>
      </c>
      <c r="AW3065" s="1">
        <v>22069</v>
      </c>
      <c r="AX3065">
        <v>2</v>
      </c>
    </row>
    <row r="3066" spans="1:50">
      <c r="A3066">
        <v>184328</v>
      </c>
      <c r="B3066" t="str">
        <f>"033965084"</f>
        <v>033965084</v>
      </c>
      <c r="C3066" t="s">
        <v>50</v>
      </c>
      <c r="D3066" t="s">
        <v>6105</v>
      </c>
      <c r="E3066" t="s">
        <v>2923</v>
      </c>
      <c r="F3066" t="s">
        <v>84</v>
      </c>
      <c r="G3066" t="s">
        <v>52</v>
      </c>
      <c r="H3066" t="str">
        <f>"ΕΤΕΑΡΧΟΥ 4 ΡΕΘΥΜΝΟ"</f>
        <v>ΕΤΕΑΡΧΟΥ 4 ΡΕΘΥΜΝΟ</v>
      </c>
      <c r="I3066">
        <v>74100</v>
      </c>
      <c r="J3066">
        <v>2831058658</v>
      </c>
      <c r="K3066">
        <v>6977916454</v>
      </c>
      <c r="M3066" t="s">
        <v>6106</v>
      </c>
      <c r="N3066" t="s">
        <v>306</v>
      </c>
      <c r="O3066" t="s">
        <v>307</v>
      </c>
      <c r="R3066" t="s">
        <v>57</v>
      </c>
      <c r="S3066">
        <v>9</v>
      </c>
      <c r="T3066">
        <v>177</v>
      </c>
      <c r="U3066" s="1">
        <v>36403</v>
      </c>
      <c r="V3066" t="s">
        <v>5644</v>
      </c>
      <c r="W3066" t="s">
        <v>5645</v>
      </c>
      <c r="X3066" t="s">
        <v>58</v>
      </c>
      <c r="Y3066">
        <v>20</v>
      </c>
      <c r="Z3066" t="s">
        <v>59</v>
      </c>
      <c r="AA3066" t="s">
        <v>59</v>
      </c>
      <c r="AB3066" t="s">
        <v>59</v>
      </c>
      <c r="AC3066" t="s">
        <v>59</v>
      </c>
      <c r="AD3066" t="s">
        <v>59</v>
      </c>
      <c r="AF3066" s="1">
        <v>36403</v>
      </c>
      <c r="AG3066" t="s">
        <v>148</v>
      </c>
      <c r="AH3066" t="s">
        <v>149</v>
      </c>
      <c r="AI3066" t="str">
        <f>"4151009"</f>
        <v>4151009</v>
      </c>
      <c r="AJ3066" t="s">
        <v>5649</v>
      </c>
      <c r="AK3066">
        <v>2831027115</v>
      </c>
      <c r="AL3066" t="s">
        <v>5650</v>
      </c>
      <c r="AM3066" t="s">
        <v>64</v>
      </c>
      <c r="AN3066" t="s">
        <v>65</v>
      </c>
      <c r="AO3066" t="s">
        <v>65</v>
      </c>
      <c r="AP3066" t="s">
        <v>65</v>
      </c>
      <c r="AQ3066">
        <v>1</v>
      </c>
      <c r="AR3066" t="s">
        <v>5644</v>
      </c>
      <c r="AS3066" t="s">
        <v>5645</v>
      </c>
      <c r="AT3066" t="s">
        <v>58</v>
      </c>
      <c r="AU3066" t="s">
        <v>68</v>
      </c>
      <c r="AV3066" t="s">
        <v>69</v>
      </c>
      <c r="AW3066" s="1">
        <v>23109</v>
      </c>
      <c r="AX3066">
        <v>2</v>
      </c>
    </row>
    <row r="3067" spans="1:50">
      <c r="A3067">
        <v>153670</v>
      </c>
      <c r="B3067" t="str">
        <f>"032868606"</f>
        <v>032868606</v>
      </c>
      <c r="C3067" t="s">
        <v>105</v>
      </c>
      <c r="D3067" t="s">
        <v>2144</v>
      </c>
      <c r="E3067" t="s">
        <v>760</v>
      </c>
      <c r="F3067" t="s">
        <v>3811</v>
      </c>
      <c r="G3067" t="s">
        <v>52</v>
      </c>
      <c r="H3067" t="str">
        <f>"ΜΑΘΙΟΥΔΑΚΗ 20 ΡΕΘΥΜΝΟ"</f>
        <v>ΜΑΘΙΟΥΔΑΚΗ 20 ΡΕΘΥΜΝΟ</v>
      </c>
      <c r="I3067">
        <v>74100</v>
      </c>
      <c r="N3067" t="s">
        <v>176</v>
      </c>
      <c r="O3067" t="s">
        <v>177</v>
      </c>
      <c r="R3067" t="s">
        <v>57</v>
      </c>
      <c r="S3067">
        <v>15</v>
      </c>
      <c r="T3067">
        <v>139</v>
      </c>
      <c r="U3067" s="1">
        <v>32366</v>
      </c>
      <c r="V3067" t="s">
        <v>5644</v>
      </c>
      <c r="W3067" t="s">
        <v>5645</v>
      </c>
      <c r="X3067" t="s">
        <v>58</v>
      </c>
      <c r="Y3067">
        <v>18</v>
      </c>
      <c r="Z3067" t="s">
        <v>59</v>
      </c>
      <c r="AA3067" t="s">
        <v>59</v>
      </c>
      <c r="AB3067" t="s">
        <v>59</v>
      </c>
      <c r="AC3067" t="s">
        <v>59</v>
      </c>
      <c r="AD3067" t="s">
        <v>59</v>
      </c>
      <c r="AF3067" s="1">
        <v>32366</v>
      </c>
      <c r="AG3067" t="s">
        <v>125</v>
      </c>
      <c r="AH3067" t="s">
        <v>126</v>
      </c>
      <c r="AI3067" t="str">
        <f>"4101040"</f>
        <v>4101040</v>
      </c>
      <c r="AJ3067" t="s">
        <v>5732</v>
      </c>
      <c r="AK3067">
        <v>2831029261</v>
      </c>
      <c r="AL3067" t="s">
        <v>5733</v>
      </c>
      <c r="AM3067" t="s">
        <v>64</v>
      </c>
      <c r="AN3067" t="s">
        <v>65</v>
      </c>
      <c r="AO3067" t="s">
        <v>65</v>
      </c>
      <c r="AP3067" t="s">
        <v>65</v>
      </c>
      <c r="AQ3067">
        <v>1</v>
      </c>
      <c r="AR3067" t="s">
        <v>5644</v>
      </c>
      <c r="AS3067" t="s">
        <v>5645</v>
      </c>
      <c r="AT3067" t="s">
        <v>58</v>
      </c>
      <c r="AU3067" t="s">
        <v>68</v>
      </c>
      <c r="AV3067" t="s">
        <v>69</v>
      </c>
      <c r="AW3067" s="1">
        <v>21821</v>
      </c>
      <c r="AX3067">
        <v>2</v>
      </c>
    </row>
    <row r="3068" spans="1:50">
      <c r="A3068">
        <v>153933</v>
      </c>
      <c r="B3068" t="str">
        <f>"063899616"</f>
        <v>063899616</v>
      </c>
      <c r="C3068" t="s">
        <v>50</v>
      </c>
      <c r="D3068" t="s">
        <v>6107</v>
      </c>
      <c r="E3068" t="s">
        <v>83</v>
      </c>
      <c r="F3068" t="s">
        <v>1062</v>
      </c>
      <c r="G3068" t="s">
        <v>52</v>
      </c>
      <c r="H3068" t="str">
        <f>"ΞΗΡΟ ΧΩΡΙΟ Ρέθυμνο"</f>
        <v>ΞΗΡΟ ΧΩΡΙΟ Ρέθυμνο</v>
      </c>
      <c r="I3068">
        <v>74100</v>
      </c>
      <c r="K3068">
        <v>6946055306</v>
      </c>
      <c r="N3068" t="s">
        <v>146</v>
      </c>
      <c r="O3068" t="s">
        <v>147</v>
      </c>
      <c r="R3068" t="s">
        <v>57</v>
      </c>
      <c r="S3068">
        <v>16</v>
      </c>
      <c r="T3068">
        <v>161</v>
      </c>
      <c r="U3068" s="1">
        <v>32387</v>
      </c>
      <c r="V3068" t="s">
        <v>5644</v>
      </c>
      <c r="W3068" t="s">
        <v>5645</v>
      </c>
      <c r="X3068" t="s">
        <v>58</v>
      </c>
      <c r="Y3068">
        <v>18</v>
      </c>
      <c r="Z3068" t="s">
        <v>59</v>
      </c>
      <c r="AA3068" t="s">
        <v>59</v>
      </c>
      <c r="AB3068" t="s">
        <v>59</v>
      </c>
      <c r="AC3068" t="s">
        <v>59</v>
      </c>
      <c r="AD3068" t="s">
        <v>59</v>
      </c>
      <c r="AF3068" s="1">
        <v>32387</v>
      </c>
      <c r="AG3068" t="s">
        <v>60</v>
      </c>
      <c r="AH3068" t="s">
        <v>61</v>
      </c>
      <c r="AI3068" t="str">
        <f>"9000648"</f>
        <v>9000648</v>
      </c>
      <c r="AJ3068" t="s">
        <v>62</v>
      </c>
      <c r="AK3068">
        <v>2831035185</v>
      </c>
      <c r="AL3068" t="s">
        <v>63</v>
      </c>
      <c r="AM3068" t="s">
        <v>64</v>
      </c>
      <c r="AN3068" t="s">
        <v>65</v>
      </c>
      <c r="AO3068" t="s">
        <v>65</v>
      </c>
      <c r="AP3068" t="s">
        <v>65</v>
      </c>
      <c r="AR3068" t="s">
        <v>66</v>
      </c>
      <c r="AS3068" t="s">
        <v>67</v>
      </c>
      <c r="AT3068" t="s">
        <v>58</v>
      </c>
      <c r="AU3068" t="s">
        <v>68</v>
      </c>
      <c r="AV3068" t="s">
        <v>69</v>
      </c>
      <c r="AW3068" s="1">
        <v>22463</v>
      </c>
      <c r="AX3068">
        <v>0</v>
      </c>
    </row>
    <row r="3069" spans="1:50">
      <c r="A3069">
        <v>227280</v>
      </c>
      <c r="B3069" t="str">
        <f>"131180368"</f>
        <v>131180368</v>
      </c>
      <c r="C3069" t="s">
        <v>105</v>
      </c>
      <c r="D3069" t="s">
        <v>6108</v>
      </c>
      <c r="E3069" t="s">
        <v>670</v>
      </c>
      <c r="F3069" t="s">
        <v>84</v>
      </c>
      <c r="G3069" t="s">
        <v>255</v>
      </c>
      <c r="H3069" t="str">
        <f>"ΣΥΓΓΡΟΥ 2 ΛΑΡΙΣΑ"</f>
        <v>ΣΥΓΓΡΟΥ 2 ΛΑΡΙΣΑ</v>
      </c>
      <c r="I3069">
        <v>41335</v>
      </c>
      <c r="J3069">
        <v>2410610628</v>
      </c>
      <c r="K3069">
        <v>6974091361</v>
      </c>
      <c r="N3069" t="s">
        <v>232</v>
      </c>
      <c r="O3069" t="s">
        <v>233</v>
      </c>
      <c r="R3069" t="s">
        <v>57</v>
      </c>
      <c r="S3069">
        <v>4</v>
      </c>
      <c r="T3069">
        <v>654</v>
      </c>
      <c r="U3069" s="1">
        <v>40043</v>
      </c>
      <c r="V3069" t="s">
        <v>5644</v>
      </c>
      <c r="W3069" t="s">
        <v>5645</v>
      </c>
      <c r="X3069" t="s">
        <v>58</v>
      </c>
      <c r="Y3069">
        <v>21</v>
      </c>
      <c r="Z3069" t="s">
        <v>59</v>
      </c>
      <c r="AA3069" t="s">
        <v>59</v>
      </c>
      <c r="AB3069" t="s">
        <v>59</v>
      </c>
      <c r="AC3069" t="s">
        <v>59</v>
      </c>
      <c r="AD3069" t="s">
        <v>59</v>
      </c>
      <c r="AF3069" s="1">
        <v>40057</v>
      </c>
      <c r="AG3069" t="s">
        <v>125</v>
      </c>
      <c r="AH3069" t="s">
        <v>126</v>
      </c>
      <c r="AI3069" t="str">
        <f>"4111010"</f>
        <v>4111010</v>
      </c>
      <c r="AJ3069" t="s">
        <v>5711</v>
      </c>
      <c r="AK3069">
        <v>2833022325</v>
      </c>
      <c r="AL3069" t="s">
        <v>5712</v>
      </c>
      <c r="AM3069" t="s">
        <v>64</v>
      </c>
      <c r="AN3069" t="s">
        <v>5713</v>
      </c>
      <c r="AO3069" t="s">
        <v>5714</v>
      </c>
      <c r="AP3069" t="s">
        <v>5715</v>
      </c>
      <c r="AQ3069">
        <v>4</v>
      </c>
      <c r="AR3069" t="s">
        <v>5644</v>
      </c>
      <c r="AS3069" t="s">
        <v>5645</v>
      </c>
      <c r="AT3069" t="s">
        <v>58</v>
      </c>
      <c r="AU3069" t="s">
        <v>68</v>
      </c>
      <c r="AV3069" t="s">
        <v>69</v>
      </c>
      <c r="AW3069" s="1">
        <v>28119</v>
      </c>
      <c r="AX3069">
        <v>2</v>
      </c>
    </row>
    <row r="3070" spans="1:50">
      <c r="A3070">
        <v>222223</v>
      </c>
      <c r="B3070" t="str">
        <f>"117975394"</f>
        <v>117975394</v>
      </c>
      <c r="C3070" t="s">
        <v>50</v>
      </c>
      <c r="D3070" t="s">
        <v>6109</v>
      </c>
      <c r="E3070" t="s">
        <v>809</v>
      </c>
      <c r="F3070" t="s">
        <v>166</v>
      </c>
      <c r="G3070" t="s">
        <v>563</v>
      </c>
      <c r="H3070" t="str">
        <f>"ΠΑΝΟΡΜΟ ΜΥΛΟΠΟΤΑΜΟΣ"</f>
        <v>ΠΑΝΟΡΜΟ ΜΥΛΟΠΟΤΑΜΟΣ</v>
      </c>
      <c r="I3070">
        <v>74051</v>
      </c>
      <c r="J3070">
        <v>2109831354</v>
      </c>
      <c r="K3070">
        <v>6937469079</v>
      </c>
      <c r="L3070">
        <v>2834051071</v>
      </c>
      <c r="M3070" t="s">
        <v>6110</v>
      </c>
      <c r="N3070" t="s">
        <v>146</v>
      </c>
      <c r="O3070" t="s">
        <v>147</v>
      </c>
      <c r="R3070" t="s">
        <v>57</v>
      </c>
      <c r="S3070">
        <v>6</v>
      </c>
      <c r="T3070">
        <v>775</v>
      </c>
      <c r="U3070" s="1">
        <v>39680</v>
      </c>
      <c r="V3070" t="s">
        <v>5644</v>
      </c>
      <c r="W3070" t="s">
        <v>5645</v>
      </c>
      <c r="X3070" t="s">
        <v>58</v>
      </c>
      <c r="Y3070">
        <v>21</v>
      </c>
      <c r="Z3070" t="s">
        <v>59</v>
      </c>
      <c r="AA3070" t="s">
        <v>59</v>
      </c>
      <c r="AB3070" t="s">
        <v>59</v>
      </c>
      <c r="AC3070" t="s">
        <v>59</v>
      </c>
      <c r="AD3070" t="s">
        <v>59</v>
      </c>
      <c r="AF3070" s="1">
        <v>39681</v>
      </c>
      <c r="AG3070" t="s">
        <v>137</v>
      </c>
      <c r="AH3070" t="s">
        <v>138</v>
      </c>
      <c r="AI3070" t="str">
        <f>"4140035"</f>
        <v>4140035</v>
      </c>
      <c r="AJ3070" t="s">
        <v>5905</v>
      </c>
      <c r="AK3070">
        <v>2834041440</v>
      </c>
      <c r="AL3070" t="s">
        <v>5906</v>
      </c>
      <c r="AM3070" t="s">
        <v>64</v>
      </c>
      <c r="AN3070" t="s">
        <v>5672</v>
      </c>
      <c r="AO3070" t="s">
        <v>5698</v>
      </c>
      <c r="AP3070" t="s">
        <v>5788</v>
      </c>
      <c r="AQ3070">
        <v>2</v>
      </c>
      <c r="AR3070" t="s">
        <v>5644</v>
      </c>
      <c r="AS3070" t="s">
        <v>5645</v>
      </c>
      <c r="AT3070" t="s">
        <v>58</v>
      </c>
      <c r="AU3070" t="s">
        <v>68</v>
      </c>
      <c r="AV3070" t="s">
        <v>69</v>
      </c>
      <c r="AW3070" s="1">
        <v>30006</v>
      </c>
      <c r="AX3070">
        <v>2</v>
      </c>
    </row>
    <row r="3071" spans="1:50">
      <c r="A3071">
        <v>212127</v>
      </c>
      <c r="B3071" t="str">
        <f>"119609039"</f>
        <v>119609039</v>
      </c>
      <c r="C3071" t="s">
        <v>50</v>
      </c>
      <c r="D3071" t="s">
        <v>2170</v>
      </c>
      <c r="E3071" t="s">
        <v>71</v>
      </c>
      <c r="F3071" t="s">
        <v>99</v>
      </c>
      <c r="G3071" t="s">
        <v>52</v>
      </c>
      <c r="H3071" t="str">
        <f>"ΔΗΜΟΚΡΑΤΙΑΣ ΒΙΟΛΙ ΧΑΡΑΚΙ"</f>
        <v>ΔΗΜΟΚΡΑΤΙΑΣ ΒΙΟΛΙ ΧΑΡΑΚΙ</v>
      </c>
      <c r="I3071">
        <v>74100</v>
      </c>
      <c r="J3071">
        <v>2831058442</v>
      </c>
      <c r="K3071">
        <v>6977408359</v>
      </c>
      <c r="N3071" t="s">
        <v>146</v>
      </c>
      <c r="O3071" t="s">
        <v>147</v>
      </c>
      <c r="R3071" t="s">
        <v>57</v>
      </c>
      <c r="S3071">
        <v>6</v>
      </c>
      <c r="T3071">
        <v>231</v>
      </c>
      <c r="U3071" s="1">
        <v>38960</v>
      </c>
      <c r="V3071" t="s">
        <v>5644</v>
      </c>
      <c r="W3071" t="s">
        <v>5645</v>
      </c>
      <c r="X3071" t="s">
        <v>58</v>
      </c>
      <c r="Y3071">
        <v>20</v>
      </c>
      <c r="Z3071" t="s">
        <v>59</v>
      </c>
      <c r="AA3071" t="s">
        <v>59</v>
      </c>
      <c r="AB3071" t="s">
        <v>59</v>
      </c>
      <c r="AC3071" t="s">
        <v>59</v>
      </c>
      <c r="AD3071" t="s">
        <v>59</v>
      </c>
      <c r="AF3071" s="1">
        <v>38964</v>
      </c>
      <c r="AG3071" t="s">
        <v>148</v>
      </c>
      <c r="AH3071" t="s">
        <v>149</v>
      </c>
      <c r="AI3071" t="str">
        <f>"4144001"</f>
        <v>4144001</v>
      </c>
      <c r="AJ3071" t="s">
        <v>5718</v>
      </c>
      <c r="AK3071">
        <v>2831033277</v>
      </c>
      <c r="AL3071" t="s">
        <v>5719</v>
      </c>
      <c r="AM3071" t="s">
        <v>64</v>
      </c>
      <c r="AN3071" t="s">
        <v>65</v>
      </c>
      <c r="AO3071" t="s">
        <v>5720</v>
      </c>
      <c r="AP3071" t="s">
        <v>5721</v>
      </c>
      <c r="AQ3071">
        <v>1</v>
      </c>
      <c r="AR3071" t="s">
        <v>5644</v>
      </c>
      <c r="AS3071" t="s">
        <v>5645</v>
      </c>
      <c r="AT3071" t="s">
        <v>58</v>
      </c>
      <c r="AU3071" t="s">
        <v>68</v>
      </c>
      <c r="AV3071" t="s">
        <v>357</v>
      </c>
      <c r="AW3071" s="1">
        <v>28322</v>
      </c>
      <c r="AX3071">
        <v>2</v>
      </c>
    </row>
    <row r="3072" spans="1:50">
      <c r="A3072">
        <v>220411</v>
      </c>
      <c r="B3072" t="str">
        <f>"065450685"</f>
        <v>065450685</v>
      </c>
      <c r="C3072" t="s">
        <v>50</v>
      </c>
      <c r="D3072" t="s">
        <v>6111</v>
      </c>
      <c r="E3072" t="s">
        <v>1207</v>
      </c>
      <c r="F3072" t="s">
        <v>72</v>
      </c>
      <c r="G3072" t="s">
        <v>52</v>
      </c>
      <c r="H3072" t="str">
        <f>"ΧΡΗΣΤΟΥ ΑΝΤΥΠΑ 10 ΡΕΘΥΜΝΟ"</f>
        <v>ΧΡΗΣΤΟΥ ΑΝΤΥΠΑ 10 ΡΕΘΥΜΝΟ</v>
      </c>
      <c r="I3072">
        <v>74100</v>
      </c>
      <c r="J3072">
        <v>2831052465</v>
      </c>
      <c r="K3072">
        <v>6944432069</v>
      </c>
      <c r="M3072" t="s">
        <v>6112</v>
      </c>
      <c r="N3072" t="s">
        <v>146</v>
      </c>
      <c r="O3072" t="s">
        <v>147</v>
      </c>
      <c r="R3072" t="s">
        <v>57</v>
      </c>
      <c r="S3072">
        <v>7</v>
      </c>
      <c r="T3072">
        <v>681</v>
      </c>
      <c r="U3072" s="1">
        <v>39325</v>
      </c>
      <c r="V3072" t="s">
        <v>5644</v>
      </c>
      <c r="W3072" t="s">
        <v>5645</v>
      </c>
      <c r="X3072" t="s">
        <v>58</v>
      </c>
      <c r="Y3072">
        <v>21</v>
      </c>
      <c r="Z3072" t="s">
        <v>59</v>
      </c>
      <c r="AA3072" t="s">
        <v>59</v>
      </c>
      <c r="AB3072" t="s">
        <v>59</v>
      </c>
      <c r="AC3072" t="s">
        <v>59</v>
      </c>
      <c r="AD3072" t="s">
        <v>59</v>
      </c>
      <c r="AF3072" s="1">
        <v>39329</v>
      </c>
      <c r="AG3072" t="s">
        <v>137</v>
      </c>
      <c r="AH3072" t="s">
        <v>138</v>
      </c>
      <c r="AI3072" t="str">
        <f>"4150040"</f>
        <v>4150040</v>
      </c>
      <c r="AJ3072" t="s">
        <v>5661</v>
      </c>
      <c r="AK3072">
        <v>2831029048</v>
      </c>
      <c r="AL3072" t="s">
        <v>5662</v>
      </c>
      <c r="AM3072" t="s">
        <v>64</v>
      </c>
      <c r="AN3072" t="s">
        <v>65</v>
      </c>
      <c r="AO3072" t="s">
        <v>65</v>
      </c>
      <c r="AP3072" t="s">
        <v>65</v>
      </c>
      <c r="AQ3072">
        <v>1</v>
      </c>
      <c r="AR3072" t="s">
        <v>5644</v>
      </c>
      <c r="AS3072" t="s">
        <v>5645</v>
      </c>
      <c r="AT3072" t="s">
        <v>58</v>
      </c>
      <c r="AU3072" t="s">
        <v>68</v>
      </c>
      <c r="AV3072" t="s">
        <v>69</v>
      </c>
      <c r="AW3072" s="1">
        <v>27914</v>
      </c>
      <c r="AX3072">
        <v>2</v>
      </c>
    </row>
    <row r="3073" spans="1:50">
      <c r="B3073" t="str">
        <f>"115471713"</f>
        <v>115471713</v>
      </c>
      <c r="C3073" t="s">
        <v>50</v>
      </c>
      <c r="D3073" t="s">
        <v>6113</v>
      </c>
      <c r="E3073" t="s">
        <v>755</v>
      </c>
      <c r="F3073" t="s">
        <v>84</v>
      </c>
      <c r="G3073" t="s">
        <v>73</v>
      </c>
      <c r="H3073" t="str">
        <f>"Λ. ΠΑΡΑΣΚΕΥΟΠΟΥΛΟΥ 24-26 ΑΘΗΝΑ"</f>
        <v>Λ. ΠΑΡΑΣΚΕΥΟΠΟΥΛΟΥ 24-26 ΑΘΗΝΑ</v>
      </c>
      <c r="I3073">
        <v>10445</v>
      </c>
      <c r="J3073">
        <v>2108312607</v>
      </c>
      <c r="K3073">
        <v>6978127510</v>
      </c>
      <c r="M3073" t="s">
        <v>6114</v>
      </c>
      <c r="N3073" t="s">
        <v>536</v>
      </c>
      <c r="O3073" t="s">
        <v>537</v>
      </c>
      <c r="R3073" t="s">
        <v>121</v>
      </c>
      <c r="S3073">
        <v>3</v>
      </c>
      <c r="T3073" t="s">
        <v>1944</v>
      </c>
      <c r="U3073" s="1">
        <v>43364</v>
      </c>
      <c r="V3073" t="s">
        <v>5644</v>
      </c>
      <c r="W3073" t="s">
        <v>5645</v>
      </c>
      <c r="X3073" t="s">
        <v>58</v>
      </c>
      <c r="Y3073">
        <v>23</v>
      </c>
      <c r="Z3073" t="s">
        <v>59</v>
      </c>
      <c r="AA3073" t="s">
        <v>59</v>
      </c>
      <c r="AB3073" t="s">
        <v>59</v>
      </c>
      <c r="AC3073" t="s">
        <v>59</v>
      </c>
      <c r="AD3073" t="s">
        <v>59</v>
      </c>
      <c r="AF3073" s="1">
        <v>43367</v>
      </c>
      <c r="AG3073" t="s">
        <v>137</v>
      </c>
      <c r="AH3073" t="s">
        <v>138</v>
      </c>
      <c r="AI3073" t="str">
        <f>"4150040"</f>
        <v>4150040</v>
      </c>
      <c r="AJ3073" t="s">
        <v>5661</v>
      </c>
      <c r="AK3073">
        <v>2831029048</v>
      </c>
      <c r="AL3073" t="s">
        <v>5662</v>
      </c>
      <c r="AM3073" t="s">
        <v>64</v>
      </c>
      <c r="AN3073" t="s">
        <v>65</v>
      </c>
      <c r="AO3073" t="s">
        <v>65</v>
      </c>
      <c r="AP3073" t="s">
        <v>65</v>
      </c>
      <c r="AQ3073">
        <v>1</v>
      </c>
      <c r="AR3073" t="s">
        <v>5644</v>
      </c>
      <c r="AS3073" t="s">
        <v>5645</v>
      </c>
      <c r="AT3073" t="s">
        <v>58</v>
      </c>
      <c r="AU3073" t="s">
        <v>350</v>
      </c>
      <c r="AV3073" t="s">
        <v>132</v>
      </c>
      <c r="AW3073" s="1">
        <v>27515</v>
      </c>
      <c r="AX3073">
        <v>2</v>
      </c>
    </row>
    <row r="3074" spans="1:50">
      <c r="A3074">
        <v>148267</v>
      </c>
      <c r="B3074" t="str">
        <f>"063668285"</f>
        <v>063668285</v>
      </c>
      <c r="C3074" t="s">
        <v>50</v>
      </c>
      <c r="D3074" t="s">
        <v>2232</v>
      </c>
      <c r="E3074" t="s">
        <v>52</v>
      </c>
      <c r="F3074" t="s">
        <v>111</v>
      </c>
      <c r="G3074" t="s">
        <v>3397</v>
      </c>
      <c r="H3074" t="str">
        <f>"Ι. ΑΘΑΝΑΣΙΑΔΗ 5 ΜΑΣΤΑΜΠΑΣ"</f>
        <v>Ι. ΑΘΑΝΑΣΙΑΔΗ 5 ΜΑΣΤΑΜΠΑΣ</v>
      </c>
      <c r="I3074">
        <v>74100</v>
      </c>
      <c r="N3074" t="s">
        <v>146</v>
      </c>
      <c r="O3074" t="s">
        <v>147</v>
      </c>
      <c r="R3074" t="s">
        <v>57</v>
      </c>
      <c r="S3074">
        <v>17</v>
      </c>
      <c r="T3074">
        <v>205</v>
      </c>
      <c r="U3074" s="1">
        <v>31658</v>
      </c>
      <c r="V3074" t="s">
        <v>5644</v>
      </c>
      <c r="W3074" t="s">
        <v>5645</v>
      </c>
      <c r="X3074" t="s">
        <v>58</v>
      </c>
      <c r="Y3074">
        <v>18</v>
      </c>
      <c r="Z3074" t="s">
        <v>59</v>
      </c>
      <c r="AA3074" t="s">
        <v>59</v>
      </c>
      <c r="AB3074" t="s">
        <v>59</v>
      </c>
      <c r="AC3074" t="s">
        <v>59</v>
      </c>
      <c r="AD3074" t="s">
        <v>59</v>
      </c>
      <c r="AF3074" s="1">
        <v>31658</v>
      </c>
      <c r="AG3074" t="s">
        <v>125</v>
      </c>
      <c r="AH3074" t="s">
        <v>126</v>
      </c>
      <c r="AI3074" t="str">
        <f>"4101010"</f>
        <v>4101010</v>
      </c>
      <c r="AJ3074" t="s">
        <v>5814</v>
      </c>
      <c r="AK3074">
        <v>2831022283</v>
      </c>
      <c r="AL3074" t="s">
        <v>5815</v>
      </c>
      <c r="AM3074" t="s">
        <v>64</v>
      </c>
      <c r="AN3074" t="s">
        <v>65</v>
      </c>
      <c r="AO3074" t="s">
        <v>65</v>
      </c>
      <c r="AP3074" t="s">
        <v>65</v>
      </c>
      <c r="AQ3074">
        <v>1</v>
      </c>
      <c r="AR3074" t="s">
        <v>5644</v>
      </c>
      <c r="AS3074" t="s">
        <v>5645</v>
      </c>
      <c r="AT3074" t="s">
        <v>58</v>
      </c>
      <c r="AU3074" t="s">
        <v>68</v>
      </c>
      <c r="AV3074" t="s">
        <v>69</v>
      </c>
      <c r="AW3074" s="1">
        <v>21369</v>
      </c>
      <c r="AX3074">
        <v>2</v>
      </c>
    </row>
    <row r="3075" spans="1:50">
      <c r="A3075">
        <v>206661</v>
      </c>
      <c r="B3075" t="str">
        <f>"038834073"</f>
        <v>038834073</v>
      </c>
      <c r="C3075" t="s">
        <v>50</v>
      </c>
      <c r="D3075" t="s">
        <v>314</v>
      </c>
      <c r="E3075" t="s">
        <v>54</v>
      </c>
      <c r="F3075" t="s">
        <v>1316</v>
      </c>
      <c r="G3075" t="s">
        <v>372</v>
      </c>
      <c r="H3075" t="str">
        <f>"ΜΑΧΗΤΩΝ ΣΧΟΛΗΣ ΧΩΡΟΦΥΛΑΚΗΣ 48 ΡΕΘΥΜΝΟ"</f>
        <v>ΜΑΧΗΤΩΝ ΣΧΟΛΗΣ ΧΩΡΟΦΥΛΑΚΗΣ 48 ΡΕΘΥΜΝΟ</v>
      </c>
      <c r="I3075">
        <v>74100</v>
      </c>
      <c r="J3075">
        <v>2831052207</v>
      </c>
      <c r="K3075">
        <v>6948831397</v>
      </c>
      <c r="N3075" t="s">
        <v>146</v>
      </c>
      <c r="O3075" t="s">
        <v>147</v>
      </c>
      <c r="R3075" t="s">
        <v>57</v>
      </c>
      <c r="S3075">
        <v>7</v>
      </c>
      <c r="T3075" t="s">
        <v>5366</v>
      </c>
      <c r="U3075" s="1">
        <v>38596</v>
      </c>
      <c r="V3075" t="s">
        <v>5644</v>
      </c>
      <c r="W3075" t="s">
        <v>5645</v>
      </c>
      <c r="X3075" t="s">
        <v>58</v>
      </c>
      <c r="Y3075">
        <v>20</v>
      </c>
      <c r="Z3075" t="s">
        <v>59</v>
      </c>
      <c r="AA3075" t="s">
        <v>59</v>
      </c>
      <c r="AB3075" t="s">
        <v>59</v>
      </c>
      <c r="AC3075" t="s">
        <v>59</v>
      </c>
      <c r="AD3075" t="s">
        <v>59</v>
      </c>
      <c r="AF3075" s="1">
        <v>38596</v>
      </c>
      <c r="AG3075" t="s">
        <v>148</v>
      </c>
      <c r="AH3075" t="s">
        <v>149</v>
      </c>
      <c r="AI3075" t="str">
        <f>"4151020"</f>
        <v>4151020</v>
      </c>
      <c r="AJ3075" t="s">
        <v>5725</v>
      </c>
      <c r="AK3075">
        <v>2831022475</v>
      </c>
      <c r="AL3075" t="s">
        <v>5726</v>
      </c>
      <c r="AM3075" t="s">
        <v>64</v>
      </c>
      <c r="AN3075" t="s">
        <v>65</v>
      </c>
      <c r="AO3075" t="s">
        <v>65</v>
      </c>
      <c r="AP3075" t="s">
        <v>65</v>
      </c>
      <c r="AQ3075">
        <v>1</v>
      </c>
      <c r="AR3075" t="s">
        <v>5644</v>
      </c>
      <c r="AS3075" t="s">
        <v>5645</v>
      </c>
      <c r="AT3075" t="s">
        <v>58</v>
      </c>
      <c r="AU3075" t="s">
        <v>68</v>
      </c>
      <c r="AV3075" t="s">
        <v>69</v>
      </c>
      <c r="AW3075" s="1">
        <v>24437</v>
      </c>
      <c r="AX3075">
        <v>2</v>
      </c>
    </row>
    <row r="3076" spans="1:50">
      <c r="A3076">
        <v>197205</v>
      </c>
      <c r="B3076" t="str">
        <f>"102982376"</f>
        <v>102982376</v>
      </c>
      <c r="C3076" t="s">
        <v>50</v>
      </c>
      <c r="D3076" t="s">
        <v>6115</v>
      </c>
      <c r="E3076" t="s">
        <v>3477</v>
      </c>
      <c r="F3076" t="s">
        <v>99</v>
      </c>
      <c r="G3076" t="s">
        <v>155</v>
      </c>
      <c r="H3076" t="str">
        <f>"Η. ΔΕΛΗΓΙΑΝΝΑΚΗ 6 ΜΑΣΤΑΜΠΑΣ"</f>
        <v>Η. ΔΕΛΗΓΙΑΝΝΑΚΗ 6 ΜΑΣΤΑΜΠΑΣ</v>
      </c>
      <c r="I3076">
        <v>74100</v>
      </c>
      <c r="J3076">
        <v>2831057610</v>
      </c>
      <c r="K3076">
        <v>6945220865</v>
      </c>
      <c r="L3076">
        <v>2831023615</v>
      </c>
      <c r="M3076" t="s">
        <v>6116</v>
      </c>
      <c r="N3076" t="s">
        <v>146</v>
      </c>
      <c r="O3076" t="s">
        <v>147</v>
      </c>
      <c r="R3076" t="s">
        <v>57</v>
      </c>
      <c r="S3076">
        <v>10</v>
      </c>
      <c r="T3076">
        <v>206</v>
      </c>
      <c r="U3076" s="1">
        <v>37866</v>
      </c>
      <c r="V3076" t="s">
        <v>5644</v>
      </c>
      <c r="W3076" t="s">
        <v>5645</v>
      </c>
      <c r="X3076" t="s">
        <v>58</v>
      </c>
      <c r="Y3076">
        <v>18</v>
      </c>
      <c r="Z3076" t="s">
        <v>59</v>
      </c>
      <c r="AA3076" t="s">
        <v>59</v>
      </c>
      <c r="AB3076" t="s">
        <v>59</v>
      </c>
      <c r="AC3076" t="s">
        <v>59</v>
      </c>
      <c r="AD3076" t="s">
        <v>59</v>
      </c>
      <c r="AF3076" s="1">
        <v>37866</v>
      </c>
      <c r="AG3076" t="s">
        <v>148</v>
      </c>
      <c r="AH3076" t="s">
        <v>149</v>
      </c>
      <c r="AI3076" t="str">
        <f>"4151009"</f>
        <v>4151009</v>
      </c>
      <c r="AJ3076" t="s">
        <v>5649</v>
      </c>
      <c r="AK3076">
        <v>2831027115</v>
      </c>
      <c r="AL3076" t="s">
        <v>5650</v>
      </c>
      <c r="AM3076" t="s">
        <v>64</v>
      </c>
      <c r="AN3076" t="s">
        <v>65</v>
      </c>
      <c r="AO3076" t="s">
        <v>65</v>
      </c>
      <c r="AP3076" t="s">
        <v>65</v>
      </c>
      <c r="AQ3076">
        <v>1</v>
      </c>
      <c r="AR3076" t="s">
        <v>5644</v>
      </c>
      <c r="AS3076" t="s">
        <v>5645</v>
      </c>
      <c r="AT3076" t="s">
        <v>58</v>
      </c>
      <c r="AU3076" t="s">
        <v>68</v>
      </c>
      <c r="AV3076" t="s">
        <v>69</v>
      </c>
      <c r="AW3076" s="1">
        <v>24736</v>
      </c>
      <c r="AX3076">
        <v>2</v>
      </c>
    </row>
    <row r="3077" spans="1:50">
      <c r="A3077">
        <v>227431</v>
      </c>
      <c r="B3077" t="str">
        <f>"126512035"</f>
        <v>126512035</v>
      </c>
      <c r="C3077" t="s">
        <v>105</v>
      </c>
      <c r="D3077" t="s">
        <v>6117</v>
      </c>
      <c r="E3077" t="s">
        <v>202</v>
      </c>
      <c r="F3077" t="s">
        <v>84</v>
      </c>
      <c r="G3077" t="s">
        <v>237</v>
      </c>
      <c r="H3077" t="str">
        <f>"Θ. ΚΟΛΟΚΟΤΡΩΝΗ 27 ΚΑΛΛΙΘΕΑ"</f>
        <v>Θ. ΚΟΛΟΚΟΤΡΩΝΗ 27 ΚΑΛΛΙΘΕΑ</v>
      </c>
      <c r="I3077">
        <v>74133</v>
      </c>
      <c r="K3077">
        <v>6976685739</v>
      </c>
      <c r="N3077" t="s">
        <v>199</v>
      </c>
      <c r="O3077" t="s">
        <v>200</v>
      </c>
      <c r="R3077" t="s">
        <v>57</v>
      </c>
      <c r="S3077">
        <v>10</v>
      </c>
      <c r="T3077">
        <v>654</v>
      </c>
      <c r="U3077" s="1">
        <v>40043</v>
      </c>
      <c r="V3077" t="s">
        <v>5644</v>
      </c>
      <c r="W3077" t="s">
        <v>5645</v>
      </c>
      <c r="X3077" t="s">
        <v>58</v>
      </c>
      <c r="Y3077">
        <v>21</v>
      </c>
      <c r="Z3077" t="s">
        <v>59</v>
      </c>
      <c r="AA3077" t="s">
        <v>59</v>
      </c>
      <c r="AB3077" t="s">
        <v>59</v>
      </c>
      <c r="AC3077" t="s">
        <v>59</v>
      </c>
      <c r="AD3077" t="s">
        <v>59</v>
      </c>
      <c r="AF3077" s="1">
        <v>40043</v>
      </c>
      <c r="AG3077" t="s">
        <v>148</v>
      </c>
      <c r="AH3077" t="s">
        <v>149</v>
      </c>
      <c r="AI3077" t="str">
        <f>"4151009"</f>
        <v>4151009</v>
      </c>
      <c r="AJ3077" t="s">
        <v>5649</v>
      </c>
      <c r="AK3077">
        <v>2831027115</v>
      </c>
      <c r="AL3077" t="s">
        <v>5650</v>
      </c>
      <c r="AM3077" t="s">
        <v>64</v>
      </c>
      <c r="AN3077" t="s">
        <v>65</v>
      </c>
      <c r="AO3077" t="s">
        <v>65</v>
      </c>
      <c r="AP3077" t="s">
        <v>65</v>
      </c>
      <c r="AQ3077">
        <v>1</v>
      </c>
      <c r="AR3077" t="s">
        <v>5644</v>
      </c>
      <c r="AS3077" t="s">
        <v>5645</v>
      </c>
      <c r="AT3077" t="s">
        <v>58</v>
      </c>
      <c r="AU3077" t="s">
        <v>68</v>
      </c>
      <c r="AV3077" t="s">
        <v>357</v>
      </c>
      <c r="AW3077" s="1">
        <v>27495</v>
      </c>
      <c r="AX3077">
        <v>2</v>
      </c>
    </row>
    <row r="3078" spans="1:50">
      <c r="B3078" t="str">
        <f>"052608302"</f>
        <v>052608302</v>
      </c>
      <c r="C3078" t="s">
        <v>105</v>
      </c>
      <c r="D3078" t="s">
        <v>2252</v>
      </c>
      <c r="E3078" t="s">
        <v>84</v>
      </c>
      <c r="F3078" t="s">
        <v>936</v>
      </c>
      <c r="G3078" t="s">
        <v>4127</v>
      </c>
      <c r="H3078" t="str">
        <f>"Ν ΠΙΤΣΟΥΛΑΚΗ 9 ΗΡΑΚΛΕΙΟ"</f>
        <v>Ν ΠΙΤΣΟΥΛΑΚΗ 9 ΗΡΑΚΛΕΙΟ</v>
      </c>
      <c r="I3078">
        <v>71307</v>
      </c>
      <c r="J3078">
        <v>2810323157</v>
      </c>
      <c r="K3078">
        <v>6946018231</v>
      </c>
      <c r="N3078" t="s">
        <v>299</v>
      </c>
      <c r="O3078" t="s">
        <v>300</v>
      </c>
      <c r="R3078" t="s">
        <v>57</v>
      </c>
      <c r="S3078">
        <v>5</v>
      </c>
      <c r="T3078" t="s">
        <v>416</v>
      </c>
      <c r="U3078" s="1">
        <v>43349</v>
      </c>
      <c r="V3078" t="s">
        <v>5644</v>
      </c>
      <c r="W3078" t="s">
        <v>5645</v>
      </c>
      <c r="X3078" t="s">
        <v>58</v>
      </c>
      <c r="Y3078">
        <v>21</v>
      </c>
      <c r="Z3078" t="s">
        <v>59</v>
      </c>
      <c r="AA3078" t="s">
        <v>59</v>
      </c>
      <c r="AB3078" t="s">
        <v>59</v>
      </c>
      <c r="AC3078" t="s">
        <v>59</v>
      </c>
      <c r="AD3078" t="s">
        <v>59</v>
      </c>
      <c r="AF3078" s="1">
        <v>43349</v>
      </c>
      <c r="AG3078" t="s">
        <v>148</v>
      </c>
      <c r="AH3078" t="s">
        <v>149</v>
      </c>
      <c r="AI3078" t="str">
        <f>"4154010"</f>
        <v>4154010</v>
      </c>
      <c r="AJ3078" t="s">
        <v>5687</v>
      </c>
      <c r="AK3078">
        <v>2834023300</v>
      </c>
      <c r="AL3078" t="s">
        <v>5688</v>
      </c>
      <c r="AM3078" t="s">
        <v>64</v>
      </c>
      <c r="AN3078" t="s">
        <v>5672</v>
      </c>
      <c r="AO3078" t="s">
        <v>5673</v>
      </c>
      <c r="AP3078" t="s">
        <v>5689</v>
      </c>
      <c r="AQ3078">
        <v>2</v>
      </c>
      <c r="AR3078" t="s">
        <v>5644</v>
      </c>
      <c r="AS3078" t="s">
        <v>5645</v>
      </c>
      <c r="AT3078" t="s">
        <v>58</v>
      </c>
      <c r="AU3078" t="s">
        <v>419</v>
      </c>
      <c r="AV3078" t="s">
        <v>132</v>
      </c>
      <c r="AW3078" s="1">
        <v>24804</v>
      </c>
      <c r="AX3078">
        <v>2</v>
      </c>
    </row>
    <row r="3079" spans="1:50">
      <c r="B3079" t="str">
        <f>"079298682"</f>
        <v>079298682</v>
      </c>
      <c r="C3079" t="s">
        <v>105</v>
      </c>
      <c r="D3079" t="s">
        <v>2252</v>
      </c>
      <c r="E3079" t="s">
        <v>474</v>
      </c>
      <c r="F3079" t="s">
        <v>936</v>
      </c>
      <c r="G3079" t="s">
        <v>250</v>
      </c>
      <c r="H3079" t="str">
        <f>"ΜΑΤΘΑΙΑΚΗ 43 ΗΡΑΚΛΕΙΟ"</f>
        <v>ΜΑΤΘΑΙΑΚΗ 43 ΗΡΑΚΛΕΙΟ</v>
      </c>
      <c r="I3079">
        <v>71305</v>
      </c>
      <c r="J3079">
        <v>2810752887</v>
      </c>
      <c r="K3079">
        <v>6947023142</v>
      </c>
      <c r="N3079" t="s">
        <v>257</v>
      </c>
      <c r="O3079" t="s">
        <v>258</v>
      </c>
      <c r="R3079" t="s">
        <v>159</v>
      </c>
      <c r="S3079">
        <v>2</v>
      </c>
      <c r="T3079" t="s">
        <v>574</v>
      </c>
      <c r="U3079" s="1">
        <v>43378</v>
      </c>
      <c r="V3079" t="s">
        <v>5644</v>
      </c>
      <c r="W3079" t="s">
        <v>5645</v>
      </c>
      <c r="X3079" t="s">
        <v>58</v>
      </c>
      <c r="Y3079">
        <v>23</v>
      </c>
      <c r="Z3079" t="s">
        <v>59</v>
      </c>
      <c r="AA3079" t="s">
        <v>59</v>
      </c>
      <c r="AB3079" t="s">
        <v>59</v>
      </c>
      <c r="AC3079" t="s">
        <v>59</v>
      </c>
      <c r="AD3079" t="s">
        <v>59</v>
      </c>
      <c r="AF3079" s="1">
        <v>43381</v>
      </c>
      <c r="AG3079" t="s">
        <v>125</v>
      </c>
      <c r="AH3079" t="s">
        <v>126</v>
      </c>
      <c r="AI3079" t="str">
        <f>"4104010"</f>
        <v>4104010</v>
      </c>
      <c r="AJ3079" t="s">
        <v>5745</v>
      </c>
      <c r="AK3079">
        <v>2834022235</v>
      </c>
      <c r="AL3079" t="s">
        <v>5746</v>
      </c>
      <c r="AM3079" t="s">
        <v>64</v>
      </c>
      <c r="AN3079" t="s">
        <v>5672</v>
      </c>
      <c r="AO3079" t="s">
        <v>5673</v>
      </c>
      <c r="AP3079" t="s">
        <v>5689</v>
      </c>
      <c r="AQ3079">
        <v>2</v>
      </c>
      <c r="AR3079" t="s">
        <v>5644</v>
      </c>
      <c r="AS3079" t="s">
        <v>5645</v>
      </c>
      <c r="AT3079" t="s">
        <v>58</v>
      </c>
      <c r="AU3079" t="s">
        <v>164</v>
      </c>
      <c r="AV3079" t="s">
        <v>132</v>
      </c>
      <c r="AW3079" s="1">
        <v>25671</v>
      </c>
      <c r="AX3079">
        <v>2</v>
      </c>
    </row>
    <row r="3080" spans="1:50">
      <c r="B3080" t="str">
        <f>"149665896"</f>
        <v>149665896</v>
      </c>
      <c r="C3080" t="s">
        <v>50</v>
      </c>
      <c r="D3080" t="s">
        <v>6118</v>
      </c>
      <c r="E3080" t="s">
        <v>191</v>
      </c>
      <c r="F3080" t="s">
        <v>383</v>
      </c>
      <c r="G3080" t="s">
        <v>52</v>
      </c>
      <c r="H3080" t="str">
        <f>" "</f>
        <v xml:space="preserve"> </v>
      </c>
      <c r="N3080" t="s">
        <v>1647</v>
      </c>
      <c r="O3080" t="s">
        <v>1648</v>
      </c>
      <c r="R3080" t="s">
        <v>121</v>
      </c>
      <c r="S3080">
        <v>1</v>
      </c>
      <c r="T3080" t="s">
        <v>574</v>
      </c>
      <c r="U3080" s="1">
        <v>43378</v>
      </c>
      <c r="V3080" t="s">
        <v>5644</v>
      </c>
      <c r="W3080" t="s">
        <v>5645</v>
      </c>
      <c r="X3080" t="s">
        <v>58</v>
      </c>
      <c r="Y3080">
        <v>23</v>
      </c>
      <c r="Z3080" t="s">
        <v>59</v>
      </c>
      <c r="AD3080" t="s">
        <v>59</v>
      </c>
      <c r="AF3080" s="1">
        <v>43381</v>
      </c>
      <c r="AG3080" t="s">
        <v>137</v>
      </c>
      <c r="AH3080" t="s">
        <v>138</v>
      </c>
      <c r="AI3080" t="str">
        <f>"4150040"</f>
        <v>4150040</v>
      </c>
      <c r="AJ3080" t="s">
        <v>5661</v>
      </c>
      <c r="AK3080">
        <v>2831029048</v>
      </c>
      <c r="AL3080" t="s">
        <v>5662</v>
      </c>
      <c r="AM3080" t="s">
        <v>64</v>
      </c>
      <c r="AN3080" t="s">
        <v>65</v>
      </c>
      <c r="AO3080" t="s">
        <v>65</v>
      </c>
      <c r="AP3080" t="s">
        <v>65</v>
      </c>
      <c r="AQ3080">
        <v>1</v>
      </c>
      <c r="AR3080" t="s">
        <v>5644</v>
      </c>
      <c r="AS3080" t="s">
        <v>5645</v>
      </c>
      <c r="AT3080" t="s">
        <v>58</v>
      </c>
      <c r="AU3080" t="s">
        <v>164</v>
      </c>
      <c r="AV3080" t="s">
        <v>132</v>
      </c>
      <c r="AW3080" s="1">
        <v>32823</v>
      </c>
      <c r="AX3080">
        <v>2</v>
      </c>
    </row>
    <row r="3081" spans="1:50">
      <c r="A3081">
        <v>224433</v>
      </c>
      <c r="B3081" t="str">
        <f>"150116561"</f>
        <v>150116561</v>
      </c>
      <c r="C3081" t="s">
        <v>50</v>
      </c>
      <c r="D3081" t="s">
        <v>6119</v>
      </c>
      <c r="E3081" t="s">
        <v>52</v>
      </c>
      <c r="F3081" t="s">
        <v>99</v>
      </c>
      <c r="G3081" t="s">
        <v>600</v>
      </c>
      <c r="H3081" t="str">
        <f>"ΣΚΟΡΔΑΛΟΥ 1 ΡΕΘΥΜΝΟ"</f>
        <v>ΣΚΟΡΔΑΛΟΥ 1 ΡΕΘΥΜΝΟ</v>
      </c>
      <c r="I3081">
        <v>74100</v>
      </c>
      <c r="K3081">
        <v>6936242987</v>
      </c>
      <c r="M3081" t="s">
        <v>6120</v>
      </c>
      <c r="N3081" t="s">
        <v>288</v>
      </c>
      <c r="O3081" t="s">
        <v>289</v>
      </c>
      <c r="R3081" t="s">
        <v>57</v>
      </c>
      <c r="S3081">
        <v>7</v>
      </c>
      <c r="T3081">
        <v>775</v>
      </c>
      <c r="U3081" s="1">
        <v>39680</v>
      </c>
      <c r="V3081" t="s">
        <v>5644</v>
      </c>
      <c r="W3081" t="s">
        <v>5645</v>
      </c>
      <c r="X3081" t="s">
        <v>58</v>
      </c>
      <c r="Y3081">
        <v>20</v>
      </c>
      <c r="Z3081" t="s">
        <v>59</v>
      </c>
      <c r="AA3081" t="s">
        <v>59</v>
      </c>
      <c r="AB3081" t="s">
        <v>59</v>
      </c>
      <c r="AC3081" t="s">
        <v>59</v>
      </c>
      <c r="AD3081" t="s">
        <v>59</v>
      </c>
      <c r="AF3081" s="1">
        <v>40422</v>
      </c>
      <c r="AG3081" t="s">
        <v>125</v>
      </c>
      <c r="AH3081" t="s">
        <v>126</v>
      </c>
      <c r="AI3081" t="str">
        <f>"4101040"</f>
        <v>4101040</v>
      </c>
      <c r="AJ3081" t="s">
        <v>5732</v>
      </c>
      <c r="AK3081">
        <v>2831029261</v>
      </c>
      <c r="AL3081" t="s">
        <v>5733</v>
      </c>
      <c r="AM3081" t="s">
        <v>64</v>
      </c>
      <c r="AN3081" t="s">
        <v>65</v>
      </c>
      <c r="AO3081" t="s">
        <v>65</v>
      </c>
      <c r="AP3081" t="s">
        <v>65</v>
      </c>
      <c r="AQ3081">
        <v>1</v>
      </c>
      <c r="AR3081" t="s">
        <v>5644</v>
      </c>
      <c r="AS3081" t="s">
        <v>5645</v>
      </c>
      <c r="AT3081" t="s">
        <v>58</v>
      </c>
      <c r="AU3081" t="s">
        <v>68</v>
      </c>
      <c r="AV3081" t="s">
        <v>69</v>
      </c>
      <c r="AW3081" s="1">
        <v>27338</v>
      </c>
      <c r="AX3081">
        <v>2</v>
      </c>
    </row>
    <row r="3082" spans="1:50">
      <c r="B3082" t="str">
        <f>"135359730"</f>
        <v>135359730</v>
      </c>
      <c r="C3082" t="s">
        <v>105</v>
      </c>
      <c r="D3082" t="s">
        <v>2254</v>
      </c>
      <c r="E3082" t="s">
        <v>53</v>
      </c>
      <c r="F3082" t="s">
        <v>108</v>
      </c>
      <c r="G3082" t="s">
        <v>52</v>
      </c>
      <c r="H3082" t="str">
        <f>"ΣΠΥΡΟΥ ΜΕΛΑ 38 "</f>
        <v xml:space="preserve">ΣΠΥΡΟΥ ΜΕΛΑ 38 </v>
      </c>
      <c r="I3082">
        <v>14452</v>
      </c>
      <c r="J3082">
        <v>2102827321</v>
      </c>
      <c r="K3082">
        <v>6945395914</v>
      </c>
      <c r="N3082" t="s">
        <v>119</v>
      </c>
      <c r="O3082" t="s">
        <v>120</v>
      </c>
      <c r="R3082" t="s">
        <v>159</v>
      </c>
      <c r="S3082">
        <v>2</v>
      </c>
      <c r="T3082" t="s">
        <v>5643</v>
      </c>
      <c r="U3082" s="1">
        <v>43348</v>
      </c>
      <c r="V3082" t="s">
        <v>5644</v>
      </c>
      <c r="W3082" t="s">
        <v>5645</v>
      </c>
      <c r="X3082" t="s">
        <v>58</v>
      </c>
      <c r="Y3082">
        <v>23</v>
      </c>
      <c r="Z3082" t="s">
        <v>59</v>
      </c>
      <c r="AA3082" t="s">
        <v>59</v>
      </c>
      <c r="AB3082" t="s">
        <v>59</v>
      </c>
      <c r="AC3082" t="s">
        <v>59</v>
      </c>
      <c r="AD3082" t="s">
        <v>59</v>
      </c>
      <c r="AF3082" s="1">
        <v>43348</v>
      </c>
      <c r="AG3082" t="s">
        <v>345</v>
      </c>
      <c r="AH3082" t="s">
        <v>346</v>
      </c>
      <c r="AI3082" t="str">
        <f>"4141010"</f>
        <v>4141010</v>
      </c>
      <c r="AJ3082" t="s">
        <v>6121</v>
      </c>
      <c r="AK3082">
        <v>2831035068</v>
      </c>
      <c r="AL3082" t="s">
        <v>6122</v>
      </c>
      <c r="AM3082" t="s">
        <v>64</v>
      </c>
      <c r="AN3082" t="s">
        <v>65</v>
      </c>
      <c r="AO3082" t="s">
        <v>65</v>
      </c>
      <c r="AP3082" t="s">
        <v>65</v>
      </c>
      <c r="AQ3082">
        <v>1</v>
      </c>
      <c r="AR3082" t="s">
        <v>5644</v>
      </c>
      <c r="AS3082" t="s">
        <v>5645</v>
      </c>
      <c r="AT3082" t="s">
        <v>58</v>
      </c>
      <c r="AU3082" t="s">
        <v>350</v>
      </c>
      <c r="AV3082" t="s">
        <v>132</v>
      </c>
      <c r="AW3082" s="1">
        <v>28190</v>
      </c>
      <c r="AX3082">
        <v>2</v>
      </c>
    </row>
    <row r="3083" spans="1:50">
      <c r="A3083">
        <v>223001</v>
      </c>
      <c r="B3083" t="str">
        <f>"054430484"</f>
        <v>054430484</v>
      </c>
      <c r="C3083" t="s">
        <v>50</v>
      </c>
      <c r="D3083" t="s">
        <v>2257</v>
      </c>
      <c r="E3083" t="s">
        <v>809</v>
      </c>
      <c r="F3083" t="s">
        <v>108</v>
      </c>
      <c r="G3083" t="s">
        <v>280</v>
      </c>
      <c r="H3083" t="str">
        <f>"ΣΦΑΚΑΚΙ ΡΕΘΥΜΝΟ"</f>
        <v>ΣΦΑΚΑΚΙ ΡΕΘΥΜΝΟ</v>
      </c>
      <c r="I3083">
        <v>74100</v>
      </c>
      <c r="J3083">
        <v>2831072763</v>
      </c>
      <c r="K3083">
        <v>6972268008</v>
      </c>
      <c r="M3083" t="s">
        <v>6123</v>
      </c>
      <c r="N3083" t="s">
        <v>292</v>
      </c>
      <c r="O3083" t="s">
        <v>293</v>
      </c>
      <c r="R3083" t="s">
        <v>57</v>
      </c>
      <c r="S3083">
        <v>5</v>
      </c>
      <c r="T3083">
        <v>775</v>
      </c>
      <c r="U3083" s="1">
        <v>39680</v>
      </c>
      <c r="V3083" t="s">
        <v>5644</v>
      </c>
      <c r="W3083" t="s">
        <v>5645</v>
      </c>
      <c r="X3083" t="s">
        <v>58</v>
      </c>
      <c r="Y3083">
        <v>21</v>
      </c>
      <c r="Z3083" t="s">
        <v>59</v>
      </c>
      <c r="AA3083" t="s">
        <v>59</v>
      </c>
      <c r="AB3083" t="s">
        <v>59</v>
      </c>
      <c r="AC3083" t="s">
        <v>59</v>
      </c>
      <c r="AD3083" t="s">
        <v>59</v>
      </c>
      <c r="AF3083" s="1">
        <v>39681</v>
      </c>
      <c r="AG3083" t="s">
        <v>148</v>
      </c>
      <c r="AH3083" t="s">
        <v>149</v>
      </c>
      <c r="AI3083" t="str">
        <f>"4144003"</f>
        <v>4144003</v>
      </c>
      <c r="AJ3083" t="s">
        <v>5757</v>
      </c>
      <c r="AK3083">
        <v>2831073970</v>
      </c>
      <c r="AL3083" t="s">
        <v>5758</v>
      </c>
      <c r="AM3083" t="s">
        <v>64</v>
      </c>
      <c r="AN3083" t="s">
        <v>65</v>
      </c>
      <c r="AO3083" t="s">
        <v>65</v>
      </c>
      <c r="AP3083" t="s">
        <v>65</v>
      </c>
      <c r="AQ3083">
        <v>1</v>
      </c>
      <c r="AR3083" t="s">
        <v>5644</v>
      </c>
      <c r="AS3083" t="s">
        <v>5645</v>
      </c>
      <c r="AT3083" t="s">
        <v>58</v>
      </c>
      <c r="AU3083" t="s">
        <v>68</v>
      </c>
      <c r="AV3083" t="s">
        <v>69</v>
      </c>
      <c r="AW3083" s="1">
        <v>27302</v>
      </c>
      <c r="AX3083">
        <v>2</v>
      </c>
    </row>
    <row r="3084" spans="1:50">
      <c r="A3084">
        <v>222252</v>
      </c>
      <c r="B3084" t="str">
        <f>"065235186"</f>
        <v>065235186</v>
      </c>
      <c r="C3084" t="s">
        <v>50</v>
      </c>
      <c r="D3084" t="s">
        <v>6124</v>
      </c>
      <c r="E3084" t="s">
        <v>215</v>
      </c>
      <c r="F3084" t="s">
        <v>3483</v>
      </c>
      <c r="G3084" t="s">
        <v>52</v>
      </c>
      <c r="H3084" t="str">
        <f>"ΣΦΑΚΑΚΙ Τ.Θ.5082 ΡΕΘΥΜΝΟ"</f>
        <v>ΣΦΑΚΑΚΙ Τ.Θ.5082 ΡΕΘΥΜΝΟ</v>
      </c>
      <c r="I3084">
        <v>74100</v>
      </c>
      <c r="J3084">
        <v>2831072792</v>
      </c>
      <c r="K3084">
        <v>6937700003</v>
      </c>
      <c r="M3084" t="s">
        <v>6125</v>
      </c>
      <c r="N3084" t="s">
        <v>146</v>
      </c>
      <c r="O3084" t="s">
        <v>147</v>
      </c>
      <c r="R3084" t="s">
        <v>57</v>
      </c>
      <c r="S3084">
        <v>5</v>
      </c>
      <c r="T3084">
        <v>775</v>
      </c>
      <c r="U3084" s="1">
        <v>39680</v>
      </c>
      <c r="V3084" t="s">
        <v>5644</v>
      </c>
      <c r="W3084" t="s">
        <v>5645</v>
      </c>
      <c r="X3084" t="s">
        <v>58</v>
      </c>
      <c r="Y3084">
        <v>21</v>
      </c>
      <c r="Z3084" t="s">
        <v>59</v>
      </c>
      <c r="AA3084" t="s">
        <v>59</v>
      </c>
      <c r="AB3084" t="s">
        <v>59</v>
      </c>
      <c r="AC3084" t="s">
        <v>59</v>
      </c>
      <c r="AD3084" t="s">
        <v>59</v>
      </c>
      <c r="AF3084" s="1">
        <v>39681</v>
      </c>
      <c r="AG3084" t="s">
        <v>125</v>
      </c>
      <c r="AH3084" t="s">
        <v>126</v>
      </c>
      <c r="AI3084" t="str">
        <f>"4104010"</f>
        <v>4104010</v>
      </c>
      <c r="AJ3084" t="s">
        <v>5745</v>
      </c>
      <c r="AK3084">
        <v>2834022235</v>
      </c>
      <c r="AL3084" t="s">
        <v>5746</v>
      </c>
      <c r="AM3084" t="s">
        <v>64</v>
      </c>
      <c r="AN3084" t="s">
        <v>5672</v>
      </c>
      <c r="AO3084" t="s">
        <v>5673</v>
      </c>
      <c r="AP3084" t="s">
        <v>5689</v>
      </c>
      <c r="AQ3084">
        <v>2</v>
      </c>
      <c r="AR3084" t="s">
        <v>5644</v>
      </c>
      <c r="AS3084" t="s">
        <v>5645</v>
      </c>
      <c r="AT3084" t="s">
        <v>58</v>
      </c>
      <c r="AU3084" t="s">
        <v>68</v>
      </c>
      <c r="AV3084" t="s">
        <v>69</v>
      </c>
      <c r="AW3084" s="1">
        <v>26171</v>
      </c>
      <c r="AX3084">
        <v>2</v>
      </c>
    </row>
    <row r="3085" spans="1:50">
      <c r="B3085" t="str">
        <f>"138980504"</f>
        <v>138980504</v>
      </c>
      <c r="C3085" t="s">
        <v>50</v>
      </c>
      <c r="D3085" t="s">
        <v>6126</v>
      </c>
      <c r="E3085" t="s">
        <v>250</v>
      </c>
      <c r="F3085" t="s">
        <v>99</v>
      </c>
      <c r="G3085" t="s">
        <v>52</v>
      </c>
      <c r="H3085" t="str">
        <f>" "</f>
        <v xml:space="preserve"> </v>
      </c>
      <c r="N3085" t="s">
        <v>500</v>
      </c>
      <c r="O3085" t="s">
        <v>501</v>
      </c>
      <c r="R3085" t="s">
        <v>121</v>
      </c>
      <c r="S3085">
        <v>1</v>
      </c>
      <c r="T3085" t="s">
        <v>1944</v>
      </c>
      <c r="U3085" s="1">
        <v>43364</v>
      </c>
      <c r="V3085" t="s">
        <v>5644</v>
      </c>
      <c r="W3085" t="s">
        <v>5645</v>
      </c>
      <c r="X3085" t="s">
        <v>58</v>
      </c>
      <c r="Y3085">
        <v>23</v>
      </c>
      <c r="Z3085" t="s">
        <v>59</v>
      </c>
      <c r="AD3085" t="s">
        <v>59</v>
      </c>
      <c r="AF3085" s="1">
        <v>43367</v>
      </c>
      <c r="AG3085" t="s">
        <v>137</v>
      </c>
      <c r="AH3085" t="s">
        <v>138</v>
      </c>
      <c r="AI3085" t="str">
        <f>"4150040"</f>
        <v>4150040</v>
      </c>
      <c r="AJ3085" t="s">
        <v>5661</v>
      </c>
      <c r="AK3085">
        <v>2831029048</v>
      </c>
      <c r="AL3085" t="s">
        <v>5662</v>
      </c>
      <c r="AM3085" t="s">
        <v>64</v>
      </c>
      <c r="AN3085" t="s">
        <v>65</v>
      </c>
      <c r="AO3085" t="s">
        <v>65</v>
      </c>
      <c r="AP3085" t="s">
        <v>65</v>
      </c>
      <c r="AQ3085">
        <v>1</v>
      </c>
      <c r="AR3085" t="s">
        <v>5644</v>
      </c>
      <c r="AS3085" t="s">
        <v>5645</v>
      </c>
      <c r="AT3085" t="s">
        <v>58</v>
      </c>
      <c r="AU3085" t="s">
        <v>350</v>
      </c>
      <c r="AV3085" t="s">
        <v>132</v>
      </c>
      <c r="AW3085" s="1">
        <v>29438</v>
      </c>
      <c r="AX3085">
        <v>2</v>
      </c>
    </row>
    <row r="3086" spans="1:50">
      <c r="A3086">
        <v>199094</v>
      </c>
      <c r="B3086" t="str">
        <f>"038922012"</f>
        <v>038922012</v>
      </c>
      <c r="C3086" t="s">
        <v>50</v>
      </c>
      <c r="D3086" t="s">
        <v>6127</v>
      </c>
      <c r="E3086" t="s">
        <v>6128</v>
      </c>
      <c r="F3086" t="s">
        <v>84</v>
      </c>
      <c r="G3086" t="s">
        <v>263</v>
      </c>
      <c r="H3086" t="str">
        <f>"Εμμανουήλ Αστρινού 11 Καστελλάκια"</f>
        <v>Εμμανουήλ Αστρινού 11 Καστελλάκια</v>
      </c>
      <c r="I3086">
        <v>74100</v>
      </c>
      <c r="J3086">
        <v>2831051538</v>
      </c>
      <c r="K3086">
        <v>6942404442</v>
      </c>
      <c r="M3086" t="s">
        <v>6129</v>
      </c>
      <c r="N3086" t="s">
        <v>176</v>
      </c>
      <c r="O3086" t="s">
        <v>177</v>
      </c>
      <c r="R3086" t="s">
        <v>57</v>
      </c>
      <c r="S3086">
        <v>9</v>
      </c>
      <c r="T3086">
        <v>206</v>
      </c>
      <c r="U3086" s="1">
        <v>37866</v>
      </c>
      <c r="V3086" t="s">
        <v>5644</v>
      </c>
      <c r="W3086" t="s">
        <v>5645</v>
      </c>
      <c r="X3086" t="s">
        <v>58</v>
      </c>
      <c r="Y3086">
        <v>20</v>
      </c>
      <c r="Z3086" t="s">
        <v>59</v>
      </c>
      <c r="AA3086" t="s">
        <v>59</v>
      </c>
      <c r="AB3086" t="s">
        <v>59</v>
      </c>
      <c r="AC3086" t="s">
        <v>59</v>
      </c>
      <c r="AD3086" t="s">
        <v>452</v>
      </c>
      <c r="AE3086" s="1">
        <v>43708</v>
      </c>
      <c r="AF3086" s="1">
        <v>37866</v>
      </c>
      <c r="AG3086" t="s">
        <v>125</v>
      </c>
      <c r="AH3086" t="s">
        <v>5702</v>
      </c>
      <c r="AI3086" t="str">
        <f>"4101042"</f>
        <v>4101042</v>
      </c>
      <c r="AJ3086" t="s">
        <v>5703</v>
      </c>
      <c r="AK3086">
        <v>2831027230</v>
      </c>
      <c r="AL3086" t="s">
        <v>5704</v>
      </c>
      <c r="AM3086" t="s">
        <v>64</v>
      </c>
      <c r="AN3086" t="s">
        <v>65</v>
      </c>
      <c r="AO3086" t="s">
        <v>65</v>
      </c>
      <c r="AP3086" t="s">
        <v>65</v>
      </c>
      <c r="AQ3086">
        <v>1</v>
      </c>
      <c r="AR3086" t="s">
        <v>5644</v>
      </c>
      <c r="AS3086" t="s">
        <v>5645</v>
      </c>
      <c r="AT3086" t="s">
        <v>58</v>
      </c>
      <c r="AU3086" t="s">
        <v>68</v>
      </c>
      <c r="AV3086" t="s">
        <v>69</v>
      </c>
      <c r="AW3086" s="1">
        <v>24583</v>
      </c>
      <c r="AX3086">
        <v>2</v>
      </c>
    </row>
    <row r="3087" spans="1:50">
      <c r="A3087">
        <v>198584</v>
      </c>
      <c r="B3087" t="str">
        <f>"057171997"</f>
        <v>057171997</v>
      </c>
      <c r="C3087" t="s">
        <v>50</v>
      </c>
      <c r="D3087" t="s">
        <v>6130</v>
      </c>
      <c r="E3087" t="s">
        <v>255</v>
      </c>
      <c r="F3087" t="s">
        <v>4097</v>
      </c>
      <c r="G3087" t="s">
        <v>563</v>
      </c>
      <c r="H3087" t="str">
        <f>"ΡΟΥΣΟΣΠΙΤΙ Τ.Θ 4623 ΡΟΥΣΟΣΠΙΤΙ "</f>
        <v xml:space="preserve">ΡΟΥΣΟΣΠΙΤΙ Τ.Θ 4623 ΡΟΥΣΟΣΠΙΤΙ </v>
      </c>
      <c r="I3087">
        <v>74100</v>
      </c>
      <c r="J3087">
        <v>2831022130</v>
      </c>
      <c r="K3087">
        <v>6932484882</v>
      </c>
      <c r="N3087" t="s">
        <v>306</v>
      </c>
      <c r="O3087" t="s">
        <v>307</v>
      </c>
      <c r="R3087" t="s">
        <v>57</v>
      </c>
      <c r="S3087">
        <v>10</v>
      </c>
      <c r="T3087">
        <v>206</v>
      </c>
      <c r="U3087" s="1">
        <v>37866</v>
      </c>
      <c r="V3087" t="s">
        <v>5644</v>
      </c>
      <c r="W3087" t="s">
        <v>5645</v>
      </c>
      <c r="X3087" t="s">
        <v>58</v>
      </c>
      <c r="Y3087">
        <v>20</v>
      </c>
      <c r="Z3087" t="s">
        <v>59</v>
      </c>
      <c r="AA3087" t="s">
        <v>59</v>
      </c>
      <c r="AB3087" t="s">
        <v>59</v>
      </c>
      <c r="AC3087" t="s">
        <v>59</v>
      </c>
      <c r="AD3087" t="s">
        <v>59</v>
      </c>
      <c r="AF3087" s="1">
        <v>37866</v>
      </c>
      <c r="AG3087" t="s">
        <v>125</v>
      </c>
      <c r="AH3087" t="s">
        <v>126</v>
      </c>
      <c r="AI3087" t="str">
        <f>"4101040"</f>
        <v>4101040</v>
      </c>
      <c r="AJ3087" t="s">
        <v>5732</v>
      </c>
      <c r="AK3087">
        <v>2831029261</v>
      </c>
      <c r="AL3087" t="s">
        <v>5733</v>
      </c>
      <c r="AM3087" t="s">
        <v>64</v>
      </c>
      <c r="AN3087" t="s">
        <v>65</v>
      </c>
      <c r="AO3087" t="s">
        <v>65</v>
      </c>
      <c r="AP3087" t="s">
        <v>65</v>
      </c>
      <c r="AQ3087">
        <v>1</v>
      </c>
      <c r="AR3087" t="s">
        <v>5644</v>
      </c>
      <c r="AS3087" t="s">
        <v>5645</v>
      </c>
      <c r="AT3087" t="s">
        <v>58</v>
      </c>
      <c r="AU3087" t="s">
        <v>68</v>
      </c>
      <c r="AV3087" t="s">
        <v>69</v>
      </c>
      <c r="AW3087" s="1">
        <v>25339</v>
      </c>
      <c r="AX3087">
        <v>2</v>
      </c>
    </row>
    <row r="3088" spans="1:50">
      <c r="A3088">
        <v>167140</v>
      </c>
      <c r="B3088" t="str">
        <f>"054224793"</f>
        <v>054224793</v>
      </c>
      <c r="C3088" t="s">
        <v>50</v>
      </c>
      <c r="D3088" t="s">
        <v>2269</v>
      </c>
      <c r="E3088" t="s">
        <v>52</v>
      </c>
      <c r="F3088" t="s">
        <v>95</v>
      </c>
      <c r="G3088" t="s">
        <v>1383</v>
      </c>
      <c r="H3088" t="str">
        <f>"ΑΓΓΕΛΙΑΝΑ ΡΕΘΥΜΝΟ"</f>
        <v>ΑΓΓΕΛΙΑΝΑ ΡΕΘΥΜΝΟ</v>
      </c>
      <c r="I3088">
        <v>74052</v>
      </c>
      <c r="J3088">
        <v>2834023207</v>
      </c>
      <c r="K3088">
        <v>6974257755</v>
      </c>
      <c r="M3088" t="s">
        <v>6131</v>
      </c>
      <c r="N3088" t="s">
        <v>204</v>
      </c>
      <c r="O3088" t="s">
        <v>205</v>
      </c>
      <c r="R3088" t="s">
        <v>57</v>
      </c>
      <c r="S3088">
        <v>12</v>
      </c>
      <c r="T3088">
        <v>154</v>
      </c>
      <c r="U3088" s="1">
        <v>34225</v>
      </c>
      <c r="V3088" t="s">
        <v>5644</v>
      </c>
      <c r="W3088" t="s">
        <v>5645</v>
      </c>
      <c r="X3088" t="s">
        <v>58</v>
      </c>
      <c r="Y3088">
        <v>18</v>
      </c>
      <c r="Z3088" t="s">
        <v>59</v>
      </c>
      <c r="AA3088" t="s">
        <v>59</v>
      </c>
      <c r="AB3088" t="s">
        <v>59</v>
      </c>
      <c r="AC3088" t="s">
        <v>59</v>
      </c>
      <c r="AD3088" t="s">
        <v>59</v>
      </c>
      <c r="AF3088" s="1">
        <v>34225</v>
      </c>
      <c r="AG3088" t="s">
        <v>125</v>
      </c>
      <c r="AH3088" t="s">
        <v>126</v>
      </c>
      <c r="AI3088" t="str">
        <f>"4104010"</f>
        <v>4104010</v>
      </c>
      <c r="AJ3088" t="s">
        <v>5745</v>
      </c>
      <c r="AK3088">
        <v>2834022235</v>
      </c>
      <c r="AL3088" t="s">
        <v>5746</v>
      </c>
      <c r="AM3088" t="s">
        <v>64</v>
      </c>
      <c r="AN3088" t="s">
        <v>5672</v>
      </c>
      <c r="AO3088" t="s">
        <v>5673</v>
      </c>
      <c r="AP3088" t="s">
        <v>5689</v>
      </c>
      <c r="AQ3088">
        <v>2</v>
      </c>
      <c r="AR3088" t="s">
        <v>5644</v>
      </c>
      <c r="AS3088" t="s">
        <v>5645</v>
      </c>
      <c r="AT3088" t="s">
        <v>58</v>
      </c>
      <c r="AU3088" t="s">
        <v>68</v>
      </c>
      <c r="AV3088" t="s">
        <v>69</v>
      </c>
      <c r="AW3088" s="1">
        <v>25735</v>
      </c>
      <c r="AX3088">
        <v>2</v>
      </c>
    </row>
    <row r="3089" spans="1:50">
      <c r="A3089">
        <v>197218</v>
      </c>
      <c r="B3089" t="str">
        <f>"100074157"</f>
        <v>100074157</v>
      </c>
      <c r="C3089" t="s">
        <v>50</v>
      </c>
      <c r="D3089" t="s">
        <v>6132</v>
      </c>
      <c r="E3089" t="s">
        <v>52</v>
      </c>
      <c r="F3089" t="s">
        <v>1543</v>
      </c>
      <c r="G3089" t="s">
        <v>563</v>
      </c>
      <c r="H3089" t="str">
        <f>"ΤΙΜΟΘΕΟΥ ΒΕΝΕΡΗ 4 ΡΕΘΥΜΝΟ"</f>
        <v>ΤΙΜΟΘΕΟΥ ΒΕΝΕΡΗ 4 ΡΕΘΥΜΝΟ</v>
      </c>
      <c r="I3089">
        <v>74100</v>
      </c>
      <c r="J3089">
        <v>2831053916</v>
      </c>
      <c r="K3089">
        <v>6974847897</v>
      </c>
      <c r="M3089" t="s">
        <v>6133</v>
      </c>
      <c r="N3089" t="s">
        <v>146</v>
      </c>
      <c r="O3089" t="s">
        <v>147</v>
      </c>
      <c r="R3089" t="s">
        <v>57</v>
      </c>
      <c r="S3089">
        <v>10</v>
      </c>
      <c r="T3089" t="s">
        <v>6134</v>
      </c>
      <c r="U3089" s="1">
        <v>37866</v>
      </c>
      <c r="V3089" t="s">
        <v>5644</v>
      </c>
      <c r="W3089" t="s">
        <v>5645</v>
      </c>
      <c r="X3089" t="s">
        <v>58</v>
      </c>
      <c r="Y3089">
        <v>18</v>
      </c>
      <c r="Z3089" t="s">
        <v>59</v>
      </c>
      <c r="AA3089" t="s">
        <v>59</v>
      </c>
      <c r="AB3089" t="s">
        <v>59</v>
      </c>
      <c r="AC3089" t="s">
        <v>59</v>
      </c>
      <c r="AD3089" t="s">
        <v>59</v>
      </c>
      <c r="AF3089" s="1">
        <v>37866</v>
      </c>
      <c r="AG3089" t="s">
        <v>125</v>
      </c>
      <c r="AH3089" t="s">
        <v>126</v>
      </c>
      <c r="AI3089" t="str">
        <f>"4106010"</f>
        <v>4106010</v>
      </c>
      <c r="AJ3089" t="s">
        <v>5880</v>
      </c>
      <c r="AK3089">
        <v>2832022035</v>
      </c>
      <c r="AL3089" t="s">
        <v>5881</v>
      </c>
      <c r="AM3089" t="s">
        <v>64</v>
      </c>
      <c r="AN3089" t="s">
        <v>5882</v>
      </c>
      <c r="AO3089" t="s">
        <v>5883</v>
      </c>
      <c r="AP3089" t="s">
        <v>5884</v>
      </c>
      <c r="AQ3089">
        <v>5</v>
      </c>
      <c r="AR3089" t="s">
        <v>5644</v>
      </c>
      <c r="AS3089" t="s">
        <v>5645</v>
      </c>
      <c r="AT3089" t="s">
        <v>58</v>
      </c>
      <c r="AU3089" t="s">
        <v>68</v>
      </c>
      <c r="AV3089" t="s">
        <v>69</v>
      </c>
      <c r="AW3089" s="1">
        <v>24390</v>
      </c>
      <c r="AX3089">
        <v>2</v>
      </c>
    </row>
    <row r="3090" spans="1:50">
      <c r="B3090" t="str">
        <f>"150575464"</f>
        <v>150575464</v>
      </c>
      <c r="C3090" t="s">
        <v>50</v>
      </c>
      <c r="D3090" t="s">
        <v>2279</v>
      </c>
      <c r="E3090" t="s">
        <v>215</v>
      </c>
      <c r="F3090" t="s">
        <v>3924</v>
      </c>
      <c r="G3090" t="s">
        <v>155</v>
      </c>
      <c r="H3090" t="str">
        <f>" "</f>
        <v xml:space="preserve"> </v>
      </c>
      <c r="N3090" t="s">
        <v>1463</v>
      </c>
      <c r="O3090" t="s">
        <v>1464</v>
      </c>
      <c r="R3090" t="s">
        <v>121</v>
      </c>
      <c r="S3090">
        <v>1</v>
      </c>
      <c r="T3090" t="s">
        <v>344</v>
      </c>
      <c r="U3090" s="1">
        <v>43348</v>
      </c>
      <c r="V3090" t="s">
        <v>5644</v>
      </c>
      <c r="W3090" t="s">
        <v>5645</v>
      </c>
      <c r="X3090" t="s">
        <v>58</v>
      </c>
      <c r="Y3090">
        <v>23</v>
      </c>
      <c r="Z3090" t="s">
        <v>59</v>
      </c>
      <c r="AD3090" t="s">
        <v>59</v>
      </c>
      <c r="AF3090" s="1">
        <v>43348</v>
      </c>
      <c r="AG3090" t="s">
        <v>345</v>
      </c>
      <c r="AH3090" t="s">
        <v>346</v>
      </c>
      <c r="AI3090" t="str">
        <f>"4141010"</f>
        <v>4141010</v>
      </c>
      <c r="AJ3090" t="s">
        <v>6121</v>
      </c>
      <c r="AK3090">
        <v>2831035068</v>
      </c>
      <c r="AL3090" t="s">
        <v>6122</v>
      </c>
      <c r="AM3090" t="s">
        <v>64</v>
      </c>
      <c r="AN3090" t="s">
        <v>65</v>
      </c>
      <c r="AO3090" t="s">
        <v>65</v>
      </c>
      <c r="AP3090" t="s">
        <v>65</v>
      </c>
      <c r="AQ3090">
        <v>1</v>
      </c>
      <c r="AR3090" t="s">
        <v>5644</v>
      </c>
      <c r="AS3090" t="s">
        <v>5645</v>
      </c>
      <c r="AT3090" t="s">
        <v>58</v>
      </c>
      <c r="AU3090" t="s">
        <v>350</v>
      </c>
      <c r="AV3090" t="s">
        <v>132</v>
      </c>
      <c r="AW3090" s="1">
        <v>33521</v>
      </c>
      <c r="AX3090">
        <v>2</v>
      </c>
    </row>
    <row r="3091" spans="1:50">
      <c r="A3091">
        <v>170835</v>
      </c>
      <c r="B3091" t="str">
        <f>"120009904"</f>
        <v>120009904</v>
      </c>
      <c r="C3091" t="s">
        <v>50</v>
      </c>
      <c r="D3091" t="s">
        <v>6135</v>
      </c>
      <c r="E3091" t="s">
        <v>6136</v>
      </c>
      <c r="F3091" t="s">
        <v>53</v>
      </c>
      <c r="G3091" t="s">
        <v>6137</v>
      </c>
      <c r="H3091" t="str">
        <f>"ΚΑΒΑΦΗ 3 ΡΕΘΥΜΝΟ"</f>
        <v>ΚΑΒΑΦΗ 3 ΡΕΘΥΜΝΟ</v>
      </c>
      <c r="I3091">
        <v>74100</v>
      </c>
      <c r="J3091">
        <v>2831053710</v>
      </c>
      <c r="N3091" t="s">
        <v>478</v>
      </c>
      <c r="O3091" t="s">
        <v>479</v>
      </c>
      <c r="R3091" t="s">
        <v>57</v>
      </c>
      <c r="S3091">
        <v>14</v>
      </c>
      <c r="T3091" t="s">
        <v>6138</v>
      </c>
      <c r="U3091" s="1">
        <v>34941</v>
      </c>
      <c r="V3091" t="s">
        <v>5644</v>
      </c>
      <c r="W3091" t="s">
        <v>5645</v>
      </c>
      <c r="X3091" t="s">
        <v>58</v>
      </c>
      <c r="Y3091">
        <v>18</v>
      </c>
      <c r="Z3091" t="s">
        <v>59</v>
      </c>
      <c r="AA3091" t="s">
        <v>59</v>
      </c>
      <c r="AB3091" t="s">
        <v>59</v>
      </c>
      <c r="AC3091" t="s">
        <v>59</v>
      </c>
      <c r="AD3091" t="s">
        <v>59</v>
      </c>
      <c r="AF3091" s="1">
        <v>35072</v>
      </c>
      <c r="AG3091" t="s">
        <v>125</v>
      </c>
      <c r="AH3091" t="s">
        <v>126</v>
      </c>
      <c r="AI3091" t="str">
        <f>"4102020"</f>
        <v>4102020</v>
      </c>
      <c r="AJ3091" t="s">
        <v>5761</v>
      </c>
      <c r="AK3091">
        <v>2831061491</v>
      </c>
      <c r="AL3091" t="s">
        <v>5762</v>
      </c>
      <c r="AM3091" t="s">
        <v>64</v>
      </c>
      <c r="AN3091" t="s">
        <v>65</v>
      </c>
      <c r="AO3091" t="s">
        <v>5657</v>
      </c>
      <c r="AP3091" t="s">
        <v>1437</v>
      </c>
      <c r="AQ3091">
        <v>1</v>
      </c>
      <c r="AR3091" t="s">
        <v>5644</v>
      </c>
      <c r="AS3091" t="s">
        <v>5645</v>
      </c>
      <c r="AT3091" t="s">
        <v>58</v>
      </c>
      <c r="AU3091" t="s">
        <v>68</v>
      </c>
      <c r="AV3091" t="s">
        <v>132</v>
      </c>
      <c r="AW3091" s="1">
        <v>21822</v>
      </c>
      <c r="AX3091">
        <v>2</v>
      </c>
    </row>
    <row r="3092" spans="1:50">
      <c r="A3092">
        <v>199098</v>
      </c>
      <c r="B3092" t="str">
        <f>"063278258"</f>
        <v>063278258</v>
      </c>
      <c r="C3092" t="s">
        <v>105</v>
      </c>
      <c r="D3092" t="s">
        <v>6139</v>
      </c>
      <c r="E3092" t="s">
        <v>106</v>
      </c>
      <c r="F3092" t="s">
        <v>72</v>
      </c>
      <c r="G3092" t="s">
        <v>396</v>
      </c>
      <c r="H3092" t="str">
        <f>"Γ.ΠΑΠΑΝΔΡΕΟΥ 8Α ΡΕΘΥΜΝΟ"</f>
        <v>Γ.ΠΑΠΑΝΔΡΕΟΥ 8Α ΡΕΘΥΜΝΟ</v>
      </c>
      <c r="I3092">
        <v>74100</v>
      </c>
      <c r="J3092">
        <v>2831029835</v>
      </c>
      <c r="K3092">
        <v>6974115560</v>
      </c>
      <c r="M3092" t="s">
        <v>6140</v>
      </c>
      <c r="N3092" t="s">
        <v>176</v>
      </c>
      <c r="O3092" t="s">
        <v>177</v>
      </c>
      <c r="R3092" t="s">
        <v>57</v>
      </c>
      <c r="S3092">
        <v>11</v>
      </c>
      <c r="T3092">
        <v>206</v>
      </c>
      <c r="U3092" s="1">
        <v>37866</v>
      </c>
      <c r="V3092" t="s">
        <v>5644</v>
      </c>
      <c r="W3092" t="s">
        <v>5645</v>
      </c>
      <c r="X3092" t="s">
        <v>58</v>
      </c>
      <c r="Y3092">
        <v>20</v>
      </c>
      <c r="Z3092" t="s">
        <v>59</v>
      </c>
      <c r="AA3092" t="s">
        <v>59</v>
      </c>
      <c r="AB3092" t="s">
        <v>59</v>
      </c>
      <c r="AC3092" t="s">
        <v>59</v>
      </c>
      <c r="AD3092" t="s">
        <v>59</v>
      </c>
      <c r="AF3092" s="1">
        <v>38224</v>
      </c>
      <c r="AG3092" t="s">
        <v>345</v>
      </c>
      <c r="AH3092" t="s">
        <v>346</v>
      </c>
      <c r="AI3092" t="str">
        <f>"4141010"</f>
        <v>4141010</v>
      </c>
      <c r="AJ3092" t="s">
        <v>6121</v>
      </c>
      <c r="AK3092">
        <v>2831035068</v>
      </c>
      <c r="AL3092" t="s">
        <v>6122</v>
      </c>
      <c r="AM3092" t="s">
        <v>64</v>
      </c>
      <c r="AN3092" t="s">
        <v>65</v>
      </c>
      <c r="AO3092" t="s">
        <v>65</v>
      </c>
      <c r="AP3092" t="s">
        <v>65</v>
      </c>
      <c r="AQ3092">
        <v>1</v>
      </c>
      <c r="AR3092" t="s">
        <v>5644</v>
      </c>
      <c r="AS3092" t="s">
        <v>5645</v>
      </c>
      <c r="AT3092" t="s">
        <v>58</v>
      </c>
      <c r="AU3092" t="s">
        <v>68</v>
      </c>
      <c r="AV3092" t="s">
        <v>132</v>
      </c>
      <c r="AW3092" s="1">
        <v>27415</v>
      </c>
      <c r="AX3092">
        <v>2</v>
      </c>
    </row>
    <row r="3093" spans="1:50">
      <c r="A3093">
        <v>162721</v>
      </c>
      <c r="B3093" t="str">
        <f>"028661113"</f>
        <v>028661113</v>
      </c>
      <c r="C3093" t="s">
        <v>50</v>
      </c>
      <c r="D3093" t="s">
        <v>6141</v>
      </c>
      <c r="E3093" t="s">
        <v>52</v>
      </c>
      <c r="F3093" t="s">
        <v>99</v>
      </c>
      <c r="G3093" t="s">
        <v>188</v>
      </c>
      <c r="H3093" t="str">
        <f>"ΣΒΑΙΤΣΕΡ 15 ΡΕΘΥΜΝΟ"</f>
        <v>ΣΒΑΙΤΣΕΡ 15 ΡΕΘΥΜΝΟ</v>
      </c>
      <c r="I3093">
        <v>74100</v>
      </c>
      <c r="J3093">
        <v>2831026044</v>
      </c>
      <c r="K3093">
        <v>6972502680</v>
      </c>
      <c r="N3093" t="s">
        <v>232</v>
      </c>
      <c r="O3093" t="s">
        <v>233</v>
      </c>
      <c r="R3093" t="s">
        <v>57</v>
      </c>
      <c r="S3093">
        <v>16</v>
      </c>
      <c r="T3093">
        <v>132</v>
      </c>
      <c r="U3093" s="1">
        <v>33456</v>
      </c>
      <c r="V3093" t="s">
        <v>5644</v>
      </c>
      <c r="W3093" t="s">
        <v>5645</v>
      </c>
      <c r="X3093" t="s">
        <v>58</v>
      </c>
      <c r="Y3093">
        <v>18</v>
      </c>
      <c r="Z3093" t="s">
        <v>59</v>
      </c>
      <c r="AA3093" t="s">
        <v>59</v>
      </c>
      <c r="AB3093" t="s">
        <v>59</v>
      </c>
      <c r="AC3093" t="s">
        <v>59</v>
      </c>
      <c r="AD3093" t="s">
        <v>59</v>
      </c>
      <c r="AF3093" s="1">
        <v>33456</v>
      </c>
      <c r="AG3093" t="s">
        <v>148</v>
      </c>
      <c r="AH3093" t="s">
        <v>149</v>
      </c>
      <c r="AI3093" t="str">
        <f>"4151020"</f>
        <v>4151020</v>
      </c>
      <c r="AJ3093" t="s">
        <v>5725</v>
      </c>
      <c r="AK3093">
        <v>2831022475</v>
      </c>
      <c r="AL3093" t="s">
        <v>5726</v>
      </c>
      <c r="AM3093" t="s">
        <v>64</v>
      </c>
      <c r="AN3093" t="s">
        <v>65</v>
      </c>
      <c r="AO3093" t="s">
        <v>65</v>
      </c>
      <c r="AP3093" t="s">
        <v>65</v>
      </c>
      <c r="AQ3093">
        <v>1</v>
      </c>
      <c r="AR3093" t="s">
        <v>5644</v>
      </c>
      <c r="AS3093" t="s">
        <v>5645</v>
      </c>
      <c r="AT3093" t="s">
        <v>58</v>
      </c>
      <c r="AU3093" t="s">
        <v>68</v>
      </c>
      <c r="AV3093" t="s">
        <v>69</v>
      </c>
      <c r="AW3093" s="1">
        <v>20562</v>
      </c>
      <c r="AX3093">
        <v>2</v>
      </c>
    </row>
    <row r="3094" spans="1:50">
      <c r="B3094" t="str">
        <f>"074047726"</f>
        <v>074047726</v>
      </c>
      <c r="C3094" t="s">
        <v>50</v>
      </c>
      <c r="D3094" t="s">
        <v>6142</v>
      </c>
      <c r="E3094" t="s">
        <v>215</v>
      </c>
      <c r="F3094" t="s">
        <v>53</v>
      </c>
      <c r="G3094" t="s">
        <v>3914</v>
      </c>
      <c r="H3094" t="str">
        <f>"K. ΠΑΛΑΜΑ  18 ΡΕΘΥΜΝΟ"</f>
        <v>K. ΠΑΛΑΜΑ  18 ΡΕΘΥΜΝΟ</v>
      </c>
      <c r="I3094">
        <v>74100</v>
      </c>
      <c r="J3094">
        <v>2831026647</v>
      </c>
      <c r="K3094">
        <v>6974498773</v>
      </c>
      <c r="M3094" t="s">
        <v>6143</v>
      </c>
      <c r="N3094" t="s">
        <v>146</v>
      </c>
      <c r="O3094" t="s">
        <v>147</v>
      </c>
      <c r="R3094" t="s">
        <v>159</v>
      </c>
      <c r="S3094">
        <v>3</v>
      </c>
      <c r="T3094" t="s">
        <v>416</v>
      </c>
      <c r="U3094" s="1">
        <v>43349</v>
      </c>
      <c r="V3094" t="s">
        <v>5644</v>
      </c>
      <c r="W3094" t="s">
        <v>5645</v>
      </c>
      <c r="X3094" t="s">
        <v>58</v>
      </c>
      <c r="Y3094">
        <v>23</v>
      </c>
      <c r="Z3094" t="s">
        <v>59</v>
      </c>
      <c r="AA3094" t="s">
        <v>59</v>
      </c>
      <c r="AB3094" t="s">
        <v>59</v>
      </c>
      <c r="AC3094" t="s">
        <v>59</v>
      </c>
      <c r="AD3094" t="s">
        <v>59</v>
      </c>
      <c r="AF3094" s="1">
        <v>43349</v>
      </c>
      <c r="AG3094" t="s">
        <v>148</v>
      </c>
      <c r="AH3094" t="s">
        <v>149</v>
      </c>
      <c r="AI3094" t="str">
        <f>"4144002"</f>
        <v>4144002</v>
      </c>
      <c r="AJ3094" t="s">
        <v>5655</v>
      </c>
      <c r="AK3094">
        <v>2831061110</v>
      </c>
      <c r="AL3094" t="s">
        <v>5656</v>
      </c>
      <c r="AM3094" t="s">
        <v>64</v>
      </c>
      <c r="AN3094" t="s">
        <v>65</v>
      </c>
      <c r="AO3094" t="s">
        <v>5657</v>
      </c>
      <c r="AP3094" t="s">
        <v>1437</v>
      </c>
      <c r="AQ3094">
        <v>1</v>
      </c>
      <c r="AR3094" t="s">
        <v>5644</v>
      </c>
      <c r="AS3094" t="s">
        <v>5645</v>
      </c>
      <c r="AT3094" t="s">
        <v>58</v>
      </c>
      <c r="AU3094" t="s">
        <v>419</v>
      </c>
      <c r="AV3094" t="s">
        <v>132</v>
      </c>
      <c r="AW3094" s="1">
        <v>26539</v>
      </c>
      <c r="AX3094">
        <v>2</v>
      </c>
    </row>
    <row r="3095" spans="1:50">
      <c r="A3095">
        <v>219486</v>
      </c>
      <c r="B3095" t="str">
        <f>"113622179"</f>
        <v>113622179</v>
      </c>
      <c r="C3095" t="s">
        <v>50</v>
      </c>
      <c r="D3095" t="s">
        <v>6144</v>
      </c>
      <c r="E3095" t="s">
        <v>215</v>
      </c>
      <c r="F3095" t="s">
        <v>53</v>
      </c>
      <c r="G3095" t="s">
        <v>801</v>
      </c>
      <c r="H3095" t="str">
        <f>"ΑΥΣΤΡΑΛΩΝ ΠΟΛΕΜΙΣΤΩΝ  27 ΡΕΘΥΜΝΟ"</f>
        <v>ΑΥΣΤΡΑΛΩΝ ΠΟΛΕΜΙΣΤΩΝ  27 ΡΕΘΥΜΝΟ</v>
      </c>
      <c r="I3095">
        <v>74100</v>
      </c>
      <c r="J3095">
        <v>2831027189</v>
      </c>
      <c r="K3095">
        <v>6974632268</v>
      </c>
      <c r="N3095" t="s">
        <v>288</v>
      </c>
      <c r="O3095" t="s">
        <v>289</v>
      </c>
      <c r="R3095" t="s">
        <v>57</v>
      </c>
      <c r="S3095">
        <v>7</v>
      </c>
      <c r="T3095">
        <v>599</v>
      </c>
      <c r="U3095" s="1">
        <v>39310</v>
      </c>
      <c r="V3095" t="s">
        <v>5644</v>
      </c>
      <c r="W3095" t="s">
        <v>5645</v>
      </c>
      <c r="X3095" t="s">
        <v>58</v>
      </c>
      <c r="Y3095">
        <v>20</v>
      </c>
      <c r="Z3095" t="s">
        <v>59</v>
      </c>
      <c r="AA3095" t="s">
        <v>59</v>
      </c>
      <c r="AB3095" t="s">
        <v>59</v>
      </c>
      <c r="AC3095" t="s">
        <v>59</v>
      </c>
      <c r="AD3095" t="s">
        <v>59</v>
      </c>
      <c r="AF3095" s="1">
        <v>39310</v>
      </c>
      <c r="AG3095" t="s">
        <v>125</v>
      </c>
      <c r="AH3095" t="s">
        <v>126</v>
      </c>
      <c r="AI3095" t="str">
        <f>"4110015"</f>
        <v>4110015</v>
      </c>
      <c r="AJ3095" t="s">
        <v>5723</v>
      </c>
      <c r="AK3095">
        <v>2831022741</v>
      </c>
      <c r="AL3095" t="s">
        <v>5724</v>
      </c>
      <c r="AM3095" t="s">
        <v>64</v>
      </c>
      <c r="AN3095" t="s">
        <v>65</v>
      </c>
      <c r="AO3095" t="s">
        <v>5720</v>
      </c>
      <c r="AP3095" t="s">
        <v>5721</v>
      </c>
      <c r="AQ3095">
        <v>1</v>
      </c>
      <c r="AR3095" t="s">
        <v>5644</v>
      </c>
      <c r="AS3095" t="s">
        <v>5645</v>
      </c>
      <c r="AT3095" t="s">
        <v>58</v>
      </c>
      <c r="AU3095" t="s">
        <v>68</v>
      </c>
      <c r="AV3095" t="s">
        <v>69</v>
      </c>
      <c r="AW3095" s="1">
        <v>28439</v>
      </c>
      <c r="AX3095">
        <v>2</v>
      </c>
    </row>
    <row r="3096" spans="1:50">
      <c r="A3096">
        <v>212159</v>
      </c>
      <c r="B3096" t="str">
        <f>"101585569"</f>
        <v>101585569</v>
      </c>
      <c r="C3096" t="s">
        <v>50</v>
      </c>
      <c r="D3096" t="s">
        <v>6145</v>
      </c>
      <c r="E3096" t="s">
        <v>340</v>
      </c>
      <c r="F3096" t="s">
        <v>510</v>
      </c>
      <c r="G3096" t="s">
        <v>83</v>
      </c>
      <c r="H3096" t="str">
        <f>"ΕΡΓΟΤΕΛΟΥΣ 58 ΗΡΑΚΛΕΙΟ"</f>
        <v>ΕΡΓΟΤΕΛΟΥΣ 58 ΗΡΑΚΛΕΙΟ</v>
      </c>
      <c r="I3096">
        <v>71304</v>
      </c>
      <c r="J3096">
        <v>2821054093</v>
      </c>
      <c r="K3096">
        <v>6973434550</v>
      </c>
      <c r="L3096">
        <v>2810310618</v>
      </c>
      <c r="M3096" t="s">
        <v>6146</v>
      </c>
      <c r="N3096" t="s">
        <v>146</v>
      </c>
      <c r="O3096" t="s">
        <v>147</v>
      </c>
      <c r="R3096" t="s">
        <v>57</v>
      </c>
      <c r="S3096">
        <v>6</v>
      </c>
      <c r="T3096">
        <v>231</v>
      </c>
      <c r="U3096" s="1">
        <v>38960</v>
      </c>
      <c r="V3096" t="s">
        <v>5644</v>
      </c>
      <c r="W3096" t="s">
        <v>5645</v>
      </c>
      <c r="X3096" t="s">
        <v>58</v>
      </c>
      <c r="Y3096">
        <v>20</v>
      </c>
      <c r="Z3096" t="s">
        <v>59</v>
      </c>
      <c r="AA3096" t="s">
        <v>59</v>
      </c>
      <c r="AB3096" t="s">
        <v>59</v>
      </c>
      <c r="AC3096" t="s">
        <v>59</v>
      </c>
      <c r="AD3096" t="s">
        <v>59</v>
      </c>
      <c r="AF3096" s="1">
        <v>38961</v>
      </c>
      <c r="AG3096" t="s">
        <v>125</v>
      </c>
      <c r="AH3096" t="s">
        <v>126</v>
      </c>
      <c r="AI3096" t="str">
        <f>"4102010"</f>
        <v>4102010</v>
      </c>
      <c r="AJ3096" t="s">
        <v>5735</v>
      </c>
      <c r="AK3096">
        <v>2834031331</v>
      </c>
      <c r="AL3096" t="s">
        <v>5736</v>
      </c>
      <c r="AM3096" t="s">
        <v>64</v>
      </c>
      <c r="AN3096" t="s">
        <v>5737</v>
      </c>
      <c r="AO3096" t="s">
        <v>5737</v>
      </c>
      <c r="AP3096" t="s">
        <v>5737</v>
      </c>
      <c r="AQ3096">
        <v>3</v>
      </c>
      <c r="AR3096" t="s">
        <v>5644</v>
      </c>
      <c r="AS3096" t="s">
        <v>5645</v>
      </c>
      <c r="AT3096" t="s">
        <v>58</v>
      </c>
      <c r="AU3096" t="s">
        <v>68</v>
      </c>
      <c r="AV3096" t="s">
        <v>69</v>
      </c>
      <c r="AW3096" s="1">
        <v>29367</v>
      </c>
      <c r="AX3096">
        <v>2</v>
      </c>
    </row>
    <row r="3097" spans="1:50">
      <c r="A3097">
        <v>144842</v>
      </c>
      <c r="B3097" t="str">
        <f>"063821075"</f>
        <v>063821075</v>
      </c>
      <c r="C3097" t="s">
        <v>50</v>
      </c>
      <c r="D3097" t="s">
        <v>6147</v>
      </c>
      <c r="E3097" t="s">
        <v>2297</v>
      </c>
      <c r="F3097" t="s">
        <v>72</v>
      </c>
      <c r="G3097" t="s">
        <v>1074</v>
      </c>
      <c r="H3097" t="str">
        <f>"ΔΗΜΑΚΟΠΟΥΛΟΥ 18 ΡΕΘΥΜΝΟ"</f>
        <v>ΔΗΜΑΚΟΠΟΥΛΟΥ 18 ΡΕΘΥΜΝΟ</v>
      </c>
      <c r="I3097">
        <v>74100</v>
      </c>
      <c r="K3097">
        <v>6977693095</v>
      </c>
      <c r="M3097" t="s">
        <v>6148</v>
      </c>
      <c r="N3097" t="s">
        <v>146</v>
      </c>
      <c r="O3097" t="s">
        <v>147</v>
      </c>
      <c r="R3097" t="s">
        <v>57</v>
      </c>
      <c r="S3097">
        <v>17</v>
      </c>
      <c r="T3097">
        <v>250</v>
      </c>
      <c r="U3097" s="1">
        <v>30900</v>
      </c>
      <c r="V3097" t="s">
        <v>5644</v>
      </c>
      <c r="W3097" t="s">
        <v>5645</v>
      </c>
      <c r="X3097" t="s">
        <v>58</v>
      </c>
      <c r="Y3097">
        <v>18</v>
      </c>
      <c r="Z3097" t="s">
        <v>59</v>
      </c>
      <c r="AA3097" t="s">
        <v>59</v>
      </c>
      <c r="AB3097" t="s">
        <v>59</v>
      </c>
      <c r="AC3097" t="s">
        <v>59</v>
      </c>
      <c r="AD3097" t="s">
        <v>59</v>
      </c>
      <c r="AF3097" s="1">
        <v>30900</v>
      </c>
      <c r="AG3097" t="s">
        <v>148</v>
      </c>
      <c r="AH3097" t="s">
        <v>149</v>
      </c>
      <c r="AI3097" t="str">
        <f>"4151030"</f>
        <v>4151030</v>
      </c>
      <c r="AJ3097" t="s">
        <v>5681</v>
      </c>
      <c r="AK3097">
        <v>2831023422</v>
      </c>
      <c r="AL3097" t="s">
        <v>5682</v>
      </c>
      <c r="AM3097" t="s">
        <v>64</v>
      </c>
      <c r="AN3097" t="s">
        <v>65</v>
      </c>
      <c r="AO3097" t="s">
        <v>65</v>
      </c>
      <c r="AP3097" t="s">
        <v>65</v>
      </c>
      <c r="AQ3097">
        <v>1</v>
      </c>
      <c r="AR3097" t="s">
        <v>5644</v>
      </c>
      <c r="AS3097" t="s">
        <v>5645</v>
      </c>
      <c r="AT3097" t="s">
        <v>58</v>
      </c>
      <c r="AU3097" t="s">
        <v>68</v>
      </c>
      <c r="AV3097" t="s">
        <v>69</v>
      </c>
      <c r="AW3097" s="1">
        <v>21995</v>
      </c>
      <c r="AX3097">
        <v>2</v>
      </c>
    </row>
    <row r="3098" spans="1:50">
      <c r="B3098" t="str">
        <f>"120043020"</f>
        <v>120043020</v>
      </c>
      <c r="C3098" t="s">
        <v>50</v>
      </c>
      <c r="D3098" t="s">
        <v>6149</v>
      </c>
      <c r="E3098" t="s">
        <v>237</v>
      </c>
      <c r="F3098" t="s">
        <v>84</v>
      </c>
      <c r="H3098" t="str">
        <f>" "</f>
        <v xml:space="preserve"> </v>
      </c>
      <c r="N3098" t="s">
        <v>536</v>
      </c>
      <c r="O3098" t="s">
        <v>537</v>
      </c>
      <c r="R3098" t="s">
        <v>159</v>
      </c>
      <c r="S3098">
        <v>4</v>
      </c>
      <c r="T3098" t="s">
        <v>122</v>
      </c>
      <c r="U3098" s="1">
        <v>43348</v>
      </c>
      <c r="V3098" t="s">
        <v>5644</v>
      </c>
      <c r="W3098" t="s">
        <v>5645</v>
      </c>
      <c r="X3098" t="s">
        <v>58</v>
      </c>
      <c r="Y3098">
        <v>23</v>
      </c>
      <c r="Z3098" t="s">
        <v>59</v>
      </c>
      <c r="AA3098" t="s">
        <v>59</v>
      </c>
      <c r="AB3098" t="s">
        <v>59</v>
      </c>
      <c r="AC3098" t="s">
        <v>59</v>
      </c>
      <c r="AD3098" t="s">
        <v>59</v>
      </c>
      <c r="AF3098" s="1">
        <v>43348</v>
      </c>
      <c r="AG3098" t="s">
        <v>125</v>
      </c>
      <c r="AH3098" t="s">
        <v>126</v>
      </c>
      <c r="AI3098" t="str">
        <f>"4135001"</f>
        <v>4135001</v>
      </c>
      <c r="AJ3098" t="s">
        <v>5729</v>
      </c>
      <c r="AK3098">
        <v>2831073938</v>
      </c>
      <c r="AL3098" t="s">
        <v>5730</v>
      </c>
      <c r="AM3098" t="s">
        <v>64</v>
      </c>
      <c r="AN3098" t="s">
        <v>65</v>
      </c>
      <c r="AO3098" t="s">
        <v>65</v>
      </c>
      <c r="AP3098" t="s">
        <v>65</v>
      </c>
      <c r="AQ3098">
        <v>1</v>
      </c>
      <c r="AR3098" t="s">
        <v>5644</v>
      </c>
      <c r="AS3098" t="s">
        <v>5645</v>
      </c>
      <c r="AT3098" t="s">
        <v>58</v>
      </c>
      <c r="AU3098" t="s">
        <v>131</v>
      </c>
      <c r="AV3098" t="s">
        <v>132</v>
      </c>
      <c r="AW3098" s="1">
        <v>31147</v>
      </c>
      <c r="AX3098">
        <v>2</v>
      </c>
    </row>
    <row r="3099" spans="1:50">
      <c r="A3099">
        <v>701153</v>
      </c>
      <c r="B3099" t="str">
        <f>"126880815"</f>
        <v>126880815</v>
      </c>
      <c r="C3099" t="s">
        <v>50</v>
      </c>
      <c r="D3099" t="s">
        <v>6150</v>
      </c>
      <c r="E3099" t="s">
        <v>83</v>
      </c>
      <c r="F3099" t="s">
        <v>166</v>
      </c>
      <c r="G3099" t="s">
        <v>52</v>
      </c>
      <c r="H3099" t="str">
        <f>"ΦΙΛΙΠΠΟΣ ΔΗΜΟΥ ΑΠΟΚΟΡΩΝΑ ΧΑΝΙΩΝ "</f>
        <v xml:space="preserve">ΦΙΛΙΠΠΟΣ ΔΗΜΟΥ ΑΠΟΚΟΡΩΝΑ ΧΑΝΙΩΝ </v>
      </c>
      <c r="I3099">
        <v>73008</v>
      </c>
      <c r="J3099">
        <v>2106128358</v>
      </c>
      <c r="K3099">
        <v>6936197002</v>
      </c>
      <c r="N3099" t="s">
        <v>189</v>
      </c>
      <c r="O3099" t="s">
        <v>190</v>
      </c>
      <c r="R3099" t="s">
        <v>57</v>
      </c>
      <c r="S3099">
        <v>8</v>
      </c>
      <c r="T3099">
        <v>772</v>
      </c>
      <c r="U3099" s="1">
        <v>40413</v>
      </c>
      <c r="V3099" t="s">
        <v>5644</v>
      </c>
      <c r="W3099" t="s">
        <v>5645</v>
      </c>
      <c r="X3099" t="s">
        <v>58</v>
      </c>
      <c r="Y3099">
        <v>21</v>
      </c>
      <c r="Z3099" t="s">
        <v>59</v>
      </c>
      <c r="AA3099" t="s">
        <v>59</v>
      </c>
      <c r="AB3099" t="s">
        <v>59</v>
      </c>
      <c r="AC3099" t="s">
        <v>59</v>
      </c>
      <c r="AD3099" t="s">
        <v>59</v>
      </c>
      <c r="AF3099" s="1">
        <v>40413</v>
      </c>
      <c r="AG3099" t="s">
        <v>137</v>
      </c>
      <c r="AH3099" t="s">
        <v>138</v>
      </c>
      <c r="AI3099" t="str">
        <f>"4150040"</f>
        <v>4150040</v>
      </c>
      <c r="AJ3099" t="s">
        <v>5661</v>
      </c>
      <c r="AK3099">
        <v>2831029048</v>
      </c>
      <c r="AL3099" t="s">
        <v>5662</v>
      </c>
      <c r="AM3099" t="s">
        <v>64</v>
      </c>
      <c r="AN3099" t="s">
        <v>65</v>
      </c>
      <c r="AO3099" t="s">
        <v>65</v>
      </c>
      <c r="AP3099" t="s">
        <v>65</v>
      </c>
      <c r="AQ3099">
        <v>1</v>
      </c>
      <c r="AR3099" t="s">
        <v>5644</v>
      </c>
      <c r="AS3099" t="s">
        <v>5645</v>
      </c>
      <c r="AT3099" t="s">
        <v>58</v>
      </c>
      <c r="AU3099" t="s">
        <v>68</v>
      </c>
      <c r="AV3099" t="s">
        <v>357</v>
      </c>
      <c r="AW3099" s="1">
        <v>30054</v>
      </c>
      <c r="AX3099">
        <v>2</v>
      </c>
    </row>
    <row r="3100" spans="1:50">
      <c r="A3100">
        <v>215056</v>
      </c>
      <c r="B3100" t="str">
        <f>"103704940"</f>
        <v>103704940</v>
      </c>
      <c r="C3100" t="s">
        <v>105</v>
      </c>
      <c r="D3100" t="s">
        <v>6151</v>
      </c>
      <c r="E3100" t="s">
        <v>670</v>
      </c>
      <c r="F3100" t="s">
        <v>84</v>
      </c>
      <c r="G3100" t="s">
        <v>1114</v>
      </c>
      <c r="H3100" t="str">
        <f>"13ης ΟΚΤΩΒΡΙΟΥ 92 ΓΡΕΒΕΝΑ"</f>
        <v>13ης ΟΚΤΩΒΡΙΟΥ 92 ΓΡΕΒΕΝΑ</v>
      </c>
      <c r="I3100">
        <v>51100</v>
      </c>
      <c r="J3100">
        <v>2462023834</v>
      </c>
      <c r="K3100">
        <v>6974750968</v>
      </c>
      <c r="M3100" t="s">
        <v>6152</v>
      </c>
      <c r="N3100" t="s">
        <v>282</v>
      </c>
      <c r="O3100" t="s">
        <v>283</v>
      </c>
      <c r="R3100" t="s">
        <v>57</v>
      </c>
      <c r="S3100">
        <v>7</v>
      </c>
      <c r="T3100">
        <v>231</v>
      </c>
      <c r="U3100" s="1">
        <v>38960</v>
      </c>
      <c r="V3100" t="s">
        <v>5644</v>
      </c>
      <c r="W3100" t="s">
        <v>5645</v>
      </c>
      <c r="X3100" t="s">
        <v>58</v>
      </c>
      <c r="Y3100">
        <v>20</v>
      </c>
      <c r="Z3100" t="s">
        <v>59</v>
      </c>
      <c r="AA3100" t="s">
        <v>59</v>
      </c>
      <c r="AB3100" t="s">
        <v>59</v>
      </c>
      <c r="AC3100" t="s">
        <v>59</v>
      </c>
      <c r="AD3100" t="s">
        <v>59</v>
      </c>
      <c r="AF3100" s="1">
        <v>38961</v>
      </c>
      <c r="AG3100" t="s">
        <v>125</v>
      </c>
      <c r="AH3100" t="s">
        <v>126</v>
      </c>
      <c r="AI3100" t="str">
        <f>"4135001"</f>
        <v>4135001</v>
      </c>
      <c r="AJ3100" t="s">
        <v>5729</v>
      </c>
      <c r="AK3100">
        <v>2831073938</v>
      </c>
      <c r="AL3100" t="s">
        <v>5730</v>
      </c>
      <c r="AM3100" t="s">
        <v>64</v>
      </c>
      <c r="AN3100" t="s">
        <v>65</v>
      </c>
      <c r="AO3100" t="s">
        <v>65</v>
      </c>
      <c r="AP3100" t="s">
        <v>65</v>
      </c>
      <c r="AQ3100">
        <v>1</v>
      </c>
      <c r="AR3100" t="s">
        <v>5644</v>
      </c>
      <c r="AS3100" t="s">
        <v>5645</v>
      </c>
      <c r="AT3100" t="s">
        <v>58</v>
      </c>
      <c r="AU3100" t="s">
        <v>68</v>
      </c>
      <c r="AV3100" t="s">
        <v>69</v>
      </c>
      <c r="AW3100" s="1">
        <v>26378</v>
      </c>
      <c r="AX3100">
        <v>2</v>
      </c>
    </row>
    <row r="3101" spans="1:50">
      <c r="A3101">
        <v>175908</v>
      </c>
      <c r="B3101" t="str">
        <f>"029470830"</f>
        <v>029470830</v>
      </c>
      <c r="C3101" t="s">
        <v>105</v>
      </c>
      <c r="D3101" t="s">
        <v>6153</v>
      </c>
      <c r="E3101" t="s">
        <v>72</v>
      </c>
      <c r="F3101" t="s">
        <v>670</v>
      </c>
      <c r="G3101" t="s">
        <v>316</v>
      </c>
      <c r="H3101" t="str">
        <f>"ΕΙΡΗΝΗ 1 ΠΕΡΙΒΟΛΙΑ"</f>
        <v>ΕΙΡΗΝΗ 1 ΠΕΡΙΒΟΛΙΑ</v>
      </c>
      <c r="I3101">
        <v>74100</v>
      </c>
      <c r="J3101">
        <v>2831052588</v>
      </c>
      <c r="K3101">
        <v>6972966742</v>
      </c>
      <c r="M3101" t="s">
        <v>6154</v>
      </c>
      <c r="N3101" t="s">
        <v>292</v>
      </c>
      <c r="O3101" t="s">
        <v>293</v>
      </c>
      <c r="R3101" t="s">
        <v>57</v>
      </c>
      <c r="S3101">
        <v>10</v>
      </c>
      <c r="T3101">
        <v>180</v>
      </c>
      <c r="U3101" s="1">
        <v>35674</v>
      </c>
      <c r="V3101" t="s">
        <v>5644</v>
      </c>
      <c r="W3101" t="s">
        <v>5645</v>
      </c>
      <c r="X3101" t="s">
        <v>58</v>
      </c>
      <c r="Y3101">
        <v>18</v>
      </c>
      <c r="Z3101" t="s">
        <v>59</v>
      </c>
      <c r="AA3101" t="s">
        <v>59</v>
      </c>
      <c r="AB3101" t="s">
        <v>59</v>
      </c>
      <c r="AC3101" t="s">
        <v>59</v>
      </c>
      <c r="AD3101" t="s">
        <v>59</v>
      </c>
      <c r="AF3101" s="1">
        <v>35674</v>
      </c>
      <c r="AG3101" t="s">
        <v>148</v>
      </c>
      <c r="AH3101" t="s">
        <v>149</v>
      </c>
      <c r="AI3101" t="str">
        <f>"4151009"</f>
        <v>4151009</v>
      </c>
      <c r="AJ3101" t="s">
        <v>5649</v>
      </c>
      <c r="AK3101">
        <v>2831027115</v>
      </c>
      <c r="AL3101" t="s">
        <v>5650</v>
      </c>
      <c r="AM3101" t="s">
        <v>64</v>
      </c>
      <c r="AN3101" t="s">
        <v>65</v>
      </c>
      <c r="AO3101" t="s">
        <v>65</v>
      </c>
      <c r="AP3101" t="s">
        <v>65</v>
      </c>
      <c r="AQ3101">
        <v>1</v>
      </c>
      <c r="AR3101" t="s">
        <v>5644</v>
      </c>
      <c r="AS3101" t="s">
        <v>5645</v>
      </c>
      <c r="AT3101" t="s">
        <v>58</v>
      </c>
      <c r="AU3101" t="s">
        <v>68</v>
      </c>
      <c r="AV3101" t="s">
        <v>69</v>
      </c>
      <c r="AW3101" s="1">
        <v>21695</v>
      </c>
      <c r="AX3101">
        <v>2</v>
      </c>
    </row>
    <row r="3102" spans="1:50">
      <c r="A3102">
        <v>203066</v>
      </c>
      <c r="B3102" t="str">
        <f>"064033880"</f>
        <v>064033880</v>
      </c>
      <c r="C3102" t="s">
        <v>50</v>
      </c>
      <c r="D3102" t="s">
        <v>5047</v>
      </c>
      <c r="E3102" t="s">
        <v>181</v>
      </c>
      <c r="F3102" t="s">
        <v>53</v>
      </c>
      <c r="G3102" t="s">
        <v>143</v>
      </c>
      <c r="H3102" t="str">
        <f>"ΕΛΛΗΣΠΟΝΤΟΥ 41 ΑΝΩ Ν.ΣΜΥΡΝΗ"</f>
        <v>ΕΛΛΗΣΠΟΝΤΟΥ 41 ΑΝΩ Ν.ΣΜΥΡΝΗ</v>
      </c>
      <c r="I3102">
        <v>17124</v>
      </c>
      <c r="J3102">
        <v>2109715143</v>
      </c>
      <c r="K3102">
        <v>6977172947</v>
      </c>
      <c r="N3102" t="s">
        <v>478</v>
      </c>
      <c r="O3102" t="s">
        <v>479</v>
      </c>
      <c r="P3102" t="s">
        <v>146</v>
      </c>
      <c r="Q3102" t="s">
        <v>147</v>
      </c>
      <c r="R3102" t="s">
        <v>57</v>
      </c>
      <c r="S3102">
        <v>9</v>
      </c>
      <c r="T3102">
        <v>231</v>
      </c>
      <c r="U3102" s="1">
        <v>38230</v>
      </c>
      <c r="V3102" t="s">
        <v>5644</v>
      </c>
      <c r="W3102" t="s">
        <v>5645</v>
      </c>
      <c r="X3102" t="s">
        <v>58</v>
      </c>
      <c r="Y3102">
        <v>20</v>
      </c>
      <c r="Z3102" t="s">
        <v>59</v>
      </c>
      <c r="AA3102" t="s">
        <v>59</v>
      </c>
      <c r="AB3102" t="s">
        <v>59</v>
      </c>
      <c r="AC3102" t="s">
        <v>59</v>
      </c>
      <c r="AD3102" t="s">
        <v>59</v>
      </c>
      <c r="AF3102" s="1">
        <v>38231</v>
      </c>
      <c r="AG3102" t="s">
        <v>125</v>
      </c>
      <c r="AH3102" t="s">
        <v>126</v>
      </c>
      <c r="AI3102" t="str">
        <f>"4101040"</f>
        <v>4101040</v>
      </c>
      <c r="AJ3102" t="s">
        <v>5732</v>
      </c>
      <c r="AK3102">
        <v>2831029261</v>
      </c>
      <c r="AL3102" t="s">
        <v>5733</v>
      </c>
      <c r="AM3102" t="s">
        <v>64</v>
      </c>
      <c r="AN3102" t="s">
        <v>65</v>
      </c>
      <c r="AO3102" t="s">
        <v>65</v>
      </c>
      <c r="AP3102" t="s">
        <v>65</v>
      </c>
      <c r="AQ3102">
        <v>1</v>
      </c>
      <c r="AR3102" t="s">
        <v>5644</v>
      </c>
      <c r="AS3102" t="s">
        <v>5645</v>
      </c>
      <c r="AT3102" t="s">
        <v>58</v>
      </c>
      <c r="AU3102" t="s">
        <v>68</v>
      </c>
      <c r="AV3102" t="s">
        <v>132</v>
      </c>
      <c r="AW3102" s="1">
        <v>24529</v>
      </c>
      <c r="AX3102">
        <v>2</v>
      </c>
    </row>
    <row r="3103" spans="1:50">
      <c r="A3103">
        <v>196062</v>
      </c>
      <c r="B3103" t="str">
        <f>"115481012"</f>
        <v>115481012</v>
      </c>
      <c r="C3103" t="s">
        <v>50</v>
      </c>
      <c r="D3103" t="s">
        <v>6155</v>
      </c>
      <c r="E3103" t="s">
        <v>263</v>
      </c>
      <c r="F3103" t="s">
        <v>900</v>
      </c>
      <c r="G3103" t="s">
        <v>1074</v>
      </c>
      <c r="H3103" t="str">
        <f>"ΑΤΣΙΠΟΠΟΥΛΟ "</f>
        <v xml:space="preserve">ΑΤΣΙΠΟΠΟΥΛΟ </v>
      </c>
      <c r="I3103">
        <v>74100</v>
      </c>
      <c r="J3103">
        <v>2831031477</v>
      </c>
      <c r="K3103">
        <v>6974377895</v>
      </c>
      <c r="M3103" t="s">
        <v>6156</v>
      </c>
      <c r="N3103" t="s">
        <v>583</v>
      </c>
      <c r="O3103" t="s">
        <v>584</v>
      </c>
      <c r="P3103" t="s">
        <v>1525</v>
      </c>
      <c r="Q3103" t="s">
        <v>1526</v>
      </c>
      <c r="R3103" t="s">
        <v>57</v>
      </c>
      <c r="S3103">
        <v>10</v>
      </c>
      <c r="T3103">
        <v>194</v>
      </c>
      <c r="U3103" s="1">
        <v>37497</v>
      </c>
      <c r="V3103" t="s">
        <v>5644</v>
      </c>
      <c r="W3103" t="s">
        <v>5645</v>
      </c>
      <c r="X3103" t="s">
        <v>58</v>
      </c>
      <c r="Y3103">
        <v>20</v>
      </c>
      <c r="Z3103" t="s">
        <v>59</v>
      </c>
      <c r="AA3103" t="s">
        <v>59</v>
      </c>
      <c r="AB3103" t="s">
        <v>59</v>
      </c>
      <c r="AC3103" t="s">
        <v>59</v>
      </c>
      <c r="AD3103" t="s">
        <v>59</v>
      </c>
      <c r="AF3103" s="1">
        <v>37501</v>
      </c>
      <c r="AG3103" t="s">
        <v>137</v>
      </c>
      <c r="AH3103" t="s">
        <v>138</v>
      </c>
      <c r="AI3103" t="str">
        <f>"4150040"</f>
        <v>4150040</v>
      </c>
      <c r="AJ3103" t="s">
        <v>5661</v>
      </c>
      <c r="AK3103">
        <v>2831029048</v>
      </c>
      <c r="AL3103" t="s">
        <v>5662</v>
      </c>
      <c r="AM3103" t="s">
        <v>64</v>
      </c>
      <c r="AN3103" t="s">
        <v>65</v>
      </c>
      <c r="AO3103" t="s">
        <v>65</v>
      </c>
      <c r="AP3103" t="s">
        <v>65</v>
      </c>
      <c r="AQ3103">
        <v>1</v>
      </c>
      <c r="AR3103" t="s">
        <v>5644</v>
      </c>
      <c r="AS3103" t="s">
        <v>5645</v>
      </c>
      <c r="AT3103" t="s">
        <v>58</v>
      </c>
      <c r="AU3103" t="s">
        <v>68</v>
      </c>
      <c r="AV3103" t="s">
        <v>69</v>
      </c>
      <c r="AW3103" s="1">
        <v>28418</v>
      </c>
      <c r="AX3103">
        <v>2</v>
      </c>
    </row>
    <row r="3104" spans="1:50">
      <c r="A3104">
        <v>194152</v>
      </c>
      <c r="B3104" t="str">
        <f>"034758923"</f>
        <v>034758923</v>
      </c>
      <c r="C3104" t="s">
        <v>105</v>
      </c>
      <c r="D3104" t="s">
        <v>6157</v>
      </c>
      <c r="E3104" t="s">
        <v>377</v>
      </c>
      <c r="F3104" t="s">
        <v>99</v>
      </c>
      <c r="G3104" t="s">
        <v>52</v>
      </c>
      <c r="H3104" t="str">
        <f>"ΚΝΩΣΟΥ 12 ΡΕΘΥΜΝΟ"</f>
        <v>ΚΝΩΣΟΥ 12 ΡΕΘΥΜΝΟ</v>
      </c>
      <c r="I3104">
        <v>74100</v>
      </c>
      <c r="J3104">
        <v>2831050642</v>
      </c>
      <c r="N3104" t="s">
        <v>299</v>
      </c>
      <c r="O3104" t="s">
        <v>300</v>
      </c>
      <c r="R3104" t="s">
        <v>57</v>
      </c>
      <c r="S3104">
        <v>9</v>
      </c>
      <c r="T3104">
        <v>193</v>
      </c>
      <c r="U3104" s="1">
        <v>37497</v>
      </c>
      <c r="V3104" t="s">
        <v>5644</v>
      </c>
      <c r="W3104" t="s">
        <v>5645</v>
      </c>
      <c r="X3104" t="s">
        <v>58</v>
      </c>
      <c r="Y3104">
        <v>20</v>
      </c>
      <c r="Z3104" t="s">
        <v>59</v>
      </c>
      <c r="AA3104" t="s">
        <v>59</v>
      </c>
      <c r="AB3104" t="s">
        <v>59</v>
      </c>
      <c r="AC3104" t="s">
        <v>59</v>
      </c>
      <c r="AD3104" t="s">
        <v>59</v>
      </c>
      <c r="AF3104" s="1">
        <v>37501</v>
      </c>
      <c r="AG3104" t="s">
        <v>148</v>
      </c>
      <c r="AH3104" t="s">
        <v>149</v>
      </c>
      <c r="AI3104" t="str">
        <f>"4151009"</f>
        <v>4151009</v>
      </c>
      <c r="AJ3104" t="s">
        <v>5649</v>
      </c>
      <c r="AK3104">
        <v>2831027115</v>
      </c>
      <c r="AL3104" t="s">
        <v>5650</v>
      </c>
      <c r="AM3104" t="s">
        <v>64</v>
      </c>
      <c r="AN3104" t="s">
        <v>65</v>
      </c>
      <c r="AO3104" t="s">
        <v>65</v>
      </c>
      <c r="AP3104" t="s">
        <v>65</v>
      </c>
      <c r="AQ3104">
        <v>1</v>
      </c>
      <c r="AR3104" t="s">
        <v>5644</v>
      </c>
      <c r="AS3104" t="s">
        <v>5645</v>
      </c>
      <c r="AT3104" t="s">
        <v>58</v>
      </c>
      <c r="AU3104" t="s">
        <v>68</v>
      </c>
      <c r="AV3104" t="s">
        <v>69</v>
      </c>
      <c r="AW3104" s="1">
        <v>23618</v>
      </c>
      <c r="AX3104">
        <v>2</v>
      </c>
    </row>
    <row r="3105" spans="1:50">
      <c r="B3105" t="str">
        <f>"125286921"</f>
        <v>125286921</v>
      </c>
      <c r="C3105" t="s">
        <v>50</v>
      </c>
      <c r="D3105" t="s">
        <v>6158</v>
      </c>
      <c r="E3105" t="s">
        <v>809</v>
      </c>
      <c r="F3105" t="s">
        <v>173</v>
      </c>
      <c r="G3105" t="s">
        <v>563</v>
      </c>
      <c r="H3105" t="str">
        <f>" "</f>
        <v xml:space="preserve"> </v>
      </c>
      <c r="N3105" t="s">
        <v>883</v>
      </c>
      <c r="O3105" t="s">
        <v>884</v>
      </c>
      <c r="R3105" t="s">
        <v>121</v>
      </c>
      <c r="S3105">
        <v>1</v>
      </c>
      <c r="T3105" t="s">
        <v>1944</v>
      </c>
      <c r="U3105" s="1">
        <v>43364</v>
      </c>
      <c r="V3105" t="s">
        <v>5644</v>
      </c>
      <c r="W3105" t="s">
        <v>5645</v>
      </c>
      <c r="X3105" t="s">
        <v>58</v>
      </c>
      <c r="Y3105">
        <v>23</v>
      </c>
      <c r="Z3105" t="s">
        <v>59</v>
      </c>
      <c r="AD3105" t="s">
        <v>59</v>
      </c>
      <c r="AF3105" s="1">
        <v>43367</v>
      </c>
      <c r="AG3105" t="s">
        <v>125</v>
      </c>
      <c r="AH3105" t="s">
        <v>126</v>
      </c>
      <c r="AI3105" t="str">
        <f>"4106010"</f>
        <v>4106010</v>
      </c>
      <c r="AJ3105" t="s">
        <v>5880</v>
      </c>
      <c r="AK3105">
        <v>2832022035</v>
      </c>
      <c r="AL3105" t="s">
        <v>5881</v>
      </c>
      <c r="AM3105" t="s">
        <v>64</v>
      </c>
      <c r="AN3105" t="s">
        <v>5882</v>
      </c>
      <c r="AO3105" t="s">
        <v>5883</v>
      </c>
      <c r="AP3105" t="s">
        <v>5884</v>
      </c>
      <c r="AQ3105">
        <v>5</v>
      </c>
      <c r="AR3105" t="s">
        <v>5644</v>
      </c>
      <c r="AS3105" t="s">
        <v>5645</v>
      </c>
      <c r="AT3105" t="s">
        <v>58</v>
      </c>
      <c r="AU3105" t="s">
        <v>350</v>
      </c>
      <c r="AV3105" t="s">
        <v>132</v>
      </c>
      <c r="AW3105" s="1">
        <v>31425</v>
      </c>
      <c r="AX3105">
        <v>2</v>
      </c>
    </row>
    <row r="3106" spans="1:50">
      <c r="A3106">
        <v>164053</v>
      </c>
      <c r="B3106" t="str">
        <f>"036360758"</f>
        <v>036360758</v>
      </c>
      <c r="C3106" t="s">
        <v>105</v>
      </c>
      <c r="D3106" t="s">
        <v>6159</v>
      </c>
      <c r="E3106" t="s">
        <v>510</v>
      </c>
      <c r="F3106" t="s">
        <v>564</v>
      </c>
      <c r="G3106" t="s">
        <v>237</v>
      </c>
      <c r="H3106" t="str">
        <f>"ΒΙΒΙΛΑΚΗ 16 ΡΕΘΥΜΝΟ"</f>
        <v>ΒΙΒΙΛΑΚΗ 16 ΡΕΘΥΜΝΟ</v>
      </c>
      <c r="I3106">
        <v>74100</v>
      </c>
      <c r="J3106">
        <v>2831036113</v>
      </c>
      <c r="K3106">
        <v>6975912945</v>
      </c>
      <c r="N3106" t="s">
        <v>146</v>
      </c>
      <c r="O3106" t="s">
        <v>147</v>
      </c>
      <c r="R3106" t="s">
        <v>57</v>
      </c>
      <c r="S3106">
        <v>15</v>
      </c>
      <c r="T3106">
        <v>161</v>
      </c>
      <c r="U3106" s="1">
        <v>33844</v>
      </c>
      <c r="V3106" t="s">
        <v>5644</v>
      </c>
      <c r="W3106" t="s">
        <v>5645</v>
      </c>
      <c r="X3106" t="s">
        <v>58</v>
      </c>
      <c r="Y3106">
        <v>18</v>
      </c>
      <c r="Z3106" t="s">
        <v>59</v>
      </c>
      <c r="AA3106" t="s">
        <v>59</v>
      </c>
      <c r="AB3106" t="s">
        <v>59</v>
      </c>
      <c r="AC3106" t="s">
        <v>59</v>
      </c>
      <c r="AD3106" t="s">
        <v>59</v>
      </c>
      <c r="AF3106" s="1">
        <v>33844</v>
      </c>
      <c r="AG3106" t="s">
        <v>148</v>
      </c>
      <c r="AH3106" t="s">
        <v>149</v>
      </c>
      <c r="AI3106" t="str">
        <f>"4151020"</f>
        <v>4151020</v>
      </c>
      <c r="AJ3106" t="s">
        <v>5725</v>
      </c>
      <c r="AK3106">
        <v>2831022475</v>
      </c>
      <c r="AL3106" t="s">
        <v>5726</v>
      </c>
      <c r="AM3106" t="s">
        <v>64</v>
      </c>
      <c r="AN3106" t="s">
        <v>65</v>
      </c>
      <c r="AO3106" t="s">
        <v>65</v>
      </c>
      <c r="AP3106" t="s">
        <v>65</v>
      </c>
      <c r="AQ3106">
        <v>1</v>
      </c>
      <c r="AR3106" t="s">
        <v>5644</v>
      </c>
      <c r="AS3106" t="s">
        <v>5645</v>
      </c>
      <c r="AT3106" t="s">
        <v>58</v>
      </c>
      <c r="AU3106" t="s">
        <v>68</v>
      </c>
      <c r="AV3106" t="s">
        <v>69</v>
      </c>
      <c r="AW3106" s="1">
        <v>22909</v>
      </c>
      <c r="AX3106">
        <v>2</v>
      </c>
    </row>
    <row r="3107" spans="1:50">
      <c r="A3107">
        <v>197781</v>
      </c>
      <c r="B3107" t="str">
        <f>"042294165"</f>
        <v>042294165</v>
      </c>
      <c r="C3107" t="s">
        <v>105</v>
      </c>
      <c r="D3107" t="s">
        <v>6160</v>
      </c>
      <c r="E3107" t="s">
        <v>202</v>
      </c>
      <c r="F3107" t="s">
        <v>53</v>
      </c>
      <c r="G3107" t="s">
        <v>1074</v>
      </c>
      <c r="H3107" t="str">
        <f>"ΑΠΟΣΤΟΛΑΚΗ 29 ΣΑΡΑΚΙΝΑ"</f>
        <v>ΑΠΟΣΤΟΛΑΚΗ 29 ΣΑΡΑΚΙΝΑ</v>
      </c>
      <c r="I3107">
        <v>74132</v>
      </c>
      <c r="J3107">
        <v>2831050256</v>
      </c>
      <c r="K3107">
        <v>6932467833</v>
      </c>
      <c r="N3107" t="s">
        <v>292</v>
      </c>
      <c r="O3107" t="s">
        <v>293</v>
      </c>
      <c r="R3107" t="s">
        <v>57</v>
      </c>
      <c r="S3107">
        <v>8</v>
      </c>
      <c r="T3107">
        <v>206</v>
      </c>
      <c r="U3107" s="1">
        <v>37866</v>
      </c>
      <c r="V3107" t="s">
        <v>5644</v>
      </c>
      <c r="W3107" t="s">
        <v>5645</v>
      </c>
      <c r="X3107" t="s">
        <v>58</v>
      </c>
      <c r="Y3107">
        <v>20</v>
      </c>
      <c r="Z3107" t="s">
        <v>59</v>
      </c>
      <c r="AA3107" t="s">
        <v>59</v>
      </c>
      <c r="AB3107" t="s">
        <v>59</v>
      </c>
      <c r="AC3107" t="s">
        <v>59</v>
      </c>
      <c r="AD3107" t="s">
        <v>452</v>
      </c>
      <c r="AE3107" s="1">
        <v>43708</v>
      </c>
      <c r="AF3107" s="1">
        <v>37866</v>
      </c>
      <c r="AG3107" t="s">
        <v>148</v>
      </c>
      <c r="AH3107" t="s">
        <v>2782</v>
      </c>
      <c r="AI3107" t="str">
        <f>"4151040"</f>
        <v>4151040</v>
      </c>
      <c r="AJ3107" t="s">
        <v>5810</v>
      </c>
      <c r="AK3107">
        <v>2831023425</v>
      </c>
      <c r="AL3107" t="s">
        <v>5811</v>
      </c>
      <c r="AM3107" t="s">
        <v>64</v>
      </c>
      <c r="AN3107" t="s">
        <v>65</v>
      </c>
      <c r="AO3107" t="s">
        <v>65</v>
      </c>
      <c r="AP3107" t="s">
        <v>65</v>
      </c>
      <c r="AQ3107">
        <v>1</v>
      </c>
      <c r="AR3107" t="s">
        <v>5644</v>
      </c>
      <c r="AS3107" t="s">
        <v>5645</v>
      </c>
      <c r="AT3107" t="s">
        <v>58</v>
      </c>
      <c r="AU3107" t="s">
        <v>68</v>
      </c>
      <c r="AV3107" t="s">
        <v>69</v>
      </c>
      <c r="AW3107" s="1">
        <v>24022</v>
      </c>
      <c r="AX3107">
        <v>2</v>
      </c>
    </row>
    <row r="3108" spans="1:50">
      <c r="A3108">
        <v>219076</v>
      </c>
      <c r="B3108" t="str">
        <f>"106658186"</f>
        <v>106658186</v>
      </c>
      <c r="C3108" t="s">
        <v>50</v>
      </c>
      <c r="D3108" t="s">
        <v>6161</v>
      </c>
      <c r="E3108" t="s">
        <v>52</v>
      </c>
      <c r="F3108" t="s">
        <v>6162</v>
      </c>
      <c r="G3108" t="s">
        <v>2251</v>
      </c>
      <c r="H3108" t="str">
        <f>"ΣΠΑΝΟΒΑΓΓΕΛΗ 5 ΖΩΓΡΑΦΟΥ - ΑΘΗΝΑ"</f>
        <v>ΣΠΑΝΟΒΑΓΓΕΛΗ 5 ΖΩΓΡΑΦΟΥ - ΑΘΗΝΑ</v>
      </c>
      <c r="I3108">
        <v>15771</v>
      </c>
      <c r="J3108">
        <v>2107791300</v>
      </c>
      <c r="K3108">
        <v>6932912002</v>
      </c>
      <c r="M3108" t="s">
        <v>6163</v>
      </c>
      <c r="N3108" t="s">
        <v>478</v>
      </c>
      <c r="O3108" t="s">
        <v>479</v>
      </c>
      <c r="R3108" t="s">
        <v>57</v>
      </c>
      <c r="S3108">
        <v>7</v>
      </c>
      <c r="T3108">
        <v>599</v>
      </c>
      <c r="U3108" s="1">
        <v>39310</v>
      </c>
      <c r="V3108" t="s">
        <v>5644</v>
      </c>
      <c r="W3108" t="s">
        <v>5645</v>
      </c>
      <c r="X3108" t="s">
        <v>58</v>
      </c>
      <c r="Y3108">
        <v>21</v>
      </c>
      <c r="Z3108" t="s">
        <v>59</v>
      </c>
      <c r="AA3108" t="s">
        <v>59</v>
      </c>
      <c r="AB3108" t="s">
        <v>59</v>
      </c>
      <c r="AC3108" t="s">
        <v>59</v>
      </c>
      <c r="AD3108" t="s">
        <v>59</v>
      </c>
      <c r="AF3108" s="1">
        <v>39326</v>
      </c>
      <c r="AG3108" t="s">
        <v>125</v>
      </c>
      <c r="AH3108" t="s">
        <v>126</v>
      </c>
      <c r="AI3108" t="str">
        <f>"4101020"</f>
        <v>4101020</v>
      </c>
      <c r="AJ3108" t="s">
        <v>5652</v>
      </c>
      <c r="AK3108">
        <v>2831023560</v>
      </c>
      <c r="AL3108" t="s">
        <v>5653</v>
      </c>
      <c r="AM3108" t="s">
        <v>64</v>
      </c>
      <c r="AN3108" t="s">
        <v>65</v>
      </c>
      <c r="AO3108" t="s">
        <v>65</v>
      </c>
      <c r="AP3108" t="s">
        <v>65</v>
      </c>
      <c r="AQ3108">
        <v>1</v>
      </c>
      <c r="AR3108" t="s">
        <v>5644</v>
      </c>
      <c r="AS3108" t="s">
        <v>5645</v>
      </c>
      <c r="AT3108" t="s">
        <v>58</v>
      </c>
      <c r="AU3108" t="s">
        <v>68</v>
      </c>
      <c r="AV3108" t="s">
        <v>132</v>
      </c>
      <c r="AW3108" s="1">
        <v>28766</v>
      </c>
      <c r="AX3108">
        <v>2</v>
      </c>
    </row>
    <row r="3109" spans="1:50">
      <c r="A3109">
        <v>182636</v>
      </c>
      <c r="B3109" t="str">
        <f>"044259527"</f>
        <v>044259527</v>
      </c>
      <c r="C3109" t="s">
        <v>50</v>
      </c>
      <c r="D3109" t="s">
        <v>6164</v>
      </c>
      <c r="E3109" t="s">
        <v>52</v>
      </c>
      <c r="F3109" t="s">
        <v>99</v>
      </c>
      <c r="G3109" t="s">
        <v>1001</v>
      </c>
      <c r="H3109" t="str">
        <f>"ΣΙΛΙΓΑΡΔΟΥ 25 ΡΕΘΥΜΝΟ"</f>
        <v>ΣΙΛΙΓΑΡΔΟΥ 25 ΡΕΘΥΜΝΟ</v>
      </c>
      <c r="I3109">
        <v>74100</v>
      </c>
      <c r="J3109">
        <v>2831029289</v>
      </c>
      <c r="K3109">
        <v>6973380236</v>
      </c>
      <c r="N3109" t="s">
        <v>292</v>
      </c>
      <c r="O3109" t="s">
        <v>293</v>
      </c>
      <c r="R3109" t="s">
        <v>57</v>
      </c>
      <c r="S3109">
        <v>9</v>
      </c>
      <c r="T3109">
        <v>249</v>
      </c>
      <c r="U3109" s="1">
        <v>36160</v>
      </c>
      <c r="V3109" t="s">
        <v>5644</v>
      </c>
      <c r="W3109" t="s">
        <v>5645</v>
      </c>
      <c r="X3109" t="s">
        <v>58</v>
      </c>
      <c r="Y3109">
        <v>20</v>
      </c>
      <c r="Z3109" t="s">
        <v>59</v>
      </c>
      <c r="AA3109" t="s">
        <v>59</v>
      </c>
      <c r="AB3109" t="s">
        <v>59</v>
      </c>
      <c r="AC3109" t="s">
        <v>59</v>
      </c>
      <c r="AD3109" t="s">
        <v>59</v>
      </c>
      <c r="AF3109" s="1">
        <v>36171</v>
      </c>
      <c r="AG3109" t="s">
        <v>148</v>
      </c>
      <c r="AH3109" t="s">
        <v>149</v>
      </c>
      <c r="AI3109" t="str">
        <f>"4151020"</f>
        <v>4151020</v>
      </c>
      <c r="AJ3109" t="s">
        <v>5725</v>
      </c>
      <c r="AK3109">
        <v>2831022475</v>
      </c>
      <c r="AL3109" t="s">
        <v>5726</v>
      </c>
      <c r="AM3109" t="s">
        <v>64</v>
      </c>
      <c r="AN3109" t="s">
        <v>65</v>
      </c>
      <c r="AO3109" t="s">
        <v>65</v>
      </c>
      <c r="AP3109" t="s">
        <v>65</v>
      </c>
      <c r="AQ3109">
        <v>1</v>
      </c>
      <c r="AR3109" t="s">
        <v>5644</v>
      </c>
      <c r="AS3109" t="s">
        <v>5645</v>
      </c>
      <c r="AT3109" t="s">
        <v>58</v>
      </c>
      <c r="AU3109" t="s">
        <v>68</v>
      </c>
      <c r="AV3109" t="s">
        <v>69</v>
      </c>
      <c r="AW3109" s="1">
        <v>24436</v>
      </c>
      <c r="AX3109">
        <v>2</v>
      </c>
    </row>
    <row r="3110" spans="1:50">
      <c r="B3110" t="str">
        <f>"119922998"</f>
        <v>119922998</v>
      </c>
      <c r="C3110" t="s">
        <v>105</v>
      </c>
      <c r="D3110" t="s">
        <v>6165</v>
      </c>
      <c r="E3110" t="s">
        <v>1320</v>
      </c>
      <c r="F3110" t="s">
        <v>53</v>
      </c>
      <c r="G3110" t="s">
        <v>83</v>
      </c>
      <c r="H3110" t="str">
        <f>"ΑΝΘΕΜΙΟΥ 15 ΠΑΤΡΑ"</f>
        <v>ΑΝΘΕΜΙΟΥ 15 ΠΑΤΡΑ</v>
      </c>
      <c r="I3110">
        <v>26442</v>
      </c>
      <c r="J3110">
        <v>2610426520</v>
      </c>
      <c r="K3110">
        <v>6976407056</v>
      </c>
      <c r="M3110" t="s">
        <v>6166</v>
      </c>
      <c r="N3110" t="s">
        <v>331</v>
      </c>
      <c r="O3110" t="s">
        <v>332</v>
      </c>
      <c r="R3110" t="s">
        <v>159</v>
      </c>
      <c r="S3110">
        <v>4</v>
      </c>
      <c r="T3110" t="s">
        <v>416</v>
      </c>
      <c r="U3110" s="1">
        <v>43349</v>
      </c>
      <c r="V3110" t="s">
        <v>5644</v>
      </c>
      <c r="W3110" t="s">
        <v>5645</v>
      </c>
      <c r="X3110" t="s">
        <v>58</v>
      </c>
      <c r="Y3110">
        <v>21</v>
      </c>
      <c r="Z3110" t="s">
        <v>59</v>
      </c>
      <c r="AA3110" t="s">
        <v>59</v>
      </c>
      <c r="AB3110" t="s">
        <v>59</v>
      </c>
      <c r="AC3110" t="s">
        <v>59</v>
      </c>
      <c r="AD3110" t="s">
        <v>59</v>
      </c>
      <c r="AF3110" s="1">
        <v>43349</v>
      </c>
      <c r="AG3110" t="s">
        <v>137</v>
      </c>
      <c r="AH3110" t="s">
        <v>138</v>
      </c>
      <c r="AI3110" t="str">
        <f>"4150040"</f>
        <v>4150040</v>
      </c>
      <c r="AJ3110" t="s">
        <v>5661</v>
      </c>
      <c r="AK3110">
        <v>2831029048</v>
      </c>
      <c r="AL3110" t="s">
        <v>5662</v>
      </c>
      <c r="AM3110" t="s">
        <v>64</v>
      </c>
      <c r="AN3110" t="s">
        <v>65</v>
      </c>
      <c r="AO3110" t="s">
        <v>65</v>
      </c>
      <c r="AP3110" t="s">
        <v>65</v>
      </c>
      <c r="AQ3110">
        <v>1</v>
      </c>
      <c r="AR3110" t="s">
        <v>5644</v>
      </c>
      <c r="AS3110" t="s">
        <v>5645</v>
      </c>
      <c r="AT3110" t="s">
        <v>58</v>
      </c>
      <c r="AU3110" t="s">
        <v>419</v>
      </c>
      <c r="AV3110" t="s">
        <v>132</v>
      </c>
      <c r="AW3110" s="1">
        <v>29430</v>
      </c>
      <c r="AX3110">
        <v>2</v>
      </c>
    </row>
    <row r="3111" spans="1:50">
      <c r="A3111">
        <v>193065</v>
      </c>
      <c r="B3111" t="str">
        <f>"050758265"</f>
        <v>050758265</v>
      </c>
      <c r="C3111" t="s">
        <v>50</v>
      </c>
      <c r="D3111" t="s">
        <v>2393</v>
      </c>
      <c r="E3111" t="s">
        <v>513</v>
      </c>
      <c r="F3111" t="s">
        <v>72</v>
      </c>
      <c r="G3111" t="s">
        <v>1358</v>
      </c>
      <c r="H3111" t="str">
        <f>"ΖΑΜΠΕΛΙΟΥ 26 "</f>
        <v xml:space="preserve">ΖΑΜΠΕΛΙΟΥ 26 </v>
      </c>
      <c r="I3111">
        <v>74100</v>
      </c>
      <c r="J3111">
        <v>2831025868</v>
      </c>
      <c r="K3111">
        <v>6937751811</v>
      </c>
      <c r="N3111" t="s">
        <v>146</v>
      </c>
      <c r="O3111" t="s">
        <v>147</v>
      </c>
      <c r="R3111" t="s">
        <v>57</v>
      </c>
      <c r="S3111">
        <v>11</v>
      </c>
      <c r="T3111">
        <v>193</v>
      </c>
      <c r="U3111" s="1">
        <v>37497</v>
      </c>
      <c r="V3111" t="s">
        <v>5644</v>
      </c>
      <c r="W3111" t="s">
        <v>5645</v>
      </c>
      <c r="X3111" t="s">
        <v>58</v>
      </c>
      <c r="Y3111">
        <v>18</v>
      </c>
      <c r="Z3111" t="s">
        <v>59</v>
      </c>
      <c r="AA3111" t="s">
        <v>59</v>
      </c>
      <c r="AB3111" t="s">
        <v>59</v>
      </c>
      <c r="AC3111" t="s">
        <v>59</v>
      </c>
      <c r="AD3111" t="s">
        <v>59</v>
      </c>
      <c r="AF3111" s="1">
        <v>37497</v>
      </c>
      <c r="AG3111" t="s">
        <v>125</v>
      </c>
      <c r="AH3111" t="s">
        <v>126</v>
      </c>
      <c r="AI3111" t="str">
        <f>"4103010"</f>
        <v>4103010</v>
      </c>
      <c r="AJ3111" t="s">
        <v>5684</v>
      </c>
      <c r="AK3111">
        <v>2834051206</v>
      </c>
      <c r="AL3111" t="s">
        <v>5685</v>
      </c>
      <c r="AM3111" t="s">
        <v>64</v>
      </c>
      <c r="AN3111" t="s">
        <v>5672</v>
      </c>
      <c r="AO3111" t="s">
        <v>5673</v>
      </c>
      <c r="AP3111" t="s">
        <v>5674</v>
      </c>
      <c r="AQ3111">
        <v>2</v>
      </c>
      <c r="AR3111" t="s">
        <v>5644</v>
      </c>
      <c r="AS3111" t="s">
        <v>5645</v>
      </c>
      <c r="AT3111" t="s">
        <v>58</v>
      </c>
      <c r="AU3111" t="s">
        <v>68</v>
      </c>
      <c r="AV3111" t="s">
        <v>69</v>
      </c>
      <c r="AW3111" s="1">
        <v>24840</v>
      </c>
      <c r="AX3111">
        <v>2</v>
      </c>
    </row>
    <row r="3112" spans="1:50">
      <c r="A3112">
        <v>227607</v>
      </c>
      <c r="B3112" t="str">
        <f>"054704162"</f>
        <v>054704162</v>
      </c>
      <c r="C3112" t="s">
        <v>50</v>
      </c>
      <c r="D3112" t="s">
        <v>6167</v>
      </c>
      <c r="E3112" t="s">
        <v>1752</v>
      </c>
      <c r="F3112" t="s">
        <v>6168</v>
      </c>
      <c r="G3112" t="s">
        <v>6169</v>
      </c>
      <c r="H3112" t="str">
        <f>"Λ. ΗΛΙΑΚΤΗΣ 43 ΣΑΛΑΜΙΝΑ"</f>
        <v>Λ. ΗΛΙΑΚΤΗΣ 43 ΣΑΛΑΜΙΝΑ</v>
      </c>
      <c r="I3112">
        <v>18900</v>
      </c>
      <c r="J3112">
        <v>2104924850</v>
      </c>
      <c r="K3112">
        <v>6949860844</v>
      </c>
      <c r="M3112" t="s">
        <v>6170</v>
      </c>
      <c r="N3112" t="s">
        <v>478</v>
      </c>
      <c r="O3112" t="s">
        <v>479</v>
      </c>
      <c r="R3112" t="s">
        <v>57</v>
      </c>
      <c r="S3112">
        <v>5</v>
      </c>
      <c r="T3112">
        <v>654</v>
      </c>
      <c r="U3112" s="1">
        <v>40074</v>
      </c>
      <c r="V3112" t="s">
        <v>5644</v>
      </c>
      <c r="W3112" t="s">
        <v>5645</v>
      </c>
      <c r="X3112" t="s">
        <v>58</v>
      </c>
      <c r="Y3112">
        <v>21</v>
      </c>
      <c r="Z3112" t="s">
        <v>59</v>
      </c>
      <c r="AA3112" t="s">
        <v>59</v>
      </c>
      <c r="AB3112" t="s">
        <v>59</v>
      </c>
      <c r="AC3112" t="s">
        <v>59</v>
      </c>
      <c r="AD3112" t="s">
        <v>59</v>
      </c>
      <c r="AF3112" s="1">
        <v>40074</v>
      </c>
      <c r="AG3112" t="s">
        <v>125</v>
      </c>
      <c r="AH3112" t="s">
        <v>126</v>
      </c>
      <c r="AI3112" t="str">
        <f>"4109010"</f>
        <v>4109010</v>
      </c>
      <c r="AJ3112" t="s">
        <v>5786</v>
      </c>
      <c r="AK3112">
        <v>2834041366</v>
      </c>
      <c r="AL3112" t="s">
        <v>5787</v>
      </c>
      <c r="AM3112" t="s">
        <v>64</v>
      </c>
      <c r="AN3112" t="s">
        <v>5672</v>
      </c>
      <c r="AO3112" t="s">
        <v>5698</v>
      </c>
      <c r="AP3112" t="s">
        <v>5788</v>
      </c>
      <c r="AQ3112">
        <v>2</v>
      </c>
      <c r="AR3112" t="s">
        <v>5644</v>
      </c>
      <c r="AS3112" t="s">
        <v>5645</v>
      </c>
      <c r="AT3112" t="s">
        <v>58</v>
      </c>
      <c r="AU3112" t="s">
        <v>68</v>
      </c>
      <c r="AV3112" t="s">
        <v>132</v>
      </c>
      <c r="AW3112" s="1">
        <v>20089</v>
      </c>
      <c r="AX3112">
        <v>2</v>
      </c>
    </row>
    <row r="3113" spans="1:50">
      <c r="B3113" t="str">
        <f>"111288651"</f>
        <v>111288651</v>
      </c>
      <c r="C3113" t="s">
        <v>50</v>
      </c>
      <c r="D3113" t="s">
        <v>2423</v>
      </c>
      <c r="E3113" t="s">
        <v>237</v>
      </c>
      <c r="F3113" t="s">
        <v>92</v>
      </c>
      <c r="G3113" t="s">
        <v>52</v>
      </c>
      <c r="H3113" t="str">
        <f>" "</f>
        <v xml:space="preserve"> </v>
      </c>
      <c r="K3113">
        <v>6934033702</v>
      </c>
      <c r="N3113" t="s">
        <v>536</v>
      </c>
      <c r="O3113" t="s">
        <v>537</v>
      </c>
      <c r="R3113" t="s">
        <v>121</v>
      </c>
      <c r="S3113">
        <v>3</v>
      </c>
      <c r="T3113" t="s">
        <v>122</v>
      </c>
      <c r="U3113" s="1">
        <v>43348</v>
      </c>
      <c r="V3113" t="s">
        <v>5644</v>
      </c>
      <c r="W3113" t="s">
        <v>5645</v>
      </c>
      <c r="X3113" t="s">
        <v>58</v>
      </c>
      <c r="Y3113">
        <v>23</v>
      </c>
      <c r="Z3113" t="s">
        <v>59</v>
      </c>
      <c r="AA3113" t="s">
        <v>59</v>
      </c>
      <c r="AB3113" t="s">
        <v>59</v>
      </c>
      <c r="AD3113" t="s">
        <v>59</v>
      </c>
      <c r="AF3113" s="1">
        <v>43348</v>
      </c>
      <c r="AG3113" t="s">
        <v>137</v>
      </c>
      <c r="AH3113" t="s">
        <v>138</v>
      </c>
      <c r="AI3113" t="str">
        <f>"4150040"</f>
        <v>4150040</v>
      </c>
      <c r="AJ3113" t="s">
        <v>5661</v>
      </c>
      <c r="AK3113">
        <v>2831029048</v>
      </c>
      <c r="AL3113" t="s">
        <v>5662</v>
      </c>
      <c r="AM3113" t="s">
        <v>64</v>
      </c>
      <c r="AN3113" t="s">
        <v>65</v>
      </c>
      <c r="AO3113" t="s">
        <v>65</v>
      </c>
      <c r="AP3113" t="s">
        <v>65</v>
      </c>
      <c r="AQ3113">
        <v>1</v>
      </c>
      <c r="AR3113" t="s">
        <v>5644</v>
      </c>
      <c r="AS3113" t="s">
        <v>5645</v>
      </c>
      <c r="AT3113" t="s">
        <v>58</v>
      </c>
      <c r="AU3113" t="s">
        <v>131</v>
      </c>
      <c r="AV3113" t="s">
        <v>132</v>
      </c>
      <c r="AW3113" s="1">
        <v>31559</v>
      </c>
      <c r="AX3113">
        <v>2</v>
      </c>
    </row>
    <row r="3114" spans="1:50">
      <c r="A3114">
        <v>224725</v>
      </c>
      <c r="B3114" t="str">
        <f>"043094835"</f>
        <v>043094835</v>
      </c>
      <c r="C3114" t="s">
        <v>50</v>
      </c>
      <c r="D3114" t="s">
        <v>2423</v>
      </c>
      <c r="E3114" t="s">
        <v>83</v>
      </c>
      <c r="F3114" t="s">
        <v>510</v>
      </c>
      <c r="G3114" t="s">
        <v>6171</v>
      </c>
      <c r="H3114" t="str">
        <f>"ΕΛΕΥΘΕΡΝΗΣ 33 ΗΡΑΚΛΕΙΟ"</f>
        <v>ΕΛΕΥΘΕΡΝΗΣ 33 ΗΡΑΚΛΕΙΟ</v>
      </c>
      <c r="I3114">
        <v>71303</v>
      </c>
      <c r="K3114">
        <v>6973328206</v>
      </c>
      <c r="M3114" t="s">
        <v>6172</v>
      </c>
      <c r="N3114" t="s">
        <v>299</v>
      </c>
      <c r="O3114" t="s">
        <v>300</v>
      </c>
      <c r="R3114" t="s">
        <v>57</v>
      </c>
      <c r="S3114">
        <v>5</v>
      </c>
      <c r="T3114">
        <v>775</v>
      </c>
      <c r="U3114" s="1">
        <v>39680</v>
      </c>
      <c r="V3114" t="s">
        <v>5644</v>
      </c>
      <c r="W3114" t="s">
        <v>5645</v>
      </c>
      <c r="X3114" t="s">
        <v>58</v>
      </c>
      <c r="Y3114">
        <v>21</v>
      </c>
      <c r="Z3114" t="s">
        <v>59</v>
      </c>
      <c r="AA3114" t="s">
        <v>59</v>
      </c>
      <c r="AB3114" t="s">
        <v>59</v>
      </c>
      <c r="AC3114" t="s">
        <v>59</v>
      </c>
      <c r="AD3114" t="s">
        <v>59</v>
      </c>
      <c r="AF3114" s="1">
        <v>39681</v>
      </c>
      <c r="AG3114" t="s">
        <v>148</v>
      </c>
      <c r="AH3114" t="s">
        <v>149</v>
      </c>
      <c r="AI3114" t="str">
        <f>"4152010"</f>
        <v>4152010</v>
      </c>
      <c r="AJ3114" t="s">
        <v>5739</v>
      </c>
      <c r="AK3114">
        <v>2834031205</v>
      </c>
      <c r="AL3114" t="s">
        <v>5740</v>
      </c>
      <c r="AM3114" t="s">
        <v>64</v>
      </c>
      <c r="AN3114" t="s">
        <v>5737</v>
      </c>
      <c r="AO3114" t="s">
        <v>5737</v>
      </c>
      <c r="AP3114" t="s">
        <v>5737</v>
      </c>
      <c r="AQ3114">
        <v>3</v>
      </c>
      <c r="AR3114" t="s">
        <v>5644</v>
      </c>
      <c r="AS3114" t="s">
        <v>5645</v>
      </c>
      <c r="AT3114" t="s">
        <v>58</v>
      </c>
      <c r="AU3114" t="s">
        <v>68</v>
      </c>
      <c r="AV3114" t="s">
        <v>69</v>
      </c>
      <c r="AW3114" s="1">
        <v>24500</v>
      </c>
      <c r="AX3114">
        <v>2</v>
      </c>
    </row>
    <row r="3115" spans="1:50">
      <c r="A3115">
        <v>198594</v>
      </c>
      <c r="B3115" t="str">
        <f>"066803303"</f>
        <v>066803303</v>
      </c>
      <c r="C3115" t="s">
        <v>50</v>
      </c>
      <c r="D3115" t="s">
        <v>6173</v>
      </c>
      <c r="E3115" t="s">
        <v>580</v>
      </c>
      <c r="F3115" t="s">
        <v>95</v>
      </c>
      <c r="G3115" t="s">
        <v>188</v>
      </c>
      <c r="H3115" t="str">
        <f>"ΟΙΚ. ΔΗΜ. ΥΠΑΛ. ΜΑΡΟΥΛΑΣ ΡΕΘΥΜΝΟ"</f>
        <v>ΟΙΚ. ΔΗΜ. ΥΠΑΛ. ΜΑΡΟΥΛΑΣ ΡΕΘΥΜΝΟ</v>
      </c>
      <c r="I3115">
        <v>74100</v>
      </c>
      <c r="J3115">
        <v>2107642868</v>
      </c>
      <c r="K3115">
        <v>6972223025</v>
      </c>
      <c r="N3115" t="s">
        <v>306</v>
      </c>
      <c r="O3115" t="s">
        <v>307</v>
      </c>
      <c r="R3115" t="s">
        <v>57</v>
      </c>
      <c r="S3115">
        <v>7</v>
      </c>
      <c r="T3115">
        <v>206</v>
      </c>
      <c r="U3115" s="1">
        <v>37866</v>
      </c>
      <c r="V3115" t="s">
        <v>5644</v>
      </c>
      <c r="W3115" t="s">
        <v>5645</v>
      </c>
      <c r="X3115" t="s">
        <v>58</v>
      </c>
      <c r="Y3115">
        <v>20</v>
      </c>
      <c r="Z3115" t="s">
        <v>59</v>
      </c>
      <c r="AA3115" t="s">
        <v>59</v>
      </c>
      <c r="AB3115" t="s">
        <v>59</v>
      </c>
      <c r="AC3115" t="s">
        <v>59</v>
      </c>
      <c r="AD3115" t="s">
        <v>59</v>
      </c>
      <c r="AF3115" s="1">
        <v>37866</v>
      </c>
      <c r="AG3115" t="s">
        <v>125</v>
      </c>
      <c r="AH3115" t="s">
        <v>126</v>
      </c>
      <c r="AI3115" t="str">
        <f>"4135001"</f>
        <v>4135001</v>
      </c>
      <c r="AJ3115" t="s">
        <v>5729</v>
      </c>
      <c r="AK3115">
        <v>2831073938</v>
      </c>
      <c r="AL3115" t="s">
        <v>5730</v>
      </c>
      <c r="AM3115" t="s">
        <v>64</v>
      </c>
      <c r="AN3115" t="s">
        <v>65</v>
      </c>
      <c r="AO3115" t="s">
        <v>65</v>
      </c>
      <c r="AP3115" t="s">
        <v>65</v>
      </c>
      <c r="AQ3115">
        <v>1</v>
      </c>
      <c r="AR3115" t="s">
        <v>5644</v>
      </c>
      <c r="AS3115" t="s">
        <v>5645</v>
      </c>
      <c r="AT3115" t="s">
        <v>58</v>
      </c>
      <c r="AU3115" t="s">
        <v>68</v>
      </c>
      <c r="AV3115" t="s">
        <v>69</v>
      </c>
      <c r="AW3115" s="1">
        <v>27965</v>
      </c>
      <c r="AX3115">
        <v>2</v>
      </c>
    </row>
    <row r="3116" spans="1:50">
      <c r="A3116">
        <v>703595</v>
      </c>
      <c r="B3116" t="str">
        <f>"103622172"</f>
        <v>103622172</v>
      </c>
      <c r="C3116" t="s">
        <v>50</v>
      </c>
      <c r="D3116" t="s">
        <v>6174</v>
      </c>
      <c r="E3116" t="s">
        <v>340</v>
      </c>
      <c r="F3116" t="s">
        <v>631</v>
      </c>
      <c r="G3116" t="s">
        <v>237</v>
      </c>
      <c r="H3116" t="str">
        <f>"ΚΑΡΟΛΟΥ ΚΟΥΝ 3 ΡΕΘΥΜΝΝΟ"</f>
        <v>ΚΑΡΟΛΟΥ ΚΟΥΝ 3 ΡΕΘΥΜΝΝΟ</v>
      </c>
      <c r="I3116">
        <v>74100</v>
      </c>
      <c r="J3116">
        <v>2106774294</v>
      </c>
      <c r="K3116">
        <v>6946133686</v>
      </c>
      <c r="N3116" t="s">
        <v>146</v>
      </c>
      <c r="O3116" t="s">
        <v>147</v>
      </c>
      <c r="R3116" t="s">
        <v>57</v>
      </c>
      <c r="S3116">
        <v>6</v>
      </c>
      <c r="T3116">
        <v>925</v>
      </c>
      <c r="U3116" s="1">
        <v>41158</v>
      </c>
      <c r="V3116" t="s">
        <v>5644</v>
      </c>
      <c r="W3116" t="s">
        <v>5645</v>
      </c>
      <c r="X3116" t="s">
        <v>58</v>
      </c>
      <c r="Y3116">
        <v>21</v>
      </c>
      <c r="Z3116" t="s">
        <v>59</v>
      </c>
      <c r="AA3116" t="s">
        <v>59</v>
      </c>
      <c r="AB3116" t="s">
        <v>59</v>
      </c>
      <c r="AC3116" t="s">
        <v>59</v>
      </c>
      <c r="AD3116" t="s">
        <v>59</v>
      </c>
      <c r="AF3116" s="1">
        <v>41163</v>
      </c>
      <c r="AG3116" t="s">
        <v>148</v>
      </c>
      <c r="AH3116" t="s">
        <v>149</v>
      </c>
      <c r="AI3116" t="str">
        <f>"4156010"</f>
        <v>4156010</v>
      </c>
      <c r="AJ3116" t="s">
        <v>5925</v>
      </c>
      <c r="AK3116">
        <v>2832022328</v>
      </c>
      <c r="AL3116" t="s">
        <v>5926</v>
      </c>
      <c r="AM3116" t="s">
        <v>64</v>
      </c>
      <c r="AN3116" t="s">
        <v>5882</v>
      </c>
      <c r="AO3116" t="s">
        <v>5883</v>
      </c>
      <c r="AP3116" t="s">
        <v>5884</v>
      </c>
      <c r="AQ3116">
        <v>5</v>
      </c>
      <c r="AR3116" t="s">
        <v>5644</v>
      </c>
      <c r="AS3116" t="s">
        <v>5645</v>
      </c>
      <c r="AT3116" t="s">
        <v>58</v>
      </c>
      <c r="AU3116" t="s">
        <v>68</v>
      </c>
      <c r="AV3116" t="s">
        <v>69</v>
      </c>
      <c r="AW3116" s="1">
        <v>29174</v>
      </c>
      <c r="AX3116">
        <v>2</v>
      </c>
    </row>
    <row r="3117" spans="1:50">
      <c r="A3117">
        <v>206691</v>
      </c>
      <c r="B3117" t="str">
        <f>"100054865"</f>
        <v>100054865</v>
      </c>
      <c r="C3117" t="s">
        <v>50</v>
      </c>
      <c r="D3117" t="s">
        <v>6175</v>
      </c>
      <c r="E3117" t="s">
        <v>1827</v>
      </c>
      <c r="F3117" t="s">
        <v>670</v>
      </c>
      <c r="G3117" t="s">
        <v>181</v>
      </c>
      <c r="H3117" t="str">
        <f>" ΓΕΡΑΝΙ"</f>
        <v xml:space="preserve"> ΓΕΡΑΝΙ</v>
      </c>
      <c r="I3117">
        <v>74100</v>
      </c>
      <c r="J3117">
        <v>2810240429</v>
      </c>
      <c r="K3117">
        <v>6932923346</v>
      </c>
      <c r="N3117" t="s">
        <v>146</v>
      </c>
      <c r="O3117" t="s">
        <v>147</v>
      </c>
      <c r="R3117" t="s">
        <v>57</v>
      </c>
      <c r="S3117">
        <v>9</v>
      </c>
      <c r="T3117">
        <v>225</v>
      </c>
      <c r="U3117" s="1">
        <v>38604</v>
      </c>
      <c r="V3117" t="s">
        <v>5644</v>
      </c>
      <c r="W3117" t="s">
        <v>5645</v>
      </c>
      <c r="X3117" t="s">
        <v>58</v>
      </c>
      <c r="Y3117">
        <v>20</v>
      </c>
      <c r="Z3117" t="s">
        <v>59</v>
      </c>
      <c r="AA3117" t="s">
        <v>59</v>
      </c>
      <c r="AB3117" t="s">
        <v>59</v>
      </c>
      <c r="AC3117" t="s">
        <v>59</v>
      </c>
      <c r="AD3117" t="s">
        <v>59</v>
      </c>
      <c r="AF3117" s="1">
        <v>38636</v>
      </c>
      <c r="AG3117" t="s">
        <v>148</v>
      </c>
      <c r="AH3117" t="s">
        <v>149</v>
      </c>
      <c r="AI3117" t="str">
        <f>"4144001"</f>
        <v>4144001</v>
      </c>
      <c r="AJ3117" t="s">
        <v>5718</v>
      </c>
      <c r="AK3117">
        <v>2831033277</v>
      </c>
      <c r="AL3117" t="s">
        <v>5719</v>
      </c>
      <c r="AM3117" t="s">
        <v>64</v>
      </c>
      <c r="AN3117" t="s">
        <v>65</v>
      </c>
      <c r="AO3117" t="s">
        <v>5720</v>
      </c>
      <c r="AP3117" t="s">
        <v>5721</v>
      </c>
      <c r="AQ3117">
        <v>1</v>
      </c>
      <c r="AR3117" t="s">
        <v>5644</v>
      </c>
      <c r="AS3117" t="s">
        <v>5645</v>
      </c>
      <c r="AT3117" t="s">
        <v>58</v>
      </c>
      <c r="AU3117" t="s">
        <v>68</v>
      </c>
      <c r="AV3117" t="s">
        <v>357</v>
      </c>
      <c r="AW3117" s="1">
        <v>25973</v>
      </c>
      <c r="AX3117">
        <v>2</v>
      </c>
    </row>
    <row r="3118" spans="1:50">
      <c r="A3118">
        <v>229302</v>
      </c>
      <c r="B3118" t="str">
        <f>"113607975"</f>
        <v>113607975</v>
      </c>
      <c r="C3118" t="s">
        <v>50</v>
      </c>
      <c r="D3118" t="s">
        <v>6176</v>
      </c>
      <c r="E3118" t="s">
        <v>1752</v>
      </c>
      <c r="F3118" t="s">
        <v>6177</v>
      </c>
      <c r="G3118" t="s">
        <v>401</v>
      </c>
      <c r="H3118" t="str">
        <f>" ΚΑΣΤΕΛΛΑΚΙΑ 45 ΡΕΘΥΜΝΟ"</f>
        <v xml:space="preserve"> ΚΑΣΤΕΛΛΑΚΙΑ 45 ΡΕΘΥΜΝΟ</v>
      </c>
      <c r="I3118">
        <v>74100</v>
      </c>
      <c r="J3118">
        <v>2831030531</v>
      </c>
      <c r="K3118">
        <v>6976873800</v>
      </c>
      <c r="M3118" t="s">
        <v>6178</v>
      </c>
      <c r="N3118" t="s">
        <v>299</v>
      </c>
      <c r="O3118" t="s">
        <v>300</v>
      </c>
      <c r="P3118" t="s">
        <v>1989</v>
      </c>
      <c r="Q3118" t="s">
        <v>1990</v>
      </c>
      <c r="R3118" t="s">
        <v>57</v>
      </c>
      <c r="S3118">
        <v>5</v>
      </c>
      <c r="T3118">
        <v>792</v>
      </c>
      <c r="U3118" s="1">
        <v>40081</v>
      </c>
      <c r="V3118" t="s">
        <v>5644</v>
      </c>
      <c r="W3118" t="s">
        <v>5645</v>
      </c>
      <c r="X3118" t="s">
        <v>58</v>
      </c>
      <c r="Y3118">
        <v>21</v>
      </c>
      <c r="Z3118" t="s">
        <v>59</v>
      </c>
      <c r="AA3118" t="s">
        <v>59</v>
      </c>
      <c r="AB3118" t="s">
        <v>59</v>
      </c>
      <c r="AC3118" t="s">
        <v>59</v>
      </c>
      <c r="AD3118" t="s">
        <v>59</v>
      </c>
      <c r="AF3118" s="1">
        <v>40084</v>
      </c>
      <c r="AG3118" t="s">
        <v>148</v>
      </c>
      <c r="AH3118" t="s">
        <v>149</v>
      </c>
      <c r="AI3118" t="str">
        <f>"4144002"</f>
        <v>4144002</v>
      </c>
      <c r="AJ3118" t="s">
        <v>5655</v>
      </c>
      <c r="AK3118">
        <v>2831061110</v>
      </c>
      <c r="AL3118" t="s">
        <v>5656</v>
      </c>
      <c r="AM3118" t="s">
        <v>64</v>
      </c>
      <c r="AN3118" t="s">
        <v>65</v>
      </c>
      <c r="AO3118" t="s">
        <v>5657</v>
      </c>
      <c r="AP3118" t="s">
        <v>1437</v>
      </c>
      <c r="AQ3118">
        <v>1</v>
      </c>
      <c r="AR3118" t="s">
        <v>5644</v>
      </c>
      <c r="AS3118" t="s">
        <v>5645</v>
      </c>
      <c r="AT3118" t="s">
        <v>58</v>
      </c>
      <c r="AU3118" t="s">
        <v>68</v>
      </c>
      <c r="AV3118" t="s">
        <v>69</v>
      </c>
      <c r="AW3118" s="1">
        <v>27166</v>
      </c>
      <c r="AX3118">
        <v>2</v>
      </c>
    </row>
    <row r="3119" spans="1:50">
      <c r="A3119">
        <v>177403</v>
      </c>
      <c r="B3119" t="str">
        <f>"043630280"</f>
        <v>043630280</v>
      </c>
      <c r="C3119" t="s">
        <v>50</v>
      </c>
      <c r="D3119" t="s">
        <v>6176</v>
      </c>
      <c r="E3119" t="s">
        <v>255</v>
      </c>
      <c r="F3119" t="s">
        <v>95</v>
      </c>
      <c r="G3119" t="s">
        <v>6179</v>
      </c>
      <c r="H3119" t="str">
        <f>"ΠΡΙΝΕΣ "</f>
        <v xml:space="preserve">ΠΡΙΝΕΣ </v>
      </c>
      <c r="I3119">
        <v>74100</v>
      </c>
      <c r="K3119">
        <v>6937067087</v>
      </c>
      <c r="N3119" t="s">
        <v>189</v>
      </c>
      <c r="O3119" t="s">
        <v>190</v>
      </c>
      <c r="R3119" t="s">
        <v>57</v>
      </c>
      <c r="S3119">
        <v>12</v>
      </c>
      <c r="T3119">
        <v>180</v>
      </c>
      <c r="U3119" s="1">
        <v>35674</v>
      </c>
      <c r="V3119" t="s">
        <v>5644</v>
      </c>
      <c r="W3119" t="s">
        <v>5645</v>
      </c>
      <c r="X3119" t="s">
        <v>58</v>
      </c>
      <c r="Y3119">
        <v>18</v>
      </c>
      <c r="Z3119" t="s">
        <v>59</v>
      </c>
      <c r="AA3119" t="s">
        <v>59</v>
      </c>
      <c r="AB3119" t="s">
        <v>59</v>
      </c>
      <c r="AC3119" t="s">
        <v>59</v>
      </c>
      <c r="AD3119" t="s">
        <v>59</v>
      </c>
      <c r="AF3119" s="1">
        <v>35674</v>
      </c>
      <c r="AG3119" t="s">
        <v>137</v>
      </c>
      <c r="AH3119" t="s">
        <v>138</v>
      </c>
      <c r="AI3119" t="str">
        <f>"4150040"</f>
        <v>4150040</v>
      </c>
      <c r="AJ3119" t="s">
        <v>5661</v>
      </c>
      <c r="AK3119">
        <v>2831029048</v>
      </c>
      <c r="AL3119" t="s">
        <v>5662</v>
      </c>
      <c r="AM3119" t="s">
        <v>64</v>
      </c>
      <c r="AN3119" t="s">
        <v>65</v>
      </c>
      <c r="AO3119" t="s">
        <v>65</v>
      </c>
      <c r="AP3119" t="s">
        <v>65</v>
      </c>
      <c r="AQ3119">
        <v>1</v>
      </c>
      <c r="AR3119" t="s">
        <v>5644</v>
      </c>
      <c r="AS3119" t="s">
        <v>5645</v>
      </c>
      <c r="AT3119" t="s">
        <v>58</v>
      </c>
      <c r="AU3119" t="s">
        <v>68</v>
      </c>
      <c r="AV3119" t="s">
        <v>69</v>
      </c>
      <c r="AW3119" s="1">
        <v>21328</v>
      </c>
      <c r="AX3119">
        <v>2</v>
      </c>
    </row>
    <row r="3120" spans="1:50">
      <c r="A3120">
        <v>229103</v>
      </c>
      <c r="B3120" t="str">
        <f>"111802564"</f>
        <v>111802564</v>
      </c>
      <c r="C3120" t="s">
        <v>50</v>
      </c>
      <c r="D3120" t="s">
        <v>6180</v>
      </c>
      <c r="E3120" t="s">
        <v>6181</v>
      </c>
      <c r="F3120" t="s">
        <v>309</v>
      </c>
      <c r="G3120" t="s">
        <v>73</v>
      </c>
      <c r="H3120" t="str">
        <f>"ΖΑΜΠΕΛΙΟΥ 1 ΡΕΘΥΜΝΟ"</f>
        <v>ΖΑΜΠΕΛΙΟΥ 1 ΡΕΘΥΜΝΟ</v>
      </c>
      <c r="I3120">
        <v>74100</v>
      </c>
      <c r="J3120">
        <v>2831022507</v>
      </c>
      <c r="K3120">
        <v>6938787239</v>
      </c>
      <c r="M3120" t="s">
        <v>6182</v>
      </c>
      <c r="N3120" t="s">
        <v>306</v>
      </c>
      <c r="O3120" t="s">
        <v>307</v>
      </c>
      <c r="R3120" t="s">
        <v>57</v>
      </c>
      <c r="S3120">
        <v>5</v>
      </c>
      <c r="T3120">
        <v>720</v>
      </c>
      <c r="U3120" s="1">
        <v>40059</v>
      </c>
      <c r="V3120" t="s">
        <v>5644</v>
      </c>
      <c r="W3120" t="s">
        <v>5645</v>
      </c>
      <c r="X3120" t="s">
        <v>58</v>
      </c>
      <c r="Y3120">
        <v>21</v>
      </c>
      <c r="Z3120" t="s">
        <v>59</v>
      </c>
      <c r="AA3120" t="s">
        <v>59</v>
      </c>
      <c r="AB3120" t="s">
        <v>59</v>
      </c>
      <c r="AC3120" t="s">
        <v>59</v>
      </c>
      <c r="AD3120" t="s">
        <v>59</v>
      </c>
      <c r="AF3120" s="1">
        <v>40065</v>
      </c>
      <c r="AG3120" t="s">
        <v>148</v>
      </c>
      <c r="AH3120" t="s">
        <v>149</v>
      </c>
      <c r="AI3120" t="str">
        <f>"4151009"</f>
        <v>4151009</v>
      </c>
      <c r="AJ3120" t="s">
        <v>5649</v>
      </c>
      <c r="AK3120">
        <v>2831027115</v>
      </c>
      <c r="AL3120" t="s">
        <v>5650</v>
      </c>
      <c r="AM3120" t="s">
        <v>64</v>
      </c>
      <c r="AN3120" t="s">
        <v>65</v>
      </c>
      <c r="AO3120" t="s">
        <v>65</v>
      </c>
      <c r="AP3120" t="s">
        <v>65</v>
      </c>
      <c r="AQ3120">
        <v>1</v>
      </c>
      <c r="AR3120" t="s">
        <v>5644</v>
      </c>
      <c r="AS3120" t="s">
        <v>5645</v>
      </c>
      <c r="AT3120" t="s">
        <v>58</v>
      </c>
      <c r="AU3120" t="s">
        <v>68</v>
      </c>
      <c r="AV3120" t="s">
        <v>69</v>
      </c>
      <c r="AW3120" s="1">
        <v>28607</v>
      </c>
      <c r="AX3120">
        <v>2</v>
      </c>
    </row>
    <row r="3121" spans="1:50">
      <c r="A3121">
        <v>209583</v>
      </c>
      <c r="B3121" t="str">
        <f>"061521753"</f>
        <v>061521753</v>
      </c>
      <c r="C3121" t="s">
        <v>50</v>
      </c>
      <c r="D3121" t="s">
        <v>6183</v>
      </c>
      <c r="E3121" t="s">
        <v>250</v>
      </c>
      <c r="F3121" t="s">
        <v>1679</v>
      </c>
      <c r="G3121" t="s">
        <v>6184</v>
      </c>
      <c r="H3121" t="str">
        <f>"ΚΟΥΜΟΥΝΔΟΥΡΟΥ 12 ΡΕΘΥΜΝΟ"</f>
        <v>ΚΟΥΜΟΥΝΔΟΥΡΟΥ 12 ΡΕΘΥΜΝΟ</v>
      </c>
      <c r="I3121">
        <v>74100</v>
      </c>
      <c r="J3121">
        <v>2831058349</v>
      </c>
      <c r="K3121">
        <v>6974112872</v>
      </c>
      <c r="N3121" t="s">
        <v>146</v>
      </c>
      <c r="O3121" t="s">
        <v>147</v>
      </c>
      <c r="R3121" t="s">
        <v>57</v>
      </c>
      <c r="S3121">
        <v>6</v>
      </c>
      <c r="T3121">
        <v>225</v>
      </c>
      <c r="U3121" s="1">
        <v>38604</v>
      </c>
      <c r="V3121" t="s">
        <v>5644</v>
      </c>
      <c r="W3121" t="s">
        <v>5645</v>
      </c>
      <c r="X3121" t="s">
        <v>58</v>
      </c>
      <c r="Y3121">
        <v>20</v>
      </c>
      <c r="Z3121" t="s">
        <v>59</v>
      </c>
      <c r="AA3121" t="s">
        <v>59</v>
      </c>
      <c r="AB3121" t="s">
        <v>59</v>
      </c>
      <c r="AC3121" t="s">
        <v>59</v>
      </c>
      <c r="AD3121" t="s">
        <v>59</v>
      </c>
      <c r="AF3121" s="1">
        <v>38604</v>
      </c>
      <c r="AG3121" t="s">
        <v>148</v>
      </c>
      <c r="AH3121" t="s">
        <v>149</v>
      </c>
      <c r="AI3121" t="str">
        <f>"4151020"</f>
        <v>4151020</v>
      </c>
      <c r="AJ3121" t="s">
        <v>5725</v>
      </c>
      <c r="AK3121">
        <v>2831022475</v>
      </c>
      <c r="AL3121" t="s">
        <v>5726</v>
      </c>
      <c r="AM3121" t="s">
        <v>64</v>
      </c>
      <c r="AN3121" t="s">
        <v>65</v>
      </c>
      <c r="AO3121" t="s">
        <v>65</v>
      </c>
      <c r="AP3121" t="s">
        <v>65</v>
      </c>
      <c r="AQ3121">
        <v>1</v>
      </c>
      <c r="AR3121" t="s">
        <v>5644</v>
      </c>
      <c r="AS3121" t="s">
        <v>5645</v>
      </c>
      <c r="AT3121" t="s">
        <v>58</v>
      </c>
      <c r="AU3121" t="s">
        <v>68</v>
      </c>
      <c r="AV3121" t="s">
        <v>357</v>
      </c>
      <c r="AW3121" s="1">
        <v>27705</v>
      </c>
      <c r="AX3121">
        <v>2</v>
      </c>
    </row>
    <row r="3122" spans="1:50">
      <c r="A3122">
        <v>227996</v>
      </c>
      <c r="B3122" t="str">
        <f>"101343311"</f>
        <v>101343311</v>
      </c>
      <c r="C3122" t="s">
        <v>105</v>
      </c>
      <c r="D3122" t="s">
        <v>6185</v>
      </c>
      <c r="E3122" t="s">
        <v>496</v>
      </c>
      <c r="F3122" t="s">
        <v>1336</v>
      </c>
      <c r="G3122" t="s">
        <v>263</v>
      </c>
      <c r="H3122" t="str">
        <f>"ΤΕΙΡΕΣΙΑΣ 18 ΓΙΟΦΥΡΟ ΗΡΑΚΛΕΙΟΥ ΗΡΑΚΛΕΙΟ"</f>
        <v>ΤΕΙΡΕΣΙΑΣ 18 ΓΙΟΦΥΡΟ ΗΡΑΚΛΕΙΟΥ ΗΡΑΚΛΕΙΟ</v>
      </c>
      <c r="I3122">
        <v>71304</v>
      </c>
      <c r="J3122">
        <v>2810528888</v>
      </c>
      <c r="K3122">
        <v>6945149991</v>
      </c>
      <c r="M3122" t="s">
        <v>6186</v>
      </c>
      <c r="N3122" t="s">
        <v>176</v>
      </c>
      <c r="O3122" t="s">
        <v>177</v>
      </c>
      <c r="R3122" t="s">
        <v>57</v>
      </c>
      <c r="S3122">
        <v>5</v>
      </c>
      <c r="T3122">
        <v>654</v>
      </c>
      <c r="U3122" s="1">
        <v>40043</v>
      </c>
      <c r="V3122" t="s">
        <v>5644</v>
      </c>
      <c r="W3122" t="s">
        <v>5645</v>
      </c>
      <c r="X3122" t="s">
        <v>58</v>
      </c>
      <c r="Y3122">
        <v>21</v>
      </c>
      <c r="Z3122" t="s">
        <v>59</v>
      </c>
      <c r="AA3122" t="s">
        <v>59</v>
      </c>
      <c r="AB3122" t="s">
        <v>59</v>
      </c>
      <c r="AC3122" t="s">
        <v>59</v>
      </c>
      <c r="AD3122" t="s">
        <v>59</v>
      </c>
      <c r="AF3122" s="1">
        <v>40043</v>
      </c>
      <c r="AG3122" t="s">
        <v>125</v>
      </c>
      <c r="AH3122" t="s">
        <v>126</v>
      </c>
      <c r="AI3122" t="str">
        <f>"4101020"</f>
        <v>4101020</v>
      </c>
      <c r="AJ3122" t="s">
        <v>5652</v>
      </c>
      <c r="AK3122">
        <v>2831023560</v>
      </c>
      <c r="AL3122" t="s">
        <v>5653</v>
      </c>
      <c r="AM3122" t="s">
        <v>64</v>
      </c>
      <c r="AN3122" t="s">
        <v>65</v>
      </c>
      <c r="AO3122" t="s">
        <v>65</v>
      </c>
      <c r="AP3122" t="s">
        <v>65</v>
      </c>
      <c r="AQ3122">
        <v>1</v>
      </c>
      <c r="AR3122" t="s">
        <v>5644</v>
      </c>
      <c r="AS3122" t="s">
        <v>5645</v>
      </c>
      <c r="AT3122" t="s">
        <v>58</v>
      </c>
      <c r="AU3122" t="s">
        <v>68</v>
      </c>
      <c r="AV3122" t="s">
        <v>132</v>
      </c>
      <c r="AW3122" s="1">
        <v>27571</v>
      </c>
      <c r="AX3122">
        <v>2</v>
      </c>
    </row>
    <row r="3123" spans="1:50">
      <c r="A3123">
        <v>220745</v>
      </c>
      <c r="B3123" t="str">
        <f>"045568242"</f>
        <v>045568242</v>
      </c>
      <c r="C3123" t="s">
        <v>50</v>
      </c>
      <c r="D3123" t="s">
        <v>2477</v>
      </c>
      <c r="E3123" t="s">
        <v>1120</v>
      </c>
      <c r="F3123" t="s">
        <v>670</v>
      </c>
      <c r="G3123" t="s">
        <v>250</v>
      </c>
      <c r="H3123" t="str">
        <f>"ΜΙΚΡΑΣΙΑΤΩΝ 14 ΡΕΘΥΜΝΟ"</f>
        <v>ΜΙΚΡΑΣΙΑΤΩΝ 14 ΡΕΘΥΜΝΟ</v>
      </c>
      <c r="I3123">
        <v>74100</v>
      </c>
      <c r="J3123">
        <v>2831035760</v>
      </c>
      <c r="K3123">
        <v>6977832126</v>
      </c>
      <c r="N3123" t="s">
        <v>288</v>
      </c>
      <c r="O3123" t="s">
        <v>289</v>
      </c>
      <c r="R3123" t="s">
        <v>57</v>
      </c>
      <c r="S3123">
        <v>8</v>
      </c>
      <c r="T3123">
        <v>681</v>
      </c>
      <c r="U3123" s="1">
        <v>39325</v>
      </c>
      <c r="V3123" t="s">
        <v>5644</v>
      </c>
      <c r="W3123" t="s">
        <v>5645</v>
      </c>
      <c r="X3123" t="s">
        <v>58</v>
      </c>
      <c r="Y3123">
        <v>21</v>
      </c>
      <c r="Z3123" t="s">
        <v>59</v>
      </c>
      <c r="AA3123" t="s">
        <v>59</v>
      </c>
      <c r="AB3123" t="s">
        <v>59</v>
      </c>
      <c r="AC3123" t="s">
        <v>59</v>
      </c>
      <c r="AD3123" t="s">
        <v>59</v>
      </c>
      <c r="AF3123" s="1">
        <v>39325</v>
      </c>
      <c r="AG3123" t="s">
        <v>125</v>
      </c>
      <c r="AH3123" t="s">
        <v>126</v>
      </c>
      <c r="AI3123" t="str">
        <f>"4135001"</f>
        <v>4135001</v>
      </c>
      <c r="AJ3123" t="s">
        <v>5729</v>
      </c>
      <c r="AK3123">
        <v>2831073938</v>
      </c>
      <c r="AL3123" t="s">
        <v>5730</v>
      </c>
      <c r="AM3123" t="s">
        <v>64</v>
      </c>
      <c r="AN3123" t="s">
        <v>65</v>
      </c>
      <c r="AO3123" t="s">
        <v>65</v>
      </c>
      <c r="AP3123" t="s">
        <v>65</v>
      </c>
      <c r="AQ3123">
        <v>1</v>
      </c>
      <c r="AR3123" t="s">
        <v>5644</v>
      </c>
      <c r="AS3123" t="s">
        <v>5645</v>
      </c>
      <c r="AT3123" t="s">
        <v>58</v>
      </c>
      <c r="AU3123" t="s">
        <v>68</v>
      </c>
      <c r="AV3123" t="s">
        <v>357</v>
      </c>
      <c r="AW3123" s="1">
        <v>24669</v>
      </c>
      <c r="AX3123">
        <v>2</v>
      </c>
    </row>
    <row r="3124" spans="1:50">
      <c r="A3124">
        <v>180119</v>
      </c>
      <c r="B3124" t="str">
        <f>"043344969"</f>
        <v>043344969</v>
      </c>
      <c r="C3124" t="s">
        <v>105</v>
      </c>
      <c r="D3124" t="s">
        <v>6187</v>
      </c>
      <c r="E3124" t="s">
        <v>230</v>
      </c>
      <c r="F3124" t="s">
        <v>670</v>
      </c>
      <c r="G3124" t="s">
        <v>647</v>
      </c>
      <c r="H3124" t="str">
        <f>"ΚΟΥΡΜΟΥΛΗ 94 ΡΕΘΥΜΝΟ"</f>
        <v>ΚΟΥΡΜΟΥΛΗ 94 ΡΕΘΥΜΝΟ</v>
      </c>
      <c r="I3124">
        <v>74100</v>
      </c>
      <c r="J3124">
        <v>2831051197</v>
      </c>
      <c r="K3124">
        <v>6932378086</v>
      </c>
      <c r="L3124">
        <v>2831400247</v>
      </c>
      <c r="M3124" t="s">
        <v>6188</v>
      </c>
      <c r="N3124" t="s">
        <v>292</v>
      </c>
      <c r="O3124" t="s">
        <v>293</v>
      </c>
      <c r="R3124" t="s">
        <v>57</v>
      </c>
      <c r="S3124">
        <v>10</v>
      </c>
      <c r="T3124">
        <v>164</v>
      </c>
      <c r="U3124" s="1">
        <v>36040</v>
      </c>
      <c r="V3124" t="s">
        <v>5644</v>
      </c>
      <c r="W3124" t="s">
        <v>5645</v>
      </c>
      <c r="X3124" t="s">
        <v>58</v>
      </c>
      <c r="Y3124">
        <v>18</v>
      </c>
      <c r="Z3124" t="s">
        <v>59</v>
      </c>
      <c r="AA3124" t="s">
        <v>59</v>
      </c>
      <c r="AB3124" t="s">
        <v>59</v>
      </c>
      <c r="AC3124" t="s">
        <v>59</v>
      </c>
      <c r="AD3124" t="s">
        <v>59</v>
      </c>
      <c r="AF3124" s="1">
        <v>36040</v>
      </c>
      <c r="AG3124" t="s">
        <v>125</v>
      </c>
      <c r="AH3124" t="s">
        <v>126</v>
      </c>
      <c r="AI3124" t="str">
        <f>"4101010"</f>
        <v>4101010</v>
      </c>
      <c r="AJ3124" t="s">
        <v>5814</v>
      </c>
      <c r="AK3124">
        <v>2831022283</v>
      </c>
      <c r="AL3124" t="s">
        <v>5815</v>
      </c>
      <c r="AM3124" t="s">
        <v>64</v>
      </c>
      <c r="AN3124" t="s">
        <v>65</v>
      </c>
      <c r="AO3124" t="s">
        <v>65</v>
      </c>
      <c r="AP3124" t="s">
        <v>65</v>
      </c>
      <c r="AQ3124">
        <v>1</v>
      </c>
      <c r="AR3124" t="s">
        <v>5644</v>
      </c>
      <c r="AS3124" t="s">
        <v>5645</v>
      </c>
      <c r="AT3124" t="s">
        <v>58</v>
      </c>
      <c r="AU3124" t="s">
        <v>68</v>
      </c>
      <c r="AV3124" t="s">
        <v>69</v>
      </c>
      <c r="AW3124" s="1">
        <v>21754</v>
      </c>
      <c r="AX3124">
        <v>2</v>
      </c>
    </row>
    <row r="3125" spans="1:50">
      <c r="A3125">
        <v>164065</v>
      </c>
      <c r="B3125" t="str">
        <f>"035923064"</f>
        <v>035923064</v>
      </c>
      <c r="C3125" t="s">
        <v>50</v>
      </c>
      <c r="D3125" t="s">
        <v>6189</v>
      </c>
      <c r="E3125" t="s">
        <v>52</v>
      </c>
      <c r="F3125" t="s">
        <v>166</v>
      </c>
      <c r="G3125" t="s">
        <v>96</v>
      </c>
      <c r="H3125" t="str">
        <f>"Τ.Θ. 614 ΠΕΡΙΒΟΛΙΑ"</f>
        <v>Τ.Θ. 614 ΠΕΡΙΒΟΛΙΑ</v>
      </c>
      <c r="I3125">
        <v>74133</v>
      </c>
      <c r="J3125">
        <v>2831029896</v>
      </c>
      <c r="K3125">
        <v>6944248307</v>
      </c>
      <c r="N3125" t="s">
        <v>146</v>
      </c>
      <c r="O3125" t="s">
        <v>147</v>
      </c>
      <c r="R3125" t="s">
        <v>57</v>
      </c>
      <c r="S3125">
        <v>16</v>
      </c>
      <c r="T3125">
        <v>161</v>
      </c>
      <c r="U3125" s="1">
        <v>33844</v>
      </c>
      <c r="V3125" t="s">
        <v>5644</v>
      </c>
      <c r="W3125" t="s">
        <v>5645</v>
      </c>
      <c r="X3125" t="s">
        <v>58</v>
      </c>
      <c r="Y3125">
        <v>18</v>
      </c>
      <c r="Z3125" t="s">
        <v>59</v>
      </c>
      <c r="AA3125" t="s">
        <v>59</v>
      </c>
      <c r="AB3125" t="s">
        <v>59</v>
      </c>
      <c r="AC3125" t="s">
        <v>59</v>
      </c>
      <c r="AD3125" t="s">
        <v>452</v>
      </c>
      <c r="AE3125" s="1">
        <v>43708</v>
      </c>
      <c r="AF3125" s="1">
        <v>33844</v>
      </c>
      <c r="AG3125" t="s">
        <v>148</v>
      </c>
      <c r="AH3125" t="s">
        <v>2782</v>
      </c>
      <c r="AI3125" t="str">
        <f>"4151040"</f>
        <v>4151040</v>
      </c>
      <c r="AJ3125" t="s">
        <v>5810</v>
      </c>
      <c r="AK3125">
        <v>2831023425</v>
      </c>
      <c r="AL3125" t="s">
        <v>5811</v>
      </c>
      <c r="AM3125" t="s">
        <v>64</v>
      </c>
      <c r="AN3125" t="s">
        <v>65</v>
      </c>
      <c r="AO3125" t="s">
        <v>65</v>
      </c>
      <c r="AP3125" t="s">
        <v>65</v>
      </c>
      <c r="AQ3125">
        <v>1</v>
      </c>
      <c r="AR3125" t="s">
        <v>5644</v>
      </c>
      <c r="AS3125" t="s">
        <v>5645</v>
      </c>
      <c r="AT3125" t="s">
        <v>58</v>
      </c>
      <c r="AU3125" t="s">
        <v>68</v>
      </c>
      <c r="AV3125" t="s">
        <v>69</v>
      </c>
      <c r="AW3125" s="1">
        <v>23754</v>
      </c>
      <c r="AX3125">
        <v>2</v>
      </c>
    </row>
    <row r="3126" spans="1:50">
      <c r="A3126">
        <v>196580</v>
      </c>
      <c r="B3126" t="str">
        <f>"100613004"</f>
        <v>100613004</v>
      </c>
      <c r="C3126" t="s">
        <v>50</v>
      </c>
      <c r="D3126" t="s">
        <v>6190</v>
      </c>
      <c r="E3126" t="s">
        <v>714</v>
      </c>
      <c r="F3126" t="s">
        <v>166</v>
      </c>
      <c r="G3126" t="s">
        <v>188</v>
      </c>
      <c r="H3126" t="str">
        <f>"ΘΕΟΤΟΚΟΠΟΥΛΟΥ 48 Β ΡΕΘΥΜΝΟ"</f>
        <v>ΘΕΟΤΟΚΟΠΟΥΛΟΥ 48 Β ΡΕΘΥΜΝΟ</v>
      </c>
      <c r="I3126">
        <v>74100</v>
      </c>
      <c r="N3126" t="s">
        <v>337</v>
      </c>
      <c r="O3126" t="s">
        <v>338</v>
      </c>
      <c r="R3126" t="s">
        <v>57</v>
      </c>
      <c r="S3126">
        <v>8</v>
      </c>
      <c r="T3126">
        <v>273</v>
      </c>
      <c r="U3126" s="1">
        <v>37596</v>
      </c>
      <c r="V3126" t="s">
        <v>5644</v>
      </c>
      <c r="W3126" t="s">
        <v>5645</v>
      </c>
      <c r="X3126" t="s">
        <v>58</v>
      </c>
      <c r="Y3126">
        <v>20</v>
      </c>
      <c r="Z3126" t="s">
        <v>59</v>
      </c>
      <c r="AA3126" t="s">
        <v>59</v>
      </c>
      <c r="AB3126" t="s">
        <v>59</v>
      </c>
      <c r="AC3126" t="s">
        <v>59</v>
      </c>
      <c r="AD3126" t="s">
        <v>59</v>
      </c>
      <c r="AF3126" s="1">
        <v>37596</v>
      </c>
      <c r="AG3126" t="s">
        <v>125</v>
      </c>
      <c r="AH3126" t="s">
        <v>294</v>
      </c>
      <c r="AI3126" t="str">
        <f>"4101045"</f>
        <v>4101045</v>
      </c>
      <c r="AJ3126" t="s">
        <v>5677</v>
      </c>
      <c r="AK3126">
        <v>2831027553</v>
      </c>
      <c r="AL3126" t="s">
        <v>5678</v>
      </c>
      <c r="AM3126" t="s">
        <v>64</v>
      </c>
      <c r="AN3126" t="s">
        <v>65</v>
      </c>
      <c r="AO3126" t="s">
        <v>65</v>
      </c>
      <c r="AP3126" t="s">
        <v>65</v>
      </c>
      <c r="AQ3126">
        <v>1</v>
      </c>
      <c r="AR3126" t="s">
        <v>5644</v>
      </c>
      <c r="AS3126" t="s">
        <v>5645</v>
      </c>
      <c r="AT3126" t="s">
        <v>58</v>
      </c>
      <c r="AU3126" t="s">
        <v>68</v>
      </c>
      <c r="AV3126" t="s">
        <v>69</v>
      </c>
      <c r="AW3126" s="1">
        <v>25101</v>
      </c>
      <c r="AX3126">
        <v>2</v>
      </c>
    </row>
    <row r="3127" spans="1:50">
      <c r="A3127">
        <v>139626</v>
      </c>
      <c r="B3127" t="str">
        <f>"027370350"</f>
        <v>027370350</v>
      </c>
      <c r="C3127" t="s">
        <v>50</v>
      </c>
      <c r="D3127" t="s">
        <v>2505</v>
      </c>
      <c r="E3127" t="s">
        <v>566</v>
      </c>
      <c r="F3127" t="s">
        <v>106</v>
      </c>
      <c r="G3127" t="s">
        <v>787</v>
      </c>
      <c r="H3127" t="str">
        <f>"ΔΑΛΕΝΤΖΑ 1 ΡΕΘΥΜΝΟ"</f>
        <v>ΔΑΛΕΝΤΖΑ 1 ΡΕΘΥΜΝΟ</v>
      </c>
      <c r="I3127">
        <v>74100</v>
      </c>
      <c r="J3127">
        <v>2831025842</v>
      </c>
      <c r="K3127">
        <v>6938904529</v>
      </c>
      <c r="M3127" t="s">
        <v>6191</v>
      </c>
      <c r="N3127" t="s">
        <v>146</v>
      </c>
      <c r="O3127" t="s">
        <v>147</v>
      </c>
      <c r="R3127" t="s">
        <v>57</v>
      </c>
      <c r="S3127">
        <v>18</v>
      </c>
      <c r="T3127">
        <v>331</v>
      </c>
      <c r="U3127" s="1">
        <v>30253</v>
      </c>
      <c r="V3127" t="s">
        <v>5644</v>
      </c>
      <c r="W3127" t="s">
        <v>5645</v>
      </c>
      <c r="X3127" t="s">
        <v>58</v>
      </c>
      <c r="Y3127">
        <v>18</v>
      </c>
      <c r="Z3127" t="s">
        <v>59</v>
      </c>
      <c r="AA3127" t="s">
        <v>59</v>
      </c>
      <c r="AB3127" t="s">
        <v>59</v>
      </c>
      <c r="AC3127" t="s">
        <v>59</v>
      </c>
      <c r="AD3127" t="s">
        <v>59</v>
      </c>
      <c r="AF3127" s="1">
        <v>30256</v>
      </c>
      <c r="AG3127" t="s">
        <v>148</v>
      </c>
      <c r="AH3127" t="s">
        <v>149</v>
      </c>
      <c r="AI3127" t="str">
        <f>"4151009"</f>
        <v>4151009</v>
      </c>
      <c r="AJ3127" t="s">
        <v>5649</v>
      </c>
      <c r="AK3127">
        <v>2831027115</v>
      </c>
      <c r="AL3127" t="s">
        <v>5650</v>
      </c>
      <c r="AM3127" t="s">
        <v>64</v>
      </c>
      <c r="AN3127" t="s">
        <v>65</v>
      </c>
      <c r="AO3127" t="s">
        <v>65</v>
      </c>
      <c r="AP3127" t="s">
        <v>65</v>
      </c>
      <c r="AQ3127">
        <v>1</v>
      </c>
      <c r="AR3127" t="s">
        <v>5644</v>
      </c>
      <c r="AS3127" t="s">
        <v>5645</v>
      </c>
      <c r="AT3127" t="s">
        <v>58</v>
      </c>
      <c r="AU3127" t="s">
        <v>68</v>
      </c>
      <c r="AV3127" t="s">
        <v>69</v>
      </c>
      <c r="AW3127" s="1">
        <v>20936</v>
      </c>
      <c r="AX3127">
        <v>2</v>
      </c>
    </row>
    <row r="3128" spans="1:50">
      <c r="B3128" t="str">
        <f>"046722002"</f>
        <v>046722002</v>
      </c>
      <c r="C3128" t="s">
        <v>105</v>
      </c>
      <c r="D3128" t="s">
        <v>2510</v>
      </c>
      <c r="E3128" t="s">
        <v>496</v>
      </c>
      <c r="F3128" t="s">
        <v>92</v>
      </c>
      <c r="G3128" t="s">
        <v>54</v>
      </c>
      <c r="H3128" t="str">
        <f>"ΘΕΟΤΟΚΟΠΟΥΛΟΥ 53Β ΡΕΘΥΜΝΟ"</f>
        <v>ΘΕΟΤΟΚΟΠΟΥΛΟΥ 53Β ΡΕΘΥΜΝΟ</v>
      </c>
      <c r="I3128">
        <v>74100</v>
      </c>
      <c r="J3128">
        <v>2831056240</v>
      </c>
      <c r="K3128">
        <v>6943426771</v>
      </c>
      <c r="M3128" t="s">
        <v>6192</v>
      </c>
      <c r="N3128" t="s">
        <v>292</v>
      </c>
      <c r="O3128" t="s">
        <v>293</v>
      </c>
      <c r="R3128" t="s">
        <v>121</v>
      </c>
      <c r="S3128">
        <v>1</v>
      </c>
      <c r="T3128" t="s">
        <v>416</v>
      </c>
      <c r="U3128" s="1">
        <v>43349</v>
      </c>
      <c r="V3128" t="s">
        <v>5644</v>
      </c>
      <c r="W3128" t="s">
        <v>5645</v>
      </c>
      <c r="X3128" t="s">
        <v>58</v>
      </c>
      <c r="Y3128">
        <v>23</v>
      </c>
      <c r="Z3128" t="s">
        <v>59</v>
      </c>
      <c r="AA3128" t="s">
        <v>59</v>
      </c>
      <c r="AB3128" t="s">
        <v>59</v>
      </c>
      <c r="AD3128" t="s">
        <v>59</v>
      </c>
      <c r="AF3128" s="1">
        <v>43349</v>
      </c>
      <c r="AG3128" t="s">
        <v>148</v>
      </c>
      <c r="AH3128" t="s">
        <v>2782</v>
      </c>
      <c r="AI3128" t="str">
        <f>"4151040"</f>
        <v>4151040</v>
      </c>
      <c r="AJ3128" t="s">
        <v>5810</v>
      </c>
      <c r="AK3128">
        <v>2831023425</v>
      </c>
      <c r="AL3128" t="s">
        <v>5811</v>
      </c>
      <c r="AM3128" t="s">
        <v>64</v>
      </c>
      <c r="AN3128" t="s">
        <v>65</v>
      </c>
      <c r="AO3128" t="s">
        <v>65</v>
      </c>
      <c r="AP3128" t="s">
        <v>65</v>
      </c>
      <c r="AQ3128">
        <v>1</v>
      </c>
      <c r="AR3128" t="s">
        <v>5644</v>
      </c>
      <c r="AS3128" t="s">
        <v>5645</v>
      </c>
      <c r="AT3128" t="s">
        <v>58</v>
      </c>
      <c r="AU3128" t="s">
        <v>419</v>
      </c>
      <c r="AV3128" t="s">
        <v>132</v>
      </c>
      <c r="AW3128" s="1">
        <v>25554</v>
      </c>
      <c r="AX3128">
        <v>2</v>
      </c>
    </row>
    <row r="3129" spans="1:50">
      <c r="A3129">
        <v>162785</v>
      </c>
      <c r="B3129" t="str">
        <f>"027370385"</f>
        <v>027370385</v>
      </c>
      <c r="C3129" t="s">
        <v>105</v>
      </c>
      <c r="D3129" t="s">
        <v>6193</v>
      </c>
      <c r="E3129" t="s">
        <v>92</v>
      </c>
      <c r="F3129" t="s">
        <v>377</v>
      </c>
      <c r="G3129" t="s">
        <v>237</v>
      </c>
      <c r="H3129" t="str">
        <f>"ΚΟΥΝΤΟΥΡΙΩΤΗ 166 ΡΕΘΥΜΝΟ"</f>
        <v>ΚΟΥΝΤΟΥΡΙΩΤΗ 166 ΡΕΘΥΜΝΟ</v>
      </c>
      <c r="I3129">
        <v>74100</v>
      </c>
      <c r="J3129">
        <v>2831028580</v>
      </c>
      <c r="K3129">
        <v>6972477059</v>
      </c>
      <c r="M3129" t="s">
        <v>6194</v>
      </c>
      <c r="N3129" t="s">
        <v>199</v>
      </c>
      <c r="O3129" t="s">
        <v>200</v>
      </c>
      <c r="R3129" t="s">
        <v>57</v>
      </c>
      <c r="S3129">
        <v>13</v>
      </c>
      <c r="T3129">
        <v>132</v>
      </c>
      <c r="U3129" s="1">
        <v>33456</v>
      </c>
      <c r="V3129" t="s">
        <v>5644</v>
      </c>
      <c r="W3129" t="s">
        <v>5645</v>
      </c>
      <c r="X3129" t="s">
        <v>58</v>
      </c>
      <c r="Y3129">
        <v>18</v>
      </c>
      <c r="Z3129" t="s">
        <v>59</v>
      </c>
      <c r="AA3129" t="s">
        <v>59</v>
      </c>
      <c r="AB3129" t="s">
        <v>59</v>
      </c>
      <c r="AC3129" t="s">
        <v>59</v>
      </c>
      <c r="AD3129" t="s">
        <v>59</v>
      </c>
      <c r="AF3129" s="1">
        <v>33456</v>
      </c>
      <c r="AG3129" t="s">
        <v>148</v>
      </c>
      <c r="AH3129" t="s">
        <v>149</v>
      </c>
      <c r="AI3129" t="str">
        <f>"4151020"</f>
        <v>4151020</v>
      </c>
      <c r="AJ3129" t="s">
        <v>5725</v>
      </c>
      <c r="AK3129">
        <v>2831022475</v>
      </c>
      <c r="AL3129" t="s">
        <v>5726</v>
      </c>
      <c r="AM3129" t="s">
        <v>64</v>
      </c>
      <c r="AN3129" t="s">
        <v>65</v>
      </c>
      <c r="AO3129" t="s">
        <v>65</v>
      </c>
      <c r="AP3129" t="s">
        <v>65</v>
      </c>
      <c r="AQ3129">
        <v>1</v>
      </c>
      <c r="AR3129" t="s">
        <v>5644</v>
      </c>
      <c r="AS3129" t="s">
        <v>5645</v>
      </c>
      <c r="AT3129" t="s">
        <v>58</v>
      </c>
      <c r="AU3129" t="s">
        <v>68</v>
      </c>
      <c r="AV3129" t="s">
        <v>69</v>
      </c>
      <c r="AW3129" s="1">
        <v>21720</v>
      </c>
      <c r="AX3129">
        <v>2</v>
      </c>
    </row>
    <row r="3130" spans="1:50">
      <c r="A3130">
        <v>196143</v>
      </c>
      <c r="B3130" t="str">
        <f>"047039769"</f>
        <v>047039769</v>
      </c>
      <c r="C3130" t="s">
        <v>105</v>
      </c>
      <c r="D3130" t="s">
        <v>6195</v>
      </c>
      <c r="E3130" t="s">
        <v>670</v>
      </c>
      <c r="F3130" t="s">
        <v>900</v>
      </c>
      <c r="G3130" t="s">
        <v>6196</v>
      </c>
      <c r="H3130" t="str">
        <f>"ΘΕΟΤΟΚΟΠΟΥΛΟΥ 48 Β ΡΕΘΥΜΝΟ"</f>
        <v>ΘΕΟΤΟΚΟΠΟΥΛΟΥ 48 Β ΡΕΘΥΜΝΟ</v>
      </c>
      <c r="I3130">
        <v>74100</v>
      </c>
      <c r="J3130">
        <v>2831042366</v>
      </c>
      <c r="K3130">
        <v>6974804677</v>
      </c>
      <c r="L3130">
        <v>2821031680</v>
      </c>
      <c r="M3130" t="s">
        <v>6197</v>
      </c>
      <c r="N3130" t="s">
        <v>199</v>
      </c>
      <c r="O3130" t="s">
        <v>200</v>
      </c>
      <c r="R3130" t="s">
        <v>57</v>
      </c>
      <c r="S3130">
        <v>8</v>
      </c>
      <c r="T3130">
        <v>212</v>
      </c>
      <c r="U3130" s="1">
        <v>37515</v>
      </c>
      <c r="V3130" t="s">
        <v>5644</v>
      </c>
      <c r="W3130" t="s">
        <v>5645</v>
      </c>
      <c r="X3130" t="s">
        <v>58</v>
      </c>
      <c r="Y3130">
        <v>20</v>
      </c>
      <c r="Z3130" t="s">
        <v>59</v>
      </c>
      <c r="AA3130" t="s">
        <v>59</v>
      </c>
      <c r="AB3130" t="s">
        <v>59</v>
      </c>
      <c r="AC3130" t="s">
        <v>59</v>
      </c>
      <c r="AD3130" t="s">
        <v>59</v>
      </c>
      <c r="AF3130" s="1">
        <v>37518</v>
      </c>
      <c r="AG3130" t="s">
        <v>125</v>
      </c>
      <c r="AH3130" t="s">
        <v>294</v>
      </c>
      <c r="AI3130" t="str">
        <f>"4101045"</f>
        <v>4101045</v>
      </c>
      <c r="AJ3130" t="s">
        <v>5677</v>
      </c>
      <c r="AK3130">
        <v>2831027553</v>
      </c>
      <c r="AL3130" t="s">
        <v>5678</v>
      </c>
      <c r="AM3130" t="s">
        <v>64</v>
      </c>
      <c r="AN3130" t="s">
        <v>65</v>
      </c>
      <c r="AO3130" t="s">
        <v>65</v>
      </c>
      <c r="AP3130" t="s">
        <v>65</v>
      </c>
      <c r="AQ3130">
        <v>1</v>
      </c>
      <c r="AR3130" t="s">
        <v>5644</v>
      </c>
      <c r="AS3130" t="s">
        <v>5645</v>
      </c>
      <c r="AT3130" t="s">
        <v>58</v>
      </c>
      <c r="AU3130" t="s">
        <v>68</v>
      </c>
      <c r="AV3130" t="s">
        <v>69</v>
      </c>
      <c r="AW3130" s="1">
        <v>26229</v>
      </c>
      <c r="AX3130">
        <v>2</v>
      </c>
    </row>
    <row r="3131" spans="1:50">
      <c r="A3131">
        <v>171507</v>
      </c>
      <c r="B3131" t="str">
        <f>"065580209"</f>
        <v>065580209</v>
      </c>
      <c r="C3131" t="s">
        <v>50</v>
      </c>
      <c r="D3131" t="s">
        <v>2518</v>
      </c>
      <c r="E3131" t="s">
        <v>476</v>
      </c>
      <c r="F3131" t="s">
        <v>6198</v>
      </c>
      <c r="G3131" t="s">
        <v>52</v>
      </c>
      <c r="H3131" t="str">
        <f>"ΔΗΜΟΚΡΑΤΙΑΣ 9 ΡΕΘΥΜΝΟ"</f>
        <v>ΔΗΜΟΚΡΑΤΙΑΣ 9 ΡΕΘΥΜΝΟ</v>
      </c>
      <c r="I3131">
        <v>74100</v>
      </c>
      <c r="N3131" t="s">
        <v>257</v>
      </c>
      <c r="O3131" t="s">
        <v>258</v>
      </c>
      <c r="R3131" t="s">
        <v>57</v>
      </c>
      <c r="S3131">
        <v>12</v>
      </c>
      <c r="T3131">
        <v>184</v>
      </c>
      <c r="U3131" s="1">
        <v>34941</v>
      </c>
      <c r="V3131" t="s">
        <v>5644</v>
      </c>
      <c r="W3131" t="s">
        <v>5645</v>
      </c>
      <c r="X3131" t="s">
        <v>58</v>
      </c>
      <c r="Y3131">
        <v>18</v>
      </c>
      <c r="Z3131" t="s">
        <v>59</v>
      </c>
      <c r="AA3131" t="s">
        <v>59</v>
      </c>
      <c r="AB3131" t="s">
        <v>59</v>
      </c>
      <c r="AC3131" t="s">
        <v>59</v>
      </c>
      <c r="AD3131" t="s">
        <v>59</v>
      </c>
      <c r="AF3131" s="1">
        <v>34941</v>
      </c>
      <c r="AG3131" t="s">
        <v>125</v>
      </c>
      <c r="AH3131" t="s">
        <v>126</v>
      </c>
      <c r="AI3131" t="str">
        <f>"4101010"</f>
        <v>4101010</v>
      </c>
      <c r="AJ3131" t="s">
        <v>5814</v>
      </c>
      <c r="AK3131">
        <v>2831022283</v>
      </c>
      <c r="AL3131" t="s">
        <v>5815</v>
      </c>
      <c r="AM3131" t="s">
        <v>64</v>
      </c>
      <c r="AN3131" t="s">
        <v>65</v>
      </c>
      <c r="AO3131" t="s">
        <v>65</v>
      </c>
      <c r="AP3131" t="s">
        <v>65</v>
      </c>
      <c r="AQ3131">
        <v>1</v>
      </c>
      <c r="AR3131" t="s">
        <v>5644</v>
      </c>
      <c r="AS3131" t="s">
        <v>5645</v>
      </c>
      <c r="AT3131" t="s">
        <v>58</v>
      </c>
      <c r="AU3131" t="s">
        <v>68</v>
      </c>
      <c r="AV3131" t="s">
        <v>69</v>
      </c>
      <c r="AW3131" s="1">
        <v>23683</v>
      </c>
      <c r="AX3131">
        <v>2</v>
      </c>
    </row>
    <row r="3132" spans="1:50">
      <c r="A3132">
        <v>218040</v>
      </c>
      <c r="B3132" t="str">
        <f>"100081580"</f>
        <v>100081580</v>
      </c>
      <c r="C3132" t="s">
        <v>105</v>
      </c>
      <c r="D3132" t="s">
        <v>6199</v>
      </c>
      <c r="E3132" t="s">
        <v>95</v>
      </c>
      <c r="F3132" t="s">
        <v>3246</v>
      </c>
      <c r="G3132" t="s">
        <v>52</v>
      </c>
      <c r="H3132" t="str">
        <f>"ΠΑΠΑΝΙΛΟΛΑΟΥ 9 ΡΕΘΥΜΝΟ"</f>
        <v>ΠΑΠΑΝΙΛΟΛΑΟΥ 9 ΡΕΘΥΜΝΟ</v>
      </c>
      <c r="I3132">
        <v>74100</v>
      </c>
      <c r="J3132">
        <v>2831055138</v>
      </c>
      <c r="K3132">
        <v>6945849717</v>
      </c>
      <c r="N3132" t="s">
        <v>292</v>
      </c>
      <c r="O3132" t="s">
        <v>293</v>
      </c>
      <c r="R3132" t="s">
        <v>57</v>
      </c>
      <c r="S3132">
        <v>6</v>
      </c>
      <c r="T3132">
        <v>599</v>
      </c>
      <c r="U3132" s="1">
        <v>39310</v>
      </c>
      <c r="V3132" t="s">
        <v>5644</v>
      </c>
      <c r="W3132" t="s">
        <v>5645</v>
      </c>
      <c r="X3132" t="s">
        <v>58</v>
      </c>
      <c r="Y3132">
        <v>20</v>
      </c>
      <c r="Z3132" t="s">
        <v>59</v>
      </c>
      <c r="AA3132" t="s">
        <v>59</v>
      </c>
      <c r="AB3132" t="s">
        <v>59</v>
      </c>
      <c r="AC3132" t="s">
        <v>59</v>
      </c>
      <c r="AD3132" t="s">
        <v>59</v>
      </c>
      <c r="AF3132" s="1">
        <v>39310</v>
      </c>
      <c r="AG3132" t="s">
        <v>125</v>
      </c>
      <c r="AH3132" t="s">
        <v>126</v>
      </c>
      <c r="AI3132" t="str">
        <f>"4101030"</f>
        <v>4101030</v>
      </c>
      <c r="AJ3132" t="s">
        <v>5646</v>
      </c>
      <c r="AK3132">
        <v>2831022359</v>
      </c>
      <c r="AL3132" t="s">
        <v>5647</v>
      </c>
      <c r="AM3132" t="s">
        <v>64</v>
      </c>
      <c r="AN3132" t="s">
        <v>65</v>
      </c>
      <c r="AO3132" t="s">
        <v>65</v>
      </c>
      <c r="AP3132" t="s">
        <v>65</v>
      </c>
      <c r="AQ3132">
        <v>1</v>
      </c>
      <c r="AR3132" t="s">
        <v>5644</v>
      </c>
      <c r="AS3132" t="s">
        <v>5645</v>
      </c>
      <c r="AT3132" t="s">
        <v>58</v>
      </c>
      <c r="AU3132" t="s">
        <v>68</v>
      </c>
      <c r="AV3132" t="s">
        <v>69</v>
      </c>
      <c r="AW3132" s="1">
        <v>24615</v>
      </c>
      <c r="AX3132">
        <v>2</v>
      </c>
    </row>
    <row r="3133" spans="1:50">
      <c r="B3133" t="str">
        <f>"135212571"</f>
        <v>135212571</v>
      </c>
      <c r="C3133" t="s">
        <v>105</v>
      </c>
      <c r="D3133" t="s">
        <v>2528</v>
      </c>
      <c r="E3133" t="s">
        <v>99</v>
      </c>
      <c r="F3133" t="s">
        <v>395</v>
      </c>
      <c r="G3133" t="s">
        <v>3866</v>
      </c>
      <c r="H3133" t="str">
        <f>" "</f>
        <v xml:space="preserve"> </v>
      </c>
      <c r="M3133" t="s">
        <v>6200</v>
      </c>
      <c r="N3133" t="s">
        <v>883</v>
      </c>
      <c r="O3133" t="s">
        <v>884</v>
      </c>
      <c r="R3133" t="s">
        <v>121</v>
      </c>
      <c r="S3133">
        <v>3</v>
      </c>
      <c r="T3133" t="s">
        <v>344</v>
      </c>
      <c r="U3133" s="1">
        <v>43348</v>
      </c>
      <c r="V3133" t="s">
        <v>5644</v>
      </c>
      <c r="W3133" t="s">
        <v>5645</v>
      </c>
      <c r="X3133" t="s">
        <v>58</v>
      </c>
      <c r="Y3133">
        <v>23</v>
      </c>
      <c r="Z3133" t="s">
        <v>59</v>
      </c>
      <c r="AA3133" t="s">
        <v>59</v>
      </c>
      <c r="AB3133" t="s">
        <v>59</v>
      </c>
      <c r="AD3133" t="s">
        <v>59</v>
      </c>
      <c r="AF3133" s="1">
        <v>43348</v>
      </c>
      <c r="AG3133" t="s">
        <v>125</v>
      </c>
      <c r="AH3133" t="s">
        <v>126</v>
      </c>
      <c r="AI3133" t="str">
        <f>"4102020"</f>
        <v>4102020</v>
      </c>
      <c r="AJ3133" t="s">
        <v>5761</v>
      </c>
      <c r="AK3133">
        <v>2831061491</v>
      </c>
      <c r="AL3133" t="s">
        <v>5762</v>
      </c>
      <c r="AM3133" t="s">
        <v>64</v>
      </c>
      <c r="AN3133" t="s">
        <v>65</v>
      </c>
      <c r="AO3133" t="s">
        <v>5657</v>
      </c>
      <c r="AP3133" t="s">
        <v>1437</v>
      </c>
      <c r="AQ3133">
        <v>1</v>
      </c>
      <c r="AR3133" t="s">
        <v>5644</v>
      </c>
      <c r="AS3133" t="s">
        <v>5645</v>
      </c>
      <c r="AT3133" t="s">
        <v>58</v>
      </c>
      <c r="AU3133" t="s">
        <v>350</v>
      </c>
      <c r="AV3133" t="s">
        <v>132</v>
      </c>
      <c r="AW3133" s="1">
        <v>31197</v>
      </c>
      <c r="AX3133">
        <v>2</v>
      </c>
    </row>
    <row r="3134" spans="1:50">
      <c r="A3134">
        <v>158332</v>
      </c>
      <c r="B3134" t="str">
        <f>"042293224"</f>
        <v>042293224</v>
      </c>
      <c r="C3134" t="s">
        <v>105</v>
      </c>
      <c r="D3134" t="s">
        <v>6201</v>
      </c>
      <c r="E3134" t="s">
        <v>2233</v>
      </c>
      <c r="F3134" t="s">
        <v>53</v>
      </c>
      <c r="G3134" t="s">
        <v>52</v>
      </c>
      <c r="H3134" t="str">
        <f>"Ν. ΨΑΡΡΟΥ 48 ΡΕΘΥΜΝΟ"</f>
        <v>Ν. ΨΑΡΡΟΥ 48 ΡΕΘΥΜΝΟ</v>
      </c>
      <c r="I3134">
        <v>74100</v>
      </c>
      <c r="K3134">
        <v>6973382973</v>
      </c>
      <c r="N3134" t="s">
        <v>299</v>
      </c>
      <c r="O3134" t="s">
        <v>300</v>
      </c>
      <c r="P3134" t="s">
        <v>6202</v>
      </c>
      <c r="Q3134" t="s">
        <v>6203</v>
      </c>
      <c r="R3134" t="s">
        <v>57</v>
      </c>
      <c r="S3134">
        <v>19</v>
      </c>
      <c r="T3134">
        <v>249</v>
      </c>
      <c r="U3134" s="1">
        <v>32834</v>
      </c>
      <c r="V3134" t="s">
        <v>5644</v>
      </c>
      <c r="W3134" t="s">
        <v>5645</v>
      </c>
      <c r="X3134" t="s">
        <v>58</v>
      </c>
      <c r="Y3134">
        <v>18</v>
      </c>
      <c r="Z3134" t="s">
        <v>59</v>
      </c>
      <c r="AA3134" t="s">
        <v>59</v>
      </c>
      <c r="AB3134" t="s">
        <v>59</v>
      </c>
      <c r="AC3134" t="s">
        <v>59</v>
      </c>
      <c r="AD3134" t="s">
        <v>59</v>
      </c>
      <c r="AF3134" s="1">
        <v>32834</v>
      </c>
      <c r="AG3134" t="s">
        <v>137</v>
      </c>
      <c r="AH3134" t="s">
        <v>138</v>
      </c>
      <c r="AI3134" t="str">
        <f>"4152001"</f>
        <v>4152001</v>
      </c>
      <c r="AJ3134" t="s">
        <v>5665</v>
      </c>
      <c r="AK3134">
        <v>2831024375</v>
      </c>
      <c r="AL3134" t="s">
        <v>5666</v>
      </c>
      <c r="AM3134" t="s">
        <v>64</v>
      </c>
      <c r="AN3134" t="s">
        <v>65</v>
      </c>
      <c r="AO3134" t="s">
        <v>65</v>
      </c>
      <c r="AP3134" t="s">
        <v>65</v>
      </c>
      <c r="AQ3134">
        <v>1</v>
      </c>
      <c r="AR3134" t="s">
        <v>5644</v>
      </c>
      <c r="AS3134" t="s">
        <v>5645</v>
      </c>
      <c r="AT3134" t="s">
        <v>58</v>
      </c>
      <c r="AU3134" t="s">
        <v>68</v>
      </c>
      <c r="AV3134" t="s">
        <v>357</v>
      </c>
      <c r="AW3134" s="1">
        <v>21548</v>
      </c>
      <c r="AX3134">
        <v>2</v>
      </c>
    </row>
    <row r="3135" spans="1:50">
      <c r="A3135">
        <v>193840</v>
      </c>
      <c r="B3135" t="str">
        <f>"063062226"</f>
        <v>063062226</v>
      </c>
      <c r="C3135" t="s">
        <v>50</v>
      </c>
      <c r="D3135" t="s">
        <v>6204</v>
      </c>
      <c r="E3135" t="s">
        <v>566</v>
      </c>
      <c r="F3135" t="s">
        <v>4071</v>
      </c>
      <c r="G3135" t="s">
        <v>263</v>
      </c>
      <c r="H3135" t="str">
        <f>"ΑΔΕΛΕ ΡΕΘΥΜΝΟΥ ΡΕΘΥΜΝΟ"</f>
        <v>ΑΔΕΛΕ ΡΕΘΥΜΝΟΥ ΡΕΘΥΜΝΟ</v>
      </c>
      <c r="I3135">
        <v>74100</v>
      </c>
      <c r="J3135">
        <v>2831072322</v>
      </c>
      <c r="K3135">
        <v>6972819008</v>
      </c>
      <c r="L3135">
        <v>2831072322</v>
      </c>
      <c r="M3135" t="s">
        <v>6205</v>
      </c>
      <c r="N3135" t="s">
        <v>478</v>
      </c>
      <c r="O3135" t="s">
        <v>479</v>
      </c>
      <c r="R3135" t="s">
        <v>57</v>
      </c>
      <c r="S3135">
        <v>8</v>
      </c>
      <c r="T3135">
        <v>193</v>
      </c>
      <c r="U3135" s="1">
        <v>37497</v>
      </c>
      <c r="V3135" t="s">
        <v>5644</v>
      </c>
      <c r="W3135" t="s">
        <v>5645</v>
      </c>
      <c r="X3135" t="s">
        <v>58</v>
      </c>
      <c r="Y3135">
        <v>20</v>
      </c>
      <c r="Z3135" t="s">
        <v>59</v>
      </c>
      <c r="AA3135" t="s">
        <v>59</v>
      </c>
      <c r="AB3135" t="s">
        <v>59</v>
      </c>
      <c r="AC3135" t="s">
        <v>59</v>
      </c>
      <c r="AD3135" t="s">
        <v>59</v>
      </c>
      <c r="AF3135" s="1">
        <v>37497</v>
      </c>
      <c r="AG3135" t="s">
        <v>125</v>
      </c>
      <c r="AH3135" t="s">
        <v>126</v>
      </c>
      <c r="AI3135" t="str">
        <f>"4101030"</f>
        <v>4101030</v>
      </c>
      <c r="AJ3135" t="s">
        <v>5646</v>
      </c>
      <c r="AK3135">
        <v>2831022359</v>
      </c>
      <c r="AL3135" t="s">
        <v>5647</v>
      </c>
      <c r="AM3135" t="s">
        <v>64</v>
      </c>
      <c r="AN3135" t="s">
        <v>65</v>
      </c>
      <c r="AO3135" t="s">
        <v>65</v>
      </c>
      <c r="AP3135" t="s">
        <v>65</v>
      </c>
      <c r="AQ3135">
        <v>1</v>
      </c>
      <c r="AR3135" t="s">
        <v>5644</v>
      </c>
      <c r="AS3135" t="s">
        <v>5645</v>
      </c>
      <c r="AT3135" t="s">
        <v>58</v>
      </c>
      <c r="AU3135" t="s">
        <v>68</v>
      </c>
      <c r="AV3135" t="s">
        <v>69</v>
      </c>
      <c r="AW3135" s="1">
        <v>26245</v>
      </c>
      <c r="AX3135">
        <v>2</v>
      </c>
    </row>
    <row r="3136" spans="1:50">
      <c r="A3136">
        <v>193453</v>
      </c>
      <c r="B3136" t="str">
        <f>"046722825"</f>
        <v>046722825</v>
      </c>
      <c r="C3136" t="s">
        <v>50</v>
      </c>
      <c r="D3136" t="s">
        <v>6204</v>
      </c>
      <c r="E3136" t="s">
        <v>143</v>
      </c>
      <c r="F3136" t="s">
        <v>4097</v>
      </c>
      <c r="G3136" t="s">
        <v>4127</v>
      </c>
      <c r="H3136" t="str">
        <f>"ΕΛΕΥΘΕΡΝΑΣ 7 ΡΕΘΥΜΝΟ"</f>
        <v>ΕΛΕΥΘΕΡΝΑΣ 7 ΡΕΘΥΜΝΟ</v>
      </c>
      <c r="I3136">
        <v>74132</v>
      </c>
      <c r="J3136">
        <v>2831058915</v>
      </c>
      <c r="K3136">
        <v>6981639336</v>
      </c>
      <c r="L3136">
        <v>2831050674</v>
      </c>
      <c r="M3136" t="s">
        <v>6206</v>
      </c>
      <c r="N3136" t="s">
        <v>292</v>
      </c>
      <c r="O3136" t="s">
        <v>293</v>
      </c>
      <c r="R3136" t="s">
        <v>57</v>
      </c>
      <c r="S3136">
        <v>8</v>
      </c>
      <c r="T3136">
        <v>193</v>
      </c>
      <c r="U3136" s="1">
        <v>37497</v>
      </c>
      <c r="V3136" t="s">
        <v>5644</v>
      </c>
      <c r="W3136" t="s">
        <v>5645</v>
      </c>
      <c r="X3136" t="s">
        <v>58</v>
      </c>
      <c r="Y3136">
        <v>20</v>
      </c>
      <c r="Z3136" t="s">
        <v>59</v>
      </c>
      <c r="AA3136" t="s">
        <v>59</v>
      </c>
      <c r="AB3136" t="s">
        <v>59</v>
      </c>
      <c r="AC3136" t="s">
        <v>59</v>
      </c>
      <c r="AD3136" t="s">
        <v>59</v>
      </c>
      <c r="AF3136" s="1">
        <v>37497</v>
      </c>
      <c r="AG3136" t="s">
        <v>148</v>
      </c>
      <c r="AH3136" t="s">
        <v>149</v>
      </c>
      <c r="AI3136" t="str">
        <f>"4151030"</f>
        <v>4151030</v>
      </c>
      <c r="AJ3136" t="s">
        <v>5681</v>
      </c>
      <c r="AK3136">
        <v>2831023422</v>
      </c>
      <c r="AL3136" t="s">
        <v>5682</v>
      </c>
      <c r="AM3136" t="s">
        <v>64</v>
      </c>
      <c r="AN3136" t="s">
        <v>65</v>
      </c>
      <c r="AO3136" t="s">
        <v>65</v>
      </c>
      <c r="AP3136" t="s">
        <v>65</v>
      </c>
      <c r="AQ3136">
        <v>1</v>
      </c>
      <c r="AR3136" t="s">
        <v>5644</v>
      </c>
      <c r="AS3136" t="s">
        <v>5645</v>
      </c>
      <c r="AT3136" t="s">
        <v>58</v>
      </c>
      <c r="AU3136" t="s">
        <v>68</v>
      </c>
      <c r="AV3136" t="s">
        <v>69</v>
      </c>
      <c r="AW3136" s="1">
        <v>23201</v>
      </c>
      <c r="AX3136">
        <v>2</v>
      </c>
    </row>
    <row r="3137" spans="1:50">
      <c r="A3137">
        <v>194865</v>
      </c>
      <c r="B3137" t="str">
        <f>"038972598"</f>
        <v>038972598</v>
      </c>
      <c r="C3137" t="s">
        <v>105</v>
      </c>
      <c r="D3137" t="s">
        <v>2531</v>
      </c>
      <c r="E3137" t="s">
        <v>99</v>
      </c>
      <c r="F3137" t="s">
        <v>166</v>
      </c>
      <c r="G3137" t="s">
        <v>610</v>
      </c>
      <c r="H3137" t="str">
        <f>"ΛΙΤΣΑΡΔΑ ΑΠΟΚΟΡΩΝΟΥ"</f>
        <v>ΛΙΤΣΑΡΔΑ ΑΠΟΚΟΡΩΝΟΥ</v>
      </c>
      <c r="I3137">
        <v>73008</v>
      </c>
      <c r="J3137">
        <v>2821074582</v>
      </c>
      <c r="K3137">
        <v>6972031862</v>
      </c>
      <c r="L3137">
        <v>6974794643</v>
      </c>
      <c r="N3137" t="s">
        <v>1351</v>
      </c>
      <c r="O3137" t="s">
        <v>1352</v>
      </c>
      <c r="R3137" t="s">
        <v>57</v>
      </c>
      <c r="S3137">
        <v>12</v>
      </c>
      <c r="T3137">
        <v>193</v>
      </c>
      <c r="U3137" s="1">
        <v>37497</v>
      </c>
      <c r="V3137" t="s">
        <v>5644</v>
      </c>
      <c r="W3137" t="s">
        <v>5645</v>
      </c>
      <c r="X3137" t="s">
        <v>58</v>
      </c>
      <c r="Y3137">
        <v>20</v>
      </c>
      <c r="Z3137" t="s">
        <v>59</v>
      </c>
      <c r="AA3137" t="s">
        <v>59</v>
      </c>
      <c r="AB3137" t="s">
        <v>59</v>
      </c>
      <c r="AC3137" t="s">
        <v>59</v>
      </c>
      <c r="AD3137" t="s">
        <v>59</v>
      </c>
      <c r="AF3137" s="1">
        <v>37501</v>
      </c>
      <c r="AG3137" t="s">
        <v>137</v>
      </c>
      <c r="AH3137" t="s">
        <v>138</v>
      </c>
      <c r="AI3137" t="str">
        <f>"4150040"</f>
        <v>4150040</v>
      </c>
      <c r="AJ3137" t="s">
        <v>5661</v>
      </c>
      <c r="AK3137">
        <v>2831029048</v>
      </c>
      <c r="AL3137" t="s">
        <v>5662</v>
      </c>
      <c r="AM3137" t="s">
        <v>64</v>
      </c>
      <c r="AN3137" t="s">
        <v>65</v>
      </c>
      <c r="AO3137" t="s">
        <v>65</v>
      </c>
      <c r="AP3137" t="s">
        <v>65</v>
      </c>
      <c r="AQ3137">
        <v>1</v>
      </c>
      <c r="AR3137" t="s">
        <v>5644</v>
      </c>
      <c r="AS3137" t="s">
        <v>5645</v>
      </c>
      <c r="AT3137" t="s">
        <v>58</v>
      </c>
      <c r="AU3137" t="s">
        <v>68</v>
      </c>
      <c r="AV3137" t="s">
        <v>69</v>
      </c>
      <c r="AW3137" s="1">
        <v>24108</v>
      </c>
      <c r="AX3137">
        <v>2</v>
      </c>
    </row>
    <row r="3138" spans="1:50">
      <c r="A3138">
        <v>185791</v>
      </c>
      <c r="B3138" t="str">
        <f>"073691303"</f>
        <v>073691303</v>
      </c>
      <c r="C3138" t="s">
        <v>50</v>
      </c>
      <c r="D3138" t="s">
        <v>2544</v>
      </c>
      <c r="E3138" t="s">
        <v>83</v>
      </c>
      <c r="F3138" t="s">
        <v>72</v>
      </c>
      <c r="G3138" t="s">
        <v>2248</v>
      </c>
      <c r="H3138" t="str">
        <f>"ΑΡΗ ΒΕΛΟΥΧΙΩΤΗ 2 ΡΕΘΥΜΝΟ"</f>
        <v>ΑΡΗ ΒΕΛΟΥΧΙΩΤΗ 2 ΡΕΘΥΜΝΟ</v>
      </c>
      <c r="I3138">
        <v>74100</v>
      </c>
      <c r="J3138">
        <v>2831057053</v>
      </c>
      <c r="K3138">
        <v>6973334797</v>
      </c>
      <c r="N3138" t="s">
        <v>146</v>
      </c>
      <c r="O3138" t="s">
        <v>147</v>
      </c>
      <c r="R3138" t="s">
        <v>57</v>
      </c>
      <c r="S3138">
        <v>9</v>
      </c>
      <c r="T3138">
        <v>250</v>
      </c>
      <c r="U3138" s="1">
        <v>36769</v>
      </c>
      <c r="V3138" t="s">
        <v>5644</v>
      </c>
      <c r="W3138" t="s">
        <v>5645</v>
      </c>
      <c r="X3138" t="s">
        <v>58</v>
      </c>
      <c r="Y3138">
        <v>20</v>
      </c>
      <c r="Z3138" t="s">
        <v>59</v>
      </c>
      <c r="AA3138" t="s">
        <v>59</v>
      </c>
      <c r="AB3138" t="s">
        <v>59</v>
      </c>
      <c r="AC3138" t="s">
        <v>59</v>
      </c>
      <c r="AD3138" t="s">
        <v>59</v>
      </c>
      <c r="AF3138" s="1">
        <v>36770</v>
      </c>
      <c r="AG3138" t="s">
        <v>125</v>
      </c>
      <c r="AH3138" t="s">
        <v>126</v>
      </c>
      <c r="AI3138" t="str">
        <f>"4101020"</f>
        <v>4101020</v>
      </c>
      <c r="AJ3138" t="s">
        <v>5652</v>
      </c>
      <c r="AK3138">
        <v>2831023560</v>
      </c>
      <c r="AL3138" t="s">
        <v>5653</v>
      </c>
      <c r="AM3138" t="s">
        <v>64</v>
      </c>
      <c r="AN3138" t="s">
        <v>65</v>
      </c>
      <c r="AO3138" t="s">
        <v>65</v>
      </c>
      <c r="AP3138" t="s">
        <v>65</v>
      </c>
      <c r="AQ3138">
        <v>1</v>
      </c>
      <c r="AR3138" t="s">
        <v>5644</v>
      </c>
      <c r="AS3138" t="s">
        <v>5645</v>
      </c>
      <c r="AT3138" t="s">
        <v>58</v>
      </c>
      <c r="AU3138" t="s">
        <v>68</v>
      </c>
      <c r="AV3138" t="s">
        <v>357</v>
      </c>
      <c r="AW3138" s="1">
        <v>26030</v>
      </c>
      <c r="AX3138">
        <v>2</v>
      </c>
    </row>
    <row r="3139" spans="1:50">
      <c r="A3139">
        <v>178649</v>
      </c>
      <c r="B3139" t="str">
        <f>"035922516"</f>
        <v>035922516</v>
      </c>
      <c r="C3139" t="s">
        <v>105</v>
      </c>
      <c r="D3139" t="s">
        <v>6207</v>
      </c>
      <c r="E3139" t="s">
        <v>72</v>
      </c>
      <c r="F3139" t="s">
        <v>6208</v>
      </c>
      <c r="G3139" t="s">
        <v>1939</v>
      </c>
      <c r="H3139" t="str">
        <f>"ΠΕΤΡΕΣ ΠΕΤΡΕΣ"</f>
        <v>ΠΕΤΡΕΣ ΠΕΤΡΕΣ</v>
      </c>
      <c r="I3139">
        <v>74132</v>
      </c>
      <c r="J3139">
        <v>2831050618</v>
      </c>
      <c r="K3139">
        <v>6932575962</v>
      </c>
      <c r="N3139" t="s">
        <v>176</v>
      </c>
      <c r="O3139" t="s">
        <v>177</v>
      </c>
      <c r="R3139" t="s">
        <v>57</v>
      </c>
      <c r="S3139">
        <v>14</v>
      </c>
      <c r="T3139">
        <v>154</v>
      </c>
      <c r="U3139" s="1">
        <v>34215</v>
      </c>
      <c r="V3139" t="s">
        <v>5644</v>
      </c>
      <c r="W3139" t="s">
        <v>5645</v>
      </c>
      <c r="X3139" t="s">
        <v>58</v>
      </c>
      <c r="Y3139">
        <v>18</v>
      </c>
      <c r="Z3139" t="s">
        <v>59</v>
      </c>
      <c r="AA3139" t="s">
        <v>59</v>
      </c>
      <c r="AB3139" t="s">
        <v>59</v>
      </c>
      <c r="AC3139" t="s">
        <v>59</v>
      </c>
      <c r="AD3139" t="s">
        <v>452</v>
      </c>
      <c r="AE3139" s="1">
        <v>43708</v>
      </c>
      <c r="AF3139" s="1">
        <v>34225</v>
      </c>
      <c r="AG3139" t="s">
        <v>148</v>
      </c>
      <c r="AH3139" t="s">
        <v>2782</v>
      </c>
      <c r="AI3139" t="str">
        <f>"4151040"</f>
        <v>4151040</v>
      </c>
      <c r="AJ3139" t="s">
        <v>5810</v>
      </c>
      <c r="AK3139">
        <v>2831023425</v>
      </c>
      <c r="AL3139" t="s">
        <v>5811</v>
      </c>
      <c r="AM3139" t="s">
        <v>64</v>
      </c>
      <c r="AN3139" t="s">
        <v>65</v>
      </c>
      <c r="AO3139" t="s">
        <v>65</v>
      </c>
      <c r="AP3139" t="s">
        <v>65</v>
      </c>
      <c r="AQ3139">
        <v>1</v>
      </c>
      <c r="AR3139" t="s">
        <v>5644</v>
      </c>
      <c r="AS3139" t="s">
        <v>5645</v>
      </c>
      <c r="AT3139" t="s">
        <v>58</v>
      </c>
      <c r="AU3139" t="s">
        <v>68</v>
      </c>
      <c r="AV3139" t="s">
        <v>69</v>
      </c>
      <c r="AW3139" s="1">
        <v>22580</v>
      </c>
      <c r="AX3139">
        <v>2</v>
      </c>
    </row>
    <row r="3140" spans="1:50">
      <c r="A3140">
        <v>180573</v>
      </c>
      <c r="B3140" t="str">
        <f>"035637096"</f>
        <v>035637096</v>
      </c>
      <c r="C3140" t="s">
        <v>105</v>
      </c>
      <c r="D3140" t="s">
        <v>6209</v>
      </c>
      <c r="E3140" t="s">
        <v>72</v>
      </c>
      <c r="F3140" t="s">
        <v>84</v>
      </c>
      <c r="G3140" t="s">
        <v>513</v>
      </c>
      <c r="H3140" t="str">
        <f>"Ρουσσοσπίτι  "</f>
        <v xml:space="preserve">Ρουσσοσπίτι  </v>
      </c>
      <c r="I3140">
        <v>74100</v>
      </c>
      <c r="J3140">
        <v>2831075193</v>
      </c>
      <c r="K3140">
        <v>6993761761</v>
      </c>
      <c r="M3140" t="s">
        <v>6210</v>
      </c>
      <c r="N3140" t="s">
        <v>199</v>
      </c>
      <c r="O3140" t="s">
        <v>200</v>
      </c>
      <c r="R3140" t="s">
        <v>57</v>
      </c>
      <c r="S3140">
        <v>13</v>
      </c>
      <c r="T3140">
        <v>164</v>
      </c>
      <c r="U3140" s="1">
        <v>36040</v>
      </c>
      <c r="V3140" t="s">
        <v>5644</v>
      </c>
      <c r="W3140" t="s">
        <v>5645</v>
      </c>
      <c r="X3140" t="s">
        <v>58</v>
      </c>
      <c r="Y3140">
        <v>18</v>
      </c>
      <c r="Z3140" t="s">
        <v>59</v>
      </c>
      <c r="AA3140" t="s">
        <v>59</v>
      </c>
      <c r="AB3140" t="s">
        <v>59</v>
      </c>
      <c r="AC3140" t="s">
        <v>59</v>
      </c>
      <c r="AD3140" t="s">
        <v>59</v>
      </c>
      <c r="AF3140" s="1">
        <v>36040</v>
      </c>
      <c r="AG3140" t="s">
        <v>125</v>
      </c>
      <c r="AH3140" t="s">
        <v>5702</v>
      </c>
      <c r="AI3140" t="str">
        <f>"4101042"</f>
        <v>4101042</v>
      </c>
      <c r="AJ3140" t="s">
        <v>5703</v>
      </c>
      <c r="AK3140">
        <v>2831027230</v>
      </c>
      <c r="AL3140" t="s">
        <v>5704</v>
      </c>
      <c r="AM3140" t="s">
        <v>64</v>
      </c>
      <c r="AN3140" t="s">
        <v>65</v>
      </c>
      <c r="AO3140" t="s">
        <v>65</v>
      </c>
      <c r="AP3140" t="s">
        <v>65</v>
      </c>
      <c r="AQ3140">
        <v>1</v>
      </c>
      <c r="AR3140" t="s">
        <v>5644</v>
      </c>
      <c r="AS3140" t="s">
        <v>5645</v>
      </c>
      <c r="AT3140" t="s">
        <v>58</v>
      </c>
      <c r="AU3140" t="s">
        <v>68</v>
      </c>
      <c r="AV3140" t="s">
        <v>69</v>
      </c>
      <c r="AW3140" s="1">
        <v>21868</v>
      </c>
      <c r="AX3140">
        <v>2</v>
      </c>
    </row>
    <row r="3141" spans="1:50">
      <c r="A3141">
        <v>223031</v>
      </c>
      <c r="B3141" t="str">
        <f>"052039635"</f>
        <v>052039635</v>
      </c>
      <c r="C3141" t="s">
        <v>105</v>
      </c>
      <c r="D3141" t="s">
        <v>6211</v>
      </c>
      <c r="E3141" t="s">
        <v>2933</v>
      </c>
      <c r="F3141" t="s">
        <v>95</v>
      </c>
      <c r="G3141" t="s">
        <v>1068</v>
      </c>
      <c r="H3141" t="str">
        <f>"ΜΙΑΟΥΛΗ 8 ΡΕΘΥΜΝΟ"</f>
        <v>ΜΙΑΟΥΛΗ 8 ΡΕΘΥΜΝΟ</v>
      </c>
      <c r="I3141">
        <v>74100</v>
      </c>
      <c r="J3141">
        <v>2831054179</v>
      </c>
      <c r="K3141">
        <v>6944892530</v>
      </c>
      <c r="M3141" t="s">
        <v>6212</v>
      </c>
      <c r="N3141" t="s">
        <v>292</v>
      </c>
      <c r="O3141" t="s">
        <v>293</v>
      </c>
      <c r="R3141" t="s">
        <v>57</v>
      </c>
      <c r="S3141">
        <v>5</v>
      </c>
      <c r="T3141">
        <v>775</v>
      </c>
      <c r="U3141" s="1">
        <v>39680</v>
      </c>
      <c r="V3141" t="s">
        <v>5644</v>
      </c>
      <c r="W3141" t="s">
        <v>5645</v>
      </c>
      <c r="X3141" t="s">
        <v>58</v>
      </c>
      <c r="Y3141">
        <v>21</v>
      </c>
      <c r="Z3141" t="s">
        <v>59</v>
      </c>
      <c r="AA3141" t="s">
        <v>59</v>
      </c>
      <c r="AB3141" t="s">
        <v>59</v>
      </c>
      <c r="AC3141" t="s">
        <v>59</v>
      </c>
      <c r="AD3141" t="s">
        <v>59</v>
      </c>
      <c r="AF3141" s="1">
        <v>39680</v>
      </c>
      <c r="AG3141" t="s">
        <v>125</v>
      </c>
      <c r="AH3141" t="s">
        <v>126</v>
      </c>
      <c r="AI3141" t="str">
        <f>"4101020"</f>
        <v>4101020</v>
      </c>
      <c r="AJ3141" t="s">
        <v>5652</v>
      </c>
      <c r="AK3141">
        <v>2831023560</v>
      </c>
      <c r="AL3141" t="s">
        <v>5653</v>
      </c>
      <c r="AM3141" t="s">
        <v>64</v>
      </c>
      <c r="AN3141" t="s">
        <v>65</v>
      </c>
      <c r="AO3141" t="s">
        <v>65</v>
      </c>
      <c r="AP3141" t="s">
        <v>65</v>
      </c>
      <c r="AQ3141">
        <v>1</v>
      </c>
      <c r="AR3141" t="s">
        <v>5644</v>
      </c>
      <c r="AS3141" t="s">
        <v>5645</v>
      </c>
      <c r="AT3141" t="s">
        <v>58</v>
      </c>
      <c r="AU3141" t="s">
        <v>68</v>
      </c>
      <c r="AV3141" t="s">
        <v>357</v>
      </c>
      <c r="AW3141" s="1">
        <v>24626</v>
      </c>
      <c r="AX3141">
        <v>2</v>
      </c>
    </row>
    <row r="3142" spans="1:50">
      <c r="B3142" t="str">
        <f>"054042475"</f>
        <v>054042475</v>
      </c>
      <c r="C3142" t="s">
        <v>105</v>
      </c>
      <c r="D3142" t="s">
        <v>6213</v>
      </c>
      <c r="E3142" t="s">
        <v>965</v>
      </c>
      <c r="F3142" t="s">
        <v>581</v>
      </c>
      <c r="G3142" t="s">
        <v>2194</v>
      </c>
      <c r="H3142" t="str">
        <f>" "</f>
        <v xml:space="preserve"> </v>
      </c>
      <c r="N3142" t="s">
        <v>246</v>
      </c>
      <c r="O3142" t="s">
        <v>247</v>
      </c>
      <c r="R3142" t="s">
        <v>159</v>
      </c>
      <c r="S3142">
        <v>3</v>
      </c>
      <c r="T3142" t="s">
        <v>574</v>
      </c>
      <c r="U3142" s="1">
        <v>43378</v>
      </c>
      <c r="V3142" t="s">
        <v>5644</v>
      </c>
      <c r="W3142" t="s">
        <v>5645</v>
      </c>
      <c r="X3142" t="s">
        <v>58</v>
      </c>
      <c r="Y3142">
        <v>23</v>
      </c>
      <c r="Z3142" t="s">
        <v>59</v>
      </c>
      <c r="AA3142" t="s">
        <v>59</v>
      </c>
      <c r="AB3142" t="s">
        <v>59</v>
      </c>
      <c r="AD3142" t="s">
        <v>59</v>
      </c>
      <c r="AF3142" s="1">
        <v>43381</v>
      </c>
      <c r="AG3142" t="s">
        <v>125</v>
      </c>
      <c r="AH3142" t="s">
        <v>126</v>
      </c>
      <c r="AI3142" t="str">
        <f>"4106030"</f>
        <v>4106030</v>
      </c>
      <c r="AJ3142" t="s">
        <v>6097</v>
      </c>
      <c r="AK3142">
        <v>2832051138</v>
      </c>
      <c r="AL3142" t="s">
        <v>6098</v>
      </c>
      <c r="AM3142" t="s">
        <v>64</v>
      </c>
      <c r="AN3142" t="s">
        <v>5882</v>
      </c>
      <c r="AO3142" t="s">
        <v>6099</v>
      </c>
      <c r="AP3142" t="s">
        <v>6100</v>
      </c>
      <c r="AQ3142">
        <v>5</v>
      </c>
      <c r="AR3142" t="s">
        <v>5644</v>
      </c>
      <c r="AS3142" t="s">
        <v>5645</v>
      </c>
      <c r="AT3142" t="s">
        <v>58</v>
      </c>
      <c r="AU3142" t="s">
        <v>164</v>
      </c>
      <c r="AV3142" t="s">
        <v>132</v>
      </c>
      <c r="AW3142" s="1">
        <v>24708</v>
      </c>
      <c r="AX3142">
        <v>2</v>
      </c>
    </row>
    <row r="3143" spans="1:50">
      <c r="A3143">
        <v>188352</v>
      </c>
      <c r="B3143" t="str">
        <f>"079336040"</f>
        <v>079336040</v>
      </c>
      <c r="C3143" t="s">
        <v>105</v>
      </c>
      <c r="D3143" t="s">
        <v>2578</v>
      </c>
      <c r="E3143" t="s">
        <v>99</v>
      </c>
      <c r="F3143" t="s">
        <v>53</v>
      </c>
      <c r="G3143" t="s">
        <v>352</v>
      </c>
      <c r="H3143" t="str">
        <f>"ΠΡΙΝΕΣ, Τ.Θ. 3697 "</f>
        <v xml:space="preserve">ΠΡΙΝΕΣ, Τ.Θ. 3697 </v>
      </c>
      <c r="I3143">
        <v>74100</v>
      </c>
      <c r="K3143">
        <v>6974730001</v>
      </c>
      <c r="N3143" t="s">
        <v>204</v>
      </c>
      <c r="O3143" t="s">
        <v>205</v>
      </c>
      <c r="P3143" t="s">
        <v>331</v>
      </c>
      <c r="Q3143" t="s">
        <v>332</v>
      </c>
      <c r="R3143" t="s">
        <v>57</v>
      </c>
      <c r="S3143">
        <v>9</v>
      </c>
      <c r="T3143">
        <v>251</v>
      </c>
      <c r="U3143" s="1">
        <v>36769</v>
      </c>
      <c r="V3143" t="s">
        <v>5644</v>
      </c>
      <c r="W3143" t="s">
        <v>5645</v>
      </c>
      <c r="X3143" t="s">
        <v>58</v>
      </c>
      <c r="Y3143">
        <v>20</v>
      </c>
      <c r="Z3143" t="s">
        <v>59</v>
      </c>
      <c r="AA3143" t="s">
        <v>59</v>
      </c>
      <c r="AB3143" t="s">
        <v>59</v>
      </c>
      <c r="AC3143" t="s">
        <v>59</v>
      </c>
      <c r="AD3143" t="s">
        <v>59</v>
      </c>
      <c r="AF3143" s="1">
        <v>36769</v>
      </c>
      <c r="AG3143" t="s">
        <v>137</v>
      </c>
      <c r="AH3143" t="s">
        <v>138</v>
      </c>
      <c r="AI3143" t="str">
        <f>"4150040"</f>
        <v>4150040</v>
      </c>
      <c r="AJ3143" t="s">
        <v>5661</v>
      </c>
      <c r="AK3143">
        <v>2831029048</v>
      </c>
      <c r="AL3143" t="s">
        <v>5662</v>
      </c>
      <c r="AM3143" t="s">
        <v>64</v>
      </c>
      <c r="AN3143" t="s">
        <v>65</v>
      </c>
      <c r="AO3143" t="s">
        <v>65</v>
      </c>
      <c r="AP3143" t="s">
        <v>65</v>
      </c>
      <c r="AQ3143">
        <v>1</v>
      </c>
      <c r="AR3143" t="s">
        <v>5644</v>
      </c>
      <c r="AS3143" t="s">
        <v>5645</v>
      </c>
      <c r="AT3143" t="s">
        <v>58</v>
      </c>
      <c r="AU3143" t="s">
        <v>68</v>
      </c>
      <c r="AV3143" t="s">
        <v>69</v>
      </c>
      <c r="AW3143" s="1">
        <v>26098</v>
      </c>
      <c r="AX3143">
        <v>2</v>
      </c>
    </row>
    <row r="3144" spans="1:50">
      <c r="A3144">
        <v>210931</v>
      </c>
      <c r="B3144" t="str">
        <f>"113821513"</f>
        <v>113821513</v>
      </c>
      <c r="C3144" t="s">
        <v>105</v>
      </c>
      <c r="D3144" t="s">
        <v>6214</v>
      </c>
      <c r="E3144" t="s">
        <v>72</v>
      </c>
      <c r="F3144" t="s">
        <v>166</v>
      </c>
      <c r="G3144" t="s">
        <v>1644</v>
      </c>
      <c r="H3144" t="str">
        <f>"ΓΡΑΝΙΚΟΥ 5 ΗΡΑΚΛΕΙΟ"</f>
        <v>ΓΡΑΝΙΚΟΥ 5 ΗΡΑΚΛΕΙΟ</v>
      </c>
      <c r="I3144">
        <v>71306</v>
      </c>
      <c r="J3144">
        <v>2811107423</v>
      </c>
      <c r="K3144">
        <v>6947605217</v>
      </c>
      <c r="M3144" t="s">
        <v>6215</v>
      </c>
      <c r="N3144" t="s">
        <v>204</v>
      </c>
      <c r="O3144" t="s">
        <v>205</v>
      </c>
      <c r="P3144" t="s">
        <v>331</v>
      </c>
      <c r="Q3144" t="s">
        <v>332</v>
      </c>
      <c r="R3144" t="s">
        <v>57</v>
      </c>
      <c r="S3144">
        <v>6</v>
      </c>
      <c r="T3144">
        <v>262</v>
      </c>
      <c r="U3144" s="1">
        <v>38629</v>
      </c>
      <c r="V3144" t="s">
        <v>5644</v>
      </c>
      <c r="W3144" t="s">
        <v>5645</v>
      </c>
      <c r="X3144" t="s">
        <v>58</v>
      </c>
      <c r="Y3144">
        <v>20</v>
      </c>
      <c r="Z3144" t="s">
        <v>59</v>
      </c>
      <c r="AA3144" t="s">
        <v>59</v>
      </c>
      <c r="AB3144" t="s">
        <v>59</v>
      </c>
      <c r="AC3144" t="s">
        <v>59</v>
      </c>
      <c r="AD3144" t="s">
        <v>59</v>
      </c>
      <c r="AF3144" s="1">
        <v>38630</v>
      </c>
      <c r="AG3144" t="s">
        <v>137</v>
      </c>
      <c r="AH3144" t="s">
        <v>138</v>
      </c>
      <c r="AI3144" t="str">
        <f>"4140035"</f>
        <v>4140035</v>
      </c>
      <c r="AJ3144" t="s">
        <v>5905</v>
      </c>
      <c r="AK3144">
        <v>2834041440</v>
      </c>
      <c r="AL3144" t="s">
        <v>5906</v>
      </c>
      <c r="AM3144" t="s">
        <v>64</v>
      </c>
      <c r="AN3144" t="s">
        <v>5672</v>
      </c>
      <c r="AO3144" t="s">
        <v>5698</v>
      </c>
      <c r="AP3144" t="s">
        <v>5788</v>
      </c>
      <c r="AQ3144">
        <v>2</v>
      </c>
      <c r="AR3144" t="s">
        <v>5644</v>
      </c>
      <c r="AS3144" t="s">
        <v>5645</v>
      </c>
      <c r="AT3144" t="s">
        <v>58</v>
      </c>
      <c r="AU3144" t="s">
        <v>68</v>
      </c>
      <c r="AV3144" t="s">
        <v>69</v>
      </c>
      <c r="AW3144" s="1">
        <v>29347</v>
      </c>
      <c r="AX3144">
        <v>2</v>
      </c>
    </row>
    <row r="3145" spans="1:50">
      <c r="B3145" t="str">
        <f>"047445970"</f>
        <v>047445970</v>
      </c>
      <c r="C3145" t="s">
        <v>105</v>
      </c>
      <c r="D3145" t="s">
        <v>6216</v>
      </c>
      <c r="E3145" t="s">
        <v>154</v>
      </c>
      <c r="F3145" t="s">
        <v>95</v>
      </c>
      <c r="G3145" t="s">
        <v>1189</v>
      </c>
      <c r="H3145" t="str">
        <f>" "</f>
        <v xml:space="preserve"> </v>
      </c>
      <c r="N3145" t="s">
        <v>292</v>
      </c>
      <c r="O3145" t="s">
        <v>293</v>
      </c>
      <c r="R3145" t="s">
        <v>121</v>
      </c>
      <c r="S3145">
        <v>1</v>
      </c>
      <c r="T3145" t="s">
        <v>574</v>
      </c>
      <c r="U3145" s="1">
        <v>43378</v>
      </c>
      <c r="V3145" t="s">
        <v>5644</v>
      </c>
      <c r="W3145" t="s">
        <v>5645</v>
      </c>
      <c r="X3145" t="s">
        <v>58</v>
      </c>
      <c r="Y3145">
        <v>23</v>
      </c>
      <c r="Z3145" t="s">
        <v>59</v>
      </c>
      <c r="AA3145" t="s">
        <v>59</v>
      </c>
      <c r="AB3145" t="s">
        <v>59</v>
      </c>
      <c r="AD3145" t="s">
        <v>59</v>
      </c>
      <c r="AF3145" s="1">
        <v>43381</v>
      </c>
      <c r="AI3145" t="str">
        <f>""</f>
        <v/>
      </c>
      <c r="AS3145" t="s">
        <v>5645</v>
      </c>
      <c r="AT3145" t="s">
        <v>58</v>
      </c>
      <c r="AU3145" t="s">
        <v>164</v>
      </c>
      <c r="AW3145" s="1">
        <v>28458</v>
      </c>
      <c r="AX3145">
        <v>2</v>
      </c>
    </row>
    <row r="3146" spans="1:50">
      <c r="A3146">
        <v>157452</v>
      </c>
      <c r="B3146" t="str">
        <f>"065614254"</f>
        <v>065614254</v>
      </c>
      <c r="C3146" t="s">
        <v>50</v>
      </c>
      <c r="D3146" t="s">
        <v>2343</v>
      </c>
      <c r="E3146" t="s">
        <v>4196</v>
      </c>
      <c r="F3146" t="s">
        <v>108</v>
      </c>
      <c r="G3146" t="s">
        <v>250</v>
      </c>
      <c r="H3146" t="str">
        <f>"ΠΕΡΑΜΑ ΜΥΛΟΠΟΠΟΤΑΜΟΥ ΠΕΡΑΜΑ ΜΥΛΟΠΟΤΑΜΟΥ"</f>
        <v>ΠΕΡΑΜΑ ΜΥΛΟΠΟΠΟΤΑΜΟΥ ΠΕΡΑΜΑ ΜΥΛΟΠΟΤΑΜΟΥ</v>
      </c>
      <c r="I3146">
        <v>74052</v>
      </c>
      <c r="J3146">
        <v>2834022633</v>
      </c>
      <c r="K3146">
        <v>6932549858</v>
      </c>
      <c r="N3146" t="s">
        <v>257</v>
      </c>
      <c r="O3146" t="s">
        <v>258</v>
      </c>
      <c r="R3146" t="s">
        <v>57</v>
      </c>
      <c r="S3146">
        <v>14</v>
      </c>
      <c r="T3146">
        <v>188</v>
      </c>
      <c r="U3146" s="1">
        <v>32752</v>
      </c>
      <c r="V3146" t="s">
        <v>5644</v>
      </c>
      <c r="W3146" t="s">
        <v>5645</v>
      </c>
      <c r="X3146" t="s">
        <v>58</v>
      </c>
      <c r="Y3146">
        <v>18</v>
      </c>
      <c r="Z3146" t="s">
        <v>59</v>
      </c>
      <c r="AA3146" t="s">
        <v>59</v>
      </c>
      <c r="AB3146" t="s">
        <v>59</v>
      </c>
      <c r="AC3146" t="s">
        <v>59</v>
      </c>
      <c r="AD3146" t="s">
        <v>59</v>
      </c>
      <c r="AF3146" s="1">
        <v>32752</v>
      </c>
      <c r="AG3146" t="s">
        <v>148</v>
      </c>
      <c r="AH3146" t="s">
        <v>149</v>
      </c>
      <c r="AI3146" t="str">
        <f>"4154010"</f>
        <v>4154010</v>
      </c>
      <c r="AJ3146" t="s">
        <v>5687</v>
      </c>
      <c r="AK3146">
        <v>2834023300</v>
      </c>
      <c r="AL3146" t="s">
        <v>5688</v>
      </c>
      <c r="AM3146" t="s">
        <v>64</v>
      </c>
      <c r="AN3146" t="s">
        <v>5672</v>
      </c>
      <c r="AO3146" t="s">
        <v>5673</v>
      </c>
      <c r="AP3146" t="s">
        <v>5689</v>
      </c>
      <c r="AQ3146">
        <v>2</v>
      </c>
      <c r="AR3146" t="s">
        <v>5644</v>
      </c>
      <c r="AS3146" t="s">
        <v>5645</v>
      </c>
      <c r="AT3146" t="s">
        <v>58</v>
      </c>
      <c r="AU3146" t="s">
        <v>68</v>
      </c>
      <c r="AV3146" t="s">
        <v>69</v>
      </c>
      <c r="AW3146" s="1">
        <v>23318</v>
      </c>
      <c r="AX3146">
        <v>2</v>
      </c>
    </row>
    <row r="3147" spans="1:50">
      <c r="A3147">
        <v>217059</v>
      </c>
      <c r="B3147" t="str">
        <f>"044590877"</f>
        <v>044590877</v>
      </c>
      <c r="C3147" t="s">
        <v>50</v>
      </c>
      <c r="D3147" t="s">
        <v>2601</v>
      </c>
      <c r="E3147" t="s">
        <v>143</v>
      </c>
      <c r="F3147" t="s">
        <v>72</v>
      </c>
      <c r="G3147" t="s">
        <v>2248</v>
      </c>
      <c r="H3147" t="str">
        <f>"ΜΑΧΗΣ ΚΡΗΤΗΣ 52 ΡΕΘΥΜΝΟ"</f>
        <v>ΜΑΧΗΣ ΚΡΗΤΗΣ 52 ΡΕΘΥΜΝΟ</v>
      </c>
      <c r="I3147">
        <v>74100</v>
      </c>
      <c r="J3147">
        <v>2831057347</v>
      </c>
      <c r="K3147">
        <v>6973935913</v>
      </c>
      <c r="L3147">
        <v>2831076196</v>
      </c>
      <c r="N3147" t="s">
        <v>337</v>
      </c>
      <c r="O3147" t="s">
        <v>338</v>
      </c>
      <c r="R3147" t="s">
        <v>57</v>
      </c>
      <c r="S3147">
        <v>7</v>
      </c>
      <c r="T3147">
        <v>298</v>
      </c>
      <c r="U3147" s="1">
        <v>38985</v>
      </c>
      <c r="V3147" t="s">
        <v>5644</v>
      </c>
      <c r="W3147" t="s">
        <v>5645</v>
      </c>
      <c r="X3147" t="s">
        <v>58</v>
      </c>
      <c r="Y3147">
        <v>20</v>
      </c>
      <c r="Z3147" t="s">
        <v>59</v>
      </c>
      <c r="AA3147" t="s">
        <v>59</v>
      </c>
      <c r="AB3147" t="s">
        <v>59</v>
      </c>
      <c r="AC3147" t="s">
        <v>59</v>
      </c>
      <c r="AD3147" t="s">
        <v>59</v>
      </c>
      <c r="AF3147" s="1">
        <v>38985</v>
      </c>
      <c r="AG3147" t="s">
        <v>125</v>
      </c>
      <c r="AH3147" t="s">
        <v>294</v>
      </c>
      <c r="AI3147" t="str">
        <f>"4101045"</f>
        <v>4101045</v>
      </c>
      <c r="AJ3147" t="s">
        <v>5677</v>
      </c>
      <c r="AK3147">
        <v>2831027553</v>
      </c>
      <c r="AL3147" t="s">
        <v>5678</v>
      </c>
      <c r="AM3147" t="s">
        <v>64</v>
      </c>
      <c r="AN3147" t="s">
        <v>65</v>
      </c>
      <c r="AO3147" t="s">
        <v>65</v>
      </c>
      <c r="AP3147" t="s">
        <v>65</v>
      </c>
      <c r="AQ3147">
        <v>1</v>
      </c>
      <c r="AR3147" t="s">
        <v>5644</v>
      </c>
      <c r="AS3147" t="s">
        <v>5645</v>
      </c>
      <c r="AT3147" t="s">
        <v>58</v>
      </c>
      <c r="AU3147" t="s">
        <v>68</v>
      </c>
      <c r="AV3147" t="s">
        <v>69</v>
      </c>
      <c r="AW3147" s="1">
        <v>23412</v>
      </c>
      <c r="AX3147">
        <v>2</v>
      </c>
    </row>
    <row r="3148" spans="1:50">
      <c r="B3148" t="str">
        <f>"105281400"</f>
        <v>105281400</v>
      </c>
      <c r="C3148" t="s">
        <v>50</v>
      </c>
      <c r="D3148" t="s">
        <v>6217</v>
      </c>
      <c r="E3148" t="s">
        <v>529</v>
      </c>
      <c r="F3148" t="s">
        <v>6218</v>
      </c>
      <c r="G3148" t="s">
        <v>221</v>
      </c>
      <c r="H3148" t="str">
        <f>"ΒΙΟΛΙ ΧΑΡΑΚΙ  ΡΕΘΥΜΝΟ"</f>
        <v>ΒΙΟΛΙ ΧΑΡΑΚΙ  ΡΕΘΥΜΝΟ</v>
      </c>
      <c r="I3148">
        <v>74100</v>
      </c>
      <c r="J3148">
        <v>2831050412</v>
      </c>
      <c r="K3148">
        <v>6978441345</v>
      </c>
      <c r="N3148" t="s">
        <v>146</v>
      </c>
      <c r="O3148" t="s">
        <v>147</v>
      </c>
      <c r="R3148" t="s">
        <v>121</v>
      </c>
      <c r="S3148">
        <v>1</v>
      </c>
      <c r="T3148" t="s">
        <v>416</v>
      </c>
      <c r="U3148" s="1">
        <v>43349</v>
      </c>
      <c r="V3148" t="s">
        <v>5644</v>
      </c>
      <c r="W3148" t="s">
        <v>5645</v>
      </c>
      <c r="X3148" t="s">
        <v>58</v>
      </c>
      <c r="Y3148">
        <v>23</v>
      </c>
      <c r="Z3148" t="s">
        <v>59</v>
      </c>
      <c r="AA3148" t="s">
        <v>59</v>
      </c>
      <c r="AB3148" t="s">
        <v>59</v>
      </c>
      <c r="AC3148" t="s">
        <v>59</v>
      </c>
      <c r="AD3148" t="s">
        <v>59</v>
      </c>
      <c r="AF3148" s="1">
        <v>43349</v>
      </c>
      <c r="AG3148" t="s">
        <v>148</v>
      </c>
      <c r="AH3148" t="s">
        <v>149</v>
      </c>
      <c r="AI3148" t="str">
        <f>"4154010"</f>
        <v>4154010</v>
      </c>
      <c r="AJ3148" t="s">
        <v>5687</v>
      </c>
      <c r="AK3148">
        <v>2834023300</v>
      </c>
      <c r="AL3148" t="s">
        <v>5688</v>
      </c>
      <c r="AM3148" t="s">
        <v>64</v>
      </c>
      <c r="AN3148" t="s">
        <v>5672</v>
      </c>
      <c r="AO3148" t="s">
        <v>5673</v>
      </c>
      <c r="AP3148" t="s">
        <v>5689</v>
      </c>
      <c r="AQ3148">
        <v>2</v>
      </c>
      <c r="AR3148" t="s">
        <v>5644</v>
      </c>
      <c r="AS3148" t="s">
        <v>5645</v>
      </c>
      <c r="AT3148" t="s">
        <v>58</v>
      </c>
      <c r="AU3148" t="s">
        <v>419</v>
      </c>
      <c r="AV3148" t="s">
        <v>132</v>
      </c>
      <c r="AW3148" s="1">
        <v>29849</v>
      </c>
      <c r="AX3148">
        <v>2</v>
      </c>
    </row>
    <row r="3149" spans="1:50">
      <c r="A3149">
        <v>220750</v>
      </c>
      <c r="B3149" t="str">
        <f>"119692064"</f>
        <v>119692064</v>
      </c>
      <c r="C3149" t="s">
        <v>50</v>
      </c>
      <c r="D3149" t="s">
        <v>5093</v>
      </c>
      <c r="E3149" t="s">
        <v>460</v>
      </c>
      <c r="F3149" t="s">
        <v>154</v>
      </c>
      <c r="G3149" t="s">
        <v>314</v>
      </c>
      <c r="H3149" t="str">
        <f>"Γ. ΑΝΔΡΟΥΛΙΔΑΚΗ 42 ΡΕΘΥΜΝΟ"</f>
        <v>Γ. ΑΝΔΡΟΥΛΙΔΑΚΗ 42 ΡΕΘΥΜΝΟ</v>
      </c>
      <c r="I3149">
        <v>74100</v>
      </c>
      <c r="J3149">
        <v>2831401633</v>
      </c>
      <c r="K3149">
        <v>6936746478</v>
      </c>
      <c r="N3149" t="s">
        <v>288</v>
      </c>
      <c r="O3149" t="s">
        <v>289</v>
      </c>
      <c r="R3149" t="s">
        <v>57</v>
      </c>
      <c r="S3149">
        <v>7</v>
      </c>
      <c r="T3149">
        <v>681</v>
      </c>
      <c r="U3149" s="1">
        <v>39325</v>
      </c>
      <c r="V3149" t="s">
        <v>5644</v>
      </c>
      <c r="W3149" t="s">
        <v>5645</v>
      </c>
      <c r="X3149" t="s">
        <v>58</v>
      </c>
      <c r="Y3149">
        <v>21</v>
      </c>
      <c r="Z3149" t="s">
        <v>59</v>
      </c>
      <c r="AA3149" t="s">
        <v>59</v>
      </c>
      <c r="AB3149" t="s">
        <v>59</v>
      </c>
      <c r="AC3149" t="s">
        <v>59</v>
      </c>
      <c r="AD3149" t="s">
        <v>59</v>
      </c>
      <c r="AF3149" s="1">
        <v>39330</v>
      </c>
      <c r="AG3149" t="s">
        <v>125</v>
      </c>
      <c r="AH3149" t="s">
        <v>294</v>
      </c>
      <c r="AI3149" t="str">
        <f>"4101045"</f>
        <v>4101045</v>
      </c>
      <c r="AJ3149" t="s">
        <v>5677</v>
      </c>
      <c r="AK3149">
        <v>2831027553</v>
      </c>
      <c r="AL3149" t="s">
        <v>5678</v>
      </c>
      <c r="AM3149" t="s">
        <v>64</v>
      </c>
      <c r="AN3149" t="s">
        <v>65</v>
      </c>
      <c r="AO3149" t="s">
        <v>65</v>
      </c>
      <c r="AP3149" t="s">
        <v>65</v>
      </c>
      <c r="AQ3149">
        <v>1</v>
      </c>
      <c r="AR3149" t="s">
        <v>5644</v>
      </c>
      <c r="AS3149" t="s">
        <v>5645</v>
      </c>
      <c r="AT3149" t="s">
        <v>58</v>
      </c>
      <c r="AU3149" t="s">
        <v>68</v>
      </c>
      <c r="AV3149" t="s">
        <v>69</v>
      </c>
      <c r="AW3149" s="1">
        <v>28659</v>
      </c>
      <c r="AX3149">
        <v>2</v>
      </c>
    </row>
    <row r="3150" spans="1:50">
      <c r="B3150" t="str">
        <f>"047912760"</f>
        <v>047912760</v>
      </c>
      <c r="C3150" t="s">
        <v>50</v>
      </c>
      <c r="D3150" t="s">
        <v>102</v>
      </c>
      <c r="E3150" t="s">
        <v>237</v>
      </c>
      <c r="F3150" t="s">
        <v>106</v>
      </c>
      <c r="G3150" t="s">
        <v>52</v>
      </c>
      <c r="H3150" t="str">
        <f>"ΑΣΚΟΥΤΣΗ 74 ΡΕΘΥΜΝΟ"</f>
        <v>ΑΣΚΟΥΤΣΗ 74 ΡΕΘΥΜΝΟ</v>
      </c>
      <c r="I3150">
        <v>74100</v>
      </c>
      <c r="J3150">
        <v>2831028992</v>
      </c>
      <c r="K3150">
        <v>6937943305</v>
      </c>
      <c r="M3150" t="s">
        <v>6219</v>
      </c>
      <c r="N3150" t="s">
        <v>292</v>
      </c>
      <c r="O3150" t="s">
        <v>293</v>
      </c>
      <c r="R3150" t="s">
        <v>159</v>
      </c>
      <c r="S3150">
        <v>4</v>
      </c>
      <c r="T3150" t="s">
        <v>416</v>
      </c>
      <c r="U3150" s="1">
        <v>43349</v>
      </c>
      <c r="V3150" t="s">
        <v>5644</v>
      </c>
      <c r="W3150" t="s">
        <v>5645</v>
      </c>
      <c r="X3150" t="s">
        <v>58</v>
      </c>
      <c r="Y3150">
        <v>21</v>
      </c>
      <c r="Z3150" t="s">
        <v>59</v>
      </c>
      <c r="AA3150" t="s">
        <v>59</v>
      </c>
      <c r="AB3150" t="s">
        <v>59</v>
      </c>
      <c r="AC3150" t="s">
        <v>59</v>
      </c>
      <c r="AD3150" t="s">
        <v>59</v>
      </c>
      <c r="AF3150" s="1">
        <v>43349</v>
      </c>
      <c r="AG3150" t="s">
        <v>148</v>
      </c>
      <c r="AH3150" t="s">
        <v>149</v>
      </c>
      <c r="AI3150" t="str">
        <f>"4151030"</f>
        <v>4151030</v>
      </c>
      <c r="AJ3150" t="s">
        <v>5681</v>
      </c>
      <c r="AK3150">
        <v>2831023422</v>
      </c>
      <c r="AL3150" t="s">
        <v>5682</v>
      </c>
      <c r="AM3150" t="s">
        <v>64</v>
      </c>
      <c r="AN3150" t="s">
        <v>65</v>
      </c>
      <c r="AO3150" t="s">
        <v>65</v>
      </c>
      <c r="AP3150" t="s">
        <v>65</v>
      </c>
      <c r="AQ3150">
        <v>1</v>
      </c>
      <c r="AR3150" t="s">
        <v>5644</v>
      </c>
      <c r="AS3150" t="s">
        <v>5645</v>
      </c>
      <c r="AT3150" t="s">
        <v>58</v>
      </c>
      <c r="AU3150" t="s">
        <v>419</v>
      </c>
      <c r="AV3150" t="s">
        <v>132</v>
      </c>
      <c r="AW3150" s="1">
        <v>27070</v>
      </c>
      <c r="AX3150">
        <v>2</v>
      </c>
    </row>
    <row r="3151" spans="1:50">
      <c r="B3151" t="str">
        <f>"118923371"</f>
        <v>118923371</v>
      </c>
      <c r="C3151" t="s">
        <v>50</v>
      </c>
      <c r="D3151" t="s">
        <v>102</v>
      </c>
      <c r="E3151" t="s">
        <v>263</v>
      </c>
      <c r="F3151" t="s">
        <v>106</v>
      </c>
      <c r="G3151" t="s">
        <v>52</v>
      </c>
      <c r="H3151" t="str">
        <f>"Ν. Ασκούτση 74 Ρέθυμνο"</f>
        <v>Ν. Ασκούτση 74 Ρέθυμνο</v>
      </c>
      <c r="I3151">
        <v>74100</v>
      </c>
      <c r="J3151">
        <v>2831028992</v>
      </c>
      <c r="K3151">
        <v>6939102061</v>
      </c>
      <c r="M3151" t="s">
        <v>6220</v>
      </c>
      <c r="N3151" t="s">
        <v>299</v>
      </c>
      <c r="O3151" t="s">
        <v>300</v>
      </c>
      <c r="R3151" t="s">
        <v>159</v>
      </c>
      <c r="S3151">
        <v>3</v>
      </c>
      <c r="T3151" t="s">
        <v>574</v>
      </c>
      <c r="U3151" s="1">
        <v>43378</v>
      </c>
      <c r="V3151" t="s">
        <v>5644</v>
      </c>
      <c r="W3151" t="s">
        <v>5645</v>
      </c>
      <c r="X3151" t="s">
        <v>58</v>
      </c>
      <c r="Y3151">
        <v>23</v>
      </c>
      <c r="Z3151" t="s">
        <v>59</v>
      </c>
      <c r="AA3151" t="s">
        <v>59</v>
      </c>
      <c r="AB3151" t="s">
        <v>59</v>
      </c>
      <c r="AC3151" t="s">
        <v>59</v>
      </c>
      <c r="AD3151" t="s">
        <v>59</v>
      </c>
      <c r="AF3151" s="1">
        <v>43381</v>
      </c>
      <c r="AG3151" t="s">
        <v>125</v>
      </c>
      <c r="AH3151" t="s">
        <v>126</v>
      </c>
      <c r="AI3151" t="str">
        <f>"4101040"</f>
        <v>4101040</v>
      </c>
      <c r="AJ3151" t="s">
        <v>5732</v>
      </c>
      <c r="AK3151">
        <v>2831029261</v>
      </c>
      <c r="AL3151" t="s">
        <v>5733</v>
      </c>
      <c r="AM3151" t="s">
        <v>64</v>
      </c>
      <c r="AN3151" t="s">
        <v>65</v>
      </c>
      <c r="AO3151" t="s">
        <v>65</v>
      </c>
      <c r="AP3151" t="s">
        <v>65</v>
      </c>
      <c r="AQ3151">
        <v>1</v>
      </c>
      <c r="AR3151" t="s">
        <v>5644</v>
      </c>
      <c r="AS3151" t="s">
        <v>5645</v>
      </c>
      <c r="AT3151" t="s">
        <v>58</v>
      </c>
      <c r="AU3151" t="s">
        <v>164</v>
      </c>
      <c r="AV3151" t="s">
        <v>132</v>
      </c>
      <c r="AW3151" s="1">
        <v>28031</v>
      </c>
      <c r="AX3151">
        <v>2</v>
      </c>
    </row>
    <row r="3152" spans="1:50">
      <c r="A3152">
        <v>224455</v>
      </c>
      <c r="B3152" t="str">
        <f>"103831916"</f>
        <v>103831916</v>
      </c>
      <c r="C3152" t="s">
        <v>50</v>
      </c>
      <c r="D3152" t="s">
        <v>102</v>
      </c>
      <c r="E3152" t="s">
        <v>367</v>
      </c>
      <c r="F3152" t="s">
        <v>72</v>
      </c>
      <c r="G3152" t="s">
        <v>5556</v>
      </c>
      <c r="H3152" t="str">
        <f>"ΤΣΙΜΙΣΚΗ 7 ΗΡΑΚΛΕΙΟ"</f>
        <v>ΤΣΙΜΙΣΚΗ 7 ΗΡΑΚΛΕΙΟ</v>
      </c>
      <c r="I3152">
        <v>71307</v>
      </c>
      <c r="J3152">
        <v>2810261024</v>
      </c>
      <c r="K3152">
        <v>6973314162</v>
      </c>
      <c r="M3152" t="s">
        <v>6221</v>
      </c>
      <c r="N3152" t="s">
        <v>288</v>
      </c>
      <c r="O3152" t="s">
        <v>289</v>
      </c>
      <c r="R3152" t="s">
        <v>57</v>
      </c>
      <c r="S3152">
        <v>7</v>
      </c>
      <c r="T3152">
        <v>775</v>
      </c>
      <c r="U3152" s="1">
        <v>39680</v>
      </c>
      <c r="V3152" t="s">
        <v>5644</v>
      </c>
      <c r="W3152" t="s">
        <v>5645</v>
      </c>
      <c r="X3152" t="s">
        <v>58</v>
      </c>
      <c r="Y3152">
        <v>21</v>
      </c>
      <c r="Z3152" t="s">
        <v>59</v>
      </c>
      <c r="AA3152" t="s">
        <v>59</v>
      </c>
      <c r="AB3152" t="s">
        <v>59</v>
      </c>
      <c r="AC3152" t="s">
        <v>59</v>
      </c>
      <c r="AD3152" t="s">
        <v>59</v>
      </c>
      <c r="AF3152" s="1">
        <v>39680</v>
      </c>
      <c r="AG3152" t="s">
        <v>125</v>
      </c>
      <c r="AH3152" t="s">
        <v>126</v>
      </c>
      <c r="AI3152" t="str">
        <f>"4103010"</f>
        <v>4103010</v>
      </c>
      <c r="AJ3152" t="s">
        <v>5684</v>
      </c>
      <c r="AK3152">
        <v>2834051206</v>
      </c>
      <c r="AL3152" t="s">
        <v>5685</v>
      </c>
      <c r="AM3152" t="s">
        <v>64</v>
      </c>
      <c r="AN3152" t="s">
        <v>5672</v>
      </c>
      <c r="AO3152" t="s">
        <v>5673</v>
      </c>
      <c r="AP3152" t="s">
        <v>5674</v>
      </c>
      <c r="AQ3152">
        <v>2</v>
      </c>
      <c r="AR3152" t="s">
        <v>5644</v>
      </c>
      <c r="AS3152" t="s">
        <v>5645</v>
      </c>
      <c r="AT3152" t="s">
        <v>58</v>
      </c>
      <c r="AU3152" t="s">
        <v>68</v>
      </c>
      <c r="AV3152" t="s">
        <v>69</v>
      </c>
      <c r="AW3152" s="1">
        <v>29150</v>
      </c>
      <c r="AX3152">
        <v>2</v>
      </c>
    </row>
    <row r="3153" spans="1:50">
      <c r="A3153">
        <v>203581</v>
      </c>
      <c r="B3153" t="str">
        <f>"042432820"</f>
        <v>042432820</v>
      </c>
      <c r="C3153" t="s">
        <v>105</v>
      </c>
      <c r="D3153" t="s">
        <v>6222</v>
      </c>
      <c r="E3153" t="s">
        <v>72</v>
      </c>
      <c r="F3153" t="s">
        <v>53</v>
      </c>
      <c r="G3153" t="s">
        <v>52</v>
      </c>
      <c r="H3153" t="str">
        <f>"ΙΟΥΛΙΕΤΑΣ ΑΔΑΜ 6 ΤΡΙΚΑΛΑ"</f>
        <v>ΙΟΥΛΙΕΤΑΣ ΑΔΑΜ 6 ΤΡΙΚΑΛΑ</v>
      </c>
      <c r="I3153">
        <v>42100</v>
      </c>
      <c r="K3153">
        <v>6974658220</v>
      </c>
      <c r="M3153" t="s">
        <v>6223</v>
      </c>
      <c r="N3153" t="s">
        <v>683</v>
      </c>
      <c r="O3153" t="s">
        <v>684</v>
      </c>
      <c r="R3153" t="s">
        <v>57</v>
      </c>
      <c r="S3153">
        <v>8</v>
      </c>
      <c r="T3153">
        <v>231</v>
      </c>
      <c r="U3153" s="1">
        <v>38230</v>
      </c>
      <c r="V3153" t="s">
        <v>5644</v>
      </c>
      <c r="W3153" t="s">
        <v>5645</v>
      </c>
      <c r="X3153" t="s">
        <v>58</v>
      </c>
      <c r="Y3153">
        <v>20</v>
      </c>
      <c r="Z3153" t="s">
        <v>59</v>
      </c>
      <c r="AA3153" t="s">
        <v>59</v>
      </c>
      <c r="AB3153" t="s">
        <v>59</v>
      </c>
      <c r="AC3153" t="s">
        <v>59</v>
      </c>
      <c r="AD3153" t="s">
        <v>59</v>
      </c>
      <c r="AF3153" s="1">
        <v>38230</v>
      </c>
      <c r="AG3153" t="s">
        <v>125</v>
      </c>
      <c r="AH3153" t="s">
        <v>126</v>
      </c>
      <c r="AI3153" t="str">
        <f>"4101020"</f>
        <v>4101020</v>
      </c>
      <c r="AJ3153" t="s">
        <v>5652</v>
      </c>
      <c r="AK3153">
        <v>2831023560</v>
      </c>
      <c r="AL3153" t="s">
        <v>5653</v>
      </c>
      <c r="AM3153" t="s">
        <v>64</v>
      </c>
      <c r="AN3153" t="s">
        <v>65</v>
      </c>
      <c r="AO3153" t="s">
        <v>65</v>
      </c>
      <c r="AP3153" t="s">
        <v>65</v>
      </c>
      <c r="AQ3153">
        <v>1</v>
      </c>
      <c r="AR3153" t="s">
        <v>5644</v>
      </c>
      <c r="AS3153" t="s">
        <v>5645</v>
      </c>
      <c r="AT3153" t="s">
        <v>58</v>
      </c>
      <c r="AU3153" t="s">
        <v>68</v>
      </c>
      <c r="AV3153" t="s">
        <v>132</v>
      </c>
      <c r="AW3153" s="1">
        <v>21643</v>
      </c>
      <c r="AX3153">
        <v>2</v>
      </c>
    </row>
    <row r="3154" spans="1:50">
      <c r="A3154">
        <v>156646</v>
      </c>
      <c r="B3154" t="str">
        <f>"026355372"</f>
        <v>026355372</v>
      </c>
      <c r="C3154" t="s">
        <v>105</v>
      </c>
      <c r="D3154" t="s">
        <v>6224</v>
      </c>
      <c r="E3154" t="s">
        <v>95</v>
      </c>
      <c r="F3154" t="s">
        <v>166</v>
      </c>
      <c r="G3154" t="s">
        <v>237</v>
      </c>
      <c r="H3154" t="str">
        <f>"ΑΧΕΛΗ 5 "</f>
        <v xml:space="preserve">ΑΧΕΛΗ 5 </v>
      </c>
      <c r="I3154">
        <v>74133</v>
      </c>
      <c r="J3154">
        <v>2831027128</v>
      </c>
      <c r="K3154">
        <v>6974158366</v>
      </c>
      <c r="N3154" t="s">
        <v>292</v>
      </c>
      <c r="O3154" t="s">
        <v>293</v>
      </c>
      <c r="R3154" t="s">
        <v>57</v>
      </c>
      <c r="S3154">
        <v>16</v>
      </c>
      <c r="T3154">
        <v>188</v>
      </c>
      <c r="U3154" s="1">
        <v>32752</v>
      </c>
      <c r="V3154" t="s">
        <v>5644</v>
      </c>
      <c r="W3154" t="s">
        <v>5645</v>
      </c>
      <c r="X3154" t="s">
        <v>58</v>
      </c>
      <c r="Y3154">
        <v>18</v>
      </c>
      <c r="Z3154" t="s">
        <v>59</v>
      </c>
      <c r="AA3154" t="s">
        <v>59</v>
      </c>
      <c r="AB3154" t="s">
        <v>59</v>
      </c>
      <c r="AC3154" t="s">
        <v>59</v>
      </c>
      <c r="AD3154" t="s">
        <v>59</v>
      </c>
      <c r="AF3154" s="1">
        <v>32752</v>
      </c>
      <c r="AG3154" t="s">
        <v>125</v>
      </c>
      <c r="AH3154" t="s">
        <v>126</v>
      </c>
      <c r="AI3154" t="str">
        <f>"4101040"</f>
        <v>4101040</v>
      </c>
      <c r="AJ3154" t="s">
        <v>5732</v>
      </c>
      <c r="AK3154">
        <v>2831029261</v>
      </c>
      <c r="AL3154" t="s">
        <v>5733</v>
      </c>
      <c r="AM3154" t="s">
        <v>64</v>
      </c>
      <c r="AN3154" t="s">
        <v>65</v>
      </c>
      <c r="AO3154" t="s">
        <v>65</v>
      </c>
      <c r="AP3154" t="s">
        <v>65</v>
      </c>
      <c r="AQ3154">
        <v>1</v>
      </c>
      <c r="AR3154" t="s">
        <v>5644</v>
      </c>
      <c r="AS3154" t="s">
        <v>5645</v>
      </c>
      <c r="AT3154" t="s">
        <v>58</v>
      </c>
      <c r="AU3154" t="s">
        <v>68</v>
      </c>
      <c r="AV3154" t="s">
        <v>69</v>
      </c>
      <c r="AW3154" s="1">
        <v>20890</v>
      </c>
      <c r="AX3154">
        <v>2</v>
      </c>
    </row>
    <row r="3155" spans="1:50">
      <c r="A3155">
        <v>189397</v>
      </c>
      <c r="B3155" t="str">
        <f>"106158120"</f>
        <v>106158120</v>
      </c>
      <c r="C3155" t="s">
        <v>50</v>
      </c>
      <c r="D3155" t="s">
        <v>6225</v>
      </c>
      <c r="E3155" t="s">
        <v>109</v>
      </c>
      <c r="F3155" t="s">
        <v>154</v>
      </c>
      <c r="G3155" t="s">
        <v>484</v>
      </c>
      <c r="H3155" t="str">
        <f>"Αγία Τριάδα ΡΕΘΥΜΝΟ"</f>
        <v>Αγία Τριάδα ΡΕΘΥΜΝΟ</v>
      </c>
      <c r="I3155">
        <v>74100</v>
      </c>
      <c r="K3155">
        <v>6978442282</v>
      </c>
      <c r="M3155" t="s">
        <v>6226</v>
      </c>
      <c r="N3155" t="s">
        <v>146</v>
      </c>
      <c r="O3155" t="s">
        <v>147</v>
      </c>
      <c r="R3155" t="s">
        <v>57</v>
      </c>
      <c r="S3155">
        <v>10</v>
      </c>
      <c r="T3155">
        <v>219</v>
      </c>
      <c r="U3155" s="1">
        <v>37134</v>
      </c>
      <c r="V3155" t="s">
        <v>5644</v>
      </c>
      <c r="W3155" t="s">
        <v>5645</v>
      </c>
      <c r="X3155" t="s">
        <v>58</v>
      </c>
      <c r="Y3155">
        <v>20</v>
      </c>
      <c r="Z3155" t="s">
        <v>59</v>
      </c>
      <c r="AA3155" t="s">
        <v>59</v>
      </c>
      <c r="AB3155" t="s">
        <v>59</v>
      </c>
      <c r="AC3155" t="s">
        <v>59</v>
      </c>
      <c r="AD3155" t="s">
        <v>59</v>
      </c>
      <c r="AF3155" s="1">
        <v>37138</v>
      </c>
      <c r="AG3155" t="s">
        <v>148</v>
      </c>
      <c r="AH3155" t="s">
        <v>149</v>
      </c>
      <c r="AI3155" t="str">
        <f>"4151030"</f>
        <v>4151030</v>
      </c>
      <c r="AJ3155" t="s">
        <v>5681</v>
      </c>
      <c r="AK3155">
        <v>2831023422</v>
      </c>
      <c r="AL3155" t="s">
        <v>5682</v>
      </c>
      <c r="AM3155" t="s">
        <v>64</v>
      </c>
      <c r="AN3155" t="s">
        <v>65</v>
      </c>
      <c r="AO3155" t="s">
        <v>65</v>
      </c>
      <c r="AP3155" t="s">
        <v>65</v>
      </c>
      <c r="AQ3155">
        <v>1</v>
      </c>
      <c r="AR3155" t="s">
        <v>5644</v>
      </c>
      <c r="AS3155" t="s">
        <v>5645</v>
      </c>
      <c r="AT3155" t="s">
        <v>58</v>
      </c>
      <c r="AU3155" t="s">
        <v>68</v>
      </c>
      <c r="AV3155" t="s">
        <v>69</v>
      </c>
      <c r="AW3155" s="1">
        <v>27497</v>
      </c>
      <c r="AX3155">
        <v>2</v>
      </c>
    </row>
    <row r="3156" spans="1:50">
      <c r="A3156">
        <v>703781</v>
      </c>
      <c r="B3156" t="str">
        <f>"114566311"</f>
        <v>114566311</v>
      </c>
      <c r="C3156" t="s">
        <v>50</v>
      </c>
      <c r="D3156" t="s">
        <v>6227</v>
      </c>
      <c r="E3156" t="s">
        <v>83</v>
      </c>
      <c r="F3156" t="s">
        <v>53</v>
      </c>
      <c r="G3156" t="s">
        <v>191</v>
      </c>
      <c r="H3156" t="str">
        <f>"Ζ. ΠΗΓΗΣ 22 ΗΡΑΚΛΕΙΟ"</f>
        <v>Ζ. ΠΗΓΗΣ 22 ΗΡΑΚΛΕΙΟ</v>
      </c>
      <c r="I3156">
        <v>71307</v>
      </c>
      <c r="J3156">
        <v>2810222163</v>
      </c>
      <c r="K3156">
        <v>6977672910</v>
      </c>
      <c r="L3156">
        <v>6977672910</v>
      </c>
      <c r="N3156" t="s">
        <v>168</v>
      </c>
      <c r="O3156" t="s">
        <v>169</v>
      </c>
      <c r="R3156" t="s">
        <v>57</v>
      </c>
      <c r="S3156">
        <v>4</v>
      </c>
      <c r="T3156">
        <v>225</v>
      </c>
      <c r="U3156" s="1">
        <v>41695</v>
      </c>
      <c r="V3156" t="s">
        <v>5644</v>
      </c>
      <c r="W3156" t="s">
        <v>5645</v>
      </c>
      <c r="X3156" t="s">
        <v>58</v>
      </c>
      <c r="Y3156">
        <v>21</v>
      </c>
      <c r="Z3156" t="s">
        <v>59</v>
      </c>
      <c r="AA3156" t="s">
        <v>59</v>
      </c>
      <c r="AB3156" t="s">
        <v>59</v>
      </c>
      <c r="AC3156" t="s">
        <v>59</v>
      </c>
      <c r="AD3156" t="s">
        <v>59</v>
      </c>
      <c r="AF3156" s="1">
        <v>41695</v>
      </c>
      <c r="AG3156" t="s">
        <v>137</v>
      </c>
      <c r="AH3156" t="s">
        <v>138</v>
      </c>
      <c r="AI3156" t="str">
        <f>"4150040"</f>
        <v>4150040</v>
      </c>
      <c r="AJ3156" t="s">
        <v>5661</v>
      </c>
      <c r="AK3156">
        <v>2831029048</v>
      </c>
      <c r="AL3156" t="s">
        <v>5662</v>
      </c>
      <c r="AM3156" t="s">
        <v>64</v>
      </c>
      <c r="AN3156" t="s">
        <v>65</v>
      </c>
      <c r="AO3156" t="s">
        <v>65</v>
      </c>
      <c r="AP3156" t="s">
        <v>65</v>
      </c>
      <c r="AQ3156">
        <v>1</v>
      </c>
      <c r="AR3156" t="s">
        <v>5644</v>
      </c>
      <c r="AS3156" t="s">
        <v>5645</v>
      </c>
      <c r="AT3156" t="s">
        <v>58</v>
      </c>
      <c r="AU3156" t="s">
        <v>68</v>
      </c>
      <c r="AV3156" t="s">
        <v>69</v>
      </c>
      <c r="AW3156" s="1">
        <v>28491</v>
      </c>
      <c r="AX3156">
        <v>2</v>
      </c>
    </row>
    <row r="3157" spans="1:50">
      <c r="A3157">
        <v>178127</v>
      </c>
      <c r="B3157" t="str">
        <f>"044168132"</f>
        <v>044168132</v>
      </c>
      <c r="C3157" t="s">
        <v>105</v>
      </c>
      <c r="D3157" t="s">
        <v>6228</v>
      </c>
      <c r="E3157" t="s">
        <v>84</v>
      </c>
      <c r="F3157" t="s">
        <v>564</v>
      </c>
      <c r="G3157" t="s">
        <v>71</v>
      </c>
      <c r="H3157" t="str">
        <f>"ΒΙΟΛΙ ΧΑΡΑΚΙ ΑΤΣΙΠΟΠΟΥΛΟ"</f>
        <v>ΒΙΟΛΙ ΧΑΡΑΚΙ ΑΤΣΙΠΟΠΟΥΛΟ</v>
      </c>
      <c r="I3157">
        <v>74100</v>
      </c>
      <c r="K3157">
        <v>6945897590</v>
      </c>
      <c r="N3157" t="s">
        <v>204</v>
      </c>
      <c r="O3157" t="s">
        <v>205</v>
      </c>
      <c r="P3157" t="s">
        <v>292</v>
      </c>
      <c r="Q3157" t="s">
        <v>293</v>
      </c>
      <c r="R3157" t="s">
        <v>57</v>
      </c>
      <c r="S3157">
        <v>11</v>
      </c>
      <c r="T3157">
        <v>180</v>
      </c>
      <c r="U3157" s="1">
        <v>35674</v>
      </c>
      <c r="V3157" t="s">
        <v>5644</v>
      </c>
      <c r="W3157" t="s">
        <v>5645</v>
      </c>
      <c r="X3157" t="s">
        <v>58</v>
      </c>
      <c r="Y3157">
        <v>18</v>
      </c>
      <c r="Z3157" t="s">
        <v>59</v>
      </c>
      <c r="AA3157" t="s">
        <v>59</v>
      </c>
      <c r="AB3157" t="s">
        <v>59</v>
      </c>
      <c r="AC3157" t="s">
        <v>59</v>
      </c>
      <c r="AD3157" t="s">
        <v>59</v>
      </c>
      <c r="AF3157" s="1">
        <v>35678</v>
      </c>
      <c r="AG3157" t="s">
        <v>137</v>
      </c>
      <c r="AH3157" t="s">
        <v>138</v>
      </c>
      <c r="AI3157" t="str">
        <f>"4150040"</f>
        <v>4150040</v>
      </c>
      <c r="AJ3157" t="s">
        <v>5661</v>
      </c>
      <c r="AK3157">
        <v>2831029048</v>
      </c>
      <c r="AL3157" t="s">
        <v>5662</v>
      </c>
      <c r="AM3157" t="s">
        <v>64</v>
      </c>
      <c r="AN3157" t="s">
        <v>65</v>
      </c>
      <c r="AO3157" t="s">
        <v>65</v>
      </c>
      <c r="AP3157" t="s">
        <v>65</v>
      </c>
      <c r="AQ3157">
        <v>1</v>
      </c>
      <c r="AR3157" t="s">
        <v>5644</v>
      </c>
      <c r="AS3157" t="s">
        <v>5645</v>
      </c>
      <c r="AT3157" t="s">
        <v>58</v>
      </c>
      <c r="AU3157" t="s">
        <v>68</v>
      </c>
      <c r="AV3157" t="s">
        <v>69</v>
      </c>
      <c r="AW3157" s="1">
        <v>23047</v>
      </c>
      <c r="AX3157">
        <v>2</v>
      </c>
    </row>
    <row r="3158" spans="1:50">
      <c r="A3158">
        <v>210227</v>
      </c>
      <c r="B3158" t="str">
        <f>"028881994"</f>
        <v>028881994</v>
      </c>
      <c r="C3158" t="s">
        <v>50</v>
      </c>
      <c r="D3158" t="s">
        <v>6229</v>
      </c>
      <c r="E3158" t="s">
        <v>476</v>
      </c>
      <c r="F3158" t="s">
        <v>995</v>
      </c>
      <c r="G3158" t="s">
        <v>191</v>
      </c>
      <c r="H3158" t="str">
        <f>"ΕΦΕΣΟΥ 49-51 ΝΕΑ ΣΜΥΡΝΗ"</f>
        <v>ΕΦΕΣΟΥ 49-51 ΝΕΑ ΣΜΥΡΝΗ</v>
      </c>
      <c r="I3158">
        <v>17121</v>
      </c>
      <c r="J3158">
        <v>2109340471</v>
      </c>
      <c r="K3158">
        <v>6974768668</v>
      </c>
      <c r="M3158" t="s">
        <v>6230</v>
      </c>
      <c r="N3158" t="s">
        <v>683</v>
      </c>
      <c r="O3158" t="s">
        <v>684</v>
      </c>
      <c r="R3158" t="s">
        <v>57</v>
      </c>
      <c r="S3158">
        <v>8</v>
      </c>
      <c r="T3158">
        <v>235</v>
      </c>
      <c r="U3158" s="1">
        <v>38611</v>
      </c>
      <c r="V3158" t="s">
        <v>5644</v>
      </c>
      <c r="W3158" t="s">
        <v>5645</v>
      </c>
      <c r="X3158" t="s">
        <v>58</v>
      </c>
      <c r="Y3158">
        <v>21</v>
      </c>
      <c r="Z3158" t="s">
        <v>59</v>
      </c>
      <c r="AA3158" t="s">
        <v>59</v>
      </c>
      <c r="AB3158" t="s">
        <v>59</v>
      </c>
      <c r="AC3158" t="s">
        <v>59</v>
      </c>
      <c r="AD3158" t="s">
        <v>59</v>
      </c>
      <c r="AF3158" s="1">
        <v>38611</v>
      </c>
      <c r="AG3158" t="s">
        <v>125</v>
      </c>
      <c r="AH3158" t="s">
        <v>126</v>
      </c>
      <c r="AI3158" t="str">
        <f>"4102020"</f>
        <v>4102020</v>
      </c>
      <c r="AJ3158" t="s">
        <v>5761</v>
      </c>
      <c r="AK3158">
        <v>2831061491</v>
      </c>
      <c r="AL3158" t="s">
        <v>5762</v>
      </c>
      <c r="AM3158" t="s">
        <v>64</v>
      </c>
      <c r="AN3158" t="s">
        <v>65</v>
      </c>
      <c r="AO3158" t="s">
        <v>5657</v>
      </c>
      <c r="AP3158" t="s">
        <v>1437</v>
      </c>
      <c r="AQ3158">
        <v>1</v>
      </c>
      <c r="AR3158" t="s">
        <v>5644</v>
      </c>
      <c r="AS3158" t="s">
        <v>5645</v>
      </c>
      <c r="AT3158" t="s">
        <v>58</v>
      </c>
      <c r="AU3158" t="s">
        <v>68</v>
      </c>
      <c r="AV3158" t="s">
        <v>69</v>
      </c>
      <c r="AW3158" s="1">
        <v>22444</v>
      </c>
      <c r="AX3158">
        <v>2</v>
      </c>
    </row>
    <row r="3159" spans="1:50">
      <c r="A3159">
        <v>177470</v>
      </c>
      <c r="B3159" t="str">
        <f>"035925776"</f>
        <v>035925776</v>
      </c>
      <c r="C3159" t="s">
        <v>50</v>
      </c>
      <c r="D3159" t="s">
        <v>2679</v>
      </c>
      <c r="E3159" t="s">
        <v>255</v>
      </c>
      <c r="F3159" t="s">
        <v>760</v>
      </c>
      <c r="G3159" t="s">
        <v>83</v>
      </c>
      <c r="H3159" t="str">
        <f>"ΠΗΓΙΑΝΟΣ ΚΑΜΠΟΣ, Τ.Θ. 5025 ΣΦΑΚΑΚΙ"</f>
        <v>ΠΗΓΙΑΝΟΣ ΚΑΜΠΟΣ, Τ.Θ. 5025 ΣΦΑΚΑΚΙ</v>
      </c>
      <c r="I3159">
        <v>74100</v>
      </c>
      <c r="J3159">
        <v>2831072735</v>
      </c>
      <c r="K3159">
        <v>6974727187</v>
      </c>
      <c r="N3159" t="s">
        <v>168</v>
      </c>
      <c r="O3159" t="s">
        <v>169</v>
      </c>
      <c r="R3159" t="s">
        <v>57</v>
      </c>
      <c r="S3159">
        <v>15</v>
      </c>
      <c r="T3159">
        <v>180</v>
      </c>
      <c r="U3159" s="1">
        <v>35674</v>
      </c>
      <c r="V3159" t="s">
        <v>5644</v>
      </c>
      <c r="W3159" t="s">
        <v>5645</v>
      </c>
      <c r="X3159" t="s">
        <v>58</v>
      </c>
      <c r="Y3159">
        <v>18</v>
      </c>
      <c r="Z3159" t="s">
        <v>59</v>
      </c>
      <c r="AA3159" t="s">
        <v>59</v>
      </c>
      <c r="AB3159" t="s">
        <v>59</v>
      </c>
      <c r="AC3159" t="s">
        <v>59</v>
      </c>
      <c r="AD3159" t="s">
        <v>59</v>
      </c>
      <c r="AF3159" s="1">
        <v>35674</v>
      </c>
      <c r="AG3159" t="s">
        <v>137</v>
      </c>
      <c r="AH3159" t="s">
        <v>138</v>
      </c>
      <c r="AI3159" t="str">
        <f>"4150040"</f>
        <v>4150040</v>
      </c>
      <c r="AJ3159" t="s">
        <v>5661</v>
      </c>
      <c r="AK3159">
        <v>2831029048</v>
      </c>
      <c r="AL3159" t="s">
        <v>5662</v>
      </c>
      <c r="AM3159" t="s">
        <v>64</v>
      </c>
      <c r="AN3159" t="s">
        <v>65</v>
      </c>
      <c r="AO3159" t="s">
        <v>65</v>
      </c>
      <c r="AP3159" t="s">
        <v>65</v>
      </c>
      <c r="AQ3159">
        <v>1</v>
      </c>
      <c r="AR3159" t="s">
        <v>5644</v>
      </c>
      <c r="AS3159" t="s">
        <v>5645</v>
      </c>
      <c r="AT3159" t="s">
        <v>58</v>
      </c>
      <c r="AU3159" t="s">
        <v>68</v>
      </c>
      <c r="AV3159" t="s">
        <v>69</v>
      </c>
      <c r="AW3159" s="1">
        <v>24846</v>
      </c>
      <c r="AX3159">
        <v>2</v>
      </c>
    </row>
    <row r="3160" spans="1:50">
      <c r="A3160">
        <v>178129</v>
      </c>
      <c r="B3160" t="str">
        <f>"035925924"</f>
        <v>035925924</v>
      </c>
      <c r="C3160" t="s">
        <v>105</v>
      </c>
      <c r="D3160" t="s">
        <v>2681</v>
      </c>
      <c r="E3160" t="s">
        <v>166</v>
      </c>
      <c r="F3160" t="s">
        <v>760</v>
      </c>
      <c r="G3160" t="s">
        <v>83</v>
      </c>
      <c r="H3160" t="str">
        <f>"Πηγιανός Κάμπος ΡΕΘΥΜΝΟ"</f>
        <v>Πηγιανός Κάμπος ΡΕΘΥΜΝΟ</v>
      </c>
      <c r="I3160">
        <v>74100</v>
      </c>
      <c r="K3160">
        <v>6973213699</v>
      </c>
      <c r="M3160" t="s">
        <v>6231</v>
      </c>
      <c r="N3160" t="s">
        <v>204</v>
      </c>
      <c r="O3160" t="s">
        <v>205</v>
      </c>
      <c r="P3160" t="s">
        <v>292</v>
      </c>
      <c r="Q3160" t="s">
        <v>293</v>
      </c>
      <c r="R3160" t="s">
        <v>57</v>
      </c>
      <c r="S3160">
        <v>12</v>
      </c>
      <c r="T3160">
        <v>180</v>
      </c>
      <c r="U3160" s="1">
        <v>35674</v>
      </c>
      <c r="V3160" t="s">
        <v>5644</v>
      </c>
      <c r="W3160" t="s">
        <v>5645</v>
      </c>
      <c r="X3160" t="s">
        <v>58</v>
      </c>
      <c r="Y3160">
        <v>18</v>
      </c>
      <c r="Z3160" t="s">
        <v>59</v>
      </c>
      <c r="AA3160" t="s">
        <v>59</v>
      </c>
      <c r="AB3160" t="s">
        <v>59</v>
      </c>
      <c r="AC3160" t="s">
        <v>59</v>
      </c>
      <c r="AD3160" t="s">
        <v>59</v>
      </c>
      <c r="AF3160" s="1">
        <v>35674</v>
      </c>
      <c r="AG3160" t="s">
        <v>148</v>
      </c>
      <c r="AH3160" t="s">
        <v>149</v>
      </c>
      <c r="AI3160" t="str">
        <f>"4151030"</f>
        <v>4151030</v>
      </c>
      <c r="AJ3160" t="s">
        <v>5681</v>
      </c>
      <c r="AK3160">
        <v>2831023422</v>
      </c>
      <c r="AL3160" t="s">
        <v>5682</v>
      </c>
      <c r="AM3160" t="s">
        <v>64</v>
      </c>
      <c r="AN3160" t="s">
        <v>65</v>
      </c>
      <c r="AO3160" t="s">
        <v>65</v>
      </c>
      <c r="AP3160" t="s">
        <v>65</v>
      </c>
      <c r="AQ3160">
        <v>1</v>
      </c>
      <c r="AR3160" t="s">
        <v>5644</v>
      </c>
      <c r="AS3160" t="s">
        <v>5645</v>
      </c>
      <c r="AT3160" t="s">
        <v>58</v>
      </c>
      <c r="AU3160" t="s">
        <v>68</v>
      </c>
      <c r="AV3160" t="s">
        <v>69</v>
      </c>
      <c r="AW3160" s="1">
        <v>23739</v>
      </c>
      <c r="AX3160">
        <v>2</v>
      </c>
    </row>
    <row r="3161" spans="1:50">
      <c r="A3161">
        <v>227493</v>
      </c>
      <c r="B3161" t="str">
        <f>"044622197"</f>
        <v>044622197</v>
      </c>
      <c r="C3161" t="s">
        <v>50</v>
      </c>
      <c r="D3161" t="s">
        <v>6232</v>
      </c>
      <c r="E3161" t="s">
        <v>1345</v>
      </c>
      <c r="F3161" t="s">
        <v>202</v>
      </c>
      <c r="G3161" t="s">
        <v>372</v>
      </c>
      <c r="H3161" t="str">
        <f>"Ι. ΚΟΝΔΥΛΑΚΗ 58 ΜΑΣΤΑΜΠΑΣ"</f>
        <v>Ι. ΚΟΝΔΥΛΑΚΗ 58 ΜΑΣΤΑΜΠΑΣ</v>
      </c>
      <c r="I3161">
        <v>74132</v>
      </c>
      <c r="J3161">
        <v>2610425572</v>
      </c>
      <c r="K3161">
        <v>6942464214</v>
      </c>
      <c r="N3161" t="s">
        <v>246</v>
      </c>
      <c r="O3161" t="s">
        <v>247</v>
      </c>
      <c r="R3161" t="s">
        <v>57</v>
      </c>
      <c r="S3161">
        <v>5</v>
      </c>
      <c r="T3161">
        <v>654</v>
      </c>
      <c r="U3161" s="1">
        <v>40043</v>
      </c>
      <c r="V3161" t="s">
        <v>5644</v>
      </c>
      <c r="W3161" t="s">
        <v>5645</v>
      </c>
      <c r="X3161" t="s">
        <v>58</v>
      </c>
      <c r="Y3161">
        <v>21</v>
      </c>
      <c r="Z3161" t="s">
        <v>59</v>
      </c>
      <c r="AA3161" t="s">
        <v>59</v>
      </c>
      <c r="AB3161" t="s">
        <v>59</v>
      </c>
      <c r="AC3161" t="s">
        <v>59</v>
      </c>
      <c r="AD3161" t="s">
        <v>59</v>
      </c>
      <c r="AF3161" s="1">
        <v>40044</v>
      </c>
      <c r="AG3161" t="s">
        <v>125</v>
      </c>
      <c r="AH3161" t="s">
        <v>126</v>
      </c>
      <c r="AI3161" t="str">
        <f>"4101010"</f>
        <v>4101010</v>
      </c>
      <c r="AJ3161" t="s">
        <v>5814</v>
      </c>
      <c r="AK3161">
        <v>2831022283</v>
      </c>
      <c r="AL3161" t="s">
        <v>5815</v>
      </c>
      <c r="AM3161" t="s">
        <v>64</v>
      </c>
      <c r="AN3161" t="s">
        <v>65</v>
      </c>
      <c r="AO3161" t="s">
        <v>65</v>
      </c>
      <c r="AP3161" t="s">
        <v>65</v>
      </c>
      <c r="AQ3161">
        <v>1</v>
      </c>
      <c r="AR3161" t="s">
        <v>5644</v>
      </c>
      <c r="AS3161" t="s">
        <v>5645</v>
      </c>
      <c r="AT3161" t="s">
        <v>58</v>
      </c>
      <c r="AU3161" t="s">
        <v>68</v>
      </c>
      <c r="AV3161" t="s">
        <v>69</v>
      </c>
      <c r="AW3161" s="1">
        <v>23762</v>
      </c>
      <c r="AX3161">
        <v>2</v>
      </c>
    </row>
    <row r="3162" spans="1:50">
      <c r="A3162">
        <v>228009</v>
      </c>
      <c r="B3162" t="str">
        <f>"034818463"</f>
        <v>034818463</v>
      </c>
      <c r="C3162" t="s">
        <v>105</v>
      </c>
      <c r="D3162" t="s">
        <v>6233</v>
      </c>
      <c r="E3162" t="s">
        <v>99</v>
      </c>
      <c r="F3162" t="s">
        <v>450</v>
      </c>
      <c r="G3162" t="s">
        <v>372</v>
      </c>
      <c r="H3162" t="str">
        <f>"ΒΕΛΙΣΣΑΡΙΟΥ 3 ΑΛΙΒΕΡΙ ΕΥΒΟΙΑΣ"</f>
        <v>ΒΕΛΙΣΣΑΡΙΟΥ 3 ΑΛΙΒΕΡΙ ΕΥΒΟΙΑΣ</v>
      </c>
      <c r="I3162">
        <v>34500</v>
      </c>
      <c r="J3162">
        <v>2223024000</v>
      </c>
      <c r="K3162">
        <v>6973099063</v>
      </c>
      <c r="N3162" t="s">
        <v>176</v>
      </c>
      <c r="O3162" t="s">
        <v>177</v>
      </c>
      <c r="R3162" t="s">
        <v>57</v>
      </c>
      <c r="S3162">
        <v>5</v>
      </c>
      <c r="T3162">
        <v>654</v>
      </c>
      <c r="U3162" s="1">
        <v>40043</v>
      </c>
      <c r="V3162" t="s">
        <v>5644</v>
      </c>
      <c r="W3162" t="s">
        <v>5645</v>
      </c>
      <c r="X3162" t="s">
        <v>58</v>
      </c>
      <c r="Y3162">
        <v>21</v>
      </c>
      <c r="Z3162" t="s">
        <v>59</v>
      </c>
      <c r="AA3162" t="s">
        <v>59</v>
      </c>
      <c r="AB3162" t="s">
        <v>59</v>
      </c>
      <c r="AC3162" t="s">
        <v>59</v>
      </c>
      <c r="AD3162" t="s">
        <v>59</v>
      </c>
      <c r="AF3162" s="1">
        <v>40046</v>
      </c>
      <c r="AG3162" t="s">
        <v>125</v>
      </c>
      <c r="AH3162" t="s">
        <v>126</v>
      </c>
      <c r="AI3162" t="str">
        <f>"4101010"</f>
        <v>4101010</v>
      </c>
      <c r="AJ3162" t="s">
        <v>5814</v>
      </c>
      <c r="AK3162">
        <v>2831022283</v>
      </c>
      <c r="AL3162" t="s">
        <v>5815</v>
      </c>
      <c r="AM3162" t="s">
        <v>64</v>
      </c>
      <c r="AN3162" t="s">
        <v>65</v>
      </c>
      <c r="AO3162" t="s">
        <v>65</v>
      </c>
      <c r="AP3162" t="s">
        <v>65</v>
      </c>
      <c r="AQ3162">
        <v>1</v>
      </c>
      <c r="AR3162" t="s">
        <v>5644</v>
      </c>
      <c r="AS3162" t="s">
        <v>5645</v>
      </c>
      <c r="AT3162" t="s">
        <v>58</v>
      </c>
      <c r="AU3162" t="s">
        <v>68</v>
      </c>
      <c r="AV3162" t="s">
        <v>132</v>
      </c>
      <c r="AW3162" s="1">
        <v>24395</v>
      </c>
      <c r="AX3162">
        <v>2</v>
      </c>
    </row>
    <row r="3163" spans="1:50">
      <c r="A3163">
        <v>178430</v>
      </c>
      <c r="B3163" t="str">
        <f>"120003881"</f>
        <v>120003881</v>
      </c>
      <c r="C3163" t="s">
        <v>50</v>
      </c>
      <c r="D3163" t="s">
        <v>6234</v>
      </c>
      <c r="E3163" t="s">
        <v>620</v>
      </c>
      <c r="F3163" t="s">
        <v>383</v>
      </c>
      <c r="G3163" t="s">
        <v>155</v>
      </c>
      <c r="H3163" t="str">
        <f>"ΓΕΡΑΝΙ ΤΘ 6511 ΡΕΘΥΜΝΟ"</f>
        <v>ΓΕΡΑΝΙ ΤΘ 6511 ΡΕΘΥΜΝΟ</v>
      </c>
      <c r="I3163">
        <v>74100</v>
      </c>
      <c r="J3163">
        <v>2831053123</v>
      </c>
      <c r="K3163">
        <v>6973329440</v>
      </c>
      <c r="M3163" t="s">
        <v>6235</v>
      </c>
      <c r="N3163" t="s">
        <v>146</v>
      </c>
      <c r="O3163" t="s">
        <v>147</v>
      </c>
      <c r="R3163" t="s">
        <v>57</v>
      </c>
      <c r="S3163">
        <v>11</v>
      </c>
      <c r="T3163">
        <v>181</v>
      </c>
      <c r="U3163" s="1">
        <v>35674</v>
      </c>
      <c r="V3163" t="s">
        <v>5644</v>
      </c>
      <c r="W3163" t="s">
        <v>5645</v>
      </c>
      <c r="X3163" t="s">
        <v>58</v>
      </c>
      <c r="Y3163">
        <v>18</v>
      </c>
      <c r="Z3163" t="s">
        <v>59</v>
      </c>
      <c r="AA3163" t="s">
        <v>59</v>
      </c>
      <c r="AB3163" t="s">
        <v>59</v>
      </c>
      <c r="AC3163" t="s">
        <v>59</v>
      </c>
      <c r="AD3163" t="s">
        <v>59</v>
      </c>
      <c r="AF3163" s="1">
        <v>35674</v>
      </c>
      <c r="AG3163" t="s">
        <v>148</v>
      </c>
      <c r="AH3163" t="s">
        <v>149</v>
      </c>
      <c r="AI3163" t="str">
        <f>"4151009"</f>
        <v>4151009</v>
      </c>
      <c r="AJ3163" t="s">
        <v>5649</v>
      </c>
      <c r="AK3163">
        <v>2831027115</v>
      </c>
      <c r="AL3163" t="s">
        <v>5650</v>
      </c>
      <c r="AM3163" t="s">
        <v>64</v>
      </c>
      <c r="AN3163" t="s">
        <v>65</v>
      </c>
      <c r="AO3163" t="s">
        <v>65</v>
      </c>
      <c r="AP3163" t="s">
        <v>65</v>
      </c>
      <c r="AQ3163">
        <v>1</v>
      </c>
      <c r="AR3163" t="s">
        <v>5644</v>
      </c>
      <c r="AS3163" t="s">
        <v>5645</v>
      </c>
      <c r="AT3163" t="s">
        <v>58</v>
      </c>
      <c r="AU3163" t="s">
        <v>68</v>
      </c>
      <c r="AV3163" t="s">
        <v>69</v>
      </c>
      <c r="AW3163" s="1">
        <v>24561</v>
      </c>
      <c r="AX3163">
        <v>2</v>
      </c>
    </row>
    <row r="3164" spans="1:50">
      <c r="A3164">
        <v>701924</v>
      </c>
      <c r="B3164" t="str">
        <f>"131946876"</f>
        <v>131946876</v>
      </c>
      <c r="C3164" t="s">
        <v>50</v>
      </c>
      <c r="D3164" t="s">
        <v>6236</v>
      </c>
      <c r="E3164" t="s">
        <v>237</v>
      </c>
      <c r="F3164" t="s">
        <v>900</v>
      </c>
      <c r="G3164" t="s">
        <v>96</v>
      </c>
      <c r="H3164" t="str">
        <f>"ΗΓΟΥΜΕΝΟΥ ΓΑΒΡΙΗΛ 22 ΧΑΝΙΑ"</f>
        <v>ΗΓΟΥΜΕΝΟΥ ΓΑΒΡΙΗΛ 22 ΧΑΝΙΑ</v>
      </c>
      <c r="I3164">
        <v>73134</v>
      </c>
      <c r="J3164">
        <v>2821053778</v>
      </c>
      <c r="K3164">
        <v>6989343445</v>
      </c>
      <c r="N3164" t="s">
        <v>146</v>
      </c>
      <c r="O3164" t="s">
        <v>147</v>
      </c>
      <c r="R3164" t="s">
        <v>57</v>
      </c>
      <c r="S3164">
        <v>6</v>
      </c>
      <c r="T3164">
        <v>772</v>
      </c>
      <c r="U3164" s="1">
        <v>40413</v>
      </c>
      <c r="V3164" t="s">
        <v>5644</v>
      </c>
      <c r="W3164" t="s">
        <v>5645</v>
      </c>
      <c r="X3164" t="s">
        <v>58</v>
      </c>
      <c r="Y3164">
        <v>21</v>
      </c>
      <c r="Z3164" t="s">
        <v>59</v>
      </c>
      <c r="AA3164" t="s">
        <v>59</v>
      </c>
      <c r="AB3164" t="s">
        <v>59</v>
      </c>
      <c r="AC3164" t="s">
        <v>59</v>
      </c>
      <c r="AD3164" t="s">
        <v>59</v>
      </c>
      <c r="AF3164" s="1">
        <v>40413</v>
      </c>
      <c r="AG3164" t="s">
        <v>148</v>
      </c>
      <c r="AH3164" t="s">
        <v>149</v>
      </c>
      <c r="AI3164" t="str">
        <f>"4152010"</f>
        <v>4152010</v>
      </c>
      <c r="AJ3164" t="s">
        <v>5739</v>
      </c>
      <c r="AK3164">
        <v>2834031205</v>
      </c>
      <c r="AL3164" t="s">
        <v>5740</v>
      </c>
      <c r="AM3164" t="s">
        <v>64</v>
      </c>
      <c r="AN3164" t="s">
        <v>5737</v>
      </c>
      <c r="AO3164" t="s">
        <v>5737</v>
      </c>
      <c r="AP3164" t="s">
        <v>5737</v>
      </c>
      <c r="AQ3164">
        <v>3</v>
      </c>
      <c r="AR3164" t="s">
        <v>5644</v>
      </c>
      <c r="AS3164" t="s">
        <v>5645</v>
      </c>
      <c r="AT3164" t="s">
        <v>58</v>
      </c>
      <c r="AU3164" t="s">
        <v>68</v>
      </c>
      <c r="AV3164" t="s">
        <v>69</v>
      </c>
      <c r="AW3164" s="1">
        <v>29587</v>
      </c>
      <c r="AX3164">
        <v>2</v>
      </c>
    </row>
    <row r="3165" spans="1:50">
      <c r="A3165">
        <v>152901</v>
      </c>
      <c r="B3165" t="str">
        <f>"030655250"</f>
        <v>030655250</v>
      </c>
      <c r="C3165" t="s">
        <v>50</v>
      </c>
      <c r="D3165" t="s">
        <v>5126</v>
      </c>
      <c r="E3165" t="s">
        <v>250</v>
      </c>
      <c r="F3165" t="s">
        <v>6237</v>
      </c>
      <c r="G3165" t="s">
        <v>710</v>
      </c>
      <c r="H3165" t="str">
        <f>"ΘΕΟΤΟΚΟΠΟΥΛΟΥ 34 ΡΕΘΥΜΝΟ"</f>
        <v>ΘΕΟΤΟΚΟΠΟΥΛΟΥ 34 ΡΕΘΥΜΝΟ</v>
      </c>
      <c r="I3165">
        <v>74100</v>
      </c>
      <c r="N3165" t="s">
        <v>146</v>
      </c>
      <c r="O3165" t="s">
        <v>147</v>
      </c>
      <c r="R3165" t="s">
        <v>57</v>
      </c>
      <c r="S3165">
        <v>15</v>
      </c>
      <c r="T3165">
        <v>166</v>
      </c>
      <c r="U3165" s="1">
        <v>32010</v>
      </c>
      <c r="V3165" t="s">
        <v>5644</v>
      </c>
      <c r="W3165" t="s">
        <v>5645</v>
      </c>
      <c r="X3165" t="s">
        <v>58</v>
      </c>
      <c r="Y3165">
        <v>18</v>
      </c>
      <c r="Z3165" t="s">
        <v>59</v>
      </c>
      <c r="AA3165" t="s">
        <v>59</v>
      </c>
      <c r="AB3165" t="s">
        <v>59</v>
      </c>
      <c r="AC3165" t="s">
        <v>59</v>
      </c>
      <c r="AD3165" t="s">
        <v>59</v>
      </c>
      <c r="AF3165" s="1">
        <v>32010</v>
      </c>
      <c r="AG3165" t="s">
        <v>125</v>
      </c>
      <c r="AH3165" t="s">
        <v>126</v>
      </c>
      <c r="AI3165" t="str">
        <f>"4101010"</f>
        <v>4101010</v>
      </c>
      <c r="AJ3165" t="s">
        <v>5814</v>
      </c>
      <c r="AK3165">
        <v>2831022283</v>
      </c>
      <c r="AL3165" t="s">
        <v>5815</v>
      </c>
      <c r="AM3165" t="s">
        <v>64</v>
      </c>
      <c r="AN3165" t="s">
        <v>65</v>
      </c>
      <c r="AO3165" t="s">
        <v>65</v>
      </c>
      <c r="AP3165" t="s">
        <v>65</v>
      </c>
      <c r="AQ3165">
        <v>1</v>
      </c>
      <c r="AR3165" t="s">
        <v>5644</v>
      </c>
      <c r="AS3165" t="s">
        <v>5645</v>
      </c>
      <c r="AT3165" t="s">
        <v>58</v>
      </c>
      <c r="AU3165" t="s">
        <v>68</v>
      </c>
      <c r="AV3165" t="s">
        <v>69</v>
      </c>
      <c r="AW3165" s="1">
        <v>22934</v>
      </c>
      <c r="AX3165">
        <v>2</v>
      </c>
    </row>
    <row r="3166" spans="1:50">
      <c r="A3166">
        <v>204048</v>
      </c>
      <c r="B3166" t="str">
        <f>"076877650"</f>
        <v>076877650</v>
      </c>
      <c r="C3166" t="s">
        <v>105</v>
      </c>
      <c r="D3166" t="s">
        <v>107</v>
      </c>
      <c r="E3166" t="s">
        <v>202</v>
      </c>
      <c r="F3166" t="s">
        <v>383</v>
      </c>
      <c r="G3166" t="s">
        <v>250</v>
      </c>
      <c r="H3166" t="str">
        <f>"ΓΕΡΑΝΙ/ΤΘ 6723 ΔΗΜΟΣ ΡΕΘΥΜΝΟΥ"</f>
        <v>ΓΕΡΑΝΙ/ΤΘ 6723 ΔΗΜΟΣ ΡΕΘΥΜΝΟΥ</v>
      </c>
      <c r="I3166">
        <v>74100</v>
      </c>
      <c r="J3166">
        <v>2831057047</v>
      </c>
      <c r="K3166">
        <v>6972078078</v>
      </c>
      <c r="N3166" t="s">
        <v>176</v>
      </c>
      <c r="O3166" t="s">
        <v>177</v>
      </c>
      <c r="R3166" t="s">
        <v>57</v>
      </c>
      <c r="S3166">
        <v>8</v>
      </c>
      <c r="T3166">
        <v>231</v>
      </c>
      <c r="U3166" s="1">
        <v>38230</v>
      </c>
      <c r="V3166" t="s">
        <v>5644</v>
      </c>
      <c r="W3166" t="s">
        <v>5645</v>
      </c>
      <c r="X3166" t="s">
        <v>58</v>
      </c>
      <c r="Y3166">
        <v>20</v>
      </c>
      <c r="Z3166" t="s">
        <v>59</v>
      </c>
      <c r="AA3166" t="s">
        <v>59</v>
      </c>
      <c r="AB3166" t="s">
        <v>59</v>
      </c>
      <c r="AC3166" t="s">
        <v>59</v>
      </c>
      <c r="AD3166" t="s">
        <v>59</v>
      </c>
      <c r="AF3166" s="1">
        <v>38230</v>
      </c>
      <c r="AG3166" t="s">
        <v>125</v>
      </c>
      <c r="AH3166" t="s">
        <v>126</v>
      </c>
      <c r="AI3166" t="str">
        <f>"4102020"</f>
        <v>4102020</v>
      </c>
      <c r="AJ3166" t="s">
        <v>5761</v>
      </c>
      <c r="AK3166">
        <v>2831061491</v>
      </c>
      <c r="AL3166" t="s">
        <v>5762</v>
      </c>
      <c r="AM3166" t="s">
        <v>64</v>
      </c>
      <c r="AN3166" t="s">
        <v>65</v>
      </c>
      <c r="AO3166" t="s">
        <v>5657</v>
      </c>
      <c r="AP3166" t="s">
        <v>1437</v>
      </c>
      <c r="AQ3166">
        <v>1</v>
      </c>
      <c r="AR3166" t="s">
        <v>5644</v>
      </c>
      <c r="AS3166" t="s">
        <v>5645</v>
      </c>
      <c r="AT3166" t="s">
        <v>58</v>
      </c>
      <c r="AU3166" t="s">
        <v>68</v>
      </c>
      <c r="AV3166" t="s">
        <v>69</v>
      </c>
      <c r="AW3166" s="1">
        <v>25297</v>
      </c>
      <c r="AX3166">
        <v>2</v>
      </c>
    </row>
    <row r="3167" spans="1:50">
      <c r="A3167">
        <v>206332</v>
      </c>
      <c r="B3167" t="str">
        <f>"078550833"</f>
        <v>078550833</v>
      </c>
      <c r="C3167" t="s">
        <v>50</v>
      </c>
      <c r="D3167" t="s">
        <v>6238</v>
      </c>
      <c r="E3167" t="s">
        <v>52</v>
      </c>
      <c r="F3167" t="s">
        <v>53</v>
      </c>
      <c r="G3167" t="s">
        <v>85</v>
      </c>
      <c r="H3167" t="str">
        <f>"ΕΘΝΙΚΗΣ ΑΝΤΙΣΤΑΣΕΩΣ ΒΙΟΛΙ ΧΑΡΑΚΙ"</f>
        <v>ΕΘΝΙΚΗΣ ΑΝΤΙΣΤΑΣΕΩΣ ΒΙΟΛΙ ΧΑΡΑΚΙ</v>
      </c>
      <c r="I3167">
        <v>74100</v>
      </c>
      <c r="J3167">
        <v>2831057396</v>
      </c>
      <c r="K3167">
        <v>6932417009</v>
      </c>
      <c r="N3167" t="s">
        <v>176</v>
      </c>
      <c r="O3167" t="s">
        <v>177</v>
      </c>
      <c r="R3167" t="s">
        <v>57</v>
      </c>
      <c r="S3167">
        <v>9</v>
      </c>
      <c r="T3167">
        <v>294</v>
      </c>
      <c r="U3167" s="1">
        <v>38295</v>
      </c>
      <c r="V3167" t="s">
        <v>5644</v>
      </c>
      <c r="W3167" t="s">
        <v>5645</v>
      </c>
      <c r="X3167" t="s">
        <v>58</v>
      </c>
      <c r="Y3167">
        <v>20</v>
      </c>
      <c r="Z3167" t="s">
        <v>59</v>
      </c>
      <c r="AA3167" t="s">
        <v>59</v>
      </c>
      <c r="AB3167" t="s">
        <v>59</v>
      </c>
      <c r="AC3167" t="s">
        <v>59</v>
      </c>
      <c r="AD3167" t="s">
        <v>59</v>
      </c>
      <c r="AF3167" s="1">
        <v>38295</v>
      </c>
      <c r="AG3167" t="s">
        <v>125</v>
      </c>
      <c r="AH3167" t="s">
        <v>126</v>
      </c>
      <c r="AI3167" t="str">
        <f>"4101010"</f>
        <v>4101010</v>
      </c>
      <c r="AJ3167" t="s">
        <v>5814</v>
      </c>
      <c r="AK3167">
        <v>2831022283</v>
      </c>
      <c r="AL3167" t="s">
        <v>5815</v>
      </c>
      <c r="AM3167" t="s">
        <v>64</v>
      </c>
      <c r="AN3167" t="s">
        <v>65</v>
      </c>
      <c r="AO3167" t="s">
        <v>65</v>
      </c>
      <c r="AP3167" t="s">
        <v>65</v>
      </c>
      <c r="AQ3167">
        <v>1</v>
      </c>
      <c r="AR3167" t="s">
        <v>5644</v>
      </c>
      <c r="AS3167" t="s">
        <v>5645</v>
      </c>
      <c r="AT3167" t="s">
        <v>58</v>
      </c>
      <c r="AU3167" t="s">
        <v>68</v>
      </c>
      <c r="AV3167" t="s">
        <v>69</v>
      </c>
      <c r="AW3167" s="1">
        <v>24857</v>
      </c>
      <c r="AX3167">
        <v>2</v>
      </c>
    </row>
    <row r="3168" spans="1:50">
      <c r="A3168">
        <v>161596</v>
      </c>
      <c r="B3168" t="str">
        <f>"032190565"</f>
        <v>032190565</v>
      </c>
      <c r="C3168" t="s">
        <v>105</v>
      </c>
      <c r="D3168" t="s">
        <v>6239</v>
      </c>
      <c r="E3168" t="s">
        <v>154</v>
      </c>
      <c r="F3168" t="s">
        <v>53</v>
      </c>
      <c r="G3168" t="s">
        <v>630</v>
      </c>
      <c r="H3168" t="str">
        <f>"ΛΗΤΟΥΣ 9  ΚΑΛΙΘΕΑ"</f>
        <v>ΛΗΤΟΥΣ 9  ΚΑΛΙΘΕΑ</v>
      </c>
      <c r="I3168">
        <v>74100</v>
      </c>
      <c r="J3168">
        <v>2831052839</v>
      </c>
      <c r="K3168">
        <v>6979908040</v>
      </c>
      <c r="M3168" t="s">
        <v>6240</v>
      </c>
      <c r="N3168" t="s">
        <v>168</v>
      </c>
      <c r="O3168" t="s">
        <v>169</v>
      </c>
      <c r="R3168" t="s">
        <v>57</v>
      </c>
      <c r="S3168">
        <v>14</v>
      </c>
      <c r="T3168">
        <v>161</v>
      </c>
      <c r="U3168" s="1">
        <v>33119</v>
      </c>
      <c r="V3168" t="s">
        <v>5644</v>
      </c>
      <c r="W3168" t="s">
        <v>5645</v>
      </c>
      <c r="X3168" t="s">
        <v>58</v>
      </c>
      <c r="Y3168">
        <v>18</v>
      </c>
      <c r="Z3168" t="s">
        <v>59</v>
      </c>
      <c r="AA3168" t="s">
        <v>59</v>
      </c>
      <c r="AB3168" t="s">
        <v>59</v>
      </c>
      <c r="AC3168" t="s">
        <v>59</v>
      </c>
      <c r="AD3168" t="s">
        <v>59</v>
      </c>
      <c r="AF3168" s="1">
        <v>33119</v>
      </c>
      <c r="AG3168" t="s">
        <v>137</v>
      </c>
      <c r="AH3168" t="s">
        <v>138</v>
      </c>
      <c r="AI3168" t="str">
        <f>"4150040"</f>
        <v>4150040</v>
      </c>
      <c r="AJ3168" t="s">
        <v>5661</v>
      </c>
      <c r="AK3168">
        <v>2831029048</v>
      </c>
      <c r="AL3168" t="s">
        <v>5662</v>
      </c>
      <c r="AM3168" t="s">
        <v>64</v>
      </c>
      <c r="AN3168" t="s">
        <v>65</v>
      </c>
      <c r="AO3168" t="s">
        <v>65</v>
      </c>
      <c r="AP3168" t="s">
        <v>65</v>
      </c>
      <c r="AQ3168">
        <v>1</v>
      </c>
      <c r="AR3168" t="s">
        <v>5644</v>
      </c>
      <c r="AS3168" t="s">
        <v>5645</v>
      </c>
      <c r="AT3168" t="s">
        <v>58</v>
      </c>
      <c r="AU3168" t="s">
        <v>68</v>
      </c>
      <c r="AV3168" t="s">
        <v>69</v>
      </c>
      <c r="AW3168" s="1">
        <v>20456</v>
      </c>
      <c r="AX3168">
        <v>2</v>
      </c>
    </row>
    <row r="3169" spans="1:50">
      <c r="A3169">
        <v>201107</v>
      </c>
      <c r="B3169" t="str">
        <f>"043450754"</f>
        <v>043450754</v>
      </c>
      <c r="C3169" t="s">
        <v>105</v>
      </c>
      <c r="D3169" t="s">
        <v>6241</v>
      </c>
      <c r="E3169" t="s">
        <v>154</v>
      </c>
      <c r="F3169" t="s">
        <v>782</v>
      </c>
      <c r="G3169" t="s">
        <v>610</v>
      </c>
      <c r="H3169" t="str">
        <f>"ΑΤΣΙΠΟΠΟΥΛΟ ΡΕΘΥΜΝΟ"</f>
        <v>ΑΤΣΙΠΟΠΟΥΛΟ ΡΕΘΥΜΝΟ</v>
      </c>
      <c r="I3169">
        <v>74100</v>
      </c>
      <c r="J3169">
        <v>2831031690</v>
      </c>
      <c r="K3169">
        <v>6977959822</v>
      </c>
      <c r="M3169" t="s">
        <v>6242</v>
      </c>
      <c r="N3169" t="s">
        <v>157</v>
      </c>
      <c r="O3169" t="s">
        <v>158</v>
      </c>
      <c r="R3169" t="s">
        <v>57</v>
      </c>
      <c r="S3169">
        <v>9</v>
      </c>
      <c r="T3169" t="s">
        <v>6243</v>
      </c>
      <c r="U3169" s="1">
        <v>38230</v>
      </c>
      <c r="V3169" t="s">
        <v>5644</v>
      </c>
      <c r="W3169" t="s">
        <v>5645</v>
      </c>
      <c r="X3169" t="s">
        <v>58</v>
      </c>
      <c r="Y3169">
        <v>20</v>
      </c>
      <c r="Z3169" t="s">
        <v>59</v>
      </c>
      <c r="AA3169" t="s">
        <v>59</v>
      </c>
      <c r="AB3169" t="s">
        <v>59</v>
      </c>
      <c r="AC3169" t="s">
        <v>59</v>
      </c>
      <c r="AD3169" t="s">
        <v>59</v>
      </c>
      <c r="AF3169" s="1">
        <v>38230</v>
      </c>
      <c r="AG3169" t="s">
        <v>148</v>
      </c>
      <c r="AH3169" t="s">
        <v>149</v>
      </c>
      <c r="AI3169" t="str">
        <f>"4151009"</f>
        <v>4151009</v>
      </c>
      <c r="AJ3169" t="s">
        <v>5649</v>
      </c>
      <c r="AK3169">
        <v>2831027115</v>
      </c>
      <c r="AL3169" t="s">
        <v>5650</v>
      </c>
      <c r="AM3169" t="s">
        <v>64</v>
      </c>
      <c r="AN3169" t="s">
        <v>65</v>
      </c>
      <c r="AO3169" t="s">
        <v>65</v>
      </c>
      <c r="AP3169" t="s">
        <v>65</v>
      </c>
      <c r="AQ3169">
        <v>1</v>
      </c>
      <c r="AR3169" t="s">
        <v>5644</v>
      </c>
      <c r="AS3169" t="s">
        <v>5645</v>
      </c>
      <c r="AT3169" t="s">
        <v>58</v>
      </c>
      <c r="AU3169" t="s">
        <v>68</v>
      </c>
      <c r="AV3169" t="s">
        <v>69</v>
      </c>
      <c r="AW3169" s="1">
        <v>24942</v>
      </c>
      <c r="AX3169">
        <v>2</v>
      </c>
    </row>
    <row r="3170" spans="1:50">
      <c r="A3170">
        <v>198615</v>
      </c>
      <c r="B3170" t="str">
        <f>"045166634"</f>
        <v>045166634</v>
      </c>
      <c r="C3170" t="s">
        <v>50</v>
      </c>
      <c r="D3170" t="s">
        <v>6244</v>
      </c>
      <c r="E3170" t="s">
        <v>237</v>
      </c>
      <c r="F3170" t="s">
        <v>53</v>
      </c>
      <c r="G3170" t="s">
        <v>112</v>
      </c>
      <c r="H3170" t="str">
        <f>"Θεοτοκοπούλου 40 ΡΕΘΥΜΝΟ"</f>
        <v>Θεοτοκοπούλου 40 ΡΕΘΥΜΝΟ</v>
      </c>
      <c r="I3170">
        <v>74100</v>
      </c>
      <c r="J3170">
        <v>2106004932</v>
      </c>
      <c r="K3170">
        <v>6972000768</v>
      </c>
      <c r="M3170" t="s">
        <v>6245</v>
      </c>
      <c r="N3170" t="s">
        <v>306</v>
      </c>
      <c r="O3170" t="s">
        <v>307</v>
      </c>
      <c r="R3170" t="s">
        <v>57</v>
      </c>
      <c r="S3170">
        <v>7</v>
      </c>
      <c r="T3170">
        <v>206</v>
      </c>
      <c r="U3170" s="1">
        <v>37866</v>
      </c>
      <c r="V3170" t="s">
        <v>5644</v>
      </c>
      <c r="W3170" t="s">
        <v>5645</v>
      </c>
      <c r="X3170" t="s">
        <v>58</v>
      </c>
      <c r="Y3170">
        <v>20</v>
      </c>
      <c r="Z3170" t="s">
        <v>59</v>
      </c>
      <c r="AA3170" t="s">
        <v>59</v>
      </c>
      <c r="AB3170" t="s">
        <v>59</v>
      </c>
      <c r="AC3170" t="s">
        <v>59</v>
      </c>
      <c r="AD3170" t="s">
        <v>59</v>
      </c>
      <c r="AF3170" s="1">
        <v>37866</v>
      </c>
      <c r="AG3170" t="s">
        <v>148</v>
      </c>
      <c r="AH3170" t="s">
        <v>149</v>
      </c>
      <c r="AI3170" t="str">
        <f>"4151030"</f>
        <v>4151030</v>
      </c>
      <c r="AJ3170" t="s">
        <v>5681</v>
      </c>
      <c r="AK3170">
        <v>2831023422</v>
      </c>
      <c r="AL3170" t="s">
        <v>5682</v>
      </c>
      <c r="AM3170" t="s">
        <v>64</v>
      </c>
      <c r="AN3170" t="s">
        <v>65</v>
      </c>
      <c r="AO3170" t="s">
        <v>65</v>
      </c>
      <c r="AP3170" t="s">
        <v>65</v>
      </c>
      <c r="AQ3170">
        <v>1</v>
      </c>
      <c r="AR3170" t="s">
        <v>5644</v>
      </c>
      <c r="AS3170" t="s">
        <v>5645</v>
      </c>
      <c r="AT3170" t="s">
        <v>58</v>
      </c>
      <c r="AU3170" t="s">
        <v>68</v>
      </c>
      <c r="AV3170" t="s">
        <v>69</v>
      </c>
      <c r="AW3170" s="1">
        <v>25752</v>
      </c>
      <c r="AX3170">
        <v>2</v>
      </c>
    </row>
    <row r="3171" spans="1:50">
      <c r="B3171" t="str">
        <f>"302351966"</f>
        <v>302351966</v>
      </c>
      <c r="C3171" t="s">
        <v>50</v>
      </c>
      <c r="D3171" t="s">
        <v>6246</v>
      </c>
      <c r="E3171" t="s">
        <v>52</v>
      </c>
      <c r="F3171" t="s">
        <v>72</v>
      </c>
      <c r="G3171" t="s">
        <v>83</v>
      </c>
      <c r="H3171" t="str">
        <f>"ΨΥΧΟΥΝΤΑΚΗ 2 ΡΕΘΥΜΝΟ"</f>
        <v>ΨΥΧΟΥΝΤΑΚΗ 2 ΡΕΘΥΜΝΟ</v>
      </c>
      <c r="I3171">
        <v>74100</v>
      </c>
      <c r="J3171">
        <v>2831022853</v>
      </c>
      <c r="K3171">
        <v>6938871321</v>
      </c>
      <c r="N3171" t="s">
        <v>500</v>
      </c>
      <c r="O3171" t="s">
        <v>501</v>
      </c>
      <c r="R3171" t="s">
        <v>121</v>
      </c>
      <c r="S3171">
        <v>3</v>
      </c>
      <c r="T3171" t="s">
        <v>122</v>
      </c>
      <c r="U3171" s="1">
        <v>43348</v>
      </c>
      <c r="V3171" t="s">
        <v>5644</v>
      </c>
      <c r="W3171" t="s">
        <v>5645</v>
      </c>
      <c r="X3171" t="s">
        <v>58</v>
      </c>
      <c r="Y3171">
        <v>23</v>
      </c>
      <c r="Z3171" t="s">
        <v>59</v>
      </c>
      <c r="AA3171" t="s">
        <v>59</v>
      </c>
      <c r="AB3171" t="s">
        <v>59</v>
      </c>
      <c r="AC3171" t="s">
        <v>59</v>
      </c>
      <c r="AD3171" t="s">
        <v>59</v>
      </c>
      <c r="AF3171" s="1">
        <v>43348</v>
      </c>
      <c r="AG3171" t="s">
        <v>137</v>
      </c>
      <c r="AH3171" t="s">
        <v>138</v>
      </c>
      <c r="AI3171" t="str">
        <f>"4150040"</f>
        <v>4150040</v>
      </c>
      <c r="AJ3171" t="s">
        <v>5661</v>
      </c>
      <c r="AK3171">
        <v>2831029048</v>
      </c>
      <c r="AL3171" t="s">
        <v>5662</v>
      </c>
      <c r="AM3171" t="s">
        <v>64</v>
      </c>
      <c r="AN3171" t="s">
        <v>65</v>
      </c>
      <c r="AO3171" t="s">
        <v>65</v>
      </c>
      <c r="AP3171" t="s">
        <v>65</v>
      </c>
      <c r="AQ3171">
        <v>1</v>
      </c>
      <c r="AR3171" t="s">
        <v>5644</v>
      </c>
      <c r="AS3171" t="s">
        <v>5645</v>
      </c>
      <c r="AT3171" t="s">
        <v>58</v>
      </c>
      <c r="AU3171" t="s">
        <v>131</v>
      </c>
      <c r="AV3171" t="s">
        <v>132</v>
      </c>
      <c r="AW3171" s="1">
        <v>28378</v>
      </c>
      <c r="AX3171">
        <v>2</v>
      </c>
    </row>
    <row r="3172" spans="1:50">
      <c r="A3172">
        <v>216495</v>
      </c>
      <c r="B3172" t="str">
        <f>"076865325"</f>
        <v>076865325</v>
      </c>
      <c r="C3172" t="s">
        <v>105</v>
      </c>
      <c r="D3172" t="s">
        <v>2763</v>
      </c>
      <c r="E3172" t="s">
        <v>53</v>
      </c>
      <c r="F3172" t="s">
        <v>84</v>
      </c>
      <c r="G3172" t="s">
        <v>83</v>
      </c>
      <c r="H3172" t="str">
        <f>"ΣΤΑΜΑΘΙΟΥΔΑΚΗ 75 ΡΕΘΥΜΝΟ"</f>
        <v>ΣΤΑΜΑΘΙΟΥΔΑΚΗ 75 ΡΕΘΥΜΝΟ</v>
      </c>
      <c r="I3172">
        <v>74100</v>
      </c>
      <c r="K3172">
        <v>6972839396</v>
      </c>
      <c r="N3172" t="s">
        <v>176</v>
      </c>
      <c r="O3172" t="s">
        <v>177</v>
      </c>
      <c r="P3172" t="s">
        <v>1116</v>
      </c>
      <c r="Q3172" t="s">
        <v>1117</v>
      </c>
      <c r="R3172" t="s">
        <v>57</v>
      </c>
      <c r="S3172">
        <v>10</v>
      </c>
      <c r="T3172">
        <v>236</v>
      </c>
      <c r="U3172" s="1">
        <v>38961</v>
      </c>
      <c r="V3172" t="s">
        <v>5644</v>
      </c>
      <c r="W3172" t="s">
        <v>5645</v>
      </c>
      <c r="X3172" t="s">
        <v>58</v>
      </c>
      <c r="Y3172">
        <v>20</v>
      </c>
      <c r="Z3172" t="s">
        <v>59</v>
      </c>
      <c r="AA3172" t="s">
        <v>59</v>
      </c>
      <c r="AB3172" t="s">
        <v>59</v>
      </c>
      <c r="AC3172" t="s">
        <v>59</v>
      </c>
      <c r="AD3172" t="s">
        <v>59</v>
      </c>
      <c r="AF3172" s="1">
        <v>38961</v>
      </c>
      <c r="AG3172" t="s">
        <v>125</v>
      </c>
      <c r="AH3172" t="s">
        <v>126</v>
      </c>
      <c r="AI3172" t="str">
        <f>"4101040"</f>
        <v>4101040</v>
      </c>
      <c r="AJ3172" t="s">
        <v>5732</v>
      </c>
      <c r="AK3172">
        <v>2831029261</v>
      </c>
      <c r="AL3172" t="s">
        <v>5733</v>
      </c>
      <c r="AM3172" t="s">
        <v>64</v>
      </c>
      <c r="AN3172" t="s">
        <v>65</v>
      </c>
      <c r="AO3172" t="s">
        <v>65</v>
      </c>
      <c r="AP3172" t="s">
        <v>65</v>
      </c>
      <c r="AQ3172">
        <v>1</v>
      </c>
      <c r="AR3172" t="s">
        <v>5644</v>
      </c>
      <c r="AS3172" t="s">
        <v>5645</v>
      </c>
      <c r="AT3172" t="s">
        <v>58</v>
      </c>
      <c r="AU3172" t="s">
        <v>68</v>
      </c>
      <c r="AV3172" t="s">
        <v>69</v>
      </c>
      <c r="AW3172" s="1">
        <v>26104</v>
      </c>
      <c r="AX3172">
        <v>2</v>
      </c>
    </row>
    <row r="3173" spans="1:50">
      <c r="A3173">
        <v>152281</v>
      </c>
      <c r="B3173" t="str">
        <f>"100089318"</f>
        <v>100089318</v>
      </c>
      <c r="C3173" t="s">
        <v>50</v>
      </c>
      <c r="D3173" t="s">
        <v>6247</v>
      </c>
      <c r="E3173" t="s">
        <v>1588</v>
      </c>
      <c r="F3173" t="s">
        <v>166</v>
      </c>
      <c r="G3173" t="s">
        <v>181</v>
      </c>
      <c r="H3173" t="str">
        <f>"ΑΓΙΑ ΠΕΛΑΓΙΑ ΜΙΣΙΡΙΑ ΡΕΘΥΜΝΟ"</f>
        <v>ΑΓΙΑ ΠΕΛΑΓΙΑ ΜΙΣΙΡΙΑ ΡΕΘΥΜΝΟ</v>
      </c>
      <c r="I3173">
        <v>74100</v>
      </c>
      <c r="J3173">
        <v>2831052375</v>
      </c>
      <c r="K3173">
        <v>6977450067</v>
      </c>
      <c r="M3173" t="s">
        <v>6248</v>
      </c>
      <c r="N3173" t="s">
        <v>146</v>
      </c>
      <c r="O3173" t="s">
        <v>147</v>
      </c>
      <c r="R3173" t="s">
        <v>57</v>
      </c>
      <c r="S3173">
        <v>16</v>
      </c>
      <c r="T3173">
        <v>193</v>
      </c>
      <c r="U3173" s="1">
        <v>32042</v>
      </c>
      <c r="V3173" t="s">
        <v>5644</v>
      </c>
      <c r="W3173" t="s">
        <v>5645</v>
      </c>
      <c r="X3173" t="s">
        <v>58</v>
      </c>
      <c r="Y3173">
        <v>18</v>
      </c>
      <c r="Z3173" t="s">
        <v>59</v>
      </c>
      <c r="AA3173" t="s">
        <v>59</v>
      </c>
      <c r="AB3173" t="s">
        <v>59</v>
      </c>
      <c r="AC3173" t="s">
        <v>59</v>
      </c>
      <c r="AD3173" t="s">
        <v>59</v>
      </c>
      <c r="AF3173" s="1">
        <v>32042</v>
      </c>
      <c r="AG3173" t="s">
        <v>148</v>
      </c>
      <c r="AH3173" t="s">
        <v>149</v>
      </c>
      <c r="AI3173" t="str">
        <f>"4154010"</f>
        <v>4154010</v>
      </c>
      <c r="AJ3173" t="s">
        <v>5687</v>
      </c>
      <c r="AK3173">
        <v>2834023300</v>
      </c>
      <c r="AL3173" t="s">
        <v>5688</v>
      </c>
      <c r="AM3173" t="s">
        <v>64</v>
      </c>
      <c r="AN3173" t="s">
        <v>5672</v>
      </c>
      <c r="AO3173" t="s">
        <v>5673</v>
      </c>
      <c r="AP3173" t="s">
        <v>5689</v>
      </c>
      <c r="AQ3173">
        <v>2</v>
      </c>
      <c r="AR3173" t="s">
        <v>5644</v>
      </c>
      <c r="AS3173" t="s">
        <v>5645</v>
      </c>
      <c r="AT3173" t="s">
        <v>58</v>
      </c>
      <c r="AU3173" t="s">
        <v>68</v>
      </c>
      <c r="AV3173" t="s">
        <v>69</v>
      </c>
      <c r="AW3173" s="1">
        <v>22391</v>
      </c>
      <c r="AX3173">
        <v>2</v>
      </c>
    </row>
    <row r="3174" spans="1:50">
      <c r="B3174" t="str">
        <f>"138992830"</f>
        <v>138992830</v>
      </c>
      <c r="C3174" t="s">
        <v>50</v>
      </c>
      <c r="D3174" t="s">
        <v>2769</v>
      </c>
      <c r="E3174" t="s">
        <v>83</v>
      </c>
      <c r="F3174" t="s">
        <v>53</v>
      </c>
      <c r="G3174" t="s">
        <v>52</v>
      </c>
      <c r="H3174" t="str">
        <f>" "</f>
        <v xml:space="preserve"> </v>
      </c>
      <c r="N3174" t="s">
        <v>5128</v>
      </c>
      <c r="O3174" t="s">
        <v>5129</v>
      </c>
      <c r="R3174" t="s">
        <v>159</v>
      </c>
      <c r="S3174">
        <v>3</v>
      </c>
      <c r="T3174" t="s">
        <v>344</v>
      </c>
      <c r="U3174" s="1">
        <v>43348</v>
      </c>
      <c r="V3174" t="s">
        <v>5644</v>
      </c>
      <c r="W3174" t="s">
        <v>5645</v>
      </c>
      <c r="X3174" t="s">
        <v>58</v>
      </c>
      <c r="Y3174">
        <v>23</v>
      </c>
      <c r="Z3174" t="s">
        <v>59</v>
      </c>
      <c r="AA3174" t="s">
        <v>59</v>
      </c>
      <c r="AB3174" t="s">
        <v>59</v>
      </c>
      <c r="AD3174" t="s">
        <v>59</v>
      </c>
      <c r="AF3174" s="1">
        <v>43348</v>
      </c>
      <c r="AG3174" t="s">
        <v>125</v>
      </c>
      <c r="AH3174" t="s">
        <v>590</v>
      </c>
      <c r="AI3174" t="str">
        <f>"4111001"</f>
        <v>4111001</v>
      </c>
      <c r="AJ3174" t="s">
        <v>6249</v>
      </c>
      <c r="AK3174">
        <v>2831031320</v>
      </c>
      <c r="AL3174" t="s">
        <v>6250</v>
      </c>
      <c r="AM3174" t="s">
        <v>64</v>
      </c>
      <c r="AN3174" t="s">
        <v>65</v>
      </c>
      <c r="AO3174" t="s">
        <v>65</v>
      </c>
      <c r="AP3174" t="s">
        <v>65</v>
      </c>
      <c r="AQ3174">
        <v>1</v>
      </c>
      <c r="AR3174" t="s">
        <v>5644</v>
      </c>
      <c r="AS3174" t="s">
        <v>5645</v>
      </c>
      <c r="AT3174" t="s">
        <v>58</v>
      </c>
      <c r="AU3174" t="s">
        <v>350</v>
      </c>
      <c r="AV3174" t="s">
        <v>132</v>
      </c>
      <c r="AW3174" s="1">
        <v>31923</v>
      </c>
      <c r="AX3174">
        <v>2</v>
      </c>
    </row>
    <row r="3175" spans="1:50">
      <c r="A3175">
        <v>219650</v>
      </c>
      <c r="B3175" t="str">
        <f>"104436914"</f>
        <v>104436914</v>
      </c>
      <c r="C3175" t="s">
        <v>105</v>
      </c>
      <c r="D3175" t="s">
        <v>6251</v>
      </c>
      <c r="E3175" t="s">
        <v>53</v>
      </c>
      <c r="F3175" t="s">
        <v>6252</v>
      </c>
      <c r="G3175" t="s">
        <v>54</v>
      </c>
      <c r="H3175" t="str">
        <f>"ΖΑΜΠΕΛΙΟΥ 8 ΡΕΘΥΜΝΟ"</f>
        <v>ΖΑΜΠΕΛΙΟΥ 8 ΡΕΘΥΜΝΟ</v>
      </c>
      <c r="I3175">
        <v>74100</v>
      </c>
      <c r="J3175">
        <v>2821057513</v>
      </c>
      <c r="K3175">
        <v>6972693024</v>
      </c>
      <c r="N3175" t="s">
        <v>299</v>
      </c>
      <c r="O3175" t="s">
        <v>300</v>
      </c>
      <c r="R3175" t="s">
        <v>57</v>
      </c>
      <c r="S3175">
        <v>7</v>
      </c>
      <c r="T3175">
        <v>599</v>
      </c>
      <c r="U3175" s="1">
        <v>39310</v>
      </c>
      <c r="V3175" t="s">
        <v>5644</v>
      </c>
      <c r="W3175" t="s">
        <v>5645</v>
      </c>
      <c r="X3175" t="s">
        <v>58</v>
      </c>
      <c r="Y3175">
        <v>21</v>
      </c>
      <c r="Z3175" t="s">
        <v>59</v>
      </c>
      <c r="AA3175" t="s">
        <v>59</v>
      </c>
      <c r="AB3175" t="s">
        <v>59</v>
      </c>
      <c r="AC3175" t="s">
        <v>59</v>
      </c>
      <c r="AD3175" t="s">
        <v>59</v>
      </c>
      <c r="AF3175" s="1">
        <v>39328</v>
      </c>
      <c r="AG3175" t="s">
        <v>148</v>
      </c>
      <c r="AH3175" t="s">
        <v>149</v>
      </c>
      <c r="AI3175" t="str">
        <f>"4153010"</f>
        <v>4153010</v>
      </c>
      <c r="AJ3175" t="s">
        <v>5670</v>
      </c>
      <c r="AK3175">
        <v>2834052090</v>
      </c>
      <c r="AL3175" t="s">
        <v>5671</v>
      </c>
      <c r="AM3175" t="s">
        <v>64</v>
      </c>
      <c r="AN3175" t="s">
        <v>5672</v>
      </c>
      <c r="AO3175" t="s">
        <v>5673</v>
      </c>
      <c r="AP3175" t="s">
        <v>5674</v>
      </c>
      <c r="AQ3175">
        <v>2</v>
      </c>
      <c r="AR3175" t="s">
        <v>5644</v>
      </c>
      <c r="AS3175" t="s">
        <v>5645</v>
      </c>
      <c r="AT3175" t="s">
        <v>58</v>
      </c>
      <c r="AU3175" t="s">
        <v>68</v>
      </c>
      <c r="AV3175" t="s">
        <v>69</v>
      </c>
      <c r="AW3175" s="1">
        <v>28312</v>
      </c>
      <c r="AX3175">
        <v>2</v>
      </c>
    </row>
    <row r="3176" spans="1:50">
      <c r="A3176">
        <v>188046</v>
      </c>
      <c r="B3176" t="str">
        <f>"061224863"</f>
        <v>061224863</v>
      </c>
      <c r="C3176" t="s">
        <v>105</v>
      </c>
      <c r="D3176" t="s">
        <v>6253</v>
      </c>
      <c r="E3176" t="s">
        <v>6254</v>
      </c>
      <c r="F3176" t="s">
        <v>670</v>
      </c>
      <c r="G3176" t="s">
        <v>112</v>
      </c>
      <c r="H3176" t="str">
        <f>"Ν. ΑΣΚΟΥΤΣΗ 74 "</f>
        <v xml:space="preserve">Ν. ΑΣΚΟΥΤΣΗ 74 </v>
      </c>
      <c r="I3176">
        <v>74132</v>
      </c>
      <c r="K3176">
        <v>6977691764</v>
      </c>
      <c r="N3176" t="s">
        <v>204</v>
      </c>
      <c r="O3176" t="s">
        <v>205</v>
      </c>
      <c r="R3176" t="s">
        <v>57</v>
      </c>
      <c r="S3176">
        <v>9</v>
      </c>
      <c r="T3176">
        <v>251</v>
      </c>
      <c r="U3176" s="1">
        <v>36769</v>
      </c>
      <c r="V3176" t="s">
        <v>5644</v>
      </c>
      <c r="W3176" t="s">
        <v>5645</v>
      </c>
      <c r="X3176" t="s">
        <v>58</v>
      </c>
      <c r="Y3176">
        <v>20</v>
      </c>
      <c r="Z3176" t="s">
        <v>59</v>
      </c>
      <c r="AA3176" t="s">
        <v>59</v>
      </c>
      <c r="AB3176" t="s">
        <v>59</v>
      </c>
      <c r="AC3176" t="s">
        <v>59</v>
      </c>
      <c r="AD3176" t="s">
        <v>59</v>
      </c>
      <c r="AF3176" s="1">
        <v>36769</v>
      </c>
      <c r="AG3176" t="s">
        <v>137</v>
      </c>
      <c r="AH3176" t="s">
        <v>138</v>
      </c>
      <c r="AI3176" t="str">
        <f>"4150040"</f>
        <v>4150040</v>
      </c>
      <c r="AJ3176" t="s">
        <v>5661</v>
      </c>
      <c r="AK3176">
        <v>2831029048</v>
      </c>
      <c r="AL3176" t="s">
        <v>5662</v>
      </c>
      <c r="AM3176" t="s">
        <v>64</v>
      </c>
      <c r="AN3176" t="s">
        <v>65</v>
      </c>
      <c r="AO3176" t="s">
        <v>65</v>
      </c>
      <c r="AP3176" t="s">
        <v>65</v>
      </c>
      <c r="AQ3176">
        <v>1</v>
      </c>
      <c r="AR3176" t="s">
        <v>5644</v>
      </c>
      <c r="AS3176" t="s">
        <v>5645</v>
      </c>
      <c r="AT3176" t="s">
        <v>58</v>
      </c>
      <c r="AU3176" t="s">
        <v>68</v>
      </c>
      <c r="AV3176" t="s">
        <v>69</v>
      </c>
      <c r="AW3176" s="1">
        <v>26891</v>
      </c>
      <c r="AX3176">
        <v>2</v>
      </c>
    </row>
    <row r="3177" spans="1:50">
      <c r="B3177" t="str">
        <f>"105524291"</f>
        <v>105524291</v>
      </c>
      <c r="C3177" t="s">
        <v>50</v>
      </c>
      <c r="D3177" t="s">
        <v>6255</v>
      </c>
      <c r="E3177" t="s">
        <v>52</v>
      </c>
      <c r="F3177" t="s">
        <v>108</v>
      </c>
      <c r="G3177" t="s">
        <v>191</v>
      </c>
      <c r="H3177" t="str">
        <f>"ΦΑΡΡΩΝ 58 "</f>
        <v xml:space="preserve">ΦΑΡΡΩΝ 58 </v>
      </c>
      <c r="I3177">
        <v>11147</v>
      </c>
      <c r="J3177">
        <v>2102916992</v>
      </c>
      <c r="K3177">
        <v>6973896693</v>
      </c>
      <c r="N3177" t="s">
        <v>246</v>
      </c>
      <c r="O3177" t="s">
        <v>247</v>
      </c>
      <c r="R3177" t="s">
        <v>159</v>
      </c>
      <c r="S3177">
        <v>4</v>
      </c>
      <c r="T3177" t="s">
        <v>416</v>
      </c>
      <c r="U3177" s="1">
        <v>43349</v>
      </c>
      <c r="V3177" t="s">
        <v>5644</v>
      </c>
      <c r="W3177" t="s">
        <v>5645</v>
      </c>
      <c r="X3177" t="s">
        <v>58</v>
      </c>
      <c r="Y3177">
        <v>21</v>
      </c>
      <c r="Z3177" t="s">
        <v>59</v>
      </c>
      <c r="AA3177" t="s">
        <v>59</v>
      </c>
      <c r="AB3177" t="s">
        <v>59</v>
      </c>
      <c r="AC3177" t="s">
        <v>59</v>
      </c>
      <c r="AD3177" t="s">
        <v>59</v>
      </c>
      <c r="AF3177" s="1">
        <v>43349</v>
      </c>
      <c r="AG3177" t="s">
        <v>148</v>
      </c>
      <c r="AH3177" t="s">
        <v>149</v>
      </c>
      <c r="AI3177" t="str">
        <f>"4144001"</f>
        <v>4144001</v>
      </c>
      <c r="AJ3177" t="s">
        <v>5718</v>
      </c>
      <c r="AK3177">
        <v>2831033277</v>
      </c>
      <c r="AL3177" t="s">
        <v>5719</v>
      </c>
      <c r="AM3177" t="s">
        <v>64</v>
      </c>
      <c r="AN3177" t="s">
        <v>65</v>
      </c>
      <c r="AO3177" t="s">
        <v>5720</v>
      </c>
      <c r="AP3177" t="s">
        <v>5721</v>
      </c>
      <c r="AQ3177">
        <v>1</v>
      </c>
      <c r="AR3177" t="s">
        <v>5644</v>
      </c>
      <c r="AS3177" t="s">
        <v>5645</v>
      </c>
      <c r="AT3177" t="s">
        <v>58</v>
      </c>
      <c r="AU3177" t="s">
        <v>419</v>
      </c>
      <c r="AV3177" t="s">
        <v>132</v>
      </c>
      <c r="AW3177" s="1">
        <v>27075</v>
      </c>
      <c r="AX3177">
        <v>2</v>
      </c>
    </row>
    <row r="3178" spans="1:50">
      <c r="A3178">
        <v>205392</v>
      </c>
      <c r="B3178" t="str">
        <f>"068955240"</f>
        <v>068955240</v>
      </c>
      <c r="C3178" t="s">
        <v>105</v>
      </c>
      <c r="D3178" t="s">
        <v>6256</v>
      </c>
      <c r="E3178" t="s">
        <v>1041</v>
      </c>
      <c r="F3178" t="s">
        <v>450</v>
      </c>
      <c r="G3178" t="s">
        <v>484</v>
      </c>
      <c r="H3178" t="str">
        <f>"ΧΟΡΤΑΤΖΗ 49 ΡΕΘΥΜΝΟ"</f>
        <v>ΧΟΡΤΑΤΖΗ 49 ΡΕΘΥΜΝΟ</v>
      </c>
      <c r="I3178">
        <v>74100</v>
      </c>
      <c r="J3178">
        <v>2831055637</v>
      </c>
      <c r="K3178">
        <v>6936060573</v>
      </c>
      <c r="N3178" t="s">
        <v>204</v>
      </c>
      <c r="O3178" t="s">
        <v>205</v>
      </c>
      <c r="R3178" t="s">
        <v>57</v>
      </c>
      <c r="S3178">
        <v>7</v>
      </c>
      <c r="T3178">
        <v>231</v>
      </c>
      <c r="U3178" s="1">
        <v>38230</v>
      </c>
      <c r="V3178" t="s">
        <v>5644</v>
      </c>
      <c r="W3178" t="s">
        <v>5645</v>
      </c>
      <c r="X3178" t="s">
        <v>58</v>
      </c>
      <c r="Y3178">
        <v>20</v>
      </c>
      <c r="Z3178" t="s">
        <v>59</v>
      </c>
      <c r="AA3178" t="s">
        <v>59</v>
      </c>
      <c r="AB3178" t="s">
        <v>59</v>
      </c>
      <c r="AC3178" t="s">
        <v>59</v>
      </c>
      <c r="AD3178" t="s">
        <v>59</v>
      </c>
      <c r="AF3178" s="1">
        <v>38230</v>
      </c>
      <c r="AG3178" t="s">
        <v>125</v>
      </c>
      <c r="AH3178" t="s">
        <v>126</v>
      </c>
      <c r="AI3178" t="str">
        <f>"4103010"</f>
        <v>4103010</v>
      </c>
      <c r="AJ3178" t="s">
        <v>5684</v>
      </c>
      <c r="AK3178">
        <v>2834051206</v>
      </c>
      <c r="AL3178" t="s">
        <v>5685</v>
      </c>
      <c r="AM3178" t="s">
        <v>64</v>
      </c>
      <c r="AN3178" t="s">
        <v>5672</v>
      </c>
      <c r="AO3178" t="s">
        <v>5673</v>
      </c>
      <c r="AP3178" t="s">
        <v>5674</v>
      </c>
      <c r="AQ3178">
        <v>2</v>
      </c>
      <c r="AR3178" t="s">
        <v>5644</v>
      </c>
      <c r="AS3178" t="s">
        <v>5645</v>
      </c>
      <c r="AT3178" t="s">
        <v>58</v>
      </c>
      <c r="AU3178" t="s">
        <v>68</v>
      </c>
      <c r="AV3178" t="s">
        <v>69</v>
      </c>
      <c r="AW3178" s="1">
        <v>27185</v>
      </c>
      <c r="AX3178">
        <v>2</v>
      </c>
    </row>
    <row r="3179" spans="1:50">
      <c r="A3179">
        <v>207907</v>
      </c>
      <c r="B3179" t="str">
        <f>"054071434"</f>
        <v>054071434</v>
      </c>
      <c r="C3179" t="s">
        <v>50</v>
      </c>
      <c r="D3179" t="s">
        <v>6257</v>
      </c>
      <c r="E3179" t="s">
        <v>513</v>
      </c>
      <c r="F3179" t="s">
        <v>106</v>
      </c>
      <c r="G3179" t="s">
        <v>6258</v>
      </c>
      <c r="H3179" t="str">
        <f>"ΑΠΟΔΗΜΩΝ ΚΡΗΤΩΝ 6 ΚΑΛΛΙΘΕΑ"</f>
        <v>ΑΠΟΔΗΜΩΝ ΚΡΗΤΩΝ 6 ΚΑΛΛΙΘΕΑ</v>
      </c>
      <c r="I3179">
        <v>74100</v>
      </c>
      <c r="J3179">
        <v>2831026982</v>
      </c>
      <c r="K3179">
        <v>6972745229</v>
      </c>
      <c r="N3179" t="s">
        <v>299</v>
      </c>
      <c r="O3179" t="s">
        <v>300</v>
      </c>
      <c r="P3179" t="s">
        <v>1525</v>
      </c>
      <c r="Q3179" t="s">
        <v>1526</v>
      </c>
      <c r="R3179" t="s">
        <v>57</v>
      </c>
      <c r="S3179">
        <v>6</v>
      </c>
      <c r="T3179" t="s">
        <v>6259</v>
      </c>
      <c r="U3179" s="1">
        <v>38596</v>
      </c>
      <c r="V3179" t="s">
        <v>5644</v>
      </c>
      <c r="W3179" t="s">
        <v>5645</v>
      </c>
      <c r="X3179" t="s">
        <v>58</v>
      </c>
      <c r="Y3179">
        <v>20</v>
      </c>
      <c r="Z3179" t="s">
        <v>59</v>
      </c>
      <c r="AA3179" t="s">
        <v>59</v>
      </c>
      <c r="AB3179" t="s">
        <v>59</v>
      </c>
      <c r="AC3179" t="s">
        <v>59</v>
      </c>
      <c r="AD3179" t="s">
        <v>59</v>
      </c>
      <c r="AF3179" s="1">
        <v>38603</v>
      </c>
      <c r="AG3179" t="s">
        <v>137</v>
      </c>
      <c r="AH3179" t="s">
        <v>469</v>
      </c>
      <c r="AI3179" t="str">
        <f>"4150045"</f>
        <v>4150045</v>
      </c>
      <c r="AJ3179" t="s">
        <v>5871</v>
      </c>
      <c r="AK3179">
        <v>2831022248</v>
      </c>
      <c r="AL3179" t="s">
        <v>5872</v>
      </c>
      <c r="AM3179" t="s">
        <v>64</v>
      </c>
      <c r="AN3179" t="s">
        <v>65</v>
      </c>
      <c r="AO3179" t="s">
        <v>65</v>
      </c>
      <c r="AP3179" t="s">
        <v>65</v>
      </c>
      <c r="AQ3179">
        <v>1</v>
      </c>
      <c r="AR3179" t="s">
        <v>5644</v>
      </c>
      <c r="AS3179" t="s">
        <v>5645</v>
      </c>
      <c r="AT3179" t="s">
        <v>58</v>
      </c>
      <c r="AU3179" t="s">
        <v>68</v>
      </c>
      <c r="AV3179" t="s">
        <v>69</v>
      </c>
      <c r="AW3179" s="1">
        <v>26756</v>
      </c>
      <c r="AX3179">
        <v>2</v>
      </c>
    </row>
    <row r="3180" spans="1:50">
      <c r="A3180">
        <v>171456</v>
      </c>
      <c r="B3180" t="str">
        <f>"027370490"</f>
        <v>027370490</v>
      </c>
      <c r="C3180" t="s">
        <v>50</v>
      </c>
      <c r="D3180" t="s">
        <v>6257</v>
      </c>
      <c r="E3180" t="s">
        <v>96</v>
      </c>
      <c r="F3180" t="s">
        <v>1093</v>
      </c>
      <c r="G3180" t="s">
        <v>4220</v>
      </c>
      <c r="H3180" t="str">
        <f>"ΒΑΡΝΑΛΗ 10 ΡΕΘΥΜΝΟ"</f>
        <v>ΒΑΡΝΑΛΗ 10 ΡΕΘΥΜΝΟ</v>
      </c>
      <c r="I3180">
        <v>74100</v>
      </c>
      <c r="J3180">
        <v>2831050507</v>
      </c>
      <c r="K3180">
        <v>6983800827</v>
      </c>
      <c r="N3180" t="s">
        <v>299</v>
      </c>
      <c r="O3180" t="s">
        <v>300</v>
      </c>
      <c r="R3180" t="s">
        <v>57</v>
      </c>
      <c r="S3180">
        <v>16</v>
      </c>
      <c r="T3180">
        <v>184</v>
      </c>
      <c r="U3180" s="1">
        <v>34941</v>
      </c>
      <c r="V3180" t="s">
        <v>5644</v>
      </c>
      <c r="W3180" t="s">
        <v>5645</v>
      </c>
      <c r="X3180" t="s">
        <v>58</v>
      </c>
      <c r="Y3180">
        <v>18</v>
      </c>
      <c r="Z3180" t="s">
        <v>59</v>
      </c>
      <c r="AA3180" t="s">
        <v>59</v>
      </c>
      <c r="AB3180" t="s">
        <v>59</v>
      </c>
      <c r="AC3180" t="s">
        <v>59</v>
      </c>
      <c r="AD3180" t="s">
        <v>59</v>
      </c>
      <c r="AF3180" s="1">
        <v>34941</v>
      </c>
      <c r="AG3180" t="s">
        <v>148</v>
      </c>
      <c r="AH3180" t="s">
        <v>149</v>
      </c>
      <c r="AI3180" t="str">
        <f>"4151020"</f>
        <v>4151020</v>
      </c>
      <c r="AJ3180" t="s">
        <v>5725</v>
      </c>
      <c r="AK3180">
        <v>2831022475</v>
      </c>
      <c r="AL3180" t="s">
        <v>5726</v>
      </c>
      <c r="AM3180" t="s">
        <v>64</v>
      </c>
      <c r="AN3180" t="s">
        <v>65</v>
      </c>
      <c r="AO3180" t="s">
        <v>65</v>
      </c>
      <c r="AP3180" t="s">
        <v>65</v>
      </c>
      <c r="AQ3180">
        <v>1</v>
      </c>
      <c r="AR3180" t="s">
        <v>5644</v>
      </c>
      <c r="AS3180" t="s">
        <v>5645</v>
      </c>
      <c r="AT3180" t="s">
        <v>58</v>
      </c>
      <c r="AU3180" t="s">
        <v>68</v>
      </c>
      <c r="AV3180" t="s">
        <v>69</v>
      </c>
      <c r="AW3180" s="1">
        <v>20486</v>
      </c>
      <c r="AX3180">
        <v>2</v>
      </c>
    </row>
    <row r="3181" spans="1:50">
      <c r="A3181">
        <v>207033</v>
      </c>
      <c r="B3181" t="str">
        <f>"047061518"</f>
        <v>047061518</v>
      </c>
      <c r="C3181" t="s">
        <v>50</v>
      </c>
      <c r="D3181" t="s">
        <v>6260</v>
      </c>
      <c r="E3181" t="s">
        <v>52</v>
      </c>
      <c r="F3181" t="s">
        <v>383</v>
      </c>
      <c r="G3181" t="s">
        <v>5955</v>
      </c>
      <c r="H3181" t="str">
        <f>"ΑΝΩΓΕΙΑ ΑΝΩΓΕΙΑ"</f>
        <v>ΑΝΩΓΕΙΑ ΑΝΩΓΕΙΑ</v>
      </c>
      <c r="I3181">
        <v>74051</v>
      </c>
      <c r="J3181">
        <v>2834031747</v>
      </c>
      <c r="K3181">
        <v>6979083196</v>
      </c>
      <c r="M3181" t="s">
        <v>6261</v>
      </c>
      <c r="N3181" t="s">
        <v>292</v>
      </c>
      <c r="O3181" t="s">
        <v>293</v>
      </c>
      <c r="R3181" t="s">
        <v>57</v>
      </c>
      <c r="S3181">
        <v>8</v>
      </c>
      <c r="T3181">
        <v>218</v>
      </c>
      <c r="U3181" s="1">
        <v>38596</v>
      </c>
      <c r="V3181" t="s">
        <v>5644</v>
      </c>
      <c r="W3181" t="s">
        <v>5645</v>
      </c>
      <c r="X3181" t="s">
        <v>58</v>
      </c>
      <c r="Y3181">
        <v>20</v>
      </c>
      <c r="Z3181" t="s">
        <v>59</v>
      </c>
      <c r="AA3181" t="s">
        <v>59</v>
      </c>
      <c r="AB3181" t="s">
        <v>59</v>
      </c>
      <c r="AC3181" t="s">
        <v>59</v>
      </c>
      <c r="AD3181" t="s">
        <v>59</v>
      </c>
      <c r="AF3181" s="1">
        <v>38596</v>
      </c>
      <c r="AG3181" t="s">
        <v>148</v>
      </c>
      <c r="AH3181" t="s">
        <v>149</v>
      </c>
      <c r="AI3181" t="str">
        <f>"4152010"</f>
        <v>4152010</v>
      </c>
      <c r="AJ3181" t="s">
        <v>5739</v>
      </c>
      <c r="AK3181">
        <v>2834031205</v>
      </c>
      <c r="AL3181" t="s">
        <v>5740</v>
      </c>
      <c r="AM3181" t="s">
        <v>64</v>
      </c>
      <c r="AN3181" t="s">
        <v>5737</v>
      </c>
      <c r="AO3181" t="s">
        <v>5737</v>
      </c>
      <c r="AP3181" t="s">
        <v>5737</v>
      </c>
      <c r="AQ3181">
        <v>3</v>
      </c>
      <c r="AR3181" t="s">
        <v>5644</v>
      </c>
      <c r="AS3181" t="s">
        <v>5645</v>
      </c>
      <c r="AT3181" t="s">
        <v>58</v>
      </c>
      <c r="AU3181" t="s">
        <v>68</v>
      </c>
      <c r="AV3181" t="s">
        <v>69</v>
      </c>
      <c r="AW3181" s="1">
        <v>22730</v>
      </c>
      <c r="AX3181">
        <v>2</v>
      </c>
    </row>
    <row r="3182" spans="1:50">
      <c r="B3182" t="str">
        <f>"116204123"</f>
        <v>116204123</v>
      </c>
      <c r="C3182" t="s">
        <v>50</v>
      </c>
      <c r="D3182" t="s">
        <v>6262</v>
      </c>
      <c r="E3182" t="s">
        <v>620</v>
      </c>
      <c r="F3182" t="s">
        <v>72</v>
      </c>
      <c r="G3182" t="s">
        <v>964</v>
      </c>
      <c r="H3182" t="str">
        <f>"ΔΗΜΟΚΡΙΤΟΥ 7-ΑΡΟΗ "</f>
        <v xml:space="preserve">ΔΗΜΟΚΡΙΤΟΥ 7-ΑΡΟΗ </v>
      </c>
      <c r="I3182">
        <v>26331</v>
      </c>
      <c r="J3182">
        <v>2610278629</v>
      </c>
      <c r="K3182">
        <v>6942492241</v>
      </c>
      <c r="N3182" t="s">
        <v>536</v>
      </c>
      <c r="O3182" t="s">
        <v>537</v>
      </c>
      <c r="R3182" t="s">
        <v>159</v>
      </c>
      <c r="S3182">
        <v>5</v>
      </c>
      <c r="T3182" t="s">
        <v>344</v>
      </c>
      <c r="U3182" s="1">
        <v>43348</v>
      </c>
      <c r="V3182" t="s">
        <v>5644</v>
      </c>
      <c r="W3182" t="s">
        <v>5645</v>
      </c>
      <c r="X3182" t="s">
        <v>58</v>
      </c>
      <c r="Y3182">
        <v>21</v>
      </c>
      <c r="Z3182" t="s">
        <v>59</v>
      </c>
      <c r="AA3182" t="s">
        <v>59</v>
      </c>
      <c r="AB3182" t="s">
        <v>59</v>
      </c>
      <c r="AC3182" t="s">
        <v>59</v>
      </c>
      <c r="AD3182" t="s">
        <v>59</v>
      </c>
      <c r="AF3182" s="1">
        <v>43348</v>
      </c>
      <c r="AG3182" t="s">
        <v>125</v>
      </c>
      <c r="AH3182" t="s">
        <v>126</v>
      </c>
      <c r="AI3182" t="str">
        <f>"4101040"</f>
        <v>4101040</v>
      </c>
      <c r="AJ3182" t="s">
        <v>5732</v>
      </c>
      <c r="AK3182">
        <v>2831029261</v>
      </c>
      <c r="AL3182" t="s">
        <v>5733</v>
      </c>
      <c r="AM3182" t="s">
        <v>64</v>
      </c>
      <c r="AN3182" t="s">
        <v>65</v>
      </c>
      <c r="AO3182" t="s">
        <v>65</v>
      </c>
      <c r="AP3182" t="s">
        <v>65</v>
      </c>
      <c r="AQ3182">
        <v>1</v>
      </c>
      <c r="AR3182" t="s">
        <v>5644</v>
      </c>
      <c r="AS3182" t="s">
        <v>5645</v>
      </c>
      <c r="AT3182" t="s">
        <v>58</v>
      </c>
      <c r="AU3182" t="s">
        <v>350</v>
      </c>
      <c r="AV3182" t="s">
        <v>132</v>
      </c>
      <c r="AW3182" s="1">
        <v>29482</v>
      </c>
      <c r="AX3182">
        <v>2</v>
      </c>
    </row>
    <row r="3183" spans="1:50">
      <c r="B3183" t="str">
        <f>"128315220"</f>
        <v>128315220</v>
      </c>
      <c r="C3183" t="s">
        <v>50</v>
      </c>
      <c r="D3183" t="s">
        <v>6263</v>
      </c>
      <c r="E3183" t="s">
        <v>6068</v>
      </c>
      <c r="F3183" t="s">
        <v>95</v>
      </c>
      <c r="G3183" t="s">
        <v>1588</v>
      </c>
      <c r="H3183" t="str">
        <f>"ΝΙΚΗΦΟΡΟΥ ΦΩΚΑ 69 "</f>
        <v xml:space="preserve">ΝΙΚΗΦΟΡΟΥ ΦΩΚΑ 69 </v>
      </c>
      <c r="I3183">
        <v>71500</v>
      </c>
      <c r="J3183">
        <v>2810230503</v>
      </c>
      <c r="K3183">
        <v>6938471803</v>
      </c>
      <c r="M3183" t="s">
        <v>6264</v>
      </c>
      <c r="N3183" t="s">
        <v>337</v>
      </c>
      <c r="O3183" t="s">
        <v>338</v>
      </c>
      <c r="R3183" t="s">
        <v>159</v>
      </c>
      <c r="S3183">
        <v>3</v>
      </c>
      <c r="T3183" t="s">
        <v>1908</v>
      </c>
      <c r="U3183" s="1">
        <v>43368</v>
      </c>
      <c r="V3183" t="s">
        <v>5644</v>
      </c>
      <c r="W3183" t="s">
        <v>5645</v>
      </c>
      <c r="X3183" t="s">
        <v>58</v>
      </c>
      <c r="Y3183">
        <v>15</v>
      </c>
      <c r="Z3183" t="s">
        <v>59</v>
      </c>
      <c r="AA3183" t="s">
        <v>59</v>
      </c>
      <c r="AB3183" t="s">
        <v>59</v>
      </c>
      <c r="AC3183" t="s">
        <v>59</v>
      </c>
      <c r="AD3183" t="s">
        <v>59</v>
      </c>
      <c r="AF3183" s="1">
        <v>43368</v>
      </c>
      <c r="AG3183" t="s">
        <v>125</v>
      </c>
      <c r="AH3183" t="s">
        <v>294</v>
      </c>
      <c r="AI3183" t="str">
        <f>"4101045"</f>
        <v>4101045</v>
      </c>
      <c r="AJ3183" t="s">
        <v>5677</v>
      </c>
      <c r="AK3183">
        <v>2831027553</v>
      </c>
      <c r="AL3183" t="s">
        <v>5678</v>
      </c>
      <c r="AM3183" t="s">
        <v>64</v>
      </c>
      <c r="AN3183" t="s">
        <v>65</v>
      </c>
      <c r="AO3183" t="s">
        <v>65</v>
      </c>
      <c r="AP3183" t="s">
        <v>65</v>
      </c>
      <c r="AQ3183">
        <v>1</v>
      </c>
      <c r="AR3183" t="s">
        <v>5644</v>
      </c>
      <c r="AS3183" t="s">
        <v>5645</v>
      </c>
      <c r="AT3183" t="s">
        <v>58</v>
      </c>
      <c r="AU3183" t="s">
        <v>2054</v>
      </c>
      <c r="AV3183" t="s">
        <v>132</v>
      </c>
      <c r="AW3183" s="1">
        <v>29609</v>
      </c>
      <c r="AX3183">
        <v>2</v>
      </c>
    </row>
    <row r="3184" spans="1:50">
      <c r="A3184">
        <v>184544</v>
      </c>
      <c r="B3184" t="str">
        <f>"053949468"</f>
        <v>053949468</v>
      </c>
      <c r="C3184" t="s">
        <v>50</v>
      </c>
      <c r="D3184" t="s">
        <v>6265</v>
      </c>
      <c r="E3184" t="s">
        <v>181</v>
      </c>
      <c r="F3184" t="s">
        <v>383</v>
      </c>
      <c r="G3184" t="s">
        <v>1068</v>
      </c>
      <c r="H3184" t="str">
        <f>"ΠΑΓΚΑΛΟΧΩΡΙ ΠΑΓΚΑΛΟΧΩΡΙ"</f>
        <v>ΠΑΓΚΑΛΟΧΩΡΙ ΠΑΓΚΑΛΟΧΩΡΙ</v>
      </c>
      <c r="I3184">
        <v>74100</v>
      </c>
      <c r="K3184">
        <v>6970395735</v>
      </c>
      <c r="M3184" t="s">
        <v>6266</v>
      </c>
      <c r="N3184" t="s">
        <v>288</v>
      </c>
      <c r="O3184" t="s">
        <v>289</v>
      </c>
      <c r="R3184" t="s">
        <v>57</v>
      </c>
      <c r="S3184">
        <v>9</v>
      </c>
      <c r="T3184">
        <v>177</v>
      </c>
      <c r="U3184" s="1">
        <v>36403</v>
      </c>
      <c r="V3184" t="s">
        <v>5644</v>
      </c>
      <c r="W3184" t="s">
        <v>5645</v>
      </c>
      <c r="X3184" t="s">
        <v>58</v>
      </c>
      <c r="Y3184">
        <v>20</v>
      </c>
      <c r="Z3184" t="s">
        <v>59</v>
      </c>
      <c r="AA3184" t="s">
        <v>59</v>
      </c>
      <c r="AB3184" t="s">
        <v>59</v>
      </c>
      <c r="AC3184" t="s">
        <v>59</v>
      </c>
      <c r="AD3184" t="s">
        <v>59</v>
      </c>
      <c r="AF3184" s="1">
        <v>36403</v>
      </c>
      <c r="AG3184" t="s">
        <v>125</v>
      </c>
      <c r="AH3184" t="s">
        <v>126</v>
      </c>
      <c r="AI3184" t="str">
        <f>"4101040"</f>
        <v>4101040</v>
      </c>
      <c r="AJ3184" t="s">
        <v>5732</v>
      </c>
      <c r="AK3184">
        <v>2831029261</v>
      </c>
      <c r="AL3184" t="s">
        <v>5733</v>
      </c>
      <c r="AM3184" t="s">
        <v>64</v>
      </c>
      <c r="AN3184" t="s">
        <v>65</v>
      </c>
      <c r="AO3184" t="s">
        <v>65</v>
      </c>
      <c r="AP3184" t="s">
        <v>65</v>
      </c>
      <c r="AQ3184">
        <v>1</v>
      </c>
      <c r="AR3184" t="s">
        <v>5644</v>
      </c>
      <c r="AS3184" t="s">
        <v>5645</v>
      </c>
      <c r="AT3184" t="s">
        <v>58</v>
      </c>
      <c r="AU3184" t="s">
        <v>68</v>
      </c>
      <c r="AV3184" t="s">
        <v>69</v>
      </c>
      <c r="AW3184" s="1">
        <v>23473</v>
      </c>
      <c r="AX3184">
        <v>2</v>
      </c>
    </row>
    <row r="3185" spans="1:50">
      <c r="A3185">
        <v>205865</v>
      </c>
      <c r="B3185" t="str">
        <f>"064273642"</f>
        <v>064273642</v>
      </c>
      <c r="C3185" t="s">
        <v>50</v>
      </c>
      <c r="D3185" t="s">
        <v>6267</v>
      </c>
      <c r="E3185" t="s">
        <v>6268</v>
      </c>
      <c r="F3185" t="s">
        <v>309</v>
      </c>
      <c r="G3185" t="s">
        <v>6269</v>
      </c>
      <c r="H3185" t="str">
        <f>"ΠΑΝ/ΜΙΟΥ ΚΡΗΤΗΣ 7 ΚΑΛΛΙΘΕΑ"</f>
        <v>ΠΑΝ/ΜΙΟΥ ΚΡΗΤΗΣ 7 ΚΑΛΛΙΘΕΑ</v>
      </c>
      <c r="I3185">
        <v>74100</v>
      </c>
      <c r="J3185">
        <v>2831058081</v>
      </c>
      <c r="K3185">
        <v>6974333659</v>
      </c>
      <c r="N3185" t="s">
        <v>146</v>
      </c>
      <c r="O3185" t="s">
        <v>147</v>
      </c>
      <c r="R3185" t="s">
        <v>57</v>
      </c>
      <c r="S3185">
        <v>9</v>
      </c>
      <c r="T3185" t="s">
        <v>2189</v>
      </c>
      <c r="U3185" s="1">
        <v>37865</v>
      </c>
      <c r="V3185" t="s">
        <v>5644</v>
      </c>
      <c r="W3185" t="s">
        <v>5645</v>
      </c>
      <c r="X3185" t="s">
        <v>58</v>
      </c>
      <c r="Y3185">
        <v>20</v>
      </c>
      <c r="Z3185" t="s">
        <v>59</v>
      </c>
      <c r="AA3185" t="s">
        <v>59</v>
      </c>
      <c r="AB3185" t="s">
        <v>59</v>
      </c>
      <c r="AC3185" t="s">
        <v>59</v>
      </c>
      <c r="AD3185" t="s">
        <v>452</v>
      </c>
      <c r="AE3185" s="1">
        <v>43708</v>
      </c>
      <c r="AF3185" s="1">
        <v>38230</v>
      </c>
      <c r="AG3185" t="s">
        <v>148</v>
      </c>
      <c r="AH3185" t="s">
        <v>2782</v>
      </c>
      <c r="AI3185" t="str">
        <f>"4151040"</f>
        <v>4151040</v>
      </c>
      <c r="AJ3185" t="s">
        <v>5810</v>
      </c>
      <c r="AK3185">
        <v>2831023425</v>
      </c>
      <c r="AL3185" t="s">
        <v>5811</v>
      </c>
      <c r="AM3185" t="s">
        <v>64</v>
      </c>
      <c r="AN3185" t="s">
        <v>65</v>
      </c>
      <c r="AO3185" t="s">
        <v>65</v>
      </c>
      <c r="AP3185" t="s">
        <v>65</v>
      </c>
      <c r="AQ3185">
        <v>1</v>
      </c>
      <c r="AR3185" t="s">
        <v>5644</v>
      </c>
      <c r="AS3185" t="s">
        <v>5645</v>
      </c>
      <c r="AT3185" t="s">
        <v>58</v>
      </c>
      <c r="AU3185" t="s">
        <v>68</v>
      </c>
      <c r="AV3185" t="s">
        <v>69</v>
      </c>
      <c r="AW3185" s="1">
        <v>27938</v>
      </c>
      <c r="AX3185">
        <v>2</v>
      </c>
    </row>
    <row r="3186" spans="1:50">
      <c r="B3186" t="str">
        <f>"120238829"</f>
        <v>120238829</v>
      </c>
      <c r="C3186" t="s">
        <v>105</v>
      </c>
      <c r="D3186" t="s">
        <v>6270</v>
      </c>
      <c r="E3186" t="s">
        <v>670</v>
      </c>
      <c r="F3186" t="s">
        <v>99</v>
      </c>
      <c r="G3186" t="s">
        <v>109</v>
      </c>
      <c r="H3186" t="str">
        <f>"ΤΣΑΓΚΑΡΟΛΩΝ 1 ΧΑΝΙΑ"</f>
        <v>ΤΣΑΓΚΑΡΟΛΩΝ 1 ΧΑΝΙΑ</v>
      </c>
      <c r="I3186">
        <v>73132</v>
      </c>
      <c r="J3186">
        <v>2821059393</v>
      </c>
      <c r="K3186">
        <v>6946047058</v>
      </c>
      <c r="M3186" t="s">
        <v>6271</v>
      </c>
      <c r="N3186" t="s">
        <v>246</v>
      </c>
      <c r="O3186" t="s">
        <v>247</v>
      </c>
      <c r="R3186" t="s">
        <v>159</v>
      </c>
      <c r="S3186">
        <v>4</v>
      </c>
      <c r="T3186" t="s">
        <v>416</v>
      </c>
      <c r="U3186" s="1">
        <v>43349</v>
      </c>
      <c r="V3186" t="s">
        <v>5644</v>
      </c>
      <c r="W3186" t="s">
        <v>5645</v>
      </c>
      <c r="X3186" t="s">
        <v>58</v>
      </c>
      <c r="Y3186">
        <v>23</v>
      </c>
      <c r="Z3186" t="s">
        <v>59</v>
      </c>
      <c r="AA3186" t="s">
        <v>59</v>
      </c>
      <c r="AB3186" t="s">
        <v>59</v>
      </c>
      <c r="AC3186" t="s">
        <v>59</v>
      </c>
      <c r="AD3186" t="s">
        <v>59</v>
      </c>
      <c r="AF3186" s="1">
        <v>43349</v>
      </c>
      <c r="AG3186" t="s">
        <v>148</v>
      </c>
      <c r="AH3186" t="s">
        <v>149</v>
      </c>
      <c r="AI3186" t="str">
        <f>"4144002"</f>
        <v>4144002</v>
      </c>
      <c r="AJ3186" t="s">
        <v>5655</v>
      </c>
      <c r="AK3186">
        <v>2831061110</v>
      </c>
      <c r="AL3186" t="s">
        <v>5656</v>
      </c>
      <c r="AM3186" t="s">
        <v>64</v>
      </c>
      <c r="AN3186" t="s">
        <v>65</v>
      </c>
      <c r="AO3186" t="s">
        <v>5657</v>
      </c>
      <c r="AP3186" t="s">
        <v>1437</v>
      </c>
      <c r="AQ3186">
        <v>1</v>
      </c>
      <c r="AR3186" t="s">
        <v>5644</v>
      </c>
      <c r="AS3186" t="s">
        <v>5645</v>
      </c>
      <c r="AT3186" t="s">
        <v>58</v>
      </c>
      <c r="AU3186" t="s">
        <v>419</v>
      </c>
      <c r="AV3186" t="s">
        <v>132</v>
      </c>
      <c r="AW3186" s="1">
        <v>30552</v>
      </c>
      <c r="AX3186">
        <v>2</v>
      </c>
    </row>
    <row r="3187" spans="1:50">
      <c r="A3187">
        <v>703929</v>
      </c>
      <c r="B3187" t="str">
        <f>"125657921"</f>
        <v>125657921</v>
      </c>
      <c r="C3187" t="s">
        <v>50</v>
      </c>
      <c r="D3187" t="s">
        <v>6272</v>
      </c>
      <c r="E3187" t="s">
        <v>83</v>
      </c>
      <c r="F3187" t="s">
        <v>564</v>
      </c>
      <c r="G3187" t="s">
        <v>5201</v>
      </c>
      <c r="H3187" t="str">
        <f>"ΚΩΣΤΗ ΠΑΠΑΔΑΚΗ 9 ΡΕΘΥΜΝΟ"</f>
        <v>ΚΩΣΤΗ ΠΑΠΑΔΑΚΗ 9 ΡΕΘΥΜΝΟ</v>
      </c>
      <c r="I3187">
        <v>74100</v>
      </c>
      <c r="J3187">
        <v>2831300394</v>
      </c>
      <c r="K3187">
        <v>6977815844</v>
      </c>
      <c r="M3187" t="s">
        <v>6273</v>
      </c>
      <c r="N3187" t="s">
        <v>157</v>
      </c>
      <c r="O3187" t="s">
        <v>158</v>
      </c>
      <c r="R3187" t="s">
        <v>57</v>
      </c>
      <c r="S3187">
        <v>7</v>
      </c>
      <c r="T3187" t="s">
        <v>4848</v>
      </c>
      <c r="U3187" s="1">
        <v>40778</v>
      </c>
      <c r="V3187" t="s">
        <v>5644</v>
      </c>
      <c r="W3187" t="s">
        <v>5645</v>
      </c>
      <c r="X3187" t="s">
        <v>58</v>
      </c>
      <c r="Y3187">
        <v>21</v>
      </c>
      <c r="Z3187" t="s">
        <v>59</v>
      </c>
      <c r="AA3187" t="s">
        <v>59</v>
      </c>
      <c r="AB3187" t="s">
        <v>59</v>
      </c>
      <c r="AC3187" t="s">
        <v>59</v>
      </c>
      <c r="AD3187" t="s">
        <v>59</v>
      </c>
      <c r="AF3187" s="1">
        <v>42661</v>
      </c>
      <c r="AG3187" t="s">
        <v>125</v>
      </c>
      <c r="AH3187" t="s">
        <v>126</v>
      </c>
      <c r="AI3187" t="str">
        <f>"4104010"</f>
        <v>4104010</v>
      </c>
      <c r="AJ3187" t="s">
        <v>5745</v>
      </c>
      <c r="AK3187">
        <v>2834022235</v>
      </c>
      <c r="AL3187" t="s">
        <v>5746</v>
      </c>
      <c r="AM3187" t="s">
        <v>64</v>
      </c>
      <c r="AN3187" t="s">
        <v>5672</v>
      </c>
      <c r="AO3187" t="s">
        <v>5673</v>
      </c>
      <c r="AP3187" t="s">
        <v>5689</v>
      </c>
      <c r="AQ3187">
        <v>2</v>
      </c>
      <c r="AR3187" t="s">
        <v>5644</v>
      </c>
      <c r="AS3187" t="s">
        <v>5645</v>
      </c>
      <c r="AT3187" t="s">
        <v>58</v>
      </c>
      <c r="AU3187" t="s">
        <v>68</v>
      </c>
      <c r="AV3187" t="s">
        <v>132</v>
      </c>
      <c r="AW3187" s="1">
        <v>28602</v>
      </c>
      <c r="AX3187">
        <v>2</v>
      </c>
    </row>
    <row r="3188" spans="1:50">
      <c r="A3188">
        <v>219312</v>
      </c>
      <c r="B3188" t="str">
        <f>"100067326"</f>
        <v>100067326</v>
      </c>
      <c r="C3188" t="s">
        <v>50</v>
      </c>
      <c r="D3188" t="s">
        <v>6274</v>
      </c>
      <c r="E3188" t="s">
        <v>367</v>
      </c>
      <c r="F3188" t="s">
        <v>99</v>
      </c>
      <c r="G3188" t="s">
        <v>83</v>
      </c>
      <c r="H3188" t="str">
        <f>"ΜΑΧΗΣ ΚΡΗΤΗΣ 98 ΡΕΘΥΜΝΟ"</f>
        <v>ΜΑΧΗΣ ΚΡΗΤΗΣ 98 ΡΕΘΥΜΝΟ</v>
      </c>
      <c r="I3188">
        <v>74100</v>
      </c>
      <c r="J3188">
        <v>2831023966</v>
      </c>
      <c r="K3188">
        <v>6979003898</v>
      </c>
      <c r="M3188" t="s">
        <v>6275</v>
      </c>
      <c r="N3188" t="s">
        <v>306</v>
      </c>
      <c r="O3188" t="s">
        <v>307</v>
      </c>
      <c r="R3188" t="s">
        <v>57</v>
      </c>
      <c r="S3188">
        <v>6</v>
      </c>
      <c r="T3188">
        <v>599</v>
      </c>
      <c r="U3188" s="1">
        <v>39310</v>
      </c>
      <c r="V3188" t="s">
        <v>5644</v>
      </c>
      <c r="W3188" t="s">
        <v>5645</v>
      </c>
      <c r="X3188" t="s">
        <v>58</v>
      </c>
      <c r="Y3188">
        <v>20</v>
      </c>
      <c r="Z3188" t="s">
        <v>59</v>
      </c>
      <c r="AA3188" t="s">
        <v>59</v>
      </c>
      <c r="AB3188" t="s">
        <v>59</v>
      </c>
      <c r="AC3188" t="s">
        <v>59</v>
      </c>
      <c r="AD3188" t="s">
        <v>59</v>
      </c>
      <c r="AF3188" s="1">
        <v>39328</v>
      </c>
      <c r="AG3188" t="s">
        <v>125</v>
      </c>
      <c r="AH3188" t="s">
        <v>126</v>
      </c>
      <c r="AI3188" t="str">
        <f>"4101030"</f>
        <v>4101030</v>
      </c>
      <c r="AJ3188" t="s">
        <v>5646</v>
      </c>
      <c r="AK3188">
        <v>2831022359</v>
      </c>
      <c r="AL3188" t="s">
        <v>5647</v>
      </c>
      <c r="AM3188" t="s">
        <v>64</v>
      </c>
      <c r="AN3188" t="s">
        <v>65</v>
      </c>
      <c r="AO3188" t="s">
        <v>65</v>
      </c>
      <c r="AP3188" t="s">
        <v>65</v>
      </c>
      <c r="AQ3188">
        <v>1</v>
      </c>
      <c r="AR3188" t="s">
        <v>5644</v>
      </c>
      <c r="AS3188" t="s">
        <v>5645</v>
      </c>
      <c r="AT3188" t="s">
        <v>58</v>
      </c>
      <c r="AU3188" t="s">
        <v>68</v>
      </c>
      <c r="AV3188" t="s">
        <v>69</v>
      </c>
      <c r="AW3188" s="1">
        <v>30092</v>
      </c>
      <c r="AX3188">
        <v>2</v>
      </c>
    </row>
    <row r="3189" spans="1:50">
      <c r="A3189">
        <v>226152</v>
      </c>
      <c r="B3189" t="str">
        <f>"119154157"</f>
        <v>119154157</v>
      </c>
      <c r="C3189" t="s">
        <v>105</v>
      </c>
      <c r="D3189" t="s">
        <v>6276</v>
      </c>
      <c r="E3189" t="s">
        <v>383</v>
      </c>
      <c r="F3189" t="s">
        <v>72</v>
      </c>
      <c r="G3189" t="s">
        <v>473</v>
      </c>
      <c r="H3189" t="str">
        <f>"ΣΕΒΑΣΤΕΙΑΣ 24-26 ΝΕΑ ΙΩΝΙΑ"</f>
        <v>ΣΕΒΑΣΤΕΙΑΣ 24-26 ΝΕΑ ΙΩΝΙΑ</v>
      </c>
      <c r="I3189">
        <v>14231</v>
      </c>
      <c r="J3189">
        <v>2102710591</v>
      </c>
      <c r="K3189">
        <v>6947818370</v>
      </c>
      <c r="N3189" t="s">
        <v>337</v>
      </c>
      <c r="O3189" t="s">
        <v>338</v>
      </c>
      <c r="R3189" t="s">
        <v>57</v>
      </c>
      <c r="S3189">
        <v>5</v>
      </c>
      <c r="T3189">
        <v>652</v>
      </c>
      <c r="U3189" s="1">
        <v>40043</v>
      </c>
      <c r="V3189" t="s">
        <v>5644</v>
      </c>
      <c r="W3189" t="s">
        <v>5645</v>
      </c>
      <c r="X3189" t="s">
        <v>58</v>
      </c>
      <c r="Y3189">
        <v>21</v>
      </c>
      <c r="Z3189" t="s">
        <v>59</v>
      </c>
      <c r="AA3189" t="s">
        <v>59</v>
      </c>
      <c r="AB3189" t="s">
        <v>59</v>
      </c>
      <c r="AC3189" t="s">
        <v>59</v>
      </c>
      <c r="AD3189" t="s">
        <v>59</v>
      </c>
      <c r="AF3189" s="1">
        <v>40057</v>
      </c>
      <c r="AG3189" t="s">
        <v>125</v>
      </c>
      <c r="AH3189" t="s">
        <v>126</v>
      </c>
      <c r="AI3189" t="str">
        <f>"4101040"</f>
        <v>4101040</v>
      </c>
      <c r="AJ3189" t="s">
        <v>5732</v>
      </c>
      <c r="AK3189">
        <v>2831029261</v>
      </c>
      <c r="AL3189" t="s">
        <v>5733</v>
      </c>
      <c r="AM3189" t="s">
        <v>64</v>
      </c>
      <c r="AN3189" t="s">
        <v>65</v>
      </c>
      <c r="AO3189" t="s">
        <v>65</v>
      </c>
      <c r="AP3189" t="s">
        <v>65</v>
      </c>
      <c r="AQ3189">
        <v>1</v>
      </c>
      <c r="AR3189" t="s">
        <v>5644</v>
      </c>
      <c r="AS3189" t="s">
        <v>5645</v>
      </c>
      <c r="AT3189" t="s">
        <v>58</v>
      </c>
      <c r="AU3189" t="s">
        <v>68</v>
      </c>
      <c r="AV3189" t="s">
        <v>69</v>
      </c>
      <c r="AW3189" s="1">
        <v>29643</v>
      </c>
      <c r="AX3189">
        <v>2</v>
      </c>
    </row>
    <row r="3190" spans="1:50">
      <c r="A3190">
        <v>165734</v>
      </c>
      <c r="B3190" t="str">
        <f>"032285947"</f>
        <v>032285947</v>
      </c>
      <c r="C3190" t="s">
        <v>50</v>
      </c>
      <c r="D3190" t="s">
        <v>6277</v>
      </c>
      <c r="E3190" t="s">
        <v>83</v>
      </c>
      <c r="F3190" t="s">
        <v>154</v>
      </c>
      <c r="G3190" t="s">
        <v>3802</v>
      </c>
      <c r="H3190" t="str">
        <f>"Ν.ΒΑΡΔΙΝΟΓΙΑΝΝΗ 19 ΡΕΘΥΜΝΟ"</f>
        <v>Ν.ΒΑΡΔΙΝΟΓΙΑΝΝΗ 19 ΡΕΘΥΜΝΟ</v>
      </c>
      <c r="I3190">
        <v>74100</v>
      </c>
      <c r="J3190">
        <v>2831050753</v>
      </c>
      <c r="K3190">
        <v>6978251770</v>
      </c>
      <c r="M3190" t="s">
        <v>6278</v>
      </c>
      <c r="N3190" t="s">
        <v>146</v>
      </c>
      <c r="O3190" t="s">
        <v>147</v>
      </c>
      <c r="R3190" t="s">
        <v>57</v>
      </c>
      <c r="S3190">
        <v>14</v>
      </c>
      <c r="T3190">
        <v>137</v>
      </c>
      <c r="U3190" s="1">
        <v>34206</v>
      </c>
      <c r="V3190" t="s">
        <v>5644</v>
      </c>
      <c r="W3190" t="s">
        <v>5645</v>
      </c>
      <c r="X3190" t="s">
        <v>58</v>
      </c>
      <c r="Y3190">
        <v>18</v>
      </c>
      <c r="Z3190" t="s">
        <v>59</v>
      </c>
      <c r="AA3190" t="s">
        <v>59</v>
      </c>
      <c r="AB3190" t="s">
        <v>59</v>
      </c>
      <c r="AC3190" t="s">
        <v>59</v>
      </c>
      <c r="AD3190" t="s">
        <v>59</v>
      </c>
      <c r="AF3190" s="1">
        <v>34215</v>
      </c>
      <c r="AG3190" t="s">
        <v>125</v>
      </c>
      <c r="AH3190" t="s">
        <v>126</v>
      </c>
      <c r="AI3190" t="str">
        <f>"4101030"</f>
        <v>4101030</v>
      </c>
      <c r="AJ3190" t="s">
        <v>5646</v>
      </c>
      <c r="AK3190">
        <v>2831022359</v>
      </c>
      <c r="AL3190" t="s">
        <v>5647</v>
      </c>
      <c r="AM3190" t="s">
        <v>64</v>
      </c>
      <c r="AN3190" t="s">
        <v>65</v>
      </c>
      <c r="AO3190" t="s">
        <v>65</v>
      </c>
      <c r="AP3190" t="s">
        <v>65</v>
      </c>
      <c r="AQ3190">
        <v>1</v>
      </c>
      <c r="AR3190" t="s">
        <v>5644</v>
      </c>
      <c r="AS3190" t="s">
        <v>5645</v>
      </c>
      <c r="AT3190" t="s">
        <v>58</v>
      </c>
      <c r="AU3190" t="s">
        <v>68</v>
      </c>
      <c r="AV3190" t="s">
        <v>69</v>
      </c>
      <c r="AW3190" s="1">
        <v>23784</v>
      </c>
      <c r="AX3190">
        <v>2</v>
      </c>
    </row>
    <row r="3191" spans="1:50">
      <c r="A3191">
        <v>149746</v>
      </c>
      <c r="B3191" t="str">
        <f>"065881633"</f>
        <v>065881633</v>
      </c>
      <c r="C3191" t="s">
        <v>50</v>
      </c>
      <c r="D3191" t="s">
        <v>6279</v>
      </c>
      <c r="E3191" t="s">
        <v>671</v>
      </c>
      <c r="F3191" t="s">
        <v>459</v>
      </c>
      <c r="G3191" t="s">
        <v>83</v>
      </c>
      <c r="H3191" t="str">
        <f>"ΑΤΣΙΠΟΠΟΥΛΟ ΡΕΘΥΜΝΟ"</f>
        <v>ΑΤΣΙΠΟΠΟΥΛΟ ΡΕΘΥΜΝΟ</v>
      </c>
      <c r="I3191">
        <v>74100</v>
      </c>
      <c r="N3191" t="s">
        <v>146</v>
      </c>
      <c r="O3191" t="s">
        <v>147</v>
      </c>
      <c r="R3191" t="s">
        <v>57</v>
      </c>
      <c r="S3191">
        <v>16</v>
      </c>
      <c r="T3191">
        <v>228</v>
      </c>
      <c r="U3191" s="1">
        <v>31684</v>
      </c>
      <c r="V3191" t="s">
        <v>5644</v>
      </c>
      <c r="W3191" t="s">
        <v>5645</v>
      </c>
      <c r="X3191" t="s">
        <v>58</v>
      </c>
      <c r="Y3191">
        <v>18</v>
      </c>
      <c r="Z3191" t="s">
        <v>59</v>
      </c>
      <c r="AA3191" t="s">
        <v>59</v>
      </c>
      <c r="AB3191" t="s">
        <v>59</v>
      </c>
      <c r="AC3191" t="s">
        <v>59</v>
      </c>
      <c r="AD3191" t="s">
        <v>59</v>
      </c>
      <c r="AF3191" s="1">
        <v>31684</v>
      </c>
      <c r="AG3191" t="s">
        <v>125</v>
      </c>
      <c r="AH3191" t="s">
        <v>126</v>
      </c>
      <c r="AI3191" t="str">
        <f>"4101010"</f>
        <v>4101010</v>
      </c>
      <c r="AJ3191" t="s">
        <v>5814</v>
      </c>
      <c r="AK3191">
        <v>2831022283</v>
      </c>
      <c r="AL3191" t="s">
        <v>5815</v>
      </c>
      <c r="AM3191" t="s">
        <v>64</v>
      </c>
      <c r="AN3191" t="s">
        <v>65</v>
      </c>
      <c r="AO3191" t="s">
        <v>65</v>
      </c>
      <c r="AP3191" t="s">
        <v>65</v>
      </c>
      <c r="AQ3191">
        <v>1</v>
      </c>
      <c r="AR3191" t="s">
        <v>5644</v>
      </c>
      <c r="AS3191" t="s">
        <v>5645</v>
      </c>
      <c r="AT3191" t="s">
        <v>58</v>
      </c>
      <c r="AU3191" t="s">
        <v>68</v>
      </c>
      <c r="AV3191" t="s">
        <v>69</v>
      </c>
      <c r="AW3191" s="1">
        <v>22577</v>
      </c>
      <c r="AX3191">
        <v>2</v>
      </c>
    </row>
    <row r="3192" spans="1:50">
      <c r="A3192">
        <v>194441</v>
      </c>
      <c r="B3192" t="str">
        <f>"058687293"</f>
        <v>058687293</v>
      </c>
      <c r="C3192" t="s">
        <v>50</v>
      </c>
      <c r="D3192" t="s">
        <v>2916</v>
      </c>
      <c r="E3192" t="s">
        <v>52</v>
      </c>
      <c r="F3192" t="s">
        <v>84</v>
      </c>
      <c r="G3192" t="s">
        <v>6280</v>
      </c>
      <c r="H3192" t="str">
        <f>"ΑΓΙΟΣ ΕΛΕΥΘΕΡΙΟΣ ΑΤΣΙΠΟΥΛΟ ΡΕΘΥΜΝΟ"</f>
        <v>ΑΓΙΟΣ ΕΛΕΥΘΕΡΙΟΣ ΑΤΣΙΠΟΥΛΟ ΡΕΘΥΜΝΟ</v>
      </c>
      <c r="I3192">
        <v>74100</v>
      </c>
      <c r="K3192">
        <v>6938686739</v>
      </c>
      <c r="N3192" t="s">
        <v>176</v>
      </c>
      <c r="O3192" t="s">
        <v>177</v>
      </c>
      <c r="R3192" t="s">
        <v>57</v>
      </c>
      <c r="S3192">
        <v>10</v>
      </c>
      <c r="T3192">
        <v>193</v>
      </c>
      <c r="U3192" s="1">
        <v>37497</v>
      </c>
      <c r="V3192" t="s">
        <v>5644</v>
      </c>
      <c r="W3192" t="s">
        <v>5645</v>
      </c>
      <c r="X3192" t="s">
        <v>58</v>
      </c>
      <c r="Y3192">
        <v>18</v>
      </c>
      <c r="Z3192" t="s">
        <v>59</v>
      </c>
      <c r="AA3192" t="s">
        <v>59</v>
      </c>
      <c r="AB3192" t="s">
        <v>59</v>
      </c>
      <c r="AC3192" t="s">
        <v>59</v>
      </c>
      <c r="AD3192" t="s">
        <v>59</v>
      </c>
      <c r="AF3192" s="1">
        <v>37497</v>
      </c>
      <c r="AG3192" t="s">
        <v>148</v>
      </c>
      <c r="AH3192" t="s">
        <v>149</v>
      </c>
      <c r="AI3192" t="str">
        <f>"4154010"</f>
        <v>4154010</v>
      </c>
      <c r="AJ3192" t="s">
        <v>5687</v>
      </c>
      <c r="AK3192">
        <v>2834023300</v>
      </c>
      <c r="AL3192" t="s">
        <v>5688</v>
      </c>
      <c r="AM3192" t="s">
        <v>64</v>
      </c>
      <c r="AN3192" t="s">
        <v>5672</v>
      </c>
      <c r="AO3192" t="s">
        <v>5673</v>
      </c>
      <c r="AP3192" t="s">
        <v>5689</v>
      </c>
      <c r="AQ3192">
        <v>2</v>
      </c>
      <c r="AR3192" t="s">
        <v>5644</v>
      </c>
      <c r="AS3192" t="s">
        <v>5645</v>
      </c>
      <c r="AT3192" t="s">
        <v>58</v>
      </c>
      <c r="AU3192" t="s">
        <v>68</v>
      </c>
      <c r="AV3192" t="s">
        <v>69</v>
      </c>
      <c r="AW3192" s="1">
        <v>25990</v>
      </c>
      <c r="AX3192">
        <v>2</v>
      </c>
    </row>
    <row r="3193" spans="1:50">
      <c r="A3193">
        <v>190926</v>
      </c>
      <c r="B3193" t="str">
        <f>"102299342"</f>
        <v>102299342</v>
      </c>
      <c r="C3193" t="s">
        <v>50</v>
      </c>
      <c r="D3193" t="s">
        <v>2918</v>
      </c>
      <c r="E3193" t="s">
        <v>83</v>
      </c>
      <c r="F3193" t="s">
        <v>989</v>
      </c>
      <c r="G3193" t="s">
        <v>52</v>
      </c>
      <c r="H3193" t="str">
        <f>"ΑΓΓΕΛΙΑΝΑ ΜΥΛΟΠΟΤΑΜΟΥ"</f>
        <v>ΑΓΓΕΛΙΑΝΑ ΜΥΛΟΠΟΤΑΜΟΥ</v>
      </c>
      <c r="I3193">
        <v>74052</v>
      </c>
      <c r="J3193">
        <v>2834023497</v>
      </c>
      <c r="K3193">
        <v>6976558960</v>
      </c>
      <c r="M3193" t="s">
        <v>6281</v>
      </c>
      <c r="N3193" t="s">
        <v>204</v>
      </c>
      <c r="O3193" t="s">
        <v>205</v>
      </c>
      <c r="R3193" t="s">
        <v>57</v>
      </c>
      <c r="S3193">
        <v>8</v>
      </c>
      <c r="T3193">
        <v>219</v>
      </c>
      <c r="U3193" s="1">
        <v>37134</v>
      </c>
      <c r="V3193" t="s">
        <v>5644</v>
      </c>
      <c r="W3193" t="s">
        <v>5645</v>
      </c>
      <c r="X3193" t="s">
        <v>58</v>
      </c>
      <c r="Y3193">
        <v>20</v>
      </c>
      <c r="Z3193" t="s">
        <v>59</v>
      </c>
      <c r="AA3193" t="s">
        <v>59</v>
      </c>
      <c r="AB3193" t="s">
        <v>59</v>
      </c>
      <c r="AC3193" t="s">
        <v>59</v>
      </c>
      <c r="AD3193" t="s">
        <v>59</v>
      </c>
      <c r="AF3193" s="1">
        <v>37139</v>
      </c>
      <c r="AG3193" t="s">
        <v>137</v>
      </c>
      <c r="AH3193" t="s">
        <v>469</v>
      </c>
      <c r="AI3193" t="str">
        <f>"4150045"</f>
        <v>4150045</v>
      </c>
      <c r="AJ3193" t="s">
        <v>5871</v>
      </c>
      <c r="AK3193">
        <v>2831022248</v>
      </c>
      <c r="AL3193" t="s">
        <v>5872</v>
      </c>
      <c r="AM3193" t="s">
        <v>64</v>
      </c>
      <c r="AN3193" t="s">
        <v>65</v>
      </c>
      <c r="AO3193" t="s">
        <v>65</v>
      </c>
      <c r="AP3193" t="s">
        <v>65</v>
      </c>
      <c r="AQ3193">
        <v>1</v>
      </c>
      <c r="AR3193" t="s">
        <v>5644</v>
      </c>
      <c r="AS3193" t="s">
        <v>5645</v>
      </c>
      <c r="AT3193" t="s">
        <v>58</v>
      </c>
      <c r="AU3193" t="s">
        <v>68</v>
      </c>
      <c r="AV3193" t="s">
        <v>69</v>
      </c>
      <c r="AW3193" s="1">
        <v>28480</v>
      </c>
      <c r="AX3193">
        <v>2</v>
      </c>
    </row>
    <row r="3194" spans="1:50">
      <c r="B3194" t="str">
        <f>"059292778"</f>
        <v>059292778</v>
      </c>
      <c r="C3194" t="s">
        <v>105</v>
      </c>
      <c r="D3194" t="s">
        <v>6282</v>
      </c>
      <c r="E3194" t="s">
        <v>95</v>
      </c>
      <c r="F3194" t="s">
        <v>154</v>
      </c>
      <c r="G3194" t="s">
        <v>83</v>
      </c>
      <c r="H3194" t="str">
        <f>"ΤΙΜ. ΒΑΣΣΟΥ   19 ΡΕΘΥΜΝΟ"</f>
        <v>ΤΙΜ. ΒΑΣΣΟΥ   19 ΡΕΘΥΜΝΟ</v>
      </c>
      <c r="I3194">
        <v>74100</v>
      </c>
      <c r="J3194">
        <v>2831035465</v>
      </c>
      <c r="K3194">
        <v>6946793871</v>
      </c>
      <c r="N3194" t="s">
        <v>232</v>
      </c>
      <c r="O3194" t="s">
        <v>233</v>
      </c>
      <c r="R3194" t="s">
        <v>159</v>
      </c>
      <c r="S3194">
        <v>3</v>
      </c>
      <c r="T3194" t="s">
        <v>160</v>
      </c>
      <c r="U3194" s="1">
        <v>43364</v>
      </c>
      <c r="V3194" t="s">
        <v>5644</v>
      </c>
      <c r="W3194" t="s">
        <v>5645</v>
      </c>
      <c r="X3194" t="s">
        <v>58</v>
      </c>
      <c r="Y3194">
        <v>21</v>
      </c>
      <c r="Z3194" t="s">
        <v>59</v>
      </c>
      <c r="AA3194" t="s">
        <v>59</v>
      </c>
      <c r="AB3194" t="s">
        <v>59</v>
      </c>
      <c r="AC3194" t="s">
        <v>59</v>
      </c>
      <c r="AD3194" t="s">
        <v>59</v>
      </c>
      <c r="AF3194" s="1">
        <v>43367</v>
      </c>
      <c r="AG3194" t="s">
        <v>125</v>
      </c>
      <c r="AH3194" t="s">
        <v>126</v>
      </c>
      <c r="AI3194" t="str">
        <f>"4101040"</f>
        <v>4101040</v>
      </c>
      <c r="AJ3194" t="s">
        <v>5732</v>
      </c>
      <c r="AK3194">
        <v>2831029261</v>
      </c>
      <c r="AL3194" t="s">
        <v>5733</v>
      </c>
      <c r="AM3194" t="s">
        <v>64</v>
      </c>
      <c r="AN3194" t="s">
        <v>65</v>
      </c>
      <c r="AO3194" t="s">
        <v>65</v>
      </c>
      <c r="AP3194" t="s">
        <v>65</v>
      </c>
      <c r="AQ3194">
        <v>1</v>
      </c>
      <c r="AR3194" t="s">
        <v>5644</v>
      </c>
      <c r="AS3194" t="s">
        <v>5645</v>
      </c>
      <c r="AT3194" t="s">
        <v>58</v>
      </c>
      <c r="AU3194" t="s">
        <v>164</v>
      </c>
      <c r="AV3194" t="s">
        <v>132</v>
      </c>
      <c r="AW3194" s="1">
        <v>26444</v>
      </c>
      <c r="AX3194">
        <v>2</v>
      </c>
    </row>
    <row r="3195" spans="1:50">
      <c r="A3195">
        <v>220476</v>
      </c>
      <c r="B3195" t="str">
        <f>"065821440"</f>
        <v>065821440</v>
      </c>
      <c r="C3195" t="s">
        <v>50</v>
      </c>
      <c r="D3195" t="s">
        <v>6283</v>
      </c>
      <c r="E3195" t="s">
        <v>600</v>
      </c>
      <c r="F3195" t="s">
        <v>108</v>
      </c>
      <c r="G3195" t="s">
        <v>73</v>
      </c>
      <c r="H3195" t="str">
        <f>"ΒΙΡΑΝ ΕΠΙΣΚΟΠΗ ΡΕΘΥΜΝΟ"</f>
        <v>ΒΙΡΑΝ ΕΠΙΣΚΟΠΗ ΡΕΘΥΜΝΟ</v>
      </c>
      <c r="I3195">
        <v>74100</v>
      </c>
      <c r="J3195">
        <v>2831072425</v>
      </c>
      <c r="K3195">
        <v>6976631844</v>
      </c>
      <c r="N3195" t="s">
        <v>146</v>
      </c>
      <c r="O3195" t="s">
        <v>147</v>
      </c>
      <c r="R3195" t="s">
        <v>57</v>
      </c>
      <c r="S3195">
        <v>7</v>
      </c>
      <c r="T3195">
        <v>681</v>
      </c>
      <c r="U3195" s="1">
        <v>39325</v>
      </c>
      <c r="V3195" t="s">
        <v>5644</v>
      </c>
      <c r="W3195" t="s">
        <v>5645</v>
      </c>
      <c r="X3195" t="s">
        <v>58</v>
      </c>
      <c r="Y3195">
        <v>21</v>
      </c>
      <c r="Z3195" t="s">
        <v>59</v>
      </c>
      <c r="AA3195" t="s">
        <v>59</v>
      </c>
      <c r="AB3195" t="s">
        <v>59</v>
      </c>
      <c r="AC3195" t="s">
        <v>59</v>
      </c>
      <c r="AD3195" t="s">
        <v>59</v>
      </c>
      <c r="AF3195" s="1">
        <v>39325</v>
      </c>
      <c r="AG3195" t="s">
        <v>125</v>
      </c>
      <c r="AH3195" t="s">
        <v>126</v>
      </c>
      <c r="AI3195" t="str">
        <f>"4103010"</f>
        <v>4103010</v>
      </c>
      <c r="AJ3195" t="s">
        <v>5684</v>
      </c>
      <c r="AK3195">
        <v>2834051206</v>
      </c>
      <c r="AL3195" t="s">
        <v>5685</v>
      </c>
      <c r="AM3195" t="s">
        <v>64</v>
      </c>
      <c r="AN3195" t="s">
        <v>5672</v>
      </c>
      <c r="AO3195" t="s">
        <v>5673</v>
      </c>
      <c r="AP3195" t="s">
        <v>5674</v>
      </c>
      <c r="AQ3195">
        <v>2</v>
      </c>
      <c r="AR3195" t="s">
        <v>5644</v>
      </c>
      <c r="AS3195" t="s">
        <v>5645</v>
      </c>
      <c r="AT3195" t="s">
        <v>58</v>
      </c>
      <c r="AU3195" t="s">
        <v>68</v>
      </c>
      <c r="AV3195" t="s">
        <v>69</v>
      </c>
      <c r="AW3195" s="1">
        <v>25728</v>
      </c>
      <c r="AX3195">
        <v>2</v>
      </c>
    </row>
    <row r="3196" spans="1:50">
      <c r="A3196">
        <v>703552</v>
      </c>
      <c r="B3196" t="str">
        <f>"045553032"</f>
        <v>045553032</v>
      </c>
      <c r="C3196" t="s">
        <v>50</v>
      </c>
      <c r="D3196" t="s">
        <v>6284</v>
      </c>
      <c r="E3196" t="s">
        <v>513</v>
      </c>
      <c r="F3196" t="s">
        <v>315</v>
      </c>
      <c r="G3196" t="s">
        <v>52</v>
      </c>
      <c r="H3196" t="str">
        <f>"ΠΑΛΑΙΟΚΑΣΤΡΟ ΗΡΑΚΛΕΙΟ"</f>
        <v>ΠΑΛΑΙΟΚΑΣΤΡΟ ΗΡΑΚΛΕΙΟ</v>
      </c>
      <c r="I3196">
        <v>71500</v>
      </c>
      <c r="J3196">
        <v>2810841326</v>
      </c>
      <c r="K3196">
        <v>6982698918</v>
      </c>
      <c r="M3196" t="s">
        <v>6285</v>
      </c>
      <c r="N3196" t="s">
        <v>232</v>
      </c>
      <c r="O3196" t="s">
        <v>233</v>
      </c>
      <c r="R3196" t="s">
        <v>57</v>
      </c>
      <c r="S3196">
        <v>4</v>
      </c>
      <c r="T3196">
        <v>925</v>
      </c>
      <c r="U3196" s="1">
        <v>41158</v>
      </c>
      <c r="V3196" t="s">
        <v>5644</v>
      </c>
      <c r="W3196" t="s">
        <v>5645</v>
      </c>
      <c r="X3196" t="s">
        <v>58</v>
      </c>
      <c r="Y3196">
        <v>21</v>
      </c>
      <c r="Z3196" t="s">
        <v>59</v>
      </c>
      <c r="AA3196" t="s">
        <v>59</v>
      </c>
      <c r="AB3196" t="s">
        <v>59</v>
      </c>
      <c r="AC3196" t="s">
        <v>59</v>
      </c>
      <c r="AD3196" t="s">
        <v>59</v>
      </c>
      <c r="AF3196" s="1">
        <v>41163</v>
      </c>
      <c r="AG3196" t="s">
        <v>125</v>
      </c>
      <c r="AH3196" t="s">
        <v>126</v>
      </c>
      <c r="AI3196" t="str">
        <f>"4104010"</f>
        <v>4104010</v>
      </c>
      <c r="AJ3196" t="s">
        <v>5745</v>
      </c>
      <c r="AK3196">
        <v>2834022235</v>
      </c>
      <c r="AL3196" t="s">
        <v>5746</v>
      </c>
      <c r="AM3196" t="s">
        <v>64</v>
      </c>
      <c r="AN3196" t="s">
        <v>5672</v>
      </c>
      <c r="AO3196" t="s">
        <v>5673</v>
      </c>
      <c r="AP3196" t="s">
        <v>5689</v>
      </c>
      <c r="AQ3196">
        <v>2</v>
      </c>
      <c r="AR3196" t="s">
        <v>5644</v>
      </c>
      <c r="AS3196" t="s">
        <v>5645</v>
      </c>
      <c r="AT3196" t="s">
        <v>58</v>
      </c>
      <c r="AU3196" t="s">
        <v>68</v>
      </c>
      <c r="AV3196" t="s">
        <v>357</v>
      </c>
      <c r="AW3196" s="1">
        <v>24095</v>
      </c>
      <c r="AX3196">
        <v>2</v>
      </c>
    </row>
    <row r="3197" spans="1:50">
      <c r="A3197">
        <v>219112</v>
      </c>
      <c r="B3197" t="str">
        <f>"119177214"</f>
        <v>119177214</v>
      </c>
      <c r="C3197" t="s">
        <v>50</v>
      </c>
      <c r="D3197" t="s">
        <v>6286</v>
      </c>
      <c r="E3197" t="s">
        <v>109</v>
      </c>
      <c r="F3197" t="s">
        <v>581</v>
      </c>
      <c r="G3197" t="s">
        <v>73</v>
      </c>
      <c r="H3197" t="str">
        <f>"ΣΙΝΟΠΟΥΛΟΥ 15 ΠΕΡΙΣΣΟΣ ΑΤΤΙΚΗΣ"</f>
        <v>ΣΙΝΟΠΟΥΛΟΥ 15 ΠΕΡΙΣΣΟΣ ΑΤΤΙΚΗΣ</v>
      </c>
      <c r="I3197">
        <v>14232</v>
      </c>
      <c r="J3197">
        <v>2102527263</v>
      </c>
      <c r="K3197">
        <v>6946191578</v>
      </c>
      <c r="M3197" t="s">
        <v>6287</v>
      </c>
      <c r="N3197" t="s">
        <v>478</v>
      </c>
      <c r="O3197" t="s">
        <v>479</v>
      </c>
      <c r="R3197" t="s">
        <v>57</v>
      </c>
      <c r="S3197">
        <v>7</v>
      </c>
      <c r="T3197">
        <v>599</v>
      </c>
      <c r="U3197" s="1">
        <v>39310</v>
      </c>
      <c r="V3197" t="s">
        <v>5644</v>
      </c>
      <c r="W3197" t="s">
        <v>5645</v>
      </c>
      <c r="X3197" t="s">
        <v>58</v>
      </c>
      <c r="Y3197">
        <v>21</v>
      </c>
      <c r="Z3197" t="s">
        <v>59</v>
      </c>
      <c r="AA3197" t="s">
        <v>59</v>
      </c>
      <c r="AB3197" t="s">
        <v>59</v>
      </c>
      <c r="AC3197" t="s">
        <v>59</v>
      </c>
      <c r="AD3197" t="s">
        <v>59</v>
      </c>
      <c r="AF3197" s="1">
        <v>39328</v>
      </c>
      <c r="AG3197" t="s">
        <v>125</v>
      </c>
      <c r="AH3197" t="s">
        <v>126</v>
      </c>
      <c r="AI3197" t="str">
        <f>"4102010"</f>
        <v>4102010</v>
      </c>
      <c r="AJ3197" t="s">
        <v>5735</v>
      </c>
      <c r="AK3197">
        <v>2834031331</v>
      </c>
      <c r="AL3197" t="s">
        <v>5736</v>
      </c>
      <c r="AM3197" t="s">
        <v>64</v>
      </c>
      <c r="AN3197" t="s">
        <v>5737</v>
      </c>
      <c r="AO3197" t="s">
        <v>5737</v>
      </c>
      <c r="AP3197" t="s">
        <v>5737</v>
      </c>
      <c r="AQ3197">
        <v>3</v>
      </c>
      <c r="AR3197" t="s">
        <v>5644</v>
      </c>
      <c r="AS3197" t="s">
        <v>5645</v>
      </c>
      <c r="AT3197" t="s">
        <v>58</v>
      </c>
      <c r="AU3197" t="s">
        <v>68</v>
      </c>
      <c r="AV3197" t="s">
        <v>69</v>
      </c>
      <c r="AW3197" s="1">
        <v>29929</v>
      </c>
      <c r="AX3197">
        <v>2</v>
      </c>
    </row>
    <row r="3198" spans="1:50">
      <c r="A3198">
        <v>194449</v>
      </c>
      <c r="B3198" t="str">
        <f>"059644082"</f>
        <v>059644082</v>
      </c>
      <c r="C3198" t="s">
        <v>105</v>
      </c>
      <c r="D3198" t="s">
        <v>6288</v>
      </c>
      <c r="E3198" t="s">
        <v>496</v>
      </c>
      <c r="F3198" t="s">
        <v>166</v>
      </c>
      <c r="G3198" t="s">
        <v>6289</v>
      </c>
      <c r="H3198" t="str">
        <f>"Μπαρότση 26 ΡΕΘΥΜΝΟ"</f>
        <v>Μπαρότση 26 ΡΕΘΥΜΝΟ</v>
      </c>
      <c r="I3198">
        <v>74100</v>
      </c>
      <c r="J3198">
        <v>2831050806</v>
      </c>
      <c r="K3198">
        <v>6948752794</v>
      </c>
      <c r="M3198" t="s">
        <v>6290</v>
      </c>
      <c r="N3198" t="s">
        <v>176</v>
      </c>
      <c r="O3198" t="s">
        <v>177</v>
      </c>
      <c r="R3198" t="s">
        <v>57</v>
      </c>
      <c r="S3198">
        <v>10</v>
      </c>
      <c r="T3198">
        <v>193</v>
      </c>
      <c r="U3198" s="1">
        <v>37497</v>
      </c>
      <c r="V3198" t="s">
        <v>5644</v>
      </c>
      <c r="W3198" t="s">
        <v>5645</v>
      </c>
      <c r="X3198" t="s">
        <v>58</v>
      </c>
      <c r="Y3198">
        <v>18</v>
      </c>
      <c r="Z3198" t="s">
        <v>59</v>
      </c>
      <c r="AA3198" t="s">
        <v>59</v>
      </c>
      <c r="AB3198" t="s">
        <v>59</v>
      </c>
      <c r="AC3198" t="s">
        <v>59</v>
      </c>
      <c r="AD3198" t="s">
        <v>59</v>
      </c>
      <c r="AF3198" s="1">
        <v>37501</v>
      </c>
      <c r="AG3198" t="s">
        <v>148</v>
      </c>
      <c r="AH3198" t="s">
        <v>149</v>
      </c>
      <c r="AI3198" t="str">
        <f>"4151030"</f>
        <v>4151030</v>
      </c>
      <c r="AJ3198" t="s">
        <v>5681</v>
      </c>
      <c r="AK3198">
        <v>2831023422</v>
      </c>
      <c r="AL3198" t="s">
        <v>5682</v>
      </c>
      <c r="AM3198" t="s">
        <v>64</v>
      </c>
      <c r="AN3198" t="s">
        <v>65</v>
      </c>
      <c r="AO3198" t="s">
        <v>65</v>
      </c>
      <c r="AP3198" t="s">
        <v>65</v>
      </c>
      <c r="AQ3198">
        <v>1</v>
      </c>
      <c r="AR3198" t="s">
        <v>5644</v>
      </c>
      <c r="AS3198" t="s">
        <v>5645</v>
      </c>
      <c r="AT3198" t="s">
        <v>58</v>
      </c>
      <c r="AU3198" t="s">
        <v>68</v>
      </c>
      <c r="AV3198" t="s">
        <v>132</v>
      </c>
      <c r="AW3198" s="1">
        <v>25543</v>
      </c>
      <c r="AX3198">
        <v>2</v>
      </c>
    </row>
    <row r="3199" spans="1:50">
      <c r="A3199">
        <v>146592</v>
      </c>
      <c r="B3199" t="str">
        <f>"026355488"</f>
        <v>026355488</v>
      </c>
      <c r="C3199" t="s">
        <v>105</v>
      </c>
      <c r="D3199" t="s">
        <v>6291</v>
      </c>
      <c r="E3199" t="s">
        <v>99</v>
      </c>
      <c r="F3199" t="s">
        <v>2227</v>
      </c>
      <c r="G3199" t="s">
        <v>52</v>
      </c>
      <c r="H3199" t="str">
        <f>"ΑΔΕΛΕ-ΡΕΘΥΜΝΟ ΔΗΜΟΣ ΡΕΘΥΜΝΟΥ"</f>
        <v>ΑΔΕΛΕ-ΡΕΘΥΜΝΟ ΔΗΜΟΣ ΡΕΘΥΜΝΟΥ</v>
      </c>
      <c r="I3199">
        <v>74100</v>
      </c>
      <c r="N3199" t="s">
        <v>292</v>
      </c>
      <c r="O3199" t="s">
        <v>293</v>
      </c>
      <c r="R3199" t="s">
        <v>57</v>
      </c>
      <c r="S3199">
        <v>16</v>
      </c>
      <c r="T3199">
        <v>237</v>
      </c>
      <c r="U3199" s="1">
        <v>31293</v>
      </c>
      <c r="V3199" t="s">
        <v>5644</v>
      </c>
      <c r="W3199" t="s">
        <v>5645</v>
      </c>
      <c r="X3199" t="s">
        <v>58</v>
      </c>
      <c r="Y3199">
        <v>18</v>
      </c>
      <c r="Z3199" t="s">
        <v>59</v>
      </c>
      <c r="AA3199" t="s">
        <v>59</v>
      </c>
      <c r="AB3199" t="s">
        <v>59</v>
      </c>
      <c r="AC3199" t="s">
        <v>59</v>
      </c>
      <c r="AD3199" t="s">
        <v>59</v>
      </c>
      <c r="AF3199" s="1">
        <v>31293</v>
      </c>
      <c r="AG3199" t="s">
        <v>125</v>
      </c>
      <c r="AH3199" t="s">
        <v>126</v>
      </c>
      <c r="AI3199" t="str">
        <f>"4102020"</f>
        <v>4102020</v>
      </c>
      <c r="AJ3199" t="s">
        <v>5761</v>
      </c>
      <c r="AK3199">
        <v>2831061491</v>
      </c>
      <c r="AL3199" t="s">
        <v>5762</v>
      </c>
      <c r="AM3199" t="s">
        <v>64</v>
      </c>
      <c r="AN3199" t="s">
        <v>65</v>
      </c>
      <c r="AO3199" t="s">
        <v>5657</v>
      </c>
      <c r="AP3199" t="s">
        <v>1437</v>
      </c>
      <c r="AQ3199">
        <v>1</v>
      </c>
      <c r="AR3199" t="s">
        <v>5644</v>
      </c>
      <c r="AS3199" t="s">
        <v>5645</v>
      </c>
      <c r="AT3199" t="s">
        <v>58</v>
      </c>
      <c r="AU3199" t="s">
        <v>68</v>
      </c>
      <c r="AV3199" t="s">
        <v>69</v>
      </c>
      <c r="AW3199" s="1">
        <v>20076</v>
      </c>
      <c r="AX3199">
        <v>2</v>
      </c>
    </row>
    <row r="3200" spans="1:50">
      <c r="B3200" t="str">
        <f>"110066964"</f>
        <v>110066964</v>
      </c>
      <c r="C3200" t="s">
        <v>105</v>
      </c>
      <c r="D3200" t="s">
        <v>6292</v>
      </c>
      <c r="E3200" t="s">
        <v>581</v>
      </c>
      <c r="F3200" t="s">
        <v>95</v>
      </c>
      <c r="G3200" t="s">
        <v>52</v>
      </c>
      <c r="H3200" t="str">
        <f>"ΦΑΡΩΝ 192 ΚΑΛΑΜΑΤΑ"</f>
        <v>ΦΑΡΩΝ 192 ΚΑΛΑΜΑΤΑ</v>
      </c>
      <c r="I3200">
        <v>24100</v>
      </c>
      <c r="J3200">
        <v>2721093748</v>
      </c>
      <c r="K3200">
        <v>6945345420</v>
      </c>
      <c r="M3200" t="s">
        <v>6293</v>
      </c>
      <c r="N3200" t="s">
        <v>168</v>
      </c>
      <c r="O3200" t="s">
        <v>169</v>
      </c>
      <c r="R3200" t="s">
        <v>159</v>
      </c>
      <c r="S3200">
        <v>4</v>
      </c>
      <c r="T3200" t="s">
        <v>416</v>
      </c>
      <c r="U3200" s="1">
        <v>43349</v>
      </c>
      <c r="V3200" t="s">
        <v>5644</v>
      </c>
      <c r="W3200" t="s">
        <v>5645</v>
      </c>
      <c r="X3200" t="s">
        <v>58</v>
      </c>
      <c r="Y3200">
        <v>21</v>
      </c>
      <c r="Z3200" t="s">
        <v>59</v>
      </c>
      <c r="AA3200" t="s">
        <v>59</v>
      </c>
      <c r="AB3200" t="s">
        <v>59</v>
      </c>
      <c r="AC3200" t="s">
        <v>59</v>
      </c>
      <c r="AD3200" t="s">
        <v>59</v>
      </c>
      <c r="AF3200" s="1">
        <v>43349</v>
      </c>
      <c r="AG3200" t="s">
        <v>137</v>
      </c>
      <c r="AH3200" t="s">
        <v>138</v>
      </c>
      <c r="AI3200" t="str">
        <f>"4150040"</f>
        <v>4150040</v>
      </c>
      <c r="AJ3200" t="s">
        <v>5661</v>
      </c>
      <c r="AK3200">
        <v>2831029048</v>
      </c>
      <c r="AL3200" t="s">
        <v>5662</v>
      </c>
      <c r="AM3200" t="s">
        <v>64</v>
      </c>
      <c r="AN3200" t="s">
        <v>65</v>
      </c>
      <c r="AO3200" t="s">
        <v>65</v>
      </c>
      <c r="AP3200" t="s">
        <v>65</v>
      </c>
      <c r="AQ3200">
        <v>1</v>
      </c>
      <c r="AR3200" t="s">
        <v>5644</v>
      </c>
      <c r="AS3200" t="s">
        <v>5645</v>
      </c>
      <c r="AT3200" t="s">
        <v>58</v>
      </c>
      <c r="AU3200" t="s">
        <v>419</v>
      </c>
      <c r="AV3200" t="s">
        <v>132</v>
      </c>
      <c r="AW3200" s="1">
        <v>28836</v>
      </c>
      <c r="AX3200">
        <v>2</v>
      </c>
    </row>
    <row r="3201" spans="1:50">
      <c r="B3201" t="str">
        <f>"129487107"</f>
        <v>129487107</v>
      </c>
      <c r="C3201" t="s">
        <v>105</v>
      </c>
      <c r="D3201" t="s">
        <v>6294</v>
      </c>
      <c r="E3201" t="s">
        <v>84</v>
      </c>
      <c r="F3201" t="s">
        <v>6295</v>
      </c>
      <c r="G3201" t="s">
        <v>513</v>
      </c>
      <c r="H3201" t="str">
        <f>"ΑΝΤΙΓΟΝΟΥ 19 ΔΡΑΜΑ"</f>
        <v>ΑΝΤΙΓΟΝΟΥ 19 ΔΡΑΜΑ</v>
      </c>
      <c r="I3201">
        <v>66100</v>
      </c>
      <c r="J3201">
        <v>2521021963</v>
      </c>
      <c r="K3201">
        <v>6978727925</v>
      </c>
      <c r="M3201" t="s">
        <v>6296</v>
      </c>
      <c r="N3201" t="s">
        <v>627</v>
      </c>
      <c r="O3201" t="s">
        <v>628</v>
      </c>
      <c r="R3201" t="s">
        <v>159</v>
      </c>
      <c r="S3201">
        <v>3</v>
      </c>
      <c r="T3201" t="s">
        <v>344</v>
      </c>
      <c r="U3201" s="1">
        <v>43348</v>
      </c>
      <c r="V3201" t="s">
        <v>5644</v>
      </c>
      <c r="W3201" t="s">
        <v>5645</v>
      </c>
      <c r="X3201" t="s">
        <v>58</v>
      </c>
      <c r="Y3201">
        <v>21</v>
      </c>
      <c r="Z3201" t="s">
        <v>59</v>
      </c>
      <c r="AA3201" t="s">
        <v>59</v>
      </c>
      <c r="AB3201" t="s">
        <v>59</v>
      </c>
      <c r="AC3201" t="s">
        <v>59</v>
      </c>
      <c r="AD3201" t="s">
        <v>59</v>
      </c>
      <c r="AF3201" s="1">
        <v>43348</v>
      </c>
      <c r="AG3201" t="s">
        <v>345</v>
      </c>
      <c r="AH3201" t="s">
        <v>346</v>
      </c>
      <c r="AI3201" t="str">
        <f>"4141010"</f>
        <v>4141010</v>
      </c>
      <c r="AJ3201" t="s">
        <v>6121</v>
      </c>
      <c r="AK3201">
        <v>2831035068</v>
      </c>
      <c r="AL3201" t="s">
        <v>6122</v>
      </c>
      <c r="AM3201" t="s">
        <v>64</v>
      </c>
      <c r="AN3201" t="s">
        <v>65</v>
      </c>
      <c r="AO3201" t="s">
        <v>65</v>
      </c>
      <c r="AP3201" t="s">
        <v>65</v>
      </c>
      <c r="AQ3201">
        <v>1</v>
      </c>
      <c r="AR3201" t="s">
        <v>5644</v>
      </c>
      <c r="AS3201" t="s">
        <v>5645</v>
      </c>
      <c r="AT3201" t="s">
        <v>58</v>
      </c>
      <c r="AU3201" t="s">
        <v>350</v>
      </c>
      <c r="AV3201" t="s">
        <v>132</v>
      </c>
      <c r="AW3201" s="1">
        <v>30978</v>
      </c>
      <c r="AX3201">
        <v>2</v>
      </c>
    </row>
    <row r="3202" spans="1:50">
      <c r="B3202" t="str">
        <f>"132896123"</f>
        <v>132896123</v>
      </c>
      <c r="C3202" t="s">
        <v>50</v>
      </c>
      <c r="D3202" t="s">
        <v>6297</v>
      </c>
      <c r="E3202" t="s">
        <v>4390</v>
      </c>
      <c r="F3202" t="s">
        <v>72</v>
      </c>
      <c r="G3202" t="s">
        <v>237</v>
      </c>
      <c r="H3202" t="str">
        <f>"ΙΟΥΣΤΙΝΙΑΝΟΥ Α ΠΑΡ. 4 ΚΑΤΕΡΙΝΗ"</f>
        <v>ΙΟΥΣΤΙΝΙΑΝΟΥ Α ΠΑΡ. 4 ΚΑΤΕΡΙΝΗ</v>
      </c>
      <c r="I3202">
        <v>60100</v>
      </c>
      <c r="J3202">
        <v>2351023023</v>
      </c>
      <c r="K3202">
        <v>6978111036</v>
      </c>
      <c r="M3202" t="s">
        <v>6298</v>
      </c>
      <c r="N3202" t="s">
        <v>199</v>
      </c>
      <c r="O3202" t="s">
        <v>200</v>
      </c>
      <c r="R3202" t="s">
        <v>159</v>
      </c>
      <c r="S3202">
        <v>2</v>
      </c>
      <c r="T3202" t="s">
        <v>416</v>
      </c>
      <c r="U3202" s="1">
        <v>43349</v>
      </c>
      <c r="V3202" t="s">
        <v>5644</v>
      </c>
      <c r="W3202" t="s">
        <v>5645</v>
      </c>
      <c r="X3202" t="s">
        <v>58</v>
      </c>
      <c r="Y3202">
        <v>23</v>
      </c>
      <c r="Z3202" t="s">
        <v>59</v>
      </c>
      <c r="AA3202" t="s">
        <v>59</v>
      </c>
      <c r="AB3202" t="s">
        <v>59</v>
      </c>
      <c r="AC3202" t="s">
        <v>59</v>
      </c>
      <c r="AD3202" t="s">
        <v>59</v>
      </c>
      <c r="AF3202" s="1">
        <v>43349</v>
      </c>
      <c r="AG3202" t="s">
        <v>137</v>
      </c>
      <c r="AH3202" t="s">
        <v>138</v>
      </c>
      <c r="AI3202" t="str">
        <f>"4150040"</f>
        <v>4150040</v>
      </c>
      <c r="AJ3202" t="s">
        <v>5661</v>
      </c>
      <c r="AK3202">
        <v>2831029048</v>
      </c>
      <c r="AL3202" t="s">
        <v>5662</v>
      </c>
      <c r="AM3202" t="s">
        <v>64</v>
      </c>
      <c r="AN3202" t="s">
        <v>65</v>
      </c>
      <c r="AO3202" t="s">
        <v>65</v>
      </c>
      <c r="AP3202" t="s">
        <v>65</v>
      </c>
      <c r="AQ3202">
        <v>1</v>
      </c>
      <c r="AR3202" t="s">
        <v>5644</v>
      </c>
      <c r="AS3202" t="s">
        <v>5645</v>
      </c>
      <c r="AT3202" t="s">
        <v>58</v>
      </c>
      <c r="AU3202" t="s">
        <v>419</v>
      </c>
      <c r="AV3202" t="s">
        <v>132</v>
      </c>
      <c r="AW3202" s="1">
        <v>30557</v>
      </c>
      <c r="AX3202">
        <v>2</v>
      </c>
    </row>
    <row r="3203" spans="1:50">
      <c r="A3203">
        <v>600644</v>
      </c>
      <c r="B3203" t="str">
        <f>"055213790"</f>
        <v>055213790</v>
      </c>
      <c r="C3203" t="s">
        <v>50</v>
      </c>
      <c r="D3203" t="s">
        <v>6297</v>
      </c>
      <c r="E3203" t="s">
        <v>268</v>
      </c>
      <c r="F3203" t="s">
        <v>108</v>
      </c>
      <c r="G3203" t="s">
        <v>109</v>
      </c>
      <c r="H3203" t="str">
        <f>"ΑΤΣΙΠΟΠΟΥΛΟ ΑΤΣΙΠΟΠΟΥΛΟ"</f>
        <v>ΑΤΣΙΠΟΠΟΥΛΟ ΑΤΣΙΠΟΠΟΥΛΟ</v>
      </c>
      <c r="I3203">
        <v>74150</v>
      </c>
      <c r="J3203">
        <v>2831050673</v>
      </c>
      <c r="K3203">
        <v>6947165297</v>
      </c>
      <c r="M3203" t="s">
        <v>6299</v>
      </c>
      <c r="N3203" t="s">
        <v>74</v>
      </c>
      <c r="O3203" t="s">
        <v>75</v>
      </c>
      <c r="R3203" t="s">
        <v>57</v>
      </c>
      <c r="S3203">
        <v>12</v>
      </c>
      <c r="T3203" t="s">
        <v>6300</v>
      </c>
      <c r="U3203" s="1">
        <v>34579</v>
      </c>
      <c r="V3203" t="s">
        <v>5644</v>
      </c>
      <c r="W3203" t="s">
        <v>5645</v>
      </c>
      <c r="X3203" t="s">
        <v>58</v>
      </c>
      <c r="Y3203">
        <v>21</v>
      </c>
      <c r="Z3203" t="s">
        <v>59</v>
      </c>
      <c r="AA3203" t="s">
        <v>59</v>
      </c>
      <c r="AB3203" t="s">
        <v>59</v>
      </c>
      <c r="AC3203" t="s">
        <v>59</v>
      </c>
      <c r="AD3203" t="s">
        <v>59</v>
      </c>
      <c r="AF3203" s="1">
        <v>34579</v>
      </c>
      <c r="AG3203" t="s">
        <v>345</v>
      </c>
      <c r="AH3203" t="s">
        <v>346</v>
      </c>
      <c r="AI3203" t="str">
        <f>"4141010"</f>
        <v>4141010</v>
      </c>
      <c r="AJ3203" t="s">
        <v>6121</v>
      </c>
      <c r="AK3203">
        <v>2831035068</v>
      </c>
      <c r="AL3203" t="s">
        <v>6122</v>
      </c>
      <c r="AM3203" t="s">
        <v>64</v>
      </c>
      <c r="AN3203" t="s">
        <v>65</v>
      </c>
      <c r="AO3203" t="s">
        <v>65</v>
      </c>
      <c r="AP3203" t="s">
        <v>65</v>
      </c>
      <c r="AQ3203">
        <v>1</v>
      </c>
      <c r="AR3203" t="s">
        <v>5644</v>
      </c>
      <c r="AS3203" t="s">
        <v>5645</v>
      </c>
      <c r="AT3203" t="s">
        <v>58</v>
      </c>
      <c r="AU3203" t="s">
        <v>68</v>
      </c>
      <c r="AV3203" t="s">
        <v>69</v>
      </c>
      <c r="AW3203" s="1">
        <v>25920</v>
      </c>
      <c r="AX3203">
        <v>2</v>
      </c>
    </row>
    <row r="3204" spans="1:50">
      <c r="B3204" t="str">
        <f>"136428275"</f>
        <v>136428275</v>
      </c>
      <c r="C3204" t="s">
        <v>50</v>
      </c>
      <c r="D3204" t="s">
        <v>2966</v>
      </c>
      <c r="E3204" t="s">
        <v>476</v>
      </c>
      <c r="F3204" t="s">
        <v>106</v>
      </c>
      <c r="G3204" t="s">
        <v>563</v>
      </c>
      <c r="H3204" t="str">
        <f>" "</f>
        <v xml:space="preserve"> </v>
      </c>
      <c r="N3204" t="s">
        <v>2241</v>
      </c>
      <c r="O3204" t="s">
        <v>2242</v>
      </c>
      <c r="R3204" t="s">
        <v>121</v>
      </c>
      <c r="S3204">
        <v>3</v>
      </c>
      <c r="T3204" t="s">
        <v>5643</v>
      </c>
      <c r="U3204" s="1">
        <v>43348</v>
      </c>
      <c r="V3204" t="s">
        <v>5644</v>
      </c>
      <c r="W3204" t="s">
        <v>5645</v>
      </c>
      <c r="X3204" t="s">
        <v>58</v>
      </c>
      <c r="Y3204">
        <v>23</v>
      </c>
      <c r="Z3204" t="s">
        <v>59</v>
      </c>
      <c r="AA3204" t="s">
        <v>59</v>
      </c>
      <c r="AB3204" t="s">
        <v>59</v>
      </c>
      <c r="AD3204" t="s">
        <v>59</v>
      </c>
      <c r="AF3204" s="1">
        <v>43348</v>
      </c>
      <c r="AG3204" t="s">
        <v>125</v>
      </c>
      <c r="AH3204" t="s">
        <v>590</v>
      </c>
      <c r="AI3204" t="str">
        <f>"4111001"</f>
        <v>4111001</v>
      </c>
      <c r="AJ3204" t="s">
        <v>6249</v>
      </c>
      <c r="AK3204">
        <v>2831031320</v>
      </c>
      <c r="AL3204" t="s">
        <v>6250</v>
      </c>
      <c r="AM3204" t="s">
        <v>64</v>
      </c>
      <c r="AN3204" t="s">
        <v>65</v>
      </c>
      <c r="AO3204" t="s">
        <v>65</v>
      </c>
      <c r="AP3204" t="s">
        <v>65</v>
      </c>
      <c r="AQ3204">
        <v>1</v>
      </c>
      <c r="AR3204" t="s">
        <v>5644</v>
      </c>
      <c r="AS3204" t="s">
        <v>5645</v>
      </c>
      <c r="AT3204" t="s">
        <v>58</v>
      </c>
      <c r="AU3204" t="s">
        <v>350</v>
      </c>
      <c r="AV3204" t="s">
        <v>132</v>
      </c>
      <c r="AW3204" s="1">
        <v>31551</v>
      </c>
      <c r="AX3204">
        <v>2</v>
      </c>
    </row>
    <row r="3205" spans="1:50">
      <c r="A3205">
        <v>195310</v>
      </c>
      <c r="B3205" t="str">
        <f>"066532375"</f>
        <v>066532375</v>
      </c>
      <c r="C3205" t="s">
        <v>50</v>
      </c>
      <c r="D3205" t="s">
        <v>2972</v>
      </c>
      <c r="E3205" t="s">
        <v>143</v>
      </c>
      <c r="F3205" t="s">
        <v>377</v>
      </c>
      <c r="G3205" t="s">
        <v>1925</v>
      </c>
      <c r="H3205" t="str">
        <f>"ΚΑΠΟΔΙΣΤΡΙΟΥ 59 ΡΕΘΥΜΝΟ"</f>
        <v>ΚΑΠΟΔΙΣΤΡΙΟΥ 59 ΡΕΘΥΜΝΟ</v>
      </c>
      <c r="I3205">
        <v>74100</v>
      </c>
      <c r="J3205">
        <v>2831050510</v>
      </c>
      <c r="K3205">
        <v>6932400754</v>
      </c>
      <c r="M3205" t="s">
        <v>6301</v>
      </c>
      <c r="N3205" t="s">
        <v>146</v>
      </c>
      <c r="O3205" t="s">
        <v>147</v>
      </c>
      <c r="R3205" t="s">
        <v>57</v>
      </c>
      <c r="S3205">
        <v>10</v>
      </c>
      <c r="T3205">
        <v>194</v>
      </c>
      <c r="U3205" s="1">
        <v>37497</v>
      </c>
      <c r="V3205" t="s">
        <v>5644</v>
      </c>
      <c r="W3205" t="s">
        <v>5645</v>
      </c>
      <c r="X3205" t="s">
        <v>58</v>
      </c>
      <c r="Y3205">
        <v>20</v>
      </c>
      <c r="Z3205" t="s">
        <v>59</v>
      </c>
      <c r="AA3205" t="s">
        <v>59</v>
      </c>
      <c r="AB3205" t="s">
        <v>59</v>
      </c>
      <c r="AC3205" t="s">
        <v>59</v>
      </c>
      <c r="AD3205" t="s">
        <v>59</v>
      </c>
      <c r="AF3205" s="1">
        <v>37497</v>
      </c>
      <c r="AG3205" t="s">
        <v>125</v>
      </c>
      <c r="AH3205" t="s">
        <v>126</v>
      </c>
      <c r="AI3205" t="str">
        <f>"4104010"</f>
        <v>4104010</v>
      </c>
      <c r="AJ3205" t="s">
        <v>5745</v>
      </c>
      <c r="AK3205">
        <v>2834022235</v>
      </c>
      <c r="AL3205" t="s">
        <v>5746</v>
      </c>
      <c r="AM3205" t="s">
        <v>64</v>
      </c>
      <c r="AN3205" t="s">
        <v>5672</v>
      </c>
      <c r="AO3205" t="s">
        <v>5673</v>
      </c>
      <c r="AP3205" t="s">
        <v>5689</v>
      </c>
      <c r="AQ3205">
        <v>2</v>
      </c>
      <c r="AR3205" t="s">
        <v>5644</v>
      </c>
      <c r="AS3205" t="s">
        <v>5645</v>
      </c>
      <c r="AT3205" t="s">
        <v>58</v>
      </c>
      <c r="AU3205" t="s">
        <v>68</v>
      </c>
      <c r="AV3205" t="s">
        <v>69</v>
      </c>
      <c r="AW3205" s="1">
        <v>25012</v>
      </c>
      <c r="AX3205">
        <v>2</v>
      </c>
    </row>
    <row r="3206" spans="1:50">
      <c r="A3206">
        <v>703780</v>
      </c>
      <c r="B3206" t="str">
        <f>"112917052"</f>
        <v>112917052</v>
      </c>
      <c r="C3206" t="s">
        <v>50</v>
      </c>
      <c r="D3206" t="s">
        <v>2975</v>
      </c>
      <c r="E3206" t="s">
        <v>54</v>
      </c>
      <c r="F3206" t="s">
        <v>95</v>
      </c>
      <c r="G3206" t="s">
        <v>255</v>
      </c>
      <c r="H3206" t="str">
        <f>"ΡΗΓΑ 25 ΠΕΡΙΣΤΕΡΙ "</f>
        <v xml:space="preserve">ΡΗΓΑ 25 ΠΕΡΙΣΤΕΡΙ </v>
      </c>
      <c r="I3206">
        <v>12136</v>
      </c>
      <c r="J3206">
        <v>2105746098</v>
      </c>
      <c r="K3206">
        <v>6944726092</v>
      </c>
      <c r="M3206" t="s">
        <v>6302</v>
      </c>
      <c r="N3206" t="s">
        <v>168</v>
      </c>
      <c r="O3206" t="s">
        <v>169</v>
      </c>
      <c r="R3206" t="s">
        <v>57</v>
      </c>
      <c r="S3206">
        <v>6</v>
      </c>
      <c r="T3206">
        <v>225</v>
      </c>
      <c r="U3206" s="1">
        <v>41695</v>
      </c>
      <c r="V3206" t="s">
        <v>5644</v>
      </c>
      <c r="W3206" t="s">
        <v>5645</v>
      </c>
      <c r="X3206" t="s">
        <v>58</v>
      </c>
      <c r="Y3206">
        <v>21</v>
      </c>
      <c r="Z3206" t="s">
        <v>59</v>
      </c>
      <c r="AA3206" t="s">
        <v>59</v>
      </c>
      <c r="AB3206" t="s">
        <v>59</v>
      </c>
      <c r="AC3206" t="s">
        <v>59</v>
      </c>
      <c r="AD3206" t="s">
        <v>59</v>
      </c>
      <c r="AF3206" s="1">
        <v>41695</v>
      </c>
      <c r="AG3206" t="s">
        <v>137</v>
      </c>
      <c r="AH3206" t="s">
        <v>138</v>
      </c>
      <c r="AI3206" t="str">
        <f>"4150040"</f>
        <v>4150040</v>
      </c>
      <c r="AJ3206" t="s">
        <v>5661</v>
      </c>
      <c r="AK3206">
        <v>2831029048</v>
      </c>
      <c r="AL3206" t="s">
        <v>5662</v>
      </c>
      <c r="AM3206" t="s">
        <v>64</v>
      </c>
      <c r="AN3206" t="s">
        <v>65</v>
      </c>
      <c r="AO3206" t="s">
        <v>65</v>
      </c>
      <c r="AP3206" t="s">
        <v>65</v>
      </c>
      <c r="AQ3206">
        <v>1</v>
      </c>
      <c r="AR3206" t="s">
        <v>5644</v>
      </c>
      <c r="AS3206" t="s">
        <v>5645</v>
      </c>
      <c r="AT3206" t="s">
        <v>58</v>
      </c>
      <c r="AU3206" t="s">
        <v>68</v>
      </c>
      <c r="AV3206" t="s">
        <v>69</v>
      </c>
      <c r="AW3206" s="1">
        <v>28856</v>
      </c>
      <c r="AX3206">
        <v>2</v>
      </c>
    </row>
    <row r="3207" spans="1:50">
      <c r="A3207">
        <v>217353</v>
      </c>
      <c r="B3207" t="str">
        <f>"062762024"</f>
        <v>062762024</v>
      </c>
      <c r="C3207" t="s">
        <v>105</v>
      </c>
      <c r="D3207" t="s">
        <v>6303</v>
      </c>
      <c r="E3207" t="s">
        <v>84</v>
      </c>
      <c r="F3207" t="s">
        <v>95</v>
      </c>
      <c r="G3207" t="s">
        <v>507</v>
      </c>
      <c r="H3207" t="str">
        <f>"ΚΟΥΡΜΟΥΛΗ 45 ΡΕΘΥΜΝΟ"</f>
        <v>ΚΟΥΡΜΟΥΛΗ 45 ΡΕΘΥΜΝΟ</v>
      </c>
      <c r="I3207">
        <v>74132</v>
      </c>
      <c r="J3207">
        <v>2831103079</v>
      </c>
      <c r="K3207">
        <v>6978025699</v>
      </c>
      <c r="M3207" t="s">
        <v>6304</v>
      </c>
      <c r="N3207" t="s">
        <v>157</v>
      </c>
      <c r="O3207" t="s">
        <v>158</v>
      </c>
      <c r="P3207" t="s">
        <v>1116</v>
      </c>
      <c r="Q3207" t="s">
        <v>1117</v>
      </c>
      <c r="R3207" t="s">
        <v>57</v>
      </c>
      <c r="S3207">
        <v>9</v>
      </c>
      <c r="T3207">
        <v>599</v>
      </c>
      <c r="U3207" s="1">
        <v>39310</v>
      </c>
      <c r="V3207" t="s">
        <v>5644</v>
      </c>
      <c r="W3207" t="s">
        <v>5645</v>
      </c>
      <c r="X3207" t="s">
        <v>58</v>
      </c>
      <c r="Y3207">
        <v>20</v>
      </c>
      <c r="Z3207" t="s">
        <v>59</v>
      </c>
      <c r="AA3207" t="s">
        <v>59</v>
      </c>
      <c r="AB3207" t="s">
        <v>59</v>
      </c>
      <c r="AC3207" t="s">
        <v>59</v>
      </c>
      <c r="AD3207" t="s">
        <v>59</v>
      </c>
      <c r="AF3207" s="1">
        <v>39328</v>
      </c>
      <c r="AG3207" t="s">
        <v>148</v>
      </c>
      <c r="AH3207" t="s">
        <v>149</v>
      </c>
      <c r="AI3207" t="str">
        <f>"4151009"</f>
        <v>4151009</v>
      </c>
      <c r="AJ3207" t="s">
        <v>5649</v>
      </c>
      <c r="AK3207">
        <v>2831027115</v>
      </c>
      <c r="AL3207" t="s">
        <v>5650</v>
      </c>
      <c r="AM3207" t="s">
        <v>64</v>
      </c>
      <c r="AN3207" t="s">
        <v>65</v>
      </c>
      <c r="AO3207" t="s">
        <v>65</v>
      </c>
      <c r="AP3207" t="s">
        <v>65</v>
      </c>
      <c r="AQ3207">
        <v>1</v>
      </c>
      <c r="AR3207" t="s">
        <v>5644</v>
      </c>
      <c r="AS3207" t="s">
        <v>5645</v>
      </c>
      <c r="AT3207" t="s">
        <v>58</v>
      </c>
      <c r="AU3207" t="s">
        <v>68</v>
      </c>
      <c r="AV3207" t="s">
        <v>69</v>
      </c>
      <c r="AW3207" s="1">
        <v>26339</v>
      </c>
      <c r="AX3207">
        <v>2</v>
      </c>
    </row>
    <row r="3208" spans="1:50">
      <c r="A3208">
        <v>217089</v>
      </c>
      <c r="B3208" t="str">
        <f>"053013421"</f>
        <v>053013421</v>
      </c>
      <c r="C3208" t="s">
        <v>50</v>
      </c>
      <c r="D3208" t="s">
        <v>6305</v>
      </c>
      <c r="E3208" t="s">
        <v>250</v>
      </c>
      <c r="F3208" t="s">
        <v>2847</v>
      </c>
      <c r="G3208" t="s">
        <v>513</v>
      </c>
      <c r="H3208" t="str">
        <f>"ΖΑΧ. ΚΑΛΛΙΕΡΓΗ 14 ΡΕΘΥΜΝΟ"</f>
        <v>ΖΑΧ. ΚΑΛΛΙΕΡΓΗ 14 ΡΕΘΥΜΝΟ</v>
      </c>
      <c r="I3208">
        <v>74100</v>
      </c>
      <c r="J3208">
        <v>2831052653</v>
      </c>
      <c r="K3208">
        <v>6973775872</v>
      </c>
      <c r="N3208" t="s">
        <v>337</v>
      </c>
      <c r="O3208" t="s">
        <v>338</v>
      </c>
      <c r="R3208" t="s">
        <v>57</v>
      </c>
      <c r="S3208">
        <v>8</v>
      </c>
      <c r="T3208">
        <v>298</v>
      </c>
      <c r="U3208" s="1">
        <v>38985</v>
      </c>
      <c r="V3208" t="s">
        <v>5644</v>
      </c>
      <c r="W3208" t="s">
        <v>5645</v>
      </c>
      <c r="X3208" t="s">
        <v>58</v>
      </c>
      <c r="Y3208">
        <v>20</v>
      </c>
      <c r="Z3208" t="s">
        <v>59</v>
      </c>
      <c r="AA3208" t="s">
        <v>59</v>
      </c>
      <c r="AB3208" t="s">
        <v>59</v>
      </c>
      <c r="AC3208" t="s">
        <v>59</v>
      </c>
      <c r="AD3208" t="s">
        <v>59</v>
      </c>
      <c r="AF3208" s="1">
        <v>38985</v>
      </c>
      <c r="AG3208" t="s">
        <v>125</v>
      </c>
      <c r="AH3208" t="s">
        <v>294</v>
      </c>
      <c r="AI3208" t="str">
        <f>"4101045"</f>
        <v>4101045</v>
      </c>
      <c r="AJ3208" t="s">
        <v>5677</v>
      </c>
      <c r="AK3208">
        <v>2831027553</v>
      </c>
      <c r="AL3208" t="s">
        <v>5678</v>
      </c>
      <c r="AM3208" t="s">
        <v>64</v>
      </c>
      <c r="AN3208" t="s">
        <v>65</v>
      </c>
      <c r="AO3208" t="s">
        <v>65</v>
      </c>
      <c r="AP3208" t="s">
        <v>65</v>
      </c>
      <c r="AQ3208">
        <v>1</v>
      </c>
      <c r="AR3208" t="s">
        <v>5644</v>
      </c>
      <c r="AS3208" t="s">
        <v>5645</v>
      </c>
      <c r="AT3208" t="s">
        <v>58</v>
      </c>
      <c r="AU3208" t="s">
        <v>68</v>
      </c>
      <c r="AV3208" t="s">
        <v>69</v>
      </c>
      <c r="AW3208" s="1">
        <v>25302</v>
      </c>
      <c r="AX3208">
        <v>2</v>
      </c>
    </row>
    <row r="3209" spans="1:50">
      <c r="A3209">
        <v>229129</v>
      </c>
      <c r="B3209" t="str">
        <f>"074786990"</f>
        <v>074786990</v>
      </c>
      <c r="C3209" t="s">
        <v>50</v>
      </c>
      <c r="D3209" t="s">
        <v>6306</v>
      </c>
      <c r="E3209" t="s">
        <v>255</v>
      </c>
      <c r="F3209" t="s">
        <v>1970</v>
      </c>
      <c r="G3209" t="s">
        <v>250</v>
      </c>
      <c r="H3209" t="str">
        <f>"Κ. ΠΑΛΑΜΑ 15 ΡΕΘΥΜΝΟ"</f>
        <v>Κ. ΠΑΛΑΜΑ 15 ΡΕΘΥΜΝΟ</v>
      </c>
      <c r="I3209">
        <v>74132</v>
      </c>
      <c r="J3209">
        <v>2831028887</v>
      </c>
      <c r="K3209">
        <v>6944396937</v>
      </c>
      <c r="M3209" t="s">
        <v>6307</v>
      </c>
      <c r="N3209" t="s">
        <v>306</v>
      </c>
      <c r="O3209" t="s">
        <v>307</v>
      </c>
      <c r="R3209" t="s">
        <v>57</v>
      </c>
      <c r="S3209">
        <v>7</v>
      </c>
      <c r="T3209">
        <v>720</v>
      </c>
      <c r="U3209" s="1">
        <v>40059</v>
      </c>
      <c r="V3209" t="s">
        <v>5644</v>
      </c>
      <c r="W3209" t="s">
        <v>5645</v>
      </c>
      <c r="X3209" t="s">
        <v>58</v>
      </c>
      <c r="Y3209">
        <v>21</v>
      </c>
      <c r="Z3209" t="s">
        <v>59</v>
      </c>
      <c r="AA3209" t="s">
        <v>59</v>
      </c>
      <c r="AB3209" t="s">
        <v>59</v>
      </c>
      <c r="AC3209" t="s">
        <v>59</v>
      </c>
      <c r="AD3209" t="s">
        <v>59</v>
      </c>
      <c r="AF3209" s="1">
        <v>40063</v>
      </c>
      <c r="AG3209" t="s">
        <v>148</v>
      </c>
      <c r="AH3209" t="s">
        <v>149</v>
      </c>
      <c r="AI3209" t="str">
        <f>"4144002"</f>
        <v>4144002</v>
      </c>
      <c r="AJ3209" t="s">
        <v>5655</v>
      </c>
      <c r="AK3209">
        <v>2831061110</v>
      </c>
      <c r="AL3209" t="s">
        <v>5656</v>
      </c>
      <c r="AM3209" t="s">
        <v>64</v>
      </c>
      <c r="AN3209" t="s">
        <v>65</v>
      </c>
      <c r="AO3209" t="s">
        <v>5657</v>
      </c>
      <c r="AP3209" t="s">
        <v>1437</v>
      </c>
      <c r="AQ3209">
        <v>1</v>
      </c>
      <c r="AR3209" t="s">
        <v>5644</v>
      </c>
      <c r="AS3209" t="s">
        <v>5645</v>
      </c>
      <c r="AT3209" t="s">
        <v>58</v>
      </c>
      <c r="AU3209" t="s">
        <v>68</v>
      </c>
      <c r="AV3209" t="s">
        <v>69</v>
      </c>
      <c r="AW3209" s="1">
        <v>28130</v>
      </c>
      <c r="AX3209">
        <v>2</v>
      </c>
    </row>
    <row r="3210" spans="1:50">
      <c r="A3210">
        <v>200040</v>
      </c>
      <c r="B3210" t="str">
        <f>"072292910"</f>
        <v>072292910</v>
      </c>
      <c r="C3210" t="s">
        <v>50</v>
      </c>
      <c r="D3210" t="s">
        <v>6308</v>
      </c>
      <c r="E3210" t="s">
        <v>396</v>
      </c>
      <c r="F3210" t="s">
        <v>53</v>
      </c>
      <c r="G3210" t="s">
        <v>755</v>
      </c>
      <c r="H3210" t="str">
        <f>"ΛΗΤΟΥΣ 10 ΡΕΘΥΜΝΟ"</f>
        <v>ΛΗΤΟΥΣ 10 ΡΕΘΥΜΝΟ</v>
      </c>
      <c r="I3210">
        <v>74100</v>
      </c>
      <c r="J3210">
        <v>2831030695</v>
      </c>
      <c r="K3210">
        <v>6936872130</v>
      </c>
      <c r="M3210" t="s">
        <v>6309</v>
      </c>
      <c r="N3210" t="s">
        <v>204</v>
      </c>
      <c r="O3210" t="s">
        <v>205</v>
      </c>
      <c r="R3210" t="s">
        <v>57</v>
      </c>
      <c r="S3210">
        <v>7</v>
      </c>
      <c r="T3210">
        <v>206</v>
      </c>
      <c r="U3210" s="1">
        <v>37866</v>
      </c>
      <c r="V3210" t="s">
        <v>5644</v>
      </c>
      <c r="W3210" t="s">
        <v>5645</v>
      </c>
      <c r="X3210" t="s">
        <v>58</v>
      </c>
      <c r="Y3210">
        <v>20</v>
      </c>
      <c r="Z3210" t="s">
        <v>59</v>
      </c>
      <c r="AA3210" t="s">
        <v>59</v>
      </c>
      <c r="AB3210" t="s">
        <v>59</v>
      </c>
      <c r="AC3210" t="s">
        <v>59</v>
      </c>
      <c r="AD3210" t="s">
        <v>59</v>
      </c>
      <c r="AF3210" s="1">
        <v>37866</v>
      </c>
      <c r="AG3210" t="s">
        <v>148</v>
      </c>
      <c r="AH3210" t="s">
        <v>149</v>
      </c>
      <c r="AI3210" t="str">
        <f>"4151009"</f>
        <v>4151009</v>
      </c>
      <c r="AJ3210" t="s">
        <v>5649</v>
      </c>
      <c r="AK3210">
        <v>2831027115</v>
      </c>
      <c r="AL3210" t="s">
        <v>5650</v>
      </c>
      <c r="AM3210" t="s">
        <v>64</v>
      </c>
      <c r="AN3210" t="s">
        <v>65</v>
      </c>
      <c r="AO3210" t="s">
        <v>65</v>
      </c>
      <c r="AP3210" t="s">
        <v>65</v>
      </c>
      <c r="AQ3210">
        <v>1</v>
      </c>
      <c r="AR3210" t="s">
        <v>5644</v>
      </c>
      <c r="AS3210" t="s">
        <v>5645</v>
      </c>
      <c r="AT3210" t="s">
        <v>58</v>
      </c>
      <c r="AU3210" t="s">
        <v>68</v>
      </c>
      <c r="AV3210" t="s">
        <v>69</v>
      </c>
      <c r="AW3210" s="1">
        <v>27124</v>
      </c>
      <c r="AX3210">
        <v>2</v>
      </c>
    </row>
    <row r="3211" spans="1:50">
      <c r="A3211">
        <v>162641</v>
      </c>
      <c r="B3211" t="str">
        <f>"032590536"</f>
        <v>032590536</v>
      </c>
      <c r="C3211" t="s">
        <v>105</v>
      </c>
      <c r="D3211" t="s">
        <v>6310</v>
      </c>
      <c r="E3211" t="s">
        <v>1506</v>
      </c>
      <c r="F3211" t="s">
        <v>383</v>
      </c>
      <c r="G3211" t="s">
        <v>221</v>
      </c>
      <c r="H3211" t="str">
        <f>" ΓΑΛΛΟΣ"</f>
        <v xml:space="preserve"> ΓΑΛΛΟΣ</v>
      </c>
      <c r="I3211">
        <v>74100</v>
      </c>
      <c r="K3211">
        <v>6945313698</v>
      </c>
      <c r="N3211" t="s">
        <v>292</v>
      </c>
      <c r="O3211" t="s">
        <v>293</v>
      </c>
      <c r="R3211" t="s">
        <v>57</v>
      </c>
      <c r="S3211">
        <v>15</v>
      </c>
      <c r="T3211">
        <v>132</v>
      </c>
      <c r="U3211" s="1">
        <v>33456</v>
      </c>
      <c r="V3211" t="s">
        <v>5644</v>
      </c>
      <c r="W3211" t="s">
        <v>5645</v>
      </c>
      <c r="X3211" t="s">
        <v>58</v>
      </c>
      <c r="Y3211">
        <v>18</v>
      </c>
      <c r="Z3211" t="s">
        <v>59</v>
      </c>
      <c r="AA3211" t="s">
        <v>59</v>
      </c>
      <c r="AB3211" t="s">
        <v>59</v>
      </c>
      <c r="AC3211" t="s">
        <v>59</v>
      </c>
      <c r="AD3211" t="s">
        <v>59</v>
      </c>
      <c r="AF3211" s="1">
        <v>33485</v>
      </c>
      <c r="AG3211" t="s">
        <v>148</v>
      </c>
      <c r="AH3211" t="s">
        <v>149</v>
      </c>
      <c r="AI3211" t="str">
        <f>"4144001"</f>
        <v>4144001</v>
      </c>
      <c r="AJ3211" t="s">
        <v>5718</v>
      </c>
      <c r="AK3211">
        <v>2831033277</v>
      </c>
      <c r="AL3211" t="s">
        <v>5719</v>
      </c>
      <c r="AM3211" t="s">
        <v>64</v>
      </c>
      <c r="AN3211" t="s">
        <v>65</v>
      </c>
      <c r="AO3211" t="s">
        <v>5720</v>
      </c>
      <c r="AP3211" t="s">
        <v>5721</v>
      </c>
      <c r="AQ3211">
        <v>1</v>
      </c>
      <c r="AR3211" t="s">
        <v>5644</v>
      </c>
      <c r="AS3211" t="s">
        <v>5645</v>
      </c>
      <c r="AT3211" t="s">
        <v>58</v>
      </c>
      <c r="AU3211" t="s">
        <v>68</v>
      </c>
      <c r="AV3211" t="s">
        <v>69</v>
      </c>
      <c r="AW3211" s="1">
        <v>21607</v>
      </c>
      <c r="AX3211">
        <v>2</v>
      </c>
    </row>
    <row r="3212" spans="1:50">
      <c r="A3212">
        <v>216337</v>
      </c>
      <c r="B3212" t="str">
        <f>"120046229"</f>
        <v>120046229</v>
      </c>
      <c r="C3212" t="s">
        <v>50</v>
      </c>
      <c r="D3212" t="s">
        <v>6311</v>
      </c>
      <c r="E3212" t="s">
        <v>255</v>
      </c>
      <c r="F3212" t="s">
        <v>4071</v>
      </c>
      <c r="G3212" t="s">
        <v>52</v>
      </c>
      <c r="H3212" t="str">
        <f>"ΡΟΥΣΣΟΣΠΙΤΙ "</f>
        <v xml:space="preserve">ΡΟΥΣΣΟΣΠΙΤΙ </v>
      </c>
      <c r="K3212">
        <v>6975641082</v>
      </c>
      <c r="N3212" t="s">
        <v>146</v>
      </c>
      <c r="O3212" t="s">
        <v>147</v>
      </c>
      <c r="R3212" t="s">
        <v>57</v>
      </c>
      <c r="S3212">
        <v>6</v>
      </c>
      <c r="T3212">
        <v>236</v>
      </c>
      <c r="U3212" s="1">
        <v>38961</v>
      </c>
      <c r="V3212" t="s">
        <v>5644</v>
      </c>
      <c r="W3212" t="s">
        <v>5645</v>
      </c>
      <c r="X3212" t="s">
        <v>58</v>
      </c>
      <c r="Y3212">
        <v>20</v>
      </c>
      <c r="Z3212" t="s">
        <v>59</v>
      </c>
      <c r="AA3212" t="s">
        <v>59</v>
      </c>
      <c r="AB3212" t="s">
        <v>59</v>
      </c>
      <c r="AC3212" t="s">
        <v>59</v>
      </c>
      <c r="AD3212" t="s">
        <v>59</v>
      </c>
      <c r="AF3212" s="1">
        <v>38961</v>
      </c>
      <c r="AG3212" t="s">
        <v>125</v>
      </c>
      <c r="AH3212" t="s">
        <v>126</v>
      </c>
      <c r="AI3212" t="str">
        <f>"4101020"</f>
        <v>4101020</v>
      </c>
      <c r="AJ3212" t="s">
        <v>5652</v>
      </c>
      <c r="AK3212">
        <v>2831023560</v>
      </c>
      <c r="AL3212" t="s">
        <v>5653</v>
      </c>
      <c r="AM3212" t="s">
        <v>64</v>
      </c>
      <c r="AN3212" t="s">
        <v>65</v>
      </c>
      <c r="AO3212" t="s">
        <v>65</v>
      </c>
      <c r="AP3212" t="s">
        <v>65</v>
      </c>
      <c r="AQ3212">
        <v>1</v>
      </c>
      <c r="AR3212" t="s">
        <v>5644</v>
      </c>
      <c r="AS3212" t="s">
        <v>5645</v>
      </c>
      <c r="AT3212" t="s">
        <v>58</v>
      </c>
      <c r="AU3212" t="s">
        <v>68</v>
      </c>
      <c r="AV3212" t="s">
        <v>69</v>
      </c>
      <c r="AW3212" s="1">
        <v>24731</v>
      </c>
      <c r="AX3212">
        <v>2</v>
      </c>
    </row>
    <row r="3213" spans="1:50">
      <c r="A3213">
        <v>190211</v>
      </c>
      <c r="B3213" t="str">
        <f>"047062017"</f>
        <v>047062017</v>
      </c>
      <c r="C3213" t="s">
        <v>50</v>
      </c>
      <c r="D3213" t="s">
        <v>6312</v>
      </c>
      <c r="E3213" t="s">
        <v>600</v>
      </c>
      <c r="F3213" t="s">
        <v>84</v>
      </c>
      <c r="G3213" t="s">
        <v>5820</v>
      </c>
      <c r="H3213" t="str">
        <f>"ΑΓ. ΙΩΑΝΝΗ 153 ΡΕΘΥΜΝΟ"</f>
        <v>ΑΓ. ΙΩΑΝΝΗ 153 ΡΕΘΥΜΝΟ</v>
      </c>
      <c r="I3213">
        <v>74100</v>
      </c>
      <c r="J3213">
        <v>2831052471</v>
      </c>
      <c r="K3213">
        <v>6974372193</v>
      </c>
      <c r="M3213" t="s">
        <v>6313</v>
      </c>
      <c r="N3213" t="s">
        <v>246</v>
      </c>
      <c r="O3213" t="s">
        <v>247</v>
      </c>
      <c r="R3213" t="s">
        <v>57</v>
      </c>
      <c r="S3213">
        <v>14</v>
      </c>
      <c r="T3213">
        <v>219</v>
      </c>
      <c r="U3213" s="1">
        <v>37134</v>
      </c>
      <c r="V3213" t="s">
        <v>5644</v>
      </c>
      <c r="W3213" t="s">
        <v>5645</v>
      </c>
      <c r="X3213" t="s">
        <v>58</v>
      </c>
      <c r="Y3213">
        <v>20</v>
      </c>
      <c r="Z3213" t="s">
        <v>59</v>
      </c>
      <c r="AA3213" t="s">
        <v>59</v>
      </c>
      <c r="AB3213" t="s">
        <v>59</v>
      </c>
      <c r="AC3213" t="s">
        <v>59</v>
      </c>
      <c r="AD3213" t="s">
        <v>59</v>
      </c>
      <c r="AF3213" s="1">
        <v>37139</v>
      </c>
      <c r="AG3213" t="s">
        <v>148</v>
      </c>
      <c r="AH3213" t="s">
        <v>149</v>
      </c>
      <c r="AI3213" t="str">
        <f>"4151009"</f>
        <v>4151009</v>
      </c>
      <c r="AJ3213" t="s">
        <v>5649</v>
      </c>
      <c r="AK3213">
        <v>2831027115</v>
      </c>
      <c r="AL3213" t="s">
        <v>5650</v>
      </c>
      <c r="AM3213" t="s">
        <v>64</v>
      </c>
      <c r="AN3213" t="s">
        <v>65</v>
      </c>
      <c r="AO3213" t="s">
        <v>65</v>
      </c>
      <c r="AP3213" t="s">
        <v>65</v>
      </c>
      <c r="AQ3213">
        <v>1</v>
      </c>
      <c r="AR3213" t="s">
        <v>5644</v>
      </c>
      <c r="AS3213" t="s">
        <v>5645</v>
      </c>
      <c r="AT3213" t="s">
        <v>58</v>
      </c>
      <c r="AU3213" t="s">
        <v>68</v>
      </c>
      <c r="AV3213" t="s">
        <v>69</v>
      </c>
      <c r="AW3213" s="1">
        <v>23715</v>
      </c>
      <c r="AX3213">
        <v>2</v>
      </c>
    </row>
    <row r="3214" spans="1:50">
      <c r="A3214">
        <v>229132</v>
      </c>
      <c r="B3214" t="str">
        <f>"106045530"</f>
        <v>106045530</v>
      </c>
      <c r="C3214" t="s">
        <v>50</v>
      </c>
      <c r="D3214" t="s">
        <v>6314</v>
      </c>
      <c r="E3214" t="s">
        <v>507</v>
      </c>
      <c r="F3214" t="s">
        <v>95</v>
      </c>
      <c r="G3214" t="s">
        <v>6315</v>
      </c>
      <c r="H3214" t="str">
        <f>"ΣΤΑΜΑΘΙΟΥΔΑΚΗ 70 ΡΕΘΥΜΝΟ"</f>
        <v>ΣΤΑΜΑΘΙΟΥΔΑΚΗ 70 ΡΕΘΥΜΝΟ</v>
      </c>
      <c r="I3214">
        <v>74100</v>
      </c>
      <c r="J3214">
        <v>2107486554</v>
      </c>
      <c r="K3214">
        <v>6944790410</v>
      </c>
      <c r="N3214" t="s">
        <v>306</v>
      </c>
      <c r="O3214" t="s">
        <v>307</v>
      </c>
      <c r="R3214" t="s">
        <v>57</v>
      </c>
      <c r="S3214">
        <v>5</v>
      </c>
      <c r="T3214">
        <v>720</v>
      </c>
      <c r="U3214" s="1">
        <v>40059</v>
      </c>
      <c r="V3214" t="s">
        <v>5644</v>
      </c>
      <c r="W3214" t="s">
        <v>5645</v>
      </c>
      <c r="X3214" t="s">
        <v>58</v>
      </c>
      <c r="Y3214">
        <v>21</v>
      </c>
      <c r="Z3214" t="s">
        <v>59</v>
      </c>
      <c r="AA3214" t="s">
        <v>59</v>
      </c>
      <c r="AB3214" t="s">
        <v>59</v>
      </c>
      <c r="AC3214" t="s">
        <v>59</v>
      </c>
      <c r="AD3214" t="s">
        <v>59</v>
      </c>
      <c r="AF3214" s="1">
        <v>40063</v>
      </c>
      <c r="AG3214" t="s">
        <v>148</v>
      </c>
      <c r="AH3214" t="s">
        <v>149</v>
      </c>
      <c r="AI3214" t="str">
        <f>"4152010"</f>
        <v>4152010</v>
      </c>
      <c r="AJ3214" t="s">
        <v>5739</v>
      </c>
      <c r="AK3214">
        <v>2834031205</v>
      </c>
      <c r="AL3214" t="s">
        <v>5740</v>
      </c>
      <c r="AM3214" t="s">
        <v>64</v>
      </c>
      <c r="AN3214" t="s">
        <v>5737</v>
      </c>
      <c r="AO3214" t="s">
        <v>5737</v>
      </c>
      <c r="AP3214" t="s">
        <v>5737</v>
      </c>
      <c r="AQ3214">
        <v>3</v>
      </c>
      <c r="AR3214" t="s">
        <v>5644</v>
      </c>
      <c r="AS3214" t="s">
        <v>5645</v>
      </c>
      <c r="AT3214" t="s">
        <v>58</v>
      </c>
      <c r="AU3214" t="s">
        <v>68</v>
      </c>
      <c r="AV3214" t="s">
        <v>69</v>
      </c>
      <c r="AW3214" s="1">
        <v>29515</v>
      </c>
      <c r="AX3214">
        <v>2</v>
      </c>
    </row>
    <row r="3215" spans="1:50">
      <c r="A3215">
        <v>191601</v>
      </c>
      <c r="B3215" t="str">
        <f>"071510537"</f>
        <v>071510537</v>
      </c>
      <c r="C3215" t="s">
        <v>105</v>
      </c>
      <c r="D3215" t="s">
        <v>6316</v>
      </c>
      <c r="E3215" t="s">
        <v>92</v>
      </c>
      <c r="F3215" t="s">
        <v>72</v>
      </c>
      <c r="G3215" t="s">
        <v>134</v>
      </c>
      <c r="H3215" t="str">
        <f>"ΚΑΠΟΔΙΣΤΡΙΟΥ 8 "</f>
        <v xml:space="preserve">ΚΑΠΟΔΙΣΤΡΙΟΥ 8 </v>
      </c>
      <c r="I3215">
        <v>74100</v>
      </c>
      <c r="K3215">
        <v>6979908609</v>
      </c>
      <c r="N3215" t="s">
        <v>331</v>
      </c>
      <c r="O3215" t="s">
        <v>332</v>
      </c>
      <c r="R3215" t="s">
        <v>57</v>
      </c>
      <c r="S3215">
        <v>10</v>
      </c>
      <c r="T3215">
        <v>291</v>
      </c>
      <c r="U3215" s="1">
        <v>37218</v>
      </c>
      <c r="V3215" t="s">
        <v>5644</v>
      </c>
      <c r="W3215" t="s">
        <v>5645</v>
      </c>
      <c r="X3215" t="s">
        <v>58</v>
      </c>
      <c r="Y3215">
        <v>20</v>
      </c>
      <c r="Z3215" t="s">
        <v>59</v>
      </c>
      <c r="AA3215" t="s">
        <v>59</v>
      </c>
      <c r="AB3215" t="s">
        <v>59</v>
      </c>
      <c r="AC3215" t="s">
        <v>59</v>
      </c>
      <c r="AD3215" t="s">
        <v>59</v>
      </c>
      <c r="AF3215" s="1">
        <v>37218</v>
      </c>
      <c r="AG3215" t="s">
        <v>137</v>
      </c>
      <c r="AH3215" t="s">
        <v>138</v>
      </c>
      <c r="AI3215" t="str">
        <f>"4150040"</f>
        <v>4150040</v>
      </c>
      <c r="AJ3215" t="s">
        <v>5661</v>
      </c>
      <c r="AK3215">
        <v>2831029048</v>
      </c>
      <c r="AL3215" t="s">
        <v>5662</v>
      </c>
      <c r="AM3215" t="s">
        <v>64</v>
      </c>
      <c r="AN3215" t="s">
        <v>65</v>
      </c>
      <c r="AO3215" t="s">
        <v>65</v>
      </c>
      <c r="AP3215" t="s">
        <v>65</v>
      </c>
      <c r="AQ3215">
        <v>1</v>
      </c>
      <c r="AR3215" t="s">
        <v>5644</v>
      </c>
      <c r="AS3215" t="s">
        <v>5645</v>
      </c>
      <c r="AT3215" t="s">
        <v>58</v>
      </c>
      <c r="AU3215" t="s">
        <v>68</v>
      </c>
      <c r="AV3215" t="s">
        <v>69</v>
      </c>
      <c r="AW3215" s="1">
        <v>23977</v>
      </c>
      <c r="AX3215">
        <v>2</v>
      </c>
    </row>
    <row r="3216" spans="1:50">
      <c r="A3216">
        <v>192794</v>
      </c>
      <c r="B3216" t="str">
        <f>"039541932"</f>
        <v>039541932</v>
      </c>
      <c r="C3216" t="s">
        <v>105</v>
      </c>
      <c r="D3216" t="s">
        <v>3055</v>
      </c>
      <c r="E3216" t="s">
        <v>166</v>
      </c>
      <c r="F3216" t="s">
        <v>900</v>
      </c>
      <c r="G3216" t="s">
        <v>905</v>
      </c>
      <c r="H3216" t="str">
        <f>"ΚΟΥΡΗΤΩΝ 11 "</f>
        <v xml:space="preserve">ΚΟΥΡΗΤΩΝ 11 </v>
      </c>
      <c r="I3216">
        <v>74132</v>
      </c>
      <c r="J3216">
        <v>2831054329</v>
      </c>
      <c r="K3216">
        <v>6944178840</v>
      </c>
      <c r="N3216" t="s">
        <v>157</v>
      </c>
      <c r="O3216" t="s">
        <v>158</v>
      </c>
      <c r="R3216" t="s">
        <v>57</v>
      </c>
      <c r="S3216">
        <v>11</v>
      </c>
      <c r="T3216">
        <v>193</v>
      </c>
      <c r="U3216" s="1">
        <v>37497</v>
      </c>
      <c r="V3216" t="s">
        <v>5644</v>
      </c>
      <c r="W3216" t="s">
        <v>5645</v>
      </c>
      <c r="X3216" t="s">
        <v>58</v>
      </c>
      <c r="Y3216">
        <v>18</v>
      </c>
      <c r="Z3216" t="s">
        <v>59</v>
      </c>
      <c r="AA3216" t="s">
        <v>59</v>
      </c>
      <c r="AB3216" t="s">
        <v>59</v>
      </c>
      <c r="AC3216" t="s">
        <v>59</v>
      </c>
      <c r="AD3216" t="s">
        <v>59</v>
      </c>
      <c r="AF3216" s="1">
        <v>37501</v>
      </c>
      <c r="AG3216" t="s">
        <v>125</v>
      </c>
      <c r="AH3216" t="s">
        <v>126</v>
      </c>
      <c r="AI3216" t="str">
        <f>"4101040"</f>
        <v>4101040</v>
      </c>
      <c r="AJ3216" t="s">
        <v>5732</v>
      </c>
      <c r="AK3216">
        <v>2831029261</v>
      </c>
      <c r="AL3216" t="s">
        <v>5733</v>
      </c>
      <c r="AM3216" t="s">
        <v>64</v>
      </c>
      <c r="AN3216" t="s">
        <v>65</v>
      </c>
      <c r="AO3216" t="s">
        <v>65</v>
      </c>
      <c r="AP3216" t="s">
        <v>65</v>
      </c>
      <c r="AQ3216">
        <v>1</v>
      </c>
      <c r="AR3216" t="s">
        <v>5644</v>
      </c>
      <c r="AS3216" t="s">
        <v>5645</v>
      </c>
      <c r="AT3216" t="s">
        <v>58</v>
      </c>
      <c r="AU3216" t="s">
        <v>68</v>
      </c>
      <c r="AV3216" t="s">
        <v>69</v>
      </c>
      <c r="AW3216" s="1">
        <v>24127</v>
      </c>
      <c r="AX3216">
        <v>2</v>
      </c>
    </row>
    <row r="3217" spans="1:50">
      <c r="A3217">
        <v>206751</v>
      </c>
      <c r="B3217" t="str">
        <f>"113628621"</f>
        <v>113628621</v>
      </c>
      <c r="C3217" t="s">
        <v>50</v>
      </c>
      <c r="D3217" t="s">
        <v>3064</v>
      </c>
      <c r="E3217" t="s">
        <v>109</v>
      </c>
      <c r="F3217" t="s">
        <v>53</v>
      </c>
      <c r="G3217" t="s">
        <v>54</v>
      </c>
      <c r="H3217" t="str">
        <f>"ΣΟΦΟΚΛΗ ΒΕΝΙΖΕΛΟΥ 38 ΡΕΘΥΜΝΟ"</f>
        <v>ΣΟΦΟΚΛΗ ΒΕΝΙΖΕΛΟΥ 38 ΡΕΘΥΜΝΟ</v>
      </c>
      <c r="I3217">
        <v>74100</v>
      </c>
      <c r="J3217">
        <v>2831053937</v>
      </c>
      <c r="K3217">
        <v>6972892971</v>
      </c>
      <c r="N3217" t="s">
        <v>146</v>
      </c>
      <c r="O3217" t="s">
        <v>147</v>
      </c>
      <c r="R3217" t="s">
        <v>57</v>
      </c>
      <c r="S3217">
        <v>9</v>
      </c>
      <c r="T3217" t="s">
        <v>5366</v>
      </c>
      <c r="U3217" s="1">
        <v>38596</v>
      </c>
      <c r="V3217" t="s">
        <v>5644</v>
      </c>
      <c r="W3217" t="s">
        <v>5645</v>
      </c>
      <c r="X3217" t="s">
        <v>58</v>
      </c>
      <c r="Y3217">
        <v>20</v>
      </c>
      <c r="Z3217" t="s">
        <v>59</v>
      </c>
      <c r="AA3217" t="s">
        <v>59</v>
      </c>
      <c r="AB3217" t="s">
        <v>59</v>
      </c>
      <c r="AC3217" t="s">
        <v>59</v>
      </c>
      <c r="AD3217" t="s">
        <v>59</v>
      </c>
      <c r="AF3217" s="1">
        <v>38602</v>
      </c>
      <c r="AG3217" t="s">
        <v>125</v>
      </c>
      <c r="AH3217" t="s">
        <v>126</v>
      </c>
      <c r="AI3217" t="str">
        <f>"4101010"</f>
        <v>4101010</v>
      </c>
      <c r="AJ3217" t="s">
        <v>5814</v>
      </c>
      <c r="AK3217">
        <v>2831022283</v>
      </c>
      <c r="AL3217" t="s">
        <v>5815</v>
      </c>
      <c r="AM3217" t="s">
        <v>64</v>
      </c>
      <c r="AN3217" t="s">
        <v>65</v>
      </c>
      <c r="AO3217" t="s">
        <v>65</v>
      </c>
      <c r="AP3217" t="s">
        <v>65</v>
      </c>
      <c r="AQ3217">
        <v>1</v>
      </c>
      <c r="AR3217" t="s">
        <v>5644</v>
      </c>
      <c r="AS3217" t="s">
        <v>5645</v>
      </c>
      <c r="AT3217" t="s">
        <v>58</v>
      </c>
      <c r="AU3217" t="s">
        <v>68</v>
      </c>
      <c r="AV3217" t="s">
        <v>69</v>
      </c>
      <c r="AW3217" s="1">
        <v>28889</v>
      </c>
      <c r="AX3217">
        <v>2</v>
      </c>
    </row>
    <row r="3218" spans="1:50">
      <c r="A3218">
        <v>197848</v>
      </c>
      <c r="B3218" t="str">
        <f>"049363412"</f>
        <v>049363412</v>
      </c>
      <c r="C3218" t="s">
        <v>50</v>
      </c>
      <c r="D3218" t="s">
        <v>6317</v>
      </c>
      <c r="E3218" t="s">
        <v>742</v>
      </c>
      <c r="F3218" t="s">
        <v>823</v>
      </c>
      <c r="G3218" t="s">
        <v>6318</v>
      </c>
      <c r="H3218" t="str">
        <f>"ΑΡΙΣΤΟΤΕΛΟΥΣ 1 ΡΕΘΥΜΝΟ"</f>
        <v>ΑΡΙΣΤΟΤΕΛΟΥΣ 1 ΡΕΘΥΜΝΟ</v>
      </c>
      <c r="I3218">
        <v>74100</v>
      </c>
      <c r="J3218">
        <v>2463028468</v>
      </c>
      <c r="K3218">
        <v>6974630956</v>
      </c>
      <c r="N3218" t="s">
        <v>292</v>
      </c>
      <c r="O3218" t="s">
        <v>293</v>
      </c>
      <c r="R3218" t="s">
        <v>57</v>
      </c>
      <c r="S3218">
        <v>10</v>
      </c>
      <c r="T3218">
        <v>206</v>
      </c>
      <c r="U3218" s="1">
        <v>37866</v>
      </c>
      <c r="V3218" t="s">
        <v>5644</v>
      </c>
      <c r="W3218" t="s">
        <v>5645</v>
      </c>
      <c r="X3218" t="s">
        <v>58</v>
      </c>
      <c r="Y3218">
        <v>18</v>
      </c>
      <c r="Z3218" t="s">
        <v>59</v>
      </c>
      <c r="AA3218" t="s">
        <v>59</v>
      </c>
      <c r="AB3218" t="s">
        <v>59</v>
      </c>
      <c r="AC3218" t="s">
        <v>59</v>
      </c>
      <c r="AD3218" t="s">
        <v>59</v>
      </c>
      <c r="AF3218" s="1">
        <v>37866</v>
      </c>
      <c r="AG3218" t="s">
        <v>148</v>
      </c>
      <c r="AH3218" t="s">
        <v>149</v>
      </c>
      <c r="AI3218" t="str">
        <f>"4151020"</f>
        <v>4151020</v>
      </c>
      <c r="AJ3218" t="s">
        <v>5725</v>
      </c>
      <c r="AK3218">
        <v>2831022475</v>
      </c>
      <c r="AL3218" t="s">
        <v>5726</v>
      </c>
      <c r="AM3218" t="s">
        <v>64</v>
      </c>
      <c r="AN3218" t="s">
        <v>65</v>
      </c>
      <c r="AO3218" t="s">
        <v>65</v>
      </c>
      <c r="AP3218" t="s">
        <v>65</v>
      </c>
      <c r="AQ3218">
        <v>1</v>
      </c>
      <c r="AR3218" t="s">
        <v>5644</v>
      </c>
      <c r="AS3218" t="s">
        <v>5645</v>
      </c>
      <c r="AT3218" t="s">
        <v>58</v>
      </c>
      <c r="AU3218" t="s">
        <v>68</v>
      </c>
      <c r="AV3218" t="s">
        <v>69</v>
      </c>
      <c r="AW3218" s="1">
        <v>23089</v>
      </c>
      <c r="AX3218">
        <v>2</v>
      </c>
    </row>
    <row r="3219" spans="1:50">
      <c r="B3219" t="str">
        <f>"113621484"</f>
        <v>113621484</v>
      </c>
      <c r="C3219" t="s">
        <v>50</v>
      </c>
      <c r="D3219" t="s">
        <v>6319</v>
      </c>
      <c r="E3219" t="s">
        <v>367</v>
      </c>
      <c r="F3219" t="s">
        <v>84</v>
      </c>
      <c r="G3219" t="s">
        <v>3249</v>
      </c>
      <c r="H3219" t="str">
        <f>"ΣΕΛΛΙ ΡΕΘΥΜΝΟΥ ΡΕΘΥΜΝΟ"</f>
        <v>ΣΕΛΛΙ ΡΕΘΥΜΝΟΥ ΡΕΘΥΜΝΟ</v>
      </c>
      <c r="I3219">
        <v>74100</v>
      </c>
      <c r="J3219">
        <v>2831035824</v>
      </c>
      <c r="K3219">
        <v>6932109051</v>
      </c>
      <c r="M3219" t="s">
        <v>6320</v>
      </c>
      <c r="N3219" t="s">
        <v>536</v>
      </c>
      <c r="O3219" t="s">
        <v>537</v>
      </c>
      <c r="R3219" t="s">
        <v>159</v>
      </c>
      <c r="S3219">
        <v>5</v>
      </c>
      <c r="T3219" t="s">
        <v>3059</v>
      </c>
      <c r="U3219" s="1">
        <v>43348</v>
      </c>
      <c r="V3219" t="s">
        <v>5644</v>
      </c>
      <c r="W3219" t="s">
        <v>5645</v>
      </c>
      <c r="X3219" t="s">
        <v>58</v>
      </c>
      <c r="Y3219">
        <v>23</v>
      </c>
      <c r="Z3219" t="s">
        <v>59</v>
      </c>
      <c r="AA3219" t="s">
        <v>59</v>
      </c>
      <c r="AB3219" t="s">
        <v>59</v>
      </c>
      <c r="AC3219" t="s">
        <v>59</v>
      </c>
      <c r="AD3219" t="s">
        <v>59</v>
      </c>
      <c r="AF3219" s="1">
        <v>43348</v>
      </c>
      <c r="AG3219" t="s">
        <v>60</v>
      </c>
      <c r="AH3219" t="s">
        <v>61</v>
      </c>
      <c r="AI3219" t="str">
        <f>"9000648"</f>
        <v>9000648</v>
      </c>
      <c r="AJ3219" t="s">
        <v>62</v>
      </c>
      <c r="AK3219">
        <v>2831035185</v>
      </c>
      <c r="AL3219" t="s">
        <v>63</v>
      </c>
      <c r="AM3219" t="s">
        <v>64</v>
      </c>
      <c r="AN3219" t="s">
        <v>65</v>
      </c>
      <c r="AO3219" t="s">
        <v>65</v>
      </c>
      <c r="AP3219" t="s">
        <v>65</v>
      </c>
      <c r="AR3219" t="s">
        <v>66</v>
      </c>
      <c r="AS3219" t="s">
        <v>67</v>
      </c>
      <c r="AT3219" t="s">
        <v>58</v>
      </c>
      <c r="AU3219" t="s">
        <v>350</v>
      </c>
      <c r="AV3219" t="s">
        <v>132</v>
      </c>
      <c r="AW3219" s="1">
        <v>29001</v>
      </c>
      <c r="AX3219">
        <v>0</v>
      </c>
    </row>
    <row r="3220" spans="1:50">
      <c r="A3220">
        <v>145630</v>
      </c>
      <c r="B3220" t="str">
        <f>"027437049"</f>
        <v>027437049</v>
      </c>
      <c r="C3220" t="s">
        <v>50</v>
      </c>
      <c r="D3220" t="s">
        <v>6319</v>
      </c>
      <c r="E3220" t="s">
        <v>6321</v>
      </c>
      <c r="F3220" t="s">
        <v>95</v>
      </c>
      <c r="G3220" t="s">
        <v>506</v>
      </c>
      <c r="H3220" t="str">
        <f>"Α. ΣΒΑΪΤΣΕΡ 17 ΡΕΘΥΜΝΟ"</f>
        <v>Α. ΣΒΑΪΤΣΕΡ 17 ΡΕΘΥΜΝΟ</v>
      </c>
      <c r="I3220">
        <v>74100</v>
      </c>
      <c r="J3220">
        <v>2831050645</v>
      </c>
      <c r="K3220">
        <v>6989862918</v>
      </c>
      <c r="N3220" t="s">
        <v>146</v>
      </c>
      <c r="O3220" t="s">
        <v>147</v>
      </c>
      <c r="R3220" t="s">
        <v>57</v>
      </c>
      <c r="S3220">
        <v>17</v>
      </c>
      <c r="T3220">
        <v>237</v>
      </c>
      <c r="U3220" s="1">
        <v>31293</v>
      </c>
      <c r="V3220" t="s">
        <v>5644</v>
      </c>
      <c r="W3220" t="s">
        <v>5645</v>
      </c>
      <c r="X3220" t="s">
        <v>58</v>
      </c>
      <c r="Y3220">
        <v>18</v>
      </c>
      <c r="Z3220" t="s">
        <v>59</v>
      </c>
      <c r="AA3220" t="s">
        <v>59</v>
      </c>
      <c r="AB3220" t="s">
        <v>59</v>
      </c>
      <c r="AC3220" t="s">
        <v>59</v>
      </c>
      <c r="AD3220" t="s">
        <v>59</v>
      </c>
      <c r="AF3220" s="1">
        <v>31293</v>
      </c>
      <c r="AG3220" t="s">
        <v>148</v>
      </c>
      <c r="AH3220" t="s">
        <v>149</v>
      </c>
      <c r="AI3220" t="str">
        <f>"4151020"</f>
        <v>4151020</v>
      </c>
      <c r="AJ3220" t="s">
        <v>5725</v>
      </c>
      <c r="AK3220">
        <v>2831022475</v>
      </c>
      <c r="AL3220" t="s">
        <v>5726</v>
      </c>
      <c r="AM3220" t="s">
        <v>64</v>
      </c>
      <c r="AN3220" t="s">
        <v>65</v>
      </c>
      <c r="AO3220" t="s">
        <v>65</v>
      </c>
      <c r="AP3220" t="s">
        <v>65</v>
      </c>
      <c r="AQ3220">
        <v>1</v>
      </c>
      <c r="AR3220" t="s">
        <v>5644</v>
      </c>
      <c r="AS3220" t="s">
        <v>5645</v>
      </c>
      <c r="AT3220" t="s">
        <v>58</v>
      </c>
      <c r="AU3220" t="s">
        <v>68</v>
      </c>
      <c r="AV3220" t="s">
        <v>69</v>
      </c>
      <c r="AW3220" s="1">
        <v>20951</v>
      </c>
      <c r="AX3220">
        <v>2</v>
      </c>
    </row>
    <row r="3221" spans="1:50">
      <c r="A3221">
        <v>183511</v>
      </c>
      <c r="B3221" t="str">
        <f>"100053567"</f>
        <v>100053567</v>
      </c>
      <c r="C3221" t="s">
        <v>50</v>
      </c>
      <c r="D3221" t="s">
        <v>6322</v>
      </c>
      <c r="E3221" t="s">
        <v>155</v>
      </c>
      <c r="F3221" t="s">
        <v>1414</v>
      </c>
      <c r="G3221" t="s">
        <v>4737</v>
      </c>
      <c r="H3221" t="str">
        <f>"ΞΗΡΟ ΧΩΡΙΟ ΞΗΡΟ ΧΩΡΙΟ"</f>
        <v>ΞΗΡΟ ΧΩΡΙΟ ΞΗΡΟ ΧΩΡΙΟ</v>
      </c>
      <c r="I3221">
        <v>74100</v>
      </c>
      <c r="N3221" t="s">
        <v>146</v>
      </c>
      <c r="O3221" t="s">
        <v>147</v>
      </c>
      <c r="R3221" t="s">
        <v>57</v>
      </c>
      <c r="S3221">
        <v>11</v>
      </c>
      <c r="T3221">
        <v>177</v>
      </c>
      <c r="U3221" s="1">
        <v>36403</v>
      </c>
      <c r="V3221" t="s">
        <v>5644</v>
      </c>
      <c r="W3221" t="s">
        <v>5645</v>
      </c>
      <c r="X3221" t="s">
        <v>58</v>
      </c>
      <c r="Y3221">
        <v>18</v>
      </c>
      <c r="Z3221" t="s">
        <v>59</v>
      </c>
      <c r="AA3221" t="s">
        <v>59</v>
      </c>
      <c r="AB3221" t="s">
        <v>59</v>
      </c>
      <c r="AC3221" t="s">
        <v>59</v>
      </c>
      <c r="AD3221" t="s">
        <v>59</v>
      </c>
      <c r="AF3221" s="1">
        <v>36403</v>
      </c>
      <c r="AG3221" t="s">
        <v>125</v>
      </c>
      <c r="AH3221" t="s">
        <v>126</v>
      </c>
      <c r="AI3221" t="str">
        <f>"4101040"</f>
        <v>4101040</v>
      </c>
      <c r="AJ3221" t="s">
        <v>5732</v>
      </c>
      <c r="AK3221">
        <v>2831029261</v>
      </c>
      <c r="AL3221" t="s">
        <v>5733</v>
      </c>
      <c r="AM3221" t="s">
        <v>64</v>
      </c>
      <c r="AN3221" t="s">
        <v>65</v>
      </c>
      <c r="AO3221" t="s">
        <v>65</v>
      </c>
      <c r="AP3221" t="s">
        <v>65</v>
      </c>
      <c r="AQ3221">
        <v>1</v>
      </c>
      <c r="AR3221" t="s">
        <v>5644</v>
      </c>
      <c r="AS3221" t="s">
        <v>5645</v>
      </c>
      <c r="AT3221" t="s">
        <v>58</v>
      </c>
      <c r="AU3221" t="s">
        <v>68</v>
      </c>
      <c r="AV3221" t="s">
        <v>69</v>
      </c>
      <c r="AW3221" s="1">
        <v>23831</v>
      </c>
      <c r="AX3221">
        <v>2</v>
      </c>
    </row>
    <row r="3222" spans="1:50">
      <c r="A3222">
        <v>171622</v>
      </c>
      <c r="B3222" t="str">
        <f>"034340094"</f>
        <v>034340094</v>
      </c>
      <c r="C3222" t="s">
        <v>50</v>
      </c>
      <c r="D3222" t="s">
        <v>6323</v>
      </c>
      <c r="E3222" t="s">
        <v>52</v>
      </c>
      <c r="F3222" t="s">
        <v>95</v>
      </c>
      <c r="G3222" t="s">
        <v>3802</v>
      </c>
      <c r="H3222" t="str">
        <f>"28ης ΟΚΤΩΒΡΙΟΥ 17 ΡΕΘΥΜΝΟ"</f>
        <v>28ης ΟΚΤΩΒΡΙΟΥ 17 ΡΕΘΥΜΝΟ</v>
      </c>
      <c r="I3222">
        <v>74100</v>
      </c>
      <c r="K3222">
        <v>6979762301</v>
      </c>
      <c r="N3222" t="s">
        <v>176</v>
      </c>
      <c r="O3222" t="s">
        <v>177</v>
      </c>
      <c r="R3222" t="s">
        <v>57</v>
      </c>
      <c r="S3222">
        <v>14</v>
      </c>
      <c r="T3222">
        <v>184</v>
      </c>
      <c r="U3222" s="1">
        <v>34941</v>
      </c>
      <c r="V3222" t="s">
        <v>5644</v>
      </c>
      <c r="W3222" t="s">
        <v>5645</v>
      </c>
      <c r="X3222" t="s">
        <v>58</v>
      </c>
      <c r="Y3222">
        <v>18</v>
      </c>
      <c r="Z3222" t="s">
        <v>59</v>
      </c>
      <c r="AA3222" t="s">
        <v>59</v>
      </c>
      <c r="AB3222" t="s">
        <v>59</v>
      </c>
      <c r="AC3222" t="s">
        <v>59</v>
      </c>
      <c r="AD3222" t="s">
        <v>59</v>
      </c>
      <c r="AF3222" s="1">
        <v>34943</v>
      </c>
      <c r="AG3222" t="s">
        <v>148</v>
      </c>
      <c r="AH3222" t="s">
        <v>149</v>
      </c>
      <c r="AI3222" t="str">
        <f>"4151009"</f>
        <v>4151009</v>
      </c>
      <c r="AJ3222" t="s">
        <v>5649</v>
      </c>
      <c r="AK3222">
        <v>2831027115</v>
      </c>
      <c r="AL3222" t="s">
        <v>5650</v>
      </c>
      <c r="AM3222" t="s">
        <v>64</v>
      </c>
      <c r="AN3222" t="s">
        <v>65</v>
      </c>
      <c r="AO3222" t="s">
        <v>65</v>
      </c>
      <c r="AP3222" t="s">
        <v>65</v>
      </c>
      <c r="AQ3222">
        <v>1</v>
      </c>
      <c r="AR3222" t="s">
        <v>5644</v>
      </c>
      <c r="AS3222" t="s">
        <v>5645</v>
      </c>
      <c r="AT3222" t="s">
        <v>58</v>
      </c>
      <c r="AU3222" t="s">
        <v>68</v>
      </c>
      <c r="AV3222" t="s">
        <v>69</v>
      </c>
      <c r="AW3222" s="1">
        <v>24073</v>
      </c>
      <c r="AX3222">
        <v>2</v>
      </c>
    </row>
    <row r="3223" spans="1:50">
      <c r="B3223" t="str">
        <f>"100051088"</f>
        <v>100051088</v>
      </c>
      <c r="C3223" t="s">
        <v>50</v>
      </c>
      <c r="D3223" t="s">
        <v>6324</v>
      </c>
      <c r="E3223" t="s">
        <v>513</v>
      </c>
      <c r="F3223" t="s">
        <v>153</v>
      </c>
      <c r="G3223" t="s">
        <v>83</v>
      </c>
      <c r="H3223" t="str">
        <f>"Κ. ΠΑΛΑΜΑ 15 ΡΕΘΥΜΝΟ"</f>
        <v>Κ. ΠΑΛΑΜΑ 15 ΡΕΘΥΜΝΟ</v>
      </c>
      <c r="I3223">
        <v>74100</v>
      </c>
      <c r="J3223">
        <v>2831072522</v>
      </c>
      <c r="K3223">
        <v>6946952989</v>
      </c>
      <c r="M3223" t="s">
        <v>6325</v>
      </c>
      <c r="N3223" t="s">
        <v>292</v>
      </c>
      <c r="O3223" t="s">
        <v>293</v>
      </c>
      <c r="R3223" t="s">
        <v>159</v>
      </c>
      <c r="S3223">
        <v>4</v>
      </c>
      <c r="T3223" t="s">
        <v>416</v>
      </c>
      <c r="U3223" s="1">
        <v>43349</v>
      </c>
      <c r="V3223" t="s">
        <v>5644</v>
      </c>
      <c r="W3223" t="s">
        <v>5645</v>
      </c>
      <c r="X3223" t="s">
        <v>58</v>
      </c>
      <c r="Y3223">
        <v>21</v>
      </c>
      <c r="Z3223" t="s">
        <v>59</v>
      </c>
      <c r="AA3223" t="s">
        <v>59</v>
      </c>
      <c r="AB3223" t="s">
        <v>59</v>
      </c>
      <c r="AC3223" t="s">
        <v>59</v>
      </c>
      <c r="AD3223" t="s">
        <v>59</v>
      </c>
      <c r="AF3223" s="1">
        <v>43349</v>
      </c>
      <c r="AG3223" t="s">
        <v>148</v>
      </c>
      <c r="AH3223" t="s">
        <v>149</v>
      </c>
      <c r="AI3223" t="str">
        <f>"4151009"</f>
        <v>4151009</v>
      </c>
      <c r="AJ3223" t="s">
        <v>5649</v>
      </c>
      <c r="AK3223">
        <v>2831027115</v>
      </c>
      <c r="AL3223" t="s">
        <v>5650</v>
      </c>
      <c r="AM3223" t="s">
        <v>64</v>
      </c>
      <c r="AN3223" t="s">
        <v>65</v>
      </c>
      <c r="AO3223" t="s">
        <v>65</v>
      </c>
      <c r="AP3223" t="s">
        <v>65</v>
      </c>
      <c r="AQ3223">
        <v>1</v>
      </c>
      <c r="AR3223" t="s">
        <v>5644</v>
      </c>
      <c r="AS3223" t="s">
        <v>5645</v>
      </c>
      <c r="AT3223" t="s">
        <v>58</v>
      </c>
      <c r="AU3223" t="s">
        <v>419</v>
      </c>
      <c r="AV3223" t="s">
        <v>132</v>
      </c>
      <c r="AW3223" s="1">
        <v>29057</v>
      </c>
      <c r="AX3223">
        <v>2</v>
      </c>
    </row>
    <row r="3224" spans="1:50">
      <c r="A3224">
        <v>704166</v>
      </c>
      <c r="B3224" t="str">
        <f>"133256049"</f>
        <v>133256049</v>
      </c>
      <c r="C3224" t="s">
        <v>105</v>
      </c>
      <c r="D3224" t="s">
        <v>6326</v>
      </c>
      <c r="E3224" t="s">
        <v>72</v>
      </c>
      <c r="F3224" t="s">
        <v>53</v>
      </c>
      <c r="G3224" t="s">
        <v>134</v>
      </c>
      <c r="H3224" t="str">
        <f>"ΠΑΠΑΝΑΣΤΑΣΙΟΥ 14 ΡΕΘΥΜΝΟ"</f>
        <v>ΠΑΠΑΝΑΣΤΑΣΙΟΥ 14 ΡΕΘΥΜΝΟ</v>
      </c>
      <c r="I3224">
        <v>74100</v>
      </c>
      <c r="K3224">
        <v>6942469302</v>
      </c>
      <c r="M3224" t="s">
        <v>6327</v>
      </c>
      <c r="N3224" t="s">
        <v>331</v>
      </c>
      <c r="O3224" t="s">
        <v>332</v>
      </c>
      <c r="R3224" t="s">
        <v>57</v>
      </c>
      <c r="S3224">
        <v>1</v>
      </c>
      <c r="T3224">
        <v>1350</v>
      </c>
      <c r="U3224" s="1">
        <v>42732</v>
      </c>
      <c r="V3224" t="s">
        <v>5644</v>
      </c>
      <c r="W3224" t="s">
        <v>5645</v>
      </c>
      <c r="X3224" t="s">
        <v>58</v>
      </c>
      <c r="Y3224">
        <v>23</v>
      </c>
      <c r="Z3224" t="s">
        <v>59</v>
      </c>
      <c r="AA3224" t="s">
        <v>59</v>
      </c>
      <c r="AB3224" t="s">
        <v>59</v>
      </c>
      <c r="AC3224" t="s">
        <v>59</v>
      </c>
      <c r="AD3224" t="s">
        <v>59</v>
      </c>
      <c r="AF3224" s="1">
        <v>42734</v>
      </c>
      <c r="AG3224" t="s">
        <v>137</v>
      </c>
      <c r="AH3224" t="s">
        <v>138</v>
      </c>
      <c r="AI3224" t="str">
        <f>"4150040"</f>
        <v>4150040</v>
      </c>
      <c r="AJ3224" t="s">
        <v>5661</v>
      </c>
      <c r="AK3224">
        <v>2831029048</v>
      </c>
      <c r="AL3224" t="s">
        <v>5662</v>
      </c>
      <c r="AM3224" t="s">
        <v>64</v>
      </c>
      <c r="AN3224" t="s">
        <v>65</v>
      </c>
      <c r="AO3224" t="s">
        <v>65</v>
      </c>
      <c r="AP3224" t="s">
        <v>65</v>
      </c>
      <c r="AQ3224">
        <v>1</v>
      </c>
      <c r="AR3224" t="s">
        <v>5644</v>
      </c>
      <c r="AS3224" t="s">
        <v>5645</v>
      </c>
      <c r="AT3224" t="s">
        <v>58</v>
      </c>
      <c r="AU3224" t="s">
        <v>68</v>
      </c>
      <c r="AV3224" t="s">
        <v>69</v>
      </c>
      <c r="AW3224" s="1">
        <v>31051</v>
      </c>
      <c r="AX3224">
        <v>2</v>
      </c>
    </row>
    <row r="3225" spans="1:50">
      <c r="A3225">
        <v>152293</v>
      </c>
      <c r="B3225" t="str">
        <f>"065514937"</f>
        <v>065514937</v>
      </c>
      <c r="C3225" t="s">
        <v>50</v>
      </c>
      <c r="D3225" t="s">
        <v>3088</v>
      </c>
      <c r="E3225" t="s">
        <v>83</v>
      </c>
      <c r="F3225" t="s">
        <v>72</v>
      </c>
      <c r="G3225" t="s">
        <v>83</v>
      </c>
      <c r="H3225" t="str">
        <f>"Κωστή Παλαμά 8 "</f>
        <v xml:space="preserve">Κωστή Παλαμά 8 </v>
      </c>
      <c r="I3225">
        <v>74100</v>
      </c>
      <c r="J3225">
        <v>2831026997</v>
      </c>
      <c r="K3225">
        <v>6939788059</v>
      </c>
      <c r="M3225" t="s">
        <v>6328</v>
      </c>
      <c r="N3225" t="s">
        <v>146</v>
      </c>
      <c r="O3225" t="s">
        <v>147</v>
      </c>
      <c r="R3225" t="s">
        <v>57</v>
      </c>
      <c r="S3225">
        <v>15</v>
      </c>
      <c r="T3225">
        <v>193</v>
      </c>
      <c r="U3225" s="1">
        <v>32042</v>
      </c>
      <c r="V3225" t="s">
        <v>5644</v>
      </c>
      <c r="W3225" t="s">
        <v>5645</v>
      </c>
      <c r="X3225" t="s">
        <v>58</v>
      </c>
      <c r="Y3225">
        <v>18</v>
      </c>
      <c r="Z3225" t="s">
        <v>59</v>
      </c>
      <c r="AA3225" t="s">
        <v>59</v>
      </c>
      <c r="AB3225" t="s">
        <v>59</v>
      </c>
      <c r="AC3225" t="s">
        <v>59</v>
      </c>
      <c r="AD3225" t="s">
        <v>452</v>
      </c>
      <c r="AE3225" s="1">
        <v>43708</v>
      </c>
      <c r="AF3225" s="1">
        <v>32042</v>
      </c>
      <c r="AG3225" t="s">
        <v>125</v>
      </c>
      <c r="AH3225" t="s">
        <v>5702</v>
      </c>
      <c r="AI3225" t="str">
        <f>"4101042"</f>
        <v>4101042</v>
      </c>
      <c r="AJ3225" t="s">
        <v>5703</v>
      </c>
      <c r="AK3225">
        <v>2831027230</v>
      </c>
      <c r="AL3225" t="s">
        <v>5704</v>
      </c>
      <c r="AM3225" t="s">
        <v>64</v>
      </c>
      <c r="AN3225" t="s">
        <v>65</v>
      </c>
      <c r="AO3225" t="s">
        <v>65</v>
      </c>
      <c r="AP3225" t="s">
        <v>65</v>
      </c>
      <c r="AQ3225">
        <v>1</v>
      </c>
      <c r="AR3225" t="s">
        <v>5644</v>
      </c>
      <c r="AS3225" t="s">
        <v>5645</v>
      </c>
      <c r="AT3225" t="s">
        <v>58</v>
      </c>
      <c r="AU3225" t="s">
        <v>68</v>
      </c>
      <c r="AV3225" t="s">
        <v>69</v>
      </c>
      <c r="AW3225" s="1">
        <v>22717</v>
      </c>
      <c r="AX3225">
        <v>2</v>
      </c>
    </row>
    <row r="3226" spans="1:50">
      <c r="B3226" t="str">
        <f>"066838770"</f>
        <v>066838770</v>
      </c>
      <c r="C3226" t="s">
        <v>50</v>
      </c>
      <c r="D3226" t="s">
        <v>3088</v>
      </c>
      <c r="E3226" t="s">
        <v>1830</v>
      </c>
      <c r="F3226" t="s">
        <v>95</v>
      </c>
      <c r="H3226" t="str">
        <f>" "</f>
        <v xml:space="preserve"> </v>
      </c>
      <c r="M3226" t="s">
        <v>6329</v>
      </c>
      <c r="N3226" t="s">
        <v>246</v>
      </c>
      <c r="O3226" t="s">
        <v>247</v>
      </c>
      <c r="R3226" t="s">
        <v>159</v>
      </c>
      <c r="S3226">
        <v>1</v>
      </c>
      <c r="T3226" t="s">
        <v>416</v>
      </c>
      <c r="U3226" s="1">
        <v>43349</v>
      </c>
      <c r="V3226" t="s">
        <v>5644</v>
      </c>
      <c r="W3226" t="s">
        <v>5645</v>
      </c>
      <c r="X3226" t="s">
        <v>58</v>
      </c>
      <c r="Y3226">
        <v>23</v>
      </c>
      <c r="Z3226" t="s">
        <v>59</v>
      </c>
      <c r="AA3226" t="s">
        <v>59</v>
      </c>
      <c r="AB3226" t="s">
        <v>59</v>
      </c>
      <c r="AC3226" t="s">
        <v>59</v>
      </c>
      <c r="AD3226" t="s">
        <v>59</v>
      </c>
      <c r="AF3226" s="1">
        <v>43349</v>
      </c>
      <c r="AG3226" t="s">
        <v>148</v>
      </c>
      <c r="AH3226" t="s">
        <v>149</v>
      </c>
      <c r="AI3226" t="str">
        <f>"4153010"</f>
        <v>4153010</v>
      </c>
      <c r="AJ3226" t="s">
        <v>5670</v>
      </c>
      <c r="AK3226">
        <v>2834052090</v>
      </c>
      <c r="AL3226" t="s">
        <v>5671</v>
      </c>
      <c r="AM3226" t="s">
        <v>64</v>
      </c>
      <c r="AN3226" t="s">
        <v>5672</v>
      </c>
      <c r="AO3226" t="s">
        <v>5673</v>
      </c>
      <c r="AP3226" t="s">
        <v>5674</v>
      </c>
      <c r="AQ3226">
        <v>2</v>
      </c>
      <c r="AR3226" t="s">
        <v>5644</v>
      </c>
      <c r="AS3226" t="s">
        <v>5645</v>
      </c>
      <c r="AT3226" t="s">
        <v>58</v>
      </c>
      <c r="AU3226" t="s">
        <v>419</v>
      </c>
      <c r="AV3226" t="s">
        <v>132</v>
      </c>
      <c r="AW3226" s="1">
        <v>30872</v>
      </c>
      <c r="AX3226">
        <v>2</v>
      </c>
    </row>
    <row r="3227" spans="1:50">
      <c r="A3227">
        <v>214411</v>
      </c>
      <c r="B3227" t="str">
        <f>"065648558"</f>
        <v>065648558</v>
      </c>
      <c r="C3227" t="s">
        <v>50</v>
      </c>
      <c r="D3227" t="s">
        <v>3111</v>
      </c>
      <c r="E3227" t="s">
        <v>513</v>
      </c>
      <c r="F3227" t="s">
        <v>106</v>
      </c>
      <c r="G3227" t="s">
        <v>237</v>
      </c>
      <c r="H3227" t="str">
        <f>"ΒΑΒΟΥΡΑΚΗΔΩΝ 15  ΡΕΘΥΜΝΟ"</f>
        <v>ΒΑΒΟΥΡΑΚΗΔΩΝ 15  ΡΕΘΥΜΝΟ</v>
      </c>
      <c r="I3227">
        <v>74100</v>
      </c>
      <c r="J3227">
        <v>2831030433</v>
      </c>
      <c r="K3227">
        <v>6977932295</v>
      </c>
      <c r="N3227" t="s">
        <v>257</v>
      </c>
      <c r="O3227" t="s">
        <v>258</v>
      </c>
      <c r="R3227" t="s">
        <v>57</v>
      </c>
      <c r="S3227">
        <v>6</v>
      </c>
      <c r="T3227">
        <v>231</v>
      </c>
      <c r="U3227" s="1">
        <v>38960</v>
      </c>
      <c r="V3227" t="s">
        <v>5644</v>
      </c>
      <c r="W3227" t="s">
        <v>5645</v>
      </c>
      <c r="X3227" t="s">
        <v>58</v>
      </c>
      <c r="Y3227">
        <v>20</v>
      </c>
      <c r="Z3227" t="s">
        <v>59</v>
      </c>
      <c r="AA3227" t="s">
        <v>59</v>
      </c>
      <c r="AB3227" t="s">
        <v>59</v>
      </c>
      <c r="AC3227" t="s">
        <v>59</v>
      </c>
      <c r="AD3227" t="s">
        <v>59</v>
      </c>
      <c r="AF3227" s="1">
        <v>38961</v>
      </c>
      <c r="AG3227" t="s">
        <v>148</v>
      </c>
      <c r="AH3227" t="s">
        <v>149</v>
      </c>
      <c r="AI3227" t="str">
        <f>"4151020"</f>
        <v>4151020</v>
      </c>
      <c r="AJ3227" t="s">
        <v>5725</v>
      </c>
      <c r="AK3227">
        <v>2831022475</v>
      </c>
      <c r="AL3227" t="s">
        <v>5726</v>
      </c>
      <c r="AM3227" t="s">
        <v>64</v>
      </c>
      <c r="AN3227" t="s">
        <v>65</v>
      </c>
      <c r="AO3227" t="s">
        <v>65</v>
      </c>
      <c r="AP3227" t="s">
        <v>65</v>
      </c>
      <c r="AQ3227">
        <v>1</v>
      </c>
      <c r="AR3227" t="s">
        <v>5644</v>
      </c>
      <c r="AS3227" t="s">
        <v>5645</v>
      </c>
      <c r="AT3227" t="s">
        <v>58</v>
      </c>
      <c r="AU3227" t="s">
        <v>68</v>
      </c>
      <c r="AV3227" t="s">
        <v>69</v>
      </c>
      <c r="AW3227" s="1">
        <v>26881</v>
      </c>
      <c r="AX3227">
        <v>2</v>
      </c>
    </row>
    <row r="3228" spans="1:50">
      <c r="A3228">
        <v>703676</v>
      </c>
      <c r="B3228" t="str">
        <f>"074164015"</f>
        <v>074164015</v>
      </c>
      <c r="C3228" t="s">
        <v>105</v>
      </c>
      <c r="D3228" t="s">
        <v>6330</v>
      </c>
      <c r="E3228" t="s">
        <v>1093</v>
      </c>
      <c r="F3228" t="s">
        <v>99</v>
      </c>
      <c r="G3228" t="s">
        <v>263</v>
      </c>
      <c r="H3228" t="str">
        <f>"Μ. ΓΕΩΡΓΙΑΔΗ 65 ΗΡΑΚΛΕΙΟ"</f>
        <v>Μ. ΓΕΩΡΓΙΑΔΗ 65 ΗΡΑΚΛΕΙΟ</v>
      </c>
      <c r="I3228">
        <v>71306</v>
      </c>
      <c r="J3228">
        <v>2810320907</v>
      </c>
      <c r="K3228">
        <v>6944987985</v>
      </c>
      <c r="M3228" t="s">
        <v>6331</v>
      </c>
      <c r="N3228" t="s">
        <v>232</v>
      </c>
      <c r="O3228" t="s">
        <v>233</v>
      </c>
      <c r="R3228" t="s">
        <v>57</v>
      </c>
      <c r="S3228">
        <v>5</v>
      </c>
      <c r="T3228" t="s">
        <v>6332</v>
      </c>
      <c r="U3228" s="1">
        <v>40413</v>
      </c>
      <c r="V3228" t="s">
        <v>5644</v>
      </c>
      <c r="W3228" t="s">
        <v>5645</v>
      </c>
      <c r="X3228" t="s">
        <v>58</v>
      </c>
      <c r="Y3228">
        <v>21</v>
      </c>
      <c r="Z3228" t="s">
        <v>59</v>
      </c>
      <c r="AA3228" t="s">
        <v>59</v>
      </c>
      <c r="AB3228" t="s">
        <v>59</v>
      </c>
      <c r="AC3228" t="s">
        <v>59</v>
      </c>
      <c r="AD3228" t="s">
        <v>59</v>
      </c>
      <c r="AF3228" s="1">
        <v>41233</v>
      </c>
      <c r="AG3228" t="s">
        <v>148</v>
      </c>
      <c r="AH3228" t="s">
        <v>149</v>
      </c>
      <c r="AI3228" t="str">
        <f>"4158010"</f>
        <v>4158010</v>
      </c>
      <c r="AJ3228" t="s">
        <v>5778</v>
      </c>
      <c r="AK3228">
        <v>2833041400</v>
      </c>
      <c r="AL3228" t="s">
        <v>5779</v>
      </c>
      <c r="AM3228" t="s">
        <v>64</v>
      </c>
      <c r="AN3228" t="s">
        <v>5713</v>
      </c>
      <c r="AO3228" t="s">
        <v>5780</v>
      </c>
      <c r="AP3228" t="s">
        <v>5781</v>
      </c>
      <c r="AQ3228">
        <v>4</v>
      </c>
      <c r="AR3228" t="s">
        <v>5644</v>
      </c>
      <c r="AS3228" t="s">
        <v>5645</v>
      </c>
      <c r="AT3228" t="s">
        <v>58</v>
      </c>
      <c r="AU3228" t="s">
        <v>68</v>
      </c>
      <c r="AV3228" t="s">
        <v>69</v>
      </c>
      <c r="AW3228" s="1">
        <v>25487</v>
      </c>
      <c r="AX3228">
        <v>2</v>
      </c>
    </row>
    <row r="3229" spans="1:50">
      <c r="A3229">
        <v>206254</v>
      </c>
      <c r="B3229" t="str">
        <f>"074355876"</f>
        <v>074355876</v>
      </c>
      <c r="C3229" t="s">
        <v>105</v>
      </c>
      <c r="D3229" t="s">
        <v>6333</v>
      </c>
      <c r="E3229" t="s">
        <v>166</v>
      </c>
      <c r="F3229" t="s">
        <v>53</v>
      </c>
      <c r="G3229" t="s">
        <v>52</v>
      </c>
      <c r="H3229" t="str">
        <f>"ΚΥΠΡΟΥ 11 ΠΕΡΙΣΤΕΡΙ ΑΤΤΙΚΗΣ"</f>
        <v>ΚΥΠΡΟΥ 11 ΠΕΡΙΣΤΕΡΙ ΑΤΤΙΚΗΣ</v>
      </c>
      <c r="I3229">
        <v>12132</v>
      </c>
      <c r="J3229">
        <v>2105770068</v>
      </c>
      <c r="K3229">
        <v>6932431988</v>
      </c>
      <c r="N3229" t="s">
        <v>306</v>
      </c>
      <c r="O3229" t="s">
        <v>307</v>
      </c>
      <c r="R3229" t="s">
        <v>57</v>
      </c>
      <c r="S3229">
        <v>9</v>
      </c>
      <c r="T3229">
        <v>301</v>
      </c>
      <c r="U3229" s="1">
        <v>38302</v>
      </c>
      <c r="V3229" t="s">
        <v>5644</v>
      </c>
      <c r="W3229" t="s">
        <v>5645</v>
      </c>
      <c r="X3229" t="s">
        <v>58</v>
      </c>
      <c r="Y3229">
        <v>20</v>
      </c>
      <c r="Z3229" t="s">
        <v>59</v>
      </c>
      <c r="AA3229" t="s">
        <v>59</v>
      </c>
      <c r="AB3229" t="s">
        <v>59</v>
      </c>
      <c r="AC3229" t="s">
        <v>59</v>
      </c>
      <c r="AD3229" t="s">
        <v>59</v>
      </c>
      <c r="AF3229" s="1">
        <v>38302</v>
      </c>
      <c r="AG3229" t="s">
        <v>125</v>
      </c>
      <c r="AH3229" t="s">
        <v>126</v>
      </c>
      <c r="AI3229" t="str">
        <f>"4104010"</f>
        <v>4104010</v>
      </c>
      <c r="AJ3229" t="s">
        <v>5745</v>
      </c>
      <c r="AK3229">
        <v>2834022235</v>
      </c>
      <c r="AL3229" t="s">
        <v>5746</v>
      </c>
      <c r="AM3229" t="s">
        <v>64</v>
      </c>
      <c r="AN3229" t="s">
        <v>5672</v>
      </c>
      <c r="AO3229" t="s">
        <v>5673</v>
      </c>
      <c r="AP3229" t="s">
        <v>5689</v>
      </c>
      <c r="AQ3229">
        <v>2</v>
      </c>
      <c r="AR3229" t="s">
        <v>5644</v>
      </c>
      <c r="AS3229" t="s">
        <v>5645</v>
      </c>
      <c r="AT3229" t="s">
        <v>58</v>
      </c>
      <c r="AU3229" t="s">
        <v>68</v>
      </c>
      <c r="AV3229" t="s">
        <v>69</v>
      </c>
      <c r="AW3229" s="1">
        <v>28158</v>
      </c>
      <c r="AX3229">
        <v>2</v>
      </c>
    </row>
    <row r="3230" spans="1:50">
      <c r="A3230">
        <v>200591</v>
      </c>
      <c r="B3230" t="str">
        <f>"041351850"</f>
        <v>041351850</v>
      </c>
      <c r="C3230" t="s">
        <v>105</v>
      </c>
      <c r="D3230" t="s">
        <v>6334</v>
      </c>
      <c r="E3230" t="s">
        <v>95</v>
      </c>
      <c r="F3230" t="s">
        <v>84</v>
      </c>
      <c r="G3230" t="s">
        <v>5231</v>
      </c>
      <c r="H3230" t="str">
        <f>"Δρουλίσκου 18 ΡΕΘΥΜΝΟ"</f>
        <v>Δρουλίσκου 18 ΡΕΘΥΜΝΟ</v>
      </c>
      <c r="I3230">
        <v>74100</v>
      </c>
      <c r="J3230">
        <v>2831054441</v>
      </c>
      <c r="K3230">
        <v>6976559343</v>
      </c>
      <c r="N3230" t="s">
        <v>299</v>
      </c>
      <c r="O3230" t="s">
        <v>300</v>
      </c>
      <c r="P3230" t="s">
        <v>1525</v>
      </c>
      <c r="Q3230" t="s">
        <v>1526</v>
      </c>
      <c r="R3230" t="s">
        <v>57</v>
      </c>
      <c r="S3230">
        <v>9</v>
      </c>
      <c r="T3230">
        <v>213</v>
      </c>
      <c r="U3230" s="1">
        <v>37874</v>
      </c>
      <c r="V3230" t="s">
        <v>5644</v>
      </c>
      <c r="W3230" t="s">
        <v>5645</v>
      </c>
      <c r="X3230" t="s">
        <v>58</v>
      </c>
      <c r="Y3230">
        <v>20</v>
      </c>
      <c r="Z3230" t="s">
        <v>59</v>
      </c>
      <c r="AA3230" t="s">
        <v>59</v>
      </c>
      <c r="AB3230" t="s">
        <v>59</v>
      </c>
      <c r="AC3230" t="s">
        <v>59</v>
      </c>
      <c r="AD3230" t="s">
        <v>59</v>
      </c>
      <c r="AF3230" s="1">
        <v>37874</v>
      </c>
      <c r="AG3230" t="s">
        <v>137</v>
      </c>
      <c r="AH3230" t="s">
        <v>138</v>
      </c>
      <c r="AI3230" t="str">
        <f>"4152001"</f>
        <v>4152001</v>
      </c>
      <c r="AJ3230" t="s">
        <v>5665</v>
      </c>
      <c r="AK3230">
        <v>2831024375</v>
      </c>
      <c r="AL3230" t="s">
        <v>5666</v>
      </c>
      <c r="AM3230" t="s">
        <v>64</v>
      </c>
      <c r="AN3230" t="s">
        <v>65</v>
      </c>
      <c r="AO3230" t="s">
        <v>65</v>
      </c>
      <c r="AP3230" t="s">
        <v>65</v>
      </c>
      <c r="AQ3230">
        <v>1</v>
      </c>
      <c r="AR3230" t="s">
        <v>5644</v>
      </c>
      <c r="AS3230" t="s">
        <v>5645</v>
      </c>
      <c r="AT3230" t="s">
        <v>58</v>
      </c>
      <c r="AU3230" t="s">
        <v>68</v>
      </c>
      <c r="AV3230" t="s">
        <v>357</v>
      </c>
      <c r="AW3230" s="1">
        <v>24489</v>
      </c>
      <c r="AX3230">
        <v>2</v>
      </c>
    </row>
    <row r="3231" spans="1:50">
      <c r="B3231" t="str">
        <f>"118818823"</f>
        <v>118818823</v>
      </c>
      <c r="C3231" t="s">
        <v>105</v>
      </c>
      <c r="D3231" t="s">
        <v>6335</v>
      </c>
      <c r="E3231" t="s">
        <v>450</v>
      </c>
      <c r="F3231" t="s">
        <v>760</v>
      </c>
      <c r="G3231" t="s">
        <v>96</v>
      </c>
      <c r="H3231" t="str">
        <f>"ΑΚΡΩΤΗΡΙΟΥ 12 ΧΑΝΙΑ"</f>
        <v>ΑΚΡΩΤΗΡΙΟΥ 12 ΧΑΝΙΑ</v>
      </c>
      <c r="I3231">
        <v>73200</v>
      </c>
      <c r="J3231">
        <v>2821081068</v>
      </c>
      <c r="K3231">
        <v>6976974103</v>
      </c>
      <c r="M3231" t="s">
        <v>6336</v>
      </c>
      <c r="N3231" t="s">
        <v>232</v>
      </c>
      <c r="O3231" t="s">
        <v>233</v>
      </c>
      <c r="R3231" t="s">
        <v>159</v>
      </c>
      <c r="S3231">
        <v>4</v>
      </c>
      <c r="T3231" t="s">
        <v>416</v>
      </c>
      <c r="U3231" s="1">
        <v>43349</v>
      </c>
      <c r="V3231" t="s">
        <v>5644</v>
      </c>
      <c r="W3231" t="s">
        <v>5645</v>
      </c>
      <c r="X3231" t="s">
        <v>58</v>
      </c>
      <c r="Y3231">
        <v>21</v>
      </c>
      <c r="Z3231" t="s">
        <v>59</v>
      </c>
      <c r="AA3231" t="s">
        <v>59</v>
      </c>
      <c r="AB3231" t="s">
        <v>59</v>
      </c>
      <c r="AC3231" t="s">
        <v>59</v>
      </c>
      <c r="AD3231" t="s">
        <v>59</v>
      </c>
      <c r="AF3231" s="1">
        <v>43349</v>
      </c>
      <c r="AG3231" t="s">
        <v>137</v>
      </c>
      <c r="AH3231" t="s">
        <v>138</v>
      </c>
      <c r="AI3231" t="str">
        <f>"4150040"</f>
        <v>4150040</v>
      </c>
      <c r="AJ3231" t="s">
        <v>5661</v>
      </c>
      <c r="AK3231">
        <v>2831029048</v>
      </c>
      <c r="AL3231" t="s">
        <v>5662</v>
      </c>
      <c r="AM3231" t="s">
        <v>64</v>
      </c>
      <c r="AN3231" t="s">
        <v>65</v>
      </c>
      <c r="AO3231" t="s">
        <v>65</v>
      </c>
      <c r="AP3231" t="s">
        <v>65</v>
      </c>
      <c r="AQ3231">
        <v>1</v>
      </c>
      <c r="AR3231" t="s">
        <v>5644</v>
      </c>
      <c r="AS3231" t="s">
        <v>5645</v>
      </c>
      <c r="AT3231" t="s">
        <v>58</v>
      </c>
      <c r="AU3231" t="s">
        <v>419</v>
      </c>
      <c r="AV3231" t="s">
        <v>132</v>
      </c>
      <c r="AW3231" s="1">
        <v>27866</v>
      </c>
      <c r="AX3231">
        <v>2</v>
      </c>
    </row>
    <row r="3232" spans="1:50">
      <c r="A3232">
        <v>211389</v>
      </c>
      <c r="B3232" t="str">
        <f>"062094435"</f>
        <v>062094435</v>
      </c>
      <c r="C3232" t="s">
        <v>105</v>
      </c>
      <c r="D3232" t="s">
        <v>6337</v>
      </c>
      <c r="E3232" t="s">
        <v>108</v>
      </c>
      <c r="F3232" t="s">
        <v>53</v>
      </c>
      <c r="G3232" t="s">
        <v>3914</v>
      </c>
      <c r="H3232" t="str">
        <f>"ΑΠΟΔΗΜΩΝ ΚΡΗΤΩΝ 6 ΚΑΛΛΙΘΕΑ"</f>
        <v>ΑΠΟΔΗΜΩΝ ΚΡΗΤΩΝ 6 ΚΑΛΛΙΘΕΑ</v>
      </c>
      <c r="I3232">
        <v>74100</v>
      </c>
      <c r="J3232">
        <v>2833061421</v>
      </c>
      <c r="K3232">
        <v>6974411588</v>
      </c>
      <c r="N3232" t="s">
        <v>168</v>
      </c>
      <c r="O3232" t="s">
        <v>169</v>
      </c>
      <c r="R3232" t="s">
        <v>57</v>
      </c>
      <c r="S3232">
        <v>8</v>
      </c>
      <c r="T3232">
        <v>306</v>
      </c>
      <c r="U3232" s="1">
        <v>38672</v>
      </c>
      <c r="V3232" t="s">
        <v>5644</v>
      </c>
      <c r="W3232" t="s">
        <v>5645</v>
      </c>
      <c r="X3232" t="s">
        <v>58</v>
      </c>
      <c r="Y3232">
        <v>20</v>
      </c>
      <c r="Z3232" t="s">
        <v>59</v>
      </c>
      <c r="AA3232" t="s">
        <v>59</v>
      </c>
      <c r="AB3232" t="s">
        <v>59</v>
      </c>
      <c r="AC3232" t="s">
        <v>59</v>
      </c>
      <c r="AD3232" t="s">
        <v>59</v>
      </c>
      <c r="AF3232" s="1">
        <v>38673</v>
      </c>
      <c r="AG3232" t="s">
        <v>137</v>
      </c>
      <c r="AH3232" t="s">
        <v>138</v>
      </c>
      <c r="AI3232" t="str">
        <f>"4150040"</f>
        <v>4150040</v>
      </c>
      <c r="AJ3232" t="s">
        <v>5661</v>
      </c>
      <c r="AK3232">
        <v>2831029048</v>
      </c>
      <c r="AL3232" t="s">
        <v>5662</v>
      </c>
      <c r="AM3232" t="s">
        <v>64</v>
      </c>
      <c r="AN3232" t="s">
        <v>65</v>
      </c>
      <c r="AO3232" t="s">
        <v>65</v>
      </c>
      <c r="AP3232" t="s">
        <v>65</v>
      </c>
      <c r="AQ3232">
        <v>1</v>
      </c>
      <c r="AR3232" t="s">
        <v>5644</v>
      </c>
      <c r="AS3232" t="s">
        <v>5645</v>
      </c>
      <c r="AT3232" t="s">
        <v>58</v>
      </c>
      <c r="AU3232" t="s">
        <v>68</v>
      </c>
      <c r="AV3232" t="s">
        <v>69</v>
      </c>
      <c r="AW3232" s="1">
        <v>27090</v>
      </c>
      <c r="AX3232">
        <v>2</v>
      </c>
    </row>
    <row r="3233" spans="1:50">
      <c r="A3233">
        <v>212314</v>
      </c>
      <c r="B3233" t="str">
        <f>"105610003"</f>
        <v>105610003</v>
      </c>
      <c r="C3233" t="s">
        <v>50</v>
      </c>
      <c r="D3233" t="s">
        <v>3149</v>
      </c>
      <c r="E3233" t="s">
        <v>2807</v>
      </c>
      <c r="F3233" t="s">
        <v>99</v>
      </c>
      <c r="G3233" t="s">
        <v>83</v>
      </c>
      <c r="H3233" t="str">
        <f>"ΝΕΟΧΩΡΟΠΟΥΛΟ Τ.Θ.245 ΙΩΑΝΝΙΝΑ"</f>
        <v>ΝΕΟΧΩΡΟΠΟΥΛΟ Τ.Θ.245 ΙΩΑΝΝΙΝΑ</v>
      </c>
      <c r="I3233">
        <v>45500</v>
      </c>
      <c r="J3233">
        <v>2651042784</v>
      </c>
      <c r="K3233">
        <v>6999555501</v>
      </c>
      <c r="N3233" t="s">
        <v>146</v>
      </c>
      <c r="O3233" t="s">
        <v>147</v>
      </c>
      <c r="R3233" t="s">
        <v>57</v>
      </c>
      <c r="S3233">
        <v>6</v>
      </c>
      <c r="T3233">
        <v>231</v>
      </c>
      <c r="U3233" s="1">
        <v>38960</v>
      </c>
      <c r="V3233" t="s">
        <v>5644</v>
      </c>
      <c r="W3233" t="s">
        <v>5645</v>
      </c>
      <c r="X3233" t="s">
        <v>58</v>
      </c>
      <c r="Y3233">
        <v>20</v>
      </c>
      <c r="Z3233" t="s">
        <v>59</v>
      </c>
      <c r="AA3233" t="s">
        <v>59</v>
      </c>
      <c r="AB3233" t="s">
        <v>59</v>
      </c>
      <c r="AC3233" t="s">
        <v>59</v>
      </c>
      <c r="AD3233" t="s">
        <v>59</v>
      </c>
      <c r="AF3233" s="1">
        <v>38961</v>
      </c>
      <c r="AG3233" t="s">
        <v>125</v>
      </c>
      <c r="AH3233" t="s">
        <v>126</v>
      </c>
      <c r="AI3233" t="str">
        <f>"4110015"</f>
        <v>4110015</v>
      </c>
      <c r="AJ3233" t="s">
        <v>5723</v>
      </c>
      <c r="AK3233">
        <v>2831022741</v>
      </c>
      <c r="AL3233" t="s">
        <v>5724</v>
      </c>
      <c r="AM3233" t="s">
        <v>64</v>
      </c>
      <c r="AN3233" t="s">
        <v>65</v>
      </c>
      <c r="AO3233" t="s">
        <v>5720</v>
      </c>
      <c r="AP3233" t="s">
        <v>5721</v>
      </c>
      <c r="AQ3233">
        <v>1</v>
      </c>
      <c r="AR3233" t="s">
        <v>5644</v>
      </c>
      <c r="AS3233" t="s">
        <v>5645</v>
      </c>
      <c r="AT3233" t="s">
        <v>58</v>
      </c>
      <c r="AU3233" t="s">
        <v>68</v>
      </c>
      <c r="AV3233" t="s">
        <v>69</v>
      </c>
      <c r="AW3233" s="1">
        <v>27527</v>
      </c>
      <c r="AX3233">
        <v>2</v>
      </c>
    </row>
    <row r="3234" spans="1:50">
      <c r="A3234">
        <v>704321</v>
      </c>
      <c r="B3234" t="str">
        <f>"100069356"</f>
        <v>100069356</v>
      </c>
      <c r="C3234" t="s">
        <v>50</v>
      </c>
      <c r="D3234" t="s">
        <v>3157</v>
      </c>
      <c r="E3234" t="s">
        <v>513</v>
      </c>
      <c r="F3234" t="s">
        <v>92</v>
      </c>
      <c r="G3234" t="s">
        <v>280</v>
      </c>
      <c r="H3234" t="str">
        <f>"ΠΗΓΙΑΝΟΣ ΚΑΜΠΟΣ Τ.Θ. 7528 "</f>
        <v xml:space="preserve">ΠΗΓΙΑΝΟΣ ΚΑΜΠΟΣ Τ.Θ. 7528 </v>
      </c>
      <c r="I3234">
        <v>74150</v>
      </c>
      <c r="J3234">
        <v>2831072762</v>
      </c>
      <c r="K3234">
        <v>6972053408</v>
      </c>
      <c r="N3234" t="s">
        <v>907</v>
      </c>
      <c r="O3234" t="s">
        <v>908</v>
      </c>
      <c r="R3234" t="s">
        <v>121</v>
      </c>
      <c r="S3234">
        <v>2</v>
      </c>
      <c r="T3234">
        <v>797</v>
      </c>
      <c r="U3234" s="1">
        <v>42968</v>
      </c>
      <c r="V3234" t="s">
        <v>5644</v>
      </c>
      <c r="W3234" t="s">
        <v>5645</v>
      </c>
      <c r="X3234" t="s">
        <v>58</v>
      </c>
      <c r="Y3234">
        <v>23</v>
      </c>
      <c r="Z3234" t="s">
        <v>59</v>
      </c>
      <c r="AA3234" t="s">
        <v>59</v>
      </c>
      <c r="AB3234" t="s">
        <v>452</v>
      </c>
      <c r="AC3234" t="s">
        <v>59</v>
      </c>
      <c r="AD3234" t="s">
        <v>59</v>
      </c>
      <c r="AF3234" s="1">
        <v>42968</v>
      </c>
      <c r="AG3234" t="s">
        <v>137</v>
      </c>
      <c r="AH3234" t="s">
        <v>138</v>
      </c>
      <c r="AI3234" t="str">
        <f>"4150040"</f>
        <v>4150040</v>
      </c>
      <c r="AJ3234" t="s">
        <v>5661</v>
      </c>
      <c r="AK3234">
        <v>2831029048</v>
      </c>
      <c r="AL3234" t="s">
        <v>5662</v>
      </c>
      <c r="AM3234" t="s">
        <v>64</v>
      </c>
      <c r="AN3234" t="s">
        <v>65</v>
      </c>
      <c r="AO3234" t="s">
        <v>65</v>
      </c>
      <c r="AP3234" t="s">
        <v>65</v>
      </c>
      <c r="AQ3234">
        <v>1</v>
      </c>
      <c r="AR3234" t="s">
        <v>5644</v>
      </c>
      <c r="AS3234" t="s">
        <v>5645</v>
      </c>
      <c r="AT3234" t="s">
        <v>58</v>
      </c>
      <c r="AU3234" t="s">
        <v>68</v>
      </c>
      <c r="AV3234" t="s">
        <v>69</v>
      </c>
      <c r="AW3234" s="1">
        <v>29478</v>
      </c>
      <c r="AX3234">
        <v>2</v>
      </c>
    </row>
    <row r="3235" spans="1:50">
      <c r="A3235">
        <v>145744</v>
      </c>
      <c r="B3235" t="str">
        <f>"066532547"</f>
        <v>066532547</v>
      </c>
      <c r="C3235" t="s">
        <v>50</v>
      </c>
      <c r="D3235" t="s">
        <v>3157</v>
      </c>
      <c r="E3235" t="s">
        <v>73</v>
      </c>
      <c r="F3235" t="s">
        <v>95</v>
      </c>
      <c r="G3235" t="s">
        <v>411</v>
      </c>
      <c r="H3235" t="str">
        <f>"Ν. ΚΑΖΑΝΤΖΑΚΗ 48 ΡΕΘΥΜΝΟ"</f>
        <v>Ν. ΚΑΖΑΝΤΖΑΚΗ 48 ΡΕΘΥΜΝΟ</v>
      </c>
      <c r="I3235">
        <v>74100</v>
      </c>
      <c r="K3235">
        <v>6972899291</v>
      </c>
      <c r="M3235" t="s">
        <v>6338</v>
      </c>
      <c r="N3235" t="s">
        <v>146</v>
      </c>
      <c r="O3235" t="s">
        <v>147</v>
      </c>
      <c r="R3235" t="s">
        <v>57</v>
      </c>
      <c r="S3235">
        <v>17</v>
      </c>
      <c r="T3235">
        <v>237</v>
      </c>
      <c r="U3235" s="1">
        <v>31293</v>
      </c>
      <c r="V3235" t="s">
        <v>5644</v>
      </c>
      <c r="W3235" t="s">
        <v>5645</v>
      </c>
      <c r="X3235" t="s">
        <v>58</v>
      </c>
      <c r="Y3235">
        <v>18</v>
      </c>
      <c r="Z3235" t="s">
        <v>59</v>
      </c>
      <c r="AA3235" t="s">
        <v>59</v>
      </c>
      <c r="AB3235" t="s">
        <v>59</v>
      </c>
      <c r="AC3235" t="s">
        <v>59</v>
      </c>
      <c r="AD3235" t="s">
        <v>59</v>
      </c>
      <c r="AF3235" s="1">
        <v>31293</v>
      </c>
      <c r="AG3235" t="s">
        <v>148</v>
      </c>
      <c r="AH3235" t="s">
        <v>149</v>
      </c>
      <c r="AI3235" t="str">
        <f>"4151030"</f>
        <v>4151030</v>
      </c>
      <c r="AJ3235" t="s">
        <v>5681</v>
      </c>
      <c r="AK3235">
        <v>2831023422</v>
      </c>
      <c r="AL3235" t="s">
        <v>5682</v>
      </c>
      <c r="AM3235" t="s">
        <v>64</v>
      </c>
      <c r="AN3235" t="s">
        <v>65</v>
      </c>
      <c r="AO3235" t="s">
        <v>65</v>
      </c>
      <c r="AP3235" t="s">
        <v>65</v>
      </c>
      <c r="AQ3235">
        <v>1</v>
      </c>
      <c r="AR3235" t="s">
        <v>5644</v>
      </c>
      <c r="AS3235" t="s">
        <v>5645</v>
      </c>
      <c r="AT3235" t="s">
        <v>58</v>
      </c>
      <c r="AU3235" t="s">
        <v>68</v>
      </c>
      <c r="AV3235" t="s">
        <v>69</v>
      </c>
      <c r="AW3235" s="1">
        <v>21790</v>
      </c>
      <c r="AX3235">
        <v>2</v>
      </c>
    </row>
    <row r="3236" spans="1:50">
      <c r="A3236">
        <v>148337</v>
      </c>
      <c r="B3236" t="str">
        <f>"029886557"</f>
        <v>029886557</v>
      </c>
      <c r="C3236" t="s">
        <v>50</v>
      </c>
      <c r="D3236" t="s">
        <v>3157</v>
      </c>
      <c r="E3236" t="s">
        <v>658</v>
      </c>
      <c r="F3236" t="s">
        <v>72</v>
      </c>
      <c r="G3236" t="s">
        <v>52</v>
      </c>
      <c r="H3236" t="str">
        <f>"ΒΑΛΕΣΤΡΑ 7 ΡΕΘΥΜΝΟ"</f>
        <v>ΒΑΛΕΣΤΡΑ 7 ΡΕΘΥΜΝΟ</v>
      </c>
      <c r="I3236">
        <v>74100</v>
      </c>
      <c r="J3236">
        <v>2831029045</v>
      </c>
      <c r="K3236">
        <v>6978958387</v>
      </c>
      <c r="N3236" t="s">
        <v>146</v>
      </c>
      <c r="O3236" t="s">
        <v>147</v>
      </c>
      <c r="R3236" t="s">
        <v>57</v>
      </c>
      <c r="S3236">
        <v>19</v>
      </c>
      <c r="T3236">
        <v>205</v>
      </c>
      <c r="U3236" s="1">
        <v>31658</v>
      </c>
      <c r="V3236" t="s">
        <v>5644</v>
      </c>
      <c r="W3236" t="s">
        <v>5645</v>
      </c>
      <c r="X3236" t="s">
        <v>58</v>
      </c>
      <c r="Y3236">
        <v>18</v>
      </c>
      <c r="Z3236" t="s">
        <v>59</v>
      </c>
      <c r="AA3236" t="s">
        <v>59</v>
      </c>
      <c r="AB3236" t="s">
        <v>59</v>
      </c>
      <c r="AC3236" t="s">
        <v>59</v>
      </c>
      <c r="AD3236" t="s">
        <v>59</v>
      </c>
      <c r="AF3236" s="1">
        <v>31658</v>
      </c>
      <c r="AG3236" t="s">
        <v>148</v>
      </c>
      <c r="AH3236" t="s">
        <v>1053</v>
      </c>
      <c r="AI3236" t="str">
        <f>"4141057"</f>
        <v>4141057</v>
      </c>
      <c r="AJ3236" t="s">
        <v>5916</v>
      </c>
      <c r="AK3236">
        <v>2831035241</v>
      </c>
      <c r="AL3236" t="s">
        <v>5917</v>
      </c>
      <c r="AM3236" t="s">
        <v>64</v>
      </c>
      <c r="AN3236" t="s">
        <v>65</v>
      </c>
      <c r="AO3236" t="s">
        <v>65</v>
      </c>
      <c r="AP3236" t="s">
        <v>65</v>
      </c>
      <c r="AQ3236">
        <v>1</v>
      </c>
      <c r="AR3236" t="s">
        <v>5644</v>
      </c>
      <c r="AS3236" t="s">
        <v>5645</v>
      </c>
      <c r="AT3236" t="s">
        <v>58</v>
      </c>
      <c r="AU3236" t="s">
        <v>68</v>
      </c>
      <c r="AV3236" t="s">
        <v>69</v>
      </c>
      <c r="AW3236" s="1">
        <v>21708</v>
      </c>
      <c r="AX3236">
        <v>2</v>
      </c>
    </row>
    <row r="3237" spans="1:50">
      <c r="B3237" t="str">
        <f>"113600071"</f>
        <v>113600071</v>
      </c>
      <c r="C3237" t="s">
        <v>50</v>
      </c>
      <c r="D3237" t="s">
        <v>3157</v>
      </c>
      <c r="E3237" t="s">
        <v>250</v>
      </c>
      <c r="F3237" t="s">
        <v>4071</v>
      </c>
      <c r="G3237" t="s">
        <v>4127</v>
      </c>
      <c r="H3237" t="str">
        <f>"ΜΑΧΗΣ ΠΟΤΑΜΩΝ 5 ΡΕΘΥΜΝΟ"</f>
        <v>ΜΑΧΗΣ ΠΟΤΑΜΩΝ 5 ΡΕΘΥΜΝΟ</v>
      </c>
      <c r="I3237">
        <v>74100</v>
      </c>
      <c r="J3237">
        <v>2831022274</v>
      </c>
      <c r="K3237">
        <v>6978751589</v>
      </c>
      <c r="N3237" t="s">
        <v>146</v>
      </c>
      <c r="O3237" t="s">
        <v>147</v>
      </c>
      <c r="R3237" t="s">
        <v>159</v>
      </c>
      <c r="S3237">
        <v>2</v>
      </c>
      <c r="T3237" t="s">
        <v>416</v>
      </c>
      <c r="U3237" s="1">
        <v>43349</v>
      </c>
      <c r="V3237" t="s">
        <v>5644</v>
      </c>
      <c r="W3237" t="s">
        <v>5645</v>
      </c>
      <c r="X3237" t="s">
        <v>58</v>
      </c>
      <c r="Y3237">
        <v>23</v>
      </c>
      <c r="Z3237" t="s">
        <v>59</v>
      </c>
      <c r="AA3237" t="s">
        <v>59</v>
      </c>
      <c r="AB3237" t="s">
        <v>59</v>
      </c>
      <c r="AC3237" t="s">
        <v>59</v>
      </c>
      <c r="AD3237" t="s">
        <v>59</v>
      </c>
      <c r="AF3237" s="1">
        <v>43349</v>
      </c>
      <c r="AG3237" t="s">
        <v>148</v>
      </c>
      <c r="AH3237" t="s">
        <v>149</v>
      </c>
      <c r="AI3237" t="str">
        <f>"4154010"</f>
        <v>4154010</v>
      </c>
      <c r="AJ3237" t="s">
        <v>5687</v>
      </c>
      <c r="AK3237">
        <v>2834023300</v>
      </c>
      <c r="AL3237" t="s">
        <v>5688</v>
      </c>
      <c r="AM3237" t="s">
        <v>64</v>
      </c>
      <c r="AN3237" t="s">
        <v>5672</v>
      </c>
      <c r="AO3237" t="s">
        <v>5673</v>
      </c>
      <c r="AP3237" t="s">
        <v>5689</v>
      </c>
      <c r="AQ3237">
        <v>2</v>
      </c>
      <c r="AR3237" t="s">
        <v>5644</v>
      </c>
      <c r="AS3237" t="s">
        <v>5645</v>
      </c>
      <c r="AT3237" t="s">
        <v>58</v>
      </c>
      <c r="AU3237" t="s">
        <v>419</v>
      </c>
      <c r="AV3237" t="s">
        <v>132</v>
      </c>
      <c r="AW3237" s="1">
        <v>27986</v>
      </c>
      <c r="AX3237">
        <v>2</v>
      </c>
    </row>
    <row r="3238" spans="1:50">
      <c r="A3238">
        <v>133371</v>
      </c>
      <c r="B3238" t="str">
        <f>"021052648"</f>
        <v>021052648</v>
      </c>
      <c r="C3238" t="s">
        <v>50</v>
      </c>
      <c r="D3238" t="s">
        <v>3157</v>
      </c>
      <c r="E3238" t="s">
        <v>255</v>
      </c>
      <c r="F3238" t="s">
        <v>585</v>
      </c>
      <c r="G3238" t="s">
        <v>494</v>
      </c>
      <c r="H3238" t="str">
        <f>"ΧΑΤΖΗΜΙΧΑΛΗ ΓΙΑΝΝΑΡΗ 4 ΡΕΘΥΜΝΟ"</f>
        <v>ΧΑΤΖΗΜΙΧΑΛΗ ΓΙΑΝΝΑΡΗ 4 ΡΕΘΥΜΝΟ</v>
      </c>
      <c r="I3238">
        <v>74100</v>
      </c>
      <c r="J3238">
        <v>2831026642</v>
      </c>
      <c r="K3238">
        <v>6970361712</v>
      </c>
      <c r="N3238" t="s">
        <v>146</v>
      </c>
      <c r="O3238" t="s">
        <v>147</v>
      </c>
      <c r="R3238" t="s">
        <v>57</v>
      </c>
      <c r="S3238">
        <v>18</v>
      </c>
      <c r="T3238">
        <v>248</v>
      </c>
      <c r="U3238" s="1">
        <v>29830</v>
      </c>
      <c r="V3238" t="s">
        <v>5644</v>
      </c>
      <c r="W3238" t="s">
        <v>5645</v>
      </c>
      <c r="X3238" t="s">
        <v>58</v>
      </c>
      <c r="Y3238">
        <v>18</v>
      </c>
      <c r="Z3238" t="s">
        <v>59</v>
      </c>
      <c r="AA3238" t="s">
        <v>59</v>
      </c>
      <c r="AB3238" t="s">
        <v>59</v>
      </c>
      <c r="AC3238" t="s">
        <v>59</v>
      </c>
      <c r="AD3238" t="s">
        <v>59</v>
      </c>
      <c r="AF3238" s="1">
        <v>29830</v>
      </c>
      <c r="AG3238" t="s">
        <v>148</v>
      </c>
      <c r="AH3238" t="s">
        <v>149</v>
      </c>
      <c r="AI3238" t="str">
        <f>"4151009"</f>
        <v>4151009</v>
      </c>
      <c r="AJ3238" t="s">
        <v>5649</v>
      </c>
      <c r="AK3238">
        <v>2831027115</v>
      </c>
      <c r="AL3238" t="s">
        <v>5650</v>
      </c>
      <c r="AM3238" t="s">
        <v>64</v>
      </c>
      <c r="AN3238" t="s">
        <v>65</v>
      </c>
      <c r="AO3238" t="s">
        <v>65</v>
      </c>
      <c r="AP3238" t="s">
        <v>65</v>
      </c>
      <c r="AQ3238">
        <v>1</v>
      </c>
      <c r="AR3238" t="s">
        <v>5644</v>
      </c>
      <c r="AS3238" t="s">
        <v>5645</v>
      </c>
      <c r="AT3238" t="s">
        <v>58</v>
      </c>
      <c r="AU3238" t="s">
        <v>68</v>
      </c>
      <c r="AV3238" t="s">
        <v>69</v>
      </c>
      <c r="AW3238" s="1">
        <v>20433</v>
      </c>
      <c r="AX3238">
        <v>2</v>
      </c>
    </row>
    <row r="3239" spans="1:50">
      <c r="A3239">
        <v>218141</v>
      </c>
      <c r="B3239" t="str">
        <f>"055778394"</f>
        <v>055778394</v>
      </c>
      <c r="C3239" t="s">
        <v>105</v>
      </c>
      <c r="D3239" t="s">
        <v>3190</v>
      </c>
      <c r="E3239" t="s">
        <v>309</v>
      </c>
      <c r="F3239" t="s">
        <v>72</v>
      </c>
      <c r="G3239" t="s">
        <v>6339</v>
      </c>
      <c r="H3239" t="str">
        <f>"Σ.ΠΕΤΡΟΥΛΑ 10 ΡΕΘΥΜΝΟ"</f>
        <v>Σ.ΠΕΤΡΟΥΛΑ 10 ΡΕΘΥΜΝΟ</v>
      </c>
      <c r="I3239">
        <v>74100</v>
      </c>
      <c r="J3239">
        <v>2831056267</v>
      </c>
      <c r="K3239">
        <v>6977581002</v>
      </c>
      <c r="M3239" t="s">
        <v>6340</v>
      </c>
      <c r="N3239" t="s">
        <v>292</v>
      </c>
      <c r="O3239" t="s">
        <v>293</v>
      </c>
      <c r="R3239" t="s">
        <v>57</v>
      </c>
      <c r="S3239">
        <v>5</v>
      </c>
      <c r="T3239">
        <v>599</v>
      </c>
      <c r="U3239" s="1">
        <v>39310</v>
      </c>
      <c r="V3239" t="s">
        <v>5644</v>
      </c>
      <c r="W3239" t="s">
        <v>5645</v>
      </c>
      <c r="X3239" t="s">
        <v>58</v>
      </c>
      <c r="Y3239">
        <v>21</v>
      </c>
      <c r="Z3239" t="s">
        <v>59</v>
      </c>
      <c r="AA3239" t="s">
        <v>59</v>
      </c>
      <c r="AB3239" t="s">
        <v>59</v>
      </c>
      <c r="AC3239" t="s">
        <v>59</v>
      </c>
      <c r="AD3239" t="s">
        <v>59</v>
      </c>
      <c r="AF3239" s="1">
        <v>39310</v>
      </c>
      <c r="AG3239" t="s">
        <v>125</v>
      </c>
      <c r="AH3239" t="s">
        <v>126</v>
      </c>
      <c r="AI3239" t="str">
        <f>"4104010"</f>
        <v>4104010</v>
      </c>
      <c r="AJ3239" t="s">
        <v>5745</v>
      </c>
      <c r="AK3239">
        <v>2834022235</v>
      </c>
      <c r="AL3239" t="s">
        <v>5746</v>
      </c>
      <c r="AM3239" t="s">
        <v>64</v>
      </c>
      <c r="AN3239" t="s">
        <v>5672</v>
      </c>
      <c r="AO3239" t="s">
        <v>5673</v>
      </c>
      <c r="AP3239" t="s">
        <v>5689</v>
      </c>
      <c r="AQ3239">
        <v>2</v>
      </c>
      <c r="AR3239" t="s">
        <v>5644</v>
      </c>
      <c r="AS3239" t="s">
        <v>5645</v>
      </c>
      <c r="AT3239" t="s">
        <v>58</v>
      </c>
      <c r="AU3239" t="s">
        <v>68</v>
      </c>
      <c r="AV3239" t="s">
        <v>69</v>
      </c>
      <c r="AW3239" s="1">
        <v>25921</v>
      </c>
      <c r="AX3239">
        <v>2</v>
      </c>
    </row>
    <row r="3240" spans="1:50">
      <c r="A3240">
        <v>200059</v>
      </c>
      <c r="B3240" t="str">
        <f>"074787730"</f>
        <v>074787730</v>
      </c>
      <c r="C3240" t="s">
        <v>105</v>
      </c>
      <c r="D3240" t="s">
        <v>3190</v>
      </c>
      <c r="E3240" t="s">
        <v>95</v>
      </c>
      <c r="F3240" t="s">
        <v>72</v>
      </c>
      <c r="G3240" t="s">
        <v>52</v>
      </c>
      <c r="H3240" t="str">
        <f>"ΚΑΨΑΛΗ 15 ΡΕΘΥΜΝΟ"</f>
        <v>ΚΑΨΑΛΗ 15 ΡΕΘΥΜΝΟ</v>
      </c>
      <c r="I3240">
        <v>74100</v>
      </c>
      <c r="J3240">
        <v>2831036227</v>
      </c>
      <c r="K3240">
        <v>6944655176</v>
      </c>
      <c r="M3240" t="s">
        <v>6341</v>
      </c>
      <c r="N3240" t="s">
        <v>204</v>
      </c>
      <c r="O3240" t="s">
        <v>205</v>
      </c>
      <c r="R3240" t="s">
        <v>57</v>
      </c>
      <c r="S3240">
        <v>9</v>
      </c>
      <c r="T3240">
        <v>206</v>
      </c>
      <c r="U3240" s="1">
        <v>37866</v>
      </c>
      <c r="V3240" t="s">
        <v>5644</v>
      </c>
      <c r="W3240" t="s">
        <v>5645</v>
      </c>
      <c r="X3240" t="s">
        <v>58</v>
      </c>
      <c r="Y3240">
        <v>20</v>
      </c>
      <c r="Z3240" t="s">
        <v>59</v>
      </c>
      <c r="AA3240" t="s">
        <v>59</v>
      </c>
      <c r="AB3240" t="s">
        <v>59</v>
      </c>
      <c r="AC3240" t="s">
        <v>59</v>
      </c>
      <c r="AD3240" t="s">
        <v>59</v>
      </c>
      <c r="AF3240" s="1">
        <v>37866</v>
      </c>
      <c r="AG3240" t="s">
        <v>125</v>
      </c>
      <c r="AH3240" t="s">
        <v>126</v>
      </c>
      <c r="AI3240" t="str">
        <f>"4101020"</f>
        <v>4101020</v>
      </c>
      <c r="AJ3240" t="s">
        <v>5652</v>
      </c>
      <c r="AK3240">
        <v>2831023560</v>
      </c>
      <c r="AL3240" t="s">
        <v>5653</v>
      </c>
      <c r="AM3240" t="s">
        <v>64</v>
      </c>
      <c r="AN3240" t="s">
        <v>65</v>
      </c>
      <c r="AO3240" t="s">
        <v>65</v>
      </c>
      <c r="AP3240" t="s">
        <v>65</v>
      </c>
      <c r="AQ3240">
        <v>1</v>
      </c>
      <c r="AR3240" t="s">
        <v>5644</v>
      </c>
      <c r="AS3240" t="s">
        <v>5645</v>
      </c>
      <c r="AT3240" t="s">
        <v>58</v>
      </c>
      <c r="AU3240" t="s">
        <v>68</v>
      </c>
      <c r="AV3240" t="s">
        <v>69</v>
      </c>
      <c r="AW3240" s="1">
        <v>28174</v>
      </c>
      <c r="AX3240">
        <v>2</v>
      </c>
    </row>
    <row r="3241" spans="1:50">
      <c r="A3241">
        <v>172569</v>
      </c>
      <c r="B3241" t="str">
        <f>"055521748"</f>
        <v>055521748</v>
      </c>
      <c r="C3241" t="s">
        <v>105</v>
      </c>
      <c r="D3241" t="s">
        <v>3190</v>
      </c>
      <c r="E3241" t="s">
        <v>166</v>
      </c>
      <c r="F3241" t="s">
        <v>95</v>
      </c>
      <c r="G3241" t="s">
        <v>1361</v>
      </c>
      <c r="H3241" t="str">
        <f>"ΒΑΒΟΥΡΑΚΗΔΩΝ 4ΑΒ "</f>
        <v xml:space="preserve">ΒΑΒΟΥΡΑΚΗΔΩΝ 4ΑΒ </v>
      </c>
      <c r="I3241">
        <v>74132</v>
      </c>
      <c r="J3241">
        <v>2831027474</v>
      </c>
      <c r="K3241">
        <v>6972441387</v>
      </c>
      <c r="N3241" t="s">
        <v>204</v>
      </c>
      <c r="O3241" t="s">
        <v>205</v>
      </c>
      <c r="P3241" t="s">
        <v>232</v>
      </c>
      <c r="Q3241" t="s">
        <v>233</v>
      </c>
      <c r="R3241" t="s">
        <v>57</v>
      </c>
      <c r="S3241">
        <v>13</v>
      </c>
      <c r="T3241">
        <v>184</v>
      </c>
      <c r="U3241" s="1">
        <v>34941</v>
      </c>
      <c r="V3241" t="s">
        <v>5644</v>
      </c>
      <c r="W3241" t="s">
        <v>5645</v>
      </c>
      <c r="X3241" t="s">
        <v>58</v>
      </c>
      <c r="Y3241">
        <v>18</v>
      </c>
      <c r="Z3241" t="s">
        <v>59</v>
      </c>
      <c r="AA3241" t="s">
        <v>59</v>
      </c>
      <c r="AB3241" t="s">
        <v>59</v>
      </c>
      <c r="AC3241" t="s">
        <v>59</v>
      </c>
      <c r="AD3241" t="s">
        <v>452</v>
      </c>
      <c r="AE3241" s="1">
        <v>43708</v>
      </c>
      <c r="AF3241" s="1">
        <v>34941</v>
      </c>
      <c r="AG3241" t="s">
        <v>148</v>
      </c>
      <c r="AH3241" t="s">
        <v>2782</v>
      </c>
      <c r="AI3241" t="str">
        <f>"4151040"</f>
        <v>4151040</v>
      </c>
      <c r="AJ3241" t="s">
        <v>5810</v>
      </c>
      <c r="AK3241">
        <v>2831023425</v>
      </c>
      <c r="AL3241" t="s">
        <v>5811</v>
      </c>
      <c r="AM3241" t="s">
        <v>64</v>
      </c>
      <c r="AN3241" t="s">
        <v>65</v>
      </c>
      <c r="AO3241" t="s">
        <v>65</v>
      </c>
      <c r="AP3241" t="s">
        <v>65</v>
      </c>
      <c r="AQ3241">
        <v>1</v>
      </c>
      <c r="AR3241" t="s">
        <v>5644</v>
      </c>
      <c r="AS3241" t="s">
        <v>5645</v>
      </c>
      <c r="AT3241" t="s">
        <v>58</v>
      </c>
      <c r="AU3241" t="s">
        <v>68</v>
      </c>
      <c r="AV3241" t="s">
        <v>69</v>
      </c>
      <c r="AW3241" s="1">
        <v>25393</v>
      </c>
      <c r="AX3241">
        <v>2</v>
      </c>
    </row>
    <row r="3242" spans="1:50">
      <c r="A3242">
        <v>210321</v>
      </c>
      <c r="B3242" t="str">
        <f>"123448760"</f>
        <v>123448760</v>
      </c>
      <c r="C3242" t="s">
        <v>105</v>
      </c>
      <c r="D3242" t="s">
        <v>3190</v>
      </c>
      <c r="E3242" t="s">
        <v>315</v>
      </c>
      <c r="F3242" t="s">
        <v>95</v>
      </c>
      <c r="G3242" t="s">
        <v>155</v>
      </c>
      <c r="H3242" t="str">
        <f>"ΑΔΕΛΙΑΝΟΣ ΚΑΜΠΟΣ ΤΘ7045 ΡΕΘΥΜΝΟ"</f>
        <v>ΑΔΕΛΙΑΝΟΣ ΚΑΜΠΟΣ ΤΘ7045 ΡΕΘΥΜΝΟ</v>
      </c>
      <c r="I3242">
        <v>74100</v>
      </c>
      <c r="J3242">
        <v>2107622542</v>
      </c>
      <c r="K3242">
        <v>6976430089</v>
      </c>
      <c r="M3242" t="s">
        <v>6342</v>
      </c>
      <c r="N3242" t="s">
        <v>299</v>
      </c>
      <c r="O3242" t="s">
        <v>300</v>
      </c>
      <c r="R3242" t="s">
        <v>57</v>
      </c>
      <c r="S3242">
        <v>8</v>
      </c>
      <c r="T3242">
        <v>235</v>
      </c>
      <c r="U3242" s="1">
        <v>38611</v>
      </c>
      <c r="V3242" t="s">
        <v>5644</v>
      </c>
      <c r="W3242" t="s">
        <v>5645</v>
      </c>
      <c r="X3242" t="s">
        <v>58</v>
      </c>
      <c r="Y3242">
        <v>20</v>
      </c>
      <c r="Z3242" t="s">
        <v>59</v>
      </c>
      <c r="AA3242" t="s">
        <v>59</v>
      </c>
      <c r="AB3242" t="s">
        <v>59</v>
      </c>
      <c r="AC3242" t="s">
        <v>59</v>
      </c>
      <c r="AD3242" t="s">
        <v>59</v>
      </c>
      <c r="AF3242" s="1">
        <v>38615</v>
      </c>
      <c r="AG3242" t="s">
        <v>148</v>
      </c>
      <c r="AH3242" t="s">
        <v>149</v>
      </c>
      <c r="AI3242" t="str">
        <f>"4144001"</f>
        <v>4144001</v>
      </c>
      <c r="AJ3242" t="s">
        <v>5718</v>
      </c>
      <c r="AK3242">
        <v>2831033277</v>
      </c>
      <c r="AL3242" t="s">
        <v>5719</v>
      </c>
      <c r="AM3242" t="s">
        <v>64</v>
      </c>
      <c r="AN3242" t="s">
        <v>65</v>
      </c>
      <c r="AO3242" t="s">
        <v>5720</v>
      </c>
      <c r="AP3242" t="s">
        <v>5721</v>
      </c>
      <c r="AQ3242">
        <v>1</v>
      </c>
      <c r="AR3242" t="s">
        <v>5644</v>
      </c>
      <c r="AS3242" t="s">
        <v>5645</v>
      </c>
      <c r="AT3242" t="s">
        <v>58</v>
      </c>
      <c r="AU3242" t="s">
        <v>68</v>
      </c>
      <c r="AV3242" t="s">
        <v>357</v>
      </c>
      <c r="AW3242" s="1">
        <v>28856</v>
      </c>
      <c r="AX3242">
        <v>2</v>
      </c>
    </row>
    <row r="3243" spans="1:50">
      <c r="A3243">
        <v>227335</v>
      </c>
      <c r="B3243" t="str">
        <f>"034262886"</f>
        <v>034262886</v>
      </c>
      <c r="C3243" t="s">
        <v>105</v>
      </c>
      <c r="D3243" t="s">
        <v>3190</v>
      </c>
      <c r="E3243" t="s">
        <v>609</v>
      </c>
      <c r="F3243" t="s">
        <v>4097</v>
      </c>
      <c r="G3243" t="s">
        <v>335</v>
      </c>
      <c r="H3243" t="str">
        <f>"ΚΑΠ. ΜΑΡΙΓΩΣ 20 ΗΡΑΚΛΕΙΟ"</f>
        <v>ΚΑΠ. ΜΑΡΙΓΩΣ 20 ΗΡΑΚΛΕΙΟ</v>
      </c>
      <c r="I3243">
        <v>71201</v>
      </c>
      <c r="J3243">
        <v>2810237337</v>
      </c>
      <c r="K3243">
        <v>6947270489</v>
      </c>
      <c r="M3243" t="s">
        <v>6343</v>
      </c>
      <c r="N3243" t="s">
        <v>232</v>
      </c>
      <c r="O3243" t="s">
        <v>233</v>
      </c>
      <c r="R3243" t="s">
        <v>57</v>
      </c>
      <c r="S3243">
        <v>4</v>
      </c>
      <c r="T3243">
        <v>654</v>
      </c>
      <c r="U3243" s="1">
        <v>40043</v>
      </c>
      <c r="V3243" t="s">
        <v>5644</v>
      </c>
      <c r="W3243" t="s">
        <v>5645</v>
      </c>
      <c r="X3243" t="s">
        <v>58</v>
      </c>
      <c r="Y3243">
        <v>21</v>
      </c>
      <c r="Z3243" t="s">
        <v>59</v>
      </c>
      <c r="AA3243" t="s">
        <v>59</v>
      </c>
      <c r="AB3243" t="s">
        <v>59</v>
      </c>
      <c r="AC3243" t="s">
        <v>59</v>
      </c>
      <c r="AD3243" t="s">
        <v>59</v>
      </c>
      <c r="AF3243" s="1">
        <v>40045</v>
      </c>
      <c r="AG3243" t="s">
        <v>125</v>
      </c>
      <c r="AH3243" t="s">
        <v>126</v>
      </c>
      <c r="AI3243" t="str">
        <f>"4109010"</f>
        <v>4109010</v>
      </c>
      <c r="AJ3243" t="s">
        <v>5786</v>
      </c>
      <c r="AK3243">
        <v>2834041366</v>
      </c>
      <c r="AL3243" t="s">
        <v>5787</v>
      </c>
      <c r="AM3243" t="s">
        <v>64</v>
      </c>
      <c r="AN3243" t="s">
        <v>5672</v>
      </c>
      <c r="AO3243" t="s">
        <v>5698</v>
      </c>
      <c r="AP3243" t="s">
        <v>5788</v>
      </c>
      <c r="AQ3243">
        <v>2</v>
      </c>
      <c r="AR3243" t="s">
        <v>5644</v>
      </c>
      <c r="AS3243" t="s">
        <v>5645</v>
      </c>
      <c r="AT3243" t="s">
        <v>58</v>
      </c>
      <c r="AU3243" t="s">
        <v>68</v>
      </c>
      <c r="AV3243" t="s">
        <v>69</v>
      </c>
      <c r="AW3243" s="1">
        <v>23017</v>
      </c>
      <c r="AX3243">
        <v>2</v>
      </c>
    </row>
    <row r="3244" spans="1:50">
      <c r="A3244">
        <v>218536</v>
      </c>
      <c r="B3244" t="str">
        <f>"110257812"</f>
        <v>110257812</v>
      </c>
      <c r="C3244" t="s">
        <v>105</v>
      </c>
      <c r="D3244" t="s">
        <v>3190</v>
      </c>
      <c r="E3244" t="s">
        <v>989</v>
      </c>
      <c r="F3244" t="s">
        <v>95</v>
      </c>
      <c r="G3244" t="s">
        <v>255</v>
      </c>
      <c r="H3244" t="str">
        <f>"ΒΟΓΙΑΤΖΑΚΗ 1 ΡΕΘΥΜΝΟ"</f>
        <v>ΒΟΓΙΑΤΖΑΚΗ 1 ΡΕΘΥΜΝΟ</v>
      </c>
      <c r="I3244">
        <v>50100</v>
      </c>
      <c r="J3244">
        <v>2842028886</v>
      </c>
      <c r="K3244">
        <v>6934374825</v>
      </c>
      <c r="M3244" t="s">
        <v>6344</v>
      </c>
      <c r="N3244" t="s">
        <v>232</v>
      </c>
      <c r="O3244" t="s">
        <v>233</v>
      </c>
      <c r="R3244" t="s">
        <v>57</v>
      </c>
      <c r="S3244">
        <v>5</v>
      </c>
      <c r="T3244">
        <v>599</v>
      </c>
      <c r="U3244" s="1">
        <v>39310</v>
      </c>
      <c r="V3244" t="s">
        <v>5644</v>
      </c>
      <c r="W3244" t="s">
        <v>5645</v>
      </c>
      <c r="X3244" t="s">
        <v>58</v>
      </c>
      <c r="Y3244">
        <v>21</v>
      </c>
      <c r="Z3244" t="s">
        <v>59</v>
      </c>
      <c r="AA3244" t="s">
        <v>59</v>
      </c>
      <c r="AB3244" t="s">
        <v>59</v>
      </c>
      <c r="AC3244" t="s">
        <v>59</v>
      </c>
      <c r="AD3244" t="s">
        <v>59</v>
      </c>
      <c r="AF3244" s="1">
        <v>39310</v>
      </c>
      <c r="AG3244" t="s">
        <v>125</v>
      </c>
      <c r="AH3244" t="s">
        <v>126</v>
      </c>
      <c r="AI3244" t="str">
        <f>"4135001"</f>
        <v>4135001</v>
      </c>
      <c r="AJ3244" t="s">
        <v>5729</v>
      </c>
      <c r="AK3244">
        <v>2831073938</v>
      </c>
      <c r="AL3244" t="s">
        <v>5730</v>
      </c>
      <c r="AM3244" t="s">
        <v>64</v>
      </c>
      <c r="AN3244" t="s">
        <v>65</v>
      </c>
      <c r="AO3244" t="s">
        <v>65</v>
      </c>
      <c r="AP3244" t="s">
        <v>65</v>
      </c>
      <c r="AQ3244">
        <v>1</v>
      </c>
      <c r="AR3244" t="s">
        <v>5644</v>
      </c>
      <c r="AS3244" t="s">
        <v>5645</v>
      </c>
      <c r="AT3244" t="s">
        <v>58</v>
      </c>
      <c r="AU3244" t="s">
        <v>68</v>
      </c>
      <c r="AV3244" t="s">
        <v>69</v>
      </c>
      <c r="AW3244" s="1">
        <v>29716</v>
      </c>
      <c r="AX3244">
        <v>2</v>
      </c>
    </row>
    <row r="3245" spans="1:50">
      <c r="A3245">
        <v>172902</v>
      </c>
      <c r="B3245" t="str">
        <f>"042292043"</f>
        <v>042292043</v>
      </c>
      <c r="C3245" t="s">
        <v>105</v>
      </c>
      <c r="D3245" t="s">
        <v>6345</v>
      </c>
      <c r="E3245" t="s">
        <v>377</v>
      </c>
      <c r="F3245" t="s">
        <v>53</v>
      </c>
      <c r="G3245" t="s">
        <v>54</v>
      </c>
      <c r="H3245" t="str">
        <f>"44ου ΣΥΝΤΑΓΜΑΤΟΣ 5 ΡΕΘΥΜΝΟ"</f>
        <v>44ου ΣΥΝΤΑΓΜΑΤΟΣ 5 ΡΕΘΥΜΝΟ</v>
      </c>
      <c r="I3245">
        <v>74100</v>
      </c>
      <c r="K3245">
        <v>6945705635</v>
      </c>
      <c r="N3245" t="s">
        <v>176</v>
      </c>
      <c r="O3245" t="s">
        <v>177</v>
      </c>
      <c r="R3245" t="s">
        <v>57</v>
      </c>
      <c r="S3245">
        <v>14</v>
      </c>
      <c r="T3245">
        <v>103</v>
      </c>
      <c r="U3245" s="1">
        <v>34144</v>
      </c>
      <c r="V3245" t="s">
        <v>5644</v>
      </c>
      <c r="W3245" t="s">
        <v>5645</v>
      </c>
      <c r="X3245" t="s">
        <v>58</v>
      </c>
      <c r="Y3245">
        <v>18</v>
      </c>
      <c r="Z3245" t="s">
        <v>59</v>
      </c>
      <c r="AA3245" t="s">
        <v>59</v>
      </c>
      <c r="AB3245" t="s">
        <v>59</v>
      </c>
      <c r="AC3245" t="s">
        <v>59</v>
      </c>
      <c r="AD3245" t="s">
        <v>59</v>
      </c>
      <c r="AF3245" s="1">
        <v>34940</v>
      </c>
      <c r="AG3245" t="s">
        <v>148</v>
      </c>
      <c r="AH3245" t="s">
        <v>149</v>
      </c>
      <c r="AI3245" t="str">
        <f>"4151030"</f>
        <v>4151030</v>
      </c>
      <c r="AJ3245" t="s">
        <v>5681</v>
      </c>
      <c r="AK3245">
        <v>2831023422</v>
      </c>
      <c r="AL3245" t="s">
        <v>5682</v>
      </c>
      <c r="AM3245" t="s">
        <v>64</v>
      </c>
      <c r="AN3245" t="s">
        <v>65</v>
      </c>
      <c r="AO3245" t="s">
        <v>65</v>
      </c>
      <c r="AP3245" t="s">
        <v>65</v>
      </c>
      <c r="AQ3245">
        <v>1</v>
      </c>
      <c r="AR3245" t="s">
        <v>5644</v>
      </c>
      <c r="AS3245" t="s">
        <v>5645</v>
      </c>
      <c r="AT3245" t="s">
        <v>58</v>
      </c>
      <c r="AU3245" t="s">
        <v>68</v>
      </c>
      <c r="AV3245" t="s">
        <v>69</v>
      </c>
      <c r="AW3245" s="1">
        <v>21600</v>
      </c>
      <c r="AX3245">
        <v>2</v>
      </c>
    </row>
    <row r="3246" spans="1:50">
      <c r="A3246">
        <v>175629</v>
      </c>
      <c r="B3246" t="str">
        <f>"034821547"</f>
        <v>034821547</v>
      </c>
      <c r="C3246" t="s">
        <v>50</v>
      </c>
      <c r="D3246" t="s">
        <v>6346</v>
      </c>
      <c r="E3246" t="s">
        <v>52</v>
      </c>
      <c r="F3246" t="s">
        <v>6347</v>
      </c>
      <c r="G3246" t="s">
        <v>1452</v>
      </c>
      <c r="H3246" t="str">
        <f>"ΖΑΜΠΕΛΙΟΥ 47 ΡΕΘΥΜΝΟ"</f>
        <v>ΖΑΜΠΕΛΙΟΥ 47 ΡΕΘΥΜΝΟ</v>
      </c>
      <c r="I3246">
        <v>74100</v>
      </c>
      <c r="J3246">
        <v>2831051277</v>
      </c>
      <c r="K3246">
        <v>6977442028</v>
      </c>
      <c r="M3246" t="s">
        <v>6348</v>
      </c>
      <c r="N3246" t="s">
        <v>146</v>
      </c>
      <c r="O3246" t="s">
        <v>147</v>
      </c>
      <c r="R3246" t="s">
        <v>57</v>
      </c>
      <c r="S3246">
        <v>11</v>
      </c>
      <c r="T3246">
        <v>180</v>
      </c>
      <c r="U3246" s="1">
        <v>35674</v>
      </c>
      <c r="V3246" t="s">
        <v>5644</v>
      </c>
      <c r="W3246" t="s">
        <v>5645</v>
      </c>
      <c r="X3246" t="s">
        <v>58</v>
      </c>
      <c r="Y3246">
        <v>18</v>
      </c>
      <c r="Z3246" t="s">
        <v>59</v>
      </c>
      <c r="AA3246" t="s">
        <v>59</v>
      </c>
      <c r="AB3246" t="s">
        <v>59</v>
      </c>
      <c r="AC3246" t="s">
        <v>59</v>
      </c>
      <c r="AD3246" t="s">
        <v>59</v>
      </c>
      <c r="AF3246" s="1">
        <v>35676</v>
      </c>
      <c r="AG3246" t="s">
        <v>125</v>
      </c>
      <c r="AH3246" t="s">
        <v>126</v>
      </c>
      <c r="AI3246" t="str">
        <f>"4101030"</f>
        <v>4101030</v>
      </c>
      <c r="AJ3246" t="s">
        <v>5646</v>
      </c>
      <c r="AK3246">
        <v>2831022359</v>
      </c>
      <c r="AL3246" t="s">
        <v>5647</v>
      </c>
      <c r="AM3246" t="s">
        <v>64</v>
      </c>
      <c r="AN3246" t="s">
        <v>65</v>
      </c>
      <c r="AO3246" t="s">
        <v>65</v>
      </c>
      <c r="AP3246" t="s">
        <v>65</v>
      </c>
      <c r="AQ3246">
        <v>1</v>
      </c>
      <c r="AR3246" t="s">
        <v>5644</v>
      </c>
      <c r="AS3246" t="s">
        <v>5645</v>
      </c>
      <c r="AT3246" t="s">
        <v>58</v>
      </c>
      <c r="AU3246" t="s">
        <v>68</v>
      </c>
      <c r="AV3246" t="s">
        <v>69</v>
      </c>
      <c r="AW3246" s="1">
        <v>23962</v>
      </c>
      <c r="AX3246">
        <v>2</v>
      </c>
    </row>
    <row r="3247" spans="1:50">
      <c r="A3247">
        <v>167209</v>
      </c>
      <c r="B3247" t="str">
        <f>"054184477"</f>
        <v>054184477</v>
      </c>
      <c r="C3247" t="s">
        <v>105</v>
      </c>
      <c r="D3247" t="s">
        <v>3230</v>
      </c>
      <c r="E3247" t="s">
        <v>1868</v>
      </c>
      <c r="F3247" t="s">
        <v>95</v>
      </c>
      <c r="G3247" t="s">
        <v>181</v>
      </c>
      <c r="H3247" t="str">
        <f>"ΕΤΕΑΡΧΟΥ 3 ΡΕΘΥΜΝΟ"</f>
        <v>ΕΤΕΑΡΧΟΥ 3 ΡΕΘΥΜΝΟ</v>
      </c>
      <c r="I3247">
        <v>74100</v>
      </c>
      <c r="J3247">
        <v>2831053854</v>
      </c>
      <c r="K3247">
        <v>6978038681</v>
      </c>
      <c r="M3247" t="s">
        <v>6349</v>
      </c>
      <c r="N3247" t="s">
        <v>204</v>
      </c>
      <c r="O3247" t="s">
        <v>205</v>
      </c>
      <c r="R3247" t="s">
        <v>57</v>
      </c>
      <c r="S3247">
        <v>12</v>
      </c>
      <c r="T3247">
        <v>154</v>
      </c>
      <c r="U3247" s="1">
        <v>34225</v>
      </c>
      <c r="V3247" t="s">
        <v>5644</v>
      </c>
      <c r="W3247" t="s">
        <v>5645</v>
      </c>
      <c r="X3247" t="s">
        <v>58</v>
      </c>
      <c r="Y3247">
        <v>18</v>
      </c>
      <c r="Z3247" t="s">
        <v>59</v>
      </c>
      <c r="AA3247" t="s">
        <v>59</v>
      </c>
      <c r="AB3247" t="s">
        <v>59</v>
      </c>
      <c r="AC3247" t="s">
        <v>59</v>
      </c>
      <c r="AD3247" t="s">
        <v>59</v>
      </c>
      <c r="AF3247" s="1">
        <v>34225</v>
      </c>
      <c r="AG3247" t="s">
        <v>125</v>
      </c>
      <c r="AH3247" t="s">
        <v>126</v>
      </c>
      <c r="AI3247" t="str">
        <f>"4101030"</f>
        <v>4101030</v>
      </c>
      <c r="AJ3247" t="s">
        <v>5646</v>
      </c>
      <c r="AK3247">
        <v>2831022359</v>
      </c>
      <c r="AL3247" t="s">
        <v>5647</v>
      </c>
      <c r="AM3247" t="s">
        <v>64</v>
      </c>
      <c r="AN3247" t="s">
        <v>65</v>
      </c>
      <c r="AO3247" t="s">
        <v>65</v>
      </c>
      <c r="AP3247" t="s">
        <v>65</v>
      </c>
      <c r="AQ3247">
        <v>1</v>
      </c>
      <c r="AR3247" t="s">
        <v>5644</v>
      </c>
      <c r="AS3247" t="s">
        <v>5645</v>
      </c>
      <c r="AT3247" t="s">
        <v>58</v>
      </c>
      <c r="AU3247" t="s">
        <v>68</v>
      </c>
      <c r="AV3247" t="s">
        <v>69</v>
      </c>
      <c r="AW3247" s="1">
        <v>25160</v>
      </c>
      <c r="AX3247">
        <v>2</v>
      </c>
    </row>
    <row r="3248" spans="1:50">
      <c r="B3248" t="str">
        <f>"151961914"</f>
        <v>151961914</v>
      </c>
      <c r="C3248" t="s">
        <v>105</v>
      </c>
      <c r="D3248" t="s">
        <v>3230</v>
      </c>
      <c r="E3248" t="s">
        <v>72</v>
      </c>
      <c r="F3248" t="s">
        <v>609</v>
      </c>
      <c r="G3248" t="s">
        <v>460</v>
      </c>
      <c r="H3248" t="str">
        <f>" "</f>
        <v xml:space="preserve"> </v>
      </c>
      <c r="M3248" t="s">
        <v>6350</v>
      </c>
      <c r="N3248" t="s">
        <v>337</v>
      </c>
      <c r="O3248" t="s">
        <v>338</v>
      </c>
      <c r="R3248" t="s">
        <v>121</v>
      </c>
      <c r="S3248">
        <v>1</v>
      </c>
      <c r="T3248" t="s">
        <v>1908</v>
      </c>
      <c r="U3248" s="1">
        <v>43368</v>
      </c>
      <c r="V3248" t="s">
        <v>5644</v>
      </c>
      <c r="W3248" t="s">
        <v>5645</v>
      </c>
      <c r="X3248" t="s">
        <v>58</v>
      </c>
      <c r="Y3248">
        <v>23</v>
      </c>
      <c r="Z3248" t="s">
        <v>59</v>
      </c>
      <c r="AA3248" t="s">
        <v>59</v>
      </c>
      <c r="AB3248" t="s">
        <v>59</v>
      </c>
      <c r="AD3248" t="s">
        <v>59</v>
      </c>
      <c r="AF3248" s="1">
        <v>43368</v>
      </c>
      <c r="AG3248" t="s">
        <v>125</v>
      </c>
      <c r="AH3248" t="s">
        <v>294</v>
      </c>
      <c r="AI3248" t="str">
        <f>"4101045"</f>
        <v>4101045</v>
      </c>
      <c r="AJ3248" t="s">
        <v>5677</v>
      </c>
      <c r="AK3248">
        <v>2831027553</v>
      </c>
      <c r="AL3248" t="s">
        <v>5678</v>
      </c>
      <c r="AM3248" t="s">
        <v>64</v>
      </c>
      <c r="AN3248" t="s">
        <v>65</v>
      </c>
      <c r="AO3248" t="s">
        <v>65</v>
      </c>
      <c r="AP3248" t="s">
        <v>65</v>
      </c>
      <c r="AQ3248">
        <v>1</v>
      </c>
      <c r="AR3248" t="s">
        <v>5644</v>
      </c>
      <c r="AS3248" t="s">
        <v>5645</v>
      </c>
      <c r="AT3248" t="s">
        <v>58</v>
      </c>
      <c r="AU3248" t="s">
        <v>164</v>
      </c>
      <c r="AV3248" t="s">
        <v>132</v>
      </c>
      <c r="AW3248" s="1">
        <v>32474</v>
      </c>
      <c r="AX3248">
        <v>2</v>
      </c>
    </row>
    <row r="3249" spans="1:50">
      <c r="A3249">
        <v>185339</v>
      </c>
      <c r="B3249" t="str">
        <f>"075476217"</f>
        <v>075476217</v>
      </c>
      <c r="C3249" t="s">
        <v>105</v>
      </c>
      <c r="D3249" t="s">
        <v>3230</v>
      </c>
      <c r="E3249" t="s">
        <v>1543</v>
      </c>
      <c r="F3249" t="s">
        <v>95</v>
      </c>
      <c r="G3249" t="s">
        <v>411</v>
      </c>
      <c r="H3249" t="str">
        <f>"ΑΤΣΙΠΟΠΟΥΛΟ ΡΕΘΥΜΝΟΥ ΡΕΘΥΜΝΟ"</f>
        <v>ΑΤΣΙΠΟΠΟΥΛΟ ΡΕΘΥΜΝΟΥ ΡΕΘΥΜΝΟ</v>
      </c>
      <c r="I3249">
        <v>74100</v>
      </c>
      <c r="J3249">
        <v>2831071822</v>
      </c>
      <c r="K3249">
        <v>6977202432</v>
      </c>
      <c r="M3249" t="s">
        <v>6351</v>
      </c>
      <c r="N3249" t="s">
        <v>204</v>
      </c>
      <c r="O3249" t="s">
        <v>205</v>
      </c>
      <c r="R3249" t="s">
        <v>57</v>
      </c>
      <c r="S3249">
        <v>10</v>
      </c>
      <c r="T3249">
        <v>177</v>
      </c>
      <c r="U3249" s="1">
        <v>36403</v>
      </c>
      <c r="V3249" t="s">
        <v>5644</v>
      </c>
      <c r="W3249" t="s">
        <v>5645</v>
      </c>
      <c r="X3249" t="s">
        <v>58</v>
      </c>
      <c r="Y3249">
        <v>18</v>
      </c>
      <c r="Z3249" t="s">
        <v>59</v>
      </c>
      <c r="AA3249" t="s">
        <v>59</v>
      </c>
      <c r="AB3249" t="s">
        <v>59</v>
      </c>
      <c r="AC3249" t="s">
        <v>59</v>
      </c>
      <c r="AD3249" t="s">
        <v>59</v>
      </c>
      <c r="AF3249" s="1">
        <v>36403</v>
      </c>
      <c r="AG3249" t="s">
        <v>125</v>
      </c>
      <c r="AH3249" t="s">
        <v>126</v>
      </c>
      <c r="AI3249" t="str">
        <f>"4101030"</f>
        <v>4101030</v>
      </c>
      <c r="AJ3249" t="s">
        <v>5646</v>
      </c>
      <c r="AK3249">
        <v>2831022359</v>
      </c>
      <c r="AL3249" t="s">
        <v>5647</v>
      </c>
      <c r="AM3249" t="s">
        <v>64</v>
      </c>
      <c r="AN3249" t="s">
        <v>65</v>
      </c>
      <c r="AO3249" t="s">
        <v>65</v>
      </c>
      <c r="AP3249" t="s">
        <v>65</v>
      </c>
      <c r="AQ3249">
        <v>1</v>
      </c>
      <c r="AR3249" t="s">
        <v>5644</v>
      </c>
      <c r="AS3249" t="s">
        <v>5645</v>
      </c>
      <c r="AT3249" t="s">
        <v>58</v>
      </c>
      <c r="AU3249" t="s">
        <v>68</v>
      </c>
      <c r="AV3249" t="s">
        <v>357</v>
      </c>
      <c r="AW3249" s="1">
        <v>24910</v>
      </c>
      <c r="AX3249">
        <v>2</v>
      </c>
    </row>
    <row r="3250" spans="1:50">
      <c r="B3250" t="str">
        <f>"069019769"</f>
        <v>069019769</v>
      </c>
      <c r="C3250" t="s">
        <v>105</v>
      </c>
      <c r="D3250" t="s">
        <v>3230</v>
      </c>
      <c r="E3250" t="s">
        <v>581</v>
      </c>
      <c r="F3250" t="s">
        <v>450</v>
      </c>
      <c r="G3250" t="s">
        <v>52</v>
      </c>
      <c r="H3250" t="str">
        <f>"ΚΑΠΟΔΙΣΤΡΙΟΥ 40 "</f>
        <v xml:space="preserve">ΚΑΠΟΔΙΣΤΡΙΟΥ 40 </v>
      </c>
      <c r="I3250">
        <v>74100</v>
      </c>
      <c r="J3250">
        <v>2831053627</v>
      </c>
      <c r="K3250">
        <v>6977263763</v>
      </c>
      <c r="N3250" t="s">
        <v>146</v>
      </c>
      <c r="O3250" t="s">
        <v>147</v>
      </c>
      <c r="R3250" t="s">
        <v>159</v>
      </c>
      <c r="S3250">
        <v>4</v>
      </c>
      <c r="T3250" t="s">
        <v>160</v>
      </c>
      <c r="U3250" s="1">
        <v>43364</v>
      </c>
      <c r="V3250" t="s">
        <v>5644</v>
      </c>
      <c r="W3250" t="s">
        <v>5645</v>
      </c>
      <c r="X3250" t="s">
        <v>58</v>
      </c>
      <c r="Y3250">
        <v>21</v>
      </c>
      <c r="Z3250" t="s">
        <v>59</v>
      </c>
      <c r="AA3250" t="s">
        <v>59</v>
      </c>
      <c r="AB3250" t="s">
        <v>59</v>
      </c>
      <c r="AC3250" t="s">
        <v>59</v>
      </c>
      <c r="AD3250" t="s">
        <v>59</v>
      </c>
      <c r="AF3250" s="1">
        <v>43367</v>
      </c>
      <c r="AG3250" t="s">
        <v>125</v>
      </c>
      <c r="AH3250" t="s">
        <v>126</v>
      </c>
      <c r="AI3250" t="str">
        <f>"4102010"</f>
        <v>4102010</v>
      </c>
      <c r="AJ3250" t="s">
        <v>5735</v>
      </c>
      <c r="AK3250">
        <v>2834031331</v>
      </c>
      <c r="AL3250" t="s">
        <v>5736</v>
      </c>
      <c r="AM3250" t="s">
        <v>64</v>
      </c>
      <c r="AN3250" t="s">
        <v>5737</v>
      </c>
      <c r="AO3250" t="s">
        <v>5737</v>
      </c>
      <c r="AP3250" t="s">
        <v>5737</v>
      </c>
      <c r="AQ3250">
        <v>3</v>
      </c>
      <c r="AR3250" t="s">
        <v>5644</v>
      </c>
      <c r="AS3250" t="s">
        <v>5645</v>
      </c>
      <c r="AT3250" t="s">
        <v>58</v>
      </c>
      <c r="AU3250" t="s">
        <v>164</v>
      </c>
      <c r="AV3250" t="s">
        <v>132</v>
      </c>
      <c r="AW3250" s="1">
        <v>27968</v>
      </c>
      <c r="AX3250">
        <v>2</v>
      </c>
    </row>
    <row r="3251" spans="1:50">
      <c r="A3251">
        <v>164162</v>
      </c>
      <c r="B3251" t="str">
        <f>"063079509"</f>
        <v>063079509</v>
      </c>
      <c r="C3251" t="s">
        <v>50</v>
      </c>
      <c r="D3251" t="s">
        <v>3232</v>
      </c>
      <c r="E3251" t="s">
        <v>569</v>
      </c>
      <c r="F3251" t="s">
        <v>99</v>
      </c>
      <c r="G3251" t="s">
        <v>1019</v>
      </c>
      <c r="H3251" t="str">
        <f>"ΤΕΡΜΑ ΚΡΙΑΡΗ 81 ΡΕΘΥΜΝΟ"</f>
        <v>ΤΕΡΜΑ ΚΡΙΑΡΗ 81 ΡΕΘΥΜΝΟ</v>
      </c>
      <c r="I3251">
        <v>74100</v>
      </c>
      <c r="K3251">
        <v>6976159891</v>
      </c>
      <c r="M3251" t="s">
        <v>6352</v>
      </c>
      <c r="N3251" t="s">
        <v>146</v>
      </c>
      <c r="O3251" t="s">
        <v>147</v>
      </c>
      <c r="R3251" t="s">
        <v>57</v>
      </c>
      <c r="S3251">
        <v>14</v>
      </c>
      <c r="T3251">
        <v>161</v>
      </c>
      <c r="U3251" s="1">
        <v>33844</v>
      </c>
      <c r="V3251" t="s">
        <v>5644</v>
      </c>
      <c r="W3251" t="s">
        <v>5645</v>
      </c>
      <c r="X3251" t="s">
        <v>58</v>
      </c>
      <c r="Y3251">
        <v>18</v>
      </c>
      <c r="Z3251" t="s">
        <v>59</v>
      </c>
      <c r="AA3251" t="s">
        <v>59</v>
      </c>
      <c r="AB3251" t="s">
        <v>59</v>
      </c>
      <c r="AC3251" t="s">
        <v>59</v>
      </c>
      <c r="AD3251" t="s">
        <v>59</v>
      </c>
      <c r="AF3251" s="1">
        <v>33844</v>
      </c>
      <c r="AG3251" t="s">
        <v>148</v>
      </c>
      <c r="AH3251" t="s">
        <v>149</v>
      </c>
      <c r="AI3251" t="str">
        <f>"4151030"</f>
        <v>4151030</v>
      </c>
      <c r="AJ3251" t="s">
        <v>5681</v>
      </c>
      <c r="AK3251">
        <v>2831023422</v>
      </c>
      <c r="AL3251" t="s">
        <v>5682</v>
      </c>
      <c r="AM3251" t="s">
        <v>64</v>
      </c>
      <c r="AN3251" t="s">
        <v>65</v>
      </c>
      <c r="AO3251" t="s">
        <v>65</v>
      </c>
      <c r="AP3251" t="s">
        <v>65</v>
      </c>
      <c r="AQ3251">
        <v>1</v>
      </c>
      <c r="AR3251" t="s">
        <v>5644</v>
      </c>
      <c r="AS3251" t="s">
        <v>5645</v>
      </c>
      <c r="AT3251" t="s">
        <v>58</v>
      </c>
      <c r="AU3251" t="s">
        <v>68</v>
      </c>
      <c r="AV3251" t="s">
        <v>69</v>
      </c>
      <c r="AW3251" s="1">
        <v>22436</v>
      </c>
      <c r="AX3251">
        <v>2</v>
      </c>
    </row>
    <row r="3252" spans="1:50">
      <c r="A3252">
        <v>201840</v>
      </c>
      <c r="B3252" t="str">
        <f>"043853358"</f>
        <v>043853358</v>
      </c>
      <c r="C3252" t="s">
        <v>50</v>
      </c>
      <c r="D3252" t="s">
        <v>3232</v>
      </c>
      <c r="E3252" t="s">
        <v>681</v>
      </c>
      <c r="F3252" t="s">
        <v>3049</v>
      </c>
      <c r="G3252" t="s">
        <v>6353</v>
      </c>
      <c r="H3252" t="str">
        <f>"ΒΑΡΔΙΝΟΓΙΑΝΝΗ 19 ΡΕΘΥΜΝΟ"</f>
        <v>ΒΑΡΔΙΝΟΓΙΑΝΝΗ 19 ΡΕΘΥΜΝΟ</v>
      </c>
      <c r="I3252">
        <v>74100</v>
      </c>
      <c r="J3252">
        <v>2286022343</v>
      </c>
      <c r="K3252">
        <v>6977579830</v>
      </c>
      <c r="N3252" t="s">
        <v>146</v>
      </c>
      <c r="O3252" t="s">
        <v>147</v>
      </c>
      <c r="R3252" t="s">
        <v>57</v>
      </c>
      <c r="S3252">
        <v>10</v>
      </c>
      <c r="T3252">
        <v>231</v>
      </c>
      <c r="U3252" s="1">
        <v>38230</v>
      </c>
      <c r="V3252" t="s">
        <v>5644</v>
      </c>
      <c r="W3252" t="s">
        <v>5645</v>
      </c>
      <c r="X3252" t="s">
        <v>58</v>
      </c>
      <c r="Y3252">
        <v>18</v>
      </c>
      <c r="Z3252" t="s">
        <v>59</v>
      </c>
      <c r="AA3252" t="s">
        <v>59</v>
      </c>
      <c r="AB3252" t="s">
        <v>59</v>
      </c>
      <c r="AC3252" t="s">
        <v>59</v>
      </c>
      <c r="AD3252" t="s">
        <v>59</v>
      </c>
      <c r="AF3252" s="1">
        <v>38230</v>
      </c>
      <c r="AG3252" t="s">
        <v>125</v>
      </c>
      <c r="AH3252" t="s">
        <v>294</v>
      </c>
      <c r="AI3252" t="str">
        <f>"4101045"</f>
        <v>4101045</v>
      </c>
      <c r="AJ3252" t="s">
        <v>5677</v>
      </c>
      <c r="AK3252">
        <v>2831027553</v>
      </c>
      <c r="AL3252" t="s">
        <v>5678</v>
      </c>
      <c r="AM3252" t="s">
        <v>64</v>
      </c>
      <c r="AN3252" t="s">
        <v>65</v>
      </c>
      <c r="AO3252" t="s">
        <v>65</v>
      </c>
      <c r="AP3252" t="s">
        <v>65</v>
      </c>
      <c r="AQ3252">
        <v>1</v>
      </c>
      <c r="AR3252" t="s">
        <v>5644</v>
      </c>
      <c r="AS3252" t="s">
        <v>5645</v>
      </c>
      <c r="AT3252" t="s">
        <v>58</v>
      </c>
      <c r="AU3252" t="s">
        <v>68</v>
      </c>
      <c r="AV3252" t="s">
        <v>69</v>
      </c>
      <c r="AW3252" s="1">
        <v>24907</v>
      </c>
      <c r="AX3252">
        <v>2</v>
      </c>
    </row>
    <row r="3253" spans="1:50">
      <c r="B3253" t="str">
        <f>"079467550"</f>
        <v>079467550</v>
      </c>
      <c r="C3253" t="s">
        <v>50</v>
      </c>
      <c r="D3253" t="s">
        <v>6354</v>
      </c>
      <c r="E3253" t="s">
        <v>6355</v>
      </c>
      <c r="F3253" t="s">
        <v>99</v>
      </c>
      <c r="G3253" t="s">
        <v>83</v>
      </c>
      <c r="H3253" t="str">
        <f>"Π. ΚΟΡΩΝΑΙΟΥ 90 ΡΕΘΥΜΝΟ"</f>
        <v>Π. ΚΟΡΩΝΑΙΟΥ 90 ΡΕΘΥΜΝΟ</v>
      </c>
      <c r="I3253">
        <v>74100</v>
      </c>
      <c r="J3253">
        <v>2831053643</v>
      </c>
      <c r="K3253">
        <v>6973553488</v>
      </c>
      <c r="N3253" t="s">
        <v>536</v>
      </c>
      <c r="O3253" t="s">
        <v>537</v>
      </c>
      <c r="R3253" t="s">
        <v>159</v>
      </c>
      <c r="S3253">
        <v>3</v>
      </c>
      <c r="T3253" t="s">
        <v>122</v>
      </c>
      <c r="U3253" s="1">
        <v>43348</v>
      </c>
      <c r="V3253" t="s">
        <v>5644</v>
      </c>
      <c r="W3253" t="s">
        <v>5645</v>
      </c>
      <c r="X3253" t="s">
        <v>58</v>
      </c>
      <c r="Y3253">
        <v>23</v>
      </c>
      <c r="Z3253" t="s">
        <v>59</v>
      </c>
      <c r="AA3253" t="s">
        <v>59</v>
      </c>
      <c r="AB3253" t="s">
        <v>59</v>
      </c>
      <c r="AC3253" t="s">
        <v>59</v>
      </c>
      <c r="AD3253" t="s">
        <v>59</v>
      </c>
      <c r="AF3253" s="1">
        <v>43348</v>
      </c>
      <c r="AG3253" t="s">
        <v>125</v>
      </c>
      <c r="AH3253" t="s">
        <v>126</v>
      </c>
      <c r="AI3253" t="str">
        <f>"4101040"</f>
        <v>4101040</v>
      </c>
      <c r="AJ3253" t="s">
        <v>5732</v>
      </c>
      <c r="AK3253">
        <v>2831029261</v>
      </c>
      <c r="AL3253" t="s">
        <v>5733</v>
      </c>
      <c r="AM3253" t="s">
        <v>64</v>
      </c>
      <c r="AN3253" t="s">
        <v>65</v>
      </c>
      <c r="AO3253" t="s">
        <v>65</v>
      </c>
      <c r="AP3253" t="s">
        <v>65</v>
      </c>
      <c r="AQ3253">
        <v>1</v>
      </c>
      <c r="AR3253" t="s">
        <v>5644</v>
      </c>
      <c r="AS3253" t="s">
        <v>5645</v>
      </c>
      <c r="AT3253" t="s">
        <v>58</v>
      </c>
      <c r="AU3253" t="s">
        <v>131</v>
      </c>
      <c r="AV3253" t="s">
        <v>132</v>
      </c>
      <c r="AW3253" s="1">
        <v>30456</v>
      </c>
      <c r="AX3253">
        <v>2</v>
      </c>
    </row>
    <row r="3254" spans="1:50">
      <c r="A3254">
        <v>701312</v>
      </c>
      <c r="B3254" t="str">
        <f>"100985623"</f>
        <v>100985623</v>
      </c>
      <c r="C3254" t="s">
        <v>50</v>
      </c>
      <c r="D3254" t="s">
        <v>3242</v>
      </c>
      <c r="E3254" t="s">
        <v>255</v>
      </c>
      <c r="F3254" t="s">
        <v>99</v>
      </c>
      <c r="G3254" t="s">
        <v>181</v>
      </c>
      <c r="H3254" t="str">
        <f>"ΛΕΥΚΑΔΟΣ 13 ΚΑΡΔΙΤΣΑ"</f>
        <v>ΛΕΥΚΑΔΟΣ 13 ΚΑΡΔΙΤΣΑ</v>
      </c>
      <c r="I3254">
        <v>43100</v>
      </c>
      <c r="J3254">
        <v>2441042119</v>
      </c>
      <c r="K3254">
        <v>6937324602</v>
      </c>
      <c r="M3254" t="s">
        <v>6356</v>
      </c>
      <c r="N3254" t="s">
        <v>189</v>
      </c>
      <c r="O3254" t="s">
        <v>190</v>
      </c>
      <c r="R3254" t="s">
        <v>57</v>
      </c>
      <c r="S3254">
        <v>6</v>
      </c>
      <c r="T3254">
        <v>772</v>
      </c>
      <c r="U3254" s="1">
        <v>40413</v>
      </c>
      <c r="V3254" t="s">
        <v>5644</v>
      </c>
      <c r="W3254" t="s">
        <v>5645</v>
      </c>
      <c r="X3254" t="s">
        <v>58</v>
      </c>
      <c r="Y3254">
        <v>21</v>
      </c>
      <c r="Z3254" t="s">
        <v>59</v>
      </c>
      <c r="AA3254" t="s">
        <v>59</v>
      </c>
      <c r="AB3254" t="s">
        <v>59</v>
      </c>
      <c r="AC3254" t="s">
        <v>59</v>
      </c>
      <c r="AD3254" t="s">
        <v>59</v>
      </c>
      <c r="AF3254" s="1">
        <v>40413</v>
      </c>
      <c r="AG3254" t="s">
        <v>125</v>
      </c>
      <c r="AH3254" t="s">
        <v>126</v>
      </c>
      <c r="AI3254" t="str">
        <f>"4101020"</f>
        <v>4101020</v>
      </c>
      <c r="AJ3254" t="s">
        <v>5652</v>
      </c>
      <c r="AK3254">
        <v>2831023560</v>
      </c>
      <c r="AL3254" t="s">
        <v>5653</v>
      </c>
      <c r="AM3254" t="s">
        <v>64</v>
      </c>
      <c r="AN3254" t="s">
        <v>65</v>
      </c>
      <c r="AO3254" t="s">
        <v>65</v>
      </c>
      <c r="AP3254" t="s">
        <v>65</v>
      </c>
      <c r="AQ3254">
        <v>1</v>
      </c>
      <c r="AR3254" t="s">
        <v>5644</v>
      </c>
      <c r="AS3254" t="s">
        <v>5645</v>
      </c>
      <c r="AT3254" t="s">
        <v>58</v>
      </c>
      <c r="AU3254" t="s">
        <v>68</v>
      </c>
      <c r="AV3254" t="s">
        <v>69</v>
      </c>
      <c r="AW3254" s="1">
        <v>29725</v>
      </c>
      <c r="AX3254">
        <v>2</v>
      </c>
    </row>
    <row r="3255" spans="1:50">
      <c r="A3255">
        <v>197868</v>
      </c>
      <c r="B3255" t="str">
        <f>"030606973"</f>
        <v>030606973</v>
      </c>
      <c r="C3255" t="s">
        <v>50</v>
      </c>
      <c r="D3255" t="s">
        <v>3243</v>
      </c>
      <c r="E3255" t="s">
        <v>545</v>
      </c>
      <c r="F3255" t="s">
        <v>99</v>
      </c>
      <c r="G3255" t="s">
        <v>112</v>
      </c>
      <c r="H3255" t="str">
        <f>"ΧΑΡΙΤΑΚΗ 9  ΡΕΘΥΜΝΟ"</f>
        <v>ΧΑΡΙΤΑΚΗ 9  ΡΕΘΥΜΝΟ</v>
      </c>
      <c r="I3255">
        <v>74100</v>
      </c>
      <c r="J3255">
        <v>2831032397</v>
      </c>
      <c r="K3255">
        <v>6973403805</v>
      </c>
      <c r="N3255" t="s">
        <v>292</v>
      </c>
      <c r="O3255" t="s">
        <v>293</v>
      </c>
      <c r="R3255" t="s">
        <v>57</v>
      </c>
      <c r="S3255">
        <v>7</v>
      </c>
      <c r="T3255">
        <v>206</v>
      </c>
      <c r="U3255" s="1">
        <v>37866</v>
      </c>
      <c r="V3255" t="s">
        <v>5644</v>
      </c>
      <c r="W3255" t="s">
        <v>5645</v>
      </c>
      <c r="X3255" t="s">
        <v>58</v>
      </c>
      <c r="Y3255">
        <v>20</v>
      </c>
      <c r="Z3255" t="s">
        <v>59</v>
      </c>
      <c r="AA3255" t="s">
        <v>59</v>
      </c>
      <c r="AB3255" t="s">
        <v>59</v>
      </c>
      <c r="AC3255" t="s">
        <v>59</v>
      </c>
      <c r="AD3255" t="s">
        <v>59</v>
      </c>
      <c r="AF3255" s="1">
        <v>37866</v>
      </c>
      <c r="AG3255" t="s">
        <v>125</v>
      </c>
      <c r="AH3255" t="s">
        <v>294</v>
      </c>
      <c r="AI3255" t="str">
        <f>"4101045"</f>
        <v>4101045</v>
      </c>
      <c r="AJ3255" t="s">
        <v>5677</v>
      </c>
      <c r="AK3255">
        <v>2831027553</v>
      </c>
      <c r="AL3255" t="s">
        <v>5678</v>
      </c>
      <c r="AM3255" t="s">
        <v>64</v>
      </c>
      <c r="AN3255" t="s">
        <v>65</v>
      </c>
      <c r="AO3255" t="s">
        <v>65</v>
      </c>
      <c r="AP3255" t="s">
        <v>65</v>
      </c>
      <c r="AQ3255">
        <v>1</v>
      </c>
      <c r="AR3255" t="s">
        <v>5644</v>
      </c>
      <c r="AS3255" t="s">
        <v>5645</v>
      </c>
      <c r="AT3255" t="s">
        <v>58</v>
      </c>
      <c r="AU3255" t="s">
        <v>68</v>
      </c>
      <c r="AV3255" t="s">
        <v>69</v>
      </c>
      <c r="AW3255" s="1">
        <v>24154</v>
      </c>
      <c r="AX3255">
        <v>2</v>
      </c>
    </row>
    <row r="3256" spans="1:50">
      <c r="A3256">
        <v>209951</v>
      </c>
      <c r="B3256" t="str">
        <f>"045616489"</f>
        <v>045616489</v>
      </c>
      <c r="C3256" t="s">
        <v>50</v>
      </c>
      <c r="D3256" t="s">
        <v>3245</v>
      </c>
      <c r="E3256" t="s">
        <v>181</v>
      </c>
      <c r="F3256" t="s">
        <v>99</v>
      </c>
      <c r="G3256" t="s">
        <v>54</v>
      </c>
      <c r="H3256" t="str">
        <f>"ΠΡΙΝΕΣ ΡΕΘΥΜΝΟ"</f>
        <v>ΠΡΙΝΕΣ ΡΕΘΥΜΝΟ</v>
      </c>
      <c r="I3256">
        <v>74100</v>
      </c>
      <c r="J3256">
        <v>2831031450</v>
      </c>
      <c r="K3256">
        <v>6999131450</v>
      </c>
      <c r="N3256" t="s">
        <v>292</v>
      </c>
      <c r="O3256" t="s">
        <v>293</v>
      </c>
      <c r="R3256" t="s">
        <v>57</v>
      </c>
      <c r="S3256">
        <v>7</v>
      </c>
      <c r="T3256">
        <v>225</v>
      </c>
      <c r="U3256" s="1">
        <v>38604</v>
      </c>
      <c r="V3256" t="s">
        <v>5644</v>
      </c>
      <c r="W3256" t="s">
        <v>5645</v>
      </c>
      <c r="X3256" t="s">
        <v>58</v>
      </c>
      <c r="Y3256">
        <v>20</v>
      </c>
      <c r="Z3256" t="s">
        <v>59</v>
      </c>
      <c r="AA3256" t="s">
        <v>59</v>
      </c>
      <c r="AB3256" t="s">
        <v>59</v>
      </c>
      <c r="AC3256" t="s">
        <v>59</v>
      </c>
      <c r="AD3256" t="s">
        <v>59</v>
      </c>
      <c r="AF3256" s="1">
        <v>38608</v>
      </c>
      <c r="AG3256" t="s">
        <v>125</v>
      </c>
      <c r="AH3256" t="s">
        <v>126</v>
      </c>
      <c r="AI3256" t="str">
        <f>"4101010"</f>
        <v>4101010</v>
      </c>
      <c r="AJ3256" t="s">
        <v>5814</v>
      </c>
      <c r="AK3256">
        <v>2831022283</v>
      </c>
      <c r="AL3256" t="s">
        <v>5815</v>
      </c>
      <c r="AM3256" t="s">
        <v>64</v>
      </c>
      <c r="AN3256" t="s">
        <v>65</v>
      </c>
      <c r="AO3256" t="s">
        <v>65</v>
      </c>
      <c r="AP3256" t="s">
        <v>65</v>
      </c>
      <c r="AQ3256">
        <v>1</v>
      </c>
      <c r="AR3256" t="s">
        <v>5644</v>
      </c>
      <c r="AS3256" t="s">
        <v>5645</v>
      </c>
      <c r="AT3256" t="s">
        <v>58</v>
      </c>
      <c r="AU3256" t="s">
        <v>68</v>
      </c>
      <c r="AV3256" t="s">
        <v>69</v>
      </c>
      <c r="AW3256" s="1">
        <v>26019</v>
      </c>
      <c r="AX3256">
        <v>2</v>
      </c>
    </row>
    <row r="3257" spans="1:50">
      <c r="B3257" t="str">
        <f>"066380559"</f>
        <v>066380559</v>
      </c>
      <c r="C3257" t="s">
        <v>50</v>
      </c>
      <c r="D3257" t="s">
        <v>6357</v>
      </c>
      <c r="E3257" t="s">
        <v>476</v>
      </c>
      <c r="F3257" t="s">
        <v>106</v>
      </c>
      <c r="G3257" t="s">
        <v>52</v>
      </c>
      <c r="H3257" t="str">
        <f>" "</f>
        <v xml:space="preserve"> </v>
      </c>
      <c r="K3257">
        <v>6948003773</v>
      </c>
      <c r="N3257" t="s">
        <v>246</v>
      </c>
      <c r="O3257" t="s">
        <v>247</v>
      </c>
      <c r="R3257" t="s">
        <v>159</v>
      </c>
      <c r="S3257">
        <v>2</v>
      </c>
      <c r="T3257" t="s">
        <v>160</v>
      </c>
      <c r="U3257" s="1">
        <v>43364</v>
      </c>
      <c r="V3257" t="s">
        <v>5644</v>
      </c>
      <c r="W3257" t="s">
        <v>5645</v>
      </c>
      <c r="X3257" t="s">
        <v>58</v>
      </c>
      <c r="Y3257">
        <v>23</v>
      </c>
      <c r="Z3257" t="s">
        <v>59</v>
      </c>
      <c r="AA3257" t="s">
        <v>59</v>
      </c>
      <c r="AB3257" t="s">
        <v>59</v>
      </c>
      <c r="AC3257" t="s">
        <v>59</v>
      </c>
      <c r="AD3257" t="s">
        <v>59</v>
      </c>
      <c r="AF3257" s="1">
        <v>43367</v>
      </c>
      <c r="AG3257" t="s">
        <v>148</v>
      </c>
      <c r="AH3257" t="s">
        <v>149</v>
      </c>
      <c r="AI3257" t="str">
        <f>"4154010"</f>
        <v>4154010</v>
      </c>
      <c r="AJ3257" t="s">
        <v>5687</v>
      </c>
      <c r="AK3257">
        <v>2834023300</v>
      </c>
      <c r="AL3257" t="s">
        <v>5688</v>
      </c>
      <c r="AM3257" t="s">
        <v>64</v>
      </c>
      <c r="AN3257" t="s">
        <v>5672</v>
      </c>
      <c r="AO3257" t="s">
        <v>5673</v>
      </c>
      <c r="AP3257" t="s">
        <v>5689</v>
      </c>
      <c r="AQ3257">
        <v>2</v>
      </c>
      <c r="AR3257" t="s">
        <v>5644</v>
      </c>
      <c r="AS3257" t="s">
        <v>5645</v>
      </c>
      <c r="AT3257" t="s">
        <v>58</v>
      </c>
      <c r="AU3257" t="s">
        <v>164</v>
      </c>
      <c r="AV3257" t="s">
        <v>132</v>
      </c>
      <c r="AW3257" s="1">
        <v>28060</v>
      </c>
      <c r="AX3257">
        <v>2</v>
      </c>
    </row>
    <row r="3258" spans="1:50">
      <c r="A3258">
        <v>225754</v>
      </c>
      <c r="B3258" t="str">
        <f>"064204440"</f>
        <v>064204440</v>
      </c>
      <c r="C3258" t="s">
        <v>105</v>
      </c>
      <c r="D3258" t="s">
        <v>6357</v>
      </c>
      <c r="E3258" t="s">
        <v>631</v>
      </c>
      <c r="F3258" t="s">
        <v>670</v>
      </c>
      <c r="G3258" t="s">
        <v>155</v>
      </c>
      <c r="H3258" t="str">
        <f>"ΖΑΜΠΕΛΙΟΥ 5 ΡΕΘΥΜΝΟ"</f>
        <v>ΖΑΜΠΕΛΙΟΥ 5 ΡΕΘΥΜΝΟ</v>
      </c>
      <c r="I3258">
        <v>74100</v>
      </c>
      <c r="J3258">
        <v>2831042989</v>
      </c>
      <c r="K3258">
        <v>6934602857</v>
      </c>
      <c r="M3258" t="s">
        <v>6358</v>
      </c>
      <c r="N3258" t="s">
        <v>232</v>
      </c>
      <c r="O3258" t="s">
        <v>233</v>
      </c>
      <c r="R3258" t="s">
        <v>57</v>
      </c>
      <c r="S3258">
        <v>7</v>
      </c>
      <c r="T3258">
        <v>862</v>
      </c>
      <c r="U3258" s="1">
        <v>39706</v>
      </c>
      <c r="V3258" t="s">
        <v>5644</v>
      </c>
      <c r="W3258" t="s">
        <v>5645</v>
      </c>
      <c r="X3258" t="s">
        <v>58</v>
      </c>
      <c r="Y3258">
        <v>21</v>
      </c>
      <c r="Z3258" t="s">
        <v>59</v>
      </c>
      <c r="AA3258" t="s">
        <v>59</v>
      </c>
      <c r="AB3258" t="s">
        <v>59</v>
      </c>
      <c r="AC3258" t="s">
        <v>59</v>
      </c>
      <c r="AD3258" t="s">
        <v>59</v>
      </c>
      <c r="AF3258" s="1">
        <v>39709</v>
      </c>
      <c r="AG3258" t="s">
        <v>148</v>
      </c>
      <c r="AH3258" t="s">
        <v>149</v>
      </c>
      <c r="AI3258" t="str">
        <f>"4153010"</f>
        <v>4153010</v>
      </c>
      <c r="AJ3258" t="s">
        <v>5670</v>
      </c>
      <c r="AK3258">
        <v>2834052090</v>
      </c>
      <c r="AL3258" t="s">
        <v>5671</v>
      </c>
      <c r="AM3258" t="s">
        <v>64</v>
      </c>
      <c r="AN3258" t="s">
        <v>5672</v>
      </c>
      <c r="AO3258" t="s">
        <v>5673</v>
      </c>
      <c r="AP3258" t="s">
        <v>5674</v>
      </c>
      <c r="AQ3258">
        <v>2</v>
      </c>
      <c r="AR3258" t="s">
        <v>5644</v>
      </c>
      <c r="AS3258" t="s">
        <v>5645</v>
      </c>
      <c r="AT3258" t="s">
        <v>58</v>
      </c>
      <c r="AU3258" t="s">
        <v>68</v>
      </c>
      <c r="AV3258" t="s">
        <v>69</v>
      </c>
      <c r="AW3258" s="1">
        <v>26340</v>
      </c>
      <c r="AX3258">
        <v>2</v>
      </c>
    </row>
    <row r="3259" spans="1:50">
      <c r="A3259">
        <v>202408</v>
      </c>
      <c r="B3259" t="str">
        <f>"037395664"</f>
        <v>037395664</v>
      </c>
      <c r="C3259" t="s">
        <v>105</v>
      </c>
      <c r="D3259" t="s">
        <v>6359</v>
      </c>
      <c r="E3259" t="s">
        <v>450</v>
      </c>
      <c r="F3259" t="s">
        <v>72</v>
      </c>
      <c r="G3259" t="s">
        <v>910</v>
      </c>
      <c r="H3259" t="str">
        <f>"ΓΑΛΛΟΣ ΡΕΘΥΜΝΟ"</f>
        <v>ΓΑΛΛΟΣ ΡΕΘΥΜΝΟ</v>
      </c>
      <c r="I3259">
        <v>74100</v>
      </c>
      <c r="J3259">
        <v>2281087222</v>
      </c>
      <c r="K3259">
        <v>6974885777</v>
      </c>
      <c r="L3259">
        <v>2104120445</v>
      </c>
      <c r="M3259" t="s">
        <v>6360</v>
      </c>
      <c r="N3259" t="s">
        <v>292</v>
      </c>
      <c r="O3259" t="s">
        <v>293</v>
      </c>
      <c r="R3259" t="s">
        <v>57</v>
      </c>
      <c r="S3259">
        <v>9</v>
      </c>
      <c r="T3259">
        <v>231</v>
      </c>
      <c r="U3259" s="1">
        <v>38230</v>
      </c>
      <c r="V3259" t="s">
        <v>5644</v>
      </c>
      <c r="W3259" t="s">
        <v>5645</v>
      </c>
      <c r="X3259" t="s">
        <v>58</v>
      </c>
      <c r="Y3259">
        <v>20</v>
      </c>
      <c r="Z3259" t="s">
        <v>59</v>
      </c>
      <c r="AA3259" t="s">
        <v>59</v>
      </c>
      <c r="AB3259" t="s">
        <v>59</v>
      </c>
      <c r="AC3259" t="s">
        <v>59</v>
      </c>
      <c r="AD3259" t="s">
        <v>59</v>
      </c>
      <c r="AF3259" s="1">
        <v>38236</v>
      </c>
      <c r="AG3259" t="s">
        <v>125</v>
      </c>
      <c r="AH3259" t="s">
        <v>126</v>
      </c>
      <c r="AI3259" t="str">
        <f>"4101010"</f>
        <v>4101010</v>
      </c>
      <c r="AJ3259" t="s">
        <v>5814</v>
      </c>
      <c r="AK3259">
        <v>2831022283</v>
      </c>
      <c r="AL3259" t="s">
        <v>5815</v>
      </c>
      <c r="AM3259" t="s">
        <v>64</v>
      </c>
      <c r="AN3259" t="s">
        <v>65</v>
      </c>
      <c r="AO3259" t="s">
        <v>65</v>
      </c>
      <c r="AP3259" t="s">
        <v>65</v>
      </c>
      <c r="AQ3259">
        <v>1</v>
      </c>
      <c r="AR3259" t="s">
        <v>5644</v>
      </c>
      <c r="AS3259" t="s">
        <v>5645</v>
      </c>
      <c r="AT3259" t="s">
        <v>58</v>
      </c>
      <c r="AU3259" t="s">
        <v>68</v>
      </c>
      <c r="AV3259" t="s">
        <v>69</v>
      </c>
      <c r="AW3259" s="1">
        <v>24061</v>
      </c>
      <c r="AX3259">
        <v>2</v>
      </c>
    </row>
    <row r="3260" spans="1:50">
      <c r="A3260">
        <v>226303</v>
      </c>
      <c r="B3260" t="str">
        <f>"039391673"</f>
        <v>039391673</v>
      </c>
      <c r="C3260" t="s">
        <v>50</v>
      </c>
      <c r="D3260" t="s">
        <v>6361</v>
      </c>
      <c r="E3260" t="s">
        <v>367</v>
      </c>
      <c r="F3260" t="s">
        <v>459</v>
      </c>
      <c r="G3260" t="s">
        <v>414</v>
      </c>
      <c r="H3260" t="str">
        <f>"Μ.ΚΟΤΟΠΟΥΛΗ 68 ΙΩΑΝΝΙΝΑ"</f>
        <v>Μ.ΚΟΤΟΠΟΥΛΗ 68 ΙΩΑΝΝΙΝΑ</v>
      </c>
      <c r="I3260">
        <v>45445</v>
      </c>
      <c r="K3260">
        <v>6946330391</v>
      </c>
      <c r="N3260" t="s">
        <v>157</v>
      </c>
      <c r="O3260" t="s">
        <v>158</v>
      </c>
      <c r="R3260" t="s">
        <v>57</v>
      </c>
      <c r="S3260">
        <v>5</v>
      </c>
      <c r="T3260">
        <v>654</v>
      </c>
      <c r="U3260" s="1">
        <v>40043</v>
      </c>
      <c r="V3260" t="s">
        <v>5644</v>
      </c>
      <c r="W3260" t="s">
        <v>5645</v>
      </c>
      <c r="X3260" t="s">
        <v>58</v>
      </c>
      <c r="Y3260">
        <v>21</v>
      </c>
      <c r="Z3260" t="s">
        <v>59</v>
      </c>
      <c r="AA3260" t="s">
        <v>59</v>
      </c>
      <c r="AB3260" t="s">
        <v>59</v>
      </c>
      <c r="AC3260" t="s">
        <v>59</v>
      </c>
      <c r="AD3260" t="s">
        <v>59</v>
      </c>
      <c r="AF3260" s="1">
        <v>40043</v>
      </c>
      <c r="AG3260" t="s">
        <v>125</v>
      </c>
      <c r="AH3260" t="s">
        <v>126</v>
      </c>
      <c r="AI3260" t="str">
        <f>"4135001"</f>
        <v>4135001</v>
      </c>
      <c r="AJ3260" t="s">
        <v>5729</v>
      </c>
      <c r="AK3260">
        <v>2831073938</v>
      </c>
      <c r="AL3260" t="s">
        <v>5730</v>
      </c>
      <c r="AM3260" t="s">
        <v>64</v>
      </c>
      <c r="AN3260" t="s">
        <v>65</v>
      </c>
      <c r="AO3260" t="s">
        <v>65</v>
      </c>
      <c r="AP3260" t="s">
        <v>65</v>
      </c>
      <c r="AQ3260">
        <v>1</v>
      </c>
      <c r="AR3260" t="s">
        <v>5644</v>
      </c>
      <c r="AS3260" t="s">
        <v>5645</v>
      </c>
      <c r="AT3260" t="s">
        <v>58</v>
      </c>
      <c r="AU3260" t="s">
        <v>68</v>
      </c>
      <c r="AV3260" t="s">
        <v>69</v>
      </c>
      <c r="AW3260" s="1">
        <v>26858</v>
      </c>
      <c r="AX3260">
        <v>2</v>
      </c>
    </row>
    <row r="3261" spans="1:50">
      <c r="A3261">
        <v>212877</v>
      </c>
      <c r="B3261" t="str">
        <f>"108690460"</f>
        <v>108690460</v>
      </c>
      <c r="C3261" t="s">
        <v>50</v>
      </c>
      <c r="D3261" t="s">
        <v>6362</v>
      </c>
      <c r="E3261" t="s">
        <v>460</v>
      </c>
      <c r="F3261" t="s">
        <v>383</v>
      </c>
      <c r="G3261" t="s">
        <v>155</v>
      </c>
      <c r="H3261" t="str">
        <f>"ΚΑΠΟΔΙΣΤΡΙΟΥ 25 ΚΑΛΛΙΘΕΑ"</f>
        <v>ΚΑΠΟΔΙΣΤΡΙΟΥ 25 ΚΑΛΛΙΘΕΑ</v>
      </c>
      <c r="I3261">
        <v>74100</v>
      </c>
      <c r="J3261">
        <v>2310923570</v>
      </c>
      <c r="K3261">
        <v>6972211966</v>
      </c>
      <c r="L3261">
        <v>2285071954</v>
      </c>
      <c r="N3261" t="s">
        <v>292</v>
      </c>
      <c r="O3261" t="s">
        <v>293</v>
      </c>
      <c r="R3261" t="s">
        <v>57</v>
      </c>
      <c r="S3261">
        <v>6</v>
      </c>
      <c r="T3261">
        <v>231</v>
      </c>
      <c r="U3261" s="1">
        <v>38960</v>
      </c>
      <c r="V3261" t="s">
        <v>5644</v>
      </c>
      <c r="W3261" t="s">
        <v>5645</v>
      </c>
      <c r="X3261" t="s">
        <v>58</v>
      </c>
      <c r="Y3261">
        <v>20</v>
      </c>
      <c r="Z3261" t="s">
        <v>59</v>
      </c>
      <c r="AA3261" t="s">
        <v>59</v>
      </c>
      <c r="AB3261" t="s">
        <v>59</v>
      </c>
      <c r="AC3261" t="s">
        <v>59</v>
      </c>
      <c r="AD3261" t="s">
        <v>59</v>
      </c>
      <c r="AF3261" s="1">
        <v>38961</v>
      </c>
      <c r="AG3261" t="s">
        <v>125</v>
      </c>
      <c r="AH3261" t="s">
        <v>126</v>
      </c>
      <c r="AI3261" t="str">
        <f>"4101040"</f>
        <v>4101040</v>
      </c>
      <c r="AJ3261" t="s">
        <v>5732</v>
      </c>
      <c r="AK3261">
        <v>2831029261</v>
      </c>
      <c r="AL3261" t="s">
        <v>5733</v>
      </c>
      <c r="AM3261" t="s">
        <v>64</v>
      </c>
      <c r="AN3261" t="s">
        <v>65</v>
      </c>
      <c r="AO3261" t="s">
        <v>65</v>
      </c>
      <c r="AP3261" t="s">
        <v>65</v>
      </c>
      <c r="AQ3261">
        <v>1</v>
      </c>
      <c r="AR3261" t="s">
        <v>5644</v>
      </c>
      <c r="AS3261" t="s">
        <v>5645</v>
      </c>
      <c r="AT3261" t="s">
        <v>58</v>
      </c>
      <c r="AU3261" t="s">
        <v>68</v>
      </c>
      <c r="AV3261" t="s">
        <v>69</v>
      </c>
      <c r="AW3261" s="1">
        <v>26681</v>
      </c>
      <c r="AX3261">
        <v>2</v>
      </c>
    </row>
    <row r="3262" spans="1:50">
      <c r="A3262">
        <v>164178</v>
      </c>
      <c r="B3262" t="str">
        <f>"059421175"</f>
        <v>059421175</v>
      </c>
      <c r="C3262" t="s">
        <v>50</v>
      </c>
      <c r="D3262" t="s">
        <v>6363</v>
      </c>
      <c r="E3262" t="s">
        <v>250</v>
      </c>
      <c r="F3262" t="s">
        <v>72</v>
      </c>
      <c r="G3262" t="s">
        <v>6364</v>
      </c>
      <c r="H3262" t="str">
        <f>"ΑΔΕΛΕ ΡΕΘΥΜΝΟ"</f>
        <v>ΑΔΕΛΕ ΡΕΘΥΜΝΟ</v>
      </c>
      <c r="I3262">
        <v>74100</v>
      </c>
      <c r="K3262">
        <v>6938910221</v>
      </c>
      <c r="N3262" t="s">
        <v>146</v>
      </c>
      <c r="O3262" t="s">
        <v>147</v>
      </c>
      <c r="R3262" t="s">
        <v>57</v>
      </c>
      <c r="S3262">
        <v>17</v>
      </c>
      <c r="T3262">
        <v>161</v>
      </c>
      <c r="U3262" s="1">
        <v>33844</v>
      </c>
      <c r="V3262" t="s">
        <v>5644</v>
      </c>
      <c r="W3262" t="s">
        <v>5645</v>
      </c>
      <c r="X3262" t="s">
        <v>58</v>
      </c>
      <c r="Y3262">
        <v>18</v>
      </c>
      <c r="Z3262" t="s">
        <v>59</v>
      </c>
      <c r="AA3262" t="s">
        <v>59</v>
      </c>
      <c r="AB3262" t="s">
        <v>59</v>
      </c>
      <c r="AC3262" t="s">
        <v>59</v>
      </c>
      <c r="AD3262" t="s">
        <v>59</v>
      </c>
      <c r="AF3262" s="1">
        <v>33844</v>
      </c>
      <c r="AG3262" t="s">
        <v>125</v>
      </c>
      <c r="AH3262" t="s">
        <v>126</v>
      </c>
      <c r="AI3262" t="str">
        <f>"4135001"</f>
        <v>4135001</v>
      </c>
      <c r="AJ3262" t="s">
        <v>5729</v>
      </c>
      <c r="AK3262">
        <v>2831073938</v>
      </c>
      <c r="AL3262" t="s">
        <v>5730</v>
      </c>
      <c r="AM3262" t="s">
        <v>64</v>
      </c>
      <c r="AN3262" t="s">
        <v>65</v>
      </c>
      <c r="AO3262" t="s">
        <v>65</v>
      </c>
      <c r="AP3262" t="s">
        <v>65</v>
      </c>
      <c r="AQ3262">
        <v>1</v>
      </c>
      <c r="AR3262" t="s">
        <v>5644</v>
      </c>
      <c r="AS3262" t="s">
        <v>5645</v>
      </c>
      <c r="AT3262" t="s">
        <v>58</v>
      </c>
      <c r="AU3262" t="s">
        <v>68</v>
      </c>
      <c r="AV3262" t="s">
        <v>357</v>
      </c>
      <c r="AW3262" s="1">
        <v>23609</v>
      </c>
      <c r="AX3262">
        <v>2</v>
      </c>
    </row>
    <row r="3263" spans="1:50">
      <c r="A3263">
        <v>195899</v>
      </c>
      <c r="B3263" t="str">
        <f>"068880328"</f>
        <v>068880328</v>
      </c>
      <c r="C3263" t="s">
        <v>105</v>
      </c>
      <c r="D3263" t="s">
        <v>6365</v>
      </c>
      <c r="E3263" t="s">
        <v>72</v>
      </c>
      <c r="F3263" t="s">
        <v>1023</v>
      </c>
      <c r="G3263" t="s">
        <v>372</v>
      </c>
      <c r="H3263" t="str">
        <f>"ΕΝΟΤΗΤΑΣ 2 ΡΕΘΥΜΝΟ"</f>
        <v>ΕΝΟΤΗΤΑΣ 2 ΡΕΘΥΜΝΟ</v>
      </c>
      <c r="I3263">
        <v>74133</v>
      </c>
      <c r="K3263">
        <v>6972108727</v>
      </c>
      <c r="N3263" t="s">
        <v>176</v>
      </c>
      <c r="O3263" t="s">
        <v>177</v>
      </c>
      <c r="R3263" t="s">
        <v>57</v>
      </c>
      <c r="S3263">
        <v>8</v>
      </c>
      <c r="T3263">
        <v>194</v>
      </c>
      <c r="U3263" s="1">
        <v>37497</v>
      </c>
      <c r="V3263" t="s">
        <v>5644</v>
      </c>
      <c r="W3263" t="s">
        <v>5645</v>
      </c>
      <c r="X3263" t="s">
        <v>58</v>
      </c>
      <c r="Y3263">
        <v>20</v>
      </c>
      <c r="Z3263" t="s">
        <v>59</v>
      </c>
      <c r="AA3263" t="s">
        <v>59</v>
      </c>
      <c r="AB3263" t="s">
        <v>59</v>
      </c>
      <c r="AC3263" t="s">
        <v>59</v>
      </c>
      <c r="AD3263" t="s">
        <v>59</v>
      </c>
      <c r="AF3263" s="1">
        <v>37497</v>
      </c>
      <c r="AG3263" t="s">
        <v>125</v>
      </c>
      <c r="AH3263" t="s">
        <v>126</v>
      </c>
      <c r="AI3263" t="str">
        <f>"4106030"</f>
        <v>4106030</v>
      </c>
      <c r="AJ3263" t="s">
        <v>6097</v>
      </c>
      <c r="AK3263">
        <v>2832051138</v>
      </c>
      <c r="AL3263" t="s">
        <v>6098</v>
      </c>
      <c r="AM3263" t="s">
        <v>64</v>
      </c>
      <c r="AN3263" t="s">
        <v>5882</v>
      </c>
      <c r="AO3263" t="s">
        <v>6099</v>
      </c>
      <c r="AP3263" t="s">
        <v>6100</v>
      </c>
      <c r="AQ3263">
        <v>5</v>
      </c>
      <c r="AR3263" t="s">
        <v>5644</v>
      </c>
      <c r="AS3263" t="s">
        <v>5645</v>
      </c>
      <c r="AT3263" t="s">
        <v>58</v>
      </c>
      <c r="AU3263" t="s">
        <v>68</v>
      </c>
      <c r="AV3263" t="s">
        <v>69</v>
      </c>
      <c r="AW3263" s="1">
        <v>26601</v>
      </c>
      <c r="AX3263">
        <v>2</v>
      </c>
    </row>
    <row r="3264" spans="1:50">
      <c r="A3264">
        <v>215663</v>
      </c>
      <c r="B3264" t="str">
        <f>"138955648"</f>
        <v>138955648</v>
      </c>
      <c r="C3264" t="s">
        <v>105</v>
      </c>
      <c r="D3264" t="s">
        <v>6366</v>
      </c>
      <c r="E3264" t="s">
        <v>53</v>
      </c>
      <c r="F3264" t="s">
        <v>72</v>
      </c>
      <c r="G3264" t="s">
        <v>52</v>
      </c>
      <c r="H3264" t="str">
        <f>"ΗΛΙΑΚΑΚΗ 3 ΡΕΘΥΜΝΟ"</f>
        <v>ΗΛΙΑΚΑΚΗ 3 ΡΕΘΥΜΝΟ</v>
      </c>
      <c r="I3264">
        <v>74100</v>
      </c>
      <c r="J3264">
        <v>2310512103</v>
      </c>
      <c r="K3264">
        <v>6974133888</v>
      </c>
      <c r="M3264" t="s">
        <v>6367</v>
      </c>
      <c r="N3264" t="s">
        <v>204</v>
      </c>
      <c r="O3264" t="s">
        <v>205</v>
      </c>
      <c r="P3264" t="s">
        <v>257</v>
      </c>
      <c r="Q3264" t="s">
        <v>258</v>
      </c>
      <c r="R3264" t="s">
        <v>57</v>
      </c>
      <c r="S3264">
        <v>6</v>
      </c>
      <c r="T3264">
        <v>231</v>
      </c>
      <c r="U3264" s="1">
        <v>38960</v>
      </c>
      <c r="V3264" t="s">
        <v>5644</v>
      </c>
      <c r="W3264" t="s">
        <v>5645</v>
      </c>
      <c r="X3264" t="s">
        <v>58</v>
      </c>
      <c r="Y3264">
        <v>20</v>
      </c>
      <c r="Z3264" t="s">
        <v>59</v>
      </c>
      <c r="AA3264" t="s">
        <v>59</v>
      </c>
      <c r="AB3264" t="s">
        <v>59</v>
      </c>
      <c r="AC3264" t="s">
        <v>59</v>
      </c>
      <c r="AD3264" t="s">
        <v>59</v>
      </c>
      <c r="AF3264" s="1">
        <v>38961</v>
      </c>
      <c r="AG3264" t="s">
        <v>137</v>
      </c>
      <c r="AH3264" t="s">
        <v>469</v>
      </c>
      <c r="AI3264" t="str">
        <f>"4150045"</f>
        <v>4150045</v>
      </c>
      <c r="AJ3264" t="s">
        <v>5871</v>
      </c>
      <c r="AK3264">
        <v>2831022248</v>
      </c>
      <c r="AL3264" t="s">
        <v>5872</v>
      </c>
      <c r="AM3264" t="s">
        <v>64</v>
      </c>
      <c r="AN3264" t="s">
        <v>65</v>
      </c>
      <c r="AO3264" t="s">
        <v>65</v>
      </c>
      <c r="AP3264" t="s">
        <v>65</v>
      </c>
      <c r="AQ3264">
        <v>1</v>
      </c>
      <c r="AR3264" t="s">
        <v>5644</v>
      </c>
      <c r="AS3264" t="s">
        <v>5645</v>
      </c>
      <c r="AT3264" t="s">
        <v>58</v>
      </c>
      <c r="AU3264" t="s">
        <v>68</v>
      </c>
      <c r="AV3264" t="s">
        <v>69</v>
      </c>
      <c r="AW3264" s="1">
        <v>29895</v>
      </c>
      <c r="AX3264">
        <v>2</v>
      </c>
    </row>
    <row r="3265" spans="1:50">
      <c r="A3265">
        <v>194859</v>
      </c>
      <c r="B3265" t="str">
        <f>"034137922"</f>
        <v>034137922</v>
      </c>
      <c r="C3265" t="s">
        <v>50</v>
      </c>
      <c r="D3265" t="s">
        <v>6368</v>
      </c>
      <c r="E3265" t="s">
        <v>1068</v>
      </c>
      <c r="F3265" t="s">
        <v>315</v>
      </c>
      <c r="G3265" t="s">
        <v>4602</v>
      </c>
      <c r="H3265" t="str">
        <f>"ΑΓΙΟΣ ΔΗΜΗΤΡΙΟΣ "</f>
        <v xml:space="preserve">ΑΓΙΟΣ ΔΗΜΗΤΡΙΟΣ </v>
      </c>
      <c r="I3265">
        <v>74100</v>
      </c>
      <c r="J3265">
        <v>2831057579</v>
      </c>
      <c r="K3265">
        <v>6978892759</v>
      </c>
      <c r="N3265" t="s">
        <v>2871</v>
      </c>
      <c r="O3265" t="s">
        <v>2872</v>
      </c>
      <c r="R3265" t="s">
        <v>57</v>
      </c>
      <c r="S3265">
        <v>9</v>
      </c>
      <c r="T3265">
        <v>193</v>
      </c>
      <c r="U3265" s="1">
        <v>37497</v>
      </c>
      <c r="V3265" t="s">
        <v>5644</v>
      </c>
      <c r="W3265" t="s">
        <v>5645</v>
      </c>
      <c r="X3265" t="s">
        <v>58</v>
      </c>
      <c r="Y3265">
        <v>20</v>
      </c>
      <c r="Z3265" t="s">
        <v>59</v>
      </c>
      <c r="AA3265" t="s">
        <v>59</v>
      </c>
      <c r="AB3265" t="s">
        <v>59</v>
      </c>
      <c r="AC3265" t="s">
        <v>59</v>
      </c>
      <c r="AD3265" t="s">
        <v>59</v>
      </c>
      <c r="AF3265" s="1">
        <v>37501</v>
      </c>
      <c r="AG3265" t="s">
        <v>137</v>
      </c>
      <c r="AH3265" t="s">
        <v>138</v>
      </c>
      <c r="AI3265" t="str">
        <f>"4150040"</f>
        <v>4150040</v>
      </c>
      <c r="AJ3265" t="s">
        <v>5661</v>
      </c>
      <c r="AK3265">
        <v>2831029048</v>
      </c>
      <c r="AL3265" t="s">
        <v>5662</v>
      </c>
      <c r="AM3265" t="s">
        <v>64</v>
      </c>
      <c r="AN3265" t="s">
        <v>65</v>
      </c>
      <c r="AO3265" t="s">
        <v>65</v>
      </c>
      <c r="AP3265" t="s">
        <v>65</v>
      </c>
      <c r="AQ3265">
        <v>1</v>
      </c>
      <c r="AR3265" t="s">
        <v>5644</v>
      </c>
      <c r="AS3265" t="s">
        <v>5645</v>
      </c>
      <c r="AT3265" t="s">
        <v>58</v>
      </c>
      <c r="AU3265" t="s">
        <v>68</v>
      </c>
      <c r="AV3265" t="s">
        <v>69</v>
      </c>
      <c r="AW3265" s="1">
        <v>23743</v>
      </c>
      <c r="AX3265">
        <v>2</v>
      </c>
    </row>
    <row r="3266" spans="1:50">
      <c r="A3266">
        <v>215665</v>
      </c>
      <c r="B3266" t="str">
        <f>"132312816"</f>
        <v>132312816</v>
      </c>
      <c r="C3266" t="s">
        <v>50</v>
      </c>
      <c r="D3266" t="s">
        <v>6369</v>
      </c>
      <c r="E3266" t="s">
        <v>6093</v>
      </c>
      <c r="F3266" t="s">
        <v>84</v>
      </c>
      <c r="G3266" t="s">
        <v>238</v>
      </c>
      <c r="H3266" t="str">
        <f>"ΚΑΡΟΛΟΥ ΚΟΥΝ 2 ΡΕΘΥΜΝΟ"</f>
        <v>ΚΑΡΟΛΟΥ ΚΟΥΝ 2 ΡΕΘΥΜΝΟ</v>
      </c>
      <c r="I3266">
        <v>74100</v>
      </c>
      <c r="K3266">
        <v>6974674226</v>
      </c>
      <c r="M3266" t="s">
        <v>6370</v>
      </c>
      <c r="N3266" t="s">
        <v>204</v>
      </c>
      <c r="O3266" t="s">
        <v>205</v>
      </c>
      <c r="R3266" t="s">
        <v>57</v>
      </c>
      <c r="S3266">
        <v>7</v>
      </c>
      <c r="T3266">
        <v>231</v>
      </c>
      <c r="U3266" s="1">
        <v>38960</v>
      </c>
      <c r="V3266" t="s">
        <v>5644</v>
      </c>
      <c r="W3266" t="s">
        <v>5645</v>
      </c>
      <c r="X3266" t="s">
        <v>58</v>
      </c>
      <c r="Y3266">
        <v>20</v>
      </c>
      <c r="Z3266" t="s">
        <v>59</v>
      </c>
      <c r="AA3266" t="s">
        <v>59</v>
      </c>
      <c r="AB3266" t="s">
        <v>59</v>
      </c>
      <c r="AC3266" t="s">
        <v>59</v>
      </c>
      <c r="AD3266" t="s">
        <v>59</v>
      </c>
      <c r="AF3266" s="1">
        <v>38960</v>
      </c>
      <c r="AG3266" t="s">
        <v>148</v>
      </c>
      <c r="AH3266" t="s">
        <v>149</v>
      </c>
      <c r="AI3266" t="str">
        <f>"4156010"</f>
        <v>4156010</v>
      </c>
      <c r="AJ3266" t="s">
        <v>5925</v>
      </c>
      <c r="AK3266">
        <v>2832022328</v>
      </c>
      <c r="AL3266" t="s">
        <v>5926</v>
      </c>
      <c r="AM3266" t="s">
        <v>64</v>
      </c>
      <c r="AN3266" t="s">
        <v>5882</v>
      </c>
      <c r="AO3266" t="s">
        <v>5883</v>
      </c>
      <c r="AP3266" t="s">
        <v>5884</v>
      </c>
      <c r="AQ3266">
        <v>5</v>
      </c>
      <c r="AR3266" t="s">
        <v>5644</v>
      </c>
      <c r="AS3266" t="s">
        <v>5645</v>
      </c>
      <c r="AT3266" t="s">
        <v>58</v>
      </c>
      <c r="AU3266" t="s">
        <v>68</v>
      </c>
      <c r="AV3266" t="s">
        <v>69</v>
      </c>
      <c r="AW3266" s="1">
        <v>28696</v>
      </c>
      <c r="AX3266">
        <v>2</v>
      </c>
    </row>
    <row r="3267" spans="1:50">
      <c r="A3267">
        <v>202413</v>
      </c>
      <c r="B3267" t="str">
        <f>"042632331"</f>
        <v>042632331</v>
      </c>
      <c r="C3267" t="s">
        <v>105</v>
      </c>
      <c r="D3267" t="s">
        <v>6371</v>
      </c>
      <c r="E3267" t="s">
        <v>53</v>
      </c>
      <c r="F3267" t="s">
        <v>99</v>
      </c>
      <c r="G3267" t="s">
        <v>401</v>
      </c>
      <c r="H3267" t="str">
        <f>"Γ. ΓΙΑΝΝΟΥΛΗ 5 "</f>
        <v xml:space="preserve">Γ. ΓΙΑΝΝΟΥΛΗ 5 </v>
      </c>
      <c r="I3267">
        <v>74100</v>
      </c>
      <c r="J3267">
        <v>2831050598</v>
      </c>
      <c r="K3267">
        <v>6978674374</v>
      </c>
      <c r="N3267" t="s">
        <v>292</v>
      </c>
      <c r="O3267" t="s">
        <v>293</v>
      </c>
      <c r="R3267" t="s">
        <v>57</v>
      </c>
      <c r="S3267">
        <v>7</v>
      </c>
      <c r="T3267">
        <v>231</v>
      </c>
      <c r="U3267" s="1">
        <v>38230</v>
      </c>
      <c r="V3267" t="s">
        <v>5644</v>
      </c>
      <c r="W3267" t="s">
        <v>5645</v>
      </c>
      <c r="X3267" t="s">
        <v>58</v>
      </c>
      <c r="Y3267">
        <v>20</v>
      </c>
      <c r="Z3267" t="s">
        <v>59</v>
      </c>
      <c r="AA3267" t="s">
        <v>59</v>
      </c>
      <c r="AB3267" t="s">
        <v>59</v>
      </c>
      <c r="AC3267" t="s">
        <v>59</v>
      </c>
      <c r="AD3267" t="s">
        <v>59</v>
      </c>
      <c r="AF3267" s="1">
        <v>38230</v>
      </c>
      <c r="AG3267" t="s">
        <v>137</v>
      </c>
      <c r="AH3267" t="s">
        <v>138</v>
      </c>
      <c r="AI3267" t="str">
        <f>"4150040"</f>
        <v>4150040</v>
      </c>
      <c r="AJ3267" t="s">
        <v>5661</v>
      </c>
      <c r="AK3267">
        <v>2831029048</v>
      </c>
      <c r="AL3267" t="s">
        <v>5662</v>
      </c>
      <c r="AM3267" t="s">
        <v>64</v>
      </c>
      <c r="AN3267" t="s">
        <v>65</v>
      </c>
      <c r="AO3267" t="s">
        <v>65</v>
      </c>
      <c r="AP3267" t="s">
        <v>65</v>
      </c>
      <c r="AQ3267">
        <v>1</v>
      </c>
      <c r="AR3267" t="s">
        <v>5644</v>
      </c>
      <c r="AS3267" t="s">
        <v>5645</v>
      </c>
      <c r="AT3267" t="s">
        <v>58</v>
      </c>
      <c r="AU3267" t="s">
        <v>68</v>
      </c>
      <c r="AV3267" t="s">
        <v>69</v>
      </c>
      <c r="AW3267" s="1">
        <v>21343</v>
      </c>
      <c r="AX3267">
        <v>2</v>
      </c>
    </row>
    <row r="3268" spans="1:50">
      <c r="A3268">
        <v>145541</v>
      </c>
      <c r="B3268" t="str">
        <f>"027491435"</f>
        <v>027491435</v>
      </c>
      <c r="C3268" t="s">
        <v>105</v>
      </c>
      <c r="D3268" t="s">
        <v>1258</v>
      </c>
      <c r="E3268" t="s">
        <v>450</v>
      </c>
      <c r="F3268" t="s">
        <v>106</v>
      </c>
      <c r="G3268" t="s">
        <v>1927</v>
      </c>
      <c r="H3268" t="str">
        <f>"ΙΩΑΝΝΗ ΑΘΑΝΑΣΙΑΔΗ 5 ΡΕΘΥΜΝΟ"</f>
        <v>ΙΩΑΝΝΗ ΑΘΑΝΑΣΙΑΔΗ 5 ΡΕΘΥΜΝΟ</v>
      </c>
      <c r="I3268">
        <v>74100</v>
      </c>
      <c r="K3268">
        <v>6946461542</v>
      </c>
      <c r="N3268" t="s">
        <v>146</v>
      </c>
      <c r="O3268" t="s">
        <v>147</v>
      </c>
      <c r="R3268" t="s">
        <v>57</v>
      </c>
      <c r="S3268">
        <v>19</v>
      </c>
      <c r="T3268">
        <v>237</v>
      </c>
      <c r="U3268" s="1">
        <v>31293</v>
      </c>
      <c r="V3268" t="s">
        <v>5644</v>
      </c>
      <c r="W3268" t="s">
        <v>5645</v>
      </c>
      <c r="X3268" t="s">
        <v>58</v>
      </c>
      <c r="Y3268">
        <v>18</v>
      </c>
      <c r="Z3268" t="s">
        <v>59</v>
      </c>
      <c r="AA3268" t="s">
        <v>59</v>
      </c>
      <c r="AB3268" t="s">
        <v>59</v>
      </c>
      <c r="AC3268" t="s">
        <v>59</v>
      </c>
      <c r="AD3268" t="s">
        <v>59</v>
      </c>
      <c r="AF3268" s="1">
        <v>31306</v>
      </c>
      <c r="AG3268" t="s">
        <v>148</v>
      </c>
      <c r="AH3268" t="s">
        <v>149</v>
      </c>
      <c r="AI3268" t="str">
        <f>"4151009"</f>
        <v>4151009</v>
      </c>
      <c r="AJ3268" t="s">
        <v>5649</v>
      </c>
      <c r="AK3268">
        <v>2831027115</v>
      </c>
      <c r="AL3268" t="s">
        <v>5650</v>
      </c>
      <c r="AM3268" t="s">
        <v>64</v>
      </c>
      <c r="AN3268" t="s">
        <v>65</v>
      </c>
      <c r="AO3268" t="s">
        <v>65</v>
      </c>
      <c r="AP3268" t="s">
        <v>65</v>
      </c>
      <c r="AQ3268">
        <v>1</v>
      </c>
      <c r="AR3268" t="s">
        <v>5644</v>
      </c>
      <c r="AS3268" t="s">
        <v>5645</v>
      </c>
      <c r="AT3268" t="s">
        <v>58</v>
      </c>
      <c r="AU3268" t="s">
        <v>68</v>
      </c>
      <c r="AV3268" t="s">
        <v>69</v>
      </c>
      <c r="AW3268" s="1">
        <v>21964</v>
      </c>
      <c r="AX3268">
        <v>2</v>
      </c>
    </row>
    <row r="3269" spans="1:50">
      <c r="A3269">
        <v>191397</v>
      </c>
      <c r="B3269" t="str">
        <f>"045014337"</f>
        <v>045014337</v>
      </c>
      <c r="C3269" t="s">
        <v>105</v>
      </c>
      <c r="D3269" t="s">
        <v>6372</v>
      </c>
      <c r="E3269" t="s">
        <v>2933</v>
      </c>
      <c r="F3269" t="s">
        <v>95</v>
      </c>
      <c r="G3269" t="s">
        <v>6373</v>
      </c>
      <c r="H3269" t="str">
        <f>"Ν. ΑΣΚΟΥΤΣΗ 58 "</f>
        <v xml:space="preserve">Ν. ΑΣΚΟΥΤΣΗ 58 </v>
      </c>
      <c r="I3269">
        <v>74100</v>
      </c>
      <c r="J3269">
        <v>2831035845</v>
      </c>
      <c r="K3269">
        <v>6972245078</v>
      </c>
      <c r="N3269" t="s">
        <v>6374</v>
      </c>
      <c r="O3269" t="s">
        <v>6375</v>
      </c>
      <c r="P3269" t="s">
        <v>176</v>
      </c>
      <c r="Q3269" t="s">
        <v>177</v>
      </c>
      <c r="R3269" t="s">
        <v>57</v>
      </c>
      <c r="S3269">
        <v>9</v>
      </c>
      <c r="T3269">
        <v>219</v>
      </c>
      <c r="U3269" s="1">
        <v>37134</v>
      </c>
      <c r="V3269" t="s">
        <v>5644</v>
      </c>
      <c r="W3269" t="s">
        <v>5645</v>
      </c>
      <c r="X3269" t="s">
        <v>58</v>
      </c>
      <c r="Y3269">
        <v>20</v>
      </c>
      <c r="Z3269" t="s">
        <v>59</v>
      </c>
      <c r="AA3269" t="s">
        <v>59</v>
      </c>
      <c r="AB3269" t="s">
        <v>59</v>
      </c>
      <c r="AC3269" t="s">
        <v>59</v>
      </c>
      <c r="AD3269" t="s">
        <v>59</v>
      </c>
      <c r="AF3269" s="1">
        <v>37134</v>
      </c>
      <c r="AG3269" t="s">
        <v>137</v>
      </c>
      <c r="AH3269" t="s">
        <v>138</v>
      </c>
      <c r="AI3269" t="str">
        <f>"4150040"</f>
        <v>4150040</v>
      </c>
      <c r="AJ3269" t="s">
        <v>5661</v>
      </c>
      <c r="AK3269">
        <v>2831029048</v>
      </c>
      <c r="AL3269" t="s">
        <v>5662</v>
      </c>
      <c r="AM3269" t="s">
        <v>64</v>
      </c>
      <c r="AN3269" t="s">
        <v>65</v>
      </c>
      <c r="AO3269" t="s">
        <v>65</v>
      </c>
      <c r="AP3269" t="s">
        <v>65</v>
      </c>
      <c r="AQ3269">
        <v>1</v>
      </c>
      <c r="AR3269" t="s">
        <v>5644</v>
      </c>
      <c r="AS3269" t="s">
        <v>5645</v>
      </c>
      <c r="AT3269" t="s">
        <v>58</v>
      </c>
      <c r="AU3269" t="s">
        <v>68</v>
      </c>
      <c r="AV3269" t="s">
        <v>69</v>
      </c>
      <c r="AW3269" s="1">
        <v>23669</v>
      </c>
      <c r="AX3269">
        <v>2</v>
      </c>
    </row>
    <row r="3270" spans="1:50">
      <c r="A3270">
        <v>219854</v>
      </c>
      <c r="B3270" t="str">
        <f>"045960412"</f>
        <v>045960412</v>
      </c>
      <c r="C3270" t="s">
        <v>105</v>
      </c>
      <c r="D3270" t="s">
        <v>6376</v>
      </c>
      <c r="E3270" t="s">
        <v>154</v>
      </c>
      <c r="F3270" t="s">
        <v>95</v>
      </c>
      <c r="G3270" t="s">
        <v>566</v>
      </c>
      <c r="H3270" t="str">
        <f>"ΠΑΝΟΡΜΟ ΡΕΘΥΜΝΟΥ ΡΕΘΥΜΝΟ"</f>
        <v>ΠΑΝΟΡΜΟ ΡΕΘΥΜΝΟΥ ΡΕΘΥΜΝΟ</v>
      </c>
      <c r="I3270">
        <v>74057</v>
      </c>
      <c r="J3270">
        <v>2834051480</v>
      </c>
      <c r="K3270">
        <v>6977782910</v>
      </c>
      <c r="M3270" t="s">
        <v>6377</v>
      </c>
      <c r="N3270" t="s">
        <v>176</v>
      </c>
      <c r="O3270" t="s">
        <v>177</v>
      </c>
      <c r="R3270" t="s">
        <v>57</v>
      </c>
      <c r="S3270">
        <v>8</v>
      </c>
      <c r="T3270">
        <v>599</v>
      </c>
      <c r="U3270" s="1">
        <v>39310</v>
      </c>
      <c r="V3270" t="s">
        <v>5644</v>
      </c>
      <c r="W3270" t="s">
        <v>5645</v>
      </c>
      <c r="X3270" t="s">
        <v>58</v>
      </c>
      <c r="Y3270">
        <v>20</v>
      </c>
      <c r="Z3270" t="s">
        <v>59</v>
      </c>
      <c r="AA3270" t="s">
        <v>59</v>
      </c>
      <c r="AB3270" t="s">
        <v>59</v>
      </c>
      <c r="AC3270" t="s">
        <v>59</v>
      </c>
      <c r="AD3270" t="s">
        <v>59</v>
      </c>
      <c r="AF3270" s="1">
        <v>39328</v>
      </c>
      <c r="AG3270" t="s">
        <v>125</v>
      </c>
      <c r="AH3270" t="s">
        <v>126</v>
      </c>
      <c r="AI3270" t="str">
        <f>"4103010"</f>
        <v>4103010</v>
      </c>
      <c r="AJ3270" t="s">
        <v>5684</v>
      </c>
      <c r="AK3270">
        <v>2834051206</v>
      </c>
      <c r="AL3270" t="s">
        <v>5685</v>
      </c>
      <c r="AM3270" t="s">
        <v>64</v>
      </c>
      <c r="AN3270" t="s">
        <v>5672</v>
      </c>
      <c r="AO3270" t="s">
        <v>5673</v>
      </c>
      <c r="AP3270" t="s">
        <v>5674</v>
      </c>
      <c r="AQ3270">
        <v>2</v>
      </c>
      <c r="AR3270" t="s">
        <v>5644</v>
      </c>
      <c r="AS3270" t="s">
        <v>5645</v>
      </c>
      <c r="AT3270" t="s">
        <v>58</v>
      </c>
      <c r="AU3270" t="s">
        <v>68</v>
      </c>
      <c r="AV3270" t="s">
        <v>1092</v>
      </c>
      <c r="AW3270" s="1">
        <v>24153</v>
      </c>
      <c r="AX3270">
        <v>2</v>
      </c>
    </row>
    <row r="3271" spans="1:50">
      <c r="B3271" t="str">
        <f>"117701174"</f>
        <v>117701174</v>
      </c>
      <c r="C3271" t="s">
        <v>50</v>
      </c>
      <c r="D3271" t="s">
        <v>6378</v>
      </c>
      <c r="E3271" t="s">
        <v>801</v>
      </c>
      <c r="F3271" t="s">
        <v>53</v>
      </c>
      <c r="G3271" t="s">
        <v>52</v>
      </c>
      <c r="H3271" t="str">
        <f>"ΜΗΡ.ΑΙΜΙΛΙΑΝΟΥ 4 ΘΕΣΣΑΛΟΝΙΚΗ"</f>
        <v>ΜΗΡ.ΑΙΜΙΛΙΑΝΟΥ 4 ΘΕΣΣΑΛΟΝΙΚΗ</v>
      </c>
      <c r="I3271">
        <v>56728</v>
      </c>
      <c r="J3271">
        <v>2310634763</v>
      </c>
      <c r="K3271">
        <v>6937663472</v>
      </c>
      <c r="M3271" t="s">
        <v>6379</v>
      </c>
      <c r="N3271" t="s">
        <v>146</v>
      </c>
      <c r="O3271" t="s">
        <v>147</v>
      </c>
      <c r="R3271" t="s">
        <v>159</v>
      </c>
      <c r="S3271">
        <v>4</v>
      </c>
      <c r="T3271" t="s">
        <v>416</v>
      </c>
      <c r="U3271" s="1">
        <v>43349</v>
      </c>
      <c r="V3271" t="s">
        <v>5644</v>
      </c>
      <c r="W3271" t="s">
        <v>5645</v>
      </c>
      <c r="X3271" t="s">
        <v>58</v>
      </c>
      <c r="Y3271">
        <v>21</v>
      </c>
      <c r="Z3271" t="s">
        <v>59</v>
      </c>
      <c r="AA3271" t="s">
        <v>59</v>
      </c>
      <c r="AB3271" t="s">
        <v>59</v>
      </c>
      <c r="AC3271" t="s">
        <v>59</v>
      </c>
      <c r="AD3271" t="s">
        <v>59</v>
      </c>
      <c r="AF3271" s="1">
        <v>43349</v>
      </c>
      <c r="AG3271" t="s">
        <v>148</v>
      </c>
      <c r="AH3271" t="s">
        <v>149</v>
      </c>
      <c r="AI3271" t="str">
        <f>"4154010"</f>
        <v>4154010</v>
      </c>
      <c r="AJ3271" t="s">
        <v>5687</v>
      </c>
      <c r="AK3271">
        <v>2834023300</v>
      </c>
      <c r="AL3271" t="s">
        <v>5688</v>
      </c>
      <c r="AM3271" t="s">
        <v>64</v>
      </c>
      <c r="AN3271" t="s">
        <v>5672</v>
      </c>
      <c r="AO3271" t="s">
        <v>5673</v>
      </c>
      <c r="AP3271" t="s">
        <v>5689</v>
      </c>
      <c r="AQ3271">
        <v>2</v>
      </c>
      <c r="AR3271" t="s">
        <v>5644</v>
      </c>
      <c r="AS3271" t="s">
        <v>5645</v>
      </c>
      <c r="AT3271" t="s">
        <v>58</v>
      </c>
      <c r="AU3271" t="s">
        <v>419</v>
      </c>
      <c r="AV3271" t="s">
        <v>132</v>
      </c>
      <c r="AW3271" s="1">
        <v>28046</v>
      </c>
      <c r="AX3271">
        <v>2</v>
      </c>
    </row>
    <row r="3272" spans="1:50">
      <c r="B3272" t="str">
        <f>"137245470"</f>
        <v>137245470</v>
      </c>
      <c r="C3272" t="s">
        <v>50</v>
      </c>
      <c r="D3272" t="s">
        <v>6380</v>
      </c>
      <c r="E3272" t="s">
        <v>484</v>
      </c>
      <c r="F3272" t="s">
        <v>92</v>
      </c>
      <c r="G3272" t="s">
        <v>801</v>
      </c>
      <c r="H3272" t="str">
        <f>"ΣΤ. ΝΙΚΟΛΑΙΔΗ 31 "</f>
        <v xml:space="preserve">ΣΤ. ΝΙΚΟΛΑΙΔΗ 31 </v>
      </c>
      <c r="I3272">
        <v>71305</v>
      </c>
      <c r="J3272">
        <v>2810259727</v>
      </c>
      <c r="K3272">
        <v>6977411254</v>
      </c>
      <c r="N3272" t="s">
        <v>536</v>
      </c>
      <c r="O3272" t="s">
        <v>537</v>
      </c>
      <c r="R3272" t="s">
        <v>159</v>
      </c>
      <c r="S3272">
        <v>5</v>
      </c>
      <c r="T3272" t="s">
        <v>344</v>
      </c>
      <c r="U3272" s="1">
        <v>43348</v>
      </c>
      <c r="V3272" t="s">
        <v>5644</v>
      </c>
      <c r="W3272" t="s">
        <v>5645</v>
      </c>
      <c r="X3272" t="s">
        <v>58</v>
      </c>
      <c r="Y3272">
        <v>21</v>
      </c>
      <c r="Z3272" t="s">
        <v>59</v>
      </c>
      <c r="AA3272" t="s">
        <v>59</v>
      </c>
      <c r="AB3272" t="s">
        <v>59</v>
      </c>
      <c r="AC3272" t="s">
        <v>59</v>
      </c>
      <c r="AD3272" t="s">
        <v>59</v>
      </c>
      <c r="AF3272" s="1">
        <v>43348</v>
      </c>
      <c r="AG3272" t="s">
        <v>137</v>
      </c>
      <c r="AH3272" t="s">
        <v>138</v>
      </c>
      <c r="AI3272" t="str">
        <f>"4150040"</f>
        <v>4150040</v>
      </c>
      <c r="AJ3272" t="s">
        <v>5661</v>
      </c>
      <c r="AK3272">
        <v>2831029048</v>
      </c>
      <c r="AL3272" t="s">
        <v>5662</v>
      </c>
      <c r="AM3272" t="s">
        <v>64</v>
      </c>
      <c r="AN3272" t="s">
        <v>65</v>
      </c>
      <c r="AO3272" t="s">
        <v>65</v>
      </c>
      <c r="AP3272" t="s">
        <v>65</v>
      </c>
      <c r="AQ3272">
        <v>1</v>
      </c>
      <c r="AR3272" t="s">
        <v>5644</v>
      </c>
      <c r="AS3272" t="s">
        <v>5645</v>
      </c>
      <c r="AT3272" t="s">
        <v>58</v>
      </c>
      <c r="AU3272" t="s">
        <v>350</v>
      </c>
      <c r="AV3272" t="s">
        <v>132</v>
      </c>
      <c r="AW3272" s="1">
        <v>29686</v>
      </c>
      <c r="AX3272">
        <v>2</v>
      </c>
    </row>
    <row r="3273" spans="1:50">
      <c r="B3273" t="str">
        <f>"130139800"</f>
        <v>130139800</v>
      </c>
      <c r="C3273" t="s">
        <v>50</v>
      </c>
      <c r="D3273" t="s">
        <v>3296</v>
      </c>
      <c r="E3273" t="s">
        <v>250</v>
      </c>
      <c r="F3273" t="s">
        <v>84</v>
      </c>
      <c r="G3273" t="s">
        <v>255</v>
      </c>
      <c r="H3273" t="str">
        <f>"ΕΚΤΕΝΕΠΟΛ ΟΤ12/4 ΞΑΝΘΗ"</f>
        <v>ΕΚΤΕΝΕΠΟΛ ΟΤ12/4 ΞΑΝΘΗ</v>
      </c>
      <c r="I3273">
        <v>67100</v>
      </c>
      <c r="K3273">
        <v>6934619322</v>
      </c>
      <c r="M3273" t="s">
        <v>6381</v>
      </c>
      <c r="N3273" t="s">
        <v>189</v>
      </c>
      <c r="O3273" t="s">
        <v>190</v>
      </c>
      <c r="R3273" t="s">
        <v>159</v>
      </c>
      <c r="S3273">
        <v>4</v>
      </c>
      <c r="T3273" t="s">
        <v>416</v>
      </c>
      <c r="U3273" s="1">
        <v>43349</v>
      </c>
      <c r="V3273" t="s">
        <v>5644</v>
      </c>
      <c r="W3273" t="s">
        <v>5645</v>
      </c>
      <c r="X3273" t="s">
        <v>58</v>
      </c>
      <c r="Y3273">
        <v>21</v>
      </c>
      <c r="Z3273" t="s">
        <v>59</v>
      </c>
      <c r="AA3273" t="s">
        <v>59</v>
      </c>
      <c r="AB3273" t="s">
        <v>59</v>
      </c>
      <c r="AC3273" t="s">
        <v>59</v>
      </c>
      <c r="AD3273" t="s">
        <v>59</v>
      </c>
      <c r="AF3273" s="1">
        <v>43349</v>
      </c>
      <c r="AG3273" t="s">
        <v>137</v>
      </c>
      <c r="AH3273" t="s">
        <v>138</v>
      </c>
      <c r="AI3273" t="str">
        <f>"4150040"</f>
        <v>4150040</v>
      </c>
      <c r="AJ3273" t="s">
        <v>5661</v>
      </c>
      <c r="AK3273">
        <v>2831029048</v>
      </c>
      <c r="AL3273" t="s">
        <v>5662</v>
      </c>
      <c r="AM3273" t="s">
        <v>64</v>
      </c>
      <c r="AN3273" t="s">
        <v>65</v>
      </c>
      <c r="AO3273" t="s">
        <v>65</v>
      </c>
      <c r="AP3273" t="s">
        <v>65</v>
      </c>
      <c r="AQ3273">
        <v>1</v>
      </c>
      <c r="AR3273" t="s">
        <v>5644</v>
      </c>
      <c r="AS3273" t="s">
        <v>5645</v>
      </c>
      <c r="AT3273" t="s">
        <v>58</v>
      </c>
      <c r="AU3273" t="s">
        <v>419</v>
      </c>
      <c r="AV3273" t="s">
        <v>132</v>
      </c>
      <c r="AW3273" s="1">
        <v>28513</v>
      </c>
      <c r="AX3273">
        <v>2</v>
      </c>
    </row>
    <row r="3274" spans="1:50">
      <c r="A3274">
        <v>167194</v>
      </c>
      <c r="B3274" t="str">
        <f>"062846858"</f>
        <v>062846858</v>
      </c>
      <c r="C3274" t="s">
        <v>50</v>
      </c>
      <c r="D3274" t="s">
        <v>3299</v>
      </c>
      <c r="E3274" t="s">
        <v>73</v>
      </c>
      <c r="F3274" t="s">
        <v>53</v>
      </c>
      <c r="G3274" t="s">
        <v>2431</v>
      </c>
      <c r="H3274" t="str">
        <f>"Ιεράς Μονής Πρέβελη 13 "</f>
        <v xml:space="preserve">Ιεράς Μονής Πρέβελη 13 </v>
      </c>
      <c r="I3274">
        <v>74100</v>
      </c>
      <c r="K3274">
        <v>6972965646</v>
      </c>
      <c r="M3274" t="s">
        <v>6382</v>
      </c>
      <c r="N3274" t="s">
        <v>204</v>
      </c>
      <c r="O3274" t="s">
        <v>205</v>
      </c>
      <c r="R3274" t="s">
        <v>57</v>
      </c>
      <c r="S3274">
        <v>14</v>
      </c>
      <c r="T3274">
        <v>154</v>
      </c>
      <c r="U3274" s="1">
        <v>34225</v>
      </c>
      <c r="V3274" t="s">
        <v>5644</v>
      </c>
      <c r="W3274" t="s">
        <v>5645</v>
      </c>
      <c r="X3274" t="s">
        <v>58</v>
      </c>
      <c r="Y3274">
        <v>18</v>
      </c>
      <c r="Z3274" t="s">
        <v>59</v>
      </c>
      <c r="AA3274" t="s">
        <v>59</v>
      </c>
      <c r="AB3274" t="s">
        <v>59</v>
      </c>
      <c r="AC3274" t="s">
        <v>59</v>
      </c>
      <c r="AD3274" t="s">
        <v>452</v>
      </c>
      <c r="AE3274" s="1">
        <v>43708</v>
      </c>
      <c r="AF3274" s="1">
        <v>34225</v>
      </c>
      <c r="AG3274" t="s">
        <v>125</v>
      </c>
      <c r="AH3274" t="s">
        <v>5702</v>
      </c>
      <c r="AI3274" t="str">
        <f>"4101042"</f>
        <v>4101042</v>
      </c>
      <c r="AJ3274" t="s">
        <v>5703</v>
      </c>
      <c r="AK3274">
        <v>2831027230</v>
      </c>
      <c r="AL3274" t="s">
        <v>5704</v>
      </c>
      <c r="AM3274" t="s">
        <v>64</v>
      </c>
      <c r="AN3274" t="s">
        <v>65</v>
      </c>
      <c r="AO3274" t="s">
        <v>65</v>
      </c>
      <c r="AP3274" t="s">
        <v>65</v>
      </c>
      <c r="AQ3274">
        <v>1</v>
      </c>
      <c r="AR3274" t="s">
        <v>5644</v>
      </c>
      <c r="AS3274" t="s">
        <v>5645</v>
      </c>
      <c r="AT3274" t="s">
        <v>58</v>
      </c>
      <c r="AU3274" t="s">
        <v>68</v>
      </c>
      <c r="AV3274" t="s">
        <v>69</v>
      </c>
      <c r="AW3274" s="1">
        <v>23074</v>
      </c>
      <c r="AX3274">
        <v>2</v>
      </c>
    </row>
    <row r="3275" spans="1:50">
      <c r="A3275">
        <v>197414</v>
      </c>
      <c r="B3275" t="str">
        <f>"131450281"</f>
        <v>131450281</v>
      </c>
      <c r="C3275" t="s">
        <v>50</v>
      </c>
      <c r="D3275" t="s">
        <v>3299</v>
      </c>
      <c r="E3275" t="s">
        <v>52</v>
      </c>
      <c r="F3275" t="s">
        <v>95</v>
      </c>
      <c r="G3275" t="s">
        <v>83</v>
      </c>
      <c r="H3275" t="str">
        <f>"ΓΕΡΑΝΙ ΡΕΘΥΜΝΟ"</f>
        <v>ΓΕΡΑΝΙ ΡΕΘΥΜΝΟ</v>
      </c>
      <c r="I3275">
        <v>74100</v>
      </c>
      <c r="J3275">
        <v>2831033142</v>
      </c>
      <c r="K3275">
        <v>6932450493</v>
      </c>
      <c r="M3275" t="s">
        <v>6383</v>
      </c>
      <c r="N3275" t="s">
        <v>146</v>
      </c>
      <c r="O3275" t="s">
        <v>147</v>
      </c>
      <c r="R3275" t="s">
        <v>57</v>
      </c>
      <c r="S3275">
        <v>7</v>
      </c>
      <c r="T3275">
        <v>206</v>
      </c>
      <c r="U3275" s="1">
        <v>37866</v>
      </c>
      <c r="V3275" t="s">
        <v>5644</v>
      </c>
      <c r="W3275" t="s">
        <v>5645</v>
      </c>
      <c r="X3275" t="s">
        <v>58</v>
      </c>
      <c r="Y3275">
        <v>20</v>
      </c>
      <c r="Z3275" t="s">
        <v>59</v>
      </c>
      <c r="AA3275" t="s">
        <v>59</v>
      </c>
      <c r="AB3275" t="s">
        <v>59</v>
      </c>
      <c r="AC3275" t="s">
        <v>59</v>
      </c>
      <c r="AD3275" t="s">
        <v>59</v>
      </c>
      <c r="AF3275" s="1">
        <v>37866</v>
      </c>
      <c r="AG3275" t="s">
        <v>148</v>
      </c>
      <c r="AH3275" t="s">
        <v>149</v>
      </c>
      <c r="AI3275" t="str">
        <f>"4144002"</f>
        <v>4144002</v>
      </c>
      <c r="AJ3275" t="s">
        <v>5655</v>
      </c>
      <c r="AK3275">
        <v>2831061110</v>
      </c>
      <c r="AL3275" t="s">
        <v>5656</v>
      </c>
      <c r="AM3275" t="s">
        <v>64</v>
      </c>
      <c r="AN3275" t="s">
        <v>65</v>
      </c>
      <c r="AO3275" t="s">
        <v>5657</v>
      </c>
      <c r="AP3275" t="s">
        <v>1437</v>
      </c>
      <c r="AQ3275">
        <v>1</v>
      </c>
      <c r="AR3275" t="s">
        <v>5644</v>
      </c>
      <c r="AS3275" t="s">
        <v>5645</v>
      </c>
      <c r="AT3275" t="s">
        <v>58</v>
      </c>
      <c r="AU3275" t="s">
        <v>68</v>
      </c>
      <c r="AV3275" t="s">
        <v>69</v>
      </c>
      <c r="AW3275" s="1">
        <v>27715</v>
      </c>
      <c r="AX3275">
        <v>2</v>
      </c>
    </row>
    <row r="3276" spans="1:50">
      <c r="A3276">
        <v>211311</v>
      </c>
      <c r="B3276" t="str">
        <f>"045957259"</f>
        <v>045957259</v>
      </c>
      <c r="C3276" t="s">
        <v>50</v>
      </c>
      <c r="D3276" t="s">
        <v>6384</v>
      </c>
      <c r="E3276" t="s">
        <v>1068</v>
      </c>
      <c r="F3276" t="s">
        <v>99</v>
      </c>
      <c r="G3276" t="s">
        <v>52</v>
      </c>
      <c r="H3276" t="str">
        <f>"ΔΟΥΛΓΕΡΑΚΗ 7 ΡΕΘΥΜΝΟ"</f>
        <v>ΔΟΥΛΓΕΡΑΚΗ 7 ΡΕΘΥΜΝΟ</v>
      </c>
      <c r="I3276">
        <v>74100</v>
      </c>
      <c r="J3276">
        <v>2831055919</v>
      </c>
      <c r="K3276">
        <v>6976791369</v>
      </c>
      <c r="N3276" t="s">
        <v>299</v>
      </c>
      <c r="O3276" t="s">
        <v>300</v>
      </c>
      <c r="R3276" t="s">
        <v>57</v>
      </c>
      <c r="S3276">
        <v>7</v>
      </c>
      <c r="T3276">
        <v>299</v>
      </c>
      <c r="U3276" s="1">
        <v>38670</v>
      </c>
      <c r="V3276" t="s">
        <v>5644</v>
      </c>
      <c r="W3276" t="s">
        <v>5645</v>
      </c>
      <c r="X3276" t="s">
        <v>58</v>
      </c>
      <c r="Y3276">
        <v>20</v>
      </c>
      <c r="Z3276" t="s">
        <v>59</v>
      </c>
      <c r="AA3276" t="s">
        <v>59</v>
      </c>
      <c r="AB3276" t="s">
        <v>59</v>
      </c>
      <c r="AC3276" t="s">
        <v>59</v>
      </c>
      <c r="AD3276" t="s">
        <v>59</v>
      </c>
      <c r="AF3276" s="1">
        <v>38672</v>
      </c>
      <c r="AG3276" t="s">
        <v>137</v>
      </c>
      <c r="AH3276" t="s">
        <v>138</v>
      </c>
      <c r="AI3276" t="str">
        <f>"4152001"</f>
        <v>4152001</v>
      </c>
      <c r="AJ3276" t="s">
        <v>5665</v>
      </c>
      <c r="AK3276">
        <v>2831024375</v>
      </c>
      <c r="AL3276" t="s">
        <v>5666</v>
      </c>
      <c r="AM3276" t="s">
        <v>64</v>
      </c>
      <c r="AN3276" t="s">
        <v>65</v>
      </c>
      <c r="AO3276" t="s">
        <v>65</v>
      </c>
      <c r="AP3276" t="s">
        <v>65</v>
      </c>
      <c r="AQ3276">
        <v>1</v>
      </c>
      <c r="AR3276" t="s">
        <v>5644</v>
      </c>
      <c r="AS3276" t="s">
        <v>5645</v>
      </c>
      <c r="AT3276" t="s">
        <v>58</v>
      </c>
      <c r="AU3276" t="s">
        <v>68</v>
      </c>
      <c r="AV3276" t="s">
        <v>357</v>
      </c>
      <c r="AW3276" s="1">
        <v>25419</v>
      </c>
      <c r="AX3276">
        <v>2</v>
      </c>
    </row>
    <row r="3277" spans="1:50">
      <c r="B3277" t="str">
        <f>"109139400"</f>
        <v>109139400</v>
      </c>
      <c r="C3277" t="s">
        <v>50</v>
      </c>
      <c r="D3277" t="s">
        <v>6385</v>
      </c>
      <c r="E3277" t="s">
        <v>112</v>
      </c>
      <c r="F3277" t="s">
        <v>72</v>
      </c>
      <c r="G3277" t="s">
        <v>566</v>
      </c>
      <c r="H3277" t="str">
        <f>"ΣΟΦ. ΒΕΝΙΖΕΛΟΥ 67 ΡΕΘΥΜΝΟ"</f>
        <v>ΣΟΦ. ΒΕΝΙΖΕΛΟΥ 67 ΡΕΘΥΜΝΟ</v>
      </c>
      <c r="I3277">
        <v>74100</v>
      </c>
      <c r="J3277">
        <v>2831052668</v>
      </c>
      <c r="K3277">
        <v>6974491009</v>
      </c>
      <c r="M3277" t="s">
        <v>6386</v>
      </c>
      <c r="N3277" t="s">
        <v>146</v>
      </c>
      <c r="O3277" t="s">
        <v>147</v>
      </c>
      <c r="R3277" t="s">
        <v>159</v>
      </c>
      <c r="S3277">
        <v>4</v>
      </c>
      <c r="T3277" t="s">
        <v>160</v>
      </c>
      <c r="U3277" s="1">
        <v>43364</v>
      </c>
      <c r="V3277" t="s">
        <v>5644</v>
      </c>
      <c r="W3277" t="s">
        <v>5645</v>
      </c>
      <c r="X3277" t="s">
        <v>58</v>
      </c>
      <c r="Y3277">
        <v>21</v>
      </c>
      <c r="Z3277" t="s">
        <v>59</v>
      </c>
      <c r="AA3277" t="s">
        <v>59</v>
      </c>
      <c r="AB3277" t="s">
        <v>59</v>
      </c>
      <c r="AC3277" t="s">
        <v>59</v>
      </c>
      <c r="AD3277" t="s">
        <v>59</v>
      </c>
      <c r="AF3277" s="1">
        <v>43367</v>
      </c>
      <c r="AG3277" t="s">
        <v>125</v>
      </c>
      <c r="AH3277" t="s">
        <v>126</v>
      </c>
      <c r="AI3277" t="str">
        <f>"4104010"</f>
        <v>4104010</v>
      </c>
      <c r="AJ3277" t="s">
        <v>5745</v>
      </c>
      <c r="AK3277">
        <v>2834022235</v>
      </c>
      <c r="AL3277" t="s">
        <v>5746</v>
      </c>
      <c r="AM3277" t="s">
        <v>64</v>
      </c>
      <c r="AN3277" t="s">
        <v>5672</v>
      </c>
      <c r="AO3277" t="s">
        <v>5673</v>
      </c>
      <c r="AP3277" t="s">
        <v>5689</v>
      </c>
      <c r="AQ3277">
        <v>2</v>
      </c>
      <c r="AR3277" t="s">
        <v>5644</v>
      </c>
      <c r="AS3277" t="s">
        <v>5645</v>
      </c>
      <c r="AT3277" t="s">
        <v>58</v>
      </c>
      <c r="AU3277" t="s">
        <v>164</v>
      </c>
      <c r="AV3277" t="s">
        <v>132</v>
      </c>
      <c r="AW3277" s="1">
        <v>27334</v>
      </c>
      <c r="AX3277">
        <v>2</v>
      </c>
    </row>
    <row r="3278" spans="1:50">
      <c r="A3278">
        <v>222506</v>
      </c>
      <c r="B3278" t="str">
        <f>"063969162"</f>
        <v>063969162</v>
      </c>
      <c r="C3278" t="s">
        <v>50</v>
      </c>
      <c r="D3278" t="s">
        <v>6387</v>
      </c>
      <c r="E3278" t="s">
        <v>83</v>
      </c>
      <c r="F3278" t="s">
        <v>920</v>
      </c>
      <c r="G3278" t="s">
        <v>52</v>
      </c>
      <c r="H3278" t="str">
        <f>"Τ.Θ. 6437 ΓΩΝΙΑ ΡΕΘΥΜΝΟΥ"</f>
        <v>Τ.Θ. 6437 ΓΩΝΙΑ ΡΕΘΥΜΝΟΥ</v>
      </c>
      <c r="I3278">
        <v>74100</v>
      </c>
      <c r="J3278">
        <v>2831029929</v>
      </c>
      <c r="K3278">
        <v>6974680231</v>
      </c>
      <c r="N3278" t="s">
        <v>146</v>
      </c>
      <c r="O3278" t="s">
        <v>147</v>
      </c>
      <c r="R3278" t="s">
        <v>57</v>
      </c>
      <c r="S3278">
        <v>6</v>
      </c>
      <c r="T3278">
        <v>775</v>
      </c>
      <c r="U3278" s="1">
        <v>39680</v>
      </c>
      <c r="V3278" t="s">
        <v>5644</v>
      </c>
      <c r="W3278" t="s">
        <v>5645</v>
      </c>
      <c r="X3278" t="s">
        <v>58</v>
      </c>
      <c r="Y3278">
        <v>20</v>
      </c>
      <c r="Z3278" t="s">
        <v>59</v>
      </c>
      <c r="AA3278" t="s">
        <v>59</v>
      </c>
      <c r="AB3278" t="s">
        <v>59</v>
      </c>
      <c r="AC3278" t="s">
        <v>59</v>
      </c>
      <c r="AD3278" t="s">
        <v>59</v>
      </c>
      <c r="AF3278" s="1">
        <v>39681</v>
      </c>
      <c r="AG3278" t="s">
        <v>137</v>
      </c>
      <c r="AH3278" t="s">
        <v>138</v>
      </c>
      <c r="AI3278" t="str">
        <f>"4150040"</f>
        <v>4150040</v>
      </c>
      <c r="AJ3278" t="s">
        <v>5661</v>
      </c>
      <c r="AK3278">
        <v>2831029048</v>
      </c>
      <c r="AL3278" t="s">
        <v>5662</v>
      </c>
      <c r="AM3278" t="s">
        <v>64</v>
      </c>
      <c r="AN3278" t="s">
        <v>65</v>
      </c>
      <c r="AO3278" t="s">
        <v>65</v>
      </c>
      <c r="AP3278" t="s">
        <v>65</v>
      </c>
      <c r="AQ3278">
        <v>1</v>
      </c>
      <c r="AR3278" t="s">
        <v>5644</v>
      </c>
      <c r="AS3278" t="s">
        <v>5645</v>
      </c>
      <c r="AT3278" t="s">
        <v>58</v>
      </c>
      <c r="AU3278" t="s">
        <v>68</v>
      </c>
      <c r="AV3278" t="s">
        <v>69</v>
      </c>
      <c r="AW3278" s="1">
        <v>24240</v>
      </c>
      <c r="AX3278">
        <v>2</v>
      </c>
    </row>
    <row r="3279" spans="1:50">
      <c r="A3279">
        <v>191793</v>
      </c>
      <c r="B3279" t="str">
        <f>"078782970"</f>
        <v>078782970</v>
      </c>
      <c r="C3279" t="s">
        <v>105</v>
      </c>
      <c r="D3279" t="s">
        <v>6388</v>
      </c>
      <c r="E3279" t="s">
        <v>1330</v>
      </c>
      <c r="F3279" t="s">
        <v>53</v>
      </c>
      <c r="G3279" t="s">
        <v>1001</v>
      </c>
      <c r="H3279" t="str">
        <f>"ΑΡΜΕΝΟΙ, ΤΘ 2744 "</f>
        <v xml:space="preserve">ΑΡΜΕΝΟΙ, ΤΘ 2744 </v>
      </c>
      <c r="I3279">
        <v>74100</v>
      </c>
      <c r="K3279">
        <v>6977412687</v>
      </c>
      <c r="N3279" t="s">
        <v>168</v>
      </c>
      <c r="O3279" t="s">
        <v>169</v>
      </c>
      <c r="R3279" t="s">
        <v>57</v>
      </c>
      <c r="S3279">
        <v>9</v>
      </c>
      <c r="T3279">
        <v>291</v>
      </c>
      <c r="U3279" s="1">
        <v>37218</v>
      </c>
      <c r="V3279" t="s">
        <v>5644</v>
      </c>
      <c r="W3279" t="s">
        <v>5645</v>
      </c>
      <c r="X3279" t="s">
        <v>58</v>
      </c>
      <c r="Y3279">
        <v>20</v>
      </c>
      <c r="Z3279" t="s">
        <v>59</v>
      </c>
      <c r="AA3279" t="s">
        <v>59</v>
      </c>
      <c r="AB3279" t="s">
        <v>59</v>
      </c>
      <c r="AC3279" t="s">
        <v>59</v>
      </c>
      <c r="AD3279" t="s">
        <v>59</v>
      </c>
      <c r="AF3279" s="1">
        <v>37218</v>
      </c>
      <c r="AG3279" t="s">
        <v>137</v>
      </c>
      <c r="AH3279" t="s">
        <v>138</v>
      </c>
      <c r="AI3279" t="str">
        <f>"4150040"</f>
        <v>4150040</v>
      </c>
      <c r="AJ3279" t="s">
        <v>5661</v>
      </c>
      <c r="AK3279">
        <v>2831029048</v>
      </c>
      <c r="AL3279" t="s">
        <v>5662</v>
      </c>
      <c r="AM3279" t="s">
        <v>64</v>
      </c>
      <c r="AN3279" t="s">
        <v>65</v>
      </c>
      <c r="AO3279" t="s">
        <v>65</v>
      </c>
      <c r="AP3279" t="s">
        <v>65</v>
      </c>
      <c r="AQ3279">
        <v>1</v>
      </c>
      <c r="AR3279" t="s">
        <v>5644</v>
      </c>
      <c r="AS3279" t="s">
        <v>5645</v>
      </c>
      <c r="AT3279" t="s">
        <v>58</v>
      </c>
      <c r="AU3279" t="s">
        <v>68</v>
      </c>
      <c r="AV3279" t="s">
        <v>69</v>
      </c>
      <c r="AW3279" s="1">
        <v>26331</v>
      </c>
      <c r="AX3279">
        <v>2</v>
      </c>
    </row>
    <row r="3280" spans="1:50">
      <c r="A3280">
        <v>200708</v>
      </c>
      <c r="B3280" t="str">
        <f>"079218281"</f>
        <v>079218281</v>
      </c>
      <c r="C3280" t="s">
        <v>105</v>
      </c>
      <c r="D3280" t="s">
        <v>3326</v>
      </c>
      <c r="E3280" t="s">
        <v>900</v>
      </c>
      <c r="F3280" t="s">
        <v>450</v>
      </c>
      <c r="G3280" t="s">
        <v>1001</v>
      </c>
      <c r="H3280" t="str">
        <f>"ΣΑΟΥΝΑΤΣΟΥ 28 ΡΕΘΥΜΝΟ"</f>
        <v>ΣΑΟΥΝΑΤΣΟΥ 28 ΡΕΘΥΜΝΟ</v>
      </c>
      <c r="I3280">
        <v>74100</v>
      </c>
      <c r="J3280">
        <v>2106912256</v>
      </c>
      <c r="K3280">
        <v>6977471813</v>
      </c>
      <c r="N3280" t="s">
        <v>331</v>
      </c>
      <c r="O3280" t="s">
        <v>332</v>
      </c>
      <c r="R3280" t="s">
        <v>57</v>
      </c>
      <c r="S3280">
        <v>11</v>
      </c>
      <c r="T3280">
        <v>213</v>
      </c>
      <c r="U3280" s="1">
        <v>37874</v>
      </c>
      <c r="V3280" t="s">
        <v>5644</v>
      </c>
      <c r="W3280" t="s">
        <v>5645</v>
      </c>
      <c r="X3280" t="s">
        <v>58</v>
      </c>
      <c r="Y3280">
        <v>20</v>
      </c>
      <c r="Z3280" t="s">
        <v>59</v>
      </c>
      <c r="AA3280" t="s">
        <v>59</v>
      </c>
      <c r="AB3280" t="s">
        <v>59</v>
      </c>
      <c r="AC3280" t="s">
        <v>59</v>
      </c>
      <c r="AD3280" t="s">
        <v>59</v>
      </c>
      <c r="AF3280" s="1">
        <v>37879</v>
      </c>
      <c r="AG3280" t="s">
        <v>137</v>
      </c>
      <c r="AH3280" t="s">
        <v>138</v>
      </c>
      <c r="AI3280" t="str">
        <f>"4150040"</f>
        <v>4150040</v>
      </c>
      <c r="AJ3280" t="s">
        <v>5661</v>
      </c>
      <c r="AK3280">
        <v>2831029048</v>
      </c>
      <c r="AL3280" t="s">
        <v>5662</v>
      </c>
      <c r="AM3280" t="s">
        <v>64</v>
      </c>
      <c r="AN3280" t="s">
        <v>65</v>
      </c>
      <c r="AO3280" t="s">
        <v>65</v>
      </c>
      <c r="AP3280" t="s">
        <v>65</v>
      </c>
      <c r="AQ3280">
        <v>1</v>
      </c>
      <c r="AR3280" t="s">
        <v>5644</v>
      </c>
      <c r="AS3280" t="s">
        <v>5645</v>
      </c>
      <c r="AT3280" t="s">
        <v>58</v>
      </c>
      <c r="AU3280" t="s">
        <v>68</v>
      </c>
      <c r="AV3280" t="s">
        <v>69</v>
      </c>
      <c r="AW3280" s="1">
        <v>25081</v>
      </c>
      <c r="AX3280">
        <v>2</v>
      </c>
    </row>
    <row r="3281" spans="1:50">
      <c r="A3281">
        <v>161039</v>
      </c>
      <c r="B3281" t="str">
        <f>"064510873"</f>
        <v>064510873</v>
      </c>
      <c r="C3281" t="s">
        <v>50</v>
      </c>
      <c r="D3281" t="s">
        <v>3333</v>
      </c>
      <c r="E3281" t="s">
        <v>73</v>
      </c>
      <c r="F3281" t="s">
        <v>166</v>
      </c>
      <c r="G3281" t="s">
        <v>476</v>
      </c>
      <c r="H3281" t="str">
        <f>"ΣΚΑΡΙΜΠΑ 1 ΡΕΘΥΜΝΟ"</f>
        <v>ΣΚΑΡΙΜΠΑ 1 ΡΕΘΥΜΝΟ</v>
      </c>
      <c r="I3281">
        <v>74100</v>
      </c>
      <c r="K3281">
        <v>6981367868</v>
      </c>
      <c r="N3281" t="s">
        <v>176</v>
      </c>
      <c r="O3281" t="s">
        <v>177</v>
      </c>
      <c r="R3281" t="s">
        <v>57</v>
      </c>
      <c r="S3281">
        <v>15</v>
      </c>
      <c r="T3281" t="s">
        <v>6389</v>
      </c>
      <c r="U3281" s="1">
        <v>33119</v>
      </c>
      <c r="V3281" t="s">
        <v>5644</v>
      </c>
      <c r="W3281" t="s">
        <v>5645</v>
      </c>
      <c r="X3281" t="s">
        <v>58</v>
      </c>
      <c r="Y3281">
        <v>18</v>
      </c>
      <c r="Z3281" t="s">
        <v>59</v>
      </c>
      <c r="AA3281" t="s">
        <v>59</v>
      </c>
      <c r="AB3281" t="s">
        <v>59</v>
      </c>
      <c r="AC3281" t="s">
        <v>59</v>
      </c>
      <c r="AD3281" t="s">
        <v>59</v>
      </c>
      <c r="AF3281" s="1">
        <v>33119</v>
      </c>
      <c r="AG3281" t="s">
        <v>125</v>
      </c>
      <c r="AH3281" t="s">
        <v>294</v>
      </c>
      <c r="AI3281" t="str">
        <f>"4101045"</f>
        <v>4101045</v>
      </c>
      <c r="AJ3281" t="s">
        <v>5677</v>
      </c>
      <c r="AK3281">
        <v>2831027553</v>
      </c>
      <c r="AL3281" t="s">
        <v>5678</v>
      </c>
      <c r="AM3281" t="s">
        <v>64</v>
      </c>
      <c r="AN3281" t="s">
        <v>65</v>
      </c>
      <c r="AO3281" t="s">
        <v>65</v>
      </c>
      <c r="AP3281" t="s">
        <v>65</v>
      </c>
      <c r="AQ3281">
        <v>1</v>
      </c>
      <c r="AR3281" t="s">
        <v>5644</v>
      </c>
      <c r="AS3281" t="s">
        <v>5645</v>
      </c>
      <c r="AT3281" t="s">
        <v>58</v>
      </c>
      <c r="AU3281" t="s">
        <v>68</v>
      </c>
      <c r="AV3281" t="s">
        <v>69</v>
      </c>
      <c r="AW3281" s="1">
        <v>23113</v>
      </c>
      <c r="AX3281">
        <v>2</v>
      </c>
    </row>
    <row r="3282" spans="1:50">
      <c r="A3282">
        <v>220171</v>
      </c>
      <c r="B3282" t="str">
        <f>"061967185"</f>
        <v>061967185</v>
      </c>
      <c r="C3282" t="s">
        <v>50</v>
      </c>
      <c r="D3282" t="s">
        <v>6390</v>
      </c>
      <c r="E3282" t="s">
        <v>83</v>
      </c>
      <c r="F3282" t="s">
        <v>53</v>
      </c>
      <c r="G3282" t="s">
        <v>1902</v>
      </c>
      <c r="H3282" t="str">
        <f>"ΑΡΗ ΒΕΛΟΥΧΙΩΤΗ 23 "</f>
        <v xml:space="preserve">ΑΡΗ ΒΕΛΟΥΧΙΩΤΗ 23 </v>
      </c>
      <c r="I3282">
        <v>74100</v>
      </c>
      <c r="J3282">
        <v>2104536848</v>
      </c>
      <c r="K3282">
        <v>6937990993</v>
      </c>
      <c r="M3282" t="s">
        <v>6391</v>
      </c>
      <c r="N3282" t="s">
        <v>547</v>
      </c>
      <c r="O3282" t="s">
        <v>548</v>
      </c>
      <c r="R3282" t="s">
        <v>57</v>
      </c>
      <c r="S3282">
        <v>9</v>
      </c>
      <c r="T3282">
        <v>599</v>
      </c>
      <c r="U3282" s="1">
        <v>39310</v>
      </c>
      <c r="V3282" t="s">
        <v>5644</v>
      </c>
      <c r="W3282" t="s">
        <v>5645</v>
      </c>
      <c r="X3282" t="s">
        <v>58</v>
      </c>
      <c r="Y3282">
        <v>20</v>
      </c>
      <c r="Z3282" t="s">
        <v>59</v>
      </c>
      <c r="AA3282" t="s">
        <v>59</v>
      </c>
      <c r="AB3282" t="s">
        <v>59</v>
      </c>
      <c r="AC3282" t="s">
        <v>59</v>
      </c>
      <c r="AD3282" t="s">
        <v>59</v>
      </c>
      <c r="AF3282" s="1">
        <v>39328</v>
      </c>
      <c r="AG3282" t="s">
        <v>137</v>
      </c>
      <c r="AH3282" t="s">
        <v>138</v>
      </c>
      <c r="AI3282" t="str">
        <f>"4150040"</f>
        <v>4150040</v>
      </c>
      <c r="AJ3282" t="s">
        <v>5661</v>
      </c>
      <c r="AK3282">
        <v>2831029048</v>
      </c>
      <c r="AL3282" t="s">
        <v>5662</v>
      </c>
      <c r="AM3282" t="s">
        <v>64</v>
      </c>
      <c r="AN3282" t="s">
        <v>65</v>
      </c>
      <c r="AO3282" t="s">
        <v>65</v>
      </c>
      <c r="AP3282" t="s">
        <v>65</v>
      </c>
      <c r="AQ3282">
        <v>1</v>
      </c>
      <c r="AR3282" t="s">
        <v>5644</v>
      </c>
      <c r="AS3282" t="s">
        <v>5645</v>
      </c>
      <c r="AT3282" t="s">
        <v>58</v>
      </c>
      <c r="AU3282" t="s">
        <v>68</v>
      </c>
      <c r="AV3282" t="s">
        <v>69</v>
      </c>
      <c r="AW3282" s="1">
        <v>26710</v>
      </c>
      <c r="AX3282">
        <v>2</v>
      </c>
    </row>
    <row r="3283" spans="1:50">
      <c r="A3283">
        <v>146240</v>
      </c>
      <c r="B3283" t="str">
        <f>"027255506"</f>
        <v>027255506</v>
      </c>
      <c r="C3283" t="s">
        <v>50</v>
      </c>
      <c r="D3283" t="s">
        <v>3337</v>
      </c>
      <c r="E3283" t="s">
        <v>6392</v>
      </c>
      <c r="F3283" t="s">
        <v>72</v>
      </c>
      <c r="G3283" t="s">
        <v>52</v>
      </c>
      <c r="H3283" t="str">
        <f>"ΒΑΡΝΑΛΗ 7 ΚΑΛΛΙΘΕΑ"</f>
        <v>ΒΑΡΝΑΛΗ 7 ΚΑΛΛΙΘΕΑ</v>
      </c>
      <c r="I3283">
        <v>74100</v>
      </c>
      <c r="J3283">
        <v>2831027291</v>
      </c>
      <c r="K3283">
        <v>6978471119</v>
      </c>
      <c r="M3283" t="s">
        <v>6393</v>
      </c>
      <c r="N3283" t="s">
        <v>146</v>
      </c>
      <c r="O3283" t="s">
        <v>147</v>
      </c>
      <c r="R3283" t="s">
        <v>57</v>
      </c>
      <c r="S3283">
        <v>17</v>
      </c>
      <c r="T3283">
        <v>237</v>
      </c>
      <c r="U3283" s="1">
        <v>31293</v>
      </c>
      <c r="V3283" t="s">
        <v>5644</v>
      </c>
      <c r="W3283" t="s">
        <v>5645</v>
      </c>
      <c r="X3283" t="s">
        <v>58</v>
      </c>
      <c r="Y3283">
        <v>18</v>
      </c>
      <c r="Z3283" t="s">
        <v>59</v>
      </c>
      <c r="AA3283" t="s">
        <v>59</v>
      </c>
      <c r="AB3283" t="s">
        <v>59</v>
      </c>
      <c r="AC3283" t="s">
        <v>59</v>
      </c>
      <c r="AD3283" t="s">
        <v>59</v>
      </c>
      <c r="AF3283" s="1">
        <v>31293</v>
      </c>
      <c r="AG3283" t="s">
        <v>148</v>
      </c>
      <c r="AH3283" t="s">
        <v>149</v>
      </c>
      <c r="AI3283" t="str">
        <f>"4151009"</f>
        <v>4151009</v>
      </c>
      <c r="AJ3283" t="s">
        <v>5649</v>
      </c>
      <c r="AK3283">
        <v>2831027115</v>
      </c>
      <c r="AL3283" t="s">
        <v>5650</v>
      </c>
      <c r="AM3283" t="s">
        <v>64</v>
      </c>
      <c r="AN3283" t="s">
        <v>65</v>
      </c>
      <c r="AO3283" t="s">
        <v>65</v>
      </c>
      <c r="AP3283" t="s">
        <v>65</v>
      </c>
      <c r="AQ3283">
        <v>1</v>
      </c>
      <c r="AR3283" t="s">
        <v>5644</v>
      </c>
      <c r="AS3283" t="s">
        <v>5645</v>
      </c>
      <c r="AT3283" t="s">
        <v>58</v>
      </c>
      <c r="AU3283" t="s">
        <v>68</v>
      </c>
      <c r="AV3283" t="s">
        <v>69</v>
      </c>
      <c r="AW3283" s="1">
        <v>21790</v>
      </c>
      <c r="AX3283">
        <v>2</v>
      </c>
    </row>
    <row r="3284" spans="1:50">
      <c r="A3284">
        <v>182722</v>
      </c>
      <c r="B3284" t="str">
        <f>"045567153"</f>
        <v>045567153</v>
      </c>
      <c r="C3284" t="s">
        <v>105</v>
      </c>
      <c r="D3284" t="s">
        <v>6394</v>
      </c>
      <c r="E3284" t="s">
        <v>95</v>
      </c>
      <c r="F3284" t="s">
        <v>72</v>
      </c>
      <c r="G3284" t="s">
        <v>54</v>
      </c>
      <c r="H3284" t="str">
        <f>"ΕΠΙΣΚΟΠΗ ΕΠΙΣΚΟΠΗ"</f>
        <v>ΕΠΙΣΚΟΠΗ ΕΠΙΣΚΟΠΗ</v>
      </c>
      <c r="I3284">
        <v>74055</v>
      </c>
      <c r="J3284">
        <v>2831061290</v>
      </c>
      <c r="K3284">
        <v>6972256942</v>
      </c>
      <c r="N3284" t="s">
        <v>246</v>
      </c>
      <c r="O3284" t="s">
        <v>247</v>
      </c>
      <c r="R3284" t="s">
        <v>57</v>
      </c>
      <c r="S3284">
        <v>11</v>
      </c>
      <c r="T3284">
        <v>249</v>
      </c>
      <c r="U3284" s="1">
        <v>36160</v>
      </c>
      <c r="V3284" t="s">
        <v>5644</v>
      </c>
      <c r="W3284" t="s">
        <v>5645</v>
      </c>
      <c r="X3284" t="s">
        <v>58</v>
      </c>
      <c r="Y3284">
        <v>20</v>
      </c>
      <c r="Z3284" t="s">
        <v>59</v>
      </c>
      <c r="AA3284" t="s">
        <v>59</v>
      </c>
      <c r="AB3284" t="s">
        <v>59</v>
      </c>
      <c r="AC3284" t="s">
        <v>59</v>
      </c>
      <c r="AD3284" t="s">
        <v>452</v>
      </c>
      <c r="AE3284" s="1">
        <v>43708</v>
      </c>
      <c r="AF3284" s="1">
        <v>36160</v>
      </c>
      <c r="AG3284" t="s">
        <v>148</v>
      </c>
      <c r="AH3284" t="s">
        <v>2782</v>
      </c>
      <c r="AI3284" t="str">
        <f>"4151040"</f>
        <v>4151040</v>
      </c>
      <c r="AJ3284" t="s">
        <v>5810</v>
      </c>
      <c r="AK3284">
        <v>2831023425</v>
      </c>
      <c r="AL3284" t="s">
        <v>5811</v>
      </c>
      <c r="AM3284" t="s">
        <v>64</v>
      </c>
      <c r="AN3284" t="s">
        <v>65</v>
      </c>
      <c r="AO3284" t="s">
        <v>65</v>
      </c>
      <c r="AP3284" t="s">
        <v>65</v>
      </c>
      <c r="AQ3284">
        <v>1</v>
      </c>
      <c r="AR3284" t="s">
        <v>5644</v>
      </c>
      <c r="AS3284" t="s">
        <v>5645</v>
      </c>
      <c r="AT3284" t="s">
        <v>58</v>
      </c>
      <c r="AU3284" t="s">
        <v>68</v>
      </c>
      <c r="AV3284" t="s">
        <v>69</v>
      </c>
      <c r="AW3284" s="1">
        <v>25118</v>
      </c>
      <c r="AX3284">
        <v>2</v>
      </c>
    </row>
    <row r="3285" spans="1:50">
      <c r="A3285">
        <v>701226</v>
      </c>
      <c r="B3285" t="str">
        <f>"075467454"</f>
        <v>075467454</v>
      </c>
      <c r="C3285" t="s">
        <v>105</v>
      </c>
      <c r="D3285" t="s">
        <v>6395</v>
      </c>
      <c r="E3285" t="s">
        <v>53</v>
      </c>
      <c r="F3285" t="s">
        <v>4097</v>
      </c>
      <c r="G3285" t="s">
        <v>215</v>
      </c>
      <c r="H3285" t="str">
        <f>"ΑΓ. ΙΩΑΝΝΟΥ 2, ΔΑΦΝΕΣ ΗΡΑΚΛΕΙΟ"</f>
        <v>ΑΓ. ΙΩΑΝΝΟΥ 2, ΔΑΦΝΕΣ ΗΡΑΚΛΕΙΟ</v>
      </c>
      <c r="I3285">
        <v>70011</v>
      </c>
      <c r="J3285">
        <v>2810791608</v>
      </c>
      <c r="K3285">
        <v>6944521559</v>
      </c>
      <c r="M3285" t="s">
        <v>6396</v>
      </c>
      <c r="N3285" t="s">
        <v>232</v>
      </c>
      <c r="O3285" t="s">
        <v>233</v>
      </c>
      <c r="R3285" t="s">
        <v>57</v>
      </c>
      <c r="S3285">
        <v>7</v>
      </c>
      <c r="T3285">
        <v>772</v>
      </c>
      <c r="U3285" s="1">
        <v>40413</v>
      </c>
      <c r="V3285" t="s">
        <v>5644</v>
      </c>
      <c r="W3285" t="s">
        <v>5645</v>
      </c>
      <c r="X3285" t="s">
        <v>58</v>
      </c>
      <c r="Y3285">
        <v>21</v>
      </c>
      <c r="Z3285" t="s">
        <v>59</v>
      </c>
      <c r="AA3285" t="s">
        <v>59</v>
      </c>
      <c r="AB3285" t="s">
        <v>59</v>
      </c>
      <c r="AC3285" t="s">
        <v>59</v>
      </c>
      <c r="AD3285" t="s">
        <v>59</v>
      </c>
      <c r="AF3285" s="1">
        <v>40413</v>
      </c>
      <c r="AG3285" t="s">
        <v>148</v>
      </c>
      <c r="AH3285" t="s">
        <v>149</v>
      </c>
      <c r="AI3285" t="str">
        <f>"4152010"</f>
        <v>4152010</v>
      </c>
      <c r="AJ3285" t="s">
        <v>5739</v>
      </c>
      <c r="AK3285">
        <v>2834031205</v>
      </c>
      <c r="AL3285" t="s">
        <v>5740</v>
      </c>
      <c r="AM3285" t="s">
        <v>64</v>
      </c>
      <c r="AN3285" t="s">
        <v>5737</v>
      </c>
      <c r="AO3285" t="s">
        <v>5737</v>
      </c>
      <c r="AP3285" t="s">
        <v>5737</v>
      </c>
      <c r="AQ3285">
        <v>3</v>
      </c>
      <c r="AR3285" t="s">
        <v>5644</v>
      </c>
      <c r="AS3285" t="s">
        <v>5645</v>
      </c>
      <c r="AT3285" t="s">
        <v>58</v>
      </c>
      <c r="AU3285" t="s">
        <v>68</v>
      </c>
      <c r="AV3285" t="s">
        <v>69</v>
      </c>
      <c r="AW3285" s="1">
        <v>27073</v>
      </c>
      <c r="AX3285">
        <v>2</v>
      </c>
    </row>
    <row r="3286" spans="1:50">
      <c r="A3286">
        <v>587613</v>
      </c>
      <c r="B3286" t="str">
        <f>"061245176"</f>
        <v>061245176</v>
      </c>
      <c r="C3286" t="s">
        <v>50</v>
      </c>
      <c r="D3286" t="s">
        <v>6397</v>
      </c>
      <c r="E3286" t="s">
        <v>83</v>
      </c>
      <c r="F3286" t="s">
        <v>95</v>
      </c>
      <c r="G3286" t="s">
        <v>3467</v>
      </c>
      <c r="H3286" t="str">
        <f>"Τ.Θ.4-595  ΑΤΣΙΠΟΠΟΥΛΟ"</f>
        <v>Τ.Θ.4-595  ΑΤΣΙΠΟΠΟΥΛΟ</v>
      </c>
      <c r="I3286">
        <v>74100</v>
      </c>
      <c r="N3286" t="s">
        <v>337</v>
      </c>
      <c r="O3286" t="s">
        <v>338</v>
      </c>
      <c r="R3286" t="s">
        <v>57</v>
      </c>
      <c r="S3286">
        <v>9</v>
      </c>
      <c r="T3286">
        <v>164</v>
      </c>
      <c r="U3286" s="1">
        <v>36040</v>
      </c>
      <c r="V3286" t="s">
        <v>5644</v>
      </c>
      <c r="W3286" t="s">
        <v>5645</v>
      </c>
      <c r="X3286" t="s">
        <v>58</v>
      </c>
      <c r="Y3286">
        <v>20</v>
      </c>
      <c r="Z3286" t="s">
        <v>59</v>
      </c>
      <c r="AA3286" t="s">
        <v>59</v>
      </c>
      <c r="AB3286" t="s">
        <v>59</v>
      </c>
      <c r="AC3286" t="s">
        <v>59</v>
      </c>
      <c r="AD3286" t="s">
        <v>59</v>
      </c>
      <c r="AF3286" s="1">
        <v>36040</v>
      </c>
      <c r="AG3286" t="s">
        <v>125</v>
      </c>
      <c r="AH3286" t="s">
        <v>126</v>
      </c>
      <c r="AI3286" t="str">
        <f>"4110015"</f>
        <v>4110015</v>
      </c>
      <c r="AJ3286" t="s">
        <v>5723</v>
      </c>
      <c r="AK3286">
        <v>2831022741</v>
      </c>
      <c r="AL3286" t="s">
        <v>5724</v>
      </c>
      <c r="AM3286" t="s">
        <v>64</v>
      </c>
      <c r="AN3286" t="s">
        <v>65</v>
      </c>
      <c r="AO3286" t="s">
        <v>5720</v>
      </c>
      <c r="AP3286" t="s">
        <v>5721</v>
      </c>
      <c r="AQ3286">
        <v>1</v>
      </c>
      <c r="AR3286" t="s">
        <v>5644</v>
      </c>
      <c r="AS3286" t="s">
        <v>5645</v>
      </c>
      <c r="AT3286" t="s">
        <v>58</v>
      </c>
      <c r="AU3286" t="s">
        <v>68</v>
      </c>
      <c r="AV3286" t="s">
        <v>69</v>
      </c>
      <c r="AW3286" s="1">
        <v>26985</v>
      </c>
      <c r="AX3286">
        <v>2</v>
      </c>
    </row>
    <row r="3287" spans="1:50">
      <c r="A3287">
        <v>210235</v>
      </c>
      <c r="B3287" t="str">
        <f>"039805905"</f>
        <v>039805905</v>
      </c>
      <c r="C3287" t="s">
        <v>50</v>
      </c>
      <c r="D3287" t="s">
        <v>3365</v>
      </c>
      <c r="E3287" t="s">
        <v>71</v>
      </c>
      <c r="F3287" t="s">
        <v>154</v>
      </c>
      <c r="G3287" t="s">
        <v>250</v>
      </c>
      <c r="H3287" t="str">
        <f>"ΙΩΑΝΝΙΝΩΝ 22 Ν. ΦΙΛΑΔΕΛΦΕΙΑ"</f>
        <v>ΙΩΑΝΝΙΝΩΝ 22 Ν. ΦΙΛΑΔΕΛΦΕΙΑ</v>
      </c>
      <c r="I3287">
        <v>14342</v>
      </c>
      <c r="J3287">
        <v>2831072930</v>
      </c>
      <c r="K3287">
        <v>6976484925</v>
      </c>
      <c r="N3287" t="s">
        <v>683</v>
      </c>
      <c r="O3287" t="s">
        <v>684</v>
      </c>
      <c r="R3287" t="s">
        <v>57</v>
      </c>
      <c r="S3287">
        <v>6</v>
      </c>
      <c r="T3287">
        <v>235</v>
      </c>
      <c r="U3287" s="1">
        <v>38611</v>
      </c>
      <c r="V3287" t="s">
        <v>5644</v>
      </c>
      <c r="W3287" t="s">
        <v>5645</v>
      </c>
      <c r="X3287" t="s">
        <v>58</v>
      </c>
      <c r="Y3287">
        <v>20</v>
      </c>
      <c r="Z3287" t="s">
        <v>59</v>
      </c>
      <c r="AA3287" t="s">
        <v>59</v>
      </c>
      <c r="AB3287" t="s">
        <v>59</v>
      </c>
      <c r="AC3287" t="s">
        <v>59</v>
      </c>
      <c r="AD3287" t="s">
        <v>59</v>
      </c>
      <c r="AF3287" s="1">
        <v>38614</v>
      </c>
      <c r="AG3287" t="s">
        <v>125</v>
      </c>
      <c r="AH3287" t="s">
        <v>126</v>
      </c>
      <c r="AI3287" t="str">
        <f>"4101040"</f>
        <v>4101040</v>
      </c>
      <c r="AJ3287" t="s">
        <v>5732</v>
      </c>
      <c r="AK3287">
        <v>2831029261</v>
      </c>
      <c r="AL3287" t="s">
        <v>5733</v>
      </c>
      <c r="AM3287" t="s">
        <v>64</v>
      </c>
      <c r="AN3287" t="s">
        <v>65</v>
      </c>
      <c r="AO3287" t="s">
        <v>65</v>
      </c>
      <c r="AP3287" t="s">
        <v>65</v>
      </c>
      <c r="AQ3287">
        <v>1</v>
      </c>
      <c r="AR3287" t="s">
        <v>5644</v>
      </c>
      <c r="AS3287" t="s">
        <v>5645</v>
      </c>
      <c r="AT3287" t="s">
        <v>58</v>
      </c>
      <c r="AU3287" t="s">
        <v>68</v>
      </c>
      <c r="AV3287" t="s">
        <v>69</v>
      </c>
      <c r="AW3287" s="1">
        <v>26580</v>
      </c>
      <c r="AX3287">
        <v>2</v>
      </c>
    </row>
    <row r="3288" spans="1:50">
      <c r="B3288" t="str">
        <f>"130446233"</f>
        <v>130446233</v>
      </c>
      <c r="C3288" t="s">
        <v>50</v>
      </c>
      <c r="D3288" t="s">
        <v>3365</v>
      </c>
      <c r="E3288" t="s">
        <v>755</v>
      </c>
      <c r="F3288" t="s">
        <v>6398</v>
      </c>
      <c r="G3288" t="s">
        <v>610</v>
      </c>
      <c r="H3288" t="str">
        <f>" "</f>
        <v xml:space="preserve"> </v>
      </c>
      <c r="N3288" t="s">
        <v>447</v>
      </c>
      <c r="O3288" t="s">
        <v>448</v>
      </c>
      <c r="R3288" t="s">
        <v>121</v>
      </c>
      <c r="S3288">
        <v>1</v>
      </c>
      <c r="T3288" t="s">
        <v>122</v>
      </c>
      <c r="U3288" s="1">
        <v>43348</v>
      </c>
      <c r="V3288" t="s">
        <v>5644</v>
      </c>
      <c r="W3288" t="s">
        <v>5645</v>
      </c>
      <c r="X3288" t="s">
        <v>58</v>
      </c>
      <c r="Y3288">
        <v>23</v>
      </c>
      <c r="Z3288" t="s">
        <v>59</v>
      </c>
      <c r="AD3288" t="s">
        <v>59</v>
      </c>
      <c r="AF3288" s="1">
        <v>43348</v>
      </c>
      <c r="AG3288" t="s">
        <v>125</v>
      </c>
      <c r="AH3288" t="s">
        <v>126</v>
      </c>
      <c r="AI3288" t="str">
        <f>"4135001"</f>
        <v>4135001</v>
      </c>
      <c r="AJ3288" t="s">
        <v>5729</v>
      </c>
      <c r="AK3288">
        <v>2831073938</v>
      </c>
      <c r="AL3288" t="s">
        <v>5730</v>
      </c>
      <c r="AM3288" t="s">
        <v>64</v>
      </c>
      <c r="AN3288" t="s">
        <v>65</v>
      </c>
      <c r="AO3288" t="s">
        <v>65</v>
      </c>
      <c r="AP3288" t="s">
        <v>65</v>
      </c>
      <c r="AQ3288">
        <v>1</v>
      </c>
      <c r="AR3288" t="s">
        <v>5644</v>
      </c>
      <c r="AS3288" t="s">
        <v>5645</v>
      </c>
      <c r="AT3288" t="s">
        <v>58</v>
      </c>
      <c r="AU3288" t="s">
        <v>131</v>
      </c>
      <c r="AV3288" t="s">
        <v>132</v>
      </c>
      <c r="AW3288" s="1">
        <v>31048</v>
      </c>
      <c r="AX3288">
        <v>2</v>
      </c>
    </row>
    <row r="3289" spans="1:50">
      <c r="A3289">
        <v>141486</v>
      </c>
      <c r="B3289" t="str">
        <f>"022422441"</f>
        <v>022422441</v>
      </c>
      <c r="C3289" t="s">
        <v>50</v>
      </c>
      <c r="D3289" t="s">
        <v>6399</v>
      </c>
      <c r="E3289" t="s">
        <v>476</v>
      </c>
      <c r="F3289" t="s">
        <v>989</v>
      </c>
      <c r="G3289" t="s">
        <v>4196</v>
      </c>
      <c r="H3289" t="str">
        <f>"Χ. Δασκαλακη 5Α ΡΕΘΥΜΝΟ"</f>
        <v>Χ. Δασκαλακη 5Α ΡΕΘΥΜΝΟ</v>
      </c>
      <c r="I3289">
        <v>74100</v>
      </c>
      <c r="J3289">
        <v>2831503983</v>
      </c>
      <c r="K3289">
        <v>6977453290</v>
      </c>
      <c r="M3289" t="s">
        <v>6400</v>
      </c>
      <c r="N3289" t="s">
        <v>232</v>
      </c>
      <c r="O3289" t="s">
        <v>233</v>
      </c>
      <c r="R3289" t="s">
        <v>57</v>
      </c>
      <c r="S3289">
        <v>18</v>
      </c>
      <c r="T3289">
        <v>311</v>
      </c>
      <c r="U3289" s="1">
        <v>30253</v>
      </c>
      <c r="V3289" t="s">
        <v>5644</v>
      </c>
      <c r="W3289" t="s">
        <v>5645</v>
      </c>
      <c r="X3289" t="s">
        <v>58</v>
      </c>
      <c r="Y3289">
        <v>18</v>
      </c>
      <c r="Z3289" t="s">
        <v>59</v>
      </c>
      <c r="AA3289" t="s">
        <v>59</v>
      </c>
      <c r="AB3289" t="s">
        <v>59</v>
      </c>
      <c r="AC3289" t="s">
        <v>59</v>
      </c>
      <c r="AD3289" t="s">
        <v>59</v>
      </c>
      <c r="AF3289" s="1">
        <v>30253</v>
      </c>
      <c r="AG3289" t="s">
        <v>148</v>
      </c>
      <c r="AH3289" t="s">
        <v>149</v>
      </c>
      <c r="AI3289" t="str">
        <f>"4151030"</f>
        <v>4151030</v>
      </c>
      <c r="AJ3289" t="s">
        <v>5681</v>
      </c>
      <c r="AK3289">
        <v>2831023422</v>
      </c>
      <c r="AL3289" t="s">
        <v>5682</v>
      </c>
      <c r="AM3289" t="s">
        <v>64</v>
      </c>
      <c r="AN3289" t="s">
        <v>65</v>
      </c>
      <c r="AO3289" t="s">
        <v>65</v>
      </c>
      <c r="AP3289" t="s">
        <v>65</v>
      </c>
      <c r="AQ3289">
        <v>1</v>
      </c>
      <c r="AR3289" t="s">
        <v>5644</v>
      </c>
      <c r="AS3289" t="s">
        <v>5645</v>
      </c>
      <c r="AT3289" t="s">
        <v>58</v>
      </c>
      <c r="AU3289" t="s">
        <v>68</v>
      </c>
      <c r="AV3289" t="s">
        <v>69</v>
      </c>
      <c r="AW3289" s="1">
        <v>20517</v>
      </c>
      <c r="AX3289">
        <v>2</v>
      </c>
    </row>
    <row r="3290" spans="1:50">
      <c r="A3290">
        <v>168813</v>
      </c>
      <c r="B3290" t="str">
        <f>"033135920"</f>
        <v>033135920</v>
      </c>
      <c r="C3290" t="s">
        <v>50</v>
      </c>
      <c r="D3290" t="s">
        <v>3377</v>
      </c>
      <c r="E3290" t="s">
        <v>250</v>
      </c>
      <c r="F3290" t="s">
        <v>166</v>
      </c>
      <c r="G3290" t="s">
        <v>52</v>
      </c>
      <c r="H3290" t="str">
        <f>"Ρουσσοσπίτι  "</f>
        <v xml:space="preserve">Ρουσσοσπίτι  </v>
      </c>
      <c r="I3290">
        <v>74100</v>
      </c>
      <c r="J3290">
        <v>2831075230</v>
      </c>
      <c r="K3290">
        <v>6945255242</v>
      </c>
      <c r="M3290" t="s">
        <v>6401</v>
      </c>
      <c r="N3290" t="s">
        <v>282</v>
      </c>
      <c r="O3290" t="s">
        <v>283</v>
      </c>
      <c r="R3290" t="s">
        <v>57</v>
      </c>
      <c r="S3290">
        <v>15</v>
      </c>
      <c r="T3290" t="s">
        <v>6402</v>
      </c>
      <c r="U3290" s="1">
        <v>34582</v>
      </c>
      <c r="V3290" t="s">
        <v>5644</v>
      </c>
      <c r="W3290" t="s">
        <v>5645</v>
      </c>
      <c r="X3290" t="s">
        <v>58</v>
      </c>
      <c r="Y3290">
        <v>18</v>
      </c>
      <c r="Z3290" t="s">
        <v>59</v>
      </c>
      <c r="AA3290" t="s">
        <v>59</v>
      </c>
      <c r="AB3290" t="s">
        <v>59</v>
      </c>
      <c r="AC3290" t="s">
        <v>59</v>
      </c>
      <c r="AD3290" t="s">
        <v>452</v>
      </c>
      <c r="AE3290" s="1">
        <v>43708</v>
      </c>
      <c r="AF3290" s="1">
        <v>34582</v>
      </c>
      <c r="AG3290" t="s">
        <v>125</v>
      </c>
      <c r="AH3290" t="s">
        <v>5702</v>
      </c>
      <c r="AI3290" t="str">
        <f>"4101042"</f>
        <v>4101042</v>
      </c>
      <c r="AJ3290" t="s">
        <v>5703</v>
      </c>
      <c r="AK3290">
        <v>2831027230</v>
      </c>
      <c r="AL3290" t="s">
        <v>5704</v>
      </c>
      <c r="AM3290" t="s">
        <v>64</v>
      </c>
      <c r="AN3290" t="s">
        <v>65</v>
      </c>
      <c r="AO3290" t="s">
        <v>65</v>
      </c>
      <c r="AP3290" t="s">
        <v>65</v>
      </c>
      <c r="AQ3290">
        <v>1</v>
      </c>
      <c r="AR3290" t="s">
        <v>5644</v>
      </c>
      <c r="AS3290" t="s">
        <v>5645</v>
      </c>
      <c r="AT3290" t="s">
        <v>58</v>
      </c>
      <c r="AU3290" t="s">
        <v>68</v>
      </c>
      <c r="AV3290" t="s">
        <v>69</v>
      </c>
      <c r="AW3290" s="1">
        <v>23497</v>
      </c>
      <c r="AX3290">
        <v>2</v>
      </c>
    </row>
    <row r="3291" spans="1:50">
      <c r="A3291">
        <v>212361</v>
      </c>
      <c r="B3291" t="str">
        <f>"047921074"</f>
        <v>047921074</v>
      </c>
      <c r="C3291" t="s">
        <v>50</v>
      </c>
      <c r="D3291" t="s">
        <v>3377</v>
      </c>
      <c r="E3291" t="s">
        <v>52</v>
      </c>
      <c r="F3291" t="s">
        <v>510</v>
      </c>
      <c r="G3291" t="s">
        <v>1927</v>
      </c>
      <c r="H3291" t="str">
        <f>"28ης Οκτωβρίου 19 ΡΕΘΥΜΝΟ"</f>
        <v>28ης Οκτωβρίου 19 ΡΕΘΥΜΝΟ</v>
      </c>
      <c r="I3291">
        <v>74133</v>
      </c>
      <c r="J3291">
        <v>2831053263</v>
      </c>
      <c r="K3291">
        <v>6932726231</v>
      </c>
      <c r="N3291" t="s">
        <v>146</v>
      </c>
      <c r="O3291" t="s">
        <v>147</v>
      </c>
      <c r="R3291" t="s">
        <v>57</v>
      </c>
      <c r="S3291">
        <v>7</v>
      </c>
      <c r="T3291">
        <v>231</v>
      </c>
      <c r="U3291" s="1">
        <v>38960</v>
      </c>
      <c r="V3291" t="s">
        <v>5644</v>
      </c>
      <c r="W3291" t="s">
        <v>5645</v>
      </c>
      <c r="X3291" t="s">
        <v>58</v>
      </c>
      <c r="Y3291">
        <v>20</v>
      </c>
      <c r="Z3291" t="s">
        <v>59</v>
      </c>
      <c r="AA3291" t="s">
        <v>59</v>
      </c>
      <c r="AB3291" t="s">
        <v>59</v>
      </c>
      <c r="AC3291" t="s">
        <v>59</v>
      </c>
      <c r="AD3291" t="s">
        <v>59</v>
      </c>
      <c r="AF3291" s="1">
        <v>38961</v>
      </c>
      <c r="AG3291" t="s">
        <v>60</v>
      </c>
      <c r="AH3291" t="s">
        <v>61</v>
      </c>
      <c r="AI3291" t="str">
        <f>"9000648"</f>
        <v>9000648</v>
      </c>
      <c r="AJ3291" t="s">
        <v>62</v>
      </c>
      <c r="AK3291">
        <v>2831035185</v>
      </c>
      <c r="AL3291" t="s">
        <v>63</v>
      </c>
      <c r="AM3291" t="s">
        <v>64</v>
      </c>
      <c r="AN3291" t="s">
        <v>65</v>
      </c>
      <c r="AO3291" t="s">
        <v>65</v>
      </c>
      <c r="AP3291" t="s">
        <v>65</v>
      </c>
      <c r="AR3291" t="s">
        <v>66</v>
      </c>
      <c r="AS3291" t="s">
        <v>67</v>
      </c>
      <c r="AT3291" t="s">
        <v>58</v>
      </c>
      <c r="AU3291" t="s">
        <v>68</v>
      </c>
      <c r="AV3291" t="s">
        <v>69</v>
      </c>
      <c r="AW3291" s="1">
        <v>25540</v>
      </c>
      <c r="AX3291">
        <v>0</v>
      </c>
    </row>
    <row r="3292" spans="1:50">
      <c r="A3292">
        <v>194508</v>
      </c>
      <c r="B3292" t="str">
        <f>"043852706"</f>
        <v>043852706</v>
      </c>
      <c r="C3292" t="s">
        <v>105</v>
      </c>
      <c r="D3292" t="s">
        <v>3388</v>
      </c>
      <c r="E3292" t="s">
        <v>1679</v>
      </c>
      <c r="F3292" t="s">
        <v>414</v>
      </c>
      <c r="G3292" t="s">
        <v>83</v>
      </c>
      <c r="H3292" t="str">
        <f>"ΣΩΜΑΤΑΣ ΡΕΘΥΜΝΟ"</f>
        <v>ΣΩΜΑΤΑΣ ΡΕΘΥΜΝΟ</v>
      </c>
      <c r="I3292">
        <v>74100</v>
      </c>
      <c r="J3292">
        <v>2831041116</v>
      </c>
      <c r="K3292">
        <v>6974941399</v>
      </c>
      <c r="N3292" t="s">
        <v>176</v>
      </c>
      <c r="O3292" t="s">
        <v>177</v>
      </c>
      <c r="R3292" t="s">
        <v>57</v>
      </c>
      <c r="S3292">
        <v>11</v>
      </c>
      <c r="T3292">
        <v>193</v>
      </c>
      <c r="U3292" s="1">
        <v>37497</v>
      </c>
      <c r="V3292" t="s">
        <v>5644</v>
      </c>
      <c r="W3292" t="s">
        <v>5645</v>
      </c>
      <c r="X3292" t="s">
        <v>58</v>
      </c>
      <c r="Y3292">
        <v>18</v>
      </c>
      <c r="Z3292" t="s">
        <v>59</v>
      </c>
      <c r="AA3292" t="s">
        <v>59</v>
      </c>
      <c r="AB3292" t="s">
        <v>59</v>
      </c>
      <c r="AC3292" t="s">
        <v>59</v>
      </c>
      <c r="AD3292" t="s">
        <v>59</v>
      </c>
      <c r="AF3292" s="1">
        <v>37497</v>
      </c>
      <c r="AG3292" t="s">
        <v>137</v>
      </c>
      <c r="AH3292" t="s">
        <v>138</v>
      </c>
      <c r="AI3292" t="str">
        <f>"4150040"</f>
        <v>4150040</v>
      </c>
      <c r="AJ3292" t="s">
        <v>5661</v>
      </c>
      <c r="AK3292">
        <v>2831029048</v>
      </c>
      <c r="AL3292" t="s">
        <v>5662</v>
      </c>
      <c r="AM3292" t="s">
        <v>64</v>
      </c>
      <c r="AN3292" t="s">
        <v>65</v>
      </c>
      <c r="AO3292" t="s">
        <v>65</v>
      </c>
      <c r="AP3292" t="s">
        <v>65</v>
      </c>
      <c r="AQ3292">
        <v>1</v>
      </c>
      <c r="AR3292" t="s">
        <v>5644</v>
      </c>
      <c r="AS3292" t="s">
        <v>5645</v>
      </c>
      <c r="AT3292" t="s">
        <v>58</v>
      </c>
      <c r="AU3292" t="s">
        <v>68</v>
      </c>
      <c r="AV3292" t="s">
        <v>1092</v>
      </c>
      <c r="AW3292" s="1">
        <v>24246</v>
      </c>
      <c r="AX3292">
        <v>2</v>
      </c>
    </row>
    <row r="3293" spans="1:50">
      <c r="A3293">
        <v>194165</v>
      </c>
      <c r="B3293" t="str">
        <f>"100075560"</f>
        <v>100075560</v>
      </c>
      <c r="C3293" t="s">
        <v>50</v>
      </c>
      <c r="D3293" t="s">
        <v>5303</v>
      </c>
      <c r="E3293" t="s">
        <v>143</v>
      </c>
      <c r="F3293" t="s">
        <v>670</v>
      </c>
      <c r="G3293" t="s">
        <v>6403</v>
      </c>
      <c r="H3293" t="str">
        <f>"ΑΔΡΙΑΝΟΥ ΒΙΟΛΙ ΧΑΡΑΚΙ"</f>
        <v>ΑΔΡΙΑΝΟΥ ΒΙΟΛΙ ΧΑΡΑΚΙ</v>
      </c>
      <c r="I3293">
        <v>74100</v>
      </c>
      <c r="J3293">
        <v>2831058497</v>
      </c>
      <c r="K3293">
        <v>6973228497</v>
      </c>
      <c r="L3293">
        <v>2831054879</v>
      </c>
      <c r="N3293" t="s">
        <v>299</v>
      </c>
      <c r="O3293" t="s">
        <v>300</v>
      </c>
      <c r="R3293" t="s">
        <v>57</v>
      </c>
      <c r="S3293">
        <v>8</v>
      </c>
      <c r="T3293">
        <v>193</v>
      </c>
      <c r="U3293" s="1">
        <v>37497</v>
      </c>
      <c r="V3293" t="s">
        <v>5644</v>
      </c>
      <c r="W3293" t="s">
        <v>5645</v>
      </c>
      <c r="X3293" t="s">
        <v>58</v>
      </c>
      <c r="Y3293">
        <v>20</v>
      </c>
      <c r="Z3293" t="s">
        <v>59</v>
      </c>
      <c r="AA3293" t="s">
        <v>59</v>
      </c>
      <c r="AB3293" t="s">
        <v>59</v>
      </c>
      <c r="AC3293" t="s">
        <v>59</v>
      </c>
      <c r="AD3293" t="s">
        <v>59</v>
      </c>
      <c r="AF3293" s="1">
        <v>37501</v>
      </c>
      <c r="AG3293" t="s">
        <v>137</v>
      </c>
      <c r="AH3293" t="s">
        <v>138</v>
      </c>
      <c r="AI3293" t="str">
        <f>"4152001"</f>
        <v>4152001</v>
      </c>
      <c r="AJ3293" t="s">
        <v>5665</v>
      </c>
      <c r="AK3293">
        <v>2831024375</v>
      </c>
      <c r="AL3293" t="s">
        <v>5666</v>
      </c>
      <c r="AM3293" t="s">
        <v>64</v>
      </c>
      <c r="AN3293" t="s">
        <v>65</v>
      </c>
      <c r="AO3293" t="s">
        <v>65</v>
      </c>
      <c r="AP3293" t="s">
        <v>65</v>
      </c>
      <c r="AQ3293">
        <v>1</v>
      </c>
      <c r="AR3293" t="s">
        <v>5644</v>
      </c>
      <c r="AS3293" t="s">
        <v>5645</v>
      </c>
      <c r="AT3293" t="s">
        <v>58</v>
      </c>
      <c r="AU3293" t="s">
        <v>68</v>
      </c>
      <c r="AV3293" t="s">
        <v>357</v>
      </c>
      <c r="AW3293" s="1">
        <v>27878</v>
      </c>
      <c r="AX3293">
        <v>2</v>
      </c>
    </row>
    <row r="3294" spans="1:50">
      <c r="A3294">
        <v>170009</v>
      </c>
      <c r="B3294" t="str">
        <f>"032646550"</f>
        <v>032646550</v>
      </c>
      <c r="C3294" t="s">
        <v>50</v>
      </c>
      <c r="D3294" t="s">
        <v>6404</v>
      </c>
      <c r="E3294" t="s">
        <v>6405</v>
      </c>
      <c r="F3294" t="s">
        <v>72</v>
      </c>
      <c r="G3294" t="s">
        <v>396</v>
      </c>
      <c r="H3294" t="str">
        <f>"ΚΟΝΔΥΛΑΚΗ 59 ΡΕΘΥΜΝΟ"</f>
        <v>ΚΟΝΔΥΛΑΚΗ 59 ΡΕΘΥΜΝΟ</v>
      </c>
      <c r="I3294">
        <v>74100</v>
      </c>
      <c r="J3294">
        <v>2831052338</v>
      </c>
      <c r="K3294">
        <v>6938470569</v>
      </c>
      <c r="M3294" t="s">
        <v>6406</v>
      </c>
      <c r="N3294" t="s">
        <v>146</v>
      </c>
      <c r="O3294" t="s">
        <v>147</v>
      </c>
      <c r="R3294" t="s">
        <v>57</v>
      </c>
      <c r="S3294">
        <v>14</v>
      </c>
      <c r="T3294">
        <v>184</v>
      </c>
      <c r="U3294" s="1">
        <v>34941</v>
      </c>
      <c r="V3294" t="s">
        <v>5644</v>
      </c>
      <c r="W3294" t="s">
        <v>5645</v>
      </c>
      <c r="X3294" t="s">
        <v>58</v>
      </c>
      <c r="Y3294">
        <v>18</v>
      </c>
      <c r="Z3294" t="s">
        <v>59</v>
      </c>
      <c r="AA3294" t="s">
        <v>59</v>
      </c>
      <c r="AB3294" t="s">
        <v>59</v>
      </c>
      <c r="AC3294" t="s">
        <v>59</v>
      </c>
      <c r="AD3294" t="s">
        <v>59</v>
      </c>
      <c r="AF3294" s="1">
        <v>34941</v>
      </c>
      <c r="AG3294" t="s">
        <v>125</v>
      </c>
      <c r="AH3294" t="s">
        <v>126</v>
      </c>
      <c r="AI3294" t="str">
        <f>"4101030"</f>
        <v>4101030</v>
      </c>
      <c r="AJ3294" t="s">
        <v>5646</v>
      </c>
      <c r="AK3294">
        <v>2831022359</v>
      </c>
      <c r="AL3294" t="s">
        <v>5647</v>
      </c>
      <c r="AM3294" t="s">
        <v>64</v>
      </c>
      <c r="AN3294" t="s">
        <v>65</v>
      </c>
      <c r="AO3294" t="s">
        <v>65</v>
      </c>
      <c r="AP3294" t="s">
        <v>65</v>
      </c>
      <c r="AQ3294">
        <v>1</v>
      </c>
      <c r="AR3294" t="s">
        <v>5644</v>
      </c>
      <c r="AS3294" t="s">
        <v>5645</v>
      </c>
      <c r="AT3294" t="s">
        <v>58</v>
      </c>
      <c r="AU3294" t="s">
        <v>68</v>
      </c>
      <c r="AV3294" t="s">
        <v>69</v>
      </c>
      <c r="AW3294" s="1">
        <v>24108</v>
      </c>
      <c r="AX3294">
        <v>2</v>
      </c>
    </row>
    <row r="3295" spans="1:50">
      <c r="A3295">
        <v>200100</v>
      </c>
      <c r="B3295" t="str">
        <f>"065241170"</f>
        <v>065241170</v>
      </c>
      <c r="C3295" t="s">
        <v>50</v>
      </c>
      <c r="D3295" t="s">
        <v>6407</v>
      </c>
      <c r="E3295" t="s">
        <v>109</v>
      </c>
      <c r="F3295" t="s">
        <v>72</v>
      </c>
      <c r="G3295" t="s">
        <v>237</v>
      </c>
      <c r="H3295" t="str">
        <f>"ΣΜΥΡΝΗΣ 7 "</f>
        <v xml:space="preserve">ΣΜΥΡΝΗΣ 7 </v>
      </c>
      <c r="I3295">
        <v>74131</v>
      </c>
      <c r="J3295">
        <v>2610225343</v>
      </c>
      <c r="K3295">
        <v>6956099966</v>
      </c>
      <c r="N3295" t="s">
        <v>204</v>
      </c>
      <c r="O3295" t="s">
        <v>205</v>
      </c>
      <c r="R3295" t="s">
        <v>57</v>
      </c>
      <c r="S3295">
        <v>7</v>
      </c>
      <c r="T3295">
        <v>206</v>
      </c>
      <c r="U3295" s="1">
        <v>37866</v>
      </c>
      <c r="V3295" t="s">
        <v>5644</v>
      </c>
      <c r="W3295" t="s">
        <v>5645</v>
      </c>
      <c r="X3295" t="s">
        <v>58</v>
      </c>
      <c r="Y3295">
        <v>20</v>
      </c>
      <c r="Z3295" t="s">
        <v>59</v>
      </c>
      <c r="AA3295" t="s">
        <v>59</v>
      </c>
      <c r="AB3295" t="s">
        <v>59</v>
      </c>
      <c r="AC3295" t="s">
        <v>59</v>
      </c>
      <c r="AD3295" t="s">
        <v>59</v>
      </c>
      <c r="AF3295" s="1">
        <v>37866</v>
      </c>
      <c r="AG3295" t="s">
        <v>137</v>
      </c>
      <c r="AH3295" t="s">
        <v>138</v>
      </c>
      <c r="AI3295" t="str">
        <f>"4150040"</f>
        <v>4150040</v>
      </c>
      <c r="AJ3295" t="s">
        <v>5661</v>
      </c>
      <c r="AK3295">
        <v>2831029048</v>
      </c>
      <c r="AL3295" t="s">
        <v>5662</v>
      </c>
      <c r="AM3295" t="s">
        <v>64</v>
      </c>
      <c r="AN3295" t="s">
        <v>65</v>
      </c>
      <c r="AO3295" t="s">
        <v>65</v>
      </c>
      <c r="AP3295" t="s">
        <v>65</v>
      </c>
      <c r="AQ3295">
        <v>1</v>
      </c>
      <c r="AR3295" t="s">
        <v>5644</v>
      </c>
      <c r="AS3295" t="s">
        <v>5645</v>
      </c>
      <c r="AT3295" t="s">
        <v>58</v>
      </c>
      <c r="AU3295" t="s">
        <v>68</v>
      </c>
      <c r="AV3295" t="s">
        <v>132</v>
      </c>
      <c r="AW3295" s="1">
        <v>27908</v>
      </c>
      <c r="AX3295">
        <v>2</v>
      </c>
    </row>
    <row r="3296" spans="1:50">
      <c r="A3296">
        <v>170013</v>
      </c>
      <c r="B3296" t="str">
        <f>"046201743"</f>
        <v>046201743</v>
      </c>
      <c r="C3296" t="s">
        <v>50</v>
      </c>
      <c r="D3296" t="s">
        <v>6408</v>
      </c>
      <c r="E3296" t="s">
        <v>143</v>
      </c>
      <c r="F3296" t="s">
        <v>95</v>
      </c>
      <c r="G3296" t="s">
        <v>83</v>
      </c>
      <c r="H3296" t="str">
        <f>"ΑΜΑΛΘΕΙΑΣ 16 ΣΑΡΑΚΙΝΑ"</f>
        <v>ΑΜΑΛΘΕΙΑΣ 16 ΣΑΡΑΚΙΝΑ</v>
      </c>
      <c r="I3296">
        <v>74132</v>
      </c>
      <c r="J3296">
        <v>2831025191</v>
      </c>
      <c r="K3296">
        <v>6944561043</v>
      </c>
      <c r="N3296" t="s">
        <v>146</v>
      </c>
      <c r="O3296" t="s">
        <v>147</v>
      </c>
      <c r="R3296" t="s">
        <v>57</v>
      </c>
      <c r="S3296">
        <v>19</v>
      </c>
      <c r="T3296" t="s">
        <v>6409</v>
      </c>
      <c r="U3296" s="1">
        <v>34941</v>
      </c>
      <c r="V3296" t="s">
        <v>5644</v>
      </c>
      <c r="W3296" t="s">
        <v>5645</v>
      </c>
      <c r="X3296" t="s">
        <v>58</v>
      </c>
      <c r="Y3296">
        <v>18</v>
      </c>
      <c r="Z3296" t="s">
        <v>59</v>
      </c>
      <c r="AA3296" t="s">
        <v>59</v>
      </c>
      <c r="AB3296" t="s">
        <v>59</v>
      </c>
      <c r="AC3296" t="s">
        <v>59</v>
      </c>
      <c r="AD3296" t="s">
        <v>452</v>
      </c>
      <c r="AE3296" s="1">
        <v>43708</v>
      </c>
      <c r="AF3296" s="1">
        <v>34941</v>
      </c>
      <c r="AG3296" t="s">
        <v>148</v>
      </c>
      <c r="AH3296" t="s">
        <v>2782</v>
      </c>
      <c r="AI3296" t="str">
        <f>"4151040"</f>
        <v>4151040</v>
      </c>
      <c r="AJ3296" t="s">
        <v>5810</v>
      </c>
      <c r="AK3296">
        <v>2831023425</v>
      </c>
      <c r="AL3296" t="s">
        <v>5811</v>
      </c>
      <c r="AM3296" t="s">
        <v>64</v>
      </c>
      <c r="AN3296" t="s">
        <v>65</v>
      </c>
      <c r="AO3296" t="s">
        <v>65</v>
      </c>
      <c r="AP3296" t="s">
        <v>65</v>
      </c>
      <c r="AQ3296">
        <v>1</v>
      </c>
      <c r="AR3296" t="s">
        <v>5644</v>
      </c>
      <c r="AS3296" t="s">
        <v>5645</v>
      </c>
      <c r="AT3296" t="s">
        <v>58</v>
      </c>
      <c r="AU3296" t="s">
        <v>68</v>
      </c>
      <c r="AV3296" t="s">
        <v>69</v>
      </c>
      <c r="AW3296" s="1">
        <v>23744</v>
      </c>
      <c r="AX3296">
        <v>2</v>
      </c>
    </row>
    <row r="3297" spans="1:50">
      <c r="A3297">
        <v>149758</v>
      </c>
      <c r="B3297" t="str">
        <f>"031414010"</f>
        <v>031414010</v>
      </c>
      <c r="C3297" t="s">
        <v>105</v>
      </c>
      <c r="D3297" t="s">
        <v>6410</v>
      </c>
      <c r="E3297" t="s">
        <v>95</v>
      </c>
      <c r="F3297" t="s">
        <v>72</v>
      </c>
      <c r="G3297" t="s">
        <v>73</v>
      </c>
      <c r="H3297" t="str">
        <f>"Κουρμούλη 27 ΡΕΘΥΜΝΟ"</f>
        <v>Κουρμούλη 27 ΡΕΘΥΜΝΟ</v>
      </c>
      <c r="I3297">
        <v>74100</v>
      </c>
      <c r="J3297">
        <v>2831055560</v>
      </c>
      <c r="K3297">
        <v>6942911714</v>
      </c>
      <c r="M3297" t="s">
        <v>6411</v>
      </c>
      <c r="N3297" t="s">
        <v>146</v>
      </c>
      <c r="O3297" t="s">
        <v>147</v>
      </c>
      <c r="R3297" t="s">
        <v>57</v>
      </c>
      <c r="S3297">
        <v>16</v>
      </c>
      <c r="T3297">
        <v>228</v>
      </c>
      <c r="U3297" s="1">
        <v>31684</v>
      </c>
      <c r="V3297" t="s">
        <v>5644</v>
      </c>
      <c r="W3297" t="s">
        <v>5645</v>
      </c>
      <c r="X3297" t="s">
        <v>58</v>
      </c>
      <c r="Y3297">
        <v>18</v>
      </c>
      <c r="Z3297" t="s">
        <v>59</v>
      </c>
      <c r="AA3297" t="s">
        <v>59</v>
      </c>
      <c r="AB3297" t="s">
        <v>59</v>
      </c>
      <c r="AC3297" t="s">
        <v>59</v>
      </c>
      <c r="AD3297" t="s">
        <v>59</v>
      </c>
      <c r="AF3297" s="1">
        <v>31684</v>
      </c>
      <c r="AG3297" t="s">
        <v>148</v>
      </c>
      <c r="AH3297" t="s">
        <v>149</v>
      </c>
      <c r="AI3297" t="str">
        <f>"4151030"</f>
        <v>4151030</v>
      </c>
      <c r="AJ3297" t="s">
        <v>5681</v>
      </c>
      <c r="AK3297">
        <v>2831023422</v>
      </c>
      <c r="AL3297" t="s">
        <v>5682</v>
      </c>
      <c r="AM3297" t="s">
        <v>64</v>
      </c>
      <c r="AN3297" t="s">
        <v>65</v>
      </c>
      <c r="AO3297" t="s">
        <v>65</v>
      </c>
      <c r="AP3297" t="s">
        <v>65</v>
      </c>
      <c r="AQ3297">
        <v>1</v>
      </c>
      <c r="AR3297" t="s">
        <v>5644</v>
      </c>
      <c r="AS3297" t="s">
        <v>5645</v>
      </c>
      <c r="AT3297" t="s">
        <v>58</v>
      </c>
      <c r="AU3297" t="s">
        <v>68</v>
      </c>
      <c r="AV3297" t="s">
        <v>69</v>
      </c>
      <c r="AW3297" s="1">
        <v>21916</v>
      </c>
      <c r="AX3297">
        <v>2</v>
      </c>
    </row>
    <row r="3298" spans="1:50">
      <c r="A3298">
        <v>158966</v>
      </c>
      <c r="B3298" t="str">
        <f>"065531891"</f>
        <v>065531891</v>
      </c>
      <c r="C3298" t="s">
        <v>50</v>
      </c>
      <c r="D3298" t="s">
        <v>6412</v>
      </c>
      <c r="E3298" t="s">
        <v>143</v>
      </c>
      <c r="F3298" t="s">
        <v>53</v>
      </c>
      <c r="G3298" t="s">
        <v>1418</v>
      </c>
      <c r="H3298" t="str">
        <f>"ΚΑΣΤΕΝΑΖΟ 4 ΡΕΘΥΜΝΟ"</f>
        <v>ΚΑΣΤΕΝΑΖΟ 4 ΡΕΘΥΜΝΟ</v>
      </c>
      <c r="I3298">
        <v>74100</v>
      </c>
      <c r="N3298" t="s">
        <v>157</v>
      </c>
      <c r="O3298" t="s">
        <v>158</v>
      </c>
      <c r="P3298" t="s">
        <v>1116</v>
      </c>
      <c r="Q3298" t="s">
        <v>1117</v>
      </c>
      <c r="R3298" t="s">
        <v>57</v>
      </c>
      <c r="S3298">
        <v>15</v>
      </c>
      <c r="T3298">
        <v>161</v>
      </c>
      <c r="U3298" s="1">
        <v>33119</v>
      </c>
      <c r="V3298" t="s">
        <v>5644</v>
      </c>
      <c r="W3298" t="s">
        <v>5645</v>
      </c>
      <c r="X3298" t="s">
        <v>58</v>
      </c>
      <c r="Y3298">
        <v>18</v>
      </c>
      <c r="Z3298" t="s">
        <v>59</v>
      </c>
      <c r="AA3298" t="s">
        <v>59</v>
      </c>
      <c r="AB3298" t="s">
        <v>59</v>
      </c>
      <c r="AC3298" t="s">
        <v>59</v>
      </c>
      <c r="AD3298" t="s">
        <v>59</v>
      </c>
      <c r="AF3298" s="1">
        <v>33119</v>
      </c>
      <c r="AG3298" t="s">
        <v>125</v>
      </c>
      <c r="AH3298" t="s">
        <v>126</v>
      </c>
      <c r="AI3298" t="str">
        <f>"4101010"</f>
        <v>4101010</v>
      </c>
      <c r="AJ3298" t="s">
        <v>5814</v>
      </c>
      <c r="AK3298">
        <v>2831022283</v>
      </c>
      <c r="AL3298" t="s">
        <v>5815</v>
      </c>
      <c r="AM3298" t="s">
        <v>64</v>
      </c>
      <c r="AN3298" t="s">
        <v>65</v>
      </c>
      <c r="AO3298" t="s">
        <v>65</v>
      </c>
      <c r="AP3298" t="s">
        <v>65</v>
      </c>
      <c r="AQ3298">
        <v>1</v>
      </c>
      <c r="AR3298" t="s">
        <v>5644</v>
      </c>
      <c r="AS3298" t="s">
        <v>5645</v>
      </c>
      <c r="AT3298" t="s">
        <v>58</v>
      </c>
      <c r="AU3298" t="s">
        <v>68</v>
      </c>
      <c r="AV3298" t="s">
        <v>69</v>
      </c>
      <c r="AW3298" s="1">
        <v>23306</v>
      </c>
      <c r="AX3298">
        <v>2</v>
      </c>
    </row>
    <row r="3299" spans="1:50">
      <c r="A3299">
        <v>199566</v>
      </c>
      <c r="B3299" t="str">
        <f>"036332410"</f>
        <v>036332410</v>
      </c>
      <c r="C3299" t="s">
        <v>105</v>
      </c>
      <c r="D3299" t="s">
        <v>6413</v>
      </c>
      <c r="E3299" t="s">
        <v>377</v>
      </c>
      <c r="F3299" t="s">
        <v>95</v>
      </c>
      <c r="G3299" t="s">
        <v>143</v>
      </c>
      <c r="H3299" t="str">
        <f>"ΚΟΛΟΚΟΤΡΩΝΗ 15-17 "</f>
        <v xml:space="preserve">ΚΟΛΟΚΟΤΡΩΝΗ 15-17 </v>
      </c>
      <c r="I3299">
        <v>74133</v>
      </c>
      <c r="J3299">
        <v>2831058883</v>
      </c>
      <c r="K3299">
        <v>6974219449</v>
      </c>
      <c r="N3299" t="s">
        <v>1989</v>
      </c>
      <c r="O3299" t="s">
        <v>1990</v>
      </c>
      <c r="R3299" t="s">
        <v>57</v>
      </c>
      <c r="S3299">
        <v>8</v>
      </c>
      <c r="T3299">
        <v>206</v>
      </c>
      <c r="U3299" s="1">
        <v>37866</v>
      </c>
      <c r="V3299" t="s">
        <v>5644</v>
      </c>
      <c r="W3299" t="s">
        <v>5645</v>
      </c>
      <c r="X3299" t="s">
        <v>58</v>
      </c>
      <c r="Y3299">
        <v>20</v>
      </c>
      <c r="Z3299" t="s">
        <v>59</v>
      </c>
      <c r="AA3299" t="s">
        <v>59</v>
      </c>
      <c r="AB3299" t="s">
        <v>59</v>
      </c>
      <c r="AC3299" t="s">
        <v>59</v>
      </c>
      <c r="AD3299" t="s">
        <v>59</v>
      </c>
      <c r="AF3299" s="1">
        <v>37866</v>
      </c>
      <c r="AG3299" t="s">
        <v>137</v>
      </c>
      <c r="AH3299" t="s">
        <v>138</v>
      </c>
      <c r="AI3299" t="str">
        <f>"4150040"</f>
        <v>4150040</v>
      </c>
      <c r="AJ3299" t="s">
        <v>5661</v>
      </c>
      <c r="AK3299">
        <v>2831029048</v>
      </c>
      <c r="AL3299" t="s">
        <v>5662</v>
      </c>
      <c r="AM3299" t="s">
        <v>64</v>
      </c>
      <c r="AN3299" t="s">
        <v>65</v>
      </c>
      <c r="AO3299" t="s">
        <v>65</v>
      </c>
      <c r="AP3299" t="s">
        <v>65</v>
      </c>
      <c r="AQ3299">
        <v>1</v>
      </c>
      <c r="AR3299" t="s">
        <v>5644</v>
      </c>
      <c r="AS3299" t="s">
        <v>5645</v>
      </c>
      <c r="AT3299" t="s">
        <v>58</v>
      </c>
      <c r="AU3299" t="s">
        <v>68</v>
      </c>
      <c r="AV3299" t="s">
        <v>69</v>
      </c>
      <c r="AW3299" s="1">
        <v>23743</v>
      </c>
      <c r="AX3299">
        <v>2</v>
      </c>
    </row>
    <row r="3300" spans="1:50">
      <c r="B3300" t="str">
        <f>"103837750"</f>
        <v>103837750</v>
      </c>
      <c r="C3300" t="s">
        <v>50</v>
      </c>
      <c r="D3300" t="s">
        <v>6414</v>
      </c>
      <c r="E3300" t="s">
        <v>52</v>
      </c>
      <c r="F3300" t="s">
        <v>53</v>
      </c>
      <c r="G3300" t="s">
        <v>6415</v>
      </c>
      <c r="H3300" t="str">
        <f>"ΠΕΡΓΑΜΟΥ 16 ΘΕΡΙΣΣΟΣ"</f>
        <v>ΠΕΡΓΑΜΟΥ 16 ΘΕΡΙΣΣΟΣ</v>
      </c>
      <c r="I3300">
        <v>71305</v>
      </c>
      <c r="J3300">
        <v>2810254706</v>
      </c>
      <c r="K3300">
        <v>6980586471</v>
      </c>
      <c r="M3300" t="s">
        <v>6416</v>
      </c>
      <c r="N3300" t="s">
        <v>246</v>
      </c>
      <c r="O3300" t="s">
        <v>247</v>
      </c>
      <c r="R3300" t="s">
        <v>121</v>
      </c>
      <c r="S3300">
        <v>1</v>
      </c>
      <c r="T3300" t="s">
        <v>574</v>
      </c>
      <c r="U3300" s="1">
        <v>43378</v>
      </c>
      <c r="V3300" t="s">
        <v>5644</v>
      </c>
      <c r="W3300" t="s">
        <v>5645</v>
      </c>
      <c r="X3300" t="s">
        <v>58</v>
      </c>
      <c r="Y3300">
        <v>23</v>
      </c>
      <c r="Z3300" t="s">
        <v>59</v>
      </c>
      <c r="AA3300" t="s">
        <v>59</v>
      </c>
      <c r="AB3300" t="s">
        <v>59</v>
      </c>
      <c r="AD3300" t="s">
        <v>59</v>
      </c>
      <c r="AF3300" s="1">
        <v>43381</v>
      </c>
      <c r="AG3300" t="s">
        <v>125</v>
      </c>
      <c r="AH3300" t="s">
        <v>126</v>
      </c>
      <c r="AI3300" t="str">
        <f>"4103010"</f>
        <v>4103010</v>
      </c>
      <c r="AJ3300" t="s">
        <v>5684</v>
      </c>
      <c r="AK3300">
        <v>2834051206</v>
      </c>
      <c r="AL3300" t="s">
        <v>5685</v>
      </c>
      <c r="AM3300" t="s">
        <v>64</v>
      </c>
      <c r="AN3300" t="s">
        <v>5672</v>
      </c>
      <c r="AO3300" t="s">
        <v>5673</v>
      </c>
      <c r="AP3300" t="s">
        <v>5674</v>
      </c>
      <c r="AQ3300">
        <v>2</v>
      </c>
      <c r="AR3300" t="s">
        <v>5644</v>
      </c>
      <c r="AS3300" t="s">
        <v>5645</v>
      </c>
      <c r="AT3300" t="s">
        <v>58</v>
      </c>
      <c r="AU3300" t="s">
        <v>164</v>
      </c>
      <c r="AV3300" t="s">
        <v>132</v>
      </c>
      <c r="AW3300" s="1">
        <v>29890</v>
      </c>
      <c r="AX3300">
        <v>2</v>
      </c>
    </row>
    <row r="3301" spans="1:50">
      <c r="A3301">
        <v>222524</v>
      </c>
      <c r="B3301" t="str">
        <f>"053013746"</f>
        <v>053013746</v>
      </c>
      <c r="C3301" t="s">
        <v>50</v>
      </c>
      <c r="D3301" t="s">
        <v>6417</v>
      </c>
      <c r="E3301" t="s">
        <v>250</v>
      </c>
      <c r="F3301" t="s">
        <v>108</v>
      </c>
      <c r="G3301" t="s">
        <v>143</v>
      </c>
      <c r="H3301" t="str">
        <f>"Ε.ΑΞΙΩΜΑΤΙΚΩΝ 26β ΑΓΙΟΣ ΜΑΡΚΟΣ"</f>
        <v>Ε.ΑΞΙΩΜΑΤΙΚΩΝ 26β ΑΓΙΟΣ ΜΑΡΚΟΣ</v>
      </c>
      <c r="I3301">
        <v>74100</v>
      </c>
      <c r="J3301">
        <v>2831052238</v>
      </c>
      <c r="K3301">
        <v>6973771733</v>
      </c>
      <c r="N3301" t="s">
        <v>146</v>
      </c>
      <c r="O3301" t="s">
        <v>147</v>
      </c>
      <c r="R3301" t="s">
        <v>57</v>
      </c>
      <c r="S3301">
        <v>5</v>
      </c>
      <c r="T3301">
        <v>775</v>
      </c>
      <c r="U3301" s="1">
        <v>39680</v>
      </c>
      <c r="V3301" t="s">
        <v>5644</v>
      </c>
      <c r="W3301" t="s">
        <v>5645</v>
      </c>
      <c r="X3301" t="s">
        <v>58</v>
      </c>
      <c r="Y3301">
        <v>21</v>
      </c>
      <c r="Z3301" t="s">
        <v>59</v>
      </c>
      <c r="AA3301" t="s">
        <v>59</v>
      </c>
      <c r="AB3301" t="s">
        <v>59</v>
      </c>
      <c r="AC3301" t="s">
        <v>59</v>
      </c>
      <c r="AD3301" t="s">
        <v>59</v>
      </c>
      <c r="AF3301" s="1">
        <v>39692</v>
      </c>
      <c r="AG3301" t="s">
        <v>125</v>
      </c>
      <c r="AH3301" t="s">
        <v>126</v>
      </c>
      <c r="AI3301" t="str">
        <f>"4101040"</f>
        <v>4101040</v>
      </c>
      <c r="AJ3301" t="s">
        <v>5732</v>
      </c>
      <c r="AK3301">
        <v>2831029261</v>
      </c>
      <c r="AL3301" t="s">
        <v>5733</v>
      </c>
      <c r="AM3301" t="s">
        <v>64</v>
      </c>
      <c r="AN3301" t="s">
        <v>65</v>
      </c>
      <c r="AO3301" t="s">
        <v>65</v>
      </c>
      <c r="AP3301" t="s">
        <v>65</v>
      </c>
      <c r="AQ3301">
        <v>1</v>
      </c>
      <c r="AR3301" t="s">
        <v>5644</v>
      </c>
      <c r="AS3301" t="s">
        <v>5645</v>
      </c>
      <c r="AT3301" t="s">
        <v>58</v>
      </c>
      <c r="AU3301" t="s">
        <v>68</v>
      </c>
      <c r="AV3301" t="s">
        <v>69</v>
      </c>
      <c r="AW3301" s="1">
        <v>25006</v>
      </c>
      <c r="AX3301">
        <v>2</v>
      </c>
    </row>
    <row r="3302" spans="1:50">
      <c r="A3302">
        <v>170020</v>
      </c>
      <c r="B3302" t="str">
        <f>"046495220"</f>
        <v>046495220</v>
      </c>
      <c r="C3302" t="s">
        <v>50</v>
      </c>
      <c r="D3302" t="s">
        <v>6418</v>
      </c>
      <c r="E3302" t="s">
        <v>255</v>
      </c>
      <c r="F3302" t="s">
        <v>166</v>
      </c>
      <c r="G3302" t="s">
        <v>52</v>
      </c>
      <c r="H3302" t="str">
        <f>"ΠΗΓΙΑΝΟΣ ΚΑΜΠΟΣ ΡΕΘΥΜΝΟ"</f>
        <v>ΠΗΓΙΑΝΟΣ ΚΑΜΠΟΣ ΡΕΘΥΜΝΟ</v>
      </c>
      <c r="I3302">
        <v>74100</v>
      </c>
      <c r="J3302">
        <v>2831071571</v>
      </c>
      <c r="K3302">
        <v>6974369214</v>
      </c>
      <c r="M3302" t="s">
        <v>6419</v>
      </c>
      <c r="N3302" t="s">
        <v>146</v>
      </c>
      <c r="O3302" t="s">
        <v>147</v>
      </c>
      <c r="R3302" t="s">
        <v>57</v>
      </c>
      <c r="S3302">
        <v>13</v>
      </c>
      <c r="T3302">
        <v>184</v>
      </c>
      <c r="U3302" s="1">
        <v>34941</v>
      </c>
      <c r="V3302" t="s">
        <v>5644</v>
      </c>
      <c r="W3302" t="s">
        <v>5645</v>
      </c>
      <c r="X3302" t="s">
        <v>58</v>
      </c>
      <c r="Y3302">
        <v>18</v>
      </c>
      <c r="Z3302" t="s">
        <v>59</v>
      </c>
      <c r="AA3302" t="s">
        <v>59</v>
      </c>
      <c r="AB3302" t="s">
        <v>59</v>
      </c>
      <c r="AC3302" t="s">
        <v>59</v>
      </c>
      <c r="AD3302" t="s">
        <v>59</v>
      </c>
      <c r="AF3302" s="1">
        <v>34941</v>
      </c>
      <c r="AG3302" t="s">
        <v>148</v>
      </c>
      <c r="AH3302" t="s">
        <v>149</v>
      </c>
      <c r="AI3302" t="str">
        <f>"4151009"</f>
        <v>4151009</v>
      </c>
      <c r="AJ3302" t="s">
        <v>5649</v>
      </c>
      <c r="AK3302">
        <v>2831027115</v>
      </c>
      <c r="AL3302" t="s">
        <v>5650</v>
      </c>
      <c r="AM3302" t="s">
        <v>64</v>
      </c>
      <c r="AN3302" t="s">
        <v>65</v>
      </c>
      <c r="AO3302" t="s">
        <v>65</v>
      </c>
      <c r="AP3302" t="s">
        <v>65</v>
      </c>
      <c r="AQ3302">
        <v>1</v>
      </c>
      <c r="AR3302" t="s">
        <v>5644</v>
      </c>
      <c r="AS3302" t="s">
        <v>5645</v>
      </c>
      <c r="AT3302" t="s">
        <v>58</v>
      </c>
      <c r="AU3302" t="s">
        <v>68</v>
      </c>
      <c r="AV3302" t="s">
        <v>69</v>
      </c>
      <c r="AW3302" s="1">
        <v>22678</v>
      </c>
      <c r="AX3302">
        <v>2</v>
      </c>
    </row>
    <row r="3303" spans="1:50">
      <c r="A3303">
        <v>217109</v>
      </c>
      <c r="B3303" t="str">
        <f>"043345770"</f>
        <v>043345770</v>
      </c>
      <c r="C3303" t="s">
        <v>105</v>
      </c>
      <c r="D3303" t="s">
        <v>6420</v>
      </c>
      <c r="E3303" t="s">
        <v>202</v>
      </c>
      <c r="F3303" t="s">
        <v>166</v>
      </c>
      <c r="G3303" t="s">
        <v>3467</v>
      </c>
      <c r="H3303" t="str">
        <f>"ΧΡΙΣΤΟΦΟΡΑΚΗ 8  ΡΕΘΥΜΝΟ"</f>
        <v>ΧΡΙΣΤΟΦΟΡΑΚΗ 8  ΡΕΘΥΜΝΟ</v>
      </c>
      <c r="I3303">
        <v>74100</v>
      </c>
      <c r="J3303">
        <v>2821054635</v>
      </c>
      <c r="K3303">
        <v>6978757042</v>
      </c>
      <c r="N3303" t="s">
        <v>337</v>
      </c>
      <c r="O3303" t="s">
        <v>338</v>
      </c>
      <c r="R3303" t="s">
        <v>57</v>
      </c>
      <c r="S3303">
        <v>8</v>
      </c>
      <c r="T3303">
        <v>298</v>
      </c>
      <c r="U3303" s="1">
        <v>38985</v>
      </c>
      <c r="V3303" t="s">
        <v>5644</v>
      </c>
      <c r="W3303" t="s">
        <v>5645</v>
      </c>
      <c r="X3303" t="s">
        <v>58</v>
      </c>
      <c r="Y3303">
        <v>20</v>
      </c>
      <c r="Z3303" t="s">
        <v>59</v>
      </c>
      <c r="AA3303" t="s">
        <v>59</v>
      </c>
      <c r="AB3303" t="s">
        <v>59</v>
      </c>
      <c r="AC3303" t="s">
        <v>59</v>
      </c>
      <c r="AD3303" t="s">
        <v>59</v>
      </c>
      <c r="AF3303" s="1">
        <v>38986</v>
      </c>
      <c r="AG3303" t="s">
        <v>125</v>
      </c>
      <c r="AH3303" t="s">
        <v>294</v>
      </c>
      <c r="AI3303" t="str">
        <f>"4101045"</f>
        <v>4101045</v>
      </c>
      <c r="AJ3303" t="s">
        <v>5677</v>
      </c>
      <c r="AK3303">
        <v>2831027553</v>
      </c>
      <c r="AL3303" t="s">
        <v>5678</v>
      </c>
      <c r="AM3303" t="s">
        <v>64</v>
      </c>
      <c r="AN3303" t="s">
        <v>65</v>
      </c>
      <c r="AO3303" t="s">
        <v>65</v>
      </c>
      <c r="AP3303" t="s">
        <v>65</v>
      </c>
      <c r="AQ3303">
        <v>1</v>
      </c>
      <c r="AR3303" t="s">
        <v>5644</v>
      </c>
      <c r="AS3303" t="s">
        <v>5645</v>
      </c>
      <c r="AT3303" t="s">
        <v>58</v>
      </c>
      <c r="AU3303" t="s">
        <v>68</v>
      </c>
      <c r="AV3303" t="s">
        <v>69</v>
      </c>
      <c r="AW3303" s="1">
        <v>24995</v>
      </c>
      <c r="AX3303">
        <v>2</v>
      </c>
    </row>
    <row r="3304" spans="1:50">
      <c r="A3304">
        <v>191929</v>
      </c>
      <c r="B3304" t="str">
        <f>"100634755"</f>
        <v>100634755</v>
      </c>
      <c r="C3304" t="s">
        <v>105</v>
      </c>
      <c r="D3304" t="s">
        <v>6421</v>
      </c>
      <c r="E3304" t="s">
        <v>99</v>
      </c>
      <c r="F3304" t="s">
        <v>53</v>
      </c>
      <c r="G3304" t="s">
        <v>6364</v>
      </c>
      <c r="H3304" t="str">
        <f>"ΚΟΥΡΜΟΥΛΗ 66 ΡΕΘΥΜΝΟ"</f>
        <v>ΚΟΥΡΜΟΥΛΗ 66 ΡΕΘΥΜΝΟ</v>
      </c>
      <c r="I3304">
        <v>74100</v>
      </c>
      <c r="K3304">
        <v>6932928705</v>
      </c>
      <c r="M3304" t="s">
        <v>6422</v>
      </c>
      <c r="N3304" t="s">
        <v>331</v>
      </c>
      <c r="O3304" t="s">
        <v>332</v>
      </c>
      <c r="R3304" t="s">
        <v>57</v>
      </c>
      <c r="S3304">
        <v>11</v>
      </c>
      <c r="T3304">
        <v>291</v>
      </c>
      <c r="U3304" s="1">
        <v>37218</v>
      </c>
      <c r="V3304" t="s">
        <v>5644</v>
      </c>
      <c r="W3304" t="s">
        <v>5645</v>
      </c>
      <c r="X3304" t="s">
        <v>58</v>
      </c>
      <c r="Y3304">
        <v>20</v>
      </c>
      <c r="Z3304" t="s">
        <v>59</v>
      </c>
      <c r="AA3304" t="s">
        <v>59</v>
      </c>
      <c r="AB3304" t="s">
        <v>59</v>
      </c>
      <c r="AC3304" t="s">
        <v>59</v>
      </c>
      <c r="AD3304" t="s">
        <v>59</v>
      </c>
      <c r="AF3304" s="1">
        <v>37223</v>
      </c>
      <c r="AG3304" t="s">
        <v>125</v>
      </c>
      <c r="AH3304" t="s">
        <v>126</v>
      </c>
      <c r="AI3304" t="str">
        <f>"4101010"</f>
        <v>4101010</v>
      </c>
      <c r="AJ3304" t="s">
        <v>5814</v>
      </c>
      <c r="AK3304">
        <v>2831022283</v>
      </c>
      <c r="AL3304" t="s">
        <v>5815</v>
      </c>
      <c r="AM3304" t="s">
        <v>64</v>
      </c>
      <c r="AN3304" t="s">
        <v>65</v>
      </c>
      <c r="AO3304" t="s">
        <v>65</v>
      </c>
      <c r="AP3304" t="s">
        <v>65</v>
      </c>
      <c r="AQ3304">
        <v>1</v>
      </c>
      <c r="AR3304" t="s">
        <v>5644</v>
      </c>
      <c r="AS3304" t="s">
        <v>5645</v>
      </c>
      <c r="AT3304" t="s">
        <v>58</v>
      </c>
      <c r="AU3304" t="s">
        <v>68</v>
      </c>
      <c r="AV3304" t="s">
        <v>69</v>
      </c>
      <c r="AW3304" s="1">
        <v>27315</v>
      </c>
      <c r="AX3304">
        <v>2</v>
      </c>
    </row>
    <row r="3305" spans="1:50">
      <c r="A3305">
        <v>228102</v>
      </c>
      <c r="B3305" t="str">
        <f>"077765860"</f>
        <v>077765860</v>
      </c>
      <c r="C3305" t="s">
        <v>105</v>
      </c>
      <c r="D3305" t="s">
        <v>3443</v>
      </c>
      <c r="E3305" t="s">
        <v>99</v>
      </c>
      <c r="F3305" t="s">
        <v>72</v>
      </c>
      <c r="G3305" t="s">
        <v>52</v>
      </c>
      <c r="H3305" t="str">
        <f>"ΣΑΟΥΝΑΤΣΟΥ 26 ΡΕΘΥΜΝΟ"</f>
        <v>ΣΑΟΥΝΑΤΣΟΥ 26 ΡΕΘΥΜΝΟ</v>
      </c>
      <c r="I3305">
        <v>74100</v>
      </c>
      <c r="J3305">
        <v>2831058100</v>
      </c>
      <c r="K3305">
        <v>6944875286</v>
      </c>
      <c r="M3305" t="s">
        <v>6423</v>
      </c>
      <c r="N3305" t="s">
        <v>176</v>
      </c>
      <c r="O3305" t="s">
        <v>177</v>
      </c>
      <c r="R3305" t="s">
        <v>57</v>
      </c>
      <c r="S3305">
        <v>7</v>
      </c>
      <c r="T3305">
        <v>654</v>
      </c>
      <c r="U3305" s="1">
        <v>40043</v>
      </c>
      <c r="V3305" t="s">
        <v>5644</v>
      </c>
      <c r="W3305" t="s">
        <v>5645</v>
      </c>
      <c r="X3305" t="s">
        <v>58</v>
      </c>
      <c r="Y3305">
        <v>20</v>
      </c>
      <c r="Z3305" t="s">
        <v>59</v>
      </c>
      <c r="AA3305" t="s">
        <v>59</v>
      </c>
      <c r="AB3305" t="s">
        <v>59</v>
      </c>
      <c r="AC3305" t="s">
        <v>59</v>
      </c>
      <c r="AD3305" t="s">
        <v>59</v>
      </c>
      <c r="AF3305" s="1">
        <v>40043</v>
      </c>
      <c r="AG3305" t="s">
        <v>125</v>
      </c>
      <c r="AH3305" t="s">
        <v>126</v>
      </c>
      <c r="AI3305" t="str">
        <f>"4101040"</f>
        <v>4101040</v>
      </c>
      <c r="AJ3305" t="s">
        <v>5732</v>
      </c>
      <c r="AK3305">
        <v>2831029261</v>
      </c>
      <c r="AL3305" t="s">
        <v>5733</v>
      </c>
      <c r="AM3305" t="s">
        <v>64</v>
      </c>
      <c r="AN3305" t="s">
        <v>65</v>
      </c>
      <c r="AO3305" t="s">
        <v>65</v>
      </c>
      <c r="AP3305" t="s">
        <v>65</v>
      </c>
      <c r="AQ3305">
        <v>1</v>
      </c>
      <c r="AR3305" t="s">
        <v>5644</v>
      </c>
      <c r="AS3305" t="s">
        <v>5645</v>
      </c>
      <c r="AT3305" t="s">
        <v>58</v>
      </c>
      <c r="AU3305" t="s">
        <v>68</v>
      </c>
      <c r="AV3305" t="s">
        <v>132</v>
      </c>
      <c r="AW3305" s="1">
        <v>24378</v>
      </c>
      <c r="AX3305">
        <v>2</v>
      </c>
    </row>
    <row r="3306" spans="1:50">
      <c r="A3306">
        <v>228103</v>
      </c>
      <c r="B3306" t="str">
        <f>"051653662"</f>
        <v>051653662</v>
      </c>
      <c r="C3306" t="s">
        <v>50</v>
      </c>
      <c r="D3306" t="s">
        <v>3455</v>
      </c>
      <c r="E3306" t="s">
        <v>610</v>
      </c>
      <c r="F3306" t="s">
        <v>99</v>
      </c>
      <c r="G3306" t="s">
        <v>181</v>
      </c>
      <c r="H3306" t="str">
        <f>"ΟΡΦΕΩΣ 14 ΗΡΑΚΛΕΙΟ"</f>
        <v>ΟΡΦΕΩΣ 14 ΗΡΑΚΛΕΙΟ</v>
      </c>
      <c r="I3306">
        <v>71409</v>
      </c>
      <c r="J3306">
        <v>2810324449</v>
      </c>
      <c r="K3306">
        <v>6945226132</v>
      </c>
      <c r="M3306" t="s">
        <v>6424</v>
      </c>
      <c r="N3306" t="s">
        <v>176</v>
      </c>
      <c r="O3306" t="s">
        <v>177</v>
      </c>
      <c r="R3306" t="s">
        <v>57</v>
      </c>
      <c r="S3306">
        <v>6</v>
      </c>
      <c r="T3306">
        <v>654</v>
      </c>
      <c r="U3306" s="1">
        <v>40043</v>
      </c>
      <c r="V3306" t="s">
        <v>5644</v>
      </c>
      <c r="W3306" t="s">
        <v>5645</v>
      </c>
      <c r="X3306" t="s">
        <v>58</v>
      </c>
      <c r="Y3306">
        <v>20</v>
      </c>
      <c r="Z3306" t="s">
        <v>59</v>
      </c>
      <c r="AA3306" t="s">
        <v>59</v>
      </c>
      <c r="AB3306" t="s">
        <v>59</v>
      </c>
      <c r="AC3306" t="s">
        <v>59</v>
      </c>
      <c r="AD3306" t="s">
        <v>59</v>
      </c>
      <c r="AF3306" s="1">
        <v>40043</v>
      </c>
      <c r="AG3306" t="s">
        <v>125</v>
      </c>
      <c r="AH3306" t="s">
        <v>126</v>
      </c>
      <c r="AI3306" t="str">
        <f>"4101030"</f>
        <v>4101030</v>
      </c>
      <c r="AJ3306" t="s">
        <v>5646</v>
      </c>
      <c r="AK3306">
        <v>2831022359</v>
      </c>
      <c r="AL3306" t="s">
        <v>5647</v>
      </c>
      <c r="AM3306" t="s">
        <v>64</v>
      </c>
      <c r="AN3306" t="s">
        <v>65</v>
      </c>
      <c r="AO3306" t="s">
        <v>65</v>
      </c>
      <c r="AP3306" t="s">
        <v>65</v>
      </c>
      <c r="AQ3306">
        <v>1</v>
      </c>
      <c r="AR3306" t="s">
        <v>5644</v>
      </c>
      <c r="AS3306" t="s">
        <v>5645</v>
      </c>
      <c r="AT3306" t="s">
        <v>58</v>
      </c>
      <c r="AU3306" t="s">
        <v>68</v>
      </c>
      <c r="AV3306" t="s">
        <v>132</v>
      </c>
      <c r="AW3306" s="1">
        <v>25203</v>
      </c>
      <c r="AX3306">
        <v>2</v>
      </c>
    </row>
    <row r="3307" spans="1:50">
      <c r="A3307">
        <v>189531</v>
      </c>
      <c r="B3307" t="str">
        <f>"103691128"</f>
        <v>103691128</v>
      </c>
      <c r="C3307" t="s">
        <v>50</v>
      </c>
      <c r="D3307" t="s">
        <v>6425</v>
      </c>
      <c r="E3307" t="s">
        <v>52</v>
      </c>
      <c r="F3307" t="s">
        <v>474</v>
      </c>
      <c r="G3307" t="s">
        <v>711</v>
      </c>
      <c r="H3307" t="str">
        <f>"Π. ΓΑΓΑΝΗ ΑΤΣΙΠΟΠΟΥΛΟ"</f>
        <v>Π. ΓΑΓΑΝΗ ΑΤΣΙΠΟΠΟΥΛΟ</v>
      </c>
      <c r="I3307">
        <v>74100</v>
      </c>
      <c r="J3307">
        <v>2831032541</v>
      </c>
      <c r="K3307">
        <v>6944355096</v>
      </c>
      <c r="N3307" t="s">
        <v>146</v>
      </c>
      <c r="O3307" t="s">
        <v>147</v>
      </c>
      <c r="R3307" t="s">
        <v>57</v>
      </c>
      <c r="S3307">
        <v>10</v>
      </c>
      <c r="T3307">
        <v>219</v>
      </c>
      <c r="U3307" s="1">
        <v>37134</v>
      </c>
      <c r="V3307" t="s">
        <v>5644</v>
      </c>
      <c r="W3307" t="s">
        <v>5645</v>
      </c>
      <c r="X3307" t="s">
        <v>58</v>
      </c>
      <c r="Y3307">
        <v>20</v>
      </c>
      <c r="Z3307" t="s">
        <v>59</v>
      </c>
      <c r="AA3307" t="s">
        <v>59</v>
      </c>
      <c r="AB3307" t="s">
        <v>59</v>
      </c>
      <c r="AC3307" t="s">
        <v>59</v>
      </c>
      <c r="AD3307" t="s">
        <v>452</v>
      </c>
      <c r="AE3307" s="1">
        <v>43708</v>
      </c>
      <c r="AF3307" s="1">
        <v>37135</v>
      </c>
      <c r="AG3307" t="s">
        <v>148</v>
      </c>
      <c r="AH3307" t="s">
        <v>2782</v>
      </c>
      <c r="AI3307" t="str">
        <f>"4151040"</f>
        <v>4151040</v>
      </c>
      <c r="AJ3307" t="s">
        <v>5810</v>
      </c>
      <c r="AK3307">
        <v>2831023425</v>
      </c>
      <c r="AL3307" t="s">
        <v>5811</v>
      </c>
      <c r="AM3307" t="s">
        <v>64</v>
      </c>
      <c r="AN3307" t="s">
        <v>65</v>
      </c>
      <c r="AO3307" t="s">
        <v>65</v>
      </c>
      <c r="AP3307" t="s">
        <v>65</v>
      </c>
      <c r="AQ3307">
        <v>1</v>
      </c>
      <c r="AR3307" t="s">
        <v>5644</v>
      </c>
      <c r="AS3307" t="s">
        <v>5645</v>
      </c>
      <c r="AT3307" t="s">
        <v>58</v>
      </c>
      <c r="AU3307" t="s">
        <v>68</v>
      </c>
      <c r="AV3307" t="s">
        <v>69</v>
      </c>
      <c r="AW3307" s="1">
        <v>27710</v>
      </c>
      <c r="AX3307">
        <v>2</v>
      </c>
    </row>
    <row r="3308" spans="1:50">
      <c r="A3308">
        <v>166512</v>
      </c>
      <c r="B3308" t="str">
        <f>"065588557"</f>
        <v>065588557</v>
      </c>
      <c r="C3308" t="s">
        <v>50</v>
      </c>
      <c r="D3308" t="s">
        <v>6426</v>
      </c>
      <c r="E3308" t="s">
        <v>964</v>
      </c>
      <c r="F3308" t="s">
        <v>450</v>
      </c>
      <c r="G3308" t="s">
        <v>73</v>
      </c>
      <c r="H3308" t="str">
        <f>"ΚΟΝΔΥΛΑΚΗ 68 ΡΕΘΥΜΝΟ"</f>
        <v>ΚΟΝΔΥΛΑΚΗ 68 ΡΕΘΥΜΝΟ</v>
      </c>
      <c r="I3308">
        <v>74100</v>
      </c>
      <c r="J3308">
        <v>2831024643</v>
      </c>
      <c r="K3308">
        <v>6978672918</v>
      </c>
      <c r="M3308" t="s">
        <v>6427</v>
      </c>
      <c r="N3308" t="s">
        <v>306</v>
      </c>
      <c r="O3308" t="s">
        <v>307</v>
      </c>
      <c r="R3308" t="s">
        <v>57</v>
      </c>
      <c r="S3308">
        <v>18</v>
      </c>
      <c r="T3308">
        <v>137</v>
      </c>
      <c r="U3308" s="1">
        <v>34206</v>
      </c>
      <c r="V3308" t="s">
        <v>5644</v>
      </c>
      <c r="W3308" t="s">
        <v>5645</v>
      </c>
      <c r="X3308" t="s">
        <v>58</v>
      </c>
      <c r="Y3308">
        <v>18</v>
      </c>
      <c r="Z3308" t="s">
        <v>59</v>
      </c>
      <c r="AA3308" t="s">
        <v>59</v>
      </c>
      <c r="AB3308" t="s">
        <v>59</v>
      </c>
      <c r="AC3308" t="s">
        <v>59</v>
      </c>
      <c r="AD3308" t="s">
        <v>59</v>
      </c>
      <c r="AF3308" s="1">
        <v>34206</v>
      </c>
      <c r="AG3308" t="s">
        <v>137</v>
      </c>
      <c r="AH3308" t="s">
        <v>138</v>
      </c>
      <c r="AI3308" t="str">
        <f>"4150040"</f>
        <v>4150040</v>
      </c>
      <c r="AJ3308" t="s">
        <v>5661</v>
      </c>
      <c r="AK3308">
        <v>2831029048</v>
      </c>
      <c r="AL3308" t="s">
        <v>5662</v>
      </c>
      <c r="AM3308" t="s">
        <v>64</v>
      </c>
      <c r="AN3308" t="s">
        <v>65</v>
      </c>
      <c r="AO3308" t="s">
        <v>65</v>
      </c>
      <c r="AP3308" t="s">
        <v>65</v>
      </c>
      <c r="AQ3308">
        <v>1</v>
      </c>
      <c r="AR3308" t="s">
        <v>5644</v>
      </c>
      <c r="AS3308" t="s">
        <v>5645</v>
      </c>
      <c r="AT3308" t="s">
        <v>58</v>
      </c>
      <c r="AU3308" t="s">
        <v>68</v>
      </c>
      <c r="AV3308" t="s">
        <v>69</v>
      </c>
      <c r="AW3308" s="1">
        <v>23432</v>
      </c>
      <c r="AX3308">
        <v>2</v>
      </c>
    </row>
    <row r="3309" spans="1:50">
      <c r="A3309">
        <v>189992</v>
      </c>
      <c r="B3309" t="str">
        <f>"026398661"</f>
        <v>026398661</v>
      </c>
      <c r="C3309" t="s">
        <v>105</v>
      </c>
      <c r="D3309" t="s">
        <v>6428</v>
      </c>
      <c r="E3309" t="s">
        <v>95</v>
      </c>
      <c r="F3309" t="s">
        <v>84</v>
      </c>
      <c r="G3309" t="s">
        <v>513</v>
      </c>
      <c r="H3309" t="str">
        <f>"ΠΡΙΝΕΣ ΡΕΘΥΜΝΟΥ "</f>
        <v xml:space="preserve">ΠΡΙΝΕΣ ΡΕΘΥΜΝΟΥ </v>
      </c>
      <c r="I3309">
        <v>74100</v>
      </c>
      <c r="J3309">
        <v>2831031111</v>
      </c>
      <c r="K3309">
        <v>6944772014</v>
      </c>
      <c r="M3309" t="s">
        <v>6429</v>
      </c>
      <c r="N3309" t="s">
        <v>232</v>
      </c>
      <c r="O3309" t="s">
        <v>233</v>
      </c>
      <c r="R3309" t="s">
        <v>57</v>
      </c>
      <c r="S3309">
        <v>14</v>
      </c>
      <c r="T3309">
        <v>219</v>
      </c>
      <c r="U3309" s="1">
        <v>37134</v>
      </c>
      <c r="V3309" t="s">
        <v>5644</v>
      </c>
      <c r="W3309" t="s">
        <v>5645</v>
      </c>
      <c r="X3309" t="s">
        <v>58</v>
      </c>
      <c r="Y3309">
        <v>20</v>
      </c>
      <c r="Z3309" t="s">
        <v>59</v>
      </c>
      <c r="AA3309" t="s">
        <v>59</v>
      </c>
      <c r="AB3309" t="s">
        <v>59</v>
      </c>
      <c r="AC3309" t="s">
        <v>59</v>
      </c>
      <c r="AD3309" t="s">
        <v>59</v>
      </c>
      <c r="AF3309" s="1">
        <v>37139</v>
      </c>
      <c r="AG3309" t="s">
        <v>125</v>
      </c>
      <c r="AH3309" t="s">
        <v>126</v>
      </c>
      <c r="AI3309" t="str">
        <f>"4106030"</f>
        <v>4106030</v>
      </c>
      <c r="AJ3309" t="s">
        <v>6097</v>
      </c>
      <c r="AK3309">
        <v>2832051138</v>
      </c>
      <c r="AL3309" t="s">
        <v>6098</v>
      </c>
      <c r="AM3309" t="s">
        <v>64</v>
      </c>
      <c r="AN3309" t="s">
        <v>5882</v>
      </c>
      <c r="AO3309" t="s">
        <v>6099</v>
      </c>
      <c r="AP3309" t="s">
        <v>6100</v>
      </c>
      <c r="AQ3309">
        <v>5</v>
      </c>
      <c r="AR3309" t="s">
        <v>5644</v>
      </c>
      <c r="AS3309" t="s">
        <v>5645</v>
      </c>
      <c r="AT3309" t="s">
        <v>58</v>
      </c>
      <c r="AU3309" t="s">
        <v>68</v>
      </c>
      <c r="AV3309" t="s">
        <v>69</v>
      </c>
      <c r="AW3309" s="1">
        <v>21777</v>
      </c>
      <c r="AX3309">
        <v>2</v>
      </c>
    </row>
    <row r="3310" spans="1:50">
      <c r="A3310">
        <v>214752</v>
      </c>
      <c r="B3310" t="str">
        <f>"051174073"</f>
        <v>051174073</v>
      </c>
      <c r="C3310" t="s">
        <v>50</v>
      </c>
      <c r="D3310" t="s">
        <v>6430</v>
      </c>
      <c r="E3310" t="s">
        <v>83</v>
      </c>
      <c r="F3310" t="s">
        <v>53</v>
      </c>
      <c r="G3310" t="s">
        <v>250</v>
      </c>
      <c r="H3310" t="str">
        <f>"ΨΥΧΟΥΝΤΑΚΗ 85 Β ΡΕΘΥΜΝΟ"</f>
        <v>ΨΥΧΟΥΝΤΑΚΗ 85 Β ΡΕΘΥΜΝΟ</v>
      </c>
      <c r="I3310">
        <v>74100</v>
      </c>
      <c r="J3310">
        <v>2831057426</v>
      </c>
      <c r="K3310">
        <v>6985896771</v>
      </c>
      <c r="N3310" t="s">
        <v>189</v>
      </c>
      <c r="O3310" t="s">
        <v>190</v>
      </c>
      <c r="R3310" t="s">
        <v>57</v>
      </c>
      <c r="S3310">
        <v>7</v>
      </c>
      <c r="T3310">
        <v>231</v>
      </c>
      <c r="U3310" s="1">
        <v>38960</v>
      </c>
      <c r="V3310" t="s">
        <v>5644</v>
      </c>
      <c r="W3310" t="s">
        <v>5645</v>
      </c>
      <c r="X3310" t="s">
        <v>58</v>
      </c>
      <c r="Y3310">
        <v>20</v>
      </c>
      <c r="Z3310" t="s">
        <v>59</v>
      </c>
      <c r="AA3310" t="s">
        <v>59</v>
      </c>
      <c r="AB3310" t="s">
        <v>59</v>
      </c>
      <c r="AC3310" t="s">
        <v>59</v>
      </c>
      <c r="AD3310" t="s">
        <v>59</v>
      </c>
      <c r="AF3310" s="1">
        <v>38961</v>
      </c>
      <c r="AG3310" t="s">
        <v>125</v>
      </c>
      <c r="AH3310" t="s">
        <v>126</v>
      </c>
      <c r="AI3310" t="str">
        <f>"4101020"</f>
        <v>4101020</v>
      </c>
      <c r="AJ3310" t="s">
        <v>5652</v>
      </c>
      <c r="AK3310">
        <v>2831023560</v>
      </c>
      <c r="AL3310" t="s">
        <v>5653</v>
      </c>
      <c r="AM3310" t="s">
        <v>64</v>
      </c>
      <c r="AN3310" t="s">
        <v>65</v>
      </c>
      <c r="AO3310" t="s">
        <v>65</v>
      </c>
      <c r="AP3310" t="s">
        <v>65</v>
      </c>
      <c r="AQ3310">
        <v>1</v>
      </c>
      <c r="AR3310" t="s">
        <v>5644</v>
      </c>
      <c r="AS3310" t="s">
        <v>5645</v>
      </c>
      <c r="AT3310" t="s">
        <v>58</v>
      </c>
      <c r="AU3310" t="s">
        <v>68</v>
      </c>
      <c r="AV3310" t="s">
        <v>357</v>
      </c>
      <c r="AW3310" s="1">
        <v>25187</v>
      </c>
      <c r="AX3310">
        <v>2</v>
      </c>
    </row>
    <row r="3311" spans="1:50">
      <c r="A3311">
        <v>223991</v>
      </c>
      <c r="B3311" t="str">
        <f>"101553001"</f>
        <v>101553001</v>
      </c>
      <c r="C3311" t="s">
        <v>50</v>
      </c>
      <c r="D3311" t="s">
        <v>6431</v>
      </c>
      <c r="E3311" t="s">
        <v>155</v>
      </c>
      <c r="F3311" t="s">
        <v>99</v>
      </c>
      <c r="G3311" t="s">
        <v>215</v>
      </c>
      <c r="H3311" t="str">
        <f>"ΠΟΛΟΓΙΩΡΓΗ 20 ΧΑΝΙΑ"</f>
        <v>ΠΟΛΟΓΙΩΡΓΗ 20 ΧΑΝΙΑ</v>
      </c>
      <c r="I3311">
        <v>73100</v>
      </c>
      <c r="J3311">
        <v>2821045411</v>
      </c>
      <c r="K3311">
        <v>6978183202</v>
      </c>
      <c r="M3311" t="s">
        <v>6432</v>
      </c>
      <c r="N3311" t="s">
        <v>478</v>
      </c>
      <c r="O3311" t="s">
        <v>479</v>
      </c>
      <c r="R3311" t="s">
        <v>57</v>
      </c>
      <c r="S3311">
        <v>5</v>
      </c>
      <c r="T3311">
        <v>775</v>
      </c>
      <c r="U3311" s="1">
        <v>39680</v>
      </c>
      <c r="V3311" t="s">
        <v>5644</v>
      </c>
      <c r="W3311" t="s">
        <v>5645</v>
      </c>
      <c r="X3311" t="s">
        <v>58</v>
      </c>
      <c r="Y3311">
        <v>21</v>
      </c>
      <c r="Z3311" t="s">
        <v>59</v>
      </c>
      <c r="AA3311" t="s">
        <v>59</v>
      </c>
      <c r="AB3311" t="s">
        <v>59</v>
      </c>
      <c r="AC3311" t="s">
        <v>59</v>
      </c>
      <c r="AD3311" t="s">
        <v>59</v>
      </c>
      <c r="AF3311" s="1">
        <v>39680</v>
      </c>
      <c r="AG3311" t="s">
        <v>125</v>
      </c>
      <c r="AH3311" t="s">
        <v>126</v>
      </c>
      <c r="AI3311" t="str">
        <f>"4102020"</f>
        <v>4102020</v>
      </c>
      <c r="AJ3311" t="s">
        <v>5761</v>
      </c>
      <c r="AK3311">
        <v>2831061491</v>
      </c>
      <c r="AL3311" t="s">
        <v>5762</v>
      </c>
      <c r="AM3311" t="s">
        <v>64</v>
      </c>
      <c r="AN3311" t="s">
        <v>65</v>
      </c>
      <c r="AO3311" t="s">
        <v>5657</v>
      </c>
      <c r="AP3311" t="s">
        <v>1437</v>
      </c>
      <c r="AQ3311">
        <v>1</v>
      </c>
      <c r="AR3311" t="s">
        <v>5644</v>
      </c>
      <c r="AS3311" t="s">
        <v>5645</v>
      </c>
      <c r="AT3311" t="s">
        <v>58</v>
      </c>
      <c r="AU3311" t="s">
        <v>68</v>
      </c>
      <c r="AV3311" t="s">
        <v>69</v>
      </c>
      <c r="AW3311" s="1">
        <v>27893</v>
      </c>
      <c r="AX3311">
        <v>2</v>
      </c>
    </row>
    <row r="3312" spans="1:50">
      <c r="B3312" t="str">
        <f>"075657968"</f>
        <v>075657968</v>
      </c>
      <c r="C3312" t="s">
        <v>50</v>
      </c>
      <c r="D3312" t="s">
        <v>6433</v>
      </c>
      <c r="E3312" t="s">
        <v>155</v>
      </c>
      <c r="F3312" t="s">
        <v>95</v>
      </c>
      <c r="G3312" t="s">
        <v>52</v>
      </c>
      <c r="H3312" t="str">
        <f>"Ν. ΠΛΑΣΤΗΡΑ  5 ΚΟΥΦΑΛΙΑ  ΘΕΣ/ΝΙΚΗΣ"</f>
        <v>Ν. ΠΛΑΣΤΗΡΑ  5 ΚΟΥΦΑΛΙΑ  ΘΕΣ/ΝΙΚΗΣ</v>
      </c>
      <c r="I3312">
        <v>57100</v>
      </c>
      <c r="J3312">
        <v>2391053945</v>
      </c>
      <c r="K3312">
        <v>6946962431</v>
      </c>
      <c r="M3312" t="s">
        <v>6434</v>
      </c>
      <c r="N3312" t="s">
        <v>199</v>
      </c>
      <c r="O3312" t="s">
        <v>200</v>
      </c>
      <c r="R3312" t="s">
        <v>159</v>
      </c>
      <c r="S3312">
        <v>4</v>
      </c>
      <c r="T3312" t="s">
        <v>416</v>
      </c>
      <c r="U3312" s="1">
        <v>43349</v>
      </c>
      <c r="V3312" t="s">
        <v>5644</v>
      </c>
      <c r="W3312" t="s">
        <v>5645</v>
      </c>
      <c r="X3312" t="s">
        <v>58</v>
      </c>
      <c r="Y3312">
        <v>21</v>
      </c>
      <c r="Z3312" t="s">
        <v>59</v>
      </c>
      <c r="AA3312" t="s">
        <v>59</v>
      </c>
      <c r="AB3312" t="s">
        <v>59</v>
      </c>
      <c r="AC3312" t="s">
        <v>59</v>
      </c>
      <c r="AD3312" t="s">
        <v>59</v>
      </c>
      <c r="AF3312" s="1">
        <v>43349</v>
      </c>
      <c r="AG3312" t="s">
        <v>148</v>
      </c>
      <c r="AH3312" t="s">
        <v>149</v>
      </c>
      <c r="AI3312" t="str">
        <f>"4154010"</f>
        <v>4154010</v>
      </c>
      <c r="AJ3312" t="s">
        <v>5687</v>
      </c>
      <c r="AK3312">
        <v>2834023300</v>
      </c>
      <c r="AL3312" t="s">
        <v>5688</v>
      </c>
      <c r="AM3312" t="s">
        <v>64</v>
      </c>
      <c r="AN3312" t="s">
        <v>5672</v>
      </c>
      <c r="AO3312" t="s">
        <v>5673</v>
      </c>
      <c r="AP3312" t="s">
        <v>5689</v>
      </c>
      <c r="AQ3312">
        <v>2</v>
      </c>
      <c r="AR3312" t="s">
        <v>5644</v>
      </c>
      <c r="AS3312" t="s">
        <v>5645</v>
      </c>
      <c r="AT3312" t="s">
        <v>58</v>
      </c>
      <c r="AU3312" t="s">
        <v>419</v>
      </c>
      <c r="AV3312" t="s">
        <v>132</v>
      </c>
      <c r="AW3312" s="1">
        <v>24732</v>
      </c>
      <c r="AX3312">
        <v>2</v>
      </c>
    </row>
    <row r="3313" spans="1:50">
      <c r="A3313">
        <v>229157</v>
      </c>
      <c r="B3313" t="str">
        <f>"124666110"</f>
        <v>124666110</v>
      </c>
      <c r="C3313" t="s">
        <v>50</v>
      </c>
      <c r="D3313" t="s">
        <v>6435</v>
      </c>
      <c r="E3313" t="s">
        <v>2185</v>
      </c>
      <c r="F3313" t="s">
        <v>450</v>
      </c>
      <c r="G3313" t="s">
        <v>3172</v>
      </c>
      <c r="H3313" t="str">
        <f>"ΛΑΧΑΝΑ 19 ΧΑΛΑΝΔΡΙ  ΑΤΤΙΚΗΣ"</f>
        <v>ΛΑΧΑΝΑ 19 ΧΑΛΑΝΔΡΙ  ΑΤΤΙΚΗΣ</v>
      </c>
      <c r="I3313">
        <v>15232</v>
      </c>
      <c r="J3313">
        <v>2155055537</v>
      </c>
      <c r="K3313">
        <v>6972751293</v>
      </c>
      <c r="M3313" t="s">
        <v>6436</v>
      </c>
      <c r="N3313" t="s">
        <v>306</v>
      </c>
      <c r="O3313" t="s">
        <v>307</v>
      </c>
      <c r="R3313" t="s">
        <v>57</v>
      </c>
      <c r="S3313">
        <v>6</v>
      </c>
      <c r="T3313" t="s">
        <v>6437</v>
      </c>
      <c r="U3313" s="1">
        <v>40059</v>
      </c>
      <c r="V3313" t="s">
        <v>5644</v>
      </c>
      <c r="W3313" t="s">
        <v>5645</v>
      </c>
      <c r="X3313" t="s">
        <v>58</v>
      </c>
      <c r="Y3313">
        <v>21</v>
      </c>
      <c r="Z3313" t="s">
        <v>59</v>
      </c>
      <c r="AA3313" t="s">
        <v>59</v>
      </c>
      <c r="AB3313" t="s">
        <v>59</v>
      </c>
      <c r="AC3313" t="s">
        <v>59</v>
      </c>
      <c r="AD3313" t="s">
        <v>59</v>
      </c>
      <c r="AF3313" s="1">
        <v>40064</v>
      </c>
      <c r="AG3313" t="s">
        <v>125</v>
      </c>
      <c r="AH3313" t="s">
        <v>126</v>
      </c>
      <c r="AI3313" t="str">
        <f>"4106030"</f>
        <v>4106030</v>
      </c>
      <c r="AJ3313" t="s">
        <v>6097</v>
      </c>
      <c r="AK3313">
        <v>2832051138</v>
      </c>
      <c r="AL3313" t="s">
        <v>6098</v>
      </c>
      <c r="AM3313" t="s">
        <v>64</v>
      </c>
      <c r="AN3313" t="s">
        <v>5882</v>
      </c>
      <c r="AO3313" t="s">
        <v>6099</v>
      </c>
      <c r="AP3313" t="s">
        <v>6100</v>
      </c>
      <c r="AQ3313">
        <v>5</v>
      </c>
      <c r="AR3313" t="s">
        <v>5644</v>
      </c>
      <c r="AS3313" t="s">
        <v>5645</v>
      </c>
      <c r="AT3313" t="s">
        <v>58</v>
      </c>
      <c r="AU3313" t="s">
        <v>68</v>
      </c>
      <c r="AV3313" t="s">
        <v>69</v>
      </c>
      <c r="AW3313" s="1">
        <v>29809</v>
      </c>
      <c r="AX3313">
        <v>2</v>
      </c>
    </row>
    <row r="3314" spans="1:50">
      <c r="A3314">
        <v>164199</v>
      </c>
      <c r="B3314" t="str">
        <f>"065576442"</f>
        <v>065576442</v>
      </c>
      <c r="C3314" t="s">
        <v>50</v>
      </c>
      <c r="D3314" t="s">
        <v>6438</v>
      </c>
      <c r="E3314" t="s">
        <v>155</v>
      </c>
      <c r="F3314" t="s">
        <v>670</v>
      </c>
      <c r="G3314" t="s">
        <v>52</v>
      </c>
      <c r="H3314" t="str">
        <f>"ΚΑΠΟΔΙΣΤΡΙΟΥ 54 ΡΕΘΥΜΝΟ"</f>
        <v>ΚΑΠΟΔΙΣΤΡΙΟΥ 54 ΡΕΘΥΜΝΟ</v>
      </c>
      <c r="I3314">
        <v>74100</v>
      </c>
      <c r="K3314">
        <v>6988916739</v>
      </c>
      <c r="M3314" t="s">
        <v>6439</v>
      </c>
      <c r="N3314" t="s">
        <v>146</v>
      </c>
      <c r="O3314" t="s">
        <v>147</v>
      </c>
      <c r="R3314" t="s">
        <v>57</v>
      </c>
      <c r="S3314">
        <v>14</v>
      </c>
      <c r="T3314">
        <v>161</v>
      </c>
      <c r="U3314" s="1">
        <v>33844</v>
      </c>
      <c r="V3314" t="s">
        <v>5644</v>
      </c>
      <c r="W3314" t="s">
        <v>5645</v>
      </c>
      <c r="X3314" t="s">
        <v>58</v>
      </c>
      <c r="Y3314">
        <v>18</v>
      </c>
      <c r="Z3314" t="s">
        <v>59</v>
      </c>
      <c r="AA3314" t="s">
        <v>59</v>
      </c>
      <c r="AB3314" t="s">
        <v>59</v>
      </c>
      <c r="AC3314" t="s">
        <v>59</v>
      </c>
      <c r="AD3314" t="s">
        <v>59</v>
      </c>
      <c r="AF3314" s="1">
        <v>33844</v>
      </c>
      <c r="AG3314" t="s">
        <v>148</v>
      </c>
      <c r="AH3314" t="s">
        <v>149</v>
      </c>
      <c r="AI3314" t="str">
        <f>"4151030"</f>
        <v>4151030</v>
      </c>
      <c r="AJ3314" t="s">
        <v>5681</v>
      </c>
      <c r="AK3314">
        <v>2831023422</v>
      </c>
      <c r="AL3314" t="s">
        <v>5682</v>
      </c>
      <c r="AM3314" t="s">
        <v>64</v>
      </c>
      <c r="AN3314" t="s">
        <v>65</v>
      </c>
      <c r="AO3314" t="s">
        <v>65</v>
      </c>
      <c r="AP3314" t="s">
        <v>65</v>
      </c>
      <c r="AQ3314">
        <v>1</v>
      </c>
      <c r="AR3314" t="s">
        <v>5644</v>
      </c>
      <c r="AS3314" t="s">
        <v>5645</v>
      </c>
      <c r="AT3314" t="s">
        <v>58</v>
      </c>
      <c r="AU3314" t="s">
        <v>68</v>
      </c>
      <c r="AV3314" t="s">
        <v>69</v>
      </c>
      <c r="AW3314" s="1">
        <v>23701</v>
      </c>
      <c r="AX3314">
        <v>2</v>
      </c>
    </row>
    <row r="3315" spans="1:50">
      <c r="A3315">
        <v>703044</v>
      </c>
      <c r="B3315" t="str">
        <f>"051448746"</f>
        <v>051448746</v>
      </c>
      <c r="C3315" t="s">
        <v>105</v>
      </c>
      <c r="D3315" t="s">
        <v>6440</v>
      </c>
      <c r="E3315" t="s">
        <v>304</v>
      </c>
      <c r="F3315" t="s">
        <v>95</v>
      </c>
      <c r="G3315" t="s">
        <v>83</v>
      </c>
      <c r="H3315" t="str">
        <f>"ΑΡΗ ΒΕΛΟΥΧΙΩΤΗ 23 ΡΕΘΥΜΝΟ"</f>
        <v>ΑΡΗ ΒΕΛΟΥΧΙΩΤΗ 23 ΡΕΘΥΜΝΟ</v>
      </c>
      <c r="I3315">
        <v>74100</v>
      </c>
      <c r="K3315">
        <v>6937770221</v>
      </c>
      <c r="M3315" t="s">
        <v>6441</v>
      </c>
      <c r="N3315" t="s">
        <v>157</v>
      </c>
      <c r="O3315" t="s">
        <v>158</v>
      </c>
      <c r="P3315" t="s">
        <v>146</v>
      </c>
      <c r="Q3315" t="s">
        <v>147</v>
      </c>
      <c r="R3315" t="s">
        <v>57</v>
      </c>
      <c r="S3315">
        <v>5</v>
      </c>
      <c r="T3315">
        <v>588</v>
      </c>
      <c r="U3315" s="1">
        <v>40778</v>
      </c>
      <c r="V3315" t="s">
        <v>5644</v>
      </c>
      <c r="W3315" t="s">
        <v>5645</v>
      </c>
      <c r="X3315" t="s">
        <v>58</v>
      </c>
      <c r="Y3315">
        <v>21</v>
      </c>
      <c r="Z3315" t="s">
        <v>59</v>
      </c>
      <c r="AA3315" t="s">
        <v>59</v>
      </c>
      <c r="AB3315" t="s">
        <v>59</v>
      </c>
      <c r="AC3315" t="s">
        <v>59</v>
      </c>
      <c r="AD3315" t="s">
        <v>59</v>
      </c>
      <c r="AF3315" s="1">
        <v>40784</v>
      </c>
      <c r="AG3315" t="s">
        <v>125</v>
      </c>
      <c r="AH3315" t="s">
        <v>126</v>
      </c>
      <c r="AI3315" t="str">
        <f>"4102020"</f>
        <v>4102020</v>
      </c>
      <c r="AJ3315" t="s">
        <v>5761</v>
      </c>
      <c r="AK3315">
        <v>2831061491</v>
      </c>
      <c r="AL3315" t="s">
        <v>5762</v>
      </c>
      <c r="AM3315" t="s">
        <v>64</v>
      </c>
      <c r="AN3315" t="s">
        <v>65</v>
      </c>
      <c r="AO3315" t="s">
        <v>5657</v>
      </c>
      <c r="AP3315" t="s">
        <v>1437</v>
      </c>
      <c r="AQ3315">
        <v>1</v>
      </c>
      <c r="AR3315" t="s">
        <v>5644</v>
      </c>
      <c r="AS3315" t="s">
        <v>5645</v>
      </c>
      <c r="AT3315" t="s">
        <v>58</v>
      </c>
      <c r="AU3315" t="s">
        <v>68</v>
      </c>
      <c r="AV3315" t="s">
        <v>69</v>
      </c>
      <c r="AW3315" s="1">
        <v>25903</v>
      </c>
      <c r="AX3315">
        <v>2</v>
      </c>
    </row>
    <row r="3316" spans="1:50">
      <c r="A3316">
        <v>145043</v>
      </c>
      <c r="B3316" t="str">
        <f>"028443761"</f>
        <v>028443761</v>
      </c>
      <c r="C3316" t="s">
        <v>50</v>
      </c>
      <c r="D3316" t="s">
        <v>6442</v>
      </c>
      <c r="E3316" t="s">
        <v>143</v>
      </c>
      <c r="F3316" t="s">
        <v>383</v>
      </c>
      <c r="G3316" t="s">
        <v>4269</v>
      </c>
      <c r="H3316" t="str">
        <f>"ΑΝΩΓΕΙΑ ΡΕΘΥΜΝΟΥ ΑΝΩΓΕΙΑ"</f>
        <v>ΑΝΩΓΕΙΑ ΡΕΘΥΜΝΟΥ ΑΝΩΓΕΙΑ</v>
      </c>
      <c r="I3316">
        <v>74051</v>
      </c>
      <c r="J3316">
        <v>2834031161</v>
      </c>
      <c r="K3316">
        <v>6972801958</v>
      </c>
      <c r="M3316" t="s">
        <v>6443</v>
      </c>
      <c r="N3316" t="s">
        <v>306</v>
      </c>
      <c r="O3316" t="s">
        <v>307</v>
      </c>
      <c r="R3316" t="s">
        <v>57</v>
      </c>
      <c r="S3316">
        <v>17</v>
      </c>
      <c r="T3316">
        <v>250</v>
      </c>
      <c r="U3316" s="1">
        <v>30900</v>
      </c>
      <c r="V3316" t="s">
        <v>5644</v>
      </c>
      <c r="W3316" t="s">
        <v>5645</v>
      </c>
      <c r="X3316" t="s">
        <v>58</v>
      </c>
      <c r="Y3316">
        <v>18</v>
      </c>
      <c r="Z3316" t="s">
        <v>59</v>
      </c>
      <c r="AA3316" t="s">
        <v>59</v>
      </c>
      <c r="AB3316" t="s">
        <v>59</v>
      </c>
      <c r="AC3316" t="s">
        <v>59</v>
      </c>
      <c r="AD3316" t="s">
        <v>59</v>
      </c>
      <c r="AF3316" s="1">
        <v>30900</v>
      </c>
      <c r="AG3316" t="s">
        <v>125</v>
      </c>
      <c r="AH3316" t="s">
        <v>126</v>
      </c>
      <c r="AI3316" t="str">
        <f>"4102010"</f>
        <v>4102010</v>
      </c>
      <c r="AJ3316" t="s">
        <v>5735</v>
      </c>
      <c r="AK3316">
        <v>2834031331</v>
      </c>
      <c r="AL3316" t="s">
        <v>5736</v>
      </c>
      <c r="AM3316" t="s">
        <v>64</v>
      </c>
      <c r="AN3316" t="s">
        <v>5737</v>
      </c>
      <c r="AO3316" t="s">
        <v>5737</v>
      </c>
      <c r="AP3316" t="s">
        <v>5737</v>
      </c>
      <c r="AQ3316">
        <v>3</v>
      </c>
      <c r="AR3316" t="s">
        <v>5644</v>
      </c>
      <c r="AS3316" t="s">
        <v>5645</v>
      </c>
      <c r="AT3316" t="s">
        <v>58</v>
      </c>
      <c r="AU3316" t="s">
        <v>68</v>
      </c>
      <c r="AV3316" t="s">
        <v>69</v>
      </c>
      <c r="AW3316" s="1">
        <v>21979</v>
      </c>
      <c r="AX3316">
        <v>2</v>
      </c>
    </row>
    <row r="3317" spans="1:50">
      <c r="A3317">
        <v>175039</v>
      </c>
      <c r="B3317" t="str">
        <f>"042297604"</f>
        <v>042297604</v>
      </c>
      <c r="C3317" t="s">
        <v>105</v>
      </c>
      <c r="D3317" t="s">
        <v>3501</v>
      </c>
      <c r="E3317" t="s">
        <v>53</v>
      </c>
      <c r="F3317" t="s">
        <v>72</v>
      </c>
      <c r="G3317" t="s">
        <v>237</v>
      </c>
      <c r="H3317" t="str">
        <f>"ΣΒΑΪΤΣΕΡ 15 ΚΑΛΛΙΘΕΑ"</f>
        <v>ΣΒΑΪΤΣΕΡ 15 ΚΑΛΛΙΘΕΑ</v>
      </c>
      <c r="I3317">
        <v>74100</v>
      </c>
      <c r="N3317" t="s">
        <v>204</v>
      </c>
      <c r="O3317" t="s">
        <v>205</v>
      </c>
      <c r="R3317" t="s">
        <v>57</v>
      </c>
      <c r="S3317">
        <v>13</v>
      </c>
      <c r="T3317">
        <v>166</v>
      </c>
      <c r="U3317" s="1">
        <v>35300</v>
      </c>
      <c r="V3317" t="s">
        <v>5644</v>
      </c>
      <c r="W3317" t="s">
        <v>5645</v>
      </c>
      <c r="X3317" t="s">
        <v>58</v>
      </c>
      <c r="Y3317">
        <v>18</v>
      </c>
      <c r="Z3317" t="s">
        <v>59</v>
      </c>
      <c r="AA3317" t="s">
        <v>59</v>
      </c>
      <c r="AB3317" t="s">
        <v>59</v>
      </c>
      <c r="AC3317" t="s">
        <v>59</v>
      </c>
      <c r="AD3317" t="s">
        <v>59</v>
      </c>
      <c r="AF3317" s="1">
        <v>35300</v>
      </c>
      <c r="AG3317" t="s">
        <v>125</v>
      </c>
      <c r="AH3317" t="s">
        <v>126</v>
      </c>
      <c r="AI3317" t="str">
        <f>"4101040"</f>
        <v>4101040</v>
      </c>
      <c r="AJ3317" t="s">
        <v>5732</v>
      </c>
      <c r="AK3317">
        <v>2831029261</v>
      </c>
      <c r="AL3317" t="s">
        <v>5733</v>
      </c>
      <c r="AM3317" t="s">
        <v>64</v>
      </c>
      <c r="AN3317" t="s">
        <v>65</v>
      </c>
      <c r="AO3317" t="s">
        <v>65</v>
      </c>
      <c r="AP3317" t="s">
        <v>65</v>
      </c>
      <c r="AQ3317">
        <v>1</v>
      </c>
      <c r="AR3317" t="s">
        <v>5644</v>
      </c>
      <c r="AS3317" t="s">
        <v>5645</v>
      </c>
      <c r="AT3317" t="s">
        <v>58</v>
      </c>
      <c r="AU3317" t="s">
        <v>68</v>
      </c>
      <c r="AV3317" t="s">
        <v>69</v>
      </c>
      <c r="AW3317" s="1">
        <v>24929</v>
      </c>
      <c r="AX3317">
        <v>2</v>
      </c>
    </row>
    <row r="3318" spans="1:50">
      <c r="A3318">
        <v>152315</v>
      </c>
      <c r="B3318" t="str">
        <f>"065555446"</f>
        <v>065555446</v>
      </c>
      <c r="C3318" t="s">
        <v>50</v>
      </c>
      <c r="D3318" t="s">
        <v>6444</v>
      </c>
      <c r="E3318" t="s">
        <v>396</v>
      </c>
      <c r="F3318" t="s">
        <v>154</v>
      </c>
      <c r="G3318" t="s">
        <v>155</v>
      </c>
      <c r="H3318" t="str">
        <f>"ΓΙΑΝΝΟΥΔΙ "</f>
        <v xml:space="preserve">ΓΙΑΝΝΟΥΔΙ </v>
      </c>
      <c r="J3318">
        <v>2831027476</v>
      </c>
      <c r="K3318">
        <v>6972399767</v>
      </c>
      <c r="N3318" t="s">
        <v>146</v>
      </c>
      <c r="O3318" t="s">
        <v>147</v>
      </c>
      <c r="R3318" t="s">
        <v>57</v>
      </c>
      <c r="S3318">
        <v>15</v>
      </c>
      <c r="T3318">
        <v>193</v>
      </c>
      <c r="U3318" s="1">
        <v>32042</v>
      </c>
      <c r="V3318" t="s">
        <v>5644</v>
      </c>
      <c r="W3318" t="s">
        <v>5645</v>
      </c>
      <c r="X3318" t="s">
        <v>58</v>
      </c>
      <c r="Y3318">
        <v>18</v>
      </c>
      <c r="Z3318" t="s">
        <v>59</v>
      </c>
      <c r="AA3318" t="s">
        <v>59</v>
      </c>
      <c r="AB3318" t="s">
        <v>59</v>
      </c>
      <c r="AC3318" t="s">
        <v>59</v>
      </c>
      <c r="AD3318" t="s">
        <v>59</v>
      </c>
      <c r="AF3318" s="1">
        <v>32042</v>
      </c>
      <c r="AG3318" t="s">
        <v>125</v>
      </c>
      <c r="AH3318" t="s">
        <v>126</v>
      </c>
      <c r="AI3318" t="str">
        <f>"4101020"</f>
        <v>4101020</v>
      </c>
      <c r="AJ3318" t="s">
        <v>5652</v>
      </c>
      <c r="AK3318">
        <v>2831023560</v>
      </c>
      <c r="AL3318" t="s">
        <v>5653</v>
      </c>
      <c r="AM3318" t="s">
        <v>64</v>
      </c>
      <c r="AN3318" t="s">
        <v>65</v>
      </c>
      <c r="AO3318" t="s">
        <v>65</v>
      </c>
      <c r="AP3318" t="s">
        <v>65</v>
      </c>
      <c r="AQ3318">
        <v>1</v>
      </c>
      <c r="AR3318" t="s">
        <v>5644</v>
      </c>
      <c r="AS3318" t="s">
        <v>5645</v>
      </c>
      <c r="AT3318" t="s">
        <v>58</v>
      </c>
      <c r="AU3318" t="s">
        <v>68</v>
      </c>
      <c r="AV3318" t="s">
        <v>69</v>
      </c>
      <c r="AW3318" s="1">
        <v>22536</v>
      </c>
      <c r="AX3318">
        <v>2</v>
      </c>
    </row>
    <row r="3319" spans="1:50">
      <c r="A3319">
        <v>197443</v>
      </c>
      <c r="B3319" t="str">
        <f>"045171994"</f>
        <v>045171994</v>
      </c>
      <c r="C3319" t="s">
        <v>105</v>
      </c>
      <c r="D3319" t="s">
        <v>6445</v>
      </c>
      <c r="E3319" t="s">
        <v>95</v>
      </c>
      <c r="F3319" t="s">
        <v>995</v>
      </c>
      <c r="G3319" t="s">
        <v>372</v>
      </c>
      <c r="H3319" t="str">
        <f>"ΑΓΙΟΣ ΔΗΜΗΤΡΙΟΣ ΡΕΘΥΜΝΟ"</f>
        <v>ΑΓΙΟΣ ΔΗΜΗΤΡΙΟΣ ΡΕΘΥΜΝΟ</v>
      </c>
      <c r="I3319">
        <v>74100</v>
      </c>
      <c r="J3319">
        <v>2831072225</v>
      </c>
      <c r="K3319">
        <v>6973711441</v>
      </c>
      <c r="N3319" t="s">
        <v>146</v>
      </c>
      <c r="O3319" t="s">
        <v>147</v>
      </c>
      <c r="R3319" t="s">
        <v>57</v>
      </c>
      <c r="S3319">
        <v>10</v>
      </c>
      <c r="T3319">
        <v>206</v>
      </c>
      <c r="U3319" s="1">
        <v>37866</v>
      </c>
      <c r="V3319" t="s">
        <v>5644</v>
      </c>
      <c r="W3319" t="s">
        <v>5645</v>
      </c>
      <c r="X3319" t="s">
        <v>58</v>
      </c>
      <c r="Y3319">
        <v>18</v>
      </c>
      <c r="Z3319" t="s">
        <v>59</v>
      </c>
      <c r="AA3319" t="s">
        <v>59</v>
      </c>
      <c r="AB3319" t="s">
        <v>59</v>
      </c>
      <c r="AC3319" t="s">
        <v>59</v>
      </c>
      <c r="AD3319" t="s">
        <v>59</v>
      </c>
      <c r="AF3319" s="1">
        <v>37866</v>
      </c>
      <c r="AG3319" t="s">
        <v>125</v>
      </c>
      <c r="AH3319" t="s">
        <v>126</v>
      </c>
      <c r="AI3319" t="str">
        <f>"4106030"</f>
        <v>4106030</v>
      </c>
      <c r="AJ3319" t="s">
        <v>6097</v>
      </c>
      <c r="AK3319">
        <v>2832051138</v>
      </c>
      <c r="AL3319" t="s">
        <v>6098</v>
      </c>
      <c r="AM3319" t="s">
        <v>64</v>
      </c>
      <c r="AN3319" t="s">
        <v>5882</v>
      </c>
      <c r="AO3319" t="s">
        <v>6099</v>
      </c>
      <c r="AP3319" t="s">
        <v>6100</v>
      </c>
      <c r="AQ3319">
        <v>5</v>
      </c>
      <c r="AR3319" t="s">
        <v>5644</v>
      </c>
      <c r="AS3319" t="s">
        <v>5645</v>
      </c>
      <c r="AT3319" t="s">
        <v>58</v>
      </c>
      <c r="AU3319" t="s">
        <v>68</v>
      </c>
      <c r="AV3319" t="s">
        <v>69</v>
      </c>
      <c r="AW3319" s="1">
        <v>24584</v>
      </c>
      <c r="AX3319">
        <v>2</v>
      </c>
    </row>
    <row r="3320" spans="1:50">
      <c r="A3320">
        <v>205523</v>
      </c>
      <c r="B3320" t="str">
        <f>"110722081"</f>
        <v>110722081</v>
      </c>
      <c r="C3320" t="s">
        <v>50</v>
      </c>
      <c r="D3320" t="s">
        <v>6446</v>
      </c>
      <c r="E3320" t="s">
        <v>263</v>
      </c>
      <c r="F3320" t="s">
        <v>72</v>
      </c>
      <c r="G3320" t="s">
        <v>83</v>
      </c>
      <c r="H3320" t="str">
        <f>" ΑΤΣΙΠΟΠΟΥΛΟ"</f>
        <v xml:space="preserve"> ΑΤΣΙΠΟΠΟΥΛΟ</v>
      </c>
      <c r="I3320">
        <v>74100</v>
      </c>
      <c r="K3320">
        <v>6937444370</v>
      </c>
      <c r="M3320" t="s">
        <v>6447</v>
      </c>
      <c r="N3320" t="s">
        <v>204</v>
      </c>
      <c r="O3320" t="s">
        <v>205</v>
      </c>
      <c r="R3320" t="s">
        <v>57</v>
      </c>
      <c r="S3320">
        <v>7</v>
      </c>
      <c r="T3320">
        <v>231</v>
      </c>
      <c r="U3320" s="1">
        <v>38230</v>
      </c>
      <c r="V3320" t="s">
        <v>5644</v>
      </c>
      <c r="W3320" t="s">
        <v>5645</v>
      </c>
      <c r="X3320" t="s">
        <v>58</v>
      </c>
      <c r="Y3320">
        <v>20</v>
      </c>
      <c r="Z3320" t="s">
        <v>59</v>
      </c>
      <c r="AA3320" t="s">
        <v>59</v>
      </c>
      <c r="AB3320" t="s">
        <v>59</v>
      </c>
      <c r="AC3320" t="s">
        <v>59</v>
      </c>
      <c r="AD3320" t="s">
        <v>59</v>
      </c>
      <c r="AF3320" s="1">
        <v>38232</v>
      </c>
      <c r="AG3320" t="s">
        <v>148</v>
      </c>
      <c r="AH3320" t="s">
        <v>149</v>
      </c>
      <c r="AI3320" t="str">
        <f>"4144002"</f>
        <v>4144002</v>
      </c>
      <c r="AJ3320" t="s">
        <v>5655</v>
      </c>
      <c r="AK3320">
        <v>2831061110</v>
      </c>
      <c r="AL3320" t="s">
        <v>5656</v>
      </c>
      <c r="AM3320" t="s">
        <v>64</v>
      </c>
      <c r="AN3320" t="s">
        <v>65</v>
      </c>
      <c r="AO3320" t="s">
        <v>5657</v>
      </c>
      <c r="AP3320" t="s">
        <v>1437</v>
      </c>
      <c r="AQ3320">
        <v>1</v>
      </c>
      <c r="AR3320" t="s">
        <v>5644</v>
      </c>
      <c r="AS3320" t="s">
        <v>5645</v>
      </c>
      <c r="AT3320" t="s">
        <v>58</v>
      </c>
      <c r="AU3320" t="s">
        <v>68</v>
      </c>
      <c r="AV3320" t="s">
        <v>1092</v>
      </c>
      <c r="AW3320" s="1">
        <v>28961</v>
      </c>
      <c r="AX3320">
        <v>2</v>
      </c>
    </row>
    <row r="3321" spans="1:50">
      <c r="B3321" t="str">
        <f>"072938816"</f>
        <v>072938816</v>
      </c>
      <c r="C3321" t="s">
        <v>50</v>
      </c>
      <c r="D3321" t="s">
        <v>6448</v>
      </c>
      <c r="E3321" t="s">
        <v>964</v>
      </c>
      <c r="F3321" t="s">
        <v>53</v>
      </c>
      <c r="G3321" t="s">
        <v>5038</v>
      </c>
      <c r="H3321" t="str">
        <f>"ΜΕΓ. ΑΛΕΞΑΝΔΡΟΥ 166 ΠΕΙΡΑΙΑΣ"</f>
        <v>ΜΕΓ. ΑΛΕΞΑΝΔΡΟΥ 166 ΠΕΙΡΑΙΑΣ</v>
      </c>
      <c r="I3321">
        <v>18755</v>
      </c>
      <c r="J3321">
        <v>2104003907</v>
      </c>
      <c r="K3321">
        <v>6977706004</v>
      </c>
      <c r="N3321" t="s">
        <v>119</v>
      </c>
      <c r="O3321" t="s">
        <v>120</v>
      </c>
      <c r="R3321" t="s">
        <v>159</v>
      </c>
      <c r="S3321">
        <v>5</v>
      </c>
      <c r="T3321" t="s">
        <v>344</v>
      </c>
      <c r="U3321" s="1">
        <v>43348</v>
      </c>
      <c r="V3321" t="s">
        <v>5644</v>
      </c>
      <c r="W3321" t="s">
        <v>5645</v>
      </c>
      <c r="X3321" t="s">
        <v>58</v>
      </c>
      <c r="Y3321">
        <v>21</v>
      </c>
      <c r="Z3321" t="s">
        <v>59</v>
      </c>
      <c r="AA3321" t="s">
        <v>59</v>
      </c>
      <c r="AB3321" t="s">
        <v>59</v>
      </c>
      <c r="AC3321" t="s">
        <v>59</v>
      </c>
      <c r="AD3321" t="s">
        <v>59</v>
      </c>
      <c r="AF3321" s="1">
        <v>43348</v>
      </c>
      <c r="AG3321" t="s">
        <v>125</v>
      </c>
      <c r="AH3321" t="s">
        <v>126</v>
      </c>
      <c r="AI3321" t="str">
        <f>"4110015"</f>
        <v>4110015</v>
      </c>
      <c r="AJ3321" t="s">
        <v>5723</v>
      </c>
      <c r="AK3321">
        <v>2831022741</v>
      </c>
      <c r="AL3321" t="s">
        <v>5724</v>
      </c>
      <c r="AM3321" t="s">
        <v>64</v>
      </c>
      <c r="AN3321" t="s">
        <v>65</v>
      </c>
      <c r="AO3321" t="s">
        <v>5720</v>
      </c>
      <c r="AP3321" t="s">
        <v>5721</v>
      </c>
      <c r="AQ3321">
        <v>1</v>
      </c>
      <c r="AR3321" t="s">
        <v>5644</v>
      </c>
      <c r="AS3321" t="s">
        <v>5645</v>
      </c>
      <c r="AT3321" t="s">
        <v>58</v>
      </c>
      <c r="AU3321" t="s">
        <v>350</v>
      </c>
      <c r="AV3321" t="s">
        <v>132</v>
      </c>
      <c r="AW3321" s="1">
        <v>26583</v>
      </c>
      <c r="AX3321">
        <v>2</v>
      </c>
    </row>
    <row r="3322" spans="1:50">
      <c r="A3322">
        <v>170028</v>
      </c>
      <c r="B3322" t="str">
        <f>"106208650"</f>
        <v>106208650</v>
      </c>
      <c r="C3322" t="s">
        <v>50</v>
      </c>
      <c r="D3322" t="s">
        <v>6449</v>
      </c>
      <c r="E3322" t="s">
        <v>52</v>
      </c>
      <c r="F3322" t="s">
        <v>99</v>
      </c>
      <c r="G3322" t="s">
        <v>742</v>
      </c>
      <c r="H3322" t="str">
        <f>"ΜΙΑΟΥΛΗ 8 "</f>
        <v xml:space="preserve">ΜΙΑΟΥΛΗ 8 </v>
      </c>
      <c r="I3322">
        <v>74100</v>
      </c>
      <c r="K3322">
        <v>6936408485</v>
      </c>
      <c r="N3322" t="s">
        <v>146</v>
      </c>
      <c r="O3322" t="s">
        <v>147</v>
      </c>
      <c r="R3322" t="s">
        <v>57</v>
      </c>
      <c r="S3322">
        <v>12</v>
      </c>
      <c r="T3322">
        <v>184</v>
      </c>
      <c r="U3322" s="1">
        <v>34941</v>
      </c>
      <c r="V3322" t="s">
        <v>5644</v>
      </c>
      <c r="W3322" t="s">
        <v>5645</v>
      </c>
      <c r="X3322" t="s">
        <v>58</v>
      </c>
      <c r="Y3322">
        <v>18</v>
      </c>
      <c r="Z3322" t="s">
        <v>59</v>
      </c>
      <c r="AA3322" t="s">
        <v>59</v>
      </c>
      <c r="AB3322" t="s">
        <v>59</v>
      </c>
      <c r="AC3322" t="s">
        <v>59</v>
      </c>
      <c r="AD3322" t="s">
        <v>59</v>
      </c>
      <c r="AF3322" s="1">
        <v>34941</v>
      </c>
      <c r="AG3322" t="s">
        <v>125</v>
      </c>
      <c r="AH3322" t="s">
        <v>126</v>
      </c>
      <c r="AI3322" t="str">
        <f>"4101020"</f>
        <v>4101020</v>
      </c>
      <c r="AJ3322" t="s">
        <v>5652</v>
      </c>
      <c r="AK3322">
        <v>2831023560</v>
      </c>
      <c r="AL3322" t="s">
        <v>5653</v>
      </c>
      <c r="AM3322" t="s">
        <v>64</v>
      </c>
      <c r="AN3322" t="s">
        <v>65</v>
      </c>
      <c r="AO3322" t="s">
        <v>65</v>
      </c>
      <c r="AP3322" t="s">
        <v>65</v>
      </c>
      <c r="AQ3322">
        <v>1</v>
      </c>
      <c r="AR3322" t="s">
        <v>5644</v>
      </c>
      <c r="AS3322" t="s">
        <v>5645</v>
      </c>
      <c r="AT3322" t="s">
        <v>58</v>
      </c>
      <c r="AU3322" t="s">
        <v>68</v>
      </c>
      <c r="AV3322" t="s">
        <v>69</v>
      </c>
      <c r="AW3322" s="1">
        <v>24223</v>
      </c>
      <c r="AX3322">
        <v>2</v>
      </c>
    </row>
    <row r="3323" spans="1:50">
      <c r="A3323">
        <v>153494</v>
      </c>
      <c r="B3323" t="str">
        <f>"030964600"</f>
        <v>030964600</v>
      </c>
      <c r="C3323" t="s">
        <v>50</v>
      </c>
      <c r="D3323" t="s">
        <v>6450</v>
      </c>
      <c r="E3323" t="s">
        <v>263</v>
      </c>
      <c r="F3323" t="s">
        <v>154</v>
      </c>
      <c r="G3323" t="s">
        <v>52</v>
      </c>
      <c r="H3323" t="str">
        <f>"Γ.ΑΝΔΡΟΥΛΙΔΑΚΗ 18 ΡΕΘΥΜΝΟ"</f>
        <v>Γ.ΑΝΔΡΟΥΛΙΔΑΚΗ 18 ΡΕΘΥΜΝΟ</v>
      </c>
      <c r="I3323">
        <v>74100</v>
      </c>
      <c r="N3323" t="s">
        <v>146</v>
      </c>
      <c r="O3323" t="s">
        <v>147</v>
      </c>
      <c r="R3323" t="s">
        <v>57</v>
      </c>
      <c r="S3323">
        <v>16</v>
      </c>
      <c r="T3323">
        <v>139</v>
      </c>
      <c r="U3323" s="1">
        <v>32366</v>
      </c>
      <c r="V3323" t="s">
        <v>5644</v>
      </c>
      <c r="W3323" t="s">
        <v>5645</v>
      </c>
      <c r="X3323" t="s">
        <v>58</v>
      </c>
      <c r="Y3323">
        <v>18</v>
      </c>
      <c r="Z3323" t="s">
        <v>59</v>
      </c>
      <c r="AA3323" t="s">
        <v>59</v>
      </c>
      <c r="AB3323" t="s">
        <v>59</v>
      </c>
      <c r="AC3323" t="s">
        <v>59</v>
      </c>
      <c r="AD3323" t="s">
        <v>59</v>
      </c>
      <c r="AF3323" s="1">
        <v>32366</v>
      </c>
      <c r="AG3323" t="s">
        <v>125</v>
      </c>
      <c r="AH3323" t="s">
        <v>126</v>
      </c>
      <c r="AI3323" t="str">
        <f>"4102020"</f>
        <v>4102020</v>
      </c>
      <c r="AJ3323" t="s">
        <v>5761</v>
      </c>
      <c r="AK3323">
        <v>2831061491</v>
      </c>
      <c r="AL3323" t="s">
        <v>5762</v>
      </c>
      <c r="AM3323" t="s">
        <v>64</v>
      </c>
      <c r="AN3323" t="s">
        <v>65</v>
      </c>
      <c r="AO3323" t="s">
        <v>5657</v>
      </c>
      <c r="AP3323" t="s">
        <v>1437</v>
      </c>
      <c r="AQ3323">
        <v>1</v>
      </c>
      <c r="AR3323" t="s">
        <v>5644</v>
      </c>
      <c r="AS3323" t="s">
        <v>5645</v>
      </c>
      <c r="AT3323" t="s">
        <v>58</v>
      </c>
      <c r="AU3323" t="s">
        <v>68</v>
      </c>
      <c r="AV3323" t="s">
        <v>69</v>
      </c>
      <c r="AW3323" s="1">
        <v>22592</v>
      </c>
      <c r="AX3323">
        <v>2</v>
      </c>
    </row>
    <row r="3324" spans="1:50">
      <c r="A3324">
        <v>201910</v>
      </c>
      <c r="B3324" t="str">
        <f>"053487651"</f>
        <v>053487651</v>
      </c>
      <c r="C3324" t="s">
        <v>50</v>
      </c>
      <c r="D3324" t="s">
        <v>6451</v>
      </c>
      <c r="E3324" t="s">
        <v>250</v>
      </c>
      <c r="F3324" t="s">
        <v>84</v>
      </c>
      <c r="G3324" t="s">
        <v>52</v>
      </c>
      <c r="H3324" t="str">
        <f>"ΜΑΝΟΥ ΧΑΤΖΗΔΑΚΗ 3 ΡΕΘΥΜΝΟ"</f>
        <v>ΜΑΝΟΥ ΧΑΤΖΗΔΑΚΗ 3 ΡΕΘΥΜΝΟ</v>
      </c>
      <c r="I3324">
        <v>74100</v>
      </c>
      <c r="J3324">
        <v>2109026758</v>
      </c>
      <c r="K3324">
        <v>6977219540</v>
      </c>
      <c r="N3324" t="s">
        <v>146</v>
      </c>
      <c r="O3324" t="s">
        <v>147</v>
      </c>
      <c r="R3324" t="s">
        <v>57</v>
      </c>
      <c r="S3324">
        <v>7</v>
      </c>
      <c r="T3324">
        <v>231</v>
      </c>
      <c r="U3324" s="1">
        <v>38230</v>
      </c>
      <c r="V3324" t="s">
        <v>5644</v>
      </c>
      <c r="W3324" t="s">
        <v>5645</v>
      </c>
      <c r="X3324" t="s">
        <v>58</v>
      </c>
      <c r="Y3324">
        <v>20</v>
      </c>
      <c r="Z3324" t="s">
        <v>59</v>
      </c>
      <c r="AA3324" t="s">
        <v>59</v>
      </c>
      <c r="AB3324" t="s">
        <v>59</v>
      </c>
      <c r="AC3324" t="s">
        <v>59</v>
      </c>
      <c r="AD3324" t="s">
        <v>59</v>
      </c>
      <c r="AF3324" s="1">
        <v>38230</v>
      </c>
      <c r="AG3324" t="s">
        <v>137</v>
      </c>
      <c r="AH3324" t="s">
        <v>138</v>
      </c>
      <c r="AI3324" t="str">
        <f>"4150040"</f>
        <v>4150040</v>
      </c>
      <c r="AJ3324" t="s">
        <v>5661</v>
      </c>
      <c r="AK3324">
        <v>2831029048</v>
      </c>
      <c r="AL3324" t="s">
        <v>5662</v>
      </c>
      <c r="AM3324" t="s">
        <v>64</v>
      </c>
      <c r="AN3324" t="s">
        <v>65</v>
      </c>
      <c r="AO3324" t="s">
        <v>65</v>
      </c>
      <c r="AP3324" t="s">
        <v>65</v>
      </c>
      <c r="AQ3324">
        <v>1</v>
      </c>
      <c r="AR3324" t="s">
        <v>5644</v>
      </c>
      <c r="AS3324" t="s">
        <v>5645</v>
      </c>
      <c r="AT3324" t="s">
        <v>58</v>
      </c>
      <c r="AU3324" t="s">
        <v>68</v>
      </c>
      <c r="AV3324" t="s">
        <v>69</v>
      </c>
      <c r="AW3324" s="1">
        <v>25498</v>
      </c>
      <c r="AX3324">
        <v>2</v>
      </c>
    </row>
    <row r="3325" spans="1:50">
      <c r="A3325">
        <v>226779</v>
      </c>
      <c r="B3325" t="str">
        <f>"128333723"</f>
        <v>128333723</v>
      </c>
      <c r="C3325" t="s">
        <v>50</v>
      </c>
      <c r="D3325" t="s">
        <v>3533</v>
      </c>
      <c r="E3325" t="s">
        <v>563</v>
      </c>
      <c r="F3325" t="s">
        <v>1336</v>
      </c>
      <c r="G3325" t="s">
        <v>658</v>
      </c>
      <c r="H3325" t="str">
        <f>"ΣΙΣΕΣ  ΡΕΘΥΜΝΟ"</f>
        <v>ΣΙΣΕΣ  ΡΕΘΥΜΝΟ</v>
      </c>
      <c r="I3325">
        <v>74057</v>
      </c>
      <c r="J3325">
        <v>2834094038</v>
      </c>
      <c r="K3325">
        <v>6972542779</v>
      </c>
      <c r="M3325" t="s">
        <v>6452</v>
      </c>
      <c r="N3325" t="s">
        <v>146</v>
      </c>
      <c r="O3325" t="s">
        <v>147</v>
      </c>
      <c r="R3325" t="s">
        <v>57</v>
      </c>
      <c r="S3325">
        <v>5</v>
      </c>
      <c r="T3325">
        <v>654</v>
      </c>
      <c r="U3325" s="1">
        <v>40043</v>
      </c>
      <c r="V3325" t="s">
        <v>5644</v>
      </c>
      <c r="W3325" t="s">
        <v>5645</v>
      </c>
      <c r="X3325" t="s">
        <v>58</v>
      </c>
      <c r="Y3325">
        <v>21</v>
      </c>
      <c r="Z3325" t="s">
        <v>59</v>
      </c>
      <c r="AA3325" t="s">
        <v>59</v>
      </c>
      <c r="AB3325" t="s">
        <v>59</v>
      </c>
      <c r="AC3325" t="s">
        <v>59</v>
      </c>
      <c r="AD3325" t="s">
        <v>59</v>
      </c>
      <c r="AF3325" s="1">
        <v>40043</v>
      </c>
      <c r="AG3325" t="s">
        <v>125</v>
      </c>
      <c r="AH3325" t="s">
        <v>126</v>
      </c>
      <c r="AI3325" t="str">
        <f>"4109010"</f>
        <v>4109010</v>
      </c>
      <c r="AJ3325" t="s">
        <v>5786</v>
      </c>
      <c r="AK3325">
        <v>2834041366</v>
      </c>
      <c r="AL3325" t="s">
        <v>5787</v>
      </c>
      <c r="AM3325" t="s">
        <v>64</v>
      </c>
      <c r="AN3325" t="s">
        <v>5672</v>
      </c>
      <c r="AO3325" t="s">
        <v>5698</v>
      </c>
      <c r="AP3325" t="s">
        <v>5788</v>
      </c>
      <c r="AQ3325">
        <v>2</v>
      </c>
      <c r="AR3325" t="s">
        <v>5644</v>
      </c>
      <c r="AS3325" t="s">
        <v>5645</v>
      </c>
      <c r="AT3325" t="s">
        <v>58</v>
      </c>
      <c r="AU3325" t="s">
        <v>68</v>
      </c>
      <c r="AV3325" t="s">
        <v>69</v>
      </c>
      <c r="AW3325" s="1">
        <v>29210</v>
      </c>
      <c r="AX3325">
        <v>2</v>
      </c>
    </row>
    <row r="3326" spans="1:50">
      <c r="A3326">
        <v>173009</v>
      </c>
      <c r="B3326" t="str">
        <f>"045925305"</f>
        <v>045925305</v>
      </c>
      <c r="C3326" t="s">
        <v>105</v>
      </c>
      <c r="D3326" t="s">
        <v>6453</v>
      </c>
      <c r="E3326" t="s">
        <v>510</v>
      </c>
      <c r="F3326" t="s">
        <v>6454</v>
      </c>
      <c r="G3326" t="s">
        <v>5556</v>
      </c>
      <c r="H3326" t="str">
        <f>"Ι Κ Γ ΓΑΓΑΝΗ ΒΙΟΛΙ ΧΑΡΑΚΙ"</f>
        <v>Ι Κ Γ ΓΑΓΑΝΗ ΒΙΟΛΙ ΧΑΡΑΚΙ</v>
      </c>
      <c r="I3326">
        <v>74100</v>
      </c>
      <c r="K3326">
        <v>6974397488</v>
      </c>
      <c r="N3326" t="s">
        <v>337</v>
      </c>
      <c r="O3326" t="s">
        <v>338</v>
      </c>
      <c r="R3326" t="s">
        <v>57</v>
      </c>
      <c r="S3326">
        <v>12</v>
      </c>
      <c r="T3326" t="s">
        <v>6455</v>
      </c>
      <c r="U3326" s="1">
        <v>35146</v>
      </c>
      <c r="V3326" t="s">
        <v>5644</v>
      </c>
      <c r="W3326" t="s">
        <v>5645</v>
      </c>
      <c r="X3326" t="s">
        <v>58</v>
      </c>
      <c r="Y3326">
        <v>18</v>
      </c>
      <c r="Z3326" t="s">
        <v>59</v>
      </c>
      <c r="AA3326" t="s">
        <v>59</v>
      </c>
      <c r="AB3326" t="s">
        <v>59</v>
      </c>
      <c r="AC3326" t="s">
        <v>59</v>
      </c>
      <c r="AD3326" t="s">
        <v>59</v>
      </c>
      <c r="AF3326" s="1">
        <v>35146</v>
      </c>
      <c r="AG3326" t="s">
        <v>125</v>
      </c>
      <c r="AH3326" t="s">
        <v>294</v>
      </c>
      <c r="AI3326" t="str">
        <f>"4101045"</f>
        <v>4101045</v>
      </c>
      <c r="AJ3326" t="s">
        <v>5677</v>
      </c>
      <c r="AK3326">
        <v>2831027553</v>
      </c>
      <c r="AL3326" t="s">
        <v>5678</v>
      </c>
      <c r="AM3326" t="s">
        <v>64</v>
      </c>
      <c r="AN3326" t="s">
        <v>65</v>
      </c>
      <c r="AO3326" t="s">
        <v>65</v>
      </c>
      <c r="AP3326" t="s">
        <v>65</v>
      </c>
      <c r="AQ3326">
        <v>1</v>
      </c>
      <c r="AR3326" t="s">
        <v>5644</v>
      </c>
      <c r="AS3326" t="s">
        <v>5645</v>
      </c>
      <c r="AT3326" t="s">
        <v>58</v>
      </c>
      <c r="AU3326" t="s">
        <v>68</v>
      </c>
      <c r="AV3326" t="s">
        <v>69</v>
      </c>
      <c r="AW3326" s="1">
        <v>25177</v>
      </c>
      <c r="AX3326">
        <v>2</v>
      </c>
    </row>
    <row r="3327" spans="1:50">
      <c r="A3327">
        <v>212387</v>
      </c>
      <c r="B3327" t="str">
        <f>"109141596"</f>
        <v>109141596</v>
      </c>
      <c r="C3327" t="s">
        <v>50</v>
      </c>
      <c r="D3327" t="s">
        <v>6456</v>
      </c>
      <c r="E3327" t="s">
        <v>620</v>
      </c>
      <c r="F3327" t="s">
        <v>510</v>
      </c>
      <c r="G3327" t="s">
        <v>650</v>
      </c>
      <c r="H3327" t="str">
        <f>"ΜΙΚΡΑΣΙΑΤΩΝ 8 "</f>
        <v xml:space="preserve">ΜΙΚΡΑΣΙΑΤΩΝ 8 </v>
      </c>
      <c r="I3327">
        <v>74100</v>
      </c>
      <c r="J3327">
        <v>2831029311</v>
      </c>
      <c r="K3327">
        <v>6931371534</v>
      </c>
      <c r="N3327" t="s">
        <v>146</v>
      </c>
      <c r="O3327" t="s">
        <v>147</v>
      </c>
      <c r="R3327" t="s">
        <v>57</v>
      </c>
      <c r="S3327">
        <v>7</v>
      </c>
      <c r="T3327">
        <v>231</v>
      </c>
      <c r="U3327" s="1">
        <v>38960</v>
      </c>
      <c r="V3327" t="s">
        <v>5644</v>
      </c>
      <c r="W3327" t="s">
        <v>5645</v>
      </c>
      <c r="X3327" t="s">
        <v>58</v>
      </c>
      <c r="Y3327">
        <v>20</v>
      </c>
      <c r="Z3327" t="s">
        <v>59</v>
      </c>
      <c r="AA3327" t="s">
        <v>59</v>
      </c>
      <c r="AB3327" t="s">
        <v>59</v>
      </c>
      <c r="AC3327" t="s">
        <v>59</v>
      </c>
      <c r="AD3327" t="s">
        <v>59</v>
      </c>
      <c r="AF3327" s="1">
        <v>38960</v>
      </c>
      <c r="AG3327" t="s">
        <v>137</v>
      </c>
      <c r="AH3327" t="s">
        <v>138</v>
      </c>
      <c r="AI3327" t="str">
        <f>"4150040"</f>
        <v>4150040</v>
      </c>
      <c r="AJ3327" t="s">
        <v>5661</v>
      </c>
      <c r="AK3327">
        <v>2831029048</v>
      </c>
      <c r="AL3327" t="s">
        <v>5662</v>
      </c>
      <c r="AM3327" t="s">
        <v>64</v>
      </c>
      <c r="AN3327" t="s">
        <v>65</v>
      </c>
      <c r="AO3327" t="s">
        <v>65</v>
      </c>
      <c r="AP3327" t="s">
        <v>65</v>
      </c>
      <c r="AQ3327">
        <v>1</v>
      </c>
      <c r="AR3327" t="s">
        <v>5644</v>
      </c>
      <c r="AS3327" t="s">
        <v>5645</v>
      </c>
      <c r="AT3327" t="s">
        <v>58</v>
      </c>
      <c r="AU3327" t="s">
        <v>68</v>
      </c>
      <c r="AV3327" t="s">
        <v>69</v>
      </c>
      <c r="AW3327" s="1">
        <v>27063</v>
      </c>
      <c r="AX3327">
        <v>2</v>
      </c>
    </row>
    <row r="3328" spans="1:50">
      <c r="B3328" t="str">
        <f>"120225385"</f>
        <v>120225385</v>
      </c>
      <c r="C3328" t="s">
        <v>50</v>
      </c>
      <c r="D3328" t="s">
        <v>6457</v>
      </c>
      <c r="E3328" t="s">
        <v>250</v>
      </c>
      <c r="F3328" t="s">
        <v>95</v>
      </c>
      <c r="G3328" t="s">
        <v>73</v>
      </c>
      <c r="H3328" t="str">
        <f>"Μ.ΜΠΟΤΣΑΡΗ 3 ΧΑΝΙΑ"</f>
        <v>Μ.ΜΠΟΤΣΑΡΗ 3 ΧΑΝΙΑ</v>
      </c>
      <c r="I3328">
        <v>73100</v>
      </c>
      <c r="J3328">
        <v>2821097636</v>
      </c>
      <c r="K3328">
        <v>6948588518</v>
      </c>
      <c r="N3328" t="s">
        <v>1647</v>
      </c>
      <c r="O3328" t="s">
        <v>1648</v>
      </c>
      <c r="R3328" t="s">
        <v>159</v>
      </c>
      <c r="S3328">
        <v>5</v>
      </c>
      <c r="T3328" t="s">
        <v>416</v>
      </c>
      <c r="U3328" s="1">
        <v>43349</v>
      </c>
      <c r="V3328" t="s">
        <v>5644</v>
      </c>
      <c r="W3328" t="s">
        <v>5645</v>
      </c>
      <c r="X3328" t="s">
        <v>58</v>
      </c>
      <c r="Y3328">
        <v>21</v>
      </c>
      <c r="Z3328" t="s">
        <v>59</v>
      </c>
      <c r="AA3328" t="s">
        <v>59</v>
      </c>
      <c r="AB3328" t="s">
        <v>59</v>
      </c>
      <c r="AC3328" t="s">
        <v>59</v>
      </c>
      <c r="AD3328" t="s">
        <v>59</v>
      </c>
      <c r="AF3328" s="1">
        <v>43349</v>
      </c>
      <c r="AG3328" t="s">
        <v>125</v>
      </c>
      <c r="AH3328" t="s">
        <v>126</v>
      </c>
      <c r="AI3328" t="str">
        <f>"4101010"</f>
        <v>4101010</v>
      </c>
      <c r="AJ3328" t="s">
        <v>5814</v>
      </c>
      <c r="AK3328">
        <v>2831022283</v>
      </c>
      <c r="AL3328" t="s">
        <v>5815</v>
      </c>
      <c r="AM3328" t="s">
        <v>64</v>
      </c>
      <c r="AN3328" t="s">
        <v>65</v>
      </c>
      <c r="AO3328" t="s">
        <v>65</v>
      </c>
      <c r="AP3328" t="s">
        <v>65</v>
      </c>
      <c r="AQ3328">
        <v>1</v>
      </c>
      <c r="AR3328" t="s">
        <v>5644</v>
      </c>
      <c r="AS3328" t="s">
        <v>5645</v>
      </c>
      <c r="AT3328" t="s">
        <v>58</v>
      </c>
      <c r="AU3328" t="s">
        <v>419</v>
      </c>
      <c r="AV3328" t="s">
        <v>132</v>
      </c>
      <c r="AW3328" s="1">
        <v>29588</v>
      </c>
      <c r="AX3328">
        <v>2</v>
      </c>
    </row>
    <row r="3329" spans="1:50">
      <c r="A3329">
        <v>227349</v>
      </c>
      <c r="B3329" t="str">
        <f>"063142773"</f>
        <v>063142773</v>
      </c>
      <c r="C3329" t="s">
        <v>105</v>
      </c>
      <c r="D3329" t="s">
        <v>6458</v>
      </c>
      <c r="E3329" t="s">
        <v>95</v>
      </c>
      <c r="F3329" t="s">
        <v>95</v>
      </c>
      <c r="G3329" t="s">
        <v>250</v>
      </c>
      <c r="H3329" t="str">
        <f>"ΠΗΓΙΑΝΟΣ ΚΑΜΠΟΣ ΡΕΘΥΜΝΟ"</f>
        <v>ΠΗΓΙΑΝΟΣ ΚΑΜΠΟΣ ΡΕΘΥΜΝΟ</v>
      </c>
      <c r="I3329">
        <v>74100</v>
      </c>
      <c r="J3329">
        <v>2831072889</v>
      </c>
      <c r="K3329">
        <v>6974901541</v>
      </c>
      <c r="M3329" t="s">
        <v>6459</v>
      </c>
      <c r="N3329" t="s">
        <v>232</v>
      </c>
      <c r="O3329" t="s">
        <v>233</v>
      </c>
      <c r="R3329" t="s">
        <v>57</v>
      </c>
      <c r="S3329">
        <v>5</v>
      </c>
      <c r="T3329">
        <v>654</v>
      </c>
      <c r="U3329" s="1">
        <v>40043</v>
      </c>
      <c r="V3329" t="s">
        <v>5644</v>
      </c>
      <c r="W3329" t="s">
        <v>5645</v>
      </c>
      <c r="X3329" t="s">
        <v>58</v>
      </c>
      <c r="Y3329">
        <v>21</v>
      </c>
      <c r="Z3329" t="s">
        <v>59</v>
      </c>
      <c r="AA3329" t="s">
        <v>59</v>
      </c>
      <c r="AB3329" t="s">
        <v>59</v>
      </c>
      <c r="AC3329" t="s">
        <v>59</v>
      </c>
      <c r="AD3329" t="s">
        <v>59</v>
      </c>
      <c r="AF3329" s="1">
        <v>40057</v>
      </c>
      <c r="AG3329" t="s">
        <v>148</v>
      </c>
      <c r="AH3329" t="s">
        <v>1053</v>
      </c>
      <c r="AI3329" t="str">
        <f>"4141057"</f>
        <v>4141057</v>
      </c>
      <c r="AJ3329" t="s">
        <v>5916</v>
      </c>
      <c r="AK3329">
        <v>2831035241</v>
      </c>
      <c r="AL3329" t="s">
        <v>5917</v>
      </c>
      <c r="AM3329" t="s">
        <v>64</v>
      </c>
      <c r="AN3329" t="s">
        <v>65</v>
      </c>
      <c r="AO3329" t="s">
        <v>65</v>
      </c>
      <c r="AP3329" t="s">
        <v>65</v>
      </c>
      <c r="AQ3329">
        <v>1</v>
      </c>
      <c r="AR3329" t="s">
        <v>5644</v>
      </c>
      <c r="AS3329" t="s">
        <v>5645</v>
      </c>
      <c r="AT3329" t="s">
        <v>58</v>
      </c>
      <c r="AU3329" t="s">
        <v>68</v>
      </c>
      <c r="AV3329" t="s">
        <v>69</v>
      </c>
      <c r="AW3329" s="1">
        <v>26841</v>
      </c>
      <c r="AX3329">
        <v>2</v>
      </c>
    </row>
    <row r="3330" spans="1:50">
      <c r="A3330">
        <v>198706</v>
      </c>
      <c r="B3330" t="str">
        <f>"052444874"</f>
        <v>052444874</v>
      </c>
      <c r="C3330" t="s">
        <v>50</v>
      </c>
      <c r="D3330" t="s">
        <v>6460</v>
      </c>
      <c r="E3330" t="s">
        <v>476</v>
      </c>
      <c r="F3330" t="s">
        <v>106</v>
      </c>
      <c r="G3330" t="s">
        <v>687</v>
      </c>
      <c r="H3330" t="str">
        <f>"ΑΓ. ΔΗΜΗΤΡΙΟΣ ΡΕΘΥΜΝΟΥ ΡΕΘΥΜΝΟ"</f>
        <v>ΑΓ. ΔΗΜΗΤΡΙΟΣ ΡΕΘΥΜΝΟΥ ΡΕΘΥΜΝΟ</v>
      </c>
      <c r="I3330">
        <v>74100</v>
      </c>
      <c r="J3330">
        <v>2831300230</v>
      </c>
      <c r="K3330">
        <v>6972513713</v>
      </c>
      <c r="M3330" t="s">
        <v>6461</v>
      </c>
      <c r="N3330" t="s">
        <v>306</v>
      </c>
      <c r="O3330" t="s">
        <v>307</v>
      </c>
      <c r="R3330" t="s">
        <v>57</v>
      </c>
      <c r="S3330">
        <v>12</v>
      </c>
      <c r="T3330">
        <v>206</v>
      </c>
      <c r="U3330" s="1">
        <v>37866</v>
      </c>
      <c r="V3330" t="s">
        <v>5644</v>
      </c>
      <c r="W3330" t="s">
        <v>5645</v>
      </c>
      <c r="X3330" t="s">
        <v>58</v>
      </c>
      <c r="Y3330">
        <v>18</v>
      </c>
      <c r="Z3330" t="s">
        <v>59</v>
      </c>
      <c r="AA3330" t="s">
        <v>59</v>
      </c>
      <c r="AB3330" t="s">
        <v>59</v>
      </c>
      <c r="AC3330" t="s">
        <v>59</v>
      </c>
      <c r="AD3330" t="s">
        <v>452</v>
      </c>
      <c r="AE3330" s="1">
        <v>43708</v>
      </c>
      <c r="AF3330" s="1">
        <v>37866</v>
      </c>
      <c r="AG3330" t="s">
        <v>125</v>
      </c>
      <c r="AH3330" t="s">
        <v>5702</v>
      </c>
      <c r="AI3330" t="str">
        <f>"4101042"</f>
        <v>4101042</v>
      </c>
      <c r="AJ3330" t="s">
        <v>5703</v>
      </c>
      <c r="AK3330">
        <v>2831027230</v>
      </c>
      <c r="AL3330" t="s">
        <v>5704</v>
      </c>
      <c r="AM3330" t="s">
        <v>64</v>
      </c>
      <c r="AN3330" t="s">
        <v>65</v>
      </c>
      <c r="AO3330" t="s">
        <v>65</v>
      </c>
      <c r="AP3330" t="s">
        <v>65</v>
      </c>
      <c r="AQ3330">
        <v>1</v>
      </c>
      <c r="AR3330" t="s">
        <v>5644</v>
      </c>
      <c r="AS3330" t="s">
        <v>5645</v>
      </c>
      <c r="AT3330" t="s">
        <v>58</v>
      </c>
      <c r="AU3330" t="s">
        <v>68</v>
      </c>
      <c r="AV3330" t="s">
        <v>69</v>
      </c>
      <c r="AW3330" s="1">
        <v>25639</v>
      </c>
      <c r="AX3330">
        <v>2</v>
      </c>
    </row>
    <row r="3331" spans="1:50">
      <c r="A3331">
        <v>196835</v>
      </c>
      <c r="B3331" t="str">
        <f>"047610481"</f>
        <v>047610481</v>
      </c>
      <c r="C3331" t="s">
        <v>105</v>
      </c>
      <c r="D3331" t="s">
        <v>6462</v>
      </c>
      <c r="E3331" t="s">
        <v>315</v>
      </c>
      <c r="F3331" t="s">
        <v>72</v>
      </c>
      <c r="G3331" t="s">
        <v>263</v>
      </c>
      <c r="H3331" t="str">
        <f>"ΜΑΘΙΟΥΔΑΚΗ 14 ΡΕΘΥΜΝΟ"</f>
        <v>ΜΑΘΙΟΥΔΑΚΗ 14 ΡΕΘΥΜΝΟ</v>
      </c>
      <c r="I3331">
        <v>74100</v>
      </c>
      <c r="J3331">
        <v>2831029026</v>
      </c>
      <c r="K3331">
        <v>6972288523</v>
      </c>
      <c r="N3331" t="s">
        <v>157</v>
      </c>
      <c r="O3331" t="s">
        <v>158</v>
      </c>
      <c r="R3331" t="s">
        <v>57</v>
      </c>
      <c r="S3331">
        <v>7</v>
      </c>
      <c r="T3331">
        <v>206</v>
      </c>
      <c r="U3331" s="1">
        <v>37866</v>
      </c>
      <c r="V3331" t="s">
        <v>5644</v>
      </c>
      <c r="W3331" t="s">
        <v>5645</v>
      </c>
      <c r="X3331" t="s">
        <v>58</v>
      </c>
      <c r="Y3331">
        <v>20</v>
      </c>
      <c r="Z3331" t="s">
        <v>59</v>
      </c>
      <c r="AA3331" t="s">
        <v>59</v>
      </c>
      <c r="AB3331" t="s">
        <v>59</v>
      </c>
      <c r="AC3331" t="s">
        <v>59</v>
      </c>
      <c r="AD3331" t="s">
        <v>59</v>
      </c>
      <c r="AF3331" s="1">
        <v>37866</v>
      </c>
      <c r="AG3331" t="s">
        <v>148</v>
      </c>
      <c r="AH3331" t="s">
        <v>149</v>
      </c>
      <c r="AI3331" t="str">
        <f>"4151020"</f>
        <v>4151020</v>
      </c>
      <c r="AJ3331" t="s">
        <v>5725</v>
      </c>
      <c r="AK3331">
        <v>2831022475</v>
      </c>
      <c r="AL3331" t="s">
        <v>5726</v>
      </c>
      <c r="AM3331" t="s">
        <v>64</v>
      </c>
      <c r="AN3331" t="s">
        <v>65</v>
      </c>
      <c r="AO3331" t="s">
        <v>65</v>
      </c>
      <c r="AP3331" t="s">
        <v>65</v>
      </c>
      <c r="AQ3331">
        <v>1</v>
      </c>
      <c r="AR3331" t="s">
        <v>5644</v>
      </c>
      <c r="AS3331" t="s">
        <v>5645</v>
      </c>
      <c r="AT3331" t="s">
        <v>58</v>
      </c>
      <c r="AU3331" t="s">
        <v>68</v>
      </c>
      <c r="AV3331" t="s">
        <v>69</v>
      </c>
      <c r="AW3331" s="1">
        <v>26161</v>
      </c>
      <c r="AX3331">
        <v>2</v>
      </c>
    </row>
    <row r="3332" spans="1:50">
      <c r="A3332">
        <v>197447</v>
      </c>
      <c r="B3332" t="str">
        <f>"046087063"</f>
        <v>046087063</v>
      </c>
      <c r="C3332" t="s">
        <v>50</v>
      </c>
      <c r="D3332" t="s">
        <v>6463</v>
      </c>
      <c r="E3332" t="s">
        <v>3172</v>
      </c>
      <c r="F3332" t="s">
        <v>995</v>
      </c>
      <c r="G3332" t="s">
        <v>964</v>
      </c>
      <c r="H3332" t="str">
        <f>"Ν. ΒΑΡΔΙΝΟΓΙΑΝΝΗ 25 ΚΟΥΜΠΕΣ ΡΕΘΥΜΝΟΥ"</f>
        <v>Ν. ΒΑΡΔΙΝΟΓΙΑΝΝΗ 25 ΚΟΥΜΠΕΣ ΡΕΘΥΜΝΟΥ</v>
      </c>
      <c r="I3332">
        <v>74100</v>
      </c>
      <c r="J3332">
        <v>2831027263</v>
      </c>
      <c r="K3332">
        <v>6934589568</v>
      </c>
      <c r="L3332">
        <v>2105011871</v>
      </c>
      <c r="N3332" t="s">
        <v>146</v>
      </c>
      <c r="O3332" t="s">
        <v>147</v>
      </c>
      <c r="R3332" t="s">
        <v>57</v>
      </c>
      <c r="S3332">
        <v>9</v>
      </c>
      <c r="T3332">
        <v>206</v>
      </c>
      <c r="U3332" s="1">
        <v>37866</v>
      </c>
      <c r="V3332" t="s">
        <v>5644</v>
      </c>
      <c r="W3332" t="s">
        <v>5645</v>
      </c>
      <c r="X3332" t="s">
        <v>58</v>
      </c>
      <c r="Y3332">
        <v>20</v>
      </c>
      <c r="Z3332" t="s">
        <v>59</v>
      </c>
      <c r="AA3332" t="s">
        <v>59</v>
      </c>
      <c r="AB3332" t="s">
        <v>59</v>
      </c>
      <c r="AC3332" t="s">
        <v>59</v>
      </c>
      <c r="AD3332" t="s">
        <v>59</v>
      </c>
      <c r="AF3332" s="1">
        <v>37866</v>
      </c>
      <c r="AG3332" t="s">
        <v>125</v>
      </c>
      <c r="AH3332" t="s">
        <v>126</v>
      </c>
      <c r="AI3332" t="str">
        <f>"4110015"</f>
        <v>4110015</v>
      </c>
      <c r="AJ3332" t="s">
        <v>5723</v>
      </c>
      <c r="AK3332">
        <v>2831022741</v>
      </c>
      <c r="AL3332" t="s">
        <v>5724</v>
      </c>
      <c r="AM3332" t="s">
        <v>64</v>
      </c>
      <c r="AN3332" t="s">
        <v>65</v>
      </c>
      <c r="AO3332" t="s">
        <v>5720</v>
      </c>
      <c r="AP3332" t="s">
        <v>5721</v>
      </c>
      <c r="AQ3332">
        <v>1</v>
      </c>
      <c r="AR3332" t="s">
        <v>5644</v>
      </c>
      <c r="AS3332" t="s">
        <v>5645</v>
      </c>
      <c r="AT3332" t="s">
        <v>58</v>
      </c>
      <c r="AU3332" t="s">
        <v>68</v>
      </c>
      <c r="AV3332" t="s">
        <v>69</v>
      </c>
      <c r="AW3332" s="1">
        <v>25845</v>
      </c>
      <c r="AX3332">
        <v>2</v>
      </c>
    </row>
    <row r="3333" spans="1:50">
      <c r="A3333">
        <v>224535</v>
      </c>
      <c r="B3333" t="str">
        <f>"120011475"</f>
        <v>120011475</v>
      </c>
      <c r="C3333" t="s">
        <v>50</v>
      </c>
      <c r="D3333" t="s">
        <v>6464</v>
      </c>
      <c r="E3333" t="s">
        <v>83</v>
      </c>
      <c r="F3333" t="s">
        <v>1286</v>
      </c>
      <c r="G3333" t="s">
        <v>112</v>
      </c>
      <c r="H3333" t="str">
        <f>" "</f>
        <v xml:space="preserve"> </v>
      </c>
      <c r="K3333">
        <v>6977374955</v>
      </c>
      <c r="M3333" t="s">
        <v>6465</v>
      </c>
      <c r="N3333" t="s">
        <v>288</v>
      </c>
      <c r="O3333" t="s">
        <v>289</v>
      </c>
      <c r="R3333" t="s">
        <v>57</v>
      </c>
      <c r="S3333">
        <v>5</v>
      </c>
      <c r="T3333">
        <v>775</v>
      </c>
      <c r="U3333" s="1">
        <v>39680</v>
      </c>
      <c r="V3333" t="s">
        <v>5644</v>
      </c>
      <c r="W3333" t="s">
        <v>5645</v>
      </c>
      <c r="X3333" t="s">
        <v>58</v>
      </c>
      <c r="Y3333">
        <v>21</v>
      </c>
      <c r="Z3333" t="s">
        <v>59</v>
      </c>
      <c r="AA3333" t="s">
        <v>59</v>
      </c>
      <c r="AB3333" t="s">
        <v>59</v>
      </c>
      <c r="AC3333" t="s">
        <v>59</v>
      </c>
      <c r="AD3333" t="s">
        <v>59</v>
      </c>
      <c r="AF3333" s="1">
        <v>39681</v>
      </c>
      <c r="AG3333" t="s">
        <v>125</v>
      </c>
      <c r="AH3333" t="s">
        <v>126</v>
      </c>
      <c r="AI3333" t="str">
        <f>"4102020"</f>
        <v>4102020</v>
      </c>
      <c r="AJ3333" t="s">
        <v>5761</v>
      </c>
      <c r="AK3333">
        <v>2831061491</v>
      </c>
      <c r="AL3333" t="s">
        <v>5762</v>
      </c>
      <c r="AM3333" t="s">
        <v>64</v>
      </c>
      <c r="AN3333" t="s">
        <v>65</v>
      </c>
      <c r="AO3333" t="s">
        <v>5657</v>
      </c>
      <c r="AP3333" t="s">
        <v>1437</v>
      </c>
      <c r="AQ3333">
        <v>1</v>
      </c>
      <c r="AR3333" t="s">
        <v>5644</v>
      </c>
      <c r="AS3333" t="s">
        <v>5645</v>
      </c>
      <c r="AT3333" t="s">
        <v>58</v>
      </c>
      <c r="AU3333" t="s">
        <v>68</v>
      </c>
      <c r="AV3333" t="s">
        <v>69</v>
      </c>
      <c r="AW3333" s="1">
        <v>27900</v>
      </c>
      <c r="AX3333">
        <v>2</v>
      </c>
    </row>
    <row r="3334" spans="1:50">
      <c r="A3334">
        <v>219663</v>
      </c>
      <c r="B3334" t="str">
        <f>"069861914"</f>
        <v>069861914</v>
      </c>
      <c r="C3334" t="s">
        <v>50</v>
      </c>
      <c r="D3334" t="s">
        <v>6466</v>
      </c>
      <c r="E3334" t="s">
        <v>6467</v>
      </c>
      <c r="F3334" t="s">
        <v>900</v>
      </c>
      <c r="G3334" t="s">
        <v>705</v>
      </c>
      <c r="H3334" t="str">
        <f>"ΜΑΝΟΥΣΑΚΑ 9 ΡΕΘΥΜΝΟ"</f>
        <v>ΜΑΝΟΥΣΑΚΑ 9 ΡΕΘΥΜΝΟ</v>
      </c>
      <c r="I3334">
        <v>74100</v>
      </c>
      <c r="J3334">
        <v>2831042627</v>
      </c>
      <c r="K3334">
        <v>6972891563</v>
      </c>
      <c r="M3334" t="s">
        <v>6468</v>
      </c>
      <c r="N3334" t="s">
        <v>299</v>
      </c>
      <c r="O3334" t="s">
        <v>300</v>
      </c>
      <c r="R3334" t="s">
        <v>57</v>
      </c>
      <c r="S3334">
        <v>8</v>
      </c>
      <c r="T3334">
        <v>599</v>
      </c>
      <c r="U3334" s="1">
        <v>39310</v>
      </c>
      <c r="V3334" t="s">
        <v>5644</v>
      </c>
      <c r="W3334" t="s">
        <v>5645</v>
      </c>
      <c r="X3334" t="s">
        <v>58</v>
      </c>
      <c r="Y3334">
        <v>21</v>
      </c>
      <c r="Z3334" t="s">
        <v>59</v>
      </c>
      <c r="AA3334" t="s">
        <v>59</v>
      </c>
      <c r="AB3334" t="s">
        <v>452</v>
      </c>
      <c r="AC3334" t="s">
        <v>59</v>
      </c>
      <c r="AD3334" t="s">
        <v>59</v>
      </c>
      <c r="AF3334" s="1">
        <v>39326</v>
      </c>
      <c r="AG3334" t="s">
        <v>125</v>
      </c>
      <c r="AH3334" t="s">
        <v>294</v>
      </c>
      <c r="AI3334" t="str">
        <f>"4101045"</f>
        <v>4101045</v>
      </c>
      <c r="AJ3334" t="s">
        <v>5677</v>
      </c>
      <c r="AK3334">
        <v>2831027553</v>
      </c>
      <c r="AL3334" t="s">
        <v>5678</v>
      </c>
      <c r="AM3334" t="s">
        <v>64</v>
      </c>
      <c r="AN3334" t="s">
        <v>65</v>
      </c>
      <c r="AO3334" t="s">
        <v>65</v>
      </c>
      <c r="AP3334" t="s">
        <v>65</v>
      </c>
      <c r="AQ3334">
        <v>1</v>
      </c>
      <c r="AR3334" t="s">
        <v>5644</v>
      </c>
      <c r="AS3334" t="s">
        <v>5645</v>
      </c>
      <c r="AT3334" t="s">
        <v>58</v>
      </c>
      <c r="AU3334" t="s">
        <v>68</v>
      </c>
      <c r="AV3334" t="s">
        <v>69</v>
      </c>
      <c r="AW3334" s="1">
        <v>29375</v>
      </c>
      <c r="AX3334">
        <v>2</v>
      </c>
    </row>
    <row r="3335" spans="1:50">
      <c r="B3335" t="str">
        <f>"137457139"</f>
        <v>137457139</v>
      </c>
      <c r="C3335" t="s">
        <v>50</v>
      </c>
      <c r="D3335" t="s">
        <v>6469</v>
      </c>
      <c r="E3335" t="s">
        <v>367</v>
      </c>
      <c r="F3335" t="s">
        <v>670</v>
      </c>
      <c r="G3335" t="s">
        <v>316</v>
      </c>
      <c r="H3335" t="str">
        <f>"ΕΡΓ. ΚΑΤΟΙΚ. ΤΣΕΣΜΕ ΡΕΘΥΜΝΟ"</f>
        <v>ΕΡΓ. ΚΑΤΟΙΚ. ΤΣΕΣΜΕ ΡΕΘΥΜΝΟ</v>
      </c>
      <c r="I3335">
        <v>74100</v>
      </c>
      <c r="J3335">
        <v>2831040713</v>
      </c>
      <c r="K3335">
        <v>6947122769</v>
      </c>
      <c r="M3335" t="s">
        <v>6470</v>
      </c>
      <c r="N3335" t="s">
        <v>883</v>
      </c>
      <c r="O3335" t="s">
        <v>884</v>
      </c>
      <c r="R3335" t="s">
        <v>121</v>
      </c>
      <c r="S3335">
        <v>3</v>
      </c>
      <c r="T3335" t="s">
        <v>122</v>
      </c>
      <c r="U3335" s="1">
        <v>43348</v>
      </c>
      <c r="V3335" t="s">
        <v>5644</v>
      </c>
      <c r="W3335" t="s">
        <v>5645</v>
      </c>
      <c r="X3335" t="s">
        <v>58</v>
      </c>
      <c r="Y3335">
        <v>23</v>
      </c>
      <c r="Z3335" t="s">
        <v>59</v>
      </c>
      <c r="AA3335" t="s">
        <v>59</v>
      </c>
      <c r="AB3335" t="s">
        <v>59</v>
      </c>
      <c r="AC3335" t="s">
        <v>59</v>
      </c>
      <c r="AD3335" t="s">
        <v>59</v>
      </c>
      <c r="AF3335" s="1">
        <v>43348</v>
      </c>
      <c r="AG3335" t="s">
        <v>125</v>
      </c>
      <c r="AH3335" t="s">
        <v>126</v>
      </c>
      <c r="AI3335" t="str">
        <f>"4101030"</f>
        <v>4101030</v>
      </c>
      <c r="AJ3335" t="s">
        <v>5646</v>
      </c>
      <c r="AK3335">
        <v>2831022359</v>
      </c>
      <c r="AL3335" t="s">
        <v>5647</v>
      </c>
      <c r="AM3335" t="s">
        <v>64</v>
      </c>
      <c r="AN3335" t="s">
        <v>65</v>
      </c>
      <c r="AO3335" t="s">
        <v>65</v>
      </c>
      <c r="AP3335" t="s">
        <v>65</v>
      </c>
      <c r="AQ3335">
        <v>1</v>
      </c>
      <c r="AR3335" t="s">
        <v>5644</v>
      </c>
      <c r="AS3335" t="s">
        <v>5645</v>
      </c>
      <c r="AT3335" t="s">
        <v>58</v>
      </c>
      <c r="AU3335" t="s">
        <v>131</v>
      </c>
      <c r="AV3335" t="s">
        <v>132</v>
      </c>
      <c r="AW3335" s="1">
        <v>31197</v>
      </c>
      <c r="AX3335">
        <v>2</v>
      </c>
    </row>
    <row r="3336" spans="1:50">
      <c r="A3336">
        <v>218574</v>
      </c>
      <c r="B3336" t="str">
        <f>"065720573"</f>
        <v>065720573</v>
      </c>
      <c r="C3336" t="s">
        <v>105</v>
      </c>
      <c r="D3336" t="s">
        <v>6471</v>
      </c>
      <c r="E3336" t="s">
        <v>383</v>
      </c>
      <c r="F3336" t="s">
        <v>166</v>
      </c>
      <c r="G3336" t="s">
        <v>181</v>
      </c>
      <c r="H3336" t="str">
        <f>"ΞΑΝΘΟΥΔΙΔΟΥ 35 ΡΕΘΥΜΝΟ"</f>
        <v>ΞΑΝΘΟΥΔΙΔΟΥ 35 ΡΕΘΥΜΝΟ</v>
      </c>
      <c r="I3336">
        <v>74100</v>
      </c>
      <c r="K3336">
        <v>6942270827</v>
      </c>
      <c r="M3336" t="s">
        <v>6472</v>
      </c>
      <c r="N3336" t="s">
        <v>232</v>
      </c>
      <c r="O3336" t="s">
        <v>233</v>
      </c>
      <c r="R3336" t="s">
        <v>57</v>
      </c>
      <c r="S3336">
        <v>7</v>
      </c>
      <c r="T3336">
        <v>599</v>
      </c>
      <c r="U3336" s="1">
        <v>39310</v>
      </c>
      <c r="V3336" t="s">
        <v>5644</v>
      </c>
      <c r="W3336" t="s">
        <v>5645</v>
      </c>
      <c r="X3336" t="s">
        <v>58</v>
      </c>
      <c r="Y3336">
        <v>21</v>
      </c>
      <c r="Z3336" t="s">
        <v>59</v>
      </c>
      <c r="AA3336" t="s">
        <v>59</v>
      </c>
      <c r="AB3336" t="s">
        <v>59</v>
      </c>
      <c r="AC3336" t="s">
        <v>59</v>
      </c>
      <c r="AD3336" t="s">
        <v>59</v>
      </c>
      <c r="AF3336" s="1">
        <v>39310</v>
      </c>
      <c r="AG3336" t="s">
        <v>125</v>
      </c>
      <c r="AH3336" t="s">
        <v>126</v>
      </c>
      <c r="AI3336" t="str">
        <f>"4103010"</f>
        <v>4103010</v>
      </c>
      <c r="AJ3336" t="s">
        <v>5684</v>
      </c>
      <c r="AK3336">
        <v>2834051206</v>
      </c>
      <c r="AL3336" t="s">
        <v>5685</v>
      </c>
      <c r="AM3336" t="s">
        <v>64</v>
      </c>
      <c r="AN3336" t="s">
        <v>5672</v>
      </c>
      <c r="AO3336" t="s">
        <v>5673</v>
      </c>
      <c r="AP3336" t="s">
        <v>5674</v>
      </c>
      <c r="AQ3336">
        <v>2</v>
      </c>
      <c r="AR3336" t="s">
        <v>5644</v>
      </c>
      <c r="AS3336" t="s">
        <v>5645</v>
      </c>
      <c r="AT3336" t="s">
        <v>58</v>
      </c>
      <c r="AU3336" t="s">
        <v>68</v>
      </c>
      <c r="AV3336" t="s">
        <v>69</v>
      </c>
      <c r="AW3336" s="1">
        <v>28793</v>
      </c>
      <c r="AX3336">
        <v>2</v>
      </c>
    </row>
    <row r="3337" spans="1:50">
      <c r="B3337" t="str">
        <f>"137478393"</f>
        <v>137478393</v>
      </c>
      <c r="C3337" t="s">
        <v>50</v>
      </c>
      <c r="D3337" t="s">
        <v>6473</v>
      </c>
      <c r="E3337" t="s">
        <v>6474</v>
      </c>
      <c r="F3337" t="s">
        <v>581</v>
      </c>
      <c r="G3337" t="s">
        <v>6475</v>
      </c>
      <c r="H3337" t="str">
        <f>"ΕΜΜ. ΛΑΓΟΥ 12 ΡΕΘΥΜΝΟ"</f>
        <v>ΕΜΜ. ΛΑΓΟΥ 12 ΡΕΘΥΜΝΟ</v>
      </c>
      <c r="I3337">
        <v>74100</v>
      </c>
      <c r="J3337">
        <v>2241062052</v>
      </c>
      <c r="K3337">
        <v>6972965108</v>
      </c>
      <c r="N3337" t="s">
        <v>146</v>
      </c>
      <c r="O3337" t="s">
        <v>147</v>
      </c>
      <c r="R3337" t="s">
        <v>159</v>
      </c>
      <c r="S3337">
        <v>4</v>
      </c>
      <c r="T3337" t="s">
        <v>416</v>
      </c>
      <c r="U3337" s="1">
        <v>43349</v>
      </c>
      <c r="V3337" t="s">
        <v>5644</v>
      </c>
      <c r="W3337" t="s">
        <v>5645</v>
      </c>
      <c r="X3337" t="s">
        <v>58</v>
      </c>
      <c r="Y3337">
        <v>21</v>
      </c>
      <c r="Z3337" t="s">
        <v>59</v>
      </c>
      <c r="AA3337" t="s">
        <v>59</v>
      </c>
      <c r="AB3337" t="s">
        <v>59</v>
      </c>
      <c r="AC3337" t="s">
        <v>59</v>
      </c>
      <c r="AD3337" t="s">
        <v>59</v>
      </c>
      <c r="AF3337" s="1">
        <v>43349</v>
      </c>
      <c r="AG3337" t="s">
        <v>125</v>
      </c>
      <c r="AH3337" t="s">
        <v>294</v>
      </c>
      <c r="AI3337" t="str">
        <f>"4101045"</f>
        <v>4101045</v>
      </c>
      <c r="AJ3337" t="s">
        <v>5677</v>
      </c>
      <c r="AK3337">
        <v>2831027553</v>
      </c>
      <c r="AL3337" t="s">
        <v>5678</v>
      </c>
      <c r="AM3337" t="s">
        <v>64</v>
      </c>
      <c r="AN3337" t="s">
        <v>65</v>
      </c>
      <c r="AO3337" t="s">
        <v>65</v>
      </c>
      <c r="AP3337" t="s">
        <v>65</v>
      </c>
      <c r="AQ3337">
        <v>1</v>
      </c>
      <c r="AR3337" t="s">
        <v>5644</v>
      </c>
      <c r="AS3337" t="s">
        <v>5645</v>
      </c>
      <c r="AT3337" t="s">
        <v>58</v>
      </c>
      <c r="AU3337" t="s">
        <v>419</v>
      </c>
      <c r="AV3337" t="s">
        <v>132</v>
      </c>
      <c r="AW3337" s="1">
        <v>29982</v>
      </c>
      <c r="AX3337">
        <v>2</v>
      </c>
    </row>
    <row r="3338" spans="1:50">
      <c r="A3338">
        <v>212402</v>
      </c>
      <c r="B3338" t="str">
        <f>"054071329"</f>
        <v>054071329</v>
      </c>
      <c r="C3338" t="s">
        <v>50</v>
      </c>
      <c r="D3338" t="s">
        <v>6476</v>
      </c>
      <c r="E3338" t="s">
        <v>250</v>
      </c>
      <c r="F3338" t="s">
        <v>95</v>
      </c>
      <c r="G3338" t="s">
        <v>340</v>
      </c>
      <c r="H3338" t="str">
        <f>"ΕΘΝΟΜΑΡΤΥΡΩΝ ΚΕΔΡΟΥΣ 4 ΡΕΘΥΜΝΟ"</f>
        <v>ΕΘΝΟΜΑΡΤΥΡΩΝ ΚΕΔΡΟΥΣ 4 ΡΕΘΥΜΝΟ</v>
      </c>
      <c r="I3338">
        <v>74100</v>
      </c>
      <c r="J3338">
        <v>2831056179</v>
      </c>
      <c r="K3338">
        <v>6974706432</v>
      </c>
      <c r="N3338" t="s">
        <v>146</v>
      </c>
      <c r="O3338" t="s">
        <v>147</v>
      </c>
      <c r="R3338" t="s">
        <v>57</v>
      </c>
      <c r="S3338">
        <v>7</v>
      </c>
      <c r="T3338">
        <v>231</v>
      </c>
      <c r="U3338" s="1">
        <v>38960</v>
      </c>
      <c r="V3338" t="s">
        <v>5644</v>
      </c>
      <c r="W3338" t="s">
        <v>5645</v>
      </c>
      <c r="X3338" t="s">
        <v>58</v>
      </c>
      <c r="Y3338">
        <v>20</v>
      </c>
      <c r="Z3338" t="s">
        <v>59</v>
      </c>
      <c r="AA3338" t="s">
        <v>59</v>
      </c>
      <c r="AB3338" t="s">
        <v>59</v>
      </c>
      <c r="AC3338" t="s">
        <v>59</v>
      </c>
      <c r="AD3338" t="s">
        <v>59</v>
      </c>
      <c r="AF3338" s="1">
        <v>38960</v>
      </c>
      <c r="AG3338" t="s">
        <v>125</v>
      </c>
      <c r="AH3338" t="s">
        <v>126</v>
      </c>
      <c r="AI3338" t="str">
        <f>"4101020"</f>
        <v>4101020</v>
      </c>
      <c r="AJ3338" t="s">
        <v>5652</v>
      </c>
      <c r="AK3338">
        <v>2831023560</v>
      </c>
      <c r="AL3338" t="s">
        <v>5653</v>
      </c>
      <c r="AM3338" t="s">
        <v>64</v>
      </c>
      <c r="AN3338" t="s">
        <v>65</v>
      </c>
      <c r="AO3338" t="s">
        <v>65</v>
      </c>
      <c r="AP3338" t="s">
        <v>65</v>
      </c>
      <c r="AQ3338">
        <v>1</v>
      </c>
      <c r="AR3338" t="s">
        <v>5644</v>
      </c>
      <c r="AS3338" t="s">
        <v>5645</v>
      </c>
      <c r="AT3338" t="s">
        <v>58</v>
      </c>
      <c r="AU3338" t="s">
        <v>68</v>
      </c>
      <c r="AV3338" t="s">
        <v>357</v>
      </c>
      <c r="AW3338" s="1">
        <v>25132</v>
      </c>
      <c r="AX3338">
        <v>2</v>
      </c>
    </row>
    <row r="3339" spans="1:50">
      <c r="A3339">
        <v>215231</v>
      </c>
      <c r="B3339" t="str">
        <f>"044590122"</f>
        <v>044590122</v>
      </c>
      <c r="C3339" t="s">
        <v>105</v>
      </c>
      <c r="D3339" t="s">
        <v>6477</v>
      </c>
      <c r="E3339" t="s">
        <v>166</v>
      </c>
      <c r="F3339" t="s">
        <v>1679</v>
      </c>
      <c r="G3339" t="s">
        <v>52</v>
      </c>
      <c r="H3339" t="str">
        <f>"Κ.  ΠΑΛΑΜΑ 18 ΚΑΛΛΙΘΕΑ"</f>
        <v>Κ.  ΠΑΛΑΜΑ 18 ΚΑΛΛΙΘΕΑ</v>
      </c>
      <c r="I3339">
        <v>74100</v>
      </c>
      <c r="J3339">
        <v>2831054482</v>
      </c>
      <c r="K3339">
        <v>6947266337</v>
      </c>
      <c r="M3339" t="s">
        <v>6478</v>
      </c>
      <c r="N3339" t="s">
        <v>168</v>
      </c>
      <c r="O3339" t="s">
        <v>169</v>
      </c>
      <c r="R3339" t="s">
        <v>57</v>
      </c>
      <c r="S3339">
        <v>8</v>
      </c>
      <c r="T3339">
        <v>231</v>
      </c>
      <c r="U3339" s="1">
        <v>38960</v>
      </c>
      <c r="V3339" t="s">
        <v>5644</v>
      </c>
      <c r="W3339" t="s">
        <v>5645</v>
      </c>
      <c r="X3339" t="s">
        <v>58</v>
      </c>
      <c r="Y3339">
        <v>20</v>
      </c>
      <c r="Z3339" t="s">
        <v>59</v>
      </c>
      <c r="AA3339" t="s">
        <v>59</v>
      </c>
      <c r="AB3339" t="s">
        <v>59</v>
      </c>
      <c r="AC3339" t="s">
        <v>59</v>
      </c>
      <c r="AD3339" t="s">
        <v>59</v>
      </c>
      <c r="AF3339" s="1">
        <v>38960</v>
      </c>
      <c r="AG3339" t="s">
        <v>137</v>
      </c>
      <c r="AH3339" t="s">
        <v>469</v>
      </c>
      <c r="AI3339" t="str">
        <f>"4150045"</f>
        <v>4150045</v>
      </c>
      <c r="AJ3339" t="s">
        <v>5871</v>
      </c>
      <c r="AK3339">
        <v>2831022248</v>
      </c>
      <c r="AL3339" t="s">
        <v>5872</v>
      </c>
      <c r="AM3339" t="s">
        <v>64</v>
      </c>
      <c r="AN3339" t="s">
        <v>65</v>
      </c>
      <c r="AO3339" t="s">
        <v>65</v>
      </c>
      <c r="AP3339" t="s">
        <v>65</v>
      </c>
      <c r="AQ3339">
        <v>1</v>
      </c>
      <c r="AR3339" t="s">
        <v>5644</v>
      </c>
      <c r="AS3339" t="s">
        <v>5645</v>
      </c>
      <c r="AT3339" t="s">
        <v>58</v>
      </c>
      <c r="AU3339" t="s">
        <v>68</v>
      </c>
      <c r="AV3339" t="s">
        <v>69</v>
      </c>
      <c r="AW3339" s="1">
        <v>23658</v>
      </c>
      <c r="AX3339">
        <v>2</v>
      </c>
    </row>
    <row r="3340" spans="1:50">
      <c r="A3340">
        <v>198080</v>
      </c>
      <c r="B3340" t="str">
        <f>"055744760"</f>
        <v>055744760</v>
      </c>
      <c r="C3340" t="s">
        <v>105</v>
      </c>
      <c r="D3340" t="s">
        <v>6479</v>
      </c>
      <c r="E3340" t="s">
        <v>450</v>
      </c>
      <c r="F3340" t="s">
        <v>106</v>
      </c>
      <c r="G3340" t="s">
        <v>3671</v>
      </c>
      <c r="H3340" t="str">
        <f>"ΑΓΙΑ ΕΙΡΗΝΗ ΡΟΥΣΟΣΠΙΤΙ"</f>
        <v>ΑΓΙΑ ΕΙΡΗΝΗ ΡΟΥΣΟΣΠΙΤΙ</v>
      </c>
      <c r="I3340">
        <v>74132</v>
      </c>
      <c r="J3340">
        <v>2831021424</v>
      </c>
      <c r="K3340">
        <v>6938968620</v>
      </c>
      <c r="N3340" t="s">
        <v>232</v>
      </c>
      <c r="O3340" t="s">
        <v>233</v>
      </c>
      <c r="R3340" t="s">
        <v>57</v>
      </c>
      <c r="S3340">
        <v>13</v>
      </c>
      <c r="T3340">
        <v>206</v>
      </c>
      <c r="U3340" s="1">
        <v>37866</v>
      </c>
      <c r="V3340" t="s">
        <v>5644</v>
      </c>
      <c r="W3340" t="s">
        <v>5645</v>
      </c>
      <c r="X3340" t="s">
        <v>58</v>
      </c>
      <c r="Y3340">
        <v>20</v>
      </c>
      <c r="Z3340" t="s">
        <v>59</v>
      </c>
      <c r="AA3340" t="s">
        <v>59</v>
      </c>
      <c r="AB3340" t="s">
        <v>59</v>
      </c>
      <c r="AC3340" t="s">
        <v>59</v>
      </c>
      <c r="AD3340" t="s">
        <v>452</v>
      </c>
      <c r="AE3340" s="1">
        <v>43708</v>
      </c>
      <c r="AF3340" s="1">
        <v>37866</v>
      </c>
      <c r="AG3340" t="s">
        <v>148</v>
      </c>
      <c r="AH3340" t="s">
        <v>2782</v>
      </c>
      <c r="AI3340" t="str">
        <f>"4151040"</f>
        <v>4151040</v>
      </c>
      <c r="AJ3340" t="s">
        <v>5810</v>
      </c>
      <c r="AK3340">
        <v>2831023425</v>
      </c>
      <c r="AL3340" t="s">
        <v>5811</v>
      </c>
      <c r="AM3340" t="s">
        <v>64</v>
      </c>
      <c r="AN3340" t="s">
        <v>65</v>
      </c>
      <c r="AO3340" t="s">
        <v>65</v>
      </c>
      <c r="AP3340" t="s">
        <v>65</v>
      </c>
      <c r="AQ3340">
        <v>1</v>
      </c>
      <c r="AR3340" t="s">
        <v>5644</v>
      </c>
      <c r="AS3340" t="s">
        <v>5645</v>
      </c>
      <c r="AT3340" t="s">
        <v>58</v>
      </c>
      <c r="AU3340" t="s">
        <v>68</v>
      </c>
      <c r="AV3340" t="s">
        <v>69</v>
      </c>
      <c r="AW3340" s="1">
        <v>25386</v>
      </c>
      <c r="AX3340">
        <v>2</v>
      </c>
    </row>
    <row r="3341" spans="1:50">
      <c r="A3341">
        <v>227636</v>
      </c>
      <c r="B3341" t="str">
        <f>"061607825"</f>
        <v>061607825</v>
      </c>
      <c r="C3341" t="s">
        <v>50</v>
      </c>
      <c r="D3341" t="s">
        <v>6480</v>
      </c>
      <c r="E3341" t="s">
        <v>83</v>
      </c>
      <c r="F3341" t="s">
        <v>6481</v>
      </c>
      <c r="G3341" t="s">
        <v>1740</v>
      </c>
      <c r="H3341" t="str">
        <f>"ΧΑΤΖΗΚΥΡΙΑΚΟΥ 4  ΘΕΣΣΑΛΟΝΙΚΗ"</f>
        <v>ΧΑΤΖΗΚΥΡΙΑΚΟΥ 4  ΘΕΣΣΑΛΟΝΙΚΗ</v>
      </c>
      <c r="I3341">
        <v>54643</v>
      </c>
      <c r="J3341">
        <v>2310811931</v>
      </c>
      <c r="K3341">
        <v>6972339216</v>
      </c>
      <c r="M3341" t="s">
        <v>6482</v>
      </c>
      <c r="N3341" t="s">
        <v>478</v>
      </c>
      <c r="O3341" t="s">
        <v>479</v>
      </c>
      <c r="R3341" t="s">
        <v>57</v>
      </c>
      <c r="S3341">
        <v>6</v>
      </c>
      <c r="T3341">
        <v>654</v>
      </c>
      <c r="U3341" s="1">
        <v>40043</v>
      </c>
      <c r="V3341" t="s">
        <v>5644</v>
      </c>
      <c r="W3341" t="s">
        <v>5645</v>
      </c>
      <c r="X3341" t="s">
        <v>58</v>
      </c>
      <c r="Y3341">
        <v>21</v>
      </c>
      <c r="Z3341" t="s">
        <v>59</v>
      </c>
      <c r="AA3341" t="s">
        <v>59</v>
      </c>
      <c r="AB3341" t="s">
        <v>59</v>
      </c>
      <c r="AC3341" t="s">
        <v>59</v>
      </c>
      <c r="AD3341" t="s">
        <v>59</v>
      </c>
      <c r="AF3341" s="1">
        <v>40045</v>
      </c>
      <c r="AG3341" t="s">
        <v>125</v>
      </c>
      <c r="AH3341" t="s">
        <v>126</v>
      </c>
      <c r="AI3341" t="str">
        <f>"4101040"</f>
        <v>4101040</v>
      </c>
      <c r="AJ3341" t="s">
        <v>5732</v>
      </c>
      <c r="AK3341">
        <v>2831029261</v>
      </c>
      <c r="AL3341" t="s">
        <v>5733</v>
      </c>
      <c r="AM3341" t="s">
        <v>64</v>
      </c>
      <c r="AN3341" t="s">
        <v>65</v>
      </c>
      <c r="AO3341" t="s">
        <v>65</v>
      </c>
      <c r="AP3341" t="s">
        <v>65</v>
      </c>
      <c r="AQ3341">
        <v>1</v>
      </c>
      <c r="AR3341" t="s">
        <v>5644</v>
      </c>
      <c r="AS3341" t="s">
        <v>5645</v>
      </c>
      <c r="AT3341" t="s">
        <v>58</v>
      </c>
      <c r="AU3341" t="s">
        <v>68</v>
      </c>
      <c r="AV3341" t="s">
        <v>132</v>
      </c>
      <c r="AW3341" s="1">
        <v>26527</v>
      </c>
      <c r="AX3341">
        <v>2</v>
      </c>
    </row>
    <row r="3342" spans="1:50">
      <c r="B3342" t="str">
        <f>"124490958"</f>
        <v>124490958</v>
      </c>
      <c r="C3342" t="s">
        <v>50</v>
      </c>
      <c r="D3342" t="s">
        <v>3611</v>
      </c>
      <c r="E3342" t="s">
        <v>52</v>
      </c>
      <c r="F3342" t="s">
        <v>2023</v>
      </c>
      <c r="G3342" t="s">
        <v>2409</v>
      </c>
      <c r="H3342" t="str">
        <f>"ΑΔΕΛΙΑΝΟΣ ΚΑΜΠΟΣ 30 ΡΕΘΥΜΝΟ"</f>
        <v>ΑΔΕΛΙΑΝΟΣ ΚΑΜΠΟΣ 30 ΡΕΘΥΜΝΟ</v>
      </c>
      <c r="I3342">
        <v>74100</v>
      </c>
      <c r="J3342">
        <v>2831071282</v>
      </c>
      <c r="K3342">
        <v>6946835412</v>
      </c>
      <c r="N3342" t="s">
        <v>146</v>
      </c>
      <c r="O3342" t="s">
        <v>147</v>
      </c>
      <c r="R3342" t="s">
        <v>159</v>
      </c>
      <c r="S3342">
        <v>4</v>
      </c>
      <c r="T3342" t="s">
        <v>416</v>
      </c>
      <c r="U3342" s="1">
        <v>43349</v>
      </c>
      <c r="V3342" t="s">
        <v>5644</v>
      </c>
      <c r="W3342" t="s">
        <v>5645</v>
      </c>
      <c r="X3342" t="s">
        <v>58</v>
      </c>
      <c r="Y3342">
        <v>21</v>
      </c>
      <c r="Z3342" t="s">
        <v>59</v>
      </c>
      <c r="AA3342" t="s">
        <v>59</v>
      </c>
      <c r="AB3342" t="s">
        <v>59</v>
      </c>
      <c r="AC3342" t="s">
        <v>59</v>
      </c>
      <c r="AD3342" t="s">
        <v>59</v>
      </c>
      <c r="AF3342" s="1">
        <v>43349</v>
      </c>
      <c r="AG3342" t="s">
        <v>148</v>
      </c>
      <c r="AH3342" t="s">
        <v>149</v>
      </c>
      <c r="AI3342" t="str">
        <f>"4151020"</f>
        <v>4151020</v>
      </c>
      <c r="AJ3342" t="s">
        <v>5725</v>
      </c>
      <c r="AK3342">
        <v>2831022475</v>
      </c>
      <c r="AL3342" t="s">
        <v>5726</v>
      </c>
      <c r="AM3342" t="s">
        <v>64</v>
      </c>
      <c r="AN3342" t="s">
        <v>65</v>
      </c>
      <c r="AO3342" t="s">
        <v>65</v>
      </c>
      <c r="AP3342" t="s">
        <v>65</v>
      </c>
      <c r="AQ3342">
        <v>1</v>
      </c>
      <c r="AR3342" t="s">
        <v>5644</v>
      </c>
      <c r="AS3342" t="s">
        <v>5645</v>
      </c>
      <c r="AT3342" t="s">
        <v>58</v>
      </c>
      <c r="AU3342" t="s">
        <v>419</v>
      </c>
      <c r="AV3342" t="s">
        <v>132</v>
      </c>
      <c r="AW3342" s="1">
        <v>26341</v>
      </c>
      <c r="AX3342">
        <v>2</v>
      </c>
    </row>
    <row r="3343" spans="1:50">
      <c r="B3343" t="str">
        <f>"048290743"</f>
        <v>048290743</v>
      </c>
      <c r="C3343" t="s">
        <v>105</v>
      </c>
      <c r="D3343" t="s">
        <v>6483</v>
      </c>
      <c r="E3343" t="s">
        <v>106</v>
      </c>
      <c r="F3343" t="s">
        <v>154</v>
      </c>
      <c r="G3343" t="s">
        <v>83</v>
      </c>
      <c r="H3343" t="str">
        <f>"ΜΙΚΡΑ ΑΝΩΓΕΙΑ ΡΕΘΥΜΝΟ"</f>
        <v>ΜΙΚΡΑ ΑΝΩΓΕΙΑ ΡΕΘΥΜΝΟ</v>
      </c>
      <c r="I3343">
        <v>74100</v>
      </c>
      <c r="J3343">
        <v>2831054069</v>
      </c>
      <c r="K3343">
        <v>6972074677</v>
      </c>
      <c r="N3343" t="s">
        <v>232</v>
      </c>
      <c r="O3343" t="s">
        <v>233</v>
      </c>
      <c r="R3343" t="s">
        <v>159</v>
      </c>
      <c r="S3343">
        <v>3</v>
      </c>
      <c r="T3343" t="s">
        <v>416</v>
      </c>
      <c r="U3343" s="1">
        <v>43349</v>
      </c>
      <c r="V3343" t="s">
        <v>5644</v>
      </c>
      <c r="W3343" t="s">
        <v>5645</v>
      </c>
      <c r="X3343" t="s">
        <v>58</v>
      </c>
      <c r="Y3343">
        <v>23</v>
      </c>
      <c r="Z3343" t="s">
        <v>59</v>
      </c>
      <c r="AA3343" t="s">
        <v>59</v>
      </c>
      <c r="AB3343" t="s">
        <v>59</v>
      </c>
      <c r="AC3343" t="s">
        <v>59</v>
      </c>
      <c r="AD3343" t="s">
        <v>59</v>
      </c>
      <c r="AF3343" s="1">
        <v>43349</v>
      </c>
      <c r="AG3343" t="s">
        <v>148</v>
      </c>
      <c r="AH3343" t="s">
        <v>149</v>
      </c>
      <c r="AI3343" t="str">
        <f>"4156010"</f>
        <v>4156010</v>
      </c>
      <c r="AJ3343" t="s">
        <v>5925</v>
      </c>
      <c r="AK3343">
        <v>2832022328</v>
      </c>
      <c r="AL3343" t="s">
        <v>5926</v>
      </c>
      <c r="AM3343" t="s">
        <v>64</v>
      </c>
      <c r="AN3343" t="s">
        <v>5882</v>
      </c>
      <c r="AO3343" t="s">
        <v>5883</v>
      </c>
      <c r="AP3343" t="s">
        <v>5884</v>
      </c>
      <c r="AQ3343">
        <v>5</v>
      </c>
      <c r="AR3343" t="s">
        <v>5644</v>
      </c>
      <c r="AS3343" t="s">
        <v>5645</v>
      </c>
      <c r="AT3343" t="s">
        <v>58</v>
      </c>
      <c r="AU3343" t="s">
        <v>419</v>
      </c>
      <c r="AV3343" t="s">
        <v>132</v>
      </c>
      <c r="AW3343" s="1">
        <v>26808</v>
      </c>
      <c r="AX3343">
        <v>2</v>
      </c>
    </row>
    <row r="3344" spans="1:50">
      <c r="A3344">
        <v>194527</v>
      </c>
      <c r="B3344" t="str">
        <f>"036314361"</f>
        <v>036314361</v>
      </c>
      <c r="C3344" t="s">
        <v>105</v>
      </c>
      <c r="D3344" t="s">
        <v>6484</v>
      </c>
      <c r="E3344" t="s">
        <v>459</v>
      </c>
      <c r="F3344" t="s">
        <v>1316</v>
      </c>
      <c r="G3344" t="s">
        <v>910</v>
      </c>
      <c r="H3344" t="str">
        <f>"ΖΥΜΒΡΑΚΑΚΗ 16 ΡΕΘΥΜΝΟ"</f>
        <v>ΖΥΜΒΡΑΚΑΚΗ 16 ΡΕΘΥΜΝΟ</v>
      </c>
      <c r="I3344">
        <v>74100</v>
      </c>
      <c r="J3344">
        <v>2831025303</v>
      </c>
      <c r="K3344">
        <v>6977344558</v>
      </c>
      <c r="L3344">
        <v>2831028922</v>
      </c>
      <c r="N3344" t="s">
        <v>176</v>
      </c>
      <c r="O3344" t="s">
        <v>177</v>
      </c>
      <c r="R3344" t="s">
        <v>57</v>
      </c>
      <c r="S3344">
        <v>10</v>
      </c>
      <c r="T3344">
        <v>193</v>
      </c>
      <c r="U3344" s="1">
        <v>37497</v>
      </c>
      <c r="V3344" t="s">
        <v>5644</v>
      </c>
      <c r="W3344" t="s">
        <v>5645</v>
      </c>
      <c r="X3344" t="s">
        <v>58</v>
      </c>
      <c r="Y3344">
        <v>18</v>
      </c>
      <c r="Z3344" t="s">
        <v>59</v>
      </c>
      <c r="AA3344" t="s">
        <v>59</v>
      </c>
      <c r="AB3344" t="s">
        <v>59</v>
      </c>
      <c r="AC3344" t="s">
        <v>59</v>
      </c>
      <c r="AD3344" t="s">
        <v>59</v>
      </c>
      <c r="AF3344" s="1">
        <v>37501</v>
      </c>
      <c r="AG3344" t="s">
        <v>125</v>
      </c>
      <c r="AH3344" t="s">
        <v>126</v>
      </c>
      <c r="AI3344" t="str">
        <f>"4110015"</f>
        <v>4110015</v>
      </c>
      <c r="AJ3344" t="s">
        <v>5723</v>
      </c>
      <c r="AK3344">
        <v>2831022741</v>
      </c>
      <c r="AL3344" t="s">
        <v>5724</v>
      </c>
      <c r="AM3344" t="s">
        <v>64</v>
      </c>
      <c r="AN3344" t="s">
        <v>65</v>
      </c>
      <c r="AO3344" t="s">
        <v>5720</v>
      </c>
      <c r="AP3344" t="s">
        <v>5721</v>
      </c>
      <c r="AQ3344">
        <v>1</v>
      </c>
      <c r="AR3344" t="s">
        <v>5644</v>
      </c>
      <c r="AS3344" t="s">
        <v>5645</v>
      </c>
      <c r="AT3344" t="s">
        <v>58</v>
      </c>
      <c r="AU3344" t="s">
        <v>68</v>
      </c>
      <c r="AV3344" t="s">
        <v>69</v>
      </c>
      <c r="AW3344" s="1">
        <v>22955</v>
      </c>
      <c r="AX3344">
        <v>2</v>
      </c>
    </row>
    <row r="3345" spans="1:50">
      <c r="A3345">
        <v>164597</v>
      </c>
      <c r="B3345" t="str">
        <f>"102153390"</f>
        <v>102153390</v>
      </c>
      <c r="C3345" t="s">
        <v>50</v>
      </c>
      <c r="D3345" t="s">
        <v>6485</v>
      </c>
      <c r="E3345" t="s">
        <v>1155</v>
      </c>
      <c r="F3345" t="s">
        <v>450</v>
      </c>
      <c r="G3345" t="s">
        <v>83</v>
      </c>
      <c r="H3345" t="str">
        <f>"Χ.ΔΑΣΚΑΛΑΚΗ 24 ΡΕΘΥΜΝΟ"</f>
        <v>Χ.ΔΑΣΚΑΛΑΚΗ 24 ΡΕΘΥΜΝΟ</v>
      </c>
      <c r="I3345">
        <v>74132</v>
      </c>
      <c r="J3345">
        <v>2831400414</v>
      </c>
      <c r="K3345">
        <v>6942582872</v>
      </c>
      <c r="L3345">
        <v>2694022144</v>
      </c>
      <c r="M3345" t="s">
        <v>6486</v>
      </c>
      <c r="N3345" t="s">
        <v>246</v>
      </c>
      <c r="O3345" t="s">
        <v>247</v>
      </c>
      <c r="R3345" t="s">
        <v>57</v>
      </c>
      <c r="S3345">
        <v>19</v>
      </c>
      <c r="T3345">
        <v>161</v>
      </c>
      <c r="U3345" s="1">
        <v>33844</v>
      </c>
      <c r="V3345" t="s">
        <v>5644</v>
      </c>
      <c r="W3345" t="s">
        <v>5645</v>
      </c>
      <c r="X3345" t="s">
        <v>58</v>
      </c>
      <c r="Y3345">
        <v>18</v>
      </c>
      <c r="Z3345" t="s">
        <v>59</v>
      </c>
      <c r="AA3345" t="s">
        <v>59</v>
      </c>
      <c r="AB3345" t="s">
        <v>59</v>
      </c>
      <c r="AC3345" t="s">
        <v>59</v>
      </c>
      <c r="AD3345" t="s">
        <v>59</v>
      </c>
      <c r="AF3345" s="1">
        <v>33862</v>
      </c>
      <c r="AG3345" t="s">
        <v>125</v>
      </c>
      <c r="AH3345" t="s">
        <v>126</v>
      </c>
      <c r="AI3345" t="str">
        <f>"4101040"</f>
        <v>4101040</v>
      </c>
      <c r="AJ3345" t="s">
        <v>5732</v>
      </c>
      <c r="AK3345">
        <v>2831029261</v>
      </c>
      <c r="AL3345" t="s">
        <v>5733</v>
      </c>
      <c r="AM3345" t="s">
        <v>64</v>
      </c>
      <c r="AN3345" t="s">
        <v>65</v>
      </c>
      <c r="AO3345" t="s">
        <v>65</v>
      </c>
      <c r="AP3345" t="s">
        <v>65</v>
      </c>
      <c r="AQ3345">
        <v>1</v>
      </c>
      <c r="AR3345" t="s">
        <v>5644</v>
      </c>
      <c r="AS3345" t="s">
        <v>5645</v>
      </c>
      <c r="AT3345" t="s">
        <v>58</v>
      </c>
      <c r="AU3345" t="s">
        <v>68</v>
      </c>
      <c r="AV3345" t="s">
        <v>69</v>
      </c>
      <c r="AW3345" s="1">
        <v>21427</v>
      </c>
      <c r="AX3345">
        <v>2</v>
      </c>
    </row>
    <row r="3346" spans="1:50">
      <c r="A3346">
        <v>201942</v>
      </c>
      <c r="B3346" t="str">
        <f>"045171632"</f>
        <v>045171632</v>
      </c>
      <c r="C3346" t="s">
        <v>50</v>
      </c>
      <c r="D3346" t="s">
        <v>6487</v>
      </c>
      <c r="E3346" t="s">
        <v>1279</v>
      </c>
      <c r="F3346" t="s">
        <v>309</v>
      </c>
      <c r="G3346" t="s">
        <v>237</v>
      </c>
      <c r="H3346" t="str">
        <f>"ΕΠΙΜΕΝΙΔΟΥ ΜΑΡΟΥΛΗ 6 ΡΕΘΥΜΝΟ"</f>
        <v>ΕΠΙΜΕΝΙΔΟΥ ΜΑΡΟΥΛΗ 6 ΡΕΘΥΜΝΟ</v>
      </c>
      <c r="I3346">
        <v>74100</v>
      </c>
      <c r="J3346">
        <v>2831053195</v>
      </c>
      <c r="K3346">
        <v>6972907400</v>
      </c>
      <c r="M3346" t="s">
        <v>6488</v>
      </c>
      <c r="N3346" t="s">
        <v>146</v>
      </c>
      <c r="O3346" t="s">
        <v>147</v>
      </c>
      <c r="R3346" t="s">
        <v>57</v>
      </c>
      <c r="S3346">
        <v>9</v>
      </c>
      <c r="T3346">
        <v>231</v>
      </c>
      <c r="U3346" s="1">
        <v>38230</v>
      </c>
      <c r="V3346" t="s">
        <v>5644</v>
      </c>
      <c r="W3346" t="s">
        <v>5645</v>
      </c>
      <c r="X3346" t="s">
        <v>58</v>
      </c>
      <c r="Y3346">
        <v>20</v>
      </c>
      <c r="Z3346" t="s">
        <v>59</v>
      </c>
      <c r="AA3346" t="s">
        <v>59</v>
      </c>
      <c r="AB3346" t="s">
        <v>59</v>
      </c>
      <c r="AC3346" t="s">
        <v>59</v>
      </c>
      <c r="AD3346" t="s">
        <v>59</v>
      </c>
      <c r="AF3346" s="1">
        <v>38231</v>
      </c>
      <c r="AG3346" t="s">
        <v>125</v>
      </c>
      <c r="AH3346" t="s">
        <v>126</v>
      </c>
      <c r="AI3346" t="str">
        <f>"4101030"</f>
        <v>4101030</v>
      </c>
      <c r="AJ3346" t="s">
        <v>5646</v>
      </c>
      <c r="AK3346">
        <v>2831022359</v>
      </c>
      <c r="AL3346" t="s">
        <v>5647</v>
      </c>
      <c r="AM3346" t="s">
        <v>64</v>
      </c>
      <c r="AN3346" t="s">
        <v>65</v>
      </c>
      <c r="AO3346" t="s">
        <v>65</v>
      </c>
      <c r="AP3346" t="s">
        <v>65</v>
      </c>
      <c r="AQ3346">
        <v>1</v>
      </c>
      <c r="AR3346" t="s">
        <v>5644</v>
      </c>
      <c r="AS3346" t="s">
        <v>5645</v>
      </c>
      <c r="AT3346" t="s">
        <v>58</v>
      </c>
      <c r="AU3346" t="s">
        <v>68</v>
      </c>
      <c r="AV3346" t="s">
        <v>69</v>
      </c>
      <c r="AW3346" s="1">
        <v>24281</v>
      </c>
      <c r="AX3346">
        <v>2</v>
      </c>
    </row>
    <row r="3347" spans="1:50">
      <c r="B3347" t="str">
        <f>"127778462"</f>
        <v>127778462</v>
      </c>
      <c r="C3347" t="s">
        <v>105</v>
      </c>
      <c r="D3347" t="s">
        <v>3628</v>
      </c>
      <c r="E3347" t="s">
        <v>383</v>
      </c>
      <c r="F3347" t="s">
        <v>474</v>
      </c>
      <c r="G3347" t="s">
        <v>52</v>
      </c>
      <c r="H3347" t="str">
        <f>"ΘΕΟΤΟΚΟΠΟΥΛΟΥ 47 ΡΕΘΥΜΝΟ"</f>
        <v>ΘΕΟΤΟΚΟΠΟΥΛΟΥ 47 ΡΕΘΥΜΝΟ</v>
      </c>
      <c r="I3347">
        <v>74100</v>
      </c>
      <c r="J3347">
        <v>2831022952</v>
      </c>
      <c r="K3347">
        <v>6972725045</v>
      </c>
      <c r="N3347" t="s">
        <v>292</v>
      </c>
      <c r="O3347" t="s">
        <v>293</v>
      </c>
      <c r="R3347" t="s">
        <v>121</v>
      </c>
      <c r="S3347">
        <v>1</v>
      </c>
      <c r="T3347" t="s">
        <v>416</v>
      </c>
      <c r="U3347" s="1">
        <v>43349</v>
      </c>
      <c r="V3347" t="s">
        <v>5644</v>
      </c>
      <c r="W3347" t="s">
        <v>5645</v>
      </c>
      <c r="X3347" t="s">
        <v>58</v>
      </c>
      <c r="Y3347">
        <v>23</v>
      </c>
      <c r="Z3347" t="s">
        <v>59</v>
      </c>
      <c r="AA3347" t="s">
        <v>59</v>
      </c>
      <c r="AB3347" t="s">
        <v>59</v>
      </c>
      <c r="AC3347" t="s">
        <v>59</v>
      </c>
      <c r="AD3347" t="s">
        <v>59</v>
      </c>
      <c r="AF3347" s="1">
        <v>43349</v>
      </c>
      <c r="AG3347" t="s">
        <v>137</v>
      </c>
      <c r="AH3347" t="s">
        <v>138</v>
      </c>
      <c r="AI3347" t="str">
        <f>"4150040"</f>
        <v>4150040</v>
      </c>
      <c r="AJ3347" t="s">
        <v>5661</v>
      </c>
      <c r="AK3347">
        <v>2831029048</v>
      </c>
      <c r="AL3347" t="s">
        <v>5662</v>
      </c>
      <c r="AM3347" t="s">
        <v>64</v>
      </c>
      <c r="AN3347" t="s">
        <v>65</v>
      </c>
      <c r="AO3347" t="s">
        <v>65</v>
      </c>
      <c r="AP3347" t="s">
        <v>65</v>
      </c>
      <c r="AQ3347">
        <v>1</v>
      </c>
      <c r="AR3347" t="s">
        <v>5644</v>
      </c>
      <c r="AS3347" t="s">
        <v>5645</v>
      </c>
      <c r="AT3347" t="s">
        <v>58</v>
      </c>
      <c r="AU3347" t="s">
        <v>419</v>
      </c>
      <c r="AV3347" t="s">
        <v>132</v>
      </c>
      <c r="AW3347" s="1">
        <v>28449</v>
      </c>
      <c r="AX3347">
        <v>2</v>
      </c>
    </row>
    <row r="3348" spans="1:50">
      <c r="A3348">
        <v>201166</v>
      </c>
      <c r="B3348" t="str">
        <f>"113603706"</f>
        <v>113603706</v>
      </c>
      <c r="C3348" t="s">
        <v>50</v>
      </c>
      <c r="D3348" t="s">
        <v>6489</v>
      </c>
      <c r="E3348" t="s">
        <v>52</v>
      </c>
      <c r="F3348" t="s">
        <v>3824</v>
      </c>
      <c r="G3348" t="s">
        <v>83</v>
      </c>
      <c r="H3348" t="str">
        <f>"ΑΛΦΑ ΜΥΛΟΠΟΤΑΜΟΥ"</f>
        <v>ΑΛΦΑ ΜΥΛΟΠΟΤΑΜΟΥ</v>
      </c>
      <c r="I3348">
        <v>74052</v>
      </c>
      <c r="J3348">
        <v>2834023334</v>
      </c>
      <c r="K3348">
        <v>6948606650</v>
      </c>
      <c r="M3348" t="s">
        <v>6490</v>
      </c>
      <c r="N3348" t="s">
        <v>157</v>
      </c>
      <c r="O3348" t="s">
        <v>158</v>
      </c>
      <c r="R3348" t="s">
        <v>57</v>
      </c>
      <c r="S3348">
        <v>7</v>
      </c>
      <c r="T3348">
        <v>231</v>
      </c>
      <c r="U3348" s="1">
        <v>38230</v>
      </c>
      <c r="V3348" t="s">
        <v>5644</v>
      </c>
      <c r="W3348" t="s">
        <v>5645</v>
      </c>
      <c r="X3348" t="s">
        <v>58</v>
      </c>
      <c r="Y3348">
        <v>20</v>
      </c>
      <c r="Z3348" t="s">
        <v>59</v>
      </c>
      <c r="AA3348" t="s">
        <v>59</v>
      </c>
      <c r="AB3348" t="s">
        <v>59</v>
      </c>
      <c r="AC3348" t="s">
        <v>59</v>
      </c>
      <c r="AD3348" t="s">
        <v>59</v>
      </c>
      <c r="AF3348" s="1">
        <v>38230</v>
      </c>
      <c r="AG3348" t="s">
        <v>148</v>
      </c>
      <c r="AH3348" t="s">
        <v>149</v>
      </c>
      <c r="AI3348" t="str">
        <f>"4154010"</f>
        <v>4154010</v>
      </c>
      <c r="AJ3348" t="s">
        <v>5687</v>
      </c>
      <c r="AK3348">
        <v>2834023300</v>
      </c>
      <c r="AL3348" t="s">
        <v>5688</v>
      </c>
      <c r="AM3348" t="s">
        <v>64</v>
      </c>
      <c r="AN3348" t="s">
        <v>5672</v>
      </c>
      <c r="AO3348" t="s">
        <v>5673</v>
      </c>
      <c r="AP3348" t="s">
        <v>5689</v>
      </c>
      <c r="AQ3348">
        <v>2</v>
      </c>
      <c r="AR3348" t="s">
        <v>5644</v>
      </c>
      <c r="AS3348" t="s">
        <v>5645</v>
      </c>
      <c r="AT3348" t="s">
        <v>58</v>
      </c>
      <c r="AU3348" t="s">
        <v>68</v>
      </c>
      <c r="AV3348" t="s">
        <v>69</v>
      </c>
      <c r="AW3348" s="1">
        <v>23193</v>
      </c>
      <c r="AX3348">
        <v>2</v>
      </c>
    </row>
    <row r="3349" spans="1:50">
      <c r="A3349">
        <v>700687</v>
      </c>
      <c r="B3349" t="str">
        <f>"100050252"</f>
        <v>100050252</v>
      </c>
      <c r="C3349" t="s">
        <v>105</v>
      </c>
      <c r="D3349" t="s">
        <v>6491</v>
      </c>
      <c r="E3349" t="s">
        <v>72</v>
      </c>
      <c r="F3349" t="s">
        <v>106</v>
      </c>
      <c r="G3349" t="s">
        <v>52</v>
      </c>
      <c r="H3349" t="str">
        <f>"ΘΕΟΤΟΚΟΠΟΥΛΟΥ 46 ΡΕΘΥΜΝΟ"</f>
        <v>ΘΕΟΤΟΚΟΠΟΥΛΟΥ 46 ΡΕΘΥΜΝΟ</v>
      </c>
      <c r="I3349">
        <v>74100</v>
      </c>
      <c r="J3349">
        <v>2834042633</v>
      </c>
      <c r="K3349">
        <v>6972888469</v>
      </c>
      <c r="M3349" t="s">
        <v>6492</v>
      </c>
      <c r="N3349" t="s">
        <v>232</v>
      </c>
      <c r="O3349" t="s">
        <v>233</v>
      </c>
      <c r="R3349" t="s">
        <v>57</v>
      </c>
      <c r="S3349">
        <v>6</v>
      </c>
      <c r="T3349">
        <v>772</v>
      </c>
      <c r="U3349" s="1">
        <v>40413</v>
      </c>
      <c r="V3349" t="s">
        <v>5644</v>
      </c>
      <c r="W3349" t="s">
        <v>5645</v>
      </c>
      <c r="X3349" t="s">
        <v>58</v>
      </c>
      <c r="Y3349">
        <v>21</v>
      </c>
      <c r="Z3349" t="s">
        <v>59</v>
      </c>
      <c r="AA3349" t="s">
        <v>59</v>
      </c>
      <c r="AB3349" t="s">
        <v>59</v>
      </c>
      <c r="AC3349" t="s">
        <v>59</v>
      </c>
      <c r="AD3349" t="s">
        <v>59</v>
      </c>
      <c r="AF3349" s="1">
        <v>40413</v>
      </c>
      <c r="AG3349" t="s">
        <v>148</v>
      </c>
      <c r="AH3349" t="s">
        <v>149</v>
      </c>
      <c r="AI3349" t="str">
        <f>"4144002"</f>
        <v>4144002</v>
      </c>
      <c r="AJ3349" t="s">
        <v>5655</v>
      </c>
      <c r="AK3349">
        <v>2831061110</v>
      </c>
      <c r="AL3349" t="s">
        <v>5656</v>
      </c>
      <c r="AM3349" t="s">
        <v>64</v>
      </c>
      <c r="AN3349" t="s">
        <v>65</v>
      </c>
      <c r="AO3349" t="s">
        <v>5657</v>
      </c>
      <c r="AP3349" t="s">
        <v>1437</v>
      </c>
      <c r="AQ3349">
        <v>1</v>
      </c>
      <c r="AR3349" t="s">
        <v>5644</v>
      </c>
      <c r="AS3349" t="s">
        <v>5645</v>
      </c>
      <c r="AT3349" t="s">
        <v>58</v>
      </c>
      <c r="AU3349" t="s">
        <v>68</v>
      </c>
      <c r="AV3349" t="s">
        <v>69</v>
      </c>
      <c r="AW3349" s="1">
        <v>29726</v>
      </c>
      <c r="AX3349">
        <v>2</v>
      </c>
    </row>
    <row r="3350" spans="1:50">
      <c r="A3350">
        <v>177421</v>
      </c>
      <c r="B3350" t="str">
        <f>"027121290"</f>
        <v>027121290</v>
      </c>
      <c r="C3350" t="s">
        <v>50</v>
      </c>
      <c r="D3350" t="s">
        <v>6493</v>
      </c>
      <c r="E3350" t="s">
        <v>255</v>
      </c>
      <c r="F3350" t="s">
        <v>166</v>
      </c>
      <c r="G3350" t="s">
        <v>250</v>
      </c>
      <c r="H3350" t="str">
        <f>"ΙΩΝΙΑΣ 48 "</f>
        <v xml:space="preserve">ΙΩΝΙΑΣ 48 </v>
      </c>
      <c r="I3350">
        <v>74100</v>
      </c>
      <c r="J3350">
        <v>2831053350</v>
      </c>
      <c r="K3350">
        <v>6985074766</v>
      </c>
      <c r="N3350" t="s">
        <v>189</v>
      </c>
      <c r="O3350" t="s">
        <v>190</v>
      </c>
      <c r="R3350" t="s">
        <v>57</v>
      </c>
      <c r="S3350">
        <v>13</v>
      </c>
      <c r="T3350">
        <v>180</v>
      </c>
      <c r="U3350" s="1">
        <v>35674</v>
      </c>
      <c r="V3350" t="s">
        <v>5644</v>
      </c>
      <c r="W3350" t="s">
        <v>5645</v>
      </c>
      <c r="X3350" t="s">
        <v>58</v>
      </c>
      <c r="Y3350">
        <v>18</v>
      </c>
      <c r="Z3350" t="s">
        <v>59</v>
      </c>
      <c r="AA3350" t="s">
        <v>59</v>
      </c>
      <c r="AB3350" t="s">
        <v>59</v>
      </c>
      <c r="AC3350" t="s">
        <v>59</v>
      </c>
      <c r="AD3350" t="s">
        <v>59</v>
      </c>
      <c r="AF3350" s="1">
        <v>35674</v>
      </c>
      <c r="AG3350" t="s">
        <v>137</v>
      </c>
      <c r="AH3350" t="s">
        <v>138</v>
      </c>
      <c r="AI3350" t="str">
        <f>"4150040"</f>
        <v>4150040</v>
      </c>
      <c r="AJ3350" t="s">
        <v>5661</v>
      </c>
      <c r="AK3350">
        <v>2831029048</v>
      </c>
      <c r="AL3350" t="s">
        <v>5662</v>
      </c>
      <c r="AM3350" t="s">
        <v>64</v>
      </c>
      <c r="AN3350" t="s">
        <v>65</v>
      </c>
      <c r="AO3350" t="s">
        <v>65</v>
      </c>
      <c r="AP3350" t="s">
        <v>65</v>
      </c>
      <c r="AQ3350">
        <v>1</v>
      </c>
      <c r="AR3350" t="s">
        <v>5644</v>
      </c>
      <c r="AS3350" t="s">
        <v>5645</v>
      </c>
      <c r="AT3350" t="s">
        <v>58</v>
      </c>
      <c r="AU3350" t="s">
        <v>68</v>
      </c>
      <c r="AV3350" t="s">
        <v>69</v>
      </c>
      <c r="AW3350" s="1">
        <v>22351</v>
      </c>
      <c r="AX3350">
        <v>2</v>
      </c>
    </row>
    <row r="3351" spans="1:50">
      <c r="A3351">
        <v>216799</v>
      </c>
      <c r="B3351" t="str">
        <f>"104715257"</f>
        <v>104715257</v>
      </c>
      <c r="C3351" t="s">
        <v>50</v>
      </c>
      <c r="D3351" t="s">
        <v>6494</v>
      </c>
      <c r="E3351" t="s">
        <v>83</v>
      </c>
      <c r="F3351" t="s">
        <v>564</v>
      </c>
      <c r="G3351" t="s">
        <v>114</v>
      </c>
      <c r="H3351" t="str">
        <f>"ΜΑΡΚΟΥ ΜΠΟΤΣΑΡΗ  24 ΛΑΡΙΣΑ"</f>
        <v>ΜΑΡΚΟΥ ΜΠΟΤΣΑΡΗ  24 ΛΑΡΙΣΑ</v>
      </c>
      <c r="I3351">
        <v>41222</v>
      </c>
      <c r="J3351">
        <v>2410256167</v>
      </c>
      <c r="K3351">
        <v>6976426188</v>
      </c>
      <c r="M3351" t="s">
        <v>6495</v>
      </c>
      <c r="N3351" t="s">
        <v>306</v>
      </c>
      <c r="O3351" t="s">
        <v>307</v>
      </c>
      <c r="R3351" t="s">
        <v>57</v>
      </c>
      <c r="S3351">
        <v>8</v>
      </c>
      <c r="T3351">
        <v>298</v>
      </c>
      <c r="U3351" s="1">
        <v>38985</v>
      </c>
      <c r="V3351" t="s">
        <v>5644</v>
      </c>
      <c r="W3351" t="s">
        <v>5645</v>
      </c>
      <c r="X3351" t="s">
        <v>58</v>
      </c>
      <c r="Y3351">
        <v>21</v>
      </c>
      <c r="Z3351" t="s">
        <v>59</v>
      </c>
      <c r="AA3351" t="s">
        <v>59</v>
      </c>
      <c r="AB3351" t="s">
        <v>59</v>
      </c>
      <c r="AC3351" t="s">
        <v>59</v>
      </c>
      <c r="AD3351" t="s">
        <v>59</v>
      </c>
      <c r="AF3351" s="1">
        <v>38985</v>
      </c>
      <c r="AG3351" t="s">
        <v>125</v>
      </c>
      <c r="AH3351" t="s">
        <v>126</v>
      </c>
      <c r="AI3351" t="str">
        <f>"4108010"</f>
        <v>4108010</v>
      </c>
      <c r="AJ3351" t="s">
        <v>5798</v>
      </c>
      <c r="AK3351">
        <v>2833041264</v>
      </c>
      <c r="AL3351" t="s">
        <v>5799</v>
      </c>
      <c r="AM3351" t="s">
        <v>64</v>
      </c>
      <c r="AN3351" t="s">
        <v>5713</v>
      </c>
      <c r="AO3351" t="s">
        <v>5780</v>
      </c>
      <c r="AP3351" t="s">
        <v>5781</v>
      </c>
      <c r="AQ3351">
        <v>4</v>
      </c>
      <c r="AR3351" t="s">
        <v>5644</v>
      </c>
      <c r="AS3351" t="s">
        <v>5645</v>
      </c>
      <c r="AT3351" t="s">
        <v>58</v>
      </c>
      <c r="AU3351" t="s">
        <v>68</v>
      </c>
      <c r="AV3351" t="s">
        <v>69</v>
      </c>
      <c r="AW3351" s="1">
        <v>28664</v>
      </c>
      <c r="AX3351">
        <v>2</v>
      </c>
    </row>
    <row r="3352" spans="1:50">
      <c r="A3352">
        <v>196146</v>
      </c>
      <c r="B3352" t="str">
        <f>"038026346"</f>
        <v>038026346</v>
      </c>
      <c r="C3352" t="s">
        <v>105</v>
      </c>
      <c r="D3352" t="s">
        <v>6496</v>
      </c>
      <c r="E3352" t="s">
        <v>72</v>
      </c>
      <c r="F3352" t="s">
        <v>154</v>
      </c>
      <c r="G3352" t="s">
        <v>563</v>
      </c>
      <c r="H3352" t="str">
        <f>"ΜΑΧΗΣ ΠΟΤΑΜΩΝ 28 ΡΕΘΥΜΝΟ"</f>
        <v>ΜΑΧΗΣ ΠΟΤΑΜΩΝ 28 ΡΕΘΥΜΝΟ</v>
      </c>
      <c r="I3352">
        <v>74100</v>
      </c>
      <c r="J3352">
        <v>2831072135</v>
      </c>
      <c r="K3352">
        <v>6976832385</v>
      </c>
      <c r="N3352" t="s">
        <v>232</v>
      </c>
      <c r="O3352" t="s">
        <v>233</v>
      </c>
      <c r="R3352" t="s">
        <v>57</v>
      </c>
      <c r="S3352">
        <v>8</v>
      </c>
      <c r="T3352">
        <v>212</v>
      </c>
      <c r="U3352" s="1">
        <v>37515</v>
      </c>
      <c r="V3352" t="s">
        <v>5644</v>
      </c>
      <c r="W3352" t="s">
        <v>5645</v>
      </c>
      <c r="X3352" t="s">
        <v>58</v>
      </c>
      <c r="Y3352">
        <v>20</v>
      </c>
      <c r="Z3352" t="s">
        <v>59</v>
      </c>
      <c r="AA3352" t="s">
        <v>59</v>
      </c>
      <c r="AB3352" t="s">
        <v>59</v>
      </c>
      <c r="AC3352" t="s">
        <v>59</v>
      </c>
      <c r="AD3352" t="s">
        <v>59</v>
      </c>
      <c r="AF3352" s="1">
        <v>37515</v>
      </c>
      <c r="AG3352" t="s">
        <v>148</v>
      </c>
      <c r="AH3352" t="s">
        <v>149</v>
      </c>
      <c r="AI3352" t="str">
        <f>"4144003"</f>
        <v>4144003</v>
      </c>
      <c r="AJ3352" t="s">
        <v>5757</v>
      </c>
      <c r="AK3352">
        <v>2831073970</v>
      </c>
      <c r="AL3352" t="s">
        <v>5758</v>
      </c>
      <c r="AM3352" t="s">
        <v>64</v>
      </c>
      <c r="AN3352" t="s">
        <v>65</v>
      </c>
      <c r="AO3352" t="s">
        <v>65</v>
      </c>
      <c r="AP3352" t="s">
        <v>65</v>
      </c>
      <c r="AQ3352">
        <v>1</v>
      </c>
      <c r="AR3352" t="s">
        <v>5644</v>
      </c>
      <c r="AS3352" t="s">
        <v>5645</v>
      </c>
      <c r="AT3352" t="s">
        <v>58</v>
      </c>
      <c r="AU3352" t="s">
        <v>68</v>
      </c>
      <c r="AV3352" t="s">
        <v>69</v>
      </c>
      <c r="AW3352" s="1">
        <v>22771</v>
      </c>
      <c r="AX3352">
        <v>2</v>
      </c>
    </row>
    <row r="3353" spans="1:50">
      <c r="A3353">
        <v>188619</v>
      </c>
      <c r="B3353" t="str">
        <f>"054429530"</f>
        <v>054429530</v>
      </c>
      <c r="C3353" t="s">
        <v>105</v>
      </c>
      <c r="D3353" t="s">
        <v>6497</v>
      </c>
      <c r="E3353" t="s">
        <v>564</v>
      </c>
      <c r="F3353" t="s">
        <v>53</v>
      </c>
      <c r="G3353" t="s">
        <v>255</v>
      </c>
      <c r="H3353" t="str">
        <f>"ΚΑΛΟΓΕΡΟΥ ΑΜΑΡΙΟΥ ΡΕΘΥΜΝΟ"</f>
        <v>ΚΑΛΟΓΕΡΟΥ ΑΜΑΡΙΟΥ ΡΕΘΥΜΝΟ</v>
      </c>
      <c r="I3353">
        <v>74061</v>
      </c>
      <c r="J3353">
        <v>2833061330</v>
      </c>
      <c r="K3353">
        <v>6988079351</v>
      </c>
      <c r="N3353" t="s">
        <v>168</v>
      </c>
      <c r="O3353" t="s">
        <v>169</v>
      </c>
      <c r="R3353" t="s">
        <v>57</v>
      </c>
      <c r="S3353">
        <v>12</v>
      </c>
      <c r="T3353">
        <v>310</v>
      </c>
      <c r="U3353" s="1">
        <v>36833</v>
      </c>
      <c r="V3353" t="s">
        <v>5644</v>
      </c>
      <c r="W3353" t="s">
        <v>5645</v>
      </c>
      <c r="X3353" t="s">
        <v>58</v>
      </c>
      <c r="Y3353">
        <v>18</v>
      </c>
      <c r="Z3353" t="s">
        <v>59</v>
      </c>
      <c r="AA3353" t="s">
        <v>59</v>
      </c>
      <c r="AB3353" t="s">
        <v>59</v>
      </c>
      <c r="AC3353" t="s">
        <v>59</v>
      </c>
      <c r="AD3353" t="s">
        <v>59</v>
      </c>
      <c r="AF3353" s="1">
        <v>36833</v>
      </c>
      <c r="AG3353" t="s">
        <v>137</v>
      </c>
      <c r="AH3353" t="s">
        <v>138</v>
      </c>
      <c r="AI3353" t="str">
        <f>"4150040"</f>
        <v>4150040</v>
      </c>
      <c r="AJ3353" t="s">
        <v>5661</v>
      </c>
      <c r="AK3353">
        <v>2831029048</v>
      </c>
      <c r="AL3353" t="s">
        <v>5662</v>
      </c>
      <c r="AM3353" t="s">
        <v>64</v>
      </c>
      <c r="AN3353" t="s">
        <v>65</v>
      </c>
      <c r="AO3353" t="s">
        <v>65</v>
      </c>
      <c r="AP3353" t="s">
        <v>65</v>
      </c>
      <c r="AQ3353">
        <v>1</v>
      </c>
      <c r="AR3353" t="s">
        <v>5644</v>
      </c>
      <c r="AS3353" t="s">
        <v>5645</v>
      </c>
      <c r="AT3353" t="s">
        <v>58</v>
      </c>
      <c r="AU3353" t="s">
        <v>68</v>
      </c>
      <c r="AV3353" t="s">
        <v>69</v>
      </c>
      <c r="AW3353" s="1">
        <v>25052</v>
      </c>
      <c r="AX3353">
        <v>2</v>
      </c>
    </row>
    <row r="3354" spans="1:50">
      <c r="A3354">
        <v>194843</v>
      </c>
      <c r="B3354" t="str">
        <f>"058567375"</f>
        <v>058567375</v>
      </c>
      <c r="C3354" t="s">
        <v>105</v>
      </c>
      <c r="D3354" t="s">
        <v>3661</v>
      </c>
      <c r="E3354" t="s">
        <v>496</v>
      </c>
      <c r="F3354" t="s">
        <v>99</v>
      </c>
      <c r="G3354" t="s">
        <v>4770</v>
      </c>
      <c r="H3354" t="str">
        <f>" "</f>
        <v xml:space="preserve"> </v>
      </c>
      <c r="K3354">
        <v>6947811856</v>
      </c>
      <c r="N3354" t="s">
        <v>299</v>
      </c>
      <c r="O3354" t="s">
        <v>300</v>
      </c>
      <c r="R3354" t="s">
        <v>57</v>
      </c>
      <c r="S3354">
        <v>9</v>
      </c>
      <c r="T3354">
        <v>193</v>
      </c>
      <c r="U3354" s="1">
        <v>37497</v>
      </c>
      <c r="V3354" t="s">
        <v>5644</v>
      </c>
      <c r="W3354" t="s">
        <v>5645</v>
      </c>
      <c r="X3354" t="s">
        <v>58</v>
      </c>
      <c r="Y3354">
        <v>20</v>
      </c>
      <c r="Z3354" t="s">
        <v>59</v>
      </c>
      <c r="AA3354" t="s">
        <v>59</v>
      </c>
      <c r="AB3354" t="s">
        <v>452</v>
      </c>
      <c r="AC3354" t="s">
        <v>59</v>
      </c>
      <c r="AD3354" t="s">
        <v>59</v>
      </c>
      <c r="AF3354" s="1">
        <v>37500</v>
      </c>
      <c r="AG3354" t="s">
        <v>148</v>
      </c>
      <c r="AH3354" t="s">
        <v>149</v>
      </c>
      <c r="AI3354" t="str">
        <f>"4152010"</f>
        <v>4152010</v>
      </c>
      <c r="AJ3354" t="s">
        <v>5739</v>
      </c>
      <c r="AK3354">
        <v>2834031205</v>
      </c>
      <c r="AL3354" t="s">
        <v>5740</v>
      </c>
      <c r="AM3354" t="s">
        <v>64</v>
      </c>
      <c r="AN3354" t="s">
        <v>5737</v>
      </c>
      <c r="AO3354" t="s">
        <v>5737</v>
      </c>
      <c r="AP3354" t="s">
        <v>5737</v>
      </c>
      <c r="AQ3354">
        <v>3</v>
      </c>
      <c r="AR3354" t="s">
        <v>5644</v>
      </c>
      <c r="AS3354" t="s">
        <v>5645</v>
      </c>
      <c r="AT3354" t="s">
        <v>58</v>
      </c>
      <c r="AU3354" t="s">
        <v>68</v>
      </c>
      <c r="AV3354" t="s">
        <v>132</v>
      </c>
      <c r="AW3354" s="1">
        <v>26633</v>
      </c>
      <c r="AX3354">
        <v>2</v>
      </c>
    </row>
    <row r="3355" spans="1:50">
      <c r="A3355">
        <v>186867</v>
      </c>
      <c r="B3355" t="str">
        <f>"054834301"</f>
        <v>054834301</v>
      </c>
      <c r="C3355" t="s">
        <v>50</v>
      </c>
      <c r="D3355" t="s">
        <v>6498</v>
      </c>
      <c r="E3355" t="s">
        <v>1108</v>
      </c>
      <c r="F3355" t="s">
        <v>377</v>
      </c>
      <c r="G3355" t="s">
        <v>801</v>
      </c>
      <c r="H3355" t="str">
        <f>"ΓΑΛΛΟΥ ΡΕΘΥΜΝΟ"</f>
        <v>ΓΑΛΛΟΥ ΡΕΘΥΜΝΟ</v>
      </c>
      <c r="I3355">
        <v>74100</v>
      </c>
      <c r="N3355" t="s">
        <v>299</v>
      </c>
      <c r="O3355" t="s">
        <v>300</v>
      </c>
      <c r="R3355" t="s">
        <v>57</v>
      </c>
      <c r="S3355">
        <v>12</v>
      </c>
      <c r="T3355">
        <v>251</v>
      </c>
      <c r="U3355" s="1">
        <v>36769</v>
      </c>
      <c r="V3355" t="s">
        <v>5644</v>
      </c>
      <c r="W3355" t="s">
        <v>5645</v>
      </c>
      <c r="X3355" t="s">
        <v>58</v>
      </c>
      <c r="Y3355">
        <v>18</v>
      </c>
      <c r="Z3355" t="s">
        <v>59</v>
      </c>
      <c r="AA3355" t="s">
        <v>59</v>
      </c>
      <c r="AB3355" t="s">
        <v>59</v>
      </c>
      <c r="AC3355" t="s">
        <v>59</v>
      </c>
      <c r="AD3355" t="s">
        <v>59</v>
      </c>
      <c r="AF3355" s="1">
        <v>36769</v>
      </c>
      <c r="AG3355" t="s">
        <v>148</v>
      </c>
      <c r="AH3355" t="s">
        <v>149</v>
      </c>
      <c r="AI3355" t="str">
        <f>"4144003"</f>
        <v>4144003</v>
      </c>
      <c r="AJ3355" t="s">
        <v>5757</v>
      </c>
      <c r="AK3355">
        <v>2831073970</v>
      </c>
      <c r="AL3355" t="s">
        <v>5758</v>
      </c>
      <c r="AM3355" t="s">
        <v>64</v>
      </c>
      <c r="AN3355" t="s">
        <v>65</v>
      </c>
      <c r="AO3355" t="s">
        <v>65</v>
      </c>
      <c r="AP3355" t="s">
        <v>65</v>
      </c>
      <c r="AQ3355">
        <v>1</v>
      </c>
      <c r="AR3355" t="s">
        <v>5644</v>
      </c>
      <c r="AS3355" t="s">
        <v>5645</v>
      </c>
      <c r="AT3355" t="s">
        <v>58</v>
      </c>
      <c r="AU3355" t="s">
        <v>68</v>
      </c>
      <c r="AV3355" t="s">
        <v>357</v>
      </c>
      <c r="AW3355" s="1">
        <v>25150</v>
      </c>
      <c r="AX3355">
        <v>2</v>
      </c>
    </row>
    <row r="3356" spans="1:50">
      <c r="A3356">
        <v>203617</v>
      </c>
      <c r="B3356" t="str">
        <f>"058650910"</f>
        <v>058650910</v>
      </c>
      <c r="C3356" t="s">
        <v>50</v>
      </c>
      <c r="D3356" t="s">
        <v>6499</v>
      </c>
      <c r="E3356" t="s">
        <v>52</v>
      </c>
      <c r="F3356" t="s">
        <v>1316</v>
      </c>
      <c r="G3356" t="s">
        <v>1085</v>
      </c>
      <c r="H3356" t="str">
        <f>"ΒΡΥΣΕΣ ΑΠΟΚΟΡΩΝΟΥ ΧΑΝΙΑ"</f>
        <v>ΒΡΥΣΕΣ ΑΠΟΚΟΡΩΝΟΥ ΧΑΝΙΑ</v>
      </c>
      <c r="I3356">
        <v>79007</v>
      </c>
      <c r="J3356">
        <v>2109580456</v>
      </c>
      <c r="K3356">
        <v>6977837016</v>
      </c>
      <c r="L3356">
        <v>2825051191</v>
      </c>
      <c r="M3356" t="s">
        <v>6500</v>
      </c>
      <c r="N3356" t="s">
        <v>683</v>
      </c>
      <c r="O3356" t="s">
        <v>684</v>
      </c>
      <c r="R3356" t="s">
        <v>57</v>
      </c>
      <c r="S3356">
        <v>7</v>
      </c>
      <c r="T3356">
        <v>231</v>
      </c>
      <c r="U3356" s="1">
        <v>38230</v>
      </c>
      <c r="V3356" t="s">
        <v>5644</v>
      </c>
      <c r="W3356" t="s">
        <v>5645</v>
      </c>
      <c r="X3356" t="s">
        <v>58</v>
      </c>
      <c r="Y3356">
        <v>20</v>
      </c>
      <c r="Z3356" t="s">
        <v>59</v>
      </c>
      <c r="AA3356" t="s">
        <v>59</v>
      </c>
      <c r="AB3356" t="s">
        <v>59</v>
      </c>
      <c r="AC3356" t="s">
        <v>59</v>
      </c>
      <c r="AD3356" t="s">
        <v>59</v>
      </c>
      <c r="AF3356" s="1">
        <v>38230</v>
      </c>
      <c r="AG3356" t="s">
        <v>125</v>
      </c>
      <c r="AH3356" t="s">
        <v>126</v>
      </c>
      <c r="AI3356" t="str">
        <f>"4101030"</f>
        <v>4101030</v>
      </c>
      <c r="AJ3356" t="s">
        <v>5646</v>
      </c>
      <c r="AK3356">
        <v>2831022359</v>
      </c>
      <c r="AL3356" t="s">
        <v>5647</v>
      </c>
      <c r="AM3356" t="s">
        <v>64</v>
      </c>
      <c r="AN3356" t="s">
        <v>65</v>
      </c>
      <c r="AO3356" t="s">
        <v>65</v>
      </c>
      <c r="AP3356" t="s">
        <v>65</v>
      </c>
      <c r="AQ3356">
        <v>1</v>
      </c>
      <c r="AR3356" t="s">
        <v>5644</v>
      </c>
      <c r="AS3356" t="s">
        <v>5645</v>
      </c>
      <c r="AT3356" t="s">
        <v>58</v>
      </c>
      <c r="AU3356" t="s">
        <v>68</v>
      </c>
      <c r="AV3356" t="s">
        <v>69</v>
      </c>
      <c r="AW3356" s="1">
        <v>27494</v>
      </c>
      <c r="AX3356">
        <v>2</v>
      </c>
    </row>
    <row r="3357" spans="1:50">
      <c r="A3357">
        <v>704441</v>
      </c>
      <c r="B3357" t="str">
        <f>"128621260"</f>
        <v>128621260</v>
      </c>
      <c r="C3357" t="s">
        <v>50</v>
      </c>
      <c r="D3357" t="s">
        <v>6501</v>
      </c>
      <c r="E3357" t="s">
        <v>316</v>
      </c>
      <c r="F3357" t="s">
        <v>510</v>
      </c>
      <c r="G3357" t="s">
        <v>714</v>
      </c>
      <c r="H3357" t="str">
        <f>"ΜΑΥΡΟΜΙΧΑΛΗ 101-103 "</f>
        <v xml:space="preserve">ΜΑΥΡΟΜΙΧΑΛΗ 101-103 </v>
      </c>
      <c r="I3357">
        <v>11472</v>
      </c>
      <c r="J3357">
        <v>2103614366</v>
      </c>
      <c r="K3357">
        <v>6978591299</v>
      </c>
      <c r="N3357" t="s">
        <v>299</v>
      </c>
      <c r="O3357" t="s">
        <v>300</v>
      </c>
      <c r="R3357" t="s">
        <v>159</v>
      </c>
      <c r="S3357">
        <v>2</v>
      </c>
      <c r="T3357">
        <v>1134</v>
      </c>
      <c r="U3357" s="1">
        <v>43381</v>
      </c>
      <c r="V3357" t="s">
        <v>5644</v>
      </c>
      <c r="W3357" t="s">
        <v>5645</v>
      </c>
      <c r="X3357" t="s">
        <v>58</v>
      </c>
      <c r="Y3357">
        <v>23</v>
      </c>
      <c r="Z3357" t="s">
        <v>59</v>
      </c>
      <c r="AA3357" t="s">
        <v>59</v>
      </c>
      <c r="AB3357" t="s">
        <v>59</v>
      </c>
      <c r="AC3357" t="s">
        <v>59</v>
      </c>
      <c r="AD3357" t="s">
        <v>59</v>
      </c>
      <c r="AF3357" s="1">
        <v>43381</v>
      </c>
      <c r="AG3357" t="s">
        <v>125</v>
      </c>
      <c r="AH3357" t="s">
        <v>126</v>
      </c>
      <c r="AI3357" t="str">
        <f>"4101020"</f>
        <v>4101020</v>
      </c>
      <c r="AJ3357" t="s">
        <v>5652</v>
      </c>
      <c r="AK3357">
        <v>2831023560</v>
      </c>
      <c r="AL3357" t="s">
        <v>5653</v>
      </c>
      <c r="AM3357" t="s">
        <v>64</v>
      </c>
      <c r="AN3357" t="s">
        <v>65</v>
      </c>
      <c r="AO3357" t="s">
        <v>65</v>
      </c>
      <c r="AP3357" t="s">
        <v>65</v>
      </c>
      <c r="AQ3357">
        <v>1</v>
      </c>
      <c r="AR3357" t="s">
        <v>5644</v>
      </c>
      <c r="AS3357" t="s">
        <v>5645</v>
      </c>
      <c r="AT3357" t="s">
        <v>58</v>
      </c>
      <c r="AU3357" t="s">
        <v>68</v>
      </c>
      <c r="AV3357" t="s">
        <v>132</v>
      </c>
      <c r="AW3357" s="1">
        <v>30657</v>
      </c>
      <c r="AX3357">
        <v>2</v>
      </c>
    </row>
    <row r="3358" spans="1:50">
      <c r="A3358">
        <v>192366</v>
      </c>
      <c r="B3358" t="str">
        <f>"059641215"</f>
        <v>059641215</v>
      </c>
      <c r="C3358" t="s">
        <v>50</v>
      </c>
      <c r="D3358" t="s">
        <v>6502</v>
      </c>
      <c r="E3358" t="s">
        <v>52</v>
      </c>
      <c r="F3358" t="s">
        <v>459</v>
      </c>
      <c r="G3358" t="s">
        <v>476</v>
      </c>
      <c r="H3358" t="str">
        <f>"ΣΑΜΟΥ 7 ΠΛΑΤΑΝΙΑΣ"</f>
        <v>ΣΑΜΟΥ 7 ΠΛΑΤΑΝΙΑΣ</v>
      </c>
      <c r="I3358">
        <v>74100</v>
      </c>
      <c r="J3358">
        <v>2831051152</v>
      </c>
      <c r="K3358">
        <v>6932463249</v>
      </c>
      <c r="N3358" t="s">
        <v>1351</v>
      </c>
      <c r="O3358" t="s">
        <v>1352</v>
      </c>
      <c r="R3358" t="s">
        <v>57</v>
      </c>
      <c r="S3358">
        <v>11</v>
      </c>
      <c r="T3358">
        <v>312</v>
      </c>
      <c r="U3358" s="1">
        <v>37239</v>
      </c>
      <c r="V3358" t="s">
        <v>5644</v>
      </c>
      <c r="W3358" t="s">
        <v>5645</v>
      </c>
      <c r="X3358" t="s">
        <v>58</v>
      </c>
      <c r="Y3358">
        <v>20</v>
      </c>
      <c r="Z3358" t="s">
        <v>59</v>
      </c>
      <c r="AA3358" t="s">
        <v>59</v>
      </c>
      <c r="AB3358" t="s">
        <v>59</v>
      </c>
      <c r="AC3358" t="s">
        <v>59</v>
      </c>
      <c r="AD3358" t="s">
        <v>59</v>
      </c>
      <c r="AF3358" s="1">
        <v>37239</v>
      </c>
      <c r="AG3358" t="s">
        <v>137</v>
      </c>
      <c r="AH3358" t="s">
        <v>138</v>
      </c>
      <c r="AI3358" t="str">
        <f>"4150040"</f>
        <v>4150040</v>
      </c>
      <c r="AJ3358" t="s">
        <v>5661</v>
      </c>
      <c r="AK3358">
        <v>2831029048</v>
      </c>
      <c r="AL3358" t="s">
        <v>5662</v>
      </c>
      <c r="AM3358" t="s">
        <v>64</v>
      </c>
      <c r="AN3358" t="s">
        <v>65</v>
      </c>
      <c r="AO3358" t="s">
        <v>65</v>
      </c>
      <c r="AP3358" t="s">
        <v>65</v>
      </c>
      <c r="AQ3358">
        <v>1</v>
      </c>
      <c r="AR3358" t="s">
        <v>5644</v>
      </c>
      <c r="AS3358" t="s">
        <v>5645</v>
      </c>
      <c r="AT3358" t="s">
        <v>58</v>
      </c>
      <c r="AU3358" t="s">
        <v>68</v>
      </c>
      <c r="AV3358" t="s">
        <v>69</v>
      </c>
      <c r="AW3358" s="1">
        <v>25934</v>
      </c>
      <c r="AX3358">
        <v>2</v>
      </c>
    </row>
    <row r="3359" spans="1:50">
      <c r="B3359" t="str">
        <f>"115895896"</f>
        <v>115895896</v>
      </c>
      <c r="C3359" t="s">
        <v>105</v>
      </c>
      <c r="D3359" t="s">
        <v>6503</v>
      </c>
      <c r="E3359" t="s">
        <v>72</v>
      </c>
      <c r="F3359" t="s">
        <v>309</v>
      </c>
      <c r="G3359" t="s">
        <v>610</v>
      </c>
      <c r="H3359" t="str">
        <f>"ΑΘΗΝΑΣ 66 ΚΑΛΛΙΘΕΑ"</f>
        <v>ΑΘΗΝΑΣ 66 ΚΑΛΛΙΘΕΑ</v>
      </c>
      <c r="I3359">
        <v>17673</v>
      </c>
      <c r="J3359">
        <v>2109584493</v>
      </c>
      <c r="K3359">
        <v>6945209993</v>
      </c>
      <c r="N3359" t="s">
        <v>189</v>
      </c>
      <c r="O3359" t="s">
        <v>190</v>
      </c>
      <c r="R3359" t="s">
        <v>159</v>
      </c>
      <c r="S3359">
        <v>3</v>
      </c>
      <c r="T3359" t="s">
        <v>416</v>
      </c>
      <c r="U3359" s="1">
        <v>43349</v>
      </c>
      <c r="V3359" t="s">
        <v>5644</v>
      </c>
      <c r="W3359" t="s">
        <v>5645</v>
      </c>
      <c r="X3359" t="s">
        <v>58</v>
      </c>
      <c r="Y3359">
        <v>23</v>
      </c>
      <c r="Z3359" t="s">
        <v>59</v>
      </c>
      <c r="AA3359" t="s">
        <v>59</v>
      </c>
      <c r="AB3359" t="s">
        <v>59</v>
      </c>
      <c r="AC3359" t="s">
        <v>59</v>
      </c>
      <c r="AD3359" t="s">
        <v>59</v>
      </c>
      <c r="AF3359" s="1">
        <v>43349</v>
      </c>
      <c r="AG3359" t="s">
        <v>137</v>
      </c>
      <c r="AH3359" t="s">
        <v>138</v>
      </c>
      <c r="AI3359" t="str">
        <f>"4150040"</f>
        <v>4150040</v>
      </c>
      <c r="AJ3359" t="s">
        <v>5661</v>
      </c>
      <c r="AK3359">
        <v>2831029048</v>
      </c>
      <c r="AL3359" t="s">
        <v>5662</v>
      </c>
      <c r="AM3359" t="s">
        <v>64</v>
      </c>
      <c r="AN3359" t="s">
        <v>65</v>
      </c>
      <c r="AO3359" t="s">
        <v>65</v>
      </c>
      <c r="AP3359" t="s">
        <v>65</v>
      </c>
      <c r="AQ3359">
        <v>1</v>
      </c>
      <c r="AR3359" t="s">
        <v>5644</v>
      </c>
      <c r="AS3359" t="s">
        <v>5645</v>
      </c>
      <c r="AT3359" t="s">
        <v>58</v>
      </c>
      <c r="AU3359" t="s">
        <v>419</v>
      </c>
      <c r="AV3359" t="s">
        <v>132</v>
      </c>
      <c r="AW3359" s="1">
        <v>27095</v>
      </c>
      <c r="AX3359">
        <v>2</v>
      </c>
    </row>
    <row r="3360" spans="1:50">
      <c r="A3360">
        <v>702404</v>
      </c>
      <c r="B3360" t="str">
        <f>"117223485"</f>
        <v>117223485</v>
      </c>
      <c r="C3360" t="s">
        <v>105</v>
      </c>
      <c r="D3360" t="s">
        <v>6504</v>
      </c>
      <c r="E3360" t="s">
        <v>99</v>
      </c>
      <c r="F3360" t="s">
        <v>84</v>
      </c>
      <c r="G3360" t="s">
        <v>255</v>
      </c>
      <c r="H3360" t="str">
        <f>"ΔΑΣΚΑΛΑΚΗ 9 ΓΑΛΛΟΣ ΡΕΘΥΜΝΟΥ"</f>
        <v>ΔΑΣΚΑΛΑΚΗ 9 ΓΑΛΛΟΣ ΡΕΘΥΜΝΟΥ</v>
      </c>
      <c r="I3360">
        <v>74100</v>
      </c>
      <c r="J3360">
        <v>2831058132</v>
      </c>
      <c r="K3360">
        <v>6973007953</v>
      </c>
      <c r="M3360" t="s">
        <v>6505</v>
      </c>
      <c r="N3360" t="s">
        <v>146</v>
      </c>
      <c r="O3360" t="s">
        <v>147</v>
      </c>
      <c r="R3360" t="s">
        <v>57</v>
      </c>
      <c r="S3360">
        <v>6</v>
      </c>
      <c r="T3360" t="s">
        <v>6506</v>
      </c>
      <c r="U3360" s="1">
        <v>40413</v>
      </c>
      <c r="V3360" t="s">
        <v>5644</v>
      </c>
      <c r="W3360" t="s">
        <v>5645</v>
      </c>
      <c r="X3360" t="s">
        <v>58</v>
      </c>
      <c r="Y3360">
        <v>21</v>
      </c>
      <c r="Z3360" t="s">
        <v>59</v>
      </c>
      <c r="AA3360" t="s">
        <v>59</v>
      </c>
      <c r="AB3360" t="s">
        <v>59</v>
      </c>
      <c r="AC3360" t="s">
        <v>59</v>
      </c>
      <c r="AD3360" t="s">
        <v>59</v>
      </c>
      <c r="AF3360" s="1">
        <v>40414</v>
      </c>
      <c r="AG3360" t="s">
        <v>125</v>
      </c>
      <c r="AH3360" t="s">
        <v>126</v>
      </c>
      <c r="AI3360" t="str">
        <f>"4104010"</f>
        <v>4104010</v>
      </c>
      <c r="AJ3360" t="s">
        <v>5745</v>
      </c>
      <c r="AK3360">
        <v>2834022235</v>
      </c>
      <c r="AL3360" t="s">
        <v>5746</v>
      </c>
      <c r="AM3360" t="s">
        <v>64</v>
      </c>
      <c r="AN3360" t="s">
        <v>5672</v>
      </c>
      <c r="AO3360" t="s">
        <v>5673</v>
      </c>
      <c r="AP3360" t="s">
        <v>5689</v>
      </c>
      <c r="AQ3360">
        <v>2</v>
      </c>
      <c r="AR3360" t="s">
        <v>5644</v>
      </c>
      <c r="AS3360" t="s">
        <v>5645</v>
      </c>
      <c r="AT3360" t="s">
        <v>58</v>
      </c>
      <c r="AU3360" t="s">
        <v>68</v>
      </c>
      <c r="AV3360" t="s">
        <v>357</v>
      </c>
      <c r="AW3360" s="1">
        <v>30330</v>
      </c>
      <c r="AX3360">
        <v>2</v>
      </c>
    </row>
    <row r="3361" spans="1:50">
      <c r="A3361">
        <v>170062</v>
      </c>
      <c r="B3361" t="str">
        <f>"036382081"</f>
        <v>036382081</v>
      </c>
      <c r="C3361" t="s">
        <v>50</v>
      </c>
      <c r="D3361" t="s">
        <v>6507</v>
      </c>
      <c r="E3361" t="s">
        <v>237</v>
      </c>
      <c r="F3361" t="s">
        <v>106</v>
      </c>
      <c r="G3361" t="s">
        <v>109</v>
      </c>
      <c r="H3361" t="str">
        <f>"ΣΕΦΕΡΗ 19 ΡΕΘΥΜΝΟ"</f>
        <v>ΣΕΦΕΡΗ 19 ΡΕΘΥΜΝΟ</v>
      </c>
      <c r="I3361">
        <v>74100</v>
      </c>
      <c r="J3361">
        <v>2831035690</v>
      </c>
      <c r="K3361">
        <v>6979807105</v>
      </c>
      <c r="N3361" t="s">
        <v>146</v>
      </c>
      <c r="O3361" t="s">
        <v>147</v>
      </c>
      <c r="R3361" t="s">
        <v>57</v>
      </c>
      <c r="S3361">
        <v>14</v>
      </c>
      <c r="T3361">
        <v>184</v>
      </c>
      <c r="U3361" s="1">
        <v>34941</v>
      </c>
      <c r="V3361" t="s">
        <v>5644</v>
      </c>
      <c r="W3361" t="s">
        <v>5645</v>
      </c>
      <c r="X3361" t="s">
        <v>58</v>
      </c>
      <c r="Y3361">
        <v>18</v>
      </c>
      <c r="Z3361" t="s">
        <v>59</v>
      </c>
      <c r="AA3361" t="s">
        <v>59</v>
      </c>
      <c r="AB3361" t="s">
        <v>59</v>
      </c>
      <c r="AC3361" t="s">
        <v>59</v>
      </c>
      <c r="AD3361" t="s">
        <v>59</v>
      </c>
      <c r="AF3361" s="1">
        <v>34947</v>
      </c>
      <c r="AG3361" t="s">
        <v>148</v>
      </c>
      <c r="AH3361" t="s">
        <v>149</v>
      </c>
      <c r="AI3361" t="str">
        <f>"4151020"</f>
        <v>4151020</v>
      </c>
      <c r="AJ3361" t="s">
        <v>5725</v>
      </c>
      <c r="AK3361">
        <v>2831022475</v>
      </c>
      <c r="AL3361" t="s">
        <v>5726</v>
      </c>
      <c r="AM3361" t="s">
        <v>64</v>
      </c>
      <c r="AN3361" t="s">
        <v>65</v>
      </c>
      <c r="AO3361" t="s">
        <v>65</v>
      </c>
      <c r="AP3361" t="s">
        <v>65</v>
      </c>
      <c r="AQ3361">
        <v>1</v>
      </c>
      <c r="AR3361" t="s">
        <v>5644</v>
      </c>
      <c r="AS3361" t="s">
        <v>5645</v>
      </c>
      <c r="AT3361" t="s">
        <v>58</v>
      </c>
      <c r="AU3361" t="s">
        <v>68</v>
      </c>
      <c r="AV3361" t="s">
        <v>69</v>
      </c>
      <c r="AW3361" s="1">
        <v>24023</v>
      </c>
      <c r="AX3361">
        <v>2</v>
      </c>
    </row>
    <row r="3362" spans="1:50">
      <c r="A3362">
        <v>147834</v>
      </c>
      <c r="B3362" t="str">
        <f>"028061654"</f>
        <v>028061654</v>
      </c>
      <c r="C3362" t="s">
        <v>105</v>
      </c>
      <c r="D3362" t="s">
        <v>6508</v>
      </c>
      <c r="E3362" t="s">
        <v>2580</v>
      </c>
      <c r="F3362" t="s">
        <v>72</v>
      </c>
      <c r="G3362" t="s">
        <v>52</v>
      </c>
      <c r="H3362" t="str">
        <f>"ΣΚΑΛΕΤΑ Τ.Θ.5168 ΡΕΘΥΜΝΟ"</f>
        <v>ΣΚΑΛΕΤΑ Τ.Θ.5168 ΡΕΘΥΜΝΟ</v>
      </c>
      <c r="I3362">
        <v>74100</v>
      </c>
      <c r="J3362">
        <v>2831054151</v>
      </c>
      <c r="K3362">
        <v>6974751264</v>
      </c>
      <c r="M3362" t="s">
        <v>6509</v>
      </c>
      <c r="N3362" t="s">
        <v>176</v>
      </c>
      <c r="O3362" t="s">
        <v>177</v>
      </c>
      <c r="R3362" t="s">
        <v>57</v>
      </c>
      <c r="S3362">
        <v>17</v>
      </c>
      <c r="T3362">
        <v>237</v>
      </c>
      <c r="U3362" s="1">
        <v>31293</v>
      </c>
      <c r="V3362" t="s">
        <v>5644</v>
      </c>
      <c r="W3362" t="s">
        <v>5645</v>
      </c>
      <c r="X3362" t="s">
        <v>58</v>
      </c>
      <c r="Y3362">
        <v>18</v>
      </c>
      <c r="Z3362" t="s">
        <v>59</v>
      </c>
      <c r="AA3362" t="s">
        <v>59</v>
      </c>
      <c r="AB3362" t="s">
        <v>59</v>
      </c>
      <c r="AC3362" t="s">
        <v>59</v>
      </c>
      <c r="AD3362" t="s">
        <v>59</v>
      </c>
      <c r="AF3362" s="1">
        <v>31293</v>
      </c>
      <c r="AG3362" t="s">
        <v>148</v>
      </c>
      <c r="AH3362" t="s">
        <v>149</v>
      </c>
      <c r="AI3362" t="str">
        <f>"4151009"</f>
        <v>4151009</v>
      </c>
      <c r="AJ3362" t="s">
        <v>5649</v>
      </c>
      <c r="AK3362">
        <v>2831027115</v>
      </c>
      <c r="AL3362" t="s">
        <v>5650</v>
      </c>
      <c r="AM3362" t="s">
        <v>64</v>
      </c>
      <c r="AN3362" t="s">
        <v>65</v>
      </c>
      <c r="AO3362" t="s">
        <v>65</v>
      </c>
      <c r="AP3362" t="s">
        <v>65</v>
      </c>
      <c r="AQ3362">
        <v>1</v>
      </c>
      <c r="AR3362" t="s">
        <v>5644</v>
      </c>
      <c r="AS3362" t="s">
        <v>5645</v>
      </c>
      <c r="AT3362" t="s">
        <v>58</v>
      </c>
      <c r="AU3362" t="s">
        <v>68</v>
      </c>
      <c r="AV3362" t="s">
        <v>69</v>
      </c>
      <c r="AW3362" s="1">
        <v>21832</v>
      </c>
      <c r="AX3362">
        <v>2</v>
      </c>
    </row>
    <row r="3363" spans="1:50">
      <c r="A3363">
        <v>704302</v>
      </c>
      <c r="B3363" t="str">
        <f>"078729810"</f>
        <v>078729810</v>
      </c>
      <c r="C3363" t="s">
        <v>50</v>
      </c>
      <c r="D3363" t="s">
        <v>6510</v>
      </c>
      <c r="E3363" t="s">
        <v>52</v>
      </c>
      <c r="F3363" t="s">
        <v>92</v>
      </c>
      <c r="G3363" t="s">
        <v>255</v>
      </c>
      <c r="H3363" t="str">
        <f>"ΚΡΙΑΡΗ 43 "</f>
        <v xml:space="preserve">ΚΡΙΑΡΗ 43 </v>
      </c>
      <c r="I3363">
        <v>74100</v>
      </c>
      <c r="J3363">
        <v>2310220309</v>
      </c>
      <c r="K3363">
        <v>6981797472</v>
      </c>
      <c r="N3363" t="s">
        <v>189</v>
      </c>
      <c r="O3363" t="s">
        <v>190</v>
      </c>
      <c r="R3363" t="s">
        <v>121</v>
      </c>
      <c r="S3363">
        <v>2</v>
      </c>
      <c r="T3363">
        <v>797</v>
      </c>
      <c r="U3363" s="1">
        <v>42968</v>
      </c>
      <c r="V3363" t="s">
        <v>5644</v>
      </c>
      <c r="W3363" t="s">
        <v>5645</v>
      </c>
      <c r="X3363" t="s">
        <v>58</v>
      </c>
      <c r="Y3363">
        <v>23</v>
      </c>
      <c r="Z3363" t="s">
        <v>59</v>
      </c>
      <c r="AA3363" t="s">
        <v>59</v>
      </c>
      <c r="AB3363" t="s">
        <v>59</v>
      </c>
      <c r="AC3363" t="s">
        <v>59</v>
      </c>
      <c r="AD3363" t="s">
        <v>59</v>
      </c>
      <c r="AF3363" s="1">
        <v>42968</v>
      </c>
      <c r="AG3363" t="s">
        <v>137</v>
      </c>
      <c r="AH3363" t="s">
        <v>138</v>
      </c>
      <c r="AI3363" t="str">
        <f>"4150040"</f>
        <v>4150040</v>
      </c>
      <c r="AJ3363" t="s">
        <v>5661</v>
      </c>
      <c r="AK3363">
        <v>2831029048</v>
      </c>
      <c r="AL3363" t="s">
        <v>5662</v>
      </c>
      <c r="AM3363" t="s">
        <v>64</v>
      </c>
      <c r="AN3363" t="s">
        <v>65</v>
      </c>
      <c r="AO3363" t="s">
        <v>65</v>
      </c>
      <c r="AP3363" t="s">
        <v>65</v>
      </c>
      <c r="AQ3363">
        <v>1</v>
      </c>
      <c r="AR3363" t="s">
        <v>5644</v>
      </c>
      <c r="AS3363" t="s">
        <v>5645</v>
      </c>
      <c r="AT3363" t="s">
        <v>58</v>
      </c>
      <c r="AU3363" t="s">
        <v>68</v>
      </c>
      <c r="AV3363" t="s">
        <v>69</v>
      </c>
      <c r="AW3363" s="1">
        <v>25934</v>
      </c>
      <c r="AX3363">
        <v>2</v>
      </c>
    </row>
    <row r="3364" spans="1:50">
      <c r="A3364">
        <v>184429</v>
      </c>
      <c r="B3364" t="str">
        <f>"053547824"</f>
        <v>053547824</v>
      </c>
      <c r="C3364" t="s">
        <v>50</v>
      </c>
      <c r="D3364" t="s">
        <v>3687</v>
      </c>
      <c r="E3364" t="s">
        <v>54</v>
      </c>
      <c r="F3364" t="s">
        <v>99</v>
      </c>
      <c r="G3364" t="s">
        <v>1792</v>
      </c>
      <c r="H3364" t="str">
        <f>"Εμμανουήλ  Παχλά 91 "</f>
        <v xml:space="preserve">Εμμανουήλ  Παχλά 91 </v>
      </c>
      <c r="I3364">
        <v>74100</v>
      </c>
      <c r="J3364">
        <v>2831056082</v>
      </c>
      <c r="K3364">
        <v>6977955323</v>
      </c>
      <c r="M3364" t="s">
        <v>6511</v>
      </c>
      <c r="N3364" t="s">
        <v>306</v>
      </c>
      <c r="O3364" t="s">
        <v>307</v>
      </c>
      <c r="R3364" t="s">
        <v>57</v>
      </c>
      <c r="S3364">
        <v>11</v>
      </c>
      <c r="T3364">
        <v>177</v>
      </c>
      <c r="U3364" s="1">
        <v>36409</v>
      </c>
      <c r="V3364" t="s">
        <v>5644</v>
      </c>
      <c r="W3364" t="s">
        <v>5645</v>
      </c>
      <c r="X3364" t="s">
        <v>58</v>
      </c>
      <c r="Y3364">
        <v>20</v>
      </c>
      <c r="Z3364" t="s">
        <v>59</v>
      </c>
      <c r="AA3364" t="s">
        <v>59</v>
      </c>
      <c r="AB3364" t="s">
        <v>59</v>
      </c>
      <c r="AC3364" t="s">
        <v>59</v>
      </c>
      <c r="AD3364" t="s">
        <v>452</v>
      </c>
      <c r="AE3364" s="1">
        <v>43708</v>
      </c>
      <c r="AF3364" s="1">
        <v>36409</v>
      </c>
      <c r="AG3364" t="s">
        <v>125</v>
      </c>
      <c r="AH3364" t="s">
        <v>5702</v>
      </c>
      <c r="AI3364" t="str">
        <f>"4101042"</f>
        <v>4101042</v>
      </c>
      <c r="AJ3364" t="s">
        <v>5703</v>
      </c>
      <c r="AK3364">
        <v>2831027230</v>
      </c>
      <c r="AL3364" t="s">
        <v>5704</v>
      </c>
      <c r="AM3364" t="s">
        <v>64</v>
      </c>
      <c r="AN3364" t="s">
        <v>65</v>
      </c>
      <c r="AO3364" t="s">
        <v>65</v>
      </c>
      <c r="AP3364" t="s">
        <v>65</v>
      </c>
      <c r="AQ3364">
        <v>1</v>
      </c>
      <c r="AR3364" t="s">
        <v>5644</v>
      </c>
      <c r="AS3364" t="s">
        <v>5645</v>
      </c>
      <c r="AT3364" t="s">
        <v>58</v>
      </c>
      <c r="AU3364" t="s">
        <v>68</v>
      </c>
      <c r="AV3364" t="s">
        <v>69</v>
      </c>
      <c r="AW3364" s="1">
        <v>25877</v>
      </c>
      <c r="AX3364">
        <v>2</v>
      </c>
    </row>
    <row r="3365" spans="1:50">
      <c r="A3365">
        <v>223172</v>
      </c>
      <c r="B3365" t="str">
        <f>"042841534"</f>
        <v>042841534</v>
      </c>
      <c r="C3365" t="s">
        <v>105</v>
      </c>
      <c r="D3365" t="s">
        <v>6512</v>
      </c>
      <c r="E3365" t="s">
        <v>154</v>
      </c>
      <c r="F3365" t="s">
        <v>166</v>
      </c>
      <c r="G3365" t="s">
        <v>52</v>
      </c>
      <c r="H3365" t="str">
        <f>"ΖΥΜΒΡΑΚΑΚΗ 16 ΡΕΘΥΜΝΟ"</f>
        <v>ΖΥΜΒΡΑΚΑΚΗ 16 ΡΕΘΥΜΝΟ</v>
      </c>
      <c r="I3365">
        <v>74100</v>
      </c>
      <c r="J3365">
        <v>2831050569</v>
      </c>
      <c r="K3365">
        <v>6977581201</v>
      </c>
      <c r="N3365" t="s">
        <v>292</v>
      </c>
      <c r="O3365" t="s">
        <v>293</v>
      </c>
      <c r="R3365" t="s">
        <v>57</v>
      </c>
      <c r="S3365">
        <v>5</v>
      </c>
      <c r="T3365">
        <v>775</v>
      </c>
      <c r="U3365" s="1">
        <v>39680</v>
      </c>
      <c r="V3365" t="s">
        <v>5644</v>
      </c>
      <c r="W3365" t="s">
        <v>5645</v>
      </c>
      <c r="X3365" t="s">
        <v>58</v>
      </c>
      <c r="Y3365">
        <v>21</v>
      </c>
      <c r="Z3365" t="s">
        <v>59</v>
      </c>
      <c r="AA3365" t="s">
        <v>59</v>
      </c>
      <c r="AB3365" t="s">
        <v>59</v>
      </c>
      <c r="AC3365" t="s">
        <v>59</v>
      </c>
      <c r="AD3365" t="s">
        <v>59</v>
      </c>
      <c r="AF3365" s="1">
        <v>39680</v>
      </c>
      <c r="AG3365" t="s">
        <v>148</v>
      </c>
      <c r="AH3365" t="s">
        <v>149</v>
      </c>
      <c r="AI3365" t="str">
        <f>"4151020"</f>
        <v>4151020</v>
      </c>
      <c r="AJ3365" t="s">
        <v>5725</v>
      </c>
      <c r="AK3365">
        <v>2831022475</v>
      </c>
      <c r="AL3365" t="s">
        <v>5726</v>
      </c>
      <c r="AM3365" t="s">
        <v>64</v>
      </c>
      <c r="AN3365" t="s">
        <v>65</v>
      </c>
      <c r="AO3365" t="s">
        <v>65</v>
      </c>
      <c r="AP3365" t="s">
        <v>65</v>
      </c>
      <c r="AQ3365">
        <v>1</v>
      </c>
      <c r="AR3365" t="s">
        <v>5644</v>
      </c>
      <c r="AS3365" t="s">
        <v>5645</v>
      </c>
      <c r="AT3365" t="s">
        <v>58</v>
      </c>
      <c r="AU3365" t="s">
        <v>68</v>
      </c>
      <c r="AV3365" t="s">
        <v>357</v>
      </c>
      <c r="AW3365" s="1">
        <v>23315</v>
      </c>
      <c r="AX3365">
        <v>2</v>
      </c>
    </row>
    <row r="3366" spans="1:50">
      <c r="B3366" t="str">
        <f>"074421233"</f>
        <v>074421233</v>
      </c>
      <c r="C3366" t="s">
        <v>50</v>
      </c>
      <c r="D3366" t="s">
        <v>6513</v>
      </c>
      <c r="E3366" t="s">
        <v>237</v>
      </c>
      <c r="F3366" t="s">
        <v>202</v>
      </c>
      <c r="G3366" t="s">
        <v>263</v>
      </c>
      <c r="H3366" t="str">
        <f>"ΑΠΟΛΠΑΙΝΑ ΛΕΥΚΑΔΑ"</f>
        <v>ΑΠΟΛΠΑΙΝΑ ΛΕΥΚΑΔΑ</v>
      </c>
      <c r="I3366">
        <v>31100</v>
      </c>
      <c r="J3366">
        <v>2645024668</v>
      </c>
      <c r="K3366">
        <v>6977054722</v>
      </c>
      <c r="N3366" t="s">
        <v>146</v>
      </c>
      <c r="O3366" t="s">
        <v>147</v>
      </c>
      <c r="R3366" t="s">
        <v>159</v>
      </c>
      <c r="S3366">
        <v>3</v>
      </c>
      <c r="T3366" t="s">
        <v>574</v>
      </c>
      <c r="U3366" s="1">
        <v>43378</v>
      </c>
      <c r="V3366" t="s">
        <v>5644</v>
      </c>
      <c r="W3366" t="s">
        <v>5645</v>
      </c>
      <c r="X3366" t="s">
        <v>58</v>
      </c>
      <c r="Y3366">
        <v>23</v>
      </c>
      <c r="Z3366" t="s">
        <v>59</v>
      </c>
      <c r="AA3366" t="s">
        <v>59</v>
      </c>
      <c r="AB3366" t="s">
        <v>59</v>
      </c>
      <c r="AC3366" t="s">
        <v>59</v>
      </c>
      <c r="AD3366" t="s">
        <v>59</v>
      </c>
      <c r="AF3366" s="1">
        <v>43381</v>
      </c>
      <c r="AG3366" t="s">
        <v>125</v>
      </c>
      <c r="AH3366" t="s">
        <v>126</v>
      </c>
      <c r="AI3366" t="str">
        <f>"4102010"</f>
        <v>4102010</v>
      </c>
      <c r="AJ3366" t="s">
        <v>5735</v>
      </c>
      <c r="AK3366">
        <v>2834031331</v>
      </c>
      <c r="AL3366" t="s">
        <v>5736</v>
      </c>
      <c r="AM3366" t="s">
        <v>64</v>
      </c>
      <c r="AN3366" t="s">
        <v>5737</v>
      </c>
      <c r="AO3366" t="s">
        <v>5737</v>
      </c>
      <c r="AP3366" t="s">
        <v>5737</v>
      </c>
      <c r="AQ3366">
        <v>3</v>
      </c>
      <c r="AR3366" t="s">
        <v>5644</v>
      </c>
      <c r="AS3366" t="s">
        <v>5645</v>
      </c>
      <c r="AT3366" t="s">
        <v>58</v>
      </c>
      <c r="AU3366" t="s">
        <v>164</v>
      </c>
      <c r="AV3366" t="s">
        <v>132</v>
      </c>
      <c r="AW3366" s="1">
        <v>27273</v>
      </c>
      <c r="AX3366">
        <v>2</v>
      </c>
    </row>
    <row r="3367" spans="1:50">
      <c r="B3367" t="str">
        <f>"076933234"</f>
        <v>076933234</v>
      </c>
      <c r="C3367" t="s">
        <v>50</v>
      </c>
      <c r="D3367" t="s">
        <v>6514</v>
      </c>
      <c r="E3367" t="s">
        <v>1001</v>
      </c>
      <c r="F3367" t="s">
        <v>2733</v>
      </c>
      <c r="G3367" t="s">
        <v>155</v>
      </c>
      <c r="H3367" t="str">
        <f>"ΑΙΟΛΙΑΣ 14-28 ΘΕΣΣΑΛΟΝΙΚΗ"</f>
        <v>ΑΙΟΛΙΑΣ 14-28 ΘΕΣΣΑΛΟΝΙΚΗ</v>
      </c>
      <c r="I3367">
        <v>55132</v>
      </c>
      <c r="J3367">
        <v>2592061648</v>
      </c>
      <c r="K3367">
        <v>6977353677</v>
      </c>
      <c r="N3367" t="s">
        <v>146</v>
      </c>
      <c r="O3367" t="s">
        <v>147</v>
      </c>
      <c r="R3367" t="s">
        <v>159</v>
      </c>
      <c r="S3367">
        <v>4</v>
      </c>
      <c r="T3367" t="s">
        <v>416</v>
      </c>
      <c r="U3367" s="1">
        <v>43349</v>
      </c>
      <c r="V3367" t="s">
        <v>5644</v>
      </c>
      <c r="W3367" t="s">
        <v>5645</v>
      </c>
      <c r="X3367" t="s">
        <v>58</v>
      </c>
      <c r="Y3367">
        <v>21</v>
      </c>
      <c r="Z3367" t="s">
        <v>59</v>
      </c>
      <c r="AA3367" t="s">
        <v>59</v>
      </c>
      <c r="AB3367" t="s">
        <v>59</v>
      </c>
      <c r="AC3367" t="s">
        <v>59</v>
      </c>
      <c r="AD3367" t="s">
        <v>59</v>
      </c>
      <c r="AF3367" s="1">
        <v>43349</v>
      </c>
      <c r="AG3367" t="s">
        <v>148</v>
      </c>
      <c r="AH3367" t="s">
        <v>149</v>
      </c>
      <c r="AI3367" t="str">
        <f>"4152010"</f>
        <v>4152010</v>
      </c>
      <c r="AJ3367" t="s">
        <v>5739</v>
      </c>
      <c r="AK3367">
        <v>2834031205</v>
      </c>
      <c r="AL3367" t="s">
        <v>5740</v>
      </c>
      <c r="AM3367" t="s">
        <v>64</v>
      </c>
      <c r="AN3367" t="s">
        <v>5737</v>
      </c>
      <c r="AO3367" t="s">
        <v>5737</v>
      </c>
      <c r="AP3367" t="s">
        <v>5737</v>
      </c>
      <c r="AQ3367">
        <v>3</v>
      </c>
      <c r="AR3367" t="s">
        <v>5644</v>
      </c>
      <c r="AS3367" t="s">
        <v>5645</v>
      </c>
      <c r="AT3367" t="s">
        <v>58</v>
      </c>
      <c r="AU3367" t="s">
        <v>419</v>
      </c>
      <c r="AV3367" t="s">
        <v>132</v>
      </c>
      <c r="AW3367" s="1">
        <v>29796</v>
      </c>
      <c r="AX3367">
        <v>2</v>
      </c>
    </row>
    <row r="3368" spans="1:50">
      <c r="A3368">
        <v>227642</v>
      </c>
      <c r="B3368" t="str">
        <f>"067781168"</f>
        <v>067781168</v>
      </c>
      <c r="C3368" t="s">
        <v>50</v>
      </c>
      <c r="D3368" t="s">
        <v>6515</v>
      </c>
      <c r="E3368" t="s">
        <v>4896</v>
      </c>
      <c r="F3368" t="s">
        <v>1743</v>
      </c>
      <c r="G3368" t="s">
        <v>52</v>
      </c>
      <c r="H3368" t="str">
        <f>"ΒΕΛΕΣΤΙΝΟΥ 11 ΑΘΗΝΑ"</f>
        <v>ΒΕΛΕΣΤΙΝΟΥ 11 ΑΘΗΝΑ</v>
      </c>
      <c r="I3368">
        <v>11523</v>
      </c>
      <c r="K3368">
        <v>6946939401</v>
      </c>
      <c r="M3368" t="s">
        <v>6516</v>
      </c>
      <c r="N3368" t="s">
        <v>478</v>
      </c>
      <c r="O3368" t="s">
        <v>479</v>
      </c>
      <c r="P3368" t="s">
        <v>384</v>
      </c>
      <c r="Q3368" t="s">
        <v>385</v>
      </c>
      <c r="R3368" t="s">
        <v>57</v>
      </c>
      <c r="S3368">
        <v>10</v>
      </c>
      <c r="T3368">
        <v>654</v>
      </c>
      <c r="U3368" s="1">
        <v>40043</v>
      </c>
      <c r="V3368" t="s">
        <v>5644</v>
      </c>
      <c r="W3368" t="s">
        <v>5645</v>
      </c>
      <c r="X3368" t="s">
        <v>58</v>
      </c>
      <c r="Y3368">
        <v>21</v>
      </c>
      <c r="Z3368" t="s">
        <v>59</v>
      </c>
      <c r="AA3368" t="s">
        <v>59</v>
      </c>
      <c r="AB3368" t="s">
        <v>59</v>
      </c>
      <c r="AC3368" t="s">
        <v>59</v>
      </c>
      <c r="AD3368" t="s">
        <v>59</v>
      </c>
      <c r="AF3368" s="1">
        <v>40046</v>
      </c>
      <c r="AG3368" t="s">
        <v>125</v>
      </c>
      <c r="AH3368" t="s">
        <v>126</v>
      </c>
      <c r="AI3368" t="str">
        <f>"4101030"</f>
        <v>4101030</v>
      </c>
      <c r="AJ3368" t="s">
        <v>5646</v>
      </c>
      <c r="AK3368">
        <v>2831022359</v>
      </c>
      <c r="AL3368" t="s">
        <v>5647</v>
      </c>
      <c r="AM3368" t="s">
        <v>64</v>
      </c>
      <c r="AN3368" t="s">
        <v>65</v>
      </c>
      <c r="AO3368" t="s">
        <v>65</v>
      </c>
      <c r="AP3368" t="s">
        <v>65</v>
      </c>
      <c r="AQ3368">
        <v>1</v>
      </c>
      <c r="AR3368" t="s">
        <v>5644</v>
      </c>
      <c r="AS3368" t="s">
        <v>5645</v>
      </c>
      <c r="AT3368" t="s">
        <v>58</v>
      </c>
      <c r="AU3368" t="s">
        <v>68</v>
      </c>
      <c r="AV3368" t="s">
        <v>132</v>
      </c>
      <c r="AW3368" s="1">
        <v>27730</v>
      </c>
      <c r="AX3368">
        <v>2</v>
      </c>
    </row>
    <row r="3369" spans="1:50">
      <c r="A3369">
        <v>220569</v>
      </c>
      <c r="B3369" t="str">
        <f>"063309909"</f>
        <v>063309909</v>
      </c>
      <c r="C3369" t="s">
        <v>105</v>
      </c>
      <c r="D3369" t="s">
        <v>6517</v>
      </c>
      <c r="E3369" t="s">
        <v>670</v>
      </c>
      <c r="F3369" t="s">
        <v>106</v>
      </c>
      <c r="G3369" t="s">
        <v>250</v>
      </c>
      <c r="H3369" t="str">
        <f>"ΚΟΥΡΜΟΥΛΗ 93 ΡΕΘΥΜΝΟ"</f>
        <v>ΚΟΥΡΜΟΥΛΗ 93 ΡΕΘΥΜΝΟ</v>
      </c>
      <c r="I3369">
        <v>74100</v>
      </c>
      <c r="J3369">
        <v>2831036083</v>
      </c>
      <c r="K3369">
        <v>6946427261</v>
      </c>
      <c r="N3369" t="s">
        <v>146</v>
      </c>
      <c r="O3369" t="s">
        <v>147</v>
      </c>
      <c r="R3369" t="s">
        <v>57</v>
      </c>
      <c r="S3369">
        <v>7</v>
      </c>
      <c r="T3369">
        <v>681</v>
      </c>
      <c r="U3369" s="1">
        <v>39325</v>
      </c>
      <c r="V3369" t="s">
        <v>5644</v>
      </c>
      <c r="W3369" t="s">
        <v>5645</v>
      </c>
      <c r="X3369" t="s">
        <v>58</v>
      </c>
      <c r="Y3369">
        <v>21</v>
      </c>
      <c r="Z3369" t="s">
        <v>59</v>
      </c>
      <c r="AA3369" t="s">
        <v>59</v>
      </c>
      <c r="AB3369" t="s">
        <v>59</v>
      </c>
      <c r="AC3369" t="s">
        <v>59</v>
      </c>
      <c r="AD3369" t="s">
        <v>452</v>
      </c>
      <c r="AE3369" s="1">
        <v>43708</v>
      </c>
      <c r="AF3369" s="1">
        <v>39325</v>
      </c>
      <c r="AG3369" t="s">
        <v>148</v>
      </c>
      <c r="AH3369" t="s">
        <v>149</v>
      </c>
      <c r="AI3369" t="str">
        <f>"4154010"</f>
        <v>4154010</v>
      </c>
      <c r="AJ3369" t="s">
        <v>5687</v>
      </c>
      <c r="AK3369">
        <v>2834023300</v>
      </c>
      <c r="AL3369" t="s">
        <v>5688</v>
      </c>
      <c r="AM3369" t="s">
        <v>64</v>
      </c>
      <c r="AN3369" t="s">
        <v>5672</v>
      </c>
      <c r="AO3369" t="s">
        <v>5673</v>
      </c>
      <c r="AP3369" t="s">
        <v>5689</v>
      </c>
      <c r="AQ3369">
        <v>2</v>
      </c>
      <c r="AR3369" t="s">
        <v>5644</v>
      </c>
      <c r="AS3369" t="s">
        <v>5645</v>
      </c>
      <c r="AT3369" t="s">
        <v>58</v>
      </c>
      <c r="AU3369" t="s">
        <v>68</v>
      </c>
      <c r="AV3369" t="s">
        <v>69</v>
      </c>
      <c r="AW3369" s="1">
        <v>27413</v>
      </c>
      <c r="AX3369">
        <v>2</v>
      </c>
    </row>
    <row r="3370" spans="1:50">
      <c r="A3370">
        <v>173505</v>
      </c>
      <c r="B3370" t="str">
        <f>"137487906"</f>
        <v>137487906</v>
      </c>
      <c r="C3370" t="s">
        <v>50</v>
      </c>
      <c r="D3370" t="s">
        <v>6518</v>
      </c>
      <c r="E3370" t="s">
        <v>237</v>
      </c>
      <c r="F3370" t="s">
        <v>95</v>
      </c>
      <c r="G3370" t="s">
        <v>155</v>
      </c>
      <c r="H3370" t="str">
        <f>"Γ. ΣΚΟΥΛΑ 4 "</f>
        <v xml:space="preserve">Γ. ΣΚΟΥΛΑ 4 </v>
      </c>
      <c r="I3370">
        <v>74100</v>
      </c>
      <c r="N3370" t="s">
        <v>146</v>
      </c>
      <c r="O3370" t="s">
        <v>147</v>
      </c>
      <c r="R3370" t="s">
        <v>57</v>
      </c>
      <c r="S3370">
        <v>13</v>
      </c>
      <c r="T3370">
        <v>166</v>
      </c>
      <c r="U3370" s="1">
        <v>35300</v>
      </c>
      <c r="V3370" t="s">
        <v>5644</v>
      </c>
      <c r="W3370" t="s">
        <v>5645</v>
      </c>
      <c r="X3370" t="s">
        <v>58</v>
      </c>
      <c r="Y3370">
        <v>18</v>
      </c>
      <c r="Z3370" t="s">
        <v>59</v>
      </c>
      <c r="AA3370" t="s">
        <v>59</v>
      </c>
      <c r="AB3370" t="s">
        <v>59</v>
      </c>
      <c r="AC3370" t="s">
        <v>59</v>
      </c>
      <c r="AD3370" t="s">
        <v>59</v>
      </c>
      <c r="AF3370" s="1">
        <v>35310</v>
      </c>
      <c r="AG3370" t="s">
        <v>125</v>
      </c>
      <c r="AH3370" t="s">
        <v>126</v>
      </c>
      <c r="AI3370" t="str">
        <f>"4101040"</f>
        <v>4101040</v>
      </c>
      <c r="AJ3370" t="s">
        <v>5732</v>
      </c>
      <c r="AK3370">
        <v>2831029261</v>
      </c>
      <c r="AL3370" t="s">
        <v>5733</v>
      </c>
      <c r="AM3370" t="s">
        <v>64</v>
      </c>
      <c r="AN3370" t="s">
        <v>65</v>
      </c>
      <c r="AO3370" t="s">
        <v>65</v>
      </c>
      <c r="AP3370" t="s">
        <v>65</v>
      </c>
      <c r="AQ3370">
        <v>1</v>
      </c>
      <c r="AR3370" t="s">
        <v>5644</v>
      </c>
      <c r="AS3370" t="s">
        <v>5645</v>
      </c>
      <c r="AT3370" t="s">
        <v>58</v>
      </c>
      <c r="AU3370" t="s">
        <v>68</v>
      </c>
      <c r="AV3370" t="s">
        <v>69</v>
      </c>
      <c r="AW3370" s="1">
        <v>24029</v>
      </c>
      <c r="AX3370">
        <v>2</v>
      </c>
    </row>
    <row r="3371" spans="1:50">
      <c r="A3371">
        <v>210641</v>
      </c>
      <c r="B3371" t="str">
        <f>"066887647"</f>
        <v>066887647</v>
      </c>
      <c r="C3371" t="s">
        <v>50</v>
      </c>
      <c r="D3371" t="s">
        <v>3744</v>
      </c>
      <c r="E3371" t="s">
        <v>54</v>
      </c>
      <c r="F3371" t="s">
        <v>84</v>
      </c>
      <c r="G3371" t="s">
        <v>740</v>
      </c>
      <c r="H3371" t="str">
        <f>"ΝΤΕΧΙΟΣΤΑΚ 2 ΡΕΘΥΜΝΟ"</f>
        <v>ΝΤΕΧΙΟΣΤΑΚ 2 ΡΕΘΥΜΝΟ</v>
      </c>
      <c r="I3371">
        <v>74100</v>
      </c>
      <c r="J3371">
        <v>2831026776</v>
      </c>
      <c r="K3371">
        <v>6972089913</v>
      </c>
      <c r="N3371" t="s">
        <v>306</v>
      </c>
      <c r="O3371" t="s">
        <v>307</v>
      </c>
      <c r="R3371" t="s">
        <v>57</v>
      </c>
      <c r="S3371">
        <v>9</v>
      </c>
      <c r="T3371">
        <v>249</v>
      </c>
      <c r="U3371" s="1">
        <v>38617</v>
      </c>
      <c r="V3371" t="s">
        <v>5644</v>
      </c>
      <c r="W3371" t="s">
        <v>5645</v>
      </c>
      <c r="X3371" t="s">
        <v>58</v>
      </c>
      <c r="Y3371">
        <v>20</v>
      </c>
      <c r="Z3371" t="s">
        <v>59</v>
      </c>
      <c r="AA3371" t="s">
        <v>59</v>
      </c>
      <c r="AB3371" t="s">
        <v>59</v>
      </c>
      <c r="AC3371" t="s">
        <v>59</v>
      </c>
      <c r="AD3371" t="s">
        <v>59</v>
      </c>
      <c r="AF3371" s="1">
        <v>38621</v>
      </c>
      <c r="AG3371" t="s">
        <v>125</v>
      </c>
      <c r="AH3371" t="s">
        <v>126</v>
      </c>
      <c r="AI3371" t="str">
        <f>"4101010"</f>
        <v>4101010</v>
      </c>
      <c r="AJ3371" t="s">
        <v>5814</v>
      </c>
      <c r="AK3371">
        <v>2831022283</v>
      </c>
      <c r="AL3371" t="s">
        <v>5815</v>
      </c>
      <c r="AM3371" t="s">
        <v>64</v>
      </c>
      <c r="AN3371" t="s">
        <v>65</v>
      </c>
      <c r="AO3371" t="s">
        <v>65</v>
      </c>
      <c r="AP3371" t="s">
        <v>65</v>
      </c>
      <c r="AQ3371">
        <v>1</v>
      </c>
      <c r="AR3371" t="s">
        <v>5644</v>
      </c>
      <c r="AS3371" t="s">
        <v>5645</v>
      </c>
      <c r="AT3371" t="s">
        <v>58</v>
      </c>
      <c r="AU3371" t="s">
        <v>68</v>
      </c>
      <c r="AV3371" t="s">
        <v>69</v>
      </c>
      <c r="AW3371" s="1">
        <v>28501</v>
      </c>
      <c r="AX3371">
        <v>2</v>
      </c>
    </row>
    <row r="3372" spans="1:50">
      <c r="A3372">
        <v>186947</v>
      </c>
      <c r="B3372" t="str">
        <f>"037400170"</f>
        <v>037400170</v>
      </c>
      <c r="C3372" t="s">
        <v>105</v>
      </c>
      <c r="D3372" t="s">
        <v>6519</v>
      </c>
      <c r="E3372" t="s">
        <v>760</v>
      </c>
      <c r="F3372" t="s">
        <v>53</v>
      </c>
      <c r="G3372" t="s">
        <v>888</v>
      </c>
      <c r="H3372" t="str">
        <f>"Ε. ΔΑΣΚΑΛΑΚΗ 60 "</f>
        <v xml:space="preserve">Ε. ΔΑΣΚΑΛΑΚΗ 60 </v>
      </c>
      <c r="I3372">
        <v>74100</v>
      </c>
      <c r="K3372">
        <v>6938738023</v>
      </c>
      <c r="N3372" t="s">
        <v>176</v>
      </c>
      <c r="O3372" t="s">
        <v>177</v>
      </c>
      <c r="R3372" t="s">
        <v>57</v>
      </c>
      <c r="S3372">
        <v>11</v>
      </c>
      <c r="T3372">
        <v>251</v>
      </c>
      <c r="U3372" s="1">
        <v>36769</v>
      </c>
      <c r="V3372" t="s">
        <v>5644</v>
      </c>
      <c r="W3372" t="s">
        <v>5645</v>
      </c>
      <c r="X3372" t="s">
        <v>58</v>
      </c>
      <c r="Y3372">
        <v>18</v>
      </c>
      <c r="Z3372" t="s">
        <v>59</v>
      </c>
      <c r="AA3372" t="s">
        <v>59</v>
      </c>
      <c r="AB3372" t="s">
        <v>59</v>
      </c>
      <c r="AC3372" t="s">
        <v>59</v>
      </c>
      <c r="AD3372" t="s">
        <v>59</v>
      </c>
      <c r="AF3372" s="1">
        <v>36769</v>
      </c>
      <c r="AG3372" t="s">
        <v>137</v>
      </c>
      <c r="AH3372" t="s">
        <v>138</v>
      </c>
      <c r="AI3372" t="str">
        <f>"4150040"</f>
        <v>4150040</v>
      </c>
      <c r="AJ3372" t="s">
        <v>5661</v>
      </c>
      <c r="AK3372">
        <v>2831029048</v>
      </c>
      <c r="AL3372" t="s">
        <v>5662</v>
      </c>
      <c r="AM3372" t="s">
        <v>64</v>
      </c>
      <c r="AN3372" t="s">
        <v>65</v>
      </c>
      <c r="AO3372" t="s">
        <v>65</v>
      </c>
      <c r="AP3372" t="s">
        <v>65</v>
      </c>
      <c r="AQ3372">
        <v>1</v>
      </c>
      <c r="AR3372" t="s">
        <v>5644</v>
      </c>
      <c r="AS3372" t="s">
        <v>5645</v>
      </c>
      <c r="AT3372" t="s">
        <v>58</v>
      </c>
      <c r="AU3372" t="s">
        <v>68</v>
      </c>
      <c r="AV3372" t="s">
        <v>69</v>
      </c>
      <c r="AW3372" s="1">
        <v>24446</v>
      </c>
      <c r="AX3372">
        <v>2</v>
      </c>
    </row>
    <row r="3373" spans="1:50">
      <c r="A3373">
        <v>223181</v>
      </c>
      <c r="B3373" t="str">
        <f>"046200273"</f>
        <v>046200273</v>
      </c>
      <c r="C3373" t="s">
        <v>50</v>
      </c>
      <c r="D3373" t="s">
        <v>6520</v>
      </c>
      <c r="E3373" t="s">
        <v>566</v>
      </c>
      <c r="F3373" t="s">
        <v>95</v>
      </c>
      <c r="G3373" t="s">
        <v>73</v>
      </c>
      <c r="H3373" t="str">
        <f>"Χ.ΔΑΣΚΑΛΑΚΗ 28 "</f>
        <v xml:space="preserve">Χ.ΔΑΣΚΑΛΑΚΗ 28 </v>
      </c>
      <c r="I3373">
        <v>74100</v>
      </c>
      <c r="J3373">
        <v>2831051590</v>
      </c>
      <c r="K3373">
        <v>6938148774</v>
      </c>
      <c r="N3373" t="s">
        <v>292</v>
      </c>
      <c r="O3373" t="s">
        <v>293</v>
      </c>
      <c r="R3373" t="s">
        <v>57</v>
      </c>
      <c r="S3373">
        <v>5</v>
      </c>
      <c r="T3373">
        <v>775</v>
      </c>
      <c r="U3373" s="1">
        <v>39680</v>
      </c>
      <c r="V3373" t="s">
        <v>5644</v>
      </c>
      <c r="W3373" t="s">
        <v>5645</v>
      </c>
      <c r="X3373" t="s">
        <v>58</v>
      </c>
      <c r="Y3373">
        <v>21</v>
      </c>
      <c r="Z3373" t="s">
        <v>59</v>
      </c>
      <c r="AA3373" t="s">
        <v>59</v>
      </c>
      <c r="AB3373" t="s">
        <v>59</v>
      </c>
      <c r="AC3373" t="s">
        <v>59</v>
      </c>
      <c r="AD3373" t="s">
        <v>59</v>
      </c>
      <c r="AF3373" s="1">
        <v>39680</v>
      </c>
      <c r="AG3373" t="s">
        <v>125</v>
      </c>
      <c r="AH3373" t="s">
        <v>126</v>
      </c>
      <c r="AI3373" t="str">
        <f>"4101020"</f>
        <v>4101020</v>
      </c>
      <c r="AJ3373" t="s">
        <v>5652</v>
      </c>
      <c r="AK3373">
        <v>2831023560</v>
      </c>
      <c r="AL3373" t="s">
        <v>5653</v>
      </c>
      <c r="AM3373" t="s">
        <v>64</v>
      </c>
      <c r="AN3373" t="s">
        <v>65</v>
      </c>
      <c r="AO3373" t="s">
        <v>65</v>
      </c>
      <c r="AP3373" t="s">
        <v>65</v>
      </c>
      <c r="AQ3373">
        <v>1</v>
      </c>
      <c r="AR3373" t="s">
        <v>5644</v>
      </c>
      <c r="AS3373" t="s">
        <v>5645</v>
      </c>
      <c r="AT3373" t="s">
        <v>58</v>
      </c>
      <c r="AU3373" t="s">
        <v>68</v>
      </c>
      <c r="AV3373" t="s">
        <v>69</v>
      </c>
      <c r="AW3373" s="1">
        <v>25849</v>
      </c>
      <c r="AX3373">
        <v>2</v>
      </c>
    </row>
    <row r="3374" spans="1:50">
      <c r="A3374">
        <v>189575</v>
      </c>
      <c r="B3374" t="str">
        <f>"046999863"</f>
        <v>046999863</v>
      </c>
      <c r="C3374" t="s">
        <v>105</v>
      </c>
      <c r="D3374" t="s">
        <v>6521</v>
      </c>
      <c r="E3374" t="s">
        <v>496</v>
      </c>
      <c r="F3374" t="s">
        <v>474</v>
      </c>
      <c r="G3374" t="s">
        <v>73</v>
      </c>
      <c r="H3374" t="str">
        <f>" "</f>
        <v xml:space="preserve"> </v>
      </c>
      <c r="M3374" t="s">
        <v>6522</v>
      </c>
      <c r="N3374" t="s">
        <v>146</v>
      </c>
      <c r="O3374" t="s">
        <v>147</v>
      </c>
      <c r="R3374" t="s">
        <v>57</v>
      </c>
      <c r="S3374">
        <v>8</v>
      </c>
      <c r="T3374">
        <v>219</v>
      </c>
      <c r="U3374" s="1">
        <v>37134</v>
      </c>
      <c r="V3374" t="s">
        <v>5644</v>
      </c>
      <c r="W3374" t="s">
        <v>5645</v>
      </c>
      <c r="X3374" t="s">
        <v>58</v>
      </c>
      <c r="Y3374">
        <v>20</v>
      </c>
      <c r="Z3374" t="s">
        <v>59</v>
      </c>
      <c r="AA3374" t="s">
        <v>59</v>
      </c>
      <c r="AB3374" t="s">
        <v>452</v>
      </c>
      <c r="AC3374" t="s">
        <v>59</v>
      </c>
      <c r="AD3374" t="s">
        <v>59</v>
      </c>
      <c r="AF3374" s="1">
        <v>37135</v>
      </c>
      <c r="AG3374" t="s">
        <v>125</v>
      </c>
      <c r="AH3374" t="s">
        <v>126</v>
      </c>
      <c r="AI3374" t="str">
        <f>"4101020"</f>
        <v>4101020</v>
      </c>
      <c r="AJ3374" t="s">
        <v>5652</v>
      </c>
      <c r="AK3374">
        <v>2831023560</v>
      </c>
      <c r="AL3374" t="s">
        <v>5653</v>
      </c>
      <c r="AM3374" t="s">
        <v>64</v>
      </c>
      <c r="AN3374" t="s">
        <v>65</v>
      </c>
      <c r="AO3374" t="s">
        <v>65</v>
      </c>
      <c r="AP3374" t="s">
        <v>65</v>
      </c>
      <c r="AQ3374">
        <v>1</v>
      </c>
      <c r="AR3374" t="s">
        <v>5644</v>
      </c>
      <c r="AS3374" t="s">
        <v>5645</v>
      </c>
      <c r="AT3374" t="s">
        <v>58</v>
      </c>
      <c r="AU3374" t="s">
        <v>68</v>
      </c>
      <c r="AV3374" t="s">
        <v>69</v>
      </c>
      <c r="AW3374" s="1">
        <v>25289</v>
      </c>
      <c r="AX3374">
        <v>2</v>
      </c>
    </row>
    <row r="3375" spans="1:50">
      <c r="B3375" t="str">
        <f>"033562013"</f>
        <v>033562013</v>
      </c>
      <c r="C3375" t="s">
        <v>105</v>
      </c>
      <c r="D3375" t="s">
        <v>6523</v>
      </c>
      <c r="E3375" t="s">
        <v>95</v>
      </c>
      <c r="F3375" t="s">
        <v>72</v>
      </c>
      <c r="G3375" t="s">
        <v>112</v>
      </c>
      <c r="H3375" t="str">
        <f>" "</f>
        <v xml:space="preserve"> </v>
      </c>
      <c r="N3375" t="s">
        <v>500</v>
      </c>
      <c r="O3375" t="s">
        <v>501</v>
      </c>
      <c r="R3375" t="s">
        <v>121</v>
      </c>
      <c r="S3375">
        <v>1</v>
      </c>
      <c r="T3375" t="s">
        <v>1944</v>
      </c>
      <c r="U3375" s="1">
        <v>43364</v>
      </c>
      <c r="V3375" t="s">
        <v>5644</v>
      </c>
      <c r="W3375" t="s">
        <v>5645</v>
      </c>
      <c r="X3375" t="s">
        <v>58</v>
      </c>
      <c r="Y3375">
        <v>23</v>
      </c>
      <c r="Z3375" t="s">
        <v>59</v>
      </c>
      <c r="AD3375" t="s">
        <v>59</v>
      </c>
      <c r="AF3375" s="1">
        <v>43367</v>
      </c>
      <c r="AG3375" t="s">
        <v>125</v>
      </c>
      <c r="AH3375" t="s">
        <v>126</v>
      </c>
      <c r="AI3375" t="str">
        <f>"4101030"</f>
        <v>4101030</v>
      </c>
      <c r="AJ3375" t="s">
        <v>5646</v>
      </c>
      <c r="AK3375">
        <v>2831022359</v>
      </c>
      <c r="AL3375" t="s">
        <v>5647</v>
      </c>
      <c r="AM3375" t="s">
        <v>64</v>
      </c>
      <c r="AN3375" t="s">
        <v>65</v>
      </c>
      <c r="AO3375" t="s">
        <v>65</v>
      </c>
      <c r="AP3375" t="s">
        <v>65</v>
      </c>
      <c r="AQ3375">
        <v>1</v>
      </c>
      <c r="AR3375" t="s">
        <v>5644</v>
      </c>
      <c r="AS3375" t="s">
        <v>5645</v>
      </c>
      <c r="AT3375" t="s">
        <v>58</v>
      </c>
      <c r="AU3375" t="s">
        <v>350</v>
      </c>
      <c r="AV3375" t="s">
        <v>132</v>
      </c>
      <c r="AW3375" s="1">
        <v>23918</v>
      </c>
      <c r="AX3375">
        <v>2</v>
      </c>
    </row>
    <row r="3376" spans="1:50">
      <c r="A3376">
        <v>194087</v>
      </c>
      <c r="B3376" t="str">
        <f>"073455275"</f>
        <v>073455275</v>
      </c>
      <c r="C3376" t="s">
        <v>50</v>
      </c>
      <c r="D3376" t="s">
        <v>6524</v>
      </c>
      <c r="E3376" t="s">
        <v>155</v>
      </c>
      <c r="F3376" t="s">
        <v>53</v>
      </c>
      <c r="G3376" t="s">
        <v>366</v>
      </c>
      <c r="H3376" t="str">
        <f>" Γ. ΚΟΥΡΜΟΥΛΗ 125 ΡΕΘΥΜΝΟ"</f>
        <v xml:space="preserve"> Γ. ΚΟΥΡΜΟΥΛΗ 125 ΡΕΘΥΜΝΟ</v>
      </c>
      <c r="I3376">
        <v>74100</v>
      </c>
      <c r="J3376">
        <v>2831050491</v>
      </c>
      <c r="K3376">
        <v>6974468862</v>
      </c>
      <c r="L3376">
        <v>2831029547</v>
      </c>
      <c r="M3376" t="s">
        <v>6525</v>
      </c>
      <c r="N3376" t="s">
        <v>306</v>
      </c>
      <c r="O3376" t="s">
        <v>307</v>
      </c>
      <c r="R3376" t="s">
        <v>57</v>
      </c>
      <c r="S3376">
        <v>10</v>
      </c>
      <c r="T3376" t="s">
        <v>6526</v>
      </c>
      <c r="U3376" s="1">
        <v>37497</v>
      </c>
      <c r="V3376" t="s">
        <v>5644</v>
      </c>
      <c r="W3376" t="s">
        <v>5645</v>
      </c>
      <c r="X3376" t="s">
        <v>58</v>
      </c>
      <c r="Y3376">
        <v>18</v>
      </c>
      <c r="Z3376" t="s">
        <v>59</v>
      </c>
      <c r="AA3376" t="s">
        <v>59</v>
      </c>
      <c r="AB3376" t="s">
        <v>59</v>
      </c>
      <c r="AC3376" t="s">
        <v>59</v>
      </c>
      <c r="AD3376" t="s">
        <v>59</v>
      </c>
      <c r="AF3376" s="1">
        <v>37497</v>
      </c>
      <c r="AG3376" t="s">
        <v>125</v>
      </c>
      <c r="AH3376" t="s">
        <v>294</v>
      </c>
      <c r="AI3376" t="str">
        <f>"4101045"</f>
        <v>4101045</v>
      </c>
      <c r="AJ3376" t="s">
        <v>5677</v>
      </c>
      <c r="AK3376">
        <v>2831027553</v>
      </c>
      <c r="AL3376" t="s">
        <v>5678</v>
      </c>
      <c r="AM3376" t="s">
        <v>64</v>
      </c>
      <c r="AN3376" t="s">
        <v>65</v>
      </c>
      <c r="AO3376" t="s">
        <v>65</v>
      </c>
      <c r="AP3376" t="s">
        <v>65</v>
      </c>
      <c r="AQ3376">
        <v>1</v>
      </c>
      <c r="AR3376" t="s">
        <v>5644</v>
      </c>
      <c r="AS3376" t="s">
        <v>5645</v>
      </c>
      <c r="AT3376" t="s">
        <v>58</v>
      </c>
      <c r="AU3376" t="s">
        <v>68</v>
      </c>
      <c r="AV3376" t="s">
        <v>69</v>
      </c>
      <c r="AW3376" s="1">
        <v>26582</v>
      </c>
      <c r="AX3376">
        <v>2</v>
      </c>
    </row>
    <row r="3377" spans="1:50">
      <c r="A3377">
        <v>225573</v>
      </c>
      <c r="B3377" t="str">
        <f>"068131145"</f>
        <v>068131145</v>
      </c>
      <c r="C3377" t="s">
        <v>50</v>
      </c>
      <c r="D3377" t="s">
        <v>3769</v>
      </c>
      <c r="E3377" t="s">
        <v>237</v>
      </c>
      <c r="F3377" t="s">
        <v>84</v>
      </c>
      <c r="G3377" t="s">
        <v>6527</v>
      </c>
      <c r="H3377" t="str">
        <f>"ΜΙΝΩΟΣ 116 ΗΡΑΚΛΕΙΟ"</f>
        <v>ΜΙΝΩΟΣ 116 ΗΡΑΚΛΕΙΟ</v>
      </c>
      <c r="I3377">
        <v>70009</v>
      </c>
      <c r="J3377">
        <v>2810310737</v>
      </c>
      <c r="K3377">
        <v>6936787201</v>
      </c>
      <c r="N3377" t="s">
        <v>583</v>
      </c>
      <c r="O3377" t="s">
        <v>584</v>
      </c>
      <c r="R3377" t="s">
        <v>57</v>
      </c>
      <c r="S3377">
        <v>6</v>
      </c>
      <c r="T3377">
        <v>775</v>
      </c>
      <c r="U3377" s="1">
        <v>39680</v>
      </c>
      <c r="V3377" t="s">
        <v>5644</v>
      </c>
      <c r="W3377" t="s">
        <v>5645</v>
      </c>
      <c r="X3377" t="s">
        <v>58</v>
      </c>
      <c r="Y3377">
        <v>20</v>
      </c>
      <c r="Z3377" t="s">
        <v>59</v>
      </c>
      <c r="AA3377" t="s">
        <v>59</v>
      </c>
      <c r="AB3377" t="s">
        <v>59</v>
      </c>
      <c r="AC3377" t="s">
        <v>59</v>
      </c>
      <c r="AD3377" t="s">
        <v>59</v>
      </c>
      <c r="AF3377" s="1">
        <v>39681</v>
      </c>
      <c r="AG3377" t="s">
        <v>137</v>
      </c>
      <c r="AH3377" t="s">
        <v>138</v>
      </c>
      <c r="AI3377" t="str">
        <f>"4150040"</f>
        <v>4150040</v>
      </c>
      <c r="AJ3377" t="s">
        <v>5661</v>
      </c>
      <c r="AK3377">
        <v>2831029048</v>
      </c>
      <c r="AL3377" t="s">
        <v>5662</v>
      </c>
      <c r="AM3377" t="s">
        <v>64</v>
      </c>
      <c r="AN3377" t="s">
        <v>65</v>
      </c>
      <c r="AO3377" t="s">
        <v>65</v>
      </c>
      <c r="AP3377" t="s">
        <v>65</v>
      </c>
      <c r="AQ3377">
        <v>1</v>
      </c>
      <c r="AR3377" t="s">
        <v>5644</v>
      </c>
      <c r="AS3377" t="s">
        <v>5645</v>
      </c>
      <c r="AT3377" t="s">
        <v>58</v>
      </c>
      <c r="AU3377" t="s">
        <v>68</v>
      </c>
      <c r="AV3377" t="s">
        <v>69</v>
      </c>
      <c r="AW3377" s="1">
        <v>27890</v>
      </c>
      <c r="AX3377">
        <v>2</v>
      </c>
    </row>
    <row r="3378" spans="1:50">
      <c r="A3378">
        <v>224246</v>
      </c>
      <c r="B3378" t="str">
        <f>"070248139"</f>
        <v>070248139</v>
      </c>
      <c r="C3378" t="s">
        <v>50</v>
      </c>
      <c r="D3378" t="s">
        <v>3769</v>
      </c>
      <c r="E3378" t="s">
        <v>237</v>
      </c>
      <c r="F3378" t="s">
        <v>72</v>
      </c>
      <c r="G3378" t="s">
        <v>52</v>
      </c>
      <c r="H3378" t="str">
        <f>"ΑΓ. ΙΩΑΝΝΟΥ  31 ΡΕΘΥΜΝΟ"</f>
        <v>ΑΓ. ΙΩΑΝΝΟΥ  31 ΡΕΘΥΜΝΟ</v>
      </c>
      <c r="I3378">
        <v>74100</v>
      </c>
      <c r="J3378">
        <v>2831056974</v>
      </c>
      <c r="K3378">
        <v>6978961029</v>
      </c>
      <c r="N3378" t="s">
        <v>306</v>
      </c>
      <c r="O3378" t="s">
        <v>307</v>
      </c>
      <c r="R3378" t="s">
        <v>57</v>
      </c>
      <c r="S3378">
        <v>5</v>
      </c>
      <c r="T3378" t="s">
        <v>6528</v>
      </c>
      <c r="U3378" s="1">
        <v>39680</v>
      </c>
      <c r="V3378" t="s">
        <v>5644</v>
      </c>
      <c r="W3378" t="s">
        <v>5645</v>
      </c>
      <c r="X3378" t="s">
        <v>58</v>
      </c>
      <c r="Y3378">
        <v>21</v>
      </c>
      <c r="Z3378" t="s">
        <v>59</v>
      </c>
      <c r="AA3378" t="s">
        <v>59</v>
      </c>
      <c r="AB3378" t="s">
        <v>59</v>
      </c>
      <c r="AC3378" t="s">
        <v>59</v>
      </c>
      <c r="AD3378" t="s">
        <v>59</v>
      </c>
      <c r="AF3378" s="1">
        <v>39681</v>
      </c>
      <c r="AG3378" t="s">
        <v>125</v>
      </c>
      <c r="AH3378" t="s">
        <v>126</v>
      </c>
      <c r="AI3378" t="str">
        <f>"4110015"</f>
        <v>4110015</v>
      </c>
      <c r="AJ3378" t="s">
        <v>5723</v>
      </c>
      <c r="AK3378">
        <v>2831022741</v>
      </c>
      <c r="AL3378" t="s">
        <v>5724</v>
      </c>
      <c r="AM3378" t="s">
        <v>64</v>
      </c>
      <c r="AN3378" t="s">
        <v>65</v>
      </c>
      <c r="AO3378" t="s">
        <v>5720</v>
      </c>
      <c r="AP3378" t="s">
        <v>5721</v>
      </c>
      <c r="AQ3378">
        <v>1</v>
      </c>
      <c r="AR3378" t="s">
        <v>5644</v>
      </c>
      <c r="AS3378" t="s">
        <v>5645</v>
      </c>
      <c r="AT3378" t="s">
        <v>58</v>
      </c>
      <c r="AU3378" t="s">
        <v>68</v>
      </c>
      <c r="AV3378" t="s">
        <v>69</v>
      </c>
      <c r="AW3378" s="1">
        <v>27973</v>
      </c>
      <c r="AX3378">
        <v>2</v>
      </c>
    </row>
    <row r="3379" spans="1:50">
      <c r="A3379">
        <v>227367</v>
      </c>
      <c r="B3379" t="str">
        <f>"104903489"</f>
        <v>104903489</v>
      </c>
      <c r="C3379" t="s">
        <v>105</v>
      </c>
      <c r="D3379" t="s">
        <v>3776</v>
      </c>
      <c r="E3379" t="s">
        <v>95</v>
      </c>
      <c r="F3379" t="s">
        <v>99</v>
      </c>
      <c r="G3379" t="s">
        <v>513</v>
      </c>
      <c r="H3379" t="str">
        <f>"ΜΑΡΚΟΥ ΠΟΛΙΟΥΔΑΚΗ 3 ΡΕΘΥΜΝΟ"</f>
        <v>ΜΑΡΚΟΥ ΠΟΛΙΟΥΔΑΚΗ 3 ΡΕΘΥΜΝΟ</v>
      </c>
      <c r="I3379">
        <v>74200</v>
      </c>
      <c r="J3379">
        <v>2831050751</v>
      </c>
      <c r="K3379">
        <v>6977013928</v>
      </c>
      <c r="M3379" t="s">
        <v>6529</v>
      </c>
      <c r="N3379" t="s">
        <v>232</v>
      </c>
      <c r="O3379" t="s">
        <v>233</v>
      </c>
      <c r="R3379" t="s">
        <v>57</v>
      </c>
      <c r="S3379">
        <v>5</v>
      </c>
      <c r="T3379">
        <v>654</v>
      </c>
      <c r="U3379" s="1">
        <v>40043</v>
      </c>
      <c r="V3379" t="s">
        <v>5644</v>
      </c>
      <c r="W3379" t="s">
        <v>5645</v>
      </c>
      <c r="X3379" t="s">
        <v>58</v>
      </c>
      <c r="Y3379">
        <v>21</v>
      </c>
      <c r="Z3379" t="s">
        <v>59</v>
      </c>
      <c r="AA3379" t="s">
        <v>59</v>
      </c>
      <c r="AB3379" t="s">
        <v>59</v>
      </c>
      <c r="AC3379" t="s">
        <v>59</v>
      </c>
      <c r="AD3379" t="s">
        <v>59</v>
      </c>
      <c r="AF3379" s="1">
        <v>40043</v>
      </c>
      <c r="AG3379" t="s">
        <v>137</v>
      </c>
      <c r="AH3379" t="s">
        <v>138</v>
      </c>
      <c r="AI3379" t="str">
        <f>"4150040"</f>
        <v>4150040</v>
      </c>
      <c r="AJ3379" t="s">
        <v>5661</v>
      </c>
      <c r="AK3379">
        <v>2831029048</v>
      </c>
      <c r="AL3379" t="s">
        <v>5662</v>
      </c>
      <c r="AM3379" t="s">
        <v>64</v>
      </c>
      <c r="AN3379" t="s">
        <v>65</v>
      </c>
      <c r="AO3379" t="s">
        <v>65</v>
      </c>
      <c r="AP3379" t="s">
        <v>65</v>
      </c>
      <c r="AQ3379">
        <v>1</v>
      </c>
      <c r="AR3379" t="s">
        <v>5644</v>
      </c>
      <c r="AS3379" t="s">
        <v>5645</v>
      </c>
      <c r="AT3379" t="s">
        <v>58</v>
      </c>
      <c r="AU3379" t="s">
        <v>68</v>
      </c>
      <c r="AV3379" t="s">
        <v>1092</v>
      </c>
      <c r="AW3379" s="1">
        <v>26971</v>
      </c>
      <c r="AX3379">
        <v>2</v>
      </c>
    </row>
    <row r="3380" spans="1:50">
      <c r="A3380">
        <v>226828</v>
      </c>
      <c r="B3380" t="str">
        <f>"113611800"</f>
        <v>113611800</v>
      </c>
      <c r="C3380" t="s">
        <v>105</v>
      </c>
      <c r="D3380" t="s">
        <v>3776</v>
      </c>
      <c r="E3380" t="s">
        <v>72</v>
      </c>
      <c r="F3380" t="s">
        <v>1414</v>
      </c>
      <c r="G3380" t="s">
        <v>4695</v>
      </c>
      <c r="H3380" t="str">
        <f>"ΑΓΙΟΥ ΛΟΥΚΑ 22 ΓΑΛΛΟΣ"</f>
        <v>ΑΓΙΟΥ ΛΟΥΚΑ 22 ΓΑΛΛΟΣ</v>
      </c>
      <c r="I3380">
        <v>74100</v>
      </c>
      <c r="J3380">
        <v>2551034711</v>
      </c>
      <c r="K3380">
        <v>6973902474</v>
      </c>
      <c r="N3380" t="s">
        <v>146</v>
      </c>
      <c r="O3380" t="s">
        <v>147</v>
      </c>
      <c r="P3380" t="s">
        <v>257</v>
      </c>
      <c r="Q3380" t="s">
        <v>258</v>
      </c>
      <c r="R3380" t="s">
        <v>57</v>
      </c>
      <c r="S3380">
        <v>7</v>
      </c>
      <c r="T3380">
        <v>654</v>
      </c>
      <c r="U3380" s="1">
        <v>40043</v>
      </c>
      <c r="V3380" t="s">
        <v>5644</v>
      </c>
      <c r="W3380" t="s">
        <v>5645</v>
      </c>
      <c r="X3380" t="s">
        <v>58</v>
      </c>
      <c r="Y3380">
        <v>21</v>
      </c>
      <c r="Z3380" t="s">
        <v>59</v>
      </c>
      <c r="AA3380" t="s">
        <v>59</v>
      </c>
      <c r="AB3380" t="s">
        <v>59</v>
      </c>
      <c r="AC3380" t="s">
        <v>59</v>
      </c>
      <c r="AD3380" t="s">
        <v>59</v>
      </c>
      <c r="AF3380" s="1">
        <v>40043</v>
      </c>
      <c r="AG3380" t="s">
        <v>125</v>
      </c>
      <c r="AH3380" t="s">
        <v>294</v>
      </c>
      <c r="AI3380" t="str">
        <f>"4101045"</f>
        <v>4101045</v>
      </c>
      <c r="AJ3380" t="s">
        <v>5677</v>
      </c>
      <c r="AK3380">
        <v>2831027553</v>
      </c>
      <c r="AL3380" t="s">
        <v>5678</v>
      </c>
      <c r="AM3380" t="s">
        <v>64</v>
      </c>
      <c r="AN3380" t="s">
        <v>65</v>
      </c>
      <c r="AO3380" t="s">
        <v>65</v>
      </c>
      <c r="AP3380" t="s">
        <v>65</v>
      </c>
      <c r="AQ3380">
        <v>1</v>
      </c>
      <c r="AR3380" t="s">
        <v>5644</v>
      </c>
      <c r="AS3380" t="s">
        <v>5645</v>
      </c>
      <c r="AT3380" t="s">
        <v>58</v>
      </c>
      <c r="AU3380" t="s">
        <v>68</v>
      </c>
      <c r="AV3380" t="s">
        <v>69</v>
      </c>
      <c r="AW3380" s="1">
        <v>27296</v>
      </c>
      <c r="AX3380">
        <v>2</v>
      </c>
    </row>
    <row r="3381" spans="1:50">
      <c r="B3381" t="str">
        <f>"073214025"</f>
        <v>073214025</v>
      </c>
      <c r="C3381" t="s">
        <v>105</v>
      </c>
      <c r="D3381" t="s">
        <v>6530</v>
      </c>
      <c r="E3381" t="s">
        <v>510</v>
      </c>
      <c r="F3381" t="s">
        <v>4071</v>
      </c>
      <c r="G3381" t="s">
        <v>6531</v>
      </c>
      <c r="H3381" t="str">
        <f>"ΝΑΥΑΡΙΝΟΥ 6 ΒΥΡΩΝΑΣ"</f>
        <v>ΝΑΥΑΡΙΝΟΥ 6 ΒΥΡΩΝΑΣ</v>
      </c>
      <c r="I3381">
        <v>16232</v>
      </c>
      <c r="J3381">
        <v>2107640320</v>
      </c>
      <c r="K3381">
        <v>6949446595</v>
      </c>
      <c r="N3381" t="s">
        <v>1647</v>
      </c>
      <c r="O3381" t="s">
        <v>1648</v>
      </c>
      <c r="R3381" t="s">
        <v>121</v>
      </c>
      <c r="S3381">
        <v>1</v>
      </c>
      <c r="T3381" t="s">
        <v>574</v>
      </c>
      <c r="U3381" s="1">
        <v>43378</v>
      </c>
      <c r="V3381" t="s">
        <v>5644</v>
      </c>
      <c r="W3381" t="s">
        <v>5645</v>
      </c>
      <c r="X3381" t="s">
        <v>58</v>
      </c>
      <c r="Y3381">
        <v>23</v>
      </c>
      <c r="Z3381" t="s">
        <v>59</v>
      </c>
      <c r="AA3381" t="s">
        <v>59</v>
      </c>
      <c r="AB3381" t="s">
        <v>59</v>
      </c>
      <c r="AC3381" t="s">
        <v>59</v>
      </c>
      <c r="AD3381" t="s">
        <v>59</v>
      </c>
      <c r="AF3381" s="1">
        <v>43381</v>
      </c>
      <c r="AG3381" t="s">
        <v>125</v>
      </c>
      <c r="AH3381" t="s">
        <v>126</v>
      </c>
      <c r="AI3381" t="str">
        <f>"4110010"</f>
        <v>4110010</v>
      </c>
      <c r="AJ3381" t="s">
        <v>5696</v>
      </c>
      <c r="AK3381">
        <v>2834061417</v>
      </c>
      <c r="AL3381" t="s">
        <v>5697</v>
      </c>
      <c r="AM3381" t="s">
        <v>64</v>
      </c>
      <c r="AN3381" t="s">
        <v>5672</v>
      </c>
      <c r="AO3381" t="s">
        <v>5698</v>
      </c>
      <c r="AP3381" t="s">
        <v>5699</v>
      </c>
      <c r="AQ3381">
        <v>3</v>
      </c>
      <c r="AR3381" t="s">
        <v>5644</v>
      </c>
      <c r="AS3381" t="s">
        <v>5645</v>
      </c>
      <c r="AT3381" t="s">
        <v>58</v>
      </c>
      <c r="AU3381" t="s">
        <v>164</v>
      </c>
      <c r="AV3381" t="s">
        <v>132</v>
      </c>
      <c r="AW3381" s="1">
        <v>24740</v>
      </c>
      <c r="AX3381">
        <v>2</v>
      </c>
    </row>
    <row r="3382" spans="1:50">
      <c r="A3382">
        <v>204870</v>
      </c>
      <c r="B3382" t="str">
        <f>"052246986"</f>
        <v>052246986</v>
      </c>
      <c r="C3382" t="s">
        <v>50</v>
      </c>
      <c r="D3382" t="s">
        <v>6532</v>
      </c>
      <c r="E3382" t="s">
        <v>2719</v>
      </c>
      <c r="F3382" t="s">
        <v>53</v>
      </c>
      <c r="G3382" t="s">
        <v>73</v>
      </c>
      <c r="H3382" t="str">
        <f>"ΜΠΑΡΟΤΣΗ 6 ΡΕΘΥΜΝΟ"</f>
        <v>ΜΠΑΡΟΤΣΗ 6 ΡΕΘΥΜΝΟ</v>
      </c>
      <c r="I3382">
        <v>74100</v>
      </c>
      <c r="J3382">
        <v>2831050806</v>
      </c>
      <c r="K3382">
        <v>6948752795</v>
      </c>
      <c r="N3382" t="s">
        <v>1989</v>
      </c>
      <c r="O3382" t="s">
        <v>1990</v>
      </c>
      <c r="R3382" t="s">
        <v>57</v>
      </c>
      <c r="S3382">
        <v>9</v>
      </c>
      <c r="T3382">
        <v>231</v>
      </c>
      <c r="U3382" s="1">
        <v>38230</v>
      </c>
      <c r="V3382" t="s">
        <v>5644</v>
      </c>
      <c r="W3382" t="s">
        <v>5645</v>
      </c>
      <c r="X3382" t="s">
        <v>58</v>
      </c>
      <c r="Y3382">
        <v>20</v>
      </c>
      <c r="Z3382" t="s">
        <v>59</v>
      </c>
      <c r="AA3382" t="s">
        <v>59</v>
      </c>
      <c r="AB3382" t="s">
        <v>59</v>
      </c>
      <c r="AC3382" t="s">
        <v>59</v>
      </c>
      <c r="AD3382" t="s">
        <v>59</v>
      </c>
      <c r="AF3382" s="1">
        <v>38230</v>
      </c>
      <c r="AG3382" t="s">
        <v>137</v>
      </c>
      <c r="AH3382" t="s">
        <v>138</v>
      </c>
      <c r="AI3382" t="str">
        <f>"4150040"</f>
        <v>4150040</v>
      </c>
      <c r="AJ3382" t="s">
        <v>5661</v>
      </c>
      <c r="AK3382">
        <v>2831029048</v>
      </c>
      <c r="AL3382" t="s">
        <v>5662</v>
      </c>
      <c r="AM3382" t="s">
        <v>64</v>
      </c>
      <c r="AN3382" t="s">
        <v>65</v>
      </c>
      <c r="AO3382" t="s">
        <v>65</v>
      </c>
      <c r="AP3382" t="s">
        <v>65</v>
      </c>
      <c r="AQ3382">
        <v>1</v>
      </c>
      <c r="AR3382" t="s">
        <v>5644</v>
      </c>
      <c r="AS3382" t="s">
        <v>5645</v>
      </c>
      <c r="AT3382" t="s">
        <v>58</v>
      </c>
      <c r="AU3382" t="s">
        <v>68</v>
      </c>
      <c r="AV3382" t="s">
        <v>69</v>
      </c>
      <c r="AW3382" s="1">
        <v>25468</v>
      </c>
      <c r="AX3382">
        <v>2</v>
      </c>
    </row>
    <row r="3383" spans="1:50">
      <c r="B3383" t="str">
        <f>"025600187"</f>
        <v>025600187</v>
      </c>
      <c r="C3383" t="s">
        <v>105</v>
      </c>
      <c r="D3383" t="s">
        <v>6533</v>
      </c>
      <c r="E3383" t="s">
        <v>166</v>
      </c>
      <c r="F3383" t="s">
        <v>4097</v>
      </c>
      <c r="G3383" t="s">
        <v>414</v>
      </c>
      <c r="H3383" t="str">
        <f>"ΦΑΝΑΡΙΟΥ  8 ΡΕΘΥΜΝΟ"</f>
        <v>ΦΑΝΑΡΙΟΥ  8 ΡΕΘΥΜΝΟ</v>
      </c>
      <c r="I3383">
        <v>74100</v>
      </c>
      <c r="J3383">
        <v>2831050071</v>
      </c>
      <c r="K3383">
        <v>6979241530</v>
      </c>
      <c r="M3383" t="s">
        <v>6534</v>
      </c>
      <c r="N3383" t="s">
        <v>292</v>
      </c>
      <c r="O3383" t="s">
        <v>293</v>
      </c>
      <c r="R3383" t="s">
        <v>159</v>
      </c>
      <c r="S3383">
        <v>4</v>
      </c>
      <c r="T3383" t="s">
        <v>416</v>
      </c>
      <c r="U3383" s="1">
        <v>43349</v>
      </c>
      <c r="V3383" t="s">
        <v>5644</v>
      </c>
      <c r="W3383" t="s">
        <v>5645</v>
      </c>
      <c r="X3383" t="s">
        <v>58</v>
      </c>
      <c r="Y3383">
        <v>21</v>
      </c>
      <c r="Z3383" t="s">
        <v>59</v>
      </c>
      <c r="AA3383" t="s">
        <v>59</v>
      </c>
      <c r="AB3383" t="s">
        <v>59</v>
      </c>
      <c r="AC3383" t="s">
        <v>59</v>
      </c>
      <c r="AD3383" t="s">
        <v>59</v>
      </c>
      <c r="AF3383" s="1">
        <v>43349</v>
      </c>
      <c r="AG3383" t="s">
        <v>125</v>
      </c>
      <c r="AH3383" t="s">
        <v>126</v>
      </c>
      <c r="AI3383" t="str">
        <f>"4110015"</f>
        <v>4110015</v>
      </c>
      <c r="AJ3383" t="s">
        <v>5723</v>
      </c>
      <c r="AK3383">
        <v>2831022741</v>
      </c>
      <c r="AL3383" t="s">
        <v>5724</v>
      </c>
      <c r="AM3383" t="s">
        <v>64</v>
      </c>
      <c r="AN3383" t="s">
        <v>65</v>
      </c>
      <c r="AO3383" t="s">
        <v>5720</v>
      </c>
      <c r="AP3383" t="s">
        <v>5721</v>
      </c>
      <c r="AQ3383">
        <v>1</v>
      </c>
      <c r="AR3383" t="s">
        <v>5644</v>
      </c>
      <c r="AS3383" t="s">
        <v>5645</v>
      </c>
      <c r="AT3383" t="s">
        <v>58</v>
      </c>
      <c r="AU3383" t="s">
        <v>419</v>
      </c>
      <c r="AV3383" t="s">
        <v>132</v>
      </c>
      <c r="AW3383" s="1">
        <v>19847</v>
      </c>
      <c r="AX3383">
        <v>2</v>
      </c>
    </row>
    <row r="3384" spans="1:50">
      <c r="A3384">
        <v>184877</v>
      </c>
      <c r="B3384" t="str">
        <f>"054832694"</f>
        <v>054832694</v>
      </c>
      <c r="C3384" t="s">
        <v>105</v>
      </c>
      <c r="D3384" t="s">
        <v>6533</v>
      </c>
      <c r="E3384" t="s">
        <v>166</v>
      </c>
      <c r="F3384" t="s">
        <v>106</v>
      </c>
      <c r="G3384" t="s">
        <v>367</v>
      </c>
      <c r="H3384" t="str">
        <f>"ΑΓΙΟΥ ΙΩΑΝΝΟΥ 34 ΡΕΘΥΜΝΟ"</f>
        <v>ΑΓΙΟΥ ΙΩΑΝΝΟΥ 34 ΡΕΘΥΜΝΟ</v>
      </c>
      <c r="I3384">
        <v>74100</v>
      </c>
      <c r="J3384">
        <v>2831053498</v>
      </c>
      <c r="K3384">
        <v>6932689715</v>
      </c>
      <c r="M3384" t="s">
        <v>6535</v>
      </c>
      <c r="N3384" t="s">
        <v>176</v>
      </c>
      <c r="O3384" t="s">
        <v>177</v>
      </c>
      <c r="R3384" t="s">
        <v>57</v>
      </c>
      <c r="S3384">
        <v>12</v>
      </c>
      <c r="T3384">
        <v>177</v>
      </c>
      <c r="U3384" s="1">
        <v>36403</v>
      </c>
      <c r="V3384" t="s">
        <v>5644</v>
      </c>
      <c r="W3384" t="s">
        <v>5645</v>
      </c>
      <c r="X3384" t="s">
        <v>58</v>
      </c>
      <c r="Y3384">
        <v>20</v>
      </c>
      <c r="Z3384" t="s">
        <v>59</v>
      </c>
      <c r="AA3384" t="s">
        <v>59</v>
      </c>
      <c r="AB3384" t="s">
        <v>59</v>
      </c>
      <c r="AC3384" t="s">
        <v>59</v>
      </c>
      <c r="AD3384" t="s">
        <v>59</v>
      </c>
      <c r="AF3384" s="1">
        <v>36411</v>
      </c>
      <c r="AG3384" t="s">
        <v>125</v>
      </c>
      <c r="AH3384" t="s">
        <v>126</v>
      </c>
      <c r="AI3384" t="str">
        <f>"4101030"</f>
        <v>4101030</v>
      </c>
      <c r="AJ3384" t="s">
        <v>5646</v>
      </c>
      <c r="AK3384">
        <v>2831022359</v>
      </c>
      <c r="AL3384" t="s">
        <v>5647</v>
      </c>
      <c r="AM3384" t="s">
        <v>64</v>
      </c>
      <c r="AN3384" t="s">
        <v>65</v>
      </c>
      <c r="AO3384" t="s">
        <v>65</v>
      </c>
      <c r="AP3384" t="s">
        <v>65</v>
      </c>
      <c r="AQ3384">
        <v>1</v>
      </c>
      <c r="AR3384" t="s">
        <v>5644</v>
      </c>
      <c r="AS3384" t="s">
        <v>5645</v>
      </c>
      <c r="AT3384" t="s">
        <v>58</v>
      </c>
      <c r="AU3384" t="s">
        <v>68</v>
      </c>
      <c r="AV3384" t="s">
        <v>132</v>
      </c>
      <c r="AW3384" s="1">
        <v>25098</v>
      </c>
      <c r="AX3384">
        <v>2</v>
      </c>
    </row>
    <row r="3385" spans="1:50">
      <c r="A3385">
        <v>211054</v>
      </c>
      <c r="B3385" t="str">
        <f>"101551289"</f>
        <v>101551289</v>
      </c>
      <c r="C3385" t="s">
        <v>105</v>
      </c>
      <c r="D3385" t="s">
        <v>6533</v>
      </c>
      <c r="E3385" t="s">
        <v>72</v>
      </c>
      <c r="F3385" t="s">
        <v>670</v>
      </c>
      <c r="G3385" t="s">
        <v>52</v>
      </c>
      <c r="H3385" t="str">
        <f>"ΧΟΥΛΙΟΠΟΥΛΟΥ 1 ΧΑΝΙΑ"</f>
        <v>ΧΟΥΛΙΟΠΟΥΛΟΥ 1 ΧΑΝΙΑ</v>
      </c>
      <c r="I3385">
        <v>73131</v>
      </c>
      <c r="K3385">
        <v>6973334536</v>
      </c>
      <c r="M3385" t="s">
        <v>6536</v>
      </c>
      <c r="N3385" t="s">
        <v>204</v>
      </c>
      <c r="O3385" t="s">
        <v>205</v>
      </c>
      <c r="R3385" t="s">
        <v>57</v>
      </c>
      <c r="S3385">
        <v>8</v>
      </c>
      <c r="T3385">
        <v>262</v>
      </c>
      <c r="U3385" s="1">
        <v>38629</v>
      </c>
      <c r="V3385" t="s">
        <v>5644</v>
      </c>
      <c r="W3385" t="s">
        <v>5645</v>
      </c>
      <c r="X3385" t="s">
        <v>58</v>
      </c>
      <c r="Y3385">
        <v>20</v>
      </c>
      <c r="Z3385" t="s">
        <v>59</v>
      </c>
      <c r="AA3385" t="s">
        <v>59</v>
      </c>
      <c r="AB3385" t="s">
        <v>59</v>
      </c>
      <c r="AC3385" t="s">
        <v>59</v>
      </c>
      <c r="AD3385" t="s">
        <v>59</v>
      </c>
      <c r="AF3385" s="1">
        <v>38630</v>
      </c>
      <c r="AG3385" t="s">
        <v>125</v>
      </c>
      <c r="AH3385" t="s">
        <v>126</v>
      </c>
      <c r="AI3385" t="str">
        <f>"4101030"</f>
        <v>4101030</v>
      </c>
      <c r="AJ3385" t="s">
        <v>5646</v>
      </c>
      <c r="AK3385">
        <v>2831022359</v>
      </c>
      <c r="AL3385" t="s">
        <v>5647</v>
      </c>
      <c r="AM3385" t="s">
        <v>64</v>
      </c>
      <c r="AN3385" t="s">
        <v>65</v>
      </c>
      <c r="AO3385" t="s">
        <v>65</v>
      </c>
      <c r="AP3385" t="s">
        <v>65</v>
      </c>
      <c r="AQ3385">
        <v>1</v>
      </c>
      <c r="AR3385" t="s">
        <v>5644</v>
      </c>
      <c r="AS3385" t="s">
        <v>5645</v>
      </c>
      <c r="AT3385" t="s">
        <v>58</v>
      </c>
      <c r="AU3385" t="s">
        <v>68</v>
      </c>
      <c r="AV3385" t="s">
        <v>132</v>
      </c>
      <c r="AW3385" s="1">
        <v>27760</v>
      </c>
      <c r="AX3385">
        <v>2</v>
      </c>
    </row>
    <row r="3386" spans="1:50">
      <c r="A3386">
        <v>151021</v>
      </c>
      <c r="B3386" t="str">
        <f>"028554215"</f>
        <v>028554215</v>
      </c>
      <c r="C3386" t="s">
        <v>105</v>
      </c>
      <c r="D3386" t="s">
        <v>5443</v>
      </c>
      <c r="E3386" t="s">
        <v>95</v>
      </c>
      <c r="F3386" t="s">
        <v>53</v>
      </c>
      <c r="G3386" t="s">
        <v>54</v>
      </c>
      <c r="H3386" t="str">
        <f>"ΚΟΥΡΜΟΥΛΗ 1 ΡΕΘΥΜΝΟ"</f>
        <v>ΚΟΥΡΜΟΥΛΗ 1 ΡΕΘΥΜΝΟ</v>
      </c>
      <c r="I3386">
        <v>74100</v>
      </c>
      <c r="N3386" t="s">
        <v>292</v>
      </c>
      <c r="O3386" t="s">
        <v>293</v>
      </c>
      <c r="R3386" t="s">
        <v>57</v>
      </c>
      <c r="S3386">
        <v>16</v>
      </c>
      <c r="T3386">
        <v>170</v>
      </c>
      <c r="U3386" s="1">
        <v>32016</v>
      </c>
      <c r="V3386" t="s">
        <v>5644</v>
      </c>
      <c r="W3386" t="s">
        <v>5645</v>
      </c>
      <c r="X3386" t="s">
        <v>58</v>
      </c>
      <c r="Y3386">
        <v>18</v>
      </c>
      <c r="Z3386" t="s">
        <v>59</v>
      </c>
      <c r="AA3386" t="s">
        <v>59</v>
      </c>
      <c r="AB3386" t="s">
        <v>59</v>
      </c>
      <c r="AC3386" t="s">
        <v>59</v>
      </c>
      <c r="AD3386" t="s">
        <v>59</v>
      </c>
      <c r="AF3386" s="1">
        <v>32016</v>
      </c>
      <c r="AG3386" t="s">
        <v>125</v>
      </c>
      <c r="AH3386" t="s">
        <v>126</v>
      </c>
      <c r="AI3386" t="str">
        <f>"4102020"</f>
        <v>4102020</v>
      </c>
      <c r="AJ3386" t="s">
        <v>5761</v>
      </c>
      <c r="AK3386">
        <v>2831061491</v>
      </c>
      <c r="AL3386" t="s">
        <v>5762</v>
      </c>
      <c r="AM3386" t="s">
        <v>64</v>
      </c>
      <c r="AN3386" t="s">
        <v>65</v>
      </c>
      <c r="AO3386" t="s">
        <v>5657</v>
      </c>
      <c r="AP3386" t="s">
        <v>1437</v>
      </c>
      <c r="AQ3386">
        <v>1</v>
      </c>
      <c r="AR3386" t="s">
        <v>5644</v>
      </c>
      <c r="AS3386" t="s">
        <v>5645</v>
      </c>
      <c r="AT3386" t="s">
        <v>58</v>
      </c>
      <c r="AU3386" t="s">
        <v>68</v>
      </c>
      <c r="AV3386" t="s">
        <v>69</v>
      </c>
      <c r="AW3386" s="1">
        <v>19633</v>
      </c>
      <c r="AX3386">
        <v>2</v>
      </c>
    </row>
    <row r="3387" spans="1:50">
      <c r="A3387">
        <v>700281</v>
      </c>
      <c r="B3387" t="str">
        <f>"115981203"</f>
        <v>115981203</v>
      </c>
      <c r="C3387" t="s">
        <v>105</v>
      </c>
      <c r="D3387" t="s">
        <v>6537</v>
      </c>
      <c r="E3387" t="s">
        <v>72</v>
      </c>
      <c r="F3387" t="s">
        <v>99</v>
      </c>
      <c r="G3387" t="s">
        <v>52</v>
      </c>
      <c r="H3387" t="str">
        <f>"ΒΕΡΝΑΡΔΑΚΗ 16 ΗΡΑΚΛΕΙΟ"</f>
        <v>ΒΕΡΝΑΡΔΑΚΗ 16 ΗΡΑΚΛΕΙΟ</v>
      </c>
      <c r="I3387">
        <v>71409</v>
      </c>
      <c r="J3387">
        <v>2810323180</v>
      </c>
      <c r="K3387">
        <v>6973794378</v>
      </c>
      <c r="N3387" t="s">
        <v>292</v>
      </c>
      <c r="O3387" t="s">
        <v>293</v>
      </c>
      <c r="R3387" t="s">
        <v>57</v>
      </c>
      <c r="S3387">
        <v>4</v>
      </c>
      <c r="T3387">
        <v>772</v>
      </c>
      <c r="U3387" s="1">
        <v>40413</v>
      </c>
      <c r="V3387" t="s">
        <v>5644</v>
      </c>
      <c r="W3387" t="s">
        <v>5645</v>
      </c>
      <c r="X3387" t="s">
        <v>58</v>
      </c>
      <c r="Y3387">
        <v>21</v>
      </c>
      <c r="Z3387" t="s">
        <v>59</v>
      </c>
      <c r="AA3387" t="s">
        <v>59</v>
      </c>
      <c r="AB3387" t="s">
        <v>59</v>
      </c>
      <c r="AC3387" t="s">
        <v>59</v>
      </c>
      <c r="AD3387" t="s">
        <v>59</v>
      </c>
      <c r="AF3387" s="1">
        <v>40413</v>
      </c>
      <c r="AG3387" t="s">
        <v>148</v>
      </c>
      <c r="AH3387" t="s">
        <v>149</v>
      </c>
      <c r="AI3387" t="str">
        <f>"4152010"</f>
        <v>4152010</v>
      </c>
      <c r="AJ3387" t="s">
        <v>5739</v>
      </c>
      <c r="AK3387">
        <v>2834031205</v>
      </c>
      <c r="AL3387" t="s">
        <v>5740</v>
      </c>
      <c r="AM3387" t="s">
        <v>64</v>
      </c>
      <c r="AN3387" t="s">
        <v>5737</v>
      </c>
      <c r="AO3387" t="s">
        <v>5737</v>
      </c>
      <c r="AP3387" t="s">
        <v>5737</v>
      </c>
      <c r="AQ3387">
        <v>3</v>
      </c>
      <c r="AR3387" t="s">
        <v>5644</v>
      </c>
      <c r="AS3387" t="s">
        <v>5645</v>
      </c>
      <c r="AT3387" t="s">
        <v>58</v>
      </c>
      <c r="AU3387" t="s">
        <v>68</v>
      </c>
      <c r="AV3387" t="s">
        <v>69</v>
      </c>
      <c r="AW3387" s="1">
        <v>27870</v>
      </c>
      <c r="AX3387">
        <v>2</v>
      </c>
    </row>
    <row r="3388" spans="1:50">
      <c r="A3388">
        <v>186948</v>
      </c>
      <c r="B3388" t="str">
        <f>"038736319"</f>
        <v>038736319</v>
      </c>
      <c r="C3388" t="s">
        <v>105</v>
      </c>
      <c r="D3388" t="s">
        <v>6537</v>
      </c>
      <c r="E3388" t="s">
        <v>72</v>
      </c>
      <c r="F3388" t="s">
        <v>581</v>
      </c>
      <c r="G3388" t="s">
        <v>83</v>
      </c>
      <c r="H3388" t="str">
        <f>"ΑΡΗ ΒΕΛΟΥΧΙΩΤΗ 3 ΡΕΘΥΜΝΟ"</f>
        <v>ΑΡΗ ΒΕΛΟΥΧΙΩΤΗ 3 ΡΕΘΥΜΝΟ</v>
      </c>
      <c r="I3388">
        <v>74100</v>
      </c>
      <c r="J3388">
        <v>2831028707</v>
      </c>
      <c r="K3388">
        <v>6976434158</v>
      </c>
      <c r="N3388" t="s">
        <v>176</v>
      </c>
      <c r="O3388" t="s">
        <v>177</v>
      </c>
      <c r="R3388" t="s">
        <v>57</v>
      </c>
      <c r="S3388">
        <v>11</v>
      </c>
      <c r="T3388">
        <v>251</v>
      </c>
      <c r="U3388" s="1">
        <v>36769</v>
      </c>
      <c r="V3388" t="s">
        <v>5644</v>
      </c>
      <c r="W3388" t="s">
        <v>5645</v>
      </c>
      <c r="X3388" t="s">
        <v>58</v>
      </c>
      <c r="Y3388">
        <v>18</v>
      </c>
      <c r="Z3388" t="s">
        <v>59</v>
      </c>
      <c r="AA3388" t="s">
        <v>59</v>
      </c>
      <c r="AB3388" t="s">
        <v>59</v>
      </c>
      <c r="AC3388" t="s">
        <v>59</v>
      </c>
      <c r="AD3388" t="s">
        <v>59</v>
      </c>
      <c r="AF3388" s="1">
        <v>36769</v>
      </c>
      <c r="AG3388" t="s">
        <v>148</v>
      </c>
      <c r="AH3388" t="s">
        <v>149</v>
      </c>
      <c r="AI3388" t="str">
        <f>"4151020"</f>
        <v>4151020</v>
      </c>
      <c r="AJ3388" t="s">
        <v>5725</v>
      </c>
      <c r="AK3388">
        <v>2831022475</v>
      </c>
      <c r="AL3388" t="s">
        <v>5726</v>
      </c>
      <c r="AM3388" t="s">
        <v>64</v>
      </c>
      <c r="AN3388" t="s">
        <v>65</v>
      </c>
      <c r="AO3388" t="s">
        <v>65</v>
      </c>
      <c r="AP3388" t="s">
        <v>65</v>
      </c>
      <c r="AQ3388">
        <v>1</v>
      </c>
      <c r="AR3388" t="s">
        <v>5644</v>
      </c>
      <c r="AS3388" t="s">
        <v>5645</v>
      </c>
      <c r="AT3388" t="s">
        <v>58</v>
      </c>
      <c r="AU3388" t="s">
        <v>68</v>
      </c>
      <c r="AV3388" t="s">
        <v>69</v>
      </c>
      <c r="AW3388" s="1">
        <v>23994</v>
      </c>
      <c r="AX3388">
        <v>2</v>
      </c>
    </row>
    <row r="3389" spans="1:50">
      <c r="A3389">
        <v>703958</v>
      </c>
      <c r="B3389" t="str">
        <f>"100799795"</f>
        <v>100799795</v>
      </c>
      <c r="C3389" t="s">
        <v>50</v>
      </c>
      <c r="D3389" t="s">
        <v>6538</v>
      </c>
      <c r="E3389" t="s">
        <v>109</v>
      </c>
      <c r="F3389" t="s">
        <v>95</v>
      </c>
      <c r="G3389" t="s">
        <v>52</v>
      </c>
      <c r="H3389" t="str">
        <f>"Ν. ΜΠΙΡΑΚΗ 4 "</f>
        <v xml:space="preserve">Ν. ΜΠΙΡΑΚΗ 4 </v>
      </c>
      <c r="I3389">
        <v>74100</v>
      </c>
      <c r="J3389">
        <v>2107657144</v>
      </c>
      <c r="K3389">
        <v>6946466534</v>
      </c>
      <c r="N3389" t="s">
        <v>907</v>
      </c>
      <c r="O3389" t="s">
        <v>908</v>
      </c>
      <c r="R3389" t="s">
        <v>57</v>
      </c>
      <c r="S3389">
        <v>4</v>
      </c>
      <c r="T3389" t="s">
        <v>3204</v>
      </c>
      <c r="U3389" s="1">
        <v>40413</v>
      </c>
      <c r="V3389" t="s">
        <v>5644</v>
      </c>
      <c r="W3389" t="s">
        <v>5645</v>
      </c>
      <c r="X3389" t="s">
        <v>58</v>
      </c>
      <c r="Y3389">
        <v>21</v>
      </c>
      <c r="Z3389" t="s">
        <v>59</v>
      </c>
      <c r="AA3389" t="s">
        <v>59</v>
      </c>
      <c r="AB3389" t="s">
        <v>59</v>
      </c>
      <c r="AC3389" t="s">
        <v>59</v>
      </c>
      <c r="AD3389" t="s">
        <v>59</v>
      </c>
      <c r="AF3389" s="1">
        <v>42716</v>
      </c>
      <c r="AG3389" t="s">
        <v>137</v>
      </c>
      <c r="AH3389" t="s">
        <v>138</v>
      </c>
      <c r="AI3389" t="str">
        <f>"4150040"</f>
        <v>4150040</v>
      </c>
      <c r="AJ3389" t="s">
        <v>5661</v>
      </c>
      <c r="AK3389">
        <v>2831029048</v>
      </c>
      <c r="AL3389" t="s">
        <v>5662</v>
      </c>
      <c r="AM3389" t="s">
        <v>64</v>
      </c>
      <c r="AN3389" t="s">
        <v>65</v>
      </c>
      <c r="AO3389" t="s">
        <v>65</v>
      </c>
      <c r="AP3389" t="s">
        <v>65</v>
      </c>
      <c r="AQ3389">
        <v>1</v>
      </c>
      <c r="AR3389" t="s">
        <v>5644</v>
      </c>
      <c r="AS3389" t="s">
        <v>5645</v>
      </c>
      <c r="AT3389" t="s">
        <v>58</v>
      </c>
      <c r="AU3389" t="s">
        <v>68</v>
      </c>
      <c r="AV3389" t="s">
        <v>69</v>
      </c>
      <c r="AW3389" s="1">
        <v>29587</v>
      </c>
      <c r="AX3389">
        <v>2</v>
      </c>
    </row>
    <row r="3390" spans="1:50">
      <c r="B3390" t="str">
        <f>"121502495"</f>
        <v>121502495</v>
      </c>
      <c r="C3390" t="s">
        <v>50</v>
      </c>
      <c r="D3390" t="s">
        <v>6538</v>
      </c>
      <c r="E3390" t="s">
        <v>809</v>
      </c>
      <c r="F3390" t="s">
        <v>450</v>
      </c>
      <c r="H3390" t="str">
        <f>" "</f>
        <v xml:space="preserve"> </v>
      </c>
      <c r="N3390" t="s">
        <v>547</v>
      </c>
      <c r="O3390" t="s">
        <v>548</v>
      </c>
      <c r="R3390" t="s">
        <v>121</v>
      </c>
      <c r="S3390">
        <v>1</v>
      </c>
      <c r="T3390" t="s">
        <v>416</v>
      </c>
      <c r="U3390" s="1">
        <v>43349</v>
      </c>
      <c r="V3390" t="s">
        <v>5644</v>
      </c>
      <c r="W3390" t="s">
        <v>5645</v>
      </c>
      <c r="X3390" t="s">
        <v>58</v>
      </c>
      <c r="Y3390">
        <v>23</v>
      </c>
      <c r="Z3390" t="s">
        <v>59</v>
      </c>
      <c r="AA3390" t="s">
        <v>59</v>
      </c>
      <c r="AB3390" t="s">
        <v>59</v>
      </c>
      <c r="AC3390" t="s">
        <v>59</v>
      </c>
      <c r="AD3390" t="s">
        <v>59</v>
      </c>
      <c r="AF3390" s="1">
        <v>43349</v>
      </c>
      <c r="AG3390" t="s">
        <v>137</v>
      </c>
      <c r="AH3390" t="s">
        <v>138</v>
      </c>
      <c r="AI3390" t="str">
        <f>"4150040"</f>
        <v>4150040</v>
      </c>
      <c r="AJ3390" t="s">
        <v>5661</v>
      </c>
      <c r="AK3390">
        <v>2831029048</v>
      </c>
      <c r="AL3390" t="s">
        <v>5662</v>
      </c>
      <c r="AM3390" t="s">
        <v>64</v>
      </c>
      <c r="AN3390" t="s">
        <v>65</v>
      </c>
      <c r="AO3390" t="s">
        <v>65</v>
      </c>
      <c r="AP3390" t="s">
        <v>65</v>
      </c>
      <c r="AQ3390">
        <v>1</v>
      </c>
      <c r="AR3390" t="s">
        <v>5644</v>
      </c>
      <c r="AS3390" t="s">
        <v>5645</v>
      </c>
      <c r="AT3390" t="s">
        <v>58</v>
      </c>
      <c r="AU3390" t="s">
        <v>419</v>
      </c>
      <c r="AV3390" t="s">
        <v>132</v>
      </c>
      <c r="AW3390" s="1">
        <v>28491</v>
      </c>
      <c r="AX3390">
        <v>2</v>
      </c>
    </row>
    <row r="3391" spans="1:50">
      <c r="A3391">
        <v>224003</v>
      </c>
      <c r="B3391" t="str">
        <f>"077472392"</f>
        <v>077472392</v>
      </c>
      <c r="C3391" t="s">
        <v>50</v>
      </c>
      <c r="D3391" t="s">
        <v>6539</v>
      </c>
      <c r="E3391" t="s">
        <v>6540</v>
      </c>
      <c r="F3391" t="s">
        <v>72</v>
      </c>
      <c r="G3391" t="s">
        <v>83</v>
      </c>
      <c r="H3391" t="str">
        <f>"ΕΡΩΤΟΚΡΙΤΟΥ 1 ΧΑΝΙΑ"</f>
        <v>ΕΡΩΤΟΚΡΙΤΟΥ 1 ΧΑΝΙΑ</v>
      </c>
      <c r="I3391">
        <v>73134</v>
      </c>
      <c r="J3391">
        <v>2821045922</v>
      </c>
      <c r="K3391">
        <v>6946284147</v>
      </c>
      <c r="M3391" t="s">
        <v>6541</v>
      </c>
      <c r="N3391" t="s">
        <v>478</v>
      </c>
      <c r="O3391" t="s">
        <v>479</v>
      </c>
      <c r="R3391" t="s">
        <v>57</v>
      </c>
      <c r="S3391">
        <v>8</v>
      </c>
      <c r="T3391">
        <v>775</v>
      </c>
      <c r="U3391" s="1">
        <v>39680</v>
      </c>
      <c r="V3391" t="s">
        <v>5644</v>
      </c>
      <c r="W3391" t="s">
        <v>5645</v>
      </c>
      <c r="X3391" t="s">
        <v>58</v>
      </c>
      <c r="Y3391">
        <v>21</v>
      </c>
      <c r="Z3391" t="s">
        <v>59</v>
      </c>
      <c r="AA3391" t="s">
        <v>59</v>
      </c>
      <c r="AB3391" t="s">
        <v>59</v>
      </c>
      <c r="AC3391" t="s">
        <v>59</v>
      </c>
      <c r="AD3391" t="s">
        <v>59</v>
      </c>
      <c r="AF3391" s="1">
        <v>39680</v>
      </c>
      <c r="AG3391" t="s">
        <v>125</v>
      </c>
      <c r="AH3391" t="s">
        <v>126</v>
      </c>
      <c r="AI3391" t="str">
        <f>"4102010"</f>
        <v>4102010</v>
      </c>
      <c r="AJ3391" t="s">
        <v>5735</v>
      </c>
      <c r="AK3391">
        <v>2834031331</v>
      </c>
      <c r="AL3391" t="s">
        <v>5736</v>
      </c>
      <c r="AM3391" t="s">
        <v>64</v>
      </c>
      <c r="AN3391" t="s">
        <v>5737</v>
      </c>
      <c r="AO3391" t="s">
        <v>5737</v>
      </c>
      <c r="AP3391" t="s">
        <v>5737</v>
      </c>
      <c r="AQ3391">
        <v>3</v>
      </c>
      <c r="AR3391" t="s">
        <v>5644</v>
      </c>
      <c r="AS3391" t="s">
        <v>5645</v>
      </c>
      <c r="AT3391" t="s">
        <v>58</v>
      </c>
      <c r="AU3391" t="s">
        <v>68</v>
      </c>
      <c r="AV3391" t="s">
        <v>132</v>
      </c>
      <c r="AW3391" s="1">
        <v>26726</v>
      </c>
      <c r="AX3391">
        <v>2</v>
      </c>
    </row>
    <row r="3392" spans="1:50">
      <c r="A3392">
        <v>222609</v>
      </c>
      <c r="B3392" t="str">
        <f>"100098120"</f>
        <v>100098120</v>
      </c>
      <c r="C3392" t="s">
        <v>50</v>
      </c>
      <c r="D3392" t="s">
        <v>6542</v>
      </c>
      <c r="E3392" t="s">
        <v>83</v>
      </c>
      <c r="F3392" t="s">
        <v>72</v>
      </c>
      <c r="G3392" t="s">
        <v>340</v>
      </c>
      <c r="H3392" t="str">
        <f>"ΑΞΟΥ 6 ΜΑΣΤΑΜΠΑΣ"</f>
        <v>ΑΞΟΥ 6 ΜΑΣΤΑΜΠΑΣ</v>
      </c>
      <c r="I3392">
        <v>74100</v>
      </c>
      <c r="J3392">
        <v>2831022603</v>
      </c>
      <c r="K3392">
        <v>6944574413</v>
      </c>
      <c r="M3392" t="s">
        <v>6543</v>
      </c>
      <c r="N3392" t="s">
        <v>146</v>
      </c>
      <c r="O3392" t="s">
        <v>147</v>
      </c>
      <c r="R3392" t="s">
        <v>57</v>
      </c>
      <c r="S3392">
        <v>8</v>
      </c>
      <c r="T3392">
        <v>775</v>
      </c>
      <c r="U3392" s="1">
        <v>39680</v>
      </c>
      <c r="V3392" t="s">
        <v>5644</v>
      </c>
      <c r="W3392" t="s">
        <v>5645</v>
      </c>
      <c r="X3392" t="s">
        <v>58</v>
      </c>
      <c r="Y3392">
        <v>20</v>
      </c>
      <c r="Z3392" t="s">
        <v>59</v>
      </c>
      <c r="AA3392" t="s">
        <v>59</v>
      </c>
      <c r="AB3392" t="s">
        <v>59</v>
      </c>
      <c r="AC3392" t="s">
        <v>59</v>
      </c>
      <c r="AD3392" t="s">
        <v>59</v>
      </c>
      <c r="AF3392" s="1">
        <v>39681</v>
      </c>
      <c r="AG3392" t="s">
        <v>345</v>
      </c>
      <c r="AH3392" t="s">
        <v>346</v>
      </c>
      <c r="AI3392" t="str">
        <f>"4141010"</f>
        <v>4141010</v>
      </c>
      <c r="AJ3392" t="s">
        <v>6121</v>
      </c>
      <c r="AK3392">
        <v>2831035068</v>
      </c>
      <c r="AL3392" t="s">
        <v>6122</v>
      </c>
      <c r="AM3392" t="s">
        <v>64</v>
      </c>
      <c r="AN3392" t="s">
        <v>65</v>
      </c>
      <c r="AO3392" t="s">
        <v>65</v>
      </c>
      <c r="AP3392" t="s">
        <v>65</v>
      </c>
      <c r="AQ3392">
        <v>1</v>
      </c>
      <c r="AR3392" t="s">
        <v>5644</v>
      </c>
      <c r="AS3392" t="s">
        <v>5645</v>
      </c>
      <c r="AT3392" t="s">
        <v>58</v>
      </c>
      <c r="AU3392" t="s">
        <v>68</v>
      </c>
      <c r="AV3392" t="s">
        <v>69</v>
      </c>
      <c r="AW3392" s="1">
        <v>27201</v>
      </c>
      <c r="AX3392">
        <v>2</v>
      </c>
    </row>
    <row r="3393" spans="1:50">
      <c r="B3393" t="str">
        <f>"113648539"</f>
        <v>113648539</v>
      </c>
      <c r="C3393" t="s">
        <v>50</v>
      </c>
      <c r="D3393" t="s">
        <v>6542</v>
      </c>
      <c r="E3393" t="s">
        <v>52</v>
      </c>
      <c r="F3393" t="s">
        <v>72</v>
      </c>
      <c r="G3393" t="s">
        <v>340</v>
      </c>
      <c r="H3393" t="str">
        <f>" "</f>
        <v xml:space="preserve"> </v>
      </c>
      <c r="N3393" t="s">
        <v>536</v>
      </c>
      <c r="O3393" t="s">
        <v>537</v>
      </c>
      <c r="R3393" t="s">
        <v>121</v>
      </c>
      <c r="S3393">
        <v>3</v>
      </c>
      <c r="T3393" t="s">
        <v>1944</v>
      </c>
      <c r="U3393" s="1">
        <v>43364</v>
      </c>
      <c r="V3393" t="s">
        <v>5644</v>
      </c>
      <c r="W3393" t="s">
        <v>5645</v>
      </c>
      <c r="X3393" t="s">
        <v>58</v>
      </c>
      <c r="Y3393">
        <v>23</v>
      </c>
      <c r="Z3393" t="s">
        <v>59</v>
      </c>
      <c r="AA3393" t="s">
        <v>59</v>
      </c>
      <c r="AB3393" t="s">
        <v>59</v>
      </c>
      <c r="AD3393" t="s">
        <v>59</v>
      </c>
      <c r="AF3393" s="1">
        <v>43367</v>
      </c>
      <c r="AG3393" t="s">
        <v>345</v>
      </c>
      <c r="AH3393" t="s">
        <v>346</v>
      </c>
      <c r="AI3393" t="str">
        <f>"4141010"</f>
        <v>4141010</v>
      </c>
      <c r="AJ3393" t="s">
        <v>6121</v>
      </c>
      <c r="AK3393">
        <v>2831035068</v>
      </c>
      <c r="AL3393" t="s">
        <v>6122</v>
      </c>
      <c r="AM3393" t="s">
        <v>64</v>
      </c>
      <c r="AN3393" t="s">
        <v>65</v>
      </c>
      <c r="AO3393" t="s">
        <v>65</v>
      </c>
      <c r="AP3393" t="s">
        <v>65</v>
      </c>
      <c r="AQ3393">
        <v>1</v>
      </c>
      <c r="AR3393" t="s">
        <v>5644</v>
      </c>
      <c r="AS3393" t="s">
        <v>5645</v>
      </c>
      <c r="AT3393" t="s">
        <v>58</v>
      </c>
      <c r="AU3393" t="s">
        <v>350</v>
      </c>
      <c r="AV3393" t="s">
        <v>132</v>
      </c>
      <c r="AW3393" s="1">
        <v>28024</v>
      </c>
      <c r="AX3393">
        <v>2</v>
      </c>
    </row>
    <row r="3394" spans="1:50">
      <c r="B3394" t="str">
        <f>"064689660"</f>
        <v>064689660</v>
      </c>
      <c r="C3394" t="s">
        <v>50</v>
      </c>
      <c r="D3394" t="s">
        <v>3788</v>
      </c>
      <c r="E3394" t="s">
        <v>181</v>
      </c>
      <c r="F3394" t="s">
        <v>95</v>
      </c>
      <c r="G3394" t="s">
        <v>620</v>
      </c>
      <c r="H3394" t="str">
        <f>" "</f>
        <v xml:space="preserve"> </v>
      </c>
      <c r="K3394">
        <v>6979126661</v>
      </c>
      <c r="M3394" t="s">
        <v>6544</v>
      </c>
      <c r="N3394" t="s">
        <v>292</v>
      </c>
      <c r="O3394" t="s">
        <v>293</v>
      </c>
      <c r="R3394" t="s">
        <v>159</v>
      </c>
      <c r="S3394">
        <v>2</v>
      </c>
      <c r="T3394" t="s">
        <v>574</v>
      </c>
      <c r="U3394" s="1">
        <v>43378</v>
      </c>
      <c r="V3394" t="s">
        <v>5644</v>
      </c>
      <c r="W3394" t="s">
        <v>5645</v>
      </c>
      <c r="X3394" t="s">
        <v>58</v>
      </c>
      <c r="Y3394">
        <v>23</v>
      </c>
      <c r="Z3394" t="s">
        <v>59</v>
      </c>
      <c r="AA3394" t="s">
        <v>59</v>
      </c>
      <c r="AB3394" t="s">
        <v>59</v>
      </c>
      <c r="AD3394" t="s">
        <v>59</v>
      </c>
      <c r="AF3394" s="1">
        <v>43381</v>
      </c>
      <c r="AI3394" t="str">
        <f>""</f>
        <v/>
      </c>
      <c r="AS3394" t="s">
        <v>5645</v>
      </c>
      <c r="AT3394" t="s">
        <v>58</v>
      </c>
      <c r="AU3394" t="s">
        <v>164</v>
      </c>
      <c r="AW3394" s="1">
        <v>27615</v>
      </c>
      <c r="AX3394">
        <v>2</v>
      </c>
    </row>
    <row r="3395" spans="1:50">
      <c r="A3395">
        <v>206488</v>
      </c>
      <c r="B3395" t="str">
        <f>"071790149"</f>
        <v>071790149</v>
      </c>
      <c r="C3395" t="s">
        <v>50</v>
      </c>
      <c r="D3395" t="s">
        <v>6545</v>
      </c>
      <c r="E3395" t="s">
        <v>396</v>
      </c>
      <c r="F3395" t="s">
        <v>1559</v>
      </c>
      <c r="G3395" t="s">
        <v>155</v>
      </c>
      <c r="H3395" t="str">
        <f>"ΑΝΩΓΕΙΑ  ΜΥΛΟΠΟΤΑΜΟΣ ΡΕΘΥΜΝΟΥ"</f>
        <v>ΑΝΩΓΕΙΑ  ΜΥΛΟΠΟΤΑΜΟΣ ΡΕΘΥΜΝΟΥ</v>
      </c>
      <c r="I3395">
        <v>74051</v>
      </c>
      <c r="J3395">
        <v>2834031573</v>
      </c>
      <c r="K3395">
        <v>6977580994</v>
      </c>
      <c r="N3395" t="s">
        <v>157</v>
      </c>
      <c r="O3395" t="s">
        <v>158</v>
      </c>
      <c r="R3395" t="s">
        <v>57</v>
      </c>
      <c r="S3395">
        <v>9</v>
      </c>
      <c r="T3395">
        <v>218</v>
      </c>
      <c r="U3395" s="1">
        <v>38596</v>
      </c>
      <c r="V3395" t="s">
        <v>5644</v>
      </c>
      <c r="W3395" t="s">
        <v>5645</v>
      </c>
      <c r="X3395" t="s">
        <v>58</v>
      </c>
      <c r="Y3395">
        <v>20</v>
      </c>
      <c r="Z3395" t="s">
        <v>59</v>
      </c>
      <c r="AA3395" t="s">
        <v>59</v>
      </c>
      <c r="AB3395" t="s">
        <v>59</v>
      </c>
      <c r="AC3395" t="s">
        <v>59</v>
      </c>
      <c r="AD3395" t="s">
        <v>59</v>
      </c>
      <c r="AF3395" s="1">
        <v>38596</v>
      </c>
      <c r="AG3395" t="s">
        <v>125</v>
      </c>
      <c r="AH3395" t="s">
        <v>126</v>
      </c>
      <c r="AI3395" t="str">
        <f>"4102010"</f>
        <v>4102010</v>
      </c>
      <c r="AJ3395" t="s">
        <v>5735</v>
      </c>
      <c r="AK3395">
        <v>2834031331</v>
      </c>
      <c r="AL3395" t="s">
        <v>5736</v>
      </c>
      <c r="AM3395" t="s">
        <v>64</v>
      </c>
      <c r="AN3395" t="s">
        <v>5737</v>
      </c>
      <c r="AO3395" t="s">
        <v>5737</v>
      </c>
      <c r="AP3395" t="s">
        <v>5737</v>
      </c>
      <c r="AQ3395">
        <v>3</v>
      </c>
      <c r="AR3395" t="s">
        <v>5644</v>
      </c>
      <c r="AS3395" t="s">
        <v>5645</v>
      </c>
      <c r="AT3395" t="s">
        <v>58</v>
      </c>
      <c r="AU3395" t="s">
        <v>68</v>
      </c>
      <c r="AV3395" t="s">
        <v>69</v>
      </c>
      <c r="AW3395" s="1">
        <v>23573</v>
      </c>
      <c r="AX3395">
        <v>2</v>
      </c>
    </row>
    <row r="3396" spans="1:50">
      <c r="B3396" t="str">
        <f>"109122698"</f>
        <v>109122698</v>
      </c>
      <c r="C3396" t="s">
        <v>50</v>
      </c>
      <c r="D3396" t="s">
        <v>3807</v>
      </c>
      <c r="E3396" t="s">
        <v>842</v>
      </c>
      <c r="F3396" t="s">
        <v>53</v>
      </c>
      <c r="G3396" t="s">
        <v>4602</v>
      </c>
      <c r="H3396" t="str">
        <f>"ΧΑΤΖΗΜΙΧΑΛΗ ΓΙΑΝΝΑΡΗ 23 ΡΕΘΥΜΝΟ"</f>
        <v>ΧΑΤΖΗΜΙΧΑΛΗ ΓΙΑΝΝΑΡΗ 23 ΡΕΘΥΜΝΟ</v>
      </c>
      <c r="I3396">
        <v>74100</v>
      </c>
      <c r="J3396">
        <v>2831036111</v>
      </c>
      <c r="K3396">
        <v>6978007860</v>
      </c>
      <c r="N3396" t="s">
        <v>292</v>
      </c>
      <c r="O3396" t="s">
        <v>293</v>
      </c>
      <c r="R3396" t="s">
        <v>159</v>
      </c>
      <c r="S3396">
        <v>3</v>
      </c>
      <c r="T3396" t="s">
        <v>416</v>
      </c>
      <c r="U3396" s="1">
        <v>43349</v>
      </c>
      <c r="V3396" t="s">
        <v>5644</v>
      </c>
      <c r="W3396" t="s">
        <v>5645</v>
      </c>
      <c r="X3396" t="s">
        <v>58</v>
      </c>
      <c r="Y3396">
        <v>23</v>
      </c>
      <c r="Z3396" t="s">
        <v>59</v>
      </c>
      <c r="AA3396" t="s">
        <v>59</v>
      </c>
      <c r="AB3396" t="s">
        <v>59</v>
      </c>
      <c r="AC3396" t="s">
        <v>59</v>
      </c>
      <c r="AD3396" t="s">
        <v>59</v>
      </c>
      <c r="AF3396" s="1">
        <v>43349</v>
      </c>
      <c r="AG3396" t="s">
        <v>137</v>
      </c>
      <c r="AH3396" t="s">
        <v>138</v>
      </c>
      <c r="AI3396" t="str">
        <f>"4152001"</f>
        <v>4152001</v>
      </c>
      <c r="AJ3396" t="s">
        <v>5665</v>
      </c>
      <c r="AK3396">
        <v>2831024375</v>
      </c>
      <c r="AL3396" t="s">
        <v>5666</v>
      </c>
      <c r="AM3396" t="s">
        <v>64</v>
      </c>
      <c r="AN3396" t="s">
        <v>65</v>
      </c>
      <c r="AO3396" t="s">
        <v>65</v>
      </c>
      <c r="AP3396" t="s">
        <v>65</v>
      </c>
      <c r="AQ3396">
        <v>1</v>
      </c>
      <c r="AR3396" t="s">
        <v>5644</v>
      </c>
      <c r="AS3396" t="s">
        <v>5645</v>
      </c>
      <c r="AT3396" t="s">
        <v>58</v>
      </c>
      <c r="AU3396" t="s">
        <v>419</v>
      </c>
      <c r="AV3396" t="s">
        <v>132</v>
      </c>
      <c r="AW3396" s="1">
        <v>28221</v>
      </c>
      <c r="AX3396">
        <v>2</v>
      </c>
    </row>
    <row r="3397" spans="1:50">
      <c r="A3397">
        <v>207111</v>
      </c>
      <c r="B3397" t="str">
        <f>"029373033"</f>
        <v>029373033</v>
      </c>
      <c r="C3397" t="s">
        <v>105</v>
      </c>
      <c r="D3397" t="s">
        <v>6546</v>
      </c>
      <c r="E3397" t="s">
        <v>166</v>
      </c>
      <c r="F3397" t="s">
        <v>154</v>
      </c>
      <c r="G3397" t="s">
        <v>440</v>
      </c>
      <c r="H3397" t="str">
        <f>"ΔΗΜΟΚΡΑΤΙΑΣ 34 ΡΕΘΥΜΝΟ"</f>
        <v>ΔΗΜΟΚΡΑΤΙΑΣ 34 ΡΕΘΥΜΝΟ</v>
      </c>
      <c r="I3397">
        <v>74100</v>
      </c>
      <c r="J3397">
        <v>2831027565</v>
      </c>
      <c r="K3397">
        <v>6974759646</v>
      </c>
      <c r="N3397" t="s">
        <v>292</v>
      </c>
      <c r="O3397" t="s">
        <v>293</v>
      </c>
      <c r="R3397" t="s">
        <v>57</v>
      </c>
      <c r="S3397">
        <v>9</v>
      </c>
      <c r="T3397">
        <v>218</v>
      </c>
      <c r="U3397" s="1">
        <v>38596</v>
      </c>
      <c r="V3397" t="s">
        <v>5644</v>
      </c>
      <c r="W3397" t="s">
        <v>5645</v>
      </c>
      <c r="X3397" t="s">
        <v>58</v>
      </c>
      <c r="Y3397">
        <v>20</v>
      </c>
      <c r="Z3397" t="s">
        <v>59</v>
      </c>
      <c r="AA3397" t="s">
        <v>59</v>
      </c>
      <c r="AB3397" t="s">
        <v>59</v>
      </c>
      <c r="AC3397" t="s">
        <v>59</v>
      </c>
      <c r="AD3397" t="s">
        <v>59</v>
      </c>
      <c r="AF3397" s="1">
        <v>38603</v>
      </c>
      <c r="AG3397" t="s">
        <v>148</v>
      </c>
      <c r="AH3397" t="s">
        <v>1053</v>
      </c>
      <c r="AI3397" t="str">
        <f>"4141057"</f>
        <v>4141057</v>
      </c>
      <c r="AJ3397" t="s">
        <v>5916</v>
      </c>
      <c r="AK3397">
        <v>2831035241</v>
      </c>
      <c r="AL3397" t="s">
        <v>5917</v>
      </c>
      <c r="AM3397" t="s">
        <v>64</v>
      </c>
      <c r="AN3397" t="s">
        <v>65</v>
      </c>
      <c r="AO3397" t="s">
        <v>65</v>
      </c>
      <c r="AP3397" t="s">
        <v>65</v>
      </c>
      <c r="AQ3397">
        <v>1</v>
      </c>
      <c r="AR3397" t="s">
        <v>5644</v>
      </c>
      <c r="AS3397" t="s">
        <v>5645</v>
      </c>
      <c r="AT3397" t="s">
        <v>58</v>
      </c>
      <c r="AU3397" t="s">
        <v>68</v>
      </c>
      <c r="AV3397" t="s">
        <v>69</v>
      </c>
      <c r="AW3397" s="1">
        <v>21977</v>
      </c>
      <c r="AX3397">
        <v>2</v>
      </c>
    </row>
    <row r="3398" spans="1:50">
      <c r="A3398">
        <v>194547</v>
      </c>
      <c r="B3398" t="str">
        <f>"038631939"</f>
        <v>038631939</v>
      </c>
      <c r="C3398" t="s">
        <v>50</v>
      </c>
      <c r="D3398" t="s">
        <v>6547</v>
      </c>
      <c r="E3398" t="s">
        <v>6548</v>
      </c>
      <c r="F3398" t="s">
        <v>95</v>
      </c>
      <c r="G3398" t="s">
        <v>215</v>
      </c>
      <c r="H3398" t="str">
        <f>"ΑΜΝΑΤΟΣ ΡΕΘΥΜΝΟΥ ΑΜΝΑΤΟΥ"</f>
        <v>ΑΜΝΑΤΟΣ ΡΕΘΥΜΝΟΥ ΑΜΝΑΤΟΥ</v>
      </c>
      <c r="I3398">
        <v>74100</v>
      </c>
      <c r="J3398">
        <v>2831074226</v>
      </c>
      <c r="K3398">
        <v>6932203114</v>
      </c>
      <c r="M3398" t="s">
        <v>6549</v>
      </c>
      <c r="N3398" t="s">
        <v>176</v>
      </c>
      <c r="O3398" t="s">
        <v>177</v>
      </c>
      <c r="R3398" t="s">
        <v>57</v>
      </c>
      <c r="S3398">
        <v>11</v>
      </c>
      <c r="T3398">
        <v>193</v>
      </c>
      <c r="U3398" s="1">
        <v>37497</v>
      </c>
      <c r="V3398" t="s">
        <v>5644</v>
      </c>
      <c r="W3398" t="s">
        <v>5645</v>
      </c>
      <c r="X3398" t="s">
        <v>58</v>
      </c>
      <c r="Y3398">
        <v>18</v>
      </c>
      <c r="Z3398" t="s">
        <v>59</v>
      </c>
      <c r="AA3398" t="s">
        <v>59</v>
      </c>
      <c r="AB3398" t="s">
        <v>59</v>
      </c>
      <c r="AC3398" t="s">
        <v>59</v>
      </c>
      <c r="AD3398" t="s">
        <v>59</v>
      </c>
      <c r="AF3398" s="1">
        <v>37500</v>
      </c>
      <c r="AG3398" t="s">
        <v>125</v>
      </c>
      <c r="AH3398" t="s">
        <v>126</v>
      </c>
      <c r="AI3398" t="str">
        <f>"4104010"</f>
        <v>4104010</v>
      </c>
      <c r="AJ3398" t="s">
        <v>5745</v>
      </c>
      <c r="AK3398">
        <v>2834022235</v>
      </c>
      <c r="AL3398" t="s">
        <v>5746</v>
      </c>
      <c r="AM3398" t="s">
        <v>64</v>
      </c>
      <c r="AN3398" t="s">
        <v>5672</v>
      </c>
      <c r="AO3398" t="s">
        <v>5673</v>
      </c>
      <c r="AP3398" t="s">
        <v>5689</v>
      </c>
      <c r="AQ3398">
        <v>2</v>
      </c>
      <c r="AR3398" t="s">
        <v>5644</v>
      </c>
      <c r="AS3398" t="s">
        <v>5645</v>
      </c>
      <c r="AT3398" t="s">
        <v>58</v>
      </c>
      <c r="AU3398" t="s">
        <v>68</v>
      </c>
      <c r="AV3398" t="s">
        <v>69</v>
      </c>
      <c r="AW3398" s="1">
        <v>24157</v>
      </c>
      <c r="AX3398">
        <v>2</v>
      </c>
    </row>
    <row r="3399" spans="1:50">
      <c r="A3399">
        <v>152324</v>
      </c>
      <c r="B3399" t="str">
        <f>"028714922"</f>
        <v>028714922</v>
      </c>
      <c r="C3399" t="s">
        <v>50</v>
      </c>
      <c r="D3399" t="s">
        <v>6550</v>
      </c>
      <c r="E3399" t="s">
        <v>83</v>
      </c>
      <c r="F3399" t="s">
        <v>920</v>
      </c>
      <c r="G3399" t="s">
        <v>845</v>
      </c>
      <c r="H3399" t="str">
        <f>"ΚΟΥΡΜΟΥΛΗ 112 ΜΑΣΤΑΜΠΑΣ ΡΕΘΥΜΝΟΥ"</f>
        <v>ΚΟΥΡΜΟΥΛΗ 112 ΜΑΣΤΑΜΠΑΣ ΡΕΘΥΜΝΟΥ</v>
      </c>
      <c r="I3399">
        <v>74100</v>
      </c>
      <c r="J3399">
        <v>2831050658</v>
      </c>
      <c r="K3399">
        <v>6934513098</v>
      </c>
      <c r="M3399" t="s">
        <v>6551</v>
      </c>
      <c r="N3399" t="s">
        <v>146</v>
      </c>
      <c r="O3399" t="s">
        <v>147</v>
      </c>
      <c r="R3399" t="s">
        <v>57</v>
      </c>
      <c r="S3399">
        <v>17</v>
      </c>
      <c r="T3399">
        <v>193</v>
      </c>
      <c r="U3399" s="1">
        <v>32042</v>
      </c>
      <c r="V3399" t="s">
        <v>5644</v>
      </c>
      <c r="W3399" t="s">
        <v>5645</v>
      </c>
      <c r="X3399" t="s">
        <v>58</v>
      </c>
      <c r="Y3399">
        <v>18</v>
      </c>
      <c r="Z3399" t="s">
        <v>59</v>
      </c>
      <c r="AA3399" t="s">
        <v>59</v>
      </c>
      <c r="AB3399" t="s">
        <v>59</v>
      </c>
      <c r="AC3399" t="s">
        <v>59</v>
      </c>
      <c r="AD3399" t="s">
        <v>59</v>
      </c>
      <c r="AF3399" s="1">
        <v>32042</v>
      </c>
      <c r="AG3399" t="s">
        <v>125</v>
      </c>
      <c r="AH3399" t="s">
        <v>126</v>
      </c>
      <c r="AI3399" t="str">
        <f>"4106030"</f>
        <v>4106030</v>
      </c>
      <c r="AJ3399" t="s">
        <v>6097</v>
      </c>
      <c r="AK3399">
        <v>2832051138</v>
      </c>
      <c r="AL3399" t="s">
        <v>6098</v>
      </c>
      <c r="AM3399" t="s">
        <v>64</v>
      </c>
      <c r="AN3399" t="s">
        <v>5882</v>
      </c>
      <c r="AO3399" t="s">
        <v>6099</v>
      </c>
      <c r="AP3399" t="s">
        <v>6100</v>
      </c>
      <c r="AQ3399">
        <v>5</v>
      </c>
      <c r="AR3399" t="s">
        <v>5644</v>
      </c>
      <c r="AS3399" t="s">
        <v>5645</v>
      </c>
      <c r="AT3399" t="s">
        <v>58</v>
      </c>
      <c r="AU3399" t="s">
        <v>68</v>
      </c>
      <c r="AV3399" t="s">
        <v>69</v>
      </c>
      <c r="AW3399" s="1">
        <v>22334</v>
      </c>
      <c r="AX3399">
        <v>2</v>
      </c>
    </row>
    <row r="3400" spans="1:50">
      <c r="B3400" t="str">
        <f>"124488508"</f>
        <v>124488508</v>
      </c>
      <c r="C3400" t="s">
        <v>50</v>
      </c>
      <c r="D3400" t="s">
        <v>6550</v>
      </c>
      <c r="E3400" t="s">
        <v>707</v>
      </c>
      <c r="F3400" t="s">
        <v>6552</v>
      </c>
      <c r="G3400" t="s">
        <v>112</v>
      </c>
      <c r="H3400" t="str">
        <f>"ΜΙΚΡΑΣΙΑΤΩΝ 17 ΡΕΘΥΜΝΟ"</f>
        <v>ΜΙΚΡΑΣΙΑΤΩΝ 17 ΡΕΘΥΜΝΟ</v>
      </c>
      <c r="I3400">
        <v>74100</v>
      </c>
      <c r="J3400">
        <v>2831055305</v>
      </c>
      <c r="K3400">
        <v>6948043486</v>
      </c>
      <c r="M3400" t="s">
        <v>6553</v>
      </c>
      <c r="N3400" t="s">
        <v>342</v>
      </c>
      <c r="O3400" t="s">
        <v>343</v>
      </c>
      <c r="R3400" t="s">
        <v>159</v>
      </c>
      <c r="S3400">
        <v>4</v>
      </c>
      <c r="T3400" t="s">
        <v>344</v>
      </c>
      <c r="U3400" s="1">
        <v>43348</v>
      </c>
      <c r="V3400" t="s">
        <v>5644</v>
      </c>
      <c r="W3400" t="s">
        <v>5645</v>
      </c>
      <c r="X3400" t="s">
        <v>58</v>
      </c>
      <c r="Y3400">
        <v>23</v>
      </c>
      <c r="Z3400" t="s">
        <v>59</v>
      </c>
      <c r="AA3400" t="s">
        <v>59</v>
      </c>
      <c r="AB3400" t="s">
        <v>59</v>
      </c>
      <c r="AC3400" t="s">
        <v>59</v>
      </c>
      <c r="AD3400" t="s">
        <v>59</v>
      </c>
      <c r="AF3400" s="1">
        <v>43348</v>
      </c>
      <c r="AG3400" t="s">
        <v>345</v>
      </c>
      <c r="AH3400" t="s">
        <v>346</v>
      </c>
      <c r="AI3400" t="str">
        <f>"4141010"</f>
        <v>4141010</v>
      </c>
      <c r="AJ3400" t="s">
        <v>6121</v>
      </c>
      <c r="AK3400">
        <v>2831035068</v>
      </c>
      <c r="AL3400" t="s">
        <v>6122</v>
      </c>
      <c r="AM3400" t="s">
        <v>64</v>
      </c>
      <c r="AN3400" t="s">
        <v>65</v>
      </c>
      <c r="AO3400" t="s">
        <v>65</v>
      </c>
      <c r="AP3400" t="s">
        <v>65</v>
      </c>
      <c r="AQ3400">
        <v>1</v>
      </c>
      <c r="AR3400" t="s">
        <v>5644</v>
      </c>
      <c r="AS3400" t="s">
        <v>5645</v>
      </c>
      <c r="AT3400" t="s">
        <v>58</v>
      </c>
      <c r="AU3400" t="s">
        <v>350</v>
      </c>
      <c r="AV3400" t="s">
        <v>132</v>
      </c>
      <c r="AW3400" s="1">
        <v>30682</v>
      </c>
      <c r="AX3400">
        <v>2</v>
      </c>
    </row>
    <row r="3401" spans="1:50">
      <c r="B3401" t="str">
        <f>"113172742"</f>
        <v>113172742</v>
      </c>
      <c r="C3401" t="s">
        <v>105</v>
      </c>
      <c r="D3401" t="s">
        <v>3821</v>
      </c>
      <c r="E3401" t="s">
        <v>84</v>
      </c>
      <c r="F3401" t="s">
        <v>108</v>
      </c>
      <c r="G3401" t="s">
        <v>83</v>
      </c>
      <c r="H3401" t="str">
        <f>"ΜΥΛΩΝΟΓΙΑΝΝΗ 151 ΧΑΝΙΑ"</f>
        <v>ΜΥΛΩΝΟΓΙΑΝΝΗ 151 ΧΑΝΙΑ</v>
      </c>
      <c r="I3401">
        <v>73100</v>
      </c>
      <c r="J3401">
        <v>2821071345</v>
      </c>
      <c r="K3401">
        <v>6974875207</v>
      </c>
      <c r="N3401" t="s">
        <v>199</v>
      </c>
      <c r="O3401" t="s">
        <v>200</v>
      </c>
      <c r="R3401" t="s">
        <v>159</v>
      </c>
      <c r="S3401">
        <v>4</v>
      </c>
      <c r="T3401" t="s">
        <v>416</v>
      </c>
      <c r="U3401" s="1">
        <v>43349</v>
      </c>
      <c r="V3401" t="s">
        <v>5644</v>
      </c>
      <c r="W3401" t="s">
        <v>5645</v>
      </c>
      <c r="X3401" t="s">
        <v>58</v>
      </c>
      <c r="Y3401">
        <v>23</v>
      </c>
      <c r="Z3401" t="s">
        <v>59</v>
      </c>
      <c r="AA3401" t="s">
        <v>59</v>
      </c>
      <c r="AB3401" t="s">
        <v>59</v>
      </c>
      <c r="AC3401" t="s">
        <v>59</v>
      </c>
      <c r="AD3401" t="s">
        <v>59</v>
      </c>
      <c r="AF3401" s="1">
        <v>43349</v>
      </c>
      <c r="AG3401" t="s">
        <v>125</v>
      </c>
      <c r="AH3401" t="s">
        <v>126</v>
      </c>
      <c r="AI3401" t="str">
        <f>"4101040"</f>
        <v>4101040</v>
      </c>
      <c r="AJ3401" t="s">
        <v>5732</v>
      </c>
      <c r="AK3401">
        <v>2831029261</v>
      </c>
      <c r="AL3401" t="s">
        <v>5733</v>
      </c>
      <c r="AM3401" t="s">
        <v>64</v>
      </c>
      <c r="AN3401" t="s">
        <v>65</v>
      </c>
      <c r="AO3401" t="s">
        <v>65</v>
      </c>
      <c r="AP3401" t="s">
        <v>65</v>
      </c>
      <c r="AQ3401">
        <v>1</v>
      </c>
      <c r="AR3401" t="s">
        <v>5644</v>
      </c>
      <c r="AS3401" t="s">
        <v>5645</v>
      </c>
      <c r="AT3401" t="s">
        <v>58</v>
      </c>
      <c r="AU3401" t="s">
        <v>419</v>
      </c>
      <c r="AV3401" t="s">
        <v>132</v>
      </c>
      <c r="AW3401" s="1">
        <v>29938</v>
      </c>
      <c r="AX3401">
        <v>2</v>
      </c>
    </row>
    <row r="3402" spans="1:50">
      <c r="A3402">
        <v>229174</v>
      </c>
      <c r="B3402" t="str">
        <f>"073740941"</f>
        <v>073740941</v>
      </c>
      <c r="C3402" t="s">
        <v>50</v>
      </c>
      <c r="D3402" t="s">
        <v>6554</v>
      </c>
      <c r="E3402" t="s">
        <v>1029</v>
      </c>
      <c r="F3402" t="s">
        <v>631</v>
      </c>
      <c r="G3402" t="s">
        <v>6555</v>
      </c>
      <c r="H3402" t="str">
        <f>"ΔΑΝΙΟΛΟΥ 50 ΧΑΡΙΛΑΟΥ"</f>
        <v>ΔΑΝΙΟΛΟΥ 50 ΧΑΡΙΛΑΟΥ</v>
      </c>
      <c r="I3402">
        <v>54249</v>
      </c>
      <c r="K3402">
        <v>6987093343</v>
      </c>
      <c r="M3402" t="s">
        <v>6556</v>
      </c>
      <c r="N3402" t="s">
        <v>306</v>
      </c>
      <c r="O3402" t="s">
        <v>307</v>
      </c>
      <c r="R3402" t="s">
        <v>57</v>
      </c>
      <c r="S3402">
        <v>4</v>
      </c>
      <c r="T3402">
        <v>720</v>
      </c>
      <c r="U3402" s="1">
        <v>40059</v>
      </c>
      <c r="V3402" t="s">
        <v>5644</v>
      </c>
      <c r="W3402" t="s">
        <v>5645</v>
      </c>
      <c r="X3402" t="s">
        <v>58</v>
      </c>
      <c r="Y3402">
        <v>21</v>
      </c>
      <c r="Z3402" t="s">
        <v>59</v>
      </c>
      <c r="AA3402" t="s">
        <v>59</v>
      </c>
      <c r="AB3402" t="s">
        <v>59</v>
      </c>
      <c r="AC3402" t="s">
        <v>59</v>
      </c>
      <c r="AD3402" t="s">
        <v>59</v>
      </c>
      <c r="AF3402" s="1">
        <v>40060</v>
      </c>
      <c r="AG3402" t="s">
        <v>125</v>
      </c>
      <c r="AH3402" t="s">
        <v>126</v>
      </c>
      <c r="AI3402" t="str">
        <f>"4106010"</f>
        <v>4106010</v>
      </c>
      <c r="AJ3402" t="s">
        <v>5880</v>
      </c>
      <c r="AK3402">
        <v>2832022035</v>
      </c>
      <c r="AL3402" t="s">
        <v>5881</v>
      </c>
      <c r="AM3402" t="s">
        <v>64</v>
      </c>
      <c r="AN3402" t="s">
        <v>5882</v>
      </c>
      <c r="AO3402" t="s">
        <v>5883</v>
      </c>
      <c r="AP3402" t="s">
        <v>5884</v>
      </c>
      <c r="AQ3402">
        <v>5</v>
      </c>
      <c r="AR3402" t="s">
        <v>5644</v>
      </c>
      <c r="AS3402" t="s">
        <v>5645</v>
      </c>
      <c r="AT3402" t="s">
        <v>58</v>
      </c>
      <c r="AU3402" t="s">
        <v>68</v>
      </c>
      <c r="AV3402" t="s">
        <v>69</v>
      </c>
      <c r="AW3402" s="1">
        <v>28046</v>
      </c>
      <c r="AX3402">
        <v>2</v>
      </c>
    </row>
    <row r="3403" spans="1:50">
      <c r="A3403">
        <v>212940</v>
      </c>
      <c r="B3403" t="str">
        <f>"066538619"</f>
        <v>066538619</v>
      </c>
      <c r="C3403" t="s">
        <v>50</v>
      </c>
      <c r="D3403" t="s">
        <v>3827</v>
      </c>
      <c r="E3403" t="s">
        <v>255</v>
      </c>
      <c r="F3403" t="s">
        <v>2184</v>
      </c>
      <c r="G3403" t="s">
        <v>382</v>
      </c>
      <c r="H3403" t="str">
        <f>"ΒΑΒΟΥΡΑΚΗΔΩΝ 4 ΡΕΘΥΜΝΟ"</f>
        <v>ΒΑΒΟΥΡΑΚΗΔΩΝ 4 ΡΕΘΥΜΝΟ</v>
      </c>
      <c r="I3403">
        <v>74100</v>
      </c>
      <c r="J3403">
        <v>2831027474</v>
      </c>
      <c r="K3403">
        <v>6945138755</v>
      </c>
      <c r="N3403" t="s">
        <v>292</v>
      </c>
      <c r="O3403" t="s">
        <v>293</v>
      </c>
      <c r="R3403" t="s">
        <v>57</v>
      </c>
      <c r="S3403">
        <v>7</v>
      </c>
      <c r="T3403">
        <v>231</v>
      </c>
      <c r="U3403" s="1">
        <v>38960</v>
      </c>
      <c r="V3403" t="s">
        <v>5644</v>
      </c>
      <c r="W3403" t="s">
        <v>5645</v>
      </c>
      <c r="X3403" t="s">
        <v>58</v>
      </c>
      <c r="Y3403">
        <v>20</v>
      </c>
      <c r="Z3403" t="s">
        <v>59</v>
      </c>
      <c r="AA3403" t="s">
        <v>59</v>
      </c>
      <c r="AB3403" t="s">
        <v>59</v>
      </c>
      <c r="AC3403" t="s">
        <v>59</v>
      </c>
      <c r="AD3403" t="s">
        <v>59</v>
      </c>
      <c r="AF3403" s="1">
        <v>38961</v>
      </c>
      <c r="AG3403" t="s">
        <v>148</v>
      </c>
      <c r="AH3403" t="s">
        <v>149</v>
      </c>
      <c r="AI3403" t="str">
        <f>"4151020"</f>
        <v>4151020</v>
      </c>
      <c r="AJ3403" t="s">
        <v>5725</v>
      </c>
      <c r="AK3403">
        <v>2831022475</v>
      </c>
      <c r="AL3403" t="s">
        <v>5726</v>
      </c>
      <c r="AM3403" t="s">
        <v>64</v>
      </c>
      <c r="AN3403" t="s">
        <v>65</v>
      </c>
      <c r="AO3403" t="s">
        <v>65</v>
      </c>
      <c r="AP3403" t="s">
        <v>65</v>
      </c>
      <c r="AQ3403">
        <v>1</v>
      </c>
      <c r="AR3403" t="s">
        <v>5644</v>
      </c>
      <c r="AS3403" t="s">
        <v>5645</v>
      </c>
      <c r="AT3403" t="s">
        <v>58</v>
      </c>
      <c r="AU3403" t="s">
        <v>68</v>
      </c>
      <c r="AV3403" t="s">
        <v>69</v>
      </c>
      <c r="AW3403" s="1">
        <v>26849</v>
      </c>
      <c r="AX3403">
        <v>2</v>
      </c>
    </row>
    <row r="3404" spans="1:50">
      <c r="A3404">
        <v>223191</v>
      </c>
      <c r="B3404" t="str">
        <f>"049040703"</f>
        <v>049040703</v>
      </c>
      <c r="C3404" t="s">
        <v>105</v>
      </c>
      <c r="D3404" t="s">
        <v>3830</v>
      </c>
      <c r="E3404" t="s">
        <v>72</v>
      </c>
      <c r="F3404" t="s">
        <v>95</v>
      </c>
      <c r="G3404" t="s">
        <v>325</v>
      </c>
      <c r="H3404" t="str">
        <f>"ΜΑΝΔΗΛΑΡΑ 10 ΡΕΘΥΜΝΟ"</f>
        <v>ΜΑΝΔΗΛΑΡΑ 10 ΡΕΘΥΜΝΟ</v>
      </c>
      <c r="I3404">
        <v>74100</v>
      </c>
      <c r="J3404">
        <v>2831055871</v>
      </c>
      <c r="K3404">
        <v>6978228620</v>
      </c>
      <c r="M3404" t="s">
        <v>6557</v>
      </c>
      <c r="N3404" t="s">
        <v>292</v>
      </c>
      <c r="O3404" t="s">
        <v>293</v>
      </c>
      <c r="R3404" t="s">
        <v>57</v>
      </c>
      <c r="S3404">
        <v>7</v>
      </c>
      <c r="T3404">
        <v>775</v>
      </c>
      <c r="U3404" s="1">
        <v>39680</v>
      </c>
      <c r="V3404" t="s">
        <v>5644</v>
      </c>
      <c r="W3404" t="s">
        <v>5645</v>
      </c>
      <c r="X3404" t="s">
        <v>58</v>
      </c>
      <c r="Y3404">
        <v>21</v>
      </c>
      <c r="Z3404" t="s">
        <v>59</v>
      </c>
      <c r="AA3404" t="s">
        <v>59</v>
      </c>
      <c r="AB3404" t="s">
        <v>59</v>
      </c>
      <c r="AC3404" t="s">
        <v>59</v>
      </c>
      <c r="AD3404" t="s">
        <v>59</v>
      </c>
      <c r="AF3404" s="1">
        <v>39680</v>
      </c>
      <c r="AG3404" t="s">
        <v>125</v>
      </c>
      <c r="AH3404" t="s">
        <v>126</v>
      </c>
      <c r="AI3404" t="str">
        <f>"4135001"</f>
        <v>4135001</v>
      </c>
      <c r="AJ3404" t="s">
        <v>5729</v>
      </c>
      <c r="AK3404">
        <v>2831073938</v>
      </c>
      <c r="AL3404" t="s">
        <v>5730</v>
      </c>
      <c r="AM3404" t="s">
        <v>64</v>
      </c>
      <c r="AN3404" t="s">
        <v>65</v>
      </c>
      <c r="AO3404" t="s">
        <v>65</v>
      </c>
      <c r="AP3404" t="s">
        <v>65</v>
      </c>
      <c r="AQ3404">
        <v>1</v>
      </c>
      <c r="AR3404" t="s">
        <v>5644</v>
      </c>
      <c r="AS3404" t="s">
        <v>5645</v>
      </c>
      <c r="AT3404" t="s">
        <v>58</v>
      </c>
      <c r="AU3404" t="s">
        <v>68</v>
      </c>
      <c r="AV3404" t="s">
        <v>69</v>
      </c>
      <c r="AW3404" s="1">
        <v>26281</v>
      </c>
      <c r="AX3404">
        <v>2</v>
      </c>
    </row>
    <row r="3405" spans="1:50">
      <c r="A3405">
        <v>223713</v>
      </c>
      <c r="B3405" t="str">
        <f>"073298855"</f>
        <v>073298855</v>
      </c>
      <c r="C3405" t="s">
        <v>105</v>
      </c>
      <c r="D3405" t="s">
        <v>3830</v>
      </c>
      <c r="E3405" t="s">
        <v>106</v>
      </c>
      <c r="F3405" t="s">
        <v>6558</v>
      </c>
      <c r="G3405" t="s">
        <v>382</v>
      </c>
      <c r="H3405" t="str">
        <f>"ΑΘΑΝΑΣΙΑΔΗ 5 ΡΕΘΥΜΝΟ"</f>
        <v>ΑΘΑΝΑΣΙΑΔΗ 5 ΡΕΘΥΜΝΟ</v>
      </c>
      <c r="I3405">
        <v>74100</v>
      </c>
      <c r="J3405">
        <v>2831035624</v>
      </c>
      <c r="K3405">
        <v>6932095936</v>
      </c>
      <c r="N3405" t="s">
        <v>199</v>
      </c>
      <c r="O3405" t="s">
        <v>200</v>
      </c>
      <c r="R3405" t="s">
        <v>57</v>
      </c>
      <c r="S3405">
        <v>6</v>
      </c>
      <c r="T3405">
        <v>775</v>
      </c>
      <c r="U3405" s="1">
        <v>39680</v>
      </c>
      <c r="V3405" t="s">
        <v>5644</v>
      </c>
      <c r="W3405" t="s">
        <v>5645</v>
      </c>
      <c r="X3405" t="s">
        <v>58</v>
      </c>
      <c r="Y3405">
        <v>20</v>
      </c>
      <c r="Z3405" t="s">
        <v>59</v>
      </c>
      <c r="AA3405" t="s">
        <v>59</v>
      </c>
      <c r="AB3405" t="s">
        <v>59</v>
      </c>
      <c r="AC3405" t="s">
        <v>59</v>
      </c>
      <c r="AD3405" t="s">
        <v>59</v>
      </c>
      <c r="AF3405" s="1">
        <v>39681</v>
      </c>
      <c r="AG3405" t="s">
        <v>125</v>
      </c>
      <c r="AH3405" t="s">
        <v>126</v>
      </c>
      <c r="AI3405" t="str">
        <f>"4110015"</f>
        <v>4110015</v>
      </c>
      <c r="AJ3405" t="s">
        <v>5723</v>
      </c>
      <c r="AK3405">
        <v>2831022741</v>
      </c>
      <c r="AL3405" t="s">
        <v>5724</v>
      </c>
      <c r="AM3405" t="s">
        <v>64</v>
      </c>
      <c r="AN3405" t="s">
        <v>65</v>
      </c>
      <c r="AO3405" t="s">
        <v>5720</v>
      </c>
      <c r="AP3405" t="s">
        <v>5721</v>
      </c>
      <c r="AQ3405">
        <v>1</v>
      </c>
      <c r="AR3405" t="s">
        <v>5644</v>
      </c>
      <c r="AS3405" t="s">
        <v>5645</v>
      </c>
      <c r="AT3405" t="s">
        <v>58</v>
      </c>
      <c r="AU3405" t="s">
        <v>68</v>
      </c>
      <c r="AV3405" t="s">
        <v>69</v>
      </c>
      <c r="AW3405" s="1">
        <v>25487</v>
      </c>
      <c r="AX3405">
        <v>2</v>
      </c>
    </row>
    <row r="3406" spans="1:50">
      <c r="A3406">
        <v>215968</v>
      </c>
      <c r="B3406" t="str">
        <f>"100687299"</f>
        <v>100687299</v>
      </c>
      <c r="C3406" t="s">
        <v>105</v>
      </c>
      <c r="D3406" t="s">
        <v>6559</v>
      </c>
      <c r="E3406" t="s">
        <v>450</v>
      </c>
      <c r="F3406" t="s">
        <v>450</v>
      </c>
      <c r="G3406" t="s">
        <v>237</v>
      </c>
      <c r="H3406" t="str">
        <f>"ΧΑΡΙΤΑΚΗ 9 "</f>
        <v xml:space="preserve">ΧΑΡΙΤΑΚΗ 9 </v>
      </c>
      <c r="I3406">
        <v>74100</v>
      </c>
      <c r="J3406">
        <v>2251044522</v>
      </c>
      <c r="K3406">
        <v>6937218909</v>
      </c>
      <c r="N3406" t="s">
        <v>282</v>
      </c>
      <c r="O3406" t="s">
        <v>283</v>
      </c>
      <c r="R3406" t="s">
        <v>57</v>
      </c>
      <c r="S3406">
        <v>8</v>
      </c>
      <c r="T3406">
        <v>232</v>
      </c>
      <c r="U3406" s="1">
        <v>38960</v>
      </c>
      <c r="V3406" t="s">
        <v>5644</v>
      </c>
      <c r="W3406" t="s">
        <v>5645</v>
      </c>
      <c r="X3406" t="s">
        <v>58</v>
      </c>
      <c r="Y3406">
        <v>20</v>
      </c>
      <c r="Z3406" t="s">
        <v>59</v>
      </c>
      <c r="AA3406" t="s">
        <v>59</v>
      </c>
      <c r="AB3406" t="s">
        <v>59</v>
      </c>
      <c r="AC3406" t="s">
        <v>59</v>
      </c>
      <c r="AD3406" t="s">
        <v>59</v>
      </c>
      <c r="AF3406" s="1">
        <v>38964</v>
      </c>
      <c r="AG3406" t="s">
        <v>137</v>
      </c>
      <c r="AH3406" t="s">
        <v>138</v>
      </c>
      <c r="AI3406" t="str">
        <f>"4150040"</f>
        <v>4150040</v>
      </c>
      <c r="AJ3406" t="s">
        <v>5661</v>
      </c>
      <c r="AK3406">
        <v>2831029048</v>
      </c>
      <c r="AL3406" t="s">
        <v>5662</v>
      </c>
      <c r="AM3406" t="s">
        <v>64</v>
      </c>
      <c r="AN3406" t="s">
        <v>65</v>
      </c>
      <c r="AO3406" t="s">
        <v>65</v>
      </c>
      <c r="AP3406" t="s">
        <v>65</v>
      </c>
      <c r="AQ3406">
        <v>1</v>
      </c>
      <c r="AR3406" t="s">
        <v>5644</v>
      </c>
      <c r="AS3406" t="s">
        <v>5645</v>
      </c>
      <c r="AT3406" t="s">
        <v>58</v>
      </c>
      <c r="AU3406" t="s">
        <v>68</v>
      </c>
      <c r="AV3406" t="s">
        <v>69</v>
      </c>
      <c r="AW3406" s="1">
        <v>29407</v>
      </c>
      <c r="AX3406">
        <v>2</v>
      </c>
    </row>
    <row r="3407" spans="1:50">
      <c r="B3407" t="str">
        <f>"134927529"</f>
        <v>134927529</v>
      </c>
      <c r="C3407" t="s">
        <v>50</v>
      </c>
      <c r="D3407" t="s">
        <v>6560</v>
      </c>
      <c r="E3407" t="s">
        <v>484</v>
      </c>
      <c r="F3407" t="s">
        <v>6561</v>
      </c>
      <c r="G3407" t="s">
        <v>6562</v>
      </c>
      <c r="H3407" t="str">
        <f>" "</f>
        <v xml:space="preserve"> </v>
      </c>
      <c r="N3407" t="s">
        <v>232</v>
      </c>
      <c r="O3407" t="s">
        <v>233</v>
      </c>
      <c r="R3407" t="s">
        <v>121</v>
      </c>
      <c r="S3407">
        <v>1</v>
      </c>
      <c r="T3407" t="s">
        <v>416</v>
      </c>
      <c r="U3407" s="1">
        <v>43349</v>
      </c>
      <c r="V3407" t="s">
        <v>5644</v>
      </c>
      <c r="W3407" t="s">
        <v>5645</v>
      </c>
      <c r="X3407" t="s">
        <v>58</v>
      </c>
      <c r="Y3407">
        <v>23</v>
      </c>
      <c r="Z3407" t="s">
        <v>59</v>
      </c>
      <c r="AA3407" t="s">
        <v>59</v>
      </c>
      <c r="AD3407" t="s">
        <v>59</v>
      </c>
      <c r="AF3407" s="1">
        <v>43349</v>
      </c>
      <c r="AG3407" t="s">
        <v>125</v>
      </c>
      <c r="AH3407" t="s">
        <v>126</v>
      </c>
      <c r="AI3407" t="str">
        <f>"4135001"</f>
        <v>4135001</v>
      </c>
      <c r="AJ3407" t="s">
        <v>5729</v>
      </c>
      <c r="AK3407">
        <v>2831073938</v>
      </c>
      <c r="AL3407" t="s">
        <v>5730</v>
      </c>
      <c r="AM3407" t="s">
        <v>64</v>
      </c>
      <c r="AN3407" t="s">
        <v>65</v>
      </c>
      <c r="AO3407" t="s">
        <v>65</v>
      </c>
      <c r="AP3407" t="s">
        <v>65</v>
      </c>
      <c r="AQ3407">
        <v>1</v>
      </c>
      <c r="AR3407" t="s">
        <v>5644</v>
      </c>
      <c r="AS3407" t="s">
        <v>5645</v>
      </c>
      <c r="AT3407" t="s">
        <v>58</v>
      </c>
      <c r="AU3407" t="s">
        <v>419</v>
      </c>
      <c r="AV3407" t="s">
        <v>132</v>
      </c>
      <c r="AW3407" s="1">
        <v>31689</v>
      </c>
      <c r="AX3407">
        <v>2</v>
      </c>
    </row>
    <row r="3408" spans="1:50">
      <c r="A3408">
        <v>222638</v>
      </c>
      <c r="B3408" t="str">
        <f>"302610286"</f>
        <v>302610286</v>
      </c>
      <c r="C3408" t="s">
        <v>50</v>
      </c>
      <c r="D3408" t="s">
        <v>6563</v>
      </c>
      <c r="E3408" t="s">
        <v>484</v>
      </c>
      <c r="F3408" t="s">
        <v>5974</v>
      </c>
      <c r="G3408" t="s">
        <v>5304</v>
      </c>
      <c r="H3408" t="str">
        <f>"ΑΤΣΙΠΟΠΟΥΛΟ ΒΙΟΛΙ ΧΑΡΑΚΙ"</f>
        <v>ΑΤΣΙΠΟΠΟΥΛΟ ΒΙΟΛΙ ΧΑΡΑΚΙ</v>
      </c>
      <c r="I3408">
        <v>74100</v>
      </c>
      <c r="J3408">
        <v>2761034095</v>
      </c>
      <c r="K3408">
        <v>6934708912</v>
      </c>
      <c r="N3408" t="s">
        <v>146</v>
      </c>
      <c r="O3408" t="s">
        <v>147</v>
      </c>
      <c r="R3408" t="s">
        <v>57</v>
      </c>
      <c r="S3408">
        <v>6</v>
      </c>
      <c r="T3408">
        <v>775</v>
      </c>
      <c r="U3408" s="1">
        <v>39680</v>
      </c>
      <c r="V3408" t="s">
        <v>5644</v>
      </c>
      <c r="W3408" t="s">
        <v>5645</v>
      </c>
      <c r="X3408" t="s">
        <v>58</v>
      </c>
      <c r="Y3408">
        <v>20</v>
      </c>
      <c r="Z3408" t="s">
        <v>59</v>
      </c>
      <c r="AA3408" t="s">
        <v>59</v>
      </c>
      <c r="AB3408" t="s">
        <v>59</v>
      </c>
      <c r="AC3408" t="s">
        <v>59</v>
      </c>
      <c r="AD3408" t="s">
        <v>59</v>
      </c>
      <c r="AF3408" s="1">
        <v>39680</v>
      </c>
      <c r="AG3408" t="s">
        <v>148</v>
      </c>
      <c r="AH3408" t="s">
        <v>149</v>
      </c>
      <c r="AI3408" t="str">
        <f>"4144001"</f>
        <v>4144001</v>
      </c>
      <c r="AJ3408" t="s">
        <v>5718</v>
      </c>
      <c r="AK3408">
        <v>2831033277</v>
      </c>
      <c r="AL3408" t="s">
        <v>5719</v>
      </c>
      <c r="AM3408" t="s">
        <v>64</v>
      </c>
      <c r="AN3408" t="s">
        <v>65</v>
      </c>
      <c r="AO3408" t="s">
        <v>5720</v>
      </c>
      <c r="AP3408" t="s">
        <v>5721</v>
      </c>
      <c r="AQ3408">
        <v>1</v>
      </c>
      <c r="AR3408" t="s">
        <v>5644</v>
      </c>
      <c r="AS3408" t="s">
        <v>5645</v>
      </c>
      <c r="AT3408" t="s">
        <v>58</v>
      </c>
      <c r="AU3408" t="s">
        <v>68</v>
      </c>
      <c r="AV3408" t="s">
        <v>69</v>
      </c>
      <c r="AW3408" s="1">
        <v>27316</v>
      </c>
      <c r="AX3408">
        <v>2</v>
      </c>
    </row>
    <row r="3409" spans="1:50">
      <c r="A3409">
        <v>186554</v>
      </c>
      <c r="B3409" t="str">
        <f>"047609494"</f>
        <v>047609494</v>
      </c>
      <c r="C3409" t="s">
        <v>50</v>
      </c>
      <c r="D3409" t="s">
        <v>3859</v>
      </c>
      <c r="E3409" t="s">
        <v>6564</v>
      </c>
      <c r="F3409" t="s">
        <v>72</v>
      </c>
      <c r="G3409" t="s">
        <v>1883</v>
      </c>
      <c r="H3409" t="str">
        <f>"ΜΙΚΡΑΣΙΑΤΩΝ 19 ΜΑΣΤΑΜΠΑΣ"</f>
        <v>ΜΙΚΡΑΣΙΑΤΩΝ 19 ΜΑΣΤΑΜΠΑΣ</v>
      </c>
      <c r="I3409">
        <v>74100</v>
      </c>
      <c r="K3409">
        <v>6974879602</v>
      </c>
      <c r="N3409" t="s">
        <v>146</v>
      </c>
      <c r="O3409" t="s">
        <v>147</v>
      </c>
      <c r="R3409" t="s">
        <v>57</v>
      </c>
      <c r="S3409">
        <v>9</v>
      </c>
      <c r="T3409">
        <v>251</v>
      </c>
      <c r="U3409" s="1">
        <v>36769</v>
      </c>
      <c r="V3409" t="s">
        <v>5644</v>
      </c>
      <c r="W3409" t="s">
        <v>5645</v>
      </c>
      <c r="X3409" t="s">
        <v>58</v>
      </c>
      <c r="Y3409">
        <v>20</v>
      </c>
      <c r="Z3409" t="s">
        <v>59</v>
      </c>
      <c r="AA3409" t="s">
        <v>59</v>
      </c>
      <c r="AB3409" t="s">
        <v>59</v>
      </c>
      <c r="AC3409" t="s">
        <v>59</v>
      </c>
      <c r="AD3409" t="s">
        <v>59</v>
      </c>
      <c r="AF3409" s="1">
        <v>36770</v>
      </c>
      <c r="AG3409" t="s">
        <v>125</v>
      </c>
      <c r="AH3409" t="s">
        <v>126</v>
      </c>
      <c r="AI3409" t="str">
        <f>"4101040"</f>
        <v>4101040</v>
      </c>
      <c r="AJ3409" t="s">
        <v>5732</v>
      </c>
      <c r="AK3409">
        <v>2831029261</v>
      </c>
      <c r="AL3409" t="s">
        <v>5733</v>
      </c>
      <c r="AM3409" t="s">
        <v>64</v>
      </c>
      <c r="AN3409" t="s">
        <v>65</v>
      </c>
      <c r="AO3409" t="s">
        <v>65</v>
      </c>
      <c r="AP3409" t="s">
        <v>65</v>
      </c>
      <c r="AQ3409">
        <v>1</v>
      </c>
      <c r="AR3409" t="s">
        <v>5644</v>
      </c>
      <c r="AS3409" t="s">
        <v>5645</v>
      </c>
      <c r="AT3409" t="s">
        <v>58</v>
      </c>
      <c r="AU3409" t="s">
        <v>68</v>
      </c>
      <c r="AV3409" t="s">
        <v>69</v>
      </c>
      <c r="AW3409" s="1">
        <v>23867</v>
      </c>
      <c r="AX3409">
        <v>2</v>
      </c>
    </row>
    <row r="3410" spans="1:50">
      <c r="A3410">
        <v>227373</v>
      </c>
      <c r="B3410" t="str">
        <f>"064717767"</f>
        <v>064717767</v>
      </c>
      <c r="C3410" t="s">
        <v>50</v>
      </c>
      <c r="D3410" t="s">
        <v>3865</v>
      </c>
      <c r="E3410" t="s">
        <v>263</v>
      </c>
      <c r="F3410" t="s">
        <v>53</v>
      </c>
      <c r="G3410" t="s">
        <v>6565</v>
      </c>
      <c r="H3410" t="str">
        <f>"ΤΕΡΨΙΧΟΡΗΣ 17 ΗΡΑΚΛΕΙΟ"</f>
        <v>ΤΕΡΨΙΧΟΡΗΣ 17 ΗΡΑΚΛΕΙΟ</v>
      </c>
      <c r="I3410">
        <v>71409</v>
      </c>
      <c r="J3410">
        <v>2810323337</v>
      </c>
      <c r="K3410">
        <v>6972416714</v>
      </c>
      <c r="N3410" t="s">
        <v>232</v>
      </c>
      <c r="O3410" t="s">
        <v>233</v>
      </c>
      <c r="R3410" t="s">
        <v>57</v>
      </c>
      <c r="S3410">
        <v>6</v>
      </c>
      <c r="T3410">
        <v>654</v>
      </c>
      <c r="U3410" s="1">
        <v>40043</v>
      </c>
      <c r="V3410" t="s">
        <v>5644</v>
      </c>
      <c r="W3410" t="s">
        <v>5645</v>
      </c>
      <c r="X3410" t="s">
        <v>58</v>
      </c>
      <c r="Y3410">
        <v>20</v>
      </c>
      <c r="Z3410" t="s">
        <v>59</v>
      </c>
      <c r="AA3410" t="s">
        <v>59</v>
      </c>
      <c r="AB3410" t="s">
        <v>59</v>
      </c>
      <c r="AC3410" t="s">
        <v>59</v>
      </c>
      <c r="AD3410" t="s">
        <v>59</v>
      </c>
      <c r="AF3410" s="1">
        <v>40044</v>
      </c>
      <c r="AG3410" t="s">
        <v>125</v>
      </c>
      <c r="AH3410" t="s">
        <v>126</v>
      </c>
      <c r="AI3410" t="str">
        <f>"4110010"</f>
        <v>4110010</v>
      </c>
      <c r="AJ3410" t="s">
        <v>5696</v>
      </c>
      <c r="AK3410">
        <v>2834061417</v>
      </c>
      <c r="AL3410" t="s">
        <v>5697</v>
      </c>
      <c r="AM3410" t="s">
        <v>64</v>
      </c>
      <c r="AN3410" t="s">
        <v>5672</v>
      </c>
      <c r="AO3410" t="s">
        <v>5698</v>
      </c>
      <c r="AP3410" t="s">
        <v>5699</v>
      </c>
      <c r="AQ3410">
        <v>3</v>
      </c>
      <c r="AR3410" t="s">
        <v>5644</v>
      </c>
      <c r="AS3410" t="s">
        <v>5645</v>
      </c>
      <c r="AT3410" t="s">
        <v>58</v>
      </c>
      <c r="AU3410" t="s">
        <v>68</v>
      </c>
      <c r="AV3410" t="s">
        <v>69</v>
      </c>
      <c r="AW3410" s="1">
        <v>24097</v>
      </c>
      <c r="AX3410">
        <v>2</v>
      </c>
    </row>
    <row r="3411" spans="1:50">
      <c r="B3411" t="str">
        <f>"137221409"</f>
        <v>137221409</v>
      </c>
      <c r="C3411" t="s">
        <v>50</v>
      </c>
      <c r="D3411" t="s">
        <v>3865</v>
      </c>
      <c r="E3411" t="s">
        <v>1001</v>
      </c>
      <c r="F3411" t="s">
        <v>106</v>
      </c>
      <c r="G3411" t="s">
        <v>263</v>
      </c>
      <c r="H3411" t="str">
        <f>"Στεφ. Σαχλίκη 44 ΞΗΡΟΠΟΤΑΜΟΣ ΗΡΑΚΛΕΙΟΥ"</f>
        <v>Στεφ. Σαχλίκη 44 ΞΗΡΟΠΟΤΑΜΟΣ ΗΡΑΚΛΕΙΟΥ</v>
      </c>
      <c r="I3411">
        <v>71304</v>
      </c>
      <c r="J3411">
        <v>2810250168</v>
      </c>
      <c r="K3411">
        <v>6976736703</v>
      </c>
      <c r="M3411" t="s">
        <v>6566</v>
      </c>
      <c r="N3411" t="s">
        <v>246</v>
      </c>
      <c r="O3411" t="s">
        <v>247</v>
      </c>
      <c r="R3411" t="s">
        <v>159</v>
      </c>
      <c r="S3411">
        <v>2</v>
      </c>
      <c r="T3411" t="s">
        <v>416</v>
      </c>
      <c r="U3411" s="1">
        <v>43349</v>
      </c>
      <c r="V3411" t="s">
        <v>5644</v>
      </c>
      <c r="W3411" t="s">
        <v>5645</v>
      </c>
      <c r="X3411" t="s">
        <v>58</v>
      </c>
      <c r="Y3411">
        <v>23</v>
      </c>
      <c r="Z3411" t="s">
        <v>59</v>
      </c>
      <c r="AA3411" t="s">
        <v>59</v>
      </c>
      <c r="AB3411" t="s">
        <v>59</v>
      </c>
      <c r="AC3411" t="s">
        <v>59</v>
      </c>
      <c r="AD3411" t="s">
        <v>59</v>
      </c>
      <c r="AF3411" s="1">
        <v>43349</v>
      </c>
      <c r="AG3411" t="s">
        <v>148</v>
      </c>
      <c r="AH3411" t="s">
        <v>149</v>
      </c>
      <c r="AI3411" t="str">
        <f>"4152010"</f>
        <v>4152010</v>
      </c>
      <c r="AJ3411" t="s">
        <v>5739</v>
      </c>
      <c r="AK3411">
        <v>2834031205</v>
      </c>
      <c r="AL3411" t="s">
        <v>5740</v>
      </c>
      <c r="AM3411" t="s">
        <v>64</v>
      </c>
      <c r="AN3411" t="s">
        <v>5737</v>
      </c>
      <c r="AO3411" t="s">
        <v>5737</v>
      </c>
      <c r="AP3411" t="s">
        <v>5737</v>
      </c>
      <c r="AQ3411">
        <v>3</v>
      </c>
      <c r="AR3411" t="s">
        <v>5644</v>
      </c>
      <c r="AS3411" t="s">
        <v>5645</v>
      </c>
      <c r="AT3411" t="s">
        <v>58</v>
      </c>
      <c r="AU3411" t="s">
        <v>419</v>
      </c>
      <c r="AV3411" t="s">
        <v>132</v>
      </c>
      <c r="AW3411" s="1">
        <v>27919</v>
      </c>
      <c r="AX3411">
        <v>2</v>
      </c>
    </row>
    <row r="3412" spans="1:50">
      <c r="A3412">
        <v>228142</v>
      </c>
      <c r="B3412" t="str">
        <f>"115630636"</f>
        <v>115630636</v>
      </c>
      <c r="C3412" t="s">
        <v>50</v>
      </c>
      <c r="D3412" t="s">
        <v>3865</v>
      </c>
      <c r="E3412" t="s">
        <v>460</v>
      </c>
      <c r="F3412" t="s">
        <v>106</v>
      </c>
      <c r="G3412" t="s">
        <v>181</v>
      </c>
      <c r="H3412" t="str">
        <f>"Μ. ΑΛΕΞΑΝΔΡΟΥ 81 ΠΑΡΗΓΟΡΙΑ  ΧΑΝΙΑ"</f>
        <v>Μ. ΑΛΕΞΑΝΔΡΟΥ 81 ΠΑΡΗΓΟΡΙΑ  ΧΑΝΙΑ</v>
      </c>
      <c r="J3412">
        <v>2821002799</v>
      </c>
      <c r="K3412">
        <v>6973751111</v>
      </c>
      <c r="M3412" t="s">
        <v>6567</v>
      </c>
      <c r="N3412" t="s">
        <v>176</v>
      </c>
      <c r="O3412" t="s">
        <v>177</v>
      </c>
      <c r="R3412" t="s">
        <v>57</v>
      </c>
      <c r="S3412">
        <v>7</v>
      </c>
      <c r="T3412">
        <v>654</v>
      </c>
      <c r="U3412" s="1">
        <v>40043</v>
      </c>
      <c r="V3412" t="s">
        <v>5644</v>
      </c>
      <c r="W3412" t="s">
        <v>5645</v>
      </c>
      <c r="X3412" t="s">
        <v>58</v>
      </c>
      <c r="Y3412">
        <v>21</v>
      </c>
      <c r="Z3412" t="s">
        <v>59</v>
      </c>
      <c r="AA3412" t="s">
        <v>59</v>
      </c>
      <c r="AB3412" t="s">
        <v>59</v>
      </c>
      <c r="AC3412" t="s">
        <v>59</v>
      </c>
      <c r="AD3412" t="s">
        <v>59</v>
      </c>
      <c r="AF3412" s="1">
        <v>40044</v>
      </c>
      <c r="AG3412" t="s">
        <v>345</v>
      </c>
      <c r="AH3412" t="s">
        <v>346</v>
      </c>
      <c r="AI3412" t="str">
        <f>"4141010"</f>
        <v>4141010</v>
      </c>
      <c r="AJ3412" t="s">
        <v>6121</v>
      </c>
      <c r="AK3412">
        <v>2831035068</v>
      </c>
      <c r="AL3412" t="s">
        <v>6122</v>
      </c>
      <c r="AM3412" t="s">
        <v>64</v>
      </c>
      <c r="AN3412" t="s">
        <v>65</v>
      </c>
      <c r="AO3412" t="s">
        <v>65</v>
      </c>
      <c r="AP3412" t="s">
        <v>65</v>
      </c>
      <c r="AQ3412">
        <v>1</v>
      </c>
      <c r="AR3412" t="s">
        <v>5644</v>
      </c>
      <c r="AS3412" t="s">
        <v>5645</v>
      </c>
      <c r="AT3412" t="s">
        <v>58</v>
      </c>
      <c r="AU3412" t="s">
        <v>68</v>
      </c>
      <c r="AV3412" t="s">
        <v>69</v>
      </c>
      <c r="AW3412" s="1">
        <v>28571</v>
      </c>
      <c r="AX3412">
        <v>2</v>
      </c>
    </row>
    <row r="3413" spans="1:50">
      <c r="A3413">
        <v>164444</v>
      </c>
      <c r="B3413" t="str">
        <f>"026355810"</f>
        <v>026355810</v>
      </c>
      <c r="C3413" t="s">
        <v>105</v>
      </c>
      <c r="D3413" t="s">
        <v>3886</v>
      </c>
      <c r="E3413" t="s">
        <v>6568</v>
      </c>
      <c r="F3413" t="s">
        <v>53</v>
      </c>
      <c r="G3413" t="s">
        <v>513</v>
      </c>
      <c r="H3413" t="str">
        <f>"ΑΤΣΙΠΟΠΟΥΛΟ ΑΤΣΙΠΟΠΟΥΛΟ"</f>
        <v>ΑΤΣΙΠΟΠΟΥΛΟ ΑΤΣΙΠΟΠΟΥΛΟ</v>
      </c>
      <c r="I3413">
        <v>74100</v>
      </c>
      <c r="N3413" t="s">
        <v>292</v>
      </c>
      <c r="O3413" t="s">
        <v>293</v>
      </c>
      <c r="R3413" t="s">
        <v>57</v>
      </c>
      <c r="S3413">
        <v>13</v>
      </c>
      <c r="T3413">
        <v>161</v>
      </c>
      <c r="U3413" s="1">
        <v>33844</v>
      </c>
      <c r="V3413" t="s">
        <v>5644</v>
      </c>
      <c r="W3413" t="s">
        <v>5645</v>
      </c>
      <c r="X3413" t="s">
        <v>58</v>
      </c>
      <c r="Y3413">
        <v>18</v>
      </c>
      <c r="Z3413" t="s">
        <v>59</v>
      </c>
      <c r="AA3413" t="s">
        <v>59</v>
      </c>
      <c r="AB3413" t="s">
        <v>59</v>
      </c>
      <c r="AC3413" t="s">
        <v>59</v>
      </c>
      <c r="AD3413" t="s">
        <v>59</v>
      </c>
      <c r="AF3413" s="1">
        <v>33844</v>
      </c>
      <c r="AG3413" t="s">
        <v>125</v>
      </c>
      <c r="AH3413" t="s">
        <v>126</v>
      </c>
      <c r="AI3413" t="str">
        <f>"4110015"</f>
        <v>4110015</v>
      </c>
      <c r="AJ3413" t="s">
        <v>5723</v>
      </c>
      <c r="AK3413">
        <v>2831022741</v>
      </c>
      <c r="AL3413" t="s">
        <v>5724</v>
      </c>
      <c r="AM3413" t="s">
        <v>64</v>
      </c>
      <c r="AN3413" t="s">
        <v>65</v>
      </c>
      <c r="AO3413" t="s">
        <v>5720</v>
      </c>
      <c r="AP3413" t="s">
        <v>5721</v>
      </c>
      <c r="AQ3413">
        <v>1</v>
      </c>
      <c r="AR3413" t="s">
        <v>5644</v>
      </c>
      <c r="AS3413" t="s">
        <v>5645</v>
      </c>
      <c r="AT3413" t="s">
        <v>58</v>
      </c>
      <c r="AU3413" t="s">
        <v>68</v>
      </c>
      <c r="AV3413" t="s">
        <v>69</v>
      </c>
      <c r="AW3413" s="1">
        <v>20982</v>
      </c>
      <c r="AX3413">
        <v>2</v>
      </c>
    </row>
    <row r="3414" spans="1:50">
      <c r="B3414" t="str">
        <f>"109139447"</f>
        <v>109139447</v>
      </c>
      <c r="C3414" t="s">
        <v>50</v>
      </c>
      <c r="D3414" t="s">
        <v>6569</v>
      </c>
      <c r="E3414" t="s">
        <v>112</v>
      </c>
      <c r="F3414" t="s">
        <v>95</v>
      </c>
      <c r="G3414" t="s">
        <v>414</v>
      </c>
      <c r="H3414" t="str">
        <f>"ΧΡΩΜΟΝΑΣΤΗΡΙ ΡΕΘΥΜΝΟ"</f>
        <v>ΧΡΩΜΟΝΑΣΤΗΡΙ ΡΕΘΥΜΝΟ</v>
      </c>
      <c r="I3414">
        <v>74100</v>
      </c>
      <c r="J3414">
        <v>2831075003</v>
      </c>
      <c r="K3414">
        <v>6977366293</v>
      </c>
      <c r="M3414" t="s">
        <v>6570</v>
      </c>
      <c r="N3414" t="s">
        <v>1039</v>
      </c>
      <c r="O3414" t="s">
        <v>1040</v>
      </c>
      <c r="R3414" t="s">
        <v>57</v>
      </c>
      <c r="S3414">
        <v>7</v>
      </c>
      <c r="T3414" t="s">
        <v>344</v>
      </c>
      <c r="U3414" s="1">
        <v>43348</v>
      </c>
      <c r="V3414" t="s">
        <v>5644</v>
      </c>
      <c r="W3414" t="s">
        <v>5645</v>
      </c>
      <c r="X3414" t="s">
        <v>58</v>
      </c>
      <c r="Y3414">
        <v>21</v>
      </c>
      <c r="Z3414" t="s">
        <v>59</v>
      </c>
      <c r="AA3414" t="s">
        <v>59</v>
      </c>
      <c r="AB3414" t="s">
        <v>59</v>
      </c>
      <c r="AC3414" t="s">
        <v>59</v>
      </c>
      <c r="AD3414" t="s">
        <v>59</v>
      </c>
      <c r="AF3414" s="1">
        <v>43348</v>
      </c>
      <c r="AG3414" t="s">
        <v>345</v>
      </c>
      <c r="AH3414" t="s">
        <v>346</v>
      </c>
      <c r="AI3414" t="str">
        <f>"4141010"</f>
        <v>4141010</v>
      </c>
      <c r="AJ3414" t="s">
        <v>6121</v>
      </c>
      <c r="AK3414">
        <v>2831035068</v>
      </c>
      <c r="AL3414" t="s">
        <v>6122</v>
      </c>
      <c r="AM3414" t="s">
        <v>64</v>
      </c>
      <c r="AN3414" t="s">
        <v>65</v>
      </c>
      <c r="AO3414" t="s">
        <v>65</v>
      </c>
      <c r="AP3414" t="s">
        <v>65</v>
      </c>
      <c r="AQ3414">
        <v>1</v>
      </c>
      <c r="AR3414" t="s">
        <v>5644</v>
      </c>
      <c r="AS3414" t="s">
        <v>5645</v>
      </c>
      <c r="AT3414" t="s">
        <v>58</v>
      </c>
      <c r="AU3414" t="s">
        <v>350</v>
      </c>
      <c r="AV3414" t="s">
        <v>132</v>
      </c>
      <c r="AW3414" s="1">
        <v>28097</v>
      </c>
      <c r="AX3414">
        <v>2</v>
      </c>
    </row>
    <row r="3415" spans="1:50">
      <c r="A3415">
        <v>189075</v>
      </c>
      <c r="B3415" t="str">
        <f>"110146491"</f>
        <v>110146491</v>
      </c>
      <c r="C3415" t="s">
        <v>50</v>
      </c>
      <c r="D3415" t="s">
        <v>3915</v>
      </c>
      <c r="E3415" t="s">
        <v>237</v>
      </c>
      <c r="F3415" t="s">
        <v>95</v>
      </c>
      <c r="G3415" t="s">
        <v>4925</v>
      </c>
      <c r="H3415" t="str">
        <f>"ΠΑΤΕΛΑΡΟΥ 9 ΜΑΣΤΑΜΠΑΣ ΗΡΑΚΛΕΙΟΥ"</f>
        <v>ΠΑΤΕΛΑΡΟΥ 9 ΜΑΣΤΑΜΠΑΣ ΗΡΑΚΛΕΙΟΥ</v>
      </c>
      <c r="I3415">
        <v>71305</v>
      </c>
      <c r="J3415">
        <v>2810236910</v>
      </c>
      <c r="N3415" t="s">
        <v>157</v>
      </c>
      <c r="O3415" t="s">
        <v>158</v>
      </c>
      <c r="R3415" t="s">
        <v>57</v>
      </c>
      <c r="S3415">
        <v>9</v>
      </c>
      <c r="T3415">
        <v>219</v>
      </c>
      <c r="U3415" s="1">
        <v>37134</v>
      </c>
      <c r="V3415" t="s">
        <v>5644</v>
      </c>
      <c r="W3415" t="s">
        <v>5645</v>
      </c>
      <c r="X3415" t="s">
        <v>58</v>
      </c>
      <c r="Y3415">
        <v>20</v>
      </c>
      <c r="Z3415" t="s">
        <v>59</v>
      </c>
      <c r="AA3415" t="s">
        <v>59</v>
      </c>
      <c r="AB3415" t="s">
        <v>59</v>
      </c>
      <c r="AC3415" t="s">
        <v>59</v>
      </c>
      <c r="AD3415" t="s">
        <v>59</v>
      </c>
      <c r="AF3415" s="1">
        <v>37134</v>
      </c>
      <c r="AG3415" t="s">
        <v>125</v>
      </c>
      <c r="AH3415" t="s">
        <v>126</v>
      </c>
      <c r="AI3415" t="str">
        <f>"4101020"</f>
        <v>4101020</v>
      </c>
      <c r="AJ3415" t="s">
        <v>5652</v>
      </c>
      <c r="AK3415">
        <v>2831023560</v>
      </c>
      <c r="AL3415" t="s">
        <v>5653</v>
      </c>
      <c r="AM3415" t="s">
        <v>64</v>
      </c>
      <c r="AN3415" t="s">
        <v>65</v>
      </c>
      <c r="AO3415" t="s">
        <v>65</v>
      </c>
      <c r="AP3415" t="s">
        <v>65</v>
      </c>
      <c r="AQ3415">
        <v>1</v>
      </c>
      <c r="AR3415" t="s">
        <v>5644</v>
      </c>
      <c r="AS3415" t="s">
        <v>5645</v>
      </c>
      <c r="AT3415" t="s">
        <v>58</v>
      </c>
      <c r="AU3415" t="s">
        <v>68</v>
      </c>
      <c r="AV3415" t="s">
        <v>69</v>
      </c>
      <c r="AW3415" s="1">
        <v>23674</v>
      </c>
      <c r="AX3415">
        <v>2</v>
      </c>
    </row>
    <row r="3416" spans="1:50">
      <c r="A3416">
        <v>158734</v>
      </c>
      <c r="B3416" t="str">
        <f>"026756051"</f>
        <v>026756051</v>
      </c>
      <c r="C3416" t="s">
        <v>105</v>
      </c>
      <c r="D3416" t="s">
        <v>6571</v>
      </c>
      <c r="E3416" t="s">
        <v>84</v>
      </c>
      <c r="F3416" t="s">
        <v>53</v>
      </c>
      <c r="G3416" t="s">
        <v>922</v>
      </c>
      <c r="H3416" t="str">
        <f>"ΒΟΓΙΑΤΖΑΚΗ 2  ΡΕΘΥΜΝΟ"</f>
        <v>ΒΟΓΙΑΤΖΑΚΗ 2  ΡΕΘΥΜΝΟ</v>
      </c>
      <c r="I3416">
        <v>74100</v>
      </c>
      <c r="N3416" t="s">
        <v>337</v>
      </c>
      <c r="O3416" t="s">
        <v>338</v>
      </c>
      <c r="R3416" t="s">
        <v>57</v>
      </c>
      <c r="S3416">
        <v>14</v>
      </c>
      <c r="T3416" t="s">
        <v>6572</v>
      </c>
      <c r="U3416" s="1">
        <v>33119</v>
      </c>
      <c r="V3416" t="s">
        <v>5644</v>
      </c>
      <c r="W3416" t="s">
        <v>5645</v>
      </c>
      <c r="X3416" t="s">
        <v>58</v>
      </c>
      <c r="Y3416">
        <v>18</v>
      </c>
      <c r="Z3416" t="s">
        <v>59</v>
      </c>
      <c r="AA3416" t="s">
        <v>59</v>
      </c>
      <c r="AB3416" t="s">
        <v>59</v>
      </c>
      <c r="AC3416" t="s">
        <v>59</v>
      </c>
      <c r="AD3416" t="s">
        <v>59</v>
      </c>
      <c r="AF3416" s="1">
        <v>33119</v>
      </c>
      <c r="AG3416" t="s">
        <v>125</v>
      </c>
      <c r="AH3416" t="s">
        <v>294</v>
      </c>
      <c r="AI3416" t="str">
        <f>"4101045"</f>
        <v>4101045</v>
      </c>
      <c r="AJ3416" t="s">
        <v>5677</v>
      </c>
      <c r="AK3416">
        <v>2831027553</v>
      </c>
      <c r="AL3416" t="s">
        <v>5678</v>
      </c>
      <c r="AM3416" t="s">
        <v>64</v>
      </c>
      <c r="AN3416" t="s">
        <v>65</v>
      </c>
      <c r="AO3416" t="s">
        <v>65</v>
      </c>
      <c r="AP3416" t="s">
        <v>65</v>
      </c>
      <c r="AQ3416">
        <v>1</v>
      </c>
      <c r="AR3416" t="s">
        <v>5644</v>
      </c>
      <c r="AS3416" t="s">
        <v>5645</v>
      </c>
      <c r="AT3416" t="s">
        <v>58</v>
      </c>
      <c r="AU3416" t="s">
        <v>68</v>
      </c>
      <c r="AV3416" t="s">
        <v>69</v>
      </c>
      <c r="AW3416" s="1">
        <v>19702</v>
      </c>
      <c r="AX3416">
        <v>2</v>
      </c>
    </row>
    <row r="3417" spans="1:50">
      <c r="A3417">
        <v>211787</v>
      </c>
      <c r="B3417" t="str">
        <f>"113849522"</f>
        <v>113849522</v>
      </c>
      <c r="C3417" t="s">
        <v>50</v>
      </c>
      <c r="D3417" t="s">
        <v>6573</v>
      </c>
      <c r="E3417" t="s">
        <v>513</v>
      </c>
      <c r="F3417" t="s">
        <v>99</v>
      </c>
      <c r="G3417" t="s">
        <v>250</v>
      </c>
      <c r="H3417" t="str">
        <f>"Χ. ΔΑΣΚΑΛΑΚΗ 22 ΡΕΘΥΜΝΟ"</f>
        <v>Χ. ΔΑΣΚΑΛΑΚΗ 22 ΡΕΘΥΜΝΟ</v>
      </c>
      <c r="I3417">
        <v>74100</v>
      </c>
      <c r="J3417">
        <v>2831029559</v>
      </c>
      <c r="K3417">
        <v>6978057333</v>
      </c>
      <c r="N3417" t="s">
        <v>157</v>
      </c>
      <c r="O3417" t="s">
        <v>158</v>
      </c>
      <c r="R3417" t="s">
        <v>57</v>
      </c>
      <c r="S3417">
        <v>8</v>
      </c>
      <c r="T3417">
        <v>231</v>
      </c>
      <c r="U3417" s="1">
        <v>38960</v>
      </c>
      <c r="V3417" t="s">
        <v>5644</v>
      </c>
      <c r="W3417" t="s">
        <v>5645</v>
      </c>
      <c r="X3417" t="s">
        <v>58</v>
      </c>
      <c r="Y3417">
        <v>20</v>
      </c>
      <c r="Z3417" t="s">
        <v>59</v>
      </c>
      <c r="AA3417" t="s">
        <v>59</v>
      </c>
      <c r="AB3417" t="s">
        <v>59</v>
      </c>
      <c r="AC3417" t="s">
        <v>59</v>
      </c>
      <c r="AD3417" t="s">
        <v>59</v>
      </c>
      <c r="AF3417" s="1">
        <v>38960</v>
      </c>
      <c r="AG3417" t="s">
        <v>125</v>
      </c>
      <c r="AH3417" t="s">
        <v>126</v>
      </c>
      <c r="AI3417" t="str">
        <f>"4101020"</f>
        <v>4101020</v>
      </c>
      <c r="AJ3417" t="s">
        <v>5652</v>
      </c>
      <c r="AK3417">
        <v>2831023560</v>
      </c>
      <c r="AL3417" t="s">
        <v>5653</v>
      </c>
      <c r="AM3417" t="s">
        <v>64</v>
      </c>
      <c r="AN3417" t="s">
        <v>65</v>
      </c>
      <c r="AO3417" t="s">
        <v>65</v>
      </c>
      <c r="AP3417" t="s">
        <v>65</v>
      </c>
      <c r="AQ3417">
        <v>1</v>
      </c>
      <c r="AR3417" t="s">
        <v>5644</v>
      </c>
      <c r="AS3417" t="s">
        <v>5645</v>
      </c>
      <c r="AT3417" t="s">
        <v>58</v>
      </c>
      <c r="AU3417" t="s">
        <v>68</v>
      </c>
      <c r="AV3417" t="s">
        <v>69</v>
      </c>
      <c r="AW3417" s="1">
        <v>26928</v>
      </c>
      <c r="AX3417">
        <v>2</v>
      </c>
    </row>
    <row r="3418" spans="1:50">
      <c r="A3418">
        <v>702380</v>
      </c>
      <c r="B3418" t="str">
        <f>"133603494"</f>
        <v>133603494</v>
      </c>
      <c r="C3418" t="s">
        <v>50</v>
      </c>
      <c r="D3418" t="s">
        <v>6574</v>
      </c>
      <c r="E3418" t="s">
        <v>2097</v>
      </c>
      <c r="F3418" t="s">
        <v>230</v>
      </c>
      <c r="G3418" t="s">
        <v>52</v>
      </c>
      <c r="H3418" t="str">
        <f>"ΣΑΡΑΝΤΑΠΟΡΟΥ 3 ΑΘΗΝΑ"</f>
        <v>ΣΑΡΑΝΤΑΠΟΡΟΥ 3 ΑΘΗΝΑ</v>
      </c>
      <c r="I3418">
        <v>16233</v>
      </c>
      <c r="J3418">
        <v>2833061330</v>
      </c>
      <c r="K3418">
        <v>6977714695</v>
      </c>
      <c r="L3418">
        <v>2107641027</v>
      </c>
      <c r="N3418" t="s">
        <v>146</v>
      </c>
      <c r="O3418" t="s">
        <v>147</v>
      </c>
      <c r="P3418" t="s">
        <v>306</v>
      </c>
      <c r="Q3418" t="s">
        <v>307</v>
      </c>
      <c r="R3418" t="s">
        <v>57</v>
      </c>
      <c r="S3418">
        <v>7</v>
      </c>
      <c r="T3418" t="s">
        <v>6575</v>
      </c>
      <c r="U3418" s="1">
        <v>40413</v>
      </c>
      <c r="V3418" t="s">
        <v>5644</v>
      </c>
      <c r="W3418" t="s">
        <v>5645</v>
      </c>
      <c r="X3418" t="s">
        <v>58</v>
      </c>
      <c r="Y3418">
        <v>21</v>
      </c>
      <c r="Z3418" t="s">
        <v>59</v>
      </c>
      <c r="AA3418" t="s">
        <v>59</v>
      </c>
      <c r="AB3418" t="s">
        <v>59</v>
      </c>
      <c r="AC3418" t="s">
        <v>59</v>
      </c>
      <c r="AD3418" t="s">
        <v>59</v>
      </c>
      <c r="AF3418" s="1">
        <v>40413</v>
      </c>
      <c r="AG3418" t="s">
        <v>148</v>
      </c>
      <c r="AH3418" t="s">
        <v>149</v>
      </c>
      <c r="AI3418" t="str">
        <f>"4153010"</f>
        <v>4153010</v>
      </c>
      <c r="AJ3418" t="s">
        <v>5670</v>
      </c>
      <c r="AK3418">
        <v>2834052090</v>
      </c>
      <c r="AL3418" t="s">
        <v>5671</v>
      </c>
      <c r="AM3418" t="s">
        <v>64</v>
      </c>
      <c r="AN3418" t="s">
        <v>5672</v>
      </c>
      <c r="AO3418" t="s">
        <v>5673</v>
      </c>
      <c r="AP3418" t="s">
        <v>5674</v>
      </c>
      <c r="AQ3418">
        <v>2</v>
      </c>
      <c r="AR3418" t="s">
        <v>5644</v>
      </c>
      <c r="AS3418" t="s">
        <v>5645</v>
      </c>
      <c r="AT3418" t="s">
        <v>58</v>
      </c>
      <c r="AU3418" t="s">
        <v>68</v>
      </c>
      <c r="AV3418" t="s">
        <v>69</v>
      </c>
      <c r="AW3418" s="1">
        <v>28944</v>
      </c>
      <c r="AX3418">
        <v>2</v>
      </c>
    </row>
    <row r="3419" spans="1:50">
      <c r="A3419">
        <v>212950</v>
      </c>
      <c r="B3419" t="str">
        <f>"043345155"</f>
        <v>043345155</v>
      </c>
      <c r="C3419" t="s">
        <v>50</v>
      </c>
      <c r="D3419" t="s">
        <v>6576</v>
      </c>
      <c r="E3419" t="s">
        <v>237</v>
      </c>
      <c r="F3419" t="s">
        <v>202</v>
      </c>
      <c r="G3419" t="s">
        <v>255</v>
      </c>
      <c r="H3419" t="str">
        <f>"ΙΩΑΝ. ΜΑΘΙΟΥΔΑΚΗ 20 "</f>
        <v xml:space="preserve">ΙΩΑΝ. ΜΑΘΙΟΥΔΑΚΗ 20 </v>
      </c>
      <c r="I3419">
        <v>74133</v>
      </c>
      <c r="J3419">
        <v>2831028625</v>
      </c>
      <c r="K3419">
        <v>6980934005</v>
      </c>
      <c r="N3419" t="s">
        <v>292</v>
      </c>
      <c r="O3419" t="s">
        <v>293</v>
      </c>
      <c r="R3419" t="s">
        <v>57</v>
      </c>
      <c r="S3419">
        <v>6</v>
      </c>
      <c r="T3419">
        <v>231</v>
      </c>
      <c r="U3419" s="1">
        <v>38960</v>
      </c>
      <c r="V3419" t="s">
        <v>5644</v>
      </c>
      <c r="W3419" t="s">
        <v>5645</v>
      </c>
      <c r="X3419" t="s">
        <v>58</v>
      </c>
      <c r="Y3419">
        <v>20</v>
      </c>
      <c r="Z3419" t="s">
        <v>59</v>
      </c>
      <c r="AA3419" t="s">
        <v>59</v>
      </c>
      <c r="AB3419" t="s">
        <v>59</v>
      </c>
      <c r="AC3419" t="s">
        <v>59</v>
      </c>
      <c r="AD3419" t="s">
        <v>59</v>
      </c>
      <c r="AF3419" s="1">
        <v>38961</v>
      </c>
      <c r="AG3419" t="s">
        <v>137</v>
      </c>
      <c r="AH3419" t="s">
        <v>138</v>
      </c>
      <c r="AI3419" t="str">
        <f>"4150040"</f>
        <v>4150040</v>
      </c>
      <c r="AJ3419" t="s">
        <v>5661</v>
      </c>
      <c r="AK3419">
        <v>2831029048</v>
      </c>
      <c r="AL3419" t="s">
        <v>5662</v>
      </c>
      <c r="AM3419" t="s">
        <v>64</v>
      </c>
      <c r="AN3419" t="s">
        <v>65</v>
      </c>
      <c r="AO3419" t="s">
        <v>65</v>
      </c>
      <c r="AP3419" t="s">
        <v>65</v>
      </c>
      <c r="AQ3419">
        <v>1</v>
      </c>
      <c r="AR3419" t="s">
        <v>5644</v>
      </c>
      <c r="AS3419" t="s">
        <v>5645</v>
      </c>
      <c r="AT3419" t="s">
        <v>58</v>
      </c>
      <c r="AU3419" t="s">
        <v>68</v>
      </c>
      <c r="AV3419" t="s">
        <v>69</v>
      </c>
      <c r="AW3419" s="1">
        <v>23903</v>
      </c>
      <c r="AX3419">
        <v>2</v>
      </c>
    </row>
    <row r="3420" spans="1:50">
      <c r="A3420">
        <v>166068</v>
      </c>
      <c r="B3420" t="str">
        <f>"027306375"</f>
        <v>027306375</v>
      </c>
      <c r="C3420" t="s">
        <v>50</v>
      </c>
      <c r="D3420" t="s">
        <v>6576</v>
      </c>
      <c r="E3420" t="s">
        <v>1179</v>
      </c>
      <c r="F3420" t="s">
        <v>202</v>
      </c>
      <c r="G3420" t="s">
        <v>255</v>
      </c>
      <c r="H3420" t="str">
        <f>"ΜΑΘΙΟΥΔΑΚΗ 20 ΡΕΘΥΜΝΟ"</f>
        <v>ΜΑΘΙΟΥΔΑΚΗ 20 ΡΕΘΥΜΝΟ</v>
      </c>
      <c r="I3420">
        <v>74100</v>
      </c>
      <c r="K3420">
        <v>6948332097</v>
      </c>
      <c r="M3420" t="s">
        <v>6577</v>
      </c>
      <c r="N3420" t="s">
        <v>292</v>
      </c>
      <c r="O3420" t="s">
        <v>293</v>
      </c>
      <c r="R3420" t="s">
        <v>57</v>
      </c>
      <c r="S3420">
        <v>14</v>
      </c>
      <c r="T3420">
        <v>137</v>
      </c>
      <c r="U3420" s="1">
        <v>34206</v>
      </c>
      <c r="V3420" t="s">
        <v>5644</v>
      </c>
      <c r="W3420" t="s">
        <v>5645</v>
      </c>
      <c r="X3420" t="s">
        <v>58</v>
      </c>
      <c r="Y3420">
        <v>18</v>
      </c>
      <c r="Z3420" t="s">
        <v>59</v>
      </c>
      <c r="AA3420" t="s">
        <v>59</v>
      </c>
      <c r="AB3420" t="s">
        <v>59</v>
      </c>
      <c r="AC3420" t="s">
        <v>59</v>
      </c>
      <c r="AD3420" t="s">
        <v>59</v>
      </c>
      <c r="AF3420" s="1">
        <v>34206</v>
      </c>
      <c r="AG3420" t="s">
        <v>148</v>
      </c>
      <c r="AH3420" t="s">
        <v>149</v>
      </c>
      <c r="AI3420" t="str">
        <f>"4151030"</f>
        <v>4151030</v>
      </c>
      <c r="AJ3420" t="s">
        <v>5681</v>
      </c>
      <c r="AK3420">
        <v>2831023422</v>
      </c>
      <c r="AL3420" t="s">
        <v>5682</v>
      </c>
      <c r="AM3420" t="s">
        <v>64</v>
      </c>
      <c r="AN3420" t="s">
        <v>65</v>
      </c>
      <c r="AO3420" t="s">
        <v>65</v>
      </c>
      <c r="AP3420" t="s">
        <v>65</v>
      </c>
      <c r="AQ3420">
        <v>1</v>
      </c>
      <c r="AR3420" t="s">
        <v>5644</v>
      </c>
      <c r="AS3420" t="s">
        <v>5645</v>
      </c>
      <c r="AT3420" t="s">
        <v>58</v>
      </c>
      <c r="AU3420" t="s">
        <v>68</v>
      </c>
      <c r="AV3420" t="s">
        <v>69</v>
      </c>
      <c r="AW3420" s="1">
        <v>22315</v>
      </c>
      <c r="AX3420">
        <v>2</v>
      </c>
    </row>
    <row r="3421" spans="1:50">
      <c r="A3421">
        <v>701216</v>
      </c>
      <c r="B3421" t="str">
        <f>"044914458"</f>
        <v>044914458</v>
      </c>
      <c r="C3421" t="s">
        <v>50</v>
      </c>
      <c r="D3421" t="s">
        <v>6576</v>
      </c>
      <c r="E3421" t="s">
        <v>1001</v>
      </c>
      <c r="F3421" t="s">
        <v>99</v>
      </c>
      <c r="G3421" t="s">
        <v>4671</v>
      </c>
      <c r="H3421" t="str">
        <f>"Γ. ΜΑΘΙΟΥΔΑΚΗ 15 ΠΕΡΙΒΟΛΙΑ ΡΕΘΥΜΝΟ"</f>
        <v>Γ. ΜΑΘΙΟΥΔΑΚΗ 15 ΠΕΡΙΒΟΛΙΑ ΡΕΘΥΜΝΟ</v>
      </c>
      <c r="I3421">
        <v>74100</v>
      </c>
      <c r="J3421">
        <v>2831056321</v>
      </c>
      <c r="K3421">
        <v>6972645260</v>
      </c>
      <c r="M3421" t="s">
        <v>6578</v>
      </c>
      <c r="N3421" t="s">
        <v>146</v>
      </c>
      <c r="O3421" t="s">
        <v>147</v>
      </c>
      <c r="R3421" t="s">
        <v>57</v>
      </c>
      <c r="S3421">
        <v>5</v>
      </c>
      <c r="T3421" t="s">
        <v>6579</v>
      </c>
      <c r="U3421" s="1">
        <v>40413</v>
      </c>
      <c r="V3421" t="s">
        <v>5644</v>
      </c>
      <c r="W3421" t="s">
        <v>5645</v>
      </c>
      <c r="X3421" t="s">
        <v>58</v>
      </c>
      <c r="Y3421">
        <v>21</v>
      </c>
      <c r="Z3421" t="s">
        <v>59</v>
      </c>
      <c r="AA3421" t="s">
        <v>59</v>
      </c>
      <c r="AB3421" t="s">
        <v>59</v>
      </c>
      <c r="AC3421" t="s">
        <v>59</v>
      </c>
      <c r="AD3421" t="s">
        <v>59</v>
      </c>
      <c r="AF3421" s="1">
        <v>40413</v>
      </c>
      <c r="AG3421" t="s">
        <v>148</v>
      </c>
      <c r="AH3421" t="s">
        <v>149</v>
      </c>
      <c r="AI3421" t="str">
        <f>"4153010"</f>
        <v>4153010</v>
      </c>
      <c r="AJ3421" t="s">
        <v>5670</v>
      </c>
      <c r="AK3421">
        <v>2834052090</v>
      </c>
      <c r="AL3421" t="s">
        <v>5671</v>
      </c>
      <c r="AM3421" t="s">
        <v>64</v>
      </c>
      <c r="AN3421" t="s">
        <v>5672</v>
      </c>
      <c r="AO3421" t="s">
        <v>5673</v>
      </c>
      <c r="AP3421" t="s">
        <v>5674</v>
      </c>
      <c r="AQ3421">
        <v>2</v>
      </c>
      <c r="AR3421" t="s">
        <v>5644</v>
      </c>
      <c r="AS3421" t="s">
        <v>5645</v>
      </c>
      <c r="AT3421" t="s">
        <v>58</v>
      </c>
      <c r="AU3421" t="s">
        <v>68</v>
      </c>
      <c r="AV3421" t="s">
        <v>69</v>
      </c>
      <c r="AW3421" s="1">
        <v>24999</v>
      </c>
      <c r="AX3421">
        <v>2</v>
      </c>
    </row>
    <row r="3422" spans="1:50">
      <c r="A3422">
        <v>217145</v>
      </c>
      <c r="B3422" t="str">
        <f>"118063065"</f>
        <v>118063065</v>
      </c>
      <c r="C3422" t="s">
        <v>50</v>
      </c>
      <c r="D3422" t="s">
        <v>6580</v>
      </c>
      <c r="E3422" t="s">
        <v>54</v>
      </c>
      <c r="F3422" t="s">
        <v>99</v>
      </c>
      <c r="G3422" t="s">
        <v>52</v>
      </c>
      <c r="H3422" t="str">
        <f>" "</f>
        <v xml:space="preserve"> </v>
      </c>
      <c r="J3422">
        <v>2106548481</v>
      </c>
      <c r="K3422">
        <v>6945371924</v>
      </c>
      <c r="N3422" t="s">
        <v>337</v>
      </c>
      <c r="O3422" t="s">
        <v>338</v>
      </c>
      <c r="R3422" t="s">
        <v>57</v>
      </c>
      <c r="S3422">
        <v>8</v>
      </c>
      <c r="T3422">
        <v>298</v>
      </c>
      <c r="U3422" s="1">
        <v>38985</v>
      </c>
      <c r="V3422" t="s">
        <v>5644</v>
      </c>
      <c r="W3422" t="s">
        <v>5645</v>
      </c>
      <c r="X3422" t="s">
        <v>58</v>
      </c>
      <c r="Y3422">
        <v>21</v>
      </c>
      <c r="Z3422" t="s">
        <v>59</v>
      </c>
      <c r="AA3422" t="s">
        <v>59</v>
      </c>
      <c r="AB3422" t="s">
        <v>452</v>
      </c>
      <c r="AC3422" t="s">
        <v>59</v>
      </c>
      <c r="AD3422" t="s">
        <v>59</v>
      </c>
      <c r="AF3422" s="1">
        <v>38985</v>
      </c>
      <c r="AG3422" t="s">
        <v>125</v>
      </c>
      <c r="AH3422" t="s">
        <v>294</v>
      </c>
      <c r="AI3422" t="str">
        <f>"4101045"</f>
        <v>4101045</v>
      </c>
      <c r="AJ3422" t="s">
        <v>5677</v>
      </c>
      <c r="AK3422">
        <v>2831027553</v>
      </c>
      <c r="AL3422" t="s">
        <v>5678</v>
      </c>
      <c r="AM3422" t="s">
        <v>64</v>
      </c>
      <c r="AN3422" t="s">
        <v>65</v>
      </c>
      <c r="AO3422" t="s">
        <v>65</v>
      </c>
      <c r="AP3422" t="s">
        <v>65</v>
      </c>
      <c r="AQ3422">
        <v>1</v>
      </c>
      <c r="AR3422" t="s">
        <v>5644</v>
      </c>
      <c r="AS3422" t="s">
        <v>5645</v>
      </c>
      <c r="AT3422" t="s">
        <v>58</v>
      </c>
      <c r="AU3422" t="s">
        <v>68</v>
      </c>
      <c r="AV3422" t="s">
        <v>69</v>
      </c>
      <c r="AW3422" s="1">
        <v>20765</v>
      </c>
      <c r="AX3422">
        <v>2</v>
      </c>
    </row>
    <row r="3423" spans="1:50">
      <c r="A3423">
        <v>191006</v>
      </c>
      <c r="B3423" t="str">
        <f>"103539407"</f>
        <v>103539407</v>
      </c>
      <c r="C3423" t="s">
        <v>50</v>
      </c>
      <c r="D3423" t="s">
        <v>6581</v>
      </c>
      <c r="E3423" t="s">
        <v>580</v>
      </c>
      <c r="F3423" t="s">
        <v>111</v>
      </c>
      <c r="G3423" t="s">
        <v>83</v>
      </c>
      <c r="H3423" t="str">
        <f>"ΘΕΟΤΟΚΟΠΟΥΛΟΥ 62Β ΡΕΘΥΜΝΟ"</f>
        <v>ΘΕΟΤΟΚΟΠΟΥΛΟΥ 62Β ΡΕΘΥΜΝΟ</v>
      </c>
      <c r="I3423">
        <v>74100</v>
      </c>
      <c r="J3423">
        <v>2831025369</v>
      </c>
      <c r="K3423">
        <v>6973539802</v>
      </c>
      <c r="N3423" t="s">
        <v>204</v>
      </c>
      <c r="O3423" t="s">
        <v>205</v>
      </c>
      <c r="P3423" t="s">
        <v>292</v>
      </c>
      <c r="Q3423" t="s">
        <v>293</v>
      </c>
      <c r="R3423" t="s">
        <v>57</v>
      </c>
      <c r="S3423">
        <v>8</v>
      </c>
      <c r="T3423">
        <v>219</v>
      </c>
      <c r="U3423" s="1">
        <v>37134</v>
      </c>
      <c r="V3423" t="s">
        <v>5644</v>
      </c>
      <c r="W3423" t="s">
        <v>5645</v>
      </c>
      <c r="X3423" t="s">
        <v>58</v>
      </c>
      <c r="Y3423">
        <v>20</v>
      </c>
      <c r="Z3423" t="s">
        <v>59</v>
      </c>
      <c r="AA3423" t="s">
        <v>59</v>
      </c>
      <c r="AB3423" t="s">
        <v>59</v>
      </c>
      <c r="AC3423" t="s">
        <v>59</v>
      </c>
      <c r="AD3423" t="s">
        <v>59</v>
      </c>
      <c r="AF3423" s="1">
        <v>37134</v>
      </c>
      <c r="AG3423" t="s">
        <v>148</v>
      </c>
      <c r="AH3423" t="s">
        <v>1053</v>
      </c>
      <c r="AI3423" t="str">
        <f>"4141057"</f>
        <v>4141057</v>
      </c>
      <c r="AJ3423" t="s">
        <v>5916</v>
      </c>
      <c r="AK3423">
        <v>2831035241</v>
      </c>
      <c r="AL3423" t="s">
        <v>5917</v>
      </c>
      <c r="AM3423" t="s">
        <v>64</v>
      </c>
      <c r="AN3423" t="s">
        <v>65</v>
      </c>
      <c r="AO3423" t="s">
        <v>65</v>
      </c>
      <c r="AP3423" t="s">
        <v>65</v>
      </c>
      <c r="AQ3423">
        <v>1</v>
      </c>
      <c r="AR3423" t="s">
        <v>5644</v>
      </c>
      <c r="AS3423" t="s">
        <v>5645</v>
      </c>
      <c r="AT3423" t="s">
        <v>58</v>
      </c>
      <c r="AU3423" t="s">
        <v>68</v>
      </c>
      <c r="AV3423" t="s">
        <v>69</v>
      </c>
      <c r="AW3423" s="1">
        <v>28264</v>
      </c>
      <c r="AX3423">
        <v>2</v>
      </c>
    </row>
    <row r="3424" spans="1:50">
      <c r="A3424">
        <v>193684</v>
      </c>
      <c r="B3424" t="str">
        <f>"100066772"</f>
        <v>100066772</v>
      </c>
      <c r="C3424" t="s">
        <v>50</v>
      </c>
      <c r="D3424" t="s">
        <v>3938</v>
      </c>
      <c r="E3424" t="s">
        <v>52</v>
      </c>
      <c r="F3424" t="s">
        <v>304</v>
      </c>
      <c r="G3424" t="s">
        <v>52</v>
      </c>
      <c r="H3424" t="str">
        <f>"ΜΙΛΤΙΑΔΗ 5 ΒΙΟΛΙ ΧΑΡΑΚΙ"</f>
        <v>ΜΙΛΤΙΑΔΗ 5 ΒΙΟΛΙ ΧΑΡΑΚΙ</v>
      </c>
      <c r="I3424">
        <v>74100</v>
      </c>
      <c r="J3424">
        <v>2831035853</v>
      </c>
      <c r="K3424">
        <v>6976004083</v>
      </c>
      <c r="N3424" t="s">
        <v>246</v>
      </c>
      <c r="O3424" t="s">
        <v>247</v>
      </c>
      <c r="R3424" t="s">
        <v>57</v>
      </c>
      <c r="S3424">
        <v>8</v>
      </c>
      <c r="T3424">
        <v>193</v>
      </c>
      <c r="U3424" s="1">
        <v>37497</v>
      </c>
      <c r="V3424" t="s">
        <v>5644</v>
      </c>
      <c r="W3424" t="s">
        <v>5645</v>
      </c>
      <c r="X3424" t="s">
        <v>58</v>
      </c>
      <c r="Y3424">
        <v>20</v>
      </c>
      <c r="Z3424" t="s">
        <v>59</v>
      </c>
      <c r="AA3424" t="s">
        <v>59</v>
      </c>
      <c r="AB3424" t="s">
        <v>59</v>
      </c>
      <c r="AC3424" t="s">
        <v>59</v>
      </c>
      <c r="AD3424" t="s">
        <v>59</v>
      </c>
      <c r="AF3424" s="1">
        <v>37497</v>
      </c>
      <c r="AG3424" t="s">
        <v>148</v>
      </c>
      <c r="AH3424" t="s">
        <v>149</v>
      </c>
      <c r="AI3424" t="str">
        <f>"4151009"</f>
        <v>4151009</v>
      </c>
      <c r="AJ3424" t="s">
        <v>5649</v>
      </c>
      <c r="AK3424">
        <v>2831027115</v>
      </c>
      <c r="AL3424" t="s">
        <v>5650</v>
      </c>
      <c r="AM3424" t="s">
        <v>64</v>
      </c>
      <c r="AN3424" t="s">
        <v>65</v>
      </c>
      <c r="AO3424" t="s">
        <v>65</v>
      </c>
      <c r="AP3424" t="s">
        <v>65</v>
      </c>
      <c r="AQ3424">
        <v>1</v>
      </c>
      <c r="AR3424" t="s">
        <v>5644</v>
      </c>
      <c r="AS3424" t="s">
        <v>5645</v>
      </c>
      <c r="AT3424" t="s">
        <v>58</v>
      </c>
      <c r="AU3424" t="s">
        <v>68</v>
      </c>
      <c r="AV3424" t="s">
        <v>69</v>
      </c>
      <c r="AW3424" s="1">
        <v>27782</v>
      </c>
      <c r="AX3424">
        <v>2</v>
      </c>
    </row>
    <row r="3425" spans="1:50">
      <c r="A3425">
        <v>183624</v>
      </c>
      <c r="B3425" t="str">
        <f>"057934551"</f>
        <v>057934551</v>
      </c>
      <c r="C3425" t="s">
        <v>50</v>
      </c>
      <c r="D3425" t="s">
        <v>3938</v>
      </c>
      <c r="E3425" t="s">
        <v>460</v>
      </c>
      <c r="F3425" t="s">
        <v>95</v>
      </c>
      <c r="G3425" t="s">
        <v>52</v>
      </c>
      <c r="H3425" t="str">
        <f>"ΘΕΟΤΟΚΟΠΟΥΛΟΥ 48 ΡΕΘΥΜΝΟ"</f>
        <v>ΘΕΟΤΟΚΟΠΟΥΛΟΥ 48 ΡΕΘΥΜΝΟ</v>
      </c>
      <c r="I3425">
        <v>74100</v>
      </c>
      <c r="J3425">
        <v>2831026279</v>
      </c>
      <c r="K3425">
        <v>6974749384</v>
      </c>
      <c r="M3425" t="s">
        <v>6582</v>
      </c>
      <c r="N3425" t="s">
        <v>146</v>
      </c>
      <c r="O3425" t="s">
        <v>147</v>
      </c>
      <c r="R3425" t="s">
        <v>57</v>
      </c>
      <c r="S3425">
        <v>9</v>
      </c>
      <c r="T3425">
        <v>177</v>
      </c>
      <c r="U3425" s="1">
        <v>36403</v>
      </c>
      <c r="V3425" t="s">
        <v>5644</v>
      </c>
      <c r="W3425" t="s">
        <v>5645</v>
      </c>
      <c r="X3425" t="s">
        <v>58</v>
      </c>
      <c r="Y3425">
        <v>20</v>
      </c>
      <c r="Z3425" t="s">
        <v>59</v>
      </c>
      <c r="AA3425" t="s">
        <v>59</v>
      </c>
      <c r="AB3425" t="s">
        <v>59</v>
      </c>
      <c r="AC3425" t="s">
        <v>59</v>
      </c>
      <c r="AD3425" t="s">
        <v>59</v>
      </c>
      <c r="AF3425" s="1">
        <v>36405</v>
      </c>
      <c r="AG3425" t="s">
        <v>125</v>
      </c>
      <c r="AH3425" t="s">
        <v>126</v>
      </c>
      <c r="AI3425" t="str">
        <f>"4101020"</f>
        <v>4101020</v>
      </c>
      <c r="AJ3425" t="s">
        <v>5652</v>
      </c>
      <c r="AK3425">
        <v>2831023560</v>
      </c>
      <c r="AL3425" t="s">
        <v>5653</v>
      </c>
      <c r="AM3425" t="s">
        <v>64</v>
      </c>
      <c r="AN3425" t="s">
        <v>65</v>
      </c>
      <c r="AO3425" t="s">
        <v>65</v>
      </c>
      <c r="AP3425" t="s">
        <v>65</v>
      </c>
      <c r="AQ3425">
        <v>1</v>
      </c>
      <c r="AR3425" t="s">
        <v>5644</v>
      </c>
      <c r="AS3425" t="s">
        <v>5645</v>
      </c>
      <c r="AT3425" t="s">
        <v>58</v>
      </c>
      <c r="AU3425" t="s">
        <v>68</v>
      </c>
      <c r="AV3425" t="s">
        <v>69</v>
      </c>
      <c r="AW3425" s="1">
        <v>26275</v>
      </c>
      <c r="AX3425">
        <v>2</v>
      </c>
    </row>
    <row r="3426" spans="1:50">
      <c r="A3426">
        <v>178257</v>
      </c>
      <c r="B3426" t="str">
        <f>"037372221"</f>
        <v>037372221</v>
      </c>
      <c r="C3426" t="s">
        <v>105</v>
      </c>
      <c r="D3426" t="s">
        <v>6583</v>
      </c>
      <c r="E3426" t="s">
        <v>166</v>
      </c>
      <c r="F3426" t="s">
        <v>53</v>
      </c>
      <c r="G3426" t="s">
        <v>73</v>
      </c>
      <c r="H3426" t="str">
        <f>"ΚΟΥΡΜΟΥΛΗ 54 "</f>
        <v xml:space="preserve">ΚΟΥΡΜΟΥΛΗ 54 </v>
      </c>
      <c r="I3426">
        <v>74100</v>
      </c>
      <c r="N3426" t="s">
        <v>204</v>
      </c>
      <c r="O3426" t="s">
        <v>205</v>
      </c>
      <c r="P3426" t="s">
        <v>246</v>
      </c>
      <c r="Q3426" t="s">
        <v>247</v>
      </c>
      <c r="R3426" t="s">
        <v>57</v>
      </c>
      <c r="S3426">
        <v>11</v>
      </c>
      <c r="T3426">
        <v>180</v>
      </c>
      <c r="U3426" s="1">
        <v>35674</v>
      </c>
      <c r="V3426" t="s">
        <v>5644</v>
      </c>
      <c r="W3426" t="s">
        <v>5645</v>
      </c>
      <c r="X3426" t="s">
        <v>58</v>
      </c>
      <c r="Y3426">
        <v>18</v>
      </c>
      <c r="Z3426" t="s">
        <v>59</v>
      </c>
      <c r="AA3426" t="s">
        <v>59</v>
      </c>
      <c r="AB3426" t="s">
        <v>59</v>
      </c>
      <c r="AC3426" t="s">
        <v>59</v>
      </c>
      <c r="AD3426" t="s">
        <v>59</v>
      </c>
      <c r="AF3426" s="1">
        <v>35674</v>
      </c>
      <c r="AG3426" t="s">
        <v>137</v>
      </c>
      <c r="AH3426" t="s">
        <v>138</v>
      </c>
      <c r="AI3426" t="str">
        <f>"4150040"</f>
        <v>4150040</v>
      </c>
      <c r="AJ3426" t="s">
        <v>5661</v>
      </c>
      <c r="AK3426">
        <v>2831029048</v>
      </c>
      <c r="AL3426" t="s">
        <v>5662</v>
      </c>
      <c r="AM3426" t="s">
        <v>64</v>
      </c>
      <c r="AN3426" t="s">
        <v>65</v>
      </c>
      <c r="AO3426" t="s">
        <v>65</v>
      </c>
      <c r="AP3426" t="s">
        <v>65</v>
      </c>
      <c r="AQ3426">
        <v>1</v>
      </c>
      <c r="AR3426" t="s">
        <v>5644</v>
      </c>
      <c r="AS3426" t="s">
        <v>5645</v>
      </c>
      <c r="AT3426" t="s">
        <v>58</v>
      </c>
      <c r="AU3426" t="s">
        <v>68</v>
      </c>
      <c r="AV3426" t="s">
        <v>69</v>
      </c>
      <c r="AW3426" s="1">
        <v>22580</v>
      </c>
      <c r="AX3426">
        <v>2</v>
      </c>
    </row>
    <row r="3427" spans="1:50">
      <c r="A3427">
        <v>226852</v>
      </c>
      <c r="B3427" t="str">
        <f>"124458786"</f>
        <v>124458786</v>
      </c>
      <c r="C3427" t="s">
        <v>105</v>
      </c>
      <c r="D3427" t="s">
        <v>6584</v>
      </c>
      <c r="E3427" t="s">
        <v>640</v>
      </c>
      <c r="F3427" t="s">
        <v>99</v>
      </c>
      <c r="G3427" t="s">
        <v>506</v>
      </c>
      <c r="H3427" t="str">
        <f>"ΕΜ.ΠΟΡΤΑΛΙΟΥ 28 ΡΕΘΥΜΝΟ"</f>
        <v>ΕΜ.ΠΟΡΤΑΛΙΟΥ 28 ΡΕΘΥΜΝΟ</v>
      </c>
      <c r="I3427">
        <v>74100</v>
      </c>
      <c r="J3427">
        <v>2831054579</v>
      </c>
      <c r="K3427">
        <v>6937484676</v>
      </c>
      <c r="L3427">
        <v>2831050694</v>
      </c>
      <c r="N3427" t="s">
        <v>146</v>
      </c>
      <c r="O3427" t="s">
        <v>147</v>
      </c>
      <c r="R3427" t="s">
        <v>57</v>
      </c>
      <c r="S3427">
        <v>6</v>
      </c>
      <c r="T3427">
        <v>654</v>
      </c>
      <c r="U3427" s="1">
        <v>40043</v>
      </c>
      <c r="V3427" t="s">
        <v>5644</v>
      </c>
      <c r="W3427" t="s">
        <v>5645</v>
      </c>
      <c r="X3427" t="s">
        <v>58</v>
      </c>
      <c r="Y3427">
        <v>21</v>
      </c>
      <c r="Z3427" t="s">
        <v>59</v>
      </c>
      <c r="AA3427" t="s">
        <v>59</v>
      </c>
      <c r="AB3427" t="s">
        <v>59</v>
      </c>
      <c r="AC3427" t="s">
        <v>59</v>
      </c>
      <c r="AD3427" t="s">
        <v>59</v>
      </c>
      <c r="AF3427" s="1">
        <v>40045</v>
      </c>
      <c r="AG3427" t="s">
        <v>125</v>
      </c>
      <c r="AH3427" t="s">
        <v>126</v>
      </c>
      <c r="AI3427" t="str">
        <f>"4102020"</f>
        <v>4102020</v>
      </c>
      <c r="AJ3427" t="s">
        <v>5761</v>
      </c>
      <c r="AK3427">
        <v>2831061491</v>
      </c>
      <c r="AL3427" t="s">
        <v>5762</v>
      </c>
      <c r="AM3427" t="s">
        <v>64</v>
      </c>
      <c r="AN3427" t="s">
        <v>65</v>
      </c>
      <c r="AO3427" t="s">
        <v>5657</v>
      </c>
      <c r="AP3427" t="s">
        <v>1437</v>
      </c>
      <c r="AQ3427">
        <v>1</v>
      </c>
      <c r="AR3427" t="s">
        <v>5644</v>
      </c>
      <c r="AS3427" t="s">
        <v>5645</v>
      </c>
      <c r="AT3427" t="s">
        <v>58</v>
      </c>
      <c r="AU3427" t="s">
        <v>68</v>
      </c>
      <c r="AV3427" t="s">
        <v>69</v>
      </c>
      <c r="AW3427" s="1">
        <v>28060</v>
      </c>
      <c r="AX3427">
        <v>2</v>
      </c>
    </row>
    <row r="3428" spans="1:50">
      <c r="A3428">
        <v>226855</v>
      </c>
      <c r="B3428" t="str">
        <f>"046595150"</f>
        <v>046595150</v>
      </c>
      <c r="C3428" t="s">
        <v>50</v>
      </c>
      <c r="D3428" t="s">
        <v>6585</v>
      </c>
      <c r="E3428" t="s">
        <v>52</v>
      </c>
      <c r="F3428" t="s">
        <v>53</v>
      </c>
      <c r="G3428" t="s">
        <v>215</v>
      </c>
      <c r="H3428" t="str">
        <f>"ΣΚΟΡΔΙΛΩΝ 10 ΡΕΘΥΜΝΟ"</f>
        <v>ΣΚΟΡΔΙΛΩΝ 10 ΡΕΘΥΜΝΟ</v>
      </c>
      <c r="I3428">
        <v>74100</v>
      </c>
      <c r="J3428">
        <v>2831029883</v>
      </c>
      <c r="K3428">
        <v>6987912672</v>
      </c>
      <c r="N3428" t="s">
        <v>146</v>
      </c>
      <c r="O3428" t="s">
        <v>147</v>
      </c>
      <c r="R3428" t="s">
        <v>57</v>
      </c>
      <c r="S3428">
        <v>5</v>
      </c>
      <c r="T3428">
        <v>654</v>
      </c>
      <c r="U3428" s="1">
        <v>40043</v>
      </c>
      <c r="V3428" t="s">
        <v>5644</v>
      </c>
      <c r="W3428" t="s">
        <v>5645</v>
      </c>
      <c r="X3428" t="s">
        <v>58</v>
      </c>
      <c r="Y3428">
        <v>21</v>
      </c>
      <c r="Z3428" t="s">
        <v>59</v>
      </c>
      <c r="AA3428" t="s">
        <v>59</v>
      </c>
      <c r="AB3428" t="s">
        <v>59</v>
      </c>
      <c r="AC3428" t="s">
        <v>59</v>
      </c>
      <c r="AD3428" t="s">
        <v>59</v>
      </c>
      <c r="AF3428" s="1">
        <v>40057</v>
      </c>
      <c r="AG3428" t="s">
        <v>148</v>
      </c>
      <c r="AH3428" t="s">
        <v>149</v>
      </c>
      <c r="AI3428" t="str">
        <f>"4158010"</f>
        <v>4158010</v>
      </c>
      <c r="AJ3428" t="s">
        <v>5778</v>
      </c>
      <c r="AK3428">
        <v>2833041400</v>
      </c>
      <c r="AL3428" t="s">
        <v>5779</v>
      </c>
      <c r="AM3428" t="s">
        <v>64</v>
      </c>
      <c r="AN3428" t="s">
        <v>5713</v>
      </c>
      <c r="AO3428" t="s">
        <v>5780</v>
      </c>
      <c r="AP3428" t="s">
        <v>5781</v>
      </c>
      <c r="AQ3428">
        <v>4</v>
      </c>
      <c r="AR3428" t="s">
        <v>5644</v>
      </c>
      <c r="AS3428" t="s">
        <v>5645</v>
      </c>
      <c r="AT3428" t="s">
        <v>58</v>
      </c>
      <c r="AU3428" t="s">
        <v>68</v>
      </c>
      <c r="AV3428" t="s">
        <v>69</v>
      </c>
      <c r="AW3428" s="1">
        <v>25925</v>
      </c>
      <c r="AX3428">
        <v>2</v>
      </c>
    </row>
    <row r="3429" spans="1:50">
      <c r="A3429">
        <v>205587</v>
      </c>
      <c r="B3429" t="str">
        <f>"062096023"</f>
        <v>062096023</v>
      </c>
      <c r="C3429" t="s">
        <v>105</v>
      </c>
      <c r="D3429" t="s">
        <v>6586</v>
      </c>
      <c r="E3429" t="s">
        <v>53</v>
      </c>
      <c r="F3429" t="s">
        <v>106</v>
      </c>
      <c r="G3429" t="s">
        <v>52</v>
      </c>
      <c r="H3429" t="str">
        <f>"ΚΑΠΟΔΙΣΤΡΙΟΥ 18 ΡΕΘΥΜΝΟ"</f>
        <v>ΚΑΠΟΔΙΣΤΡΙΟΥ 18 ΡΕΘΥΜΝΟ</v>
      </c>
      <c r="I3429">
        <v>74100</v>
      </c>
      <c r="K3429">
        <v>6988005759</v>
      </c>
      <c r="M3429" t="s">
        <v>6587</v>
      </c>
      <c r="N3429" t="s">
        <v>204</v>
      </c>
      <c r="O3429" t="s">
        <v>205</v>
      </c>
      <c r="P3429" t="s">
        <v>331</v>
      </c>
      <c r="Q3429" t="s">
        <v>332</v>
      </c>
      <c r="R3429" t="s">
        <v>57</v>
      </c>
      <c r="S3429">
        <v>9</v>
      </c>
      <c r="T3429">
        <v>231</v>
      </c>
      <c r="U3429" s="1">
        <v>38230</v>
      </c>
      <c r="V3429" t="s">
        <v>5644</v>
      </c>
      <c r="W3429" t="s">
        <v>5645</v>
      </c>
      <c r="X3429" t="s">
        <v>58</v>
      </c>
      <c r="Y3429">
        <v>20</v>
      </c>
      <c r="Z3429" t="s">
        <v>59</v>
      </c>
      <c r="AA3429" t="s">
        <v>59</v>
      </c>
      <c r="AB3429" t="s">
        <v>59</v>
      </c>
      <c r="AC3429" t="s">
        <v>59</v>
      </c>
      <c r="AD3429" t="s">
        <v>59</v>
      </c>
      <c r="AF3429" s="1">
        <v>38230</v>
      </c>
      <c r="AG3429" t="s">
        <v>148</v>
      </c>
      <c r="AH3429" t="s">
        <v>149</v>
      </c>
      <c r="AI3429" t="str">
        <f>"4151020"</f>
        <v>4151020</v>
      </c>
      <c r="AJ3429" t="s">
        <v>5725</v>
      </c>
      <c r="AK3429">
        <v>2831022475</v>
      </c>
      <c r="AL3429" t="s">
        <v>5726</v>
      </c>
      <c r="AM3429" t="s">
        <v>64</v>
      </c>
      <c r="AN3429" t="s">
        <v>65</v>
      </c>
      <c r="AO3429" t="s">
        <v>65</v>
      </c>
      <c r="AP3429" t="s">
        <v>65</v>
      </c>
      <c r="AQ3429">
        <v>1</v>
      </c>
      <c r="AR3429" t="s">
        <v>5644</v>
      </c>
      <c r="AS3429" t="s">
        <v>5645</v>
      </c>
      <c r="AT3429" t="s">
        <v>58</v>
      </c>
      <c r="AU3429" t="s">
        <v>68</v>
      </c>
      <c r="AV3429" t="s">
        <v>69</v>
      </c>
      <c r="AW3429" s="1">
        <v>27068</v>
      </c>
      <c r="AX3429">
        <v>2</v>
      </c>
    </row>
    <row r="3430" spans="1:50">
      <c r="A3430">
        <v>180961</v>
      </c>
      <c r="B3430" t="str">
        <f>"030173376"</f>
        <v>030173376</v>
      </c>
      <c r="C3430" t="s">
        <v>105</v>
      </c>
      <c r="D3430" t="s">
        <v>6588</v>
      </c>
      <c r="E3430" t="s">
        <v>474</v>
      </c>
      <c r="F3430" t="s">
        <v>72</v>
      </c>
      <c r="G3430" t="s">
        <v>566</v>
      </c>
      <c r="H3430" t="str">
        <f>"ΚΑΡΑΪΣΚΑΚΗ 2 ΠΑΝΟΡΑΜΑ"</f>
        <v>ΚΑΡΑΪΣΚΑΚΗ 2 ΠΑΝΟΡΑΜΑ</v>
      </c>
      <c r="I3430">
        <v>74100</v>
      </c>
      <c r="N3430" t="s">
        <v>478</v>
      </c>
      <c r="O3430" t="s">
        <v>479</v>
      </c>
      <c r="R3430" t="s">
        <v>57</v>
      </c>
      <c r="S3430">
        <v>10</v>
      </c>
      <c r="T3430">
        <v>164</v>
      </c>
      <c r="U3430" s="1">
        <v>36040</v>
      </c>
      <c r="V3430" t="s">
        <v>5644</v>
      </c>
      <c r="W3430" t="s">
        <v>5645</v>
      </c>
      <c r="X3430" t="s">
        <v>58</v>
      </c>
      <c r="Y3430">
        <v>18</v>
      </c>
      <c r="Z3430" t="s">
        <v>59</v>
      </c>
      <c r="AA3430" t="s">
        <v>59</v>
      </c>
      <c r="AB3430" t="s">
        <v>59</v>
      </c>
      <c r="AC3430" t="s">
        <v>59</v>
      </c>
      <c r="AD3430" t="s">
        <v>59</v>
      </c>
      <c r="AF3430" s="1">
        <v>36045</v>
      </c>
      <c r="AG3430" t="s">
        <v>125</v>
      </c>
      <c r="AH3430" t="s">
        <v>126</v>
      </c>
      <c r="AI3430" t="str">
        <f>"4110015"</f>
        <v>4110015</v>
      </c>
      <c r="AJ3430" t="s">
        <v>5723</v>
      </c>
      <c r="AK3430">
        <v>2831022741</v>
      </c>
      <c r="AL3430" t="s">
        <v>5724</v>
      </c>
      <c r="AM3430" t="s">
        <v>64</v>
      </c>
      <c r="AN3430" t="s">
        <v>65</v>
      </c>
      <c r="AO3430" t="s">
        <v>5720</v>
      </c>
      <c r="AP3430" t="s">
        <v>5721</v>
      </c>
      <c r="AQ3430">
        <v>1</v>
      </c>
      <c r="AR3430" t="s">
        <v>5644</v>
      </c>
      <c r="AS3430" t="s">
        <v>5645</v>
      </c>
      <c r="AT3430" t="s">
        <v>58</v>
      </c>
      <c r="AU3430" t="s">
        <v>68</v>
      </c>
      <c r="AV3430" t="s">
        <v>69</v>
      </c>
      <c r="AW3430" s="1">
        <v>21909</v>
      </c>
      <c r="AX3430">
        <v>2</v>
      </c>
    </row>
    <row r="3431" spans="1:50">
      <c r="A3431">
        <v>217146</v>
      </c>
      <c r="B3431" t="str">
        <f>"043345917"</f>
        <v>043345917</v>
      </c>
      <c r="C3431" t="s">
        <v>50</v>
      </c>
      <c r="D3431" t="s">
        <v>3963</v>
      </c>
      <c r="E3431" t="s">
        <v>6589</v>
      </c>
      <c r="F3431" t="s">
        <v>166</v>
      </c>
      <c r="G3431" t="s">
        <v>2297</v>
      </c>
      <c r="H3431" t="str">
        <f>"ΣΑΛΑΜΙΝΟΣ 11 ΡΕΘΥΜΝΟ"</f>
        <v>ΣΑΛΑΜΙΝΟΣ 11 ΡΕΘΥΜΝΟ</v>
      </c>
      <c r="I3431">
        <v>74100</v>
      </c>
      <c r="J3431">
        <v>2831027099</v>
      </c>
      <c r="K3431">
        <v>6937557427</v>
      </c>
      <c r="N3431" t="s">
        <v>337</v>
      </c>
      <c r="O3431" t="s">
        <v>338</v>
      </c>
      <c r="R3431" t="s">
        <v>57</v>
      </c>
      <c r="S3431">
        <v>9</v>
      </c>
      <c r="T3431">
        <v>298</v>
      </c>
      <c r="U3431" s="1">
        <v>38985</v>
      </c>
      <c r="V3431" t="s">
        <v>5644</v>
      </c>
      <c r="W3431" t="s">
        <v>5645</v>
      </c>
      <c r="X3431" t="s">
        <v>58</v>
      </c>
      <c r="Y3431">
        <v>20</v>
      </c>
      <c r="Z3431" t="s">
        <v>59</v>
      </c>
      <c r="AA3431" t="s">
        <v>59</v>
      </c>
      <c r="AB3431" t="s">
        <v>59</v>
      </c>
      <c r="AC3431" t="s">
        <v>59</v>
      </c>
      <c r="AD3431" t="s">
        <v>59</v>
      </c>
      <c r="AF3431" s="1">
        <v>38985</v>
      </c>
      <c r="AG3431" t="s">
        <v>125</v>
      </c>
      <c r="AH3431" t="s">
        <v>294</v>
      </c>
      <c r="AI3431" t="str">
        <f>"4101045"</f>
        <v>4101045</v>
      </c>
      <c r="AJ3431" t="s">
        <v>5677</v>
      </c>
      <c r="AK3431">
        <v>2831027553</v>
      </c>
      <c r="AL3431" t="s">
        <v>5678</v>
      </c>
      <c r="AM3431" t="s">
        <v>64</v>
      </c>
      <c r="AN3431" t="s">
        <v>65</v>
      </c>
      <c r="AO3431" t="s">
        <v>65</v>
      </c>
      <c r="AP3431" t="s">
        <v>65</v>
      </c>
      <c r="AQ3431">
        <v>1</v>
      </c>
      <c r="AR3431" t="s">
        <v>5644</v>
      </c>
      <c r="AS3431" t="s">
        <v>5645</v>
      </c>
      <c r="AT3431" t="s">
        <v>58</v>
      </c>
      <c r="AU3431" t="s">
        <v>68</v>
      </c>
      <c r="AV3431" t="s">
        <v>69</v>
      </c>
      <c r="AW3431" s="1">
        <v>25043</v>
      </c>
      <c r="AX3431">
        <v>2</v>
      </c>
    </row>
    <row r="3432" spans="1:50">
      <c r="A3432">
        <v>222663</v>
      </c>
      <c r="B3432" t="str">
        <f>"118846060"</f>
        <v>118846060</v>
      </c>
      <c r="C3432" t="s">
        <v>50</v>
      </c>
      <c r="D3432" t="s">
        <v>6590</v>
      </c>
      <c r="E3432" t="s">
        <v>109</v>
      </c>
      <c r="F3432" t="s">
        <v>5386</v>
      </c>
      <c r="G3432" t="s">
        <v>52</v>
      </c>
      <c r="H3432" t="str">
        <f>"ΒΑΡΝΑΛΗ 16 ΡΕΘΥΜΝΟ"</f>
        <v>ΒΑΡΝΑΛΗ 16 ΡΕΘΥΜΝΟ</v>
      </c>
      <c r="I3432">
        <v>74100</v>
      </c>
      <c r="J3432">
        <v>2831055074</v>
      </c>
      <c r="K3432">
        <v>6946342730</v>
      </c>
      <c r="M3432" t="s">
        <v>6591</v>
      </c>
      <c r="N3432" t="s">
        <v>146</v>
      </c>
      <c r="O3432" t="s">
        <v>147</v>
      </c>
      <c r="R3432" t="s">
        <v>57</v>
      </c>
      <c r="S3432">
        <v>5</v>
      </c>
      <c r="T3432">
        <v>775</v>
      </c>
      <c r="U3432" s="1">
        <v>39680</v>
      </c>
      <c r="V3432" t="s">
        <v>5644</v>
      </c>
      <c r="W3432" t="s">
        <v>5645</v>
      </c>
      <c r="X3432" t="s">
        <v>58</v>
      </c>
      <c r="Y3432">
        <v>21</v>
      </c>
      <c r="Z3432" t="s">
        <v>59</v>
      </c>
      <c r="AA3432" t="s">
        <v>59</v>
      </c>
      <c r="AB3432" t="s">
        <v>59</v>
      </c>
      <c r="AC3432" t="s">
        <v>59</v>
      </c>
      <c r="AD3432" t="s">
        <v>59</v>
      </c>
      <c r="AF3432" s="1">
        <v>39681</v>
      </c>
      <c r="AG3432" t="s">
        <v>125</v>
      </c>
      <c r="AH3432" t="s">
        <v>126</v>
      </c>
      <c r="AI3432" t="str">
        <f>"4106010"</f>
        <v>4106010</v>
      </c>
      <c r="AJ3432" t="s">
        <v>5880</v>
      </c>
      <c r="AK3432">
        <v>2832022035</v>
      </c>
      <c r="AL3432" t="s">
        <v>5881</v>
      </c>
      <c r="AM3432" t="s">
        <v>64</v>
      </c>
      <c r="AN3432" t="s">
        <v>5882</v>
      </c>
      <c r="AO3432" t="s">
        <v>5883</v>
      </c>
      <c r="AP3432" t="s">
        <v>5884</v>
      </c>
      <c r="AQ3432">
        <v>5</v>
      </c>
      <c r="AR3432" t="s">
        <v>5644</v>
      </c>
      <c r="AS3432" t="s">
        <v>5645</v>
      </c>
      <c r="AT3432" t="s">
        <v>58</v>
      </c>
      <c r="AU3432" t="s">
        <v>68</v>
      </c>
      <c r="AV3432" t="s">
        <v>69</v>
      </c>
      <c r="AW3432" s="1">
        <v>28940</v>
      </c>
      <c r="AX3432">
        <v>2</v>
      </c>
    </row>
    <row r="3433" spans="1:50">
      <c r="A3433">
        <v>203142</v>
      </c>
      <c r="B3433" t="str">
        <f>"056591158"</f>
        <v>056591158</v>
      </c>
      <c r="C3433" t="s">
        <v>50</v>
      </c>
      <c r="D3433" t="s">
        <v>6592</v>
      </c>
      <c r="E3433" t="s">
        <v>237</v>
      </c>
      <c r="F3433" t="s">
        <v>72</v>
      </c>
      <c r="G3433" t="s">
        <v>52</v>
      </c>
      <c r="H3433" t="str">
        <f>"ΣΩΤΗΡΗ ΠΕΤΡΟΥΛΑ 7 ΡΕΘΥΜΝΟ"</f>
        <v>ΣΩΤΗΡΗ ΠΕΤΡΟΥΛΑ 7 ΡΕΘΥΜΝΟ</v>
      </c>
      <c r="I3433">
        <v>74100</v>
      </c>
      <c r="J3433">
        <v>2831056798</v>
      </c>
      <c r="K3433">
        <v>6977940084</v>
      </c>
      <c r="L3433">
        <v>2109629629</v>
      </c>
      <c r="M3433" t="s">
        <v>6593</v>
      </c>
      <c r="N3433" t="s">
        <v>478</v>
      </c>
      <c r="O3433" t="s">
        <v>479</v>
      </c>
      <c r="R3433" t="s">
        <v>57</v>
      </c>
      <c r="S3433">
        <v>9</v>
      </c>
      <c r="T3433" t="s">
        <v>6594</v>
      </c>
      <c r="U3433" s="1">
        <v>38230</v>
      </c>
      <c r="V3433" t="s">
        <v>5644</v>
      </c>
      <c r="W3433" t="s">
        <v>5645</v>
      </c>
      <c r="X3433" t="s">
        <v>58</v>
      </c>
      <c r="Y3433">
        <v>20</v>
      </c>
      <c r="Z3433" t="s">
        <v>59</v>
      </c>
      <c r="AA3433" t="s">
        <v>59</v>
      </c>
      <c r="AB3433" t="s">
        <v>59</v>
      </c>
      <c r="AC3433" t="s">
        <v>59</v>
      </c>
      <c r="AD3433" t="s">
        <v>59</v>
      </c>
      <c r="AF3433" s="1">
        <v>38230</v>
      </c>
      <c r="AG3433" t="s">
        <v>125</v>
      </c>
      <c r="AH3433" t="s">
        <v>126</v>
      </c>
      <c r="AI3433" t="str">
        <f>"4104010"</f>
        <v>4104010</v>
      </c>
      <c r="AJ3433" t="s">
        <v>5745</v>
      </c>
      <c r="AK3433">
        <v>2834022235</v>
      </c>
      <c r="AL3433" t="s">
        <v>5746</v>
      </c>
      <c r="AM3433" t="s">
        <v>64</v>
      </c>
      <c r="AN3433" t="s">
        <v>5672</v>
      </c>
      <c r="AO3433" t="s">
        <v>5673</v>
      </c>
      <c r="AP3433" t="s">
        <v>5689</v>
      </c>
      <c r="AQ3433">
        <v>2</v>
      </c>
      <c r="AR3433" t="s">
        <v>5644</v>
      </c>
      <c r="AS3433" t="s">
        <v>5645</v>
      </c>
      <c r="AT3433" t="s">
        <v>58</v>
      </c>
      <c r="AU3433" t="s">
        <v>68</v>
      </c>
      <c r="AV3433" t="s">
        <v>69</v>
      </c>
      <c r="AW3433" s="1">
        <v>24005</v>
      </c>
      <c r="AX3433">
        <v>2</v>
      </c>
    </row>
    <row r="3434" spans="1:50">
      <c r="A3434">
        <v>701783</v>
      </c>
      <c r="B3434" t="str">
        <f>"075996352"</f>
        <v>075996352</v>
      </c>
      <c r="C3434" t="s">
        <v>105</v>
      </c>
      <c r="D3434" t="s">
        <v>6595</v>
      </c>
      <c r="E3434" t="s">
        <v>383</v>
      </c>
      <c r="F3434" t="s">
        <v>450</v>
      </c>
      <c r="G3434" t="s">
        <v>950</v>
      </c>
      <c r="H3434" t="str">
        <f>"ΚΑΛΟΜΕΝΟΠΟΥΛΟΥ 4 ΡΕΘΥΜΝΟ"</f>
        <v>ΚΑΛΟΜΕΝΟΠΟΥΛΟΥ 4 ΡΕΘΥΜΝΟ</v>
      </c>
      <c r="I3434">
        <v>74100</v>
      </c>
      <c r="J3434">
        <v>2831023529</v>
      </c>
      <c r="K3434">
        <v>6993985739</v>
      </c>
      <c r="M3434" t="s">
        <v>6596</v>
      </c>
      <c r="N3434" t="s">
        <v>146</v>
      </c>
      <c r="O3434" t="s">
        <v>147</v>
      </c>
      <c r="R3434" t="s">
        <v>57</v>
      </c>
      <c r="S3434">
        <v>5</v>
      </c>
      <c r="T3434">
        <v>772</v>
      </c>
      <c r="U3434" s="1">
        <v>40413</v>
      </c>
      <c r="V3434" t="s">
        <v>5644</v>
      </c>
      <c r="W3434" t="s">
        <v>5645</v>
      </c>
      <c r="X3434" t="s">
        <v>58</v>
      </c>
      <c r="Y3434">
        <v>21</v>
      </c>
      <c r="Z3434" t="s">
        <v>59</v>
      </c>
      <c r="AA3434" t="s">
        <v>59</v>
      </c>
      <c r="AB3434" t="s">
        <v>452</v>
      </c>
      <c r="AC3434" t="s">
        <v>59</v>
      </c>
      <c r="AD3434" t="s">
        <v>59</v>
      </c>
      <c r="AF3434" s="1">
        <v>40414</v>
      </c>
      <c r="AG3434" t="s">
        <v>148</v>
      </c>
      <c r="AH3434" t="s">
        <v>149</v>
      </c>
      <c r="AI3434" t="str">
        <f>"4144003"</f>
        <v>4144003</v>
      </c>
      <c r="AJ3434" t="s">
        <v>5757</v>
      </c>
      <c r="AK3434">
        <v>2831073970</v>
      </c>
      <c r="AL3434" t="s">
        <v>5758</v>
      </c>
      <c r="AM3434" t="s">
        <v>64</v>
      </c>
      <c r="AN3434" t="s">
        <v>65</v>
      </c>
      <c r="AO3434" t="s">
        <v>65</v>
      </c>
      <c r="AP3434" t="s">
        <v>65</v>
      </c>
      <c r="AQ3434">
        <v>1</v>
      </c>
      <c r="AR3434" t="s">
        <v>5644</v>
      </c>
      <c r="AS3434" t="s">
        <v>5645</v>
      </c>
      <c r="AT3434" t="s">
        <v>58</v>
      </c>
      <c r="AU3434" t="s">
        <v>68</v>
      </c>
      <c r="AV3434" t="s">
        <v>69</v>
      </c>
      <c r="AW3434" s="1">
        <v>25324</v>
      </c>
      <c r="AX3434">
        <v>2</v>
      </c>
    </row>
    <row r="3435" spans="1:50">
      <c r="B3435" t="str">
        <f>"132336513"</f>
        <v>132336513</v>
      </c>
      <c r="C3435" t="s">
        <v>50</v>
      </c>
      <c r="D3435" t="s">
        <v>6597</v>
      </c>
      <c r="E3435" t="s">
        <v>1029</v>
      </c>
      <c r="F3435" t="s">
        <v>383</v>
      </c>
      <c r="G3435" t="s">
        <v>52</v>
      </c>
      <c r="H3435" t="str">
        <f>"ΒΡΑΧΟΠΗΠΟΣ Κ.ΧΑΝΙ ΗΡΑΚΛΕΙΟ"</f>
        <v>ΒΡΑΧΟΠΗΠΟΣ Κ.ΧΑΝΙ ΗΡΑΚΛΕΙΟ</v>
      </c>
      <c r="I3435">
        <v>71500</v>
      </c>
      <c r="J3435">
        <v>2810761761</v>
      </c>
      <c r="K3435">
        <v>6976405608</v>
      </c>
      <c r="N3435" t="s">
        <v>232</v>
      </c>
      <c r="O3435" t="s">
        <v>233</v>
      </c>
      <c r="R3435" t="s">
        <v>159</v>
      </c>
      <c r="S3435">
        <v>3</v>
      </c>
      <c r="T3435" t="s">
        <v>574</v>
      </c>
      <c r="U3435" s="1">
        <v>43378</v>
      </c>
      <c r="V3435" t="s">
        <v>5644</v>
      </c>
      <c r="W3435" t="s">
        <v>5645</v>
      </c>
      <c r="X3435" t="s">
        <v>58</v>
      </c>
      <c r="Y3435">
        <v>21</v>
      </c>
      <c r="Z3435" t="s">
        <v>59</v>
      </c>
      <c r="AA3435" t="s">
        <v>59</v>
      </c>
      <c r="AB3435" t="s">
        <v>59</v>
      </c>
      <c r="AC3435" t="s">
        <v>59</v>
      </c>
      <c r="AD3435" t="s">
        <v>59</v>
      </c>
      <c r="AF3435" s="1">
        <v>43381</v>
      </c>
      <c r="AG3435" t="s">
        <v>125</v>
      </c>
      <c r="AH3435" t="s">
        <v>126</v>
      </c>
      <c r="AI3435" t="str">
        <f>"4109010"</f>
        <v>4109010</v>
      </c>
      <c r="AJ3435" t="s">
        <v>5786</v>
      </c>
      <c r="AK3435">
        <v>2834041366</v>
      </c>
      <c r="AL3435" t="s">
        <v>5787</v>
      </c>
      <c r="AM3435" t="s">
        <v>64</v>
      </c>
      <c r="AN3435" t="s">
        <v>5672</v>
      </c>
      <c r="AO3435" t="s">
        <v>5698</v>
      </c>
      <c r="AP3435" t="s">
        <v>5788</v>
      </c>
      <c r="AQ3435">
        <v>2</v>
      </c>
      <c r="AR3435" t="s">
        <v>5644</v>
      </c>
      <c r="AS3435" t="s">
        <v>5645</v>
      </c>
      <c r="AT3435" t="s">
        <v>58</v>
      </c>
      <c r="AU3435" t="s">
        <v>164</v>
      </c>
      <c r="AV3435" t="s">
        <v>132</v>
      </c>
      <c r="AW3435" s="1">
        <v>28874</v>
      </c>
      <c r="AX3435">
        <v>2</v>
      </c>
    </row>
    <row r="3436" spans="1:50">
      <c r="B3436" t="str">
        <f>"123696999"</f>
        <v>123696999</v>
      </c>
      <c r="C3436" t="s">
        <v>50</v>
      </c>
      <c r="D3436" t="s">
        <v>6598</v>
      </c>
      <c r="E3436" t="s">
        <v>620</v>
      </c>
      <c r="F3436" t="s">
        <v>6599</v>
      </c>
      <c r="G3436" t="s">
        <v>109</v>
      </c>
      <c r="H3436" t="str">
        <f>" "</f>
        <v xml:space="preserve"> </v>
      </c>
      <c r="N3436" t="s">
        <v>536</v>
      </c>
      <c r="O3436" t="s">
        <v>537</v>
      </c>
      <c r="R3436" t="s">
        <v>121</v>
      </c>
      <c r="S3436">
        <v>3</v>
      </c>
      <c r="T3436" t="s">
        <v>1944</v>
      </c>
      <c r="U3436" s="1">
        <v>43364</v>
      </c>
      <c r="V3436" t="s">
        <v>5644</v>
      </c>
      <c r="W3436" t="s">
        <v>5645</v>
      </c>
      <c r="X3436" t="s">
        <v>58</v>
      </c>
      <c r="Y3436">
        <v>23</v>
      </c>
      <c r="Z3436" t="s">
        <v>59</v>
      </c>
      <c r="AA3436" t="s">
        <v>59</v>
      </c>
      <c r="AB3436" t="s">
        <v>59</v>
      </c>
      <c r="AC3436" t="s">
        <v>59</v>
      </c>
      <c r="AD3436" t="s">
        <v>59</v>
      </c>
      <c r="AF3436" s="1">
        <v>43367</v>
      </c>
      <c r="AG3436" t="s">
        <v>125</v>
      </c>
      <c r="AH3436" t="s">
        <v>126</v>
      </c>
      <c r="AI3436" t="str">
        <f>"4102020"</f>
        <v>4102020</v>
      </c>
      <c r="AJ3436" t="s">
        <v>5761</v>
      </c>
      <c r="AK3436">
        <v>2831061491</v>
      </c>
      <c r="AL3436" t="s">
        <v>5762</v>
      </c>
      <c r="AM3436" t="s">
        <v>64</v>
      </c>
      <c r="AN3436" t="s">
        <v>65</v>
      </c>
      <c r="AO3436" t="s">
        <v>5657</v>
      </c>
      <c r="AP3436" t="s">
        <v>1437</v>
      </c>
      <c r="AQ3436">
        <v>1</v>
      </c>
      <c r="AR3436" t="s">
        <v>5644</v>
      </c>
      <c r="AS3436" t="s">
        <v>5645</v>
      </c>
      <c r="AT3436" t="s">
        <v>58</v>
      </c>
      <c r="AU3436" t="s">
        <v>350</v>
      </c>
      <c r="AV3436" t="s">
        <v>132</v>
      </c>
      <c r="AW3436" s="1">
        <v>32092</v>
      </c>
      <c r="AX3436">
        <v>2</v>
      </c>
    </row>
    <row r="3437" spans="1:50">
      <c r="A3437">
        <v>198276</v>
      </c>
      <c r="B3437" t="str">
        <f>"035720297"</f>
        <v>035720297</v>
      </c>
      <c r="C3437" t="s">
        <v>105</v>
      </c>
      <c r="D3437" t="s">
        <v>6600</v>
      </c>
      <c r="E3437" t="s">
        <v>975</v>
      </c>
      <c r="F3437" t="s">
        <v>1286</v>
      </c>
      <c r="G3437" t="s">
        <v>372</v>
      </c>
      <c r="H3437" t="str">
        <f>"ΜΑΡΟΥΛΑΣ ΡΕΘΥΜΝΟ"</f>
        <v>ΜΑΡΟΥΛΑΣ ΡΕΘΥΜΝΟ</v>
      </c>
      <c r="I3437">
        <v>74100</v>
      </c>
      <c r="J3437">
        <v>2831033067</v>
      </c>
      <c r="K3437">
        <v>6934546930</v>
      </c>
      <c r="N3437" t="s">
        <v>246</v>
      </c>
      <c r="O3437" t="s">
        <v>247</v>
      </c>
      <c r="R3437" t="s">
        <v>57</v>
      </c>
      <c r="S3437">
        <v>7</v>
      </c>
      <c r="T3437">
        <v>206</v>
      </c>
      <c r="U3437" s="1">
        <v>37866</v>
      </c>
      <c r="V3437" t="s">
        <v>5644</v>
      </c>
      <c r="W3437" t="s">
        <v>5645</v>
      </c>
      <c r="X3437" t="s">
        <v>58</v>
      </c>
      <c r="Y3437">
        <v>20</v>
      </c>
      <c r="Z3437" t="s">
        <v>59</v>
      </c>
      <c r="AA3437" t="s">
        <v>59</v>
      </c>
      <c r="AB3437" t="s">
        <v>59</v>
      </c>
      <c r="AC3437" t="s">
        <v>59</v>
      </c>
      <c r="AD3437" t="s">
        <v>59</v>
      </c>
      <c r="AF3437" s="1">
        <v>37866</v>
      </c>
      <c r="AG3437" t="s">
        <v>148</v>
      </c>
      <c r="AH3437" t="s">
        <v>149</v>
      </c>
      <c r="AI3437" t="str">
        <f>"4151020"</f>
        <v>4151020</v>
      </c>
      <c r="AJ3437" t="s">
        <v>5725</v>
      </c>
      <c r="AK3437">
        <v>2831022475</v>
      </c>
      <c r="AL3437" t="s">
        <v>5726</v>
      </c>
      <c r="AM3437" t="s">
        <v>64</v>
      </c>
      <c r="AN3437" t="s">
        <v>65</v>
      </c>
      <c r="AO3437" t="s">
        <v>65</v>
      </c>
      <c r="AP3437" t="s">
        <v>65</v>
      </c>
      <c r="AQ3437">
        <v>1</v>
      </c>
      <c r="AR3437" t="s">
        <v>5644</v>
      </c>
      <c r="AS3437" t="s">
        <v>5645</v>
      </c>
      <c r="AT3437" t="s">
        <v>58</v>
      </c>
      <c r="AU3437" t="s">
        <v>68</v>
      </c>
      <c r="AV3437" t="s">
        <v>69</v>
      </c>
      <c r="AW3437" s="1">
        <v>26754</v>
      </c>
      <c r="AX3437">
        <v>2</v>
      </c>
    </row>
    <row r="3438" spans="1:50">
      <c r="A3438">
        <v>196397</v>
      </c>
      <c r="B3438" t="str">
        <f>"043853499"</f>
        <v>043853499</v>
      </c>
      <c r="C3438" t="s">
        <v>105</v>
      </c>
      <c r="D3438" t="s">
        <v>6601</v>
      </c>
      <c r="E3438" t="s">
        <v>564</v>
      </c>
      <c r="F3438" t="s">
        <v>383</v>
      </c>
      <c r="G3438" t="s">
        <v>52</v>
      </c>
      <c r="H3438" t="str">
        <f>"Κ.ΠΑΛΑΜΑ 9 "</f>
        <v xml:space="preserve">Κ.ΠΑΛΑΜΑ 9 </v>
      </c>
      <c r="I3438">
        <v>74100</v>
      </c>
      <c r="J3438">
        <v>2831035269</v>
      </c>
      <c r="K3438">
        <v>6937538565</v>
      </c>
      <c r="N3438" t="s">
        <v>337</v>
      </c>
      <c r="O3438" t="s">
        <v>338</v>
      </c>
      <c r="R3438" t="s">
        <v>57</v>
      </c>
      <c r="S3438">
        <v>8</v>
      </c>
      <c r="T3438">
        <v>46</v>
      </c>
      <c r="U3438" s="1">
        <v>38049</v>
      </c>
      <c r="V3438" t="s">
        <v>5644</v>
      </c>
      <c r="W3438" t="s">
        <v>5645</v>
      </c>
      <c r="X3438" t="s">
        <v>58</v>
      </c>
      <c r="Y3438">
        <v>20</v>
      </c>
      <c r="Z3438" t="s">
        <v>59</v>
      </c>
      <c r="AA3438" t="s">
        <v>59</v>
      </c>
      <c r="AB3438" t="s">
        <v>59</v>
      </c>
      <c r="AC3438" t="s">
        <v>59</v>
      </c>
      <c r="AD3438" t="s">
        <v>59</v>
      </c>
      <c r="AF3438" s="1">
        <v>38049</v>
      </c>
      <c r="AG3438" t="s">
        <v>125</v>
      </c>
      <c r="AH3438" t="s">
        <v>126</v>
      </c>
      <c r="AI3438" t="str">
        <f>"4101020"</f>
        <v>4101020</v>
      </c>
      <c r="AJ3438" t="s">
        <v>5652</v>
      </c>
      <c r="AK3438">
        <v>2831023560</v>
      </c>
      <c r="AL3438" t="s">
        <v>5653</v>
      </c>
      <c r="AM3438" t="s">
        <v>64</v>
      </c>
      <c r="AN3438" t="s">
        <v>65</v>
      </c>
      <c r="AO3438" t="s">
        <v>65</v>
      </c>
      <c r="AP3438" t="s">
        <v>65</v>
      </c>
      <c r="AQ3438">
        <v>1</v>
      </c>
      <c r="AR3438" t="s">
        <v>5644</v>
      </c>
      <c r="AS3438" t="s">
        <v>5645</v>
      </c>
      <c r="AT3438" t="s">
        <v>58</v>
      </c>
      <c r="AU3438" t="s">
        <v>68</v>
      </c>
      <c r="AV3438" t="s">
        <v>69</v>
      </c>
      <c r="AW3438" s="1">
        <v>26805</v>
      </c>
      <c r="AX3438">
        <v>2</v>
      </c>
    </row>
    <row r="3439" spans="1:50">
      <c r="A3439">
        <v>145769</v>
      </c>
      <c r="B3439" t="str">
        <f>"026355894"</f>
        <v>026355894</v>
      </c>
      <c r="C3439" t="s">
        <v>50</v>
      </c>
      <c r="D3439" t="s">
        <v>6602</v>
      </c>
      <c r="E3439" t="s">
        <v>6603</v>
      </c>
      <c r="F3439" t="s">
        <v>377</v>
      </c>
      <c r="G3439" t="s">
        <v>3467</v>
      </c>
      <c r="H3439" t="str">
        <f>"ΒΑΒΟΥΡΑΚΗΔΩΝ 4 ΡΕΘΥΜΝΟ"</f>
        <v>ΒΑΒΟΥΡΑΚΗΔΩΝ 4 ΡΕΘΥΜΝΟ</v>
      </c>
      <c r="I3439">
        <v>74132</v>
      </c>
      <c r="J3439">
        <v>2831022916</v>
      </c>
      <c r="K3439">
        <v>6978325360</v>
      </c>
      <c r="M3439" t="s">
        <v>6604</v>
      </c>
      <c r="N3439" t="s">
        <v>146</v>
      </c>
      <c r="O3439" t="s">
        <v>147</v>
      </c>
      <c r="R3439" t="s">
        <v>57</v>
      </c>
      <c r="S3439">
        <v>17</v>
      </c>
      <c r="T3439">
        <v>237</v>
      </c>
      <c r="U3439" s="1">
        <v>31293</v>
      </c>
      <c r="V3439" t="s">
        <v>5644</v>
      </c>
      <c r="W3439" t="s">
        <v>5645</v>
      </c>
      <c r="X3439" t="s">
        <v>58</v>
      </c>
      <c r="Y3439">
        <v>18</v>
      </c>
      <c r="Z3439" t="s">
        <v>59</v>
      </c>
      <c r="AA3439" t="s">
        <v>59</v>
      </c>
      <c r="AB3439" t="s">
        <v>59</v>
      </c>
      <c r="AC3439" t="s">
        <v>59</v>
      </c>
      <c r="AD3439" t="s">
        <v>59</v>
      </c>
      <c r="AF3439" s="1">
        <v>31293</v>
      </c>
      <c r="AG3439" t="s">
        <v>148</v>
      </c>
      <c r="AH3439" t="s">
        <v>149</v>
      </c>
      <c r="AI3439" t="str">
        <f>"4151009"</f>
        <v>4151009</v>
      </c>
      <c r="AJ3439" t="s">
        <v>5649</v>
      </c>
      <c r="AK3439">
        <v>2831027115</v>
      </c>
      <c r="AL3439" t="s">
        <v>5650</v>
      </c>
      <c r="AM3439" t="s">
        <v>64</v>
      </c>
      <c r="AN3439" t="s">
        <v>65</v>
      </c>
      <c r="AO3439" t="s">
        <v>65</v>
      </c>
      <c r="AP3439" t="s">
        <v>65</v>
      </c>
      <c r="AQ3439">
        <v>1</v>
      </c>
      <c r="AR3439" t="s">
        <v>5644</v>
      </c>
      <c r="AS3439" t="s">
        <v>5645</v>
      </c>
      <c r="AT3439" t="s">
        <v>58</v>
      </c>
      <c r="AU3439" t="s">
        <v>68</v>
      </c>
      <c r="AV3439" t="s">
        <v>69</v>
      </c>
      <c r="AW3439" s="1">
        <v>21855</v>
      </c>
      <c r="AX3439">
        <v>2</v>
      </c>
    </row>
    <row r="3440" spans="1:50">
      <c r="A3440">
        <v>151879</v>
      </c>
      <c r="B3440" t="str">
        <f>"030173388"</f>
        <v>030173388</v>
      </c>
      <c r="C3440" t="s">
        <v>105</v>
      </c>
      <c r="D3440" t="s">
        <v>1376</v>
      </c>
      <c r="E3440" t="s">
        <v>995</v>
      </c>
      <c r="F3440" t="s">
        <v>5386</v>
      </c>
      <c r="G3440" t="s">
        <v>83</v>
      </c>
      <c r="H3440" t="str">
        <f>"ΑΣΚΟΥΤΣΗ 58 ΡΕΘΥΜΝΟ"</f>
        <v>ΑΣΚΟΥΤΣΗ 58 ΡΕΘΥΜΝΟ</v>
      </c>
      <c r="I3440">
        <v>74100</v>
      </c>
      <c r="J3440">
        <v>2831055123</v>
      </c>
      <c r="K3440">
        <v>6945154934</v>
      </c>
      <c r="N3440" t="s">
        <v>176</v>
      </c>
      <c r="O3440" t="s">
        <v>177</v>
      </c>
      <c r="R3440" t="s">
        <v>57</v>
      </c>
      <c r="S3440">
        <v>16</v>
      </c>
      <c r="T3440">
        <v>170</v>
      </c>
      <c r="U3440" s="1">
        <v>32016</v>
      </c>
      <c r="V3440" t="s">
        <v>5644</v>
      </c>
      <c r="W3440" t="s">
        <v>5645</v>
      </c>
      <c r="X3440" t="s">
        <v>58</v>
      </c>
      <c r="Y3440">
        <v>18</v>
      </c>
      <c r="Z3440" t="s">
        <v>59</v>
      </c>
      <c r="AA3440" t="s">
        <v>59</v>
      </c>
      <c r="AB3440" t="s">
        <v>59</v>
      </c>
      <c r="AC3440" t="s">
        <v>59</v>
      </c>
      <c r="AD3440" t="s">
        <v>59</v>
      </c>
      <c r="AF3440" s="1">
        <v>32021</v>
      </c>
      <c r="AG3440" t="s">
        <v>148</v>
      </c>
      <c r="AH3440" t="s">
        <v>149</v>
      </c>
      <c r="AI3440" t="str">
        <f>"4151020"</f>
        <v>4151020</v>
      </c>
      <c r="AJ3440" t="s">
        <v>5725</v>
      </c>
      <c r="AK3440">
        <v>2831022475</v>
      </c>
      <c r="AL3440" t="s">
        <v>5726</v>
      </c>
      <c r="AM3440" t="s">
        <v>64</v>
      </c>
      <c r="AN3440" t="s">
        <v>65</v>
      </c>
      <c r="AO3440" t="s">
        <v>65</v>
      </c>
      <c r="AP3440" t="s">
        <v>65</v>
      </c>
      <c r="AQ3440">
        <v>1</v>
      </c>
      <c r="AR3440" t="s">
        <v>5644</v>
      </c>
      <c r="AS3440" t="s">
        <v>5645</v>
      </c>
      <c r="AT3440" t="s">
        <v>58</v>
      </c>
      <c r="AU3440" t="s">
        <v>68</v>
      </c>
      <c r="AV3440" t="s">
        <v>69</v>
      </c>
      <c r="AW3440" s="1">
        <v>21668</v>
      </c>
      <c r="AX3440">
        <v>2</v>
      </c>
    </row>
    <row r="3441" spans="1:50">
      <c r="A3441">
        <v>203148</v>
      </c>
      <c r="B3441" t="str">
        <f>"062657617"</f>
        <v>062657617</v>
      </c>
      <c r="C3441" t="s">
        <v>50</v>
      </c>
      <c r="D3441" t="s">
        <v>4030</v>
      </c>
      <c r="E3441" t="s">
        <v>658</v>
      </c>
      <c r="F3441" t="s">
        <v>1093</v>
      </c>
      <c r="G3441" t="s">
        <v>334</v>
      </c>
      <c r="H3441" t="str">
        <f>"ΝΕΟΥ ΦΑΛΗΡΟΥ 69 ΑΓ. ΙΩΑΑΝΗ ΡΕΝΤΗ"</f>
        <v>ΝΕΟΥ ΦΑΛΗΡΟΥ 69 ΑΓ. ΙΩΑΑΝΗ ΡΕΝΤΗ</v>
      </c>
      <c r="I3441">
        <v>18233</v>
      </c>
      <c r="J3441">
        <v>2104815250</v>
      </c>
      <c r="K3441">
        <v>6945195550</v>
      </c>
      <c r="M3441" t="s">
        <v>6605</v>
      </c>
      <c r="N3441" t="s">
        <v>478</v>
      </c>
      <c r="O3441" t="s">
        <v>479</v>
      </c>
      <c r="R3441" t="s">
        <v>57</v>
      </c>
      <c r="S3441">
        <v>8</v>
      </c>
      <c r="T3441">
        <v>231</v>
      </c>
      <c r="U3441" s="1">
        <v>38230</v>
      </c>
      <c r="V3441" t="s">
        <v>5644</v>
      </c>
      <c r="W3441" t="s">
        <v>5645</v>
      </c>
      <c r="X3441" t="s">
        <v>58</v>
      </c>
      <c r="Y3441">
        <v>20</v>
      </c>
      <c r="Z3441" t="s">
        <v>59</v>
      </c>
      <c r="AA3441" t="s">
        <v>59</v>
      </c>
      <c r="AB3441" t="s">
        <v>59</v>
      </c>
      <c r="AC3441" t="s">
        <v>59</v>
      </c>
      <c r="AD3441" t="s">
        <v>59</v>
      </c>
      <c r="AF3441" s="1">
        <v>38230</v>
      </c>
      <c r="AG3441" t="s">
        <v>125</v>
      </c>
      <c r="AH3441" t="s">
        <v>126</v>
      </c>
      <c r="AI3441" t="str">
        <f>"4101020"</f>
        <v>4101020</v>
      </c>
      <c r="AJ3441" t="s">
        <v>5652</v>
      </c>
      <c r="AK3441">
        <v>2831023560</v>
      </c>
      <c r="AL3441" t="s">
        <v>5653</v>
      </c>
      <c r="AM3441" t="s">
        <v>64</v>
      </c>
      <c r="AN3441" t="s">
        <v>65</v>
      </c>
      <c r="AO3441" t="s">
        <v>65</v>
      </c>
      <c r="AP3441" t="s">
        <v>65</v>
      </c>
      <c r="AQ3441">
        <v>1</v>
      </c>
      <c r="AR3441" t="s">
        <v>5644</v>
      </c>
      <c r="AS3441" t="s">
        <v>5645</v>
      </c>
      <c r="AT3441" t="s">
        <v>58</v>
      </c>
      <c r="AU3441" t="s">
        <v>68</v>
      </c>
      <c r="AV3441" t="s">
        <v>132</v>
      </c>
      <c r="AW3441" s="1">
        <v>24040</v>
      </c>
      <c r="AX3441">
        <v>2</v>
      </c>
    </row>
    <row r="3442" spans="1:50">
      <c r="A3442">
        <v>215774</v>
      </c>
      <c r="B3442" t="str">
        <f>"138700664"</f>
        <v>138700664</v>
      </c>
      <c r="C3442" t="s">
        <v>105</v>
      </c>
      <c r="D3442" t="s">
        <v>4030</v>
      </c>
      <c r="E3442" t="s">
        <v>315</v>
      </c>
      <c r="F3442" t="s">
        <v>95</v>
      </c>
      <c r="G3442" t="s">
        <v>1520</v>
      </c>
      <c r="H3442" t="str">
        <f>"ΑΡΚΑΔΙΟΥ 10 "</f>
        <v xml:space="preserve">ΑΡΚΑΔΙΟΥ 10 </v>
      </c>
      <c r="I3442">
        <v>74100</v>
      </c>
      <c r="J3442">
        <v>2410230711</v>
      </c>
      <c r="K3442">
        <v>6955197278</v>
      </c>
      <c r="N3442" t="s">
        <v>204</v>
      </c>
      <c r="O3442" t="s">
        <v>205</v>
      </c>
      <c r="P3442" t="s">
        <v>299</v>
      </c>
      <c r="Q3442" t="s">
        <v>300</v>
      </c>
      <c r="R3442" t="s">
        <v>57</v>
      </c>
      <c r="S3442">
        <v>6</v>
      </c>
      <c r="T3442">
        <v>231</v>
      </c>
      <c r="U3442" s="1">
        <v>38960</v>
      </c>
      <c r="V3442" t="s">
        <v>5644</v>
      </c>
      <c r="W3442" t="s">
        <v>5645</v>
      </c>
      <c r="X3442" t="s">
        <v>58</v>
      </c>
      <c r="Y3442">
        <v>20</v>
      </c>
      <c r="Z3442" t="s">
        <v>59</v>
      </c>
      <c r="AA3442" t="s">
        <v>59</v>
      </c>
      <c r="AB3442" t="s">
        <v>59</v>
      </c>
      <c r="AC3442" t="s">
        <v>59</v>
      </c>
      <c r="AD3442" t="s">
        <v>59</v>
      </c>
      <c r="AF3442" s="1">
        <v>38961</v>
      </c>
      <c r="AG3442" t="s">
        <v>137</v>
      </c>
      <c r="AH3442" t="s">
        <v>138</v>
      </c>
      <c r="AI3442" t="str">
        <f>"4150040"</f>
        <v>4150040</v>
      </c>
      <c r="AJ3442" t="s">
        <v>5661</v>
      </c>
      <c r="AK3442">
        <v>2831029048</v>
      </c>
      <c r="AL3442" t="s">
        <v>5662</v>
      </c>
      <c r="AM3442" t="s">
        <v>64</v>
      </c>
      <c r="AN3442" t="s">
        <v>65</v>
      </c>
      <c r="AO3442" t="s">
        <v>65</v>
      </c>
      <c r="AP3442" t="s">
        <v>65</v>
      </c>
      <c r="AQ3442">
        <v>1</v>
      </c>
      <c r="AR3442" t="s">
        <v>5644</v>
      </c>
      <c r="AS3442" t="s">
        <v>5645</v>
      </c>
      <c r="AT3442" t="s">
        <v>58</v>
      </c>
      <c r="AU3442" t="s">
        <v>68</v>
      </c>
      <c r="AV3442" t="s">
        <v>69</v>
      </c>
      <c r="AW3442" s="1">
        <v>29254</v>
      </c>
      <c r="AX3442">
        <v>2</v>
      </c>
    </row>
    <row r="3443" spans="1:50">
      <c r="A3443">
        <v>153001</v>
      </c>
      <c r="B3443" t="str">
        <f>"065485010"</f>
        <v>065485010</v>
      </c>
      <c r="C3443" t="s">
        <v>50</v>
      </c>
      <c r="D3443" t="s">
        <v>6606</v>
      </c>
      <c r="E3443" t="s">
        <v>83</v>
      </c>
      <c r="F3443" t="s">
        <v>900</v>
      </c>
      <c r="G3443" t="s">
        <v>1078</v>
      </c>
      <c r="H3443" t="str">
        <f>"ΑΤΣΙΠΟΠΟΥΛΟ ΡΕΘΥΜΝΟ"</f>
        <v>ΑΤΣΙΠΟΠΟΥΛΟ ΡΕΘΥΜΝΟ</v>
      </c>
      <c r="I3443">
        <v>74100</v>
      </c>
      <c r="J3443">
        <v>2831032317</v>
      </c>
      <c r="K3443">
        <v>6972895112</v>
      </c>
      <c r="M3443" t="s">
        <v>6607</v>
      </c>
      <c r="N3443" t="s">
        <v>146</v>
      </c>
      <c r="O3443" t="s">
        <v>147</v>
      </c>
      <c r="R3443" t="s">
        <v>57</v>
      </c>
      <c r="S3443">
        <v>16</v>
      </c>
      <c r="T3443">
        <v>166</v>
      </c>
      <c r="U3443" s="1">
        <v>32010</v>
      </c>
      <c r="V3443" t="s">
        <v>5644</v>
      </c>
      <c r="W3443" t="s">
        <v>5645</v>
      </c>
      <c r="X3443" t="s">
        <v>58</v>
      </c>
      <c r="Y3443">
        <v>18</v>
      </c>
      <c r="Z3443" t="s">
        <v>59</v>
      </c>
      <c r="AA3443" t="s">
        <v>59</v>
      </c>
      <c r="AB3443" t="s">
        <v>59</v>
      </c>
      <c r="AC3443" t="s">
        <v>59</v>
      </c>
      <c r="AD3443" t="s">
        <v>59</v>
      </c>
      <c r="AF3443" s="1">
        <v>32023</v>
      </c>
      <c r="AG3443" t="s">
        <v>148</v>
      </c>
      <c r="AH3443" t="s">
        <v>149</v>
      </c>
      <c r="AI3443" t="str">
        <f>"4151009"</f>
        <v>4151009</v>
      </c>
      <c r="AJ3443" t="s">
        <v>5649</v>
      </c>
      <c r="AK3443">
        <v>2831027115</v>
      </c>
      <c r="AL3443" t="s">
        <v>5650</v>
      </c>
      <c r="AM3443" t="s">
        <v>64</v>
      </c>
      <c r="AN3443" t="s">
        <v>65</v>
      </c>
      <c r="AO3443" t="s">
        <v>65</v>
      </c>
      <c r="AP3443" t="s">
        <v>65</v>
      </c>
      <c r="AQ3443">
        <v>1</v>
      </c>
      <c r="AR3443" t="s">
        <v>5644</v>
      </c>
      <c r="AS3443" t="s">
        <v>5645</v>
      </c>
      <c r="AT3443" t="s">
        <v>58</v>
      </c>
      <c r="AU3443" t="s">
        <v>68</v>
      </c>
      <c r="AV3443" t="s">
        <v>69</v>
      </c>
      <c r="AW3443" s="1">
        <v>22327</v>
      </c>
      <c r="AX3443">
        <v>2</v>
      </c>
    </row>
    <row r="3444" spans="1:50">
      <c r="A3444">
        <v>700706</v>
      </c>
      <c r="B3444" t="str">
        <f>"121181308"</f>
        <v>121181308</v>
      </c>
      <c r="C3444" t="s">
        <v>105</v>
      </c>
      <c r="D3444" t="s">
        <v>6608</v>
      </c>
      <c r="E3444" t="s">
        <v>95</v>
      </c>
      <c r="F3444" t="s">
        <v>92</v>
      </c>
      <c r="G3444" t="s">
        <v>6609</v>
      </c>
      <c r="H3444" t="str">
        <f>"ΑΧΛΑΔΕΣ ΡΕΘΥΜΝΟ"</f>
        <v>ΑΧΛΑΔΕΣ ΡΕΘΥΜΝΟ</v>
      </c>
      <c r="I3444">
        <v>74052</v>
      </c>
      <c r="J3444">
        <v>2834022023</v>
      </c>
      <c r="K3444">
        <v>6934029480</v>
      </c>
      <c r="M3444" t="s">
        <v>6610</v>
      </c>
      <c r="N3444" t="s">
        <v>232</v>
      </c>
      <c r="O3444" t="s">
        <v>233</v>
      </c>
      <c r="R3444" t="s">
        <v>57</v>
      </c>
      <c r="S3444">
        <v>4</v>
      </c>
      <c r="T3444">
        <v>772</v>
      </c>
      <c r="U3444" s="1">
        <v>40413</v>
      </c>
      <c r="V3444" t="s">
        <v>5644</v>
      </c>
      <c r="W3444" t="s">
        <v>5645</v>
      </c>
      <c r="X3444" t="s">
        <v>58</v>
      </c>
      <c r="Y3444">
        <v>21</v>
      </c>
      <c r="Z3444" t="s">
        <v>59</v>
      </c>
      <c r="AA3444" t="s">
        <v>59</v>
      </c>
      <c r="AB3444" t="s">
        <v>59</v>
      </c>
      <c r="AC3444" t="s">
        <v>59</v>
      </c>
      <c r="AD3444" t="s">
        <v>59</v>
      </c>
      <c r="AF3444" s="1">
        <v>40422</v>
      </c>
      <c r="AG3444" t="s">
        <v>148</v>
      </c>
      <c r="AH3444" t="s">
        <v>149</v>
      </c>
      <c r="AI3444" t="str">
        <f>"4156010"</f>
        <v>4156010</v>
      </c>
      <c r="AJ3444" t="s">
        <v>5925</v>
      </c>
      <c r="AK3444">
        <v>2832022328</v>
      </c>
      <c r="AL3444" t="s">
        <v>5926</v>
      </c>
      <c r="AM3444" t="s">
        <v>64</v>
      </c>
      <c r="AN3444" t="s">
        <v>5882</v>
      </c>
      <c r="AO3444" t="s">
        <v>5883</v>
      </c>
      <c r="AP3444" t="s">
        <v>5884</v>
      </c>
      <c r="AQ3444">
        <v>5</v>
      </c>
      <c r="AR3444" t="s">
        <v>5644</v>
      </c>
      <c r="AS3444" t="s">
        <v>5645</v>
      </c>
      <c r="AT3444" t="s">
        <v>58</v>
      </c>
      <c r="AU3444" t="s">
        <v>68</v>
      </c>
      <c r="AV3444" t="s">
        <v>69</v>
      </c>
      <c r="AW3444" s="1">
        <v>30046</v>
      </c>
      <c r="AX3444">
        <v>2</v>
      </c>
    </row>
    <row r="3445" spans="1:50">
      <c r="A3445">
        <v>229920</v>
      </c>
      <c r="B3445" t="str">
        <f>"107003051"</f>
        <v>107003051</v>
      </c>
      <c r="C3445" t="s">
        <v>105</v>
      </c>
      <c r="D3445" t="s">
        <v>6611</v>
      </c>
      <c r="E3445" t="s">
        <v>95</v>
      </c>
      <c r="F3445" t="s">
        <v>670</v>
      </c>
      <c r="G3445" t="s">
        <v>382</v>
      </c>
      <c r="H3445" t="str">
        <f>"ΕΡΩΤΟΚΡΙΤΟΥ 1 "</f>
        <v xml:space="preserve">ΕΡΩΤΟΚΡΙΤΟΥ 1 </v>
      </c>
      <c r="I3445">
        <v>74132</v>
      </c>
      <c r="J3445">
        <v>2384022646</v>
      </c>
      <c r="K3445">
        <v>6973334465</v>
      </c>
      <c r="N3445" t="s">
        <v>282</v>
      </c>
      <c r="O3445" t="s">
        <v>283</v>
      </c>
      <c r="R3445" t="s">
        <v>57</v>
      </c>
      <c r="S3445">
        <v>6</v>
      </c>
      <c r="T3445">
        <v>4</v>
      </c>
      <c r="U3445" s="1">
        <v>40186</v>
      </c>
      <c r="V3445" t="s">
        <v>5644</v>
      </c>
      <c r="W3445" t="s">
        <v>5645</v>
      </c>
      <c r="X3445" t="s">
        <v>58</v>
      </c>
      <c r="Y3445">
        <v>21</v>
      </c>
      <c r="Z3445" t="s">
        <v>59</v>
      </c>
      <c r="AA3445" t="s">
        <v>59</v>
      </c>
      <c r="AB3445" t="s">
        <v>59</v>
      </c>
      <c r="AC3445" t="s">
        <v>59</v>
      </c>
      <c r="AD3445" t="s">
        <v>59</v>
      </c>
      <c r="AF3445" s="1">
        <v>40191</v>
      </c>
      <c r="AG3445" t="s">
        <v>137</v>
      </c>
      <c r="AH3445" t="s">
        <v>138</v>
      </c>
      <c r="AI3445" t="str">
        <f>"4150040"</f>
        <v>4150040</v>
      </c>
      <c r="AJ3445" t="s">
        <v>5661</v>
      </c>
      <c r="AK3445">
        <v>2831029048</v>
      </c>
      <c r="AL3445" t="s">
        <v>5662</v>
      </c>
      <c r="AM3445" t="s">
        <v>64</v>
      </c>
      <c r="AN3445" t="s">
        <v>65</v>
      </c>
      <c r="AO3445" t="s">
        <v>65</v>
      </c>
      <c r="AP3445" t="s">
        <v>65</v>
      </c>
      <c r="AQ3445">
        <v>1</v>
      </c>
      <c r="AR3445" t="s">
        <v>5644</v>
      </c>
      <c r="AS3445" t="s">
        <v>5645</v>
      </c>
      <c r="AT3445" t="s">
        <v>58</v>
      </c>
      <c r="AU3445" t="s">
        <v>68</v>
      </c>
      <c r="AV3445" t="s">
        <v>69</v>
      </c>
      <c r="AW3445" s="1">
        <v>29736</v>
      </c>
      <c r="AX3445">
        <v>2</v>
      </c>
    </row>
    <row r="3446" spans="1:50">
      <c r="A3446">
        <v>188204</v>
      </c>
      <c r="B3446" t="str">
        <f>"075945131"</f>
        <v>075945131</v>
      </c>
      <c r="C3446" t="s">
        <v>105</v>
      </c>
      <c r="D3446" t="s">
        <v>6612</v>
      </c>
      <c r="E3446" t="s">
        <v>496</v>
      </c>
      <c r="F3446" t="s">
        <v>6208</v>
      </c>
      <c r="G3446" t="s">
        <v>237</v>
      </c>
      <c r="H3446" t="str">
        <f>"ΚΟΥΡΜΟΥΛΗ 125 ΜΑΣΤΑΜΠΑΣ"</f>
        <v>ΚΟΥΡΜΟΥΛΗ 125 ΜΑΣΤΑΜΠΑΣ</v>
      </c>
      <c r="I3446">
        <v>74100</v>
      </c>
      <c r="N3446" t="s">
        <v>204</v>
      </c>
      <c r="O3446" t="s">
        <v>205</v>
      </c>
      <c r="R3446" t="s">
        <v>57</v>
      </c>
      <c r="S3446">
        <v>10</v>
      </c>
      <c r="T3446">
        <v>251</v>
      </c>
      <c r="U3446" s="1">
        <v>36769</v>
      </c>
      <c r="V3446" t="s">
        <v>5644</v>
      </c>
      <c r="W3446" t="s">
        <v>5645</v>
      </c>
      <c r="X3446" t="s">
        <v>58</v>
      </c>
      <c r="Y3446">
        <v>18</v>
      </c>
      <c r="Z3446" t="s">
        <v>59</v>
      </c>
      <c r="AA3446" t="s">
        <v>59</v>
      </c>
      <c r="AB3446" t="s">
        <v>59</v>
      </c>
      <c r="AC3446" t="s">
        <v>59</v>
      </c>
      <c r="AD3446" t="s">
        <v>59</v>
      </c>
      <c r="AF3446" s="1">
        <v>36769</v>
      </c>
      <c r="AG3446" t="s">
        <v>125</v>
      </c>
      <c r="AH3446" t="s">
        <v>126</v>
      </c>
      <c r="AI3446" t="str">
        <f>"4101040"</f>
        <v>4101040</v>
      </c>
      <c r="AJ3446" t="s">
        <v>5732</v>
      </c>
      <c r="AK3446">
        <v>2831029261</v>
      </c>
      <c r="AL3446" t="s">
        <v>5733</v>
      </c>
      <c r="AM3446" t="s">
        <v>64</v>
      </c>
      <c r="AN3446" t="s">
        <v>65</v>
      </c>
      <c r="AO3446" t="s">
        <v>65</v>
      </c>
      <c r="AP3446" t="s">
        <v>65</v>
      </c>
      <c r="AQ3446">
        <v>1</v>
      </c>
      <c r="AR3446" t="s">
        <v>5644</v>
      </c>
      <c r="AS3446" t="s">
        <v>5645</v>
      </c>
      <c r="AT3446" t="s">
        <v>58</v>
      </c>
      <c r="AU3446" t="s">
        <v>68</v>
      </c>
      <c r="AV3446" t="s">
        <v>69</v>
      </c>
      <c r="AW3446" s="1">
        <v>25670</v>
      </c>
      <c r="AX3446">
        <v>2</v>
      </c>
    </row>
    <row r="3447" spans="1:50">
      <c r="A3447">
        <v>206388</v>
      </c>
      <c r="B3447" t="str">
        <f>"054184430"</f>
        <v>054184430</v>
      </c>
      <c r="C3447" t="s">
        <v>50</v>
      </c>
      <c r="D3447" t="s">
        <v>6613</v>
      </c>
      <c r="E3447" t="s">
        <v>1277</v>
      </c>
      <c r="F3447" t="s">
        <v>309</v>
      </c>
      <c r="G3447" t="s">
        <v>787</v>
      </c>
      <c r="H3447" t="str">
        <f>"Ν. ΠΑΤΕΛΑΡΟΥ 7 ΡΕΘΥΜΝΟ"</f>
        <v>Ν. ΠΑΤΕΛΑΡΟΥ 7 ΡΕΘΥΜΝΟ</v>
      </c>
      <c r="I3447">
        <v>74100</v>
      </c>
      <c r="N3447" t="s">
        <v>337</v>
      </c>
      <c r="O3447" t="s">
        <v>338</v>
      </c>
      <c r="R3447" t="s">
        <v>57</v>
      </c>
      <c r="S3447">
        <v>12</v>
      </c>
      <c r="T3447" t="s">
        <v>6614</v>
      </c>
      <c r="U3447" s="1">
        <v>34228</v>
      </c>
      <c r="V3447" t="s">
        <v>5644</v>
      </c>
      <c r="W3447" t="s">
        <v>5645</v>
      </c>
      <c r="X3447" t="s">
        <v>58</v>
      </c>
      <c r="Y3447">
        <v>18</v>
      </c>
      <c r="Z3447" t="s">
        <v>59</v>
      </c>
      <c r="AA3447" t="s">
        <v>59</v>
      </c>
      <c r="AB3447" t="s">
        <v>59</v>
      </c>
      <c r="AC3447" t="s">
        <v>59</v>
      </c>
      <c r="AD3447" t="s">
        <v>59</v>
      </c>
      <c r="AF3447" s="1">
        <v>34228</v>
      </c>
      <c r="AG3447" t="s">
        <v>125</v>
      </c>
      <c r="AH3447" t="s">
        <v>294</v>
      </c>
      <c r="AI3447" t="str">
        <f>"4101045"</f>
        <v>4101045</v>
      </c>
      <c r="AJ3447" t="s">
        <v>5677</v>
      </c>
      <c r="AK3447">
        <v>2831027553</v>
      </c>
      <c r="AL3447" t="s">
        <v>5678</v>
      </c>
      <c r="AM3447" t="s">
        <v>64</v>
      </c>
      <c r="AN3447" t="s">
        <v>65</v>
      </c>
      <c r="AO3447" t="s">
        <v>65</v>
      </c>
      <c r="AP3447" t="s">
        <v>65</v>
      </c>
      <c r="AQ3447">
        <v>1</v>
      </c>
      <c r="AR3447" t="s">
        <v>5644</v>
      </c>
      <c r="AS3447" t="s">
        <v>5645</v>
      </c>
      <c r="AT3447" t="s">
        <v>58</v>
      </c>
      <c r="AU3447" t="s">
        <v>68</v>
      </c>
      <c r="AV3447" t="s">
        <v>69</v>
      </c>
      <c r="AW3447" s="1">
        <v>25685</v>
      </c>
      <c r="AX3447">
        <v>2</v>
      </c>
    </row>
    <row r="3448" spans="1:50">
      <c r="A3448">
        <v>224265</v>
      </c>
      <c r="B3448" t="str">
        <f>"137318895"</f>
        <v>137318895</v>
      </c>
      <c r="C3448" t="s">
        <v>105</v>
      </c>
      <c r="D3448" t="s">
        <v>6615</v>
      </c>
      <c r="E3448" t="s">
        <v>99</v>
      </c>
      <c r="F3448" t="s">
        <v>154</v>
      </c>
      <c r="G3448" t="s">
        <v>6616</v>
      </c>
      <c r="H3448" t="str">
        <f>"Γ.ΣΚΟΥΛΑ 12 "</f>
        <v xml:space="preserve">Γ.ΣΚΟΥΛΑ 12 </v>
      </c>
      <c r="I3448">
        <v>74132</v>
      </c>
      <c r="J3448">
        <v>2310937529</v>
      </c>
      <c r="K3448">
        <v>6972648499</v>
      </c>
      <c r="N3448" t="s">
        <v>306</v>
      </c>
      <c r="O3448" t="s">
        <v>307</v>
      </c>
      <c r="R3448" t="s">
        <v>57</v>
      </c>
      <c r="S3448">
        <v>5</v>
      </c>
      <c r="T3448">
        <v>775</v>
      </c>
      <c r="U3448" s="1">
        <v>39680</v>
      </c>
      <c r="V3448" t="s">
        <v>5644</v>
      </c>
      <c r="W3448" t="s">
        <v>5645</v>
      </c>
      <c r="X3448" t="s">
        <v>58</v>
      </c>
      <c r="Y3448">
        <v>21</v>
      </c>
      <c r="Z3448" t="s">
        <v>59</v>
      </c>
      <c r="AA3448" t="s">
        <v>59</v>
      </c>
      <c r="AB3448" t="s">
        <v>59</v>
      </c>
      <c r="AC3448" t="s">
        <v>59</v>
      </c>
      <c r="AD3448" t="s">
        <v>59</v>
      </c>
      <c r="AF3448" s="1">
        <v>39680</v>
      </c>
      <c r="AG3448" t="s">
        <v>137</v>
      </c>
      <c r="AH3448" t="s">
        <v>138</v>
      </c>
      <c r="AI3448" t="str">
        <f>"4150040"</f>
        <v>4150040</v>
      </c>
      <c r="AJ3448" t="s">
        <v>5661</v>
      </c>
      <c r="AK3448">
        <v>2831029048</v>
      </c>
      <c r="AL3448" t="s">
        <v>5662</v>
      </c>
      <c r="AM3448" t="s">
        <v>64</v>
      </c>
      <c r="AN3448" t="s">
        <v>65</v>
      </c>
      <c r="AO3448" t="s">
        <v>65</v>
      </c>
      <c r="AP3448" t="s">
        <v>65</v>
      </c>
      <c r="AQ3448">
        <v>1</v>
      </c>
      <c r="AR3448" t="s">
        <v>5644</v>
      </c>
      <c r="AS3448" t="s">
        <v>5645</v>
      </c>
      <c r="AT3448" t="s">
        <v>58</v>
      </c>
      <c r="AU3448" t="s">
        <v>68</v>
      </c>
      <c r="AV3448" t="s">
        <v>69</v>
      </c>
      <c r="AW3448" s="1">
        <v>30253</v>
      </c>
      <c r="AX3448">
        <v>2</v>
      </c>
    </row>
    <row r="3449" spans="1:50">
      <c r="A3449">
        <v>209276</v>
      </c>
      <c r="B3449" t="str">
        <f>"109369185"</f>
        <v>109369185</v>
      </c>
      <c r="C3449" t="s">
        <v>50</v>
      </c>
      <c r="D3449" t="s">
        <v>5529</v>
      </c>
      <c r="E3449" t="s">
        <v>600</v>
      </c>
      <c r="F3449" t="s">
        <v>84</v>
      </c>
      <c r="G3449" t="s">
        <v>1085</v>
      </c>
      <c r="H3449" t="str">
        <f>"ΓΕΩΡΓΙΟΥ ΣΚΟΥΛΑ 25 ΗΡΑΚΛΕΙΟ"</f>
        <v>ΓΕΩΡΓΙΟΥ ΣΚΟΥΛΑ 25 ΗΡΑΚΛΕΙΟ</v>
      </c>
      <c r="I3449">
        <v>71305</v>
      </c>
      <c r="J3449">
        <v>2810214430</v>
      </c>
      <c r="K3449">
        <v>6974790866</v>
      </c>
      <c r="M3449" t="s">
        <v>6617</v>
      </c>
      <c r="N3449" t="s">
        <v>204</v>
      </c>
      <c r="O3449" t="s">
        <v>205</v>
      </c>
      <c r="R3449" t="s">
        <v>57</v>
      </c>
      <c r="S3449">
        <v>8</v>
      </c>
      <c r="T3449">
        <v>218</v>
      </c>
      <c r="U3449" s="1">
        <v>38596</v>
      </c>
      <c r="V3449" t="s">
        <v>5644</v>
      </c>
      <c r="W3449" t="s">
        <v>5645</v>
      </c>
      <c r="X3449" t="s">
        <v>58</v>
      </c>
      <c r="Y3449">
        <v>20</v>
      </c>
      <c r="Z3449" t="s">
        <v>59</v>
      </c>
      <c r="AA3449" t="s">
        <v>59</v>
      </c>
      <c r="AB3449" t="s">
        <v>59</v>
      </c>
      <c r="AC3449" t="s">
        <v>59</v>
      </c>
      <c r="AD3449" t="s">
        <v>59</v>
      </c>
      <c r="AF3449" s="1">
        <v>38596</v>
      </c>
      <c r="AG3449" t="s">
        <v>148</v>
      </c>
      <c r="AH3449" t="s">
        <v>149</v>
      </c>
      <c r="AI3449" t="str">
        <f>"4158010"</f>
        <v>4158010</v>
      </c>
      <c r="AJ3449" t="s">
        <v>5778</v>
      </c>
      <c r="AK3449">
        <v>2833041400</v>
      </c>
      <c r="AL3449" t="s">
        <v>5779</v>
      </c>
      <c r="AM3449" t="s">
        <v>64</v>
      </c>
      <c r="AN3449" t="s">
        <v>5713</v>
      </c>
      <c r="AO3449" t="s">
        <v>5780</v>
      </c>
      <c r="AP3449" t="s">
        <v>5781</v>
      </c>
      <c r="AQ3449">
        <v>4</v>
      </c>
      <c r="AR3449" t="s">
        <v>5644</v>
      </c>
      <c r="AS3449" t="s">
        <v>5645</v>
      </c>
      <c r="AT3449" t="s">
        <v>58</v>
      </c>
      <c r="AU3449" t="s">
        <v>68</v>
      </c>
      <c r="AV3449" t="s">
        <v>69</v>
      </c>
      <c r="AW3449" s="1">
        <v>27130</v>
      </c>
      <c r="AX3449">
        <v>2</v>
      </c>
    </row>
    <row r="3450" spans="1:50">
      <c r="B3450" t="str">
        <f>"145957367"</f>
        <v>145957367</v>
      </c>
      <c r="C3450" t="s">
        <v>50</v>
      </c>
      <c r="D3450" t="s">
        <v>6618</v>
      </c>
      <c r="E3450" t="s">
        <v>699</v>
      </c>
      <c r="F3450" t="s">
        <v>99</v>
      </c>
      <c r="G3450" t="s">
        <v>83</v>
      </c>
      <c r="H3450" t="str">
        <f>" "</f>
        <v xml:space="preserve"> </v>
      </c>
      <c r="K3450">
        <v>6981351283</v>
      </c>
      <c r="M3450" t="s">
        <v>6619</v>
      </c>
      <c r="N3450" t="s">
        <v>536</v>
      </c>
      <c r="O3450" t="s">
        <v>537</v>
      </c>
      <c r="R3450" t="s">
        <v>121</v>
      </c>
      <c r="S3450">
        <v>3</v>
      </c>
      <c r="T3450" t="s">
        <v>122</v>
      </c>
      <c r="U3450" s="1">
        <v>43348</v>
      </c>
      <c r="V3450" t="s">
        <v>5644</v>
      </c>
      <c r="W3450" t="s">
        <v>5645</v>
      </c>
      <c r="X3450" t="s">
        <v>58</v>
      </c>
      <c r="Y3450">
        <v>23</v>
      </c>
      <c r="Z3450" t="s">
        <v>59</v>
      </c>
      <c r="AA3450" t="s">
        <v>59</v>
      </c>
      <c r="AB3450" t="s">
        <v>59</v>
      </c>
      <c r="AD3450" t="s">
        <v>59</v>
      </c>
      <c r="AF3450" s="1">
        <v>43348</v>
      </c>
      <c r="AG3450" t="s">
        <v>148</v>
      </c>
      <c r="AH3450" t="s">
        <v>149</v>
      </c>
      <c r="AI3450" t="str">
        <f>"4151009"</f>
        <v>4151009</v>
      </c>
      <c r="AJ3450" t="s">
        <v>5649</v>
      </c>
      <c r="AK3450">
        <v>2831027115</v>
      </c>
      <c r="AL3450" t="s">
        <v>5650</v>
      </c>
      <c r="AM3450" t="s">
        <v>64</v>
      </c>
      <c r="AN3450" t="s">
        <v>65</v>
      </c>
      <c r="AO3450" t="s">
        <v>65</v>
      </c>
      <c r="AP3450" t="s">
        <v>65</v>
      </c>
      <c r="AQ3450">
        <v>1</v>
      </c>
      <c r="AR3450" t="s">
        <v>5644</v>
      </c>
      <c r="AS3450" t="s">
        <v>5645</v>
      </c>
      <c r="AT3450" t="s">
        <v>58</v>
      </c>
      <c r="AU3450" t="s">
        <v>131</v>
      </c>
      <c r="AV3450" t="s">
        <v>132</v>
      </c>
      <c r="AW3450" s="1">
        <v>31851</v>
      </c>
      <c r="AX3450">
        <v>2</v>
      </c>
    </row>
    <row r="3451" spans="1:50">
      <c r="A3451">
        <v>179811</v>
      </c>
      <c r="B3451" t="str">
        <f>"109122834"</f>
        <v>109122834</v>
      </c>
      <c r="C3451" t="s">
        <v>50</v>
      </c>
      <c r="D3451" t="s">
        <v>6620</v>
      </c>
      <c r="E3451" t="s">
        <v>112</v>
      </c>
      <c r="F3451" t="s">
        <v>4358</v>
      </c>
      <c r="G3451" t="s">
        <v>109</v>
      </c>
      <c r="H3451" t="str">
        <f>"ΣΤΑΥΡΩΜΕΝΟΣ ΡΕΘΥΜΝΟ"</f>
        <v>ΣΤΑΥΡΩΜΕΝΟΣ ΡΕΘΥΜΝΟ</v>
      </c>
      <c r="I3451">
        <v>74100</v>
      </c>
      <c r="J3451">
        <v>2831072357</v>
      </c>
      <c r="K3451">
        <v>6937213633</v>
      </c>
      <c r="N3451" t="s">
        <v>146</v>
      </c>
      <c r="O3451" t="s">
        <v>147</v>
      </c>
      <c r="R3451" t="s">
        <v>57</v>
      </c>
      <c r="S3451">
        <v>10</v>
      </c>
      <c r="T3451">
        <v>181</v>
      </c>
      <c r="U3451" s="1">
        <v>36040</v>
      </c>
      <c r="V3451" t="s">
        <v>5644</v>
      </c>
      <c r="W3451" t="s">
        <v>5645</v>
      </c>
      <c r="X3451" t="s">
        <v>58</v>
      </c>
      <c r="Y3451">
        <v>18</v>
      </c>
      <c r="Z3451" t="s">
        <v>59</v>
      </c>
      <c r="AA3451" t="s">
        <v>59</v>
      </c>
      <c r="AB3451" t="s">
        <v>59</v>
      </c>
      <c r="AC3451" t="s">
        <v>59</v>
      </c>
      <c r="AD3451" t="s">
        <v>59</v>
      </c>
      <c r="AF3451" s="1">
        <v>36042</v>
      </c>
      <c r="AG3451" t="s">
        <v>148</v>
      </c>
      <c r="AH3451" t="s">
        <v>149</v>
      </c>
      <c r="AI3451" t="str">
        <f>"4151020"</f>
        <v>4151020</v>
      </c>
      <c r="AJ3451" t="s">
        <v>5725</v>
      </c>
      <c r="AK3451">
        <v>2831022475</v>
      </c>
      <c r="AL3451" t="s">
        <v>5726</v>
      </c>
      <c r="AM3451" t="s">
        <v>64</v>
      </c>
      <c r="AN3451" t="s">
        <v>65</v>
      </c>
      <c r="AO3451" t="s">
        <v>65</v>
      </c>
      <c r="AP3451" t="s">
        <v>65</v>
      </c>
      <c r="AQ3451">
        <v>1</v>
      </c>
      <c r="AR3451" t="s">
        <v>5644</v>
      </c>
      <c r="AS3451" t="s">
        <v>5645</v>
      </c>
      <c r="AT3451" t="s">
        <v>58</v>
      </c>
      <c r="AU3451" t="s">
        <v>68</v>
      </c>
      <c r="AV3451" t="s">
        <v>69</v>
      </c>
      <c r="AW3451" s="1">
        <v>23848</v>
      </c>
      <c r="AX3451">
        <v>2</v>
      </c>
    </row>
    <row r="3452" spans="1:50">
      <c r="A3452">
        <v>203794</v>
      </c>
      <c r="B3452" t="str">
        <f>"113606837"</f>
        <v>113606837</v>
      </c>
      <c r="C3452" t="s">
        <v>50</v>
      </c>
      <c r="D3452" t="s">
        <v>6621</v>
      </c>
      <c r="E3452" t="s">
        <v>54</v>
      </c>
      <c r="F3452" t="s">
        <v>53</v>
      </c>
      <c r="G3452" t="s">
        <v>83</v>
      </c>
      <c r="H3452" t="str">
        <f>"ΑΣΠΑΣΙΑΣ 86 ΧΟΛΑΡΓΟΣ"</f>
        <v>ΑΣΠΑΣΙΑΣ 86 ΧΟΛΑΡΓΟΣ</v>
      </c>
      <c r="I3452">
        <v>15561</v>
      </c>
      <c r="J3452">
        <v>2106018304</v>
      </c>
      <c r="K3452">
        <v>6945793592</v>
      </c>
      <c r="N3452" t="s">
        <v>299</v>
      </c>
      <c r="O3452" t="s">
        <v>300</v>
      </c>
      <c r="R3452" t="s">
        <v>57</v>
      </c>
      <c r="S3452">
        <v>9</v>
      </c>
      <c r="T3452">
        <v>231</v>
      </c>
      <c r="U3452" s="1">
        <v>38230</v>
      </c>
      <c r="V3452" t="s">
        <v>5644</v>
      </c>
      <c r="W3452" t="s">
        <v>5645</v>
      </c>
      <c r="X3452" t="s">
        <v>58</v>
      </c>
      <c r="Y3452">
        <v>20</v>
      </c>
      <c r="Z3452" t="s">
        <v>59</v>
      </c>
      <c r="AA3452" t="s">
        <v>59</v>
      </c>
      <c r="AB3452" t="s">
        <v>59</v>
      </c>
      <c r="AC3452" t="s">
        <v>59</v>
      </c>
      <c r="AD3452" t="s">
        <v>59</v>
      </c>
      <c r="AF3452" s="1">
        <v>38231</v>
      </c>
      <c r="AG3452" t="s">
        <v>148</v>
      </c>
      <c r="AH3452" t="s">
        <v>1053</v>
      </c>
      <c r="AI3452" t="str">
        <f>"4141057"</f>
        <v>4141057</v>
      </c>
      <c r="AJ3452" t="s">
        <v>5916</v>
      </c>
      <c r="AK3452">
        <v>2831035241</v>
      </c>
      <c r="AL3452" t="s">
        <v>5917</v>
      </c>
      <c r="AM3452" t="s">
        <v>64</v>
      </c>
      <c r="AN3452" t="s">
        <v>65</v>
      </c>
      <c r="AO3452" t="s">
        <v>65</v>
      </c>
      <c r="AP3452" t="s">
        <v>65</v>
      </c>
      <c r="AQ3452">
        <v>1</v>
      </c>
      <c r="AR3452" t="s">
        <v>5644</v>
      </c>
      <c r="AS3452" t="s">
        <v>5645</v>
      </c>
      <c r="AT3452" t="s">
        <v>58</v>
      </c>
      <c r="AU3452" t="s">
        <v>68</v>
      </c>
      <c r="AV3452" t="s">
        <v>69</v>
      </c>
      <c r="AW3452" s="1">
        <v>21565</v>
      </c>
      <c r="AX3452">
        <v>2</v>
      </c>
    </row>
    <row r="3453" spans="1:50">
      <c r="A3453">
        <v>203477</v>
      </c>
      <c r="B3453" t="str">
        <f>"064790805"</f>
        <v>064790805</v>
      </c>
      <c r="C3453" t="s">
        <v>50</v>
      </c>
      <c r="D3453" t="s">
        <v>6622</v>
      </c>
      <c r="E3453" t="s">
        <v>255</v>
      </c>
      <c r="F3453" t="s">
        <v>670</v>
      </c>
      <c r="G3453" t="s">
        <v>52</v>
      </c>
      <c r="H3453" t="str">
        <f>"Α ΤΡΙΦΥΛΛΗ 31 ΓΑΛΛΟΣ"</f>
        <v>Α ΤΡΙΦΥΛΛΗ 31 ΓΑΛΛΟΣ</v>
      </c>
      <c r="I3453">
        <v>74100</v>
      </c>
      <c r="J3453">
        <v>2109706019</v>
      </c>
      <c r="K3453">
        <v>6973887837</v>
      </c>
      <c r="M3453" t="s">
        <v>6623</v>
      </c>
      <c r="N3453" t="s">
        <v>306</v>
      </c>
      <c r="O3453" t="s">
        <v>307</v>
      </c>
      <c r="R3453" t="s">
        <v>57</v>
      </c>
      <c r="S3453">
        <v>9</v>
      </c>
      <c r="T3453">
        <v>231</v>
      </c>
      <c r="U3453" s="1">
        <v>38230</v>
      </c>
      <c r="V3453" t="s">
        <v>5644</v>
      </c>
      <c r="W3453" t="s">
        <v>5645</v>
      </c>
      <c r="X3453" t="s">
        <v>58</v>
      </c>
      <c r="Y3453">
        <v>20</v>
      </c>
      <c r="Z3453" t="s">
        <v>59</v>
      </c>
      <c r="AA3453" t="s">
        <v>59</v>
      </c>
      <c r="AB3453" t="s">
        <v>59</v>
      </c>
      <c r="AC3453" t="s">
        <v>59</v>
      </c>
      <c r="AD3453" t="s">
        <v>59</v>
      </c>
      <c r="AF3453" s="1">
        <v>38230</v>
      </c>
      <c r="AG3453" t="s">
        <v>125</v>
      </c>
      <c r="AH3453" t="s">
        <v>126</v>
      </c>
      <c r="AI3453" t="str">
        <f>"4101020"</f>
        <v>4101020</v>
      </c>
      <c r="AJ3453" t="s">
        <v>5652</v>
      </c>
      <c r="AK3453">
        <v>2831023560</v>
      </c>
      <c r="AL3453" t="s">
        <v>5653</v>
      </c>
      <c r="AM3453" t="s">
        <v>64</v>
      </c>
      <c r="AN3453" t="s">
        <v>65</v>
      </c>
      <c r="AO3453" t="s">
        <v>65</v>
      </c>
      <c r="AP3453" t="s">
        <v>65</v>
      </c>
      <c r="AQ3453">
        <v>1</v>
      </c>
      <c r="AR3453" t="s">
        <v>5644</v>
      </c>
      <c r="AS3453" t="s">
        <v>5645</v>
      </c>
      <c r="AT3453" t="s">
        <v>58</v>
      </c>
      <c r="AU3453" t="s">
        <v>68</v>
      </c>
      <c r="AV3453" t="s">
        <v>69</v>
      </c>
      <c r="AW3453" s="1">
        <v>25665</v>
      </c>
      <c r="AX3453">
        <v>2</v>
      </c>
    </row>
    <row r="3454" spans="1:50">
      <c r="A3454">
        <v>213418</v>
      </c>
      <c r="B3454" t="str">
        <f>"045956945"</f>
        <v>045956945</v>
      </c>
      <c r="C3454" t="s">
        <v>50</v>
      </c>
      <c r="D3454" t="s">
        <v>6624</v>
      </c>
      <c r="E3454" t="s">
        <v>143</v>
      </c>
      <c r="F3454" t="s">
        <v>106</v>
      </c>
      <c r="G3454" t="s">
        <v>255</v>
      </c>
      <c r="H3454" t="str">
        <f>"ΚΑΣΤΕΛΛΑΚΙΑ 77 ΡΕΘΥΜΝΟ"</f>
        <v>ΚΑΣΤΕΛΛΑΚΙΑ 77 ΡΕΘΥΜΝΟ</v>
      </c>
      <c r="I3454">
        <v>74100</v>
      </c>
      <c r="J3454">
        <v>2831035542</v>
      </c>
      <c r="K3454">
        <v>6974981028</v>
      </c>
      <c r="M3454" t="s">
        <v>6625</v>
      </c>
      <c r="N3454" t="s">
        <v>199</v>
      </c>
      <c r="O3454" t="s">
        <v>200</v>
      </c>
      <c r="R3454" t="s">
        <v>57</v>
      </c>
      <c r="S3454">
        <v>7</v>
      </c>
      <c r="T3454">
        <v>231</v>
      </c>
      <c r="U3454" s="1">
        <v>38960</v>
      </c>
      <c r="V3454" t="s">
        <v>5644</v>
      </c>
      <c r="W3454" t="s">
        <v>5645</v>
      </c>
      <c r="X3454" t="s">
        <v>58</v>
      </c>
      <c r="Y3454">
        <v>20</v>
      </c>
      <c r="Z3454" t="s">
        <v>59</v>
      </c>
      <c r="AA3454" t="s">
        <v>59</v>
      </c>
      <c r="AB3454" t="s">
        <v>59</v>
      </c>
      <c r="AC3454" t="s">
        <v>59</v>
      </c>
      <c r="AD3454" t="s">
        <v>59</v>
      </c>
      <c r="AF3454" s="1">
        <v>38960</v>
      </c>
      <c r="AG3454" t="s">
        <v>125</v>
      </c>
      <c r="AH3454" t="s">
        <v>126</v>
      </c>
      <c r="AI3454" t="str">
        <f>"4106010"</f>
        <v>4106010</v>
      </c>
      <c r="AJ3454" t="s">
        <v>5880</v>
      </c>
      <c r="AK3454">
        <v>2832022035</v>
      </c>
      <c r="AL3454" t="s">
        <v>5881</v>
      </c>
      <c r="AM3454" t="s">
        <v>64</v>
      </c>
      <c r="AN3454" t="s">
        <v>5882</v>
      </c>
      <c r="AO3454" t="s">
        <v>5883</v>
      </c>
      <c r="AP3454" t="s">
        <v>5884</v>
      </c>
      <c r="AQ3454">
        <v>5</v>
      </c>
      <c r="AR3454" t="s">
        <v>5644</v>
      </c>
      <c r="AS3454" t="s">
        <v>5645</v>
      </c>
      <c r="AT3454" t="s">
        <v>58</v>
      </c>
      <c r="AU3454" t="s">
        <v>68</v>
      </c>
      <c r="AV3454" t="s">
        <v>69</v>
      </c>
      <c r="AW3454" s="1">
        <v>24529</v>
      </c>
      <c r="AX3454">
        <v>2</v>
      </c>
    </row>
    <row r="3455" spans="1:50">
      <c r="A3455">
        <v>213419</v>
      </c>
      <c r="B3455" t="str">
        <f>"137458660"</f>
        <v>137458660</v>
      </c>
      <c r="C3455" t="s">
        <v>105</v>
      </c>
      <c r="D3455" t="s">
        <v>6626</v>
      </c>
      <c r="E3455" t="s">
        <v>72</v>
      </c>
      <c r="F3455" t="s">
        <v>510</v>
      </c>
      <c r="G3455" t="s">
        <v>263</v>
      </c>
      <c r="H3455" t="str">
        <f>"ΕΜΜ. ΠΑΧΛΑ 136 ΜΙΣΣΙΡΙΑ"</f>
        <v>ΕΜΜ. ΠΑΧΛΑ 136 ΜΙΣΣΙΡΙΑ</v>
      </c>
      <c r="I3455">
        <v>74133</v>
      </c>
      <c r="J3455">
        <v>2831057073</v>
      </c>
      <c r="K3455">
        <v>6932560006</v>
      </c>
      <c r="M3455" t="s">
        <v>6627</v>
      </c>
      <c r="N3455" t="s">
        <v>232</v>
      </c>
      <c r="O3455" t="s">
        <v>233</v>
      </c>
      <c r="R3455" t="s">
        <v>57</v>
      </c>
      <c r="S3455">
        <v>6</v>
      </c>
      <c r="T3455">
        <v>231</v>
      </c>
      <c r="U3455" s="1">
        <v>38961</v>
      </c>
      <c r="V3455" t="s">
        <v>5644</v>
      </c>
      <c r="W3455" t="s">
        <v>5645</v>
      </c>
      <c r="X3455" t="s">
        <v>58</v>
      </c>
      <c r="Y3455">
        <v>20</v>
      </c>
      <c r="Z3455" t="s">
        <v>59</v>
      </c>
      <c r="AA3455" t="s">
        <v>59</v>
      </c>
      <c r="AB3455" t="s">
        <v>59</v>
      </c>
      <c r="AC3455" t="s">
        <v>59</v>
      </c>
      <c r="AD3455" t="s">
        <v>59</v>
      </c>
      <c r="AF3455" s="1">
        <v>38961</v>
      </c>
      <c r="AG3455" t="s">
        <v>148</v>
      </c>
      <c r="AH3455" t="s">
        <v>149</v>
      </c>
      <c r="AI3455" t="str">
        <f>"4144001"</f>
        <v>4144001</v>
      </c>
      <c r="AJ3455" t="s">
        <v>5718</v>
      </c>
      <c r="AK3455">
        <v>2831033277</v>
      </c>
      <c r="AL3455" t="s">
        <v>5719</v>
      </c>
      <c r="AM3455" t="s">
        <v>64</v>
      </c>
      <c r="AN3455" t="s">
        <v>65</v>
      </c>
      <c r="AO3455" t="s">
        <v>5720</v>
      </c>
      <c r="AP3455" t="s">
        <v>5721</v>
      </c>
      <c r="AQ3455">
        <v>1</v>
      </c>
      <c r="AR3455" t="s">
        <v>5644</v>
      </c>
      <c r="AS3455" t="s">
        <v>5645</v>
      </c>
      <c r="AT3455" t="s">
        <v>58</v>
      </c>
      <c r="AU3455" t="s">
        <v>68</v>
      </c>
      <c r="AV3455" t="s">
        <v>357</v>
      </c>
      <c r="AW3455" s="1">
        <v>28134</v>
      </c>
      <c r="AX3455">
        <v>2</v>
      </c>
    </row>
    <row r="3456" spans="1:50">
      <c r="A3456">
        <v>210254</v>
      </c>
      <c r="B3456" t="str">
        <f>"126823415"</f>
        <v>126823415</v>
      </c>
      <c r="C3456" t="s">
        <v>105</v>
      </c>
      <c r="D3456" t="s">
        <v>6628</v>
      </c>
      <c r="E3456" t="s">
        <v>53</v>
      </c>
      <c r="F3456" t="s">
        <v>84</v>
      </c>
      <c r="G3456" t="s">
        <v>382</v>
      </c>
      <c r="H3456" t="str">
        <f>"ΣΑΒΑΓΗΝΩΝ 32 ΑΘΗΝΑ"</f>
        <v>ΣΑΒΑΓΗΝΩΝ 32 ΑΘΗΝΑ</v>
      </c>
      <c r="I3456">
        <v>11142</v>
      </c>
      <c r="J3456">
        <v>2102524369</v>
      </c>
      <c r="K3456">
        <v>6976161175</v>
      </c>
      <c r="M3456" t="s">
        <v>6629</v>
      </c>
      <c r="N3456" t="s">
        <v>683</v>
      </c>
      <c r="O3456" t="s">
        <v>684</v>
      </c>
      <c r="R3456" t="s">
        <v>57</v>
      </c>
      <c r="S3456">
        <v>6</v>
      </c>
      <c r="T3456">
        <v>225</v>
      </c>
      <c r="U3456" s="1">
        <v>38611</v>
      </c>
      <c r="V3456" t="s">
        <v>5644</v>
      </c>
      <c r="W3456" t="s">
        <v>5645</v>
      </c>
      <c r="X3456" t="s">
        <v>58</v>
      </c>
      <c r="Y3456">
        <v>20</v>
      </c>
      <c r="Z3456" t="s">
        <v>59</v>
      </c>
      <c r="AA3456" t="s">
        <v>59</v>
      </c>
      <c r="AB3456" t="s">
        <v>59</v>
      </c>
      <c r="AC3456" t="s">
        <v>59</v>
      </c>
      <c r="AD3456" t="s">
        <v>59</v>
      </c>
      <c r="AF3456" s="1">
        <v>38611</v>
      </c>
      <c r="AG3456" t="s">
        <v>125</v>
      </c>
      <c r="AH3456" t="s">
        <v>126</v>
      </c>
      <c r="AI3456" t="str">
        <f>"4110015"</f>
        <v>4110015</v>
      </c>
      <c r="AJ3456" t="s">
        <v>5723</v>
      </c>
      <c r="AK3456">
        <v>2831022741</v>
      </c>
      <c r="AL3456" t="s">
        <v>5724</v>
      </c>
      <c r="AM3456" t="s">
        <v>64</v>
      </c>
      <c r="AN3456" t="s">
        <v>65</v>
      </c>
      <c r="AO3456" t="s">
        <v>5720</v>
      </c>
      <c r="AP3456" t="s">
        <v>5721</v>
      </c>
      <c r="AQ3456">
        <v>1</v>
      </c>
      <c r="AR3456" t="s">
        <v>5644</v>
      </c>
      <c r="AS3456" t="s">
        <v>5645</v>
      </c>
      <c r="AT3456" t="s">
        <v>58</v>
      </c>
      <c r="AU3456" t="s">
        <v>68</v>
      </c>
      <c r="AV3456" t="s">
        <v>69</v>
      </c>
      <c r="AW3456" s="1">
        <v>27785</v>
      </c>
      <c r="AX3456">
        <v>2</v>
      </c>
    </row>
    <row r="3457" spans="1:50">
      <c r="A3457">
        <v>198921</v>
      </c>
      <c r="B3457" t="str">
        <f>"075598811"</f>
        <v>075598811</v>
      </c>
      <c r="C3457" t="s">
        <v>105</v>
      </c>
      <c r="D3457" t="s">
        <v>6630</v>
      </c>
      <c r="E3457" t="s">
        <v>900</v>
      </c>
      <c r="F3457" t="s">
        <v>510</v>
      </c>
      <c r="G3457" t="s">
        <v>52</v>
      </c>
      <c r="H3457" t="str">
        <f>"ΝΕΣΤΩΡΟΣ ΒΑΣΣΑΛΟΥ 8 ΡΕΘΥΜΝΟ"</f>
        <v>ΝΕΣΤΩΡΟΣ ΒΑΣΣΑΛΟΥ 8 ΡΕΘΥΜΝΟ</v>
      </c>
      <c r="I3457">
        <v>74100</v>
      </c>
      <c r="J3457">
        <v>2103475253</v>
      </c>
      <c r="K3457">
        <v>6978599870</v>
      </c>
      <c r="N3457" t="s">
        <v>683</v>
      </c>
      <c r="O3457" t="s">
        <v>684</v>
      </c>
      <c r="R3457" t="s">
        <v>57</v>
      </c>
      <c r="S3457">
        <v>7</v>
      </c>
      <c r="T3457">
        <v>206</v>
      </c>
      <c r="U3457" s="1">
        <v>37866</v>
      </c>
      <c r="V3457" t="s">
        <v>5644</v>
      </c>
      <c r="W3457" t="s">
        <v>5645</v>
      </c>
      <c r="X3457" t="s">
        <v>58</v>
      </c>
      <c r="Y3457">
        <v>20</v>
      </c>
      <c r="Z3457" t="s">
        <v>59</v>
      </c>
      <c r="AA3457" t="s">
        <v>59</v>
      </c>
      <c r="AB3457" t="s">
        <v>59</v>
      </c>
      <c r="AC3457" t="s">
        <v>59</v>
      </c>
      <c r="AD3457" t="s">
        <v>59</v>
      </c>
      <c r="AF3457" s="1">
        <v>37866</v>
      </c>
      <c r="AG3457" t="s">
        <v>125</v>
      </c>
      <c r="AH3457" t="s">
        <v>126</v>
      </c>
      <c r="AI3457" t="str">
        <f>"4101010"</f>
        <v>4101010</v>
      </c>
      <c r="AJ3457" t="s">
        <v>5814</v>
      </c>
      <c r="AK3457">
        <v>2831022283</v>
      </c>
      <c r="AL3457" t="s">
        <v>5815</v>
      </c>
      <c r="AM3457" t="s">
        <v>64</v>
      </c>
      <c r="AN3457" t="s">
        <v>65</v>
      </c>
      <c r="AO3457" t="s">
        <v>65</v>
      </c>
      <c r="AP3457" t="s">
        <v>65</v>
      </c>
      <c r="AQ3457">
        <v>1</v>
      </c>
      <c r="AR3457" t="s">
        <v>5644</v>
      </c>
      <c r="AS3457" t="s">
        <v>5645</v>
      </c>
      <c r="AT3457" t="s">
        <v>58</v>
      </c>
      <c r="AU3457" t="s">
        <v>68</v>
      </c>
      <c r="AV3457" t="s">
        <v>69</v>
      </c>
      <c r="AW3457" s="1">
        <v>26185</v>
      </c>
      <c r="AX3457">
        <v>2</v>
      </c>
    </row>
    <row r="3458" spans="1:50">
      <c r="B3458" t="str">
        <f>"100097588"</f>
        <v>100097588</v>
      </c>
      <c r="C3458" t="s">
        <v>50</v>
      </c>
      <c r="D3458" t="s">
        <v>6631</v>
      </c>
      <c r="E3458" t="s">
        <v>103</v>
      </c>
      <c r="F3458" t="s">
        <v>2233</v>
      </c>
      <c r="G3458" t="s">
        <v>52</v>
      </c>
      <c r="H3458" t="str">
        <f>"Σ.ΨΥΧΟΥΝΤΑΚΗ 28 ΡΕΘΥΜΝΟ"</f>
        <v>Σ.ΨΥΧΟΥΝΤΑΚΗ 28 ΡΕΘΥΜΝΟ</v>
      </c>
      <c r="I3458">
        <v>74100</v>
      </c>
      <c r="J3458">
        <v>2831056705</v>
      </c>
      <c r="K3458">
        <v>6974306758</v>
      </c>
      <c r="N3458" t="s">
        <v>3795</v>
      </c>
      <c r="O3458" t="s">
        <v>3796</v>
      </c>
      <c r="R3458" t="s">
        <v>121</v>
      </c>
      <c r="S3458">
        <v>1</v>
      </c>
      <c r="T3458" t="s">
        <v>416</v>
      </c>
      <c r="U3458" s="1">
        <v>43349</v>
      </c>
      <c r="V3458" t="s">
        <v>5644</v>
      </c>
      <c r="W3458" t="s">
        <v>5645</v>
      </c>
      <c r="X3458" t="s">
        <v>58</v>
      </c>
      <c r="Y3458">
        <v>21</v>
      </c>
      <c r="Z3458" t="s">
        <v>59</v>
      </c>
      <c r="AA3458" t="s">
        <v>59</v>
      </c>
      <c r="AB3458" t="s">
        <v>59</v>
      </c>
      <c r="AC3458" t="s">
        <v>59</v>
      </c>
      <c r="AD3458" t="s">
        <v>59</v>
      </c>
      <c r="AF3458" s="1">
        <v>43349</v>
      </c>
      <c r="AG3458" t="s">
        <v>148</v>
      </c>
      <c r="AH3458" t="s">
        <v>149</v>
      </c>
      <c r="AI3458" t="str">
        <f>"4144003"</f>
        <v>4144003</v>
      </c>
      <c r="AJ3458" t="s">
        <v>5757</v>
      </c>
      <c r="AK3458">
        <v>2831073970</v>
      </c>
      <c r="AL3458" t="s">
        <v>5758</v>
      </c>
      <c r="AM3458" t="s">
        <v>64</v>
      </c>
      <c r="AN3458" t="s">
        <v>65</v>
      </c>
      <c r="AO3458" t="s">
        <v>65</v>
      </c>
      <c r="AP3458" t="s">
        <v>65</v>
      </c>
      <c r="AQ3458">
        <v>1</v>
      </c>
      <c r="AR3458" t="s">
        <v>5644</v>
      </c>
      <c r="AS3458" t="s">
        <v>5645</v>
      </c>
      <c r="AT3458" t="s">
        <v>58</v>
      </c>
      <c r="AU3458" t="s">
        <v>419</v>
      </c>
      <c r="AV3458" t="s">
        <v>132</v>
      </c>
      <c r="AW3458" s="1">
        <v>26880</v>
      </c>
      <c r="AX3458">
        <v>2</v>
      </c>
    </row>
    <row r="3459" spans="1:50">
      <c r="A3459">
        <v>701177</v>
      </c>
      <c r="B3459" t="str">
        <f>"051252610"</f>
        <v>051252610</v>
      </c>
      <c r="C3459" t="s">
        <v>105</v>
      </c>
      <c r="D3459" t="s">
        <v>6632</v>
      </c>
      <c r="E3459" t="s">
        <v>154</v>
      </c>
      <c r="F3459" t="s">
        <v>383</v>
      </c>
      <c r="G3459" t="s">
        <v>181</v>
      </c>
      <c r="H3459" t="str">
        <f>"ΓΑΛΗΝΟΥ 7 ΗΡΑΚΛΕΙΟ"</f>
        <v>ΓΑΛΗΝΟΥ 7 ΗΡΑΚΛΕΙΟ</v>
      </c>
      <c r="I3459">
        <v>71304</v>
      </c>
      <c r="J3459">
        <v>2810326606</v>
      </c>
      <c r="K3459">
        <v>6972400227</v>
      </c>
      <c r="N3459" t="s">
        <v>232</v>
      </c>
      <c r="O3459" t="s">
        <v>233</v>
      </c>
      <c r="R3459" t="s">
        <v>57</v>
      </c>
      <c r="S3459">
        <v>10</v>
      </c>
      <c r="T3459">
        <v>772</v>
      </c>
      <c r="U3459" s="1">
        <v>40413</v>
      </c>
      <c r="V3459" t="s">
        <v>5644</v>
      </c>
      <c r="W3459" t="s">
        <v>5645</v>
      </c>
      <c r="X3459" t="s">
        <v>58</v>
      </c>
      <c r="Y3459">
        <v>20</v>
      </c>
      <c r="Z3459" t="s">
        <v>59</v>
      </c>
      <c r="AA3459" t="s">
        <v>59</v>
      </c>
      <c r="AB3459" t="s">
        <v>59</v>
      </c>
      <c r="AC3459" t="s">
        <v>59</v>
      </c>
      <c r="AD3459" t="s">
        <v>59</v>
      </c>
      <c r="AF3459" s="1">
        <v>40413</v>
      </c>
      <c r="AG3459" t="s">
        <v>148</v>
      </c>
      <c r="AH3459" t="s">
        <v>149</v>
      </c>
      <c r="AI3459" t="str">
        <f>"4154010"</f>
        <v>4154010</v>
      </c>
      <c r="AJ3459" t="s">
        <v>5687</v>
      </c>
      <c r="AK3459">
        <v>2834023300</v>
      </c>
      <c r="AL3459" t="s">
        <v>5688</v>
      </c>
      <c r="AM3459" t="s">
        <v>64</v>
      </c>
      <c r="AN3459" t="s">
        <v>5672</v>
      </c>
      <c r="AO3459" t="s">
        <v>5673</v>
      </c>
      <c r="AP3459" t="s">
        <v>5689</v>
      </c>
      <c r="AQ3459">
        <v>2</v>
      </c>
      <c r="AR3459" t="s">
        <v>5644</v>
      </c>
      <c r="AS3459" t="s">
        <v>5645</v>
      </c>
      <c r="AT3459" t="s">
        <v>58</v>
      </c>
      <c r="AU3459" t="s">
        <v>68</v>
      </c>
      <c r="AV3459" t="s">
        <v>69</v>
      </c>
      <c r="AW3459" s="1">
        <v>23646</v>
      </c>
      <c r="AX3459">
        <v>2</v>
      </c>
    </row>
    <row r="3460" spans="1:50">
      <c r="A3460">
        <v>215796</v>
      </c>
      <c r="B3460" t="str">
        <f>"118846312"</f>
        <v>118846312</v>
      </c>
      <c r="C3460" t="s">
        <v>105</v>
      </c>
      <c r="D3460" t="s">
        <v>6633</v>
      </c>
      <c r="E3460" t="s">
        <v>315</v>
      </c>
      <c r="F3460" t="s">
        <v>383</v>
      </c>
      <c r="G3460" t="s">
        <v>237</v>
      </c>
      <c r="H3460" t="str">
        <f>"ΑΡΜΕΝΟΙ ΡΕΘΥΜΝΟΥ  ΡΕΘΥΜΝΟ"</f>
        <v>ΑΡΜΕΝΟΙ ΡΕΘΥΜΝΟΥ  ΡΕΘΥΜΝΟ</v>
      </c>
      <c r="I3460">
        <v>74100</v>
      </c>
      <c r="J3460">
        <v>2831041290</v>
      </c>
      <c r="K3460">
        <v>6944224563</v>
      </c>
      <c r="N3460" t="s">
        <v>204</v>
      </c>
      <c r="O3460" t="s">
        <v>205</v>
      </c>
      <c r="R3460" t="s">
        <v>57</v>
      </c>
      <c r="S3460">
        <v>8</v>
      </c>
      <c r="T3460">
        <v>231</v>
      </c>
      <c r="U3460" s="1">
        <v>38960</v>
      </c>
      <c r="V3460" t="s">
        <v>5644</v>
      </c>
      <c r="W3460" t="s">
        <v>5645</v>
      </c>
      <c r="X3460" t="s">
        <v>58</v>
      </c>
      <c r="Y3460">
        <v>20</v>
      </c>
      <c r="Z3460" t="s">
        <v>59</v>
      </c>
      <c r="AA3460" t="s">
        <v>59</v>
      </c>
      <c r="AB3460" t="s">
        <v>59</v>
      </c>
      <c r="AC3460" t="s">
        <v>59</v>
      </c>
      <c r="AD3460" t="s">
        <v>59</v>
      </c>
      <c r="AF3460" s="1">
        <v>38961</v>
      </c>
      <c r="AG3460" t="s">
        <v>125</v>
      </c>
      <c r="AH3460" t="s">
        <v>126</v>
      </c>
      <c r="AI3460" t="str">
        <f>"4106030"</f>
        <v>4106030</v>
      </c>
      <c r="AJ3460" t="s">
        <v>6097</v>
      </c>
      <c r="AK3460">
        <v>2832051138</v>
      </c>
      <c r="AL3460" t="s">
        <v>6098</v>
      </c>
      <c r="AM3460" t="s">
        <v>64</v>
      </c>
      <c r="AN3460" t="s">
        <v>5882</v>
      </c>
      <c r="AO3460" t="s">
        <v>6099</v>
      </c>
      <c r="AP3460" t="s">
        <v>6100</v>
      </c>
      <c r="AQ3460">
        <v>5</v>
      </c>
      <c r="AR3460" t="s">
        <v>5644</v>
      </c>
      <c r="AS3460" t="s">
        <v>5645</v>
      </c>
      <c r="AT3460" t="s">
        <v>58</v>
      </c>
      <c r="AU3460" t="s">
        <v>68</v>
      </c>
      <c r="AV3460" t="s">
        <v>132</v>
      </c>
      <c r="AW3460" s="1">
        <v>29166</v>
      </c>
      <c r="AX3460">
        <v>2</v>
      </c>
    </row>
    <row r="3461" spans="1:50">
      <c r="A3461">
        <v>702125</v>
      </c>
      <c r="B3461" t="str">
        <f>"101714140"</f>
        <v>101714140</v>
      </c>
      <c r="C3461" t="s">
        <v>50</v>
      </c>
      <c r="D3461" t="s">
        <v>6634</v>
      </c>
      <c r="E3461" t="s">
        <v>476</v>
      </c>
      <c r="F3461" t="s">
        <v>6635</v>
      </c>
      <c r="G3461" t="s">
        <v>563</v>
      </c>
      <c r="H3461" t="str">
        <f>"ΑΓΙΟΥ ΛΟΥΚΑ 24 ΡΕΘΥΜΝΟ"</f>
        <v>ΑΓΙΟΥ ΛΟΥΚΑ 24 ΡΕΘΥΜΝΟ</v>
      </c>
      <c r="I3461">
        <v>74100</v>
      </c>
      <c r="J3461">
        <v>2831030272</v>
      </c>
      <c r="K3461">
        <v>6938820276</v>
      </c>
      <c r="M3461" t="s">
        <v>6636</v>
      </c>
      <c r="N3461" t="s">
        <v>146</v>
      </c>
      <c r="O3461" t="s">
        <v>147</v>
      </c>
      <c r="R3461" t="s">
        <v>57</v>
      </c>
      <c r="S3461">
        <v>7</v>
      </c>
      <c r="T3461" t="s">
        <v>938</v>
      </c>
      <c r="U3461" s="1">
        <v>40420</v>
      </c>
      <c r="V3461" t="s">
        <v>5644</v>
      </c>
      <c r="W3461" t="s">
        <v>5645</v>
      </c>
      <c r="X3461" t="s">
        <v>58</v>
      </c>
      <c r="Y3461">
        <v>20</v>
      </c>
      <c r="Z3461" t="s">
        <v>59</v>
      </c>
      <c r="AA3461" t="s">
        <v>59</v>
      </c>
      <c r="AB3461" t="s">
        <v>59</v>
      </c>
      <c r="AC3461" t="s">
        <v>59</v>
      </c>
      <c r="AD3461" t="s">
        <v>59</v>
      </c>
      <c r="AF3461" s="1">
        <v>40428</v>
      </c>
      <c r="AG3461" t="s">
        <v>125</v>
      </c>
      <c r="AH3461" t="s">
        <v>126</v>
      </c>
      <c r="AI3461" t="str">
        <f>"4101010"</f>
        <v>4101010</v>
      </c>
      <c r="AJ3461" t="s">
        <v>5814</v>
      </c>
      <c r="AK3461">
        <v>2831022283</v>
      </c>
      <c r="AL3461" t="s">
        <v>5815</v>
      </c>
      <c r="AM3461" t="s">
        <v>64</v>
      </c>
      <c r="AN3461" t="s">
        <v>65</v>
      </c>
      <c r="AO3461" t="s">
        <v>65</v>
      </c>
      <c r="AP3461" t="s">
        <v>65</v>
      </c>
      <c r="AQ3461">
        <v>1</v>
      </c>
      <c r="AR3461" t="s">
        <v>5644</v>
      </c>
      <c r="AS3461" t="s">
        <v>5645</v>
      </c>
      <c r="AT3461" t="s">
        <v>58</v>
      </c>
      <c r="AU3461" t="s">
        <v>68</v>
      </c>
      <c r="AV3461" t="s">
        <v>69</v>
      </c>
      <c r="AW3461" s="1">
        <v>29267</v>
      </c>
      <c r="AX3461">
        <v>2</v>
      </c>
    </row>
    <row r="3462" spans="1:50">
      <c r="A3462">
        <v>223568</v>
      </c>
      <c r="B3462" t="str">
        <f>"046200550"</f>
        <v>046200550</v>
      </c>
      <c r="C3462" t="s">
        <v>105</v>
      </c>
      <c r="D3462" t="s">
        <v>5542</v>
      </c>
      <c r="E3462" t="s">
        <v>154</v>
      </c>
      <c r="F3462" t="s">
        <v>414</v>
      </c>
      <c r="G3462" t="s">
        <v>96</v>
      </c>
      <c r="H3462" t="str">
        <f>"ΚΑΛΟΜΕΝΟΠΟΥΛΟΥ 9 ΡΕΘΥΜΝΟ"</f>
        <v>ΚΑΛΟΜΕΝΟΠΟΥΛΟΥ 9 ΡΕΘΥΜΝΟ</v>
      </c>
      <c r="I3462">
        <v>74100</v>
      </c>
      <c r="J3462">
        <v>2831056541</v>
      </c>
      <c r="K3462">
        <v>6932214503</v>
      </c>
      <c r="N3462" t="s">
        <v>232</v>
      </c>
      <c r="O3462" t="s">
        <v>233</v>
      </c>
      <c r="R3462" t="s">
        <v>57</v>
      </c>
      <c r="S3462">
        <v>6</v>
      </c>
      <c r="T3462">
        <v>775</v>
      </c>
      <c r="U3462" s="1">
        <v>39680</v>
      </c>
      <c r="V3462" t="s">
        <v>5644</v>
      </c>
      <c r="W3462" t="s">
        <v>5645</v>
      </c>
      <c r="X3462" t="s">
        <v>58</v>
      </c>
      <c r="Y3462">
        <v>20</v>
      </c>
      <c r="Z3462" t="s">
        <v>59</v>
      </c>
      <c r="AA3462" t="s">
        <v>59</v>
      </c>
      <c r="AB3462" t="s">
        <v>59</v>
      </c>
      <c r="AC3462" t="s">
        <v>59</v>
      </c>
      <c r="AD3462" t="s">
        <v>59</v>
      </c>
      <c r="AF3462" s="1">
        <v>39692</v>
      </c>
      <c r="AG3462" t="s">
        <v>148</v>
      </c>
      <c r="AH3462" t="s">
        <v>149</v>
      </c>
      <c r="AI3462" t="str">
        <f>"4151020"</f>
        <v>4151020</v>
      </c>
      <c r="AJ3462" t="s">
        <v>5725</v>
      </c>
      <c r="AK3462">
        <v>2831022475</v>
      </c>
      <c r="AL3462" t="s">
        <v>5726</v>
      </c>
      <c r="AM3462" t="s">
        <v>64</v>
      </c>
      <c r="AN3462" t="s">
        <v>65</v>
      </c>
      <c r="AO3462" t="s">
        <v>65</v>
      </c>
      <c r="AP3462" t="s">
        <v>65</v>
      </c>
      <c r="AQ3462">
        <v>1</v>
      </c>
      <c r="AR3462" t="s">
        <v>5644</v>
      </c>
      <c r="AS3462" t="s">
        <v>5645</v>
      </c>
      <c r="AT3462" t="s">
        <v>58</v>
      </c>
      <c r="AU3462" t="s">
        <v>68</v>
      </c>
      <c r="AV3462" t="s">
        <v>69</v>
      </c>
      <c r="AW3462" s="1">
        <v>24326</v>
      </c>
      <c r="AX3462">
        <v>2</v>
      </c>
    </row>
    <row r="3463" spans="1:50">
      <c r="B3463" t="str">
        <f>"137471515"</f>
        <v>137471515</v>
      </c>
      <c r="C3463" t="s">
        <v>50</v>
      </c>
      <c r="D3463" t="s">
        <v>6637</v>
      </c>
      <c r="E3463" t="s">
        <v>860</v>
      </c>
      <c r="F3463" t="s">
        <v>72</v>
      </c>
      <c r="G3463" t="s">
        <v>52</v>
      </c>
      <c r="H3463" t="str">
        <f>"ΚΑΒΡΟΣ ΑΠΟΚΟΡΩΝΟΥ "</f>
        <v xml:space="preserve">ΚΑΒΡΟΣ ΑΠΟΚΟΡΩΝΟΥ </v>
      </c>
      <c r="I3463">
        <v>73007</v>
      </c>
      <c r="J3463">
        <v>2825061196</v>
      </c>
      <c r="K3463">
        <v>6930342020</v>
      </c>
      <c r="M3463" t="s">
        <v>6638</v>
      </c>
      <c r="N3463" t="s">
        <v>246</v>
      </c>
      <c r="O3463" t="s">
        <v>247</v>
      </c>
      <c r="R3463" t="s">
        <v>159</v>
      </c>
      <c r="S3463">
        <v>3</v>
      </c>
      <c r="T3463" t="s">
        <v>416</v>
      </c>
      <c r="U3463" s="1">
        <v>43349</v>
      </c>
      <c r="V3463" t="s">
        <v>5644</v>
      </c>
      <c r="W3463" t="s">
        <v>5645</v>
      </c>
      <c r="X3463" t="s">
        <v>58</v>
      </c>
      <c r="Y3463">
        <v>23</v>
      </c>
      <c r="Z3463" t="s">
        <v>59</v>
      </c>
      <c r="AA3463" t="s">
        <v>59</v>
      </c>
      <c r="AB3463" t="s">
        <v>59</v>
      </c>
      <c r="AC3463" t="s">
        <v>59</v>
      </c>
      <c r="AD3463" t="s">
        <v>59</v>
      </c>
      <c r="AF3463" s="1">
        <v>43349</v>
      </c>
      <c r="AG3463" t="s">
        <v>125</v>
      </c>
      <c r="AH3463" t="s">
        <v>126</v>
      </c>
      <c r="AI3463" t="str">
        <f>"4110015"</f>
        <v>4110015</v>
      </c>
      <c r="AJ3463" t="s">
        <v>5723</v>
      </c>
      <c r="AK3463">
        <v>2831022741</v>
      </c>
      <c r="AL3463" t="s">
        <v>5724</v>
      </c>
      <c r="AM3463" t="s">
        <v>64</v>
      </c>
      <c r="AN3463" t="s">
        <v>65</v>
      </c>
      <c r="AO3463" t="s">
        <v>5720</v>
      </c>
      <c r="AP3463" t="s">
        <v>5721</v>
      </c>
      <c r="AQ3463">
        <v>1</v>
      </c>
      <c r="AR3463" t="s">
        <v>5644</v>
      </c>
      <c r="AS3463" t="s">
        <v>5645</v>
      </c>
      <c r="AT3463" t="s">
        <v>58</v>
      </c>
      <c r="AU3463" t="s">
        <v>419</v>
      </c>
      <c r="AV3463" t="s">
        <v>132</v>
      </c>
      <c r="AW3463" s="1">
        <v>31314</v>
      </c>
      <c r="AX3463">
        <v>2</v>
      </c>
    </row>
    <row r="3464" spans="1:50">
      <c r="A3464">
        <v>194706</v>
      </c>
      <c r="B3464" t="str">
        <f>"072429917"</f>
        <v>072429917</v>
      </c>
      <c r="C3464" t="s">
        <v>105</v>
      </c>
      <c r="D3464" t="s">
        <v>6639</v>
      </c>
      <c r="E3464" t="s">
        <v>99</v>
      </c>
      <c r="F3464" t="s">
        <v>1023</v>
      </c>
      <c r="G3464" t="s">
        <v>238</v>
      </c>
      <c r="H3464" t="str">
        <f>"ΚΟΛΟΚΟΤΡΩΝΗ 39 ΡΕΘΥΜΝΟ"</f>
        <v>ΚΟΛΟΚΟΤΡΩΝΗ 39 ΡΕΘΥΜΝΟ</v>
      </c>
      <c r="I3464">
        <v>74100</v>
      </c>
      <c r="J3464">
        <v>2682026192</v>
      </c>
      <c r="K3464">
        <v>6946330391</v>
      </c>
      <c r="M3464" t="s">
        <v>6640</v>
      </c>
      <c r="N3464" t="s">
        <v>168</v>
      </c>
      <c r="O3464" t="s">
        <v>169</v>
      </c>
      <c r="R3464" t="s">
        <v>57</v>
      </c>
      <c r="S3464">
        <v>12</v>
      </c>
      <c r="T3464">
        <v>193</v>
      </c>
      <c r="U3464" s="1">
        <v>37497</v>
      </c>
      <c r="V3464" t="s">
        <v>5644</v>
      </c>
      <c r="W3464" t="s">
        <v>5645</v>
      </c>
      <c r="X3464" t="s">
        <v>58</v>
      </c>
      <c r="Y3464">
        <v>18</v>
      </c>
      <c r="Z3464" t="s">
        <v>59</v>
      </c>
      <c r="AA3464" t="s">
        <v>59</v>
      </c>
      <c r="AB3464" t="s">
        <v>59</v>
      </c>
      <c r="AC3464" t="s">
        <v>59</v>
      </c>
      <c r="AD3464" t="s">
        <v>59</v>
      </c>
      <c r="AF3464" s="1">
        <v>37501</v>
      </c>
      <c r="AG3464" t="s">
        <v>137</v>
      </c>
      <c r="AH3464" t="s">
        <v>138</v>
      </c>
      <c r="AI3464" t="str">
        <f>"4150040"</f>
        <v>4150040</v>
      </c>
      <c r="AJ3464" t="s">
        <v>5661</v>
      </c>
      <c r="AK3464">
        <v>2831029048</v>
      </c>
      <c r="AL3464" t="s">
        <v>5662</v>
      </c>
      <c r="AM3464" t="s">
        <v>64</v>
      </c>
      <c r="AN3464" t="s">
        <v>65</v>
      </c>
      <c r="AO3464" t="s">
        <v>65</v>
      </c>
      <c r="AP3464" t="s">
        <v>65</v>
      </c>
      <c r="AQ3464">
        <v>1</v>
      </c>
      <c r="AR3464" t="s">
        <v>5644</v>
      </c>
      <c r="AS3464" t="s">
        <v>5645</v>
      </c>
      <c r="AT3464" t="s">
        <v>58</v>
      </c>
      <c r="AU3464" t="s">
        <v>68</v>
      </c>
      <c r="AV3464" t="s">
        <v>69</v>
      </c>
      <c r="AW3464" s="1">
        <v>25815</v>
      </c>
      <c r="AX3464">
        <v>2</v>
      </c>
    </row>
    <row r="3465" spans="1:50">
      <c r="B3465" t="str">
        <f>"045569042"</f>
        <v>045569042</v>
      </c>
      <c r="C3465" t="s">
        <v>50</v>
      </c>
      <c r="D3465" t="s">
        <v>6641</v>
      </c>
      <c r="E3465" t="s">
        <v>6642</v>
      </c>
      <c r="F3465" t="s">
        <v>4097</v>
      </c>
      <c r="G3465" t="s">
        <v>4515</v>
      </c>
      <c r="H3465" t="str">
        <f>"ΜΑΡΟΥΛΑΣ "</f>
        <v xml:space="preserve">ΜΑΡΟΥΛΑΣ </v>
      </c>
      <c r="I3465">
        <v>74100</v>
      </c>
      <c r="J3465">
        <v>2831072209</v>
      </c>
      <c r="K3465">
        <v>6983087306</v>
      </c>
      <c r="N3465" t="s">
        <v>146</v>
      </c>
      <c r="O3465" t="s">
        <v>147</v>
      </c>
      <c r="R3465" t="s">
        <v>159</v>
      </c>
      <c r="S3465">
        <v>4</v>
      </c>
      <c r="T3465" t="s">
        <v>416</v>
      </c>
      <c r="U3465" s="1">
        <v>43349</v>
      </c>
      <c r="V3465" t="s">
        <v>5644</v>
      </c>
      <c r="W3465" t="s">
        <v>5645</v>
      </c>
      <c r="X3465" t="s">
        <v>58</v>
      </c>
      <c r="Y3465">
        <v>21</v>
      </c>
      <c r="Z3465" t="s">
        <v>59</v>
      </c>
      <c r="AA3465" t="s">
        <v>59</v>
      </c>
      <c r="AB3465" t="s">
        <v>59</v>
      </c>
      <c r="AC3465" t="s">
        <v>59</v>
      </c>
      <c r="AD3465" t="s">
        <v>59</v>
      </c>
      <c r="AF3465" s="1">
        <v>43349</v>
      </c>
      <c r="AG3465" t="s">
        <v>125</v>
      </c>
      <c r="AH3465" t="s">
        <v>126</v>
      </c>
      <c r="AI3465" t="str">
        <f>"4109010"</f>
        <v>4109010</v>
      </c>
      <c r="AJ3465" t="s">
        <v>5786</v>
      </c>
      <c r="AK3465">
        <v>2834041366</v>
      </c>
      <c r="AL3465" t="s">
        <v>5787</v>
      </c>
      <c r="AM3465" t="s">
        <v>64</v>
      </c>
      <c r="AN3465" t="s">
        <v>5672</v>
      </c>
      <c r="AO3465" t="s">
        <v>5698</v>
      </c>
      <c r="AP3465" t="s">
        <v>5788</v>
      </c>
      <c r="AQ3465">
        <v>2</v>
      </c>
      <c r="AR3465" t="s">
        <v>5644</v>
      </c>
      <c r="AS3465" t="s">
        <v>5645</v>
      </c>
      <c r="AT3465" t="s">
        <v>58</v>
      </c>
      <c r="AU3465" t="s">
        <v>419</v>
      </c>
      <c r="AV3465" t="s">
        <v>132</v>
      </c>
      <c r="AW3465" s="1">
        <v>25183</v>
      </c>
      <c r="AX3465">
        <v>2</v>
      </c>
    </row>
    <row r="3466" spans="1:50">
      <c r="A3466">
        <v>159005</v>
      </c>
      <c r="B3466" t="str">
        <f>"035577163"</f>
        <v>035577163</v>
      </c>
      <c r="C3466" t="s">
        <v>105</v>
      </c>
      <c r="D3466" t="s">
        <v>6643</v>
      </c>
      <c r="E3466" t="s">
        <v>53</v>
      </c>
      <c r="F3466" t="s">
        <v>166</v>
      </c>
      <c r="G3466" t="s">
        <v>263</v>
      </c>
      <c r="H3466" t="str">
        <f>"ΑΠΟΔΟΥΛΟΥ ΑΜΑΡΙΟΥ"</f>
        <v>ΑΠΟΔΟΥΛΟΥ ΑΜΑΡΙΟΥ</v>
      </c>
      <c r="I3466">
        <v>74062</v>
      </c>
      <c r="K3466">
        <v>6974040728</v>
      </c>
      <c r="M3466" t="s">
        <v>6644</v>
      </c>
      <c r="N3466" t="s">
        <v>157</v>
      </c>
      <c r="O3466" t="s">
        <v>158</v>
      </c>
      <c r="R3466" t="s">
        <v>57</v>
      </c>
      <c r="S3466">
        <v>14</v>
      </c>
      <c r="T3466">
        <v>161</v>
      </c>
      <c r="U3466" s="1">
        <v>33119</v>
      </c>
      <c r="V3466" t="s">
        <v>5644</v>
      </c>
      <c r="W3466" t="s">
        <v>5645</v>
      </c>
      <c r="X3466" t="s">
        <v>58</v>
      </c>
      <c r="Y3466">
        <v>18</v>
      </c>
      <c r="Z3466" t="s">
        <v>59</v>
      </c>
      <c r="AA3466" t="s">
        <v>59</v>
      </c>
      <c r="AB3466" t="s">
        <v>59</v>
      </c>
      <c r="AC3466" t="s">
        <v>59</v>
      </c>
      <c r="AD3466" t="s">
        <v>59</v>
      </c>
      <c r="AF3466" s="1">
        <v>33119</v>
      </c>
      <c r="AG3466" t="s">
        <v>125</v>
      </c>
      <c r="AH3466" t="s">
        <v>126</v>
      </c>
      <c r="AI3466" t="str">
        <f>"4101040"</f>
        <v>4101040</v>
      </c>
      <c r="AJ3466" t="s">
        <v>5732</v>
      </c>
      <c r="AK3466">
        <v>2831029261</v>
      </c>
      <c r="AL3466" t="s">
        <v>5733</v>
      </c>
      <c r="AM3466" t="s">
        <v>64</v>
      </c>
      <c r="AN3466" t="s">
        <v>65</v>
      </c>
      <c r="AO3466" t="s">
        <v>65</v>
      </c>
      <c r="AP3466" t="s">
        <v>65</v>
      </c>
      <c r="AQ3466">
        <v>1</v>
      </c>
      <c r="AR3466" t="s">
        <v>5644</v>
      </c>
      <c r="AS3466" t="s">
        <v>5645</v>
      </c>
      <c r="AT3466" t="s">
        <v>58</v>
      </c>
      <c r="AU3466" t="s">
        <v>68</v>
      </c>
      <c r="AV3466" t="s">
        <v>69</v>
      </c>
      <c r="AW3466" s="1">
        <v>20288</v>
      </c>
      <c r="AX3466">
        <v>2</v>
      </c>
    </row>
    <row r="3467" spans="1:50">
      <c r="B3467" t="str">
        <f>"122975677"</f>
        <v>122975677</v>
      </c>
      <c r="C3467" t="s">
        <v>50</v>
      </c>
      <c r="D3467" t="s">
        <v>6645</v>
      </c>
      <c r="E3467" t="s">
        <v>237</v>
      </c>
      <c r="F3467" t="s">
        <v>72</v>
      </c>
      <c r="G3467" t="s">
        <v>52</v>
      </c>
      <c r="H3467" t="str">
        <f>" ΒΡΥΣΕΣ ΑΠΟΚΟΡΩΝΟΥ"</f>
        <v xml:space="preserve"> ΒΡΥΣΕΣ ΑΠΟΚΟΡΩΝΟΥ</v>
      </c>
      <c r="I3467">
        <v>73007</v>
      </c>
      <c r="J3467">
        <v>2825051881</v>
      </c>
      <c r="K3467">
        <v>6976869273</v>
      </c>
      <c r="N3467" t="s">
        <v>257</v>
      </c>
      <c r="O3467" t="s">
        <v>258</v>
      </c>
      <c r="R3467" t="s">
        <v>159</v>
      </c>
      <c r="S3467">
        <v>2</v>
      </c>
      <c r="T3467" t="s">
        <v>416</v>
      </c>
      <c r="U3467" s="1">
        <v>43349</v>
      </c>
      <c r="V3467" t="s">
        <v>5644</v>
      </c>
      <c r="W3467" t="s">
        <v>5645</v>
      </c>
      <c r="X3467" t="s">
        <v>58</v>
      </c>
      <c r="Y3467">
        <v>23</v>
      </c>
      <c r="Z3467" t="s">
        <v>59</v>
      </c>
      <c r="AA3467" t="s">
        <v>59</v>
      </c>
      <c r="AB3467" t="s">
        <v>59</v>
      </c>
      <c r="AC3467" t="s">
        <v>59</v>
      </c>
      <c r="AD3467" t="s">
        <v>59</v>
      </c>
      <c r="AF3467" s="1">
        <v>43349</v>
      </c>
      <c r="AG3467" t="s">
        <v>148</v>
      </c>
      <c r="AH3467" t="s">
        <v>149</v>
      </c>
      <c r="AI3467" t="str">
        <f>"4153010"</f>
        <v>4153010</v>
      </c>
      <c r="AJ3467" t="s">
        <v>5670</v>
      </c>
      <c r="AK3467">
        <v>2834052090</v>
      </c>
      <c r="AL3467" t="s">
        <v>5671</v>
      </c>
      <c r="AM3467" t="s">
        <v>64</v>
      </c>
      <c r="AN3467" t="s">
        <v>5672</v>
      </c>
      <c r="AO3467" t="s">
        <v>5673</v>
      </c>
      <c r="AP3467" t="s">
        <v>5674</v>
      </c>
      <c r="AQ3467">
        <v>2</v>
      </c>
      <c r="AR3467" t="s">
        <v>5644</v>
      </c>
      <c r="AS3467" t="s">
        <v>5645</v>
      </c>
      <c r="AT3467" t="s">
        <v>58</v>
      </c>
      <c r="AU3467" t="s">
        <v>419</v>
      </c>
      <c r="AV3467" t="s">
        <v>132</v>
      </c>
      <c r="AW3467" s="1">
        <v>25899</v>
      </c>
      <c r="AX3467">
        <v>2</v>
      </c>
    </row>
    <row r="3468" spans="1:50">
      <c r="A3468">
        <v>185246</v>
      </c>
      <c r="B3468" t="str">
        <f>"044810774"</f>
        <v>044810774</v>
      </c>
      <c r="C3468" t="s">
        <v>105</v>
      </c>
      <c r="D3468" t="s">
        <v>4160</v>
      </c>
      <c r="E3468" t="s">
        <v>6646</v>
      </c>
      <c r="F3468" t="s">
        <v>166</v>
      </c>
      <c r="G3468" t="s">
        <v>109</v>
      </c>
      <c r="H3468" t="str">
        <f>"Ξηρό Χωριό "</f>
        <v xml:space="preserve">Ξηρό Χωριό </v>
      </c>
      <c r="I3468">
        <v>74100</v>
      </c>
      <c r="J3468">
        <v>2831058499</v>
      </c>
      <c r="K3468">
        <v>6942952306</v>
      </c>
      <c r="M3468" t="s">
        <v>6647</v>
      </c>
      <c r="N3468" t="s">
        <v>204</v>
      </c>
      <c r="O3468" t="s">
        <v>205</v>
      </c>
      <c r="P3468" t="s">
        <v>292</v>
      </c>
      <c r="Q3468" t="s">
        <v>293</v>
      </c>
      <c r="R3468" t="s">
        <v>57</v>
      </c>
      <c r="S3468">
        <v>11</v>
      </c>
      <c r="T3468">
        <v>177</v>
      </c>
      <c r="U3468" s="1">
        <v>36403</v>
      </c>
      <c r="V3468" t="s">
        <v>5644</v>
      </c>
      <c r="W3468" t="s">
        <v>5645</v>
      </c>
      <c r="X3468" t="s">
        <v>58</v>
      </c>
      <c r="Y3468">
        <v>18</v>
      </c>
      <c r="Z3468" t="s">
        <v>59</v>
      </c>
      <c r="AA3468" t="s">
        <v>59</v>
      </c>
      <c r="AB3468" t="s">
        <v>59</v>
      </c>
      <c r="AC3468" t="s">
        <v>59</v>
      </c>
      <c r="AD3468" t="s">
        <v>452</v>
      </c>
      <c r="AE3468" s="1">
        <v>43708</v>
      </c>
      <c r="AF3468" s="1">
        <v>36403</v>
      </c>
      <c r="AG3468" t="s">
        <v>125</v>
      </c>
      <c r="AH3468" t="s">
        <v>5702</v>
      </c>
      <c r="AI3468" t="str">
        <f>"4101042"</f>
        <v>4101042</v>
      </c>
      <c r="AJ3468" t="s">
        <v>5703</v>
      </c>
      <c r="AK3468">
        <v>2831027230</v>
      </c>
      <c r="AL3468" t="s">
        <v>5704</v>
      </c>
      <c r="AM3468" t="s">
        <v>64</v>
      </c>
      <c r="AN3468" t="s">
        <v>65</v>
      </c>
      <c r="AO3468" t="s">
        <v>65</v>
      </c>
      <c r="AP3468" t="s">
        <v>65</v>
      </c>
      <c r="AQ3468">
        <v>1</v>
      </c>
      <c r="AR3468" t="s">
        <v>5644</v>
      </c>
      <c r="AS3468" t="s">
        <v>5645</v>
      </c>
      <c r="AT3468" t="s">
        <v>58</v>
      </c>
      <c r="AU3468" t="s">
        <v>68</v>
      </c>
      <c r="AV3468" t="s">
        <v>69</v>
      </c>
      <c r="AW3468" s="1">
        <v>24845</v>
      </c>
      <c r="AX3468">
        <v>2</v>
      </c>
    </row>
    <row r="3469" spans="1:50">
      <c r="B3469" t="str">
        <f>"113606862"</f>
        <v>113606862</v>
      </c>
      <c r="C3469" t="s">
        <v>50</v>
      </c>
      <c r="D3469" t="s">
        <v>6648</v>
      </c>
      <c r="E3469" t="s">
        <v>96</v>
      </c>
      <c r="F3469" t="s">
        <v>53</v>
      </c>
      <c r="G3469" t="s">
        <v>476</v>
      </c>
      <c r="H3469" t="str">
        <f>"ΜΑΡΚΕΛΟΥ 15 "</f>
        <v xml:space="preserve">ΜΑΡΚΕΛΟΥ 15 </v>
      </c>
      <c r="I3469">
        <v>74100</v>
      </c>
      <c r="J3469">
        <v>2831058680</v>
      </c>
      <c r="K3469">
        <v>6972683423</v>
      </c>
      <c r="N3469" t="s">
        <v>583</v>
      </c>
      <c r="O3469" t="s">
        <v>584</v>
      </c>
      <c r="R3469" t="s">
        <v>121</v>
      </c>
      <c r="S3469">
        <v>1</v>
      </c>
      <c r="T3469" t="s">
        <v>574</v>
      </c>
      <c r="U3469" s="1">
        <v>43378</v>
      </c>
      <c r="V3469" t="s">
        <v>5644</v>
      </c>
      <c r="W3469" t="s">
        <v>5645</v>
      </c>
      <c r="X3469" t="s">
        <v>58</v>
      </c>
      <c r="Y3469">
        <v>23</v>
      </c>
      <c r="Z3469" t="s">
        <v>59</v>
      </c>
      <c r="AA3469" t="s">
        <v>59</v>
      </c>
      <c r="AB3469" t="s">
        <v>59</v>
      </c>
      <c r="AC3469" t="s">
        <v>59</v>
      </c>
      <c r="AD3469" t="s">
        <v>59</v>
      </c>
      <c r="AF3469" s="1">
        <v>43381</v>
      </c>
      <c r="AG3469" t="s">
        <v>137</v>
      </c>
      <c r="AH3469" t="s">
        <v>138</v>
      </c>
      <c r="AI3469" t="str">
        <f>"4150040"</f>
        <v>4150040</v>
      </c>
      <c r="AJ3469" t="s">
        <v>5661</v>
      </c>
      <c r="AK3469">
        <v>2831029048</v>
      </c>
      <c r="AL3469" t="s">
        <v>5662</v>
      </c>
      <c r="AM3469" t="s">
        <v>64</v>
      </c>
      <c r="AN3469" t="s">
        <v>65</v>
      </c>
      <c r="AO3469" t="s">
        <v>65</v>
      </c>
      <c r="AP3469" t="s">
        <v>65</v>
      </c>
      <c r="AQ3469">
        <v>1</v>
      </c>
      <c r="AR3469" t="s">
        <v>5644</v>
      </c>
      <c r="AS3469" t="s">
        <v>5645</v>
      </c>
      <c r="AT3469" t="s">
        <v>58</v>
      </c>
      <c r="AU3469" t="s">
        <v>164</v>
      </c>
      <c r="AV3469" t="s">
        <v>132</v>
      </c>
      <c r="AW3469" s="1">
        <v>27901</v>
      </c>
      <c r="AX3469">
        <v>2</v>
      </c>
    </row>
    <row r="3470" spans="1:50">
      <c r="A3470">
        <v>148596</v>
      </c>
      <c r="B3470" t="str">
        <f>"027491785"</f>
        <v>027491785</v>
      </c>
      <c r="C3470" t="s">
        <v>105</v>
      </c>
      <c r="D3470" t="s">
        <v>6649</v>
      </c>
      <c r="E3470" t="s">
        <v>920</v>
      </c>
      <c r="F3470" t="s">
        <v>166</v>
      </c>
      <c r="G3470" t="s">
        <v>73</v>
      </c>
      <c r="H3470" t="str">
        <f>"ΣΚΟΡΔΙΛΩΝ 5 ΡΕΘΥΜΝΟ"</f>
        <v>ΣΚΟΡΔΙΛΩΝ 5 ΡΕΘΥΜΝΟ</v>
      </c>
      <c r="I3470">
        <v>74100</v>
      </c>
      <c r="J3470">
        <v>2831029041</v>
      </c>
      <c r="K3470">
        <v>6973775855</v>
      </c>
      <c r="M3470" t="s">
        <v>6650</v>
      </c>
      <c r="N3470" t="s">
        <v>292</v>
      </c>
      <c r="O3470" t="s">
        <v>293</v>
      </c>
      <c r="R3470" t="s">
        <v>57</v>
      </c>
      <c r="S3470">
        <v>16</v>
      </c>
      <c r="T3470">
        <v>205</v>
      </c>
      <c r="U3470" s="1">
        <v>31658</v>
      </c>
      <c r="V3470" t="s">
        <v>5644</v>
      </c>
      <c r="W3470" t="s">
        <v>5645</v>
      </c>
      <c r="X3470" t="s">
        <v>58</v>
      </c>
      <c r="Y3470">
        <v>18</v>
      </c>
      <c r="Z3470" t="s">
        <v>59</v>
      </c>
      <c r="AA3470" t="s">
        <v>59</v>
      </c>
      <c r="AB3470" t="s">
        <v>59</v>
      </c>
      <c r="AC3470" t="s">
        <v>59</v>
      </c>
      <c r="AD3470" t="s">
        <v>59</v>
      </c>
      <c r="AF3470" s="1">
        <v>31658</v>
      </c>
      <c r="AG3470" t="s">
        <v>125</v>
      </c>
      <c r="AH3470" t="s">
        <v>126</v>
      </c>
      <c r="AI3470" t="str">
        <f>"4106030"</f>
        <v>4106030</v>
      </c>
      <c r="AJ3470" t="s">
        <v>6097</v>
      </c>
      <c r="AK3470">
        <v>2832051138</v>
      </c>
      <c r="AL3470" t="s">
        <v>6098</v>
      </c>
      <c r="AM3470" t="s">
        <v>64</v>
      </c>
      <c r="AN3470" t="s">
        <v>5882</v>
      </c>
      <c r="AO3470" t="s">
        <v>6099</v>
      </c>
      <c r="AP3470" t="s">
        <v>6100</v>
      </c>
      <c r="AQ3470">
        <v>5</v>
      </c>
      <c r="AR3470" t="s">
        <v>5644</v>
      </c>
      <c r="AS3470" t="s">
        <v>5645</v>
      </c>
      <c r="AT3470" t="s">
        <v>58</v>
      </c>
      <c r="AU3470" t="s">
        <v>68</v>
      </c>
      <c r="AV3470" t="s">
        <v>69</v>
      </c>
      <c r="AW3470" s="1">
        <v>20362</v>
      </c>
      <c r="AX3470">
        <v>2</v>
      </c>
    </row>
    <row r="3471" spans="1:50">
      <c r="A3471">
        <v>212513</v>
      </c>
      <c r="B3471" t="str">
        <f>"127407509"</f>
        <v>127407509</v>
      </c>
      <c r="C3471" t="s">
        <v>50</v>
      </c>
      <c r="D3471" t="s">
        <v>6651</v>
      </c>
      <c r="E3471" t="s">
        <v>340</v>
      </c>
      <c r="F3471" t="s">
        <v>920</v>
      </c>
      <c r="G3471" t="s">
        <v>155</v>
      </c>
      <c r="H3471" t="str">
        <f>"ΚΟΥΡΜΟΥΛΗ 61 ΡΕΘΥΜΝΟ"</f>
        <v>ΚΟΥΡΜΟΥΛΗ 61 ΡΕΘΥΜΝΟ</v>
      </c>
      <c r="I3471">
        <v>74100</v>
      </c>
      <c r="J3471">
        <v>2831503725</v>
      </c>
      <c r="K3471">
        <v>6973559956</v>
      </c>
      <c r="M3471" t="s">
        <v>6652</v>
      </c>
      <c r="N3471" t="s">
        <v>146</v>
      </c>
      <c r="O3471" t="s">
        <v>147</v>
      </c>
      <c r="R3471" t="s">
        <v>57</v>
      </c>
      <c r="S3471">
        <v>7</v>
      </c>
      <c r="T3471">
        <v>231</v>
      </c>
      <c r="U3471" s="1">
        <v>38960</v>
      </c>
      <c r="V3471" t="s">
        <v>5644</v>
      </c>
      <c r="W3471" t="s">
        <v>5645</v>
      </c>
      <c r="X3471" t="s">
        <v>58</v>
      </c>
      <c r="Y3471">
        <v>20</v>
      </c>
      <c r="Z3471" t="s">
        <v>59</v>
      </c>
      <c r="AA3471" t="s">
        <v>59</v>
      </c>
      <c r="AB3471" t="s">
        <v>59</v>
      </c>
      <c r="AC3471" t="s">
        <v>59</v>
      </c>
      <c r="AD3471" t="s">
        <v>59</v>
      </c>
      <c r="AF3471" s="1">
        <v>38960</v>
      </c>
      <c r="AG3471" t="s">
        <v>125</v>
      </c>
      <c r="AH3471" t="s">
        <v>126</v>
      </c>
      <c r="AI3471" t="str">
        <f>"4104010"</f>
        <v>4104010</v>
      </c>
      <c r="AJ3471" t="s">
        <v>5745</v>
      </c>
      <c r="AK3471">
        <v>2834022235</v>
      </c>
      <c r="AL3471" t="s">
        <v>5746</v>
      </c>
      <c r="AM3471" t="s">
        <v>64</v>
      </c>
      <c r="AN3471" t="s">
        <v>5672</v>
      </c>
      <c r="AO3471" t="s">
        <v>5673</v>
      </c>
      <c r="AP3471" t="s">
        <v>5689</v>
      </c>
      <c r="AQ3471">
        <v>2</v>
      </c>
      <c r="AR3471" t="s">
        <v>5644</v>
      </c>
      <c r="AS3471" t="s">
        <v>5645</v>
      </c>
      <c r="AT3471" t="s">
        <v>58</v>
      </c>
      <c r="AU3471" t="s">
        <v>68</v>
      </c>
      <c r="AV3471" t="s">
        <v>69</v>
      </c>
      <c r="AW3471" s="1">
        <v>24450</v>
      </c>
      <c r="AX3471">
        <v>2</v>
      </c>
    </row>
    <row r="3472" spans="1:50">
      <c r="A3472">
        <v>175800</v>
      </c>
      <c r="B3472" t="str">
        <f>"063926010"</f>
        <v>063926010</v>
      </c>
      <c r="C3472" t="s">
        <v>50</v>
      </c>
      <c r="D3472" t="s">
        <v>4230</v>
      </c>
      <c r="E3472" t="s">
        <v>250</v>
      </c>
      <c r="F3472" t="s">
        <v>92</v>
      </c>
      <c r="G3472" t="s">
        <v>340</v>
      </c>
      <c r="H3472" t="str">
        <f>"ΚΑΣΤΕΛΑΚΙΑ ΡΕΘΥΜΝΟΥ ΡΕΘΥΜΝΟ"</f>
        <v>ΚΑΣΤΕΛΑΚΙΑ ΡΕΘΥΜΝΟΥ ΡΕΘΥΜΝΟ</v>
      </c>
      <c r="I3472">
        <v>74100</v>
      </c>
      <c r="J3472">
        <v>2831050957</v>
      </c>
      <c r="K3472">
        <v>6938687708</v>
      </c>
      <c r="N3472" t="s">
        <v>146</v>
      </c>
      <c r="O3472" t="s">
        <v>147</v>
      </c>
      <c r="R3472" t="s">
        <v>57</v>
      </c>
      <c r="S3472">
        <v>12</v>
      </c>
      <c r="T3472">
        <v>180</v>
      </c>
      <c r="U3472" s="1">
        <v>35674</v>
      </c>
      <c r="V3472" t="s">
        <v>5644</v>
      </c>
      <c r="W3472" t="s">
        <v>5645</v>
      </c>
      <c r="X3472" t="s">
        <v>58</v>
      </c>
      <c r="Y3472">
        <v>18</v>
      </c>
      <c r="Z3472" t="s">
        <v>59</v>
      </c>
      <c r="AA3472" t="s">
        <v>59</v>
      </c>
      <c r="AB3472" t="s">
        <v>59</v>
      </c>
      <c r="AC3472" t="s">
        <v>59</v>
      </c>
      <c r="AD3472" t="s">
        <v>59</v>
      </c>
      <c r="AF3472" s="1">
        <v>35678</v>
      </c>
      <c r="AG3472" t="s">
        <v>125</v>
      </c>
      <c r="AH3472" t="s">
        <v>126</v>
      </c>
      <c r="AI3472" t="str">
        <f>"4101020"</f>
        <v>4101020</v>
      </c>
      <c r="AJ3472" t="s">
        <v>5652</v>
      </c>
      <c r="AK3472">
        <v>2831023560</v>
      </c>
      <c r="AL3472" t="s">
        <v>5653</v>
      </c>
      <c r="AM3472" t="s">
        <v>64</v>
      </c>
      <c r="AN3472" t="s">
        <v>65</v>
      </c>
      <c r="AO3472" t="s">
        <v>65</v>
      </c>
      <c r="AP3472" t="s">
        <v>65</v>
      </c>
      <c r="AQ3472">
        <v>1</v>
      </c>
      <c r="AR3472" t="s">
        <v>5644</v>
      </c>
      <c r="AS3472" t="s">
        <v>5645</v>
      </c>
      <c r="AT3472" t="s">
        <v>58</v>
      </c>
      <c r="AU3472" t="s">
        <v>68</v>
      </c>
      <c r="AV3472" t="s">
        <v>69</v>
      </c>
      <c r="AW3472" s="1">
        <v>24286</v>
      </c>
      <c r="AX3472">
        <v>2</v>
      </c>
    </row>
    <row r="3473" spans="1:50">
      <c r="A3473">
        <v>173556</v>
      </c>
      <c r="B3473" t="str">
        <f>"044591929"</f>
        <v>044591929</v>
      </c>
      <c r="C3473" t="s">
        <v>50</v>
      </c>
      <c r="D3473" t="s">
        <v>4230</v>
      </c>
      <c r="E3473" t="s">
        <v>96</v>
      </c>
      <c r="F3473" t="s">
        <v>2320</v>
      </c>
      <c r="G3473" t="s">
        <v>83</v>
      </c>
      <c r="H3473" t="str">
        <f>"ΨΥΧΟΥΝΤΑΚΗ 19 ΡΕΘΥΜΝΟ"</f>
        <v>ΨΥΧΟΥΝΤΑΚΗ 19 ΡΕΘΥΜΝΟ</v>
      </c>
      <c r="I3473">
        <v>74100</v>
      </c>
      <c r="J3473">
        <v>2831028538</v>
      </c>
      <c r="K3473">
        <v>6984489745</v>
      </c>
      <c r="L3473">
        <v>49015777100730</v>
      </c>
      <c r="M3473" t="s">
        <v>6653</v>
      </c>
      <c r="N3473" t="s">
        <v>146</v>
      </c>
      <c r="O3473" t="s">
        <v>147</v>
      </c>
      <c r="R3473" t="s">
        <v>57</v>
      </c>
      <c r="S3473">
        <v>13</v>
      </c>
      <c r="T3473">
        <v>166</v>
      </c>
      <c r="U3473" s="1">
        <v>35300</v>
      </c>
      <c r="V3473" t="s">
        <v>5644</v>
      </c>
      <c r="W3473" t="s">
        <v>5645</v>
      </c>
      <c r="X3473" t="s">
        <v>58</v>
      </c>
      <c r="Y3473">
        <v>18</v>
      </c>
      <c r="Z3473" t="s">
        <v>59</v>
      </c>
      <c r="AA3473" t="s">
        <v>59</v>
      </c>
      <c r="AB3473" t="s">
        <v>59</v>
      </c>
      <c r="AC3473" t="s">
        <v>59</v>
      </c>
      <c r="AD3473" t="s">
        <v>59</v>
      </c>
      <c r="AF3473" s="1">
        <v>35300</v>
      </c>
      <c r="AG3473" t="s">
        <v>148</v>
      </c>
      <c r="AH3473" t="s">
        <v>149</v>
      </c>
      <c r="AI3473" t="str">
        <f>"4151030"</f>
        <v>4151030</v>
      </c>
      <c r="AJ3473" t="s">
        <v>5681</v>
      </c>
      <c r="AK3473">
        <v>2831023422</v>
      </c>
      <c r="AL3473" t="s">
        <v>5682</v>
      </c>
      <c r="AM3473" t="s">
        <v>64</v>
      </c>
      <c r="AN3473" t="s">
        <v>65</v>
      </c>
      <c r="AO3473" t="s">
        <v>65</v>
      </c>
      <c r="AP3473" t="s">
        <v>65</v>
      </c>
      <c r="AQ3473">
        <v>1</v>
      </c>
      <c r="AR3473" t="s">
        <v>5644</v>
      </c>
      <c r="AS3473" t="s">
        <v>5645</v>
      </c>
      <c r="AT3473" t="s">
        <v>58</v>
      </c>
      <c r="AU3473" t="s">
        <v>68</v>
      </c>
      <c r="AV3473" t="s">
        <v>69</v>
      </c>
      <c r="AW3473" s="1">
        <v>24244</v>
      </c>
      <c r="AX3473">
        <v>2</v>
      </c>
    </row>
    <row r="3474" spans="1:50">
      <c r="A3474">
        <v>188415</v>
      </c>
      <c r="B3474" t="str">
        <f>"038261567"</f>
        <v>038261567</v>
      </c>
      <c r="C3474" t="s">
        <v>105</v>
      </c>
      <c r="D3474" t="s">
        <v>4235</v>
      </c>
      <c r="E3474" t="s">
        <v>95</v>
      </c>
      <c r="F3474" t="s">
        <v>53</v>
      </c>
      <c r="G3474" t="s">
        <v>83</v>
      </c>
      <c r="H3474" t="str">
        <f>"ΑΤΣΙΠΟΠΟΥΛΟ ΡΕΘΥΜΝΟ"</f>
        <v>ΑΤΣΙΠΟΠΟΥΛΟ ΡΕΘΥΜΝΟ</v>
      </c>
      <c r="I3474">
        <v>74100</v>
      </c>
      <c r="K3474">
        <v>6973654808</v>
      </c>
      <c r="M3474" t="s">
        <v>6654</v>
      </c>
      <c r="N3474" t="s">
        <v>204</v>
      </c>
      <c r="O3474" t="s">
        <v>205</v>
      </c>
      <c r="R3474" t="s">
        <v>57</v>
      </c>
      <c r="S3474">
        <v>10</v>
      </c>
      <c r="T3474">
        <v>251</v>
      </c>
      <c r="U3474" s="1">
        <v>36769</v>
      </c>
      <c r="V3474" t="s">
        <v>5644</v>
      </c>
      <c r="W3474" t="s">
        <v>5645</v>
      </c>
      <c r="X3474" t="s">
        <v>58</v>
      </c>
      <c r="Y3474">
        <v>20</v>
      </c>
      <c r="Z3474" t="s">
        <v>59</v>
      </c>
      <c r="AA3474" t="s">
        <v>59</v>
      </c>
      <c r="AB3474" t="s">
        <v>59</v>
      </c>
      <c r="AC3474" t="s">
        <v>59</v>
      </c>
      <c r="AD3474" t="s">
        <v>59</v>
      </c>
      <c r="AF3474" s="1">
        <v>36769</v>
      </c>
      <c r="AG3474" t="s">
        <v>137</v>
      </c>
      <c r="AH3474" t="s">
        <v>138</v>
      </c>
      <c r="AI3474" t="str">
        <f>"4152001"</f>
        <v>4152001</v>
      </c>
      <c r="AJ3474" t="s">
        <v>5665</v>
      </c>
      <c r="AK3474">
        <v>2831024375</v>
      </c>
      <c r="AL3474" t="s">
        <v>5666</v>
      </c>
      <c r="AM3474" t="s">
        <v>64</v>
      </c>
      <c r="AN3474" t="s">
        <v>65</v>
      </c>
      <c r="AO3474" t="s">
        <v>65</v>
      </c>
      <c r="AP3474" t="s">
        <v>65</v>
      </c>
      <c r="AQ3474">
        <v>1</v>
      </c>
      <c r="AR3474" t="s">
        <v>5644</v>
      </c>
      <c r="AS3474" t="s">
        <v>5645</v>
      </c>
      <c r="AT3474" t="s">
        <v>58</v>
      </c>
      <c r="AU3474" t="s">
        <v>68</v>
      </c>
      <c r="AV3474" t="s">
        <v>357</v>
      </c>
      <c r="AW3474" s="1">
        <v>25153</v>
      </c>
      <c r="AX3474">
        <v>2</v>
      </c>
    </row>
    <row r="3475" spans="1:50">
      <c r="A3475">
        <v>215808</v>
      </c>
      <c r="B3475" t="str">
        <f>"114278073"</f>
        <v>114278073</v>
      </c>
      <c r="C3475" t="s">
        <v>50</v>
      </c>
      <c r="D3475" t="s">
        <v>4242</v>
      </c>
      <c r="E3475" t="s">
        <v>83</v>
      </c>
      <c r="F3475" t="s">
        <v>95</v>
      </c>
      <c r="G3475" t="s">
        <v>250</v>
      </c>
      <c r="H3475" t="str">
        <f>"ΑΛΜΠΕΡΤ ΣΒΑΪΤΣΕΡ 86 ΗΡΑΚΛΕΙΟ"</f>
        <v>ΑΛΜΠΕΡΤ ΣΒΑΪΤΣΕΡ 86 ΗΡΑΚΛΕΙΟ</v>
      </c>
      <c r="I3475">
        <v>71304</v>
      </c>
      <c r="J3475">
        <v>2810319713</v>
      </c>
      <c r="K3475">
        <v>6977608435</v>
      </c>
      <c r="M3475" t="s">
        <v>6655</v>
      </c>
      <c r="N3475" t="s">
        <v>204</v>
      </c>
      <c r="O3475" t="s">
        <v>205</v>
      </c>
      <c r="R3475" t="s">
        <v>57</v>
      </c>
      <c r="S3475">
        <v>7</v>
      </c>
      <c r="T3475">
        <v>231</v>
      </c>
      <c r="U3475" s="1">
        <v>38960</v>
      </c>
      <c r="V3475" t="s">
        <v>5644</v>
      </c>
      <c r="W3475" t="s">
        <v>5645</v>
      </c>
      <c r="X3475" t="s">
        <v>58</v>
      </c>
      <c r="Y3475">
        <v>21</v>
      </c>
      <c r="Z3475" t="s">
        <v>59</v>
      </c>
      <c r="AA3475" t="s">
        <v>59</v>
      </c>
      <c r="AB3475" t="s">
        <v>59</v>
      </c>
      <c r="AC3475" t="s">
        <v>59</v>
      </c>
      <c r="AD3475" t="s">
        <v>59</v>
      </c>
      <c r="AF3475" s="1">
        <v>38961</v>
      </c>
      <c r="AG3475" t="s">
        <v>148</v>
      </c>
      <c r="AH3475" t="s">
        <v>149</v>
      </c>
      <c r="AI3475" t="str">
        <f>"4152010"</f>
        <v>4152010</v>
      </c>
      <c r="AJ3475" t="s">
        <v>5739</v>
      </c>
      <c r="AK3475">
        <v>2834031205</v>
      </c>
      <c r="AL3475" t="s">
        <v>5740</v>
      </c>
      <c r="AM3475" t="s">
        <v>64</v>
      </c>
      <c r="AN3475" t="s">
        <v>5737</v>
      </c>
      <c r="AO3475" t="s">
        <v>5737</v>
      </c>
      <c r="AP3475" t="s">
        <v>5737</v>
      </c>
      <c r="AQ3475">
        <v>3</v>
      </c>
      <c r="AR3475" t="s">
        <v>5644</v>
      </c>
      <c r="AS3475" t="s">
        <v>5645</v>
      </c>
      <c r="AT3475" t="s">
        <v>58</v>
      </c>
      <c r="AU3475" t="s">
        <v>68</v>
      </c>
      <c r="AV3475" t="s">
        <v>69</v>
      </c>
      <c r="AW3475" s="1">
        <v>29984</v>
      </c>
      <c r="AX3475">
        <v>2</v>
      </c>
    </row>
    <row r="3476" spans="1:50">
      <c r="B3476" t="str">
        <f>"127723346"</f>
        <v>127723346</v>
      </c>
      <c r="C3476" t="s">
        <v>50</v>
      </c>
      <c r="D3476" t="s">
        <v>6656</v>
      </c>
      <c r="E3476" t="s">
        <v>52</v>
      </c>
      <c r="F3476" t="s">
        <v>84</v>
      </c>
      <c r="G3476" t="s">
        <v>96</v>
      </c>
      <c r="H3476" t="str">
        <f>"ΚΙΣΣΑΜΟΥ   103 "</f>
        <v xml:space="preserve">ΚΙΣΣΑΜΟΥ   103 </v>
      </c>
      <c r="I3476">
        <v>73100</v>
      </c>
      <c r="J3476">
        <v>2821087074</v>
      </c>
      <c r="K3476">
        <v>6934842094</v>
      </c>
      <c r="N3476" t="s">
        <v>907</v>
      </c>
      <c r="O3476" t="s">
        <v>908</v>
      </c>
      <c r="R3476" t="s">
        <v>121</v>
      </c>
      <c r="S3476">
        <v>1</v>
      </c>
      <c r="T3476" t="s">
        <v>416</v>
      </c>
      <c r="U3476" s="1">
        <v>43349</v>
      </c>
      <c r="V3476" t="s">
        <v>5644</v>
      </c>
      <c r="W3476" t="s">
        <v>5645</v>
      </c>
      <c r="X3476" t="s">
        <v>58</v>
      </c>
      <c r="Y3476">
        <v>23</v>
      </c>
      <c r="Z3476" t="s">
        <v>59</v>
      </c>
      <c r="AA3476" t="s">
        <v>59</v>
      </c>
      <c r="AB3476" t="s">
        <v>59</v>
      </c>
      <c r="AC3476" t="s">
        <v>59</v>
      </c>
      <c r="AD3476" t="s">
        <v>59</v>
      </c>
      <c r="AF3476" s="1">
        <v>43349</v>
      </c>
      <c r="AG3476" t="s">
        <v>137</v>
      </c>
      <c r="AH3476" t="s">
        <v>138</v>
      </c>
      <c r="AI3476" t="str">
        <f>"4150040"</f>
        <v>4150040</v>
      </c>
      <c r="AJ3476" t="s">
        <v>5661</v>
      </c>
      <c r="AK3476">
        <v>2831029048</v>
      </c>
      <c r="AL3476" t="s">
        <v>5662</v>
      </c>
      <c r="AM3476" t="s">
        <v>64</v>
      </c>
      <c r="AN3476" t="s">
        <v>65</v>
      </c>
      <c r="AO3476" t="s">
        <v>65</v>
      </c>
      <c r="AP3476" t="s">
        <v>65</v>
      </c>
      <c r="AQ3476">
        <v>1</v>
      </c>
      <c r="AR3476" t="s">
        <v>5644</v>
      </c>
      <c r="AS3476" t="s">
        <v>5645</v>
      </c>
      <c r="AT3476" t="s">
        <v>58</v>
      </c>
      <c r="AU3476" t="s">
        <v>419</v>
      </c>
      <c r="AV3476" t="s">
        <v>132</v>
      </c>
      <c r="AW3476" s="1">
        <v>30017</v>
      </c>
      <c r="AX3476">
        <v>2</v>
      </c>
    </row>
    <row r="3477" spans="1:50">
      <c r="B3477" t="str">
        <f>"062060769"</f>
        <v>062060769</v>
      </c>
      <c r="C3477" t="s">
        <v>50</v>
      </c>
      <c r="D3477" t="s">
        <v>4248</v>
      </c>
      <c r="E3477" t="s">
        <v>52</v>
      </c>
      <c r="F3477" t="s">
        <v>900</v>
      </c>
      <c r="G3477" t="s">
        <v>4671</v>
      </c>
      <c r="H3477" t="str">
        <f>"ΑΠΟΔΗΜΩΝ ΚΡΗΤΩΝ 16 ΡΕΘΥΜΝΟ"</f>
        <v>ΑΠΟΔΗΜΩΝ ΚΡΗΤΩΝ 16 ΡΕΘΥΜΝΟ</v>
      </c>
      <c r="I3477">
        <v>74100</v>
      </c>
      <c r="J3477">
        <v>2831026543</v>
      </c>
      <c r="K3477">
        <v>6977701727</v>
      </c>
      <c r="M3477" t="s">
        <v>6657</v>
      </c>
      <c r="N3477" t="s">
        <v>119</v>
      </c>
      <c r="O3477" t="s">
        <v>120</v>
      </c>
      <c r="R3477" t="s">
        <v>159</v>
      </c>
      <c r="S3477">
        <v>5</v>
      </c>
      <c r="T3477" t="s">
        <v>5643</v>
      </c>
      <c r="U3477" s="1">
        <v>43348</v>
      </c>
      <c r="V3477" t="s">
        <v>5644</v>
      </c>
      <c r="W3477" t="s">
        <v>5645</v>
      </c>
      <c r="X3477" t="s">
        <v>58</v>
      </c>
      <c r="Y3477">
        <v>21</v>
      </c>
      <c r="Z3477" t="s">
        <v>59</v>
      </c>
      <c r="AA3477" t="s">
        <v>59</v>
      </c>
      <c r="AB3477" t="s">
        <v>59</v>
      </c>
      <c r="AC3477" t="s">
        <v>59</v>
      </c>
      <c r="AD3477" t="s">
        <v>59</v>
      </c>
      <c r="AF3477" s="1">
        <v>43348</v>
      </c>
      <c r="AG3477" t="s">
        <v>125</v>
      </c>
      <c r="AH3477" t="s">
        <v>126</v>
      </c>
      <c r="AI3477" t="str">
        <f>"4101040"</f>
        <v>4101040</v>
      </c>
      <c r="AJ3477" t="s">
        <v>5732</v>
      </c>
      <c r="AK3477">
        <v>2831029261</v>
      </c>
      <c r="AL3477" t="s">
        <v>5733</v>
      </c>
      <c r="AM3477" t="s">
        <v>64</v>
      </c>
      <c r="AN3477" t="s">
        <v>65</v>
      </c>
      <c r="AO3477" t="s">
        <v>65</v>
      </c>
      <c r="AP3477" t="s">
        <v>65</v>
      </c>
      <c r="AQ3477">
        <v>1</v>
      </c>
      <c r="AR3477" t="s">
        <v>5644</v>
      </c>
      <c r="AS3477" t="s">
        <v>5645</v>
      </c>
      <c r="AT3477" t="s">
        <v>58</v>
      </c>
      <c r="AU3477" t="s">
        <v>350</v>
      </c>
      <c r="AV3477" t="s">
        <v>132</v>
      </c>
      <c r="AW3477" s="1">
        <v>28576</v>
      </c>
      <c r="AX3477">
        <v>2</v>
      </c>
    </row>
    <row r="3478" spans="1:50">
      <c r="A3478">
        <v>207790</v>
      </c>
      <c r="B3478" t="str">
        <f>"065821600"</f>
        <v>065821600</v>
      </c>
      <c r="C3478" t="s">
        <v>50</v>
      </c>
      <c r="D3478" t="s">
        <v>6658</v>
      </c>
      <c r="E3478" t="s">
        <v>52</v>
      </c>
      <c r="F3478" t="s">
        <v>670</v>
      </c>
      <c r="G3478" t="s">
        <v>566</v>
      </c>
      <c r="H3478" t="str">
        <f>"ΕΡΩΤΟΚΡΙΤΟΥ 1 ΡΕΘΥΜΝΟ"</f>
        <v>ΕΡΩΤΟΚΡΙΤΟΥ 1 ΡΕΘΥΜΝΟ</v>
      </c>
      <c r="I3478">
        <v>74132</v>
      </c>
      <c r="J3478">
        <v>2831026446</v>
      </c>
      <c r="K3478">
        <v>6944740789</v>
      </c>
      <c r="M3478" t="s">
        <v>6659</v>
      </c>
      <c r="N3478" t="s">
        <v>288</v>
      </c>
      <c r="O3478" t="s">
        <v>289</v>
      </c>
      <c r="R3478" t="s">
        <v>57</v>
      </c>
      <c r="S3478">
        <v>10</v>
      </c>
      <c r="T3478">
        <v>218</v>
      </c>
      <c r="U3478" s="1">
        <v>38596</v>
      </c>
      <c r="V3478" t="s">
        <v>5644</v>
      </c>
      <c r="W3478" t="s">
        <v>5645</v>
      </c>
      <c r="X3478" t="s">
        <v>58</v>
      </c>
      <c r="Y3478">
        <v>20</v>
      </c>
      <c r="Z3478" t="s">
        <v>59</v>
      </c>
      <c r="AA3478" t="s">
        <v>59</v>
      </c>
      <c r="AB3478" t="s">
        <v>59</v>
      </c>
      <c r="AC3478" t="s">
        <v>59</v>
      </c>
      <c r="AD3478" t="s">
        <v>59</v>
      </c>
      <c r="AF3478" s="1">
        <v>38596</v>
      </c>
      <c r="AG3478" t="s">
        <v>125</v>
      </c>
      <c r="AH3478" t="s">
        <v>126</v>
      </c>
      <c r="AI3478" t="str">
        <f>"4101010"</f>
        <v>4101010</v>
      </c>
      <c r="AJ3478" t="s">
        <v>5814</v>
      </c>
      <c r="AK3478">
        <v>2831022283</v>
      </c>
      <c r="AL3478" t="s">
        <v>5815</v>
      </c>
      <c r="AM3478" t="s">
        <v>64</v>
      </c>
      <c r="AN3478" t="s">
        <v>65</v>
      </c>
      <c r="AO3478" t="s">
        <v>65</v>
      </c>
      <c r="AP3478" t="s">
        <v>65</v>
      </c>
      <c r="AQ3478">
        <v>1</v>
      </c>
      <c r="AR3478" t="s">
        <v>5644</v>
      </c>
      <c r="AS3478" t="s">
        <v>5645</v>
      </c>
      <c r="AT3478" t="s">
        <v>58</v>
      </c>
      <c r="AU3478" t="s">
        <v>68</v>
      </c>
      <c r="AV3478" t="s">
        <v>69</v>
      </c>
      <c r="AW3478" s="1">
        <v>27456</v>
      </c>
      <c r="AX3478">
        <v>2</v>
      </c>
    </row>
    <row r="3479" spans="1:50">
      <c r="A3479">
        <v>194700</v>
      </c>
      <c r="B3479" t="str">
        <f>"046200457"</f>
        <v>046200457</v>
      </c>
      <c r="C3479" t="s">
        <v>105</v>
      </c>
      <c r="D3479" t="s">
        <v>6660</v>
      </c>
      <c r="E3479" t="s">
        <v>106</v>
      </c>
      <c r="F3479" t="s">
        <v>53</v>
      </c>
      <c r="G3479" t="s">
        <v>263</v>
      </c>
      <c r="H3479" t="str">
        <f>"ΑΚΑΔΗΜΙΑΣ ΒΙΒΗ 85 ΡΕΘΥΜΝΟ"</f>
        <v>ΑΚΑΔΗΜΙΑΣ ΒΙΒΗ 85 ΡΕΘΥΜΝΟ</v>
      </c>
      <c r="I3479">
        <v>74100</v>
      </c>
      <c r="J3479">
        <v>2831051063</v>
      </c>
      <c r="K3479">
        <v>6932575546</v>
      </c>
      <c r="M3479" t="s">
        <v>6661</v>
      </c>
      <c r="N3479" t="s">
        <v>189</v>
      </c>
      <c r="O3479" t="s">
        <v>190</v>
      </c>
      <c r="R3479" t="s">
        <v>57</v>
      </c>
      <c r="S3479">
        <v>13</v>
      </c>
      <c r="T3479">
        <v>193</v>
      </c>
      <c r="U3479" s="1">
        <v>37497</v>
      </c>
      <c r="V3479" t="s">
        <v>5644</v>
      </c>
      <c r="W3479" t="s">
        <v>5645</v>
      </c>
      <c r="X3479" t="s">
        <v>58</v>
      </c>
      <c r="Y3479">
        <v>18</v>
      </c>
      <c r="Z3479" t="s">
        <v>59</v>
      </c>
      <c r="AA3479" t="s">
        <v>59</v>
      </c>
      <c r="AB3479" t="s">
        <v>59</v>
      </c>
      <c r="AC3479" t="s">
        <v>59</v>
      </c>
      <c r="AD3479" t="s">
        <v>59</v>
      </c>
      <c r="AF3479" s="1">
        <v>37497</v>
      </c>
      <c r="AG3479" t="s">
        <v>125</v>
      </c>
      <c r="AH3479" t="s">
        <v>126</v>
      </c>
      <c r="AI3479" t="str">
        <f>"4101040"</f>
        <v>4101040</v>
      </c>
      <c r="AJ3479" t="s">
        <v>5732</v>
      </c>
      <c r="AK3479">
        <v>2831029261</v>
      </c>
      <c r="AL3479" t="s">
        <v>5733</v>
      </c>
      <c r="AM3479" t="s">
        <v>64</v>
      </c>
      <c r="AN3479" t="s">
        <v>65</v>
      </c>
      <c r="AO3479" t="s">
        <v>65</v>
      </c>
      <c r="AP3479" t="s">
        <v>65</v>
      </c>
      <c r="AQ3479">
        <v>1</v>
      </c>
      <c r="AR3479" t="s">
        <v>5644</v>
      </c>
      <c r="AS3479" t="s">
        <v>5645</v>
      </c>
      <c r="AT3479" t="s">
        <v>58</v>
      </c>
      <c r="AU3479" t="s">
        <v>68</v>
      </c>
      <c r="AV3479" t="s">
        <v>69</v>
      </c>
      <c r="AW3479" s="1">
        <v>25156</v>
      </c>
      <c r="AX3479">
        <v>2</v>
      </c>
    </row>
    <row r="3480" spans="1:50">
      <c r="A3480">
        <v>173903</v>
      </c>
      <c r="B3480" t="str">
        <f>"043345352"</f>
        <v>043345352</v>
      </c>
      <c r="C3480" t="s">
        <v>105</v>
      </c>
      <c r="D3480" t="s">
        <v>5582</v>
      </c>
      <c r="E3480" t="s">
        <v>95</v>
      </c>
      <c r="F3480" t="s">
        <v>106</v>
      </c>
      <c r="G3480" t="s">
        <v>314</v>
      </c>
      <c r="H3480" t="str">
        <f>"Γ. ΒΟΛΑΚΑ 4 ΣΑΡΑΚΙΝΑ"</f>
        <v>Γ. ΒΟΛΑΚΑ 4 ΣΑΡΑΚΙΝΑ</v>
      </c>
      <c r="I3480">
        <v>74132</v>
      </c>
      <c r="J3480">
        <v>2831056435</v>
      </c>
      <c r="K3480">
        <v>6948563004</v>
      </c>
      <c r="M3480" t="s">
        <v>6662</v>
      </c>
      <c r="N3480" t="s">
        <v>232</v>
      </c>
      <c r="O3480" t="s">
        <v>233</v>
      </c>
      <c r="R3480" t="s">
        <v>57</v>
      </c>
      <c r="S3480">
        <v>13</v>
      </c>
      <c r="T3480">
        <v>166</v>
      </c>
      <c r="U3480" s="1">
        <v>35300</v>
      </c>
      <c r="V3480" t="s">
        <v>5644</v>
      </c>
      <c r="W3480" t="s">
        <v>5645</v>
      </c>
      <c r="X3480" t="s">
        <v>58</v>
      </c>
      <c r="Y3480">
        <v>18</v>
      </c>
      <c r="Z3480" t="s">
        <v>59</v>
      </c>
      <c r="AA3480" t="s">
        <v>59</v>
      </c>
      <c r="AB3480" t="s">
        <v>59</v>
      </c>
      <c r="AC3480" t="s">
        <v>59</v>
      </c>
      <c r="AD3480" t="s">
        <v>59</v>
      </c>
      <c r="AF3480" s="1">
        <v>35300</v>
      </c>
      <c r="AG3480" t="s">
        <v>125</v>
      </c>
      <c r="AH3480" t="s">
        <v>126</v>
      </c>
      <c r="AI3480" t="str">
        <f>"4101040"</f>
        <v>4101040</v>
      </c>
      <c r="AJ3480" t="s">
        <v>5732</v>
      </c>
      <c r="AK3480">
        <v>2831029261</v>
      </c>
      <c r="AL3480" t="s">
        <v>5733</v>
      </c>
      <c r="AM3480" t="s">
        <v>64</v>
      </c>
      <c r="AN3480" t="s">
        <v>65</v>
      </c>
      <c r="AO3480" t="s">
        <v>65</v>
      </c>
      <c r="AP3480" t="s">
        <v>65</v>
      </c>
      <c r="AQ3480">
        <v>1</v>
      </c>
      <c r="AR3480" t="s">
        <v>5644</v>
      </c>
      <c r="AS3480" t="s">
        <v>5645</v>
      </c>
      <c r="AT3480" t="s">
        <v>58</v>
      </c>
      <c r="AU3480" t="s">
        <v>68</v>
      </c>
      <c r="AV3480" t="s">
        <v>69</v>
      </c>
      <c r="AW3480" s="1">
        <v>22375</v>
      </c>
      <c r="AX3480">
        <v>2</v>
      </c>
    </row>
    <row r="3481" spans="1:50">
      <c r="B3481" t="str">
        <f>"047781558"</f>
        <v>047781558</v>
      </c>
      <c r="C3481" t="s">
        <v>50</v>
      </c>
      <c r="D3481" t="s">
        <v>6663</v>
      </c>
      <c r="E3481" t="s">
        <v>1074</v>
      </c>
      <c r="F3481" t="s">
        <v>53</v>
      </c>
      <c r="G3481" t="s">
        <v>476</v>
      </c>
      <c r="H3481" t="str">
        <f>"ΚΑΖΑΝΤΖΑΚΗ 48 ΡΕΘΥΜΝΟ"</f>
        <v>ΚΑΖΑΝΤΖΑΚΗ 48 ΡΕΘΥΜΝΟ</v>
      </c>
      <c r="I3481">
        <v>74100</v>
      </c>
      <c r="J3481">
        <v>2831027582</v>
      </c>
      <c r="K3481">
        <v>6946217447</v>
      </c>
      <c r="N3481" t="s">
        <v>146</v>
      </c>
      <c r="O3481" t="s">
        <v>147</v>
      </c>
      <c r="R3481" t="s">
        <v>57</v>
      </c>
      <c r="S3481">
        <v>5</v>
      </c>
      <c r="T3481" t="s">
        <v>574</v>
      </c>
      <c r="U3481" s="1">
        <v>43378</v>
      </c>
      <c r="V3481" t="s">
        <v>5644</v>
      </c>
      <c r="W3481" t="s">
        <v>5645</v>
      </c>
      <c r="X3481" t="s">
        <v>58</v>
      </c>
      <c r="Y3481">
        <v>21</v>
      </c>
      <c r="Z3481" t="s">
        <v>59</v>
      </c>
      <c r="AA3481" t="s">
        <v>59</v>
      </c>
      <c r="AB3481" t="s">
        <v>59</v>
      </c>
      <c r="AC3481" t="s">
        <v>59</v>
      </c>
      <c r="AD3481" t="s">
        <v>59</v>
      </c>
      <c r="AF3481" s="1">
        <v>43381</v>
      </c>
      <c r="AG3481" t="s">
        <v>125</v>
      </c>
      <c r="AH3481" t="s">
        <v>126</v>
      </c>
      <c r="AI3481" t="str">
        <f>"4110015"</f>
        <v>4110015</v>
      </c>
      <c r="AJ3481" t="s">
        <v>5723</v>
      </c>
      <c r="AK3481">
        <v>2831022741</v>
      </c>
      <c r="AL3481" t="s">
        <v>5724</v>
      </c>
      <c r="AM3481" t="s">
        <v>64</v>
      </c>
      <c r="AN3481" t="s">
        <v>65</v>
      </c>
      <c r="AO3481" t="s">
        <v>5720</v>
      </c>
      <c r="AP3481" t="s">
        <v>5721</v>
      </c>
      <c r="AQ3481">
        <v>1</v>
      </c>
      <c r="AR3481" t="s">
        <v>5644</v>
      </c>
      <c r="AS3481" t="s">
        <v>5645</v>
      </c>
      <c r="AT3481" t="s">
        <v>58</v>
      </c>
      <c r="AU3481" t="s">
        <v>164</v>
      </c>
      <c r="AV3481" t="s">
        <v>132</v>
      </c>
      <c r="AW3481" s="1">
        <v>26791</v>
      </c>
      <c r="AX3481">
        <v>2</v>
      </c>
    </row>
    <row r="3482" spans="1:50">
      <c r="A3482">
        <v>150735</v>
      </c>
      <c r="B3482" t="str">
        <f>"035037158"</f>
        <v>035037158</v>
      </c>
      <c r="C3482" t="s">
        <v>50</v>
      </c>
      <c r="D3482" t="s">
        <v>6664</v>
      </c>
      <c r="E3482" t="s">
        <v>83</v>
      </c>
      <c r="F3482" t="s">
        <v>72</v>
      </c>
      <c r="G3482" t="s">
        <v>52</v>
      </c>
      <c r="H3482" t="str">
        <f>"ΚΩΝΣΤΑΝΤΙΝΟΥΠΟΛΕΩΣ 18 ΚΑΛΛΙΘΕΑ"</f>
        <v>ΚΩΝΣΤΑΝΤΙΝΟΥΠΟΛΕΩΣ 18 ΚΑΛΛΙΘΕΑ</v>
      </c>
      <c r="I3482">
        <v>74100</v>
      </c>
      <c r="K3482">
        <v>6936630445</v>
      </c>
      <c r="N3482" t="s">
        <v>146</v>
      </c>
      <c r="O3482" t="s">
        <v>147</v>
      </c>
      <c r="R3482" t="s">
        <v>57</v>
      </c>
      <c r="S3482">
        <v>16</v>
      </c>
      <c r="T3482">
        <v>170</v>
      </c>
      <c r="U3482" s="1">
        <v>32016</v>
      </c>
      <c r="V3482" t="s">
        <v>5644</v>
      </c>
      <c r="W3482" t="s">
        <v>5645</v>
      </c>
      <c r="X3482" t="s">
        <v>58</v>
      </c>
      <c r="Y3482">
        <v>18</v>
      </c>
      <c r="Z3482" t="s">
        <v>59</v>
      </c>
      <c r="AA3482" t="s">
        <v>59</v>
      </c>
      <c r="AB3482" t="s">
        <v>59</v>
      </c>
      <c r="AC3482" t="s">
        <v>59</v>
      </c>
      <c r="AD3482" t="s">
        <v>59</v>
      </c>
      <c r="AF3482" s="1">
        <v>32016</v>
      </c>
      <c r="AG3482" t="s">
        <v>125</v>
      </c>
      <c r="AH3482" t="s">
        <v>126</v>
      </c>
      <c r="AI3482" t="str">
        <f>"4101040"</f>
        <v>4101040</v>
      </c>
      <c r="AJ3482" t="s">
        <v>5732</v>
      </c>
      <c r="AK3482">
        <v>2831029261</v>
      </c>
      <c r="AL3482" t="s">
        <v>5733</v>
      </c>
      <c r="AM3482" t="s">
        <v>64</v>
      </c>
      <c r="AN3482" t="s">
        <v>65</v>
      </c>
      <c r="AO3482" t="s">
        <v>65</v>
      </c>
      <c r="AP3482" t="s">
        <v>65</v>
      </c>
      <c r="AQ3482">
        <v>1</v>
      </c>
      <c r="AR3482" t="s">
        <v>5644</v>
      </c>
      <c r="AS3482" t="s">
        <v>5645</v>
      </c>
      <c r="AT3482" t="s">
        <v>58</v>
      </c>
      <c r="AU3482" t="s">
        <v>68</v>
      </c>
      <c r="AV3482" t="s">
        <v>69</v>
      </c>
      <c r="AW3482" s="1">
        <v>21660</v>
      </c>
      <c r="AX3482">
        <v>2</v>
      </c>
    </row>
    <row r="3483" spans="1:50">
      <c r="A3483">
        <v>700212</v>
      </c>
      <c r="B3483" t="str">
        <f>"073356851"</f>
        <v>073356851</v>
      </c>
      <c r="C3483" t="s">
        <v>105</v>
      </c>
      <c r="D3483" t="s">
        <v>6665</v>
      </c>
      <c r="E3483" t="s">
        <v>154</v>
      </c>
      <c r="F3483" t="s">
        <v>2165</v>
      </c>
      <c r="G3483" t="s">
        <v>3467</v>
      </c>
      <c r="H3483" t="str">
        <f>"ΜΑΧΗΣ ΚΡΗΤΗΣ 140 ΠΛΑΤΑΝΙΑΣ"</f>
        <v>ΜΑΧΗΣ ΚΡΗΤΗΣ 140 ΠΛΑΤΑΝΙΑΣ</v>
      </c>
      <c r="I3483">
        <v>74133</v>
      </c>
      <c r="J3483">
        <v>2831035838</v>
      </c>
      <c r="K3483">
        <v>6973404634</v>
      </c>
      <c r="N3483" t="s">
        <v>292</v>
      </c>
      <c r="O3483" t="s">
        <v>293</v>
      </c>
      <c r="R3483" t="s">
        <v>57</v>
      </c>
      <c r="S3483">
        <v>7</v>
      </c>
      <c r="T3483">
        <v>772</v>
      </c>
      <c r="U3483" s="1">
        <v>40413</v>
      </c>
      <c r="V3483" t="s">
        <v>5644</v>
      </c>
      <c r="W3483" t="s">
        <v>5645</v>
      </c>
      <c r="X3483" t="s">
        <v>58</v>
      </c>
      <c r="Y3483">
        <v>21</v>
      </c>
      <c r="Z3483" t="s">
        <v>59</v>
      </c>
      <c r="AA3483" t="s">
        <v>59</v>
      </c>
      <c r="AB3483" t="s">
        <v>59</v>
      </c>
      <c r="AC3483" t="s">
        <v>59</v>
      </c>
      <c r="AD3483" t="s">
        <v>59</v>
      </c>
      <c r="AF3483" s="1">
        <v>40413</v>
      </c>
      <c r="AG3483" t="s">
        <v>125</v>
      </c>
      <c r="AH3483" t="s">
        <v>126</v>
      </c>
      <c r="AI3483" t="str">
        <f>"4101020"</f>
        <v>4101020</v>
      </c>
      <c r="AJ3483" t="s">
        <v>5652</v>
      </c>
      <c r="AK3483">
        <v>2831023560</v>
      </c>
      <c r="AL3483" t="s">
        <v>5653</v>
      </c>
      <c r="AM3483" t="s">
        <v>64</v>
      </c>
      <c r="AN3483" t="s">
        <v>65</v>
      </c>
      <c r="AO3483" t="s">
        <v>65</v>
      </c>
      <c r="AP3483" t="s">
        <v>65</v>
      </c>
      <c r="AQ3483">
        <v>1</v>
      </c>
      <c r="AR3483" t="s">
        <v>5644</v>
      </c>
      <c r="AS3483" t="s">
        <v>5645</v>
      </c>
      <c r="AT3483" t="s">
        <v>58</v>
      </c>
      <c r="AU3483" t="s">
        <v>68</v>
      </c>
      <c r="AV3483" t="s">
        <v>69</v>
      </c>
      <c r="AW3483" s="1">
        <v>27145</v>
      </c>
      <c r="AX3483">
        <v>2</v>
      </c>
    </row>
    <row r="3484" spans="1:50">
      <c r="A3484">
        <v>217160</v>
      </c>
      <c r="B3484" t="str">
        <f>"047609710"</f>
        <v>047609710</v>
      </c>
      <c r="C3484" t="s">
        <v>50</v>
      </c>
      <c r="D3484" t="s">
        <v>4281</v>
      </c>
      <c r="E3484" t="s">
        <v>4925</v>
      </c>
      <c r="F3484" t="s">
        <v>72</v>
      </c>
      <c r="G3484" t="s">
        <v>112</v>
      </c>
      <c r="H3484" t="str">
        <f>"ΟΥΛΩΦ ΠΑΛΜΕ 2 ΡΕΘΥΜΝΟ"</f>
        <v>ΟΥΛΩΦ ΠΑΛΜΕ 2 ΡΕΘΥΜΝΟ</v>
      </c>
      <c r="I3484">
        <v>74100</v>
      </c>
      <c r="J3484">
        <v>2831054455</v>
      </c>
      <c r="K3484">
        <v>6972818862</v>
      </c>
      <c r="L3484">
        <v>2821088065</v>
      </c>
      <c r="N3484" t="s">
        <v>337</v>
      </c>
      <c r="O3484" t="s">
        <v>338</v>
      </c>
      <c r="R3484" t="s">
        <v>57</v>
      </c>
      <c r="S3484">
        <v>8</v>
      </c>
      <c r="T3484">
        <v>298</v>
      </c>
      <c r="U3484" s="1">
        <v>38985</v>
      </c>
      <c r="V3484" t="s">
        <v>5644</v>
      </c>
      <c r="W3484" t="s">
        <v>5645</v>
      </c>
      <c r="X3484" t="s">
        <v>58</v>
      </c>
      <c r="Y3484">
        <v>20</v>
      </c>
      <c r="Z3484" t="s">
        <v>59</v>
      </c>
      <c r="AA3484" t="s">
        <v>59</v>
      </c>
      <c r="AB3484" t="s">
        <v>59</v>
      </c>
      <c r="AC3484" t="s">
        <v>59</v>
      </c>
      <c r="AD3484" t="s">
        <v>59</v>
      </c>
      <c r="AF3484" s="1">
        <v>38985</v>
      </c>
      <c r="AG3484" t="s">
        <v>125</v>
      </c>
      <c r="AH3484" t="s">
        <v>294</v>
      </c>
      <c r="AI3484" t="str">
        <f>"4101045"</f>
        <v>4101045</v>
      </c>
      <c r="AJ3484" t="s">
        <v>5677</v>
      </c>
      <c r="AK3484">
        <v>2831027553</v>
      </c>
      <c r="AL3484" t="s">
        <v>5678</v>
      </c>
      <c r="AM3484" t="s">
        <v>64</v>
      </c>
      <c r="AN3484" t="s">
        <v>65</v>
      </c>
      <c r="AO3484" t="s">
        <v>65</v>
      </c>
      <c r="AP3484" t="s">
        <v>65</v>
      </c>
      <c r="AQ3484">
        <v>1</v>
      </c>
      <c r="AR3484" t="s">
        <v>5644</v>
      </c>
      <c r="AS3484" t="s">
        <v>5645</v>
      </c>
      <c r="AT3484" t="s">
        <v>58</v>
      </c>
      <c r="AU3484" t="s">
        <v>68</v>
      </c>
      <c r="AV3484" t="s">
        <v>69</v>
      </c>
      <c r="AW3484" s="1">
        <v>27575</v>
      </c>
      <c r="AX3484">
        <v>2</v>
      </c>
    </row>
    <row r="3485" spans="1:50">
      <c r="A3485">
        <v>196545</v>
      </c>
      <c r="B3485" t="str">
        <f>"045165730"</f>
        <v>045165730</v>
      </c>
      <c r="C3485" t="s">
        <v>50</v>
      </c>
      <c r="D3485" t="s">
        <v>4281</v>
      </c>
      <c r="E3485" t="s">
        <v>314</v>
      </c>
      <c r="F3485" t="s">
        <v>84</v>
      </c>
      <c r="G3485" t="s">
        <v>54</v>
      </c>
      <c r="H3485" t="str">
        <f>"ΘΕΟΤΟΚΟΠΟΥΛΟΥ 74 ΡΕΘΥΜΝΟ"</f>
        <v>ΘΕΟΤΟΚΟΠΟΥΛΟΥ 74 ΡΕΘΥΜΝΟ</v>
      </c>
      <c r="I3485">
        <v>74100</v>
      </c>
      <c r="N3485" t="s">
        <v>337</v>
      </c>
      <c r="O3485" t="s">
        <v>338</v>
      </c>
      <c r="P3485" t="s">
        <v>257</v>
      </c>
      <c r="Q3485" t="s">
        <v>258</v>
      </c>
      <c r="R3485" t="s">
        <v>57</v>
      </c>
      <c r="S3485">
        <v>9</v>
      </c>
      <c r="T3485">
        <v>273</v>
      </c>
      <c r="U3485" s="1">
        <v>37596</v>
      </c>
      <c r="V3485" t="s">
        <v>5644</v>
      </c>
      <c r="W3485" t="s">
        <v>5645</v>
      </c>
      <c r="X3485" t="s">
        <v>58</v>
      </c>
      <c r="Y3485">
        <v>20</v>
      </c>
      <c r="Z3485" t="s">
        <v>59</v>
      </c>
      <c r="AA3485" t="s">
        <v>59</v>
      </c>
      <c r="AB3485" t="s">
        <v>59</v>
      </c>
      <c r="AC3485" t="s">
        <v>59</v>
      </c>
      <c r="AD3485" t="s">
        <v>59</v>
      </c>
      <c r="AF3485" s="1">
        <v>37596</v>
      </c>
      <c r="AG3485" t="s">
        <v>125</v>
      </c>
      <c r="AH3485" t="s">
        <v>294</v>
      </c>
      <c r="AI3485" t="str">
        <f>"4101045"</f>
        <v>4101045</v>
      </c>
      <c r="AJ3485" t="s">
        <v>5677</v>
      </c>
      <c r="AK3485">
        <v>2831027553</v>
      </c>
      <c r="AL3485" t="s">
        <v>5678</v>
      </c>
      <c r="AM3485" t="s">
        <v>64</v>
      </c>
      <c r="AN3485" t="s">
        <v>65</v>
      </c>
      <c r="AO3485" t="s">
        <v>65</v>
      </c>
      <c r="AP3485" t="s">
        <v>65</v>
      </c>
      <c r="AQ3485">
        <v>1</v>
      </c>
      <c r="AR3485" t="s">
        <v>5644</v>
      </c>
      <c r="AS3485" t="s">
        <v>5645</v>
      </c>
      <c r="AT3485" t="s">
        <v>58</v>
      </c>
      <c r="AU3485" t="s">
        <v>68</v>
      </c>
      <c r="AV3485" t="s">
        <v>69</v>
      </c>
      <c r="AW3485" s="1">
        <v>24931</v>
      </c>
      <c r="AX3485">
        <v>2</v>
      </c>
    </row>
    <row r="3486" spans="1:50">
      <c r="A3486">
        <v>182701</v>
      </c>
      <c r="B3486" t="str">
        <f>"035682786"</f>
        <v>035682786</v>
      </c>
      <c r="C3486" t="s">
        <v>105</v>
      </c>
      <c r="D3486" t="s">
        <v>4286</v>
      </c>
      <c r="E3486" t="s">
        <v>99</v>
      </c>
      <c r="F3486" t="s">
        <v>84</v>
      </c>
      <c r="G3486" t="s">
        <v>54</v>
      </c>
      <c r="H3486" t="str">
        <f>"ΚΑΠΟΔΙΣΤΡΙΟΥ 63 ΡΕΘΥΜΝΟ"</f>
        <v>ΚΑΠΟΔΙΣΤΡΙΟΥ 63 ΡΕΘΥΜΝΟ</v>
      </c>
      <c r="I3486">
        <v>74100</v>
      </c>
      <c r="K3486">
        <v>6974428163</v>
      </c>
      <c r="M3486" t="s">
        <v>6666</v>
      </c>
      <c r="N3486" t="s">
        <v>232</v>
      </c>
      <c r="O3486" t="s">
        <v>233</v>
      </c>
      <c r="R3486" t="s">
        <v>57</v>
      </c>
      <c r="S3486">
        <v>9</v>
      </c>
      <c r="T3486">
        <v>249</v>
      </c>
      <c r="U3486" s="1">
        <v>36160</v>
      </c>
      <c r="V3486" t="s">
        <v>5644</v>
      </c>
      <c r="W3486" t="s">
        <v>5645</v>
      </c>
      <c r="X3486" t="s">
        <v>58</v>
      </c>
      <c r="Y3486">
        <v>20</v>
      </c>
      <c r="Z3486" t="s">
        <v>59</v>
      </c>
      <c r="AA3486" t="s">
        <v>59</v>
      </c>
      <c r="AB3486" t="s">
        <v>59</v>
      </c>
      <c r="AC3486" t="s">
        <v>59</v>
      </c>
      <c r="AD3486" t="s">
        <v>59</v>
      </c>
      <c r="AF3486" s="1">
        <v>36171</v>
      </c>
      <c r="AG3486" t="s">
        <v>148</v>
      </c>
      <c r="AH3486" t="s">
        <v>149</v>
      </c>
      <c r="AI3486" t="str">
        <f>"4151030"</f>
        <v>4151030</v>
      </c>
      <c r="AJ3486" t="s">
        <v>5681</v>
      </c>
      <c r="AK3486">
        <v>2831023422</v>
      </c>
      <c r="AL3486" t="s">
        <v>5682</v>
      </c>
      <c r="AM3486" t="s">
        <v>64</v>
      </c>
      <c r="AN3486" t="s">
        <v>65</v>
      </c>
      <c r="AO3486" t="s">
        <v>65</v>
      </c>
      <c r="AP3486" t="s">
        <v>65</v>
      </c>
      <c r="AQ3486">
        <v>1</v>
      </c>
      <c r="AR3486" t="s">
        <v>5644</v>
      </c>
      <c r="AS3486" t="s">
        <v>5645</v>
      </c>
      <c r="AT3486" t="s">
        <v>58</v>
      </c>
      <c r="AU3486" t="s">
        <v>68</v>
      </c>
      <c r="AV3486" t="s">
        <v>69</v>
      </c>
      <c r="AW3486" s="1">
        <v>24557</v>
      </c>
      <c r="AX3486">
        <v>2</v>
      </c>
    </row>
    <row r="3487" spans="1:50">
      <c r="A3487">
        <v>137525</v>
      </c>
      <c r="B3487" t="str">
        <f>"017711139"</f>
        <v>017711139</v>
      </c>
      <c r="C3487" t="s">
        <v>105</v>
      </c>
      <c r="D3487" t="s">
        <v>4286</v>
      </c>
      <c r="E3487" t="s">
        <v>1328</v>
      </c>
      <c r="F3487" t="s">
        <v>72</v>
      </c>
      <c r="G3487" t="s">
        <v>494</v>
      </c>
      <c r="H3487" t="str">
        <f>"ΠΑΠΑΝΙΚΟΛΑΟΥ 17 ΡΕΘΥΜΝΟ"</f>
        <v>ΠΑΠΑΝΙΚΟΛΑΟΥ 17 ΡΕΘΥΜΝΟ</v>
      </c>
      <c r="I3487">
        <v>74100</v>
      </c>
      <c r="J3487">
        <v>2831025704</v>
      </c>
      <c r="N3487" t="s">
        <v>292</v>
      </c>
      <c r="O3487" t="s">
        <v>293</v>
      </c>
      <c r="R3487" t="s">
        <v>57</v>
      </c>
      <c r="S3487">
        <v>18</v>
      </c>
      <c r="T3487">
        <v>271</v>
      </c>
      <c r="U3487" s="1">
        <v>30195</v>
      </c>
      <c r="V3487" t="s">
        <v>5644</v>
      </c>
      <c r="W3487" t="s">
        <v>5645</v>
      </c>
      <c r="X3487" t="s">
        <v>58</v>
      </c>
      <c r="Y3487">
        <v>18</v>
      </c>
      <c r="Z3487" t="s">
        <v>59</v>
      </c>
      <c r="AA3487" t="s">
        <v>59</v>
      </c>
      <c r="AB3487" t="s">
        <v>59</v>
      </c>
      <c r="AC3487" t="s">
        <v>59</v>
      </c>
      <c r="AD3487" t="s">
        <v>59</v>
      </c>
      <c r="AF3487" s="1">
        <v>30195</v>
      </c>
      <c r="AG3487" t="s">
        <v>148</v>
      </c>
      <c r="AH3487" t="s">
        <v>149</v>
      </c>
      <c r="AI3487" t="str">
        <f>"4151020"</f>
        <v>4151020</v>
      </c>
      <c r="AJ3487" t="s">
        <v>5725</v>
      </c>
      <c r="AK3487">
        <v>2831022475</v>
      </c>
      <c r="AL3487" t="s">
        <v>5726</v>
      </c>
      <c r="AM3487" t="s">
        <v>64</v>
      </c>
      <c r="AN3487" t="s">
        <v>65</v>
      </c>
      <c r="AO3487" t="s">
        <v>65</v>
      </c>
      <c r="AP3487" t="s">
        <v>65</v>
      </c>
      <c r="AQ3487">
        <v>1</v>
      </c>
      <c r="AR3487" t="s">
        <v>5644</v>
      </c>
      <c r="AS3487" t="s">
        <v>5645</v>
      </c>
      <c r="AT3487" t="s">
        <v>58</v>
      </c>
      <c r="AU3487" t="s">
        <v>68</v>
      </c>
      <c r="AV3487" t="s">
        <v>69</v>
      </c>
      <c r="AW3487" s="1">
        <v>19671</v>
      </c>
      <c r="AX3487">
        <v>2</v>
      </c>
    </row>
    <row r="3488" spans="1:50">
      <c r="A3488">
        <v>198109</v>
      </c>
      <c r="B3488" t="str">
        <f>"043629060"</f>
        <v>043629060</v>
      </c>
      <c r="C3488" t="s">
        <v>105</v>
      </c>
      <c r="D3488" t="s">
        <v>4286</v>
      </c>
      <c r="E3488" t="s">
        <v>92</v>
      </c>
      <c r="F3488" t="s">
        <v>72</v>
      </c>
      <c r="G3488" t="s">
        <v>237</v>
      </c>
      <c r="H3488" t="str">
        <f>"ΝΤΕΧΙΟΣΤΑΚ 9 ΡΕΘΥΜΝΟ"</f>
        <v>ΝΤΕΧΙΟΣΤΑΚ 9 ΡΕΘΥΜΝΟ</v>
      </c>
      <c r="I3488">
        <v>74100</v>
      </c>
      <c r="J3488">
        <v>2831050159</v>
      </c>
      <c r="K3488">
        <v>6973747629</v>
      </c>
      <c r="L3488">
        <v>2831050159</v>
      </c>
      <c r="M3488" t="s">
        <v>6667</v>
      </c>
      <c r="N3488" t="s">
        <v>232</v>
      </c>
      <c r="O3488" t="s">
        <v>233</v>
      </c>
      <c r="R3488" t="s">
        <v>57</v>
      </c>
      <c r="S3488">
        <v>7</v>
      </c>
      <c r="T3488">
        <v>206</v>
      </c>
      <c r="U3488" s="1">
        <v>37866</v>
      </c>
      <c r="V3488" t="s">
        <v>5644</v>
      </c>
      <c r="W3488" t="s">
        <v>5645</v>
      </c>
      <c r="X3488" t="s">
        <v>58</v>
      </c>
      <c r="Y3488">
        <v>20</v>
      </c>
      <c r="Z3488" t="s">
        <v>59</v>
      </c>
      <c r="AA3488" t="s">
        <v>59</v>
      </c>
      <c r="AB3488" t="s">
        <v>59</v>
      </c>
      <c r="AC3488" t="s">
        <v>59</v>
      </c>
      <c r="AD3488" t="s">
        <v>59</v>
      </c>
      <c r="AF3488" s="1">
        <v>37866</v>
      </c>
      <c r="AG3488" t="s">
        <v>148</v>
      </c>
      <c r="AH3488" t="s">
        <v>149</v>
      </c>
      <c r="AI3488" t="str">
        <f>"4151009"</f>
        <v>4151009</v>
      </c>
      <c r="AJ3488" t="s">
        <v>5649</v>
      </c>
      <c r="AK3488">
        <v>2831027115</v>
      </c>
      <c r="AL3488" t="s">
        <v>5650</v>
      </c>
      <c r="AM3488" t="s">
        <v>64</v>
      </c>
      <c r="AN3488" t="s">
        <v>65</v>
      </c>
      <c r="AO3488" t="s">
        <v>65</v>
      </c>
      <c r="AP3488" t="s">
        <v>65</v>
      </c>
      <c r="AQ3488">
        <v>1</v>
      </c>
      <c r="AR3488" t="s">
        <v>5644</v>
      </c>
      <c r="AS3488" t="s">
        <v>5645</v>
      </c>
      <c r="AT3488" t="s">
        <v>58</v>
      </c>
      <c r="AU3488" t="s">
        <v>68</v>
      </c>
      <c r="AV3488" t="s">
        <v>69</v>
      </c>
      <c r="AW3488" s="1">
        <v>22660</v>
      </c>
      <c r="AX3488">
        <v>2</v>
      </c>
    </row>
    <row r="3489" spans="1:50">
      <c r="A3489">
        <v>215816</v>
      </c>
      <c r="B3489" t="str">
        <f>"138976066"</f>
        <v>138976066</v>
      </c>
      <c r="C3489" t="s">
        <v>105</v>
      </c>
      <c r="D3489" t="s">
        <v>6668</v>
      </c>
      <c r="E3489" t="s">
        <v>72</v>
      </c>
      <c r="F3489" t="s">
        <v>6669</v>
      </c>
      <c r="G3489" t="s">
        <v>6670</v>
      </c>
      <c r="H3489" t="str">
        <f>"ΝΙΚΟΛΑΟΥ ΣΚΟΥΦΑ 2 ΗΡΑΚΛΕΙΟ"</f>
        <v>ΝΙΚΟΛΑΟΥ ΣΚΟΥΦΑ 2 ΗΡΑΚΛΕΙΟ</v>
      </c>
      <c r="I3489">
        <v>71307</v>
      </c>
      <c r="J3489">
        <v>2810326907</v>
      </c>
      <c r="K3489">
        <v>6944871169</v>
      </c>
      <c r="M3489" t="s">
        <v>6671</v>
      </c>
      <c r="N3489" t="s">
        <v>204</v>
      </c>
      <c r="O3489" t="s">
        <v>205</v>
      </c>
      <c r="R3489" t="s">
        <v>57</v>
      </c>
      <c r="S3489">
        <v>8</v>
      </c>
      <c r="T3489">
        <v>231</v>
      </c>
      <c r="U3489" s="1">
        <v>38961</v>
      </c>
      <c r="V3489" t="s">
        <v>5644</v>
      </c>
      <c r="W3489" t="s">
        <v>5645</v>
      </c>
      <c r="X3489" t="s">
        <v>58</v>
      </c>
      <c r="Y3489">
        <v>20</v>
      </c>
      <c r="Z3489" t="s">
        <v>59</v>
      </c>
      <c r="AA3489" t="s">
        <v>59</v>
      </c>
      <c r="AB3489" t="s">
        <v>59</v>
      </c>
      <c r="AC3489" t="s">
        <v>59</v>
      </c>
      <c r="AD3489" t="s">
        <v>59</v>
      </c>
      <c r="AF3489" s="1">
        <v>38961</v>
      </c>
      <c r="AG3489" t="s">
        <v>148</v>
      </c>
      <c r="AH3489" t="s">
        <v>149</v>
      </c>
      <c r="AI3489" t="str">
        <f>"4154010"</f>
        <v>4154010</v>
      </c>
      <c r="AJ3489" t="s">
        <v>5687</v>
      </c>
      <c r="AK3489">
        <v>2834023300</v>
      </c>
      <c r="AL3489" t="s">
        <v>5688</v>
      </c>
      <c r="AM3489" t="s">
        <v>64</v>
      </c>
      <c r="AN3489" t="s">
        <v>5672</v>
      </c>
      <c r="AO3489" t="s">
        <v>5673</v>
      </c>
      <c r="AP3489" t="s">
        <v>5689</v>
      </c>
      <c r="AQ3489">
        <v>2</v>
      </c>
      <c r="AR3489" t="s">
        <v>5644</v>
      </c>
      <c r="AS3489" t="s">
        <v>5645</v>
      </c>
      <c r="AT3489" t="s">
        <v>58</v>
      </c>
      <c r="AU3489" t="s">
        <v>68</v>
      </c>
      <c r="AV3489" t="s">
        <v>69</v>
      </c>
      <c r="AW3489" s="1">
        <v>29388</v>
      </c>
      <c r="AX3489">
        <v>2</v>
      </c>
    </row>
    <row r="3490" spans="1:50">
      <c r="A3490">
        <v>229928</v>
      </c>
      <c r="B3490" t="str">
        <f>"037792276"</f>
        <v>037792276</v>
      </c>
      <c r="C3490" t="s">
        <v>105</v>
      </c>
      <c r="D3490" t="s">
        <v>6668</v>
      </c>
      <c r="E3490" t="s">
        <v>108</v>
      </c>
      <c r="F3490" t="s">
        <v>1679</v>
      </c>
      <c r="G3490" t="s">
        <v>237</v>
      </c>
      <c r="H3490" t="str">
        <f>"Ε ΓΙΑΚΟΥΜΑΚΗ 24 ΗΡΑΚΛΕΙΟ"</f>
        <v>Ε ΓΙΑΚΟΥΜΑΚΗ 24 ΗΡΑΚΛΕΙΟ</v>
      </c>
      <c r="I3490">
        <v>71305</v>
      </c>
      <c r="J3490">
        <v>2810323198</v>
      </c>
      <c r="K3490">
        <v>6977586273</v>
      </c>
      <c r="M3490" t="s">
        <v>6672</v>
      </c>
      <c r="N3490" t="s">
        <v>299</v>
      </c>
      <c r="O3490" t="s">
        <v>300</v>
      </c>
      <c r="R3490" t="s">
        <v>57</v>
      </c>
      <c r="S3490">
        <v>7</v>
      </c>
      <c r="T3490">
        <v>4</v>
      </c>
      <c r="U3490" s="1">
        <v>40186</v>
      </c>
      <c r="V3490" t="s">
        <v>5644</v>
      </c>
      <c r="W3490" t="s">
        <v>5645</v>
      </c>
      <c r="X3490" t="s">
        <v>58</v>
      </c>
      <c r="Y3490">
        <v>21</v>
      </c>
      <c r="Z3490" t="s">
        <v>59</v>
      </c>
      <c r="AA3490" t="s">
        <v>59</v>
      </c>
      <c r="AB3490" t="s">
        <v>59</v>
      </c>
      <c r="AC3490" t="s">
        <v>59</v>
      </c>
      <c r="AD3490" t="s">
        <v>59</v>
      </c>
      <c r="AF3490" s="1">
        <v>40190</v>
      </c>
      <c r="AG3490" t="s">
        <v>137</v>
      </c>
      <c r="AH3490" t="s">
        <v>138</v>
      </c>
      <c r="AI3490" t="str">
        <f>"4152001"</f>
        <v>4152001</v>
      </c>
      <c r="AJ3490" t="s">
        <v>5665</v>
      </c>
      <c r="AK3490">
        <v>2831024375</v>
      </c>
      <c r="AL3490" t="s">
        <v>5666</v>
      </c>
      <c r="AM3490" t="s">
        <v>64</v>
      </c>
      <c r="AN3490" t="s">
        <v>65</v>
      </c>
      <c r="AO3490" t="s">
        <v>65</v>
      </c>
      <c r="AP3490" t="s">
        <v>65</v>
      </c>
      <c r="AQ3490">
        <v>1</v>
      </c>
      <c r="AR3490" t="s">
        <v>5644</v>
      </c>
      <c r="AS3490" t="s">
        <v>5645</v>
      </c>
      <c r="AT3490" t="s">
        <v>58</v>
      </c>
      <c r="AU3490" t="s">
        <v>68</v>
      </c>
      <c r="AV3490" t="s">
        <v>132</v>
      </c>
      <c r="AW3490" s="1">
        <v>23478</v>
      </c>
      <c r="AX3490">
        <v>2</v>
      </c>
    </row>
    <row r="3491" spans="1:50">
      <c r="A3491">
        <v>214712</v>
      </c>
      <c r="B3491" t="str">
        <f>"122109449"</f>
        <v>122109449</v>
      </c>
      <c r="C3491" t="s">
        <v>105</v>
      </c>
      <c r="D3491" t="s">
        <v>6673</v>
      </c>
      <c r="E3491" t="s">
        <v>564</v>
      </c>
      <c r="F3491" t="s">
        <v>95</v>
      </c>
      <c r="G3491" t="s">
        <v>52</v>
      </c>
      <c r="H3491" t="str">
        <f>"ΒΑΡΝΑΛΗ 16 ΡΕΘΥΜΝΟ ΡΕΘΥΜΝΟ"</f>
        <v>ΒΑΡΝΑΛΗ 16 ΡΕΘΥΜΝΟ ΡΕΘΥΜΝΟ</v>
      </c>
      <c r="I3491">
        <v>74100</v>
      </c>
      <c r="J3491">
        <v>2323023820</v>
      </c>
      <c r="K3491">
        <v>6974711609</v>
      </c>
      <c r="M3491" t="s">
        <v>6674</v>
      </c>
      <c r="N3491" t="s">
        <v>176</v>
      </c>
      <c r="O3491" t="s">
        <v>177</v>
      </c>
      <c r="P3491" t="s">
        <v>257</v>
      </c>
      <c r="Q3491" t="s">
        <v>258</v>
      </c>
      <c r="R3491" t="s">
        <v>57</v>
      </c>
      <c r="S3491">
        <v>6</v>
      </c>
      <c r="T3491">
        <v>231</v>
      </c>
      <c r="U3491" s="1">
        <v>38960</v>
      </c>
      <c r="V3491" t="s">
        <v>5644</v>
      </c>
      <c r="W3491" t="s">
        <v>5645</v>
      </c>
      <c r="X3491" t="s">
        <v>58</v>
      </c>
      <c r="Y3491">
        <v>20</v>
      </c>
      <c r="Z3491" t="s">
        <v>59</v>
      </c>
      <c r="AA3491" t="s">
        <v>59</v>
      </c>
      <c r="AB3491" t="s">
        <v>59</v>
      </c>
      <c r="AC3491" t="s">
        <v>59</v>
      </c>
      <c r="AD3491" t="s">
        <v>59</v>
      </c>
      <c r="AF3491" s="1">
        <v>38960</v>
      </c>
      <c r="AG3491" t="s">
        <v>148</v>
      </c>
      <c r="AH3491" t="s">
        <v>149</v>
      </c>
      <c r="AI3491" t="str">
        <f>"4144002"</f>
        <v>4144002</v>
      </c>
      <c r="AJ3491" t="s">
        <v>5655</v>
      </c>
      <c r="AK3491">
        <v>2831061110</v>
      </c>
      <c r="AL3491" t="s">
        <v>5656</v>
      </c>
      <c r="AM3491" t="s">
        <v>64</v>
      </c>
      <c r="AN3491" t="s">
        <v>65</v>
      </c>
      <c r="AO3491" t="s">
        <v>5657</v>
      </c>
      <c r="AP3491" t="s">
        <v>1437</v>
      </c>
      <c r="AQ3491">
        <v>1</v>
      </c>
      <c r="AR3491" t="s">
        <v>5644</v>
      </c>
      <c r="AS3491" t="s">
        <v>5645</v>
      </c>
      <c r="AT3491" t="s">
        <v>58</v>
      </c>
      <c r="AU3491" t="s">
        <v>68</v>
      </c>
      <c r="AV3491" t="s">
        <v>132</v>
      </c>
      <c r="AW3491" s="1">
        <v>29168</v>
      </c>
      <c r="AX3491">
        <v>2</v>
      </c>
    </row>
    <row r="3492" spans="1:50">
      <c r="A3492">
        <v>178474</v>
      </c>
      <c r="B3492" t="str">
        <f>"051592732"</f>
        <v>051592732</v>
      </c>
      <c r="C3492" t="s">
        <v>50</v>
      </c>
      <c r="D3492" t="s">
        <v>4303</v>
      </c>
      <c r="E3492" t="s">
        <v>4695</v>
      </c>
      <c r="F3492" t="s">
        <v>6675</v>
      </c>
      <c r="G3492" t="s">
        <v>93</v>
      </c>
      <c r="H3492" t="str">
        <f>"ΠΑΝΕΠΙΣΤΗΜΙΟΥ ΚΡΗΤΗΣ 9 ΡΕΘΥΜΝΟ"</f>
        <v>ΠΑΝΕΠΙΣΤΗΜΙΟΥ ΚΡΗΤΗΣ 9 ΡΕΘΥΜΝΟ</v>
      </c>
      <c r="I3492">
        <v>74100</v>
      </c>
      <c r="N3492" t="s">
        <v>146</v>
      </c>
      <c r="O3492" t="s">
        <v>147</v>
      </c>
      <c r="R3492" t="s">
        <v>57</v>
      </c>
      <c r="S3492">
        <v>12</v>
      </c>
      <c r="T3492">
        <v>181</v>
      </c>
      <c r="U3492" s="1">
        <v>35674</v>
      </c>
      <c r="V3492" t="s">
        <v>5644</v>
      </c>
      <c r="W3492" t="s">
        <v>5645</v>
      </c>
      <c r="X3492" t="s">
        <v>58</v>
      </c>
      <c r="Y3492">
        <v>18</v>
      </c>
      <c r="Z3492" t="s">
        <v>59</v>
      </c>
      <c r="AA3492" t="s">
        <v>59</v>
      </c>
      <c r="AB3492" t="s">
        <v>59</v>
      </c>
      <c r="AC3492" t="s">
        <v>59</v>
      </c>
      <c r="AD3492" t="s">
        <v>59</v>
      </c>
      <c r="AF3492" s="1">
        <v>35674</v>
      </c>
      <c r="AG3492" t="s">
        <v>125</v>
      </c>
      <c r="AH3492" t="s">
        <v>126</v>
      </c>
      <c r="AI3492" t="str">
        <f>"4110015"</f>
        <v>4110015</v>
      </c>
      <c r="AJ3492" t="s">
        <v>5723</v>
      </c>
      <c r="AK3492">
        <v>2831022741</v>
      </c>
      <c r="AL3492" t="s">
        <v>5724</v>
      </c>
      <c r="AM3492" t="s">
        <v>64</v>
      </c>
      <c r="AN3492" t="s">
        <v>65</v>
      </c>
      <c r="AO3492" t="s">
        <v>5720</v>
      </c>
      <c r="AP3492" t="s">
        <v>5721</v>
      </c>
      <c r="AQ3492">
        <v>1</v>
      </c>
      <c r="AR3492" t="s">
        <v>5644</v>
      </c>
      <c r="AS3492" t="s">
        <v>5645</v>
      </c>
      <c r="AT3492" t="s">
        <v>58</v>
      </c>
      <c r="AU3492" t="s">
        <v>68</v>
      </c>
      <c r="AV3492" t="s">
        <v>69</v>
      </c>
      <c r="AW3492" s="1">
        <v>22433</v>
      </c>
      <c r="AX3492">
        <v>2</v>
      </c>
    </row>
    <row r="3493" spans="1:50">
      <c r="A3493">
        <v>229284</v>
      </c>
      <c r="B3493" t="str">
        <f>"061794116"</f>
        <v>061794116</v>
      </c>
      <c r="C3493" t="s">
        <v>50</v>
      </c>
      <c r="D3493" t="s">
        <v>6676</v>
      </c>
      <c r="E3493" t="s">
        <v>6677</v>
      </c>
      <c r="F3493" t="s">
        <v>72</v>
      </c>
      <c r="G3493" t="s">
        <v>964</v>
      </c>
      <c r="H3493" t="str">
        <f>"ΣΩΚΙΩΝ 4 ΝΕΑ ΙΩΝΙΑ ΒΟΛΟΥ"</f>
        <v>ΣΩΚΙΩΝ 4 ΝΕΑ ΙΩΝΙΑ ΒΟΛΟΥ</v>
      </c>
      <c r="I3493">
        <v>38446</v>
      </c>
      <c r="J3493">
        <v>2831102646</v>
      </c>
      <c r="K3493">
        <v>6955453494</v>
      </c>
      <c r="L3493">
        <v>2421025727</v>
      </c>
      <c r="M3493" t="s">
        <v>6678</v>
      </c>
      <c r="N3493" t="s">
        <v>683</v>
      </c>
      <c r="O3493" t="s">
        <v>684</v>
      </c>
      <c r="R3493" t="s">
        <v>57</v>
      </c>
      <c r="S3493">
        <v>5</v>
      </c>
      <c r="T3493">
        <v>792</v>
      </c>
      <c r="U3493" s="1">
        <v>40081</v>
      </c>
      <c r="V3493" t="s">
        <v>5644</v>
      </c>
      <c r="W3493" t="s">
        <v>5645</v>
      </c>
      <c r="X3493" t="s">
        <v>58</v>
      </c>
      <c r="Y3493">
        <v>21</v>
      </c>
      <c r="Z3493" t="s">
        <v>59</v>
      </c>
      <c r="AA3493" t="s">
        <v>59</v>
      </c>
      <c r="AB3493" t="s">
        <v>59</v>
      </c>
      <c r="AC3493" t="s">
        <v>59</v>
      </c>
      <c r="AD3493" t="s">
        <v>59</v>
      </c>
      <c r="AF3493" s="1">
        <v>40081</v>
      </c>
      <c r="AG3493" t="s">
        <v>125</v>
      </c>
      <c r="AH3493" t="s">
        <v>126</v>
      </c>
      <c r="AI3493" t="str">
        <f>"4104010"</f>
        <v>4104010</v>
      </c>
      <c r="AJ3493" t="s">
        <v>5745</v>
      </c>
      <c r="AK3493">
        <v>2834022235</v>
      </c>
      <c r="AL3493" t="s">
        <v>5746</v>
      </c>
      <c r="AM3493" t="s">
        <v>64</v>
      </c>
      <c r="AN3493" t="s">
        <v>5672</v>
      </c>
      <c r="AO3493" t="s">
        <v>5673</v>
      </c>
      <c r="AP3493" t="s">
        <v>5689</v>
      </c>
      <c r="AQ3493">
        <v>2</v>
      </c>
      <c r="AR3493" t="s">
        <v>5644</v>
      </c>
      <c r="AS3493" t="s">
        <v>5645</v>
      </c>
      <c r="AT3493" t="s">
        <v>58</v>
      </c>
      <c r="AU3493" t="s">
        <v>68</v>
      </c>
      <c r="AV3493" t="s">
        <v>69</v>
      </c>
      <c r="AW3493" s="1">
        <v>26426</v>
      </c>
      <c r="AX3493">
        <v>2</v>
      </c>
    </row>
    <row r="3494" spans="1:50">
      <c r="B3494" t="str">
        <f>"141449462"</f>
        <v>141449462</v>
      </c>
      <c r="C3494" t="s">
        <v>50</v>
      </c>
      <c r="D3494" t="s">
        <v>6679</v>
      </c>
      <c r="E3494" t="s">
        <v>809</v>
      </c>
      <c r="F3494" t="s">
        <v>408</v>
      </c>
      <c r="G3494" t="s">
        <v>476</v>
      </c>
      <c r="H3494" t="str">
        <f>" "</f>
        <v xml:space="preserve"> </v>
      </c>
      <c r="N3494" t="s">
        <v>536</v>
      </c>
      <c r="O3494" t="s">
        <v>537</v>
      </c>
      <c r="R3494" t="s">
        <v>121</v>
      </c>
      <c r="S3494">
        <v>3</v>
      </c>
      <c r="T3494" t="s">
        <v>1944</v>
      </c>
      <c r="U3494" s="1">
        <v>43364</v>
      </c>
      <c r="V3494" t="s">
        <v>5644</v>
      </c>
      <c r="W3494" t="s">
        <v>5645</v>
      </c>
      <c r="X3494" t="s">
        <v>58</v>
      </c>
      <c r="Y3494">
        <v>23</v>
      </c>
      <c r="Z3494" t="s">
        <v>59</v>
      </c>
      <c r="AA3494" t="s">
        <v>59</v>
      </c>
      <c r="AB3494" t="s">
        <v>59</v>
      </c>
      <c r="AD3494" t="s">
        <v>59</v>
      </c>
      <c r="AF3494" s="1">
        <v>43367</v>
      </c>
      <c r="AG3494" t="s">
        <v>125</v>
      </c>
      <c r="AH3494" t="s">
        <v>590</v>
      </c>
      <c r="AI3494" t="str">
        <f>"4111001"</f>
        <v>4111001</v>
      </c>
      <c r="AJ3494" t="s">
        <v>6249</v>
      </c>
      <c r="AK3494">
        <v>2831031320</v>
      </c>
      <c r="AL3494" t="s">
        <v>6250</v>
      </c>
      <c r="AM3494" t="s">
        <v>64</v>
      </c>
      <c r="AN3494" t="s">
        <v>65</v>
      </c>
      <c r="AO3494" t="s">
        <v>65</v>
      </c>
      <c r="AP3494" t="s">
        <v>65</v>
      </c>
      <c r="AQ3494">
        <v>1</v>
      </c>
      <c r="AR3494" t="s">
        <v>5644</v>
      </c>
      <c r="AS3494" t="s">
        <v>5645</v>
      </c>
      <c r="AT3494" t="s">
        <v>58</v>
      </c>
      <c r="AU3494" t="s">
        <v>350</v>
      </c>
      <c r="AV3494" t="s">
        <v>132</v>
      </c>
      <c r="AW3494" s="1">
        <v>31252</v>
      </c>
      <c r="AX3494">
        <v>2</v>
      </c>
    </row>
    <row r="3495" spans="1:50">
      <c r="A3495">
        <v>204767</v>
      </c>
      <c r="B3495" t="str">
        <f>"034710221"</f>
        <v>034710221</v>
      </c>
      <c r="C3495" t="s">
        <v>105</v>
      </c>
      <c r="D3495" t="s">
        <v>4317</v>
      </c>
      <c r="E3495" t="s">
        <v>6680</v>
      </c>
      <c r="F3495" t="s">
        <v>106</v>
      </c>
      <c r="G3495" t="s">
        <v>950</v>
      </c>
      <c r="H3495" t="str">
        <f>"ΠΑΔΑΔΟΓΙΩΡΓΑΚΗ  1 ΠΕΡΙΒΟΛΙΑ"</f>
        <v>ΠΑΔΑΔΟΓΙΩΡΓΑΚΗ  1 ΠΕΡΙΒΟΛΙΑ</v>
      </c>
      <c r="I3495">
        <v>74133</v>
      </c>
      <c r="J3495">
        <v>2831400824</v>
      </c>
      <c r="K3495">
        <v>6946337011</v>
      </c>
      <c r="M3495" t="s">
        <v>6681</v>
      </c>
      <c r="N3495" t="s">
        <v>282</v>
      </c>
      <c r="O3495" t="s">
        <v>283</v>
      </c>
      <c r="R3495" t="s">
        <v>57</v>
      </c>
      <c r="S3495">
        <v>7</v>
      </c>
      <c r="T3495">
        <v>231</v>
      </c>
      <c r="U3495" s="1">
        <v>38230</v>
      </c>
      <c r="V3495" t="s">
        <v>5644</v>
      </c>
      <c r="W3495" t="s">
        <v>5645</v>
      </c>
      <c r="X3495" t="s">
        <v>58</v>
      </c>
      <c r="Y3495">
        <v>20</v>
      </c>
      <c r="Z3495" t="s">
        <v>59</v>
      </c>
      <c r="AA3495" t="s">
        <v>59</v>
      </c>
      <c r="AB3495" t="s">
        <v>59</v>
      </c>
      <c r="AC3495" t="s">
        <v>59</v>
      </c>
      <c r="AD3495" t="s">
        <v>59</v>
      </c>
      <c r="AF3495" s="1">
        <v>38230</v>
      </c>
      <c r="AG3495" t="s">
        <v>125</v>
      </c>
      <c r="AH3495" t="s">
        <v>126</v>
      </c>
      <c r="AI3495" t="str">
        <f>"4110015"</f>
        <v>4110015</v>
      </c>
      <c r="AJ3495" t="s">
        <v>5723</v>
      </c>
      <c r="AK3495">
        <v>2831022741</v>
      </c>
      <c r="AL3495" t="s">
        <v>5724</v>
      </c>
      <c r="AM3495" t="s">
        <v>64</v>
      </c>
      <c r="AN3495" t="s">
        <v>65</v>
      </c>
      <c r="AO3495" t="s">
        <v>5720</v>
      </c>
      <c r="AP3495" t="s">
        <v>5721</v>
      </c>
      <c r="AQ3495">
        <v>1</v>
      </c>
      <c r="AR3495" t="s">
        <v>5644</v>
      </c>
      <c r="AS3495" t="s">
        <v>5645</v>
      </c>
      <c r="AT3495" t="s">
        <v>58</v>
      </c>
      <c r="AU3495" t="s">
        <v>68</v>
      </c>
      <c r="AV3495" t="s">
        <v>69</v>
      </c>
      <c r="AW3495" s="1">
        <v>25403</v>
      </c>
      <c r="AX3495">
        <v>2</v>
      </c>
    </row>
    <row r="3496" spans="1:50">
      <c r="B3496" t="str">
        <f>"052418150"</f>
        <v>052418150</v>
      </c>
      <c r="C3496" t="s">
        <v>105</v>
      </c>
      <c r="D3496" t="s">
        <v>6682</v>
      </c>
      <c r="E3496" t="s">
        <v>311</v>
      </c>
      <c r="F3496" t="s">
        <v>166</v>
      </c>
      <c r="G3496" t="s">
        <v>378</v>
      </c>
      <c r="H3496" t="str">
        <f>"ΠΡΩΤΗ ΠΑΡΟΔΟΣ ΚΟΝΔΥΛΑΚΗ ΡΕΘΥΜΝΟ"</f>
        <v>ΠΡΩΤΗ ΠΑΡΟΔΟΣ ΚΟΝΔΥΛΑΚΗ ΡΕΘΥΜΝΟ</v>
      </c>
      <c r="I3496">
        <v>74100</v>
      </c>
      <c r="J3496">
        <v>2831035491</v>
      </c>
      <c r="K3496">
        <v>6974197492</v>
      </c>
      <c r="M3496" t="s">
        <v>6683</v>
      </c>
      <c r="N3496" t="s">
        <v>342</v>
      </c>
      <c r="O3496" t="s">
        <v>343</v>
      </c>
      <c r="R3496" t="s">
        <v>57</v>
      </c>
      <c r="S3496">
        <v>5</v>
      </c>
      <c r="T3496" t="s">
        <v>344</v>
      </c>
      <c r="U3496" s="1">
        <v>43348</v>
      </c>
      <c r="V3496" t="s">
        <v>5644</v>
      </c>
      <c r="W3496" t="s">
        <v>5645</v>
      </c>
      <c r="X3496" t="s">
        <v>58</v>
      </c>
      <c r="Y3496">
        <v>21</v>
      </c>
      <c r="Z3496" t="s">
        <v>59</v>
      </c>
      <c r="AA3496" t="s">
        <v>59</v>
      </c>
      <c r="AB3496" t="s">
        <v>59</v>
      </c>
      <c r="AC3496" t="s">
        <v>59</v>
      </c>
      <c r="AD3496" t="s">
        <v>59</v>
      </c>
      <c r="AF3496" s="1">
        <v>43348</v>
      </c>
      <c r="AG3496" t="s">
        <v>345</v>
      </c>
      <c r="AH3496" t="s">
        <v>346</v>
      </c>
      <c r="AI3496" t="str">
        <f>"4141010"</f>
        <v>4141010</v>
      </c>
      <c r="AJ3496" t="s">
        <v>6121</v>
      </c>
      <c r="AK3496">
        <v>2831035068</v>
      </c>
      <c r="AL3496" t="s">
        <v>6122</v>
      </c>
      <c r="AM3496" t="s">
        <v>64</v>
      </c>
      <c r="AN3496" t="s">
        <v>65</v>
      </c>
      <c r="AO3496" t="s">
        <v>65</v>
      </c>
      <c r="AP3496" t="s">
        <v>65</v>
      </c>
      <c r="AQ3496">
        <v>1</v>
      </c>
      <c r="AR3496" t="s">
        <v>5644</v>
      </c>
      <c r="AS3496" t="s">
        <v>5645</v>
      </c>
      <c r="AT3496" t="s">
        <v>58</v>
      </c>
      <c r="AU3496" t="s">
        <v>350</v>
      </c>
      <c r="AV3496" t="s">
        <v>132</v>
      </c>
      <c r="AW3496" s="1">
        <v>24710</v>
      </c>
      <c r="AX3496">
        <v>2</v>
      </c>
    </row>
    <row r="3497" spans="1:50">
      <c r="B3497" t="str">
        <f>"110720769"</f>
        <v>110720769</v>
      </c>
      <c r="C3497" t="s">
        <v>50</v>
      </c>
      <c r="D3497" t="s">
        <v>4329</v>
      </c>
      <c r="E3497" t="s">
        <v>52</v>
      </c>
      <c r="F3497" t="s">
        <v>95</v>
      </c>
      <c r="G3497" t="s">
        <v>6684</v>
      </c>
      <c r="H3497" t="str">
        <f>"ΑΛΕΞΗ ΜΙΝΩΤΗ 49 ΛΟΦΟΥΠΟΛΗ"</f>
        <v>ΑΛΕΞΗ ΜΙΝΩΤΗ 49 ΛΟΦΟΥΠΟΛΗ</v>
      </c>
      <c r="I3497">
        <v>71500</v>
      </c>
      <c r="J3497">
        <v>2810315131</v>
      </c>
      <c r="K3497">
        <v>6939475657</v>
      </c>
      <c r="M3497" t="s">
        <v>6685</v>
      </c>
      <c r="N3497" t="s">
        <v>1628</v>
      </c>
      <c r="O3497" t="s">
        <v>1629</v>
      </c>
      <c r="R3497" t="s">
        <v>159</v>
      </c>
      <c r="S3497">
        <v>9</v>
      </c>
      <c r="T3497" t="s">
        <v>344</v>
      </c>
      <c r="U3497" s="1">
        <v>43348</v>
      </c>
      <c r="V3497" t="s">
        <v>5644</v>
      </c>
      <c r="W3497" t="s">
        <v>5645</v>
      </c>
      <c r="X3497" t="s">
        <v>58</v>
      </c>
      <c r="Y3497">
        <v>23</v>
      </c>
      <c r="Z3497" t="s">
        <v>59</v>
      </c>
      <c r="AA3497" t="s">
        <v>59</v>
      </c>
      <c r="AB3497" t="s">
        <v>59</v>
      </c>
      <c r="AC3497" t="s">
        <v>59</v>
      </c>
      <c r="AD3497" t="s">
        <v>59</v>
      </c>
      <c r="AF3497" s="1">
        <v>43348</v>
      </c>
      <c r="AG3497" t="s">
        <v>345</v>
      </c>
      <c r="AH3497" t="s">
        <v>346</v>
      </c>
      <c r="AI3497" t="str">
        <f>"4141010"</f>
        <v>4141010</v>
      </c>
      <c r="AJ3497" t="s">
        <v>6121</v>
      </c>
      <c r="AK3497">
        <v>2831035068</v>
      </c>
      <c r="AL3497" t="s">
        <v>6122</v>
      </c>
      <c r="AM3497" t="s">
        <v>64</v>
      </c>
      <c r="AN3497" t="s">
        <v>65</v>
      </c>
      <c r="AO3497" t="s">
        <v>65</v>
      </c>
      <c r="AP3497" t="s">
        <v>65</v>
      </c>
      <c r="AQ3497">
        <v>1</v>
      </c>
      <c r="AR3497" t="s">
        <v>5644</v>
      </c>
      <c r="AS3497" t="s">
        <v>5645</v>
      </c>
      <c r="AT3497" t="s">
        <v>58</v>
      </c>
      <c r="AU3497" t="s">
        <v>350</v>
      </c>
      <c r="AV3497" t="s">
        <v>132</v>
      </c>
      <c r="AW3497" s="1">
        <v>29610</v>
      </c>
      <c r="AX3497">
        <v>2</v>
      </c>
    </row>
    <row r="3498" spans="1:50">
      <c r="A3498">
        <v>224782</v>
      </c>
      <c r="B3498" t="str">
        <f>"044096261"</f>
        <v>044096261</v>
      </c>
      <c r="C3498" t="s">
        <v>105</v>
      </c>
      <c r="D3498" t="s">
        <v>4349</v>
      </c>
      <c r="E3498" t="s">
        <v>95</v>
      </c>
      <c r="F3498" t="s">
        <v>99</v>
      </c>
      <c r="G3498" t="s">
        <v>215</v>
      </c>
      <c r="H3498" t="str">
        <f>"Πανεπιστημίου Κρήτης 3 ΡΕΘΥΜΝΟ"</f>
        <v>Πανεπιστημίου Κρήτης 3 ΡΕΘΥΜΝΟ</v>
      </c>
      <c r="I3498">
        <v>74100</v>
      </c>
      <c r="J3498">
        <v>2892023386</v>
      </c>
      <c r="K3498">
        <v>6972000727</v>
      </c>
      <c r="N3498" t="s">
        <v>299</v>
      </c>
      <c r="O3498" t="s">
        <v>300</v>
      </c>
      <c r="R3498" t="s">
        <v>57</v>
      </c>
      <c r="S3498">
        <v>5</v>
      </c>
      <c r="T3498">
        <v>775</v>
      </c>
      <c r="U3498" s="1">
        <v>39680</v>
      </c>
      <c r="V3498" t="s">
        <v>5644</v>
      </c>
      <c r="W3498" t="s">
        <v>5645</v>
      </c>
      <c r="X3498" t="s">
        <v>58</v>
      </c>
      <c r="Y3498">
        <v>21</v>
      </c>
      <c r="Z3498" t="s">
        <v>59</v>
      </c>
      <c r="AA3498" t="s">
        <v>59</v>
      </c>
      <c r="AB3498" t="s">
        <v>59</v>
      </c>
      <c r="AC3498" t="s">
        <v>59</v>
      </c>
      <c r="AD3498" t="s">
        <v>59</v>
      </c>
      <c r="AF3498" s="1">
        <v>39681</v>
      </c>
      <c r="AG3498" t="s">
        <v>148</v>
      </c>
      <c r="AH3498" t="s">
        <v>149</v>
      </c>
      <c r="AI3498" t="str">
        <f>"4156010"</f>
        <v>4156010</v>
      </c>
      <c r="AJ3498" t="s">
        <v>5925</v>
      </c>
      <c r="AK3498">
        <v>2832022328</v>
      </c>
      <c r="AL3498" t="s">
        <v>5926</v>
      </c>
      <c r="AM3498" t="s">
        <v>64</v>
      </c>
      <c r="AN3498" t="s">
        <v>5882</v>
      </c>
      <c r="AO3498" t="s">
        <v>5883</v>
      </c>
      <c r="AP3498" t="s">
        <v>5884</v>
      </c>
      <c r="AQ3498">
        <v>5</v>
      </c>
      <c r="AR3498" t="s">
        <v>5644</v>
      </c>
      <c r="AS3498" t="s">
        <v>5645</v>
      </c>
      <c r="AT3498" t="s">
        <v>58</v>
      </c>
      <c r="AU3498" t="s">
        <v>68</v>
      </c>
      <c r="AV3498" t="s">
        <v>69</v>
      </c>
      <c r="AW3498" s="1">
        <v>25393</v>
      </c>
      <c r="AX3498">
        <v>2</v>
      </c>
    </row>
    <row r="3499" spans="1:50">
      <c r="A3499">
        <v>183223</v>
      </c>
      <c r="B3499" t="str">
        <f>"051217919"</f>
        <v>051217919</v>
      </c>
      <c r="C3499" t="s">
        <v>105</v>
      </c>
      <c r="D3499" t="s">
        <v>6686</v>
      </c>
      <c r="E3499" t="s">
        <v>84</v>
      </c>
      <c r="F3499" t="s">
        <v>99</v>
      </c>
      <c r="G3499" t="s">
        <v>73</v>
      </c>
      <c r="H3499" t="str">
        <f>"ΧΑΡ. ΔΑΣΚΑΛΑΚΗ 13 ΡΕΘΥΜΝΟ"</f>
        <v>ΧΑΡ. ΔΑΣΚΑΛΑΚΗ 13 ΡΕΘΥΜΝΟ</v>
      </c>
      <c r="I3499">
        <v>74100</v>
      </c>
      <c r="N3499" t="s">
        <v>157</v>
      </c>
      <c r="O3499" t="s">
        <v>158</v>
      </c>
      <c r="P3499" t="s">
        <v>146</v>
      </c>
      <c r="Q3499" t="s">
        <v>147</v>
      </c>
      <c r="R3499" t="s">
        <v>57</v>
      </c>
      <c r="S3499">
        <v>12</v>
      </c>
      <c r="T3499">
        <v>177</v>
      </c>
      <c r="U3499" s="1">
        <v>36403</v>
      </c>
      <c r="V3499" t="s">
        <v>5644</v>
      </c>
      <c r="W3499" t="s">
        <v>5645</v>
      </c>
      <c r="X3499" t="s">
        <v>58</v>
      </c>
      <c r="Y3499">
        <v>18</v>
      </c>
      <c r="Z3499" t="s">
        <v>59</v>
      </c>
      <c r="AA3499" t="s">
        <v>59</v>
      </c>
      <c r="AB3499" t="s">
        <v>59</v>
      </c>
      <c r="AC3499" t="s">
        <v>59</v>
      </c>
      <c r="AD3499" t="s">
        <v>59</v>
      </c>
      <c r="AF3499" s="1">
        <v>36403</v>
      </c>
      <c r="AG3499" t="s">
        <v>125</v>
      </c>
      <c r="AH3499" t="s">
        <v>126</v>
      </c>
      <c r="AI3499" t="str">
        <f>"4101010"</f>
        <v>4101010</v>
      </c>
      <c r="AJ3499" t="s">
        <v>5814</v>
      </c>
      <c r="AK3499">
        <v>2831022283</v>
      </c>
      <c r="AL3499" t="s">
        <v>5815</v>
      </c>
      <c r="AM3499" t="s">
        <v>64</v>
      </c>
      <c r="AN3499" t="s">
        <v>65</v>
      </c>
      <c r="AO3499" t="s">
        <v>65</v>
      </c>
      <c r="AP3499" t="s">
        <v>65</v>
      </c>
      <c r="AQ3499">
        <v>1</v>
      </c>
      <c r="AR3499" t="s">
        <v>5644</v>
      </c>
      <c r="AS3499" t="s">
        <v>5645</v>
      </c>
      <c r="AT3499" t="s">
        <v>58</v>
      </c>
      <c r="AU3499" t="s">
        <v>68</v>
      </c>
      <c r="AV3499" t="s">
        <v>69</v>
      </c>
      <c r="AW3499" s="1">
        <v>23854</v>
      </c>
      <c r="AX3499">
        <v>2</v>
      </c>
    </row>
    <row r="3500" spans="1:50">
      <c r="A3500">
        <v>218309</v>
      </c>
      <c r="B3500" t="str">
        <f>"104409149"</f>
        <v>104409149</v>
      </c>
      <c r="C3500" t="s">
        <v>105</v>
      </c>
      <c r="D3500" t="s">
        <v>6687</v>
      </c>
      <c r="E3500" t="s">
        <v>989</v>
      </c>
      <c r="F3500" t="s">
        <v>53</v>
      </c>
      <c r="G3500" t="s">
        <v>6688</v>
      </c>
      <c r="H3500" t="str">
        <f>"ΑΓΑΘΟΥΠΟΛΕΩΣ 30 ΘΕΣΣΑΛΟΝΙΚΗ"</f>
        <v>ΑΓΑΘΟΥΠΟΛΕΩΣ 30 ΘΕΣΣΑΛΟΝΙΚΗ</v>
      </c>
      <c r="I3500">
        <v>54636</v>
      </c>
      <c r="J3500">
        <v>2310212201</v>
      </c>
      <c r="K3500">
        <v>6936229014</v>
      </c>
      <c r="M3500" t="s">
        <v>6689</v>
      </c>
      <c r="N3500" t="s">
        <v>292</v>
      </c>
      <c r="O3500" t="s">
        <v>293</v>
      </c>
      <c r="R3500" t="s">
        <v>57</v>
      </c>
      <c r="S3500">
        <v>7</v>
      </c>
      <c r="T3500">
        <v>599</v>
      </c>
      <c r="U3500" s="1">
        <v>39310</v>
      </c>
      <c r="V3500" t="s">
        <v>5644</v>
      </c>
      <c r="W3500" t="s">
        <v>5645</v>
      </c>
      <c r="X3500" t="s">
        <v>58</v>
      </c>
      <c r="Y3500">
        <v>21</v>
      </c>
      <c r="Z3500" t="s">
        <v>59</v>
      </c>
      <c r="AA3500" t="s">
        <v>59</v>
      </c>
      <c r="AB3500" t="s">
        <v>59</v>
      </c>
      <c r="AC3500" t="s">
        <v>59</v>
      </c>
      <c r="AD3500" t="s">
        <v>59</v>
      </c>
      <c r="AF3500" s="1">
        <v>39326</v>
      </c>
      <c r="AG3500" t="s">
        <v>125</v>
      </c>
      <c r="AH3500" t="s">
        <v>126</v>
      </c>
      <c r="AI3500" t="str">
        <f>"4106010"</f>
        <v>4106010</v>
      </c>
      <c r="AJ3500" t="s">
        <v>5880</v>
      </c>
      <c r="AK3500">
        <v>2832022035</v>
      </c>
      <c r="AL3500" t="s">
        <v>5881</v>
      </c>
      <c r="AM3500" t="s">
        <v>64</v>
      </c>
      <c r="AN3500" t="s">
        <v>5882</v>
      </c>
      <c r="AO3500" t="s">
        <v>5883</v>
      </c>
      <c r="AP3500" t="s">
        <v>5884</v>
      </c>
      <c r="AQ3500">
        <v>5</v>
      </c>
      <c r="AR3500" t="s">
        <v>5644</v>
      </c>
      <c r="AS3500" t="s">
        <v>5645</v>
      </c>
      <c r="AT3500" t="s">
        <v>58</v>
      </c>
      <c r="AU3500" t="s">
        <v>68</v>
      </c>
      <c r="AV3500" t="s">
        <v>69</v>
      </c>
      <c r="AW3500" s="1">
        <v>28854</v>
      </c>
      <c r="AX3500">
        <v>2</v>
      </c>
    </row>
    <row r="3501" spans="1:50">
      <c r="B3501" t="str">
        <f>"124349373"</f>
        <v>124349373</v>
      </c>
      <c r="C3501" t="s">
        <v>50</v>
      </c>
      <c r="D3501" t="s">
        <v>6690</v>
      </c>
      <c r="E3501" t="s">
        <v>237</v>
      </c>
      <c r="F3501" t="s">
        <v>1506</v>
      </c>
      <c r="G3501" t="s">
        <v>715</v>
      </c>
      <c r="H3501" t="str">
        <f>" "</f>
        <v xml:space="preserve"> </v>
      </c>
      <c r="N3501" t="s">
        <v>536</v>
      </c>
      <c r="O3501" t="s">
        <v>537</v>
      </c>
      <c r="R3501" t="s">
        <v>121</v>
      </c>
      <c r="S3501">
        <v>3</v>
      </c>
      <c r="T3501" t="s">
        <v>122</v>
      </c>
      <c r="U3501" s="1">
        <v>43348</v>
      </c>
      <c r="V3501" t="s">
        <v>5644</v>
      </c>
      <c r="W3501" t="s">
        <v>5645</v>
      </c>
      <c r="X3501" t="s">
        <v>58</v>
      </c>
      <c r="Y3501">
        <v>23</v>
      </c>
      <c r="Z3501" t="s">
        <v>59</v>
      </c>
      <c r="AA3501" t="s">
        <v>59</v>
      </c>
      <c r="AB3501" t="s">
        <v>59</v>
      </c>
      <c r="AD3501" t="s">
        <v>59</v>
      </c>
      <c r="AF3501" s="1">
        <v>43348</v>
      </c>
      <c r="AG3501" t="s">
        <v>137</v>
      </c>
      <c r="AH3501" t="s">
        <v>138</v>
      </c>
      <c r="AI3501" t="str">
        <f>"4150040"</f>
        <v>4150040</v>
      </c>
      <c r="AJ3501" t="s">
        <v>5661</v>
      </c>
      <c r="AK3501">
        <v>2831029048</v>
      </c>
      <c r="AL3501" t="s">
        <v>5662</v>
      </c>
      <c r="AM3501" t="s">
        <v>64</v>
      </c>
      <c r="AN3501" t="s">
        <v>65</v>
      </c>
      <c r="AO3501" t="s">
        <v>65</v>
      </c>
      <c r="AP3501" t="s">
        <v>65</v>
      </c>
      <c r="AQ3501">
        <v>1</v>
      </c>
      <c r="AR3501" t="s">
        <v>5644</v>
      </c>
      <c r="AS3501" t="s">
        <v>5645</v>
      </c>
      <c r="AT3501" t="s">
        <v>58</v>
      </c>
      <c r="AU3501" t="s">
        <v>131</v>
      </c>
      <c r="AV3501" t="s">
        <v>132</v>
      </c>
      <c r="AW3501" s="1">
        <v>30705</v>
      </c>
      <c r="AX3501">
        <v>2</v>
      </c>
    </row>
    <row r="3502" spans="1:50">
      <c r="A3502">
        <v>224293</v>
      </c>
      <c r="B3502" t="str">
        <f>"111850967"</f>
        <v>111850967</v>
      </c>
      <c r="C3502" t="s">
        <v>105</v>
      </c>
      <c r="D3502" t="s">
        <v>6691</v>
      </c>
      <c r="E3502" t="s">
        <v>321</v>
      </c>
      <c r="F3502" t="s">
        <v>1761</v>
      </c>
      <c r="G3502" t="s">
        <v>484</v>
      </c>
      <c r="H3502" t="str">
        <f>"ΑΛΕΞΑΝΔΡΟΥ ΧΑΝΙ ΜΥΛΟΠΟΤΑΜΟΥ"</f>
        <v>ΑΛΕΞΑΝΔΡΟΥ ΧΑΝΙ ΜΥΛΟΠΟΤΑΜΟΥ</v>
      </c>
      <c r="I3502">
        <v>74052</v>
      </c>
      <c r="J3502" t="s">
        <v>6692</v>
      </c>
      <c r="K3502">
        <v>6932470800</v>
      </c>
      <c r="M3502" t="s">
        <v>6693</v>
      </c>
      <c r="N3502" t="s">
        <v>306</v>
      </c>
      <c r="O3502" t="s">
        <v>307</v>
      </c>
      <c r="R3502" t="s">
        <v>57</v>
      </c>
      <c r="S3502">
        <v>6</v>
      </c>
      <c r="T3502">
        <v>775</v>
      </c>
      <c r="U3502" s="1">
        <v>39680</v>
      </c>
      <c r="V3502" t="s">
        <v>5644</v>
      </c>
      <c r="W3502" t="s">
        <v>5645</v>
      </c>
      <c r="X3502" t="s">
        <v>58</v>
      </c>
      <c r="Y3502">
        <v>20</v>
      </c>
      <c r="Z3502" t="s">
        <v>59</v>
      </c>
      <c r="AA3502" t="s">
        <v>59</v>
      </c>
      <c r="AB3502" t="s">
        <v>59</v>
      </c>
      <c r="AC3502" t="s">
        <v>59</v>
      </c>
      <c r="AD3502" t="s">
        <v>59</v>
      </c>
      <c r="AF3502" s="1">
        <v>39680</v>
      </c>
      <c r="AG3502" t="s">
        <v>148</v>
      </c>
      <c r="AH3502" t="s">
        <v>149</v>
      </c>
      <c r="AI3502" t="str">
        <f>"4154010"</f>
        <v>4154010</v>
      </c>
      <c r="AJ3502" t="s">
        <v>5687</v>
      </c>
      <c r="AK3502">
        <v>2834023300</v>
      </c>
      <c r="AL3502" t="s">
        <v>5688</v>
      </c>
      <c r="AM3502" t="s">
        <v>64</v>
      </c>
      <c r="AN3502" t="s">
        <v>5672</v>
      </c>
      <c r="AO3502" t="s">
        <v>5673</v>
      </c>
      <c r="AP3502" t="s">
        <v>5689</v>
      </c>
      <c r="AQ3502">
        <v>2</v>
      </c>
      <c r="AR3502" t="s">
        <v>5644</v>
      </c>
      <c r="AS3502" t="s">
        <v>5645</v>
      </c>
      <c r="AT3502" t="s">
        <v>58</v>
      </c>
      <c r="AU3502" t="s">
        <v>68</v>
      </c>
      <c r="AV3502" t="s">
        <v>69</v>
      </c>
      <c r="AW3502" s="1">
        <v>26982</v>
      </c>
      <c r="AX3502">
        <v>2</v>
      </c>
    </row>
    <row r="3503" spans="1:50">
      <c r="A3503">
        <v>227389</v>
      </c>
      <c r="B3503" t="str">
        <f>"102523307"</f>
        <v>102523307</v>
      </c>
      <c r="C3503" t="s">
        <v>105</v>
      </c>
      <c r="D3503" t="s">
        <v>6694</v>
      </c>
      <c r="E3503" t="s">
        <v>95</v>
      </c>
      <c r="F3503" t="s">
        <v>108</v>
      </c>
      <c r="G3503" t="s">
        <v>112</v>
      </c>
      <c r="H3503" t="str">
        <f>"ΙΣΙΔΩΡΟΥ 15 ΗΡΑΚΛΕΙΟ"</f>
        <v>ΙΣΙΔΩΡΟΥ 15 ΗΡΑΚΛΕΙΟ</v>
      </c>
      <c r="I3503">
        <v>71306</v>
      </c>
      <c r="M3503" t="s">
        <v>6695</v>
      </c>
      <c r="N3503" t="s">
        <v>232</v>
      </c>
      <c r="O3503" t="s">
        <v>233</v>
      </c>
      <c r="R3503" t="s">
        <v>57</v>
      </c>
      <c r="S3503">
        <v>10</v>
      </c>
      <c r="T3503">
        <v>654</v>
      </c>
      <c r="U3503" s="1">
        <v>40043</v>
      </c>
      <c r="V3503" t="s">
        <v>5644</v>
      </c>
      <c r="W3503" t="s">
        <v>5645</v>
      </c>
      <c r="X3503" t="s">
        <v>58</v>
      </c>
      <c r="Y3503">
        <v>21</v>
      </c>
      <c r="Z3503" t="s">
        <v>59</v>
      </c>
      <c r="AA3503" t="s">
        <v>59</v>
      </c>
      <c r="AB3503" t="s">
        <v>59</v>
      </c>
      <c r="AC3503" t="s">
        <v>59</v>
      </c>
      <c r="AD3503" t="s">
        <v>452</v>
      </c>
      <c r="AE3503" s="1">
        <v>43708</v>
      </c>
      <c r="AF3503" s="1">
        <v>40044</v>
      </c>
      <c r="AG3503" t="s">
        <v>125</v>
      </c>
      <c r="AH3503" t="s">
        <v>126</v>
      </c>
      <c r="AI3503" t="str">
        <f>"4108010"</f>
        <v>4108010</v>
      </c>
      <c r="AJ3503" t="s">
        <v>5798</v>
      </c>
      <c r="AK3503">
        <v>2833041264</v>
      </c>
      <c r="AL3503" t="s">
        <v>5799</v>
      </c>
      <c r="AM3503" t="s">
        <v>64</v>
      </c>
      <c r="AN3503" t="s">
        <v>5713</v>
      </c>
      <c r="AO3503" t="s">
        <v>5780</v>
      </c>
      <c r="AP3503" t="s">
        <v>5781</v>
      </c>
      <c r="AQ3503">
        <v>4</v>
      </c>
      <c r="AR3503" t="s">
        <v>5644</v>
      </c>
      <c r="AS3503" t="s">
        <v>5645</v>
      </c>
      <c r="AT3503" t="s">
        <v>58</v>
      </c>
      <c r="AU3503" t="s">
        <v>68</v>
      </c>
      <c r="AV3503" t="s">
        <v>69</v>
      </c>
      <c r="AW3503" s="1">
        <v>28429</v>
      </c>
      <c r="AX3503">
        <v>2</v>
      </c>
    </row>
    <row r="3504" spans="1:50">
      <c r="B3504" t="str">
        <f>"126365473"</f>
        <v>126365473</v>
      </c>
      <c r="C3504" t="s">
        <v>50</v>
      </c>
      <c r="D3504" t="s">
        <v>6696</v>
      </c>
      <c r="E3504" t="s">
        <v>460</v>
      </c>
      <c r="F3504" t="s">
        <v>510</v>
      </c>
      <c r="G3504" t="s">
        <v>237</v>
      </c>
      <c r="H3504" t="str">
        <f>" "</f>
        <v xml:space="preserve"> </v>
      </c>
      <c r="N3504" t="s">
        <v>536</v>
      </c>
      <c r="O3504" t="s">
        <v>537</v>
      </c>
      <c r="R3504" t="s">
        <v>121</v>
      </c>
      <c r="S3504">
        <v>3</v>
      </c>
      <c r="T3504" t="s">
        <v>1944</v>
      </c>
      <c r="U3504" s="1">
        <v>43364</v>
      </c>
      <c r="V3504" t="s">
        <v>5644</v>
      </c>
      <c r="W3504" t="s">
        <v>5645</v>
      </c>
      <c r="X3504" t="s">
        <v>58</v>
      </c>
      <c r="Y3504">
        <v>23</v>
      </c>
      <c r="Z3504" t="s">
        <v>59</v>
      </c>
      <c r="AA3504" t="s">
        <v>59</v>
      </c>
      <c r="AB3504" t="s">
        <v>59</v>
      </c>
      <c r="AD3504" t="s">
        <v>59</v>
      </c>
      <c r="AF3504" s="1">
        <v>43367</v>
      </c>
      <c r="AG3504" t="s">
        <v>125</v>
      </c>
      <c r="AH3504" t="s">
        <v>126</v>
      </c>
      <c r="AI3504" t="str">
        <f>"4101040"</f>
        <v>4101040</v>
      </c>
      <c r="AJ3504" t="s">
        <v>5732</v>
      </c>
      <c r="AK3504">
        <v>2831029261</v>
      </c>
      <c r="AL3504" t="s">
        <v>5733</v>
      </c>
      <c r="AM3504" t="s">
        <v>64</v>
      </c>
      <c r="AN3504" t="s">
        <v>65</v>
      </c>
      <c r="AO3504" t="s">
        <v>65</v>
      </c>
      <c r="AP3504" t="s">
        <v>65</v>
      </c>
      <c r="AQ3504">
        <v>1</v>
      </c>
      <c r="AR3504" t="s">
        <v>5644</v>
      </c>
      <c r="AS3504" t="s">
        <v>5645</v>
      </c>
      <c r="AT3504" t="s">
        <v>58</v>
      </c>
      <c r="AU3504" t="s">
        <v>350</v>
      </c>
      <c r="AV3504" t="s">
        <v>132</v>
      </c>
      <c r="AW3504" s="1">
        <v>29589</v>
      </c>
      <c r="AX3504">
        <v>2</v>
      </c>
    </row>
    <row r="3505" spans="1:50">
      <c r="A3505">
        <v>703859</v>
      </c>
      <c r="B3505" t="str">
        <f>"110113238"</f>
        <v>110113238</v>
      </c>
      <c r="C3505" t="s">
        <v>50</v>
      </c>
      <c r="D3505" t="s">
        <v>6697</v>
      </c>
      <c r="E3505" t="s">
        <v>109</v>
      </c>
      <c r="F3505" t="s">
        <v>95</v>
      </c>
      <c r="G3505" t="s">
        <v>83</v>
      </c>
      <c r="H3505" t="str">
        <f>"ΠΛΑΤΕΙΑ ΗΡΩΩΝ ΠΟΛΥΤΕΧΝΕΙΟΥ 9 ΡΕΘΥΜΝΟΥ"</f>
        <v>ΠΛΑΤΕΙΑ ΗΡΩΩΝ ΠΟΛΥΤΕΧΝΕΙΟΥ 9 ΡΕΘΥΜΝΟΥ</v>
      </c>
      <c r="I3505">
        <v>74100</v>
      </c>
      <c r="J3505">
        <v>2810214252</v>
      </c>
      <c r="K3505">
        <v>6977284773</v>
      </c>
      <c r="L3505">
        <v>2112215150</v>
      </c>
      <c r="N3505" t="s">
        <v>331</v>
      </c>
      <c r="O3505" t="s">
        <v>332</v>
      </c>
      <c r="R3505" t="s">
        <v>57</v>
      </c>
      <c r="S3505">
        <v>6</v>
      </c>
      <c r="T3505">
        <v>225</v>
      </c>
      <c r="U3505" s="1">
        <v>41695</v>
      </c>
      <c r="V3505" t="s">
        <v>5644</v>
      </c>
      <c r="W3505" t="s">
        <v>5645</v>
      </c>
      <c r="X3505" t="s">
        <v>58</v>
      </c>
      <c r="Y3505">
        <v>21</v>
      </c>
      <c r="Z3505" t="s">
        <v>59</v>
      </c>
      <c r="AA3505" t="s">
        <v>59</v>
      </c>
      <c r="AB3505" t="s">
        <v>59</v>
      </c>
      <c r="AC3505" t="s">
        <v>59</v>
      </c>
      <c r="AD3505" t="s">
        <v>59</v>
      </c>
      <c r="AF3505" s="1">
        <v>41695</v>
      </c>
      <c r="AG3505" t="s">
        <v>137</v>
      </c>
      <c r="AH3505" t="s">
        <v>469</v>
      </c>
      <c r="AI3505" t="str">
        <f>"4150045"</f>
        <v>4150045</v>
      </c>
      <c r="AJ3505" t="s">
        <v>5871</v>
      </c>
      <c r="AK3505">
        <v>2831022248</v>
      </c>
      <c r="AL3505" t="s">
        <v>5872</v>
      </c>
      <c r="AM3505" t="s">
        <v>64</v>
      </c>
      <c r="AN3505" t="s">
        <v>65</v>
      </c>
      <c r="AO3505" t="s">
        <v>65</v>
      </c>
      <c r="AP3505" t="s">
        <v>65</v>
      </c>
      <c r="AQ3505">
        <v>1</v>
      </c>
      <c r="AR3505" t="s">
        <v>5644</v>
      </c>
      <c r="AS3505" t="s">
        <v>5645</v>
      </c>
      <c r="AT3505" t="s">
        <v>58</v>
      </c>
      <c r="AU3505" t="s">
        <v>68</v>
      </c>
      <c r="AV3505" t="s">
        <v>69</v>
      </c>
      <c r="AW3505" s="1">
        <v>29952</v>
      </c>
      <c r="AX3505">
        <v>2</v>
      </c>
    </row>
    <row r="3506" spans="1:50">
      <c r="A3506">
        <v>219913</v>
      </c>
      <c r="B3506" t="str">
        <f>"076001836"</f>
        <v>076001836</v>
      </c>
      <c r="C3506" t="s">
        <v>105</v>
      </c>
      <c r="D3506" t="s">
        <v>6698</v>
      </c>
      <c r="E3506" t="s">
        <v>2165</v>
      </c>
      <c r="F3506" t="s">
        <v>989</v>
      </c>
      <c r="G3506" t="s">
        <v>366</v>
      </c>
      <c r="H3506" t="str">
        <f>"ΓΙΑΝΝΗ ΡΙΤΣΟΥ 7 ΣΕΡΡΕΣ "</f>
        <v xml:space="preserve">ΓΙΑΝΝΗ ΡΙΤΣΟΥ 7 ΣΕΡΡΕΣ </v>
      </c>
      <c r="I3506">
        <v>62100</v>
      </c>
      <c r="K3506">
        <v>6946048125</v>
      </c>
      <c r="M3506" t="s">
        <v>6699</v>
      </c>
      <c r="N3506" t="s">
        <v>176</v>
      </c>
      <c r="O3506" t="s">
        <v>177</v>
      </c>
      <c r="R3506" t="s">
        <v>57</v>
      </c>
      <c r="S3506">
        <v>6</v>
      </c>
      <c r="T3506">
        <v>599</v>
      </c>
      <c r="U3506" s="1">
        <v>39310</v>
      </c>
      <c r="V3506" t="s">
        <v>5644</v>
      </c>
      <c r="W3506" t="s">
        <v>5645</v>
      </c>
      <c r="X3506" t="s">
        <v>58</v>
      </c>
      <c r="Y3506">
        <v>20</v>
      </c>
      <c r="Z3506" t="s">
        <v>59</v>
      </c>
      <c r="AA3506" t="s">
        <v>59</v>
      </c>
      <c r="AB3506" t="s">
        <v>59</v>
      </c>
      <c r="AC3506" t="s">
        <v>59</v>
      </c>
      <c r="AD3506" t="s">
        <v>59</v>
      </c>
      <c r="AF3506" s="1">
        <v>39328</v>
      </c>
      <c r="AG3506" t="s">
        <v>125</v>
      </c>
      <c r="AH3506" t="s">
        <v>126</v>
      </c>
      <c r="AI3506" t="str">
        <f>"4108010"</f>
        <v>4108010</v>
      </c>
      <c r="AJ3506" t="s">
        <v>5798</v>
      </c>
      <c r="AK3506">
        <v>2833041264</v>
      </c>
      <c r="AL3506" t="s">
        <v>5799</v>
      </c>
      <c r="AM3506" t="s">
        <v>64</v>
      </c>
      <c r="AN3506" t="s">
        <v>5713</v>
      </c>
      <c r="AO3506" t="s">
        <v>5780</v>
      </c>
      <c r="AP3506" t="s">
        <v>5781</v>
      </c>
      <c r="AQ3506">
        <v>4</v>
      </c>
      <c r="AR3506" t="s">
        <v>5644</v>
      </c>
      <c r="AS3506" t="s">
        <v>5645</v>
      </c>
      <c r="AT3506" t="s">
        <v>58</v>
      </c>
      <c r="AU3506" t="s">
        <v>68</v>
      </c>
      <c r="AV3506" t="s">
        <v>69</v>
      </c>
      <c r="AW3506" s="1">
        <v>24576</v>
      </c>
      <c r="AX3506">
        <v>2</v>
      </c>
    </row>
    <row r="3507" spans="1:50">
      <c r="A3507">
        <v>227659</v>
      </c>
      <c r="B3507" t="str">
        <f>"135239189"</f>
        <v>135239189</v>
      </c>
      <c r="C3507" t="s">
        <v>50</v>
      </c>
      <c r="D3507" t="s">
        <v>6700</v>
      </c>
      <c r="E3507" t="s">
        <v>83</v>
      </c>
      <c r="F3507" t="s">
        <v>95</v>
      </c>
      <c r="G3507" t="s">
        <v>563</v>
      </c>
      <c r="H3507" t="str">
        <f>"ΑΓΗΣΙΛΑΟΥ 28 ΧΑΝΙΑ"</f>
        <v>ΑΓΗΣΙΛΑΟΥ 28 ΧΑΝΙΑ</v>
      </c>
      <c r="I3507">
        <v>73100</v>
      </c>
      <c r="J3507">
        <v>2821095986</v>
      </c>
      <c r="K3507">
        <v>6974463217</v>
      </c>
      <c r="N3507" t="s">
        <v>478</v>
      </c>
      <c r="O3507" t="s">
        <v>479</v>
      </c>
      <c r="R3507" t="s">
        <v>57</v>
      </c>
      <c r="S3507">
        <v>7</v>
      </c>
      <c r="T3507">
        <v>654</v>
      </c>
      <c r="U3507" s="1">
        <v>40043</v>
      </c>
      <c r="V3507" t="s">
        <v>5644</v>
      </c>
      <c r="W3507" t="s">
        <v>5645</v>
      </c>
      <c r="X3507" t="s">
        <v>58</v>
      </c>
      <c r="Y3507">
        <v>21</v>
      </c>
      <c r="Z3507" t="s">
        <v>59</v>
      </c>
      <c r="AA3507" t="s">
        <v>59</v>
      </c>
      <c r="AB3507" t="s">
        <v>59</v>
      </c>
      <c r="AC3507" t="s">
        <v>59</v>
      </c>
      <c r="AD3507" t="s">
        <v>59</v>
      </c>
      <c r="AF3507" s="1">
        <v>40043</v>
      </c>
      <c r="AG3507" t="s">
        <v>125</v>
      </c>
      <c r="AH3507" t="s">
        <v>126</v>
      </c>
      <c r="AI3507" t="str">
        <f>"4106030"</f>
        <v>4106030</v>
      </c>
      <c r="AJ3507" t="s">
        <v>6097</v>
      </c>
      <c r="AK3507">
        <v>2832051138</v>
      </c>
      <c r="AL3507" t="s">
        <v>6098</v>
      </c>
      <c r="AM3507" t="s">
        <v>64</v>
      </c>
      <c r="AN3507" t="s">
        <v>5882</v>
      </c>
      <c r="AO3507" t="s">
        <v>6099</v>
      </c>
      <c r="AP3507" t="s">
        <v>6100</v>
      </c>
      <c r="AQ3507">
        <v>5</v>
      </c>
      <c r="AR3507" t="s">
        <v>5644</v>
      </c>
      <c r="AS3507" t="s">
        <v>5645</v>
      </c>
      <c r="AT3507" t="s">
        <v>58</v>
      </c>
      <c r="AU3507" t="s">
        <v>68</v>
      </c>
      <c r="AV3507" t="s">
        <v>132</v>
      </c>
      <c r="AW3507" s="1">
        <v>28705</v>
      </c>
      <c r="AX3507">
        <v>2</v>
      </c>
    </row>
    <row r="3508" spans="1:50">
      <c r="A3508">
        <v>172954</v>
      </c>
      <c r="B3508" t="str">
        <f>"034742685"</f>
        <v>034742685</v>
      </c>
      <c r="C3508" t="s">
        <v>50</v>
      </c>
      <c r="D3508" t="s">
        <v>6701</v>
      </c>
      <c r="E3508" t="s">
        <v>71</v>
      </c>
      <c r="F3508" t="s">
        <v>53</v>
      </c>
      <c r="G3508" t="s">
        <v>494</v>
      </c>
      <c r="H3508" t="str">
        <f>"Θ. ΚΟΛΟΚΟΤΡΩΝΗ 27 ΚΑΛΛΙΘΕΑ"</f>
        <v>Θ. ΚΟΛΟΚΟΤΡΩΝΗ 27 ΚΑΛΛΙΘΕΑ</v>
      </c>
      <c r="I3508">
        <v>74133</v>
      </c>
      <c r="J3508">
        <v>2831057685</v>
      </c>
      <c r="K3508">
        <v>6970551888</v>
      </c>
      <c r="M3508" t="s">
        <v>6702</v>
      </c>
      <c r="N3508" t="s">
        <v>306</v>
      </c>
      <c r="O3508" t="s">
        <v>307</v>
      </c>
      <c r="R3508" t="s">
        <v>57</v>
      </c>
      <c r="S3508">
        <v>16</v>
      </c>
      <c r="T3508">
        <v>239</v>
      </c>
      <c r="U3508" s="1">
        <v>33969</v>
      </c>
      <c r="V3508" t="s">
        <v>5644</v>
      </c>
      <c r="W3508" t="s">
        <v>5645</v>
      </c>
      <c r="X3508" t="s">
        <v>58</v>
      </c>
      <c r="Y3508">
        <v>18</v>
      </c>
      <c r="Z3508" t="s">
        <v>59</v>
      </c>
      <c r="AA3508" t="s">
        <v>59</v>
      </c>
      <c r="AB3508" t="s">
        <v>59</v>
      </c>
      <c r="AC3508" t="s">
        <v>59</v>
      </c>
      <c r="AD3508" t="s">
        <v>452</v>
      </c>
      <c r="AE3508" s="1">
        <v>43708</v>
      </c>
      <c r="AF3508" s="1">
        <v>33976</v>
      </c>
      <c r="AG3508" t="s">
        <v>148</v>
      </c>
      <c r="AH3508" t="s">
        <v>2782</v>
      </c>
      <c r="AI3508" t="str">
        <f>"4151040"</f>
        <v>4151040</v>
      </c>
      <c r="AJ3508" t="s">
        <v>5810</v>
      </c>
      <c r="AK3508">
        <v>2831023425</v>
      </c>
      <c r="AL3508" t="s">
        <v>5811</v>
      </c>
      <c r="AM3508" t="s">
        <v>64</v>
      </c>
      <c r="AN3508" t="s">
        <v>65</v>
      </c>
      <c r="AO3508" t="s">
        <v>65</v>
      </c>
      <c r="AP3508" t="s">
        <v>65</v>
      </c>
      <c r="AQ3508">
        <v>1</v>
      </c>
      <c r="AR3508" t="s">
        <v>5644</v>
      </c>
      <c r="AS3508" t="s">
        <v>5645</v>
      </c>
      <c r="AT3508" t="s">
        <v>58</v>
      </c>
      <c r="AU3508" t="s">
        <v>68</v>
      </c>
      <c r="AV3508" t="s">
        <v>69</v>
      </c>
      <c r="AW3508" s="1">
        <v>23745</v>
      </c>
      <c r="AX3508">
        <v>2</v>
      </c>
    </row>
    <row r="3509" spans="1:50">
      <c r="A3509">
        <v>228203</v>
      </c>
      <c r="B3509" t="str">
        <f>"037704232"</f>
        <v>037704232</v>
      </c>
      <c r="C3509" t="s">
        <v>50</v>
      </c>
      <c r="D3509" t="s">
        <v>6703</v>
      </c>
      <c r="E3509" t="s">
        <v>6704</v>
      </c>
      <c r="F3509" t="s">
        <v>670</v>
      </c>
      <c r="G3509" t="s">
        <v>705</v>
      </c>
      <c r="H3509" t="str">
        <f>"ΑΚΤΑΙΟΥ 13 ΘΕΣΣΑΛΟΝΙΚΗ"</f>
        <v>ΑΚΤΑΙΟΥ 13 ΘΕΣΣΑΛΟΝΙΚΗ</v>
      </c>
      <c r="I3509">
        <v>54248</v>
      </c>
      <c r="J3509">
        <v>2310703278</v>
      </c>
      <c r="K3509">
        <v>6947992777</v>
      </c>
      <c r="M3509" t="s">
        <v>6705</v>
      </c>
      <c r="N3509" t="s">
        <v>176</v>
      </c>
      <c r="O3509" t="s">
        <v>177</v>
      </c>
      <c r="R3509" t="s">
        <v>57</v>
      </c>
      <c r="S3509">
        <v>6</v>
      </c>
      <c r="T3509">
        <v>654</v>
      </c>
      <c r="U3509" s="1">
        <v>40043</v>
      </c>
      <c r="V3509" t="s">
        <v>5644</v>
      </c>
      <c r="W3509" t="s">
        <v>5645</v>
      </c>
      <c r="X3509" t="s">
        <v>58</v>
      </c>
      <c r="Y3509">
        <v>20</v>
      </c>
      <c r="Z3509" t="s">
        <v>59</v>
      </c>
      <c r="AA3509" t="s">
        <v>59</v>
      </c>
      <c r="AB3509" t="s">
        <v>59</v>
      </c>
      <c r="AC3509" t="s">
        <v>59</v>
      </c>
      <c r="AD3509" t="s">
        <v>59</v>
      </c>
      <c r="AF3509" s="1">
        <v>40043</v>
      </c>
      <c r="AG3509" t="s">
        <v>148</v>
      </c>
      <c r="AH3509" t="s">
        <v>149</v>
      </c>
      <c r="AI3509" t="str">
        <f>"4158010"</f>
        <v>4158010</v>
      </c>
      <c r="AJ3509" t="s">
        <v>5778</v>
      </c>
      <c r="AK3509">
        <v>2833041400</v>
      </c>
      <c r="AL3509" t="s">
        <v>5779</v>
      </c>
      <c r="AM3509" t="s">
        <v>64</v>
      </c>
      <c r="AN3509" t="s">
        <v>5713</v>
      </c>
      <c r="AO3509" t="s">
        <v>5780</v>
      </c>
      <c r="AP3509" t="s">
        <v>5781</v>
      </c>
      <c r="AQ3509">
        <v>4</v>
      </c>
      <c r="AR3509" t="s">
        <v>5644</v>
      </c>
      <c r="AS3509" t="s">
        <v>5645</v>
      </c>
      <c r="AT3509" t="s">
        <v>58</v>
      </c>
      <c r="AU3509" t="s">
        <v>68</v>
      </c>
      <c r="AV3509" t="s">
        <v>132</v>
      </c>
      <c r="AW3509" s="1">
        <v>24084</v>
      </c>
      <c r="AX3509">
        <v>2</v>
      </c>
    </row>
    <row r="3510" spans="1:50">
      <c r="A3510">
        <v>214217</v>
      </c>
      <c r="B3510" t="str">
        <f>"071176045"</f>
        <v>071176045</v>
      </c>
      <c r="C3510" t="s">
        <v>50</v>
      </c>
      <c r="D3510" t="s">
        <v>1926</v>
      </c>
      <c r="E3510" t="s">
        <v>255</v>
      </c>
      <c r="F3510" t="s">
        <v>1414</v>
      </c>
      <c r="G3510" t="s">
        <v>6706</v>
      </c>
      <c r="H3510" t="str">
        <f>"Αριστοτέλους 54 Αχαρναί"</f>
        <v>Αριστοτέλους 54 Αχαρναί</v>
      </c>
      <c r="I3510">
        <v>13671</v>
      </c>
      <c r="J3510">
        <v>2102461500</v>
      </c>
      <c r="K3510">
        <v>6979377658</v>
      </c>
      <c r="M3510" t="s">
        <v>6707</v>
      </c>
      <c r="N3510" t="s">
        <v>683</v>
      </c>
      <c r="O3510" t="s">
        <v>684</v>
      </c>
      <c r="R3510" t="s">
        <v>57</v>
      </c>
      <c r="S3510">
        <v>8</v>
      </c>
      <c r="T3510">
        <v>231</v>
      </c>
      <c r="U3510" s="1">
        <v>38960</v>
      </c>
      <c r="V3510" t="s">
        <v>5644</v>
      </c>
      <c r="W3510" t="s">
        <v>5645</v>
      </c>
      <c r="X3510" t="s">
        <v>58</v>
      </c>
      <c r="Y3510">
        <v>20</v>
      </c>
      <c r="Z3510" t="s">
        <v>59</v>
      </c>
      <c r="AA3510" t="s">
        <v>59</v>
      </c>
      <c r="AB3510" t="s">
        <v>59</v>
      </c>
      <c r="AC3510" t="s">
        <v>59</v>
      </c>
      <c r="AD3510" t="s">
        <v>59</v>
      </c>
      <c r="AF3510" s="1">
        <v>38961</v>
      </c>
      <c r="AG3510" t="s">
        <v>125</v>
      </c>
      <c r="AH3510" t="s">
        <v>126</v>
      </c>
      <c r="AI3510" t="str">
        <f>"4101020"</f>
        <v>4101020</v>
      </c>
      <c r="AJ3510" t="s">
        <v>5652</v>
      </c>
      <c r="AK3510">
        <v>2831023560</v>
      </c>
      <c r="AL3510" t="s">
        <v>5653</v>
      </c>
      <c r="AM3510" t="s">
        <v>64</v>
      </c>
      <c r="AN3510" t="s">
        <v>65</v>
      </c>
      <c r="AO3510" t="s">
        <v>65</v>
      </c>
      <c r="AP3510" t="s">
        <v>65</v>
      </c>
      <c r="AQ3510">
        <v>1</v>
      </c>
      <c r="AR3510" t="s">
        <v>5644</v>
      </c>
      <c r="AS3510" t="s">
        <v>5645</v>
      </c>
      <c r="AT3510" t="s">
        <v>58</v>
      </c>
      <c r="AU3510" t="s">
        <v>68</v>
      </c>
      <c r="AV3510" t="s">
        <v>69</v>
      </c>
      <c r="AW3510" s="1">
        <v>25986</v>
      </c>
      <c r="AX3510">
        <v>2</v>
      </c>
    </row>
    <row r="3511" spans="1:50">
      <c r="A3511">
        <v>212549</v>
      </c>
      <c r="B3511" t="str">
        <f>"046848391"</f>
        <v>046848391</v>
      </c>
      <c r="C3511" t="s">
        <v>50</v>
      </c>
      <c r="D3511" t="s">
        <v>6708</v>
      </c>
      <c r="E3511" t="s">
        <v>6709</v>
      </c>
      <c r="F3511" t="s">
        <v>1373</v>
      </c>
      <c r="G3511" t="s">
        <v>6710</v>
      </c>
      <c r="H3511" t="str">
        <f>"ΜΙΚΡΑΣΙΑΤΩΝ 15 ΡΕΘΥΜΝΟ"</f>
        <v>ΜΙΚΡΑΣΙΑΤΩΝ 15 ΡΕΘΥΜΝΟ</v>
      </c>
      <c r="I3511">
        <v>74100</v>
      </c>
      <c r="K3511">
        <v>6942802511</v>
      </c>
      <c r="M3511" t="s">
        <v>6711</v>
      </c>
      <c r="N3511" t="s">
        <v>146</v>
      </c>
      <c r="O3511" t="s">
        <v>147</v>
      </c>
      <c r="R3511" t="s">
        <v>57</v>
      </c>
      <c r="S3511">
        <v>9</v>
      </c>
      <c r="T3511">
        <v>231</v>
      </c>
      <c r="U3511" s="1">
        <v>38960</v>
      </c>
      <c r="V3511" t="s">
        <v>5644</v>
      </c>
      <c r="W3511" t="s">
        <v>5645</v>
      </c>
      <c r="X3511" t="s">
        <v>58</v>
      </c>
      <c r="Y3511">
        <v>20</v>
      </c>
      <c r="Z3511" t="s">
        <v>59</v>
      </c>
      <c r="AA3511" t="s">
        <v>59</v>
      </c>
      <c r="AB3511" t="s">
        <v>59</v>
      </c>
      <c r="AC3511" t="s">
        <v>59</v>
      </c>
      <c r="AD3511" t="s">
        <v>59</v>
      </c>
      <c r="AF3511" s="1">
        <v>38961</v>
      </c>
      <c r="AG3511" t="s">
        <v>125</v>
      </c>
      <c r="AH3511" t="s">
        <v>126</v>
      </c>
      <c r="AI3511" t="str">
        <f>"4106010"</f>
        <v>4106010</v>
      </c>
      <c r="AJ3511" t="s">
        <v>5880</v>
      </c>
      <c r="AK3511">
        <v>2832022035</v>
      </c>
      <c r="AL3511" t="s">
        <v>5881</v>
      </c>
      <c r="AM3511" t="s">
        <v>64</v>
      </c>
      <c r="AN3511" t="s">
        <v>5882</v>
      </c>
      <c r="AO3511" t="s">
        <v>5883</v>
      </c>
      <c r="AP3511" t="s">
        <v>5884</v>
      </c>
      <c r="AQ3511">
        <v>5</v>
      </c>
      <c r="AR3511" t="s">
        <v>5644</v>
      </c>
      <c r="AS3511" t="s">
        <v>5645</v>
      </c>
      <c r="AT3511" t="s">
        <v>58</v>
      </c>
      <c r="AU3511" t="s">
        <v>68</v>
      </c>
      <c r="AV3511" t="s">
        <v>69</v>
      </c>
      <c r="AW3511" s="1">
        <v>25247</v>
      </c>
      <c r="AX3511">
        <v>2</v>
      </c>
    </row>
    <row r="3512" spans="1:50">
      <c r="A3512">
        <v>159698</v>
      </c>
      <c r="B3512" t="str">
        <f>"064289800"</f>
        <v>064289800</v>
      </c>
      <c r="C3512" t="s">
        <v>50</v>
      </c>
      <c r="D3512" t="s">
        <v>4445</v>
      </c>
      <c r="E3512" t="s">
        <v>396</v>
      </c>
      <c r="F3512" t="s">
        <v>450</v>
      </c>
      <c r="G3512" t="s">
        <v>6712</v>
      </c>
      <c r="H3512" t="str">
        <f>"ΚΟΛΟΚΟΤΡΩΝΗ 9 ΠΑΝΟΡΑΜΑ"</f>
        <v>ΚΟΛΟΚΟΤΡΩΝΗ 9 ΠΑΝΟΡΑΜΑ</v>
      </c>
      <c r="I3512">
        <v>74100</v>
      </c>
      <c r="N3512" t="s">
        <v>146</v>
      </c>
      <c r="O3512" t="s">
        <v>147</v>
      </c>
      <c r="R3512" t="s">
        <v>57</v>
      </c>
      <c r="S3512">
        <v>14</v>
      </c>
      <c r="T3512">
        <v>161</v>
      </c>
      <c r="U3512" s="1">
        <v>33119</v>
      </c>
      <c r="V3512" t="s">
        <v>5644</v>
      </c>
      <c r="W3512" t="s">
        <v>5645</v>
      </c>
      <c r="X3512" t="s">
        <v>58</v>
      </c>
      <c r="Y3512">
        <v>18</v>
      </c>
      <c r="Z3512" t="s">
        <v>59</v>
      </c>
      <c r="AA3512" t="s">
        <v>59</v>
      </c>
      <c r="AB3512" t="s">
        <v>59</v>
      </c>
      <c r="AC3512" t="s">
        <v>59</v>
      </c>
      <c r="AD3512" t="s">
        <v>59</v>
      </c>
      <c r="AF3512" s="1">
        <v>33119</v>
      </c>
      <c r="AG3512" t="s">
        <v>125</v>
      </c>
      <c r="AH3512" t="s">
        <v>126</v>
      </c>
      <c r="AI3512" t="str">
        <f>"4101010"</f>
        <v>4101010</v>
      </c>
      <c r="AJ3512" t="s">
        <v>5814</v>
      </c>
      <c r="AK3512">
        <v>2831022283</v>
      </c>
      <c r="AL3512" t="s">
        <v>5815</v>
      </c>
      <c r="AM3512" t="s">
        <v>64</v>
      </c>
      <c r="AN3512" t="s">
        <v>65</v>
      </c>
      <c r="AO3512" t="s">
        <v>65</v>
      </c>
      <c r="AP3512" t="s">
        <v>65</v>
      </c>
      <c r="AQ3512">
        <v>1</v>
      </c>
      <c r="AR3512" t="s">
        <v>5644</v>
      </c>
      <c r="AS3512" t="s">
        <v>5645</v>
      </c>
      <c r="AT3512" t="s">
        <v>58</v>
      </c>
      <c r="AU3512" t="s">
        <v>68</v>
      </c>
      <c r="AV3512" t="s">
        <v>69</v>
      </c>
      <c r="AW3512" s="1">
        <v>23093</v>
      </c>
      <c r="AX3512">
        <v>2</v>
      </c>
    </row>
    <row r="3513" spans="1:50">
      <c r="A3513">
        <v>193902</v>
      </c>
      <c r="B3513" t="str">
        <f>"066534412"</f>
        <v>066534412</v>
      </c>
      <c r="C3513" t="s">
        <v>50</v>
      </c>
      <c r="D3513" t="s">
        <v>4454</v>
      </c>
      <c r="E3513" t="s">
        <v>52</v>
      </c>
      <c r="F3513" t="s">
        <v>154</v>
      </c>
      <c r="G3513" t="s">
        <v>263</v>
      </c>
      <c r="H3513" t="str">
        <f>"Χ.Μ. ΓΙΑΝΝΑΡΗ 42 ΡΕΘΥΜΝΟ"</f>
        <v>Χ.Μ. ΓΙΑΝΝΑΡΗ 42 ΡΕΘΥΜΝΟ</v>
      </c>
      <c r="I3513">
        <v>74100</v>
      </c>
      <c r="J3513">
        <v>2831053079</v>
      </c>
      <c r="K3513">
        <v>6972131317</v>
      </c>
      <c r="M3513" t="s">
        <v>6713</v>
      </c>
      <c r="N3513" t="s">
        <v>478</v>
      </c>
      <c r="O3513" t="s">
        <v>479</v>
      </c>
      <c r="R3513" t="s">
        <v>57</v>
      </c>
      <c r="S3513">
        <v>10</v>
      </c>
      <c r="T3513">
        <v>193</v>
      </c>
      <c r="U3513" s="1">
        <v>37496</v>
      </c>
      <c r="V3513" t="s">
        <v>5644</v>
      </c>
      <c r="W3513" t="s">
        <v>5645</v>
      </c>
      <c r="X3513" t="s">
        <v>58</v>
      </c>
      <c r="Y3513">
        <v>18</v>
      </c>
      <c r="Z3513" t="s">
        <v>59</v>
      </c>
      <c r="AA3513" t="s">
        <v>59</v>
      </c>
      <c r="AB3513" t="s">
        <v>59</v>
      </c>
      <c r="AC3513" t="s">
        <v>59</v>
      </c>
      <c r="AD3513" t="s">
        <v>59</v>
      </c>
      <c r="AF3513" s="1">
        <v>37501</v>
      </c>
      <c r="AG3513" t="s">
        <v>125</v>
      </c>
      <c r="AH3513" t="s">
        <v>126</v>
      </c>
      <c r="AI3513" t="str">
        <f>"4101040"</f>
        <v>4101040</v>
      </c>
      <c r="AJ3513" t="s">
        <v>5732</v>
      </c>
      <c r="AK3513">
        <v>2831029261</v>
      </c>
      <c r="AL3513" t="s">
        <v>5733</v>
      </c>
      <c r="AM3513" t="s">
        <v>64</v>
      </c>
      <c r="AN3513" t="s">
        <v>65</v>
      </c>
      <c r="AO3513" t="s">
        <v>65</v>
      </c>
      <c r="AP3513" t="s">
        <v>65</v>
      </c>
      <c r="AQ3513">
        <v>1</v>
      </c>
      <c r="AR3513" t="s">
        <v>5644</v>
      </c>
      <c r="AS3513" t="s">
        <v>5645</v>
      </c>
      <c r="AT3513" t="s">
        <v>58</v>
      </c>
      <c r="AU3513" t="s">
        <v>68</v>
      </c>
      <c r="AV3513" t="s">
        <v>69</v>
      </c>
      <c r="AW3513" s="1">
        <v>23405</v>
      </c>
      <c r="AX3513">
        <v>2</v>
      </c>
    </row>
    <row r="3514" spans="1:50">
      <c r="B3514" t="str">
        <f>"103510162"</f>
        <v>103510162</v>
      </c>
      <c r="C3514" t="s">
        <v>50</v>
      </c>
      <c r="D3514" t="s">
        <v>4463</v>
      </c>
      <c r="E3514" t="s">
        <v>73</v>
      </c>
      <c r="F3514" t="s">
        <v>166</v>
      </c>
      <c r="G3514" t="s">
        <v>6714</v>
      </c>
      <c r="H3514" t="str">
        <f>"ΚΑΛΟΝΑΔΩΝ 16 ΗΡΑΚΛΕΙΟ"</f>
        <v>ΚΑΛΟΝΑΔΩΝ 16 ΗΡΑΚΛΕΙΟ</v>
      </c>
      <c r="I3514">
        <v>71201</v>
      </c>
      <c r="J3514">
        <v>2810752483</v>
      </c>
      <c r="K3514">
        <v>6977635996</v>
      </c>
      <c r="M3514" t="s">
        <v>6715</v>
      </c>
      <c r="N3514" t="s">
        <v>1514</v>
      </c>
      <c r="O3514" t="s">
        <v>1515</v>
      </c>
      <c r="R3514" t="s">
        <v>57</v>
      </c>
      <c r="S3514">
        <v>7</v>
      </c>
      <c r="T3514" t="s">
        <v>344</v>
      </c>
      <c r="U3514" s="1">
        <v>43348</v>
      </c>
      <c r="V3514" t="s">
        <v>5644</v>
      </c>
      <c r="W3514" t="s">
        <v>5645</v>
      </c>
      <c r="X3514" t="s">
        <v>58</v>
      </c>
      <c r="Y3514">
        <v>21</v>
      </c>
      <c r="Z3514" t="s">
        <v>59</v>
      </c>
      <c r="AA3514" t="s">
        <v>59</v>
      </c>
      <c r="AB3514" t="s">
        <v>59</v>
      </c>
      <c r="AC3514" t="s">
        <v>59</v>
      </c>
      <c r="AD3514" t="s">
        <v>59</v>
      </c>
      <c r="AF3514" s="1">
        <v>43348</v>
      </c>
      <c r="AG3514" t="s">
        <v>345</v>
      </c>
      <c r="AH3514" t="s">
        <v>346</v>
      </c>
      <c r="AI3514" t="str">
        <f>"4141010"</f>
        <v>4141010</v>
      </c>
      <c r="AJ3514" t="s">
        <v>6121</v>
      </c>
      <c r="AK3514">
        <v>2831035068</v>
      </c>
      <c r="AL3514" t="s">
        <v>6122</v>
      </c>
      <c r="AM3514" t="s">
        <v>64</v>
      </c>
      <c r="AN3514" t="s">
        <v>65</v>
      </c>
      <c r="AO3514" t="s">
        <v>65</v>
      </c>
      <c r="AP3514" t="s">
        <v>65</v>
      </c>
      <c r="AQ3514">
        <v>1</v>
      </c>
      <c r="AR3514" t="s">
        <v>5644</v>
      </c>
      <c r="AS3514" t="s">
        <v>5645</v>
      </c>
      <c r="AT3514" t="s">
        <v>58</v>
      </c>
      <c r="AU3514" t="s">
        <v>350</v>
      </c>
      <c r="AV3514" t="s">
        <v>132</v>
      </c>
      <c r="AW3514" s="1">
        <v>26734</v>
      </c>
      <c r="AX3514">
        <v>2</v>
      </c>
    </row>
    <row r="3515" spans="1:50">
      <c r="A3515">
        <v>220838</v>
      </c>
      <c r="B3515" t="str">
        <f>"068339872"</f>
        <v>068339872</v>
      </c>
      <c r="C3515" t="s">
        <v>50</v>
      </c>
      <c r="D3515" t="s">
        <v>4463</v>
      </c>
      <c r="E3515" t="s">
        <v>620</v>
      </c>
      <c r="F3515" t="s">
        <v>53</v>
      </c>
      <c r="G3515" t="s">
        <v>85</v>
      </c>
      <c r="H3515" t="str">
        <f>"ΒΙΡΑΝ ΕΠΙΣΚΟΠΗ ΡΕΘΥΜΝΟ"</f>
        <v>ΒΙΡΑΝ ΕΠΙΣΚΟΠΗ ΡΕΘΥΜΝΟ</v>
      </c>
      <c r="I3515">
        <v>74100</v>
      </c>
      <c r="J3515">
        <v>2834093130</v>
      </c>
      <c r="K3515">
        <v>6979468913</v>
      </c>
      <c r="N3515" t="s">
        <v>288</v>
      </c>
      <c r="O3515" t="s">
        <v>289</v>
      </c>
      <c r="R3515" t="s">
        <v>57</v>
      </c>
      <c r="S3515">
        <v>7</v>
      </c>
      <c r="T3515">
        <v>681</v>
      </c>
      <c r="U3515" s="1">
        <v>39325</v>
      </c>
      <c r="V3515" t="s">
        <v>5644</v>
      </c>
      <c r="W3515" t="s">
        <v>5645</v>
      </c>
      <c r="X3515" t="s">
        <v>58</v>
      </c>
      <c r="Y3515">
        <v>21</v>
      </c>
      <c r="Z3515" t="s">
        <v>59</v>
      </c>
      <c r="AA3515" t="s">
        <v>59</v>
      </c>
      <c r="AB3515" t="s">
        <v>59</v>
      </c>
      <c r="AC3515" t="s">
        <v>59</v>
      </c>
      <c r="AD3515" t="s">
        <v>59</v>
      </c>
      <c r="AF3515" s="1">
        <v>39329</v>
      </c>
      <c r="AG3515" t="s">
        <v>125</v>
      </c>
      <c r="AH3515" t="s">
        <v>126</v>
      </c>
      <c r="AI3515" t="str">
        <f>"4101020"</f>
        <v>4101020</v>
      </c>
      <c r="AJ3515" t="s">
        <v>5652</v>
      </c>
      <c r="AK3515">
        <v>2831023560</v>
      </c>
      <c r="AL3515" t="s">
        <v>5653</v>
      </c>
      <c r="AM3515" t="s">
        <v>64</v>
      </c>
      <c r="AN3515" t="s">
        <v>65</v>
      </c>
      <c r="AO3515" t="s">
        <v>65</v>
      </c>
      <c r="AP3515" t="s">
        <v>65</v>
      </c>
      <c r="AQ3515">
        <v>1</v>
      </c>
      <c r="AR3515" t="s">
        <v>5644</v>
      </c>
      <c r="AS3515" t="s">
        <v>5645</v>
      </c>
      <c r="AT3515" t="s">
        <v>58</v>
      </c>
      <c r="AU3515" t="s">
        <v>68</v>
      </c>
      <c r="AV3515" t="s">
        <v>69</v>
      </c>
      <c r="AW3515" s="1">
        <v>29453</v>
      </c>
      <c r="AX3515">
        <v>2</v>
      </c>
    </row>
    <row r="3516" spans="1:50">
      <c r="A3516">
        <v>162523</v>
      </c>
      <c r="B3516" t="str">
        <f>"100099557"</f>
        <v>100099557</v>
      </c>
      <c r="C3516" t="s">
        <v>50</v>
      </c>
      <c r="D3516" t="s">
        <v>4482</v>
      </c>
      <c r="E3516" t="s">
        <v>52</v>
      </c>
      <c r="F3516" t="s">
        <v>72</v>
      </c>
      <c r="G3516" t="s">
        <v>2967</v>
      </c>
      <c r="H3516" t="str">
        <f>"ΨΥΧΟΥΝΤΑΚΗ 6 ΡΕΘΥΜΝΟ"</f>
        <v>ΨΥΧΟΥΝΤΑΚΗ 6 ΡΕΘΥΜΝΟ</v>
      </c>
      <c r="I3516">
        <v>74100</v>
      </c>
      <c r="J3516">
        <v>2831054602</v>
      </c>
      <c r="K3516">
        <v>6977746849</v>
      </c>
      <c r="M3516" t="s">
        <v>6716</v>
      </c>
      <c r="N3516" t="s">
        <v>146</v>
      </c>
      <c r="O3516" t="s">
        <v>147</v>
      </c>
      <c r="R3516" t="s">
        <v>57</v>
      </c>
      <c r="S3516">
        <v>15</v>
      </c>
      <c r="T3516">
        <v>132</v>
      </c>
      <c r="U3516" s="1">
        <v>33456</v>
      </c>
      <c r="V3516" t="s">
        <v>5644</v>
      </c>
      <c r="W3516" t="s">
        <v>5645</v>
      </c>
      <c r="X3516" t="s">
        <v>58</v>
      </c>
      <c r="Y3516">
        <v>18</v>
      </c>
      <c r="Z3516" t="s">
        <v>59</v>
      </c>
      <c r="AA3516" t="s">
        <v>59</v>
      </c>
      <c r="AB3516" t="s">
        <v>59</v>
      </c>
      <c r="AC3516" t="s">
        <v>59</v>
      </c>
      <c r="AD3516" t="s">
        <v>59</v>
      </c>
      <c r="AF3516" s="1">
        <v>33456</v>
      </c>
      <c r="AG3516" t="s">
        <v>125</v>
      </c>
      <c r="AH3516" t="s">
        <v>126</v>
      </c>
      <c r="AI3516" t="str">
        <f>"4101030"</f>
        <v>4101030</v>
      </c>
      <c r="AJ3516" t="s">
        <v>5646</v>
      </c>
      <c r="AK3516">
        <v>2831022359</v>
      </c>
      <c r="AL3516" t="s">
        <v>5647</v>
      </c>
      <c r="AM3516" t="s">
        <v>64</v>
      </c>
      <c r="AN3516" t="s">
        <v>65</v>
      </c>
      <c r="AO3516" t="s">
        <v>65</v>
      </c>
      <c r="AP3516" t="s">
        <v>65</v>
      </c>
      <c r="AQ3516">
        <v>1</v>
      </c>
      <c r="AR3516" t="s">
        <v>5644</v>
      </c>
      <c r="AS3516" t="s">
        <v>5645</v>
      </c>
      <c r="AT3516" t="s">
        <v>58</v>
      </c>
      <c r="AU3516" t="s">
        <v>68</v>
      </c>
      <c r="AV3516" t="s">
        <v>69</v>
      </c>
      <c r="AW3516" s="1">
        <v>23188</v>
      </c>
      <c r="AX3516">
        <v>2</v>
      </c>
    </row>
    <row r="3517" spans="1:50">
      <c r="A3517">
        <v>223739</v>
      </c>
      <c r="B3517" t="str">
        <f>"056365690"</f>
        <v>056365690</v>
      </c>
      <c r="C3517" t="s">
        <v>105</v>
      </c>
      <c r="D3517" t="s">
        <v>4494</v>
      </c>
      <c r="E3517" t="s">
        <v>53</v>
      </c>
      <c r="F3517" t="s">
        <v>53</v>
      </c>
      <c r="G3517" t="s">
        <v>600</v>
      </c>
      <c r="H3517" t="str">
        <f>"ΑΝΘΥΠΟΛ. Π. ΨΥΧΟΥΝΤΑΚΗ 1 ΡΕΘΥΜΝΟ"</f>
        <v>ΑΝΘΥΠΟΛ. Π. ΨΥΧΟΥΝΤΑΚΗ 1 ΡΕΘΥΜΝΟ</v>
      </c>
      <c r="I3517">
        <v>74100</v>
      </c>
      <c r="J3517">
        <v>2831026857</v>
      </c>
      <c r="K3517">
        <v>6937189616</v>
      </c>
      <c r="M3517" t="s">
        <v>6717</v>
      </c>
      <c r="N3517" t="s">
        <v>199</v>
      </c>
      <c r="O3517" t="s">
        <v>200</v>
      </c>
      <c r="R3517" t="s">
        <v>57</v>
      </c>
      <c r="S3517">
        <v>5</v>
      </c>
      <c r="T3517">
        <v>775</v>
      </c>
      <c r="U3517" s="1">
        <v>39680</v>
      </c>
      <c r="V3517" t="s">
        <v>5644</v>
      </c>
      <c r="W3517" t="s">
        <v>5645</v>
      </c>
      <c r="X3517" t="s">
        <v>58</v>
      </c>
      <c r="Y3517">
        <v>21</v>
      </c>
      <c r="Z3517" t="s">
        <v>59</v>
      </c>
      <c r="AA3517" t="s">
        <v>59</v>
      </c>
      <c r="AB3517" t="s">
        <v>59</v>
      </c>
      <c r="AC3517" t="s">
        <v>59</v>
      </c>
      <c r="AD3517" t="s">
        <v>59</v>
      </c>
      <c r="AF3517" s="1">
        <v>39682</v>
      </c>
      <c r="AG3517" t="s">
        <v>148</v>
      </c>
      <c r="AH3517" t="s">
        <v>149</v>
      </c>
      <c r="AI3517" t="str">
        <f>"4151009"</f>
        <v>4151009</v>
      </c>
      <c r="AJ3517" t="s">
        <v>5649</v>
      </c>
      <c r="AK3517">
        <v>2831027115</v>
      </c>
      <c r="AL3517" t="s">
        <v>5650</v>
      </c>
      <c r="AM3517" t="s">
        <v>64</v>
      </c>
      <c r="AN3517" t="s">
        <v>65</v>
      </c>
      <c r="AO3517" t="s">
        <v>65</v>
      </c>
      <c r="AP3517" t="s">
        <v>65</v>
      </c>
      <c r="AQ3517">
        <v>1</v>
      </c>
      <c r="AR3517" t="s">
        <v>5644</v>
      </c>
      <c r="AS3517" t="s">
        <v>5645</v>
      </c>
      <c r="AT3517" t="s">
        <v>58</v>
      </c>
      <c r="AU3517" t="s">
        <v>68</v>
      </c>
      <c r="AV3517" t="s">
        <v>69</v>
      </c>
      <c r="AW3517" s="1">
        <v>24895</v>
      </c>
      <c r="AX3517">
        <v>2</v>
      </c>
    </row>
    <row r="3518" spans="1:50">
      <c r="A3518">
        <v>208782</v>
      </c>
      <c r="B3518" t="str">
        <f>"043072591"</f>
        <v>043072591</v>
      </c>
      <c r="C3518" t="s">
        <v>105</v>
      </c>
      <c r="D3518" t="s">
        <v>4494</v>
      </c>
      <c r="E3518" t="s">
        <v>920</v>
      </c>
      <c r="F3518" t="s">
        <v>95</v>
      </c>
      <c r="G3518" t="s">
        <v>52</v>
      </c>
      <c r="H3518" t="str">
        <f>"Τρανταλίδου 11 ΡΕΘΥΜΝΟ"</f>
        <v>Τρανταλίδου 11 ΡΕΘΥΜΝΟ</v>
      </c>
      <c r="I3518">
        <v>74100</v>
      </c>
      <c r="J3518">
        <v>2833031069</v>
      </c>
      <c r="K3518">
        <v>6973387219</v>
      </c>
      <c r="N3518" t="s">
        <v>299</v>
      </c>
      <c r="O3518" t="s">
        <v>300</v>
      </c>
      <c r="R3518" t="s">
        <v>57</v>
      </c>
      <c r="S3518">
        <v>9</v>
      </c>
      <c r="T3518">
        <v>218</v>
      </c>
      <c r="U3518" s="1">
        <v>38596</v>
      </c>
      <c r="V3518" t="s">
        <v>5644</v>
      </c>
      <c r="W3518" t="s">
        <v>5645</v>
      </c>
      <c r="X3518" t="s">
        <v>58</v>
      </c>
      <c r="Y3518">
        <v>20</v>
      </c>
      <c r="Z3518" t="s">
        <v>59</v>
      </c>
      <c r="AA3518" t="s">
        <v>59</v>
      </c>
      <c r="AB3518" t="s">
        <v>59</v>
      </c>
      <c r="AC3518" t="s">
        <v>59</v>
      </c>
      <c r="AD3518" t="s">
        <v>59</v>
      </c>
      <c r="AF3518" s="1">
        <v>38600</v>
      </c>
      <c r="AG3518" t="s">
        <v>137</v>
      </c>
      <c r="AH3518" t="s">
        <v>138</v>
      </c>
      <c r="AI3518" t="str">
        <f>"4152001"</f>
        <v>4152001</v>
      </c>
      <c r="AJ3518" t="s">
        <v>5665</v>
      </c>
      <c r="AK3518">
        <v>2831024375</v>
      </c>
      <c r="AL3518" t="s">
        <v>5666</v>
      </c>
      <c r="AM3518" t="s">
        <v>64</v>
      </c>
      <c r="AN3518" t="s">
        <v>65</v>
      </c>
      <c r="AO3518" t="s">
        <v>65</v>
      </c>
      <c r="AP3518" t="s">
        <v>65</v>
      </c>
      <c r="AQ3518">
        <v>1</v>
      </c>
      <c r="AR3518" t="s">
        <v>5644</v>
      </c>
      <c r="AS3518" t="s">
        <v>5645</v>
      </c>
      <c r="AT3518" t="s">
        <v>58</v>
      </c>
      <c r="AU3518" t="s">
        <v>68</v>
      </c>
      <c r="AV3518" t="s">
        <v>69</v>
      </c>
      <c r="AW3518" s="1">
        <v>24091</v>
      </c>
      <c r="AX3518">
        <v>2</v>
      </c>
    </row>
    <row r="3519" spans="1:50">
      <c r="B3519" t="str">
        <f>"101774424"</f>
        <v>101774424</v>
      </c>
      <c r="C3519" t="s">
        <v>105</v>
      </c>
      <c r="D3519" t="s">
        <v>6718</v>
      </c>
      <c r="E3519" t="s">
        <v>2027</v>
      </c>
      <c r="F3519" t="s">
        <v>581</v>
      </c>
      <c r="G3519" t="s">
        <v>155</v>
      </c>
      <c r="H3519" t="str">
        <f>" "</f>
        <v xml:space="preserve"> </v>
      </c>
      <c r="K3519">
        <v>6936948519</v>
      </c>
      <c r="N3519" t="s">
        <v>257</v>
      </c>
      <c r="O3519" t="s">
        <v>258</v>
      </c>
      <c r="R3519" t="s">
        <v>159</v>
      </c>
      <c r="S3519">
        <v>2</v>
      </c>
      <c r="T3519" t="s">
        <v>160</v>
      </c>
      <c r="U3519" s="1">
        <v>43364</v>
      </c>
      <c r="V3519" t="s">
        <v>5644</v>
      </c>
      <c r="W3519" t="s">
        <v>5645</v>
      </c>
      <c r="X3519" t="s">
        <v>58</v>
      </c>
      <c r="Y3519">
        <v>23</v>
      </c>
      <c r="Z3519" t="s">
        <v>59</v>
      </c>
      <c r="AA3519" t="s">
        <v>59</v>
      </c>
      <c r="AB3519" t="s">
        <v>59</v>
      </c>
      <c r="AC3519" t="s">
        <v>59</v>
      </c>
      <c r="AD3519" t="s">
        <v>59</v>
      </c>
      <c r="AF3519" s="1">
        <v>43367</v>
      </c>
      <c r="AG3519" t="s">
        <v>125</v>
      </c>
      <c r="AH3519" t="s">
        <v>126</v>
      </c>
      <c r="AI3519" t="str">
        <f>"4101040"</f>
        <v>4101040</v>
      </c>
      <c r="AJ3519" t="s">
        <v>5732</v>
      </c>
      <c r="AK3519">
        <v>2831029261</v>
      </c>
      <c r="AL3519" t="s">
        <v>5733</v>
      </c>
      <c r="AM3519" t="s">
        <v>64</v>
      </c>
      <c r="AN3519" t="s">
        <v>65</v>
      </c>
      <c r="AO3519" t="s">
        <v>65</v>
      </c>
      <c r="AP3519" t="s">
        <v>65</v>
      </c>
      <c r="AQ3519">
        <v>1</v>
      </c>
      <c r="AR3519" t="s">
        <v>5644</v>
      </c>
      <c r="AS3519" t="s">
        <v>5645</v>
      </c>
      <c r="AT3519" t="s">
        <v>58</v>
      </c>
      <c r="AU3519" t="s">
        <v>164</v>
      </c>
      <c r="AV3519" t="s">
        <v>132</v>
      </c>
      <c r="AW3519" s="1">
        <v>29165</v>
      </c>
      <c r="AX3519">
        <v>2</v>
      </c>
    </row>
    <row r="3520" spans="1:50">
      <c r="A3520">
        <v>703542</v>
      </c>
      <c r="B3520" t="str">
        <f>"078971719"</f>
        <v>078971719</v>
      </c>
      <c r="C3520" t="s">
        <v>50</v>
      </c>
      <c r="D3520" t="s">
        <v>6719</v>
      </c>
      <c r="E3520" t="s">
        <v>83</v>
      </c>
      <c r="F3520" t="s">
        <v>450</v>
      </c>
      <c r="G3520" t="s">
        <v>1387</v>
      </c>
      <c r="H3520" t="str">
        <f>"ΑΘΗΝΑΣ 20 ΠΕΙΡΑΙΑΣ"</f>
        <v>ΑΘΗΝΑΣ 20 ΠΕΙΡΑΙΑΣ</v>
      </c>
      <c r="I3520">
        <v>18539</v>
      </c>
      <c r="J3520">
        <v>2831036133</v>
      </c>
      <c r="K3520">
        <v>6946812128</v>
      </c>
      <c r="N3520" t="s">
        <v>146</v>
      </c>
      <c r="O3520" t="s">
        <v>147</v>
      </c>
      <c r="R3520" t="s">
        <v>57</v>
      </c>
      <c r="S3520">
        <v>4</v>
      </c>
      <c r="T3520">
        <v>925</v>
      </c>
      <c r="U3520" s="1">
        <v>41158</v>
      </c>
      <c r="V3520" t="s">
        <v>5644</v>
      </c>
      <c r="W3520" t="s">
        <v>5645</v>
      </c>
      <c r="X3520" t="s">
        <v>58</v>
      </c>
      <c r="Y3520">
        <v>21</v>
      </c>
      <c r="Z3520" t="s">
        <v>59</v>
      </c>
      <c r="AA3520" t="s">
        <v>59</v>
      </c>
      <c r="AB3520" t="s">
        <v>59</v>
      </c>
      <c r="AC3520" t="s">
        <v>59</v>
      </c>
      <c r="AD3520" t="s">
        <v>59</v>
      </c>
      <c r="AF3520" s="1">
        <v>41159</v>
      </c>
      <c r="AG3520" t="s">
        <v>148</v>
      </c>
      <c r="AH3520" t="s">
        <v>149</v>
      </c>
      <c r="AI3520" t="str">
        <f>"4156010"</f>
        <v>4156010</v>
      </c>
      <c r="AJ3520" t="s">
        <v>5925</v>
      </c>
      <c r="AK3520">
        <v>2832022328</v>
      </c>
      <c r="AL3520" t="s">
        <v>5926</v>
      </c>
      <c r="AM3520" t="s">
        <v>64</v>
      </c>
      <c r="AN3520" t="s">
        <v>5882</v>
      </c>
      <c r="AO3520" t="s">
        <v>5883</v>
      </c>
      <c r="AP3520" t="s">
        <v>5884</v>
      </c>
      <c r="AQ3520">
        <v>5</v>
      </c>
      <c r="AR3520" t="s">
        <v>5644</v>
      </c>
      <c r="AS3520" t="s">
        <v>5645</v>
      </c>
      <c r="AT3520" t="s">
        <v>58</v>
      </c>
      <c r="AU3520" t="s">
        <v>68</v>
      </c>
      <c r="AV3520" t="s">
        <v>69</v>
      </c>
      <c r="AW3520" s="1">
        <v>27731</v>
      </c>
      <c r="AX3520">
        <v>2</v>
      </c>
    </row>
    <row r="3521" spans="1:50">
      <c r="A3521">
        <v>158467</v>
      </c>
      <c r="B3521" t="str">
        <f>"043345886"</f>
        <v>043345886</v>
      </c>
      <c r="C3521" t="s">
        <v>50</v>
      </c>
      <c r="D3521" t="s">
        <v>6720</v>
      </c>
      <c r="E3521" t="s">
        <v>237</v>
      </c>
      <c r="F3521" t="s">
        <v>474</v>
      </c>
      <c r="G3521" t="s">
        <v>787</v>
      </c>
      <c r="H3521" t="str">
        <f>"ΊΑΝ ΡΟΣ ΚΑΜΠΕΛ 6 ΜΙΣΣΙΡΙΑ"</f>
        <v>ΊΑΝ ΡΟΣ ΚΑΜΠΕΛ 6 ΜΙΣΣΙΡΙΑ</v>
      </c>
      <c r="I3521">
        <v>74100</v>
      </c>
      <c r="N3521" t="s">
        <v>337</v>
      </c>
      <c r="O3521" t="s">
        <v>338</v>
      </c>
      <c r="R3521" t="s">
        <v>57</v>
      </c>
      <c r="S3521">
        <v>14</v>
      </c>
      <c r="T3521">
        <v>59</v>
      </c>
      <c r="U3521" s="1">
        <v>32577</v>
      </c>
      <c r="V3521" t="s">
        <v>5644</v>
      </c>
      <c r="W3521" t="s">
        <v>5645</v>
      </c>
      <c r="X3521" t="s">
        <v>58</v>
      </c>
      <c r="Y3521">
        <v>18</v>
      </c>
      <c r="Z3521" t="s">
        <v>59</v>
      </c>
      <c r="AA3521" t="s">
        <v>59</v>
      </c>
      <c r="AB3521" t="s">
        <v>59</v>
      </c>
      <c r="AC3521" t="s">
        <v>59</v>
      </c>
      <c r="AD3521" t="s">
        <v>59</v>
      </c>
      <c r="AF3521" s="1">
        <v>32577</v>
      </c>
      <c r="AG3521" t="s">
        <v>125</v>
      </c>
      <c r="AH3521" t="s">
        <v>126</v>
      </c>
      <c r="AI3521" t="str">
        <f>"4101010"</f>
        <v>4101010</v>
      </c>
      <c r="AJ3521" t="s">
        <v>5814</v>
      </c>
      <c r="AK3521">
        <v>2831022283</v>
      </c>
      <c r="AL3521" t="s">
        <v>5815</v>
      </c>
      <c r="AM3521" t="s">
        <v>64</v>
      </c>
      <c r="AN3521" t="s">
        <v>65</v>
      </c>
      <c r="AO3521" t="s">
        <v>65</v>
      </c>
      <c r="AP3521" t="s">
        <v>65</v>
      </c>
      <c r="AQ3521">
        <v>1</v>
      </c>
      <c r="AR3521" t="s">
        <v>5644</v>
      </c>
      <c r="AS3521" t="s">
        <v>5645</v>
      </c>
      <c r="AT3521" t="s">
        <v>58</v>
      </c>
      <c r="AU3521" t="s">
        <v>68</v>
      </c>
      <c r="AV3521" t="s">
        <v>69</v>
      </c>
      <c r="AW3521" s="1">
        <v>22312</v>
      </c>
      <c r="AX3521">
        <v>2</v>
      </c>
    </row>
    <row r="3522" spans="1:50">
      <c r="A3522">
        <v>219917</v>
      </c>
      <c r="B3522" t="str">
        <f>"078580641"</f>
        <v>078580641</v>
      </c>
      <c r="C3522" t="s">
        <v>50</v>
      </c>
      <c r="D3522" t="s">
        <v>6720</v>
      </c>
      <c r="E3522" t="s">
        <v>96</v>
      </c>
      <c r="F3522" t="s">
        <v>383</v>
      </c>
      <c r="G3522" t="s">
        <v>215</v>
      </c>
      <c r="H3522" t="str">
        <f>"ΖΙΜΒΡΑΚΑΚΗ 6 ΡΕΘΥΜΝΟ"</f>
        <v>ΖΙΜΒΡΑΚΑΚΗ 6 ΡΕΘΥΜΝΟ</v>
      </c>
      <c r="I3522">
        <v>74100</v>
      </c>
      <c r="K3522">
        <v>6939171117</v>
      </c>
      <c r="N3522" t="s">
        <v>176</v>
      </c>
      <c r="O3522" t="s">
        <v>177</v>
      </c>
      <c r="R3522" t="s">
        <v>57</v>
      </c>
      <c r="S3522">
        <v>10</v>
      </c>
      <c r="T3522">
        <v>599</v>
      </c>
      <c r="U3522" s="1">
        <v>39310</v>
      </c>
      <c r="V3522" t="s">
        <v>5644</v>
      </c>
      <c r="W3522" t="s">
        <v>5645</v>
      </c>
      <c r="X3522" t="s">
        <v>58</v>
      </c>
      <c r="Y3522">
        <v>20</v>
      </c>
      <c r="Z3522" t="s">
        <v>59</v>
      </c>
      <c r="AA3522" t="s">
        <v>59</v>
      </c>
      <c r="AB3522" t="s">
        <v>59</v>
      </c>
      <c r="AC3522" t="s">
        <v>59</v>
      </c>
      <c r="AD3522" t="s">
        <v>59</v>
      </c>
      <c r="AF3522" s="1">
        <v>39328</v>
      </c>
      <c r="AG3522" t="s">
        <v>125</v>
      </c>
      <c r="AH3522" t="s">
        <v>126</v>
      </c>
      <c r="AI3522" t="str">
        <f>"4101030"</f>
        <v>4101030</v>
      </c>
      <c r="AJ3522" t="s">
        <v>5646</v>
      </c>
      <c r="AK3522">
        <v>2831022359</v>
      </c>
      <c r="AL3522" t="s">
        <v>5647</v>
      </c>
      <c r="AM3522" t="s">
        <v>64</v>
      </c>
      <c r="AN3522" t="s">
        <v>65</v>
      </c>
      <c r="AO3522" t="s">
        <v>65</v>
      </c>
      <c r="AP3522" t="s">
        <v>65</v>
      </c>
      <c r="AQ3522">
        <v>1</v>
      </c>
      <c r="AR3522" t="s">
        <v>5644</v>
      </c>
      <c r="AS3522" t="s">
        <v>5645</v>
      </c>
      <c r="AT3522" t="s">
        <v>58</v>
      </c>
      <c r="AU3522" t="s">
        <v>68</v>
      </c>
      <c r="AV3522" t="s">
        <v>132</v>
      </c>
      <c r="AW3522" s="1">
        <v>25084</v>
      </c>
      <c r="AX3522">
        <v>2</v>
      </c>
    </row>
    <row r="3523" spans="1:50">
      <c r="A3523">
        <v>178853</v>
      </c>
      <c r="B3523" t="str">
        <f>"030571700"</f>
        <v>030571700</v>
      </c>
      <c r="C3523" t="s">
        <v>50</v>
      </c>
      <c r="D3523" t="s">
        <v>6721</v>
      </c>
      <c r="E3523" t="s">
        <v>54</v>
      </c>
      <c r="F3523" t="s">
        <v>84</v>
      </c>
      <c r="G3523" t="s">
        <v>52</v>
      </c>
      <c r="H3523" t="str">
        <f>"ΕΞΑΝΤΗΣ  ΜΥΛΟΠΟΤΑΜΟΣ"</f>
        <v>ΕΞΑΝΤΗΣ  ΜΥΛΟΠΟΤΑΜΟΣ</v>
      </c>
      <c r="I3523">
        <v>74052</v>
      </c>
      <c r="J3523">
        <v>2834094066</v>
      </c>
      <c r="K3523">
        <v>6980634129</v>
      </c>
      <c r="L3523">
        <v>2831051041</v>
      </c>
      <c r="M3523" t="s">
        <v>6722</v>
      </c>
      <c r="N3523" t="s">
        <v>146</v>
      </c>
      <c r="O3523" t="s">
        <v>147</v>
      </c>
      <c r="R3523" t="s">
        <v>57</v>
      </c>
      <c r="S3523">
        <v>18</v>
      </c>
      <c r="T3523">
        <v>161</v>
      </c>
      <c r="U3523" s="1">
        <v>32002</v>
      </c>
      <c r="V3523" t="s">
        <v>5644</v>
      </c>
      <c r="W3523" t="s">
        <v>5645</v>
      </c>
      <c r="X3523" t="s">
        <v>58</v>
      </c>
      <c r="Y3523">
        <v>18</v>
      </c>
      <c r="Z3523" t="s">
        <v>59</v>
      </c>
      <c r="AA3523" t="s">
        <v>59</v>
      </c>
      <c r="AB3523" t="s">
        <v>59</v>
      </c>
      <c r="AC3523" t="s">
        <v>59</v>
      </c>
      <c r="AD3523" t="s">
        <v>59</v>
      </c>
      <c r="AF3523" s="1">
        <v>32023</v>
      </c>
      <c r="AG3523" t="s">
        <v>125</v>
      </c>
      <c r="AH3523" t="s">
        <v>126</v>
      </c>
      <c r="AI3523" t="str">
        <f>"4104010"</f>
        <v>4104010</v>
      </c>
      <c r="AJ3523" t="s">
        <v>5745</v>
      </c>
      <c r="AK3523">
        <v>2834022235</v>
      </c>
      <c r="AL3523" t="s">
        <v>5746</v>
      </c>
      <c r="AM3523" t="s">
        <v>64</v>
      </c>
      <c r="AN3523" t="s">
        <v>5672</v>
      </c>
      <c r="AO3523" t="s">
        <v>5673</v>
      </c>
      <c r="AP3523" t="s">
        <v>5689</v>
      </c>
      <c r="AQ3523">
        <v>2</v>
      </c>
      <c r="AR3523" t="s">
        <v>5644</v>
      </c>
      <c r="AS3523" t="s">
        <v>5645</v>
      </c>
      <c r="AT3523" t="s">
        <v>58</v>
      </c>
      <c r="AU3523" t="s">
        <v>68</v>
      </c>
      <c r="AV3523" t="s">
        <v>69</v>
      </c>
      <c r="AW3523" s="1">
        <v>22269</v>
      </c>
      <c r="AX3523">
        <v>2</v>
      </c>
    </row>
    <row r="3524" spans="1:50">
      <c r="A3524">
        <v>148436</v>
      </c>
      <c r="B3524" t="str">
        <f>"030599627"</f>
        <v>030599627</v>
      </c>
      <c r="C3524" t="s">
        <v>105</v>
      </c>
      <c r="D3524" t="s">
        <v>6723</v>
      </c>
      <c r="E3524" t="s">
        <v>166</v>
      </c>
      <c r="F3524" t="s">
        <v>84</v>
      </c>
      <c r="G3524" t="s">
        <v>52</v>
      </c>
      <c r="H3524" t="str">
        <f>"ΕΞΑΝΤΗΣ ΜΥΛΟΠΟΤΑΜΟΣ"</f>
        <v>ΕΞΑΝΤΗΣ ΜΥΛΟΠΟΤΑΜΟΣ</v>
      </c>
      <c r="I3524">
        <v>74052</v>
      </c>
      <c r="J3524">
        <v>2834094328</v>
      </c>
      <c r="N3524" t="s">
        <v>146</v>
      </c>
      <c r="O3524" t="s">
        <v>147</v>
      </c>
      <c r="R3524" t="s">
        <v>57</v>
      </c>
      <c r="S3524">
        <v>16</v>
      </c>
      <c r="T3524">
        <v>205</v>
      </c>
      <c r="U3524" s="1">
        <v>31658</v>
      </c>
      <c r="V3524" t="s">
        <v>5644</v>
      </c>
      <c r="W3524" t="s">
        <v>5645</v>
      </c>
      <c r="X3524" t="s">
        <v>58</v>
      </c>
      <c r="Y3524">
        <v>18</v>
      </c>
      <c r="Z3524" t="s">
        <v>59</v>
      </c>
      <c r="AA3524" t="s">
        <v>59</v>
      </c>
      <c r="AB3524" t="s">
        <v>59</v>
      </c>
      <c r="AC3524" t="s">
        <v>59</v>
      </c>
      <c r="AD3524" t="s">
        <v>59</v>
      </c>
      <c r="AF3524" s="1">
        <v>31658</v>
      </c>
      <c r="AG3524" t="s">
        <v>125</v>
      </c>
      <c r="AH3524" t="s">
        <v>126</v>
      </c>
      <c r="AI3524" t="str">
        <f>"4104010"</f>
        <v>4104010</v>
      </c>
      <c r="AJ3524" t="s">
        <v>5745</v>
      </c>
      <c r="AK3524">
        <v>2834022235</v>
      </c>
      <c r="AL3524" t="s">
        <v>5746</v>
      </c>
      <c r="AM3524" t="s">
        <v>64</v>
      </c>
      <c r="AN3524" t="s">
        <v>5672</v>
      </c>
      <c r="AO3524" t="s">
        <v>5673</v>
      </c>
      <c r="AP3524" t="s">
        <v>5689</v>
      </c>
      <c r="AQ3524">
        <v>2</v>
      </c>
      <c r="AR3524" t="s">
        <v>5644</v>
      </c>
      <c r="AS3524" t="s">
        <v>5645</v>
      </c>
      <c r="AT3524" t="s">
        <v>58</v>
      </c>
      <c r="AU3524" t="s">
        <v>68</v>
      </c>
      <c r="AV3524" t="s">
        <v>69</v>
      </c>
      <c r="AW3524" s="1">
        <v>22266</v>
      </c>
      <c r="AX3524">
        <v>2</v>
      </c>
    </row>
    <row r="3525" spans="1:50">
      <c r="A3525">
        <v>214019</v>
      </c>
      <c r="B3525" t="str">
        <f>"116900534"</f>
        <v>116900534</v>
      </c>
      <c r="C3525" t="s">
        <v>50</v>
      </c>
      <c r="D3525" t="s">
        <v>6724</v>
      </c>
      <c r="E3525" t="s">
        <v>6725</v>
      </c>
      <c r="F3525" t="s">
        <v>6726</v>
      </c>
      <c r="G3525" t="s">
        <v>6727</v>
      </c>
      <c r="H3525" t="str">
        <f>" "</f>
        <v xml:space="preserve"> </v>
      </c>
      <c r="J3525">
        <v>2821069777</v>
      </c>
      <c r="K3525">
        <v>6938888423</v>
      </c>
      <c r="M3525" t="s">
        <v>6728</v>
      </c>
      <c r="N3525" t="s">
        <v>288</v>
      </c>
      <c r="O3525" t="s">
        <v>289</v>
      </c>
      <c r="R3525" t="s">
        <v>57</v>
      </c>
      <c r="S3525">
        <v>6</v>
      </c>
      <c r="T3525">
        <v>231</v>
      </c>
      <c r="U3525" s="1">
        <v>38960</v>
      </c>
      <c r="V3525" t="s">
        <v>6729</v>
      </c>
      <c r="W3525" t="s">
        <v>6730</v>
      </c>
      <c r="X3525" t="s">
        <v>58</v>
      </c>
      <c r="Y3525">
        <v>20</v>
      </c>
      <c r="Z3525" t="s">
        <v>59</v>
      </c>
      <c r="AA3525" t="s">
        <v>59</v>
      </c>
      <c r="AB3525" t="s">
        <v>59</v>
      </c>
      <c r="AC3525" t="s">
        <v>59</v>
      </c>
      <c r="AD3525" t="s">
        <v>59</v>
      </c>
      <c r="AF3525" s="1">
        <v>38961</v>
      </c>
      <c r="AG3525" t="s">
        <v>125</v>
      </c>
      <c r="AH3525" t="s">
        <v>126</v>
      </c>
      <c r="AI3525" t="str">
        <f>"5001070"</f>
        <v>5001070</v>
      </c>
      <c r="AJ3525" t="s">
        <v>6731</v>
      </c>
      <c r="AK3525">
        <v>2821088045</v>
      </c>
      <c r="AL3525" t="s">
        <v>6732</v>
      </c>
      <c r="AM3525" t="s">
        <v>88</v>
      </c>
      <c r="AN3525" t="s">
        <v>88</v>
      </c>
      <c r="AO3525" t="s">
        <v>6733</v>
      </c>
      <c r="AP3525" t="s">
        <v>6734</v>
      </c>
      <c r="AQ3525">
        <v>1</v>
      </c>
      <c r="AR3525" t="s">
        <v>6729</v>
      </c>
      <c r="AS3525" t="s">
        <v>6730</v>
      </c>
      <c r="AT3525" t="s">
        <v>58</v>
      </c>
      <c r="AU3525" t="s">
        <v>68</v>
      </c>
      <c r="AV3525" t="s">
        <v>69</v>
      </c>
      <c r="AW3525" s="1">
        <v>26776</v>
      </c>
      <c r="AX3525">
        <v>2</v>
      </c>
    </row>
    <row r="3526" spans="1:50">
      <c r="A3526">
        <v>702047</v>
      </c>
      <c r="B3526" t="str">
        <f>"120203645"</f>
        <v>120203645</v>
      </c>
      <c r="C3526" t="s">
        <v>50</v>
      </c>
      <c r="D3526" t="s">
        <v>6735</v>
      </c>
      <c r="E3526" t="s">
        <v>6736</v>
      </c>
      <c r="F3526" t="s">
        <v>6737</v>
      </c>
      <c r="G3526" t="s">
        <v>6738</v>
      </c>
      <c r="H3526" t="str">
        <f>"ΔΑΡΑΤΣΟ ΝΕΑΣ ΚΥΔΩΝΙΑΣ "</f>
        <v xml:space="preserve">ΔΑΡΑΤΣΟ ΝΕΑΣ ΚΥΔΩΝΙΑΣ </v>
      </c>
      <c r="I3526">
        <v>73100</v>
      </c>
      <c r="J3526">
        <v>2821057917</v>
      </c>
      <c r="K3526">
        <v>6945744601</v>
      </c>
      <c r="N3526" t="s">
        <v>3353</v>
      </c>
      <c r="O3526" t="s">
        <v>3354</v>
      </c>
      <c r="R3526" t="s">
        <v>57</v>
      </c>
      <c r="S3526">
        <v>8</v>
      </c>
      <c r="T3526">
        <v>772</v>
      </c>
      <c r="U3526" s="1">
        <v>40413</v>
      </c>
      <c r="V3526" t="s">
        <v>6729</v>
      </c>
      <c r="W3526" t="s">
        <v>6730</v>
      </c>
      <c r="X3526" t="s">
        <v>58</v>
      </c>
      <c r="Y3526">
        <v>20</v>
      </c>
      <c r="Z3526" t="s">
        <v>59</v>
      </c>
      <c r="AA3526" t="s">
        <v>59</v>
      </c>
      <c r="AB3526" t="s">
        <v>59</v>
      </c>
      <c r="AC3526" t="s">
        <v>59</v>
      </c>
      <c r="AD3526" t="s">
        <v>59</v>
      </c>
      <c r="AF3526" s="1">
        <v>40413</v>
      </c>
      <c r="AG3526" t="s">
        <v>125</v>
      </c>
      <c r="AH3526" t="s">
        <v>126</v>
      </c>
      <c r="AI3526" t="str">
        <f>"5001020"</f>
        <v>5001020</v>
      </c>
      <c r="AJ3526" t="s">
        <v>6739</v>
      </c>
      <c r="AK3526">
        <v>2821042664</v>
      </c>
      <c r="AL3526" t="s">
        <v>6740</v>
      </c>
      <c r="AM3526" t="s">
        <v>88</v>
      </c>
      <c r="AN3526" t="s">
        <v>88</v>
      </c>
      <c r="AO3526" t="s">
        <v>88</v>
      </c>
      <c r="AP3526" t="s">
        <v>88</v>
      </c>
      <c r="AQ3526">
        <v>1</v>
      </c>
      <c r="AR3526" t="s">
        <v>6729</v>
      </c>
      <c r="AS3526" t="s">
        <v>6730</v>
      </c>
      <c r="AT3526" t="s">
        <v>58</v>
      </c>
      <c r="AU3526" t="s">
        <v>68</v>
      </c>
      <c r="AV3526" t="s">
        <v>69</v>
      </c>
      <c r="AW3526" s="1">
        <v>24228</v>
      </c>
      <c r="AX3526">
        <v>2</v>
      </c>
    </row>
    <row r="3527" spans="1:50">
      <c r="B3527" t="str">
        <f>"119582361"</f>
        <v>119582361</v>
      </c>
      <c r="C3527" t="s">
        <v>50</v>
      </c>
      <c r="D3527" t="s">
        <v>144</v>
      </c>
      <c r="E3527" t="s">
        <v>83</v>
      </c>
      <c r="F3527" t="s">
        <v>108</v>
      </c>
      <c r="G3527" t="s">
        <v>52</v>
      </c>
      <c r="H3527" t="str">
        <f>"ΒΕΛΙΣΣΑΡΙΟΥ  8 ΔΡΑΜΑ"</f>
        <v>ΒΕΛΙΣΣΑΡΙΟΥ  8 ΔΡΑΜΑ</v>
      </c>
      <c r="I3527">
        <v>66100</v>
      </c>
      <c r="J3527">
        <v>2521021869</v>
      </c>
      <c r="K3527">
        <v>6937205230</v>
      </c>
      <c r="M3527" t="s">
        <v>6741</v>
      </c>
      <c r="N3527" t="s">
        <v>536</v>
      </c>
      <c r="O3527" t="s">
        <v>537</v>
      </c>
      <c r="R3527" t="s">
        <v>159</v>
      </c>
      <c r="S3527">
        <v>4</v>
      </c>
      <c r="T3527" t="s">
        <v>344</v>
      </c>
      <c r="U3527" s="1">
        <v>43348</v>
      </c>
      <c r="V3527" t="s">
        <v>6729</v>
      </c>
      <c r="W3527" t="s">
        <v>6730</v>
      </c>
      <c r="X3527" t="s">
        <v>58</v>
      </c>
      <c r="Y3527">
        <v>23</v>
      </c>
      <c r="Z3527" t="s">
        <v>59</v>
      </c>
      <c r="AA3527" t="s">
        <v>59</v>
      </c>
      <c r="AB3527" t="s">
        <v>59</v>
      </c>
      <c r="AC3527" t="s">
        <v>59</v>
      </c>
      <c r="AD3527" t="s">
        <v>59</v>
      </c>
      <c r="AF3527" s="1">
        <v>43348</v>
      </c>
      <c r="AG3527" t="s">
        <v>345</v>
      </c>
      <c r="AH3527" t="s">
        <v>346</v>
      </c>
      <c r="AI3527" t="str">
        <f>"5059001"</f>
        <v>5059001</v>
      </c>
      <c r="AJ3527" t="s">
        <v>6742</v>
      </c>
      <c r="AK3527">
        <v>2822041102</v>
      </c>
      <c r="AL3527" t="s">
        <v>6743</v>
      </c>
      <c r="AM3527" t="s">
        <v>88</v>
      </c>
      <c r="AN3527" t="s">
        <v>6744</v>
      </c>
      <c r="AO3527" t="s">
        <v>6744</v>
      </c>
      <c r="AP3527" t="s">
        <v>6744</v>
      </c>
      <c r="AQ3527">
        <v>1</v>
      </c>
      <c r="AR3527" t="s">
        <v>6729</v>
      </c>
      <c r="AS3527" t="s">
        <v>6730</v>
      </c>
      <c r="AT3527" t="s">
        <v>58</v>
      </c>
      <c r="AU3527" t="s">
        <v>350</v>
      </c>
      <c r="AV3527" t="s">
        <v>132</v>
      </c>
      <c r="AW3527" s="1">
        <v>30045</v>
      </c>
      <c r="AX3527">
        <v>2</v>
      </c>
    </row>
    <row r="3528" spans="1:50">
      <c r="A3528">
        <v>222792</v>
      </c>
      <c r="B3528" t="str">
        <f>"075218020"</f>
        <v>075218020</v>
      </c>
      <c r="C3528" t="s">
        <v>50</v>
      </c>
      <c r="D3528" t="s">
        <v>187</v>
      </c>
      <c r="E3528" t="s">
        <v>6745</v>
      </c>
      <c r="F3528" t="s">
        <v>99</v>
      </c>
      <c r="G3528" t="s">
        <v>237</v>
      </c>
      <c r="H3528" t="str">
        <f>"ΓΙΑΜΠΟΥΔΑΚΗ  ΧΑΝΙΑ"</f>
        <v>ΓΙΑΜΠΟΥΔΑΚΗ  ΧΑΝΙΑ</v>
      </c>
      <c r="I3528">
        <v>73100</v>
      </c>
      <c r="J3528">
        <v>2821031835</v>
      </c>
      <c r="K3528">
        <v>6976562362</v>
      </c>
      <c r="N3528" t="s">
        <v>292</v>
      </c>
      <c r="O3528" t="s">
        <v>293</v>
      </c>
      <c r="R3528" t="s">
        <v>57</v>
      </c>
      <c r="S3528">
        <v>6</v>
      </c>
      <c r="T3528">
        <v>775</v>
      </c>
      <c r="U3528" s="1">
        <v>39680</v>
      </c>
      <c r="V3528" t="s">
        <v>6729</v>
      </c>
      <c r="W3528" t="s">
        <v>6730</v>
      </c>
      <c r="X3528" t="s">
        <v>58</v>
      </c>
      <c r="Y3528">
        <v>20</v>
      </c>
      <c r="Z3528" t="s">
        <v>59</v>
      </c>
      <c r="AA3528" t="s">
        <v>59</v>
      </c>
      <c r="AB3528" t="s">
        <v>59</v>
      </c>
      <c r="AC3528" t="s">
        <v>59</v>
      </c>
      <c r="AD3528" t="s">
        <v>59</v>
      </c>
      <c r="AF3528" s="1">
        <v>39681</v>
      </c>
      <c r="AG3528" t="s">
        <v>148</v>
      </c>
      <c r="AH3528" t="s">
        <v>149</v>
      </c>
      <c r="AI3528" t="str">
        <f>"5061010"</f>
        <v>5061010</v>
      </c>
      <c r="AJ3528" t="s">
        <v>6746</v>
      </c>
      <c r="AK3528">
        <v>2821081530</v>
      </c>
      <c r="AL3528" t="s">
        <v>6747</v>
      </c>
      <c r="AM3528" t="s">
        <v>88</v>
      </c>
      <c r="AN3528" t="s">
        <v>88</v>
      </c>
      <c r="AO3528" t="s">
        <v>6748</v>
      </c>
      <c r="AP3528" t="s">
        <v>6748</v>
      </c>
      <c r="AQ3528">
        <v>1</v>
      </c>
      <c r="AR3528" t="s">
        <v>6729</v>
      </c>
      <c r="AS3528" t="s">
        <v>6730</v>
      </c>
      <c r="AT3528" t="s">
        <v>58</v>
      </c>
      <c r="AU3528" t="s">
        <v>68</v>
      </c>
      <c r="AV3528" t="s">
        <v>357</v>
      </c>
      <c r="AW3528" s="1">
        <v>26379</v>
      </c>
      <c r="AX3528">
        <v>2</v>
      </c>
    </row>
    <row r="3529" spans="1:50">
      <c r="A3529">
        <v>192148</v>
      </c>
      <c r="B3529" t="str">
        <f>"054363283"</f>
        <v>054363283</v>
      </c>
      <c r="C3529" t="s">
        <v>105</v>
      </c>
      <c r="D3529" t="s">
        <v>197</v>
      </c>
      <c r="E3529" t="s">
        <v>72</v>
      </c>
      <c r="F3529" t="s">
        <v>95</v>
      </c>
      <c r="G3529" t="s">
        <v>255</v>
      </c>
      <c r="H3529" t="str">
        <f>" "</f>
        <v xml:space="preserve"> </v>
      </c>
      <c r="M3529" t="s">
        <v>6749</v>
      </c>
      <c r="N3529" t="s">
        <v>168</v>
      </c>
      <c r="O3529" t="s">
        <v>169</v>
      </c>
      <c r="R3529" t="s">
        <v>57</v>
      </c>
      <c r="S3529">
        <v>8</v>
      </c>
      <c r="T3529">
        <v>291</v>
      </c>
      <c r="U3529" s="1">
        <v>37218</v>
      </c>
      <c r="V3529" t="s">
        <v>6729</v>
      </c>
      <c r="W3529" t="s">
        <v>6730</v>
      </c>
      <c r="X3529" t="s">
        <v>58</v>
      </c>
      <c r="Y3529">
        <v>20</v>
      </c>
      <c r="Z3529" t="s">
        <v>59</v>
      </c>
      <c r="AA3529" t="s">
        <v>59</v>
      </c>
      <c r="AB3529" t="s">
        <v>59</v>
      </c>
      <c r="AC3529" t="s">
        <v>59</v>
      </c>
      <c r="AD3529" t="s">
        <v>59</v>
      </c>
      <c r="AF3529" s="1">
        <v>37222</v>
      </c>
      <c r="AG3529" t="s">
        <v>137</v>
      </c>
      <c r="AH3529" t="s">
        <v>138</v>
      </c>
      <c r="AI3529" t="str">
        <f>"5040050"</f>
        <v>5040050</v>
      </c>
      <c r="AJ3529" t="s">
        <v>6750</v>
      </c>
      <c r="AK3529">
        <v>2821043147</v>
      </c>
      <c r="AL3529" t="s">
        <v>6751</v>
      </c>
      <c r="AM3529" t="s">
        <v>88</v>
      </c>
      <c r="AN3529" t="s">
        <v>88</v>
      </c>
      <c r="AO3529" t="s">
        <v>88</v>
      </c>
      <c r="AP3529" t="s">
        <v>88</v>
      </c>
      <c r="AQ3529">
        <v>1</v>
      </c>
      <c r="AR3529" t="s">
        <v>6729</v>
      </c>
      <c r="AS3529" t="s">
        <v>6730</v>
      </c>
      <c r="AT3529" t="s">
        <v>58</v>
      </c>
      <c r="AU3529" t="s">
        <v>68</v>
      </c>
      <c r="AV3529" t="s">
        <v>69</v>
      </c>
      <c r="AW3529" s="1">
        <v>23679</v>
      </c>
      <c r="AX3529">
        <v>2</v>
      </c>
    </row>
    <row r="3530" spans="1:50">
      <c r="A3530">
        <v>220131</v>
      </c>
      <c r="B3530" t="str">
        <f>"067077937"</f>
        <v>067077937</v>
      </c>
      <c r="C3530" t="s">
        <v>105</v>
      </c>
      <c r="D3530" t="s">
        <v>3104</v>
      </c>
      <c r="E3530" t="s">
        <v>92</v>
      </c>
      <c r="F3530" t="s">
        <v>510</v>
      </c>
      <c r="G3530" t="s">
        <v>155</v>
      </c>
      <c r="H3530" t="str">
        <f>"Ν. ΚΑΖΑΝΤΖΑΚΗ 20 ΑΓ. ΑΠΟΣΤΟΛΟΙ, ΧΑΝΙΑ"</f>
        <v>Ν. ΚΑΖΑΝΤΖΑΚΗ 20 ΑΓ. ΑΠΟΣΤΟΛΟΙ, ΧΑΝΙΑ</v>
      </c>
      <c r="I3530">
        <v>73100</v>
      </c>
      <c r="K3530">
        <v>6972803104</v>
      </c>
      <c r="M3530" t="s">
        <v>6752</v>
      </c>
      <c r="N3530" t="s">
        <v>587</v>
      </c>
      <c r="O3530" t="s">
        <v>588</v>
      </c>
      <c r="P3530" t="s">
        <v>199</v>
      </c>
      <c r="Q3530" t="s">
        <v>200</v>
      </c>
      <c r="R3530" t="s">
        <v>57</v>
      </c>
      <c r="S3530">
        <v>5</v>
      </c>
      <c r="T3530">
        <v>599</v>
      </c>
      <c r="U3530" s="1">
        <v>39310</v>
      </c>
      <c r="V3530" t="s">
        <v>6729</v>
      </c>
      <c r="W3530" t="s">
        <v>6730</v>
      </c>
      <c r="X3530" t="s">
        <v>58</v>
      </c>
      <c r="Y3530">
        <v>21</v>
      </c>
      <c r="Z3530" t="s">
        <v>59</v>
      </c>
      <c r="AA3530" t="s">
        <v>59</v>
      </c>
      <c r="AB3530" t="s">
        <v>59</v>
      </c>
      <c r="AC3530" t="s">
        <v>59</v>
      </c>
      <c r="AD3530" t="s">
        <v>59</v>
      </c>
      <c r="AF3530" s="1">
        <v>39330</v>
      </c>
      <c r="AG3530" t="s">
        <v>137</v>
      </c>
      <c r="AH3530" t="s">
        <v>138</v>
      </c>
      <c r="AI3530" t="str">
        <f>"5040080"</f>
        <v>5040080</v>
      </c>
      <c r="AJ3530" t="s">
        <v>6753</v>
      </c>
      <c r="AK3530">
        <v>2821093155</v>
      </c>
      <c r="AL3530" t="s">
        <v>6754</v>
      </c>
      <c r="AM3530" t="s">
        <v>88</v>
      </c>
      <c r="AN3530" t="s">
        <v>88</v>
      </c>
      <c r="AO3530" t="s">
        <v>6733</v>
      </c>
      <c r="AP3530" t="s">
        <v>6755</v>
      </c>
      <c r="AQ3530">
        <v>1</v>
      </c>
      <c r="AR3530" t="s">
        <v>6729</v>
      </c>
      <c r="AS3530" t="s">
        <v>6730</v>
      </c>
      <c r="AT3530" t="s">
        <v>58</v>
      </c>
      <c r="AU3530" t="s">
        <v>68</v>
      </c>
      <c r="AV3530" t="s">
        <v>69</v>
      </c>
      <c r="AW3530" s="1">
        <v>27674</v>
      </c>
      <c r="AX3530">
        <v>2</v>
      </c>
    </row>
    <row r="3531" spans="1:50">
      <c r="A3531">
        <v>188942</v>
      </c>
      <c r="B3531" t="str">
        <f>"049552550"</f>
        <v>049552550</v>
      </c>
      <c r="C3531" t="s">
        <v>50</v>
      </c>
      <c r="D3531" t="s">
        <v>245</v>
      </c>
      <c r="E3531" t="s">
        <v>73</v>
      </c>
      <c r="F3531" t="s">
        <v>72</v>
      </c>
      <c r="G3531" t="s">
        <v>250</v>
      </c>
      <c r="H3531" t="str">
        <f>" "</f>
        <v xml:space="preserve"> </v>
      </c>
      <c r="M3531" t="s">
        <v>6756</v>
      </c>
      <c r="N3531" t="s">
        <v>204</v>
      </c>
      <c r="O3531" t="s">
        <v>205</v>
      </c>
      <c r="R3531" t="s">
        <v>57</v>
      </c>
      <c r="S3531">
        <v>11</v>
      </c>
      <c r="T3531">
        <v>234</v>
      </c>
      <c r="U3531" s="1">
        <v>36404</v>
      </c>
      <c r="V3531" t="s">
        <v>6729</v>
      </c>
      <c r="W3531" t="s">
        <v>6730</v>
      </c>
      <c r="X3531" t="s">
        <v>58</v>
      </c>
      <c r="Y3531">
        <v>18</v>
      </c>
      <c r="Z3531" t="s">
        <v>59</v>
      </c>
      <c r="AA3531" t="s">
        <v>59</v>
      </c>
      <c r="AB3531" t="s">
        <v>59</v>
      </c>
      <c r="AC3531" t="s">
        <v>59</v>
      </c>
      <c r="AD3531" t="s">
        <v>59</v>
      </c>
      <c r="AF3531" s="1">
        <v>36514</v>
      </c>
      <c r="AG3531" t="s">
        <v>137</v>
      </c>
      <c r="AH3531" t="s">
        <v>138</v>
      </c>
      <c r="AI3531" t="str">
        <f>"5040090"</f>
        <v>5040090</v>
      </c>
      <c r="AJ3531" t="s">
        <v>6757</v>
      </c>
      <c r="AK3531">
        <v>2822022275</v>
      </c>
      <c r="AL3531" t="s">
        <v>6758</v>
      </c>
      <c r="AM3531" t="s">
        <v>88</v>
      </c>
      <c r="AN3531" t="s">
        <v>6744</v>
      </c>
      <c r="AO3531" t="s">
        <v>6744</v>
      </c>
      <c r="AP3531" t="s">
        <v>6744</v>
      </c>
      <c r="AQ3531">
        <v>1</v>
      </c>
      <c r="AR3531" t="s">
        <v>6729</v>
      </c>
      <c r="AS3531" t="s">
        <v>6730</v>
      </c>
      <c r="AT3531" t="s">
        <v>58</v>
      </c>
      <c r="AU3531" t="s">
        <v>68</v>
      </c>
      <c r="AV3531" t="s">
        <v>69</v>
      </c>
      <c r="AW3531" s="1">
        <v>25199</v>
      </c>
      <c r="AX3531">
        <v>2</v>
      </c>
    </row>
    <row r="3532" spans="1:50">
      <c r="A3532">
        <v>217731</v>
      </c>
      <c r="B3532" t="str">
        <f>"046187086"</f>
        <v>046187086</v>
      </c>
      <c r="C3532" t="s">
        <v>105</v>
      </c>
      <c r="D3532" t="s">
        <v>272</v>
      </c>
      <c r="E3532" t="s">
        <v>99</v>
      </c>
      <c r="F3532" t="s">
        <v>2184</v>
      </c>
      <c r="G3532" t="s">
        <v>314</v>
      </c>
      <c r="H3532" t="str">
        <f>"ΚΝΩΣΣΟΥ 15 Αμπερια"</f>
        <v>ΚΝΩΣΣΟΥ 15 Αμπερια</v>
      </c>
      <c r="I3532">
        <v>73134</v>
      </c>
      <c r="J3532">
        <v>2821059080</v>
      </c>
      <c r="K3532">
        <v>6974102243</v>
      </c>
      <c r="M3532" t="s">
        <v>6759</v>
      </c>
      <c r="N3532" t="s">
        <v>292</v>
      </c>
      <c r="O3532" t="s">
        <v>293</v>
      </c>
      <c r="R3532" t="s">
        <v>57</v>
      </c>
      <c r="S3532">
        <v>8</v>
      </c>
      <c r="T3532">
        <v>599</v>
      </c>
      <c r="U3532" s="1">
        <v>39310</v>
      </c>
      <c r="V3532" t="s">
        <v>6729</v>
      </c>
      <c r="W3532" t="s">
        <v>6730</v>
      </c>
      <c r="X3532" t="s">
        <v>58</v>
      </c>
      <c r="Y3532">
        <v>20</v>
      </c>
      <c r="Z3532" t="s">
        <v>59</v>
      </c>
      <c r="AA3532" t="s">
        <v>59</v>
      </c>
      <c r="AB3532" t="s">
        <v>59</v>
      </c>
      <c r="AC3532" t="s">
        <v>59</v>
      </c>
      <c r="AD3532" t="s">
        <v>59</v>
      </c>
      <c r="AF3532" s="1">
        <v>39328</v>
      </c>
      <c r="AG3532" t="s">
        <v>148</v>
      </c>
      <c r="AH3532" t="s">
        <v>149</v>
      </c>
      <c r="AI3532" t="str">
        <f>"5051030"</f>
        <v>5051030</v>
      </c>
      <c r="AJ3532" t="s">
        <v>6760</v>
      </c>
      <c r="AK3532">
        <v>2821027533</v>
      </c>
      <c r="AL3532" t="s">
        <v>6761</v>
      </c>
      <c r="AM3532" t="s">
        <v>88</v>
      </c>
      <c r="AN3532" t="s">
        <v>88</v>
      </c>
      <c r="AO3532" t="s">
        <v>88</v>
      </c>
      <c r="AP3532" t="s">
        <v>88</v>
      </c>
      <c r="AQ3532">
        <v>1</v>
      </c>
      <c r="AR3532" t="s">
        <v>6729</v>
      </c>
      <c r="AS3532" t="s">
        <v>6730</v>
      </c>
      <c r="AT3532" t="s">
        <v>58</v>
      </c>
      <c r="AU3532" t="s">
        <v>68</v>
      </c>
      <c r="AV3532" t="s">
        <v>69</v>
      </c>
      <c r="AW3532" s="1">
        <v>24928</v>
      </c>
      <c r="AX3532">
        <v>2</v>
      </c>
    </row>
    <row r="3533" spans="1:50">
      <c r="A3533">
        <v>223588</v>
      </c>
      <c r="B3533" t="str">
        <f>"045489484"</f>
        <v>045489484</v>
      </c>
      <c r="C3533" t="s">
        <v>105</v>
      </c>
      <c r="D3533" t="s">
        <v>278</v>
      </c>
      <c r="E3533" t="s">
        <v>1111</v>
      </c>
      <c r="F3533" t="s">
        <v>95</v>
      </c>
      <c r="G3533" t="s">
        <v>73</v>
      </c>
      <c r="H3533" t="str">
        <f>" "</f>
        <v xml:space="preserve"> </v>
      </c>
      <c r="J3533">
        <v>2310680117</v>
      </c>
      <c r="K3533">
        <v>6937521896</v>
      </c>
      <c r="N3533" t="s">
        <v>199</v>
      </c>
      <c r="O3533" t="s">
        <v>200</v>
      </c>
      <c r="R3533" t="s">
        <v>57</v>
      </c>
      <c r="S3533">
        <v>7</v>
      </c>
      <c r="T3533">
        <v>775</v>
      </c>
      <c r="U3533" s="1">
        <v>39680</v>
      </c>
      <c r="V3533" t="s">
        <v>6729</v>
      </c>
      <c r="W3533" t="s">
        <v>6730</v>
      </c>
      <c r="X3533" t="s">
        <v>58</v>
      </c>
      <c r="Y3533">
        <v>21</v>
      </c>
      <c r="Z3533" t="s">
        <v>59</v>
      </c>
      <c r="AA3533" t="s">
        <v>59</v>
      </c>
      <c r="AB3533" t="s">
        <v>59</v>
      </c>
      <c r="AC3533" t="s">
        <v>59</v>
      </c>
      <c r="AD3533" t="s">
        <v>59</v>
      </c>
      <c r="AF3533" s="1">
        <v>39682</v>
      </c>
      <c r="AG3533" t="s">
        <v>148</v>
      </c>
      <c r="AH3533" t="s">
        <v>149</v>
      </c>
      <c r="AI3533" t="str">
        <f>"5056010"</f>
        <v>5056010</v>
      </c>
      <c r="AJ3533" t="s">
        <v>6762</v>
      </c>
      <c r="AK3533">
        <v>2824031210</v>
      </c>
      <c r="AL3533" t="s">
        <v>6763</v>
      </c>
      <c r="AM3533" t="s">
        <v>88</v>
      </c>
      <c r="AN3533" t="s">
        <v>6764</v>
      </c>
      <c r="AO3533" t="s">
        <v>6765</v>
      </c>
      <c r="AP3533" t="s">
        <v>6765</v>
      </c>
      <c r="AQ3533">
        <v>1</v>
      </c>
      <c r="AR3533" t="s">
        <v>6729</v>
      </c>
      <c r="AS3533" t="s">
        <v>6730</v>
      </c>
      <c r="AT3533" t="s">
        <v>58</v>
      </c>
      <c r="AU3533" t="s">
        <v>68</v>
      </c>
      <c r="AV3533" t="s">
        <v>69</v>
      </c>
      <c r="AW3533" s="1">
        <v>25586</v>
      </c>
      <c r="AX3533">
        <v>2</v>
      </c>
    </row>
    <row r="3534" spans="1:50">
      <c r="A3534">
        <v>163841</v>
      </c>
      <c r="B3534" t="str">
        <f>"036243542"</f>
        <v>036243542</v>
      </c>
      <c r="C3534" t="s">
        <v>50</v>
      </c>
      <c r="D3534" t="s">
        <v>6766</v>
      </c>
      <c r="E3534" t="s">
        <v>255</v>
      </c>
      <c r="F3534" t="s">
        <v>95</v>
      </c>
      <c r="G3534" t="s">
        <v>6767</v>
      </c>
      <c r="H3534" t="str">
        <f>"ΦΙΩΤΑΚΗ 10 ΣΟΔΥ-ΠΡ. ΗΛΙΑ"</f>
        <v>ΦΙΩΤΑΚΗ 10 ΣΟΔΥ-ΠΡ. ΗΛΙΑ</v>
      </c>
      <c r="I3534">
        <v>73133</v>
      </c>
      <c r="J3534">
        <v>2821053449</v>
      </c>
      <c r="K3534">
        <v>6979853142</v>
      </c>
      <c r="N3534" t="s">
        <v>146</v>
      </c>
      <c r="O3534" t="s">
        <v>147</v>
      </c>
      <c r="R3534" t="s">
        <v>57</v>
      </c>
      <c r="S3534">
        <v>13</v>
      </c>
      <c r="T3534">
        <v>161</v>
      </c>
      <c r="U3534" s="1">
        <v>33844</v>
      </c>
      <c r="V3534" t="s">
        <v>6729</v>
      </c>
      <c r="W3534" t="s">
        <v>6730</v>
      </c>
      <c r="X3534" t="s">
        <v>58</v>
      </c>
      <c r="Y3534">
        <v>18</v>
      </c>
      <c r="Z3534" t="s">
        <v>59</v>
      </c>
      <c r="AA3534" t="s">
        <v>59</v>
      </c>
      <c r="AB3534" t="s">
        <v>59</v>
      </c>
      <c r="AC3534" t="s">
        <v>59</v>
      </c>
      <c r="AD3534" t="s">
        <v>59</v>
      </c>
      <c r="AF3534" s="1">
        <v>33848</v>
      </c>
      <c r="AG3534" t="s">
        <v>125</v>
      </c>
      <c r="AH3534" t="s">
        <v>126</v>
      </c>
      <c r="AI3534" t="str">
        <f>"5001075"</f>
        <v>5001075</v>
      </c>
      <c r="AJ3534" t="s">
        <v>6768</v>
      </c>
      <c r="AK3534">
        <v>2821064200</v>
      </c>
      <c r="AL3534" t="s">
        <v>6769</v>
      </c>
      <c r="AM3534" t="s">
        <v>88</v>
      </c>
      <c r="AN3534" t="s">
        <v>88</v>
      </c>
      <c r="AO3534" t="s">
        <v>6770</v>
      </c>
      <c r="AP3534" t="s">
        <v>6771</v>
      </c>
      <c r="AQ3534">
        <v>1</v>
      </c>
      <c r="AR3534" t="s">
        <v>6729</v>
      </c>
      <c r="AS3534" t="s">
        <v>6730</v>
      </c>
      <c r="AT3534" t="s">
        <v>58</v>
      </c>
      <c r="AU3534" t="s">
        <v>68</v>
      </c>
      <c r="AV3534" t="s">
        <v>69</v>
      </c>
      <c r="AW3534" s="1">
        <v>22720</v>
      </c>
      <c r="AX3534">
        <v>2</v>
      </c>
    </row>
    <row r="3535" spans="1:50">
      <c r="A3535">
        <v>199018</v>
      </c>
      <c r="B3535" t="str">
        <f>"037887308"</f>
        <v>037887308</v>
      </c>
      <c r="C3535" t="s">
        <v>105</v>
      </c>
      <c r="D3535" t="s">
        <v>6772</v>
      </c>
      <c r="E3535" t="s">
        <v>309</v>
      </c>
      <c r="F3535" t="s">
        <v>1357</v>
      </c>
      <c r="G3535" t="s">
        <v>155</v>
      </c>
      <c r="H3535" t="str">
        <f>"ΚΑΜΠΑΝΙ "</f>
        <v xml:space="preserve">ΚΑΜΠΑΝΙ </v>
      </c>
      <c r="I3535">
        <v>73100</v>
      </c>
      <c r="J3535">
        <v>2821041582</v>
      </c>
      <c r="K3535">
        <v>6972524655</v>
      </c>
      <c r="N3535" t="s">
        <v>176</v>
      </c>
      <c r="O3535" t="s">
        <v>177</v>
      </c>
      <c r="R3535" t="s">
        <v>57</v>
      </c>
      <c r="S3535">
        <v>8</v>
      </c>
      <c r="T3535">
        <v>206</v>
      </c>
      <c r="U3535" s="1">
        <v>37866</v>
      </c>
      <c r="V3535" t="s">
        <v>6729</v>
      </c>
      <c r="W3535" t="s">
        <v>6730</v>
      </c>
      <c r="X3535" t="s">
        <v>58</v>
      </c>
      <c r="Y3535">
        <v>20</v>
      </c>
      <c r="Z3535" t="s">
        <v>59</v>
      </c>
      <c r="AA3535" t="s">
        <v>59</v>
      </c>
      <c r="AB3535" t="s">
        <v>59</v>
      </c>
      <c r="AC3535" t="s">
        <v>59</v>
      </c>
      <c r="AD3535" t="s">
        <v>59</v>
      </c>
      <c r="AF3535" s="1">
        <v>37866</v>
      </c>
      <c r="AG3535" t="s">
        <v>125</v>
      </c>
      <c r="AH3535" t="s">
        <v>126</v>
      </c>
      <c r="AI3535" t="str">
        <f>"5002010"</f>
        <v>5002010</v>
      </c>
      <c r="AJ3535" t="s">
        <v>6773</v>
      </c>
      <c r="AK3535">
        <v>2825022249</v>
      </c>
      <c r="AL3535" t="s">
        <v>6774</v>
      </c>
      <c r="AM3535" t="s">
        <v>88</v>
      </c>
      <c r="AN3535" t="s">
        <v>6775</v>
      </c>
      <c r="AO3535" t="s">
        <v>6776</v>
      </c>
      <c r="AP3535" t="s">
        <v>6776</v>
      </c>
      <c r="AQ3535">
        <v>1</v>
      </c>
      <c r="AR3535" t="s">
        <v>6729</v>
      </c>
      <c r="AS3535" t="s">
        <v>6730</v>
      </c>
      <c r="AT3535" t="s">
        <v>58</v>
      </c>
      <c r="AU3535" t="s">
        <v>68</v>
      </c>
      <c r="AV3535" t="s">
        <v>69</v>
      </c>
      <c r="AW3535" s="1">
        <v>24747</v>
      </c>
      <c r="AX3535">
        <v>2</v>
      </c>
    </row>
    <row r="3536" spans="1:50">
      <c r="A3536">
        <v>217398</v>
      </c>
      <c r="B3536" t="str">
        <f>"057894630"</f>
        <v>057894630</v>
      </c>
      <c r="C3536" t="s">
        <v>50</v>
      </c>
      <c r="D3536" t="s">
        <v>287</v>
      </c>
      <c r="E3536" t="s">
        <v>681</v>
      </c>
      <c r="F3536" t="s">
        <v>72</v>
      </c>
      <c r="G3536" t="s">
        <v>6777</v>
      </c>
      <c r="H3536" t="str">
        <f>"ΚΡΑΠΗΣ 6 "</f>
        <v xml:space="preserve">ΚΡΑΠΗΣ 6 </v>
      </c>
      <c r="I3536">
        <v>73133</v>
      </c>
      <c r="J3536">
        <v>2821055332</v>
      </c>
      <c r="K3536">
        <v>6972020996</v>
      </c>
      <c r="M3536" t="s">
        <v>6778</v>
      </c>
      <c r="N3536" t="s">
        <v>146</v>
      </c>
      <c r="O3536" t="s">
        <v>147</v>
      </c>
      <c r="R3536" t="s">
        <v>57</v>
      </c>
      <c r="S3536">
        <v>6</v>
      </c>
      <c r="T3536">
        <v>599</v>
      </c>
      <c r="U3536" s="1">
        <v>39310</v>
      </c>
      <c r="V3536" t="s">
        <v>6729</v>
      </c>
      <c r="W3536" t="s">
        <v>6730</v>
      </c>
      <c r="X3536" t="s">
        <v>58</v>
      </c>
      <c r="Y3536">
        <v>20</v>
      </c>
      <c r="Z3536" t="s">
        <v>59</v>
      </c>
      <c r="AA3536" t="s">
        <v>59</v>
      </c>
      <c r="AB3536" t="s">
        <v>59</v>
      </c>
      <c r="AC3536" t="s">
        <v>59</v>
      </c>
      <c r="AD3536" t="s">
        <v>59</v>
      </c>
      <c r="AF3536" s="1">
        <v>39329</v>
      </c>
      <c r="AG3536" t="s">
        <v>125</v>
      </c>
      <c r="AH3536" t="s">
        <v>126</v>
      </c>
      <c r="AI3536" t="str">
        <f>"5010010"</f>
        <v>5010010</v>
      </c>
      <c r="AJ3536" t="s">
        <v>6779</v>
      </c>
      <c r="AK3536">
        <v>2825051288</v>
      </c>
      <c r="AL3536" t="s">
        <v>6780</v>
      </c>
      <c r="AM3536" t="s">
        <v>88</v>
      </c>
      <c r="AN3536" t="s">
        <v>6775</v>
      </c>
      <c r="AO3536" t="s">
        <v>6781</v>
      </c>
      <c r="AP3536" t="s">
        <v>6782</v>
      </c>
      <c r="AQ3536">
        <v>1</v>
      </c>
      <c r="AR3536" t="s">
        <v>6729</v>
      </c>
      <c r="AS3536" t="s">
        <v>6730</v>
      </c>
      <c r="AT3536" t="s">
        <v>58</v>
      </c>
      <c r="AU3536" t="s">
        <v>68</v>
      </c>
      <c r="AV3536" t="s">
        <v>69</v>
      </c>
      <c r="AW3536" s="1">
        <v>26174</v>
      </c>
      <c r="AX3536">
        <v>2</v>
      </c>
    </row>
    <row r="3537" spans="1:50">
      <c r="A3537">
        <v>168566</v>
      </c>
      <c r="B3537" t="str">
        <f>"043111793"</f>
        <v>043111793</v>
      </c>
      <c r="C3537" t="s">
        <v>105</v>
      </c>
      <c r="D3537" t="s">
        <v>308</v>
      </c>
      <c r="E3537" t="s">
        <v>154</v>
      </c>
      <c r="F3537" t="s">
        <v>72</v>
      </c>
      <c r="G3537" t="s">
        <v>83</v>
      </c>
      <c r="H3537" t="str">
        <f>" "</f>
        <v xml:space="preserve"> </v>
      </c>
      <c r="K3537">
        <v>6946589653</v>
      </c>
      <c r="N3537" t="s">
        <v>299</v>
      </c>
      <c r="O3537" t="s">
        <v>300</v>
      </c>
      <c r="R3537" t="s">
        <v>57</v>
      </c>
      <c r="S3537">
        <v>19</v>
      </c>
      <c r="T3537">
        <v>159</v>
      </c>
      <c r="U3537" s="1">
        <v>34582</v>
      </c>
      <c r="V3537" t="s">
        <v>6729</v>
      </c>
      <c r="W3537" t="s">
        <v>6730</v>
      </c>
      <c r="X3537" t="s">
        <v>58</v>
      </c>
      <c r="Y3537">
        <v>18</v>
      </c>
      <c r="Z3537" t="s">
        <v>59</v>
      </c>
      <c r="AA3537" t="s">
        <v>59</v>
      </c>
      <c r="AB3537" t="s">
        <v>59</v>
      </c>
      <c r="AC3537" t="s">
        <v>59</v>
      </c>
      <c r="AD3537" t="s">
        <v>59</v>
      </c>
      <c r="AF3537" s="1">
        <v>34586</v>
      </c>
      <c r="AG3537" t="s">
        <v>148</v>
      </c>
      <c r="AH3537" t="s">
        <v>149</v>
      </c>
      <c r="AI3537" t="str">
        <f>"5062010"</f>
        <v>5062010</v>
      </c>
      <c r="AJ3537" t="s">
        <v>6783</v>
      </c>
      <c r="AK3537">
        <v>2821031620</v>
      </c>
      <c r="AL3537" t="s">
        <v>6784</v>
      </c>
      <c r="AM3537" t="s">
        <v>88</v>
      </c>
      <c r="AN3537" t="s">
        <v>88</v>
      </c>
      <c r="AO3537" t="s">
        <v>6785</v>
      </c>
      <c r="AP3537" t="s">
        <v>6786</v>
      </c>
      <c r="AQ3537">
        <v>1</v>
      </c>
      <c r="AR3537" t="s">
        <v>6729</v>
      </c>
      <c r="AS3537" t="s">
        <v>6730</v>
      </c>
      <c r="AT3537" t="s">
        <v>58</v>
      </c>
      <c r="AU3537" t="s">
        <v>68</v>
      </c>
      <c r="AV3537" t="s">
        <v>69</v>
      </c>
      <c r="AW3537" s="1">
        <v>22944</v>
      </c>
      <c r="AX3537">
        <v>2</v>
      </c>
    </row>
    <row r="3538" spans="1:50">
      <c r="A3538">
        <v>194131</v>
      </c>
      <c r="B3538" t="str">
        <f>"042872652"</f>
        <v>042872652</v>
      </c>
      <c r="C3538" t="s">
        <v>105</v>
      </c>
      <c r="D3538" t="s">
        <v>308</v>
      </c>
      <c r="E3538" t="s">
        <v>95</v>
      </c>
      <c r="F3538" t="s">
        <v>72</v>
      </c>
      <c r="G3538" t="s">
        <v>83</v>
      </c>
      <c r="H3538" t="str">
        <f>"ΧΑΛΗΔΩΝ 25 "</f>
        <v xml:space="preserve">ΧΑΛΗΔΩΝ 25 </v>
      </c>
      <c r="I3538">
        <v>73100</v>
      </c>
      <c r="J3538">
        <v>2821054422</v>
      </c>
      <c r="K3538">
        <v>6973496650</v>
      </c>
      <c r="M3538" t="s">
        <v>6787</v>
      </c>
      <c r="N3538" t="s">
        <v>299</v>
      </c>
      <c r="O3538" t="s">
        <v>300</v>
      </c>
      <c r="R3538" t="s">
        <v>57</v>
      </c>
      <c r="S3538">
        <v>10</v>
      </c>
      <c r="T3538">
        <v>193</v>
      </c>
      <c r="U3538" s="1">
        <v>37497</v>
      </c>
      <c r="V3538" t="s">
        <v>6729</v>
      </c>
      <c r="W3538" t="s">
        <v>6730</v>
      </c>
      <c r="X3538" t="s">
        <v>58</v>
      </c>
      <c r="Y3538">
        <v>18</v>
      </c>
      <c r="Z3538" t="s">
        <v>59</v>
      </c>
      <c r="AA3538" t="s">
        <v>59</v>
      </c>
      <c r="AB3538" t="s">
        <v>59</v>
      </c>
      <c r="AC3538" t="s">
        <v>59</v>
      </c>
      <c r="AD3538" t="s">
        <v>59</v>
      </c>
      <c r="AF3538" s="1">
        <v>37502</v>
      </c>
      <c r="AG3538" t="s">
        <v>137</v>
      </c>
      <c r="AH3538" t="s">
        <v>469</v>
      </c>
      <c r="AI3538" t="str">
        <f>"5053001"</f>
        <v>5053001</v>
      </c>
      <c r="AJ3538" t="s">
        <v>6788</v>
      </c>
      <c r="AK3538">
        <v>2821068020</v>
      </c>
      <c r="AM3538" t="s">
        <v>88</v>
      </c>
      <c r="AN3538" t="s">
        <v>6764</v>
      </c>
      <c r="AO3538" t="s">
        <v>6764</v>
      </c>
      <c r="AP3538" t="s">
        <v>6764</v>
      </c>
      <c r="AQ3538">
        <v>1</v>
      </c>
      <c r="AR3538" t="s">
        <v>6729</v>
      </c>
      <c r="AS3538" t="s">
        <v>6730</v>
      </c>
      <c r="AT3538" t="s">
        <v>58</v>
      </c>
      <c r="AU3538" t="s">
        <v>68</v>
      </c>
      <c r="AV3538" t="s">
        <v>69</v>
      </c>
      <c r="AW3538" s="1">
        <v>22003</v>
      </c>
      <c r="AX3538">
        <v>2</v>
      </c>
    </row>
    <row r="3539" spans="1:50">
      <c r="A3539">
        <v>161602</v>
      </c>
      <c r="B3539" t="str">
        <f>"037966895"</f>
        <v>037966895</v>
      </c>
      <c r="C3539" t="s">
        <v>105</v>
      </c>
      <c r="D3539" t="s">
        <v>6789</v>
      </c>
      <c r="E3539" t="s">
        <v>53</v>
      </c>
      <c r="F3539" t="s">
        <v>84</v>
      </c>
      <c r="G3539" t="s">
        <v>1078</v>
      </c>
      <c r="H3539" t="str">
        <f>" "</f>
        <v xml:space="preserve"> </v>
      </c>
      <c r="N3539" t="s">
        <v>331</v>
      </c>
      <c r="O3539" t="s">
        <v>332</v>
      </c>
      <c r="P3539" t="s">
        <v>615</v>
      </c>
      <c r="Q3539" t="s">
        <v>616</v>
      </c>
      <c r="R3539" t="s">
        <v>57</v>
      </c>
      <c r="S3539">
        <v>13</v>
      </c>
      <c r="T3539">
        <v>161</v>
      </c>
      <c r="U3539" s="1">
        <v>33119</v>
      </c>
      <c r="V3539" t="s">
        <v>6729</v>
      </c>
      <c r="W3539" t="s">
        <v>6730</v>
      </c>
      <c r="X3539" t="s">
        <v>58</v>
      </c>
      <c r="Y3539">
        <v>18</v>
      </c>
      <c r="Z3539" t="s">
        <v>59</v>
      </c>
      <c r="AA3539" t="s">
        <v>59</v>
      </c>
      <c r="AB3539" t="s">
        <v>59</v>
      </c>
      <c r="AC3539" t="s">
        <v>59</v>
      </c>
      <c r="AD3539" t="s">
        <v>59</v>
      </c>
      <c r="AF3539" s="1">
        <v>33120</v>
      </c>
      <c r="AG3539" t="s">
        <v>137</v>
      </c>
      <c r="AH3539" t="s">
        <v>138</v>
      </c>
      <c r="AI3539" t="str">
        <f>"5040100"</f>
        <v>5040100</v>
      </c>
      <c r="AJ3539" t="s">
        <v>6790</v>
      </c>
      <c r="AK3539">
        <v>2821058998</v>
      </c>
      <c r="AL3539" t="s">
        <v>6791</v>
      </c>
      <c r="AM3539" t="s">
        <v>88</v>
      </c>
      <c r="AN3539" t="s">
        <v>88</v>
      </c>
      <c r="AO3539" t="s">
        <v>6770</v>
      </c>
      <c r="AP3539" t="s">
        <v>6771</v>
      </c>
      <c r="AQ3539">
        <v>1</v>
      </c>
      <c r="AR3539" t="s">
        <v>6729</v>
      </c>
      <c r="AS3539" t="s">
        <v>6730</v>
      </c>
      <c r="AT3539" t="s">
        <v>58</v>
      </c>
      <c r="AU3539" t="s">
        <v>68</v>
      </c>
      <c r="AV3539" t="s">
        <v>69</v>
      </c>
      <c r="AW3539" s="1">
        <v>21913</v>
      </c>
      <c r="AX3539">
        <v>2</v>
      </c>
    </row>
    <row r="3540" spans="1:50">
      <c r="A3540">
        <v>214431</v>
      </c>
      <c r="B3540" t="str">
        <f>"075600294"</f>
        <v>075600294</v>
      </c>
      <c r="C3540" t="s">
        <v>50</v>
      </c>
      <c r="D3540" t="s">
        <v>313</v>
      </c>
      <c r="E3540" t="s">
        <v>964</v>
      </c>
      <c r="F3540" t="s">
        <v>72</v>
      </c>
      <c r="G3540" t="s">
        <v>83</v>
      </c>
      <c r="H3540" t="str">
        <f>"ΠΤΟΛΕΜΑΙΩΝ 20 ΕΥΟΣΜΟΣ"</f>
        <v>ΠΤΟΛΕΜΑΙΩΝ 20 ΕΥΟΣΜΟΣ</v>
      </c>
      <c r="I3540">
        <v>54624</v>
      </c>
      <c r="J3540">
        <v>2310668281</v>
      </c>
      <c r="K3540">
        <v>6976402158</v>
      </c>
      <c r="N3540" t="s">
        <v>176</v>
      </c>
      <c r="O3540" t="s">
        <v>177</v>
      </c>
      <c r="R3540" t="s">
        <v>57</v>
      </c>
      <c r="S3540">
        <v>7</v>
      </c>
      <c r="T3540">
        <v>231</v>
      </c>
      <c r="U3540" s="1">
        <v>38960</v>
      </c>
      <c r="V3540" t="s">
        <v>6729</v>
      </c>
      <c r="W3540" t="s">
        <v>6730</v>
      </c>
      <c r="X3540" t="s">
        <v>58</v>
      </c>
      <c r="Y3540">
        <v>20</v>
      </c>
      <c r="Z3540" t="s">
        <v>59</v>
      </c>
      <c r="AA3540" t="s">
        <v>59</v>
      </c>
      <c r="AB3540" t="s">
        <v>59</v>
      </c>
      <c r="AC3540" t="s">
        <v>59</v>
      </c>
      <c r="AD3540" t="s">
        <v>59</v>
      </c>
      <c r="AF3540" s="1">
        <v>38961</v>
      </c>
      <c r="AG3540" t="s">
        <v>60</v>
      </c>
      <c r="AH3540" t="s">
        <v>453</v>
      </c>
      <c r="AI3540" t="str">
        <f>"5000105"</f>
        <v>5000105</v>
      </c>
      <c r="AJ3540" t="s">
        <v>6730</v>
      </c>
      <c r="AK3540">
        <v>2821047144</v>
      </c>
      <c r="AL3540" t="s">
        <v>6792</v>
      </c>
      <c r="AM3540" t="s">
        <v>88</v>
      </c>
      <c r="AN3540" t="s">
        <v>88</v>
      </c>
      <c r="AO3540" t="s">
        <v>88</v>
      </c>
      <c r="AP3540" t="s">
        <v>88</v>
      </c>
      <c r="AS3540" t="s">
        <v>6730</v>
      </c>
      <c r="AT3540" t="s">
        <v>58</v>
      </c>
      <c r="AU3540" t="s">
        <v>68</v>
      </c>
      <c r="AV3540" t="s">
        <v>455</v>
      </c>
      <c r="AW3540" s="1">
        <v>25115</v>
      </c>
      <c r="AX3540">
        <v>2</v>
      </c>
    </row>
    <row r="3541" spans="1:50">
      <c r="A3541">
        <v>185679</v>
      </c>
      <c r="B3541" t="str">
        <f>"047446990"</f>
        <v>047446990</v>
      </c>
      <c r="C3541" t="s">
        <v>50</v>
      </c>
      <c r="D3541" t="s">
        <v>313</v>
      </c>
      <c r="E3541" t="s">
        <v>143</v>
      </c>
      <c r="F3541" t="s">
        <v>995</v>
      </c>
      <c r="G3541" t="s">
        <v>6793</v>
      </c>
      <c r="H3541" t="str">
        <f>" "</f>
        <v xml:space="preserve"> </v>
      </c>
      <c r="N3541" t="s">
        <v>146</v>
      </c>
      <c r="O3541" t="s">
        <v>147</v>
      </c>
      <c r="R3541" t="s">
        <v>57</v>
      </c>
      <c r="S3541">
        <v>15</v>
      </c>
      <c r="T3541">
        <v>250</v>
      </c>
      <c r="U3541" s="1">
        <v>36769</v>
      </c>
      <c r="V3541" t="s">
        <v>6729</v>
      </c>
      <c r="W3541" t="s">
        <v>6730</v>
      </c>
      <c r="X3541" t="s">
        <v>58</v>
      </c>
      <c r="Y3541">
        <v>20</v>
      </c>
      <c r="Z3541" t="s">
        <v>59</v>
      </c>
      <c r="AA3541" t="s">
        <v>59</v>
      </c>
      <c r="AB3541" t="s">
        <v>59</v>
      </c>
      <c r="AC3541" t="s">
        <v>59</v>
      </c>
      <c r="AD3541" t="s">
        <v>59</v>
      </c>
      <c r="AF3541" s="1">
        <v>36770</v>
      </c>
      <c r="AG3541" t="s">
        <v>125</v>
      </c>
      <c r="AH3541" t="s">
        <v>126</v>
      </c>
      <c r="AI3541" t="str">
        <f>"5012010"</f>
        <v>5012010</v>
      </c>
      <c r="AJ3541" t="s">
        <v>6794</v>
      </c>
      <c r="AK3541">
        <v>2821033195</v>
      </c>
      <c r="AL3541" t="s">
        <v>6795</v>
      </c>
      <c r="AM3541" t="s">
        <v>88</v>
      </c>
      <c r="AN3541" t="s">
        <v>88</v>
      </c>
      <c r="AO3541" t="s">
        <v>6785</v>
      </c>
      <c r="AP3541" t="s">
        <v>6786</v>
      </c>
      <c r="AQ3541">
        <v>1</v>
      </c>
      <c r="AR3541" t="s">
        <v>6729</v>
      </c>
      <c r="AS3541" t="s">
        <v>6730</v>
      </c>
      <c r="AT3541" t="s">
        <v>58</v>
      </c>
      <c r="AU3541" t="s">
        <v>68</v>
      </c>
      <c r="AV3541" t="s">
        <v>69</v>
      </c>
      <c r="AW3541" s="1">
        <v>27664</v>
      </c>
      <c r="AX3541">
        <v>2</v>
      </c>
    </row>
    <row r="3542" spans="1:50">
      <c r="A3542">
        <v>218648</v>
      </c>
      <c r="B3542" t="str">
        <f>"113183326"</f>
        <v>113183326</v>
      </c>
      <c r="C3542" t="s">
        <v>50</v>
      </c>
      <c r="D3542" t="s">
        <v>313</v>
      </c>
      <c r="E3542" t="s">
        <v>181</v>
      </c>
      <c r="F3542" t="s">
        <v>589</v>
      </c>
      <c r="G3542" t="s">
        <v>5434</v>
      </c>
      <c r="H3542" t="str">
        <f>"ΒΥΡΩΝΟΣ 5 "</f>
        <v xml:space="preserve">ΒΥΡΩΝΟΣ 5 </v>
      </c>
      <c r="I3542">
        <v>73100</v>
      </c>
      <c r="J3542">
        <v>2821057572</v>
      </c>
      <c r="K3542">
        <v>6973875222</v>
      </c>
      <c r="M3542" t="s">
        <v>6796</v>
      </c>
      <c r="N3542" t="s">
        <v>199</v>
      </c>
      <c r="O3542" t="s">
        <v>200</v>
      </c>
      <c r="R3542" t="s">
        <v>57</v>
      </c>
      <c r="S3542">
        <v>9</v>
      </c>
      <c r="T3542">
        <v>599</v>
      </c>
      <c r="U3542" s="1">
        <v>39310</v>
      </c>
      <c r="V3542" t="s">
        <v>6729</v>
      </c>
      <c r="W3542" t="s">
        <v>6730</v>
      </c>
      <c r="X3542" t="s">
        <v>58</v>
      </c>
      <c r="Y3542">
        <v>20</v>
      </c>
      <c r="Z3542" t="s">
        <v>59</v>
      </c>
      <c r="AA3542" t="s">
        <v>59</v>
      </c>
      <c r="AB3542" t="s">
        <v>59</v>
      </c>
      <c r="AC3542" t="s">
        <v>59</v>
      </c>
      <c r="AD3542" t="s">
        <v>59</v>
      </c>
      <c r="AF3542" s="1">
        <v>39330</v>
      </c>
      <c r="AG3542" t="s">
        <v>125</v>
      </c>
      <c r="AH3542" t="s">
        <v>126</v>
      </c>
      <c r="AI3542" t="str">
        <f>"5007010"</f>
        <v>5007010</v>
      </c>
      <c r="AJ3542" t="s">
        <v>6797</v>
      </c>
      <c r="AK3542">
        <v>2824022241</v>
      </c>
      <c r="AL3542" t="s">
        <v>6798</v>
      </c>
      <c r="AM3542" t="s">
        <v>88</v>
      </c>
      <c r="AN3542" t="s">
        <v>6764</v>
      </c>
      <c r="AO3542" t="s">
        <v>6799</v>
      </c>
      <c r="AP3542" t="s">
        <v>6799</v>
      </c>
      <c r="AQ3542">
        <v>1</v>
      </c>
      <c r="AR3542" t="s">
        <v>6729</v>
      </c>
      <c r="AS3542" t="s">
        <v>6730</v>
      </c>
      <c r="AT3542" t="s">
        <v>58</v>
      </c>
      <c r="AU3542" t="s">
        <v>68</v>
      </c>
      <c r="AV3542" t="s">
        <v>69</v>
      </c>
      <c r="AW3542" s="1">
        <v>28028</v>
      </c>
      <c r="AX3542">
        <v>2</v>
      </c>
    </row>
    <row r="3543" spans="1:50">
      <c r="A3543">
        <v>401466</v>
      </c>
      <c r="B3543" t="str">
        <f>"074593368"</f>
        <v>074593368</v>
      </c>
      <c r="C3543" t="s">
        <v>105</v>
      </c>
      <c r="D3543" t="s">
        <v>320</v>
      </c>
      <c r="E3543" t="s">
        <v>95</v>
      </c>
      <c r="F3543" t="s">
        <v>1743</v>
      </c>
      <c r="G3543" t="s">
        <v>314</v>
      </c>
      <c r="H3543" t="str">
        <f>"ΗΓ.ΓΑΒΡΙΗΛ 103 ΑΓΙΟΣ ΙΩΑΝΝΗΣ"</f>
        <v>ΗΓ.ΓΑΒΡΙΗΛ 103 ΑΓΙΟΣ ΙΩΑΝΝΗΣ</v>
      </c>
      <c r="I3543">
        <v>73134</v>
      </c>
      <c r="J3543">
        <v>2821053549</v>
      </c>
      <c r="K3543">
        <v>6942694743</v>
      </c>
      <c r="M3543" t="s">
        <v>6800</v>
      </c>
      <c r="N3543" t="s">
        <v>232</v>
      </c>
      <c r="O3543" t="s">
        <v>233</v>
      </c>
      <c r="R3543" t="s">
        <v>57</v>
      </c>
      <c r="S3543">
        <v>8</v>
      </c>
      <c r="T3543" t="s">
        <v>1230</v>
      </c>
      <c r="U3543" s="1">
        <v>40057</v>
      </c>
      <c r="V3543" t="s">
        <v>6729</v>
      </c>
      <c r="W3543" t="s">
        <v>6730</v>
      </c>
      <c r="X3543" t="s">
        <v>58</v>
      </c>
      <c r="Y3543">
        <v>20</v>
      </c>
      <c r="Z3543" t="s">
        <v>59</v>
      </c>
      <c r="AA3543" t="s">
        <v>59</v>
      </c>
      <c r="AB3543" t="s">
        <v>59</v>
      </c>
      <c r="AC3543" t="s">
        <v>59</v>
      </c>
      <c r="AD3543" t="s">
        <v>59</v>
      </c>
      <c r="AF3543" s="1">
        <v>40064</v>
      </c>
      <c r="AG3543" t="s">
        <v>137</v>
      </c>
      <c r="AH3543" t="s">
        <v>138</v>
      </c>
      <c r="AI3543" t="str">
        <f>"5050060"</f>
        <v>5050060</v>
      </c>
      <c r="AJ3543" t="s">
        <v>6801</v>
      </c>
      <c r="AK3543">
        <v>2821091515</v>
      </c>
      <c r="AL3543" t="s">
        <v>6802</v>
      </c>
      <c r="AM3543" t="s">
        <v>88</v>
      </c>
      <c r="AN3543" t="s">
        <v>88</v>
      </c>
      <c r="AO3543" t="s">
        <v>88</v>
      </c>
      <c r="AP3543" t="s">
        <v>88</v>
      </c>
      <c r="AQ3543">
        <v>1</v>
      </c>
      <c r="AR3543" t="s">
        <v>6729</v>
      </c>
      <c r="AS3543" t="s">
        <v>6730</v>
      </c>
      <c r="AT3543" t="s">
        <v>58</v>
      </c>
      <c r="AU3543" t="s">
        <v>68</v>
      </c>
      <c r="AV3543" t="s">
        <v>69</v>
      </c>
      <c r="AW3543" s="1">
        <v>25686</v>
      </c>
      <c r="AX3543">
        <v>2</v>
      </c>
    </row>
    <row r="3544" spans="1:50">
      <c r="A3544">
        <v>157883</v>
      </c>
      <c r="B3544" t="str">
        <f>"035971431"</f>
        <v>035971431</v>
      </c>
      <c r="C3544" t="s">
        <v>50</v>
      </c>
      <c r="D3544" t="s">
        <v>333</v>
      </c>
      <c r="E3544" t="s">
        <v>714</v>
      </c>
      <c r="F3544" t="s">
        <v>230</v>
      </c>
      <c r="G3544" t="s">
        <v>563</v>
      </c>
      <c r="H3544" t="str">
        <f>" "</f>
        <v xml:space="preserve"> </v>
      </c>
      <c r="J3544">
        <v>2821058204</v>
      </c>
      <c r="K3544">
        <v>6973321952</v>
      </c>
      <c r="M3544" t="s">
        <v>6803</v>
      </c>
      <c r="N3544" t="s">
        <v>168</v>
      </c>
      <c r="O3544" t="s">
        <v>169</v>
      </c>
      <c r="R3544" t="s">
        <v>57</v>
      </c>
      <c r="S3544">
        <v>16</v>
      </c>
      <c r="T3544">
        <v>188</v>
      </c>
      <c r="U3544" s="1">
        <v>32752</v>
      </c>
      <c r="V3544" t="s">
        <v>6729</v>
      </c>
      <c r="W3544" t="s">
        <v>6730</v>
      </c>
      <c r="X3544" t="s">
        <v>58</v>
      </c>
      <c r="Y3544">
        <v>18</v>
      </c>
      <c r="Z3544" t="s">
        <v>59</v>
      </c>
      <c r="AA3544" t="s">
        <v>59</v>
      </c>
      <c r="AB3544" t="s">
        <v>59</v>
      </c>
      <c r="AC3544" t="s">
        <v>59</v>
      </c>
      <c r="AD3544" t="s">
        <v>59</v>
      </c>
      <c r="AF3544" s="1">
        <v>32756</v>
      </c>
      <c r="AG3544" t="s">
        <v>137</v>
      </c>
      <c r="AH3544" t="s">
        <v>138</v>
      </c>
      <c r="AI3544" t="str">
        <f>"5050060"</f>
        <v>5050060</v>
      </c>
      <c r="AJ3544" t="s">
        <v>6801</v>
      </c>
      <c r="AK3544">
        <v>2821091515</v>
      </c>
      <c r="AL3544" t="s">
        <v>6802</v>
      </c>
      <c r="AM3544" t="s">
        <v>88</v>
      </c>
      <c r="AN3544" t="s">
        <v>88</v>
      </c>
      <c r="AO3544" t="s">
        <v>88</v>
      </c>
      <c r="AP3544" t="s">
        <v>88</v>
      </c>
      <c r="AQ3544">
        <v>1</v>
      </c>
      <c r="AR3544" t="s">
        <v>6729</v>
      </c>
      <c r="AS3544" t="s">
        <v>6730</v>
      </c>
      <c r="AT3544" t="s">
        <v>58</v>
      </c>
      <c r="AU3544" t="s">
        <v>68</v>
      </c>
      <c r="AV3544" t="s">
        <v>69</v>
      </c>
      <c r="AW3544" s="1">
        <v>22722</v>
      </c>
      <c r="AX3544">
        <v>2</v>
      </c>
    </row>
    <row r="3545" spans="1:50">
      <c r="A3545">
        <v>212568</v>
      </c>
      <c r="B3545" t="str">
        <f>"113187510"</f>
        <v>113187510</v>
      </c>
      <c r="C3545" t="s">
        <v>50</v>
      </c>
      <c r="D3545" t="s">
        <v>6804</v>
      </c>
      <c r="E3545" t="s">
        <v>250</v>
      </c>
      <c r="F3545" t="s">
        <v>166</v>
      </c>
      <c r="G3545" t="s">
        <v>237</v>
      </c>
      <c r="H3545" t="str">
        <f>" "</f>
        <v xml:space="preserve"> </v>
      </c>
      <c r="J3545">
        <v>2824083007</v>
      </c>
      <c r="K3545">
        <v>6973380009</v>
      </c>
      <c r="M3545" t="s">
        <v>6805</v>
      </c>
      <c r="N3545" t="s">
        <v>292</v>
      </c>
      <c r="O3545" t="s">
        <v>293</v>
      </c>
      <c r="R3545" t="s">
        <v>57</v>
      </c>
      <c r="S3545">
        <v>8</v>
      </c>
      <c r="T3545">
        <v>231</v>
      </c>
      <c r="U3545" s="1">
        <v>38960</v>
      </c>
      <c r="V3545" t="s">
        <v>6729</v>
      </c>
      <c r="W3545" t="s">
        <v>6730</v>
      </c>
      <c r="X3545" t="s">
        <v>58</v>
      </c>
      <c r="Y3545">
        <v>20</v>
      </c>
      <c r="Z3545" t="s">
        <v>59</v>
      </c>
      <c r="AA3545" t="s">
        <v>59</v>
      </c>
      <c r="AB3545" t="s">
        <v>59</v>
      </c>
      <c r="AC3545" t="s">
        <v>59</v>
      </c>
      <c r="AD3545" t="s">
        <v>59</v>
      </c>
      <c r="AF3545" s="1">
        <v>38961</v>
      </c>
      <c r="AG3545" t="s">
        <v>125</v>
      </c>
      <c r="AH3545" t="s">
        <v>126</v>
      </c>
      <c r="AI3545" t="str">
        <f>"5004020"</f>
        <v>5004020</v>
      </c>
      <c r="AJ3545" t="s">
        <v>6806</v>
      </c>
      <c r="AK3545">
        <v>2822022103</v>
      </c>
      <c r="AL3545" t="s">
        <v>6807</v>
      </c>
      <c r="AM3545" t="s">
        <v>88</v>
      </c>
      <c r="AN3545" t="s">
        <v>6744</v>
      </c>
      <c r="AO3545" t="s">
        <v>6744</v>
      </c>
      <c r="AP3545" t="s">
        <v>6744</v>
      </c>
      <c r="AQ3545">
        <v>1</v>
      </c>
      <c r="AR3545" t="s">
        <v>6729</v>
      </c>
      <c r="AS3545" t="s">
        <v>6730</v>
      </c>
      <c r="AT3545" t="s">
        <v>58</v>
      </c>
      <c r="AU3545" t="s">
        <v>68</v>
      </c>
      <c r="AV3545" t="s">
        <v>69</v>
      </c>
      <c r="AW3545" s="1">
        <v>28448</v>
      </c>
      <c r="AX3545">
        <v>2</v>
      </c>
    </row>
    <row r="3546" spans="1:50">
      <c r="A3546">
        <v>214761</v>
      </c>
      <c r="B3546" t="str">
        <f>"072599734"</f>
        <v>072599734</v>
      </c>
      <c r="C3546" t="s">
        <v>105</v>
      </c>
      <c r="D3546" t="s">
        <v>6808</v>
      </c>
      <c r="E3546" t="s">
        <v>95</v>
      </c>
      <c r="F3546" t="s">
        <v>72</v>
      </c>
      <c r="G3546" t="s">
        <v>54</v>
      </c>
      <c r="H3546" t="str">
        <f>"ΤΕΡΜΑ ΠΑΠΑΝΑΣΤΑΣΙΟΥ &amp; Γ. ΣΓΟΥΡΟΥ 1 ΛΕΝΤΑΡΙΑΝΑ"</f>
        <v>ΤΕΡΜΑ ΠΑΠΑΝΑΣΤΑΣΙΟΥ &amp; Γ. ΣΓΟΥΡΟΥ 1 ΛΕΝΤΑΡΙΑΝΑ</v>
      </c>
      <c r="I3546">
        <v>73134</v>
      </c>
      <c r="J3546">
        <v>2821027977</v>
      </c>
      <c r="K3546">
        <v>6981753257</v>
      </c>
      <c r="M3546" t="s">
        <v>6809</v>
      </c>
      <c r="N3546" t="s">
        <v>168</v>
      </c>
      <c r="O3546" t="s">
        <v>169</v>
      </c>
      <c r="R3546" t="s">
        <v>57</v>
      </c>
      <c r="S3546">
        <v>14</v>
      </c>
      <c r="T3546">
        <v>231</v>
      </c>
      <c r="U3546" s="1">
        <v>38960</v>
      </c>
      <c r="V3546" t="s">
        <v>6729</v>
      </c>
      <c r="W3546" t="s">
        <v>6730</v>
      </c>
      <c r="X3546" t="s">
        <v>58</v>
      </c>
      <c r="Y3546">
        <v>20</v>
      </c>
      <c r="Z3546" t="s">
        <v>59</v>
      </c>
      <c r="AA3546" t="s">
        <v>59</v>
      </c>
      <c r="AB3546" t="s">
        <v>59</v>
      </c>
      <c r="AC3546" t="s">
        <v>59</v>
      </c>
      <c r="AD3546" t="s">
        <v>59</v>
      </c>
      <c r="AF3546" s="1">
        <v>38961</v>
      </c>
      <c r="AG3546" t="s">
        <v>137</v>
      </c>
      <c r="AH3546" t="s">
        <v>138</v>
      </c>
      <c r="AI3546" t="str">
        <f>"5050060"</f>
        <v>5050060</v>
      </c>
      <c r="AJ3546" t="s">
        <v>6801</v>
      </c>
      <c r="AK3546">
        <v>2821091515</v>
      </c>
      <c r="AL3546" t="s">
        <v>6802</v>
      </c>
      <c r="AM3546" t="s">
        <v>88</v>
      </c>
      <c r="AN3546" t="s">
        <v>88</v>
      </c>
      <c r="AO3546" t="s">
        <v>88</v>
      </c>
      <c r="AP3546" t="s">
        <v>88</v>
      </c>
      <c r="AQ3546">
        <v>1</v>
      </c>
      <c r="AR3546" t="s">
        <v>6729</v>
      </c>
      <c r="AS3546" t="s">
        <v>6730</v>
      </c>
      <c r="AT3546" t="s">
        <v>58</v>
      </c>
      <c r="AU3546" t="s">
        <v>68</v>
      </c>
      <c r="AV3546" t="s">
        <v>69</v>
      </c>
      <c r="AW3546" s="1">
        <v>24231</v>
      </c>
      <c r="AX3546">
        <v>2</v>
      </c>
    </row>
    <row r="3547" spans="1:50">
      <c r="A3547">
        <v>173966</v>
      </c>
      <c r="B3547" t="str">
        <f>"032155262"</f>
        <v>032155262</v>
      </c>
      <c r="C3547" t="s">
        <v>50</v>
      </c>
      <c r="D3547" t="s">
        <v>6810</v>
      </c>
      <c r="E3547" t="s">
        <v>255</v>
      </c>
      <c r="F3547" t="s">
        <v>154</v>
      </c>
      <c r="G3547" t="s">
        <v>83</v>
      </c>
      <c r="H3547" t="str">
        <f>"ΦΡΑΓΚΟΚΑΣΤΕΛΟΥ 14 ΧΑΝΙΑ"</f>
        <v>ΦΡΑΓΚΟΚΑΣΤΕΛΟΥ 14 ΧΑΝΙΑ</v>
      </c>
      <c r="I3547">
        <v>73133</v>
      </c>
      <c r="K3547">
        <v>6977004268</v>
      </c>
      <c r="N3547" t="s">
        <v>246</v>
      </c>
      <c r="O3547" t="s">
        <v>247</v>
      </c>
      <c r="R3547" t="s">
        <v>57</v>
      </c>
      <c r="S3547">
        <v>13</v>
      </c>
      <c r="T3547">
        <v>166</v>
      </c>
      <c r="U3547" s="1">
        <v>35300</v>
      </c>
      <c r="V3547" t="s">
        <v>6729</v>
      </c>
      <c r="W3547" t="s">
        <v>6730</v>
      </c>
      <c r="X3547" t="s">
        <v>58</v>
      </c>
      <c r="Y3547">
        <v>18</v>
      </c>
      <c r="Z3547" t="s">
        <v>59</v>
      </c>
      <c r="AA3547" t="s">
        <v>59</v>
      </c>
      <c r="AB3547" t="s">
        <v>59</v>
      </c>
      <c r="AC3547" t="s">
        <v>59</v>
      </c>
      <c r="AD3547" t="s">
        <v>59</v>
      </c>
      <c r="AF3547" s="1">
        <v>35310</v>
      </c>
      <c r="AG3547" t="s">
        <v>148</v>
      </c>
      <c r="AH3547" t="s">
        <v>149</v>
      </c>
      <c r="AI3547" t="str">
        <f>"5051040"</f>
        <v>5051040</v>
      </c>
      <c r="AJ3547" t="s">
        <v>6811</v>
      </c>
      <c r="AK3547">
        <v>2821088007</v>
      </c>
      <c r="AL3547" t="s">
        <v>6812</v>
      </c>
      <c r="AM3547" t="s">
        <v>88</v>
      </c>
      <c r="AN3547" t="s">
        <v>88</v>
      </c>
      <c r="AO3547" t="s">
        <v>88</v>
      </c>
      <c r="AP3547" t="s">
        <v>88</v>
      </c>
      <c r="AQ3547">
        <v>1</v>
      </c>
      <c r="AR3547" t="s">
        <v>6729</v>
      </c>
      <c r="AS3547" t="s">
        <v>6730</v>
      </c>
      <c r="AT3547" t="s">
        <v>58</v>
      </c>
      <c r="AU3547" t="s">
        <v>68</v>
      </c>
      <c r="AV3547" t="s">
        <v>69</v>
      </c>
      <c r="AW3547" s="1">
        <v>22215</v>
      </c>
      <c r="AX3547">
        <v>2</v>
      </c>
    </row>
    <row r="3548" spans="1:50">
      <c r="A3548">
        <v>205003</v>
      </c>
      <c r="B3548" t="str">
        <f>"052003614"</f>
        <v>052003614</v>
      </c>
      <c r="C3548" t="s">
        <v>50</v>
      </c>
      <c r="D3548" t="s">
        <v>413</v>
      </c>
      <c r="E3548" t="s">
        <v>155</v>
      </c>
      <c r="F3548" t="s">
        <v>106</v>
      </c>
      <c r="G3548" t="s">
        <v>263</v>
      </c>
      <c r="H3548" t="str">
        <f>"ΕΛΥΡΟΥ 6 ΧΑΝΙΑ"</f>
        <v>ΕΛΥΡΟΥ 6 ΧΑΝΙΑ</v>
      </c>
      <c r="I3548">
        <v>73135</v>
      </c>
      <c r="J3548">
        <v>2821088709</v>
      </c>
      <c r="K3548">
        <v>6976904143</v>
      </c>
      <c r="M3548" t="s">
        <v>6813</v>
      </c>
      <c r="N3548" t="s">
        <v>547</v>
      </c>
      <c r="O3548" t="s">
        <v>548</v>
      </c>
      <c r="R3548" t="s">
        <v>57</v>
      </c>
      <c r="S3548">
        <v>12</v>
      </c>
      <c r="T3548">
        <v>231</v>
      </c>
      <c r="U3548" s="1">
        <v>38230</v>
      </c>
      <c r="V3548" t="s">
        <v>6729</v>
      </c>
      <c r="W3548" t="s">
        <v>6730</v>
      </c>
      <c r="X3548" t="s">
        <v>58</v>
      </c>
      <c r="Y3548">
        <v>18</v>
      </c>
      <c r="Z3548" t="s">
        <v>59</v>
      </c>
      <c r="AA3548" t="s">
        <v>59</v>
      </c>
      <c r="AB3548" t="s">
        <v>59</v>
      </c>
      <c r="AC3548" t="s">
        <v>59</v>
      </c>
      <c r="AD3548" t="s">
        <v>59</v>
      </c>
      <c r="AF3548" s="1">
        <v>38236</v>
      </c>
      <c r="AG3548" t="s">
        <v>137</v>
      </c>
      <c r="AH3548" t="s">
        <v>138</v>
      </c>
      <c r="AI3548" t="str">
        <f>"5040080"</f>
        <v>5040080</v>
      </c>
      <c r="AJ3548" t="s">
        <v>6753</v>
      </c>
      <c r="AK3548">
        <v>2821093155</v>
      </c>
      <c r="AL3548" t="s">
        <v>6754</v>
      </c>
      <c r="AM3548" t="s">
        <v>88</v>
      </c>
      <c r="AN3548" t="s">
        <v>88</v>
      </c>
      <c r="AO3548" t="s">
        <v>6733</v>
      </c>
      <c r="AP3548" t="s">
        <v>6755</v>
      </c>
      <c r="AQ3548">
        <v>1</v>
      </c>
      <c r="AR3548" t="s">
        <v>6729</v>
      </c>
      <c r="AS3548" t="s">
        <v>6730</v>
      </c>
      <c r="AT3548" t="s">
        <v>58</v>
      </c>
      <c r="AU3548" t="s">
        <v>68</v>
      </c>
      <c r="AV3548" t="s">
        <v>69</v>
      </c>
      <c r="AW3548" s="1">
        <v>24838</v>
      </c>
      <c r="AX3548">
        <v>2</v>
      </c>
    </row>
    <row r="3549" spans="1:50">
      <c r="A3549">
        <v>226340</v>
      </c>
      <c r="B3549" t="str">
        <f>"110852139"</f>
        <v>110852139</v>
      </c>
      <c r="C3549" t="s">
        <v>50</v>
      </c>
      <c r="D3549" t="s">
        <v>433</v>
      </c>
      <c r="E3549" t="s">
        <v>155</v>
      </c>
      <c r="F3549" t="s">
        <v>670</v>
      </c>
      <c r="G3549" t="s">
        <v>96</v>
      </c>
      <c r="H3549" t="str">
        <f>"ΚΙΣΑΜΟΣ ΧΑΝΙΑ"</f>
        <v>ΚΙΣΑΜΟΣ ΧΑΝΙΑ</v>
      </c>
      <c r="I3549">
        <v>73400</v>
      </c>
      <c r="J3549">
        <v>2822023541</v>
      </c>
      <c r="K3549">
        <v>6977350299</v>
      </c>
      <c r="M3549" t="s">
        <v>6814</v>
      </c>
      <c r="N3549" t="s">
        <v>146</v>
      </c>
      <c r="O3549" t="s">
        <v>147</v>
      </c>
      <c r="R3549" t="s">
        <v>57</v>
      </c>
      <c r="S3549">
        <v>5</v>
      </c>
      <c r="T3549">
        <v>654</v>
      </c>
      <c r="U3549" s="1">
        <v>40043</v>
      </c>
      <c r="V3549" t="s">
        <v>6729</v>
      </c>
      <c r="W3549" t="s">
        <v>6730</v>
      </c>
      <c r="X3549" t="s">
        <v>58</v>
      </c>
      <c r="Y3549">
        <v>21</v>
      </c>
      <c r="Z3549" t="s">
        <v>59</v>
      </c>
      <c r="AA3549" t="s">
        <v>59</v>
      </c>
      <c r="AB3549" t="s">
        <v>59</v>
      </c>
      <c r="AC3549" t="s">
        <v>59</v>
      </c>
      <c r="AD3549" t="s">
        <v>59</v>
      </c>
      <c r="AF3549" s="1">
        <v>40043</v>
      </c>
      <c r="AG3549" t="s">
        <v>148</v>
      </c>
      <c r="AH3549" t="s">
        <v>149</v>
      </c>
      <c r="AI3549" t="str">
        <f>"5054010"</f>
        <v>5054010</v>
      </c>
      <c r="AJ3549" t="s">
        <v>6815</v>
      </c>
      <c r="AK3549">
        <v>2822022671</v>
      </c>
      <c r="AL3549" t="s">
        <v>6816</v>
      </c>
      <c r="AM3549" t="s">
        <v>88</v>
      </c>
      <c r="AN3549" t="s">
        <v>6744</v>
      </c>
      <c r="AO3549" t="s">
        <v>6744</v>
      </c>
      <c r="AP3549" t="s">
        <v>6744</v>
      </c>
      <c r="AQ3549">
        <v>1</v>
      </c>
      <c r="AR3549" t="s">
        <v>6729</v>
      </c>
      <c r="AS3549" t="s">
        <v>6730</v>
      </c>
      <c r="AT3549" t="s">
        <v>58</v>
      </c>
      <c r="AU3549" t="s">
        <v>68</v>
      </c>
      <c r="AV3549" t="s">
        <v>69</v>
      </c>
      <c r="AW3549" s="1">
        <v>25850</v>
      </c>
      <c r="AX3549">
        <v>2</v>
      </c>
    </row>
    <row r="3550" spans="1:50">
      <c r="A3550">
        <v>214383</v>
      </c>
      <c r="B3550" t="str">
        <f>"112727698"</f>
        <v>112727698</v>
      </c>
      <c r="C3550" t="s">
        <v>105</v>
      </c>
      <c r="D3550" t="s">
        <v>6817</v>
      </c>
      <c r="E3550" t="s">
        <v>6818</v>
      </c>
      <c r="F3550" t="s">
        <v>99</v>
      </c>
      <c r="G3550" t="s">
        <v>255</v>
      </c>
      <c r="H3550" t="str">
        <f>" "</f>
        <v xml:space="preserve"> </v>
      </c>
      <c r="J3550">
        <v>2821059080</v>
      </c>
      <c r="K3550">
        <v>6974421623</v>
      </c>
      <c r="M3550" t="s">
        <v>6819</v>
      </c>
      <c r="N3550" t="s">
        <v>257</v>
      </c>
      <c r="O3550" t="s">
        <v>258</v>
      </c>
      <c r="R3550" t="s">
        <v>57</v>
      </c>
      <c r="S3550">
        <v>7</v>
      </c>
      <c r="T3550">
        <v>231</v>
      </c>
      <c r="U3550" s="1">
        <v>38960</v>
      </c>
      <c r="V3550" t="s">
        <v>6729</v>
      </c>
      <c r="W3550" t="s">
        <v>6730</v>
      </c>
      <c r="X3550" t="s">
        <v>58</v>
      </c>
      <c r="Y3550">
        <v>21</v>
      </c>
      <c r="Z3550" t="s">
        <v>59</v>
      </c>
      <c r="AA3550" t="s">
        <v>59</v>
      </c>
      <c r="AB3550" t="s">
        <v>59</v>
      </c>
      <c r="AC3550" t="s">
        <v>59</v>
      </c>
      <c r="AD3550" t="s">
        <v>59</v>
      </c>
      <c r="AF3550" s="1">
        <v>38961</v>
      </c>
      <c r="AG3550" t="s">
        <v>148</v>
      </c>
      <c r="AH3550" t="s">
        <v>149</v>
      </c>
      <c r="AI3550" t="str">
        <f>"5051030"</f>
        <v>5051030</v>
      </c>
      <c r="AJ3550" t="s">
        <v>6760</v>
      </c>
      <c r="AK3550">
        <v>2821027533</v>
      </c>
      <c r="AL3550" t="s">
        <v>6761</v>
      </c>
      <c r="AM3550" t="s">
        <v>88</v>
      </c>
      <c r="AN3550" t="s">
        <v>88</v>
      </c>
      <c r="AO3550" t="s">
        <v>88</v>
      </c>
      <c r="AP3550" t="s">
        <v>88</v>
      </c>
      <c r="AQ3550">
        <v>1</v>
      </c>
      <c r="AR3550" t="s">
        <v>6729</v>
      </c>
      <c r="AS3550" t="s">
        <v>6730</v>
      </c>
      <c r="AT3550" t="s">
        <v>58</v>
      </c>
      <c r="AU3550" t="s">
        <v>68</v>
      </c>
      <c r="AV3550" t="s">
        <v>69</v>
      </c>
      <c r="AW3550" s="1">
        <v>27027</v>
      </c>
      <c r="AX3550">
        <v>2</v>
      </c>
    </row>
    <row r="3551" spans="1:50">
      <c r="A3551">
        <v>206147</v>
      </c>
      <c r="B3551" t="str">
        <f>"070602667"</f>
        <v>070602667</v>
      </c>
      <c r="C3551" t="s">
        <v>50</v>
      </c>
      <c r="D3551" t="s">
        <v>6820</v>
      </c>
      <c r="E3551" t="s">
        <v>1929</v>
      </c>
      <c r="F3551" t="s">
        <v>154</v>
      </c>
      <c r="G3551" t="s">
        <v>3706</v>
      </c>
      <c r="H3551" t="str">
        <f>"ΠΑΛΑΙΟΧΩΡΑ ΧΑΝΙΑ"</f>
        <v>ΠΑΛΑΙΟΧΩΡΑ ΧΑΝΙΑ</v>
      </c>
      <c r="I3551">
        <v>73001</v>
      </c>
      <c r="J3551">
        <v>2823042040</v>
      </c>
      <c r="K3551">
        <v>6973318442</v>
      </c>
      <c r="M3551" t="s">
        <v>6821</v>
      </c>
      <c r="N3551" t="s">
        <v>299</v>
      </c>
      <c r="O3551" t="s">
        <v>300</v>
      </c>
      <c r="R3551" t="s">
        <v>57</v>
      </c>
      <c r="S3551">
        <v>7</v>
      </c>
      <c r="T3551">
        <v>231</v>
      </c>
      <c r="U3551" s="1">
        <v>38230</v>
      </c>
      <c r="V3551" t="s">
        <v>6729</v>
      </c>
      <c r="W3551" t="s">
        <v>6730</v>
      </c>
      <c r="X3551" t="s">
        <v>58</v>
      </c>
      <c r="Y3551">
        <v>20</v>
      </c>
      <c r="Z3551" t="s">
        <v>59</v>
      </c>
      <c r="AA3551" t="s">
        <v>59</v>
      </c>
      <c r="AB3551" t="s">
        <v>59</v>
      </c>
      <c r="AC3551" t="s">
        <v>59</v>
      </c>
      <c r="AD3551" t="s">
        <v>59</v>
      </c>
      <c r="AF3551" s="1">
        <v>38232</v>
      </c>
      <c r="AG3551" t="s">
        <v>137</v>
      </c>
      <c r="AH3551" t="s">
        <v>138</v>
      </c>
      <c r="AI3551" t="str">
        <f>"5050065"</f>
        <v>5050065</v>
      </c>
      <c r="AJ3551" t="s">
        <v>6822</v>
      </c>
      <c r="AK3551">
        <v>2823022234</v>
      </c>
      <c r="AL3551" t="s">
        <v>6823</v>
      </c>
      <c r="AM3551" t="s">
        <v>88</v>
      </c>
      <c r="AN3551" t="s">
        <v>6824</v>
      </c>
      <c r="AO3551" t="s">
        <v>6825</v>
      </c>
      <c r="AP3551" t="s">
        <v>6826</v>
      </c>
      <c r="AQ3551">
        <v>1</v>
      </c>
      <c r="AR3551" t="s">
        <v>6729</v>
      </c>
      <c r="AS3551" t="s">
        <v>6730</v>
      </c>
      <c r="AT3551" t="s">
        <v>58</v>
      </c>
      <c r="AU3551" t="s">
        <v>68</v>
      </c>
      <c r="AV3551" t="s">
        <v>69</v>
      </c>
      <c r="AW3551" s="1">
        <v>27431</v>
      </c>
      <c r="AX3551">
        <v>2</v>
      </c>
    </row>
    <row r="3552" spans="1:50">
      <c r="A3552">
        <v>218651</v>
      </c>
      <c r="B3552" t="str">
        <f>"043028543"</f>
        <v>043028543</v>
      </c>
      <c r="C3552" t="s">
        <v>105</v>
      </c>
      <c r="D3552" t="s">
        <v>6827</v>
      </c>
      <c r="E3552" t="s">
        <v>53</v>
      </c>
      <c r="F3552" t="s">
        <v>4097</v>
      </c>
      <c r="G3552" t="s">
        <v>250</v>
      </c>
      <c r="H3552" t="str">
        <f>" "</f>
        <v xml:space="preserve"> </v>
      </c>
      <c r="J3552">
        <v>2821092612</v>
      </c>
      <c r="K3552">
        <v>6932066421</v>
      </c>
      <c r="N3552" t="s">
        <v>199</v>
      </c>
      <c r="O3552" t="s">
        <v>200</v>
      </c>
      <c r="R3552" t="s">
        <v>57</v>
      </c>
      <c r="S3552">
        <v>6</v>
      </c>
      <c r="T3552">
        <v>599</v>
      </c>
      <c r="U3552" s="1">
        <v>39310</v>
      </c>
      <c r="V3552" t="s">
        <v>6729</v>
      </c>
      <c r="W3552" t="s">
        <v>6730</v>
      </c>
      <c r="X3552" t="s">
        <v>58</v>
      </c>
      <c r="Y3552">
        <v>20</v>
      </c>
      <c r="Z3552" t="s">
        <v>59</v>
      </c>
      <c r="AA3552" t="s">
        <v>59</v>
      </c>
      <c r="AB3552" t="s">
        <v>59</v>
      </c>
      <c r="AC3552" t="s">
        <v>59</v>
      </c>
      <c r="AD3552" t="s">
        <v>59</v>
      </c>
      <c r="AF3552" s="1">
        <v>39328</v>
      </c>
      <c r="AG3552" t="s">
        <v>148</v>
      </c>
      <c r="AH3552" t="s">
        <v>149</v>
      </c>
      <c r="AI3552" t="str">
        <f>"5062010"</f>
        <v>5062010</v>
      </c>
      <c r="AJ3552" t="s">
        <v>6783</v>
      </c>
      <c r="AK3552">
        <v>2821031620</v>
      </c>
      <c r="AL3552" t="s">
        <v>6784</v>
      </c>
      <c r="AM3552" t="s">
        <v>88</v>
      </c>
      <c r="AN3552" t="s">
        <v>88</v>
      </c>
      <c r="AO3552" t="s">
        <v>6785</v>
      </c>
      <c r="AP3552" t="s">
        <v>6786</v>
      </c>
      <c r="AQ3552">
        <v>1</v>
      </c>
      <c r="AR3552" t="s">
        <v>6729</v>
      </c>
      <c r="AS3552" t="s">
        <v>6730</v>
      </c>
      <c r="AT3552" t="s">
        <v>58</v>
      </c>
      <c r="AU3552" t="s">
        <v>68</v>
      </c>
      <c r="AV3552" t="s">
        <v>69</v>
      </c>
      <c r="AW3552" s="1">
        <v>22085</v>
      </c>
      <c r="AX3552">
        <v>2</v>
      </c>
    </row>
    <row r="3553" spans="1:50">
      <c r="B3553" t="str">
        <f>"063343699"</f>
        <v>063343699</v>
      </c>
      <c r="C3553" t="s">
        <v>50</v>
      </c>
      <c r="D3553" t="s">
        <v>6828</v>
      </c>
      <c r="E3553" t="s">
        <v>112</v>
      </c>
      <c r="F3553" t="s">
        <v>84</v>
      </c>
      <c r="G3553" t="s">
        <v>4629</v>
      </c>
      <c r="H3553" t="str">
        <f>"ΑΡΩΝΙ ΧΑΝΙΑ"</f>
        <v>ΑΡΩΝΙ ΧΑΝΙΑ</v>
      </c>
      <c r="I3553">
        <v>73100</v>
      </c>
      <c r="J3553">
        <v>2821066150</v>
      </c>
      <c r="K3553">
        <v>6977388000</v>
      </c>
      <c r="N3553" t="s">
        <v>547</v>
      </c>
      <c r="O3553" t="s">
        <v>548</v>
      </c>
      <c r="R3553" t="s">
        <v>159</v>
      </c>
      <c r="S3553">
        <v>3</v>
      </c>
      <c r="T3553" t="s">
        <v>416</v>
      </c>
      <c r="U3553" s="1">
        <v>43349</v>
      </c>
      <c r="V3553" t="s">
        <v>6729</v>
      </c>
      <c r="W3553" t="s">
        <v>6730</v>
      </c>
      <c r="X3553" t="s">
        <v>58</v>
      </c>
      <c r="Y3553">
        <v>23</v>
      </c>
      <c r="Z3553" t="s">
        <v>59</v>
      </c>
      <c r="AA3553" t="s">
        <v>59</v>
      </c>
      <c r="AB3553" t="s">
        <v>59</v>
      </c>
      <c r="AC3553" t="s">
        <v>59</v>
      </c>
      <c r="AD3553" t="s">
        <v>59</v>
      </c>
      <c r="AF3553" s="1">
        <v>43349</v>
      </c>
      <c r="AG3553" t="s">
        <v>60</v>
      </c>
      <c r="AH3553" t="s">
        <v>453</v>
      </c>
      <c r="AI3553" t="str">
        <f>"5000105"</f>
        <v>5000105</v>
      </c>
      <c r="AJ3553" t="s">
        <v>6730</v>
      </c>
      <c r="AK3553">
        <v>2821047144</v>
      </c>
      <c r="AL3553" t="s">
        <v>6792</v>
      </c>
      <c r="AM3553" t="s">
        <v>88</v>
      </c>
      <c r="AN3553" t="s">
        <v>88</v>
      </c>
      <c r="AO3553" t="s">
        <v>88</v>
      </c>
      <c r="AP3553" t="s">
        <v>88</v>
      </c>
      <c r="AS3553" t="s">
        <v>6730</v>
      </c>
      <c r="AT3553" t="s">
        <v>58</v>
      </c>
      <c r="AU3553" t="s">
        <v>419</v>
      </c>
      <c r="AV3553" t="s">
        <v>455</v>
      </c>
      <c r="AW3553" s="1">
        <v>26924</v>
      </c>
      <c r="AX3553">
        <v>2</v>
      </c>
    </row>
    <row r="3554" spans="1:50">
      <c r="A3554">
        <v>192740</v>
      </c>
      <c r="B3554" t="str">
        <f>"036052608"</f>
        <v>036052608</v>
      </c>
      <c r="C3554" t="s">
        <v>105</v>
      </c>
      <c r="D3554" t="s">
        <v>6829</v>
      </c>
      <c r="E3554" t="s">
        <v>53</v>
      </c>
      <c r="F3554" t="s">
        <v>2233</v>
      </c>
      <c r="G3554" t="s">
        <v>96</v>
      </c>
      <c r="H3554" t="str">
        <f>" "</f>
        <v xml:space="preserve"> </v>
      </c>
      <c r="J3554">
        <v>2821071296</v>
      </c>
      <c r="K3554">
        <v>6945987020</v>
      </c>
      <c r="N3554" t="s">
        <v>6374</v>
      </c>
      <c r="O3554" t="s">
        <v>6375</v>
      </c>
      <c r="P3554" t="s">
        <v>282</v>
      </c>
      <c r="Q3554" t="s">
        <v>283</v>
      </c>
      <c r="R3554" t="s">
        <v>57</v>
      </c>
      <c r="S3554">
        <v>11</v>
      </c>
      <c r="T3554">
        <v>193</v>
      </c>
      <c r="U3554" s="1">
        <v>37497</v>
      </c>
      <c r="V3554" t="s">
        <v>6729</v>
      </c>
      <c r="W3554" t="s">
        <v>6730</v>
      </c>
      <c r="X3554" t="s">
        <v>58</v>
      </c>
      <c r="Y3554">
        <v>18</v>
      </c>
      <c r="Z3554" t="s">
        <v>59</v>
      </c>
      <c r="AA3554" t="s">
        <v>59</v>
      </c>
      <c r="AB3554" t="s">
        <v>59</v>
      </c>
      <c r="AC3554" t="s">
        <v>59</v>
      </c>
      <c r="AD3554" t="s">
        <v>59</v>
      </c>
      <c r="AF3554" s="1">
        <v>37501</v>
      </c>
      <c r="AG3554" t="s">
        <v>137</v>
      </c>
      <c r="AH3554" t="s">
        <v>138</v>
      </c>
      <c r="AI3554" t="str">
        <f>"5040100"</f>
        <v>5040100</v>
      </c>
      <c r="AJ3554" t="s">
        <v>6790</v>
      </c>
      <c r="AK3554">
        <v>2821058998</v>
      </c>
      <c r="AL3554" t="s">
        <v>6791</v>
      </c>
      <c r="AM3554" t="s">
        <v>88</v>
      </c>
      <c r="AN3554" t="s">
        <v>88</v>
      </c>
      <c r="AO3554" t="s">
        <v>6770</v>
      </c>
      <c r="AP3554" t="s">
        <v>6771</v>
      </c>
      <c r="AQ3554">
        <v>1</v>
      </c>
      <c r="AR3554" t="s">
        <v>6729</v>
      </c>
      <c r="AS3554" t="s">
        <v>6730</v>
      </c>
      <c r="AT3554" t="s">
        <v>58</v>
      </c>
      <c r="AU3554" t="s">
        <v>68</v>
      </c>
      <c r="AV3554" t="s">
        <v>69</v>
      </c>
      <c r="AW3554" s="1">
        <v>24136</v>
      </c>
      <c r="AX3554">
        <v>2</v>
      </c>
    </row>
    <row r="3555" spans="1:50">
      <c r="A3555">
        <v>176100</v>
      </c>
      <c r="B3555" t="str">
        <f>"035098766"</f>
        <v>035098766</v>
      </c>
      <c r="C3555" t="s">
        <v>50</v>
      </c>
      <c r="D3555" t="s">
        <v>6830</v>
      </c>
      <c r="E3555" t="s">
        <v>314</v>
      </c>
      <c r="F3555" t="s">
        <v>949</v>
      </c>
      <c r="G3555" t="s">
        <v>4659</v>
      </c>
      <c r="H3555" t="str">
        <f>" "</f>
        <v xml:space="preserve"> </v>
      </c>
      <c r="J3555">
        <v>2821042897</v>
      </c>
      <c r="K3555">
        <v>6976617624</v>
      </c>
      <c r="M3555" t="s">
        <v>6831</v>
      </c>
      <c r="N3555" t="s">
        <v>199</v>
      </c>
      <c r="O3555" t="s">
        <v>200</v>
      </c>
      <c r="R3555" t="s">
        <v>57</v>
      </c>
      <c r="S3555">
        <v>10</v>
      </c>
      <c r="T3555">
        <v>180</v>
      </c>
      <c r="U3555" s="1">
        <v>35674</v>
      </c>
      <c r="V3555" t="s">
        <v>6729</v>
      </c>
      <c r="W3555" t="s">
        <v>6730</v>
      </c>
      <c r="X3555" t="s">
        <v>58</v>
      </c>
      <c r="Y3555">
        <v>18</v>
      </c>
      <c r="Z3555" t="s">
        <v>59</v>
      </c>
      <c r="AA3555" t="s">
        <v>59</v>
      </c>
      <c r="AB3555" t="s">
        <v>59</v>
      </c>
      <c r="AC3555" t="s">
        <v>59</v>
      </c>
      <c r="AD3555" t="s">
        <v>59</v>
      </c>
      <c r="AF3555" s="1">
        <v>35678</v>
      </c>
      <c r="AG3555" t="s">
        <v>148</v>
      </c>
      <c r="AH3555" t="s">
        <v>149</v>
      </c>
      <c r="AI3555" t="str">
        <f>"5051030"</f>
        <v>5051030</v>
      </c>
      <c r="AJ3555" t="s">
        <v>6760</v>
      </c>
      <c r="AK3555">
        <v>2821027533</v>
      </c>
      <c r="AL3555" t="s">
        <v>6761</v>
      </c>
      <c r="AM3555" t="s">
        <v>88</v>
      </c>
      <c r="AN3555" t="s">
        <v>88</v>
      </c>
      <c r="AO3555" t="s">
        <v>88</v>
      </c>
      <c r="AP3555" t="s">
        <v>88</v>
      </c>
      <c r="AQ3555">
        <v>1</v>
      </c>
      <c r="AR3555" t="s">
        <v>6729</v>
      </c>
      <c r="AS3555" t="s">
        <v>6730</v>
      </c>
      <c r="AT3555" t="s">
        <v>58</v>
      </c>
      <c r="AU3555" t="s">
        <v>68</v>
      </c>
      <c r="AV3555" t="s">
        <v>69</v>
      </c>
      <c r="AW3555" s="1">
        <v>20822</v>
      </c>
      <c r="AX3555">
        <v>2</v>
      </c>
    </row>
    <row r="3556" spans="1:50">
      <c r="A3556">
        <v>196901</v>
      </c>
      <c r="B3556" t="str">
        <f>"073628338"</f>
        <v>073628338</v>
      </c>
      <c r="C3556" t="s">
        <v>105</v>
      </c>
      <c r="D3556" t="s">
        <v>6832</v>
      </c>
      <c r="E3556" t="s">
        <v>6833</v>
      </c>
      <c r="F3556" t="s">
        <v>95</v>
      </c>
      <c r="G3556" t="s">
        <v>742</v>
      </c>
      <c r="H3556" t="str">
        <f>"ΠΑΡΟΔΟΣ ΕΣΤΙΑΤΟΡΙΟΥ ΖΥΓΟΣ ΚΑΤΩ ΔΑΡΑΤΣΟ ΝΕΑ ΚΥΔΩΝΙΑ"</f>
        <v>ΠΑΡΟΔΟΣ ΕΣΤΙΑΤΟΡΙΟΥ ΖΥΓΟΣ ΚΑΤΩ ΔΑΡΑΤΣΟ ΝΕΑ ΚΥΔΩΝΙΑ</v>
      </c>
      <c r="I3556">
        <v>73100</v>
      </c>
      <c r="J3556">
        <v>2821034090</v>
      </c>
      <c r="K3556">
        <v>6932191631</v>
      </c>
      <c r="N3556" t="s">
        <v>146</v>
      </c>
      <c r="O3556" t="s">
        <v>147</v>
      </c>
      <c r="R3556" t="s">
        <v>57</v>
      </c>
      <c r="S3556">
        <v>13</v>
      </c>
      <c r="T3556">
        <v>206</v>
      </c>
      <c r="U3556" s="1">
        <v>37866</v>
      </c>
      <c r="V3556" t="s">
        <v>6729</v>
      </c>
      <c r="W3556" t="s">
        <v>6730</v>
      </c>
      <c r="X3556" t="s">
        <v>58</v>
      </c>
      <c r="Y3556">
        <v>20</v>
      </c>
      <c r="Z3556" t="s">
        <v>59</v>
      </c>
      <c r="AA3556" t="s">
        <v>59</v>
      </c>
      <c r="AB3556" t="s">
        <v>59</v>
      </c>
      <c r="AC3556" t="s">
        <v>59</v>
      </c>
      <c r="AD3556" t="s">
        <v>59</v>
      </c>
      <c r="AF3556" s="1">
        <v>37866</v>
      </c>
      <c r="AG3556" t="s">
        <v>148</v>
      </c>
      <c r="AH3556" t="s">
        <v>149</v>
      </c>
      <c r="AI3556" t="str">
        <f>"5052010"</f>
        <v>5052010</v>
      </c>
      <c r="AJ3556" t="s">
        <v>6834</v>
      </c>
      <c r="AK3556">
        <v>2825022200</v>
      </c>
      <c r="AL3556" t="s">
        <v>6835</v>
      </c>
      <c r="AM3556" t="s">
        <v>88</v>
      </c>
      <c r="AN3556" t="s">
        <v>6775</v>
      </c>
      <c r="AO3556" t="s">
        <v>6776</v>
      </c>
      <c r="AP3556" t="s">
        <v>6776</v>
      </c>
      <c r="AQ3556">
        <v>1</v>
      </c>
      <c r="AR3556" t="s">
        <v>6729</v>
      </c>
      <c r="AS3556" t="s">
        <v>6730</v>
      </c>
      <c r="AT3556" t="s">
        <v>58</v>
      </c>
      <c r="AU3556" t="s">
        <v>68</v>
      </c>
      <c r="AV3556" t="s">
        <v>132</v>
      </c>
      <c r="AW3556" s="1">
        <v>25948</v>
      </c>
      <c r="AX3556">
        <v>2</v>
      </c>
    </row>
    <row r="3557" spans="1:50">
      <c r="A3557">
        <v>195701</v>
      </c>
      <c r="B3557" t="str">
        <f>"100626429"</f>
        <v>100626429</v>
      </c>
      <c r="C3557" t="s">
        <v>50</v>
      </c>
      <c r="D3557" t="s">
        <v>467</v>
      </c>
      <c r="E3557" t="s">
        <v>237</v>
      </c>
      <c r="F3557" t="s">
        <v>106</v>
      </c>
      <c r="G3557" t="s">
        <v>112</v>
      </c>
      <c r="H3557" t="str">
        <f>" "</f>
        <v xml:space="preserve"> </v>
      </c>
      <c r="N3557" t="s">
        <v>246</v>
      </c>
      <c r="O3557" t="s">
        <v>247</v>
      </c>
      <c r="R3557" t="s">
        <v>57</v>
      </c>
      <c r="S3557">
        <v>10</v>
      </c>
      <c r="T3557">
        <v>194</v>
      </c>
      <c r="U3557" s="1">
        <v>37497</v>
      </c>
      <c r="V3557" t="s">
        <v>6729</v>
      </c>
      <c r="W3557" t="s">
        <v>6730</v>
      </c>
      <c r="X3557" t="s">
        <v>58</v>
      </c>
      <c r="Y3557">
        <v>20</v>
      </c>
      <c r="Z3557" t="s">
        <v>59</v>
      </c>
      <c r="AA3557" t="s">
        <v>59</v>
      </c>
      <c r="AB3557" t="s">
        <v>59</v>
      </c>
      <c r="AC3557" t="s">
        <v>59</v>
      </c>
      <c r="AD3557" t="s">
        <v>59</v>
      </c>
      <c r="AF3557" s="1">
        <v>37501</v>
      </c>
      <c r="AG3557" t="s">
        <v>148</v>
      </c>
      <c r="AH3557" t="s">
        <v>149</v>
      </c>
      <c r="AI3557" t="str">
        <f>"5057010"</f>
        <v>5057010</v>
      </c>
      <c r="AJ3557" t="s">
        <v>6836</v>
      </c>
      <c r="AK3557">
        <v>2824022511</v>
      </c>
      <c r="AL3557" t="s">
        <v>6837</v>
      </c>
      <c r="AM3557" t="s">
        <v>88</v>
      </c>
      <c r="AN3557" t="s">
        <v>6764</v>
      </c>
      <c r="AO3557" t="s">
        <v>6799</v>
      </c>
      <c r="AP3557" t="s">
        <v>6799</v>
      </c>
      <c r="AQ3557">
        <v>1</v>
      </c>
      <c r="AR3557" t="s">
        <v>6729</v>
      </c>
      <c r="AS3557" t="s">
        <v>6730</v>
      </c>
      <c r="AT3557" t="s">
        <v>58</v>
      </c>
      <c r="AU3557" t="s">
        <v>68</v>
      </c>
      <c r="AV3557" t="s">
        <v>69</v>
      </c>
      <c r="AW3557" s="1">
        <v>28302</v>
      </c>
      <c r="AX3557">
        <v>2</v>
      </c>
    </row>
    <row r="3558" spans="1:50">
      <c r="B3558" t="str">
        <f>"146474693"</f>
        <v>146474693</v>
      </c>
      <c r="C3558" t="s">
        <v>50</v>
      </c>
      <c r="D3558" t="s">
        <v>6838</v>
      </c>
      <c r="E3558" t="s">
        <v>2737</v>
      </c>
      <c r="F3558" t="s">
        <v>995</v>
      </c>
      <c r="G3558" t="s">
        <v>181</v>
      </c>
      <c r="H3558" t="str">
        <f>"ΑΦΩΝ ΕΜΜΑΝΟΥΗΛ 14 "</f>
        <v xml:space="preserve">ΑΦΩΝ ΕΜΜΑΝΟΥΗΛ 14 </v>
      </c>
      <c r="I3558">
        <v>54454</v>
      </c>
      <c r="J3558">
        <v>2310924377</v>
      </c>
      <c r="K3558">
        <v>6947360158</v>
      </c>
      <c r="M3558" t="s">
        <v>6839</v>
      </c>
      <c r="N3558" t="s">
        <v>536</v>
      </c>
      <c r="O3558" t="s">
        <v>537</v>
      </c>
      <c r="R3558" t="s">
        <v>159</v>
      </c>
      <c r="S3558">
        <v>5</v>
      </c>
      <c r="T3558" t="s">
        <v>344</v>
      </c>
      <c r="U3558" s="1">
        <v>43348</v>
      </c>
      <c r="V3558" t="s">
        <v>6729</v>
      </c>
      <c r="W3558" t="s">
        <v>6730</v>
      </c>
      <c r="X3558" t="s">
        <v>58</v>
      </c>
      <c r="Y3558">
        <v>23</v>
      </c>
      <c r="Z3558" t="s">
        <v>59</v>
      </c>
      <c r="AA3558" t="s">
        <v>59</v>
      </c>
      <c r="AB3558" t="s">
        <v>59</v>
      </c>
      <c r="AC3558" t="s">
        <v>59</v>
      </c>
      <c r="AD3558" t="s">
        <v>59</v>
      </c>
      <c r="AF3558" s="1">
        <v>43348</v>
      </c>
      <c r="AG3558" t="s">
        <v>345</v>
      </c>
      <c r="AH3558" t="s">
        <v>346</v>
      </c>
      <c r="AI3558" t="str">
        <f>"5041001"</f>
        <v>5041001</v>
      </c>
      <c r="AJ3558" t="s">
        <v>6840</v>
      </c>
      <c r="AK3558">
        <v>2821052100</v>
      </c>
      <c r="AL3558" t="s">
        <v>6841</v>
      </c>
      <c r="AM3558" t="s">
        <v>88</v>
      </c>
      <c r="AN3558" t="s">
        <v>88</v>
      </c>
      <c r="AO3558" t="s">
        <v>88</v>
      </c>
      <c r="AP3558" t="s">
        <v>88</v>
      </c>
      <c r="AQ3558">
        <v>1</v>
      </c>
      <c r="AR3558" t="s">
        <v>6729</v>
      </c>
      <c r="AS3558" t="s">
        <v>6730</v>
      </c>
      <c r="AT3558" t="s">
        <v>58</v>
      </c>
      <c r="AU3558" t="s">
        <v>350</v>
      </c>
      <c r="AV3558" t="s">
        <v>132</v>
      </c>
      <c r="AW3558" s="1">
        <v>31459</v>
      </c>
      <c r="AX3558">
        <v>2</v>
      </c>
    </row>
    <row r="3559" spans="1:50">
      <c r="A3559">
        <v>226347</v>
      </c>
      <c r="B3559" t="str">
        <f>"048174953"</f>
        <v>048174953</v>
      </c>
      <c r="C3559" t="s">
        <v>50</v>
      </c>
      <c r="D3559" t="s">
        <v>475</v>
      </c>
      <c r="E3559" t="s">
        <v>4729</v>
      </c>
      <c r="F3559" t="s">
        <v>84</v>
      </c>
      <c r="G3559" t="s">
        <v>54</v>
      </c>
      <c r="H3559" t="str">
        <f>"Γ. ΚΟΝΔΥΛΗ   15 ΚΑΛΑΜΠΑΚΑ"</f>
        <v>Γ. ΚΟΝΔΥΛΗ   15 ΚΑΛΑΜΠΑΚΑ</v>
      </c>
      <c r="I3559">
        <v>42200</v>
      </c>
      <c r="J3559">
        <v>2432022232</v>
      </c>
      <c r="K3559">
        <v>6976577874</v>
      </c>
      <c r="M3559" t="s">
        <v>6842</v>
      </c>
      <c r="N3559" t="s">
        <v>146</v>
      </c>
      <c r="O3559" t="s">
        <v>147</v>
      </c>
      <c r="R3559" t="s">
        <v>57</v>
      </c>
      <c r="S3559">
        <v>6</v>
      </c>
      <c r="T3559">
        <v>654</v>
      </c>
      <c r="U3559" s="1">
        <v>40043</v>
      </c>
      <c r="V3559" t="s">
        <v>6729</v>
      </c>
      <c r="W3559" t="s">
        <v>6730</v>
      </c>
      <c r="X3559" t="s">
        <v>58</v>
      </c>
      <c r="Y3559">
        <v>21</v>
      </c>
      <c r="Z3559" t="s">
        <v>59</v>
      </c>
      <c r="AA3559" t="s">
        <v>59</v>
      </c>
      <c r="AB3559" t="s">
        <v>59</v>
      </c>
      <c r="AC3559" t="s">
        <v>59</v>
      </c>
      <c r="AD3559" t="s">
        <v>59</v>
      </c>
      <c r="AF3559" s="1">
        <v>40045</v>
      </c>
      <c r="AG3559" t="s">
        <v>148</v>
      </c>
      <c r="AH3559" t="s">
        <v>149</v>
      </c>
      <c r="AI3559" t="str">
        <f>"5054010"</f>
        <v>5054010</v>
      </c>
      <c r="AJ3559" t="s">
        <v>6815</v>
      </c>
      <c r="AK3559">
        <v>2822022671</v>
      </c>
      <c r="AL3559" t="s">
        <v>6816</v>
      </c>
      <c r="AM3559" t="s">
        <v>88</v>
      </c>
      <c r="AN3559" t="s">
        <v>6744</v>
      </c>
      <c r="AO3559" t="s">
        <v>6744</v>
      </c>
      <c r="AP3559" t="s">
        <v>6744</v>
      </c>
      <c r="AQ3559">
        <v>1</v>
      </c>
      <c r="AR3559" t="s">
        <v>6729</v>
      </c>
      <c r="AS3559" t="s">
        <v>6730</v>
      </c>
      <c r="AT3559" t="s">
        <v>58</v>
      </c>
      <c r="AU3559" t="s">
        <v>68</v>
      </c>
      <c r="AV3559" t="s">
        <v>357</v>
      </c>
      <c r="AW3559" s="1">
        <v>27262</v>
      </c>
      <c r="AX3559">
        <v>2</v>
      </c>
    </row>
    <row r="3560" spans="1:50">
      <c r="A3560">
        <v>220078</v>
      </c>
      <c r="B3560" t="str">
        <f>"102127187"</f>
        <v>102127187</v>
      </c>
      <c r="C3560" t="s">
        <v>50</v>
      </c>
      <c r="D3560" t="s">
        <v>6843</v>
      </c>
      <c r="E3560" t="s">
        <v>52</v>
      </c>
      <c r="F3560" t="s">
        <v>6844</v>
      </c>
      <c r="G3560" t="s">
        <v>6845</v>
      </c>
      <c r="H3560" t="str">
        <f>"ΓΕΩΡΓΑΚΑΚΗ 15 ΑΓΙΟΣ ΙΩΑΝΝΗΣ"</f>
        <v>ΓΕΩΡΓΑΚΑΚΗ 15 ΑΓΙΟΣ ΙΩΑΝΝΗΣ</v>
      </c>
      <c r="I3560">
        <v>73100</v>
      </c>
      <c r="J3560">
        <v>2821076916</v>
      </c>
      <c r="K3560">
        <v>6973992549</v>
      </c>
      <c r="M3560" t="s">
        <v>6846</v>
      </c>
      <c r="N3560" t="s">
        <v>907</v>
      </c>
      <c r="O3560" t="s">
        <v>908</v>
      </c>
      <c r="R3560" t="s">
        <v>57</v>
      </c>
      <c r="S3560">
        <v>7</v>
      </c>
      <c r="T3560">
        <v>599</v>
      </c>
      <c r="U3560" s="1">
        <v>39310</v>
      </c>
      <c r="V3560" t="s">
        <v>6729</v>
      </c>
      <c r="W3560" t="s">
        <v>6730</v>
      </c>
      <c r="X3560" t="s">
        <v>58</v>
      </c>
      <c r="Y3560">
        <v>20</v>
      </c>
      <c r="Z3560" t="s">
        <v>59</v>
      </c>
      <c r="AA3560" t="s">
        <v>59</v>
      </c>
      <c r="AB3560" t="s">
        <v>59</v>
      </c>
      <c r="AC3560" t="s">
        <v>59</v>
      </c>
      <c r="AD3560" t="s">
        <v>59</v>
      </c>
      <c r="AF3560" s="1">
        <v>39328</v>
      </c>
      <c r="AG3560" t="s">
        <v>137</v>
      </c>
      <c r="AH3560" t="s">
        <v>138</v>
      </c>
      <c r="AI3560" t="str">
        <f>"5050060"</f>
        <v>5050060</v>
      </c>
      <c r="AJ3560" t="s">
        <v>6801</v>
      </c>
      <c r="AK3560">
        <v>2821091515</v>
      </c>
      <c r="AL3560" t="s">
        <v>6802</v>
      </c>
      <c r="AM3560" t="s">
        <v>88</v>
      </c>
      <c r="AN3560" t="s">
        <v>88</v>
      </c>
      <c r="AO3560" t="s">
        <v>88</v>
      </c>
      <c r="AP3560" t="s">
        <v>88</v>
      </c>
      <c r="AQ3560">
        <v>1</v>
      </c>
      <c r="AR3560" t="s">
        <v>6729</v>
      </c>
      <c r="AS3560" t="s">
        <v>6730</v>
      </c>
      <c r="AT3560" t="s">
        <v>58</v>
      </c>
      <c r="AU3560" t="s">
        <v>68</v>
      </c>
      <c r="AV3560" t="s">
        <v>69</v>
      </c>
      <c r="AW3560" s="1">
        <v>27395</v>
      </c>
      <c r="AX3560">
        <v>2</v>
      </c>
    </row>
    <row r="3561" spans="1:50">
      <c r="A3561">
        <v>181250</v>
      </c>
      <c r="B3561" t="str">
        <f>"065587432"</f>
        <v>065587432</v>
      </c>
      <c r="C3561" t="s">
        <v>50</v>
      </c>
      <c r="D3561" t="s">
        <v>486</v>
      </c>
      <c r="E3561" t="s">
        <v>6847</v>
      </c>
      <c r="F3561" t="s">
        <v>72</v>
      </c>
      <c r="G3561" t="s">
        <v>1866</v>
      </c>
      <c r="H3561" t="str">
        <f>"ΑΓ. ΝΕΚΤΑΡΙΟΥ ΚΟΡΑΚΙΕΣ ΑΚΡΩΤΗΡΙ"</f>
        <v>ΑΓ. ΝΕΚΤΑΡΙΟΥ ΚΟΡΑΚΙΕΣ ΑΚΡΩΤΗΡΙ</v>
      </c>
      <c r="I3561">
        <v>73142</v>
      </c>
      <c r="J3561">
        <v>2821069588</v>
      </c>
      <c r="K3561">
        <v>6946464419</v>
      </c>
      <c r="M3561" t="s">
        <v>6848</v>
      </c>
      <c r="N3561" t="s">
        <v>288</v>
      </c>
      <c r="O3561" t="s">
        <v>289</v>
      </c>
      <c r="R3561" t="s">
        <v>57</v>
      </c>
      <c r="S3561">
        <v>12</v>
      </c>
      <c r="T3561">
        <v>181</v>
      </c>
      <c r="U3561" s="1">
        <v>36039</v>
      </c>
      <c r="V3561" t="s">
        <v>6729</v>
      </c>
      <c r="W3561" t="s">
        <v>6730</v>
      </c>
      <c r="X3561" t="s">
        <v>58</v>
      </c>
      <c r="Y3561">
        <v>18</v>
      </c>
      <c r="Z3561" t="s">
        <v>59</v>
      </c>
      <c r="AA3561" t="s">
        <v>59</v>
      </c>
      <c r="AB3561" t="s">
        <v>59</v>
      </c>
      <c r="AC3561" t="s">
        <v>59</v>
      </c>
      <c r="AD3561" t="s">
        <v>59</v>
      </c>
      <c r="AF3561" s="1">
        <v>36041</v>
      </c>
      <c r="AG3561" t="s">
        <v>125</v>
      </c>
      <c r="AH3561" t="s">
        <v>126</v>
      </c>
      <c r="AI3561" t="str">
        <f>"5001073"</f>
        <v>5001073</v>
      </c>
      <c r="AJ3561" t="s">
        <v>6849</v>
      </c>
      <c r="AK3561">
        <v>2821028553</v>
      </c>
      <c r="AL3561" t="s">
        <v>6850</v>
      </c>
      <c r="AM3561" t="s">
        <v>88</v>
      </c>
      <c r="AN3561" t="s">
        <v>88</v>
      </c>
      <c r="AO3561" t="s">
        <v>88</v>
      </c>
      <c r="AP3561" t="s">
        <v>88</v>
      </c>
      <c r="AQ3561">
        <v>1</v>
      </c>
      <c r="AR3561" t="s">
        <v>6729</v>
      </c>
      <c r="AS3561" t="s">
        <v>6730</v>
      </c>
      <c r="AT3561" t="s">
        <v>58</v>
      </c>
      <c r="AU3561" t="s">
        <v>68</v>
      </c>
      <c r="AV3561" t="s">
        <v>69</v>
      </c>
      <c r="AW3561" s="1">
        <v>23400</v>
      </c>
      <c r="AX3561">
        <v>2</v>
      </c>
    </row>
    <row r="3562" spans="1:50">
      <c r="A3562">
        <v>702781</v>
      </c>
      <c r="B3562" t="str">
        <f>"045280314"</f>
        <v>045280314</v>
      </c>
      <c r="C3562" t="s">
        <v>50</v>
      </c>
      <c r="D3562" t="s">
        <v>486</v>
      </c>
      <c r="E3562" t="s">
        <v>1068</v>
      </c>
      <c r="F3562" t="s">
        <v>92</v>
      </c>
      <c r="G3562" t="s">
        <v>1189</v>
      </c>
      <c r="H3562" t="str">
        <f>"ΗΡΩΩΝ ΠΟΛΥΤΕΧΝΙΟΥ 47-49 ΧΑΝΙΑ"</f>
        <v>ΗΡΩΩΝ ΠΟΛΥΤΕΧΝΙΟΥ 47-49 ΧΑΝΙΑ</v>
      </c>
      <c r="I3562">
        <v>73133</v>
      </c>
      <c r="N3562" t="s">
        <v>232</v>
      </c>
      <c r="O3562" t="s">
        <v>233</v>
      </c>
      <c r="R3562" t="s">
        <v>57</v>
      </c>
      <c r="S3562">
        <v>8</v>
      </c>
      <c r="T3562" t="s">
        <v>938</v>
      </c>
      <c r="U3562" s="1">
        <v>40420</v>
      </c>
      <c r="V3562" t="s">
        <v>6729</v>
      </c>
      <c r="W3562" t="s">
        <v>6730</v>
      </c>
      <c r="X3562" t="s">
        <v>58</v>
      </c>
      <c r="Y3562">
        <v>20</v>
      </c>
      <c r="Z3562" t="s">
        <v>59</v>
      </c>
      <c r="AA3562" t="s">
        <v>59</v>
      </c>
      <c r="AB3562" t="s">
        <v>59</v>
      </c>
      <c r="AC3562" t="s">
        <v>59</v>
      </c>
      <c r="AD3562" t="s">
        <v>59</v>
      </c>
      <c r="AF3562" s="1">
        <v>40429</v>
      </c>
      <c r="AG3562" t="s">
        <v>148</v>
      </c>
      <c r="AH3562" t="s">
        <v>149</v>
      </c>
      <c r="AI3562" t="str">
        <f>"5051009"</f>
        <v>5051009</v>
      </c>
      <c r="AJ3562" t="s">
        <v>6851</v>
      </c>
      <c r="AK3562">
        <v>2821044551</v>
      </c>
      <c r="AL3562" t="s">
        <v>6852</v>
      </c>
      <c r="AM3562" t="s">
        <v>88</v>
      </c>
      <c r="AN3562" t="s">
        <v>88</v>
      </c>
      <c r="AO3562" t="s">
        <v>6770</v>
      </c>
      <c r="AP3562" t="s">
        <v>6771</v>
      </c>
      <c r="AQ3562">
        <v>1</v>
      </c>
      <c r="AR3562" t="s">
        <v>6729</v>
      </c>
      <c r="AS3562" t="s">
        <v>6730</v>
      </c>
      <c r="AT3562" t="s">
        <v>58</v>
      </c>
      <c r="AU3562" t="s">
        <v>68</v>
      </c>
      <c r="AV3562" t="s">
        <v>69</v>
      </c>
      <c r="AW3562" s="1">
        <v>24401</v>
      </c>
      <c r="AX3562">
        <v>2</v>
      </c>
    </row>
    <row r="3563" spans="1:50">
      <c r="A3563">
        <v>191180</v>
      </c>
      <c r="B3563" t="str">
        <f>"101592770"</f>
        <v>101592770</v>
      </c>
      <c r="C3563" t="s">
        <v>105</v>
      </c>
      <c r="D3563" t="s">
        <v>493</v>
      </c>
      <c r="E3563" t="s">
        <v>1392</v>
      </c>
      <c r="F3563" t="s">
        <v>72</v>
      </c>
      <c r="G3563" t="s">
        <v>6853</v>
      </c>
      <c r="H3563" t="str">
        <f>"ΑΚΡΩΤΗΡΙΟΥ 142 ΧΑΝΙΑ"</f>
        <v>ΑΚΡΩΤΗΡΙΟΥ 142 ΧΑΝΙΑ</v>
      </c>
      <c r="I3563">
        <v>73100</v>
      </c>
      <c r="J3563">
        <v>2821063474</v>
      </c>
      <c r="K3563">
        <v>6945800251</v>
      </c>
      <c r="N3563" t="s">
        <v>204</v>
      </c>
      <c r="O3563" t="s">
        <v>205</v>
      </c>
      <c r="R3563" t="s">
        <v>57</v>
      </c>
      <c r="S3563">
        <v>9</v>
      </c>
      <c r="T3563">
        <v>219</v>
      </c>
      <c r="U3563" s="1">
        <v>37134</v>
      </c>
      <c r="V3563" t="s">
        <v>6729</v>
      </c>
      <c r="W3563" t="s">
        <v>6730</v>
      </c>
      <c r="X3563" t="s">
        <v>58</v>
      </c>
      <c r="Y3563">
        <v>20</v>
      </c>
      <c r="Z3563" t="s">
        <v>59</v>
      </c>
      <c r="AA3563" t="s">
        <v>59</v>
      </c>
      <c r="AB3563" t="s">
        <v>59</v>
      </c>
      <c r="AC3563" t="s">
        <v>59</v>
      </c>
      <c r="AD3563" t="s">
        <v>59</v>
      </c>
      <c r="AF3563" s="1">
        <v>37138</v>
      </c>
      <c r="AG3563" t="s">
        <v>125</v>
      </c>
      <c r="AH3563" t="s">
        <v>126</v>
      </c>
      <c r="AI3563" t="str">
        <f>"5001075"</f>
        <v>5001075</v>
      </c>
      <c r="AJ3563" t="s">
        <v>6768</v>
      </c>
      <c r="AK3563">
        <v>2821064200</v>
      </c>
      <c r="AL3563" t="s">
        <v>6769</v>
      </c>
      <c r="AM3563" t="s">
        <v>88</v>
      </c>
      <c r="AN3563" t="s">
        <v>88</v>
      </c>
      <c r="AO3563" t="s">
        <v>6770</v>
      </c>
      <c r="AP3563" t="s">
        <v>6771</v>
      </c>
      <c r="AQ3563">
        <v>1</v>
      </c>
      <c r="AR3563" t="s">
        <v>6729</v>
      </c>
      <c r="AS3563" t="s">
        <v>6730</v>
      </c>
      <c r="AT3563" t="s">
        <v>58</v>
      </c>
      <c r="AU3563" t="s">
        <v>68</v>
      </c>
      <c r="AV3563" t="s">
        <v>69</v>
      </c>
      <c r="AW3563" s="1">
        <v>27076</v>
      </c>
      <c r="AX3563">
        <v>2</v>
      </c>
    </row>
    <row r="3564" spans="1:50">
      <c r="A3564">
        <v>202533</v>
      </c>
      <c r="B3564" t="str">
        <f>"046537804"</f>
        <v>046537804</v>
      </c>
      <c r="C3564" t="s">
        <v>105</v>
      </c>
      <c r="D3564" t="s">
        <v>493</v>
      </c>
      <c r="E3564" t="s">
        <v>53</v>
      </c>
      <c r="F3564" t="s">
        <v>72</v>
      </c>
      <c r="G3564" t="s">
        <v>3285</v>
      </c>
      <c r="H3564" t="str">
        <f>"ΚΟΡΑΚΙΕΣ ΑΚΡΩΤΗΡΙΟΥ ΧΑΝΙΑ"</f>
        <v>ΚΟΡΑΚΙΕΣ ΑΚΡΩΤΗΡΙΟΥ ΧΑΝΙΑ</v>
      </c>
      <c r="I3564">
        <v>73100</v>
      </c>
      <c r="J3564">
        <v>2821064690</v>
      </c>
      <c r="K3564">
        <v>6944374134</v>
      </c>
      <c r="M3564" t="s">
        <v>6854</v>
      </c>
      <c r="N3564" t="s">
        <v>232</v>
      </c>
      <c r="O3564" t="s">
        <v>233</v>
      </c>
      <c r="R3564" t="s">
        <v>57</v>
      </c>
      <c r="S3564">
        <v>7</v>
      </c>
      <c r="T3564">
        <v>231</v>
      </c>
      <c r="U3564" s="1">
        <v>38230</v>
      </c>
      <c r="V3564" t="s">
        <v>6729</v>
      </c>
      <c r="W3564" t="s">
        <v>6730</v>
      </c>
      <c r="X3564" t="s">
        <v>58</v>
      </c>
      <c r="Y3564">
        <v>20</v>
      </c>
      <c r="Z3564" t="s">
        <v>59</v>
      </c>
      <c r="AA3564" t="s">
        <v>59</v>
      </c>
      <c r="AB3564" t="s">
        <v>59</v>
      </c>
      <c r="AC3564" t="s">
        <v>59</v>
      </c>
      <c r="AD3564" t="s">
        <v>59</v>
      </c>
      <c r="AF3564" s="1">
        <v>38231</v>
      </c>
      <c r="AG3564" t="s">
        <v>148</v>
      </c>
      <c r="AH3564" t="s">
        <v>149</v>
      </c>
      <c r="AI3564" t="str">
        <f>"5052010"</f>
        <v>5052010</v>
      </c>
      <c r="AJ3564" t="s">
        <v>6834</v>
      </c>
      <c r="AK3564">
        <v>2825022200</v>
      </c>
      <c r="AL3564" t="s">
        <v>6835</v>
      </c>
      <c r="AM3564" t="s">
        <v>88</v>
      </c>
      <c r="AN3564" t="s">
        <v>6775</v>
      </c>
      <c r="AO3564" t="s">
        <v>6776</v>
      </c>
      <c r="AP3564" t="s">
        <v>6776</v>
      </c>
      <c r="AQ3564">
        <v>1</v>
      </c>
      <c r="AR3564" t="s">
        <v>6729</v>
      </c>
      <c r="AS3564" t="s">
        <v>6730</v>
      </c>
      <c r="AT3564" t="s">
        <v>58</v>
      </c>
      <c r="AU3564" t="s">
        <v>68</v>
      </c>
      <c r="AV3564" t="s">
        <v>69</v>
      </c>
      <c r="AW3564" s="1">
        <v>24679</v>
      </c>
      <c r="AX3564">
        <v>2</v>
      </c>
    </row>
    <row r="3565" spans="1:50">
      <c r="A3565">
        <v>207156</v>
      </c>
      <c r="B3565" t="str">
        <f>"027306523"</f>
        <v>027306523</v>
      </c>
      <c r="C3565" t="s">
        <v>105</v>
      </c>
      <c r="D3565" t="s">
        <v>493</v>
      </c>
      <c r="E3565" t="s">
        <v>920</v>
      </c>
      <c r="F3565" t="s">
        <v>166</v>
      </c>
      <c r="G3565" t="s">
        <v>3866</v>
      </c>
      <c r="H3565" t="str">
        <f>" "</f>
        <v xml:space="preserve"> </v>
      </c>
      <c r="J3565">
        <v>2821088432</v>
      </c>
      <c r="K3565">
        <v>6974465256</v>
      </c>
      <c r="N3565" t="s">
        <v>199</v>
      </c>
      <c r="O3565" t="s">
        <v>200</v>
      </c>
      <c r="R3565" t="s">
        <v>57</v>
      </c>
      <c r="S3565">
        <v>10</v>
      </c>
      <c r="T3565">
        <v>218</v>
      </c>
      <c r="U3565" s="1">
        <v>38596</v>
      </c>
      <c r="V3565" t="s">
        <v>6729</v>
      </c>
      <c r="W3565" t="s">
        <v>6730</v>
      </c>
      <c r="X3565" t="s">
        <v>58</v>
      </c>
      <c r="Y3565">
        <v>18</v>
      </c>
      <c r="Z3565" t="s">
        <v>59</v>
      </c>
      <c r="AA3565" t="s">
        <v>59</v>
      </c>
      <c r="AB3565" t="s">
        <v>59</v>
      </c>
      <c r="AC3565" t="s">
        <v>59</v>
      </c>
      <c r="AD3565" t="s">
        <v>59</v>
      </c>
      <c r="AF3565" s="1">
        <v>38600</v>
      </c>
      <c r="AG3565" t="s">
        <v>148</v>
      </c>
      <c r="AH3565" t="s">
        <v>149</v>
      </c>
      <c r="AI3565" t="str">
        <f>"5062010"</f>
        <v>5062010</v>
      </c>
      <c r="AJ3565" t="s">
        <v>6783</v>
      </c>
      <c r="AK3565">
        <v>2821031620</v>
      </c>
      <c r="AL3565" t="s">
        <v>6784</v>
      </c>
      <c r="AM3565" t="s">
        <v>88</v>
      </c>
      <c r="AN3565" t="s">
        <v>88</v>
      </c>
      <c r="AO3565" t="s">
        <v>6785</v>
      </c>
      <c r="AP3565" t="s">
        <v>6786</v>
      </c>
      <c r="AQ3565">
        <v>1</v>
      </c>
      <c r="AR3565" t="s">
        <v>6729</v>
      </c>
      <c r="AS3565" t="s">
        <v>6730</v>
      </c>
      <c r="AT3565" t="s">
        <v>58</v>
      </c>
      <c r="AU3565" t="s">
        <v>68</v>
      </c>
      <c r="AV3565" t="s">
        <v>69</v>
      </c>
      <c r="AW3565" s="1">
        <v>20313</v>
      </c>
      <c r="AX3565">
        <v>2</v>
      </c>
    </row>
    <row r="3566" spans="1:50">
      <c r="A3566">
        <v>158279</v>
      </c>
      <c r="B3566" t="str">
        <f>"034626152"</f>
        <v>034626152</v>
      </c>
      <c r="C3566" t="s">
        <v>105</v>
      </c>
      <c r="D3566" t="s">
        <v>502</v>
      </c>
      <c r="E3566" t="s">
        <v>95</v>
      </c>
      <c r="F3566" t="s">
        <v>474</v>
      </c>
      <c r="G3566" t="s">
        <v>250</v>
      </c>
      <c r="H3566" t="str">
        <f>" "</f>
        <v xml:space="preserve"> </v>
      </c>
      <c r="K3566">
        <v>6946160361</v>
      </c>
      <c r="N3566" t="s">
        <v>331</v>
      </c>
      <c r="O3566" t="s">
        <v>332</v>
      </c>
      <c r="R3566" t="s">
        <v>57</v>
      </c>
      <c r="S3566">
        <v>16</v>
      </c>
      <c r="T3566">
        <v>249</v>
      </c>
      <c r="U3566" s="1">
        <v>32834</v>
      </c>
      <c r="V3566" t="s">
        <v>6729</v>
      </c>
      <c r="W3566" t="s">
        <v>6730</v>
      </c>
      <c r="X3566" t="s">
        <v>58</v>
      </c>
      <c r="Y3566">
        <v>18</v>
      </c>
      <c r="Z3566" t="s">
        <v>59</v>
      </c>
      <c r="AA3566" t="s">
        <v>59</v>
      </c>
      <c r="AB3566" t="s">
        <v>59</v>
      </c>
      <c r="AC3566" t="s">
        <v>59</v>
      </c>
      <c r="AD3566" t="s">
        <v>59</v>
      </c>
      <c r="AF3566" s="1">
        <v>32834</v>
      </c>
      <c r="AG3566" t="s">
        <v>137</v>
      </c>
      <c r="AH3566" t="s">
        <v>138</v>
      </c>
      <c r="AI3566" t="str">
        <f>"5040100"</f>
        <v>5040100</v>
      </c>
      <c r="AJ3566" t="s">
        <v>6790</v>
      </c>
      <c r="AK3566">
        <v>2821058998</v>
      </c>
      <c r="AL3566" t="s">
        <v>6791</v>
      </c>
      <c r="AM3566" t="s">
        <v>88</v>
      </c>
      <c r="AN3566" t="s">
        <v>88</v>
      </c>
      <c r="AO3566" t="s">
        <v>6770</v>
      </c>
      <c r="AP3566" t="s">
        <v>6771</v>
      </c>
      <c r="AQ3566">
        <v>1</v>
      </c>
      <c r="AR3566" t="s">
        <v>6729</v>
      </c>
      <c r="AS3566" t="s">
        <v>6730</v>
      </c>
      <c r="AT3566" t="s">
        <v>58</v>
      </c>
      <c r="AU3566" t="s">
        <v>68</v>
      </c>
      <c r="AV3566" t="s">
        <v>69</v>
      </c>
      <c r="AW3566" s="1">
        <v>19952</v>
      </c>
      <c r="AX3566">
        <v>2</v>
      </c>
    </row>
    <row r="3567" spans="1:50">
      <c r="A3567">
        <v>173998</v>
      </c>
      <c r="B3567" t="str">
        <f>"043740850"</f>
        <v>043740850</v>
      </c>
      <c r="C3567" t="s">
        <v>105</v>
      </c>
      <c r="D3567" t="s">
        <v>6855</v>
      </c>
      <c r="E3567" t="s">
        <v>166</v>
      </c>
      <c r="F3567" t="s">
        <v>95</v>
      </c>
      <c r="G3567" t="s">
        <v>6856</v>
      </c>
      <c r="H3567" t="str">
        <f>" "</f>
        <v xml:space="preserve"> </v>
      </c>
      <c r="N3567" t="s">
        <v>1647</v>
      </c>
      <c r="O3567" t="s">
        <v>1648</v>
      </c>
      <c r="R3567" t="s">
        <v>57</v>
      </c>
      <c r="S3567">
        <v>12</v>
      </c>
      <c r="T3567">
        <v>166</v>
      </c>
      <c r="U3567" s="1">
        <v>35300</v>
      </c>
      <c r="V3567" t="s">
        <v>6729</v>
      </c>
      <c r="W3567" t="s">
        <v>6730</v>
      </c>
      <c r="X3567" t="s">
        <v>58</v>
      </c>
      <c r="Y3567">
        <v>18</v>
      </c>
      <c r="Z3567" t="s">
        <v>59</v>
      </c>
      <c r="AA3567" t="s">
        <v>59</v>
      </c>
      <c r="AB3567" t="s">
        <v>59</v>
      </c>
      <c r="AC3567" t="s">
        <v>59</v>
      </c>
      <c r="AD3567" t="s">
        <v>59</v>
      </c>
      <c r="AF3567" s="1">
        <v>35312</v>
      </c>
      <c r="AG3567" t="s">
        <v>125</v>
      </c>
      <c r="AH3567" t="s">
        <v>126</v>
      </c>
      <c r="AI3567" t="str">
        <f>"5012010"</f>
        <v>5012010</v>
      </c>
      <c r="AJ3567" t="s">
        <v>6794</v>
      </c>
      <c r="AK3567">
        <v>2821033195</v>
      </c>
      <c r="AL3567" t="s">
        <v>6795</v>
      </c>
      <c r="AM3567" t="s">
        <v>88</v>
      </c>
      <c r="AN3567" t="s">
        <v>88</v>
      </c>
      <c r="AO3567" t="s">
        <v>6785</v>
      </c>
      <c r="AP3567" t="s">
        <v>6786</v>
      </c>
      <c r="AQ3567">
        <v>1</v>
      </c>
      <c r="AR3567" t="s">
        <v>6729</v>
      </c>
      <c r="AS3567" t="s">
        <v>6730</v>
      </c>
      <c r="AT3567" t="s">
        <v>58</v>
      </c>
      <c r="AU3567" t="s">
        <v>68</v>
      </c>
      <c r="AV3567" t="s">
        <v>69</v>
      </c>
      <c r="AW3567" s="1">
        <v>22274</v>
      </c>
      <c r="AX3567">
        <v>2</v>
      </c>
    </row>
    <row r="3568" spans="1:50">
      <c r="A3568">
        <v>197983</v>
      </c>
      <c r="B3568" t="str">
        <f>"034626207"</f>
        <v>034626207</v>
      </c>
      <c r="C3568" t="s">
        <v>105</v>
      </c>
      <c r="D3568" t="s">
        <v>6855</v>
      </c>
      <c r="E3568" t="s">
        <v>53</v>
      </c>
      <c r="F3568" t="s">
        <v>154</v>
      </c>
      <c r="G3568" t="s">
        <v>52</v>
      </c>
      <c r="H3568" t="str">
        <f>" "</f>
        <v xml:space="preserve"> </v>
      </c>
      <c r="J3568">
        <v>2821086801</v>
      </c>
      <c r="K3568">
        <v>6977650196</v>
      </c>
      <c r="N3568" t="s">
        <v>232</v>
      </c>
      <c r="O3568" t="s">
        <v>233</v>
      </c>
      <c r="R3568" t="s">
        <v>57</v>
      </c>
      <c r="S3568">
        <v>11</v>
      </c>
      <c r="T3568">
        <v>206</v>
      </c>
      <c r="U3568" s="1">
        <v>37866</v>
      </c>
      <c r="V3568" t="s">
        <v>6729</v>
      </c>
      <c r="W3568" t="s">
        <v>6730</v>
      </c>
      <c r="X3568" t="s">
        <v>58</v>
      </c>
      <c r="Y3568">
        <v>18</v>
      </c>
      <c r="Z3568" t="s">
        <v>59</v>
      </c>
      <c r="AA3568" t="s">
        <v>59</v>
      </c>
      <c r="AB3568" t="s">
        <v>59</v>
      </c>
      <c r="AC3568" t="s">
        <v>59</v>
      </c>
      <c r="AD3568" t="s">
        <v>59</v>
      </c>
      <c r="AF3568" s="1">
        <v>37868</v>
      </c>
      <c r="AG3568" t="s">
        <v>148</v>
      </c>
      <c r="AH3568" t="s">
        <v>149</v>
      </c>
      <c r="AI3568" t="str">
        <f>"5062010"</f>
        <v>5062010</v>
      </c>
      <c r="AJ3568" t="s">
        <v>6783</v>
      </c>
      <c r="AK3568">
        <v>2821031620</v>
      </c>
      <c r="AL3568" t="s">
        <v>6784</v>
      </c>
      <c r="AM3568" t="s">
        <v>88</v>
      </c>
      <c r="AN3568" t="s">
        <v>88</v>
      </c>
      <c r="AO3568" t="s">
        <v>6785</v>
      </c>
      <c r="AP3568" t="s">
        <v>6786</v>
      </c>
      <c r="AQ3568">
        <v>1</v>
      </c>
      <c r="AR3568" t="s">
        <v>6729</v>
      </c>
      <c r="AS3568" t="s">
        <v>6730</v>
      </c>
      <c r="AT3568" t="s">
        <v>58</v>
      </c>
      <c r="AU3568" t="s">
        <v>68</v>
      </c>
      <c r="AV3568" t="s">
        <v>69</v>
      </c>
      <c r="AW3568" s="1">
        <v>22128</v>
      </c>
      <c r="AX3568">
        <v>2</v>
      </c>
    </row>
    <row r="3569" spans="1:50">
      <c r="A3569">
        <v>210017</v>
      </c>
      <c r="B3569" t="str">
        <f>"047214945"</f>
        <v>047214945</v>
      </c>
      <c r="C3569" t="s">
        <v>105</v>
      </c>
      <c r="D3569" t="s">
        <v>6857</v>
      </c>
      <c r="E3569" t="s">
        <v>95</v>
      </c>
      <c r="F3569" t="s">
        <v>377</v>
      </c>
      <c r="G3569" t="s">
        <v>52</v>
      </c>
      <c r="H3569" t="str">
        <f>"Γ. ΡΙΤΣΟΥ 22 ΧΑΝΙΑ"</f>
        <v>Γ. ΡΙΤΣΟΥ 22 ΧΑΝΙΑ</v>
      </c>
      <c r="I3569">
        <v>73100</v>
      </c>
      <c r="J3569">
        <v>2821088817</v>
      </c>
      <c r="K3569">
        <v>6932848384</v>
      </c>
      <c r="M3569" t="s">
        <v>6858</v>
      </c>
      <c r="N3569" t="s">
        <v>199</v>
      </c>
      <c r="O3569" t="s">
        <v>200</v>
      </c>
      <c r="R3569" t="s">
        <v>57</v>
      </c>
      <c r="S3569">
        <v>10</v>
      </c>
      <c r="T3569">
        <v>228</v>
      </c>
      <c r="U3569" s="1">
        <v>38611</v>
      </c>
      <c r="V3569" t="s">
        <v>6729</v>
      </c>
      <c r="W3569" t="s">
        <v>6730</v>
      </c>
      <c r="X3569" t="s">
        <v>58</v>
      </c>
      <c r="Y3569">
        <v>20</v>
      </c>
      <c r="Z3569" t="s">
        <v>59</v>
      </c>
      <c r="AA3569" t="s">
        <v>59</v>
      </c>
      <c r="AB3569" t="s">
        <v>59</v>
      </c>
      <c r="AC3569" t="s">
        <v>59</v>
      </c>
      <c r="AD3569" t="s">
        <v>59</v>
      </c>
      <c r="AF3569" s="1">
        <v>38611</v>
      </c>
      <c r="AG3569" t="s">
        <v>125</v>
      </c>
      <c r="AH3569" t="s">
        <v>294</v>
      </c>
      <c r="AI3569" t="str">
        <f>"5012017"</f>
        <v>5012017</v>
      </c>
      <c r="AJ3569" t="s">
        <v>6859</v>
      </c>
      <c r="AK3569">
        <v>2821088065</v>
      </c>
      <c r="AL3569" t="s">
        <v>6860</v>
      </c>
      <c r="AM3569" t="s">
        <v>88</v>
      </c>
      <c r="AN3569" t="s">
        <v>88</v>
      </c>
      <c r="AO3569" t="s">
        <v>88</v>
      </c>
      <c r="AP3569" t="s">
        <v>88</v>
      </c>
      <c r="AQ3569">
        <v>1</v>
      </c>
      <c r="AR3569" t="s">
        <v>6729</v>
      </c>
      <c r="AS3569" t="s">
        <v>6730</v>
      </c>
      <c r="AT3569" t="s">
        <v>58</v>
      </c>
      <c r="AU3569" t="s">
        <v>68</v>
      </c>
      <c r="AV3569" t="s">
        <v>69</v>
      </c>
      <c r="AW3569" s="1">
        <v>26042</v>
      </c>
      <c r="AX3569">
        <v>2</v>
      </c>
    </row>
    <row r="3570" spans="1:50">
      <c r="B3570" t="str">
        <f>"131493858"</f>
        <v>131493858</v>
      </c>
      <c r="C3570" t="s">
        <v>105</v>
      </c>
      <c r="D3570" t="s">
        <v>6857</v>
      </c>
      <c r="E3570" t="s">
        <v>72</v>
      </c>
      <c r="F3570" t="s">
        <v>154</v>
      </c>
      <c r="G3570" t="s">
        <v>255</v>
      </c>
      <c r="H3570" t="str">
        <f>"ΨΥΧΟΥΝΤΑΚΗ 2 ΡΕΘΥΜΝΟ"</f>
        <v>ΨΥΧΟΥΝΤΑΚΗ 2 ΡΕΘΥΜΝΟ</v>
      </c>
      <c r="I3570">
        <v>74100</v>
      </c>
      <c r="J3570">
        <v>2831021630</v>
      </c>
      <c r="K3570">
        <v>6978696708</v>
      </c>
      <c r="N3570" t="s">
        <v>500</v>
      </c>
      <c r="O3570" t="s">
        <v>501</v>
      </c>
      <c r="R3570" t="s">
        <v>159</v>
      </c>
      <c r="S3570">
        <v>4</v>
      </c>
      <c r="T3570" t="s">
        <v>344</v>
      </c>
      <c r="U3570" s="1">
        <v>43348</v>
      </c>
      <c r="V3570" t="s">
        <v>6729</v>
      </c>
      <c r="W3570" t="s">
        <v>6730</v>
      </c>
      <c r="X3570" t="s">
        <v>58</v>
      </c>
      <c r="Y3570">
        <v>23</v>
      </c>
      <c r="Z3570" t="s">
        <v>59</v>
      </c>
      <c r="AA3570" t="s">
        <v>59</v>
      </c>
      <c r="AB3570" t="s">
        <v>59</v>
      </c>
      <c r="AC3570" t="s">
        <v>59</v>
      </c>
      <c r="AD3570" t="s">
        <v>59</v>
      </c>
      <c r="AF3570" s="1">
        <v>43348</v>
      </c>
      <c r="AG3570" t="s">
        <v>125</v>
      </c>
      <c r="AH3570" t="s">
        <v>126</v>
      </c>
      <c r="AI3570" t="str">
        <f>"5010010"</f>
        <v>5010010</v>
      </c>
      <c r="AJ3570" t="s">
        <v>6779</v>
      </c>
      <c r="AK3570">
        <v>2825051288</v>
      </c>
      <c r="AL3570" t="s">
        <v>6780</v>
      </c>
      <c r="AM3570" t="s">
        <v>88</v>
      </c>
      <c r="AN3570" t="s">
        <v>6775</v>
      </c>
      <c r="AO3570" t="s">
        <v>6781</v>
      </c>
      <c r="AP3570" t="s">
        <v>6782</v>
      </c>
      <c r="AQ3570">
        <v>1</v>
      </c>
      <c r="AR3570" t="s">
        <v>6729</v>
      </c>
      <c r="AS3570" t="s">
        <v>6730</v>
      </c>
      <c r="AT3570" t="s">
        <v>58</v>
      </c>
      <c r="AU3570" t="s">
        <v>350</v>
      </c>
      <c r="AV3570" t="s">
        <v>132</v>
      </c>
      <c r="AW3570" s="1">
        <v>28669</v>
      </c>
      <c r="AX3570">
        <v>2</v>
      </c>
    </row>
    <row r="3571" spans="1:50">
      <c r="A3571">
        <v>144956</v>
      </c>
      <c r="B3571" t="str">
        <f>"027306584"</f>
        <v>027306584</v>
      </c>
      <c r="C3571" t="s">
        <v>105</v>
      </c>
      <c r="D3571" t="s">
        <v>543</v>
      </c>
      <c r="E3571" t="s">
        <v>564</v>
      </c>
      <c r="F3571" t="s">
        <v>4629</v>
      </c>
      <c r="G3571" t="s">
        <v>83</v>
      </c>
      <c r="H3571" t="str">
        <f>" "</f>
        <v xml:space="preserve"> </v>
      </c>
      <c r="N3571" t="s">
        <v>232</v>
      </c>
      <c r="O3571" t="s">
        <v>233</v>
      </c>
      <c r="R3571" t="s">
        <v>57</v>
      </c>
      <c r="S3571">
        <v>17</v>
      </c>
      <c r="T3571">
        <v>250</v>
      </c>
      <c r="U3571" s="1">
        <v>30900</v>
      </c>
      <c r="V3571" t="s">
        <v>6729</v>
      </c>
      <c r="W3571" t="s">
        <v>6730</v>
      </c>
      <c r="X3571" t="s">
        <v>58</v>
      </c>
      <c r="Y3571">
        <v>18</v>
      </c>
      <c r="Z3571" t="s">
        <v>59</v>
      </c>
      <c r="AA3571" t="s">
        <v>59</v>
      </c>
      <c r="AB3571" t="s">
        <v>59</v>
      </c>
      <c r="AC3571" t="s">
        <v>59</v>
      </c>
      <c r="AD3571" t="s">
        <v>59</v>
      </c>
      <c r="AF3571" s="1">
        <v>30901</v>
      </c>
      <c r="AG3571" t="s">
        <v>148</v>
      </c>
      <c r="AH3571" t="s">
        <v>149</v>
      </c>
      <c r="AI3571" t="str">
        <f>"5051050"</f>
        <v>5051050</v>
      </c>
      <c r="AJ3571" t="s">
        <v>6861</v>
      </c>
      <c r="AK3571">
        <v>2821044860</v>
      </c>
      <c r="AL3571" t="s">
        <v>6862</v>
      </c>
      <c r="AM3571" t="s">
        <v>88</v>
      </c>
      <c r="AN3571" t="s">
        <v>88</v>
      </c>
      <c r="AO3571" t="s">
        <v>88</v>
      </c>
      <c r="AP3571" t="s">
        <v>88</v>
      </c>
      <c r="AQ3571">
        <v>1</v>
      </c>
      <c r="AR3571" t="s">
        <v>6729</v>
      </c>
      <c r="AS3571" t="s">
        <v>6730</v>
      </c>
      <c r="AT3571" t="s">
        <v>58</v>
      </c>
      <c r="AU3571" t="s">
        <v>68</v>
      </c>
      <c r="AV3571" t="s">
        <v>69</v>
      </c>
      <c r="AW3571" s="1">
        <v>20965</v>
      </c>
      <c r="AX3571">
        <v>2</v>
      </c>
    </row>
    <row r="3572" spans="1:50">
      <c r="A3572">
        <v>221883</v>
      </c>
      <c r="B3572" t="str">
        <f>"058689110"</f>
        <v>058689110</v>
      </c>
      <c r="C3572" t="s">
        <v>105</v>
      </c>
      <c r="D3572" t="s">
        <v>543</v>
      </c>
      <c r="E3572" t="s">
        <v>510</v>
      </c>
      <c r="F3572" t="s">
        <v>53</v>
      </c>
      <c r="G3572" t="s">
        <v>6863</v>
      </c>
      <c r="H3572" t="str">
        <f>"ΚΑΛΥΒΕΣ ΑΠΟΚΟΡΩΝΟΥ "</f>
        <v xml:space="preserve">ΚΑΛΥΒΕΣ ΑΠΟΚΟΡΩΝΟΥ </v>
      </c>
      <c r="I3572">
        <v>73008</v>
      </c>
      <c r="J3572">
        <v>2825032248</v>
      </c>
      <c r="K3572">
        <v>6946174752</v>
      </c>
      <c r="M3572" t="s">
        <v>6864</v>
      </c>
      <c r="N3572" t="s">
        <v>146</v>
      </c>
      <c r="O3572" t="s">
        <v>147</v>
      </c>
      <c r="R3572" t="s">
        <v>57</v>
      </c>
      <c r="S3572">
        <v>7</v>
      </c>
      <c r="T3572">
        <v>775</v>
      </c>
      <c r="U3572" s="1">
        <v>39680</v>
      </c>
      <c r="V3572" t="s">
        <v>6729</v>
      </c>
      <c r="W3572" t="s">
        <v>6730</v>
      </c>
      <c r="X3572" t="s">
        <v>58</v>
      </c>
      <c r="Y3572">
        <v>20</v>
      </c>
      <c r="Z3572" t="s">
        <v>59</v>
      </c>
      <c r="AA3572" t="s">
        <v>59</v>
      </c>
      <c r="AB3572" t="s">
        <v>59</v>
      </c>
      <c r="AC3572" t="s">
        <v>59</v>
      </c>
      <c r="AD3572" t="s">
        <v>59</v>
      </c>
      <c r="AF3572" s="1">
        <v>39692</v>
      </c>
      <c r="AG3572" t="s">
        <v>148</v>
      </c>
      <c r="AH3572" t="s">
        <v>1053</v>
      </c>
      <c r="AI3572" t="str">
        <f>"5051015"</f>
        <v>5051015</v>
      </c>
      <c r="AJ3572" t="s">
        <v>6865</v>
      </c>
      <c r="AK3572">
        <v>2821043770</v>
      </c>
      <c r="AL3572" t="s">
        <v>6866</v>
      </c>
      <c r="AM3572" t="s">
        <v>88</v>
      </c>
      <c r="AN3572" t="s">
        <v>88</v>
      </c>
      <c r="AO3572" t="s">
        <v>88</v>
      </c>
      <c r="AP3572" t="s">
        <v>88</v>
      </c>
      <c r="AQ3572">
        <v>1</v>
      </c>
      <c r="AR3572" t="s">
        <v>6729</v>
      </c>
      <c r="AS3572" t="s">
        <v>6730</v>
      </c>
      <c r="AT3572" t="s">
        <v>58</v>
      </c>
      <c r="AU3572" t="s">
        <v>68</v>
      </c>
      <c r="AV3572" t="s">
        <v>69</v>
      </c>
      <c r="AW3572" s="1">
        <v>26315</v>
      </c>
      <c r="AX3572">
        <v>2</v>
      </c>
    </row>
    <row r="3573" spans="1:50">
      <c r="A3573">
        <v>703296</v>
      </c>
      <c r="B3573" t="str">
        <f>"062852830"</f>
        <v>062852830</v>
      </c>
      <c r="C3573" t="s">
        <v>105</v>
      </c>
      <c r="D3573" t="s">
        <v>556</v>
      </c>
      <c r="E3573" t="s">
        <v>111</v>
      </c>
      <c r="F3573" t="s">
        <v>166</v>
      </c>
      <c r="G3573" t="s">
        <v>372</v>
      </c>
      <c r="H3573" t="str">
        <f>"ΦΑΝΑΡΙΟΥ 2 ΡΕΘΥΜΝΟ"</f>
        <v>ΦΑΝΑΡΙΟΥ 2 ΡΕΘΥΜΝΟ</v>
      </c>
      <c r="I3573">
        <v>74100</v>
      </c>
      <c r="J3573">
        <v>2831024281</v>
      </c>
      <c r="K3573">
        <v>6983910366</v>
      </c>
      <c r="M3573" t="s">
        <v>6867</v>
      </c>
      <c r="N3573" t="s">
        <v>232</v>
      </c>
      <c r="O3573" t="s">
        <v>233</v>
      </c>
      <c r="R3573" t="s">
        <v>57</v>
      </c>
      <c r="S3573">
        <v>4</v>
      </c>
      <c r="T3573" t="s">
        <v>2892</v>
      </c>
      <c r="U3573" s="1">
        <v>40413</v>
      </c>
      <c r="V3573" t="s">
        <v>6729</v>
      </c>
      <c r="W3573" t="s">
        <v>6730</v>
      </c>
      <c r="X3573" t="s">
        <v>58</v>
      </c>
      <c r="Y3573">
        <v>21</v>
      </c>
      <c r="Z3573" t="s">
        <v>59</v>
      </c>
      <c r="AA3573" t="s">
        <v>59</v>
      </c>
      <c r="AB3573" t="s">
        <v>59</v>
      </c>
      <c r="AC3573" t="s">
        <v>59</v>
      </c>
      <c r="AD3573" t="s">
        <v>59</v>
      </c>
      <c r="AF3573" s="1">
        <v>40781</v>
      </c>
      <c r="AG3573" t="s">
        <v>148</v>
      </c>
      <c r="AH3573" t="s">
        <v>149</v>
      </c>
      <c r="AI3573" t="str">
        <f>"5055010"</f>
        <v>5055010</v>
      </c>
      <c r="AJ3573" t="s">
        <v>6868</v>
      </c>
      <c r="AK3573">
        <v>2823041416</v>
      </c>
      <c r="AL3573" t="s">
        <v>6869</v>
      </c>
      <c r="AM3573" t="s">
        <v>88</v>
      </c>
      <c r="AN3573" t="s">
        <v>6824</v>
      </c>
      <c r="AO3573" t="s">
        <v>6870</v>
      </c>
      <c r="AP3573" t="s">
        <v>6871</v>
      </c>
      <c r="AQ3573">
        <v>1</v>
      </c>
      <c r="AR3573" t="s">
        <v>6729</v>
      </c>
      <c r="AS3573" t="s">
        <v>6730</v>
      </c>
      <c r="AT3573" t="s">
        <v>58</v>
      </c>
      <c r="AU3573" t="s">
        <v>68</v>
      </c>
      <c r="AV3573" t="s">
        <v>132</v>
      </c>
      <c r="AW3573" s="1">
        <v>29532</v>
      </c>
      <c r="AX3573">
        <v>2</v>
      </c>
    </row>
    <row r="3574" spans="1:50">
      <c r="A3574">
        <v>210420</v>
      </c>
      <c r="B3574" t="str">
        <f>"127746034"</f>
        <v>127746034</v>
      </c>
      <c r="C3574" t="s">
        <v>50</v>
      </c>
      <c r="D3574" t="s">
        <v>6872</v>
      </c>
      <c r="E3574" t="s">
        <v>143</v>
      </c>
      <c r="F3574" t="s">
        <v>53</v>
      </c>
      <c r="G3574" t="s">
        <v>52</v>
      </c>
      <c r="H3574" t="str">
        <f>"ΞΑΝΘΟΥΔΙΔΟΥ 25 ΧΑΝΙΑ"</f>
        <v>ΞΑΝΘΟΥΔΙΔΟΥ 25 ΧΑΝΙΑ</v>
      </c>
      <c r="I3574">
        <v>73134</v>
      </c>
      <c r="J3574">
        <v>2821044376</v>
      </c>
      <c r="K3574">
        <v>6979502027</v>
      </c>
      <c r="N3574" t="s">
        <v>306</v>
      </c>
      <c r="O3574" t="s">
        <v>307</v>
      </c>
      <c r="R3574" t="s">
        <v>57</v>
      </c>
      <c r="S3574">
        <v>8</v>
      </c>
      <c r="T3574">
        <v>249</v>
      </c>
      <c r="U3574" s="1">
        <v>38617</v>
      </c>
      <c r="V3574" t="s">
        <v>6729</v>
      </c>
      <c r="W3574" t="s">
        <v>6730</v>
      </c>
      <c r="X3574" t="s">
        <v>58</v>
      </c>
      <c r="Y3574">
        <v>20</v>
      </c>
      <c r="Z3574" t="s">
        <v>59</v>
      </c>
      <c r="AA3574" t="s">
        <v>59</v>
      </c>
      <c r="AB3574" t="s">
        <v>59</v>
      </c>
      <c r="AC3574" t="s">
        <v>59</v>
      </c>
      <c r="AD3574" t="s">
        <v>59</v>
      </c>
      <c r="AF3574" s="1">
        <v>38621</v>
      </c>
      <c r="AG3574" t="s">
        <v>125</v>
      </c>
      <c r="AH3574" t="s">
        <v>126</v>
      </c>
      <c r="AI3574" t="str">
        <f>"5001010"</f>
        <v>5001010</v>
      </c>
      <c r="AJ3574" t="s">
        <v>6873</v>
      </c>
      <c r="AK3574">
        <v>2821052130</v>
      </c>
      <c r="AL3574" t="s">
        <v>6874</v>
      </c>
      <c r="AM3574" t="s">
        <v>88</v>
      </c>
      <c r="AN3574" t="s">
        <v>88</v>
      </c>
      <c r="AO3574" t="s">
        <v>88</v>
      </c>
      <c r="AP3574" t="s">
        <v>88</v>
      </c>
      <c r="AQ3574">
        <v>1</v>
      </c>
      <c r="AR3574" t="s">
        <v>6729</v>
      </c>
      <c r="AS3574" t="s">
        <v>6730</v>
      </c>
      <c r="AT3574" t="s">
        <v>58</v>
      </c>
      <c r="AU3574" t="s">
        <v>68</v>
      </c>
      <c r="AV3574" t="s">
        <v>69</v>
      </c>
      <c r="AW3574" s="1">
        <v>29497</v>
      </c>
      <c r="AX3574">
        <v>2</v>
      </c>
    </row>
    <row r="3575" spans="1:50">
      <c r="A3575">
        <v>156508</v>
      </c>
      <c r="B3575" t="str">
        <f>"135223653"</f>
        <v>135223653</v>
      </c>
      <c r="C3575" t="s">
        <v>50</v>
      </c>
      <c r="D3575" t="s">
        <v>6875</v>
      </c>
      <c r="E3575" t="s">
        <v>809</v>
      </c>
      <c r="F3575" t="s">
        <v>111</v>
      </c>
      <c r="G3575" t="s">
        <v>411</v>
      </c>
      <c r="H3575" t="str">
        <f>"ΚΝΩΣΣΟΥ 53 ΧΑΝΙΑ"</f>
        <v>ΚΝΩΣΣΟΥ 53 ΧΑΝΙΑ</v>
      </c>
      <c r="I3575">
        <v>73100</v>
      </c>
      <c r="J3575">
        <v>2821043116</v>
      </c>
      <c r="K3575">
        <v>6978152074</v>
      </c>
      <c r="M3575" t="s">
        <v>6876</v>
      </c>
      <c r="N3575" t="s">
        <v>292</v>
      </c>
      <c r="O3575" t="s">
        <v>293</v>
      </c>
      <c r="R3575" t="s">
        <v>57</v>
      </c>
      <c r="S3575">
        <v>14</v>
      </c>
      <c r="T3575">
        <v>188</v>
      </c>
      <c r="U3575" s="1">
        <v>32752</v>
      </c>
      <c r="V3575" t="s">
        <v>6729</v>
      </c>
      <c r="W3575" t="s">
        <v>6730</v>
      </c>
      <c r="X3575" t="s">
        <v>58</v>
      </c>
      <c r="Y3575">
        <v>18</v>
      </c>
      <c r="Z3575" t="s">
        <v>59</v>
      </c>
      <c r="AA3575" t="s">
        <v>59</v>
      </c>
      <c r="AB3575" t="s">
        <v>59</v>
      </c>
      <c r="AC3575" t="s">
        <v>59</v>
      </c>
      <c r="AD3575" t="s">
        <v>59</v>
      </c>
      <c r="AF3575" s="1">
        <v>32756</v>
      </c>
      <c r="AG3575" t="s">
        <v>125</v>
      </c>
      <c r="AH3575" t="s">
        <v>126</v>
      </c>
      <c r="AI3575" t="str">
        <f>"5011010"</f>
        <v>5011010</v>
      </c>
      <c r="AJ3575" t="s">
        <v>6877</v>
      </c>
      <c r="AK3575">
        <v>2821081330</v>
      </c>
      <c r="AL3575" t="s">
        <v>6878</v>
      </c>
      <c r="AM3575" t="s">
        <v>88</v>
      </c>
      <c r="AN3575" t="s">
        <v>88</v>
      </c>
      <c r="AO3575" t="s">
        <v>6748</v>
      </c>
      <c r="AP3575" t="s">
        <v>6748</v>
      </c>
      <c r="AQ3575">
        <v>1</v>
      </c>
      <c r="AR3575" t="s">
        <v>6729</v>
      </c>
      <c r="AS3575" t="s">
        <v>6730</v>
      </c>
      <c r="AT3575" t="s">
        <v>58</v>
      </c>
      <c r="AU3575" t="s">
        <v>68</v>
      </c>
      <c r="AV3575" t="s">
        <v>69</v>
      </c>
      <c r="AW3575" s="1">
        <v>20987</v>
      </c>
      <c r="AX3575">
        <v>2</v>
      </c>
    </row>
    <row r="3576" spans="1:50">
      <c r="A3576">
        <v>209399</v>
      </c>
      <c r="B3576" t="str">
        <f>"115661324"</f>
        <v>115661324</v>
      </c>
      <c r="C3576" t="s">
        <v>50</v>
      </c>
      <c r="D3576" t="s">
        <v>6879</v>
      </c>
      <c r="E3576" t="s">
        <v>263</v>
      </c>
      <c r="F3576" t="s">
        <v>53</v>
      </c>
      <c r="G3576" t="s">
        <v>553</v>
      </c>
      <c r="H3576" t="str">
        <f>" "</f>
        <v xml:space="preserve"> </v>
      </c>
      <c r="J3576">
        <v>2821071781</v>
      </c>
      <c r="K3576">
        <v>6937144818</v>
      </c>
      <c r="N3576" t="s">
        <v>146</v>
      </c>
      <c r="O3576" t="s">
        <v>147</v>
      </c>
      <c r="R3576" t="s">
        <v>57</v>
      </c>
      <c r="S3576">
        <v>8</v>
      </c>
      <c r="T3576">
        <v>225</v>
      </c>
      <c r="U3576" s="1">
        <v>38604</v>
      </c>
      <c r="V3576" t="s">
        <v>6729</v>
      </c>
      <c r="W3576" t="s">
        <v>6730</v>
      </c>
      <c r="X3576" t="s">
        <v>58</v>
      </c>
      <c r="Y3576">
        <v>20</v>
      </c>
      <c r="Z3576" t="s">
        <v>59</v>
      </c>
      <c r="AA3576" t="s">
        <v>59</v>
      </c>
      <c r="AB3576" t="s">
        <v>59</v>
      </c>
      <c r="AC3576" t="s">
        <v>59</v>
      </c>
      <c r="AD3576" t="s">
        <v>59</v>
      </c>
      <c r="AF3576" s="1">
        <v>38607</v>
      </c>
      <c r="AG3576" t="s">
        <v>148</v>
      </c>
      <c r="AH3576" t="s">
        <v>149</v>
      </c>
      <c r="AI3576" t="str">
        <f>"5061010"</f>
        <v>5061010</v>
      </c>
      <c r="AJ3576" t="s">
        <v>6746</v>
      </c>
      <c r="AK3576">
        <v>2821081530</v>
      </c>
      <c r="AL3576" t="s">
        <v>6747</v>
      </c>
      <c r="AM3576" t="s">
        <v>88</v>
      </c>
      <c r="AN3576" t="s">
        <v>88</v>
      </c>
      <c r="AO3576" t="s">
        <v>6748</v>
      </c>
      <c r="AP3576" t="s">
        <v>6748</v>
      </c>
      <c r="AQ3576">
        <v>1</v>
      </c>
      <c r="AR3576" t="s">
        <v>6729</v>
      </c>
      <c r="AS3576" t="s">
        <v>6730</v>
      </c>
      <c r="AT3576" t="s">
        <v>58</v>
      </c>
      <c r="AU3576" t="s">
        <v>68</v>
      </c>
      <c r="AV3576" t="s">
        <v>69</v>
      </c>
      <c r="AW3576" s="1">
        <v>28060</v>
      </c>
      <c r="AX3576">
        <v>2</v>
      </c>
    </row>
    <row r="3577" spans="1:50">
      <c r="A3577">
        <v>209312</v>
      </c>
      <c r="B3577" t="str">
        <f>"128131652"</f>
        <v>128131652</v>
      </c>
      <c r="C3577" t="s">
        <v>105</v>
      </c>
      <c r="D3577" t="s">
        <v>6880</v>
      </c>
      <c r="E3577" t="s">
        <v>383</v>
      </c>
      <c r="F3577" t="s">
        <v>108</v>
      </c>
      <c r="G3577" t="s">
        <v>6881</v>
      </c>
      <c r="H3577" t="str">
        <f>"ΑΓΙΑΣ ΜΑΡΙΝΗΣ 3 ΧΟΡΤΙΑΤΗΣ"</f>
        <v>ΑΓΙΑΣ ΜΑΡΙΝΗΣ 3 ΧΟΡΤΙΑΤΗΣ</v>
      </c>
      <c r="I3577">
        <v>57010</v>
      </c>
      <c r="J3577">
        <v>2310349220</v>
      </c>
      <c r="K3577">
        <v>6997046190</v>
      </c>
      <c r="M3577" t="s">
        <v>6882</v>
      </c>
      <c r="N3577" t="s">
        <v>157</v>
      </c>
      <c r="O3577" t="s">
        <v>158</v>
      </c>
      <c r="R3577" t="s">
        <v>57</v>
      </c>
      <c r="S3577">
        <v>9</v>
      </c>
      <c r="T3577">
        <v>225</v>
      </c>
      <c r="U3577" s="1">
        <v>38604</v>
      </c>
      <c r="V3577" t="s">
        <v>6729</v>
      </c>
      <c r="W3577" t="s">
        <v>6730</v>
      </c>
      <c r="X3577" t="s">
        <v>58</v>
      </c>
      <c r="Y3577">
        <v>20</v>
      </c>
      <c r="Z3577" t="s">
        <v>59</v>
      </c>
      <c r="AA3577" t="s">
        <v>59</v>
      </c>
      <c r="AB3577" t="s">
        <v>59</v>
      </c>
      <c r="AC3577" t="s">
        <v>59</v>
      </c>
      <c r="AD3577" t="s">
        <v>59</v>
      </c>
      <c r="AF3577" s="1">
        <v>38609</v>
      </c>
      <c r="AG3577" t="s">
        <v>148</v>
      </c>
      <c r="AH3577" t="s">
        <v>149</v>
      </c>
      <c r="AI3577" t="str">
        <f>"5059010"</f>
        <v>5059010</v>
      </c>
      <c r="AJ3577" t="s">
        <v>6883</v>
      </c>
      <c r="AK3577">
        <v>2821077166</v>
      </c>
      <c r="AL3577" t="s">
        <v>6884</v>
      </c>
      <c r="AM3577" t="s">
        <v>88</v>
      </c>
      <c r="AN3577" t="s">
        <v>6764</v>
      </c>
      <c r="AO3577" t="s">
        <v>6885</v>
      </c>
      <c r="AP3577" t="s">
        <v>6886</v>
      </c>
      <c r="AQ3577">
        <v>1</v>
      </c>
      <c r="AR3577" t="s">
        <v>6729</v>
      </c>
      <c r="AS3577" t="s">
        <v>6730</v>
      </c>
      <c r="AT3577" t="s">
        <v>58</v>
      </c>
      <c r="AU3577" t="s">
        <v>68</v>
      </c>
      <c r="AV3577" t="s">
        <v>69</v>
      </c>
      <c r="AW3577" s="1">
        <v>29126</v>
      </c>
      <c r="AX3577">
        <v>2</v>
      </c>
    </row>
    <row r="3578" spans="1:50">
      <c r="A3578">
        <v>194895</v>
      </c>
      <c r="B3578" t="str">
        <f>"054842558"</f>
        <v>054842558</v>
      </c>
      <c r="C3578" t="s">
        <v>50</v>
      </c>
      <c r="D3578" t="s">
        <v>606</v>
      </c>
      <c r="E3578" t="s">
        <v>155</v>
      </c>
      <c r="F3578" t="s">
        <v>72</v>
      </c>
      <c r="G3578" t="s">
        <v>52</v>
      </c>
      <c r="H3578" t="str">
        <f>"ΜΙΧΑΗΛ ΜΠΟΤΟΝΑΚΗ 3 ΧΑΝΙΑ"</f>
        <v>ΜΙΧΑΗΛ ΜΠΟΤΟΝΑΚΗ 3 ΧΑΝΙΑ</v>
      </c>
      <c r="I3578">
        <v>73133</v>
      </c>
      <c r="J3578">
        <v>2821501372</v>
      </c>
      <c r="K3578">
        <v>6974825626</v>
      </c>
      <c r="M3578" t="s">
        <v>6887</v>
      </c>
      <c r="N3578" t="s">
        <v>547</v>
      </c>
      <c r="O3578" t="s">
        <v>548</v>
      </c>
      <c r="R3578" t="s">
        <v>57</v>
      </c>
      <c r="S3578">
        <v>13</v>
      </c>
      <c r="T3578">
        <v>193</v>
      </c>
      <c r="U3578" s="1">
        <v>37497</v>
      </c>
      <c r="V3578" t="s">
        <v>6729</v>
      </c>
      <c r="W3578" t="s">
        <v>6730</v>
      </c>
      <c r="X3578" t="s">
        <v>58</v>
      </c>
      <c r="Y3578">
        <v>18</v>
      </c>
      <c r="Z3578" t="s">
        <v>59</v>
      </c>
      <c r="AA3578" t="s">
        <v>59</v>
      </c>
      <c r="AB3578" t="s">
        <v>59</v>
      </c>
      <c r="AC3578" t="s">
        <v>59</v>
      </c>
      <c r="AD3578" t="s">
        <v>59</v>
      </c>
      <c r="AF3578" s="1">
        <v>37501</v>
      </c>
      <c r="AG3578" t="s">
        <v>137</v>
      </c>
      <c r="AH3578" t="s">
        <v>138</v>
      </c>
      <c r="AI3578" t="str">
        <f>"5040080"</f>
        <v>5040080</v>
      </c>
      <c r="AJ3578" t="s">
        <v>6753</v>
      </c>
      <c r="AK3578">
        <v>2821093155</v>
      </c>
      <c r="AL3578" t="s">
        <v>6754</v>
      </c>
      <c r="AM3578" t="s">
        <v>88</v>
      </c>
      <c r="AN3578" t="s">
        <v>88</v>
      </c>
      <c r="AO3578" t="s">
        <v>6733</v>
      </c>
      <c r="AP3578" t="s">
        <v>6755</v>
      </c>
      <c r="AQ3578">
        <v>1</v>
      </c>
      <c r="AR3578" t="s">
        <v>6729</v>
      </c>
      <c r="AS3578" t="s">
        <v>6730</v>
      </c>
      <c r="AT3578" t="s">
        <v>58</v>
      </c>
      <c r="AU3578" t="s">
        <v>68</v>
      </c>
      <c r="AV3578" t="s">
        <v>69</v>
      </c>
      <c r="AW3578" s="1">
        <v>24925</v>
      </c>
      <c r="AX3578">
        <v>2</v>
      </c>
    </row>
    <row r="3579" spans="1:50">
      <c r="A3579">
        <v>209401</v>
      </c>
      <c r="B3579" t="str">
        <f>"112082900"</f>
        <v>112082900</v>
      </c>
      <c r="C3579" t="s">
        <v>50</v>
      </c>
      <c r="D3579" t="s">
        <v>606</v>
      </c>
      <c r="E3579" t="s">
        <v>112</v>
      </c>
      <c r="F3579" t="s">
        <v>377</v>
      </c>
      <c r="G3579" t="s">
        <v>109</v>
      </c>
      <c r="H3579" t="str">
        <f>" "</f>
        <v xml:space="preserve"> </v>
      </c>
      <c r="J3579">
        <v>2822022625</v>
      </c>
      <c r="K3579">
        <v>6945614211</v>
      </c>
      <c r="M3579" t="s">
        <v>6888</v>
      </c>
      <c r="N3579" t="s">
        <v>146</v>
      </c>
      <c r="O3579" t="s">
        <v>147</v>
      </c>
      <c r="R3579" t="s">
        <v>57</v>
      </c>
      <c r="S3579">
        <v>8</v>
      </c>
      <c r="T3579">
        <v>225</v>
      </c>
      <c r="U3579" s="1">
        <v>38604</v>
      </c>
      <c r="V3579" t="s">
        <v>6729</v>
      </c>
      <c r="W3579" t="s">
        <v>6730</v>
      </c>
      <c r="X3579" t="s">
        <v>58</v>
      </c>
      <c r="Y3579">
        <v>20</v>
      </c>
      <c r="Z3579" t="s">
        <v>59</v>
      </c>
      <c r="AA3579" t="s">
        <v>59</v>
      </c>
      <c r="AB3579" t="s">
        <v>59</v>
      </c>
      <c r="AC3579" t="s">
        <v>59</v>
      </c>
      <c r="AD3579" t="s">
        <v>59</v>
      </c>
      <c r="AF3579" s="1">
        <v>38609</v>
      </c>
      <c r="AG3579" t="s">
        <v>125</v>
      </c>
      <c r="AH3579" t="s">
        <v>126</v>
      </c>
      <c r="AI3579" t="str">
        <f>"5004020"</f>
        <v>5004020</v>
      </c>
      <c r="AJ3579" t="s">
        <v>6806</v>
      </c>
      <c r="AK3579">
        <v>2822022103</v>
      </c>
      <c r="AL3579" t="s">
        <v>6807</v>
      </c>
      <c r="AM3579" t="s">
        <v>88</v>
      </c>
      <c r="AN3579" t="s">
        <v>6744</v>
      </c>
      <c r="AO3579" t="s">
        <v>6744</v>
      </c>
      <c r="AP3579" t="s">
        <v>6744</v>
      </c>
      <c r="AQ3579">
        <v>1</v>
      </c>
      <c r="AR3579" t="s">
        <v>6729</v>
      </c>
      <c r="AS3579" t="s">
        <v>6730</v>
      </c>
      <c r="AT3579" t="s">
        <v>58</v>
      </c>
      <c r="AU3579" t="s">
        <v>68</v>
      </c>
      <c r="AV3579" t="s">
        <v>69</v>
      </c>
      <c r="AW3579" s="1">
        <v>27541</v>
      </c>
      <c r="AX3579">
        <v>2</v>
      </c>
    </row>
    <row r="3580" spans="1:50">
      <c r="A3580">
        <v>168882</v>
      </c>
      <c r="B3580" t="str">
        <f>"042693489"</f>
        <v>042693489</v>
      </c>
      <c r="C3580" t="s">
        <v>105</v>
      </c>
      <c r="D3580" t="s">
        <v>622</v>
      </c>
      <c r="E3580" t="s">
        <v>459</v>
      </c>
      <c r="F3580" t="s">
        <v>459</v>
      </c>
      <c r="G3580" t="s">
        <v>52</v>
      </c>
      <c r="H3580" t="str">
        <f>" "</f>
        <v xml:space="preserve"> </v>
      </c>
      <c r="J3580">
        <v>2103442525</v>
      </c>
      <c r="K3580">
        <v>6937583698</v>
      </c>
      <c r="N3580" t="s">
        <v>204</v>
      </c>
      <c r="O3580" t="s">
        <v>205</v>
      </c>
      <c r="R3580" t="s">
        <v>57</v>
      </c>
      <c r="S3580">
        <v>14</v>
      </c>
      <c r="T3580">
        <v>159</v>
      </c>
      <c r="U3580" s="1">
        <v>34582</v>
      </c>
      <c r="V3580" t="s">
        <v>6729</v>
      </c>
      <c r="W3580" t="s">
        <v>6730</v>
      </c>
      <c r="X3580" t="s">
        <v>58</v>
      </c>
      <c r="Y3580">
        <v>18</v>
      </c>
      <c r="Z3580" t="s">
        <v>59</v>
      </c>
      <c r="AA3580" t="s">
        <v>59</v>
      </c>
      <c r="AB3580" t="s">
        <v>59</v>
      </c>
      <c r="AC3580" t="s">
        <v>59</v>
      </c>
      <c r="AD3580" t="s">
        <v>59</v>
      </c>
      <c r="AF3580" s="1">
        <v>34584</v>
      </c>
      <c r="AG3580" t="s">
        <v>137</v>
      </c>
      <c r="AH3580" t="s">
        <v>138</v>
      </c>
      <c r="AI3580" t="str">
        <f>"5040080"</f>
        <v>5040080</v>
      </c>
      <c r="AJ3580" t="s">
        <v>6753</v>
      </c>
      <c r="AK3580">
        <v>2821093155</v>
      </c>
      <c r="AL3580" t="s">
        <v>6754</v>
      </c>
      <c r="AM3580" t="s">
        <v>88</v>
      </c>
      <c r="AN3580" t="s">
        <v>88</v>
      </c>
      <c r="AO3580" t="s">
        <v>6733</v>
      </c>
      <c r="AP3580" t="s">
        <v>6755</v>
      </c>
      <c r="AQ3580">
        <v>1</v>
      </c>
      <c r="AR3580" t="s">
        <v>6729</v>
      </c>
      <c r="AS3580" t="s">
        <v>6730</v>
      </c>
      <c r="AT3580" t="s">
        <v>58</v>
      </c>
      <c r="AU3580" t="s">
        <v>68</v>
      </c>
      <c r="AV3580" t="s">
        <v>69</v>
      </c>
      <c r="AW3580" s="1">
        <v>22103</v>
      </c>
      <c r="AX3580">
        <v>2</v>
      </c>
    </row>
    <row r="3581" spans="1:50">
      <c r="A3581">
        <v>196612</v>
      </c>
      <c r="B3581" t="str">
        <f>"075431642"</f>
        <v>075431642</v>
      </c>
      <c r="C3581" t="s">
        <v>50</v>
      </c>
      <c r="D3581" t="s">
        <v>6889</v>
      </c>
      <c r="E3581" t="s">
        <v>6890</v>
      </c>
      <c r="F3581" t="s">
        <v>5974</v>
      </c>
      <c r="G3581" t="s">
        <v>869</v>
      </c>
      <c r="H3581" t="str">
        <f>" "</f>
        <v xml:space="preserve"> </v>
      </c>
      <c r="J3581">
        <v>2810263651</v>
      </c>
      <c r="K3581">
        <v>6932094700</v>
      </c>
      <c r="M3581" t="s">
        <v>6891</v>
      </c>
      <c r="N3581" t="s">
        <v>135</v>
      </c>
      <c r="O3581" t="s">
        <v>136</v>
      </c>
      <c r="P3581" t="s">
        <v>3090</v>
      </c>
      <c r="Q3581" t="s">
        <v>3091</v>
      </c>
      <c r="R3581" t="s">
        <v>57</v>
      </c>
      <c r="S3581">
        <v>10</v>
      </c>
      <c r="T3581">
        <v>25</v>
      </c>
      <c r="U3581" s="1">
        <v>37659</v>
      </c>
      <c r="V3581" t="s">
        <v>6729</v>
      </c>
      <c r="W3581" t="s">
        <v>6730</v>
      </c>
      <c r="X3581" t="s">
        <v>58</v>
      </c>
      <c r="Y3581">
        <v>20</v>
      </c>
      <c r="Z3581" t="s">
        <v>59</v>
      </c>
      <c r="AA3581" t="s">
        <v>59</v>
      </c>
      <c r="AB3581" t="s">
        <v>59</v>
      </c>
      <c r="AC3581" t="s">
        <v>59</v>
      </c>
      <c r="AD3581" t="s">
        <v>59</v>
      </c>
      <c r="AF3581" s="1">
        <v>37672</v>
      </c>
      <c r="AG3581" t="s">
        <v>137</v>
      </c>
      <c r="AH3581" t="s">
        <v>138</v>
      </c>
      <c r="AI3581" t="str">
        <f>"5040050"</f>
        <v>5040050</v>
      </c>
      <c r="AJ3581" t="s">
        <v>6750</v>
      </c>
      <c r="AK3581">
        <v>2821043147</v>
      </c>
      <c r="AL3581" t="s">
        <v>6751</v>
      </c>
      <c r="AM3581" t="s">
        <v>88</v>
      </c>
      <c r="AN3581" t="s">
        <v>88</v>
      </c>
      <c r="AO3581" t="s">
        <v>88</v>
      </c>
      <c r="AP3581" t="s">
        <v>88</v>
      </c>
      <c r="AQ3581">
        <v>1</v>
      </c>
      <c r="AR3581" t="s">
        <v>6729</v>
      </c>
      <c r="AS3581" t="s">
        <v>6730</v>
      </c>
      <c r="AT3581" t="s">
        <v>58</v>
      </c>
      <c r="AU3581" t="s">
        <v>68</v>
      </c>
      <c r="AV3581" t="s">
        <v>69</v>
      </c>
      <c r="AW3581" s="1">
        <v>26561</v>
      </c>
      <c r="AX3581">
        <v>2</v>
      </c>
    </row>
    <row r="3582" spans="1:50">
      <c r="A3582">
        <v>220946</v>
      </c>
      <c r="B3582" t="str">
        <f>"074164088"</f>
        <v>074164088</v>
      </c>
      <c r="C3582" t="s">
        <v>105</v>
      </c>
      <c r="D3582" t="s">
        <v>6892</v>
      </c>
      <c r="E3582" t="s">
        <v>72</v>
      </c>
      <c r="F3582" t="s">
        <v>5858</v>
      </c>
      <c r="G3582" t="s">
        <v>255</v>
      </c>
      <c r="H3582" t="str">
        <f>"ΘΕΡΙΣΣΟΥ 7 "</f>
        <v xml:space="preserve">ΘΕΡΙΣΣΟΥ 7 </v>
      </c>
      <c r="J3582">
        <v>2821504204</v>
      </c>
      <c r="K3582">
        <v>6970060038</v>
      </c>
      <c r="L3582">
        <v>2821505404</v>
      </c>
      <c r="M3582" t="s">
        <v>6893</v>
      </c>
      <c r="N3582" t="s">
        <v>2713</v>
      </c>
      <c r="O3582" t="s">
        <v>2714</v>
      </c>
      <c r="R3582" t="s">
        <v>57</v>
      </c>
      <c r="S3582">
        <v>7</v>
      </c>
      <c r="T3582">
        <v>687</v>
      </c>
      <c r="U3582" s="1">
        <v>39330</v>
      </c>
      <c r="V3582" t="s">
        <v>6729</v>
      </c>
      <c r="W3582" t="s">
        <v>6730</v>
      </c>
      <c r="X3582" t="s">
        <v>58</v>
      </c>
      <c r="Y3582">
        <v>20</v>
      </c>
      <c r="Z3582" t="s">
        <v>59</v>
      </c>
      <c r="AA3582" t="s">
        <v>59</v>
      </c>
      <c r="AB3582" t="s">
        <v>59</v>
      </c>
      <c r="AC3582" t="s">
        <v>59</v>
      </c>
      <c r="AD3582" t="s">
        <v>59</v>
      </c>
      <c r="AF3582" s="1">
        <v>39332</v>
      </c>
      <c r="AG3582" t="s">
        <v>137</v>
      </c>
      <c r="AH3582" t="s">
        <v>138</v>
      </c>
      <c r="AI3582" t="str">
        <f>"5040090"</f>
        <v>5040090</v>
      </c>
      <c r="AJ3582" t="s">
        <v>6757</v>
      </c>
      <c r="AK3582">
        <v>2822022275</v>
      </c>
      <c r="AL3582" t="s">
        <v>6758</v>
      </c>
      <c r="AM3582" t="s">
        <v>88</v>
      </c>
      <c r="AN3582" t="s">
        <v>6744</v>
      </c>
      <c r="AO3582" t="s">
        <v>6744</v>
      </c>
      <c r="AP3582" t="s">
        <v>6744</v>
      </c>
      <c r="AQ3582">
        <v>1</v>
      </c>
      <c r="AR3582" t="s">
        <v>6729</v>
      </c>
      <c r="AS3582" t="s">
        <v>6730</v>
      </c>
      <c r="AT3582" t="s">
        <v>58</v>
      </c>
      <c r="AU3582" t="s">
        <v>68</v>
      </c>
      <c r="AV3582" t="s">
        <v>69</v>
      </c>
      <c r="AW3582" s="1">
        <v>25141</v>
      </c>
      <c r="AX3582">
        <v>2</v>
      </c>
    </row>
    <row r="3583" spans="1:50">
      <c r="A3583">
        <v>211843</v>
      </c>
      <c r="B3583" t="str">
        <f>"046592276"</f>
        <v>046592276</v>
      </c>
      <c r="C3583" t="s">
        <v>50</v>
      </c>
      <c r="D3583" t="s">
        <v>6894</v>
      </c>
      <c r="E3583" t="s">
        <v>699</v>
      </c>
      <c r="F3583" t="s">
        <v>95</v>
      </c>
      <c r="G3583" t="s">
        <v>83</v>
      </c>
      <c r="H3583" t="str">
        <f>"ΜΑΡΚΟΡΑ 10 ΧΑΝΙΑ"</f>
        <v>ΜΑΡΚΟΡΑ 10 ΧΑΝΙΑ</v>
      </c>
      <c r="I3583">
        <v>73100</v>
      </c>
      <c r="J3583">
        <v>2821040669</v>
      </c>
      <c r="K3583">
        <v>6973474132</v>
      </c>
      <c r="M3583" t="s">
        <v>6895</v>
      </c>
      <c r="N3583" t="s">
        <v>146</v>
      </c>
      <c r="O3583" t="s">
        <v>147</v>
      </c>
      <c r="R3583" t="s">
        <v>57</v>
      </c>
      <c r="S3583">
        <v>7</v>
      </c>
      <c r="T3583">
        <v>231</v>
      </c>
      <c r="U3583" s="1">
        <v>38960</v>
      </c>
      <c r="V3583" t="s">
        <v>6729</v>
      </c>
      <c r="W3583" t="s">
        <v>6730</v>
      </c>
      <c r="X3583" t="s">
        <v>58</v>
      </c>
      <c r="Y3583">
        <v>20</v>
      </c>
      <c r="Z3583" t="s">
        <v>59</v>
      </c>
      <c r="AA3583" t="s">
        <v>59</v>
      </c>
      <c r="AB3583" t="s">
        <v>59</v>
      </c>
      <c r="AC3583" t="s">
        <v>59</v>
      </c>
      <c r="AD3583" t="s">
        <v>59</v>
      </c>
      <c r="AF3583" s="1">
        <v>38961</v>
      </c>
      <c r="AG3583" t="s">
        <v>148</v>
      </c>
      <c r="AH3583" t="s">
        <v>149</v>
      </c>
      <c r="AI3583" t="str">
        <f>"5051010"</f>
        <v>5051010</v>
      </c>
      <c r="AJ3583" t="s">
        <v>6896</v>
      </c>
      <c r="AK3583">
        <v>2821028714</v>
      </c>
      <c r="AL3583" t="s">
        <v>6897</v>
      </c>
      <c r="AM3583" t="s">
        <v>88</v>
      </c>
      <c r="AN3583" t="s">
        <v>88</v>
      </c>
      <c r="AO3583" t="s">
        <v>88</v>
      </c>
      <c r="AP3583" t="s">
        <v>88</v>
      </c>
      <c r="AQ3583">
        <v>1</v>
      </c>
      <c r="AR3583" t="s">
        <v>6729</v>
      </c>
      <c r="AS3583" t="s">
        <v>6730</v>
      </c>
      <c r="AT3583" t="s">
        <v>58</v>
      </c>
      <c r="AU3583" t="s">
        <v>68</v>
      </c>
      <c r="AV3583" t="s">
        <v>69</v>
      </c>
      <c r="AW3583" s="1">
        <v>19827</v>
      </c>
      <c r="AX3583">
        <v>2</v>
      </c>
    </row>
    <row r="3584" spans="1:50">
      <c r="A3584">
        <v>217413</v>
      </c>
      <c r="B3584" t="str">
        <f>"064071872"</f>
        <v>064071872</v>
      </c>
      <c r="C3584" t="s">
        <v>50</v>
      </c>
      <c r="D3584" t="s">
        <v>6898</v>
      </c>
      <c r="E3584" t="s">
        <v>367</v>
      </c>
      <c r="F3584" t="s">
        <v>6899</v>
      </c>
      <c r="G3584" t="s">
        <v>1440</v>
      </c>
      <c r="H3584" t="str">
        <f>"ΑΛΙΚΙΑΝΟΣ ΑΛΙΚΙΑΝΟΣ ΧΑΝΙΩΝ"</f>
        <v>ΑΛΙΚΙΑΝΟΣ ΑΛΙΚΙΑΝΟΣ ΧΑΝΙΩΝ</v>
      </c>
      <c r="I3584">
        <v>73005</v>
      </c>
      <c r="J3584">
        <v>2821078071</v>
      </c>
      <c r="K3584">
        <v>6974751799</v>
      </c>
      <c r="M3584" t="s">
        <v>6900</v>
      </c>
      <c r="N3584" t="s">
        <v>146</v>
      </c>
      <c r="O3584" t="s">
        <v>147</v>
      </c>
      <c r="R3584" t="s">
        <v>57</v>
      </c>
      <c r="S3584">
        <v>6</v>
      </c>
      <c r="T3584">
        <v>599</v>
      </c>
      <c r="U3584" s="1">
        <v>39310</v>
      </c>
      <c r="V3584" t="s">
        <v>6729</v>
      </c>
      <c r="W3584" t="s">
        <v>6730</v>
      </c>
      <c r="X3584" t="s">
        <v>58</v>
      </c>
      <c r="Y3584">
        <v>20</v>
      </c>
      <c r="Z3584" t="s">
        <v>59</v>
      </c>
      <c r="AA3584" t="s">
        <v>59</v>
      </c>
      <c r="AB3584" t="s">
        <v>59</v>
      </c>
      <c r="AC3584" t="s">
        <v>59</v>
      </c>
      <c r="AD3584" t="s">
        <v>59</v>
      </c>
      <c r="AF3584" s="1">
        <v>39328</v>
      </c>
      <c r="AG3584" t="s">
        <v>125</v>
      </c>
      <c r="AH3584" t="s">
        <v>126</v>
      </c>
      <c r="AI3584" t="str">
        <f>"5009010"</f>
        <v>5009010</v>
      </c>
      <c r="AJ3584" t="s">
        <v>6901</v>
      </c>
      <c r="AK3584">
        <v>2821077212</v>
      </c>
      <c r="AL3584" t="s">
        <v>6902</v>
      </c>
      <c r="AM3584" t="s">
        <v>88</v>
      </c>
      <c r="AN3584" t="s">
        <v>6764</v>
      </c>
      <c r="AO3584" t="s">
        <v>6885</v>
      </c>
      <c r="AP3584" t="s">
        <v>6886</v>
      </c>
      <c r="AQ3584">
        <v>1</v>
      </c>
      <c r="AR3584" t="s">
        <v>6729</v>
      </c>
      <c r="AS3584" t="s">
        <v>6730</v>
      </c>
      <c r="AT3584" t="s">
        <v>58</v>
      </c>
      <c r="AU3584" t="s">
        <v>68</v>
      </c>
      <c r="AV3584" t="s">
        <v>69</v>
      </c>
      <c r="AW3584" s="1">
        <v>26214</v>
      </c>
      <c r="AX3584">
        <v>2</v>
      </c>
    </row>
    <row r="3585" spans="1:50">
      <c r="A3585">
        <v>205080</v>
      </c>
      <c r="B3585" t="str">
        <f>"064138721"</f>
        <v>064138721</v>
      </c>
      <c r="C3585" t="s">
        <v>105</v>
      </c>
      <c r="D3585" t="s">
        <v>6898</v>
      </c>
      <c r="E3585" t="s">
        <v>949</v>
      </c>
      <c r="F3585" t="s">
        <v>99</v>
      </c>
      <c r="G3585" t="s">
        <v>52</v>
      </c>
      <c r="H3585" t="str">
        <f>" "</f>
        <v xml:space="preserve"> </v>
      </c>
      <c r="J3585">
        <v>2821069753</v>
      </c>
      <c r="K3585">
        <v>6937031451</v>
      </c>
      <c r="M3585" t="s">
        <v>6903</v>
      </c>
      <c r="N3585" t="s">
        <v>204</v>
      </c>
      <c r="O3585" t="s">
        <v>205</v>
      </c>
      <c r="R3585" t="s">
        <v>57</v>
      </c>
      <c r="S3585">
        <v>9</v>
      </c>
      <c r="T3585">
        <v>231</v>
      </c>
      <c r="U3585" s="1">
        <v>38230</v>
      </c>
      <c r="V3585" t="s">
        <v>6729</v>
      </c>
      <c r="W3585" t="s">
        <v>6730</v>
      </c>
      <c r="X3585" t="s">
        <v>58</v>
      </c>
      <c r="Y3585">
        <v>20</v>
      </c>
      <c r="Z3585" t="s">
        <v>59</v>
      </c>
      <c r="AA3585" t="s">
        <v>59</v>
      </c>
      <c r="AB3585" t="s">
        <v>59</v>
      </c>
      <c r="AC3585" t="s">
        <v>59</v>
      </c>
      <c r="AD3585" t="s">
        <v>59</v>
      </c>
      <c r="AF3585" s="1">
        <v>38236</v>
      </c>
      <c r="AG3585" t="s">
        <v>137</v>
      </c>
      <c r="AH3585" t="s">
        <v>138</v>
      </c>
      <c r="AI3585" t="str">
        <f>"5040050"</f>
        <v>5040050</v>
      </c>
      <c r="AJ3585" t="s">
        <v>6750</v>
      </c>
      <c r="AK3585">
        <v>2821043147</v>
      </c>
      <c r="AL3585" t="s">
        <v>6751</v>
      </c>
      <c r="AM3585" t="s">
        <v>88</v>
      </c>
      <c r="AN3585" t="s">
        <v>88</v>
      </c>
      <c r="AO3585" t="s">
        <v>88</v>
      </c>
      <c r="AP3585" t="s">
        <v>88</v>
      </c>
      <c r="AQ3585">
        <v>1</v>
      </c>
      <c r="AR3585" t="s">
        <v>6729</v>
      </c>
      <c r="AS3585" t="s">
        <v>6730</v>
      </c>
      <c r="AT3585" t="s">
        <v>58</v>
      </c>
      <c r="AU3585" t="s">
        <v>68</v>
      </c>
      <c r="AV3585" t="s">
        <v>69</v>
      </c>
      <c r="AW3585" s="1">
        <v>28388</v>
      </c>
      <c r="AX3585">
        <v>2</v>
      </c>
    </row>
    <row r="3586" spans="1:50">
      <c r="A3586">
        <v>198444</v>
      </c>
      <c r="B3586" t="str">
        <f>"102879975"</f>
        <v>102879975</v>
      </c>
      <c r="C3586" t="s">
        <v>50</v>
      </c>
      <c r="D3586" t="s">
        <v>6904</v>
      </c>
      <c r="E3586" t="s">
        <v>1189</v>
      </c>
      <c r="F3586" t="s">
        <v>95</v>
      </c>
      <c r="G3586" t="s">
        <v>4622</v>
      </c>
      <c r="H3586" t="str">
        <f>"ΑΡΤΑΚΗΣ 9 ΚΑΛΑΜΑΡΙΑ"</f>
        <v>ΑΡΤΑΚΗΣ 9 ΚΑΛΑΜΑΡΙΑ</v>
      </c>
      <c r="J3586">
        <v>2110175177</v>
      </c>
      <c r="K3586">
        <v>6977996680</v>
      </c>
      <c r="L3586">
        <v>2109814020</v>
      </c>
      <c r="M3586" t="s">
        <v>6905</v>
      </c>
      <c r="N3586" t="s">
        <v>306</v>
      </c>
      <c r="O3586" t="s">
        <v>307</v>
      </c>
      <c r="R3586" t="s">
        <v>57</v>
      </c>
      <c r="S3586">
        <v>7</v>
      </c>
      <c r="T3586">
        <v>206</v>
      </c>
      <c r="U3586" s="1">
        <v>37866</v>
      </c>
      <c r="V3586" t="s">
        <v>6729</v>
      </c>
      <c r="W3586" t="s">
        <v>6730</v>
      </c>
      <c r="X3586" t="s">
        <v>58</v>
      </c>
      <c r="Y3586">
        <v>20</v>
      </c>
      <c r="Z3586" t="s">
        <v>59</v>
      </c>
      <c r="AA3586" t="s">
        <v>59</v>
      </c>
      <c r="AB3586" t="s">
        <v>59</v>
      </c>
      <c r="AC3586" t="s">
        <v>59</v>
      </c>
      <c r="AD3586" t="s">
        <v>59</v>
      </c>
      <c r="AF3586" s="1">
        <v>37869</v>
      </c>
      <c r="AG3586" t="s">
        <v>148</v>
      </c>
      <c r="AH3586" t="s">
        <v>149</v>
      </c>
      <c r="AI3586" t="str">
        <f>"5090080"</f>
        <v>5090080</v>
      </c>
      <c r="AJ3586" t="s">
        <v>6906</v>
      </c>
      <c r="AK3586">
        <v>2821096638</v>
      </c>
      <c r="AL3586" t="s">
        <v>6907</v>
      </c>
      <c r="AM3586" t="s">
        <v>88</v>
      </c>
      <c r="AN3586" t="s">
        <v>88</v>
      </c>
      <c r="AO3586" t="s">
        <v>88</v>
      </c>
      <c r="AP3586" t="s">
        <v>88</v>
      </c>
      <c r="AQ3586">
        <v>1</v>
      </c>
      <c r="AR3586" t="s">
        <v>6729</v>
      </c>
      <c r="AS3586" t="s">
        <v>6730</v>
      </c>
      <c r="AT3586" t="s">
        <v>58</v>
      </c>
      <c r="AU3586" t="s">
        <v>68</v>
      </c>
      <c r="AV3586" t="s">
        <v>69</v>
      </c>
      <c r="AW3586" s="1">
        <v>27831</v>
      </c>
      <c r="AX3586">
        <v>2</v>
      </c>
    </row>
    <row r="3587" spans="1:50">
      <c r="A3587">
        <v>198121</v>
      </c>
      <c r="B3587" t="str">
        <f>"077924364"</f>
        <v>077924364</v>
      </c>
      <c r="C3587" t="s">
        <v>50</v>
      </c>
      <c r="D3587" t="s">
        <v>5747</v>
      </c>
      <c r="E3587" t="s">
        <v>263</v>
      </c>
      <c r="F3587" t="s">
        <v>2233</v>
      </c>
      <c r="G3587" t="s">
        <v>1114</v>
      </c>
      <c r="H3587" t="str">
        <f>"ΔΗΜΗΤΡΑΚΗ 56 ΧΑΝΙΑ"</f>
        <v>ΔΗΜΗΤΡΑΚΗ 56 ΧΑΝΙΑ</v>
      </c>
      <c r="J3587">
        <v>2821051601</v>
      </c>
      <c r="K3587">
        <v>6977673114</v>
      </c>
      <c r="M3587" t="s">
        <v>6908</v>
      </c>
      <c r="N3587" t="s">
        <v>199</v>
      </c>
      <c r="O3587" t="s">
        <v>200</v>
      </c>
      <c r="R3587" t="s">
        <v>57</v>
      </c>
      <c r="S3587">
        <v>7</v>
      </c>
      <c r="T3587">
        <v>206</v>
      </c>
      <c r="U3587" s="1">
        <v>37866</v>
      </c>
      <c r="V3587" t="s">
        <v>6729</v>
      </c>
      <c r="W3587" t="s">
        <v>6730</v>
      </c>
      <c r="X3587" t="s">
        <v>58</v>
      </c>
      <c r="Y3587">
        <v>20</v>
      </c>
      <c r="Z3587" t="s">
        <v>59</v>
      </c>
      <c r="AA3587" t="s">
        <v>59</v>
      </c>
      <c r="AB3587" t="s">
        <v>59</v>
      </c>
      <c r="AC3587" t="s">
        <v>59</v>
      </c>
      <c r="AD3587" t="s">
        <v>59</v>
      </c>
      <c r="AF3587" s="1">
        <v>37866</v>
      </c>
      <c r="AG3587" t="s">
        <v>148</v>
      </c>
      <c r="AH3587" t="s">
        <v>149</v>
      </c>
      <c r="AI3587" t="str">
        <f>"5090080"</f>
        <v>5090080</v>
      </c>
      <c r="AJ3587" t="s">
        <v>6906</v>
      </c>
      <c r="AK3587">
        <v>2821096638</v>
      </c>
      <c r="AL3587" t="s">
        <v>6907</v>
      </c>
      <c r="AM3587" t="s">
        <v>88</v>
      </c>
      <c r="AN3587" t="s">
        <v>88</v>
      </c>
      <c r="AO3587" t="s">
        <v>88</v>
      </c>
      <c r="AP3587" t="s">
        <v>88</v>
      </c>
      <c r="AQ3587">
        <v>1</v>
      </c>
      <c r="AR3587" t="s">
        <v>6729</v>
      </c>
      <c r="AS3587" t="s">
        <v>6730</v>
      </c>
      <c r="AT3587" t="s">
        <v>58</v>
      </c>
      <c r="AU3587" t="s">
        <v>68</v>
      </c>
      <c r="AV3587" t="s">
        <v>69</v>
      </c>
      <c r="AW3587" s="1">
        <v>25547</v>
      </c>
      <c r="AX3587">
        <v>2</v>
      </c>
    </row>
    <row r="3588" spans="1:50">
      <c r="A3588">
        <v>218663</v>
      </c>
      <c r="B3588" t="str">
        <f>"061795623"</f>
        <v>061795623</v>
      </c>
      <c r="C3588" t="s">
        <v>50</v>
      </c>
      <c r="D3588" t="s">
        <v>5747</v>
      </c>
      <c r="E3588" t="s">
        <v>6909</v>
      </c>
      <c r="F3588" t="s">
        <v>72</v>
      </c>
      <c r="G3588" t="s">
        <v>52</v>
      </c>
      <c r="H3588" t="str">
        <f>"1Η ΠΑΡΟΔΟΣ ΓΙΑΜΠΟΥΔΑΚΗ 13 ΧΑΝΙΑ"</f>
        <v>1Η ΠΑΡΟΔΟΣ ΓΙΑΜΠΟΥΔΑΚΗ 13 ΧΑΝΙΑ</v>
      </c>
      <c r="I3588">
        <v>73134</v>
      </c>
      <c r="J3588">
        <v>2821059478</v>
      </c>
      <c r="K3588">
        <v>6942466952</v>
      </c>
      <c r="M3588" t="s">
        <v>6910</v>
      </c>
      <c r="N3588" t="s">
        <v>199</v>
      </c>
      <c r="O3588" t="s">
        <v>200</v>
      </c>
      <c r="R3588" t="s">
        <v>57</v>
      </c>
      <c r="S3588">
        <v>6</v>
      </c>
      <c r="T3588">
        <v>599</v>
      </c>
      <c r="U3588" s="1">
        <v>39310</v>
      </c>
      <c r="V3588" t="s">
        <v>6729</v>
      </c>
      <c r="W3588" t="s">
        <v>6730</v>
      </c>
      <c r="X3588" t="s">
        <v>58</v>
      </c>
      <c r="Y3588">
        <v>20</v>
      </c>
      <c r="Z3588" t="s">
        <v>59</v>
      </c>
      <c r="AA3588" t="s">
        <v>59</v>
      </c>
      <c r="AB3588" t="s">
        <v>59</v>
      </c>
      <c r="AC3588" t="s">
        <v>59</v>
      </c>
      <c r="AD3588" t="s">
        <v>59</v>
      </c>
      <c r="AF3588" s="1">
        <v>39328</v>
      </c>
      <c r="AG3588" t="s">
        <v>137</v>
      </c>
      <c r="AH3588" t="s">
        <v>138</v>
      </c>
      <c r="AI3588" t="str">
        <f>"5040080"</f>
        <v>5040080</v>
      </c>
      <c r="AJ3588" t="s">
        <v>6753</v>
      </c>
      <c r="AK3588">
        <v>2821093155</v>
      </c>
      <c r="AL3588" t="s">
        <v>6754</v>
      </c>
      <c r="AM3588" t="s">
        <v>88</v>
      </c>
      <c r="AN3588" t="s">
        <v>88</v>
      </c>
      <c r="AO3588" t="s">
        <v>6733</v>
      </c>
      <c r="AP3588" t="s">
        <v>6755</v>
      </c>
      <c r="AQ3588">
        <v>1</v>
      </c>
      <c r="AR3588" t="s">
        <v>6729</v>
      </c>
      <c r="AS3588" t="s">
        <v>6730</v>
      </c>
      <c r="AT3588" t="s">
        <v>58</v>
      </c>
      <c r="AU3588" t="s">
        <v>68</v>
      </c>
      <c r="AV3588" t="s">
        <v>69</v>
      </c>
      <c r="AW3588" s="1">
        <v>27275</v>
      </c>
      <c r="AX3588">
        <v>2</v>
      </c>
    </row>
    <row r="3589" spans="1:50">
      <c r="A3589">
        <v>223594</v>
      </c>
      <c r="B3589" t="str">
        <f>"136408319"</f>
        <v>136408319</v>
      </c>
      <c r="C3589" t="s">
        <v>50</v>
      </c>
      <c r="D3589" t="s">
        <v>5747</v>
      </c>
      <c r="E3589" t="s">
        <v>6911</v>
      </c>
      <c r="F3589" t="s">
        <v>72</v>
      </c>
      <c r="G3589" t="s">
        <v>2194</v>
      </c>
      <c r="H3589" t="str">
        <f>"ΤΘ 174 ΚΟΡΑΚΙΕΣ ΑΚΡΩΤΗΡΙΟΥ"</f>
        <v>ΤΘ 174 ΚΟΡΑΚΙΕΣ ΑΚΡΩΤΗΡΙΟΥ</v>
      </c>
      <c r="I3589">
        <v>73142</v>
      </c>
      <c r="J3589">
        <v>2821009180</v>
      </c>
      <c r="K3589">
        <v>6955091725</v>
      </c>
      <c r="L3589">
        <v>6955091722</v>
      </c>
      <c r="M3589" t="s">
        <v>6912</v>
      </c>
      <c r="N3589" t="s">
        <v>199</v>
      </c>
      <c r="O3589" t="s">
        <v>200</v>
      </c>
      <c r="R3589" t="s">
        <v>57</v>
      </c>
      <c r="S3589">
        <v>12</v>
      </c>
      <c r="T3589">
        <v>775</v>
      </c>
      <c r="U3589" s="1">
        <v>39680</v>
      </c>
      <c r="V3589" t="s">
        <v>6729</v>
      </c>
      <c r="W3589" t="s">
        <v>6730</v>
      </c>
      <c r="X3589" t="s">
        <v>58</v>
      </c>
      <c r="Y3589">
        <v>21</v>
      </c>
      <c r="Z3589" t="s">
        <v>59</v>
      </c>
      <c r="AA3589" t="s">
        <v>59</v>
      </c>
      <c r="AB3589" t="s">
        <v>59</v>
      </c>
      <c r="AC3589" t="s">
        <v>59</v>
      </c>
      <c r="AD3589" t="s">
        <v>59</v>
      </c>
      <c r="AF3589" s="1">
        <v>39681</v>
      </c>
      <c r="AG3589" t="s">
        <v>148</v>
      </c>
      <c r="AH3589" t="s">
        <v>149</v>
      </c>
      <c r="AI3589" t="str">
        <f>"5051050"</f>
        <v>5051050</v>
      </c>
      <c r="AJ3589" t="s">
        <v>6861</v>
      </c>
      <c r="AK3589">
        <v>2821044860</v>
      </c>
      <c r="AL3589" t="s">
        <v>6862</v>
      </c>
      <c r="AM3589" t="s">
        <v>88</v>
      </c>
      <c r="AN3589" t="s">
        <v>88</v>
      </c>
      <c r="AO3589" t="s">
        <v>88</v>
      </c>
      <c r="AP3589" t="s">
        <v>88</v>
      </c>
      <c r="AQ3589">
        <v>1</v>
      </c>
      <c r="AR3589" t="s">
        <v>6729</v>
      </c>
      <c r="AS3589" t="s">
        <v>6730</v>
      </c>
      <c r="AT3589" t="s">
        <v>58</v>
      </c>
      <c r="AU3589" t="s">
        <v>68</v>
      </c>
      <c r="AV3589" t="s">
        <v>132</v>
      </c>
      <c r="AW3589" s="1">
        <v>28983</v>
      </c>
      <c r="AX3589">
        <v>2</v>
      </c>
    </row>
    <row r="3590" spans="1:50">
      <c r="A3590">
        <v>186379</v>
      </c>
      <c r="B3590" t="str">
        <f>"057895096"</f>
        <v>057895096</v>
      </c>
      <c r="C3590" t="s">
        <v>50</v>
      </c>
      <c r="D3590" t="s">
        <v>5747</v>
      </c>
      <c r="E3590" t="s">
        <v>188</v>
      </c>
      <c r="F3590" t="s">
        <v>53</v>
      </c>
      <c r="G3590" t="s">
        <v>52</v>
      </c>
      <c r="H3590" t="str">
        <f>"ΓΙΑΝΝΗ ΡΙΤΣΟΥ 32 ΧΑΝΙΩΝ"</f>
        <v>ΓΙΑΝΝΗ ΡΙΤΣΟΥ 32 ΧΑΝΙΩΝ</v>
      </c>
      <c r="I3590">
        <v>73136</v>
      </c>
      <c r="J3590">
        <v>2821043446</v>
      </c>
      <c r="K3590">
        <v>6973424083</v>
      </c>
      <c r="M3590" t="s">
        <v>6913</v>
      </c>
      <c r="N3590" t="s">
        <v>146</v>
      </c>
      <c r="O3590" t="s">
        <v>147</v>
      </c>
      <c r="R3590" t="s">
        <v>57</v>
      </c>
      <c r="S3590">
        <v>15</v>
      </c>
      <c r="T3590">
        <v>251</v>
      </c>
      <c r="U3590" s="1">
        <v>36769</v>
      </c>
      <c r="V3590" t="s">
        <v>6729</v>
      </c>
      <c r="W3590" t="s">
        <v>6730</v>
      </c>
      <c r="X3590" t="s">
        <v>58</v>
      </c>
      <c r="Y3590">
        <v>20</v>
      </c>
      <c r="Z3590" t="s">
        <v>59</v>
      </c>
      <c r="AA3590" t="s">
        <v>59</v>
      </c>
      <c r="AB3590" t="s">
        <v>59</v>
      </c>
      <c r="AC3590" t="s">
        <v>59</v>
      </c>
      <c r="AD3590" t="s">
        <v>59</v>
      </c>
      <c r="AF3590" s="1">
        <v>36770</v>
      </c>
      <c r="AG3590" t="s">
        <v>125</v>
      </c>
      <c r="AH3590" t="s">
        <v>126</v>
      </c>
      <c r="AI3590" t="str">
        <f>"5001060"</f>
        <v>5001060</v>
      </c>
      <c r="AJ3590" t="s">
        <v>6914</v>
      </c>
      <c r="AK3590">
        <v>2821091763</v>
      </c>
      <c r="AL3590" t="s">
        <v>6915</v>
      </c>
      <c r="AM3590" t="s">
        <v>88</v>
      </c>
      <c r="AN3590" t="s">
        <v>88</v>
      </c>
      <c r="AO3590" t="s">
        <v>88</v>
      </c>
      <c r="AP3590" t="s">
        <v>88</v>
      </c>
      <c r="AQ3590">
        <v>1</v>
      </c>
      <c r="AR3590" t="s">
        <v>6729</v>
      </c>
      <c r="AS3590" t="s">
        <v>6730</v>
      </c>
      <c r="AT3590" t="s">
        <v>58</v>
      </c>
      <c r="AU3590" t="s">
        <v>68</v>
      </c>
      <c r="AV3590" t="s">
        <v>69</v>
      </c>
      <c r="AW3590" s="1">
        <v>24544</v>
      </c>
      <c r="AX3590">
        <v>2</v>
      </c>
    </row>
    <row r="3591" spans="1:50">
      <c r="A3591">
        <v>181694</v>
      </c>
      <c r="B3591" t="str">
        <f>"064208113"</f>
        <v>064208113</v>
      </c>
      <c r="C3591" t="s">
        <v>50</v>
      </c>
      <c r="D3591" t="s">
        <v>5747</v>
      </c>
      <c r="E3591" t="s">
        <v>541</v>
      </c>
      <c r="F3591" t="s">
        <v>53</v>
      </c>
      <c r="G3591" t="s">
        <v>52</v>
      </c>
      <c r="H3591" t="str">
        <f>" "</f>
        <v xml:space="preserve"> </v>
      </c>
      <c r="K3591">
        <v>6989845299</v>
      </c>
      <c r="N3591" t="s">
        <v>146</v>
      </c>
      <c r="O3591" t="s">
        <v>147</v>
      </c>
      <c r="P3591" t="s">
        <v>257</v>
      </c>
      <c r="Q3591" t="s">
        <v>258</v>
      </c>
      <c r="R3591" t="s">
        <v>57</v>
      </c>
      <c r="S3591">
        <v>14</v>
      </c>
      <c r="T3591">
        <v>181</v>
      </c>
      <c r="U3591" s="1">
        <v>36039</v>
      </c>
      <c r="V3591" t="s">
        <v>6729</v>
      </c>
      <c r="W3591" t="s">
        <v>6730</v>
      </c>
      <c r="X3591" t="s">
        <v>58</v>
      </c>
      <c r="Y3591">
        <v>18</v>
      </c>
      <c r="Z3591" t="s">
        <v>59</v>
      </c>
      <c r="AA3591" t="s">
        <v>59</v>
      </c>
      <c r="AB3591" t="s">
        <v>59</v>
      </c>
      <c r="AC3591" t="s">
        <v>59</v>
      </c>
      <c r="AD3591" t="s">
        <v>59</v>
      </c>
      <c r="AF3591" s="1">
        <v>36042</v>
      </c>
      <c r="AG3591" t="s">
        <v>148</v>
      </c>
      <c r="AH3591" t="s">
        <v>149</v>
      </c>
      <c r="AI3591" t="str">
        <f>"5051040"</f>
        <v>5051040</v>
      </c>
      <c r="AJ3591" t="s">
        <v>6811</v>
      </c>
      <c r="AK3591">
        <v>2821088007</v>
      </c>
      <c r="AL3591" t="s">
        <v>6812</v>
      </c>
      <c r="AM3591" t="s">
        <v>88</v>
      </c>
      <c r="AN3591" t="s">
        <v>88</v>
      </c>
      <c r="AO3591" t="s">
        <v>88</v>
      </c>
      <c r="AP3591" t="s">
        <v>88</v>
      </c>
      <c r="AQ3591">
        <v>1</v>
      </c>
      <c r="AR3591" t="s">
        <v>6729</v>
      </c>
      <c r="AS3591" t="s">
        <v>6730</v>
      </c>
      <c r="AT3591" t="s">
        <v>58</v>
      </c>
      <c r="AU3591" t="s">
        <v>68</v>
      </c>
      <c r="AV3591" t="s">
        <v>69</v>
      </c>
      <c r="AW3591" s="1">
        <v>22086</v>
      </c>
      <c r="AX3591">
        <v>2</v>
      </c>
    </row>
    <row r="3592" spans="1:50">
      <c r="A3592">
        <v>179906</v>
      </c>
      <c r="B3592" t="str">
        <f>"043994192"</f>
        <v>043994192</v>
      </c>
      <c r="C3592" t="s">
        <v>105</v>
      </c>
      <c r="D3592" t="s">
        <v>6916</v>
      </c>
      <c r="E3592" t="s">
        <v>95</v>
      </c>
      <c r="F3592" t="s">
        <v>1493</v>
      </c>
      <c r="G3592" t="s">
        <v>396</v>
      </c>
      <c r="H3592" t="str">
        <f>"Ν.Σκουλα 93 "</f>
        <v xml:space="preserve">Ν.Σκουλα 93 </v>
      </c>
      <c r="I3592">
        <v>73100</v>
      </c>
      <c r="K3592">
        <v>6983706345</v>
      </c>
      <c r="N3592" t="s">
        <v>292</v>
      </c>
      <c r="O3592" t="s">
        <v>293</v>
      </c>
      <c r="R3592" t="s">
        <v>57</v>
      </c>
      <c r="S3592">
        <v>11</v>
      </c>
      <c r="T3592">
        <v>164</v>
      </c>
      <c r="U3592" s="1">
        <v>36040</v>
      </c>
      <c r="V3592" t="s">
        <v>6729</v>
      </c>
      <c r="W3592" t="s">
        <v>6730</v>
      </c>
      <c r="X3592" t="s">
        <v>58</v>
      </c>
      <c r="Y3592">
        <v>18</v>
      </c>
      <c r="Z3592" t="s">
        <v>59</v>
      </c>
      <c r="AA3592" t="s">
        <v>59</v>
      </c>
      <c r="AB3592" t="s">
        <v>59</v>
      </c>
      <c r="AC3592" t="s">
        <v>59</v>
      </c>
      <c r="AD3592" t="s">
        <v>59</v>
      </c>
      <c r="AF3592" s="1">
        <v>36045</v>
      </c>
      <c r="AG3592" t="s">
        <v>125</v>
      </c>
      <c r="AH3592" t="s">
        <v>126</v>
      </c>
      <c r="AI3592" t="str">
        <f>"5001050"</f>
        <v>5001050</v>
      </c>
      <c r="AJ3592" t="s">
        <v>6917</v>
      </c>
      <c r="AK3592">
        <v>2821088012</v>
      </c>
      <c r="AL3592" t="s">
        <v>6918</v>
      </c>
      <c r="AM3592" t="s">
        <v>88</v>
      </c>
      <c r="AN3592" t="s">
        <v>88</v>
      </c>
      <c r="AO3592" t="s">
        <v>88</v>
      </c>
      <c r="AP3592" t="s">
        <v>88</v>
      </c>
      <c r="AQ3592">
        <v>1</v>
      </c>
      <c r="AR3592" t="s">
        <v>6729</v>
      </c>
      <c r="AS3592" t="s">
        <v>6730</v>
      </c>
      <c r="AT3592" t="s">
        <v>58</v>
      </c>
      <c r="AU3592" t="s">
        <v>68</v>
      </c>
      <c r="AV3592" t="s">
        <v>69</v>
      </c>
      <c r="AW3592" s="1">
        <v>22725</v>
      </c>
      <c r="AX3592">
        <v>2</v>
      </c>
    </row>
    <row r="3593" spans="1:50">
      <c r="A3593">
        <v>198328</v>
      </c>
      <c r="B3593" t="str">
        <f>"073744571"</f>
        <v>073744571</v>
      </c>
      <c r="C3593" t="s">
        <v>50</v>
      </c>
      <c r="D3593" t="s">
        <v>6919</v>
      </c>
      <c r="E3593" t="s">
        <v>1074</v>
      </c>
      <c r="F3593" t="s">
        <v>95</v>
      </c>
      <c r="G3593" t="s">
        <v>6920</v>
      </c>
      <c r="H3593" t="str">
        <f>" "</f>
        <v xml:space="preserve"> </v>
      </c>
      <c r="J3593">
        <v>2821040453</v>
      </c>
      <c r="K3593">
        <v>6945998665</v>
      </c>
      <c r="M3593" t="s">
        <v>6921</v>
      </c>
      <c r="N3593" t="s">
        <v>478</v>
      </c>
      <c r="O3593" t="s">
        <v>479</v>
      </c>
      <c r="R3593" t="s">
        <v>57</v>
      </c>
      <c r="S3593">
        <v>10</v>
      </c>
      <c r="T3593">
        <v>206</v>
      </c>
      <c r="U3593" s="1">
        <v>37866</v>
      </c>
      <c r="V3593" t="s">
        <v>6729</v>
      </c>
      <c r="W3593" t="s">
        <v>6730</v>
      </c>
      <c r="X3593" t="s">
        <v>58</v>
      </c>
      <c r="Y3593">
        <v>18</v>
      </c>
      <c r="Z3593" t="s">
        <v>59</v>
      </c>
      <c r="AA3593" t="s">
        <v>59</v>
      </c>
      <c r="AB3593" t="s">
        <v>59</v>
      </c>
      <c r="AC3593" t="s">
        <v>59</v>
      </c>
      <c r="AD3593" t="s">
        <v>59</v>
      </c>
      <c r="AF3593" s="1">
        <v>37866</v>
      </c>
      <c r="AG3593" t="s">
        <v>125</v>
      </c>
      <c r="AH3593" t="s">
        <v>126</v>
      </c>
      <c r="AI3593" t="str">
        <f>"5002010"</f>
        <v>5002010</v>
      </c>
      <c r="AJ3593" t="s">
        <v>6773</v>
      </c>
      <c r="AK3593">
        <v>2825022249</v>
      </c>
      <c r="AL3593" t="s">
        <v>6774</v>
      </c>
      <c r="AM3593" t="s">
        <v>88</v>
      </c>
      <c r="AN3593" t="s">
        <v>6775</v>
      </c>
      <c r="AO3593" t="s">
        <v>6776</v>
      </c>
      <c r="AP3593" t="s">
        <v>6776</v>
      </c>
      <c r="AQ3593">
        <v>1</v>
      </c>
      <c r="AR3593" t="s">
        <v>6729</v>
      </c>
      <c r="AS3593" t="s">
        <v>6730</v>
      </c>
      <c r="AT3593" t="s">
        <v>58</v>
      </c>
      <c r="AU3593" t="s">
        <v>68</v>
      </c>
      <c r="AV3593" t="s">
        <v>69</v>
      </c>
      <c r="AW3593" s="1">
        <v>24761</v>
      </c>
      <c r="AX3593">
        <v>2</v>
      </c>
    </row>
    <row r="3594" spans="1:50">
      <c r="A3594">
        <v>154334</v>
      </c>
      <c r="B3594" t="str">
        <f>"101561800"</f>
        <v>101561800</v>
      </c>
      <c r="C3594" t="s">
        <v>50</v>
      </c>
      <c r="D3594" t="s">
        <v>657</v>
      </c>
      <c r="E3594" t="s">
        <v>513</v>
      </c>
      <c r="F3594" t="s">
        <v>760</v>
      </c>
      <c r="G3594" t="s">
        <v>96</v>
      </c>
      <c r="H3594" t="str">
        <f>" "</f>
        <v xml:space="preserve"> </v>
      </c>
      <c r="N3594" t="s">
        <v>232</v>
      </c>
      <c r="O3594" t="s">
        <v>233</v>
      </c>
      <c r="R3594" t="s">
        <v>57</v>
      </c>
      <c r="S3594">
        <v>14</v>
      </c>
      <c r="T3594">
        <v>161</v>
      </c>
      <c r="U3594" s="1">
        <v>32387</v>
      </c>
      <c r="V3594" t="s">
        <v>6729</v>
      </c>
      <c r="W3594" t="s">
        <v>6730</v>
      </c>
      <c r="X3594" t="s">
        <v>58</v>
      </c>
      <c r="Y3594">
        <v>18</v>
      </c>
      <c r="Z3594" t="s">
        <v>59</v>
      </c>
      <c r="AA3594" t="s">
        <v>59</v>
      </c>
      <c r="AB3594" t="s">
        <v>59</v>
      </c>
      <c r="AC3594" t="s">
        <v>59</v>
      </c>
      <c r="AD3594" t="s">
        <v>59</v>
      </c>
      <c r="AF3594" s="1">
        <v>32392</v>
      </c>
      <c r="AG3594" t="s">
        <v>125</v>
      </c>
      <c r="AH3594" t="s">
        <v>126</v>
      </c>
      <c r="AI3594" t="str">
        <f>"5001072"</f>
        <v>5001072</v>
      </c>
      <c r="AJ3594" t="s">
        <v>6922</v>
      </c>
      <c r="AK3594">
        <v>2821055471</v>
      </c>
      <c r="AL3594" t="s">
        <v>6923</v>
      </c>
      <c r="AM3594" t="s">
        <v>88</v>
      </c>
      <c r="AN3594" t="s">
        <v>88</v>
      </c>
      <c r="AO3594" t="s">
        <v>88</v>
      </c>
      <c r="AP3594" t="s">
        <v>88</v>
      </c>
      <c r="AQ3594">
        <v>1</v>
      </c>
      <c r="AR3594" t="s">
        <v>6729</v>
      </c>
      <c r="AS3594" t="s">
        <v>6730</v>
      </c>
      <c r="AT3594" t="s">
        <v>58</v>
      </c>
      <c r="AU3594" t="s">
        <v>68</v>
      </c>
      <c r="AV3594" t="s">
        <v>69</v>
      </c>
      <c r="AW3594" s="1">
        <v>21628</v>
      </c>
      <c r="AX3594">
        <v>2</v>
      </c>
    </row>
    <row r="3595" spans="1:50">
      <c r="A3595">
        <v>155754</v>
      </c>
      <c r="B3595" t="str">
        <f>"064279474"</f>
        <v>064279474</v>
      </c>
      <c r="C3595" t="s">
        <v>50</v>
      </c>
      <c r="D3595" t="s">
        <v>657</v>
      </c>
      <c r="E3595" t="s">
        <v>755</v>
      </c>
      <c r="F3595" t="s">
        <v>450</v>
      </c>
      <c r="G3595" t="s">
        <v>73</v>
      </c>
      <c r="H3595" t="str">
        <f>" "</f>
        <v xml:space="preserve"> </v>
      </c>
      <c r="N3595" t="s">
        <v>146</v>
      </c>
      <c r="O3595" t="s">
        <v>147</v>
      </c>
      <c r="R3595" t="s">
        <v>57</v>
      </c>
      <c r="S3595">
        <v>15</v>
      </c>
      <c r="T3595">
        <v>188</v>
      </c>
      <c r="U3595" s="1">
        <v>32752</v>
      </c>
      <c r="V3595" t="s">
        <v>6729</v>
      </c>
      <c r="W3595" t="s">
        <v>6730</v>
      </c>
      <c r="X3595" t="s">
        <v>58</v>
      </c>
      <c r="Y3595">
        <v>18</v>
      </c>
      <c r="Z3595" t="s">
        <v>59</v>
      </c>
      <c r="AA3595" t="s">
        <v>59</v>
      </c>
      <c r="AB3595" t="s">
        <v>59</v>
      </c>
      <c r="AC3595" t="s">
        <v>59</v>
      </c>
      <c r="AD3595" t="s">
        <v>59</v>
      </c>
      <c r="AF3595" s="1">
        <v>32756</v>
      </c>
      <c r="AG3595" t="s">
        <v>148</v>
      </c>
      <c r="AH3595" t="s">
        <v>149</v>
      </c>
      <c r="AI3595" t="str">
        <f>"5062010"</f>
        <v>5062010</v>
      </c>
      <c r="AJ3595" t="s">
        <v>6783</v>
      </c>
      <c r="AK3595">
        <v>2821031620</v>
      </c>
      <c r="AL3595" t="s">
        <v>6784</v>
      </c>
      <c r="AM3595" t="s">
        <v>88</v>
      </c>
      <c r="AN3595" t="s">
        <v>88</v>
      </c>
      <c r="AO3595" t="s">
        <v>6785</v>
      </c>
      <c r="AP3595" t="s">
        <v>6786</v>
      </c>
      <c r="AQ3595">
        <v>1</v>
      </c>
      <c r="AR3595" t="s">
        <v>6729</v>
      </c>
      <c r="AS3595" t="s">
        <v>6730</v>
      </c>
      <c r="AT3595" t="s">
        <v>58</v>
      </c>
      <c r="AU3595" t="s">
        <v>68</v>
      </c>
      <c r="AV3595" t="s">
        <v>69</v>
      </c>
      <c r="AW3595" s="1">
        <v>22434</v>
      </c>
      <c r="AX3595">
        <v>2</v>
      </c>
    </row>
    <row r="3596" spans="1:50">
      <c r="A3596">
        <v>223596</v>
      </c>
      <c r="B3596" t="str">
        <f>"058608780"</f>
        <v>058608780</v>
      </c>
      <c r="C3596" t="s">
        <v>50</v>
      </c>
      <c r="D3596" t="s">
        <v>657</v>
      </c>
      <c r="E3596" t="s">
        <v>681</v>
      </c>
      <c r="F3596" t="s">
        <v>95</v>
      </c>
      <c r="G3596" t="s">
        <v>566</v>
      </c>
      <c r="H3596" t="str">
        <f>"ΝΙΚΟΛΑΟΥ ΣΚΟΥΛΑ 107 "</f>
        <v xml:space="preserve">ΝΙΚΟΛΑΟΥ ΣΚΟΥΛΑ 107 </v>
      </c>
      <c r="I3596">
        <v>73136</v>
      </c>
      <c r="J3596">
        <v>2821093613</v>
      </c>
      <c r="K3596">
        <v>6985067274</v>
      </c>
      <c r="M3596" t="s">
        <v>6924</v>
      </c>
      <c r="N3596" t="s">
        <v>199</v>
      </c>
      <c r="O3596" t="s">
        <v>200</v>
      </c>
      <c r="R3596" t="s">
        <v>57</v>
      </c>
      <c r="S3596">
        <v>6</v>
      </c>
      <c r="T3596">
        <v>775</v>
      </c>
      <c r="U3596" s="1">
        <v>39680</v>
      </c>
      <c r="V3596" t="s">
        <v>6729</v>
      </c>
      <c r="W3596" t="s">
        <v>6730</v>
      </c>
      <c r="X3596" t="s">
        <v>58</v>
      </c>
      <c r="Y3596">
        <v>20</v>
      </c>
      <c r="Z3596" t="s">
        <v>59</v>
      </c>
      <c r="AA3596" t="s">
        <v>59</v>
      </c>
      <c r="AB3596" t="s">
        <v>59</v>
      </c>
      <c r="AC3596" t="s">
        <v>59</v>
      </c>
      <c r="AD3596" t="s">
        <v>59</v>
      </c>
      <c r="AF3596" s="1">
        <v>39681</v>
      </c>
      <c r="AG3596" t="s">
        <v>125</v>
      </c>
      <c r="AH3596" t="s">
        <v>126</v>
      </c>
      <c r="AI3596" t="str">
        <f>"5010010"</f>
        <v>5010010</v>
      </c>
      <c r="AJ3596" t="s">
        <v>6779</v>
      </c>
      <c r="AK3596">
        <v>2825051288</v>
      </c>
      <c r="AL3596" t="s">
        <v>6780</v>
      </c>
      <c r="AM3596" t="s">
        <v>88</v>
      </c>
      <c r="AN3596" t="s">
        <v>6775</v>
      </c>
      <c r="AO3596" t="s">
        <v>6781</v>
      </c>
      <c r="AP3596" t="s">
        <v>6782</v>
      </c>
      <c r="AQ3596">
        <v>1</v>
      </c>
      <c r="AR3596" t="s">
        <v>6729</v>
      </c>
      <c r="AS3596" t="s">
        <v>6730</v>
      </c>
      <c r="AT3596" t="s">
        <v>58</v>
      </c>
      <c r="AU3596" t="s">
        <v>68</v>
      </c>
      <c r="AV3596" t="s">
        <v>69</v>
      </c>
      <c r="AW3596" s="1">
        <v>25097</v>
      </c>
      <c r="AX3596">
        <v>2</v>
      </c>
    </row>
    <row r="3597" spans="1:50">
      <c r="A3597">
        <v>185692</v>
      </c>
      <c r="B3597" t="str">
        <f>"022930540"</f>
        <v>022930540</v>
      </c>
      <c r="C3597" t="s">
        <v>50</v>
      </c>
      <c r="D3597" t="s">
        <v>657</v>
      </c>
      <c r="E3597" t="s">
        <v>541</v>
      </c>
      <c r="F3597" t="s">
        <v>153</v>
      </c>
      <c r="G3597" t="s">
        <v>237</v>
      </c>
      <c r="H3597" t="str">
        <f>"ΣΕΙΡΑΔΑΚΗ 9 ΧΑΝΙΑ"</f>
        <v>ΣΕΙΡΑΔΑΚΗ 9 ΧΑΝΙΑ</v>
      </c>
      <c r="I3597">
        <v>73132</v>
      </c>
      <c r="J3597">
        <v>2821045992</v>
      </c>
      <c r="K3597">
        <v>6944861660</v>
      </c>
      <c r="M3597" t="s">
        <v>6925</v>
      </c>
      <c r="N3597" t="s">
        <v>146</v>
      </c>
      <c r="O3597" t="s">
        <v>147</v>
      </c>
      <c r="R3597" t="s">
        <v>57</v>
      </c>
      <c r="S3597">
        <v>11</v>
      </c>
      <c r="T3597">
        <v>250</v>
      </c>
      <c r="U3597" s="1">
        <v>36769</v>
      </c>
      <c r="V3597" t="s">
        <v>6729</v>
      </c>
      <c r="W3597" t="s">
        <v>6730</v>
      </c>
      <c r="X3597" t="s">
        <v>58</v>
      </c>
      <c r="Y3597">
        <v>20</v>
      </c>
      <c r="Z3597" t="s">
        <v>59</v>
      </c>
      <c r="AA3597" t="s">
        <v>59</v>
      </c>
      <c r="AB3597" t="s">
        <v>59</v>
      </c>
      <c r="AC3597" t="s">
        <v>59</v>
      </c>
      <c r="AD3597" t="s">
        <v>59</v>
      </c>
      <c r="AF3597" s="1">
        <v>36770</v>
      </c>
      <c r="AG3597" t="s">
        <v>148</v>
      </c>
      <c r="AH3597" t="s">
        <v>149</v>
      </c>
      <c r="AI3597" t="str">
        <f>"5051050"</f>
        <v>5051050</v>
      </c>
      <c r="AJ3597" t="s">
        <v>6861</v>
      </c>
      <c r="AK3597">
        <v>2821044860</v>
      </c>
      <c r="AL3597" t="s">
        <v>6862</v>
      </c>
      <c r="AM3597" t="s">
        <v>88</v>
      </c>
      <c r="AN3597" t="s">
        <v>88</v>
      </c>
      <c r="AO3597" t="s">
        <v>88</v>
      </c>
      <c r="AP3597" t="s">
        <v>88</v>
      </c>
      <c r="AQ3597">
        <v>1</v>
      </c>
      <c r="AR3597" t="s">
        <v>6729</v>
      </c>
      <c r="AS3597" t="s">
        <v>6730</v>
      </c>
      <c r="AT3597" t="s">
        <v>58</v>
      </c>
      <c r="AU3597" t="s">
        <v>68</v>
      </c>
      <c r="AV3597" t="s">
        <v>69</v>
      </c>
      <c r="AW3597" s="1">
        <v>25009</v>
      </c>
      <c r="AX3597">
        <v>2</v>
      </c>
    </row>
    <row r="3598" spans="1:50">
      <c r="B3598" t="str">
        <f>"076260717"</f>
        <v>076260717</v>
      </c>
      <c r="C3598" t="s">
        <v>105</v>
      </c>
      <c r="D3598" t="s">
        <v>6926</v>
      </c>
      <c r="E3598" t="s">
        <v>99</v>
      </c>
      <c r="F3598" t="s">
        <v>315</v>
      </c>
      <c r="G3598" t="s">
        <v>83</v>
      </c>
      <c r="H3598" t="str">
        <f>"ΜΑΤΣΟΥΚΑ 23 ΠΤΟΛΕΜΑΙΔΑ"</f>
        <v>ΜΑΤΣΟΥΚΑ 23 ΠΤΟΛΕΜΑΙΔΑ</v>
      </c>
      <c r="I3598">
        <v>50200</v>
      </c>
      <c r="J3598">
        <v>2463022557</v>
      </c>
      <c r="K3598">
        <v>6947324384</v>
      </c>
      <c r="M3598" t="s">
        <v>6927</v>
      </c>
      <c r="N3598" t="s">
        <v>135</v>
      </c>
      <c r="O3598" t="s">
        <v>136</v>
      </c>
      <c r="R3598" t="s">
        <v>57</v>
      </c>
      <c r="S3598">
        <v>7</v>
      </c>
      <c r="T3598" t="s">
        <v>574</v>
      </c>
      <c r="U3598" s="1">
        <v>43378</v>
      </c>
      <c r="V3598" t="s">
        <v>6729</v>
      </c>
      <c r="W3598" t="s">
        <v>6730</v>
      </c>
      <c r="X3598" t="s">
        <v>58</v>
      </c>
      <c r="Y3598">
        <v>23</v>
      </c>
      <c r="Z3598" t="s">
        <v>59</v>
      </c>
      <c r="AA3598" t="s">
        <v>59</v>
      </c>
      <c r="AB3598" t="s">
        <v>59</v>
      </c>
      <c r="AC3598" t="s">
        <v>59</v>
      </c>
      <c r="AD3598" t="s">
        <v>59</v>
      </c>
      <c r="AF3598" s="1">
        <v>43381</v>
      </c>
      <c r="AG3598" t="s">
        <v>137</v>
      </c>
      <c r="AH3598" t="s">
        <v>138</v>
      </c>
      <c r="AI3598" t="str">
        <f>"5050065"</f>
        <v>5050065</v>
      </c>
      <c r="AJ3598" t="s">
        <v>6822</v>
      </c>
      <c r="AK3598">
        <v>2823022234</v>
      </c>
      <c r="AL3598" t="s">
        <v>6823</v>
      </c>
      <c r="AM3598" t="s">
        <v>88</v>
      </c>
      <c r="AN3598" t="s">
        <v>6824</v>
      </c>
      <c r="AO3598" t="s">
        <v>6825</v>
      </c>
      <c r="AP3598" t="s">
        <v>6826</v>
      </c>
      <c r="AQ3598">
        <v>1</v>
      </c>
      <c r="AR3598" t="s">
        <v>6729</v>
      </c>
      <c r="AS3598" t="s">
        <v>6730</v>
      </c>
      <c r="AT3598" t="s">
        <v>58</v>
      </c>
      <c r="AU3598" t="s">
        <v>164</v>
      </c>
      <c r="AV3598" t="s">
        <v>132</v>
      </c>
      <c r="AW3598" s="1">
        <v>22564</v>
      </c>
      <c r="AX3598">
        <v>2</v>
      </c>
    </row>
    <row r="3599" spans="1:50">
      <c r="A3599">
        <v>216377</v>
      </c>
      <c r="B3599" t="str">
        <f>"064624551"</f>
        <v>064624551</v>
      </c>
      <c r="C3599" t="s">
        <v>50</v>
      </c>
      <c r="D3599" t="s">
        <v>6928</v>
      </c>
      <c r="E3599" t="s">
        <v>727</v>
      </c>
      <c r="F3599" t="s">
        <v>760</v>
      </c>
      <c r="G3599" t="s">
        <v>2811</v>
      </c>
      <c r="H3599" t="str">
        <f>" "</f>
        <v xml:space="preserve"> </v>
      </c>
      <c r="J3599">
        <v>2821058011</v>
      </c>
      <c r="K3599">
        <v>6972437699</v>
      </c>
      <c r="N3599" t="s">
        <v>199</v>
      </c>
      <c r="O3599" t="s">
        <v>200</v>
      </c>
      <c r="R3599" t="s">
        <v>57</v>
      </c>
      <c r="S3599">
        <v>6</v>
      </c>
      <c r="T3599">
        <v>236</v>
      </c>
      <c r="U3599" s="1">
        <v>38961</v>
      </c>
      <c r="V3599" t="s">
        <v>6729</v>
      </c>
      <c r="W3599" t="s">
        <v>6730</v>
      </c>
      <c r="X3599" t="s">
        <v>58</v>
      </c>
      <c r="Y3599">
        <v>20</v>
      </c>
      <c r="Z3599" t="s">
        <v>59</v>
      </c>
      <c r="AA3599" t="s">
        <v>59</v>
      </c>
      <c r="AB3599" t="s">
        <v>59</v>
      </c>
      <c r="AC3599" t="s">
        <v>59</v>
      </c>
      <c r="AD3599" t="s">
        <v>59</v>
      </c>
      <c r="AF3599" s="1">
        <v>38965</v>
      </c>
      <c r="AG3599" t="s">
        <v>125</v>
      </c>
      <c r="AH3599" t="s">
        <v>126</v>
      </c>
      <c r="AI3599" t="str">
        <f>"5001072"</f>
        <v>5001072</v>
      </c>
      <c r="AJ3599" t="s">
        <v>6922</v>
      </c>
      <c r="AK3599">
        <v>2821055471</v>
      </c>
      <c r="AL3599" t="s">
        <v>6923</v>
      </c>
      <c r="AM3599" t="s">
        <v>88</v>
      </c>
      <c r="AN3599" t="s">
        <v>88</v>
      </c>
      <c r="AO3599" t="s">
        <v>88</v>
      </c>
      <c r="AP3599" t="s">
        <v>88</v>
      </c>
      <c r="AQ3599">
        <v>1</v>
      </c>
      <c r="AR3599" t="s">
        <v>6729</v>
      </c>
      <c r="AS3599" t="s">
        <v>6730</v>
      </c>
      <c r="AT3599" t="s">
        <v>58</v>
      </c>
      <c r="AU3599" t="s">
        <v>68</v>
      </c>
      <c r="AV3599" t="s">
        <v>69</v>
      </c>
      <c r="AW3599" s="1">
        <v>25241</v>
      </c>
      <c r="AX3599">
        <v>2</v>
      </c>
    </row>
    <row r="3600" spans="1:50">
      <c r="B3600" t="str">
        <f>"140712062"</f>
        <v>140712062</v>
      </c>
      <c r="C3600" t="s">
        <v>50</v>
      </c>
      <c r="D3600" t="s">
        <v>6929</v>
      </c>
      <c r="E3600" t="s">
        <v>237</v>
      </c>
      <c r="F3600" t="s">
        <v>84</v>
      </c>
      <c r="G3600" t="s">
        <v>181</v>
      </c>
      <c r="H3600" t="str">
        <f>"ΓΚΟΡΤΖΗ 45 ΧΑΛΚΙΔΑ"</f>
        <v>ΓΚΟΡΤΖΗ 45 ΧΑΛΚΙΔΑ</v>
      </c>
      <c r="I3600">
        <v>34100</v>
      </c>
      <c r="J3600">
        <v>2221078743</v>
      </c>
      <c r="K3600">
        <v>6974464722</v>
      </c>
      <c r="N3600" t="s">
        <v>292</v>
      </c>
      <c r="O3600" t="s">
        <v>293</v>
      </c>
      <c r="R3600" t="s">
        <v>121</v>
      </c>
      <c r="S3600">
        <v>1</v>
      </c>
      <c r="T3600" t="s">
        <v>574</v>
      </c>
      <c r="U3600" s="1">
        <v>43378</v>
      </c>
      <c r="V3600" t="s">
        <v>6729</v>
      </c>
      <c r="W3600" t="s">
        <v>6730</v>
      </c>
      <c r="X3600" t="s">
        <v>58</v>
      </c>
      <c r="Y3600">
        <v>23</v>
      </c>
      <c r="Z3600" t="s">
        <v>59</v>
      </c>
      <c r="AA3600" t="s">
        <v>59</v>
      </c>
      <c r="AB3600" t="s">
        <v>59</v>
      </c>
      <c r="AC3600" t="s">
        <v>59</v>
      </c>
      <c r="AD3600" t="s">
        <v>59</v>
      </c>
      <c r="AF3600" s="1">
        <v>43381</v>
      </c>
      <c r="AG3600" t="s">
        <v>137</v>
      </c>
      <c r="AH3600" t="s">
        <v>138</v>
      </c>
      <c r="AI3600" t="str">
        <f>"5040090"</f>
        <v>5040090</v>
      </c>
      <c r="AJ3600" t="s">
        <v>6757</v>
      </c>
      <c r="AK3600">
        <v>2822022275</v>
      </c>
      <c r="AL3600" t="s">
        <v>6758</v>
      </c>
      <c r="AM3600" t="s">
        <v>88</v>
      </c>
      <c r="AN3600" t="s">
        <v>6744</v>
      </c>
      <c r="AO3600" t="s">
        <v>6744</v>
      </c>
      <c r="AP3600" t="s">
        <v>6744</v>
      </c>
      <c r="AQ3600">
        <v>1</v>
      </c>
      <c r="AR3600" t="s">
        <v>6729</v>
      </c>
      <c r="AS3600" t="s">
        <v>6730</v>
      </c>
      <c r="AT3600" t="s">
        <v>58</v>
      </c>
      <c r="AU3600" t="s">
        <v>164</v>
      </c>
      <c r="AV3600" t="s">
        <v>132</v>
      </c>
      <c r="AW3600" s="1">
        <v>28640</v>
      </c>
      <c r="AX3600">
        <v>2</v>
      </c>
    </row>
    <row r="3601" spans="1:50">
      <c r="A3601">
        <v>213032</v>
      </c>
      <c r="B3601" t="str">
        <f>"039878530"</f>
        <v>039878530</v>
      </c>
      <c r="C3601" t="s">
        <v>50</v>
      </c>
      <c r="D3601" t="s">
        <v>6930</v>
      </c>
      <c r="E3601" t="s">
        <v>83</v>
      </c>
      <c r="F3601" t="s">
        <v>936</v>
      </c>
      <c r="G3601" t="s">
        <v>52</v>
      </c>
      <c r="H3601" t="str">
        <f>"ΛΕΩΦ. ΣΟΥΔΑΣ 44 ΣΟΥΔΑ"</f>
        <v>ΛΕΩΦ. ΣΟΥΔΑΣ 44 ΣΟΥΔΑ</v>
      </c>
      <c r="I3601">
        <v>73200</v>
      </c>
      <c r="J3601">
        <v>2821089178</v>
      </c>
      <c r="K3601">
        <v>6978001213</v>
      </c>
      <c r="M3601" t="s">
        <v>6931</v>
      </c>
      <c r="N3601" t="s">
        <v>199</v>
      </c>
      <c r="O3601" t="s">
        <v>200</v>
      </c>
      <c r="R3601" t="s">
        <v>57</v>
      </c>
      <c r="S3601">
        <v>7</v>
      </c>
      <c r="T3601">
        <v>231</v>
      </c>
      <c r="U3601" s="1">
        <v>38960</v>
      </c>
      <c r="V3601" t="s">
        <v>6729</v>
      </c>
      <c r="W3601" t="s">
        <v>6730</v>
      </c>
      <c r="X3601" t="s">
        <v>58</v>
      </c>
      <c r="Y3601">
        <v>20</v>
      </c>
      <c r="Z3601" t="s">
        <v>59</v>
      </c>
      <c r="AA3601" t="s">
        <v>59</v>
      </c>
      <c r="AB3601" t="s">
        <v>59</v>
      </c>
      <c r="AC3601" t="s">
        <v>59</v>
      </c>
      <c r="AD3601" t="s">
        <v>59</v>
      </c>
      <c r="AF3601" s="1">
        <v>38964</v>
      </c>
      <c r="AG3601" t="s">
        <v>148</v>
      </c>
      <c r="AH3601" t="s">
        <v>149</v>
      </c>
      <c r="AI3601" t="str">
        <f>"5051030"</f>
        <v>5051030</v>
      </c>
      <c r="AJ3601" t="s">
        <v>6760</v>
      </c>
      <c r="AK3601">
        <v>2821027533</v>
      </c>
      <c r="AL3601" t="s">
        <v>6761</v>
      </c>
      <c r="AM3601" t="s">
        <v>88</v>
      </c>
      <c r="AN3601" t="s">
        <v>88</v>
      </c>
      <c r="AO3601" t="s">
        <v>88</v>
      </c>
      <c r="AP3601" t="s">
        <v>88</v>
      </c>
      <c r="AQ3601">
        <v>1</v>
      </c>
      <c r="AR3601" t="s">
        <v>6729</v>
      </c>
      <c r="AS3601" t="s">
        <v>6730</v>
      </c>
      <c r="AT3601" t="s">
        <v>58</v>
      </c>
      <c r="AU3601" t="s">
        <v>68</v>
      </c>
      <c r="AV3601" t="s">
        <v>69</v>
      </c>
      <c r="AW3601" s="1">
        <v>25032</v>
      </c>
      <c r="AX3601">
        <v>2</v>
      </c>
    </row>
    <row r="3602" spans="1:50">
      <c r="A3602">
        <v>166627</v>
      </c>
      <c r="B3602" t="str">
        <f>"034361796"</f>
        <v>034361796</v>
      </c>
      <c r="C3602" t="s">
        <v>50</v>
      </c>
      <c r="D3602" t="s">
        <v>6932</v>
      </c>
      <c r="E3602" t="s">
        <v>83</v>
      </c>
      <c r="F3602" t="s">
        <v>84</v>
      </c>
      <c r="G3602" t="s">
        <v>96</v>
      </c>
      <c r="H3602" t="str">
        <f>" "</f>
        <v xml:space="preserve"> </v>
      </c>
      <c r="M3602" t="s">
        <v>6933</v>
      </c>
      <c r="N3602" t="s">
        <v>176</v>
      </c>
      <c r="O3602" t="s">
        <v>177</v>
      </c>
      <c r="R3602" t="s">
        <v>57</v>
      </c>
      <c r="S3602">
        <v>14</v>
      </c>
      <c r="T3602">
        <v>137</v>
      </c>
      <c r="U3602" s="1">
        <v>34206</v>
      </c>
      <c r="V3602" t="s">
        <v>6729</v>
      </c>
      <c r="W3602" t="s">
        <v>6730</v>
      </c>
      <c r="X3602" t="s">
        <v>58</v>
      </c>
      <c r="Y3602">
        <v>18</v>
      </c>
      <c r="Z3602" t="s">
        <v>59</v>
      </c>
      <c r="AA3602" t="s">
        <v>59</v>
      </c>
      <c r="AB3602" t="s">
        <v>59</v>
      </c>
      <c r="AC3602" t="s">
        <v>59</v>
      </c>
      <c r="AD3602" t="s">
        <v>59</v>
      </c>
      <c r="AF3602" s="1">
        <v>34213</v>
      </c>
      <c r="AG3602" t="s">
        <v>125</v>
      </c>
      <c r="AH3602" t="s">
        <v>126</v>
      </c>
      <c r="AI3602" t="str">
        <f>"5001072"</f>
        <v>5001072</v>
      </c>
      <c r="AJ3602" t="s">
        <v>6922</v>
      </c>
      <c r="AK3602">
        <v>2821055471</v>
      </c>
      <c r="AL3602" t="s">
        <v>6923</v>
      </c>
      <c r="AM3602" t="s">
        <v>88</v>
      </c>
      <c r="AN3602" t="s">
        <v>88</v>
      </c>
      <c r="AO3602" t="s">
        <v>88</v>
      </c>
      <c r="AP3602" t="s">
        <v>88</v>
      </c>
      <c r="AQ3602">
        <v>1</v>
      </c>
      <c r="AR3602" t="s">
        <v>6729</v>
      </c>
      <c r="AS3602" t="s">
        <v>6730</v>
      </c>
      <c r="AT3602" t="s">
        <v>58</v>
      </c>
      <c r="AU3602" t="s">
        <v>68</v>
      </c>
      <c r="AV3602" t="s">
        <v>69</v>
      </c>
      <c r="AW3602" s="1">
        <v>21565</v>
      </c>
      <c r="AX3602">
        <v>2</v>
      </c>
    </row>
    <row r="3603" spans="1:50">
      <c r="A3603">
        <v>179909</v>
      </c>
      <c r="B3603" t="str">
        <f>"065546241"</f>
        <v>065546241</v>
      </c>
      <c r="C3603" t="s">
        <v>50</v>
      </c>
      <c r="D3603" t="s">
        <v>6934</v>
      </c>
      <c r="E3603" t="s">
        <v>1497</v>
      </c>
      <c r="F3603" t="s">
        <v>108</v>
      </c>
      <c r="G3603" t="s">
        <v>134</v>
      </c>
      <c r="H3603" t="str">
        <f>"ΠΑΛΑΜΑ 4 ΧΑΝΙΑ"</f>
        <v>ΠΑΛΑΜΑ 4 ΧΑΝΙΑ</v>
      </c>
      <c r="I3603">
        <v>73100</v>
      </c>
      <c r="J3603">
        <v>2821050879</v>
      </c>
      <c r="N3603" t="s">
        <v>292</v>
      </c>
      <c r="O3603" t="s">
        <v>293</v>
      </c>
      <c r="R3603" t="s">
        <v>57</v>
      </c>
      <c r="S3603">
        <v>9</v>
      </c>
      <c r="T3603">
        <v>181</v>
      </c>
      <c r="U3603" s="1">
        <v>36040</v>
      </c>
      <c r="V3603" t="s">
        <v>6729</v>
      </c>
      <c r="W3603" t="s">
        <v>6730</v>
      </c>
      <c r="X3603" t="s">
        <v>58</v>
      </c>
      <c r="Y3603">
        <v>18</v>
      </c>
      <c r="Z3603" t="s">
        <v>59</v>
      </c>
      <c r="AA3603" t="s">
        <v>59</v>
      </c>
      <c r="AB3603" t="s">
        <v>59</v>
      </c>
      <c r="AC3603" t="s">
        <v>59</v>
      </c>
      <c r="AD3603" t="s">
        <v>59</v>
      </c>
      <c r="AF3603" s="1">
        <v>36040</v>
      </c>
      <c r="AG3603" t="s">
        <v>137</v>
      </c>
      <c r="AH3603" t="s">
        <v>138</v>
      </c>
      <c r="AI3603" t="str">
        <f>"5040100"</f>
        <v>5040100</v>
      </c>
      <c r="AJ3603" t="s">
        <v>6790</v>
      </c>
      <c r="AK3603">
        <v>2821058998</v>
      </c>
      <c r="AL3603" t="s">
        <v>6791</v>
      </c>
      <c r="AM3603" t="s">
        <v>88</v>
      </c>
      <c r="AN3603" t="s">
        <v>88</v>
      </c>
      <c r="AO3603" t="s">
        <v>6770</v>
      </c>
      <c r="AP3603" t="s">
        <v>6771</v>
      </c>
      <c r="AQ3603">
        <v>1</v>
      </c>
      <c r="AR3603" t="s">
        <v>6729</v>
      </c>
      <c r="AS3603" t="s">
        <v>6730</v>
      </c>
      <c r="AT3603" t="s">
        <v>58</v>
      </c>
      <c r="AU3603" t="s">
        <v>68</v>
      </c>
      <c r="AV3603" t="s">
        <v>69</v>
      </c>
      <c r="AW3603" s="1">
        <v>21274</v>
      </c>
      <c r="AX3603">
        <v>2</v>
      </c>
    </row>
    <row r="3604" spans="1:50">
      <c r="A3604">
        <v>165337</v>
      </c>
      <c r="B3604" t="str">
        <f>"045279757"</f>
        <v>045279757</v>
      </c>
      <c r="C3604" t="s">
        <v>105</v>
      </c>
      <c r="D3604" t="s">
        <v>6935</v>
      </c>
      <c r="E3604" t="s">
        <v>383</v>
      </c>
      <c r="F3604" t="s">
        <v>95</v>
      </c>
      <c r="G3604" t="s">
        <v>507</v>
      </c>
      <c r="H3604" t="str">
        <f>"ΕΛΥΡΟΥ ΚΑΛΑΜΑΚΙ ΚΑΛΑΜΑΚΙ"</f>
        <v>ΕΛΥΡΟΥ ΚΑΛΑΜΑΚΙ ΚΑΛΑΜΑΚΙ</v>
      </c>
      <c r="I3604">
        <v>73100</v>
      </c>
      <c r="J3604">
        <v>2821033481</v>
      </c>
      <c r="K3604">
        <v>6977737826</v>
      </c>
      <c r="M3604" t="s">
        <v>6936</v>
      </c>
      <c r="N3604" t="s">
        <v>204</v>
      </c>
      <c r="O3604" t="s">
        <v>205</v>
      </c>
      <c r="R3604" t="s">
        <v>57</v>
      </c>
      <c r="S3604">
        <v>13</v>
      </c>
      <c r="T3604">
        <v>238</v>
      </c>
      <c r="U3604" s="1">
        <v>33968</v>
      </c>
      <c r="V3604" t="s">
        <v>6729</v>
      </c>
      <c r="W3604" t="s">
        <v>6730</v>
      </c>
      <c r="X3604" t="s">
        <v>58</v>
      </c>
      <c r="Y3604">
        <v>18</v>
      </c>
      <c r="Z3604" t="s">
        <v>59</v>
      </c>
      <c r="AA3604" t="s">
        <v>59</v>
      </c>
      <c r="AB3604" t="s">
        <v>59</v>
      </c>
      <c r="AC3604" t="s">
        <v>59</v>
      </c>
      <c r="AD3604" t="s">
        <v>59</v>
      </c>
      <c r="AF3604" s="1">
        <v>33974</v>
      </c>
      <c r="AG3604" t="s">
        <v>137</v>
      </c>
      <c r="AH3604" t="s">
        <v>138</v>
      </c>
      <c r="AI3604" t="str">
        <f>"5040100"</f>
        <v>5040100</v>
      </c>
      <c r="AJ3604" t="s">
        <v>6790</v>
      </c>
      <c r="AK3604">
        <v>2821058998</v>
      </c>
      <c r="AL3604" t="s">
        <v>6791</v>
      </c>
      <c r="AM3604" t="s">
        <v>88</v>
      </c>
      <c r="AN3604" t="s">
        <v>88</v>
      </c>
      <c r="AO3604" t="s">
        <v>6770</v>
      </c>
      <c r="AP3604" t="s">
        <v>6771</v>
      </c>
      <c r="AQ3604">
        <v>1</v>
      </c>
      <c r="AR3604" t="s">
        <v>6729</v>
      </c>
      <c r="AS3604" t="s">
        <v>6730</v>
      </c>
      <c r="AT3604" t="s">
        <v>58</v>
      </c>
      <c r="AU3604" t="s">
        <v>68</v>
      </c>
      <c r="AV3604" t="s">
        <v>69</v>
      </c>
      <c r="AW3604" s="1">
        <v>22826</v>
      </c>
      <c r="AX3604">
        <v>2</v>
      </c>
    </row>
    <row r="3605" spans="1:50">
      <c r="A3605">
        <v>174413</v>
      </c>
      <c r="B3605" t="str">
        <f>"054463872"</f>
        <v>054463872</v>
      </c>
      <c r="C3605" t="s">
        <v>105</v>
      </c>
      <c r="D3605" t="s">
        <v>6937</v>
      </c>
      <c r="E3605" t="s">
        <v>166</v>
      </c>
      <c r="F3605" t="s">
        <v>53</v>
      </c>
      <c r="G3605" t="s">
        <v>143</v>
      </c>
      <c r="H3605" t="str">
        <f>" "</f>
        <v xml:space="preserve"> </v>
      </c>
      <c r="N3605" t="s">
        <v>282</v>
      </c>
      <c r="O3605" t="s">
        <v>283</v>
      </c>
      <c r="R3605" t="s">
        <v>57</v>
      </c>
      <c r="S3605">
        <v>15</v>
      </c>
      <c r="T3605">
        <v>166</v>
      </c>
      <c r="U3605" s="1">
        <v>35300</v>
      </c>
      <c r="V3605" t="s">
        <v>6729</v>
      </c>
      <c r="W3605" t="s">
        <v>6730</v>
      </c>
      <c r="X3605" t="s">
        <v>58</v>
      </c>
      <c r="Y3605">
        <v>18</v>
      </c>
      <c r="Z3605" t="s">
        <v>59</v>
      </c>
      <c r="AA3605" t="s">
        <v>59</v>
      </c>
      <c r="AB3605" t="s">
        <v>59</v>
      </c>
      <c r="AC3605" t="s">
        <v>59</v>
      </c>
      <c r="AD3605" t="s">
        <v>59</v>
      </c>
      <c r="AF3605" s="1">
        <v>35310</v>
      </c>
      <c r="AG3605" t="s">
        <v>137</v>
      </c>
      <c r="AH3605" t="s">
        <v>138</v>
      </c>
      <c r="AI3605" t="str">
        <f>"5040100"</f>
        <v>5040100</v>
      </c>
      <c r="AJ3605" t="s">
        <v>6790</v>
      </c>
      <c r="AK3605">
        <v>2821058998</v>
      </c>
      <c r="AL3605" t="s">
        <v>6791</v>
      </c>
      <c r="AM3605" t="s">
        <v>88</v>
      </c>
      <c r="AN3605" t="s">
        <v>88</v>
      </c>
      <c r="AO3605" t="s">
        <v>6770</v>
      </c>
      <c r="AP3605" t="s">
        <v>6771</v>
      </c>
      <c r="AQ3605">
        <v>1</v>
      </c>
      <c r="AR3605" t="s">
        <v>6729</v>
      </c>
      <c r="AS3605" t="s">
        <v>6730</v>
      </c>
      <c r="AT3605" t="s">
        <v>58</v>
      </c>
      <c r="AU3605" t="s">
        <v>68</v>
      </c>
      <c r="AV3605" t="s">
        <v>69</v>
      </c>
      <c r="AW3605" s="1">
        <v>24050</v>
      </c>
      <c r="AX3605">
        <v>2</v>
      </c>
    </row>
    <row r="3606" spans="1:50">
      <c r="A3606">
        <v>194772</v>
      </c>
      <c r="B3606" t="str">
        <f>"032698190"</f>
        <v>032698190</v>
      </c>
      <c r="C3606" t="s">
        <v>105</v>
      </c>
      <c r="D3606" t="s">
        <v>6937</v>
      </c>
      <c r="E3606" t="s">
        <v>72</v>
      </c>
      <c r="F3606" t="s">
        <v>383</v>
      </c>
      <c r="G3606" t="s">
        <v>109</v>
      </c>
      <c r="H3606" t="str">
        <f>"Γ.ΠΕΡΡΟΥ 87 "</f>
        <v xml:space="preserve">Γ.ΠΕΡΡΟΥ 87 </v>
      </c>
      <c r="J3606">
        <v>2821043075</v>
      </c>
      <c r="K3606">
        <v>6980163685</v>
      </c>
      <c r="M3606" t="s">
        <v>6938</v>
      </c>
      <c r="N3606" t="s">
        <v>331</v>
      </c>
      <c r="O3606" t="s">
        <v>332</v>
      </c>
      <c r="R3606" t="s">
        <v>57</v>
      </c>
      <c r="S3606">
        <v>11</v>
      </c>
      <c r="T3606">
        <v>193</v>
      </c>
      <c r="U3606" s="1">
        <v>37497</v>
      </c>
      <c r="V3606" t="s">
        <v>6729</v>
      </c>
      <c r="W3606" t="s">
        <v>6730</v>
      </c>
      <c r="X3606" t="s">
        <v>58</v>
      </c>
      <c r="Y3606">
        <v>18</v>
      </c>
      <c r="Z3606" t="s">
        <v>59</v>
      </c>
      <c r="AA3606" t="s">
        <v>59</v>
      </c>
      <c r="AB3606" t="s">
        <v>59</v>
      </c>
      <c r="AC3606" t="s">
        <v>59</v>
      </c>
      <c r="AD3606" t="s">
        <v>59</v>
      </c>
      <c r="AF3606" s="1">
        <v>37501</v>
      </c>
      <c r="AG3606" t="s">
        <v>137</v>
      </c>
      <c r="AH3606" t="s">
        <v>138</v>
      </c>
      <c r="AI3606" t="str">
        <f>"5040100"</f>
        <v>5040100</v>
      </c>
      <c r="AJ3606" t="s">
        <v>6790</v>
      </c>
      <c r="AK3606">
        <v>2821058998</v>
      </c>
      <c r="AL3606" t="s">
        <v>6791</v>
      </c>
      <c r="AM3606" t="s">
        <v>88</v>
      </c>
      <c r="AN3606" t="s">
        <v>88</v>
      </c>
      <c r="AO3606" t="s">
        <v>6770</v>
      </c>
      <c r="AP3606" t="s">
        <v>6771</v>
      </c>
      <c r="AQ3606">
        <v>1</v>
      </c>
      <c r="AR3606" t="s">
        <v>6729</v>
      </c>
      <c r="AS3606" t="s">
        <v>6730</v>
      </c>
      <c r="AT3606" t="s">
        <v>58</v>
      </c>
      <c r="AU3606" t="s">
        <v>68</v>
      </c>
      <c r="AV3606" t="s">
        <v>69</v>
      </c>
      <c r="AW3606" s="1">
        <v>23312</v>
      </c>
      <c r="AX3606">
        <v>2</v>
      </c>
    </row>
    <row r="3607" spans="1:50">
      <c r="A3607">
        <v>161719</v>
      </c>
      <c r="B3607" t="str">
        <f>"033924890"</f>
        <v>033924890</v>
      </c>
      <c r="C3607" t="s">
        <v>50</v>
      </c>
      <c r="D3607" t="s">
        <v>6939</v>
      </c>
      <c r="E3607" t="s">
        <v>73</v>
      </c>
      <c r="F3607" t="s">
        <v>1559</v>
      </c>
      <c r="G3607" t="s">
        <v>237</v>
      </c>
      <c r="H3607" t="str">
        <f>"ΧΡΥΣΗ ΑΚΤΗ ΧΑΝΙΩΝ"</f>
        <v>ΧΡΥΣΗ ΑΚΤΗ ΧΑΝΙΩΝ</v>
      </c>
      <c r="I3607">
        <v>73100</v>
      </c>
      <c r="N3607" t="s">
        <v>587</v>
      </c>
      <c r="O3607" t="s">
        <v>588</v>
      </c>
      <c r="P3607" t="s">
        <v>1525</v>
      </c>
      <c r="Q3607" t="s">
        <v>1526</v>
      </c>
      <c r="R3607" t="s">
        <v>57</v>
      </c>
      <c r="S3607">
        <v>15</v>
      </c>
      <c r="T3607">
        <v>161</v>
      </c>
      <c r="U3607" s="1">
        <v>33119</v>
      </c>
      <c r="V3607" t="s">
        <v>6729</v>
      </c>
      <c r="W3607" t="s">
        <v>6730</v>
      </c>
      <c r="X3607" t="s">
        <v>58</v>
      </c>
      <c r="Y3607">
        <v>18</v>
      </c>
      <c r="Z3607" t="s">
        <v>59</v>
      </c>
      <c r="AA3607" t="s">
        <v>59</v>
      </c>
      <c r="AB3607" t="s">
        <v>59</v>
      </c>
      <c r="AC3607" t="s">
        <v>59</v>
      </c>
      <c r="AD3607" t="s">
        <v>59</v>
      </c>
      <c r="AF3607" s="1">
        <v>33120</v>
      </c>
      <c r="AG3607" t="s">
        <v>137</v>
      </c>
      <c r="AH3607" t="s">
        <v>469</v>
      </c>
      <c r="AI3607" t="str">
        <f>"5040055"</f>
        <v>5040055</v>
      </c>
      <c r="AJ3607" t="s">
        <v>6940</v>
      </c>
      <c r="AK3607">
        <v>2821036404</v>
      </c>
      <c r="AL3607" t="s">
        <v>6941</v>
      </c>
      <c r="AM3607" t="s">
        <v>88</v>
      </c>
      <c r="AN3607" t="s">
        <v>88</v>
      </c>
      <c r="AO3607" t="s">
        <v>88</v>
      </c>
      <c r="AP3607" t="s">
        <v>88</v>
      </c>
      <c r="AQ3607">
        <v>1</v>
      </c>
      <c r="AR3607" t="s">
        <v>6729</v>
      </c>
      <c r="AS3607" t="s">
        <v>6730</v>
      </c>
      <c r="AT3607" t="s">
        <v>58</v>
      </c>
      <c r="AU3607" t="s">
        <v>68</v>
      </c>
      <c r="AV3607" t="s">
        <v>69</v>
      </c>
      <c r="AW3607" s="1">
        <v>22515</v>
      </c>
      <c r="AX3607">
        <v>2</v>
      </c>
    </row>
    <row r="3608" spans="1:50">
      <c r="A3608">
        <v>221910</v>
      </c>
      <c r="B3608" t="str">
        <f>"032698348"</f>
        <v>032698348</v>
      </c>
      <c r="C3608" t="s">
        <v>50</v>
      </c>
      <c r="D3608" t="s">
        <v>6942</v>
      </c>
      <c r="E3608" t="s">
        <v>714</v>
      </c>
      <c r="F3608" t="s">
        <v>408</v>
      </c>
      <c r="G3608" t="s">
        <v>109</v>
      </c>
      <c r="H3608" t="str">
        <f>"ΔΑΓΚΛΗ 7 ΧΑΝΙΑ"</f>
        <v>ΔΑΓΚΛΗ 7 ΧΑΝΙΑ</v>
      </c>
      <c r="I3608">
        <v>73100</v>
      </c>
      <c r="J3608">
        <v>2821069760</v>
      </c>
      <c r="K3608">
        <v>6981400857</v>
      </c>
      <c r="M3608" t="s">
        <v>6943</v>
      </c>
      <c r="N3608" t="s">
        <v>146</v>
      </c>
      <c r="O3608" t="s">
        <v>147</v>
      </c>
      <c r="R3608" t="s">
        <v>57</v>
      </c>
      <c r="S3608">
        <v>6</v>
      </c>
      <c r="T3608">
        <v>775</v>
      </c>
      <c r="U3608" s="1">
        <v>39680</v>
      </c>
      <c r="V3608" t="s">
        <v>6729</v>
      </c>
      <c r="W3608" t="s">
        <v>6730</v>
      </c>
      <c r="X3608" t="s">
        <v>58</v>
      </c>
      <c r="Y3608">
        <v>20</v>
      </c>
      <c r="Z3608" t="s">
        <v>59</v>
      </c>
      <c r="AA3608" t="s">
        <v>59</v>
      </c>
      <c r="AB3608" t="s">
        <v>59</v>
      </c>
      <c r="AC3608" t="s">
        <v>59</v>
      </c>
      <c r="AD3608" t="s">
        <v>59</v>
      </c>
      <c r="AF3608" s="1">
        <v>39699</v>
      </c>
      <c r="AG3608" t="s">
        <v>125</v>
      </c>
      <c r="AH3608" t="s">
        <v>126</v>
      </c>
      <c r="AI3608" t="str">
        <f>"5001010"</f>
        <v>5001010</v>
      </c>
      <c r="AJ3608" t="s">
        <v>6873</v>
      </c>
      <c r="AK3608">
        <v>2821052130</v>
      </c>
      <c r="AL3608" t="s">
        <v>6874</v>
      </c>
      <c r="AM3608" t="s">
        <v>88</v>
      </c>
      <c r="AN3608" t="s">
        <v>88</v>
      </c>
      <c r="AO3608" t="s">
        <v>88</v>
      </c>
      <c r="AP3608" t="s">
        <v>88</v>
      </c>
      <c r="AQ3608">
        <v>1</v>
      </c>
      <c r="AR3608" t="s">
        <v>6729</v>
      </c>
      <c r="AS3608" t="s">
        <v>6730</v>
      </c>
      <c r="AT3608" t="s">
        <v>58</v>
      </c>
      <c r="AU3608" t="s">
        <v>68</v>
      </c>
      <c r="AV3608" t="s">
        <v>132</v>
      </c>
      <c r="AW3608" s="1">
        <v>22016</v>
      </c>
      <c r="AX3608">
        <v>2</v>
      </c>
    </row>
    <row r="3609" spans="1:50">
      <c r="A3609">
        <v>209315</v>
      </c>
      <c r="B3609" t="str">
        <f>"100560946"</f>
        <v>100560946</v>
      </c>
      <c r="C3609" t="s">
        <v>105</v>
      </c>
      <c r="D3609" t="s">
        <v>6944</v>
      </c>
      <c r="E3609" t="s">
        <v>106</v>
      </c>
      <c r="F3609" t="s">
        <v>1316</v>
      </c>
      <c r="G3609" t="s">
        <v>910</v>
      </c>
      <c r="H3609" t="str">
        <f>"ΤΣΙΜΗΝΑΚΗ 18 ΚΟΖΑΝΗ"</f>
        <v>ΤΣΙΜΗΝΑΚΗ 18 ΚΟΖΑΝΗ</v>
      </c>
      <c r="I3609">
        <v>50100</v>
      </c>
      <c r="J3609">
        <v>2461038212</v>
      </c>
      <c r="K3609">
        <v>6974586795</v>
      </c>
      <c r="N3609" t="s">
        <v>157</v>
      </c>
      <c r="O3609" t="s">
        <v>158</v>
      </c>
      <c r="R3609" t="s">
        <v>57</v>
      </c>
      <c r="S3609">
        <v>6</v>
      </c>
      <c r="T3609">
        <v>225</v>
      </c>
      <c r="U3609" s="1">
        <v>38604</v>
      </c>
      <c r="V3609" t="s">
        <v>6729</v>
      </c>
      <c r="W3609" t="s">
        <v>6730</v>
      </c>
      <c r="X3609" t="s">
        <v>58</v>
      </c>
      <c r="Y3609">
        <v>20</v>
      </c>
      <c r="Z3609" t="s">
        <v>59</v>
      </c>
      <c r="AA3609" t="s">
        <v>59</v>
      </c>
      <c r="AB3609" t="s">
        <v>59</v>
      </c>
      <c r="AC3609" t="s">
        <v>59</v>
      </c>
      <c r="AD3609" t="s">
        <v>59</v>
      </c>
      <c r="AF3609" s="1">
        <v>38607</v>
      </c>
      <c r="AG3609" t="s">
        <v>148</v>
      </c>
      <c r="AH3609" t="s">
        <v>149</v>
      </c>
      <c r="AI3609" t="str">
        <f>"5057010"</f>
        <v>5057010</v>
      </c>
      <c r="AJ3609" t="s">
        <v>6836</v>
      </c>
      <c r="AK3609">
        <v>2824022511</v>
      </c>
      <c r="AL3609" t="s">
        <v>6837</v>
      </c>
      <c r="AM3609" t="s">
        <v>88</v>
      </c>
      <c r="AN3609" t="s">
        <v>6764</v>
      </c>
      <c r="AO3609" t="s">
        <v>6799</v>
      </c>
      <c r="AP3609" t="s">
        <v>6799</v>
      </c>
      <c r="AQ3609">
        <v>1</v>
      </c>
      <c r="AR3609" t="s">
        <v>6729</v>
      </c>
      <c r="AS3609" t="s">
        <v>6730</v>
      </c>
      <c r="AT3609" t="s">
        <v>58</v>
      </c>
      <c r="AU3609" t="s">
        <v>68</v>
      </c>
      <c r="AV3609" t="s">
        <v>69</v>
      </c>
      <c r="AW3609" s="1">
        <v>28541</v>
      </c>
      <c r="AX3609">
        <v>2</v>
      </c>
    </row>
    <row r="3610" spans="1:50">
      <c r="A3610">
        <v>214031</v>
      </c>
      <c r="B3610" t="str">
        <f>"078470925"</f>
        <v>078470925</v>
      </c>
      <c r="C3610" t="s">
        <v>50</v>
      </c>
      <c r="D3610" t="s">
        <v>6945</v>
      </c>
      <c r="E3610" t="s">
        <v>73</v>
      </c>
      <c r="F3610" t="s">
        <v>53</v>
      </c>
      <c r="G3610" t="s">
        <v>1553</v>
      </c>
      <c r="H3610" t="str">
        <f>" "</f>
        <v xml:space="preserve"> </v>
      </c>
      <c r="J3610">
        <v>2821045887</v>
      </c>
      <c r="L3610">
        <v>2821087213</v>
      </c>
      <c r="N3610" t="s">
        <v>288</v>
      </c>
      <c r="O3610" t="s">
        <v>289</v>
      </c>
      <c r="R3610" t="s">
        <v>57</v>
      </c>
      <c r="S3610">
        <v>10</v>
      </c>
      <c r="T3610">
        <v>231</v>
      </c>
      <c r="U3610" s="1">
        <v>38960</v>
      </c>
      <c r="V3610" t="s">
        <v>6729</v>
      </c>
      <c r="W3610" t="s">
        <v>6730</v>
      </c>
      <c r="X3610" t="s">
        <v>58</v>
      </c>
      <c r="Y3610">
        <v>20</v>
      </c>
      <c r="Z3610" t="s">
        <v>59</v>
      </c>
      <c r="AA3610" t="s">
        <v>59</v>
      </c>
      <c r="AB3610" t="s">
        <v>59</v>
      </c>
      <c r="AC3610" t="s">
        <v>59</v>
      </c>
      <c r="AD3610" t="s">
        <v>59</v>
      </c>
      <c r="AF3610" s="1">
        <v>38961</v>
      </c>
      <c r="AG3610" t="s">
        <v>125</v>
      </c>
      <c r="AH3610" t="s">
        <v>126</v>
      </c>
      <c r="AI3610" t="str">
        <f>"5001070"</f>
        <v>5001070</v>
      </c>
      <c r="AJ3610" t="s">
        <v>6731</v>
      </c>
      <c r="AK3610">
        <v>2821088045</v>
      </c>
      <c r="AL3610" t="s">
        <v>6732</v>
      </c>
      <c r="AM3610" t="s">
        <v>88</v>
      </c>
      <c r="AN3610" t="s">
        <v>88</v>
      </c>
      <c r="AO3610" t="s">
        <v>6733</v>
      </c>
      <c r="AP3610" t="s">
        <v>6734</v>
      </c>
      <c r="AQ3610">
        <v>1</v>
      </c>
      <c r="AR3610" t="s">
        <v>6729</v>
      </c>
      <c r="AS3610" t="s">
        <v>6730</v>
      </c>
      <c r="AT3610" t="s">
        <v>58</v>
      </c>
      <c r="AU3610" t="s">
        <v>68</v>
      </c>
      <c r="AV3610" t="s">
        <v>69</v>
      </c>
      <c r="AW3610" s="1">
        <v>28539</v>
      </c>
      <c r="AX3610">
        <v>2</v>
      </c>
    </row>
    <row r="3611" spans="1:50">
      <c r="A3611">
        <v>704327</v>
      </c>
      <c r="B3611" t="str">
        <f>"108204424"</f>
        <v>108204424</v>
      </c>
      <c r="C3611" t="s">
        <v>50</v>
      </c>
      <c r="D3611" t="s">
        <v>6946</v>
      </c>
      <c r="E3611" t="s">
        <v>143</v>
      </c>
      <c r="F3611" t="s">
        <v>111</v>
      </c>
      <c r="G3611" t="s">
        <v>134</v>
      </c>
      <c r="H3611" t="str">
        <f>"2ΑΣ ΝΟΕΜΒΡΙΟΥ ΒΟΛΟΣ"</f>
        <v>2ΑΣ ΝΟΕΜΒΡΙΟΥ ΒΟΛΟΣ</v>
      </c>
      <c r="I3611">
        <v>38333</v>
      </c>
      <c r="J3611">
        <v>2385023428</v>
      </c>
      <c r="K3611">
        <v>6973230898</v>
      </c>
      <c r="N3611" t="s">
        <v>1351</v>
      </c>
      <c r="O3611" t="s">
        <v>1352</v>
      </c>
      <c r="R3611" t="s">
        <v>121</v>
      </c>
      <c r="S3611">
        <v>11</v>
      </c>
      <c r="T3611">
        <v>797</v>
      </c>
      <c r="U3611" s="1">
        <v>42968</v>
      </c>
      <c r="V3611" t="s">
        <v>6729</v>
      </c>
      <c r="W3611" t="s">
        <v>6730</v>
      </c>
      <c r="X3611" t="s">
        <v>58</v>
      </c>
      <c r="Y3611">
        <v>23</v>
      </c>
      <c r="Z3611" t="s">
        <v>59</v>
      </c>
      <c r="AA3611" t="s">
        <v>59</v>
      </c>
      <c r="AB3611" t="s">
        <v>59</v>
      </c>
      <c r="AC3611" t="s">
        <v>59</v>
      </c>
      <c r="AD3611" t="s">
        <v>59</v>
      </c>
      <c r="AF3611" s="1">
        <v>42968</v>
      </c>
      <c r="AG3611" t="s">
        <v>137</v>
      </c>
      <c r="AH3611" t="s">
        <v>138</v>
      </c>
      <c r="AI3611" t="str">
        <f>"5040080"</f>
        <v>5040080</v>
      </c>
      <c r="AJ3611" t="s">
        <v>6753</v>
      </c>
      <c r="AK3611">
        <v>2821093155</v>
      </c>
      <c r="AL3611" t="s">
        <v>6754</v>
      </c>
      <c r="AM3611" t="s">
        <v>88</v>
      </c>
      <c r="AN3611" t="s">
        <v>88</v>
      </c>
      <c r="AO3611" t="s">
        <v>6733</v>
      </c>
      <c r="AP3611" t="s">
        <v>6755</v>
      </c>
      <c r="AQ3611">
        <v>1</v>
      </c>
      <c r="AR3611" t="s">
        <v>6729</v>
      </c>
      <c r="AS3611" t="s">
        <v>6730</v>
      </c>
      <c r="AT3611" t="s">
        <v>58</v>
      </c>
      <c r="AU3611" t="s">
        <v>68</v>
      </c>
      <c r="AV3611" t="s">
        <v>69</v>
      </c>
      <c r="AW3611" s="1">
        <v>28491</v>
      </c>
      <c r="AX3611">
        <v>2</v>
      </c>
    </row>
    <row r="3612" spans="1:50">
      <c r="A3612">
        <v>226962</v>
      </c>
      <c r="B3612" t="str">
        <f>"066837761"</f>
        <v>066837761</v>
      </c>
      <c r="C3612" t="s">
        <v>50</v>
      </c>
      <c r="D3612" t="s">
        <v>796</v>
      </c>
      <c r="E3612" t="s">
        <v>73</v>
      </c>
      <c r="F3612" t="s">
        <v>1023</v>
      </c>
      <c r="G3612" t="s">
        <v>513</v>
      </c>
      <c r="H3612" t="str">
        <f>"ΑΝΤΩΝΙΟΥ ΓΙΑΝΝΑΡΗ 3-5 ΧΑΝΙΑ"</f>
        <v>ΑΝΤΩΝΙΟΥ ΓΙΑΝΝΑΡΗ 3-5 ΧΑΝΙΑ</v>
      </c>
      <c r="I3612">
        <v>73100</v>
      </c>
      <c r="J3612">
        <v>2821079304</v>
      </c>
      <c r="K3612">
        <v>6972122953</v>
      </c>
      <c r="M3612" t="s">
        <v>6947</v>
      </c>
      <c r="N3612" t="s">
        <v>292</v>
      </c>
      <c r="O3612" t="s">
        <v>293</v>
      </c>
      <c r="R3612" t="s">
        <v>57</v>
      </c>
      <c r="S3612">
        <v>6</v>
      </c>
      <c r="T3612">
        <v>654</v>
      </c>
      <c r="U3612" s="1">
        <v>40043</v>
      </c>
      <c r="V3612" t="s">
        <v>6729</v>
      </c>
      <c r="W3612" t="s">
        <v>6730</v>
      </c>
      <c r="X3612" t="s">
        <v>58</v>
      </c>
      <c r="Y3612">
        <v>21</v>
      </c>
      <c r="Z3612" t="s">
        <v>59</v>
      </c>
      <c r="AA3612" t="s">
        <v>59</v>
      </c>
      <c r="AB3612" t="s">
        <v>59</v>
      </c>
      <c r="AC3612" t="s">
        <v>59</v>
      </c>
      <c r="AD3612" t="s">
        <v>59</v>
      </c>
      <c r="AF3612" s="1">
        <v>40045</v>
      </c>
      <c r="AG3612" t="s">
        <v>148</v>
      </c>
      <c r="AH3612" t="s">
        <v>149</v>
      </c>
      <c r="AI3612" t="str">
        <f>"5056010"</f>
        <v>5056010</v>
      </c>
      <c r="AJ3612" t="s">
        <v>6762</v>
      </c>
      <c r="AK3612">
        <v>2824031210</v>
      </c>
      <c r="AL3612" t="s">
        <v>6763</v>
      </c>
      <c r="AM3612" t="s">
        <v>88</v>
      </c>
      <c r="AN3612" t="s">
        <v>6764</v>
      </c>
      <c r="AO3612" t="s">
        <v>6765</v>
      </c>
      <c r="AP3612" t="s">
        <v>6765</v>
      </c>
      <c r="AQ3612">
        <v>1</v>
      </c>
      <c r="AR3612" t="s">
        <v>6729</v>
      </c>
      <c r="AS3612" t="s">
        <v>6730</v>
      </c>
      <c r="AT3612" t="s">
        <v>58</v>
      </c>
      <c r="AU3612" t="s">
        <v>68</v>
      </c>
      <c r="AV3612" t="s">
        <v>69</v>
      </c>
      <c r="AW3612" s="1">
        <v>28868</v>
      </c>
      <c r="AX3612">
        <v>2</v>
      </c>
    </row>
    <row r="3613" spans="1:50">
      <c r="A3613">
        <v>208908</v>
      </c>
      <c r="B3613" t="str">
        <f>"046203668"</f>
        <v>046203668</v>
      </c>
      <c r="C3613" t="s">
        <v>50</v>
      </c>
      <c r="D3613" t="s">
        <v>796</v>
      </c>
      <c r="E3613" t="s">
        <v>52</v>
      </c>
      <c r="F3613" t="s">
        <v>84</v>
      </c>
      <c r="G3613" t="s">
        <v>155</v>
      </c>
      <c r="H3613" t="str">
        <f>" "</f>
        <v xml:space="preserve"> </v>
      </c>
      <c r="J3613">
        <v>2821087278</v>
      </c>
      <c r="K3613">
        <v>6945709687</v>
      </c>
      <c r="N3613" t="s">
        <v>583</v>
      </c>
      <c r="O3613" t="s">
        <v>584</v>
      </c>
      <c r="R3613" t="s">
        <v>57</v>
      </c>
      <c r="S3613">
        <v>8</v>
      </c>
      <c r="T3613">
        <v>218</v>
      </c>
      <c r="U3613" s="1">
        <v>38596</v>
      </c>
      <c r="V3613" t="s">
        <v>6729</v>
      </c>
      <c r="W3613" t="s">
        <v>6730</v>
      </c>
      <c r="X3613" t="s">
        <v>58</v>
      </c>
      <c r="Y3613">
        <v>20</v>
      </c>
      <c r="Z3613" t="s">
        <v>59</v>
      </c>
      <c r="AA3613" t="s">
        <v>59</v>
      </c>
      <c r="AB3613" t="s">
        <v>59</v>
      </c>
      <c r="AC3613" t="s">
        <v>59</v>
      </c>
      <c r="AD3613" t="s">
        <v>59</v>
      </c>
      <c r="AF3613" s="1">
        <v>38601</v>
      </c>
      <c r="AG3613" t="s">
        <v>137</v>
      </c>
      <c r="AH3613" t="s">
        <v>469</v>
      </c>
      <c r="AI3613" t="str">
        <f>"5040055"</f>
        <v>5040055</v>
      </c>
      <c r="AJ3613" t="s">
        <v>6940</v>
      </c>
      <c r="AK3613">
        <v>2821036404</v>
      </c>
      <c r="AL3613" t="s">
        <v>6941</v>
      </c>
      <c r="AM3613" t="s">
        <v>88</v>
      </c>
      <c r="AN3613" t="s">
        <v>88</v>
      </c>
      <c r="AO3613" t="s">
        <v>88</v>
      </c>
      <c r="AP3613" t="s">
        <v>88</v>
      </c>
      <c r="AQ3613">
        <v>1</v>
      </c>
      <c r="AR3613" t="s">
        <v>6729</v>
      </c>
      <c r="AS3613" t="s">
        <v>6730</v>
      </c>
      <c r="AT3613" t="s">
        <v>58</v>
      </c>
      <c r="AU3613" t="s">
        <v>68</v>
      </c>
      <c r="AV3613" t="s">
        <v>69</v>
      </c>
      <c r="AW3613" s="1">
        <v>25569</v>
      </c>
      <c r="AX3613">
        <v>2</v>
      </c>
    </row>
    <row r="3614" spans="1:50">
      <c r="A3614">
        <v>190750</v>
      </c>
      <c r="B3614" t="str">
        <f>"066835792"</f>
        <v>066835792</v>
      </c>
      <c r="C3614" t="s">
        <v>50</v>
      </c>
      <c r="D3614" t="s">
        <v>6948</v>
      </c>
      <c r="E3614" t="s">
        <v>52</v>
      </c>
      <c r="F3614" t="s">
        <v>377</v>
      </c>
      <c r="G3614" t="s">
        <v>658</v>
      </c>
      <c r="H3614" t="str">
        <f>"ΝΙΚ. ΚΑΛΛΙΤΕΡΑΚΗ 12 ΧΑΝΙΩΝ"</f>
        <v>ΝΙΚ. ΚΑΛΛΙΤΕΡΑΚΗ 12 ΧΑΝΙΩΝ</v>
      </c>
      <c r="I3614">
        <v>73100</v>
      </c>
      <c r="J3614">
        <v>2821034186</v>
      </c>
      <c r="K3614">
        <v>6972240742</v>
      </c>
      <c r="M3614" t="s">
        <v>6949</v>
      </c>
      <c r="N3614" t="s">
        <v>204</v>
      </c>
      <c r="O3614" t="s">
        <v>205</v>
      </c>
      <c r="R3614" t="s">
        <v>57</v>
      </c>
      <c r="S3614">
        <v>9</v>
      </c>
      <c r="T3614">
        <v>219</v>
      </c>
      <c r="U3614" s="1">
        <v>37134</v>
      </c>
      <c r="V3614" t="s">
        <v>6729</v>
      </c>
      <c r="W3614" t="s">
        <v>6730</v>
      </c>
      <c r="X3614" t="s">
        <v>58</v>
      </c>
      <c r="Y3614">
        <v>20</v>
      </c>
      <c r="Z3614" t="s">
        <v>59</v>
      </c>
      <c r="AA3614" t="s">
        <v>59</v>
      </c>
      <c r="AB3614" t="s">
        <v>59</v>
      </c>
      <c r="AC3614" t="s">
        <v>59</v>
      </c>
      <c r="AD3614" t="s">
        <v>59</v>
      </c>
      <c r="AF3614" s="1">
        <v>37141</v>
      </c>
      <c r="AG3614" t="s">
        <v>125</v>
      </c>
      <c r="AH3614" t="s">
        <v>126</v>
      </c>
      <c r="AI3614" t="str">
        <f>"5001073"</f>
        <v>5001073</v>
      </c>
      <c r="AJ3614" t="s">
        <v>6849</v>
      </c>
      <c r="AK3614">
        <v>2821028553</v>
      </c>
      <c r="AL3614" t="s">
        <v>6850</v>
      </c>
      <c r="AM3614" t="s">
        <v>88</v>
      </c>
      <c r="AN3614" t="s">
        <v>88</v>
      </c>
      <c r="AO3614" t="s">
        <v>88</v>
      </c>
      <c r="AP3614" t="s">
        <v>88</v>
      </c>
      <c r="AQ3614">
        <v>1</v>
      </c>
      <c r="AR3614" t="s">
        <v>6729</v>
      </c>
      <c r="AS3614" t="s">
        <v>6730</v>
      </c>
      <c r="AT3614" t="s">
        <v>58</v>
      </c>
      <c r="AU3614" t="s">
        <v>68</v>
      </c>
      <c r="AV3614" t="s">
        <v>69</v>
      </c>
      <c r="AW3614" s="1">
        <v>27843</v>
      </c>
      <c r="AX3614">
        <v>2</v>
      </c>
    </row>
    <row r="3615" spans="1:50">
      <c r="A3615">
        <v>221916</v>
      </c>
      <c r="B3615" t="str">
        <f>"109140747"</f>
        <v>109140747</v>
      </c>
      <c r="C3615" t="s">
        <v>105</v>
      </c>
      <c r="D3615" t="s">
        <v>6950</v>
      </c>
      <c r="E3615" t="s">
        <v>920</v>
      </c>
      <c r="F3615" t="s">
        <v>377</v>
      </c>
      <c r="G3615" t="s">
        <v>658</v>
      </c>
      <c r="H3615" t="str">
        <f>" "</f>
        <v xml:space="preserve"> </v>
      </c>
      <c r="J3615">
        <v>2821050092</v>
      </c>
      <c r="K3615">
        <v>6973795267</v>
      </c>
      <c r="M3615" t="s">
        <v>6951</v>
      </c>
      <c r="N3615" t="s">
        <v>146</v>
      </c>
      <c r="O3615" t="s">
        <v>147</v>
      </c>
      <c r="R3615" t="s">
        <v>57</v>
      </c>
      <c r="S3615">
        <v>7</v>
      </c>
      <c r="T3615">
        <v>775</v>
      </c>
      <c r="U3615" s="1">
        <v>39680</v>
      </c>
      <c r="V3615" t="s">
        <v>6729</v>
      </c>
      <c r="W3615" t="s">
        <v>6730</v>
      </c>
      <c r="X3615" t="s">
        <v>58</v>
      </c>
      <c r="Y3615">
        <v>21</v>
      </c>
      <c r="Z3615" t="s">
        <v>59</v>
      </c>
      <c r="AA3615" t="s">
        <v>59</v>
      </c>
      <c r="AB3615" t="s">
        <v>59</v>
      </c>
      <c r="AC3615" t="s">
        <v>59</v>
      </c>
      <c r="AD3615" t="s">
        <v>59</v>
      </c>
      <c r="AF3615" s="1">
        <v>39685</v>
      </c>
      <c r="AG3615" t="s">
        <v>137</v>
      </c>
      <c r="AH3615" t="s">
        <v>138</v>
      </c>
      <c r="AI3615" t="str">
        <f>"5050065"</f>
        <v>5050065</v>
      </c>
      <c r="AJ3615" t="s">
        <v>6822</v>
      </c>
      <c r="AK3615">
        <v>2823022234</v>
      </c>
      <c r="AL3615" t="s">
        <v>6823</v>
      </c>
      <c r="AM3615" t="s">
        <v>88</v>
      </c>
      <c r="AN3615" t="s">
        <v>6824</v>
      </c>
      <c r="AO3615" t="s">
        <v>6825</v>
      </c>
      <c r="AP3615" t="s">
        <v>6826</v>
      </c>
      <c r="AQ3615">
        <v>1</v>
      </c>
      <c r="AR3615" t="s">
        <v>6729</v>
      </c>
      <c r="AS3615" t="s">
        <v>6730</v>
      </c>
      <c r="AT3615" t="s">
        <v>58</v>
      </c>
      <c r="AU3615" t="s">
        <v>68</v>
      </c>
      <c r="AV3615" t="s">
        <v>69</v>
      </c>
      <c r="AW3615" s="1">
        <v>29249</v>
      </c>
      <c r="AX3615">
        <v>2</v>
      </c>
    </row>
    <row r="3616" spans="1:50">
      <c r="A3616">
        <v>228318</v>
      </c>
      <c r="B3616" t="str">
        <f>"033203920"</f>
        <v>033203920</v>
      </c>
      <c r="C3616" t="s">
        <v>50</v>
      </c>
      <c r="D3616" t="s">
        <v>5777</v>
      </c>
      <c r="E3616" t="s">
        <v>1796</v>
      </c>
      <c r="F3616" t="s">
        <v>53</v>
      </c>
      <c r="G3616" t="s">
        <v>6952</v>
      </c>
      <c r="H3616" t="str">
        <f>"ΚΟΜΝΗΝΩΝ 7Α ΑΛΕΞΑΝΔΡΟΥΠΟΛΗ"</f>
        <v>ΚΟΜΝΗΝΩΝ 7Α ΑΛΕΞΑΝΔΡΟΥΠΟΛΗ</v>
      </c>
      <c r="I3616">
        <v>68100</v>
      </c>
      <c r="J3616">
        <v>2821502099</v>
      </c>
      <c r="K3616">
        <v>6946214631</v>
      </c>
      <c r="L3616">
        <v>2551022641</v>
      </c>
      <c r="M3616" t="s">
        <v>6953</v>
      </c>
      <c r="N3616" t="s">
        <v>3715</v>
      </c>
      <c r="O3616" t="s">
        <v>3716</v>
      </c>
      <c r="R3616" t="s">
        <v>57</v>
      </c>
      <c r="S3616">
        <v>7</v>
      </c>
      <c r="T3616">
        <v>654</v>
      </c>
      <c r="U3616" s="1">
        <v>40043</v>
      </c>
      <c r="V3616" t="s">
        <v>6729</v>
      </c>
      <c r="W3616" t="s">
        <v>6730</v>
      </c>
      <c r="X3616" t="s">
        <v>58</v>
      </c>
      <c r="Y3616">
        <v>20</v>
      </c>
      <c r="Z3616" t="s">
        <v>59</v>
      </c>
      <c r="AA3616" t="s">
        <v>59</v>
      </c>
      <c r="AB3616" t="s">
        <v>59</v>
      </c>
      <c r="AC3616" t="s">
        <v>59</v>
      </c>
      <c r="AD3616" t="s">
        <v>59</v>
      </c>
      <c r="AF3616" s="1">
        <v>40057</v>
      </c>
      <c r="AG3616" t="s">
        <v>125</v>
      </c>
      <c r="AH3616" t="s">
        <v>126</v>
      </c>
      <c r="AI3616" t="str">
        <f>"5001073"</f>
        <v>5001073</v>
      </c>
      <c r="AJ3616" t="s">
        <v>6849</v>
      </c>
      <c r="AK3616">
        <v>2821028553</v>
      </c>
      <c r="AL3616" t="s">
        <v>6850</v>
      </c>
      <c r="AM3616" t="s">
        <v>88</v>
      </c>
      <c r="AN3616" t="s">
        <v>88</v>
      </c>
      <c r="AO3616" t="s">
        <v>88</v>
      </c>
      <c r="AP3616" t="s">
        <v>88</v>
      </c>
      <c r="AQ3616">
        <v>1</v>
      </c>
      <c r="AR3616" t="s">
        <v>6729</v>
      </c>
      <c r="AS3616" t="s">
        <v>6730</v>
      </c>
      <c r="AT3616" t="s">
        <v>58</v>
      </c>
      <c r="AU3616" t="s">
        <v>68</v>
      </c>
      <c r="AV3616" t="s">
        <v>69</v>
      </c>
      <c r="AW3616" s="1">
        <v>24939</v>
      </c>
      <c r="AX3616">
        <v>2</v>
      </c>
    </row>
    <row r="3617" spans="1:50">
      <c r="A3617">
        <v>702048</v>
      </c>
      <c r="B3617" t="str">
        <f>"140206835"</f>
        <v>140206835</v>
      </c>
      <c r="C3617" t="s">
        <v>50</v>
      </c>
      <c r="D3617" t="s">
        <v>822</v>
      </c>
      <c r="E3617" t="s">
        <v>6954</v>
      </c>
      <c r="F3617" t="s">
        <v>53</v>
      </c>
      <c r="G3617" t="s">
        <v>5914</v>
      </c>
      <c r="H3617" t="str">
        <f>"ΔΗΜ. ΛΑΠΠΑ 123 ΚΑΡΔΙΤΣΑ"</f>
        <v>ΔΗΜ. ΛΑΠΠΑ 123 ΚΑΡΔΙΤΣΑ</v>
      </c>
      <c r="I3617">
        <v>43100</v>
      </c>
      <c r="J3617">
        <v>2441029925</v>
      </c>
      <c r="K3617">
        <v>6976518262</v>
      </c>
      <c r="M3617" t="s">
        <v>6955</v>
      </c>
      <c r="N3617" t="s">
        <v>299</v>
      </c>
      <c r="O3617" t="s">
        <v>300</v>
      </c>
      <c r="R3617" t="s">
        <v>57</v>
      </c>
      <c r="S3617">
        <v>4</v>
      </c>
      <c r="T3617" t="s">
        <v>6956</v>
      </c>
      <c r="U3617" s="1">
        <v>40413</v>
      </c>
      <c r="V3617" t="s">
        <v>6729</v>
      </c>
      <c r="W3617" t="s">
        <v>6730</v>
      </c>
      <c r="X3617" t="s">
        <v>58</v>
      </c>
      <c r="Y3617">
        <v>21</v>
      </c>
      <c r="Z3617" t="s">
        <v>59</v>
      </c>
      <c r="AA3617" t="s">
        <v>59</v>
      </c>
      <c r="AB3617" t="s">
        <v>59</v>
      </c>
      <c r="AC3617" t="s">
        <v>59</v>
      </c>
      <c r="AD3617" t="s">
        <v>59</v>
      </c>
      <c r="AF3617" s="1">
        <v>40413</v>
      </c>
      <c r="AG3617" t="s">
        <v>125</v>
      </c>
      <c r="AH3617" t="s">
        <v>126</v>
      </c>
      <c r="AI3617" t="str">
        <f>"5012010"</f>
        <v>5012010</v>
      </c>
      <c r="AJ3617" t="s">
        <v>6794</v>
      </c>
      <c r="AK3617">
        <v>2821033195</v>
      </c>
      <c r="AL3617" t="s">
        <v>6795</v>
      </c>
      <c r="AM3617" t="s">
        <v>88</v>
      </c>
      <c r="AN3617" t="s">
        <v>88</v>
      </c>
      <c r="AO3617" t="s">
        <v>6785</v>
      </c>
      <c r="AP3617" t="s">
        <v>6786</v>
      </c>
      <c r="AQ3617">
        <v>1</v>
      </c>
      <c r="AR3617" t="s">
        <v>6729</v>
      </c>
      <c r="AS3617" t="s">
        <v>6730</v>
      </c>
      <c r="AT3617" t="s">
        <v>58</v>
      </c>
      <c r="AU3617" t="s">
        <v>68</v>
      </c>
      <c r="AV3617" t="s">
        <v>69</v>
      </c>
      <c r="AW3617" s="1">
        <v>31120</v>
      </c>
      <c r="AX3617">
        <v>2</v>
      </c>
    </row>
    <row r="3618" spans="1:50">
      <c r="A3618">
        <v>152171</v>
      </c>
      <c r="B3618" t="str">
        <f>"122983038"</f>
        <v>122983038</v>
      </c>
      <c r="C3618" t="s">
        <v>50</v>
      </c>
      <c r="D3618" t="s">
        <v>6957</v>
      </c>
      <c r="E3618" t="s">
        <v>6958</v>
      </c>
      <c r="F3618" t="s">
        <v>84</v>
      </c>
      <c r="G3618" t="s">
        <v>83</v>
      </c>
      <c r="H3618" t="str">
        <f>" "</f>
        <v xml:space="preserve"> </v>
      </c>
      <c r="N3618" t="s">
        <v>157</v>
      </c>
      <c r="O3618" t="s">
        <v>158</v>
      </c>
      <c r="R3618" t="s">
        <v>57</v>
      </c>
      <c r="S3618">
        <v>16</v>
      </c>
      <c r="T3618">
        <v>193</v>
      </c>
      <c r="U3618" s="1">
        <v>32042</v>
      </c>
      <c r="V3618" t="s">
        <v>6729</v>
      </c>
      <c r="W3618" t="s">
        <v>6730</v>
      </c>
      <c r="X3618" t="s">
        <v>58</v>
      </c>
      <c r="Y3618">
        <v>18</v>
      </c>
      <c r="Z3618" t="s">
        <v>59</v>
      </c>
      <c r="AA3618" t="s">
        <v>59</v>
      </c>
      <c r="AB3618" t="s">
        <v>59</v>
      </c>
      <c r="AC3618" t="s">
        <v>59</v>
      </c>
      <c r="AD3618" t="s">
        <v>59</v>
      </c>
      <c r="AF3618" s="1">
        <v>32047</v>
      </c>
      <c r="AG3618" t="s">
        <v>148</v>
      </c>
      <c r="AH3618" t="s">
        <v>149</v>
      </c>
      <c r="AI3618" t="str">
        <f>"5051009"</f>
        <v>5051009</v>
      </c>
      <c r="AJ3618" t="s">
        <v>6851</v>
      </c>
      <c r="AK3618">
        <v>2821044551</v>
      </c>
      <c r="AL3618" t="s">
        <v>6852</v>
      </c>
      <c r="AM3618" t="s">
        <v>88</v>
      </c>
      <c r="AN3618" t="s">
        <v>88</v>
      </c>
      <c r="AO3618" t="s">
        <v>6770</v>
      </c>
      <c r="AP3618" t="s">
        <v>6771</v>
      </c>
      <c r="AQ3618">
        <v>1</v>
      </c>
      <c r="AR3618" t="s">
        <v>6729</v>
      </c>
      <c r="AS3618" t="s">
        <v>6730</v>
      </c>
      <c r="AT3618" t="s">
        <v>58</v>
      </c>
      <c r="AU3618" t="s">
        <v>68</v>
      </c>
      <c r="AV3618" t="s">
        <v>69</v>
      </c>
      <c r="AW3618" s="1">
        <v>21802</v>
      </c>
      <c r="AX3618">
        <v>2</v>
      </c>
    </row>
    <row r="3619" spans="1:50">
      <c r="A3619">
        <v>151717</v>
      </c>
      <c r="B3619" t="str">
        <f>"066832243"</f>
        <v>066832243</v>
      </c>
      <c r="C3619" t="s">
        <v>50</v>
      </c>
      <c r="D3619" t="s">
        <v>6959</v>
      </c>
      <c r="E3619" t="s">
        <v>250</v>
      </c>
      <c r="F3619" t="s">
        <v>166</v>
      </c>
      <c r="G3619" t="s">
        <v>290</v>
      </c>
      <c r="H3619" t="str">
        <f>"ΣΠΑΡΤΗΣ 27 ΧΑΝΙΑ"</f>
        <v>ΣΠΑΡΤΗΣ 27 ΧΑΝΙΑ</v>
      </c>
      <c r="I3619">
        <v>73100</v>
      </c>
      <c r="J3619">
        <v>2821046702</v>
      </c>
      <c r="K3619">
        <v>6978003271</v>
      </c>
      <c r="M3619" t="s">
        <v>6960</v>
      </c>
      <c r="N3619" t="s">
        <v>257</v>
      </c>
      <c r="O3619" t="s">
        <v>258</v>
      </c>
      <c r="R3619" t="s">
        <v>57</v>
      </c>
      <c r="S3619">
        <v>15</v>
      </c>
      <c r="T3619">
        <v>170</v>
      </c>
      <c r="U3619" s="1">
        <v>32016</v>
      </c>
      <c r="V3619" t="s">
        <v>6729</v>
      </c>
      <c r="W3619" t="s">
        <v>6730</v>
      </c>
      <c r="X3619" t="s">
        <v>58</v>
      </c>
      <c r="Y3619">
        <v>18</v>
      </c>
      <c r="Z3619" t="s">
        <v>59</v>
      </c>
      <c r="AA3619" t="s">
        <v>59</v>
      </c>
      <c r="AB3619" t="s">
        <v>59</v>
      </c>
      <c r="AC3619" t="s">
        <v>59</v>
      </c>
      <c r="AD3619" t="s">
        <v>59</v>
      </c>
      <c r="AF3619" s="1">
        <v>32016</v>
      </c>
      <c r="AG3619" t="s">
        <v>148</v>
      </c>
      <c r="AH3619" t="s">
        <v>149</v>
      </c>
      <c r="AI3619" t="str">
        <f>"5051010"</f>
        <v>5051010</v>
      </c>
      <c r="AJ3619" t="s">
        <v>6896</v>
      </c>
      <c r="AK3619">
        <v>2821028714</v>
      </c>
      <c r="AL3619" t="s">
        <v>6897</v>
      </c>
      <c r="AM3619" t="s">
        <v>88</v>
      </c>
      <c r="AN3619" t="s">
        <v>88</v>
      </c>
      <c r="AO3619" t="s">
        <v>88</v>
      </c>
      <c r="AP3619" t="s">
        <v>88</v>
      </c>
      <c r="AQ3619">
        <v>1</v>
      </c>
      <c r="AR3619" t="s">
        <v>6729</v>
      </c>
      <c r="AS3619" t="s">
        <v>6730</v>
      </c>
      <c r="AT3619" t="s">
        <v>58</v>
      </c>
      <c r="AU3619" t="s">
        <v>68</v>
      </c>
      <c r="AV3619" t="s">
        <v>69</v>
      </c>
      <c r="AW3619" s="1">
        <v>22790</v>
      </c>
      <c r="AX3619">
        <v>2</v>
      </c>
    </row>
    <row r="3620" spans="1:50">
      <c r="A3620">
        <v>198205</v>
      </c>
      <c r="B3620" t="str">
        <f>"044832975"</f>
        <v>044832975</v>
      </c>
      <c r="C3620" t="s">
        <v>50</v>
      </c>
      <c r="D3620" t="s">
        <v>6959</v>
      </c>
      <c r="E3620" t="s">
        <v>96</v>
      </c>
      <c r="F3620" t="s">
        <v>95</v>
      </c>
      <c r="G3620" t="s">
        <v>892</v>
      </c>
      <c r="H3620" t="str">
        <f>" "</f>
        <v xml:space="preserve"> </v>
      </c>
      <c r="J3620">
        <v>2821069302</v>
      </c>
      <c r="K3620">
        <v>6973544434</v>
      </c>
      <c r="M3620" t="s">
        <v>6961</v>
      </c>
      <c r="N3620" t="s">
        <v>246</v>
      </c>
      <c r="O3620" t="s">
        <v>247</v>
      </c>
      <c r="R3620" t="s">
        <v>57</v>
      </c>
      <c r="S3620">
        <v>7</v>
      </c>
      <c r="T3620">
        <v>206</v>
      </c>
      <c r="U3620" s="1">
        <v>37866</v>
      </c>
      <c r="V3620" t="s">
        <v>6729</v>
      </c>
      <c r="W3620" t="s">
        <v>6730</v>
      </c>
      <c r="X3620" t="s">
        <v>58</v>
      </c>
      <c r="Y3620">
        <v>20</v>
      </c>
      <c r="Z3620" t="s">
        <v>59</v>
      </c>
      <c r="AA3620" t="s">
        <v>59</v>
      </c>
      <c r="AB3620" t="s">
        <v>59</v>
      </c>
      <c r="AC3620" t="s">
        <v>59</v>
      </c>
      <c r="AD3620" t="s">
        <v>59</v>
      </c>
      <c r="AF3620" s="1">
        <v>37866</v>
      </c>
      <c r="AG3620" t="s">
        <v>148</v>
      </c>
      <c r="AH3620" t="s">
        <v>149</v>
      </c>
      <c r="AI3620" t="str">
        <f>"5051050"</f>
        <v>5051050</v>
      </c>
      <c r="AJ3620" t="s">
        <v>6861</v>
      </c>
      <c r="AK3620">
        <v>2821044860</v>
      </c>
      <c r="AL3620" t="s">
        <v>6862</v>
      </c>
      <c r="AM3620" t="s">
        <v>88</v>
      </c>
      <c r="AN3620" t="s">
        <v>88</v>
      </c>
      <c r="AO3620" t="s">
        <v>88</v>
      </c>
      <c r="AP3620" t="s">
        <v>88</v>
      </c>
      <c r="AQ3620">
        <v>1</v>
      </c>
      <c r="AR3620" t="s">
        <v>6729</v>
      </c>
      <c r="AS3620" t="s">
        <v>6730</v>
      </c>
      <c r="AT3620" t="s">
        <v>58</v>
      </c>
      <c r="AU3620" t="s">
        <v>68</v>
      </c>
      <c r="AV3620" t="s">
        <v>69</v>
      </c>
      <c r="AW3620" s="1">
        <v>24371</v>
      </c>
      <c r="AX3620">
        <v>2</v>
      </c>
    </row>
    <row r="3621" spans="1:50">
      <c r="A3621">
        <v>203877</v>
      </c>
      <c r="B3621" t="str">
        <f>"046198052"</f>
        <v>046198052</v>
      </c>
      <c r="C3621" t="s">
        <v>105</v>
      </c>
      <c r="D3621" t="s">
        <v>6962</v>
      </c>
      <c r="E3621" t="s">
        <v>72</v>
      </c>
      <c r="F3621" t="s">
        <v>3246</v>
      </c>
      <c r="G3621" t="s">
        <v>6963</v>
      </c>
      <c r="H3621" t="str">
        <f>"ΛΑΚΑΤΑΜΙΑΣ 8 ΑΛΕΞΑΝΔΡΟΥΠΟΛΗ"</f>
        <v>ΛΑΚΑΤΑΜΙΑΣ 8 ΑΛΕΞΑΝΔΡΟΥΠΟΛΗ</v>
      </c>
      <c r="I3621">
        <v>68100</v>
      </c>
      <c r="J3621">
        <v>2551087180</v>
      </c>
      <c r="K3621">
        <v>6977686950</v>
      </c>
      <c r="N3621" t="s">
        <v>176</v>
      </c>
      <c r="O3621" t="s">
        <v>177</v>
      </c>
      <c r="R3621" t="s">
        <v>57</v>
      </c>
      <c r="S3621">
        <v>7</v>
      </c>
      <c r="T3621">
        <v>231</v>
      </c>
      <c r="U3621" s="1">
        <v>38230</v>
      </c>
      <c r="V3621" t="s">
        <v>6729</v>
      </c>
      <c r="W3621" t="s">
        <v>6730</v>
      </c>
      <c r="X3621" t="s">
        <v>58</v>
      </c>
      <c r="Y3621">
        <v>20</v>
      </c>
      <c r="Z3621" t="s">
        <v>59</v>
      </c>
      <c r="AA3621" t="s">
        <v>59</v>
      </c>
      <c r="AB3621" t="s">
        <v>59</v>
      </c>
      <c r="AC3621" t="s">
        <v>59</v>
      </c>
      <c r="AD3621" t="s">
        <v>59</v>
      </c>
      <c r="AF3621" s="1">
        <v>38232</v>
      </c>
      <c r="AG3621" t="s">
        <v>125</v>
      </c>
      <c r="AH3621" t="s">
        <v>126</v>
      </c>
      <c r="AI3621" t="str">
        <f>"5007010"</f>
        <v>5007010</v>
      </c>
      <c r="AJ3621" t="s">
        <v>6797</v>
      </c>
      <c r="AK3621">
        <v>2824022241</v>
      </c>
      <c r="AL3621" t="s">
        <v>6798</v>
      </c>
      <c r="AM3621" t="s">
        <v>88</v>
      </c>
      <c r="AN3621" t="s">
        <v>6764</v>
      </c>
      <c r="AO3621" t="s">
        <v>6799</v>
      </c>
      <c r="AP3621" t="s">
        <v>6799</v>
      </c>
      <c r="AQ3621">
        <v>1</v>
      </c>
      <c r="AR3621" t="s">
        <v>6729</v>
      </c>
      <c r="AS3621" t="s">
        <v>6730</v>
      </c>
      <c r="AT3621" t="s">
        <v>58</v>
      </c>
      <c r="AU3621" t="s">
        <v>68</v>
      </c>
      <c r="AV3621" t="s">
        <v>69</v>
      </c>
      <c r="AW3621" s="1">
        <v>25623</v>
      </c>
      <c r="AX3621">
        <v>2</v>
      </c>
    </row>
    <row r="3622" spans="1:50">
      <c r="A3622">
        <v>196936</v>
      </c>
      <c r="B3622" t="str">
        <f>"046119090"</f>
        <v>046119090</v>
      </c>
      <c r="C3622" t="s">
        <v>50</v>
      </c>
      <c r="D3622" t="s">
        <v>853</v>
      </c>
      <c r="E3622" t="s">
        <v>681</v>
      </c>
      <c r="F3622" t="s">
        <v>3548</v>
      </c>
      <c r="G3622" t="s">
        <v>83</v>
      </c>
      <c r="H3622" t="str">
        <f>"ΔΙΚΩΝΝΥΜΟΥ 9 ΧΑΝΙΩΝ"</f>
        <v>ΔΙΚΩΝΝΥΜΟΥ 9 ΧΑΝΙΩΝ</v>
      </c>
      <c r="I3622">
        <v>73134</v>
      </c>
      <c r="J3622">
        <v>2821074652</v>
      </c>
      <c r="K3622">
        <v>6945375978</v>
      </c>
      <c r="M3622" t="s">
        <v>6964</v>
      </c>
      <c r="N3622" t="s">
        <v>146</v>
      </c>
      <c r="O3622" t="s">
        <v>147</v>
      </c>
      <c r="R3622" t="s">
        <v>57</v>
      </c>
      <c r="S3622">
        <v>7</v>
      </c>
      <c r="T3622">
        <v>206</v>
      </c>
      <c r="U3622" s="1">
        <v>37866</v>
      </c>
      <c r="V3622" t="s">
        <v>6729</v>
      </c>
      <c r="W3622" t="s">
        <v>6730</v>
      </c>
      <c r="X3622" t="s">
        <v>58</v>
      </c>
      <c r="Y3622">
        <v>20</v>
      </c>
      <c r="Z3622" t="s">
        <v>59</v>
      </c>
      <c r="AA3622" t="s">
        <v>59</v>
      </c>
      <c r="AB3622" t="s">
        <v>59</v>
      </c>
      <c r="AC3622" t="s">
        <v>59</v>
      </c>
      <c r="AD3622" t="s">
        <v>59</v>
      </c>
      <c r="AF3622" s="1">
        <v>37866</v>
      </c>
      <c r="AG3622" t="s">
        <v>125</v>
      </c>
      <c r="AH3622" t="s">
        <v>126</v>
      </c>
      <c r="AI3622" t="str">
        <f>"5001060"</f>
        <v>5001060</v>
      </c>
      <c r="AJ3622" t="s">
        <v>6914</v>
      </c>
      <c r="AK3622">
        <v>2821091763</v>
      </c>
      <c r="AL3622" t="s">
        <v>6915</v>
      </c>
      <c r="AM3622" t="s">
        <v>88</v>
      </c>
      <c r="AN3622" t="s">
        <v>88</v>
      </c>
      <c r="AO3622" t="s">
        <v>88</v>
      </c>
      <c r="AP3622" t="s">
        <v>88</v>
      </c>
      <c r="AQ3622">
        <v>1</v>
      </c>
      <c r="AR3622" t="s">
        <v>6729</v>
      </c>
      <c r="AS3622" t="s">
        <v>6730</v>
      </c>
      <c r="AT3622" t="s">
        <v>58</v>
      </c>
      <c r="AU3622" t="s">
        <v>68</v>
      </c>
      <c r="AV3622" t="s">
        <v>69</v>
      </c>
      <c r="AW3622" s="1">
        <v>25505</v>
      </c>
      <c r="AX3622">
        <v>2</v>
      </c>
    </row>
    <row r="3623" spans="1:50">
      <c r="A3623">
        <v>160076</v>
      </c>
      <c r="B3623" t="str">
        <f>"027655944"</f>
        <v>027655944</v>
      </c>
      <c r="C3623" t="s">
        <v>105</v>
      </c>
      <c r="D3623" t="s">
        <v>6965</v>
      </c>
      <c r="E3623" t="s">
        <v>95</v>
      </c>
      <c r="F3623" t="s">
        <v>108</v>
      </c>
      <c r="G3623" t="s">
        <v>5432</v>
      </c>
      <c r="H3623" t="str">
        <f>" "</f>
        <v xml:space="preserve"> </v>
      </c>
      <c r="N3623" t="s">
        <v>232</v>
      </c>
      <c r="O3623" t="s">
        <v>233</v>
      </c>
      <c r="R3623" t="s">
        <v>57</v>
      </c>
      <c r="S3623">
        <v>14</v>
      </c>
      <c r="T3623">
        <v>161</v>
      </c>
      <c r="U3623" s="1">
        <v>33119</v>
      </c>
      <c r="V3623" t="s">
        <v>6729</v>
      </c>
      <c r="W3623" t="s">
        <v>6730</v>
      </c>
      <c r="X3623" t="s">
        <v>58</v>
      </c>
      <c r="Y3623">
        <v>18</v>
      </c>
      <c r="Z3623" t="s">
        <v>59</v>
      </c>
      <c r="AA3623" t="s">
        <v>59</v>
      </c>
      <c r="AB3623" t="s">
        <v>59</v>
      </c>
      <c r="AC3623" t="s">
        <v>59</v>
      </c>
      <c r="AD3623" t="s">
        <v>59</v>
      </c>
      <c r="AF3623" s="1">
        <v>33123</v>
      </c>
      <c r="AG3623" t="s">
        <v>125</v>
      </c>
      <c r="AH3623" t="s">
        <v>126</v>
      </c>
      <c r="AI3623" t="str">
        <f>"5001010"</f>
        <v>5001010</v>
      </c>
      <c r="AJ3623" t="s">
        <v>6873</v>
      </c>
      <c r="AK3623">
        <v>2821052130</v>
      </c>
      <c r="AL3623" t="s">
        <v>6874</v>
      </c>
      <c r="AM3623" t="s">
        <v>88</v>
      </c>
      <c r="AN3623" t="s">
        <v>88</v>
      </c>
      <c r="AO3623" t="s">
        <v>88</v>
      </c>
      <c r="AP3623" t="s">
        <v>88</v>
      </c>
      <c r="AQ3623">
        <v>1</v>
      </c>
      <c r="AR3623" t="s">
        <v>6729</v>
      </c>
      <c r="AS3623" t="s">
        <v>6730</v>
      </c>
      <c r="AT3623" t="s">
        <v>58</v>
      </c>
      <c r="AU3623" t="s">
        <v>68</v>
      </c>
      <c r="AV3623" t="s">
        <v>69</v>
      </c>
      <c r="AW3623" s="1">
        <v>20643</v>
      </c>
      <c r="AX3623">
        <v>2</v>
      </c>
    </row>
    <row r="3624" spans="1:50">
      <c r="A3624">
        <v>159080</v>
      </c>
      <c r="B3624" t="str">
        <f>"063246887"</f>
        <v>063246887</v>
      </c>
      <c r="C3624" t="s">
        <v>50</v>
      </c>
      <c r="D3624" t="s">
        <v>5793</v>
      </c>
      <c r="E3624" t="s">
        <v>52</v>
      </c>
      <c r="F3624" t="s">
        <v>95</v>
      </c>
      <c r="G3624" t="s">
        <v>1065</v>
      </c>
      <c r="H3624" t="str">
        <f>"ΑΓ.ΚΩΝ/ΝΟΥ 32 ΣΟΥΔΑ"</f>
        <v>ΑΓ.ΚΩΝ/ΝΟΥ 32 ΣΟΥΔΑ</v>
      </c>
      <c r="I3624">
        <v>73100</v>
      </c>
      <c r="J3624">
        <v>2821089396</v>
      </c>
      <c r="K3624">
        <v>6948363512</v>
      </c>
      <c r="M3624" t="s">
        <v>6966</v>
      </c>
      <c r="N3624" t="s">
        <v>146</v>
      </c>
      <c r="O3624" t="s">
        <v>147</v>
      </c>
      <c r="R3624" t="s">
        <v>57</v>
      </c>
      <c r="S3624">
        <v>14</v>
      </c>
      <c r="T3624">
        <v>161</v>
      </c>
      <c r="U3624" s="1">
        <v>33119</v>
      </c>
      <c r="V3624" t="s">
        <v>6729</v>
      </c>
      <c r="W3624" t="s">
        <v>6730</v>
      </c>
      <c r="X3624" t="s">
        <v>58</v>
      </c>
      <c r="Y3624">
        <v>18</v>
      </c>
      <c r="Z3624" t="s">
        <v>59</v>
      </c>
      <c r="AA3624" t="s">
        <v>59</v>
      </c>
      <c r="AB3624" t="s">
        <v>59</v>
      </c>
      <c r="AC3624" t="s">
        <v>59</v>
      </c>
      <c r="AD3624" t="s">
        <v>59</v>
      </c>
      <c r="AF3624" s="1">
        <v>33119</v>
      </c>
      <c r="AG3624" t="s">
        <v>125</v>
      </c>
      <c r="AH3624" t="s">
        <v>126</v>
      </c>
      <c r="AI3624" t="str">
        <f>"5011010"</f>
        <v>5011010</v>
      </c>
      <c r="AJ3624" t="s">
        <v>6877</v>
      </c>
      <c r="AK3624">
        <v>2821081330</v>
      </c>
      <c r="AL3624" t="s">
        <v>6878</v>
      </c>
      <c r="AM3624" t="s">
        <v>88</v>
      </c>
      <c r="AN3624" t="s">
        <v>88</v>
      </c>
      <c r="AO3624" t="s">
        <v>6748</v>
      </c>
      <c r="AP3624" t="s">
        <v>6748</v>
      </c>
      <c r="AQ3624">
        <v>1</v>
      </c>
      <c r="AR3624" t="s">
        <v>6729</v>
      </c>
      <c r="AS3624" t="s">
        <v>6730</v>
      </c>
      <c r="AT3624" t="s">
        <v>58</v>
      </c>
      <c r="AU3624" t="s">
        <v>68</v>
      </c>
      <c r="AV3624" t="s">
        <v>69</v>
      </c>
      <c r="AW3624" s="1">
        <v>22196</v>
      </c>
      <c r="AX3624">
        <v>2</v>
      </c>
    </row>
    <row r="3625" spans="1:50">
      <c r="A3625">
        <v>228829</v>
      </c>
      <c r="B3625" t="str">
        <f>"059796121"</f>
        <v>059796121</v>
      </c>
      <c r="C3625" t="s">
        <v>105</v>
      </c>
      <c r="D3625" t="s">
        <v>6967</v>
      </c>
      <c r="E3625" t="s">
        <v>72</v>
      </c>
      <c r="F3625" t="s">
        <v>1679</v>
      </c>
      <c r="G3625" t="s">
        <v>112</v>
      </c>
      <c r="H3625" t="str">
        <f>" "</f>
        <v xml:space="preserve"> </v>
      </c>
      <c r="J3625">
        <v>2821080157</v>
      </c>
      <c r="K3625">
        <v>6973496672</v>
      </c>
      <c r="M3625" t="s">
        <v>6968</v>
      </c>
      <c r="N3625" t="s">
        <v>168</v>
      </c>
      <c r="O3625" t="s">
        <v>169</v>
      </c>
      <c r="R3625" t="s">
        <v>57</v>
      </c>
      <c r="S3625">
        <v>5</v>
      </c>
      <c r="T3625">
        <v>683</v>
      </c>
      <c r="U3625" s="1">
        <v>40052</v>
      </c>
      <c r="V3625" t="s">
        <v>6729</v>
      </c>
      <c r="W3625" t="s">
        <v>6730</v>
      </c>
      <c r="X3625" t="s">
        <v>58</v>
      </c>
      <c r="Y3625">
        <v>21</v>
      </c>
      <c r="Z3625" t="s">
        <v>59</v>
      </c>
      <c r="AA3625" t="s">
        <v>59</v>
      </c>
      <c r="AB3625" t="s">
        <v>59</v>
      </c>
      <c r="AC3625" t="s">
        <v>59</v>
      </c>
      <c r="AD3625" t="s">
        <v>59</v>
      </c>
      <c r="AF3625" s="1">
        <v>40053</v>
      </c>
      <c r="AG3625" t="s">
        <v>137</v>
      </c>
      <c r="AH3625" t="s">
        <v>138</v>
      </c>
      <c r="AI3625" t="str">
        <f>"5040105"</f>
        <v>5040105</v>
      </c>
      <c r="AJ3625" t="s">
        <v>6969</v>
      </c>
      <c r="AK3625">
        <v>2825051703</v>
      </c>
      <c r="AL3625" t="s">
        <v>6970</v>
      </c>
      <c r="AM3625" t="s">
        <v>88</v>
      </c>
      <c r="AN3625" t="s">
        <v>6775</v>
      </c>
      <c r="AO3625" t="s">
        <v>6781</v>
      </c>
      <c r="AP3625" t="s">
        <v>6782</v>
      </c>
      <c r="AQ3625">
        <v>1</v>
      </c>
      <c r="AR3625" t="s">
        <v>6729</v>
      </c>
      <c r="AS3625" t="s">
        <v>6730</v>
      </c>
      <c r="AT3625" t="s">
        <v>58</v>
      </c>
      <c r="AU3625" t="s">
        <v>68</v>
      </c>
      <c r="AV3625" t="s">
        <v>69</v>
      </c>
      <c r="AW3625" s="1">
        <v>26943</v>
      </c>
      <c r="AX3625">
        <v>2</v>
      </c>
    </row>
    <row r="3626" spans="1:50">
      <c r="A3626">
        <v>188808</v>
      </c>
      <c r="B3626" t="str">
        <f>"039891090"</f>
        <v>039891090</v>
      </c>
      <c r="C3626" t="s">
        <v>50</v>
      </c>
      <c r="D3626" t="s">
        <v>6971</v>
      </c>
      <c r="E3626" t="s">
        <v>367</v>
      </c>
      <c r="F3626" t="s">
        <v>92</v>
      </c>
      <c r="G3626" t="s">
        <v>787</v>
      </c>
      <c r="H3626" t="str">
        <f>"ΠΟΥΛΑΚΑ 11 ΧΑΝΙΑ"</f>
        <v>ΠΟΥΛΑΚΑ 11 ΧΑΝΙΑ</v>
      </c>
      <c r="I3626">
        <v>73100</v>
      </c>
      <c r="J3626">
        <v>2821054637</v>
      </c>
      <c r="K3626">
        <v>6945800251</v>
      </c>
      <c r="N3626" t="s">
        <v>306</v>
      </c>
      <c r="O3626" t="s">
        <v>307</v>
      </c>
      <c r="R3626" t="s">
        <v>57</v>
      </c>
      <c r="S3626">
        <v>13</v>
      </c>
      <c r="T3626">
        <v>214</v>
      </c>
      <c r="U3626" s="1">
        <v>33969</v>
      </c>
      <c r="V3626" t="s">
        <v>6729</v>
      </c>
      <c r="W3626" t="s">
        <v>6730</v>
      </c>
      <c r="X3626" t="s">
        <v>58</v>
      </c>
      <c r="Y3626">
        <v>18</v>
      </c>
      <c r="Z3626" t="s">
        <v>59</v>
      </c>
      <c r="AA3626" t="s">
        <v>59</v>
      </c>
      <c r="AB3626" t="s">
        <v>59</v>
      </c>
      <c r="AC3626" t="s">
        <v>59</v>
      </c>
      <c r="AD3626" t="s">
        <v>59</v>
      </c>
      <c r="AF3626" s="1">
        <v>33976</v>
      </c>
      <c r="AG3626" t="s">
        <v>125</v>
      </c>
      <c r="AH3626" t="s">
        <v>126</v>
      </c>
      <c r="AI3626" t="str">
        <f>"5001075"</f>
        <v>5001075</v>
      </c>
      <c r="AJ3626" t="s">
        <v>6768</v>
      </c>
      <c r="AK3626">
        <v>2821064200</v>
      </c>
      <c r="AL3626" t="s">
        <v>6769</v>
      </c>
      <c r="AM3626" t="s">
        <v>88</v>
      </c>
      <c r="AN3626" t="s">
        <v>88</v>
      </c>
      <c r="AO3626" t="s">
        <v>6770</v>
      </c>
      <c r="AP3626" t="s">
        <v>6771</v>
      </c>
      <c r="AQ3626">
        <v>1</v>
      </c>
      <c r="AR3626" t="s">
        <v>6729</v>
      </c>
      <c r="AS3626" t="s">
        <v>6730</v>
      </c>
      <c r="AT3626" t="s">
        <v>58</v>
      </c>
      <c r="AU3626" t="s">
        <v>68</v>
      </c>
      <c r="AV3626" t="s">
        <v>69</v>
      </c>
      <c r="AW3626" s="1">
        <v>23353</v>
      </c>
      <c r="AX3626">
        <v>2</v>
      </c>
    </row>
    <row r="3627" spans="1:50">
      <c r="A3627">
        <v>189705</v>
      </c>
      <c r="B3627" t="str">
        <f>"043427880"</f>
        <v>043427880</v>
      </c>
      <c r="C3627" t="s">
        <v>105</v>
      </c>
      <c r="D3627" t="s">
        <v>6972</v>
      </c>
      <c r="E3627" t="s">
        <v>53</v>
      </c>
      <c r="F3627" t="s">
        <v>3857</v>
      </c>
      <c r="G3627" t="s">
        <v>109</v>
      </c>
      <c r="H3627" t="str">
        <f>"ΚΑΡΑΓΙΩΡΓΑ 3 ΧΑΝΙΩΝ"</f>
        <v>ΚΑΡΑΓΙΩΡΓΑ 3 ΧΑΝΙΩΝ</v>
      </c>
      <c r="I3627">
        <v>73134</v>
      </c>
      <c r="K3627">
        <v>6977951860</v>
      </c>
      <c r="M3627" t="s">
        <v>6973</v>
      </c>
      <c r="N3627" t="s">
        <v>292</v>
      </c>
      <c r="O3627" t="s">
        <v>293</v>
      </c>
      <c r="R3627" t="s">
        <v>57</v>
      </c>
      <c r="S3627">
        <v>10</v>
      </c>
      <c r="T3627">
        <v>219</v>
      </c>
      <c r="U3627" s="1">
        <v>37134</v>
      </c>
      <c r="V3627" t="s">
        <v>6729</v>
      </c>
      <c r="W3627" t="s">
        <v>6730</v>
      </c>
      <c r="X3627" t="s">
        <v>58</v>
      </c>
      <c r="Y3627">
        <v>20</v>
      </c>
      <c r="Z3627" t="s">
        <v>59</v>
      </c>
      <c r="AA3627" t="s">
        <v>59</v>
      </c>
      <c r="AB3627" t="s">
        <v>59</v>
      </c>
      <c r="AC3627" t="s">
        <v>59</v>
      </c>
      <c r="AD3627" t="s">
        <v>59</v>
      </c>
      <c r="AF3627" s="1">
        <v>37144</v>
      </c>
      <c r="AG3627" t="s">
        <v>148</v>
      </c>
      <c r="AH3627" t="s">
        <v>1053</v>
      </c>
      <c r="AI3627" t="str">
        <f>"5051015"</f>
        <v>5051015</v>
      </c>
      <c r="AJ3627" t="s">
        <v>6865</v>
      </c>
      <c r="AK3627">
        <v>2821043770</v>
      </c>
      <c r="AL3627" t="s">
        <v>6866</v>
      </c>
      <c r="AM3627" t="s">
        <v>88</v>
      </c>
      <c r="AN3627" t="s">
        <v>88</v>
      </c>
      <c r="AO3627" t="s">
        <v>88</v>
      </c>
      <c r="AP3627" t="s">
        <v>88</v>
      </c>
      <c r="AQ3627">
        <v>1</v>
      </c>
      <c r="AR3627" t="s">
        <v>6729</v>
      </c>
      <c r="AS3627" t="s">
        <v>6730</v>
      </c>
      <c r="AT3627" t="s">
        <v>58</v>
      </c>
      <c r="AU3627" t="s">
        <v>68</v>
      </c>
      <c r="AV3627" t="s">
        <v>69</v>
      </c>
      <c r="AW3627" s="1">
        <v>22011</v>
      </c>
      <c r="AX3627">
        <v>2</v>
      </c>
    </row>
    <row r="3628" spans="1:50">
      <c r="A3628">
        <v>194731</v>
      </c>
      <c r="B3628" t="str">
        <f>"044685610"</f>
        <v>044685610</v>
      </c>
      <c r="C3628" t="s">
        <v>105</v>
      </c>
      <c r="D3628" t="s">
        <v>6974</v>
      </c>
      <c r="E3628" t="s">
        <v>53</v>
      </c>
      <c r="F3628" t="s">
        <v>975</v>
      </c>
      <c r="G3628" t="s">
        <v>52</v>
      </c>
      <c r="H3628" t="str">
        <f>"ΠΑΤΡ. ΙΩΑΝΝΙΚΕΙΟΥ 17Α ΧΑΝΙΑ"</f>
        <v>ΠΑΤΡ. ΙΩΑΝΝΙΚΕΙΟΥ 17Α ΧΑΝΙΑ</v>
      </c>
      <c r="I3628">
        <v>73131</v>
      </c>
      <c r="J3628">
        <v>2821095881</v>
      </c>
      <c r="K3628">
        <v>6978541005</v>
      </c>
      <c r="M3628" t="s">
        <v>6975</v>
      </c>
      <c r="N3628" t="s">
        <v>168</v>
      </c>
      <c r="O3628" t="s">
        <v>169</v>
      </c>
      <c r="R3628" t="s">
        <v>57</v>
      </c>
      <c r="S3628">
        <v>10</v>
      </c>
      <c r="T3628">
        <v>193</v>
      </c>
      <c r="U3628" s="1">
        <v>37497</v>
      </c>
      <c r="V3628" t="s">
        <v>6729</v>
      </c>
      <c r="W3628" t="s">
        <v>6730</v>
      </c>
      <c r="X3628" t="s">
        <v>58</v>
      </c>
      <c r="Y3628">
        <v>18</v>
      </c>
      <c r="Z3628" t="s">
        <v>59</v>
      </c>
      <c r="AA3628" t="s">
        <v>59</v>
      </c>
      <c r="AB3628" t="s">
        <v>59</v>
      </c>
      <c r="AC3628" t="s">
        <v>59</v>
      </c>
      <c r="AD3628" t="s">
        <v>59</v>
      </c>
      <c r="AF3628" s="1">
        <v>37501</v>
      </c>
      <c r="AG3628" t="s">
        <v>137</v>
      </c>
      <c r="AH3628" t="s">
        <v>138</v>
      </c>
      <c r="AI3628" t="str">
        <f>"5040080"</f>
        <v>5040080</v>
      </c>
      <c r="AJ3628" t="s">
        <v>6753</v>
      </c>
      <c r="AK3628">
        <v>2821093155</v>
      </c>
      <c r="AL3628" t="s">
        <v>6754</v>
      </c>
      <c r="AM3628" t="s">
        <v>88</v>
      </c>
      <c r="AN3628" t="s">
        <v>88</v>
      </c>
      <c r="AO3628" t="s">
        <v>6733</v>
      </c>
      <c r="AP3628" t="s">
        <v>6755</v>
      </c>
      <c r="AQ3628">
        <v>1</v>
      </c>
      <c r="AR3628" t="s">
        <v>6729</v>
      </c>
      <c r="AS3628" t="s">
        <v>6730</v>
      </c>
      <c r="AT3628" t="s">
        <v>58</v>
      </c>
      <c r="AU3628" t="s">
        <v>68</v>
      </c>
      <c r="AV3628" t="s">
        <v>69</v>
      </c>
      <c r="AW3628" s="1">
        <v>22686</v>
      </c>
      <c r="AX3628">
        <v>2</v>
      </c>
    </row>
    <row r="3629" spans="1:50">
      <c r="A3629">
        <v>211872</v>
      </c>
      <c r="B3629" t="str">
        <f>"047003588"</f>
        <v>047003588</v>
      </c>
      <c r="C3629" t="s">
        <v>50</v>
      </c>
      <c r="D3629" t="s">
        <v>6976</v>
      </c>
      <c r="E3629" t="s">
        <v>52</v>
      </c>
      <c r="F3629" t="s">
        <v>450</v>
      </c>
      <c r="G3629" t="s">
        <v>83</v>
      </c>
      <c r="H3629" t="str">
        <f>"ΚΡΟΚΙΔΑ 40 ΧΑΝΙΑ"</f>
        <v>ΚΡΟΚΙΔΑ 40 ΧΑΝΙΑ</v>
      </c>
      <c r="I3629">
        <v>73100</v>
      </c>
      <c r="J3629">
        <v>2821050296</v>
      </c>
      <c r="K3629">
        <v>6973333939</v>
      </c>
      <c r="M3629" t="s">
        <v>6977</v>
      </c>
      <c r="N3629" t="s">
        <v>146</v>
      </c>
      <c r="O3629" t="s">
        <v>147</v>
      </c>
      <c r="R3629" t="s">
        <v>57</v>
      </c>
      <c r="S3629">
        <v>6</v>
      </c>
      <c r="T3629">
        <v>231</v>
      </c>
      <c r="U3629" s="1">
        <v>38960</v>
      </c>
      <c r="V3629" t="s">
        <v>6729</v>
      </c>
      <c r="W3629" t="s">
        <v>6730</v>
      </c>
      <c r="X3629" t="s">
        <v>58</v>
      </c>
      <c r="Y3629">
        <v>20</v>
      </c>
      <c r="Z3629" t="s">
        <v>59</v>
      </c>
      <c r="AA3629" t="s">
        <v>59</v>
      </c>
      <c r="AB3629" t="s">
        <v>59</v>
      </c>
      <c r="AC3629" t="s">
        <v>59</v>
      </c>
      <c r="AD3629" t="s">
        <v>59</v>
      </c>
      <c r="AF3629" s="1">
        <v>38961</v>
      </c>
      <c r="AG3629" t="s">
        <v>148</v>
      </c>
      <c r="AH3629" t="s">
        <v>149</v>
      </c>
      <c r="AI3629" t="str">
        <f>"5051010"</f>
        <v>5051010</v>
      </c>
      <c r="AJ3629" t="s">
        <v>6896</v>
      </c>
      <c r="AK3629">
        <v>2821028714</v>
      </c>
      <c r="AL3629" t="s">
        <v>6897</v>
      </c>
      <c r="AM3629" t="s">
        <v>88</v>
      </c>
      <c r="AN3629" t="s">
        <v>88</v>
      </c>
      <c r="AO3629" t="s">
        <v>88</v>
      </c>
      <c r="AP3629" t="s">
        <v>88</v>
      </c>
      <c r="AQ3629">
        <v>1</v>
      </c>
      <c r="AR3629" t="s">
        <v>6729</v>
      </c>
      <c r="AS3629" t="s">
        <v>6730</v>
      </c>
      <c r="AT3629" t="s">
        <v>58</v>
      </c>
      <c r="AU3629" t="s">
        <v>68</v>
      </c>
      <c r="AV3629" t="s">
        <v>69</v>
      </c>
      <c r="AW3629" s="1">
        <v>26458</v>
      </c>
      <c r="AX3629">
        <v>2</v>
      </c>
    </row>
    <row r="3630" spans="1:50">
      <c r="A3630">
        <v>204443</v>
      </c>
      <c r="B3630" t="str">
        <f>"100632878"</f>
        <v>100632878</v>
      </c>
      <c r="C3630" t="s">
        <v>50</v>
      </c>
      <c r="D3630" t="s">
        <v>5801</v>
      </c>
      <c r="E3630" t="s">
        <v>112</v>
      </c>
      <c r="F3630" t="s">
        <v>95</v>
      </c>
      <c r="G3630" t="s">
        <v>964</v>
      </c>
      <c r="H3630" t="str">
        <f>" "</f>
        <v xml:space="preserve"> </v>
      </c>
      <c r="J3630">
        <v>2821096460</v>
      </c>
      <c r="K3630">
        <v>6974679820</v>
      </c>
      <c r="M3630" t="s">
        <v>6978</v>
      </c>
      <c r="N3630" t="s">
        <v>337</v>
      </c>
      <c r="O3630" t="s">
        <v>338</v>
      </c>
      <c r="R3630" t="s">
        <v>57</v>
      </c>
      <c r="S3630">
        <v>7</v>
      </c>
      <c r="T3630">
        <v>231</v>
      </c>
      <c r="U3630" s="1">
        <v>38230</v>
      </c>
      <c r="V3630" t="s">
        <v>6729</v>
      </c>
      <c r="W3630" t="s">
        <v>6730</v>
      </c>
      <c r="X3630" t="s">
        <v>58</v>
      </c>
      <c r="Y3630">
        <v>20</v>
      </c>
      <c r="Z3630" t="s">
        <v>59</v>
      </c>
      <c r="AA3630" t="s">
        <v>59</v>
      </c>
      <c r="AB3630" t="s">
        <v>59</v>
      </c>
      <c r="AC3630" t="s">
        <v>59</v>
      </c>
      <c r="AD3630" t="s">
        <v>59</v>
      </c>
      <c r="AF3630" s="1">
        <v>38233</v>
      </c>
      <c r="AG3630" t="s">
        <v>125</v>
      </c>
      <c r="AH3630" t="s">
        <v>126</v>
      </c>
      <c r="AI3630" t="str">
        <f>"5001076"</f>
        <v>5001076</v>
      </c>
      <c r="AJ3630" t="s">
        <v>6979</v>
      </c>
      <c r="AK3630">
        <v>2821088808</v>
      </c>
      <c r="AL3630" t="s">
        <v>6980</v>
      </c>
      <c r="AM3630" t="s">
        <v>88</v>
      </c>
      <c r="AN3630" t="s">
        <v>88</v>
      </c>
      <c r="AO3630" t="s">
        <v>6733</v>
      </c>
      <c r="AP3630" t="s">
        <v>6755</v>
      </c>
      <c r="AQ3630">
        <v>1</v>
      </c>
      <c r="AR3630" t="s">
        <v>6729</v>
      </c>
      <c r="AS3630" t="s">
        <v>6730</v>
      </c>
      <c r="AT3630" t="s">
        <v>58</v>
      </c>
      <c r="AU3630" t="s">
        <v>68</v>
      </c>
      <c r="AV3630" t="s">
        <v>69</v>
      </c>
      <c r="AW3630" s="1">
        <v>28671</v>
      </c>
      <c r="AX3630">
        <v>2</v>
      </c>
    </row>
    <row r="3631" spans="1:50">
      <c r="A3631">
        <v>181360</v>
      </c>
      <c r="B3631" t="str">
        <f>"073658590"</f>
        <v>073658590</v>
      </c>
      <c r="C3631" t="s">
        <v>50</v>
      </c>
      <c r="D3631" t="s">
        <v>5801</v>
      </c>
      <c r="E3631" t="s">
        <v>1068</v>
      </c>
      <c r="F3631" t="s">
        <v>95</v>
      </c>
      <c r="G3631" t="s">
        <v>52</v>
      </c>
      <c r="H3631" t="str">
        <f>" "</f>
        <v xml:space="preserve"> </v>
      </c>
      <c r="N3631" t="s">
        <v>683</v>
      </c>
      <c r="O3631" t="s">
        <v>684</v>
      </c>
      <c r="R3631" t="s">
        <v>57</v>
      </c>
      <c r="S3631">
        <v>10</v>
      </c>
      <c r="T3631">
        <v>181</v>
      </c>
      <c r="U3631" s="1">
        <v>36039</v>
      </c>
      <c r="V3631" t="s">
        <v>6729</v>
      </c>
      <c r="W3631" t="s">
        <v>6730</v>
      </c>
      <c r="X3631" t="s">
        <v>58</v>
      </c>
      <c r="Y3631">
        <v>18</v>
      </c>
      <c r="Z3631" t="s">
        <v>59</v>
      </c>
      <c r="AA3631" t="s">
        <v>59</v>
      </c>
      <c r="AB3631" t="s">
        <v>59</v>
      </c>
      <c r="AC3631" t="s">
        <v>59</v>
      </c>
      <c r="AD3631" t="s">
        <v>59</v>
      </c>
      <c r="AF3631" s="1">
        <v>36041</v>
      </c>
      <c r="AG3631" t="s">
        <v>137</v>
      </c>
      <c r="AH3631" t="s">
        <v>138</v>
      </c>
      <c r="AI3631" t="str">
        <f>"5040100"</f>
        <v>5040100</v>
      </c>
      <c r="AJ3631" t="s">
        <v>6790</v>
      </c>
      <c r="AK3631">
        <v>2821058998</v>
      </c>
      <c r="AL3631" t="s">
        <v>6791</v>
      </c>
      <c r="AM3631" t="s">
        <v>88</v>
      </c>
      <c r="AN3631" t="s">
        <v>88</v>
      </c>
      <c r="AO3631" t="s">
        <v>6770</v>
      </c>
      <c r="AP3631" t="s">
        <v>6771</v>
      </c>
      <c r="AQ3631">
        <v>1</v>
      </c>
      <c r="AR3631" t="s">
        <v>6729</v>
      </c>
      <c r="AS3631" t="s">
        <v>6730</v>
      </c>
      <c r="AT3631" t="s">
        <v>58</v>
      </c>
      <c r="AU3631" t="s">
        <v>68</v>
      </c>
      <c r="AV3631" t="s">
        <v>69</v>
      </c>
      <c r="AW3631" s="1">
        <v>24783</v>
      </c>
      <c r="AX3631">
        <v>2</v>
      </c>
    </row>
    <row r="3632" spans="1:50">
      <c r="A3632">
        <v>160078</v>
      </c>
      <c r="B3632" t="str">
        <f>"032694024"</f>
        <v>032694024</v>
      </c>
      <c r="C3632" t="s">
        <v>50</v>
      </c>
      <c r="D3632" t="s">
        <v>6981</v>
      </c>
      <c r="E3632" t="s">
        <v>507</v>
      </c>
      <c r="F3632" t="s">
        <v>99</v>
      </c>
      <c r="G3632" t="s">
        <v>330</v>
      </c>
      <c r="H3632" t="str">
        <f>"Μ.Μπότσαρη 15 "</f>
        <v xml:space="preserve">Μ.Μπότσαρη 15 </v>
      </c>
      <c r="I3632">
        <v>73135</v>
      </c>
      <c r="J3632">
        <v>2821058065</v>
      </c>
      <c r="M3632" t="s">
        <v>6982</v>
      </c>
      <c r="N3632" t="s">
        <v>232</v>
      </c>
      <c r="O3632" t="s">
        <v>233</v>
      </c>
      <c r="R3632" t="s">
        <v>57</v>
      </c>
      <c r="S3632">
        <v>15</v>
      </c>
      <c r="T3632">
        <v>161</v>
      </c>
      <c r="U3632" s="1">
        <v>33119</v>
      </c>
      <c r="V3632" t="s">
        <v>6729</v>
      </c>
      <c r="W3632" t="s">
        <v>6730</v>
      </c>
      <c r="X3632" t="s">
        <v>58</v>
      </c>
      <c r="Y3632">
        <v>18</v>
      </c>
      <c r="Z3632" t="s">
        <v>59</v>
      </c>
      <c r="AA3632" t="s">
        <v>59</v>
      </c>
      <c r="AB3632" t="s">
        <v>59</v>
      </c>
      <c r="AC3632" t="s">
        <v>59</v>
      </c>
      <c r="AD3632" t="s">
        <v>59</v>
      </c>
      <c r="AF3632" s="1">
        <v>33122</v>
      </c>
      <c r="AG3632" t="s">
        <v>125</v>
      </c>
      <c r="AH3632" t="s">
        <v>126</v>
      </c>
      <c r="AI3632" t="str">
        <f>"5001050"</f>
        <v>5001050</v>
      </c>
      <c r="AJ3632" t="s">
        <v>6917</v>
      </c>
      <c r="AK3632">
        <v>2821088012</v>
      </c>
      <c r="AL3632" t="s">
        <v>6918</v>
      </c>
      <c r="AM3632" t="s">
        <v>88</v>
      </c>
      <c r="AN3632" t="s">
        <v>88</v>
      </c>
      <c r="AO3632" t="s">
        <v>88</v>
      </c>
      <c r="AP3632" t="s">
        <v>88</v>
      </c>
      <c r="AQ3632">
        <v>1</v>
      </c>
      <c r="AR3632" t="s">
        <v>6729</v>
      </c>
      <c r="AS3632" t="s">
        <v>6730</v>
      </c>
      <c r="AT3632" t="s">
        <v>58</v>
      </c>
      <c r="AU3632" t="s">
        <v>68</v>
      </c>
      <c r="AV3632" t="s">
        <v>69</v>
      </c>
      <c r="AW3632" s="1">
        <v>21792</v>
      </c>
      <c r="AX3632">
        <v>2</v>
      </c>
    </row>
    <row r="3633" spans="1:50">
      <c r="B3633" t="str">
        <f>"115977576"</f>
        <v>115977576</v>
      </c>
      <c r="C3633" t="s">
        <v>50</v>
      </c>
      <c r="D3633" t="s">
        <v>6983</v>
      </c>
      <c r="E3633" t="s">
        <v>109</v>
      </c>
      <c r="F3633" t="s">
        <v>95</v>
      </c>
      <c r="G3633" t="s">
        <v>250</v>
      </c>
      <c r="H3633" t="str">
        <f>"ΑΚΤΗΜΟΝΩΝ 13 "</f>
        <v xml:space="preserve">ΑΚΤΗΜΟΝΩΝ 13 </v>
      </c>
      <c r="I3633">
        <v>11147</v>
      </c>
      <c r="J3633">
        <v>2102919713</v>
      </c>
      <c r="K3633">
        <v>6942214039</v>
      </c>
      <c r="N3633" t="s">
        <v>536</v>
      </c>
      <c r="O3633" t="s">
        <v>537</v>
      </c>
      <c r="R3633" t="s">
        <v>159</v>
      </c>
      <c r="S3633">
        <v>5</v>
      </c>
      <c r="T3633" t="s">
        <v>344</v>
      </c>
      <c r="U3633" s="1">
        <v>43348</v>
      </c>
      <c r="V3633" t="s">
        <v>6729</v>
      </c>
      <c r="W3633" t="s">
        <v>6730</v>
      </c>
      <c r="X3633" t="s">
        <v>58</v>
      </c>
      <c r="Y3633">
        <v>21</v>
      </c>
      <c r="Z3633" t="s">
        <v>59</v>
      </c>
      <c r="AA3633" t="s">
        <v>59</v>
      </c>
      <c r="AB3633" t="s">
        <v>59</v>
      </c>
      <c r="AC3633" t="s">
        <v>59</v>
      </c>
      <c r="AD3633" t="s">
        <v>59</v>
      </c>
      <c r="AF3633" s="1">
        <v>43348</v>
      </c>
      <c r="AG3633" t="s">
        <v>125</v>
      </c>
      <c r="AH3633" t="s">
        <v>126</v>
      </c>
      <c r="AI3633" t="str">
        <f>"5001080"</f>
        <v>5001080</v>
      </c>
      <c r="AJ3633" t="s">
        <v>6984</v>
      </c>
      <c r="AK3633">
        <v>2821068020</v>
      </c>
      <c r="AL3633" t="s">
        <v>6985</v>
      </c>
      <c r="AM3633" t="s">
        <v>88</v>
      </c>
      <c r="AN3633" t="s">
        <v>6764</v>
      </c>
      <c r="AO3633" t="s">
        <v>6764</v>
      </c>
      <c r="AP3633" t="s">
        <v>6764</v>
      </c>
      <c r="AQ3633">
        <v>1</v>
      </c>
      <c r="AR3633" t="s">
        <v>6729</v>
      </c>
      <c r="AS3633" t="s">
        <v>6730</v>
      </c>
      <c r="AT3633" t="s">
        <v>58</v>
      </c>
      <c r="AU3633" t="s">
        <v>350</v>
      </c>
      <c r="AV3633" t="s">
        <v>132</v>
      </c>
      <c r="AW3633" s="1">
        <v>30377</v>
      </c>
      <c r="AX3633">
        <v>2</v>
      </c>
    </row>
    <row r="3634" spans="1:50">
      <c r="A3634">
        <v>179132</v>
      </c>
      <c r="B3634" t="str">
        <f>"044526068"</f>
        <v>044526068</v>
      </c>
      <c r="C3634" t="s">
        <v>50</v>
      </c>
      <c r="D3634" t="s">
        <v>6986</v>
      </c>
      <c r="E3634" t="s">
        <v>250</v>
      </c>
      <c r="F3634" t="s">
        <v>153</v>
      </c>
      <c r="G3634" t="s">
        <v>6987</v>
      </c>
      <c r="H3634" t="str">
        <f>" "</f>
        <v xml:space="preserve"> </v>
      </c>
      <c r="N3634" t="s">
        <v>146</v>
      </c>
      <c r="O3634" t="s">
        <v>147</v>
      </c>
      <c r="R3634" t="s">
        <v>57</v>
      </c>
      <c r="S3634">
        <v>11</v>
      </c>
      <c r="T3634">
        <v>181</v>
      </c>
      <c r="U3634" s="1">
        <v>36039</v>
      </c>
      <c r="V3634" t="s">
        <v>6729</v>
      </c>
      <c r="W3634" t="s">
        <v>6730</v>
      </c>
      <c r="X3634" t="s">
        <v>58</v>
      </c>
      <c r="Y3634">
        <v>18</v>
      </c>
      <c r="Z3634" t="s">
        <v>59</v>
      </c>
      <c r="AA3634" t="s">
        <v>59</v>
      </c>
      <c r="AB3634" t="s">
        <v>59</v>
      </c>
      <c r="AC3634" t="s">
        <v>59</v>
      </c>
      <c r="AD3634" t="s">
        <v>59</v>
      </c>
      <c r="AF3634" s="1">
        <v>36045</v>
      </c>
      <c r="AG3634" t="s">
        <v>125</v>
      </c>
      <c r="AH3634" t="s">
        <v>126</v>
      </c>
      <c r="AI3634" t="str">
        <f>"5001070"</f>
        <v>5001070</v>
      </c>
      <c r="AJ3634" t="s">
        <v>6731</v>
      </c>
      <c r="AK3634">
        <v>2821088045</v>
      </c>
      <c r="AL3634" t="s">
        <v>6732</v>
      </c>
      <c r="AM3634" t="s">
        <v>88</v>
      </c>
      <c r="AN3634" t="s">
        <v>88</v>
      </c>
      <c r="AO3634" t="s">
        <v>6733</v>
      </c>
      <c r="AP3634" t="s">
        <v>6734</v>
      </c>
      <c r="AQ3634">
        <v>1</v>
      </c>
      <c r="AR3634" t="s">
        <v>6729</v>
      </c>
      <c r="AS3634" t="s">
        <v>6730</v>
      </c>
      <c r="AT3634" t="s">
        <v>58</v>
      </c>
      <c r="AU3634" t="s">
        <v>68</v>
      </c>
      <c r="AV3634" t="s">
        <v>69</v>
      </c>
      <c r="AW3634" s="1">
        <v>24386</v>
      </c>
      <c r="AX3634">
        <v>2</v>
      </c>
    </row>
    <row r="3635" spans="1:50">
      <c r="A3635">
        <v>221924</v>
      </c>
      <c r="B3635" t="str">
        <f>"044966664"</f>
        <v>044966664</v>
      </c>
      <c r="C3635" t="s">
        <v>50</v>
      </c>
      <c r="D3635" t="s">
        <v>5806</v>
      </c>
      <c r="E3635" t="s">
        <v>513</v>
      </c>
      <c r="F3635" t="s">
        <v>5386</v>
      </c>
      <c r="G3635" t="s">
        <v>83</v>
      </c>
      <c r="H3635" t="str">
        <f>"ΕΛΕΥΘΕΡΙΑΣ 5 ΑΓΙΑ ΠΑΡΑΣΚΕΥΗ"</f>
        <v>ΕΛΕΥΘΕΡΙΑΣ 5 ΑΓΙΑ ΠΑΡΑΣΚΕΥΗ</v>
      </c>
      <c r="I3635">
        <v>15342</v>
      </c>
      <c r="J3635">
        <v>2821040347</v>
      </c>
      <c r="K3635">
        <v>6932222166</v>
      </c>
      <c r="L3635">
        <v>2106080415</v>
      </c>
      <c r="N3635" t="s">
        <v>146</v>
      </c>
      <c r="O3635" t="s">
        <v>147</v>
      </c>
      <c r="R3635" t="s">
        <v>57</v>
      </c>
      <c r="S3635">
        <v>7</v>
      </c>
      <c r="T3635">
        <v>775</v>
      </c>
      <c r="U3635" s="1">
        <v>39680</v>
      </c>
      <c r="V3635" t="s">
        <v>6729</v>
      </c>
      <c r="W3635" t="s">
        <v>6730</v>
      </c>
      <c r="X3635" t="s">
        <v>58</v>
      </c>
      <c r="Y3635">
        <v>21</v>
      </c>
      <c r="Z3635" t="s">
        <v>59</v>
      </c>
      <c r="AA3635" t="s">
        <v>59</v>
      </c>
      <c r="AB3635" t="s">
        <v>59</v>
      </c>
      <c r="AC3635" t="s">
        <v>59</v>
      </c>
      <c r="AD3635" t="s">
        <v>452</v>
      </c>
      <c r="AE3635" s="1">
        <v>43708</v>
      </c>
      <c r="AF3635" s="1">
        <v>39681</v>
      </c>
      <c r="AG3635" t="s">
        <v>60</v>
      </c>
      <c r="AH3635" t="s">
        <v>453</v>
      </c>
      <c r="AI3635" t="str">
        <f>"5000105"</f>
        <v>5000105</v>
      </c>
      <c r="AJ3635" t="s">
        <v>6730</v>
      </c>
      <c r="AK3635">
        <v>2821047144</v>
      </c>
      <c r="AL3635" t="s">
        <v>6792</v>
      </c>
      <c r="AM3635" t="s">
        <v>88</v>
      </c>
      <c r="AN3635" t="s">
        <v>88</v>
      </c>
      <c r="AO3635" t="s">
        <v>88</v>
      </c>
      <c r="AP3635" t="s">
        <v>88</v>
      </c>
      <c r="AS3635" t="s">
        <v>6730</v>
      </c>
      <c r="AT3635" t="s">
        <v>58</v>
      </c>
      <c r="AU3635" t="s">
        <v>68</v>
      </c>
      <c r="AV3635" t="s">
        <v>455</v>
      </c>
      <c r="AW3635" s="1">
        <v>27190</v>
      </c>
      <c r="AX3635">
        <v>2</v>
      </c>
    </row>
    <row r="3636" spans="1:50">
      <c r="A3636">
        <v>208387</v>
      </c>
      <c r="B3636" t="str">
        <f>"127746777"</f>
        <v>127746777</v>
      </c>
      <c r="C3636" t="s">
        <v>105</v>
      </c>
      <c r="D3636" t="s">
        <v>6988</v>
      </c>
      <c r="E3636" t="s">
        <v>321</v>
      </c>
      <c r="F3636" t="s">
        <v>154</v>
      </c>
      <c r="G3636" t="s">
        <v>4671</v>
      </c>
      <c r="H3636" t="str">
        <f>"ΛΟΥΛΑΚΑΚΗ 13 ΧΑΝΙΑ"</f>
        <v>ΛΟΥΛΑΚΑΚΗ 13 ΧΑΝΙΑ</v>
      </c>
      <c r="I3636">
        <v>73134</v>
      </c>
      <c r="J3636">
        <v>2821070196</v>
      </c>
      <c r="K3636">
        <v>6973525621</v>
      </c>
      <c r="M3636" t="s">
        <v>6989</v>
      </c>
      <c r="N3636" t="s">
        <v>232</v>
      </c>
      <c r="O3636" t="s">
        <v>233</v>
      </c>
      <c r="R3636" t="s">
        <v>57</v>
      </c>
      <c r="S3636">
        <v>8</v>
      </c>
      <c r="T3636">
        <v>218</v>
      </c>
      <c r="U3636" s="1">
        <v>38596</v>
      </c>
      <c r="V3636" t="s">
        <v>6729</v>
      </c>
      <c r="W3636" t="s">
        <v>6730</v>
      </c>
      <c r="X3636" t="s">
        <v>58</v>
      </c>
      <c r="Y3636">
        <v>20</v>
      </c>
      <c r="Z3636" t="s">
        <v>59</v>
      </c>
      <c r="AA3636" t="s">
        <v>59</v>
      </c>
      <c r="AB3636" t="s">
        <v>59</v>
      </c>
      <c r="AC3636" t="s">
        <v>59</v>
      </c>
      <c r="AD3636" t="s">
        <v>59</v>
      </c>
      <c r="AF3636" s="1">
        <v>38602</v>
      </c>
      <c r="AG3636" t="s">
        <v>125</v>
      </c>
      <c r="AH3636" t="s">
        <v>126</v>
      </c>
      <c r="AI3636" t="str">
        <f>"5002010"</f>
        <v>5002010</v>
      </c>
      <c r="AJ3636" t="s">
        <v>6773</v>
      </c>
      <c r="AK3636">
        <v>2825022249</v>
      </c>
      <c r="AL3636" t="s">
        <v>6774</v>
      </c>
      <c r="AM3636" t="s">
        <v>88</v>
      </c>
      <c r="AN3636" t="s">
        <v>6775</v>
      </c>
      <c r="AO3636" t="s">
        <v>6776</v>
      </c>
      <c r="AP3636" t="s">
        <v>6776</v>
      </c>
      <c r="AQ3636">
        <v>1</v>
      </c>
      <c r="AR3636" t="s">
        <v>6729</v>
      </c>
      <c r="AS3636" t="s">
        <v>6730</v>
      </c>
      <c r="AT3636" t="s">
        <v>58</v>
      </c>
      <c r="AU3636" t="s">
        <v>68</v>
      </c>
      <c r="AV3636" t="s">
        <v>357</v>
      </c>
      <c r="AW3636" s="1">
        <v>28297</v>
      </c>
      <c r="AX3636">
        <v>2</v>
      </c>
    </row>
    <row r="3637" spans="1:50">
      <c r="A3637">
        <v>155123</v>
      </c>
      <c r="B3637" t="str">
        <f>"031253245"</f>
        <v>031253245</v>
      </c>
      <c r="C3637" t="s">
        <v>105</v>
      </c>
      <c r="D3637" t="s">
        <v>4658</v>
      </c>
      <c r="E3637" t="s">
        <v>95</v>
      </c>
      <c r="F3637" t="s">
        <v>106</v>
      </c>
      <c r="G3637" t="s">
        <v>73</v>
      </c>
      <c r="H3637" t="str">
        <f>" "</f>
        <v xml:space="preserve"> </v>
      </c>
      <c r="N3637" t="s">
        <v>331</v>
      </c>
      <c r="O3637" t="s">
        <v>332</v>
      </c>
      <c r="R3637" t="s">
        <v>57</v>
      </c>
      <c r="S3637">
        <v>18</v>
      </c>
      <c r="T3637">
        <v>161</v>
      </c>
      <c r="U3637" s="1">
        <v>32387</v>
      </c>
      <c r="V3637" t="s">
        <v>6729</v>
      </c>
      <c r="W3637" t="s">
        <v>6730</v>
      </c>
      <c r="X3637" t="s">
        <v>58</v>
      </c>
      <c r="Y3637">
        <v>18</v>
      </c>
      <c r="Z3637" t="s">
        <v>59</v>
      </c>
      <c r="AA3637" t="s">
        <v>59</v>
      </c>
      <c r="AB3637" t="s">
        <v>59</v>
      </c>
      <c r="AC3637" t="s">
        <v>59</v>
      </c>
      <c r="AD3637" t="s">
        <v>59</v>
      </c>
      <c r="AF3637" s="1">
        <v>32388</v>
      </c>
      <c r="AG3637" t="s">
        <v>137</v>
      </c>
      <c r="AH3637" t="s">
        <v>138</v>
      </c>
      <c r="AI3637" t="str">
        <f>"5040100"</f>
        <v>5040100</v>
      </c>
      <c r="AJ3637" t="s">
        <v>6790</v>
      </c>
      <c r="AK3637">
        <v>2821058998</v>
      </c>
      <c r="AL3637" t="s">
        <v>6791</v>
      </c>
      <c r="AM3637" t="s">
        <v>88</v>
      </c>
      <c r="AN3637" t="s">
        <v>88</v>
      </c>
      <c r="AO3637" t="s">
        <v>6770</v>
      </c>
      <c r="AP3637" t="s">
        <v>6771</v>
      </c>
      <c r="AQ3637">
        <v>1</v>
      </c>
      <c r="AR3637" t="s">
        <v>6729</v>
      </c>
      <c r="AS3637" t="s">
        <v>6730</v>
      </c>
      <c r="AT3637" t="s">
        <v>58</v>
      </c>
      <c r="AU3637" t="s">
        <v>68</v>
      </c>
      <c r="AV3637" t="s">
        <v>69</v>
      </c>
      <c r="AW3637" s="1">
        <v>21633</v>
      </c>
      <c r="AX3637">
        <v>2</v>
      </c>
    </row>
    <row r="3638" spans="1:50">
      <c r="B3638" t="str">
        <f>"136440645"</f>
        <v>136440645</v>
      </c>
      <c r="C3638" t="s">
        <v>105</v>
      </c>
      <c r="D3638" t="s">
        <v>4658</v>
      </c>
      <c r="E3638" t="s">
        <v>496</v>
      </c>
      <c r="F3638" t="s">
        <v>95</v>
      </c>
      <c r="H3638" t="str">
        <f>" "</f>
        <v xml:space="preserve"> </v>
      </c>
      <c r="K3638">
        <v>6976145990</v>
      </c>
      <c r="N3638" t="s">
        <v>119</v>
      </c>
      <c r="O3638" t="s">
        <v>120</v>
      </c>
      <c r="R3638" t="s">
        <v>159</v>
      </c>
      <c r="S3638">
        <v>3</v>
      </c>
      <c r="T3638" t="s">
        <v>122</v>
      </c>
      <c r="U3638" s="1">
        <v>43348</v>
      </c>
      <c r="V3638" t="s">
        <v>6729</v>
      </c>
      <c r="W3638" t="s">
        <v>6730</v>
      </c>
      <c r="X3638" t="s">
        <v>58</v>
      </c>
      <c r="Y3638">
        <v>23</v>
      </c>
      <c r="Z3638" t="s">
        <v>59</v>
      </c>
      <c r="AA3638" t="s">
        <v>59</v>
      </c>
      <c r="AB3638" t="s">
        <v>59</v>
      </c>
      <c r="AC3638" t="s">
        <v>59</v>
      </c>
      <c r="AD3638" t="s">
        <v>59</v>
      </c>
      <c r="AF3638" s="1">
        <v>43348</v>
      </c>
      <c r="AG3638" t="s">
        <v>125</v>
      </c>
      <c r="AH3638" t="s">
        <v>126</v>
      </c>
      <c r="AI3638" t="str">
        <f>"5001073"</f>
        <v>5001073</v>
      </c>
      <c r="AJ3638" t="s">
        <v>6849</v>
      </c>
      <c r="AK3638">
        <v>2821028553</v>
      </c>
      <c r="AL3638" t="s">
        <v>6850</v>
      </c>
      <c r="AM3638" t="s">
        <v>88</v>
      </c>
      <c r="AN3638" t="s">
        <v>88</v>
      </c>
      <c r="AO3638" t="s">
        <v>88</v>
      </c>
      <c r="AP3638" t="s">
        <v>88</v>
      </c>
      <c r="AQ3638">
        <v>1</v>
      </c>
      <c r="AR3638" t="s">
        <v>6729</v>
      </c>
      <c r="AS3638" t="s">
        <v>6730</v>
      </c>
      <c r="AT3638" t="s">
        <v>58</v>
      </c>
      <c r="AU3638" t="s">
        <v>131</v>
      </c>
      <c r="AV3638" t="s">
        <v>132</v>
      </c>
      <c r="AW3638" s="1">
        <v>31907</v>
      </c>
      <c r="AX3638">
        <v>2</v>
      </c>
    </row>
    <row r="3639" spans="1:50">
      <c r="A3639">
        <v>219412</v>
      </c>
      <c r="B3639" t="str">
        <f>"062877245"</f>
        <v>062877245</v>
      </c>
      <c r="C3639" t="s">
        <v>50</v>
      </c>
      <c r="D3639" t="s">
        <v>894</v>
      </c>
      <c r="E3639" t="s">
        <v>460</v>
      </c>
      <c r="F3639" t="s">
        <v>106</v>
      </c>
      <c r="G3639" t="s">
        <v>1520</v>
      </c>
      <c r="H3639" t="str">
        <f>" "</f>
        <v xml:space="preserve"> </v>
      </c>
      <c r="J3639">
        <v>2821081584</v>
      </c>
      <c r="K3639">
        <v>6946909914</v>
      </c>
      <c r="M3639" t="s">
        <v>6990</v>
      </c>
      <c r="N3639" t="s">
        <v>288</v>
      </c>
      <c r="O3639" t="s">
        <v>289</v>
      </c>
      <c r="R3639" t="s">
        <v>57</v>
      </c>
      <c r="S3639">
        <v>6</v>
      </c>
      <c r="T3639">
        <v>599</v>
      </c>
      <c r="U3639" s="1">
        <v>39310</v>
      </c>
      <c r="V3639" t="s">
        <v>6729</v>
      </c>
      <c r="W3639" t="s">
        <v>6730</v>
      </c>
      <c r="X3639" t="s">
        <v>58</v>
      </c>
      <c r="Y3639">
        <v>20</v>
      </c>
      <c r="Z3639" t="s">
        <v>59</v>
      </c>
      <c r="AA3639" t="s">
        <v>59</v>
      </c>
      <c r="AB3639" t="s">
        <v>59</v>
      </c>
      <c r="AC3639" t="s">
        <v>59</v>
      </c>
      <c r="AD3639" t="s">
        <v>59</v>
      </c>
      <c r="AF3639" s="1">
        <v>39328</v>
      </c>
      <c r="AG3639" t="s">
        <v>125</v>
      </c>
      <c r="AH3639" t="s">
        <v>126</v>
      </c>
      <c r="AI3639" t="str">
        <f>"5001072"</f>
        <v>5001072</v>
      </c>
      <c r="AJ3639" t="s">
        <v>6922</v>
      </c>
      <c r="AK3639">
        <v>2821055471</v>
      </c>
      <c r="AL3639" t="s">
        <v>6923</v>
      </c>
      <c r="AM3639" t="s">
        <v>88</v>
      </c>
      <c r="AN3639" t="s">
        <v>88</v>
      </c>
      <c r="AO3639" t="s">
        <v>88</v>
      </c>
      <c r="AP3639" t="s">
        <v>88</v>
      </c>
      <c r="AQ3639">
        <v>1</v>
      </c>
      <c r="AR3639" t="s">
        <v>6729</v>
      </c>
      <c r="AS3639" t="s">
        <v>6730</v>
      </c>
      <c r="AT3639" t="s">
        <v>58</v>
      </c>
      <c r="AU3639" t="s">
        <v>68</v>
      </c>
      <c r="AV3639" t="s">
        <v>357</v>
      </c>
      <c r="AW3639" s="1">
        <v>26319</v>
      </c>
      <c r="AX3639">
        <v>2</v>
      </c>
    </row>
    <row r="3640" spans="1:50">
      <c r="B3640" t="str">
        <f>"063290641"</f>
        <v>063290641</v>
      </c>
      <c r="C3640" t="s">
        <v>50</v>
      </c>
      <c r="D3640" t="s">
        <v>6991</v>
      </c>
      <c r="E3640" t="s">
        <v>109</v>
      </c>
      <c r="F3640" t="s">
        <v>106</v>
      </c>
      <c r="G3640" t="s">
        <v>1306</v>
      </c>
      <c r="H3640" t="str">
        <f>" "</f>
        <v xml:space="preserve"> </v>
      </c>
      <c r="N3640" t="s">
        <v>536</v>
      </c>
      <c r="O3640" t="s">
        <v>537</v>
      </c>
      <c r="R3640" t="s">
        <v>159</v>
      </c>
      <c r="S3640">
        <v>3</v>
      </c>
      <c r="T3640" t="s">
        <v>344</v>
      </c>
      <c r="U3640" s="1">
        <v>43348</v>
      </c>
      <c r="V3640" t="s">
        <v>6729</v>
      </c>
      <c r="W3640" t="s">
        <v>6730</v>
      </c>
      <c r="X3640" t="s">
        <v>58</v>
      </c>
      <c r="Y3640">
        <v>23</v>
      </c>
      <c r="Z3640" t="s">
        <v>59</v>
      </c>
      <c r="AA3640" t="s">
        <v>59</v>
      </c>
      <c r="AB3640" t="s">
        <v>59</v>
      </c>
      <c r="AC3640" t="s">
        <v>59</v>
      </c>
      <c r="AD3640" t="s">
        <v>59</v>
      </c>
      <c r="AF3640" s="1">
        <v>43348</v>
      </c>
      <c r="AG3640" t="s">
        <v>345</v>
      </c>
      <c r="AH3640" t="s">
        <v>346</v>
      </c>
      <c r="AI3640" t="str">
        <f>"5041001"</f>
        <v>5041001</v>
      </c>
      <c r="AJ3640" t="s">
        <v>6840</v>
      </c>
      <c r="AK3640">
        <v>2821052100</v>
      </c>
      <c r="AL3640" t="s">
        <v>6841</v>
      </c>
      <c r="AM3640" t="s">
        <v>88</v>
      </c>
      <c r="AN3640" t="s">
        <v>88</v>
      </c>
      <c r="AO3640" t="s">
        <v>88</v>
      </c>
      <c r="AP3640" t="s">
        <v>88</v>
      </c>
      <c r="AQ3640">
        <v>1</v>
      </c>
      <c r="AR3640" t="s">
        <v>6729</v>
      </c>
      <c r="AS3640" t="s">
        <v>6730</v>
      </c>
      <c r="AT3640" t="s">
        <v>58</v>
      </c>
      <c r="AU3640" t="s">
        <v>350</v>
      </c>
      <c r="AV3640" t="s">
        <v>132</v>
      </c>
      <c r="AW3640" s="1">
        <v>29144</v>
      </c>
      <c r="AX3640">
        <v>2</v>
      </c>
    </row>
    <row r="3641" spans="1:50">
      <c r="A3641">
        <v>195474</v>
      </c>
      <c r="B3641" t="str">
        <f>"046593955"</f>
        <v>046593955</v>
      </c>
      <c r="C3641" t="s">
        <v>50</v>
      </c>
      <c r="D3641" t="s">
        <v>6991</v>
      </c>
      <c r="E3641" t="s">
        <v>801</v>
      </c>
      <c r="F3641" t="s">
        <v>202</v>
      </c>
      <c r="G3641" t="s">
        <v>494</v>
      </c>
      <c r="H3641" t="str">
        <f>"ΣΟΦΟΚΛΗ ΒΕΝΙΖΕΛΟΥ  ΚΟΚΚΙΝΟ ΜΕΤΟΧΙ - ΜΟΥΡΝΙΕΣ"</f>
        <v>ΣΟΦΟΚΛΗ ΒΕΝΙΖΕΛΟΥ  ΚΟΚΚΙΝΟ ΜΕΤΟΧΙ - ΜΟΥΡΝΙΕΣ</v>
      </c>
      <c r="J3641">
        <v>2821076595</v>
      </c>
      <c r="K3641">
        <v>6978039112</v>
      </c>
      <c r="M3641" t="s">
        <v>6992</v>
      </c>
      <c r="N3641" t="s">
        <v>292</v>
      </c>
      <c r="O3641" t="s">
        <v>293</v>
      </c>
      <c r="R3641" t="s">
        <v>57</v>
      </c>
      <c r="S3641">
        <v>8</v>
      </c>
      <c r="T3641">
        <v>194</v>
      </c>
      <c r="U3641" s="1">
        <v>37497</v>
      </c>
      <c r="V3641" t="s">
        <v>6729</v>
      </c>
      <c r="W3641" t="s">
        <v>6730</v>
      </c>
      <c r="X3641" t="s">
        <v>58</v>
      </c>
      <c r="Y3641">
        <v>20</v>
      </c>
      <c r="Z3641" t="s">
        <v>59</v>
      </c>
      <c r="AA3641" t="s">
        <v>59</v>
      </c>
      <c r="AB3641" t="s">
        <v>59</v>
      </c>
      <c r="AC3641" t="s">
        <v>59</v>
      </c>
      <c r="AD3641" t="s">
        <v>59</v>
      </c>
      <c r="AF3641" s="1">
        <v>37501</v>
      </c>
      <c r="AG3641" t="s">
        <v>125</v>
      </c>
      <c r="AH3641" t="s">
        <v>126</v>
      </c>
      <c r="AI3641" t="str">
        <f>"5001076"</f>
        <v>5001076</v>
      </c>
      <c r="AJ3641" t="s">
        <v>6979</v>
      </c>
      <c r="AK3641">
        <v>2821088808</v>
      </c>
      <c r="AL3641" t="s">
        <v>6980</v>
      </c>
      <c r="AM3641" t="s">
        <v>88</v>
      </c>
      <c r="AN3641" t="s">
        <v>88</v>
      </c>
      <c r="AO3641" t="s">
        <v>6733</v>
      </c>
      <c r="AP3641" t="s">
        <v>6755</v>
      </c>
      <c r="AQ3641">
        <v>1</v>
      </c>
      <c r="AR3641" t="s">
        <v>6729</v>
      </c>
      <c r="AS3641" t="s">
        <v>6730</v>
      </c>
      <c r="AT3641" t="s">
        <v>58</v>
      </c>
      <c r="AU3641" t="s">
        <v>68</v>
      </c>
      <c r="AV3641" t="s">
        <v>69</v>
      </c>
      <c r="AW3641" s="1">
        <v>23885</v>
      </c>
      <c r="AX3641">
        <v>2</v>
      </c>
    </row>
    <row r="3642" spans="1:50">
      <c r="A3642">
        <v>209423</v>
      </c>
      <c r="B3642" t="str">
        <f>"062770510"</f>
        <v>062770510</v>
      </c>
      <c r="C3642" t="s">
        <v>50</v>
      </c>
      <c r="D3642" t="s">
        <v>899</v>
      </c>
      <c r="E3642" t="s">
        <v>372</v>
      </c>
      <c r="F3642" t="s">
        <v>72</v>
      </c>
      <c r="G3642" t="s">
        <v>5397</v>
      </c>
      <c r="H3642" t="str">
        <f>" "</f>
        <v xml:space="preserve"> </v>
      </c>
      <c r="J3642">
        <v>2821052547</v>
      </c>
      <c r="K3642">
        <v>6978050731</v>
      </c>
      <c r="N3642" t="s">
        <v>146</v>
      </c>
      <c r="O3642" t="s">
        <v>147</v>
      </c>
      <c r="R3642" t="s">
        <v>57</v>
      </c>
      <c r="S3642">
        <v>6</v>
      </c>
      <c r="T3642">
        <v>225</v>
      </c>
      <c r="U3642" s="1">
        <v>38604</v>
      </c>
      <c r="V3642" t="s">
        <v>6729</v>
      </c>
      <c r="W3642" t="s">
        <v>6730</v>
      </c>
      <c r="X3642" t="s">
        <v>58</v>
      </c>
      <c r="Y3642">
        <v>20</v>
      </c>
      <c r="Z3642" t="s">
        <v>59</v>
      </c>
      <c r="AA3642" t="s">
        <v>59</v>
      </c>
      <c r="AB3642" t="s">
        <v>59</v>
      </c>
      <c r="AC3642" t="s">
        <v>59</v>
      </c>
      <c r="AD3642" t="s">
        <v>59</v>
      </c>
      <c r="AF3642" s="1">
        <v>38608</v>
      </c>
      <c r="AG3642" t="s">
        <v>125</v>
      </c>
      <c r="AH3642" t="s">
        <v>126</v>
      </c>
      <c r="AI3642" t="str">
        <f>"5008010"</f>
        <v>5008010</v>
      </c>
      <c r="AJ3642" t="s">
        <v>6993</v>
      </c>
      <c r="AK3642">
        <v>2825091207</v>
      </c>
      <c r="AL3642" t="s">
        <v>6994</v>
      </c>
      <c r="AM3642" t="s">
        <v>88</v>
      </c>
      <c r="AN3642" t="s">
        <v>6995</v>
      </c>
      <c r="AO3642" t="s">
        <v>6995</v>
      </c>
      <c r="AP3642" t="s">
        <v>6996</v>
      </c>
      <c r="AQ3642">
        <v>1</v>
      </c>
      <c r="AR3642" t="s">
        <v>6729</v>
      </c>
      <c r="AS3642" t="s">
        <v>6730</v>
      </c>
      <c r="AT3642" t="s">
        <v>58</v>
      </c>
      <c r="AU3642" t="s">
        <v>68</v>
      </c>
      <c r="AV3642" t="s">
        <v>69</v>
      </c>
      <c r="AW3642" s="1">
        <v>26877</v>
      </c>
      <c r="AX3642">
        <v>2</v>
      </c>
    </row>
    <row r="3643" spans="1:50">
      <c r="A3643">
        <v>162155</v>
      </c>
      <c r="B3643" t="str">
        <f>"034303062"</f>
        <v>034303062</v>
      </c>
      <c r="C3643" t="s">
        <v>105</v>
      </c>
      <c r="D3643" t="s">
        <v>6997</v>
      </c>
      <c r="E3643" t="s">
        <v>84</v>
      </c>
      <c r="F3643" t="s">
        <v>581</v>
      </c>
      <c r="G3643" t="s">
        <v>6998</v>
      </c>
      <c r="H3643" t="str">
        <f>"ΜΑΚΕΔΟΝΟΜΑΧΩΝ 45 ΑΓΙΟΣ ΙΩΑΝΝΗΣ"</f>
        <v>ΜΑΚΕΔΟΝΟΜΑΧΩΝ 45 ΑΓΙΟΣ ΙΩΑΝΝΗΣ</v>
      </c>
      <c r="I3643">
        <v>73134</v>
      </c>
      <c r="J3643">
        <v>2821027893</v>
      </c>
      <c r="K3643">
        <v>6978195304</v>
      </c>
      <c r="M3643" t="s">
        <v>6999</v>
      </c>
      <c r="N3643" t="s">
        <v>146</v>
      </c>
      <c r="O3643" t="s">
        <v>147</v>
      </c>
      <c r="R3643" t="s">
        <v>57</v>
      </c>
      <c r="S3643">
        <v>19</v>
      </c>
      <c r="T3643">
        <v>132</v>
      </c>
      <c r="U3643" s="1">
        <v>33456</v>
      </c>
      <c r="V3643" t="s">
        <v>6729</v>
      </c>
      <c r="W3643" t="s">
        <v>6730</v>
      </c>
      <c r="X3643" t="s">
        <v>58</v>
      </c>
      <c r="Y3643">
        <v>18</v>
      </c>
      <c r="Z3643" t="s">
        <v>59</v>
      </c>
      <c r="AA3643" t="s">
        <v>59</v>
      </c>
      <c r="AB3643" t="s">
        <v>59</v>
      </c>
      <c r="AC3643" t="s">
        <v>59</v>
      </c>
      <c r="AD3643" t="s">
        <v>59</v>
      </c>
      <c r="AF3643" s="1">
        <v>33493</v>
      </c>
      <c r="AG3643" t="s">
        <v>148</v>
      </c>
      <c r="AH3643" t="s">
        <v>149</v>
      </c>
      <c r="AI3643" t="str">
        <f>"5090080"</f>
        <v>5090080</v>
      </c>
      <c r="AJ3643" t="s">
        <v>6906</v>
      </c>
      <c r="AK3643">
        <v>2821096638</v>
      </c>
      <c r="AL3643" t="s">
        <v>6907</v>
      </c>
      <c r="AM3643" t="s">
        <v>88</v>
      </c>
      <c r="AN3643" t="s">
        <v>88</v>
      </c>
      <c r="AO3643" t="s">
        <v>88</v>
      </c>
      <c r="AP3643" t="s">
        <v>88</v>
      </c>
      <c r="AQ3643">
        <v>1</v>
      </c>
      <c r="AR3643" t="s">
        <v>6729</v>
      </c>
      <c r="AS3643" t="s">
        <v>6730</v>
      </c>
      <c r="AT3643" t="s">
        <v>58</v>
      </c>
      <c r="AU3643" t="s">
        <v>68</v>
      </c>
      <c r="AV3643" t="s">
        <v>69</v>
      </c>
      <c r="AW3643" s="1">
        <v>23424</v>
      </c>
      <c r="AX3643">
        <v>2</v>
      </c>
    </row>
    <row r="3644" spans="1:50">
      <c r="A3644">
        <v>216956</v>
      </c>
      <c r="B3644" t="str">
        <f>"032694731"</f>
        <v>032694731</v>
      </c>
      <c r="C3644" t="s">
        <v>105</v>
      </c>
      <c r="D3644" t="s">
        <v>7000</v>
      </c>
      <c r="E3644" t="s">
        <v>84</v>
      </c>
      <c r="F3644" t="s">
        <v>315</v>
      </c>
      <c r="G3644" t="s">
        <v>83</v>
      </c>
      <c r="H3644" t="str">
        <f>"ΑΡΙΣΤΟΤΕΛΟΥΣ 84 ΑΚΡΩΤΗΡΙ"</f>
        <v>ΑΡΙΣΤΟΤΕΛΟΥΣ 84 ΑΚΡΩΤΗΡΙ</v>
      </c>
      <c r="I3644">
        <v>73133</v>
      </c>
      <c r="J3644">
        <v>2821049241</v>
      </c>
      <c r="K3644">
        <v>6977202074</v>
      </c>
      <c r="N3644" t="s">
        <v>337</v>
      </c>
      <c r="O3644" t="s">
        <v>338</v>
      </c>
      <c r="R3644" t="s">
        <v>57</v>
      </c>
      <c r="S3644">
        <v>8</v>
      </c>
      <c r="T3644">
        <v>298</v>
      </c>
      <c r="U3644" s="1">
        <v>38985</v>
      </c>
      <c r="V3644" t="s">
        <v>6729</v>
      </c>
      <c r="W3644" t="s">
        <v>6730</v>
      </c>
      <c r="X3644" t="s">
        <v>58</v>
      </c>
      <c r="Y3644">
        <v>20</v>
      </c>
      <c r="Z3644" t="s">
        <v>59</v>
      </c>
      <c r="AA3644" t="s">
        <v>59</v>
      </c>
      <c r="AB3644" t="s">
        <v>59</v>
      </c>
      <c r="AC3644" t="s">
        <v>59</v>
      </c>
      <c r="AD3644" t="s">
        <v>59</v>
      </c>
      <c r="AF3644" s="1">
        <v>38986</v>
      </c>
      <c r="AG3644" t="s">
        <v>125</v>
      </c>
      <c r="AH3644" t="s">
        <v>294</v>
      </c>
      <c r="AI3644" t="str">
        <f>"5012017"</f>
        <v>5012017</v>
      </c>
      <c r="AJ3644" t="s">
        <v>6859</v>
      </c>
      <c r="AK3644">
        <v>2821088065</v>
      </c>
      <c r="AL3644" t="s">
        <v>6860</v>
      </c>
      <c r="AM3644" t="s">
        <v>88</v>
      </c>
      <c r="AN3644" t="s">
        <v>88</v>
      </c>
      <c r="AO3644" t="s">
        <v>88</v>
      </c>
      <c r="AP3644" t="s">
        <v>88</v>
      </c>
      <c r="AQ3644">
        <v>1</v>
      </c>
      <c r="AR3644" t="s">
        <v>6729</v>
      </c>
      <c r="AS3644" t="s">
        <v>6730</v>
      </c>
      <c r="AT3644" t="s">
        <v>58</v>
      </c>
      <c r="AU3644" t="s">
        <v>68</v>
      </c>
      <c r="AV3644" t="s">
        <v>69</v>
      </c>
      <c r="AW3644" s="1">
        <v>24511</v>
      </c>
      <c r="AX3644">
        <v>2</v>
      </c>
    </row>
    <row r="3645" spans="1:50">
      <c r="A3645">
        <v>157967</v>
      </c>
      <c r="B3645" t="str">
        <f>"032619780"</f>
        <v>032619780</v>
      </c>
      <c r="C3645" t="s">
        <v>105</v>
      </c>
      <c r="D3645" t="s">
        <v>7001</v>
      </c>
      <c r="E3645" t="s">
        <v>377</v>
      </c>
      <c r="F3645" t="s">
        <v>95</v>
      </c>
      <c r="G3645" t="s">
        <v>7002</v>
      </c>
      <c r="H3645" t="str">
        <f>" "</f>
        <v xml:space="preserve"> </v>
      </c>
      <c r="M3645" t="s">
        <v>7003</v>
      </c>
      <c r="N3645" t="s">
        <v>331</v>
      </c>
      <c r="O3645" t="s">
        <v>332</v>
      </c>
      <c r="R3645" t="s">
        <v>57</v>
      </c>
      <c r="S3645">
        <v>17</v>
      </c>
      <c r="T3645">
        <v>188</v>
      </c>
      <c r="U3645" s="1">
        <v>32752</v>
      </c>
      <c r="V3645" t="s">
        <v>6729</v>
      </c>
      <c r="W3645" t="s">
        <v>6730</v>
      </c>
      <c r="X3645" t="s">
        <v>58</v>
      </c>
      <c r="Y3645">
        <v>18</v>
      </c>
      <c r="Z3645" t="s">
        <v>59</v>
      </c>
      <c r="AA3645" t="s">
        <v>59</v>
      </c>
      <c r="AB3645" t="s">
        <v>59</v>
      </c>
      <c r="AC3645" t="s">
        <v>59</v>
      </c>
      <c r="AD3645" t="s">
        <v>59</v>
      </c>
      <c r="AF3645" s="1">
        <v>32756</v>
      </c>
      <c r="AG3645" t="s">
        <v>137</v>
      </c>
      <c r="AH3645" t="s">
        <v>138</v>
      </c>
      <c r="AI3645" t="str">
        <f>"5040090"</f>
        <v>5040090</v>
      </c>
      <c r="AJ3645" t="s">
        <v>6757</v>
      </c>
      <c r="AK3645">
        <v>2822022275</v>
      </c>
      <c r="AL3645" t="s">
        <v>6758</v>
      </c>
      <c r="AM3645" t="s">
        <v>88</v>
      </c>
      <c r="AN3645" t="s">
        <v>6744</v>
      </c>
      <c r="AO3645" t="s">
        <v>6744</v>
      </c>
      <c r="AP3645" t="s">
        <v>6744</v>
      </c>
      <c r="AQ3645">
        <v>1</v>
      </c>
      <c r="AR3645" t="s">
        <v>6729</v>
      </c>
      <c r="AS3645" t="s">
        <v>6730</v>
      </c>
      <c r="AT3645" t="s">
        <v>58</v>
      </c>
      <c r="AU3645" t="s">
        <v>68</v>
      </c>
      <c r="AV3645" t="s">
        <v>69</v>
      </c>
      <c r="AW3645" s="1">
        <v>21556</v>
      </c>
      <c r="AX3645">
        <v>2</v>
      </c>
    </row>
    <row r="3646" spans="1:50">
      <c r="A3646">
        <v>169578</v>
      </c>
      <c r="B3646" t="str">
        <f>"036939570"</f>
        <v>036939570</v>
      </c>
      <c r="C3646" t="s">
        <v>50</v>
      </c>
      <c r="D3646" t="s">
        <v>7004</v>
      </c>
      <c r="E3646" t="s">
        <v>237</v>
      </c>
      <c r="F3646" t="s">
        <v>995</v>
      </c>
      <c r="G3646" t="s">
        <v>3802</v>
      </c>
      <c r="H3646" t="str">
        <f>" "</f>
        <v xml:space="preserve"> </v>
      </c>
      <c r="K3646">
        <v>6974930474</v>
      </c>
      <c r="M3646" t="s">
        <v>7005</v>
      </c>
      <c r="N3646" t="s">
        <v>146</v>
      </c>
      <c r="O3646" t="s">
        <v>147</v>
      </c>
      <c r="R3646" t="s">
        <v>57</v>
      </c>
      <c r="S3646">
        <v>13</v>
      </c>
      <c r="T3646">
        <v>184</v>
      </c>
      <c r="U3646" s="1">
        <v>34941</v>
      </c>
      <c r="V3646" t="s">
        <v>6729</v>
      </c>
      <c r="W3646" t="s">
        <v>6730</v>
      </c>
      <c r="X3646" t="s">
        <v>58</v>
      </c>
      <c r="Y3646">
        <v>18</v>
      </c>
      <c r="Z3646" t="s">
        <v>59</v>
      </c>
      <c r="AA3646" t="s">
        <v>59</v>
      </c>
      <c r="AB3646" t="s">
        <v>59</v>
      </c>
      <c r="AC3646" t="s">
        <v>59</v>
      </c>
      <c r="AD3646" t="s">
        <v>59</v>
      </c>
      <c r="AF3646" s="1">
        <v>34943</v>
      </c>
      <c r="AG3646" t="s">
        <v>148</v>
      </c>
      <c r="AH3646" t="s">
        <v>1053</v>
      </c>
      <c r="AI3646" t="str">
        <f>"5051015"</f>
        <v>5051015</v>
      </c>
      <c r="AJ3646" t="s">
        <v>6865</v>
      </c>
      <c r="AK3646">
        <v>2821043770</v>
      </c>
      <c r="AL3646" t="s">
        <v>6866</v>
      </c>
      <c r="AM3646" t="s">
        <v>88</v>
      </c>
      <c r="AN3646" t="s">
        <v>88</v>
      </c>
      <c r="AO3646" t="s">
        <v>88</v>
      </c>
      <c r="AP3646" t="s">
        <v>88</v>
      </c>
      <c r="AQ3646">
        <v>1</v>
      </c>
      <c r="AR3646" t="s">
        <v>6729</v>
      </c>
      <c r="AS3646" t="s">
        <v>6730</v>
      </c>
      <c r="AT3646" t="s">
        <v>58</v>
      </c>
      <c r="AU3646" t="s">
        <v>68</v>
      </c>
      <c r="AV3646" t="s">
        <v>69</v>
      </c>
      <c r="AW3646" s="1">
        <v>23159</v>
      </c>
      <c r="AX3646">
        <v>2</v>
      </c>
    </row>
    <row r="3647" spans="1:50">
      <c r="A3647">
        <v>203011</v>
      </c>
      <c r="B3647" t="str">
        <f>"054567810"</f>
        <v>054567810</v>
      </c>
      <c r="C3647" t="s">
        <v>105</v>
      </c>
      <c r="D3647" t="s">
        <v>919</v>
      </c>
      <c r="E3647" t="s">
        <v>166</v>
      </c>
      <c r="F3647" t="s">
        <v>72</v>
      </c>
      <c r="G3647" t="s">
        <v>1068</v>
      </c>
      <c r="H3647" t="str">
        <f>"ΜΙΚΡΑΣ ΑΣΙΑΣ 39 ΠΑΣΑΚΑΚΙ"</f>
        <v>ΜΙΚΡΑΣ ΑΣΙΑΣ 39 ΠΑΣΑΚΑΚΙ</v>
      </c>
      <c r="I3647">
        <v>73300</v>
      </c>
      <c r="J3647">
        <v>2821095059</v>
      </c>
      <c r="K3647">
        <v>6976992429</v>
      </c>
      <c r="M3647" t="s">
        <v>7006</v>
      </c>
      <c r="N3647" t="s">
        <v>478</v>
      </c>
      <c r="O3647" t="s">
        <v>479</v>
      </c>
      <c r="R3647" t="s">
        <v>57</v>
      </c>
      <c r="S3647">
        <v>7</v>
      </c>
      <c r="T3647">
        <v>231</v>
      </c>
      <c r="U3647" s="1">
        <v>38230</v>
      </c>
      <c r="V3647" t="s">
        <v>6729</v>
      </c>
      <c r="W3647" t="s">
        <v>6730</v>
      </c>
      <c r="X3647" t="s">
        <v>58</v>
      </c>
      <c r="Y3647">
        <v>20</v>
      </c>
      <c r="Z3647" t="s">
        <v>59</v>
      </c>
      <c r="AA3647" t="s">
        <v>59</v>
      </c>
      <c r="AB3647" t="s">
        <v>59</v>
      </c>
      <c r="AC3647" t="s">
        <v>59</v>
      </c>
      <c r="AD3647" t="s">
        <v>59</v>
      </c>
      <c r="AF3647" s="1">
        <v>38231</v>
      </c>
      <c r="AG3647" t="s">
        <v>137</v>
      </c>
      <c r="AH3647" t="s">
        <v>138</v>
      </c>
      <c r="AI3647" t="str">
        <f>"5040080"</f>
        <v>5040080</v>
      </c>
      <c r="AJ3647" t="s">
        <v>6753</v>
      </c>
      <c r="AK3647">
        <v>2821093155</v>
      </c>
      <c r="AL3647" t="s">
        <v>6754</v>
      </c>
      <c r="AM3647" t="s">
        <v>88</v>
      </c>
      <c r="AN3647" t="s">
        <v>88</v>
      </c>
      <c r="AO3647" t="s">
        <v>6733</v>
      </c>
      <c r="AP3647" t="s">
        <v>6755</v>
      </c>
      <c r="AQ3647">
        <v>1</v>
      </c>
      <c r="AR3647" t="s">
        <v>6729</v>
      </c>
      <c r="AS3647" t="s">
        <v>6730</v>
      </c>
      <c r="AT3647" t="s">
        <v>58</v>
      </c>
      <c r="AU3647" t="s">
        <v>68</v>
      </c>
      <c r="AV3647" t="s">
        <v>69</v>
      </c>
      <c r="AW3647" s="1">
        <v>24374</v>
      </c>
      <c r="AX3647">
        <v>2</v>
      </c>
    </row>
    <row r="3648" spans="1:50">
      <c r="A3648">
        <v>208422</v>
      </c>
      <c r="B3648" t="str">
        <f>"072476250"</f>
        <v>072476250</v>
      </c>
      <c r="C3648" t="s">
        <v>50</v>
      </c>
      <c r="D3648" t="s">
        <v>926</v>
      </c>
      <c r="E3648" t="s">
        <v>54</v>
      </c>
      <c r="F3648" t="s">
        <v>92</v>
      </c>
      <c r="G3648" t="s">
        <v>255</v>
      </c>
      <c r="H3648" t="str">
        <f>"Γ. ΠΑΡΔΑΛΗ 28 ΝΕΑ ΧΩΡΑ"</f>
        <v>Γ. ΠΑΡΔΑΛΗ 28 ΝΕΑ ΧΩΡΑ</v>
      </c>
      <c r="I3648">
        <v>73131</v>
      </c>
      <c r="J3648">
        <v>2821086423</v>
      </c>
      <c r="K3648">
        <v>6976167818</v>
      </c>
      <c r="M3648" t="s">
        <v>7007</v>
      </c>
      <c r="N3648" t="s">
        <v>257</v>
      </c>
      <c r="O3648" t="s">
        <v>258</v>
      </c>
      <c r="P3648" t="s">
        <v>1116</v>
      </c>
      <c r="Q3648" t="s">
        <v>1117</v>
      </c>
      <c r="R3648" t="s">
        <v>57</v>
      </c>
      <c r="S3648">
        <v>8</v>
      </c>
      <c r="T3648">
        <v>218</v>
      </c>
      <c r="U3648" s="1">
        <v>38596</v>
      </c>
      <c r="V3648" t="s">
        <v>6729</v>
      </c>
      <c r="W3648" t="s">
        <v>6730</v>
      </c>
      <c r="X3648" t="s">
        <v>58</v>
      </c>
      <c r="Y3648">
        <v>20</v>
      </c>
      <c r="Z3648" t="s">
        <v>59</v>
      </c>
      <c r="AA3648" t="s">
        <v>59</v>
      </c>
      <c r="AB3648" t="s">
        <v>59</v>
      </c>
      <c r="AC3648" t="s">
        <v>59</v>
      </c>
      <c r="AD3648" t="s">
        <v>59</v>
      </c>
      <c r="AF3648" s="1">
        <v>38600</v>
      </c>
      <c r="AG3648" t="s">
        <v>125</v>
      </c>
      <c r="AH3648" t="s">
        <v>126</v>
      </c>
      <c r="AI3648" t="str">
        <f>"5006010"</f>
        <v>5006010</v>
      </c>
      <c r="AJ3648" t="s">
        <v>7008</v>
      </c>
      <c r="AK3648">
        <v>2824031620</v>
      </c>
      <c r="AL3648" t="s">
        <v>7009</v>
      </c>
      <c r="AM3648" t="s">
        <v>88</v>
      </c>
      <c r="AN3648" t="s">
        <v>6764</v>
      </c>
      <c r="AO3648" t="s">
        <v>6765</v>
      </c>
      <c r="AP3648" t="s">
        <v>6765</v>
      </c>
      <c r="AQ3648">
        <v>1</v>
      </c>
      <c r="AR3648" t="s">
        <v>6729</v>
      </c>
      <c r="AS3648" t="s">
        <v>6730</v>
      </c>
      <c r="AT3648" t="s">
        <v>58</v>
      </c>
      <c r="AU3648" t="s">
        <v>68</v>
      </c>
      <c r="AV3648" t="s">
        <v>69</v>
      </c>
      <c r="AW3648" s="1">
        <v>25124</v>
      </c>
      <c r="AX3648">
        <v>2</v>
      </c>
    </row>
    <row r="3649" spans="1:50">
      <c r="A3649">
        <v>227829</v>
      </c>
      <c r="B3649" t="str">
        <f>"059433358"</f>
        <v>059433358</v>
      </c>
      <c r="C3649" t="s">
        <v>105</v>
      </c>
      <c r="D3649" t="s">
        <v>7010</v>
      </c>
      <c r="E3649" t="s">
        <v>84</v>
      </c>
      <c r="F3649" t="s">
        <v>92</v>
      </c>
      <c r="G3649" t="s">
        <v>868</v>
      </c>
      <c r="H3649" t="str">
        <f>"ΔΗΜΗΤΡΑΚΑΚΗ 17 ΧΑΝΙΑ"</f>
        <v>ΔΗΜΗΤΡΑΚΑΚΗ 17 ΧΑΝΙΑ</v>
      </c>
      <c r="I3649">
        <v>73100</v>
      </c>
      <c r="J3649">
        <v>2821053902</v>
      </c>
      <c r="K3649">
        <v>6977774661</v>
      </c>
      <c r="M3649" t="s">
        <v>7011</v>
      </c>
      <c r="N3649" t="s">
        <v>176</v>
      </c>
      <c r="O3649" t="s">
        <v>177</v>
      </c>
      <c r="R3649" t="s">
        <v>57</v>
      </c>
      <c r="S3649">
        <v>7</v>
      </c>
      <c r="T3649">
        <v>654</v>
      </c>
      <c r="U3649" s="1">
        <v>40043</v>
      </c>
      <c r="V3649" t="s">
        <v>6729</v>
      </c>
      <c r="W3649" t="s">
        <v>6730</v>
      </c>
      <c r="X3649" t="s">
        <v>58</v>
      </c>
      <c r="Y3649">
        <v>20</v>
      </c>
      <c r="Z3649" t="s">
        <v>59</v>
      </c>
      <c r="AA3649" t="s">
        <v>59</v>
      </c>
      <c r="AB3649" t="s">
        <v>59</v>
      </c>
      <c r="AC3649" t="s">
        <v>59</v>
      </c>
      <c r="AD3649" t="s">
        <v>59</v>
      </c>
      <c r="AF3649" s="1">
        <v>40043</v>
      </c>
      <c r="AG3649" t="s">
        <v>148</v>
      </c>
      <c r="AH3649" t="s">
        <v>149</v>
      </c>
      <c r="AI3649" t="str">
        <f>"5059010"</f>
        <v>5059010</v>
      </c>
      <c r="AJ3649" t="s">
        <v>6883</v>
      </c>
      <c r="AK3649">
        <v>2821077166</v>
      </c>
      <c r="AL3649" t="s">
        <v>6884</v>
      </c>
      <c r="AM3649" t="s">
        <v>88</v>
      </c>
      <c r="AN3649" t="s">
        <v>6764</v>
      </c>
      <c r="AO3649" t="s">
        <v>6885</v>
      </c>
      <c r="AP3649" t="s">
        <v>6886</v>
      </c>
      <c r="AQ3649">
        <v>1</v>
      </c>
      <c r="AR3649" t="s">
        <v>6729</v>
      </c>
      <c r="AS3649" t="s">
        <v>6730</v>
      </c>
      <c r="AT3649" t="s">
        <v>58</v>
      </c>
      <c r="AU3649" t="s">
        <v>68</v>
      </c>
      <c r="AV3649" t="s">
        <v>132</v>
      </c>
      <c r="AW3649" s="1">
        <v>24826</v>
      </c>
      <c r="AX3649">
        <v>2</v>
      </c>
    </row>
    <row r="3650" spans="1:50">
      <c r="A3650">
        <v>182713</v>
      </c>
      <c r="B3650" t="str">
        <f>"079110075"</f>
        <v>079110075</v>
      </c>
      <c r="C3650" t="s">
        <v>105</v>
      </c>
      <c r="D3650" t="s">
        <v>7012</v>
      </c>
      <c r="E3650" t="s">
        <v>72</v>
      </c>
      <c r="F3650" t="s">
        <v>99</v>
      </c>
      <c r="G3650" t="s">
        <v>7013</v>
      </c>
      <c r="H3650" t="str">
        <f>" "</f>
        <v xml:space="preserve"> </v>
      </c>
      <c r="K3650">
        <v>6971931783</v>
      </c>
      <c r="M3650" t="s">
        <v>7014</v>
      </c>
      <c r="N3650" t="s">
        <v>246</v>
      </c>
      <c r="O3650" t="s">
        <v>247</v>
      </c>
      <c r="R3650" t="s">
        <v>57</v>
      </c>
      <c r="S3650">
        <v>11</v>
      </c>
      <c r="T3650">
        <v>249</v>
      </c>
      <c r="U3650" s="1">
        <v>36160</v>
      </c>
      <c r="V3650" t="s">
        <v>6729</v>
      </c>
      <c r="W3650" t="s">
        <v>6730</v>
      </c>
      <c r="X3650" t="s">
        <v>58</v>
      </c>
      <c r="Y3650">
        <v>20</v>
      </c>
      <c r="Z3650" t="s">
        <v>59</v>
      </c>
      <c r="AA3650" t="s">
        <v>59</v>
      </c>
      <c r="AB3650" t="s">
        <v>59</v>
      </c>
      <c r="AC3650" t="s">
        <v>59</v>
      </c>
      <c r="AD3650" t="s">
        <v>59</v>
      </c>
      <c r="AF3650" s="1">
        <v>36168</v>
      </c>
      <c r="AG3650" t="s">
        <v>148</v>
      </c>
      <c r="AH3650" t="s">
        <v>149</v>
      </c>
      <c r="AI3650" t="str">
        <f>"5090080"</f>
        <v>5090080</v>
      </c>
      <c r="AJ3650" t="s">
        <v>6906</v>
      </c>
      <c r="AK3650">
        <v>2821096638</v>
      </c>
      <c r="AL3650" t="s">
        <v>6907</v>
      </c>
      <c r="AM3650" t="s">
        <v>88</v>
      </c>
      <c r="AN3650" t="s">
        <v>88</v>
      </c>
      <c r="AO3650" t="s">
        <v>88</v>
      </c>
      <c r="AP3650" t="s">
        <v>88</v>
      </c>
      <c r="AQ3650">
        <v>1</v>
      </c>
      <c r="AR3650" t="s">
        <v>6729</v>
      </c>
      <c r="AS3650" t="s">
        <v>6730</v>
      </c>
      <c r="AT3650" t="s">
        <v>58</v>
      </c>
      <c r="AU3650" t="s">
        <v>68</v>
      </c>
      <c r="AV3650" t="s">
        <v>69</v>
      </c>
      <c r="AW3650" s="1">
        <v>26053</v>
      </c>
      <c r="AX3650">
        <v>2</v>
      </c>
    </row>
    <row r="3651" spans="1:50">
      <c r="A3651">
        <v>223297</v>
      </c>
      <c r="B3651" t="str">
        <f>"063878160"</f>
        <v>063878160</v>
      </c>
      <c r="C3651" t="s">
        <v>50</v>
      </c>
      <c r="D3651" t="s">
        <v>7015</v>
      </c>
      <c r="E3651" t="s">
        <v>83</v>
      </c>
      <c r="F3651" t="s">
        <v>72</v>
      </c>
      <c r="G3651" t="s">
        <v>237</v>
      </c>
      <c r="H3651" t="str">
        <f>"ΜΕΛΕΤΙΟΥ ΠΗΓΑ 18-20 ΧΑΝΙΑ"</f>
        <v>ΜΕΛΕΤΙΟΥ ΠΗΓΑ 18-20 ΧΑΝΙΑ</v>
      </c>
      <c r="I3651">
        <v>73100</v>
      </c>
      <c r="J3651">
        <v>2821036018</v>
      </c>
      <c r="K3651">
        <v>6974740146</v>
      </c>
      <c r="M3651" t="s">
        <v>7016</v>
      </c>
      <c r="N3651" t="s">
        <v>232</v>
      </c>
      <c r="O3651" t="s">
        <v>233</v>
      </c>
      <c r="R3651" t="s">
        <v>57</v>
      </c>
      <c r="S3651">
        <v>6</v>
      </c>
      <c r="T3651">
        <v>775</v>
      </c>
      <c r="U3651" s="1">
        <v>39680</v>
      </c>
      <c r="V3651" t="s">
        <v>6729</v>
      </c>
      <c r="W3651" t="s">
        <v>6730</v>
      </c>
      <c r="X3651" t="s">
        <v>58</v>
      </c>
      <c r="Y3651">
        <v>20</v>
      </c>
      <c r="Z3651" t="s">
        <v>59</v>
      </c>
      <c r="AA3651" t="s">
        <v>59</v>
      </c>
      <c r="AB3651" t="s">
        <v>59</v>
      </c>
      <c r="AC3651" t="s">
        <v>59</v>
      </c>
      <c r="AD3651" t="s">
        <v>59</v>
      </c>
      <c r="AF3651" s="1">
        <v>39681</v>
      </c>
      <c r="AG3651" t="s">
        <v>137</v>
      </c>
      <c r="AH3651" t="s">
        <v>138</v>
      </c>
      <c r="AI3651" t="str">
        <f>"5050065"</f>
        <v>5050065</v>
      </c>
      <c r="AJ3651" t="s">
        <v>6822</v>
      </c>
      <c r="AK3651">
        <v>2823022234</v>
      </c>
      <c r="AL3651" t="s">
        <v>6823</v>
      </c>
      <c r="AM3651" t="s">
        <v>88</v>
      </c>
      <c r="AN3651" t="s">
        <v>6824</v>
      </c>
      <c r="AO3651" t="s">
        <v>6825</v>
      </c>
      <c r="AP3651" t="s">
        <v>6826</v>
      </c>
      <c r="AQ3651">
        <v>1</v>
      </c>
      <c r="AR3651" t="s">
        <v>6729</v>
      </c>
      <c r="AS3651" t="s">
        <v>6730</v>
      </c>
      <c r="AT3651" t="s">
        <v>58</v>
      </c>
      <c r="AU3651" t="s">
        <v>68</v>
      </c>
      <c r="AV3651" t="s">
        <v>69</v>
      </c>
      <c r="AW3651" s="1">
        <v>25230</v>
      </c>
      <c r="AX3651">
        <v>2</v>
      </c>
    </row>
    <row r="3652" spans="1:50">
      <c r="A3652">
        <v>226967</v>
      </c>
      <c r="B3652" t="str">
        <f>"079644663"</f>
        <v>079644663</v>
      </c>
      <c r="C3652" t="s">
        <v>50</v>
      </c>
      <c r="D3652" t="s">
        <v>7015</v>
      </c>
      <c r="E3652" t="s">
        <v>1740</v>
      </c>
      <c r="F3652" t="s">
        <v>166</v>
      </c>
      <c r="G3652" t="s">
        <v>7017</v>
      </c>
      <c r="H3652" t="str">
        <f>"ΑΚΡΩΤΗΡΙΟΥ 65 ΧΑΝΙΑ"</f>
        <v>ΑΚΡΩΤΗΡΙΟΥ 65 ΧΑΝΙΑ</v>
      </c>
      <c r="I3652">
        <v>73200</v>
      </c>
      <c r="J3652">
        <v>2821089068</v>
      </c>
      <c r="K3652">
        <v>6976080518</v>
      </c>
      <c r="M3652" t="s">
        <v>7018</v>
      </c>
      <c r="N3652" t="s">
        <v>292</v>
      </c>
      <c r="O3652" t="s">
        <v>293</v>
      </c>
      <c r="R3652" t="s">
        <v>57</v>
      </c>
      <c r="S3652">
        <v>7</v>
      </c>
      <c r="T3652">
        <v>654</v>
      </c>
      <c r="U3652" s="1">
        <v>40043</v>
      </c>
      <c r="V3652" t="s">
        <v>6729</v>
      </c>
      <c r="W3652" t="s">
        <v>6730</v>
      </c>
      <c r="X3652" t="s">
        <v>58</v>
      </c>
      <c r="Y3652">
        <v>20</v>
      </c>
      <c r="Z3652" t="s">
        <v>59</v>
      </c>
      <c r="AA3652" t="s">
        <v>59</v>
      </c>
      <c r="AB3652" t="s">
        <v>59</v>
      </c>
      <c r="AC3652" t="s">
        <v>59</v>
      </c>
      <c r="AD3652" t="s">
        <v>59</v>
      </c>
      <c r="AF3652" s="1">
        <v>40044</v>
      </c>
      <c r="AG3652" t="s">
        <v>125</v>
      </c>
      <c r="AH3652" t="s">
        <v>126</v>
      </c>
      <c r="AI3652" t="str">
        <f>"5002010"</f>
        <v>5002010</v>
      </c>
      <c r="AJ3652" t="s">
        <v>6773</v>
      </c>
      <c r="AK3652">
        <v>2825022249</v>
      </c>
      <c r="AL3652" t="s">
        <v>6774</v>
      </c>
      <c r="AM3652" t="s">
        <v>88</v>
      </c>
      <c r="AN3652" t="s">
        <v>6775</v>
      </c>
      <c r="AO3652" t="s">
        <v>6776</v>
      </c>
      <c r="AP3652" t="s">
        <v>6776</v>
      </c>
      <c r="AQ3652">
        <v>1</v>
      </c>
      <c r="AR3652" t="s">
        <v>6729</v>
      </c>
      <c r="AS3652" t="s">
        <v>6730</v>
      </c>
      <c r="AT3652" t="s">
        <v>58</v>
      </c>
      <c r="AU3652" t="s">
        <v>68</v>
      </c>
      <c r="AV3652" t="s">
        <v>69</v>
      </c>
      <c r="AW3652" s="1">
        <v>27340</v>
      </c>
      <c r="AX3652">
        <v>2</v>
      </c>
    </row>
    <row r="3653" spans="1:50">
      <c r="B3653" t="str">
        <f>"107992543"</f>
        <v>107992543</v>
      </c>
      <c r="C3653" t="s">
        <v>50</v>
      </c>
      <c r="D3653" t="s">
        <v>7019</v>
      </c>
      <c r="E3653" t="s">
        <v>155</v>
      </c>
      <c r="F3653" t="s">
        <v>53</v>
      </c>
      <c r="G3653" t="s">
        <v>255</v>
      </c>
      <c r="H3653" t="str">
        <f>"ΨΑΡΡΩΝ 3 "</f>
        <v xml:space="preserve">ΨΑΡΡΩΝ 3 </v>
      </c>
      <c r="I3653">
        <v>15562</v>
      </c>
      <c r="J3653">
        <v>2106548502</v>
      </c>
      <c r="K3653">
        <v>6978764462</v>
      </c>
      <c r="N3653" t="s">
        <v>536</v>
      </c>
      <c r="O3653" t="s">
        <v>537</v>
      </c>
      <c r="R3653" t="s">
        <v>159</v>
      </c>
      <c r="S3653">
        <v>4</v>
      </c>
      <c r="T3653" t="s">
        <v>344</v>
      </c>
      <c r="U3653" s="1">
        <v>43348</v>
      </c>
      <c r="V3653" t="s">
        <v>6729</v>
      </c>
      <c r="W3653" t="s">
        <v>6730</v>
      </c>
      <c r="X3653" t="s">
        <v>58</v>
      </c>
      <c r="Y3653">
        <v>23</v>
      </c>
      <c r="Z3653" t="s">
        <v>59</v>
      </c>
      <c r="AA3653" t="s">
        <v>59</v>
      </c>
      <c r="AB3653" t="s">
        <v>59</v>
      </c>
      <c r="AC3653" t="s">
        <v>59</v>
      </c>
      <c r="AD3653" t="s">
        <v>59</v>
      </c>
      <c r="AF3653" s="1">
        <v>43348</v>
      </c>
      <c r="AG3653" t="s">
        <v>125</v>
      </c>
      <c r="AH3653" t="s">
        <v>126</v>
      </c>
      <c r="AI3653" t="str">
        <f>"5011010"</f>
        <v>5011010</v>
      </c>
      <c r="AJ3653" t="s">
        <v>6877</v>
      </c>
      <c r="AK3653">
        <v>2821081330</v>
      </c>
      <c r="AL3653" t="s">
        <v>6878</v>
      </c>
      <c r="AM3653" t="s">
        <v>88</v>
      </c>
      <c r="AN3653" t="s">
        <v>88</v>
      </c>
      <c r="AO3653" t="s">
        <v>6748</v>
      </c>
      <c r="AP3653" t="s">
        <v>6748</v>
      </c>
      <c r="AQ3653">
        <v>1</v>
      </c>
      <c r="AR3653" t="s">
        <v>6729</v>
      </c>
      <c r="AS3653" t="s">
        <v>6730</v>
      </c>
      <c r="AT3653" t="s">
        <v>58</v>
      </c>
      <c r="AU3653" t="s">
        <v>350</v>
      </c>
      <c r="AV3653" t="s">
        <v>132</v>
      </c>
      <c r="AW3653" s="1">
        <v>29484</v>
      </c>
      <c r="AX3653">
        <v>2</v>
      </c>
    </row>
    <row r="3654" spans="1:50">
      <c r="A3654">
        <v>166629</v>
      </c>
      <c r="B3654" t="str">
        <f>"035963130"</f>
        <v>035963130</v>
      </c>
      <c r="C3654" t="s">
        <v>105</v>
      </c>
      <c r="D3654" t="s">
        <v>7020</v>
      </c>
      <c r="E3654" t="s">
        <v>106</v>
      </c>
      <c r="F3654" t="s">
        <v>72</v>
      </c>
      <c r="G3654" t="s">
        <v>52</v>
      </c>
      <c r="H3654" t="str">
        <f>" "</f>
        <v xml:space="preserve"> </v>
      </c>
      <c r="J3654">
        <v>2821040041</v>
      </c>
      <c r="K3654">
        <v>6936845315</v>
      </c>
      <c r="M3654" t="s">
        <v>7021</v>
      </c>
      <c r="N3654" t="s">
        <v>176</v>
      </c>
      <c r="O3654" t="s">
        <v>177</v>
      </c>
      <c r="R3654" t="s">
        <v>57</v>
      </c>
      <c r="S3654">
        <v>14</v>
      </c>
      <c r="T3654">
        <v>137</v>
      </c>
      <c r="U3654" s="1">
        <v>34206</v>
      </c>
      <c r="V3654" t="s">
        <v>6729</v>
      </c>
      <c r="W3654" t="s">
        <v>6730</v>
      </c>
      <c r="X3654" t="s">
        <v>58</v>
      </c>
      <c r="Y3654">
        <v>18</v>
      </c>
      <c r="Z3654" t="s">
        <v>59</v>
      </c>
      <c r="AA3654" t="s">
        <v>59</v>
      </c>
      <c r="AB3654" t="s">
        <v>59</v>
      </c>
      <c r="AC3654" t="s">
        <v>59</v>
      </c>
      <c r="AD3654" t="s">
        <v>59</v>
      </c>
      <c r="AF3654" s="1">
        <v>34218</v>
      </c>
      <c r="AG3654" t="s">
        <v>148</v>
      </c>
      <c r="AH3654" t="s">
        <v>149</v>
      </c>
      <c r="AI3654" t="str">
        <f>"5051050"</f>
        <v>5051050</v>
      </c>
      <c r="AJ3654" t="s">
        <v>6861</v>
      </c>
      <c r="AK3654">
        <v>2821044860</v>
      </c>
      <c r="AL3654" t="s">
        <v>6862</v>
      </c>
      <c r="AM3654" t="s">
        <v>88</v>
      </c>
      <c r="AN3654" t="s">
        <v>88</v>
      </c>
      <c r="AO3654" t="s">
        <v>88</v>
      </c>
      <c r="AP3654" t="s">
        <v>88</v>
      </c>
      <c r="AQ3654">
        <v>1</v>
      </c>
      <c r="AR3654" t="s">
        <v>6729</v>
      </c>
      <c r="AS3654" t="s">
        <v>6730</v>
      </c>
      <c r="AT3654" t="s">
        <v>58</v>
      </c>
      <c r="AU3654" t="s">
        <v>68</v>
      </c>
      <c r="AV3654" t="s">
        <v>69</v>
      </c>
      <c r="AW3654" s="1">
        <v>22581</v>
      </c>
      <c r="AX3654">
        <v>2</v>
      </c>
    </row>
    <row r="3655" spans="1:50">
      <c r="A3655">
        <v>183123</v>
      </c>
      <c r="B3655" t="str">
        <f>"052280297"</f>
        <v>052280297</v>
      </c>
      <c r="C3655" t="s">
        <v>105</v>
      </c>
      <c r="D3655" t="s">
        <v>7022</v>
      </c>
      <c r="E3655" t="s">
        <v>154</v>
      </c>
      <c r="F3655" t="s">
        <v>95</v>
      </c>
      <c r="G3655" t="s">
        <v>507</v>
      </c>
      <c r="H3655" t="str">
        <f>" "</f>
        <v xml:space="preserve"> </v>
      </c>
      <c r="J3655">
        <v>2392110189</v>
      </c>
      <c r="K3655">
        <v>6976919252</v>
      </c>
      <c r="M3655" t="s">
        <v>7023</v>
      </c>
      <c r="N3655" t="s">
        <v>157</v>
      </c>
      <c r="O3655" t="s">
        <v>158</v>
      </c>
      <c r="R3655" t="s">
        <v>57</v>
      </c>
      <c r="S3655">
        <v>9</v>
      </c>
      <c r="T3655">
        <v>177</v>
      </c>
      <c r="U3655" s="1">
        <v>36403</v>
      </c>
      <c r="V3655" t="s">
        <v>6729</v>
      </c>
      <c r="W3655" t="s">
        <v>6730</v>
      </c>
      <c r="X3655" t="s">
        <v>58</v>
      </c>
      <c r="Y3655">
        <v>20</v>
      </c>
      <c r="Z3655" t="s">
        <v>59</v>
      </c>
      <c r="AA3655" t="s">
        <v>59</v>
      </c>
      <c r="AB3655" t="s">
        <v>59</v>
      </c>
      <c r="AC3655" t="s">
        <v>59</v>
      </c>
      <c r="AD3655" t="s">
        <v>59</v>
      </c>
      <c r="AF3655" s="1">
        <v>36404</v>
      </c>
      <c r="AG3655" t="s">
        <v>137</v>
      </c>
      <c r="AH3655" t="s">
        <v>138</v>
      </c>
      <c r="AI3655" t="str">
        <f>"5050060"</f>
        <v>5050060</v>
      </c>
      <c r="AJ3655" t="s">
        <v>6801</v>
      </c>
      <c r="AK3655">
        <v>2821091515</v>
      </c>
      <c r="AL3655" t="s">
        <v>6802</v>
      </c>
      <c r="AM3655" t="s">
        <v>88</v>
      </c>
      <c r="AN3655" t="s">
        <v>88</v>
      </c>
      <c r="AO3655" t="s">
        <v>88</v>
      </c>
      <c r="AP3655" t="s">
        <v>88</v>
      </c>
      <c r="AQ3655">
        <v>1</v>
      </c>
      <c r="AR3655" t="s">
        <v>6729</v>
      </c>
      <c r="AS3655" t="s">
        <v>6730</v>
      </c>
      <c r="AT3655" t="s">
        <v>58</v>
      </c>
      <c r="AU3655" t="s">
        <v>68</v>
      </c>
      <c r="AV3655" t="s">
        <v>69</v>
      </c>
      <c r="AW3655" s="1">
        <v>23191</v>
      </c>
      <c r="AX3655">
        <v>2</v>
      </c>
    </row>
    <row r="3656" spans="1:50">
      <c r="A3656">
        <v>218353</v>
      </c>
      <c r="B3656" t="str">
        <f>"118484474"</f>
        <v>118484474</v>
      </c>
      <c r="C3656" t="s">
        <v>50</v>
      </c>
      <c r="D3656" t="s">
        <v>4676</v>
      </c>
      <c r="E3656" t="s">
        <v>109</v>
      </c>
      <c r="F3656" t="s">
        <v>95</v>
      </c>
      <c r="G3656" t="s">
        <v>396</v>
      </c>
      <c r="H3656" t="str">
        <f>"ΠΗΓΗ ΠΟΛΥ ΝΕΡΟΥ ΤΣΙΚΑΛΑΡΙΑ ΣΟΥΔΑ"</f>
        <v>ΠΗΓΗ ΠΟΛΥ ΝΕΡΟΥ ΤΣΙΚΑΛΑΡΙΑ ΣΟΥΔΑ</v>
      </c>
      <c r="I3656">
        <v>73200</v>
      </c>
      <c r="J3656">
        <v>2821080260</v>
      </c>
      <c r="K3656">
        <v>6946006172</v>
      </c>
      <c r="N3656" t="s">
        <v>232</v>
      </c>
      <c r="O3656" t="s">
        <v>233</v>
      </c>
      <c r="R3656" t="s">
        <v>57</v>
      </c>
      <c r="S3656">
        <v>6</v>
      </c>
      <c r="T3656">
        <v>599</v>
      </c>
      <c r="U3656" s="1">
        <v>39310</v>
      </c>
      <c r="V3656" t="s">
        <v>6729</v>
      </c>
      <c r="W3656" t="s">
        <v>6730</v>
      </c>
      <c r="X3656" t="s">
        <v>58</v>
      </c>
      <c r="Y3656">
        <v>20</v>
      </c>
      <c r="Z3656" t="s">
        <v>59</v>
      </c>
      <c r="AA3656" t="s">
        <v>59</v>
      </c>
      <c r="AB3656" t="s">
        <v>59</v>
      </c>
      <c r="AC3656" t="s">
        <v>59</v>
      </c>
      <c r="AD3656" t="s">
        <v>59</v>
      </c>
      <c r="AF3656" s="1">
        <v>39328</v>
      </c>
      <c r="AG3656" t="s">
        <v>148</v>
      </c>
      <c r="AH3656" t="s">
        <v>149</v>
      </c>
      <c r="AI3656" t="str">
        <f>"5056010"</f>
        <v>5056010</v>
      </c>
      <c r="AJ3656" t="s">
        <v>6762</v>
      </c>
      <c r="AK3656">
        <v>2824031210</v>
      </c>
      <c r="AL3656" t="s">
        <v>6763</v>
      </c>
      <c r="AM3656" t="s">
        <v>88</v>
      </c>
      <c r="AN3656" t="s">
        <v>6764</v>
      </c>
      <c r="AO3656" t="s">
        <v>6765</v>
      </c>
      <c r="AP3656" t="s">
        <v>6765</v>
      </c>
      <c r="AQ3656">
        <v>1</v>
      </c>
      <c r="AR3656" t="s">
        <v>6729</v>
      </c>
      <c r="AS3656" t="s">
        <v>6730</v>
      </c>
      <c r="AT3656" t="s">
        <v>58</v>
      </c>
      <c r="AU3656" t="s">
        <v>68</v>
      </c>
      <c r="AV3656" t="s">
        <v>69</v>
      </c>
      <c r="AW3656" s="1">
        <v>27968</v>
      </c>
      <c r="AX3656">
        <v>2</v>
      </c>
    </row>
    <row r="3657" spans="1:50">
      <c r="A3657">
        <v>175280</v>
      </c>
      <c r="B3657" t="str">
        <f>"043191463"</f>
        <v>043191463</v>
      </c>
      <c r="C3657" t="s">
        <v>50</v>
      </c>
      <c r="D3657" t="s">
        <v>5824</v>
      </c>
      <c r="E3657" t="s">
        <v>109</v>
      </c>
      <c r="F3657" t="s">
        <v>153</v>
      </c>
      <c r="G3657" t="s">
        <v>411</v>
      </c>
      <c r="H3657" t="str">
        <f>" "</f>
        <v xml:space="preserve"> </v>
      </c>
      <c r="J3657">
        <v>2821054280</v>
      </c>
      <c r="K3657">
        <v>6936418841</v>
      </c>
      <c r="M3657" t="s">
        <v>7024</v>
      </c>
      <c r="N3657" t="s">
        <v>146</v>
      </c>
      <c r="O3657" t="s">
        <v>147</v>
      </c>
      <c r="R3657" t="s">
        <v>57</v>
      </c>
      <c r="S3657">
        <v>11</v>
      </c>
      <c r="T3657">
        <v>180</v>
      </c>
      <c r="U3657" s="1">
        <v>35674</v>
      </c>
      <c r="V3657" t="s">
        <v>6729</v>
      </c>
      <c r="W3657" t="s">
        <v>6730</v>
      </c>
      <c r="X3657" t="s">
        <v>58</v>
      </c>
      <c r="Y3657">
        <v>18</v>
      </c>
      <c r="Z3657" t="s">
        <v>59</v>
      </c>
      <c r="AA3657" t="s">
        <v>59</v>
      </c>
      <c r="AB3657" t="s">
        <v>59</v>
      </c>
      <c r="AC3657" t="s">
        <v>59</v>
      </c>
      <c r="AD3657" t="s">
        <v>59</v>
      </c>
      <c r="AF3657" s="1">
        <v>35675</v>
      </c>
      <c r="AG3657" t="s">
        <v>148</v>
      </c>
      <c r="AH3657" t="s">
        <v>149</v>
      </c>
      <c r="AI3657" t="str">
        <f>"5051030"</f>
        <v>5051030</v>
      </c>
      <c r="AJ3657" t="s">
        <v>6760</v>
      </c>
      <c r="AK3657">
        <v>2821027533</v>
      </c>
      <c r="AL3657" t="s">
        <v>6761</v>
      </c>
      <c r="AM3657" t="s">
        <v>88</v>
      </c>
      <c r="AN3657" t="s">
        <v>88</v>
      </c>
      <c r="AO3657" t="s">
        <v>88</v>
      </c>
      <c r="AP3657" t="s">
        <v>88</v>
      </c>
      <c r="AQ3657">
        <v>1</v>
      </c>
      <c r="AR3657" t="s">
        <v>6729</v>
      </c>
      <c r="AS3657" t="s">
        <v>6730</v>
      </c>
      <c r="AT3657" t="s">
        <v>58</v>
      </c>
      <c r="AU3657" t="s">
        <v>68</v>
      </c>
      <c r="AV3657" t="s">
        <v>69</v>
      </c>
      <c r="AW3657" s="1">
        <v>23754</v>
      </c>
      <c r="AX3657">
        <v>2</v>
      </c>
    </row>
    <row r="3658" spans="1:50">
      <c r="A3658">
        <v>225761</v>
      </c>
      <c r="B3658" t="str">
        <f>"054568067"</f>
        <v>054568067</v>
      </c>
      <c r="C3658" t="s">
        <v>50</v>
      </c>
      <c r="D3658" t="s">
        <v>7025</v>
      </c>
      <c r="E3658" t="s">
        <v>1189</v>
      </c>
      <c r="F3658" t="s">
        <v>4368</v>
      </c>
      <c r="G3658" t="s">
        <v>52</v>
      </c>
      <c r="H3658" t="str">
        <f>"8ης ΔΕΚΕΜΒΡΙΟΥ 38Α "</f>
        <v xml:space="preserve">8ης ΔΕΚΕΜΒΡΙΟΥ 38Α </v>
      </c>
      <c r="I3658">
        <v>73132</v>
      </c>
      <c r="J3658">
        <v>2821054768</v>
      </c>
      <c r="K3658">
        <v>6974651790</v>
      </c>
      <c r="N3658" t="s">
        <v>199</v>
      </c>
      <c r="O3658" t="s">
        <v>200</v>
      </c>
      <c r="R3658" t="s">
        <v>57</v>
      </c>
      <c r="S3658">
        <v>10</v>
      </c>
      <c r="T3658">
        <v>862</v>
      </c>
      <c r="U3658" s="1">
        <v>39706</v>
      </c>
      <c r="V3658" t="s">
        <v>6729</v>
      </c>
      <c r="W3658" t="s">
        <v>6730</v>
      </c>
      <c r="X3658" t="s">
        <v>58</v>
      </c>
      <c r="Y3658">
        <v>21</v>
      </c>
      <c r="Z3658" t="s">
        <v>59</v>
      </c>
      <c r="AA3658" t="s">
        <v>59</v>
      </c>
      <c r="AB3658" t="s">
        <v>59</v>
      </c>
      <c r="AC3658" t="s">
        <v>59</v>
      </c>
      <c r="AD3658" t="s">
        <v>59</v>
      </c>
      <c r="AF3658" s="1">
        <v>39709</v>
      </c>
      <c r="AG3658" t="s">
        <v>125</v>
      </c>
      <c r="AH3658" t="s">
        <v>126</v>
      </c>
      <c r="AI3658" t="str">
        <f>"5012010"</f>
        <v>5012010</v>
      </c>
      <c r="AJ3658" t="s">
        <v>6794</v>
      </c>
      <c r="AK3658">
        <v>2821033195</v>
      </c>
      <c r="AL3658" t="s">
        <v>6795</v>
      </c>
      <c r="AM3658" t="s">
        <v>88</v>
      </c>
      <c r="AN3658" t="s">
        <v>88</v>
      </c>
      <c r="AO3658" t="s">
        <v>6785</v>
      </c>
      <c r="AP3658" t="s">
        <v>6786</v>
      </c>
      <c r="AQ3658">
        <v>1</v>
      </c>
      <c r="AR3658" t="s">
        <v>6729</v>
      </c>
      <c r="AS3658" t="s">
        <v>6730</v>
      </c>
      <c r="AT3658" t="s">
        <v>58</v>
      </c>
      <c r="AU3658" t="s">
        <v>68</v>
      </c>
      <c r="AV3658" t="s">
        <v>69</v>
      </c>
      <c r="AW3658" s="1">
        <v>25874</v>
      </c>
      <c r="AX3658">
        <v>2</v>
      </c>
    </row>
    <row r="3659" spans="1:50">
      <c r="A3659">
        <v>197992</v>
      </c>
      <c r="B3659" t="str">
        <f>"076934697"</f>
        <v>076934697</v>
      </c>
      <c r="C3659" t="s">
        <v>105</v>
      </c>
      <c r="D3659" t="s">
        <v>7026</v>
      </c>
      <c r="E3659" t="s">
        <v>1093</v>
      </c>
      <c r="F3659" t="s">
        <v>4097</v>
      </c>
      <c r="G3659" t="s">
        <v>589</v>
      </c>
      <c r="H3659" t="str">
        <f>" "</f>
        <v xml:space="preserve"> </v>
      </c>
      <c r="J3659">
        <v>2821043385</v>
      </c>
      <c r="K3659">
        <v>6976572762</v>
      </c>
      <c r="N3659" t="s">
        <v>232</v>
      </c>
      <c r="O3659" t="s">
        <v>233</v>
      </c>
      <c r="R3659" t="s">
        <v>57</v>
      </c>
      <c r="S3659">
        <v>7</v>
      </c>
      <c r="T3659">
        <v>206</v>
      </c>
      <c r="U3659" s="1">
        <v>37866</v>
      </c>
      <c r="V3659" t="s">
        <v>6729</v>
      </c>
      <c r="W3659" t="s">
        <v>6730</v>
      </c>
      <c r="X3659" t="s">
        <v>58</v>
      </c>
      <c r="Y3659">
        <v>20</v>
      </c>
      <c r="Z3659" t="s">
        <v>59</v>
      </c>
      <c r="AA3659" t="s">
        <v>59</v>
      </c>
      <c r="AB3659" t="s">
        <v>59</v>
      </c>
      <c r="AC3659" t="s">
        <v>59</v>
      </c>
      <c r="AD3659" t="s">
        <v>59</v>
      </c>
      <c r="AF3659" s="1">
        <v>37866</v>
      </c>
      <c r="AG3659" t="s">
        <v>125</v>
      </c>
      <c r="AH3659" t="s">
        <v>359</v>
      </c>
      <c r="AI3659" t="str">
        <f>"5001015"</f>
        <v>5001015</v>
      </c>
      <c r="AJ3659" t="s">
        <v>7027</v>
      </c>
      <c r="AK3659">
        <v>2821043161</v>
      </c>
      <c r="AL3659" t="s">
        <v>7028</v>
      </c>
      <c r="AM3659" t="s">
        <v>88</v>
      </c>
      <c r="AN3659" t="s">
        <v>88</v>
      </c>
      <c r="AO3659" t="s">
        <v>88</v>
      </c>
      <c r="AP3659" t="s">
        <v>88</v>
      </c>
      <c r="AQ3659">
        <v>1</v>
      </c>
      <c r="AR3659" t="s">
        <v>6729</v>
      </c>
      <c r="AS3659" t="s">
        <v>6730</v>
      </c>
      <c r="AT3659" t="s">
        <v>58</v>
      </c>
      <c r="AU3659" t="s">
        <v>68</v>
      </c>
      <c r="AV3659" t="s">
        <v>69</v>
      </c>
      <c r="AW3659" s="1">
        <v>23336</v>
      </c>
      <c r="AX3659">
        <v>2</v>
      </c>
    </row>
    <row r="3660" spans="1:50">
      <c r="A3660">
        <v>221369</v>
      </c>
      <c r="B3660" t="str">
        <f>"122973844"</f>
        <v>122973844</v>
      </c>
      <c r="C3660" t="s">
        <v>50</v>
      </c>
      <c r="D3660" t="s">
        <v>7029</v>
      </c>
      <c r="E3660" t="s">
        <v>7030</v>
      </c>
      <c r="F3660" t="s">
        <v>106</v>
      </c>
      <c r="G3660" t="s">
        <v>255</v>
      </c>
      <c r="H3660" t="str">
        <f>" "</f>
        <v xml:space="preserve"> </v>
      </c>
      <c r="J3660">
        <v>2821062133</v>
      </c>
      <c r="K3660">
        <v>6974515984</v>
      </c>
      <c r="M3660" t="s">
        <v>7031</v>
      </c>
      <c r="N3660" t="s">
        <v>282</v>
      </c>
      <c r="O3660" t="s">
        <v>283</v>
      </c>
      <c r="R3660" t="s">
        <v>57</v>
      </c>
      <c r="S3660">
        <v>5</v>
      </c>
      <c r="T3660">
        <v>691</v>
      </c>
      <c r="U3660" s="1">
        <v>39331</v>
      </c>
      <c r="V3660" t="s">
        <v>6729</v>
      </c>
      <c r="W3660" t="s">
        <v>6730</v>
      </c>
      <c r="X3660" t="s">
        <v>58</v>
      </c>
      <c r="Y3660">
        <v>21</v>
      </c>
      <c r="Z3660" t="s">
        <v>59</v>
      </c>
      <c r="AA3660" t="s">
        <v>59</v>
      </c>
      <c r="AB3660" t="s">
        <v>59</v>
      </c>
      <c r="AC3660" t="s">
        <v>59</v>
      </c>
      <c r="AD3660" t="s">
        <v>59</v>
      </c>
      <c r="AF3660" s="1">
        <v>39332</v>
      </c>
      <c r="AG3660" t="s">
        <v>125</v>
      </c>
      <c r="AH3660" t="s">
        <v>126</v>
      </c>
      <c r="AI3660" t="str">
        <f>"5007010"</f>
        <v>5007010</v>
      </c>
      <c r="AJ3660" t="s">
        <v>6797</v>
      </c>
      <c r="AK3660">
        <v>2824022241</v>
      </c>
      <c r="AL3660" t="s">
        <v>6798</v>
      </c>
      <c r="AM3660" t="s">
        <v>88</v>
      </c>
      <c r="AN3660" t="s">
        <v>6764</v>
      </c>
      <c r="AO3660" t="s">
        <v>6799</v>
      </c>
      <c r="AP3660" t="s">
        <v>6799</v>
      </c>
      <c r="AQ3660">
        <v>1</v>
      </c>
      <c r="AR3660" t="s">
        <v>6729</v>
      </c>
      <c r="AS3660" t="s">
        <v>6730</v>
      </c>
      <c r="AT3660" t="s">
        <v>58</v>
      </c>
      <c r="AU3660" t="s">
        <v>68</v>
      </c>
      <c r="AV3660" t="s">
        <v>357</v>
      </c>
      <c r="AW3660" s="1">
        <v>22983</v>
      </c>
      <c r="AX3660">
        <v>2</v>
      </c>
    </row>
    <row r="3661" spans="1:50">
      <c r="A3661">
        <v>179924</v>
      </c>
      <c r="B3661" t="str">
        <f>"027344447"</f>
        <v>027344447</v>
      </c>
      <c r="C3661" t="s">
        <v>105</v>
      </c>
      <c r="D3661" t="s">
        <v>5826</v>
      </c>
      <c r="E3661" t="s">
        <v>304</v>
      </c>
      <c r="F3661" t="s">
        <v>84</v>
      </c>
      <c r="G3661" t="s">
        <v>473</v>
      </c>
      <c r="H3661" t="str">
        <f>"ΠΕΙΡΑΙΩΣ 21 "</f>
        <v xml:space="preserve">ΠΕΙΡΑΙΩΣ 21 </v>
      </c>
      <c r="I3661">
        <v>73100</v>
      </c>
      <c r="J3661">
        <v>2821096939</v>
      </c>
      <c r="K3661">
        <v>6971821985</v>
      </c>
      <c r="M3661" t="s">
        <v>7032</v>
      </c>
      <c r="N3661" t="s">
        <v>292</v>
      </c>
      <c r="O3661" t="s">
        <v>293</v>
      </c>
      <c r="R3661" t="s">
        <v>57</v>
      </c>
      <c r="S3661">
        <v>10</v>
      </c>
      <c r="T3661">
        <v>164</v>
      </c>
      <c r="U3661" s="1">
        <v>36040</v>
      </c>
      <c r="V3661" t="s">
        <v>6729</v>
      </c>
      <c r="W3661" t="s">
        <v>6730</v>
      </c>
      <c r="X3661" t="s">
        <v>58</v>
      </c>
      <c r="Y3661">
        <v>18</v>
      </c>
      <c r="Z3661" t="s">
        <v>59</v>
      </c>
      <c r="AA3661" t="s">
        <v>59</v>
      </c>
      <c r="AB3661" t="s">
        <v>59</v>
      </c>
      <c r="AC3661" t="s">
        <v>59</v>
      </c>
      <c r="AD3661" t="s">
        <v>59</v>
      </c>
      <c r="AF3661" s="1">
        <v>36041</v>
      </c>
      <c r="AG3661" t="s">
        <v>148</v>
      </c>
      <c r="AH3661" t="s">
        <v>149</v>
      </c>
      <c r="AI3661" t="str">
        <f>"5051010"</f>
        <v>5051010</v>
      </c>
      <c r="AJ3661" t="s">
        <v>6896</v>
      </c>
      <c r="AK3661">
        <v>2821028714</v>
      </c>
      <c r="AL3661" t="s">
        <v>6897</v>
      </c>
      <c r="AM3661" t="s">
        <v>88</v>
      </c>
      <c r="AN3661" t="s">
        <v>88</v>
      </c>
      <c r="AO3661" t="s">
        <v>88</v>
      </c>
      <c r="AP3661" t="s">
        <v>88</v>
      </c>
      <c r="AQ3661">
        <v>1</v>
      </c>
      <c r="AR3661" t="s">
        <v>6729</v>
      </c>
      <c r="AS3661" t="s">
        <v>6730</v>
      </c>
      <c r="AT3661" t="s">
        <v>58</v>
      </c>
      <c r="AU3661" t="s">
        <v>68</v>
      </c>
      <c r="AV3661" t="s">
        <v>69</v>
      </c>
      <c r="AW3661" s="1">
        <v>21708</v>
      </c>
      <c r="AX3661">
        <v>2</v>
      </c>
    </row>
    <row r="3662" spans="1:50">
      <c r="A3662">
        <v>160894</v>
      </c>
      <c r="B3662" t="str">
        <f>"038114475"</f>
        <v>038114475</v>
      </c>
      <c r="C3662" t="s">
        <v>105</v>
      </c>
      <c r="D3662" t="s">
        <v>7033</v>
      </c>
      <c r="E3662" t="s">
        <v>304</v>
      </c>
      <c r="F3662" t="s">
        <v>99</v>
      </c>
      <c r="G3662" t="s">
        <v>71</v>
      </c>
      <c r="H3662" t="str">
        <f>"ΑΛ.ΠΑΝΑΓΟΥΛΗ   43 ΧΑΝΙΑ"</f>
        <v>ΑΛ.ΠΑΝΑΓΟΥΛΗ   43 ΧΑΝΙΑ</v>
      </c>
      <c r="I3662">
        <v>73136</v>
      </c>
      <c r="J3662">
        <v>2821075358</v>
      </c>
      <c r="K3662">
        <v>6974363300</v>
      </c>
      <c r="M3662" t="s">
        <v>7034</v>
      </c>
      <c r="N3662" t="s">
        <v>176</v>
      </c>
      <c r="O3662" t="s">
        <v>177</v>
      </c>
      <c r="R3662" t="s">
        <v>57</v>
      </c>
      <c r="S3662">
        <v>13</v>
      </c>
      <c r="T3662">
        <v>161</v>
      </c>
      <c r="U3662" s="1">
        <v>33119</v>
      </c>
      <c r="V3662" t="s">
        <v>6729</v>
      </c>
      <c r="W3662" t="s">
        <v>6730</v>
      </c>
      <c r="X3662" t="s">
        <v>58</v>
      </c>
      <c r="Y3662">
        <v>18</v>
      </c>
      <c r="Z3662" t="s">
        <v>59</v>
      </c>
      <c r="AA3662" t="s">
        <v>59</v>
      </c>
      <c r="AB3662" t="s">
        <v>59</v>
      </c>
      <c r="AC3662" t="s">
        <v>59</v>
      </c>
      <c r="AD3662" t="s">
        <v>59</v>
      </c>
      <c r="AF3662" s="1">
        <v>33121</v>
      </c>
      <c r="AG3662" t="s">
        <v>125</v>
      </c>
      <c r="AH3662" t="s">
        <v>126</v>
      </c>
      <c r="AI3662" t="str">
        <f>"5011010"</f>
        <v>5011010</v>
      </c>
      <c r="AJ3662" t="s">
        <v>6877</v>
      </c>
      <c r="AK3662">
        <v>2821081330</v>
      </c>
      <c r="AL3662" t="s">
        <v>6878</v>
      </c>
      <c r="AM3662" t="s">
        <v>88</v>
      </c>
      <c r="AN3662" t="s">
        <v>88</v>
      </c>
      <c r="AO3662" t="s">
        <v>6748</v>
      </c>
      <c r="AP3662" t="s">
        <v>6748</v>
      </c>
      <c r="AQ3662">
        <v>1</v>
      </c>
      <c r="AR3662" t="s">
        <v>6729</v>
      </c>
      <c r="AS3662" t="s">
        <v>6730</v>
      </c>
      <c r="AT3662" t="s">
        <v>58</v>
      </c>
      <c r="AU3662" t="s">
        <v>68</v>
      </c>
      <c r="AV3662" t="s">
        <v>69</v>
      </c>
      <c r="AW3662" s="1">
        <v>22677</v>
      </c>
      <c r="AX3662">
        <v>2</v>
      </c>
    </row>
    <row r="3663" spans="1:50">
      <c r="A3663">
        <v>163884</v>
      </c>
      <c r="B3663" t="str">
        <f>"036389727"</f>
        <v>036389727</v>
      </c>
      <c r="C3663" t="s">
        <v>50</v>
      </c>
      <c r="D3663" t="s">
        <v>7035</v>
      </c>
      <c r="E3663" t="s">
        <v>7036</v>
      </c>
      <c r="F3663" t="s">
        <v>53</v>
      </c>
      <c r="G3663" t="s">
        <v>83</v>
      </c>
      <c r="H3663" t="str">
        <f>"ΓΑΛΑΤΑΣ Ν. ΚΥΔΩΝΙΑ"</f>
        <v>ΓΑΛΑΤΑΣ Ν. ΚΥΔΩΝΙΑ</v>
      </c>
      <c r="I3663">
        <v>73100</v>
      </c>
      <c r="J3663">
        <v>2821031233</v>
      </c>
      <c r="K3663">
        <v>6973433579</v>
      </c>
      <c r="M3663" t="s">
        <v>7037</v>
      </c>
      <c r="N3663" t="s">
        <v>146</v>
      </c>
      <c r="O3663" t="s">
        <v>147</v>
      </c>
      <c r="R3663" t="s">
        <v>57</v>
      </c>
      <c r="S3663">
        <v>13</v>
      </c>
      <c r="T3663">
        <v>161</v>
      </c>
      <c r="U3663" s="1">
        <v>33844</v>
      </c>
      <c r="V3663" t="s">
        <v>6729</v>
      </c>
      <c r="W3663" t="s">
        <v>6730</v>
      </c>
      <c r="X3663" t="s">
        <v>58</v>
      </c>
      <c r="Y3663">
        <v>18</v>
      </c>
      <c r="Z3663" t="s">
        <v>59</v>
      </c>
      <c r="AA3663" t="s">
        <v>59</v>
      </c>
      <c r="AB3663" t="s">
        <v>59</v>
      </c>
      <c r="AC3663" t="s">
        <v>59</v>
      </c>
      <c r="AD3663" t="s">
        <v>59</v>
      </c>
      <c r="AF3663" s="1">
        <v>33848</v>
      </c>
      <c r="AG3663" t="s">
        <v>148</v>
      </c>
      <c r="AH3663" t="s">
        <v>149</v>
      </c>
      <c r="AI3663" t="str">
        <f>"5051010"</f>
        <v>5051010</v>
      </c>
      <c r="AJ3663" t="s">
        <v>6896</v>
      </c>
      <c r="AK3663">
        <v>2821028714</v>
      </c>
      <c r="AL3663" t="s">
        <v>6897</v>
      </c>
      <c r="AM3663" t="s">
        <v>88</v>
      </c>
      <c r="AN3663" t="s">
        <v>88</v>
      </c>
      <c r="AO3663" t="s">
        <v>88</v>
      </c>
      <c r="AP3663" t="s">
        <v>88</v>
      </c>
      <c r="AQ3663">
        <v>1</v>
      </c>
      <c r="AR3663" t="s">
        <v>6729</v>
      </c>
      <c r="AS3663" t="s">
        <v>6730</v>
      </c>
      <c r="AT3663" t="s">
        <v>58</v>
      </c>
      <c r="AU3663" t="s">
        <v>68</v>
      </c>
      <c r="AV3663" t="s">
        <v>69</v>
      </c>
      <c r="AW3663" s="1">
        <v>23380</v>
      </c>
      <c r="AX3663">
        <v>2</v>
      </c>
    </row>
    <row r="3664" spans="1:50">
      <c r="A3664">
        <v>157699</v>
      </c>
      <c r="B3664" t="str">
        <f>"048107824"</f>
        <v>048107824</v>
      </c>
      <c r="C3664" t="s">
        <v>50</v>
      </c>
      <c r="D3664" t="s">
        <v>7038</v>
      </c>
      <c r="E3664" t="s">
        <v>476</v>
      </c>
      <c r="F3664" t="s">
        <v>99</v>
      </c>
      <c r="G3664" t="s">
        <v>2967</v>
      </c>
      <c r="H3664" t="str">
        <f>" "</f>
        <v xml:space="preserve"> </v>
      </c>
      <c r="K3664">
        <v>6973530548</v>
      </c>
      <c r="M3664" t="s">
        <v>7039</v>
      </c>
      <c r="N3664" t="s">
        <v>257</v>
      </c>
      <c r="O3664" t="s">
        <v>258</v>
      </c>
      <c r="R3664" t="s">
        <v>57</v>
      </c>
      <c r="S3664">
        <v>16</v>
      </c>
      <c r="T3664">
        <v>188</v>
      </c>
      <c r="U3664" s="1">
        <v>32752</v>
      </c>
      <c r="V3664" t="s">
        <v>6729</v>
      </c>
      <c r="W3664" t="s">
        <v>6730</v>
      </c>
      <c r="X3664" t="s">
        <v>58</v>
      </c>
      <c r="Y3664">
        <v>18</v>
      </c>
      <c r="Z3664" t="s">
        <v>59</v>
      </c>
      <c r="AA3664" t="s">
        <v>59</v>
      </c>
      <c r="AB3664" t="s">
        <v>59</v>
      </c>
      <c r="AC3664" t="s">
        <v>59</v>
      </c>
      <c r="AD3664" t="s">
        <v>59</v>
      </c>
      <c r="AF3664" s="1">
        <v>32756</v>
      </c>
      <c r="AG3664" t="s">
        <v>137</v>
      </c>
      <c r="AH3664" t="s">
        <v>138</v>
      </c>
      <c r="AI3664" t="str">
        <f>"5040050"</f>
        <v>5040050</v>
      </c>
      <c r="AJ3664" t="s">
        <v>6750</v>
      </c>
      <c r="AK3664">
        <v>2821043147</v>
      </c>
      <c r="AL3664" t="s">
        <v>6751</v>
      </c>
      <c r="AM3664" t="s">
        <v>88</v>
      </c>
      <c r="AN3664" t="s">
        <v>88</v>
      </c>
      <c r="AO3664" t="s">
        <v>88</v>
      </c>
      <c r="AP3664" t="s">
        <v>88</v>
      </c>
      <c r="AQ3664">
        <v>1</v>
      </c>
      <c r="AR3664" t="s">
        <v>6729</v>
      </c>
      <c r="AS3664" t="s">
        <v>6730</v>
      </c>
      <c r="AT3664" t="s">
        <v>58</v>
      </c>
      <c r="AU3664" t="s">
        <v>68</v>
      </c>
      <c r="AV3664" t="s">
        <v>69</v>
      </c>
      <c r="AW3664" s="1">
        <v>20993</v>
      </c>
      <c r="AX3664">
        <v>2</v>
      </c>
    </row>
    <row r="3665" spans="1:50">
      <c r="B3665" t="str">
        <f>"118495372"</f>
        <v>118495372</v>
      </c>
      <c r="C3665" t="s">
        <v>50</v>
      </c>
      <c r="D3665" t="s">
        <v>7040</v>
      </c>
      <c r="E3665" t="s">
        <v>221</v>
      </c>
      <c r="F3665" t="s">
        <v>99</v>
      </c>
      <c r="G3665" t="s">
        <v>83</v>
      </c>
      <c r="H3665" t="str">
        <f>" "</f>
        <v xml:space="preserve"> </v>
      </c>
      <c r="N3665" t="s">
        <v>246</v>
      </c>
      <c r="O3665" t="s">
        <v>247</v>
      </c>
      <c r="R3665" t="s">
        <v>121</v>
      </c>
      <c r="S3665">
        <v>1</v>
      </c>
      <c r="T3665" t="s">
        <v>574</v>
      </c>
      <c r="U3665" s="1">
        <v>43378</v>
      </c>
      <c r="V3665" t="s">
        <v>6729</v>
      </c>
      <c r="W3665" t="s">
        <v>6730</v>
      </c>
      <c r="X3665" t="s">
        <v>58</v>
      </c>
      <c r="Y3665">
        <v>23</v>
      </c>
      <c r="Z3665" t="s">
        <v>59</v>
      </c>
      <c r="AA3665" t="s">
        <v>59</v>
      </c>
      <c r="AB3665" t="s">
        <v>59</v>
      </c>
      <c r="AD3665" t="s">
        <v>59</v>
      </c>
      <c r="AF3665" s="1">
        <v>43381</v>
      </c>
      <c r="AG3665" t="s">
        <v>137</v>
      </c>
      <c r="AH3665" t="s">
        <v>138</v>
      </c>
      <c r="AI3665" t="str">
        <f>"5040090"</f>
        <v>5040090</v>
      </c>
      <c r="AJ3665" t="s">
        <v>6757</v>
      </c>
      <c r="AK3665">
        <v>2822022275</v>
      </c>
      <c r="AL3665" t="s">
        <v>6758</v>
      </c>
      <c r="AM3665" t="s">
        <v>88</v>
      </c>
      <c r="AN3665" t="s">
        <v>6744</v>
      </c>
      <c r="AO3665" t="s">
        <v>6744</v>
      </c>
      <c r="AP3665" t="s">
        <v>6744</v>
      </c>
      <c r="AQ3665">
        <v>1</v>
      </c>
      <c r="AR3665" t="s">
        <v>6729</v>
      </c>
      <c r="AS3665" t="s">
        <v>6730</v>
      </c>
      <c r="AT3665" t="s">
        <v>58</v>
      </c>
      <c r="AU3665" t="s">
        <v>164</v>
      </c>
      <c r="AV3665" t="s">
        <v>132</v>
      </c>
      <c r="AW3665" s="1">
        <v>31688</v>
      </c>
      <c r="AX3665">
        <v>2</v>
      </c>
    </row>
    <row r="3666" spans="1:50">
      <c r="A3666">
        <v>196662</v>
      </c>
      <c r="B3666" t="str">
        <f>"034888834"</f>
        <v>034888834</v>
      </c>
      <c r="C3666" t="s">
        <v>105</v>
      </c>
      <c r="D3666" t="s">
        <v>7041</v>
      </c>
      <c r="E3666" t="s">
        <v>84</v>
      </c>
      <c r="F3666" t="s">
        <v>95</v>
      </c>
      <c r="G3666" t="s">
        <v>787</v>
      </c>
      <c r="H3666" t="str">
        <f>" "</f>
        <v xml:space="preserve"> </v>
      </c>
      <c r="J3666">
        <v>2821069344</v>
      </c>
      <c r="K3666">
        <v>6974029619</v>
      </c>
      <c r="M3666" t="s">
        <v>7042</v>
      </c>
      <c r="N3666" t="s">
        <v>176</v>
      </c>
      <c r="O3666" t="s">
        <v>177</v>
      </c>
      <c r="R3666" t="s">
        <v>57</v>
      </c>
      <c r="S3666">
        <v>13</v>
      </c>
      <c r="T3666">
        <v>184</v>
      </c>
      <c r="U3666" s="1">
        <v>34941</v>
      </c>
      <c r="V3666" t="s">
        <v>6729</v>
      </c>
      <c r="W3666" t="s">
        <v>6730</v>
      </c>
      <c r="X3666" t="s">
        <v>58</v>
      </c>
      <c r="Y3666">
        <v>18</v>
      </c>
      <c r="Z3666" t="s">
        <v>59</v>
      </c>
      <c r="AA3666" t="s">
        <v>59</v>
      </c>
      <c r="AB3666" t="s">
        <v>59</v>
      </c>
      <c r="AC3666" t="s">
        <v>59</v>
      </c>
      <c r="AD3666" t="s">
        <v>59</v>
      </c>
      <c r="AF3666" s="1">
        <v>34943</v>
      </c>
      <c r="AG3666" t="s">
        <v>148</v>
      </c>
      <c r="AH3666" t="s">
        <v>149</v>
      </c>
      <c r="AI3666" t="str">
        <f>"5051010"</f>
        <v>5051010</v>
      </c>
      <c r="AJ3666" t="s">
        <v>6896</v>
      </c>
      <c r="AK3666">
        <v>2821028714</v>
      </c>
      <c r="AL3666" t="s">
        <v>6897</v>
      </c>
      <c r="AM3666" t="s">
        <v>88</v>
      </c>
      <c r="AN3666" t="s">
        <v>88</v>
      </c>
      <c r="AO3666" t="s">
        <v>88</v>
      </c>
      <c r="AP3666" t="s">
        <v>88</v>
      </c>
      <c r="AQ3666">
        <v>1</v>
      </c>
      <c r="AR3666" t="s">
        <v>6729</v>
      </c>
      <c r="AS3666" t="s">
        <v>6730</v>
      </c>
      <c r="AT3666" t="s">
        <v>58</v>
      </c>
      <c r="AU3666" t="s">
        <v>68</v>
      </c>
      <c r="AV3666" t="s">
        <v>69</v>
      </c>
      <c r="AW3666" s="1">
        <v>22282</v>
      </c>
      <c r="AX3666">
        <v>2</v>
      </c>
    </row>
    <row r="3667" spans="1:50">
      <c r="A3667">
        <v>203203</v>
      </c>
      <c r="B3667" t="str">
        <f>"057480051"</f>
        <v>057480051</v>
      </c>
      <c r="C3667" t="s">
        <v>50</v>
      </c>
      <c r="D3667" t="s">
        <v>974</v>
      </c>
      <c r="E3667" t="s">
        <v>964</v>
      </c>
      <c r="F3667" t="s">
        <v>7043</v>
      </c>
      <c r="G3667" t="s">
        <v>52</v>
      </c>
      <c r="H3667" t="str">
        <f>"ΧΕΛΙΟΥΔΑΚΗ 14 ΧΑΝΙΩΝ"</f>
        <v>ΧΕΛΙΟΥΔΑΚΗ 14 ΧΑΝΙΩΝ</v>
      </c>
      <c r="I3667">
        <v>73133</v>
      </c>
      <c r="J3667">
        <v>2105022279</v>
      </c>
      <c r="K3667">
        <v>6974867892</v>
      </c>
      <c r="M3667" t="s">
        <v>7044</v>
      </c>
      <c r="N3667" t="s">
        <v>306</v>
      </c>
      <c r="O3667" t="s">
        <v>307</v>
      </c>
      <c r="R3667" t="s">
        <v>57</v>
      </c>
      <c r="S3667">
        <v>11</v>
      </c>
      <c r="T3667">
        <v>231</v>
      </c>
      <c r="U3667" s="1">
        <v>38230</v>
      </c>
      <c r="V3667" t="s">
        <v>6729</v>
      </c>
      <c r="W3667" t="s">
        <v>6730</v>
      </c>
      <c r="X3667" t="s">
        <v>58</v>
      </c>
      <c r="Y3667">
        <v>20</v>
      </c>
      <c r="Z3667" t="s">
        <v>59</v>
      </c>
      <c r="AA3667" t="s">
        <v>59</v>
      </c>
      <c r="AB3667" t="s">
        <v>59</v>
      </c>
      <c r="AC3667" t="s">
        <v>59</v>
      </c>
      <c r="AD3667" t="s">
        <v>59</v>
      </c>
      <c r="AF3667" s="1">
        <v>38233</v>
      </c>
      <c r="AG3667" t="s">
        <v>125</v>
      </c>
      <c r="AH3667" t="s">
        <v>126</v>
      </c>
      <c r="AI3667" t="str">
        <f>"5001060"</f>
        <v>5001060</v>
      </c>
      <c r="AJ3667" t="s">
        <v>6914</v>
      </c>
      <c r="AK3667">
        <v>2821091763</v>
      </c>
      <c r="AL3667" t="s">
        <v>6915</v>
      </c>
      <c r="AM3667" t="s">
        <v>88</v>
      </c>
      <c r="AN3667" t="s">
        <v>88</v>
      </c>
      <c r="AO3667" t="s">
        <v>88</v>
      </c>
      <c r="AP3667" t="s">
        <v>88</v>
      </c>
      <c r="AQ3667">
        <v>1</v>
      </c>
      <c r="AR3667" t="s">
        <v>6729</v>
      </c>
      <c r="AS3667" t="s">
        <v>6730</v>
      </c>
      <c r="AT3667" t="s">
        <v>58</v>
      </c>
      <c r="AU3667" t="s">
        <v>68</v>
      </c>
      <c r="AV3667" t="s">
        <v>69</v>
      </c>
      <c r="AW3667" s="1">
        <v>25773</v>
      </c>
      <c r="AX3667">
        <v>2</v>
      </c>
    </row>
    <row r="3668" spans="1:50">
      <c r="A3668">
        <v>149860</v>
      </c>
      <c r="B3668" t="str">
        <f>"026432787"</f>
        <v>026432787</v>
      </c>
      <c r="C3668" t="s">
        <v>105</v>
      </c>
      <c r="D3668" t="s">
        <v>7045</v>
      </c>
      <c r="E3668" t="s">
        <v>377</v>
      </c>
      <c r="F3668" t="s">
        <v>3574</v>
      </c>
      <c r="G3668" t="s">
        <v>1361</v>
      </c>
      <c r="H3668" t="str">
        <f>"Α. ΞΗΡΟΥΧΑΚΗ 21 ΧΑΝΙΑ"</f>
        <v>Α. ΞΗΡΟΥΧΑΚΗ 21 ΧΑΝΙΑ</v>
      </c>
      <c r="I3668">
        <v>73135</v>
      </c>
      <c r="K3668">
        <v>6940421229</v>
      </c>
      <c r="N3668" t="s">
        <v>232</v>
      </c>
      <c r="O3668" t="s">
        <v>233</v>
      </c>
      <c r="R3668" t="s">
        <v>57</v>
      </c>
      <c r="S3668">
        <v>15</v>
      </c>
      <c r="T3668">
        <v>228</v>
      </c>
      <c r="U3668" s="1">
        <v>31684</v>
      </c>
      <c r="V3668" t="s">
        <v>6729</v>
      </c>
      <c r="W3668" t="s">
        <v>6730</v>
      </c>
      <c r="X3668" t="s">
        <v>58</v>
      </c>
      <c r="Y3668">
        <v>18</v>
      </c>
      <c r="Z3668" t="s">
        <v>59</v>
      </c>
      <c r="AA3668" t="s">
        <v>59</v>
      </c>
      <c r="AB3668" t="s">
        <v>59</v>
      </c>
      <c r="AC3668" t="s">
        <v>59</v>
      </c>
      <c r="AD3668" t="s">
        <v>59</v>
      </c>
      <c r="AF3668" s="1">
        <v>31687</v>
      </c>
      <c r="AG3668" t="s">
        <v>148</v>
      </c>
      <c r="AH3668" t="s">
        <v>149</v>
      </c>
      <c r="AI3668" t="str">
        <f>"5051040"</f>
        <v>5051040</v>
      </c>
      <c r="AJ3668" t="s">
        <v>6811</v>
      </c>
      <c r="AK3668">
        <v>2821088007</v>
      </c>
      <c r="AL3668" t="s">
        <v>6812</v>
      </c>
      <c r="AM3668" t="s">
        <v>88</v>
      </c>
      <c r="AN3668" t="s">
        <v>88</v>
      </c>
      <c r="AO3668" t="s">
        <v>88</v>
      </c>
      <c r="AP3668" t="s">
        <v>88</v>
      </c>
      <c r="AQ3668">
        <v>1</v>
      </c>
      <c r="AR3668" t="s">
        <v>6729</v>
      </c>
      <c r="AS3668" t="s">
        <v>6730</v>
      </c>
      <c r="AT3668" t="s">
        <v>58</v>
      </c>
      <c r="AU3668" t="s">
        <v>68</v>
      </c>
      <c r="AV3668" t="s">
        <v>69</v>
      </c>
      <c r="AW3668" s="1">
        <v>20196</v>
      </c>
      <c r="AX3668">
        <v>2</v>
      </c>
    </row>
    <row r="3669" spans="1:50">
      <c r="A3669">
        <v>223300</v>
      </c>
      <c r="B3669" t="str">
        <f>"045168191"</f>
        <v>045168191</v>
      </c>
      <c r="C3669" t="s">
        <v>105</v>
      </c>
      <c r="D3669" t="s">
        <v>7045</v>
      </c>
      <c r="E3669" t="s">
        <v>72</v>
      </c>
      <c r="F3669" t="s">
        <v>1224</v>
      </c>
      <c r="G3669" t="s">
        <v>52</v>
      </c>
      <c r="H3669" t="str">
        <f>"ΕΠΙΣΚΟΠΟΥ ΚΑΛΛΙΣΤΟΥ 2 ΧΑΝΙΩΝ"</f>
        <v>ΕΠΙΣΚΟΠΟΥ ΚΑΛΛΙΣΤΟΥ 2 ΧΑΝΙΩΝ</v>
      </c>
      <c r="I3669">
        <v>73136</v>
      </c>
      <c r="J3669">
        <v>2821050017</v>
      </c>
      <c r="K3669">
        <v>6942869954</v>
      </c>
      <c r="N3669" t="s">
        <v>232</v>
      </c>
      <c r="O3669" t="s">
        <v>233</v>
      </c>
      <c r="R3669" t="s">
        <v>57</v>
      </c>
      <c r="S3669">
        <v>6</v>
      </c>
      <c r="T3669">
        <v>775</v>
      </c>
      <c r="U3669" s="1">
        <v>39680</v>
      </c>
      <c r="V3669" t="s">
        <v>6729</v>
      </c>
      <c r="W3669" t="s">
        <v>6730</v>
      </c>
      <c r="X3669" t="s">
        <v>58</v>
      </c>
      <c r="Y3669">
        <v>20</v>
      </c>
      <c r="Z3669" t="s">
        <v>59</v>
      </c>
      <c r="AA3669" t="s">
        <v>59</v>
      </c>
      <c r="AB3669" t="s">
        <v>59</v>
      </c>
      <c r="AC3669" t="s">
        <v>59</v>
      </c>
      <c r="AD3669" t="s">
        <v>59</v>
      </c>
      <c r="AF3669" s="1">
        <v>39682</v>
      </c>
      <c r="AG3669" t="s">
        <v>137</v>
      </c>
      <c r="AH3669" t="s">
        <v>469</v>
      </c>
      <c r="AI3669" t="str">
        <f>"5040055"</f>
        <v>5040055</v>
      </c>
      <c r="AJ3669" t="s">
        <v>6940</v>
      </c>
      <c r="AK3669">
        <v>2821036404</v>
      </c>
      <c r="AL3669" t="s">
        <v>6941</v>
      </c>
      <c r="AM3669" t="s">
        <v>88</v>
      </c>
      <c r="AN3669" t="s">
        <v>88</v>
      </c>
      <c r="AO3669" t="s">
        <v>88</v>
      </c>
      <c r="AP3669" t="s">
        <v>88</v>
      </c>
      <c r="AQ3669">
        <v>1</v>
      </c>
      <c r="AR3669" t="s">
        <v>6729</v>
      </c>
      <c r="AS3669" t="s">
        <v>6730</v>
      </c>
      <c r="AT3669" t="s">
        <v>58</v>
      </c>
      <c r="AU3669" t="s">
        <v>68</v>
      </c>
      <c r="AV3669" t="s">
        <v>69</v>
      </c>
      <c r="AW3669" s="1">
        <v>24187</v>
      </c>
      <c r="AX3669">
        <v>2</v>
      </c>
    </row>
    <row r="3670" spans="1:50">
      <c r="A3670">
        <v>223301</v>
      </c>
      <c r="B3670" t="str">
        <f>"046751741"</f>
        <v>046751741</v>
      </c>
      <c r="C3670" t="s">
        <v>105</v>
      </c>
      <c r="D3670" t="s">
        <v>7045</v>
      </c>
      <c r="E3670" t="s">
        <v>989</v>
      </c>
      <c r="F3670" t="s">
        <v>1320</v>
      </c>
      <c r="G3670" t="s">
        <v>215</v>
      </c>
      <c r="H3670" t="str">
        <f>"ΑΓΙΟΥ ΓΕΩΡΓΙΟΥ 4 ΧΑΝΙΩΝ"</f>
        <v>ΑΓΙΟΥ ΓΕΩΡΓΙΟΥ 4 ΧΑΝΙΩΝ</v>
      </c>
      <c r="I3670">
        <v>73100</v>
      </c>
      <c r="J3670">
        <v>2821092375</v>
      </c>
      <c r="K3670">
        <v>6977515175</v>
      </c>
      <c r="N3670" t="s">
        <v>232</v>
      </c>
      <c r="O3670" t="s">
        <v>233</v>
      </c>
      <c r="R3670" t="s">
        <v>57</v>
      </c>
      <c r="S3670">
        <v>6</v>
      </c>
      <c r="T3670">
        <v>775</v>
      </c>
      <c r="U3670" s="1">
        <v>39680</v>
      </c>
      <c r="V3670" t="s">
        <v>6729</v>
      </c>
      <c r="W3670" t="s">
        <v>6730</v>
      </c>
      <c r="X3670" t="s">
        <v>58</v>
      </c>
      <c r="Y3670">
        <v>20</v>
      </c>
      <c r="Z3670" t="s">
        <v>59</v>
      </c>
      <c r="AA3670" t="s">
        <v>59</v>
      </c>
      <c r="AB3670" t="s">
        <v>59</v>
      </c>
      <c r="AC3670" t="s">
        <v>59</v>
      </c>
      <c r="AD3670" t="s">
        <v>59</v>
      </c>
      <c r="AF3670" s="1">
        <v>39681</v>
      </c>
      <c r="AG3670" t="s">
        <v>137</v>
      </c>
      <c r="AH3670" t="s">
        <v>469</v>
      </c>
      <c r="AI3670" t="str">
        <f>"5053001"</f>
        <v>5053001</v>
      </c>
      <c r="AJ3670" t="s">
        <v>6788</v>
      </c>
      <c r="AK3670">
        <v>2821068020</v>
      </c>
      <c r="AM3670" t="s">
        <v>88</v>
      </c>
      <c r="AN3670" t="s">
        <v>6764</v>
      </c>
      <c r="AO3670" t="s">
        <v>6764</v>
      </c>
      <c r="AP3670" t="s">
        <v>6764</v>
      </c>
      <c r="AQ3670">
        <v>1</v>
      </c>
      <c r="AR3670" t="s">
        <v>6729</v>
      </c>
      <c r="AS3670" t="s">
        <v>6730</v>
      </c>
      <c r="AT3670" t="s">
        <v>58</v>
      </c>
      <c r="AU3670" t="s">
        <v>68</v>
      </c>
      <c r="AV3670" t="s">
        <v>357</v>
      </c>
      <c r="AW3670" s="1">
        <v>24773</v>
      </c>
      <c r="AX3670">
        <v>2</v>
      </c>
    </row>
    <row r="3671" spans="1:50">
      <c r="A3671">
        <v>169066</v>
      </c>
      <c r="B3671" t="str">
        <f>"038297134"</f>
        <v>038297134</v>
      </c>
      <c r="C3671" t="s">
        <v>105</v>
      </c>
      <c r="D3671" t="s">
        <v>978</v>
      </c>
      <c r="E3671" t="s">
        <v>72</v>
      </c>
      <c r="F3671" t="s">
        <v>154</v>
      </c>
      <c r="G3671" t="s">
        <v>1120</v>
      </c>
      <c r="H3671" t="str">
        <f>"ΠΑΡΘΕΝΙΟΥ ΚΕΛΑΪΔΗ 29 ΧΑΝΙΑ"</f>
        <v>ΠΑΡΘΕΝΙΟΥ ΚΕΛΑΪΔΗ 29 ΧΑΝΙΑ</v>
      </c>
      <c r="I3671">
        <v>73100</v>
      </c>
      <c r="J3671">
        <v>2821099016</v>
      </c>
      <c r="K3671">
        <v>6942071691</v>
      </c>
      <c r="M3671" t="s">
        <v>7046</v>
      </c>
      <c r="N3671" t="s">
        <v>204</v>
      </c>
      <c r="O3671" t="s">
        <v>205</v>
      </c>
      <c r="R3671" t="s">
        <v>57</v>
      </c>
      <c r="S3671">
        <v>13</v>
      </c>
      <c r="T3671">
        <v>159</v>
      </c>
      <c r="U3671" s="1">
        <v>34582</v>
      </c>
      <c r="V3671" t="s">
        <v>6729</v>
      </c>
      <c r="W3671" t="s">
        <v>6730</v>
      </c>
      <c r="X3671" t="s">
        <v>58</v>
      </c>
      <c r="Y3671">
        <v>18</v>
      </c>
      <c r="Z3671" t="s">
        <v>59</v>
      </c>
      <c r="AA3671" t="s">
        <v>59</v>
      </c>
      <c r="AB3671" t="s">
        <v>59</v>
      </c>
      <c r="AC3671" t="s">
        <v>59</v>
      </c>
      <c r="AD3671" t="s">
        <v>59</v>
      </c>
      <c r="AF3671" s="1">
        <v>34585</v>
      </c>
      <c r="AG3671" t="s">
        <v>148</v>
      </c>
      <c r="AH3671" t="s">
        <v>149</v>
      </c>
      <c r="AI3671" t="str">
        <f>"5051009"</f>
        <v>5051009</v>
      </c>
      <c r="AJ3671" t="s">
        <v>6851</v>
      </c>
      <c r="AK3671">
        <v>2821044551</v>
      </c>
      <c r="AL3671" t="s">
        <v>6852</v>
      </c>
      <c r="AM3671" t="s">
        <v>88</v>
      </c>
      <c r="AN3671" t="s">
        <v>88</v>
      </c>
      <c r="AO3671" t="s">
        <v>6770</v>
      </c>
      <c r="AP3671" t="s">
        <v>6771</v>
      </c>
      <c r="AQ3671">
        <v>1</v>
      </c>
      <c r="AR3671" t="s">
        <v>6729</v>
      </c>
      <c r="AS3671" t="s">
        <v>6730</v>
      </c>
      <c r="AT3671" t="s">
        <v>58</v>
      </c>
      <c r="AU3671" t="s">
        <v>68</v>
      </c>
      <c r="AV3671" t="s">
        <v>69</v>
      </c>
      <c r="AW3671" s="1">
        <v>23413</v>
      </c>
      <c r="AX3671">
        <v>2</v>
      </c>
    </row>
    <row r="3672" spans="1:50">
      <c r="A3672">
        <v>179152</v>
      </c>
      <c r="B3672" t="str">
        <f>"035862005"</f>
        <v>035862005</v>
      </c>
      <c r="C3672" t="s">
        <v>50</v>
      </c>
      <c r="D3672" t="s">
        <v>7047</v>
      </c>
      <c r="E3672" t="s">
        <v>3706</v>
      </c>
      <c r="F3672" t="s">
        <v>564</v>
      </c>
      <c r="G3672" t="s">
        <v>7048</v>
      </c>
      <c r="H3672" t="str">
        <f>" "</f>
        <v xml:space="preserve"> </v>
      </c>
      <c r="J3672">
        <v>2821054424</v>
      </c>
      <c r="K3672">
        <v>6978268566</v>
      </c>
      <c r="M3672" t="s">
        <v>7049</v>
      </c>
      <c r="N3672" t="s">
        <v>146</v>
      </c>
      <c r="O3672" t="s">
        <v>147</v>
      </c>
      <c r="R3672" t="s">
        <v>57</v>
      </c>
      <c r="S3672">
        <v>12</v>
      </c>
      <c r="T3672">
        <v>164</v>
      </c>
      <c r="U3672" s="1">
        <v>36040</v>
      </c>
      <c r="V3672" t="s">
        <v>6729</v>
      </c>
      <c r="W3672" t="s">
        <v>6730</v>
      </c>
      <c r="X3672" t="s">
        <v>58</v>
      </c>
      <c r="Y3672">
        <v>18</v>
      </c>
      <c r="Z3672" t="s">
        <v>59</v>
      </c>
      <c r="AA3672" t="s">
        <v>59</v>
      </c>
      <c r="AB3672" t="s">
        <v>59</v>
      </c>
      <c r="AC3672" t="s">
        <v>59</v>
      </c>
      <c r="AD3672" t="s">
        <v>59</v>
      </c>
      <c r="AF3672" s="1">
        <v>36041</v>
      </c>
      <c r="AG3672" t="s">
        <v>125</v>
      </c>
      <c r="AH3672" t="s">
        <v>126</v>
      </c>
      <c r="AI3672" t="str">
        <f>"5001076"</f>
        <v>5001076</v>
      </c>
      <c r="AJ3672" t="s">
        <v>6979</v>
      </c>
      <c r="AK3672">
        <v>2821088808</v>
      </c>
      <c r="AL3672" t="s">
        <v>6980</v>
      </c>
      <c r="AM3672" t="s">
        <v>88</v>
      </c>
      <c r="AN3672" t="s">
        <v>88</v>
      </c>
      <c r="AO3672" t="s">
        <v>6733</v>
      </c>
      <c r="AP3672" t="s">
        <v>6755</v>
      </c>
      <c r="AQ3672">
        <v>1</v>
      </c>
      <c r="AR3672" t="s">
        <v>6729</v>
      </c>
      <c r="AS3672" t="s">
        <v>6730</v>
      </c>
      <c r="AT3672" t="s">
        <v>58</v>
      </c>
      <c r="AU3672" t="s">
        <v>68</v>
      </c>
      <c r="AV3672" t="s">
        <v>69</v>
      </c>
      <c r="AW3672" s="1">
        <v>24413</v>
      </c>
      <c r="AX3672">
        <v>2</v>
      </c>
    </row>
    <row r="3673" spans="1:50">
      <c r="A3673">
        <v>702957</v>
      </c>
      <c r="B3673" t="str">
        <f>"043996265"</f>
        <v>043996265</v>
      </c>
      <c r="C3673" t="s">
        <v>50</v>
      </c>
      <c r="D3673" t="s">
        <v>7050</v>
      </c>
      <c r="E3673" t="s">
        <v>5284</v>
      </c>
      <c r="F3673" t="s">
        <v>166</v>
      </c>
      <c r="G3673" t="s">
        <v>114</v>
      </c>
      <c r="H3673" t="str">
        <f>"ΠΕΡΙΒΟΛΙΑ ΚΥΔΩΝΙΑΣ ΧΑΝΙΑ"</f>
        <v>ΠΕΡΙΒΟΛΙΑ ΚΥΔΩΝΙΑΣ ΧΑΝΙΑ</v>
      </c>
      <c r="I3673">
        <v>73100</v>
      </c>
      <c r="J3673">
        <v>2821096109</v>
      </c>
      <c r="K3673">
        <v>6973042446</v>
      </c>
      <c r="M3673" t="s">
        <v>7051</v>
      </c>
      <c r="N3673" t="s">
        <v>199</v>
      </c>
      <c r="O3673" t="s">
        <v>200</v>
      </c>
      <c r="R3673" t="s">
        <v>57</v>
      </c>
      <c r="S3673">
        <v>6</v>
      </c>
      <c r="T3673">
        <v>588</v>
      </c>
      <c r="U3673" s="1">
        <v>40778</v>
      </c>
      <c r="V3673" t="s">
        <v>6729</v>
      </c>
      <c r="W3673" t="s">
        <v>6730</v>
      </c>
      <c r="X3673" t="s">
        <v>58</v>
      </c>
      <c r="Y3673">
        <v>21</v>
      </c>
      <c r="Z3673" t="s">
        <v>59</v>
      </c>
      <c r="AA3673" t="s">
        <v>59</v>
      </c>
      <c r="AB3673" t="s">
        <v>59</v>
      </c>
      <c r="AC3673" t="s">
        <v>59</v>
      </c>
      <c r="AD3673" t="s">
        <v>59</v>
      </c>
      <c r="AF3673" s="1">
        <v>40785</v>
      </c>
      <c r="AG3673" t="s">
        <v>125</v>
      </c>
      <c r="AH3673" t="s">
        <v>294</v>
      </c>
      <c r="AI3673" t="str">
        <f>"5012017"</f>
        <v>5012017</v>
      </c>
      <c r="AJ3673" t="s">
        <v>6859</v>
      </c>
      <c r="AK3673">
        <v>2821088065</v>
      </c>
      <c r="AL3673" t="s">
        <v>6860</v>
      </c>
      <c r="AM3673" t="s">
        <v>88</v>
      </c>
      <c r="AN3673" t="s">
        <v>88</v>
      </c>
      <c r="AO3673" t="s">
        <v>88</v>
      </c>
      <c r="AP3673" t="s">
        <v>88</v>
      </c>
      <c r="AQ3673">
        <v>1</v>
      </c>
      <c r="AR3673" t="s">
        <v>6729</v>
      </c>
      <c r="AS3673" t="s">
        <v>6730</v>
      </c>
      <c r="AT3673" t="s">
        <v>58</v>
      </c>
      <c r="AU3673" t="s">
        <v>68</v>
      </c>
      <c r="AV3673" t="s">
        <v>132</v>
      </c>
      <c r="AW3673" s="1">
        <v>23833</v>
      </c>
      <c r="AX3673">
        <v>2</v>
      </c>
    </row>
    <row r="3674" spans="1:50">
      <c r="A3674">
        <v>185934</v>
      </c>
      <c r="B3674" t="str">
        <f>"030599720"</f>
        <v>030599720</v>
      </c>
      <c r="C3674" t="s">
        <v>105</v>
      </c>
      <c r="D3674" t="s">
        <v>7052</v>
      </c>
      <c r="E3674" t="s">
        <v>2580</v>
      </c>
      <c r="F3674" t="s">
        <v>408</v>
      </c>
      <c r="G3674" t="s">
        <v>6339</v>
      </c>
      <c r="H3674" t="str">
        <f>"ΝΙΚΟΛΑΟΥ ΣΚΟΥΛΑ 80 ΧΑΝΙΑ"</f>
        <v>ΝΙΚΟΛΑΟΥ ΣΚΟΥΛΑ 80 ΧΑΝΙΑ</v>
      </c>
      <c r="I3674">
        <v>73136</v>
      </c>
      <c r="K3674">
        <v>6976992542</v>
      </c>
      <c r="N3674" t="s">
        <v>292</v>
      </c>
      <c r="O3674" t="s">
        <v>293</v>
      </c>
      <c r="R3674" t="s">
        <v>57</v>
      </c>
      <c r="S3674">
        <v>9</v>
      </c>
      <c r="T3674">
        <v>250</v>
      </c>
      <c r="U3674" s="1">
        <v>36769</v>
      </c>
      <c r="V3674" t="s">
        <v>6729</v>
      </c>
      <c r="W3674" t="s">
        <v>6730</v>
      </c>
      <c r="X3674" t="s">
        <v>58</v>
      </c>
      <c r="Y3674">
        <v>20</v>
      </c>
      <c r="Z3674" t="s">
        <v>59</v>
      </c>
      <c r="AA3674" t="s">
        <v>59</v>
      </c>
      <c r="AB3674" t="s">
        <v>59</v>
      </c>
      <c r="AC3674" t="s">
        <v>59</v>
      </c>
      <c r="AD3674" t="s">
        <v>59</v>
      </c>
      <c r="AF3674" s="1">
        <v>36770</v>
      </c>
      <c r="AG3674" t="s">
        <v>148</v>
      </c>
      <c r="AH3674" t="s">
        <v>149</v>
      </c>
      <c r="AI3674" t="str">
        <f>"5051040"</f>
        <v>5051040</v>
      </c>
      <c r="AJ3674" t="s">
        <v>6811</v>
      </c>
      <c r="AK3674">
        <v>2821088007</v>
      </c>
      <c r="AL3674" t="s">
        <v>6812</v>
      </c>
      <c r="AM3674" t="s">
        <v>88</v>
      </c>
      <c r="AN3674" t="s">
        <v>88</v>
      </c>
      <c r="AO3674" t="s">
        <v>88</v>
      </c>
      <c r="AP3674" t="s">
        <v>88</v>
      </c>
      <c r="AQ3674">
        <v>1</v>
      </c>
      <c r="AR3674" t="s">
        <v>6729</v>
      </c>
      <c r="AS3674" t="s">
        <v>6730</v>
      </c>
      <c r="AT3674" t="s">
        <v>58</v>
      </c>
      <c r="AU3674" t="s">
        <v>68</v>
      </c>
      <c r="AV3674" t="s">
        <v>69</v>
      </c>
      <c r="AW3674" s="1">
        <v>22269</v>
      </c>
      <c r="AX3674">
        <v>2</v>
      </c>
    </row>
    <row r="3675" spans="1:50">
      <c r="A3675">
        <v>702264</v>
      </c>
      <c r="B3675" t="str">
        <f>"047892222"</f>
        <v>047892222</v>
      </c>
      <c r="C3675" t="s">
        <v>50</v>
      </c>
      <c r="D3675" t="s">
        <v>7053</v>
      </c>
      <c r="E3675" t="s">
        <v>52</v>
      </c>
      <c r="F3675" t="s">
        <v>99</v>
      </c>
      <c r="G3675" t="s">
        <v>255</v>
      </c>
      <c r="H3675" t="str">
        <f>"ΤΣΙΒΑΡΑΣ ΑΠΟΚΟΡΩΝΟΥ ΧΑΝΙΑ"</f>
        <v>ΤΣΙΒΑΡΑΣ ΑΠΟΚΟΡΩΝΟΥ ΧΑΝΙΑ</v>
      </c>
      <c r="I3675">
        <v>73003</v>
      </c>
      <c r="J3675">
        <v>2825031628</v>
      </c>
      <c r="K3675">
        <v>6973774608</v>
      </c>
      <c r="M3675" t="s">
        <v>7054</v>
      </c>
      <c r="N3675" t="s">
        <v>146</v>
      </c>
      <c r="O3675" t="s">
        <v>147</v>
      </c>
      <c r="R3675" t="s">
        <v>57</v>
      </c>
      <c r="S3675">
        <v>5</v>
      </c>
      <c r="T3675">
        <v>772</v>
      </c>
      <c r="U3675" s="1">
        <v>40413</v>
      </c>
      <c r="V3675" t="s">
        <v>6729</v>
      </c>
      <c r="W3675" t="s">
        <v>6730</v>
      </c>
      <c r="X3675" t="s">
        <v>58</v>
      </c>
      <c r="Y3675">
        <v>21</v>
      </c>
      <c r="Z3675" t="s">
        <v>59</v>
      </c>
      <c r="AA3675" t="s">
        <v>59</v>
      </c>
      <c r="AB3675" t="s">
        <v>59</v>
      </c>
      <c r="AC3675" t="s">
        <v>59</v>
      </c>
      <c r="AD3675" t="s">
        <v>59</v>
      </c>
      <c r="AF3675" s="1">
        <v>40413</v>
      </c>
      <c r="AG3675" t="s">
        <v>137</v>
      </c>
      <c r="AH3675" t="s">
        <v>138</v>
      </c>
      <c r="AI3675" t="str">
        <f>"5040105"</f>
        <v>5040105</v>
      </c>
      <c r="AJ3675" t="s">
        <v>6969</v>
      </c>
      <c r="AK3675">
        <v>2825051703</v>
      </c>
      <c r="AL3675" t="s">
        <v>6970</v>
      </c>
      <c r="AM3675" t="s">
        <v>88</v>
      </c>
      <c r="AN3675" t="s">
        <v>6775</v>
      </c>
      <c r="AO3675" t="s">
        <v>6781</v>
      </c>
      <c r="AP3675" t="s">
        <v>6782</v>
      </c>
      <c r="AQ3675">
        <v>1</v>
      </c>
      <c r="AR3675" t="s">
        <v>6729</v>
      </c>
      <c r="AS3675" t="s">
        <v>6730</v>
      </c>
      <c r="AT3675" t="s">
        <v>58</v>
      </c>
      <c r="AU3675" t="s">
        <v>68</v>
      </c>
      <c r="AV3675" t="s">
        <v>69</v>
      </c>
      <c r="AW3675" s="1">
        <v>25794</v>
      </c>
      <c r="AX3675">
        <v>2</v>
      </c>
    </row>
    <row r="3676" spans="1:50">
      <c r="A3676">
        <v>148194</v>
      </c>
      <c r="B3676" t="str">
        <f>"065515450"</f>
        <v>065515450</v>
      </c>
      <c r="C3676" t="s">
        <v>50</v>
      </c>
      <c r="D3676" t="s">
        <v>7055</v>
      </c>
      <c r="E3676" t="s">
        <v>367</v>
      </c>
      <c r="F3676" t="s">
        <v>99</v>
      </c>
      <c r="G3676" t="s">
        <v>647</v>
      </c>
      <c r="H3676" t="str">
        <f>" "</f>
        <v xml:space="preserve"> </v>
      </c>
      <c r="J3676">
        <v>2821099651</v>
      </c>
      <c r="K3676">
        <v>6974439025</v>
      </c>
      <c r="N3676" t="s">
        <v>146</v>
      </c>
      <c r="O3676" t="s">
        <v>147</v>
      </c>
      <c r="R3676" t="s">
        <v>57</v>
      </c>
      <c r="S3676">
        <v>16</v>
      </c>
      <c r="T3676">
        <v>205</v>
      </c>
      <c r="U3676" s="1">
        <v>31658</v>
      </c>
      <c r="V3676" t="s">
        <v>6729</v>
      </c>
      <c r="W3676" t="s">
        <v>6730</v>
      </c>
      <c r="X3676" t="s">
        <v>58</v>
      </c>
      <c r="Y3676">
        <v>18</v>
      </c>
      <c r="Z3676" t="s">
        <v>59</v>
      </c>
      <c r="AA3676" t="s">
        <v>59</v>
      </c>
      <c r="AB3676" t="s">
        <v>59</v>
      </c>
      <c r="AC3676" t="s">
        <v>59</v>
      </c>
      <c r="AD3676" t="s">
        <v>59</v>
      </c>
      <c r="AF3676" s="1">
        <v>31672</v>
      </c>
      <c r="AG3676" t="s">
        <v>125</v>
      </c>
      <c r="AH3676" t="s">
        <v>126</v>
      </c>
      <c r="AI3676" t="str">
        <f>"5001076"</f>
        <v>5001076</v>
      </c>
      <c r="AJ3676" t="s">
        <v>6979</v>
      </c>
      <c r="AK3676">
        <v>2821088808</v>
      </c>
      <c r="AL3676" t="s">
        <v>6980</v>
      </c>
      <c r="AM3676" t="s">
        <v>88</v>
      </c>
      <c r="AN3676" t="s">
        <v>88</v>
      </c>
      <c r="AO3676" t="s">
        <v>6733</v>
      </c>
      <c r="AP3676" t="s">
        <v>6755</v>
      </c>
      <c r="AQ3676">
        <v>1</v>
      </c>
      <c r="AR3676" t="s">
        <v>6729</v>
      </c>
      <c r="AS3676" t="s">
        <v>6730</v>
      </c>
      <c r="AT3676" t="s">
        <v>58</v>
      </c>
      <c r="AU3676" t="s">
        <v>68</v>
      </c>
      <c r="AV3676" t="s">
        <v>69</v>
      </c>
      <c r="AW3676" s="1">
        <v>22181</v>
      </c>
      <c r="AX3676">
        <v>2</v>
      </c>
    </row>
    <row r="3677" spans="1:50">
      <c r="A3677">
        <v>179159</v>
      </c>
      <c r="B3677" t="str">
        <f>"044138569"</f>
        <v>044138569</v>
      </c>
      <c r="C3677" t="s">
        <v>50</v>
      </c>
      <c r="D3677" t="s">
        <v>7056</v>
      </c>
      <c r="E3677" t="s">
        <v>155</v>
      </c>
      <c r="F3677" t="s">
        <v>72</v>
      </c>
      <c r="G3677" t="s">
        <v>1946</v>
      </c>
      <c r="H3677" t="str">
        <f>"ΤΖΑΝΑΚΑΚΗ 21 ΧΑΝΙΑ"</f>
        <v>ΤΖΑΝΑΚΑΚΗ 21 ΧΑΝΙΑ</v>
      </c>
      <c r="I3677">
        <v>73134</v>
      </c>
      <c r="J3677">
        <v>2821046267</v>
      </c>
      <c r="K3677">
        <v>6972845073</v>
      </c>
      <c r="N3677" t="s">
        <v>146</v>
      </c>
      <c r="O3677" t="s">
        <v>147</v>
      </c>
      <c r="R3677" t="s">
        <v>57</v>
      </c>
      <c r="S3677">
        <v>9</v>
      </c>
      <c r="T3677">
        <v>181</v>
      </c>
      <c r="U3677" s="1">
        <v>36039</v>
      </c>
      <c r="V3677" t="s">
        <v>6729</v>
      </c>
      <c r="W3677" t="s">
        <v>6730</v>
      </c>
      <c r="X3677" t="s">
        <v>58</v>
      </c>
      <c r="Y3677">
        <v>18</v>
      </c>
      <c r="Z3677" t="s">
        <v>59</v>
      </c>
      <c r="AA3677" t="s">
        <v>59</v>
      </c>
      <c r="AB3677" t="s">
        <v>59</v>
      </c>
      <c r="AC3677" t="s">
        <v>59</v>
      </c>
      <c r="AD3677" t="s">
        <v>59</v>
      </c>
      <c r="AF3677" s="1">
        <v>36045</v>
      </c>
      <c r="AG3677" t="s">
        <v>125</v>
      </c>
      <c r="AH3677" t="s">
        <v>126</v>
      </c>
      <c r="AI3677" t="str">
        <f>"5001010"</f>
        <v>5001010</v>
      </c>
      <c r="AJ3677" t="s">
        <v>6873</v>
      </c>
      <c r="AK3677">
        <v>2821052130</v>
      </c>
      <c r="AL3677" t="s">
        <v>6874</v>
      </c>
      <c r="AM3677" t="s">
        <v>88</v>
      </c>
      <c r="AN3677" t="s">
        <v>88</v>
      </c>
      <c r="AO3677" t="s">
        <v>88</v>
      </c>
      <c r="AP3677" t="s">
        <v>88</v>
      </c>
      <c r="AQ3677">
        <v>1</v>
      </c>
      <c r="AR3677" t="s">
        <v>6729</v>
      </c>
      <c r="AS3677" t="s">
        <v>6730</v>
      </c>
      <c r="AT3677" t="s">
        <v>58</v>
      </c>
      <c r="AU3677" t="s">
        <v>68</v>
      </c>
      <c r="AV3677" t="s">
        <v>69</v>
      </c>
      <c r="AW3677" s="1">
        <v>24428</v>
      </c>
      <c r="AX3677">
        <v>2</v>
      </c>
    </row>
    <row r="3678" spans="1:50">
      <c r="A3678">
        <v>150206</v>
      </c>
      <c r="B3678" t="str">
        <f>"031876252"</f>
        <v>031876252</v>
      </c>
      <c r="C3678" t="s">
        <v>50</v>
      </c>
      <c r="D3678" t="s">
        <v>7057</v>
      </c>
      <c r="E3678" t="s">
        <v>83</v>
      </c>
      <c r="F3678" t="s">
        <v>377</v>
      </c>
      <c r="G3678" t="s">
        <v>4737</v>
      </c>
      <c r="H3678" t="str">
        <f>" "</f>
        <v xml:space="preserve"> </v>
      </c>
      <c r="J3678">
        <v>2822023877</v>
      </c>
      <c r="K3678">
        <v>6979314330</v>
      </c>
      <c r="M3678" t="s">
        <v>7058</v>
      </c>
      <c r="N3678" t="s">
        <v>146</v>
      </c>
      <c r="O3678" t="s">
        <v>147</v>
      </c>
      <c r="R3678" t="s">
        <v>57</v>
      </c>
      <c r="S3678">
        <v>15</v>
      </c>
      <c r="T3678">
        <v>170</v>
      </c>
      <c r="U3678" s="1">
        <v>32016</v>
      </c>
      <c r="V3678" t="s">
        <v>6729</v>
      </c>
      <c r="W3678" t="s">
        <v>6730</v>
      </c>
      <c r="X3678" t="s">
        <v>58</v>
      </c>
      <c r="Y3678">
        <v>18</v>
      </c>
      <c r="Z3678" t="s">
        <v>59</v>
      </c>
      <c r="AA3678" t="s">
        <v>59</v>
      </c>
      <c r="AB3678" t="s">
        <v>59</v>
      </c>
      <c r="AC3678" t="s">
        <v>59</v>
      </c>
      <c r="AD3678" t="s">
        <v>59</v>
      </c>
      <c r="AF3678" s="1">
        <v>32021</v>
      </c>
      <c r="AG3678" t="s">
        <v>125</v>
      </c>
      <c r="AH3678" t="s">
        <v>126</v>
      </c>
      <c r="AI3678" t="str">
        <f>"5004020"</f>
        <v>5004020</v>
      </c>
      <c r="AJ3678" t="s">
        <v>6806</v>
      </c>
      <c r="AK3678">
        <v>2822022103</v>
      </c>
      <c r="AL3678" t="s">
        <v>6807</v>
      </c>
      <c r="AM3678" t="s">
        <v>88</v>
      </c>
      <c r="AN3678" t="s">
        <v>6744</v>
      </c>
      <c r="AO3678" t="s">
        <v>6744</v>
      </c>
      <c r="AP3678" t="s">
        <v>6744</v>
      </c>
      <c r="AQ3678">
        <v>1</v>
      </c>
      <c r="AR3678" t="s">
        <v>6729</v>
      </c>
      <c r="AS3678" t="s">
        <v>6730</v>
      </c>
      <c r="AT3678" t="s">
        <v>58</v>
      </c>
      <c r="AU3678" t="s">
        <v>68</v>
      </c>
      <c r="AV3678" t="s">
        <v>69</v>
      </c>
      <c r="AW3678" s="1">
        <v>22156</v>
      </c>
      <c r="AX3678">
        <v>2</v>
      </c>
    </row>
    <row r="3679" spans="1:50">
      <c r="A3679">
        <v>211895</v>
      </c>
      <c r="B3679" t="str">
        <f>"047004886"</f>
        <v>047004886</v>
      </c>
      <c r="C3679" t="s">
        <v>50</v>
      </c>
      <c r="D3679" t="s">
        <v>7059</v>
      </c>
      <c r="E3679" t="s">
        <v>238</v>
      </c>
      <c r="F3679" t="s">
        <v>4071</v>
      </c>
      <c r="G3679" t="s">
        <v>476</v>
      </c>
      <c r="H3679" t="str">
        <f>" "</f>
        <v xml:space="preserve"> </v>
      </c>
      <c r="J3679">
        <v>2821027835</v>
      </c>
      <c r="K3679">
        <v>6942961811</v>
      </c>
      <c r="M3679" t="s">
        <v>7060</v>
      </c>
      <c r="N3679" t="s">
        <v>146</v>
      </c>
      <c r="O3679" t="s">
        <v>147</v>
      </c>
      <c r="R3679" t="s">
        <v>57</v>
      </c>
      <c r="S3679">
        <v>6</v>
      </c>
      <c r="T3679">
        <v>231</v>
      </c>
      <c r="U3679" s="1">
        <v>38960</v>
      </c>
      <c r="V3679" t="s">
        <v>6729</v>
      </c>
      <c r="W3679" t="s">
        <v>6730</v>
      </c>
      <c r="X3679" t="s">
        <v>58</v>
      </c>
      <c r="Y3679">
        <v>20</v>
      </c>
      <c r="Z3679" t="s">
        <v>59</v>
      </c>
      <c r="AA3679" t="s">
        <v>59</v>
      </c>
      <c r="AB3679" t="s">
        <v>59</v>
      </c>
      <c r="AC3679" t="s">
        <v>59</v>
      </c>
      <c r="AD3679" t="s">
        <v>59</v>
      </c>
      <c r="AF3679" s="1">
        <v>38961</v>
      </c>
      <c r="AG3679" t="s">
        <v>137</v>
      </c>
      <c r="AH3679" t="s">
        <v>138</v>
      </c>
      <c r="AI3679" t="str">
        <f>"5040050"</f>
        <v>5040050</v>
      </c>
      <c r="AJ3679" t="s">
        <v>6750</v>
      </c>
      <c r="AK3679">
        <v>2821043147</v>
      </c>
      <c r="AL3679" t="s">
        <v>6751</v>
      </c>
      <c r="AM3679" t="s">
        <v>88</v>
      </c>
      <c r="AN3679" t="s">
        <v>88</v>
      </c>
      <c r="AO3679" t="s">
        <v>88</v>
      </c>
      <c r="AP3679" t="s">
        <v>88</v>
      </c>
      <c r="AQ3679">
        <v>1</v>
      </c>
      <c r="AR3679" t="s">
        <v>6729</v>
      </c>
      <c r="AS3679" t="s">
        <v>6730</v>
      </c>
      <c r="AT3679" t="s">
        <v>58</v>
      </c>
      <c r="AU3679" t="s">
        <v>68</v>
      </c>
      <c r="AV3679" t="s">
        <v>69</v>
      </c>
      <c r="AW3679" s="1">
        <v>26288</v>
      </c>
      <c r="AX3679">
        <v>2</v>
      </c>
    </row>
    <row r="3680" spans="1:50">
      <c r="A3680">
        <v>208031</v>
      </c>
      <c r="B3680" t="str">
        <f>"055232348"</f>
        <v>055232348</v>
      </c>
      <c r="C3680" t="s">
        <v>105</v>
      </c>
      <c r="D3680" t="s">
        <v>1037</v>
      </c>
      <c r="E3680" t="s">
        <v>95</v>
      </c>
      <c r="F3680" t="s">
        <v>230</v>
      </c>
      <c r="G3680" t="s">
        <v>714</v>
      </c>
      <c r="H3680" t="str">
        <f>"ΜΑΚΕΔΟΝΙΑΣ 98 ΘΕΣΣΑΛΟΝΙΚΗ"</f>
        <v>ΜΑΚΕΔΟΝΙΑΣ 98 ΘΕΣΣΑΛΟΝΙΚΗ</v>
      </c>
      <c r="I3680">
        <v>54248</v>
      </c>
      <c r="J3680">
        <v>2310302816</v>
      </c>
      <c r="K3680">
        <v>6945171909</v>
      </c>
      <c r="N3680" t="s">
        <v>176</v>
      </c>
      <c r="O3680" t="s">
        <v>177</v>
      </c>
      <c r="R3680" t="s">
        <v>57</v>
      </c>
      <c r="S3680">
        <v>8</v>
      </c>
      <c r="T3680" t="s">
        <v>7061</v>
      </c>
      <c r="U3680" s="1">
        <v>38596</v>
      </c>
      <c r="V3680" t="s">
        <v>6729</v>
      </c>
      <c r="W3680" t="s">
        <v>6730</v>
      </c>
      <c r="X3680" t="s">
        <v>58</v>
      </c>
      <c r="Y3680">
        <v>20</v>
      </c>
      <c r="Z3680" t="s">
        <v>59</v>
      </c>
      <c r="AA3680" t="s">
        <v>59</v>
      </c>
      <c r="AB3680" t="s">
        <v>59</v>
      </c>
      <c r="AC3680" t="s">
        <v>59</v>
      </c>
      <c r="AD3680" t="s">
        <v>59</v>
      </c>
      <c r="AF3680" s="1">
        <v>38602</v>
      </c>
      <c r="AG3680" t="s">
        <v>148</v>
      </c>
      <c r="AH3680" t="s">
        <v>149</v>
      </c>
      <c r="AI3680" t="str">
        <f>"5062010"</f>
        <v>5062010</v>
      </c>
      <c r="AJ3680" t="s">
        <v>6783</v>
      </c>
      <c r="AK3680">
        <v>2821031620</v>
      </c>
      <c r="AL3680" t="s">
        <v>6784</v>
      </c>
      <c r="AM3680" t="s">
        <v>88</v>
      </c>
      <c r="AN3680" t="s">
        <v>88</v>
      </c>
      <c r="AO3680" t="s">
        <v>6785</v>
      </c>
      <c r="AP3680" t="s">
        <v>6786</v>
      </c>
      <c r="AQ3680">
        <v>1</v>
      </c>
      <c r="AR3680" t="s">
        <v>6729</v>
      </c>
      <c r="AS3680" t="s">
        <v>6730</v>
      </c>
      <c r="AT3680" t="s">
        <v>58</v>
      </c>
      <c r="AU3680" t="s">
        <v>68</v>
      </c>
      <c r="AV3680" t="s">
        <v>69</v>
      </c>
      <c r="AW3680" s="1">
        <v>24669</v>
      </c>
      <c r="AX3680">
        <v>2</v>
      </c>
    </row>
    <row r="3681" spans="1:50">
      <c r="B3681" t="str">
        <f>"141299941"</f>
        <v>141299941</v>
      </c>
      <c r="C3681" t="s">
        <v>50</v>
      </c>
      <c r="D3681" t="s">
        <v>1044</v>
      </c>
      <c r="E3681" t="s">
        <v>109</v>
      </c>
      <c r="F3681" t="s">
        <v>304</v>
      </c>
      <c r="G3681" t="s">
        <v>964</v>
      </c>
      <c r="H3681" t="str">
        <f>"Παρθενίου Κελαϊδη 8Α Χανιά Κρήτης "</f>
        <v xml:space="preserve">Παρθενίου Κελαϊδη 8Α Χανιά Κρήτης </v>
      </c>
      <c r="I3681">
        <v>73100</v>
      </c>
      <c r="J3681">
        <v>2104915996</v>
      </c>
      <c r="K3681">
        <v>6947842698</v>
      </c>
      <c r="M3681" t="s">
        <v>7062</v>
      </c>
      <c r="N3681" t="s">
        <v>257</v>
      </c>
      <c r="O3681" t="s">
        <v>258</v>
      </c>
      <c r="R3681" t="s">
        <v>159</v>
      </c>
      <c r="S3681">
        <v>3</v>
      </c>
      <c r="T3681" t="s">
        <v>574</v>
      </c>
      <c r="U3681" s="1">
        <v>43378</v>
      </c>
      <c r="V3681" t="s">
        <v>6729</v>
      </c>
      <c r="W3681" t="s">
        <v>6730</v>
      </c>
      <c r="X3681" t="s">
        <v>58</v>
      </c>
      <c r="Y3681">
        <v>23</v>
      </c>
      <c r="Z3681" t="s">
        <v>59</v>
      </c>
      <c r="AA3681" t="s">
        <v>59</v>
      </c>
      <c r="AB3681" t="s">
        <v>59</v>
      </c>
      <c r="AC3681" t="s">
        <v>59</v>
      </c>
      <c r="AD3681" t="s">
        <v>59</v>
      </c>
      <c r="AF3681" s="1">
        <v>43381</v>
      </c>
      <c r="AG3681" t="s">
        <v>137</v>
      </c>
      <c r="AH3681" t="s">
        <v>469</v>
      </c>
      <c r="AI3681" t="str">
        <f>"5040055"</f>
        <v>5040055</v>
      </c>
      <c r="AJ3681" t="s">
        <v>6940</v>
      </c>
      <c r="AK3681">
        <v>2821036404</v>
      </c>
      <c r="AL3681" t="s">
        <v>6941</v>
      </c>
      <c r="AM3681" t="s">
        <v>88</v>
      </c>
      <c r="AN3681" t="s">
        <v>88</v>
      </c>
      <c r="AO3681" t="s">
        <v>88</v>
      </c>
      <c r="AP3681" t="s">
        <v>88</v>
      </c>
      <c r="AQ3681">
        <v>1</v>
      </c>
      <c r="AR3681" t="s">
        <v>6729</v>
      </c>
      <c r="AS3681" t="s">
        <v>6730</v>
      </c>
      <c r="AT3681" t="s">
        <v>58</v>
      </c>
      <c r="AU3681" t="s">
        <v>164</v>
      </c>
      <c r="AV3681" t="s">
        <v>132</v>
      </c>
      <c r="AW3681" s="1">
        <v>31021</v>
      </c>
      <c r="AX3681">
        <v>2</v>
      </c>
    </row>
    <row r="3682" spans="1:50">
      <c r="A3682">
        <v>197996</v>
      </c>
      <c r="B3682" t="str">
        <f>"037748554"</f>
        <v>037748554</v>
      </c>
      <c r="C3682" t="s">
        <v>50</v>
      </c>
      <c r="D3682" t="s">
        <v>1044</v>
      </c>
      <c r="E3682" t="s">
        <v>52</v>
      </c>
      <c r="F3682" t="s">
        <v>1070</v>
      </c>
      <c r="G3682" t="s">
        <v>4629</v>
      </c>
      <c r="H3682" t="str">
        <f>"ΕΜΜ. ΚΑΤΣΙΓΑΡΗ 8 ΧΑΝΙΑ"</f>
        <v>ΕΜΜ. ΚΑΤΣΙΓΑΡΗ 8 ΧΑΝΙΑ</v>
      </c>
      <c r="I3682">
        <v>73134</v>
      </c>
      <c r="J3682">
        <v>2821046194</v>
      </c>
      <c r="K3682">
        <v>6978773028</v>
      </c>
      <c r="M3682" t="s">
        <v>7063</v>
      </c>
      <c r="N3682" t="s">
        <v>232</v>
      </c>
      <c r="O3682" t="s">
        <v>233</v>
      </c>
      <c r="R3682" t="s">
        <v>57</v>
      </c>
      <c r="S3682">
        <v>7</v>
      </c>
      <c r="T3682">
        <v>206</v>
      </c>
      <c r="U3682" s="1">
        <v>37866</v>
      </c>
      <c r="V3682" t="s">
        <v>6729</v>
      </c>
      <c r="W3682" t="s">
        <v>6730</v>
      </c>
      <c r="X3682" t="s">
        <v>58</v>
      </c>
      <c r="Y3682">
        <v>20</v>
      </c>
      <c r="Z3682" t="s">
        <v>59</v>
      </c>
      <c r="AA3682" t="s">
        <v>59</v>
      </c>
      <c r="AB3682" t="s">
        <v>59</v>
      </c>
      <c r="AC3682" t="s">
        <v>59</v>
      </c>
      <c r="AD3682" t="s">
        <v>59</v>
      </c>
      <c r="AF3682" s="1">
        <v>37868</v>
      </c>
      <c r="AG3682" t="s">
        <v>148</v>
      </c>
      <c r="AH3682" t="s">
        <v>149</v>
      </c>
      <c r="AI3682" t="str">
        <f>"5051050"</f>
        <v>5051050</v>
      </c>
      <c r="AJ3682" t="s">
        <v>6861</v>
      </c>
      <c r="AK3682">
        <v>2821044860</v>
      </c>
      <c r="AL3682" t="s">
        <v>6862</v>
      </c>
      <c r="AM3682" t="s">
        <v>88</v>
      </c>
      <c r="AN3682" t="s">
        <v>88</v>
      </c>
      <c r="AO3682" t="s">
        <v>88</v>
      </c>
      <c r="AP3682" t="s">
        <v>88</v>
      </c>
      <c r="AQ3682">
        <v>1</v>
      </c>
      <c r="AR3682" t="s">
        <v>6729</v>
      </c>
      <c r="AS3682" t="s">
        <v>6730</v>
      </c>
      <c r="AT3682" t="s">
        <v>58</v>
      </c>
      <c r="AU3682" t="s">
        <v>68</v>
      </c>
      <c r="AV3682" t="s">
        <v>69</v>
      </c>
      <c r="AW3682" s="1">
        <v>24588</v>
      </c>
      <c r="AX3682">
        <v>2</v>
      </c>
    </row>
    <row r="3683" spans="1:50">
      <c r="A3683">
        <v>229701</v>
      </c>
      <c r="B3683" t="str">
        <f>"046807102"</f>
        <v>046807102</v>
      </c>
      <c r="C3683" t="s">
        <v>50</v>
      </c>
      <c r="D3683" t="s">
        <v>7064</v>
      </c>
      <c r="E3683" t="s">
        <v>181</v>
      </c>
      <c r="F3683" t="s">
        <v>670</v>
      </c>
      <c r="G3683" t="s">
        <v>109</v>
      </c>
      <c r="H3683" t="str">
        <f>"ΚΡΙΝΩΝ 37 ΖΩΓΡΑΦΟΥ"</f>
        <v>ΚΡΙΝΩΝ 37 ΖΩΓΡΑΦΟΥ</v>
      </c>
      <c r="I3683">
        <v>15772</v>
      </c>
      <c r="J3683">
        <v>2107709091</v>
      </c>
      <c r="K3683">
        <v>6977677163</v>
      </c>
      <c r="M3683" t="s">
        <v>7065</v>
      </c>
      <c r="N3683" t="s">
        <v>907</v>
      </c>
      <c r="O3683" t="s">
        <v>908</v>
      </c>
      <c r="R3683" t="s">
        <v>159</v>
      </c>
      <c r="S3683">
        <v>4</v>
      </c>
      <c r="T3683">
        <v>988</v>
      </c>
      <c r="U3683" s="1">
        <v>40157</v>
      </c>
      <c r="V3683" t="s">
        <v>6729</v>
      </c>
      <c r="W3683" t="s">
        <v>6730</v>
      </c>
      <c r="X3683" t="s">
        <v>58</v>
      </c>
      <c r="Y3683">
        <v>21</v>
      </c>
      <c r="Z3683" t="s">
        <v>59</v>
      </c>
      <c r="AA3683" t="s">
        <v>59</v>
      </c>
      <c r="AB3683" t="s">
        <v>59</v>
      </c>
      <c r="AC3683" t="s">
        <v>59</v>
      </c>
      <c r="AD3683" t="s">
        <v>59</v>
      </c>
      <c r="AF3683" s="1">
        <v>40161</v>
      </c>
      <c r="AG3683" t="s">
        <v>137</v>
      </c>
      <c r="AH3683" t="s">
        <v>138</v>
      </c>
      <c r="AI3683" t="str">
        <f>"5050060"</f>
        <v>5050060</v>
      </c>
      <c r="AJ3683" t="s">
        <v>6801</v>
      </c>
      <c r="AK3683">
        <v>2821091515</v>
      </c>
      <c r="AL3683" t="s">
        <v>6802</v>
      </c>
      <c r="AM3683" t="s">
        <v>88</v>
      </c>
      <c r="AN3683" t="s">
        <v>88</v>
      </c>
      <c r="AO3683" t="s">
        <v>88</v>
      </c>
      <c r="AP3683" t="s">
        <v>88</v>
      </c>
      <c r="AQ3683">
        <v>1</v>
      </c>
      <c r="AR3683" t="s">
        <v>6729</v>
      </c>
      <c r="AS3683" t="s">
        <v>6730</v>
      </c>
      <c r="AT3683" t="s">
        <v>58</v>
      </c>
      <c r="AU3683" t="s">
        <v>68</v>
      </c>
      <c r="AV3683" t="s">
        <v>69</v>
      </c>
      <c r="AW3683" s="1">
        <v>26045</v>
      </c>
      <c r="AX3683">
        <v>2</v>
      </c>
    </row>
    <row r="3684" spans="1:50">
      <c r="A3684">
        <v>162172</v>
      </c>
      <c r="B3684" t="str">
        <f>"063901942"</f>
        <v>063901942</v>
      </c>
      <c r="C3684" t="s">
        <v>50</v>
      </c>
      <c r="D3684" t="s">
        <v>7066</v>
      </c>
      <c r="E3684" t="s">
        <v>5322</v>
      </c>
      <c r="F3684" t="s">
        <v>95</v>
      </c>
      <c r="G3684" t="s">
        <v>330</v>
      </c>
      <c r="H3684" t="str">
        <f>"ΚΟΥΝΟΥΠΙΔΙΑΝΑ ΑΚΡΩΤΗΡΙ-ΧΑΝΙΩΝ"</f>
        <v>ΚΟΥΝΟΥΠΙΔΙΑΝΑ ΑΚΡΩΤΗΡΙ-ΧΑΝΙΩΝ</v>
      </c>
      <c r="I3684">
        <v>73100</v>
      </c>
      <c r="J3684">
        <v>2821069871</v>
      </c>
      <c r="K3684">
        <v>6973327168</v>
      </c>
      <c r="N3684" t="s">
        <v>146</v>
      </c>
      <c r="O3684" t="s">
        <v>147</v>
      </c>
      <c r="R3684" t="s">
        <v>57</v>
      </c>
      <c r="S3684">
        <v>15</v>
      </c>
      <c r="T3684">
        <v>132</v>
      </c>
      <c r="U3684" s="1">
        <v>33456</v>
      </c>
      <c r="V3684" t="s">
        <v>6729</v>
      </c>
      <c r="W3684" t="s">
        <v>6730</v>
      </c>
      <c r="X3684" t="s">
        <v>58</v>
      </c>
      <c r="Y3684">
        <v>18</v>
      </c>
      <c r="Z3684" t="s">
        <v>59</v>
      </c>
      <c r="AA3684" t="s">
        <v>59</v>
      </c>
      <c r="AB3684" t="s">
        <v>59</v>
      </c>
      <c r="AC3684" t="s">
        <v>59</v>
      </c>
      <c r="AD3684" t="s">
        <v>59</v>
      </c>
      <c r="AF3684" s="1">
        <v>33484</v>
      </c>
      <c r="AG3684" t="s">
        <v>125</v>
      </c>
      <c r="AH3684" t="s">
        <v>126</v>
      </c>
      <c r="AI3684" t="str">
        <f>"5001075"</f>
        <v>5001075</v>
      </c>
      <c r="AJ3684" t="s">
        <v>6768</v>
      </c>
      <c r="AK3684">
        <v>2821064200</v>
      </c>
      <c r="AL3684" t="s">
        <v>6769</v>
      </c>
      <c r="AM3684" t="s">
        <v>88</v>
      </c>
      <c r="AN3684" t="s">
        <v>88</v>
      </c>
      <c r="AO3684" t="s">
        <v>6770</v>
      </c>
      <c r="AP3684" t="s">
        <v>6771</v>
      </c>
      <c r="AQ3684">
        <v>1</v>
      </c>
      <c r="AR3684" t="s">
        <v>6729</v>
      </c>
      <c r="AS3684" t="s">
        <v>6730</v>
      </c>
      <c r="AT3684" t="s">
        <v>58</v>
      </c>
      <c r="AU3684" t="s">
        <v>68</v>
      </c>
      <c r="AV3684" t="s">
        <v>69</v>
      </c>
      <c r="AW3684" s="1">
        <v>22398</v>
      </c>
      <c r="AX3684">
        <v>2</v>
      </c>
    </row>
    <row r="3685" spans="1:50">
      <c r="A3685">
        <v>197650</v>
      </c>
      <c r="B3685" t="str">
        <f>"046187222"</f>
        <v>046187222</v>
      </c>
      <c r="C3685" t="s">
        <v>105</v>
      </c>
      <c r="D3685" t="s">
        <v>1073</v>
      </c>
      <c r="E3685" t="s">
        <v>166</v>
      </c>
      <c r="F3685" t="s">
        <v>53</v>
      </c>
      <c r="G3685" t="s">
        <v>7067</v>
      </c>
      <c r="H3685" t="str">
        <f>" "</f>
        <v xml:space="preserve"> </v>
      </c>
      <c r="J3685">
        <v>2821070719</v>
      </c>
      <c r="K3685">
        <v>6947903184</v>
      </c>
      <c r="N3685" t="s">
        <v>292</v>
      </c>
      <c r="O3685" t="s">
        <v>293</v>
      </c>
      <c r="R3685" t="s">
        <v>57</v>
      </c>
      <c r="S3685">
        <v>8</v>
      </c>
      <c r="T3685">
        <v>206</v>
      </c>
      <c r="U3685" s="1">
        <v>37866</v>
      </c>
      <c r="V3685" t="s">
        <v>6729</v>
      </c>
      <c r="W3685" t="s">
        <v>6730</v>
      </c>
      <c r="X3685" t="s">
        <v>58</v>
      </c>
      <c r="Y3685">
        <v>20</v>
      </c>
      <c r="Z3685" t="s">
        <v>59</v>
      </c>
      <c r="AA3685" t="s">
        <v>59</v>
      </c>
      <c r="AB3685" t="s">
        <v>59</v>
      </c>
      <c r="AC3685" t="s">
        <v>59</v>
      </c>
      <c r="AD3685" t="s">
        <v>59</v>
      </c>
      <c r="AF3685" s="1">
        <v>37866</v>
      </c>
      <c r="AG3685" t="s">
        <v>148</v>
      </c>
      <c r="AH3685" t="s">
        <v>149</v>
      </c>
      <c r="AI3685" t="str">
        <f>"5062010"</f>
        <v>5062010</v>
      </c>
      <c r="AJ3685" t="s">
        <v>6783</v>
      </c>
      <c r="AK3685">
        <v>2821031620</v>
      </c>
      <c r="AL3685" t="s">
        <v>6784</v>
      </c>
      <c r="AM3685" t="s">
        <v>88</v>
      </c>
      <c r="AN3685" t="s">
        <v>88</v>
      </c>
      <c r="AO3685" t="s">
        <v>6785</v>
      </c>
      <c r="AP3685" t="s">
        <v>6786</v>
      </c>
      <c r="AQ3685">
        <v>1</v>
      </c>
      <c r="AR3685" t="s">
        <v>6729</v>
      </c>
      <c r="AS3685" t="s">
        <v>6730</v>
      </c>
      <c r="AT3685" t="s">
        <v>58</v>
      </c>
      <c r="AU3685" t="s">
        <v>68</v>
      </c>
      <c r="AV3685" t="s">
        <v>69</v>
      </c>
      <c r="AW3685" s="1">
        <v>24721</v>
      </c>
      <c r="AX3685">
        <v>2</v>
      </c>
    </row>
    <row r="3686" spans="1:50">
      <c r="A3686">
        <v>221217</v>
      </c>
      <c r="B3686" t="str">
        <f>"045279886"</f>
        <v>045279886</v>
      </c>
      <c r="C3686" t="s">
        <v>105</v>
      </c>
      <c r="D3686" t="s">
        <v>1073</v>
      </c>
      <c r="E3686" t="s">
        <v>72</v>
      </c>
      <c r="F3686" t="s">
        <v>53</v>
      </c>
      <c r="G3686" t="s">
        <v>473</v>
      </c>
      <c r="H3686" t="str">
        <f>" "</f>
        <v xml:space="preserve"> </v>
      </c>
      <c r="J3686">
        <v>2824023635</v>
      </c>
      <c r="K3686">
        <v>6978442362</v>
      </c>
      <c r="N3686" t="s">
        <v>299</v>
      </c>
      <c r="O3686" t="s">
        <v>300</v>
      </c>
      <c r="R3686" t="s">
        <v>57</v>
      </c>
      <c r="S3686">
        <v>5</v>
      </c>
      <c r="T3686">
        <v>691</v>
      </c>
      <c r="U3686" s="1">
        <v>39331</v>
      </c>
      <c r="V3686" t="s">
        <v>6729</v>
      </c>
      <c r="W3686" t="s">
        <v>6730</v>
      </c>
      <c r="X3686" t="s">
        <v>58</v>
      </c>
      <c r="Y3686">
        <v>21</v>
      </c>
      <c r="Z3686" t="s">
        <v>59</v>
      </c>
      <c r="AA3686" t="s">
        <v>59</v>
      </c>
      <c r="AB3686" t="s">
        <v>59</v>
      </c>
      <c r="AC3686" t="s">
        <v>59</v>
      </c>
      <c r="AD3686" t="s">
        <v>59</v>
      </c>
      <c r="AF3686" s="1">
        <v>39332</v>
      </c>
      <c r="AG3686" t="s">
        <v>148</v>
      </c>
      <c r="AH3686" t="s">
        <v>149</v>
      </c>
      <c r="AI3686" t="str">
        <f>"5056010"</f>
        <v>5056010</v>
      </c>
      <c r="AJ3686" t="s">
        <v>6762</v>
      </c>
      <c r="AK3686">
        <v>2824031210</v>
      </c>
      <c r="AL3686" t="s">
        <v>6763</v>
      </c>
      <c r="AM3686" t="s">
        <v>88</v>
      </c>
      <c r="AN3686" t="s">
        <v>6764</v>
      </c>
      <c r="AO3686" t="s">
        <v>6765</v>
      </c>
      <c r="AP3686" t="s">
        <v>6765</v>
      </c>
      <c r="AQ3686">
        <v>1</v>
      </c>
      <c r="AR3686" t="s">
        <v>6729</v>
      </c>
      <c r="AS3686" t="s">
        <v>6730</v>
      </c>
      <c r="AT3686" t="s">
        <v>58</v>
      </c>
      <c r="AU3686" t="s">
        <v>68</v>
      </c>
      <c r="AV3686" t="s">
        <v>69</v>
      </c>
      <c r="AW3686" s="1">
        <v>21904</v>
      </c>
      <c r="AX3686">
        <v>2</v>
      </c>
    </row>
    <row r="3687" spans="1:50">
      <c r="A3687">
        <v>210036</v>
      </c>
      <c r="B3687" t="str">
        <f>"059119400"</f>
        <v>059119400</v>
      </c>
      <c r="C3687" t="s">
        <v>105</v>
      </c>
      <c r="D3687" t="s">
        <v>1073</v>
      </c>
      <c r="E3687" t="s">
        <v>450</v>
      </c>
      <c r="F3687" t="s">
        <v>304</v>
      </c>
      <c r="G3687" t="s">
        <v>83</v>
      </c>
      <c r="H3687" t="str">
        <f>" "</f>
        <v xml:space="preserve"> </v>
      </c>
      <c r="J3687">
        <v>2821023198</v>
      </c>
      <c r="K3687">
        <v>6942400443</v>
      </c>
      <c r="N3687" t="s">
        <v>232</v>
      </c>
      <c r="O3687" t="s">
        <v>233</v>
      </c>
      <c r="R3687" t="s">
        <v>57</v>
      </c>
      <c r="S3687">
        <v>6</v>
      </c>
      <c r="T3687" t="s">
        <v>7068</v>
      </c>
      <c r="U3687" s="1">
        <v>38608</v>
      </c>
      <c r="V3687" t="s">
        <v>6729</v>
      </c>
      <c r="W3687" t="s">
        <v>6730</v>
      </c>
      <c r="X3687" t="s">
        <v>58</v>
      </c>
      <c r="Y3687">
        <v>20</v>
      </c>
      <c r="Z3687" t="s">
        <v>59</v>
      </c>
      <c r="AA3687" t="s">
        <v>59</v>
      </c>
      <c r="AB3687" t="s">
        <v>59</v>
      </c>
      <c r="AC3687" t="s">
        <v>59</v>
      </c>
      <c r="AD3687" t="s">
        <v>59</v>
      </c>
      <c r="AF3687" s="1">
        <v>38608</v>
      </c>
      <c r="AG3687" t="s">
        <v>148</v>
      </c>
      <c r="AH3687" t="s">
        <v>149</v>
      </c>
      <c r="AI3687" t="str">
        <f>"5051009"</f>
        <v>5051009</v>
      </c>
      <c r="AJ3687" t="s">
        <v>6851</v>
      </c>
      <c r="AK3687">
        <v>2821044551</v>
      </c>
      <c r="AL3687" t="s">
        <v>6852</v>
      </c>
      <c r="AM3687" t="s">
        <v>88</v>
      </c>
      <c r="AN3687" t="s">
        <v>88</v>
      </c>
      <c r="AO3687" t="s">
        <v>6770</v>
      </c>
      <c r="AP3687" t="s">
        <v>6771</v>
      </c>
      <c r="AQ3687">
        <v>1</v>
      </c>
      <c r="AR3687" t="s">
        <v>6729</v>
      </c>
      <c r="AS3687" t="s">
        <v>6730</v>
      </c>
      <c r="AT3687" t="s">
        <v>58</v>
      </c>
      <c r="AU3687" t="s">
        <v>68</v>
      </c>
      <c r="AV3687" t="s">
        <v>69</v>
      </c>
      <c r="AW3687" s="1">
        <v>25107</v>
      </c>
      <c r="AX3687">
        <v>2</v>
      </c>
    </row>
    <row r="3688" spans="1:50">
      <c r="A3688">
        <v>217817</v>
      </c>
      <c r="B3688" t="str">
        <f>"051184109"</f>
        <v>051184109</v>
      </c>
      <c r="C3688" t="s">
        <v>50</v>
      </c>
      <c r="D3688" t="s">
        <v>7069</v>
      </c>
      <c r="E3688" t="s">
        <v>7070</v>
      </c>
      <c r="F3688" t="s">
        <v>450</v>
      </c>
      <c r="G3688" t="s">
        <v>7071</v>
      </c>
      <c r="H3688" t="str">
        <f>"ΑΓ. ΚΩΝΣΤΑΝΤΙΝΟΥ 6 "</f>
        <v xml:space="preserve">ΑΓ. ΚΩΝΣΤΑΝΤΙΝΟΥ 6 </v>
      </c>
      <c r="I3688">
        <v>73131</v>
      </c>
      <c r="J3688">
        <v>2821090452</v>
      </c>
      <c r="K3688">
        <v>6977253974</v>
      </c>
      <c r="M3688" t="s">
        <v>7072</v>
      </c>
      <c r="N3688" t="s">
        <v>292</v>
      </c>
      <c r="O3688" t="s">
        <v>293</v>
      </c>
      <c r="R3688" t="s">
        <v>57</v>
      </c>
      <c r="S3688">
        <v>6</v>
      </c>
      <c r="T3688">
        <v>599</v>
      </c>
      <c r="U3688" s="1">
        <v>39310</v>
      </c>
      <c r="V3688" t="s">
        <v>6729</v>
      </c>
      <c r="W3688" t="s">
        <v>6730</v>
      </c>
      <c r="X3688" t="s">
        <v>58</v>
      </c>
      <c r="Y3688">
        <v>20</v>
      </c>
      <c r="Z3688" t="s">
        <v>59</v>
      </c>
      <c r="AA3688" t="s">
        <v>59</v>
      </c>
      <c r="AB3688" t="s">
        <v>59</v>
      </c>
      <c r="AC3688" t="s">
        <v>59</v>
      </c>
      <c r="AD3688" t="s">
        <v>59</v>
      </c>
      <c r="AF3688" s="1">
        <v>39328</v>
      </c>
      <c r="AG3688" t="s">
        <v>125</v>
      </c>
      <c r="AH3688" t="s">
        <v>126</v>
      </c>
      <c r="AI3688" t="str">
        <f>"5001076"</f>
        <v>5001076</v>
      </c>
      <c r="AJ3688" t="s">
        <v>6979</v>
      </c>
      <c r="AK3688">
        <v>2821088808</v>
      </c>
      <c r="AL3688" t="s">
        <v>6980</v>
      </c>
      <c r="AM3688" t="s">
        <v>88</v>
      </c>
      <c r="AN3688" t="s">
        <v>88</v>
      </c>
      <c r="AO3688" t="s">
        <v>6733</v>
      </c>
      <c r="AP3688" t="s">
        <v>6755</v>
      </c>
      <c r="AQ3688">
        <v>1</v>
      </c>
      <c r="AR3688" t="s">
        <v>6729</v>
      </c>
      <c r="AS3688" t="s">
        <v>6730</v>
      </c>
      <c r="AT3688" t="s">
        <v>58</v>
      </c>
      <c r="AU3688" t="s">
        <v>68</v>
      </c>
      <c r="AV3688" t="s">
        <v>69</v>
      </c>
      <c r="AW3688" s="1">
        <v>24571</v>
      </c>
      <c r="AX3688">
        <v>2</v>
      </c>
    </row>
    <row r="3689" spans="1:50">
      <c r="A3689">
        <v>189191</v>
      </c>
      <c r="B3689" t="str">
        <f>"046536635"</f>
        <v>046536635</v>
      </c>
      <c r="C3689" t="s">
        <v>50</v>
      </c>
      <c r="D3689" t="s">
        <v>7073</v>
      </c>
      <c r="E3689" t="s">
        <v>366</v>
      </c>
      <c r="F3689" t="s">
        <v>166</v>
      </c>
      <c r="G3689" t="s">
        <v>52</v>
      </c>
      <c r="H3689" t="str">
        <f>" "</f>
        <v xml:space="preserve"> </v>
      </c>
      <c r="J3689">
        <v>2821050933</v>
      </c>
      <c r="K3689">
        <v>6979316622</v>
      </c>
      <c r="M3689" t="s">
        <v>7074</v>
      </c>
      <c r="N3689" t="s">
        <v>146</v>
      </c>
      <c r="O3689" t="s">
        <v>147</v>
      </c>
      <c r="R3689" t="s">
        <v>57</v>
      </c>
      <c r="S3689">
        <v>8</v>
      </c>
      <c r="T3689">
        <v>219</v>
      </c>
      <c r="U3689" s="1">
        <v>37134</v>
      </c>
      <c r="V3689" t="s">
        <v>6729</v>
      </c>
      <c r="W3689" t="s">
        <v>6730</v>
      </c>
      <c r="X3689" t="s">
        <v>58</v>
      </c>
      <c r="Y3689">
        <v>20</v>
      </c>
      <c r="Z3689" t="s">
        <v>59</v>
      </c>
      <c r="AA3689" t="s">
        <v>59</v>
      </c>
      <c r="AB3689" t="s">
        <v>59</v>
      </c>
      <c r="AC3689" t="s">
        <v>59</v>
      </c>
      <c r="AD3689" t="s">
        <v>59</v>
      </c>
      <c r="AF3689" s="1">
        <v>37144</v>
      </c>
      <c r="AG3689" t="s">
        <v>148</v>
      </c>
      <c r="AH3689" t="s">
        <v>149</v>
      </c>
      <c r="AI3689" t="str">
        <f>"5090080"</f>
        <v>5090080</v>
      </c>
      <c r="AJ3689" t="s">
        <v>6906</v>
      </c>
      <c r="AK3689">
        <v>2821096638</v>
      </c>
      <c r="AL3689" t="s">
        <v>6907</v>
      </c>
      <c r="AM3689" t="s">
        <v>88</v>
      </c>
      <c r="AN3689" t="s">
        <v>88</v>
      </c>
      <c r="AO3689" t="s">
        <v>88</v>
      </c>
      <c r="AP3689" t="s">
        <v>88</v>
      </c>
      <c r="AQ3689">
        <v>1</v>
      </c>
      <c r="AR3689" t="s">
        <v>6729</v>
      </c>
      <c r="AS3689" t="s">
        <v>6730</v>
      </c>
      <c r="AT3689" t="s">
        <v>58</v>
      </c>
      <c r="AU3689" t="s">
        <v>68</v>
      </c>
      <c r="AV3689" t="s">
        <v>69</v>
      </c>
      <c r="AW3689" s="1">
        <v>25976</v>
      </c>
      <c r="AX3689">
        <v>2</v>
      </c>
    </row>
    <row r="3690" spans="1:50">
      <c r="A3690">
        <v>214914</v>
      </c>
      <c r="B3690" t="str">
        <f>"078128542"</f>
        <v>078128542</v>
      </c>
      <c r="C3690" t="s">
        <v>50</v>
      </c>
      <c r="D3690" t="s">
        <v>7075</v>
      </c>
      <c r="E3690" t="s">
        <v>7076</v>
      </c>
      <c r="F3690" t="s">
        <v>920</v>
      </c>
      <c r="G3690" t="s">
        <v>143</v>
      </c>
      <c r="H3690" t="str">
        <f>" "</f>
        <v xml:space="preserve"> </v>
      </c>
      <c r="J3690">
        <v>2552025482</v>
      </c>
      <c r="K3690">
        <v>6947270492</v>
      </c>
      <c r="M3690" t="s">
        <v>7077</v>
      </c>
      <c r="N3690" t="s">
        <v>189</v>
      </c>
      <c r="O3690" t="s">
        <v>190</v>
      </c>
      <c r="R3690" t="s">
        <v>57</v>
      </c>
      <c r="S3690">
        <v>8</v>
      </c>
      <c r="T3690">
        <v>231</v>
      </c>
      <c r="U3690" s="1">
        <v>38960</v>
      </c>
      <c r="V3690" t="s">
        <v>6729</v>
      </c>
      <c r="W3690" t="s">
        <v>6730</v>
      </c>
      <c r="X3690" t="s">
        <v>58</v>
      </c>
      <c r="Y3690">
        <v>20</v>
      </c>
      <c r="Z3690" t="s">
        <v>59</v>
      </c>
      <c r="AA3690" t="s">
        <v>59</v>
      </c>
      <c r="AB3690" t="s">
        <v>59</v>
      </c>
      <c r="AC3690" t="s">
        <v>59</v>
      </c>
      <c r="AD3690" t="s">
        <v>59</v>
      </c>
      <c r="AF3690" s="1">
        <v>38961</v>
      </c>
      <c r="AG3690" t="s">
        <v>137</v>
      </c>
      <c r="AH3690" t="s">
        <v>138</v>
      </c>
      <c r="AI3690" t="str">
        <f>"5040050"</f>
        <v>5040050</v>
      </c>
      <c r="AJ3690" t="s">
        <v>6750</v>
      </c>
      <c r="AK3690">
        <v>2821043147</v>
      </c>
      <c r="AL3690" t="s">
        <v>6751</v>
      </c>
      <c r="AM3690" t="s">
        <v>88</v>
      </c>
      <c r="AN3690" t="s">
        <v>88</v>
      </c>
      <c r="AO3690" t="s">
        <v>88</v>
      </c>
      <c r="AP3690" t="s">
        <v>88</v>
      </c>
      <c r="AQ3690">
        <v>1</v>
      </c>
      <c r="AR3690" t="s">
        <v>6729</v>
      </c>
      <c r="AS3690" t="s">
        <v>6730</v>
      </c>
      <c r="AT3690" t="s">
        <v>58</v>
      </c>
      <c r="AU3690" t="s">
        <v>68</v>
      </c>
      <c r="AV3690" t="s">
        <v>69</v>
      </c>
      <c r="AW3690" s="1">
        <v>28049</v>
      </c>
      <c r="AX3690">
        <v>2</v>
      </c>
    </row>
    <row r="3691" spans="1:50">
      <c r="A3691">
        <v>196957</v>
      </c>
      <c r="B3691" t="str">
        <f>"052093848"</f>
        <v>052093848</v>
      </c>
      <c r="C3691" t="s">
        <v>50</v>
      </c>
      <c r="D3691" t="s">
        <v>7078</v>
      </c>
      <c r="E3691" t="s">
        <v>845</v>
      </c>
      <c r="F3691" t="s">
        <v>377</v>
      </c>
      <c r="G3691" t="s">
        <v>52</v>
      </c>
      <c r="H3691" t="str">
        <f>"ΔΙΚΩΝΥΜΟΥ 9 ΧΑΝΙΑ"</f>
        <v>ΔΙΚΩΝΥΜΟΥ 9 ΧΑΝΙΑ</v>
      </c>
      <c r="I3691">
        <v>73134</v>
      </c>
      <c r="J3691">
        <v>2821088242</v>
      </c>
      <c r="K3691">
        <v>6973736138</v>
      </c>
      <c r="N3691" t="s">
        <v>146</v>
      </c>
      <c r="O3691" t="s">
        <v>147</v>
      </c>
      <c r="R3691" t="s">
        <v>57</v>
      </c>
      <c r="S3691">
        <v>7</v>
      </c>
      <c r="T3691">
        <v>206</v>
      </c>
      <c r="U3691" s="1">
        <v>37866</v>
      </c>
      <c r="V3691" t="s">
        <v>6729</v>
      </c>
      <c r="W3691" t="s">
        <v>6730</v>
      </c>
      <c r="X3691" t="s">
        <v>58</v>
      </c>
      <c r="Y3691">
        <v>20</v>
      </c>
      <c r="Z3691" t="s">
        <v>59</v>
      </c>
      <c r="AA3691" t="s">
        <v>59</v>
      </c>
      <c r="AB3691" t="s">
        <v>59</v>
      </c>
      <c r="AC3691" t="s">
        <v>59</v>
      </c>
      <c r="AD3691" t="s">
        <v>59</v>
      </c>
      <c r="AF3691" s="1">
        <v>37866</v>
      </c>
      <c r="AG3691" t="s">
        <v>148</v>
      </c>
      <c r="AH3691" t="s">
        <v>149</v>
      </c>
      <c r="AI3691" t="str">
        <f>"5051040"</f>
        <v>5051040</v>
      </c>
      <c r="AJ3691" t="s">
        <v>6811</v>
      </c>
      <c r="AK3691">
        <v>2821088007</v>
      </c>
      <c r="AL3691" t="s">
        <v>6812</v>
      </c>
      <c r="AM3691" t="s">
        <v>88</v>
      </c>
      <c r="AN3691" t="s">
        <v>88</v>
      </c>
      <c r="AO3691" t="s">
        <v>88</v>
      </c>
      <c r="AP3691" t="s">
        <v>88</v>
      </c>
      <c r="AQ3691">
        <v>1</v>
      </c>
      <c r="AR3691" t="s">
        <v>6729</v>
      </c>
      <c r="AS3691" t="s">
        <v>6730</v>
      </c>
      <c r="AT3691" t="s">
        <v>58</v>
      </c>
      <c r="AU3691" t="s">
        <v>68</v>
      </c>
      <c r="AV3691" t="s">
        <v>69</v>
      </c>
      <c r="AW3691" s="1">
        <v>25647</v>
      </c>
      <c r="AX3691">
        <v>2</v>
      </c>
    </row>
    <row r="3692" spans="1:50">
      <c r="A3692">
        <v>703047</v>
      </c>
      <c r="B3692" t="str">
        <f>"100622037"</f>
        <v>100622037</v>
      </c>
      <c r="C3692" t="s">
        <v>50</v>
      </c>
      <c r="D3692" t="s">
        <v>1080</v>
      </c>
      <c r="E3692" t="s">
        <v>7079</v>
      </c>
      <c r="F3692" t="s">
        <v>53</v>
      </c>
      <c r="G3692" t="s">
        <v>52</v>
      </c>
      <c r="H3692" t="str">
        <f>"ΜΟΝΗΣ ΓΩΝΙΑΣ  36 ΧΑΝΙΑ"</f>
        <v>ΜΟΝΗΣ ΓΩΝΙΑΣ  36 ΧΑΝΙΑ</v>
      </c>
      <c r="I3692">
        <v>73131</v>
      </c>
      <c r="J3692">
        <v>2821075259</v>
      </c>
      <c r="K3692">
        <v>6945322736</v>
      </c>
      <c r="L3692">
        <v>2821009140</v>
      </c>
      <c r="M3692" t="s">
        <v>7080</v>
      </c>
      <c r="N3692" t="s">
        <v>199</v>
      </c>
      <c r="O3692" t="s">
        <v>200</v>
      </c>
      <c r="R3692" t="s">
        <v>57</v>
      </c>
      <c r="S3692">
        <v>4</v>
      </c>
      <c r="T3692">
        <v>588</v>
      </c>
      <c r="U3692" s="1">
        <v>40778</v>
      </c>
      <c r="V3692" t="s">
        <v>6729</v>
      </c>
      <c r="W3692" t="s">
        <v>6730</v>
      </c>
      <c r="X3692" t="s">
        <v>58</v>
      </c>
      <c r="Y3692">
        <v>21</v>
      </c>
      <c r="Z3692" t="s">
        <v>59</v>
      </c>
      <c r="AA3692" t="s">
        <v>59</v>
      </c>
      <c r="AB3692" t="s">
        <v>59</v>
      </c>
      <c r="AC3692" t="s">
        <v>59</v>
      </c>
      <c r="AD3692" t="s">
        <v>59</v>
      </c>
      <c r="AF3692" s="1">
        <v>40781</v>
      </c>
      <c r="AG3692" t="s">
        <v>125</v>
      </c>
      <c r="AH3692" t="s">
        <v>126</v>
      </c>
      <c r="AI3692" t="str">
        <f>"5008010"</f>
        <v>5008010</v>
      </c>
      <c r="AJ3692" t="s">
        <v>6993</v>
      </c>
      <c r="AK3692">
        <v>2825091207</v>
      </c>
      <c r="AL3692" t="s">
        <v>6994</v>
      </c>
      <c r="AM3692" t="s">
        <v>88</v>
      </c>
      <c r="AN3692" t="s">
        <v>6995</v>
      </c>
      <c r="AO3692" t="s">
        <v>6995</v>
      </c>
      <c r="AP3692" t="s">
        <v>6996</v>
      </c>
      <c r="AQ3692">
        <v>1</v>
      </c>
      <c r="AR3692" t="s">
        <v>6729</v>
      </c>
      <c r="AS3692" t="s">
        <v>6730</v>
      </c>
      <c r="AT3692" t="s">
        <v>58</v>
      </c>
      <c r="AU3692" t="s">
        <v>68</v>
      </c>
      <c r="AV3692" t="s">
        <v>132</v>
      </c>
      <c r="AW3692" s="1">
        <v>27611</v>
      </c>
      <c r="AX3692">
        <v>2</v>
      </c>
    </row>
    <row r="3693" spans="1:50">
      <c r="A3693">
        <v>199392</v>
      </c>
      <c r="B3693" t="str">
        <f>"061272049"</f>
        <v>061272049</v>
      </c>
      <c r="C3693" t="s">
        <v>50</v>
      </c>
      <c r="D3693" t="s">
        <v>7081</v>
      </c>
      <c r="E3693" t="s">
        <v>237</v>
      </c>
      <c r="F3693" t="s">
        <v>474</v>
      </c>
      <c r="G3693" t="s">
        <v>563</v>
      </c>
      <c r="H3693" t="str">
        <f>"ΠΑΡΟΔΟΣ ΠΑΡΑΣΚΕΥΑ ΓΙΟΥΡΜΕΤΑΚΗ ΧΑΝΙΑ"</f>
        <v>ΠΑΡΟΔΟΣ ΠΑΡΑΣΚΕΥΑ ΓΙΟΥΡΜΕΤΑΚΗ ΧΑΝΙΑ</v>
      </c>
      <c r="I3693">
        <v>73100</v>
      </c>
      <c r="J3693">
        <v>2821033519</v>
      </c>
      <c r="K3693">
        <v>6973346393</v>
      </c>
      <c r="M3693" t="s">
        <v>7082</v>
      </c>
      <c r="N3693" t="s">
        <v>189</v>
      </c>
      <c r="O3693" t="s">
        <v>190</v>
      </c>
      <c r="R3693" t="s">
        <v>57</v>
      </c>
      <c r="S3693">
        <v>11</v>
      </c>
      <c r="T3693">
        <v>206</v>
      </c>
      <c r="U3693" s="1">
        <v>37866</v>
      </c>
      <c r="V3693" t="s">
        <v>6729</v>
      </c>
      <c r="W3693" t="s">
        <v>6730</v>
      </c>
      <c r="X3693" t="s">
        <v>58</v>
      </c>
      <c r="Y3693">
        <v>20</v>
      </c>
      <c r="Z3693" t="s">
        <v>59</v>
      </c>
      <c r="AA3693" t="s">
        <v>59</v>
      </c>
      <c r="AB3693" t="s">
        <v>59</v>
      </c>
      <c r="AC3693" t="s">
        <v>59</v>
      </c>
      <c r="AD3693" t="s">
        <v>59</v>
      </c>
      <c r="AF3693" s="1">
        <v>37866</v>
      </c>
      <c r="AG3693" t="s">
        <v>137</v>
      </c>
      <c r="AH3693" t="s">
        <v>469</v>
      </c>
      <c r="AI3693" t="str">
        <f>"5040055"</f>
        <v>5040055</v>
      </c>
      <c r="AJ3693" t="s">
        <v>6940</v>
      </c>
      <c r="AK3693">
        <v>2821036404</v>
      </c>
      <c r="AL3693" t="s">
        <v>6941</v>
      </c>
      <c r="AM3693" t="s">
        <v>88</v>
      </c>
      <c r="AN3693" t="s">
        <v>88</v>
      </c>
      <c r="AO3693" t="s">
        <v>88</v>
      </c>
      <c r="AP3693" t="s">
        <v>88</v>
      </c>
      <c r="AQ3693">
        <v>1</v>
      </c>
      <c r="AR3693" t="s">
        <v>6729</v>
      </c>
      <c r="AS3693" t="s">
        <v>6730</v>
      </c>
      <c r="AT3693" t="s">
        <v>58</v>
      </c>
      <c r="AU3693" t="s">
        <v>68</v>
      </c>
      <c r="AV3693" t="s">
        <v>69</v>
      </c>
      <c r="AW3693" s="1">
        <v>29055</v>
      </c>
      <c r="AX3693">
        <v>2</v>
      </c>
    </row>
    <row r="3694" spans="1:50">
      <c r="A3694">
        <v>220192</v>
      </c>
      <c r="B3694" t="str">
        <f>"059439850"</f>
        <v>059439850</v>
      </c>
      <c r="C3694" t="s">
        <v>50</v>
      </c>
      <c r="D3694" t="s">
        <v>7081</v>
      </c>
      <c r="E3694" t="s">
        <v>54</v>
      </c>
      <c r="F3694" t="s">
        <v>166</v>
      </c>
      <c r="G3694" t="s">
        <v>52</v>
      </c>
      <c r="H3694" t="str">
        <f>"ΔΑΓΚΛΗ 7 ΧΑΝΙΑ"</f>
        <v>ΔΑΓΚΛΗ 7 ΧΑΝΙΑ</v>
      </c>
      <c r="I3694">
        <v>73133</v>
      </c>
      <c r="K3694">
        <v>6977076797</v>
      </c>
      <c r="M3694" t="s">
        <v>7083</v>
      </c>
      <c r="N3694" t="s">
        <v>257</v>
      </c>
      <c r="O3694" t="s">
        <v>258</v>
      </c>
      <c r="R3694" t="s">
        <v>57</v>
      </c>
      <c r="S3694">
        <v>5</v>
      </c>
      <c r="T3694">
        <v>639</v>
      </c>
      <c r="U3694" s="1">
        <v>39311</v>
      </c>
      <c r="V3694" t="s">
        <v>6729</v>
      </c>
      <c r="W3694" t="s">
        <v>6730</v>
      </c>
      <c r="X3694" t="s">
        <v>58</v>
      </c>
      <c r="Y3694">
        <v>21</v>
      </c>
      <c r="Z3694" t="s">
        <v>59</v>
      </c>
      <c r="AA3694" t="s">
        <v>59</v>
      </c>
      <c r="AB3694" t="s">
        <v>59</v>
      </c>
      <c r="AC3694" t="s">
        <v>59</v>
      </c>
      <c r="AD3694" t="s">
        <v>59</v>
      </c>
      <c r="AF3694" s="1">
        <v>39328</v>
      </c>
      <c r="AG3694" t="s">
        <v>125</v>
      </c>
      <c r="AH3694" t="s">
        <v>294</v>
      </c>
      <c r="AI3694" t="str">
        <f>"5012017"</f>
        <v>5012017</v>
      </c>
      <c r="AJ3694" t="s">
        <v>6859</v>
      </c>
      <c r="AK3694">
        <v>2821088065</v>
      </c>
      <c r="AL3694" t="s">
        <v>6860</v>
      </c>
      <c r="AM3694" t="s">
        <v>88</v>
      </c>
      <c r="AN3694" t="s">
        <v>88</v>
      </c>
      <c r="AO3694" t="s">
        <v>88</v>
      </c>
      <c r="AP3694" t="s">
        <v>88</v>
      </c>
      <c r="AQ3694">
        <v>1</v>
      </c>
      <c r="AR3694" t="s">
        <v>6729</v>
      </c>
      <c r="AS3694" t="s">
        <v>6730</v>
      </c>
      <c r="AT3694" t="s">
        <v>58</v>
      </c>
      <c r="AU3694" t="s">
        <v>68</v>
      </c>
      <c r="AV3694" t="s">
        <v>69</v>
      </c>
      <c r="AW3694" s="1">
        <v>24713</v>
      </c>
      <c r="AX3694">
        <v>2</v>
      </c>
    </row>
    <row r="3695" spans="1:50">
      <c r="A3695">
        <v>220892</v>
      </c>
      <c r="B3695" t="str">
        <f>"032183433"</f>
        <v>032183433</v>
      </c>
      <c r="C3695" t="s">
        <v>105</v>
      </c>
      <c r="D3695" t="s">
        <v>7084</v>
      </c>
      <c r="E3695" t="s">
        <v>304</v>
      </c>
      <c r="F3695" t="s">
        <v>72</v>
      </c>
      <c r="G3695" t="s">
        <v>255</v>
      </c>
      <c r="H3695" t="str">
        <f>"ΑΝΔΡΕΑ ΡΙΤΣΟΥ 4 "</f>
        <v xml:space="preserve">ΑΝΔΡΕΑ ΡΙΤΣΟΥ 4 </v>
      </c>
      <c r="I3695">
        <v>73100</v>
      </c>
      <c r="J3695">
        <v>2821073874</v>
      </c>
      <c r="K3695">
        <v>6945442294</v>
      </c>
      <c r="M3695" t="s">
        <v>7085</v>
      </c>
      <c r="N3695" t="s">
        <v>6051</v>
      </c>
      <c r="O3695" t="s">
        <v>2714</v>
      </c>
      <c r="R3695" t="s">
        <v>159</v>
      </c>
      <c r="S3695">
        <v>5</v>
      </c>
      <c r="T3695">
        <v>687</v>
      </c>
      <c r="U3695" s="1">
        <v>39330</v>
      </c>
      <c r="V3695" t="s">
        <v>6729</v>
      </c>
      <c r="W3695" t="s">
        <v>6730</v>
      </c>
      <c r="X3695" t="s">
        <v>58</v>
      </c>
      <c r="Y3695">
        <v>30</v>
      </c>
      <c r="Z3695" t="s">
        <v>59</v>
      </c>
      <c r="AA3695" t="s">
        <v>59</v>
      </c>
      <c r="AB3695" t="s">
        <v>59</v>
      </c>
      <c r="AC3695" t="s">
        <v>59</v>
      </c>
      <c r="AD3695" t="s">
        <v>59</v>
      </c>
      <c r="AF3695" s="1">
        <v>39331</v>
      </c>
      <c r="AG3695" t="s">
        <v>137</v>
      </c>
      <c r="AH3695" t="s">
        <v>138</v>
      </c>
      <c r="AI3695" t="str">
        <f>"5050060"</f>
        <v>5050060</v>
      </c>
      <c r="AJ3695" t="s">
        <v>6801</v>
      </c>
      <c r="AK3695">
        <v>2821091515</v>
      </c>
      <c r="AL3695" t="s">
        <v>6802</v>
      </c>
      <c r="AM3695" t="s">
        <v>88</v>
      </c>
      <c r="AN3695" t="s">
        <v>88</v>
      </c>
      <c r="AO3695" t="s">
        <v>88</v>
      </c>
      <c r="AP3695" t="s">
        <v>88</v>
      </c>
      <c r="AQ3695">
        <v>1</v>
      </c>
      <c r="AR3695" t="s">
        <v>6729</v>
      </c>
      <c r="AS3695" t="s">
        <v>6730</v>
      </c>
      <c r="AT3695" t="s">
        <v>58</v>
      </c>
      <c r="AU3695" t="s">
        <v>68</v>
      </c>
      <c r="AV3695" t="s">
        <v>69</v>
      </c>
      <c r="AW3695" s="1">
        <v>22647</v>
      </c>
      <c r="AX3695">
        <v>2</v>
      </c>
    </row>
    <row r="3696" spans="1:50">
      <c r="A3696">
        <v>702792</v>
      </c>
      <c r="B3696" t="str">
        <f>"018755644"</f>
        <v>018755644</v>
      </c>
      <c r="C3696" t="s">
        <v>105</v>
      </c>
      <c r="D3696" t="s">
        <v>7084</v>
      </c>
      <c r="E3696" t="s">
        <v>2014</v>
      </c>
      <c r="F3696" t="s">
        <v>72</v>
      </c>
      <c r="G3696" t="s">
        <v>255</v>
      </c>
      <c r="H3696" t="str">
        <f>"Χ. ΔΡΑΠΑΝΙΑΣ ΚΙΣΑΜΟΣ"</f>
        <v>Χ. ΔΡΑΠΑΝΙΑΣ ΚΙΣΑΜΟΣ</v>
      </c>
      <c r="J3696">
        <v>2822031167</v>
      </c>
      <c r="N3696" t="s">
        <v>6051</v>
      </c>
      <c r="O3696" t="s">
        <v>2714</v>
      </c>
      <c r="R3696" t="s">
        <v>57</v>
      </c>
      <c r="S3696">
        <v>6</v>
      </c>
      <c r="T3696" t="s">
        <v>7086</v>
      </c>
      <c r="U3696" s="1">
        <v>39055</v>
      </c>
      <c r="V3696" t="s">
        <v>6729</v>
      </c>
      <c r="W3696" t="s">
        <v>6730</v>
      </c>
      <c r="X3696" t="s">
        <v>58</v>
      </c>
      <c r="Y3696">
        <v>30</v>
      </c>
      <c r="Z3696" t="s">
        <v>59</v>
      </c>
      <c r="AA3696" t="s">
        <v>59</v>
      </c>
      <c r="AB3696" t="s">
        <v>59</v>
      </c>
      <c r="AC3696" t="s">
        <v>59</v>
      </c>
      <c r="AD3696" t="s">
        <v>59</v>
      </c>
      <c r="AF3696" s="1">
        <v>39055</v>
      </c>
      <c r="AG3696" t="s">
        <v>137</v>
      </c>
      <c r="AH3696" t="s">
        <v>138</v>
      </c>
      <c r="AI3696" t="str">
        <f>"5040090"</f>
        <v>5040090</v>
      </c>
      <c r="AJ3696" t="s">
        <v>6757</v>
      </c>
      <c r="AK3696">
        <v>2822022275</v>
      </c>
      <c r="AL3696" t="s">
        <v>6758</v>
      </c>
      <c r="AM3696" t="s">
        <v>88</v>
      </c>
      <c r="AN3696" t="s">
        <v>6744</v>
      </c>
      <c r="AO3696" t="s">
        <v>6744</v>
      </c>
      <c r="AP3696" t="s">
        <v>6744</v>
      </c>
      <c r="AQ3696">
        <v>1</v>
      </c>
      <c r="AR3696" t="s">
        <v>6729</v>
      </c>
      <c r="AS3696" t="s">
        <v>6730</v>
      </c>
      <c r="AT3696" t="s">
        <v>58</v>
      </c>
      <c r="AU3696" t="s">
        <v>68</v>
      </c>
      <c r="AV3696" t="s">
        <v>69</v>
      </c>
      <c r="AW3696" s="1">
        <v>20569</v>
      </c>
      <c r="AX3696">
        <v>2</v>
      </c>
    </row>
    <row r="3697" spans="1:50">
      <c r="A3697">
        <v>175993</v>
      </c>
      <c r="B3697" t="str">
        <f>"027306916"</f>
        <v>027306916</v>
      </c>
      <c r="C3697" t="s">
        <v>50</v>
      </c>
      <c r="D3697" t="s">
        <v>7087</v>
      </c>
      <c r="E3697" t="s">
        <v>250</v>
      </c>
      <c r="F3697" t="s">
        <v>95</v>
      </c>
      <c r="G3697" t="s">
        <v>52</v>
      </c>
      <c r="H3697" t="str">
        <f>" "</f>
        <v xml:space="preserve"> </v>
      </c>
      <c r="N3697" t="s">
        <v>232</v>
      </c>
      <c r="O3697" t="s">
        <v>233</v>
      </c>
      <c r="R3697" t="s">
        <v>57</v>
      </c>
      <c r="S3697">
        <v>12</v>
      </c>
      <c r="T3697">
        <v>180</v>
      </c>
      <c r="U3697" s="1">
        <v>35674</v>
      </c>
      <c r="V3697" t="s">
        <v>6729</v>
      </c>
      <c r="W3697" t="s">
        <v>6730</v>
      </c>
      <c r="X3697" t="s">
        <v>58</v>
      </c>
      <c r="Y3697">
        <v>18</v>
      </c>
      <c r="Z3697" t="s">
        <v>59</v>
      </c>
      <c r="AA3697" t="s">
        <v>59</v>
      </c>
      <c r="AB3697" t="s">
        <v>59</v>
      </c>
      <c r="AC3697" t="s">
        <v>59</v>
      </c>
      <c r="AD3697" t="s">
        <v>59</v>
      </c>
      <c r="AF3697" s="1">
        <v>35678</v>
      </c>
      <c r="AG3697" t="s">
        <v>125</v>
      </c>
      <c r="AH3697" t="s">
        <v>126</v>
      </c>
      <c r="AI3697" t="str">
        <f>"5012010"</f>
        <v>5012010</v>
      </c>
      <c r="AJ3697" t="s">
        <v>6794</v>
      </c>
      <c r="AK3697">
        <v>2821033195</v>
      </c>
      <c r="AL3697" t="s">
        <v>6795</v>
      </c>
      <c r="AM3697" t="s">
        <v>88</v>
      </c>
      <c r="AN3697" t="s">
        <v>88</v>
      </c>
      <c r="AO3697" t="s">
        <v>6785</v>
      </c>
      <c r="AP3697" t="s">
        <v>6786</v>
      </c>
      <c r="AQ3697">
        <v>1</v>
      </c>
      <c r="AR3697" t="s">
        <v>6729</v>
      </c>
      <c r="AS3697" t="s">
        <v>6730</v>
      </c>
      <c r="AT3697" t="s">
        <v>58</v>
      </c>
      <c r="AU3697" t="s">
        <v>68</v>
      </c>
      <c r="AV3697" t="s">
        <v>69</v>
      </c>
      <c r="AW3697" s="1">
        <v>22385</v>
      </c>
      <c r="AX3697">
        <v>2</v>
      </c>
    </row>
    <row r="3698" spans="1:50">
      <c r="A3698">
        <v>197654</v>
      </c>
      <c r="B3698" t="str">
        <f>"045852228"</f>
        <v>045852228</v>
      </c>
      <c r="C3698" t="s">
        <v>105</v>
      </c>
      <c r="D3698" t="s">
        <v>7088</v>
      </c>
      <c r="E3698" t="s">
        <v>408</v>
      </c>
      <c r="F3698" t="s">
        <v>965</v>
      </c>
      <c r="G3698" t="s">
        <v>7089</v>
      </c>
      <c r="H3698" t="str">
        <f>"ΠΑΡΟΔΟΣ ΠΑΠΑΝΑΣΤΑΣΙΟΥ 46 ΣΟΥΔΑ"</f>
        <v>ΠΑΡΟΔΟΣ ΠΑΠΑΝΑΣΤΑΣΙΟΥ 46 ΣΟΥΔΑ</v>
      </c>
      <c r="I3698">
        <v>73200</v>
      </c>
      <c r="J3698">
        <v>2821081385</v>
      </c>
      <c r="K3698">
        <v>6992962244</v>
      </c>
      <c r="N3698" t="s">
        <v>292</v>
      </c>
      <c r="O3698" t="s">
        <v>293</v>
      </c>
      <c r="R3698" t="s">
        <v>57</v>
      </c>
      <c r="S3698">
        <v>7</v>
      </c>
      <c r="T3698" t="s">
        <v>7090</v>
      </c>
      <c r="U3698" s="1">
        <v>37866</v>
      </c>
      <c r="V3698" t="s">
        <v>6729</v>
      </c>
      <c r="W3698" t="s">
        <v>6730</v>
      </c>
      <c r="X3698" t="s">
        <v>58</v>
      </c>
      <c r="Y3698">
        <v>20</v>
      </c>
      <c r="Z3698" t="s">
        <v>59</v>
      </c>
      <c r="AA3698" t="s">
        <v>59</v>
      </c>
      <c r="AB3698" t="s">
        <v>59</v>
      </c>
      <c r="AC3698" t="s">
        <v>59</v>
      </c>
      <c r="AD3698" t="s">
        <v>59</v>
      </c>
      <c r="AF3698" s="1">
        <v>37867</v>
      </c>
      <c r="AG3698" t="s">
        <v>148</v>
      </c>
      <c r="AH3698" t="s">
        <v>149</v>
      </c>
      <c r="AI3698" t="str">
        <f>"5051009"</f>
        <v>5051009</v>
      </c>
      <c r="AJ3698" t="s">
        <v>6851</v>
      </c>
      <c r="AK3698">
        <v>2821044551</v>
      </c>
      <c r="AL3698" t="s">
        <v>6852</v>
      </c>
      <c r="AM3698" t="s">
        <v>88</v>
      </c>
      <c r="AN3698" t="s">
        <v>88</v>
      </c>
      <c r="AO3698" t="s">
        <v>6770</v>
      </c>
      <c r="AP3698" t="s">
        <v>6771</v>
      </c>
      <c r="AQ3698">
        <v>1</v>
      </c>
      <c r="AR3698" t="s">
        <v>6729</v>
      </c>
      <c r="AS3698" t="s">
        <v>6730</v>
      </c>
      <c r="AT3698" t="s">
        <v>58</v>
      </c>
      <c r="AU3698" t="s">
        <v>68</v>
      </c>
      <c r="AV3698" t="s">
        <v>69</v>
      </c>
      <c r="AW3698" s="1">
        <v>23067</v>
      </c>
      <c r="AX3698">
        <v>2</v>
      </c>
    </row>
    <row r="3699" spans="1:50">
      <c r="A3699">
        <v>147748</v>
      </c>
      <c r="B3699" t="str">
        <f>"028555920"</f>
        <v>028555920</v>
      </c>
      <c r="C3699" t="s">
        <v>105</v>
      </c>
      <c r="D3699" t="s">
        <v>7091</v>
      </c>
      <c r="E3699" t="s">
        <v>95</v>
      </c>
      <c r="F3699" t="s">
        <v>7092</v>
      </c>
      <c r="G3699" t="s">
        <v>83</v>
      </c>
      <c r="H3699" t="str">
        <f>"ΕΥΑΓΓΕΛΟΥ ΝΙΚΟΛΟΥΔΗ 9 ΧΑΝΙΩΝ"</f>
        <v>ΕΥΑΓΓΕΛΟΥ ΝΙΚΟΛΟΥΔΗ 9 ΧΑΝΙΩΝ</v>
      </c>
      <c r="I3699">
        <v>73134</v>
      </c>
      <c r="J3699">
        <v>2821044163</v>
      </c>
      <c r="K3699">
        <v>6973397685</v>
      </c>
      <c r="M3699" t="s">
        <v>7093</v>
      </c>
      <c r="N3699" t="s">
        <v>176</v>
      </c>
      <c r="O3699" t="s">
        <v>177</v>
      </c>
      <c r="R3699" t="s">
        <v>57</v>
      </c>
      <c r="S3699">
        <v>16</v>
      </c>
      <c r="T3699">
        <v>237</v>
      </c>
      <c r="U3699" s="1">
        <v>31293</v>
      </c>
      <c r="V3699" t="s">
        <v>6729</v>
      </c>
      <c r="W3699" t="s">
        <v>6730</v>
      </c>
      <c r="X3699" t="s">
        <v>58</v>
      </c>
      <c r="Y3699">
        <v>18</v>
      </c>
      <c r="Z3699" t="s">
        <v>59</v>
      </c>
      <c r="AA3699" t="s">
        <v>59</v>
      </c>
      <c r="AB3699" t="s">
        <v>59</v>
      </c>
      <c r="AC3699" t="s">
        <v>59</v>
      </c>
      <c r="AD3699" t="s">
        <v>59</v>
      </c>
      <c r="AF3699" s="1">
        <v>31307</v>
      </c>
      <c r="AG3699" t="s">
        <v>125</v>
      </c>
      <c r="AH3699" t="s">
        <v>126</v>
      </c>
      <c r="AI3699" t="str">
        <f>"5001060"</f>
        <v>5001060</v>
      </c>
      <c r="AJ3699" t="s">
        <v>6914</v>
      </c>
      <c r="AK3699">
        <v>2821091763</v>
      </c>
      <c r="AL3699" t="s">
        <v>6915</v>
      </c>
      <c r="AM3699" t="s">
        <v>88</v>
      </c>
      <c r="AN3699" t="s">
        <v>88</v>
      </c>
      <c r="AO3699" t="s">
        <v>88</v>
      </c>
      <c r="AP3699" t="s">
        <v>88</v>
      </c>
      <c r="AQ3699">
        <v>1</v>
      </c>
      <c r="AR3699" t="s">
        <v>6729</v>
      </c>
      <c r="AS3699" t="s">
        <v>6730</v>
      </c>
      <c r="AT3699" t="s">
        <v>58</v>
      </c>
      <c r="AU3699" t="s">
        <v>68</v>
      </c>
      <c r="AV3699" t="s">
        <v>69</v>
      </c>
      <c r="AW3699" s="1">
        <v>21329</v>
      </c>
      <c r="AX3699">
        <v>2</v>
      </c>
    </row>
    <row r="3700" spans="1:50">
      <c r="A3700">
        <v>186229</v>
      </c>
      <c r="B3700" t="str">
        <f>"073188513"</f>
        <v>073188513</v>
      </c>
      <c r="C3700" t="s">
        <v>105</v>
      </c>
      <c r="D3700" t="s">
        <v>7094</v>
      </c>
      <c r="E3700" t="s">
        <v>53</v>
      </c>
      <c r="F3700" t="s">
        <v>106</v>
      </c>
      <c r="G3700" t="s">
        <v>335</v>
      </c>
      <c r="H3700" t="str">
        <f>" "</f>
        <v xml:space="preserve"> </v>
      </c>
      <c r="J3700">
        <v>2821027835</v>
      </c>
      <c r="K3700">
        <v>6946213395</v>
      </c>
      <c r="M3700" t="s">
        <v>7095</v>
      </c>
      <c r="N3700" t="s">
        <v>176</v>
      </c>
      <c r="O3700" t="s">
        <v>177</v>
      </c>
      <c r="R3700" t="s">
        <v>57</v>
      </c>
      <c r="S3700">
        <v>9</v>
      </c>
      <c r="T3700">
        <v>250</v>
      </c>
      <c r="U3700" s="1">
        <v>36769</v>
      </c>
      <c r="V3700" t="s">
        <v>6729</v>
      </c>
      <c r="W3700" t="s">
        <v>6730</v>
      </c>
      <c r="X3700" t="s">
        <v>58</v>
      </c>
      <c r="Y3700">
        <v>20</v>
      </c>
      <c r="Z3700" t="s">
        <v>59</v>
      </c>
      <c r="AA3700" t="s">
        <v>59</v>
      </c>
      <c r="AB3700" t="s">
        <v>59</v>
      </c>
      <c r="AC3700" t="s">
        <v>59</v>
      </c>
      <c r="AD3700" t="s">
        <v>59</v>
      </c>
      <c r="AF3700" s="1">
        <v>36770</v>
      </c>
      <c r="AG3700" t="s">
        <v>148</v>
      </c>
      <c r="AH3700" t="s">
        <v>149</v>
      </c>
      <c r="AI3700" t="str">
        <f>"5090080"</f>
        <v>5090080</v>
      </c>
      <c r="AJ3700" t="s">
        <v>6906</v>
      </c>
      <c r="AK3700">
        <v>2821096638</v>
      </c>
      <c r="AL3700" t="s">
        <v>6907</v>
      </c>
      <c r="AM3700" t="s">
        <v>88</v>
      </c>
      <c r="AN3700" t="s">
        <v>88</v>
      </c>
      <c r="AO3700" t="s">
        <v>88</v>
      </c>
      <c r="AP3700" t="s">
        <v>88</v>
      </c>
      <c r="AQ3700">
        <v>1</v>
      </c>
      <c r="AR3700" t="s">
        <v>6729</v>
      </c>
      <c r="AS3700" t="s">
        <v>6730</v>
      </c>
      <c r="AT3700" t="s">
        <v>58</v>
      </c>
      <c r="AU3700" t="s">
        <v>68</v>
      </c>
      <c r="AV3700" t="s">
        <v>69</v>
      </c>
      <c r="AW3700" s="1">
        <v>25505</v>
      </c>
      <c r="AX3700">
        <v>2</v>
      </c>
    </row>
    <row r="3701" spans="1:50">
      <c r="A3701">
        <v>215254</v>
      </c>
      <c r="B3701" t="str">
        <f>"054821028"</f>
        <v>054821028</v>
      </c>
      <c r="C3701" t="s">
        <v>50</v>
      </c>
      <c r="D3701" t="s">
        <v>7096</v>
      </c>
      <c r="E3701" t="s">
        <v>52</v>
      </c>
      <c r="F3701" t="s">
        <v>450</v>
      </c>
      <c r="G3701" t="s">
        <v>569</v>
      </c>
      <c r="H3701" t="str">
        <f>" "</f>
        <v xml:space="preserve"> </v>
      </c>
      <c r="J3701">
        <v>2821053274</v>
      </c>
      <c r="K3701">
        <v>6982445040</v>
      </c>
      <c r="N3701" t="s">
        <v>547</v>
      </c>
      <c r="O3701" t="s">
        <v>548</v>
      </c>
      <c r="R3701" t="s">
        <v>57</v>
      </c>
      <c r="S3701">
        <v>9</v>
      </c>
      <c r="T3701">
        <v>231</v>
      </c>
      <c r="U3701" s="1">
        <v>38960</v>
      </c>
      <c r="V3701" t="s">
        <v>6729</v>
      </c>
      <c r="W3701" t="s">
        <v>6730</v>
      </c>
      <c r="X3701" t="s">
        <v>58</v>
      </c>
      <c r="Y3701">
        <v>20</v>
      </c>
      <c r="Z3701" t="s">
        <v>59</v>
      </c>
      <c r="AA3701" t="s">
        <v>59</v>
      </c>
      <c r="AB3701" t="s">
        <v>59</v>
      </c>
      <c r="AC3701" t="s">
        <v>59</v>
      </c>
      <c r="AD3701" t="s">
        <v>59</v>
      </c>
      <c r="AF3701" s="1">
        <v>39328</v>
      </c>
      <c r="AG3701" t="s">
        <v>137</v>
      </c>
      <c r="AH3701" t="s">
        <v>469</v>
      </c>
      <c r="AI3701" t="str">
        <f>"5040055"</f>
        <v>5040055</v>
      </c>
      <c r="AJ3701" t="s">
        <v>6940</v>
      </c>
      <c r="AK3701">
        <v>2821036404</v>
      </c>
      <c r="AL3701" t="s">
        <v>6941</v>
      </c>
      <c r="AM3701" t="s">
        <v>88</v>
      </c>
      <c r="AN3701" t="s">
        <v>88</v>
      </c>
      <c r="AO3701" t="s">
        <v>88</v>
      </c>
      <c r="AP3701" t="s">
        <v>88</v>
      </c>
      <c r="AQ3701">
        <v>1</v>
      </c>
      <c r="AR3701" t="s">
        <v>6729</v>
      </c>
      <c r="AS3701" t="s">
        <v>6730</v>
      </c>
      <c r="AT3701" t="s">
        <v>58</v>
      </c>
      <c r="AU3701" t="s">
        <v>68</v>
      </c>
      <c r="AV3701" t="s">
        <v>69</v>
      </c>
      <c r="AW3701" s="1">
        <v>25817</v>
      </c>
      <c r="AX3701">
        <v>2</v>
      </c>
    </row>
    <row r="3702" spans="1:50">
      <c r="A3702">
        <v>207719</v>
      </c>
      <c r="B3702" t="str">
        <f>"078092891"</f>
        <v>078092891</v>
      </c>
      <c r="C3702" t="s">
        <v>50</v>
      </c>
      <c r="D3702" t="s">
        <v>7097</v>
      </c>
      <c r="E3702" t="s">
        <v>1355</v>
      </c>
      <c r="F3702" t="s">
        <v>995</v>
      </c>
      <c r="G3702" t="s">
        <v>7098</v>
      </c>
      <c r="H3702" t="str">
        <f>"ΚΩΝΣΤΑΝΤΙΝΟΥΠΟΛΕΩΣ 41 ΧΑΝΙΑ"</f>
        <v>ΚΩΝΣΤΑΝΤΙΝΟΥΠΟΛΕΩΣ 41 ΧΑΝΙΑ</v>
      </c>
      <c r="I3702">
        <v>73100</v>
      </c>
      <c r="J3702">
        <v>2431021870</v>
      </c>
      <c r="K3702">
        <v>6974061409</v>
      </c>
      <c r="M3702" t="s">
        <v>7099</v>
      </c>
      <c r="N3702" t="s">
        <v>288</v>
      </c>
      <c r="O3702" t="s">
        <v>289</v>
      </c>
      <c r="R3702" t="s">
        <v>57</v>
      </c>
      <c r="S3702">
        <v>10</v>
      </c>
      <c r="T3702">
        <v>218</v>
      </c>
      <c r="U3702" s="1">
        <v>38596</v>
      </c>
      <c r="V3702" t="s">
        <v>6729</v>
      </c>
      <c r="W3702" t="s">
        <v>6730</v>
      </c>
      <c r="X3702" t="s">
        <v>58</v>
      </c>
      <c r="Y3702">
        <v>20</v>
      </c>
      <c r="Z3702" t="s">
        <v>59</v>
      </c>
      <c r="AA3702" t="s">
        <v>59</v>
      </c>
      <c r="AB3702" t="s">
        <v>59</v>
      </c>
      <c r="AC3702" t="s">
        <v>59</v>
      </c>
      <c r="AD3702" t="s">
        <v>59</v>
      </c>
      <c r="AF3702" s="1">
        <v>38603</v>
      </c>
      <c r="AG3702" t="s">
        <v>125</v>
      </c>
      <c r="AH3702" t="s">
        <v>126</v>
      </c>
      <c r="AI3702" t="str">
        <f>"5005010"</f>
        <v>5005010</v>
      </c>
      <c r="AJ3702" t="s">
        <v>7100</v>
      </c>
      <c r="AK3702">
        <v>2823041217</v>
      </c>
      <c r="AL3702" t="s">
        <v>7101</v>
      </c>
      <c r="AM3702" t="s">
        <v>88</v>
      </c>
      <c r="AN3702" t="s">
        <v>6824</v>
      </c>
      <c r="AO3702" t="s">
        <v>6870</v>
      </c>
      <c r="AP3702" t="s">
        <v>6871</v>
      </c>
      <c r="AQ3702">
        <v>1</v>
      </c>
      <c r="AR3702" t="s">
        <v>6729</v>
      </c>
      <c r="AS3702" t="s">
        <v>6730</v>
      </c>
      <c r="AT3702" t="s">
        <v>58</v>
      </c>
      <c r="AU3702" t="s">
        <v>68</v>
      </c>
      <c r="AV3702" t="s">
        <v>69</v>
      </c>
      <c r="AW3702" s="1">
        <v>25724</v>
      </c>
      <c r="AX3702">
        <v>2</v>
      </c>
    </row>
    <row r="3703" spans="1:50">
      <c r="A3703">
        <v>160092</v>
      </c>
      <c r="B3703" t="str">
        <f>"030954851"</f>
        <v>030954851</v>
      </c>
      <c r="C3703" t="s">
        <v>50</v>
      </c>
      <c r="D3703" t="s">
        <v>7102</v>
      </c>
      <c r="E3703" t="s">
        <v>237</v>
      </c>
      <c r="F3703" t="s">
        <v>99</v>
      </c>
      <c r="G3703" t="s">
        <v>2088</v>
      </c>
      <c r="H3703" t="str">
        <f>" "</f>
        <v xml:space="preserve"> </v>
      </c>
      <c r="M3703" t="s">
        <v>7103</v>
      </c>
      <c r="N3703" t="s">
        <v>232</v>
      </c>
      <c r="O3703" t="s">
        <v>233</v>
      </c>
      <c r="R3703" t="s">
        <v>57</v>
      </c>
      <c r="S3703">
        <v>14</v>
      </c>
      <c r="T3703">
        <v>161</v>
      </c>
      <c r="U3703" s="1">
        <v>33119</v>
      </c>
      <c r="V3703" t="s">
        <v>6729</v>
      </c>
      <c r="W3703" t="s">
        <v>6730</v>
      </c>
      <c r="X3703" t="s">
        <v>58</v>
      </c>
      <c r="Y3703">
        <v>18</v>
      </c>
      <c r="Z3703" t="s">
        <v>59</v>
      </c>
      <c r="AA3703" t="s">
        <v>59</v>
      </c>
      <c r="AB3703" t="s">
        <v>59</v>
      </c>
      <c r="AC3703" t="s">
        <v>59</v>
      </c>
      <c r="AD3703" t="s">
        <v>59</v>
      </c>
      <c r="AF3703" s="1">
        <v>33120</v>
      </c>
      <c r="AG3703" t="s">
        <v>125</v>
      </c>
      <c r="AH3703" t="s">
        <v>126</v>
      </c>
      <c r="AI3703" t="str">
        <f>"5002010"</f>
        <v>5002010</v>
      </c>
      <c r="AJ3703" t="s">
        <v>6773</v>
      </c>
      <c r="AK3703">
        <v>2825022249</v>
      </c>
      <c r="AL3703" t="s">
        <v>6774</v>
      </c>
      <c r="AM3703" t="s">
        <v>88</v>
      </c>
      <c r="AN3703" t="s">
        <v>6775</v>
      </c>
      <c r="AO3703" t="s">
        <v>6776</v>
      </c>
      <c r="AP3703" t="s">
        <v>6776</v>
      </c>
      <c r="AQ3703">
        <v>1</v>
      </c>
      <c r="AR3703" t="s">
        <v>6729</v>
      </c>
      <c r="AS3703" t="s">
        <v>6730</v>
      </c>
      <c r="AT3703" t="s">
        <v>58</v>
      </c>
      <c r="AU3703" t="s">
        <v>68</v>
      </c>
      <c r="AV3703" t="s">
        <v>69</v>
      </c>
      <c r="AW3703" s="1">
        <v>21394</v>
      </c>
      <c r="AX3703">
        <v>2</v>
      </c>
    </row>
    <row r="3704" spans="1:50">
      <c r="A3704">
        <v>169617</v>
      </c>
      <c r="B3704" t="str">
        <f>"036116829"</f>
        <v>036116829</v>
      </c>
      <c r="C3704" t="s">
        <v>50</v>
      </c>
      <c r="D3704" t="s">
        <v>7104</v>
      </c>
      <c r="E3704" t="s">
        <v>263</v>
      </c>
      <c r="F3704" t="s">
        <v>7105</v>
      </c>
      <c r="G3704" t="s">
        <v>7106</v>
      </c>
      <c r="H3704" t="str">
        <f>" "</f>
        <v xml:space="preserve"> </v>
      </c>
      <c r="N3704" t="s">
        <v>146</v>
      </c>
      <c r="O3704" t="s">
        <v>147</v>
      </c>
      <c r="R3704" t="s">
        <v>57</v>
      </c>
      <c r="S3704">
        <v>13</v>
      </c>
      <c r="T3704">
        <v>184</v>
      </c>
      <c r="U3704" s="1">
        <v>34941</v>
      </c>
      <c r="V3704" t="s">
        <v>6729</v>
      </c>
      <c r="W3704" t="s">
        <v>6730</v>
      </c>
      <c r="X3704" t="s">
        <v>58</v>
      </c>
      <c r="Y3704">
        <v>18</v>
      </c>
      <c r="Z3704" t="s">
        <v>59</v>
      </c>
      <c r="AA3704" t="s">
        <v>59</v>
      </c>
      <c r="AB3704" t="s">
        <v>59</v>
      </c>
      <c r="AC3704" t="s">
        <v>59</v>
      </c>
      <c r="AD3704" t="s">
        <v>59</v>
      </c>
      <c r="AF3704" s="1">
        <v>34943</v>
      </c>
      <c r="AG3704" t="s">
        <v>148</v>
      </c>
      <c r="AH3704" t="s">
        <v>149</v>
      </c>
      <c r="AI3704" t="str">
        <f>"5062010"</f>
        <v>5062010</v>
      </c>
      <c r="AJ3704" t="s">
        <v>6783</v>
      </c>
      <c r="AK3704">
        <v>2821031620</v>
      </c>
      <c r="AL3704" t="s">
        <v>6784</v>
      </c>
      <c r="AM3704" t="s">
        <v>88</v>
      </c>
      <c r="AN3704" t="s">
        <v>88</v>
      </c>
      <c r="AO3704" t="s">
        <v>6785</v>
      </c>
      <c r="AP3704" t="s">
        <v>6786</v>
      </c>
      <c r="AQ3704">
        <v>1</v>
      </c>
      <c r="AR3704" t="s">
        <v>6729</v>
      </c>
      <c r="AS3704" t="s">
        <v>6730</v>
      </c>
      <c r="AT3704" t="s">
        <v>58</v>
      </c>
      <c r="AU3704" t="s">
        <v>68</v>
      </c>
      <c r="AV3704" t="s">
        <v>69</v>
      </c>
      <c r="AW3704" s="1">
        <v>23752</v>
      </c>
      <c r="AX3704">
        <v>2</v>
      </c>
    </row>
    <row r="3705" spans="1:50">
      <c r="A3705">
        <v>197661</v>
      </c>
      <c r="B3705" t="str">
        <f>"112369020"</f>
        <v>112369020</v>
      </c>
      <c r="C3705" t="s">
        <v>50</v>
      </c>
      <c r="D3705" t="s">
        <v>7107</v>
      </c>
      <c r="E3705" t="s">
        <v>714</v>
      </c>
      <c r="F3705" t="s">
        <v>693</v>
      </c>
      <c r="G3705" t="s">
        <v>7108</v>
      </c>
      <c r="H3705" t="str">
        <f>"ΒΑΜΟΣ  ΑΠΟΚΟΡΩΝΟΥ ΧΑΝΙΩΝ"</f>
        <v>ΒΑΜΟΣ  ΑΠΟΚΟΡΩΝΟΥ ΧΑΝΙΩΝ</v>
      </c>
      <c r="I3705">
        <v>73008</v>
      </c>
      <c r="J3705">
        <v>2825022310</v>
      </c>
      <c r="K3705">
        <v>6936500672</v>
      </c>
      <c r="M3705" t="s">
        <v>7109</v>
      </c>
      <c r="N3705" t="s">
        <v>292</v>
      </c>
      <c r="O3705" t="s">
        <v>293</v>
      </c>
      <c r="R3705" t="s">
        <v>57</v>
      </c>
      <c r="S3705">
        <v>10</v>
      </c>
      <c r="T3705">
        <v>206</v>
      </c>
      <c r="U3705" s="1">
        <v>37866</v>
      </c>
      <c r="V3705" t="s">
        <v>6729</v>
      </c>
      <c r="W3705" t="s">
        <v>6730</v>
      </c>
      <c r="X3705" t="s">
        <v>58</v>
      </c>
      <c r="Y3705">
        <v>18</v>
      </c>
      <c r="Z3705" t="s">
        <v>59</v>
      </c>
      <c r="AA3705" t="s">
        <v>59</v>
      </c>
      <c r="AB3705" t="s">
        <v>59</v>
      </c>
      <c r="AC3705" t="s">
        <v>59</v>
      </c>
      <c r="AD3705" t="s">
        <v>59</v>
      </c>
      <c r="AF3705" s="1">
        <v>37866</v>
      </c>
      <c r="AG3705" t="s">
        <v>148</v>
      </c>
      <c r="AH3705" t="s">
        <v>149</v>
      </c>
      <c r="AI3705" t="str">
        <f>"5052010"</f>
        <v>5052010</v>
      </c>
      <c r="AJ3705" t="s">
        <v>6834</v>
      </c>
      <c r="AK3705">
        <v>2825022200</v>
      </c>
      <c r="AL3705" t="s">
        <v>6835</v>
      </c>
      <c r="AM3705" t="s">
        <v>88</v>
      </c>
      <c r="AN3705" t="s">
        <v>6775</v>
      </c>
      <c r="AO3705" t="s">
        <v>6776</v>
      </c>
      <c r="AP3705" t="s">
        <v>6776</v>
      </c>
      <c r="AQ3705">
        <v>1</v>
      </c>
      <c r="AR3705" t="s">
        <v>6729</v>
      </c>
      <c r="AS3705" t="s">
        <v>6730</v>
      </c>
      <c r="AT3705" t="s">
        <v>58</v>
      </c>
      <c r="AU3705" t="s">
        <v>68</v>
      </c>
      <c r="AV3705" t="s">
        <v>69</v>
      </c>
      <c r="AW3705" s="1">
        <v>20246</v>
      </c>
      <c r="AX3705">
        <v>2</v>
      </c>
    </row>
    <row r="3706" spans="1:50">
      <c r="A3706">
        <v>229294</v>
      </c>
      <c r="B3706" t="str">
        <f>"051801177"</f>
        <v>051801177</v>
      </c>
      <c r="C3706" t="s">
        <v>50</v>
      </c>
      <c r="D3706" t="s">
        <v>7110</v>
      </c>
      <c r="E3706" t="s">
        <v>7111</v>
      </c>
      <c r="F3706" t="s">
        <v>53</v>
      </c>
      <c r="G3706" t="s">
        <v>7112</v>
      </c>
      <c r="H3706" t="str">
        <f>"Γ. Παπανικολάου 63 ΠΕΥΚΑ ΘΕΣΣΑΛΟΝΙΚΗΣ"</f>
        <v>Γ. Παπανικολάου 63 ΠΕΥΚΑ ΘΕΣΣΑΛΟΝΙΚΗΣ</v>
      </c>
      <c r="I3706">
        <v>57010</v>
      </c>
      <c r="J3706">
        <v>2310673082</v>
      </c>
      <c r="K3706">
        <v>6978184818</v>
      </c>
      <c r="M3706" t="s">
        <v>7113</v>
      </c>
      <c r="N3706" t="s">
        <v>299</v>
      </c>
      <c r="O3706" t="s">
        <v>300</v>
      </c>
      <c r="R3706" t="s">
        <v>159</v>
      </c>
      <c r="S3706">
        <v>4</v>
      </c>
      <c r="T3706">
        <v>792</v>
      </c>
      <c r="U3706" s="1">
        <v>40081</v>
      </c>
      <c r="V3706" t="s">
        <v>6729</v>
      </c>
      <c r="W3706" t="s">
        <v>6730</v>
      </c>
      <c r="X3706" t="s">
        <v>58</v>
      </c>
      <c r="Y3706">
        <v>21</v>
      </c>
      <c r="Z3706" t="s">
        <v>59</v>
      </c>
      <c r="AA3706" t="s">
        <v>59</v>
      </c>
      <c r="AB3706" t="s">
        <v>59</v>
      </c>
      <c r="AC3706" t="s">
        <v>59</v>
      </c>
      <c r="AD3706" t="s">
        <v>59</v>
      </c>
      <c r="AF3706" s="1">
        <v>40081</v>
      </c>
      <c r="AG3706" t="s">
        <v>137</v>
      </c>
      <c r="AH3706" t="s">
        <v>138</v>
      </c>
      <c r="AI3706" t="str">
        <f>"5050065"</f>
        <v>5050065</v>
      </c>
      <c r="AJ3706" t="s">
        <v>6822</v>
      </c>
      <c r="AK3706">
        <v>2823022234</v>
      </c>
      <c r="AL3706" t="s">
        <v>6823</v>
      </c>
      <c r="AM3706" t="s">
        <v>88</v>
      </c>
      <c r="AN3706" t="s">
        <v>6824</v>
      </c>
      <c r="AO3706" t="s">
        <v>6825</v>
      </c>
      <c r="AP3706" t="s">
        <v>6826</v>
      </c>
      <c r="AQ3706">
        <v>1</v>
      </c>
      <c r="AR3706" t="s">
        <v>6729</v>
      </c>
      <c r="AS3706" t="s">
        <v>6730</v>
      </c>
      <c r="AT3706" t="s">
        <v>58</v>
      </c>
      <c r="AU3706" t="s">
        <v>68</v>
      </c>
      <c r="AV3706" t="s">
        <v>69</v>
      </c>
      <c r="AW3706" s="1">
        <v>27016</v>
      </c>
      <c r="AX3706">
        <v>2</v>
      </c>
    </row>
    <row r="3707" spans="1:50">
      <c r="A3707">
        <v>223749</v>
      </c>
      <c r="B3707" t="str">
        <f>"114530479"</f>
        <v>114530479</v>
      </c>
      <c r="C3707" t="s">
        <v>50</v>
      </c>
      <c r="D3707" t="s">
        <v>7110</v>
      </c>
      <c r="E3707" t="s">
        <v>181</v>
      </c>
      <c r="F3707" t="s">
        <v>53</v>
      </c>
      <c r="G3707" t="s">
        <v>215</v>
      </c>
      <c r="H3707" t="str">
        <f>"Γ. ΣΚΑΛΙΔΗ 30 ΧΑΛΕΠΑ"</f>
        <v>Γ. ΣΚΑΛΙΔΗ 30 ΧΑΛΕΠΑ</v>
      </c>
      <c r="I3707">
        <v>73100</v>
      </c>
      <c r="J3707">
        <v>2821302136</v>
      </c>
      <c r="K3707">
        <v>6937262416</v>
      </c>
      <c r="M3707" t="s">
        <v>7114</v>
      </c>
      <c r="N3707" t="s">
        <v>246</v>
      </c>
      <c r="O3707" t="s">
        <v>247</v>
      </c>
      <c r="R3707" t="s">
        <v>57</v>
      </c>
      <c r="S3707">
        <v>7</v>
      </c>
      <c r="T3707">
        <v>775</v>
      </c>
      <c r="U3707" s="1">
        <v>39680</v>
      </c>
      <c r="V3707" t="s">
        <v>6729</v>
      </c>
      <c r="W3707" t="s">
        <v>6730</v>
      </c>
      <c r="X3707" t="s">
        <v>58</v>
      </c>
      <c r="Y3707">
        <v>21</v>
      </c>
      <c r="Z3707" t="s">
        <v>59</v>
      </c>
      <c r="AA3707" t="s">
        <v>59</v>
      </c>
      <c r="AB3707" t="s">
        <v>59</v>
      </c>
      <c r="AC3707" t="s">
        <v>59</v>
      </c>
      <c r="AD3707" t="s">
        <v>59</v>
      </c>
      <c r="AF3707" s="1">
        <v>39685</v>
      </c>
      <c r="AG3707" t="s">
        <v>148</v>
      </c>
      <c r="AH3707" t="s">
        <v>149</v>
      </c>
      <c r="AI3707" t="str">
        <f>"5051030"</f>
        <v>5051030</v>
      </c>
      <c r="AJ3707" t="s">
        <v>6760</v>
      </c>
      <c r="AK3707">
        <v>2821027533</v>
      </c>
      <c r="AL3707" t="s">
        <v>6761</v>
      </c>
      <c r="AM3707" t="s">
        <v>88</v>
      </c>
      <c r="AN3707" t="s">
        <v>88</v>
      </c>
      <c r="AO3707" t="s">
        <v>88</v>
      </c>
      <c r="AP3707" t="s">
        <v>88</v>
      </c>
      <c r="AQ3707">
        <v>1</v>
      </c>
      <c r="AR3707" t="s">
        <v>6729</v>
      </c>
      <c r="AS3707" t="s">
        <v>6730</v>
      </c>
      <c r="AT3707" t="s">
        <v>58</v>
      </c>
      <c r="AU3707" t="s">
        <v>68</v>
      </c>
      <c r="AV3707" t="s">
        <v>69</v>
      </c>
      <c r="AW3707" s="1">
        <v>30483</v>
      </c>
      <c r="AX3707">
        <v>2</v>
      </c>
    </row>
    <row r="3708" spans="1:50">
      <c r="A3708">
        <v>218839</v>
      </c>
      <c r="B3708" t="str">
        <f>"028555943"</f>
        <v>028555943</v>
      </c>
      <c r="C3708" t="s">
        <v>50</v>
      </c>
      <c r="D3708" t="s">
        <v>7115</v>
      </c>
      <c r="E3708" t="s">
        <v>52</v>
      </c>
      <c r="F3708" t="s">
        <v>3483</v>
      </c>
      <c r="G3708" t="s">
        <v>263</v>
      </c>
      <c r="H3708" t="str">
        <f>"ΔΑΙΔΑΛΟΥ ΓΑΛΑΤΑΣ"</f>
        <v>ΔΑΙΔΑΛΟΥ ΓΑΛΑΤΑΣ</v>
      </c>
      <c r="I3708">
        <v>73100</v>
      </c>
      <c r="J3708">
        <v>2821033037</v>
      </c>
      <c r="K3708">
        <v>6978776902</v>
      </c>
      <c r="N3708" t="s">
        <v>246</v>
      </c>
      <c r="O3708" t="s">
        <v>247</v>
      </c>
      <c r="R3708" t="s">
        <v>57</v>
      </c>
      <c r="S3708">
        <v>6</v>
      </c>
      <c r="T3708">
        <v>599</v>
      </c>
      <c r="U3708" s="1">
        <v>39310</v>
      </c>
      <c r="V3708" t="s">
        <v>6729</v>
      </c>
      <c r="W3708" t="s">
        <v>6730</v>
      </c>
      <c r="X3708" t="s">
        <v>58</v>
      </c>
      <c r="Y3708">
        <v>20</v>
      </c>
      <c r="Z3708" t="s">
        <v>59</v>
      </c>
      <c r="AA3708" t="s">
        <v>59</v>
      </c>
      <c r="AB3708" t="s">
        <v>59</v>
      </c>
      <c r="AC3708" t="s">
        <v>59</v>
      </c>
      <c r="AD3708" t="s">
        <v>59</v>
      </c>
      <c r="AF3708" s="1">
        <v>39328</v>
      </c>
      <c r="AG3708" t="s">
        <v>125</v>
      </c>
      <c r="AH3708" t="s">
        <v>126</v>
      </c>
      <c r="AI3708" t="str">
        <f>"5001070"</f>
        <v>5001070</v>
      </c>
      <c r="AJ3708" t="s">
        <v>6731</v>
      </c>
      <c r="AK3708">
        <v>2821088045</v>
      </c>
      <c r="AL3708" t="s">
        <v>6732</v>
      </c>
      <c r="AM3708" t="s">
        <v>88</v>
      </c>
      <c r="AN3708" t="s">
        <v>88</v>
      </c>
      <c r="AO3708" t="s">
        <v>6733</v>
      </c>
      <c r="AP3708" t="s">
        <v>6734</v>
      </c>
      <c r="AQ3708">
        <v>1</v>
      </c>
      <c r="AR3708" t="s">
        <v>6729</v>
      </c>
      <c r="AS3708" t="s">
        <v>6730</v>
      </c>
      <c r="AT3708" t="s">
        <v>58</v>
      </c>
      <c r="AU3708" t="s">
        <v>68</v>
      </c>
      <c r="AV3708" t="s">
        <v>69</v>
      </c>
      <c r="AW3708" s="1">
        <v>20878</v>
      </c>
      <c r="AX3708">
        <v>2</v>
      </c>
    </row>
    <row r="3709" spans="1:50">
      <c r="A3709">
        <v>202565</v>
      </c>
      <c r="B3709" t="str">
        <f>"054520545"</f>
        <v>054520545</v>
      </c>
      <c r="C3709" t="s">
        <v>50</v>
      </c>
      <c r="D3709" t="s">
        <v>7116</v>
      </c>
      <c r="E3709" t="s">
        <v>181</v>
      </c>
      <c r="F3709" t="s">
        <v>670</v>
      </c>
      <c r="G3709" t="s">
        <v>263</v>
      </c>
      <c r="H3709" t="str">
        <f>" "</f>
        <v xml:space="preserve"> </v>
      </c>
      <c r="J3709">
        <v>2821054993</v>
      </c>
      <c r="K3709">
        <v>6976603155</v>
      </c>
      <c r="M3709" t="s">
        <v>7117</v>
      </c>
      <c r="N3709" t="s">
        <v>232</v>
      </c>
      <c r="O3709" t="s">
        <v>233</v>
      </c>
      <c r="R3709" t="s">
        <v>57</v>
      </c>
      <c r="S3709">
        <v>7</v>
      </c>
      <c r="T3709">
        <v>231</v>
      </c>
      <c r="U3709" s="1">
        <v>38230</v>
      </c>
      <c r="V3709" t="s">
        <v>6729</v>
      </c>
      <c r="W3709" t="s">
        <v>6730</v>
      </c>
      <c r="X3709" t="s">
        <v>58</v>
      </c>
      <c r="Y3709">
        <v>20</v>
      </c>
      <c r="Z3709" t="s">
        <v>59</v>
      </c>
      <c r="AA3709" t="s">
        <v>59</v>
      </c>
      <c r="AB3709" t="s">
        <v>59</v>
      </c>
      <c r="AC3709" t="s">
        <v>59</v>
      </c>
      <c r="AD3709" t="s">
        <v>59</v>
      </c>
      <c r="AF3709" s="1">
        <v>38231</v>
      </c>
      <c r="AG3709" t="s">
        <v>148</v>
      </c>
      <c r="AH3709" t="s">
        <v>149</v>
      </c>
      <c r="AI3709" t="str">
        <f>"5051009"</f>
        <v>5051009</v>
      </c>
      <c r="AJ3709" t="s">
        <v>6851</v>
      </c>
      <c r="AK3709">
        <v>2821044551</v>
      </c>
      <c r="AL3709" t="s">
        <v>6852</v>
      </c>
      <c r="AM3709" t="s">
        <v>88</v>
      </c>
      <c r="AN3709" t="s">
        <v>88</v>
      </c>
      <c r="AO3709" t="s">
        <v>6770</v>
      </c>
      <c r="AP3709" t="s">
        <v>6771</v>
      </c>
      <c r="AQ3709">
        <v>1</v>
      </c>
      <c r="AR3709" t="s">
        <v>6729</v>
      </c>
      <c r="AS3709" t="s">
        <v>6730</v>
      </c>
      <c r="AT3709" t="s">
        <v>58</v>
      </c>
      <c r="AU3709" t="s">
        <v>68</v>
      </c>
      <c r="AV3709" t="s">
        <v>69</v>
      </c>
      <c r="AW3709" s="1">
        <v>25658</v>
      </c>
      <c r="AX3709">
        <v>2</v>
      </c>
    </row>
    <row r="3710" spans="1:50">
      <c r="A3710">
        <v>161634</v>
      </c>
      <c r="B3710" t="str">
        <f>"113189773"</f>
        <v>113189773</v>
      </c>
      <c r="C3710" t="s">
        <v>50</v>
      </c>
      <c r="D3710" t="s">
        <v>7118</v>
      </c>
      <c r="E3710" t="s">
        <v>7119</v>
      </c>
      <c r="F3710" t="s">
        <v>670</v>
      </c>
      <c r="G3710" t="s">
        <v>52</v>
      </c>
      <c r="H3710" t="str">
        <f>" "</f>
        <v xml:space="preserve"> </v>
      </c>
      <c r="M3710" t="s">
        <v>7120</v>
      </c>
      <c r="N3710" t="s">
        <v>299</v>
      </c>
      <c r="O3710" t="s">
        <v>300</v>
      </c>
      <c r="P3710" t="s">
        <v>1525</v>
      </c>
      <c r="Q3710" t="s">
        <v>1526</v>
      </c>
      <c r="R3710" t="s">
        <v>57</v>
      </c>
      <c r="S3710">
        <v>14</v>
      </c>
      <c r="T3710">
        <v>161</v>
      </c>
      <c r="U3710" s="1">
        <v>33119</v>
      </c>
      <c r="V3710" t="s">
        <v>6729</v>
      </c>
      <c r="W3710" t="s">
        <v>6730</v>
      </c>
      <c r="X3710" t="s">
        <v>58</v>
      </c>
      <c r="Y3710">
        <v>18</v>
      </c>
      <c r="Z3710" t="s">
        <v>59</v>
      </c>
      <c r="AA3710" t="s">
        <v>59</v>
      </c>
      <c r="AB3710" t="s">
        <v>59</v>
      </c>
      <c r="AC3710" t="s">
        <v>59</v>
      </c>
      <c r="AD3710" t="s">
        <v>59</v>
      </c>
      <c r="AF3710" s="1">
        <v>33120</v>
      </c>
      <c r="AG3710" t="s">
        <v>137</v>
      </c>
      <c r="AH3710" t="s">
        <v>138</v>
      </c>
      <c r="AI3710" t="str">
        <f>"5040050"</f>
        <v>5040050</v>
      </c>
      <c r="AJ3710" t="s">
        <v>6750</v>
      </c>
      <c r="AK3710">
        <v>2821043147</v>
      </c>
      <c r="AL3710" t="s">
        <v>6751</v>
      </c>
      <c r="AM3710" t="s">
        <v>88</v>
      </c>
      <c r="AN3710" t="s">
        <v>88</v>
      </c>
      <c r="AO3710" t="s">
        <v>88</v>
      </c>
      <c r="AP3710" t="s">
        <v>88</v>
      </c>
      <c r="AQ3710">
        <v>1</v>
      </c>
      <c r="AR3710" t="s">
        <v>6729</v>
      </c>
      <c r="AS3710" t="s">
        <v>6730</v>
      </c>
      <c r="AT3710" t="s">
        <v>58</v>
      </c>
      <c r="AU3710" t="s">
        <v>68</v>
      </c>
      <c r="AV3710" t="s">
        <v>69</v>
      </c>
      <c r="AW3710" s="1">
        <v>22530</v>
      </c>
      <c r="AX3710">
        <v>2</v>
      </c>
    </row>
    <row r="3711" spans="1:50">
      <c r="A3711">
        <v>193390</v>
      </c>
      <c r="B3711" t="str">
        <f>"039726361"</f>
        <v>039726361</v>
      </c>
      <c r="C3711" t="s">
        <v>105</v>
      </c>
      <c r="D3711" t="s">
        <v>7121</v>
      </c>
      <c r="E3711" t="s">
        <v>309</v>
      </c>
      <c r="F3711" t="s">
        <v>72</v>
      </c>
      <c r="G3711" t="s">
        <v>83</v>
      </c>
      <c r="H3711" t="str">
        <f>"ΙΩΑΝ. ΞΗΡΑ 10 ΝΕΑ ΧΩΡΑ"</f>
        <v>ΙΩΑΝ. ΞΗΡΑ 10 ΝΕΑ ΧΩΡΑ</v>
      </c>
      <c r="J3711">
        <v>2821096545</v>
      </c>
      <c r="K3711">
        <v>6956425264</v>
      </c>
      <c r="M3711" t="s">
        <v>7122</v>
      </c>
      <c r="N3711" t="s">
        <v>292</v>
      </c>
      <c r="O3711" t="s">
        <v>293</v>
      </c>
      <c r="R3711" t="s">
        <v>57</v>
      </c>
      <c r="S3711">
        <v>8</v>
      </c>
      <c r="T3711">
        <v>193</v>
      </c>
      <c r="U3711" s="1">
        <v>37497</v>
      </c>
      <c r="V3711" t="s">
        <v>6729</v>
      </c>
      <c r="W3711" t="s">
        <v>6730</v>
      </c>
      <c r="X3711" t="s">
        <v>58</v>
      </c>
      <c r="Y3711">
        <v>20</v>
      </c>
      <c r="Z3711" t="s">
        <v>59</v>
      </c>
      <c r="AA3711" t="s">
        <v>59</v>
      </c>
      <c r="AB3711" t="s">
        <v>59</v>
      </c>
      <c r="AC3711" t="s">
        <v>59</v>
      </c>
      <c r="AD3711" t="s">
        <v>59</v>
      </c>
      <c r="AF3711" s="1">
        <v>37501</v>
      </c>
      <c r="AG3711" t="s">
        <v>148</v>
      </c>
      <c r="AH3711" t="s">
        <v>149</v>
      </c>
      <c r="AI3711" t="str">
        <f>"5051010"</f>
        <v>5051010</v>
      </c>
      <c r="AJ3711" t="s">
        <v>6896</v>
      </c>
      <c r="AK3711">
        <v>2821028714</v>
      </c>
      <c r="AL3711" t="s">
        <v>6897</v>
      </c>
      <c r="AM3711" t="s">
        <v>88</v>
      </c>
      <c r="AN3711" t="s">
        <v>88</v>
      </c>
      <c r="AO3711" t="s">
        <v>88</v>
      </c>
      <c r="AP3711" t="s">
        <v>88</v>
      </c>
      <c r="AQ3711">
        <v>1</v>
      </c>
      <c r="AR3711" t="s">
        <v>6729</v>
      </c>
      <c r="AS3711" t="s">
        <v>6730</v>
      </c>
      <c r="AT3711" t="s">
        <v>58</v>
      </c>
      <c r="AU3711" t="s">
        <v>68</v>
      </c>
      <c r="AV3711" t="s">
        <v>69</v>
      </c>
      <c r="AW3711" s="1">
        <v>24267</v>
      </c>
      <c r="AX3711">
        <v>2</v>
      </c>
    </row>
    <row r="3712" spans="1:50">
      <c r="A3712">
        <v>703221</v>
      </c>
      <c r="B3712" t="str">
        <f>"113173253"</f>
        <v>113173253</v>
      </c>
      <c r="C3712" t="s">
        <v>50</v>
      </c>
      <c r="D3712" t="s">
        <v>7123</v>
      </c>
      <c r="E3712" t="s">
        <v>52</v>
      </c>
      <c r="F3712" t="s">
        <v>72</v>
      </c>
      <c r="G3712" t="s">
        <v>620</v>
      </c>
      <c r="H3712" t="str">
        <f>"Μ. ΚΥΡΙΛΛΟΥ 20 ΧΑΝΙΑ "</f>
        <v xml:space="preserve">Μ. ΚΥΡΙΛΛΟΥ 20 ΧΑΝΙΑ </v>
      </c>
      <c r="I3712">
        <v>73131</v>
      </c>
      <c r="J3712">
        <v>2821093427</v>
      </c>
      <c r="K3712">
        <v>6946443923</v>
      </c>
      <c r="M3712" t="s">
        <v>7124</v>
      </c>
      <c r="N3712" t="s">
        <v>146</v>
      </c>
      <c r="O3712" t="s">
        <v>147</v>
      </c>
      <c r="R3712" t="s">
        <v>57</v>
      </c>
      <c r="S3712">
        <v>5</v>
      </c>
      <c r="T3712">
        <v>588</v>
      </c>
      <c r="U3712" s="1">
        <v>40778</v>
      </c>
      <c r="V3712" t="s">
        <v>6729</v>
      </c>
      <c r="W3712" t="s">
        <v>6730</v>
      </c>
      <c r="X3712" t="s">
        <v>58</v>
      </c>
      <c r="Y3712">
        <v>21</v>
      </c>
      <c r="Z3712" t="s">
        <v>59</v>
      </c>
      <c r="AA3712" t="s">
        <v>59</v>
      </c>
      <c r="AB3712" t="s">
        <v>59</v>
      </c>
      <c r="AC3712" t="s">
        <v>59</v>
      </c>
      <c r="AD3712" t="s">
        <v>59</v>
      </c>
      <c r="AF3712" s="1">
        <v>40783</v>
      </c>
      <c r="AG3712" t="s">
        <v>148</v>
      </c>
      <c r="AH3712" t="s">
        <v>149</v>
      </c>
      <c r="AI3712" t="str">
        <f>"5054010"</f>
        <v>5054010</v>
      </c>
      <c r="AJ3712" t="s">
        <v>6815</v>
      </c>
      <c r="AK3712">
        <v>2822022671</v>
      </c>
      <c r="AL3712" t="s">
        <v>6816</v>
      </c>
      <c r="AM3712" t="s">
        <v>88</v>
      </c>
      <c r="AN3712" t="s">
        <v>6744</v>
      </c>
      <c r="AO3712" t="s">
        <v>6744</v>
      </c>
      <c r="AP3712" t="s">
        <v>6744</v>
      </c>
      <c r="AQ3712">
        <v>1</v>
      </c>
      <c r="AR3712" t="s">
        <v>6729</v>
      </c>
      <c r="AS3712" t="s">
        <v>6730</v>
      </c>
      <c r="AT3712" t="s">
        <v>58</v>
      </c>
      <c r="AU3712" t="s">
        <v>68</v>
      </c>
      <c r="AV3712" t="s">
        <v>357</v>
      </c>
      <c r="AW3712" s="1">
        <v>28905</v>
      </c>
      <c r="AX3712">
        <v>2</v>
      </c>
    </row>
    <row r="3713" spans="1:50">
      <c r="A3713">
        <v>157340</v>
      </c>
      <c r="B3713" t="str">
        <f>"027338809"</f>
        <v>027338809</v>
      </c>
      <c r="C3713" t="s">
        <v>105</v>
      </c>
      <c r="D3713" t="s">
        <v>7125</v>
      </c>
      <c r="E3713" t="s">
        <v>95</v>
      </c>
      <c r="F3713" t="s">
        <v>4861</v>
      </c>
      <c r="G3713" t="s">
        <v>237</v>
      </c>
      <c r="H3713" t="str">
        <f>" "</f>
        <v xml:space="preserve"> </v>
      </c>
      <c r="J3713">
        <v>2821056281</v>
      </c>
      <c r="N3713" t="s">
        <v>299</v>
      </c>
      <c r="O3713" t="s">
        <v>300</v>
      </c>
      <c r="R3713" t="s">
        <v>57</v>
      </c>
      <c r="S3713">
        <v>15</v>
      </c>
      <c r="T3713">
        <v>188</v>
      </c>
      <c r="U3713" s="1">
        <v>32752</v>
      </c>
      <c r="V3713" t="s">
        <v>6729</v>
      </c>
      <c r="W3713" t="s">
        <v>6730</v>
      </c>
      <c r="X3713" t="s">
        <v>58</v>
      </c>
      <c r="Y3713">
        <v>18</v>
      </c>
      <c r="Z3713" t="s">
        <v>59</v>
      </c>
      <c r="AA3713" t="s">
        <v>59</v>
      </c>
      <c r="AB3713" t="s">
        <v>59</v>
      </c>
      <c r="AC3713" t="s">
        <v>59</v>
      </c>
      <c r="AD3713" t="s">
        <v>59</v>
      </c>
      <c r="AF3713" s="1">
        <v>32756</v>
      </c>
      <c r="AG3713" t="s">
        <v>137</v>
      </c>
      <c r="AH3713" t="s">
        <v>469</v>
      </c>
      <c r="AI3713" t="str">
        <f>"5040055"</f>
        <v>5040055</v>
      </c>
      <c r="AJ3713" t="s">
        <v>6940</v>
      </c>
      <c r="AK3713">
        <v>2821036404</v>
      </c>
      <c r="AL3713" t="s">
        <v>6941</v>
      </c>
      <c r="AM3713" t="s">
        <v>88</v>
      </c>
      <c r="AN3713" t="s">
        <v>88</v>
      </c>
      <c r="AO3713" t="s">
        <v>88</v>
      </c>
      <c r="AP3713" t="s">
        <v>88</v>
      </c>
      <c r="AQ3713">
        <v>1</v>
      </c>
      <c r="AR3713" t="s">
        <v>6729</v>
      </c>
      <c r="AS3713" t="s">
        <v>6730</v>
      </c>
      <c r="AT3713" t="s">
        <v>58</v>
      </c>
      <c r="AU3713" t="s">
        <v>68</v>
      </c>
      <c r="AV3713" t="s">
        <v>69</v>
      </c>
      <c r="AW3713" s="1">
        <v>20968</v>
      </c>
      <c r="AX3713">
        <v>2</v>
      </c>
    </row>
    <row r="3714" spans="1:50">
      <c r="A3714">
        <v>170232</v>
      </c>
      <c r="B3714" t="str">
        <f>"030979612"</f>
        <v>030979612</v>
      </c>
      <c r="C3714" t="s">
        <v>105</v>
      </c>
      <c r="D3714" t="s">
        <v>7125</v>
      </c>
      <c r="E3714" t="s">
        <v>72</v>
      </c>
      <c r="F3714" t="s">
        <v>4861</v>
      </c>
      <c r="G3714" t="s">
        <v>411</v>
      </c>
      <c r="H3714" t="str">
        <f>" "</f>
        <v xml:space="preserve"> </v>
      </c>
      <c r="N3714" t="s">
        <v>292</v>
      </c>
      <c r="O3714" t="s">
        <v>293</v>
      </c>
      <c r="R3714" t="s">
        <v>57</v>
      </c>
      <c r="S3714">
        <v>13</v>
      </c>
      <c r="T3714">
        <v>184</v>
      </c>
      <c r="U3714" s="1">
        <v>34941</v>
      </c>
      <c r="V3714" t="s">
        <v>6729</v>
      </c>
      <c r="W3714" t="s">
        <v>6730</v>
      </c>
      <c r="X3714" t="s">
        <v>58</v>
      </c>
      <c r="Y3714">
        <v>18</v>
      </c>
      <c r="Z3714" t="s">
        <v>59</v>
      </c>
      <c r="AA3714" t="s">
        <v>59</v>
      </c>
      <c r="AB3714" t="s">
        <v>59</v>
      </c>
      <c r="AC3714" t="s">
        <v>59</v>
      </c>
      <c r="AD3714" t="s">
        <v>59</v>
      </c>
      <c r="AF3714" s="1">
        <v>34948</v>
      </c>
      <c r="AG3714" t="s">
        <v>125</v>
      </c>
      <c r="AH3714" t="s">
        <v>126</v>
      </c>
      <c r="AI3714" t="str">
        <f>"5001040"</f>
        <v>5001040</v>
      </c>
      <c r="AJ3714" t="s">
        <v>7126</v>
      </c>
      <c r="AK3714">
        <v>2821088010</v>
      </c>
      <c r="AM3714" t="s">
        <v>88</v>
      </c>
      <c r="AN3714" t="s">
        <v>88</v>
      </c>
      <c r="AO3714" t="s">
        <v>88</v>
      </c>
      <c r="AP3714" t="s">
        <v>88</v>
      </c>
      <c r="AQ3714">
        <v>1</v>
      </c>
      <c r="AR3714" t="s">
        <v>6729</v>
      </c>
      <c r="AS3714" t="s">
        <v>6730</v>
      </c>
      <c r="AT3714" t="s">
        <v>58</v>
      </c>
      <c r="AU3714" t="s">
        <v>68</v>
      </c>
      <c r="AV3714" t="s">
        <v>69</v>
      </c>
      <c r="AW3714" s="1">
        <v>21673</v>
      </c>
      <c r="AX3714">
        <v>2</v>
      </c>
    </row>
    <row r="3715" spans="1:50">
      <c r="A3715">
        <v>201364</v>
      </c>
      <c r="B3715" t="str">
        <f>"113164871"</f>
        <v>113164871</v>
      </c>
      <c r="C3715" t="s">
        <v>50</v>
      </c>
      <c r="D3715" t="s">
        <v>5888</v>
      </c>
      <c r="E3715" t="s">
        <v>566</v>
      </c>
      <c r="F3715" t="s">
        <v>414</v>
      </c>
      <c r="G3715" t="s">
        <v>96</v>
      </c>
      <c r="H3715" t="str">
        <f>" "</f>
        <v xml:space="preserve"> </v>
      </c>
      <c r="J3715">
        <v>2821057102</v>
      </c>
      <c r="K3715">
        <v>6936575053</v>
      </c>
      <c r="N3715" t="s">
        <v>146</v>
      </c>
      <c r="O3715" t="s">
        <v>147</v>
      </c>
      <c r="R3715" t="s">
        <v>57</v>
      </c>
      <c r="S3715">
        <v>7</v>
      </c>
      <c r="T3715">
        <v>231</v>
      </c>
      <c r="U3715" s="1">
        <v>38230</v>
      </c>
      <c r="V3715" t="s">
        <v>6729</v>
      </c>
      <c r="W3715" t="s">
        <v>6730</v>
      </c>
      <c r="X3715" t="s">
        <v>58</v>
      </c>
      <c r="Y3715">
        <v>20</v>
      </c>
      <c r="Z3715" t="s">
        <v>59</v>
      </c>
      <c r="AA3715" t="s">
        <v>59</v>
      </c>
      <c r="AB3715" t="s">
        <v>59</v>
      </c>
      <c r="AC3715" t="s">
        <v>59</v>
      </c>
      <c r="AD3715" t="s">
        <v>59</v>
      </c>
      <c r="AF3715" s="1">
        <v>38233</v>
      </c>
      <c r="AG3715" t="s">
        <v>148</v>
      </c>
      <c r="AH3715" t="s">
        <v>149</v>
      </c>
      <c r="AI3715" t="str">
        <f>"5051009"</f>
        <v>5051009</v>
      </c>
      <c r="AJ3715" t="s">
        <v>6851</v>
      </c>
      <c r="AK3715">
        <v>2821044551</v>
      </c>
      <c r="AL3715" t="s">
        <v>6852</v>
      </c>
      <c r="AM3715" t="s">
        <v>88</v>
      </c>
      <c r="AN3715" t="s">
        <v>88</v>
      </c>
      <c r="AO3715" t="s">
        <v>6770</v>
      </c>
      <c r="AP3715" t="s">
        <v>6771</v>
      </c>
      <c r="AQ3715">
        <v>1</v>
      </c>
      <c r="AR3715" t="s">
        <v>6729</v>
      </c>
      <c r="AS3715" t="s">
        <v>6730</v>
      </c>
      <c r="AT3715" t="s">
        <v>58</v>
      </c>
      <c r="AU3715" t="s">
        <v>68</v>
      </c>
      <c r="AV3715" t="s">
        <v>69</v>
      </c>
      <c r="AW3715" s="1">
        <v>25991</v>
      </c>
      <c r="AX3715">
        <v>2</v>
      </c>
    </row>
    <row r="3716" spans="1:50">
      <c r="A3716">
        <v>183302</v>
      </c>
      <c r="B3716" t="str">
        <f>"122972626"</f>
        <v>122972626</v>
      </c>
      <c r="C3716" t="s">
        <v>50</v>
      </c>
      <c r="D3716" t="s">
        <v>7127</v>
      </c>
      <c r="E3716" t="s">
        <v>484</v>
      </c>
      <c r="F3716" t="s">
        <v>99</v>
      </c>
      <c r="G3716" t="s">
        <v>366</v>
      </c>
      <c r="H3716" t="str">
        <f>" "</f>
        <v xml:space="preserve"> </v>
      </c>
      <c r="N3716" t="s">
        <v>146</v>
      </c>
      <c r="O3716" t="s">
        <v>147</v>
      </c>
      <c r="R3716" t="s">
        <v>57</v>
      </c>
      <c r="S3716">
        <v>12</v>
      </c>
      <c r="T3716">
        <v>177</v>
      </c>
      <c r="U3716" s="1">
        <v>36403</v>
      </c>
      <c r="V3716" t="s">
        <v>6729</v>
      </c>
      <c r="W3716" t="s">
        <v>6730</v>
      </c>
      <c r="X3716" t="s">
        <v>58</v>
      </c>
      <c r="Y3716">
        <v>18</v>
      </c>
      <c r="Z3716" t="s">
        <v>59</v>
      </c>
      <c r="AA3716" t="s">
        <v>59</v>
      </c>
      <c r="AB3716" t="s">
        <v>59</v>
      </c>
      <c r="AC3716" t="s">
        <v>59</v>
      </c>
      <c r="AD3716" t="s">
        <v>59</v>
      </c>
      <c r="AF3716" s="1">
        <v>36406</v>
      </c>
      <c r="AG3716" t="s">
        <v>125</v>
      </c>
      <c r="AH3716" t="s">
        <v>126</v>
      </c>
      <c r="AI3716" t="str">
        <f>"5001070"</f>
        <v>5001070</v>
      </c>
      <c r="AJ3716" t="s">
        <v>6731</v>
      </c>
      <c r="AK3716">
        <v>2821088045</v>
      </c>
      <c r="AL3716" t="s">
        <v>6732</v>
      </c>
      <c r="AM3716" t="s">
        <v>88</v>
      </c>
      <c r="AN3716" t="s">
        <v>88</v>
      </c>
      <c r="AO3716" t="s">
        <v>6733</v>
      </c>
      <c r="AP3716" t="s">
        <v>6734</v>
      </c>
      <c r="AQ3716">
        <v>1</v>
      </c>
      <c r="AR3716" t="s">
        <v>6729</v>
      </c>
      <c r="AS3716" t="s">
        <v>6730</v>
      </c>
      <c r="AT3716" t="s">
        <v>58</v>
      </c>
      <c r="AU3716" t="s">
        <v>68</v>
      </c>
      <c r="AV3716" t="s">
        <v>69</v>
      </c>
      <c r="AW3716" s="1">
        <v>24823</v>
      </c>
      <c r="AX3716">
        <v>2</v>
      </c>
    </row>
    <row r="3717" spans="1:50">
      <c r="A3717">
        <v>221993</v>
      </c>
      <c r="B3717" t="str">
        <f>"079230939"</f>
        <v>079230939</v>
      </c>
      <c r="C3717" t="s">
        <v>50</v>
      </c>
      <c r="D3717" t="s">
        <v>1160</v>
      </c>
      <c r="E3717" t="s">
        <v>215</v>
      </c>
      <c r="F3717" t="s">
        <v>95</v>
      </c>
      <c r="G3717" t="s">
        <v>699</v>
      </c>
      <c r="H3717" t="str">
        <f>"Ι. ΚΑΛΟΓΕΡΑΚΗ 12 ΧΑΝΙΑ"</f>
        <v>Ι. ΚΑΛΟΓΕΡΑΚΗ 12 ΧΑΝΙΑ</v>
      </c>
      <c r="I3717">
        <v>73134</v>
      </c>
      <c r="J3717">
        <v>2821093228</v>
      </c>
      <c r="K3717">
        <v>6972825944</v>
      </c>
      <c r="M3717" t="s">
        <v>7128</v>
      </c>
      <c r="N3717" t="s">
        <v>146</v>
      </c>
      <c r="O3717" t="s">
        <v>147</v>
      </c>
      <c r="R3717" t="s">
        <v>57</v>
      </c>
      <c r="S3717">
        <v>6</v>
      </c>
      <c r="T3717">
        <v>775</v>
      </c>
      <c r="U3717" s="1">
        <v>39680</v>
      </c>
      <c r="V3717" t="s">
        <v>6729</v>
      </c>
      <c r="W3717" t="s">
        <v>6730</v>
      </c>
      <c r="X3717" t="s">
        <v>58</v>
      </c>
      <c r="Y3717">
        <v>20</v>
      </c>
      <c r="Z3717" t="s">
        <v>59</v>
      </c>
      <c r="AA3717" t="s">
        <v>59</v>
      </c>
      <c r="AB3717" t="s">
        <v>59</v>
      </c>
      <c r="AC3717" t="s">
        <v>59</v>
      </c>
      <c r="AD3717" t="s">
        <v>59</v>
      </c>
      <c r="AF3717" s="1">
        <v>39682</v>
      </c>
      <c r="AG3717" t="s">
        <v>148</v>
      </c>
      <c r="AH3717" t="s">
        <v>149</v>
      </c>
      <c r="AI3717" t="str">
        <f>"5052010"</f>
        <v>5052010</v>
      </c>
      <c r="AJ3717" t="s">
        <v>6834</v>
      </c>
      <c r="AK3717">
        <v>2825022200</v>
      </c>
      <c r="AL3717" t="s">
        <v>6835</v>
      </c>
      <c r="AM3717" t="s">
        <v>88</v>
      </c>
      <c r="AN3717" t="s">
        <v>6775</v>
      </c>
      <c r="AO3717" t="s">
        <v>6776</v>
      </c>
      <c r="AP3717" t="s">
        <v>6776</v>
      </c>
      <c r="AQ3717">
        <v>1</v>
      </c>
      <c r="AR3717" t="s">
        <v>6729</v>
      </c>
      <c r="AS3717" t="s">
        <v>6730</v>
      </c>
      <c r="AT3717" t="s">
        <v>58</v>
      </c>
      <c r="AU3717" t="s">
        <v>68</v>
      </c>
      <c r="AV3717" t="s">
        <v>69</v>
      </c>
      <c r="AW3717" s="1">
        <v>26117</v>
      </c>
      <c r="AX3717">
        <v>2</v>
      </c>
    </row>
    <row r="3718" spans="1:50">
      <c r="A3718">
        <v>178589</v>
      </c>
      <c r="B3718" t="str">
        <f>"055693398"</f>
        <v>055693398</v>
      </c>
      <c r="C3718" t="s">
        <v>50</v>
      </c>
      <c r="D3718" t="s">
        <v>7129</v>
      </c>
      <c r="E3718" t="s">
        <v>2248</v>
      </c>
      <c r="F3718" t="s">
        <v>450</v>
      </c>
      <c r="G3718" t="s">
        <v>888</v>
      </c>
      <c r="H3718" t="str">
        <f>"ΣΑΡΙΔΑΚΗ 118 Μ. ΧΩΡΑΦΙΑ"</f>
        <v>ΣΑΡΙΔΑΚΗ 118 Μ. ΧΩΡΑΦΙΑ</v>
      </c>
      <c r="I3718">
        <v>73003</v>
      </c>
      <c r="J3718">
        <v>2825032523</v>
      </c>
      <c r="K3718">
        <v>6957203193</v>
      </c>
      <c r="N3718" t="s">
        <v>683</v>
      </c>
      <c r="O3718" t="s">
        <v>684</v>
      </c>
      <c r="R3718" t="s">
        <v>57</v>
      </c>
      <c r="S3718">
        <v>10</v>
      </c>
      <c r="T3718">
        <v>181</v>
      </c>
      <c r="U3718" s="1">
        <v>35674</v>
      </c>
      <c r="V3718" t="s">
        <v>6729</v>
      </c>
      <c r="W3718" t="s">
        <v>6730</v>
      </c>
      <c r="X3718" t="s">
        <v>58</v>
      </c>
      <c r="Y3718">
        <v>18</v>
      </c>
      <c r="Z3718" t="s">
        <v>59</v>
      </c>
      <c r="AA3718" t="s">
        <v>59</v>
      </c>
      <c r="AB3718" t="s">
        <v>59</v>
      </c>
      <c r="AC3718" t="s">
        <v>59</v>
      </c>
      <c r="AD3718" t="s">
        <v>59</v>
      </c>
      <c r="AF3718" s="1">
        <v>35678</v>
      </c>
      <c r="AG3718" t="s">
        <v>125</v>
      </c>
      <c r="AH3718" t="s">
        <v>126</v>
      </c>
      <c r="AI3718" t="str">
        <f>"5001020"</f>
        <v>5001020</v>
      </c>
      <c r="AJ3718" t="s">
        <v>6739</v>
      </c>
      <c r="AK3718">
        <v>2821042664</v>
      </c>
      <c r="AL3718" t="s">
        <v>6740</v>
      </c>
      <c r="AM3718" t="s">
        <v>88</v>
      </c>
      <c r="AN3718" t="s">
        <v>88</v>
      </c>
      <c r="AO3718" t="s">
        <v>88</v>
      </c>
      <c r="AP3718" t="s">
        <v>88</v>
      </c>
      <c r="AQ3718">
        <v>1</v>
      </c>
      <c r="AR3718" t="s">
        <v>6729</v>
      </c>
      <c r="AS3718" t="s">
        <v>6730</v>
      </c>
      <c r="AT3718" t="s">
        <v>58</v>
      </c>
      <c r="AU3718" t="s">
        <v>68</v>
      </c>
      <c r="AV3718" t="s">
        <v>69</v>
      </c>
      <c r="AW3718" s="1">
        <v>24067</v>
      </c>
      <c r="AX3718">
        <v>2</v>
      </c>
    </row>
    <row r="3719" spans="1:50">
      <c r="A3719">
        <v>205945</v>
      </c>
      <c r="B3719" t="str">
        <f>"110133495"</f>
        <v>110133495</v>
      </c>
      <c r="C3719" t="s">
        <v>105</v>
      </c>
      <c r="D3719" t="s">
        <v>1193</v>
      </c>
      <c r="E3719" t="s">
        <v>92</v>
      </c>
      <c r="F3719" t="s">
        <v>7130</v>
      </c>
      <c r="G3719" t="s">
        <v>181</v>
      </c>
      <c r="H3719" t="str">
        <f>" "</f>
        <v xml:space="preserve"> </v>
      </c>
      <c r="J3719">
        <v>2286021157</v>
      </c>
      <c r="K3719">
        <v>6944818878</v>
      </c>
      <c r="M3719" t="s">
        <v>7131</v>
      </c>
      <c r="N3719" t="s">
        <v>232</v>
      </c>
      <c r="O3719" t="s">
        <v>233</v>
      </c>
      <c r="R3719" t="s">
        <v>57</v>
      </c>
      <c r="S3719">
        <v>9</v>
      </c>
      <c r="T3719">
        <v>231</v>
      </c>
      <c r="U3719" s="1">
        <v>38230</v>
      </c>
      <c r="V3719" t="s">
        <v>6729</v>
      </c>
      <c r="W3719" t="s">
        <v>6730</v>
      </c>
      <c r="X3719" t="s">
        <v>58</v>
      </c>
      <c r="Y3719">
        <v>20</v>
      </c>
      <c r="Z3719" t="s">
        <v>59</v>
      </c>
      <c r="AA3719" t="s">
        <v>59</v>
      </c>
      <c r="AB3719" t="s">
        <v>59</v>
      </c>
      <c r="AC3719" t="s">
        <v>59</v>
      </c>
      <c r="AD3719" t="s">
        <v>59</v>
      </c>
      <c r="AF3719" s="1">
        <v>38236</v>
      </c>
      <c r="AG3719" t="s">
        <v>125</v>
      </c>
      <c r="AH3719" t="s">
        <v>126</v>
      </c>
      <c r="AI3719" t="str">
        <f>"5008010"</f>
        <v>5008010</v>
      </c>
      <c r="AJ3719" t="s">
        <v>6993</v>
      </c>
      <c r="AK3719">
        <v>2825091207</v>
      </c>
      <c r="AL3719" t="s">
        <v>6994</v>
      </c>
      <c r="AM3719" t="s">
        <v>88</v>
      </c>
      <c r="AN3719" t="s">
        <v>6995</v>
      </c>
      <c r="AO3719" t="s">
        <v>6995</v>
      </c>
      <c r="AP3719" t="s">
        <v>6996</v>
      </c>
      <c r="AQ3719">
        <v>1</v>
      </c>
      <c r="AR3719" t="s">
        <v>6729</v>
      </c>
      <c r="AS3719" t="s">
        <v>6730</v>
      </c>
      <c r="AT3719" t="s">
        <v>58</v>
      </c>
      <c r="AU3719" t="s">
        <v>68</v>
      </c>
      <c r="AV3719" t="s">
        <v>69</v>
      </c>
      <c r="AW3719" s="1">
        <v>27880</v>
      </c>
      <c r="AX3719">
        <v>2</v>
      </c>
    </row>
    <row r="3720" spans="1:50">
      <c r="A3720">
        <v>149584</v>
      </c>
      <c r="B3720" t="str">
        <f>"029083994"</f>
        <v>029083994</v>
      </c>
      <c r="C3720" t="s">
        <v>105</v>
      </c>
      <c r="D3720" t="s">
        <v>7132</v>
      </c>
      <c r="E3720" t="s">
        <v>166</v>
      </c>
      <c r="F3720" t="s">
        <v>1070</v>
      </c>
      <c r="G3720" t="s">
        <v>755</v>
      </c>
      <c r="H3720" t="str">
        <f>" "</f>
        <v xml:space="preserve"> </v>
      </c>
      <c r="M3720" t="s">
        <v>7133</v>
      </c>
      <c r="N3720" t="s">
        <v>299</v>
      </c>
      <c r="O3720" t="s">
        <v>300</v>
      </c>
      <c r="R3720" t="s">
        <v>57</v>
      </c>
      <c r="S3720">
        <v>16</v>
      </c>
      <c r="T3720">
        <v>205</v>
      </c>
      <c r="U3720" s="1">
        <v>31658</v>
      </c>
      <c r="V3720" t="s">
        <v>6729</v>
      </c>
      <c r="W3720" t="s">
        <v>6730</v>
      </c>
      <c r="X3720" t="s">
        <v>58</v>
      </c>
      <c r="Y3720">
        <v>18</v>
      </c>
      <c r="Z3720" t="s">
        <v>59</v>
      </c>
      <c r="AA3720" t="s">
        <v>59</v>
      </c>
      <c r="AB3720" t="s">
        <v>59</v>
      </c>
      <c r="AC3720" t="s">
        <v>59</v>
      </c>
      <c r="AD3720" t="s">
        <v>59</v>
      </c>
      <c r="AF3720" s="1">
        <v>31667</v>
      </c>
      <c r="AG3720" t="s">
        <v>137</v>
      </c>
      <c r="AH3720" t="s">
        <v>138</v>
      </c>
      <c r="AI3720" t="str">
        <f>"5040050"</f>
        <v>5040050</v>
      </c>
      <c r="AJ3720" t="s">
        <v>6750</v>
      </c>
      <c r="AK3720">
        <v>2821043147</v>
      </c>
      <c r="AL3720" t="s">
        <v>6751</v>
      </c>
      <c r="AM3720" t="s">
        <v>88</v>
      </c>
      <c r="AN3720" t="s">
        <v>88</v>
      </c>
      <c r="AO3720" t="s">
        <v>88</v>
      </c>
      <c r="AP3720" t="s">
        <v>88</v>
      </c>
      <c r="AQ3720">
        <v>1</v>
      </c>
      <c r="AR3720" t="s">
        <v>6729</v>
      </c>
      <c r="AS3720" t="s">
        <v>6730</v>
      </c>
      <c r="AT3720" t="s">
        <v>58</v>
      </c>
      <c r="AU3720" t="s">
        <v>68</v>
      </c>
      <c r="AV3720" t="s">
        <v>69</v>
      </c>
      <c r="AW3720" s="1">
        <v>22638</v>
      </c>
      <c r="AX3720">
        <v>2</v>
      </c>
    </row>
    <row r="3721" spans="1:50">
      <c r="A3721">
        <v>218375</v>
      </c>
      <c r="B3721" t="str">
        <f>"059933630"</f>
        <v>059933630</v>
      </c>
      <c r="C3721" t="s">
        <v>105</v>
      </c>
      <c r="D3721" t="s">
        <v>7134</v>
      </c>
      <c r="E3721" t="s">
        <v>166</v>
      </c>
      <c r="F3721" t="s">
        <v>95</v>
      </c>
      <c r="G3721" t="s">
        <v>114</v>
      </c>
      <c r="H3721" t="str">
        <f>"Δαράτσο "</f>
        <v xml:space="preserve">Δαράτσο </v>
      </c>
      <c r="J3721">
        <v>2821032610</v>
      </c>
      <c r="K3721">
        <v>6947023724</v>
      </c>
      <c r="M3721" t="s">
        <v>7135</v>
      </c>
      <c r="N3721" t="s">
        <v>232</v>
      </c>
      <c r="O3721" t="s">
        <v>233</v>
      </c>
      <c r="R3721" t="s">
        <v>57</v>
      </c>
      <c r="S3721">
        <v>5</v>
      </c>
      <c r="T3721">
        <v>599</v>
      </c>
      <c r="U3721" s="1">
        <v>39310</v>
      </c>
      <c r="V3721" t="s">
        <v>6729</v>
      </c>
      <c r="W3721" t="s">
        <v>6730</v>
      </c>
      <c r="X3721" t="s">
        <v>58</v>
      </c>
      <c r="Y3721">
        <v>21</v>
      </c>
      <c r="Z3721" t="s">
        <v>59</v>
      </c>
      <c r="AA3721" t="s">
        <v>59</v>
      </c>
      <c r="AB3721" t="s">
        <v>59</v>
      </c>
      <c r="AC3721" t="s">
        <v>59</v>
      </c>
      <c r="AD3721" t="s">
        <v>59</v>
      </c>
      <c r="AF3721" s="1">
        <v>39328</v>
      </c>
      <c r="AG3721" t="s">
        <v>125</v>
      </c>
      <c r="AH3721" t="s">
        <v>126</v>
      </c>
      <c r="AI3721" t="str">
        <f>"5011010"</f>
        <v>5011010</v>
      </c>
      <c r="AJ3721" t="s">
        <v>6877</v>
      </c>
      <c r="AK3721">
        <v>2821081330</v>
      </c>
      <c r="AL3721" t="s">
        <v>6878</v>
      </c>
      <c r="AM3721" t="s">
        <v>88</v>
      </c>
      <c r="AN3721" t="s">
        <v>88</v>
      </c>
      <c r="AO3721" t="s">
        <v>6748</v>
      </c>
      <c r="AP3721" t="s">
        <v>6748</v>
      </c>
      <c r="AQ3721">
        <v>1</v>
      </c>
      <c r="AR3721" t="s">
        <v>6729</v>
      </c>
      <c r="AS3721" t="s">
        <v>6730</v>
      </c>
      <c r="AT3721" t="s">
        <v>58</v>
      </c>
      <c r="AU3721" t="s">
        <v>68</v>
      </c>
      <c r="AV3721" t="s">
        <v>69</v>
      </c>
      <c r="AW3721" s="1">
        <v>25599</v>
      </c>
      <c r="AX3721">
        <v>2</v>
      </c>
    </row>
    <row r="3722" spans="1:50">
      <c r="A3722">
        <v>168903</v>
      </c>
      <c r="B3722" t="str">
        <f>"034747588"</f>
        <v>034747588</v>
      </c>
      <c r="C3722" t="s">
        <v>105</v>
      </c>
      <c r="D3722" t="s">
        <v>7136</v>
      </c>
      <c r="E3722" t="s">
        <v>95</v>
      </c>
      <c r="F3722" t="s">
        <v>99</v>
      </c>
      <c r="G3722" t="s">
        <v>980</v>
      </c>
      <c r="H3722" t="str">
        <f>" "</f>
        <v xml:space="preserve"> </v>
      </c>
      <c r="J3722">
        <v>2821089178</v>
      </c>
      <c r="K3722">
        <v>6973399861</v>
      </c>
      <c r="N3722" t="s">
        <v>204</v>
      </c>
      <c r="O3722" t="s">
        <v>205</v>
      </c>
      <c r="R3722" t="s">
        <v>57</v>
      </c>
      <c r="S3722">
        <v>15</v>
      </c>
      <c r="T3722">
        <v>159</v>
      </c>
      <c r="U3722" s="1">
        <v>34582</v>
      </c>
      <c r="V3722" t="s">
        <v>6729</v>
      </c>
      <c r="W3722" t="s">
        <v>6730</v>
      </c>
      <c r="X3722" t="s">
        <v>58</v>
      </c>
      <c r="Y3722">
        <v>18</v>
      </c>
      <c r="Z3722" t="s">
        <v>59</v>
      </c>
      <c r="AA3722" t="s">
        <v>59</v>
      </c>
      <c r="AB3722" t="s">
        <v>59</v>
      </c>
      <c r="AC3722" t="s">
        <v>59</v>
      </c>
      <c r="AD3722" t="s">
        <v>59</v>
      </c>
      <c r="AF3722" s="1">
        <v>34585</v>
      </c>
      <c r="AG3722" t="s">
        <v>148</v>
      </c>
      <c r="AH3722" t="s">
        <v>149</v>
      </c>
      <c r="AI3722" t="str">
        <f>"5051030"</f>
        <v>5051030</v>
      </c>
      <c r="AJ3722" t="s">
        <v>6760</v>
      </c>
      <c r="AK3722">
        <v>2821027533</v>
      </c>
      <c r="AL3722" t="s">
        <v>6761</v>
      </c>
      <c r="AM3722" t="s">
        <v>88</v>
      </c>
      <c r="AN3722" t="s">
        <v>88</v>
      </c>
      <c r="AO3722" t="s">
        <v>88</v>
      </c>
      <c r="AP3722" t="s">
        <v>88</v>
      </c>
      <c r="AQ3722">
        <v>1</v>
      </c>
      <c r="AR3722" t="s">
        <v>6729</v>
      </c>
      <c r="AS3722" t="s">
        <v>6730</v>
      </c>
      <c r="AT3722" t="s">
        <v>58</v>
      </c>
      <c r="AU3722" t="s">
        <v>68</v>
      </c>
      <c r="AV3722" t="s">
        <v>357</v>
      </c>
      <c r="AW3722" s="1">
        <v>24402</v>
      </c>
      <c r="AX3722">
        <v>2</v>
      </c>
    </row>
    <row r="3723" spans="1:50">
      <c r="B3723" t="str">
        <f>"109139017"</f>
        <v>109139017</v>
      </c>
      <c r="C3723" t="s">
        <v>50</v>
      </c>
      <c r="D3723" t="s">
        <v>7137</v>
      </c>
      <c r="E3723" t="s">
        <v>809</v>
      </c>
      <c r="F3723" t="s">
        <v>92</v>
      </c>
      <c r="G3723" t="s">
        <v>83</v>
      </c>
      <c r="H3723" t="str">
        <f>"ΑΙΓΑΙΟΥ 13 ΡΕΘΥΜΝΟ"</f>
        <v>ΑΙΓΑΙΟΥ 13 ΡΕΘΥΜΝΟ</v>
      </c>
      <c r="I3723">
        <v>74100</v>
      </c>
      <c r="K3723">
        <v>6994350220</v>
      </c>
      <c r="N3723" t="s">
        <v>1116</v>
      </c>
      <c r="O3723" t="s">
        <v>1117</v>
      </c>
      <c r="R3723" t="s">
        <v>159</v>
      </c>
      <c r="S3723">
        <v>4</v>
      </c>
      <c r="T3723" t="s">
        <v>1908</v>
      </c>
      <c r="U3723" s="1">
        <v>43368</v>
      </c>
      <c r="V3723" t="s">
        <v>6729</v>
      </c>
      <c r="W3723" t="s">
        <v>6730</v>
      </c>
      <c r="X3723" t="s">
        <v>58</v>
      </c>
      <c r="Y3723">
        <v>21</v>
      </c>
      <c r="Z3723" t="s">
        <v>59</v>
      </c>
      <c r="AA3723" t="s">
        <v>59</v>
      </c>
      <c r="AB3723" t="s">
        <v>59</v>
      </c>
      <c r="AC3723" t="s">
        <v>59</v>
      </c>
      <c r="AD3723" t="s">
        <v>59</v>
      </c>
      <c r="AF3723" s="1">
        <v>43368</v>
      </c>
      <c r="AG3723" t="s">
        <v>125</v>
      </c>
      <c r="AH3723" t="s">
        <v>294</v>
      </c>
      <c r="AI3723" t="str">
        <f>"5012017"</f>
        <v>5012017</v>
      </c>
      <c r="AJ3723" t="s">
        <v>6859</v>
      </c>
      <c r="AK3723">
        <v>2821088065</v>
      </c>
      <c r="AL3723" t="s">
        <v>6860</v>
      </c>
      <c r="AM3723" t="s">
        <v>88</v>
      </c>
      <c r="AN3723" t="s">
        <v>88</v>
      </c>
      <c r="AO3723" t="s">
        <v>88</v>
      </c>
      <c r="AP3723" t="s">
        <v>88</v>
      </c>
      <c r="AQ3723">
        <v>1</v>
      </c>
      <c r="AR3723" t="s">
        <v>6729</v>
      </c>
      <c r="AS3723" t="s">
        <v>6730</v>
      </c>
      <c r="AT3723" t="s">
        <v>58</v>
      </c>
      <c r="AU3723" t="s">
        <v>164</v>
      </c>
      <c r="AV3723" t="s">
        <v>132</v>
      </c>
      <c r="AW3723" s="1">
        <v>29554</v>
      </c>
      <c r="AX3723">
        <v>2</v>
      </c>
    </row>
    <row r="3724" spans="1:50">
      <c r="A3724">
        <v>201375</v>
      </c>
      <c r="B3724" t="str">
        <f>"052522832"</f>
        <v>052522832</v>
      </c>
      <c r="C3724" t="s">
        <v>105</v>
      </c>
      <c r="D3724" t="s">
        <v>7138</v>
      </c>
      <c r="E3724" t="s">
        <v>84</v>
      </c>
      <c r="F3724" t="s">
        <v>558</v>
      </c>
      <c r="G3724" t="s">
        <v>155</v>
      </c>
      <c r="H3724" t="str">
        <f>"Κ. ΜΑΝΟΥ ΧΑΝΙΑ"</f>
        <v>Κ. ΜΑΝΟΥ ΧΑΝΙΑ</v>
      </c>
      <c r="I3724">
        <v>73134</v>
      </c>
      <c r="J3724">
        <v>2821074232</v>
      </c>
      <c r="K3724">
        <v>6972823541</v>
      </c>
      <c r="N3724" t="s">
        <v>146</v>
      </c>
      <c r="O3724" t="s">
        <v>147</v>
      </c>
      <c r="R3724" t="s">
        <v>57</v>
      </c>
      <c r="S3724">
        <v>11</v>
      </c>
      <c r="T3724">
        <v>231</v>
      </c>
      <c r="U3724" s="1">
        <v>38230</v>
      </c>
      <c r="V3724" t="s">
        <v>6729</v>
      </c>
      <c r="W3724" t="s">
        <v>6730</v>
      </c>
      <c r="X3724" t="s">
        <v>58</v>
      </c>
      <c r="Y3724">
        <v>18</v>
      </c>
      <c r="Z3724" t="s">
        <v>59</v>
      </c>
      <c r="AA3724" t="s">
        <v>59</v>
      </c>
      <c r="AB3724" t="s">
        <v>59</v>
      </c>
      <c r="AC3724" t="s">
        <v>59</v>
      </c>
      <c r="AD3724" t="s">
        <v>59</v>
      </c>
      <c r="AF3724" s="1">
        <v>38233</v>
      </c>
      <c r="AG3724" t="s">
        <v>148</v>
      </c>
      <c r="AH3724" t="s">
        <v>149</v>
      </c>
      <c r="AI3724" t="str">
        <f>"5051040"</f>
        <v>5051040</v>
      </c>
      <c r="AJ3724" t="s">
        <v>6811</v>
      </c>
      <c r="AK3724">
        <v>2821088007</v>
      </c>
      <c r="AL3724" t="s">
        <v>6812</v>
      </c>
      <c r="AM3724" t="s">
        <v>88</v>
      </c>
      <c r="AN3724" t="s">
        <v>88</v>
      </c>
      <c r="AO3724" t="s">
        <v>88</v>
      </c>
      <c r="AP3724" t="s">
        <v>88</v>
      </c>
      <c r="AQ3724">
        <v>1</v>
      </c>
      <c r="AR3724" t="s">
        <v>6729</v>
      </c>
      <c r="AS3724" t="s">
        <v>6730</v>
      </c>
      <c r="AT3724" t="s">
        <v>58</v>
      </c>
      <c r="AU3724" t="s">
        <v>68</v>
      </c>
      <c r="AV3724" t="s">
        <v>69</v>
      </c>
      <c r="AW3724" s="1">
        <v>24110</v>
      </c>
      <c r="AX3724">
        <v>2</v>
      </c>
    </row>
    <row r="3725" spans="1:50">
      <c r="A3725">
        <v>189215</v>
      </c>
      <c r="B3725" t="str">
        <f>"100613876"</f>
        <v>100613876</v>
      </c>
      <c r="C3725" t="s">
        <v>50</v>
      </c>
      <c r="D3725" t="s">
        <v>5899</v>
      </c>
      <c r="E3725" t="s">
        <v>476</v>
      </c>
      <c r="F3725" t="s">
        <v>166</v>
      </c>
      <c r="G3725" t="s">
        <v>73</v>
      </c>
      <c r="H3725" t="str">
        <f>" "</f>
        <v xml:space="preserve"> </v>
      </c>
      <c r="N3725" t="s">
        <v>146</v>
      </c>
      <c r="O3725" t="s">
        <v>147</v>
      </c>
      <c r="R3725" t="s">
        <v>57</v>
      </c>
      <c r="S3725">
        <v>10</v>
      </c>
      <c r="T3725">
        <v>219</v>
      </c>
      <c r="U3725" s="1">
        <v>37134</v>
      </c>
      <c r="V3725" t="s">
        <v>6729</v>
      </c>
      <c r="W3725" t="s">
        <v>6730</v>
      </c>
      <c r="X3725" t="s">
        <v>58</v>
      </c>
      <c r="Y3725">
        <v>20</v>
      </c>
      <c r="Z3725" t="s">
        <v>59</v>
      </c>
      <c r="AA3725" t="s">
        <v>59</v>
      </c>
      <c r="AB3725" t="s">
        <v>59</v>
      </c>
      <c r="AC3725" t="s">
        <v>59</v>
      </c>
      <c r="AD3725" t="s">
        <v>59</v>
      </c>
      <c r="AF3725" s="1">
        <v>37141</v>
      </c>
      <c r="AG3725" t="s">
        <v>148</v>
      </c>
      <c r="AH3725" t="s">
        <v>149</v>
      </c>
      <c r="AI3725" t="str">
        <f>"5062010"</f>
        <v>5062010</v>
      </c>
      <c r="AJ3725" t="s">
        <v>6783</v>
      </c>
      <c r="AK3725">
        <v>2821031620</v>
      </c>
      <c r="AL3725" t="s">
        <v>6784</v>
      </c>
      <c r="AM3725" t="s">
        <v>88</v>
      </c>
      <c r="AN3725" t="s">
        <v>88</v>
      </c>
      <c r="AO3725" t="s">
        <v>6785</v>
      </c>
      <c r="AP3725" t="s">
        <v>6786</v>
      </c>
      <c r="AQ3725">
        <v>1</v>
      </c>
      <c r="AR3725" t="s">
        <v>6729</v>
      </c>
      <c r="AS3725" t="s">
        <v>6730</v>
      </c>
      <c r="AT3725" t="s">
        <v>58</v>
      </c>
      <c r="AU3725" t="s">
        <v>68</v>
      </c>
      <c r="AV3725" t="s">
        <v>69</v>
      </c>
      <c r="AW3725" s="1">
        <v>27897</v>
      </c>
      <c r="AX3725">
        <v>2</v>
      </c>
    </row>
    <row r="3726" spans="1:50">
      <c r="A3726">
        <v>177846</v>
      </c>
      <c r="B3726" t="str">
        <f>"044597252"</f>
        <v>044597252</v>
      </c>
      <c r="C3726" t="s">
        <v>105</v>
      </c>
      <c r="D3726" t="s">
        <v>7139</v>
      </c>
      <c r="E3726" t="s">
        <v>72</v>
      </c>
      <c r="F3726" t="s">
        <v>1229</v>
      </c>
      <c r="G3726" t="s">
        <v>52</v>
      </c>
      <c r="H3726" t="str">
        <f>" "</f>
        <v xml:space="preserve"> </v>
      </c>
      <c r="J3726">
        <v>2821073049</v>
      </c>
      <c r="K3726">
        <v>6974739285</v>
      </c>
      <c r="M3726" t="s">
        <v>7140</v>
      </c>
      <c r="N3726" t="s">
        <v>168</v>
      </c>
      <c r="O3726" t="s">
        <v>169</v>
      </c>
      <c r="R3726" t="s">
        <v>57</v>
      </c>
      <c r="S3726">
        <v>12</v>
      </c>
      <c r="T3726">
        <v>180</v>
      </c>
      <c r="U3726" s="1">
        <v>35674</v>
      </c>
      <c r="V3726" t="s">
        <v>6729</v>
      </c>
      <c r="W3726" t="s">
        <v>6730</v>
      </c>
      <c r="X3726" t="s">
        <v>58</v>
      </c>
      <c r="Y3726">
        <v>18</v>
      </c>
      <c r="Z3726" t="s">
        <v>59</v>
      </c>
      <c r="AA3726" t="s">
        <v>59</v>
      </c>
      <c r="AB3726" t="s">
        <v>59</v>
      </c>
      <c r="AC3726" t="s">
        <v>59</v>
      </c>
      <c r="AD3726" t="s">
        <v>59</v>
      </c>
      <c r="AF3726" s="1">
        <v>35675</v>
      </c>
      <c r="AG3726" t="s">
        <v>137</v>
      </c>
      <c r="AH3726" t="s">
        <v>469</v>
      </c>
      <c r="AI3726" t="str">
        <f>"5053001"</f>
        <v>5053001</v>
      </c>
      <c r="AJ3726" t="s">
        <v>6788</v>
      </c>
      <c r="AK3726">
        <v>2821068020</v>
      </c>
      <c r="AM3726" t="s">
        <v>88</v>
      </c>
      <c r="AN3726" t="s">
        <v>6764</v>
      </c>
      <c r="AO3726" t="s">
        <v>6764</v>
      </c>
      <c r="AP3726" t="s">
        <v>6764</v>
      </c>
      <c r="AQ3726">
        <v>1</v>
      </c>
      <c r="AR3726" t="s">
        <v>6729</v>
      </c>
      <c r="AS3726" t="s">
        <v>6730</v>
      </c>
      <c r="AT3726" t="s">
        <v>58</v>
      </c>
      <c r="AU3726" t="s">
        <v>68</v>
      </c>
      <c r="AV3726" t="s">
        <v>357</v>
      </c>
      <c r="AW3726" s="1">
        <v>23526</v>
      </c>
      <c r="AX3726">
        <v>2</v>
      </c>
    </row>
    <row r="3727" spans="1:50">
      <c r="A3727">
        <v>220003</v>
      </c>
      <c r="B3727" t="str">
        <f>"031980497"</f>
        <v>031980497</v>
      </c>
      <c r="C3727" t="s">
        <v>105</v>
      </c>
      <c r="D3727" t="s">
        <v>7141</v>
      </c>
      <c r="E3727" t="s">
        <v>166</v>
      </c>
      <c r="F3727" t="s">
        <v>6252</v>
      </c>
      <c r="G3727" t="s">
        <v>1689</v>
      </c>
      <c r="H3727" t="str">
        <f>" "</f>
        <v xml:space="preserve"> </v>
      </c>
      <c r="J3727">
        <v>2822024020</v>
      </c>
      <c r="K3727">
        <v>6977363730</v>
      </c>
      <c r="M3727" t="s">
        <v>7142</v>
      </c>
      <c r="N3727" t="s">
        <v>168</v>
      </c>
      <c r="O3727" t="s">
        <v>169</v>
      </c>
      <c r="R3727" t="s">
        <v>57</v>
      </c>
      <c r="S3727">
        <v>7</v>
      </c>
      <c r="T3727">
        <v>599</v>
      </c>
      <c r="U3727" s="1">
        <v>39310</v>
      </c>
      <c r="V3727" t="s">
        <v>6729</v>
      </c>
      <c r="W3727" t="s">
        <v>6730</v>
      </c>
      <c r="X3727" t="s">
        <v>58</v>
      </c>
      <c r="Y3727">
        <v>20</v>
      </c>
      <c r="Z3727" t="s">
        <v>59</v>
      </c>
      <c r="AA3727" t="s">
        <v>59</v>
      </c>
      <c r="AB3727" t="s">
        <v>59</v>
      </c>
      <c r="AC3727" t="s">
        <v>59</v>
      </c>
      <c r="AD3727" t="s">
        <v>59</v>
      </c>
      <c r="AF3727" s="1">
        <v>39328</v>
      </c>
      <c r="AG3727" t="s">
        <v>137</v>
      </c>
      <c r="AH3727" t="s">
        <v>138</v>
      </c>
      <c r="AI3727" t="str">
        <f>"5040090"</f>
        <v>5040090</v>
      </c>
      <c r="AJ3727" t="s">
        <v>6757</v>
      </c>
      <c r="AK3727">
        <v>2822022275</v>
      </c>
      <c r="AL3727" t="s">
        <v>6758</v>
      </c>
      <c r="AM3727" t="s">
        <v>88</v>
      </c>
      <c r="AN3727" t="s">
        <v>6744</v>
      </c>
      <c r="AO3727" t="s">
        <v>6744</v>
      </c>
      <c r="AP3727" t="s">
        <v>6744</v>
      </c>
      <c r="AQ3727">
        <v>1</v>
      </c>
      <c r="AR3727" t="s">
        <v>6729</v>
      </c>
      <c r="AS3727" t="s">
        <v>6730</v>
      </c>
      <c r="AT3727" t="s">
        <v>58</v>
      </c>
      <c r="AU3727" t="s">
        <v>68</v>
      </c>
      <c r="AV3727" t="s">
        <v>69</v>
      </c>
      <c r="AW3727" s="1">
        <v>24176</v>
      </c>
      <c r="AX3727">
        <v>2</v>
      </c>
    </row>
    <row r="3728" spans="1:50">
      <c r="A3728">
        <v>210271</v>
      </c>
      <c r="B3728" t="str">
        <f>"066836309"</f>
        <v>066836309</v>
      </c>
      <c r="C3728" t="s">
        <v>105</v>
      </c>
      <c r="D3728" t="s">
        <v>7141</v>
      </c>
      <c r="E3728" t="s">
        <v>106</v>
      </c>
      <c r="F3728" t="s">
        <v>72</v>
      </c>
      <c r="G3728" t="s">
        <v>250</v>
      </c>
      <c r="H3728" t="str">
        <f>"Πολυρρήνιας 19 Κουμπές"</f>
        <v>Πολυρρήνιας 19 Κουμπές</v>
      </c>
      <c r="I3728">
        <v>73135</v>
      </c>
      <c r="J3728">
        <v>2821089749</v>
      </c>
      <c r="K3728">
        <v>6975611036</v>
      </c>
      <c r="M3728" t="s">
        <v>7143</v>
      </c>
      <c r="N3728" t="s">
        <v>299</v>
      </c>
      <c r="O3728" t="s">
        <v>300</v>
      </c>
      <c r="R3728" t="s">
        <v>57</v>
      </c>
      <c r="S3728">
        <v>8</v>
      </c>
      <c r="T3728" t="s">
        <v>7144</v>
      </c>
      <c r="U3728" s="1">
        <v>38611</v>
      </c>
      <c r="V3728" t="s">
        <v>6729</v>
      </c>
      <c r="W3728" t="s">
        <v>6730</v>
      </c>
      <c r="X3728" t="s">
        <v>58</v>
      </c>
      <c r="Y3728">
        <v>20</v>
      </c>
      <c r="Z3728" t="s">
        <v>59</v>
      </c>
      <c r="AA3728" t="s">
        <v>59</v>
      </c>
      <c r="AB3728" t="s">
        <v>59</v>
      </c>
      <c r="AC3728" t="s">
        <v>59</v>
      </c>
      <c r="AD3728" t="s">
        <v>59</v>
      </c>
      <c r="AF3728" s="1">
        <v>38611</v>
      </c>
      <c r="AG3728" t="s">
        <v>125</v>
      </c>
      <c r="AH3728" t="s">
        <v>126</v>
      </c>
      <c r="AI3728" t="str">
        <f>"5001073"</f>
        <v>5001073</v>
      </c>
      <c r="AJ3728" t="s">
        <v>6849</v>
      </c>
      <c r="AK3728">
        <v>2821028553</v>
      </c>
      <c r="AL3728" t="s">
        <v>6850</v>
      </c>
      <c r="AM3728" t="s">
        <v>88</v>
      </c>
      <c r="AN3728" t="s">
        <v>88</v>
      </c>
      <c r="AO3728" t="s">
        <v>88</v>
      </c>
      <c r="AP3728" t="s">
        <v>88</v>
      </c>
      <c r="AQ3728">
        <v>1</v>
      </c>
      <c r="AR3728" t="s">
        <v>6729</v>
      </c>
      <c r="AS3728" t="s">
        <v>6730</v>
      </c>
      <c r="AT3728" t="s">
        <v>58</v>
      </c>
      <c r="AU3728" t="s">
        <v>68</v>
      </c>
      <c r="AV3728" t="s">
        <v>69</v>
      </c>
      <c r="AW3728" s="1">
        <v>29106</v>
      </c>
      <c r="AX3728">
        <v>2</v>
      </c>
    </row>
    <row r="3729" spans="1:50">
      <c r="B3729" t="str">
        <f>"127721200"</f>
        <v>127721200</v>
      </c>
      <c r="C3729" t="s">
        <v>50</v>
      </c>
      <c r="D3729" t="s">
        <v>1221</v>
      </c>
      <c r="E3729" t="s">
        <v>3249</v>
      </c>
      <c r="F3729" t="s">
        <v>1041</v>
      </c>
      <c r="G3729" t="s">
        <v>52</v>
      </c>
      <c r="H3729" t="str">
        <f>"ΠΕΡΙΒΟΛΙΩΝ 107 ΧΑΝΙΑ"</f>
        <v>ΠΕΡΙΒΟΛΙΩΝ 107 ΧΑΝΙΑ</v>
      </c>
      <c r="I3729">
        <v>73136</v>
      </c>
      <c r="J3729">
        <v>2821097545</v>
      </c>
      <c r="K3729">
        <v>6971894477</v>
      </c>
      <c r="M3729" t="s">
        <v>7145</v>
      </c>
      <c r="N3729" t="s">
        <v>292</v>
      </c>
      <c r="O3729" t="s">
        <v>293</v>
      </c>
      <c r="R3729" t="s">
        <v>159</v>
      </c>
      <c r="S3729">
        <v>3</v>
      </c>
      <c r="T3729" t="s">
        <v>574</v>
      </c>
      <c r="U3729" s="1">
        <v>43378</v>
      </c>
      <c r="V3729" t="s">
        <v>6729</v>
      </c>
      <c r="W3729" t="s">
        <v>6730</v>
      </c>
      <c r="X3729" t="s">
        <v>58</v>
      </c>
      <c r="Y3729">
        <v>23</v>
      </c>
      <c r="Z3729" t="s">
        <v>59</v>
      </c>
      <c r="AA3729" t="s">
        <v>59</v>
      </c>
      <c r="AB3729" t="s">
        <v>59</v>
      </c>
      <c r="AC3729" t="s">
        <v>59</v>
      </c>
      <c r="AD3729" t="s">
        <v>59</v>
      </c>
      <c r="AF3729" s="1">
        <v>43381</v>
      </c>
      <c r="AG3729" t="s">
        <v>125</v>
      </c>
      <c r="AH3729" t="s">
        <v>126</v>
      </c>
      <c r="AI3729" t="str">
        <f>"5002010"</f>
        <v>5002010</v>
      </c>
      <c r="AJ3729" t="s">
        <v>6773</v>
      </c>
      <c r="AK3729">
        <v>2825022249</v>
      </c>
      <c r="AL3729" t="s">
        <v>6774</v>
      </c>
      <c r="AM3729" t="s">
        <v>88</v>
      </c>
      <c r="AN3729" t="s">
        <v>6775</v>
      </c>
      <c r="AO3729" t="s">
        <v>6776</v>
      </c>
      <c r="AP3729" t="s">
        <v>6776</v>
      </c>
      <c r="AQ3729">
        <v>1</v>
      </c>
      <c r="AR3729" t="s">
        <v>6729</v>
      </c>
      <c r="AS3729" t="s">
        <v>6730</v>
      </c>
      <c r="AT3729" t="s">
        <v>58</v>
      </c>
      <c r="AU3729" t="s">
        <v>164</v>
      </c>
      <c r="AV3729" t="s">
        <v>132</v>
      </c>
      <c r="AW3729" s="1">
        <v>30458</v>
      </c>
      <c r="AX3729">
        <v>2</v>
      </c>
    </row>
    <row r="3730" spans="1:50">
      <c r="A3730">
        <v>194898</v>
      </c>
      <c r="B3730" t="str">
        <f>"052937761"</f>
        <v>052937761</v>
      </c>
      <c r="C3730" t="s">
        <v>50</v>
      </c>
      <c r="D3730" t="s">
        <v>1221</v>
      </c>
      <c r="E3730" t="s">
        <v>809</v>
      </c>
      <c r="F3730" t="s">
        <v>5896</v>
      </c>
      <c r="G3730" t="s">
        <v>52</v>
      </c>
      <c r="H3730" t="str">
        <f>" "</f>
        <v xml:space="preserve"> </v>
      </c>
      <c r="J3730">
        <v>2821053627</v>
      </c>
      <c r="K3730">
        <v>6944662805</v>
      </c>
      <c r="M3730" t="s">
        <v>7146</v>
      </c>
      <c r="N3730" t="s">
        <v>547</v>
      </c>
      <c r="O3730" t="s">
        <v>548</v>
      </c>
      <c r="R3730" t="s">
        <v>57</v>
      </c>
      <c r="S3730">
        <v>13</v>
      </c>
      <c r="T3730">
        <v>193</v>
      </c>
      <c r="U3730" s="1">
        <v>37497</v>
      </c>
      <c r="V3730" t="s">
        <v>6729</v>
      </c>
      <c r="W3730" t="s">
        <v>6730</v>
      </c>
      <c r="X3730" t="s">
        <v>58</v>
      </c>
      <c r="Y3730">
        <v>18</v>
      </c>
      <c r="Z3730" t="s">
        <v>59</v>
      </c>
      <c r="AA3730" t="s">
        <v>59</v>
      </c>
      <c r="AB3730" t="s">
        <v>59</v>
      </c>
      <c r="AC3730" t="s">
        <v>59</v>
      </c>
      <c r="AD3730" t="s">
        <v>59</v>
      </c>
      <c r="AF3730" s="1">
        <v>37501</v>
      </c>
      <c r="AG3730" t="s">
        <v>137</v>
      </c>
      <c r="AH3730" t="s">
        <v>138</v>
      </c>
      <c r="AI3730" t="str">
        <f>"5040080"</f>
        <v>5040080</v>
      </c>
      <c r="AJ3730" t="s">
        <v>6753</v>
      </c>
      <c r="AK3730">
        <v>2821093155</v>
      </c>
      <c r="AL3730" t="s">
        <v>6754</v>
      </c>
      <c r="AM3730" t="s">
        <v>88</v>
      </c>
      <c r="AN3730" t="s">
        <v>88</v>
      </c>
      <c r="AO3730" t="s">
        <v>6733</v>
      </c>
      <c r="AP3730" t="s">
        <v>6755</v>
      </c>
      <c r="AQ3730">
        <v>1</v>
      </c>
      <c r="AR3730" t="s">
        <v>6729</v>
      </c>
      <c r="AS3730" t="s">
        <v>6730</v>
      </c>
      <c r="AT3730" t="s">
        <v>58</v>
      </c>
      <c r="AU3730" t="s">
        <v>68</v>
      </c>
      <c r="AV3730" t="s">
        <v>69</v>
      </c>
      <c r="AW3730" s="1">
        <v>24414</v>
      </c>
      <c r="AX3730">
        <v>2</v>
      </c>
    </row>
    <row r="3731" spans="1:50">
      <c r="A3731">
        <v>178005</v>
      </c>
      <c r="B3731" t="str">
        <f>"053306740"</f>
        <v>053306740</v>
      </c>
      <c r="C3731" t="s">
        <v>50</v>
      </c>
      <c r="D3731" t="s">
        <v>1221</v>
      </c>
      <c r="E3731" t="s">
        <v>181</v>
      </c>
      <c r="F3731" t="s">
        <v>95</v>
      </c>
      <c r="G3731" t="s">
        <v>411</v>
      </c>
      <c r="H3731" t="str">
        <f>"ΣΕΛΙΝΟΥ 5 ΧΑΝΙΑ"</f>
        <v>ΣΕΛΙΝΟΥ 5 ΧΑΝΙΑ</v>
      </c>
      <c r="I3731">
        <v>73131</v>
      </c>
      <c r="J3731">
        <v>2821086492</v>
      </c>
      <c r="K3731">
        <v>6977570179</v>
      </c>
      <c r="M3731" t="s">
        <v>7147</v>
      </c>
      <c r="N3731" t="s">
        <v>204</v>
      </c>
      <c r="O3731" t="s">
        <v>205</v>
      </c>
      <c r="P3731" t="s">
        <v>292</v>
      </c>
      <c r="Q3731" t="s">
        <v>293</v>
      </c>
      <c r="R3731" t="s">
        <v>57</v>
      </c>
      <c r="S3731">
        <v>11</v>
      </c>
      <c r="T3731">
        <v>180</v>
      </c>
      <c r="U3731" s="1">
        <v>35674</v>
      </c>
      <c r="V3731" t="s">
        <v>6729</v>
      </c>
      <c r="W3731" t="s">
        <v>6730</v>
      </c>
      <c r="X3731" t="s">
        <v>58</v>
      </c>
      <c r="Y3731">
        <v>18</v>
      </c>
      <c r="Z3731" t="s">
        <v>59</v>
      </c>
      <c r="AA3731" t="s">
        <v>59</v>
      </c>
      <c r="AB3731" t="s">
        <v>59</v>
      </c>
      <c r="AC3731" t="s">
        <v>59</v>
      </c>
      <c r="AD3731" t="s">
        <v>59</v>
      </c>
      <c r="AF3731" s="1">
        <v>35675</v>
      </c>
      <c r="AG3731" t="s">
        <v>125</v>
      </c>
      <c r="AH3731" t="s">
        <v>126</v>
      </c>
      <c r="AI3731" t="str">
        <f>"5009010"</f>
        <v>5009010</v>
      </c>
      <c r="AJ3731" t="s">
        <v>6901</v>
      </c>
      <c r="AK3731">
        <v>2821077212</v>
      </c>
      <c r="AL3731" t="s">
        <v>6902</v>
      </c>
      <c r="AM3731" t="s">
        <v>88</v>
      </c>
      <c r="AN3731" t="s">
        <v>6764</v>
      </c>
      <c r="AO3731" t="s">
        <v>6885</v>
      </c>
      <c r="AP3731" t="s">
        <v>6886</v>
      </c>
      <c r="AQ3731">
        <v>1</v>
      </c>
      <c r="AR3731" t="s">
        <v>6729</v>
      </c>
      <c r="AS3731" t="s">
        <v>6730</v>
      </c>
      <c r="AT3731" t="s">
        <v>58</v>
      </c>
      <c r="AU3731" t="s">
        <v>68</v>
      </c>
      <c r="AV3731" t="s">
        <v>69</v>
      </c>
      <c r="AW3731" s="1">
        <v>25090</v>
      </c>
      <c r="AX3731">
        <v>2</v>
      </c>
    </row>
    <row r="3732" spans="1:50">
      <c r="A3732">
        <v>159134</v>
      </c>
      <c r="B3732" t="str">
        <f>"064352160"</f>
        <v>064352160</v>
      </c>
      <c r="C3732" t="s">
        <v>50</v>
      </c>
      <c r="D3732" t="s">
        <v>7148</v>
      </c>
      <c r="E3732" t="s">
        <v>4269</v>
      </c>
      <c r="F3732" t="s">
        <v>84</v>
      </c>
      <c r="G3732" t="s">
        <v>1866</v>
      </c>
      <c r="H3732" t="str">
        <f>" "</f>
        <v xml:space="preserve"> </v>
      </c>
      <c r="N3732" t="s">
        <v>146</v>
      </c>
      <c r="O3732" t="s">
        <v>147</v>
      </c>
      <c r="R3732" t="s">
        <v>57</v>
      </c>
      <c r="S3732">
        <v>17</v>
      </c>
      <c r="T3732">
        <v>161</v>
      </c>
      <c r="U3732" s="1">
        <v>33119</v>
      </c>
      <c r="V3732" t="s">
        <v>6729</v>
      </c>
      <c r="W3732" t="s">
        <v>6730</v>
      </c>
      <c r="X3732" t="s">
        <v>58</v>
      </c>
      <c r="Y3732">
        <v>18</v>
      </c>
      <c r="Z3732" t="s">
        <v>59</v>
      </c>
      <c r="AA3732" t="s">
        <v>59</v>
      </c>
      <c r="AB3732" t="s">
        <v>59</v>
      </c>
      <c r="AC3732" t="s">
        <v>59</v>
      </c>
      <c r="AD3732" t="s">
        <v>59</v>
      </c>
      <c r="AF3732" s="1">
        <v>33123</v>
      </c>
      <c r="AG3732" t="s">
        <v>125</v>
      </c>
      <c r="AH3732" t="s">
        <v>126</v>
      </c>
      <c r="AI3732" t="str">
        <f>"5012010"</f>
        <v>5012010</v>
      </c>
      <c r="AJ3732" t="s">
        <v>6794</v>
      </c>
      <c r="AK3732">
        <v>2821033195</v>
      </c>
      <c r="AL3732" t="s">
        <v>6795</v>
      </c>
      <c r="AM3732" t="s">
        <v>88</v>
      </c>
      <c r="AN3732" t="s">
        <v>88</v>
      </c>
      <c r="AO3732" t="s">
        <v>6785</v>
      </c>
      <c r="AP3732" t="s">
        <v>6786</v>
      </c>
      <c r="AQ3732">
        <v>1</v>
      </c>
      <c r="AR3732" t="s">
        <v>6729</v>
      </c>
      <c r="AS3732" t="s">
        <v>6730</v>
      </c>
      <c r="AT3732" t="s">
        <v>58</v>
      </c>
      <c r="AU3732" t="s">
        <v>68</v>
      </c>
      <c r="AV3732" t="s">
        <v>69</v>
      </c>
      <c r="AW3732" s="1">
        <v>22771</v>
      </c>
      <c r="AX3732">
        <v>2</v>
      </c>
    </row>
    <row r="3733" spans="1:50">
      <c r="A3733">
        <v>188838</v>
      </c>
      <c r="B3733" t="str">
        <f>"036239100"</f>
        <v>036239100</v>
      </c>
      <c r="C3733" t="s">
        <v>105</v>
      </c>
      <c r="D3733" t="s">
        <v>1232</v>
      </c>
      <c r="E3733" t="s">
        <v>7149</v>
      </c>
      <c r="F3733" t="s">
        <v>377</v>
      </c>
      <c r="G3733" t="s">
        <v>263</v>
      </c>
      <c r="H3733" t="str">
        <f>" "</f>
        <v xml:space="preserve"> </v>
      </c>
      <c r="J3733">
        <v>2822023877</v>
      </c>
      <c r="K3733">
        <v>6973544483</v>
      </c>
      <c r="M3733" t="s">
        <v>7150</v>
      </c>
      <c r="N3733" t="s">
        <v>176</v>
      </c>
      <c r="O3733" t="s">
        <v>177</v>
      </c>
      <c r="R3733" t="s">
        <v>57</v>
      </c>
      <c r="S3733">
        <v>13</v>
      </c>
      <c r="T3733">
        <v>184</v>
      </c>
      <c r="U3733" s="1">
        <v>34941</v>
      </c>
      <c r="V3733" t="s">
        <v>6729</v>
      </c>
      <c r="W3733" t="s">
        <v>6730</v>
      </c>
      <c r="X3733" t="s">
        <v>58</v>
      </c>
      <c r="Y3733">
        <v>18</v>
      </c>
      <c r="Z3733" t="s">
        <v>59</v>
      </c>
      <c r="AA3733" t="s">
        <v>59</v>
      </c>
      <c r="AB3733" t="s">
        <v>59</v>
      </c>
      <c r="AC3733" t="s">
        <v>59</v>
      </c>
      <c r="AD3733" t="s">
        <v>59</v>
      </c>
      <c r="AF3733" s="1">
        <v>34949</v>
      </c>
      <c r="AG3733" t="s">
        <v>125</v>
      </c>
      <c r="AH3733" t="s">
        <v>126</v>
      </c>
      <c r="AI3733" t="str">
        <f>"5004020"</f>
        <v>5004020</v>
      </c>
      <c r="AJ3733" t="s">
        <v>6806</v>
      </c>
      <c r="AK3733">
        <v>2822022103</v>
      </c>
      <c r="AL3733" t="s">
        <v>6807</v>
      </c>
      <c r="AM3733" t="s">
        <v>88</v>
      </c>
      <c r="AN3733" t="s">
        <v>6744</v>
      </c>
      <c r="AO3733" t="s">
        <v>6744</v>
      </c>
      <c r="AP3733" t="s">
        <v>6744</v>
      </c>
      <c r="AQ3733">
        <v>1</v>
      </c>
      <c r="AR3733" t="s">
        <v>6729</v>
      </c>
      <c r="AS3733" t="s">
        <v>6730</v>
      </c>
      <c r="AT3733" t="s">
        <v>58</v>
      </c>
      <c r="AU3733" t="s">
        <v>68</v>
      </c>
      <c r="AV3733" t="s">
        <v>69</v>
      </c>
      <c r="AW3733" s="1">
        <v>22957</v>
      </c>
      <c r="AX3733">
        <v>2</v>
      </c>
    </row>
    <row r="3734" spans="1:50">
      <c r="A3734">
        <v>174324</v>
      </c>
      <c r="B3734" t="str">
        <f>"036247288"</f>
        <v>036247288</v>
      </c>
      <c r="C3734" t="s">
        <v>105</v>
      </c>
      <c r="D3734" t="s">
        <v>1232</v>
      </c>
      <c r="E3734" t="s">
        <v>670</v>
      </c>
      <c r="F3734" t="s">
        <v>84</v>
      </c>
      <c r="G3734" t="s">
        <v>1866</v>
      </c>
      <c r="H3734" t="str">
        <f>" "</f>
        <v xml:space="preserve"> </v>
      </c>
      <c r="N3734" t="s">
        <v>176</v>
      </c>
      <c r="O3734" t="s">
        <v>177</v>
      </c>
      <c r="R3734" t="s">
        <v>57</v>
      </c>
      <c r="S3734">
        <v>13</v>
      </c>
      <c r="T3734">
        <v>166</v>
      </c>
      <c r="U3734" s="1">
        <v>35300</v>
      </c>
      <c r="V3734" t="s">
        <v>6729</v>
      </c>
      <c r="W3734" t="s">
        <v>6730</v>
      </c>
      <c r="X3734" t="s">
        <v>58</v>
      </c>
      <c r="Y3734">
        <v>18</v>
      </c>
      <c r="Z3734" t="s">
        <v>59</v>
      </c>
      <c r="AA3734" t="s">
        <v>59</v>
      </c>
      <c r="AB3734" t="s">
        <v>59</v>
      </c>
      <c r="AC3734" t="s">
        <v>59</v>
      </c>
      <c r="AD3734" t="s">
        <v>59</v>
      </c>
      <c r="AF3734" s="1">
        <v>35310</v>
      </c>
      <c r="AG3734" t="s">
        <v>125</v>
      </c>
      <c r="AH3734" t="s">
        <v>126</v>
      </c>
      <c r="AI3734" t="str">
        <f>"5001020"</f>
        <v>5001020</v>
      </c>
      <c r="AJ3734" t="s">
        <v>6739</v>
      </c>
      <c r="AK3734">
        <v>2821042664</v>
      </c>
      <c r="AL3734" t="s">
        <v>6740</v>
      </c>
      <c r="AM3734" t="s">
        <v>88</v>
      </c>
      <c r="AN3734" t="s">
        <v>88</v>
      </c>
      <c r="AO3734" t="s">
        <v>88</v>
      </c>
      <c r="AP3734" t="s">
        <v>88</v>
      </c>
      <c r="AQ3734">
        <v>1</v>
      </c>
      <c r="AR3734" t="s">
        <v>6729</v>
      </c>
      <c r="AS3734" t="s">
        <v>6730</v>
      </c>
      <c r="AT3734" t="s">
        <v>58</v>
      </c>
      <c r="AU3734" t="s">
        <v>68</v>
      </c>
      <c r="AV3734" t="s">
        <v>69</v>
      </c>
      <c r="AW3734" s="1">
        <v>23588</v>
      </c>
      <c r="AX3734">
        <v>2</v>
      </c>
    </row>
    <row r="3735" spans="1:50">
      <c r="B3735" t="str">
        <f>"107741698"</f>
        <v>107741698</v>
      </c>
      <c r="C3735" t="s">
        <v>105</v>
      </c>
      <c r="D3735" t="s">
        <v>7151</v>
      </c>
      <c r="E3735" t="s">
        <v>7152</v>
      </c>
      <c r="F3735" t="s">
        <v>95</v>
      </c>
      <c r="G3735" t="s">
        <v>1440</v>
      </c>
      <c r="H3735" t="str">
        <f>" "</f>
        <v xml:space="preserve"> </v>
      </c>
      <c r="N3735" t="s">
        <v>337</v>
      </c>
      <c r="O3735" t="s">
        <v>338</v>
      </c>
      <c r="R3735" t="s">
        <v>121</v>
      </c>
      <c r="S3735">
        <v>1</v>
      </c>
      <c r="T3735" t="s">
        <v>1908</v>
      </c>
      <c r="U3735" s="1">
        <v>43368</v>
      </c>
      <c r="V3735" t="s">
        <v>6729</v>
      </c>
      <c r="W3735" t="s">
        <v>6730</v>
      </c>
      <c r="X3735" t="s">
        <v>58</v>
      </c>
      <c r="Y3735">
        <v>15</v>
      </c>
      <c r="Z3735" t="s">
        <v>59</v>
      </c>
      <c r="AD3735" t="s">
        <v>59</v>
      </c>
      <c r="AF3735" s="1">
        <v>43368</v>
      </c>
      <c r="AG3735" t="s">
        <v>125</v>
      </c>
      <c r="AH3735" t="s">
        <v>294</v>
      </c>
      <c r="AI3735" t="str">
        <f>"5012017"</f>
        <v>5012017</v>
      </c>
      <c r="AJ3735" t="s">
        <v>6859</v>
      </c>
      <c r="AK3735">
        <v>2821088065</v>
      </c>
      <c r="AL3735" t="s">
        <v>6860</v>
      </c>
      <c r="AM3735" t="s">
        <v>88</v>
      </c>
      <c r="AN3735" t="s">
        <v>88</v>
      </c>
      <c r="AO3735" t="s">
        <v>88</v>
      </c>
      <c r="AP3735" t="s">
        <v>88</v>
      </c>
      <c r="AQ3735">
        <v>1</v>
      </c>
      <c r="AR3735" t="s">
        <v>6729</v>
      </c>
      <c r="AS3735" t="s">
        <v>6730</v>
      </c>
      <c r="AT3735" t="s">
        <v>58</v>
      </c>
      <c r="AU3735" t="s">
        <v>2054</v>
      </c>
      <c r="AV3735" t="s">
        <v>132</v>
      </c>
      <c r="AW3735" s="1">
        <v>34123</v>
      </c>
      <c r="AX3735">
        <v>2</v>
      </c>
    </row>
    <row r="3736" spans="1:50">
      <c r="A3736">
        <v>219693</v>
      </c>
      <c r="B3736" t="str">
        <f>"054097947"</f>
        <v>054097947</v>
      </c>
      <c r="C3736" t="s">
        <v>50</v>
      </c>
      <c r="D3736" t="s">
        <v>5918</v>
      </c>
      <c r="E3736" t="s">
        <v>73</v>
      </c>
      <c r="F3736" t="s">
        <v>309</v>
      </c>
      <c r="G3736" t="s">
        <v>52</v>
      </c>
      <c r="H3736" t="str">
        <f>"ΓΕΩΡΓΙΟΥ ΠΕΤΡΑΚΗ ΚΑΘΙΑΝΑ ΑΚΤΩΤΗΡΙ"</f>
        <v>ΓΕΩΡΓΙΟΥ ΠΕΤΡΑΚΗ ΚΑΘΙΑΝΑ ΑΚΤΩΤΗΡΙ</v>
      </c>
      <c r="I3736">
        <v>73100</v>
      </c>
      <c r="J3736">
        <v>2821058712</v>
      </c>
      <c r="K3736">
        <v>6936626250</v>
      </c>
      <c r="L3736">
        <v>2822022227</v>
      </c>
      <c r="M3736" t="s">
        <v>7153</v>
      </c>
      <c r="N3736" t="s">
        <v>257</v>
      </c>
      <c r="O3736" t="s">
        <v>258</v>
      </c>
      <c r="R3736" t="s">
        <v>57</v>
      </c>
      <c r="S3736">
        <v>6</v>
      </c>
      <c r="T3736">
        <v>599</v>
      </c>
      <c r="U3736" s="1">
        <v>39310</v>
      </c>
      <c r="V3736" t="s">
        <v>6729</v>
      </c>
      <c r="W3736" t="s">
        <v>6730</v>
      </c>
      <c r="X3736" t="s">
        <v>58</v>
      </c>
      <c r="Y3736">
        <v>21</v>
      </c>
      <c r="Z3736" t="s">
        <v>59</v>
      </c>
      <c r="AA3736" t="s">
        <v>59</v>
      </c>
      <c r="AB3736" t="s">
        <v>59</v>
      </c>
      <c r="AC3736" t="s">
        <v>59</v>
      </c>
      <c r="AD3736" t="s">
        <v>59</v>
      </c>
      <c r="AF3736" s="1">
        <v>39328</v>
      </c>
      <c r="AG3736" t="s">
        <v>148</v>
      </c>
      <c r="AH3736" t="s">
        <v>149</v>
      </c>
      <c r="AI3736" t="str">
        <f>"5090080"</f>
        <v>5090080</v>
      </c>
      <c r="AJ3736" t="s">
        <v>6906</v>
      </c>
      <c r="AK3736">
        <v>2821096638</v>
      </c>
      <c r="AL3736" t="s">
        <v>6907</v>
      </c>
      <c r="AM3736" t="s">
        <v>88</v>
      </c>
      <c r="AN3736" t="s">
        <v>88</v>
      </c>
      <c r="AO3736" t="s">
        <v>88</v>
      </c>
      <c r="AP3736" t="s">
        <v>88</v>
      </c>
      <c r="AQ3736">
        <v>1</v>
      </c>
      <c r="AR3736" t="s">
        <v>6729</v>
      </c>
      <c r="AS3736" t="s">
        <v>6730</v>
      </c>
      <c r="AT3736" t="s">
        <v>58</v>
      </c>
      <c r="AU3736" t="s">
        <v>68</v>
      </c>
      <c r="AV3736" t="s">
        <v>69</v>
      </c>
      <c r="AW3736" s="1">
        <v>25722</v>
      </c>
      <c r="AX3736">
        <v>2</v>
      </c>
    </row>
    <row r="3737" spans="1:50">
      <c r="A3737">
        <v>136491</v>
      </c>
      <c r="B3737" t="str">
        <f>"023358922"</f>
        <v>023358922</v>
      </c>
      <c r="C3737" t="s">
        <v>105</v>
      </c>
      <c r="D3737" t="s">
        <v>7154</v>
      </c>
      <c r="E3737" t="s">
        <v>377</v>
      </c>
      <c r="F3737" t="s">
        <v>95</v>
      </c>
      <c r="G3737" t="s">
        <v>52</v>
      </c>
      <c r="H3737" t="str">
        <f>" "</f>
        <v xml:space="preserve"> </v>
      </c>
      <c r="N3737" t="s">
        <v>146</v>
      </c>
      <c r="O3737" t="s">
        <v>147</v>
      </c>
      <c r="P3737" t="s">
        <v>157</v>
      </c>
      <c r="Q3737" t="s">
        <v>158</v>
      </c>
      <c r="R3737" t="s">
        <v>57</v>
      </c>
      <c r="S3737">
        <v>18</v>
      </c>
      <c r="T3737">
        <v>271</v>
      </c>
      <c r="U3737" s="1">
        <v>30195</v>
      </c>
      <c r="V3737" t="s">
        <v>6729</v>
      </c>
      <c r="W3737" t="s">
        <v>6730</v>
      </c>
      <c r="X3737" t="s">
        <v>58</v>
      </c>
      <c r="Y3737">
        <v>18</v>
      </c>
      <c r="Z3737" t="s">
        <v>59</v>
      </c>
      <c r="AA3737" t="s">
        <v>59</v>
      </c>
      <c r="AB3737" t="s">
        <v>59</v>
      </c>
      <c r="AC3737" t="s">
        <v>59</v>
      </c>
      <c r="AD3737" t="s">
        <v>59</v>
      </c>
      <c r="AF3737" s="1">
        <v>30207</v>
      </c>
      <c r="AG3737" t="s">
        <v>125</v>
      </c>
      <c r="AH3737" t="s">
        <v>126</v>
      </c>
      <c r="AI3737" t="str">
        <f>"5001020"</f>
        <v>5001020</v>
      </c>
      <c r="AJ3737" t="s">
        <v>6739</v>
      </c>
      <c r="AK3737">
        <v>2821042664</v>
      </c>
      <c r="AL3737" t="s">
        <v>6740</v>
      </c>
      <c r="AM3737" t="s">
        <v>88</v>
      </c>
      <c r="AN3737" t="s">
        <v>88</v>
      </c>
      <c r="AO3737" t="s">
        <v>88</v>
      </c>
      <c r="AP3737" t="s">
        <v>88</v>
      </c>
      <c r="AQ3737">
        <v>1</v>
      </c>
      <c r="AR3737" t="s">
        <v>6729</v>
      </c>
      <c r="AS3737" t="s">
        <v>6730</v>
      </c>
      <c r="AT3737" t="s">
        <v>58</v>
      </c>
      <c r="AU3737" t="s">
        <v>68</v>
      </c>
      <c r="AV3737" t="s">
        <v>69</v>
      </c>
      <c r="AW3737" s="1">
        <v>20477</v>
      </c>
      <c r="AX3737">
        <v>2</v>
      </c>
    </row>
    <row r="3738" spans="1:50">
      <c r="A3738">
        <v>189218</v>
      </c>
      <c r="B3738" t="str">
        <f>"043631473"</f>
        <v>043631473</v>
      </c>
      <c r="C3738" t="s">
        <v>50</v>
      </c>
      <c r="D3738" t="s">
        <v>7155</v>
      </c>
      <c r="E3738" t="s">
        <v>1189</v>
      </c>
      <c r="F3738" t="s">
        <v>72</v>
      </c>
      <c r="G3738" t="s">
        <v>52</v>
      </c>
      <c r="H3738" t="str">
        <f>" "</f>
        <v xml:space="preserve"> </v>
      </c>
      <c r="M3738" t="s">
        <v>7156</v>
      </c>
      <c r="N3738" t="s">
        <v>146</v>
      </c>
      <c r="O3738" t="s">
        <v>147</v>
      </c>
      <c r="R3738" t="s">
        <v>57</v>
      </c>
      <c r="S3738">
        <v>10</v>
      </c>
      <c r="T3738">
        <v>219</v>
      </c>
      <c r="U3738" s="1">
        <v>37134</v>
      </c>
      <c r="V3738" t="s">
        <v>6729</v>
      </c>
      <c r="W3738" t="s">
        <v>6730</v>
      </c>
      <c r="X3738" t="s">
        <v>58</v>
      </c>
      <c r="Y3738">
        <v>18</v>
      </c>
      <c r="Z3738" t="s">
        <v>59</v>
      </c>
      <c r="AA3738" t="s">
        <v>59</v>
      </c>
      <c r="AB3738" t="s">
        <v>59</v>
      </c>
      <c r="AC3738" t="s">
        <v>59</v>
      </c>
      <c r="AD3738" t="s">
        <v>59</v>
      </c>
      <c r="AF3738" s="1">
        <v>37138</v>
      </c>
      <c r="AG3738" t="s">
        <v>148</v>
      </c>
      <c r="AH3738" t="s">
        <v>149</v>
      </c>
      <c r="AI3738" t="str">
        <f>"5054010"</f>
        <v>5054010</v>
      </c>
      <c r="AJ3738" t="s">
        <v>6815</v>
      </c>
      <c r="AK3738">
        <v>2822022671</v>
      </c>
      <c r="AL3738" t="s">
        <v>6816</v>
      </c>
      <c r="AM3738" t="s">
        <v>88</v>
      </c>
      <c r="AN3738" t="s">
        <v>6744</v>
      </c>
      <c r="AO3738" t="s">
        <v>6744</v>
      </c>
      <c r="AP3738" t="s">
        <v>6744</v>
      </c>
      <c r="AQ3738">
        <v>1</v>
      </c>
      <c r="AR3738" t="s">
        <v>6729</v>
      </c>
      <c r="AS3738" t="s">
        <v>6730</v>
      </c>
      <c r="AT3738" t="s">
        <v>58</v>
      </c>
      <c r="AU3738" t="s">
        <v>68</v>
      </c>
      <c r="AV3738" t="s">
        <v>69</v>
      </c>
      <c r="AW3738" s="1">
        <v>24588</v>
      </c>
      <c r="AX3738">
        <v>2</v>
      </c>
    </row>
    <row r="3739" spans="1:50">
      <c r="A3739">
        <v>164623</v>
      </c>
      <c r="B3739" t="str">
        <f>"101578124"</f>
        <v>101578124</v>
      </c>
      <c r="C3739" t="s">
        <v>50</v>
      </c>
      <c r="D3739" t="s">
        <v>7157</v>
      </c>
      <c r="E3739" t="s">
        <v>73</v>
      </c>
      <c r="F3739" t="s">
        <v>995</v>
      </c>
      <c r="G3739" t="s">
        <v>513</v>
      </c>
      <c r="H3739" t="str">
        <f>" "</f>
        <v xml:space="preserve"> </v>
      </c>
      <c r="N3739" t="s">
        <v>478</v>
      </c>
      <c r="O3739" t="s">
        <v>479</v>
      </c>
      <c r="R3739" t="s">
        <v>57</v>
      </c>
      <c r="S3739">
        <v>15</v>
      </c>
      <c r="T3739">
        <v>161</v>
      </c>
      <c r="U3739" s="1">
        <v>33844</v>
      </c>
      <c r="V3739" t="s">
        <v>6729</v>
      </c>
      <c r="W3739" t="s">
        <v>6730</v>
      </c>
      <c r="X3739" t="s">
        <v>58</v>
      </c>
      <c r="Y3739">
        <v>18</v>
      </c>
      <c r="Z3739" t="s">
        <v>59</v>
      </c>
      <c r="AA3739" t="s">
        <v>59</v>
      </c>
      <c r="AB3739" t="s">
        <v>59</v>
      </c>
      <c r="AC3739" t="s">
        <v>59</v>
      </c>
      <c r="AD3739" t="s">
        <v>59</v>
      </c>
      <c r="AF3739" s="1">
        <v>33850</v>
      </c>
      <c r="AG3739" t="s">
        <v>125</v>
      </c>
      <c r="AH3739" t="s">
        <v>126</v>
      </c>
      <c r="AI3739" t="str">
        <f>"5001072"</f>
        <v>5001072</v>
      </c>
      <c r="AJ3739" t="s">
        <v>6922</v>
      </c>
      <c r="AK3739">
        <v>2821055471</v>
      </c>
      <c r="AL3739" t="s">
        <v>6923</v>
      </c>
      <c r="AM3739" t="s">
        <v>88</v>
      </c>
      <c r="AN3739" t="s">
        <v>88</v>
      </c>
      <c r="AO3739" t="s">
        <v>88</v>
      </c>
      <c r="AP3739" t="s">
        <v>88</v>
      </c>
      <c r="AQ3739">
        <v>1</v>
      </c>
      <c r="AR3739" t="s">
        <v>6729</v>
      </c>
      <c r="AS3739" t="s">
        <v>6730</v>
      </c>
      <c r="AT3739" t="s">
        <v>58</v>
      </c>
      <c r="AU3739" t="s">
        <v>68</v>
      </c>
      <c r="AV3739" t="s">
        <v>69</v>
      </c>
      <c r="AW3739" s="1">
        <v>21899</v>
      </c>
      <c r="AX3739">
        <v>2</v>
      </c>
    </row>
    <row r="3740" spans="1:50">
      <c r="A3740">
        <v>191078</v>
      </c>
      <c r="B3740" t="str">
        <f>"036272090"</f>
        <v>036272090</v>
      </c>
      <c r="C3740" t="s">
        <v>105</v>
      </c>
      <c r="D3740" t="s">
        <v>1256</v>
      </c>
      <c r="E3740" t="s">
        <v>304</v>
      </c>
      <c r="F3740" t="s">
        <v>166</v>
      </c>
      <c r="G3740" t="s">
        <v>263</v>
      </c>
      <c r="H3740" t="str">
        <f>"ΜΑΝΤΩ ΜΑΥΡΟΓΕΝΟΥΣ 3 ΧΑΛΕΠΑ"</f>
        <v>ΜΑΝΤΩ ΜΑΥΡΟΓΕΝΟΥΣ 3 ΧΑΛΕΠΑ</v>
      </c>
      <c r="I3740">
        <v>73133</v>
      </c>
      <c r="J3740">
        <v>2821059409</v>
      </c>
      <c r="K3740">
        <v>6977776158</v>
      </c>
      <c r="M3740" t="s">
        <v>7158</v>
      </c>
      <c r="N3740" t="s">
        <v>204</v>
      </c>
      <c r="O3740" t="s">
        <v>205</v>
      </c>
      <c r="R3740" t="s">
        <v>57</v>
      </c>
      <c r="S3740">
        <v>16</v>
      </c>
      <c r="T3740" t="s">
        <v>228</v>
      </c>
      <c r="U3740" s="1">
        <v>36404</v>
      </c>
      <c r="V3740" t="s">
        <v>6729</v>
      </c>
      <c r="W3740" t="s">
        <v>6730</v>
      </c>
      <c r="X3740" t="s">
        <v>58</v>
      </c>
      <c r="Y3740">
        <v>20</v>
      </c>
      <c r="Z3740" t="s">
        <v>59</v>
      </c>
      <c r="AA3740" t="s">
        <v>59</v>
      </c>
      <c r="AB3740" t="s">
        <v>59</v>
      </c>
      <c r="AC3740" t="s">
        <v>59</v>
      </c>
      <c r="AD3740" t="s">
        <v>59</v>
      </c>
      <c r="AF3740" s="1">
        <v>37135</v>
      </c>
      <c r="AG3740" t="s">
        <v>125</v>
      </c>
      <c r="AH3740" t="s">
        <v>126</v>
      </c>
      <c r="AI3740" t="str">
        <f>"5001040"</f>
        <v>5001040</v>
      </c>
      <c r="AJ3740" t="s">
        <v>7126</v>
      </c>
      <c r="AK3740">
        <v>2821088010</v>
      </c>
      <c r="AM3740" t="s">
        <v>88</v>
      </c>
      <c r="AN3740" t="s">
        <v>88</v>
      </c>
      <c r="AO3740" t="s">
        <v>88</v>
      </c>
      <c r="AP3740" t="s">
        <v>88</v>
      </c>
      <c r="AQ3740">
        <v>1</v>
      </c>
      <c r="AR3740" t="s">
        <v>6729</v>
      </c>
      <c r="AS3740" t="s">
        <v>6730</v>
      </c>
      <c r="AT3740" t="s">
        <v>58</v>
      </c>
      <c r="AU3740" t="s">
        <v>68</v>
      </c>
      <c r="AV3740" t="s">
        <v>69</v>
      </c>
      <c r="AW3740" s="1">
        <v>25066</v>
      </c>
      <c r="AX3740">
        <v>2</v>
      </c>
    </row>
    <row r="3741" spans="1:50">
      <c r="A3741">
        <v>217843</v>
      </c>
      <c r="B3741" t="str">
        <f>"054476228"</f>
        <v>054476228</v>
      </c>
      <c r="C3741" t="s">
        <v>105</v>
      </c>
      <c r="D3741" t="s">
        <v>1256</v>
      </c>
      <c r="E3741" t="s">
        <v>670</v>
      </c>
      <c r="F3741" t="s">
        <v>84</v>
      </c>
      <c r="G3741" t="s">
        <v>109</v>
      </c>
      <c r="H3741" t="str">
        <f>"ΜΑΛΑΘΥΡΟΥ 14 ΧΑΝΙΩΝ"</f>
        <v>ΜΑΛΑΘΥΡΟΥ 14 ΧΑΝΙΩΝ</v>
      </c>
      <c r="I3741">
        <v>73100</v>
      </c>
      <c r="J3741">
        <v>2821087028</v>
      </c>
      <c r="K3741">
        <v>6988977279</v>
      </c>
      <c r="M3741" t="s">
        <v>7159</v>
      </c>
      <c r="N3741" t="s">
        <v>292</v>
      </c>
      <c r="O3741" t="s">
        <v>293</v>
      </c>
      <c r="R3741" t="s">
        <v>57</v>
      </c>
      <c r="S3741">
        <v>9</v>
      </c>
      <c r="T3741">
        <v>599</v>
      </c>
      <c r="U3741" s="1">
        <v>39310</v>
      </c>
      <c r="V3741" t="s">
        <v>6729</v>
      </c>
      <c r="W3741" t="s">
        <v>6730</v>
      </c>
      <c r="X3741" t="s">
        <v>58</v>
      </c>
      <c r="Y3741">
        <v>20</v>
      </c>
      <c r="Z3741" t="s">
        <v>59</v>
      </c>
      <c r="AA3741" t="s">
        <v>59</v>
      </c>
      <c r="AB3741" t="s">
        <v>59</v>
      </c>
      <c r="AC3741" t="s">
        <v>59</v>
      </c>
      <c r="AD3741" t="s">
        <v>59</v>
      </c>
      <c r="AF3741" s="1">
        <v>39328</v>
      </c>
      <c r="AG3741" t="s">
        <v>125</v>
      </c>
      <c r="AH3741" t="s">
        <v>126</v>
      </c>
      <c r="AI3741" t="str">
        <f>"5001073"</f>
        <v>5001073</v>
      </c>
      <c r="AJ3741" t="s">
        <v>6849</v>
      </c>
      <c r="AK3741">
        <v>2821028553</v>
      </c>
      <c r="AL3741" t="s">
        <v>6850</v>
      </c>
      <c r="AM3741" t="s">
        <v>88</v>
      </c>
      <c r="AN3741" t="s">
        <v>88</v>
      </c>
      <c r="AO3741" t="s">
        <v>88</v>
      </c>
      <c r="AP3741" t="s">
        <v>88</v>
      </c>
      <c r="AQ3741">
        <v>1</v>
      </c>
      <c r="AR3741" t="s">
        <v>6729</v>
      </c>
      <c r="AS3741" t="s">
        <v>6730</v>
      </c>
      <c r="AT3741" t="s">
        <v>58</v>
      </c>
      <c r="AU3741" t="s">
        <v>68</v>
      </c>
      <c r="AV3741" t="s">
        <v>69</v>
      </c>
      <c r="AW3741" s="1">
        <v>24500</v>
      </c>
      <c r="AX3741">
        <v>2</v>
      </c>
    </row>
    <row r="3742" spans="1:50">
      <c r="A3742">
        <v>211580</v>
      </c>
      <c r="B3742" t="str">
        <f>"056964594"</f>
        <v>056964594</v>
      </c>
      <c r="C3742" t="s">
        <v>50</v>
      </c>
      <c r="D3742" t="s">
        <v>7160</v>
      </c>
      <c r="E3742" t="s">
        <v>83</v>
      </c>
      <c r="F3742" t="s">
        <v>53</v>
      </c>
      <c r="G3742" t="s">
        <v>114</v>
      </c>
      <c r="H3742" t="str">
        <f>"ΚΙΟΥ ΚΑΛΑΜΑΡΙΑ ΘΕΣ/ΝΙΚΗΣ"</f>
        <v>ΚΙΟΥ ΚΑΛΑΜΑΡΙΑ ΘΕΣ/ΝΙΚΗΣ</v>
      </c>
      <c r="I3742">
        <v>55132</v>
      </c>
      <c r="J3742" t="s">
        <v>6692</v>
      </c>
      <c r="K3742">
        <v>6944567895</v>
      </c>
      <c r="M3742" t="s">
        <v>7161</v>
      </c>
      <c r="N3742" t="s">
        <v>189</v>
      </c>
      <c r="O3742" t="s">
        <v>190</v>
      </c>
      <c r="R3742" t="s">
        <v>57</v>
      </c>
      <c r="S3742">
        <v>8</v>
      </c>
      <c r="T3742" t="s">
        <v>7162</v>
      </c>
      <c r="U3742" s="1">
        <v>38687</v>
      </c>
      <c r="V3742" t="s">
        <v>6729</v>
      </c>
      <c r="W3742" t="s">
        <v>6730</v>
      </c>
      <c r="X3742" t="s">
        <v>58</v>
      </c>
      <c r="Y3742">
        <v>20</v>
      </c>
      <c r="Z3742" t="s">
        <v>59</v>
      </c>
      <c r="AA3742" t="s">
        <v>59</v>
      </c>
      <c r="AB3742" t="s">
        <v>59</v>
      </c>
      <c r="AC3742" t="s">
        <v>59</v>
      </c>
      <c r="AD3742" t="s">
        <v>59</v>
      </c>
      <c r="AF3742" s="1">
        <v>38692</v>
      </c>
      <c r="AG3742" t="s">
        <v>137</v>
      </c>
      <c r="AH3742" t="s">
        <v>469</v>
      </c>
      <c r="AI3742" t="str">
        <f>"5053001"</f>
        <v>5053001</v>
      </c>
      <c r="AJ3742" t="s">
        <v>6788</v>
      </c>
      <c r="AK3742">
        <v>2821068020</v>
      </c>
      <c r="AM3742" t="s">
        <v>88</v>
      </c>
      <c r="AN3742" t="s">
        <v>6764</v>
      </c>
      <c r="AO3742" t="s">
        <v>6764</v>
      </c>
      <c r="AP3742" t="s">
        <v>6764</v>
      </c>
      <c r="AQ3742">
        <v>1</v>
      </c>
      <c r="AR3742" t="s">
        <v>6729</v>
      </c>
      <c r="AS3742" t="s">
        <v>6730</v>
      </c>
      <c r="AT3742" t="s">
        <v>58</v>
      </c>
      <c r="AU3742" t="s">
        <v>68</v>
      </c>
      <c r="AV3742" t="s">
        <v>69</v>
      </c>
      <c r="AW3742" s="1">
        <v>26604</v>
      </c>
      <c r="AX3742">
        <v>2</v>
      </c>
    </row>
    <row r="3743" spans="1:50">
      <c r="A3743">
        <v>218382</v>
      </c>
      <c r="B3743" t="str">
        <f>"044905070"</f>
        <v>044905070</v>
      </c>
      <c r="C3743" t="s">
        <v>105</v>
      </c>
      <c r="D3743" t="s">
        <v>7163</v>
      </c>
      <c r="E3743" t="s">
        <v>154</v>
      </c>
      <c r="F3743" t="s">
        <v>900</v>
      </c>
      <c r="G3743" t="s">
        <v>263</v>
      </c>
      <c r="H3743" t="str">
        <f>"ΕΘΝ. ΒΕΝΙΖΕΛΟΥ 98 ΣΟΥΔΑ"</f>
        <v>ΕΘΝ. ΒΕΝΙΖΕΛΟΥ 98 ΣΟΥΔΑ</v>
      </c>
      <c r="I3743">
        <v>73200</v>
      </c>
      <c r="J3743">
        <v>2821081886</v>
      </c>
      <c r="K3743">
        <v>6978872780</v>
      </c>
      <c r="M3743" t="s">
        <v>7164</v>
      </c>
      <c r="N3743" t="s">
        <v>232</v>
      </c>
      <c r="O3743" t="s">
        <v>233</v>
      </c>
      <c r="R3743" t="s">
        <v>57</v>
      </c>
      <c r="S3743">
        <v>7</v>
      </c>
      <c r="T3743">
        <v>599</v>
      </c>
      <c r="U3743" s="1">
        <v>39310</v>
      </c>
      <c r="V3743" t="s">
        <v>6729</v>
      </c>
      <c r="W3743" t="s">
        <v>6730</v>
      </c>
      <c r="X3743" t="s">
        <v>58</v>
      </c>
      <c r="Y3743">
        <v>20</v>
      </c>
      <c r="Z3743" t="s">
        <v>59</v>
      </c>
      <c r="AA3743" t="s">
        <v>59</v>
      </c>
      <c r="AB3743" t="s">
        <v>59</v>
      </c>
      <c r="AC3743" t="s">
        <v>59</v>
      </c>
      <c r="AD3743" t="s">
        <v>59</v>
      </c>
      <c r="AF3743" s="1">
        <v>39328</v>
      </c>
      <c r="AG3743" t="s">
        <v>148</v>
      </c>
      <c r="AH3743" t="s">
        <v>149</v>
      </c>
      <c r="AI3743" t="str">
        <f>"5090080"</f>
        <v>5090080</v>
      </c>
      <c r="AJ3743" t="s">
        <v>6906</v>
      </c>
      <c r="AK3743">
        <v>2821096638</v>
      </c>
      <c r="AL3743" t="s">
        <v>6907</v>
      </c>
      <c r="AM3743" t="s">
        <v>88</v>
      </c>
      <c r="AN3743" t="s">
        <v>88</v>
      </c>
      <c r="AO3743" t="s">
        <v>88</v>
      </c>
      <c r="AP3743" t="s">
        <v>88</v>
      </c>
      <c r="AQ3743">
        <v>1</v>
      </c>
      <c r="AR3743" t="s">
        <v>6729</v>
      </c>
      <c r="AS3743" t="s">
        <v>6730</v>
      </c>
      <c r="AT3743" t="s">
        <v>58</v>
      </c>
      <c r="AU3743" t="s">
        <v>68</v>
      </c>
      <c r="AV3743" t="s">
        <v>69</v>
      </c>
      <c r="AW3743" s="1">
        <v>23690</v>
      </c>
      <c r="AX3743">
        <v>2</v>
      </c>
    </row>
    <row r="3744" spans="1:50">
      <c r="A3744">
        <v>199047</v>
      </c>
      <c r="B3744" t="str">
        <f>"070461590"</f>
        <v>070461590</v>
      </c>
      <c r="C3744" t="s">
        <v>105</v>
      </c>
      <c r="D3744" t="s">
        <v>1280</v>
      </c>
      <c r="E3744" t="s">
        <v>383</v>
      </c>
      <c r="F3744" t="s">
        <v>450</v>
      </c>
      <c r="G3744" t="s">
        <v>414</v>
      </c>
      <c r="H3744" t="str">
        <f>" "</f>
        <v xml:space="preserve"> </v>
      </c>
      <c r="J3744">
        <v>2821034352</v>
      </c>
      <c r="K3744">
        <v>6946450429</v>
      </c>
      <c r="M3744" t="s">
        <v>7165</v>
      </c>
      <c r="N3744" t="s">
        <v>176</v>
      </c>
      <c r="O3744" t="s">
        <v>177</v>
      </c>
      <c r="R3744" t="s">
        <v>57</v>
      </c>
      <c r="S3744">
        <v>7</v>
      </c>
      <c r="T3744">
        <v>206</v>
      </c>
      <c r="U3744" s="1">
        <v>37866</v>
      </c>
      <c r="V3744" t="s">
        <v>6729</v>
      </c>
      <c r="W3744" t="s">
        <v>6730</v>
      </c>
      <c r="X3744" t="s">
        <v>58</v>
      </c>
      <c r="Y3744">
        <v>20</v>
      </c>
      <c r="Z3744" t="s">
        <v>59</v>
      </c>
      <c r="AA3744" t="s">
        <v>59</v>
      </c>
      <c r="AB3744" t="s">
        <v>59</v>
      </c>
      <c r="AC3744" t="s">
        <v>59</v>
      </c>
      <c r="AD3744" t="s">
        <v>59</v>
      </c>
      <c r="AF3744" s="1">
        <v>37866</v>
      </c>
      <c r="AG3744" t="s">
        <v>125</v>
      </c>
      <c r="AH3744" t="s">
        <v>126</v>
      </c>
      <c r="AI3744" t="str">
        <f>"5004010"</f>
        <v>5004010</v>
      </c>
      <c r="AJ3744" t="s">
        <v>7166</v>
      </c>
      <c r="AK3744">
        <v>2822022067</v>
      </c>
      <c r="AL3744" t="s">
        <v>7167</v>
      </c>
      <c r="AM3744" t="s">
        <v>88</v>
      </c>
      <c r="AN3744" t="s">
        <v>6744</v>
      </c>
      <c r="AO3744" t="s">
        <v>6744</v>
      </c>
      <c r="AP3744" t="s">
        <v>6744</v>
      </c>
      <c r="AQ3744">
        <v>1</v>
      </c>
      <c r="AR3744" t="s">
        <v>6729</v>
      </c>
      <c r="AS3744" t="s">
        <v>6730</v>
      </c>
      <c r="AT3744" t="s">
        <v>58</v>
      </c>
      <c r="AU3744" t="s">
        <v>68</v>
      </c>
      <c r="AV3744" t="s">
        <v>69</v>
      </c>
      <c r="AW3744" s="1">
        <v>27377</v>
      </c>
      <c r="AX3744">
        <v>2</v>
      </c>
    </row>
    <row r="3745" spans="1:50">
      <c r="A3745">
        <v>177678</v>
      </c>
      <c r="B3745" t="str">
        <f>"065652326"</f>
        <v>065652326</v>
      </c>
      <c r="C3745" t="s">
        <v>50</v>
      </c>
      <c r="D3745" t="s">
        <v>7168</v>
      </c>
      <c r="E3745" t="s">
        <v>109</v>
      </c>
      <c r="F3745" t="s">
        <v>95</v>
      </c>
      <c r="G3745" t="s">
        <v>330</v>
      </c>
      <c r="H3745" t="str">
        <f>"ΑΚΤΗ ΚΑΝΑΡΗ 31 ΧΑΝΙΩΝ"</f>
        <v>ΑΚΤΗ ΚΑΝΑΡΗ 31 ΧΑΝΙΩΝ</v>
      </c>
      <c r="I3745">
        <v>73131</v>
      </c>
      <c r="J3745">
        <v>2821073336</v>
      </c>
      <c r="K3745">
        <v>6978556810</v>
      </c>
      <c r="M3745" t="s">
        <v>7169</v>
      </c>
      <c r="N3745" t="s">
        <v>282</v>
      </c>
      <c r="O3745" t="s">
        <v>283</v>
      </c>
      <c r="R3745" t="s">
        <v>57</v>
      </c>
      <c r="S3745">
        <v>11</v>
      </c>
      <c r="T3745">
        <v>180</v>
      </c>
      <c r="U3745" s="1">
        <v>35674</v>
      </c>
      <c r="V3745" t="s">
        <v>6729</v>
      </c>
      <c r="W3745" t="s">
        <v>6730</v>
      </c>
      <c r="X3745" t="s">
        <v>58</v>
      </c>
      <c r="Y3745">
        <v>18</v>
      </c>
      <c r="Z3745" t="s">
        <v>59</v>
      </c>
      <c r="AA3745" t="s">
        <v>59</v>
      </c>
      <c r="AB3745" t="s">
        <v>59</v>
      </c>
      <c r="AC3745" t="s">
        <v>59</v>
      </c>
      <c r="AD3745" t="s">
        <v>59</v>
      </c>
      <c r="AF3745" s="1">
        <v>35675</v>
      </c>
      <c r="AG3745" t="s">
        <v>125</v>
      </c>
      <c r="AH3745" t="s">
        <v>126</v>
      </c>
      <c r="AI3745" t="str">
        <f>"5001060"</f>
        <v>5001060</v>
      </c>
      <c r="AJ3745" t="s">
        <v>6914</v>
      </c>
      <c r="AK3745">
        <v>2821091763</v>
      </c>
      <c r="AL3745" t="s">
        <v>6915</v>
      </c>
      <c r="AM3745" t="s">
        <v>88</v>
      </c>
      <c r="AN3745" t="s">
        <v>88</v>
      </c>
      <c r="AO3745" t="s">
        <v>88</v>
      </c>
      <c r="AP3745" t="s">
        <v>88</v>
      </c>
      <c r="AQ3745">
        <v>1</v>
      </c>
      <c r="AR3745" t="s">
        <v>6729</v>
      </c>
      <c r="AS3745" t="s">
        <v>6730</v>
      </c>
      <c r="AT3745" t="s">
        <v>58</v>
      </c>
      <c r="AU3745" t="s">
        <v>68</v>
      </c>
      <c r="AV3745" t="s">
        <v>69</v>
      </c>
      <c r="AW3745" s="1">
        <v>20654</v>
      </c>
      <c r="AX3745">
        <v>2</v>
      </c>
    </row>
    <row r="3746" spans="1:50">
      <c r="A3746">
        <v>224696</v>
      </c>
      <c r="B3746" t="str">
        <f>"045567282"</f>
        <v>045567282</v>
      </c>
      <c r="C3746" t="s">
        <v>50</v>
      </c>
      <c r="D3746" t="s">
        <v>7170</v>
      </c>
      <c r="E3746" t="s">
        <v>964</v>
      </c>
      <c r="F3746" t="s">
        <v>53</v>
      </c>
      <c r="G3746" t="s">
        <v>112</v>
      </c>
      <c r="H3746" t="str">
        <f>" "</f>
        <v xml:space="preserve"> </v>
      </c>
      <c r="J3746">
        <v>2821040644</v>
      </c>
      <c r="K3746">
        <v>6947198928</v>
      </c>
      <c r="M3746" t="s">
        <v>7171</v>
      </c>
      <c r="N3746" t="s">
        <v>299</v>
      </c>
      <c r="O3746" t="s">
        <v>300</v>
      </c>
      <c r="R3746" t="s">
        <v>57</v>
      </c>
      <c r="S3746">
        <v>7</v>
      </c>
      <c r="T3746">
        <v>775</v>
      </c>
      <c r="U3746" s="1">
        <v>39680</v>
      </c>
      <c r="V3746" t="s">
        <v>6729</v>
      </c>
      <c r="W3746" t="s">
        <v>6730</v>
      </c>
      <c r="X3746" t="s">
        <v>58</v>
      </c>
      <c r="Y3746">
        <v>21</v>
      </c>
      <c r="Z3746" t="s">
        <v>59</v>
      </c>
      <c r="AA3746" t="s">
        <v>59</v>
      </c>
      <c r="AB3746" t="s">
        <v>59</v>
      </c>
      <c r="AC3746" t="s">
        <v>59</v>
      </c>
      <c r="AD3746" t="s">
        <v>59</v>
      </c>
      <c r="AF3746" s="1">
        <v>39681</v>
      </c>
      <c r="AG3746" t="s">
        <v>137</v>
      </c>
      <c r="AH3746" t="s">
        <v>138</v>
      </c>
      <c r="AI3746" t="str">
        <f>"5040105"</f>
        <v>5040105</v>
      </c>
      <c r="AJ3746" t="s">
        <v>6969</v>
      </c>
      <c r="AK3746">
        <v>2825051703</v>
      </c>
      <c r="AL3746" t="s">
        <v>6970</v>
      </c>
      <c r="AM3746" t="s">
        <v>88</v>
      </c>
      <c r="AN3746" t="s">
        <v>6775</v>
      </c>
      <c r="AO3746" t="s">
        <v>6781</v>
      </c>
      <c r="AP3746" t="s">
        <v>6782</v>
      </c>
      <c r="AQ3746">
        <v>1</v>
      </c>
      <c r="AR3746" t="s">
        <v>6729</v>
      </c>
      <c r="AS3746" t="s">
        <v>6730</v>
      </c>
      <c r="AT3746" t="s">
        <v>58</v>
      </c>
      <c r="AU3746" t="s">
        <v>68</v>
      </c>
      <c r="AV3746" t="s">
        <v>69</v>
      </c>
      <c r="AW3746" s="1">
        <v>25250</v>
      </c>
      <c r="AX3746">
        <v>2</v>
      </c>
    </row>
    <row r="3747" spans="1:50">
      <c r="A3747">
        <v>161198</v>
      </c>
      <c r="B3747" t="str">
        <f>"065515264"</f>
        <v>065515264</v>
      </c>
      <c r="C3747" t="s">
        <v>50</v>
      </c>
      <c r="D3747" t="s">
        <v>7172</v>
      </c>
      <c r="E3747" t="s">
        <v>755</v>
      </c>
      <c r="F3747" t="s">
        <v>84</v>
      </c>
      <c r="G3747" t="s">
        <v>52</v>
      </c>
      <c r="H3747" t="str">
        <f>"Γ.ΠΑΠΑΝΔΡΕΟΥ ΔΑΡΑΤΣΟΣ"</f>
        <v>Γ.ΠΑΠΑΝΔΡΕΟΥ ΔΑΡΑΤΣΟΣ</v>
      </c>
      <c r="I3747">
        <v>73100</v>
      </c>
      <c r="J3747">
        <v>2821033068</v>
      </c>
      <c r="K3747">
        <v>6975779040</v>
      </c>
      <c r="L3747">
        <v>2821052702</v>
      </c>
      <c r="M3747" t="s">
        <v>7173</v>
      </c>
      <c r="N3747" t="s">
        <v>257</v>
      </c>
      <c r="O3747" t="s">
        <v>258</v>
      </c>
      <c r="R3747" t="s">
        <v>57</v>
      </c>
      <c r="S3747">
        <v>13</v>
      </c>
      <c r="T3747">
        <v>161</v>
      </c>
      <c r="U3747" s="1">
        <v>33119</v>
      </c>
      <c r="V3747" t="s">
        <v>6729</v>
      </c>
      <c r="W3747" t="s">
        <v>6730</v>
      </c>
      <c r="X3747" t="s">
        <v>58</v>
      </c>
      <c r="Y3747">
        <v>18</v>
      </c>
      <c r="Z3747" t="s">
        <v>59</v>
      </c>
      <c r="AA3747" t="s">
        <v>59</v>
      </c>
      <c r="AB3747" t="s">
        <v>59</v>
      </c>
      <c r="AC3747" t="s">
        <v>59</v>
      </c>
      <c r="AD3747" t="s">
        <v>59</v>
      </c>
      <c r="AF3747" s="1">
        <v>33126</v>
      </c>
      <c r="AG3747" t="s">
        <v>148</v>
      </c>
      <c r="AH3747" t="s">
        <v>149</v>
      </c>
      <c r="AI3747" t="str">
        <f>"5051030"</f>
        <v>5051030</v>
      </c>
      <c r="AJ3747" t="s">
        <v>6760</v>
      </c>
      <c r="AK3747">
        <v>2821027533</v>
      </c>
      <c r="AL3747" t="s">
        <v>6761</v>
      </c>
      <c r="AM3747" t="s">
        <v>88</v>
      </c>
      <c r="AN3747" t="s">
        <v>88</v>
      </c>
      <c r="AO3747" t="s">
        <v>88</v>
      </c>
      <c r="AP3747" t="s">
        <v>88</v>
      </c>
      <c r="AQ3747">
        <v>1</v>
      </c>
      <c r="AR3747" t="s">
        <v>6729</v>
      </c>
      <c r="AS3747" t="s">
        <v>6730</v>
      </c>
      <c r="AT3747" t="s">
        <v>58</v>
      </c>
      <c r="AU3747" t="s">
        <v>68</v>
      </c>
      <c r="AV3747" t="s">
        <v>69</v>
      </c>
      <c r="AW3747" s="1">
        <v>22569</v>
      </c>
      <c r="AX3747">
        <v>2</v>
      </c>
    </row>
    <row r="3748" spans="1:50">
      <c r="A3748">
        <v>188626</v>
      </c>
      <c r="B3748" t="str">
        <f>"054611191"</f>
        <v>054611191</v>
      </c>
      <c r="C3748" t="s">
        <v>50</v>
      </c>
      <c r="D3748" t="s">
        <v>1287</v>
      </c>
      <c r="E3748" t="s">
        <v>83</v>
      </c>
      <c r="F3748" t="s">
        <v>1023</v>
      </c>
      <c r="G3748" t="s">
        <v>1114</v>
      </c>
      <c r="H3748" t="str">
        <f>" "</f>
        <v xml:space="preserve"> </v>
      </c>
      <c r="J3748">
        <v>2821078920</v>
      </c>
      <c r="K3748">
        <v>6909212145</v>
      </c>
      <c r="M3748" t="s">
        <v>7174</v>
      </c>
      <c r="N3748" t="s">
        <v>331</v>
      </c>
      <c r="O3748" t="s">
        <v>332</v>
      </c>
      <c r="R3748" t="s">
        <v>57</v>
      </c>
      <c r="S3748">
        <v>11</v>
      </c>
      <c r="T3748">
        <v>310</v>
      </c>
      <c r="U3748" s="1">
        <v>36833</v>
      </c>
      <c r="V3748" t="s">
        <v>6729</v>
      </c>
      <c r="W3748" t="s">
        <v>6730</v>
      </c>
      <c r="X3748" t="s">
        <v>58</v>
      </c>
      <c r="Y3748">
        <v>18</v>
      </c>
      <c r="Z3748" t="s">
        <v>59</v>
      </c>
      <c r="AA3748" t="s">
        <v>59</v>
      </c>
      <c r="AB3748" t="s">
        <v>59</v>
      </c>
      <c r="AC3748" t="s">
        <v>59</v>
      </c>
      <c r="AD3748" t="s">
        <v>59</v>
      </c>
      <c r="AF3748" s="1">
        <v>36839</v>
      </c>
      <c r="AG3748" t="s">
        <v>125</v>
      </c>
      <c r="AH3748" t="s">
        <v>126</v>
      </c>
      <c r="AI3748" t="str">
        <f>"5009010"</f>
        <v>5009010</v>
      </c>
      <c r="AJ3748" t="s">
        <v>6901</v>
      </c>
      <c r="AK3748">
        <v>2821077212</v>
      </c>
      <c r="AL3748" t="s">
        <v>6902</v>
      </c>
      <c r="AM3748" t="s">
        <v>88</v>
      </c>
      <c r="AN3748" t="s">
        <v>6764</v>
      </c>
      <c r="AO3748" t="s">
        <v>6885</v>
      </c>
      <c r="AP3748" t="s">
        <v>6886</v>
      </c>
      <c r="AQ3748">
        <v>1</v>
      </c>
      <c r="AR3748" t="s">
        <v>6729</v>
      </c>
      <c r="AS3748" t="s">
        <v>6730</v>
      </c>
      <c r="AT3748" t="s">
        <v>58</v>
      </c>
      <c r="AU3748" t="s">
        <v>68</v>
      </c>
      <c r="AV3748" t="s">
        <v>69</v>
      </c>
      <c r="AW3748" s="1">
        <v>25351</v>
      </c>
      <c r="AX3748">
        <v>2</v>
      </c>
    </row>
    <row r="3749" spans="1:50">
      <c r="A3749">
        <v>176794</v>
      </c>
      <c r="B3749" t="str">
        <f>"044994116"</f>
        <v>044994116</v>
      </c>
      <c r="C3749" t="s">
        <v>50</v>
      </c>
      <c r="D3749" t="s">
        <v>7175</v>
      </c>
      <c r="E3749" t="s">
        <v>155</v>
      </c>
      <c r="F3749" t="s">
        <v>450</v>
      </c>
      <c r="G3749" t="s">
        <v>96</v>
      </c>
      <c r="H3749" t="str">
        <f>"Ηρώων Πολυτεχνείου 4 Χανιά"</f>
        <v>Ηρώων Πολυτεχνείου 4 Χανιά</v>
      </c>
      <c r="J3749">
        <v>2821403569</v>
      </c>
      <c r="K3749">
        <v>6907771228</v>
      </c>
      <c r="M3749" t="s">
        <v>7176</v>
      </c>
      <c r="N3749" t="s">
        <v>288</v>
      </c>
      <c r="O3749" t="s">
        <v>289</v>
      </c>
      <c r="R3749" t="s">
        <v>57</v>
      </c>
      <c r="S3749">
        <v>10</v>
      </c>
      <c r="T3749">
        <v>180</v>
      </c>
      <c r="U3749" s="1">
        <v>35674</v>
      </c>
      <c r="V3749" t="s">
        <v>6729</v>
      </c>
      <c r="W3749" t="s">
        <v>6730</v>
      </c>
      <c r="X3749" t="s">
        <v>58</v>
      </c>
      <c r="Y3749">
        <v>18</v>
      </c>
      <c r="Z3749" t="s">
        <v>59</v>
      </c>
      <c r="AA3749" t="s">
        <v>59</v>
      </c>
      <c r="AB3749" t="s">
        <v>59</v>
      </c>
      <c r="AC3749" t="s">
        <v>59</v>
      </c>
      <c r="AD3749" t="s">
        <v>59</v>
      </c>
      <c r="AF3749" s="1">
        <v>35677</v>
      </c>
      <c r="AG3749" t="s">
        <v>125</v>
      </c>
      <c r="AH3749" t="s">
        <v>126</v>
      </c>
      <c r="AI3749" t="str">
        <f>"5011010"</f>
        <v>5011010</v>
      </c>
      <c r="AJ3749" t="s">
        <v>6877</v>
      </c>
      <c r="AK3749">
        <v>2821081330</v>
      </c>
      <c r="AL3749" t="s">
        <v>6878</v>
      </c>
      <c r="AM3749" t="s">
        <v>88</v>
      </c>
      <c r="AN3749" t="s">
        <v>88</v>
      </c>
      <c r="AO3749" t="s">
        <v>6748</v>
      </c>
      <c r="AP3749" t="s">
        <v>6748</v>
      </c>
      <c r="AQ3749">
        <v>1</v>
      </c>
      <c r="AR3749" t="s">
        <v>6729</v>
      </c>
      <c r="AS3749" t="s">
        <v>6730</v>
      </c>
      <c r="AT3749" t="s">
        <v>58</v>
      </c>
      <c r="AU3749" t="s">
        <v>68</v>
      </c>
      <c r="AV3749" t="s">
        <v>69</v>
      </c>
      <c r="AW3749" s="1">
        <v>23788</v>
      </c>
      <c r="AX3749">
        <v>2</v>
      </c>
    </row>
    <row r="3750" spans="1:50">
      <c r="A3750">
        <v>144097</v>
      </c>
      <c r="B3750" t="str">
        <f>"028934090"</f>
        <v>028934090</v>
      </c>
      <c r="C3750" t="s">
        <v>105</v>
      </c>
      <c r="D3750" t="s">
        <v>7177</v>
      </c>
      <c r="E3750" t="s">
        <v>95</v>
      </c>
      <c r="F3750" t="s">
        <v>92</v>
      </c>
      <c r="G3750" t="s">
        <v>52</v>
      </c>
      <c r="H3750" t="str">
        <f>"ΜΑΛΛΙΝΟΥ 39 ΧΑΝΙΩΝ"</f>
        <v>ΜΑΛΛΙΝΟΥ 39 ΧΑΝΙΩΝ</v>
      </c>
      <c r="I3750">
        <v>73100</v>
      </c>
      <c r="J3750">
        <v>2821051599</v>
      </c>
      <c r="M3750" t="s">
        <v>7178</v>
      </c>
      <c r="N3750" t="s">
        <v>146</v>
      </c>
      <c r="O3750" t="s">
        <v>147</v>
      </c>
      <c r="R3750" t="s">
        <v>57</v>
      </c>
      <c r="S3750">
        <v>17</v>
      </c>
      <c r="T3750">
        <v>262</v>
      </c>
      <c r="U3750" s="1">
        <v>30916</v>
      </c>
      <c r="V3750" t="s">
        <v>6729</v>
      </c>
      <c r="W3750" t="s">
        <v>6730</v>
      </c>
      <c r="X3750" t="s">
        <v>58</v>
      </c>
      <c r="Y3750">
        <v>18</v>
      </c>
      <c r="Z3750" t="s">
        <v>59</v>
      </c>
      <c r="AA3750" t="s">
        <v>59</v>
      </c>
      <c r="AB3750" t="s">
        <v>59</v>
      </c>
      <c r="AC3750" t="s">
        <v>59</v>
      </c>
      <c r="AD3750" t="s">
        <v>59</v>
      </c>
      <c r="AF3750" s="1">
        <v>30928</v>
      </c>
      <c r="AG3750" t="s">
        <v>125</v>
      </c>
      <c r="AH3750" t="s">
        <v>126</v>
      </c>
      <c r="AI3750" t="str">
        <f>"5011010"</f>
        <v>5011010</v>
      </c>
      <c r="AJ3750" t="s">
        <v>6877</v>
      </c>
      <c r="AK3750">
        <v>2821081330</v>
      </c>
      <c r="AL3750" t="s">
        <v>6878</v>
      </c>
      <c r="AM3750" t="s">
        <v>88</v>
      </c>
      <c r="AN3750" t="s">
        <v>88</v>
      </c>
      <c r="AO3750" t="s">
        <v>6748</v>
      </c>
      <c r="AP3750" t="s">
        <v>6748</v>
      </c>
      <c r="AQ3750">
        <v>1</v>
      </c>
      <c r="AR3750" t="s">
        <v>6729</v>
      </c>
      <c r="AS3750" t="s">
        <v>6730</v>
      </c>
      <c r="AT3750" t="s">
        <v>58</v>
      </c>
      <c r="AU3750" t="s">
        <v>68</v>
      </c>
      <c r="AV3750" t="s">
        <v>69</v>
      </c>
      <c r="AW3750" s="1">
        <v>19755</v>
      </c>
      <c r="AX3750">
        <v>2</v>
      </c>
    </row>
    <row r="3751" spans="1:50">
      <c r="A3751">
        <v>226452</v>
      </c>
      <c r="B3751" t="str">
        <f>"118556646"</f>
        <v>118556646</v>
      </c>
      <c r="C3751" t="s">
        <v>50</v>
      </c>
      <c r="D3751" t="s">
        <v>7179</v>
      </c>
      <c r="E3751" t="s">
        <v>96</v>
      </c>
      <c r="F3751" t="s">
        <v>1185</v>
      </c>
      <c r="G3751" t="s">
        <v>2248</v>
      </c>
      <c r="H3751" t="str">
        <f>"ΑΛ. ΔΕΛΗΓΙΑΝΝΑΚΗ 110 ΧΑΝΙΑ"</f>
        <v>ΑΛ. ΔΕΛΗΓΙΑΝΝΑΚΗ 110 ΧΑΝΙΑ</v>
      </c>
      <c r="I3751">
        <v>73133</v>
      </c>
      <c r="J3751">
        <v>2821095411</v>
      </c>
      <c r="K3751">
        <v>6947703322</v>
      </c>
      <c r="N3751" t="s">
        <v>146</v>
      </c>
      <c r="O3751" t="s">
        <v>147</v>
      </c>
      <c r="R3751" t="s">
        <v>57</v>
      </c>
      <c r="S3751">
        <v>5</v>
      </c>
      <c r="T3751">
        <v>654</v>
      </c>
      <c r="U3751" s="1">
        <v>40043</v>
      </c>
      <c r="V3751" t="s">
        <v>6729</v>
      </c>
      <c r="W3751" t="s">
        <v>6730</v>
      </c>
      <c r="X3751" t="s">
        <v>58</v>
      </c>
      <c r="Y3751">
        <v>21</v>
      </c>
      <c r="Z3751" t="s">
        <v>59</v>
      </c>
      <c r="AA3751" t="s">
        <v>59</v>
      </c>
      <c r="AB3751" t="s">
        <v>59</v>
      </c>
      <c r="AC3751" t="s">
        <v>59</v>
      </c>
      <c r="AD3751" t="s">
        <v>59</v>
      </c>
      <c r="AF3751" s="1">
        <v>40046</v>
      </c>
      <c r="AG3751" t="s">
        <v>125</v>
      </c>
      <c r="AH3751" t="s">
        <v>126</v>
      </c>
      <c r="AI3751" t="str">
        <f>"5008010"</f>
        <v>5008010</v>
      </c>
      <c r="AJ3751" t="s">
        <v>6993</v>
      </c>
      <c r="AK3751">
        <v>2825091207</v>
      </c>
      <c r="AL3751" t="s">
        <v>6994</v>
      </c>
      <c r="AM3751" t="s">
        <v>88</v>
      </c>
      <c r="AN3751" t="s">
        <v>6995</v>
      </c>
      <c r="AO3751" t="s">
        <v>6995</v>
      </c>
      <c r="AP3751" t="s">
        <v>6996</v>
      </c>
      <c r="AQ3751">
        <v>1</v>
      </c>
      <c r="AR3751" t="s">
        <v>6729</v>
      </c>
      <c r="AS3751" t="s">
        <v>6730</v>
      </c>
      <c r="AT3751" t="s">
        <v>58</v>
      </c>
      <c r="AU3751" t="s">
        <v>68</v>
      </c>
      <c r="AV3751" t="s">
        <v>69</v>
      </c>
      <c r="AW3751" s="1">
        <v>27636</v>
      </c>
      <c r="AX3751">
        <v>2</v>
      </c>
    </row>
    <row r="3752" spans="1:50">
      <c r="A3752">
        <v>170239</v>
      </c>
      <c r="B3752" t="str">
        <f>"064114274"</f>
        <v>064114274</v>
      </c>
      <c r="C3752" t="s">
        <v>50</v>
      </c>
      <c r="D3752" t="s">
        <v>7180</v>
      </c>
      <c r="E3752" t="s">
        <v>73</v>
      </c>
      <c r="F3752" t="s">
        <v>72</v>
      </c>
      <c r="G3752" t="s">
        <v>167</v>
      </c>
      <c r="H3752" t="str">
        <f>" "</f>
        <v xml:space="preserve"> </v>
      </c>
      <c r="J3752">
        <v>2821073394</v>
      </c>
      <c r="K3752">
        <v>6946501831</v>
      </c>
      <c r="M3752" t="s">
        <v>7181</v>
      </c>
      <c r="N3752" t="s">
        <v>292</v>
      </c>
      <c r="O3752" t="s">
        <v>293</v>
      </c>
      <c r="R3752" t="s">
        <v>57</v>
      </c>
      <c r="S3752">
        <v>12</v>
      </c>
      <c r="T3752">
        <v>184</v>
      </c>
      <c r="U3752" s="1">
        <v>34941</v>
      </c>
      <c r="V3752" t="s">
        <v>6729</v>
      </c>
      <c r="W3752" t="s">
        <v>6730</v>
      </c>
      <c r="X3752" t="s">
        <v>58</v>
      </c>
      <c r="Y3752">
        <v>18</v>
      </c>
      <c r="Z3752" t="s">
        <v>59</v>
      </c>
      <c r="AA3752" t="s">
        <v>59</v>
      </c>
      <c r="AB3752" t="s">
        <v>59</v>
      </c>
      <c r="AC3752" t="s">
        <v>59</v>
      </c>
      <c r="AD3752" t="s">
        <v>59</v>
      </c>
      <c r="AF3752" s="1">
        <v>34943</v>
      </c>
      <c r="AG3752" t="s">
        <v>148</v>
      </c>
      <c r="AH3752" t="s">
        <v>149</v>
      </c>
      <c r="AI3752" t="str">
        <f>"5051009"</f>
        <v>5051009</v>
      </c>
      <c r="AJ3752" t="s">
        <v>6851</v>
      </c>
      <c r="AK3752">
        <v>2821044551</v>
      </c>
      <c r="AL3752" t="s">
        <v>6852</v>
      </c>
      <c r="AM3752" t="s">
        <v>88</v>
      </c>
      <c r="AN3752" t="s">
        <v>88</v>
      </c>
      <c r="AO3752" t="s">
        <v>6770</v>
      </c>
      <c r="AP3752" t="s">
        <v>6771</v>
      </c>
      <c r="AQ3752">
        <v>1</v>
      </c>
      <c r="AR3752" t="s">
        <v>6729</v>
      </c>
      <c r="AS3752" t="s">
        <v>6730</v>
      </c>
      <c r="AT3752" t="s">
        <v>58</v>
      </c>
      <c r="AU3752" t="s">
        <v>68</v>
      </c>
      <c r="AV3752" t="s">
        <v>69</v>
      </c>
      <c r="AW3752" s="1">
        <v>21636</v>
      </c>
      <c r="AX3752">
        <v>2</v>
      </c>
    </row>
    <row r="3753" spans="1:50">
      <c r="A3753">
        <v>205692</v>
      </c>
      <c r="B3753" t="str">
        <f>"036252932"</f>
        <v>036252932</v>
      </c>
      <c r="C3753" t="s">
        <v>105</v>
      </c>
      <c r="D3753" t="s">
        <v>7182</v>
      </c>
      <c r="E3753" t="s">
        <v>564</v>
      </c>
      <c r="F3753" t="s">
        <v>989</v>
      </c>
      <c r="G3753" t="s">
        <v>476</v>
      </c>
      <c r="H3753" t="str">
        <f>" "</f>
        <v xml:space="preserve"> </v>
      </c>
      <c r="J3753">
        <v>2821027495</v>
      </c>
      <c r="K3753">
        <v>6944686236</v>
      </c>
      <c r="M3753" t="s">
        <v>7183</v>
      </c>
      <c r="N3753" t="s">
        <v>204</v>
      </c>
      <c r="O3753" t="s">
        <v>205</v>
      </c>
      <c r="R3753" t="s">
        <v>57</v>
      </c>
      <c r="S3753">
        <v>8</v>
      </c>
      <c r="T3753">
        <v>231</v>
      </c>
      <c r="U3753" s="1">
        <v>38230</v>
      </c>
      <c r="V3753" t="s">
        <v>6729</v>
      </c>
      <c r="W3753" t="s">
        <v>6730</v>
      </c>
      <c r="X3753" t="s">
        <v>58</v>
      </c>
      <c r="Y3753">
        <v>20</v>
      </c>
      <c r="Z3753" t="s">
        <v>59</v>
      </c>
      <c r="AA3753" t="s">
        <v>59</v>
      </c>
      <c r="AB3753" t="s">
        <v>59</v>
      </c>
      <c r="AC3753" t="s">
        <v>59</v>
      </c>
      <c r="AD3753" t="s">
        <v>59</v>
      </c>
      <c r="AF3753" s="1">
        <v>38231</v>
      </c>
      <c r="AG3753" t="s">
        <v>148</v>
      </c>
      <c r="AH3753" t="s">
        <v>149</v>
      </c>
      <c r="AI3753" t="str">
        <f>"5090080"</f>
        <v>5090080</v>
      </c>
      <c r="AJ3753" t="s">
        <v>6906</v>
      </c>
      <c r="AK3753">
        <v>2821096638</v>
      </c>
      <c r="AL3753" t="s">
        <v>6907</v>
      </c>
      <c r="AM3753" t="s">
        <v>88</v>
      </c>
      <c r="AN3753" t="s">
        <v>88</v>
      </c>
      <c r="AO3753" t="s">
        <v>88</v>
      </c>
      <c r="AP3753" t="s">
        <v>88</v>
      </c>
      <c r="AQ3753">
        <v>1</v>
      </c>
      <c r="AR3753" t="s">
        <v>6729</v>
      </c>
      <c r="AS3753" t="s">
        <v>6730</v>
      </c>
      <c r="AT3753" t="s">
        <v>58</v>
      </c>
      <c r="AU3753" t="s">
        <v>68</v>
      </c>
      <c r="AV3753" t="s">
        <v>69</v>
      </c>
      <c r="AW3753" s="1">
        <v>23966</v>
      </c>
      <c r="AX3753">
        <v>2</v>
      </c>
    </row>
    <row r="3754" spans="1:50">
      <c r="B3754" t="str">
        <f>"118907672"</f>
        <v>118907672</v>
      </c>
      <c r="C3754" t="s">
        <v>50</v>
      </c>
      <c r="D3754" t="s">
        <v>1331</v>
      </c>
      <c r="E3754" t="s">
        <v>707</v>
      </c>
      <c r="F3754" t="s">
        <v>95</v>
      </c>
      <c r="G3754" t="s">
        <v>52</v>
      </c>
      <c r="H3754" t="str">
        <f>" "</f>
        <v xml:space="preserve"> </v>
      </c>
      <c r="N3754" t="s">
        <v>1817</v>
      </c>
      <c r="O3754" t="s">
        <v>1818</v>
      </c>
      <c r="R3754" t="s">
        <v>121</v>
      </c>
      <c r="S3754">
        <v>3</v>
      </c>
      <c r="T3754" t="s">
        <v>344</v>
      </c>
      <c r="U3754" s="1">
        <v>43348</v>
      </c>
      <c r="V3754" t="s">
        <v>6729</v>
      </c>
      <c r="W3754" t="s">
        <v>6730</v>
      </c>
      <c r="X3754" t="s">
        <v>58</v>
      </c>
      <c r="Y3754">
        <v>23</v>
      </c>
      <c r="Z3754" t="s">
        <v>59</v>
      </c>
      <c r="AA3754" t="s">
        <v>59</v>
      </c>
      <c r="AB3754" t="s">
        <v>59</v>
      </c>
      <c r="AD3754" t="s">
        <v>59</v>
      </c>
      <c r="AF3754" s="1">
        <v>43348</v>
      </c>
      <c r="AG3754" t="s">
        <v>345</v>
      </c>
      <c r="AH3754" t="s">
        <v>346</v>
      </c>
      <c r="AI3754" t="str">
        <f>"5041001"</f>
        <v>5041001</v>
      </c>
      <c r="AJ3754" t="s">
        <v>6840</v>
      </c>
      <c r="AK3754">
        <v>2821052100</v>
      </c>
      <c r="AL3754" t="s">
        <v>6841</v>
      </c>
      <c r="AM3754" t="s">
        <v>88</v>
      </c>
      <c r="AN3754" t="s">
        <v>88</v>
      </c>
      <c r="AO3754" t="s">
        <v>88</v>
      </c>
      <c r="AP3754" t="s">
        <v>88</v>
      </c>
      <c r="AQ3754">
        <v>1</v>
      </c>
      <c r="AR3754" t="s">
        <v>6729</v>
      </c>
      <c r="AS3754" t="s">
        <v>6730</v>
      </c>
      <c r="AT3754" t="s">
        <v>58</v>
      </c>
      <c r="AU3754" t="s">
        <v>350</v>
      </c>
      <c r="AV3754" t="s">
        <v>132</v>
      </c>
      <c r="AW3754" s="1">
        <v>30161</v>
      </c>
      <c r="AX3754">
        <v>2</v>
      </c>
    </row>
    <row r="3755" spans="1:50">
      <c r="A3755">
        <v>185727</v>
      </c>
      <c r="B3755" t="str">
        <f>"061932474"</f>
        <v>061932474</v>
      </c>
      <c r="C3755" t="s">
        <v>50</v>
      </c>
      <c r="D3755" t="s">
        <v>7184</v>
      </c>
      <c r="E3755" t="s">
        <v>476</v>
      </c>
      <c r="F3755" t="s">
        <v>1308</v>
      </c>
      <c r="G3755" t="s">
        <v>610</v>
      </c>
      <c r="H3755" t="str">
        <f>" "</f>
        <v xml:space="preserve"> </v>
      </c>
      <c r="J3755">
        <v>2821087488</v>
      </c>
      <c r="K3755">
        <v>6947180187</v>
      </c>
      <c r="N3755" t="s">
        <v>146</v>
      </c>
      <c r="O3755" t="s">
        <v>147</v>
      </c>
      <c r="R3755" t="s">
        <v>57</v>
      </c>
      <c r="S3755">
        <v>9</v>
      </c>
      <c r="T3755">
        <v>250</v>
      </c>
      <c r="U3755" s="1">
        <v>36769</v>
      </c>
      <c r="V3755" t="s">
        <v>6729</v>
      </c>
      <c r="W3755" t="s">
        <v>6730</v>
      </c>
      <c r="X3755" t="s">
        <v>58</v>
      </c>
      <c r="Y3755">
        <v>20</v>
      </c>
      <c r="Z3755" t="s">
        <v>59</v>
      </c>
      <c r="AA3755" t="s">
        <v>59</v>
      </c>
      <c r="AB3755" t="s">
        <v>59</v>
      </c>
      <c r="AC3755" t="s">
        <v>59</v>
      </c>
      <c r="AD3755" t="s">
        <v>59</v>
      </c>
      <c r="AF3755" s="1">
        <v>36770</v>
      </c>
      <c r="AG3755" t="s">
        <v>125</v>
      </c>
      <c r="AH3755" t="s">
        <v>126</v>
      </c>
      <c r="AI3755" t="str">
        <f>"5012010"</f>
        <v>5012010</v>
      </c>
      <c r="AJ3755" t="s">
        <v>6794</v>
      </c>
      <c r="AK3755">
        <v>2821033195</v>
      </c>
      <c r="AL3755" t="s">
        <v>6795</v>
      </c>
      <c r="AM3755" t="s">
        <v>88</v>
      </c>
      <c r="AN3755" t="s">
        <v>88</v>
      </c>
      <c r="AO3755" t="s">
        <v>6785</v>
      </c>
      <c r="AP3755" t="s">
        <v>6786</v>
      </c>
      <c r="AQ3755">
        <v>1</v>
      </c>
      <c r="AR3755" t="s">
        <v>6729</v>
      </c>
      <c r="AS3755" t="s">
        <v>6730</v>
      </c>
      <c r="AT3755" t="s">
        <v>58</v>
      </c>
      <c r="AU3755" t="s">
        <v>68</v>
      </c>
      <c r="AV3755" t="s">
        <v>69</v>
      </c>
      <c r="AW3755" s="1">
        <v>25705</v>
      </c>
      <c r="AX3755">
        <v>2</v>
      </c>
    </row>
    <row r="3756" spans="1:50">
      <c r="B3756" t="str">
        <f>"138970399"</f>
        <v>138970399</v>
      </c>
      <c r="C3756" t="s">
        <v>50</v>
      </c>
      <c r="D3756" t="s">
        <v>1341</v>
      </c>
      <c r="E3756" t="s">
        <v>1068</v>
      </c>
      <c r="F3756" t="s">
        <v>53</v>
      </c>
      <c r="G3756" t="s">
        <v>314</v>
      </c>
      <c r="H3756" t="str">
        <f>"ΜΑΚΡΑΣ ΓΕΦΥΡΑΣ 3 ΔΡΑΜΑ"</f>
        <v>ΜΑΚΡΑΣ ΓΕΦΥΡΑΣ 3 ΔΡΑΜΑ</v>
      </c>
      <c r="I3756">
        <v>66100</v>
      </c>
      <c r="J3756">
        <v>2810235950</v>
      </c>
      <c r="K3756">
        <v>6979224002</v>
      </c>
      <c r="N3756" t="s">
        <v>883</v>
      </c>
      <c r="O3756" t="s">
        <v>884</v>
      </c>
      <c r="R3756" t="s">
        <v>121</v>
      </c>
      <c r="S3756">
        <v>1</v>
      </c>
      <c r="T3756" t="s">
        <v>122</v>
      </c>
      <c r="U3756" s="1">
        <v>43348</v>
      </c>
      <c r="V3756" t="s">
        <v>6729</v>
      </c>
      <c r="W3756" t="s">
        <v>6730</v>
      </c>
      <c r="X3756" t="s">
        <v>58</v>
      </c>
      <c r="Y3756">
        <v>23</v>
      </c>
      <c r="Z3756" t="s">
        <v>59</v>
      </c>
      <c r="AA3756" t="s">
        <v>59</v>
      </c>
      <c r="AB3756" t="s">
        <v>59</v>
      </c>
      <c r="AC3756" t="s">
        <v>59</v>
      </c>
      <c r="AD3756" t="s">
        <v>59</v>
      </c>
      <c r="AF3756" s="1">
        <v>43348</v>
      </c>
      <c r="AG3756" t="s">
        <v>125</v>
      </c>
      <c r="AH3756" t="s">
        <v>126</v>
      </c>
      <c r="AI3756" t="str">
        <f>"5001020"</f>
        <v>5001020</v>
      </c>
      <c r="AJ3756" t="s">
        <v>6739</v>
      </c>
      <c r="AK3756">
        <v>2821042664</v>
      </c>
      <c r="AL3756" t="s">
        <v>6740</v>
      </c>
      <c r="AM3756" t="s">
        <v>88</v>
      </c>
      <c r="AN3756" t="s">
        <v>88</v>
      </c>
      <c r="AO3756" t="s">
        <v>88</v>
      </c>
      <c r="AP3756" t="s">
        <v>88</v>
      </c>
      <c r="AQ3756">
        <v>1</v>
      </c>
      <c r="AR3756" t="s">
        <v>6729</v>
      </c>
      <c r="AS3756" t="s">
        <v>6730</v>
      </c>
      <c r="AT3756" t="s">
        <v>58</v>
      </c>
      <c r="AU3756" t="s">
        <v>131</v>
      </c>
      <c r="AV3756" t="s">
        <v>132</v>
      </c>
      <c r="AW3756" s="1">
        <v>29547</v>
      </c>
      <c r="AX3756">
        <v>2</v>
      </c>
    </row>
    <row r="3757" spans="1:50">
      <c r="A3757">
        <v>905153</v>
      </c>
      <c r="B3757" t="str">
        <f>"027307058"</f>
        <v>027307058</v>
      </c>
      <c r="C3757" t="s">
        <v>105</v>
      </c>
      <c r="D3757" t="s">
        <v>1344</v>
      </c>
      <c r="E3757" t="s">
        <v>166</v>
      </c>
      <c r="F3757" t="s">
        <v>383</v>
      </c>
      <c r="G3757" t="s">
        <v>494</v>
      </c>
      <c r="H3757" t="str">
        <f>"ΚΛΗΜΑΤΟΣ 26 ΧΑΝΙΑ"</f>
        <v>ΚΛΗΜΑΤΟΣ 26 ΧΑΝΙΑ</v>
      </c>
      <c r="I3757">
        <v>73136</v>
      </c>
      <c r="K3757">
        <v>6973554315</v>
      </c>
      <c r="N3757" t="s">
        <v>232</v>
      </c>
      <c r="O3757" t="s">
        <v>233</v>
      </c>
      <c r="R3757" t="s">
        <v>57</v>
      </c>
      <c r="S3757">
        <v>17</v>
      </c>
      <c r="T3757">
        <v>276</v>
      </c>
      <c r="U3757" s="1">
        <v>30552</v>
      </c>
      <c r="V3757" t="s">
        <v>6729</v>
      </c>
      <c r="W3757" t="s">
        <v>6730</v>
      </c>
      <c r="X3757" t="s">
        <v>58</v>
      </c>
      <c r="Y3757">
        <v>18</v>
      </c>
      <c r="Z3757" t="s">
        <v>59</v>
      </c>
      <c r="AA3757" t="s">
        <v>59</v>
      </c>
      <c r="AB3757" t="s">
        <v>59</v>
      </c>
      <c r="AC3757" t="s">
        <v>59</v>
      </c>
      <c r="AD3757" t="s">
        <v>59</v>
      </c>
      <c r="AF3757" s="1">
        <v>30560</v>
      </c>
      <c r="AG3757" t="s">
        <v>148</v>
      </c>
      <c r="AH3757" t="s">
        <v>149</v>
      </c>
      <c r="AI3757" t="str">
        <f>"5051040"</f>
        <v>5051040</v>
      </c>
      <c r="AJ3757" t="s">
        <v>6811</v>
      </c>
      <c r="AK3757">
        <v>2821088007</v>
      </c>
      <c r="AL3757" t="s">
        <v>6812</v>
      </c>
      <c r="AM3757" t="s">
        <v>88</v>
      </c>
      <c r="AN3757" t="s">
        <v>88</v>
      </c>
      <c r="AO3757" t="s">
        <v>88</v>
      </c>
      <c r="AP3757" t="s">
        <v>88</v>
      </c>
      <c r="AQ3757">
        <v>1</v>
      </c>
      <c r="AR3757" t="s">
        <v>6729</v>
      </c>
      <c r="AS3757" t="s">
        <v>6730</v>
      </c>
      <c r="AT3757" t="s">
        <v>58</v>
      </c>
      <c r="AU3757" t="s">
        <v>68</v>
      </c>
      <c r="AV3757" t="s">
        <v>69</v>
      </c>
      <c r="AW3757" s="1">
        <v>20377</v>
      </c>
      <c r="AX3757">
        <v>2</v>
      </c>
    </row>
    <row r="3758" spans="1:50">
      <c r="A3758">
        <v>198003</v>
      </c>
      <c r="B3758" t="str">
        <f>"072251742"</f>
        <v>072251742</v>
      </c>
      <c r="C3758" t="s">
        <v>105</v>
      </c>
      <c r="D3758" t="s">
        <v>1344</v>
      </c>
      <c r="E3758" t="s">
        <v>99</v>
      </c>
      <c r="F3758" t="s">
        <v>154</v>
      </c>
      <c r="G3758" t="s">
        <v>255</v>
      </c>
      <c r="H3758" t="str">
        <f>"ΡΗΓΑ ΦΕΡΑΙΟΥ 18 ΛΕΝΤΑΡΙΑΝΑ"</f>
        <v>ΡΗΓΑ ΦΕΡΑΙΟΥ 18 ΛΕΝΤΑΡΙΑΝΑ</v>
      </c>
      <c r="I3758">
        <v>73133</v>
      </c>
      <c r="J3758">
        <v>2821046842</v>
      </c>
      <c r="K3758">
        <v>6977929786</v>
      </c>
      <c r="M3758" t="s">
        <v>7185</v>
      </c>
      <c r="N3758" t="s">
        <v>232</v>
      </c>
      <c r="O3758" t="s">
        <v>233</v>
      </c>
      <c r="R3758" t="s">
        <v>57</v>
      </c>
      <c r="S3758">
        <v>7</v>
      </c>
      <c r="T3758">
        <v>206</v>
      </c>
      <c r="U3758" s="1">
        <v>37866</v>
      </c>
      <c r="V3758" t="s">
        <v>6729</v>
      </c>
      <c r="W3758" t="s">
        <v>6730</v>
      </c>
      <c r="X3758" t="s">
        <v>58</v>
      </c>
      <c r="Y3758">
        <v>20</v>
      </c>
      <c r="Z3758" t="s">
        <v>59</v>
      </c>
      <c r="AA3758" t="s">
        <v>59</v>
      </c>
      <c r="AB3758" t="s">
        <v>59</v>
      </c>
      <c r="AC3758" t="s">
        <v>59</v>
      </c>
      <c r="AD3758" t="s">
        <v>59</v>
      </c>
      <c r="AF3758" s="1">
        <v>37866</v>
      </c>
      <c r="AG3758" t="s">
        <v>137</v>
      </c>
      <c r="AH3758" t="s">
        <v>138</v>
      </c>
      <c r="AI3758" t="str">
        <f>"5040050"</f>
        <v>5040050</v>
      </c>
      <c r="AJ3758" t="s">
        <v>6750</v>
      </c>
      <c r="AK3758">
        <v>2821043147</v>
      </c>
      <c r="AL3758" t="s">
        <v>6751</v>
      </c>
      <c r="AM3758" t="s">
        <v>88</v>
      </c>
      <c r="AN3758" t="s">
        <v>88</v>
      </c>
      <c r="AO3758" t="s">
        <v>88</v>
      </c>
      <c r="AP3758" t="s">
        <v>88</v>
      </c>
      <c r="AQ3758">
        <v>1</v>
      </c>
      <c r="AR3758" t="s">
        <v>6729</v>
      </c>
      <c r="AS3758" t="s">
        <v>6730</v>
      </c>
      <c r="AT3758" t="s">
        <v>58</v>
      </c>
      <c r="AU3758" t="s">
        <v>68</v>
      </c>
      <c r="AV3758" t="s">
        <v>69</v>
      </c>
      <c r="AW3758" s="1">
        <v>25538</v>
      </c>
      <c r="AX3758">
        <v>2</v>
      </c>
    </row>
    <row r="3759" spans="1:50">
      <c r="B3759" t="str">
        <f>"050231209"</f>
        <v>050231209</v>
      </c>
      <c r="C3759" t="s">
        <v>105</v>
      </c>
      <c r="D3759" t="s">
        <v>1344</v>
      </c>
      <c r="E3759" t="s">
        <v>92</v>
      </c>
      <c r="F3759" t="s">
        <v>53</v>
      </c>
      <c r="G3759" t="s">
        <v>52</v>
      </c>
      <c r="H3759" t="str">
        <f>"ΚΑΡΑΜΑΝΛΗ ΣΗΤΕΙΑ"</f>
        <v>ΚΑΡΑΜΑΝΛΗ ΣΗΤΕΙΑ</v>
      </c>
      <c r="I3759">
        <v>72300</v>
      </c>
      <c r="J3759">
        <v>2843028320</v>
      </c>
      <c r="K3759">
        <v>6936769852</v>
      </c>
      <c r="M3759" t="s">
        <v>7186</v>
      </c>
      <c r="N3759" t="s">
        <v>306</v>
      </c>
      <c r="O3759" t="s">
        <v>307</v>
      </c>
      <c r="R3759" t="s">
        <v>159</v>
      </c>
      <c r="S3759">
        <v>3</v>
      </c>
      <c r="T3759" t="s">
        <v>873</v>
      </c>
      <c r="U3759" s="1">
        <v>43377</v>
      </c>
      <c r="V3759" t="s">
        <v>6729</v>
      </c>
      <c r="W3759" t="s">
        <v>6730</v>
      </c>
      <c r="X3759" t="s">
        <v>58</v>
      </c>
      <c r="Y3759">
        <v>21</v>
      </c>
      <c r="Z3759" t="s">
        <v>59</v>
      </c>
      <c r="AA3759" t="s">
        <v>59</v>
      </c>
      <c r="AB3759" t="s">
        <v>59</v>
      </c>
      <c r="AC3759" t="s">
        <v>59</v>
      </c>
      <c r="AD3759" t="s">
        <v>59</v>
      </c>
      <c r="AF3759" s="1">
        <v>43377</v>
      </c>
      <c r="AG3759" t="s">
        <v>137</v>
      </c>
      <c r="AH3759" t="s">
        <v>138</v>
      </c>
      <c r="AI3759" t="str">
        <f>"5040050"</f>
        <v>5040050</v>
      </c>
      <c r="AJ3759" t="s">
        <v>6750</v>
      </c>
      <c r="AK3759">
        <v>2821043147</v>
      </c>
      <c r="AL3759" t="s">
        <v>6751</v>
      </c>
      <c r="AM3759" t="s">
        <v>88</v>
      </c>
      <c r="AN3759" t="s">
        <v>88</v>
      </c>
      <c r="AO3759" t="s">
        <v>88</v>
      </c>
      <c r="AP3759" t="s">
        <v>88</v>
      </c>
      <c r="AQ3759">
        <v>1</v>
      </c>
      <c r="AR3759" t="s">
        <v>6729</v>
      </c>
      <c r="AS3759" t="s">
        <v>6730</v>
      </c>
      <c r="AT3759" t="s">
        <v>58</v>
      </c>
      <c r="AU3759" t="s">
        <v>164</v>
      </c>
      <c r="AV3759" t="s">
        <v>132</v>
      </c>
      <c r="AW3759" s="1">
        <v>25955</v>
      </c>
      <c r="AX3759">
        <v>2</v>
      </c>
    </row>
    <row r="3760" spans="1:50">
      <c r="A3760">
        <v>223622</v>
      </c>
      <c r="B3760" t="str">
        <f>"051932104"</f>
        <v>051932104</v>
      </c>
      <c r="C3760" t="s">
        <v>50</v>
      </c>
      <c r="D3760" t="s">
        <v>1375</v>
      </c>
      <c r="E3760" t="s">
        <v>755</v>
      </c>
      <c r="F3760" t="s">
        <v>7187</v>
      </c>
      <c r="G3760" t="s">
        <v>7030</v>
      </c>
      <c r="H3760" t="str">
        <f>"ΑΝΩΝΥΜΟΥ &amp; ΑΡΤΕΜΙΔΟΣ ΠΟΡΤΟ ΡΑΦΤΗ"</f>
        <v>ΑΝΩΝΥΜΟΥ &amp; ΑΡΤΕΜΙΔΟΣ ΠΟΡΤΟ ΡΑΦΤΗ</v>
      </c>
      <c r="I3760">
        <v>19003</v>
      </c>
      <c r="J3760">
        <v>2299073721</v>
      </c>
      <c r="K3760">
        <v>6933376246</v>
      </c>
      <c r="M3760" t="s">
        <v>7188</v>
      </c>
      <c r="N3760" t="s">
        <v>199</v>
      </c>
      <c r="O3760" t="s">
        <v>200</v>
      </c>
      <c r="R3760" t="s">
        <v>57</v>
      </c>
      <c r="S3760">
        <v>7</v>
      </c>
      <c r="T3760">
        <v>775</v>
      </c>
      <c r="U3760" s="1">
        <v>39680</v>
      </c>
      <c r="V3760" t="s">
        <v>6729</v>
      </c>
      <c r="W3760" t="s">
        <v>6730</v>
      </c>
      <c r="X3760" t="s">
        <v>58</v>
      </c>
      <c r="Y3760">
        <v>20</v>
      </c>
      <c r="Z3760" t="s">
        <v>59</v>
      </c>
      <c r="AA3760" t="s">
        <v>59</v>
      </c>
      <c r="AB3760" t="s">
        <v>59</v>
      </c>
      <c r="AC3760" t="s">
        <v>59</v>
      </c>
      <c r="AD3760" t="s">
        <v>59</v>
      </c>
      <c r="AF3760" s="1">
        <v>39681</v>
      </c>
      <c r="AG3760" t="s">
        <v>125</v>
      </c>
      <c r="AH3760" t="s">
        <v>126</v>
      </c>
      <c r="AI3760" t="str">
        <f>"5011010"</f>
        <v>5011010</v>
      </c>
      <c r="AJ3760" t="s">
        <v>6877</v>
      </c>
      <c r="AK3760">
        <v>2821081330</v>
      </c>
      <c r="AL3760" t="s">
        <v>6878</v>
      </c>
      <c r="AM3760" t="s">
        <v>88</v>
      </c>
      <c r="AN3760" t="s">
        <v>88</v>
      </c>
      <c r="AO3760" t="s">
        <v>6748</v>
      </c>
      <c r="AP3760" t="s">
        <v>6748</v>
      </c>
      <c r="AQ3760">
        <v>1</v>
      </c>
      <c r="AR3760" t="s">
        <v>6729</v>
      </c>
      <c r="AS3760" t="s">
        <v>6730</v>
      </c>
      <c r="AT3760" t="s">
        <v>58</v>
      </c>
      <c r="AU3760" t="s">
        <v>68</v>
      </c>
      <c r="AV3760" t="s">
        <v>132</v>
      </c>
      <c r="AW3760" s="1">
        <v>24729</v>
      </c>
      <c r="AX3760">
        <v>2</v>
      </c>
    </row>
    <row r="3761" spans="1:50">
      <c r="A3761">
        <v>209456</v>
      </c>
      <c r="B3761" t="str">
        <f>"113161045"</f>
        <v>113161045</v>
      </c>
      <c r="C3761" t="s">
        <v>50</v>
      </c>
      <c r="D3761" t="s">
        <v>7189</v>
      </c>
      <c r="E3761" t="s">
        <v>155</v>
      </c>
      <c r="F3761" t="s">
        <v>99</v>
      </c>
      <c r="G3761" t="s">
        <v>630</v>
      </c>
      <c r="H3761" t="str">
        <f>"Ν. ΜΑΡΙΑΝΑΚΗ 49 ΧΑΝΙΑ"</f>
        <v>Ν. ΜΑΡΙΑΝΑΚΗ 49 ΧΑΝΙΑ</v>
      </c>
      <c r="I3761">
        <v>73100</v>
      </c>
      <c r="J3761">
        <v>2821099350</v>
      </c>
      <c r="K3761">
        <v>6976405712</v>
      </c>
      <c r="L3761">
        <v>2821070615</v>
      </c>
      <c r="M3761" t="s">
        <v>7190</v>
      </c>
      <c r="N3761" t="s">
        <v>146</v>
      </c>
      <c r="O3761" t="s">
        <v>147</v>
      </c>
      <c r="R3761" t="s">
        <v>57</v>
      </c>
      <c r="S3761">
        <v>6</v>
      </c>
      <c r="T3761" t="s">
        <v>5990</v>
      </c>
      <c r="U3761" s="1">
        <v>38604</v>
      </c>
      <c r="V3761" t="s">
        <v>6729</v>
      </c>
      <c r="W3761" t="s">
        <v>6730</v>
      </c>
      <c r="X3761" t="s">
        <v>58</v>
      </c>
      <c r="Y3761">
        <v>20</v>
      </c>
      <c r="Z3761" t="s">
        <v>59</v>
      </c>
      <c r="AA3761" t="s">
        <v>59</v>
      </c>
      <c r="AB3761" t="s">
        <v>59</v>
      </c>
      <c r="AC3761" t="s">
        <v>59</v>
      </c>
      <c r="AD3761" t="s">
        <v>59</v>
      </c>
      <c r="AF3761" s="1">
        <v>38607</v>
      </c>
      <c r="AG3761" t="s">
        <v>137</v>
      </c>
      <c r="AH3761" t="s">
        <v>138</v>
      </c>
      <c r="AI3761" t="str">
        <f>"5050060"</f>
        <v>5050060</v>
      </c>
      <c r="AJ3761" t="s">
        <v>6801</v>
      </c>
      <c r="AK3761">
        <v>2821091515</v>
      </c>
      <c r="AL3761" t="s">
        <v>6802</v>
      </c>
      <c r="AM3761" t="s">
        <v>88</v>
      </c>
      <c r="AN3761" t="s">
        <v>88</v>
      </c>
      <c r="AO3761" t="s">
        <v>88</v>
      </c>
      <c r="AP3761" t="s">
        <v>88</v>
      </c>
      <c r="AQ3761">
        <v>1</v>
      </c>
      <c r="AR3761" t="s">
        <v>6729</v>
      </c>
      <c r="AS3761" t="s">
        <v>6730</v>
      </c>
      <c r="AT3761" t="s">
        <v>58</v>
      </c>
      <c r="AU3761" t="s">
        <v>68</v>
      </c>
      <c r="AV3761" t="s">
        <v>69</v>
      </c>
      <c r="AW3761" s="1">
        <v>27189</v>
      </c>
      <c r="AX3761">
        <v>2</v>
      </c>
    </row>
    <row r="3762" spans="1:50">
      <c r="A3762">
        <v>194142</v>
      </c>
      <c r="B3762" t="str">
        <f>"039658083"</f>
        <v>039658083</v>
      </c>
      <c r="C3762" t="s">
        <v>105</v>
      </c>
      <c r="D3762" t="s">
        <v>7191</v>
      </c>
      <c r="E3762" t="s">
        <v>496</v>
      </c>
      <c r="F3762" t="s">
        <v>154</v>
      </c>
      <c r="G3762" t="s">
        <v>237</v>
      </c>
      <c r="H3762" t="str">
        <f>" "</f>
        <v xml:space="preserve"> </v>
      </c>
      <c r="J3762">
        <v>2821054336</v>
      </c>
      <c r="K3762">
        <v>6932782486</v>
      </c>
      <c r="N3762" t="s">
        <v>299</v>
      </c>
      <c r="O3762" t="s">
        <v>300</v>
      </c>
      <c r="R3762" t="s">
        <v>57</v>
      </c>
      <c r="S3762">
        <v>10</v>
      </c>
      <c r="T3762">
        <v>193</v>
      </c>
      <c r="U3762" s="1">
        <v>37497</v>
      </c>
      <c r="V3762" t="s">
        <v>6729</v>
      </c>
      <c r="W3762" t="s">
        <v>6730</v>
      </c>
      <c r="X3762" t="s">
        <v>58</v>
      </c>
      <c r="Y3762">
        <v>20</v>
      </c>
      <c r="Z3762" t="s">
        <v>59</v>
      </c>
      <c r="AA3762" t="s">
        <v>59</v>
      </c>
      <c r="AB3762" t="s">
        <v>59</v>
      </c>
      <c r="AC3762" t="s">
        <v>59</v>
      </c>
      <c r="AD3762" t="s">
        <v>59</v>
      </c>
      <c r="AF3762" s="1">
        <v>37501</v>
      </c>
      <c r="AG3762" t="s">
        <v>137</v>
      </c>
      <c r="AH3762" t="s">
        <v>469</v>
      </c>
      <c r="AI3762" t="str">
        <f>"5040055"</f>
        <v>5040055</v>
      </c>
      <c r="AJ3762" t="s">
        <v>6940</v>
      </c>
      <c r="AK3762">
        <v>2821036404</v>
      </c>
      <c r="AL3762" t="s">
        <v>6941</v>
      </c>
      <c r="AM3762" t="s">
        <v>88</v>
      </c>
      <c r="AN3762" t="s">
        <v>88</v>
      </c>
      <c r="AO3762" t="s">
        <v>88</v>
      </c>
      <c r="AP3762" t="s">
        <v>88</v>
      </c>
      <c r="AQ3762">
        <v>1</v>
      </c>
      <c r="AR3762" t="s">
        <v>6729</v>
      </c>
      <c r="AS3762" t="s">
        <v>6730</v>
      </c>
      <c r="AT3762" t="s">
        <v>58</v>
      </c>
      <c r="AU3762" t="s">
        <v>68</v>
      </c>
      <c r="AV3762" t="s">
        <v>69</v>
      </c>
      <c r="AW3762" s="1">
        <v>23449</v>
      </c>
      <c r="AX3762">
        <v>2</v>
      </c>
    </row>
    <row r="3763" spans="1:50">
      <c r="A3763">
        <v>700191</v>
      </c>
      <c r="B3763" t="str">
        <f>"055725120"</f>
        <v>055725120</v>
      </c>
      <c r="C3763" t="s">
        <v>50</v>
      </c>
      <c r="D3763" t="s">
        <v>7192</v>
      </c>
      <c r="E3763" t="s">
        <v>134</v>
      </c>
      <c r="F3763" t="s">
        <v>450</v>
      </c>
      <c r="G3763" t="s">
        <v>83</v>
      </c>
      <c r="H3763" t="str">
        <f>"ΧΑΛΗ 2 ΒΑΜΒΑΚΟΠΟΥΛΟ ΧΑΝΙΑ"</f>
        <v>ΧΑΛΗ 2 ΒΑΜΒΑΚΟΠΟΥΛΟ ΧΑΝΙΑ</v>
      </c>
      <c r="I3763">
        <v>73135</v>
      </c>
      <c r="J3763">
        <v>2821074104</v>
      </c>
      <c r="K3763">
        <v>6976359592</v>
      </c>
      <c r="M3763" t="s">
        <v>7193</v>
      </c>
      <c r="N3763" t="s">
        <v>292</v>
      </c>
      <c r="O3763" t="s">
        <v>293</v>
      </c>
      <c r="R3763" t="s">
        <v>57</v>
      </c>
      <c r="S3763">
        <v>8</v>
      </c>
      <c r="T3763">
        <v>772</v>
      </c>
      <c r="U3763" s="1">
        <v>40413</v>
      </c>
      <c r="V3763" t="s">
        <v>6729</v>
      </c>
      <c r="W3763" t="s">
        <v>6730</v>
      </c>
      <c r="X3763" t="s">
        <v>58</v>
      </c>
      <c r="Y3763">
        <v>20</v>
      </c>
      <c r="Z3763" t="s">
        <v>59</v>
      </c>
      <c r="AA3763" t="s">
        <v>59</v>
      </c>
      <c r="AB3763" t="s">
        <v>59</v>
      </c>
      <c r="AC3763" t="s">
        <v>59</v>
      </c>
      <c r="AD3763" t="s">
        <v>59</v>
      </c>
      <c r="AF3763" s="1">
        <v>40413</v>
      </c>
      <c r="AG3763" t="s">
        <v>125</v>
      </c>
      <c r="AH3763" t="s">
        <v>126</v>
      </c>
      <c r="AI3763" t="str">
        <f>"5009010"</f>
        <v>5009010</v>
      </c>
      <c r="AJ3763" t="s">
        <v>6901</v>
      </c>
      <c r="AK3763">
        <v>2821077212</v>
      </c>
      <c r="AL3763" t="s">
        <v>6902</v>
      </c>
      <c r="AM3763" t="s">
        <v>88</v>
      </c>
      <c r="AN3763" t="s">
        <v>6764</v>
      </c>
      <c r="AO3763" t="s">
        <v>6885</v>
      </c>
      <c r="AP3763" t="s">
        <v>6886</v>
      </c>
      <c r="AQ3763">
        <v>1</v>
      </c>
      <c r="AR3763" t="s">
        <v>6729</v>
      </c>
      <c r="AS3763" t="s">
        <v>6730</v>
      </c>
      <c r="AT3763" t="s">
        <v>58</v>
      </c>
      <c r="AU3763" t="s">
        <v>68</v>
      </c>
      <c r="AV3763" t="s">
        <v>69</v>
      </c>
      <c r="AW3763" s="1">
        <v>25824</v>
      </c>
      <c r="AX3763">
        <v>2</v>
      </c>
    </row>
    <row r="3764" spans="1:50">
      <c r="A3764">
        <v>702952</v>
      </c>
      <c r="B3764" t="str">
        <f>"100600997"</f>
        <v>100600997</v>
      </c>
      <c r="C3764" t="s">
        <v>50</v>
      </c>
      <c r="D3764" t="s">
        <v>7194</v>
      </c>
      <c r="E3764" t="s">
        <v>52</v>
      </c>
      <c r="F3764" t="s">
        <v>1286</v>
      </c>
      <c r="G3764" t="s">
        <v>950</v>
      </c>
      <c r="H3764" t="str">
        <f>"Μ. ΑΛΕΞΑΝΔΡΟΥ 10Α ΧΑΝΙΑ"</f>
        <v>Μ. ΑΛΕΞΑΝΔΡΟΥ 10Α ΧΑΝΙΑ</v>
      </c>
      <c r="I3764">
        <v>73100</v>
      </c>
      <c r="J3764">
        <v>2821086082</v>
      </c>
      <c r="K3764">
        <v>6974205941</v>
      </c>
      <c r="M3764" t="s">
        <v>7195</v>
      </c>
      <c r="N3764" t="s">
        <v>146</v>
      </c>
      <c r="O3764" t="s">
        <v>147</v>
      </c>
      <c r="R3764" t="s">
        <v>57</v>
      </c>
      <c r="S3764">
        <v>5</v>
      </c>
      <c r="T3764">
        <v>588</v>
      </c>
      <c r="U3764" s="1">
        <v>40778</v>
      </c>
      <c r="V3764" t="s">
        <v>6729</v>
      </c>
      <c r="W3764" t="s">
        <v>6730</v>
      </c>
      <c r="X3764" t="s">
        <v>58</v>
      </c>
      <c r="Y3764">
        <v>21</v>
      </c>
      <c r="Z3764" t="s">
        <v>59</v>
      </c>
      <c r="AA3764" t="s">
        <v>59</v>
      </c>
      <c r="AB3764" t="s">
        <v>59</v>
      </c>
      <c r="AC3764" t="s">
        <v>59</v>
      </c>
      <c r="AD3764" t="s">
        <v>59</v>
      </c>
      <c r="AF3764" s="1">
        <v>40779</v>
      </c>
      <c r="AG3764" t="s">
        <v>125</v>
      </c>
      <c r="AH3764" t="s">
        <v>359</v>
      </c>
      <c r="AI3764" t="str">
        <f>"5001015"</f>
        <v>5001015</v>
      </c>
      <c r="AJ3764" t="s">
        <v>7027</v>
      </c>
      <c r="AK3764">
        <v>2821043161</v>
      </c>
      <c r="AL3764" t="s">
        <v>7028</v>
      </c>
      <c r="AM3764" t="s">
        <v>88</v>
      </c>
      <c r="AN3764" t="s">
        <v>88</v>
      </c>
      <c r="AO3764" t="s">
        <v>88</v>
      </c>
      <c r="AP3764" t="s">
        <v>88</v>
      </c>
      <c r="AQ3764">
        <v>1</v>
      </c>
      <c r="AR3764" t="s">
        <v>6729</v>
      </c>
      <c r="AS3764" t="s">
        <v>6730</v>
      </c>
      <c r="AT3764" t="s">
        <v>58</v>
      </c>
      <c r="AU3764" t="s">
        <v>68</v>
      </c>
      <c r="AV3764" t="s">
        <v>69</v>
      </c>
      <c r="AW3764" s="1">
        <v>27732</v>
      </c>
      <c r="AX3764">
        <v>2</v>
      </c>
    </row>
    <row r="3765" spans="1:50">
      <c r="A3765">
        <v>905161</v>
      </c>
      <c r="B3765" t="str">
        <f>"065546843"</f>
        <v>065546843</v>
      </c>
      <c r="C3765" t="s">
        <v>50</v>
      </c>
      <c r="D3765" t="s">
        <v>7196</v>
      </c>
      <c r="E3765" t="s">
        <v>314</v>
      </c>
      <c r="F3765" t="s">
        <v>108</v>
      </c>
      <c r="G3765" t="s">
        <v>494</v>
      </c>
      <c r="H3765" t="str">
        <f>" "</f>
        <v xml:space="preserve"> </v>
      </c>
      <c r="J3765">
        <v>2821074018</v>
      </c>
      <c r="K3765">
        <v>6979962595</v>
      </c>
      <c r="M3765" t="s">
        <v>7197</v>
      </c>
      <c r="N3765" t="s">
        <v>146</v>
      </c>
      <c r="O3765" t="s">
        <v>147</v>
      </c>
      <c r="R3765" t="s">
        <v>57</v>
      </c>
      <c r="S3765">
        <v>17</v>
      </c>
      <c r="T3765">
        <v>276</v>
      </c>
      <c r="U3765" s="1">
        <v>30552</v>
      </c>
      <c r="V3765" t="s">
        <v>6729</v>
      </c>
      <c r="W3765" t="s">
        <v>6730</v>
      </c>
      <c r="X3765" t="s">
        <v>58</v>
      </c>
      <c r="Y3765">
        <v>18</v>
      </c>
      <c r="Z3765" t="s">
        <v>59</v>
      </c>
      <c r="AA3765" t="s">
        <v>59</v>
      </c>
      <c r="AB3765" t="s">
        <v>59</v>
      </c>
      <c r="AC3765" t="s">
        <v>59</v>
      </c>
      <c r="AD3765" t="s">
        <v>59</v>
      </c>
      <c r="AF3765" s="1">
        <v>30560</v>
      </c>
      <c r="AG3765" t="s">
        <v>148</v>
      </c>
      <c r="AH3765" t="s">
        <v>149</v>
      </c>
      <c r="AI3765" t="str">
        <f>"5051010"</f>
        <v>5051010</v>
      </c>
      <c r="AJ3765" t="s">
        <v>6896</v>
      </c>
      <c r="AK3765">
        <v>2821028714</v>
      </c>
      <c r="AL3765" t="s">
        <v>6897</v>
      </c>
      <c r="AM3765" t="s">
        <v>88</v>
      </c>
      <c r="AN3765" t="s">
        <v>88</v>
      </c>
      <c r="AO3765" t="s">
        <v>88</v>
      </c>
      <c r="AP3765" t="s">
        <v>88</v>
      </c>
      <c r="AQ3765">
        <v>1</v>
      </c>
      <c r="AR3765" t="s">
        <v>6729</v>
      </c>
      <c r="AS3765" t="s">
        <v>6730</v>
      </c>
      <c r="AT3765" t="s">
        <v>58</v>
      </c>
      <c r="AU3765" t="s">
        <v>68</v>
      </c>
      <c r="AV3765" t="s">
        <v>69</v>
      </c>
      <c r="AW3765" s="1">
        <v>21573</v>
      </c>
      <c r="AX3765">
        <v>2</v>
      </c>
    </row>
    <row r="3766" spans="1:50">
      <c r="A3766">
        <v>213668</v>
      </c>
      <c r="B3766" t="str">
        <f>"127974516"</f>
        <v>127974516</v>
      </c>
      <c r="C3766" t="s">
        <v>50</v>
      </c>
      <c r="D3766" t="s">
        <v>7198</v>
      </c>
      <c r="E3766" t="s">
        <v>181</v>
      </c>
      <c r="F3766" t="s">
        <v>450</v>
      </c>
      <c r="G3766" t="s">
        <v>687</v>
      </c>
      <c r="H3766" t="str">
        <f>"Μ.Δ ΚΕΡΚΥΡΑΣ  "</f>
        <v xml:space="preserve">Μ.Δ ΚΕΡΚΥΡΑΣ  </v>
      </c>
      <c r="I3766">
        <v>49100</v>
      </c>
      <c r="J3766">
        <v>2310216100</v>
      </c>
      <c r="K3766">
        <v>6973386988</v>
      </c>
      <c r="L3766">
        <v>2421048359</v>
      </c>
      <c r="M3766" t="s">
        <v>7199</v>
      </c>
      <c r="N3766" t="s">
        <v>306</v>
      </c>
      <c r="O3766" t="s">
        <v>307</v>
      </c>
      <c r="R3766" t="s">
        <v>57</v>
      </c>
      <c r="S3766">
        <v>8</v>
      </c>
      <c r="T3766">
        <v>231</v>
      </c>
      <c r="U3766" s="1">
        <v>38960</v>
      </c>
      <c r="V3766" t="s">
        <v>6729</v>
      </c>
      <c r="W3766" t="s">
        <v>6730</v>
      </c>
      <c r="X3766" t="s">
        <v>58</v>
      </c>
      <c r="Y3766">
        <v>20</v>
      </c>
      <c r="Z3766" t="s">
        <v>59</v>
      </c>
      <c r="AA3766" t="s">
        <v>59</v>
      </c>
      <c r="AB3766" t="s">
        <v>59</v>
      </c>
      <c r="AC3766" t="s">
        <v>59</v>
      </c>
      <c r="AD3766" t="s">
        <v>59</v>
      </c>
      <c r="AF3766" s="1">
        <v>38961</v>
      </c>
      <c r="AG3766" t="s">
        <v>125</v>
      </c>
      <c r="AH3766" t="s">
        <v>126</v>
      </c>
      <c r="AI3766" t="str">
        <f>"5002010"</f>
        <v>5002010</v>
      </c>
      <c r="AJ3766" t="s">
        <v>6773</v>
      </c>
      <c r="AK3766">
        <v>2825022249</v>
      </c>
      <c r="AL3766" t="s">
        <v>6774</v>
      </c>
      <c r="AM3766" t="s">
        <v>88</v>
      </c>
      <c r="AN3766" t="s">
        <v>6775</v>
      </c>
      <c r="AO3766" t="s">
        <v>6776</v>
      </c>
      <c r="AP3766" t="s">
        <v>6776</v>
      </c>
      <c r="AQ3766">
        <v>1</v>
      </c>
      <c r="AR3766" t="s">
        <v>6729</v>
      </c>
      <c r="AS3766" t="s">
        <v>6730</v>
      </c>
      <c r="AT3766" t="s">
        <v>58</v>
      </c>
      <c r="AU3766" t="s">
        <v>68</v>
      </c>
      <c r="AV3766" t="s">
        <v>69</v>
      </c>
      <c r="AW3766" s="1">
        <v>29297</v>
      </c>
      <c r="AX3766">
        <v>2</v>
      </c>
    </row>
    <row r="3767" spans="1:50">
      <c r="A3767">
        <v>181368</v>
      </c>
      <c r="B3767" t="str">
        <f>"046610434"</f>
        <v>046610434</v>
      </c>
      <c r="C3767" t="s">
        <v>50</v>
      </c>
      <c r="D3767" t="s">
        <v>7200</v>
      </c>
      <c r="E3767" t="s">
        <v>52</v>
      </c>
      <c r="F3767" t="s">
        <v>564</v>
      </c>
      <c r="G3767" t="s">
        <v>473</v>
      </c>
      <c r="H3767" t="str">
        <f>" "</f>
        <v xml:space="preserve"> </v>
      </c>
      <c r="K3767">
        <v>6977018429</v>
      </c>
      <c r="N3767" t="s">
        <v>683</v>
      </c>
      <c r="O3767" t="s">
        <v>684</v>
      </c>
      <c r="R3767" t="s">
        <v>57</v>
      </c>
      <c r="S3767">
        <v>11</v>
      </c>
      <c r="T3767">
        <v>181</v>
      </c>
      <c r="U3767" s="1">
        <v>36039</v>
      </c>
      <c r="V3767" t="s">
        <v>6729</v>
      </c>
      <c r="W3767" t="s">
        <v>6730</v>
      </c>
      <c r="X3767" t="s">
        <v>58</v>
      </c>
      <c r="Y3767">
        <v>18</v>
      </c>
      <c r="Z3767" t="s">
        <v>59</v>
      </c>
      <c r="AA3767" t="s">
        <v>59</v>
      </c>
      <c r="AB3767" t="s">
        <v>59</v>
      </c>
      <c r="AC3767" t="s">
        <v>59</v>
      </c>
      <c r="AD3767" t="s">
        <v>59</v>
      </c>
      <c r="AF3767" s="1">
        <v>36041</v>
      </c>
      <c r="AG3767" t="s">
        <v>125</v>
      </c>
      <c r="AH3767" t="s">
        <v>126</v>
      </c>
      <c r="AI3767" t="str">
        <f>"5001020"</f>
        <v>5001020</v>
      </c>
      <c r="AJ3767" t="s">
        <v>6739</v>
      </c>
      <c r="AK3767">
        <v>2821042664</v>
      </c>
      <c r="AL3767" t="s">
        <v>6740</v>
      </c>
      <c r="AM3767" t="s">
        <v>88</v>
      </c>
      <c r="AN3767" t="s">
        <v>88</v>
      </c>
      <c r="AO3767" t="s">
        <v>88</v>
      </c>
      <c r="AP3767" t="s">
        <v>88</v>
      </c>
      <c r="AQ3767">
        <v>1</v>
      </c>
      <c r="AR3767" t="s">
        <v>6729</v>
      </c>
      <c r="AS3767" t="s">
        <v>6730</v>
      </c>
      <c r="AT3767" t="s">
        <v>58</v>
      </c>
      <c r="AU3767" t="s">
        <v>68</v>
      </c>
      <c r="AV3767" t="s">
        <v>132</v>
      </c>
      <c r="AW3767" s="1">
        <v>22240</v>
      </c>
      <c r="AX3767">
        <v>2</v>
      </c>
    </row>
    <row r="3768" spans="1:50">
      <c r="B3768" t="str">
        <f>"120219876"</f>
        <v>120219876</v>
      </c>
      <c r="C3768" t="s">
        <v>105</v>
      </c>
      <c r="D3768" t="s">
        <v>7201</v>
      </c>
      <c r="E3768" t="s">
        <v>95</v>
      </c>
      <c r="F3768" t="s">
        <v>92</v>
      </c>
      <c r="G3768" t="s">
        <v>255</v>
      </c>
      <c r="H3768" t="str">
        <f>"Γ.ΣΦΑΚΙΩΤΑΚΗ 99 ΧΑΝΙΑ"</f>
        <v>Γ.ΣΦΑΚΙΩΤΑΚΗ 99 ΧΑΝΙΑ</v>
      </c>
      <c r="I3768">
        <v>73134</v>
      </c>
      <c r="J3768">
        <v>2821054716</v>
      </c>
      <c r="K3768">
        <v>6947998387</v>
      </c>
      <c r="M3768" t="s">
        <v>7202</v>
      </c>
      <c r="N3768" t="s">
        <v>119</v>
      </c>
      <c r="O3768" t="s">
        <v>120</v>
      </c>
      <c r="R3768" t="s">
        <v>159</v>
      </c>
      <c r="S3768">
        <v>5</v>
      </c>
      <c r="T3768" t="s">
        <v>344</v>
      </c>
      <c r="U3768" s="1">
        <v>43348</v>
      </c>
      <c r="V3768" t="s">
        <v>6729</v>
      </c>
      <c r="W3768" t="s">
        <v>6730</v>
      </c>
      <c r="X3768" t="s">
        <v>58</v>
      </c>
      <c r="Y3768">
        <v>21</v>
      </c>
      <c r="Z3768" t="s">
        <v>59</v>
      </c>
      <c r="AA3768" t="s">
        <v>59</v>
      </c>
      <c r="AB3768" t="s">
        <v>59</v>
      </c>
      <c r="AC3768" t="s">
        <v>59</v>
      </c>
      <c r="AD3768" t="s">
        <v>59</v>
      </c>
      <c r="AF3768" s="1">
        <v>43348</v>
      </c>
      <c r="AG3768" t="s">
        <v>125</v>
      </c>
      <c r="AH3768" t="s">
        <v>126</v>
      </c>
      <c r="AI3768" t="str">
        <f>"5001050"</f>
        <v>5001050</v>
      </c>
      <c r="AJ3768" t="s">
        <v>6917</v>
      </c>
      <c r="AK3768">
        <v>2821088012</v>
      </c>
      <c r="AL3768" t="s">
        <v>6918</v>
      </c>
      <c r="AM3768" t="s">
        <v>88</v>
      </c>
      <c r="AN3768" t="s">
        <v>88</v>
      </c>
      <c r="AO3768" t="s">
        <v>88</v>
      </c>
      <c r="AP3768" t="s">
        <v>88</v>
      </c>
      <c r="AQ3768">
        <v>1</v>
      </c>
      <c r="AR3768" t="s">
        <v>6729</v>
      </c>
      <c r="AS3768" t="s">
        <v>6730</v>
      </c>
      <c r="AT3768" t="s">
        <v>58</v>
      </c>
      <c r="AU3768" t="s">
        <v>350</v>
      </c>
      <c r="AV3768" t="s">
        <v>132</v>
      </c>
      <c r="AW3768" s="1">
        <v>30469</v>
      </c>
      <c r="AX3768">
        <v>2</v>
      </c>
    </row>
    <row r="3769" spans="1:50">
      <c r="A3769">
        <v>195153</v>
      </c>
      <c r="B3769" t="str">
        <f>"126736774"</f>
        <v>126736774</v>
      </c>
      <c r="C3769" t="s">
        <v>50</v>
      </c>
      <c r="D3769" t="s">
        <v>7203</v>
      </c>
      <c r="E3769" t="s">
        <v>4717</v>
      </c>
      <c r="F3769" t="s">
        <v>315</v>
      </c>
      <c r="G3769" t="s">
        <v>787</v>
      </c>
      <c r="H3769" t="str">
        <f>"ΑΓ. ΠΑΝΤΕΛΕΗΜΩΝΟΣ 39 ΧΡΥΣΗ ΑΚΤΗ"</f>
        <v>ΑΓ. ΠΑΝΤΕΛΕΗΜΩΝΟΣ 39 ΧΡΥΣΗ ΑΚΤΗ</v>
      </c>
      <c r="J3769">
        <v>2821033293</v>
      </c>
      <c r="K3769">
        <v>6973735494</v>
      </c>
      <c r="M3769" t="s">
        <v>7204</v>
      </c>
      <c r="N3769" t="s">
        <v>146</v>
      </c>
      <c r="O3769" t="s">
        <v>147</v>
      </c>
      <c r="R3769" t="s">
        <v>57</v>
      </c>
      <c r="S3769">
        <v>14</v>
      </c>
      <c r="T3769">
        <v>194</v>
      </c>
      <c r="U3769" s="1">
        <v>37497</v>
      </c>
      <c r="V3769" t="s">
        <v>6729</v>
      </c>
      <c r="W3769" t="s">
        <v>6730</v>
      </c>
      <c r="X3769" t="s">
        <v>58</v>
      </c>
      <c r="Y3769">
        <v>20</v>
      </c>
      <c r="Z3769" t="s">
        <v>59</v>
      </c>
      <c r="AA3769" t="s">
        <v>59</v>
      </c>
      <c r="AB3769" t="s">
        <v>59</v>
      </c>
      <c r="AC3769" t="s">
        <v>59</v>
      </c>
      <c r="AD3769" t="s">
        <v>59</v>
      </c>
      <c r="AF3769" s="1">
        <v>37501</v>
      </c>
      <c r="AG3769" t="s">
        <v>148</v>
      </c>
      <c r="AH3769" t="s">
        <v>149</v>
      </c>
      <c r="AI3769" t="str">
        <f>"5051010"</f>
        <v>5051010</v>
      </c>
      <c r="AJ3769" t="s">
        <v>6896</v>
      </c>
      <c r="AK3769">
        <v>2821028714</v>
      </c>
      <c r="AL3769" t="s">
        <v>6897</v>
      </c>
      <c r="AM3769" t="s">
        <v>88</v>
      </c>
      <c r="AN3769" t="s">
        <v>88</v>
      </c>
      <c r="AO3769" t="s">
        <v>88</v>
      </c>
      <c r="AP3769" t="s">
        <v>88</v>
      </c>
      <c r="AQ3769">
        <v>1</v>
      </c>
      <c r="AR3769" t="s">
        <v>6729</v>
      </c>
      <c r="AS3769" t="s">
        <v>6730</v>
      </c>
      <c r="AT3769" t="s">
        <v>58</v>
      </c>
      <c r="AU3769" t="s">
        <v>68</v>
      </c>
      <c r="AV3769" t="s">
        <v>69</v>
      </c>
      <c r="AW3769" s="1">
        <v>24817</v>
      </c>
      <c r="AX3769">
        <v>2</v>
      </c>
    </row>
    <row r="3770" spans="1:50">
      <c r="A3770">
        <v>197687</v>
      </c>
      <c r="B3770" t="str">
        <f>"038319641"</f>
        <v>038319641</v>
      </c>
      <c r="C3770" t="s">
        <v>105</v>
      </c>
      <c r="D3770" t="s">
        <v>7205</v>
      </c>
      <c r="E3770" t="s">
        <v>315</v>
      </c>
      <c r="F3770" t="s">
        <v>450</v>
      </c>
      <c r="G3770" t="s">
        <v>5207</v>
      </c>
      <c r="H3770" t="str">
        <f>"ΒΑΜΟΣ  ΑΠΟΚΟΡΩΝΟΥ"</f>
        <v>ΒΑΜΟΣ  ΑΠΟΚΟΡΩΝΟΥ</v>
      </c>
      <c r="I3770">
        <v>73008</v>
      </c>
      <c r="J3770">
        <v>2825023169</v>
      </c>
      <c r="K3770">
        <v>6977184723</v>
      </c>
      <c r="M3770" t="s">
        <v>7206</v>
      </c>
      <c r="N3770" t="s">
        <v>292</v>
      </c>
      <c r="O3770" t="s">
        <v>293</v>
      </c>
      <c r="R3770" t="s">
        <v>57</v>
      </c>
      <c r="S3770">
        <v>8</v>
      </c>
      <c r="T3770">
        <v>206</v>
      </c>
      <c r="U3770" s="1">
        <v>37866</v>
      </c>
      <c r="V3770" t="s">
        <v>6729</v>
      </c>
      <c r="W3770" t="s">
        <v>6730</v>
      </c>
      <c r="X3770" t="s">
        <v>58</v>
      </c>
      <c r="Y3770">
        <v>20</v>
      </c>
      <c r="Z3770" t="s">
        <v>59</v>
      </c>
      <c r="AA3770" t="s">
        <v>59</v>
      </c>
      <c r="AB3770" t="s">
        <v>59</v>
      </c>
      <c r="AC3770" t="s">
        <v>59</v>
      </c>
      <c r="AD3770" t="s">
        <v>59</v>
      </c>
      <c r="AF3770" s="1">
        <v>37866</v>
      </c>
      <c r="AG3770" t="s">
        <v>148</v>
      </c>
      <c r="AH3770" t="s">
        <v>149</v>
      </c>
      <c r="AI3770" t="str">
        <f>"5052010"</f>
        <v>5052010</v>
      </c>
      <c r="AJ3770" t="s">
        <v>6834</v>
      </c>
      <c r="AK3770">
        <v>2825022200</v>
      </c>
      <c r="AL3770" t="s">
        <v>6835</v>
      </c>
      <c r="AM3770" t="s">
        <v>88</v>
      </c>
      <c r="AN3770" t="s">
        <v>6775</v>
      </c>
      <c r="AO3770" t="s">
        <v>6776</v>
      </c>
      <c r="AP3770" t="s">
        <v>6776</v>
      </c>
      <c r="AQ3770">
        <v>1</v>
      </c>
      <c r="AR3770" t="s">
        <v>6729</v>
      </c>
      <c r="AS3770" t="s">
        <v>6730</v>
      </c>
      <c r="AT3770" t="s">
        <v>58</v>
      </c>
      <c r="AU3770" t="s">
        <v>68</v>
      </c>
      <c r="AV3770" t="s">
        <v>69</v>
      </c>
      <c r="AW3770" s="1">
        <v>22480</v>
      </c>
      <c r="AX3770">
        <v>2</v>
      </c>
    </row>
    <row r="3771" spans="1:50">
      <c r="A3771">
        <v>180773</v>
      </c>
      <c r="B3771" t="str">
        <f>"073449416"</f>
        <v>073449416</v>
      </c>
      <c r="C3771" t="s">
        <v>50</v>
      </c>
      <c r="D3771" t="s">
        <v>7207</v>
      </c>
      <c r="E3771" t="s">
        <v>1355</v>
      </c>
      <c r="F3771" t="s">
        <v>383</v>
      </c>
      <c r="G3771" t="s">
        <v>255</v>
      </c>
      <c r="H3771" t="str">
        <f>"ΔΟΪΡΑΝΗΣ 4 ΚΙΛΚΙΣ"</f>
        <v>ΔΟΪΡΑΝΗΣ 4 ΚΙΛΚΙΣ</v>
      </c>
      <c r="I3771">
        <v>61100</v>
      </c>
      <c r="J3771">
        <v>2341100871</v>
      </c>
      <c r="K3771">
        <v>6974109459</v>
      </c>
      <c r="M3771" t="s">
        <v>7208</v>
      </c>
      <c r="N3771" t="s">
        <v>478</v>
      </c>
      <c r="O3771" t="s">
        <v>479</v>
      </c>
      <c r="R3771" t="s">
        <v>57</v>
      </c>
      <c r="S3771">
        <v>10</v>
      </c>
      <c r="T3771">
        <v>181</v>
      </c>
      <c r="U3771" s="1">
        <v>36039</v>
      </c>
      <c r="V3771" t="s">
        <v>6729</v>
      </c>
      <c r="W3771" t="s">
        <v>6730</v>
      </c>
      <c r="X3771" t="s">
        <v>58</v>
      </c>
      <c r="Y3771">
        <v>18</v>
      </c>
      <c r="Z3771" t="s">
        <v>59</v>
      </c>
      <c r="AA3771" t="s">
        <v>59</v>
      </c>
      <c r="AB3771" t="s">
        <v>59</v>
      </c>
      <c r="AC3771" t="s">
        <v>59</v>
      </c>
      <c r="AD3771" t="s">
        <v>59</v>
      </c>
      <c r="AF3771" s="1">
        <v>36042</v>
      </c>
      <c r="AG3771" t="s">
        <v>125</v>
      </c>
      <c r="AH3771" t="s">
        <v>126</v>
      </c>
      <c r="AI3771" t="str">
        <f>"5011010"</f>
        <v>5011010</v>
      </c>
      <c r="AJ3771" t="s">
        <v>6877</v>
      </c>
      <c r="AK3771">
        <v>2821081330</v>
      </c>
      <c r="AL3771" t="s">
        <v>6878</v>
      </c>
      <c r="AM3771" t="s">
        <v>88</v>
      </c>
      <c r="AN3771" t="s">
        <v>88</v>
      </c>
      <c r="AO3771" t="s">
        <v>6748</v>
      </c>
      <c r="AP3771" t="s">
        <v>6748</v>
      </c>
      <c r="AQ3771">
        <v>1</v>
      </c>
      <c r="AR3771" t="s">
        <v>6729</v>
      </c>
      <c r="AS3771" t="s">
        <v>6730</v>
      </c>
      <c r="AT3771" t="s">
        <v>58</v>
      </c>
      <c r="AU3771" t="s">
        <v>68</v>
      </c>
      <c r="AV3771" t="s">
        <v>69</v>
      </c>
      <c r="AW3771" s="1">
        <v>23622</v>
      </c>
      <c r="AX3771">
        <v>2</v>
      </c>
    </row>
    <row r="3772" spans="1:50">
      <c r="A3772">
        <v>195154</v>
      </c>
      <c r="B3772" t="str">
        <f>"052947047"</f>
        <v>052947047</v>
      </c>
      <c r="C3772" t="s">
        <v>50</v>
      </c>
      <c r="D3772" t="s">
        <v>7209</v>
      </c>
      <c r="E3772" t="s">
        <v>52</v>
      </c>
      <c r="F3772" t="s">
        <v>72</v>
      </c>
      <c r="G3772" t="s">
        <v>250</v>
      </c>
      <c r="H3772" t="str">
        <f>" "</f>
        <v xml:space="preserve"> </v>
      </c>
      <c r="N3772" t="s">
        <v>146</v>
      </c>
      <c r="O3772" t="s">
        <v>147</v>
      </c>
      <c r="R3772" t="s">
        <v>57</v>
      </c>
      <c r="S3772">
        <v>9</v>
      </c>
      <c r="T3772">
        <v>194</v>
      </c>
      <c r="U3772" s="1">
        <v>37497</v>
      </c>
      <c r="V3772" t="s">
        <v>6729</v>
      </c>
      <c r="W3772" t="s">
        <v>6730</v>
      </c>
      <c r="X3772" t="s">
        <v>58</v>
      </c>
      <c r="Y3772">
        <v>20</v>
      </c>
      <c r="Z3772" t="s">
        <v>59</v>
      </c>
      <c r="AA3772" t="s">
        <v>59</v>
      </c>
      <c r="AB3772" t="s">
        <v>59</v>
      </c>
      <c r="AC3772" t="s">
        <v>59</v>
      </c>
      <c r="AD3772" t="s">
        <v>59</v>
      </c>
      <c r="AF3772" s="1">
        <v>37501</v>
      </c>
      <c r="AG3772" t="s">
        <v>125</v>
      </c>
      <c r="AH3772" t="s">
        <v>126</v>
      </c>
      <c r="AI3772" t="str">
        <f>"5001040"</f>
        <v>5001040</v>
      </c>
      <c r="AJ3772" t="s">
        <v>7126</v>
      </c>
      <c r="AK3772">
        <v>2821088010</v>
      </c>
      <c r="AM3772" t="s">
        <v>88</v>
      </c>
      <c r="AN3772" t="s">
        <v>88</v>
      </c>
      <c r="AO3772" t="s">
        <v>88</v>
      </c>
      <c r="AP3772" t="s">
        <v>88</v>
      </c>
      <c r="AQ3772">
        <v>1</v>
      </c>
      <c r="AR3772" t="s">
        <v>6729</v>
      </c>
      <c r="AS3772" t="s">
        <v>6730</v>
      </c>
      <c r="AT3772" t="s">
        <v>58</v>
      </c>
      <c r="AU3772" t="s">
        <v>68</v>
      </c>
      <c r="AV3772" t="s">
        <v>69</v>
      </c>
      <c r="AW3772" s="1">
        <v>26124</v>
      </c>
      <c r="AX3772">
        <v>2</v>
      </c>
    </row>
    <row r="3773" spans="1:50">
      <c r="A3773">
        <v>151348</v>
      </c>
      <c r="B3773" t="str">
        <f>"074781320"</f>
        <v>074781320</v>
      </c>
      <c r="C3773" t="s">
        <v>50</v>
      </c>
      <c r="D3773" t="s">
        <v>1430</v>
      </c>
      <c r="E3773" t="s">
        <v>7210</v>
      </c>
      <c r="F3773" t="s">
        <v>2165</v>
      </c>
      <c r="G3773" t="s">
        <v>52</v>
      </c>
      <c r="H3773" t="str">
        <f>"ΕΛ. ΒΕΝΙΖΕΛΟΥ 174 ΧΑΝΙΑ"</f>
        <v>ΕΛ. ΒΕΝΙΖΕΛΟΥ 174 ΧΑΝΙΑ</v>
      </c>
      <c r="I3773">
        <v>73100</v>
      </c>
      <c r="J3773">
        <v>2821045380</v>
      </c>
      <c r="K3773">
        <v>6937419798</v>
      </c>
      <c r="N3773" t="s">
        <v>478</v>
      </c>
      <c r="O3773" t="s">
        <v>479</v>
      </c>
      <c r="R3773" t="s">
        <v>57</v>
      </c>
      <c r="S3773">
        <v>16</v>
      </c>
      <c r="T3773">
        <v>170</v>
      </c>
      <c r="U3773" s="1">
        <v>32016</v>
      </c>
      <c r="V3773" t="s">
        <v>6729</v>
      </c>
      <c r="W3773" t="s">
        <v>6730</v>
      </c>
      <c r="X3773" t="s">
        <v>58</v>
      </c>
      <c r="Y3773">
        <v>18</v>
      </c>
      <c r="Z3773" t="s">
        <v>59</v>
      </c>
      <c r="AA3773" t="s">
        <v>59</v>
      </c>
      <c r="AB3773" t="s">
        <v>59</v>
      </c>
      <c r="AC3773" t="s">
        <v>59</v>
      </c>
      <c r="AD3773" t="s">
        <v>59</v>
      </c>
      <c r="AF3773" s="1">
        <v>32024</v>
      </c>
      <c r="AG3773" t="s">
        <v>125</v>
      </c>
      <c r="AH3773" t="s">
        <v>126</v>
      </c>
      <c r="AI3773" t="str">
        <f>"5001075"</f>
        <v>5001075</v>
      </c>
      <c r="AJ3773" t="s">
        <v>6768</v>
      </c>
      <c r="AK3773">
        <v>2821064200</v>
      </c>
      <c r="AL3773" t="s">
        <v>6769</v>
      </c>
      <c r="AM3773" t="s">
        <v>88</v>
      </c>
      <c r="AN3773" t="s">
        <v>88</v>
      </c>
      <c r="AO3773" t="s">
        <v>6770</v>
      </c>
      <c r="AP3773" t="s">
        <v>6771</v>
      </c>
      <c r="AQ3773">
        <v>1</v>
      </c>
      <c r="AR3773" t="s">
        <v>6729</v>
      </c>
      <c r="AS3773" t="s">
        <v>6730</v>
      </c>
      <c r="AT3773" t="s">
        <v>58</v>
      </c>
      <c r="AU3773" t="s">
        <v>68</v>
      </c>
      <c r="AV3773" t="s">
        <v>69</v>
      </c>
      <c r="AW3773" s="1">
        <v>20740</v>
      </c>
      <c r="AX3773">
        <v>2</v>
      </c>
    </row>
    <row r="3774" spans="1:50">
      <c r="A3774">
        <v>163416</v>
      </c>
      <c r="B3774" t="str">
        <f>"034841939"</f>
        <v>034841939</v>
      </c>
      <c r="C3774" t="s">
        <v>105</v>
      </c>
      <c r="D3774" t="s">
        <v>1453</v>
      </c>
      <c r="E3774" t="s">
        <v>92</v>
      </c>
      <c r="F3774" t="s">
        <v>95</v>
      </c>
      <c r="G3774" t="s">
        <v>215</v>
      </c>
      <c r="H3774" t="str">
        <f>" "</f>
        <v xml:space="preserve"> </v>
      </c>
      <c r="J3774">
        <v>2821043167</v>
      </c>
      <c r="K3774">
        <v>6944631732</v>
      </c>
      <c r="N3774" t="s">
        <v>299</v>
      </c>
      <c r="O3774" t="s">
        <v>300</v>
      </c>
      <c r="R3774" t="s">
        <v>57</v>
      </c>
      <c r="S3774">
        <v>14</v>
      </c>
      <c r="T3774">
        <v>132</v>
      </c>
      <c r="U3774" s="1">
        <v>33456</v>
      </c>
      <c r="V3774" t="s">
        <v>6729</v>
      </c>
      <c r="W3774" t="s">
        <v>6730</v>
      </c>
      <c r="X3774" t="s">
        <v>58</v>
      </c>
      <c r="Y3774">
        <v>18</v>
      </c>
      <c r="Z3774" t="s">
        <v>59</v>
      </c>
      <c r="AA3774" t="s">
        <v>59</v>
      </c>
      <c r="AB3774" t="s">
        <v>59</v>
      </c>
      <c r="AC3774" t="s">
        <v>59</v>
      </c>
      <c r="AD3774" t="s">
        <v>59</v>
      </c>
      <c r="AF3774" s="1">
        <v>33485</v>
      </c>
      <c r="AG3774" t="s">
        <v>137</v>
      </c>
      <c r="AH3774" t="s">
        <v>138</v>
      </c>
      <c r="AI3774" t="str">
        <f>"5040050"</f>
        <v>5040050</v>
      </c>
      <c r="AJ3774" t="s">
        <v>6750</v>
      </c>
      <c r="AK3774">
        <v>2821043147</v>
      </c>
      <c r="AL3774" t="s">
        <v>6751</v>
      </c>
      <c r="AM3774" t="s">
        <v>88</v>
      </c>
      <c r="AN3774" t="s">
        <v>88</v>
      </c>
      <c r="AO3774" t="s">
        <v>88</v>
      </c>
      <c r="AP3774" t="s">
        <v>88</v>
      </c>
      <c r="AQ3774">
        <v>1</v>
      </c>
      <c r="AR3774" t="s">
        <v>6729</v>
      </c>
      <c r="AS3774" t="s">
        <v>6730</v>
      </c>
      <c r="AT3774" t="s">
        <v>58</v>
      </c>
      <c r="AU3774" t="s">
        <v>68</v>
      </c>
      <c r="AV3774" t="s">
        <v>69</v>
      </c>
      <c r="AW3774" s="1">
        <v>23091</v>
      </c>
      <c r="AX3774">
        <v>2</v>
      </c>
    </row>
    <row r="3775" spans="1:50">
      <c r="B3775" t="str">
        <f>"103537856"</f>
        <v>103537856</v>
      </c>
      <c r="C3775" t="s">
        <v>105</v>
      </c>
      <c r="D3775" t="s">
        <v>5959</v>
      </c>
      <c r="E3775" t="s">
        <v>106</v>
      </c>
      <c r="F3775" t="s">
        <v>84</v>
      </c>
      <c r="G3775" t="s">
        <v>215</v>
      </c>
      <c r="H3775" t="str">
        <f>"ΟΜΗΡΟΥ 10 ΑΛΙΚΑΡΝΑΣΣΟΣ"</f>
        <v>ΟΜΗΡΟΥ 10 ΑΛΙΚΑΡΝΑΣΣΟΣ</v>
      </c>
      <c r="I3775">
        <v>71601</v>
      </c>
      <c r="J3775">
        <v>2810346020</v>
      </c>
      <c r="K3775">
        <v>6946713136</v>
      </c>
      <c r="M3775" t="s">
        <v>7211</v>
      </c>
      <c r="N3775" t="s">
        <v>299</v>
      </c>
      <c r="O3775" t="s">
        <v>300</v>
      </c>
      <c r="R3775" t="s">
        <v>159</v>
      </c>
      <c r="S3775">
        <v>2</v>
      </c>
      <c r="T3775" t="s">
        <v>574</v>
      </c>
      <c r="U3775" s="1">
        <v>43378</v>
      </c>
      <c r="V3775" t="s">
        <v>6729</v>
      </c>
      <c r="W3775" t="s">
        <v>6730</v>
      </c>
      <c r="X3775" t="s">
        <v>58</v>
      </c>
      <c r="Y3775">
        <v>23</v>
      </c>
      <c r="Z3775" t="s">
        <v>59</v>
      </c>
      <c r="AA3775" t="s">
        <v>59</v>
      </c>
      <c r="AB3775" t="s">
        <v>59</v>
      </c>
      <c r="AC3775" t="s">
        <v>59</v>
      </c>
      <c r="AD3775" t="s">
        <v>59</v>
      </c>
      <c r="AF3775" s="1">
        <v>43381</v>
      </c>
      <c r="AG3775" t="s">
        <v>137</v>
      </c>
      <c r="AH3775" t="s">
        <v>138</v>
      </c>
      <c r="AI3775" t="str">
        <f>"5050065"</f>
        <v>5050065</v>
      </c>
      <c r="AJ3775" t="s">
        <v>6822</v>
      </c>
      <c r="AK3775">
        <v>2823022234</v>
      </c>
      <c r="AL3775" t="s">
        <v>6823</v>
      </c>
      <c r="AM3775" t="s">
        <v>88</v>
      </c>
      <c r="AN3775" t="s">
        <v>6824</v>
      </c>
      <c r="AO3775" t="s">
        <v>6825</v>
      </c>
      <c r="AP3775" t="s">
        <v>6826</v>
      </c>
      <c r="AQ3775">
        <v>1</v>
      </c>
      <c r="AR3775" t="s">
        <v>6729</v>
      </c>
      <c r="AS3775" t="s">
        <v>6730</v>
      </c>
      <c r="AT3775" t="s">
        <v>58</v>
      </c>
      <c r="AU3775" t="s">
        <v>164</v>
      </c>
      <c r="AV3775" t="s">
        <v>132</v>
      </c>
      <c r="AW3775" s="1">
        <v>27559</v>
      </c>
      <c r="AX3775">
        <v>2</v>
      </c>
    </row>
    <row r="3776" spans="1:50">
      <c r="A3776">
        <v>197690</v>
      </c>
      <c r="B3776" t="str">
        <f>"058353490"</f>
        <v>058353490</v>
      </c>
      <c r="C3776" t="s">
        <v>105</v>
      </c>
      <c r="D3776" t="s">
        <v>5960</v>
      </c>
      <c r="E3776" t="s">
        <v>510</v>
      </c>
      <c r="F3776" t="s">
        <v>106</v>
      </c>
      <c r="G3776" t="s">
        <v>809</v>
      </c>
      <c r="H3776" t="str">
        <f>" "</f>
        <v xml:space="preserve"> </v>
      </c>
      <c r="J3776">
        <v>2821053501</v>
      </c>
      <c r="L3776">
        <v>2821028697</v>
      </c>
      <c r="M3776" t="s">
        <v>7212</v>
      </c>
      <c r="N3776" t="s">
        <v>292</v>
      </c>
      <c r="O3776" t="s">
        <v>293</v>
      </c>
      <c r="R3776" t="s">
        <v>57</v>
      </c>
      <c r="S3776">
        <v>9</v>
      </c>
      <c r="T3776">
        <v>206</v>
      </c>
      <c r="U3776" s="1">
        <v>37866</v>
      </c>
      <c r="V3776" t="s">
        <v>6729</v>
      </c>
      <c r="W3776" t="s">
        <v>6730</v>
      </c>
      <c r="X3776" t="s">
        <v>58</v>
      </c>
      <c r="Y3776">
        <v>20</v>
      </c>
      <c r="Z3776" t="s">
        <v>59</v>
      </c>
      <c r="AA3776" t="s">
        <v>59</v>
      </c>
      <c r="AB3776" t="s">
        <v>59</v>
      </c>
      <c r="AC3776" t="s">
        <v>59</v>
      </c>
      <c r="AD3776" t="s">
        <v>59</v>
      </c>
      <c r="AF3776" s="1">
        <v>37866</v>
      </c>
      <c r="AG3776" t="s">
        <v>148</v>
      </c>
      <c r="AH3776" t="s">
        <v>149</v>
      </c>
      <c r="AI3776" t="str">
        <f>"5051050"</f>
        <v>5051050</v>
      </c>
      <c r="AJ3776" t="s">
        <v>6861</v>
      </c>
      <c r="AK3776">
        <v>2821044860</v>
      </c>
      <c r="AL3776" t="s">
        <v>6862</v>
      </c>
      <c r="AM3776" t="s">
        <v>88</v>
      </c>
      <c r="AN3776" t="s">
        <v>88</v>
      </c>
      <c r="AO3776" t="s">
        <v>88</v>
      </c>
      <c r="AP3776" t="s">
        <v>88</v>
      </c>
      <c r="AQ3776">
        <v>1</v>
      </c>
      <c r="AR3776" t="s">
        <v>6729</v>
      </c>
      <c r="AS3776" t="s">
        <v>6730</v>
      </c>
      <c r="AT3776" t="s">
        <v>58</v>
      </c>
      <c r="AU3776" t="s">
        <v>68</v>
      </c>
      <c r="AV3776" t="s">
        <v>69</v>
      </c>
      <c r="AW3776" s="1">
        <v>24775</v>
      </c>
      <c r="AX3776">
        <v>2</v>
      </c>
    </row>
    <row r="3777" spans="1:50">
      <c r="B3777" t="str">
        <f>"120009511"</f>
        <v>120009511</v>
      </c>
      <c r="C3777" t="s">
        <v>50</v>
      </c>
      <c r="D3777" t="s">
        <v>7213</v>
      </c>
      <c r="E3777" t="s">
        <v>860</v>
      </c>
      <c r="F3777" t="s">
        <v>53</v>
      </c>
      <c r="G3777" t="s">
        <v>1744</v>
      </c>
      <c r="H3777" t="str">
        <f>"ΚΑΠΟΔΙΣΤΡΙΟΥ 31 ΡΕΘΥΜΝΟ"</f>
        <v>ΚΑΠΟΔΙΣΤΡΙΟΥ 31 ΡΕΘΥΜΝΟ</v>
      </c>
      <c r="I3777">
        <v>74100</v>
      </c>
      <c r="J3777">
        <v>2831027672</v>
      </c>
      <c r="K3777">
        <v>6942983529</v>
      </c>
      <c r="M3777" t="s">
        <v>7214</v>
      </c>
      <c r="N3777" t="s">
        <v>536</v>
      </c>
      <c r="O3777" t="s">
        <v>537</v>
      </c>
      <c r="R3777" t="s">
        <v>159</v>
      </c>
      <c r="S3777">
        <v>3</v>
      </c>
      <c r="T3777" t="s">
        <v>344</v>
      </c>
      <c r="U3777" s="1">
        <v>43348</v>
      </c>
      <c r="V3777" t="s">
        <v>6729</v>
      </c>
      <c r="W3777" t="s">
        <v>6730</v>
      </c>
      <c r="X3777" t="s">
        <v>58</v>
      </c>
      <c r="Y3777">
        <v>23</v>
      </c>
      <c r="Z3777" t="s">
        <v>59</v>
      </c>
      <c r="AA3777" t="s">
        <v>59</v>
      </c>
      <c r="AB3777" t="s">
        <v>59</v>
      </c>
      <c r="AC3777" t="s">
        <v>59</v>
      </c>
      <c r="AD3777" t="s">
        <v>59</v>
      </c>
      <c r="AF3777" s="1">
        <v>43348</v>
      </c>
      <c r="AG3777" t="s">
        <v>125</v>
      </c>
      <c r="AH3777" t="s">
        <v>126</v>
      </c>
      <c r="AI3777" t="str">
        <f>"5001075"</f>
        <v>5001075</v>
      </c>
      <c r="AJ3777" t="s">
        <v>6768</v>
      </c>
      <c r="AK3777">
        <v>2821064200</v>
      </c>
      <c r="AL3777" t="s">
        <v>6769</v>
      </c>
      <c r="AM3777" t="s">
        <v>88</v>
      </c>
      <c r="AN3777" t="s">
        <v>88</v>
      </c>
      <c r="AO3777" t="s">
        <v>6770</v>
      </c>
      <c r="AP3777" t="s">
        <v>6771</v>
      </c>
      <c r="AQ3777">
        <v>1</v>
      </c>
      <c r="AR3777" t="s">
        <v>6729</v>
      </c>
      <c r="AS3777" t="s">
        <v>6730</v>
      </c>
      <c r="AT3777" t="s">
        <v>58</v>
      </c>
      <c r="AU3777" t="s">
        <v>350</v>
      </c>
      <c r="AV3777" t="s">
        <v>132</v>
      </c>
      <c r="AW3777" s="1">
        <v>29692</v>
      </c>
      <c r="AX3777">
        <v>2</v>
      </c>
    </row>
    <row r="3778" spans="1:50">
      <c r="A3778">
        <v>154349</v>
      </c>
      <c r="B3778" t="str">
        <f>"027342964"</f>
        <v>027342964</v>
      </c>
      <c r="C3778" t="s">
        <v>105</v>
      </c>
      <c r="D3778" t="s">
        <v>7215</v>
      </c>
      <c r="E3778" t="s">
        <v>7216</v>
      </c>
      <c r="F3778" t="s">
        <v>95</v>
      </c>
      <c r="G3778" t="s">
        <v>52</v>
      </c>
      <c r="H3778" t="str">
        <f>" "</f>
        <v xml:space="preserve"> </v>
      </c>
      <c r="J3778">
        <v>2821093585</v>
      </c>
      <c r="K3778">
        <v>6977805158</v>
      </c>
      <c r="M3778" t="s">
        <v>7217</v>
      </c>
      <c r="N3778" t="s">
        <v>232</v>
      </c>
      <c r="O3778" t="s">
        <v>233</v>
      </c>
      <c r="R3778" t="s">
        <v>57</v>
      </c>
      <c r="S3778">
        <v>15</v>
      </c>
      <c r="T3778">
        <v>161</v>
      </c>
      <c r="U3778" s="1">
        <v>32387</v>
      </c>
      <c r="V3778" t="s">
        <v>6729</v>
      </c>
      <c r="W3778" t="s">
        <v>6730</v>
      </c>
      <c r="X3778" t="s">
        <v>58</v>
      </c>
      <c r="Y3778">
        <v>18</v>
      </c>
      <c r="Z3778" t="s">
        <v>59</v>
      </c>
      <c r="AA3778" t="s">
        <v>59</v>
      </c>
      <c r="AB3778" t="s">
        <v>59</v>
      </c>
      <c r="AC3778" t="s">
        <v>59</v>
      </c>
      <c r="AD3778" t="s">
        <v>59</v>
      </c>
      <c r="AF3778" s="1">
        <v>32391</v>
      </c>
      <c r="AG3778" t="s">
        <v>137</v>
      </c>
      <c r="AH3778" t="s">
        <v>138</v>
      </c>
      <c r="AI3778" t="str">
        <f>"5050060"</f>
        <v>5050060</v>
      </c>
      <c r="AJ3778" t="s">
        <v>6801</v>
      </c>
      <c r="AK3778">
        <v>2821091515</v>
      </c>
      <c r="AL3778" t="s">
        <v>6802</v>
      </c>
      <c r="AM3778" t="s">
        <v>88</v>
      </c>
      <c r="AN3778" t="s">
        <v>88</v>
      </c>
      <c r="AO3778" t="s">
        <v>88</v>
      </c>
      <c r="AP3778" t="s">
        <v>88</v>
      </c>
      <c r="AQ3778">
        <v>1</v>
      </c>
      <c r="AR3778" t="s">
        <v>6729</v>
      </c>
      <c r="AS3778" t="s">
        <v>6730</v>
      </c>
      <c r="AT3778" t="s">
        <v>58</v>
      </c>
      <c r="AU3778" t="s">
        <v>68</v>
      </c>
      <c r="AV3778" t="s">
        <v>69</v>
      </c>
      <c r="AW3778" s="1">
        <v>20771</v>
      </c>
      <c r="AX3778">
        <v>2</v>
      </c>
    </row>
    <row r="3779" spans="1:50">
      <c r="A3779">
        <v>229895</v>
      </c>
      <c r="B3779" t="str">
        <f>"049349362"</f>
        <v>049349362</v>
      </c>
      <c r="C3779" t="s">
        <v>105</v>
      </c>
      <c r="D3779" t="s">
        <v>7218</v>
      </c>
      <c r="E3779" t="s">
        <v>4730</v>
      </c>
      <c r="F3779" t="s">
        <v>95</v>
      </c>
      <c r="G3779" t="s">
        <v>52</v>
      </c>
      <c r="H3779" t="str">
        <f>"ΜΑΡΑΘΟΚΑΜΠΟΣ ΜΑΡΑΘΟΚΑΜΠΟΣ"</f>
        <v>ΜΑΡΑΘΟΚΑΜΠΟΣ ΜΑΡΑΘΟΚΑΜΠΟΣ</v>
      </c>
      <c r="I3779">
        <v>83102</v>
      </c>
      <c r="J3779">
        <v>2333081351</v>
      </c>
      <c r="K3779">
        <v>6972986505</v>
      </c>
      <c r="M3779" t="s">
        <v>7219</v>
      </c>
      <c r="N3779" t="s">
        <v>189</v>
      </c>
      <c r="O3779" t="s">
        <v>190</v>
      </c>
      <c r="R3779" t="s">
        <v>57</v>
      </c>
      <c r="S3779">
        <v>6</v>
      </c>
      <c r="T3779">
        <v>4</v>
      </c>
      <c r="U3779" s="1">
        <v>40186</v>
      </c>
      <c r="V3779" t="s">
        <v>6729</v>
      </c>
      <c r="W3779" t="s">
        <v>6730</v>
      </c>
      <c r="X3779" t="s">
        <v>58</v>
      </c>
      <c r="Y3779">
        <v>21</v>
      </c>
      <c r="Z3779" t="s">
        <v>59</v>
      </c>
      <c r="AA3779" t="s">
        <v>59</v>
      </c>
      <c r="AB3779" t="s">
        <v>59</v>
      </c>
      <c r="AC3779" t="s">
        <v>59</v>
      </c>
      <c r="AD3779" t="s">
        <v>59</v>
      </c>
      <c r="AF3779" s="1">
        <v>40186</v>
      </c>
      <c r="AG3779" t="s">
        <v>137</v>
      </c>
      <c r="AH3779" t="s">
        <v>469</v>
      </c>
      <c r="AI3779" t="str">
        <f>"5053001"</f>
        <v>5053001</v>
      </c>
      <c r="AJ3779" t="s">
        <v>6788</v>
      </c>
      <c r="AK3779">
        <v>2821068020</v>
      </c>
      <c r="AM3779" t="s">
        <v>88</v>
      </c>
      <c r="AN3779" t="s">
        <v>6764</v>
      </c>
      <c r="AO3779" t="s">
        <v>6764</v>
      </c>
      <c r="AP3779" t="s">
        <v>6764</v>
      </c>
      <c r="AQ3779">
        <v>1</v>
      </c>
      <c r="AR3779" t="s">
        <v>6729</v>
      </c>
      <c r="AS3779" t="s">
        <v>6730</v>
      </c>
      <c r="AT3779" t="s">
        <v>58</v>
      </c>
      <c r="AU3779" t="s">
        <v>68</v>
      </c>
      <c r="AV3779" t="s">
        <v>357</v>
      </c>
      <c r="AW3779" s="1">
        <v>28975</v>
      </c>
      <c r="AX3779">
        <v>2</v>
      </c>
    </row>
    <row r="3780" spans="1:50">
      <c r="A3780">
        <v>210473</v>
      </c>
      <c r="B3780" t="str">
        <f>"121680750"</f>
        <v>121680750</v>
      </c>
      <c r="C3780" t="s">
        <v>50</v>
      </c>
      <c r="D3780" t="s">
        <v>7220</v>
      </c>
      <c r="E3780" t="s">
        <v>476</v>
      </c>
      <c r="F3780" t="s">
        <v>72</v>
      </c>
      <c r="G3780" t="s">
        <v>181</v>
      </c>
      <c r="H3780" t="str">
        <f>"ΔΩΔΕΚΑΝΗΣΟΥ 10Α "</f>
        <v xml:space="preserve">ΔΩΔΕΚΑΝΗΣΟΥ 10Α </v>
      </c>
      <c r="I3780">
        <v>73100</v>
      </c>
      <c r="J3780">
        <v>2821090639</v>
      </c>
      <c r="K3780">
        <v>6974252069</v>
      </c>
      <c r="M3780" t="s">
        <v>7221</v>
      </c>
      <c r="N3780" t="s">
        <v>306</v>
      </c>
      <c r="O3780" t="s">
        <v>307</v>
      </c>
      <c r="R3780" t="s">
        <v>57</v>
      </c>
      <c r="S3780">
        <v>6</v>
      </c>
      <c r="T3780">
        <v>249</v>
      </c>
      <c r="U3780" s="1">
        <v>38617</v>
      </c>
      <c r="V3780" t="s">
        <v>6729</v>
      </c>
      <c r="W3780" t="s">
        <v>6730</v>
      </c>
      <c r="X3780" t="s">
        <v>58</v>
      </c>
      <c r="Y3780">
        <v>20</v>
      </c>
      <c r="Z3780" t="s">
        <v>59</v>
      </c>
      <c r="AA3780" t="s">
        <v>59</v>
      </c>
      <c r="AB3780" t="s">
        <v>59</v>
      </c>
      <c r="AC3780" t="s">
        <v>59</v>
      </c>
      <c r="AD3780" t="s">
        <v>59</v>
      </c>
      <c r="AF3780" s="1">
        <v>38621</v>
      </c>
      <c r="AG3780" t="s">
        <v>137</v>
      </c>
      <c r="AH3780" t="s">
        <v>138</v>
      </c>
      <c r="AI3780" t="str">
        <f>"5040080"</f>
        <v>5040080</v>
      </c>
      <c r="AJ3780" t="s">
        <v>6753</v>
      </c>
      <c r="AK3780">
        <v>2821093155</v>
      </c>
      <c r="AL3780" t="s">
        <v>6754</v>
      </c>
      <c r="AM3780" t="s">
        <v>88</v>
      </c>
      <c r="AN3780" t="s">
        <v>88</v>
      </c>
      <c r="AO3780" t="s">
        <v>6733</v>
      </c>
      <c r="AP3780" t="s">
        <v>6755</v>
      </c>
      <c r="AQ3780">
        <v>1</v>
      </c>
      <c r="AR3780" t="s">
        <v>6729</v>
      </c>
      <c r="AS3780" t="s">
        <v>6730</v>
      </c>
      <c r="AT3780" t="s">
        <v>58</v>
      </c>
      <c r="AU3780" t="s">
        <v>68</v>
      </c>
      <c r="AV3780" t="s">
        <v>357</v>
      </c>
      <c r="AW3780" s="1">
        <v>28342</v>
      </c>
      <c r="AX3780">
        <v>2</v>
      </c>
    </row>
    <row r="3781" spans="1:50">
      <c r="A3781">
        <v>398045</v>
      </c>
      <c r="B3781" t="str">
        <f>"034866215"</f>
        <v>034866215</v>
      </c>
      <c r="C3781" t="s">
        <v>105</v>
      </c>
      <c r="D3781" t="s">
        <v>7222</v>
      </c>
      <c r="E3781" t="s">
        <v>99</v>
      </c>
      <c r="F3781" t="s">
        <v>383</v>
      </c>
      <c r="G3781" t="s">
        <v>787</v>
      </c>
      <c r="H3781" t="str">
        <f>" "</f>
        <v xml:space="preserve"> </v>
      </c>
      <c r="N3781" t="s">
        <v>157</v>
      </c>
      <c r="O3781" t="s">
        <v>158</v>
      </c>
      <c r="R3781" t="s">
        <v>57</v>
      </c>
      <c r="S3781">
        <v>16</v>
      </c>
      <c r="T3781" t="s">
        <v>7223</v>
      </c>
      <c r="U3781" s="1">
        <v>35825</v>
      </c>
      <c r="V3781" t="s">
        <v>6729</v>
      </c>
      <c r="W3781" t="s">
        <v>6730</v>
      </c>
      <c r="X3781" t="s">
        <v>58</v>
      </c>
      <c r="Y3781">
        <v>18</v>
      </c>
      <c r="Z3781" t="s">
        <v>59</v>
      </c>
      <c r="AA3781" t="s">
        <v>59</v>
      </c>
      <c r="AB3781" t="s">
        <v>59</v>
      </c>
      <c r="AC3781" t="s">
        <v>59</v>
      </c>
      <c r="AD3781" t="s">
        <v>59</v>
      </c>
      <c r="AF3781" s="1">
        <v>35849</v>
      </c>
      <c r="AG3781" t="s">
        <v>125</v>
      </c>
      <c r="AH3781" t="s">
        <v>126</v>
      </c>
      <c r="AI3781" t="str">
        <f>"5005010"</f>
        <v>5005010</v>
      </c>
      <c r="AJ3781" t="s">
        <v>7100</v>
      </c>
      <c r="AK3781">
        <v>2823041217</v>
      </c>
      <c r="AL3781" t="s">
        <v>7101</v>
      </c>
      <c r="AM3781" t="s">
        <v>88</v>
      </c>
      <c r="AN3781" t="s">
        <v>6824</v>
      </c>
      <c r="AO3781" t="s">
        <v>6870</v>
      </c>
      <c r="AP3781" t="s">
        <v>6871</v>
      </c>
      <c r="AQ3781">
        <v>1</v>
      </c>
      <c r="AR3781" t="s">
        <v>6729</v>
      </c>
      <c r="AS3781" t="s">
        <v>6730</v>
      </c>
      <c r="AT3781" t="s">
        <v>58</v>
      </c>
      <c r="AU3781" t="s">
        <v>68</v>
      </c>
      <c r="AV3781" t="s">
        <v>69</v>
      </c>
      <c r="AW3781" s="1">
        <v>21612</v>
      </c>
      <c r="AX3781">
        <v>2</v>
      </c>
    </row>
    <row r="3782" spans="1:50">
      <c r="A3782">
        <v>176010</v>
      </c>
      <c r="B3782" t="str">
        <f>"072475934"</f>
        <v>072475934</v>
      </c>
      <c r="C3782" t="s">
        <v>105</v>
      </c>
      <c r="D3782" t="s">
        <v>7224</v>
      </c>
      <c r="E3782" t="s">
        <v>95</v>
      </c>
      <c r="F3782" t="s">
        <v>315</v>
      </c>
      <c r="G3782" t="s">
        <v>314</v>
      </c>
      <c r="H3782" t="str">
        <f>" "</f>
        <v xml:space="preserve"> </v>
      </c>
      <c r="M3782" t="s">
        <v>7225</v>
      </c>
      <c r="N3782" t="s">
        <v>232</v>
      </c>
      <c r="O3782" t="s">
        <v>233</v>
      </c>
      <c r="R3782" t="s">
        <v>57</v>
      </c>
      <c r="S3782">
        <v>10</v>
      </c>
      <c r="T3782">
        <v>180</v>
      </c>
      <c r="U3782" s="1">
        <v>35674</v>
      </c>
      <c r="V3782" t="s">
        <v>6729</v>
      </c>
      <c r="W3782" t="s">
        <v>6730</v>
      </c>
      <c r="X3782" t="s">
        <v>58</v>
      </c>
      <c r="Y3782">
        <v>18</v>
      </c>
      <c r="Z3782" t="s">
        <v>59</v>
      </c>
      <c r="AA3782" t="s">
        <v>59</v>
      </c>
      <c r="AB3782" t="s">
        <v>59</v>
      </c>
      <c r="AC3782" t="s">
        <v>59</v>
      </c>
      <c r="AD3782" t="s">
        <v>59</v>
      </c>
      <c r="AF3782" s="1">
        <v>35678</v>
      </c>
      <c r="AG3782" t="s">
        <v>125</v>
      </c>
      <c r="AH3782" t="s">
        <v>126</v>
      </c>
      <c r="AI3782" t="str">
        <f>"5001076"</f>
        <v>5001076</v>
      </c>
      <c r="AJ3782" t="s">
        <v>6979</v>
      </c>
      <c r="AK3782">
        <v>2821088808</v>
      </c>
      <c r="AL3782" t="s">
        <v>6980</v>
      </c>
      <c r="AM3782" t="s">
        <v>88</v>
      </c>
      <c r="AN3782" t="s">
        <v>88</v>
      </c>
      <c r="AO3782" t="s">
        <v>6733</v>
      </c>
      <c r="AP3782" t="s">
        <v>6755</v>
      </c>
      <c r="AQ3782">
        <v>1</v>
      </c>
      <c r="AR3782" t="s">
        <v>6729</v>
      </c>
      <c r="AS3782" t="s">
        <v>6730</v>
      </c>
      <c r="AT3782" t="s">
        <v>58</v>
      </c>
      <c r="AU3782" t="s">
        <v>68</v>
      </c>
      <c r="AV3782" t="s">
        <v>69</v>
      </c>
      <c r="AW3782" s="1">
        <v>21669</v>
      </c>
      <c r="AX3782">
        <v>2</v>
      </c>
    </row>
    <row r="3783" spans="1:50">
      <c r="A3783">
        <v>226115</v>
      </c>
      <c r="B3783" t="str">
        <f>"100052903"</f>
        <v>100052903</v>
      </c>
      <c r="C3783" t="s">
        <v>105</v>
      </c>
      <c r="D3783" t="s">
        <v>7226</v>
      </c>
      <c r="E3783" t="s">
        <v>92</v>
      </c>
      <c r="F3783" t="s">
        <v>383</v>
      </c>
      <c r="G3783" t="s">
        <v>845</v>
      </c>
      <c r="H3783" t="str">
        <f>"ΚΩΝ/ΝΟΥ ΚΡΙΑΡΗ ΡΕΘΥΜΝΟ"</f>
        <v>ΚΩΝ/ΝΟΥ ΚΡΙΑΡΗ ΡΕΘΥΜΝΟ</v>
      </c>
      <c r="I3783">
        <v>74100</v>
      </c>
      <c r="J3783">
        <v>2831023293</v>
      </c>
      <c r="K3783">
        <v>6976604077</v>
      </c>
      <c r="N3783" t="s">
        <v>337</v>
      </c>
      <c r="O3783" t="s">
        <v>338</v>
      </c>
      <c r="R3783" t="s">
        <v>57</v>
      </c>
      <c r="S3783">
        <v>6</v>
      </c>
      <c r="T3783">
        <v>652</v>
      </c>
      <c r="U3783" s="1">
        <v>40043</v>
      </c>
      <c r="V3783" t="s">
        <v>6729</v>
      </c>
      <c r="W3783" t="s">
        <v>6730</v>
      </c>
      <c r="X3783" t="s">
        <v>58</v>
      </c>
      <c r="Y3783">
        <v>21</v>
      </c>
      <c r="Z3783" t="s">
        <v>59</v>
      </c>
      <c r="AA3783" t="s">
        <v>59</v>
      </c>
      <c r="AB3783" t="s">
        <v>59</v>
      </c>
      <c r="AC3783" t="s">
        <v>59</v>
      </c>
      <c r="AD3783" t="s">
        <v>59</v>
      </c>
      <c r="AF3783" s="1">
        <v>40043</v>
      </c>
      <c r="AG3783" t="s">
        <v>125</v>
      </c>
      <c r="AH3783" t="s">
        <v>126</v>
      </c>
      <c r="AI3783" t="str">
        <f>"5001020"</f>
        <v>5001020</v>
      </c>
      <c r="AJ3783" t="s">
        <v>6739</v>
      </c>
      <c r="AK3783">
        <v>2821042664</v>
      </c>
      <c r="AL3783" t="s">
        <v>6740</v>
      </c>
      <c r="AM3783" t="s">
        <v>88</v>
      </c>
      <c r="AN3783" t="s">
        <v>88</v>
      </c>
      <c r="AO3783" t="s">
        <v>88</v>
      </c>
      <c r="AP3783" t="s">
        <v>88</v>
      </c>
      <c r="AQ3783">
        <v>1</v>
      </c>
      <c r="AR3783" t="s">
        <v>6729</v>
      </c>
      <c r="AS3783" t="s">
        <v>6730</v>
      </c>
      <c r="AT3783" t="s">
        <v>58</v>
      </c>
      <c r="AU3783" t="s">
        <v>68</v>
      </c>
      <c r="AV3783" t="s">
        <v>69</v>
      </c>
      <c r="AW3783" s="1">
        <v>29034</v>
      </c>
      <c r="AX3783">
        <v>2</v>
      </c>
    </row>
    <row r="3784" spans="1:50">
      <c r="A3784">
        <v>222905</v>
      </c>
      <c r="B3784" t="str">
        <f>"072643608"</f>
        <v>072643608</v>
      </c>
      <c r="C3784" t="s">
        <v>50</v>
      </c>
      <c r="D3784" t="s">
        <v>7227</v>
      </c>
      <c r="E3784" t="s">
        <v>476</v>
      </c>
      <c r="F3784" t="s">
        <v>3246</v>
      </c>
      <c r="G3784" t="s">
        <v>4002</v>
      </c>
      <c r="H3784" t="str">
        <f>"ΣΑΡΑΤΣΟΓΛΟΥ 13 ΧΑΝΙΑ"</f>
        <v>ΣΑΡΑΤΣΟΓΛΟΥ 13 ΧΑΝΙΑ</v>
      </c>
      <c r="I3784">
        <v>73131</v>
      </c>
      <c r="J3784">
        <v>2821097165</v>
      </c>
      <c r="K3784">
        <v>6937272862</v>
      </c>
      <c r="M3784" t="s">
        <v>7228</v>
      </c>
      <c r="N3784" t="s">
        <v>292</v>
      </c>
      <c r="O3784" t="s">
        <v>293</v>
      </c>
      <c r="R3784" t="s">
        <v>57</v>
      </c>
      <c r="S3784">
        <v>6</v>
      </c>
      <c r="T3784">
        <v>775</v>
      </c>
      <c r="U3784" s="1">
        <v>39680</v>
      </c>
      <c r="V3784" t="s">
        <v>6729</v>
      </c>
      <c r="W3784" t="s">
        <v>6730</v>
      </c>
      <c r="X3784" t="s">
        <v>58</v>
      </c>
      <c r="Y3784">
        <v>20</v>
      </c>
      <c r="Z3784" t="s">
        <v>59</v>
      </c>
      <c r="AA3784" t="s">
        <v>59</v>
      </c>
      <c r="AB3784" t="s">
        <v>59</v>
      </c>
      <c r="AC3784" t="s">
        <v>59</v>
      </c>
      <c r="AD3784" t="s">
        <v>59</v>
      </c>
      <c r="AF3784" s="1">
        <v>39682</v>
      </c>
      <c r="AG3784" t="s">
        <v>148</v>
      </c>
      <c r="AH3784" t="s">
        <v>149</v>
      </c>
      <c r="AI3784" t="str">
        <f>"5055010"</f>
        <v>5055010</v>
      </c>
      <c r="AJ3784" t="s">
        <v>6868</v>
      </c>
      <c r="AK3784">
        <v>2823041416</v>
      </c>
      <c r="AL3784" t="s">
        <v>6869</v>
      </c>
      <c r="AM3784" t="s">
        <v>88</v>
      </c>
      <c r="AN3784" t="s">
        <v>6824</v>
      </c>
      <c r="AO3784" t="s">
        <v>6870</v>
      </c>
      <c r="AP3784" t="s">
        <v>6871</v>
      </c>
      <c r="AQ3784">
        <v>1</v>
      </c>
      <c r="AR3784" t="s">
        <v>6729</v>
      </c>
      <c r="AS3784" t="s">
        <v>6730</v>
      </c>
      <c r="AT3784" t="s">
        <v>58</v>
      </c>
      <c r="AU3784" t="s">
        <v>68</v>
      </c>
      <c r="AV3784" t="s">
        <v>69</v>
      </c>
      <c r="AW3784" s="1">
        <v>25434</v>
      </c>
      <c r="AX3784">
        <v>2</v>
      </c>
    </row>
    <row r="3785" spans="1:50">
      <c r="A3785">
        <v>208822</v>
      </c>
      <c r="B3785" t="str">
        <f>"065230025"</f>
        <v>065230025</v>
      </c>
      <c r="C3785" t="s">
        <v>50</v>
      </c>
      <c r="D3785" t="s">
        <v>7227</v>
      </c>
      <c r="E3785" t="s">
        <v>6171</v>
      </c>
      <c r="F3785" t="s">
        <v>53</v>
      </c>
      <c r="G3785" t="s">
        <v>650</v>
      </c>
      <c r="H3785" t="str">
        <f>"ΕΥΕΛΠΙΔΩΝ 8 ΧΑΝΙΩΝ"</f>
        <v>ΕΥΕΛΠΙΔΩΝ 8 ΧΑΝΙΩΝ</v>
      </c>
      <c r="I3785">
        <v>73134</v>
      </c>
      <c r="J3785">
        <v>2821058432</v>
      </c>
      <c r="K3785">
        <v>6974020710</v>
      </c>
      <c r="N3785" t="s">
        <v>1351</v>
      </c>
      <c r="O3785" t="s">
        <v>1352</v>
      </c>
      <c r="R3785" t="s">
        <v>57</v>
      </c>
      <c r="S3785">
        <v>6</v>
      </c>
      <c r="T3785">
        <v>218</v>
      </c>
      <c r="U3785" s="1">
        <v>38596</v>
      </c>
      <c r="V3785" t="s">
        <v>6729</v>
      </c>
      <c r="W3785" t="s">
        <v>6730</v>
      </c>
      <c r="X3785" t="s">
        <v>58</v>
      </c>
      <c r="Y3785">
        <v>20</v>
      </c>
      <c r="Z3785" t="s">
        <v>59</v>
      </c>
      <c r="AA3785" t="s">
        <v>59</v>
      </c>
      <c r="AB3785" t="s">
        <v>59</v>
      </c>
      <c r="AC3785" t="s">
        <v>59</v>
      </c>
      <c r="AD3785" t="s">
        <v>59</v>
      </c>
      <c r="AF3785" s="1">
        <v>38602</v>
      </c>
      <c r="AG3785" t="s">
        <v>137</v>
      </c>
      <c r="AH3785" t="s">
        <v>469</v>
      </c>
      <c r="AI3785" t="str">
        <f>"5040055"</f>
        <v>5040055</v>
      </c>
      <c r="AJ3785" t="s">
        <v>6940</v>
      </c>
      <c r="AK3785">
        <v>2821036404</v>
      </c>
      <c r="AL3785" t="s">
        <v>6941</v>
      </c>
      <c r="AM3785" t="s">
        <v>88</v>
      </c>
      <c r="AN3785" t="s">
        <v>88</v>
      </c>
      <c r="AO3785" t="s">
        <v>88</v>
      </c>
      <c r="AP3785" t="s">
        <v>88</v>
      </c>
      <c r="AQ3785">
        <v>1</v>
      </c>
      <c r="AR3785" t="s">
        <v>6729</v>
      </c>
      <c r="AS3785" t="s">
        <v>6730</v>
      </c>
      <c r="AT3785" t="s">
        <v>58</v>
      </c>
      <c r="AU3785" t="s">
        <v>68</v>
      </c>
      <c r="AV3785" t="s">
        <v>69</v>
      </c>
      <c r="AW3785" s="1">
        <v>24108</v>
      </c>
      <c r="AX3785">
        <v>2</v>
      </c>
    </row>
    <row r="3786" spans="1:50">
      <c r="A3786">
        <v>170782</v>
      </c>
      <c r="B3786" t="str">
        <f>"064533665"</f>
        <v>064533665</v>
      </c>
      <c r="C3786" t="s">
        <v>50</v>
      </c>
      <c r="D3786" t="s">
        <v>7227</v>
      </c>
      <c r="E3786" t="s">
        <v>314</v>
      </c>
      <c r="F3786" t="s">
        <v>99</v>
      </c>
      <c r="G3786" t="s">
        <v>52</v>
      </c>
      <c r="H3786" t="str">
        <f>" "</f>
        <v xml:space="preserve"> </v>
      </c>
      <c r="M3786" t="s">
        <v>7229</v>
      </c>
      <c r="N3786" t="s">
        <v>478</v>
      </c>
      <c r="O3786" t="s">
        <v>479</v>
      </c>
      <c r="R3786" t="s">
        <v>57</v>
      </c>
      <c r="S3786">
        <v>11</v>
      </c>
      <c r="T3786">
        <v>184</v>
      </c>
      <c r="U3786" s="1">
        <v>34941</v>
      </c>
      <c r="V3786" t="s">
        <v>6729</v>
      </c>
      <c r="W3786" t="s">
        <v>6730</v>
      </c>
      <c r="X3786" t="s">
        <v>58</v>
      </c>
      <c r="Y3786">
        <v>18</v>
      </c>
      <c r="Z3786" t="s">
        <v>59</v>
      </c>
      <c r="AA3786" t="s">
        <v>59</v>
      </c>
      <c r="AB3786" t="s">
        <v>59</v>
      </c>
      <c r="AC3786" t="s">
        <v>59</v>
      </c>
      <c r="AD3786" t="s">
        <v>59</v>
      </c>
      <c r="AF3786" s="1">
        <v>34943</v>
      </c>
      <c r="AG3786" t="s">
        <v>125</v>
      </c>
      <c r="AH3786" t="s">
        <v>126</v>
      </c>
      <c r="AI3786" t="str">
        <f>"5001072"</f>
        <v>5001072</v>
      </c>
      <c r="AJ3786" t="s">
        <v>6922</v>
      </c>
      <c r="AK3786">
        <v>2821055471</v>
      </c>
      <c r="AL3786" t="s">
        <v>6923</v>
      </c>
      <c r="AM3786" t="s">
        <v>88</v>
      </c>
      <c r="AN3786" t="s">
        <v>88</v>
      </c>
      <c r="AO3786" t="s">
        <v>88</v>
      </c>
      <c r="AP3786" t="s">
        <v>88</v>
      </c>
      <c r="AQ3786">
        <v>1</v>
      </c>
      <c r="AR3786" t="s">
        <v>6729</v>
      </c>
      <c r="AS3786" t="s">
        <v>6730</v>
      </c>
      <c r="AT3786" t="s">
        <v>58</v>
      </c>
      <c r="AU3786" t="s">
        <v>68</v>
      </c>
      <c r="AV3786" t="s">
        <v>69</v>
      </c>
      <c r="AW3786" s="1">
        <v>21373</v>
      </c>
      <c r="AX3786">
        <v>2</v>
      </c>
    </row>
    <row r="3787" spans="1:50">
      <c r="B3787" t="str">
        <f>"047939723"</f>
        <v>047939723</v>
      </c>
      <c r="C3787" t="s">
        <v>105</v>
      </c>
      <c r="D3787" t="s">
        <v>4840</v>
      </c>
      <c r="E3787" t="s">
        <v>72</v>
      </c>
      <c r="F3787" t="s">
        <v>53</v>
      </c>
      <c r="G3787" t="s">
        <v>513</v>
      </c>
      <c r="H3787" t="str">
        <f>"ΚΝΩΣΣΟΥ 8 "</f>
        <v xml:space="preserve">ΚΝΩΣΣΟΥ 8 </v>
      </c>
      <c r="I3787">
        <v>73132</v>
      </c>
      <c r="K3787">
        <v>6973220466</v>
      </c>
      <c r="M3787" t="s">
        <v>7230</v>
      </c>
      <c r="N3787" t="s">
        <v>1039</v>
      </c>
      <c r="O3787" t="s">
        <v>1040</v>
      </c>
      <c r="R3787" t="s">
        <v>57</v>
      </c>
      <c r="S3787">
        <v>6</v>
      </c>
      <c r="T3787" t="s">
        <v>344</v>
      </c>
      <c r="U3787" s="1">
        <v>43348</v>
      </c>
      <c r="V3787" t="s">
        <v>6729</v>
      </c>
      <c r="W3787" t="s">
        <v>6730</v>
      </c>
      <c r="X3787" t="s">
        <v>58</v>
      </c>
      <c r="Y3787">
        <v>21</v>
      </c>
      <c r="Z3787" t="s">
        <v>59</v>
      </c>
      <c r="AA3787" t="s">
        <v>59</v>
      </c>
      <c r="AB3787" t="s">
        <v>59</v>
      </c>
      <c r="AC3787" t="s">
        <v>59</v>
      </c>
      <c r="AD3787" t="s">
        <v>59</v>
      </c>
      <c r="AF3787" s="1">
        <v>43348</v>
      </c>
      <c r="AG3787" t="s">
        <v>125</v>
      </c>
      <c r="AH3787" t="s">
        <v>590</v>
      </c>
      <c r="AI3787" t="str">
        <f>"5011201"</f>
        <v>5011201</v>
      </c>
      <c r="AJ3787" t="s">
        <v>7231</v>
      </c>
      <c r="AK3787">
        <v>2821087122</v>
      </c>
      <c r="AL3787" t="s">
        <v>7232</v>
      </c>
      <c r="AM3787" t="s">
        <v>88</v>
      </c>
      <c r="AN3787" t="s">
        <v>88</v>
      </c>
      <c r="AO3787" t="s">
        <v>88</v>
      </c>
      <c r="AP3787" t="s">
        <v>88</v>
      </c>
      <c r="AR3787" t="s">
        <v>6729</v>
      </c>
      <c r="AS3787" t="s">
        <v>6730</v>
      </c>
      <c r="AT3787" t="s">
        <v>58</v>
      </c>
      <c r="AU3787" t="s">
        <v>350</v>
      </c>
      <c r="AV3787" t="s">
        <v>132</v>
      </c>
      <c r="AW3787" s="1">
        <v>27395</v>
      </c>
      <c r="AX3787">
        <v>2</v>
      </c>
    </row>
    <row r="3788" spans="1:50">
      <c r="A3788">
        <v>175003</v>
      </c>
      <c r="B3788" t="str">
        <f>"054209083"</f>
        <v>054209083</v>
      </c>
      <c r="C3788" t="s">
        <v>105</v>
      </c>
      <c r="D3788" t="s">
        <v>4840</v>
      </c>
      <c r="E3788" t="s">
        <v>496</v>
      </c>
      <c r="F3788" t="s">
        <v>154</v>
      </c>
      <c r="G3788" t="s">
        <v>6088</v>
      </c>
      <c r="H3788" t="str">
        <f>" "</f>
        <v xml:space="preserve"> </v>
      </c>
      <c r="N3788" t="s">
        <v>204</v>
      </c>
      <c r="O3788" t="s">
        <v>205</v>
      </c>
      <c r="R3788" t="s">
        <v>57</v>
      </c>
      <c r="S3788">
        <v>14</v>
      </c>
      <c r="T3788">
        <v>166</v>
      </c>
      <c r="U3788" s="1">
        <v>35300</v>
      </c>
      <c r="V3788" t="s">
        <v>6729</v>
      </c>
      <c r="W3788" t="s">
        <v>6730</v>
      </c>
      <c r="X3788" t="s">
        <v>58</v>
      </c>
      <c r="Y3788">
        <v>18</v>
      </c>
      <c r="Z3788" t="s">
        <v>59</v>
      </c>
      <c r="AA3788" t="s">
        <v>59</v>
      </c>
      <c r="AB3788" t="s">
        <v>59</v>
      </c>
      <c r="AC3788" t="s">
        <v>59</v>
      </c>
      <c r="AD3788" t="s">
        <v>59</v>
      </c>
      <c r="AF3788" s="1">
        <v>35310</v>
      </c>
      <c r="AG3788" t="s">
        <v>137</v>
      </c>
      <c r="AH3788" t="s">
        <v>138</v>
      </c>
      <c r="AI3788" t="str">
        <f>"5040090"</f>
        <v>5040090</v>
      </c>
      <c r="AJ3788" t="s">
        <v>6757</v>
      </c>
      <c r="AK3788">
        <v>2822022275</v>
      </c>
      <c r="AL3788" t="s">
        <v>6758</v>
      </c>
      <c r="AM3788" t="s">
        <v>88</v>
      </c>
      <c r="AN3788" t="s">
        <v>6744</v>
      </c>
      <c r="AO3788" t="s">
        <v>6744</v>
      </c>
      <c r="AP3788" t="s">
        <v>6744</v>
      </c>
      <c r="AQ3788">
        <v>1</v>
      </c>
      <c r="AR3788" t="s">
        <v>6729</v>
      </c>
      <c r="AS3788" t="s">
        <v>6730</v>
      </c>
      <c r="AT3788" t="s">
        <v>58</v>
      </c>
      <c r="AU3788" t="s">
        <v>68</v>
      </c>
      <c r="AV3788" t="s">
        <v>69</v>
      </c>
      <c r="AW3788" s="1">
        <v>24585</v>
      </c>
      <c r="AX3788">
        <v>2</v>
      </c>
    </row>
    <row r="3789" spans="1:50">
      <c r="A3789">
        <v>159791</v>
      </c>
      <c r="B3789" t="str">
        <f>"064214328"</f>
        <v>064214328</v>
      </c>
      <c r="C3789" t="s">
        <v>50</v>
      </c>
      <c r="D3789" t="s">
        <v>7233</v>
      </c>
      <c r="E3789" t="s">
        <v>263</v>
      </c>
      <c r="F3789" t="s">
        <v>95</v>
      </c>
      <c r="G3789" t="s">
        <v>96</v>
      </c>
      <c r="H3789" t="str">
        <f>" "</f>
        <v xml:space="preserve"> </v>
      </c>
      <c r="N3789" t="s">
        <v>292</v>
      </c>
      <c r="O3789" t="s">
        <v>293</v>
      </c>
      <c r="R3789" t="s">
        <v>57</v>
      </c>
      <c r="S3789">
        <v>15</v>
      </c>
      <c r="T3789">
        <v>161</v>
      </c>
      <c r="U3789" s="1">
        <v>33119</v>
      </c>
      <c r="V3789" t="s">
        <v>6729</v>
      </c>
      <c r="W3789" t="s">
        <v>6730</v>
      </c>
      <c r="X3789" t="s">
        <v>58</v>
      </c>
      <c r="Y3789">
        <v>18</v>
      </c>
      <c r="Z3789" t="s">
        <v>59</v>
      </c>
      <c r="AA3789" t="s">
        <v>59</v>
      </c>
      <c r="AB3789" t="s">
        <v>59</v>
      </c>
      <c r="AC3789" t="s">
        <v>59</v>
      </c>
      <c r="AD3789" t="s">
        <v>59</v>
      </c>
      <c r="AF3789" s="1">
        <v>33123</v>
      </c>
      <c r="AG3789" t="s">
        <v>125</v>
      </c>
      <c r="AH3789" t="s">
        <v>126</v>
      </c>
      <c r="AI3789" t="str">
        <f>"5001020"</f>
        <v>5001020</v>
      </c>
      <c r="AJ3789" t="s">
        <v>6739</v>
      </c>
      <c r="AK3789">
        <v>2821042664</v>
      </c>
      <c r="AL3789" t="s">
        <v>6740</v>
      </c>
      <c r="AM3789" t="s">
        <v>88</v>
      </c>
      <c r="AN3789" t="s">
        <v>88</v>
      </c>
      <c r="AO3789" t="s">
        <v>88</v>
      </c>
      <c r="AP3789" t="s">
        <v>88</v>
      </c>
      <c r="AQ3789">
        <v>1</v>
      </c>
      <c r="AR3789" t="s">
        <v>6729</v>
      </c>
      <c r="AS3789" t="s">
        <v>6730</v>
      </c>
      <c r="AT3789" t="s">
        <v>58</v>
      </c>
      <c r="AU3789" t="s">
        <v>68</v>
      </c>
      <c r="AV3789" t="s">
        <v>69</v>
      </c>
      <c r="AW3789" s="1">
        <v>20937</v>
      </c>
      <c r="AX3789">
        <v>2</v>
      </c>
    </row>
    <row r="3790" spans="1:50">
      <c r="A3790">
        <v>213111</v>
      </c>
      <c r="B3790" t="str">
        <f>"063403603"</f>
        <v>063403603</v>
      </c>
      <c r="C3790" t="s">
        <v>50</v>
      </c>
      <c r="D3790" t="s">
        <v>340</v>
      </c>
      <c r="E3790" t="s">
        <v>1189</v>
      </c>
      <c r="F3790" t="s">
        <v>53</v>
      </c>
      <c r="G3790" t="s">
        <v>155</v>
      </c>
      <c r="H3790" t="str">
        <f>" "</f>
        <v xml:space="preserve"> </v>
      </c>
      <c r="J3790">
        <v>2109018930</v>
      </c>
      <c r="K3790">
        <v>6972771559</v>
      </c>
      <c r="N3790" t="s">
        <v>232</v>
      </c>
      <c r="O3790" t="s">
        <v>233</v>
      </c>
      <c r="R3790" t="s">
        <v>57</v>
      </c>
      <c r="S3790">
        <v>11</v>
      </c>
      <c r="T3790">
        <v>231</v>
      </c>
      <c r="U3790" s="1">
        <v>38960</v>
      </c>
      <c r="V3790" t="s">
        <v>6729</v>
      </c>
      <c r="W3790" t="s">
        <v>6730</v>
      </c>
      <c r="X3790" t="s">
        <v>58</v>
      </c>
      <c r="Y3790">
        <v>21</v>
      </c>
      <c r="Z3790" t="s">
        <v>59</v>
      </c>
      <c r="AA3790" t="s">
        <v>59</v>
      </c>
      <c r="AB3790" t="s">
        <v>59</v>
      </c>
      <c r="AC3790" t="s">
        <v>59</v>
      </c>
      <c r="AD3790" t="s">
        <v>59</v>
      </c>
      <c r="AF3790" s="1">
        <v>38961</v>
      </c>
      <c r="AG3790" t="s">
        <v>148</v>
      </c>
      <c r="AH3790" t="s">
        <v>149</v>
      </c>
      <c r="AI3790" t="str">
        <f>"5061010"</f>
        <v>5061010</v>
      </c>
      <c r="AJ3790" t="s">
        <v>6746</v>
      </c>
      <c r="AK3790">
        <v>2821081530</v>
      </c>
      <c r="AL3790" t="s">
        <v>6747</v>
      </c>
      <c r="AM3790" t="s">
        <v>88</v>
      </c>
      <c r="AN3790" t="s">
        <v>88</v>
      </c>
      <c r="AO3790" t="s">
        <v>6748</v>
      </c>
      <c r="AP3790" t="s">
        <v>6748</v>
      </c>
      <c r="AQ3790">
        <v>1</v>
      </c>
      <c r="AR3790" t="s">
        <v>6729</v>
      </c>
      <c r="AS3790" t="s">
        <v>6730</v>
      </c>
      <c r="AT3790" t="s">
        <v>58</v>
      </c>
      <c r="AU3790" t="s">
        <v>68</v>
      </c>
      <c r="AV3790" t="s">
        <v>69</v>
      </c>
      <c r="AW3790" s="1">
        <v>27852</v>
      </c>
      <c r="AX3790">
        <v>2</v>
      </c>
    </row>
    <row r="3791" spans="1:50">
      <c r="A3791">
        <v>214920</v>
      </c>
      <c r="B3791" t="str">
        <f>"109185114"</f>
        <v>109185114</v>
      </c>
      <c r="C3791" t="s">
        <v>105</v>
      </c>
      <c r="D3791" t="s">
        <v>7234</v>
      </c>
      <c r="E3791" t="s">
        <v>900</v>
      </c>
      <c r="F3791" t="s">
        <v>2184</v>
      </c>
      <c r="G3791" t="s">
        <v>714</v>
      </c>
      <c r="H3791" t="str">
        <f>"ΧΡ. ΜΑΧΑΙΡΑ 26 ΑΜΦΙΣΣΑ"</f>
        <v>ΧΡ. ΜΑΧΑΙΡΑ 26 ΑΜΦΙΣΣΑ</v>
      </c>
      <c r="I3791">
        <v>33100</v>
      </c>
      <c r="J3791">
        <v>2265022729</v>
      </c>
      <c r="K3791">
        <v>6973305848</v>
      </c>
      <c r="M3791" t="s">
        <v>7235</v>
      </c>
      <c r="N3791" t="s">
        <v>189</v>
      </c>
      <c r="O3791" t="s">
        <v>190</v>
      </c>
      <c r="R3791" t="s">
        <v>57</v>
      </c>
      <c r="S3791">
        <v>8</v>
      </c>
      <c r="T3791">
        <v>231</v>
      </c>
      <c r="U3791" s="1">
        <v>38960</v>
      </c>
      <c r="V3791" t="s">
        <v>6729</v>
      </c>
      <c r="W3791" t="s">
        <v>6730</v>
      </c>
      <c r="X3791" t="s">
        <v>58</v>
      </c>
      <c r="Y3791">
        <v>20</v>
      </c>
      <c r="Z3791" t="s">
        <v>59</v>
      </c>
      <c r="AA3791" t="s">
        <v>59</v>
      </c>
      <c r="AB3791" t="s">
        <v>59</v>
      </c>
      <c r="AC3791" t="s">
        <v>59</v>
      </c>
      <c r="AD3791" t="s">
        <v>59</v>
      </c>
      <c r="AF3791" s="1">
        <v>38961</v>
      </c>
      <c r="AG3791" t="s">
        <v>137</v>
      </c>
      <c r="AH3791" t="s">
        <v>138</v>
      </c>
      <c r="AI3791" t="str">
        <f>"5050065"</f>
        <v>5050065</v>
      </c>
      <c r="AJ3791" t="s">
        <v>6822</v>
      </c>
      <c r="AK3791">
        <v>2823022234</v>
      </c>
      <c r="AL3791" t="s">
        <v>6823</v>
      </c>
      <c r="AM3791" t="s">
        <v>88</v>
      </c>
      <c r="AN3791" t="s">
        <v>6824</v>
      </c>
      <c r="AO3791" t="s">
        <v>6825</v>
      </c>
      <c r="AP3791" t="s">
        <v>6826</v>
      </c>
      <c r="AQ3791">
        <v>1</v>
      </c>
      <c r="AR3791" t="s">
        <v>6729</v>
      </c>
      <c r="AS3791" t="s">
        <v>6730</v>
      </c>
      <c r="AT3791" t="s">
        <v>58</v>
      </c>
      <c r="AU3791" t="s">
        <v>68</v>
      </c>
      <c r="AV3791" t="s">
        <v>69</v>
      </c>
      <c r="AW3791" s="1">
        <v>28530</v>
      </c>
      <c r="AX3791">
        <v>2</v>
      </c>
    </row>
    <row r="3792" spans="1:50">
      <c r="B3792" t="str">
        <f>"135533460"</f>
        <v>135533460</v>
      </c>
      <c r="C3792" t="s">
        <v>105</v>
      </c>
      <c r="D3792" t="s">
        <v>7236</v>
      </c>
      <c r="E3792" t="s">
        <v>2023</v>
      </c>
      <c r="F3792" t="s">
        <v>1062</v>
      </c>
      <c r="H3792" t="str">
        <f>" "</f>
        <v xml:space="preserve"> </v>
      </c>
      <c r="K3792">
        <v>6979078790</v>
      </c>
      <c r="N3792" t="s">
        <v>536</v>
      </c>
      <c r="O3792" t="s">
        <v>537</v>
      </c>
      <c r="R3792" t="s">
        <v>159</v>
      </c>
      <c r="S3792">
        <v>3</v>
      </c>
      <c r="T3792" t="s">
        <v>344</v>
      </c>
      <c r="U3792" s="1">
        <v>43348</v>
      </c>
      <c r="V3792" t="s">
        <v>6729</v>
      </c>
      <c r="W3792" t="s">
        <v>6730</v>
      </c>
      <c r="X3792" t="s">
        <v>58</v>
      </c>
      <c r="Y3792">
        <v>23</v>
      </c>
      <c r="Z3792" t="s">
        <v>59</v>
      </c>
      <c r="AA3792" t="s">
        <v>59</v>
      </c>
      <c r="AB3792" t="s">
        <v>59</v>
      </c>
      <c r="AC3792" t="s">
        <v>59</v>
      </c>
      <c r="AD3792" t="s">
        <v>59</v>
      </c>
      <c r="AF3792" s="1">
        <v>43348</v>
      </c>
      <c r="AG3792" t="s">
        <v>125</v>
      </c>
      <c r="AH3792" t="s">
        <v>126</v>
      </c>
      <c r="AI3792" t="str">
        <f>"5011010"</f>
        <v>5011010</v>
      </c>
      <c r="AJ3792" t="s">
        <v>6877</v>
      </c>
      <c r="AK3792">
        <v>2821081330</v>
      </c>
      <c r="AL3792" t="s">
        <v>6878</v>
      </c>
      <c r="AM3792" t="s">
        <v>88</v>
      </c>
      <c r="AN3792" t="s">
        <v>88</v>
      </c>
      <c r="AO3792" t="s">
        <v>6748</v>
      </c>
      <c r="AP3792" t="s">
        <v>6748</v>
      </c>
      <c r="AQ3792">
        <v>1</v>
      </c>
      <c r="AR3792" t="s">
        <v>6729</v>
      </c>
      <c r="AS3792" t="s">
        <v>6730</v>
      </c>
      <c r="AT3792" t="s">
        <v>58</v>
      </c>
      <c r="AU3792" t="s">
        <v>350</v>
      </c>
      <c r="AV3792" t="s">
        <v>132</v>
      </c>
      <c r="AW3792" s="1">
        <v>31684</v>
      </c>
      <c r="AX3792">
        <v>2</v>
      </c>
    </row>
    <row r="3793" spans="1:50">
      <c r="A3793">
        <v>165939</v>
      </c>
      <c r="B3793" t="str">
        <f>"031415320"</f>
        <v>031415320</v>
      </c>
      <c r="C3793" t="s">
        <v>105</v>
      </c>
      <c r="D3793" t="s">
        <v>1492</v>
      </c>
      <c r="E3793" t="s">
        <v>830</v>
      </c>
      <c r="F3793" t="s">
        <v>95</v>
      </c>
      <c r="G3793" t="s">
        <v>727</v>
      </c>
      <c r="H3793" t="str">
        <f>"ΓΕΡΑΣΙΜΟΥ ΠΑΡΔΑΛΗ 13 ΧΑΝΙΩΝ"</f>
        <v>ΓΕΡΑΣΙΜΟΥ ΠΑΡΔΑΛΗ 13 ΧΑΝΙΩΝ</v>
      </c>
      <c r="I3793">
        <v>73131</v>
      </c>
      <c r="J3793">
        <v>2821027846</v>
      </c>
      <c r="K3793">
        <v>6972446391</v>
      </c>
      <c r="M3793" t="s">
        <v>7237</v>
      </c>
      <c r="N3793" t="s">
        <v>292</v>
      </c>
      <c r="O3793" t="s">
        <v>293</v>
      </c>
      <c r="R3793" t="s">
        <v>57</v>
      </c>
      <c r="S3793">
        <v>13</v>
      </c>
      <c r="T3793">
        <v>137</v>
      </c>
      <c r="U3793" s="1">
        <v>34206</v>
      </c>
      <c r="V3793" t="s">
        <v>6729</v>
      </c>
      <c r="W3793" t="s">
        <v>6730</v>
      </c>
      <c r="X3793" t="s">
        <v>58</v>
      </c>
      <c r="Y3793">
        <v>18</v>
      </c>
      <c r="Z3793" t="s">
        <v>59</v>
      </c>
      <c r="AA3793" t="s">
        <v>59</v>
      </c>
      <c r="AB3793" t="s">
        <v>59</v>
      </c>
      <c r="AC3793" t="s">
        <v>59</v>
      </c>
      <c r="AD3793" t="s">
        <v>59</v>
      </c>
      <c r="AF3793" s="1">
        <v>34213</v>
      </c>
      <c r="AG3793" t="s">
        <v>125</v>
      </c>
      <c r="AH3793" t="s">
        <v>126</v>
      </c>
      <c r="AI3793" t="str">
        <f>"5001060"</f>
        <v>5001060</v>
      </c>
      <c r="AJ3793" t="s">
        <v>6914</v>
      </c>
      <c r="AK3793">
        <v>2821091763</v>
      </c>
      <c r="AL3793" t="s">
        <v>6915</v>
      </c>
      <c r="AM3793" t="s">
        <v>88</v>
      </c>
      <c r="AN3793" t="s">
        <v>88</v>
      </c>
      <c r="AO3793" t="s">
        <v>88</v>
      </c>
      <c r="AP3793" t="s">
        <v>88</v>
      </c>
      <c r="AQ3793">
        <v>1</v>
      </c>
      <c r="AR3793" t="s">
        <v>6729</v>
      </c>
      <c r="AS3793" t="s">
        <v>6730</v>
      </c>
      <c r="AT3793" t="s">
        <v>58</v>
      </c>
      <c r="AU3793" t="s">
        <v>68</v>
      </c>
      <c r="AV3793" t="s">
        <v>69</v>
      </c>
      <c r="AW3793" s="1">
        <v>20517</v>
      </c>
      <c r="AX3793">
        <v>2</v>
      </c>
    </row>
    <row r="3794" spans="1:50">
      <c r="A3794">
        <v>161162</v>
      </c>
      <c r="B3794" t="str">
        <f>"027212113"</f>
        <v>027212113</v>
      </c>
      <c r="C3794" t="s">
        <v>50</v>
      </c>
      <c r="D3794" t="s">
        <v>7238</v>
      </c>
      <c r="E3794" t="s">
        <v>263</v>
      </c>
      <c r="F3794" t="s">
        <v>84</v>
      </c>
      <c r="G3794" t="s">
        <v>755</v>
      </c>
      <c r="H3794" t="str">
        <f>" "</f>
        <v xml:space="preserve"> </v>
      </c>
      <c r="M3794" t="s">
        <v>7239</v>
      </c>
      <c r="N3794" t="s">
        <v>3795</v>
      </c>
      <c r="O3794" t="s">
        <v>3796</v>
      </c>
      <c r="R3794" t="s">
        <v>57</v>
      </c>
      <c r="S3794">
        <v>16</v>
      </c>
      <c r="T3794">
        <v>161</v>
      </c>
      <c r="U3794" s="1">
        <v>33119</v>
      </c>
      <c r="V3794" t="s">
        <v>6729</v>
      </c>
      <c r="W3794" t="s">
        <v>6730</v>
      </c>
      <c r="X3794" t="s">
        <v>58</v>
      </c>
      <c r="Y3794">
        <v>18</v>
      </c>
      <c r="Z3794" t="s">
        <v>59</v>
      </c>
      <c r="AA3794" t="s">
        <v>59</v>
      </c>
      <c r="AB3794" t="s">
        <v>59</v>
      </c>
      <c r="AC3794" t="s">
        <v>59</v>
      </c>
      <c r="AD3794" t="s">
        <v>59</v>
      </c>
      <c r="AF3794" s="1">
        <v>33121</v>
      </c>
      <c r="AG3794" t="s">
        <v>137</v>
      </c>
      <c r="AH3794" t="s">
        <v>138</v>
      </c>
      <c r="AI3794" t="str">
        <f>"5040050"</f>
        <v>5040050</v>
      </c>
      <c r="AJ3794" t="s">
        <v>6750</v>
      </c>
      <c r="AK3794">
        <v>2821043147</v>
      </c>
      <c r="AL3794" t="s">
        <v>6751</v>
      </c>
      <c r="AM3794" t="s">
        <v>88</v>
      </c>
      <c r="AN3794" t="s">
        <v>88</v>
      </c>
      <c r="AO3794" t="s">
        <v>88</v>
      </c>
      <c r="AP3794" t="s">
        <v>88</v>
      </c>
      <c r="AQ3794">
        <v>1</v>
      </c>
      <c r="AR3794" t="s">
        <v>6729</v>
      </c>
      <c r="AS3794" t="s">
        <v>6730</v>
      </c>
      <c r="AT3794" t="s">
        <v>58</v>
      </c>
      <c r="AU3794" t="s">
        <v>68</v>
      </c>
      <c r="AV3794" t="s">
        <v>69</v>
      </c>
      <c r="AW3794" s="1">
        <v>20833</v>
      </c>
      <c r="AX3794">
        <v>2</v>
      </c>
    </row>
    <row r="3795" spans="1:50">
      <c r="A3795">
        <v>222070</v>
      </c>
      <c r="B3795" t="str">
        <f>"075071982"</f>
        <v>075071982</v>
      </c>
      <c r="C3795" t="s">
        <v>50</v>
      </c>
      <c r="D3795" t="s">
        <v>1505</v>
      </c>
      <c r="E3795" t="s">
        <v>52</v>
      </c>
      <c r="F3795" t="s">
        <v>84</v>
      </c>
      <c r="G3795" t="s">
        <v>181</v>
      </c>
      <c r="H3795" t="str">
        <f>"ΓΙΑΜΠΟΥΔΑΚΗ 14 ΧΑΝΙΑ"</f>
        <v>ΓΙΑΜΠΟΥΔΑΚΗ 14 ΧΑΝΙΑ</v>
      </c>
      <c r="I3795">
        <v>73134</v>
      </c>
      <c r="J3795">
        <v>2821054556</v>
      </c>
      <c r="K3795">
        <v>6942849310</v>
      </c>
      <c r="M3795" t="s">
        <v>7240</v>
      </c>
      <c r="N3795" t="s">
        <v>146</v>
      </c>
      <c r="O3795" t="s">
        <v>147</v>
      </c>
      <c r="R3795" t="s">
        <v>57</v>
      </c>
      <c r="S3795">
        <v>5</v>
      </c>
      <c r="T3795">
        <v>775</v>
      </c>
      <c r="U3795" s="1">
        <v>39680</v>
      </c>
      <c r="V3795" t="s">
        <v>6729</v>
      </c>
      <c r="W3795" t="s">
        <v>6730</v>
      </c>
      <c r="X3795" t="s">
        <v>58</v>
      </c>
      <c r="Y3795">
        <v>21</v>
      </c>
      <c r="Z3795" t="s">
        <v>59</v>
      </c>
      <c r="AA3795" t="s">
        <v>59</v>
      </c>
      <c r="AB3795" t="s">
        <v>59</v>
      </c>
      <c r="AC3795" t="s">
        <v>59</v>
      </c>
      <c r="AD3795" t="s">
        <v>59</v>
      </c>
      <c r="AF3795" s="1">
        <v>39681</v>
      </c>
      <c r="AG3795" t="s">
        <v>137</v>
      </c>
      <c r="AH3795" t="s">
        <v>138</v>
      </c>
      <c r="AI3795" t="str">
        <f>"5050060"</f>
        <v>5050060</v>
      </c>
      <c r="AJ3795" t="s">
        <v>6801</v>
      </c>
      <c r="AK3795">
        <v>2821091515</v>
      </c>
      <c r="AL3795" t="s">
        <v>6802</v>
      </c>
      <c r="AM3795" t="s">
        <v>88</v>
      </c>
      <c r="AN3795" t="s">
        <v>88</v>
      </c>
      <c r="AO3795" t="s">
        <v>88</v>
      </c>
      <c r="AP3795" t="s">
        <v>88</v>
      </c>
      <c r="AQ3795">
        <v>1</v>
      </c>
      <c r="AR3795" t="s">
        <v>6729</v>
      </c>
      <c r="AS3795" t="s">
        <v>6730</v>
      </c>
      <c r="AT3795" t="s">
        <v>58</v>
      </c>
      <c r="AU3795" t="s">
        <v>68</v>
      </c>
      <c r="AV3795" t="s">
        <v>69</v>
      </c>
      <c r="AW3795" s="1">
        <v>25587</v>
      </c>
      <c r="AX3795">
        <v>2</v>
      </c>
    </row>
    <row r="3796" spans="1:50">
      <c r="A3796">
        <v>207218</v>
      </c>
      <c r="B3796" t="str">
        <f>"043741428"</f>
        <v>043741428</v>
      </c>
      <c r="C3796" t="s">
        <v>105</v>
      </c>
      <c r="D3796" t="s">
        <v>7241</v>
      </c>
      <c r="E3796" t="s">
        <v>84</v>
      </c>
      <c r="F3796" t="s">
        <v>53</v>
      </c>
      <c r="G3796" t="s">
        <v>513</v>
      </c>
      <c r="H3796" t="str">
        <f>" "</f>
        <v xml:space="preserve"> </v>
      </c>
      <c r="J3796">
        <v>2821028509</v>
      </c>
      <c r="K3796">
        <v>6944720990</v>
      </c>
      <c r="M3796" t="s">
        <v>7242</v>
      </c>
      <c r="N3796" t="s">
        <v>199</v>
      </c>
      <c r="O3796" t="s">
        <v>200</v>
      </c>
      <c r="R3796" t="s">
        <v>57</v>
      </c>
      <c r="S3796">
        <v>8</v>
      </c>
      <c r="T3796">
        <v>218</v>
      </c>
      <c r="U3796" s="1">
        <v>38596</v>
      </c>
      <c r="V3796" t="s">
        <v>6729</v>
      </c>
      <c r="W3796" t="s">
        <v>6730</v>
      </c>
      <c r="X3796" t="s">
        <v>58</v>
      </c>
      <c r="Y3796">
        <v>20</v>
      </c>
      <c r="Z3796" t="s">
        <v>59</v>
      </c>
      <c r="AA3796" t="s">
        <v>59</v>
      </c>
      <c r="AB3796" t="s">
        <v>59</v>
      </c>
      <c r="AC3796" t="s">
        <v>59</v>
      </c>
      <c r="AD3796" t="s">
        <v>59</v>
      </c>
      <c r="AF3796" s="1">
        <v>38602</v>
      </c>
      <c r="AG3796" t="s">
        <v>137</v>
      </c>
      <c r="AH3796" t="s">
        <v>469</v>
      </c>
      <c r="AI3796" t="str">
        <f>"5040055"</f>
        <v>5040055</v>
      </c>
      <c r="AJ3796" t="s">
        <v>6940</v>
      </c>
      <c r="AK3796">
        <v>2821036404</v>
      </c>
      <c r="AL3796" t="s">
        <v>6941</v>
      </c>
      <c r="AM3796" t="s">
        <v>88</v>
      </c>
      <c r="AN3796" t="s">
        <v>88</v>
      </c>
      <c r="AO3796" t="s">
        <v>88</v>
      </c>
      <c r="AP3796" t="s">
        <v>88</v>
      </c>
      <c r="AQ3796">
        <v>1</v>
      </c>
      <c r="AR3796" t="s">
        <v>6729</v>
      </c>
      <c r="AS3796" t="s">
        <v>6730</v>
      </c>
      <c r="AT3796" t="s">
        <v>58</v>
      </c>
      <c r="AU3796" t="s">
        <v>68</v>
      </c>
      <c r="AV3796" t="s">
        <v>69</v>
      </c>
      <c r="AW3796" s="1">
        <v>22521</v>
      </c>
      <c r="AX3796">
        <v>2</v>
      </c>
    </row>
    <row r="3797" spans="1:50">
      <c r="A3797">
        <v>172175</v>
      </c>
      <c r="B3797" t="str">
        <f>"034444577"</f>
        <v>034444577</v>
      </c>
      <c r="C3797" t="s">
        <v>50</v>
      </c>
      <c r="D3797" t="s">
        <v>1509</v>
      </c>
      <c r="E3797" t="s">
        <v>250</v>
      </c>
      <c r="F3797" t="s">
        <v>154</v>
      </c>
      <c r="G3797" t="s">
        <v>83</v>
      </c>
      <c r="H3797" t="str">
        <f>" "</f>
        <v xml:space="preserve"> </v>
      </c>
      <c r="K3797">
        <v>6937483132</v>
      </c>
      <c r="M3797" t="s">
        <v>7243</v>
      </c>
      <c r="N3797" t="s">
        <v>282</v>
      </c>
      <c r="O3797" t="s">
        <v>283</v>
      </c>
      <c r="R3797" t="s">
        <v>57</v>
      </c>
      <c r="S3797">
        <v>16</v>
      </c>
      <c r="T3797">
        <v>184</v>
      </c>
      <c r="U3797" s="1">
        <v>34941</v>
      </c>
      <c r="V3797" t="s">
        <v>6729</v>
      </c>
      <c r="W3797" t="s">
        <v>6730</v>
      </c>
      <c r="X3797" t="s">
        <v>58</v>
      </c>
      <c r="Y3797">
        <v>18</v>
      </c>
      <c r="Z3797" t="s">
        <v>59</v>
      </c>
      <c r="AA3797" t="s">
        <v>59</v>
      </c>
      <c r="AB3797" t="s">
        <v>59</v>
      </c>
      <c r="AC3797" t="s">
        <v>59</v>
      </c>
      <c r="AD3797" t="s">
        <v>59</v>
      </c>
      <c r="AF3797" s="1">
        <v>34943</v>
      </c>
      <c r="AG3797" t="s">
        <v>125</v>
      </c>
      <c r="AH3797" t="s">
        <v>126</v>
      </c>
      <c r="AI3797" t="str">
        <f>"5001040"</f>
        <v>5001040</v>
      </c>
      <c r="AJ3797" t="s">
        <v>7126</v>
      </c>
      <c r="AK3797">
        <v>2821088010</v>
      </c>
      <c r="AM3797" t="s">
        <v>88</v>
      </c>
      <c r="AN3797" t="s">
        <v>88</v>
      </c>
      <c r="AO3797" t="s">
        <v>88</v>
      </c>
      <c r="AP3797" t="s">
        <v>88</v>
      </c>
      <c r="AQ3797">
        <v>1</v>
      </c>
      <c r="AR3797" t="s">
        <v>6729</v>
      </c>
      <c r="AS3797" t="s">
        <v>6730</v>
      </c>
      <c r="AT3797" t="s">
        <v>58</v>
      </c>
      <c r="AU3797" t="s">
        <v>68</v>
      </c>
      <c r="AV3797" t="s">
        <v>69</v>
      </c>
      <c r="AW3797" s="1">
        <v>22520</v>
      </c>
      <c r="AX3797">
        <v>2</v>
      </c>
    </row>
    <row r="3798" spans="1:50">
      <c r="A3798">
        <v>212011</v>
      </c>
      <c r="B3798" t="str">
        <f>"077816120"</f>
        <v>077816120</v>
      </c>
      <c r="C3798" t="s">
        <v>50</v>
      </c>
      <c r="D3798" t="s">
        <v>1509</v>
      </c>
      <c r="E3798" t="s">
        <v>83</v>
      </c>
      <c r="F3798" t="s">
        <v>154</v>
      </c>
      <c r="G3798" t="s">
        <v>314</v>
      </c>
      <c r="H3798" t="str">
        <f>"2η ΠΑΡ. ΠΑΤΡΙΩΑΝΝΙΚΕΙΟΥ 5 ΧΑΝΙΑ"</f>
        <v>2η ΠΑΡ. ΠΑΤΡΙΩΑΝΝΙΚΕΙΟΥ 5 ΧΑΝΙΑ</v>
      </c>
      <c r="I3798">
        <v>73100</v>
      </c>
      <c r="J3798">
        <v>2821070734</v>
      </c>
      <c r="K3798">
        <v>6976201784</v>
      </c>
      <c r="L3798">
        <v>2823022067</v>
      </c>
      <c r="M3798" t="s">
        <v>7244</v>
      </c>
      <c r="N3798" t="s">
        <v>146</v>
      </c>
      <c r="O3798" t="s">
        <v>147</v>
      </c>
      <c r="R3798" t="s">
        <v>57</v>
      </c>
      <c r="S3798">
        <v>6</v>
      </c>
      <c r="T3798">
        <v>231</v>
      </c>
      <c r="U3798" s="1">
        <v>38960</v>
      </c>
      <c r="V3798" t="s">
        <v>6729</v>
      </c>
      <c r="W3798" t="s">
        <v>6730</v>
      </c>
      <c r="X3798" t="s">
        <v>58</v>
      </c>
      <c r="Y3798">
        <v>20</v>
      </c>
      <c r="Z3798" t="s">
        <v>59</v>
      </c>
      <c r="AA3798" t="s">
        <v>59</v>
      </c>
      <c r="AB3798" t="s">
        <v>59</v>
      </c>
      <c r="AC3798" t="s">
        <v>59</v>
      </c>
      <c r="AD3798" t="s">
        <v>59</v>
      </c>
      <c r="AF3798" s="1">
        <v>38961</v>
      </c>
      <c r="AG3798" t="s">
        <v>148</v>
      </c>
      <c r="AH3798" t="s">
        <v>149</v>
      </c>
      <c r="AI3798" t="str">
        <f>"5059010"</f>
        <v>5059010</v>
      </c>
      <c r="AJ3798" t="s">
        <v>6883</v>
      </c>
      <c r="AK3798">
        <v>2821077166</v>
      </c>
      <c r="AL3798" t="s">
        <v>6884</v>
      </c>
      <c r="AM3798" t="s">
        <v>88</v>
      </c>
      <c r="AN3798" t="s">
        <v>6764</v>
      </c>
      <c r="AO3798" t="s">
        <v>6885</v>
      </c>
      <c r="AP3798" t="s">
        <v>6886</v>
      </c>
      <c r="AQ3798">
        <v>1</v>
      </c>
      <c r="AR3798" t="s">
        <v>6729</v>
      </c>
      <c r="AS3798" t="s">
        <v>6730</v>
      </c>
      <c r="AT3798" t="s">
        <v>58</v>
      </c>
      <c r="AU3798" t="s">
        <v>68</v>
      </c>
      <c r="AV3798" t="s">
        <v>69</v>
      </c>
      <c r="AW3798" s="1">
        <v>25091</v>
      </c>
      <c r="AX3798">
        <v>2</v>
      </c>
    </row>
    <row r="3799" spans="1:50">
      <c r="A3799">
        <v>165594</v>
      </c>
      <c r="B3799" t="str">
        <f>"032507874"</f>
        <v>032507874</v>
      </c>
      <c r="C3799" t="s">
        <v>105</v>
      </c>
      <c r="D3799" t="s">
        <v>7245</v>
      </c>
      <c r="E3799" t="s">
        <v>166</v>
      </c>
      <c r="F3799" t="s">
        <v>154</v>
      </c>
      <c r="G3799" t="s">
        <v>411</v>
      </c>
      <c r="H3799" t="str">
        <f>" "</f>
        <v xml:space="preserve"> </v>
      </c>
      <c r="N3799" t="s">
        <v>146</v>
      </c>
      <c r="O3799" t="s">
        <v>147</v>
      </c>
      <c r="P3799" t="s">
        <v>257</v>
      </c>
      <c r="Q3799" t="s">
        <v>258</v>
      </c>
      <c r="R3799" t="s">
        <v>57</v>
      </c>
      <c r="S3799">
        <v>14</v>
      </c>
      <c r="T3799">
        <v>137</v>
      </c>
      <c r="U3799" s="1">
        <v>34206</v>
      </c>
      <c r="V3799" t="s">
        <v>6729</v>
      </c>
      <c r="W3799" t="s">
        <v>6730</v>
      </c>
      <c r="X3799" t="s">
        <v>58</v>
      </c>
      <c r="Y3799">
        <v>18</v>
      </c>
      <c r="Z3799" t="s">
        <v>59</v>
      </c>
      <c r="AA3799" t="s">
        <v>59</v>
      </c>
      <c r="AB3799" t="s">
        <v>59</v>
      </c>
      <c r="AC3799" t="s">
        <v>59</v>
      </c>
      <c r="AD3799" t="s">
        <v>59</v>
      </c>
      <c r="AF3799" s="1">
        <v>34213</v>
      </c>
      <c r="AG3799" t="s">
        <v>148</v>
      </c>
      <c r="AH3799" t="s">
        <v>149</v>
      </c>
      <c r="AI3799" t="str">
        <f>"5061010"</f>
        <v>5061010</v>
      </c>
      <c r="AJ3799" t="s">
        <v>6746</v>
      </c>
      <c r="AK3799">
        <v>2821081530</v>
      </c>
      <c r="AL3799" t="s">
        <v>6747</v>
      </c>
      <c r="AM3799" t="s">
        <v>88</v>
      </c>
      <c r="AN3799" t="s">
        <v>88</v>
      </c>
      <c r="AO3799" t="s">
        <v>6748</v>
      </c>
      <c r="AP3799" t="s">
        <v>6748</v>
      </c>
      <c r="AQ3799">
        <v>1</v>
      </c>
      <c r="AR3799" t="s">
        <v>6729</v>
      </c>
      <c r="AS3799" t="s">
        <v>6730</v>
      </c>
      <c r="AT3799" t="s">
        <v>58</v>
      </c>
      <c r="AU3799" t="s">
        <v>68</v>
      </c>
      <c r="AV3799" t="s">
        <v>69</v>
      </c>
      <c r="AW3799" s="1">
        <v>22046</v>
      </c>
      <c r="AX3799">
        <v>2</v>
      </c>
    </row>
    <row r="3800" spans="1:50">
      <c r="A3800">
        <v>173816</v>
      </c>
      <c r="B3800" t="str">
        <f>"030493870"</f>
        <v>030493870</v>
      </c>
      <c r="C3800" t="s">
        <v>105</v>
      </c>
      <c r="D3800" t="s">
        <v>7245</v>
      </c>
      <c r="E3800" t="s">
        <v>7246</v>
      </c>
      <c r="F3800" t="s">
        <v>95</v>
      </c>
      <c r="G3800" t="s">
        <v>52</v>
      </c>
      <c r="H3800" t="str">
        <f>"ΣΟΦΟΚΛΕΟΥΣ 12 ΚΟΥΜΠΕΛΗ"</f>
        <v>ΣΟΦΟΚΛΕΟΥΣ 12 ΚΟΥΜΠΕΛΗ</v>
      </c>
      <c r="I3800">
        <v>73100</v>
      </c>
      <c r="J3800">
        <v>2821043893</v>
      </c>
      <c r="K3800">
        <v>6974588490</v>
      </c>
      <c r="M3800" t="s">
        <v>7247</v>
      </c>
      <c r="N3800" t="s">
        <v>232</v>
      </c>
      <c r="O3800" t="s">
        <v>233</v>
      </c>
      <c r="R3800" t="s">
        <v>57</v>
      </c>
      <c r="S3800">
        <v>11</v>
      </c>
      <c r="T3800">
        <v>166</v>
      </c>
      <c r="U3800" s="1">
        <v>35300</v>
      </c>
      <c r="V3800" t="s">
        <v>6729</v>
      </c>
      <c r="W3800" t="s">
        <v>6730</v>
      </c>
      <c r="X3800" t="s">
        <v>58</v>
      </c>
      <c r="Y3800">
        <v>18</v>
      </c>
      <c r="Z3800" t="s">
        <v>59</v>
      </c>
      <c r="AA3800" t="s">
        <v>59</v>
      </c>
      <c r="AB3800" t="s">
        <v>59</v>
      </c>
      <c r="AC3800" t="s">
        <v>59</v>
      </c>
      <c r="AD3800" t="s">
        <v>59</v>
      </c>
      <c r="AF3800" s="1">
        <v>35312</v>
      </c>
      <c r="AG3800" t="s">
        <v>148</v>
      </c>
      <c r="AH3800" t="s">
        <v>149</v>
      </c>
      <c r="AI3800" t="str">
        <f>"5090080"</f>
        <v>5090080</v>
      </c>
      <c r="AJ3800" t="s">
        <v>6906</v>
      </c>
      <c r="AK3800">
        <v>2821096638</v>
      </c>
      <c r="AL3800" t="s">
        <v>6907</v>
      </c>
      <c r="AM3800" t="s">
        <v>88</v>
      </c>
      <c r="AN3800" t="s">
        <v>88</v>
      </c>
      <c r="AO3800" t="s">
        <v>88</v>
      </c>
      <c r="AP3800" t="s">
        <v>88</v>
      </c>
      <c r="AQ3800">
        <v>1</v>
      </c>
      <c r="AR3800" t="s">
        <v>6729</v>
      </c>
      <c r="AS3800" t="s">
        <v>6730</v>
      </c>
      <c r="AT3800" t="s">
        <v>58</v>
      </c>
      <c r="AU3800" t="s">
        <v>68</v>
      </c>
      <c r="AV3800" t="s">
        <v>69</v>
      </c>
      <c r="AW3800" s="1">
        <v>22378</v>
      </c>
      <c r="AX3800">
        <v>2</v>
      </c>
    </row>
    <row r="3801" spans="1:50">
      <c r="B3801" t="str">
        <f>"055378429"</f>
        <v>055378429</v>
      </c>
      <c r="C3801" t="s">
        <v>50</v>
      </c>
      <c r="D3801" t="s">
        <v>7248</v>
      </c>
      <c r="E3801" t="s">
        <v>73</v>
      </c>
      <c r="F3801" t="s">
        <v>309</v>
      </c>
      <c r="G3801" t="s">
        <v>215</v>
      </c>
      <c r="H3801" t="str">
        <f>"ΛΥΚΟΥΡΓΟΥ 54 ΠΕΙΡΑΙΑΣ"</f>
        <v>ΛΥΚΟΥΡΓΟΥ 54 ΠΕΙΡΑΙΑΣ</v>
      </c>
      <c r="I3801">
        <v>18452</v>
      </c>
      <c r="J3801">
        <v>2104933826</v>
      </c>
      <c r="K3801">
        <v>6978763523</v>
      </c>
      <c r="N3801" t="s">
        <v>1116</v>
      </c>
      <c r="O3801" t="s">
        <v>1117</v>
      </c>
      <c r="R3801" t="s">
        <v>57</v>
      </c>
      <c r="S3801">
        <v>5</v>
      </c>
      <c r="T3801" t="s">
        <v>1908</v>
      </c>
      <c r="U3801" s="1">
        <v>43368</v>
      </c>
      <c r="V3801" t="s">
        <v>6729</v>
      </c>
      <c r="W3801" t="s">
        <v>6730</v>
      </c>
      <c r="X3801" t="s">
        <v>58</v>
      </c>
      <c r="Y3801">
        <v>21</v>
      </c>
      <c r="Z3801" t="s">
        <v>59</v>
      </c>
      <c r="AA3801" t="s">
        <v>59</v>
      </c>
      <c r="AB3801" t="s">
        <v>59</v>
      </c>
      <c r="AC3801" t="s">
        <v>59</v>
      </c>
      <c r="AD3801" t="s">
        <v>59</v>
      </c>
      <c r="AF3801" s="1">
        <v>43368</v>
      </c>
      <c r="AG3801" t="s">
        <v>125</v>
      </c>
      <c r="AH3801" t="s">
        <v>294</v>
      </c>
      <c r="AI3801" t="str">
        <f>"5012017"</f>
        <v>5012017</v>
      </c>
      <c r="AJ3801" t="s">
        <v>6859</v>
      </c>
      <c r="AK3801">
        <v>2821088065</v>
      </c>
      <c r="AL3801" t="s">
        <v>6860</v>
      </c>
      <c r="AM3801" t="s">
        <v>88</v>
      </c>
      <c r="AN3801" t="s">
        <v>88</v>
      </c>
      <c r="AO3801" t="s">
        <v>88</v>
      </c>
      <c r="AP3801" t="s">
        <v>88</v>
      </c>
      <c r="AQ3801">
        <v>1</v>
      </c>
      <c r="AR3801" t="s">
        <v>6729</v>
      </c>
      <c r="AS3801" t="s">
        <v>6730</v>
      </c>
      <c r="AT3801" t="s">
        <v>58</v>
      </c>
      <c r="AU3801" t="s">
        <v>164</v>
      </c>
      <c r="AV3801" t="s">
        <v>132</v>
      </c>
      <c r="AW3801" s="1">
        <v>24922</v>
      </c>
      <c r="AX3801">
        <v>2</v>
      </c>
    </row>
    <row r="3802" spans="1:50">
      <c r="A3802">
        <v>210476</v>
      </c>
      <c r="B3802" t="str">
        <f>"102945589"</f>
        <v>102945589</v>
      </c>
      <c r="C3802" t="s">
        <v>50</v>
      </c>
      <c r="D3802" t="s">
        <v>7249</v>
      </c>
      <c r="E3802" t="s">
        <v>714</v>
      </c>
      <c r="F3802" t="s">
        <v>782</v>
      </c>
      <c r="G3802" t="s">
        <v>4801</v>
      </c>
      <c r="H3802" t="str">
        <f>"Π. ΓΥΠΑΡΗ 1 ΚΟΥΝΟΥΠΙΔΙΑΝΑ"</f>
        <v>Π. ΓΥΠΑΡΗ 1 ΚΟΥΝΟΥΠΙΔΙΑΝΑ</v>
      </c>
      <c r="I3802">
        <v>73100</v>
      </c>
      <c r="J3802">
        <v>2821028429</v>
      </c>
      <c r="K3802">
        <v>6977075172</v>
      </c>
      <c r="L3802">
        <v>2104132902</v>
      </c>
      <c r="M3802" t="s">
        <v>7250</v>
      </c>
      <c r="N3802" t="s">
        <v>306</v>
      </c>
      <c r="O3802" t="s">
        <v>307</v>
      </c>
      <c r="R3802" t="s">
        <v>57</v>
      </c>
      <c r="S3802">
        <v>6</v>
      </c>
      <c r="T3802">
        <v>249</v>
      </c>
      <c r="U3802" s="1">
        <v>38617</v>
      </c>
      <c r="V3802" t="s">
        <v>6729</v>
      </c>
      <c r="W3802" t="s">
        <v>6730</v>
      </c>
      <c r="X3802" t="s">
        <v>58</v>
      </c>
      <c r="Y3802">
        <v>20</v>
      </c>
      <c r="Z3802" t="s">
        <v>59</v>
      </c>
      <c r="AA3802" t="s">
        <v>59</v>
      </c>
      <c r="AB3802" t="s">
        <v>59</v>
      </c>
      <c r="AC3802" t="s">
        <v>59</v>
      </c>
      <c r="AD3802" t="s">
        <v>59</v>
      </c>
      <c r="AF3802" s="1">
        <v>38622</v>
      </c>
      <c r="AG3802" t="s">
        <v>137</v>
      </c>
      <c r="AH3802" t="s">
        <v>469</v>
      </c>
      <c r="AI3802" t="str">
        <f>"5053001"</f>
        <v>5053001</v>
      </c>
      <c r="AJ3802" t="s">
        <v>6788</v>
      </c>
      <c r="AK3802">
        <v>2821068020</v>
      </c>
      <c r="AM3802" t="s">
        <v>88</v>
      </c>
      <c r="AN3802" t="s">
        <v>6764</v>
      </c>
      <c r="AO3802" t="s">
        <v>6764</v>
      </c>
      <c r="AP3802" t="s">
        <v>6764</v>
      </c>
      <c r="AQ3802">
        <v>1</v>
      </c>
      <c r="AR3802" t="s">
        <v>6729</v>
      </c>
      <c r="AS3802" t="s">
        <v>6730</v>
      </c>
      <c r="AT3802" t="s">
        <v>58</v>
      </c>
      <c r="AU3802" t="s">
        <v>68</v>
      </c>
      <c r="AV3802" t="s">
        <v>69</v>
      </c>
      <c r="AW3802" s="1">
        <v>28490</v>
      </c>
      <c r="AX3802">
        <v>2</v>
      </c>
    </row>
    <row r="3803" spans="1:50">
      <c r="A3803">
        <v>160709</v>
      </c>
      <c r="B3803" t="str">
        <f>"036336365"</f>
        <v>036336365</v>
      </c>
      <c r="C3803" t="s">
        <v>50</v>
      </c>
      <c r="D3803" t="s">
        <v>7251</v>
      </c>
      <c r="E3803" t="s">
        <v>52</v>
      </c>
      <c r="F3803" t="s">
        <v>53</v>
      </c>
      <c r="G3803" t="s">
        <v>2848</v>
      </c>
      <c r="H3803" t="str">
        <f>" "</f>
        <v xml:space="preserve"> </v>
      </c>
      <c r="J3803">
        <v>2821050318</v>
      </c>
      <c r="K3803">
        <v>6977166108</v>
      </c>
      <c r="M3803" t="s">
        <v>7252</v>
      </c>
      <c r="N3803" t="s">
        <v>299</v>
      </c>
      <c r="O3803" t="s">
        <v>300</v>
      </c>
      <c r="R3803" t="s">
        <v>57</v>
      </c>
      <c r="S3803">
        <v>13</v>
      </c>
      <c r="T3803">
        <v>161</v>
      </c>
      <c r="U3803" s="1">
        <v>33119</v>
      </c>
      <c r="V3803" t="s">
        <v>6729</v>
      </c>
      <c r="W3803" t="s">
        <v>6730</v>
      </c>
      <c r="X3803" t="s">
        <v>58</v>
      </c>
      <c r="Y3803">
        <v>18</v>
      </c>
      <c r="Z3803" t="s">
        <v>59</v>
      </c>
      <c r="AA3803" t="s">
        <v>59</v>
      </c>
      <c r="AB3803" t="s">
        <v>59</v>
      </c>
      <c r="AC3803" t="s">
        <v>59</v>
      </c>
      <c r="AD3803" t="s">
        <v>59</v>
      </c>
      <c r="AF3803" s="1">
        <v>33121</v>
      </c>
      <c r="AG3803" t="s">
        <v>148</v>
      </c>
      <c r="AH3803" t="s">
        <v>149</v>
      </c>
      <c r="AI3803" t="str">
        <f>"5090080"</f>
        <v>5090080</v>
      </c>
      <c r="AJ3803" t="s">
        <v>6906</v>
      </c>
      <c r="AK3803">
        <v>2821096638</v>
      </c>
      <c r="AL3803" t="s">
        <v>6907</v>
      </c>
      <c r="AM3803" t="s">
        <v>88</v>
      </c>
      <c r="AN3803" t="s">
        <v>88</v>
      </c>
      <c r="AO3803" t="s">
        <v>88</v>
      </c>
      <c r="AP3803" t="s">
        <v>88</v>
      </c>
      <c r="AQ3803">
        <v>1</v>
      </c>
      <c r="AR3803" t="s">
        <v>6729</v>
      </c>
      <c r="AS3803" t="s">
        <v>6730</v>
      </c>
      <c r="AT3803" t="s">
        <v>58</v>
      </c>
      <c r="AU3803" t="s">
        <v>68</v>
      </c>
      <c r="AV3803" t="s">
        <v>69</v>
      </c>
      <c r="AW3803" s="1">
        <v>23599</v>
      </c>
      <c r="AX3803">
        <v>2</v>
      </c>
    </row>
    <row r="3804" spans="1:50">
      <c r="A3804">
        <v>197058</v>
      </c>
      <c r="B3804" t="str">
        <f>"043995613"</f>
        <v>043995613</v>
      </c>
      <c r="C3804" t="s">
        <v>50</v>
      </c>
      <c r="D3804" t="s">
        <v>7253</v>
      </c>
      <c r="E3804" t="s">
        <v>52</v>
      </c>
      <c r="F3804" t="s">
        <v>1224</v>
      </c>
      <c r="G3804" t="s">
        <v>950</v>
      </c>
      <c r="H3804" t="str">
        <f>" "</f>
        <v xml:space="preserve"> </v>
      </c>
      <c r="J3804">
        <v>2822031347</v>
      </c>
      <c r="L3804">
        <v>2821032150</v>
      </c>
      <c r="N3804" t="s">
        <v>146</v>
      </c>
      <c r="O3804" t="s">
        <v>147</v>
      </c>
      <c r="R3804" t="s">
        <v>57</v>
      </c>
      <c r="S3804">
        <v>10</v>
      </c>
      <c r="T3804">
        <v>206</v>
      </c>
      <c r="U3804" s="1">
        <v>37866</v>
      </c>
      <c r="V3804" t="s">
        <v>6729</v>
      </c>
      <c r="W3804" t="s">
        <v>6730</v>
      </c>
      <c r="X3804" t="s">
        <v>58</v>
      </c>
      <c r="Y3804">
        <v>18</v>
      </c>
      <c r="Z3804" t="s">
        <v>59</v>
      </c>
      <c r="AA3804" t="s">
        <v>59</v>
      </c>
      <c r="AB3804" t="s">
        <v>59</v>
      </c>
      <c r="AC3804" t="s">
        <v>59</v>
      </c>
      <c r="AD3804" t="s">
        <v>59</v>
      </c>
      <c r="AF3804" s="1">
        <v>37866</v>
      </c>
      <c r="AG3804" t="s">
        <v>125</v>
      </c>
      <c r="AH3804" t="s">
        <v>126</v>
      </c>
      <c r="AI3804" t="str">
        <f>"5012010"</f>
        <v>5012010</v>
      </c>
      <c r="AJ3804" t="s">
        <v>6794</v>
      </c>
      <c r="AK3804">
        <v>2821033195</v>
      </c>
      <c r="AL3804" t="s">
        <v>6795</v>
      </c>
      <c r="AM3804" t="s">
        <v>88</v>
      </c>
      <c r="AN3804" t="s">
        <v>88</v>
      </c>
      <c r="AO3804" t="s">
        <v>6785</v>
      </c>
      <c r="AP3804" t="s">
        <v>6786</v>
      </c>
      <c r="AQ3804">
        <v>1</v>
      </c>
      <c r="AR3804" t="s">
        <v>6729</v>
      </c>
      <c r="AS3804" t="s">
        <v>6730</v>
      </c>
      <c r="AT3804" t="s">
        <v>58</v>
      </c>
      <c r="AU3804" t="s">
        <v>68</v>
      </c>
      <c r="AV3804" t="s">
        <v>69</v>
      </c>
      <c r="AW3804" s="1">
        <v>24217</v>
      </c>
      <c r="AX3804">
        <v>2</v>
      </c>
    </row>
    <row r="3805" spans="1:50">
      <c r="B3805" t="str">
        <f>"037520965"</f>
        <v>037520965</v>
      </c>
      <c r="C3805" t="s">
        <v>50</v>
      </c>
      <c r="D3805" t="s">
        <v>1529</v>
      </c>
      <c r="E3805" t="s">
        <v>238</v>
      </c>
      <c r="F3805" t="s">
        <v>53</v>
      </c>
      <c r="G3805" t="s">
        <v>1458</v>
      </c>
      <c r="H3805" t="str">
        <f>"ΑΓΙΟΥ ΠΑΥΛΟΥ 6-8 ΑΘΗΝΑ"</f>
        <v>ΑΓΙΟΥ ΠΑΥΛΟΥ 6-8 ΑΘΗΝΑ</v>
      </c>
      <c r="I3805">
        <v>10438</v>
      </c>
      <c r="J3805">
        <v>2108812361</v>
      </c>
      <c r="K3805">
        <v>6973282437</v>
      </c>
      <c r="N3805" t="s">
        <v>1116</v>
      </c>
      <c r="O3805" t="s">
        <v>1117</v>
      </c>
      <c r="R3805" t="s">
        <v>159</v>
      </c>
      <c r="S3805">
        <v>3</v>
      </c>
      <c r="T3805" t="s">
        <v>1908</v>
      </c>
      <c r="U3805" s="1">
        <v>43368</v>
      </c>
      <c r="V3805" t="s">
        <v>6729</v>
      </c>
      <c r="W3805" t="s">
        <v>6730</v>
      </c>
      <c r="X3805" t="s">
        <v>58</v>
      </c>
      <c r="Y3805">
        <v>24</v>
      </c>
      <c r="Z3805" t="s">
        <v>59</v>
      </c>
      <c r="AA3805" t="s">
        <v>59</v>
      </c>
      <c r="AB3805" t="s">
        <v>59</v>
      </c>
      <c r="AC3805" t="s">
        <v>59</v>
      </c>
      <c r="AD3805" t="s">
        <v>59</v>
      </c>
      <c r="AF3805" s="1">
        <v>43368</v>
      </c>
      <c r="AG3805" t="s">
        <v>125</v>
      </c>
      <c r="AH3805" t="s">
        <v>294</v>
      </c>
      <c r="AI3805" t="str">
        <f>"5012017"</f>
        <v>5012017</v>
      </c>
      <c r="AJ3805" t="s">
        <v>6859</v>
      </c>
      <c r="AK3805">
        <v>2821088065</v>
      </c>
      <c r="AL3805" t="s">
        <v>6860</v>
      </c>
      <c r="AM3805" t="s">
        <v>88</v>
      </c>
      <c r="AN3805" t="s">
        <v>88</v>
      </c>
      <c r="AO3805" t="s">
        <v>88</v>
      </c>
      <c r="AP3805" t="s">
        <v>88</v>
      </c>
      <c r="AQ3805">
        <v>1</v>
      </c>
      <c r="AR3805" t="s">
        <v>6729</v>
      </c>
      <c r="AS3805" t="s">
        <v>6730</v>
      </c>
      <c r="AT3805" t="s">
        <v>58</v>
      </c>
      <c r="AU3805" t="s">
        <v>164</v>
      </c>
      <c r="AV3805" t="s">
        <v>132</v>
      </c>
      <c r="AW3805" s="1">
        <v>23539</v>
      </c>
      <c r="AX3805">
        <v>2</v>
      </c>
    </row>
    <row r="3806" spans="1:50">
      <c r="A3806">
        <v>220137</v>
      </c>
      <c r="B3806" t="str">
        <f>"055380960"</f>
        <v>055380960</v>
      </c>
      <c r="C3806" t="s">
        <v>105</v>
      </c>
      <c r="D3806" t="s">
        <v>1532</v>
      </c>
      <c r="E3806" t="s">
        <v>99</v>
      </c>
      <c r="F3806" t="s">
        <v>84</v>
      </c>
      <c r="G3806" t="s">
        <v>7254</v>
      </c>
      <c r="H3806" t="str">
        <f>"Π.ΓΙΟΥΡΜΕΤΑΚΗ 13 ΧΑΛΕΠΑ"</f>
        <v>Π.ΓΙΟΥΡΜΕΤΑΚΗ 13 ΧΑΛΕΠΑ</v>
      </c>
      <c r="I3806">
        <v>73133</v>
      </c>
      <c r="J3806">
        <v>2821400367</v>
      </c>
      <c r="K3806">
        <v>6975748939</v>
      </c>
      <c r="M3806" t="s">
        <v>7255</v>
      </c>
      <c r="N3806" t="s">
        <v>168</v>
      </c>
      <c r="O3806" t="s">
        <v>169</v>
      </c>
      <c r="R3806" t="s">
        <v>57</v>
      </c>
      <c r="S3806">
        <v>6</v>
      </c>
      <c r="T3806">
        <v>599</v>
      </c>
      <c r="U3806" s="1">
        <v>39310</v>
      </c>
      <c r="V3806" t="s">
        <v>6729</v>
      </c>
      <c r="W3806" t="s">
        <v>6730</v>
      </c>
      <c r="X3806" t="s">
        <v>58</v>
      </c>
      <c r="Y3806">
        <v>20</v>
      </c>
      <c r="Z3806" t="s">
        <v>59</v>
      </c>
      <c r="AA3806" t="s">
        <v>59</v>
      </c>
      <c r="AB3806" t="s">
        <v>59</v>
      </c>
      <c r="AC3806" t="s">
        <v>59</v>
      </c>
      <c r="AD3806" t="s">
        <v>59</v>
      </c>
      <c r="AF3806" s="1">
        <v>39328</v>
      </c>
      <c r="AG3806" t="s">
        <v>137</v>
      </c>
      <c r="AH3806" t="s">
        <v>138</v>
      </c>
      <c r="AI3806" t="str">
        <f>"5050060"</f>
        <v>5050060</v>
      </c>
      <c r="AJ3806" t="s">
        <v>6801</v>
      </c>
      <c r="AK3806">
        <v>2821091515</v>
      </c>
      <c r="AL3806" t="s">
        <v>6802</v>
      </c>
      <c r="AM3806" t="s">
        <v>88</v>
      </c>
      <c r="AN3806" t="s">
        <v>88</v>
      </c>
      <c r="AO3806" t="s">
        <v>88</v>
      </c>
      <c r="AP3806" t="s">
        <v>88</v>
      </c>
      <c r="AQ3806">
        <v>1</v>
      </c>
      <c r="AR3806" t="s">
        <v>6729</v>
      </c>
      <c r="AS3806" t="s">
        <v>6730</v>
      </c>
      <c r="AT3806" t="s">
        <v>58</v>
      </c>
      <c r="AU3806" t="s">
        <v>68</v>
      </c>
      <c r="AV3806" t="s">
        <v>69</v>
      </c>
      <c r="AW3806" s="1">
        <v>26549</v>
      </c>
      <c r="AX3806">
        <v>2</v>
      </c>
    </row>
    <row r="3807" spans="1:50">
      <c r="A3807">
        <v>211654</v>
      </c>
      <c r="B3807" t="str">
        <f>"049701442"</f>
        <v>049701442</v>
      </c>
      <c r="C3807" t="s">
        <v>105</v>
      </c>
      <c r="D3807" t="s">
        <v>1532</v>
      </c>
      <c r="E3807" t="s">
        <v>564</v>
      </c>
      <c r="F3807" t="s">
        <v>383</v>
      </c>
      <c r="G3807" t="s">
        <v>1902</v>
      </c>
      <c r="H3807" t="str">
        <f>"ΑΓ Φανουρίου 5, ΚΑΛΑΜΑΚΙ ΧΑΝΙΑ"</f>
        <v>ΑΓ Φανουρίου 5, ΚΑΛΑΜΑΚΙ ΧΑΝΙΑ</v>
      </c>
      <c r="I3807">
        <v>73100</v>
      </c>
      <c r="J3807">
        <v>2821033475</v>
      </c>
      <c r="K3807">
        <v>6972597787</v>
      </c>
      <c r="M3807" t="s">
        <v>7256</v>
      </c>
      <c r="N3807" t="s">
        <v>204</v>
      </c>
      <c r="O3807" t="s">
        <v>205</v>
      </c>
      <c r="R3807" t="s">
        <v>57</v>
      </c>
      <c r="S3807">
        <v>15</v>
      </c>
      <c r="T3807" t="s">
        <v>7257</v>
      </c>
      <c r="U3807" s="1">
        <v>37874</v>
      </c>
      <c r="V3807" t="s">
        <v>6729</v>
      </c>
      <c r="W3807" t="s">
        <v>6730</v>
      </c>
      <c r="X3807" t="s">
        <v>58</v>
      </c>
      <c r="Y3807">
        <v>20</v>
      </c>
      <c r="Z3807" t="s">
        <v>59</v>
      </c>
      <c r="AA3807" t="s">
        <v>59</v>
      </c>
      <c r="AB3807" t="s">
        <v>59</v>
      </c>
      <c r="AC3807" t="s">
        <v>59</v>
      </c>
      <c r="AD3807" t="s">
        <v>59</v>
      </c>
      <c r="AF3807" s="1">
        <v>38730</v>
      </c>
      <c r="AG3807" t="s">
        <v>148</v>
      </c>
      <c r="AH3807" t="s">
        <v>149</v>
      </c>
      <c r="AI3807" t="str">
        <f>"5062010"</f>
        <v>5062010</v>
      </c>
      <c r="AJ3807" t="s">
        <v>6783</v>
      </c>
      <c r="AK3807">
        <v>2821031620</v>
      </c>
      <c r="AL3807" t="s">
        <v>6784</v>
      </c>
      <c r="AM3807" t="s">
        <v>88</v>
      </c>
      <c r="AN3807" t="s">
        <v>88</v>
      </c>
      <c r="AO3807" t="s">
        <v>6785</v>
      </c>
      <c r="AP3807" t="s">
        <v>6786</v>
      </c>
      <c r="AQ3807">
        <v>1</v>
      </c>
      <c r="AR3807" t="s">
        <v>6729</v>
      </c>
      <c r="AS3807" t="s">
        <v>6730</v>
      </c>
      <c r="AT3807" t="s">
        <v>58</v>
      </c>
      <c r="AU3807" t="s">
        <v>68</v>
      </c>
      <c r="AV3807" t="s">
        <v>69</v>
      </c>
      <c r="AW3807" s="1">
        <v>25631</v>
      </c>
      <c r="AX3807">
        <v>2</v>
      </c>
    </row>
    <row r="3808" spans="1:50">
      <c r="A3808">
        <v>207576</v>
      </c>
      <c r="B3808" t="str">
        <f>"103918862"</f>
        <v>103918862</v>
      </c>
      <c r="C3808" t="s">
        <v>50</v>
      </c>
      <c r="D3808" t="s">
        <v>1538</v>
      </c>
      <c r="E3808" t="s">
        <v>658</v>
      </c>
      <c r="F3808" t="s">
        <v>459</v>
      </c>
      <c r="G3808" t="s">
        <v>414</v>
      </c>
      <c r="H3808" t="str">
        <f>"ΣΟΦΟΚΛΕΟΥΣ 18 ΚΟΥΜΠΕΛΗ-ΧΑΝΙΩΝ"</f>
        <v>ΣΟΦΟΚΛΕΟΥΣ 18 ΚΟΥΜΠΕΛΗ-ΧΑΝΙΩΝ</v>
      </c>
      <c r="I3808">
        <v>73133</v>
      </c>
      <c r="J3808">
        <v>2821054471</v>
      </c>
      <c r="K3808">
        <v>6974024697</v>
      </c>
      <c r="M3808" t="s">
        <v>7258</v>
      </c>
      <c r="N3808" t="s">
        <v>306</v>
      </c>
      <c r="O3808" t="s">
        <v>307</v>
      </c>
      <c r="R3808" t="s">
        <v>57</v>
      </c>
      <c r="S3808">
        <v>8</v>
      </c>
      <c r="T3808">
        <v>218</v>
      </c>
      <c r="U3808" s="1">
        <v>38596</v>
      </c>
      <c r="V3808" t="s">
        <v>6729</v>
      </c>
      <c r="W3808" t="s">
        <v>6730</v>
      </c>
      <c r="X3808" t="s">
        <v>58</v>
      </c>
      <c r="Y3808">
        <v>20</v>
      </c>
      <c r="Z3808" t="s">
        <v>59</v>
      </c>
      <c r="AA3808" t="s">
        <v>59</v>
      </c>
      <c r="AB3808" t="s">
        <v>59</v>
      </c>
      <c r="AC3808" t="s">
        <v>59</v>
      </c>
      <c r="AD3808" t="s">
        <v>59</v>
      </c>
      <c r="AF3808" s="1">
        <v>38603</v>
      </c>
      <c r="AG3808" t="s">
        <v>125</v>
      </c>
      <c r="AH3808" t="s">
        <v>126</v>
      </c>
      <c r="AI3808" t="str">
        <f>"5001075"</f>
        <v>5001075</v>
      </c>
      <c r="AJ3808" t="s">
        <v>6768</v>
      </c>
      <c r="AK3808">
        <v>2821064200</v>
      </c>
      <c r="AL3808" t="s">
        <v>6769</v>
      </c>
      <c r="AM3808" t="s">
        <v>88</v>
      </c>
      <c r="AN3808" t="s">
        <v>88</v>
      </c>
      <c r="AO3808" t="s">
        <v>6770</v>
      </c>
      <c r="AP3808" t="s">
        <v>6771</v>
      </c>
      <c r="AQ3808">
        <v>1</v>
      </c>
      <c r="AR3808" t="s">
        <v>6729</v>
      </c>
      <c r="AS3808" t="s">
        <v>6730</v>
      </c>
      <c r="AT3808" t="s">
        <v>58</v>
      </c>
      <c r="AU3808" t="s">
        <v>68</v>
      </c>
      <c r="AV3808" t="s">
        <v>69</v>
      </c>
      <c r="AW3808" s="1">
        <v>27741</v>
      </c>
      <c r="AX3808">
        <v>2</v>
      </c>
    </row>
    <row r="3809" spans="1:50">
      <c r="A3809">
        <v>185418</v>
      </c>
      <c r="B3809" t="str">
        <f>"032849063"</f>
        <v>032849063</v>
      </c>
      <c r="C3809" t="s">
        <v>50</v>
      </c>
      <c r="D3809" t="s">
        <v>7259</v>
      </c>
      <c r="E3809" t="s">
        <v>1189</v>
      </c>
      <c r="F3809" t="s">
        <v>72</v>
      </c>
      <c r="G3809" t="s">
        <v>787</v>
      </c>
      <c r="H3809" t="str">
        <f>" "</f>
        <v xml:space="preserve"> </v>
      </c>
      <c r="J3809">
        <v>2821089033</v>
      </c>
      <c r="K3809">
        <v>6907868650</v>
      </c>
      <c r="N3809" t="s">
        <v>176</v>
      </c>
      <c r="O3809" t="s">
        <v>177</v>
      </c>
      <c r="R3809" t="s">
        <v>57</v>
      </c>
      <c r="S3809">
        <v>14</v>
      </c>
      <c r="T3809">
        <v>154</v>
      </c>
      <c r="U3809" s="1">
        <v>34225</v>
      </c>
      <c r="V3809" t="s">
        <v>6729</v>
      </c>
      <c r="W3809" t="s">
        <v>6730</v>
      </c>
      <c r="X3809" t="s">
        <v>58</v>
      </c>
      <c r="Y3809">
        <v>18</v>
      </c>
      <c r="Z3809" t="s">
        <v>59</v>
      </c>
      <c r="AA3809" t="s">
        <v>59</v>
      </c>
      <c r="AB3809" t="s">
        <v>59</v>
      </c>
      <c r="AC3809" t="s">
        <v>59</v>
      </c>
      <c r="AD3809" t="s">
        <v>59</v>
      </c>
      <c r="AF3809" s="1">
        <v>34228</v>
      </c>
      <c r="AG3809" t="s">
        <v>148</v>
      </c>
      <c r="AH3809" t="s">
        <v>149</v>
      </c>
      <c r="AI3809" t="str">
        <f>"5051030"</f>
        <v>5051030</v>
      </c>
      <c r="AJ3809" t="s">
        <v>6760</v>
      </c>
      <c r="AK3809">
        <v>2821027533</v>
      </c>
      <c r="AL3809" t="s">
        <v>6761</v>
      </c>
      <c r="AM3809" t="s">
        <v>88</v>
      </c>
      <c r="AN3809" t="s">
        <v>88</v>
      </c>
      <c r="AO3809" t="s">
        <v>88</v>
      </c>
      <c r="AP3809" t="s">
        <v>88</v>
      </c>
      <c r="AQ3809">
        <v>1</v>
      </c>
      <c r="AR3809" t="s">
        <v>6729</v>
      </c>
      <c r="AS3809" t="s">
        <v>6730</v>
      </c>
      <c r="AT3809" t="s">
        <v>58</v>
      </c>
      <c r="AU3809" t="s">
        <v>68</v>
      </c>
      <c r="AV3809" t="s">
        <v>69</v>
      </c>
      <c r="AW3809" s="1">
        <v>22290</v>
      </c>
      <c r="AX3809">
        <v>2</v>
      </c>
    </row>
    <row r="3810" spans="1:50">
      <c r="A3810">
        <v>207222</v>
      </c>
      <c r="B3810" t="str">
        <f>"043430221"</f>
        <v>043430221</v>
      </c>
      <c r="C3810" t="s">
        <v>50</v>
      </c>
      <c r="D3810" t="s">
        <v>5983</v>
      </c>
      <c r="E3810" t="s">
        <v>237</v>
      </c>
      <c r="F3810" t="s">
        <v>53</v>
      </c>
      <c r="G3810" t="s">
        <v>96</v>
      </c>
      <c r="H3810" t="str">
        <f>" "</f>
        <v xml:space="preserve"> </v>
      </c>
      <c r="J3810">
        <v>2821040413</v>
      </c>
      <c r="K3810">
        <v>6978283447</v>
      </c>
      <c r="N3810" t="s">
        <v>232</v>
      </c>
      <c r="O3810" t="s">
        <v>233</v>
      </c>
      <c r="R3810" t="s">
        <v>57</v>
      </c>
      <c r="S3810">
        <v>8</v>
      </c>
      <c r="T3810" t="s">
        <v>5366</v>
      </c>
      <c r="U3810" s="1">
        <v>38596</v>
      </c>
      <c r="V3810" t="s">
        <v>6729</v>
      </c>
      <c r="W3810" t="s">
        <v>6730</v>
      </c>
      <c r="X3810" t="s">
        <v>58</v>
      </c>
      <c r="Y3810">
        <v>20</v>
      </c>
      <c r="Z3810" t="s">
        <v>59</v>
      </c>
      <c r="AA3810" t="s">
        <v>59</v>
      </c>
      <c r="AB3810" t="s">
        <v>59</v>
      </c>
      <c r="AC3810" t="s">
        <v>59</v>
      </c>
      <c r="AD3810" t="s">
        <v>59</v>
      </c>
      <c r="AF3810" s="1">
        <v>38600</v>
      </c>
      <c r="AG3810" t="s">
        <v>125</v>
      </c>
      <c r="AH3810" t="s">
        <v>126</v>
      </c>
      <c r="AI3810" t="str">
        <f>"5001020"</f>
        <v>5001020</v>
      </c>
      <c r="AJ3810" t="s">
        <v>6739</v>
      </c>
      <c r="AK3810">
        <v>2821042664</v>
      </c>
      <c r="AL3810" t="s">
        <v>6740</v>
      </c>
      <c r="AM3810" t="s">
        <v>88</v>
      </c>
      <c r="AN3810" t="s">
        <v>88</v>
      </c>
      <c r="AO3810" t="s">
        <v>88</v>
      </c>
      <c r="AP3810" t="s">
        <v>88</v>
      </c>
      <c r="AQ3810">
        <v>1</v>
      </c>
      <c r="AR3810" t="s">
        <v>6729</v>
      </c>
      <c r="AS3810" t="s">
        <v>6730</v>
      </c>
      <c r="AT3810" t="s">
        <v>58</v>
      </c>
      <c r="AU3810" t="s">
        <v>68</v>
      </c>
      <c r="AV3810" t="s">
        <v>69</v>
      </c>
      <c r="AW3810" s="1">
        <v>22469</v>
      </c>
      <c r="AX3810">
        <v>2</v>
      </c>
    </row>
    <row r="3811" spans="1:50">
      <c r="A3811">
        <v>189731</v>
      </c>
      <c r="B3811" t="str">
        <f>"052408887"</f>
        <v>052408887</v>
      </c>
      <c r="C3811" t="s">
        <v>105</v>
      </c>
      <c r="D3811" t="s">
        <v>7260</v>
      </c>
      <c r="E3811" t="s">
        <v>154</v>
      </c>
      <c r="F3811" t="s">
        <v>72</v>
      </c>
      <c r="G3811" t="s">
        <v>7261</v>
      </c>
      <c r="H3811" t="str">
        <f>" "</f>
        <v xml:space="preserve"> </v>
      </c>
      <c r="K3811">
        <v>6976799158</v>
      </c>
      <c r="M3811" t="s">
        <v>7262</v>
      </c>
      <c r="N3811" t="s">
        <v>292</v>
      </c>
      <c r="O3811" t="s">
        <v>293</v>
      </c>
      <c r="R3811" t="s">
        <v>57</v>
      </c>
      <c r="S3811">
        <v>11</v>
      </c>
      <c r="T3811">
        <v>219</v>
      </c>
      <c r="U3811" s="1">
        <v>37134</v>
      </c>
      <c r="V3811" t="s">
        <v>6729</v>
      </c>
      <c r="W3811" t="s">
        <v>6730</v>
      </c>
      <c r="X3811" t="s">
        <v>58</v>
      </c>
      <c r="Y3811">
        <v>18</v>
      </c>
      <c r="Z3811" t="s">
        <v>59</v>
      </c>
      <c r="AA3811" t="s">
        <v>59</v>
      </c>
      <c r="AB3811" t="s">
        <v>59</v>
      </c>
      <c r="AC3811" t="s">
        <v>59</v>
      </c>
      <c r="AD3811" t="s">
        <v>59</v>
      </c>
      <c r="AF3811" s="1">
        <v>37141</v>
      </c>
      <c r="AG3811" t="s">
        <v>125</v>
      </c>
      <c r="AH3811" t="s">
        <v>359</v>
      </c>
      <c r="AI3811" t="str">
        <f>"5001015"</f>
        <v>5001015</v>
      </c>
      <c r="AJ3811" t="s">
        <v>7027</v>
      </c>
      <c r="AK3811">
        <v>2821043161</v>
      </c>
      <c r="AL3811" t="s">
        <v>7028</v>
      </c>
      <c r="AM3811" t="s">
        <v>88</v>
      </c>
      <c r="AN3811" t="s">
        <v>88</v>
      </c>
      <c r="AO3811" t="s">
        <v>88</v>
      </c>
      <c r="AP3811" t="s">
        <v>88</v>
      </c>
      <c r="AQ3811">
        <v>1</v>
      </c>
      <c r="AR3811" t="s">
        <v>6729</v>
      </c>
      <c r="AS3811" t="s">
        <v>6730</v>
      </c>
      <c r="AT3811" t="s">
        <v>58</v>
      </c>
      <c r="AU3811" t="s">
        <v>68</v>
      </c>
      <c r="AV3811" t="s">
        <v>69</v>
      </c>
      <c r="AW3811" s="1">
        <v>20471</v>
      </c>
      <c r="AX3811">
        <v>2</v>
      </c>
    </row>
    <row r="3812" spans="1:50">
      <c r="A3812">
        <v>229651</v>
      </c>
      <c r="B3812" t="str">
        <f>"064428042"</f>
        <v>064428042</v>
      </c>
      <c r="C3812" t="s">
        <v>105</v>
      </c>
      <c r="D3812" t="s">
        <v>7263</v>
      </c>
      <c r="E3812" t="s">
        <v>99</v>
      </c>
      <c r="F3812" t="s">
        <v>53</v>
      </c>
      <c r="G3812" t="s">
        <v>440</v>
      </c>
      <c r="H3812" t="str">
        <f>"ΝΙΚ. ΠΛΑΣΤΗΡΑ 153 ΧΑΝΙΑ"</f>
        <v>ΝΙΚ. ΠΛΑΣΤΗΡΑ 153 ΧΑΝΙΑ</v>
      </c>
      <c r="I3812">
        <v>73100</v>
      </c>
      <c r="J3812">
        <v>2821094858</v>
      </c>
      <c r="K3812">
        <v>6972427325</v>
      </c>
      <c r="N3812" t="s">
        <v>331</v>
      </c>
      <c r="O3812" t="s">
        <v>332</v>
      </c>
      <c r="R3812" t="s">
        <v>57</v>
      </c>
      <c r="S3812">
        <v>7</v>
      </c>
      <c r="T3812">
        <v>988</v>
      </c>
      <c r="U3812" s="1">
        <v>40157</v>
      </c>
      <c r="V3812" t="s">
        <v>6729</v>
      </c>
      <c r="W3812" t="s">
        <v>6730</v>
      </c>
      <c r="X3812" t="s">
        <v>58</v>
      </c>
      <c r="Y3812">
        <v>21</v>
      </c>
      <c r="Z3812" t="s">
        <v>59</v>
      </c>
      <c r="AA3812" t="s">
        <v>59</v>
      </c>
      <c r="AB3812" t="s">
        <v>59</v>
      </c>
      <c r="AC3812" t="s">
        <v>59</v>
      </c>
      <c r="AD3812" t="s">
        <v>59</v>
      </c>
      <c r="AF3812" s="1">
        <v>40158</v>
      </c>
      <c r="AG3812" t="s">
        <v>137</v>
      </c>
      <c r="AH3812" t="s">
        <v>469</v>
      </c>
      <c r="AI3812" t="str">
        <f>"5040055"</f>
        <v>5040055</v>
      </c>
      <c r="AJ3812" t="s">
        <v>6940</v>
      </c>
      <c r="AK3812">
        <v>2821036404</v>
      </c>
      <c r="AL3812" t="s">
        <v>6941</v>
      </c>
      <c r="AM3812" t="s">
        <v>88</v>
      </c>
      <c r="AN3812" t="s">
        <v>88</v>
      </c>
      <c r="AO3812" t="s">
        <v>88</v>
      </c>
      <c r="AP3812" t="s">
        <v>88</v>
      </c>
      <c r="AQ3812">
        <v>1</v>
      </c>
      <c r="AR3812" t="s">
        <v>6729</v>
      </c>
      <c r="AS3812" t="s">
        <v>6730</v>
      </c>
      <c r="AT3812" t="s">
        <v>58</v>
      </c>
      <c r="AU3812" t="s">
        <v>68</v>
      </c>
      <c r="AV3812" t="s">
        <v>69</v>
      </c>
      <c r="AW3812" s="1">
        <v>29393</v>
      </c>
      <c r="AX3812">
        <v>2</v>
      </c>
    </row>
    <row r="3813" spans="1:50">
      <c r="A3813">
        <v>215901</v>
      </c>
      <c r="B3813" t="str">
        <f>"078998418"</f>
        <v>078998418</v>
      </c>
      <c r="C3813" t="s">
        <v>105</v>
      </c>
      <c r="D3813" t="s">
        <v>7263</v>
      </c>
      <c r="E3813" t="s">
        <v>989</v>
      </c>
      <c r="F3813" t="s">
        <v>53</v>
      </c>
      <c r="G3813" t="s">
        <v>440</v>
      </c>
      <c r="H3813" t="str">
        <f>" "</f>
        <v xml:space="preserve"> </v>
      </c>
      <c r="J3813">
        <v>2821094858</v>
      </c>
      <c r="K3813">
        <v>6946001743</v>
      </c>
      <c r="M3813" t="s">
        <v>7264</v>
      </c>
      <c r="N3813" t="s">
        <v>168</v>
      </c>
      <c r="O3813" t="s">
        <v>169</v>
      </c>
      <c r="R3813" t="s">
        <v>57</v>
      </c>
      <c r="S3813">
        <v>8</v>
      </c>
      <c r="T3813">
        <v>232</v>
      </c>
      <c r="U3813" s="1">
        <v>38960</v>
      </c>
      <c r="V3813" t="s">
        <v>6729</v>
      </c>
      <c r="W3813" t="s">
        <v>6730</v>
      </c>
      <c r="X3813" t="s">
        <v>58</v>
      </c>
      <c r="Y3813">
        <v>20</v>
      </c>
      <c r="Z3813" t="s">
        <v>59</v>
      </c>
      <c r="AA3813" t="s">
        <v>59</v>
      </c>
      <c r="AB3813" t="s">
        <v>59</v>
      </c>
      <c r="AC3813" t="s">
        <v>59</v>
      </c>
      <c r="AD3813" t="s">
        <v>59</v>
      </c>
      <c r="AF3813" s="1">
        <v>38961</v>
      </c>
      <c r="AG3813" t="s">
        <v>137</v>
      </c>
      <c r="AH3813" t="s">
        <v>469</v>
      </c>
      <c r="AI3813" t="str">
        <f>"5053001"</f>
        <v>5053001</v>
      </c>
      <c r="AJ3813" t="s">
        <v>6788</v>
      </c>
      <c r="AK3813">
        <v>2821068020</v>
      </c>
      <c r="AM3813" t="s">
        <v>88</v>
      </c>
      <c r="AN3813" t="s">
        <v>6764</v>
      </c>
      <c r="AO3813" t="s">
        <v>6764</v>
      </c>
      <c r="AP3813" t="s">
        <v>6764</v>
      </c>
      <c r="AQ3813">
        <v>1</v>
      </c>
      <c r="AR3813" t="s">
        <v>6729</v>
      </c>
      <c r="AS3813" t="s">
        <v>6730</v>
      </c>
      <c r="AT3813" t="s">
        <v>58</v>
      </c>
      <c r="AU3813" t="s">
        <v>68</v>
      </c>
      <c r="AV3813" t="s">
        <v>357</v>
      </c>
      <c r="AW3813" s="1">
        <v>28814</v>
      </c>
      <c r="AX3813">
        <v>2</v>
      </c>
    </row>
    <row r="3814" spans="1:50">
      <c r="A3814">
        <v>144557</v>
      </c>
      <c r="B3814" t="str">
        <f>"062314701"</f>
        <v>062314701</v>
      </c>
      <c r="C3814" t="s">
        <v>50</v>
      </c>
      <c r="D3814" t="s">
        <v>7265</v>
      </c>
      <c r="E3814" t="s">
        <v>54</v>
      </c>
      <c r="F3814" t="s">
        <v>7266</v>
      </c>
      <c r="G3814" t="s">
        <v>7267</v>
      </c>
      <c r="H3814" t="str">
        <f>" "</f>
        <v xml:space="preserve"> </v>
      </c>
      <c r="N3814" t="s">
        <v>478</v>
      </c>
      <c r="O3814" t="s">
        <v>479</v>
      </c>
      <c r="R3814" t="s">
        <v>57</v>
      </c>
      <c r="S3814">
        <v>17</v>
      </c>
      <c r="T3814">
        <v>262</v>
      </c>
      <c r="U3814" s="1">
        <v>30916</v>
      </c>
      <c r="V3814" t="s">
        <v>6729</v>
      </c>
      <c r="W3814" t="s">
        <v>6730</v>
      </c>
      <c r="X3814" t="s">
        <v>58</v>
      </c>
      <c r="Y3814">
        <v>18</v>
      </c>
      <c r="Z3814" t="s">
        <v>59</v>
      </c>
      <c r="AA3814" t="s">
        <v>59</v>
      </c>
      <c r="AB3814" t="s">
        <v>59</v>
      </c>
      <c r="AC3814" t="s">
        <v>59</v>
      </c>
      <c r="AD3814" t="s">
        <v>59</v>
      </c>
      <c r="AF3814" s="1">
        <v>30942</v>
      </c>
      <c r="AG3814" t="s">
        <v>125</v>
      </c>
      <c r="AH3814" t="s">
        <v>126</v>
      </c>
      <c r="AI3814" t="str">
        <f>"5001070"</f>
        <v>5001070</v>
      </c>
      <c r="AJ3814" t="s">
        <v>6731</v>
      </c>
      <c r="AK3814">
        <v>2821088045</v>
      </c>
      <c r="AL3814" t="s">
        <v>6732</v>
      </c>
      <c r="AM3814" t="s">
        <v>88</v>
      </c>
      <c r="AN3814" t="s">
        <v>88</v>
      </c>
      <c r="AO3814" t="s">
        <v>6733</v>
      </c>
      <c r="AP3814" t="s">
        <v>6734</v>
      </c>
      <c r="AQ3814">
        <v>1</v>
      </c>
      <c r="AR3814" t="s">
        <v>6729</v>
      </c>
      <c r="AS3814" t="s">
        <v>6730</v>
      </c>
      <c r="AT3814" t="s">
        <v>58</v>
      </c>
      <c r="AU3814" t="s">
        <v>68</v>
      </c>
      <c r="AV3814" t="s">
        <v>69</v>
      </c>
      <c r="AW3814" s="1">
        <v>20856</v>
      </c>
      <c r="AX3814">
        <v>2</v>
      </c>
    </row>
    <row r="3815" spans="1:50">
      <c r="A3815">
        <v>186064</v>
      </c>
      <c r="B3815" t="str">
        <f>"042125566"</f>
        <v>042125566</v>
      </c>
      <c r="C3815" t="s">
        <v>50</v>
      </c>
      <c r="D3815" t="s">
        <v>4849</v>
      </c>
      <c r="E3815" t="s">
        <v>52</v>
      </c>
      <c r="F3815" t="s">
        <v>609</v>
      </c>
      <c r="G3815" t="s">
        <v>7268</v>
      </c>
      <c r="H3815" t="str">
        <f>" "</f>
        <v xml:space="preserve"> </v>
      </c>
      <c r="N3815" t="s">
        <v>306</v>
      </c>
      <c r="O3815" t="s">
        <v>307</v>
      </c>
      <c r="P3815" t="s">
        <v>176</v>
      </c>
      <c r="Q3815" t="s">
        <v>177</v>
      </c>
      <c r="R3815" t="s">
        <v>57</v>
      </c>
      <c r="S3815">
        <v>9</v>
      </c>
      <c r="T3815">
        <v>250</v>
      </c>
      <c r="U3815" s="1">
        <v>36769</v>
      </c>
      <c r="V3815" t="s">
        <v>6729</v>
      </c>
      <c r="W3815" t="s">
        <v>6730</v>
      </c>
      <c r="X3815" t="s">
        <v>58</v>
      </c>
      <c r="Y3815">
        <v>20</v>
      </c>
      <c r="Z3815" t="s">
        <v>59</v>
      </c>
      <c r="AA3815" t="s">
        <v>59</v>
      </c>
      <c r="AB3815" t="s">
        <v>59</v>
      </c>
      <c r="AC3815" t="s">
        <v>59</v>
      </c>
      <c r="AD3815" t="s">
        <v>59</v>
      </c>
      <c r="AF3815" s="1">
        <v>36770</v>
      </c>
      <c r="AG3815" t="s">
        <v>137</v>
      </c>
      <c r="AH3815" t="s">
        <v>469</v>
      </c>
      <c r="AI3815" t="str">
        <f>"5040055"</f>
        <v>5040055</v>
      </c>
      <c r="AJ3815" t="s">
        <v>6940</v>
      </c>
      <c r="AK3815">
        <v>2821036404</v>
      </c>
      <c r="AL3815" t="s">
        <v>6941</v>
      </c>
      <c r="AM3815" t="s">
        <v>88</v>
      </c>
      <c r="AN3815" t="s">
        <v>88</v>
      </c>
      <c r="AO3815" t="s">
        <v>88</v>
      </c>
      <c r="AP3815" t="s">
        <v>88</v>
      </c>
      <c r="AQ3815">
        <v>1</v>
      </c>
      <c r="AR3815" t="s">
        <v>6729</v>
      </c>
      <c r="AS3815" t="s">
        <v>6730</v>
      </c>
      <c r="AT3815" t="s">
        <v>58</v>
      </c>
      <c r="AU3815" t="s">
        <v>68</v>
      </c>
      <c r="AV3815" t="s">
        <v>69</v>
      </c>
      <c r="AW3815" s="1">
        <v>24020</v>
      </c>
      <c r="AX3815">
        <v>2</v>
      </c>
    </row>
    <row r="3816" spans="1:50">
      <c r="B3816" t="str">
        <f>"077534337"</f>
        <v>077534337</v>
      </c>
      <c r="C3816" t="s">
        <v>105</v>
      </c>
      <c r="D3816" t="s">
        <v>7269</v>
      </c>
      <c r="E3816" t="s">
        <v>53</v>
      </c>
      <c r="F3816" t="s">
        <v>99</v>
      </c>
      <c r="G3816" t="s">
        <v>181</v>
      </c>
      <c r="H3816" t="str">
        <f>"ΓΑΛΑΤΑΣ ΧΑΝΙΑ"</f>
        <v>ΓΑΛΑΤΑΣ ΧΑΝΙΑ</v>
      </c>
      <c r="I3816">
        <v>73100</v>
      </c>
      <c r="J3816">
        <v>2821051115</v>
      </c>
      <c r="K3816">
        <v>6947294572</v>
      </c>
      <c r="N3816" t="s">
        <v>292</v>
      </c>
      <c r="O3816" t="s">
        <v>293</v>
      </c>
      <c r="R3816" t="s">
        <v>159</v>
      </c>
      <c r="S3816">
        <v>4</v>
      </c>
      <c r="T3816" t="s">
        <v>416</v>
      </c>
      <c r="U3816" s="1">
        <v>43349</v>
      </c>
      <c r="V3816" t="s">
        <v>6729</v>
      </c>
      <c r="W3816" t="s">
        <v>6730</v>
      </c>
      <c r="X3816" t="s">
        <v>58</v>
      </c>
      <c r="Y3816">
        <v>21</v>
      </c>
      <c r="Z3816" t="s">
        <v>59</v>
      </c>
      <c r="AA3816" t="s">
        <v>59</v>
      </c>
      <c r="AB3816" t="s">
        <v>59</v>
      </c>
      <c r="AC3816" t="s">
        <v>59</v>
      </c>
      <c r="AD3816" t="s">
        <v>59</v>
      </c>
      <c r="AF3816" s="1">
        <v>43349</v>
      </c>
      <c r="AG3816" t="s">
        <v>125</v>
      </c>
      <c r="AH3816" t="s">
        <v>126</v>
      </c>
      <c r="AI3816" t="str">
        <f>"5008010"</f>
        <v>5008010</v>
      </c>
      <c r="AJ3816" t="s">
        <v>6993</v>
      </c>
      <c r="AK3816">
        <v>2825091207</v>
      </c>
      <c r="AL3816" t="s">
        <v>6994</v>
      </c>
      <c r="AM3816" t="s">
        <v>88</v>
      </c>
      <c r="AN3816" t="s">
        <v>6995</v>
      </c>
      <c r="AO3816" t="s">
        <v>6995</v>
      </c>
      <c r="AP3816" t="s">
        <v>6996</v>
      </c>
      <c r="AQ3816">
        <v>1</v>
      </c>
      <c r="AR3816" t="s">
        <v>6729</v>
      </c>
      <c r="AS3816" t="s">
        <v>6730</v>
      </c>
      <c r="AT3816" t="s">
        <v>58</v>
      </c>
      <c r="AU3816" t="s">
        <v>419</v>
      </c>
      <c r="AV3816" t="s">
        <v>132</v>
      </c>
      <c r="AW3816" s="1">
        <v>24317</v>
      </c>
      <c r="AX3816">
        <v>2</v>
      </c>
    </row>
    <row r="3817" spans="1:50">
      <c r="A3817">
        <v>194739</v>
      </c>
      <c r="B3817" t="str">
        <f>"026662833"</f>
        <v>026662833</v>
      </c>
      <c r="C3817" t="s">
        <v>105</v>
      </c>
      <c r="D3817" t="s">
        <v>7270</v>
      </c>
      <c r="E3817" t="s">
        <v>450</v>
      </c>
      <c r="F3817" t="s">
        <v>1357</v>
      </c>
      <c r="G3817" t="s">
        <v>513</v>
      </c>
      <c r="H3817" t="str">
        <f>"ΗΛΙΑ ΔΕΛΗΓΙΑΝΝΑΚΗ 28 ΧΑΝΙΩΝ"</f>
        <v>ΗΛΙΑ ΔΕΛΗΓΙΑΝΝΑΚΗ 28 ΧΑΝΙΩΝ</v>
      </c>
      <c r="I3817">
        <v>73134</v>
      </c>
      <c r="J3817">
        <v>2821088012</v>
      </c>
      <c r="K3817">
        <v>6977316772</v>
      </c>
      <c r="L3817">
        <v>2821072527</v>
      </c>
      <c r="N3817" t="s">
        <v>168</v>
      </c>
      <c r="O3817" t="s">
        <v>169</v>
      </c>
      <c r="R3817" t="s">
        <v>57</v>
      </c>
      <c r="S3817">
        <v>10</v>
      </c>
      <c r="T3817">
        <v>193</v>
      </c>
      <c r="U3817" s="1">
        <v>37497</v>
      </c>
      <c r="V3817" t="s">
        <v>6729</v>
      </c>
      <c r="W3817" t="s">
        <v>6730</v>
      </c>
      <c r="X3817" t="s">
        <v>58</v>
      </c>
      <c r="Y3817">
        <v>18</v>
      </c>
      <c r="Z3817" t="s">
        <v>59</v>
      </c>
      <c r="AA3817" t="s">
        <v>59</v>
      </c>
      <c r="AB3817" t="s">
        <v>59</v>
      </c>
      <c r="AC3817" t="s">
        <v>59</v>
      </c>
      <c r="AD3817" t="s">
        <v>59</v>
      </c>
      <c r="AF3817" s="1">
        <v>37501</v>
      </c>
      <c r="AG3817" t="s">
        <v>125</v>
      </c>
      <c r="AH3817" t="s">
        <v>126</v>
      </c>
      <c r="AI3817" t="str">
        <f>"5001040"</f>
        <v>5001040</v>
      </c>
      <c r="AJ3817" t="s">
        <v>7126</v>
      </c>
      <c r="AK3817">
        <v>2821088010</v>
      </c>
      <c r="AM3817" t="s">
        <v>88</v>
      </c>
      <c r="AN3817" t="s">
        <v>88</v>
      </c>
      <c r="AO3817" t="s">
        <v>88</v>
      </c>
      <c r="AP3817" t="s">
        <v>88</v>
      </c>
      <c r="AQ3817">
        <v>1</v>
      </c>
      <c r="AR3817" t="s">
        <v>6729</v>
      </c>
      <c r="AS3817" t="s">
        <v>6730</v>
      </c>
      <c r="AT3817" t="s">
        <v>58</v>
      </c>
      <c r="AU3817" t="s">
        <v>68</v>
      </c>
      <c r="AV3817" t="s">
        <v>69</v>
      </c>
      <c r="AW3817" s="1">
        <v>19044</v>
      </c>
      <c r="AX3817">
        <v>2</v>
      </c>
    </row>
    <row r="3818" spans="1:50">
      <c r="A3818">
        <v>217887</v>
      </c>
      <c r="B3818" t="str">
        <f>"044682599"</f>
        <v>044682599</v>
      </c>
      <c r="C3818" t="s">
        <v>50</v>
      </c>
      <c r="D3818" t="s">
        <v>7271</v>
      </c>
      <c r="E3818" t="s">
        <v>566</v>
      </c>
      <c r="F3818" t="s">
        <v>7272</v>
      </c>
      <c r="G3818" t="s">
        <v>255</v>
      </c>
      <c r="H3818" t="str">
        <f>" "</f>
        <v xml:space="preserve"> </v>
      </c>
      <c r="J3818">
        <v>2821052211</v>
      </c>
      <c r="K3818">
        <v>6974722746</v>
      </c>
      <c r="N3818" t="s">
        <v>292</v>
      </c>
      <c r="O3818" t="s">
        <v>293</v>
      </c>
      <c r="R3818" t="s">
        <v>57</v>
      </c>
      <c r="S3818">
        <v>6</v>
      </c>
      <c r="T3818">
        <v>599</v>
      </c>
      <c r="U3818" s="1">
        <v>39310</v>
      </c>
      <c r="V3818" t="s">
        <v>6729</v>
      </c>
      <c r="W3818" t="s">
        <v>6730</v>
      </c>
      <c r="X3818" t="s">
        <v>58</v>
      </c>
      <c r="Y3818">
        <v>20</v>
      </c>
      <c r="Z3818" t="s">
        <v>59</v>
      </c>
      <c r="AA3818" t="s">
        <v>59</v>
      </c>
      <c r="AB3818" t="s">
        <v>59</v>
      </c>
      <c r="AC3818" t="s">
        <v>59</v>
      </c>
      <c r="AD3818" t="s">
        <v>59</v>
      </c>
      <c r="AF3818" s="1">
        <v>39328</v>
      </c>
      <c r="AG3818" t="s">
        <v>148</v>
      </c>
      <c r="AH3818" t="s">
        <v>149</v>
      </c>
      <c r="AI3818" t="str">
        <f>"5051030"</f>
        <v>5051030</v>
      </c>
      <c r="AJ3818" t="s">
        <v>6760</v>
      </c>
      <c r="AK3818">
        <v>2821027533</v>
      </c>
      <c r="AL3818" t="s">
        <v>6761</v>
      </c>
      <c r="AM3818" t="s">
        <v>88</v>
      </c>
      <c r="AN3818" t="s">
        <v>88</v>
      </c>
      <c r="AO3818" t="s">
        <v>88</v>
      </c>
      <c r="AP3818" t="s">
        <v>88</v>
      </c>
      <c r="AQ3818">
        <v>1</v>
      </c>
      <c r="AR3818" t="s">
        <v>6729</v>
      </c>
      <c r="AS3818" t="s">
        <v>6730</v>
      </c>
      <c r="AT3818" t="s">
        <v>58</v>
      </c>
      <c r="AU3818" t="s">
        <v>68</v>
      </c>
      <c r="AV3818" t="s">
        <v>69</v>
      </c>
      <c r="AW3818" s="1">
        <v>22100</v>
      </c>
      <c r="AX3818">
        <v>2</v>
      </c>
    </row>
    <row r="3819" spans="1:50">
      <c r="A3819">
        <v>208578</v>
      </c>
      <c r="B3819" t="str">
        <f>"052314521"</f>
        <v>052314521</v>
      </c>
      <c r="C3819" t="s">
        <v>105</v>
      </c>
      <c r="D3819" t="s">
        <v>1587</v>
      </c>
      <c r="E3819" t="s">
        <v>53</v>
      </c>
      <c r="F3819" t="s">
        <v>84</v>
      </c>
      <c r="G3819" t="s">
        <v>237</v>
      </c>
      <c r="H3819" t="str">
        <f>"ΣΟΥΚΑΤΖΙΔΗ 22 "</f>
        <v xml:space="preserve">ΣΟΥΚΑΤΖΙΔΗ 22 </v>
      </c>
      <c r="J3819">
        <v>2821042628</v>
      </c>
      <c r="K3819">
        <v>6948262674</v>
      </c>
      <c r="M3819" t="s">
        <v>7273</v>
      </c>
      <c r="N3819" t="s">
        <v>168</v>
      </c>
      <c r="O3819" t="s">
        <v>169</v>
      </c>
      <c r="R3819" t="s">
        <v>57</v>
      </c>
      <c r="S3819">
        <v>8</v>
      </c>
      <c r="T3819">
        <v>218</v>
      </c>
      <c r="U3819" s="1">
        <v>38596</v>
      </c>
      <c r="V3819" t="s">
        <v>6729</v>
      </c>
      <c r="W3819" t="s">
        <v>6730</v>
      </c>
      <c r="X3819" t="s">
        <v>58</v>
      </c>
      <c r="Y3819">
        <v>20</v>
      </c>
      <c r="Z3819" t="s">
        <v>59</v>
      </c>
      <c r="AA3819" t="s">
        <v>59</v>
      </c>
      <c r="AB3819" t="s">
        <v>59</v>
      </c>
      <c r="AC3819" t="s">
        <v>59</v>
      </c>
      <c r="AD3819" t="s">
        <v>59</v>
      </c>
      <c r="AF3819" s="1">
        <v>38603</v>
      </c>
      <c r="AG3819" t="s">
        <v>137</v>
      </c>
      <c r="AH3819" t="s">
        <v>138</v>
      </c>
      <c r="AI3819" t="str">
        <f>"5050060"</f>
        <v>5050060</v>
      </c>
      <c r="AJ3819" t="s">
        <v>6801</v>
      </c>
      <c r="AK3819">
        <v>2821091515</v>
      </c>
      <c r="AL3819" t="s">
        <v>6802</v>
      </c>
      <c r="AM3819" t="s">
        <v>88</v>
      </c>
      <c r="AN3819" t="s">
        <v>88</v>
      </c>
      <c r="AO3819" t="s">
        <v>88</v>
      </c>
      <c r="AP3819" t="s">
        <v>88</v>
      </c>
      <c r="AQ3819">
        <v>1</v>
      </c>
      <c r="AR3819" t="s">
        <v>6729</v>
      </c>
      <c r="AS3819" t="s">
        <v>6730</v>
      </c>
      <c r="AT3819" t="s">
        <v>58</v>
      </c>
      <c r="AU3819" t="s">
        <v>68</v>
      </c>
      <c r="AV3819" t="s">
        <v>69</v>
      </c>
      <c r="AW3819" s="1">
        <v>24208</v>
      </c>
      <c r="AX3819">
        <v>2</v>
      </c>
    </row>
    <row r="3820" spans="1:50">
      <c r="A3820">
        <v>199840</v>
      </c>
      <c r="B3820" t="str">
        <f>"054222751"</f>
        <v>054222751</v>
      </c>
      <c r="C3820" t="s">
        <v>105</v>
      </c>
      <c r="D3820" t="s">
        <v>7274</v>
      </c>
      <c r="E3820" t="s">
        <v>6252</v>
      </c>
      <c r="F3820" t="s">
        <v>760</v>
      </c>
      <c r="G3820" t="s">
        <v>237</v>
      </c>
      <c r="H3820" t="str">
        <f>"ΒΑΜΒΑΚΟΠΟΥΛΟ ΧΑΝΙΑ"</f>
        <v>ΒΑΜΒΑΚΟΠΟΥΛΟ ΧΑΝΙΑ</v>
      </c>
      <c r="J3820">
        <v>2821009621</v>
      </c>
      <c r="K3820">
        <v>6974703814</v>
      </c>
      <c r="N3820" t="s">
        <v>204</v>
      </c>
      <c r="O3820" t="s">
        <v>205</v>
      </c>
      <c r="R3820" t="s">
        <v>57</v>
      </c>
      <c r="S3820">
        <v>8</v>
      </c>
      <c r="T3820">
        <v>206</v>
      </c>
      <c r="U3820" s="1">
        <v>37866</v>
      </c>
      <c r="V3820" t="s">
        <v>6729</v>
      </c>
      <c r="W3820" t="s">
        <v>6730</v>
      </c>
      <c r="X3820" t="s">
        <v>58</v>
      </c>
      <c r="Y3820">
        <v>20</v>
      </c>
      <c r="Z3820" t="s">
        <v>59</v>
      </c>
      <c r="AA3820" t="s">
        <v>59</v>
      </c>
      <c r="AB3820" t="s">
        <v>59</v>
      </c>
      <c r="AC3820" t="s">
        <v>59</v>
      </c>
      <c r="AD3820" t="s">
        <v>59</v>
      </c>
      <c r="AF3820" s="1">
        <v>37868</v>
      </c>
      <c r="AG3820" t="s">
        <v>125</v>
      </c>
      <c r="AH3820" t="s">
        <v>126</v>
      </c>
      <c r="AI3820" t="str">
        <f>"5001075"</f>
        <v>5001075</v>
      </c>
      <c r="AJ3820" t="s">
        <v>6768</v>
      </c>
      <c r="AK3820">
        <v>2821064200</v>
      </c>
      <c r="AL3820" t="s">
        <v>6769</v>
      </c>
      <c r="AM3820" t="s">
        <v>88</v>
      </c>
      <c r="AN3820" t="s">
        <v>88</v>
      </c>
      <c r="AO3820" t="s">
        <v>6770</v>
      </c>
      <c r="AP3820" t="s">
        <v>6771</v>
      </c>
      <c r="AQ3820">
        <v>1</v>
      </c>
      <c r="AR3820" t="s">
        <v>6729</v>
      </c>
      <c r="AS3820" t="s">
        <v>6730</v>
      </c>
      <c r="AT3820" t="s">
        <v>58</v>
      </c>
      <c r="AU3820" t="s">
        <v>68</v>
      </c>
      <c r="AV3820" t="s">
        <v>69</v>
      </c>
      <c r="AW3820" s="1">
        <v>27404</v>
      </c>
      <c r="AX3820">
        <v>2</v>
      </c>
    </row>
    <row r="3821" spans="1:50">
      <c r="A3821">
        <v>202235</v>
      </c>
      <c r="B3821" t="str">
        <f>"045648383"</f>
        <v>045648383</v>
      </c>
      <c r="C3821" t="s">
        <v>50</v>
      </c>
      <c r="D3821" t="s">
        <v>7275</v>
      </c>
      <c r="E3821" t="s">
        <v>7276</v>
      </c>
      <c r="F3821" t="s">
        <v>670</v>
      </c>
      <c r="G3821" t="s">
        <v>396</v>
      </c>
      <c r="H3821" t="str">
        <f>"ΑΡΙΣΤΟΤΕΛΟΥΣ 14 ΧΑΝΙΑ"</f>
        <v>ΑΡΙΣΤΟΤΕΛΟΥΣ 14 ΧΑΝΙΑ</v>
      </c>
      <c r="I3821">
        <v>73300</v>
      </c>
      <c r="J3821">
        <v>2821087027</v>
      </c>
      <c r="K3821">
        <v>6974061213</v>
      </c>
      <c r="L3821">
        <v>2821087027</v>
      </c>
      <c r="M3821" t="s">
        <v>7277</v>
      </c>
      <c r="N3821" t="s">
        <v>292</v>
      </c>
      <c r="O3821" t="s">
        <v>293</v>
      </c>
      <c r="R3821" t="s">
        <v>57</v>
      </c>
      <c r="S3821">
        <v>7</v>
      </c>
      <c r="T3821">
        <v>231</v>
      </c>
      <c r="U3821" s="1">
        <v>38230</v>
      </c>
      <c r="V3821" t="s">
        <v>6729</v>
      </c>
      <c r="W3821" t="s">
        <v>6730</v>
      </c>
      <c r="X3821" t="s">
        <v>58</v>
      </c>
      <c r="Y3821">
        <v>20</v>
      </c>
      <c r="Z3821" t="s">
        <v>59</v>
      </c>
      <c r="AA3821" t="s">
        <v>59</v>
      </c>
      <c r="AB3821" t="s">
        <v>59</v>
      </c>
      <c r="AC3821" t="s">
        <v>59</v>
      </c>
      <c r="AD3821" t="s">
        <v>59</v>
      </c>
      <c r="AF3821" s="1">
        <v>38233</v>
      </c>
      <c r="AG3821" t="s">
        <v>137</v>
      </c>
      <c r="AH3821" t="s">
        <v>469</v>
      </c>
      <c r="AI3821" t="str">
        <f>"5040055"</f>
        <v>5040055</v>
      </c>
      <c r="AJ3821" t="s">
        <v>6940</v>
      </c>
      <c r="AK3821">
        <v>2821036404</v>
      </c>
      <c r="AL3821" t="s">
        <v>6941</v>
      </c>
      <c r="AM3821" t="s">
        <v>88</v>
      </c>
      <c r="AN3821" t="s">
        <v>88</v>
      </c>
      <c r="AO3821" t="s">
        <v>88</v>
      </c>
      <c r="AP3821" t="s">
        <v>88</v>
      </c>
      <c r="AQ3821">
        <v>1</v>
      </c>
      <c r="AR3821" t="s">
        <v>6729</v>
      </c>
      <c r="AS3821" t="s">
        <v>6730</v>
      </c>
      <c r="AT3821" t="s">
        <v>58</v>
      </c>
      <c r="AU3821" t="s">
        <v>68</v>
      </c>
      <c r="AV3821" t="s">
        <v>69</v>
      </c>
      <c r="AW3821" s="1">
        <v>24190</v>
      </c>
      <c r="AX3821">
        <v>2</v>
      </c>
    </row>
    <row r="3822" spans="1:50">
      <c r="A3822">
        <v>212696</v>
      </c>
      <c r="B3822" t="str">
        <f>"059171888"</f>
        <v>059171888</v>
      </c>
      <c r="C3822" t="s">
        <v>105</v>
      </c>
      <c r="D3822" t="s">
        <v>1599</v>
      </c>
      <c r="E3822" t="s">
        <v>760</v>
      </c>
      <c r="F3822" t="s">
        <v>670</v>
      </c>
      <c r="G3822" t="s">
        <v>396</v>
      </c>
      <c r="H3822" t="str">
        <f>"ΑΝΑΓΝΩΣΤΟΥ ΓΟΓΟΝΗ 14 ΧΑΝΙΑ"</f>
        <v>ΑΝΑΓΝΩΣΤΟΥ ΓΟΓΟΝΗ 14 ΧΑΝΙΑ</v>
      </c>
      <c r="I3822">
        <v>73135</v>
      </c>
      <c r="J3822">
        <v>2821070557</v>
      </c>
      <c r="K3822">
        <v>6974758214</v>
      </c>
      <c r="N3822" t="s">
        <v>292</v>
      </c>
      <c r="O3822" t="s">
        <v>293</v>
      </c>
      <c r="R3822" t="s">
        <v>57</v>
      </c>
      <c r="S3822">
        <v>7</v>
      </c>
      <c r="T3822">
        <v>231</v>
      </c>
      <c r="U3822" s="1">
        <v>38960</v>
      </c>
      <c r="V3822" t="s">
        <v>6729</v>
      </c>
      <c r="W3822" t="s">
        <v>6730</v>
      </c>
      <c r="X3822" t="s">
        <v>58</v>
      </c>
      <c r="Y3822">
        <v>20</v>
      </c>
      <c r="Z3822" t="s">
        <v>59</v>
      </c>
      <c r="AA3822" t="s">
        <v>59</v>
      </c>
      <c r="AB3822" t="s">
        <v>59</v>
      </c>
      <c r="AC3822" t="s">
        <v>59</v>
      </c>
      <c r="AD3822" t="s">
        <v>59</v>
      </c>
      <c r="AF3822" s="1">
        <v>38961</v>
      </c>
      <c r="AG3822" t="s">
        <v>148</v>
      </c>
      <c r="AH3822" t="s">
        <v>149</v>
      </c>
      <c r="AI3822" t="str">
        <f>"5051040"</f>
        <v>5051040</v>
      </c>
      <c r="AJ3822" t="s">
        <v>6811</v>
      </c>
      <c r="AK3822">
        <v>2821088007</v>
      </c>
      <c r="AL3822" t="s">
        <v>6812</v>
      </c>
      <c r="AM3822" t="s">
        <v>88</v>
      </c>
      <c r="AN3822" t="s">
        <v>88</v>
      </c>
      <c r="AO3822" t="s">
        <v>88</v>
      </c>
      <c r="AP3822" t="s">
        <v>88</v>
      </c>
      <c r="AQ3822">
        <v>1</v>
      </c>
      <c r="AR3822" t="s">
        <v>6729</v>
      </c>
      <c r="AS3822" t="s">
        <v>6730</v>
      </c>
      <c r="AT3822" t="s">
        <v>58</v>
      </c>
      <c r="AU3822" t="s">
        <v>68</v>
      </c>
      <c r="AV3822" t="s">
        <v>357</v>
      </c>
      <c r="AW3822" s="1">
        <v>23559</v>
      </c>
      <c r="AX3822">
        <v>2</v>
      </c>
    </row>
    <row r="3823" spans="1:50">
      <c r="A3823">
        <v>190820</v>
      </c>
      <c r="B3823" t="str">
        <f>"044595719"</f>
        <v>044595719</v>
      </c>
      <c r="C3823" t="s">
        <v>50</v>
      </c>
      <c r="D3823" t="s">
        <v>1609</v>
      </c>
      <c r="E3823" t="s">
        <v>250</v>
      </c>
      <c r="F3823" t="s">
        <v>53</v>
      </c>
      <c r="G3823" t="s">
        <v>52</v>
      </c>
      <c r="H3823" t="str">
        <f>" "</f>
        <v xml:space="preserve"> </v>
      </c>
      <c r="M3823" t="s">
        <v>7278</v>
      </c>
      <c r="N3823" t="s">
        <v>204</v>
      </c>
      <c r="O3823" t="s">
        <v>205</v>
      </c>
      <c r="R3823" t="s">
        <v>57</v>
      </c>
      <c r="S3823">
        <v>9</v>
      </c>
      <c r="T3823">
        <v>219</v>
      </c>
      <c r="U3823" s="1">
        <v>37134</v>
      </c>
      <c r="V3823" t="s">
        <v>6729</v>
      </c>
      <c r="W3823" t="s">
        <v>6730</v>
      </c>
      <c r="X3823" t="s">
        <v>58</v>
      </c>
      <c r="Y3823">
        <v>20</v>
      </c>
      <c r="Z3823" t="s">
        <v>59</v>
      </c>
      <c r="AA3823" t="s">
        <v>59</v>
      </c>
      <c r="AB3823" t="s">
        <v>59</v>
      </c>
      <c r="AC3823" t="s">
        <v>59</v>
      </c>
      <c r="AD3823" t="s">
        <v>59</v>
      </c>
      <c r="AF3823" s="1">
        <v>37138</v>
      </c>
      <c r="AG3823" t="s">
        <v>125</v>
      </c>
      <c r="AH3823" t="s">
        <v>126</v>
      </c>
      <c r="AI3823" t="str">
        <f>"5002010"</f>
        <v>5002010</v>
      </c>
      <c r="AJ3823" t="s">
        <v>6773</v>
      </c>
      <c r="AK3823">
        <v>2825022249</v>
      </c>
      <c r="AL3823" t="s">
        <v>6774</v>
      </c>
      <c r="AM3823" t="s">
        <v>88</v>
      </c>
      <c r="AN3823" t="s">
        <v>6775</v>
      </c>
      <c r="AO3823" t="s">
        <v>6776</v>
      </c>
      <c r="AP3823" t="s">
        <v>6776</v>
      </c>
      <c r="AQ3823">
        <v>1</v>
      </c>
      <c r="AR3823" t="s">
        <v>6729</v>
      </c>
      <c r="AS3823" t="s">
        <v>6730</v>
      </c>
      <c r="AT3823" t="s">
        <v>58</v>
      </c>
      <c r="AU3823" t="s">
        <v>68</v>
      </c>
      <c r="AV3823" t="s">
        <v>69</v>
      </c>
      <c r="AW3823" s="1">
        <v>26135</v>
      </c>
      <c r="AX3823">
        <v>2</v>
      </c>
    </row>
    <row r="3824" spans="1:50">
      <c r="A3824">
        <v>177829</v>
      </c>
      <c r="B3824" t="str">
        <f>"050851331"</f>
        <v>050851331</v>
      </c>
      <c r="C3824" t="s">
        <v>50</v>
      </c>
      <c r="D3824" t="s">
        <v>1609</v>
      </c>
      <c r="E3824" t="s">
        <v>3249</v>
      </c>
      <c r="F3824" t="s">
        <v>1041</v>
      </c>
      <c r="G3824" t="s">
        <v>237</v>
      </c>
      <c r="H3824" t="str">
        <f>" "</f>
        <v xml:space="preserve"> </v>
      </c>
      <c r="M3824" t="s">
        <v>7279</v>
      </c>
      <c r="N3824" t="s">
        <v>587</v>
      </c>
      <c r="O3824" t="s">
        <v>588</v>
      </c>
      <c r="R3824" t="s">
        <v>57</v>
      </c>
      <c r="S3824">
        <v>10</v>
      </c>
      <c r="T3824">
        <v>180</v>
      </c>
      <c r="U3824" s="1">
        <v>35674</v>
      </c>
      <c r="V3824" t="s">
        <v>6729</v>
      </c>
      <c r="W3824" t="s">
        <v>6730</v>
      </c>
      <c r="X3824" t="s">
        <v>58</v>
      </c>
      <c r="Y3824">
        <v>18</v>
      </c>
      <c r="Z3824" t="s">
        <v>59</v>
      </c>
      <c r="AA3824" t="s">
        <v>59</v>
      </c>
      <c r="AB3824" t="s">
        <v>59</v>
      </c>
      <c r="AC3824" t="s">
        <v>59</v>
      </c>
      <c r="AD3824" t="s">
        <v>59</v>
      </c>
      <c r="AF3824" s="1">
        <v>35677</v>
      </c>
      <c r="AG3824" t="s">
        <v>137</v>
      </c>
      <c r="AH3824" t="s">
        <v>138</v>
      </c>
      <c r="AI3824" t="str">
        <f>"5040050"</f>
        <v>5040050</v>
      </c>
      <c r="AJ3824" t="s">
        <v>6750</v>
      </c>
      <c r="AK3824">
        <v>2821043147</v>
      </c>
      <c r="AL3824" t="s">
        <v>6751</v>
      </c>
      <c r="AM3824" t="s">
        <v>88</v>
      </c>
      <c r="AN3824" t="s">
        <v>88</v>
      </c>
      <c r="AO3824" t="s">
        <v>88</v>
      </c>
      <c r="AP3824" t="s">
        <v>88</v>
      </c>
      <c r="AQ3824">
        <v>1</v>
      </c>
      <c r="AR3824" t="s">
        <v>6729</v>
      </c>
      <c r="AS3824" t="s">
        <v>6730</v>
      </c>
      <c r="AT3824" t="s">
        <v>58</v>
      </c>
      <c r="AU3824" t="s">
        <v>68</v>
      </c>
      <c r="AV3824" t="s">
        <v>69</v>
      </c>
      <c r="AW3824" s="1">
        <v>24387</v>
      </c>
      <c r="AX3824">
        <v>2</v>
      </c>
    </row>
    <row r="3825" spans="1:50">
      <c r="A3825">
        <v>206435</v>
      </c>
      <c r="B3825" t="str">
        <f>"112014613"</f>
        <v>112014613</v>
      </c>
      <c r="C3825" t="s">
        <v>50</v>
      </c>
      <c r="D3825" t="s">
        <v>7280</v>
      </c>
      <c r="E3825" t="s">
        <v>191</v>
      </c>
      <c r="F3825" t="s">
        <v>315</v>
      </c>
      <c r="G3825" t="s">
        <v>476</v>
      </c>
      <c r="H3825" t="str">
        <f>"Μ. ΑΛΕΞΑΝΔΡΟΥ 15 ΘΕΡΜΗΣ"</f>
        <v>Μ. ΑΛΕΞΑΝΔΡΟΥ 15 ΘΕΡΜΗΣ</v>
      </c>
      <c r="I3825">
        <v>57001</v>
      </c>
      <c r="J3825">
        <v>2310465316</v>
      </c>
      <c r="K3825">
        <v>6980964015</v>
      </c>
      <c r="M3825" t="s">
        <v>7281</v>
      </c>
      <c r="N3825" t="s">
        <v>157</v>
      </c>
      <c r="O3825" t="s">
        <v>158</v>
      </c>
      <c r="R3825" t="s">
        <v>57</v>
      </c>
      <c r="S3825">
        <v>8</v>
      </c>
      <c r="T3825">
        <v>218</v>
      </c>
      <c r="U3825" s="1">
        <v>38596</v>
      </c>
      <c r="V3825" t="s">
        <v>6729</v>
      </c>
      <c r="W3825" t="s">
        <v>6730</v>
      </c>
      <c r="X3825" t="s">
        <v>58</v>
      </c>
      <c r="Y3825">
        <v>20</v>
      </c>
      <c r="Z3825" t="s">
        <v>59</v>
      </c>
      <c r="AA3825" t="s">
        <v>59</v>
      </c>
      <c r="AB3825" t="s">
        <v>59</v>
      </c>
      <c r="AC3825" t="s">
        <v>59</v>
      </c>
      <c r="AD3825" t="s">
        <v>59</v>
      </c>
      <c r="AF3825" s="1">
        <v>38603</v>
      </c>
      <c r="AG3825" t="s">
        <v>125</v>
      </c>
      <c r="AH3825" t="s">
        <v>126</v>
      </c>
      <c r="AI3825" t="str">
        <f>"5001020"</f>
        <v>5001020</v>
      </c>
      <c r="AJ3825" t="s">
        <v>6739</v>
      </c>
      <c r="AK3825">
        <v>2821042664</v>
      </c>
      <c r="AL3825" t="s">
        <v>6740</v>
      </c>
      <c r="AM3825" t="s">
        <v>88</v>
      </c>
      <c r="AN3825" t="s">
        <v>88</v>
      </c>
      <c r="AO3825" t="s">
        <v>88</v>
      </c>
      <c r="AP3825" t="s">
        <v>88</v>
      </c>
      <c r="AQ3825">
        <v>1</v>
      </c>
      <c r="AR3825" t="s">
        <v>6729</v>
      </c>
      <c r="AS3825" t="s">
        <v>6730</v>
      </c>
      <c r="AT3825" t="s">
        <v>58</v>
      </c>
      <c r="AU3825" t="s">
        <v>68</v>
      </c>
      <c r="AV3825" t="s">
        <v>69</v>
      </c>
      <c r="AW3825" s="1">
        <v>22971</v>
      </c>
      <c r="AX3825">
        <v>2</v>
      </c>
    </row>
    <row r="3826" spans="1:50">
      <c r="A3826">
        <v>212701</v>
      </c>
      <c r="B3826" t="str">
        <f>"064728468"</f>
        <v>064728468</v>
      </c>
      <c r="C3826" t="s">
        <v>50</v>
      </c>
      <c r="D3826" t="s">
        <v>7282</v>
      </c>
      <c r="E3826" t="s">
        <v>7283</v>
      </c>
      <c r="F3826" t="s">
        <v>1493</v>
      </c>
      <c r="G3826" t="s">
        <v>237</v>
      </c>
      <c r="H3826" t="str">
        <f>"ΣΠΑΡΤΗΣ 43 ΧΑΝΙΑ"</f>
        <v>ΣΠΑΡΤΗΣ 43 ΧΑΝΙΑ</v>
      </c>
      <c r="I3826">
        <v>73132</v>
      </c>
      <c r="J3826">
        <v>2821059897</v>
      </c>
      <c r="K3826">
        <v>6976445868</v>
      </c>
      <c r="N3826" t="s">
        <v>292</v>
      </c>
      <c r="O3826" t="s">
        <v>293</v>
      </c>
      <c r="R3826" t="s">
        <v>57</v>
      </c>
      <c r="S3826">
        <v>7</v>
      </c>
      <c r="T3826">
        <v>231</v>
      </c>
      <c r="U3826" s="1">
        <v>38960</v>
      </c>
      <c r="V3826" t="s">
        <v>6729</v>
      </c>
      <c r="W3826" t="s">
        <v>6730</v>
      </c>
      <c r="X3826" t="s">
        <v>58</v>
      </c>
      <c r="Y3826">
        <v>20</v>
      </c>
      <c r="Z3826" t="s">
        <v>59</v>
      </c>
      <c r="AA3826" t="s">
        <v>59</v>
      </c>
      <c r="AB3826" t="s">
        <v>59</v>
      </c>
      <c r="AC3826" t="s">
        <v>59</v>
      </c>
      <c r="AD3826" t="s">
        <v>59</v>
      </c>
      <c r="AF3826" s="1">
        <v>38964</v>
      </c>
      <c r="AG3826" t="s">
        <v>148</v>
      </c>
      <c r="AH3826" t="s">
        <v>149</v>
      </c>
      <c r="AI3826" t="str">
        <f>"5051009"</f>
        <v>5051009</v>
      </c>
      <c r="AJ3826" t="s">
        <v>6851</v>
      </c>
      <c r="AK3826">
        <v>2821044551</v>
      </c>
      <c r="AL3826" t="s">
        <v>6852</v>
      </c>
      <c r="AM3826" t="s">
        <v>88</v>
      </c>
      <c r="AN3826" t="s">
        <v>88</v>
      </c>
      <c r="AO3826" t="s">
        <v>6770</v>
      </c>
      <c r="AP3826" t="s">
        <v>6771</v>
      </c>
      <c r="AQ3826">
        <v>1</v>
      </c>
      <c r="AR3826" t="s">
        <v>6729</v>
      </c>
      <c r="AS3826" t="s">
        <v>6730</v>
      </c>
      <c r="AT3826" t="s">
        <v>58</v>
      </c>
      <c r="AU3826" t="s">
        <v>68</v>
      </c>
      <c r="AV3826" t="s">
        <v>69</v>
      </c>
      <c r="AW3826" s="1">
        <v>27256</v>
      </c>
      <c r="AX3826">
        <v>2</v>
      </c>
    </row>
    <row r="3827" spans="1:50">
      <c r="A3827">
        <v>180794</v>
      </c>
      <c r="B3827" t="str">
        <f>"039032639"</f>
        <v>039032639</v>
      </c>
      <c r="C3827" t="s">
        <v>50</v>
      </c>
      <c r="D3827" t="s">
        <v>7282</v>
      </c>
      <c r="E3827" t="s">
        <v>7284</v>
      </c>
      <c r="F3827" t="s">
        <v>1185</v>
      </c>
      <c r="G3827" t="s">
        <v>2315</v>
      </c>
      <c r="H3827" t="str">
        <f>" "</f>
        <v xml:space="preserve"> </v>
      </c>
      <c r="N3827" t="s">
        <v>478</v>
      </c>
      <c r="O3827" t="s">
        <v>479</v>
      </c>
      <c r="R3827" t="s">
        <v>57</v>
      </c>
      <c r="S3827">
        <v>11</v>
      </c>
      <c r="T3827">
        <v>181</v>
      </c>
      <c r="U3827" s="1">
        <v>36039</v>
      </c>
      <c r="V3827" t="s">
        <v>6729</v>
      </c>
      <c r="W3827" t="s">
        <v>6730</v>
      </c>
      <c r="X3827" t="s">
        <v>58</v>
      </c>
      <c r="Y3827">
        <v>18</v>
      </c>
      <c r="Z3827" t="s">
        <v>59</v>
      </c>
      <c r="AA3827" t="s">
        <v>59</v>
      </c>
      <c r="AB3827" t="s">
        <v>59</v>
      </c>
      <c r="AC3827" t="s">
        <v>59</v>
      </c>
      <c r="AD3827" t="s">
        <v>59</v>
      </c>
      <c r="AF3827" s="1">
        <v>36045</v>
      </c>
      <c r="AG3827" t="s">
        <v>125</v>
      </c>
      <c r="AH3827" t="s">
        <v>126</v>
      </c>
      <c r="AI3827" t="str">
        <f>"5001080"</f>
        <v>5001080</v>
      </c>
      <c r="AJ3827" t="s">
        <v>6984</v>
      </c>
      <c r="AK3827">
        <v>2821068020</v>
      </c>
      <c r="AL3827" t="s">
        <v>6985</v>
      </c>
      <c r="AM3827" t="s">
        <v>88</v>
      </c>
      <c r="AN3827" t="s">
        <v>6764</v>
      </c>
      <c r="AO3827" t="s">
        <v>6764</v>
      </c>
      <c r="AP3827" t="s">
        <v>6764</v>
      </c>
      <c r="AQ3827">
        <v>1</v>
      </c>
      <c r="AR3827" t="s">
        <v>6729</v>
      </c>
      <c r="AS3827" t="s">
        <v>6730</v>
      </c>
      <c r="AT3827" t="s">
        <v>58</v>
      </c>
      <c r="AU3827" t="s">
        <v>68</v>
      </c>
      <c r="AV3827" t="s">
        <v>69</v>
      </c>
      <c r="AW3827" s="1">
        <v>22090</v>
      </c>
      <c r="AX3827">
        <v>2</v>
      </c>
    </row>
    <row r="3828" spans="1:50">
      <c r="A3828">
        <v>182821</v>
      </c>
      <c r="B3828" t="str">
        <f>"059407285"</f>
        <v>059407285</v>
      </c>
      <c r="C3828" t="s">
        <v>50</v>
      </c>
      <c r="D3828" t="s">
        <v>1625</v>
      </c>
      <c r="E3828" t="s">
        <v>600</v>
      </c>
      <c r="F3828" t="s">
        <v>7285</v>
      </c>
      <c r="G3828" t="s">
        <v>366</v>
      </c>
      <c r="H3828" t="str">
        <f>"Μ. ΚΑΛΟΓΕΡΗ  9 ΒΛΗΤΕΣ ΣΟΥΔΑΣ"</f>
        <v>Μ. ΚΑΛΟΓΕΡΗ  9 ΒΛΗΤΕΣ ΣΟΥΔΑΣ</v>
      </c>
      <c r="I3828">
        <v>73200</v>
      </c>
      <c r="J3828">
        <v>2821050763</v>
      </c>
      <c r="K3828">
        <v>6979943453</v>
      </c>
      <c r="M3828" t="s">
        <v>7286</v>
      </c>
      <c r="N3828" t="s">
        <v>306</v>
      </c>
      <c r="O3828" t="s">
        <v>307</v>
      </c>
      <c r="R3828" t="s">
        <v>57</v>
      </c>
      <c r="S3828">
        <v>10</v>
      </c>
      <c r="T3828">
        <v>249</v>
      </c>
      <c r="U3828" s="1">
        <v>36160</v>
      </c>
      <c r="V3828" t="s">
        <v>6729</v>
      </c>
      <c r="W3828" t="s">
        <v>6730</v>
      </c>
      <c r="X3828" t="s">
        <v>58</v>
      </c>
      <c r="Y3828">
        <v>18</v>
      </c>
      <c r="Z3828" t="s">
        <v>59</v>
      </c>
      <c r="AA3828" t="s">
        <v>59</v>
      </c>
      <c r="AB3828" t="s">
        <v>59</v>
      </c>
      <c r="AC3828" t="s">
        <v>59</v>
      </c>
      <c r="AD3828" t="s">
        <v>59</v>
      </c>
      <c r="AF3828" s="1">
        <v>36178</v>
      </c>
      <c r="AG3828" t="s">
        <v>125</v>
      </c>
      <c r="AH3828" t="s">
        <v>126</v>
      </c>
      <c r="AI3828" t="str">
        <f>"5001073"</f>
        <v>5001073</v>
      </c>
      <c r="AJ3828" t="s">
        <v>6849</v>
      </c>
      <c r="AK3828">
        <v>2821028553</v>
      </c>
      <c r="AL3828" t="s">
        <v>6850</v>
      </c>
      <c r="AM3828" t="s">
        <v>88</v>
      </c>
      <c r="AN3828" t="s">
        <v>88</v>
      </c>
      <c r="AO3828" t="s">
        <v>88</v>
      </c>
      <c r="AP3828" t="s">
        <v>88</v>
      </c>
      <c r="AQ3828">
        <v>1</v>
      </c>
      <c r="AR3828" t="s">
        <v>6729</v>
      </c>
      <c r="AS3828" t="s">
        <v>6730</v>
      </c>
      <c r="AT3828" t="s">
        <v>58</v>
      </c>
      <c r="AU3828" t="s">
        <v>68</v>
      </c>
      <c r="AV3828" t="s">
        <v>69</v>
      </c>
      <c r="AW3828" s="1">
        <v>22685</v>
      </c>
      <c r="AX3828">
        <v>2</v>
      </c>
    </row>
    <row r="3829" spans="1:50">
      <c r="A3829">
        <v>178043</v>
      </c>
      <c r="B3829" t="str">
        <f>"027338940"</f>
        <v>027338940</v>
      </c>
      <c r="C3829" t="s">
        <v>50</v>
      </c>
      <c r="D3829" t="s">
        <v>7287</v>
      </c>
      <c r="E3829" t="s">
        <v>1189</v>
      </c>
      <c r="F3829" t="s">
        <v>166</v>
      </c>
      <c r="G3829" t="s">
        <v>727</v>
      </c>
      <c r="H3829" t="str">
        <f>" "</f>
        <v xml:space="preserve"> </v>
      </c>
      <c r="N3829" t="s">
        <v>204</v>
      </c>
      <c r="O3829" t="s">
        <v>205</v>
      </c>
      <c r="P3829" t="s">
        <v>292</v>
      </c>
      <c r="Q3829" t="s">
        <v>293</v>
      </c>
      <c r="R3829" t="s">
        <v>57</v>
      </c>
      <c r="S3829">
        <v>13</v>
      </c>
      <c r="T3829">
        <v>180</v>
      </c>
      <c r="U3829" s="1">
        <v>35674</v>
      </c>
      <c r="V3829" t="s">
        <v>6729</v>
      </c>
      <c r="W3829" t="s">
        <v>6730</v>
      </c>
      <c r="X3829" t="s">
        <v>58</v>
      </c>
      <c r="Y3829">
        <v>18</v>
      </c>
      <c r="Z3829" t="s">
        <v>59</v>
      </c>
      <c r="AA3829" t="s">
        <v>59</v>
      </c>
      <c r="AB3829" t="s">
        <v>59</v>
      </c>
      <c r="AC3829" t="s">
        <v>59</v>
      </c>
      <c r="AD3829" t="s">
        <v>59</v>
      </c>
      <c r="AF3829" s="1">
        <v>35676</v>
      </c>
      <c r="AG3829" t="s">
        <v>125</v>
      </c>
      <c r="AH3829" t="s">
        <v>126</v>
      </c>
      <c r="AI3829" t="str">
        <f>"5001076"</f>
        <v>5001076</v>
      </c>
      <c r="AJ3829" t="s">
        <v>6979</v>
      </c>
      <c r="AK3829">
        <v>2821088808</v>
      </c>
      <c r="AL3829" t="s">
        <v>6980</v>
      </c>
      <c r="AM3829" t="s">
        <v>88</v>
      </c>
      <c r="AN3829" t="s">
        <v>88</v>
      </c>
      <c r="AO3829" t="s">
        <v>6733</v>
      </c>
      <c r="AP3829" t="s">
        <v>6755</v>
      </c>
      <c r="AQ3829">
        <v>1</v>
      </c>
      <c r="AR3829" t="s">
        <v>6729</v>
      </c>
      <c r="AS3829" t="s">
        <v>6730</v>
      </c>
      <c r="AT3829" t="s">
        <v>58</v>
      </c>
      <c r="AU3829" t="s">
        <v>68</v>
      </c>
      <c r="AV3829" t="s">
        <v>69</v>
      </c>
      <c r="AW3829" s="1">
        <v>20295</v>
      </c>
      <c r="AX3829">
        <v>2</v>
      </c>
    </row>
    <row r="3830" spans="1:50">
      <c r="B3830" t="str">
        <f>"132312619"</f>
        <v>132312619</v>
      </c>
      <c r="C3830" t="s">
        <v>50</v>
      </c>
      <c r="D3830" t="s">
        <v>7287</v>
      </c>
      <c r="E3830" t="s">
        <v>1189</v>
      </c>
      <c r="F3830" t="s">
        <v>99</v>
      </c>
      <c r="G3830" t="s">
        <v>109</v>
      </c>
      <c r="H3830" t="str">
        <f>"ΚΟΥΣΤΟΓΕΡΑΚΟΥ 9 ΧΑΝΙΑ"</f>
        <v>ΚΟΥΣΤΟΓΕΡΑΚΟΥ 9 ΧΑΝΙΑ</v>
      </c>
      <c r="I3830">
        <v>73100</v>
      </c>
      <c r="J3830">
        <v>2823041423</v>
      </c>
      <c r="K3830">
        <v>6974737186</v>
      </c>
      <c r="N3830" t="s">
        <v>204</v>
      </c>
      <c r="O3830" t="s">
        <v>205</v>
      </c>
      <c r="R3830" t="s">
        <v>57</v>
      </c>
      <c r="S3830">
        <v>5</v>
      </c>
      <c r="T3830" t="s">
        <v>873</v>
      </c>
      <c r="U3830" s="1">
        <v>43377</v>
      </c>
      <c r="V3830" t="s">
        <v>6729</v>
      </c>
      <c r="W3830" t="s">
        <v>6730</v>
      </c>
      <c r="X3830" t="s">
        <v>58</v>
      </c>
      <c r="Y3830">
        <v>21</v>
      </c>
      <c r="Z3830" t="s">
        <v>59</v>
      </c>
      <c r="AA3830" t="s">
        <v>59</v>
      </c>
      <c r="AB3830" t="s">
        <v>59</v>
      </c>
      <c r="AC3830" t="s">
        <v>59</v>
      </c>
      <c r="AD3830" t="s">
        <v>59</v>
      </c>
      <c r="AF3830" s="1">
        <v>43377</v>
      </c>
      <c r="AG3830" t="s">
        <v>125</v>
      </c>
      <c r="AH3830" t="s">
        <v>126</v>
      </c>
      <c r="AI3830" t="str">
        <f>"5005010"</f>
        <v>5005010</v>
      </c>
      <c r="AJ3830" t="s">
        <v>7100</v>
      </c>
      <c r="AK3830">
        <v>2823041217</v>
      </c>
      <c r="AL3830" t="s">
        <v>7101</v>
      </c>
      <c r="AM3830" t="s">
        <v>88</v>
      </c>
      <c r="AN3830" t="s">
        <v>6824</v>
      </c>
      <c r="AO3830" t="s">
        <v>6870</v>
      </c>
      <c r="AP3830" t="s">
        <v>6871</v>
      </c>
      <c r="AQ3830">
        <v>1</v>
      </c>
      <c r="AR3830" t="s">
        <v>6729</v>
      </c>
      <c r="AS3830" t="s">
        <v>6730</v>
      </c>
      <c r="AT3830" t="s">
        <v>58</v>
      </c>
      <c r="AU3830" t="s">
        <v>164</v>
      </c>
      <c r="AV3830" t="s">
        <v>132</v>
      </c>
      <c r="AW3830" s="1">
        <v>30557</v>
      </c>
      <c r="AX3830">
        <v>2</v>
      </c>
    </row>
    <row r="3831" spans="1:50">
      <c r="A3831">
        <v>160718</v>
      </c>
      <c r="B3831" t="str">
        <f>"027932048"</f>
        <v>027932048</v>
      </c>
      <c r="C3831" t="s">
        <v>50</v>
      </c>
      <c r="D3831" t="s">
        <v>7287</v>
      </c>
      <c r="E3831" t="s">
        <v>396</v>
      </c>
      <c r="F3831" t="s">
        <v>670</v>
      </c>
      <c r="G3831" t="s">
        <v>52</v>
      </c>
      <c r="H3831" t="str">
        <f>" "</f>
        <v xml:space="preserve"> </v>
      </c>
      <c r="K3831">
        <v>6972249555</v>
      </c>
      <c r="N3831" t="s">
        <v>299</v>
      </c>
      <c r="O3831" t="s">
        <v>300</v>
      </c>
      <c r="P3831" t="s">
        <v>615</v>
      </c>
      <c r="Q3831" t="s">
        <v>616</v>
      </c>
      <c r="R3831" t="s">
        <v>57</v>
      </c>
      <c r="S3831">
        <v>14</v>
      </c>
      <c r="T3831">
        <v>161</v>
      </c>
      <c r="U3831" s="1">
        <v>33119</v>
      </c>
      <c r="V3831" t="s">
        <v>6729</v>
      </c>
      <c r="W3831" t="s">
        <v>6730</v>
      </c>
      <c r="X3831" t="s">
        <v>58</v>
      </c>
      <c r="Y3831">
        <v>18</v>
      </c>
      <c r="Z3831" t="s">
        <v>59</v>
      </c>
      <c r="AA3831" t="s">
        <v>59</v>
      </c>
      <c r="AB3831" t="s">
        <v>59</v>
      </c>
      <c r="AC3831" t="s">
        <v>59</v>
      </c>
      <c r="AD3831" t="s">
        <v>59</v>
      </c>
      <c r="AF3831" s="1">
        <v>33121</v>
      </c>
      <c r="AG3831" t="s">
        <v>148</v>
      </c>
      <c r="AH3831" t="s">
        <v>149</v>
      </c>
      <c r="AI3831" t="str">
        <f>"5061010"</f>
        <v>5061010</v>
      </c>
      <c r="AJ3831" t="s">
        <v>6746</v>
      </c>
      <c r="AK3831">
        <v>2821081530</v>
      </c>
      <c r="AL3831" t="s">
        <v>6747</v>
      </c>
      <c r="AM3831" t="s">
        <v>88</v>
      </c>
      <c r="AN3831" t="s">
        <v>88</v>
      </c>
      <c r="AO3831" t="s">
        <v>6748</v>
      </c>
      <c r="AP3831" t="s">
        <v>6748</v>
      </c>
      <c r="AQ3831">
        <v>1</v>
      </c>
      <c r="AR3831" t="s">
        <v>6729</v>
      </c>
      <c r="AS3831" t="s">
        <v>6730</v>
      </c>
      <c r="AT3831" t="s">
        <v>58</v>
      </c>
      <c r="AU3831" t="s">
        <v>68</v>
      </c>
      <c r="AV3831" t="s">
        <v>132</v>
      </c>
      <c r="AW3831" s="1">
        <v>21916</v>
      </c>
      <c r="AX3831">
        <v>2</v>
      </c>
    </row>
    <row r="3832" spans="1:50">
      <c r="A3832">
        <v>194740</v>
      </c>
      <c r="B3832" t="str">
        <f>"030721350"</f>
        <v>030721350</v>
      </c>
      <c r="C3832" t="s">
        <v>105</v>
      </c>
      <c r="D3832" t="s">
        <v>7288</v>
      </c>
      <c r="E3832" t="s">
        <v>106</v>
      </c>
      <c r="F3832" t="s">
        <v>670</v>
      </c>
      <c r="G3832" t="s">
        <v>52</v>
      </c>
      <c r="H3832" t="str">
        <f>" "</f>
        <v xml:space="preserve"> </v>
      </c>
      <c r="N3832" t="s">
        <v>168</v>
      </c>
      <c r="O3832" t="s">
        <v>169</v>
      </c>
      <c r="R3832" t="s">
        <v>57</v>
      </c>
      <c r="S3832">
        <v>11</v>
      </c>
      <c r="T3832">
        <v>193</v>
      </c>
      <c r="U3832" s="1">
        <v>37497</v>
      </c>
      <c r="V3832" t="s">
        <v>6729</v>
      </c>
      <c r="W3832" t="s">
        <v>6730</v>
      </c>
      <c r="X3832" t="s">
        <v>58</v>
      </c>
      <c r="Y3832">
        <v>18</v>
      </c>
      <c r="Z3832" t="s">
        <v>59</v>
      </c>
      <c r="AA3832" t="s">
        <v>59</v>
      </c>
      <c r="AB3832" t="s">
        <v>59</v>
      </c>
      <c r="AC3832" t="s">
        <v>59</v>
      </c>
      <c r="AD3832" t="s">
        <v>59</v>
      </c>
      <c r="AF3832" s="1">
        <v>37501</v>
      </c>
      <c r="AG3832" t="s">
        <v>137</v>
      </c>
      <c r="AH3832" t="s">
        <v>469</v>
      </c>
      <c r="AI3832" t="str">
        <f>"5040055"</f>
        <v>5040055</v>
      </c>
      <c r="AJ3832" t="s">
        <v>6940</v>
      </c>
      <c r="AK3832">
        <v>2821036404</v>
      </c>
      <c r="AL3832" t="s">
        <v>6941</v>
      </c>
      <c r="AM3832" t="s">
        <v>88</v>
      </c>
      <c r="AN3832" t="s">
        <v>88</v>
      </c>
      <c r="AO3832" t="s">
        <v>88</v>
      </c>
      <c r="AP3832" t="s">
        <v>88</v>
      </c>
      <c r="AQ3832">
        <v>1</v>
      </c>
      <c r="AR3832" t="s">
        <v>6729</v>
      </c>
      <c r="AS3832" t="s">
        <v>6730</v>
      </c>
      <c r="AT3832" t="s">
        <v>58</v>
      </c>
      <c r="AU3832" t="s">
        <v>68</v>
      </c>
      <c r="AV3832" t="s">
        <v>69</v>
      </c>
      <c r="AW3832" s="1">
        <v>22330</v>
      </c>
      <c r="AX3832">
        <v>2</v>
      </c>
    </row>
    <row r="3833" spans="1:50">
      <c r="A3833">
        <v>178044</v>
      </c>
      <c r="B3833" t="str">
        <f>"039876098"</f>
        <v>039876098</v>
      </c>
      <c r="C3833" t="s">
        <v>50</v>
      </c>
      <c r="D3833" t="s">
        <v>7289</v>
      </c>
      <c r="E3833" t="s">
        <v>181</v>
      </c>
      <c r="F3833" t="s">
        <v>564</v>
      </c>
      <c r="G3833" t="s">
        <v>4118</v>
      </c>
      <c r="H3833" t="str">
        <f>" "</f>
        <v xml:space="preserve"> </v>
      </c>
      <c r="M3833" t="s">
        <v>7290</v>
      </c>
      <c r="N3833" t="s">
        <v>204</v>
      </c>
      <c r="O3833" t="s">
        <v>205</v>
      </c>
      <c r="P3833" t="s">
        <v>292</v>
      </c>
      <c r="Q3833" t="s">
        <v>293</v>
      </c>
      <c r="R3833" t="s">
        <v>57</v>
      </c>
      <c r="S3833">
        <v>13</v>
      </c>
      <c r="T3833">
        <v>180</v>
      </c>
      <c r="U3833" s="1">
        <v>35674</v>
      </c>
      <c r="V3833" t="s">
        <v>6729</v>
      </c>
      <c r="W3833" t="s">
        <v>6730</v>
      </c>
      <c r="X3833" t="s">
        <v>58</v>
      </c>
      <c r="Y3833">
        <v>18</v>
      </c>
      <c r="Z3833" t="s">
        <v>59</v>
      </c>
      <c r="AA3833" t="s">
        <v>59</v>
      </c>
      <c r="AB3833" t="s">
        <v>59</v>
      </c>
      <c r="AC3833" t="s">
        <v>59</v>
      </c>
      <c r="AD3833" t="s">
        <v>59</v>
      </c>
      <c r="AF3833" s="1">
        <v>35676</v>
      </c>
      <c r="AG3833" t="s">
        <v>148</v>
      </c>
      <c r="AH3833" t="s">
        <v>149</v>
      </c>
      <c r="AI3833" t="str">
        <f>"5051050"</f>
        <v>5051050</v>
      </c>
      <c r="AJ3833" t="s">
        <v>6861</v>
      </c>
      <c r="AK3833">
        <v>2821044860</v>
      </c>
      <c r="AL3833" t="s">
        <v>6862</v>
      </c>
      <c r="AM3833" t="s">
        <v>88</v>
      </c>
      <c r="AN3833" t="s">
        <v>88</v>
      </c>
      <c r="AO3833" t="s">
        <v>88</v>
      </c>
      <c r="AP3833" t="s">
        <v>88</v>
      </c>
      <c r="AQ3833">
        <v>1</v>
      </c>
      <c r="AR3833" t="s">
        <v>6729</v>
      </c>
      <c r="AS3833" t="s">
        <v>6730</v>
      </c>
      <c r="AT3833" t="s">
        <v>58</v>
      </c>
      <c r="AU3833" t="s">
        <v>68</v>
      </c>
      <c r="AV3833" t="s">
        <v>69</v>
      </c>
      <c r="AW3833" s="1">
        <v>24154</v>
      </c>
      <c r="AX3833">
        <v>2</v>
      </c>
    </row>
    <row r="3834" spans="1:50">
      <c r="A3834">
        <v>225506</v>
      </c>
      <c r="B3834" t="str">
        <f>"078878771"</f>
        <v>078878771</v>
      </c>
      <c r="C3834" t="s">
        <v>50</v>
      </c>
      <c r="D3834" t="s">
        <v>4874</v>
      </c>
      <c r="E3834" t="s">
        <v>237</v>
      </c>
      <c r="F3834" t="s">
        <v>166</v>
      </c>
      <c r="G3834" t="s">
        <v>1078</v>
      </c>
      <c r="H3834" t="str">
        <f>"Κ. ΜΗΤΣΟΤΑΚΗ 20 ΧΑΝΙΑ"</f>
        <v>Κ. ΜΗΤΣΟΤΑΚΗ 20 ΧΑΝΙΑ</v>
      </c>
      <c r="I3834">
        <v>73132</v>
      </c>
      <c r="J3834">
        <v>2821058421</v>
      </c>
      <c r="K3834">
        <v>6946629741</v>
      </c>
      <c r="M3834" t="s">
        <v>7291</v>
      </c>
      <c r="N3834" t="s">
        <v>2160</v>
      </c>
      <c r="O3834" t="s">
        <v>2161</v>
      </c>
      <c r="R3834" t="s">
        <v>57</v>
      </c>
      <c r="S3834">
        <v>10</v>
      </c>
      <c r="T3834">
        <v>775</v>
      </c>
      <c r="U3834" s="1">
        <v>39680</v>
      </c>
      <c r="V3834" t="s">
        <v>6729</v>
      </c>
      <c r="W3834" t="s">
        <v>6730</v>
      </c>
      <c r="X3834" t="s">
        <v>58</v>
      </c>
      <c r="Y3834">
        <v>21</v>
      </c>
      <c r="Z3834" t="s">
        <v>59</v>
      </c>
      <c r="AA3834" t="s">
        <v>59</v>
      </c>
      <c r="AB3834" t="s">
        <v>59</v>
      </c>
      <c r="AC3834" t="s">
        <v>59</v>
      </c>
      <c r="AD3834" t="s">
        <v>59</v>
      </c>
      <c r="AF3834" s="1">
        <v>39681</v>
      </c>
      <c r="AG3834" t="s">
        <v>137</v>
      </c>
      <c r="AH3834" t="s">
        <v>138</v>
      </c>
      <c r="AI3834" t="str">
        <f>"5040080"</f>
        <v>5040080</v>
      </c>
      <c r="AJ3834" t="s">
        <v>6753</v>
      </c>
      <c r="AK3834">
        <v>2821093155</v>
      </c>
      <c r="AL3834" t="s">
        <v>6754</v>
      </c>
      <c r="AM3834" t="s">
        <v>88</v>
      </c>
      <c r="AN3834" t="s">
        <v>88</v>
      </c>
      <c r="AO3834" t="s">
        <v>6733</v>
      </c>
      <c r="AP3834" t="s">
        <v>6755</v>
      </c>
      <c r="AQ3834">
        <v>1</v>
      </c>
      <c r="AR3834" t="s">
        <v>6729</v>
      </c>
      <c r="AS3834" t="s">
        <v>6730</v>
      </c>
      <c r="AT3834" t="s">
        <v>58</v>
      </c>
      <c r="AU3834" t="s">
        <v>68</v>
      </c>
      <c r="AV3834" t="s">
        <v>69</v>
      </c>
      <c r="AW3834" s="1">
        <v>27500</v>
      </c>
      <c r="AX3834">
        <v>2</v>
      </c>
    </row>
    <row r="3835" spans="1:50">
      <c r="A3835">
        <v>186026</v>
      </c>
      <c r="B3835" t="str">
        <f>"038674000"</f>
        <v>038674000</v>
      </c>
      <c r="C3835" t="s">
        <v>50</v>
      </c>
      <c r="D3835" t="s">
        <v>7292</v>
      </c>
      <c r="E3835" t="s">
        <v>7293</v>
      </c>
      <c r="F3835" t="s">
        <v>72</v>
      </c>
      <c r="G3835" t="s">
        <v>134</v>
      </c>
      <c r="H3835" t="str">
        <f>"Γ. ΣΕΦΕΡΗ-ΠΡΟΦ. ΗΛΙΑΣ 9 ΧΑΝΙΑ"</f>
        <v>Γ. ΣΕΦΕΡΗ-ΠΡΟΦ. ΗΛΙΑΣ 9 ΧΑΝΙΑ</v>
      </c>
      <c r="I3835">
        <v>73100</v>
      </c>
      <c r="J3835">
        <v>2821057539</v>
      </c>
      <c r="K3835">
        <v>6944810405</v>
      </c>
      <c r="N3835" t="s">
        <v>478</v>
      </c>
      <c r="O3835" t="s">
        <v>479</v>
      </c>
      <c r="P3835" t="s">
        <v>615</v>
      </c>
      <c r="Q3835" t="s">
        <v>616</v>
      </c>
      <c r="R3835" t="s">
        <v>57</v>
      </c>
      <c r="S3835">
        <v>12</v>
      </c>
      <c r="T3835">
        <v>250</v>
      </c>
      <c r="U3835" s="1">
        <v>36769</v>
      </c>
      <c r="V3835" t="s">
        <v>6729</v>
      </c>
      <c r="W3835" t="s">
        <v>6730</v>
      </c>
      <c r="X3835" t="s">
        <v>58</v>
      </c>
      <c r="Y3835">
        <v>18</v>
      </c>
      <c r="Z3835" t="s">
        <v>59</v>
      </c>
      <c r="AA3835" t="s">
        <v>59</v>
      </c>
      <c r="AB3835" t="s">
        <v>59</v>
      </c>
      <c r="AC3835" t="s">
        <v>59</v>
      </c>
      <c r="AD3835" t="s">
        <v>59</v>
      </c>
      <c r="AF3835" s="1">
        <v>36770</v>
      </c>
      <c r="AG3835" t="s">
        <v>125</v>
      </c>
      <c r="AH3835" t="s">
        <v>126</v>
      </c>
      <c r="AI3835" t="str">
        <f>"5001010"</f>
        <v>5001010</v>
      </c>
      <c r="AJ3835" t="s">
        <v>6873</v>
      </c>
      <c r="AK3835">
        <v>2821052130</v>
      </c>
      <c r="AL3835" t="s">
        <v>6874</v>
      </c>
      <c r="AM3835" t="s">
        <v>88</v>
      </c>
      <c r="AN3835" t="s">
        <v>88</v>
      </c>
      <c r="AO3835" t="s">
        <v>88</v>
      </c>
      <c r="AP3835" t="s">
        <v>88</v>
      </c>
      <c r="AQ3835">
        <v>1</v>
      </c>
      <c r="AR3835" t="s">
        <v>6729</v>
      </c>
      <c r="AS3835" t="s">
        <v>6730</v>
      </c>
      <c r="AT3835" t="s">
        <v>58</v>
      </c>
      <c r="AU3835" t="s">
        <v>68</v>
      </c>
      <c r="AV3835" t="s">
        <v>69</v>
      </c>
      <c r="AW3835" s="1">
        <v>25002</v>
      </c>
      <c r="AX3835">
        <v>2</v>
      </c>
    </row>
    <row r="3836" spans="1:50">
      <c r="A3836">
        <v>193820</v>
      </c>
      <c r="B3836" t="str">
        <f>"073764780"</f>
        <v>073764780</v>
      </c>
      <c r="C3836" t="s">
        <v>50</v>
      </c>
      <c r="D3836" t="s">
        <v>6000</v>
      </c>
      <c r="E3836" t="s">
        <v>1189</v>
      </c>
      <c r="F3836" t="s">
        <v>670</v>
      </c>
      <c r="G3836" t="s">
        <v>52</v>
      </c>
      <c r="H3836" t="str">
        <f>"ΑΜΦΙΜΑΛΙΟΥ 4 ΧΑΝΙΑ"</f>
        <v>ΑΜΦΙΜΑΛΙΟΥ 4 ΧΑΝΙΑ</v>
      </c>
      <c r="I3836">
        <v>73100</v>
      </c>
      <c r="J3836">
        <v>2821028547</v>
      </c>
      <c r="K3836">
        <v>6977415594</v>
      </c>
      <c r="M3836" t="s">
        <v>7294</v>
      </c>
      <c r="N3836" t="s">
        <v>478</v>
      </c>
      <c r="O3836" t="s">
        <v>479</v>
      </c>
      <c r="R3836" t="s">
        <v>57</v>
      </c>
      <c r="S3836">
        <v>10</v>
      </c>
      <c r="T3836">
        <v>193</v>
      </c>
      <c r="U3836" s="1">
        <v>37497</v>
      </c>
      <c r="V3836" t="s">
        <v>6729</v>
      </c>
      <c r="W3836" t="s">
        <v>6730</v>
      </c>
      <c r="X3836" t="s">
        <v>58</v>
      </c>
      <c r="Y3836">
        <v>18</v>
      </c>
      <c r="Z3836" t="s">
        <v>59</v>
      </c>
      <c r="AA3836" t="s">
        <v>59</v>
      </c>
      <c r="AB3836" t="s">
        <v>59</v>
      </c>
      <c r="AC3836" t="s">
        <v>59</v>
      </c>
      <c r="AD3836" t="s">
        <v>59</v>
      </c>
      <c r="AF3836" s="1">
        <v>37502</v>
      </c>
      <c r="AG3836" t="s">
        <v>125</v>
      </c>
      <c r="AH3836" t="s">
        <v>126</v>
      </c>
      <c r="AI3836" t="str">
        <f>"5001073"</f>
        <v>5001073</v>
      </c>
      <c r="AJ3836" t="s">
        <v>6849</v>
      </c>
      <c r="AK3836">
        <v>2821028553</v>
      </c>
      <c r="AL3836" t="s">
        <v>6850</v>
      </c>
      <c r="AM3836" t="s">
        <v>88</v>
      </c>
      <c r="AN3836" t="s">
        <v>88</v>
      </c>
      <c r="AO3836" t="s">
        <v>88</v>
      </c>
      <c r="AP3836" t="s">
        <v>88</v>
      </c>
      <c r="AQ3836">
        <v>1</v>
      </c>
      <c r="AR3836" t="s">
        <v>6729</v>
      </c>
      <c r="AS3836" t="s">
        <v>6730</v>
      </c>
      <c r="AT3836" t="s">
        <v>58</v>
      </c>
      <c r="AU3836" t="s">
        <v>68</v>
      </c>
      <c r="AV3836" t="s">
        <v>69</v>
      </c>
      <c r="AW3836" s="1">
        <v>23101</v>
      </c>
      <c r="AX3836">
        <v>2</v>
      </c>
    </row>
    <row r="3837" spans="1:50">
      <c r="A3837">
        <v>204484</v>
      </c>
      <c r="B3837" t="str">
        <f>"100064601"</f>
        <v>100064601</v>
      </c>
      <c r="C3837" t="s">
        <v>50</v>
      </c>
      <c r="D3837" t="s">
        <v>6000</v>
      </c>
      <c r="E3837" t="s">
        <v>155</v>
      </c>
      <c r="F3837" t="s">
        <v>72</v>
      </c>
      <c r="G3837" t="s">
        <v>52</v>
      </c>
      <c r="H3837" t="str">
        <f>"ΚΑΠΟΔΙΣΤΡΙΟΥ 65 ΧΑΝΙΩΝ"</f>
        <v>ΚΑΠΟΔΙΣΤΡΙΟΥ 65 ΧΑΝΙΩΝ</v>
      </c>
      <c r="I3837">
        <v>73100</v>
      </c>
      <c r="J3837">
        <v>2831025916</v>
      </c>
      <c r="K3837">
        <v>6934277561</v>
      </c>
      <c r="N3837" t="s">
        <v>337</v>
      </c>
      <c r="O3837" t="s">
        <v>338</v>
      </c>
      <c r="P3837" t="s">
        <v>1116</v>
      </c>
      <c r="Q3837" t="s">
        <v>1117</v>
      </c>
      <c r="R3837" t="s">
        <v>57</v>
      </c>
      <c r="S3837">
        <v>9</v>
      </c>
      <c r="T3837">
        <v>231</v>
      </c>
      <c r="U3837" s="1">
        <v>38230</v>
      </c>
      <c r="V3837" t="s">
        <v>6729</v>
      </c>
      <c r="W3837" t="s">
        <v>6730</v>
      </c>
      <c r="X3837" t="s">
        <v>58</v>
      </c>
      <c r="Y3837">
        <v>20</v>
      </c>
      <c r="Z3837" t="s">
        <v>59</v>
      </c>
      <c r="AA3837" t="s">
        <v>59</v>
      </c>
      <c r="AB3837" t="s">
        <v>59</v>
      </c>
      <c r="AC3837" t="s">
        <v>59</v>
      </c>
      <c r="AD3837" t="s">
        <v>59</v>
      </c>
      <c r="AF3837" s="1">
        <v>38233</v>
      </c>
      <c r="AG3837" t="s">
        <v>125</v>
      </c>
      <c r="AH3837" t="s">
        <v>126</v>
      </c>
      <c r="AI3837" t="str">
        <f>"5001010"</f>
        <v>5001010</v>
      </c>
      <c r="AJ3837" t="s">
        <v>6873</v>
      </c>
      <c r="AK3837">
        <v>2821052130</v>
      </c>
      <c r="AL3837" t="s">
        <v>6874</v>
      </c>
      <c r="AM3837" t="s">
        <v>88</v>
      </c>
      <c r="AN3837" t="s">
        <v>88</v>
      </c>
      <c r="AO3837" t="s">
        <v>88</v>
      </c>
      <c r="AP3837" t="s">
        <v>88</v>
      </c>
      <c r="AQ3837">
        <v>1</v>
      </c>
      <c r="AR3837" t="s">
        <v>6729</v>
      </c>
      <c r="AS3837" t="s">
        <v>6730</v>
      </c>
      <c r="AT3837" t="s">
        <v>58</v>
      </c>
      <c r="AU3837" t="s">
        <v>68</v>
      </c>
      <c r="AV3837" t="s">
        <v>69</v>
      </c>
      <c r="AW3837" s="1">
        <v>29377</v>
      </c>
      <c r="AX3837">
        <v>2</v>
      </c>
    </row>
    <row r="3838" spans="1:50">
      <c r="A3838">
        <v>196745</v>
      </c>
      <c r="B3838" t="str">
        <f>"041927067"</f>
        <v>041927067</v>
      </c>
      <c r="C3838" t="s">
        <v>105</v>
      </c>
      <c r="D3838" t="s">
        <v>1630</v>
      </c>
      <c r="E3838" t="s">
        <v>106</v>
      </c>
      <c r="F3838" t="s">
        <v>84</v>
      </c>
      <c r="G3838" t="s">
        <v>52</v>
      </c>
      <c r="H3838" t="str">
        <f>" "</f>
        <v xml:space="preserve"> </v>
      </c>
      <c r="J3838">
        <v>2822024235</v>
      </c>
      <c r="L3838">
        <v>2822022231</v>
      </c>
      <c r="M3838" t="s">
        <v>7295</v>
      </c>
      <c r="N3838" t="s">
        <v>157</v>
      </c>
      <c r="O3838" t="s">
        <v>158</v>
      </c>
      <c r="R3838" t="s">
        <v>57</v>
      </c>
      <c r="S3838">
        <v>10</v>
      </c>
      <c r="T3838">
        <v>206</v>
      </c>
      <c r="U3838" s="1">
        <v>37866</v>
      </c>
      <c r="V3838" t="s">
        <v>6729</v>
      </c>
      <c r="W3838" t="s">
        <v>6730</v>
      </c>
      <c r="X3838" t="s">
        <v>58</v>
      </c>
      <c r="Y3838">
        <v>18</v>
      </c>
      <c r="Z3838" t="s">
        <v>59</v>
      </c>
      <c r="AA3838" t="s">
        <v>59</v>
      </c>
      <c r="AB3838" t="s">
        <v>59</v>
      </c>
      <c r="AC3838" t="s">
        <v>59</v>
      </c>
      <c r="AD3838" t="s">
        <v>59</v>
      </c>
      <c r="AF3838" s="1">
        <v>37866</v>
      </c>
      <c r="AG3838" t="s">
        <v>148</v>
      </c>
      <c r="AH3838" t="s">
        <v>149</v>
      </c>
      <c r="AI3838" t="str">
        <f>"5054010"</f>
        <v>5054010</v>
      </c>
      <c r="AJ3838" t="s">
        <v>6815</v>
      </c>
      <c r="AK3838">
        <v>2822022671</v>
      </c>
      <c r="AL3838" t="s">
        <v>6816</v>
      </c>
      <c r="AM3838" t="s">
        <v>88</v>
      </c>
      <c r="AN3838" t="s">
        <v>6744</v>
      </c>
      <c r="AO3838" t="s">
        <v>6744</v>
      </c>
      <c r="AP3838" t="s">
        <v>6744</v>
      </c>
      <c r="AQ3838">
        <v>1</v>
      </c>
      <c r="AR3838" t="s">
        <v>6729</v>
      </c>
      <c r="AS3838" t="s">
        <v>6730</v>
      </c>
      <c r="AT3838" t="s">
        <v>58</v>
      </c>
      <c r="AU3838" t="s">
        <v>68</v>
      </c>
      <c r="AV3838" t="s">
        <v>69</v>
      </c>
      <c r="AW3838" s="1">
        <v>23439</v>
      </c>
      <c r="AX3838">
        <v>2</v>
      </c>
    </row>
    <row r="3839" spans="1:50">
      <c r="A3839">
        <v>700017</v>
      </c>
      <c r="B3839" t="str">
        <f>"101574278"</f>
        <v>101574278</v>
      </c>
      <c r="C3839" t="s">
        <v>50</v>
      </c>
      <c r="D3839" t="s">
        <v>7296</v>
      </c>
      <c r="E3839" t="s">
        <v>112</v>
      </c>
      <c r="F3839" t="s">
        <v>72</v>
      </c>
      <c r="G3839" t="s">
        <v>73</v>
      </c>
      <c r="H3839" t="str">
        <f>"ΜΑΝΩΛΙΑΣΗΣ 2 ΠΑΤΡΑ"</f>
        <v>ΜΑΝΩΛΙΑΣΗΣ 2 ΠΑΤΡΑ</v>
      </c>
      <c r="I3839">
        <v>26225</v>
      </c>
      <c r="J3839">
        <v>2821051526</v>
      </c>
      <c r="K3839">
        <v>6944987857</v>
      </c>
      <c r="N3839" t="s">
        <v>232</v>
      </c>
      <c r="O3839" t="s">
        <v>233</v>
      </c>
      <c r="R3839" t="s">
        <v>57</v>
      </c>
      <c r="S3839">
        <v>7</v>
      </c>
      <c r="T3839" t="s">
        <v>7297</v>
      </c>
      <c r="U3839" s="1">
        <v>40413</v>
      </c>
      <c r="V3839" t="s">
        <v>6729</v>
      </c>
      <c r="W3839" t="s">
        <v>6730</v>
      </c>
      <c r="X3839" t="s">
        <v>58</v>
      </c>
      <c r="Y3839">
        <v>21</v>
      </c>
      <c r="Z3839" t="s">
        <v>59</v>
      </c>
      <c r="AA3839" t="s">
        <v>59</v>
      </c>
      <c r="AB3839" t="s">
        <v>59</v>
      </c>
      <c r="AC3839" t="s">
        <v>59</v>
      </c>
      <c r="AD3839" t="s">
        <v>59</v>
      </c>
      <c r="AF3839" s="1">
        <v>40422</v>
      </c>
      <c r="AG3839" t="s">
        <v>125</v>
      </c>
      <c r="AH3839" t="s">
        <v>590</v>
      </c>
      <c r="AI3839" t="str">
        <f>"5011201"</f>
        <v>5011201</v>
      </c>
      <c r="AJ3839" t="s">
        <v>7231</v>
      </c>
      <c r="AK3839">
        <v>2821087122</v>
      </c>
      <c r="AL3839" t="s">
        <v>7232</v>
      </c>
      <c r="AM3839" t="s">
        <v>88</v>
      </c>
      <c r="AN3839" t="s">
        <v>88</v>
      </c>
      <c r="AO3839" t="s">
        <v>88</v>
      </c>
      <c r="AP3839" t="s">
        <v>88</v>
      </c>
      <c r="AR3839" t="s">
        <v>6729</v>
      </c>
      <c r="AS3839" t="s">
        <v>6730</v>
      </c>
      <c r="AT3839" t="s">
        <v>58</v>
      </c>
      <c r="AU3839" t="s">
        <v>68</v>
      </c>
      <c r="AV3839" t="s">
        <v>132</v>
      </c>
      <c r="AW3839" s="1">
        <v>27998</v>
      </c>
      <c r="AX3839">
        <v>2</v>
      </c>
    </row>
    <row r="3840" spans="1:50">
      <c r="A3840">
        <v>700485</v>
      </c>
      <c r="B3840" t="str">
        <f>"046185173"</f>
        <v>046185173</v>
      </c>
      <c r="C3840" t="s">
        <v>50</v>
      </c>
      <c r="D3840" t="s">
        <v>7298</v>
      </c>
      <c r="E3840" t="s">
        <v>52</v>
      </c>
      <c r="F3840" t="s">
        <v>7299</v>
      </c>
      <c r="G3840" t="s">
        <v>7300</v>
      </c>
      <c r="H3840" t="str">
        <f>"Σ ΣΠΑΝΤΙΔΑΚΗ 23 ΧΑΝΙΑ"</f>
        <v>Σ ΣΠΑΝΤΙΔΑΚΗ 23 ΧΑΝΙΑ</v>
      </c>
      <c r="I3840">
        <v>73100</v>
      </c>
      <c r="J3840">
        <v>2821095678</v>
      </c>
      <c r="K3840">
        <v>6976011314</v>
      </c>
      <c r="N3840" t="s">
        <v>146</v>
      </c>
      <c r="O3840" t="s">
        <v>147</v>
      </c>
      <c r="R3840" t="s">
        <v>57</v>
      </c>
      <c r="S3840">
        <v>7</v>
      </c>
      <c r="T3840">
        <v>772</v>
      </c>
      <c r="U3840" s="1">
        <v>40413</v>
      </c>
      <c r="V3840" t="s">
        <v>6729</v>
      </c>
      <c r="W3840" t="s">
        <v>6730</v>
      </c>
      <c r="X3840" t="s">
        <v>58</v>
      </c>
      <c r="Y3840">
        <v>20</v>
      </c>
      <c r="Z3840" t="s">
        <v>59</v>
      </c>
      <c r="AA3840" t="s">
        <v>59</v>
      </c>
      <c r="AB3840" t="s">
        <v>59</v>
      </c>
      <c r="AC3840" t="s">
        <v>59</v>
      </c>
      <c r="AD3840" t="s">
        <v>59</v>
      </c>
      <c r="AF3840" s="1">
        <v>40413</v>
      </c>
      <c r="AG3840" t="s">
        <v>125</v>
      </c>
      <c r="AH3840" t="s">
        <v>126</v>
      </c>
      <c r="AI3840" t="str">
        <f>"5012010"</f>
        <v>5012010</v>
      </c>
      <c r="AJ3840" t="s">
        <v>6794</v>
      </c>
      <c r="AK3840">
        <v>2821033195</v>
      </c>
      <c r="AL3840" t="s">
        <v>6795</v>
      </c>
      <c r="AM3840" t="s">
        <v>88</v>
      </c>
      <c r="AN3840" t="s">
        <v>88</v>
      </c>
      <c r="AO3840" t="s">
        <v>6785</v>
      </c>
      <c r="AP3840" t="s">
        <v>6786</v>
      </c>
      <c r="AQ3840">
        <v>1</v>
      </c>
      <c r="AR3840" t="s">
        <v>6729</v>
      </c>
      <c r="AS3840" t="s">
        <v>6730</v>
      </c>
      <c r="AT3840" t="s">
        <v>58</v>
      </c>
      <c r="AU3840" t="s">
        <v>68</v>
      </c>
      <c r="AV3840" t="s">
        <v>69</v>
      </c>
      <c r="AW3840" s="1">
        <v>25256</v>
      </c>
      <c r="AX3840">
        <v>2</v>
      </c>
    </row>
    <row r="3841" spans="1:50">
      <c r="A3841">
        <v>195870</v>
      </c>
      <c r="B3841" t="str">
        <f>"051466740"</f>
        <v>051466740</v>
      </c>
      <c r="C3841" t="s">
        <v>50</v>
      </c>
      <c r="D3841" t="s">
        <v>7301</v>
      </c>
      <c r="E3841" t="s">
        <v>52</v>
      </c>
      <c r="F3841" t="s">
        <v>450</v>
      </c>
      <c r="G3841" t="s">
        <v>340</v>
      </c>
      <c r="H3841" t="str">
        <f>"ΔΕΛΟΥΔΗ 8 ΝΕΟΣ ΚΟΣΜΟΣ"</f>
        <v>ΔΕΛΟΥΔΗ 8 ΝΕΟΣ ΚΟΣΜΟΣ</v>
      </c>
      <c r="I3841">
        <v>11744</v>
      </c>
      <c r="J3841">
        <v>2114087145</v>
      </c>
      <c r="K3841">
        <v>6974471595</v>
      </c>
      <c r="L3841">
        <v>13022763923</v>
      </c>
      <c r="M3841" t="s">
        <v>7302</v>
      </c>
      <c r="N3841" t="s">
        <v>176</v>
      </c>
      <c r="O3841" t="s">
        <v>177</v>
      </c>
      <c r="R3841" t="s">
        <v>57</v>
      </c>
      <c r="S3841">
        <v>10</v>
      </c>
      <c r="T3841">
        <v>194</v>
      </c>
      <c r="U3841" s="1">
        <v>37497</v>
      </c>
      <c r="V3841" t="s">
        <v>6729</v>
      </c>
      <c r="W3841" t="s">
        <v>6730</v>
      </c>
      <c r="X3841" t="s">
        <v>58</v>
      </c>
      <c r="Y3841">
        <v>20</v>
      </c>
      <c r="Z3841" t="s">
        <v>59</v>
      </c>
      <c r="AA3841" t="s">
        <v>59</v>
      </c>
      <c r="AB3841" t="s">
        <v>59</v>
      </c>
      <c r="AC3841" t="s">
        <v>59</v>
      </c>
      <c r="AD3841" t="s">
        <v>59</v>
      </c>
      <c r="AF3841" s="1">
        <v>37501</v>
      </c>
      <c r="AG3841" t="s">
        <v>137</v>
      </c>
      <c r="AH3841" t="s">
        <v>138</v>
      </c>
      <c r="AI3841" t="str">
        <f>"5040105"</f>
        <v>5040105</v>
      </c>
      <c r="AJ3841" t="s">
        <v>6969</v>
      </c>
      <c r="AK3841">
        <v>2825051703</v>
      </c>
      <c r="AL3841" t="s">
        <v>6970</v>
      </c>
      <c r="AM3841" t="s">
        <v>88</v>
      </c>
      <c r="AN3841" t="s">
        <v>6775</v>
      </c>
      <c r="AO3841" t="s">
        <v>6781</v>
      </c>
      <c r="AP3841" t="s">
        <v>6782</v>
      </c>
      <c r="AQ3841">
        <v>1</v>
      </c>
      <c r="AR3841" t="s">
        <v>6729</v>
      </c>
      <c r="AS3841" t="s">
        <v>6730</v>
      </c>
      <c r="AT3841" t="s">
        <v>58</v>
      </c>
      <c r="AU3841" t="s">
        <v>68</v>
      </c>
      <c r="AV3841" t="s">
        <v>132</v>
      </c>
      <c r="AW3841" s="1">
        <v>24568</v>
      </c>
      <c r="AX3841">
        <v>2</v>
      </c>
    </row>
    <row r="3842" spans="1:50">
      <c r="A3842">
        <v>227482</v>
      </c>
      <c r="B3842" t="str">
        <f>"111848740"</f>
        <v>111848740</v>
      </c>
      <c r="C3842" t="s">
        <v>50</v>
      </c>
      <c r="D3842" t="s">
        <v>7303</v>
      </c>
      <c r="E3842" t="s">
        <v>250</v>
      </c>
      <c r="F3842" t="s">
        <v>99</v>
      </c>
      <c r="G3842" t="s">
        <v>460</v>
      </c>
      <c r="H3842" t="str">
        <f>"ΔΗΜ. ΜΙΧΑΛΑ 21 ΘΕΣΣΑΛΟΝΙΚΗ"</f>
        <v>ΔΗΜ. ΜΙΧΑΛΑ 21 ΘΕΣΣΑΛΟΝΙΚΗ</v>
      </c>
      <c r="I3842">
        <v>54629</v>
      </c>
      <c r="J3842">
        <v>2310739515</v>
      </c>
      <c r="K3842">
        <v>6978176658</v>
      </c>
      <c r="M3842" t="s">
        <v>7304</v>
      </c>
      <c r="N3842" t="s">
        <v>246</v>
      </c>
      <c r="O3842" t="s">
        <v>247</v>
      </c>
      <c r="R3842" t="s">
        <v>57</v>
      </c>
      <c r="S3842">
        <v>4</v>
      </c>
      <c r="T3842">
        <v>654</v>
      </c>
      <c r="U3842" s="1">
        <v>40043</v>
      </c>
      <c r="V3842" t="s">
        <v>6729</v>
      </c>
      <c r="W3842" t="s">
        <v>6730</v>
      </c>
      <c r="X3842" t="s">
        <v>58</v>
      </c>
      <c r="Y3842">
        <v>21</v>
      </c>
      <c r="Z3842" t="s">
        <v>59</v>
      </c>
      <c r="AA3842" t="s">
        <v>59</v>
      </c>
      <c r="AB3842" t="s">
        <v>59</v>
      </c>
      <c r="AC3842" t="s">
        <v>59</v>
      </c>
      <c r="AD3842" t="s">
        <v>59</v>
      </c>
      <c r="AF3842" s="1">
        <v>40044</v>
      </c>
      <c r="AG3842" t="s">
        <v>148</v>
      </c>
      <c r="AH3842" t="s">
        <v>1053</v>
      </c>
      <c r="AI3842" t="str">
        <f>"5051015"</f>
        <v>5051015</v>
      </c>
      <c r="AJ3842" t="s">
        <v>6865</v>
      </c>
      <c r="AK3842">
        <v>2821043770</v>
      </c>
      <c r="AL3842" t="s">
        <v>6866</v>
      </c>
      <c r="AM3842" t="s">
        <v>88</v>
      </c>
      <c r="AN3842" t="s">
        <v>88</v>
      </c>
      <c r="AO3842" t="s">
        <v>88</v>
      </c>
      <c r="AP3842" t="s">
        <v>88</v>
      </c>
      <c r="AQ3842">
        <v>1</v>
      </c>
      <c r="AR3842" t="s">
        <v>6729</v>
      </c>
      <c r="AS3842" t="s">
        <v>6730</v>
      </c>
      <c r="AT3842" t="s">
        <v>58</v>
      </c>
      <c r="AU3842" t="s">
        <v>68</v>
      </c>
      <c r="AV3842" t="s">
        <v>69</v>
      </c>
      <c r="AW3842" s="1">
        <v>30452</v>
      </c>
      <c r="AX3842">
        <v>2</v>
      </c>
    </row>
    <row r="3843" spans="1:50">
      <c r="A3843">
        <v>197087</v>
      </c>
      <c r="B3843" t="str">
        <f>"043914504"</f>
        <v>043914504</v>
      </c>
      <c r="C3843" t="s">
        <v>50</v>
      </c>
      <c r="D3843" t="s">
        <v>1693</v>
      </c>
      <c r="E3843" t="s">
        <v>396</v>
      </c>
      <c r="F3843" t="s">
        <v>377</v>
      </c>
      <c r="G3843" t="s">
        <v>7108</v>
      </c>
      <c r="H3843" t="str">
        <f>"ΟΔΥΣΣΕΩΣ 36 ΝΙΚΑΙΑ"</f>
        <v>ΟΔΥΣΣΕΩΣ 36 ΝΙΚΑΙΑ</v>
      </c>
      <c r="I3843">
        <v>18454</v>
      </c>
      <c r="J3843">
        <v>2104974997</v>
      </c>
      <c r="K3843">
        <v>6977275061</v>
      </c>
      <c r="N3843" t="s">
        <v>146</v>
      </c>
      <c r="O3843" t="s">
        <v>147</v>
      </c>
      <c r="R3843" t="s">
        <v>57</v>
      </c>
      <c r="S3843">
        <v>12</v>
      </c>
      <c r="T3843">
        <v>206</v>
      </c>
      <c r="U3843" s="1">
        <v>37866</v>
      </c>
      <c r="V3843" t="s">
        <v>6729</v>
      </c>
      <c r="W3843" t="s">
        <v>6730</v>
      </c>
      <c r="X3843" t="s">
        <v>58</v>
      </c>
      <c r="Y3843">
        <v>18</v>
      </c>
      <c r="Z3843" t="s">
        <v>59</v>
      </c>
      <c r="AA3843" t="s">
        <v>59</v>
      </c>
      <c r="AB3843" t="s">
        <v>59</v>
      </c>
      <c r="AC3843" t="s">
        <v>59</v>
      </c>
      <c r="AD3843" t="s">
        <v>59</v>
      </c>
      <c r="AF3843" s="1">
        <v>37866</v>
      </c>
      <c r="AG3843" t="s">
        <v>60</v>
      </c>
      <c r="AH3843" t="s">
        <v>453</v>
      </c>
      <c r="AI3843" t="str">
        <f>"5000105"</f>
        <v>5000105</v>
      </c>
      <c r="AJ3843" t="s">
        <v>6730</v>
      </c>
      <c r="AK3843">
        <v>2821047144</v>
      </c>
      <c r="AL3843" t="s">
        <v>6792</v>
      </c>
      <c r="AM3843" t="s">
        <v>88</v>
      </c>
      <c r="AN3843" t="s">
        <v>88</v>
      </c>
      <c r="AO3843" t="s">
        <v>88</v>
      </c>
      <c r="AP3843" t="s">
        <v>88</v>
      </c>
      <c r="AS3843" t="s">
        <v>6730</v>
      </c>
      <c r="AT3843" t="s">
        <v>58</v>
      </c>
      <c r="AU3843" t="s">
        <v>68</v>
      </c>
      <c r="AV3843" t="s">
        <v>455</v>
      </c>
      <c r="AW3843" s="1">
        <v>24469</v>
      </c>
      <c r="AX3843">
        <v>2</v>
      </c>
    </row>
    <row r="3844" spans="1:50">
      <c r="A3844">
        <v>703273</v>
      </c>
      <c r="B3844" t="str">
        <f>"047287730"</f>
        <v>047287730</v>
      </c>
      <c r="C3844" t="s">
        <v>105</v>
      </c>
      <c r="D3844" t="s">
        <v>7305</v>
      </c>
      <c r="E3844" t="s">
        <v>99</v>
      </c>
      <c r="F3844" t="s">
        <v>92</v>
      </c>
      <c r="G3844" t="s">
        <v>52</v>
      </c>
      <c r="H3844" t="str">
        <f>"ΔΑΓΚΛΗ 3 ΧΑΝΙΑ"</f>
        <v>ΔΑΓΚΛΗ 3 ΧΑΝΙΑ</v>
      </c>
      <c r="I3844">
        <v>73100</v>
      </c>
      <c r="J3844">
        <v>2821052993</v>
      </c>
      <c r="K3844">
        <v>6947844393</v>
      </c>
      <c r="M3844" t="s">
        <v>7306</v>
      </c>
      <c r="N3844" t="s">
        <v>232</v>
      </c>
      <c r="O3844" t="s">
        <v>233</v>
      </c>
      <c r="R3844" t="s">
        <v>57</v>
      </c>
      <c r="S3844">
        <v>5</v>
      </c>
      <c r="T3844">
        <v>588</v>
      </c>
      <c r="U3844" s="1">
        <v>40778</v>
      </c>
      <c r="V3844" t="s">
        <v>6729</v>
      </c>
      <c r="W3844" t="s">
        <v>6730</v>
      </c>
      <c r="X3844" t="s">
        <v>58</v>
      </c>
      <c r="Y3844">
        <v>21</v>
      </c>
      <c r="Z3844" t="s">
        <v>59</v>
      </c>
      <c r="AA3844" t="s">
        <v>59</v>
      </c>
      <c r="AB3844" t="s">
        <v>59</v>
      </c>
      <c r="AC3844" t="s">
        <v>59</v>
      </c>
      <c r="AD3844" t="s">
        <v>59</v>
      </c>
      <c r="AF3844" s="1">
        <v>40784</v>
      </c>
      <c r="AG3844" t="s">
        <v>125</v>
      </c>
      <c r="AH3844" t="s">
        <v>294</v>
      </c>
      <c r="AI3844" t="str">
        <f>"5012017"</f>
        <v>5012017</v>
      </c>
      <c r="AJ3844" t="s">
        <v>6859</v>
      </c>
      <c r="AK3844">
        <v>2821088065</v>
      </c>
      <c r="AL3844" t="s">
        <v>6860</v>
      </c>
      <c r="AM3844" t="s">
        <v>88</v>
      </c>
      <c r="AN3844" t="s">
        <v>88</v>
      </c>
      <c r="AO3844" t="s">
        <v>88</v>
      </c>
      <c r="AP3844" t="s">
        <v>88</v>
      </c>
      <c r="AQ3844">
        <v>1</v>
      </c>
      <c r="AR3844" t="s">
        <v>6729</v>
      </c>
      <c r="AS3844" t="s">
        <v>6730</v>
      </c>
      <c r="AT3844" t="s">
        <v>58</v>
      </c>
      <c r="AU3844" t="s">
        <v>68</v>
      </c>
      <c r="AV3844" t="s">
        <v>69</v>
      </c>
      <c r="AW3844" s="1">
        <v>26100</v>
      </c>
      <c r="AX3844">
        <v>2</v>
      </c>
    </row>
    <row r="3845" spans="1:50">
      <c r="A3845">
        <v>220355</v>
      </c>
      <c r="B3845" t="str">
        <f>"059693771"</f>
        <v>059693771</v>
      </c>
      <c r="C3845" t="s">
        <v>50</v>
      </c>
      <c r="D3845" t="s">
        <v>7307</v>
      </c>
      <c r="E3845" t="s">
        <v>372</v>
      </c>
      <c r="F3845" t="s">
        <v>95</v>
      </c>
      <c r="G3845" t="s">
        <v>755</v>
      </c>
      <c r="H3845" t="str">
        <f>" "</f>
        <v xml:space="preserve"> </v>
      </c>
      <c r="J3845">
        <v>2825031352</v>
      </c>
      <c r="K3845">
        <v>6973364130</v>
      </c>
      <c r="N3845" t="s">
        <v>146</v>
      </c>
      <c r="O3845" t="s">
        <v>147</v>
      </c>
      <c r="R3845" t="s">
        <v>57</v>
      </c>
      <c r="S3845">
        <v>6</v>
      </c>
      <c r="T3845">
        <v>681</v>
      </c>
      <c r="U3845" s="1">
        <v>39325</v>
      </c>
      <c r="V3845" t="s">
        <v>6729</v>
      </c>
      <c r="W3845" t="s">
        <v>6730</v>
      </c>
      <c r="X3845" t="s">
        <v>58</v>
      </c>
      <c r="Y3845">
        <v>20</v>
      </c>
      <c r="Z3845" t="s">
        <v>59</v>
      </c>
      <c r="AA3845" t="s">
        <v>59</v>
      </c>
      <c r="AB3845" t="s">
        <v>59</v>
      </c>
      <c r="AC3845" t="s">
        <v>59</v>
      </c>
      <c r="AD3845" t="s">
        <v>59</v>
      </c>
      <c r="AF3845" s="1">
        <v>39329</v>
      </c>
      <c r="AG3845" t="s">
        <v>148</v>
      </c>
      <c r="AH3845" t="s">
        <v>149</v>
      </c>
      <c r="AI3845" t="str">
        <f>"5061010"</f>
        <v>5061010</v>
      </c>
      <c r="AJ3845" t="s">
        <v>6746</v>
      </c>
      <c r="AK3845">
        <v>2821081530</v>
      </c>
      <c r="AL3845" t="s">
        <v>6747</v>
      </c>
      <c r="AM3845" t="s">
        <v>88</v>
      </c>
      <c r="AN3845" t="s">
        <v>88</v>
      </c>
      <c r="AO3845" t="s">
        <v>6748</v>
      </c>
      <c r="AP3845" t="s">
        <v>6748</v>
      </c>
      <c r="AQ3845">
        <v>1</v>
      </c>
      <c r="AR3845" t="s">
        <v>6729</v>
      </c>
      <c r="AS3845" t="s">
        <v>6730</v>
      </c>
      <c r="AT3845" t="s">
        <v>58</v>
      </c>
      <c r="AU3845" t="s">
        <v>68</v>
      </c>
      <c r="AV3845" t="s">
        <v>69</v>
      </c>
      <c r="AW3845" s="1">
        <v>24699</v>
      </c>
      <c r="AX3845">
        <v>2</v>
      </c>
    </row>
    <row r="3846" spans="1:50">
      <c r="A3846">
        <v>177240</v>
      </c>
      <c r="B3846" t="str">
        <f>"027371542"</f>
        <v>027371542</v>
      </c>
      <c r="C3846" t="s">
        <v>50</v>
      </c>
      <c r="D3846" t="s">
        <v>7308</v>
      </c>
      <c r="E3846" t="s">
        <v>263</v>
      </c>
      <c r="F3846" t="s">
        <v>670</v>
      </c>
      <c r="G3846" t="s">
        <v>7309</v>
      </c>
      <c r="H3846" t="str">
        <f>"ΜΑΚΡΥΣ ΤΟΙΧΟΣ  ΚΟΥΝΟΥΠΙΔΙΑΝΑ"</f>
        <v>ΜΑΚΡΥΣ ΤΟΙΧΟΣ  ΚΟΥΝΟΥΠΙΔΙΑΝΑ</v>
      </c>
      <c r="J3846">
        <v>2821069688</v>
      </c>
      <c r="K3846">
        <v>6907001748</v>
      </c>
      <c r="N3846" t="s">
        <v>257</v>
      </c>
      <c r="O3846" t="s">
        <v>258</v>
      </c>
      <c r="R3846" t="s">
        <v>57</v>
      </c>
      <c r="S3846">
        <v>14</v>
      </c>
      <c r="T3846">
        <v>180</v>
      </c>
      <c r="U3846" s="1">
        <v>35674</v>
      </c>
      <c r="V3846" t="s">
        <v>6729</v>
      </c>
      <c r="W3846" t="s">
        <v>6730</v>
      </c>
      <c r="X3846" t="s">
        <v>58</v>
      </c>
      <c r="Y3846">
        <v>18</v>
      </c>
      <c r="Z3846" t="s">
        <v>59</v>
      </c>
      <c r="AA3846" t="s">
        <v>59</v>
      </c>
      <c r="AB3846" t="s">
        <v>59</v>
      </c>
      <c r="AC3846" t="s">
        <v>59</v>
      </c>
      <c r="AD3846" t="s">
        <v>59</v>
      </c>
      <c r="AF3846" s="1">
        <v>35678</v>
      </c>
      <c r="AG3846" t="s">
        <v>125</v>
      </c>
      <c r="AH3846" t="s">
        <v>126</v>
      </c>
      <c r="AI3846" t="str">
        <f>"5001073"</f>
        <v>5001073</v>
      </c>
      <c r="AJ3846" t="s">
        <v>6849</v>
      </c>
      <c r="AK3846">
        <v>2821028553</v>
      </c>
      <c r="AL3846" t="s">
        <v>6850</v>
      </c>
      <c r="AM3846" t="s">
        <v>88</v>
      </c>
      <c r="AN3846" t="s">
        <v>88</v>
      </c>
      <c r="AO3846" t="s">
        <v>88</v>
      </c>
      <c r="AP3846" t="s">
        <v>88</v>
      </c>
      <c r="AQ3846">
        <v>1</v>
      </c>
      <c r="AR3846" t="s">
        <v>6729</v>
      </c>
      <c r="AS3846" t="s">
        <v>6730</v>
      </c>
      <c r="AT3846" t="s">
        <v>58</v>
      </c>
      <c r="AU3846" t="s">
        <v>68</v>
      </c>
      <c r="AV3846" t="s">
        <v>69</v>
      </c>
      <c r="AW3846" s="1">
        <v>20730</v>
      </c>
      <c r="AX3846">
        <v>2</v>
      </c>
    </row>
    <row r="3847" spans="1:50">
      <c r="A3847">
        <v>157517</v>
      </c>
      <c r="B3847" t="str">
        <f>"065305783"</f>
        <v>065305783</v>
      </c>
      <c r="C3847" t="s">
        <v>50</v>
      </c>
      <c r="D3847" t="s">
        <v>7310</v>
      </c>
      <c r="E3847" t="s">
        <v>476</v>
      </c>
      <c r="F3847" t="s">
        <v>995</v>
      </c>
      <c r="G3847" t="s">
        <v>3174</v>
      </c>
      <c r="H3847" t="str">
        <f>" "</f>
        <v xml:space="preserve"> </v>
      </c>
      <c r="K3847">
        <v>6978002864</v>
      </c>
      <c r="M3847" t="s">
        <v>7311</v>
      </c>
      <c r="N3847" t="s">
        <v>176</v>
      </c>
      <c r="O3847" t="s">
        <v>177</v>
      </c>
      <c r="R3847" t="s">
        <v>57</v>
      </c>
      <c r="S3847">
        <v>15</v>
      </c>
      <c r="T3847">
        <v>188</v>
      </c>
      <c r="U3847" s="1">
        <v>32752</v>
      </c>
      <c r="V3847" t="s">
        <v>6729</v>
      </c>
      <c r="W3847" t="s">
        <v>6730</v>
      </c>
      <c r="X3847" t="s">
        <v>58</v>
      </c>
      <c r="Y3847">
        <v>18</v>
      </c>
      <c r="Z3847" t="s">
        <v>59</v>
      </c>
      <c r="AA3847" t="s">
        <v>59</v>
      </c>
      <c r="AB3847" t="s">
        <v>59</v>
      </c>
      <c r="AC3847" t="s">
        <v>59</v>
      </c>
      <c r="AD3847" t="s">
        <v>59</v>
      </c>
      <c r="AF3847" s="1">
        <v>32756</v>
      </c>
      <c r="AG3847" t="s">
        <v>148</v>
      </c>
      <c r="AH3847" t="s">
        <v>149</v>
      </c>
      <c r="AI3847" t="str">
        <f>"5051009"</f>
        <v>5051009</v>
      </c>
      <c r="AJ3847" t="s">
        <v>6851</v>
      </c>
      <c r="AK3847">
        <v>2821044551</v>
      </c>
      <c r="AL3847" t="s">
        <v>6852</v>
      </c>
      <c r="AM3847" t="s">
        <v>88</v>
      </c>
      <c r="AN3847" t="s">
        <v>88</v>
      </c>
      <c r="AO3847" t="s">
        <v>6770</v>
      </c>
      <c r="AP3847" t="s">
        <v>6771</v>
      </c>
      <c r="AQ3847">
        <v>1</v>
      </c>
      <c r="AR3847" t="s">
        <v>6729</v>
      </c>
      <c r="AS3847" t="s">
        <v>6730</v>
      </c>
      <c r="AT3847" t="s">
        <v>58</v>
      </c>
      <c r="AU3847" t="s">
        <v>68</v>
      </c>
      <c r="AV3847" t="s">
        <v>69</v>
      </c>
      <c r="AW3847" s="1">
        <v>22679</v>
      </c>
      <c r="AX3847">
        <v>2</v>
      </c>
    </row>
    <row r="3848" spans="1:50">
      <c r="A3848">
        <v>201053</v>
      </c>
      <c r="B3848" t="str">
        <f>"057821949"</f>
        <v>057821949</v>
      </c>
      <c r="C3848" t="s">
        <v>50</v>
      </c>
      <c r="D3848" t="s">
        <v>1729</v>
      </c>
      <c r="E3848" t="s">
        <v>237</v>
      </c>
      <c r="F3848" t="s">
        <v>2219</v>
      </c>
      <c r="G3848" t="s">
        <v>181</v>
      </c>
      <c r="H3848" t="str">
        <f>" "</f>
        <v xml:space="preserve"> </v>
      </c>
      <c r="J3848">
        <v>2821070751</v>
      </c>
      <c r="K3848">
        <v>6909164307</v>
      </c>
      <c r="N3848" t="s">
        <v>157</v>
      </c>
      <c r="O3848" t="s">
        <v>158</v>
      </c>
      <c r="P3848" t="s">
        <v>146</v>
      </c>
      <c r="Q3848" t="s">
        <v>147</v>
      </c>
      <c r="R3848" t="s">
        <v>57</v>
      </c>
      <c r="S3848">
        <v>10</v>
      </c>
      <c r="T3848">
        <v>231</v>
      </c>
      <c r="U3848" s="1">
        <v>38230</v>
      </c>
      <c r="V3848" t="s">
        <v>6729</v>
      </c>
      <c r="W3848" t="s">
        <v>6730</v>
      </c>
      <c r="X3848" t="s">
        <v>58</v>
      </c>
      <c r="Y3848">
        <v>18</v>
      </c>
      <c r="Z3848" t="s">
        <v>59</v>
      </c>
      <c r="AA3848" t="s">
        <v>59</v>
      </c>
      <c r="AB3848" t="s">
        <v>59</v>
      </c>
      <c r="AC3848" t="s">
        <v>59</v>
      </c>
      <c r="AD3848" t="s">
        <v>59</v>
      </c>
      <c r="AF3848" s="1">
        <v>38233</v>
      </c>
      <c r="AG3848" t="s">
        <v>148</v>
      </c>
      <c r="AH3848" t="s">
        <v>149</v>
      </c>
      <c r="AI3848" t="str">
        <f>"5051030"</f>
        <v>5051030</v>
      </c>
      <c r="AJ3848" t="s">
        <v>6760</v>
      </c>
      <c r="AK3848">
        <v>2821027533</v>
      </c>
      <c r="AL3848" t="s">
        <v>6761</v>
      </c>
      <c r="AM3848" t="s">
        <v>88</v>
      </c>
      <c r="AN3848" t="s">
        <v>88</v>
      </c>
      <c r="AO3848" t="s">
        <v>88</v>
      </c>
      <c r="AP3848" t="s">
        <v>88</v>
      </c>
      <c r="AQ3848">
        <v>1</v>
      </c>
      <c r="AR3848" t="s">
        <v>6729</v>
      </c>
      <c r="AS3848" t="s">
        <v>6730</v>
      </c>
      <c r="AT3848" t="s">
        <v>58</v>
      </c>
      <c r="AU3848" t="s">
        <v>68</v>
      </c>
      <c r="AV3848" t="s">
        <v>69</v>
      </c>
      <c r="AW3848" s="1">
        <v>23534</v>
      </c>
      <c r="AX3848">
        <v>2</v>
      </c>
    </row>
    <row r="3849" spans="1:50">
      <c r="A3849">
        <v>201484</v>
      </c>
      <c r="B3849" t="str">
        <f>"120210464"</f>
        <v>120210464</v>
      </c>
      <c r="C3849" t="s">
        <v>50</v>
      </c>
      <c r="D3849" t="s">
        <v>7312</v>
      </c>
      <c r="E3849" t="s">
        <v>109</v>
      </c>
      <c r="F3849" t="s">
        <v>450</v>
      </c>
      <c r="G3849" t="s">
        <v>52</v>
      </c>
      <c r="H3849" t="str">
        <f>"ΑΓ. ΟΝΟΥΦΡΙΟΥ 10Β ΚΟΥΝΟΥΠΙΔΙΑΝΑ"</f>
        <v>ΑΓ. ΟΝΟΥΦΡΙΟΥ 10Β ΚΟΥΝΟΥΠΙΔΙΑΝΑ</v>
      </c>
      <c r="I3849">
        <v>73142</v>
      </c>
      <c r="J3849">
        <v>2821049531</v>
      </c>
      <c r="K3849">
        <v>6945547426</v>
      </c>
      <c r="M3849" t="s">
        <v>7313</v>
      </c>
      <c r="N3849" t="s">
        <v>146</v>
      </c>
      <c r="O3849" t="s">
        <v>147</v>
      </c>
      <c r="R3849" t="s">
        <v>57</v>
      </c>
      <c r="S3849">
        <v>9</v>
      </c>
      <c r="T3849">
        <v>231</v>
      </c>
      <c r="U3849" s="1">
        <v>38230</v>
      </c>
      <c r="V3849" t="s">
        <v>6729</v>
      </c>
      <c r="W3849" t="s">
        <v>6730</v>
      </c>
      <c r="X3849" t="s">
        <v>58</v>
      </c>
      <c r="Y3849">
        <v>20</v>
      </c>
      <c r="Z3849" t="s">
        <v>59</v>
      </c>
      <c r="AA3849" t="s">
        <v>59</v>
      </c>
      <c r="AB3849" t="s">
        <v>59</v>
      </c>
      <c r="AC3849" t="s">
        <v>59</v>
      </c>
      <c r="AD3849" t="s">
        <v>59</v>
      </c>
      <c r="AF3849" s="1">
        <v>38233</v>
      </c>
      <c r="AG3849" t="s">
        <v>148</v>
      </c>
      <c r="AH3849" t="s">
        <v>149</v>
      </c>
      <c r="AI3849" t="str">
        <f>"5051050"</f>
        <v>5051050</v>
      </c>
      <c r="AJ3849" t="s">
        <v>6861</v>
      </c>
      <c r="AK3849">
        <v>2821044860</v>
      </c>
      <c r="AL3849" t="s">
        <v>6862</v>
      </c>
      <c r="AM3849" t="s">
        <v>88</v>
      </c>
      <c r="AN3849" t="s">
        <v>88</v>
      </c>
      <c r="AO3849" t="s">
        <v>88</v>
      </c>
      <c r="AP3849" t="s">
        <v>88</v>
      </c>
      <c r="AQ3849">
        <v>1</v>
      </c>
      <c r="AR3849" t="s">
        <v>6729</v>
      </c>
      <c r="AS3849" t="s">
        <v>6730</v>
      </c>
      <c r="AT3849" t="s">
        <v>58</v>
      </c>
      <c r="AU3849" t="s">
        <v>68</v>
      </c>
      <c r="AV3849" t="s">
        <v>69</v>
      </c>
      <c r="AW3849" s="1">
        <v>26938</v>
      </c>
      <c r="AX3849">
        <v>2</v>
      </c>
    </row>
    <row r="3850" spans="1:50">
      <c r="A3850">
        <v>190831</v>
      </c>
      <c r="B3850" t="str">
        <f>"046798451"</f>
        <v>046798451</v>
      </c>
      <c r="C3850" t="s">
        <v>105</v>
      </c>
      <c r="D3850" t="s">
        <v>7314</v>
      </c>
      <c r="E3850" t="s">
        <v>989</v>
      </c>
      <c r="F3850" t="s">
        <v>383</v>
      </c>
      <c r="G3850" t="s">
        <v>529</v>
      </c>
      <c r="H3850" t="str">
        <f>"Μακεδονίας 57 "</f>
        <v xml:space="preserve">Μακεδονίας 57 </v>
      </c>
      <c r="I3850">
        <v>73132</v>
      </c>
      <c r="J3850">
        <v>2821045223</v>
      </c>
      <c r="K3850">
        <v>6976670148</v>
      </c>
      <c r="M3850" t="s">
        <v>7315</v>
      </c>
      <c r="N3850" t="s">
        <v>204</v>
      </c>
      <c r="O3850" t="s">
        <v>205</v>
      </c>
      <c r="R3850" t="s">
        <v>57</v>
      </c>
      <c r="S3850">
        <v>8</v>
      </c>
      <c r="T3850">
        <v>219</v>
      </c>
      <c r="U3850" s="1">
        <v>37134</v>
      </c>
      <c r="V3850" t="s">
        <v>6729</v>
      </c>
      <c r="W3850" t="s">
        <v>6730</v>
      </c>
      <c r="X3850" t="s">
        <v>58</v>
      </c>
      <c r="Y3850">
        <v>20</v>
      </c>
      <c r="Z3850" t="s">
        <v>59</v>
      </c>
      <c r="AA3850" t="s">
        <v>59</v>
      </c>
      <c r="AB3850" t="s">
        <v>59</v>
      </c>
      <c r="AC3850" t="s">
        <v>59</v>
      </c>
      <c r="AD3850" t="s">
        <v>59</v>
      </c>
      <c r="AF3850" s="1">
        <v>37138</v>
      </c>
      <c r="AG3850" t="s">
        <v>137</v>
      </c>
      <c r="AH3850" t="s">
        <v>138</v>
      </c>
      <c r="AI3850" t="str">
        <f>"5050060"</f>
        <v>5050060</v>
      </c>
      <c r="AJ3850" t="s">
        <v>6801</v>
      </c>
      <c r="AK3850">
        <v>2821091515</v>
      </c>
      <c r="AL3850" t="s">
        <v>6802</v>
      </c>
      <c r="AM3850" t="s">
        <v>88</v>
      </c>
      <c r="AN3850" t="s">
        <v>88</v>
      </c>
      <c r="AO3850" t="s">
        <v>88</v>
      </c>
      <c r="AP3850" t="s">
        <v>88</v>
      </c>
      <c r="AQ3850">
        <v>1</v>
      </c>
      <c r="AR3850" t="s">
        <v>6729</v>
      </c>
      <c r="AS3850" t="s">
        <v>6730</v>
      </c>
      <c r="AT3850" t="s">
        <v>58</v>
      </c>
      <c r="AU3850" t="s">
        <v>68</v>
      </c>
      <c r="AV3850" t="s">
        <v>69</v>
      </c>
      <c r="AW3850" s="1">
        <v>26158</v>
      </c>
      <c r="AX3850">
        <v>2</v>
      </c>
    </row>
    <row r="3851" spans="1:50">
      <c r="B3851" t="str">
        <f>"113615650"</f>
        <v>113615650</v>
      </c>
      <c r="C3851" t="s">
        <v>50</v>
      </c>
      <c r="D3851" t="s">
        <v>7316</v>
      </c>
      <c r="E3851" t="s">
        <v>52</v>
      </c>
      <c r="F3851" t="s">
        <v>95</v>
      </c>
      <c r="G3851" t="s">
        <v>2811</v>
      </c>
      <c r="H3851" t="str">
        <f>"ΟΙΚΙΣΜΟΣ ΓΑΛΛΟΥ ΡΕΘΥΜΝΟ"</f>
        <v>ΟΙΚΙΣΜΟΣ ΓΑΛΛΟΥ ΡΕΘΥΜΝΟ</v>
      </c>
      <c r="I3851">
        <v>74100</v>
      </c>
      <c r="J3851">
        <v>2831057389</v>
      </c>
      <c r="K3851">
        <v>6934029264</v>
      </c>
      <c r="M3851" t="s">
        <v>7317</v>
      </c>
      <c r="N3851" t="s">
        <v>257</v>
      </c>
      <c r="O3851" t="s">
        <v>258</v>
      </c>
      <c r="R3851" t="s">
        <v>159</v>
      </c>
      <c r="S3851">
        <v>2</v>
      </c>
      <c r="T3851" t="s">
        <v>160</v>
      </c>
      <c r="U3851" s="1">
        <v>43364</v>
      </c>
      <c r="V3851" t="s">
        <v>6729</v>
      </c>
      <c r="W3851" t="s">
        <v>6730</v>
      </c>
      <c r="X3851" t="s">
        <v>58</v>
      </c>
      <c r="Y3851">
        <v>23</v>
      </c>
      <c r="Z3851" t="s">
        <v>59</v>
      </c>
      <c r="AA3851" t="s">
        <v>59</v>
      </c>
      <c r="AB3851" t="s">
        <v>59</v>
      </c>
      <c r="AC3851" t="s">
        <v>59</v>
      </c>
      <c r="AD3851" t="s">
        <v>59</v>
      </c>
      <c r="AF3851" s="1">
        <v>43367</v>
      </c>
      <c r="AG3851" t="s">
        <v>148</v>
      </c>
      <c r="AH3851" t="s">
        <v>149</v>
      </c>
      <c r="AI3851" t="str">
        <f>"5052010"</f>
        <v>5052010</v>
      </c>
      <c r="AJ3851" t="s">
        <v>6834</v>
      </c>
      <c r="AK3851">
        <v>2825022200</v>
      </c>
      <c r="AL3851" t="s">
        <v>6835</v>
      </c>
      <c r="AM3851" t="s">
        <v>88</v>
      </c>
      <c r="AN3851" t="s">
        <v>6775</v>
      </c>
      <c r="AO3851" t="s">
        <v>6776</v>
      </c>
      <c r="AP3851" t="s">
        <v>6776</v>
      </c>
      <c r="AQ3851">
        <v>1</v>
      </c>
      <c r="AR3851" t="s">
        <v>6729</v>
      </c>
      <c r="AS3851" t="s">
        <v>6730</v>
      </c>
      <c r="AT3851" t="s">
        <v>58</v>
      </c>
      <c r="AU3851" t="s">
        <v>164</v>
      </c>
      <c r="AV3851" t="s">
        <v>132</v>
      </c>
      <c r="AW3851" s="1">
        <v>27059</v>
      </c>
      <c r="AX3851">
        <v>2</v>
      </c>
    </row>
    <row r="3852" spans="1:50">
      <c r="A3852">
        <v>202873</v>
      </c>
      <c r="B3852" t="str">
        <f>"054312399"</f>
        <v>054312399</v>
      </c>
      <c r="C3852" t="s">
        <v>50</v>
      </c>
      <c r="D3852" t="s">
        <v>7318</v>
      </c>
      <c r="E3852" t="s">
        <v>83</v>
      </c>
      <c r="F3852" t="s">
        <v>72</v>
      </c>
      <c r="G3852" t="s">
        <v>7319</v>
      </c>
      <c r="H3852" t="str">
        <f>"Τ.ΒΑΡΔΑ ΧΑΝΙΩΝ"</f>
        <v>Τ.ΒΑΡΔΑ ΧΑΝΙΩΝ</v>
      </c>
      <c r="I3852">
        <v>73100</v>
      </c>
      <c r="J3852">
        <v>2825041585</v>
      </c>
      <c r="K3852">
        <v>6972881009</v>
      </c>
      <c r="M3852" t="s">
        <v>7320</v>
      </c>
      <c r="N3852" t="s">
        <v>246</v>
      </c>
      <c r="O3852" t="s">
        <v>247</v>
      </c>
      <c r="R3852" t="s">
        <v>57</v>
      </c>
      <c r="S3852">
        <v>10</v>
      </c>
      <c r="T3852">
        <v>231</v>
      </c>
      <c r="U3852" s="1">
        <v>38230</v>
      </c>
      <c r="V3852" t="s">
        <v>6729</v>
      </c>
      <c r="W3852" t="s">
        <v>6730</v>
      </c>
      <c r="X3852" t="s">
        <v>58</v>
      </c>
      <c r="Y3852">
        <v>18</v>
      </c>
      <c r="Z3852" t="s">
        <v>59</v>
      </c>
      <c r="AA3852" t="s">
        <v>59</v>
      </c>
      <c r="AB3852" t="s">
        <v>59</v>
      </c>
      <c r="AC3852" t="s">
        <v>59</v>
      </c>
      <c r="AD3852" t="s">
        <v>59</v>
      </c>
      <c r="AF3852" s="1">
        <v>38233</v>
      </c>
      <c r="AG3852" t="s">
        <v>137</v>
      </c>
      <c r="AH3852" t="s">
        <v>138</v>
      </c>
      <c r="AI3852" t="str">
        <f>"5040050"</f>
        <v>5040050</v>
      </c>
      <c r="AJ3852" t="s">
        <v>6750</v>
      </c>
      <c r="AK3852">
        <v>2821043147</v>
      </c>
      <c r="AL3852" t="s">
        <v>6751</v>
      </c>
      <c r="AM3852" t="s">
        <v>88</v>
      </c>
      <c r="AN3852" t="s">
        <v>88</v>
      </c>
      <c r="AO3852" t="s">
        <v>88</v>
      </c>
      <c r="AP3852" t="s">
        <v>88</v>
      </c>
      <c r="AQ3852">
        <v>1</v>
      </c>
      <c r="AR3852" t="s">
        <v>6729</v>
      </c>
      <c r="AS3852" t="s">
        <v>6730</v>
      </c>
      <c r="AT3852" t="s">
        <v>58</v>
      </c>
      <c r="AU3852" t="s">
        <v>68</v>
      </c>
      <c r="AV3852" t="s">
        <v>69</v>
      </c>
      <c r="AW3852" s="1">
        <v>20724</v>
      </c>
      <c r="AX3852">
        <v>2</v>
      </c>
    </row>
    <row r="3853" spans="1:50">
      <c r="A3853">
        <v>173323</v>
      </c>
      <c r="B3853" t="str">
        <f>"065546345"</f>
        <v>065546345</v>
      </c>
      <c r="C3853" t="s">
        <v>50</v>
      </c>
      <c r="D3853" t="s">
        <v>7318</v>
      </c>
      <c r="E3853" t="s">
        <v>54</v>
      </c>
      <c r="F3853" t="s">
        <v>84</v>
      </c>
      <c r="G3853" t="s">
        <v>1361</v>
      </c>
      <c r="H3853" t="str">
        <f>"ΣΦΑΚΙΩΝ 5 "</f>
        <v xml:space="preserve">ΣΦΑΚΙΩΝ 5 </v>
      </c>
      <c r="I3853">
        <v>73100</v>
      </c>
      <c r="J3853">
        <v>2821055382</v>
      </c>
      <c r="K3853">
        <v>6973453841</v>
      </c>
      <c r="M3853" t="s">
        <v>7321</v>
      </c>
      <c r="N3853" t="s">
        <v>146</v>
      </c>
      <c r="O3853" t="s">
        <v>147</v>
      </c>
      <c r="R3853" t="s">
        <v>57</v>
      </c>
      <c r="S3853">
        <v>12</v>
      </c>
      <c r="T3853">
        <v>166</v>
      </c>
      <c r="U3853" s="1">
        <v>35300</v>
      </c>
      <c r="V3853" t="s">
        <v>6729</v>
      </c>
      <c r="W3853" t="s">
        <v>6730</v>
      </c>
      <c r="X3853" t="s">
        <v>58</v>
      </c>
      <c r="Y3853">
        <v>18</v>
      </c>
      <c r="Z3853" t="s">
        <v>59</v>
      </c>
      <c r="AA3853" t="s">
        <v>59</v>
      </c>
      <c r="AB3853" t="s">
        <v>59</v>
      </c>
      <c r="AC3853" t="s">
        <v>59</v>
      </c>
      <c r="AD3853" t="s">
        <v>59</v>
      </c>
      <c r="AF3853" s="1">
        <v>35310</v>
      </c>
      <c r="AG3853" t="s">
        <v>148</v>
      </c>
      <c r="AH3853" t="s">
        <v>149</v>
      </c>
      <c r="AI3853" t="str">
        <f>"5051050"</f>
        <v>5051050</v>
      </c>
      <c r="AJ3853" t="s">
        <v>6861</v>
      </c>
      <c r="AK3853">
        <v>2821044860</v>
      </c>
      <c r="AL3853" t="s">
        <v>6862</v>
      </c>
      <c r="AM3853" t="s">
        <v>88</v>
      </c>
      <c r="AN3853" t="s">
        <v>88</v>
      </c>
      <c r="AO3853" t="s">
        <v>88</v>
      </c>
      <c r="AP3853" t="s">
        <v>88</v>
      </c>
      <c r="AQ3853">
        <v>1</v>
      </c>
      <c r="AR3853" t="s">
        <v>6729</v>
      </c>
      <c r="AS3853" t="s">
        <v>6730</v>
      </c>
      <c r="AT3853" t="s">
        <v>58</v>
      </c>
      <c r="AU3853" t="s">
        <v>68</v>
      </c>
      <c r="AV3853" t="s">
        <v>69</v>
      </c>
      <c r="AW3853" s="1">
        <v>23976</v>
      </c>
      <c r="AX3853">
        <v>2</v>
      </c>
    </row>
    <row r="3854" spans="1:50">
      <c r="A3854">
        <v>156971</v>
      </c>
      <c r="B3854" t="str">
        <f>"026968430"</f>
        <v>026968430</v>
      </c>
      <c r="C3854" t="s">
        <v>105</v>
      </c>
      <c r="D3854" t="s">
        <v>1739</v>
      </c>
      <c r="E3854" t="s">
        <v>111</v>
      </c>
      <c r="F3854" t="s">
        <v>53</v>
      </c>
      <c r="G3854" t="s">
        <v>6088</v>
      </c>
      <c r="H3854" t="str">
        <f>" "</f>
        <v xml:space="preserve"> </v>
      </c>
      <c r="N3854" t="s">
        <v>199</v>
      </c>
      <c r="O3854" t="s">
        <v>200</v>
      </c>
      <c r="R3854" t="s">
        <v>57</v>
      </c>
      <c r="S3854">
        <v>14</v>
      </c>
      <c r="T3854">
        <v>188</v>
      </c>
      <c r="U3854" s="1">
        <v>32752</v>
      </c>
      <c r="V3854" t="s">
        <v>6729</v>
      </c>
      <c r="W3854" t="s">
        <v>6730</v>
      </c>
      <c r="X3854" t="s">
        <v>58</v>
      </c>
      <c r="Y3854">
        <v>18</v>
      </c>
      <c r="Z3854" t="s">
        <v>59</v>
      </c>
      <c r="AA3854" t="s">
        <v>59</v>
      </c>
      <c r="AB3854" t="s">
        <v>59</v>
      </c>
      <c r="AC3854" t="s">
        <v>59</v>
      </c>
      <c r="AD3854" t="s">
        <v>59</v>
      </c>
      <c r="AF3854" s="1">
        <v>32757</v>
      </c>
      <c r="AG3854" t="s">
        <v>148</v>
      </c>
      <c r="AH3854" t="s">
        <v>149</v>
      </c>
      <c r="AI3854" t="str">
        <f>"5061010"</f>
        <v>5061010</v>
      </c>
      <c r="AJ3854" t="s">
        <v>6746</v>
      </c>
      <c r="AK3854">
        <v>2821081530</v>
      </c>
      <c r="AL3854" t="s">
        <v>6747</v>
      </c>
      <c r="AM3854" t="s">
        <v>88</v>
      </c>
      <c r="AN3854" t="s">
        <v>88</v>
      </c>
      <c r="AO3854" t="s">
        <v>6748</v>
      </c>
      <c r="AP3854" t="s">
        <v>6748</v>
      </c>
      <c r="AQ3854">
        <v>1</v>
      </c>
      <c r="AR3854" t="s">
        <v>6729</v>
      </c>
      <c r="AS3854" t="s">
        <v>6730</v>
      </c>
      <c r="AT3854" t="s">
        <v>58</v>
      </c>
      <c r="AU3854" t="s">
        <v>68</v>
      </c>
      <c r="AV3854" t="s">
        <v>69</v>
      </c>
      <c r="AW3854" s="1">
        <v>20547</v>
      </c>
      <c r="AX3854">
        <v>2</v>
      </c>
    </row>
    <row r="3855" spans="1:50">
      <c r="B3855" t="str">
        <f>"137476953"</f>
        <v>137476953</v>
      </c>
      <c r="C3855" t="s">
        <v>105</v>
      </c>
      <c r="D3855" t="s">
        <v>1742</v>
      </c>
      <c r="E3855" t="s">
        <v>6844</v>
      </c>
      <c r="F3855" t="s">
        <v>377</v>
      </c>
      <c r="G3855" t="s">
        <v>52</v>
      </c>
      <c r="H3855" t="str">
        <f>" "</f>
        <v xml:space="preserve"> </v>
      </c>
      <c r="N3855" t="s">
        <v>119</v>
      </c>
      <c r="O3855" t="s">
        <v>120</v>
      </c>
      <c r="R3855" t="s">
        <v>159</v>
      </c>
      <c r="S3855">
        <v>3</v>
      </c>
      <c r="T3855" t="s">
        <v>344</v>
      </c>
      <c r="U3855" s="1">
        <v>43348</v>
      </c>
      <c r="V3855" t="s">
        <v>6729</v>
      </c>
      <c r="W3855" t="s">
        <v>6730</v>
      </c>
      <c r="X3855" t="s">
        <v>58</v>
      </c>
      <c r="Y3855">
        <v>23</v>
      </c>
      <c r="Z3855" t="s">
        <v>59</v>
      </c>
      <c r="AA3855" t="s">
        <v>59</v>
      </c>
      <c r="AB3855" t="s">
        <v>59</v>
      </c>
      <c r="AD3855" t="s">
        <v>59</v>
      </c>
      <c r="AF3855" s="1">
        <v>43348</v>
      </c>
      <c r="AG3855" t="s">
        <v>125</v>
      </c>
      <c r="AH3855" t="s">
        <v>126</v>
      </c>
      <c r="AI3855" t="str">
        <f>"5010010"</f>
        <v>5010010</v>
      </c>
      <c r="AJ3855" t="s">
        <v>6779</v>
      </c>
      <c r="AK3855">
        <v>2825051288</v>
      </c>
      <c r="AL3855" t="s">
        <v>6780</v>
      </c>
      <c r="AM3855" t="s">
        <v>88</v>
      </c>
      <c r="AN3855" t="s">
        <v>6775</v>
      </c>
      <c r="AO3855" t="s">
        <v>6781</v>
      </c>
      <c r="AP3855" t="s">
        <v>6782</v>
      </c>
      <c r="AQ3855">
        <v>1</v>
      </c>
      <c r="AR3855" t="s">
        <v>6729</v>
      </c>
      <c r="AS3855" t="s">
        <v>6730</v>
      </c>
      <c r="AT3855" t="s">
        <v>58</v>
      </c>
      <c r="AU3855" t="s">
        <v>350</v>
      </c>
      <c r="AV3855" t="s">
        <v>132</v>
      </c>
      <c r="AW3855" s="1">
        <v>31689</v>
      </c>
      <c r="AX3855">
        <v>2</v>
      </c>
    </row>
    <row r="3856" spans="1:50">
      <c r="A3856">
        <v>206261</v>
      </c>
      <c r="B3856" t="str">
        <f>"075360595"</f>
        <v>075360595</v>
      </c>
      <c r="C3856" t="s">
        <v>105</v>
      </c>
      <c r="D3856" t="s">
        <v>1742</v>
      </c>
      <c r="E3856" t="s">
        <v>450</v>
      </c>
      <c r="F3856" t="s">
        <v>202</v>
      </c>
      <c r="G3856" t="s">
        <v>1001</v>
      </c>
      <c r="H3856" t="str">
        <f>" "</f>
        <v xml:space="preserve"> </v>
      </c>
      <c r="J3856">
        <v>2821079185</v>
      </c>
      <c r="K3856">
        <v>6945175163</v>
      </c>
      <c r="M3856" t="s">
        <v>7322</v>
      </c>
      <c r="N3856" t="s">
        <v>232</v>
      </c>
      <c r="O3856" t="s">
        <v>233</v>
      </c>
      <c r="R3856" t="s">
        <v>57</v>
      </c>
      <c r="S3856">
        <v>10</v>
      </c>
      <c r="T3856">
        <v>301</v>
      </c>
      <c r="U3856" s="1">
        <v>38302</v>
      </c>
      <c r="V3856" t="s">
        <v>6729</v>
      </c>
      <c r="W3856" t="s">
        <v>6730</v>
      </c>
      <c r="X3856" t="s">
        <v>58</v>
      </c>
      <c r="Y3856">
        <v>20</v>
      </c>
      <c r="Z3856" t="s">
        <v>59</v>
      </c>
      <c r="AA3856" t="s">
        <v>59</v>
      </c>
      <c r="AB3856" t="s">
        <v>59</v>
      </c>
      <c r="AC3856" t="s">
        <v>59</v>
      </c>
      <c r="AD3856" t="s">
        <v>59</v>
      </c>
      <c r="AF3856" s="1">
        <v>38307</v>
      </c>
      <c r="AG3856" t="s">
        <v>148</v>
      </c>
      <c r="AH3856" t="s">
        <v>149</v>
      </c>
      <c r="AI3856" t="str">
        <f>"5051030"</f>
        <v>5051030</v>
      </c>
      <c r="AJ3856" t="s">
        <v>6760</v>
      </c>
      <c r="AK3856">
        <v>2821027533</v>
      </c>
      <c r="AL3856" t="s">
        <v>6761</v>
      </c>
      <c r="AM3856" t="s">
        <v>88</v>
      </c>
      <c r="AN3856" t="s">
        <v>88</v>
      </c>
      <c r="AO3856" t="s">
        <v>88</v>
      </c>
      <c r="AP3856" t="s">
        <v>88</v>
      </c>
      <c r="AQ3856">
        <v>1</v>
      </c>
      <c r="AR3856" t="s">
        <v>6729</v>
      </c>
      <c r="AS3856" t="s">
        <v>6730</v>
      </c>
      <c r="AT3856" t="s">
        <v>58</v>
      </c>
      <c r="AU3856" t="s">
        <v>68</v>
      </c>
      <c r="AV3856" t="s">
        <v>69</v>
      </c>
      <c r="AW3856" s="1">
        <v>25707</v>
      </c>
      <c r="AX3856">
        <v>2</v>
      </c>
    </row>
    <row r="3857" spans="1:50">
      <c r="A3857">
        <v>226495</v>
      </c>
      <c r="B3857" t="str">
        <f>"039891041"</f>
        <v>039891041</v>
      </c>
      <c r="C3857" t="s">
        <v>50</v>
      </c>
      <c r="D3857" t="s">
        <v>6020</v>
      </c>
      <c r="E3857" t="s">
        <v>1068</v>
      </c>
      <c r="F3857" t="s">
        <v>408</v>
      </c>
      <c r="G3857" t="s">
        <v>143</v>
      </c>
      <c r="H3857" t="str">
        <f>"ΕΥΑΓΓ. ΝΙΚΟΛΟΥΔΗ 43 ΧΑΝΙΑ"</f>
        <v>ΕΥΑΓΓ. ΝΙΚΟΛΟΥΔΗ 43 ΧΑΝΙΑ</v>
      </c>
      <c r="I3857">
        <v>73133</v>
      </c>
      <c r="K3857">
        <v>6976519325</v>
      </c>
      <c r="N3857" t="s">
        <v>146</v>
      </c>
      <c r="O3857" t="s">
        <v>147</v>
      </c>
      <c r="R3857" t="s">
        <v>57</v>
      </c>
      <c r="S3857">
        <v>6</v>
      </c>
      <c r="T3857">
        <v>654</v>
      </c>
      <c r="U3857" s="1">
        <v>40043</v>
      </c>
      <c r="V3857" t="s">
        <v>6729</v>
      </c>
      <c r="W3857" t="s">
        <v>6730</v>
      </c>
      <c r="X3857" t="s">
        <v>58</v>
      </c>
      <c r="Y3857">
        <v>21</v>
      </c>
      <c r="Z3857" t="s">
        <v>59</v>
      </c>
      <c r="AA3857" t="s">
        <v>59</v>
      </c>
      <c r="AB3857" t="s">
        <v>59</v>
      </c>
      <c r="AC3857" t="s">
        <v>59</v>
      </c>
      <c r="AD3857" t="s">
        <v>59</v>
      </c>
      <c r="AF3857" s="1">
        <v>40044</v>
      </c>
      <c r="AG3857" t="s">
        <v>148</v>
      </c>
      <c r="AH3857" t="s">
        <v>149</v>
      </c>
      <c r="AI3857" t="str">
        <f>"5052010"</f>
        <v>5052010</v>
      </c>
      <c r="AJ3857" t="s">
        <v>6834</v>
      </c>
      <c r="AK3857">
        <v>2825022200</v>
      </c>
      <c r="AL3857" t="s">
        <v>6835</v>
      </c>
      <c r="AM3857" t="s">
        <v>88</v>
      </c>
      <c r="AN3857" t="s">
        <v>6775</v>
      </c>
      <c r="AO3857" t="s">
        <v>6776</v>
      </c>
      <c r="AP3857" t="s">
        <v>6776</v>
      </c>
      <c r="AQ3857">
        <v>1</v>
      </c>
      <c r="AR3857" t="s">
        <v>6729</v>
      </c>
      <c r="AS3857" t="s">
        <v>6730</v>
      </c>
      <c r="AT3857" t="s">
        <v>58</v>
      </c>
      <c r="AU3857" t="s">
        <v>68</v>
      </c>
      <c r="AV3857" t="s">
        <v>69</v>
      </c>
      <c r="AW3857" s="1">
        <v>25416</v>
      </c>
      <c r="AX3857">
        <v>2</v>
      </c>
    </row>
    <row r="3858" spans="1:50">
      <c r="A3858">
        <v>191873</v>
      </c>
      <c r="B3858" t="str">
        <f>"054675752"</f>
        <v>054675752</v>
      </c>
      <c r="C3858" t="s">
        <v>50</v>
      </c>
      <c r="D3858" t="s">
        <v>7323</v>
      </c>
      <c r="E3858" t="s">
        <v>1227</v>
      </c>
      <c r="F3858" t="s">
        <v>7324</v>
      </c>
      <c r="G3858" t="s">
        <v>484</v>
      </c>
      <c r="H3858" t="str">
        <f>"ΕΜΜ.ΠΙΜΠΛΗ 39 "</f>
        <v xml:space="preserve">ΕΜΜ.ΠΙΜΠΛΗ 39 </v>
      </c>
      <c r="I3858">
        <v>73134</v>
      </c>
      <c r="J3858">
        <v>2821027170</v>
      </c>
      <c r="K3858">
        <v>6978736051</v>
      </c>
      <c r="M3858" t="s">
        <v>7325</v>
      </c>
      <c r="N3858" t="s">
        <v>331</v>
      </c>
      <c r="O3858" t="s">
        <v>332</v>
      </c>
      <c r="R3858" t="s">
        <v>57</v>
      </c>
      <c r="S3858">
        <v>11</v>
      </c>
      <c r="T3858">
        <v>291</v>
      </c>
      <c r="U3858" s="1">
        <v>37218</v>
      </c>
      <c r="V3858" t="s">
        <v>6729</v>
      </c>
      <c r="W3858" t="s">
        <v>6730</v>
      </c>
      <c r="X3858" t="s">
        <v>58</v>
      </c>
      <c r="Y3858">
        <v>20</v>
      </c>
      <c r="Z3858" t="s">
        <v>59</v>
      </c>
      <c r="AA3858" t="s">
        <v>59</v>
      </c>
      <c r="AB3858" t="s">
        <v>59</v>
      </c>
      <c r="AC3858" t="s">
        <v>59</v>
      </c>
      <c r="AD3858" t="s">
        <v>59</v>
      </c>
      <c r="AF3858" s="1">
        <v>37223</v>
      </c>
      <c r="AG3858" t="s">
        <v>137</v>
      </c>
      <c r="AH3858" t="s">
        <v>138</v>
      </c>
      <c r="AI3858" t="str">
        <f>"5050060"</f>
        <v>5050060</v>
      </c>
      <c r="AJ3858" t="s">
        <v>6801</v>
      </c>
      <c r="AK3858">
        <v>2821091515</v>
      </c>
      <c r="AL3858" t="s">
        <v>6802</v>
      </c>
      <c r="AM3858" t="s">
        <v>88</v>
      </c>
      <c r="AN3858" t="s">
        <v>88</v>
      </c>
      <c r="AO3858" t="s">
        <v>88</v>
      </c>
      <c r="AP3858" t="s">
        <v>88</v>
      </c>
      <c r="AQ3858">
        <v>1</v>
      </c>
      <c r="AR3858" t="s">
        <v>6729</v>
      </c>
      <c r="AS3858" t="s">
        <v>6730</v>
      </c>
      <c r="AT3858" t="s">
        <v>58</v>
      </c>
      <c r="AU3858" t="s">
        <v>68</v>
      </c>
      <c r="AV3858" t="s">
        <v>69</v>
      </c>
      <c r="AW3858" s="1">
        <v>25448</v>
      </c>
      <c r="AX3858">
        <v>2</v>
      </c>
    </row>
    <row r="3859" spans="1:50">
      <c r="B3859" t="str">
        <f>"073738306"</f>
        <v>073738306</v>
      </c>
      <c r="C3859" t="s">
        <v>50</v>
      </c>
      <c r="D3859" t="s">
        <v>7326</v>
      </c>
      <c r="E3859" t="s">
        <v>114</v>
      </c>
      <c r="F3859" t="s">
        <v>760</v>
      </c>
      <c r="G3859" t="s">
        <v>2967</v>
      </c>
      <c r="H3859" t="str">
        <f>"ΔΑΣΚΑΛΟΓΙΑΝΝΗ 20, ΠΕΡΙΒΟΛΙΑ ΧΑΝΙΑ"</f>
        <v>ΔΑΣΚΑΛΟΓΙΑΝΝΗ 20, ΠΕΡΙΒΟΛΙΑ ΧΑΝΙΑ</v>
      </c>
      <c r="I3859">
        <v>73100</v>
      </c>
      <c r="J3859">
        <v>2821079017</v>
      </c>
      <c r="K3859">
        <v>6945339267</v>
      </c>
      <c r="N3859" t="s">
        <v>146</v>
      </c>
      <c r="O3859" t="s">
        <v>147</v>
      </c>
      <c r="R3859" t="s">
        <v>159</v>
      </c>
      <c r="S3859">
        <v>4</v>
      </c>
      <c r="T3859" t="s">
        <v>160</v>
      </c>
      <c r="U3859" s="1">
        <v>43364</v>
      </c>
      <c r="V3859" t="s">
        <v>6729</v>
      </c>
      <c r="W3859" t="s">
        <v>6730</v>
      </c>
      <c r="X3859" t="s">
        <v>58</v>
      </c>
      <c r="Y3859">
        <v>21</v>
      </c>
      <c r="Z3859" t="s">
        <v>59</v>
      </c>
      <c r="AA3859" t="s">
        <v>59</v>
      </c>
      <c r="AB3859" t="s">
        <v>59</v>
      </c>
      <c r="AC3859" t="s">
        <v>59</v>
      </c>
      <c r="AD3859" t="s">
        <v>59</v>
      </c>
      <c r="AF3859" s="1">
        <v>43367</v>
      </c>
      <c r="AG3859" t="s">
        <v>148</v>
      </c>
      <c r="AH3859" t="s">
        <v>149</v>
      </c>
      <c r="AI3859" t="str">
        <f>"5055010"</f>
        <v>5055010</v>
      </c>
      <c r="AJ3859" t="s">
        <v>6868</v>
      </c>
      <c r="AK3859">
        <v>2823041416</v>
      </c>
      <c r="AL3859" t="s">
        <v>6869</v>
      </c>
      <c r="AM3859" t="s">
        <v>88</v>
      </c>
      <c r="AN3859" t="s">
        <v>6824</v>
      </c>
      <c r="AO3859" t="s">
        <v>6870</v>
      </c>
      <c r="AP3859" t="s">
        <v>6871</v>
      </c>
      <c r="AQ3859">
        <v>1</v>
      </c>
      <c r="AR3859" t="s">
        <v>6729</v>
      </c>
      <c r="AS3859" t="s">
        <v>6730</v>
      </c>
      <c r="AT3859" t="s">
        <v>58</v>
      </c>
      <c r="AU3859" t="s">
        <v>164</v>
      </c>
      <c r="AV3859" t="s">
        <v>132</v>
      </c>
      <c r="AW3859" s="1">
        <v>25586</v>
      </c>
      <c r="AX3859">
        <v>2</v>
      </c>
    </row>
    <row r="3860" spans="1:50">
      <c r="A3860">
        <v>226278</v>
      </c>
      <c r="B3860" t="str">
        <f>"046431710"</f>
        <v>046431710</v>
      </c>
      <c r="C3860" t="s">
        <v>50</v>
      </c>
      <c r="D3860" t="s">
        <v>7327</v>
      </c>
      <c r="E3860" t="s">
        <v>250</v>
      </c>
      <c r="F3860" t="s">
        <v>202</v>
      </c>
      <c r="G3860" t="s">
        <v>181</v>
      </c>
      <c r="H3860" t="str">
        <f>"ΠΑΡ.ΜΙΑΟΥΛΗ ΚΟΥΝΟΥΠΙΔΙΑΝΑ ΧΑΝΙΑ"</f>
        <v>ΠΑΡ.ΜΙΑΟΥΛΗ ΚΟΥΝΟΥΠΙΔΙΑΝΑ ΧΑΝΙΑ</v>
      </c>
      <c r="I3860">
        <v>73100</v>
      </c>
      <c r="J3860">
        <v>2821041311</v>
      </c>
      <c r="K3860">
        <v>6947090192</v>
      </c>
      <c r="M3860" t="s">
        <v>7328</v>
      </c>
      <c r="N3860" t="s">
        <v>157</v>
      </c>
      <c r="O3860" t="s">
        <v>158</v>
      </c>
      <c r="R3860" t="s">
        <v>57</v>
      </c>
      <c r="S3860">
        <v>7</v>
      </c>
      <c r="T3860">
        <v>654</v>
      </c>
      <c r="U3860" s="1">
        <v>40043</v>
      </c>
      <c r="V3860" t="s">
        <v>6729</v>
      </c>
      <c r="W3860" t="s">
        <v>6730</v>
      </c>
      <c r="X3860" t="s">
        <v>58</v>
      </c>
      <c r="Y3860">
        <v>21</v>
      </c>
      <c r="Z3860" t="s">
        <v>59</v>
      </c>
      <c r="AA3860" t="s">
        <v>59</v>
      </c>
      <c r="AB3860" t="s">
        <v>59</v>
      </c>
      <c r="AC3860" t="s">
        <v>59</v>
      </c>
      <c r="AD3860" t="s">
        <v>59</v>
      </c>
      <c r="AF3860" s="1">
        <v>40044</v>
      </c>
      <c r="AG3860" t="s">
        <v>125</v>
      </c>
      <c r="AH3860" t="s">
        <v>590</v>
      </c>
      <c r="AI3860" t="str">
        <f>"5011201"</f>
        <v>5011201</v>
      </c>
      <c r="AJ3860" t="s">
        <v>7231</v>
      </c>
      <c r="AK3860">
        <v>2821087122</v>
      </c>
      <c r="AL3860" t="s">
        <v>7232</v>
      </c>
      <c r="AM3860" t="s">
        <v>88</v>
      </c>
      <c r="AN3860" t="s">
        <v>88</v>
      </c>
      <c r="AO3860" t="s">
        <v>88</v>
      </c>
      <c r="AP3860" t="s">
        <v>88</v>
      </c>
      <c r="AR3860" t="s">
        <v>6729</v>
      </c>
      <c r="AS3860" t="s">
        <v>6730</v>
      </c>
      <c r="AT3860" t="s">
        <v>58</v>
      </c>
      <c r="AU3860" t="s">
        <v>68</v>
      </c>
      <c r="AV3860" t="s">
        <v>132</v>
      </c>
      <c r="AW3860" s="1">
        <v>24041</v>
      </c>
      <c r="AX3860">
        <v>2</v>
      </c>
    </row>
    <row r="3861" spans="1:50">
      <c r="A3861">
        <v>700021</v>
      </c>
      <c r="B3861" t="str">
        <f>"072703683"</f>
        <v>072703683</v>
      </c>
      <c r="C3861" t="s">
        <v>50</v>
      </c>
      <c r="D3861" t="s">
        <v>1759</v>
      </c>
      <c r="E3861" t="s">
        <v>931</v>
      </c>
      <c r="F3861" t="s">
        <v>95</v>
      </c>
      <c r="G3861" t="s">
        <v>255</v>
      </c>
      <c r="H3861" t="str">
        <f>"ΑΙΓΙΑΛΗ ΑΜΟΡΓΟΣ"</f>
        <v>ΑΙΓΙΑΛΗ ΑΜΟΡΓΟΣ</v>
      </c>
      <c r="I3861">
        <v>84008</v>
      </c>
      <c r="J3861">
        <v>2285073145</v>
      </c>
      <c r="K3861">
        <v>6936494219</v>
      </c>
      <c r="L3861">
        <v>2286030308</v>
      </c>
      <c r="M3861" t="s">
        <v>7329</v>
      </c>
      <c r="N3861" t="s">
        <v>337</v>
      </c>
      <c r="O3861" t="s">
        <v>338</v>
      </c>
      <c r="R3861" t="s">
        <v>57</v>
      </c>
      <c r="S3861">
        <v>5</v>
      </c>
      <c r="T3861">
        <v>772</v>
      </c>
      <c r="U3861" s="1">
        <v>40413</v>
      </c>
      <c r="V3861" t="s">
        <v>6729</v>
      </c>
      <c r="W3861" t="s">
        <v>6730</v>
      </c>
      <c r="X3861" t="s">
        <v>58</v>
      </c>
      <c r="Y3861">
        <v>21</v>
      </c>
      <c r="Z3861" t="s">
        <v>59</v>
      </c>
      <c r="AA3861" t="s">
        <v>59</v>
      </c>
      <c r="AB3861" t="s">
        <v>452</v>
      </c>
      <c r="AC3861" t="s">
        <v>59</v>
      </c>
      <c r="AD3861" t="s">
        <v>59</v>
      </c>
      <c r="AF3861" s="1">
        <v>40413</v>
      </c>
      <c r="AG3861" t="s">
        <v>125</v>
      </c>
      <c r="AH3861" t="s">
        <v>126</v>
      </c>
      <c r="AI3861" t="str">
        <f>"5009010"</f>
        <v>5009010</v>
      </c>
      <c r="AJ3861" t="s">
        <v>6901</v>
      </c>
      <c r="AK3861">
        <v>2821077212</v>
      </c>
      <c r="AL3861" t="s">
        <v>6902</v>
      </c>
      <c r="AM3861" t="s">
        <v>88</v>
      </c>
      <c r="AN3861" t="s">
        <v>6764</v>
      </c>
      <c r="AO3861" t="s">
        <v>6885</v>
      </c>
      <c r="AP3861" t="s">
        <v>6886</v>
      </c>
      <c r="AQ3861">
        <v>1</v>
      </c>
      <c r="AR3861" t="s">
        <v>6729</v>
      </c>
      <c r="AS3861" t="s">
        <v>6730</v>
      </c>
      <c r="AT3861" t="s">
        <v>58</v>
      </c>
      <c r="AU3861" t="s">
        <v>68</v>
      </c>
      <c r="AV3861" t="s">
        <v>132</v>
      </c>
      <c r="AW3861" s="1">
        <v>29487</v>
      </c>
      <c r="AX3861">
        <v>2</v>
      </c>
    </row>
    <row r="3862" spans="1:50">
      <c r="A3862">
        <v>185617</v>
      </c>
      <c r="B3862" t="str">
        <f>"302500583"</f>
        <v>302500583</v>
      </c>
      <c r="C3862" t="s">
        <v>50</v>
      </c>
      <c r="D3862" t="s">
        <v>7330</v>
      </c>
      <c r="E3862" t="s">
        <v>2297</v>
      </c>
      <c r="F3862" t="s">
        <v>84</v>
      </c>
      <c r="G3862" t="s">
        <v>109</v>
      </c>
      <c r="H3862" t="str">
        <f>"Π. ΘΕΟΔΩΡΟΥ 10 ΣΤΥΛΙΔΑ"</f>
        <v>Π. ΘΕΟΔΩΡΟΥ 10 ΣΤΥΛΙΔΑ</v>
      </c>
      <c r="I3862">
        <v>35300</v>
      </c>
      <c r="K3862">
        <v>6973562543</v>
      </c>
      <c r="L3862">
        <v>2238023612</v>
      </c>
      <c r="M3862" t="s">
        <v>7331</v>
      </c>
      <c r="N3862" t="s">
        <v>157</v>
      </c>
      <c r="O3862" t="s">
        <v>158</v>
      </c>
      <c r="R3862" t="s">
        <v>57</v>
      </c>
      <c r="S3862">
        <v>9</v>
      </c>
      <c r="T3862">
        <v>250</v>
      </c>
      <c r="U3862" s="1">
        <v>36769</v>
      </c>
      <c r="V3862" t="s">
        <v>6729</v>
      </c>
      <c r="W3862" t="s">
        <v>6730</v>
      </c>
      <c r="X3862" t="s">
        <v>58</v>
      </c>
      <c r="Y3862">
        <v>20</v>
      </c>
      <c r="Z3862" t="s">
        <v>59</v>
      </c>
      <c r="AA3862" t="s">
        <v>59</v>
      </c>
      <c r="AB3862" t="s">
        <v>59</v>
      </c>
      <c r="AC3862" t="s">
        <v>59</v>
      </c>
      <c r="AD3862" t="s">
        <v>59</v>
      </c>
      <c r="AF3862" s="1">
        <v>36770</v>
      </c>
      <c r="AG3862" t="s">
        <v>125</v>
      </c>
      <c r="AH3862" t="s">
        <v>126</v>
      </c>
      <c r="AI3862" t="str">
        <f>"5002010"</f>
        <v>5002010</v>
      </c>
      <c r="AJ3862" t="s">
        <v>6773</v>
      </c>
      <c r="AK3862">
        <v>2825022249</v>
      </c>
      <c r="AL3862" t="s">
        <v>6774</v>
      </c>
      <c r="AM3862" t="s">
        <v>88</v>
      </c>
      <c r="AN3862" t="s">
        <v>6775</v>
      </c>
      <c r="AO3862" t="s">
        <v>6776</v>
      </c>
      <c r="AP3862" t="s">
        <v>6776</v>
      </c>
      <c r="AQ3862">
        <v>1</v>
      </c>
      <c r="AR3862" t="s">
        <v>6729</v>
      </c>
      <c r="AS3862" t="s">
        <v>6730</v>
      </c>
      <c r="AT3862" t="s">
        <v>58</v>
      </c>
      <c r="AU3862" t="s">
        <v>68</v>
      </c>
      <c r="AV3862" t="s">
        <v>69</v>
      </c>
      <c r="AW3862" s="1">
        <v>24116</v>
      </c>
      <c r="AX3862">
        <v>2</v>
      </c>
    </row>
    <row r="3863" spans="1:50">
      <c r="A3863">
        <v>203567</v>
      </c>
      <c r="B3863" t="str">
        <f>"107668301"</f>
        <v>107668301</v>
      </c>
      <c r="C3863" t="s">
        <v>105</v>
      </c>
      <c r="D3863" t="s">
        <v>7332</v>
      </c>
      <c r="E3863" t="s">
        <v>95</v>
      </c>
      <c r="F3863" t="s">
        <v>670</v>
      </c>
      <c r="G3863" t="s">
        <v>2811</v>
      </c>
      <c r="H3863" t="str">
        <f>" "</f>
        <v xml:space="preserve"> </v>
      </c>
      <c r="J3863">
        <v>2821072776</v>
      </c>
      <c r="M3863" t="s">
        <v>7333</v>
      </c>
      <c r="N3863" t="s">
        <v>683</v>
      </c>
      <c r="O3863" t="s">
        <v>684</v>
      </c>
      <c r="R3863" t="s">
        <v>57</v>
      </c>
      <c r="S3863">
        <v>8</v>
      </c>
      <c r="T3863">
        <v>231</v>
      </c>
      <c r="U3863" s="1">
        <v>38230</v>
      </c>
      <c r="V3863" t="s">
        <v>6729</v>
      </c>
      <c r="W3863" t="s">
        <v>6730</v>
      </c>
      <c r="X3863" t="s">
        <v>58</v>
      </c>
      <c r="Y3863">
        <v>20</v>
      </c>
      <c r="Z3863" t="s">
        <v>59</v>
      </c>
      <c r="AA3863" t="s">
        <v>59</v>
      </c>
      <c r="AB3863" t="s">
        <v>59</v>
      </c>
      <c r="AC3863" t="s">
        <v>59</v>
      </c>
      <c r="AD3863" t="s">
        <v>59</v>
      </c>
      <c r="AF3863" s="1">
        <v>38236</v>
      </c>
      <c r="AG3863" t="s">
        <v>125</v>
      </c>
      <c r="AH3863" t="s">
        <v>126</v>
      </c>
      <c r="AI3863" t="str">
        <f>"5002010"</f>
        <v>5002010</v>
      </c>
      <c r="AJ3863" t="s">
        <v>6773</v>
      </c>
      <c r="AK3863">
        <v>2825022249</v>
      </c>
      <c r="AL3863" t="s">
        <v>6774</v>
      </c>
      <c r="AM3863" t="s">
        <v>88</v>
      </c>
      <c r="AN3863" t="s">
        <v>6775</v>
      </c>
      <c r="AO3863" t="s">
        <v>6776</v>
      </c>
      <c r="AP3863" t="s">
        <v>6776</v>
      </c>
      <c r="AQ3863">
        <v>1</v>
      </c>
      <c r="AR3863" t="s">
        <v>6729</v>
      </c>
      <c r="AS3863" t="s">
        <v>6730</v>
      </c>
      <c r="AT3863" t="s">
        <v>58</v>
      </c>
      <c r="AU3863" t="s">
        <v>68</v>
      </c>
      <c r="AV3863" t="s">
        <v>69</v>
      </c>
      <c r="AW3863" s="1">
        <v>25954</v>
      </c>
      <c r="AX3863">
        <v>2</v>
      </c>
    </row>
    <row r="3864" spans="1:50">
      <c r="A3864">
        <v>168203</v>
      </c>
      <c r="B3864" t="str">
        <f>"032069568"</f>
        <v>032069568</v>
      </c>
      <c r="C3864" t="s">
        <v>105</v>
      </c>
      <c r="D3864" t="s">
        <v>7334</v>
      </c>
      <c r="E3864" t="s">
        <v>95</v>
      </c>
      <c r="F3864" t="s">
        <v>154</v>
      </c>
      <c r="G3864" t="s">
        <v>1189</v>
      </c>
      <c r="H3864" t="str">
        <f>" "</f>
        <v xml:space="preserve"> </v>
      </c>
      <c r="N3864" t="s">
        <v>246</v>
      </c>
      <c r="O3864" t="s">
        <v>247</v>
      </c>
      <c r="R3864" t="s">
        <v>57</v>
      </c>
      <c r="S3864">
        <v>14</v>
      </c>
      <c r="T3864">
        <v>159</v>
      </c>
      <c r="U3864" s="1">
        <v>34582</v>
      </c>
      <c r="V3864" t="s">
        <v>6729</v>
      </c>
      <c r="W3864" t="s">
        <v>6730</v>
      </c>
      <c r="X3864" t="s">
        <v>58</v>
      </c>
      <c r="Y3864">
        <v>18</v>
      </c>
      <c r="Z3864" t="s">
        <v>59</v>
      </c>
      <c r="AA3864" t="s">
        <v>59</v>
      </c>
      <c r="AB3864" t="s">
        <v>59</v>
      </c>
      <c r="AC3864" t="s">
        <v>59</v>
      </c>
      <c r="AD3864" t="s">
        <v>59</v>
      </c>
      <c r="AF3864" s="1">
        <v>34583</v>
      </c>
      <c r="AG3864" t="s">
        <v>125</v>
      </c>
      <c r="AH3864" t="s">
        <v>126</v>
      </c>
      <c r="AI3864" t="str">
        <f>"5001020"</f>
        <v>5001020</v>
      </c>
      <c r="AJ3864" t="s">
        <v>6739</v>
      </c>
      <c r="AK3864">
        <v>2821042664</v>
      </c>
      <c r="AL3864" t="s">
        <v>6740</v>
      </c>
      <c r="AM3864" t="s">
        <v>88</v>
      </c>
      <c r="AN3864" t="s">
        <v>88</v>
      </c>
      <c r="AO3864" t="s">
        <v>88</v>
      </c>
      <c r="AP3864" t="s">
        <v>88</v>
      </c>
      <c r="AQ3864">
        <v>1</v>
      </c>
      <c r="AR3864" t="s">
        <v>6729</v>
      </c>
      <c r="AS3864" t="s">
        <v>6730</v>
      </c>
      <c r="AT3864" t="s">
        <v>58</v>
      </c>
      <c r="AU3864" t="s">
        <v>68</v>
      </c>
      <c r="AV3864" t="s">
        <v>69</v>
      </c>
      <c r="AW3864" s="1">
        <v>21999</v>
      </c>
      <c r="AX3864">
        <v>2</v>
      </c>
    </row>
    <row r="3865" spans="1:50">
      <c r="A3865">
        <v>216780</v>
      </c>
      <c r="B3865" t="str">
        <f>"301325115"</f>
        <v>301325115</v>
      </c>
      <c r="C3865" t="s">
        <v>50</v>
      </c>
      <c r="D3865" t="s">
        <v>7335</v>
      </c>
      <c r="E3865" t="s">
        <v>513</v>
      </c>
      <c r="F3865" t="s">
        <v>450</v>
      </c>
      <c r="G3865" t="s">
        <v>263</v>
      </c>
      <c r="H3865" t="str">
        <f>" "</f>
        <v xml:space="preserve"> </v>
      </c>
      <c r="J3865">
        <v>2310615296</v>
      </c>
      <c r="K3865">
        <v>6946945891</v>
      </c>
      <c r="M3865" t="s">
        <v>7336</v>
      </c>
      <c r="N3865" t="s">
        <v>306</v>
      </c>
      <c r="O3865" t="s">
        <v>307</v>
      </c>
      <c r="R3865" t="s">
        <v>57</v>
      </c>
      <c r="S3865">
        <v>6</v>
      </c>
      <c r="T3865">
        <v>298</v>
      </c>
      <c r="U3865" s="1">
        <v>38985</v>
      </c>
      <c r="V3865" t="s">
        <v>6729</v>
      </c>
      <c r="W3865" t="s">
        <v>6730</v>
      </c>
      <c r="X3865" t="s">
        <v>58</v>
      </c>
      <c r="Y3865">
        <v>20</v>
      </c>
      <c r="Z3865" t="s">
        <v>59</v>
      </c>
      <c r="AA3865" t="s">
        <v>59</v>
      </c>
      <c r="AB3865" t="s">
        <v>59</v>
      </c>
      <c r="AC3865" t="s">
        <v>59</v>
      </c>
      <c r="AD3865" t="s">
        <v>59</v>
      </c>
      <c r="AF3865" s="1">
        <v>38987</v>
      </c>
      <c r="AG3865" t="s">
        <v>137</v>
      </c>
      <c r="AH3865" t="s">
        <v>138</v>
      </c>
      <c r="AI3865" t="str">
        <f>"5050065"</f>
        <v>5050065</v>
      </c>
      <c r="AJ3865" t="s">
        <v>6822</v>
      </c>
      <c r="AK3865">
        <v>2823022234</v>
      </c>
      <c r="AL3865" t="s">
        <v>6823</v>
      </c>
      <c r="AM3865" t="s">
        <v>88</v>
      </c>
      <c r="AN3865" t="s">
        <v>6824</v>
      </c>
      <c r="AO3865" t="s">
        <v>6825</v>
      </c>
      <c r="AP3865" t="s">
        <v>6826</v>
      </c>
      <c r="AQ3865">
        <v>1</v>
      </c>
      <c r="AR3865" t="s">
        <v>6729</v>
      </c>
      <c r="AS3865" t="s">
        <v>6730</v>
      </c>
      <c r="AT3865" t="s">
        <v>58</v>
      </c>
      <c r="AU3865" t="s">
        <v>68</v>
      </c>
      <c r="AV3865" t="s">
        <v>69</v>
      </c>
      <c r="AW3865" s="1">
        <v>29858</v>
      </c>
      <c r="AX3865">
        <v>2</v>
      </c>
    </row>
    <row r="3866" spans="1:50">
      <c r="A3866">
        <v>199074</v>
      </c>
      <c r="B3866" t="str">
        <f>"050107192"</f>
        <v>050107192</v>
      </c>
      <c r="C3866" t="s">
        <v>105</v>
      </c>
      <c r="D3866" t="s">
        <v>7337</v>
      </c>
      <c r="E3866" t="s">
        <v>383</v>
      </c>
      <c r="F3866" t="s">
        <v>414</v>
      </c>
      <c r="G3866" t="s">
        <v>823</v>
      </c>
      <c r="H3866" t="str">
        <f>"ΜΑΚΡΗΣ 250 Tσικαλαριά"</f>
        <v>ΜΑΚΡΗΣ 250 Tσικαλαριά</v>
      </c>
      <c r="J3866">
        <v>2821055961</v>
      </c>
      <c r="K3866">
        <v>6940109140</v>
      </c>
      <c r="M3866" t="s">
        <v>7338</v>
      </c>
      <c r="N3866" t="s">
        <v>176</v>
      </c>
      <c r="O3866" t="s">
        <v>177</v>
      </c>
      <c r="R3866" t="s">
        <v>57</v>
      </c>
      <c r="S3866">
        <v>10</v>
      </c>
      <c r="T3866">
        <v>206</v>
      </c>
      <c r="U3866" s="1">
        <v>37866</v>
      </c>
      <c r="V3866" t="s">
        <v>6729</v>
      </c>
      <c r="W3866" t="s">
        <v>6730</v>
      </c>
      <c r="X3866" t="s">
        <v>58</v>
      </c>
      <c r="Y3866">
        <v>18</v>
      </c>
      <c r="Z3866" t="s">
        <v>59</v>
      </c>
      <c r="AA3866" t="s">
        <v>59</v>
      </c>
      <c r="AB3866" t="s">
        <v>59</v>
      </c>
      <c r="AC3866" t="s">
        <v>59</v>
      </c>
      <c r="AD3866" t="s">
        <v>59</v>
      </c>
      <c r="AF3866" s="1">
        <v>37866</v>
      </c>
      <c r="AG3866" t="s">
        <v>125</v>
      </c>
      <c r="AH3866" t="s">
        <v>126</v>
      </c>
      <c r="AI3866" t="str">
        <f>"5001073"</f>
        <v>5001073</v>
      </c>
      <c r="AJ3866" t="s">
        <v>6849</v>
      </c>
      <c r="AK3866">
        <v>2821028553</v>
      </c>
      <c r="AL3866" t="s">
        <v>6850</v>
      </c>
      <c r="AM3866" t="s">
        <v>88</v>
      </c>
      <c r="AN3866" t="s">
        <v>88</v>
      </c>
      <c r="AO3866" t="s">
        <v>88</v>
      </c>
      <c r="AP3866" t="s">
        <v>88</v>
      </c>
      <c r="AQ3866">
        <v>1</v>
      </c>
      <c r="AR3866" t="s">
        <v>6729</v>
      </c>
      <c r="AS3866" t="s">
        <v>6730</v>
      </c>
      <c r="AT3866" t="s">
        <v>58</v>
      </c>
      <c r="AU3866" t="s">
        <v>68</v>
      </c>
      <c r="AV3866" t="s">
        <v>69</v>
      </c>
      <c r="AW3866" s="1">
        <v>23874</v>
      </c>
      <c r="AX3866">
        <v>2</v>
      </c>
    </row>
    <row r="3867" spans="1:50">
      <c r="A3867">
        <v>152242</v>
      </c>
      <c r="B3867" t="str">
        <f>"028436524"</f>
        <v>028436524</v>
      </c>
      <c r="C3867" t="s">
        <v>50</v>
      </c>
      <c r="D3867" t="s">
        <v>7339</v>
      </c>
      <c r="E3867" t="s">
        <v>250</v>
      </c>
      <c r="F3867" t="s">
        <v>4851</v>
      </c>
      <c r="G3867" t="s">
        <v>4695</v>
      </c>
      <c r="H3867" t="str">
        <f>"ΤΖΙΤΖΙΦΙΑΝΑΚΗ 1 ΧΑΝΙΑ"</f>
        <v>ΤΖΙΤΖΙΦΙΑΝΑΚΗ 1 ΧΑΝΙΑ</v>
      </c>
      <c r="I3867">
        <v>73136</v>
      </c>
      <c r="J3867">
        <v>2821055516</v>
      </c>
      <c r="K3867">
        <v>6944152326</v>
      </c>
      <c r="N3867" t="s">
        <v>146</v>
      </c>
      <c r="O3867" t="s">
        <v>147</v>
      </c>
      <c r="R3867" t="s">
        <v>57</v>
      </c>
      <c r="S3867">
        <v>16</v>
      </c>
      <c r="T3867">
        <v>193</v>
      </c>
      <c r="U3867" s="1">
        <v>32042</v>
      </c>
      <c r="V3867" t="s">
        <v>6729</v>
      </c>
      <c r="W3867" t="s">
        <v>6730</v>
      </c>
      <c r="X3867" t="s">
        <v>58</v>
      </c>
      <c r="Y3867">
        <v>18</v>
      </c>
      <c r="Z3867" t="s">
        <v>59</v>
      </c>
      <c r="AA3867" t="s">
        <v>59</v>
      </c>
      <c r="AB3867" t="s">
        <v>59</v>
      </c>
      <c r="AC3867" t="s">
        <v>59</v>
      </c>
      <c r="AD3867" t="s">
        <v>59</v>
      </c>
      <c r="AF3867" s="1">
        <v>32048</v>
      </c>
      <c r="AG3867" t="s">
        <v>125</v>
      </c>
      <c r="AH3867" t="s">
        <v>126</v>
      </c>
      <c r="AI3867" t="str">
        <f>"5001075"</f>
        <v>5001075</v>
      </c>
      <c r="AJ3867" t="s">
        <v>6768</v>
      </c>
      <c r="AK3867">
        <v>2821064200</v>
      </c>
      <c r="AL3867" t="s">
        <v>6769</v>
      </c>
      <c r="AM3867" t="s">
        <v>88</v>
      </c>
      <c r="AN3867" t="s">
        <v>88</v>
      </c>
      <c r="AO3867" t="s">
        <v>6770</v>
      </c>
      <c r="AP3867" t="s">
        <v>6771</v>
      </c>
      <c r="AQ3867">
        <v>1</v>
      </c>
      <c r="AR3867" t="s">
        <v>6729</v>
      </c>
      <c r="AS3867" t="s">
        <v>6730</v>
      </c>
      <c r="AT3867" t="s">
        <v>58</v>
      </c>
      <c r="AU3867" t="s">
        <v>68</v>
      </c>
      <c r="AV3867" t="s">
        <v>69</v>
      </c>
      <c r="AW3867" s="1">
        <v>21973</v>
      </c>
      <c r="AX3867">
        <v>2</v>
      </c>
    </row>
    <row r="3868" spans="1:50">
      <c r="A3868">
        <v>184808</v>
      </c>
      <c r="B3868" t="str">
        <f>"034626000"</f>
        <v>034626000</v>
      </c>
      <c r="C3868" t="s">
        <v>50</v>
      </c>
      <c r="D3868" t="s">
        <v>7339</v>
      </c>
      <c r="E3868" t="s">
        <v>109</v>
      </c>
      <c r="F3868" t="s">
        <v>53</v>
      </c>
      <c r="G3868" t="s">
        <v>7340</v>
      </c>
      <c r="H3868" t="str">
        <f>" "</f>
        <v xml:space="preserve"> </v>
      </c>
      <c r="J3868">
        <v>2821095468</v>
      </c>
      <c r="K3868">
        <v>6973343742</v>
      </c>
      <c r="N3868" t="s">
        <v>176</v>
      </c>
      <c r="O3868" t="s">
        <v>177</v>
      </c>
      <c r="R3868" t="s">
        <v>57</v>
      </c>
      <c r="S3868">
        <v>13</v>
      </c>
      <c r="T3868">
        <v>177</v>
      </c>
      <c r="U3868" s="1">
        <v>36403</v>
      </c>
      <c r="V3868" t="s">
        <v>6729</v>
      </c>
      <c r="W3868" t="s">
        <v>6730</v>
      </c>
      <c r="X3868" t="s">
        <v>58</v>
      </c>
      <c r="Y3868">
        <v>18</v>
      </c>
      <c r="Z3868" t="s">
        <v>59</v>
      </c>
      <c r="AA3868" t="s">
        <v>59</v>
      </c>
      <c r="AB3868" t="s">
        <v>59</v>
      </c>
      <c r="AC3868" t="s">
        <v>59</v>
      </c>
      <c r="AD3868" t="s">
        <v>59</v>
      </c>
      <c r="AF3868" s="1">
        <v>36404</v>
      </c>
      <c r="AG3868" t="s">
        <v>125</v>
      </c>
      <c r="AH3868" t="s">
        <v>126</v>
      </c>
      <c r="AI3868" t="str">
        <f>"5001070"</f>
        <v>5001070</v>
      </c>
      <c r="AJ3868" t="s">
        <v>6731</v>
      </c>
      <c r="AK3868">
        <v>2821088045</v>
      </c>
      <c r="AL3868" t="s">
        <v>6732</v>
      </c>
      <c r="AM3868" t="s">
        <v>88</v>
      </c>
      <c r="AN3868" t="s">
        <v>88</v>
      </c>
      <c r="AO3868" t="s">
        <v>6733</v>
      </c>
      <c r="AP3868" t="s">
        <v>6734</v>
      </c>
      <c r="AQ3868">
        <v>1</v>
      </c>
      <c r="AR3868" t="s">
        <v>6729</v>
      </c>
      <c r="AS3868" t="s">
        <v>6730</v>
      </c>
      <c r="AT3868" t="s">
        <v>58</v>
      </c>
      <c r="AU3868" t="s">
        <v>68</v>
      </c>
      <c r="AV3868" t="s">
        <v>69</v>
      </c>
      <c r="AW3868" s="1">
        <v>23103</v>
      </c>
      <c r="AX3868">
        <v>2</v>
      </c>
    </row>
    <row r="3869" spans="1:50">
      <c r="A3869">
        <v>181287</v>
      </c>
      <c r="B3869" t="str">
        <f>"074624245"</f>
        <v>074624245</v>
      </c>
      <c r="C3869" t="s">
        <v>105</v>
      </c>
      <c r="D3869" t="s">
        <v>7341</v>
      </c>
      <c r="E3869" t="s">
        <v>53</v>
      </c>
      <c r="F3869" t="s">
        <v>949</v>
      </c>
      <c r="G3869" t="s">
        <v>93</v>
      </c>
      <c r="H3869" t="str">
        <f>"ΠΕΝΤΑΡΗΔΩΝ 24 ΧΑΝΙΑ"</f>
        <v>ΠΕΝΤΑΡΗΔΩΝ 24 ΧΑΝΙΑ</v>
      </c>
      <c r="I3869">
        <v>73100</v>
      </c>
      <c r="J3869">
        <v>2821087054</v>
      </c>
      <c r="K3869">
        <v>6978359399</v>
      </c>
      <c r="N3869" t="s">
        <v>288</v>
      </c>
      <c r="O3869" t="s">
        <v>289</v>
      </c>
      <c r="R3869" t="s">
        <v>57</v>
      </c>
      <c r="S3869">
        <v>10</v>
      </c>
      <c r="T3869">
        <v>181</v>
      </c>
      <c r="U3869" s="1">
        <v>36039</v>
      </c>
      <c r="V3869" t="s">
        <v>6729</v>
      </c>
      <c r="W3869" t="s">
        <v>6730</v>
      </c>
      <c r="X3869" t="s">
        <v>58</v>
      </c>
      <c r="Y3869">
        <v>18</v>
      </c>
      <c r="Z3869" t="s">
        <v>59</v>
      </c>
      <c r="AA3869" t="s">
        <v>59</v>
      </c>
      <c r="AB3869" t="s">
        <v>59</v>
      </c>
      <c r="AC3869" t="s">
        <v>59</v>
      </c>
      <c r="AD3869" t="s">
        <v>59</v>
      </c>
      <c r="AF3869" s="1">
        <v>36041</v>
      </c>
      <c r="AG3869" t="s">
        <v>125</v>
      </c>
      <c r="AH3869" t="s">
        <v>126</v>
      </c>
      <c r="AI3869" t="str">
        <f>"5001075"</f>
        <v>5001075</v>
      </c>
      <c r="AJ3869" t="s">
        <v>6768</v>
      </c>
      <c r="AK3869">
        <v>2821064200</v>
      </c>
      <c r="AL3869" t="s">
        <v>6769</v>
      </c>
      <c r="AM3869" t="s">
        <v>88</v>
      </c>
      <c r="AN3869" t="s">
        <v>88</v>
      </c>
      <c r="AO3869" t="s">
        <v>6770</v>
      </c>
      <c r="AP3869" t="s">
        <v>6771</v>
      </c>
      <c r="AQ3869">
        <v>1</v>
      </c>
      <c r="AR3869" t="s">
        <v>6729</v>
      </c>
      <c r="AS3869" t="s">
        <v>6730</v>
      </c>
      <c r="AT3869" t="s">
        <v>58</v>
      </c>
      <c r="AU3869" t="s">
        <v>68</v>
      </c>
      <c r="AV3869" t="s">
        <v>69</v>
      </c>
      <c r="AW3869" s="1">
        <v>21731</v>
      </c>
      <c r="AX3869">
        <v>2</v>
      </c>
    </row>
    <row r="3870" spans="1:50">
      <c r="A3870">
        <v>155953</v>
      </c>
      <c r="B3870" t="str">
        <f>"041544425"</f>
        <v>041544425</v>
      </c>
      <c r="C3870" t="s">
        <v>50</v>
      </c>
      <c r="D3870" t="s">
        <v>7342</v>
      </c>
      <c r="E3870" t="s">
        <v>1085</v>
      </c>
      <c r="F3870" t="s">
        <v>760</v>
      </c>
      <c r="G3870" t="s">
        <v>7343</v>
      </c>
      <c r="H3870" t="str">
        <f>" "</f>
        <v xml:space="preserve"> </v>
      </c>
      <c r="N3870" t="s">
        <v>146</v>
      </c>
      <c r="O3870" t="s">
        <v>147</v>
      </c>
      <c r="R3870" t="s">
        <v>57</v>
      </c>
      <c r="S3870">
        <v>14</v>
      </c>
      <c r="T3870">
        <v>188</v>
      </c>
      <c r="U3870" s="1">
        <v>32752</v>
      </c>
      <c r="V3870" t="s">
        <v>6729</v>
      </c>
      <c r="W3870" t="s">
        <v>6730</v>
      </c>
      <c r="X3870" t="s">
        <v>58</v>
      </c>
      <c r="Y3870">
        <v>18</v>
      </c>
      <c r="Z3870" t="s">
        <v>59</v>
      </c>
      <c r="AA3870" t="s">
        <v>59</v>
      </c>
      <c r="AB3870" t="s">
        <v>59</v>
      </c>
      <c r="AC3870" t="s">
        <v>59</v>
      </c>
      <c r="AD3870" t="s">
        <v>59</v>
      </c>
      <c r="AF3870" s="1">
        <v>32752</v>
      </c>
      <c r="AG3870" t="s">
        <v>125</v>
      </c>
      <c r="AH3870" t="s">
        <v>126</v>
      </c>
      <c r="AI3870" t="str">
        <f>"5001070"</f>
        <v>5001070</v>
      </c>
      <c r="AJ3870" t="s">
        <v>6731</v>
      </c>
      <c r="AK3870">
        <v>2821088045</v>
      </c>
      <c r="AL3870" t="s">
        <v>6732</v>
      </c>
      <c r="AM3870" t="s">
        <v>88</v>
      </c>
      <c r="AN3870" t="s">
        <v>88</v>
      </c>
      <c r="AO3870" t="s">
        <v>6733</v>
      </c>
      <c r="AP3870" t="s">
        <v>6734</v>
      </c>
      <c r="AQ3870">
        <v>1</v>
      </c>
      <c r="AR3870" t="s">
        <v>6729</v>
      </c>
      <c r="AS3870" t="s">
        <v>6730</v>
      </c>
      <c r="AT3870" t="s">
        <v>58</v>
      </c>
      <c r="AU3870" t="s">
        <v>68</v>
      </c>
      <c r="AV3870" t="s">
        <v>69</v>
      </c>
      <c r="AW3870" s="1">
        <v>23165</v>
      </c>
      <c r="AX3870">
        <v>2</v>
      </c>
    </row>
    <row r="3871" spans="1:50">
      <c r="A3871">
        <v>223367</v>
      </c>
      <c r="B3871" t="str">
        <f>"037381961"</f>
        <v>037381961</v>
      </c>
      <c r="C3871" t="s">
        <v>50</v>
      </c>
      <c r="D3871" t="s">
        <v>6036</v>
      </c>
      <c r="E3871" t="s">
        <v>255</v>
      </c>
      <c r="F3871" t="s">
        <v>53</v>
      </c>
      <c r="G3871" t="s">
        <v>96</v>
      </c>
      <c r="H3871" t="str">
        <f>"ΔΗΜΟΚΡΙΤΟΥ 17 ΧΑΝΙΑ"</f>
        <v>ΔΗΜΟΚΡΙΤΟΥ 17 ΧΑΝΙΑ</v>
      </c>
      <c r="I3871">
        <v>73100</v>
      </c>
      <c r="J3871">
        <v>2821054656</v>
      </c>
      <c r="K3871">
        <v>6945807215</v>
      </c>
      <c r="M3871" t="s">
        <v>7344</v>
      </c>
      <c r="N3871" t="s">
        <v>232</v>
      </c>
      <c r="O3871" t="s">
        <v>233</v>
      </c>
      <c r="R3871" t="s">
        <v>57</v>
      </c>
      <c r="S3871">
        <v>5</v>
      </c>
      <c r="T3871">
        <v>775</v>
      </c>
      <c r="U3871" s="1">
        <v>39680</v>
      </c>
      <c r="V3871" t="s">
        <v>6729</v>
      </c>
      <c r="W3871" t="s">
        <v>6730</v>
      </c>
      <c r="X3871" t="s">
        <v>58</v>
      </c>
      <c r="Y3871">
        <v>21</v>
      </c>
      <c r="Z3871" t="s">
        <v>59</v>
      </c>
      <c r="AA3871" t="s">
        <v>59</v>
      </c>
      <c r="AB3871" t="s">
        <v>59</v>
      </c>
      <c r="AC3871" t="s">
        <v>59</v>
      </c>
      <c r="AD3871" t="s">
        <v>59</v>
      </c>
      <c r="AF3871" s="1">
        <v>39681</v>
      </c>
      <c r="AG3871" t="s">
        <v>148</v>
      </c>
      <c r="AH3871" t="s">
        <v>149</v>
      </c>
      <c r="AI3871" t="str">
        <f>"5054010"</f>
        <v>5054010</v>
      </c>
      <c r="AJ3871" t="s">
        <v>6815</v>
      </c>
      <c r="AK3871">
        <v>2822022671</v>
      </c>
      <c r="AL3871" t="s">
        <v>6816</v>
      </c>
      <c r="AM3871" t="s">
        <v>88</v>
      </c>
      <c r="AN3871" t="s">
        <v>6744</v>
      </c>
      <c r="AO3871" t="s">
        <v>6744</v>
      </c>
      <c r="AP3871" t="s">
        <v>6744</v>
      </c>
      <c r="AQ3871">
        <v>1</v>
      </c>
      <c r="AR3871" t="s">
        <v>6729</v>
      </c>
      <c r="AS3871" t="s">
        <v>6730</v>
      </c>
      <c r="AT3871" t="s">
        <v>58</v>
      </c>
      <c r="AU3871" t="s">
        <v>68</v>
      </c>
      <c r="AV3871" t="s">
        <v>69</v>
      </c>
      <c r="AW3871" s="1">
        <v>25511</v>
      </c>
      <c r="AX3871">
        <v>2</v>
      </c>
    </row>
    <row r="3872" spans="1:50">
      <c r="A3872">
        <v>202589</v>
      </c>
      <c r="B3872" t="str">
        <f>"030720677"</f>
        <v>030720677</v>
      </c>
      <c r="C3872" t="s">
        <v>50</v>
      </c>
      <c r="D3872" t="s">
        <v>7345</v>
      </c>
      <c r="E3872" t="s">
        <v>1001</v>
      </c>
      <c r="F3872" t="s">
        <v>99</v>
      </c>
      <c r="G3872" t="s">
        <v>4515</v>
      </c>
      <c r="H3872" t="str">
        <f>"ΠΛΑΤΕΙΑ ΠΟΡΙ, ΠΕΡΙΒΟΛΙΑ ΧΑΝΙΑ"</f>
        <v>ΠΛΑΤΕΙΑ ΠΟΡΙ, ΠΕΡΙΒΟΛΙΑ ΧΑΝΙΑ</v>
      </c>
      <c r="I3872">
        <v>73100</v>
      </c>
      <c r="J3872">
        <v>2821071212</v>
      </c>
      <c r="K3872">
        <v>6974713468</v>
      </c>
      <c r="M3872" t="s">
        <v>7346</v>
      </c>
      <c r="N3872" t="s">
        <v>232</v>
      </c>
      <c r="O3872" t="s">
        <v>233</v>
      </c>
      <c r="R3872" t="s">
        <v>57</v>
      </c>
      <c r="S3872">
        <v>10</v>
      </c>
      <c r="T3872">
        <v>231</v>
      </c>
      <c r="U3872" s="1">
        <v>38230</v>
      </c>
      <c r="V3872" t="s">
        <v>6729</v>
      </c>
      <c r="W3872" t="s">
        <v>6730</v>
      </c>
      <c r="X3872" t="s">
        <v>58</v>
      </c>
      <c r="Y3872">
        <v>18</v>
      </c>
      <c r="Z3872" t="s">
        <v>59</v>
      </c>
      <c r="AA3872" t="s">
        <v>59</v>
      </c>
      <c r="AB3872" t="s">
        <v>59</v>
      </c>
      <c r="AC3872" t="s">
        <v>59</v>
      </c>
      <c r="AD3872" t="s">
        <v>59</v>
      </c>
      <c r="AF3872" s="1">
        <v>38233</v>
      </c>
      <c r="AG3872" t="s">
        <v>125</v>
      </c>
      <c r="AH3872" t="s">
        <v>126</v>
      </c>
      <c r="AI3872" t="str">
        <f>"5001060"</f>
        <v>5001060</v>
      </c>
      <c r="AJ3872" t="s">
        <v>6914</v>
      </c>
      <c r="AK3872">
        <v>2821091763</v>
      </c>
      <c r="AL3872" t="s">
        <v>6915</v>
      </c>
      <c r="AM3872" t="s">
        <v>88</v>
      </c>
      <c r="AN3872" t="s">
        <v>88</v>
      </c>
      <c r="AO3872" t="s">
        <v>88</v>
      </c>
      <c r="AP3872" t="s">
        <v>88</v>
      </c>
      <c r="AQ3872">
        <v>1</v>
      </c>
      <c r="AR3872" t="s">
        <v>6729</v>
      </c>
      <c r="AS3872" t="s">
        <v>6730</v>
      </c>
      <c r="AT3872" t="s">
        <v>58</v>
      </c>
      <c r="AU3872" t="s">
        <v>68</v>
      </c>
      <c r="AV3872" t="s">
        <v>69</v>
      </c>
      <c r="AW3872" s="1">
        <v>23272</v>
      </c>
      <c r="AX3872">
        <v>2</v>
      </c>
    </row>
    <row r="3873" spans="1:50">
      <c r="A3873">
        <v>189019</v>
      </c>
      <c r="B3873" t="str">
        <f>"052985039"</f>
        <v>052985039</v>
      </c>
      <c r="C3873" t="s">
        <v>105</v>
      </c>
      <c r="D3873" t="s">
        <v>7347</v>
      </c>
      <c r="E3873" t="s">
        <v>95</v>
      </c>
      <c r="F3873" t="s">
        <v>84</v>
      </c>
      <c r="G3873" t="s">
        <v>330</v>
      </c>
      <c r="H3873" t="str">
        <f>"ΦΟΥΡΝΕΣ "</f>
        <v xml:space="preserve">ΦΟΥΡΝΕΣ </v>
      </c>
      <c r="K3873">
        <v>6973967143</v>
      </c>
      <c r="M3873" t="s">
        <v>7348</v>
      </c>
      <c r="N3873" t="s">
        <v>157</v>
      </c>
      <c r="O3873" t="s">
        <v>158</v>
      </c>
      <c r="R3873" t="s">
        <v>57</v>
      </c>
      <c r="S3873">
        <v>14</v>
      </c>
      <c r="T3873">
        <v>219</v>
      </c>
      <c r="U3873" s="1">
        <v>37134</v>
      </c>
      <c r="V3873" t="s">
        <v>6729</v>
      </c>
      <c r="W3873" t="s">
        <v>6730</v>
      </c>
      <c r="X3873" t="s">
        <v>58</v>
      </c>
      <c r="Y3873">
        <v>20</v>
      </c>
      <c r="Z3873" t="s">
        <v>59</v>
      </c>
      <c r="AA3873" t="s">
        <v>59</v>
      </c>
      <c r="AB3873" t="s">
        <v>59</v>
      </c>
      <c r="AC3873" t="s">
        <v>59</v>
      </c>
      <c r="AD3873" t="s">
        <v>59</v>
      </c>
      <c r="AF3873" s="1">
        <v>37139</v>
      </c>
      <c r="AG3873" t="s">
        <v>148</v>
      </c>
      <c r="AH3873" t="s">
        <v>149</v>
      </c>
      <c r="AI3873" t="str">
        <f>"5051010"</f>
        <v>5051010</v>
      </c>
      <c r="AJ3873" t="s">
        <v>6896</v>
      </c>
      <c r="AK3873">
        <v>2821028714</v>
      </c>
      <c r="AL3873" t="s">
        <v>6897</v>
      </c>
      <c r="AM3873" t="s">
        <v>88</v>
      </c>
      <c r="AN3873" t="s">
        <v>88</v>
      </c>
      <c r="AO3873" t="s">
        <v>88</v>
      </c>
      <c r="AP3873" t="s">
        <v>88</v>
      </c>
      <c r="AQ3873">
        <v>1</v>
      </c>
      <c r="AR3873" t="s">
        <v>6729</v>
      </c>
      <c r="AS3873" t="s">
        <v>6730</v>
      </c>
      <c r="AT3873" t="s">
        <v>58</v>
      </c>
      <c r="AU3873" t="s">
        <v>68</v>
      </c>
      <c r="AV3873" t="s">
        <v>69</v>
      </c>
      <c r="AW3873" s="1">
        <v>25271</v>
      </c>
      <c r="AX3873">
        <v>2</v>
      </c>
    </row>
    <row r="3874" spans="1:50">
      <c r="A3874">
        <v>198854</v>
      </c>
      <c r="B3874" t="str">
        <f>"054933561"</f>
        <v>054933561</v>
      </c>
      <c r="C3874" t="s">
        <v>50</v>
      </c>
      <c r="D3874" t="s">
        <v>7349</v>
      </c>
      <c r="E3874" t="s">
        <v>71</v>
      </c>
      <c r="F3874" t="s">
        <v>450</v>
      </c>
      <c r="G3874" t="s">
        <v>699</v>
      </c>
      <c r="H3874" t="str">
        <f>" "</f>
        <v xml:space="preserve"> </v>
      </c>
      <c r="J3874">
        <v>2821040913</v>
      </c>
      <c r="K3874">
        <v>6945882123</v>
      </c>
      <c r="N3874" t="s">
        <v>683</v>
      </c>
      <c r="O3874" t="s">
        <v>684</v>
      </c>
      <c r="R3874" t="s">
        <v>57</v>
      </c>
      <c r="S3874">
        <v>7</v>
      </c>
      <c r="T3874">
        <v>206</v>
      </c>
      <c r="U3874" s="1">
        <v>37866</v>
      </c>
      <c r="V3874" t="s">
        <v>6729</v>
      </c>
      <c r="W3874" t="s">
        <v>6730</v>
      </c>
      <c r="X3874" t="s">
        <v>58</v>
      </c>
      <c r="Y3874">
        <v>20</v>
      </c>
      <c r="Z3874" t="s">
        <v>59</v>
      </c>
      <c r="AA3874" t="s">
        <v>59</v>
      </c>
      <c r="AB3874" t="s">
        <v>59</v>
      </c>
      <c r="AC3874" t="s">
        <v>59</v>
      </c>
      <c r="AD3874" t="s">
        <v>59</v>
      </c>
      <c r="AF3874" s="1">
        <v>37869</v>
      </c>
      <c r="AG3874" t="s">
        <v>345</v>
      </c>
      <c r="AH3874" t="s">
        <v>346</v>
      </c>
      <c r="AI3874" t="str">
        <f>"5041001"</f>
        <v>5041001</v>
      </c>
      <c r="AJ3874" t="s">
        <v>6840</v>
      </c>
      <c r="AK3874">
        <v>2821052100</v>
      </c>
      <c r="AL3874" t="s">
        <v>6841</v>
      </c>
      <c r="AM3874" t="s">
        <v>88</v>
      </c>
      <c r="AN3874" t="s">
        <v>88</v>
      </c>
      <c r="AO3874" t="s">
        <v>88</v>
      </c>
      <c r="AP3874" t="s">
        <v>88</v>
      </c>
      <c r="AQ3874">
        <v>1</v>
      </c>
      <c r="AR3874" t="s">
        <v>6729</v>
      </c>
      <c r="AS3874" t="s">
        <v>6730</v>
      </c>
      <c r="AT3874" t="s">
        <v>58</v>
      </c>
      <c r="AU3874" t="s">
        <v>68</v>
      </c>
      <c r="AV3874" t="s">
        <v>69</v>
      </c>
      <c r="AW3874" s="1">
        <v>27773</v>
      </c>
      <c r="AX3874">
        <v>2</v>
      </c>
    </row>
    <row r="3875" spans="1:50">
      <c r="A3875">
        <v>166388</v>
      </c>
      <c r="B3875" t="str">
        <f>"112388137"</f>
        <v>112388137</v>
      </c>
      <c r="C3875" t="s">
        <v>50</v>
      </c>
      <c r="D3875" t="s">
        <v>7350</v>
      </c>
      <c r="E3875" t="s">
        <v>600</v>
      </c>
      <c r="F3875" t="s">
        <v>670</v>
      </c>
      <c r="G3875" t="s">
        <v>181</v>
      </c>
      <c r="H3875" t="str">
        <f>" "</f>
        <v xml:space="preserve"> </v>
      </c>
      <c r="M3875" t="s">
        <v>7351</v>
      </c>
      <c r="N3875" t="s">
        <v>306</v>
      </c>
      <c r="O3875" t="s">
        <v>307</v>
      </c>
      <c r="R3875" t="s">
        <v>57</v>
      </c>
      <c r="S3875">
        <v>12</v>
      </c>
      <c r="T3875">
        <v>137</v>
      </c>
      <c r="U3875" s="1">
        <v>34206</v>
      </c>
      <c r="V3875" t="s">
        <v>6729</v>
      </c>
      <c r="W3875" t="s">
        <v>6730</v>
      </c>
      <c r="X3875" t="s">
        <v>58</v>
      </c>
      <c r="Y3875">
        <v>18</v>
      </c>
      <c r="Z3875" t="s">
        <v>59</v>
      </c>
      <c r="AA3875" t="s">
        <v>59</v>
      </c>
      <c r="AB3875" t="s">
        <v>59</v>
      </c>
      <c r="AC3875" t="s">
        <v>59</v>
      </c>
      <c r="AD3875" t="s">
        <v>59</v>
      </c>
      <c r="AF3875" s="1">
        <v>34215</v>
      </c>
      <c r="AG3875" t="s">
        <v>148</v>
      </c>
      <c r="AH3875" t="s">
        <v>149</v>
      </c>
      <c r="AI3875" t="str">
        <f>"5051009"</f>
        <v>5051009</v>
      </c>
      <c r="AJ3875" t="s">
        <v>6851</v>
      </c>
      <c r="AK3875">
        <v>2821044551</v>
      </c>
      <c r="AL3875" t="s">
        <v>6852</v>
      </c>
      <c r="AM3875" t="s">
        <v>88</v>
      </c>
      <c r="AN3875" t="s">
        <v>88</v>
      </c>
      <c r="AO3875" t="s">
        <v>6770</v>
      </c>
      <c r="AP3875" t="s">
        <v>6771</v>
      </c>
      <c r="AQ3875">
        <v>1</v>
      </c>
      <c r="AR3875" t="s">
        <v>6729</v>
      </c>
      <c r="AS3875" t="s">
        <v>6730</v>
      </c>
      <c r="AT3875" t="s">
        <v>58</v>
      </c>
      <c r="AU3875" t="s">
        <v>68</v>
      </c>
      <c r="AV3875" t="s">
        <v>69</v>
      </c>
      <c r="AW3875" s="1">
        <v>22697</v>
      </c>
      <c r="AX3875">
        <v>2</v>
      </c>
    </row>
    <row r="3876" spans="1:50">
      <c r="A3876">
        <v>188609</v>
      </c>
      <c r="B3876" t="str">
        <f>"075094393"</f>
        <v>075094393</v>
      </c>
      <c r="C3876" t="s">
        <v>50</v>
      </c>
      <c r="D3876" t="s">
        <v>7352</v>
      </c>
      <c r="E3876" t="s">
        <v>52</v>
      </c>
      <c r="F3876" t="s">
        <v>304</v>
      </c>
      <c r="G3876" t="s">
        <v>904</v>
      </c>
      <c r="H3876" t="str">
        <f>"ΜΕΛ.ΜΕΤΑΞΑΚΗ 34 Ν.ΧΩΡΑ"</f>
        <v>ΜΕΛ.ΜΕΤΑΞΑΚΗ 34 Ν.ΧΩΡΑ</v>
      </c>
      <c r="I3876">
        <v>73131</v>
      </c>
      <c r="J3876">
        <v>2821097494</v>
      </c>
      <c r="K3876">
        <v>6945940756</v>
      </c>
      <c r="M3876" t="s">
        <v>7353</v>
      </c>
      <c r="N3876" t="s">
        <v>168</v>
      </c>
      <c r="O3876" t="s">
        <v>169</v>
      </c>
      <c r="R3876" t="s">
        <v>57</v>
      </c>
      <c r="S3876">
        <v>12</v>
      </c>
      <c r="T3876">
        <v>310</v>
      </c>
      <c r="U3876" s="1">
        <v>36833</v>
      </c>
      <c r="V3876" t="s">
        <v>6729</v>
      </c>
      <c r="W3876" t="s">
        <v>6730</v>
      </c>
      <c r="X3876" t="s">
        <v>58</v>
      </c>
      <c r="Y3876">
        <v>18</v>
      </c>
      <c r="Z3876" t="s">
        <v>59</v>
      </c>
      <c r="AA3876" t="s">
        <v>59</v>
      </c>
      <c r="AB3876" t="s">
        <v>59</v>
      </c>
      <c r="AC3876" t="s">
        <v>59</v>
      </c>
      <c r="AD3876" t="s">
        <v>59</v>
      </c>
      <c r="AF3876" s="1">
        <v>36840</v>
      </c>
      <c r="AG3876" t="s">
        <v>137</v>
      </c>
      <c r="AH3876" t="s">
        <v>138</v>
      </c>
      <c r="AI3876" t="str">
        <f>"5050060"</f>
        <v>5050060</v>
      </c>
      <c r="AJ3876" t="s">
        <v>6801</v>
      </c>
      <c r="AK3876">
        <v>2821091515</v>
      </c>
      <c r="AL3876" t="s">
        <v>6802</v>
      </c>
      <c r="AM3876" t="s">
        <v>88</v>
      </c>
      <c r="AN3876" t="s">
        <v>88</v>
      </c>
      <c r="AO3876" t="s">
        <v>88</v>
      </c>
      <c r="AP3876" t="s">
        <v>88</v>
      </c>
      <c r="AQ3876">
        <v>1</v>
      </c>
      <c r="AR3876" t="s">
        <v>6729</v>
      </c>
      <c r="AS3876" t="s">
        <v>6730</v>
      </c>
      <c r="AT3876" t="s">
        <v>58</v>
      </c>
      <c r="AU3876" t="s">
        <v>68</v>
      </c>
      <c r="AV3876" t="s">
        <v>69</v>
      </c>
      <c r="AW3876" s="1">
        <v>26155</v>
      </c>
      <c r="AX3876">
        <v>2</v>
      </c>
    </row>
    <row r="3877" spans="1:50">
      <c r="A3877">
        <v>179324</v>
      </c>
      <c r="B3877" t="str">
        <f>"052407880"</f>
        <v>052407880</v>
      </c>
      <c r="C3877" t="s">
        <v>50</v>
      </c>
      <c r="D3877" t="s">
        <v>7354</v>
      </c>
      <c r="E3877" t="s">
        <v>83</v>
      </c>
      <c r="F3877" t="s">
        <v>106</v>
      </c>
      <c r="G3877" t="s">
        <v>7355</v>
      </c>
      <c r="H3877" t="str">
        <f>"ΜΑΝ. ΚΟΥΝΔΟΥΡΟΥ 31Α "</f>
        <v xml:space="preserve">ΜΑΝ. ΚΟΥΝΔΟΥΡΟΥ 31Α </v>
      </c>
      <c r="I3877">
        <v>73100</v>
      </c>
      <c r="J3877">
        <v>2821028406</v>
      </c>
      <c r="K3877">
        <v>6976026980</v>
      </c>
      <c r="M3877" t="s">
        <v>7356</v>
      </c>
      <c r="N3877" t="s">
        <v>146</v>
      </c>
      <c r="O3877" t="s">
        <v>147</v>
      </c>
      <c r="R3877" t="s">
        <v>57</v>
      </c>
      <c r="S3877">
        <v>11</v>
      </c>
      <c r="T3877">
        <v>181</v>
      </c>
      <c r="U3877" s="1">
        <v>36039</v>
      </c>
      <c r="V3877" t="s">
        <v>6729</v>
      </c>
      <c r="W3877" t="s">
        <v>6730</v>
      </c>
      <c r="X3877" t="s">
        <v>58</v>
      </c>
      <c r="Y3877">
        <v>18</v>
      </c>
      <c r="Z3877" t="s">
        <v>59</v>
      </c>
      <c r="AA3877" t="s">
        <v>59</v>
      </c>
      <c r="AB3877" t="s">
        <v>59</v>
      </c>
      <c r="AC3877" t="s">
        <v>59</v>
      </c>
      <c r="AD3877" t="s">
        <v>59</v>
      </c>
      <c r="AF3877" s="1">
        <v>36041</v>
      </c>
      <c r="AG3877" t="s">
        <v>148</v>
      </c>
      <c r="AH3877" t="s">
        <v>149</v>
      </c>
      <c r="AI3877" t="str">
        <f>"5051010"</f>
        <v>5051010</v>
      </c>
      <c r="AJ3877" t="s">
        <v>6896</v>
      </c>
      <c r="AK3877">
        <v>2821028714</v>
      </c>
      <c r="AL3877" t="s">
        <v>6897</v>
      </c>
      <c r="AM3877" t="s">
        <v>88</v>
      </c>
      <c r="AN3877" t="s">
        <v>88</v>
      </c>
      <c r="AO3877" t="s">
        <v>88</v>
      </c>
      <c r="AP3877" t="s">
        <v>88</v>
      </c>
      <c r="AQ3877">
        <v>1</v>
      </c>
      <c r="AR3877" t="s">
        <v>6729</v>
      </c>
      <c r="AS3877" t="s">
        <v>6730</v>
      </c>
      <c r="AT3877" t="s">
        <v>58</v>
      </c>
      <c r="AU3877" t="s">
        <v>68</v>
      </c>
      <c r="AV3877" t="s">
        <v>69</v>
      </c>
      <c r="AW3877" s="1">
        <v>24444</v>
      </c>
      <c r="AX3877">
        <v>2</v>
      </c>
    </row>
    <row r="3878" spans="1:50">
      <c r="A3878">
        <v>212062</v>
      </c>
      <c r="B3878" t="str">
        <f>"076773387"</f>
        <v>076773387</v>
      </c>
      <c r="C3878" t="s">
        <v>50</v>
      </c>
      <c r="D3878" t="s">
        <v>7354</v>
      </c>
      <c r="E3878" t="s">
        <v>507</v>
      </c>
      <c r="F3878" t="s">
        <v>99</v>
      </c>
      <c r="G3878" t="s">
        <v>4515</v>
      </c>
      <c r="H3878" t="str">
        <f>"ΔΟΥΚΑ 17 ΧΑΝΙΑ"</f>
        <v>ΔΟΥΚΑ 17 ΧΑΝΙΑ</v>
      </c>
      <c r="I3878">
        <v>73100</v>
      </c>
      <c r="J3878">
        <v>2822024385</v>
      </c>
      <c r="K3878">
        <v>6974456440</v>
      </c>
      <c r="M3878" t="s">
        <v>7357</v>
      </c>
      <c r="N3878" t="s">
        <v>146</v>
      </c>
      <c r="O3878" t="s">
        <v>147</v>
      </c>
      <c r="R3878" t="s">
        <v>57</v>
      </c>
      <c r="S3878">
        <v>7</v>
      </c>
      <c r="T3878">
        <v>231</v>
      </c>
      <c r="U3878" s="1">
        <v>38960</v>
      </c>
      <c r="V3878" t="s">
        <v>6729</v>
      </c>
      <c r="W3878" t="s">
        <v>6730</v>
      </c>
      <c r="X3878" t="s">
        <v>58</v>
      </c>
      <c r="Y3878">
        <v>20</v>
      </c>
      <c r="Z3878" t="s">
        <v>59</v>
      </c>
      <c r="AA3878" t="s">
        <v>59</v>
      </c>
      <c r="AB3878" t="s">
        <v>59</v>
      </c>
      <c r="AC3878" t="s">
        <v>59</v>
      </c>
      <c r="AD3878" t="s">
        <v>59</v>
      </c>
      <c r="AF3878" s="1">
        <v>38961</v>
      </c>
      <c r="AG3878" t="s">
        <v>125</v>
      </c>
      <c r="AH3878" t="s">
        <v>359</v>
      </c>
      <c r="AI3878" t="str">
        <f>"5001015"</f>
        <v>5001015</v>
      </c>
      <c r="AJ3878" t="s">
        <v>7027</v>
      </c>
      <c r="AK3878">
        <v>2821043161</v>
      </c>
      <c r="AL3878" t="s">
        <v>7028</v>
      </c>
      <c r="AM3878" t="s">
        <v>88</v>
      </c>
      <c r="AN3878" t="s">
        <v>88</v>
      </c>
      <c r="AO3878" t="s">
        <v>88</v>
      </c>
      <c r="AP3878" t="s">
        <v>88</v>
      </c>
      <c r="AQ3878">
        <v>1</v>
      </c>
      <c r="AR3878" t="s">
        <v>6729</v>
      </c>
      <c r="AS3878" t="s">
        <v>6730</v>
      </c>
      <c r="AT3878" t="s">
        <v>58</v>
      </c>
      <c r="AU3878" t="s">
        <v>68</v>
      </c>
      <c r="AV3878" t="s">
        <v>69</v>
      </c>
      <c r="AW3878" s="1">
        <v>24997</v>
      </c>
      <c r="AX3878">
        <v>2</v>
      </c>
    </row>
    <row r="3879" spans="1:50">
      <c r="A3879">
        <v>204408</v>
      </c>
      <c r="B3879" t="str">
        <f>"066835614"</f>
        <v>066835614</v>
      </c>
      <c r="C3879" t="s">
        <v>50</v>
      </c>
      <c r="D3879" t="s">
        <v>1840</v>
      </c>
      <c r="E3879" t="s">
        <v>255</v>
      </c>
      <c r="F3879" t="s">
        <v>166</v>
      </c>
      <c r="G3879" t="s">
        <v>563</v>
      </c>
      <c r="H3879" t="str">
        <f>" "</f>
        <v xml:space="preserve"> </v>
      </c>
      <c r="J3879">
        <v>2821071906</v>
      </c>
      <c r="K3879">
        <v>6945264393</v>
      </c>
      <c r="M3879" t="s">
        <v>7358</v>
      </c>
      <c r="N3879" t="s">
        <v>299</v>
      </c>
      <c r="O3879" t="s">
        <v>300</v>
      </c>
      <c r="R3879" t="s">
        <v>57</v>
      </c>
      <c r="S3879">
        <v>7</v>
      </c>
      <c r="T3879">
        <v>231</v>
      </c>
      <c r="U3879" s="1">
        <v>38230</v>
      </c>
      <c r="V3879" t="s">
        <v>6729</v>
      </c>
      <c r="W3879" t="s">
        <v>6730</v>
      </c>
      <c r="X3879" t="s">
        <v>58</v>
      </c>
      <c r="Y3879">
        <v>20</v>
      </c>
      <c r="Z3879" t="s">
        <v>59</v>
      </c>
      <c r="AA3879" t="s">
        <v>59</v>
      </c>
      <c r="AB3879" t="s">
        <v>59</v>
      </c>
      <c r="AC3879" t="s">
        <v>59</v>
      </c>
      <c r="AD3879" t="s">
        <v>59</v>
      </c>
      <c r="AF3879" s="1">
        <v>38233</v>
      </c>
      <c r="AG3879" t="s">
        <v>125</v>
      </c>
      <c r="AH3879" t="s">
        <v>126</v>
      </c>
      <c r="AI3879" t="str">
        <f>"5001076"</f>
        <v>5001076</v>
      </c>
      <c r="AJ3879" t="s">
        <v>6979</v>
      </c>
      <c r="AK3879">
        <v>2821088808</v>
      </c>
      <c r="AL3879" t="s">
        <v>6980</v>
      </c>
      <c r="AM3879" t="s">
        <v>88</v>
      </c>
      <c r="AN3879" t="s">
        <v>88</v>
      </c>
      <c r="AO3879" t="s">
        <v>6733</v>
      </c>
      <c r="AP3879" t="s">
        <v>6755</v>
      </c>
      <c r="AQ3879">
        <v>1</v>
      </c>
      <c r="AR3879" t="s">
        <v>6729</v>
      </c>
      <c r="AS3879" t="s">
        <v>6730</v>
      </c>
      <c r="AT3879" t="s">
        <v>58</v>
      </c>
      <c r="AU3879" t="s">
        <v>68</v>
      </c>
      <c r="AV3879" t="s">
        <v>69</v>
      </c>
      <c r="AW3879" s="1">
        <v>29364</v>
      </c>
      <c r="AX3879">
        <v>2</v>
      </c>
    </row>
    <row r="3880" spans="1:50">
      <c r="A3880">
        <v>185519</v>
      </c>
      <c r="B3880" t="str">
        <f>"032155839"</f>
        <v>032155839</v>
      </c>
      <c r="C3880" t="s">
        <v>105</v>
      </c>
      <c r="D3880" t="s">
        <v>7359</v>
      </c>
      <c r="E3880" t="s">
        <v>920</v>
      </c>
      <c r="F3880" t="s">
        <v>72</v>
      </c>
      <c r="G3880" t="s">
        <v>250</v>
      </c>
      <c r="H3880" t="str">
        <f>"Γ. ΣΕIMENH 28 XANIA"</f>
        <v>Γ. ΣΕIMENH 28 XANIA</v>
      </c>
      <c r="I3880">
        <v>73133</v>
      </c>
      <c r="J3880">
        <v>2821055450</v>
      </c>
      <c r="K3880">
        <v>6939130376</v>
      </c>
      <c r="N3880" t="s">
        <v>299</v>
      </c>
      <c r="O3880" t="s">
        <v>300</v>
      </c>
      <c r="P3880" t="s">
        <v>615</v>
      </c>
      <c r="Q3880" t="s">
        <v>616</v>
      </c>
      <c r="R3880" t="s">
        <v>57</v>
      </c>
      <c r="S3880">
        <v>15</v>
      </c>
      <c r="T3880">
        <v>161</v>
      </c>
      <c r="U3880" s="1">
        <v>33119</v>
      </c>
      <c r="V3880" t="s">
        <v>6729</v>
      </c>
      <c r="W3880" t="s">
        <v>6730</v>
      </c>
      <c r="X3880" t="s">
        <v>58</v>
      </c>
      <c r="Y3880">
        <v>18</v>
      </c>
      <c r="Z3880" t="s">
        <v>59</v>
      </c>
      <c r="AA3880" t="s">
        <v>59</v>
      </c>
      <c r="AB3880" t="s">
        <v>59</v>
      </c>
      <c r="AC3880" t="s">
        <v>59</v>
      </c>
      <c r="AD3880" t="s">
        <v>59</v>
      </c>
      <c r="AF3880" s="1">
        <v>33120</v>
      </c>
      <c r="AG3880" t="s">
        <v>148</v>
      </c>
      <c r="AH3880" t="s">
        <v>149</v>
      </c>
      <c r="AI3880" t="str">
        <f>"5061010"</f>
        <v>5061010</v>
      </c>
      <c r="AJ3880" t="s">
        <v>6746</v>
      </c>
      <c r="AK3880">
        <v>2821081530</v>
      </c>
      <c r="AL3880" t="s">
        <v>6747</v>
      </c>
      <c r="AM3880" t="s">
        <v>88</v>
      </c>
      <c r="AN3880" t="s">
        <v>88</v>
      </c>
      <c r="AO3880" t="s">
        <v>6748</v>
      </c>
      <c r="AP3880" t="s">
        <v>6748</v>
      </c>
      <c r="AQ3880">
        <v>1</v>
      </c>
      <c r="AR3880" t="s">
        <v>6729</v>
      </c>
      <c r="AS3880" t="s">
        <v>6730</v>
      </c>
      <c r="AT3880" t="s">
        <v>58</v>
      </c>
      <c r="AU3880" t="s">
        <v>68</v>
      </c>
      <c r="AV3880" t="s">
        <v>69</v>
      </c>
      <c r="AW3880" s="1">
        <v>22461</v>
      </c>
      <c r="AX3880">
        <v>2</v>
      </c>
    </row>
    <row r="3881" spans="1:50">
      <c r="B3881" t="str">
        <f>"076843879"</f>
        <v>076843879</v>
      </c>
      <c r="C3881" t="s">
        <v>105</v>
      </c>
      <c r="D3881" t="s">
        <v>7360</v>
      </c>
      <c r="E3881" t="s">
        <v>111</v>
      </c>
      <c r="F3881" t="s">
        <v>920</v>
      </c>
      <c r="G3881" t="s">
        <v>237</v>
      </c>
      <c r="H3881" t="str">
        <f>"ΗΡ. ΑΥΓΟΥΛΑ ΚΑΤΩ ΔΑΡΑΤΣΟ ΧΑΝΙΑ"</f>
        <v>ΗΡ. ΑΥΓΟΥΛΑ ΚΑΤΩ ΔΑΡΑΤΣΟ ΧΑΝΙΑ</v>
      </c>
      <c r="I3881">
        <v>73100</v>
      </c>
      <c r="J3881">
        <v>2821032588</v>
      </c>
      <c r="K3881">
        <v>6945696872</v>
      </c>
      <c r="N3881" t="s">
        <v>5128</v>
      </c>
      <c r="O3881" t="s">
        <v>5129</v>
      </c>
      <c r="R3881" t="s">
        <v>159</v>
      </c>
      <c r="S3881">
        <v>5</v>
      </c>
      <c r="T3881" t="s">
        <v>344</v>
      </c>
      <c r="U3881" s="1">
        <v>43348</v>
      </c>
      <c r="V3881" t="s">
        <v>6729</v>
      </c>
      <c r="W3881" t="s">
        <v>6730</v>
      </c>
      <c r="X3881" t="s">
        <v>58</v>
      </c>
      <c r="Y3881">
        <v>21</v>
      </c>
      <c r="Z3881" t="s">
        <v>59</v>
      </c>
      <c r="AA3881" t="s">
        <v>59</v>
      </c>
      <c r="AB3881" t="s">
        <v>59</v>
      </c>
      <c r="AC3881" t="s">
        <v>59</v>
      </c>
      <c r="AD3881" t="s">
        <v>59</v>
      </c>
      <c r="AF3881" s="1">
        <v>43348</v>
      </c>
      <c r="AG3881" t="s">
        <v>345</v>
      </c>
      <c r="AH3881" t="s">
        <v>346</v>
      </c>
      <c r="AI3881" t="str">
        <f>"5059001"</f>
        <v>5059001</v>
      </c>
      <c r="AJ3881" t="s">
        <v>6742</v>
      </c>
      <c r="AK3881">
        <v>2822041102</v>
      </c>
      <c r="AL3881" t="s">
        <v>6743</v>
      </c>
      <c r="AM3881" t="s">
        <v>88</v>
      </c>
      <c r="AN3881" t="s">
        <v>6744</v>
      </c>
      <c r="AO3881" t="s">
        <v>6744</v>
      </c>
      <c r="AP3881" t="s">
        <v>6744</v>
      </c>
      <c r="AQ3881">
        <v>1</v>
      </c>
      <c r="AR3881" t="s">
        <v>6729</v>
      </c>
      <c r="AS3881" t="s">
        <v>6730</v>
      </c>
      <c r="AT3881" t="s">
        <v>58</v>
      </c>
      <c r="AU3881" t="s">
        <v>350</v>
      </c>
      <c r="AV3881" t="s">
        <v>132</v>
      </c>
      <c r="AW3881" s="1">
        <v>30246</v>
      </c>
      <c r="AX3881">
        <v>2</v>
      </c>
    </row>
    <row r="3882" spans="1:50">
      <c r="A3882">
        <v>177887</v>
      </c>
      <c r="B3882" t="str">
        <f>"075072087"</f>
        <v>075072087</v>
      </c>
      <c r="C3882" t="s">
        <v>50</v>
      </c>
      <c r="D3882" t="s">
        <v>7361</v>
      </c>
      <c r="E3882" t="s">
        <v>263</v>
      </c>
      <c r="F3882" t="s">
        <v>106</v>
      </c>
      <c r="G3882" t="s">
        <v>83</v>
      </c>
      <c r="H3882" t="str">
        <f>" "</f>
        <v xml:space="preserve"> </v>
      </c>
      <c r="M3882" t="s">
        <v>7362</v>
      </c>
      <c r="N3882" t="s">
        <v>587</v>
      </c>
      <c r="O3882" t="s">
        <v>588</v>
      </c>
      <c r="R3882" t="s">
        <v>57</v>
      </c>
      <c r="S3882">
        <v>10</v>
      </c>
      <c r="T3882">
        <v>180</v>
      </c>
      <c r="U3882" s="1">
        <v>35674</v>
      </c>
      <c r="V3882" t="s">
        <v>6729</v>
      </c>
      <c r="W3882" t="s">
        <v>6730</v>
      </c>
      <c r="X3882" t="s">
        <v>58</v>
      </c>
      <c r="Y3882">
        <v>18</v>
      </c>
      <c r="Z3882" t="s">
        <v>59</v>
      </c>
      <c r="AA3882" t="s">
        <v>59</v>
      </c>
      <c r="AB3882" t="s">
        <v>59</v>
      </c>
      <c r="AC3882" t="s">
        <v>59</v>
      </c>
      <c r="AD3882" t="s">
        <v>59</v>
      </c>
      <c r="AF3882" s="1">
        <v>35675</v>
      </c>
      <c r="AG3882" t="s">
        <v>137</v>
      </c>
      <c r="AH3882" t="s">
        <v>138</v>
      </c>
      <c r="AI3882" t="str">
        <f>"5040050"</f>
        <v>5040050</v>
      </c>
      <c r="AJ3882" t="s">
        <v>6750</v>
      </c>
      <c r="AK3882">
        <v>2821043147</v>
      </c>
      <c r="AL3882" t="s">
        <v>6751</v>
      </c>
      <c r="AM3882" t="s">
        <v>88</v>
      </c>
      <c r="AN3882" t="s">
        <v>88</v>
      </c>
      <c r="AO3882" t="s">
        <v>88</v>
      </c>
      <c r="AP3882" t="s">
        <v>88</v>
      </c>
      <c r="AQ3882">
        <v>1</v>
      </c>
      <c r="AR3882" t="s">
        <v>6729</v>
      </c>
      <c r="AS3882" t="s">
        <v>6730</v>
      </c>
      <c r="AT3882" t="s">
        <v>58</v>
      </c>
      <c r="AU3882" t="s">
        <v>68</v>
      </c>
      <c r="AV3882" t="s">
        <v>69</v>
      </c>
      <c r="AW3882" s="1">
        <v>25328</v>
      </c>
      <c r="AX3882">
        <v>2</v>
      </c>
    </row>
    <row r="3883" spans="1:50">
      <c r="A3883">
        <v>192999</v>
      </c>
      <c r="B3883" t="str">
        <f>"038062900"</f>
        <v>038062900</v>
      </c>
      <c r="C3883" t="s">
        <v>50</v>
      </c>
      <c r="D3883" t="s">
        <v>7363</v>
      </c>
      <c r="E3883" t="s">
        <v>1755</v>
      </c>
      <c r="F3883" t="s">
        <v>4629</v>
      </c>
      <c r="G3883" t="s">
        <v>1781</v>
      </c>
      <c r="H3883" t="str">
        <f>" "</f>
        <v xml:space="preserve"> </v>
      </c>
      <c r="J3883">
        <v>2821071991</v>
      </c>
      <c r="L3883">
        <v>2821075429</v>
      </c>
      <c r="N3883" t="s">
        <v>146</v>
      </c>
      <c r="O3883" t="s">
        <v>147</v>
      </c>
      <c r="R3883" t="s">
        <v>57</v>
      </c>
      <c r="S3883">
        <v>11</v>
      </c>
      <c r="T3883">
        <v>194</v>
      </c>
      <c r="U3883" s="1">
        <v>37497</v>
      </c>
      <c r="V3883" t="s">
        <v>6729</v>
      </c>
      <c r="W3883" t="s">
        <v>6730</v>
      </c>
      <c r="X3883" t="s">
        <v>58</v>
      </c>
      <c r="Y3883">
        <v>18</v>
      </c>
      <c r="Z3883" t="s">
        <v>59</v>
      </c>
      <c r="AA3883" t="s">
        <v>59</v>
      </c>
      <c r="AB3883" t="s">
        <v>59</v>
      </c>
      <c r="AC3883" t="s">
        <v>59</v>
      </c>
      <c r="AD3883" t="s">
        <v>59</v>
      </c>
      <c r="AF3883" s="1">
        <v>37501</v>
      </c>
      <c r="AG3883" t="s">
        <v>125</v>
      </c>
      <c r="AH3883" t="s">
        <v>126</v>
      </c>
      <c r="AI3883" t="str">
        <f>"5001040"</f>
        <v>5001040</v>
      </c>
      <c r="AJ3883" t="s">
        <v>7126</v>
      </c>
      <c r="AK3883">
        <v>2821088010</v>
      </c>
      <c r="AM3883" t="s">
        <v>88</v>
      </c>
      <c r="AN3883" t="s">
        <v>88</v>
      </c>
      <c r="AO3883" t="s">
        <v>88</v>
      </c>
      <c r="AP3883" t="s">
        <v>88</v>
      </c>
      <c r="AQ3883">
        <v>1</v>
      </c>
      <c r="AR3883" t="s">
        <v>6729</v>
      </c>
      <c r="AS3883" t="s">
        <v>6730</v>
      </c>
      <c r="AT3883" t="s">
        <v>58</v>
      </c>
      <c r="AU3883" t="s">
        <v>68</v>
      </c>
      <c r="AV3883" t="s">
        <v>69</v>
      </c>
      <c r="AW3883" s="1">
        <v>24651</v>
      </c>
      <c r="AX3883">
        <v>2</v>
      </c>
    </row>
    <row r="3884" spans="1:50">
      <c r="A3884">
        <v>701183</v>
      </c>
      <c r="B3884" t="str">
        <f>"035862202"</f>
        <v>035862202</v>
      </c>
      <c r="C3884" t="s">
        <v>105</v>
      </c>
      <c r="D3884" t="s">
        <v>1865</v>
      </c>
      <c r="E3884" t="s">
        <v>95</v>
      </c>
      <c r="F3884" t="s">
        <v>7364</v>
      </c>
      <c r="G3884" t="s">
        <v>476</v>
      </c>
      <c r="H3884" t="str">
        <f>"ΜΙΚΡΑΣ ΑΣΙΑΣ ΠΑΣΣΑΚΑΚΙ ΧΑΝΙΑ"</f>
        <v>ΜΙΚΡΑΣ ΑΣΙΑΣ ΠΑΣΣΑΚΑΚΙ ΧΑΝΙΑ</v>
      </c>
      <c r="I3884">
        <v>73100</v>
      </c>
      <c r="J3884">
        <v>2821099373</v>
      </c>
      <c r="K3884">
        <v>6948503638</v>
      </c>
      <c r="N3884" t="s">
        <v>1636</v>
      </c>
      <c r="O3884" t="s">
        <v>1637</v>
      </c>
      <c r="P3884" t="s">
        <v>1638</v>
      </c>
      <c r="Q3884" t="s">
        <v>1639</v>
      </c>
      <c r="R3884" t="s">
        <v>159</v>
      </c>
      <c r="S3884">
        <v>4</v>
      </c>
      <c r="T3884">
        <v>772</v>
      </c>
      <c r="U3884" s="1">
        <v>40413</v>
      </c>
      <c r="V3884" t="s">
        <v>6729</v>
      </c>
      <c r="W3884" t="s">
        <v>6730</v>
      </c>
      <c r="X3884" t="s">
        <v>58</v>
      </c>
      <c r="Y3884">
        <v>30</v>
      </c>
      <c r="Z3884" t="s">
        <v>59</v>
      </c>
      <c r="AA3884" t="s">
        <v>59</v>
      </c>
      <c r="AB3884" t="s">
        <v>59</v>
      </c>
      <c r="AC3884" t="s">
        <v>59</v>
      </c>
      <c r="AD3884" t="s">
        <v>59</v>
      </c>
      <c r="AF3884" s="1">
        <v>40413</v>
      </c>
      <c r="AG3884" t="s">
        <v>137</v>
      </c>
      <c r="AH3884" t="s">
        <v>138</v>
      </c>
      <c r="AI3884" t="str">
        <f>"5040100"</f>
        <v>5040100</v>
      </c>
      <c r="AJ3884" t="s">
        <v>6790</v>
      </c>
      <c r="AK3884">
        <v>2821058998</v>
      </c>
      <c r="AL3884" t="s">
        <v>6791</v>
      </c>
      <c r="AM3884" t="s">
        <v>88</v>
      </c>
      <c r="AN3884" t="s">
        <v>88</v>
      </c>
      <c r="AO3884" t="s">
        <v>6770</v>
      </c>
      <c r="AP3884" t="s">
        <v>6771</v>
      </c>
      <c r="AQ3884">
        <v>1</v>
      </c>
      <c r="AR3884" t="s">
        <v>6729</v>
      </c>
      <c r="AS3884" t="s">
        <v>6730</v>
      </c>
      <c r="AT3884" t="s">
        <v>58</v>
      </c>
      <c r="AU3884" t="s">
        <v>68</v>
      </c>
      <c r="AV3884" t="s">
        <v>69</v>
      </c>
      <c r="AW3884" s="1">
        <v>24411</v>
      </c>
      <c r="AX3884">
        <v>2</v>
      </c>
    </row>
    <row r="3885" spans="1:50">
      <c r="A3885">
        <v>193001</v>
      </c>
      <c r="B3885" t="str">
        <f>"044683756"</f>
        <v>044683756</v>
      </c>
      <c r="C3885" t="s">
        <v>50</v>
      </c>
      <c r="D3885" t="s">
        <v>7365</v>
      </c>
      <c r="E3885" t="s">
        <v>52</v>
      </c>
      <c r="F3885" t="s">
        <v>72</v>
      </c>
      <c r="G3885" t="s">
        <v>3914</v>
      </c>
      <c r="H3885" t="str">
        <f>" "</f>
        <v xml:space="preserve"> </v>
      </c>
      <c r="J3885">
        <v>2823022084</v>
      </c>
      <c r="K3885">
        <v>6977435403</v>
      </c>
      <c r="N3885" t="s">
        <v>146</v>
      </c>
      <c r="O3885" t="s">
        <v>147</v>
      </c>
      <c r="R3885" t="s">
        <v>57</v>
      </c>
      <c r="S3885">
        <v>11</v>
      </c>
      <c r="T3885">
        <v>193</v>
      </c>
      <c r="U3885" s="1">
        <v>37497</v>
      </c>
      <c r="V3885" t="s">
        <v>6729</v>
      </c>
      <c r="W3885" t="s">
        <v>6730</v>
      </c>
      <c r="X3885" t="s">
        <v>58</v>
      </c>
      <c r="Y3885">
        <v>18</v>
      </c>
      <c r="Z3885" t="s">
        <v>59</v>
      </c>
      <c r="AA3885" t="s">
        <v>59</v>
      </c>
      <c r="AB3885" t="s">
        <v>59</v>
      </c>
      <c r="AC3885" t="s">
        <v>59</v>
      </c>
      <c r="AD3885" t="s">
        <v>59</v>
      </c>
      <c r="AF3885" s="1">
        <v>37501</v>
      </c>
      <c r="AG3885" t="s">
        <v>125</v>
      </c>
      <c r="AH3885" t="s">
        <v>126</v>
      </c>
      <c r="AI3885" t="str">
        <f>"5001020"</f>
        <v>5001020</v>
      </c>
      <c r="AJ3885" t="s">
        <v>6739</v>
      </c>
      <c r="AK3885">
        <v>2821042664</v>
      </c>
      <c r="AL3885" t="s">
        <v>6740</v>
      </c>
      <c r="AM3885" t="s">
        <v>88</v>
      </c>
      <c r="AN3885" t="s">
        <v>88</v>
      </c>
      <c r="AO3885" t="s">
        <v>88</v>
      </c>
      <c r="AP3885" t="s">
        <v>88</v>
      </c>
      <c r="AQ3885">
        <v>1</v>
      </c>
      <c r="AR3885" t="s">
        <v>6729</v>
      </c>
      <c r="AS3885" t="s">
        <v>6730</v>
      </c>
      <c r="AT3885" t="s">
        <v>58</v>
      </c>
      <c r="AU3885" t="s">
        <v>68</v>
      </c>
      <c r="AV3885" t="s">
        <v>69</v>
      </c>
      <c r="AW3885" s="1">
        <v>24284</v>
      </c>
      <c r="AX3885">
        <v>2</v>
      </c>
    </row>
    <row r="3886" spans="1:50">
      <c r="A3886">
        <v>200361</v>
      </c>
      <c r="B3886" t="str">
        <f>"113168697"</f>
        <v>113168697</v>
      </c>
      <c r="C3886" t="s">
        <v>105</v>
      </c>
      <c r="D3886" t="s">
        <v>7366</v>
      </c>
      <c r="E3886" t="s">
        <v>72</v>
      </c>
      <c r="F3886" t="s">
        <v>95</v>
      </c>
      <c r="G3886" t="s">
        <v>4127</v>
      </c>
      <c r="H3886" t="str">
        <f>" "</f>
        <v xml:space="preserve"> </v>
      </c>
      <c r="K3886">
        <v>6946902983</v>
      </c>
      <c r="N3886" t="s">
        <v>204</v>
      </c>
      <c r="O3886" t="s">
        <v>205</v>
      </c>
      <c r="R3886" t="s">
        <v>57</v>
      </c>
      <c r="S3886">
        <v>9</v>
      </c>
      <c r="T3886">
        <v>206</v>
      </c>
      <c r="U3886" s="1">
        <v>37866</v>
      </c>
      <c r="V3886" t="s">
        <v>6729</v>
      </c>
      <c r="W3886" t="s">
        <v>6730</v>
      </c>
      <c r="X3886" t="s">
        <v>58</v>
      </c>
      <c r="Y3886">
        <v>20</v>
      </c>
      <c r="Z3886" t="s">
        <v>59</v>
      </c>
      <c r="AA3886" t="s">
        <v>59</v>
      </c>
      <c r="AB3886" t="s">
        <v>59</v>
      </c>
      <c r="AC3886" t="s">
        <v>59</v>
      </c>
      <c r="AD3886" t="s">
        <v>59</v>
      </c>
      <c r="AF3886" s="1">
        <v>37866</v>
      </c>
      <c r="AG3886" t="s">
        <v>137</v>
      </c>
      <c r="AH3886" t="s">
        <v>469</v>
      </c>
      <c r="AI3886" t="str">
        <f>"5040055"</f>
        <v>5040055</v>
      </c>
      <c r="AJ3886" t="s">
        <v>6940</v>
      </c>
      <c r="AK3886">
        <v>2821036404</v>
      </c>
      <c r="AL3886" t="s">
        <v>6941</v>
      </c>
      <c r="AM3886" t="s">
        <v>88</v>
      </c>
      <c r="AN3886" t="s">
        <v>88</v>
      </c>
      <c r="AO3886" t="s">
        <v>88</v>
      </c>
      <c r="AP3886" t="s">
        <v>88</v>
      </c>
      <c r="AQ3886">
        <v>1</v>
      </c>
      <c r="AR3886" t="s">
        <v>6729</v>
      </c>
      <c r="AS3886" t="s">
        <v>6730</v>
      </c>
      <c r="AT3886" t="s">
        <v>58</v>
      </c>
      <c r="AU3886" t="s">
        <v>68</v>
      </c>
      <c r="AV3886" t="s">
        <v>69</v>
      </c>
      <c r="AW3886" s="1">
        <v>27702</v>
      </c>
      <c r="AX3886">
        <v>2</v>
      </c>
    </row>
    <row r="3887" spans="1:50">
      <c r="A3887">
        <v>155385</v>
      </c>
      <c r="B3887" t="str">
        <f>"064279529"</f>
        <v>064279529</v>
      </c>
      <c r="C3887" t="s">
        <v>50</v>
      </c>
      <c r="D3887" t="s">
        <v>1877</v>
      </c>
      <c r="E3887" t="s">
        <v>155</v>
      </c>
      <c r="F3887" t="s">
        <v>920</v>
      </c>
      <c r="G3887" t="s">
        <v>787</v>
      </c>
      <c r="H3887" t="str">
        <f>"ΣΤΕΡΝΕΣ ΑΚΡΩΤΗΡΙΟΥ ΑΚΡΩΤΗΡΙ ΧΑΝΙΩΝ"</f>
        <v>ΣΤΕΡΝΕΣ ΑΚΡΩΤΗΡΙΟΥ ΑΚΡΩΤΗΡΙ ΧΑΝΙΩΝ</v>
      </c>
      <c r="I3887">
        <v>73100</v>
      </c>
      <c r="J3887">
        <v>2821096738</v>
      </c>
      <c r="K3887">
        <v>6974369259</v>
      </c>
      <c r="N3887" t="s">
        <v>337</v>
      </c>
      <c r="O3887" t="s">
        <v>338</v>
      </c>
      <c r="R3887" t="s">
        <v>57</v>
      </c>
      <c r="S3887">
        <v>14</v>
      </c>
      <c r="T3887">
        <v>232</v>
      </c>
      <c r="U3887" s="1">
        <v>32468</v>
      </c>
      <c r="V3887" t="s">
        <v>6729</v>
      </c>
      <c r="W3887" t="s">
        <v>6730</v>
      </c>
      <c r="X3887" t="s">
        <v>58</v>
      </c>
      <c r="Y3887">
        <v>18</v>
      </c>
      <c r="Z3887" t="s">
        <v>59</v>
      </c>
      <c r="AA3887" t="s">
        <v>59</v>
      </c>
      <c r="AB3887" t="s">
        <v>59</v>
      </c>
      <c r="AC3887" t="s">
        <v>59</v>
      </c>
      <c r="AD3887" t="s">
        <v>59</v>
      </c>
      <c r="AF3887" s="1">
        <v>32497</v>
      </c>
      <c r="AG3887" t="s">
        <v>125</v>
      </c>
      <c r="AH3887" t="s">
        <v>126</v>
      </c>
      <c r="AI3887" t="str">
        <f>"5001075"</f>
        <v>5001075</v>
      </c>
      <c r="AJ3887" t="s">
        <v>6768</v>
      </c>
      <c r="AK3887">
        <v>2821064200</v>
      </c>
      <c r="AL3887" t="s">
        <v>6769</v>
      </c>
      <c r="AM3887" t="s">
        <v>88</v>
      </c>
      <c r="AN3887" t="s">
        <v>88</v>
      </c>
      <c r="AO3887" t="s">
        <v>6770</v>
      </c>
      <c r="AP3887" t="s">
        <v>6771</v>
      </c>
      <c r="AQ3887">
        <v>1</v>
      </c>
      <c r="AR3887" t="s">
        <v>6729</v>
      </c>
      <c r="AS3887" t="s">
        <v>6730</v>
      </c>
      <c r="AT3887" t="s">
        <v>58</v>
      </c>
      <c r="AU3887" t="s">
        <v>68</v>
      </c>
      <c r="AV3887" t="s">
        <v>69</v>
      </c>
      <c r="AW3887" s="1">
        <v>23561</v>
      </c>
      <c r="AX3887">
        <v>2</v>
      </c>
    </row>
    <row r="3888" spans="1:50">
      <c r="B3888" t="str">
        <f>"110872243"</f>
        <v>110872243</v>
      </c>
      <c r="C3888" t="s">
        <v>50</v>
      </c>
      <c r="D3888" t="s">
        <v>1877</v>
      </c>
      <c r="E3888" t="s">
        <v>610</v>
      </c>
      <c r="F3888" t="s">
        <v>95</v>
      </c>
      <c r="G3888" t="s">
        <v>484</v>
      </c>
      <c r="H3888" t="str">
        <f>"ΚΙΣΣΑΜΟΣ "</f>
        <v xml:space="preserve">ΚΙΣΣΑΜΟΣ </v>
      </c>
      <c r="I3888">
        <v>73400</v>
      </c>
      <c r="J3888">
        <v>2822023173</v>
      </c>
      <c r="K3888">
        <v>6974710375</v>
      </c>
      <c r="M3888" t="s">
        <v>7367</v>
      </c>
      <c r="N3888" t="s">
        <v>536</v>
      </c>
      <c r="O3888" t="s">
        <v>537</v>
      </c>
      <c r="R3888" t="s">
        <v>159</v>
      </c>
      <c r="S3888">
        <v>3</v>
      </c>
      <c r="T3888" t="s">
        <v>344</v>
      </c>
      <c r="U3888" s="1">
        <v>43348</v>
      </c>
      <c r="V3888" t="s">
        <v>6729</v>
      </c>
      <c r="W3888" t="s">
        <v>6730</v>
      </c>
      <c r="X3888" t="s">
        <v>58</v>
      </c>
      <c r="Y3888">
        <v>23</v>
      </c>
      <c r="Z3888" t="s">
        <v>59</v>
      </c>
      <c r="AA3888" t="s">
        <v>59</v>
      </c>
      <c r="AB3888" t="s">
        <v>59</v>
      </c>
      <c r="AC3888" t="s">
        <v>59</v>
      </c>
      <c r="AD3888" t="s">
        <v>59</v>
      </c>
      <c r="AF3888" s="1">
        <v>43348</v>
      </c>
      <c r="AG3888" t="s">
        <v>125</v>
      </c>
      <c r="AH3888" t="s">
        <v>126</v>
      </c>
      <c r="AI3888" t="str">
        <f>"5004010"</f>
        <v>5004010</v>
      </c>
      <c r="AJ3888" t="s">
        <v>7166</v>
      </c>
      <c r="AK3888">
        <v>2822022067</v>
      </c>
      <c r="AL3888" t="s">
        <v>7167</v>
      </c>
      <c r="AM3888" t="s">
        <v>88</v>
      </c>
      <c r="AN3888" t="s">
        <v>6744</v>
      </c>
      <c r="AO3888" t="s">
        <v>6744</v>
      </c>
      <c r="AP3888" t="s">
        <v>6744</v>
      </c>
      <c r="AQ3888">
        <v>1</v>
      </c>
      <c r="AR3888" t="s">
        <v>6729</v>
      </c>
      <c r="AS3888" t="s">
        <v>6730</v>
      </c>
      <c r="AT3888" t="s">
        <v>58</v>
      </c>
      <c r="AU3888" t="s">
        <v>350</v>
      </c>
      <c r="AV3888" t="s">
        <v>132</v>
      </c>
      <c r="AW3888" s="1">
        <v>29729</v>
      </c>
      <c r="AX3888">
        <v>2</v>
      </c>
    </row>
    <row r="3889" spans="1:50">
      <c r="A3889">
        <v>203976</v>
      </c>
      <c r="B3889" t="str">
        <f>"075920818"</f>
        <v>075920818</v>
      </c>
      <c r="C3889" t="s">
        <v>105</v>
      </c>
      <c r="D3889" t="s">
        <v>7368</v>
      </c>
      <c r="E3889" t="s">
        <v>7369</v>
      </c>
      <c r="F3889" t="s">
        <v>450</v>
      </c>
      <c r="G3889" t="s">
        <v>143</v>
      </c>
      <c r="H3889" t="str">
        <f>"ΣΤΕΦΑΝΟΥ ΛΕΚΑΝΙΔΗ 7-11 ΧΑΝΙΑ"</f>
        <v>ΣΤΕΦΑΝΟΥ ΛΕΚΑΝΙΔΗ 7-11 ΧΑΝΙΑ</v>
      </c>
      <c r="I3889">
        <v>73100</v>
      </c>
      <c r="J3889">
        <v>2821501202</v>
      </c>
      <c r="K3889">
        <v>6974650819</v>
      </c>
      <c r="L3889">
        <v>2237051115</v>
      </c>
      <c r="M3889" t="s">
        <v>7370</v>
      </c>
      <c r="N3889" t="s">
        <v>176</v>
      </c>
      <c r="O3889" t="s">
        <v>177</v>
      </c>
      <c r="R3889" t="s">
        <v>57</v>
      </c>
      <c r="S3889">
        <v>8</v>
      </c>
      <c r="T3889">
        <v>231</v>
      </c>
      <c r="U3889" s="1">
        <v>38230</v>
      </c>
      <c r="V3889" t="s">
        <v>6729</v>
      </c>
      <c r="W3889" t="s">
        <v>6730</v>
      </c>
      <c r="X3889" t="s">
        <v>58</v>
      </c>
      <c r="Y3889">
        <v>20</v>
      </c>
      <c r="Z3889" t="s">
        <v>59</v>
      </c>
      <c r="AA3889" t="s">
        <v>59</v>
      </c>
      <c r="AB3889" t="s">
        <v>59</v>
      </c>
      <c r="AC3889" t="s">
        <v>59</v>
      </c>
      <c r="AD3889" t="s">
        <v>59</v>
      </c>
      <c r="AF3889" s="1">
        <v>38236</v>
      </c>
      <c r="AG3889" t="s">
        <v>148</v>
      </c>
      <c r="AH3889" t="s">
        <v>149</v>
      </c>
      <c r="AI3889" t="str">
        <f>"5056010"</f>
        <v>5056010</v>
      </c>
      <c r="AJ3889" t="s">
        <v>6762</v>
      </c>
      <c r="AK3889">
        <v>2824031210</v>
      </c>
      <c r="AL3889" t="s">
        <v>6763</v>
      </c>
      <c r="AM3889" t="s">
        <v>88</v>
      </c>
      <c r="AN3889" t="s">
        <v>6764</v>
      </c>
      <c r="AO3889" t="s">
        <v>6765</v>
      </c>
      <c r="AP3889" t="s">
        <v>6765</v>
      </c>
      <c r="AQ3889">
        <v>1</v>
      </c>
      <c r="AR3889" t="s">
        <v>6729</v>
      </c>
      <c r="AS3889" t="s">
        <v>6730</v>
      </c>
      <c r="AT3889" t="s">
        <v>58</v>
      </c>
      <c r="AU3889" t="s">
        <v>68</v>
      </c>
      <c r="AV3889" t="s">
        <v>69</v>
      </c>
      <c r="AW3889" s="1">
        <v>25825</v>
      </c>
      <c r="AX3889">
        <v>2</v>
      </c>
    </row>
    <row r="3890" spans="1:50">
      <c r="A3890">
        <v>203294</v>
      </c>
      <c r="B3890" t="str">
        <f>"036201262"</f>
        <v>036201262</v>
      </c>
      <c r="C3890" t="s">
        <v>50</v>
      </c>
      <c r="D3890" t="s">
        <v>7371</v>
      </c>
      <c r="E3890" t="s">
        <v>1694</v>
      </c>
      <c r="F3890" t="s">
        <v>7372</v>
      </c>
      <c r="G3890" t="s">
        <v>83</v>
      </c>
      <c r="H3890" t="str">
        <f>"ΠΙΜΠΛΗ 36 ΧΑΝΙΑ"</f>
        <v>ΠΙΜΠΛΗ 36 ΧΑΝΙΑ</v>
      </c>
      <c r="I3890">
        <v>73134</v>
      </c>
      <c r="J3890">
        <v>2551023442</v>
      </c>
      <c r="K3890">
        <v>6972301980</v>
      </c>
      <c r="N3890" t="s">
        <v>306</v>
      </c>
      <c r="O3890" t="s">
        <v>307</v>
      </c>
      <c r="R3890" t="s">
        <v>57</v>
      </c>
      <c r="S3890">
        <v>7</v>
      </c>
      <c r="T3890">
        <v>231</v>
      </c>
      <c r="U3890" s="1">
        <v>38230</v>
      </c>
      <c r="V3890" t="s">
        <v>6729</v>
      </c>
      <c r="W3890" t="s">
        <v>6730</v>
      </c>
      <c r="X3890" t="s">
        <v>58</v>
      </c>
      <c r="Y3890">
        <v>20</v>
      </c>
      <c r="Z3890" t="s">
        <v>59</v>
      </c>
      <c r="AA3890" t="s">
        <v>59</v>
      </c>
      <c r="AB3890" t="s">
        <v>59</v>
      </c>
      <c r="AC3890" t="s">
        <v>59</v>
      </c>
      <c r="AD3890" t="s">
        <v>59</v>
      </c>
      <c r="AF3890" s="1">
        <v>38233</v>
      </c>
      <c r="AG3890" t="s">
        <v>148</v>
      </c>
      <c r="AH3890" t="s">
        <v>149</v>
      </c>
      <c r="AI3890" t="str">
        <f>"5051040"</f>
        <v>5051040</v>
      </c>
      <c r="AJ3890" t="s">
        <v>6811</v>
      </c>
      <c r="AK3890">
        <v>2821088007</v>
      </c>
      <c r="AL3890" t="s">
        <v>6812</v>
      </c>
      <c r="AM3890" t="s">
        <v>88</v>
      </c>
      <c r="AN3890" t="s">
        <v>88</v>
      </c>
      <c r="AO3890" t="s">
        <v>88</v>
      </c>
      <c r="AP3890" t="s">
        <v>88</v>
      </c>
      <c r="AQ3890">
        <v>1</v>
      </c>
      <c r="AR3890" t="s">
        <v>6729</v>
      </c>
      <c r="AS3890" t="s">
        <v>6730</v>
      </c>
      <c r="AT3890" t="s">
        <v>58</v>
      </c>
      <c r="AU3890" t="s">
        <v>68</v>
      </c>
      <c r="AV3890" t="s">
        <v>69</v>
      </c>
      <c r="AW3890" s="1">
        <v>22335</v>
      </c>
      <c r="AX3890">
        <v>2</v>
      </c>
    </row>
    <row r="3891" spans="1:50">
      <c r="A3891">
        <v>222151</v>
      </c>
      <c r="B3891" t="str">
        <f>"101562427"</f>
        <v>101562427</v>
      </c>
      <c r="C3891" t="s">
        <v>50</v>
      </c>
      <c r="D3891" t="s">
        <v>7373</v>
      </c>
      <c r="E3891" t="s">
        <v>237</v>
      </c>
      <c r="F3891" t="s">
        <v>760</v>
      </c>
      <c r="G3891" t="s">
        <v>610</v>
      </c>
      <c r="H3891" t="str">
        <f>"ΕΙΡΗΝΗΣ ΚΑΛΑΜΑΚΙ"</f>
        <v>ΕΙΡΗΝΗΣ ΚΑΛΑΜΑΚΙ</v>
      </c>
      <c r="I3891">
        <v>73100</v>
      </c>
      <c r="J3891">
        <v>2821032153</v>
      </c>
      <c r="K3891">
        <v>6947868340</v>
      </c>
      <c r="M3891" t="s">
        <v>7374</v>
      </c>
      <c r="N3891" t="s">
        <v>146</v>
      </c>
      <c r="O3891" t="s">
        <v>147</v>
      </c>
      <c r="R3891" t="s">
        <v>57</v>
      </c>
      <c r="S3891">
        <v>5</v>
      </c>
      <c r="T3891">
        <v>775</v>
      </c>
      <c r="U3891" s="1">
        <v>39680</v>
      </c>
      <c r="V3891" t="s">
        <v>6729</v>
      </c>
      <c r="W3891" t="s">
        <v>6730</v>
      </c>
      <c r="X3891" t="s">
        <v>58</v>
      </c>
      <c r="Y3891">
        <v>21</v>
      </c>
      <c r="Z3891" t="s">
        <v>59</v>
      </c>
      <c r="AA3891" t="s">
        <v>59</v>
      </c>
      <c r="AB3891" t="s">
        <v>59</v>
      </c>
      <c r="AC3891" t="s">
        <v>59</v>
      </c>
      <c r="AD3891" t="s">
        <v>59</v>
      </c>
      <c r="AF3891" s="1">
        <v>39682</v>
      </c>
      <c r="AG3891" t="s">
        <v>125</v>
      </c>
      <c r="AH3891" t="s">
        <v>126</v>
      </c>
      <c r="AI3891" t="str">
        <f>"5004020"</f>
        <v>5004020</v>
      </c>
      <c r="AJ3891" t="s">
        <v>6806</v>
      </c>
      <c r="AK3891">
        <v>2822022103</v>
      </c>
      <c r="AL3891" t="s">
        <v>6807</v>
      </c>
      <c r="AM3891" t="s">
        <v>88</v>
      </c>
      <c r="AN3891" t="s">
        <v>6744</v>
      </c>
      <c r="AO3891" t="s">
        <v>6744</v>
      </c>
      <c r="AP3891" t="s">
        <v>6744</v>
      </c>
      <c r="AQ3891">
        <v>1</v>
      </c>
      <c r="AR3891" t="s">
        <v>6729</v>
      </c>
      <c r="AS3891" t="s">
        <v>6730</v>
      </c>
      <c r="AT3891" t="s">
        <v>58</v>
      </c>
      <c r="AU3891" t="s">
        <v>68</v>
      </c>
      <c r="AV3891" t="s">
        <v>69</v>
      </c>
      <c r="AW3891" s="1">
        <v>26879</v>
      </c>
      <c r="AX3891">
        <v>2</v>
      </c>
    </row>
    <row r="3892" spans="1:50">
      <c r="A3892">
        <v>226516</v>
      </c>
      <c r="B3892" t="str">
        <f>"101588314"</f>
        <v>101588314</v>
      </c>
      <c r="C3892" t="s">
        <v>105</v>
      </c>
      <c r="D3892" t="s">
        <v>7375</v>
      </c>
      <c r="E3892" t="s">
        <v>166</v>
      </c>
      <c r="F3892" t="s">
        <v>2233</v>
      </c>
      <c r="G3892" t="s">
        <v>250</v>
      </c>
      <c r="H3892" t="str">
        <f>"1η ΠΑΡΟΔΟΣ ΡΟΥΜΕΛΙΩΤΑΚΗ ΧΑΝΙΑ"</f>
        <v>1η ΠΑΡΟΔΟΣ ΡΟΥΜΕΛΙΩΤΑΚΗ ΧΑΝΙΑ</v>
      </c>
      <c r="I3892">
        <v>73100</v>
      </c>
      <c r="J3892">
        <v>2821044521</v>
      </c>
      <c r="K3892">
        <v>6973347483</v>
      </c>
      <c r="M3892" t="s">
        <v>7376</v>
      </c>
      <c r="N3892" t="s">
        <v>146</v>
      </c>
      <c r="O3892" t="s">
        <v>147</v>
      </c>
      <c r="R3892" t="s">
        <v>57</v>
      </c>
      <c r="S3892">
        <v>5</v>
      </c>
      <c r="T3892">
        <v>654</v>
      </c>
      <c r="U3892" s="1">
        <v>40043</v>
      </c>
      <c r="V3892" t="s">
        <v>6729</v>
      </c>
      <c r="W3892" t="s">
        <v>6730</v>
      </c>
      <c r="X3892" t="s">
        <v>58</v>
      </c>
      <c r="Y3892">
        <v>21</v>
      </c>
      <c r="Z3892" t="s">
        <v>59</v>
      </c>
      <c r="AA3892" t="s">
        <v>59</v>
      </c>
      <c r="AB3892" t="s">
        <v>59</v>
      </c>
      <c r="AC3892" t="s">
        <v>59</v>
      </c>
      <c r="AD3892" t="s">
        <v>59</v>
      </c>
      <c r="AF3892" s="1">
        <v>40043</v>
      </c>
      <c r="AG3892" t="s">
        <v>148</v>
      </c>
      <c r="AH3892" t="s">
        <v>149</v>
      </c>
      <c r="AI3892" t="str">
        <f>"5054010"</f>
        <v>5054010</v>
      </c>
      <c r="AJ3892" t="s">
        <v>6815</v>
      </c>
      <c r="AK3892">
        <v>2822022671</v>
      </c>
      <c r="AL3892" t="s">
        <v>6816</v>
      </c>
      <c r="AM3892" t="s">
        <v>88</v>
      </c>
      <c r="AN3892" t="s">
        <v>6744</v>
      </c>
      <c r="AO3892" t="s">
        <v>6744</v>
      </c>
      <c r="AP3892" t="s">
        <v>6744</v>
      </c>
      <c r="AQ3892">
        <v>1</v>
      </c>
      <c r="AR3892" t="s">
        <v>6729</v>
      </c>
      <c r="AS3892" t="s">
        <v>6730</v>
      </c>
      <c r="AT3892" t="s">
        <v>58</v>
      </c>
      <c r="AU3892" t="s">
        <v>68</v>
      </c>
      <c r="AV3892" t="s">
        <v>69</v>
      </c>
      <c r="AW3892" s="1">
        <v>28599</v>
      </c>
      <c r="AX3892">
        <v>2</v>
      </c>
    </row>
    <row r="3893" spans="1:50">
      <c r="A3893">
        <v>183377</v>
      </c>
      <c r="B3893" t="str">
        <f>"039653002"</f>
        <v>039653002</v>
      </c>
      <c r="C3893" t="s">
        <v>50</v>
      </c>
      <c r="D3893" t="s">
        <v>7377</v>
      </c>
      <c r="E3893" t="s">
        <v>52</v>
      </c>
      <c r="F3893" t="s">
        <v>609</v>
      </c>
      <c r="G3893" t="s">
        <v>73</v>
      </c>
      <c r="H3893" t="str">
        <f>"Κ. ΓΙΑΜΠΟΥΔΑΚΗ 6Α ΧΑΝΙΑ"</f>
        <v>Κ. ΓΙΑΜΠΟΥΔΑΚΗ 6Α ΧΑΝΙΑ</v>
      </c>
      <c r="I3893">
        <v>73100</v>
      </c>
      <c r="J3893">
        <v>2821074665</v>
      </c>
      <c r="K3893">
        <v>6949134802</v>
      </c>
      <c r="M3893" t="s">
        <v>7378</v>
      </c>
      <c r="N3893" t="s">
        <v>146</v>
      </c>
      <c r="O3893" t="s">
        <v>147</v>
      </c>
      <c r="R3893" t="s">
        <v>57</v>
      </c>
      <c r="S3893">
        <v>11</v>
      </c>
      <c r="T3893">
        <v>177</v>
      </c>
      <c r="U3893" s="1">
        <v>36403</v>
      </c>
      <c r="V3893" t="s">
        <v>6729</v>
      </c>
      <c r="W3893" t="s">
        <v>6730</v>
      </c>
      <c r="X3893" t="s">
        <v>58</v>
      </c>
      <c r="Y3893">
        <v>18</v>
      </c>
      <c r="Z3893" t="s">
        <v>59</v>
      </c>
      <c r="AA3893" t="s">
        <v>59</v>
      </c>
      <c r="AB3893" t="s">
        <v>59</v>
      </c>
      <c r="AC3893" t="s">
        <v>59</v>
      </c>
      <c r="AD3893" t="s">
        <v>59</v>
      </c>
      <c r="AF3893" s="1">
        <v>36409</v>
      </c>
      <c r="AG3893" t="s">
        <v>125</v>
      </c>
      <c r="AH3893" t="s">
        <v>126</v>
      </c>
      <c r="AI3893" t="str">
        <f>"5001060"</f>
        <v>5001060</v>
      </c>
      <c r="AJ3893" t="s">
        <v>6914</v>
      </c>
      <c r="AK3893">
        <v>2821091763</v>
      </c>
      <c r="AL3893" t="s">
        <v>6915</v>
      </c>
      <c r="AM3893" t="s">
        <v>88</v>
      </c>
      <c r="AN3893" t="s">
        <v>88</v>
      </c>
      <c r="AO3893" t="s">
        <v>88</v>
      </c>
      <c r="AP3893" t="s">
        <v>88</v>
      </c>
      <c r="AQ3893">
        <v>1</v>
      </c>
      <c r="AR3893" t="s">
        <v>6729</v>
      </c>
      <c r="AS3893" t="s">
        <v>6730</v>
      </c>
      <c r="AT3893" t="s">
        <v>58</v>
      </c>
      <c r="AU3893" t="s">
        <v>68</v>
      </c>
      <c r="AV3893" t="s">
        <v>69</v>
      </c>
      <c r="AW3893" s="1">
        <v>24217</v>
      </c>
      <c r="AX3893">
        <v>2</v>
      </c>
    </row>
    <row r="3894" spans="1:50">
      <c r="A3894">
        <v>159233</v>
      </c>
      <c r="B3894" t="str">
        <f>"051850147"</f>
        <v>051850147</v>
      </c>
      <c r="C3894" t="s">
        <v>50</v>
      </c>
      <c r="D3894" t="s">
        <v>7379</v>
      </c>
      <c r="E3894" t="s">
        <v>7380</v>
      </c>
      <c r="F3894" t="s">
        <v>106</v>
      </c>
      <c r="G3894" t="s">
        <v>93</v>
      </c>
      <c r="H3894" t="str">
        <f>" "</f>
        <v xml:space="preserve"> </v>
      </c>
      <c r="J3894">
        <v>2821098563</v>
      </c>
      <c r="K3894">
        <v>6908739880</v>
      </c>
      <c r="N3894" t="s">
        <v>146</v>
      </c>
      <c r="O3894" t="s">
        <v>147</v>
      </c>
      <c r="R3894" t="s">
        <v>57</v>
      </c>
      <c r="S3894">
        <v>15</v>
      </c>
      <c r="T3894">
        <v>161</v>
      </c>
      <c r="U3894" s="1">
        <v>33119</v>
      </c>
      <c r="V3894" t="s">
        <v>6729</v>
      </c>
      <c r="W3894" t="s">
        <v>6730</v>
      </c>
      <c r="X3894" t="s">
        <v>58</v>
      </c>
      <c r="Y3894">
        <v>18</v>
      </c>
      <c r="Z3894" t="s">
        <v>59</v>
      </c>
      <c r="AA3894" t="s">
        <v>59</v>
      </c>
      <c r="AB3894" t="s">
        <v>59</v>
      </c>
      <c r="AC3894" t="s">
        <v>59</v>
      </c>
      <c r="AD3894" t="s">
        <v>59</v>
      </c>
      <c r="AF3894" s="1">
        <v>33122</v>
      </c>
      <c r="AG3894" t="s">
        <v>148</v>
      </c>
      <c r="AH3894" t="s">
        <v>149</v>
      </c>
      <c r="AI3894" t="str">
        <f>"5051030"</f>
        <v>5051030</v>
      </c>
      <c r="AJ3894" t="s">
        <v>6760</v>
      </c>
      <c r="AK3894">
        <v>2821027533</v>
      </c>
      <c r="AL3894" t="s">
        <v>6761</v>
      </c>
      <c r="AM3894" t="s">
        <v>88</v>
      </c>
      <c r="AN3894" t="s">
        <v>88</v>
      </c>
      <c r="AO3894" t="s">
        <v>88</v>
      </c>
      <c r="AP3894" t="s">
        <v>88</v>
      </c>
      <c r="AQ3894">
        <v>1</v>
      </c>
      <c r="AR3894" t="s">
        <v>6729</v>
      </c>
      <c r="AS3894" t="s">
        <v>6730</v>
      </c>
      <c r="AT3894" t="s">
        <v>58</v>
      </c>
      <c r="AU3894" t="s">
        <v>68</v>
      </c>
      <c r="AV3894" t="s">
        <v>69</v>
      </c>
      <c r="AW3894" s="1">
        <v>23004</v>
      </c>
      <c r="AX3894">
        <v>2</v>
      </c>
    </row>
    <row r="3895" spans="1:50">
      <c r="A3895">
        <v>222163</v>
      </c>
      <c r="B3895" t="str">
        <f>"070675623"</f>
        <v>070675623</v>
      </c>
      <c r="C3895" t="s">
        <v>50</v>
      </c>
      <c r="D3895" t="s">
        <v>7381</v>
      </c>
      <c r="E3895" t="s">
        <v>1418</v>
      </c>
      <c r="F3895" t="s">
        <v>309</v>
      </c>
      <c r="G3895" t="s">
        <v>801</v>
      </c>
      <c r="H3895" t="str">
        <f>"Ν. ΜΥΣΤΙΚΟΥ 3 "</f>
        <v xml:space="preserve">Ν. ΜΥΣΤΙΚΟΥ 3 </v>
      </c>
      <c r="I3895">
        <v>13341</v>
      </c>
      <c r="J3895">
        <v>2102483292</v>
      </c>
      <c r="K3895">
        <v>6977364319</v>
      </c>
      <c r="M3895" t="s">
        <v>7382</v>
      </c>
      <c r="N3895" t="s">
        <v>146</v>
      </c>
      <c r="O3895" t="s">
        <v>147</v>
      </c>
      <c r="R3895" t="s">
        <v>57</v>
      </c>
      <c r="S3895">
        <v>5</v>
      </c>
      <c r="T3895">
        <v>775</v>
      </c>
      <c r="U3895" s="1">
        <v>39680</v>
      </c>
      <c r="V3895" t="s">
        <v>6729</v>
      </c>
      <c r="W3895" t="s">
        <v>6730</v>
      </c>
      <c r="X3895" t="s">
        <v>58</v>
      </c>
      <c r="Y3895">
        <v>21</v>
      </c>
      <c r="Z3895" t="s">
        <v>59</v>
      </c>
      <c r="AA3895" t="s">
        <v>59</v>
      </c>
      <c r="AB3895" t="s">
        <v>59</v>
      </c>
      <c r="AC3895" t="s">
        <v>59</v>
      </c>
      <c r="AD3895" t="s">
        <v>59</v>
      </c>
      <c r="AF3895" s="1">
        <v>39685</v>
      </c>
      <c r="AG3895" t="s">
        <v>148</v>
      </c>
      <c r="AH3895" t="s">
        <v>149</v>
      </c>
      <c r="AI3895" t="str">
        <f>"5054010"</f>
        <v>5054010</v>
      </c>
      <c r="AJ3895" t="s">
        <v>6815</v>
      </c>
      <c r="AK3895">
        <v>2822022671</v>
      </c>
      <c r="AL3895" t="s">
        <v>6816</v>
      </c>
      <c r="AM3895" t="s">
        <v>88</v>
      </c>
      <c r="AN3895" t="s">
        <v>6744</v>
      </c>
      <c r="AO3895" t="s">
        <v>6744</v>
      </c>
      <c r="AP3895" t="s">
        <v>6744</v>
      </c>
      <c r="AQ3895">
        <v>1</v>
      </c>
      <c r="AR3895" t="s">
        <v>6729</v>
      </c>
      <c r="AS3895" t="s">
        <v>6730</v>
      </c>
      <c r="AT3895" t="s">
        <v>58</v>
      </c>
      <c r="AU3895" t="s">
        <v>68</v>
      </c>
      <c r="AV3895" t="s">
        <v>69</v>
      </c>
      <c r="AW3895" s="1">
        <v>29381</v>
      </c>
      <c r="AX3895">
        <v>2</v>
      </c>
    </row>
    <row r="3896" spans="1:50">
      <c r="A3896">
        <v>175441</v>
      </c>
      <c r="B3896" t="str">
        <f>"122955064"</f>
        <v>122955064</v>
      </c>
      <c r="C3896" t="s">
        <v>50</v>
      </c>
      <c r="D3896" t="s">
        <v>7383</v>
      </c>
      <c r="E3896" t="s">
        <v>263</v>
      </c>
      <c r="F3896" t="s">
        <v>166</v>
      </c>
      <c r="G3896" t="s">
        <v>52</v>
      </c>
      <c r="H3896" t="str">
        <f>" "</f>
        <v xml:space="preserve"> </v>
      </c>
      <c r="N3896" t="s">
        <v>146</v>
      </c>
      <c r="O3896" t="s">
        <v>147</v>
      </c>
      <c r="R3896" t="s">
        <v>57</v>
      </c>
      <c r="S3896">
        <v>12</v>
      </c>
      <c r="T3896">
        <v>180</v>
      </c>
      <c r="U3896" s="1">
        <v>35674</v>
      </c>
      <c r="V3896" t="s">
        <v>6729</v>
      </c>
      <c r="W3896" t="s">
        <v>6730</v>
      </c>
      <c r="X3896" t="s">
        <v>58</v>
      </c>
      <c r="Y3896">
        <v>18</v>
      </c>
      <c r="Z3896" t="s">
        <v>59</v>
      </c>
      <c r="AA3896" t="s">
        <v>59</v>
      </c>
      <c r="AB3896" t="s">
        <v>59</v>
      </c>
      <c r="AC3896" t="s">
        <v>59</v>
      </c>
      <c r="AD3896" t="s">
        <v>59</v>
      </c>
      <c r="AF3896" s="1">
        <v>35675</v>
      </c>
      <c r="AG3896" t="s">
        <v>125</v>
      </c>
      <c r="AH3896" t="s">
        <v>126</v>
      </c>
      <c r="AI3896" t="str">
        <f>"5012010"</f>
        <v>5012010</v>
      </c>
      <c r="AJ3896" t="s">
        <v>6794</v>
      </c>
      <c r="AK3896">
        <v>2821033195</v>
      </c>
      <c r="AL3896" t="s">
        <v>6795</v>
      </c>
      <c r="AM3896" t="s">
        <v>88</v>
      </c>
      <c r="AN3896" t="s">
        <v>88</v>
      </c>
      <c r="AO3896" t="s">
        <v>6785</v>
      </c>
      <c r="AP3896" t="s">
        <v>6786</v>
      </c>
      <c r="AQ3896">
        <v>1</v>
      </c>
      <c r="AR3896" t="s">
        <v>6729</v>
      </c>
      <c r="AS3896" t="s">
        <v>6730</v>
      </c>
      <c r="AT3896" t="s">
        <v>58</v>
      </c>
      <c r="AU3896" t="s">
        <v>68</v>
      </c>
      <c r="AV3896" t="s">
        <v>69</v>
      </c>
      <c r="AW3896" s="1">
        <v>24089</v>
      </c>
      <c r="AX3896">
        <v>2</v>
      </c>
    </row>
    <row r="3897" spans="1:50">
      <c r="A3897">
        <v>210506</v>
      </c>
      <c r="B3897" t="str">
        <f>"050763828"</f>
        <v>050763828</v>
      </c>
      <c r="C3897" t="s">
        <v>50</v>
      </c>
      <c r="D3897" t="s">
        <v>7384</v>
      </c>
      <c r="E3897" t="s">
        <v>83</v>
      </c>
      <c r="F3897" t="s">
        <v>450</v>
      </c>
      <c r="G3897" t="s">
        <v>7385</v>
      </c>
      <c r="H3897" t="str">
        <f>"ΑΛΜΥΡΙΔΑΣ 67 "</f>
        <v xml:space="preserve">ΑΛΜΥΡΙΔΑΣ 67 </v>
      </c>
      <c r="I3897">
        <v>73133</v>
      </c>
      <c r="J3897">
        <v>2107718171</v>
      </c>
      <c r="K3897">
        <v>6972135034</v>
      </c>
      <c r="N3897" t="s">
        <v>306</v>
      </c>
      <c r="O3897" t="s">
        <v>307</v>
      </c>
      <c r="R3897" t="s">
        <v>57</v>
      </c>
      <c r="S3897">
        <v>8</v>
      </c>
      <c r="T3897" t="s">
        <v>7386</v>
      </c>
      <c r="U3897" s="1">
        <v>38617</v>
      </c>
      <c r="V3897" t="s">
        <v>6729</v>
      </c>
      <c r="W3897" t="s">
        <v>6730</v>
      </c>
      <c r="X3897" t="s">
        <v>58</v>
      </c>
      <c r="Y3897">
        <v>20</v>
      </c>
      <c r="Z3897" t="s">
        <v>59</v>
      </c>
      <c r="AA3897" t="s">
        <v>59</v>
      </c>
      <c r="AB3897" t="s">
        <v>59</v>
      </c>
      <c r="AC3897" t="s">
        <v>59</v>
      </c>
      <c r="AD3897" t="s">
        <v>59</v>
      </c>
      <c r="AF3897" s="1">
        <v>38621</v>
      </c>
      <c r="AG3897" t="s">
        <v>148</v>
      </c>
      <c r="AH3897" t="s">
        <v>149</v>
      </c>
      <c r="AI3897" t="str">
        <f>"5056010"</f>
        <v>5056010</v>
      </c>
      <c r="AJ3897" t="s">
        <v>6762</v>
      </c>
      <c r="AK3897">
        <v>2824031210</v>
      </c>
      <c r="AL3897" t="s">
        <v>6763</v>
      </c>
      <c r="AM3897" t="s">
        <v>88</v>
      </c>
      <c r="AN3897" t="s">
        <v>6764</v>
      </c>
      <c r="AO3897" t="s">
        <v>6765</v>
      </c>
      <c r="AP3897" t="s">
        <v>6765</v>
      </c>
      <c r="AQ3897">
        <v>1</v>
      </c>
      <c r="AR3897" t="s">
        <v>6729</v>
      </c>
      <c r="AS3897" t="s">
        <v>6730</v>
      </c>
      <c r="AT3897" t="s">
        <v>58</v>
      </c>
      <c r="AU3897" t="s">
        <v>68</v>
      </c>
      <c r="AV3897" t="s">
        <v>69</v>
      </c>
      <c r="AW3897" s="1">
        <v>26833</v>
      </c>
      <c r="AX3897">
        <v>2</v>
      </c>
    </row>
    <row r="3898" spans="1:50">
      <c r="B3898" t="str">
        <f>"150951070"</f>
        <v>150951070</v>
      </c>
      <c r="C3898" t="s">
        <v>50</v>
      </c>
      <c r="D3898" t="s">
        <v>7387</v>
      </c>
      <c r="E3898" t="s">
        <v>1179</v>
      </c>
      <c r="F3898" t="s">
        <v>459</v>
      </c>
      <c r="G3898" t="s">
        <v>476</v>
      </c>
      <c r="H3898" t="str">
        <f>" "</f>
        <v xml:space="preserve"> </v>
      </c>
      <c r="N3898" t="s">
        <v>536</v>
      </c>
      <c r="O3898" t="s">
        <v>537</v>
      </c>
      <c r="R3898" t="s">
        <v>121</v>
      </c>
      <c r="S3898">
        <v>4</v>
      </c>
      <c r="T3898" t="s">
        <v>3059</v>
      </c>
      <c r="U3898" s="1">
        <v>43348</v>
      </c>
      <c r="V3898" t="s">
        <v>6729</v>
      </c>
      <c r="W3898" t="s">
        <v>6730</v>
      </c>
      <c r="X3898" t="s">
        <v>58</v>
      </c>
      <c r="Y3898">
        <v>23</v>
      </c>
      <c r="Z3898" t="s">
        <v>59</v>
      </c>
      <c r="AA3898" t="s">
        <v>59</v>
      </c>
      <c r="AB3898" t="s">
        <v>59</v>
      </c>
      <c r="AC3898" t="s">
        <v>59</v>
      </c>
      <c r="AD3898" t="s">
        <v>59</v>
      </c>
      <c r="AF3898" s="1">
        <v>43348</v>
      </c>
      <c r="AG3898" t="s">
        <v>60</v>
      </c>
      <c r="AH3898" t="s">
        <v>61</v>
      </c>
      <c r="AI3898" t="str">
        <f>"9000657"</f>
        <v>9000657</v>
      </c>
      <c r="AJ3898" t="s">
        <v>86</v>
      </c>
      <c r="AK3898">
        <v>2821054390</v>
      </c>
      <c r="AL3898" t="s">
        <v>87</v>
      </c>
      <c r="AM3898" t="s">
        <v>88</v>
      </c>
      <c r="AN3898" t="s">
        <v>88</v>
      </c>
      <c r="AO3898" t="s">
        <v>88</v>
      </c>
      <c r="AP3898" t="s">
        <v>88</v>
      </c>
      <c r="AR3898" t="s">
        <v>89</v>
      </c>
      <c r="AS3898" t="s">
        <v>90</v>
      </c>
      <c r="AT3898" t="s">
        <v>58</v>
      </c>
      <c r="AU3898" t="s">
        <v>350</v>
      </c>
      <c r="AV3898" t="s">
        <v>132</v>
      </c>
      <c r="AW3898" s="1">
        <v>30973</v>
      </c>
      <c r="AX3898">
        <v>0</v>
      </c>
    </row>
    <row r="3899" spans="1:50">
      <c r="B3899" t="str">
        <f>"120229949"</f>
        <v>120229949</v>
      </c>
      <c r="C3899" t="s">
        <v>50</v>
      </c>
      <c r="D3899" t="s">
        <v>7388</v>
      </c>
      <c r="E3899" t="s">
        <v>600</v>
      </c>
      <c r="F3899" t="s">
        <v>166</v>
      </c>
      <c r="H3899" t="str">
        <f>" "</f>
        <v xml:space="preserve"> </v>
      </c>
      <c r="J3899">
        <v>2821046432</v>
      </c>
      <c r="K3899">
        <v>6945656956</v>
      </c>
      <c r="M3899" t="s">
        <v>7389</v>
      </c>
      <c r="N3899" t="s">
        <v>246</v>
      </c>
      <c r="O3899" t="s">
        <v>247</v>
      </c>
      <c r="R3899" t="s">
        <v>159</v>
      </c>
      <c r="S3899">
        <v>3</v>
      </c>
      <c r="T3899" t="s">
        <v>416</v>
      </c>
      <c r="U3899" s="1">
        <v>43349</v>
      </c>
      <c r="V3899" t="s">
        <v>6729</v>
      </c>
      <c r="W3899" t="s">
        <v>6730</v>
      </c>
      <c r="X3899" t="s">
        <v>58</v>
      </c>
      <c r="Y3899">
        <v>23</v>
      </c>
      <c r="Z3899" t="s">
        <v>59</v>
      </c>
      <c r="AA3899" t="s">
        <v>59</v>
      </c>
      <c r="AB3899" t="s">
        <v>59</v>
      </c>
      <c r="AC3899" t="s">
        <v>59</v>
      </c>
      <c r="AD3899" t="s">
        <v>59</v>
      </c>
      <c r="AF3899" s="1">
        <v>43349</v>
      </c>
      <c r="AG3899" t="s">
        <v>148</v>
      </c>
      <c r="AH3899" t="s">
        <v>149</v>
      </c>
      <c r="AI3899" t="str">
        <f>"5059010"</f>
        <v>5059010</v>
      </c>
      <c r="AJ3899" t="s">
        <v>6883</v>
      </c>
      <c r="AK3899">
        <v>2821077166</v>
      </c>
      <c r="AL3899" t="s">
        <v>6884</v>
      </c>
      <c r="AM3899" t="s">
        <v>88</v>
      </c>
      <c r="AN3899" t="s">
        <v>6764</v>
      </c>
      <c r="AO3899" t="s">
        <v>6885</v>
      </c>
      <c r="AP3899" t="s">
        <v>6886</v>
      </c>
      <c r="AQ3899">
        <v>1</v>
      </c>
      <c r="AR3899" t="s">
        <v>6729</v>
      </c>
      <c r="AS3899" t="s">
        <v>6730</v>
      </c>
      <c r="AT3899" t="s">
        <v>58</v>
      </c>
      <c r="AU3899" t="s">
        <v>419</v>
      </c>
      <c r="AV3899" t="s">
        <v>132</v>
      </c>
      <c r="AW3899" s="1">
        <v>30432</v>
      </c>
      <c r="AX3899">
        <v>2</v>
      </c>
    </row>
    <row r="3900" spans="1:50">
      <c r="A3900">
        <v>150351</v>
      </c>
      <c r="B3900" t="str">
        <f>"120202138"</f>
        <v>120202138</v>
      </c>
      <c r="C3900" t="s">
        <v>50</v>
      </c>
      <c r="D3900" t="s">
        <v>7390</v>
      </c>
      <c r="E3900" t="s">
        <v>83</v>
      </c>
      <c r="F3900" t="s">
        <v>84</v>
      </c>
      <c r="G3900" t="s">
        <v>6609</v>
      </c>
      <c r="H3900" t="str">
        <f>"Λ.ΚΑΡΑΜΑΝΛΗ 116 ΣΟΥΔΑ"</f>
        <v>Λ.ΚΑΡΑΜΑΝΛΗ 116 ΣΟΥΔΑ</v>
      </c>
      <c r="I3900">
        <v>73200</v>
      </c>
      <c r="J3900">
        <v>2821076780</v>
      </c>
      <c r="K3900">
        <v>6973605962</v>
      </c>
      <c r="M3900" t="s">
        <v>7391</v>
      </c>
      <c r="N3900" t="s">
        <v>146</v>
      </c>
      <c r="O3900" t="s">
        <v>147</v>
      </c>
      <c r="R3900" t="s">
        <v>57</v>
      </c>
      <c r="S3900">
        <v>16</v>
      </c>
      <c r="T3900">
        <v>170</v>
      </c>
      <c r="U3900" s="1">
        <v>32016</v>
      </c>
      <c r="V3900" t="s">
        <v>6729</v>
      </c>
      <c r="W3900" t="s">
        <v>6730</v>
      </c>
      <c r="X3900" t="s">
        <v>58</v>
      </c>
      <c r="Y3900">
        <v>18</v>
      </c>
      <c r="Z3900" t="s">
        <v>59</v>
      </c>
      <c r="AA3900" t="s">
        <v>59</v>
      </c>
      <c r="AB3900" t="s">
        <v>59</v>
      </c>
      <c r="AC3900" t="s">
        <v>59</v>
      </c>
      <c r="AD3900" t="s">
        <v>59</v>
      </c>
      <c r="AF3900" s="1">
        <v>32022</v>
      </c>
      <c r="AG3900" t="s">
        <v>125</v>
      </c>
      <c r="AH3900" t="s">
        <v>126</v>
      </c>
      <c r="AI3900" t="str">
        <f>"5011010"</f>
        <v>5011010</v>
      </c>
      <c r="AJ3900" t="s">
        <v>6877</v>
      </c>
      <c r="AK3900">
        <v>2821081330</v>
      </c>
      <c r="AL3900" t="s">
        <v>6878</v>
      </c>
      <c r="AM3900" t="s">
        <v>88</v>
      </c>
      <c r="AN3900" t="s">
        <v>88</v>
      </c>
      <c r="AO3900" t="s">
        <v>6748</v>
      </c>
      <c r="AP3900" t="s">
        <v>6748</v>
      </c>
      <c r="AQ3900">
        <v>1</v>
      </c>
      <c r="AR3900" t="s">
        <v>6729</v>
      </c>
      <c r="AS3900" t="s">
        <v>6730</v>
      </c>
      <c r="AT3900" t="s">
        <v>58</v>
      </c>
      <c r="AU3900" t="s">
        <v>68</v>
      </c>
      <c r="AV3900" t="s">
        <v>69</v>
      </c>
      <c r="AW3900" s="1">
        <v>22106</v>
      </c>
      <c r="AX3900">
        <v>2</v>
      </c>
    </row>
    <row r="3901" spans="1:50">
      <c r="B3901" t="str">
        <f>"100724515"</f>
        <v>100724515</v>
      </c>
      <c r="C3901" t="s">
        <v>50</v>
      </c>
      <c r="D3901" t="s">
        <v>7392</v>
      </c>
      <c r="E3901" t="s">
        <v>73</v>
      </c>
      <c r="F3901" t="s">
        <v>1185</v>
      </c>
      <c r="G3901" t="s">
        <v>237</v>
      </c>
      <c r="H3901" t="str">
        <f>"ΕΘΝΙΚΗΣ ΑΝΤΙΣΤΑΣΗΣ 11 ΑΛΕΞ/ΠΟΛΗ"</f>
        <v>ΕΘΝΙΚΗΣ ΑΝΤΙΣΤΑΣΗΣ 11 ΑΛΕΞ/ΠΟΛΗ</v>
      </c>
      <c r="I3901">
        <v>68100</v>
      </c>
      <c r="K3901">
        <v>6974329669</v>
      </c>
      <c r="N3901" t="s">
        <v>907</v>
      </c>
      <c r="O3901" t="s">
        <v>908</v>
      </c>
      <c r="R3901" t="s">
        <v>159</v>
      </c>
      <c r="S3901">
        <v>2</v>
      </c>
      <c r="T3901" t="s">
        <v>416</v>
      </c>
      <c r="U3901" s="1">
        <v>43349</v>
      </c>
      <c r="V3901" t="s">
        <v>6729</v>
      </c>
      <c r="W3901" t="s">
        <v>6730</v>
      </c>
      <c r="X3901" t="s">
        <v>58</v>
      </c>
      <c r="Y3901">
        <v>23</v>
      </c>
      <c r="Z3901" t="s">
        <v>59</v>
      </c>
      <c r="AA3901" t="s">
        <v>59</v>
      </c>
      <c r="AB3901" t="s">
        <v>59</v>
      </c>
      <c r="AC3901" t="s">
        <v>59</v>
      </c>
      <c r="AD3901" t="s">
        <v>59</v>
      </c>
      <c r="AF3901" s="1">
        <v>43349</v>
      </c>
      <c r="AG3901" t="s">
        <v>137</v>
      </c>
      <c r="AH3901" t="s">
        <v>138</v>
      </c>
      <c r="AI3901" t="str">
        <f>"5050060"</f>
        <v>5050060</v>
      </c>
      <c r="AJ3901" t="s">
        <v>6801</v>
      </c>
      <c r="AK3901">
        <v>2821091515</v>
      </c>
      <c r="AL3901" t="s">
        <v>6802</v>
      </c>
      <c r="AM3901" t="s">
        <v>88</v>
      </c>
      <c r="AN3901" t="s">
        <v>88</v>
      </c>
      <c r="AO3901" t="s">
        <v>88</v>
      </c>
      <c r="AP3901" t="s">
        <v>88</v>
      </c>
      <c r="AQ3901">
        <v>1</v>
      </c>
      <c r="AR3901" t="s">
        <v>6729</v>
      </c>
      <c r="AS3901" t="s">
        <v>6730</v>
      </c>
      <c r="AT3901" t="s">
        <v>58</v>
      </c>
      <c r="AU3901" t="s">
        <v>419</v>
      </c>
      <c r="AV3901" t="s">
        <v>132</v>
      </c>
      <c r="AW3901" s="1">
        <v>28336</v>
      </c>
      <c r="AX3901">
        <v>2</v>
      </c>
    </row>
    <row r="3902" spans="1:50">
      <c r="A3902">
        <v>227935</v>
      </c>
      <c r="B3902" t="str">
        <f>"075390434"</f>
        <v>075390434</v>
      </c>
      <c r="C3902" t="s">
        <v>50</v>
      </c>
      <c r="D3902" t="s">
        <v>7393</v>
      </c>
      <c r="E3902" t="s">
        <v>460</v>
      </c>
      <c r="F3902" t="s">
        <v>95</v>
      </c>
      <c r="G3902" t="s">
        <v>950</v>
      </c>
      <c r="H3902" t="str">
        <f>"ΤΕΡΜΑ 28ΗΣ ΟΚΤΩΒΡΙΟΥ 40 ΞΑΝΘΗ"</f>
        <v>ΤΕΡΜΑ 28ΗΣ ΟΚΤΩΒΡΙΟΥ 40 ΞΑΝΘΗ</v>
      </c>
      <c r="I3902">
        <v>67100</v>
      </c>
      <c r="J3902">
        <v>2541026262</v>
      </c>
      <c r="K3902">
        <v>6947814422</v>
      </c>
      <c r="M3902" t="s">
        <v>7394</v>
      </c>
      <c r="N3902" t="s">
        <v>176</v>
      </c>
      <c r="O3902" t="s">
        <v>177</v>
      </c>
      <c r="R3902" t="s">
        <v>57</v>
      </c>
      <c r="S3902">
        <v>7</v>
      </c>
      <c r="T3902">
        <v>654</v>
      </c>
      <c r="U3902" s="1">
        <v>40043</v>
      </c>
      <c r="V3902" t="s">
        <v>6729</v>
      </c>
      <c r="W3902" t="s">
        <v>6730</v>
      </c>
      <c r="X3902" t="s">
        <v>58</v>
      </c>
      <c r="Y3902">
        <v>20</v>
      </c>
      <c r="Z3902" t="s">
        <v>59</v>
      </c>
      <c r="AA3902" t="s">
        <v>59</v>
      </c>
      <c r="AB3902" t="s">
        <v>59</v>
      </c>
      <c r="AC3902" t="s">
        <v>59</v>
      </c>
      <c r="AD3902" t="s">
        <v>59</v>
      </c>
      <c r="AF3902" s="1">
        <v>40057</v>
      </c>
      <c r="AG3902" t="s">
        <v>148</v>
      </c>
      <c r="AH3902" t="s">
        <v>149</v>
      </c>
      <c r="AI3902" t="str">
        <f>"5062010"</f>
        <v>5062010</v>
      </c>
      <c r="AJ3902" t="s">
        <v>6783</v>
      </c>
      <c r="AK3902">
        <v>2821031620</v>
      </c>
      <c r="AL3902" t="s">
        <v>6784</v>
      </c>
      <c r="AM3902" t="s">
        <v>88</v>
      </c>
      <c r="AN3902" t="s">
        <v>88</v>
      </c>
      <c r="AO3902" t="s">
        <v>6785</v>
      </c>
      <c r="AP3902" t="s">
        <v>6786</v>
      </c>
      <c r="AQ3902">
        <v>1</v>
      </c>
      <c r="AR3902" t="s">
        <v>6729</v>
      </c>
      <c r="AS3902" t="s">
        <v>6730</v>
      </c>
      <c r="AT3902" t="s">
        <v>58</v>
      </c>
      <c r="AU3902" t="s">
        <v>68</v>
      </c>
      <c r="AV3902" t="s">
        <v>132</v>
      </c>
      <c r="AW3902" s="1">
        <v>24447</v>
      </c>
      <c r="AX3902">
        <v>2</v>
      </c>
    </row>
    <row r="3903" spans="1:50">
      <c r="A3903">
        <v>162033</v>
      </c>
      <c r="B3903" t="str">
        <f>"079667455"</f>
        <v>079667455</v>
      </c>
      <c r="C3903" t="s">
        <v>50</v>
      </c>
      <c r="D3903" t="s">
        <v>7395</v>
      </c>
      <c r="E3903" t="s">
        <v>1207</v>
      </c>
      <c r="F3903" t="s">
        <v>72</v>
      </c>
      <c r="G3903" t="s">
        <v>340</v>
      </c>
      <c r="H3903" t="str">
        <f>"ΚΑΛΛΙΘΕΑ, ΒΑΜΒΑΚΟΠΟΥΛΟ - ΤΘ 169 ΧΑΝΙΑ"</f>
        <v>ΚΑΛΛΙΘΕΑ, ΒΑΜΒΑΚΟΠΟΥΛΟ - ΤΘ 169 ΧΑΝΙΑ</v>
      </c>
      <c r="I3903">
        <v>73100</v>
      </c>
      <c r="J3903">
        <v>2821705300</v>
      </c>
      <c r="K3903">
        <v>6942849108</v>
      </c>
      <c r="M3903" t="s">
        <v>7396</v>
      </c>
      <c r="N3903" t="s">
        <v>157</v>
      </c>
      <c r="O3903" t="s">
        <v>158</v>
      </c>
      <c r="R3903" t="s">
        <v>57</v>
      </c>
      <c r="S3903">
        <v>14</v>
      </c>
      <c r="T3903">
        <v>132</v>
      </c>
      <c r="U3903" s="1">
        <v>33456</v>
      </c>
      <c r="V3903" t="s">
        <v>6729</v>
      </c>
      <c r="W3903" t="s">
        <v>6730</v>
      </c>
      <c r="X3903" t="s">
        <v>58</v>
      </c>
      <c r="Y3903">
        <v>18</v>
      </c>
      <c r="Z3903" t="s">
        <v>59</v>
      </c>
      <c r="AA3903" t="s">
        <v>59</v>
      </c>
      <c r="AB3903" t="s">
        <v>59</v>
      </c>
      <c r="AC3903" t="s">
        <v>59</v>
      </c>
      <c r="AD3903" t="s">
        <v>59</v>
      </c>
      <c r="AF3903" s="1">
        <v>33484</v>
      </c>
      <c r="AG3903" t="s">
        <v>125</v>
      </c>
      <c r="AH3903" t="s">
        <v>126</v>
      </c>
      <c r="AI3903" t="str">
        <f>"5001060"</f>
        <v>5001060</v>
      </c>
      <c r="AJ3903" t="s">
        <v>6914</v>
      </c>
      <c r="AK3903">
        <v>2821091763</v>
      </c>
      <c r="AL3903" t="s">
        <v>6915</v>
      </c>
      <c r="AM3903" t="s">
        <v>88</v>
      </c>
      <c r="AN3903" t="s">
        <v>88</v>
      </c>
      <c r="AO3903" t="s">
        <v>88</v>
      </c>
      <c r="AP3903" t="s">
        <v>88</v>
      </c>
      <c r="AQ3903">
        <v>1</v>
      </c>
      <c r="AR3903" t="s">
        <v>6729</v>
      </c>
      <c r="AS3903" t="s">
        <v>6730</v>
      </c>
      <c r="AT3903" t="s">
        <v>58</v>
      </c>
      <c r="AU3903" t="s">
        <v>68</v>
      </c>
      <c r="AV3903" t="s">
        <v>69</v>
      </c>
      <c r="AW3903" s="1">
        <v>23176</v>
      </c>
      <c r="AX3903">
        <v>2</v>
      </c>
    </row>
    <row r="3904" spans="1:50">
      <c r="A3904">
        <v>222969</v>
      </c>
      <c r="B3904" t="str">
        <f>"120219133"</f>
        <v>120219133</v>
      </c>
      <c r="C3904" t="s">
        <v>105</v>
      </c>
      <c r="D3904" t="s">
        <v>7397</v>
      </c>
      <c r="E3904" t="s">
        <v>106</v>
      </c>
      <c r="F3904" t="s">
        <v>166</v>
      </c>
      <c r="G3904" t="s">
        <v>600</v>
      </c>
      <c r="H3904" t="str">
        <f>"Θ.ΚΑΛΛΙΓΙΑΝΝΗ 16 ΛΕΙΒΑΔΙΑ"</f>
        <v>Θ.ΚΑΛΛΙΓΙΑΝΝΗ 16 ΛΕΙΒΑΔΙΑ</v>
      </c>
      <c r="I3904">
        <v>73134</v>
      </c>
      <c r="J3904">
        <v>2821087405</v>
      </c>
      <c r="K3904">
        <v>6976762630</v>
      </c>
      <c r="M3904" t="s">
        <v>7398</v>
      </c>
      <c r="N3904" t="s">
        <v>292</v>
      </c>
      <c r="O3904" t="s">
        <v>293</v>
      </c>
      <c r="R3904" t="s">
        <v>57</v>
      </c>
      <c r="S3904">
        <v>7</v>
      </c>
      <c r="T3904">
        <v>775</v>
      </c>
      <c r="U3904" s="1">
        <v>39680</v>
      </c>
      <c r="V3904" t="s">
        <v>6729</v>
      </c>
      <c r="W3904" t="s">
        <v>6730</v>
      </c>
      <c r="X3904" t="s">
        <v>58</v>
      </c>
      <c r="Y3904">
        <v>21</v>
      </c>
      <c r="Z3904" t="s">
        <v>59</v>
      </c>
      <c r="AA3904" t="s">
        <v>59</v>
      </c>
      <c r="AB3904" t="s">
        <v>59</v>
      </c>
      <c r="AC3904" t="s">
        <v>59</v>
      </c>
      <c r="AD3904" t="s">
        <v>59</v>
      </c>
      <c r="AF3904" s="1">
        <v>39685</v>
      </c>
      <c r="AG3904" t="s">
        <v>137</v>
      </c>
      <c r="AH3904" t="s">
        <v>138</v>
      </c>
      <c r="AI3904" t="str">
        <f>"5050060"</f>
        <v>5050060</v>
      </c>
      <c r="AJ3904" t="s">
        <v>6801</v>
      </c>
      <c r="AK3904">
        <v>2821091515</v>
      </c>
      <c r="AL3904" t="s">
        <v>6802</v>
      </c>
      <c r="AM3904" t="s">
        <v>88</v>
      </c>
      <c r="AN3904" t="s">
        <v>88</v>
      </c>
      <c r="AO3904" t="s">
        <v>88</v>
      </c>
      <c r="AP3904" t="s">
        <v>88</v>
      </c>
      <c r="AQ3904">
        <v>1</v>
      </c>
      <c r="AR3904" t="s">
        <v>6729</v>
      </c>
      <c r="AS3904" t="s">
        <v>6730</v>
      </c>
      <c r="AT3904" t="s">
        <v>58</v>
      </c>
      <c r="AU3904" t="s">
        <v>68</v>
      </c>
      <c r="AV3904" t="s">
        <v>69</v>
      </c>
      <c r="AW3904" s="1">
        <v>27949</v>
      </c>
      <c r="AX3904">
        <v>2</v>
      </c>
    </row>
    <row r="3905" spans="1:50">
      <c r="A3905">
        <v>200370</v>
      </c>
      <c r="B3905" t="str">
        <f>"038009823"</f>
        <v>038009823</v>
      </c>
      <c r="C3905" t="s">
        <v>105</v>
      </c>
      <c r="D3905" t="s">
        <v>7399</v>
      </c>
      <c r="E3905" t="s">
        <v>166</v>
      </c>
      <c r="F3905" t="s">
        <v>84</v>
      </c>
      <c r="G3905" t="s">
        <v>396</v>
      </c>
      <c r="H3905" t="str">
        <f>" "</f>
        <v xml:space="preserve"> </v>
      </c>
      <c r="J3905">
        <v>2821042786</v>
      </c>
      <c r="K3905">
        <v>6983893311</v>
      </c>
      <c r="M3905" t="s">
        <v>7400</v>
      </c>
      <c r="N3905" t="s">
        <v>204</v>
      </c>
      <c r="O3905" t="s">
        <v>205</v>
      </c>
      <c r="R3905" t="s">
        <v>57</v>
      </c>
      <c r="S3905">
        <v>9</v>
      </c>
      <c r="T3905">
        <v>206</v>
      </c>
      <c r="U3905" s="1">
        <v>37866</v>
      </c>
      <c r="V3905" t="s">
        <v>6729</v>
      </c>
      <c r="W3905" t="s">
        <v>6730</v>
      </c>
      <c r="X3905" t="s">
        <v>58</v>
      </c>
      <c r="Y3905">
        <v>20</v>
      </c>
      <c r="Z3905" t="s">
        <v>59</v>
      </c>
      <c r="AA3905" t="s">
        <v>59</v>
      </c>
      <c r="AB3905" t="s">
        <v>59</v>
      </c>
      <c r="AC3905" t="s">
        <v>59</v>
      </c>
      <c r="AD3905" t="s">
        <v>59</v>
      </c>
      <c r="AF3905" s="1">
        <v>37866</v>
      </c>
      <c r="AG3905" t="s">
        <v>137</v>
      </c>
      <c r="AH3905" t="s">
        <v>138</v>
      </c>
      <c r="AI3905" t="str">
        <f>"5040090"</f>
        <v>5040090</v>
      </c>
      <c r="AJ3905" t="s">
        <v>6757</v>
      </c>
      <c r="AK3905">
        <v>2822022275</v>
      </c>
      <c r="AL3905" t="s">
        <v>6758</v>
      </c>
      <c r="AM3905" t="s">
        <v>88</v>
      </c>
      <c r="AN3905" t="s">
        <v>6744</v>
      </c>
      <c r="AO3905" t="s">
        <v>6744</v>
      </c>
      <c r="AP3905" t="s">
        <v>6744</v>
      </c>
      <c r="AQ3905">
        <v>1</v>
      </c>
      <c r="AR3905" t="s">
        <v>6729</v>
      </c>
      <c r="AS3905" t="s">
        <v>6730</v>
      </c>
      <c r="AT3905" t="s">
        <v>58</v>
      </c>
      <c r="AU3905" t="s">
        <v>68</v>
      </c>
      <c r="AV3905" t="s">
        <v>69</v>
      </c>
      <c r="AW3905" s="1">
        <v>25613</v>
      </c>
      <c r="AX3905">
        <v>2</v>
      </c>
    </row>
    <row r="3906" spans="1:50">
      <c r="A3906">
        <v>227936</v>
      </c>
      <c r="B3906" t="str">
        <f>"074818513"</f>
        <v>074818513</v>
      </c>
      <c r="C3906" t="s">
        <v>105</v>
      </c>
      <c r="D3906" t="s">
        <v>7401</v>
      </c>
      <c r="E3906" t="s">
        <v>202</v>
      </c>
      <c r="F3906" t="s">
        <v>72</v>
      </c>
      <c r="G3906" t="s">
        <v>1342</v>
      </c>
      <c r="H3906" t="str">
        <f>"ΥΨΗΛΑΝΤΟΥ 64 ΑΛΕΞΑΝΔΡΟΥΠΟΛΗ"</f>
        <v>ΥΨΗΛΑΝΤΟΥ 64 ΑΛΕΞΑΝΔΡΟΥΠΟΛΗ</v>
      </c>
      <c r="I3906">
        <v>68100</v>
      </c>
      <c r="J3906">
        <v>2551084555</v>
      </c>
      <c r="K3906">
        <v>6944264689</v>
      </c>
      <c r="M3906" t="s">
        <v>7402</v>
      </c>
      <c r="N3906" t="s">
        <v>176</v>
      </c>
      <c r="O3906" t="s">
        <v>177</v>
      </c>
      <c r="R3906" t="s">
        <v>57</v>
      </c>
      <c r="S3906">
        <v>7</v>
      </c>
      <c r="T3906">
        <v>654</v>
      </c>
      <c r="U3906" s="1">
        <v>40043</v>
      </c>
      <c r="V3906" t="s">
        <v>6729</v>
      </c>
      <c r="W3906" t="s">
        <v>6730</v>
      </c>
      <c r="X3906" t="s">
        <v>58</v>
      </c>
      <c r="Y3906">
        <v>20</v>
      </c>
      <c r="Z3906" t="s">
        <v>59</v>
      </c>
      <c r="AA3906" t="s">
        <v>59</v>
      </c>
      <c r="AB3906" t="s">
        <v>59</v>
      </c>
      <c r="AC3906" t="s">
        <v>59</v>
      </c>
      <c r="AD3906" t="s">
        <v>59</v>
      </c>
      <c r="AF3906" s="1">
        <v>40043</v>
      </c>
      <c r="AG3906" t="s">
        <v>125</v>
      </c>
      <c r="AH3906" t="s">
        <v>126</v>
      </c>
      <c r="AI3906" t="str">
        <f>"5008010"</f>
        <v>5008010</v>
      </c>
      <c r="AJ3906" t="s">
        <v>6993</v>
      </c>
      <c r="AK3906">
        <v>2825091207</v>
      </c>
      <c r="AL3906" t="s">
        <v>6994</v>
      </c>
      <c r="AM3906" t="s">
        <v>88</v>
      </c>
      <c r="AN3906" t="s">
        <v>6995</v>
      </c>
      <c r="AO3906" t="s">
        <v>6995</v>
      </c>
      <c r="AP3906" t="s">
        <v>6996</v>
      </c>
      <c r="AQ3906">
        <v>1</v>
      </c>
      <c r="AR3906" t="s">
        <v>6729</v>
      </c>
      <c r="AS3906" t="s">
        <v>6730</v>
      </c>
      <c r="AT3906" t="s">
        <v>58</v>
      </c>
      <c r="AU3906" t="s">
        <v>68</v>
      </c>
      <c r="AV3906" t="s">
        <v>69</v>
      </c>
      <c r="AW3906" s="1">
        <v>25152</v>
      </c>
      <c r="AX3906">
        <v>2</v>
      </c>
    </row>
    <row r="3907" spans="1:50">
      <c r="A3907">
        <v>703820</v>
      </c>
      <c r="B3907" t="str">
        <f>"063017821"</f>
        <v>063017821</v>
      </c>
      <c r="C3907" t="s">
        <v>50</v>
      </c>
      <c r="D3907" t="s">
        <v>7403</v>
      </c>
      <c r="E3907" t="s">
        <v>714</v>
      </c>
      <c r="F3907" t="s">
        <v>95</v>
      </c>
      <c r="G3907" t="s">
        <v>3914</v>
      </c>
      <c r="H3907" t="str">
        <f>"ΜΕΛΕΤΙΟΥ ΠΗΓΑ 3 ΧΑΝΙΑ"</f>
        <v>ΜΕΛΕΤΙΟΥ ΠΗΓΑ 3 ΧΑΝΙΑ</v>
      </c>
      <c r="I3907">
        <v>73100</v>
      </c>
      <c r="J3907">
        <v>2821087697</v>
      </c>
      <c r="K3907">
        <v>6945084716</v>
      </c>
      <c r="M3907" t="s">
        <v>7404</v>
      </c>
      <c r="N3907" t="s">
        <v>146</v>
      </c>
      <c r="O3907" t="s">
        <v>147</v>
      </c>
      <c r="R3907" t="s">
        <v>159</v>
      </c>
      <c r="S3907">
        <v>4</v>
      </c>
      <c r="T3907">
        <v>225</v>
      </c>
      <c r="U3907" s="1">
        <v>41695</v>
      </c>
      <c r="V3907" t="s">
        <v>6729</v>
      </c>
      <c r="W3907" t="s">
        <v>6730</v>
      </c>
      <c r="X3907" t="s">
        <v>58</v>
      </c>
      <c r="Y3907">
        <v>21</v>
      </c>
      <c r="Z3907" t="s">
        <v>59</v>
      </c>
      <c r="AA3907" t="s">
        <v>59</v>
      </c>
      <c r="AB3907" t="s">
        <v>59</v>
      </c>
      <c r="AC3907" t="s">
        <v>59</v>
      </c>
      <c r="AD3907" t="s">
        <v>59</v>
      </c>
      <c r="AF3907" s="1">
        <v>41695</v>
      </c>
      <c r="AG3907" t="s">
        <v>148</v>
      </c>
      <c r="AH3907" t="s">
        <v>149</v>
      </c>
      <c r="AI3907" t="str">
        <f>"5055010"</f>
        <v>5055010</v>
      </c>
      <c r="AJ3907" t="s">
        <v>6868</v>
      </c>
      <c r="AK3907">
        <v>2823041416</v>
      </c>
      <c r="AL3907" t="s">
        <v>6869</v>
      </c>
      <c r="AM3907" t="s">
        <v>88</v>
      </c>
      <c r="AN3907" t="s">
        <v>6824</v>
      </c>
      <c r="AO3907" t="s">
        <v>6870</v>
      </c>
      <c r="AP3907" t="s">
        <v>6871</v>
      </c>
      <c r="AQ3907">
        <v>1</v>
      </c>
      <c r="AR3907" t="s">
        <v>6729</v>
      </c>
      <c r="AS3907" t="s">
        <v>6730</v>
      </c>
      <c r="AT3907" t="s">
        <v>58</v>
      </c>
      <c r="AU3907" t="s">
        <v>68</v>
      </c>
      <c r="AV3907" t="s">
        <v>69</v>
      </c>
      <c r="AW3907" s="1">
        <v>28126</v>
      </c>
      <c r="AX3907">
        <v>2</v>
      </c>
    </row>
    <row r="3908" spans="1:50">
      <c r="A3908">
        <v>195505</v>
      </c>
      <c r="B3908" t="str">
        <f>"039976221"</f>
        <v>039976221</v>
      </c>
      <c r="C3908" t="s">
        <v>105</v>
      </c>
      <c r="D3908" t="s">
        <v>7405</v>
      </c>
      <c r="E3908" t="s">
        <v>166</v>
      </c>
      <c r="F3908" t="s">
        <v>53</v>
      </c>
      <c r="G3908" t="s">
        <v>396</v>
      </c>
      <c r="H3908" t="str">
        <f>"ΑΚΡΩΤΗΡΙΟΥ 136 ΧΑΝΙΑ"</f>
        <v>ΑΚΡΩΤΗΡΙΟΥ 136 ΧΑΝΙΑ</v>
      </c>
      <c r="I3908">
        <v>73133</v>
      </c>
      <c r="J3908">
        <v>2821041404</v>
      </c>
      <c r="K3908">
        <v>6978350702</v>
      </c>
      <c r="M3908" t="s">
        <v>7406</v>
      </c>
      <c r="N3908" t="s">
        <v>292</v>
      </c>
      <c r="O3908" t="s">
        <v>293</v>
      </c>
      <c r="R3908" t="s">
        <v>57</v>
      </c>
      <c r="S3908">
        <v>9</v>
      </c>
      <c r="T3908">
        <v>194</v>
      </c>
      <c r="U3908" s="1">
        <v>37497</v>
      </c>
      <c r="V3908" t="s">
        <v>6729</v>
      </c>
      <c r="W3908" t="s">
        <v>6730</v>
      </c>
      <c r="X3908" t="s">
        <v>58</v>
      </c>
      <c r="Y3908">
        <v>20</v>
      </c>
      <c r="Z3908" t="s">
        <v>59</v>
      </c>
      <c r="AA3908" t="s">
        <v>59</v>
      </c>
      <c r="AB3908" t="s">
        <v>59</v>
      </c>
      <c r="AC3908" t="s">
        <v>59</v>
      </c>
      <c r="AD3908" t="s">
        <v>59</v>
      </c>
      <c r="AF3908" s="1">
        <v>37501</v>
      </c>
      <c r="AG3908" t="s">
        <v>125</v>
      </c>
      <c r="AH3908" t="s">
        <v>126</v>
      </c>
      <c r="AI3908" t="str">
        <f>"5001073"</f>
        <v>5001073</v>
      </c>
      <c r="AJ3908" t="s">
        <v>6849</v>
      </c>
      <c r="AK3908">
        <v>2821028553</v>
      </c>
      <c r="AL3908" t="s">
        <v>6850</v>
      </c>
      <c r="AM3908" t="s">
        <v>88</v>
      </c>
      <c r="AN3908" t="s">
        <v>88</v>
      </c>
      <c r="AO3908" t="s">
        <v>88</v>
      </c>
      <c r="AP3908" t="s">
        <v>88</v>
      </c>
      <c r="AQ3908">
        <v>1</v>
      </c>
      <c r="AR3908" t="s">
        <v>6729</v>
      </c>
      <c r="AS3908" t="s">
        <v>6730</v>
      </c>
      <c r="AT3908" t="s">
        <v>58</v>
      </c>
      <c r="AU3908" t="s">
        <v>68</v>
      </c>
      <c r="AV3908" t="s">
        <v>69</v>
      </c>
      <c r="AW3908" s="1">
        <v>24154</v>
      </c>
      <c r="AX3908">
        <v>2</v>
      </c>
    </row>
    <row r="3909" spans="1:50">
      <c r="A3909">
        <v>213726</v>
      </c>
      <c r="B3909" t="str">
        <f>"105950882"</f>
        <v>105950882</v>
      </c>
      <c r="C3909" t="s">
        <v>50</v>
      </c>
      <c r="D3909" t="s">
        <v>7407</v>
      </c>
      <c r="E3909" t="s">
        <v>1927</v>
      </c>
      <c r="F3909" t="s">
        <v>2320</v>
      </c>
      <c r="G3909" t="s">
        <v>155</v>
      </c>
      <c r="H3909" t="str">
        <f>" "</f>
        <v xml:space="preserve"> </v>
      </c>
      <c r="J3909">
        <v>2381025224</v>
      </c>
      <c r="K3909">
        <v>6945529100</v>
      </c>
      <c r="N3909" t="s">
        <v>306</v>
      </c>
      <c r="O3909" t="s">
        <v>307</v>
      </c>
      <c r="R3909" t="s">
        <v>57</v>
      </c>
      <c r="S3909">
        <v>8</v>
      </c>
      <c r="T3909">
        <v>231</v>
      </c>
      <c r="U3909" s="1">
        <v>38960</v>
      </c>
      <c r="V3909" t="s">
        <v>6729</v>
      </c>
      <c r="W3909" t="s">
        <v>6730</v>
      </c>
      <c r="X3909" t="s">
        <v>58</v>
      </c>
      <c r="Y3909">
        <v>20</v>
      </c>
      <c r="Z3909" t="s">
        <v>59</v>
      </c>
      <c r="AA3909" t="s">
        <v>59</v>
      </c>
      <c r="AB3909" t="s">
        <v>59</v>
      </c>
      <c r="AC3909" t="s">
        <v>59</v>
      </c>
      <c r="AD3909" t="s">
        <v>59</v>
      </c>
      <c r="AF3909" s="1">
        <v>38961</v>
      </c>
      <c r="AG3909" t="s">
        <v>148</v>
      </c>
      <c r="AH3909" t="s">
        <v>149</v>
      </c>
      <c r="AI3909" t="str">
        <f>"5062010"</f>
        <v>5062010</v>
      </c>
      <c r="AJ3909" t="s">
        <v>6783</v>
      </c>
      <c r="AK3909">
        <v>2821031620</v>
      </c>
      <c r="AL3909" t="s">
        <v>6784</v>
      </c>
      <c r="AM3909" t="s">
        <v>88</v>
      </c>
      <c r="AN3909" t="s">
        <v>88</v>
      </c>
      <c r="AO3909" t="s">
        <v>6785</v>
      </c>
      <c r="AP3909" t="s">
        <v>6786</v>
      </c>
      <c r="AQ3909">
        <v>1</v>
      </c>
      <c r="AR3909" t="s">
        <v>6729</v>
      </c>
      <c r="AS3909" t="s">
        <v>6730</v>
      </c>
      <c r="AT3909" t="s">
        <v>58</v>
      </c>
      <c r="AU3909" t="s">
        <v>68</v>
      </c>
      <c r="AV3909" t="s">
        <v>69</v>
      </c>
      <c r="AW3909" s="1">
        <v>29196</v>
      </c>
      <c r="AX3909">
        <v>2</v>
      </c>
    </row>
    <row r="3910" spans="1:50">
      <c r="A3910">
        <v>188873</v>
      </c>
      <c r="B3910" t="str">
        <f>"077111654"</f>
        <v>077111654</v>
      </c>
      <c r="C3910" t="s">
        <v>50</v>
      </c>
      <c r="D3910" t="s">
        <v>7408</v>
      </c>
      <c r="E3910" t="s">
        <v>476</v>
      </c>
      <c r="F3910" t="s">
        <v>2635</v>
      </c>
      <c r="G3910" t="s">
        <v>1068</v>
      </c>
      <c r="H3910" t="str">
        <f>"Γ. ΠΕΡΡΟΥ 81  ΚΟΥΜΠΕΣ ΧΑΝΙΑ"</f>
        <v>Γ. ΠΕΡΡΟΥ 81  ΚΟΥΜΠΕΣ ΧΑΝΙΑ</v>
      </c>
      <c r="I3910">
        <v>73134</v>
      </c>
      <c r="K3910">
        <v>6997061308</v>
      </c>
      <c r="N3910" t="s">
        <v>146</v>
      </c>
      <c r="O3910" t="s">
        <v>147</v>
      </c>
      <c r="R3910" t="s">
        <v>57</v>
      </c>
      <c r="S3910">
        <v>10</v>
      </c>
      <c r="T3910">
        <v>127</v>
      </c>
      <c r="U3910" s="1">
        <v>36881</v>
      </c>
      <c r="V3910" t="s">
        <v>6729</v>
      </c>
      <c r="W3910" t="s">
        <v>6730</v>
      </c>
      <c r="X3910" t="s">
        <v>58</v>
      </c>
      <c r="Y3910">
        <v>18</v>
      </c>
      <c r="Z3910" t="s">
        <v>59</v>
      </c>
      <c r="AA3910" t="s">
        <v>59</v>
      </c>
      <c r="AB3910" t="s">
        <v>59</v>
      </c>
      <c r="AC3910" t="s">
        <v>59</v>
      </c>
      <c r="AD3910" t="s">
        <v>59</v>
      </c>
      <c r="AF3910" s="1">
        <v>36931</v>
      </c>
      <c r="AG3910" t="s">
        <v>148</v>
      </c>
      <c r="AH3910" t="s">
        <v>149</v>
      </c>
      <c r="AI3910" t="str">
        <f>"5051040"</f>
        <v>5051040</v>
      </c>
      <c r="AJ3910" t="s">
        <v>6811</v>
      </c>
      <c r="AK3910">
        <v>2821088007</v>
      </c>
      <c r="AL3910" t="s">
        <v>6812</v>
      </c>
      <c r="AM3910" t="s">
        <v>88</v>
      </c>
      <c r="AN3910" t="s">
        <v>88</v>
      </c>
      <c r="AO3910" t="s">
        <v>88</v>
      </c>
      <c r="AP3910" t="s">
        <v>88</v>
      </c>
      <c r="AQ3910">
        <v>1</v>
      </c>
      <c r="AR3910" t="s">
        <v>6729</v>
      </c>
      <c r="AS3910" t="s">
        <v>6730</v>
      </c>
      <c r="AT3910" t="s">
        <v>58</v>
      </c>
      <c r="AU3910" t="s">
        <v>68</v>
      </c>
      <c r="AV3910" t="s">
        <v>69</v>
      </c>
      <c r="AW3910" s="1">
        <v>24210</v>
      </c>
      <c r="AX3910">
        <v>2</v>
      </c>
    </row>
    <row r="3911" spans="1:50">
      <c r="A3911">
        <v>193972</v>
      </c>
      <c r="B3911" t="str">
        <f>"057453282"</f>
        <v>057453282</v>
      </c>
      <c r="C3911" t="s">
        <v>50</v>
      </c>
      <c r="D3911" t="s">
        <v>7409</v>
      </c>
      <c r="E3911" t="s">
        <v>263</v>
      </c>
      <c r="F3911" t="s">
        <v>72</v>
      </c>
      <c r="G3911" t="s">
        <v>83</v>
      </c>
      <c r="H3911" t="str">
        <f>" "</f>
        <v xml:space="preserve"> </v>
      </c>
      <c r="J3911">
        <v>2892022522</v>
      </c>
      <c r="K3911">
        <v>6937484074</v>
      </c>
      <c r="N3911" t="s">
        <v>306</v>
      </c>
      <c r="O3911" t="s">
        <v>307</v>
      </c>
      <c r="R3911" t="s">
        <v>57</v>
      </c>
      <c r="S3911">
        <v>10</v>
      </c>
      <c r="T3911">
        <v>193</v>
      </c>
      <c r="U3911" s="1">
        <v>37497</v>
      </c>
      <c r="V3911" t="s">
        <v>6729</v>
      </c>
      <c r="W3911" t="s">
        <v>6730</v>
      </c>
      <c r="X3911" t="s">
        <v>58</v>
      </c>
      <c r="Y3911">
        <v>18</v>
      </c>
      <c r="Z3911" t="s">
        <v>59</v>
      </c>
      <c r="AA3911" t="s">
        <v>59</v>
      </c>
      <c r="AB3911" t="s">
        <v>59</v>
      </c>
      <c r="AC3911" t="s">
        <v>59</v>
      </c>
      <c r="AD3911" t="s">
        <v>59</v>
      </c>
      <c r="AF3911" s="1">
        <v>37501</v>
      </c>
      <c r="AG3911" t="s">
        <v>148</v>
      </c>
      <c r="AH3911" t="s">
        <v>149</v>
      </c>
      <c r="AI3911" t="str">
        <f>"5062010"</f>
        <v>5062010</v>
      </c>
      <c r="AJ3911" t="s">
        <v>6783</v>
      </c>
      <c r="AK3911">
        <v>2821031620</v>
      </c>
      <c r="AL3911" t="s">
        <v>6784</v>
      </c>
      <c r="AM3911" t="s">
        <v>88</v>
      </c>
      <c r="AN3911" t="s">
        <v>88</v>
      </c>
      <c r="AO3911" t="s">
        <v>6785</v>
      </c>
      <c r="AP3911" t="s">
        <v>6786</v>
      </c>
      <c r="AQ3911">
        <v>1</v>
      </c>
      <c r="AR3911" t="s">
        <v>6729</v>
      </c>
      <c r="AS3911" t="s">
        <v>6730</v>
      </c>
      <c r="AT3911" t="s">
        <v>58</v>
      </c>
      <c r="AU3911" t="s">
        <v>68</v>
      </c>
      <c r="AV3911" t="s">
        <v>69</v>
      </c>
      <c r="AW3911" s="1">
        <v>26412</v>
      </c>
      <c r="AX3911">
        <v>2</v>
      </c>
    </row>
    <row r="3912" spans="1:50">
      <c r="A3912">
        <v>163205</v>
      </c>
      <c r="B3912" t="str">
        <f>"065652572"</f>
        <v>065652572</v>
      </c>
      <c r="C3912" t="s">
        <v>50</v>
      </c>
      <c r="D3912" t="s">
        <v>7410</v>
      </c>
      <c r="E3912" t="s">
        <v>109</v>
      </c>
      <c r="F3912" t="s">
        <v>53</v>
      </c>
      <c r="G3912" t="s">
        <v>964</v>
      </c>
      <c r="H3912" t="str">
        <f>" "</f>
        <v xml:space="preserve"> </v>
      </c>
      <c r="N3912" t="s">
        <v>331</v>
      </c>
      <c r="O3912" t="s">
        <v>332</v>
      </c>
      <c r="R3912" t="s">
        <v>57</v>
      </c>
      <c r="S3912">
        <v>13</v>
      </c>
      <c r="T3912">
        <v>132</v>
      </c>
      <c r="U3912" s="1">
        <v>33456</v>
      </c>
      <c r="V3912" t="s">
        <v>6729</v>
      </c>
      <c r="W3912" t="s">
        <v>6730</v>
      </c>
      <c r="X3912" t="s">
        <v>58</v>
      </c>
      <c r="Y3912">
        <v>18</v>
      </c>
      <c r="Z3912" t="s">
        <v>59</v>
      </c>
      <c r="AA3912" t="s">
        <v>59</v>
      </c>
      <c r="AB3912" t="s">
        <v>59</v>
      </c>
      <c r="AC3912" t="s">
        <v>59</v>
      </c>
      <c r="AD3912" t="s">
        <v>59</v>
      </c>
      <c r="AF3912" s="1">
        <v>33483</v>
      </c>
      <c r="AG3912" t="s">
        <v>137</v>
      </c>
      <c r="AH3912" t="s">
        <v>138</v>
      </c>
      <c r="AI3912" t="str">
        <f>"5040100"</f>
        <v>5040100</v>
      </c>
      <c r="AJ3912" t="s">
        <v>6790</v>
      </c>
      <c r="AK3912">
        <v>2821058998</v>
      </c>
      <c r="AL3912" t="s">
        <v>6791</v>
      </c>
      <c r="AM3912" t="s">
        <v>88</v>
      </c>
      <c r="AN3912" t="s">
        <v>88</v>
      </c>
      <c r="AO3912" t="s">
        <v>6770</v>
      </c>
      <c r="AP3912" t="s">
        <v>6771</v>
      </c>
      <c r="AQ3912">
        <v>1</v>
      </c>
      <c r="AR3912" t="s">
        <v>6729</v>
      </c>
      <c r="AS3912" t="s">
        <v>6730</v>
      </c>
      <c r="AT3912" t="s">
        <v>58</v>
      </c>
      <c r="AU3912" t="s">
        <v>68</v>
      </c>
      <c r="AV3912" t="s">
        <v>69</v>
      </c>
      <c r="AW3912" s="1">
        <v>22434</v>
      </c>
      <c r="AX3912">
        <v>2</v>
      </c>
    </row>
    <row r="3913" spans="1:50">
      <c r="A3913">
        <v>203983</v>
      </c>
      <c r="B3913" t="str">
        <f>"063277907"</f>
        <v>063277907</v>
      </c>
      <c r="C3913" t="s">
        <v>50</v>
      </c>
      <c r="D3913" t="s">
        <v>7411</v>
      </c>
      <c r="E3913" t="s">
        <v>73</v>
      </c>
      <c r="F3913" t="s">
        <v>95</v>
      </c>
      <c r="G3913" t="s">
        <v>7412</v>
      </c>
      <c r="H3913" t="str">
        <f>"ΓΛΑΥΚΟΥ-ΚΑΛΑΘΑΣ ΑΚΡΩΤΗΡΙ-ΧΑΝΙΩΝ"</f>
        <v>ΓΛΑΥΚΟΥ-ΚΑΛΑΘΑΣ ΑΚΡΩΤΗΡΙ-ΧΑΝΙΩΝ</v>
      </c>
      <c r="I3913">
        <v>73200</v>
      </c>
      <c r="J3913">
        <v>2821056207</v>
      </c>
      <c r="K3913">
        <v>6909165234</v>
      </c>
      <c r="M3913" t="s">
        <v>7413</v>
      </c>
      <c r="N3913" t="s">
        <v>176</v>
      </c>
      <c r="O3913" t="s">
        <v>177</v>
      </c>
      <c r="R3913" t="s">
        <v>57</v>
      </c>
      <c r="S3913">
        <v>7</v>
      </c>
      <c r="T3913">
        <v>231</v>
      </c>
      <c r="U3913" s="1">
        <v>38230</v>
      </c>
      <c r="V3913" t="s">
        <v>6729</v>
      </c>
      <c r="W3913" t="s">
        <v>6730</v>
      </c>
      <c r="X3913" t="s">
        <v>58</v>
      </c>
      <c r="Y3913">
        <v>20</v>
      </c>
      <c r="Z3913" t="s">
        <v>59</v>
      </c>
      <c r="AA3913" t="s">
        <v>59</v>
      </c>
      <c r="AB3913" t="s">
        <v>59</v>
      </c>
      <c r="AC3913" t="s">
        <v>59</v>
      </c>
      <c r="AD3913" t="s">
        <v>59</v>
      </c>
      <c r="AF3913" s="1">
        <v>38232</v>
      </c>
      <c r="AG3913" t="s">
        <v>125</v>
      </c>
      <c r="AH3913" t="s">
        <v>126</v>
      </c>
      <c r="AI3913" t="str">
        <f>"5011010"</f>
        <v>5011010</v>
      </c>
      <c r="AJ3913" t="s">
        <v>6877</v>
      </c>
      <c r="AK3913">
        <v>2821081330</v>
      </c>
      <c r="AL3913" t="s">
        <v>6878</v>
      </c>
      <c r="AM3913" t="s">
        <v>88</v>
      </c>
      <c r="AN3913" t="s">
        <v>88</v>
      </c>
      <c r="AO3913" t="s">
        <v>6748</v>
      </c>
      <c r="AP3913" t="s">
        <v>6748</v>
      </c>
      <c r="AQ3913">
        <v>1</v>
      </c>
      <c r="AR3913" t="s">
        <v>6729</v>
      </c>
      <c r="AS3913" t="s">
        <v>6730</v>
      </c>
      <c r="AT3913" t="s">
        <v>58</v>
      </c>
      <c r="AU3913" t="s">
        <v>68</v>
      </c>
      <c r="AV3913" t="s">
        <v>69</v>
      </c>
      <c r="AW3913" s="1">
        <v>24736</v>
      </c>
      <c r="AX3913">
        <v>2</v>
      </c>
    </row>
    <row r="3914" spans="1:50">
      <c r="A3914">
        <v>228784</v>
      </c>
      <c r="B3914" t="str">
        <f>"077599784"</f>
        <v>077599784</v>
      </c>
      <c r="C3914" t="s">
        <v>50</v>
      </c>
      <c r="D3914" t="s">
        <v>7414</v>
      </c>
      <c r="E3914" t="s">
        <v>112</v>
      </c>
      <c r="F3914" t="s">
        <v>166</v>
      </c>
      <c r="G3914" t="s">
        <v>4968</v>
      </c>
      <c r="H3914" t="str">
        <f>"ΟΙΚΙΣΜΟΣ ΚΑΜΠΑΝΙ ΑΚΡΩΤΗΡΙΟΥ ΧΑΝΙΑ"</f>
        <v>ΟΙΚΙΣΜΟΣ ΚΑΜΠΑΝΙ ΑΚΡΩΤΗΡΙΟΥ ΧΑΝΙΑ</v>
      </c>
      <c r="I3914">
        <v>73100</v>
      </c>
      <c r="J3914">
        <v>2821091614</v>
      </c>
      <c r="K3914">
        <v>6972526221</v>
      </c>
      <c r="M3914" t="s">
        <v>7415</v>
      </c>
      <c r="N3914" t="s">
        <v>257</v>
      </c>
      <c r="O3914" t="s">
        <v>258</v>
      </c>
      <c r="R3914" t="s">
        <v>57</v>
      </c>
      <c r="S3914">
        <v>4</v>
      </c>
      <c r="T3914">
        <v>683</v>
      </c>
      <c r="U3914" s="1">
        <v>40052</v>
      </c>
      <c r="V3914" t="s">
        <v>6729</v>
      </c>
      <c r="W3914" t="s">
        <v>6730</v>
      </c>
      <c r="X3914" t="s">
        <v>58</v>
      </c>
      <c r="Y3914">
        <v>21</v>
      </c>
      <c r="Z3914" t="s">
        <v>59</v>
      </c>
      <c r="AA3914" t="s">
        <v>59</v>
      </c>
      <c r="AB3914" t="s">
        <v>59</v>
      </c>
      <c r="AC3914" t="s">
        <v>59</v>
      </c>
      <c r="AD3914" t="s">
        <v>59</v>
      </c>
      <c r="AF3914" s="1">
        <v>40057</v>
      </c>
      <c r="AG3914" t="s">
        <v>137</v>
      </c>
      <c r="AH3914" t="s">
        <v>138</v>
      </c>
      <c r="AI3914" t="str">
        <f>"5040050"</f>
        <v>5040050</v>
      </c>
      <c r="AJ3914" t="s">
        <v>6750</v>
      </c>
      <c r="AK3914">
        <v>2821043147</v>
      </c>
      <c r="AL3914" t="s">
        <v>6751</v>
      </c>
      <c r="AM3914" t="s">
        <v>88</v>
      </c>
      <c r="AN3914" t="s">
        <v>88</v>
      </c>
      <c r="AO3914" t="s">
        <v>88</v>
      </c>
      <c r="AP3914" t="s">
        <v>88</v>
      </c>
      <c r="AQ3914">
        <v>1</v>
      </c>
      <c r="AR3914" t="s">
        <v>6729</v>
      </c>
      <c r="AS3914" t="s">
        <v>6730</v>
      </c>
      <c r="AT3914" t="s">
        <v>58</v>
      </c>
      <c r="AU3914" t="s">
        <v>68</v>
      </c>
      <c r="AV3914" t="s">
        <v>69</v>
      </c>
      <c r="AW3914" s="1">
        <v>25619</v>
      </c>
      <c r="AX3914">
        <v>2</v>
      </c>
    </row>
    <row r="3915" spans="1:50">
      <c r="A3915">
        <v>227941</v>
      </c>
      <c r="B3915" t="str">
        <f>"063246076"</f>
        <v>063246076</v>
      </c>
      <c r="C3915" t="s">
        <v>105</v>
      </c>
      <c r="D3915" t="s">
        <v>7416</v>
      </c>
      <c r="E3915" t="s">
        <v>95</v>
      </c>
      <c r="F3915" t="s">
        <v>95</v>
      </c>
      <c r="G3915" t="s">
        <v>237</v>
      </c>
      <c r="H3915" t="str">
        <f>"ΘΕΡΙΣΣΟΥ 35 ΧΑΝΙΑ"</f>
        <v>ΘΕΡΙΣΣΟΥ 35 ΧΑΝΙΑ</v>
      </c>
      <c r="I3915">
        <v>73100</v>
      </c>
      <c r="J3915">
        <v>2821083128</v>
      </c>
      <c r="K3915">
        <v>6972059823</v>
      </c>
      <c r="N3915" t="s">
        <v>176</v>
      </c>
      <c r="O3915" t="s">
        <v>177</v>
      </c>
      <c r="R3915" t="s">
        <v>57</v>
      </c>
      <c r="S3915">
        <v>5</v>
      </c>
      <c r="T3915">
        <v>654</v>
      </c>
      <c r="U3915" s="1">
        <v>40043</v>
      </c>
      <c r="V3915" t="s">
        <v>6729</v>
      </c>
      <c r="W3915" t="s">
        <v>6730</v>
      </c>
      <c r="X3915" t="s">
        <v>58</v>
      </c>
      <c r="Y3915">
        <v>21</v>
      </c>
      <c r="Z3915" t="s">
        <v>59</v>
      </c>
      <c r="AA3915" t="s">
        <v>59</v>
      </c>
      <c r="AB3915" t="s">
        <v>59</v>
      </c>
      <c r="AC3915" t="s">
        <v>59</v>
      </c>
      <c r="AD3915" t="s">
        <v>59</v>
      </c>
      <c r="AF3915" s="1">
        <v>40043</v>
      </c>
      <c r="AG3915" t="s">
        <v>148</v>
      </c>
      <c r="AH3915" t="s">
        <v>149</v>
      </c>
      <c r="AI3915" t="str">
        <f>"5051010"</f>
        <v>5051010</v>
      </c>
      <c r="AJ3915" t="s">
        <v>6896</v>
      </c>
      <c r="AK3915">
        <v>2821028714</v>
      </c>
      <c r="AL3915" t="s">
        <v>6897</v>
      </c>
      <c r="AM3915" t="s">
        <v>88</v>
      </c>
      <c r="AN3915" t="s">
        <v>88</v>
      </c>
      <c r="AO3915" t="s">
        <v>88</v>
      </c>
      <c r="AP3915" t="s">
        <v>88</v>
      </c>
      <c r="AQ3915">
        <v>1</v>
      </c>
      <c r="AR3915" t="s">
        <v>6729</v>
      </c>
      <c r="AS3915" t="s">
        <v>6730</v>
      </c>
      <c r="AT3915" t="s">
        <v>58</v>
      </c>
      <c r="AU3915" t="s">
        <v>68</v>
      </c>
      <c r="AV3915" t="s">
        <v>132</v>
      </c>
      <c r="AW3915" s="1">
        <v>27546</v>
      </c>
      <c r="AX3915">
        <v>2</v>
      </c>
    </row>
    <row r="3916" spans="1:50">
      <c r="A3916">
        <v>206155</v>
      </c>
      <c r="B3916" t="str">
        <f>"079587178"</f>
        <v>079587178</v>
      </c>
      <c r="C3916" t="s">
        <v>105</v>
      </c>
      <c r="D3916" t="s">
        <v>7417</v>
      </c>
      <c r="E3916" t="s">
        <v>564</v>
      </c>
      <c r="F3916" t="s">
        <v>84</v>
      </c>
      <c r="G3916" t="s">
        <v>83</v>
      </c>
      <c r="H3916" t="str">
        <f>"ΚΑΤΩ ΜΑΚΡΥΣ ΤΟΙΧΟΣ "</f>
        <v xml:space="preserve">ΚΑΤΩ ΜΑΚΡΥΣ ΤΟΙΧΟΣ </v>
      </c>
      <c r="I3916">
        <v>73100</v>
      </c>
      <c r="J3916">
        <v>2821099402</v>
      </c>
      <c r="K3916">
        <v>6973746682</v>
      </c>
      <c r="M3916" t="s">
        <v>7418</v>
      </c>
      <c r="N3916" t="s">
        <v>204</v>
      </c>
      <c r="O3916" t="s">
        <v>205</v>
      </c>
      <c r="R3916" t="s">
        <v>57</v>
      </c>
      <c r="S3916">
        <v>7</v>
      </c>
      <c r="T3916">
        <v>231</v>
      </c>
      <c r="U3916" s="1">
        <v>38230</v>
      </c>
      <c r="V3916" t="s">
        <v>6729</v>
      </c>
      <c r="W3916" t="s">
        <v>6730</v>
      </c>
      <c r="X3916" t="s">
        <v>58</v>
      </c>
      <c r="Y3916">
        <v>20</v>
      </c>
      <c r="Z3916" t="s">
        <v>59</v>
      </c>
      <c r="AA3916" t="s">
        <v>59</v>
      </c>
      <c r="AB3916" t="s">
        <v>59</v>
      </c>
      <c r="AC3916" t="s">
        <v>59</v>
      </c>
      <c r="AD3916" t="s">
        <v>59</v>
      </c>
      <c r="AF3916" s="1">
        <v>38236</v>
      </c>
      <c r="AG3916" t="s">
        <v>137</v>
      </c>
      <c r="AH3916" t="s">
        <v>138</v>
      </c>
      <c r="AI3916" t="str">
        <f>"5040080"</f>
        <v>5040080</v>
      </c>
      <c r="AJ3916" t="s">
        <v>6753</v>
      </c>
      <c r="AK3916">
        <v>2821093155</v>
      </c>
      <c r="AL3916" t="s">
        <v>6754</v>
      </c>
      <c r="AM3916" t="s">
        <v>88</v>
      </c>
      <c r="AN3916" t="s">
        <v>88</v>
      </c>
      <c r="AO3916" t="s">
        <v>6733</v>
      </c>
      <c r="AP3916" t="s">
        <v>6755</v>
      </c>
      <c r="AQ3916">
        <v>1</v>
      </c>
      <c r="AR3916" t="s">
        <v>6729</v>
      </c>
      <c r="AS3916" t="s">
        <v>6730</v>
      </c>
      <c r="AT3916" t="s">
        <v>58</v>
      </c>
      <c r="AU3916" t="s">
        <v>68</v>
      </c>
      <c r="AV3916" t="s">
        <v>69</v>
      </c>
      <c r="AW3916" s="1">
        <v>28411</v>
      </c>
      <c r="AX3916">
        <v>2</v>
      </c>
    </row>
    <row r="3917" spans="1:50">
      <c r="A3917">
        <v>211646</v>
      </c>
      <c r="B3917" t="str">
        <f>"100611115"</f>
        <v>100611115</v>
      </c>
      <c r="C3917" t="s">
        <v>105</v>
      </c>
      <c r="D3917" t="s">
        <v>7419</v>
      </c>
      <c r="E3917" t="s">
        <v>975</v>
      </c>
      <c r="F3917" t="s">
        <v>84</v>
      </c>
      <c r="G3917" t="s">
        <v>181</v>
      </c>
      <c r="H3917" t="str">
        <f>"Κ. ΠΑΛΑΜΑ 41 ΧΑΝΙΑ"</f>
        <v>Κ. ΠΑΛΑΜΑ 41 ΧΑΝΙΑ</v>
      </c>
      <c r="I3917">
        <v>73132</v>
      </c>
      <c r="J3917">
        <v>2821111220</v>
      </c>
      <c r="K3917">
        <v>6947830145</v>
      </c>
      <c r="M3917" t="s">
        <v>7420</v>
      </c>
      <c r="N3917" t="s">
        <v>299</v>
      </c>
      <c r="O3917" t="s">
        <v>300</v>
      </c>
      <c r="R3917" t="s">
        <v>57</v>
      </c>
      <c r="S3917">
        <v>7</v>
      </c>
      <c r="T3917" t="s">
        <v>7421</v>
      </c>
      <c r="U3917" s="1">
        <v>38611</v>
      </c>
      <c r="V3917" t="s">
        <v>6729</v>
      </c>
      <c r="W3917" t="s">
        <v>6730</v>
      </c>
      <c r="X3917" t="s">
        <v>58</v>
      </c>
      <c r="Y3917">
        <v>20</v>
      </c>
      <c r="Z3917" t="s">
        <v>59</v>
      </c>
      <c r="AA3917" t="s">
        <v>59</v>
      </c>
      <c r="AB3917" t="s">
        <v>59</v>
      </c>
      <c r="AC3917" t="s">
        <v>59</v>
      </c>
      <c r="AD3917" t="s">
        <v>59</v>
      </c>
      <c r="AF3917" s="1">
        <v>38681</v>
      </c>
      <c r="AG3917" t="s">
        <v>125</v>
      </c>
      <c r="AH3917" t="s">
        <v>126</v>
      </c>
      <c r="AI3917" t="str">
        <f>"5001075"</f>
        <v>5001075</v>
      </c>
      <c r="AJ3917" t="s">
        <v>6768</v>
      </c>
      <c r="AK3917">
        <v>2821064200</v>
      </c>
      <c r="AL3917" t="s">
        <v>6769</v>
      </c>
      <c r="AM3917" t="s">
        <v>88</v>
      </c>
      <c r="AN3917" t="s">
        <v>88</v>
      </c>
      <c r="AO3917" t="s">
        <v>6770</v>
      </c>
      <c r="AP3917" t="s">
        <v>6771</v>
      </c>
      <c r="AQ3917">
        <v>1</v>
      </c>
      <c r="AR3917" t="s">
        <v>6729</v>
      </c>
      <c r="AS3917" t="s">
        <v>6730</v>
      </c>
      <c r="AT3917" t="s">
        <v>58</v>
      </c>
      <c r="AU3917" t="s">
        <v>68</v>
      </c>
      <c r="AV3917" t="s">
        <v>69</v>
      </c>
      <c r="AW3917" s="1">
        <v>28733</v>
      </c>
      <c r="AX3917">
        <v>2</v>
      </c>
    </row>
    <row r="3918" spans="1:50">
      <c r="B3918" t="str">
        <f>"061018822"</f>
        <v>061018822</v>
      </c>
      <c r="C3918" t="s">
        <v>50</v>
      </c>
      <c r="D3918" t="s">
        <v>7422</v>
      </c>
      <c r="E3918" t="s">
        <v>484</v>
      </c>
      <c r="F3918" t="s">
        <v>95</v>
      </c>
      <c r="G3918" t="s">
        <v>52</v>
      </c>
      <c r="H3918" t="str">
        <f>"ΓΟΡΓΟΠΟΤΑΜΟΥ 17Β ΛΑΜΙΑ"</f>
        <v>ΓΟΡΓΟΠΟΤΑΜΟΥ 17Β ΛΑΜΙΑ</v>
      </c>
      <c r="I3918">
        <v>35100</v>
      </c>
      <c r="J3918">
        <v>2231044232</v>
      </c>
      <c r="K3918">
        <v>6944731046</v>
      </c>
      <c r="N3918" t="s">
        <v>306</v>
      </c>
      <c r="O3918" t="s">
        <v>307</v>
      </c>
      <c r="R3918" t="s">
        <v>121</v>
      </c>
      <c r="S3918">
        <v>1</v>
      </c>
      <c r="T3918" t="s">
        <v>873</v>
      </c>
      <c r="U3918" s="1">
        <v>43377</v>
      </c>
      <c r="V3918" t="s">
        <v>6729</v>
      </c>
      <c r="W3918" t="s">
        <v>6730</v>
      </c>
      <c r="X3918" t="s">
        <v>58</v>
      </c>
      <c r="Y3918">
        <v>23</v>
      </c>
      <c r="Z3918" t="s">
        <v>59</v>
      </c>
      <c r="AA3918" t="s">
        <v>59</v>
      </c>
      <c r="AB3918" t="s">
        <v>59</v>
      </c>
      <c r="AC3918" t="s">
        <v>59</v>
      </c>
      <c r="AD3918" t="s">
        <v>59</v>
      </c>
      <c r="AF3918" s="1">
        <v>43377</v>
      </c>
      <c r="AG3918" t="s">
        <v>125</v>
      </c>
      <c r="AH3918" t="s">
        <v>126</v>
      </c>
      <c r="AI3918" t="str">
        <f>"5002010"</f>
        <v>5002010</v>
      </c>
      <c r="AJ3918" t="s">
        <v>6773</v>
      </c>
      <c r="AK3918">
        <v>2825022249</v>
      </c>
      <c r="AL3918" t="s">
        <v>6774</v>
      </c>
      <c r="AM3918" t="s">
        <v>88</v>
      </c>
      <c r="AN3918" t="s">
        <v>6775</v>
      </c>
      <c r="AO3918" t="s">
        <v>6776</v>
      </c>
      <c r="AP3918" t="s">
        <v>6776</v>
      </c>
      <c r="AQ3918">
        <v>1</v>
      </c>
      <c r="AR3918" t="s">
        <v>6729</v>
      </c>
      <c r="AS3918" t="s">
        <v>6730</v>
      </c>
      <c r="AT3918" t="s">
        <v>58</v>
      </c>
      <c r="AU3918" t="s">
        <v>164</v>
      </c>
      <c r="AV3918" t="s">
        <v>132</v>
      </c>
      <c r="AW3918" s="1">
        <v>26443</v>
      </c>
      <c r="AX3918">
        <v>2</v>
      </c>
    </row>
    <row r="3919" spans="1:50">
      <c r="B3919" t="str">
        <f>"130441747"</f>
        <v>130441747</v>
      </c>
      <c r="C3919" t="s">
        <v>50</v>
      </c>
      <c r="D3919" t="s">
        <v>7423</v>
      </c>
      <c r="E3919" t="s">
        <v>237</v>
      </c>
      <c r="F3919" t="s">
        <v>166</v>
      </c>
      <c r="G3919" t="s">
        <v>83</v>
      </c>
      <c r="H3919" t="str">
        <f>"ΤΣΙΚΑΛΑΡΙΩΝ 26 ΧΑΝΙΑ"</f>
        <v>ΤΣΙΚΑΛΑΡΙΩΝ 26 ΧΑΝΙΑ</v>
      </c>
      <c r="I3919">
        <v>73200</v>
      </c>
      <c r="J3919">
        <v>2821081745</v>
      </c>
      <c r="K3919">
        <v>6973399219</v>
      </c>
      <c r="N3919" t="s">
        <v>146</v>
      </c>
      <c r="O3919" t="s">
        <v>147</v>
      </c>
      <c r="R3919" t="s">
        <v>121</v>
      </c>
      <c r="S3919">
        <v>1</v>
      </c>
      <c r="T3919" t="s">
        <v>416</v>
      </c>
      <c r="U3919" s="1">
        <v>43349</v>
      </c>
      <c r="V3919" t="s">
        <v>6729</v>
      </c>
      <c r="W3919" t="s">
        <v>6730</v>
      </c>
      <c r="X3919" t="s">
        <v>58</v>
      </c>
      <c r="Y3919">
        <v>23</v>
      </c>
      <c r="Z3919" t="s">
        <v>59</v>
      </c>
      <c r="AA3919" t="s">
        <v>59</v>
      </c>
      <c r="AB3919" t="s">
        <v>59</v>
      </c>
      <c r="AC3919" t="s">
        <v>59</v>
      </c>
      <c r="AD3919" t="s">
        <v>59</v>
      </c>
      <c r="AF3919" s="1">
        <v>43349</v>
      </c>
      <c r="AG3919" t="s">
        <v>125</v>
      </c>
      <c r="AH3919" t="s">
        <v>126</v>
      </c>
      <c r="AI3919" t="str">
        <f>"5009010"</f>
        <v>5009010</v>
      </c>
      <c r="AJ3919" t="s">
        <v>6901</v>
      </c>
      <c r="AK3919">
        <v>2821077212</v>
      </c>
      <c r="AL3919" t="s">
        <v>6902</v>
      </c>
      <c r="AM3919" t="s">
        <v>88</v>
      </c>
      <c r="AN3919" t="s">
        <v>6764</v>
      </c>
      <c r="AO3919" t="s">
        <v>6885</v>
      </c>
      <c r="AP3919" t="s">
        <v>6886</v>
      </c>
      <c r="AQ3919">
        <v>1</v>
      </c>
      <c r="AR3919" t="s">
        <v>6729</v>
      </c>
      <c r="AS3919" t="s">
        <v>6730</v>
      </c>
      <c r="AT3919" t="s">
        <v>58</v>
      </c>
      <c r="AU3919" t="s">
        <v>419</v>
      </c>
      <c r="AV3919" t="s">
        <v>132</v>
      </c>
      <c r="AW3919" s="1">
        <v>28580</v>
      </c>
      <c r="AX3919">
        <v>2</v>
      </c>
    </row>
    <row r="3920" spans="1:50">
      <c r="A3920">
        <v>197144</v>
      </c>
      <c r="B3920" t="str">
        <f>"074711027"</f>
        <v>074711027</v>
      </c>
      <c r="C3920" t="s">
        <v>50</v>
      </c>
      <c r="D3920" t="s">
        <v>7424</v>
      </c>
      <c r="E3920" t="s">
        <v>155</v>
      </c>
      <c r="F3920" t="s">
        <v>609</v>
      </c>
      <c r="G3920" t="s">
        <v>250</v>
      </c>
      <c r="H3920" t="str">
        <f>" "</f>
        <v xml:space="preserve"> </v>
      </c>
      <c r="J3920">
        <v>2821086981</v>
      </c>
      <c r="K3920">
        <v>6977918650</v>
      </c>
      <c r="M3920" t="s">
        <v>7425</v>
      </c>
      <c r="N3920" t="s">
        <v>146</v>
      </c>
      <c r="O3920" t="s">
        <v>147</v>
      </c>
      <c r="R3920" t="s">
        <v>57</v>
      </c>
      <c r="S3920">
        <v>7</v>
      </c>
      <c r="T3920">
        <v>206</v>
      </c>
      <c r="U3920" s="1">
        <v>37866</v>
      </c>
      <c r="V3920" t="s">
        <v>6729</v>
      </c>
      <c r="W3920" t="s">
        <v>6730</v>
      </c>
      <c r="X3920" t="s">
        <v>58</v>
      </c>
      <c r="Y3920">
        <v>20</v>
      </c>
      <c r="Z3920" t="s">
        <v>59</v>
      </c>
      <c r="AA3920" t="s">
        <v>59</v>
      </c>
      <c r="AB3920" t="s">
        <v>59</v>
      </c>
      <c r="AC3920" t="s">
        <v>59</v>
      </c>
      <c r="AD3920" t="s">
        <v>59</v>
      </c>
      <c r="AF3920" s="1">
        <v>37866</v>
      </c>
      <c r="AG3920" t="s">
        <v>148</v>
      </c>
      <c r="AH3920" t="s">
        <v>1053</v>
      </c>
      <c r="AI3920" t="str">
        <f>"5051015"</f>
        <v>5051015</v>
      </c>
      <c r="AJ3920" t="s">
        <v>6865</v>
      </c>
      <c r="AK3920">
        <v>2821043770</v>
      </c>
      <c r="AL3920" t="s">
        <v>6866</v>
      </c>
      <c r="AM3920" t="s">
        <v>88</v>
      </c>
      <c r="AN3920" t="s">
        <v>88</v>
      </c>
      <c r="AO3920" t="s">
        <v>88</v>
      </c>
      <c r="AP3920" t="s">
        <v>88</v>
      </c>
      <c r="AQ3920">
        <v>1</v>
      </c>
      <c r="AR3920" t="s">
        <v>6729</v>
      </c>
      <c r="AS3920" t="s">
        <v>6730</v>
      </c>
      <c r="AT3920" t="s">
        <v>58</v>
      </c>
      <c r="AU3920" t="s">
        <v>68</v>
      </c>
      <c r="AV3920" t="s">
        <v>69</v>
      </c>
      <c r="AW3920" s="1">
        <v>26246</v>
      </c>
      <c r="AX3920">
        <v>2</v>
      </c>
    </row>
    <row r="3921" spans="1:50">
      <c r="A3921">
        <v>194145</v>
      </c>
      <c r="B3921" t="str">
        <f>"064694147"</f>
        <v>064694147</v>
      </c>
      <c r="C3921" t="s">
        <v>50</v>
      </c>
      <c r="D3921" t="s">
        <v>7426</v>
      </c>
      <c r="E3921" t="s">
        <v>52</v>
      </c>
      <c r="F3921" t="s">
        <v>53</v>
      </c>
      <c r="G3921" t="s">
        <v>4269</v>
      </c>
      <c r="H3921" t="str">
        <f>"ΚΛΑΔΟΥΡΙ  ΠΙΘΑΡΙ"</f>
        <v>ΚΛΑΔΟΥΡΙ  ΠΙΘΑΡΙ</v>
      </c>
      <c r="I3921">
        <v>73100</v>
      </c>
      <c r="J3921">
        <v>2821082935</v>
      </c>
      <c r="K3921">
        <v>6974886324</v>
      </c>
      <c r="N3921" t="s">
        <v>299</v>
      </c>
      <c r="O3921" t="s">
        <v>300</v>
      </c>
      <c r="R3921" t="s">
        <v>57</v>
      </c>
      <c r="S3921">
        <v>10</v>
      </c>
      <c r="T3921">
        <v>193</v>
      </c>
      <c r="U3921" s="1">
        <v>37497</v>
      </c>
      <c r="V3921" t="s">
        <v>6729</v>
      </c>
      <c r="W3921" t="s">
        <v>6730</v>
      </c>
      <c r="X3921" t="s">
        <v>58</v>
      </c>
      <c r="Y3921">
        <v>18</v>
      </c>
      <c r="Z3921" t="s">
        <v>59</v>
      </c>
      <c r="AA3921" t="s">
        <v>59</v>
      </c>
      <c r="AB3921" t="s">
        <v>59</v>
      </c>
      <c r="AC3921" t="s">
        <v>59</v>
      </c>
      <c r="AD3921" t="s">
        <v>59</v>
      </c>
      <c r="AF3921" s="1">
        <v>37501</v>
      </c>
      <c r="AG3921" t="s">
        <v>137</v>
      </c>
      <c r="AH3921" t="s">
        <v>138</v>
      </c>
      <c r="AI3921" t="str">
        <f>"5040100"</f>
        <v>5040100</v>
      </c>
      <c r="AJ3921" t="s">
        <v>6790</v>
      </c>
      <c r="AK3921">
        <v>2821058998</v>
      </c>
      <c r="AL3921" t="s">
        <v>6791</v>
      </c>
      <c r="AM3921" t="s">
        <v>88</v>
      </c>
      <c r="AN3921" t="s">
        <v>88</v>
      </c>
      <c r="AO3921" t="s">
        <v>6770</v>
      </c>
      <c r="AP3921" t="s">
        <v>6771</v>
      </c>
      <c r="AQ3921">
        <v>1</v>
      </c>
      <c r="AR3921" t="s">
        <v>6729</v>
      </c>
      <c r="AS3921" t="s">
        <v>6730</v>
      </c>
      <c r="AT3921" t="s">
        <v>58</v>
      </c>
      <c r="AU3921" t="s">
        <v>68</v>
      </c>
      <c r="AV3921" t="s">
        <v>69</v>
      </c>
      <c r="AW3921" s="1">
        <v>20034</v>
      </c>
      <c r="AX3921">
        <v>2</v>
      </c>
    </row>
    <row r="3922" spans="1:50">
      <c r="B3922" t="str">
        <f>"124993760"</f>
        <v>124993760</v>
      </c>
      <c r="C3922" t="s">
        <v>50</v>
      </c>
      <c r="D3922" t="s">
        <v>7427</v>
      </c>
      <c r="E3922" t="s">
        <v>964</v>
      </c>
      <c r="F3922" t="s">
        <v>670</v>
      </c>
      <c r="G3922" t="s">
        <v>2301</v>
      </c>
      <c r="H3922" t="str">
        <f>"ΤΡΑΠΕΖΟΥΤΝΤΟΣ  ΚΑΤΕΡΙΝΗ"</f>
        <v>ΤΡΑΠΕΖΟΥΤΝΤΟΣ  ΚΑΤΕΡΙΝΗ</v>
      </c>
      <c r="I3922">
        <v>60100</v>
      </c>
      <c r="J3922">
        <v>2351039443</v>
      </c>
      <c r="K3922">
        <v>6977886904</v>
      </c>
      <c r="N3922" t="s">
        <v>536</v>
      </c>
      <c r="O3922" t="s">
        <v>537</v>
      </c>
      <c r="R3922" t="s">
        <v>159</v>
      </c>
      <c r="S3922">
        <v>4</v>
      </c>
      <c r="T3922" t="s">
        <v>344</v>
      </c>
      <c r="U3922" s="1">
        <v>43348</v>
      </c>
      <c r="V3922" t="s">
        <v>6729</v>
      </c>
      <c r="W3922" t="s">
        <v>6730</v>
      </c>
      <c r="X3922" t="s">
        <v>58</v>
      </c>
      <c r="Y3922">
        <v>23</v>
      </c>
      <c r="Z3922" t="s">
        <v>59</v>
      </c>
      <c r="AA3922" t="s">
        <v>59</v>
      </c>
      <c r="AB3922" t="s">
        <v>59</v>
      </c>
      <c r="AC3922" t="s">
        <v>59</v>
      </c>
      <c r="AD3922" t="s">
        <v>59</v>
      </c>
      <c r="AF3922" s="1">
        <v>43348</v>
      </c>
      <c r="AG3922" t="s">
        <v>125</v>
      </c>
      <c r="AH3922" t="s">
        <v>126</v>
      </c>
      <c r="AI3922" t="str">
        <f>"5011010"</f>
        <v>5011010</v>
      </c>
      <c r="AJ3922" t="s">
        <v>6877</v>
      </c>
      <c r="AK3922">
        <v>2821081330</v>
      </c>
      <c r="AL3922" t="s">
        <v>6878</v>
      </c>
      <c r="AM3922" t="s">
        <v>88</v>
      </c>
      <c r="AN3922" t="s">
        <v>88</v>
      </c>
      <c r="AO3922" t="s">
        <v>6748</v>
      </c>
      <c r="AP3922" t="s">
        <v>6748</v>
      </c>
      <c r="AQ3922">
        <v>1</v>
      </c>
      <c r="AR3922" t="s">
        <v>6729</v>
      </c>
      <c r="AS3922" t="s">
        <v>6730</v>
      </c>
      <c r="AT3922" t="s">
        <v>58</v>
      </c>
      <c r="AU3922" t="s">
        <v>350</v>
      </c>
      <c r="AV3922" t="s">
        <v>132</v>
      </c>
      <c r="AW3922" s="1">
        <v>30042</v>
      </c>
      <c r="AX3922">
        <v>2</v>
      </c>
    </row>
    <row r="3923" spans="1:50">
      <c r="B3923" t="str">
        <f>"066836647"</f>
        <v>066836647</v>
      </c>
      <c r="C3923" t="s">
        <v>50</v>
      </c>
      <c r="D3923" t="s">
        <v>1987</v>
      </c>
      <c r="E3923" t="s">
        <v>237</v>
      </c>
      <c r="F3923" t="s">
        <v>95</v>
      </c>
      <c r="G3923" t="s">
        <v>620</v>
      </c>
      <c r="H3923" t="str">
        <f>"ΠΑΖΙΝΟΣ ΑΚΡΩΤΗΡΙΟΥ  ΧΑΝΙΑ"</f>
        <v>ΠΑΖΙΝΟΣ ΑΚΡΩΤΗΡΙΟΥ  ΧΑΝΙΑ</v>
      </c>
      <c r="I3923">
        <v>73100</v>
      </c>
      <c r="J3923">
        <v>2821091828</v>
      </c>
      <c r="K3923">
        <v>6936495651</v>
      </c>
      <c r="M3923" t="s">
        <v>7428</v>
      </c>
      <c r="N3923" t="s">
        <v>342</v>
      </c>
      <c r="O3923" t="s">
        <v>343</v>
      </c>
      <c r="R3923" t="s">
        <v>159</v>
      </c>
      <c r="S3923">
        <v>2</v>
      </c>
      <c r="T3923" t="s">
        <v>344</v>
      </c>
      <c r="U3923" s="1">
        <v>43348</v>
      </c>
      <c r="V3923" t="s">
        <v>6729</v>
      </c>
      <c r="W3923" t="s">
        <v>6730</v>
      </c>
      <c r="X3923" t="s">
        <v>58</v>
      </c>
      <c r="Y3923">
        <v>23</v>
      </c>
      <c r="Z3923" t="s">
        <v>59</v>
      </c>
      <c r="AA3923" t="s">
        <v>59</v>
      </c>
      <c r="AB3923" t="s">
        <v>59</v>
      </c>
      <c r="AD3923" t="s">
        <v>59</v>
      </c>
      <c r="AF3923" s="1">
        <v>43348</v>
      </c>
      <c r="AG3923" t="s">
        <v>345</v>
      </c>
      <c r="AH3923" t="s">
        <v>346</v>
      </c>
      <c r="AI3923" t="str">
        <f>"5041001"</f>
        <v>5041001</v>
      </c>
      <c r="AJ3923" t="s">
        <v>6840</v>
      </c>
      <c r="AK3923">
        <v>2821052100</v>
      </c>
      <c r="AL3923" t="s">
        <v>6841</v>
      </c>
      <c r="AM3923" t="s">
        <v>88</v>
      </c>
      <c r="AN3923" t="s">
        <v>88</v>
      </c>
      <c r="AO3923" t="s">
        <v>88</v>
      </c>
      <c r="AP3923" t="s">
        <v>88</v>
      </c>
      <c r="AQ3923">
        <v>1</v>
      </c>
      <c r="AR3923" t="s">
        <v>6729</v>
      </c>
      <c r="AS3923" t="s">
        <v>6730</v>
      </c>
      <c r="AT3923" t="s">
        <v>58</v>
      </c>
      <c r="AU3923" t="s">
        <v>350</v>
      </c>
      <c r="AV3923" t="s">
        <v>132</v>
      </c>
      <c r="AW3923" s="1">
        <v>28647</v>
      </c>
      <c r="AX3923">
        <v>2</v>
      </c>
    </row>
    <row r="3924" spans="1:50">
      <c r="A3924">
        <v>189937</v>
      </c>
      <c r="B3924" t="str">
        <f>"059384488"</f>
        <v>059384488</v>
      </c>
      <c r="C3924" t="s">
        <v>105</v>
      </c>
      <c r="D3924" t="s">
        <v>1994</v>
      </c>
      <c r="E3924" t="s">
        <v>1363</v>
      </c>
      <c r="F3924" t="s">
        <v>166</v>
      </c>
      <c r="G3924" t="s">
        <v>250</v>
      </c>
      <c r="H3924" t="str">
        <f>"ΔΑΡΑΤΣΟ ΧΑΝΙΑ"</f>
        <v>ΔΑΡΑΤΣΟ ΧΑΝΙΑ</v>
      </c>
      <c r="I3924">
        <v>73100</v>
      </c>
      <c r="K3924">
        <v>6976859484</v>
      </c>
      <c r="M3924" t="s">
        <v>7429</v>
      </c>
      <c r="N3924" t="s">
        <v>232</v>
      </c>
      <c r="O3924" t="s">
        <v>233</v>
      </c>
      <c r="R3924" t="s">
        <v>57</v>
      </c>
      <c r="S3924">
        <v>8</v>
      </c>
      <c r="T3924">
        <v>219</v>
      </c>
      <c r="U3924" s="1">
        <v>37134</v>
      </c>
      <c r="V3924" t="s">
        <v>6729</v>
      </c>
      <c r="W3924" t="s">
        <v>6730</v>
      </c>
      <c r="X3924" t="s">
        <v>58</v>
      </c>
      <c r="Y3924">
        <v>20</v>
      </c>
      <c r="Z3924" t="s">
        <v>59</v>
      </c>
      <c r="AA3924" t="s">
        <v>59</v>
      </c>
      <c r="AB3924" t="s">
        <v>59</v>
      </c>
      <c r="AC3924" t="s">
        <v>59</v>
      </c>
      <c r="AD3924" t="s">
        <v>59</v>
      </c>
      <c r="AF3924" s="1">
        <v>37138</v>
      </c>
      <c r="AG3924" t="s">
        <v>148</v>
      </c>
      <c r="AH3924" t="s">
        <v>1053</v>
      </c>
      <c r="AI3924" t="str">
        <f>"5051015"</f>
        <v>5051015</v>
      </c>
      <c r="AJ3924" t="s">
        <v>6865</v>
      </c>
      <c r="AK3924">
        <v>2821043770</v>
      </c>
      <c r="AL3924" t="s">
        <v>6866</v>
      </c>
      <c r="AM3924" t="s">
        <v>88</v>
      </c>
      <c r="AN3924" t="s">
        <v>88</v>
      </c>
      <c r="AO3924" t="s">
        <v>88</v>
      </c>
      <c r="AP3924" t="s">
        <v>88</v>
      </c>
      <c r="AQ3924">
        <v>1</v>
      </c>
      <c r="AR3924" t="s">
        <v>6729</v>
      </c>
      <c r="AS3924" t="s">
        <v>6730</v>
      </c>
      <c r="AT3924" t="s">
        <v>58</v>
      </c>
      <c r="AU3924" t="s">
        <v>68</v>
      </c>
      <c r="AV3924" t="s">
        <v>69</v>
      </c>
      <c r="AW3924" s="1">
        <v>25343</v>
      </c>
      <c r="AX3924">
        <v>2</v>
      </c>
    </row>
    <row r="3925" spans="1:50">
      <c r="A3925">
        <v>202273</v>
      </c>
      <c r="B3925" t="str">
        <f>"039903068"</f>
        <v>039903068</v>
      </c>
      <c r="C3925" t="s">
        <v>105</v>
      </c>
      <c r="D3925" t="s">
        <v>7430</v>
      </c>
      <c r="E3925" t="s">
        <v>95</v>
      </c>
      <c r="F3925" t="s">
        <v>99</v>
      </c>
      <c r="G3925" t="s">
        <v>263</v>
      </c>
      <c r="H3925" t="str">
        <f>" "</f>
        <v xml:space="preserve"> </v>
      </c>
      <c r="J3925">
        <v>2821028776</v>
      </c>
      <c r="K3925">
        <v>6945626121</v>
      </c>
      <c r="N3925" t="s">
        <v>292</v>
      </c>
      <c r="O3925" t="s">
        <v>293</v>
      </c>
      <c r="R3925" t="s">
        <v>57</v>
      </c>
      <c r="S3925">
        <v>8</v>
      </c>
      <c r="T3925">
        <v>231</v>
      </c>
      <c r="U3925" s="1">
        <v>38230</v>
      </c>
      <c r="V3925" t="s">
        <v>6729</v>
      </c>
      <c r="W3925" t="s">
        <v>6730</v>
      </c>
      <c r="X3925" t="s">
        <v>58</v>
      </c>
      <c r="Y3925">
        <v>20</v>
      </c>
      <c r="Z3925" t="s">
        <v>59</v>
      </c>
      <c r="AA3925" t="s">
        <v>59</v>
      </c>
      <c r="AB3925" t="s">
        <v>59</v>
      </c>
      <c r="AC3925" t="s">
        <v>59</v>
      </c>
      <c r="AD3925" t="s">
        <v>59</v>
      </c>
      <c r="AF3925" s="1">
        <v>38236</v>
      </c>
      <c r="AG3925" t="s">
        <v>137</v>
      </c>
      <c r="AH3925" t="s">
        <v>469</v>
      </c>
      <c r="AI3925" t="str">
        <f>"5040055"</f>
        <v>5040055</v>
      </c>
      <c r="AJ3925" t="s">
        <v>6940</v>
      </c>
      <c r="AK3925">
        <v>2821036404</v>
      </c>
      <c r="AL3925" t="s">
        <v>6941</v>
      </c>
      <c r="AM3925" t="s">
        <v>88</v>
      </c>
      <c r="AN3925" t="s">
        <v>88</v>
      </c>
      <c r="AO3925" t="s">
        <v>88</v>
      </c>
      <c r="AP3925" t="s">
        <v>88</v>
      </c>
      <c r="AQ3925">
        <v>1</v>
      </c>
      <c r="AR3925" t="s">
        <v>6729</v>
      </c>
      <c r="AS3925" t="s">
        <v>6730</v>
      </c>
      <c r="AT3925" t="s">
        <v>58</v>
      </c>
      <c r="AU3925" t="s">
        <v>68</v>
      </c>
      <c r="AV3925" t="s">
        <v>69</v>
      </c>
      <c r="AW3925" s="1">
        <v>24188</v>
      </c>
      <c r="AX3925">
        <v>2</v>
      </c>
    </row>
    <row r="3926" spans="1:50">
      <c r="A3926">
        <v>701536</v>
      </c>
      <c r="B3926" t="str">
        <f>"063794161"</f>
        <v>063794161</v>
      </c>
      <c r="C3926" t="s">
        <v>50</v>
      </c>
      <c r="D3926" t="s">
        <v>2022</v>
      </c>
      <c r="E3926" t="s">
        <v>580</v>
      </c>
      <c r="F3926" t="s">
        <v>92</v>
      </c>
      <c r="G3926" t="s">
        <v>801</v>
      </c>
      <c r="H3926" t="str">
        <f>"ΕΛ. ΒΕΝΙΖΕΛΟΥ 10 ΧΑΝΙΑ"</f>
        <v>ΕΛ. ΒΕΝΙΖΕΛΟΥ 10 ΧΑΝΙΑ</v>
      </c>
      <c r="I3926">
        <v>73100</v>
      </c>
      <c r="J3926">
        <v>2821070164</v>
      </c>
      <c r="K3926">
        <v>6937829814</v>
      </c>
      <c r="N3926" t="s">
        <v>146</v>
      </c>
      <c r="O3926" t="s">
        <v>147</v>
      </c>
      <c r="R3926" t="s">
        <v>57</v>
      </c>
      <c r="S3926">
        <v>7</v>
      </c>
      <c r="T3926">
        <v>772</v>
      </c>
      <c r="U3926" s="1">
        <v>40413</v>
      </c>
      <c r="V3926" t="s">
        <v>6729</v>
      </c>
      <c r="W3926" t="s">
        <v>6730</v>
      </c>
      <c r="X3926" t="s">
        <v>58</v>
      </c>
      <c r="Y3926">
        <v>20</v>
      </c>
      <c r="Z3926" t="s">
        <v>59</v>
      </c>
      <c r="AA3926" t="s">
        <v>59</v>
      </c>
      <c r="AB3926" t="s">
        <v>59</v>
      </c>
      <c r="AC3926" t="s">
        <v>59</v>
      </c>
      <c r="AD3926" t="s">
        <v>59</v>
      </c>
      <c r="AF3926" s="1">
        <v>40413</v>
      </c>
      <c r="AG3926" t="s">
        <v>148</v>
      </c>
      <c r="AH3926" t="s">
        <v>149</v>
      </c>
      <c r="AI3926" t="str">
        <f>"5059010"</f>
        <v>5059010</v>
      </c>
      <c r="AJ3926" t="s">
        <v>6883</v>
      </c>
      <c r="AK3926">
        <v>2821077166</v>
      </c>
      <c r="AL3926" t="s">
        <v>6884</v>
      </c>
      <c r="AM3926" t="s">
        <v>88</v>
      </c>
      <c r="AN3926" t="s">
        <v>6764</v>
      </c>
      <c r="AO3926" t="s">
        <v>6885</v>
      </c>
      <c r="AP3926" t="s">
        <v>6886</v>
      </c>
      <c r="AQ3926">
        <v>1</v>
      </c>
      <c r="AR3926" t="s">
        <v>6729</v>
      </c>
      <c r="AS3926" t="s">
        <v>6730</v>
      </c>
      <c r="AT3926" t="s">
        <v>58</v>
      </c>
      <c r="AU3926" t="s">
        <v>68</v>
      </c>
      <c r="AV3926" t="s">
        <v>69</v>
      </c>
      <c r="AW3926" s="1">
        <v>26826</v>
      </c>
      <c r="AX3926">
        <v>2</v>
      </c>
    </row>
    <row r="3927" spans="1:50">
      <c r="A3927">
        <v>199473</v>
      </c>
      <c r="B3927" t="str">
        <f>"073130604"</f>
        <v>073130604</v>
      </c>
      <c r="C3927" t="s">
        <v>50</v>
      </c>
      <c r="D3927" t="s">
        <v>2022</v>
      </c>
      <c r="E3927" t="s">
        <v>250</v>
      </c>
      <c r="F3927" t="s">
        <v>99</v>
      </c>
      <c r="G3927" t="s">
        <v>54</v>
      </c>
      <c r="H3927" t="str">
        <f>" "</f>
        <v xml:space="preserve"> </v>
      </c>
      <c r="J3927">
        <v>2822031291</v>
      </c>
      <c r="L3927">
        <v>2821033707</v>
      </c>
      <c r="N3927" t="s">
        <v>282</v>
      </c>
      <c r="O3927" t="s">
        <v>283</v>
      </c>
      <c r="R3927" t="s">
        <v>57</v>
      </c>
      <c r="S3927">
        <v>11</v>
      </c>
      <c r="T3927">
        <v>206</v>
      </c>
      <c r="U3927" s="1">
        <v>37866</v>
      </c>
      <c r="V3927" t="s">
        <v>6729</v>
      </c>
      <c r="W3927" t="s">
        <v>6730</v>
      </c>
      <c r="X3927" t="s">
        <v>58</v>
      </c>
      <c r="Y3927">
        <v>20</v>
      </c>
      <c r="Z3927" t="s">
        <v>59</v>
      </c>
      <c r="AA3927" t="s">
        <v>59</v>
      </c>
      <c r="AB3927" t="s">
        <v>59</v>
      </c>
      <c r="AC3927" t="s">
        <v>59</v>
      </c>
      <c r="AD3927" t="s">
        <v>59</v>
      </c>
      <c r="AF3927" s="1">
        <v>37867</v>
      </c>
      <c r="AG3927" t="s">
        <v>125</v>
      </c>
      <c r="AH3927" t="s">
        <v>126</v>
      </c>
      <c r="AI3927" t="str">
        <f>"5001010"</f>
        <v>5001010</v>
      </c>
      <c r="AJ3927" t="s">
        <v>6873</v>
      </c>
      <c r="AK3927">
        <v>2821052130</v>
      </c>
      <c r="AL3927" t="s">
        <v>6874</v>
      </c>
      <c r="AM3927" t="s">
        <v>88</v>
      </c>
      <c r="AN3927" t="s">
        <v>88</v>
      </c>
      <c r="AO3927" t="s">
        <v>88</v>
      </c>
      <c r="AP3927" t="s">
        <v>88</v>
      </c>
      <c r="AQ3927">
        <v>1</v>
      </c>
      <c r="AR3927" t="s">
        <v>6729</v>
      </c>
      <c r="AS3927" t="s">
        <v>6730</v>
      </c>
      <c r="AT3927" t="s">
        <v>58</v>
      </c>
      <c r="AU3927" t="s">
        <v>68</v>
      </c>
      <c r="AV3927" t="s">
        <v>357</v>
      </c>
      <c r="AW3927" s="1">
        <v>26645</v>
      </c>
      <c r="AX3927">
        <v>2</v>
      </c>
    </row>
    <row r="3928" spans="1:50">
      <c r="B3928" t="str">
        <f>"117561775"</f>
        <v>117561775</v>
      </c>
      <c r="C3928" t="s">
        <v>50</v>
      </c>
      <c r="D3928" t="s">
        <v>2022</v>
      </c>
      <c r="E3928" t="s">
        <v>112</v>
      </c>
      <c r="F3928" t="s">
        <v>154</v>
      </c>
      <c r="G3928" t="s">
        <v>869</v>
      </c>
      <c r="H3928" t="str">
        <f>"ΔΩΔΕΚΑΝΗΣΟΥ 8 ΧΑΝΙΑ"</f>
        <v>ΔΩΔΕΚΑΝΗΣΟΥ 8 ΧΑΝΙΑ</v>
      </c>
      <c r="I3928">
        <v>73132</v>
      </c>
      <c r="J3928">
        <v>2821051969</v>
      </c>
      <c r="K3928">
        <v>6934130984</v>
      </c>
      <c r="N3928" t="s">
        <v>146</v>
      </c>
      <c r="O3928" t="s">
        <v>147</v>
      </c>
      <c r="R3928" t="s">
        <v>159</v>
      </c>
      <c r="S3928">
        <v>3</v>
      </c>
      <c r="T3928" t="s">
        <v>574</v>
      </c>
      <c r="U3928" s="1">
        <v>43378</v>
      </c>
      <c r="V3928" t="s">
        <v>6729</v>
      </c>
      <c r="W3928" t="s">
        <v>6730</v>
      </c>
      <c r="X3928" t="s">
        <v>58</v>
      </c>
      <c r="Y3928">
        <v>21</v>
      </c>
      <c r="Z3928" t="s">
        <v>59</v>
      </c>
      <c r="AA3928" t="s">
        <v>59</v>
      </c>
      <c r="AB3928" t="s">
        <v>59</v>
      </c>
      <c r="AC3928" t="s">
        <v>59</v>
      </c>
      <c r="AD3928" t="s">
        <v>59</v>
      </c>
      <c r="AF3928" s="1">
        <v>43381</v>
      </c>
      <c r="AG3928" t="s">
        <v>148</v>
      </c>
      <c r="AH3928" t="s">
        <v>149</v>
      </c>
      <c r="AI3928" t="str">
        <f>"5058010"</f>
        <v>5058010</v>
      </c>
      <c r="AJ3928" t="s">
        <v>7431</v>
      </c>
      <c r="AK3928">
        <v>2825091037</v>
      </c>
      <c r="AL3928" t="s">
        <v>7432</v>
      </c>
      <c r="AM3928" t="s">
        <v>88</v>
      </c>
      <c r="AN3928" t="s">
        <v>6995</v>
      </c>
      <c r="AO3928" t="s">
        <v>6995</v>
      </c>
      <c r="AP3928" t="s">
        <v>6996</v>
      </c>
      <c r="AQ3928">
        <v>1</v>
      </c>
      <c r="AR3928" t="s">
        <v>6729</v>
      </c>
      <c r="AS3928" t="s">
        <v>6730</v>
      </c>
      <c r="AT3928" t="s">
        <v>58</v>
      </c>
      <c r="AU3928" t="s">
        <v>164</v>
      </c>
      <c r="AV3928" t="s">
        <v>132</v>
      </c>
      <c r="AW3928" s="1">
        <v>28696</v>
      </c>
      <c r="AX3928">
        <v>2</v>
      </c>
    </row>
    <row r="3929" spans="1:50">
      <c r="A3929">
        <v>158879</v>
      </c>
      <c r="B3929" t="str">
        <f>"033092293"</f>
        <v>033092293</v>
      </c>
      <c r="C3929" t="s">
        <v>50</v>
      </c>
      <c r="D3929" t="s">
        <v>7433</v>
      </c>
      <c r="E3929" t="s">
        <v>7434</v>
      </c>
      <c r="F3929" t="s">
        <v>95</v>
      </c>
      <c r="G3929" t="s">
        <v>3386</v>
      </c>
      <c r="H3929" t="str">
        <f>"2η πάροδος Θεοδ. Παντζελιουδάκη ΚΑΜΠΑΝΙ"</f>
        <v>2η πάροδος Θεοδ. Παντζελιουδάκη ΚΑΜΠΑΝΙ</v>
      </c>
      <c r="J3929">
        <v>2821064429</v>
      </c>
      <c r="K3929">
        <v>6979104006</v>
      </c>
      <c r="M3929" t="s">
        <v>7435</v>
      </c>
      <c r="N3929" t="s">
        <v>157</v>
      </c>
      <c r="O3929" t="s">
        <v>158</v>
      </c>
      <c r="R3929" t="s">
        <v>57</v>
      </c>
      <c r="S3929">
        <v>15</v>
      </c>
      <c r="T3929">
        <v>161</v>
      </c>
      <c r="U3929" s="1">
        <v>33119</v>
      </c>
      <c r="V3929" t="s">
        <v>6729</v>
      </c>
      <c r="W3929" t="s">
        <v>6730</v>
      </c>
      <c r="X3929" t="s">
        <v>58</v>
      </c>
      <c r="Y3929">
        <v>18</v>
      </c>
      <c r="Z3929" t="s">
        <v>59</v>
      </c>
      <c r="AA3929" t="s">
        <v>59</v>
      </c>
      <c r="AB3929" t="s">
        <v>59</v>
      </c>
      <c r="AC3929" t="s">
        <v>59</v>
      </c>
      <c r="AD3929" t="s">
        <v>59</v>
      </c>
      <c r="AF3929" s="1">
        <v>33122</v>
      </c>
      <c r="AG3929" t="s">
        <v>148</v>
      </c>
      <c r="AH3929" t="s">
        <v>149</v>
      </c>
      <c r="AI3929" t="str">
        <f>"5051009"</f>
        <v>5051009</v>
      </c>
      <c r="AJ3929" t="s">
        <v>6851</v>
      </c>
      <c r="AK3929">
        <v>2821044551</v>
      </c>
      <c r="AL3929" t="s">
        <v>6852</v>
      </c>
      <c r="AM3929" t="s">
        <v>88</v>
      </c>
      <c r="AN3929" t="s">
        <v>88</v>
      </c>
      <c r="AO3929" t="s">
        <v>6770</v>
      </c>
      <c r="AP3929" t="s">
        <v>6771</v>
      </c>
      <c r="AQ3929">
        <v>1</v>
      </c>
      <c r="AR3929" t="s">
        <v>6729</v>
      </c>
      <c r="AS3929" t="s">
        <v>6730</v>
      </c>
      <c r="AT3929" t="s">
        <v>58</v>
      </c>
      <c r="AU3929" t="s">
        <v>68</v>
      </c>
      <c r="AV3929" t="s">
        <v>69</v>
      </c>
      <c r="AW3929" s="1">
        <v>22805</v>
      </c>
      <c r="AX3929">
        <v>2</v>
      </c>
    </row>
    <row r="3930" spans="1:50">
      <c r="A3930">
        <v>700480</v>
      </c>
      <c r="B3930" t="str">
        <f>"036199956"</f>
        <v>036199956</v>
      </c>
      <c r="C3930" t="s">
        <v>50</v>
      </c>
      <c r="D3930" t="s">
        <v>7436</v>
      </c>
      <c r="E3930" t="s">
        <v>1644</v>
      </c>
      <c r="F3930" t="s">
        <v>589</v>
      </c>
      <c r="G3930" t="s">
        <v>414</v>
      </c>
      <c r="H3930" t="str">
        <f>"ΕΜΜ ΠΙΜΠΛΗ 36 37 ΧΑΝΙΑ"</f>
        <v>ΕΜΜ ΠΙΜΠΛΗ 36 37 ΧΑΝΙΑ</v>
      </c>
      <c r="I3930">
        <v>74134</v>
      </c>
      <c r="J3930">
        <v>2821054948</v>
      </c>
      <c r="K3930">
        <v>6974302096</v>
      </c>
      <c r="M3930" t="s">
        <v>7437</v>
      </c>
      <c r="N3930" t="s">
        <v>146</v>
      </c>
      <c r="O3930" t="s">
        <v>147</v>
      </c>
      <c r="R3930" t="s">
        <v>57</v>
      </c>
      <c r="S3930">
        <v>4</v>
      </c>
      <c r="T3930">
        <v>772</v>
      </c>
      <c r="U3930" s="1">
        <v>40413</v>
      </c>
      <c r="V3930" t="s">
        <v>6729</v>
      </c>
      <c r="W3930" t="s">
        <v>6730</v>
      </c>
      <c r="X3930" t="s">
        <v>58</v>
      </c>
      <c r="Y3930">
        <v>21</v>
      </c>
      <c r="Z3930" t="s">
        <v>59</v>
      </c>
      <c r="AA3930" t="s">
        <v>59</v>
      </c>
      <c r="AB3930" t="s">
        <v>59</v>
      </c>
      <c r="AC3930" t="s">
        <v>59</v>
      </c>
      <c r="AD3930" t="s">
        <v>59</v>
      </c>
      <c r="AF3930" s="1">
        <v>40413</v>
      </c>
      <c r="AG3930" t="s">
        <v>148</v>
      </c>
      <c r="AH3930" t="s">
        <v>149</v>
      </c>
      <c r="AI3930" t="str">
        <f>"5051050"</f>
        <v>5051050</v>
      </c>
      <c r="AJ3930" t="s">
        <v>6861</v>
      </c>
      <c r="AK3930">
        <v>2821044860</v>
      </c>
      <c r="AL3930" t="s">
        <v>6862</v>
      </c>
      <c r="AM3930" t="s">
        <v>88</v>
      </c>
      <c r="AN3930" t="s">
        <v>88</v>
      </c>
      <c r="AO3930" t="s">
        <v>88</v>
      </c>
      <c r="AP3930" t="s">
        <v>88</v>
      </c>
      <c r="AQ3930">
        <v>1</v>
      </c>
      <c r="AR3930" t="s">
        <v>6729</v>
      </c>
      <c r="AS3930" t="s">
        <v>6730</v>
      </c>
      <c r="AT3930" t="s">
        <v>58</v>
      </c>
      <c r="AU3930" t="s">
        <v>68</v>
      </c>
      <c r="AV3930" t="s">
        <v>357</v>
      </c>
      <c r="AW3930" s="1">
        <v>24880</v>
      </c>
      <c r="AX3930">
        <v>2</v>
      </c>
    </row>
    <row r="3931" spans="1:50">
      <c r="A3931">
        <v>225343</v>
      </c>
      <c r="B3931" t="str">
        <f>"126887318"</f>
        <v>126887318</v>
      </c>
      <c r="C3931" t="s">
        <v>50</v>
      </c>
      <c r="D3931" t="s">
        <v>7436</v>
      </c>
      <c r="E3931" t="s">
        <v>250</v>
      </c>
      <c r="F3931" t="s">
        <v>450</v>
      </c>
      <c r="G3931" t="s">
        <v>237</v>
      </c>
      <c r="H3931" t="str">
        <f>" "</f>
        <v xml:space="preserve"> </v>
      </c>
      <c r="K3931">
        <v>6944146647</v>
      </c>
      <c r="N3931" t="s">
        <v>337</v>
      </c>
      <c r="O3931" t="s">
        <v>338</v>
      </c>
      <c r="P3931" t="s">
        <v>1116</v>
      </c>
      <c r="Q3931" t="s">
        <v>1117</v>
      </c>
      <c r="R3931" t="s">
        <v>57</v>
      </c>
      <c r="S3931">
        <v>6</v>
      </c>
      <c r="T3931">
        <v>775</v>
      </c>
      <c r="U3931" s="1">
        <v>39680</v>
      </c>
      <c r="V3931" t="s">
        <v>6729</v>
      </c>
      <c r="W3931" t="s">
        <v>6730</v>
      </c>
      <c r="X3931" t="s">
        <v>58</v>
      </c>
      <c r="Y3931">
        <v>20</v>
      </c>
      <c r="Z3931" t="s">
        <v>59</v>
      </c>
      <c r="AA3931" t="s">
        <v>59</v>
      </c>
      <c r="AB3931" t="s">
        <v>59</v>
      </c>
      <c r="AC3931" t="s">
        <v>59</v>
      </c>
      <c r="AD3931" t="s">
        <v>59</v>
      </c>
      <c r="AF3931" s="1">
        <v>39692</v>
      </c>
      <c r="AG3931" t="s">
        <v>125</v>
      </c>
      <c r="AH3931" t="s">
        <v>294</v>
      </c>
      <c r="AI3931" t="str">
        <f>"5012017"</f>
        <v>5012017</v>
      </c>
      <c r="AJ3931" t="s">
        <v>6859</v>
      </c>
      <c r="AK3931">
        <v>2821088065</v>
      </c>
      <c r="AL3931" t="s">
        <v>6860</v>
      </c>
      <c r="AM3931" t="s">
        <v>88</v>
      </c>
      <c r="AN3931" t="s">
        <v>88</v>
      </c>
      <c r="AO3931" t="s">
        <v>88</v>
      </c>
      <c r="AP3931" t="s">
        <v>88</v>
      </c>
      <c r="AQ3931">
        <v>1</v>
      </c>
      <c r="AR3931" t="s">
        <v>6729</v>
      </c>
      <c r="AS3931" t="s">
        <v>6730</v>
      </c>
      <c r="AT3931" t="s">
        <v>58</v>
      </c>
      <c r="AU3931" t="s">
        <v>68</v>
      </c>
      <c r="AV3931" t="s">
        <v>69</v>
      </c>
      <c r="AW3931" s="1">
        <v>29627</v>
      </c>
      <c r="AX3931">
        <v>2</v>
      </c>
    </row>
    <row r="3932" spans="1:50">
      <c r="A3932">
        <v>214277</v>
      </c>
      <c r="B3932" t="str">
        <f>"025617409"</f>
        <v>025617409</v>
      </c>
      <c r="C3932" t="s">
        <v>50</v>
      </c>
      <c r="D3932" t="s">
        <v>7438</v>
      </c>
      <c r="E3932" t="s">
        <v>221</v>
      </c>
      <c r="F3932" t="s">
        <v>72</v>
      </c>
      <c r="G3932" t="s">
        <v>109</v>
      </c>
      <c r="H3932" t="str">
        <f>"ΔΩΔΕΚΑΝΗΣΟΥ 8 ΚΟΥΜ- ΚΑΠΙ"</f>
        <v>ΔΩΔΕΚΑΝΗΣΟΥ 8 ΚΟΥΜ- ΚΑΠΙ</v>
      </c>
      <c r="I3932">
        <v>73100</v>
      </c>
      <c r="J3932">
        <v>2821040327</v>
      </c>
      <c r="K3932">
        <v>6949593721</v>
      </c>
      <c r="M3932" t="s">
        <v>7439</v>
      </c>
      <c r="N3932" t="s">
        <v>299</v>
      </c>
      <c r="O3932" t="s">
        <v>300</v>
      </c>
      <c r="R3932" t="s">
        <v>57</v>
      </c>
      <c r="S3932">
        <v>7</v>
      </c>
      <c r="T3932">
        <v>231</v>
      </c>
      <c r="U3932" s="1">
        <v>38960</v>
      </c>
      <c r="V3932" t="s">
        <v>6729</v>
      </c>
      <c r="W3932" t="s">
        <v>6730</v>
      </c>
      <c r="X3932" t="s">
        <v>58</v>
      </c>
      <c r="Y3932">
        <v>20</v>
      </c>
      <c r="Z3932" t="s">
        <v>59</v>
      </c>
      <c r="AA3932" t="s">
        <v>59</v>
      </c>
      <c r="AB3932" t="s">
        <v>59</v>
      </c>
      <c r="AC3932" t="s">
        <v>59</v>
      </c>
      <c r="AD3932" t="s">
        <v>59</v>
      </c>
      <c r="AF3932" s="1">
        <v>38961</v>
      </c>
      <c r="AG3932" t="s">
        <v>148</v>
      </c>
      <c r="AH3932" t="s">
        <v>149</v>
      </c>
      <c r="AI3932" t="str">
        <f>"5054010"</f>
        <v>5054010</v>
      </c>
      <c r="AJ3932" t="s">
        <v>6815</v>
      </c>
      <c r="AK3932">
        <v>2822022671</v>
      </c>
      <c r="AL3932" t="s">
        <v>6816</v>
      </c>
      <c r="AM3932" t="s">
        <v>88</v>
      </c>
      <c r="AN3932" t="s">
        <v>6744</v>
      </c>
      <c r="AO3932" t="s">
        <v>6744</v>
      </c>
      <c r="AP3932" t="s">
        <v>6744</v>
      </c>
      <c r="AQ3932">
        <v>1</v>
      </c>
      <c r="AR3932" t="s">
        <v>6729</v>
      </c>
      <c r="AS3932" t="s">
        <v>6730</v>
      </c>
      <c r="AT3932" t="s">
        <v>58</v>
      </c>
      <c r="AU3932" t="s">
        <v>68</v>
      </c>
      <c r="AV3932" t="s">
        <v>69</v>
      </c>
      <c r="AW3932" s="1">
        <v>21984</v>
      </c>
      <c r="AX3932">
        <v>2</v>
      </c>
    </row>
    <row r="3933" spans="1:50">
      <c r="A3933">
        <v>168937</v>
      </c>
      <c r="B3933" t="str">
        <f>"032693445"</f>
        <v>032693445</v>
      </c>
      <c r="C3933" t="s">
        <v>105</v>
      </c>
      <c r="D3933" t="s">
        <v>7440</v>
      </c>
      <c r="E3933" t="s">
        <v>995</v>
      </c>
      <c r="F3933" t="s">
        <v>95</v>
      </c>
      <c r="G3933" t="s">
        <v>52</v>
      </c>
      <c r="H3933" t="str">
        <f>" "</f>
        <v xml:space="preserve"> </v>
      </c>
      <c r="N3933" t="s">
        <v>204</v>
      </c>
      <c r="O3933" t="s">
        <v>205</v>
      </c>
      <c r="P3933" t="s">
        <v>292</v>
      </c>
      <c r="Q3933" t="s">
        <v>293</v>
      </c>
      <c r="R3933" t="s">
        <v>57</v>
      </c>
      <c r="S3933">
        <v>13</v>
      </c>
      <c r="T3933">
        <v>159</v>
      </c>
      <c r="U3933" s="1">
        <v>34582</v>
      </c>
      <c r="V3933" t="s">
        <v>6729</v>
      </c>
      <c r="W3933" t="s">
        <v>6730</v>
      </c>
      <c r="X3933" t="s">
        <v>58</v>
      </c>
      <c r="Y3933">
        <v>18</v>
      </c>
      <c r="Z3933" t="s">
        <v>59</v>
      </c>
      <c r="AA3933" t="s">
        <v>59</v>
      </c>
      <c r="AB3933" t="s">
        <v>59</v>
      </c>
      <c r="AC3933" t="s">
        <v>59</v>
      </c>
      <c r="AD3933" t="s">
        <v>59</v>
      </c>
      <c r="AF3933" s="1">
        <v>34585</v>
      </c>
      <c r="AG3933" t="s">
        <v>125</v>
      </c>
      <c r="AH3933" t="s">
        <v>126</v>
      </c>
      <c r="AI3933" t="str">
        <f>"5001040"</f>
        <v>5001040</v>
      </c>
      <c r="AJ3933" t="s">
        <v>7126</v>
      </c>
      <c r="AK3933">
        <v>2821088010</v>
      </c>
      <c r="AM3933" t="s">
        <v>88</v>
      </c>
      <c r="AN3933" t="s">
        <v>88</v>
      </c>
      <c r="AO3933" t="s">
        <v>88</v>
      </c>
      <c r="AP3933" t="s">
        <v>88</v>
      </c>
      <c r="AQ3933">
        <v>1</v>
      </c>
      <c r="AR3933" t="s">
        <v>6729</v>
      </c>
      <c r="AS3933" t="s">
        <v>6730</v>
      </c>
      <c r="AT3933" t="s">
        <v>58</v>
      </c>
      <c r="AU3933" t="s">
        <v>68</v>
      </c>
      <c r="AV3933" t="s">
        <v>69</v>
      </c>
      <c r="AW3933" s="1">
        <v>21751</v>
      </c>
      <c r="AX3933">
        <v>2</v>
      </c>
    </row>
    <row r="3934" spans="1:50">
      <c r="A3934">
        <v>195009</v>
      </c>
      <c r="B3934" t="str">
        <f>"037875309"</f>
        <v>037875309</v>
      </c>
      <c r="C3934" t="s">
        <v>50</v>
      </c>
      <c r="D3934" t="s">
        <v>7441</v>
      </c>
      <c r="E3934" t="s">
        <v>620</v>
      </c>
      <c r="F3934" t="s">
        <v>99</v>
      </c>
      <c r="G3934" t="s">
        <v>460</v>
      </c>
      <c r="H3934" t="str">
        <f>"Κ. ΦΟΥΜΗ 68 ΧΑΝΙΑ"</f>
        <v>Κ. ΦΟΥΜΗ 68 ΧΑΝΙΑ</v>
      </c>
      <c r="I3934">
        <v>73134</v>
      </c>
      <c r="J3934">
        <v>2821300195</v>
      </c>
      <c r="K3934">
        <v>6985929124</v>
      </c>
      <c r="N3934" t="s">
        <v>157</v>
      </c>
      <c r="O3934" t="s">
        <v>158</v>
      </c>
      <c r="R3934" t="s">
        <v>57</v>
      </c>
      <c r="S3934">
        <v>8</v>
      </c>
      <c r="T3934">
        <v>194</v>
      </c>
      <c r="U3934" s="1">
        <v>37497</v>
      </c>
      <c r="V3934" t="s">
        <v>6729</v>
      </c>
      <c r="W3934" t="s">
        <v>6730</v>
      </c>
      <c r="X3934" t="s">
        <v>58</v>
      </c>
      <c r="Y3934">
        <v>20</v>
      </c>
      <c r="Z3934" t="s">
        <v>59</v>
      </c>
      <c r="AA3934" t="s">
        <v>59</v>
      </c>
      <c r="AB3934" t="s">
        <v>59</v>
      </c>
      <c r="AC3934" t="s">
        <v>59</v>
      </c>
      <c r="AD3934" t="s">
        <v>59</v>
      </c>
      <c r="AF3934" s="1">
        <v>37501</v>
      </c>
      <c r="AG3934" t="s">
        <v>125</v>
      </c>
      <c r="AH3934" t="s">
        <v>126</v>
      </c>
      <c r="AI3934" t="str">
        <f>"5001010"</f>
        <v>5001010</v>
      </c>
      <c r="AJ3934" t="s">
        <v>6873</v>
      </c>
      <c r="AK3934">
        <v>2821052130</v>
      </c>
      <c r="AL3934" t="s">
        <v>6874</v>
      </c>
      <c r="AM3934" t="s">
        <v>88</v>
      </c>
      <c r="AN3934" t="s">
        <v>88</v>
      </c>
      <c r="AO3934" t="s">
        <v>88</v>
      </c>
      <c r="AP3934" t="s">
        <v>88</v>
      </c>
      <c r="AQ3934">
        <v>1</v>
      </c>
      <c r="AR3934" t="s">
        <v>6729</v>
      </c>
      <c r="AS3934" t="s">
        <v>6730</v>
      </c>
      <c r="AT3934" t="s">
        <v>58</v>
      </c>
      <c r="AU3934" t="s">
        <v>68</v>
      </c>
      <c r="AV3934" t="s">
        <v>69</v>
      </c>
      <c r="AW3934" s="1">
        <v>24029</v>
      </c>
      <c r="AX3934">
        <v>2</v>
      </c>
    </row>
    <row r="3935" spans="1:50">
      <c r="A3935">
        <v>210518</v>
      </c>
      <c r="B3935" t="str">
        <f>"073911390"</f>
        <v>073911390</v>
      </c>
      <c r="C3935" t="s">
        <v>50</v>
      </c>
      <c r="D3935" t="s">
        <v>7442</v>
      </c>
      <c r="E3935" t="s">
        <v>1085</v>
      </c>
      <c r="F3935" t="s">
        <v>377</v>
      </c>
      <c r="G3935" t="s">
        <v>1450</v>
      </c>
      <c r="H3935" t="str">
        <f>" "</f>
        <v xml:space="preserve"> </v>
      </c>
      <c r="J3935">
        <v>2262022717</v>
      </c>
      <c r="K3935">
        <v>6932382405</v>
      </c>
      <c r="M3935" t="s">
        <v>7443</v>
      </c>
      <c r="N3935" t="s">
        <v>306</v>
      </c>
      <c r="O3935" t="s">
        <v>307</v>
      </c>
      <c r="R3935" t="s">
        <v>57</v>
      </c>
      <c r="S3935">
        <v>8</v>
      </c>
      <c r="T3935">
        <v>249</v>
      </c>
      <c r="U3935" s="1">
        <v>38617</v>
      </c>
      <c r="V3935" t="s">
        <v>6729</v>
      </c>
      <c r="W3935" t="s">
        <v>6730</v>
      </c>
      <c r="X3935" t="s">
        <v>58</v>
      </c>
      <c r="Y3935">
        <v>20</v>
      </c>
      <c r="Z3935" t="s">
        <v>59</v>
      </c>
      <c r="AA3935" t="s">
        <v>59</v>
      </c>
      <c r="AB3935" t="s">
        <v>59</v>
      </c>
      <c r="AC3935" t="s">
        <v>59</v>
      </c>
      <c r="AD3935" t="s">
        <v>59</v>
      </c>
      <c r="AF3935" s="1">
        <v>38622</v>
      </c>
      <c r="AG3935" t="s">
        <v>148</v>
      </c>
      <c r="AH3935" t="s">
        <v>149</v>
      </c>
      <c r="AI3935" t="str">
        <f>"5051050"</f>
        <v>5051050</v>
      </c>
      <c r="AJ3935" t="s">
        <v>6861</v>
      </c>
      <c r="AK3935">
        <v>2821044860</v>
      </c>
      <c r="AL3935" t="s">
        <v>6862</v>
      </c>
      <c r="AM3935" t="s">
        <v>88</v>
      </c>
      <c r="AN3935" t="s">
        <v>88</v>
      </c>
      <c r="AO3935" t="s">
        <v>88</v>
      </c>
      <c r="AP3935" t="s">
        <v>88</v>
      </c>
      <c r="AQ3935">
        <v>1</v>
      </c>
      <c r="AR3935" t="s">
        <v>6729</v>
      </c>
      <c r="AS3935" t="s">
        <v>6730</v>
      </c>
      <c r="AT3935" t="s">
        <v>58</v>
      </c>
      <c r="AU3935" t="s">
        <v>68</v>
      </c>
      <c r="AV3935" t="s">
        <v>69</v>
      </c>
      <c r="AW3935" s="1">
        <v>26810</v>
      </c>
      <c r="AX3935">
        <v>2</v>
      </c>
    </row>
    <row r="3936" spans="1:50">
      <c r="A3936">
        <v>217949</v>
      </c>
      <c r="B3936" t="str">
        <f>"077652970"</f>
        <v>077652970</v>
      </c>
      <c r="C3936" t="s">
        <v>105</v>
      </c>
      <c r="D3936" t="s">
        <v>7444</v>
      </c>
      <c r="E3936" t="s">
        <v>166</v>
      </c>
      <c r="F3936" t="s">
        <v>1336</v>
      </c>
      <c r="G3936" t="s">
        <v>143</v>
      </c>
      <c r="H3936" t="str">
        <f>"ΕΛΥΡΟΥ 1  ΧΑΝΙΑ"</f>
        <v>ΕΛΥΡΟΥ 1  ΧΑΝΙΑ</v>
      </c>
      <c r="I3936">
        <v>73135</v>
      </c>
      <c r="J3936">
        <v>2821058577</v>
      </c>
      <c r="M3936" t="s">
        <v>7445</v>
      </c>
      <c r="N3936" t="s">
        <v>292</v>
      </c>
      <c r="O3936" t="s">
        <v>293</v>
      </c>
      <c r="R3936" t="s">
        <v>57</v>
      </c>
      <c r="S3936">
        <v>7</v>
      </c>
      <c r="T3936">
        <v>599</v>
      </c>
      <c r="U3936" s="1">
        <v>39310</v>
      </c>
      <c r="V3936" t="s">
        <v>6729</v>
      </c>
      <c r="W3936" t="s">
        <v>6730</v>
      </c>
      <c r="X3936" t="s">
        <v>58</v>
      </c>
      <c r="Y3936">
        <v>21</v>
      </c>
      <c r="Z3936" t="s">
        <v>59</v>
      </c>
      <c r="AA3936" t="s">
        <v>59</v>
      </c>
      <c r="AB3936" t="s">
        <v>59</v>
      </c>
      <c r="AC3936" t="s">
        <v>59</v>
      </c>
      <c r="AD3936" t="s">
        <v>59</v>
      </c>
      <c r="AF3936" s="1">
        <v>39328</v>
      </c>
      <c r="AG3936" t="s">
        <v>125</v>
      </c>
      <c r="AH3936" t="s">
        <v>126</v>
      </c>
      <c r="AI3936" t="str">
        <f>"5003010"</f>
        <v>5003010</v>
      </c>
      <c r="AJ3936" t="s">
        <v>7446</v>
      </c>
      <c r="AK3936">
        <v>2823022716</v>
      </c>
      <c r="AL3936" t="s">
        <v>7447</v>
      </c>
      <c r="AM3936" t="s">
        <v>88</v>
      </c>
      <c r="AN3936" t="s">
        <v>6824</v>
      </c>
      <c r="AO3936" t="s">
        <v>6825</v>
      </c>
      <c r="AP3936" t="s">
        <v>6826</v>
      </c>
      <c r="AQ3936">
        <v>1</v>
      </c>
      <c r="AR3936" t="s">
        <v>6729</v>
      </c>
      <c r="AS3936" t="s">
        <v>6730</v>
      </c>
      <c r="AT3936" t="s">
        <v>58</v>
      </c>
      <c r="AU3936" t="s">
        <v>68</v>
      </c>
      <c r="AV3936" t="s">
        <v>69</v>
      </c>
      <c r="AW3936" s="1">
        <v>26947</v>
      </c>
      <c r="AX3936">
        <v>2</v>
      </c>
    </row>
    <row r="3937" spans="1:50">
      <c r="A3937">
        <v>205285</v>
      </c>
      <c r="B3937" t="str">
        <f>"072476771"</f>
        <v>072476771</v>
      </c>
      <c r="C3937" t="s">
        <v>105</v>
      </c>
      <c r="D3937" t="s">
        <v>2068</v>
      </c>
      <c r="E3937" t="s">
        <v>53</v>
      </c>
      <c r="F3937" t="s">
        <v>2972</v>
      </c>
      <c r="G3937" t="s">
        <v>255</v>
      </c>
      <c r="H3937" t="str">
        <f>"ΜΕΤΕΩΡΩΝ 321 ΧΡΥΣΗ ΑΚΤΗ"</f>
        <v>ΜΕΤΕΩΡΩΝ 321 ΧΡΥΣΗ ΑΚΤΗ</v>
      </c>
      <c r="I3937">
        <v>73100</v>
      </c>
      <c r="J3937">
        <v>2821032867</v>
      </c>
      <c r="K3937">
        <v>6977263592</v>
      </c>
      <c r="M3937" t="s">
        <v>7448</v>
      </c>
      <c r="N3937" t="s">
        <v>204</v>
      </c>
      <c r="O3937" t="s">
        <v>205</v>
      </c>
      <c r="R3937" t="s">
        <v>57</v>
      </c>
      <c r="S3937">
        <v>9</v>
      </c>
      <c r="T3937">
        <v>231</v>
      </c>
      <c r="U3937" s="1">
        <v>38230</v>
      </c>
      <c r="V3937" t="s">
        <v>6729</v>
      </c>
      <c r="W3937" t="s">
        <v>6730</v>
      </c>
      <c r="X3937" t="s">
        <v>58</v>
      </c>
      <c r="Y3937">
        <v>20</v>
      </c>
      <c r="Z3937" t="s">
        <v>59</v>
      </c>
      <c r="AA3937" t="s">
        <v>59</v>
      </c>
      <c r="AB3937" t="s">
        <v>59</v>
      </c>
      <c r="AC3937" t="s">
        <v>59</v>
      </c>
      <c r="AD3937" t="s">
        <v>59</v>
      </c>
      <c r="AF3937" s="1">
        <v>38232</v>
      </c>
      <c r="AG3937" t="s">
        <v>125</v>
      </c>
      <c r="AH3937" t="s">
        <v>126</v>
      </c>
      <c r="AI3937" t="str">
        <f>"5010010"</f>
        <v>5010010</v>
      </c>
      <c r="AJ3937" t="s">
        <v>6779</v>
      </c>
      <c r="AK3937">
        <v>2825051288</v>
      </c>
      <c r="AL3937" t="s">
        <v>6780</v>
      </c>
      <c r="AM3937" t="s">
        <v>88</v>
      </c>
      <c r="AN3937" t="s">
        <v>6775</v>
      </c>
      <c r="AO3937" t="s">
        <v>6781</v>
      </c>
      <c r="AP3937" t="s">
        <v>6782</v>
      </c>
      <c r="AQ3937">
        <v>1</v>
      </c>
      <c r="AR3937" t="s">
        <v>6729</v>
      </c>
      <c r="AS3937" t="s">
        <v>6730</v>
      </c>
      <c r="AT3937" t="s">
        <v>58</v>
      </c>
      <c r="AU3937" t="s">
        <v>68</v>
      </c>
      <c r="AV3937" t="s">
        <v>69</v>
      </c>
      <c r="AW3937" s="1">
        <v>27888</v>
      </c>
      <c r="AX3937">
        <v>2</v>
      </c>
    </row>
    <row r="3938" spans="1:50">
      <c r="A3938">
        <v>160555</v>
      </c>
      <c r="B3938" t="str">
        <f>"036706749"</f>
        <v>036706749</v>
      </c>
      <c r="C3938" t="s">
        <v>50</v>
      </c>
      <c r="D3938" t="s">
        <v>7449</v>
      </c>
      <c r="E3938" t="s">
        <v>460</v>
      </c>
      <c r="F3938" t="s">
        <v>95</v>
      </c>
      <c r="G3938" t="s">
        <v>7450</v>
      </c>
      <c r="H3938" t="str">
        <f>"Μέφα 16 "</f>
        <v xml:space="preserve">Μέφα 16 </v>
      </c>
      <c r="I3938">
        <v>73134</v>
      </c>
      <c r="J3938">
        <v>2821052356</v>
      </c>
      <c r="K3938">
        <v>6973232402</v>
      </c>
      <c r="M3938" t="s">
        <v>7451</v>
      </c>
      <c r="N3938" t="s">
        <v>306</v>
      </c>
      <c r="O3938" t="s">
        <v>307</v>
      </c>
      <c r="R3938" t="s">
        <v>57</v>
      </c>
      <c r="S3938">
        <v>13</v>
      </c>
      <c r="T3938">
        <v>161</v>
      </c>
      <c r="U3938" s="1">
        <v>33119</v>
      </c>
      <c r="V3938" t="s">
        <v>6729</v>
      </c>
      <c r="W3938" t="s">
        <v>6730</v>
      </c>
      <c r="X3938" t="s">
        <v>58</v>
      </c>
      <c r="Y3938">
        <v>18</v>
      </c>
      <c r="Z3938" t="s">
        <v>59</v>
      </c>
      <c r="AA3938" t="s">
        <v>59</v>
      </c>
      <c r="AB3938" t="s">
        <v>59</v>
      </c>
      <c r="AC3938" t="s">
        <v>59</v>
      </c>
      <c r="AD3938" t="s">
        <v>59</v>
      </c>
      <c r="AF3938" s="1">
        <v>33126</v>
      </c>
      <c r="AG3938" t="s">
        <v>125</v>
      </c>
      <c r="AH3938" t="s">
        <v>126</v>
      </c>
      <c r="AI3938" t="str">
        <f>"5001050"</f>
        <v>5001050</v>
      </c>
      <c r="AJ3938" t="s">
        <v>6917</v>
      </c>
      <c r="AK3938">
        <v>2821088012</v>
      </c>
      <c r="AL3938" t="s">
        <v>6918</v>
      </c>
      <c r="AM3938" t="s">
        <v>88</v>
      </c>
      <c r="AN3938" t="s">
        <v>88</v>
      </c>
      <c r="AO3938" t="s">
        <v>88</v>
      </c>
      <c r="AP3938" t="s">
        <v>88</v>
      </c>
      <c r="AQ3938">
        <v>1</v>
      </c>
      <c r="AR3938" t="s">
        <v>6729</v>
      </c>
      <c r="AS3938" t="s">
        <v>6730</v>
      </c>
      <c r="AT3938" t="s">
        <v>58</v>
      </c>
      <c r="AU3938" t="s">
        <v>68</v>
      </c>
      <c r="AV3938" t="s">
        <v>69</v>
      </c>
      <c r="AW3938" s="1">
        <v>20792</v>
      </c>
      <c r="AX3938">
        <v>2</v>
      </c>
    </row>
    <row r="3939" spans="1:50">
      <c r="A3939">
        <v>198035</v>
      </c>
      <c r="B3939" t="str">
        <f>"028667258"</f>
        <v>028667258</v>
      </c>
      <c r="C3939" t="s">
        <v>50</v>
      </c>
      <c r="D3939" t="s">
        <v>7452</v>
      </c>
      <c r="E3939" t="s">
        <v>1189</v>
      </c>
      <c r="F3939" t="s">
        <v>53</v>
      </c>
      <c r="G3939" t="s">
        <v>52</v>
      </c>
      <c r="H3939" t="str">
        <f>"ΓΡΑΜΒΟΥΣΗΣ 15 ΧΑΝΙΑ"</f>
        <v>ΓΡΑΜΒΟΥΣΗΣ 15 ΧΑΝΙΑ</v>
      </c>
      <c r="I3939">
        <v>73133</v>
      </c>
      <c r="J3939">
        <v>2821044360</v>
      </c>
      <c r="K3939">
        <v>6974436679</v>
      </c>
      <c r="N3939" t="s">
        <v>232</v>
      </c>
      <c r="O3939" t="s">
        <v>233</v>
      </c>
      <c r="R3939" t="s">
        <v>57</v>
      </c>
      <c r="S3939">
        <v>12</v>
      </c>
      <c r="T3939">
        <v>206</v>
      </c>
      <c r="U3939" s="1">
        <v>37866</v>
      </c>
      <c r="V3939" t="s">
        <v>6729</v>
      </c>
      <c r="W3939" t="s">
        <v>6730</v>
      </c>
      <c r="X3939" t="s">
        <v>58</v>
      </c>
      <c r="Y3939">
        <v>18</v>
      </c>
      <c r="Z3939" t="s">
        <v>59</v>
      </c>
      <c r="AA3939" t="s">
        <v>59</v>
      </c>
      <c r="AB3939" t="s">
        <v>59</v>
      </c>
      <c r="AC3939" t="s">
        <v>59</v>
      </c>
      <c r="AD3939" t="s">
        <v>59</v>
      </c>
      <c r="AF3939" s="1">
        <v>37866</v>
      </c>
      <c r="AG3939" t="s">
        <v>148</v>
      </c>
      <c r="AH3939" t="s">
        <v>149</v>
      </c>
      <c r="AI3939" t="str">
        <f>"5051040"</f>
        <v>5051040</v>
      </c>
      <c r="AJ3939" t="s">
        <v>6811</v>
      </c>
      <c r="AK3939">
        <v>2821088007</v>
      </c>
      <c r="AL3939" t="s">
        <v>6812</v>
      </c>
      <c r="AM3939" t="s">
        <v>88</v>
      </c>
      <c r="AN3939" t="s">
        <v>88</v>
      </c>
      <c r="AO3939" t="s">
        <v>88</v>
      </c>
      <c r="AP3939" t="s">
        <v>88</v>
      </c>
      <c r="AQ3939">
        <v>1</v>
      </c>
      <c r="AR3939" t="s">
        <v>6729</v>
      </c>
      <c r="AS3939" t="s">
        <v>6730</v>
      </c>
      <c r="AT3939" t="s">
        <v>58</v>
      </c>
      <c r="AU3939" t="s">
        <v>68</v>
      </c>
      <c r="AV3939" t="s">
        <v>69</v>
      </c>
      <c r="AW3939" s="1">
        <v>23042</v>
      </c>
      <c r="AX3939">
        <v>2</v>
      </c>
    </row>
    <row r="3940" spans="1:50">
      <c r="A3940">
        <v>150370</v>
      </c>
      <c r="B3940" t="str">
        <f>"065587493"</f>
        <v>065587493</v>
      </c>
      <c r="C3940" t="s">
        <v>50</v>
      </c>
      <c r="D3940" t="s">
        <v>7453</v>
      </c>
      <c r="E3940" t="s">
        <v>460</v>
      </c>
      <c r="F3940" t="s">
        <v>377</v>
      </c>
      <c r="G3940" t="s">
        <v>1114</v>
      </c>
      <c r="H3940" t="str">
        <f>" "</f>
        <v xml:space="preserve"> </v>
      </c>
      <c r="N3940" t="s">
        <v>146</v>
      </c>
      <c r="O3940" t="s">
        <v>147</v>
      </c>
      <c r="R3940" t="s">
        <v>57</v>
      </c>
      <c r="S3940">
        <v>16</v>
      </c>
      <c r="T3940">
        <v>170</v>
      </c>
      <c r="U3940" s="1">
        <v>32016</v>
      </c>
      <c r="V3940" t="s">
        <v>6729</v>
      </c>
      <c r="W3940" t="s">
        <v>6730</v>
      </c>
      <c r="X3940" t="s">
        <v>58</v>
      </c>
      <c r="Y3940">
        <v>18</v>
      </c>
      <c r="Z3940" t="s">
        <v>59</v>
      </c>
      <c r="AA3940" t="s">
        <v>59</v>
      </c>
      <c r="AB3940" t="s">
        <v>59</v>
      </c>
      <c r="AC3940" t="s">
        <v>59</v>
      </c>
      <c r="AD3940" t="s">
        <v>59</v>
      </c>
      <c r="AF3940" s="1">
        <v>32027</v>
      </c>
      <c r="AG3940" t="s">
        <v>125</v>
      </c>
      <c r="AH3940" t="s">
        <v>126</v>
      </c>
      <c r="AI3940" t="str">
        <f>"5001070"</f>
        <v>5001070</v>
      </c>
      <c r="AJ3940" t="s">
        <v>6731</v>
      </c>
      <c r="AK3940">
        <v>2821088045</v>
      </c>
      <c r="AL3940" t="s">
        <v>6732</v>
      </c>
      <c r="AM3940" t="s">
        <v>88</v>
      </c>
      <c r="AN3940" t="s">
        <v>88</v>
      </c>
      <c r="AO3940" t="s">
        <v>6733</v>
      </c>
      <c r="AP3940" t="s">
        <v>6734</v>
      </c>
      <c r="AQ3940">
        <v>1</v>
      </c>
      <c r="AR3940" t="s">
        <v>6729</v>
      </c>
      <c r="AS3940" t="s">
        <v>6730</v>
      </c>
      <c r="AT3940" t="s">
        <v>58</v>
      </c>
      <c r="AU3940" t="s">
        <v>68</v>
      </c>
      <c r="AV3940" t="s">
        <v>69</v>
      </c>
      <c r="AW3940" s="1">
        <v>22227</v>
      </c>
      <c r="AX3940">
        <v>2</v>
      </c>
    </row>
    <row r="3941" spans="1:50">
      <c r="A3941">
        <v>168939</v>
      </c>
      <c r="B3941" t="str">
        <f>"034490324"</f>
        <v>034490324</v>
      </c>
      <c r="C3941" t="s">
        <v>105</v>
      </c>
      <c r="D3941" t="s">
        <v>7454</v>
      </c>
      <c r="E3941" t="s">
        <v>450</v>
      </c>
      <c r="F3941" t="s">
        <v>154</v>
      </c>
      <c r="G3941" t="s">
        <v>1068</v>
      </c>
      <c r="H3941" t="str">
        <f>"ΠΟΣΕΙΔΩΝΟΣ 5 ΣΟΔΥ ΧΑΝΙΑ"</f>
        <v>ΠΟΣΕΙΔΩΝΟΣ 5 ΣΟΔΥ ΧΑΝΙΑ</v>
      </c>
      <c r="I3941">
        <v>73100</v>
      </c>
      <c r="J3941">
        <v>2821040924</v>
      </c>
      <c r="K3941">
        <v>6973046123</v>
      </c>
      <c r="L3941">
        <v>6973046123</v>
      </c>
      <c r="M3941" t="s">
        <v>7455</v>
      </c>
      <c r="N3941" t="s">
        <v>204</v>
      </c>
      <c r="O3941" t="s">
        <v>205</v>
      </c>
      <c r="P3941" t="s">
        <v>232</v>
      </c>
      <c r="Q3941" t="s">
        <v>233</v>
      </c>
      <c r="R3941" t="s">
        <v>57</v>
      </c>
      <c r="S3941">
        <v>15</v>
      </c>
      <c r="T3941">
        <v>159</v>
      </c>
      <c r="U3941" s="1">
        <v>34582</v>
      </c>
      <c r="V3941" t="s">
        <v>6729</v>
      </c>
      <c r="W3941" t="s">
        <v>6730</v>
      </c>
      <c r="X3941" t="s">
        <v>58</v>
      </c>
      <c r="Y3941">
        <v>18</v>
      </c>
      <c r="Z3941" t="s">
        <v>59</v>
      </c>
      <c r="AA3941" t="s">
        <v>59</v>
      </c>
      <c r="AB3941" t="s">
        <v>59</v>
      </c>
      <c r="AC3941" t="s">
        <v>59</v>
      </c>
      <c r="AD3941" t="s">
        <v>59</v>
      </c>
      <c r="AF3941" s="1">
        <v>34586</v>
      </c>
      <c r="AG3941" t="s">
        <v>125</v>
      </c>
      <c r="AH3941" t="s">
        <v>126</v>
      </c>
      <c r="AI3941" t="str">
        <f>"5001050"</f>
        <v>5001050</v>
      </c>
      <c r="AJ3941" t="s">
        <v>6917</v>
      </c>
      <c r="AK3941">
        <v>2821088012</v>
      </c>
      <c r="AL3941" t="s">
        <v>6918</v>
      </c>
      <c r="AM3941" t="s">
        <v>88</v>
      </c>
      <c r="AN3941" t="s">
        <v>88</v>
      </c>
      <c r="AO3941" t="s">
        <v>88</v>
      </c>
      <c r="AP3941" t="s">
        <v>88</v>
      </c>
      <c r="AQ3941">
        <v>1</v>
      </c>
      <c r="AR3941" t="s">
        <v>6729</v>
      </c>
      <c r="AS3941" t="s">
        <v>6730</v>
      </c>
      <c r="AT3941" t="s">
        <v>58</v>
      </c>
      <c r="AU3941" t="s">
        <v>68</v>
      </c>
      <c r="AV3941" t="s">
        <v>69</v>
      </c>
      <c r="AW3941" s="1">
        <v>22956</v>
      </c>
      <c r="AX3941">
        <v>2</v>
      </c>
    </row>
    <row r="3942" spans="1:50">
      <c r="A3942">
        <v>222978</v>
      </c>
      <c r="B3942" t="str">
        <f>"053786210"</f>
        <v>053786210</v>
      </c>
      <c r="C3942" t="s">
        <v>50</v>
      </c>
      <c r="D3942" t="s">
        <v>7456</v>
      </c>
      <c r="E3942" t="s">
        <v>600</v>
      </c>
      <c r="F3942" t="s">
        <v>53</v>
      </c>
      <c r="G3942" t="s">
        <v>783</v>
      </c>
      <c r="H3942" t="str">
        <f>" "</f>
        <v xml:space="preserve"> </v>
      </c>
      <c r="J3942">
        <v>2821073340</v>
      </c>
      <c r="K3942">
        <v>6945919325</v>
      </c>
      <c r="M3942" t="s">
        <v>7457</v>
      </c>
      <c r="N3942" t="s">
        <v>292</v>
      </c>
      <c r="O3942" t="s">
        <v>293</v>
      </c>
      <c r="R3942" t="s">
        <v>57</v>
      </c>
      <c r="S3942">
        <v>5</v>
      </c>
      <c r="T3942">
        <v>775</v>
      </c>
      <c r="U3942" s="1">
        <v>39680</v>
      </c>
      <c r="V3942" t="s">
        <v>6729</v>
      </c>
      <c r="W3942" t="s">
        <v>6730</v>
      </c>
      <c r="X3942" t="s">
        <v>58</v>
      </c>
      <c r="Y3942">
        <v>21</v>
      </c>
      <c r="Z3942" t="s">
        <v>59</v>
      </c>
      <c r="AA3942" t="s">
        <v>59</v>
      </c>
      <c r="AB3942" t="s">
        <v>59</v>
      </c>
      <c r="AC3942" t="s">
        <v>59</v>
      </c>
      <c r="AD3942" t="s">
        <v>59</v>
      </c>
      <c r="AF3942" s="1">
        <v>39681</v>
      </c>
      <c r="AG3942" t="s">
        <v>125</v>
      </c>
      <c r="AH3942" t="s">
        <v>294</v>
      </c>
      <c r="AI3942" t="str">
        <f>"5012017"</f>
        <v>5012017</v>
      </c>
      <c r="AJ3942" t="s">
        <v>6859</v>
      </c>
      <c r="AK3942">
        <v>2821088065</v>
      </c>
      <c r="AL3942" t="s">
        <v>6860</v>
      </c>
      <c r="AM3942" t="s">
        <v>88</v>
      </c>
      <c r="AN3942" t="s">
        <v>88</v>
      </c>
      <c r="AO3942" t="s">
        <v>88</v>
      </c>
      <c r="AP3942" t="s">
        <v>88</v>
      </c>
      <c r="AQ3942">
        <v>1</v>
      </c>
      <c r="AR3942" t="s">
        <v>6729</v>
      </c>
      <c r="AS3942" t="s">
        <v>6730</v>
      </c>
      <c r="AT3942" t="s">
        <v>58</v>
      </c>
      <c r="AU3942" t="s">
        <v>68</v>
      </c>
      <c r="AV3942" t="s">
        <v>69</v>
      </c>
      <c r="AW3942" s="1">
        <v>24952</v>
      </c>
      <c r="AX3942">
        <v>2</v>
      </c>
    </row>
    <row r="3943" spans="1:50">
      <c r="A3943">
        <v>218715</v>
      </c>
      <c r="B3943" t="str">
        <f>"034624620"</f>
        <v>034624620</v>
      </c>
      <c r="C3943" t="s">
        <v>50</v>
      </c>
      <c r="D3943" t="s">
        <v>7458</v>
      </c>
      <c r="E3943" t="s">
        <v>52</v>
      </c>
      <c r="F3943" t="s">
        <v>84</v>
      </c>
      <c r="G3943" t="s">
        <v>83</v>
      </c>
      <c r="H3943" t="str">
        <f>" "</f>
        <v xml:space="preserve"> </v>
      </c>
      <c r="J3943">
        <v>2821056991</v>
      </c>
      <c r="K3943">
        <v>6973778998</v>
      </c>
      <c r="N3943" t="s">
        <v>199</v>
      </c>
      <c r="O3943" t="s">
        <v>200</v>
      </c>
      <c r="R3943" t="s">
        <v>57</v>
      </c>
      <c r="S3943">
        <v>6</v>
      </c>
      <c r="T3943">
        <v>599</v>
      </c>
      <c r="U3943" s="1">
        <v>39310</v>
      </c>
      <c r="V3943" t="s">
        <v>6729</v>
      </c>
      <c r="W3943" t="s">
        <v>6730</v>
      </c>
      <c r="X3943" t="s">
        <v>58</v>
      </c>
      <c r="Y3943">
        <v>20</v>
      </c>
      <c r="Z3943" t="s">
        <v>59</v>
      </c>
      <c r="AA3943" t="s">
        <v>59</v>
      </c>
      <c r="AB3943" t="s">
        <v>59</v>
      </c>
      <c r="AC3943" t="s">
        <v>59</v>
      </c>
      <c r="AD3943" t="s">
        <v>59</v>
      </c>
      <c r="AF3943" s="1">
        <v>39328</v>
      </c>
      <c r="AG3943" t="s">
        <v>148</v>
      </c>
      <c r="AH3943" t="s">
        <v>149</v>
      </c>
      <c r="AI3943" t="str">
        <f>"5057010"</f>
        <v>5057010</v>
      </c>
      <c r="AJ3943" t="s">
        <v>6836</v>
      </c>
      <c r="AK3943">
        <v>2824022511</v>
      </c>
      <c r="AL3943" t="s">
        <v>6837</v>
      </c>
      <c r="AM3943" t="s">
        <v>88</v>
      </c>
      <c r="AN3943" t="s">
        <v>6764</v>
      </c>
      <c r="AO3943" t="s">
        <v>6799</v>
      </c>
      <c r="AP3943" t="s">
        <v>6799</v>
      </c>
      <c r="AQ3943">
        <v>1</v>
      </c>
      <c r="AR3943" t="s">
        <v>6729</v>
      </c>
      <c r="AS3943" t="s">
        <v>6730</v>
      </c>
      <c r="AT3943" t="s">
        <v>58</v>
      </c>
      <c r="AU3943" t="s">
        <v>68</v>
      </c>
      <c r="AV3943" t="s">
        <v>69</v>
      </c>
      <c r="AW3943" s="1">
        <v>24388</v>
      </c>
      <c r="AX3943">
        <v>2</v>
      </c>
    </row>
    <row r="3944" spans="1:50">
      <c r="A3944">
        <v>214535</v>
      </c>
      <c r="B3944" t="str">
        <f>"039382467"</f>
        <v>039382467</v>
      </c>
      <c r="C3944" t="s">
        <v>50</v>
      </c>
      <c r="D3944" t="s">
        <v>2083</v>
      </c>
      <c r="E3944" t="s">
        <v>476</v>
      </c>
      <c r="F3944" t="s">
        <v>95</v>
      </c>
      <c r="G3944" t="s">
        <v>801</v>
      </c>
      <c r="H3944" t="str">
        <f>" "</f>
        <v xml:space="preserve"> </v>
      </c>
      <c r="J3944">
        <v>2810250540</v>
      </c>
      <c r="K3944">
        <v>6973996794</v>
      </c>
      <c r="N3944" t="s">
        <v>176</v>
      </c>
      <c r="O3944" t="s">
        <v>177</v>
      </c>
      <c r="R3944" t="s">
        <v>57</v>
      </c>
      <c r="S3944">
        <v>8</v>
      </c>
      <c r="T3944">
        <v>231</v>
      </c>
      <c r="U3944" s="1">
        <v>38960</v>
      </c>
      <c r="V3944" t="s">
        <v>6729</v>
      </c>
      <c r="W3944" t="s">
        <v>6730</v>
      </c>
      <c r="X3944" t="s">
        <v>58</v>
      </c>
      <c r="Y3944">
        <v>20</v>
      </c>
      <c r="Z3944" t="s">
        <v>59</v>
      </c>
      <c r="AA3944" t="s">
        <v>59</v>
      </c>
      <c r="AB3944" t="s">
        <v>59</v>
      </c>
      <c r="AC3944" t="s">
        <v>59</v>
      </c>
      <c r="AD3944" t="s">
        <v>59</v>
      </c>
      <c r="AF3944" s="1">
        <v>38961</v>
      </c>
      <c r="AG3944" t="s">
        <v>125</v>
      </c>
      <c r="AH3944" t="s">
        <v>294</v>
      </c>
      <c r="AI3944" t="str">
        <f>"5012017"</f>
        <v>5012017</v>
      </c>
      <c r="AJ3944" t="s">
        <v>6859</v>
      </c>
      <c r="AK3944">
        <v>2821088065</v>
      </c>
      <c r="AL3944" t="s">
        <v>6860</v>
      </c>
      <c r="AM3944" t="s">
        <v>88</v>
      </c>
      <c r="AN3944" t="s">
        <v>88</v>
      </c>
      <c r="AO3944" t="s">
        <v>88</v>
      </c>
      <c r="AP3944" t="s">
        <v>88</v>
      </c>
      <c r="AQ3944">
        <v>1</v>
      </c>
      <c r="AR3944" t="s">
        <v>6729</v>
      </c>
      <c r="AS3944" t="s">
        <v>6730</v>
      </c>
      <c r="AT3944" t="s">
        <v>58</v>
      </c>
      <c r="AU3944" t="s">
        <v>68</v>
      </c>
      <c r="AV3944" t="s">
        <v>69</v>
      </c>
      <c r="AW3944" s="1">
        <v>24600</v>
      </c>
      <c r="AX3944">
        <v>2</v>
      </c>
    </row>
    <row r="3945" spans="1:50">
      <c r="A3945">
        <v>224634</v>
      </c>
      <c r="B3945" t="str">
        <f>"055871632"</f>
        <v>055871632</v>
      </c>
      <c r="C3945" t="s">
        <v>50</v>
      </c>
      <c r="D3945" t="s">
        <v>7459</v>
      </c>
      <c r="E3945" t="s">
        <v>52</v>
      </c>
      <c r="F3945" t="s">
        <v>92</v>
      </c>
      <c r="G3945" t="s">
        <v>3477</v>
      </c>
      <c r="H3945" t="str">
        <f>"Ελ.ΒΕΝΙΖΈΛΟΥ 120 - ΜΟΥΡΝΙΕΣ "</f>
        <v xml:space="preserve">Ελ.ΒΕΝΙΖΈΛΟΥ 120 - ΜΟΥΡΝΙΕΣ </v>
      </c>
      <c r="J3945">
        <v>2821504273</v>
      </c>
      <c r="K3945">
        <v>6973754785</v>
      </c>
      <c r="L3945">
        <v>2107703490</v>
      </c>
      <c r="M3945" t="s">
        <v>7460</v>
      </c>
      <c r="N3945" t="s">
        <v>683</v>
      </c>
      <c r="O3945" t="s">
        <v>684</v>
      </c>
      <c r="R3945" t="s">
        <v>57</v>
      </c>
      <c r="S3945">
        <v>5</v>
      </c>
      <c r="T3945">
        <v>775</v>
      </c>
      <c r="U3945" s="1">
        <v>39680</v>
      </c>
      <c r="V3945" t="s">
        <v>6729</v>
      </c>
      <c r="W3945" t="s">
        <v>6730</v>
      </c>
      <c r="X3945" t="s">
        <v>58</v>
      </c>
      <c r="Y3945">
        <v>21</v>
      </c>
      <c r="Z3945" t="s">
        <v>59</v>
      </c>
      <c r="AA3945" t="s">
        <v>59</v>
      </c>
      <c r="AB3945" t="s">
        <v>59</v>
      </c>
      <c r="AC3945" t="s">
        <v>59</v>
      </c>
      <c r="AD3945" t="s">
        <v>59</v>
      </c>
      <c r="AF3945" s="1">
        <v>39681</v>
      </c>
      <c r="AG3945" t="s">
        <v>125</v>
      </c>
      <c r="AH3945" t="s">
        <v>126</v>
      </c>
      <c r="AI3945" t="str">
        <f>"5001010"</f>
        <v>5001010</v>
      </c>
      <c r="AJ3945" t="s">
        <v>6873</v>
      </c>
      <c r="AK3945">
        <v>2821052130</v>
      </c>
      <c r="AL3945" t="s">
        <v>6874</v>
      </c>
      <c r="AM3945" t="s">
        <v>88</v>
      </c>
      <c r="AN3945" t="s">
        <v>88</v>
      </c>
      <c r="AO3945" t="s">
        <v>88</v>
      </c>
      <c r="AP3945" t="s">
        <v>88</v>
      </c>
      <c r="AQ3945">
        <v>1</v>
      </c>
      <c r="AR3945" t="s">
        <v>6729</v>
      </c>
      <c r="AS3945" t="s">
        <v>6730</v>
      </c>
      <c r="AT3945" t="s">
        <v>58</v>
      </c>
      <c r="AU3945" t="s">
        <v>68</v>
      </c>
      <c r="AV3945" t="s">
        <v>69</v>
      </c>
      <c r="AW3945" s="1">
        <v>23269</v>
      </c>
      <c r="AX3945">
        <v>2</v>
      </c>
    </row>
    <row r="3946" spans="1:50">
      <c r="A3946">
        <v>149220</v>
      </c>
      <c r="B3946" t="str">
        <f>"028791130"</f>
        <v>028791130</v>
      </c>
      <c r="C3946" t="s">
        <v>50</v>
      </c>
      <c r="D3946" t="s">
        <v>7461</v>
      </c>
      <c r="E3946" t="s">
        <v>114</v>
      </c>
      <c r="F3946" t="s">
        <v>450</v>
      </c>
      <c r="G3946" t="s">
        <v>52</v>
      </c>
      <c r="H3946" t="str">
        <f>" "</f>
        <v xml:space="preserve"> </v>
      </c>
      <c r="M3946" t="s">
        <v>7462</v>
      </c>
      <c r="N3946" t="s">
        <v>176</v>
      </c>
      <c r="O3946" t="s">
        <v>177</v>
      </c>
      <c r="R3946" t="s">
        <v>57</v>
      </c>
      <c r="S3946">
        <v>16</v>
      </c>
      <c r="T3946">
        <v>205</v>
      </c>
      <c r="U3946" s="1">
        <v>31658</v>
      </c>
      <c r="V3946" t="s">
        <v>6729</v>
      </c>
      <c r="W3946" t="s">
        <v>6730</v>
      </c>
      <c r="X3946" t="s">
        <v>58</v>
      </c>
      <c r="Y3946">
        <v>18</v>
      </c>
      <c r="Z3946" t="s">
        <v>59</v>
      </c>
      <c r="AA3946" t="s">
        <v>59</v>
      </c>
      <c r="AB3946" t="s">
        <v>59</v>
      </c>
      <c r="AC3946" t="s">
        <v>59</v>
      </c>
      <c r="AD3946" t="s">
        <v>59</v>
      </c>
      <c r="AF3946" s="1">
        <v>31667</v>
      </c>
      <c r="AG3946" t="s">
        <v>125</v>
      </c>
      <c r="AH3946" t="s">
        <v>126</v>
      </c>
      <c r="AI3946" t="str">
        <f>"5002010"</f>
        <v>5002010</v>
      </c>
      <c r="AJ3946" t="s">
        <v>6773</v>
      </c>
      <c r="AK3946">
        <v>2825022249</v>
      </c>
      <c r="AL3946" t="s">
        <v>6774</v>
      </c>
      <c r="AM3946" t="s">
        <v>88</v>
      </c>
      <c r="AN3946" t="s">
        <v>6775</v>
      </c>
      <c r="AO3946" t="s">
        <v>6776</v>
      </c>
      <c r="AP3946" t="s">
        <v>6776</v>
      </c>
      <c r="AQ3946">
        <v>1</v>
      </c>
      <c r="AR3946" t="s">
        <v>6729</v>
      </c>
      <c r="AS3946" t="s">
        <v>6730</v>
      </c>
      <c r="AT3946" t="s">
        <v>58</v>
      </c>
      <c r="AU3946" t="s">
        <v>68</v>
      </c>
      <c r="AV3946" t="s">
        <v>69</v>
      </c>
      <c r="AW3946" s="1">
        <v>21515</v>
      </c>
      <c r="AX3946">
        <v>2</v>
      </c>
    </row>
    <row r="3947" spans="1:50">
      <c r="A3947">
        <v>152257</v>
      </c>
      <c r="B3947" t="str">
        <f>"101588836"</f>
        <v>101588836</v>
      </c>
      <c r="C3947" t="s">
        <v>50</v>
      </c>
      <c r="D3947" t="s">
        <v>7463</v>
      </c>
      <c r="E3947" t="s">
        <v>238</v>
      </c>
      <c r="F3947" t="s">
        <v>936</v>
      </c>
      <c r="G3947" t="s">
        <v>411</v>
      </c>
      <c r="H3947" t="str">
        <f>" "</f>
        <v xml:space="preserve"> </v>
      </c>
      <c r="J3947">
        <v>2821044817</v>
      </c>
      <c r="K3947">
        <v>6937161281</v>
      </c>
      <c r="M3947" t="s">
        <v>7464</v>
      </c>
      <c r="N3947" t="s">
        <v>146</v>
      </c>
      <c r="O3947" t="s">
        <v>147</v>
      </c>
      <c r="R3947" t="s">
        <v>57</v>
      </c>
      <c r="S3947">
        <v>15</v>
      </c>
      <c r="T3947">
        <v>193</v>
      </c>
      <c r="U3947" s="1">
        <v>32042</v>
      </c>
      <c r="V3947" t="s">
        <v>6729</v>
      </c>
      <c r="W3947" t="s">
        <v>6730</v>
      </c>
      <c r="X3947" t="s">
        <v>58</v>
      </c>
      <c r="Y3947">
        <v>18</v>
      </c>
      <c r="Z3947" t="s">
        <v>59</v>
      </c>
      <c r="AA3947" t="s">
        <v>59</v>
      </c>
      <c r="AB3947" t="s">
        <v>59</v>
      </c>
      <c r="AC3947" t="s">
        <v>59</v>
      </c>
      <c r="AD3947" t="s">
        <v>59</v>
      </c>
      <c r="AF3947" s="1">
        <v>32050</v>
      </c>
      <c r="AG3947" t="s">
        <v>148</v>
      </c>
      <c r="AH3947" t="s">
        <v>149</v>
      </c>
      <c r="AI3947" t="str">
        <f>"5090080"</f>
        <v>5090080</v>
      </c>
      <c r="AJ3947" t="s">
        <v>6906</v>
      </c>
      <c r="AK3947">
        <v>2821096638</v>
      </c>
      <c r="AL3947" t="s">
        <v>6907</v>
      </c>
      <c r="AM3947" t="s">
        <v>88</v>
      </c>
      <c r="AN3947" t="s">
        <v>88</v>
      </c>
      <c r="AO3947" t="s">
        <v>88</v>
      </c>
      <c r="AP3947" t="s">
        <v>88</v>
      </c>
      <c r="AQ3947">
        <v>1</v>
      </c>
      <c r="AR3947" t="s">
        <v>6729</v>
      </c>
      <c r="AS3947" t="s">
        <v>6730</v>
      </c>
      <c r="AT3947" t="s">
        <v>58</v>
      </c>
      <c r="AU3947" t="s">
        <v>68</v>
      </c>
      <c r="AV3947" t="s">
        <v>69</v>
      </c>
      <c r="AW3947" s="1">
        <v>22373</v>
      </c>
      <c r="AX3947">
        <v>2</v>
      </c>
    </row>
    <row r="3948" spans="1:50">
      <c r="A3948">
        <v>196264</v>
      </c>
      <c r="B3948" t="str">
        <f>"110134049"</f>
        <v>110134049</v>
      </c>
      <c r="C3948" t="s">
        <v>50</v>
      </c>
      <c r="D3948" t="s">
        <v>7463</v>
      </c>
      <c r="E3948" t="s">
        <v>1189</v>
      </c>
      <c r="F3948" t="s">
        <v>99</v>
      </c>
      <c r="G3948" t="s">
        <v>83</v>
      </c>
      <c r="H3948" t="str">
        <f>"ΑΪΔΙΝΙΟΥ 7 ΠΑΣΑΚΑΚΙ ΧΑΝΙΑ"</f>
        <v>ΑΪΔΙΝΙΟΥ 7 ΠΑΣΑΚΑΚΙ ΧΑΝΙΑ</v>
      </c>
      <c r="I3948">
        <v>73300</v>
      </c>
      <c r="J3948">
        <v>2821040134</v>
      </c>
      <c r="K3948">
        <v>6947370951</v>
      </c>
      <c r="M3948" t="s">
        <v>7465</v>
      </c>
      <c r="N3948" t="s">
        <v>204</v>
      </c>
      <c r="O3948" t="s">
        <v>205</v>
      </c>
      <c r="R3948" t="s">
        <v>57</v>
      </c>
      <c r="S3948">
        <v>8</v>
      </c>
      <c r="T3948">
        <v>212</v>
      </c>
      <c r="U3948" s="1">
        <v>37515</v>
      </c>
      <c r="V3948" t="s">
        <v>6729</v>
      </c>
      <c r="W3948" t="s">
        <v>6730</v>
      </c>
      <c r="X3948" t="s">
        <v>58</v>
      </c>
      <c r="Y3948">
        <v>20</v>
      </c>
      <c r="Z3948" t="s">
        <v>59</v>
      </c>
      <c r="AA3948" t="s">
        <v>59</v>
      </c>
      <c r="AB3948" t="s">
        <v>59</v>
      </c>
      <c r="AC3948" t="s">
        <v>59</v>
      </c>
      <c r="AD3948" t="s">
        <v>59</v>
      </c>
      <c r="AF3948" s="1">
        <v>37519</v>
      </c>
      <c r="AG3948" t="s">
        <v>148</v>
      </c>
      <c r="AH3948" t="s">
        <v>149</v>
      </c>
      <c r="AI3948" t="str">
        <f>"5051040"</f>
        <v>5051040</v>
      </c>
      <c r="AJ3948" t="s">
        <v>6811</v>
      </c>
      <c r="AK3948">
        <v>2821088007</v>
      </c>
      <c r="AL3948" t="s">
        <v>6812</v>
      </c>
      <c r="AM3948" t="s">
        <v>88</v>
      </c>
      <c r="AN3948" t="s">
        <v>88</v>
      </c>
      <c r="AO3948" t="s">
        <v>88</v>
      </c>
      <c r="AP3948" t="s">
        <v>88</v>
      </c>
      <c r="AQ3948">
        <v>1</v>
      </c>
      <c r="AR3948" t="s">
        <v>6729</v>
      </c>
      <c r="AS3948" t="s">
        <v>6730</v>
      </c>
      <c r="AT3948" t="s">
        <v>58</v>
      </c>
      <c r="AU3948" t="s">
        <v>68</v>
      </c>
      <c r="AV3948" t="s">
        <v>69</v>
      </c>
      <c r="AW3948" s="1">
        <v>28016</v>
      </c>
      <c r="AX3948">
        <v>2</v>
      </c>
    </row>
    <row r="3949" spans="1:50">
      <c r="A3949">
        <v>211380</v>
      </c>
      <c r="B3949" t="str">
        <f>"050737792"</f>
        <v>050737792</v>
      </c>
      <c r="C3949" t="s">
        <v>105</v>
      </c>
      <c r="D3949" t="s">
        <v>7466</v>
      </c>
      <c r="E3949" t="s">
        <v>395</v>
      </c>
      <c r="F3949" t="s">
        <v>450</v>
      </c>
      <c r="G3949" t="s">
        <v>109</v>
      </c>
      <c r="H3949" t="str">
        <f>"ΓΑΛΑΤΑΣ Ν ΚΥΔΩΝΙΑΣ ΧΑΝΙΑ"</f>
        <v>ΓΑΛΑΤΑΣ Ν ΚΥΔΩΝΙΑΣ ΧΑΝΙΑ</v>
      </c>
      <c r="I3949">
        <v>73100</v>
      </c>
      <c r="J3949">
        <v>2821033927</v>
      </c>
      <c r="K3949">
        <v>6977367501</v>
      </c>
      <c r="M3949" t="s">
        <v>7467</v>
      </c>
      <c r="N3949" t="s">
        <v>168</v>
      </c>
      <c r="O3949" t="s">
        <v>169</v>
      </c>
      <c r="R3949" t="s">
        <v>57</v>
      </c>
      <c r="S3949">
        <v>6</v>
      </c>
      <c r="T3949">
        <v>306</v>
      </c>
      <c r="U3949" s="1">
        <v>38673</v>
      </c>
      <c r="V3949" t="s">
        <v>6729</v>
      </c>
      <c r="W3949" t="s">
        <v>6730</v>
      </c>
      <c r="X3949" t="s">
        <v>58</v>
      </c>
      <c r="Y3949">
        <v>20</v>
      </c>
      <c r="Z3949" t="s">
        <v>59</v>
      </c>
      <c r="AA3949" t="s">
        <v>59</v>
      </c>
      <c r="AB3949" t="s">
        <v>59</v>
      </c>
      <c r="AC3949" t="s">
        <v>59</v>
      </c>
      <c r="AD3949" t="s">
        <v>59</v>
      </c>
      <c r="AF3949" s="1">
        <v>38677</v>
      </c>
      <c r="AG3949" t="s">
        <v>137</v>
      </c>
      <c r="AH3949" t="s">
        <v>138</v>
      </c>
      <c r="AI3949" t="str">
        <f>"5050060"</f>
        <v>5050060</v>
      </c>
      <c r="AJ3949" t="s">
        <v>6801</v>
      </c>
      <c r="AK3949">
        <v>2821091515</v>
      </c>
      <c r="AL3949" t="s">
        <v>6802</v>
      </c>
      <c r="AM3949" t="s">
        <v>88</v>
      </c>
      <c r="AN3949" t="s">
        <v>88</v>
      </c>
      <c r="AO3949" t="s">
        <v>88</v>
      </c>
      <c r="AP3949" t="s">
        <v>88</v>
      </c>
      <c r="AQ3949">
        <v>1</v>
      </c>
      <c r="AR3949" t="s">
        <v>6729</v>
      </c>
      <c r="AS3949" t="s">
        <v>6730</v>
      </c>
      <c r="AT3949" t="s">
        <v>58</v>
      </c>
      <c r="AU3949" t="s">
        <v>68</v>
      </c>
      <c r="AV3949" t="s">
        <v>69</v>
      </c>
      <c r="AW3949" s="1">
        <v>24565</v>
      </c>
      <c r="AX3949">
        <v>2</v>
      </c>
    </row>
    <row r="3950" spans="1:50">
      <c r="A3950">
        <v>187983</v>
      </c>
      <c r="B3950" t="str">
        <f>"039879144"</f>
        <v>039879144</v>
      </c>
      <c r="C3950" t="s">
        <v>105</v>
      </c>
      <c r="D3950" t="s">
        <v>7466</v>
      </c>
      <c r="E3950" t="s">
        <v>95</v>
      </c>
      <c r="F3950" t="s">
        <v>1320</v>
      </c>
      <c r="G3950" t="s">
        <v>1189</v>
      </c>
      <c r="H3950" t="str">
        <f>"ΚΡΙΤΟΒΟΥΛΙΔΟΥ 8Α ΧΑΝΙΑ"</f>
        <v>ΚΡΙΤΟΒΟΥΛΙΔΟΥ 8Α ΧΑΝΙΑ</v>
      </c>
      <c r="I3950">
        <v>73134</v>
      </c>
      <c r="K3950">
        <v>6977356878</v>
      </c>
      <c r="N3950" t="s">
        <v>204</v>
      </c>
      <c r="O3950" t="s">
        <v>205</v>
      </c>
      <c r="R3950" t="s">
        <v>57</v>
      </c>
      <c r="S3950">
        <v>11</v>
      </c>
      <c r="T3950">
        <v>251</v>
      </c>
      <c r="U3950" s="1">
        <v>36769</v>
      </c>
      <c r="V3950" t="s">
        <v>6729</v>
      </c>
      <c r="W3950" t="s">
        <v>6730</v>
      </c>
      <c r="X3950" t="s">
        <v>58</v>
      </c>
      <c r="Y3950">
        <v>20</v>
      </c>
      <c r="Z3950" t="s">
        <v>59</v>
      </c>
      <c r="AA3950" t="s">
        <v>59</v>
      </c>
      <c r="AB3950" t="s">
        <v>59</v>
      </c>
      <c r="AC3950" t="s">
        <v>59</v>
      </c>
      <c r="AD3950" t="s">
        <v>59</v>
      </c>
      <c r="AF3950" s="1">
        <v>36770</v>
      </c>
      <c r="AG3950" t="s">
        <v>148</v>
      </c>
      <c r="AH3950" t="s">
        <v>149</v>
      </c>
      <c r="AI3950" t="str">
        <f>"5051040"</f>
        <v>5051040</v>
      </c>
      <c r="AJ3950" t="s">
        <v>6811</v>
      </c>
      <c r="AK3950">
        <v>2821088007</v>
      </c>
      <c r="AL3950" t="s">
        <v>6812</v>
      </c>
      <c r="AM3950" t="s">
        <v>88</v>
      </c>
      <c r="AN3950" t="s">
        <v>88</v>
      </c>
      <c r="AO3950" t="s">
        <v>88</v>
      </c>
      <c r="AP3950" t="s">
        <v>88</v>
      </c>
      <c r="AQ3950">
        <v>1</v>
      </c>
      <c r="AR3950" t="s">
        <v>6729</v>
      </c>
      <c r="AS3950" t="s">
        <v>6730</v>
      </c>
      <c r="AT3950" t="s">
        <v>58</v>
      </c>
      <c r="AU3950" t="s">
        <v>68</v>
      </c>
      <c r="AV3950" t="s">
        <v>69</v>
      </c>
      <c r="AW3950" s="1">
        <v>25608</v>
      </c>
      <c r="AX3950">
        <v>2</v>
      </c>
    </row>
    <row r="3951" spans="1:50">
      <c r="A3951">
        <v>191749</v>
      </c>
      <c r="B3951" t="str">
        <f>"065542819"</f>
        <v>065542819</v>
      </c>
      <c r="C3951" t="s">
        <v>50</v>
      </c>
      <c r="D3951" t="s">
        <v>7468</v>
      </c>
      <c r="E3951" t="s">
        <v>699</v>
      </c>
      <c r="F3951" t="s">
        <v>166</v>
      </c>
      <c r="G3951" t="s">
        <v>112</v>
      </c>
      <c r="H3951" t="str">
        <f>" "</f>
        <v xml:space="preserve"> </v>
      </c>
      <c r="M3951" t="s">
        <v>7469</v>
      </c>
      <c r="N3951" t="s">
        <v>168</v>
      </c>
      <c r="O3951" t="s">
        <v>169</v>
      </c>
      <c r="R3951" t="s">
        <v>57</v>
      </c>
      <c r="S3951">
        <v>9</v>
      </c>
      <c r="T3951">
        <v>291</v>
      </c>
      <c r="U3951" s="1">
        <v>37218</v>
      </c>
      <c r="V3951" t="s">
        <v>6729</v>
      </c>
      <c r="W3951" t="s">
        <v>6730</v>
      </c>
      <c r="X3951" t="s">
        <v>58</v>
      </c>
      <c r="Y3951">
        <v>20</v>
      </c>
      <c r="Z3951" t="s">
        <v>59</v>
      </c>
      <c r="AA3951" t="s">
        <v>59</v>
      </c>
      <c r="AB3951" t="s">
        <v>59</v>
      </c>
      <c r="AC3951" t="s">
        <v>59</v>
      </c>
      <c r="AD3951" t="s">
        <v>59</v>
      </c>
      <c r="AF3951" s="1">
        <v>37221</v>
      </c>
      <c r="AG3951" t="s">
        <v>137</v>
      </c>
      <c r="AH3951" t="s">
        <v>138</v>
      </c>
      <c r="AI3951" t="str">
        <f>"5040090"</f>
        <v>5040090</v>
      </c>
      <c r="AJ3951" t="s">
        <v>6757</v>
      </c>
      <c r="AK3951">
        <v>2822022275</v>
      </c>
      <c r="AL3951" t="s">
        <v>6758</v>
      </c>
      <c r="AM3951" t="s">
        <v>88</v>
      </c>
      <c r="AN3951" t="s">
        <v>6744</v>
      </c>
      <c r="AO3951" t="s">
        <v>6744</v>
      </c>
      <c r="AP3951" t="s">
        <v>6744</v>
      </c>
      <c r="AQ3951">
        <v>1</v>
      </c>
      <c r="AR3951" t="s">
        <v>6729</v>
      </c>
      <c r="AS3951" t="s">
        <v>6730</v>
      </c>
      <c r="AT3951" t="s">
        <v>58</v>
      </c>
      <c r="AU3951" t="s">
        <v>68</v>
      </c>
      <c r="AV3951" t="s">
        <v>69</v>
      </c>
      <c r="AW3951" s="1">
        <v>24565</v>
      </c>
      <c r="AX3951">
        <v>2</v>
      </c>
    </row>
    <row r="3952" spans="1:50">
      <c r="A3952">
        <v>161641</v>
      </c>
      <c r="B3952" t="str">
        <f>"037451826"</f>
        <v>037451826</v>
      </c>
      <c r="C3952" t="s">
        <v>105</v>
      </c>
      <c r="D3952" t="s">
        <v>7470</v>
      </c>
      <c r="E3952" t="s">
        <v>95</v>
      </c>
      <c r="F3952" t="s">
        <v>166</v>
      </c>
      <c r="G3952" t="s">
        <v>280</v>
      </c>
      <c r="H3952" t="str">
        <f>" "</f>
        <v xml:space="preserve"> </v>
      </c>
      <c r="M3952" t="s">
        <v>7471</v>
      </c>
      <c r="N3952" t="s">
        <v>299</v>
      </c>
      <c r="O3952" t="s">
        <v>300</v>
      </c>
      <c r="P3952" t="s">
        <v>1525</v>
      </c>
      <c r="Q3952" t="s">
        <v>1526</v>
      </c>
      <c r="R3952" t="s">
        <v>57</v>
      </c>
      <c r="S3952">
        <v>14</v>
      </c>
      <c r="T3952">
        <v>161</v>
      </c>
      <c r="U3952" s="1">
        <v>33119</v>
      </c>
      <c r="V3952" t="s">
        <v>6729</v>
      </c>
      <c r="W3952" t="s">
        <v>6730</v>
      </c>
      <c r="X3952" t="s">
        <v>58</v>
      </c>
      <c r="Y3952">
        <v>18</v>
      </c>
      <c r="Z3952" t="s">
        <v>59</v>
      </c>
      <c r="AA3952" t="s">
        <v>59</v>
      </c>
      <c r="AB3952" t="s">
        <v>59</v>
      </c>
      <c r="AC3952" t="s">
        <v>59</v>
      </c>
      <c r="AD3952" t="s">
        <v>59</v>
      </c>
      <c r="AF3952" s="1">
        <v>33121</v>
      </c>
      <c r="AG3952" t="s">
        <v>137</v>
      </c>
      <c r="AH3952" t="s">
        <v>138</v>
      </c>
      <c r="AI3952" t="str">
        <f>"5040105"</f>
        <v>5040105</v>
      </c>
      <c r="AJ3952" t="s">
        <v>6969</v>
      </c>
      <c r="AK3952">
        <v>2825051703</v>
      </c>
      <c r="AL3952" t="s">
        <v>6970</v>
      </c>
      <c r="AM3952" t="s">
        <v>88</v>
      </c>
      <c r="AN3952" t="s">
        <v>6775</v>
      </c>
      <c r="AO3952" t="s">
        <v>6781</v>
      </c>
      <c r="AP3952" t="s">
        <v>6782</v>
      </c>
      <c r="AQ3952">
        <v>1</v>
      </c>
      <c r="AR3952" t="s">
        <v>6729</v>
      </c>
      <c r="AS3952" t="s">
        <v>6730</v>
      </c>
      <c r="AT3952" t="s">
        <v>58</v>
      </c>
      <c r="AU3952" t="s">
        <v>68</v>
      </c>
      <c r="AV3952" t="s">
        <v>69</v>
      </c>
      <c r="AW3952" s="1">
        <v>23425</v>
      </c>
      <c r="AX3952">
        <v>2</v>
      </c>
    </row>
    <row r="3953" spans="1:50">
      <c r="A3953">
        <v>194349</v>
      </c>
      <c r="B3953" t="str">
        <f>"050756524"</f>
        <v>050756524</v>
      </c>
      <c r="C3953" t="s">
        <v>105</v>
      </c>
      <c r="D3953" t="s">
        <v>7470</v>
      </c>
      <c r="E3953" t="s">
        <v>72</v>
      </c>
      <c r="F3953" t="s">
        <v>989</v>
      </c>
      <c r="G3953" t="s">
        <v>414</v>
      </c>
      <c r="H3953" t="str">
        <f>" "</f>
        <v xml:space="preserve"> </v>
      </c>
      <c r="J3953">
        <v>2821031622</v>
      </c>
      <c r="L3953">
        <v>2821033841</v>
      </c>
      <c r="M3953" t="s">
        <v>7472</v>
      </c>
      <c r="N3953" t="s">
        <v>176</v>
      </c>
      <c r="O3953" t="s">
        <v>177</v>
      </c>
      <c r="R3953" t="s">
        <v>57</v>
      </c>
      <c r="S3953">
        <v>10</v>
      </c>
      <c r="T3953">
        <v>193</v>
      </c>
      <c r="U3953" s="1">
        <v>37497</v>
      </c>
      <c r="V3953" t="s">
        <v>6729</v>
      </c>
      <c r="W3953" t="s">
        <v>6730</v>
      </c>
      <c r="X3953" t="s">
        <v>58</v>
      </c>
      <c r="Y3953">
        <v>18</v>
      </c>
      <c r="Z3953" t="s">
        <v>59</v>
      </c>
      <c r="AA3953" t="s">
        <v>59</v>
      </c>
      <c r="AB3953" t="s">
        <v>59</v>
      </c>
      <c r="AC3953" t="s">
        <v>59</v>
      </c>
      <c r="AD3953" t="s">
        <v>59</v>
      </c>
      <c r="AF3953" s="1">
        <v>37501</v>
      </c>
      <c r="AG3953" t="s">
        <v>148</v>
      </c>
      <c r="AH3953" t="s">
        <v>149</v>
      </c>
      <c r="AI3953" t="str">
        <f>"5054010"</f>
        <v>5054010</v>
      </c>
      <c r="AJ3953" t="s">
        <v>6815</v>
      </c>
      <c r="AK3953">
        <v>2822022671</v>
      </c>
      <c r="AL3953" t="s">
        <v>6816</v>
      </c>
      <c r="AM3953" t="s">
        <v>88</v>
      </c>
      <c r="AN3953" t="s">
        <v>6744</v>
      </c>
      <c r="AO3953" t="s">
        <v>6744</v>
      </c>
      <c r="AP3953" t="s">
        <v>6744</v>
      </c>
      <c r="AQ3953">
        <v>1</v>
      </c>
      <c r="AR3953" t="s">
        <v>6729</v>
      </c>
      <c r="AS3953" t="s">
        <v>6730</v>
      </c>
      <c r="AT3953" t="s">
        <v>58</v>
      </c>
      <c r="AU3953" t="s">
        <v>68</v>
      </c>
      <c r="AV3953" t="s">
        <v>69</v>
      </c>
      <c r="AW3953" s="1">
        <v>23870</v>
      </c>
      <c r="AX3953">
        <v>2</v>
      </c>
    </row>
    <row r="3954" spans="1:50">
      <c r="A3954">
        <v>162979</v>
      </c>
      <c r="B3954" t="str">
        <f>"035961738"</f>
        <v>035961738</v>
      </c>
      <c r="C3954" t="s">
        <v>50</v>
      </c>
      <c r="D3954" t="s">
        <v>2120</v>
      </c>
      <c r="E3954" t="s">
        <v>620</v>
      </c>
      <c r="F3954" t="s">
        <v>53</v>
      </c>
      <c r="G3954" t="s">
        <v>2088</v>
      </c>
      <c r="H3954" t="str">
        <f>"3 Η ΠΑΡ. ΜΑΡΚΟΥ ΜΠΟΤΣΑΡΗ  ΚΟΥΝΟΥΠΙΔΙΑΝΑ"</f>
        <v>3 Η ΠΑΡ. ΜΑΡΚΟΥ ΜΠΟΤΣΑΡΗ  ΚΟΥΝΟΥΠΙΔΙΑΝΑ</v>
      </c>
      <c r="I3954">
        <v>73100</v>
      </c>
      <c r="J3954">
        <v>2821069882</v>
      </c>
      <c r="K3954">
        <v>6973554215</v>
      </c>
      <c r="N3954" t="s">
        <v>683</v>
      </c>
      <c r="O3954" t="s">
        <v>684</v>
      </c>
      <c r="R3954" t="s">
        <v>57</v>
      </c>
      <c r="S3954">
        <v>14</v>
      </c>
      <c r="T3954">
        <v>132</v>
      </c>
      <c r="U3954" s="1">
        <v>33456</v>
      </c>
      <c r="V3954" t="s">
        <v>6729</v>
      </c>
      <c r="W3954" t="s">
        <v>6730</v>
      </c>
      <c r="X3954" t="s">
        <v>58</v>
      </c>
      <c r="Y3954">
        <v>18</v>
      </c>
      <c r="Z3954" t="s">
        <v>59</v>
      </c>
      <c r="AA3954" t="s">
        <v>59</v>
      </c>
      <c r="AB3954" t="s">
        <v>59</v>
      </c>
      <c r="AC3954" t="s">
        <v>59</v>
      </c>
      <c r="AD3954" t="s">
        <v>59</v>
      </c>
      <c r="AF3954" s="1">
        <v>33492</v>
      </c>
      <c r="AG3954" t="s">
        <v>125</v>
      </c>
      <c r="AH3954" t="s">
        <v>126</v>
      </c>
      <c r="AI3954" t="str">
        <f>"5001075"</f>
        <v>5001075</v>
      </c>
      <c r="AJ3954" t="s">
        <v>6768</v>
      </c>
      <c r="AK3954">
        <v>2821064200</v>
      </c>
      <c r="AL3954" t="s">
        <v>6769</v>
      </c>
      <c r="AM3954" t="s">
        <v>88</v>
      </c>
      <c r="AN3954" t="s">
        <v>88</v>
      </c>
      <c r="AO3954" t="s">
        <v>6770</v>
      </c>
      <c r="AP3954" t="s">
        <v>6771</v>
      </c>
      <c r="AQ3954">
        <v>1</v>
      </c>
      <c r="AR3954" t="s">
        <v>6729</v>
      </c>
      <c r="AS3954" t="s">
        <v>6730</v>
      </c>
      <c r="AT3954" t="s">
        <v>58</v>
      </c>
      <c r="AU3954" t="s">
        <v>68</v>
      </c>
      <c r="AV3954" t="s">
        <v>69</v>
      </c>
      <c r="AW3954" s="1">
        <v>23745</v>
      </c>
      <c r="AX3954">
        <v>2</v>
      </c>
    </row>
    <row r="3955" spans="1:50">
      <c r="A3955">
        <v>176634</v>
      </c>
      <c r="B3955" t="str">
        <f>"029964644"</f>
        <v>029964644</v>
      </c>
      <c r="C3955" t="s">
        <v>50</v>
      </c>
      <c r="D3955" t="s">
        <v>7473</v>
      </c>
      <c r="E3955" t="s">
        <v>7474</v>
      </c>
      <c r="F3955" t="s">
        <v>106</v>
      </c>
      <c r="G3955" t="s">
        <v>335</v>
      </c>
      <c r="H3955" t="str">
        <f>" "</f>
        <v xml:space="preserve"> </v>
      </c>
      <c r="N3955" t="s">
        <v>306</v>
      </c>
      <c r="O3955" t="s">
        <v>307</v>
      </c>
      <c r="R3955" t="s">
        <v>57</v>
      </c>
      <c r="S3955">
        <v>11</v>
      </c>
      <c r="T3955">
        <v>180</v>
      </c>
      <c r="U3955" s="1">
        <v>35674</v>
      </c>
      <c r="V3955" t="s">
        <v>6729</v>
      </c>
      <c r="W3955" t="s">
        <v>6730</v>
      </c>
      <c r="X3955" t="s">
        <v>58</v>
      </c>
      <c r="Y3955">
        <v>18</v>
      </c>
      <c r="Z3955" t="s">
        <v>59</v>
      </c>
      <c r="AA3955" t="s">
        <v>59</v>
      </c>
      <c r="AB3955" t="s">
        <v>59</v>
      </c>
      <c r="AC3955" t="s">
        <v>59</v>
      </c>
      <c r="AD3955" t="s">
        <v>59</v>
      </c>
      <c r="AF3955" s="1">
        <v>35677</v>
      </c>
      <c r="AG3955" t="s">
        <v>125</v>
      </c>
      <c r="AH3955" t="s">
        <v>126</v>
      </c>
      <c r="AI3955" t="str">
        <f>"5001070"</f>
        <v>5001070</v>
      </c>
      <c r="AJ3955" t="s">
        <v>6731</v>
      </c>
      <c r="AK3955">
        <v>2821088045</v>
      </c>
      <c r="AL3955" t="s">
        <v>6732</v>
      </c>
      <c r="AM3955" t="s">
        <v>88</v>
      </c>
      <c r="AN3955" t="s">
        <v>88</v>
      </c>
      <c r="AO3955" t="s">
        <v>6733</v>
      </c>
      <c r="AP3955" t="s">
        <v>6734</v>
      </c>
      <c r="AQ3955">
        <v>1</v>
      </c>
      <c r="AR3955" t="s">
        <v>6729</v>
      </c>
      <c r="AS3955" t="s">
        <v>6730</v>
      </c>
      <c r="AT3955" t="s">
        <v>58</v>
      </c>
      <c r="AU3955" t="s">
        <v>68</v>
      </c>
      <c r="AV3955" t="s">
        <v>69</v>
      </c>
      <c r="AW3955" s="1">
        <v>21967</v>
      </c>
      <c r="AX3955">
        <v>2</v>
      </c>
    </row>
    <row r="3956" spans="1:50">
      <c r="A3956">
        <v>212115</v>
      </c>
      <c r="B3956" t="str">
        <f>"066842389"</f>
        <v>066842389</v>
      </c>
      <c r="C3956" t="s">
        <v>50</v>
      </c>
      <c r="D3956" t="s">
        <v>7475</v>
      </c>
      <c r="E3956" t="s">
        <v>83</v>
      </c>
      <c r="F3956" t="s">
        <v>202</v>
      </c>
      <c r="G3956" t="s">
        <v>950</v>
      </c>
      <c r="H3956" t="str">
        <f>"Ι. ΚΑΛΟΓΕΡΗ 06 ΧΑΝΙΑ"</f>
        <v>Ι. ΚΑΛΟΓΕΡΗ 06 ΧΑΝΙΑ</v>
      </c>
      <c r="I3956">
        <v>73136</v>
      </c>
      <c r="J3956">
        <v>2821098176</v>
      </c>
      <c r="K3956">
        <v>6945101897</v>
      </c>
      <c r="M3956" t="s">
        <v>7476</v>
      </c>
      <c r="N3956" t="s">
        <v>146</v>
      </c>
      <c r="O3956" t="s">
        <v>147</v>
      </c>
      <c r="R3956" t="s">
        <v>57</v>
      </c>
      <c r="S3956">
        <v>6</v>
      </c>
      <c r="T3956">
        <v>231</v>
      </c>
      <c r="U3956" s="1">
        <v>38960</v>
      </c>
      <c r="V3956" t="s">
        <v>6729</v>
      </c>
      <c r="W3956" t="s">
        <v>6730</v>
      </c>
      <c r="X3956" t="s">
        <v>58</v>
      </c>
      <c r="Y3956">
        <v>20</v>
      </c>
      <c r="Z3956" t="s">
        <v>59</v>
      </c>
      <c r="AA3956" t="s">
        <v>59</v>
      </c>
      <c r="AB3956" t="s">
        <v>59</v>
      </c>
      <c r="AC3956" t="s">
        <v>59</v>
      </c>
      <c r="AD3956" t="s">
        <v>59</v>
      </c>
      <c r="AF3956" s="1">
        <v>38961</v>
      </c>
      <c r="AG3956" t="s">
        <v>148</v>
      </c>
      <c r="AH3956" t="s">
        <v>149</v>
      </c>
      <c r="AI3956" t="str">
        <f>"5051009"</f>
        <v>5051009</v>
      </c>
      <c r="AJ3956" t="s">
        <v>6851</v>
      </c>
      <c r="AK3956">
        <v>2821044551</v>
      </c>
      <c r="AL3956" t="s">
        <v>6852</v>
      </c>
      <c r="AM3956" t="s">
        <v>88</v>
      </c>
      <c r="AN3956" t="s">
        <v>88</v>
      </c>
      <c r="AO3956" t="s">
        <v>6770</v>
      </c>
      <c r="AP3956" t="s">
        <v>6771</v>
      </c>
      <c r="AQ3956">
        <v>1</v>
      </c>
      <c r="AR3956" t="s">
        <v>6729</v>
      </c>
      <c r="AS3956" t="s">
        <v>6730</v>
      </c>
      <c r="AT3956" t="s">
        <v>58</v>
      </c>
      <c r="AU3956" t="s">
        <v>68</v>
      </c>
      <c r="AV3956" t="s">
        <v>69</v>
      </c>
      <c r="AW3956" s="1">
        <v>27904</v>
      </c>
      <c r="AX3956">
        <v>2</v>
      </c>
    </row>
    <row r="3957" spans="1:50">
      <c r="A3957">
        <v>200384</v>
      </c>
      <c r="B3957" t="str">
        <f>"076329159"</f>
        <v>076329159</v>
      </c>
      <c r="C3957" t="s">
        <v>105</v>
      </c>
      <c r="D3957" t="s">
        <v>2132</v>
      </c>
      <c r="E3957" t="s">
        <v>609</v>
      </c>
      <c r="F3957" t="s">
        <v>166</v>
      </c>
      <c r="G3957" t="s">
        <v>1204</v>
      </c>
      <c r="H3957" t="str">
        <f>" "</f>
        <v xml:space="preserve"> </v>
      </c>
      <c r="J3957">
        <v>2821087488</v>
      </c>
      <c r="K3957">
        <v>6936846534</v>
      </c>
      <c r="M3957" t="s">
        <v>7477</v>
      </c>
      <c r="N3957" t="s">
        <v>204</v>
      </c>
      <c r="O3957" t="s">
        <v>205</v>
      </c>
      <c r="R3957" t="s">
        <v>57</v>
      </c>
      <c r="S3957">
        <v>7</v>
      </c>
      <c r="T3957">
        <v>206</v>
      </c>
      <c r="U3957" s="1">
        <v>37866</v>
      </c>
      <c r="V3957" t="s">
        <v>6729</v>
      </c>
      <c r="W3957" t="s">
        <v>6730</v>
      </c>
      <c r="X3957" t="s">
        <v>58</v>
      </c>
      <c r="Y3957">
        <v>20</v>
      </c>
      <c r="Z3957" t="s">
        <v>59</v>
      </c>
      <c r="AA3957" t="s">
        <v>59</v>
      </c>
      <c r="AB3957" t="s">
        <v>59</v>
      </c>
      <c r="AC3957" t="s">
        <v>59</v>
      </c>
      <c r="AD3957" t="s">
        <v>59</v>
      </c>
      <c r="AF3957" s="1">
        <v>37866</v>
      </c>
      <c r="AG3957" t="s">
        <v>148</v>
      </c>
      <c r="AH3957" t="s">
        <v>149</v>
      </c>
      <c r="AI3957" t="str">
        <f>"5059010"</f>
        <v>5059010</v>
      </c>
      <c r="AJ3957" t="s">
        <v>6883</v>
      </c>
      <c r="AK3957">
        <v>2821077166</v>
      </c>
      <c r="AL3957" t="s">
        <v>6884</v>
      </c>
      <c r="AM3957" t="s">
        <v>88</v>
      </c>
      <c r="AN3957" t="s">
        <v>6764</v>
      </c>
      <c r="AO3957" t="s">
        <v>6885</v>
      </c>
      <c r="AP3957" t="s">
        <v>6886</v>
      </c>
      <c r="AQ3957">
        <v>1</v>
      </c>
      <c r="AR3957" t="s">
        <v>6729</v>
      </c>
      <c r="AS3957" t="s">
        <v>6730</v>
      </c>
      <c r="AT3957" t="s">
        <v>58</v>
      </c>
      <c r="AU3957" t="s">
        <v>68</v>
      </c>
      <c r="AV3957" t="s">
        <v>69</v>
      </c>
      <c r="AW3957" s="1">
        <v>27332</v>
      </c>
      <c r="AX3957">
        <v>2</v>
      </c>
    </row>
    <row r="3958" spans="1:50">
      <c r="A3958">
        <v>198863</v>
      </c>
      <c r="B3958" t="str">
        <f>"078136401"</f>
        <v>078136401</v>
      </c>
      <c r="C3958" t="s">
        <v>50</v>
      </c>
      <c r="D3958" t="s">
        <v>7478</v>
      </c>
      <c r="E3958" t="s">
        <v>809</v>
      </c>
      <c r="F3958" t="s">
        <v>1320</v>
      </c>
      <c r="G3958" t="s">
        <v>1484</v>
      </c>
      <c r="H3958" t="str">
        <f>" "</f>
        <v xml:space="preserve"> </v>
      </c>
      <c r="J3958">
        <v>2821081556</v>
      </c>
      <c r="K3958">
        <v>6945291623</v>
      </c>
      <c r="M3958" t="s">
        <v>7479</v>
      </c>
      <c r="N3958" t="s">
        <v>683</v>
      </c>
      <c r="O3958" t="s">
        <v>684</v>
      </c>
      <c r="R3958" t="s">
        <v>57</v>
      </c>
      <c r="S3958">
        <v>9</v>
      </c>
      <c r="T3958">
        <v>206</v>
      </c>
      <c r="U3958" s="1">
        <v>37866</v>
      </c>
      <c r="V3958" t="s">
        <v>6729</v>
      </c>
      <c r="W3958" t="s">
        <v>6730</v>
      </c>
      <c r="X3958" t="s">
        <v>58</v>
      </c>
      <c r="Y3958">
        <v>20</v>
      </c>
      <c r="Z3958" t="s">
        <v>59</v>
      </c>
      <c r="AA3958" t="s">
        <v>59</v>
      </c>
      <c r="AB3958" t="s">
        <v>59</v>
      </c>
      <c r="AC3958" t="s">
        <v>59</v>
      </c>
      <c r="AD3958" t="s">
        <v>59</v>
      </c>
      <c r="AF3958" s="1">
        <v>37866</v>
      </c>
      <c r="AG3958" t="s">
        <v>125</v>
      </c>
      <c r="AH3958" t="s">
        <v>126</v>
      </c>
      <c r="AI3958" t="str">
        <f>"5001080"</f>
        <v>5001080</v>
      </c>
      <c r="AJ3958" t="s">
        <v>6984</v>
      </c>
      <c r="AK3958">
        <v>2821068020</v>
      </c>
      <c r="AL3958" t="s">
        <v>6985</v>
      </c>
      <c r="AM3958" t="s">
        <v>88</v>
      </c>
      <c r="AN3958" t="s">
        <v>6764</v>
      </c>
      <c r="AO3958" t="s">
        <v>6764</v>
      </c>
      <c r="AP3958" t="s">
        <v>6764</v>
      </c>
      <c r="AQ3958">
        <v>1</v>
      </c>
      <c r="AR3958" t="s">
        <v>6729</v>
      </c>
      <c r="AS3958" t="s">
        <v>6730</v>
      </c>
      <c r="AT3958" t="s">
        <v>58</v>
      </c>
      <c r="AU3958" t="s">
        <v>68</v>
      </c>
      <c r="AV3958" t="s">
        <v>132</v>
      </c>
      <c r="AW3958" s="1">
        <v>25368</v>
      </c>
      <c r="AX3958">
        <v>2</v>
      </c>
    </row>
    <row r="3959" spans="1:50">
      <c r="A3959">
        <v>143668</v>
      </c>
      <c r="B3959" t="str">
        <f>"019543669"</f>
        <v>019543669</v>
      </c>
      <c r="C3959" t="s">
        <v>105</v>
      </c>
      <c r="D3959" t="s">
        <v>7480</v>
      </c>
      <c r="E3959" t="s">
        <v>698</v>
      </c>
      <c r="F3959" t="s">
        <v>698</v>
      </c>
      <c r="G3959" t="s">
        <v>73</v>
      </c>
      <c r="H3959" t="str">
        <f>" "</f>
        <v xml:space="preserve"> </v>
      </c>
      <c r="M3959" t="s">
        <v>7481</v>
      </c>
      <c r="N3959" t="s">
        <v>176</v>
      </c>
      <c r="O3959" t="s">
        <v>177</v>
      </c>
      <c r="R3959" t="s">
        <v>57</v>
      </c>
      <c r="S3959">
        <v>18</v>
      </c>
      <c r="T3959">
        <v>274</v>
      </c>
      <c r="U3959" s="1">
        <v>30550</v>
      </c>
      <c r="V3959" t="s">
        <v>6729</v>
      </c>
      <c r="W3959" t="s">
        <v>6730</v>
      </c>
      <c r="X3959" t="s">
        <v>58</v>
      </c>
      <c r="Y3959">
        <v>18</v>
      </c>
      <c r="Z3959" t="s">
        <v>59</v>
      </c>
      <c r="AA3959" t="s">
        <v>59</v>
      </c>
      <c r="AB3959" t="s">
        <v>59</v>
      </c>
      <c r="AC3959" t="s">
        <v>59</v>
      </c>
      <c r="AD3959" t="s">
        <v>59</v>
      </c>
      <c r="AF3959" s="1">
        <v>30565</v>
      </c>
      <c r="AG3959" t="s">
        <v>148</v>
      </c>
      <c r="AH3959" t="s">
        <v>149</v>
      </c>
      <c r="AI3959" t="str">
        <f>"5051009"</f>
        <v>5051009</v>
      </c>
      <c r="AJ3959" t="s">
        <v>6851</v>
      </c>
      <c r="AK3959">
        <v>2821044551</v>
      </c>
      <c r="AL3959" t="s">
        <v>6852</v>
      </c>
      <c r="AM3959" t="s">
        <v>88</v>
      </c>
      <c r="AN3959" t="s">
        <v>88</v>
      </c>
      <c r="AO3959" t="s">
        <v>6770</v>
      </c>
      <c r="AP3959" t="s">
        <v>6771</v>
      </c>
      <c r="AQ3959">
        <v>1</v>
      </c>
      <c r="AR3959" t="s">
        <v>6729</v>
      </c>
      <c r="AS3959" t="s">
        <v>6730</v>
      </c>
      <c r="AT3959" t="s">
        <v>58</v>
      </c>
      <c r="AU3959" t="s">
        <v>68</v>
      </c>
      <c r="AV3959" t="s">
        <v>69</v>
      </c>
      <c r="AW3959" s="1">
        <v>21019</v>
      </c>
      <c r="AX3959">
        <v>2</v>
      </c>
    </row>
    <row r="3960" spans="1:50">
      <c r="A3960">
        <v>600601</v>
      </c>
      <c r="B3960" t="str">
        <f>"044605625"</f>
        <v>044605625</v>
      </c>
      <c r="C3960" t="s">
        <v>105</v>
      </c>
      <c r="D3960" t="s">
        <v>7482</v>
      </c>
      <c r="E3960" t="s">
        <v>920</v>
      </c>
      <c r="F3960" t="s">
        <v>315</v>
      </c>
      <c r="G3960" t="s">
        <v>316</v>
      </c>
      <c r="H3960" t="str">
        <f>" "</f>
        <v xml:space="preserve"> </v>
      </c>
      <c r="N3960" t="s">
        <v>74</v>
      </c>
      <c r="O3960" t="s">
        <v>75</v>
      </c>
      <c r="R3960" t="s">
        <v>57</v>
      </c>
      <c r="S3960">
        <v>16</v>
      </c>
      <c r="T3960">
        <v>136</v>
      </c>
      <c r="U3960" s="1">
        <v>34550</v>
      </c>
      <c r="V3960" t="s">
        <v>6729</v>
      </c>
      <c r="W3960" t="s">
        <v>6730</v>
      </c>
      <c r="X3960" t="s">
        <v>58</v>
      </c>
      <c r="Y3960">
        <v>21</v>
      </c>
      <c r="Z3960" t="s">
        <v>59</v>
      </c>
      <c r="AA3960" t="s">
        <v>59</v>
      </c>
      <c r="AB3960" t="s">
        <v>59</v>
      </c>
      <c r="AC3960" t="s">
        <v>59</v>
      </c>
      <c r="AD3960" t="s">
        <v>59</v>
      </c>
      <c r="AF3960" s="1">
        <v>34582</v>
      </c>
      <c r="AG3960" t="s">
        <v>345</v>
      </c>
      <c r="AH3960" t="s">
        <v>346</v>
      </c>
      <c r="AI3960" t="str">
        <f>"5041001"</f>
        <v>5041001</v>
      </c>
      <c r="AJ3960" t="s">
        <v>6840</v>
      </c>
      <c r="AK3960">
        <v>2821052100</v>
      </c>
      <c r="AL3960" t="s">
        <v>6841</v>
      </c>
      <c r="AM3960" t="s">
        <v>88</v>
      </c>
      <c r="AN3960" t="s">
        <v>88</v>
      </c>
      <c r="AO3960" t="s">
        <v>88</v>
      </c>
      <c r="AP3960" t="s">
        <v>88</v>
      </c>
      <c r="AQ3960">
        <v>1</v>
      </c>
      <c r="AR3960" t="s">
        <v>6729</v>
      </c>
      <c r="AS3960" t="s">
        <v>6730</v>
      </c>
      <c r="AT3960" t="s">
        <v>58</v>
      </c>
      <c r="AU3960" t="s">
        <v>68</v>
      </c>
      <c r="AV3960" t="s">
        <v>69</v>
      </c>
      <c r="AW3960" s="1">
        <v>19822</v>
      </c>
      <c r="AX3960">
        <v>2</v>
      </c>
    </row>
    <row r="3961" spans="1:50">
      <c r="B3961" t="str">
        <f>"113158298"</f>
        <v>113158298</v>
      </c>
      <c r="C3961" t="s">
        <v>105</v>
      </c>
      <c r="D3961" t="s">
        <v>7483</v>
      </c>
      <c r="E3961" t="s">
        <v>99</v>
      </c>
      <c r="F3961" t="s">
        <v>95</v>
      </c>
      <c r="G3961" t="s">
        <v>714</v>
      </c>
      <c r="H3961" t="str">
        <f>"ΠΕΤΡΩΦ 46 ΧΑΝΙΑ"</f>
        <v>ΠΕΤΡΩΦ 46 ΧΑΝΙΑ</v>
      </c>
      <c r="I3961">
        <v>73132</v>
      </c>
      <c r="J3961">
        <v>2821090583</v>
      </c>
      <c r="K3961">
        <v>6978229916</v>
      </c>
      <c r="M3961" t="s">
        <v>7484</v>
      </c>
      <c r="N3961" t="s">
        <v>683</v>
      </c>
      <c r="O3961" t="s">
        <v>684</v>
      </c>
      <c r="R3961" t="s">
        <v>159</v>
      </c>
      <c r="S3961">
        <v>3</v>
      </c>
      <c r="T3961" t="s">
        <v>344</v>
      </c>
      <c r="U3961" s="1">
        <v>43348</v>
      </c>
      <c r="V3961" t="s">
        <v>6729</v>
      </c>
      <c r="W3961" t="s">
        <v>6730</v>
      </c>
      <c r="X3961" t="s">
        <v>58</v>
      </c>
      <c r="Y3961">
        <v>23</v>
      </c>
      <c r="Z3961" t="s">
        <v>59</v>
      </c>
      <c r="AA3961" t="s">
        <v>59</v>
      </c>
      <c r="AB3961" t="s">
        <v>59</v>
      </c>
      <c r="AC3961" t="s">
        <v>59</v>
      </c>
      <c r="AD3961" t="s">
        <v>59</v>
      </c>
      <c r="AF3961" s="1">
        <v>43348</v>
      </c>
      <c r="AG3961" t="s">
        <v>345</v>
      </c>
      <c r="AH3961" t="s">
        <v>346</v>
      </c>
      <c r="AI3961" t="str">
        <f>"5059001"</f>
        <v>5059001</v>
      </c>
      <c r="AJ3961" t="s">
        <v>6742</v>
      </c>
      <c r="AK3961">
        <v>2822041102</v>
      </c>
      <c r="AL3961" t="s">
        <v>6743</v>
      </c>
      <c r="AM3961" t="s">
        <v>88</v>
      </c>
      <c r="AN3961" t="s">
        <v>6744</v>
      </c>
      <c r="AO3961" t="s">
        <v>6744</v>
      </c>
      <c r="AP3961" t="s">
        <v>6744</v>
      </c>
      <c r="AQ3961">
        <v>1</v>
      </c>
      <c r="AR3961" t="s">
        <v>6729</v>
      </c>
      <c r="AS3961" t="s">
        <v>6730</v>
      </c>
      <c r="AT3961" t="s">
        <v>58</v>
      </c>
      <c r="AU3961" t="s">
        <v>350</v>
      </c>
      <c r="AV3961" t="s">
        <v>132</v>
      </c>
      <c r="AW3961" s="1">
        <v>24960</v>
      </c>
      <c r="AX3961">
        <v>2</v>
      </c>
    </row>
    <row r="3962" spans="1:50">
      <c r="B3962" t="str">
        <f>"074966602"</f>
        <v>074966602</v>
      </c>
      <c r="C3962" t="s">
        <v>50</v>
      </c>
      <c r="D3962" t="s">
        <v>7485</v>
      </c>
      <c r="E3962" t="s">
        <v>52</v>
      </c>
      <c r="F3962" t="s">
        <v>95</v>
      </c>
      <c r="G3962" t="s">
        <v>263</v>
      </c>
      <c r="H3962" t="str">
        <f>"ΝΙΚΟΛΑΟΥ ΣΚΟΥΛΑ 109 "</f>
        <v xml:space="preserve">ΝΙΚΟΛΑΟΥ ΣΚΟΥΛΑ 109 </v>
      </c>
      <c r="I3962">
        <v>73100</v>
      </c>
      <c r="J3962">
        <v>2821094228</v>
      </c>
      <c r="K3962">
        <v>6972407908</v>
      </c>
      <c r="M3962" t="s">
        <v>7486</v>
      </c>
      <c r="N3962" t="s">
        <v>146</v>
      </c>
      <c r="O3962" t="s">
        <v>147</v>
      </c>
      <c r="R3962" t="s">
        <v>159</v>
      </c>
      <c r="S3962">
        <v>4</v>
      </c>
      <c r="T3962" t="s">
        <v>416</v>
      </c>
      <c r="U3962" s="1">
        <v>43349</v>
      </c>
      <c r="V3962" t="s">
        <v>6729</v>
      </c>
      <c r="W3962" t="s">
        <v>6730</v>
      </c>
      <c r="X3962" t="s">
        <v>58</v>
      </c>
      <c r="Y3962">
        <v>21</v>
      </c>
      <c r="Z3962" t="s">
        <v>59</v>
      </c>
      <c r="AA3962" t="s">
        <v>59</v>
      </c>
      <c r="AB3962" t="s">
        <v>59</v>
      </c>
      <c r="AC3962" t="s">
        <v>59</v>
      </c>
      <c r="AD3962" t="s">
        <v>59</v>
      </c>
      <c r="AF3962" s="1">
        <v>43349</v>
      </c>
      <c r="AG3962" t="s">
        <v>125</v>
      </c>
      <c r="AH3962" t="s">
        <v>126</v>
      </c>
      <c r="AI3962" t="str">
        <f>"5004010"</f>
        <v>5004010</v>
      </c>
      <c r="AJ3962" t="s">
        <v>7166</v>
      </c>
      <c r="AK3962">
        <v>2822022067</v>
      </c>
      <c r="AL3962" t="s">
        <v>7167</v>
      </c>
      <c r="AM3962" t="s">
        <v>88</v>
      </c>
      <c r="AN3962" t="s">
        <v>6744</v>
      </c>
      <c r="AO3962" t="s">
        <v>6744</v>
      </c>
      <c r="AP3962" t="s">
        <v>6744</v>
      </c>
      <c r="AQ3962">
        <v>1</v>
      </c>
      <c r="AR3962" t="s">
        <v>6729</v>
      </c>
      <c r="AS3962" t="s">
        <v>6730</v>
      </c>
      <c r="AT3962" t="s">
        <v>58</v>
      </c>
      <c r="AU3962" t="s">
        <v>419</v>
      </c>
      <c r="AV3962" t="s">
        <v>132</v>
      </c>
      <c r="AW3962" s="1">
        <v>26418</v>
      </c>
      <c r="AX3962">
        <v>2</v>
      </c>
    </row>
    <row r="3963" spans="1:50">
      <c r="A3963">
        <v>205300</v>
      </c>
      <c r="B3963" t="str">
        <f>"048143429"</f>
        <v>048143429</v>
      </c>
      <c r="C3963" t="s">
        <v>105</v>
      </c>
      <c r="D3963" t="s">
        <v>7487</v>
      </c>
      <c r="E3963" t="s">
        <v>106</v>
      </c>
      <c r="F3963" t="s">
        <v>95</v>
      </c>
      <c r="G3963" t="s">
        <v>263</v>
      </c>
      <c r="H3963" t="str">
        <f>" "</f>
        <v xml:space="preserve"> </v>
      </c>
      <c r="J3963">
        <v>2821044277</v>
      </c>
      <c r="K3963">
        <v>6977271435</v>
      </c>
      <c r="M3963" t="s">
        <v>7488</v>
      </c>
      <c r="N3963" t="s">
        <v>204</v>
      </c>
      <c r="O3963" t="s">
        <v>205</v>
      </c>
      <c r="R3963" t="s">
        <v>57</v>
      </c>
      <c r="S3963">
        <v>13</v>
      </c>
      <c r="T3963">
        <v>231</v>
      </c>
      <c r="U3963" s="1">
        <v>38230</v>
      </c>
      <c r="V3963" t="s">
        <v>6729</v>
      </c>
      <c r="W3963" t="s">
        <v>6730</v>
      </c>
      <c r="X3963" t="s">
        <v>58</v>
      </c>
      <c r="Y3963">
        <v>20</v>
      </c>
      <c r="Z3963" t="s">
        <v>59</v>
      </c>
      <c r="AA3963" t="s">
        <v>59</v>
      </c>
      <c r="AB3963" t="s">
        <v>59</v>
      </c>
      <c r="AC3963" t="s">
        <v>59</v>
      </c>
      <c r="AD3963" t="s">
        <v>59</v>
      </c>
      <c r="AF3963" s="1">
        <v>38232</v>
      </c>
      <c r="AG3963" t="s">
        <v>125</v>
      </c>
      <c r="AH3963" t="s">
        <v>126</v>
      </c>
      <c r="AI3963" t="str">
        <f>"5011010"</f>
        <v>5011010</v>
      </c>
      <c r="AJ3963" t="s">
        <v>6877</v>
      </c>
      <c r="AK3963">
        <v>2821081330</v>
      </c>
      <c r="AL3963" t="s">
        <v>6878</v>
      </c>
      <c r="AM3963" t="s">
        <v>88</v>
      </c>
      <c r="AN3963" t="s">
        <v>88</v>
      </c>
      <c r="AO3963" t="s">
        <v>6748</v>
      </c>
      <c r="AP3963" t="s">
        <v>6748</v>
      </c>
      <c r="AQ3963">
        <v>1</v>
      </c>
      <c r="AR3963" t="s">
        <v>6729</v>
      </c>
      <c r="AS3963" t="s">
        <v>6730</v>
      </c>
      <c r="AT3963" t="s">
        <v>58</v>
      </c>
      <c r="AU3963" t="s">
        <v>68</v>
      </c>
      <c r="AV3963" t="s">
        <v>69</v>
      </c>
      <c r="AW3963" s="1">
        <v>27052</v>
      </c>
      <c r="AX3963">
        <v>2</v>
      </c>
    </row>
    <row r="3964" spans="1:50">
      <c r="A3964">
        <v>225479</v>
      </c>
      <c r="B3964" t="str">
        <f>"047446180"</f>
        <v>047446180</v>
      </c>
      <c r="C3964" t="s">
        <v>50</v>
      </c>
      <c r="D3964" t="s">
        <v>7489</v>
      </c>
      <c r="E3964" t="s">
        <v>263</v>
      </c>
      <c r="F3964" t="s">
        <v>99</v>
      </c>
      <c r="G3964" t="s">
        <v>237</v>
      </c>
      <c r="H3964" t="str">
        <f>" "</f>
        <v xml:space="preserve"> </v>
      </c>
      <c r="J3964">
        <v>2821075962</v>
      </c>
      <c r="K3964">
        <v>6974032123</v>
      </c>
      <c r="N3964" t="s">
        <v>907</v>
      </c>
      <c r="O3964" t="s">
        <v>908</v>
      </c>
      <c r="R3964" t="s">
        <v>57</v>
      </c>
      <c r="S3964">
        <v>7</v>
      </c>
      <c r="T3964">
        <v>775</v>
      </c>
      <c r="U3964" s="1">
        <v>39680</v>
      </c>
      <c r="V3964" t="s">
        <v>6729</v>
      </c>
      <c r="W3964" t="s">
        <v>6730</v>
      </c>
      <c r="X3964" t="s">
        <v>58</v>
      </c>
      <c r="Y3964">
        <v>20</v>
      </c>
      <c r="Z3964" t="s">
        <v>59</v>
      </c>
      <c r="AA3964" t="s">
        <v>59</v>
      </c>
      <c r="AB3964" t="s">
        <v>59</v>
      </c>
      <c r="AC3964" t="s">
        <v>59</v>
      </c>
      <c r="AD3964" t="s">
        <v>59</v>
      </c>
      <c r="AF3964" s="1">
        <v>39681</v>
      </c>
      <c r="AG3964" t="s">
        <v>137</v>
      </c>
      <c r="AH3964" t="s">
        <v>469</v>
      </c>
      <c r="AI3964" t="str">
        <f>"5040055"</f>
        <v>5040055</v>
      </c>
      <c r="AJ3964" t="s">
        <v>6940</v>
      </c>
      <c r="AK3964">
        <v>2821036404</v>
      </c>
      <c r="AL3964" t="s">
        <v>6941</v>
      </c>
      <c r="AM3964" t="s">
        <v>88</v>
      </c>
      <c r="AN3964" t="s">
        <v>88</v>
      </c>
      <c r="AO3964" t="s">
        <v>88</v>
      </c>
      <c r="AP3964" t="s">
        <v>88</v>
      </c>
      <c r="AQ3964">
        <v>1</v>
      </c>
      <c r="AR3964" t="s">
        <v>6729</v>
      </c>
      <c r="AS3964" t="s">
        <v>6730</v>
      </c>
      <c r="AT3964" t="s">
        <v>58</v>
      </c>
      <c r="AU3964" t="s">
        <v>68</v>
      </c>
      <c r="AV3964" t="s">
        <v>69</v>
      </c>
      <c r="AW3964" s="1">
        <v>26665</v>
      </c>
      <c r="AX3964">
        <v>2</v>
      </c>
    </row>
    <row r="3965" spans="1:50">
      <c r="A3965">
        <v>160733</v>
      </c>
      <c r="B3965" t="str">
        <f>"065268709"</f>
        <v>065268709</v>
      </c>
      <c r="C3965" t="s">
        <v>50</v>
      </c>
      <c r="D3965" t="s">
        <v>7490</v>
      </c>
      <c r="E3965" t="s">
        <v>237</v>
      </c>
      <c r="F3965" t="s">
        <v>84</v>
      </c>
      <c r="G3965" t="s">
        <v>52</v>
      </c>
      <c r="H3965" t="str">
        <f>" "</f>
        <v xml:space="preserve"> </v>
      </c>
      <c r="M3965" t="s">
        <v>7491</v>
      </c>
      <c r="N3965" t="s">
        <v>299</v>
      </c>
      <c r="O3965" t="s">
        <v>300</v>
      </c>
      <c r="R3965" t="s">
        <v>57</v>
      </c>
      <c r="S3965">
        <v>15</v>
      </c>
      <c r="T3965">
        <v>161</v>
      </c>
      <c r="U3965" s="1">
        <v>33119</v>
      </c>
      <c r="V3965" t="s">
        <v>6729</v>
      </c>
      <c r="W3965" t="s">
        <v>6730</v>
      </c>
      <c r="X3965" t="s">
        <v>58</v>
      </c>
      <c r="Y3965">
        <v>18</v>
      </c>
      <c r="Z3965" t="s">
        <v>59</v>
      </c>
      <c r="AA3965" t="s">
        <v>59</v>
      </c>
      <c r="AB3965" t="s">
        <v>59</v>
      </c>
      <c r="AC3965" t="s">
        <v>59</v>
      </c>
      <c r="AD3965" t="s">
        <v>59</v>
      </c>
      <c r="AF3965" s="1">
        <v>33122</v>
      </c>
      <c r="AG3965" t="s">
        <v>137</v>
      </c>
      <c r="AH3965" t="s">
        <v>138</v>
      </c>
      <c r="AI3965" t="str">
        <f>"5040050"</f>
        <v>5040050</v>
      </c>
      <c r="AJ3965" t="s">
        <v>6750</v>
      </c>
      <c r="AK3965">
        <v>2821043147</v>
      </c>
      <c r="AL3965" t="s">
        <v>6751</v>
      </c>
      <c r="AM3965" t="s">
        <v>88</v>
      </c>
      <c r="AN3965" t="s">
        <v>88</v>
      </c>
      <c r="AO3965" t="s">
        <v>88</v>
      </c>
      <c r="AP3965" t="s">
        <v>88</v>
      </c>
      <c r="AQ3965">
        <v>1</v>
      </c>
      <c r="AR3965" t="s">
        <v>6729</v>
      </c>
      <c r="AS3965" t="s">
        <v>6730</v>
      </c>
      <c r="AT3965" t="s">
        <v>58</v>
      </c>
      <c r="AU3965" t="s">
        <v>68</v>
      </c>
      <c r="AV3965" t="s">
        <v>69</v>
      </c>
      <c r="AW3965" s="1">
        <v>22278</v>
      </c>
      <c r="AX3965">
        <v>2</v>
      </c>
    </row>
    <row r="3966" spans="1:50">
      <c r="A3966">
        <v>225405</v>
      </c>
      <c r="B3966" t="str">
        <f>"061954638"</f>
        <v>061954638</v>
      </c>
      <c r="C3966" t="s">
        <v>50</v>
      </c>
      <c r="D3966" t="s">
        <v>7490</v>
      </c>
      <c r="E3966" t="s">
        <v>181</v>
      </c>
      <c r="F3966" t="s">
        <v>106</v>
      </c>
      <c r="G3966" t="s">
        <v>52</v>
      </c>
      <c r="H3966" t="str">
        <f>"ΕΛΕΥΘΕΡΙΟΥ ΒΕΝΙΖΕΛΟΥ 12 "</f>
        <v xml:space="preserve">ΕΛΕΥΘΕΡΙΟΥ ΒΕΝΙΖΕΛΟΥ 12 </v>
      </c>
      <c r="I3966">
        <v>73132</v>
      </c>
      <c r="J3966">
        <v>2821040904</v>
      </c>
      <c r="K3966">
        <v>6973971117</v>
      </c>
      <c r="L3966">
        <v>2821023358</v>
      </c>
      <c r="M3966" t="s">
        <v>7492</v>
      </c>
      <c r="N3966" t="s">
        <v>1989</v>
      </c>
      <c r="O3966" t="s">
        <v>1990</v>
      </c>
      <c r="R3966" t="s">
        <v>57</v>
      </c>
      <c r="S3966">
        <v>8</v>
      </c>
      <c r="T3966">
        <v>775</v>
      </c>
      <c r="U3966" s="1">
        <v>39680</v>
      </c>
      <c r="V3966" t="s">
        <v>6729</v>
      </c>
      <c r="W3966" t="s">
        <v>6730</v>
      </c>
      <c r="X3966" t="s">
        <v>58</v>
      </c>
      <c r="Y3966">
        <v>20</v>
      </c>
      <c r="Z3966" t="s">
        <v>59</v>
      </c>
      <c r="AA3966" t="s">
        <v>59</v>
      </c>
      <c r="AB3966" t="s">
        <v>59</v>
      </c>
      <c r="AC3966" t="s">
        <v>59</v>
      </c>
      <c r="AD3966" t="s">
        <v>59</v>
      </c>
      <c r="AF3966" s="1">
        <v>39692</v>
      </c>
      <c r="AG3966" t="s">
        <v>137</v>
      </c>
      <c r="AH3966" t="s">
        <v>138</v>
      </c>
      <c r="AI3966" t="str">
        <f>"5040100"</f>
        <v>5040100</v>
      </c>
      <c r="AJ3966" t="s">
        <v>6790</v>
      </c>
      <c r="AK3966">
        <v>2821058998</v>
      </c>
      <c r="AL3966" t="s">
        <v>6791</v>
      </c>
      <c r="AM3966" t="s">
        <v>88</v>
      </c>
      <c r="AN3966" t="s">
        <v>88</v>
      </c>
      <c r="AO3966" t="s">
        <v>6770</v>
      </c>
      <c r="AP3966" t="s">
        <v>6771</v>
      </c>
      <c r="AQ3966">
        <v>1</v>
      </c>
      <c r="AR3966" t="s">
        <v>6729</v>
      </c>
      <c r="AS3966" t="s">
        <v>6730</v>
      </c>
      <c r="AT3966" t="s">
        <v>58</v>
      </c>
      <c r="AU3966" t="s">
        <v>68</v>
      </c>
      <c r="AV3966" t="s">
        <v>69</v>
      </c>
      <c r="AW3966" s="1">
        <v>26444</v>
      </c>
      <c r="AX3966">
        <v>2</v>
      </c>
    </row>
    <row r="3967" spans="1:50">
      <c r="A3967">
        <v>702784</v>
      </c>
      <c r="B3967" t="str">
        <f>"075403502"</f>
        <v>075403502</v>
      </c>
      <c r="C3967" t="s">
        <v>105</v>
      </c>
      <c r="D3967" t="s">
        <v>7493</v>
      </c>
      <c r="E3967" t="s">
        <v>496</v>
      </c>
      <c r="F3967" t="s">
        <v>383</v>
      </c>
      <c r="G3967" t="s">
        <v>255</v>
      </c>
      <c r="H3967" t="str">
        <f>"ΚΟΥΝΟΥΠΙΔΙΑΝΑ ΑΚΡΩΤΗΡΙΟΥ"</f>
        <v>ΚΟΥΝΟΥΠΙΔΙΑΝΑ ΑΚΡΩΤΗΡΙΟΥ</v>
      </c>
      <c r="J3967">
        <v>2821703880</v>
      </c>
      <c r="K3967">
        <v>6976856432</v>
      </c>
      <c r="N3967" t="s">
        <v>232</v>
      </c>
      <c r="O3967" t="s">
        <v>233</v>
      </c>
      <c r="R3967" t="s">
        <v>57</v>
      </c>
      <c r="S3967">
        <v>8</v>
      </c>
      <c r="T3967" t="s">
        <v>1230</v>
      </c>
      <c r="U3967" s="1">
        <v>39961</v>
      </c>
      <c r="V3967" t="s">
        <v>6729</v>
      </c>
      <c r="W3967" t="s">
        <v>6730</v>
      </c>
      <c r="X3967" t="s">
        <v>58</v>
      </c>
      <c r="Y3967">
        <v>20</v>
      </c>
      <c r="Z3967" t="s">
        <v>59</v>
      </c>
      <c r="AA3967" t="s">
        <v>59</v>
      </c>
      <c r="AB3967" t="s">
        <v>59</v>
      </c>
      <c r="AC3967" t="s">
        <v>59</v>
      </c>
      <c r="AD3967" t="s">
        <v>59</v>
      </c>
      <c r="AF3967" s="1">
        <v>39967</v>
      </c>
      <c r="AG3967" t="s">
        <v>148</v>
      </c>
      <c r="AH3967" t="s">
        <v>149</v>
      </c>
      <c r="AI3967" t="str">
        <f>"5058010"</f>
        <v>5058010</v>
      </c>
      <c r="AJ3967" t="s">
        <v>7431</v>
      </c>
      <c r="AK3967">
        <v>2825091037</v>
      </c>
      <c r="AL3967" t="s">
        <v>7432</v>
      </c>
      <c r="AM3967" t="s">
        <v>88</v>
      </c>
      <c r="AN3967" t="s">
        <v>6995</v>
      </c>
      <c r="AO3967" t="s">
        <v>6995</v>
      </c>
      <c r="AP3967" t="s">
        <v>6996</v>
      </c>
      <c r="AQ3967">
        <v>1</v>
      </c>
      <c r="AR3967" t="s">
        <v>6729</v>
      </c>
      <c r="AS3967" t="s">
        <v>6730</v>
      </c>
      <c r="AT3967" t="s">
        <v>58</v>
      </c>
      <c r="AU3967" t="s">
        <v>68</v>
      </c>
      <c r="AV3967" t="s">
        <v>69</v>
      </c>
      <c r="AW3967" s="1">
        <v>25325</v>
      </c>
      <c r="AX3967">
        <v>2</v>
      </c>
    </row>
    <row r="3968" spans="1:50">
      <c r="A3968">
        <v>214883</v>
      </c>
      <c r="B3968" t="str">
        <f>"067303724"</f>
        <v>067303724</v>
      </c>
      <c r="C3968" t="s">
        <v>50</v>
      </c>
      <c r="D3968" t="s">
        <v>7494</v>
      </c>
      <c r="E3968" t="s">
        <v>52</v>
      </c>
      <c r="F3968" t="s">
        <v>72</v>
      </c>
      <c r="G3968" t="s">
        <v>484</v>
      </c>
      <c r="H3968" t="str">
        <f>"ΛΟΥΛΑΚΑΚΗ 8 κτ Β ΛΕΝΤΑΡΙΑΝΑ"</f>
        <v>ΛΟΥΛΑΚΑΚΗ 8 κτ Β ΛΕΝΤΑΡΙΑΝΑ</v>
      </c>
      <c r="I3968">
        <v>73100</v>
      </c>
      <c r="J3968">
        <v>2102820954</v>
      </c>
      <c r="K3968">
        <v>6972235396</v>
      </c>
      <c r="M3968" t="s">
        <v>7495</v>
      </c>
      <c r="N3968" t="s">
        <v>299</v>
      </c>
      <c r="O3968" t="s">
        <v>300</v>
      </c>
      <c r="P3968" t="s">
        <v>257</v>
      </c>
      <c r="Q3968" t="s">
        <v>258</v>
      </c>
      <c r="R3968" t="s">
        <v>57</v>
      </c>
      <c r="S3968">
        <v>6</v>
      </c>
      <c r="T3968">
        <v>231</v>
      </c>
      <c r="U3968" s="1">
        <v>38960</v>
      </c>
      <c r="V3968" t="s">
        <v>6729</v>
      </c>
      <c r="W3968" t="s">
        <v>6730</v>
      </c>
      <c r="X3968" t="s">
        <v>58</v>
      </c>
      <c r="Y3968">
        <v>20</v>
      </c>
      <c r="Z3968" t="s">
        <v>59</v>
      </c>
      <c r="AA3968" t="s">
        <v>59</v>
      </c>
      <c r="AB3968" t="s">
        <v>59</v>
      </c>
      <c r="AC3968" t="s">
        <v>59</v>
      </c>
      <c r="AD3968" t="s">
        <v>59</v>
      </c>
      <c r="AF3968" s="1">
        <v>38961</v>
      </c>
      <c r="AG3968" t="s">
        <v>125</v>
      </c>
      <c r="AH3968" t="s">
        <v>126</v>
      </c>
      <c r="AI3968" t="str">
        <f>"5001072"</f>
        <v>5001072</v>
      </c>
      <c r="AJ3968" t="s">
        <v>6922</v>
      </c>
      <c r="AK3968">
        <v>2821055471</v>
      </c>
      <c r="AL3968" t="s">
        <v>6923</v>
      </c>
      <c r="AM3968" t="s">
        <v>88</v>
      </c>
      <c r="AN3968" t="s">
        <v>88</v>
      </c>
      <c r="AO3968" t="s">
        <v>88</v>
      </c>
      <c r="AP3968" t="s">
        <v>88</v>
      </c>
      <c r="AQ3968">
        <v>1</v>
      </c>
      <c r="AR3968" t="s">
        <v>6729</v>
      </c>
      <c r="AS3968" t="s">
        <v>6730</v>
      </c>
      <c r="AT3968" t="s">
        <v>58</v>
      </c>
      <c r="AU3968" t="s">
        <v>68</v>
      </c>
      <c r="AV3968" t="s">
        <v>69</v>
      </c>
      <c r="AW3968" s="1">
        <v>26753</v>
      </c>
      <c r="AX3968">
        <v>2</v>
      </c>
    </row>
    <row r="3969" spans="1:50">
      <c r="A3969">
        <v>191497</v>
      </c>
      <c r="B3969" t="str">
        <f>"067396440"</f>
        <v>067396440</v>
      </c>
      <c r="C3969" t="s">
        <v>105</v>
      </c>
      <c r="D3969" t="s">
        <v>7496</v>
      </c>
      <c r="E3969" t="s">
        <v>510</v>
      </c>
      <c r="F3969" t="s">
        <v>84</v>
      </c>
      <c r="G3969" t="s">
        <v>181</v>
      </c>
      <c r="H3969" t="str">
        <f>"Λ. ΚΑΤΣΩΝΗ 4 "</f>
        <v xml:space="preserve">Λ. ΚΑΤΣΩΝΗ 4 </v>
      </c>
      <c r="I3969">
        <v>14343</v>
      </c>
      <c r="K3969">
        <v>6973208059</v>
      </c>
      <c r="N3969" t="s">
        <v>299</v>
      </c>
      <c r="O3969" t="s">
        <v>300</v>
      </c>
      <c r="R3969" t="s">
        <v>57</v>
      </c>
      <c r="S3969">
        <v>10</v>
      </c>
      <c r="T3969">
        <v>291</v>
      </c>
      <c r="U3969" s="1">
        <v>37218</v>
      </c>
      <c r="V3969" t="s">
        <v>6729</v>
      </c>
      <c r="W3969" t="s">
        <v>6730</v>
      </c>
      <c r="X3969" t="s">
        <v>58</v>
      </c>
      <c r="Y3969">
        <v>20</v>
      </c>
      <c r="Z3969" t="s">
        <v>59</v>
      </c>
      <c r="AA3969" t="s">
        <v>59</v>
      </c>
      <c r="AB3969" t="s">
        <v>59</v>
      </c>
      <c r="AC3969" t="s">
        <v>59</v>
      </c>
      <c r="AD3969" t="s">
        <v>59</v>
      </c>
      <c r="AF3969" s="1">
        <v>37222</v>
      </c>
      <c r="AG3969" t="s">
        <v>148</v>
      </c>
      <c r="AH3969" t="s">
        <v>149</v>
      </c>
      <c r="AI3969" t="str">
        <f>"5062010"</f>
        <v>5062010</v>
      </c>
      <c r="AJ3969" t="s">
        <v>6783</v>
      </c>
      <c r="AK3969">
        <v>2821031620</v>
      </c>
      <c r="AL3969" t="s">
        <v>6784</v>
      </c>
      <c r="AM3969" t="s">
        <v>88</v>
      </c>
      <c r="AN3969" t="s">
        <v>88</v>
      </c>
      <c r="AO3969" t="s">
        <v>6785</v>
      </c>
      <c r="AP3969" t="s">
        <v>6786</v>
      </c>
      <c r="AQ3969">
        <v>1</v>
      </c>
      <c r="AR3969" t="s">
        <v>6729</v>
      </c>
      <c r="AS3969" t="s">
        <v>6730</v>
      </c>
      <c r="AT3969" t="s">
        <v>58</v>
      </c>
      <c r="AU3969" t="s">
        <v>68</v>
      </c>
      <c r="AV3969" t="s">
        <v>132</v>
      </c>
      <c r="AW3969" s="1">
        <v>26363</v>
      </c>
      <c r="AX3969">
        <v>2</v>
      </c>
    </row>
    <row r="3970" spans="1:50">
      <c r="A3970">
        <v>200387</v>
      </c>
      <c r="B3970" t="str">
        <f>"111813437"</f>
        <v>111813437</v>
      </c>
      <c r="C3970" t="s">
        <v>105</v>
      </c>
      <c r="D3970" t="s">
        <v>7497</v>
      </c>
      <c r="E3970" t="s">
        <v>154</v>
      </c>
      <c r="F3970" t="s">
        <v>154</v>
      </c>
      <c r="G3970" t="s">
        <v>255</v>
      </c>
      <c r="H3970" t="str">
        <f>"ΤΣΙΚΑΛΑΡΙΑ ΤΘ 2509 ΧΑΝΙΩΝ"</f>
        <v>ΤΣΙΚΑΛΑΡΙΑ ΤΘ 2509 ΧΑΝΙΩΝ</v>
      </c>
      <c r="I3970">
        <v>73200</v>
      </c>
      <c r="J3970">
        <v>2821089130</v>
      </c>
      <c r="K3970">
        <v>6947527887</v>
      </c>
      <c r="M3970" t="s">
        <v>7498</v>
      </c>
      <c r="N3970" t="s">
        <v>204</v>
      </c>
      <c r="O3970" t="s">
        <v>205</v>
      </c>
      <c r="R3970" t="s">
        <v>57</v>
      </c>
      <c r="S3970">
        <v>7</v>
      </c>
      <c r="T3970">
        <v>206</v>
      </c>
      <c r="U3970" s="1">
        <v>37866</v>
      </c>
      <c r="V3970" t="s">
        <v>6729</v>
      </c>
      <c r="W3970" t="s">
        <v>6730</v>
      </c>
      <c r="X3970" t="s">
        <v>58</v>
      </c>
      <c r="Y3970">
        <v>20</v>
      </c>
      <c r="Z3970" t="s">
        <v>59</v>
      </c>
      <c r="AA3970" t="s">
        <v>59</v>
      </c>
      <c r="AB3970" t="s">
        <v>59</v>
      </c>
      <c r="AC3970" t="s">
        <v>59</v>
      </c>
      <c r="AD3970" t="s">
        <v>59</v>
      </c>
      <c r="AF3970" s="1">
        <v>37866</v>
      </c>
      <c r="AG3970" t="s">
        <v>148</v>
      </c>
      <c r="AH3970" t="s">
        <v>1053</v>
      </c>
      <c r="AI3970" t="str">
        <f>"5051015"</f>
        <v>5051015</v>
      </c>
      <c r="AJ3970" t="s">
        <v>6865</v>
      </c>
      <c r="AK3970">
        <v>2821043770</v>
      </c>
      <c r="AL3970" t="s">
        <v>6866</v>
      </c>
      <c r="AM3970" t="s">
        <v>88</v>
      </c>
      <c r="AN3970" t="s">
        <v>88</v>
      </c>
      <c r="AO3970" t="s">
        <v>88</v>
      </c>
      <c r="AP3970" t="s">
        <v>88</v>
      </c>
      <c r="AQ3970">
        <v>1</v>
      </c>
      <c r="AR3970" t="s">
        <v>6729</v>
      </c>
      <c r="AS3970" t="s">
        <v>6730</v>
      </c>
      <c r="AT3970" t="s">
        <v>58</v>
      </c>
      <c r="AU3970" t="s">
        <v>68</v>
      </c>
      <c r="AV3970" t="s">
        <v>69</v>
      </c>
      <c r="AW3970" s="1">
        <v>28930</v>
      </c>
      <c r="AX3970">
        <v>2</v>
      </c>
    </row>
    <row r="3971" spans="1:50">
      <c r="A3971">
        <v>176635</v>
      </c>
      <c r="B3971" t="str">
        <f>"036925866"</f>
        <v>036925866</v>
      </c>
      <c r="C3971" t="s">
        <v>105</v>
      </c>
      <c r="D3971" t="s">
        <v>7499</v>
      </c>
      <c r="E3971" t="s">
        <v>72</v>
      </c>
      <c r="F3971" t="s">
        <v>2933</v>
      </c>
      <c r="G3971" t="s">
        <v>52</v>
      </c>
      <c r="H3971" t="str">
        <f>"ΠΑΝΑΓΙΑΣ 22 ΠΙΘΑΡΙ"</f>
        <v>ΠΑΝΑΓΙΑΣ 22 ΠΙΘΑΡΙ</v>
      </c>
      <c r="J3971">
        <v>2821069908</v>
      </c>
      <c r="K3971">
        <v>6977836221</v>
      </c>
      <c r="M3971" t="s">
        <v>7500</v>
      </c>
      <c r="N3971" t="s">
        <v>306</v>
      </c>
      <c r="O3971" t="s">
        <v>307</v>
      </c>
      <c r="R3971" t="s">
        <v>57</v>
      </c>
      <c r="S3971">
        <v>13</v>
      </c>
      <c r="T3971">
        <v>180</v>
      </c>
      <c r="U3971" s="1">
        <v>35674</v>
      </c>
      <c r="V3971" t="s">
        <v>6729</v>
      </c>
      <c r="W3971" t="s">
        <v>6730</v>
      </c>
      <c r="X3971" t="s">
        <v>58</v>
      </c>
      <c r="Y3971">
        <v>18</v>
      </c>
      <c r="Z3971" t="s">
        <v>59</v>
      </c>
      <c r="AA3971" t="s">
        <v>59</v>
      </c>
      <c r="AB3971" t="s">
        <v>59</v>
      </c>
      <c r="AC3971" t="s">
        <v>59</v>
      </c>
      <c r="AD3971" t="s">
        <v>59</v>
      </c>
      <c r="AF3971" s="1">
        <v>35678</v>
      </c>
      <c r="AG3971" t="s">
        <v>137</v>
      </c>
      <c r="AH3971" t="s">
        <v>138</v>
      </c>
      <c r="AI3971" t="str">
        <f>"5050060"</f>
        <v>5050060</v>
      </c>
      <c r="AJ3971" t="s">
        <v>6801</v>
      </c>
      <c r="AK3971">
        <v>2821091515</v>
      </c>
      <c r="AL3971" t="s">
        <v>6802</v>
      </c>
      <c r="AM3971" t="s">
        <v>88</v>
      </c>
      <c r="AN3971" t="s">
        <v>88</v>
      </c>
      <c r="AO3971" t="s">
        <v>88</v>
      </c>
      <c r="AP3971" t="s">
        <v>88</v>
      </c>
      <c r="AQ3971">
        <v>1</v>
      </c>
      <c r="AR3971" t="s">
        <v>6729</v>
      </c>
      <c r="AS3971" t="s">
        <v>6730</v>
      </c>
      <c r="AT3971" t="s">
        <v>58</v>
      </c>
      <c r="AU3971" t="s">
        <v>68</v>
      </c>
      <c r="AV3971" t="s">
        <v>357</v>
      </c>
      <c r="AW3971" s="1">
        <v>24365</v>
      </c>
      <c r="AX3971">
        <v>2</v>
      </c>
    </row>
    <row r="3972" spans="1:50">
      <c r="A3972">
        <v>198357</v>
      </c>
      <c r="B3972" t="str">
        <f>"113183062"</f>
        <v>113183062</v>
      </c>
      <c r="C3972" t="s">
        <v>50</v>
      </c>
      <c r="D3972" t="s">
        <v>7501</v>
      </c>
      <c r="E3972" t="s">
        <v>112</v>
      </c>
      <c r="F3972" t="s">
        <v>72</v>
      </c>
      <c r="G3972" t="s">
        <v>4629</v>
      </c>
      <c r="H3972" t="str">
        <f>"Κ.ΜΗΤΣΟΤΑΚΗ 32 ΧΑΝΙΑ"</f>
        <v>Κ.ΜΗΤΣΟΤΑΚΗ 32 ΧΑΝΙΑ</v>
      </c>
      <c r="I3972">
        <v>73100</v>
      </c>
      <c r="J3972">
        <v>2821020146</v>
      </c>
      <c r="K3972">
        <v>6948101158</v>
      </c>
      <c r="M3972" t="s">
        <v>7502</v>
      </c>
      <c r="N3972" t="s">
        <v>478</v>
      </c>
      <c r="O3972" t="s">
        <v>479</v>
      </c>
      <c r="R3972" t="s">
        <v>57</v>
      </c>
      <c r="S3972">
        <v>9</v>
      </c>
      <c r="T3972">
        <v>206</v>
      </c>
      <c r="U3972" s="1">
        <v>37866</v>
      </c>
      <c r="V3972" t="s">
        <v>6729</v>
      </c>
      <c r="W3972" t="s">
        <v>6730</v>
      </c>
      <c r="X3972" t="s">
        <v>58</v>
      </c>
      <c r="Y3972">
        <v>20</v>
      </c>
      <c r="Z3972" t="s">
        <v>59</v>
      </c>
      <c r="AA3972" t="s">
        <v>59</v>
      </c>
      <c r="AB3972" t="s">
        <v>59</v>
      </c>
      <c r="AC3972" t="s">
        <v>59</v>
      </c>
      <c r="AD3972" t="s">
        <v>59</v>
      </c>
      <c r="AF3972" s="1">
        <v>37866</v>
      </c>
      <c r="AG3972" t="s">
        <v>125</v>
      </c>
      <c r="AH3972" t="s">
        <v>126</v>
      </c>
      <c r="AI3972" t="str">
        <f>"5004010"</f>
        <v>5004010</v>
      </c>
      <c r="AJ3972" t="s">
        <v>7166</v>
      </c>
      <c r="AK3972">
        <v>2822022067</v>
      </c>
      <c r="AL3972" t="s">
        <v>7167</v>
      </c>
      <c r="AM3972" t="s">
        <v>88</v>
      </c>
      <c r="AN3972" t="s">
        <v>6744</v>
      </c>
      <c r="AO3972" t="s">
        <v>6744</v>
      </c>
      <c r="AP3972" t="s">
        <v>6744</v>
      </c>
      <c r="AQ3972">
        <v>1</v>
      </c>
      <c r="AR3972" t="s">
        <v>6729</v>
      </c>
      <c r="AS3972" t="s">
        <v>6730</v>
      </c>
      <c r="AT3972" t="s">
        <v>58</v>
      </c>
      <c r="AU3972" t="s">
        <v>68</v>
      </c>
      <c r="AV3972" t="s">
        <v>69</v>
      </c>
      <c r="AW3972" s="1">
        <v>27682</v>
      </c>
      <c r="AX3972">
        <v>2</v>
      </c>
    </row>
    <row r="3973" spans="1:50">
      <c r="A3973">
        <v>212745</v>
      </c>
      <c r="B3973" t="str">
        <f>"056048740"</f>
        <v>056048740</v>
      </c>
      <c r="C3973" t="s">
        <v>105</v>
      </c>
      <c r="D3973" t="s">
        <v>7503</v>
      </c>
      <c r="E3973" t="s">
        <v>84</v>
      </c>
      <c r="F3973" t="s">
        <v>95</v>
      </c>
      <c r="G3973" t="s">
        <v>600</v>
      </c>
      <c r="H3973" t="str">
        <f>"ΧΑΟΥ 6 "</f>
        <v xml:space="preserve">ΧΑΟΥ 6 </v>
      </c>
      <c r="I3973">
        <v>73131</v>
      </c>
      <c r="J3973">
        <v>2821088928</v>
      </c>
      <c r="K3973">
        <v>6972554769</v>
      </c>
      <c r="M3973" t="s">
        <v>7504</v>
      </c>
      <c r="N3973" t="s">
        <v>292</v>
      </c>
      <c r="O3973" t="s">
        <v>293</v>
      </c>
      <c r="R3973" t="s">
        <v>57</v>
      </c>
      <c r="S3973">
        <v>7</v>
      </c>
      <c r="T3973">
        <v>231</v>
      </c>
      <c r="U3973" s="1">
        <v>38960</v>
      </c>
      <c r="V3973" t="s">
        <v>6729</v>
      </c>
      <c r="W3973" t="s">
        <v>6730</v>
      </c>
      <c r="X3973" t="s">
        <v>58</v>
      </c>
      <c r="Y3973">
        <v>20</v>
      </c>
      <c r="Z3973" t="s">
        <v>59</v>
      </c>
      <c r="AA3973" t="s">
        <v>59</v>
      </c>
      <c r="AB3973" t="s">
        <v>59</v>
      </c>
      <c r="AC3973" t="s">
        <v>59</v>
      </c>
      <c r="AD3973" t="s">
        <v>59</v>
      </c>
      <c r="AF3973" s="1">
        <v>38961</v>
      </c>
      <c r="AG3973" t="s">
        <v>125</v>
      </c>
      <c r="AH3973" t="s">
        <v>126</v>
      </c>
      <c r="AI3973" t="str">
        <f>"5001075"</f>
        <v>5001075</v>
      </c>
      <c r="AJ3973" t="s">
        <v>6768</v>
      </c>
      <c r="AK3973">
        <v>2821064200</v>
      </c>
      <c r="AL3973" t="s">
        <v>6769</v>
      </c>
      <c r="AM3973" t="s">
        <v>88</v>
      </c>
      <c r="AN3973" t="s">
        <v>88</v>
      </c>
      <c r="AO3973" t="s">
        <v>6770</v>
      </c>
      <c r="AP3973" t="s">
        <v>6771</v>
      </c>
      <c r="AQ3973">
        <v>1</v>
      </c>
      <c r="AR3973" t="s">
        <v>6729</v>
      </c>
      <c r="AS3973" t="s">
        <v>6730</v>
      </c>
      <c r="AT3973" t="s">
        <v>58</v>
      </c>
      <c r="AU3973" t="s">
        <v>68</v>
      </c>
      <c r="AV3973" t="s">
        <v>69</v>
      </c>
      <c r="AW3973" s="1">
        <v>25052</v>
      </c>
      <c r="AX3973">
        <v>2</v>
      </c>
    </row>
    <row r="3974" spans="1:50">
      <c r="A3974">
        <v>189330</v>
      </c>
      <c r="B3974" t="str">
        <f>"072694276"</f>
        <v>072694276</v>
      </c>
      <c r="C3974" t="s">
        <v>50</v>
      </c>
      <c r="D3974" t="s">
        <v>7505</v>
      </c>
      <c r="E3974" t="s">
        <v>476</v>
      </c>
      <c r="F3974" t="s">
        <v>7506</v>
      </c>
      <c r="G3974" t="s">
        <v>1361</v>
      </c>
      <c r="H3974" t="str">
        <f>" "</f>
        <v xml:space="preserve"> </v>
      </c>
      <c r="I3974">
        <v>73400</v>
      </c>
      <c r="J3974">
        <v>2822022462</v>
      </c>
      <c r="K3974">
        <v>6977824155</v>
      </c>
      <c r="M3974" t="s">
        <v>7507</v>
      </c>
      <c r="N3974" t="s">
        <v>146</v>
      </c>
      <c r="O3974" t="s">
        <v>147</v>
      </c>
      <c r="R3974" t="s">
        <v>57</v>
      </c>
      <c r="S3974">
        <v>10</v>
      </c>
      <c r="T3974">
        <v>219</v>
      </c>
      <c r="U3974" s="1">
        <v>37134</v>
      </c>
      <c r="V3974" t="s">
        <v>6729</v>
      </c>
      <c r="W3974" t="s">
        <v>6730</v>
      </c>
      <c r="X3974" t="s">
        <v>58</v>
      </c>
      <c r="Y3974">
        <v>20</v>
      </c>
      <c r="Z3974" t="s">
        <v>59</v>
      </c>
      <c r="AA3974" t="s">
        <v>59</v>
      </c>
      <c r="AB3974" t="s">
        <v>59</v>
      </c>
      <c r="AC3974" t="s">
        <v>59</v>
      </c>
      <c r="AD3974" t="s">
        <v>59</v>
      </c>
      <c r="AF3974" s="1">
        <v>37138</v>
      </c>
      <c r="AG3974" t="s">
        <v>125</v>
      </c>
      <c r="AH3974" t="s">
        <v>126</v>
      </c>
      <c r="AI3974" t="str">
        <f>"5004010"</f>
        <v>5004010</v>
      </c>
      <c r="AJ3974" t="s">
        <v>7166</v>
      </c>
      <c r="AK3974">
        <v>2822022067</v>
      </c>
      <c r="AL3974" t="s">
        <v>7167</v>
      </c>
      <c r="AM3974" t="s">
        <v>88</v>
      </c>
      <c r="AN3974" t="s">
        <v>6744</v>
      </c>
      <c r="AO3974" t="s">
        <v>6744</v>
      </c>
      <c r="AP3974" t="s">
        <v>6744</v>
      </c>
      <c r="AQ3974">
        <v>1</v>
      </c>
      <c r="AR3974" t="s">
        <v>6729</v>
      </c>
      <c r="AS3974" t="s">
        <v>6730</v>
      </c>
      <c r="AT3974" t="s">
        <v>58</v>
      </c>
      <c r="AU3974" t="s">
        <v>68</v>
      </c>
      <c r="AV3974" t="s">
        <v>69</v>
      </c>
      <c r="AW3974" s="1">
        <v>25746</v>
      </c>
      <c r="AX3974">
        <v>2</v>
      </c>
    </row>
    <row r="3975" spans="1:50">
      <c r="A3975">
        <v>209543</v>
      </c>
      <c r="B3975" t="str">
        <f>"135251420"</f>
        <v>135251420</v>
      </c>
      <c r="C3975" t="s">
        <v>50</v>
      </c>
      <c r="D3975" t="s">
        <v>7508</v>
      </c>
      <c r="E3975" t="s">
        <v>809</v>
      </c>
      <c r="F3975" t="s">
        <v>108</v>
      </c>
      <c r="G3975" t="s">
        <v>143</v>
      </c>
      <c r="H3975" t="str">
        <f>"ΟΔΥΣΣΕΑ ΑΝΔΡΟΥΤΣΟΥ  ΧΑΝΙΑ"</f>
        <v>ΟΔΥΣΣΕΑ ΑΝΔΡΟΥΤΣΟΥ  ΧΑΝΙΑ</v>
      </c>
      <c r="I3975">
        <v>73134</v>
      </c>
      <c r="J3975">
        <v>2821047908</v>
      </c>
      <c r="K3975">
        <v>6948047511</v>
      </c>
      <c r="N3975" t="s">
        <v>146</v>
      </c>
      <c r="O3975" t="s">
        <v>147</v>
      </c>
      <c r="R3975" t="s">
        <v>57</v>
      </c>
      <c r="S3975">
        <v>6</v>
      </c>
      <c r="T3975" t="s">
        <v>7509</v>
      </c>
      <c r="U3975" s="1">
        <v>38604</v>
      </c>
      <c r="V3975" t="s">
        <v>6729</v>
      </c>
      <c r="W3975" t="s">
        <v>6730</v>
      </c>
      <c r="X3975" t="s">
        <v>58</v>
      </c>
      <c r="Y3975">
        <v>20</v>
      </c>
      <c r="Z3975" t="s">
        <v>59</v>
      </c>
      <c r="AA3975" t="s">
        <v>59</v>
      </c>
      <c r="AB3975" t="s">
        <v>59</v>
      </c>
      <c r="AC3975" t="s">
        <v>59</v>
      </c>
      <c r="AD3975" t="s">
        <v>59</v>
      </c>
      <c r="AF3975" s="1">
        <v>38607</v>
      </c>
      <c r="AG3975" t="s">
        <v>125</v>
      </c>
      <c r="AH3975" t="s">
        <v>126</v>
      </c>
      <c r="AI3975" t="str">
        <f>"5005010"</f>
        <v>5005010</v>
      </c>
      <c r="AJ3975" t="s">
        <v>7100</v>
      </c>
      <c r="AK3975">
        <v>2823041217</v>
      </c>
      <c r="AL3975" t="s">
        <v>7101</v>
      </c>
      <c r="AM3975" t="s">
        <v>88</v>
      </c>
      <c r="AN3975" t="s">
        <v>6824</v>
      </c>
      <c r="AO3975" t="s">
        <v>6870</v>
      </c>
      <c r="AP3975" t="s">
        <v>6871</v>
      </c>
      <c r="AQ3975">
        <v>1</v>
      </c>
      <c r="AR3975" t="s">
        <v>6729</v>
      </c>
      <c r="AS3975" t="s">
        <v>6730</v>
      </c>
      <c r="AT3975" t="s">
        <v>58</v>
      </c>
      <c r="AU3975" t="s">
        <v>68</v>
      </c>
      <c r="AV3975" t="s">
        <v>69</v>
      </c>
      <c r="AW3975" s="1">
        <v>29976</v>
      </c>
      <c r="AX3975">
        <v>2</v>
      </c>
    </row>
    <row r="3976" spans="1:50">
      <c r="A3976">
        <v>183058</v>
      </c>
      <c r="B3976" t="str">
        <f>"044681019"</f>
        <v>044681019</v>
      </c>
      <c r="C3976" t="s">
        <v>105</v>
      </c>
      <c r="D3976" t="s">
        <v>6108</v>
      </c>
      <c r="E3976" t="s">
        <v>510</v>
      </c>
      <c r="F3976" t="s">
        <v>1559</v>
      </c>
      <c r="G3976" t="s">
        <v>52</v>
      </c>
      <c r="H3976" t="str">
        <f>"Στ. Μπιτσάκη 1 Χανιά"</f>
        <v>Στ. Μπιτσάκη 1 Χανιά</v>
      </c>
      <c r="I3976">
        <v>73135</v>
      </c>
      <c r="J3976">
        <v>2821098031</v>
      </c>
      <c r="K3976">
        <v>6977311377</v>
      </c>
      <c r="M3976" t="s">
        <v>7510</v>
      </c>
      <c r="N3976" t="s">
        <v>292</v>
      </c>
      <c r="O3976" t="s">
        <v>293</v>
      </c>
      <c r="R3976" t="s">
        <v>57</v>
      </c>
      <c r="S3976">
        <v>9</v>
      </c>
      <c r="T3976">
        <v>250</v>
      </c>
      <c r="U3976" s="1">
        <v>36160</v>
      </c>
      <c r="V3976" t="s">
        <v>6729</v>
      </c>
      <c r="W3976" t="s">
        <v>6730</v>
      </c>
      <c r="X3976" t="s">
        <v>58</v>
      </c>
      <c r="Y3976">
        <v>20</v>
      </c>
      <c r="Z3976" t="s">
        <v>59</v>
      </c>
      <c r="AA3976" t="s">
        <v>59</v>
      </c>
      <c r="AB3976" t="s">
        <v>59</v>
      </c>
      <c r="AC3976" t="s">
        <v>59</v>
      </c>
      <c r="AD3976" t="s">
        <v>59</v>
      </c>
      <c r="AF3976" s="1">
        <v>36171</v>
      </c>
      <c r="AG3976" t="s">
        <v>148</v>
      </c>
      <c r="AH3976" t="s">
        <v>149</v>
      </c>
      <c r="AI3976" t="str">
        <f>"5051010"</f>
        <v>5051010</v>
      </c>
      <c r="AJ3976" t="s">
        <v>6896</v>
      </c>
      <c r="AK3976">
        <v>2821028714</v>
      </c>
      <c r="AL3976" t="s">
        <v>6897</v>
      </c>
      <c r="AM3976" t="s">
        <v>88</v>
      </c>
      <c r="AN3976" t="s">
        <v>88</v>
      </c>
      <c r="AO3976" t="s">
        <v>88</v>
      </c>
      <c r="AP3976" t="s">
        <v>88</v>
      </c>
      <c r="AQ3976">
        <v>1</v>
      </c>
      <c r="AR3976" t="s">
        <v>6729</v>
      </c>
      <c r="AS3976" t="s">
        <v>6730</v>
      </c>
      <c r="AT3976" t="s">
        <v>58</v>
      </c>
      <c r="AU3976" t="s">
        <v>68</v>
      </c>
      <c r="AV3976" t="s">
        <v>69</v>
      </c>
      <c r="AW3976" s="1">
        <v>21453</v>
      </c>
      <c r="AX3976">
        <v>2</v>
      </c>
    </row>
    <row r="3977" spans="1:50">
      <c r="A3977">
        <v>178091</v>
      </c>
      <c r="B3977" t="str">
        <f>"054476714"</f>
        <v>054476714</v>
      </c>
      <c r="C3977" t="s">
        <v>105</v>
      </c>
      <c r="D3977" t="s">
        <v>7511</v>
      </c>
      <c r="E3977" t="s">
        <v>311</v>
      </c>
      <c r="F3977" t="s">
        <v>53</v>
      </c>
      <c r="G3977" t="s">
        <v>83</v>
      </c>
      <c r="H3977" t="str">
        <f>" "</f>
        <v xml:space="preserve"> </v>
      </c>
      <c r="M3977" t="s">
        <v>7512</v>
      </c>
      <c r="N3977" t="s">
        <v>204</v>
      </c>
      <c r="O3977" t="s">
        <v>205</v>
      </c>
      <c r="R3977" t="s">
        <v>57</v>
      </c>
      <c r="S3977">
        <v>11</v>
      </c>
      <c r="T3977">
        <v>180</v>
      </c>
      <c r="U3977" s="1">
        <v>35674</v>
      </c>
      <c r="V3977" t="s">
        <v>6729</v>
      </c>
      <c r="W3977" t="s">
        <v>6730</v>
      </c>
      <c r="X3977" t="s">
        <v>58</v>
      </c>
      <c r="Y3977">
        <v>18</v>
      </c>
      <c r="Z3977" t="s">
        <v>59</v>
      </c>
      <c r="AA3977" t="s">
        <v>59</v>
      </c>
      <c r="AB3977" t="s">
        <v>59</v>
      </c>
      <c r="AC3977" t="s">
        <v>59</v>
      </c>
      <c r="AD3977" t="s">
        <v>59</v>
      </c>
      <c r="AF3977" s="1">
        <v>35678</v>
      </c>
      <c r="AG3977" t="s">
        <v>125</v>
      </c>
      <c r="AH3977" t="s">
        <v>126</v>
      </c>
      <c r="AI3977" t="str">
        <f>"5007010"</f>
        <v>5007010</v>
      </c>
      <c r="AJ3977" t="s">
        <v>6797</v>
      </c>
      <c r="AK3977">
        <v>2824022241</v>
      </c>
      <c r="AL3977" t="s">
        <v>6798</v>
      </c>
      <c r="AM3977" t="s">
        <v>88</v>
      </c>
      <c r="AN3977" t="s">
        <v>6764</v>
      </c>
      <c r="AO3977" t="s">
        <v>6799</v>
      </c>
      <c r="AP3977" t="s">
        <v>6799</v>
      </c>
      <c r="AQ3977">
        <v>1</v>
      </c>
      <c r="AR3977" t="s">
        <v>6729</v>
      </c>
      <c r="AS3977" t="s">
        <v>6730</v>
      </c>
      <c r="AT3977" t="s">
        <v>58</v>
      </c>
      <c r="AU3977" t="s">
        <v>68</v>
      </c>
      <c r="AV3977" t="s">
        <v>69</v>
      </c>
      <c r="AW3977" s="1">
        <v>25001</v>
      </c>
      <c r="AX3977">
        <v>2</v>
      </c>
    </row>
    <row r="3978" spans="1:50">
      <c r="A3978">
        <v>161539</v>
      </c>
      <c r="B3978" t="str">
        <f>"036731955"</f>
        <v>036731955</v>
      </c>
      <c r="C3978" t="s">
        <v>105</v>
      </c>
      <c r="D3978" t="s">
        <v>7513</v>
      </c>
      <c r="E3978" t="s">
        <v>311</v>
      </c>
      <c r="F3978" t="s">
        <v>377</v>
      </c>
      <c r="G3978" t="s">
        <v>237</v>
      </c>
      <c r="H3978" t="str">
        <f>" "</f>
        <v xml:space="preserve"> </v>
      </c>
      <c r="N3978" t="s">
        <v>331</v>
      </c>
      <c r="O3978" t="s">
        <v>332</v>
      </c>
      <c r="R3978" t="s">
        <v>57</v>
      </c>
      <c r="S3978">
        <v>15</v>
      </c>
      <c r="T3978">
        <v>161</v>
      </c>
      <c r="U3978" s="1">
        <v>33119</v>
      </c>
      <c r="V3978" t="s">
        <v>6729</v>
      </c>
      <c r="W3978" t="s">
        <v>6730</v>
      </c>
      <c r="X3978" t="s">
        <v>58</v>
      </c>
      <c r="Y3978">
        <v>18</v>
      </c>
      <c r="Z3978" t="s">
        <v>59</v>
      </c>
      <c r="AA3978" t="s">
        <v>59</v>
      </c>
      <c r="AB3978" t="s">
        <v>59</v>
      </c>
      <c r="AC3978" t="s">
        <v>59</v>
      </c>
      <c r="AD3978" t="s">
        <v>59</v>
      </c>
      <c r="AF3978" s="1">
        <v>33121</v>
      </c>
      <c r="AG3978" t="s">
        <v>137</v>
      </c>
      <c r="AH3978" t="s">
        <v>138</v>
      </c>
      <c r="AI3978" t="str">
        <f>"5040100"</f>
        <v>5040100</v>
      </c>
      <c r="AJ3978" t="s">
        <v>6790</v>
      </c>
      <c r="AK3978">
        <v>2821058998</v>
      </c>
      <c r="AL3978" t="s">
        <v>6791</v>
      </c>
      <c r="AM3978" t="s">
        <v>88</v>
      </c>
      <c r="AN3978" t="s">
        <v>88</v>
      </c>
      <c r="AO3978" t="s">
        <v>6770</v>
      </c>
      <c r="AP3978" t="s">
        <v>6771</v>
      </c>
      <c r="AQ3978">
        <v>1</v>
      </c>
      <c r="AR3978" t="s">
        <v>6729</v>
      </c>
      <c r="AS3978" t="s">
        <v>6730</v>
      </c>
      <c r="AT3978" t="s">
        <v>58</v>
      </c>
      <c r="AU3978" t="s">
        <v>68</v>
      </c>
      <c r="AV3978" t="s">
        <v>69</v>
      </c>
      <c r="AW3978" s="1">
        <v>24089</v>
      </c>
      <c r="AX3978">
        <v>2</v>
      </c>
    </row>
    <row r="3979" spans="1:50">
      <c r="A3979">
        <v>183972</v>
      </c>
      <c r="B3979" t="str">
        <f>"042692026"</f>
        <v>042692026</v>
      </c>
      <c r="C3979" t="s">
        <v>50</v>
      </c>
      <c r="D3979" t="s">
        <v>7514</v>
      </c>
      <c r="E3979" t="s">
        <v>513</v>
      </c>
      <c r="F3979" t="s">
        <v>154</v>
      </c>
      <c r="G3979" t="s">
        <v>1740</v>
      </c>
      <c r="H3979" t="str">
        <f>"Μιχελογιάννη 6 Προφ.Ηλία"</f>
        <v>Μιχελογιάννη 6 Προφ.Ηλία</v>
      </c>
      <c r="J3979">
        <v>2821008394</v>
      </c>
      <c r="K3979">
        <v>6974517641</v>
      </c>
      <c r="M3979" t="s">
        <v>7515</v>
      </c>
      <c r="N3979" t="s">
        <v>232</v>
      </c>
      <c r="O3979" t="s">
        <v>233</v>
      </c>
      <c r="R3979" t="s">
        <v>57</v>
      </c>
      <c r="S3979">
        <v>11</v>
      </c>
      <c r="T3979">
        <v>177</v>
      </c>
      <c r="U3979" s="1">
        <v>36403</v>
      </c>
      <c r="V3979" t="s">
        <v>6729</v>
      </c>
      <c r="W3979" t="s">
        <v>6730</v>
      </c>
      <c r="X3979" t="s">
        <v>58</v>
      </c>
      <c r="Y3979">
        <v>18</v>
      </c>
      <c r="Z3979" t="s">
        <v>59</v>
      </c>
      <c r="AA3979" t="s">
        <v>59</v>
      </c>
      <c r="AB3979" t="s">
        <v>59</v>
      </c>
      <c r="AC3979" t="s">
        <v>59</v>
      </c>
      <c r="AD3979" t="s">
        <v>59</v>
      </c>
      <c r="AF3979" s="1">
        <v>36411</v>
      </c>
      <c r="AG3979" t="s">
        <v>125</v>
      </c>
      <c r="AH3979" t="s">
        <v>126</v>
      </c>
      <c r="AI3979" t="str">
        <f>"5001073"</f>
        <v>5001073</v>
      </c>
      <c r="AJ3979" t="s">
        <v>6849</v>
      </c>
      <c r="AK3979">
        <v>2821028553</v>
      </c>
      <c r="AL3979" t="s">
        <v>6850</v>
      </c>
      <c r="AM3979" t="s">
        <v>88</v>
      </c>
      <c r="AN3979" t="s">
        <v>88</v>
      </c>
      <c r="AO3979" t="s">
        <v>88</v>
      </c>
      <c r="AP3979" t="s">
        <v>88</v>
      </c>
      <c r="AQ3979">
        <v>1</v>
      </c>
      <c r="AR3979" t="s">
        <v>6729</v>
      </c>
      <c r="AS3979" t="s">
        <v>6730</v>
      </c>
      <c r="AT3979" t="s">
        <v>58</v>
      </c>
      <c r="AU3979" t="s">
        <v>68</v>
      </c>
      <c r="AV3979" t="s">
        <v>69</v>
      </c>
      <c r="AW3979" s="1">
        <v>22796</v>
      </c>
      <c r="AX3979">
        <v>2</v>
      </c>
    </row>
    <row r="3980" spans="1:50">
      <c r="A3980">
        <v>157916</v>
      </c>
      <c r="B3980" t="str">
        <f>"030485292"</f>
        <v>030485292</v>
      </c>
      <c r="C3980" t="s">
        <v>105</v>
      </c>
      <c r="D3980" t="s">
        <v>7516</v>
      </c>
      <c r="E3980" t="s">
        <v>377</v>
      </c>
      <c r="F3980" t="s">
        <v>321</v>
      </c>
      <c r="G3980" t="s">
        <v>263</v>
      </c>
      <c r="H3980" t="str">
        <f>" "</f>
        <v xml:space="preserve"> </v>
      </c>
      <c r="N3980" t="s">
        <v>168</v>
      </c>
      <c r="O3980" t="s">
        <v>169</v>
      </c>
      <c r="R3980" t="s">
        <v>57</v>
      </c>
      <c r="S3980">
        <v>17</v>
      </c>
      <c r="T3980">
        <v>188</v>
      </c>
      <c r="U3980" s="1">
        <v>32752</v>
      </c>
      <c r="V3980" t="s">
        <v>6729</v>
      </c>
      <c r="W3980" t="s">
        <v>6730</v>
      </c>
      <c r="X3980" t="s">
        <v>58</v>
      </c>
      <c r="Y3980">
        <v>18</v>
      </c>
      <c r="Z3980" t="s">
        <v>59</v>
      </c>
      <c r="AA3980" t="s">
        <v>59</v>
      </c>
      <c r="AB3980" t="s">
        <v>59</v>
      </c>
      <c r="AC3980" t="s">
        <v>59</v>
      </c>
      <c r="AD3980" t="s">
        <v>59</v>
      </c>
      <c r="AF3980" s="1">
        <v>32756</v>
      </c>
      <c r="AG3980" t="s">
        <v>137</v>
      </c>
      <c r="AH3980" t="s">
        <v>469</v>
      </c>
      <c r="AI3980" t="str">
        <f>"5040055"</f>
        <v>5040055</v>
      </c>
      <c r="AJ3980" t="s">
        <v>6940</v>
      </c>
      <c r="AK3980">
        <v>2821036404</v>
      </c>
      <c r="AL3980" t="s">
        <v>6941</v>
      </c>
      <c r="AM3980" t="s">
        <v>88</v>
      </c>
      <c r="AN3980" t="s">
        <v>88</v>
      </c>
      <c r="AO3980" t="s">
        <v>88</v>
      </c>
      <c r="AP3980" t="s">
        <v>88</v>
      </c>
      <c r="AQ3980">
        <v>1</v>
      </c>
      <c r="AR3980" t="s">
        <v>6729</v>
      </c>
      <c r="AS3980" t="s">
        <v>6730</v>
      </c>
      <c r="AT3980" t="s">
        <v>58</v>
      </c>
      <c r="AU3980" t="s">
        <v>68</v>
      </c>
      <c r="AV3980" t="s">
        <v>69</v>
      </c>
      <c r="AW3980" s="1">
        <v>22342</v>
      </c>
      <c r="AX3980">
        <v>2</v>
      </c>
    </row>
    <row r="3981" spans="1:50">
      <c r="A3981">
        <v>160559</v>
      </c>
      <c r="B3981" t="str">
        <f>"028237793"</f>
        <v>028237793</v>
      </c>
      <c r="C3981" t="s">
        <v>50</v>
      </c>
      <c r="D3981" t="s">
        <v>6109</v>
      </c>
      <c r="E3981" t="s">
        <v>112</v>
      </c>
      <c r="F3981" t="s">
        <v>1414</v>
      </c>
      <c r="G3981" t="s">
        <v>52</v>
      </c>
      <c r="H3981" t="str">
        <f>"Χαρ.Πολογιώργη 15 Λενταριανά"</f>
        <v>Χαρ.Πολογιώργη 15 Λενταριανά</v>
      </c>
      <c r="I3981">
        <v>73100</v>
      </c>
      <c r="J3981">
        <v>2821059705</v>
      </c>
      <c r="K3981">
        <v>6945851160</v>
      </c>
      <c r="M3981" t="s">
        <v>7517</v>
      </c>
      <c r="N3981" t="s">
        <v>306</v>
      </c>
      <c r="O3981" t="s">
        <v>307</v>
      </c>
      <c r="R3981" t="s">
        <v>57</v>
      </c>
      <c r="S3981">
        <v>13</v>
      </c>
      <c r="T3981">
        <v>161</v>
      </c>
      <c r="U3981" s="1">
        <v>33119</v>
      </c>
      <c r="V3981" t="s">
        <v>6729</v>
      </c>
      <c r="W3981" t="s">
        <v>6730</v>
      </c>
      <c r="X3981" t="s">
        <v>58</v>
      </c>
      <c r="Y3981">
        <v>18</v>
      </c>
      <c r="Z3981" t="s">
        <v>59</v>
      </c>
      <c r="AA3981" t="s">
        <v>59</v>
      </c>
      <c r="AB3981" t="s">
        <v>59</v>
      </c>
      <c r="AC3981" t="s">
        <v>59</v>
      </c>
      <c r="AD3981" t="s">
        <v>59</v>
      </c>
      <c r="AF3981" s="1">
        <v>33126</v>
      </c>
      <c r="AG3981" t="s">
        <v>125</v>
      </c>
      <c r="AH3981" t="s">
        <v>126</v>
      </c>
      <c r="AI3981" t="str">
        <f>"5001073"</f>
        <v>5001073</v>
      </c>
      <c r="AJ3981" t="s">
        <v>6849</v>
      </c>
      <c r="AK3981">
        <v>2821028553</v>
      </c>
      <c r="AL3981" t="s">
        <v>6850</v>
      </c>
      <c r="AM3981" t="s">
        <v>88</v>
      </c>
      <c r="AN3981" t="s">
        <v>88</v>
      </c>
      <c r="AO3981" t="s">
        <v>88</v>
      </c>
      <c r="AP3981" t="s">
        <v>88</v>
      </c>
      <c r="AQ3981">
        <v>1</v>
      </c>
      <c r="AR3981" t="s">
        <v>6729</v>
      </c>
      <c r="AS3981" t="s">
        <v>6730</v>
      </c>
      <c r="AT3981" t="s">
        <v>58</v>
      </c>
      <c r="AU3981" t="s">
        <v>68</v>
      </c>
      <c r="AV3981" t="s">
        <v>357</v>
      </c>
      <c r="AW3981" s="1">
        <v>22336</v>
      </c>
      <c r="AX3981">
        <v>2</v>
      </c>
    </row>
    <row r="3982" spans="1:50">
      <c r="A3982">
        <v>188329</v>
      </c>
      <c r="B3982" t="str">
        <f>"073870970"</f>
        <v>073870970</v>
      </c>
      <c r="C3982" t="s">
        <v>50</v>
      </c>
      <c r="D3982" t="s">
        <v>7518</v>
      </c>
      <c r="E3982" t="s">
        <v>367</v>
      </c>
      <c r="F3982" t="s">
        <v>900</v>
      </c>
      <c r="G3982" t="s">
        <v>964</v>
      </c>
      <c r="H3982" t="str">
        <f>"ΠΑΡΟΔΟΣ ΑΓΙΟΥ ΦΑΝΟΥΡΙΟΥ ΚΑΛΑΜΑΚΙ"</f>
        <v>ΠΑΡΟΔΟΣ ΑΓΙΟΥ ΦΑΝΟΥΡΙΟΥ ΚΑΛΑΜΑΚΙ</v>
      </c>
      <c r="I3982">
        <v>73100</v>
      </c>
      <c r="J3982">
        <v>2821058250</v>
      </c>
      <c r="K3982">
        <v>6945971502</v>
      </c>
      <c r="M3982" t="s">
        <v>7519</v>
      </c>
      <c r="N3982" t="s">
        <v>204</v>
      </c>
      <c r="O3982" t="s">
        <v>205</v>
      </c>
      <c r="R3982" t="s">
        <v>57</v>
      </c>
      <c r="S3982">
        <v>9</v>
      </c>
      <c r="T3982">
        <v>251</v>
      </c>
      <c r="U3982" s="1">
        <v>36769</v>
      </c>
      <c r="V3982" t="s">
        <v>6729</v>
      </c>
      <c r="W3982" t="s">
        <v>6730</v>
      </c>
      <c r="X3982" t="s">
        <v>58</v>
      </c>
      <c r="Y3982">
        <v>20</v>
      </c>
      <c r="Z3982" t="s">
        <v>59</v>
      </c>
      <c r="AA3982" t="s">
        <v>59</v>
      </c>
      <c r="AB3982" t="s">
        <v>59</v>
      </c>
      <c r="AC3982" t="s">
        <v>59</v>
      </c>
      <c r="AD3982" t="s">
        <v>59</v>
      </c>
      <c r="AF3982" s="1">
        <v>36770</v>
      </c>
      <c r="AG3982" t="s">
        <v>137</v>
      </c>
      <c r="AH3982" t="s">
        <v>138</v>
      </c>
      <c r="AI3982" t="str">
        <f>"5040080"</f>
        <v>5040080</v>
      </c>
      <c r="AJ3982" t="s">
        <v>6753</v>
      </c>
      <c r="AK3982">
        <v>2821093155</v>
      </c>
      <c r="AL3982" t="s">
        <v>6754</v>
      </c>
      <c r="AM3982" t="s">
        <v>88</v>
      </c>
      <c r="AN3982" t="s">
        <v>88</v>
      </c>
      <c r="AO3982" t="s">
        <v>6733</v>
      </c>
      <c r="AP3982" t="s">
        <v>6755</v>
      </c>
      <c r="AQ3982">
        <v>1</v>
      </c>
      <c r="AR3982" t="s">
        <v>6729</v>
      </c>
      <c r="AS3982" t="s">
        <v>6730</v>
      </c>
      <c r="AT3982" t="s">
        <v>58</v>
      </c>
      <c r="AU3982" t="s">
        <v>68</v>
      </c>
      <c r="AV3982" t="s">
        <v>69</v>
      </c>
      <c r="AW3982" s="1">
        <v>23856</v>
      </c>
      <c r="AX3982">
        <v>2</v>
      </c>
    </row>
    <row r="3983" spans="1:50">
      <c r="A3983">
        <v>193983</v>
      </c>
      <c r="B3983" t="str">
        <f>"079430765"</f>
        <v>079430765</v>
      </c>
      <c r="C3983" t="s">
        <v>50</v>
      </c>
      <c r="D3983" t="s">
        <v>7520</v>
      </c>
      <c r="E3983" t="s">
        <v>7521</v>
      </c>
      <c r="F3983" t="s">
        <v>72</v>
      </c>
      <c r="G3983" t="s">
        <v>610</v>
      </c>
      <c r="H3983" t="str">
        <f>"ΔΕΞΑΜΕΝΗΣ 7 ΧΑΝΙΑ"</f>
        <v>ΔΕΞΑΜΕΝΗΣ 7 ΧΑΝΙΑ</v>
      </c>
      <c r="I3983">
        <v>73100</v>
      </c>
      <c r="J3983">
        <v>2821031782</v>
      </c>
      <c r="K3983">
        <v>6942261872</v>
      </c>
      <c r="N3983" t="s">
        <v>306</v>
      </c>
      <c r="O3983" t="s">
        <v>307</v>
      </c>
      <c r="P3983" t="s">
        <v>1525</v>
      </c>
      <c r="Q3983" t="s">
        <v>1526</v>
      </c>
      <c r="R3983" t="s">
        <v>57</v>
      </c>
      <c r="S3983">
        <v>11</v>
      </c>
      <c r="T3983">
        <v>193</v>
      </c>
      <c r="U3983" s="1">
        <v>37497</v>
      </c>
      <c r="V3983" t="s">
        <v>6729</v>
      </c>
      <c r="W3983" t="s">
        <v>6730</v>
      </c>
      <c r="X3983" t="s">
        <v>58</v>
      </c>
      <c r="Y3983">
        <v>18</v>
      </c>
      <c r="Z3983" t="s">
        <v>59</v>
      </c>
      <c r="AA3983" t="s">
        <v>59</v>
      </c>
      <c r="AB3983" t="s">
        <v>59</v>
      </c>
      <c r="AC3983" t="s">
        <v>59</v>
      </c>
      <c r="AD3983" t="s">
        <v>59</v>
      </c>
      <c r="AF3983" s="1">
        <v>37501</v>
      </c>
      <c r="AG3983" t="s">
        <v>125</v>
      </c>
      <c r="AH3983" t="s">
        <v>126</v>
      </c>
      <c r="AI3983" t="str">
        <f>"5012010"</f>
        <v>5012010</v>
      </c>
      <c r="AJ3983" t="s">
        <v>6794</v>
      </c>
      <c r="AK3983">
        <v>2821033195</v>
      </c>
      <c r="AL3983" t="s">
        <v>6795</v>
      </c>
      <c r="AM3983" t="s">
        <v>88</v>
      </c>
      <c r="AN3983" t="s">
        <v>88</v>
      </c>
      <c r="AO3983" t="s">
        <v>6785</v>
      </c>
      <c r="AP3983" t="s">
        <v>6786</v>
      </c>
      <c r="AQ3983">
        <v>1</v>
      </c>
      <c r="AR3983" t="s">
        <v>6729</v>
      </c>
      <c r="AS3983" t="s">
        <v>6730</v>
      </c>
      <c r="AT3983" t="s">
        <v>58</v>
      </c>
      <c r="AU3983" t="s">
        <v>68</v>
      </c>
      <c r="AV3983" t="s">
        <v>69</v>
      </c>
      <c r="AW3983" s="1">
        <v>23988</v>
      </c>
      <c r="AX3983">
        <v>2</v>
      </c>
    </row>
    <row r="3984" spans="1:50">
      <c r="A3984">
        <v>215107</v>
      </c>
      <c r="B3984" t="str">
        <f>"047858197"</f>
        <v>047858197</v>
      </c>
      <c r="C3984" t="s">
        <v>50</v>
      </c>
      <c r="D3984" t="s">
        <v>7522</v>
      </c>
      <c r="E3984" t="s">
        <v>237</v>
      </c>
      <c r="F3984" t="s">
        <v>84</v>
      </c>
      <c r="G3984" t="s">
        <v>143</v>
      </c>
      <c r="H3984" t="str">
        <f>"ΕΜ ΔΕΡΟΥΚΑΚΗ 3 "</f>
        <v xml:space="preserve">ΕΜ ΔΕΡΟΥΚΑΚΗ 3 </v>
      </c>
      <c r="I3984">
        <v>73100</v>
      </c>
      <c r="J3984">
        <v>2821053171</v>
      </c>
      <c r="K3984">
        <v>6975853780</v>
      </c>
      <c r="N3984" t="s">
        <v>299</v>
      </c>
      <c r="O3984" t="s">
        <v>300</v>
      </c>
      <c r="R3984" t="s">
        <v>57</v>
      </c>
      <c r="S3984">
        <v>6</v>
      </c>
      <c r="T3984">
        <v>231</v>
      </c>
      <c r="U3984" s="1">
        <v>38960</v>
      </c>
      <c r="V3984" t="s">
        <v>6729</v>
      </c>
      <c r="W3984" t="s">
        <v>6730</v>
      </c>
      <c r="X3984" t="s">
        <v>58</v>
      </c>
      <c r="Y3984">
        <v>20</v>
      </c>
      <c r="Z3984" t="s">
        <v>59</v>
      </c>
      <c r="AA3984" t="s">
        <v>59</v>
      </c>
      <c r="AB3984" t="s">
        <v>59</v>
      </c>
      <c r="AC3984" t="s">
        <v>59</v>
      </c>
      <c r="AD3984" t="s">
        <v>59</v>
      </c>
      <c r="AF3984" s="1">
        <v>38961</v>
      </c>
      <c r="AG3984" t="s">
        <v>137</v>
      </c>
      <c r="AH3984" t="s">
        <v>138</v>
      </c>
      <c r="AI3984" t="str">
        <f>"5040100"</f>
        <v>5040100</v>
      </c>
      <c r="AJ3984" t="s">
        <v>6790</v>
      </c>
      <c r="AK3984">
        <v>2821058998</v>
      </c>
      <c r="AL3984" t="s">
        <v>6791</v>
      </c>
      <c r="AM3984" t="s">
        <v>88</v>
      </c>
      <c r="AN3984" t="s">
        <v>88</v>
      </c>
      <c r="AO3984" t="s">
        <v>6770</v>
      </c>
      <c r="AP3984" t="s">
        <v>6771</v>
      </c>
      <c r="AQ3984">
        <v>1</v>
      </c>
      <c r="AR3984" t="s">
        <v>6729</v>
      </c>
      <c r="AS3984" t="s">
        <v>6730</v>
      </c>
      <c r="AT3984" t="s">
        <v>58</v>
      </c>
      <c r="AU3984" t="s">
        <v>68</v>
      </c>
      <c r="AV3984" t="s">
        <v>69</v>
      </c>
      <c r="AW3984" s="1">
        <v>22400</v>
      </c>
      <c r="AX3984">
        <v>2</v>
      </c>
    </row>
    <row r="3985" spans="1:50">
      <c r="A3985">
        <v>167961</v>
      </c>
      <c r="B3985" t="str">
        <f>"024999852"</f>
        <v>024999852</v>
      </c>
      <c r="C3985" t="s">
        <v>105</v>
      </c>
      <c r="D3985" t="s">
        <v>7523</v>
      </c>
      <c r="E3985" t="s">
        <v>564</v>
      </c>
      <c r="F3985" t="s">
        <v>153</v>
      </c>
      <c r="G3985" t="s">
        <v>93</v>
      </c>
      <c r="H3985" t="str">
        <f>"ΑΡΓΟΥΛΙΔΕΣ ΑΚΡΩΤΗΡΙΟΥ"</f>
        <v>ΑΡΓΟΥΛΙΔΕΣ ΑΚΡΩΤΗΡΙΟΥ</v>
      </c>
      <c r="I3985">
        <v>73200</v>
      </c>
      <c r="J3985">
        <v>2821069859</v>
      </c>
      <c r="K3985">
        <v>6973204618</v>
      </c>
      <c r="M3985" t="s">
        <v>7524</v>
      </c>
      <c r="N3985" t="s">
        <v>292</v>
      </c>
      <c r="O3985" t="s">
        <v>293</v>
      </c>
      <c r="R3985" t="s">
        <v>57</v>
      </c>
      <c r="S3985">
        <v>11</v>
      </c>
      <c r="T3985">
        <v>159</v>
      </c>
      <c r="U3985" s="1">
        <v>34582</v>
      </c>
      <c r="V3985" t="s">
        <v>6729</v>
      </c>
      <c r="W3985" t="s">
        <v>6730</v>
      </c>
      <c r="X3985" t="s">
        <v>58</v>
      </c>
      <c r="Y3985">
        <v>18</v>
      </c>
      <c r="Z3985" t="s">
        <v>59</v>
      </c>
      <c r="AA3985" t="s">
        <v>59</v>
      </c>
      <c r="AB3985" t="s">
        <v>59</v>
      </c>
      <c r="AC3985" t="s">
        <v>59</v>
      </c>
      <c r="AD3985" t="s">
        <v>59</v>
      </c>
      <c r="AF3985" s="1">
        <v>34582</v>
      </c>
      <c r="AG3985" t="s">
        <v>125</v>
      </c>
      <c r="AH3985" t="s">
        <v>126</v>
      </c>
      <c r="AI3985" t="str">
        <f>"5011010"</f>
        <v>5011010</v>
      </c>
      <c r="AJ3985" t="s">
        <v>6877</v>
      </c>
      <c r="AK3985">
        <v>2821081330</v>
      </c>
      <c r="AL3985" t="s">
        <v>6878</v>
      </c>
      <c r="AM3985" t="s">
        <v>88</v>
      </c>
      <c r="AN3985" t="s">
        <v>88</v>
      </c>
      <c r="AO3985" t="s">
        <v>6748</v>
      </c>
      <c r="AP3985" t="s">
        <v>6748</v>
      </c>
      <c r="AQ3985">
        <v>1</v>
      </c>
      <c r="AR3985" t="s">
        <v>6729</v>
      </c>
      <c r="AS3985" t="s">
        <v>6730</v>
      </c>
      <c r="AT3985" t="s">
        <v>58</v>
      </c>
      <c r="AU3985" t="s">
        <v>68</v>
      </c>
      <c r="AV3985" t="s">
        <v>69</v>
      </c>
      <c r="AW3985" s="1">
        <v>20930</v>
      </c>
      <c r="AX3985">
        <v>2</v>
      </c>
    </row>
    <row r="3986" spans="1:50">
      <c r="A3986">
        <v>206308</v>
      </c>
      <c r="B3986" t="str">
        <f>"075416718"</f>
        <v>075416718</v>
      </c>
      <c r="C3986" t="s">
        <v>105</v>
      </c>
      <c r="D3986" t="s">
        <v>7523</v>
      </c>
      <c r="E3986" t="s">
        <v>108</v>
      </c>
      <c r="F3986" t="s">
        <v>2233</v>
      </c>
      <c r="G3986" t="s">
        <v>845</v>
      </c>
      <c r="H3986" t="str">
        <f>" "</f>
        <v xml:space="preserve"> </v>
      </c>
      <c r="J3986">
        <v>2825051460</v>
      </c>
      <c r="K3986">
        <v>6973553601</v>
      </c>
      <c r="M3986" t="s">
        <v>7525</v>
      </c>
      <c r="N3986" t="s">
        <v>292</v>
      </c>
      <c r="O3986" t="s">
        <v>293</v>
      </c>
      <c r="R3986" t="s">
        <v>57</v>
      </c>
      <c r="S3986">
        <v>6</v>
      </c>
      <c r="T3986">
        <v>294</v>
      </c>
      <c r="U3986" s="1">
        <v>38295</v>
      </c>
      <c r="V3986" t="s">
        <v>6729</v>
      </c>
      <c r="W3986" t="s">
        <v>6730</v>
      </c>
      <c r="X3986" t="s">
        <v>58</v>
      </c>
      <c r="Y3986">
        <v>20</v>
      </c>
      <c r="Z3986" t="s">
        <v>59</v>
      </c>
      <c r="AA3986" t="s">
        <v>59</v>
      </c>
      <c r="AB3986" t="s">
        <v>59</v>
      </c>
      <c r="AC3986" t="s">
        <v>59</v>
      </c>
      <c r="AD3986" t="s">
        <v>59</v>
      </c>
      <c r="AF3986" s="1">
        <v>38300</v>
      </c>
      <c r="AG3986" t="s">
        <v>125</v>
      </c>
      <c r="AH3986" t="s">
        <v>126</v>
      </c>
      <c r="AI3986" t="str">
        <f>"5010010"</f>
        <v>5010010</v>
      </c>
      <c r="AJ3986" t="s">
        <v>6779</v>
      </c>
      <c r="AK3986">
        <v>2825051288</v>
      </c>
      <c r="AL3986" t="s">
        <v>6780</v>
      </c>
      <c r="AM3986" t="s">
        <v>88</v>
      </c>
      <c r="AN3986" t="s">
        <v>6775</v>
      </c>
      <c r="AO3986" t="s">
        <v>6781</v>
      </c>
      <c r="AP3986" t="s">
        <v>6782</v>
      </c>
      <c r="AQ3986">
        <v>1</v>
      </c>
      <c r="AR3986" t="s">
        <v>6729</v>
      </c>
      <c r="AS3986" t="s">
        <v>6730</v>
      </c>
      <c r="AT3986" t="s">
        <v>58</v>
      </c>
      <c r="AU3986" t="s">
        <v>68</v>
      </c>
      <c r="AV3986" t="s">
        <v>69</v>
      </c>
      <c r="AW3986" s="1">
        <v>21109</v>
      </c>
      <c r="AX3986">
        <v>2</v>
      </c>
    </row>
    <row r="3987" spans="1:50">
      <c r="A3987">
        <v>223407</v>
      </c>
      <c r="B3987" t="str">
        <f>"074380885"</f>
        <v>074380885</v>
      </c>
      <c r="C3987" t="s">
        <v>105</v>
      </c>
      <c r="D3987" t="s">
        <v>2168</v>
      </c>
      <c r="E3987" t="s">
        <v>760</v>
      </c>
      <c r="F3987" t="s">
        <v>1070</v>
      </c>
      <c r="G3987" t="s">
        <v>6088</v>
      </c>
      <c r="H3987" t="str">
        <f>"ΜΥΛΩΝΟΓΙΑΝΝΗ 1753 "</f>
        <v xml:space="preserve">ΜΥΛΩΝΟΓΙΑΝΝΗ 1753 </v>
      </c>
      <c r="I3987">
        <v>73135</v>
      </c>
      <c r="J3987">
        <v>2821099032</v>
      </c>
      <c r="K3987">
        <v>6945130680</v>
      </c>
      <c r="M3987" t="s">
        <v>7526</v>
      </c>
      <c r="N3987" t="s">
        <v>232</v>
      </c>
      <c r="O3987" t="s">
        <v>233</v>
      </c>
      <c r="R3987" t="s">
        <v>57</v>
      </c>
      <c r="S3987">
        <v>5</v>
      </c>
      <c r="T3987">
        <v>775</v>
      </c>
      <c r="U3987" s="1">
        <v>39680</v>
      </c>
      <c r="V3987" t="s">
        <v>6729</v>
      </c>
      <c r="W3987" t="s">
        <v>6730</v>
      </c>
      <c r="X3987" t="s">
        <v>58</v>
      </c>
      <c r="Y3987">
        <v>21</v>
      </c>
      <c r="Z3987" t="s">
        <v>59</v>
      </c>
      <c r="AA3987" t="s">
        <v>59</v>
      </c>
      <c r="AB3987" t="s">
        <v>59</v>
      </c>
      <c r="AC3987" t="s">
        <v>59</v>
      </c>
      <c r="AD3987" t="s">
        <v>59</v>
      </c>
      <c r="AF3987" s="1">
        <v>39681</v>
      </c>
      <c r="AG3987" t="s">
        <v>137</v>
      </c>
      <c r="AH3987" t="s">
        <v>138</v>
      </c>
      <c r="AI3987" t="str">
        <f>"5040105"</f>
        <v>5040105</v>
      </c>
      <c r="AJ3987" t="s">
        <v>6969</v>
      </c>
      <c r="AK3987">
        <v>2825051703</v>
      </c>
      <c r="AL3987" t="s">
        <v>6970</v>
      </c>
      <c r="AM3987" t="s">
        <v>88</v>
      </c>
      <c r="AN3987" t="s">
        <v>6775</v>
      </c>
      <c r="AO3987" t="s">
        <v>6781</v>
      </c>
      <c r="AP3987" t="s">
        <v>6782</v>
      </c>
      <c r="AQ3987">
        <v>1</v>
      </c>
      <c r="AR3987" t="s">
        <v>6729</v>
      </c>
      <c r="AS3987" t="s">
        <v>6730</v>
      </c>
      <c r="AT3987" t="s">
        <v>58</v>
      </c>
      <c r="AU3987" t="s">
        <v>68</v>
      </c>
      <c r="AV3987" t="s">
        <v>69</v>
      </c>
      <c r="AW3987" s="1">
        <v>25844</v>
      </c>
      <c r="AX3987">
        <v>2</v>
      </c>
    </row>
    <row r="3988" spans="1:50">
      <c r="A3988">
        <v>187685</v>
      </c>
      <c r="B3988" t="str">
        <f>"066184849"</f>
        <v>066184849</v>
      </c>
      <c r="C3988" t="s">
        <v>105</v>
      </c>
      <c r="D3988" t="s">
        <v>7527</v>
      </c>
      <c r="E3988" t="s">
        <v>108</v>
      </c>
      <c r="F3988" t="s">
        <v>3773</v>
      </c>
      <c r="G3988" t="s">
        <v>52</v>
      </c>
      <c r="H3988" t="str">
        <f>"ΟΥΕΛΙΓΚΤΟΝ 29 ΝΕΑ ΧΩΡΑ"</f>
        <v>ΟΥΕΛΙΓΚΤΟΝ 29 ΝΕΑ ΧΩΡΑ</v>
      </c>
      <c r="I3988">
        <v>73131</v>
      </c>
      <c r="K3988">
        <v>6974302885</v>
      </c>
      <c r="M3988" t="s">
        <v>7528</v>
      </c>
      <c r="N3988" t="s">
        <v>204</v>
      </c>
      <c r="O3988" t="s">
        <v>205</v>
      </c>
      <c r="R3988" t="s">
        <v>57</v>
      </c>
      <c r="S3988">
        <v>11</v>
      </c>
      <c r="T3988">
        <v>251</v>
      </c>
      <c r="U3988" s="1">
        <v>36769</v>
      </c>
      <c r="V3988" t="s">
        <v>6729</v>
      </c>
      <c r="W3988" t="s">
        <v>6730</v>
      </c>
      <c r="X3988" t="s">
        <v>58</v>
      </c>
      <c r="Y3988">
        <v>20</v>
      </c>
      <c r="Z3988" t="s">
        <v>59</v>
      </c>
      <c r="AA3988" t="s">
        <v>59</v>
      </c>
      <c r="AB3988" t="s">
        <v>59</v>
      </c>
      <c r="AC3988" t="s">
        <v>59</v>
      </c>
      <c r="AD3988" t="s">
        <v>59</v>
      </c>
      <c r="AF3988" s="1">
        <v>36773</v>
      </c>
      <c r="AG3988" t="s">
        <v>137</v>
      </c>
      <c r="AH3988" t="s">
        <v>138</v>
      </c>
      <c r="AI3988" t="str">
        <f>"5040080"</f>
        <v>5040080</v>
      </c>
      <c r="AJ3988" t="s">
        <v>6753</v>
      </c>
      <c r="AK3988">
        <v>2821093155</v>
      </c>
      <c r="AL3988" t="s">
        <v>6754</v>
      </c>
      <c r="AM3988" t="s">
        <v>88</v>
      </c>
      <c r="AN3988" t="s">
        <v>88</v>
      </c>
      <c r="AO3988" t="s">
        <v>6733</v>
      </c>
      <c r="AP3988" t="s">
        <v>6755</v>
      </c>
      <c r="AQ3988">
        <v>1</v>
      </c>
      <c r="AR3988" t="s">
        <v>6729</v>
      </c>
      <c r="AS3988" t="s">
        <v>6730</v>
      </c>
      <c r="AT3988" t="s">
        <v>58</v>
      </c>
      <c r="AU3988" t="s">
        <v>68</v>
      </c>
      <c r="AV3988" t="s">
        <v>69</v>
      </c>
      <c r="AW3988" s="1">
        <v>26531</v>
      </c>
      <c r="AX3988">
        <v>2</v>
      </c>
    </row>
    <row r="3989" spans="1:50">
      <c r="A3989">
        <v>199086</v>
      </c>
      <c r="B3989" t="str">
        <f>"037875672"</f>
        <v>037875672</v>
      </c>
      <c r="C3989" t="s">
        <v>50</v>
      </c>
      <c r="D3989" t="s">
        <v>7529</v>
      </c>
      <c r="E3989" t="s">
        <v>1068</v>
      </c>
      <c r="F3989" t="s">
        <v>7530</v>
      </c>
      <c r="G3989" t="s">
        <v>85</v>
      </c>
      <c r="H3989" t="str">
        <f>" "</f>
        <v xml:space="preserve"> </v>
      </c>
      <c r="J3989">
        <v>2821072543</v>
      </c>
      <c r="K3989">
        <v>6972523810</v>
      </c>
      <c r="N3989" t="s">
        <v>176</v>
      </c>
      <c r="O3989" t="s">
        <v>177</v>
      </c>
      <c r="R3989" t="s">
        <v>57</v>
      </c>
      <c r="S3989">
        <v>8</v>
      </c>
      <c r="T3989">
        <v>206</v>
      </c>
      <c r="U3989" s="1">
        <v>37835</v>
      </c>
      <c r="V3989" t="s">
        <v>6729</v>
      </c>
      <c r="W3989" t="s">
        <v>6730</v>
      </c>
      <c r="X3989" t="s">
        <v>58</v>
      </c>
      <c r="Y3989">
        <v>20</v>
      </c>
      <c r="Z3989" t="s">
        <v>59</v>
      </c>
      <c r="AA3989" t="s">
        <v>59</v>
      </c>
      <c r="AB3989" t="s">
        <v>59</v>
      </c>
      <c r="AC3989" t="s">
        <v>59</v>
      </c>
      <c r="AD3989" t="s">
        <v>59</v>
      </c>
      <c r="AF3989" s="1">
        <v>37866</v>
      </c>
      <c r="AG3989" t="s">
        <v>137</v>
      </c>
      <c r="AH3989" t="s">
        <v>469</v>
      </c>
      <c r="AI3989" t="str">
        <f>"5040055"</f>
        <v>5040055</v>
      </c>
      <c r="AJ3989" t="s">
        <v>6940</v>
      </c>
      <c r="AK3989">
        <v>2821036404</v>
      </c>
      <c r="AL3989" t="s">
        <v>6941</v>
      </c>
      <c r="AM3989" t="s">
        <v>88</v>
      </c>
      <c r="AN3989" t="s">
        <v>88</v>
      </c>
      <c r="AO3989" t="s">
        <v>88</v>
      </c>
      <c r="AP3989" t="s">
        <v>88</v>
      </c>
      <c r="AQ3989">
        <v>1</v>
      </c>
      <c r="AR3989" t="s">
        <v>6729</v>
      </c>
      <c r="AS3989" t="s">
        <v>6730</v>
      </c>
      <c r="AT3989" t="s">
        <v>58</v>
      </c>
      <c r="AU3989" t="s">
        <v>68</v>
      </c>
      <c r="AV3989" t="s">
        <v>69</v>
      </c>
      <c r="AW3989" s="1">
        <v>23856</v>
      </c>
      <c r="AX3989">
        <v>2</v>
      </c>
    </row>
    <row r="3990" spans="1:50">
      <c r="A3990">
        <v>175469</v>
      </c>
      <c r="B3990" t="str">
        <f>"127737191"</f>
        <v>127737191</v>
      </c>
      <c r="C3990" t="s">
        <v>50</v>
      </c>
      <c r="D3990" t="s">
        <v>7531</v>
      </c>
      <c r="E3990" t="s">
        <v>314</v>
      </c>
      <c r="F3990" t="s">
        <v>106</v>
      </c>
      <c r="G3990" t="s">
        <v>1189</v>
      </c>
      <c r="H3990" t="str">
        <f>" "</f>
        <v xml:space="preserve"> </v>
      </c>
      <c r="M3990" t="s">
        <v>7532</v>
      </c>
      <c r="N3990" t="s">
        <v>146</v>
      </c>
      <c r="O3990" t="s">
        <v>147</v>
      </c>
      <c r="R3990" t="s">
        <v>57</v>
      </c>
      <c r="S3990">
        <v>12</v>
      </c>
      <c r="T3990">
        <v>180</v>
      </c>
      <c r="U3990" s="1">
        <v>35674</v>
      </c>
      <c r="V3990" t="s">
        <v>6729</v>
      </c>
      <c r="W3990" t="s">
        <v>6730</v>
      </c>
      <c r="X3990" t="s">
        <v>58</v>
      </c>
      <c r="Y3990">
        <v>18</v>
      </c>
      <c r="Z3990" t="s">
        <v>59</v>
      </c>
      <c r="AA3990" t="s">
        <v>59</v>
      </c>
      <c r="AB3990" t="s">
        <v>59</v>
      </c>
      <c r="AC3990" t="s">
        <v>59</v>
      </c>
      <c r="AD3990" t="s">
        <v>59</v>
      </c>
      <c r="AF3990" s="1">
        <v>35675</v>
      </c>
      <c r="AG3990" t="s">
        <v>125</v>
      </c>
      <c r="AH3990" t="s">
        <v>126</v>
      </c>
      <c r="AI3990" t="str">
        <f>"5007010"</f>
        <v>5007010</v>
      </c>
      <c r="AJ3990" t="s">
        <v>6797</v>
      </c>
      <c r="AK3990">
        <v>2824022241</v>
      </c>
      <c r="AL3990" t="s">
        <v>6798</v>
      </c>
      <c r="AM3990" t="s">
        <v>88</v>
      </c>
      <c r="AN3990" t="s">
        <v>6764</v>
      </c>
      <c r="AO3990" t="s">
        <v>6799</v>
      </c>
      <c r="AP3990" t="s">
        <v>6799</v>
      </c>
      <c r="AQ3990">
        <v>1</v>
      </c>
      <c r="AR3990" t="s">
        <v>6729</v>
      </c>
      <c r="AS3990" t="s">
        <v>6730</v>
      </c>
      <c r="AT3990" t="s">
        <v>58</v>
      </c>
      <c r="AU3990" t="s">
        <v>68</v>
      </c>
      <c r="AV3990" t="s">
        <v>69</v>
      </c>
      <c r="AW3990" s="1">
        <v>24508</v>
      </c>
      <c r="AX3990">
        <v>2</v>
      </c>
    </row>
    <row r="3991" spans="1:50">
      <c r="A3991">
        <v>193984</v>
      </c>
      <c r="B3991" t="str">
        <f>"121505055"</f>
        <v>121505055</v>
      </c>
      <c r="C3991" t="s">
        <v>50</v>
      </c>
      <c r="D3991" t="s">
        <v>7533</v>
      </c>
      <c r="E3991" t="s">
        <v>529</v>
      </c>
      <c r="F3991" t="s">
        <v>1651</v>
      </c>
      <c r="G3991" t="s">
        <v>801</v>
      </c>
      <c r="H3991" t="str">
        <f>" "</f>
        <v xml:space="preserve"> </v>
      </c>
      <c r="J3991">
        <v>2285024506</v>
      </c>
      <c r="K3991">
        <v>6979104286</v>
      </c>
      <c r="M3991" t="s">
        <v>7534</v>
      </c>
      <c r="N3991" t="s">
        <v>306</v>
      </c>
      <c r="O3991" t="s">
        <v>307</v>
      </c>
      <c r="R3991" t="s">
        <v>57</v>
      </c>
      <c r="S3991">
        <v>13</v>
      </c>
      <c r="T3991">
        <v>193</v>
      </c>
      <c r="U3991" s="1">
        <v>37497</v>
      </c>
      <c r="V3991" t="s">
        <v>6729</v>
      </c>
      <c r="W3991" t="s">
        <v>6730</v>
      </c>
      <c r="X3991" t="s">
        <v>58</v>
      </c>
      <c r="Y3991">
        <v>20</v>
      </c>
      <c r="Z3991" t="s">
        <v>59</v>
      </c>
      <c r="AA3991" t="s">
        <v>59</v>
      </c>
      <c r="AB3991" t="s">
        <v>59</v>
      </c>
      <c r="AC3991" t="s">
        <v>59</v>
      </c>
      <c r="AD3991" t="s">
        <v>59</v>
      </c>
      <c r="AF3991" s="1">
        <v>37854</v>
      </c>
      <c r="AG3991" t="s">
        <v>125</v>
      </c>
      <c r="AH3991" t="s">
        <v>126</v>
      </c>
      <c r="AI3991" t="str">
        <f>"5002010"</f>
        <v>5002010</v>
      </c>
      <c r="AJ3991" t="s">
        <v>6773</v>
      </c>
      <c r="AK3991">
        <v>2825022249</v>
      </c>
      <c r="AL3991" t="s">
        <v>6774</v>
      </c>
      <c r="AM3991" t="s">
        <v>88</v>
      </c>
      <c r="AN3991" t="s">
        <v>6775</v>
      </c>
      <c r="AO3991" t="s">
        <v>6776</v>
      </c>
      <c r="AP3991" t="s">
        <v>6776</v>
      </c>
      <c r="AQ3991">
        <v>1</v>
      </c>
      <c r="AR3991" t="s">
        <v>6729</v>
      </c>
      <c r="AS3991" t="s">
        <v>6730</v>
      </c>
      <c r="AT3991" t="s">
        <v>58</v>
      </c>
      <c r="AU3991" t="s">
        <v>68</v>
      </c>
      <c r="AV3991" t="s">
        <v>69</v>
      </c>
      <c r="AW3991" s="1">
        <v>28732</v>
      </c>
      <c r="AX3991">
        <v>2</v>
      </c>
    </row>
    <row r="3992" spans="1:50">
      <c r="A3992">
        <v>206656</v>
      </c>
      <c r="B3992" t="str">
        <f>"046537588"</f>
        <v>046537588</v>
      </c>
      <c r="C3992" t="s">
        <v>50</v>
      </c>
      <c r="D3992" t="s">
        <v>7535</v>
      </c>
      <c r="E3992" t="s">
        <v>396</v>
      </c>
      <c r="F3992" t="s">
        <v>166</v>
      </c>
      <c r="G3992" t="s">
        <v>1306</v>
      </c>
      <c r="H3992" t="str">
        <f>"ΑΓ.ΜΑΡΙΝΑ ΚΥΔΩΝΙΑΣ ΧΑΝΙΑ"</f>
        <v>ΑΓ.ΜΑΡΙΝΑ ΚΥΔΩΝΙΑΣ ΧΑΝΙΑ</v>
      </c>
      <c r="I3992">
        <v>73100</v>
      </c>
      <c r="J3992">
        <v>2821088188</v>
      </c>
      <c r="K3992">
        <v>6978441334</v>
      </c>
      <c r="M3992" t="s">
        <v>7536</v>
      </c>
      <c r="N3992" t="s">
        <v>146</v>
      </c>
      <c r="O3992" t="s">
        <v>147</v>
      </c>
      <c r="R3992" t="s">
        <v>57</v>
      </c>
      <c r="S3992">
        <v>7</v>
      </c>
      <c r="T3992">
        <v>225</v>
      </c>
      <c r="U3992" s="1">
        <v>38596</v>
      </c>
      <c r="V3992" t="s">
        <v>6729</v>
      </c>
      <c r="W3992" t="s">
        <v>6730</v>
      </c>
      <c r="X3992" t="s">
        <v>58</v>
      </c>
      <c r="Y3992">
        <v>20</v>
      </c>
      <c r="Z3992" t="s">
        <v>59</v>
      </c>
      <c r="AA3992" t="s">
        <v>59</v>
      </c>
      <c r="AB3992" t="s">
        <v>59</v>
      </c>
      <c r="AC3992" t="s">
        <v>59</v>
      </c>
      <c r="AD3992" t="s">
        <v>59</v>
      </c>
      <c r="AF3992" s="1">
        <v>38602</v>
      </c>
      <c r="AG3992" t="s">
        <v>148</v>
      </c>
      <c r="AH3992" t="s">
        <v>149</v>
      </c>
      <c r="AI3992" t="str">
        <f>"5051009"</f>
        <v>5051009</v>
      </c>
      <c r="AJ3992" t="s">
        <v>6851</v>
      </c>
      <c r="AK3992">
        <v>2821044551</v>
      </c>
      <c r="AL3992" t="s">
        <v>6852</v>
      </c>
      <c r="AM3992" t="s">
        <v>88</v>
      </c>
      <c r="AN3992" t="s">
        <v>88</v>
      </c>
      <c r="AO3992" t="s">
        <v>6770</v>
      </c>
      <c r="AP3992" t="s">
        <v>6771</v>
      </c>
      <c r="AQ3992">
        <v>1</v>
      </c>
      <c r="AR3992" t="s">
        <v>6729</v>
      </c>
      <c r="AS3992" t="s">
        <v>6730</v>
      </c>
      <c r="AT3992" t="s">
        <v>58</v>
      </c>
      <c r="AU3992" t="s">
        <v>68</v>
      </c>
      <c r="AV3992" t="s">
        <v>69</v>
      </c>
      <c r="AW3992" s="1">
        <v>26070</v>
      </c>
      <c r="AX3992">
        <v>2</v>
      </c>
    </row>
    <row r="3993" spans="1:50">
      <c r="A3993">
        <v>171110</v>
      </c>
      <c r="B3993" t="str">
        <f>"038137636"</f>
        <v>038137636</v>
      </c>
      <c r="C3993" t="s">
        <v>50</v>
      </c>
      <c r="D3993" t="s">
        <v>7537</v>
      </c>
      <c r="E3993" t="s">
        <v>181</v>
      </c>
      <c r="F3993" t="s">
        <v>383</v>
      </c>
      <c r="G3993" t="s">
        <v>7538</v>
      </c>
      <c r="H3993" t="str">
        <f>" "</f>
        <v xml:space="preserve"> </v>
      </c>
      <c r="M3993" t="s">
        <v>7539</v>
      </c>
      <c r="N3993" t="s">
        <v>306</v>
      </c>
      <c r="O3993" t="s">
        <v>307</v>
      </c>
      <c r="R3993" t="s">
        <v>57</v>
      </c>
      <c r="S3993">
        <v>11</v>
      </c>
      <c r="T3993">
        <v>184</v>
      </c>
      <c r="U3993" s="1">
        <v>34941</v>
      </c>
      <c r="V3993" t="s">
        <v>6729</v>
      </c>
      <c r="W3993" t="s">
        <v>6730</v>
      </c>
      <c r="X3993" t="s">
        <v>58</v>
      </c>
      <c r="Y3993">
        <v>18</v>
      </c>
      <c r="Z3993" t="s">
        <v>59</v>
      </c>
      <c r="AA3993" t="s">
        <v>59</v>
      </c>
      <c r="AB3993" t="s">
        <v>59</v>
      </c>
      <c r="AC3993" t="s">
        <v>59</v>
      </c>
      <c r="AD3993" t="s">
        <v>59</v>
      </c>
      <c r="AF3993" s="1">
        <v>34943</v>
      </c>
      <c r="AG3993" t="s">
        <v>125</v>
      </c>
      <c r="AH3993" t="s">
        <v>126</v>
      </c>
      <c r="AI3993" t="str">
        <f>"5009010"</f>
        <v>5009010</v>
      </c>
      <c r="AJ3993" t="s">
        <v>6901</v>
      </c>
      <c r="AK3993">
        <v>2821077212</v>
      </c>
      <c r="AL3993" t="s">
        <v>6902</v>
      </c>
      <c r="AM3993" t="s">
        <v>88</v>
      </c>
      <c r="AN3993" t="s">
        <v>6764</v>
      </c>
      <c r="AO3993" t="s">
        <v>6885</v>
      </c>
      <c r="AP3993" t="s">
        <v>6886</v>
      </c>
      <c r="AQ3993">
        <v>1</v>
      </c>
      <c r="AR3993" t="s">
        <v>6729</v>
      </c>
      <c r="AS3993" t="s">
        <v>6730</v>
      </c>
      <c r="AT3993" t="s">
        <v>58</v>
      </c>
      <c r="AU3993" t="s">
        <v>68</v>
      </c>
      <c r="AV3993" t="s">
        <v>69</v>
      </c>
      <c r="AW3993" s="1">
        <v>24771</v>
      </c>
      <c r="AX3993">
        <v>2</v>
      </c>
    </row>
    <row r="3994" spans="1:50">
      <c r="B3994" t="str">
        <f>"073527355"</f>
        <v>073527355</v>
      </c>
      <c r="C3994" t="s">
        <v>105</v>
      </c>
      <c r="D3994" t="s">
        <v>2183</v>
      </c>
      <c r="E3994" t="s">
        <v>309</v>
      </c>
      <c r="F3994" t="s">
        <v>72</v>
      </c>
      <c r="G3994" t="s">
        <v>600</v>
      </c>
      <c r="H3994" t="str">
        <f>" "</f>
        <v xml:space="preserve"> </v>
      </c>
      <c r="M3994" t="s">
        <v>7540</v>
      </c>
      <c r="N3994" t="s">
        <v>299</v>
      </c>
      <c r="O3994" t="s">
        <v>300</v>
      </c>
      <c r="R3994" t="s">
        <v>121</v>
      </c>
      <c r="S3994">
        <v>1</v>
      </c>
      <c r="T3994" t="s">
        <v>574</v>
      </c>
      <c r="U3994" s="1">
        <v>43378</v>
      </c>
      <c r="V3994" t="s">
        <v>6729</v>
      </c>
      <c r="W3994" t="s">
        <v>6730</v>
      </c>
      <c r="X3994" t="s">
        <v>58</v>
      </c>
      <c r="Y3994">
        <v>23</v>
      </c>
      <c r="Z3994" t="s">
        <v>59</v>
      </c>
      <c r="AA3994" t="s">
        <v>59</v>
      </c>
      <c r="AB3994" t="s">
        <v>59</v>
      </c>
      <c r="AD3994" t="s">
        <v>59</v>
      </c>
      <c r="AF3994" s="1">
        <v>43381</v>
      </c>
      <c r="AG3994" t="s">
        <v>137</v>
      </c>
      <c r="AH3994" t="s">
        <v>138</v>
      </c>
      <c r="AI3994" t="str">
        <f>"5040090"</f>
        <v>5040090</v>
      </c>
      <c r="AJ3994" t="s">
        <v>6757</v>
      </c>
      <c r="AK3994">
        <v>2822022275</v>
      </c>
      <c r="AL3994" t="s">
        <v>6758</v>
      </c>
      <c r="AM3994" t="s">
        <v>88</v>
      </c>
      <c r="AN3994" t="s">
        <v>6744</v>
      </c>
      <c r="AO3994" t="s">
        <v>6744</v>
      </c>
      <c r="AP3994" t="s">
        <v>6744</v>
      </c>
      <c r="AQ3994">
        <v>1</v>
      </c>
      <c r="AR3994" t="s">
        <v>6729</v>
      </c>
      <c r="AS3994" t="s">
        <v>6730</v>
      </c>
      <c r="AT3994" t="s">
        <v>58</v>
      </c>
      <c r="AU3994" t="s">
        <v>164</v>
      </c>
      <c r="AV3994" t="s">
        <v>132</v>
      </c>
      <c r="AW3994" s="1">
        <v>25144</v>
      </c>
      <c r="AX3994">
        <v>2</v>
      </c>
    </row>
    <row r="3995" spans="1:50">
      <c r="A3995">
        <v>219783</v>
      </c>
      <c r="B3995" t="str">
        <f>"074035230"</f>
        <v>074035230</v>
      </c>
      <c r="C3995" t="s">
        <v>50</v>
      </c>
      <c r="D3995" t="s">
        <v>7541</v>
      </c>
      <c r="E3995" t="s">
        <v>255</v>
      </c>
      <c r="F3995" t="s">
        <v>53</v>
      </c>
      <c r="G3995" t="s">
        <v>372</v>
      </c>
      <c r="H3995" t="str">
        <f>" "</f>
        <v xml:space="preserve"> </v>
      </c>
      <c r="J3995">
        <v>2102582383</v>
      </c>
      <c r="K3995">
        <v>6936556924</v>
      </c>
      <c r="M3995" t="s">
        <v>7542</v>
      </c>
      <c r="N3995" t="s">
        <v>176</v>
      </c>
      <c r="O3995" t="s">
        <v>177</v>
      </c>
      <c r="R3995" t="s">
        <v>57</v>
      </c>
      <c r="S3995">
        <v>7</v>
      </c>
      <c r="T3995">
        <v>599</v>
      </c>
      <c r="U3995" s="1">
        <v>39310</v>
      </c>
      <c r="V3995" t="s">
        <v>6729</v>
      </c>
      <c r="W3995" t="s">
        <v>6730</v>
      </c>
      <c r="X3995" t="s">
        <v>58</v>
      </c>
      <c r="Y3995">
        <v>20</v>
      </c>
      <c r="Z3995" t="s">
        <v>59</v>
      </c>
      <c r="AA3995" t="s">
        <v>59</v>
      </c>
      <c r="AB3995" t="s">
        <v>59</v>
      </c>
      <c r="AC3995" t="s">
        <v>59</v>
      </c>
      <c r="AD3995" t="s">
        <v>59</v>
      </c>
      <c r="AF3995" s="1">
        <v>39328</v>
      </c>
      <c r="AG3995" t="s">
        <v>148</v>
      </c>
      <c r="AH3995" t="s">
        <v>149</v>
      </c>
      <c r="AI3995" t="str">
        <f>"5054010"</f>
        <v>5054010</v>
      </c>
      <c r="AJ3995" t="s">
        <v>6815</v>
      </c>
      <c r="AK3995">
        <v>2822022671</v>
      </c>
      <c r="AL3995" t="s">
        <v>6816</v>
      </c>
      <c r="AM3995" t="s">
        <v>88</v>
      </c>
      <c r="AN3995" t="s">
        <v>6744</v>
      </c>
      <c r="AO3995" t="s">
        <v>6744</v>
      </c>
      <c r="AP3995" t="s">
        <v>6744</v>
      </c>
      <c r="AQ3995">
        <v>1</v>
      </c>
      <c r="AR3995" t="s">
        <v>6729</v>
      </c>
      <c r="AS3995" t="s">
        <v>6730</v>
      </c>
      <c r="AT3995" t="s">
        <v>58</v>
      </c>
      <c r="AU3995" t="s">
        <v>68</v>
      </c>
      <c r="AV3995" t="s">
        <v>69</v>
      </c>
      <c r="AW3995" s="1">
        <v>24838</v>
      </c>
      <c r="AX3995">
        <v>2</v>
      </c>
    </row>
    <row r="3996" spans="1:50">
      <c r="A3996">
        <v>229708</v>
      </c>
      <c r="B3996" t="str">
        <f>"075358932"</f>
        <v>075358932</v>
      </c>
      <c r="C3996" t="s">
        <v>50</v>
      </c>
      <c r="D3996" t="s">
        <v>2210</v>
      </c>
      <c r="E3996" t="s">
        <v>52</v>
      </c>
      <c r="F3996" t="s">
        <v>309</v>
      </c>
      <c r="G3996" t="s">
        <v>396</v>
      </c>
      <c r="H3996" t="str">
        <f>"ΝΕΑΡΧΟΥ   35 ΧΑΝΙΑ"</f>
        <v>ΝΕΑΡΧΟΥ   35 ΧΑΝΙΑ</v>
      </c>
      <c r="I3996">
        <v>73134</v>
      </c>
      <c r="J3996">
        <v>2821098271</v>
      </c>
      <c r="K3996">
        <v>6946224465</v>
      </c>
      <c r="M3996" t="s">
        <v>7543</v>
      </c>
      <c r="N3996" t="s">
        <v>3090</v>
      </c>
      <c r="O3996" t="s">
        <v>3091</v>
      </c>
      <c r="R3996" t="s">
        <v>57</v>
      </c>
      <c r="S3996">
        <v>4</v>
      </c>
      <c r="T3996">
        <v>988</v>
      </c>
      <c r="U3996" s="1">
        <v>40157</v>
      </c>
      <c r="V3996" t="s">
        <v>6729</v>
      </c>
      <c r="W3996" t="s">
        <v>6730</v>
      </c>
      <c r="X3996" t="s">
        <v>58</v>
      </c>
      <c r="Y3996">
        <v>21</v>
      </c>
      <c r="Z3996" t="s">
        <v>59</v>
      </c>
      <c r="AA3996" t="s">
        <v>59</v>
      </c>
      <c r="AB3996" t="s">
        <v>59</v>
      </c>
      <c r="AC3996" t="s">
        <v>59</v>
      </c>
      <c r="AD3996" t="s">
        <v>59</v>
      </c>
      <c r="AF3996" s="1">
        <v>40161</v>
      </c>
      <c r="AG3996" t="s">
        <v>137</v>
      </c>
      <c r="AH3996" t="s">
        <v>138</v>
      </c>
      <c r="AI3996" t="str">
        <f>"5040080"</f>
        <v>5040080</v>
      </c>
      <c r="AJ3996" t="s">
        <v>6753</v>
      </c>
      <c r="AK3996">
        <v>2821093155</v>
      </c>
      <c r="AL3996" t="s">
        <v>6754</v>
      </c>
      <c r="AM3996" t="s">
        <v>88</v>
      </c>
      <c r="AN3996" t="s">
        <v>88</v>
      </c>
      <c r="AO3996" t="s">
        <v>6733</v>
      </c>
      <c r="AP3996" t="s">
        <v>6755</v>
      </c>
      <c r="AQ3996">
        <v>1</v>
      </c>
      <c r="AR3996" t="s">
        <v>6729</v>
      </c>
      <c r="AS3996" t="s">
        <v>6730</v>
      </c>
      <c r="AT3996" t="s">
        <v>58</v>
      </c>
      <c r="AU3996" t="s">
        <v>68</v>
      </c>
      <c r="AV3996" t="s">
        <v>69</v>
      </c>
      <c r="AW3996" s="1">
        <v>28224</v>
      </c>
      <c r="AX3996">
        <v>2</v>
      </c>
    </row>
    <row r="3997" spans="1:50">
      <c r="A3997">
        <v>187996</v>
      </c>
      <c r="B3997" t="str">
        <f>"047323688"</f>
        <v>047323688</v>
      </c>
      <c r="C3997" t="s">
        <v>50</v>
      </c>
      <c r="D3997" t="s">
        <v>2232</v>
      </c>
      <c r="E3997" t="s">
        <v>263</v>
      </c>
      <c r="F3997" t="s">
        <v>72</v>
      </c>
      <c r="G3997" t="s">
        <v>4695</v>
      </c>
      <c r="H3997" t="str">
        <f>"ΚΟΥΣΤΟΓΕΡΑΚΟΥ 4 ΧΑΝΙΑ"</f>
        <v>ΚΟΥΣΤΟΓΕΡΑΚΟΥ 4 ΧΑΝΙΑ</v>
      </c>
      <c r="I3997">
        <v>73131</v>
      </c>
      <c r="J3997">
        <v>2821075775</v>
      </c>
      <c r="K3997">
        <v>6948070498</v>
      </c>
      <c r="M3997" t="s">
        <v>7544</v>
      </c>
      <c r="N3997" t="s">
        <v>204</v>
      </c>
      <c r="O3997" t="s">
        <v>205</v>
      </c>
      <c r="R3997" t="s">
        <v>57</v>
      </c>
      <c r="S3997">
        <v>13</v>
      </c>
      <c r="T3997">
        <v>251</v>
      </c>
      <c r="U3997" s="1">
        <v>36769</v>
      </c>
      <c r="V3997" t="s">
        <v>6729</v>
      </c>
      <c r="W3997" t="s">
        <v>6730</v>
      </c>
      <c r="X3997" t="s">
        <v>58</v>
      </c>
      <c r="Y3997">
        <v>18</v>
      </c>
      <c r="Z3997" t="s">
        <v>59</v>
      </c>
      <c r="AA3997" t="s">
        <v>59</v>
      </c>
      <c r="AB3997" t="s">
        <v>59</v>
      </c>
      <c r="AC3997" t="s">
        <v>59</v>
      </c>
      <c r="AD3997" t="s">
        <v>59</v>
      </c>
      <c r="AF3997" s="1">
        <v>36770</v>
      </c>
      <c r="AG3997" t="s">
        <v>148</v>
      </c>
      <c r="AH3997" t="s">
        <v>149</v>
      </c>
      <c r="AI3997" t="str">
        <f>"5051010"</f>
        <v>5051010</v>
      </c>
      <c r="AJ3997" t="s">
        <v>6896</v>
      </c>
      <c r="AK3997">
        <v>2821028714</v>
      </c>
      <c r="AL3997" t="s">
        <v>6897</v>
      </c>
      <c r="AM3997" t="s">
        <v>88</v>
      </c>
      <c r="AN3997" t="s">
        <v>88</v>
      </c>
      <c r="AO3997" t="s">
        <v>88</v>
      </c>
      <c r="AP3997" t="s">
        <v>88</v>
      </c>
      <c r="AQ3997">
        <v>1</v>
      </c>
      <c r="AR3997" t="s">
        <v>6729</v>
      </c>
      <c r="AS3997" t="s">
        <v>6730</v>
      </c>
      <c r="AT3997" t="s">
        <v>58</v>
      </c>
      <c r="AU3997" t="s">
        <v>68</v>
      </c>
      <c r="AV3997" t="s">
        <v>69</v>
      </c>
      <c r="AW3997" s="1">
        <v>26494</v>
      </c>
      <c r="AX3997">
        <v>2</v>
      </c>
    </row>
    <row r="3998" spans="1:50">
      <c r="A3998">
        <v>207892</v>
      </c>
      <c r="B3998" t="str">
        <f>"072463321"</f>
        <v>072463321</v>
      </c>
      <c r="C3998" t="s">
        <v>105</v>
      </c>
      <c r="D3998" t="s">
        <v>2237</v>
      </c>
      <c r="E3998" t="s">
        <v>72</v>
      </c>
      <c r="F3998" t="s">
        <v>1316</v>
      </c>
      <c r="G3998" t="s">
        <v>396</v>
      </c>
      <c r="H3998" t="str">
        <f>" "</f>
        <v xml:space="preserve"> </v>
      </c>
      <c r="J3998">
        <v>2821060759</v>
      </c>
      <c r="K3998">
        <v>6972052015</v>
      </c>
      <c r="N3998" t="s">
        <v>299</v>
      </c>
      <c r="O3998" t="s">
        <v>300</v>
      </c>
      <c r="R3998" t="s">
        <v>57</v>
      </c>
      <c r="S3998">
        <v>8</v>
      </c>
      <c r="T3998" t="s">
        <v>7545</v>
      </c>
      <c r="U3998" s="1">
        <v>38596</v>
      </c>
      <c r="V3998" t="s">
        <v>6729</v>
      </c>
      <c r="W3998" t="s">
        <v>6730</v>
      </c>
      <c r="X3998" t="s">
        <v>58</v>
      </c>
      <c r="Y3998">
        <v>20</v>
      </c>
      <c r="Z3998" t="s">
        <v>59</v>
      </c>
      <c r="AA3998" t="s">
        <v>59</v>
      </c>
      <c r="AB3998" t="s">
        <v>59</v>
      </c>
      <c r="AC3998" t="s">
        <v>59</v>
      </c>
      <c r="AD3998" t="s">
        <v>59</v>
      </c>
      <c r="AF3998" s="1">
        <v>38600</v>
      </c>
      <c r="AG3998" t="s">
        <v>148</v>
      </c>
      <c r="AH3998" t="s">
        <v>149</v>
      </c>
      <c r="AI3998" t="str">
        <f>"5057010"</f>
        <v>5057010</v>
      </c>
      <c r="AJ3998" t="s">
        <v>6836</v>
      </c>
      <c r="AK3998">
        <v>2824022511</v>
      </c>
      <c r="AL3998" t="s">
        <v>6837</v>
      </c>
      <c r="AM3998" t="s">
        <v>88</v>
      </c>
      <c r="AN3998" t="s">
        <v>6764</v>
      </c>
      <c r="AO3998" t="s">
        <v>6799</v>
      </c>
      <c r="AP3998" t="s">
        <v>6799</v>
      </c>
      <c r="AQ3998">
        <v>1</v>
      </c>
      <c r="AR3998" t="s">
        <v>6729</v>
      </c>
      <c r="AS3998" t="s">
        <v>6730</v>
      </c>
      <c r="AT3998" t="s">
        <v>58</v>
      </c>
      <c r="AU3998" t="s">
        <v>68</v>
      </c>
      <c r="AV3998" t="s">
        <v>69</v>
      </c>
      <c r="AW3998" s="1">
        <v>24492</v>
      </c>
      <c r="AX3998">
        <v>2</v>
      </c>
    </row>
    <row r="3999" spans="1:50">
      <c r="B3999" t="str">
        <f>"130414259"</f>
        <v>130414259</v>
      </c>
      <c r="C3999" t="s">
        <v>105</v>
      </c>
      <c r="D3999" t="s">
        <v>2237</v>
      </c>
      <c r="E3999" t="s">
        <v>53</v>
      </c>
      <c r="F3999" t="s">
        <v>609</v>
      </c>
      <c r="G3999" t="s">
        <v>112</v>
      </c>
      <c r="H3999" t="str">
        <f>"ΒΡΥΣΣΕΣ ΚΥΔΩΝΙΑΣ ΧΑΝΙΑ"</f>
        <v>ΒΡΥΣΣΕΣ ΚΥΔΩΝΙΑΣ ΧΑΝΙΑ</v>
      </c>
      <c r="I3999">
        <v>73014</v>
      </c>
      <c r="J3999">
        <v>2821061052</v>
      </c>
      <c r="K3999">
        <v>6947054359</v>
      </c>
      <c r="M3999" t="s">
        <v>7546</v>
      </c>
      <c r="N3999" t="s">
        <v>292</v>
      </c>
      <c r="O3999" t="s">
        <v>293</v>
      </c>
      <c r="R3999" t="s">
        <v>159</v>
      </c>
      <c r="S3999">
        <v>3</v>
      </c>
      <c r="T3999" t="s">
        <v>416</v>
      </c>
      <c r="U3999" s="1">
        <v>43349</v>
      </c>
      <c r="V3999" t="s">
        <v>6729</v>
      </c>
      <c r="W3999" t="s">
        <v>6730</v>
      </c>
      <c r="X3999" t="s">
        <v>58</v>
      </c>
      <c r="Y3999">
        <v>23</v>
      </c>
      <c r="Z3999" t="s">
        <v>59</v>
      </c>
      <c r="AA3999" t="s">
        <v>59</v>
      </c>
      <c r="AB3999" t="s">
        <v>59</v>
      </c>
      <c r="AC3999" t="s">
        <v>59</v>
      </c>
      <c r="AD3999" t="s">
        <v>59</v>
      </c>
      <c r="AF3999" s="1">
        <v>43349</v>
      </c>
      <c r="AG3999" t="s">
        <v>148</v>
      </c>
      <c r="AH3999" t="s">
        <v>149</v>
      </c>
      <c r="AI3999" t="str">
        <f>"5055010"</f>
        <v>5055010</v>
      </c>
      <c r="AJ3999" t="s">
        <v>6868</v>
      </c>
      <c r="AK3999">
        <v>2823041416</v>
      </c>
      <c r="AL3999" t="s">
        <v>6869</v>
      </c>
      <c r="AM3999" t="s">
        <v>88</v>
      </c>
      <c r="AN3999" t="s">
        <v>6824</v>
      </c>
      <c r="AO3999" t="s">
        <v>6870</v>
      </c>
      <c r="AP3999" t="s">
        <v>6871</v>
      </c>
      <c r="AQ3999">
        <v>1</v>
      </c>
      <c r="AR3999" t="s">
        <v>6729</v>
      </c>
      <c r="AS3999" t="s">
        <v>6730</v>
      </c>
      <c r="AT3999" t="s">
        <v>58</v>
      </c>
      <c r="AU3999" t="s">
        <v>419</v>
      </c>
      <c r="AV3999" t="s">
        <v>132</v>
      </c>
      <c r="AW3999" s="1">
        <v>27347</v>
      </c>
      <c r="AX3999">
        <v>2</v>
      </c>
    </row>
    <row r="4000" spans="1:50">
      <c r="B4000" t="str">
        <f>"111831222"</f>
        <v>111831222</v>
      </c>
      <c r="C4000" t="s">
        <v>50</v>
      </c>
      <c r="D4000" t="s">
        <v>314</v>
      </c>
      <c r="E4000" t="s">
        <v>566</v>
      </c>
      <c r="F4000" t="s">
        <v>166</v>
      </c>
      <c r="G4000" t="s">
        <v>372</v>
      </c>
      <c r="H4000" t="str">
        <f>"ΕΟΚ 2 ΗΡΑΚΛΕΙΟ"</f>
        <v>ΕΟΚ 2 ΗΡΑΚΛΕΙΟ</v>
      </c>
      <c r="I4000">
        <v>71305</v>
      </c>
      <c r="J4000">
        <v>2810252517</v>
      </c>
      <c r="K4000">
        <v>6973650805</v>
      </c>
      <c r="M4000" t="s">
        <v>7547</v>
      </c>
      <c r="N4000" t="s">
        <v>146</v>
      </c>
      <c r="O4000" t="s">
        <v>147</v>
      </c>
      <c r="R4000" t="s">
        <v>159</v>
      </c>
      <c r="S4000">
        <v>3</v>
      </c>
      <c r="T4000" t="s">
        <v>574</v>
      </c>
      <c r="U4000" s="1">
        <v>43378</v>
      </c>
      <c r="V4000" t="s">
        <v>6729</v>
      </c>
      <c r="W4000" t="s">
        <v>6730</v>
      </c>
      <c r="X4000" t="s">
        <v>58</v>
      </c>
      <c r="Y4000">
        <v>23</v>
      </c>
      <c r="Z4000" t="s">
        <v>59</v>
      </c>
      <c r="AA4000" t="s">
        <v>59</v>
      </c>
      <c r="AB4000" t="s">
        <v>59</v>
      </c>
      <c r="AC4000" t="s">
        <v>59</v>
      </c>
      <c r="AD4000" t="s">
        <v>59</v>
      </c>
      <c r="AF4000" s="1">
        <v>43381</v>
      </c>
      <c r="AG4000" t="s">
        <v>148</v>
      </c>
      <c r="AH4000" t="s">
        <v>149</v>
      </c>
      <c r="AI4000" t="str">
        <f>"5061010"</f>
        <v>5061010</v>
      </c>
      <c r="AJ4000" t="s">
        <v>6746</v>
      </c>
      <c r="AK4000">
        <v>2821081530</v>
      </c>
      <c r="AL4000" t="s">
        <v>6747</v>
      </c>
      <c r="AM4000" t="s">
        <v>88</v>
      </c>
      <c r="AN4000" t="s">
        <v>88</v>
      </c>
      <c r="AO4000" t="s">
        <v>6748</v>
      </c>
      <c r="AP4000" t="s">
        <v>6748</v>
      </c>
      <c r="AQ4000">
        <v>1</v>
      </c>
      <c r="AR4000" t="s">
        <v>6729</v>
      </c>
      <c r="AS4000" t="s">
        <v>6730</v>
      </c>
      <c r="AT4000" t="s">
        <v>58</v>
      </c>
      <c r="AU4000" t="s">
        <v>164</v>
      </c>
      <c r="AV4000" t="s">
        <v>132</v>
      </c>
      <c r="AW4000" s="1">
        <v>28898</v>
      </c>
      <c r="AX4000">
        <v>2</v>
      </c>
    </row>
    <row r="4001" spans="1:50">
      <c r="B4001" t="str">
        <f>"105702628"</f>
        <v>105702628</v>
      </c>
      <c r="C4001" t="s">
        <v>105</v>
      </c>
      <c r="D4001" t="s">
        <v>5012</v>
      </c>
      <c r="E4001" t="s">
        <v>309</v>
      </c>
      <c r="F4001" t="s">
        <v>154</v>
      </c>
      <c r="G4001" t="s">
        <v>476</v>
      </c>
      <c r="H4001" t="str">
        <f>"ΑΙΟΛΟΥ 54 ΑΘΗΝΑ"</f>
        <v>ΑΙΟΛΟΥ 54 ΑΘΗΝΑ</v>
      </c>
      <c r="I4001">
        <v>17561</v>
      </c>
      <c r="J4001">
        <v>2109847703</v>
      </c>
      <c r="K4001">
        <v>6974271184</v>
      </c>
      <c r="N4001" t="s">
        <v>146</v>
      </c>
      <c r="O4001" t="s">
        <v>147</v>
      </c>
      <c r="R4001" t="s">
        <v>57</v>
      </c>
      <c r="S4001">
        <v>5</v>
      </c>
      <c r="T4001" t="s">
        <v>416</v>
      </c>
      <c r="U4001" s="1">
        <v>43349</v>
      </c>
      <c r="V4001" t="s">
        <v>6729</v>
      </c>
      <c r="W4001" t="s">
        <v>6730</v>
      </c>
      <c r="X4001" t="s">
        <v>58</v>
      </c>
      <c r="Y4001">
        <v>21</v>
      </c>
      <c r="Z4001" t="s">
        <v>59</v>
      </c>
      <c r="AA4001" t="s">
        <v>59</v>
      </c>
      <c r="AB4001" t="s">
        <v>59</v>
      </c>
      <c r="AC4001" t="s">
        <v>59</v>
      </c>
      <c r="AD4001" t="s">
        <v>59</v>
      </c>
      <c r="AF4001" s="1">
        <v>43349</v>
      </c>
      <c r="AG4001" t="s">
        <v>137</v>
      </c>
      <c r="AH4001" t="s">
        <v>138</v>
      </c>
      <c r="AI4001" t="str">
        <f>"5050060"</f>
        <v>5050060</v>
      </c>
      <c r="AJ4001" t="s">
        <v>6801</v>
      </c>
      <c r="AK4001">
        <v>2821091515</v>
      </c>
      <c r="AL4001" t="s">
        <v>6802</v>
      </c>
      <c r="AM4001" t="s">
        <v>88</v>
      </c>
      <c r="AN4001" t="s">
        <v>88</v>
      </c>
      <c r="AO4001" t="s">
        <v>88</v>
      </c>
      <c r="AP4001" t="s">
        <v>88</v>
      </c>
      <c r="AQ4001">
        <v>1</v>
      </c>
      <c r="AR4001" t="s">
        <v>6729</v>
      </c>
      <c r="AS4001" t="s">
        <v>6730</v>
      </c>
      <c r="AT4001" t="s">
        <v>58</v>
      </c>
      <c r="AU4001" t="s">
        <v>419</v>
      </c>
      <c r="AV4001" t="s">
        <v>132</v>
      </c>
      <c r="AW4001" s="1">
        <v>25949</v>
      </c>
      <c r="AX4001">
        <v>2</v>
      </c>
    </row>
    <row r="4002" spans="1:50">
      <c r="A4002">
        <v>159865</v>
      </c>
      <c r="B4002" t="str">
        <f>"024888052"</f>
        <v>024888052</v>
      </c>
      <c r="C4002" t="s">
        <v>105</v>
      </c>
      <c r="D4002" t="s">
        <v>7548</v>
      </c>
      <c r="E4002" t="s">
        <v>202</v>
      </c>
      <c r="F4002" t="s">
        <v>760</v>
      </c>
      <c r="G4002" t="s">
        <v>1068</v>
      </c>
      <c r="H4002" t="str">
        <f>" ΚΙΣΣΑΜΟΣ"</f>
        <v xml:space="preserve"> ΚΙΣΣΑΜΟΣ</v>
      </c>
      <c r="I4002">
        <v>73400</v>
      </c>
      <c r="M4002" t="s">
        <v>7549</v>
      </c>
      <c r="N4002" t="s">
        <v>292</v>
      </c>
      <c r="O4002" t="s">
        <v>293</v>
      </c>
      <c r="R4002" t="s">
        <v>57</v>
      </c>
      <c r="S4002">
        <v>13</v>
      </c>
      <c r="T4002">
        <v>161</v>
      </c>
      <c r="U4002" s="1">
        <v>33119</v>
      </c>
      <c r="V4002" t="s">
        <v>6729</v>
      </c>
      <c r="W4002" t="s">
        <v>6730</v>
      </c>
      <c r="X4002" t="s">
        <v>58</v>
      </c>
      <c r="Y4002">
        <v>18</v>
      </c>
      <c r="Z4002" t="s">
        <v>59</v>
      </c>
      <c r="AA4002" t="s">
        <v>59</v>
      </c>
      <c r="AB4002" t="s">
        <v>59</v>
      </c>
      <c r="AC4002" t="s">
        <v>59</v>
      </c>
      <c r="AD4002" t="s">
        <v>59</v>
      </c>
      <c r="AF4002" s="1">
        <v>33122</v>
      </c>
      <c r="AG4002" t="s">
        <v>148</v>
      </c>
      <c r="AH4002" t="s">
        <v>149</v>
      </c>
      <c r="AI4002" t="str">
        <f>"5054010"</f>
        <v>5054010</v>
      </c>
      <c r="AJ4002" t="s">
        <v>6815</v>
      </c>
      <c r="AK4002">
        <v>2822022671</v>
      </c>
      <c r="AL4002" t="s">
        <v>6816</v>
      </c>
      <c r="AM4002" t="s">
        <v>88</v>
      </c>
      <c r="AN4002" t="s">
        <v>6744</v>
      </c>
      <c r="AO4002" t="s">
        <v>6744</v>
      </c>
      <c r="AP4002" t="s">
        <v>6744</v>
      </c>
      <c r="AQ4002">
        <v>1</v>
      </c>
      <c r="AR4002" t="s">
        <v>6729</v>
      </c>
      <c r="AS4002" t="s">
        <v>6730</v>
      </c>
      <c r="AT4002" t="s">
        <v>58</v>
      </c>
      <c r="AU4002" t="s">
        <v>68</v>
      </c>
      <c r="AV4002" t="s">
        <v>69</v>
      </c>
      <c r="AW4002" s="1">
        <v>20730</v>
      </c>
      <c r="AX4002">
        <v>2</v>
      </c>
    </row>
    <row r="4003" spans="1:50">
      <c r="A4003">
        <v>184975</v>
      </c>
      <c r="B4003" t="str">
        <f>"044698757"</f>
        <v>044698757</v>
      </c>
      <c r="C4003" t="s">
        <v>50</v>
      </c>
      <c r="D4003" t="s">
        <v>7550</v>
      </c>
      <c r="E4003" t="s">
        <v>237</v>
      </c>
      <c r="F4003" t="s">
        <v>377</v>
      </c>
      <c r="G4003" t="s">
        <v>372</v>
      </c>
      <c r="H4003" t="str">
        <f>"ΣΥΙΑΣ 2  ΧΑΝΙΑ"</f>
        <v>ΣΥΙΑΣ 2  ΧΑΝΙΑ</v>
      </c>
      <c r="I4003">
        <v>73131</v>
      </c>
      <c r="J4003">
        <v>2821305636</v>
      </c>
      <c r="K4003">
        <v>6940794203</v>
      </c>
      <c r="M4003" t="s">
        <v>7551</v>
      </c>
      <c r="N4003" t="s">
        <v>299</v>
      </c>
      <c r="O4003" t="s">
        <v>300</v>
      </c>
      <c r="R4003" t="s">
        <v>57</v>
      </c>
      <c r="S4003">
        <v>9</v>
      </c>
      <c r="T4003">
        <v>177</v>
      </c>
      <c r="U4003" s="1">
        <v>36403</v>
      </c>
      <c r="V4003" t="s">
        <v>6729</v>
      </c>
      <c r="W4003" t="s">
        <v>6730</v>
      </c>
      <c r="X4003" t="s">
        <v>58</v>
      </c>
      <c r="Y4003">
        <v>20</v>
      </c>
      <c r="Z4003" t="s">
        <v>59</v>
      </c>
      <c r="AA4003" t="s">
        <v>59</v>
      </c>
      <c r="AB4003" t="s">
        <v>59</v>
      </c>
      <c r="AC4003" t="s">
        <v>59</v>
      </c>
      <c r="AD4003" t="s">
        <v>59</v>
      </c>
      <c r="AF4003" s="1">
        <v>36411</v>
      </c>
      <c r="AG4003" t="s">
        <v>125</v>
      </c>
      <c r="AH4003" t="s">
        <v>126</v>
      </c>
      <c r="AI4003" t="str">
        <f>"5001020"</f>
        <v>5001020</v>
      </c>
      <c r="AJ4003" t="s">
        <v>6739</v>
      </c>
      <c r="AK4003">
        <v>2821042664</v>
      </c>
      <c r="AL4003" t="s">
        <v>6740</v>
      </c>
      <c r="AM4003" t="s">
        <v>88</v>
      </c>
      <c r="AN4003" t="s">
        <v>88</v>
      </c>
      <c r="AO4003" t="s">
        <v>88</v>
      </c>
      <c r="AP4003" t="s">
        <v>88</v>
      </c>
      <c r="AQ4003">
        <v>1</v>
      </c>
      <c r="AR4003" t="s">
        <v>6729</v>
      </c>
      <c r="AS4003" t="s">
        <v>6730</v>
      </c>
      <c r="AT4003" t="s">
        <v>58</v>
      </c>
      <c r="AU4003" t="s">
        <v>68</v>
      </c>
      <c r="AV4003" t="s">
        <v>69</v>
      </c>
      <c r="AW4003" s="1">
        <v>24595</v>
      </c>
      <c r="AX4003">
        <v>2</v>
      </c>
    </row>
    <row r="4004" spans="1:50">
      <c r="A4004">
        <v>220416</v>
      </c>
      <c r="B4004" t="str">
        <f>"135207874"</f>
        <v>135207874</v>
      </c>
      <c r="C4004" t="s">
        <v>50</v>
      </c>
      <c r="D4004" t="s">
        <v>6119</v>
      </c>
      <c r="E4004" t="s">
        <v>1510</v>
      </c>
      <c r="F4004" t="s">
        <v>53</v>
      </c>
      <c r="G4004" t="s">
        <v>83</v>
      </c>
      <c r="H4004" t="str">
        <f>"ΠΛΑΤΕΙΑ ΚΑΛΑΘΑ ΑΚΡΩΤΗΡΙ"</f>
        <v>ΠΛΑΤΕΙΑ ΚΑΛΑΘΑ ΑΚΡΩΤΗΡΙ</v>
      </c>
      <c r="I4004">
        <v>73100</v>
      </c>
      <c r="J4004">
        <v>2821096628</v>
      </c>
      <c r="K4004">
        <v>6977699553</v>
      </c>
      <c r="M4004" t="s">
        <v>7552</v>
      </c>
      <c r="N4004" t="s">
        <v>146</v>
      </c>
      <c r="O4004" t="s">
        <v>147</v>
      </c>
      <c r="R4004" t="s">
        <v>57</v>
      </c>
      <c r="S4004">
        <v>7</v>
      </c>
      <c r="T4004">
        <v>681</v>
      </c>
      <c r="U4004" s="1">
        <v>39325</v>
      </c>
      <c r="V4004" t="s">
        <v>6729</v>
      </c>
      <c r="W4004" t="s">
        <v>6730</v>
      </c>
      <c r="X4004" t="s">
        <v>58</v>
      </c>
      <c r="Y4004">
        <v>21</v>
      </c>
      <c r="Z4004" t="s">
        <v>59</v>
      </c>
      <c r="AA4004" t="s">
        <v>59</v>
      </c>
      <c r="AB4004" t="s">
        <v>59</v>
      </c>
      <c r="AC4004" t="s">
        <v>59</v>
      </c>
      <c r="AD4004" t="s">
        <v>59</v>
      </c>
      <c r="AF4004" s="1">
        <v>39329</v>
      </c>
      <c r="AG4004" t="s">
        <v>137</v>
      </c>
      <c r="AH4004" t="s">
        <v>138</v>
      </c>
      <c r="AI4004" t="str">
        <f>"5040090"</f>
        <v>5040090</v>
      </c>
      <c r="AJ4004" t="s">
        <v>6757</v>
      </c>
      <c r="AK4004">
        <v>2822022275</v>
      </c>
      <c r="AL4004" t="s">
        <v>6758</v>
      </c>
      <c r="AM4004" t="s">
        <v>88</v>
      </c>
      <c r="AN4004" t="s">
        <v>6744</v>
      </c>
      <c r="AO4004" t="s">
        <v>6744</v>
      </c>
      <c r="AP4004" t="s">
        <v>6744</v>
      </c>
      <c r="AQ4004">
        <v>1</v>
      </c>
      <c r="AR4004" t="s">
        <v>6729</v>
      </c>
      <c r="AS4004" t="s">
        <v>6730</v>
      </c>
      <c r="AT4004" t="s">
        <v>58</v>
      </c>
      <c r="AU4004" t="s">
        <v>68</v>
      </c>
      <c r="AV4004" t="s">
        <v>69</v>
      </c>
      <c r="AW4004" s="1">
        <v>29982</v>
      </c>
      <c r="AX4004">
        <v>2</v>
      </c>
    </row>
    <row r="4005" spans="1:50">
      <c r="A4005">
        <v>194373</v>
      </c>
      <c r="B4005" t="str">
        <f>"049647617"</f>
        <v>049647617</v>
      </c>
      <c r="C4005" t="s">
        <v>105</v>
      </c>
      <c r="D4005" t="s">
        <v>5015</v>
      </c>
      <c r="E4005" t="s">
        <v>106</v>
      </c>
      <c r="F4005" t="s">
        <v>4622</v>
      </c>
      <c r="G4005" t="s">
        <v>181</v>
      </c>
      <c r="H4005" t="str">
        <f>"3Η ΠΑΡΟΔΟΣ ΑΓ. ΔΗΜΗΤΡΙΟΥ, ΓΑΛΑΤΑΣ ΧΑΝΙΑ"</f>
        <v>3Η ΠΑΡΟΔΟΣ ΑΓ. ΔΗΜΗΤΡΙΟΥ, ΓΑΛΑΤΑΣ ΧΑΝΙΑ</v>
      </c>
      <c r="I4005">
        <v>73100</v>
      </c>
      <c r="K4005">
        <v>6977302499</v>
      </c>
      <c r="M4005" t="s">
        <v>7553</v>
      </c>
      <c r="N4005" t="s">
        <v>176</v>
      </c>
      <c r="O4005" t="s">
        <v>177</v>
      </c>
      <c r="R4005" t="s">
        <v>57</v>
      </c>
      <c r="S4005">
        <v>8</v>
      </c>
      <c r="T4005">
        <v>193</v>
      </c>
      <c r="U4005" s="1">
        <v>37497</v>
      </c>
      <c r="V4005" t="s">
        <v>6729</v>
      </c>
      <c r="W4005" t="s">
        <v>6730</v>
      </c>
      <c r="X4005" t="s">
        <v>58</v>
      </c>
      <c r="Y4005">
        <v>20</v>
      </c>
      <c r="Z4005" t="s">
        <v>59</v>
      </c>
      <c r="AA4005" t="s">
        <v>59</v>
      </c>
      <c r="AB4005" t="s">
        <v>59</v>
      </c>
      <c r="AC4005" t="s">
        <v>59</v>
      </c>
      <c r="AD4005" t="s">
        <v>59</v>
      </c>
      <c r="AF4005" s="1">
        <v>37501</v>
      </c>
      <c r="AG4005" t="s">
        <v>125</v>
      </c>
      <c r="AH4005" t="s">
        <v>126</v>
      </c>
      <c r="AI4005" t="str">
        <f>"5001060"</f>
        <v>5001060</v>
      </c>
      <c r="AJ4005" t="s">
        <v>6914</v>
      </c>
      <c r="AK4005">
        <v>2821091763</v>
      </c>
      <c r="AL4005" t="s">
        <v>6915</v>
      </c>
      <c r="AM4005" t="s">
        <v>88</v>
      </c>
      <c r="AN4005" t="s">
        <v>88</v>
      </c>
      <c r="AO4005" t="s">
        <v>88</v>
      </c>
      <c r="AP4005" t="s">
        <v>88</v>
      </c>
      <c r="AQ4005">
        <v>1</v>
      </c>
      <c r="AR4005" t="s">
        <v>6729</v>
      </c>
      <c r="AS4005" t="s">
        <v>6730</v>
      </c>
      <c r="AT4005" t="s">
        <v>58</v>
      </c>
      <c r="AU4005" t="s">
        <v>68</v>
      </c>
      <c r="AV4005" t="s">
        <v>69</v>
      </c>
      <c r="AW4005" s="1">
        <v>27346</v>
      </c>
      <c r="AX4005">
        <v>2</v>
      </c>
    </row>
    <row r="4006" spans="1:50">
      <c r="A4006">
        <v>218860</v>
      </c>
      <c r="B4006" t="str">
        <f>"115648916"</f>
        <v>115648916</v>
      </c>
      <c r="C4006" t="s">
        <v>50</v>
      </c>
      <c r="D4006" t="s">
        <v>7554</v>
      </c>
      <c r="E4006" t="s">
        <v>52</v>
      </c>
      <c r="F4006" t="s">
        <v>154</v>
      </c>
      <c r="G4006" t="s">
        <v>83</v>
      </c>
      <c r="H4006" t="str">
        <f>" "</f>
        <v xml:space="preserve"> </v>
      </c>
      <c r="K4006">
        <v>6977956322</v>
      </c>
      <c r="M4006" t="s">
        <v>7555</v>
      </c>
      <c r="N4006" t="s">
        <v>246</v>
      </c>
      <c r="O4006" t="s">
        <v>247</v>
      </c>
      <c r="R4006" t="s">
        <v>57</v>
      </c>
      <c r="S4006">
        <v>7</v>
      </c>
      <c r="T4006">
        <v>599</v>
      </c>
      <c r="U4006" s="1">
        <v>39310</v>
      </c>
      <c r="V4006" t="s">
        <v>6729</v>
      </c>
      <c r="W4006" t="s">
        <v>6730</v>
      </c>
      <c r="X4006" t="s">
        <v>58</v>
      </c>
      <c r="Y4006">
        <v>21</v>
      </c>
      <c r="Z4006" t="s">
        <v>59</v>
      </c>
      <c r="AA4006" t="s">
        <v>59</v>
      </c>
      <c r="AB4006" t="s">
        <v>59</v>
      </c>
      <c r="AC4006" t="s">
        <v>59</v>
      </c>
      <c r="AD4006" t="s">
        <v>59</v>
      </c>
      <c r="AF4006" s="1">
        <v>39328</v>
      </c>
      <c r="AG4006" t="s">
        <v>125</v>
      </c>
      <c r="AH4006" t="s">
        <v>126</v>
      </c>
      <c r="AI4006" t="str">
        <f>"5006010"</f>
        <v>5006010</v>
      </c>
      <c r="AJ4006" t="s">
        <v>7008</v>
      </c>
      <c r="AK4006">
        <v>2824031620</v>
      </c>
      <c r="AL4006" t="s">
        <v>7009</v>
      </c>
      <c r="AM4006" t="s">
        <v>88</v>
      </c>
      <c r="AN4006" t="s">
        <v>6764</v>
      </c>
      <c r="AO4006" t="s">
        <v>6765</v>
      </c>
      <c r="AP4006" t="s">
        <v>6765</v>
      </c>
      <c r="AQ4006">
        <v>1</v>
      </c>
      <c r="AR4006" t="s">
        <v>6729</v>
      </c>
      <c r="AS4006" t="s">
        <v>6730</v>
      </c>
      <c r="AT4006" t="s">
        <v>58</v>
      </c>
      <c r="AU4006" t="s">
        <v>68</v>
      </c>
      <c r="AV4006" t="s">
        <v>69</v>
      </c>
      <c r="AW4006" s="1">
        <v>28251</v>
      </c>
      <c r="AX4006">
        <v>2</v>
      </c>
    </row>
    <row r="4007" spans="1:50">
      <c r="A4007">
        <v>175904</v>
      </c>
      <c r="B4007" t="str">
        <f>"079823850"</f>
        <v>079823850</v>
      </c>
      <c r="C4007" t="s">
        <v>50</v>
      </c>
      <c r="D4007" t="s">
        <v>7556</v>
      </c>
      <c r="E4007" t="s">
        <v>382</v>
      </c>
      <c r="F4007" t="s">
        <v>95</v>
      </c>
      <c r="G4007" t="s">
        <v>1510</v>
      </c>
      <c r="H4007" t="str">
        <f>"ΠΑΛΑΜΑ 4 ΧΑΝΙΑ"</f>
        <v>ΠΑΛΑΜΑ 4 ΧΑΝΙΑ</v>
      </c>
      <c r="I4007">
        <v>73100</v>
      </c>
      <c r="J4007">
        <v>2821040852</v>
      </c>
      <c r="K4007">
        <v>6945793527</v>
      </c>
      <c r="M4007" t="s">
        <v>7557</v>
      </c>
      <c r="N4007" t="s">
        <v>292</v>
      </c>
      <c r="O4007" t="s">
        <v>293</v>
      </c>
      <c r="R4007" t="s">
        <v>57</v>
      </c>
      <c r="S4007">
        <v>10</v>
      </c>
      <c r="T4007">
        <v>180</v>
      </c>
      <c r="U4007" s="1">
        <v>35674</v>
      </c>
      <c r="V4007" t="s">
        <v>6729</v>
      </c>
      <c r="W4007" t="s">
        <v>6730</v>
      </c>
      <c r="X4007" t="s">
        <v>58</v>
      </c>
      <c r="Y4007">
        <v>18</v>
      </c>
      <c r="Z4007" t="s">
        <v>59</v>
      </c>
      <c r="AA4007" t="s">
        <v>59</v>
      </c>
      <c r="AB4007" t="s">
        <v>59</v>
      </c>
      <c r="AC4007" t="s">
        <v>59</v>
      </c>
      <c r="AD4007" t="s">
        <v>59</v>
      </c>
      <c r="AF4007" s="1">
        <v>35678</v>
      </c>
      <c r="AG4007" t="s">
        <v>148</v>
      </c>
      <c r="AH4007" t="s">
        <v>149</v>
      </c>
      <c r="AI4007" t="str">
        <f>"5051009"</f>
        <v>5051009</v>
      </c>
      <c r="AJ4007" t="s">
        <v>6851</v>
      </c>
      <c r="AK4007">
        <v>2821044551</v>
      </c>
      <c r="AL4007" t="s">
        <v>6852</v>
      </c>
      <c r="AM4007" t="s">
        <v>88</v>
      </c>
      <c r="AN4007" t="s">
        <v>88</v>
      </c>
      <c r="AO4007" t="s">
        <v>6770</v>
      </c>
      <c r="AP4007" t="s">
        <v>6771</v>
      </c>
      <c r="AQ4007">
        <v>1</v>
      </c>
      <c r="AR4007" t="s">
        <v>6729</v>
      </c>
      <c r="AS4007" t="s">
        <v>6730</v>
      </c>
      <c r="AT4007" t="s">
        <v>58</v>
      </c>
      <c r="AU4007" t="s">
        <v>68</v>
      </c>
      <c r="AV4007" t="s">
        <v>69</v>
      </c>
      <c r="AW4007" s="1">
        <v>22031</v>
      </c>
      <c r="AX4007">
        <v>2</v>
      </c>
    </row>
    <row r="4008" spans="1:50">
      <c r="A4008">
        <v>209558</v>
      </c>
      <c r="B4008" t="str">
        <f>"076047212"</f>
        <v>076047212</v>
      </c>
      <c r="C4008" t="s">
        <v>50</v>
      </c>
      <c r="D4008" t="s">
        <v>7558</v>
      </c>
      <c r="E4008" t="s">
        <v>52</v>
      </c>
      <c r="F4008" t="s">
        <v>209</v>
      </c>
      <c r="G4008" t="s">
        <v>950</v>
      </c>
      <c r="H4008" t="str">
        <f>" "</f>
        <v xml:space="preserve"> </v>
      </c>
      <c r="J4008">
        <v>2821072891</v>
      </c>
      <c r="K4008">
        <v>6945336530</v>
      </c>
      <c r="L4008">
        <v>2821072891</v>
      </c>
      <c r="N4008" t="s">
        <v>146</v>
      </c>
      <c r="O4008" t="s">
        <v>147</v>
      </c>
      <c r="R4008" t="s">
        <v>57</v>
      </c>
      <c r="S4008">
        <v>8</v>
      </c>
      <c r="T4008">
        <v>225</v>
      </c>
      <c r="U4008" s="1">
        <v>38604</v>
      </c>
      <c r="V4008" t="s">
        <v>6729</v>
      </c>
      <c r="W4008" t="s">
        <v>6730</v>
      </c>
      <c r="X4008" t="s">
        <v>58</v>
      </c>
      <c r="Y4008">
        <v>20</v>
      </c>
      <c r="Z4008" t="s">
        <v>59</v>
      </c>
      <c r="AA4008" t="s">
        <v>59</v>
      </c>
      <c r="AB4008" t="s">
        <v>59</v>
      </c>
      <c r="AC4008" t="s">
        <v>59</v>
      </c>
      <c r="AD4008" t="s">
        <v>59</v>
      </c>
      <c r="AF4008" s="1">
        <v>38611</v>
      </c>
      <c r="AG4008" t="s">
        <v>125</v>
      </c>
      <c r="AH4008" t="s">
        <v>126</v>
      </c>
      <c r="AI4008" t="str">
        <f>"5001070"</f>
        <v>5001070</v>
      </c>
      <c r="AJ4008" t="s">
        <v>6731</v>
      </c>
      <c r="AK4008">
        <v>2821088045</v>
      </c>
      <c r="AL4008" t="s">
        <v>6732</v>
      </c>
      <c r="AM4008" t="s">
        <v>88</v>
      </c>
      <c r="AN4008" t="s">
        <v>88</v>
      </c>
      <c r="AO4008" t="s">
        <v>6733</v>
      </c>
      <c r="AP4008" t="s">
        <v>6734</v>
      </c>
      <c r="AQ4008">
        <v>1</v>
      </c>
      <c r="AR4008" t="s">
        <v>6729</v>
      </c>
      <c r="AS4008" t="s">
        <v>6730</v>
      </c>
      <c r="AT4008" t="s">
        <v>58</v>
      </c>
      <c r="AU4008" t="s">
        <v>68</v>
      </c>
      <c r="AV4008" t="s">
        <v>69</v>
      </c>
      <c r="AW4008" s="1">
        <v>27207</v>
      </c>
      <c r="AX4008">
        <v>2</v>
      </c>
    </row>
    <row r="4009" spans="1:50">
      <c r="A4009">
        <v>184824</v>
      </c>
      <c r="B4009" t="str">
        <f>"034624238"</f>
        <v>034624238</v>
      </c>
      <c r="C4009" t="s">
        <v>105</v>
      </c>
      <c r="D4009" t="s">
        <v>7559</v>
      </c>
      <c r="E4009" t="s">
        <v>782</v>
      </c>
      <c r="F4009" t="s">
        <v>7560</v>
      </c>
      <c r="G4009" t="s">
        <v>237</v>
      </c>
      <c r="H4009" t="str">
        <f>"ΑΓΑΘ. ΝΙΚΟΛΑΚΗ 5 ΧΑΝΙΑ"</f>
        <v>ΑΓΑΘ. ΝΙΚΟΛΑΚΗ 5 ΧΑΝΙΑ</v>
      </c>
      <c r="I4009">
        <v>73135</v>
      </c>
      <c r="J4009">
        <v>2821086735</v>
      </c>
      <c r="K4009">
        <v>6982799952</v>
      </c>
      <c r="N4009" t="s">
        <v>176</v>
      </c>
      <c r="O4009" t="s">
        <v>177</v>
      </c>
      <c r="R4009" t="s">
        <v>57</v>
      </c>
      <c r="S4009">
        <v>12</v>
      </c>
      <c r="T4009">
        <v>177</v>
      </c>
      <c r="U4009" s="1">
        <v>36403</v>
      </c>
      <c r="V4009" t="s">
        <v>6729</v>
      </c>
      <c r="W4009" t="s">
        <v>6730</v>
      </c>
      <c r="X4009" t="s">
        <v>58</v>
      </c>
      <c r="Y4009">
        <v>18</v>
      </c>
      <c r="Z4009" t="s">
        <v>59</v>
      </c>
      <c r="AA4009" t="s">
        <v>59</v>
      </c>
      <c r="AB4009" t="s">
        <v>59</v>
      </c>
      <c r="AC4009" t="s">
        <v>59</v>
      </c>
      <c r="AD4009" t="s">
        <v>59</v>
      </c>
      <c r="AF4009" s="1">
        <v>36415</v>
      </c>
      <c r="AG4009" t="s">
        <v>137</v>
      </c>
      <c r="AH4009" t="s">
        <v>138</v>
      </c>
      <c r="AI4009" t="str">
        <f>"5040080"</f>
        <v>5040080</v>
      </c>
      <c r="AJ4009" t="s">
        <v>6753</v>
      </c>
      <c r="AK4009">
        <v>2821093155</v>
      </c>
      <c r="AL4009" t="s">
        <v>6754</v>
      </c>
      <c r="AM4009" t="s">
        <v>88</v>
      </c>
      <c r="AN4009" t="s">
        <v>88</v>
      </c>
      <c r="AO4009" t="s">
        <v>6733</v>
      </c>
      <c r="AP4009" t="s">
        <v>6755</v>
      </c>
      <c r="AQ4009">
        <v>1</v>
      </c>
      <c r="AR4009" t="s">
        <v>6729</v>
      </c>
      <c r="AS4009" t="s">
        <v>6730</v>
      </c>
      <c r="AT4009" t="s">
        <v>58</v>
      </c>
      <c r="AU4009" t="s">
        <v>68</v>
      </c>
      <c r="AV4009" t="s">
        <v>69</v>
      </c>
      <c r="AW4009" s="1">
        <v>24459</v>
      </c>
      <c r="AX4009">
        <v>2</v>
      </c>
    </row>
    <row r="4010" spans="1:50">
      <c r="A4010">
        <v>209559</v>
      </c>
      <c r="B4010" t="str">
        <f>"100093424"</f>
        <v>100093424</v>
      </c>
      <c r="C4010" t="s">
        <v>105</v>
      </c>
      <c r="D4010" t="s">
        <v>7561</v>
      </c>
      <c r="E4010" t="s">
        <v>72</v>
      </c>
      <c r="F4010" t="s">
        <v>95</v>
      </c>
      <c r="G4010" t="s">
        <v>7562</v>
      </c>
      <c r="H4010" t="str">
        <f>"Μ. ΡΕΝΙΕΡΗ 17 ΡΕΘΥΜΝΟ"</f>
        <v>Μ. ΡΕΝΙΕΡΗ 17 ΡΕΘΥΜΝΟ</v>
      </c>
      <c r="I4010">
        <v>74100</v>
      </c>
      <c r="K4010">
        <v>6973944426</v>
      </c>
      <c r="N4010" t="s">
        <v>146</v>
      </c>
      <c r="O4010" t="s">
        <v>147</v>
      </c>
      <c r="R4010" t="s">
        <v>57</v>
      </c>
      <c r="S4010">
        <v>6</v>
      </c>
      <c r="T4010">
        <v>225</v>
      </c>
      <c r="U4010" s="1">
        <v>38604</v>
      </c>
      <c r="V4010" t="s">
        <v>6729</v>
      </c>
      <c r="W4010" t="s">
        <v>6730</v>
      </c>
      <c r="X4010" t="s">
        <v>58</v>
      </c>
      <c r="Y4010">
        <v>20</v>
      </c>
      <c r="Z4010" t="s">
        <v>59</v>
      </c>
      <c r="AA4010" t="s">
        <v>59</v>
      </c>
      <c r="AB4010" t="s">
        <v>59</v>
      </c>
      <c r="AC4010" t="s">
        <v>59</v>
      </c>
      <c r="AD4010" t="s">
        <v>59</v>
      </c>
      <c r="AF4010" s="1">
        <v>38607</v>
      </c>
      <c r="AG4010" t="s">
        <v>148</v>
      </c>
      <c r="AH4010" t="s">
        <v>149</v>
      </c>
      <c r="AI4010" t="str">
        <f>"5057010"</f>
        <v>5057010</v>
      </c>
      <c r="AJ4010" t="s">
        <v>6836</v>
      </c>
      <c r="AK4010">
        <v>2824022511</v>
      </c>
      <c r="AL4010" t="s">
        <v>6837</v>
      </c>
      <c r="AM4010" t="s">
        <v>88</v>
      </c>
      <c r="AN4010" t="s">
        <v>6764</v>
      </c>
      <c r="AO4010" t="s">
        <v>6799</v>
      </c>
      <c r="AP4010" t="s">
        <v>6799</v>
      </c>
      <c r="AQ4010">
        <v>1</v>
      </c>
      <c r="AR4010" t="s">
        <v>6729</v>
      </c>
      <c r="AS4010" t="s">
        <v>6730</v>
      </c>
      <c r="AT4010" t="s">
        <v>58</v>
      </c>
      <c r="AU4010" t="s">
        <v>68</v>
      </c>
      <c r="AV4010" t="s">
        <v>69</v>
      </c>
      <c r="AW4010" s="1">
        <v>27577</v>
      </c>
      <c r="AX4010">
        <v>2</v>
      </c>
    </row>
    <row r="4011" spans="1:50">
      <c r="A4011">
        <v>217537</v>
      </c>
      <c r="B4011" t="str">
        <f>"109109338"</f>
        <v>109109338</v>
      </c>
      <c r="C4011" t="s">
        <v>50</v>
      </c>
      <c r="D4011" t="s">
        <v>2257</v>
      </c>
      <c r="E4011" t="s">
        <v>681</v>
      </c>
      <c r="F4011" t="s">
        <v>95</v>
      </c>
      <c r="G4011" t="s">
        <v>52</v>
      </c>
      <c r="H4011" t="str">
        <f>" "</f>
        <v xml:space="preserve"> </v>
      </c>
      <c r="J4011">
        <v>2831031020</v>
      </c>
      <c r="K4011">
        <v>6976141440</v>
      </c>
      <c r="M4011" t="s">
        <v>7370</v>
      </c>
      <c r="N4011" t="s">
        <v>146</v>
      </c>
      <c r="O4011" t="s">
        <v>147</v>
      </c>
      <c r="R4011" t="s">
        <v>57</v>
      </c>
      <c r="S4011">
        <v>8</v>
      </c>
      <c r="T4011">
        <v>599</v>
      </c>
      <c r="U4011" s="1">
        <v>39310</v>
      </c>
      <c r="V4011" t="s">
        <v>6729</v>
      </c>
      <c r="W4011" t="s">
        <v>6730</v>
      </c>
      <c r="X4011" t="s">
        <v>58</v>
      </c>
      <c r="Y4011">
        <v>20</v>
      </c>
      <c r="Z4011" t="s">
        <v>59</v>
      </c>
      <c r="AA4011" t="s">
        <v>59</v>
      </c>
      <c r="AB4011" t="s">
        <v>59</v>
      </c>
      <c r="AC4011" t="s">
        <v>59</v>
      </c>
      <c r="AD4011" t="s">
        <v>59</v>
      </c>
      <c r="AF4011" s="1">
        <v>39328</v>
      </c>
      <c r="AG4011" t="s">
        <v>125</v>
      </c>
      <c r="AH4011" t="s">
        <v>126</v>
      </c>
      <c r="AI4011" t="str">
        <f>"5006010"</f>
        <v>5006010</v>
      </c>
      <c r="AJ4011" t="s">
        <v>7008</v>
      </c>
      <c r="AK4011">
        <v>2824031620</v>
      </c>
      <c r="AL4011" t="s">
        <v>7009</v>
      </c>
      <c r="AM4011" t="s">
        <v>88</v>
      </c>
      <c r="AN4011" t="s">
        <v>6764</v>
      </c>
      <c r="AO4011" t="s">
        <v>6765</v>
      </c>
      <c r="AP4011" t="s">
        <v>6765</v>
      </c>
      <c r="AQ4011">
        <v>1</v>
      </c>
      <c r="AR4011" t="s">
        <v>6729</v>
      </c>
      <c r="AS4011" t="s">
        <v>6730</v>
      </c>
      <c r="AT4011" t="s">
        <v>58</v>
      </c>
      <c r="AU4011" t="s">
        <v>68</v>
      </c>
      <c r="AV4011" t="s">
        <v>69</v>
      </c>
      <c r="AW4011" s="1">
        <v>28378</v>
      </c>
      <c r="AX4011">
        <v>2</v>
      </c>
    </row>
    <row r="4012" spans="1:50">
      <c r="A4012">
        <v>229911</v>
      </c>
      <c r="B4012" t="str">
        <f>"301756566"</f>
        <v>301756566</v>
      </c>
      <c r="C4012" t="s">
        <v>50</v>
      </c>
      <c r="D4012" t="s">
        <v>7563</v>
      </c>
      <c r="E4012" t="s">
        <v>83</v>
      </c>
      <c r="F4012" t="s">
        <v>95</v>
      </c>
      <c r="G4012" t="s">
        <v>3866</v>
      </c>
      <c r="H4012" t="str">
        <f>"ΑΝΗΛΙΟ ΜΕΤΣΟΒΟΥ "</f>
        <v xml:space="preserve">ΑΝΗΛΙΟ ΜΕΤΣΟΒΟΥ </v>
      </c>
      <c r="I4012">
        <v>44200</v>
      </c>
      <c r="J4012">
        <v>2656042623</v>
      </c>
      <c r="K4012">
        <v>6974719830</v>
      </c>
      <c r="M4012" t="s">
        <v>7564</v>
      </c>
      <c r="N4012" t="s">
        <v>282</v>
      </c>
      <c r="O4012" t="s">
        <v>283</v>
      </c>
      <c r="R4012" t="s">
        <v>57</v>
      </c>
      <c r="S4012">
        <v>9</v>
      </c>
      <c r="T4012">
        <v>4</v>
      </c>
      <c r="U4012" s="1">
        <v>40186</v>
      </c>
      <c r="V4012" t="s">
        <v>6729</v>
      </c>
      <c r="W4012" t="s">
        <v>6730</v>
      </c>
      <c r="X4012" t="s">
        <v>58</v>
      </c>
      <c r="Y4012">
        <v>21</v>
      </c>
      <c r="Z4012" t="s">
        <v>59</v>
      </c>
      <c r="AA4012" t="s">
        <v>59</v>
      </c>
      <c r="AB4012" t="s">
        <v>59</v>
      </c>
      <c r="AC4012" t="s">
        <v>59</v>
      </c>
      <c r="AD4012" t="s">
        <v>59</v>
      </c>
      <c r="AF4012" s="1">
        <v>40189</v>
      </c>
      <c r="AG4012" t="s">
        <v>137</v>
      </c>
      <c r="AH4012" t="s">
        <v>469</v>
      </c>
      <c r="AI4012" t="str">
        <f>"5040055"</f>
        <v>5040055</v>
      </c>
      <c r="AJ4012" t="s">
        <v>6940</v>
      </c>
      <c r="AK4012">
        <v>2821036404</v>
      </c>
      <c r="AL4012" t="s">
        <v>6941</v>
      </c>
      <c r="AM4012" t="s">
        <v>88</v>
      </c>
      <c r="AN4012" t="s">
        <v>88</v>
      </c>
      <c r="AO4012" t="s">
        <v>88</v>
      </c>
      <c r="AP4012" t="s">
        <v>88</v>
      </c>
      <c r="AQ4012">
        <v>1</v>
      </c>
      <c r="AR4012" t="s">
        <v>6729</v>
      </c>
      <c r="AS4012" t="s">
        <v>6730</v>
      </c>
      <c r="AT4012" t="s">
        <v>58</v>
      </c>
      <c r="AU4012" t="s">
        <v>68</v>
      </c>
      <c r="AV4012" t="s">
        <v>69</v>
      </c>
      <c r="AW4012" s="1">
        <v>29891</v>
      </c>
      <c r="AX4012">
        <v>2</v>
      </c>
    </row>
    <row r="4013" spans="1:50">
      <c r="A4013">
        <v>202296</v>
      </c>
      <c r="B4013" t="str">
        <f>"043741533"</f>
        <v>043741533</v>
      </c>
      <c r="C4013" t="s">
        <v>50</v>
      </c>
      <c r="D4013" t="s">
        <v>6124</v>
      </c>
      <c r="E4013" t="s">
        <v>263</v>
      </c>
      <c r="F4013" t="s">
        <v>1023</v>
      </c>
      <c r="G4013" t="s">
        <v>476</v>
      </c>
      <c r="H4013" t="str">
        <f>"ΔΗΜ. ΞΕΡΟΓΙΑΝΝΗ 4 ΧΑΝΙΑ"</f>
        <v>ΔΗΜ. ΞΕΡΟΓΙΑΝΝΗ 4 ΧΑΝΙΑ</v>
      </c>
      <c r="I4013">
        <v>73134</v>
      </c>
      <c r="J4013">
        <v>2821087028</v>
      </c>
      <c r="K4013">
        <v>6946859640</v>
      </c>
      <c r="N4013" t="s">
        <v>292</v>
      </c>
      <c r="O4013" t="s">
        <v>293</v>
      </c>
      <c r="R4013" t="s">
        <v>57</v>
      </c>
      <c r="S4013">
        <v>7</v>
      </c>
      <c r="T4013">
        <v>231</v>
      </c>
      <c r="U4013" s="1">
        <v>38230</v>
      </c>
      <c r="V4013" t="s">
        <v>6729</v>
      </c>
      <c r="W4013" t="s">
        <v>6730</v>
      </c>
      <c r="X4013" t="s">
        <v>58</v>
      </c>
      <c r="Y4013">
        <v>20</v>
      </c>
      <c r="Z4013" t="s">
        <v>59</v>
      </c>
      <c r="AA4013" t="s">
        <v>59</v>
      </c>
      <c r="AB4013" t="s">
        <v>59</v>
      </c>
      <c r="AC4013" t="s">
        <v>59</v>
      </c>
      <c r="AD4013" t="s">
        <v>59</v>
      </c>
      <c r="AF4013" s="1">
        <v>38231</v>
      </c>
      <c r="AG4013" t="s">
        <v>125</v>
      </c>
      <c r="AH4013" t="s">
        <v>126</v>
      </c>
      <c r="AI4013" t="str">
        <f>"5001010"</f>
        <v>5001010</v>
      </c>
      <c r="AJ4013" t="s">
        <v>6873</v>
      </c>
      <c r="AK4013">
        <v>2821052130</v>
      </c>
      <c r="AL4013" t="s">
        <v>6874</v>
      </c>
      <c r="AM4013" t="s">
        <v>88</v>
      </c>
      <c r="AN4013" t="s">
        <v>88</v>
      </c>
      <c r="AO4013" t="s">
        <v>88</v>
      </c>
      <c r="AP4013" t="s">
        <v>88</v>
      </c>
      <c r="AQ4013">
        <v>1</v>
      </c>
      <c r="AR4013" t="s">
        <v>6729</v>
      </c>
      <c r="AS4013" t="s">
        <v>6730</v>
      </c>
      <c r="AT4013" t="s">
        <v>58</v>
      </c>
      <c r="AU4013" t="s">
        <v>68</v>
      </c>
      <c r="AV4013" t="s">
        <v>69</v>
      </c>
      <c r="AW4013" s="1">
        <v>23896</v>
      </c>
      <c r="AX4013">
        <v>2</v>
      </c>
    </row>
    <row r="4014" spans="1:50">
      <c r="A4014">
        <v>223835</v>
      </c>
      <c r="B4014" t="str">
        <f>"105544880"</f>
        <v>105544880</v>
      </c>
      <c r="C4014" t="s">
        <v>105</v>
      </c>
      <c r="D4014" t="s">
        <v>7565</v>
      </c>
      <c r="E4014" t="s">
        <v>84</v>
      </c>
      <c r="F4014" t="s">
        <v>450</v>
      </c>
      <c r="G4014" t="s">
        <v>3137</v>
      </c>
      <c r="H4014" t="str">
        <f>"ΚΟΡΑΚΙΕΣ ΑΚΡΩΤΗΡΙΟΥ ΑΚΡΩΤΗΡΙ ΧΑΝΙΩΝ"</f>
        <v>ΚΟΡΑΚΙΕΣ ΑΚΡΩΤΗΡΙΟΥ ΑΚΡΩΤΗΡΙ ΧΑΝΙΩΝ</v>
      </c>
      <c r="I4014">
        <v>73100</v>
      </c>
      <c r="J4014">
        <v>2821111098</v>
      </c>
      <c r="K4014">
        <v>6973246816</v>
      </c>
      <c r="N4014" t="s">
        <v>1647</v>
      </c>
      <c r="O4014" t="s">
        <v>1648</v>
      </c>
      <c r="R4014" t="s">
        <v>57</v>
      </c>
      <c r="S4014">
        <v>5</v>
      </c>
      <c r="T4014">
        <v>775</v>
      </c>
      <c r="U4014" s="1">
        <v>39680</v>
      </c>
      <c r="V4014" t="s">
        <v>6729</v>
      </c>
      <c r="W4014" t="s">
        <v>6730</v>
      </c>
      <c r="X4014" t="s">
        <v>58</v>
      </c>
      <c r="Y4014">
        <v>21</v>
      </c>
      <c r="Z4014" t="s">
        <v>59</v>
      </c>
      <c r="AA4014" t="s">
        <v>59</v>
      </c>
      <c r="AB4014" t="s">
        <v>59</v>
      </c>
      <c r="AC4014" t="s">
        <v>59</v>
      </c>
      <c r="AD4014" t="s">
        <v>59</v>
      </c>
      <c r="AF4014" s="1">
        <v>39682</v>
      </c>
      <c r="AG4014" t="s">
        <v>125</v>
      </c>
      <c r="AH4014" t="s">
        <v>126</v>
      </c>
      <c r="AI4014" t="str">
        <f>"5001075"</f>
        <v>5001075</v>
      </c>
      <c r="AJ4014" t="s">
        <v>6768</v>
      </c>
      <c r="AK4014">
        <v>2821064200</v>
      </c>
      <c r="AL4014" t="s">
        <v>6769</v>
      </c>
      <c r="AM4014" t="s">
        <v>88</v>
      </c>
      <c r="AN4014" t="s">
        <v>88</v>
      </c>
      <c r="AO4014" t="s">
        <v>6770</v>
      </c>
      <c r="AP4014" t="s">
        <v>6771</v>
      </c>
      <c r="AQ4014">
        <v>1</v>
      </c>
      <c r="AR4014" t="s">
        <v>6729</v>
      </c>
      <c r="AS4014" t="s">
        <v>6730</v>
      </c>
      <c r="AT4014" t="s">
        <v>58</v>
      </c>
      <c r="AU4014" t="s">
        <v>68</v>
      </c>
      <c r="AV4014" t="s">
        <v>69</v>
      </c>
      <c r="AW4014" s="1">
        <v>28266</v>
      </c>
      <c r="AX4014">
        <v>2</v>
      </c>
    </row>
    <row r="4015" spans="1:50">
      <c r="A4015">
        <v>227973</v>
      </c>
      <c r="B4015" t="str">
        <f>"051968371"</f>
        <v>051968371</v>
      </c>
      <c r="C4015" t="s">
        <v>105</v>
      </c>
      <c r="D4015" t="s">
        <v>7566</v>
      </c>
      <c r="E4015" t="s">
        <v>1316</v>
      </c>
      <c r="F4015" t="s">
        <v>965</v>
      </c>
      <c r="G4015" t="s">
        <v>513</v>
      </c>
      <c r="H4015" t="str">
        <f>"ΚΟΛΟΚΟΤΡΩΝΗ 19 ΜΕΛΙΚΗ ΗΜΑΘΙΑΣ"</f>
        <v>ΚΟΛΟΚΟΤΡΩΝΗ 19 ΜΕΛΙΚΗ ΗΜΑΘΙΑΣ</v>
      </c>
      <c r="I4015">
        <v>59031</v>
      </c>
      <c r="J4015">
        <v>2331081345</v>
      </c>
      <c r="K4015">
        <v>6974496260</v>
      </c>
      <c r="M4015" t="s">
        <v>7567</v>
      </c>
      <c r="N4015" t="s">
        <v>176</v>
      </c>
      <c r="O4015" t="s">
        <v>177</v>
      </c>
      <c r="R4015" t="s">
        <v>57</v>
      </c>
      <c r="S4015">
        <v>7</v>
      </c>
      <c r="T4015">
        <v>654</v>
      </c>
      <c r="U4015" s="1">
        <v>40043</v>
      </c>
      <c r="V4015" t="s">
        <v>6729</v>
      </c>
      <c r="W4015" t="s">
        <v>6730</v>
      </c>
      <c r="X4015" t="s">
        <v>58</v>
      </c>
      <c r="Y4015">
        <v>20</v>
      </c>
      <c r="Z4015" t="s">
        <v>59</v>
      </c>
      <c r="AA4015" t="s">
        <v>59</v>
      </c>
      <c r="AB4015" t="s">
        <v>59</v>
      </c>
      <c r="AC4015" t="s">
        <v>59</v>
      </c>
      <c r="AD4015" t="s">
        <v>59</v>
      </c>
      <c r="AF4015" s="1">
        <v>40045</v>
      </c>
      <c r="AG4015" t="s">
        <v>137</v>
      </c>
      <c r="AH4015" t="s">
        <v>138</v>
      </c>
      <c r="AI4015" t="str">
        <f>"5040090"</f>
        <v>5040090</v>
      </c>
      <c r="AJ4015" t="s">
        <v>6757</v>
      </c>
      <c r="AK4015">
        <v>2822022275</v>
      </c>
      <c r="AL4015" t="s">
        <v>6758</v>
      </c>
      <c r="AM4015" t="s">
        <v>88</v>
      </c>
      <c r="AN4015" t="s">
        <v>6744</v>
      </c>
      <c r="AO4015" t="s">
        <v>6744</v>
      </c>
      <c r="AP4015" t="s">
        <v>6744</v>
      </c>
      <c r="AQ4015">
        <v>1</v>
      </c>
      <c r="AR4015" t="s">
        <v>6729</v>
      </c>
      <c r="AS4015" t="s">
        <v>6730</v>
      </c>
      <c r="AT4015" t="s">
        <v>58</v>
      </c>
      <c r="AU4015" t="s">
        <v>68</v>
      </c>
      <c r="AV4015" t="s">
        <v>132</v>
      </c>
      <c r="AW4015" s="1">
        <v>23422</v>
      </c>
      <c r="AX4015">
        <v>2</v>
      </c>
    </row>
    <row r="4016" spans="1:50">
      <c r="A4016">
        <v>185012</v>
      </c>
      <c r="B4016" t="str">
        <f>"050694204"</f>
        <v>050694204</v>
      </c>
      <c r="C4016" t="s">
        <v>105</v>
      </c>
      <c r="D4016" t="s">
        <v>7568</v>
      </c>
      <c r="E4016" t="s">
        <v>7246</v>
      </c>
      <c r="F4016" t="s">
        <v>154</v>
      </c>
      <c r="G4016" t="s">
        <v>7569</v>
      </c>
      <c r="H4016" t="str">
        <f>"ΕΘΝΙΚΗΣ ΑΝΤΙΣΤΑΣΕΩΣ 10, ΜΟΥΡΝΙΕΣ ΧΑΝΙΩΝ"</f>
        <v>ΕΘΝΙΚΗΣ ΑΝΤΙΣΤΑΣΕΩΣ 10, ΜΟΥΡΝΙΕΣ ΧΑΝΙΩΝ</v>
      </c>
      <c r="I4016">
        <v>73300</v>
      </c>
      <c r="J4016">
        <v>2821042452</v>
      </c>
      <c r="K4016">
        <v>6974721626</v>
      </c>
      <c r="M4016" t="s">
        <v>7570</v>
      </c>
      <c r="N4016" t="s">
        <v>337</v>
      </c>
      <c r="O4016" t="s">
        <v>338</v>
      </c>
      <c r="R4016" t="s">
        <v>57</v>
      </c>
      <c r="S4016">
        <v>10</v>
      </c>
      <c r="T4016">
        <v>177</v>
      </c>
      <c r="U4016" s="1">
        <v>36403</v>
      </c>
      <c r="V4016" t="s">
        <v>6729</v>
      </c>
      <c r="W4016" t="s">
        <v>6730</v>
      </c>
      <c r="X4016" t="s">
        <v>58</v>
      </c>
      <c r="Y4016">
        <v>18</v>
      </c>
      <c r="Z4016" t="s">
        <v>59</v>
      </c>
      <c r="AA4016" t="s">
        <v>59</v>
      </c>
      <c r="AB4016" t="s">
        <v>59</v>
      </c>
      <c r="AC4016" t="s">
        <v>59</v>
      </c>
      <c r="AD4016" t="s">
        <v>59</v>
      </c>
      <c r="AF4016" s="1">
        <v>36405</v>
      </c>
      <c r="AG4016" t="s">
        <v>125</v>
      </c>
      <c r="AH4016" t="s">
        <v>126</v>
      </c>
      <c r="AI4016" t="str">
        <f>"5001060"</f>
        <v>5001060</v>
      </c>
      <c r="AJ4016" t="s">
        <v>6914</v>
      </c>
      <c r="AK4016">
        <v>2821091763</v>
      </c>
      <c r="AL4016" t="s">
        <v>6915</v>
      </c>
      <c r="AM4016" t="s">
        <v>88</v>
      </c>
      <c r="AN4016" t="s">
        <v>88</v>
      </c>
      <c r="AO4016" t="s">
        <v>88</v>
      </c>
      <c r="AP4016" t="s">
        <v>88</v>
      </c>
      <c r="AQ4016">
        <v>1</v>
      </c>
      <c r="AR4016" t="s">
        <v>6729</v>
      </c>
      <c r="AS4016" t="s">
        <v>6730</v>
      </c>
      <c r="AT4016" t="s">
        <v>58</v>
      </c>
      <c r="AU4016" t="s">
        <v>68</v>
      </c>
      <c r="AV4016" t="s">
        <v>69</v>
      </c>
      <c r="AW4016" s="1">
        <v>25731</v>
      </c>
      <c r="AX4016">
        <v>2</v>
      </c>
    </row>
    <row r="4017" spans="1:50">
      <c r="A4017">
        <v>194375</v>
      </c>
      <c r="B4017" t="str">
        <f>"053351249"</f>
        <v>053351249</v>
      </c>
      <c r="C4017" t="s">
        <v>50</v>
      </c>
      <c r="D4017" t="s">
        <v>7571</v>
      </c>
      <c r="E4017" t="s">
        <v>340</v>
      </c>
      <c r="F4017" t="s">
        <v>202</v>
      </c>
      <c r="G4017" t="s">
        <v>610</v>
      </c>
      <c r="H4017" t="str">
        <f>" "</f>
        <v xml:space="preserve"> </v>
      </c>
      <c r="J4017">
        <v>2821069412</v>
      </c>
      <c r="K4017">
        <v>6973422572</v>
      </c>
      <c r="N4017" t="s">
        <v>176</v>
      </c>
      <c r="O4017" t="s">
        <v>177</v>
      </c>
      <c r="R4017" t="s">
        <v>57</v>
      </c>
      <c r="S4017">
        <v>10</v>
      </c>
      <c r="T4017">
        <v>193</v>
      </c>
      <c r="U4017" s="1">
        <v>37497</v>
      </c>
      <c r="V4017" t="s">
        <v>6729</v>
      </c>
      <c r="W4017" t="s">
        <v>6730</v>
      </c>
      <c r="X4017" t="s">
        <v>58</v>
      </c>
      <c r="Y4017">
        <v>18</v>
      </c>
      <c r="Z4017" t="s">
        <v>59</v>
      </c>
      <c r="AA4017" t="s">
        <v>59</v>
      </c>
      <c r="AB4017" t="s">
        <v>59</v>
      </c>
      <c r="AC4017" t="s">
        <v>59</v>
      </c>
      <c r="AD4017" t="s">
        <v>59</v>
      </c>
      <c r="AF4017" s="1">
        <v>37502</v>
      </c>
      <c r="AG4017" t="s">
        <v>148</v>
      </c>
      <c r="AH4017" t="s">
        <v>149</v>
      </c>
      <c r="AI4017" t="str">
        <f>"5051030"</f>
        <v>5051030</v>
      </c>
      <c r="AJ4017" t="s">
        <v>6760</v>
      </c>
      <c r="AK4017">
        <v>2821027533</v>
      </c>
      <c r="AL4017" t="s">
        <v>6761</v>
      </c>
      <c r="AM4017" t="s">
        <v>88</v>
      </c>
      <c r="AN4017" t="s">
        <v>88</v>
      </c>
      <c r="AO4017" t="s">
        <v>88</v>
      </c>
      <c r="AP4017" t="s">
        <v>88</v>
      </c>
      <c r="AQ4017">
        <v>1</v>
      </c>
      <c r="AR4017" t="s">
        <v>6729</v>
      </c>
      <c r="AS4017" t="s">
        <v>6730</v>
      </c>
      <c r="AT4017" t="s">
        <v>58</v>
      </c>
      <c r="AU4017" t="s">
        <v>68</v>
      </c>
      <c r="AV4017" t="s">
        <v>69</v>
      </c>
      <c r="AW4017" s="1">
        <v>25565</v>
      </c>
      <c r="AX4017">
        <v>2</v>
      </c>
    </row>
    <row r="4018" spans="1:50">
      <c r="B4018" t="str">
        <f>"045807350"</f>
        <v>045807350</v>
      </c>
      <c r="C4018" t="s">
        <v>50</v>
      </c>
      <c r="D4018" t="s">
        <v>7572</v>
      </c>
      <c r="E4018" t="s">
        <v>7573</v>
      </c>
      <c r="F4018" t="s">
        <v>408</v>
      </c>
      <c r="G4018" t="s">
        <v>382</v>
      </c>
      <c r="H4018" t="str">
        <f>"ΓΑΡΔΙΚΙΟΥ 12 ΚΑΡΔΙΤΣΑ"</f>
        <v>ΓΑΡΔΙΚΙΟΥ 12 ΚΑΡΔΙΤΣΑ</v>
      </c>
      <c r="I4018">
        <v>43100</v>
      </c>
      <c r="J4018">
        <v>2441022829</v>
      </c>
      <c r="K4018">
        <v>6936914139</v>
      </c>
      <c r="N4018" t="s">
        <v>1116</v>
      </c>
      <c r="O4018" t="s">
        <v>1117</v>
      </c>
      <c r="R4018" t="s">
        <v>57</v>
      </c>
      <c r="S4018">
        <v>5</v>
      </c>
      <c r="T4018" t="s">
        <v>1908</v>
      </c>
      <c r="U4018" s="1">
        <v>43368</v>
      </c>
      <c r="V4018" t="s">
        <v>6729</v>
      </c>
      <c r="W4018" t="s">
        <v>6730</v>
      </c>
      <c r="X4018" t="s">
        <v>58</v>
      </c>
      <c r="Y4018">
        <v>21</v>
      </c>
      <c r="Z4018" t="s">
        <v>59</v>
      </c>
      <c r="AA4018" t="s">
        <v>59</v>
      </c>
      <c r="AB4018" t="s">
        <v>59</v>
      </c>
      <c r="AC4018" t="s">
        <v>59</v>
      </c>
      <c r="AD4018" t="s">
        <v>59</v>
      </c>
      <c r="AF4018" s="1">
        <v>43368</v>
      </c>
      <c r="AG4018" t="s">
        <v>125</v>
      </c>
      <c r="AH4018" t="s">
        <v>294</v>
      </c>
      <c r="AI4018" t="str">
        <f>"5012017"</f>
        <v>5012017</v>
      </c>
      <c r="AJ4018" t="s">
        <v>6859</v>
      </c>
      <c r="AK4018">
        <v>2821088065</v>
      </c>
      <c r="AL4018" t="s">
        <v>6860</v>
      </c>
      <c r="AM4018" t="s">
        <v>88</v>
      </c>
      <c r="AN4018" t="s">
        <v>88</v>
      </c>
      <c r="AO4018" t="s">
        <v>88</v>
      </c>
      <c r="AP4018" t="s">
        <v>88</v>
      </c>
      <c r="AQ4018">
        <v>1</v>
      </c>
      <c r="AR4018" t="s">
        <v>6729</v>
      </c>
      <c r="AS4018" t="s">
        <v>6730</v>
      </c>
      <c r="AT4018" t="s">
        <v>58</v>
      </c>
      <c r="AU4018" t="s">
        <v>164</v>
      </c>
      <c r="AV4018" t="s">
        <v>132</v>
      </c>
      <c r="AW4018" s="1">
        <v>26623</v>
      </c>
      <c r="AX4018">
        <v>2</v>
      </c>
    </row>
    <row r="4019" spans="1:50">
      <c r="A4019">
        <v>188698</v>
      </c>
      <c r="B4019" t="str">
        <f>"034624785"</f>
        <v>034624785</v>
      </c>
      <c r="C4019" t="s">
        <v>50</v>
      </c>
      <c r="D4019" t="s">
        <v>7574</v>
      </c>
      <c r="E4019" t="s">
        <v>83</v>
      </c>
      <c r="F4019" t="s">
        <v>1679</v>
      </c>
      <c r="G4019" t="s">
        <v>143</v>
      </c>
      <c r="H4019" t="str">
        <f>"Α.ΑΡΧΟΝΤΑΚΗ ΠΛΑΤΑΝΙΑ"</f>
        <v>Α.ΑΡΧΟΝΤΑΚΗ ΠΛΑΤΑΝΙΑ</v>
      </c>
      <c r="I4019">
        <v>73100</v>
      </c>
      <c r="J4019">
        <v>2821059755</v>
      </c>
      <c r="K4019">
        <v>6906059602</v>
      </c>
      <c r="M4019" t="s">
        <v>7575</v>
      </c>
      <c r="N4019" t="s">
        <v>299</v>
      </c>
      <c r="O4019" t="s">
        <v>300</v>
      </c>
      <c r="R4019" t="s">
        <v>57</v>
      </c>
      <c r="S4019">
        <v>9</v>
      </c>
      <c r="T4019">
        <v>310</v>
      </c>
      <c r="U4019" s="1">
        <v>36833</v>
      </c>
      <c r="V4019" t="s">
        <v>6729</v>
      </c>
      <c r="W4019" t="s">
        <v>6730</v>
      </c>
      <c r="X4019" t="s">
        <v>58</v>
      </c>
      <c r="Y4019">
        <v>20</v>
      </c>
      <c r="Z4019" t="s">
        <v>59</v>
      </c>
      <c r="AA4019" t="s">
        <v>59</v>
      </c>
      <c r="AB4019" t="s">
        <v>59</v>
      </c>
      <c r="AC4019" t="s">
        <v>59</v>
      </c>
      <c r="AD4019" t="s">
        <v>59</v>
      </c>
      <c r="AF4019" s="1">
        <v>36839</v>
      </c>
      <c r="AG4019" t="s">
        <v>137</v>
      </c>
      <c r="AH4019" t="s">
        <v>469</v>
      </c>
      <c r="AI4019" t="str">
        <f>"5053001"</f>
        <v>5053001</v>
      </c>
      <c r="AJ4019" t="s">
        <v>6788</v>
      </c>
      <c r="AK4019">
        <v>2821068020</v>
      </c>
      <c r="AM4019" t="s">
        <v>88</v>
      </c>
      <c r="AN4019" t="s">
        <v>6764</v>
      </c>
      <c r="AO4019" t="s">
        <v>6764</v>
      </c>
      <c r="AP4019" t="s">
        <v>6764</v>
      </c>
      <c r="AQ4019">
        <v>1</v>
      </c>
      <c r="AR4019" t="s">
        <v>6729</v>
      </c>
      <c r="AS4019" t="s">
        <v>6730</v>
      </c>
      <c r="AT4019" t="s">
        <v>58</v>
      </c>
      <c r="AU4019" t="s">
        <v>68</v>
      </c>
      <c r="AV4019" t="s">
        <v>69</v>
      </c>
      <c r="AW4019" s="1">
        <v>22725</v>
      </c>
      <c r="AX4019">
        <v>2</v>
      </c>
    </row>
    <row r="4020" spans="1:50">
      <c r="A4020">
        <v>199940</v>
      </c>
      <c r="B4020" t="str">
        <f>"067175617"</f>
        <v>067175617</v>
      </c>
      <c r="C4020" t="s">
        <v>105</v>
      </c>
      <c r="D4020" t="s">
        <v>7576</v>
      </c>
      <c r="E4020" t="s">
        <v>718</v>
      </c>
      <c r="F4020" t="s">
        <v>95</v>
      </c>
      <c r="G4020" t="s">
        <v>1114</v>
      </c>
      <c r="H4020" t="str">
        <f>"ΑΓΓΕΛΩΝ- ΧΡΥΣΗ ΑΚΤΗ ΧΑΝΙΩΝ"</f>
        <v>ΑΓΓΕΛΩΝ- ΧΡΥΣΗ ΑΚΤΗ ΧΑΝΙΩΝ</v>
      </c>
      <c r="I4020">
        <v>73100</v>
      </c>
      <c r="J4020">
        <v>2381026448</v>
      </c>
      <c r="K4020">
        <v>6977036241</v>
      </c>
      <c r="M4020" t="s">
        <v>7577</v>
      </c>
      <c r="N4020" t="s">
        <v>204</v>
      </c>
      <c r="O4020" t="s">
        <v>205</v>
      </c>
      <c r="R4020" t="s">
        <v>57</v>
      </c>
      <c r="S4020">
        <v>7</v>
      </c>
      <c r="T4020">
        <v>206</v>
      </c>
      <c r="U4020" s="1">
        <v>37866</v>
      </c>
      <c r="V4020" t="s">
        <v>6729</v>
      </c>
      <c r="W4020" t="s">
        <v>6730</v>
      </c>
      <c r="X4020" t="s">
        <v>58</v>
      </c>
      <c r="Y4020">
        <v>20</v>
      </c>
      <c r="Z4020" t="s">
        <v>59</v>
      </c>
      <c r="AA4020" t="s">
        <v>59</v>
      </c>
      <c r="AB4020" t="s">
        <v>59</v>
      </c>
      <c r="AC4020" t="s">
        <v>59</v>
      </c>
      <c r="AD4020" t="s">
        <v>59</v>
      </c>
      <c r="AF4020" s="1">
        <v>37867</v>
      </c>
      <c r="AG4020" t="s">
        <v>125</v>
      </c>
      <c r="AH4020" t="s">
        <v>590</v>
      </c>
      <c r="AI4020" t="str">
        <f>"5011201"</f>
        <v>5011201</v>
      </c>
      <c r="AJ4020" t="s">
        <v>7231</v>
      </c>
      <c r="AK4020">
        <v>2821087122</v>
      </c>
      <c r="AL4020" t="s">
        <v>7232</v>
      </c>
      <c r="AM4020" t="s">
        <v>88</v>
      </c>
      <c r="AN4020" t="s">
        <v>88</v>
      </c>
      <c r="AO4020" t="s">
        <v>88</v>
      </c>
      <c r="AP4020" t="s">
        <v>88</v>
      </c>
      <c r="AR4020" t="s">
        <v>6729</v>
      </c>
      <c r="AS4020" t="s">
        <v>6730</v>
      </c>
      <c r="AT4020" t="s">
        <v>58</v>
      </c>
      <c r="AU4020" t="s">
        <v>68</v>
      </c>
      <c r="AV4020" t="s">
        <v>132</v>
      </c>
      <c r="AW4020" s="1">
        <v>27496</v>
      </c>
      <c r="AX4020">
        <v>2</v>
      </c>
    </row>
    <row r="4021" spans="1:50">
      <c r="A4021">
        <v>223415</v>
      </c>
      <c r="B4021" t="str">
        <f>"074072796"</f>
        <v>074072796</v>
      </c>
      <c r="C4021" t="s">
        <v>105</v>
      </c>
      <c r="D4021" t="s">
        <v>7578</v>
      </c>
      <c r="E4021" t="s">
        <v>72</v>
      </c>
      <c r="F4021" t="s">
        <v>84</v>
      </c>
      <c r="G4021" t="s">
        <v>563</v>
      </c>
      <c r="H4021" t="str">
        <f>" "</f>
        <v xml:space="preserve"> </v>
      </c>
      <c r="J4021">
        <v>2810542321</v>
      </c>
      <c r="K4021">
        <v>6936852562</v>
      </c>
      <c r="M4021" t="s">
        <v>7579</v>
      </c>
      <c r="N4021" t="s">
        <v>232</v>
      </c>
      <c r="O4021" t="s">
        <v>233</v>
      </c>
      <c r="R4021" t="s">
        <v>159</v>
      </c>
      <c r="S4021">
        <v>3</v>
      </c>
      <c r="T4021">
        <v>775</v>
      </c>
      <c r="U4021" s="1">
        <v>39680</v>
      </c>
      <c r="V4021" t="s">
        <v>6729</v>
      </c>
      <c r="W4021" t="s">
        <v>6730</v>
      </c>
      <c r="X4021" t="s">
        <v>58</v>
      </c>
      <c r="Y4021">
        <v>21</v>
      </c>
      <c r="Z4021" t="s">
        <v>59</v>
      </c>
      <c r="AA4021" t="s">
        <v>59</v>
      </c>
      <c r="AB4021" t="s">
        <v>59</v>
      </c>
      <c r="AC4021" t="s">
        <v>59</v>
      </c>
      <c r="AD4021" t="s">
        <v>59</v>
      </c>
      <c r="AF4021" s="1">
        <v>39699</v>
      </c>
      <c r="AG4021" t="s">
        <v>148</v>
      </c>
      <c r="AH4021" t="s">
        <v>149</v>
      </c>
      <c r="AI4021" t="str">
        <f>"5055010"</f>
        <v>5055010</v>
      </c>
      <c r="AJ4021" t="s">
        <v>6868</v>
      </c>
      <c r="AK4021">
        <v>2823041416</v>
      </c>
      <c r="AL4021" t="s">
        <v>6869</v>
      </c>
      <c r="AM4021" t="s">
        <v>88</v>
      </c>
      <c r="AN4021" t="s">
        <v>6824</v>
      </c>
      <c r="AO4021" t="s">
        <v>6870</v>
      </c>
      <c r="AP4021" t="s">
        <v>6871</v>
      </c>
      <c r="AQ4021">
        <v>1</v>
      </c>
      <c r="AR4021" t="s">
        <v>6729</v>
      </c>
      <c r="AS4021" t="s">
        <v>6730</v>
      </c>
      <c r="AT4021" t="s">
        <v>58</v>
      </c>
      <c r="AU4021" t="s">
        <v>68</v>
      </c>
      <c r="AV4021" t="s">
        <v>69</v>
      </c>
      <c r="AW4021" s="1">
        <v>25402</v>
      </c>
      <c r="AX4021">
        <v>2</v>
      </c>
    </row>
    <row r="4022" spans="1:50">
      <c r="A4022">
        <v>204827</v>
      </c>
      <c r="B4022" t="str">
        <f>"071813390"</f>
        <v>071813390</v>
      </c>
      <c r="C4022" t="s">
        <v>105</v>
      </c>
      <c r="D4022" t="s">
        <v>7580</v>
      </c>
      <c r="E4022" t="s">
        <v>450</v>
      </c>
      <c r="F4022" t="s">
        <v>95</v>
      </c>
      <c r="G4022" t="s">
        <v>83</v>
      </c>
      <c r="H4022" t="str">
        <f>" "</f>
        <v xml:space="preserve"> </v>
      </c>
      <c r="J4022">
        <v>2822022329</v>
      </c>
      <c r="K4022">
        <v>6973055862</v>
      </c>
      <c r="M4022" t="s">
        <v>7581</v>
      </c>
      <c r="N4022" t="s">
        <v>331</v>
      </c>
      <c r="O4022" t="s">
        <v>332</v>
      </c>
      <c r="R4022" t="s">
        <v>57</v>
      </c>
      <c r="S4022">
        <v>8</v>
      </c>
      <c r="T4022">
        <v>231</v>
      </c>
      <c r="U4022" s="1">
        <v>38230</v>
      </c>
      <c r="V4022" t="s">
        <v>6729</v>
      </c>
      <c r="W4022" t="s">
        <v>6730</v>
      </c>
      <c r="X4022" t="s">
        <v>58</v>
      </c>
      <c r="Y4022">
        <v>20</v>
      </c>
      <c r="Z4022" t="s">
        <v>59</v>
      </c>
      <c r="AA4022" t="s">
        <v>59</v>
      </c>
      <c r="AB4022" t="s">
        <v>59</v>
      </c>
      <c r="AC4022" t="s">
        <v>59</v>
      </c>
      <c r="AD4022" t="s">
        <v>59</v>
      </c>
      <c r="AF4022" s="1">
        <v>38231</v>
      </c>
      <c r="AG4022" t="s">
        <v>137</v>
      </c>
      <c r="AH4022" t="s">
        <v>138</v>
      </c>
      <c r="AI4022" t="str">
        <f>"5040090"</f>
        <v>5040090</v>
      </c>
      <c r="AJ4022" t="s">
        <v>6757</v>
      </c>
      <c r="AK4022">
        <v>2822022275</v>
      </c>
      <c r="AL4022" t="s">
        <v>6758</v>
      </c>
      <c r="AM4022" t="s">
        <v>88</v>
      </c>
      <c r="AN4022" t="s">
        <v>6744</v>
      </c>
      <c r="AO4022" t="s">
        <v>6744</v>
      </c>
      <c r="AP4022" t="s">
        <v>6744</v>
      </c>
      <c r="AQ4022">
        <v>1</v>
      </c>
      <c r="AR4022" t="s">
        <v>6729</v>
      </c>
      <c r="AS4022" t="s">
        <v>6730</v>
      </c>
      <c r="AT4022" t="s">
        <v>58</v>
      </c>
      <c r="AU4022" t="s">
        <v>68</v>
      </c>
      <c r="AV4022" t="s">
        <v>69</v>
      </c>
      <c r="AW4022" s="1">
        <v>24609</v>
      </c>
      <c r="AX4022">
        <v>2</v>
      </c>
    </row>
    <row r="4023" spans="1:50">
      <c r="A4023">
        <v>216785</v>
      </c>
      <c r="B4023" t="str">
        <f>"120239297"</f>
        <v>120239297</v>
      </c>
      <c r="C4023" t="s">
        <v>50</v>
      </c>
      <c r="D4023" t="s">
        <v>7582</v>
      </c>
      <c r="E4023" t="s">
        <v>1830</v>
      </c>
      <c r="F4023" t="s">
        <v>920</v>
      </c>
      <c r="G4023" t="s">
        <v>181</v>
      </c>
      <c r="H4023" t="str">
        <f>" "</f>
        <v xml:space="preserve"> </v>
      </c>
      <c r="J4023">
        <v>2821054835</v>
      </c>
      <c r="K4023">
        <v>6973616084</v>
      </c>
      <c r="N4023" t="s">
        <v>306</v>
      </c>
      <c r="O4023" t="s">
        <v>307</v>
      </c>
      <c r="R4023" t="s">
        <v>57</v>
      </c>
      <c r="S4023">
        <v>7</v>
      </c>
      <c r="T4023">
        <v>298</v>
      </c>
      <c r="U4023" s="1">
        <v>38985</v>
      </c>
      <c r="V4023" t="s">
        <v>6729</v>
      </c>
      <c r="W4023" t="s">
        <v>6730</v>
      </c>
      <c r="X4023" t="s">
        <v>58</v>
      </c>
      <c r="Y4023">
        <v>21</v>
      </c>
      <c r="Z4023" t="s">
        <v>59</v>
      </c>
      <c r="AA4023" t="s">
        <v>59</v>
      </c>
      <c r="AB4023" t="s">
        <v>59</v>
      </c>
      <c r="AC4023" t="s">
        <v>59</v>
      </c>
      <c r="AD4023" t="s">
        <v>59</v>
      </c>
      <c r="AF4023" s="1">
        <v>39328</v>
      </c>
      <c r="AG4023" t="s">
        <v>148</v>
      </c>
      <c r="AH4023" t="s">
        <v>149</v>
      </c>
      <c r="AI4023" t="str">
        <f>"5059010"</f>
        <v>5059010</v>
      </c>
      <c r="AJ4023" t="s">
        <v>6883</v>
      </c>
      <c r="AK4023">
        <v>2821077166</v>
      </c>
      <c r="AL4023" t="s">
        <v>6884</v>
      </c>
      <c r="AM4023" t="s">
        <v>88</v>
      </c>
      <c r="AN4023" t="s">
        <v>6764</v>
      </c>
      <c r="AO4023" t="s">
        <v>6885</v>
      </c>
      <c r="AP4023" t="s">
        <v>6886</v>
      </c>
      <c r="AQ4023">
        <v>1</v>
      </c>
      <c r="AR4023" t="s">
        <v>6729</v>
      </c>
      <c r="AS4023" t="s">
        <v>6730</v>
      </c>
      <c r="AT4023" t="s">
        <v>58</v>
      </c>
      <c r="AU4023" t="s">
        <v>68</v>
      </c>
      <c r="AV4023" t="s">
        <v>69</v>
      </c>
      <c r="AW4023" s="1">
        <v>29628</v>
      </c>
      <c r="AX4023">
        <v>2</v>
      </c>
    </row>
    <row r="4024" spans="1:50">
      <c r="A4024">
        <v>159296</v>
      </c>
      <c r="B4024" t="str">
        <f>"042623715"</f>
        <v>042623715</v>
      </c>
      <c r="C4024" t="s">
        <v>50</v>
      </c>
      <c r="D4024" t="s">
        <v>7583</v>
      </c>
      <c r="E4024" t="s">
        <v>73</v>
      </c>
      <c r="F4024" t="s">
        <v>106</v>
      </c>
      <c r="G4024" t="s">
        <v>96</v>
      </c>
      <c r="H4024" t="str">
        <f>" "</f>
        <v xml:space="preserve"> </v>
      </c>
      <c r="N4024" t="s">
        <v>146</v>
      </c>
      <c r="O4024" t="s">
        <v>147</v>
      </c>
      <c r="R4024" t="s">
        <v>57</v>
      </c>
      <c r="S4024">
        <v>14</v>
      </c>
      <c r="T4024">
        <v>161</v>
      </c>
      <c r="U4024" s="1">
        <v>33119</v>
      </c>
      <c r="V4024" t="s">
        <v>6729</v>
      </c>
      <c r="W4024" t="s">
        <v>6730</v>
      </c>
      <c r="X4024" t="s">
        <v>58</v>
      </c>
      <c r="Y4024">
        <v>18</v>
      </c>
      <c r="Z4024" t="s">
        <v>59</v>
      </c>
      <c r="AA4024" t="s">
        <v>59</v>
      </c>
      <c r="AB4024" t="s">
        <v>59</v>
      </c>
      <c r="AC4024" t="s">
        <v>59</v>
      </c>
      <c r="AD4024" t="s">
        <v>59</v>
      </c>
      <c r="AF4024" s="1">
        <v>33122</v>
      </c>
      <c r="AG4024" t="s">
        <v>125</v>
      </c>
      <c r="AH4024" t="s">
        <v>126</v>
      </c>
      <c r="AI4024" t="str">
        <f>"5001040"</f>
        <v>5001040</v>
      </c>
      <c r="AJ4024" t="s">
        <v>7126</v>
      </c>
      <c r="AK4024">
        <v>2821088010</v>
      </c>
      <c r="AM4024" t="s">
        <v>88</v>
      </c>
      <c r="AN4024" t="s">
        <v>88</v>
      </c>
      <c r="AO4024" t="s">
        <v>88</v>
      </c>
      <c r="AP4024" t="s">
        <v>88</v>
      </c>
      <c r="AQ4024">
        <v>1</v>
      </c>
      <c r="AR4024" t="s">
        <v>6729</v>
      </c>
      <c r="AS4024" t="s">
        <v>6730</v>
      </c>
      <c r="AT4024" t="s">
        <v>58</v>
      </c>
      <c r="AU4024" t="s">
        <v>68</v>
      </c>
      <c r="AV4024" t="s">
        <v>69</v>
      </c>
      <c r="AW4024" s="1">
        <v>22978</v>
      </c>
      <c r="AX4024">
        <v>2</v>
      </c>
    </row>
    <row r="4025" spans="1:50">
      <c r="A4025">
        <v>227715</v>
      </c>
      <c r="B4025" t="str">
        <f>"032853224"</f>
        <v>032853224</v>
      </c>
      <c r="C4025" t="s">
        <v>50</v>
      </c>
      <c r="D4025" t="s">
        <v>7583</v>
      </c>
      <c r="E4025" t="s">
        <v>7584</v>
      </c>
      <c r="F4025" t="s">
        <v>92</v>
      </c>
      <c r="G4025" t="s">
        <v>755</v>
      </c>
      <c r="H4025" t="str">
        <f>"ΒΟΥΚΟΛΙΕΣ ΧΑΝΙΑ"</f>
        <v>ΒΟΥΚΟΛΙΕΣ ΧΑΝΙΑ</v>
      </c>
      <c r="I4025">
        <v>73002</v>
      </c>
      <c r="J4025">
        <v>2821050274</v>
      </c>
      <c r="K4025">
        <v>6976685358</v>
      </c>
      <c r="L4025">
        <v>2821050274</v>
      </c>
      <c r="M4025" t="s">
        <v>7585</v>
      </c>
      <c r="N4025" t="s">
        <v>288</v>
      </c>
      <c r="O4025" t="s">
        <v>289</v>
      </c>
      <c r="R4025" t="s">
        <v>57</v>
      </c>
      <c r="S4025">
        <v>5</v>
      </c>
      <c r="T4025">
        <v>654</v>
      </c>
      <c r="U4025" s="1">
        <v>40043</v>
      </c>
      <c r="V4025" t="s">
        <v>6729</v>
      </c>
      <c r="W4025" t="s">
        <v>6730</v>
      </c>
      <c r="X4025" t="s">
        <v>58</v>
      </c>
      <c r="Y4025">
        <v>21</v>
      </c>
      <c r="Z4025" t="s">
        <v>59</v>
      </c>
      <c r="AA4025" t="s">
        <v>59</v>
      </c>
      <c r="AB4025" t="s">
        <v>59</v>
      </c>
      <c r="AC4025" t="s">
        <v>59</v>
      </c>
      <c r="AD4025" t="s">
        <v>59</v>
      </c>
      <c r="AF4025" s="1">
        <v>40057</v>
      </c>
      <c r="AG4025" t="s">
        <v>125</v>
      </c>
      <c r="AH4025" t="s">
        <v>126</v>
      </c>
      <c r="AI4025" t="str">
        <f>"5004010"</f>
        <v>5004010</v>
      </c>
      <c r="AJ4025" t="s">
        <v>7166</v>
      </c>
      <c r="AK4025">
        <v>2822022067</v>
      </c>
      <c r="AL4025" t="s">
        <v>7167</v>
      </c>
      <c r="AM4025" t="s">
        <v>88</v>
      </c>
      <c r="AN4025" t="s">
        <v>6744</v>
      </c>
      <c r="AO4025" t="s">
        <v>6744</v>
      </c>
      <c r="AP4025" t="s">
        <v>6744</v>
      </c>
      <c r="AQ4025">
        <v>1</v>
      </c>
      <c r="AR4025" t="s">
        <v>6729</v>
      </c>
      <c r="AS4025" t="s">
        <v>6730</v>
      </c>
      <c r="AT4025" t="s">
        <v>58</v>
      </c>
      <c r="AU4025" t="s">
        <v>68</v>
      </c>
      <c r="AV4025" t="s">
        <v>69</v>
      </c>
      <c r="AW4025" s="1">
        <v>27661</v>
      </c>
      <c r="AX4025">
        <v>2</v>
      </c>
    </row>
    <row r="4026" spans="1:50">
      <c r="A4026">
        <v>176032</v>
      </c>
      <c r="B4026" t="str">
        <f>"063597325"</f>
        <v>063597325</v>
      </c>
      <c r="C4026" t="s">
        <v>50</v>
      </c>
      <c r="D4026" t="s">
        <v>7586</v>
      </c>
      <c r="E4026" t="s">
        <v>396</v>
      </c>
      <c r="F4026" t="s">
        <v>383</v>
      </c>
      <c r="G4026" t="s">
        <v>52</v>
      </c>
      <c r="H4026" t="str">
        <f>" "</f>
        <v xml:space="preserve"> </v>
      </c>
      <c r="J4026">
        <v>2821031168</v>
      </c>
      <c r="K4026">
        <v>6976755105</v>
      </c>
      <c r="M4026" t="s">
        <v>7587</v>
      </c>
      <c r="N4026" t="s">
        <v>232</v>
      </c>
      <c r="O4026" t="s">
        <v>233</v>
      </c>
      <c r="R4026" t="s">
        <v>57</v>
      </c>
      <c r="S4026">
        <v>12</v>
      </c>
      <c r="T4026">
        <v>180</v>
      </c>
      <c r="U4026" s="1">
        <v>35674</v>
      </c>
      <c r="V4026" t="s">
        <v>6729</v>
      </c>
      <c r="W4026" t="s">
        <v>6730</v>
      </c>
      <c r="X4026" t="s">
        <v>58</v>
      </c>
      <c r="Y4026">
        <v>18</v>
      </c>
      <c r="Z4026" t="s">
        <v>59</v>
      </c>
      <c r="AA4026" t="s">
        <v>59</v>
      </c>
      <c r="AB4026" t="s">
        <v>59</v>
      </c>
      <c r="AC4026" t="s">
        <v>59</v>
      </c>
      <c r="AD4026" t="s">
        <v>59</v>
      </c>
      <c r="AF4026" s="1">
        <v>35678</v>
      </c>
      <c r="AG4026" t="s">
        <v>125</v>
      </c>
      <c r="AH4026" t="s">
        <v>126</v>
      </c>
      <c r="AI4026" t="str">
        <f>"5009010"</f>
        <v>5009010</v>
      </c>
      <c r="AJ4026" t="s">
        <v>6901</v>
      </c>
      <c r="AK4026">
        <v>2821077212</v>
      </c>
      <c r="AL4026" t="s">
        <v>6902</v>
      </c>
      <c r="AM4026" t="s">
        <v>88</v>
      </c>
      <c r="AN4026" t="s">
        <v>6764</v>
      </c>
      <c r="AO4026" t="s">
        <v>6885</v>
      </c>
      <c r="AP4026" t="s">
        <v>6886</v>
      </c>
      <c r="AQ4026">
        <v>1</v>
      </c>
      <c r="AR4026" t="s">
        <v>6729</v>
      </c>
      <c r="AS4026" t="s">
        <v>6730</v>
      </c>
      <c r="AT4026" t="s">
        <v>58</v>
      </c>
      <c r="AU4026" t="s">
        <v>68</v>
      </c>
      <c r="AV4026" t="s">
        <v>69</v>
      </c>
      <c r="AW4026" s="1">
        <v>21497</v>
      </c>
      <c r="AX4026">
        <v>2</v>
      </c>
    </row>
    <row r="4027" spans="1:50">
      <c r="A4027">
        <v>702354</v>
      </c>
      <c r="B4027" t="str">
        <f>"131979674"</f>
        <v>131979674</v>
      </c>
      <c r="C4027" t="s">
        <v>50</v>
      </c>
      <c r="D4027" t="s">
        <v>6142</v>
      </c>
      <c r="E4027" t="s">
        <v>7588</v>
      </c>
      <c r="F4027" t="s">
        <v>609</v>
      </c>
      <c r="G4027" t="s">
        <v>7589</v>
      </c>
      <c r="H4027" t="str">
        <f>"ΚΕΚΡΟΠΙΑΣ "</f>
        <v xml:space="preserve">ΚΕΚΡΟΠΙΑΣ </v>
      </c>
      <c r="I4027">
        <v>73100</v>
      </c>
      <c r="J4027">
        <v>2821034325</v>
      </c>
      <c r="K4027">
        <v>6974839110</v>
      </c>
      <c r="N4027" t="s">
        <v>146</v>
      </c>
      <c r="O4027" t="s">
        <v>147</v>
      </c>
      <c r="R4027" t="s">
        <v>57</v>
      </c>
      <c r="S4027">
        <v>6</v>
      </c>
      <c r="T4027">
        <v>772</v>
      </c>
      <c r="U4027" s="1">
        <v>40413</v>
      </c>
      <c r="V4027" t="s">
        <v>6729</v>
      </c>
      <c r="W4027" t="s">
        <v>6730</v>
      </c>
      <c r="X4027" t="s">
        <v>58</v>
      </c>
      <c r="Y4027">
        <v>21</v>
      </c>
      <c r="Z4027" t="s">
        <v>59</v>
      </c>
      <c r="AA4027" t="s">
        <v>59</v>
      </c>
      <c r="AB4027" t="s">
        <v>59</v>
      </c>
      <c r="AC4027" t="s">
        <v>59</v>
      </c>
      <c r="AD4027" t="s">
        <v>59</v>
      </c>
      <c r="AF4027" s="1">
        <v>40422</v>
      </c>
      <c r="AG4027" t="s">
        <v>148</v>
      </c>
      <c r="AH4027" t="s">
        <v>149</v>
      </c>
      <c r="AI4027" t="str">
        <f>"5058010"</f>
        <v>5058010</v>
      </c>
      <c r="AJ4027" t="s">
        <v>7431</v>
      </c>
      <c r="AK4027">
        <v>2825091037</v>
      </c>
      <c r="AL4027" t="s">
        <v>7432</v>
      </c>
      <c r="AM4027" t="s">
        <v>88</v>
      </c>
      <c r="AN4027" t="s">
        <v>6995</v>
      </c>
      <c r="AO4027" t="s">
        <v>6995</v>
      </c>
      <c r="AP4027" t="s">
        <v>6996</v>
      </c>
      <c r="AQ4027">
        <v>1</v>
      </c>
      <c r="AR4027" t="s">
        <v>6729</v>
      </c>
      <c r="AS4027" t="s">
        <v>6730</v>
      </c>
      <c r="AT4027" t="s">
        <v>58</v>
      </c>
      <c r="AU4027" t="s">
        <v>68</v>
      </c>
      <c r="AV4027" t="s">
        <v>69</v>
      </c>
      <c r="AW4027" s="1">
        <v>28572</v>
      </c>
      <c r="AX4027">
        <v>2</v>
      </c>
    </row>
    <row r="4028" spans="1:50">
      <c r="A4028">
        <v>197221</v>
      </c>
      <c r="B4028" t="str">
        <f>"051671919"</f>
        <v>051671919</v>
      </c>
      <c r="C4028" t="s">
        <v>50</v>
      </c>
      <c r="D4028" t="s">
        <v>7590</v>
      </c>
      <c r="E4028" t="s">
        <v>681</v>
      </c>
      <c r="F4028" t="s">
        <v>1679</v>
      </c>
      <c r="G4028" t="s">
        <v>7591</v>
      </c>
      <c r="H4028" t="str">
        <f>" "</f>
        <v xml:space="preserve"> </v>
      </c>
      <c r="J4028">
        <v>2821031562</v>
      </c>
      <c r="K4028">
        <v>6978117649</v>
      </c>
      <c r="N4028" t="s">
        <v>146</v>
      </c>
      <c r="O4028" t="s">
        <v>147</v>
      </c>
      <c r="R4028" t="s">
        <v>57</v>
      </c>
      <c r="S4028">
        <v>7</v>
      </c>
      <c r="T4028">
        <v>206</v>
      </c>
      <c r="U4028" s="1">
        <v>37866</v>
      </c>
      <c r="V4028" t="s">
        <v>6729</v>
      </c>
      <c r="W4028" t="s">
        <v>6730</v>
      </c>
      <c r="X4028" t="s">
        <v>58</v>
      </c>
      <c r="Y4028">
        <v>20</v>
      </c>
      <c r="Z4028" t="s">
        <v>59</v>
      </c>
      <c r="AA4028" t="s">
        <v>59</v>
      </c>
      <c r="AB4028" t="s">
        <v>59</v>
      </c>
      <c r="AC4028" t="s">
        <v>59</v>
      </c>
      <c r="AD4028" t="s">
        <v>59</v>
      </c>
      <c r="AF4028" s="1">
        <v>37866</v>
      </c>
      <c r="AG4028" t="s">
        <v>148</v>
      </c>
      <c r="AH4028" t="s">
        <v>149</v>
      </c>
      <c r="AI4028" t="str">
        <f>"5061010"</f>
        <v>5061010</v>
      </c>
      <c r="AJ4028" t="s">
        <v>6746</v>
      </c>
      <c r="AK4028">
        <v>2821081530</v>
      </c>
      <c r="AL4028" t="s">
        <v>6747</v>
      </c>
      <c r="AM4028" t="s">
        <v>88</v>
      </c>
      <c r="AN4028" t="s">
        <v>88</v>
      </c>
      <c r="AO4028" t="s">
        <v>6748</v>
      </c>
      <c r="AP4028" t="s">
        <v>6748</v>
      </c>
      <c r="AQ4028">
        <v>1</v>
      </c>
      <c r="AR4028" t="s">
        <v>6729</v>
      </c>
      <c r="AS4028" t="s">
        <v>6730</v>
      </c>
      <c r="AT4028" t="s">
        <v>58</v>
      </c>
      <c r="AU4028" t="s">
        <v>68</v>
      </c>
      <c r="AV4028" t="s">
        <v>69</v>
      </c>
      <c r="AW4028" s="1">
        <v>25436</v>
      </c>
      <c r="AX4028">
        <v>2</v>
      </c>
    </row>
    <row r="4029" spans="1:50">
      <c r="B4029" t="str">
        <f>"066847152"</f>
        <v>066847152</v>
      </c>
      <c r="C4029" t="s">
        <v>105</v>
      </c>
      <c r="D4029" t="s">
        <v>2290</v>
      </c>
      <c r="E4029" t="s">
        <v>377</v>
      </c>
      <c r="F4029" t="s">
        <v>95</v>
      </c>
      <c r="G4029" t="s">
        <v>181</v>
      </c>
      <c r="H4029" t="str">
        <f>"ΚΑΘΙΑΝΑ ΑΚΡΩΤΗΡΙΟΥ ΧΑΝΙΑ"</f>
        <v>ΚΑΘΙΑΝΑ ΑΚΡΩΤΗΡΙΟΥ ΧΑΝΙΑ</v>
      </c>
      <c r="I4029">
        <v>73100</v>
      </c>
      <c r="J4029">
        <v>2821066294</v>
      </c>
      <c r="K4029">
        <v>6977589158</v>
      </c>
      <c r="M4029" t="s">
        <v>7592</v>
      </c>
      <c r="N4029" t="s">
        <v>292</v>
      </c>
      <c r="O4029" t="s">
        <v>293</v>
      </c>
      <c r="R4029" t="s">
        <v>159</v>
      </c>
      <c r="S4029">
        <v>4</v>
      </c>
      <c r="T4029" t="s">
        <v>416</v>
      </c>
      <c r="U4029" s="1">
        <v>43349</v>
      </c>
      <c r="V4029" t="s">
        <v>6729</v>
      </c>
      <c r="W4029" t="s">
        <v>6730</v>
      </c>
      <c r="X4029" t="s">
        <v>58</v>
      </c>
      <c r="Y4029">
        <v>21</v>
      </c>
      <c r="Z4029" t="s">
        <v>59</v>
      </c>
      <c r="AA4029" t="s">
        <v>59</v>
      </c>
      <c r="AB4029" t="s">
        <v>59</v>
      </c>
      <c r="AC4029" t="s">
        <v>59</v>
      </c>
      <c r="AD4029" t="s">
        <v>59</v>
      </c>
      <c r="AF4029" s="1">
        <v>43349</v>
      </c>
      <c r="AG4029" t="s">
        <v>125</v>
      </c>
      <c r="AH4029" t="s">
        <v>126</v>
      </c>
      <c r="AI4029" t="str">
        <f>"5005010"</f>
        <v>5005010</v>
      </c>
      <c r="AJ4029" t="s">
        <v>7100</v>
      </c>
      <c r="AK4029">
        <v>2823041217</v>
      </c>
      <c r="AL4029" t="s">
        <v>7101</v>
      </c>
      <c r="AM4029" t="s">
        <v>88</v>
      </c>
      <c r="AN4029" t="s">
        <v>6824</v>
      </c>
      <c r="AO4029" t="s">
        <v>6870</v>
      </c>
      <c r="AP4029" t="s">
        <v>6871</v>
      </c>
      <c r="AQ4029">
        <v>1</v>
      </c>
      <c r="AR4029" t="s">
        <v>6729</v>
      </c>
      <c r="AS4029" t="s">
        <v>6730</v>
      </c>
      <c r="AT4029" t="s">
        <v>58</v>
      </c>
      <c r="AU4029" t="s">
        <v>419</v>
      </c>
      <c r="AV4029" t="s">
        <v>132</v>
      </c>
      <c r="AW4029" s="1">
        <v>28626</v>
      </c>
      <c r="AX4029">
        <v>2</v>
      </c>
    </row>
    <row r="4030" spans="1:50">
      <c r="A4030">
        <v>197223</v>
      </c>
      <c r="B4030" t="str">
        <f>"055181541"</f>
        <v>055181541</v>
      </c>
      <c r="C4030" t="s">
        <v>50</v>
      </c>
      <c r="D4030" t="s">
        <v>2305</v>
      </c>
      <c r="E4030" t="s">
        <v>5386</v>
      </c>
      <c r="F4030" t="s">
        <v>5041</v>
      </c>
      <c r="G4030" t="s">
        <v>52</v>
      </c>
      <c r="H4030" t="str">
        <f>"ΦΟΙΝΙΚΟΥΝΤΑΣ  ΚΟΥΝΟΥΠΙΔΙΑΝΑ"</f>
        <v>ΦΟΙΝΙΚΟΥΝΤΑΣ  ΚΟΥΝΟΥΠΙΔΙΑΝΑ</v>
      </c>
      <c r="I4030">
        <v>73142</v>
      </c>
      <c r="J4030">
        <v>2810260611</v>
      </c>
      <c r="K4030">
        <v>6972840992</v>
      </c>
      <c r="L4030">
        <v>2821049562</v>
      </c>
      <c r="N4030" t="s">
        <v>146</v>
      </c>
      <c r="O4030" t="s">
        <v>147</v>
      </c>
      <c r="R4030" t="s">
        <v>57</v>
      </c>
      <c r="S4030">
        <v>7</v>
      </c>
      <c r="T4030">
        <v>206</v>
      </c>
      <c r="U4030" s="1">
        <v>37866</v>
      </c>
      <c r="V4030" t="s">
        <v>6729</v>
      </c>
      <c r="W4030" t="s">
        <v>6730</v>
      </c>
      <c r="X4030" t="s">
        <v>58</v>
      </c>
      <c r="Y4030">
        <v>21</v>
      </c>
      <c r="Z4030" t="s">
        <v>59</v>
      </c>
      <c r="AA4030" t="s">
        <v>59</v>
      </c>
      <c r="AB4030" t="s">
        <v>59</v>
      </c>
      <c r="AC4030" t="s">
        <v>59</v>
      </c>
      <c r="AD4030" t="s">
        <v>59</v>
      </c>
      <c r="AF4030" s="1">
        <v>37866</v>
      </c>
      <c r="AG4030" t="s">
        <v>125</v>
      </c>
      <c r="AH4030" t="s">
        <v>126</v>
      </c>
      <c r="AI4030" t="str">
        <f>"5001075"</f>
        <v>5001075</v>
      </c>
      <c r="AJ4030" t="s">
        <v>6768</v>
      </c>
      <c r="AK4030">
        <v>2821064200</v>
      </c>
      <c r="AL4030" t="s">
        <v>6769</v>
      </c>
      <c r="AM4030" t="s">
        <v>88</v>
      </c>
      <c r="AN4030" t="s">
        <v>88</v>
      </c>
      <c r="AO4030" t="s">
        <v>6770</v>
      </c>
      <c r="AP4030" t="s">
        <v>6771</v>
      </c>
      <c r="AQ4030">
        <v>1</v>
      </c>
      <c r="AR4030" t="s">
        <v>6729</v>
      </c>
      <c r="AS4030" t="s">
        <v>6730</v>
      </c>
      <c r="AT4030" t="s">
        <v>58</v>
      </c>
      <c r="AU4030" t="s">
        <v>68</v>
      </c>
      <c r="AV4030" t="s">
        <v>69</v>
      </c>
      <c r="AW4030" s="1">
        <v>26340</v>
      </c>
      <c r="AX4030">
        <v>2</v>
      </c>
    </row>
    <row r="4031" spans="1:50">
      <c r="A4031">
        <v>186231</v>
      </c>
      <c r="B4031" t="str">
        <f>"054099258"</f>
        <v>054099258</v>
      </c>
      <c r="C4031" t="s">
        <v>105</v>
      </c>
      <c r="D4031" t="s">
        <v>7593</v>
      </c>
      <c r="E4031" t="s">
        <v>95</v>
      </c>
      <c r="F4031" t="s">
        <v>1679</v>
      </c>
      <c r="G4031" t="s">
        <v>73</v>
      </c>
      <c r="H4031" t="str">
        <f>"Ν. ΙΩΝΙΑΣ 3 ΜΟΥΡΝΙΕΣ"</f>
        <v>Ν. ΙΩΝΙΑΣ 3 ΜΟΥΡΝΙΕΣ</v>
      </c>
      <c r="I4031">
        <v>73300</v>
      </c>
      <c r="J4031">
        <v>2821098233</v>
      </c>
      <c r="K4031">
        <v>6973023948</v>
      </c>
      <c r="M4031" t="s">
        <v>7594</v>
      </c>
      <c r="N4031" t="s">
        <v>176</v>
      </c>
      <c r="O4031" t="s">
        <v>177</v>
      </c>
      <c r="R4031" t="s">
        <v>57</v>
      </c>
      <c r="S4031">
        <v>10</v>
      </c>
      <c r="T4031">
        <v>250</v>
      </c>
      <c r="U4031" s="1">
        <v>36769</v>
      </c>
      <c r="V4031" t="s">
        <v>6729</v>
      </c>
      <c r="W4031" t="s">
        <v>6730</v>
      </c>
      <c r="X4031" t="s">
        <v>58</v>
      </c>
      <c r="Y4031">
        <v>18</v>
      </c>
      <c r="Z4031" t="s">
        <v>59</v>
      </c>
      <c r="AA4031" t="s">
        <v>59</v>
      </c>
      <c r="AB4031" t="s">
        <v>59</v>
      </c>
      <c r="AC4031" t="s">
        <v>59</v>
      </c>
      <c r="AD4031" t="s">
        <v>59</v>
      </c>
      <c r="AF4031" s="1">
        <v>36770</v>
      </c>
      <c r="AG4031" t="s">
        <v>125</v>
      </c>
      <c r="AH4031" t="s">
        <v>126</v>
      </c>
      <c r="AI4031" t="str">
        <f>"5006010"</f>
        <v>5006010</v>
      </c>
      <c r="AJ4031" t="s">
        <v>7008</v>
      </c>
      <c r="AK4031">
        <v>2824031620</v>
      </c>
      <c r="AL4031" t="s">
        <v>7009</v>
      </c>
      <c r="AM4031" t="s">
        <v>88</v>
      </c>
      <c r="AN4031" t="s">
        <v>6764</v>
      </c>
      <c r="AO4031" t="s">
        <v>6765</v>
      </c>
      <c r="AP4031" t="s">
        <v>6765</v>
      </c>
      <c r="AQ4031">
        <v>1</v>
      </c>
      <c r="AR4031" t="s">
        <v>6729</v>
      </c>
      <c r="AS4031" t="s">
        <v>6730</v>
      </c>
      <c r="AT4031" t="s">
        <v>58</v>
      </c>
      <c r="AU4031" t="s">
        <v>68</v>
      </c>
      <c r="AV4031" t="s">
        <v>69</v>
      </c>
      <c r="AW4031" s="1">
        <v>24993</v>
      </c>
      <c r="AX4031">
        <v>2</v>
      </c>
    </row>
    <row r="4032" spans="1:50">
      <c r="A4032">
        <v>208152</v>
      </c>
      <c r="B4032" t="str">
        <f>"050293513"</f>
        <v>050293513</v>
      </c>
      <c r="C4032" t="s">
        <v>105</v>
      </c>
      <c r="D4032" t="s">
        <v>7593</v>
      </c>
      <c r="E4032" t="s">
        <v>166</v>
      </c>
      <c r="F4032" t="s">
        <v>1679</v>
      </c>
      <c r="G4032" t="s">
        <v>73</v>
      </c>
      <c r="H4032" t="str">
        <f>" "</f>
        <v xml:space="preserve"> </v>
      </c>
      <c r="J4032">
        <v>2821071811</v>
      </c>
      <c r="K4032">
        <v>6944592900</v>
      </c>
      <c r="M4032" t="s">
        <v>7595</v>
      </c>
      <c r="N4032" t="s">
        <v>176</v>
      </c>
      <c r="O4032" t="s">
        <v>177</v>
      </c>
      <c r="R4032" t="s">
        <v>57</v>
      </c>
      <c r="S4032">
        <v>9</v>
      </c>
      <c r="T4032">
        <v>218</v>
      </c>
      <c r="U4032" s="1">
        <v>38596</v>
      </c>
      <c r="V4032" t="s">
        <v>6729</v>
      </c>
      <c r="W4032" t="s">
        <v>6730</v>
      </c>
      <c r="X4032" t="s">
        <v>58</v>
      </c>
      <c r="Y4032">
        <v>20</v>
      </c>
      <c r="Z4032" t="s">
        <v>59</v>
      </c>
      <c r="AA4032" t="s">
        <v>59</v>
      </c>
      <c r="AB4032" t="s">
        <v>59</v>
      </c>
      <c r="AC4032" t="s">
        <v>59</v>
      </c>
      <c r="AD4032" t="s">
        <v>59</v>
      </c>
      <c r="AF4032" s="1">
        <v>38603</v>
      </c>
      <c r="AG4032" t="s">
        <v>125</v>
      </c>
      <c r="AH4032" t="s">
        <v>126</v>
      </c>
      <c r="AI4032" t="str">
        <f>"5006010"</f>
        <v>5006010</v>
      </c>
      <c r="AJ4032" t="s">
        <v>7008</v>
      </c>
      <c r="AK4032">
        <v>2824031620</v>
      </c>
      <c r="AL4032" t="s">
        <v>7009</v>
      </c>
      <c r="AM4032" t="s">
        <v>88</v>
      </c>
      <c r="AN4032" t="s">
        <v>6764</v>
      </c>
      <c r="AO4032" t="s">
        <v>6765</v>
      </c>
      <c r="AP4032" t="s">
        <v>6765</v>
      </c>
      <c r="AQ4032">
        <v>1</v>
      </c>
      <c r="AR4032" t="s">
        <v>6729</v>
      </c>
      <c r="AS4032" t="s">
        <v>6730</v>
      </c>
      <c r="AT4032" t="s">
        <v>58</v>
      </c>
      <c r="AU4032" t="s">
        <v>68</v>
      </c>
      <c r="AV4032" t="s">
        <v>69</v>
      </c>
      <c r="AW4032" s="1">
        <v>23396</v>
      </c>
      <c r="AX4032">
        <v>2</v>
      </c>
    </row>
    <row r="4033" spans="1:50">
      <c r="A4033">
        <v>703946</v>
      </c>
      <c r="B4033" t="str">
        <f>"101780768"</f>
        <v>101780768</v>
      </c>
      <c r="C4033" t="s">
        <v>50</v>
      </c>
      <c r="D4033" t="s">
        <v>7596</v>
      </c>
      <c r="E4033" t="s">
        <v>4663</v>
      </c>
      <c r="F4033" t="s">
        <v>1559</v>
      </c>
      <c r="G4033" t="s">
        <v>396</v>
      </c>
      <c r="H4033" t="str">
        <f>"ΣΩΣΤΡΑΤΟΥ 27 ΠΑΤΡΑ"</f>
        <v>ΣΩΣΤΡΑΤΟΥ 27 ΠΑΤΡΑ</v>
      </c>
      <c r="I4033">
        <v>26442</v>
      </c>
      <c r="J4033">
        <v>2610428727</v>
      </c>
      <c r="K4033">
        <v>6942607080</v>
      </c>
      <c r="N4033" t="s">
        <v>306</v>
      </c>
      <c r="O4033" t="s">
        <v>307</v>
      </c>
      <c r="R4033" t="s">
        <v>121</v>
      </c>
      <c r="S4033">
        <v>6</v>
      </c>
      <c r="T4033" t="s">
        <v>3204</v>
      </c>
      <c r="U4033" s="1">
        <v>40413</v>
      </c>
      <c r="V4033" t="s">
        <v>6729</v>
      </c>
      <c r="W4033" t="s">
        <v>6730</v>
      </c>
      <c r="X4033" t="s">
        <v>58</v>
      </c>
      <c r="Y4033">
        <v>21</v>
      </c>
      <c r="Z4033" t="s">
        <v>59</v>
      </c>
      <c r="AA4033" t="s">
        <v>59</v>
      </c>
      <c r="AB4033" t="s">
        <v>59</v>
      </c>
      <c r="AC4033" t="s">
        <v>59</v>
      </c>
      <c r="AD4033" t="s">
        <v>59</v>
      </c>
      <c r="AF4033" s="1">
        <v>42716</v>
      </c>
      <c r="AG4033" t="s">
        <v>125</v>
      </c>
      <c r="AH4033" t="s">
        <v>126</v>
      </c>
      <c r="AI4033" t="str">
        <f>"5008010"</f>
        <v>5008010</v>
      </c>
      <c r="AJ4033" t="s">
        <v>6993</v>
      </c>
      <c r="AK4033">
        <v>2825091207</v>
      </c>
      <c r="AL4033" t="s">
        <v>6994</v>
      </c>
      <c r="AM4033" t="s">
        <v>88</v>
      </c>
      <c r="AN4033" t="s">
        <v>6995</v>
      </c>
      <c r="AO4033" t="s">
        <v>6995</v>
      </c>
      <c r="AP4033" t="s">
        <v>6996</v>
      </c>
      <c r="AQ4033">
        <v>1</v>
      </c>
      <c r="AR4033" t="s">
        <v>6729</v>
      </c>
      <c r="AS4033" t="s">
        <v>6730</v>
      </c>
      <c r="AT4033" t="s">
        <v>58</v>
      </c>
      <c r="AU4033" t="s">
        <v>68</v>
      </c>
      <c r="AV4033" t="s">
        <v>69</v>
      </c>
      <c r="AW4033" s="1">
        <v>29864</v>
      </c>
      <c r="AX4033">
        <v>2</v>
      </c>
    </row>
    <row r="4034" spans="1:50">
      <c r="B4034" t="str">
        <f>"113175431"</f>
        <v>113175431</v>
      </c>
      <c r="C4034" t="s">
        <v>50</v>
      </c>
      <c r="D4034" t="s">
        <v>7597</v>
      </c>
      <c r="E4034" t="s">
        <v>7598</v>
      </c>
      <c r="F4034" t="s">
        <v>510</v>
      </c>
      <c r="G4034" t="s">
        <v>7599</v>
      </c>
      <c r="H4034" t="str">
        <f>"ΠΛΑΚΟΥΡΕΣ ΑΚΡΩΤΗΡΙΟΥ ΧΑΝΙΑ"</f>
        <v>ΠΛΑΚΟΥΡΕΣ ΑΚΡΩΤΗΡΙΟΥ ΧΑΝΙΑ</v>
      </c>
      <c r="I4034">
        <v>73100</v>
      </c>
      <c r="J4034">
        <v>2821066610</v>
      </c>
      <c r="K4034">
        <v>6973353167</v>
      </c>
      <c r="M4034" t="s">
        <v>7600</v>
      </c>
      <c r="N4034" t="s">
        <v>292</v>
      </c>
      <c r="O4034" t="s">
        <v>293</v>
      </c>
      <c r="R4034" t="s">
        <v>159</v>
      </c>
      <c r="S4034">
        <v>2</v>
      </c>
      <c r="T4034" t="s">
        <v>574</v>
      </c>
      <c r="U4034" s="1">
        <v>43378</v>
      </c>
      <c r="V4034" t="s">
        <v>6729</v>
      </c>
      <c r="W4034" t="s">
        <v>6730</v>
      </c>
      <c r="X4034" t="s">
        <v>58</v>
      </c>
      <c r="Y4034">
        <v>23</v>
      </c>
      <c r="Z4034" t="s">
        <v>59</v>
      </c>
      <c r="AA4034" t="s">
        <v>59</v>
      </c>
      <c r="AB4034" t="s">
        <v>59</v>
      </c>
      <c r="AC4034" t="s">
        <v>59</v>
      </c>
      <c r="AD4034" t="s">
        <v>59</v>
      </c>
      <c r="AF4034" s="1">
        <v>43381</v>
      </c>
      <c r="AG4034" t="s">
        <v>137</v>
      </c>
      <c r="AH4034" t="s">
        <v>138</v>
      </c>
      <c r="AI4034" t="str">
        <f>"5040090"</f>
        <v>5040090</v>
      </c>
      <c r="AJ4034" t="s">
        <v>6757</v>
      </c>
      <c r="AK4034">
        <v>2822022275</v>
      </c>
      <c r="AL4034" t="s">
        <v>6758</v>
      </c>
      <c r="AM4034" t="s">
        <v>88</v>
      </c>
      <c r="AN4034" t="s">
        <v>6744</v>
      </c>
      <c r="AO4034" t="s">
        <v>6744</v>
      </c>
      <c r="AP4034" t="s">
        <v>6744</v>
      </c>
      <c r="AQ4034">
        <v>1</v>
      </c>
      <c r="AR4034" t="s">
        <v>6729</v>
      </c>
      <c r="AS4034" t="s">
        <v>6730</v>
      </c>
      <c r="AT4034" t="s">
        <v>58</v>
      </c>
      <c r="AU4034" t="s">
        <v>164</v>
      </c>
      <c r="AV4034" t="s">
        <v>132</v>
      </c>
      <c r="AW4034" s="1">
        <v>28416</v>
      </c>
      <c r="AX4034">
        <v>2</v>
      </c>
    </row>
    <row r="4035" spans="1:50">
      <c r="A4035">
        <v>209896</v>
      </c>
      <c r="B4035" t="str">
        <f>"065737358"</f>
        <v>065737358</v>
      </c>
      <c r="C4035" t="s">
        <v>50</v>
      </c>
      <c r="D4035" t="s">
        <v>7597</v>
      </c>
      <c r="E4035" t="s">
        <v>52</v>
      </c>
      <c r="F4035" t="s">
        <v>510</v>
      </c>
      <c r="G4035" t="s">
        <v>7601</v>
      </c>
      <c r="H4035" t="str">
        <f>"ΠΛΟΥΤΩΝΟΣ 10 "</f>
        <v xml:space="preserve">ΠΛΟΥΤΩΝΟΣ 10 </v>
      </c>
      <c r="I4035">
        <v>42100</v>
      </c>
      <c r="J4035">
        <v>2431027306</v>
      </c>
      <c r="K4035">
        <v>6973353168</v>
      </c>
      <c r="M4035" t="s">
        <v>7602</v>
      </c>
      <c r="N4035" t="s">
        <v>292</v>
      </c>
      <c r="O4035" t="s">
        <v>293</v>
      </c>
      <c r="R4035" t="s">
        <v>57</v>
      </c>
      <c r="S4035">
        <v>6</v>
      </c>
      <c r="T4035" t="s">
        <v>7603</v>
      </c>
      <c r="U4035" s="1">
        <v>38607</v>
      </c>
      <c r="V4035" t="s">
        <v>6729</v>
      </c>
      <c r="W4035" t="s">
        <v>6730</v>
      </c>
      <c r="X4035" t="s">
        <v>58</v>
      </c>
      <c r="Y4035">
        <v>20</v>
      </c>
      <c r="Z4035" t="s">
        <v>59</v>
      </c>
      <c r="AA4035" t="s">
        <v>59</v>
      </c>
      <c r="AB4035" t="s">
        <v>59</v>
      </c>
      <c r="AC4035" t="s">
        <v>59</v>
      </c>
      <c r="AD4035" t="s">
        <v>59</v>
      </c>
      <c r="AF4035" s="1">
        <v>38607</v>
      </c>
      <c r="AG4035" t="s">
        <v>125</v>
      </c>
      <c r="AH4035" t="s">
        <v>126</v>
      </c>
      <c r="AI4035" t="str">
        <f>"5008010"</f>
        <v>5008010</v>
      </c>
      <c r="AJ4035" t="s">
        <v>6993</v>
      </c>
      <c r="AK4035">
        <v>2825091207</v>
      </c>
      <c r="AL4035" t="s">
        <v>6994</v>
      </c>
      <c r="AM4035" t="s">
        <v>88</v>
      </c>
      <c r="AN4035" t="s">
        <v>6995</v>
      </c>
      <c r="AO4035" t="s">
        <v>6995</v>
      </c>
      <c r="AP4035" t="s">
        <v>6996</v>
      </c>
      <c r="AQ4035">
        <v>1</v>
      </c>
      <c r="AR4035" t="s">
        <v>6729</v>
      </c>
      <c r="AS4035" t="s">
        <v>6730</v>
      </c>
      <c r="AT4035" t="s">
        <v>58</v>
      </c>
      <c r="AU4035" t="s">
        <v>68</v>
      </c>
      <c r="AV4035" t="s">
        <v>69</v>
      </c>
      <c r="AW4035" s="1">
        <v>27831</v>
      </c>
      <c r="AX4035">
        <v>2</v>
      </c>
    </row>
    <row r="4036" spans="1:50">
      <c r="A4036">
        <v>200401</v>
      </c>
      <c r="B4036" t="str">
        <f>"066833111"</f>
        <v>066833111</v>
      </c>
      <c r="C4036" t="s">
        <v>50</v>
      </c>
      <c r="D4036" t="s">
        <v>7604</v>
      </c>
      <c r="E4036" t="s">
        <v>7605</v>
      </c>
      <c r="F4036" t="s">
        <v>7606</v>
      </c>
      <c r="G4036" t="s">
        <v>610</v>
      </c>
      <c r="H4036" t="str">
        <f>"Αγησιλάου 17 Χανιά"</f>
        <v>Αγησιλάου 17 Χανιά</v>
      </c>
      <c r="I4036">
        <v>73100</v>
      </c>
      <c r="J4036">
        <v>2821056875</v>
      </c>
      <c r="K4036">
        <v>6972666421</v>
      </c>
      <c r="M4036" t="s">
        <v>7607</v>
      </c>
      <c r="N4036" t="s">
        <v>204</v>
      </c>
      <c r="O4036" t="s">
        <v>205</v>
      </c>
      <c r="R4036" t="s">
        <v>57</v>
      </c>
      <c r="S4036">
        <v>8</v>
      </c>
      <c r="T4036">
        <v>206</v>
      </c>
      <c r="U4036" s="1">
        <v>37866</v>
      </c>
      <c r="V4036" t="s">
        <v>6729</v>
      </c>
      <c r="W4036" t="s">
        <v>6730</v>
      </c>
      <c r="X4036" t="s">
        <v>58</v>
      </c>
      <c r="Y4036">
        <v>20</v>
      </c>
      <c r="Z4036" t="s">
        <v>59</v>
      </c>
      <c r="AA4036" t="s">
        <v>59</v>
      </c>
      <c r="AB4036" t="s">
        <v>59</v>
      </c>
      <c r="AC4036" t="s">
        <v>59</v>
      </c>
      <c r="AD4036" t="s">
        <v>59</v>
      </c>
      <c r="AF4036" s="1">
        <v>37866</v>
      </c>
      <c r="AG4036" t="s">
        <v>125</v>
      </c>
      <c r="AH4036" t="s">
        <v>126</v>
      </c>
      <c r="AI4036" t="str">
        <f>"5001010"</f>
        <v>5001010</v>
      </c>
      <c r="AJ4036" t="s">
        <v>6873</v>
      </c>
      <c r="AK4036">
        <v>2821052130</v>
      </c>
      <c r="AL4036" t="s">
        <v>6874</v>
      </c>
      <c r="AM4036" t="s">
        <v>88</v>
      </c>
      <c r="AN4036" t="s">
        <v>88</v>
      </c>
      <c r="AO4036" t="s">
        <v>88</v>
      </c>
      <c r="AP4036" t="s">
        <v>88</v>
      </c>
      <c r="AQ4036">
        <v>1</v>
      </c>
      <c r="AR4036" t="s">
        <v>6729</v>
      </c>
      <c r="AS4036" t="s">
        <v>6730</v>
      </c>
      <c r="AT4036" t="s">
        <v>58</v>
      </c>
      <c r="AU4036" t="s">
        <v>68</v>
      </c>
      <c r="AV4036" t="s">
        <v>69</v>
      </c>
      <c r="AW4036" s="1">
        <v>27294</v>
      </c>
      <c r="AX4036">
        <v>2</v>
      </c>
    </row>
    <row r="4037" spans="1:50">
      <c r="A4037">
        <v>183806</v>
      </c>
      <c r="B4037" t="str">
        <f>"035964950"</f>
        <v>035964950</v>
      </c>
      <c r="C4037" t="s">
        <v>105</v>
      </c>
      <c r="D4037" t="s">
        <v>7608</v>
      </c>
      <c r="E4037" t="s">
        <v>95</v>
      </c>
      <c r="F4037" t="s">
        <v>166</v>
      </c>
      <c r="G4037" t="s">
        <v>181</v>
      </c>
      <c r="H4037" t="str">
        <f>" "</f>
        <v xml:space="preserve"> </v>
      </c>
      <c r="N4037" t="s">
        <v>292</v>
      </c>
      <c r="O4037" t="s">
        <v>293</v>
      </c>
      <c r="R4037" t="s">
        <v>57</v>
      </c>
      <c r="S4037">
        <v>11</v>
      </c>
      <c r="T4037">
        <v>177</v>
      </c>
      <c r="U4037" s="1">
        <v>36403</v>
      </c>
      <c r="V4037" t="s">
        <v>6729</v>
      </c>
      <c r="W4037" t="s">
        <v>6730</v>
      </c>
      <c r="X4037" t="s">
        <v>58</v>
      </c>
      <c r="Y4037">
        <v>18</v>
      </c>
      <c r="Z4037" t="s">
        <v>59</v>
      </c>
      <c r="AA4037" t="s">
        <v>59</v>
      </c>
      <c r="AB4037" t="s">
        <v>59</v>
      </c>
      <c r="AC4037" t="s">
        <v>59</v>
      </c>
      <c r="AD4037" t="s">
        <v>59</v>
      </c>
      <c r="AF4037" s="1">
        <v>36409</v>
      </c>
      <c r="AG4037" t="s">
        <v>148</v>
      </c>
      <c r="AH4037" t="s">
        <v>149</v>
      </c>
      <c r="AI4037" t="str">
        <f>"5062010"</f>
        <v>5062010</v>
      </c>
      <c r="AJ4037" t="s">
        <v>6783</v>
      </c>
      <c r="AK4037">
        <v>2821031620</v>
      </c>
      <c r="AL4037" t="s">
        <v>6784</v>
      </c>
      <c r="AM4037" t="s">
        <v>88</v>
      </c>
      <c r="AN4037" t="s">
        <v>88</v>
      </c>
      <c r="AO4037" t="s">
        <v>6785</v>
      </c>
      <c r="AP4037" t="s">
        <v>6786</v>
      </c>
      <c r="AQ4037">
        <v>1</v>
      </c>
      <c r="AR4037" t="s">
        <v>6729</v>
      </c>
      <c r="AS4037" t="s">
        <v>6730</v>
      </c>
      <c r="AT4037" t="s">
        <v>58</v>
      </c>
      <c r="AU4037" t="s">
        <v>68</v>
      </c>
      <c r="AV4037" t="s">
        <v>69</v>
      </c>
      <c r="AW4037" s="1">
        <v>20915</v>
      </c>
      <c r="AX4037">
        <v>2</v>
      </c>
    </row>
    <row r="4038" spans="1:50">
      <c r="A4038">
        <v>210911</v>
      </c>
      <c r="B4038" t="str">
        <f>"113159953"</f>
        <v>113159953</v>
      </c>
      <c r="C4038" t="s">
        <v>105</v>
      </c>
      <c r="D4038" t="s">
        <v>7609</v>
      </c>
      <c r="E4038" t="s">
        <v>3987</v>
      </c>
      <c r="F4038" t="s">
        <v>450</v>
      </c>
      <c r="G4038" t="s">
        <v>109</v>
      </c>
      <c r="H4038" t="str">
        <f>"ΓΕΡΟΓΙΑΝΝΗ 1 ΧΑΝΙΑ"</f>
        <v>ΓΕΡΟΓΙΑΝΝΗ 1 ΧΑΝΙΑ</v>
      </c>
      <c r="I4038">
        <v>73100</v>
      </c>
      <c r="J4038">
        <v>2821059883</v>
      </c>
      <c r="K4038">
        <v>6972457240</v>
      </c>
      <c r="M4038" t="s">
        <v>7610</v>
      </c>
      <c r="N4038" t="s">
        <v>204</v>
      </c>
      <c r="O4038" t="s">
        <v>205</v>
      </c>
      <c r="R4038" t="s">
        <v>57</v>
      </c>
      <c r="S4038">
        <v>8</v>
      </c>
      <c r="T4038">
        <v>262</v>
      </c>
      <c r="U4038" s="1">
        <v>38629</v>
      </c>
      <c r="V4038" t="s">
        <v>6729</v>
      </c>
      <c r="W4038" t="s">
        <v>6730</v>
      </c>
      <c r="X4038" t="s">
        <v>58</v>
      </c>
      <c r="Y4038">
        <v>20</v>
      </c>
      <c r="Z4038" t="s">
        <v>59</v>
      </c>
      <c r="AA4038" t="s">
        <v>59</v>
      </c>
      <c r="AB4038" t="s">
        <v>59</v>
      </c>
      <c r="AC4038" t="s">
        <v>59</v>
      </c>
      <c r="AD4038" t="s">
        <v>59</v>
      </c>
      <c r="AF4038" s="1">
        <v>38632</v>
      </c>
      <c r="AG4038" t="s">
        <v>137</v>
      </c>
      <c r="AH4038" t="s">
        <v>138</v>
      </c>
      <c r="AI4038" t="str">
        <f>"5040105"</f>
        <v>5040105</v>
      </c>
      <c r="AJ4038" t="s">
        <v>6969</v>
      </c>
      <c r="AK4038">
        <v>2825051703</v>
      </c>
      <c r="AL4038" t="s">
        <v>6970</v>
      </c>
      <c r="AM4038" t="s">
        <v>88</v>
      </c>
      <c r="AN4038" t="s">
        <v>6775</v>
      </c>
      <c r="AO4038" t="s">
        <v>6781</v>
      </c>
      <c r="AP4038" t="s">
        <v>6782</v>
      </c>
      <c r="AQ4038">
        <v>1</v>
      </c>
      <c r="AR4038" t="s">
        <v>6729</v>
      </c>
      <c r="AS4038" t="s">
        <v>6730</v>
      </c>
      <c r="AT4038" t="s">
        <v>58</v>
      </c>
      <c r="AU4038" t="s">
        <v>68</v>
      </c>
      <c r="AV4038" t="s">
        <v>1092</v>
      </c>
      <c r="AW4038" s="1">
        <v>29283</v>
      </c>
      <c r="AX4038">
        <v>2</v>
      </c>
    </row>
    <row r="4039" spans="1:50">
      <c r="A4039">
        <v>220732</v>
      </c>
      <c r="B4039" t="str">
        <f>"077817128"</f>
        <v>077817128</v>
      </c>
      <c r="C4039" t="s">
        <v>50</v>
      </c>
      <c r="D4039" t="s">
        <v>7611</v>
      </c>
      <c r="E4039" t="s">
        <v>710</v>
      </c>
      <c r="F4039" t="s">
        <v>202</v>
      </c>
      <c r="G4039" t="s">
        <v>237</v>
      </c>
      <c r="H4039" t="str">
        <f>"ΚΑΡΑΔΗΜΗΤΡΗ ΜΟΥΡΝΙΕΣ"</f>
        <v>ΚΑΡΑΔΗΜΗΤΡΗ ΜΟΥΡΝΙΕΣ</v>
      </c>
      <c r="I4039">
        <v>73300</v>
      </c>
      <c r="J4039">
        <v>2821073671</v>
      </c>
      <c r="K4039">
        <v>6947441135</v>
      </c>
      <c r="M4039" t="s">
        <v>7612</v>
      </c>
      <c r="N4039" t="s">
        <v>288</v>
      </c>
      <c r="O4039" t="s">
        <v>289</v>
      </c>
      <c r="R4039" t="s">
        <v>57</v>
      </c>
      <c r="S4039">
        <v>8</v>
      </c>
      <c r="T4039">
        <v>681</v>
      </c>
      <c r="U4039" s="1">
        <v>39325</v>
      </c>
      <c r="V4039" t="s">
        <v>6729</v>
      </c>
      <c r="W4039" t="s">
        <v>6730</v>
      </c>
      <c r="X4039" t="s">
        <v>58</v>
      </c>
      <c r="Y4039">
        <v>20</v>
      </c>
      <c r="Z4039" t="s">
        <v>59</v>
      </c>
      <c r="AA4039" t="s">
        <v>59</v>
      </c>
      <c r="AB4039" t="s">
        <v>59</v>
      </c>
      <c r="AC4039" t="s">
        <v>59</v>
      </c>
      <c r="AD4039" t="s">
        <v>59</v>
      </c>
      <c r="AF4039" s="1">
        <v>39330</v>
      </c>
      <c r="AG4039" t="s">
        <v>125</v>
      </c>
      <c r="AH4039" t="s">
        <v>126</v>
      </c>
      <c r="AI4039" t="str">
        <f>"5002010"</f>
        <v>5002010</v>
      </c>
      <c r="AJ4039" t="s">
        <v>6773</v>
      </c>
      <c r="AK4039">
        <v>2825022249</v>
      </c>
      <c r="AL4039" t="s">
        <v>6774</v>
      </c>
      <c r="AM4039" t="s">
        <v>88</v>
      </c>
      <c r="AN4039" t="s">
        <v>6775</v>
      </c>
      <c r="AO4039" t="s">
        <v>6776</v>
      </c>
      <c r="AP4039" t="s">
        <v>6776</v>
      </c>
      <c r="AQ4039">
        <v>1</v>
      </c>
      <c r="AR4039" t="s">
        <v>6729</v>
      </c>
      <c r="AS4039" t="s">
        <v>6730</v>
      </c>
      <c r="AT4039" t="s">
        <v>58</v>
      </c>
      <c r="AU4039" t="s">
        <v>68</v>
      </c>
      <c r="AV4039" t="s">
        <v>69</v>
      </c>
      <c r="AW4039" s="1">
        <v>28797</v>
      </c>
      <c r="AX4039">
        <v>2</v>
      </c>
    </row>
    <row r="4040" spans="1:50">
      <c r="A4040">
        <v>198590</v>
      </c>
      <c r="B4040" t="str">
        <f>"056585350"</f>
        <v>056585350</v>
      </c>
      <c r="C4040" t="s">
        <v>50</v>
      </c>
      <c r="D4040" t="s">
        <v>7611</v>
      </c>
      <c r="E4040" t="s">
        <v>54</v>
      </c>
      <c r="F4040" t="s">
        <v>95</v>
      </c>
      <c r="G4040" t="s">
        <v>96</v>
      </c>
      <c r="H4040" t="str">
        <f>" "</f>
        <v xml:space="preserve"> </v>
      </c>
      <c r="J4040">
        <v>2821052183</v>
      </c>
      <c r="K4040">
        <v>6946274686</v>
      </c>
      <c r="L4040">
        <v>2821057081</v>
      </c>
      <c r="M4040" t="s">
        <v>7613</v>
      </c>
      <c r="N4040" t="s">
        <v>306</v>
      </c>
      <c r="O4040" t="s">
        <v>307</v>
      </c>
      <c r="R4040" t="s">
        <v>57</v>
      </c>
      <c r="S4040">
        <v>10</v>
      </c>
      <c r="T4040">
        <v>206</v>
      </c>
      <c r="U4040" s="1">
        <v>37866</v>
      </c>
      <c r="V4040" t="s">
        <v>6729</v>
      </c>
      <c r="W4040" t="s">
        <v>6730</v>
      </c>
      <c r="X4040" t="s">
        <v>58</v>
      </c>
      <c r="Y4040">
        <v>18</v>
      </c>
      <c r="Z4040" t="s">
        <v>59</v>
      </c>
      <c r="AA4040" t="s">
        <v>59</v>
      </c>
      <c r="AB4040" t="s">
        <v>59</v>
      </c>
      <c r="AC4040" t="s">
        <v>59</v>
      </c>
      <c r="AD4040" t="s">
        <v>59</v>
      </c>
      <c r="AF4040" s="1">
        <v>37866</v>
      </c>
      <c r="AG4040" t="s">
        <v>137</v>
      </c>
      <c r="AH4040" t="s">
        <v>138</v>
      </c>
      <c r="AI4040" t="str">
        <f>"5040050"</f>
        <v>5040050</v>
      </c>
      <c r="AJ4040" t="s">
        <v>6750</v>
      </c>
      <c r="AK4040">
        <v>2821043147</v>
      </c>
      <c r="AL4040" t="s">
        <v>6751</v>
      </c>
      <c r="AM4040" t="s">
        <v>88</v>
      </c>
      <c r="AN4040" t="s">
        <v>88</v>
      </c>
      <c r="AO4040" t="s">
        <v>88</v>
      </c>
      <c r="AP4040" t="s">
        <v>88</v>
      </c>
      <c r="AQ4040">
        <v>1</v>
      </c>
      <c r="AR4040" t="s">
        <v>6729</v>
      </c>
      <c r="AS4040" t="s">
        <v>6730</v>
      </c>
      <c r="AT4040" t="s">
        <v>58</v>
      </c>
      <c r="AU4040" t="s">
        <v>68</v>
      </c>
      <c r="AV4040" t="s">
        <v>69</v>
      </c>
      <c r="AW4040" s="1">
        <v>20163</v>
      </c>
      <c r="AX4040">
        <v>2</v>
      </c>
    </row>
    <row r="4041" spans="1:50">
      <c r="A4041">
        <v>220010</v>
      </c>
      <c r="B4041" t="str">
        <f>"077673128"</f>
        <v>077673128</v>
      </c>
      <c r="C4041" t="s">
        <v>105</v>
      </c>
      <c r="D4041" t="s">
        <v>7614</v>
      </c>
      <c r="E4041" t="s">
        <v>4430</v>
      </c>
      <c r="F4041" t="s">
        <v>1357</v>
      </c>
      <c r="G4041" t="s">
        <v>580</v>
      </c>
      <c r="H4041" t="str">
        <f>"ΤΡΙΓΓΕΤΑΣ 15 ΝΕΑ ΧΩΡΑ"</f>
        <v>ΤΡΙΓΓΕΤΑΣ 15 ΝΕΑ ΧΩΡΑ</v>
      </c>
      <c r="I4041">
        <v>73100</v>
      </c>
      <c r="J4041">
        <v>2821092613</v>
      </c>
      <c r="K4041">
        <v>6974410271</v>
      </c>
      <c r="L4041">
        <v>6980117330</v>
      </c>
      <c r="M4041" t="s">
        <v>7615</v>
      </c>
      <c r="N4041" t="s">
        <v>168</v>
      </c>
      <c r="O4041" t="s">
        <v>169</v>
      </c>
      <c r="R4041" t="s">
        <v>57</v>
      </c>
      <c r="S4041">
        <v>7</v>
      </c>
      <c r="T4041">
        <v>599</v>
      </c>
      <c r="U4041" s="1">
        <v>39310</v>
      </c>
      <c r="V4041" t="s">
        <v>6729</v>
      </c>
      <c r="W4041" t="s">
        <v>6730</v>
      </c>
      <c r="X4041" t="s">
        <v>58</v>
      </c>
      <c r="Y4041">
        <v>20</v>
      </c>
      <c r="Z4041" t="s">
        <v>59</v>
      </c>
      <c r="AA4041" t="s">
        <v>59</v>
      </c>
      <c r="AB4041" t="s">
        <v>59</v>
      </c>
      <c r="AC4041" t="s">
        <v>59</v>
      </c>
      <c r="AD4041" t="s">
        <v>59</v>
      </c>
      <c r="AF4041" s="1">
        <v>39328</v>
      </c>
      <c r="AG4041" t="s">
        <v>137</v>
      </c>
      <c r="AH4041" t="s">
        <v>138</v>
      </c>
      <c r="AI4041" t="str">
        <f>"5050060"</f>
        <v>5050060</v>
      </c>
      <c r="AJ4041" t="s">
        <v>6801</v>
      </c>
      <c r="AK4041">
        <v>2821091515</v>
      </c>
      <c r="AL4041" t="s">
        <v>6802</v>
      </c>
      <c r="AM4041" t="s">
        <v>88</v>
      </c>
      <c r="AN4041" t="s">
        <v>88</v>
      </c>
      <c r="AO4041" t="s">
        <v>88</v>
      </c>
      <c r="AP4041" t="s">
        <v>88</v>
      </c>
      <c r="AQ4041">
        <v>1</v>
      </c>
      <c r="AR4041" t="s">
        <v>6729</v>
      </c>
      <c r="AS4041" t="s">
        <v>6730</v>
      </c>
      <c r="AT4041" t="s">
        <v>58</v>
      </c>
      <c r="AU4041" t="s">
        <v>68</v>
      </c>
      <c r="AV4041" t="s">
        <v>69</v>
      </c>
      <c r="AW4041" s="1">
        <v>24101</v>
      </c>
      <c r="AX4041">
        <v>2</v>
      </c>
    </row>
    <row r="4042" spans="1:50">
      <c r="A4042">
        <v>213784</v>
      </c>
      <c r="B4042" t="str">
        <f>"044478472"</f>
        <v>044478472</v>
      </c>
      <c r="C4042" t="s">
        <v>50</v>
      </c>
      <c r="D4042" t="s">
        <v>7616</v>
      </c>
      <c r="E4042" t="s">
        <v>52</v>
      </c>
      <c r="F4042" t="s">
        <v>95</v>
      </c>
      <c r="G4042" t="s">
        <v>143</v>
      </c>
      <c r="H4042" t="str">
        <f>" "</f>
        <v xml:space="preserve"> </v>
      </c>
      <c r="J4042">
        <v>2109243792</v>
      </c>
      <c r="K4042">
        <v>6972719433</v>
      </c>
      <c r="N4042" t="s">
        <v>306</v>
      </c>
      <c r="O4042" t="s">
        <v>307</v>
      </c>
      <c r="R4042" t="s">
        <v>57</v>
      </c>
      <c r="S4042">
        <v>7</v>
      </c>
      <c r="T4042">
        <v>231</v>
      </c>
      <c r="U4042" s="1">
        <v>38960</v>
      </c>
      <c r="V4042" t="s">
        <v>6729</v>
      </c>
      <c r="W4042" t="s">
        <v>6730</v>
      </c>
      <c r="X4042" t="s">
        <v>58</v>
      </c>
      <c r="Y4042">
        <v>20</v>
      </c>
      <c r="Z4042" t="s">
        <v>59</v>
      </c>
      <c r="AA4042" t="s">
        <v>59</v>
      </c>
      <c r="AB4042" t="s">
        <v>59</v>
      </c>
      <c r="AC4042" t="s">
        <v>59</v>
      </c>
      <c r="AD4042" t="s">
        <v>59</v>
      </c>
      <c r="AF4042" s="1">
        <v>38961</v>
      </c>
      <c r="AG4042" t="s">
        <v>148</v>
      </c>
      <c r="AH4042" t="s">
        <v>149</v>
      </c>
      <c r="AI4042" t="str">
        <f>"5052010"</f>
        <v>5052010</v>
      </c>
      <c r="AJ4042" t="s">
        <v>6834</v>
      </c>
      <c r="AK4042">
        <v>2825022200</v>
      </c>
      <c r="AL4042" t="s">
        <v>6835</v>
      </c>
      <c r="AM4042" t="s">
        <v>88</v>
      </c>
      <c r="AN4042" t="s">
        <v>6775</v>
      </c>
      <c r="AO4042" t="s">
        <v>6776</v>
      </c>
      <c r="AP4042" t="s">
        <v>6776</v>
      </c>
      <c r="AQ4042">
        <v>1</v>
      </c>
      <c r="AR4042" t="s">
        <v>6729</v>
      </c>
      <c r="AS4042" t="s">
        <v>6730</v>
      </c>
      <c r="AT4042" t="s">
        <v>58</v>
      </c>
      <c r="AU4042" t="s">
        <v>68</v>
      </c>
      <c r="AV4042" t="s">
        <v>69</v>
      </c>
      <c r="AW4042" s="1">
        <v>25740</v>
      </c>
      <c r="AX4042">
        <v>2</v>
      </c>
    </row>
    <row r="4043" spans="1:50">
      <c r="A4043">
        <v>187472</v>
      </c>
      <c r="B4043" t="str">
        <f>"036772243"</f>
        <v>036772243</v>
      </c>
      <c r="C4043" t="s">
        <v>50</v>
      </c>
      <c r="D4043" t="s">
        <v>7617</v>
      </c>
      <c r="E4043" t="s">
        <v>250</v>
      </c>
      <c r="F4043" t="s">
        <v>106</v>
      </c>
      <c r="G4043" t="s">
        <v>52</v>
      </c>
      <c r="H4043" t="str">
        <f>" "</f>
        <v xml:space="preserve"> </v>
      </c>
      <c r="N4043" t="s">
        <v>2871</v>
      </c>
      <c r="O4043" t="s">
        <v>2872</v>
      </c>
      <c r="P4043" t="s">
        <v>1525</v>
      </c>
      <c r="Q4043" t="s">
        <v>1526</v>
      </c>
      <c r="R4043" t="s">
        <v>57</v>
      </c>
      <c r="S4043">
        <v>10</v>
      </c>
      <c r="T4043">
        <v>251</v>
      </c>
      <c r="U4043" s="1">
        <v>36769</v>
      </c>
      <c r="V4043" t="s">
        <v>6729</v>
      </c>
      <c r="W4043" t="s">
        <v>6730</v>
      </c>
      <c r="X4043" t="s">
        <v>58</v>
      </c>
      <c r="Y4043">
        <v>18</v>
      </c>
      <c r="Z4043" t="s">
        <v>59</v>
      </c>
      <c r="AA4043" t="s">
        <v>59</v>
      </c>
      <c r="AB4043" t="s">
        <v>59</v>
      </c>
      <c r="AC4043" t="s">
        <v>59</v>
      </c>
      <c r="AD4043" t="s">
        <v>59</v>
      </c>
      <c r="AF4043" s="1">
        <v>36770</v>
      </c>
      <c r="AG4043" t="s">
        <v>137</v>
      </c>
      <c r="AH4043" t="s">
        <v>138</v>
      </c>
      <c r="AI4043" t="str">
        <f>"5040080"</f>
        <v>5040080</v>
      </c>
      <c r="AJ4043" t="s">
        <v>6753</v>
      </c>
      <c r="AK4043">
        <v>2821093155</v>
      </c>
      <c r="AL4043" t="s">
        <v>6754</v>
      </c>
      <c r="AM4043" t="s">
        <v>88</v>
      </c>
      <c r="AN4043" t="s">
        <v>88</v>
      </c>
      <c r="AO4043" t="s">
        <v>6733</v>
      </c>
      <c r="AP4043" t="s">
        <v>6755</v>
      </c>
      <c r="AQ4043">
        <v>1</v>
      </c>
      <c r="AR4043" t="s">
        <v>6729</v>
      </c>
      <c r="AS4043" t="s">
        <v>6730</v>
      </c>
      <c r="AT4043" t="s">
        <v>58</v>
      </c>
      <c r="AU4043" t="s">
        <v>68</v>
      </c>
      <c r="AV4043" t="s">
        <v>69</v>
      </c>
      <c r="AW4043" s="1">
        <v>23850</v>
      </c>
      <c r="AX4043">
        <v>2</v>
      </c>
    </row>
    <row r="4044" spans="1:50">
      <c r="A4044">
        <v>227975</v>
      </c>
      <c r="B4044" t="str">
        <f>"036813266"</f>
        <v>036813266</v>
      </c>
      <c r="C4044" t="s">
        <v>50</v>
      </c>
      <c r="D4044" t="s">
        <v>5047</v>
      </c>
      <c r="E4044" t="s">
        <v>83</v>
      </c>
      <c r="F4044" t="s">
        <v>72</v>
      </c>
      <c r="G4044" t="s">
        <v>372</v>
      </c>
      <c r="H4044" t="str">
        <f>"ΠΑΛΑΙΟΧΩΡΑ ΧΑΝΙΑ"</f>
        <v>ΠΑΛΑΙΟΧΩΡΑ ΧΑΝΙΑ</v>
      </c>
      <c r="I4044">
        <v>73001</v>
      </c>
      <c r="J4044">
        <v>2823042234</v>
      </c>
      <c r="K4044">
        <v>6977391431</v>
      </c>
      <c r="N4044" t="s">
        <v>176</v>
      </c>
      <c r="O4044" t="s">
        <v>177</v>
      </c>
      <c r="R4044" t="s">
        <v>57</v>
      </c>
      <c r="S4044">
        <v>7</v>
      </c>
      <c r="T4044">
        <v>654</v>
      </c>
      <c r="U4044" s="1">
        <v>40043</v>
      </c>
      <c r="V4044" t="s">
        <v>6729</v>
      </c>
      <c r="W4044" t="s">
        <v>6730</v>
      </c>
      <c r="X4044" t="s">
        <v>58</v>
      </c>
      <c r="Y4044">
        <v>20</v>
      </c>
      <c r="Z4044" t="s">
        <v>59</v>
      </c>
      <c r="AA4044" t="s">
        <v>59</v>
      </c>
      <c r="AB4044" t="s">
        <v>59</v>
      </c>
      <c r="AC4044" t="s">
        <v>59</v>
      </c>
      <c r="AD4044" t="s">
        <v>59</v>
      </c>
      <c r="AF4044" s="1">
        <v>40043</v>
      </c>
      <c r="AG4044" t="s">
        <v>148</v>
      </c>
      <c r="AH4044" t="s">
        <v>149</v>
      </c>
      <c r="AI4044" t="str">
        <f>"5055010"</f>
        <v>5055010</v>
      </c>
      <c r="AJ4044" t="s">
        <v>6868</v>
      </c>
      <c r="AK4044">
        <v>2823041416</v>
      </c>
      <c r="AL4044" t="s">
        <v>6869</v>
      </c>
      <c r="AM4044" t="s">
        <v>88</v>
      </c>
      <c r="AN4044" t="s">
        <v>6824</v>
      </c>
      <c r="AO4044" t="s">
        <v>6870</v>
      </c>
      <c r="AP4044" t="s">
        <v>6871</v>
      </c>
      <c r="AQ4044">
        <v>1</v>
      </c>
      <c r="AR4044" t="s">
        <v>6729</v>
      </c>
      <c r="AS4044" t="s">
        <v>6730</v>
      </c>
      <c r="AT4044" t="s">
        <v>58</v>
      </c>
      <c r="AU4044" t="s">
        <v>68</v>
      </c>
      <c r="AV4044" t="s">
        <v>132</v>
      </c>
      <c r="AW4044" s="1">
        <v>24554</v>
      </c>
      <c r="AX4044">
        <v>2</v>
      </c>
    </row>
    <row r="4045" spans="1:50">
      <c r="A4045">
        <v>199477</v>
      </c>
      <c r="B4045" t="str">
        <f>"059671268"</f>
        <v>059671268</v>
      </c>
      <c r="C4045" t="s">
        <v>105</v>
      </c>
      <c r="D4045" t="s">
        <v>7618</v>
      </c>
      <c r="E4045" t="s">
        <v>1743</v>
      </c>
      <c r="F4045" t="s">
        <v>99</v>
      </c>
      <c r="G4045" t="s">
        <v>610</v>
      </c>
      <c r="H4045" t="str">
        <f>" "</f>
        <v xml:space="preserve"> </v>
      </c>
      <c r="J4045">
        <v>2831029610</v>
      </c>
      <c r="L4045">
        <v>2831058763</v>
      </c>
      <c r="N4045" t="s">
        <v>282</v>
      </c>
      <c r="O4045" t="s">
        <v>283</v>
      </c>
      <c r="R4045" t="s">
        <v>57</v>
      </c>
      <c r="S4045">
        <v>11</v>
      </c>
      <c r="T4045">
        <v>206</v>
      </c>
      <c r="U4045" s="1">
        <v>37867</v>
      </c>
      <c r="V4045" t="s">
        <v>6729</v>
      </c>
      <c r="W4045" t="s">
        <v>6730</v>
      </c>
      <c r="X4045" t="s">
        <v>58</v>
      </c>
      <c r="Y4045">
        <v>20</v>
      </c>
      <c r="Z4045" t="s">
        <v>59</v>
      </c>
      <c r="AA4045" t="s">
        <v>59</v>
      </c>
      <c r="AB4045" t="s">
        <v>59</v>
      </c>
      <c r="AC4045" t="s">
        <v>59</v>
      </c>
      <c r="AD4045" t="s">
        <v>59</v>
      </c>
      <c r="AF4045" s="1">
        <v>37867</v>
      </c>
      <c r="AG4045" t="s">
        <v>137</v>
      </c>
      <c r="AH4045" t="s">
        <v>138</v>
      </c>
      <c r="AI4045" t="str">
        <f>"5040100"</f>
        <v>5040100</v>
      </c>
      <c r="AJ4045" t="s">
        <v>6790</v>
      </c>
      <c r="AK4045">
        <v>2821058998</v>
      </c>
      <c r="AL4045" t="s">
        <v>6791</v>
      </c>
      <c r="AM4045" t="s">
        <v>88</v>
      </c>
      <c r="AN4045" t="s">
        <v>88</v>
      </c>
      <c r="AO4045" t="s">
        <v>6770</v>
      </c>
      <c r="AP4045" t="s">
        <v>6771</v>
      </c>
      <c r="AQ4045">
        <v>1</v>
      </c>
      <c r="AR4045" t="s">
        <v>6729</v>
      </c>
      <c r="AS4045" t="s">
        <v>6730</v>
      </c>
      <c r="AT4045" t="s">
        <v>58</v>
      </c>
      <c r="AU4045" t="s">
        <v>68</v>
      </c>
      <c r="AV4045" t="s">
        <v>69</v>
      </c>
      <c r="AW4045" s="1">
        <v>26104</v>
      </c>
      <c r="AX4045">
        <v>2</v>
      </c>
    </row>
    <row r="4046" spans="1:50">
      <c r="A4046">
        <v>181108</v>
      </c>
      <c r="B4046" t="str">
        <f>"052901229"</f>
        <v>052901229</v>
      </c>
      <c r="C4046" t="s">
        <v>50</v>
      </c>
      <c r="D4046" t="s">
        <v>7619</v>
      </c>
      <c r="E4046" t="s">
        <v>681</v>
      </c>
      <c r="F4046" t="s">
        <v>166</v>
      </c>
      <c r="G4046" t="s">
        <v>73</v>
      </c>
      <c r="H4046" t="str">
        <f>" "</f>
        <v xml:space="preserve"> </v>
      </c>
      <c r="N4046" t="s">
        <v>306</v>
      </c>
      <c r="O4046" t="s">
        <v>307</v>
      </c>
      <c r="R4046" t="s">
        <v>57</v>
      </c>
      <c r="S4046">
        <v>13</v>
      </c>
      <c r="T4046">
        <v>181</v>
      </c>
      <c r="U4046" s="1">
        <v>36039</v>
      </c>
      <c r="V4046" t="s">
        <v>6729</v>
      </c>
      <c r="W4046" t="s">
        <v>6730</v>
      </c>
      <c r="X4046" t="s">
        <v>58</v>
      </c>
      <c r="Y4046">
        <v>18</v>
      </c>
      <c r="Z4046" t="s">
        <v>59</v>
      </c>
      <c r="AA4046" t="s">
        <v>59</v>
      </c>
      <c r="AB4046" t="s">
        <v>59</v>
      </c>
      <c r="AC4046" t="s">
        <v>59</v>
      </c>
      <c r="AD4046" t="s">
        <v>59</v>
      </c>
      <c r="AF4046" s="1">
        <v>36046</v>
      </c>
      <c r="AG4046" t="s">
        <v>125</v>
      </c>
      <c r="AH4046" t="s">
        <v>126</v>
      </c>
      <c r="AI4046" t="str">
        <f>"5001040"</f>
        <v>5001040</v>
      </c>
      <c r="AJ4046" t="s">
        <v>7126</v>
      </c>
      <c r="AK4046">
        <v>2821088010</v>
      </c>
      <c r="AM4046" t="s">
        <v>88</v>
      </c>
      <c r="AN4046" t="s">
        <v>88</v>
      </c>
      <c r="AO4046" t="s">
        <v>88</v>
      </c>
      <c r="AP4046" t="s">
        <v>88</v>
      </c>
      <c r="AQ4046">
        <v>1</v>
      </c>
      <c r="AR4046" t="s">
        <v>6729</v>
      </c>
      <c r="AS4046" t="s">
        <v>6730</v>
      </c>
      <c r="AT4046" t="s">
        <v>58</v>
      </c>
      <c r="AU4046" t="s">
        <v>68</v>
      </c>
      <c r="AV4046" t="s">
        <v>69</v>
      </c>
      <c r="AW4046" s="1">
        <v>24964</v>
      </c>
      <c r="AX4046">
        <v>2</v>
      </c>
    </row>
    <row r="4047" spans="1:50">
      <c r="A4047">
        <v>164049</v>
      </c>
      <c r="B4047" t="str">
        <f>"155806339"</f>
        <v>155806339</v>
      </c>
      <c r="C4047" t="s">
        <v>50</v>
      </c>
      <c r="D4047" t="s">
        <v>7620</v>
      </c>
      <c r="E4047" t="s">
        <v>103</v>
      </c>
      <c r="F4047" t="s">
        <v>84</v>
      </c>
      <c r="G4047" t="s">
        <v>83</v>
      </c>
      <c r="H4047" t="str">
        <f>" "</f>
        <v xml:space="preserve"> </v>
      </c>
      <c r="M4047" t="s">
        <v>7621</v>
      </c>
      <c r="N4047" t="s">
        <v>146</v>
      </c>
      <c r="O4047" t="s">
        <v>147</v>
      </c>
      <c r="R4047" t="s">
        <v>57</v>
      </c>
      <c r="S4047">
        <v>14</v>
      </c>
      <c r="T4047">
        <v>161</v>
      </c>
      <c r="U4047" s="1">
        <v>33844</v>
      </c>
      <c r="V4047" t="s">
        <v>6729</v>
      </c>
      <c r="W4047" t="s">
        <v>6730</v>
      </c>
      <c r="X4047" t="s">
        <v>58</v>
      </c>
      <c r="Y4047">
        <v>18</v>
      </c>
      <c r="Z4047" t="s">
        <v>59</v>
      </c>
      <c r="AA4047" t="s">
        <v>59</v>
      </c>
      <c r="AB4047" t="s">
        <v>59</v>
      </c>
      <c r="AC4047" t="s">
        <v>59</v>
      </c>
      <c r="AD4047" t="s">
        <v>59</v>
      </c>
      <c r="AF4047" s="1">
        <v>33848</v>
      </c>
      <c r="AG4047" t="s">
        <v>148</v>
      </c>
      <c r="AH4047" t="s">
        <v>149</v>
      </c>
      <c r="AI4047" t="str">
        <f>"5051050"</f>
        <v>5051050</v>
      </c>
      <c r="AJ4047" t="s">
        <v>6861</v>
      </c>
      <c r="AK4047">
        <v>2821044860</v>
      </c>
      <c r="AL4047" t="s">
        <v>6862</v>
      </c>
      <c r="AM4047" t="s">
        <v>88</v>
      </c>
      <c r="AN4047" t="s">
        <v>88</v>
      </c>
      <c r="AO4047" t="s">
        <v>88</v>
      </c>
      <c r="AP4047" t="s">
        <v>88</v>
      </c>
      <c r="AQ4047">
        <v>1</v>
      </c>
      <c r="AR4047" t="s">
        <v>6729</v>
      </c>
      <c r="AS4047" t="s">
        <v>6730</v>
      </c>
      <c r="AT4047" t="s">
        <v>58</v>
      </c>
      <c r="AU4047" t="s">
        <v>68</v>
      </c>
      <c r="AV4047" t="s">
        <v>69</v>
      </c>
      <c r="AW4047" s="1">
        <v>23573</v>
      </c>
      <c r="AX4047">
        <v>2</v>
      </c>
    </row>
    <row r="4048" spans="1:50">
      <c r="A4048">
        <v>206305</v>
      </c>
      <c r="B4048" t="str">
        <f>"079487653"</f>
        <v>079487653</v>
      </c>
      <c r="C4048" t="s">
        <v>50</v>
      </c>
      <c r="D4048" t="s">
        <v>7622</v>
      </c>
      <c r="E4048" t="s">
        <v>83</v>
      </c>
      <c r="F4048" t="s">
        <v>1357</v>
      </c>
      <c r="G4048" t="s">
        <v>787</v>
      </c>
      <c r="H4048" t="str">
        <f>" "</f>
        <v xml:space="preserve"> </v>
      </c>
      <c r="N4048" t="s">
        <v>157</v>
      </c>
      <c r="O4048" t="s">
        <v>158</v>
      </c>
      <c r="R4048" t="s">
        <v>57</v>
      </c>
      <c r="S4048">
        <v>6</v>
      </c>
      <c r="T4048">
        <v>294</v>
      </c>
      <c r="U4048" s="1">
        <v>38295</v>
      </c>
      <c r="V4048" t="s">
        <v>6729</v>
      </c>
      <c r="W4048" t="s">
        <v>6730</v>
      </c>
      <c r="X4048" t="s">
        <v>58</v>
      </c>
      <c r="Y4048">
        <v>20</v>
      </c>
      <c r="Z4048" t="s">
        <v>59</v>
      </c>
      <c r="AA4048" t="s">
        <v>59</v>
      </c>
      <c r="AB4048" t="s">
        <v>59</v>
      </c>
      <c r="AC4048" t="s">
        <v>59</v>
      </c>
      <c r="AD4048" t="s">
        <v>59</v>
      </c>
      <c r="AF4048" s="1">
        <v>38300</v>
      </c>
      <c r="AG4048" t="s">
        <v>125</v>
      </c>
      <c r="AH4048" t="s">
        <v>126</v>
      </c>
      <c r="AI4048" t="str">
        <f>"5001070"</f>
        <v>5001070</v>
      </c>
      <c r="AJ4048" t="s">
        <v>6731</v>
      </c>
      <c r="AK4048">
        <v>2821088045</v>
      </c>
      <c r="AL4048" t="s">
        <v>6732</v>
      </c>
      <c r="AM4048" t="s">
        <v>88</v>
      </c>
      <c r="AN4048" t="s">
        <v>88</v>
      </c>
      <c r="AO4048" t="s">
        <v>6733</v>
      </c>
      <c r="AP4048" t="s">
        <v>6734</v>
      </c>
      <c r="AQ4048">
        <v>1</v>
      </c>
      <c r="AR4048" t="s">
        <v>6729</v>
      </c>
      <c r="AS4048" t="s">
        <v>6730</v>
      </c>
      <c r="AT4048" t="s">
        <v>58</v>
      </c>
      <c r="AU4048" t="s">
        <v>68</v>
      </c>
      <c r="AV4048" t="s">
        <v>69</v>
      </c>
      <c r="AW4048" s="1">
        <v>27426</v>
      </c>
      <c r="AX4048">
        <v>2</v>
      </c>
    </row>
    <row r="4049" spans="1:50">
      <c r="A4049">
        <v>560166</v>
      </c>
      <c r="B4049" t="str">
        <f>"032853887"</f>
        <v>032853887</v>
      </c>
      <c r="C4049" t="s">
        <v>105</v>
      </c>
      <c r="D4049" t="s">
        <v>7623</v>
      </c>
      <c r="E4049" t="s">
        <v>496</v>
      </c>
      <c r="F4049" t="s">
        <v>4861</v>
      </c>
      <c r="G4049" t="s">
        <v>263</v>
      </c>
      <c r="H4049" t="str">
        <f>"ΑΓ. ΑΠΟΣΤΟΛΩΝ 34 ΧΑΝΙΑ"</f>
        <v>ΑΓ. ΑΠΟΣΤΟΛΩΝ 34 ΧΑΝΙΑ</v>
      </c>
      <c r="I4049">
        <v>73100</v>
      </c>
      <c r="J4049">
        <v>2821095145</v>
      </c>
      <c r="K4049">
        <v>6972669942</v>
      </c>
      <c r="N4049" t="s">
        <v>615</v>
      </c>
      <c r="O4049" t="s">
        <v>616</v>
      </c>
      <c r="R4049" t="s">
        <v>57</v>
      </c>
      <c r="S4049">
        <v>15</v>
      </c>
      <c r="T4049">
        <v>185</v>
      </c>
      <c r="U4049" s="1">
        <v>32035</v>
      </c>
      <c r="V4049" t="s">
        <v>6729</v>
      </c>
      <c r="W4049" t="s">
        <v>6730</v>
      </c>
      <c r="X4049" t="s">
        <v>58</v>
      </c>
      <c r="Y4049">
        <v>18</v>
      </c>
      <c r="Z4049" t="s">
        <v>59</v>
      </c>
      <c r="AA4049" t="s">
        <v>59</v>
      </c>
      <c r="AB4049" t="s">
        <v>59</v>
      </c>
      <c r="AC4049" t="s">
        <v>59</v>
      </c>
      <c r="AD4049" t="s">
        <v>59</v>
      </c>
      <c r="AF4049" s="1">
        <v>32035</v>
      </c>
      <c r="AG4049" t="s">
        <v>345</v>
      </c>
      <c r="AH4049" t="s">
        <v>346</v>
      </c>
      <c r="AI4049" t="str">
        <f>"5041001"</f>
        <v>5041001</v>
      </c>
      <c r="AJ4049" t="s">
        <v>6840</v>
      </c>
      <c r="AK4049">
        <v>2821052100</v>
      </c>
      <c r="AL4049" t="s">
        <v>6841</v>
      </c>
      <c r="AM4049" t="s">
        <v>88</v>
      </c>
      <c r="AN4049" t="s">
        <v>88</v>
      </c>
      <c r="AO4049" t="s">
        <v>88</v>
      </c>
      <c r="AP4049" t="s">
        <v>88</v>
      </c>
      <c r="AQ4049">
        <v>1</v>
      </c>
      <c r="AR4049" t="s">
        <v>6729</v>
      </c>
      <c r="AS4049" t="s">
        <v>6730</v>
      </c>
      <c r="AT4049" t="s">
        <v>58</v>
      </c>
      <c r="AU4049" t="s">
        <v>68</v>
      </c>
      <c r="AV4049" t="s">
        <v>69</v>
      </c>
      <c r="AW4049" s="1">
        <v>22499</v>
      </c>
      <c r="AX4049">
        <v>2</v>
      </c>
    </row>
    <row r="4050" spans="1:50">
      <c r="A4050">
        <v>201660</v>
      </c>
      <c r="B4050" t="str">
        <f>"113640185"</f>
        <v>113640185</v>
      </c>
      <c r="C4050" t="s">
        <v>50</v>
      </c>
      <c r="D4050" t="s">
        <v>7624</v>
      </c>
      <c r="E4050" t="s">
        <v>250</v>
      </c>
      <c r="F4050" t="s">
        <v>450</v>
      </c>
      <c r="G4050" t="s">
        <v>755</v>
      </c>
      <c r="H4050" t="str">
        <f>"ΤΣΟΜΠΑΝΑ  ΝΕΡΟΚΟΥΡΟΥ"</f>
        <v>ΤΣΟΜΠΑΝΑ  ΝΕΡΟΚΟΥΡΟΥ</v>
      </c>
      <c r="I4050">
        <v>73100</v>
      </c>
      <c r="J4050">
        <v>2821071717</v>
      </c>
      <c r="K4050">
        <v>6942015183</v>
      </c>
      <c r="M4050" t="s">
        <v>7625</v>
      </c>
      <c r="N4050" t="s">
        <v>146</v>
      </c>
      <c r="O4050" t="s">
        <v>147</v>
      </c>
      <c r="R4050" t="s">
        <v>57</v>
      </c>
      <c r="S4050">
        <v>9</v>
      </c>
      <c r="T4050">
        <v>231</v>
      </c>
      <c r="U4050" s="1">
        <v>38230</v>
      </c>
      <c r="V4050" t="s">
        <v>6729</v>
      </c>
      <c r="W4050" t="s">
        <v>6730</v>
      </c>
      <c r="X4050" t="s">
        <v>58</v>
      </c>
      <c r="Y4050">
        <v>20</v>
      </c>
      <c r="Z4050" t="s">
        <v>59</v>
      </c>
      <c r="AA4050" t="s">
        <v>59</v>
      </c>
      <c r="AB4050" t="s">
        <v>59</v>
      </c>
      <c r="AC4050" t="s">
        <v>59</v>
      </c>
      <c r="AD4050" t="s">
        <v>59</v>
      </c>
      <c r="AF4050" s="1">
        <v>38236</v>
      </c>
      <c r="AG4050" t="s">
        <v>125</v>
      </c>
      <c r="AH4050" t="s">
        <v>126</v>
      </c>
      <c r="AI4050" t="str">
        <f>"5001072"</f>
        <v>5001072</v>
      </c>
      <c r="AJ4050" t="s">
        <v>6922</v>
      </c>
      <c r="AK4050">
        <v>2821055471</v>
      </c>
      <c r="AL4050" t="s">
        <v>6923</v>
      </c>
      <c r="AM4050" t="s">
        <v>88</v>
      </c>
      <c r="AN4050" t="s">
        <v>88</v>
      </c>
      <c r="AO4050" t="s">
        <v>88</v>
      </c>
      <c r="AP4050" t="s">
        <v>88</v>
      </c>
      <c r="AQ4050">
        <v>1</v>
      </c>
      <c r="AR4050" t="s">
        <v>6729</v>
      </c>
      <c r="AS4050" t="s">
        <v>6730</v>
      </c>
      <c r="AT4050" t="s">
        <v>58</v>
      </c>
      <c r="AU4050" t="s">
        <v>68</v>
      </c>
      <c r="AV4050" t="s">
        <v>69</v>
      </c>
      <c r="AW4050" s="1">
        <v>28838</v>
      </c>
      <c r="AX4050">
        <v>2</v>
      </c>
    </row>
    <row r="4051" spans="1:50">
      <c r="A4051">
        <v>212163</v>
      </c>
      <c r="B4051" t="str">
        <f>"112901109"</f>
        <v>112901109</v>
      </c>
      <c r="C4051" t="s">
        <v>50</v>
      </c>
      <c r="D4051" t="s">
        <v>7626</v>
      </c>
      <c r="E4051" t="s">
        <v>964</v>
      </c>
      <c r="F4051" t="s">
        <v>99</v>
      </c>
      <c r="G4051" t="s">
        <v>1189</v>
      </c>
      <c r="H4051" t="str">
        <f>" "</f>
        <v xml:space="preserve"> </v>
      </c>
      <c r="J4051">
        <v>2105729620</v>
      </c>
      <c r="K4051">
        <v>6945190401</v>
      </c>
      <c r="N4051" t="s">
        <v>146</v>
      </c>
      <c r="O4051" t="s">
        <v>147</v>
      </c>
      <c r="R4051" t="s">
        <v>57</v>
      </c>
      <c r="S4051">
        <v>6</v>
      </c>
      <c r="T4051">
        <v>231</v>
      </c>
      <c r="U4051" s="1">
        <v>38960</v>
      </c>
      <c r="V4051" t="s">
        <v>6729</v>
      </c>
      <c r="W4051" t="s">
        <v>6730</v>
      </c>
      <c r="X4051" t="s">
        <v>58</v>
      </c>
      <c r="Y4051">
        <v>20</v>
      </c>
      <c r="Z4051" t="s">
        <v>59</v>
      </c>
      <c r="AA4051" t="s">
        <v>59</v>
      </c>
      <c r="AB4051" t="s">
        <v>59</v>
      </c>
      <c r="AC4051" t="s">
        <v>59</v>
      </c>
      <c r="AD4051" t="s">
        <v>59</v>
      </c>
      <c r="AF4051" s="1">
        <v>38961</v>
      </c>
      <c r="AG4051" t="s">
        <v>148</v>
      </c>
      <c r="AH4051" t="s">
        <v>149</v>
      </c>
      <c r="AI4051" t="str">
        <f>"5056010"</f>
        <v>5056010</v>
      </c>
      <c r="AJ4051" t="s">
        <v>6762</v>
      </c>
      <c r="AK4051">
        <v>2824031210</v>
      </c>
      <c r="AL4051" t="s">
        <v>6763</v>
      </c>
      <c r="AM4051" t="s">
        <v>88</v>
      </c>
      <c r="AN4051" t="s">
        <v>6764</v>
      </c>
      <c r="AO4051" t="s">
        <v>6765</v>
      </c>
      <c r="AP4051" t="s">
        <v>6765</v>
      </c>
      <c r="AQ4051">
        <v>1</v>
      </c>
      <c r="AR4051" t="s">
        <v>6729</v>
      </c>
      <c r="AS4051" t="s">
        <v>6730</v>
      </c>
      <c r="AT4051" t="s">
        <v>58</v>
      </c>
      <c r="AU4051" t="s">
        <v>68</v>
      </c>
      <c r="AV4051" t="s">
        <v>69</v>
      </c>
      <c r="AW4051" s="1">
        <v>28171</v>
      </c>
      <c r="AX4051">
        <v>2</v>
      </c>
    </row>
    <row r="4052" spans="1:50">
      <c r="A4052">
        <v>170478</v>
      </c>
      <c r="B4052" t="str">
        <f>"037468126"</f>
        <v>037468126</v>
      </c>
      <c r="C4052" t="s">
        <v>105</v>
      </c>
      <c r="D4052" t="s">
        <v>7627</v>
      </c>
      <c r="E4052" t="s">
        <v>166</v>
      </c>
      <c r="F4052" t="s">
        <v>99</v>
      </c>
      <c r="G4052" t="s">
        <v>411</v>
      </c>
      <c r="H4052" t="str">
        <f>" "</f>
        <v xml:space="preserve"> </v>
      </c>
      <c r="N4052" t="s">
        <v>232</v>
      </c>
      <c r="O4052" t="s">
        <v>233</v>
      </c>
      <c r="R4052" t="s">
        <v>57</v>
      </c>
      <c r="S4052">
        <v>11</v>
      </c>
      <c r="T4052">
        <v>184</v>
      </c>
      <c r="U4052" s="1">
        <v>34941</v>
      </c>
      <c r="V4052" t="s">
        <v>6729</v>
      </c>
      <c r="W4052" t="s">
        <v>6730</v>
      </c>
      <c r="X4052" t="s">
        <v>58</v>
      </c>
      <c r="Y4052">
        <v>18</v>
      </c>
      <c r="Z4052" t="s">
        <v>59</v>
      </c>
      <c r="AA4052" t="s">
        <v>59</v>
      </c>
      <c r="AB4052" t="s">
        <v>59</v>
      </c>
      <c r="AC4052" t="s">
        <v>59</v>
      </c>
      <c r="AD4052" t="s">
        <v>59</v>
      </c>
      <c r="AF4052" s="1">
        <v>34947</v>
      </c>
      <c r="AG4052" t="s">
        <v>125</v>
      </c>
      <c r="AH4052" t="s">
        <v>126</v>
      </c>
      <c r="AI4052" t="str">
        <f>"5001040"</f>
        <v>5001040</v>
      </c>
      <c r="AJ4052" t="s">
        <v>7126</v>
      </c>
      <c r="AK4052">
        <v>2821088010</v>
      </c>
      <c r="AM4052" t="s">
        <v>88</v>
      </c>
      <c r="AN4052" t="s">
        <v>88</v>
      </c>
      <c r="AO4052" t="s">
        <v>88</v>
      </c>
      <c r="AP4052" t="s">
        <v>88</v>
      </c>
      <c r="AQ4052">
        <v>1</v>
      </c>
      <c r="AR4052" t="s">
        <v>6729</v>
      </c>
      <c r="AS4052" t="s">
        <v>6730</v>
      </c>
      <c r="AT4052" t="s">
        <v>58</v>
      </c>
      <c r="AU4052" t="s">
        <v>68</v>
      </c>
      <c r="AV4052" t="s">
        <v>69</v>
      </c>
      <c r="AW4052" s="1">
        <v>20203</v>
      </c>
      <c r="AX4052">
        <v>2</v>
      </c>
    </row>
    <row r="4053" spans="1:50">
      <c r="A4053">
        <v>228823</v>
      </c>
      <c r="B4053" t="str">
        <f>"044967901"</f>
        <v>044967901</v>
      </c>
      <c r="C4053" t="s">
        <v>105</v>
      </c>
      <c r="D4053" t="s">
        <v>7627</v>
      </c>
      <c r="E4053" t="s">
        <v>106</v>
      </c>
      <c r="F4053" t="s">
        <v>53</v>
      </c>
      <c r="G4053" t="s">
        <v>54</v>
      </c>
      <c r="H4053" t="str">
        <f>" "</f>
        <v xml:space="preserve"> </v>
      </c>
      <c r="J4053">
        <v>2823041956</v>
      </c>
      <c r="K4053">
        <v>6944899135</v>
      </c>
      <c r="M4053" t="s">
        <v>7628</v>
      </c>
      <c r="N4053" t="s">
        <v>189</v>
      </c>
      <c r="O4053" t="s">
        <v>190</v>
      </c>
      <c r="R4053" t="s">
        <v>57</v>
      </c>
      <c r="S4053">
        <v>4</v>
      </c>
      <c r="T4053">
        <v>683</v>
      </c>
      <c r="U4053" s="1">
        <v>40052</v>
      </c>
      <c r="V4053" t="s">
        <v>6729</v>
      </c>
      <c r="W4053" t="s">
        <v>6730</v>
      </c>
      <c r="X4053" t="s">
        <v>58</v>
      </c>
      <c r="Y4053">
        <v>21</v>
      </c>
      <c r="Z4053" t="s">
        <v>59</v>
      </c>
      <c r="AA4053" t="s">
        <v>59</v>
      </c>
      <c r="AB4053" t="s">
        <v>59</v>
      </c>
      <c r="AC4053" t="s">
        <v>59</v>
      </c>
      <c r="AD4053" t="s">
        <v>59</v>
      </c>
      <c r="AF4053" s="1">
        <v>40053</v>
      </c>
      <c r="AG4053" t="s">
        <v>148</v>
      </c>
      <c r="AH4053" t="s">
        <v>149</v>
      </c>
      <c r="AI4053" t="str">
        <f>"5055010"</f>
        <v>5055010</v>
      </c>
      <c r="AJ4053" t="s">
        <v>6868</v>
      </c>
      <c r="AK4053">
        <v>2823041416</v>
      </c>
      <c r="AL4053" t="s">
        <v>6869</v>
      </c>
      <c r="AM4053" t="s">
        <v>88</v>
      </c>
      <c r="AN4053" t="s">
        <v>6824</v>
      </c>
      <c r="AO4053" t="s">
        <v>6870</v>
      </c>
      <c r="AP4053" t="s">
        <v>6871</v>
      </c>
      <c r="AQ4053">
        <v>1</v>
      </c>
      <c r="AR4053" t="s">
        <v>6729</v>
      </c>
      <c r="AS4053" t="s">
        <v>6730</v>
      </c>
      <c r="AT4053" t="s">
        <v>58</v>
      </c>
      <c r="AU4053" t="s">
        <v>68</v>
      </c>
      <c r="AV4053" t="s">
        <v>69</v>
      </c>
      <c r="AW4053" s="1">
        <v>24215</v>
      </c>
      <c r="AX4053">
        <v>2</v>
      </c>
    </row>
    <row r="4054" spans="1:50">
      <c r="A4054">
        <v>703362</v>
      </c>
      <c r="B4054" t="str">
        <f>"058575191"</f>
        <v>058575191</v>
      </c>
      <c r="C4054" t="s">
        <v>105</v>
      </c>
      <c r="D4054" t="s">
        <v>7629</v>
      </c>
      <c r="E4054" t="s">
        <v>383</v>
      </c>
      <c r="F4054" t="s">
        <v>84</v>
      </c>
      <c r="G4054" t="s">
        <v>4729</v>
      </c>
      <c r="H4054" t="str">
        <f>"Μ. ΒΑΜΒΑΚΑ 24 ΧΑΝΙΑ"</f>
        <v>Μ. ΒΑΜΒΑΚΑ 24 ΧΑΝΙΑ</v>
      </c>
      <c r="I4054">
        <v>73100</v>
      </c>
      <c r="J4054">
        <v>2821093526</v>
      </c>
      <c r="K4054">
        <v>6973736100</v>
      </c>
      <c r="M4054" t="s">
        <v>7630</v>
      </c>
      <c r="N4054" t="s">
        <v>257</v>
      </c>
      <c r="O4054" t="s">
        <v>258</v>
      </c>
      <c r="P4054" t="s">
        <v>146</v>
      </c>
      <c r="Q4054" t="s">
        <v>147</v>
      </c>
      <c r="R4054" t="s">
        <v>57</v>
      </c>
      <c r="S4054">
        <v>8</v>
      </c>
      <c r="T4054">
        <v>588</v>
      </c>
      <c r="U4054" s="1">
        <v>40778</v>
      </c>
      <c r="V4054" t="s">
        <v>6729</v>
      </c>
      <c r="W4054" t="s">
        <v>6730</v>
      </c>
      <c r="X4054" t="s">
        <v>58</v>
      </c>
      <c r="Y4054">
        <v>21</v>
      </c>
      <c r="Z4054" t="s">
        <v>59</v>
      </c>
      <c r="AA4054" t="s">
        <v>59</v>
      </c>
      <c r="AB4054" t="s">
        <v>59</v>
      </c>
      <c r="AC4054" t="s">
        <v>59</v>
      </c>
      <c r="AD4054" t="s">
        <v>59</v>
      </c>
      <c r="AF4054" s="1">
        <v>40784</v>
      </c>
      <c r="AG4054" t="s">
        <v>148</v>
      </c>
      <c r="AH4054" t="s">
        <v>149</v>
      </c>
      <c r="AI4054" t="str">
        <f>"5055010"</f>
        <v>5055010</v>
      </c>
      <c r="AJ4054" t="s">
        <v>6868</v>
      </c>
      <c r="AK4054">
        <v>2823041416</v>
      </c>
      <c r="AL4054" t="s">
        <v>6869</v>
      </c>
      <c r="AM4054" t="s">
        <v>88</v>
      </c>
      <c r="AN4054" t="s">
        <v>6824</v>
      </c>
      <c r="AO4054" t="s">
        <v>6870</v>
      </c>
      <c r="AP4054" t="s">
        <v>6871</v>
      </c>
      <c r="AQ4054">
        <v>1</v>
      </c>
      <c r="AR4054" t="s">
        <v>6729</v>
      </c>
      <c r="AS4054" t="s">
        <v>6730</v>
      </c>
      <c r="AT4054" t="s">
        <v>58</v>
      </c>
      <c r="AU4054" t="s">
        <v>68</v>
      </c>
      <c r="AV4054" t="s">
        <v>69</v>
      </c>
      <c r="AW4054" s="1">
        <v>24569</v>
      </c>
      <c r="AX4054">
        <v>2</v>
      </c>
    </row>
    <row r="4055" spans="1:50">
      <c r="A4055">
        <v>183435</v>
      </c>
      <c r="B4055" t="str">
        <f>"042040282"</f>
        <v>042040282</v>
      </c>
      <c r="C4055" t="s">
        <v>50</v>
      </c>
      <c r="D4055" t="s">
        <v>7631</v>
      </c>
      <c r="E4055" t="s">
        <v>52</v>
      </c>
      <c r="F4055" t="s">
        <v>3756</v>
      </c>
      <c r="G4055" t="s">
        <v>7632</v>
      </c>
      <c r="H4055" t="str">
        <f>" "</f>
        <v xml:space="preserve"> </v>
      </c>
      <c r="M4055" t="s">
        <v>7633</v>
      </c>
      <c r="N4055" t="s">
        <v>146</v>
      </c>
      <c r="O4055" t="s">
        <v>147</v>
      </c>
      <c r="R4055" t="s">
        <v>57</v>
      </c>
      <c r="S4055">
        <v>13</v>
      </c>
      <c r="T4055">
        <v>177</v>
      </c>
      <c r="U4055" s="1">
        <v>36403</v>
      </c>
      <c r="V4055" t="s">
        <v>6729</v>
      </c>
      <c r="W4055" t="s">
        <v>6730</v>
      </c>
      <c r="X4055" t="s">
        <v>58</v>
      </c>
      <c r="Y4055">
        <v>18</v>
      </c>
      <c r="Z4055" t="s">
        <v>59</v>
      </c>
      <c r="AA4055" t="s">
        <v>59</v>
      </c>
      <c r="AB4055" t="s">
        <v>59</v>
      </c>
      <c r="AC4055" t="s">
        <v>59</v>
      </c>
      <c r="AD4055" t="s">
        <v>59</v>
      </c>
      <c r="AF4055" s="1">
        <v>36410</v>
      </c>
      <c r="AG4055" t="s">
        <v>137</v>
      </c>
      <c r="AH4055" t="s">
        <v>138</v>
      </c>
      <c r="AI4055" t="str">
        <f>"5040050"</f>
        <v>5040050</v>
      </c>
      <c r="AJ4055" t="s">
        <v>6750</v>
      </c>
      <c r="AK4055">
        <v>2821043147</v>
      </c>
      <c r="AL4055" t="s">
        <v>6751</v>
      </c>
      <c r="AM4055" t="s">
        <v>88</v>
      </c>
      <c r="AN4055" t="s">
        <v>88</v>
      </c>
      <c r="AO4055" t="s">
        <v>88</v>
      </c>
      <c r="AP4055" t="s">
        <v>88</v>
      </c>
      <c r="AQ4055">
        <v>1</v>
      </c>
      <c r="AR4055" t="s">
        <v>6729</v>
      </c>
      <c r="AS4055" t="s">
        <v>6730</v>
      </c>
      <c r="AT4055" t="s">
        <v>58</v>
      </c>
      <c r="AU4055" t="s">
        <v>68</v>
      </c>
      <c r="AV4055" t="s">
        <v>69</v>
      </c>
      <c r="AW4055" s="1">
        <v>19945</v>
      </c>
      <c r="AX4055">
        <v>2</v>
      </c>
    </row>
    <row r="4056" spans="1:50">
      <c r="A4056">
        <v>161421</v>
      </c>
      <c r="B4056" t="str">
        <f>"063264647"</f>
        <v>063264647</v>
      </c>
      <c r="C4056" t="s">
        <v>50</v>
      </c>
      <c r="D4056" t="s">
        <v>7634</v>
      </c>
      <c r="E4056" t="s">
        <v>7635</v>
      </c>
      <c r="F4056" t="s">
        <v>154</v>
      </c>
      <c r="G4056" t="s">
        <v>52</v>
      </c>
      <c r="H4056" t="str">
        <f>" "</f>
        <v xml:space="preserve"> </v>
      </c>
      <c r="N4056" t="s">
        <v>299</v>
      </c>
      <c r="O4056" t="s">
        <v>300</v>
      </c>
      <c r="R4056" t="s">
        <v>57</v>
      </c>
      <c r="S4056">
        <v>17</v>
      </c>
      <c r="T4056">
        <v>161</v>
      </c>
      <c r="U4056" s="1">
        <v>33119</v>
      </c>
      <c r="V4056" t="s">
        <v>6729</v>
      </c>
      <c r="W4056" t="s">
        <v>6730</v>
      </c>
      <c r="X4056" t="s">
        <v>58</v>
      </c>
      <c r="Y4056">
        <v>18</v>
      </c>
      <c r="Z4056" t="s">
        <v>59</v>
      </c>
      <c r="AA4056" t="s">
        <v>59</v>
      </c>
      <c r="AB4056" t="s">
        <v>59</v>
      </c>
      <c r="AC4056" t="s">
        <v>59</v>
      </c>
      <c r="AD4056" t="s">
        <v>59</v>
      </c>
      <c r="AF4056" s="1">
        <v>33121</v>
      </c>
      <c r="AG4056" t="s">
        <v>125</v>
      </c>
      <c r="AH4056" t="s">
        <v>126</v>
      </c>
      <c r="AI4056" t="str">
        <f>"5001080"</f>
        <v>5001080</v>
      </c>
      <c r="AJ4056" t="s">
        <v>6984</v>
      </c>
      <c r="AK4056">
        <v>2821068020</v>
      </c>
      <c r="AL4056" t="s">
        <v>6985</v>
      </c>
      <c r="AM4056" t="s">
        <v>88</v>
      </c>
      <c r="AN4056" t="s">
        <v>6764</v>
      </c>
      <c r="AO4056" t="s">
        <v>6764</v>
      </c>
      <c r="AP4056" t="s">
        <v>6764</v>
      </c>
      <c r="AQ4056">
        <v>1</v>
      </c>
      <c r="AR4056" t="s">
        <v>6729</v>
      </c>
      <c r="AS4056" t="s">
        <v>6730</v>
      </c>
      <c r="AT4056" t="s">
        <v>58</v>
      </c>
      <c r="AU4056" t="s">
        <v>68</v>
      </c>
      <c r="AV4056" t="s">
        <v>69</v>
      </c>
      <c r="AW4056" s="1">
        <v>20540</v>
      </c>
      <c r="AX4056">
        <v>2</v>
      </c>
    </row>
    <row r="4057" spans="1:50">
      <c r="A4057">
        <v>212165</v>
      </c>
      <c r="B4057" t="str">
        <f>"112382305"</f>
        <v>112382305</v>
      </c>
      <c r="C4057" t="s">
        <v>50</v>
      </c>
      <c r="D4057" t="s">
        <v>7636</v>
      </c>
      <c r="E4057" t="s">
        <v>1189</v>
      </c>
      <c r="F4057" t="s">
        <v>4097</v>
      </c>
      <c r="G4057" t="s">
        <v>114</v>
      </c>
      <c r="H4057" t="str">
        <f>"ΣΚΑΛΤΣΟΥΝΗ 33 ΧΑΝΙΑ"</f>
        <v>ΣΚΑΛΤΣΟΥΝΗ 33 ΧΑΝΙΑ</v>
      </c>
      <c r="I4057">
        <v>73100</v>
      </c>
      <c r="J4057">
        <v>2821099833</v>
      </c>
      <c r="K4057">
        <v>6944466019</v>
      </c>
      <c r="M4057" t="s">
        <v>7637</v>
      </c>
      <c r="N4057" t="s">
        <v>146</v>
      </c>
      <c r="O4057" t="s">
        <v>147</v>
      </c>
      <c r="R4057" t="s">
        <v>57</v>
      </c>
      <c r="S4057">
        <v>12</v>
      </c>
      <c r="T4057">
        <v>231</v>
      </c>
      <c r="U4057" s="1">
        <v>38960</v>
      </c>
      <c r="V4057" t="s">
        <v>6729</v>
      </c>
      <c r="W4057" t="s">
        <v>6730</v>
      </c>
      <c r="X4057" t="s">
        <v>58</v>
      </c>
      <c r="Y4057">
        <v>20</v>
      </c>
      <c r="Z4057" t="s">
        <v>59</v>
      </c>
      <c r="AA4057" t="s">
        <v>59</v>
      </c>
      <c r="AB4057" t="s">
        <v>59</v>
      </c>
      <c r="AC4057" t="s">
        <v>59</v>
      </c>
      <c r="AD4057" t="s">
        <v>59</v>
      </c>
      <c r="AF4057" s="1">
        <v>38961</v>
      </c>
      <c r="AG4057" t="s">
        <v>125</v>
      </c>
      <c r="AH4057" t="s">
        <v>294</v>
      </c>
      <c r="AI4057" t="str">
        <f>"5012017"</f>
        <v>5012017</v>
      </c>
      <c r="AJ4057" t="s">
        <v>6859</v>
      </c>
      <c r="AK4057">
        <v>2821088065</v>
      </c>
      <c r="AL4057" t="s">
        <v>6860</v>
      </c>
      <c r="AM4057" t="s">
        <v>88</v>
      </c>
      <c r="AN4057" t="s">
        <v>88</v>
      </c>
      <c r="AO4057" t="s">
        <v>88</v>
      </c>
      <c r="AP4057" t="s">
        <v>88</v>
      </c>
      <c r="AQ4057">
        <v>1</v>
      </c>
      <c r="AR4057" t="s">
        <v>6729</v>
      </c>
      <c r="AS4057" t="s">
        <v>6730</v>
      </c>
      <c r="AT4057" t="s">
        <v>58</v>
      </c>
      <c r="AU4057" t="s">
        <v>68</v>
      </c>
      <c r="AV4057" t="s">
        <v>69</v>
      </c>
      <c r="AW4057" s="1">
        <v>26855</v>
      </c>
      <c r="AX4057">
        <v>2</v>
      </c>
    </row>
    <row r="4058" spans="1:50">
      <c r="A4058">
        <v>222278</v>
      </c>
      <c r="B4058" t="str">
        <f>"101591945"</f>
        <v>101591945</v>
      </c>
      <c r="C4058" t="s">
        <v>105</v>
      </c>
      <c r="D4058" t="s">
        <v>7638</v>
      </c>
      <c r="E4058" t="s">
        <v>450</v>
      </c>
      <c r="F4058" t="s">
        <v>95</v>
      </c>
      <c r="G4058" t="s">
        <v>476</v>
      </c>
      <c r="H4058" t="str">
        <f>"ΣΑΡΑΒΕΛΑΚΗ 14 ΔΑΡΑΤΣΟ ΝΕΑΣ ΚΥΔΩΝΙΑΣ"</f>
        <v>ΣΑΡΑΒΕΛΑΚΗ 14 ΔΑΡΑΤΣΟ ΝΕΑΣ ΚΥΔΩΝΙΑΣ</v>
      </c>
      <c r="I4058">
        <v>73100</v>
      </c>
      <c r="J4058">
        <v>2821031547</v>
      </c>
      <c r="K4058">
        <v>6932906781</v>
      </c>
      <c r="M4058" t="s">
        <v>7639</v>
      </c>
      <c r="N4058" t="s">
        <v>146</v>
      </c>
      <c r="O4058" t="s">
        <v>147</v>
      </c>
      <c r="R4058" t="s">
        <v>57</v>
      </c>
      <c r="S4058">
        <v>7</v>
      </c>
      <c r="T4058">
        <v>775</v>
      </c>
      <c r="U4058" s="1">
        <v>39680</v>
      </c>
      <c r="V4058" t="s">
        <v>6729</v>
      </c>
      <c r="W4058" t="s">
        <v>6730</v>
      </c>
      <c r="X4058" t="s">
        <v>58</v>
      </c>
      <c r="Y4058">
        <v>21</v>
      </c>
      <c r="Z4058" t="s">
        <v>59</v>
      </c>
      <c r="AA4058" t="s">
        <v>59</v>
      </c>
      <c r="AB4058" t="s">
        <v>59</v>
      </c>
      <c r="AC4058" t="s">
        <v>59</v>
      </c>
      <c r="AD4058" t="s">
        <v>59</v>
      </c>
      <c r="AF4058" s="1">
        <v>39681</v>
      </c>
      <c r="AG4058" t="s">
        <v>125</v>
      </c>
      <c r="AH4058" t="s">
        <v>126</v>
      </c>
      <c r="AI4058" t="str">
        <f>"5004020"</f>
        <v>5004020</v>
      </c>
      <c r="AJ4058" t="s">
        <v>6806</v>
      </c>
      <c r="AK4058">
        <v>2822022103</v>
      </c>
      <c r="AL4058" t="s">
        <v>6807</v>
      </c>
      <c r="AM4058" t="s">
        <v>88</v>
      </c>
      <c r="AN4058" t="s">
        <v>6744</v>
      </c>
      <c r="AO4058" t="s">
        <v>6744</v>
      </c>
      <c r="AP4058" t="s">
        <v>6744</v>
      </c>
      <c r="AQ4058">
        <v>1</v>
      </c>
      <c r="AR4058" t="s">
        <v>6729</v>
      </c>
      <c r="AS4058" t="s">
        <v>6730</v>
      </c>
      <c r="AT4058" t="s">
        <v>58</v>
      </c>
      <c r="AU4058" t="s">
        <v>68</v>
      </c>
      <c r="AV4058" t="s">
        <v>69</v>
      </c>
      <c r="AW4058" s="1">
        <v>29757</v>
      </c>
      <c r="AX4058">
        <v>2</v>
      </c>
    </row>
    <row r="4059" spans="1:50">
      <c r="A4059">
        <v>209900</v>
      </c>
      <c r="B4059" t="str">
        <f>"047005023"</f>
        <v>047005023</v>
      </c>
      <c r="C4059" t="s">
        <v>105</v>
      </c>
      <c r="D4059" t="s">
        <v>7640</v>
      </c>
      <c r="E4059" t="s">
        <v>7641</v>
      </c>
      <c r="F4059" t="s">
        <v>1392</v>
      </c>
      <c r="G4059" t="s">
        <v>1120</v>
      </c>
      <c r="H4059" t="str">
        <f>"ΑΓΙΩΝ ΣΑΡΑΝΤΑ 6 ΝΕΡΟΚΟΥΡΟΥ"</f>
        <v>ΑΓΙΩΝ ΣΑΡΑΝΤΑ 6 ΝΕΡΟΚΟΥΡΟΥ</v>
      </c>
      <c r="I4059">
        <v>73100</v>
      </c>
      <c r="J4059">
        <v>2821079371</v>
      </c>
      <c r="K4059">
        <v>6977443161</v>
      </c>
      <c r="N4059" t="s">
        <v>292</v>
      </c>
      <c r="O4059" t="s">
        <v>293</v>
      </c>
      <c r="R4059" t="s">
        <v>57</v>
      </c>
      <c r="S4059">
        <v>6</v>
      </c>
      <c r="T4059" t="s">
        <v>5651</v>
      </c>
      <c r="U4059" s="1">
        <v>38604</v>
      </c>
      <c r="V4059" t="s">
        <v>6729</v>
      </c>
      <c r="W4059" t="s">
        <v>6730</v>
      </c>
      <c r="X4059" t="s">
        <v>58</v>
      </c>
      <c r="Y4059">
        <v>20</v>
      </c>
      <c r="Z4059" t="s">
        <v>59</v>
      </c>
      <c r="AA4059" t="s">
        <v>59</v>
      </c>
      <c r="AB4059" t="s">
        <v>59</v>
      </c>
      <c r="AC4059" t="s">
        <v>59</v>
      </c>
      <c r="AD4059" t="s">
        <v>59</v>
      </c>
      <c r="AF4059" s="1">
        <v>38607</v>
      </c>
      <c r="AG4059" t="s">
        <v>125</v>
      </c>
      <c r="AH4059" t="s">
        <v>126</v>
      </c>
      <c r="AI4059" t="str">
        <f>"5001070"</f>
        <v>5001070</v>
      </c>
      <c r="AJ4059" t="s">
        <v>6731</v>
      </c>
      <c r="AK4059">
        <v>2821088045</v>
      </c>
      <c r="AL4059" t="s">
        <v>6732</v>
      </c>
      <c r="AM4059" t="s">
        <v>88</v>
      </c>
      <c r="AN4059" t="s">
        <v>88</v>
      </c>
      <c r="AO4059" t="s">
        <v>6733</v>
      </c>
      <c r="AP4059" t="s">
        <v>6734</v>
      </c>
      <c r="AQ4059">
        <v>1</v>
      </c>
      <c r="AR4059" t="s">
        <v>6729</v>
      </c>
      <c r="AS4059" t="s">
        <v>6730</v>
      </c>
      <c r="AT4059" t="s">
        <v>58</v>
      </c>
      <c r="AU4059" t="s">
        <v>68</v>
      </c>
      <c r="AV4059" t="s">
        <v>69</v>
      </c>
      <c r="AW4059" s="1">
        <v>27325</v>
      </c>
      <c r="AX4059">
        <v>2</v>
      </c>
    </row>
    <row r="4060" spans="1:50">
      <c r="A4060">
        <v>212167</v>
      </c>
      <c r="B4060" t="str">
        <f>"076186273"</f>
        <v>076186273</v>
      </c>
      <c r="C4060" t="s">
        <v>105</v>
      </c>
      <c r="D4060" t="s">
        <v>7642</v>
      </c>
      <c r="E4060" t="s">
        <v>7643</v>
      </c>
      <c r="F4060" t="s">
        <v>5974</v>
      </c>
      <c r="G4060" t="s">
        <v>1068</v>
      </c>
      <c r="H4060" t="str">
        <f>" "</f>
        <v xml:space="preserve"> </v>
      </c>
      <c r="J4060">
        <v>2821053977</v>
      </c>
      <c r="K4060">
        <v>6972930377</v>
      </c>
      <c r="N4060" t="s">
        <v>146</v>
      </c>
      <c r="O4060" t="s">
        <v>147</v>
      </c>
      <c r="R4060" t="s">
        <v>57</v>
      </c>
      <c r="S4060">
        <v>10</v>
      </c>
      <c r="T4060">
        <v>231</v>
      </c>
      <c r="U4060" s="1">
        <v>38960</v>
      </c>
      <c r="V4060" t="s">
        <v>6729</v>
      </c>
      <c r="W4060" t="s">
        <v>6730</v>
      </c>
      <c r="X4060" t="s">
        <v>58</v>
      </c>
      <c r="Y4060">
        <v>20</v>
      </c>
      <c r="Z4060" t="s">
        <v>59</v>
      </c>
      <c r="AA4060" t="s">
        <v>59</v>
      </c>
      <c r="AB4060" t="s">
        <v>59</v>
      </c>
      <c r="AC4060" t="s">
        <v>59</v>
      </c>
      <c r="AD4060" t="s">
        <v>59</v>
      </c>
      <c r="AF4060" s="1">
        <v>38961</v>
      </c>
      <c r="AG4060" t="s">
        <v>148</v>
      </c>
      <c r="AH4060" t="s">
        <v>149</v>
      </c>
      <c r="AI4060" t="str">
        <f>"5051030"</f>
        <v>5051030</v>
      </c>
      <c r="AJ4060" t="s">
        <v>6760</v>
      </c>
      <c r="AK4060">
        <v>2821027533</v>
      </c>
      <c r="AL4060" t="s">
        <v>6761</v>
      </c>
      <c r="AM4060" t="s">
        <v>88</v>
      </c>
      <c r="AN4060" t="s">
        <v>88</v>
      </c>
      <c r="AO4060" t="s">
        <v>88</v>
      </c>
      <c r="AP4060" t="s">
        <v>88</v>
      </c>
      <c r="AQ4060">
        <v>1</v>
      </c>
      <c r="AR4060" t="s">
        <v>6729</v>
      </c>
      <c r="AS4060" t="s">
        <v>6730</v>
      </c>
      <c r="AT4060" t="s">
        <v>58</v>
      </c>
      <c r="AU4060" t="s">
        <v>68</v>
      </c>
      <c r="AV4060" t="s">
        <v>69</v>
      </c>
      <c r="AW4060" s="1">
        <v>25658</v>
      </c>
      <c r="AX4060">
        <v>2</v>
      </c>
    </row>
    <row r="4061" spans="1:50">
      <c r="B4061" t="str">
        <f>"135224975"</f>
        <v>135224975</v>
      </c>
      <c r="C4061" t="s">
        <v>50</v>
      </c>
      <c r="D4061" t="s">
        <v>7644</v>
      </c>
      <c r="E4061" t="s">
        <v>4987</v>
      </c>
      <c r="F4061" t="s">
        <v>99</v>
      </c>
      <c r="G4061" t="s">
        <v>255</v>
      </c>
      <c r="H4061" t="str">
        <f>"ΦΑΡΑΝΤΑΤΩΝ 60 "</f>
        <v xml:space="preserve">ΦΑΡΑΝΤΑΤΩΝ 60 </v>
      </c>
      <c r="I4061">
        <v>11527</v>
      </c>
      <c r="J4061">
        <v>2107703009</v>
      </c>
      <c r="K4061">
        <v>6973324772</v>
      </c>
      <c r="N4061" t="s">
        <v>119</v>
      </c>
      <c r="O4061" t="s">
        <v>120</v>
      </c>
      <c r="R4061" t="s">
        <v>159</v>
      </c>
      <c r="S4061">
        <v>5</v>
      </c>
      <c r="T4061" t="s">
        <v>344</v>
      </c>
      <c r="U4061" s="1">
        <v>43348</v>
      </c>
      <c r="V4061" t="s">
        <v>6729</v>
      </c>
      <c r="W4061" t="s">
        <v>6730</v>
      </c>
      <c r="X4061" t="s">
        <v>58</v>
      </c>
      <c r="Y4061">
        <v>21</v>
      </c>
      <c r="Z4061" t="s">
        <v>59</v>
      </c>
      <c r="AA4061" t="s">
        <v>59</v>
      </c>
      <c r="AB4061" t="s">
        <v>59</v>
      </c>
      <c r="AC4061" t="s">
        <v>59</v>
      </c>
      <c r="AD4061" t="s">
        <v>59</v>
      </c>
      <c r="AF4061" s="1">
        <v>43348</v>
      </c>
      <c r="AG4061" t="s">
        <v>125</v>
      </c>
      <c r="AH4061" t="s">
        <v>126</v>
      </c>
      <c r="AI4061" t="str">
        <f>"5011010"</f>
        <v>5011010</v>
      </c>
      <c r="AJ4061" t="s">
        <v>6877</v>
      </c>
      <c r="AK4061">
        <v>2821081330</v>
      </c>
      <c r="AL4061" t="s">
        <v>6878</v>
      </c>
      <c r="AM4061" t="s">
        <v>88</v>
      </c>
      <c r="AN4061" t="s">
        <v>88</v>
      </c>
      <c r="AO4061" t="s">
        <v>6748</v>
      </c>
      <c r="AP4061" t="s">
        <v>6748</v>
      </c>
      <c r="AQ4061">
        <v>1</v>
      </c>
      <c r="AR4061" t="s">
        <v>6729</v>
      </c>
      <c r="AS4061" t="s">
        <v>6730</v>
      </c>
      <c r="AT4061" t="s">
        <v>58</v>
      </c>
      <c r="AU4061" t="s">
        <v>350</v>
      </c>
      <c r="AV4061" t="s">
        <v>132</v>
      </c>
      <c r="AW4061" s="1">
        <v>30537</v>
      </c>
      <c r="AX4061">
        <v>2</v>
      </c>
    </row>
    <row r="4062" spans="1:50">
      <c r="A4062">
        <v>169837</v>
      </c>
      <c r="B4062" t="str">
        <f>"043995533"</f>
        <v>043995533</v>
      </c>
      <c r="C4062" t="s">
        <v>50</v>
      </c>
      <c r="D4062" t="s">
        <v>7644</v>
      </c>
      <c r="E4062" t="s">
        <v>6137</v>
      </c>
      <c r="F4062" t="s">
        <v>95</v>
      </c>
      <c r="G4062" t="s">
        <v>93</v>
      </c>
      <c r="H4062" t="str">
        <f>" "</f>
        <v xml:space="preserve"> </v>
      </c>
      <c r="N4062" t="s">
        <v>146</v>
      </c>
      <c r="O4062" t="s">
        <v>147</v>
      </c>
      <c r="R4062" t="s">
        <v>57</v>
      </c>
      <c r="S4062">
        <v>12</v>
      </c>
      <c r="T4062">
        <v>184</v>
      </c>
      <c r="U4062" s="1">
        <v>34941</v>
      </c>
      <c r="V4062" t="s">
        <v>6729</v>
      </c>
      <c r="W4062" t="s">
        <v>6730</v>
      </c>
      <c r="X4062" t="s">
        <v>58</v>
      </c>
      <c r="Y4062">
        <v>18</v>
      </c>
      <c r="Z4062" t="s">
        <v>59</v>
      </c>
      <c r="AA4062" t="s">
        <v>59</v>
      </c>
      <c r="AB4062" t="s">
        <v>59</v>
      </c>
      <c r="AC4062" t="s">
        <v>59</v>
      </c>
      <c r="AD4062" t="s">
        <v>59</v>
      </c>
      <c r="AF4062" s="1">
        <v>34943</v>
      </c>
      <c r="AG4062" t="s">
        <v>125</v>
      </c>
      <c r="AH4062" t="s">
        <v>126</v>
      </c>
      <c r="AI4062" t="str">
        <f>"5001080"</f>
        <v>5001080</v>
      </c>
      <c r="AJ4062" t="s">
        <v>6984</v>
      </c>
      <c r="AK4062">
        <v>2821068020</v>
      </c>
      <c r="AL4062" t="s">
        <v>6985</v>
      </c>
      <c r="AM4062" t="s">
        <v>88</v>
      </c>
      <c r="AN4062" t="s">
        <v>6764</v>
      </c>
      <c r="AO4062" t="s">
        <v>6764</v>
      </c>
      <c r="AP4062" t="s">
        <v>6764</v>
      </c>
      <c r="AQ4062">
        <v>1</v>
      </c>
      <c r="AR4062" t="s">
        <v>6729</v>
      </c>
      <c r="AS4062" t="s">
        <v>6730</v>
      </c>
      <c r="AT4062" t="s">
        <v>58</v>
      </c>
      <c r="AU4062" t="s">
        <v>68</v>
      </c>
      <c r="AV4062" t="s">
        <v>69</v>
      </c>
      <c r="AW4062" s="1">
        <v>24097</v>
      </c>
      <c r="AX4062">
        <v>2</v>
      </c>
    </row>
    <row r="4063" spans="1:50">
      <c r="A4063">
        <v>173980</v>
      </c>
      <c r="B4063" t="str">
        <f>"027319776"</f>
        <v>027319776</v>
      </c>
      <c r="C4063" t="s">
        <v>50</v>
      </c>
      <c r="D4063" t="s">
        <v>2387</v>
      </c>
      <c r="E4063" t="s">
        <v>83</v>
      </c>
      <c r="F4063" t="s">
        <v>154</v>
      </c>
      <c r="G4063" t="s">
        <v>93</v>
      </c>
      <c r="H4063" t="str">
        <f>"ΣΤΕΡΝΕΣ ΑΚΡΩΤΗΡΙΟΥ ΑΚΡΩΤΗΡΙ ΧΑΝΙΩΝ"</f>
        <v>ΣΤΕΡΝΕΣ ΑΚΡΩΤΗΡΙΟΥ ΑΚΡΩΤΗΡΙ ΧΑΝΙΩΝ</v>
      </c>
      <c r="I4063">
        <v>73100</v>
      </c>
      <c r="J4063">
        <v>2821066094</v>
      </c>
      <c r="K4063">
        <v>6946339883</v>
      </c>
      <c r="N4063" t="s">
        <v>246</v>
      </c>
      <c r="O4063" t="s">
        <v>247</v>
      </c>
      <c r="R4063" t="s">
        <v>57</v>
      </c>
      <c r="S4063">
        <v>13</v>
      </c>
      <c r="T4063">
        <v>166</v>
      </c>
      <c r="U4063" s="1">
        <v>35300</v>
      </c>
      <c r="V4063" t="s">
        <v>6729</v>
      </c>
      <c r="W4063" t="s">
        <v>6730</v>
      </c>
      <c r="X4063" t="s">
        <v>58</v>
      </c>
      <c r="Y4063">
        <v>18</v>
      </c>
      <c r="Z4063" t="s">
        <v>59</v>
      </c>
      <c r="AA4063" t="s">
        <v>59</v>
      </c>
      <c r="AB4063" t="s">
        <v>59</v>
      </c>
      <c r="AC4063" t="s">
        <v>59</v>
      </c>
      <c r="AD4063" t="s">
        <v>59</v>
      </c>
      <c r="AF4063" s="1">
        <v>35310</v>
      </c>
      <c r="AG4063" t="s">
        <v>125</v>
      </c>
      <c r="AH4063" t="s">
        <v>126</v>
      </c>
      <c r="AI4063" t="str">
        <f>"5001075"</f>
        <v>5001075</v>
      </c>
      <c r="AJ4063" t="s">
        <v>6768</v>
      </c>
      <c r="AK4063">
        <v>2821064200</v>
      </c>
      <c r="AL4063" t="s">
        <v>6769</v>
      </c>
      <c r="AM4063" t="s">
        <v>88</v>
      </c>
      <c r="AN4063" t="s">
        <v>88</v>
      </c>
      <c r="AO4063" t="s">
        <v>6770</v>
      </c>
      <c r="AP4063" t="s">
        <v>6771</v>
      </c>
      <c r="AQ4063">
        <v>1</v>
      </c>
      <c r="AR4063" t="s">
        <v>6729</v>
      </c>
      <c r="AS4063" t="s">
        <v>6730</v>
      </c>
      <c r="AT4063" t="s">
        <v>58</v>
      </c>
      <c r="AU4063" t="s">
        <v>68</v>
      </c>
      <c r="AV4063" t="s">
        <v>69</v>
      </c>
      <c r="AW4063" s="1">
        <v>21734</v>
      </c>
      <c r="AX4063">
        <v>2</v>
      </c>
    </row>
    <row r="4064" spans="1:50">
      <c r="A4064">
        <v>168853</v>
      </c>
      <c r="B4064" t="str">
        <f>"064337899"</f>
        <v>064337899</v>
      </c>
      <c r="C4064" t="s">
        <v>50</v>
      </c>
      <c r="D4064" t="s">
        <v>2387</v>
      </c>
      <c r="E4064" t="s">
        <v>563</v>
      </c>
      <c r="F4064" t="s">
        <v>965</v>
      </c>
      <c r="G4064" t="s">
        <v>52</v>
      </c>
      <c r="H4064" t="str">
        <f>"ΚΑΜΠΑΝΙ ΑΚΡΩΤΗΡΙΟΥ ΑΚΡΩΤΗΡΙ ΧΑΝΙΩΝ"</f>
        <v>ΚΑΜΠΑΝΙ ΑΚΡΩΤΗΡΙΟΥ ΑΚΡΩΤΗΡΙ ΧΑΝΙΩΝ</v>
      </c>
      <c r="I4064">
        <v>73100</v>
      </c>
      <c r="J4064">
        <v>2821064762</v>
      </c>
      <c r="K4064">
        <v>6974463285</v>
      </c>
      <c r="N4064" t="s">
        <v>587</v>
      </c>
      <c r="O4064" t="s">
        <v>588</v>
      </c>
      <c r="P4064" t="s">
        <v>1525</v>
      </c>
      <c r="Q4064" t="s">
        <v>1526</v>
      </c>
      <c r="R4064" t="s">
        <v>57</v>
      </c>
      <c r="S4064">
        <v>12</v>
      </c>
      <c r="T4064">
        <v>159</v>
      </c>
      <c r="U4064" s="1">
        <v>34582</v>
      </c>
      <c r="V4064" t="s">
        <v>6729</v>
      </c>
      <c r="W4064" t="s">
        <v>6730</v>
      </c>
      <c r="X4064" t="s">
        <v>58</v>
      </c>
      <c r="Y4064">
        <v>18</v>
      </c>
      <c r="Z4064" t="s">
        <v>59</v>
      </c>
      <c r="AA4064" t="s">
        <v>59</v>
      </c>
      <c r="AB4064" t="s">
        <v>59</v>
      </c>
      <c r="AC4064" t="s">
        <v>59</v>
      </c>
      <c r="AD4064" t="s">
        <v>59</v>
      </c>
      <c r="AF4064" s="1">
        <v>34667</v>
      </c>
      <c r="AG4064" t="s">
        <v>125</v>
      </c>
      <c r="AH4064" t="s">
        <v>126</v>
      </c>
      <c r="AI4064" t="str">
        <f>"5001075"</f>
        <v>5001075</v>
      </c>
      <c r="AJ4064" t="s">
        <v>6768</v>
      </c>
      <c r="AK4064">
        <v>2821064200</v>
      </c>
      <c r="AL4064" t="s">
        <v>6769</v>
      </c>
      <c r="AM4064" t="s">
        <v>88</v>
      </c>
      <c r="AN4064" t="s">
        <v>88</v>
      </c>
      <c r="AO4064" t="s">
        <v>6770</v>
      </c>
      <c r="AP4064" t="s">
        <v>6771</v>
      </c>
      <c r="AQ4064">
        <v>1</v>
      </c>
      <c r="AR4064" t="s">
        <v>6729</v>
      </c>
      <c r="AS4064" t="s">
        <v>6730</v>
      </c>
      <c r="AT4064" t="s">
        <v>58</v>
      </c>
      <c r="AU4064" t="s">
        <v>68</v>
      </c>
      <c r="AV4064" t="s">
        <v>69</v>
      </c>
      <c r="AW4064" s="1">
        <v>23184</v>
      </c>
      <c r="AX4064">
        <v>2</v>
      </c>
    </row>
    <row r="4065" spans="1:50">
      <c r="A4065">
        <v>401465</v>
      </c>
      <c r="B4065" t="str">
        <f>"057691966"</f>
        <v>057691966</v>
      </c>
      <c r="C4065" t="s">
        <v>50</v>
      </c>
      <c r="D4065" t="s">
        <v>7645</v>
      </c>
      <c r="E4065" t="s">
        <v>934</v>
      </c>
      <c r="F4065" t="s">
        <v>450</v>
      </c>
      <c r="G4065" t="s">
        <v>238</v>
      </c>
      <c r="H4065" t="str">
        <f>"Γ 'ΣΟΔΥ ΚΑΛΑΘΑΣ"</f>
        <v>Γ 'ΣΟΔΥ ΚΑΛΑΘΑΣ</v>
      </c>
      <c r="I4065">
        <v>73100</v>
      </c>
      <c r="J4065">
        <v>2821049203</v>
      </c>
      <c r="K4065">
        <v>6944173410</v>
      </c>
      <c r="M4065" t="s">
        <v>7646</v>
      </c>
      <c r="N4065" t="s">
        <v>292</v>
      </c>
      <c r="O4065" t="s">
        <v>293</v>
      </c>
      <c r="R4065" t="s">
        <v>57</v>
      </c>
      <c r="S4065">
        <v>8</v>
      </c>
      <c r="T4065" t="s">
        <v>1230</v>
      </c>
      <c r="U4065" s="1">
        <v>40057</v>
      </c>
      <c r="V4065" t="s">
        <v>6729</v>
      </c>
      <c r="W4065" t="s">
        <v>6730</v>
      </c>
      <c r="X4065" t="s">
        <v>58</v>
      </c>
      <c r="Y4065">
        <v>20</v>
      </c>
      <c r="Z4065" t="s">
        <v>59</v>
      </c>
      <c r="AA4065" t="s">
        <v>59</v>
      </c>
      <c r="AB4065" t="s">
        <v>59</v>
      </c>
      <c r="AC4065" t="s">
        <v>59</v>
      </c>
      <c r="AD4065" t="s">
        <v>59</v>
      </c>
      <c r="AF4065" s="1">
        <v>40063</v>
      </c>
      <c r="AG4065" t="s">
        <v>148</v>
      </c>
      <c r="AH4065" t="s">
        <v>149</v>
      </c>
      <c r="AI4065" t="str">
        <f>"5062010"</f>
        <v>5062010</v>
      </c>
      <c r="AJ4065" t="s">
        <v>6783</v>
      </c>
      <c r="AK4065">
        <v>2821031620</v>
      </c>
      <c r="AL4065" t="s">
        <v>6784</v>
      </c>
      <c r="AM4065" t="s">
        <v>88</v>
      </c>
      <c r="AN4065" t="s">
        <v>88</v>
      </c>
      <c r="AO4065" t="s">
        <v>6785</v>
      </c>
      <c r="AP4065" t="s">
        <v>6786</v>
      </c>
      <c r="AQ4065">
        <v>1</v>
      </c>
      <c r="AR4065" t="s">
        <v>6729</v>
      </c>
      <c r="AS4065" t="s">
        <v>6730</v>
      </c>
      <c r="AT4065" t="s">
        <v>58</v>
      </c>
      <c r="AU4065" t="s">
        <v>68</v>
      </c>
      <c r="AV4065" t="s">
        <v>357</v>
      </c>
      <c r="AW4065" s="1">
        <v>26248</v>
      </c>
      <c r="AX4065">
        <v>2</v>
      </c>
    </row>
    <row r="4066" spans="1:50">
      <c r="A4066">
        <v>209579</v>
      </c>
      <c r="B4066" t="str">
        <f>"100602038"</f>
        <v>100602038</v>
      </c>
      <c r="C4066" t="s">
        <v>50</v>
      </c>
      <c r="D4066" t="s">
        <v>7647</v>
      </c>
      <c r="E4066" t="s">
        <v>396</v>
      </c>
      <c r="F4066" t="s">
        <v>450</v>
      </c>
      <c r="G4066" t="s">
        <v>96</v>
      </c>
      <c r="H4066" t="str">
        <f>"ΜΟΥΡΝΙΩΝ 41 ΧΑΝΙΑ"</f>
        <v>ΜΟΥΡΝΙΩΝ 41 ΧΑΝΙΑ</v>
      </c>
      <c r="I4066">
        <v>73300</v>
      </c>
      <c r="J4066">
        <v>2821072153</v>
      </c>
      <c r="K4066">
        <v>6937419812</v>
      </c>
      <c r="M4066" t="s">
        <v>7648</v>
      </c>
      <c r="N4066" t="s">
        <v>146</v>
      </c>
      <c r="O4066" t="s">
        <v>147</v>
      </c>
      <c r="R4066" t="s">
        <v>57</v>
      </c>
      <c r="S4066">
        <v>8</v>
      </c>
      <c r="T4066">
        <v>225</v>
      </c>
      <c r="U4066" s="1">
        <v>38604</v>
      </c>
      <c r="V4066" t="s">
        <v>6729</v>
      </c>
      <c r="W4066" t="s">
        <v>6730</v>
      </c>
      <c r="X4066" t="s">
        <v>58</v>
      </c>
      <c r="Y4066">
        <v>20</v>
      </c>
      <c r="Z4066" t="s">
        <v>59</v>
      </c>
      <c r="AA4066" t="s">
        <v>59</v>
      </c>
      <c r="AB4066" t="s">
        <v>59</v>
      </c>
      <c r="AC4066" t="s">
        <v>59</v>
      </c>
      <c r="AD4066" t="s">
        <v>59</v>
      </c>
      <c r="AF4066" s="1">
        <v>38608</v>
      </c>
      <c r="AG4066" t="s">
        <v>125</v>
      </c>
      <c r="AH4066" t="s">
        <v>126</v>
      </c>
      <c r="AI4066" t="str">
        <f>"5001076"</f>
        <v>5001076</v>
      </c>
      <c r="AJ4066" t="s">
        <v>6979</v>
      </c>
      <c r="AK4066">
        <v>2821088808</v>
      </c>
      <c r="AL4066" t="s">
        <v>6980</v>
      </c>
      <c r="AM4066" t="s">
        <v>88</v>
      </c>
      <c r="AN4066" t="s">
        <v>88</v>
      </c>
      <c r="AO4066" t="s">
        <v>6733</v>
      </c>
      <c r="AP4066" t="s">
        <v>6755</v>
      </c>
      <c r="AQ4066">
        <v>1</v>
      </c>
      <c r="AR4066" t="s">
        <v>6729</v>
      </c>
      <c r="AS4066" t="s">
        <v>6730</v>
      </c>
      <c r="AT4066" t="s">
        <v>58</v>
      </c>
      <c r="AU4066" t="s">
        <v>68</v>
      </c>
      <c r="AV4066" t="s">
        <v>357</v>
      </c>
      <c r="AW4066" s="1">
        <v>28445</v>
      </c>
      <c r="AX4066">
        <v>2</v>
      </c>
    </row>
    <row r="4067" spans="1:50">
      <c r="A4067">
        <v>227988</v>
      </c>
      <c r="B4067" t="str">
        <f>"079766525"</f>
        <v>079766525</v>
      </c>
      <c r="C4067" t="s">
        <v>105</v>
      </c>
      <c r="D4067" t="s">
        <v>7649</v>
      </c>
      <c r="E4067" t="s">
        <v>153</v>
      </c>
      <c r="F4067" t="s">
        <v>166</v>
      </c>
      <c r="G4067" t="s">
        <v>52</v>
      </c>
      <c r="H4067" t="str">
        <f>"ΜΑΝΟΥΣΟΓΙΑΝΝΑΚΗΔΩΝ 60 ΧΑΝΙΑ-ΚΡΗΤΗΣ"</f>
        <v>ΜΑΝΟΥΣΟΓΙΑΝΝΑΚΗΔΩΝ 60 ΧΑΝΙΑ-ΚΡΗΤΗΣ</v>
      </c>
      <c r="I4067">
        <v>73136</v>
      </c>
      <c r="J4067">
        <v>2821099545</v>
      </c>
      <c r="K4067">
        <v>6932069626</v>
      </c>
      <c r="N4067" t="s">
        <v>176</v>
      </c>
      <c r="O4067" t="s">
        <v>177</v>
      </c>
      <c r="R4067" t="s">
        <v>57</v>
      </c>
      <c r="S4067">
        <v>7</v>
      </c>
      <c r="T4067">
        <v>654</v>
      </c>
      <c r="U4067" s="1">
        <v>40043</v>
      </c>
      <c r="V4067" t="s">
        <v>6729</v>
      </c>
      <c r="W4067" t="s">
        <v>6730</v>
      </c>
      <c r="X4067" t="s">
        <v>58</v>
      </c>
      <c r="Y4067">
        <v>20</v>
      </c>
      <c r="Z4067" t="s">
        <v>59</v>
      </c>
      <c r="AA4067" t="s">
        <v>59</v>
      </c>
      <c r="AB4067" t="s">
        <v>59</v>
      </c>
      <c r="AC4067" t="s">
        <v>59</v>
      </c>
      <c r="AD4067" t="s">
        <v>59</v>
      </c>
      <c r="AF4067" s="1">
        <v>40043</v>
      </c>
      <c r="AG4067" t="s">
        <v>345</v>
      </c>
      <c r="AH4067" t="s">
        <v>346</v>
      </c>
      <c r="AI4067" t="str">
        <f>"5041001"</f>
        <v>5041001</v>
      </c>
      <c r="AJ4067" t="s">
        <v>6840</v>
      </c>
      <c r="AK4067">
        <v>2821052100</v>
      </c>
      <c r="AL4067" t="s">
        <v>6841</v>
      </c>
      <c r="AM4067" t="s">
        <v>88</v>
      </c>
      <c r="AN4067" t="s">
        <v>88</v>
      </c>
      <c r="AO4067" t="s">
        <v>88</v>
      </c>
      <c r="AP4067" t="s">
        <v>88</v>
      </c>
      <c r="AQ4067">
        <v>1</v>
      </c>
      <c r="AR4067" t="s">
        <v>6729</v>
      </c>
      <c r="AS4067" t="s">
        <v>6730</v>
      </c>
      <c r="AT4067" t="s">
        <v>58</v>
      </c>
      <c r="AU4067" t="s">
        <v>68</v>
      </c>
      <c r="AV4067" t="s">
        <v>69</v>
      </c>
      <c r="AW4067" s="1">
        <v>27900</v>
      </c>
      <c r="AX4067">
        <v>2</v>
      </c>
    </row>
    <row r="4068" spans="1:50">
      <c r="A4068">
        <v>161819</v>
      </c>
      <c r="B4068" t="str">
        <f>"041818766"</f>
        <v>041818766</v>
      </c>
      <c r="C4068" t="s">
        <v>50</v>
      </c>
      <c r="D4068" t="s">
        <v>7650</v>
      </c>
      <c r="E4068" t="s">
        <v>112</v>
      </c>
      <c r="F4068" t="s">
        <v>53</v>
      </c>
      <c r="G4068" t="s">
        <v>1767</v>
      </c>
      <c r="H4068" t="str">
        <f>" "</f>
        <v xml:space="preserve"> </v>
      </c>
      <c r="M4068" t="s">
        <v>7651</v>
      </c>
      <c r="N4068" t="s">
        <v>189</v>
      </c>
      <c r="O4068" t="s">
        <v>190</v>
      </c>
      <c r="R4068" t="s">
        <v>57</v>
      </c>
      <c r="S4068">
        <v>17</v>
      </c>
      <c r="T4068">
        <v>161</v>
      </c>
      <c r="U4068" s="1">
        <v>33119</v>
      </c>
      <c r="V4068" t="s">
        <v>6729</v>
      </c>
      <c r="W4068" t="s">
        <v>6730</v>
      </c>
      <c r="X4068" t="s">
        <v>58</v>
      </c>
      <c r="Y4068">
        <v>18</v>
      </c>
      <c r="Z4068" t="s">
        <v>59</v>
      </c>
      <c r="AA4068" t="s">
        <v>59</v>
      </c>
      <c r="AB4068" t="s">
        <v>59</v>
      </c>
      <c r="AC4068" t="s">
        <v>59</v>
      </c>
      <c r="AD4068" t="s">
        <v>59</v>
      </c>
      <c r="AF4068" s="1">
        <v>33123</v>
      </c>
      <c r="AG4068" t="s">
        <v>137</v>
      </c>
      <c r="AH4068" t="s">
        <v>138</v>
      </c>
      <c r="AI4068" t="str">
        <f>"5040050"</f>
        <v>5040050</v>
      </c>
      <c r="AJ4068" t="s">
        <v>6750</v>
      </c>
      <c r="AK4068">
        <v>2821043147</v>
      </c>
      <c r="AL4068" t="s">
        <v>6751</v>
      </c>
      <c r="AM4068" t="s">
        <v>88</v>
      </c>
      <c r="AN4068" t="s">
        <v>88</v>
      </c>
      <c r="AO4068" t="s">
        <v>88</v>
      </c>
      <c r="AP4068" t="s">
        <v>88</v>
      </c>
      <c r="AQ4068">
        <v>1</v>
      </c>
      <c r="AR4068" t="s">
        <v>6729</v>
      </c>
      <c r="AS4068" t="s">
        <v>6730</v>
      </c>
      <c r="AT4068" t="s">
        <v>58</v>
      </c>
      <c r="AU4068" t="s">
        <v>68</v>
      </c>
      <c r="AV4068" t="s">
        <v>69</v>
      </c>
      <c r="AW4068" s="1">
        <v>22766</v>
      </c>
      <c r="AX4068">
        <v>2</v>
      </c>
    </row>
    <row r="4069" spans="1:50">
      <c r="A4069">
        <v>165706</v>
      </c>
      <c r="B4069" t="str">
        <f>"052537060"</f>
        <v>052537060</v>
      </c>
      <c r="C4069" t="s">
        <v>50</v>
      </c>
      <c r="D4069" t="s">
        <v>7652</v>
      </c>
      <c r="E4069" t="s">
        <v>134</v>
      </c>
      <c r="F4069" t="s">
        <v>53</v>
      </c>
      <c r="G4069" t="s">
        <v>7653</v>
      </c>
      <c r="H4069" t="str">
        <f>"ΗΡ. ΠΟΛΥΤΕΧΝΕΙΟΥ 21 ΧΑΝΙΑ"</f>
        <v>ΗΡ. ΠΟΛΥΤΕΧΝΕΙΟΥ 21 ΧΑΝΙΑ</v>
      </c>
      <c r="I4069">
        <v>73133</v>
      </c>
      <c r="J4069">
        <v>2821027479</v>
      </c>
      <c r="K4069">
        <v>6941607272</v>
      </c>
      <c r="N4069" t="s">
        <v>146</v>
      </c>
      <c r="O4069" t="s">
        <v>147</v>
      </c>
      <c r="R4069" t="s">
        <v>57</v>
      </c>
      <c r="S4069">
        <v>14</v>
      </c>
      <c r="T4069">
        <v>137</v>
      </c>
      <c r="U4069" s="1">
        <v>34206</v>
      </c>
      <c r="V4069" t="s">
        <v>6729</v>
      </c>
      <c r="W4069" t="s">
        <v>6730</v>
      </c>
      <c r="X4069" t="s">
        <v>58</v>
      </c>
      <c r="Y4069">
        <v>18</v>
      </c>
      <c r="Z4069" t="s">
        <v>59</v>
      </c>
      <c r="AA4069" t="s">
        <v>59</v>
      </c>
      <c r="AB4069" t="s">
        <v>59</v>
      </c>
      <c r="AC4069" t="s">
        <v>59</v>
      </c>
      <c r="AD4069" t="s">
        <v>59</v>
      </c>
      <c r="AF4069" s="1">
        <v>34215</v>
      </c>
      <c r="AG4069" t="s">
        <v>137</v>
      </c>
      <c r="AH4069" t="s">
        <v>138</v>
      </c>
      <c r="AI4069" t="str">
        <f>"5040080"</f>
        <v>5040080</v>
      </c>
      <c r="AJ4069" t="s">
        <v>6753</v>
      </c>
      <c r="AK4069">
        <v>2821093155</v>
      </c>
      <c r="AL4069" t="s">
        <v>6754</v>
      </c>
      <c r="AM4069" t="s">
        <v>88</v>
      </c>
      <c r="AN4069" t="s">
        <v>88</v>
      </c>
      <c r="AO4069" t="s">
        <v>6733</v>
      </c>
      <c r="AP4069" t="s">
        <v>6755</v>
      </c>
      <c r="AQ4069">
        <v>1</v>
      </c>
      <c r="AR4069" t="s">
        <v>6729</v>
      </c>
      <c r="AS4069" t="s">
        <v>6730</v>
      </c>
      <c r="AT4069" t="s">
        <v>58</v>
      </c>
      <c r="AU4069" t="s">
        <v>68</v>
      </c>
      <c r="AV4069" t="s">
        <v>69</v>
      </c>
      <c r="AW4069" s="1">
        <v>23356</v>
      </c>
      <c r="AX4069">
        <v>2</v>
      </c>
    </row>
    <row r="4070" spans="1:50">
      <c r="A4070">
        <v>175498</v>
      </c>
      <c r="B4070" t="str">
        <f>"054885116"</f>
        <v>054885116</v>
      </c>
      <c r="C4070" t="s">
        <v>50</v>
      </c>
      <c r="D4070" t="s">
        <v>7652</v>
      </c>
      <c r="E4070" t="s">
        <v>52</v>
      </c>
      <c r="F4070" t="s">
        <v>53</v>
      </c>
      <c r="G4070" t="s">
        <v>7653</v>
      </c>
      <c r="H4070" t="str">
        <f>" "</f>
        <v xml:space="preserve"> </v>
      </c>
      <c r="N4070" t="s">
        <v>146</v>
      </c>
      <c r="O4070" t="s">
        <v>147</v>
      </c>
      <c r="R4070" t="s">
        <v>57</v>
      </c>
      <c r="S4070">
        <v>12</v>
      </c>
      <c r="T4070">
        <v>180</v>
      </c>
      <c r="U4070" s="1">
        <v>35674</v>
      </c>
      <c r="V4070" t="s">
        <v>6729</v>
      </c>
      <c r="W4070" t="s">
        <v>6730</v>
      </c>
      <c r="X4070" t="s">
        <v>58</v>
      </c>
      <c r="Y4070">
        <v>18</v>
      </c>
      <c r="Z4070" t="s">
        <v>59</v>
      </c>
      <c r="AA4070" t="s">
        <v>59</v>
      </c>
      <c r="AB4070" t="s">
        <v>59</v>
      </c>
      <c r="AC4070" t="s">
        <v>59</v>
      </c>
      <c r="AD4070" t="s">
        <v>59</v>
      </c>
      <c r="AF4070" s="1">
        <v>35675</v>
      </c>
      <c r="AG4070" t="s">
        <v>125</v>
      </c>
      <c r="AH4070" t="s">
        <v>126</v>
      </c>
      <c r="AI4070" t="str">
        <f>"5001080"</f>
        <v>5001080</v>
      </c>
      <c r="AJ4070" t="s">
        <v>6984</v>
      </c>
      <c r="AK4070">
        <v>2821068020</v>
      </c>
      <c r="AL4070" t="s">
        <v>6985</v>
      </c>
      <c r="AM4070" t="s">
        <v>88</v>
      </c>
      <c r="AN4070" t="s">
        <v>6764</v>
      </c>
      <c r="AO4070" t="s">
        <v>6764</v>
      </c>
      <c r="AP4070" t="s">
        <v>6764</v>
      </c>
      <c r="AQ4070">
        <v>1</v>
      </c>
      <c r="AR4070" t="s">
        <v>6729</v>
      </c>
      <c r="AS4070" t="s">
        <v>6730</v>
      </c>
      <c r="AT4070" t="s">
        <v>58</v>
      </c>
      <c r="AU4070" t="s">
        <v>68</v>
      </c>
      <c r="AV4070" t="s">
        <v>69</v>
      </c>
      <c r="AW4070" s="1">
        <v>23799</v>
      </c>
      <c r="AX4070">
        <v>2</v>
      </c>
    </row>
    <row r="4071" spans="1:50">
      <c r="A4071">
        <v>208797</v>
      </c>
      <c r="B4071" t="str">
        <f>"063245878"</f>
        <v>063245878</v>
      </c>
      <c r="C4071" t="s">
        <v>50</v>
      </c>
      <c r="D4071" t="s">
        <v>7654</v>
      </c>
      <c r="E4071" t="s">
        <v>7655</v>
      </c>
      <c r="F4071" t="s">
        <v>95</v>
      </c>
      <c r="G4071" t="s">
        <v>52</v>
      </c>
      <c r="H4071" t="str">
        <f>"ΤΕΡΜΑ ΣΟΦΟΚΛΗ ΒΕΝΙΖΕΛΟΥ ΜΟΥΡΝΙΕΣ"</f>
        <v>ΤΕΡΜΑ ΣΟΦΟΚΛΗ ΒΕΝΙΖΕΛΟΥ ΜΟΥΡΝΙΕΣ</v>
      </c>
      <c r="I4071">
        <v>73300</v>
      </c>
      <c r="J4071">
        <v>2821002451</v>
      </c>
      <c r="K4071">
        <v>6944509902</v>
      </c>
      <c r="M4071" t="s">
        <v>7656</v>
      </c>
      <c r="N4071" t="s">
        <v>907</v>
      </c>
      <c r="O4071" t="s">
        <v>908</v>
      </c>
      <c r="R4071" t="s">
        <v>57</v>
      </c>
      <c r="S4071">
        <v>8</v>
      </c>
      <c r="T4071">
        <v>218</v>
      </c>
      <c r="U4071" s="1">
        <v>38596</v>
      </c>
      <c r="V4071" t="s">
        <v>6729</v>
      </c>
      <c r="W4071" t="s">
        <v>6730</v>
      </c>
      <c r="X4071" t="s">
        <v>58</v>
      </c>
      <c r="Y4071">
        <v>20</v>
      </c>
      <c r="Z4071" t="s">
        <v>59</v>
      </c>
      <c r="AA4071" t="s">
        <v>59</v>
      </c>
      <c r="AB4071" t="s">
        <v>59</v>
      </c>
      <c r="AC4071" t="s">
        <v>59</v>
      </c>
      <c r="AD4071" t="s">
        <v>59</v>
      </c>
      <c r="AF4071" s="1">
        <v>38603</v>
      </c>
      <c r="AG4071" t="s">
        <v>137</v>
      </c>
      <c r="AH4071" t="s">
        <v>138</v>
      </c>
      <c r="AI4071" t="str">
        <f>"5050060"</f>
        <v>5050060</v>
      </c>
      <c r="AJ4071" t="s">
        <v>6801</v>
      </c>
      <c r="AK4071">
        <v>2821091515</v>
      </c>
      <c r="AL4071" t="s">
        <v>6802</v>
      </c>
      <c r="AM4071" t="s">
        <v>88</v>
      </c>
      <c r="AN4071" t="s">
        <v>88</v>
      </c>
      <c r="AO4071" t="s">
        <v>88</v>
      </c>
      <c r="AP4071" t="s">
        <v>88</v>
      </c>
      <c r="AQ4071">
        <v>1</v>
      </c>
      <c r="AR4071" t="s">
        <v>6729</v>
      </c>
      <c r="AS4071" t="s">
        <v>6730</v>
      </c>
      <c r="AT4071" t="s">
        <v>58</v>
      </c>
      <c r="AU4071" t="s">
        <v>68</v>
      </c>
      <c r="AV4071" t="s">
        <v>69</v>
      </c>
      <c r="AW4071" s="1">
        <v>26665</v>
      </c>
      <c r="AX4071">
        <v>2</v>
      </c>
    </row>
    <row r="4072" spans="1:50">
      <c r="A4072">
        <v>206682</v>
      </c>
      <c r="B4072" t="str">
        <f>"047447777"</f>
        <v>047447777</v>
      </c>
      <c r="C4072" t="s">
        <v>50</v>
      </c>
      <c r="D4072" t="s">
        <v>7657</v>
      </c>
      <c r="E4072" t="s">
        <v>237</v>
      </c>
      <c r="F4072" t="s">
        <v>72</v>
      </c>
      <c r="G4072" t="s">
        <v>250</v>
      </c>
      <c r="H4072" t="str">
        <f>"Ι. ΚΑΛΟΓΕΡΗ 6 ΧΑΝΙΑ"</f>
        <v>Ι. ΚΑΛΟΓΕΡΗ 6 ΧΑΝΙΑ</v>
      </c>
      <c r="I4072">
        <v>73136</v>
      </c>
      <c r="J4072">
        <v>2821076937</v>
      </c>
      <c r="K4072">
        <v>6936957849</v>
      </c>
      <c r="M4072" t="s">
        <v>7658</v>
      </c>
      <c r="N4072" t="s">
        <v>146</v>
      </c>
      <c r="O4072" t="s">
        <v>147</v>
      </c>
      <c r="P4072" t="s">
        <v>1116</v>
      </c>
      <c r="Q4072" t="s">
        <v>1117</v>
      </c>
      <c r="R4072" t="s">
        <v>57</v>
      </c>
      <c r="S4072">
        <v>13</v>
      </c>
      <c r="T4072" t="s">
        <v>5366</v>
      </c>
      <c r="U4072" s="1">
        <v>38596</v>
      </c>
      <c r="V4072" t="s">
        <v>6729</v>
      </c>
      <c r="W4072" t="s">
        <v>6730</v>
      </c>
      <c r="X4072" t="s">
        <v>58</v>
      </c>
      <c r="Y4072">
        <v>20</v>
      </c>
      <c r="Z4072" t="s">
        <v>59</v>
      </c>
      <c r="AA4072" t="s">
        <v>59</v>
      </c>
      <c r="AB4072" t="s">
        <v>59</v>
      </c>
      <c r="AC4072" t="s">
        <v>59</v>
      </c>
      <c r="AD4072" t="s">
        <v>59</v>
      </c>
      <c r="AF4072" s="1">
        <v>38602</v>
      </c>
      <c r="AG4072" t="s">
        <v>125</v>
      </c>
      <c r="AH4072" t="s">
        <v>294</v>
      </c>
      <c r="AI4072" t="str">
        <f>"5012017"</f>
        <v>5012017</v>
      </c>
      <c r="AJ4072" t="s">
        <v>6859</v>
      </c>
      <c r="AK4072">
        <v>2821088065</v>
      </c>
      <c r="AL4072" t="s">
        <v>6860</v>
      </c>
      <c r="AM4072" t="s">
        <v>88</v>
      </c>
      <c r="AN4072" t="s">
        <v>88</v>
      </c>
      <c r="AO4072" t="s">
        <v>88</v>
      </c>
      <c r="AP4072" t="s">
        <v>88</v>
      </c>
      <c r="AQ4072">
        <v>1</v>
      </c>
      <c r="AR4072" t="s">
        <v>6729</v>
      </c>
      <c r="AS4072" t="s">
        <v>6730</v>
      </c>
      <c r="AT4072" t="s">
        <v>58</v>
      </c>
      <c r="AU4072" t="s">
        <v>68</v>
      </c>
      <c r="AV4072" t="s">
        <v>69</v>
      </c>
      <c r="AW4072" s="1">
        <v>26693</v>
      </c>
      <c r="AX4072">
        <v>2</v>
      </c>
    </row>
    <row r="4073" spans="1:50">
      <c r="A4073">
        <v>172149</v>
      </c>
      <c r="B4073" t="str">
        <f>"037495208"</f>
        <v>037495208</v>
      </c>
      <c r="C4073" t="s">
        <v>50</v>
      </c>
      <c r="D4073" t="s">
        <v>7657</v>
      </c>
      <c r="E4073" t="s">
        <v>755</v>
      </c>
      <c r="F4073" t="s">
        <v>377</v>
      </c>
      <c r="G4073" t="s">
        <v>411</v>
      </c>
      <c r="H4073" t="str">
        <f>" "</f>
        <v xml:space="preserve"> </v>
      </c>
      <c r="I4073">
        <v>73400</v>
      </c>
      <c r="J4073">
        <v>2822024010</v>
      </c>
      <c r="K4073">
        <v>6976130147</v>
      </c>
      <c r="M4073" t="s">
        <v>7659</v>
      </c>
      <c r="N4073" t="s">
        <v>331</v>
      </c>
      <c r="O4073" t="s">
        <v>332</v>
      </c>
      <c r="R4073" t="s">
        <v>57</v>
      </c>
      <c r="S4073">
        <v>14</v>
      </c>
      <c r="T4073">
        <v>184</v>
      </c>
      <c r="U4073" s="1">
        <v>34941</v>
      </c>
      <c r="V4073" t="s">
        <v>6729</v>
      </c>
      <c r="W4073" t="s">
        <v>6730</v>
      </c>
      <c r="X4073" t="s">
        <v>58</v>
      </c>
      <c r="Y4073">
        <v>18</v>
      </c>
      <c r="Z4073" t="s">
        <v>59</v>
      </c>
      <c r="AA4073" t="s">
        <v>59</v>
      </c>
      <c r="AB4073" t="s">
        <v>59</v>
      </c>
      <c r="AC4073" t="s">
        <v>59</v>
      </c>
      <c r="AD4073" t="s">
        <v>59</v>
      </c>
      <c r="AF4073" s="1">
        <v>34946</v>
      </c>
      <c r="AG4073" t="s">
        <v>125</v>
      </c>
      <c r="AH4073" t="s">
        <v>126</v>
      </c>
      <c r="AI4073" t="str">
        <f>"5004020"</f>
        <v>5004020</v>
      </c>
      <c r="AJ4073" t="s">
        <v>6806</v>
      </c>
      <c r="AK4073">
        <v>2822022103</v>
      </c>
      <c r="AL4073" t="s">
        <v>6807</v>
      </c>
      <c r="AM4073" t="s">
        <v>88</v>
      </c>
      <c r="AN4073" t="s">
        <v>6744</v>
      </c>
      <c r="AO4073" t="s">
        <v>6744</v>
      </c>
      <c r="AP4073" t="s">
        <v>6744</v>
      </c>
      <c r="AQ4073">
        <v>1</v>
      </c>
      <c r="AR4073" t="s">
        <v>6729</v>
      </c>
      <c r="AS4073" t="s">
        <v>6730</v>
      </c>
      <c r="AT4073" t="s">
        <v>58</v>
      </c>
      <c r="AU4073" t="s">
        <v>68</v>
      </c>
      <c r="AV4073" t="s">
        <v>69</v>
      </c>
      <c r="AW4073" s="1">
        <v>24212</v>
      </c>
      <c r="AX4073">
        <v>2</v>
      </c>
    </row>
    <row r="4074" spans="1:50">
      <c r="A4074">
        <v>221229</v>
      </c>
      <c r="B4074" t="str">
        <f>"110859976"</f>
        <v>110859976</v>
      </c>
      <c r="C4074" t="s">
        <v>50</v>
      </c>
      <c r="D4074" t="s">
        <v>7657</v>
      </c>
      <c r="E4074" t="s">
        <v>1355</v>
      </c>
      <c r="F4074" t="s">
        <v>377</v>
      </c>
      <c r="G4074" t="s">
        <v>237</v>
      </c>
      <c r="H4074" t="str">
        <f>" "</f>
        <v xml:space="preserve"> </v>
      </c>
      <c r="J4074">
        <v>2822023025</v>
      </c>
      <c r="K4074">
        <v>6977606530</v>
      </c>
      <c r="M4074" t="s">
        <v>7660</v>
      </c>
      <c r="N4074" t="s">
        <v>299</v>
      </c>
      <c r="O4074" t="s">
        <v>300</v>
      </c>
      <c r="R4074" t="s">
        <v>57</v>
      </c>
      <c r="S4074">
        <v>6</v>
      </c>
      <c r="T4074">
        <v>691</v>
      </c>
      <c r="U4074" s="1">
        <v>39331</v>
      </c>
      <c r="V4074" t="s">
        <v>6729</v>
      </c>
      <c r="W4074" t="s">
        <v>6730</v>
      </c>
      <c r="X4074" t="s">
        <v>58</v>
      </c>
      <c r="Y4074">
        <v>20</v>
      </c>
      <c r="Z4074" t="s">
        <v>59</v>
      </c>
      <c r="AA4074" t="s">
        <v>59</v>
      </c>
      <c r="AB4074" t="s">
        <v>59</v>
      </c>
      <c r="AC4074" t="s">
        <v>59</v>
      </c>
      <c r="AD4074" t="s">
        <v>59</v>
      </c>
      <c r="AF4074" s="1">
        <v>39332</v>
      </c>
      <c r="AG4074" t="s">
        <v>137</v>
      </c>
      <c r="AH4074" t="s">
        <v>138</v>
      </c>
      <c r="AI4074" t="str">
        <f>"5040090"</f>
        <v>5040090</v>
      </c>
      <c r="AJ4074" t="s">
        <v>6757</v>
      </c>
      <c r="AK4074">
        <v>2822022275</v>
      </c>
      <c r="AL4074" t="s">
        <v>6758</v>
      </c>
      <c r="AM4074" t="s">
        <v>88</v>
      </c>
      <c r="AN4074" t="s">
        <v>6744</v>
      </c>
      <c r="AO4074" t="s">
        <v>6744</v>
      </c>
      <c r="AP4074" t="s">
        <v>6744</v>
      </c>
      <c r="AQ4074">
        <v>1</v>
      </c>
      <c r="AR4074" t="s">
        <v>6729</v>
      </c>
      <c r="AS4074" t="s">
        <v>6730</v>
      </c>
      <c r="AT4074" t="s">
        <v>58</v>
      </c>
      <c r="AU4074" t="s">
        <v>68</v>
      </c>
      <c r="AV4074" t="s">
        <v>69</v>
      </c>
      <c r="AW4074" s="1">
        <v>25264</v>
      </c>
      <c r="AX4074">
        <v>2</v>
      </c>
    </row>
    <row r="4075" spans="1:50">
      <c r="A4075">
        <v>156062</v>
      </c>
      <c r="B4075" t="str">
        <f>"127714362"</f>
        <v>127714362</v>
      </c>
      <c r="C4075" t="s">
        <v>50</v>
      </c>
      <c r="D4075" t="s">
        <v>7661</v>
      </c>
      <c r="E4075" t="s">
        <v>250</v>
      </c>
      <c r="F4075" t="s">
        <v>106</v>
      </c>
      <c r="G4075" t="s">
        <v>7662</v>
      </c>
      <c r="H4075" t="str">
        <f>"Παντελή Βαβουλέ 15, Χανιά "</f>
        <v xml:space="preserve">Παντελή Βαβουλέ 15, Χανιά </v>
      </c>
      <c r="J4075">
        <v>2821052883</v>
      </c>
      <c r="K4075">
        <v>6978126166</v>
      </c>
      <c r="M4075" t="s">
        <v>7663</v>
      </c>
      <c r="N4075" t="s">
        <v>146</v>
      </c>
      <c r="O4075" t="s">
        <v>147</v>
      </c>
      <c r="R4075" t="s">
        <v>57</v>
      </c>
      <c r="S4075">
        <v>16</v>
      </c>
      <c r="T4075">
        <v>188</v>
      </c>
      <c r="U4075" s="1">
        <v>32752</v>
      </c>
      <c r="V4075" t="s">
        <v>6729</v>
      </c>
      <c r="W4075" t="s">
        <v>6730</v>
      </c>
      <c r="X4075" t="s">
        <v>58</v>
      </c>
      <c r="Y4075">
        <v>18</v>
      </c>
      <c r="Z4075" t="s">
        <v>59</v>
      </c>
      <c r="AA4075" t="s">
        <v>59</v>
      </c>
      <c r="AB4075" t="s">
        <v>59</v>
      </c>
      <c r="AC4075" t="s">
        <v>59</v>
      </c>
      <c r="AD4075" t="s">
        <v>59</v>
      </c>
      <c r="AF4075" s="1">
        <v>32756</v>
      </c>
      <c r="AG4075" t="s">
        <v>125</v>
      </c>
      <c r="AH4075" t="s">
        <v>126</v>
      </c>
      <c r="AI4075" t="str">
        <f>"5001050"</f>
        <v>5001050</v>
      </c>
      <c r="AJ4075" t="s">
        <v>6917</v>
      </c>
      <c r="AK4075">
        <v>2821088012</v>
      </c>
      <c r="AL4075" t="s">
        <v>6918</v>
      </c>
      <c r="AM4075" t="s">
        <v>88</v>
      </c>
      <c r="AN4075" t="s">
        <v>88</v>
      </c>
      <c r="AO4075" t="s">
        <v>88</v>
      </c>
      <c r="AP4075" t="s">
        <v>88</v>
      </c>
      <c r="AQ4075">
        <v>1</v>
      </c>
      <c r="AR4075" t="s">
        <v>6729</v>
      </c>
      <c r="AS4075" t="s">
        <v>6730</v>
      </c>
      <c r="AT4075" t="s">
        <v>58</v>
      </c>
      <c r="AU4075" t="s">
        <v>68</v>
      </c>
      <c r="AV4075" t="s">
        <v>69</v>
      </c>
      <c r="AW4075" s="1">
        <v>23027</v>
      </c>
      <c r="AX4075">
        <v>2</v>
      </c>
    </row>
    <row r="4076" spans="1:50">
      <c r="A4076">
        <v>149235</v>
      </c>
      <c r="B4076" t="str">
        <f>"065555434"</f>
        <v>065555434</v>
      </c>
      <c r="C4076" t="s">
        <v>50</v>
      </c>
      <c r="D4076" t="s">
        <v>7664</v>
      </c>
      <c r="E4076" t="s">
        <v>1189</v>
      </c>
      <c r="F4076" t="s">
        <v>106</v>
      </c>
      <c r="G4076" t="s">
        <v>314</v>
      </c>
      <c r="H4076" t="str">
        <f>" "</f>
        <v xml:space="preserve"> </v>
      </c>
      <c r="N4076" t="s">
        <v>176</v>
      </c>
      <c r="O4076" t="s">
        <v>177</v>
      </c>
      <c r="R4076" t="s">
        <v>57</v>
      </c>
      <c r="S4076">
        <v>16</v>
      </c>
      <c r="T4076">
        <v>205</v>
      </c>
      <c r="U4076" s="1">
        <v>31658</v>
      </c>
      <c r="V4076" t="s">
        <v>6729</v>
      </c>
      <c r="W4076" t="s">
        <v>6730</v>
      </c>
      <c r="X4076" t="s">
        <v>58</v>
      </c>
      <c r="Y4076">
        <v>18</v>
      </c>
      <c r="Z4076" t="s">
        <v>59</v>
      </c>
      <c r="AA4076" t="s">
        <v>59</v>
      </c>
      <c r="AB4076" t="s">
        <v>59</v>
      </c>
      <c r="AC4076" t="s">
        <v>59</v>
      </c>
      <c r="AD4076" t="s">
        <v>59</v>
      </c>
      <c r="AF4076" s="1">
        <v>31672</v>
      </c>
      <c r="AG4076" t="s">
        <v>125</v>
      </c>
      <c r="AH4076" t="s">
        <v>126</v>
      </c>
      <c r="AI4076" t="str">
        <f>"5001070"</f>
        <v>5001070</v>
      </c>
      <c r="AJ4076" t="s">
        <v>6731</v>
      </c>
      <c r="AK4076">
        <v>2821088045</v>
      </c>
      <c r="AL4076" t="s">
        <v>6732</v>
      </c>
      <c r="AM4076" t="s">
        <v>88</v>
      </c>
      <c r="AN4076" t="s">
        <v>88</v>
      </c>
      <c r="AO4076" t="s">
        <v>6733</v>
      </c>
      <c r="AP4076" t="s">
        <v>6734</v>
      </c>
      <c r="AQ4076">
        <v>1</v>
      </c>
      <c r="AR4076" t="s">
        <v>6729</v>
      </c>
      <c r="AS4076" t="s">
        <v>6730</v>
      </c>
      <c r="AT4076" t="s">
        <v>58</v>
      </c>
      <c r="AU4076" t="s">
        <v>68</v>
      </c>
      <c r="AV4076" t="s">
        <v>69</v>
      </c>
      <c r="AW4076" s="1">
        <v>22191</v>
      </c>
      <c r="AX4076">
        <v>2</v>
      </c>
    </row>
    <row r="4077" spans="1:50">
      <c r="A4077">
        <v>218032</v>
      </c>
      <c r="B4077" t="str">
        <f>"073808847"</f>
        <v>073808847</v>
      </c>
      <c r="C4077" t="s">
        <v>105</v>
      </c>
      <c r="D4077" t="s">
        <v>7665</v>
      </c>
      <c r="E4077" t="s">
        <v>84</v>
      </c>
      <c r="F4077" t="s">
        <v>99</v>
      </c>
      <c r="G4077" t="s">
        <v>610</v>
      </c>
      <c r="H4077" t="str">
        <f>" "</f>
        <v xml:space="preserve"> </v>
      </c>
      <c r="J4077">
        <v>2821068554</v>
      </c>
      <c r="K4077">
        <v>6936101827</v>
      </c>
      <c r="M4077" t="s">
        <v>7666</v>
      </c>
      <c r="N4077" t="s">
        <v>292</v>
      </c>
      <c r="O4077" t="s">
        <v>293</v>
      </c>
      <c r="R4077" t="s">
        <v>57</v>
      </c>
      <c r="S4077">
        <v>6</v>
      </c>
      <c r="T4077">
        <v>599</v>
      </c>
      <c r="U4077" s="1">
        <v>39310</v>
      </c>
      <c r="V4077" t="s">
        <v>6729</v>
      </c>
      <c r="W4077" t="s">
        <v>6730</v>
      </c>
      <c r="X4077" t="s">
        <v>58</v>
      </c>
      <c r="Y4077">
        <v>20</v>
      </c>
      <c r="Z4077" t="s">
        <v>59</v>
      </c>
      <c r="AA4077" t="s">
        <v>59</v>
      </c>
      <c r="AB4077" t="s">
        <v>59</v>
      </c>
      <c r="AC4077" t="s">
        <v>59</v>
      </c>
      <c r="AD4077" t="s">
        <v>59</v>
      </c>
      <c r="AF4077" s="1">
        <v>39328</v>
      </c>
      <c r="AG4077" t="s">
        <v>137</v>
      </c>
      <c r="AH4077" t="s">
        <v>138</v>
      </c>
      <c r="AI4077" t="str">
        <f>"5040080"</f>
        <v>5040080</v>
      </c>
      <c r="AJ4077" t="s">
        <v>6753</v>
      </c>
      <c r="AK4077">
        <v>2821093155</v>
      </c>
      <c r="AL4077" t="s">
        <v>6754</v>
      </c>
      <c r="AM4077" t="s">
        <v>88</v>
      </c>
      <c r="AN4077" t="s">
        <v>88</v>
      </c>
      <c r="AO4077" t="s">
        <v>6733</v>
      </c>
      <c r="AP4077" t="s">
        <v>6755</v>
      </c>
      <c r="AQ4077">
        <v>1</v>
      </c>
      <c r="AR4077" t="s">
        <v>6729</v>
      </c>
      <c r="AS4077" t="s">
        <v>6730</v>
      </c>
      <c r="AT4077" t="s">
        <v>58</v>
      </c>
      <c r="AU4077" t="s">
        <v>68</v>
      </c>
      <c r="AV4077" t="s">
        <v>69</v>
      </c>
      <c r="AW4077" s="1">
        <v>27374</v>
      </c>
      <c r="AX4077">
        <v>2</v>
      </c>
    </row>
    <row r="4078" spans="1:50">
      <c r="A4078">
        <v>206294</v>
      </c>
      <c r="B4078" t="str">
        <f>"076314539"</f>
        <v>076314539</v>
      </c>
      <c r="C4078" t="s">
        <v>50</v>
      </c>
      <c r="D4078" t="s">
        <v>7667</v>
      </c>
      <c r="E4078" t="s">
        <v>314</v>
      </c>
      <c r="F4078" t="s">
        <v>95</v>
      </c>
      <c r="G4078" t="s">
        <v>174</v>
      </c>
      <c r="H4078" t="str">
        <f>" "</f>
        <v xml:space="preserve"> </v>
      </c>
      <c r="J4078">
        <v>2821093155</v>
      </c>
      <c r="K4078">
        <v>6947923681</v>
      </c>
      <c r="N4078" t="s">
        <v>547</v>
      </c>
      <c r="O4078" t="s">
        <v>548</v>
      </c>
      <c r="R4078" t="s">
        <v>57</v>
      </c>
      <c r="S4078">
        <v>10</v>
      </c>
      <c r="T4078">
        <v>341</v>
      </c>
      <c r="U4078" s="1">
        <v>38344</v>
      </c>
      <c r="V4078" t="s">
        <v>6729</v>
      </c>
      <c r="W4078" t="s">
        <v>6730</v>
      </c>
      <c r="X4078" t="s">
        <v>58</v>
      </c>
      <c r="Y4078">
        <v>18</v>
      </c>
      <c r="Z4078" t="s">
        <v>59</v>
      </c>
      <c r="AA4078" t="s">
        <v>59</v>
      </c>
      <c r="AB4078" t="s">
        <v>59</v>
      </c>
      <c r="AC4078" t="s">
        <v>59</v>
      </c>
      <c r="AD4078" t="s">
        <v>59</v>
      </c>
      <c r="AF4078" s="1">
        <v>38364</v>
      </c>
      <c r="AG4078" t="s">
        <v>137</v>
      </c>
      <c r="AH4078" t="s">
        <v>469</v>
      </c>
      <c r="AI4078" t="str">
        <f>"5040055"</f>
        <v>5040055</v>
      </c>
      <c r="AJ4078" t="s">
        <v>6940</v>
      </c>
      <c r="AK4078">
        <v>2821036404</v>
      </c>
      <c r="AL4078" t="s">
        <v>6941</v>
      </c>
      <c r="AM4078" t="s">
        <v>88</v>
      </c>
      <c r="AN4078" t="s">
        <v>88</v>
      </c>
      <c r="AO4078" t="s">
        <v>88</v>
      </c>
      <c r="AP4078" t="s">
        <v>88</v>
      </c>
      <c r="AQ4078">
        <v>1</v>
      </c>
      <c r="AR4078" t="s">
        <v>6729</v>
      </c>
      <c r="AS4078" t="s">
        <v>6730</v>
      </c>
      <c r="AT4078" t="s">
        <v>58</v>
      </c>
      <c r="AU4078" t="s">
        <v>68</v>
      </c>
      <c r="AV4078" t="s">
        <v>69</v>
      </c>
      <c r="AW4078" s="1">
        <v>25558</v>
      </c>
      <c r="AX4078">
        <v>2</v>
      </c>
    </row>
    <row r="4079" spans="1:50">
      <c r="B4079" t="str">
        <f>"103805695"</f>
        <v>103805695</v>
      </c>
      <c r="C4079" t="s">
        <v>105</v>
      </c>
      <c r="D4079" t="s">
        <v>2432</v>
      </c>
      <c r="E4079" t="s">
        <v>383</v>
      </c>
      <c r="F4079" t="s">
        <v>166</v>
      </c>
      <c r="G4079" t="s">
        <v>484</v>
      </c>
      <c r="H4079" t="str">
        <f>" "</f>
        <v xml:space="preserve"> </v>
      </c>
      <c r="N4079" t="s">
        <v>337</v>
      </c>
      <c r="O4079" t="s">
        <v>338</v>
      </c>
      <c r="R4079" t="s">
        <v>121</v>
      </c>
      <c r="S4079">
        <v>1</v>
      </c>
      <c r="T4079" t="s">
        <v>1908</v>
      </c>
      <c r="U4079" s="1">
        <v>43368</v>
      </c>
      <c r="V4079" t="s">
        <v>6729</v>
      </c>
      <c r="W4079" t="s">
        <v>6730</v>
      </c>
      <c r="X4079" t="s">
        <v>58</v>
      </c>
      <c r="Y4079">
        <v>23</v>
      </c>
      <c r="Z4079" t="s">
        <v>59</v>
      </c>
      <c r="AA4079" t="s">
        <v>59</v>
      </c>
      <c r="AB4079" t="s">
        <v>59</v>
      </c>
      <c r="AD4079" t="s">
        <v>59</v>
      </c>
      <c r="AF4079" s="1">
        <v>43368</v>
      </c>
      <c r="AG4079" t="s">
        <v>125</v>
      </c>
      <c r="AH4079" t="s">
        <v>294</v>
      </c>
      <c r="AI4079" t="str">
        <f>"5012017"</f>
        <v>5012017</v>
      </c>
      <c r="AJ4079" t="s">
        <v>6859</v>
      </c>
      <c r="AK4079">
        <v>2821088065</v>
      </c>
      <c r="AL4079" t="s">
        <v>6860</v>
      </c>
      <c r="AM4079" t="s">
        <v>88</v>
      </c>
      <c r="AN4079" t="s">
        <v>88</v>
      </c>
      <c r="AO4079" t="s">
        <v>88</v>
      </c>
      <c r="AP4079" t="s">
        <v>88</v>
      </c>
      <c r="AQ4079">
        <v>1</v>
      </c>
      <c r="AR4079" t="s">
        <v>6729</v>
      </c>
      <c r="AS4079" t="s">
        <v>6730</v>
      </c>
      <c r="AT4079" t="s">
        <v>58</v>
      </c>
      <c r="AU4079" t="s">
        <v>164</v>
      </c>
      <c r="AV4079" t="s">
        <v>132</v>
      </c>
      <c r="AW4079" s="1">
        <v>31413</v>
      </c>
      <c r="AX4079">
        <v>2</v>
      </c>
    </row>
    <row r="4080" spans="1:50">
      <c r="A4080">
        <v>202322</v>
      </c>
      <c r="B4080" t="str">
        <f>"100612070"</f>
        <v>100612070</v>
      </c>
      <c r="C4080" t="s">
        <v>105</v>
      </c>
      <c r="D4080" t="s">
        <v>7668</v>
      </c>
      <c r="E4080" t="s">
        <v>5013</v>
      </c>
      <c r="F4080" t="s">
        <v>106</v>
      </c>
      <c r="G4080" t="s">
        <v>52</v>
      </c>
      <c r="H4080" t="str">
        <f>" "</f>
        <v xml:space="preserve"> </v>
      </c>
      <c r="J4080">
        <v>2821031753</v>
      </c>
      <c r="K4080">
        <v>6973582020</v>
      </c>
      <c r="M4080" t="s">
        <v>7669</v>
      </c>
      <c r="N4080" t="s">
        <v>292</v>
      </c>
      <c r="O4080" t="s">
        <v>293</v>
      </c>
      <c r="R4080" t="s">
        <v>57</v>
      </c>
      <c r="S4080">
        <v>9</v>
      </c>
      <c r="T4080">
        <v>231</v>
      </c>
      <c r="U4080" s="1">
        <v>38230</v>
      </c>
      <c r="V4080" t="s">
        <v>6729</v>
      </c>
      <c r="W4080" t="s">
        <v>6730</v>
      </c>
      <c r="X4080" t="s">
        <v>58</v>
      </c>
      <c r="Y4080">
        <v>20</v>
      </c>
      <c r="Z4080" t="s">
        <v>59</v>
      </c>
      <c r="AA4080" t="s">
        <v>59</v>
      </c>
      <c r="AB4080" t="s">
        <v>59</v>
      </c>
      <c r="AC4080" t="s">
        <v>59</v>
      </c>
      <c r="AD4080" t="s">
        <v>59</v>
      </c>
      <c r="AF4080" s="1">
        <v>38233</v>
      </c>
      <c r="AG4080" t="s">
        <v>125</v>
      </c>
      <c r="AH4080" t="s">
        <v>126</v>
      </c>
      <c r="AI4080" t="str">
        <f>"5009010"</f>
        <v>5009010</v>
      </c>
      <c r="AJ4080" t="s">
        <v>6901</v>
      </c>
      <c r="AK4080">
        <v>2821077212</v>
      </c>
      <c r="AL4080" t="s">
        <v>6902</v>
      </c>
      <c r="AM4080" t="s">
        <v>88</v>
      </c>
      <c r="AN4080" t="s">
        <v>6764</v>
      </c>
      <c r="AO4080" t="s">
        <v>6885</v>
      </c>
      <c r="AP4080" t="s">
        <v>6886</v>
      </c>
      <c r="AQ4080">
        <v>1</v>
      </c>
      <c r="AR4080" t="s">
        <v>6729</v>
      </c>
      <c r="AS4080" t="s">
        <v>6730</v>
      </c>
      <c r="AT4080" t="s">
        <v>58</v>
      </c>
      <c r="AU4080" t="s">
        <v>68</v>
      </c>
      <c r="AV4080" t="s">
        <v>69</v>
      </c>
      <c r="AW4080" s="1">
        <v>26683</v>
      </c>
      <c r="AX4080">
        <v>2</v>
      </c>
    </row>
    <row r="4081" spans="1:50">
      <c r="A4081">
        <v>225279</v>
      </c>
      <c r="B4081" t="str">
        <f>"064405030"</f>
        <v>064405030</v>
      </c>
      <c r="C4081" t="s">
        <v>50</v>
      </c>
      <c r="D4081" t="s">
        <v>5061</v>
      </c>
      <c r="E4081" t="s">
        <v>237</v>
      </c>
      <c r="F4081" t="s">
        <v>900</v>
      </c>
      <c r="G4081" t="s">
        <v>112</v>
      </c>
      <c r="H4081" t="str">
        <f>"ΚΑΜΠΑΝΙ  ΑΚΡΩΤΗΡΙ"</f>
        <v>ΚΑΜΠΑΝΙ  ΑΚΡΩΤΗΡΙ</v>
      </c>
      <c r="I4081">
        <v>73100</v>
      </c>
      <c r="J4081">
        <v>2821052695</v>
      </c>
      <c r="K4081">
        <v>6947290053</v>
      </c>
      <c r="M4081" t="s">
        <v>7670</v>
      </c>
      <c r="N4081" t="s">
        <v>257</v>
      </c>
      <c r="O4081" t="s">
        <v>258</v>
      </c>
      <c r="R4081" t="s">
        <v>57</v>
      </c>
      <c r="S4081">
        <v>10</v>
      </c>
      <c r="T4081">
        <v>775</v>
      </c>
      <c r="U4081" s="1">
        <v>39680</v>
      </c>
      <c r="V4081" t="s">
        <v>6729</v>
      </c>
      <c r="W4081" t="s">
        <v>6730</v>
      </c>
      <c r="X4081" t="s">
        <v>58</v>
      </c>
      <c r="Y4081">
        <v>21</v>
      </c>
      <c r="Z4081" t="s">
        <v>59</v>
      </c>
      <c r="AA4081" t="s">
        <v>59</v>
      </c>
      <c r="AB4081" t="s">
        <v>59</v>
      </c>
      <c r="AC4081" t="s">
        <v>59</v>
      </c>
      <c r="AD4081" t="s">
        <v>59</v>
      </c>
      <c r="AF4081" s="1">
        <v>39682</v>
      </c>
      <c r="AG4081" t="s">
        <v>125</v>
      </c>
      <c r="AH4081" t="s">
        <v>126</v>
      </c>
      <c r="AI4081" t="str">
        <f>"5001076"</f>
        <v>5001076</v>
      </c>
      <c r="AJ4081" t="s">
        <v>6979</v>
      </c>
      <c r="AK4081">
        <v>2821088808</v>
      </c>
      <c r="AL4081" t="s">
        <v>6980</v>
      </c>
      <c r="AM4081" t="s">
        <v>88</v>
      </c>
      <c r="AN4081" t="s">
        <v>88</v>
      </c>
      <c r="AO4081" t="s">
        <v>6733</v>
      </c>
      <c r="AP4081" t="s">
        <v>6755</v>
      </c>
      <c r="AQ4081">
        <v>1</v>
      </c>
      <c r="AR4081" t="s">
        <v>6729</v>
      </c>
      <c r="AS4081" t="s">
        <v>6730</v>
      </c>
      <c r="AT4081" t="s">
        <v>58</v>
      </c>
      <c r="AU4081" t="s">
        <v>68</v>
      </c>
      <c r="AV4081" t="s">
        <v>69</v>
      </c>
      <c r="AW4081" s="1">
        <v>27665</v>
      </c>
      <c r="AX4081">
        <v>2</v>
      </c>
    </row>
    <row r="4082" spans="1:50">
      <c r="A4082">
        <v>204026</v>
      </c>
      <c r="B4082" t="str">
        <f>"076774175"</f>
        <v>076774175</v>
      </c>
      <c r="C4082" t="s">
        <v>50</v>
      </c>
      <c r="D4082" t="s">
        <v>7671</v>
      </c>
      <c r="E4082" t="s">
        <v>237</v>
      </c>
      <c r="F4082" t="s">
        <v>166</v>
      </c>
      <c r="G4082" t="s">
        <v>114</v>
      </c>
      <c r="H4082" t="str">
        <f>"ΛΟΥΛΑΚΑΚΗ 3 ΧΑΝΙΑ"</f>
        <v>ΛΟΥΛΑΚΑΚΗ 3 ΧΑΝΙΑ</v>
      </c>
      <c r="I4082">
        <v>73100</v>
      </c>
      <c r="J4082">
        <v>2821054838</v>
      </c>
      <c r="K4082">
        <v>6974100136</v>
      </c>
      <c r="L4082">
        <v>2821054838</v>
      </c>
      <c r="M4082" t="s">
        <v>7672</v>
      </c>
      <c r="N4082" t="s">
        <v>176</v>
      </c>
      <c r="O4082" t="s">
        <v>177</v>
      </c>
      <c r="R4082" t="s">
        <v>57</v>
      </c>
      <c r="S4082">
        <v>8</v>
      </c>
      <c r="T4082">
        <v>231</v>
      </c>
      <c r="U4082" s="1">
        <v>38230</v>
      </c>
      <c r="V4082" t="s">
        <v>6729</v>
      </c>
      <c r="W4082" t="s">
        <v>6730</v>
      </c>
      <c r="X4082" t="s">
        <v>58</v>
      </c>
      <c r="Y4082">
        <v>20</v>
      </c>
      <c r="Z4082" t="s">
        <v>59</v>
      </c>
      <c r="AA4082" t="s">
        <v>59</v>
      </c>
      <c r="AB4082" t="s">
        <v>59</v>
      </c>
      <c r="AC4082" t="s">
        <v>59</v>
      </c>
      <c r="AD4082" t="s">
        <v>59</v>
      </c>
      <c r="AF4082" s="1">
        <v>38232</v>
      </c>
      <c r="AG4082" t="s">
        <v>125</v>
      </c>
      <c r="AH4082" t="s">
        <v>126</v>
      </c>
      <c r="AI4082" t="str">
        <f>"5011010"</f>
        <v>5011010</v>
      </c>
      <c r="AJ4082" t="s">
        <v>6877</v>
      </c>
      <c r="AK4082">
        <v>2821081330</v>
      </c>
      <c r="AL4082" t="s">
        <v>6878</v>
      </c>
      <c r="AM4082" t="s">
        <v>88</v>
      </c>
      <c r="AN4082" t="s">
        <v>88</v>
      </c>
      <c r="AO4082" t="s">
        <v>6748</v>
      </c>
      <c r="AP4082" t="s">
        <v>6748</v>
      </c>
      <c r="AQ4082">
        <v>1</v>
      </c>
      <c r="AR4082" t="s">
        <v>6729</v>
      </c>
      <c r="AS4082" t="s">
        <v>6730</v>
      </c>
      <c r="AT4082" t="s">
        <v>58</v>
      </c>
      <c r="AU4082" t="s">
        <v>68</v>
      </c>
      <c r="AV4082" t="s">
        <v>132</v>
      </c>
      <c r="AW4082" s="1">
        <v>26540</v>
      </c>
      <c r="AX4082">
        <v>2</v>
      </c>
    </row>
    <row r="4083" spans="1:50">
      <c r="A4083">
        <v>700535</v>
      </c>
      <c r="B4083" t="str">
        <f>"046205188"</f>
        <v>046205188</v>
      </c>
      <c r="C4083" t="s">
        <v>50</v>
      </c>
      <c r="D4083" t="s">
        <v>7671</v>
      </c>
      <c r="E4083" t="s">
        <v>181</v>
      </c>
      <c r="F4083" t="s">
        <v>166</v>
      </c>
      <c r="G4083" t="s">
        <v>114</v>
      </c>
      <c r="H4083" t="str">
        <f>"ΔΙΚΤΗΣ 8 ΧΑΝΙΑ"</f>
        <v>ΔΙΚΤΗΣ 8 ΧΑΝΙΑ</v>
      </c>
      <c r="I4083">
        <v>73133</v>
      </c>
      <c r="J4083">
        <v>2821054131</v>
      </c>
      <c r="K4083">
        <v>6974847207</v>
      </c>
      <c r="N4083" t="s">
        <v>146</v>
      </c>
      <c r="O4083" t="s">
        <v>147</v>
      </c>
      <c r="R4083" t="s">
        <v>57</v>
      </c>
      <c r="S4083">
        <v>5</v>
      </c>
      <c r="T4083">
        <v>772</v>
      </c>
      <c r="U4083" s="1">
        <v>40413</v>
      </c>
      <c r="V4083" t="s">
        <v>6729</v>
      </c>
      <c r="W4083" t="s">
        <v>6730</v>
      </c>
      <c r="X4083" t="s">
        <v>58</v>
      </c>
      <c r="Y4083">
        <v>21</v>
      </c>
      <c r="Z4083" t="s">
        <v>59</v>
      </c>
      <c r="AA4083" t="s">
        <v>59</v>
      </c>
      <c r="AB4083" t="s">
        <v>59</v>
      </c>
      <c r="AC4083" t="s">
        <v>59</v>
      </c>
      <c r="AD4083" t="s">
        <v>59</v>
      </c>
      <c r="AF4083" s="1">
        <v>40413</v>
      </c>
      <c r="AG4083" t="s">
        <v>148</v>
      </c>
      <c r="AH4083" t="s">
        <v>149</v>
      </c>
      <c r="AI4083" t="str">
        <f>"5059010"</f>
        <v>5059010</v>
      </c>
      <c r="AJ4083" t="s">
        <v>6883</v>
      </c>
      <c r="AK4083">
        <v>2821077166</v>
      </c>
      <c r="AL4083" t="s">
        <v>6884</v>
      </c>
      <c r="AM4083" t="s">
        <v>88</v>
      </c>
      <c r="AN4083" t="s">
        <v>6764</v>
      </c>
      <c r="AO4083" t="s">
        <v>6885</v>
      </c>
      <c r="AP4083" t="s">
        <v>6886</v>
      </c>
      <c r="AQ4083">
        <v>1</v>
      </c>
      <c r="AR4083" t="s">
        <v>6729</v>
      </c>
      <c r="AS4083" t="s">
        <v>6730</v>
      </c>
      <c r="AT4083" t="s">
        <v>58</v>
      </c>
      <c r="AU4083" t="s">
        <v>68</v>
      </c>
      <c r="AV4083" t="s">
        <v>69</v>
      </c>
      <c r="AW4083" s="1">
        <v>25436</v>
      </c>
      <c r="AX4083">
        <v>2</v>
      </c>
    </row>
    <row r="4084" spans="1:50">
      <c r="A4084">
        <v>218465</v>
      </c>
      <c r="B4084" t="str">
        <f>"030601596"</f>
        <v>030601596</v>
      </c>
      <c r="C4084" t="s">
        <v>50</v>
      </c>
      <c r="D4084" t="s">
        <v>7673</v>
      </c>
      <c r="E4084" t="s">
        <v>367</v>
      </c>
      <c r="F4084" t="s">
        <v>72</v>
      </c>
      <c r="G4084" t="s">
        <v>112</v>
      </c>
      <c r="H4084" t="str">
        <f>"ΗΡ.ΠΟΛΥΤΕΧΝΕΙΟΥ 29 ΧΑΝΙΑ"</f>
        <v>ΗΡ.ΠΟΛΥΤΕΧΝΕΙΟΥ 29 ΧΑΝΙΑ</v>
      </c>
      <c r="I4084">
        <v>73100</v>
      </c>
      <c r="J4084">
        <v>2821043392</v>
      </c>
      <c r="K4084">
        <v>6949072393</v>
      </c>
      <c r="M4084" t="s">
        <v>7674</v>
      </c>
      <c r="N4084" t="s">
        <v>232</v>
      </c>
      <c r="O4084" t="s">
        <v>233</v>
      </c>
      <c r="R4084" t="s">
        <v>57</v>
      </c>
      <c r="S4084">
        <v>7</v>
      </c>
      <c r="T4084">
        <v>599</v>
      </c>
      <c r="U4084" s="1">
        <v>39310</v>
      </c>
      <c r="V4084" t="s">
        <v>6729</v>
      </c>
      <c r="W4084" t="s">
        <v>6730</v>
      </c>
      <c r="X4084" t="s">
        <v>58</v>
      </c>
      <c r="Y4084">
        <v>20</v>
      </c>
      <c r="Z4084" t="s">
        <v>59</v>
      </c>
      <c r="AA4084" t="s">
        <v>59</v>
      </c>
      <c r="AB4084" t="s">
        <v>59</v>
      </c>
      <c r="AC4084" t="s">
        <v>59</v>
      </c>
      <c r="AD4084" t="s">
        <v>59</v>
      </c>
      <c r="AF4084" s="1">
        <v>39328</v>
      </c>
      <c r="AG4084" t="s">
        <v>137</v>
      </c>
      <c r="AH4084" t="s">
        <v>138</v>
      </c>
      <c r="AI4084" t="str">
        <f>"5050060"</f>
        <v>5050060</v>
      </c>
      <c r="AJ4084" t="s">
        <v>6801</v>
      </c>
      <c r="AK4084">
        <v>2821091515</v>
      </c>
      <c r="AL4084" t="s">
        <v>6802</v>
      </c>
      <c r="AM4084" t="s">
        <v>88</v>
      </c>
      <c r="AN4084" t="s">
        <v>88</v>
      </c>
      <c r="AO4084" t="s">
        <v>88</v>
      </c>
      <c r="AP4084" t="s">
        <v>88</v>
      </c>
      <c r="AQ4084">
        <v>1</v>
      </c>
      <c r="AR4084" t="s">
        <v>6729</v>
      </c>
      <c r="AS4084" t="s">
        <v>6730</v>
      </c>
      <c r="AT4084" t="s">
        <v>58</v>
      </c>
      <c r="AU4084" t="s">
        <v>68</v>
      </c>
      <c r="AV4084" t="s">
        <v>69</v>
      </c>
      <c r="AW4084" s="1">
        <v>23751</v>
      </c>
      <c r="AX4084">
        <v>2</v>
      </c>
    </row>
    <row r="4085" spans="1:50">
      <c r="A4085">
        <v>401487</v>
      </c>
      <c r="B4085" t="str">
        <f>"101565626"</f>
        <v>101565626</v>
      </c>
      <c r="C4085" t="s">
        <v>50</v>
      </c>
      <c r="D4085" t="s">
        <v>2438</v>
      </c>
      <c r="E4085" t="s">
        <v>314</v>
      </c>
      <c r="F4085" t="s">
        <v>154</v>
      </c>
      <c r="G4085" t="s">
        <v>255</v>
      </c>
      <c r="H4085" t="str">
        <f>"ΜΑΡΓΟΥΝΙΟΥ 71 ΧΑΝΙΑ"</f>
        <v>ΜΑΡΓΟΥΝΙΟΥ 71 ΧΑΝΙΑ</v>
      </c>
      <c r="I4085">
        <v>73136</v>
      </c>
      <c r="J4085">
        <v>2821074762</v>
      </c>
      <c r="K4085">
        <v>6973823413</v>
      </c>
      <c r="M4085" t="s">
        <v>7675</v>
      </c>
      <c r="N4085" t="s">
        <v>292</v>
      </c>
      <c r="O4085" t="s">
        <v>293</v>
      </c>
      <c r="R4085" t="s">
        <v>57</v>
      </c>
      <c r="S4085">
        <v>7</v>
      </c>
      <c r="T4085" t="s">
        <v>1230</v>
      </c>
      <c r="U4085" s="1">
        <v>39961</v>
      </c>
      <c r="V4085" t="s">
        <v>6729</v>
      </c>
      <c r="W4085" t="s">
        <v>6730</v>
      </c>
      <c r="X4085" t="s">
        <v>58</v>
      </c>
      <c r="Y4085">
        <v>20</v>
      </c>
      <c r="Z4085" t="s">
        <v>59</v>
      </c>
      <c r="AA4085" t="s">
        <v>59</v>
      </c>
      <c r="AB4085" t="s">
        <v>59</v>
      </c>
      <c r="AC4085" t="s">
        <v>59</v>
      </c>
      <c r="AD4085" t="s">
        <v>59</v>
      </c>
      <c r="AF4085" s="1">
        <v>39968</v>
      </c>
      <c r="AG4085" t="s">
        <v>137</v>
      </c>
      <c r="AH4085" t="s">
        <v>138</v>
      </c>
      <c r="AI4085" t="str">
        <f>"5040050"</f>
        <v>5040050</v>
      </c>
      <c r="AJ4085" t="s">
        <v>6750</v>
      </c>
      <c r="AK4085">
        <v>2821043147</v>
      </c>
      <c r="AL4085" t="s">
        <v>6751</v>
      </c>
      <c r="AM4085" t="s">
        <v>88</v>
      </c>
      <c r="AN4085" t="s">
        <v>88</v>
      </c>
      <c r="AO4085" t="s">
        <v>88</v>
      </c>
      <c r="AP4085" t="s">
        <v>88</v>
      </c>
      <c r="AQ4085">
        <v>1</v>
      </c>
      <c r="AR4085" t="s">
        <v>6729</v>
      </c>
      <c r="AS4085" t="s">
        <v>6730</v>
      </c>
      <c r="AT4085" t="s">
        <v>58</v>
      </c>
      <c r="AU4085" t="s">
        <v>68</v>
      </c>
      <c r="AV4085" t="s">
        <v>69</v>
      </c>
      <c r="AW4085" s="1">
        <v>26347</v>
      </c>
      <c r="AX4085">
        <v>2</v>
      </c>
    </row>
    <row r="4086" spans="1:50">
      <c r="A4086">
        <v>228285</v>
      </c>
      <c r="B4086" t="str">
        <f>"050083130"</f>
        <v>050083130</v>
      </c>
      <c r="C4086" t="s">
        <v>50</v>
      </c>
      <c r="D4086" t="s">
        <v>2438</v>
      </c>
      <c r="E4086" t="s">
        <v>52</v>
      </c>
      <c r="F4086" t="s">
        <v>99</v>
      </c>
      <c r="G4086" t="s">
        <v>109</v>
      </c>
      <c r="H4086" t="str">
        <f>"ΕΛΕΥΘΕΡΙΑΣ  21 ΧΑΝΙΑ"</f>
        <v>ΕΛΕΥΘΕΡΙΑΣ  21 ΧΑΝΙΑ</v>
      </c>
      <c r="I4086">
        <v>73100</v>
      </c>
      <c r="J4086">
        <v>2821075560</v>
      </c>
      <c r="K4086">
        <v>6936995104</v>
      </c>
      <c r="M4086" t="s">
        <v>7676</v>
      </c>
      <c r="N4086" t="s">
        <v>299</v>
      </c>
      <c r="O4086" t="s">
        <v>300</v>
      </c>
      <c r="R4086" t="s">
        <v>57</v>
      </c>
      <c r="S4086">
        <v>7</v>
      </c>
      <c r="T4086">
        <v>654</v>
      </c>
      <c r="U4086" s="1">
        <v>40043</v>
      </c>
      <c r="V4086" t="s">
        <v>6729</v>
      </c>
      <c r="W4086" t="s">
        <v>6730</v>
      </c>
      <c r="X4086" t="s">
        <v>58</v>
      </c>
      <c r="Y4086">
        <v>20</v>
      </c>
      <c r="Z4086" t="s">
        <v>59</v>
      </c>
      <c r="AA4086" t="s">
        <v>59</v>
      </c>
      <c r="AB4086" t="s">
        <v>59</v>
      </c>
      <c r="AC4086" t="s">
        <v>59</v>
      </c>
      <c r="AD4086" t="s">
        <v>59</v>
      </c>
      <c r="AF4086" s="1">
        <v>40044</v>
      </c>
      <c r="AG4086" t="s">
        <v>137</v>
      </c>
      <c r="AH4086" t="s">
        <v>469</v>
      </c>
      <c r="AI4086" t="str">
        <f>"5053001"</f>
        <v>5053001</v>
      </c>
      <c r="AJ4086" t="s">
        <v>6788</v>
      </c>
      <c r="AK4086">
        <v>2821068020</v>
      </c>
      <c r="AM4086" t="s">
        <v>88</v>
      </c>
      <c r="AN4086" t="s">
        <v>6764</v>
      </c>
      <c r="AO4086" t="s">
        <v>6764</v>
      </c>
      <c r="AP4086" t="s">
        <v>6764</v>
      </c>
      <c r="AQ4086">
        <v>1</v>
      </c>
      <c r="AR4086" t="s">
        <v>6729</v>
      </c>
      <c r="AS4086" t="s">
        <v>6730</v>
      </c>
      <c r="AT4086" t="s">
        <v>58</v>
      </c>
      <c r="AU4086" t="s">
        <v>68</v>
      </c>
      <c r="AV4086" t="s">
        <v>69</v>
      </c>
      <c r="AW4086" s="1">
        <v>24468</v>
      </c>
      <c r="AX4086">
        <v>2</v>
      </c>
    </row>
    <row r="4087" spans="1:50">
      <c r="A4087">
        <v>191245</v>
      </c>
      <c r="B4087" t="str">
        <f>"101570833"</f>
        <v>101570833</v>
      </c>
      <c r="C4087" t="s">
        <v>105</v>
      </c>
      <c r="D4087" t="s">
        <v>7677</v>
      </c>
      <c r="E4087" t="s">
        <v>1841</v>
      </c>
      <c r="F4087" t="s">
        <v>760</v>
      </c>
      <c r="G4087" t="s">
        <v>52</v>
      </c>
      <c r="H4087" t="str">
        <f>"ΣΕΛΙΝΟΥ 87Α ΝΕΑ ΧΩΡΑ"</f>
        <v>ΣΕΛΙΝΟΥ 87Α ΝΕΑ ΧΩΡΑ</v>
      </c>
      <c r="I4087">
        <v>73131</v>
      </c>
      <c r="K4087">
        <v>6948186194</v>
      </c>
      <c r="M4087" t="s">
        <v>7678</v>
      </c>
      <c r="N4087" t="s">
        <v>204</v>
      </c>
      <c r="O4087" t="s">
        <v>205</v>
      </c>
      <c r="R4087" t="s">
        <v>57</v>
      </c>
      <c r="S4087">
        <v>9</v>
      </c>
      <c r="T4087">
        <v>219</v>
      </c>
      <c r="U4087" s="1">
        <v>37134</v>
      </c>
      <c r="V4087" t="s">
        <v>6729</v>
      </c>
      <c r="W4087" t="s">
        <v>6730</v>
      </c>
      <c r="X4087" t="s">
        <v>58</v>
      </c>
      <c r="Y4087">
        <v>20</v>
      </c>
      <c r="Z4087" t="s">
        <v>59</v>
      </c>
      <c r="AA4087" t="s">
        <v>59</v>
      </c>
      <c r="AB4087" t="s">
        <v>59</v>
      </c>
      <c r="AC4087" t="s">
        <v>59</v>
      </c>
      <c r="AD4087" t="s">
        <v>59</v>
      </c>
      <c r="AF4087" s="1">
        <v>37141</v>
      </c>
      <c r="AG4087" t="s">
        <v>137</v>
      </c>
      <c r="AH4087" t="s">
        <v>138</v>
      </c>
      <c r="AI4087" t="str">
        <f>"5040080"</f>
        <v>5040080</v>
      </c>
      <c r="AJ4087" t="s">
        <v>6753</v>
      </c>
      <c r="AK4087">
        <v>2821093155</v>
      </c>
      <c r="AL4087" t="s">
        <v>6754</v>
      </c>
      <c r="AM4087" t="s">
        <v>88</v>
      </c>
      <c r="AN4087" t="s">
        <v>88</v>
      </c>
      <c r="AO4087" t="s">
        <v>6733</v>
      </c>
      <c r="AP4087" t="s">
        <v>6755</v>
      </c>
      <c r="AQ4087">
        <v>1</v>
      </c>
      <c r="AR4087" t="s">
        <v>6729</v>
      </c>
      <c r="AS4087" t="s">
        <v>6730</v>
      </c>
      <c r="AT4087" t="s">
        <v>58</v>
      </c>
      <c r="AU4087" t="s">
        <v>68</v>
      </c>
      <c r="AV4087" t="s">
        <v>69</v>
      </c>
      <c r="AW4087" s="1">
        <v>27326</v>
      </c>
      <c r="AX4087">
        <v>2</v>
      </c>
    </row>
    <row r="4088" spans="1:50">
      <c r="A4088">
        <v>162313</v>
      </c>
      <c r="B4088" t="str">
        <f>"035325771"</f>
        <v>035325771</v>
      </c>
      <c r="C4088" t="s">
        <v>50</v>
      </c>
      <c r="D4088" t="s">
        <v>7679</v>
      </c>
      <c r="E4088" t="s">
        <v>476</v>
      </c>
      <c r="F4088" t="s">
        <v>7680</v>
      </c>
      <c r="G4088" t="s">
        <v>7681</v>
      </c>
      <c r="H4088" t="str">
        <f>"ΣΕΪΜΕΝΗ 18 ΧΑΝΙΩΝ"</f>
        <v>ΣΕΪΜΕΝΗ 18 ΧΑΝΙΩΝ</v>
      </c>
      <c r="I4088">
        <v>73100</v>
      </c>
      <c r="J4088">
        <v>2821046994</v>
      </c>
      <c r="K4088">
        <v>6978995786</v>
      </c>
      <c r="M4088" t="s">
        <v>7682</v>
      </c>
      <c r="N4088" t="s">
        <v>146</v>
      </c>
      <c r="O4088" t="s">
        <v>147</v>
      </c>
      <c r="R4088" t="s">
        <v>57</v>
      </c>
      <c r="S4088">
        <v>15</v>
      </c>
      <c r="T4088">
        <v>132</v>
      </c>
      <c r="U4088" s="1">
        <v>33456</v>
      </c>
      <c r="V4088" t="s">
        <v>6729</v>
      </c>
      <c r="W4088" t="s">
        <v>6730</v>
      </c>
      <c r="X4088" t="s">
        <v>58</v>
      </c>
      <c r="Y4088">
        <v>18</v>
      </c>
      <c r="Z4088" t="s">
        <v>59</v>
      </c>
      <c r="AA4088" t="s">
        <v>59</v>
      </c>
      <c r="AB4088" t="s">
        <v>59</v>
      </c>
      <c r="AC4088" t="s">
        <v>59</v>
      </c>
      <c r="AD4088" t="s">
        <v>59</v>
      </c>
      <c r="AF4088" s="1">
        <v>33484</v>
      </c>
      <c r="AG4088" t="s">
        <v>125</v>
      </c>
      <c r="AH4088" t="s">
        <v>126</v>
      </c>
      <c r="AI4088" t="str">
        <f>"5001073"</f>
        <v>5001073</v>
      </c>
      <c r="AJ4088" t="s">
        <v>6849</v>
      </c>
      <c r="AK4088">
        <v>2821028553</v>
      </c>
      <c r="AL4088" t="s">
        <v>6850</v>
      </c>
      <c r="AM4088" t="s">
        <v>88</v>
      </c>
      <c r="AN4088" t="s">
        <v>88</v>
      </c>
      <c r="AO4088" t="s">
        <v>88</v>
      </c>
      <c r="AP4088" t="s">
        <v>88</v>
      </c>
      <c r="AQ4088">
        <v>1</v>
      </c>
      <c r="AR4088" t="s">
        <v>6729</v>
      </c>
      <c r="AS4088" t="s">
        <v>6730</v>
      </c>
      <c r="AT4088" t="s">
        <v>58</v>
      </c>
      <c r="AU4088" t="s">
        <v>68</v>
      </c>
      <c r="AV4088" t="s">
        <v>69</v>
      </c>
      <c r="AW4088" s="1">
        <v>23532</v>
      </c>
      <c r="AX4088">
        <v>2</v>
      </c>
    </row>
    <row r="4089" spans="1:50">
      <c r="A4089">
        <v>185634</v>
      </c>
      <c r="B4089" t="str">
        <f>"077128857"</f>
        <v>077128857</v>
      </c>
      <c r="C4089" t="s">
        <v>105</v>
      </c>
      <c r="D4089" t="s">
        <v>7683</v>
      </c>
      <c r="E4089" t="s">
        <v>72</v>
      </c>
      <c r="F4089" t="s">
        <v>99</v>
      </c>
      <c r="G4089" t="s">
        <v>7030</v>
      </c>
      <c r="H4089" t="str">
        <f>"Κισσάμου &amp; Μονής Γωνίας 2 "</f>
        <v xml:space="preserve">Κισσάμου &amp; Μονής Γωνίας 2 </v>
      </c>
      <c r="I4089">
        <v>73100</v>
      </c>
      <c r="K4089">
        <v>6948836266</v>
      </c>
      <c r="M4089" t="s">
        <v>7684</v>
      </c>
      <c r="N4089" t="s">
        <v>157</v>
      </c>
      <c r="O4089" t="s">
        <v>158</v>
      </c>
      <c r="R4089" t="s">
        <v>57</v>
      </c>
      <c r="S4089">
        <v>9</v>
      </c>
      <c r="T4089">
        <v>250</v>
      </c>
      <c r="U4089" s="1">
        <v>36769</v>
      </c>
      <c r="V4089" t="s">
        <v>6729</v>
      </c>
      <c r="W4089" t="s">
        <v>6730</v>
      </c>
      <c r="X4089" t="s">
        <v>58</v>
      </c>
      <c r="Y4089">
        <v>20</v>
      </c>
      <c r="Z4089" t="s">
        <v>59</v>
      </c>
      <c r="AA4089" t="s">
        <v>59</v>
      </c>
      <c r="AB4089" t="s">
        <v>59</v>
      </c>
      <c r="AC4089" t="s">
        <v>59</v>
      </c>
      <c r="AD4089" t="s">
        <v>59</v>
      </c>
      <c r="AF4089" s="1">
        <v>36770</v>
      </c>
      <c r="AG4089" t="s">
        <v>125</v>
      </c>
      <c r="AH4089" t="s">
        <v>126</v>
      </c>
      <c r="AI4089" t="str">
        <f>"5001073"</f>
        <v>5001073</v>
      </c>
      <c r="AJ4089" t="s">
        <v>6849</v>
      </c>
      <c r="AK4089">
        <v>2821028553</v>
      </c>
      <c r="AL4089" t="s">
        <v>6850</v>
      </c>
      <c r="AM4089" t="s">
        <v>88</v>
      </c>
      <c r="AN4089" t="s">
        <v>88</v>
      </c>
      <c r="AO4089" t="s">
        <v>88</v>
      </c>
      <c r="AP4089" t="s">
        <v>88</v>
      </c>
      <c r="AQ4089">
        <v>1</v>
      </c>
      <c r="AR4089" t="s">
        <v>6729</v>
      </c>
      <c r="AS4089" t="s">
        <v>6730</v>
      </c>
      <c r="AT4089" t="s">
        <v>58</v>
      </c>
      <c r="AU4089" t="s">
        <v>68</v>
      </c>
      <c r="AV4089" t="s">
        <v>69</v>
      </c>
      <c r="AW4089" s="1">
        <v>25667</v>
      </c>
      <c r="AX4089">
        <v>2</v>
      </c>
    </row>
    <row r="4090" spans="1:50">
      <c r="A4090">
        <v>229104</v>
      </c>
      <c r="B4090" t="str">
        <f>"111039290"</f>
        <v>111039290</v>
      </c>
      <c r="C4090" t="s">
        <v>50</v>
      </c>
      <c r="D4090" t="s">
        <v>7685</v>
      </c>
      <c r="E4090" t="s">
        <v>3137</v>
      </c>
      <c r="F4090" t="s">
        <v>900</v>
      </c>
      <c r="G4090" t="s">
        <v>563</v>
      </c>
      <c r="H4090" t="str">
        <f>"ΜΑΡΑΘΩΝΟΣ 22 ΑΓ. ΠΑΡΑΣΚΕΥΗ"</f>
        <v>ΜΑΡΑΘΩΝΟΣ 22 ΑΓ. ΠΑΡΑΣΚΕΥΗ</v>
      </c>
      <c r="I4090">
        <v>15343</v>
      </c>
      <c r="J4090">
        <v>2121045847</v>
      </c>
      <c r="K4090">
        <v>6973633835</v>
      </c>
      <c r="M4090" t="s">
        <v>7686</v>
      </c>
      <c r="N4090" t="s">
        <v>306</v>
      </c>
      <c r="O4090" t="s">
        <v>307</v>
      </c>
      <c r="R4090" t="s">
        <v>57</v>
      </c>
      <c r="S4090">
        <v>4</v>
      </c>
      <c r="T4090">
        <v>720</v>
      </c>
      <c r="U4090" s="1">
        <v>40059</v>
      </c>
      <c r="V4090" t="s">
        <v>6729</v>
      </c>
      <c r="W4090" t="s">
        <v>6730</v>
      </c>
      <c r="X4090" t="s">
        <v>58</v>
      </c>
      <c r="Y4090">
        <v>21</v>
      </c>
      <c r="Z4090" t="s">
        <v>59</v>
      </c>
      <c r="AA4090" t="s">
        <v>59</v>
      </c>
      <c r="AB4090" t="s">
        <v>59</v>
      </c>
      <c r="AC4090" t="s">
        <v>59</v>
      </c>
      <c r="AD4090" t="s">
        <v>59</v>
      </c>
      <c r="AF4090" s="1">
        <v>40059</v>
      </c>
      <c r="AG4090" t="s">
        <v>148</v>
      </c>
      <c r="AH4090" t="s">
        <v>149</v>
      </c>
      <c r="AI4090" t="str">
        <f>"5058010"</f>
        <v>5058010</v>
      </c>
      <c r="AJ4090" t="s">
        <v>7431</v>
      </c>
      <c r="AK4090">
        <v>2825091037</v>
      </c>
      <c r="AL4090" t="s">
        <v>7432</v>
      </c>
      <c r="AM4090" t="s">
        <v>88</v>
      </c>
      <c r="AN4090" t="s">
        <v>6995</v>
      </c>
      <c r="AO4090" t="s">
        <v>6995</v>
      </c>
      <c r="AP4090" t="s">
        <v>6996</v>
      </c>
      <c r="AQ4090">
        <v>1</v>
      </c>
      <c r="AR4090" t="s">
        <v>6729</v>
      </c>
      <c r="AS4090" t="s">
        <v>6730</v>
      </c>
      <c r="AT4090" t="s">
        <v>58</v>
      </c>
      <c r="AU4090" t="s">
        <v>68</v>
      </c>
      <c r="AV4090" t="s">
        <v>69</v>
      </c>
      <c r="AW4090" s="1">
        <v>29696</v>
      </c>
      <c r="AX4090">
        <v>2</v>
      </c>
    </row>
    <row r="4091" spans="1:50">
      <c r="A4091">
        <v>169840</v>
      </c>
      <c r="B4091" t="str">
        <f>"065546290"</f>
        <v>065546290</v>
      </c>
      <c r="C4091" t="s">
        <v>50</v>
      </c>
      <c r="D4091" t="s">
        <v>7687</v>
      </c>
      <c r="E4091" t="s">
        <v>255</v>
      </c>
      <c r="F4091" t="s">
        <v>95</v>
      </c>
      <c r="G4091" t="s">
        <v>263</v>
      </c>
      <c r="H4091" t="str">
        <f>" "</f>
        <v xml:space="preserve"> </v>
      </c>
      <c r="M4091" t="s">
        <v>7688</v>
      </c>
      <c r="N4091" t="s">
        <v>146</v>
      </c>
      <c r="O4091" t="s">
        <v>147</v>
      </c>
      <c r="R4091" t="s">
        <v>57</v>
      </c>
      <c r="S4091">
        <v>15</v>
      </c>
      <c r="T4091">
        <v>184</v>
      </c>
      <c r="U4091" s="1">
        <v>34941</v>
      </c>
      <c r="V4091" t="s">
        <v>6729</v>
      </c>
      <c r="W4091" t="s">
        <v>6730</v>
      </c>
      <c r="X4091" t="s">
        <v>58</v>
      </c>
      <c r="Y4091">
        <v>18</v>
      </c>
      <c r="Z4091" t="s">
        <v>59</v>
      </c>
      <c r="AA4091" t="s">
        <v>59</v>
      </c>
      <c r="AB4091" t="s">
        <v>59</v>
      </c>
      <c r="AC4091" t="s">
        <v>59</v>
      </c>
      <c r="AD4091" t="s">
        <v>59</v>
      </c>
      <c r="AF4091" s="1">
        <v>34943</v>
      </c>
      <c r="AG4091" t="s">
        <v>148</v>
      </c>
      <c r="AH4091" t="s">
        <v>149</v>
      </c>
      <c r="AI4091" t="str">
        <f>"5051050"</f>
        <v>5051050</v>
      </c>
      <c r="AJ4091" t="s">
        <v>6861</v>
      </c>
      <c r="AK4091">
        <v>2821044860</v>
      </c>
      <c r="AL4091" t="s">
        <v>6862</v>
      </c>
      <c r="AM4091" t="s">
        <v>88</v>
      </c>
      <c r="AN4091" t="s">
        <v>88</v>
      </c>
      <c r="AO4091" t="s">
        <v>88</v>
      </c>
      <c r="AP4091" t="s">
        <v>88</v>
      </c>
      <c r="AQ4091">
        <v>1</v>
      </c>
      <c r="AR4091" t="s">
        <v>6729</v>
      </c>
      <c r="AS4091" t="s">
        <v>6730</v>
      </c>
      <c r="AT4091" t="s">
        <v>58</v>
      </c>
      <c r="AU4091" t="s">
        <v>68</v>
      </c>
      <c r="AV4091" t="s">
        <v>69</v>
      </c>
      <c r="AW4091" s="1">
        <v>23936</v>
      </c>
      <c r="AX4091">
        <v>2</v>
      </c>
    </row>
    <row r="4092" spans="1:50">
      <c r="A4092">
        <v>197244</v>
      </c>
      <c r="B4092" t="str">
        <f>"076433123"</f>
        <v>076433123</v>
      </c>
      <c r="C4092" t="s">
        <v>105</v>
      </c>
      <c r="D4092" t="s">
        <v>7689</v>
      </c>
      <c r="E4092" t="s">
        <v>4730</v>
      </c>
      <c r="F4092" t="s">
        <v>1023</v>
      </c>
      <c r="G4092" t="s">
        <v>476</v>
      </c>
      <c r="H4092" t="str">
        <f>"ΠΑΥΛΟΥ ΜΕΛΑ 2 ΛΑΡΙΣΑΣ"</f>
        <v>ΠΑΥΛΟΥ ΜΕΛΑ 2 ΛΑΡΙΣΑΣ</v>
      </c>
      <c r="I4092">
        <v>41500</v>
      </c>
      <c r="J4092">
        <v>2821042508</v>
      </c>
      <c r="K4092">
        <v>6938599588</v>
      </c>
      <c r="L4092">
        <v>2410591696</v>
      </c>
      <c r="M4092" t="s">
        <v>7690</v>
      </c>
      <c r="N4092" t="s">
        <v>146</v>
      </c>
      <c r="O4092" t="s">
        <v>147</v>
      </c>
      <c r="R4092" t="s">
        <v>57</v>
      </c>
      <c r="S4092">
        <v>7</v>
      </c>
      <c r="T4092">
        <v>206</v>
      </c>
      <c r="U4092" s="1">
        <v>37866</v>
      </c>
      <c r="V4092" t="s">
        <v>6729</v>
      </c>
      <c r="W4092" t="s">
        <v>6730</v>
      </c>
      <c r="X4092" t="s">
        <v>58</v>
      </c>
      <c r="Y4092">
        <v>20</v>
      </c>
      <c r="Z4092" t="s">
        <v>59</v>
      </c>
      <c r="AA4092" t="s">
        <v>59</v>
      </c>
      <c r="AB4092" t="s">
        <v>59</v>
      </c>
      <c r="AC4092" t="s">
        <v>59</v>
      </c>
      <c r="AD4092" t="s">
        <v>59</v>
      </c>
      <c r="AF4092" s="1">
        <v>37866</v>
      </c>
      <c r="AG4092" t="s">
        <v>125</v>
      </c>
      <c r="AH4092" t="s">
        <v>126</v>
      </c>
      <c r="AI4092" t="str">
        <f>"5001076"</f>
        <v>5001076</v>
      </c>
      <c r="AJ4092" t="s">
        <v>6979</v>
      </c>
      <c r="AK4092">
        <v>2821088808</v>
      </c>
      <c r="AL4092" t="s">
        <v>6980</v>
      </c>
      <c r="AM4092" t="s">
        <v>88</v>
      </c>
      <c r="AN4092" t="s">
        <v>88</v>
      </c>
      <c r="AO4092" t="s">
        <v>6733</v>
      </c>
      <c r="AP4092" t="s">
        <v>6755</v>
      </c>
      <c r="AQ4092">
        <v>1</v>
      </c>
      <c r="AR4092" t="s">
        <v>6729</v>
      </c>
      <c r="AS4092" t="s">
        <v>6730</v>
      </c>
      <c r="AT4092" t="s">
        <v>58</v>
      </c>
      <c r="AU4092" t="s">
        <v>68</v>
      </c>
      <c r="AV4092" t="s">
        <v>69</v>
      </c>
      <c r="AW4092" s="1">
        <v>26988</v>
      </c>
      <c r="AX4092">
        <v>2</v>
      </c>
    </row>
    <row r="4093" spans="1:50">
      <c r="A4093">
        <v>221444</v>
      </c>
      <c r="B4093" t="str">
        <f>"112370379"</f>
        <v>112370379</v>
      </c>
      <c r="C4093" t="s">
        <v>50</v>
      </c>
      <c r="D4093" t="s">
        <v>2451</v>
      </c>
      <c r="E4093" t="s">
        <v>476</v>
      </c>
      <c r="F4093" t="s">
        <v>53</v>
      </c>
      <c r="G4093" t="s">
        <v>7691</v>
      </c>
      <c r="H4093" t="str">
        <f>" "</f>
        <v xml:space="preserve"> </v>
      </c>
      <c r="J4093">
        <v>2821033154</v>
      </c>
      <c r="K4093">
        <v>6972861019</v>
      </c>
      <c r="M4093" t="s">
        <v>7692</v>
      </c>
      <c r="N4093" t="s">
        <v>587</v>
      </c>
      <c r="O4093" t="s">
        <v>588</v>
      </c>
      <c r="R4093" t="s">
        <v>57</v>
      </c>
      <c r="S4093">
        <v>5</v>
      </c>
      <c r="T4093">
        <v>691</v>
      </c>
      <c r="U4093" s="1">
        <v>39331</v>
      </c>
      <c r="V4093" t="s">
        <v>6729</v>
      </c>
      <c r="W4093" t="s">
        <v>6730</v>
      </c>
      <c r="X4093" t="s">
        <v>58</v>
      </c>
      <c r="Y4093">
        <v>21</v>
      </c>
      <c r="Z4093" t="s">
        <v>59</v>
      </c>
      <c r="AA4093" t="s">
        <v>59</v>
      </c>
      <c r="AB4093" t="s">
        <v>59</v>
      </c>
      <c r="AC4093" t="s">
        <v>59</v>
      </c>
      <c r="AD4093" t="s">
        <v>59</v>
      </c>
      <c r="AF4093" s="1">
        <v>39335</v>
      </c>
      <c r="AG4093" t="s">
        <v>137</v>
      </c>
      <c r="AH4093" t="s">
        <v>138</v>
      </c>
      <c r="AI4093" t="str">
        <f>"5040080"</f>
        <v>5040080</v>
      </c>
      <c r="AJ4093" t="s">
        <v>6753</v>
      </c>
      <c r="AK4093">
        <v>2821093155</v>
      </c>
      <c r="AL4093" t="s">
        <v>6754</v>
      </c>
      <c r="AM4093" t="s">
        <v>88</v>
      </c>
      <c r="AN4093" t="s">
        <v>88</v>
      </c>
      <c r="AO4093" t="s">
        <v>6733</v>
      </c>
      <c r="AP4093" t="s">
        <v>6755</v>
      </c>
      <c r="AQ4093">
        <v>1</v>
      </c>
      <c r="AR4093" t="s">
        <v>6729</v>
      </c>
      <c r="AS4093" t="s">
        <v>6730</v>
      </c>
      <c r="AT4093" t="s">
        <v>58</v>
      </c>
      <c r="AU4093" t="s">
        <v>68</v>
      </c>
      <c r="AV4093" t="s">
        <v>69</v>
      </c>
      <c r="AW4093" s="1">
        <v>26036</v>
      </c>
      <c r="AX4093">
        <v>2</v>
      </c>
    </row>
    <row r="4094" spans="1:50">
      <c r="A4094">
        <v>150435</v>
      </c>
      <c r="B4094" t="str">
        <f>"065624407"</f>
        <v>065624407</v>
      </c>
      <c r="C4094" t="s">
        <v>50</v>
      </c>
      <c r="D4094" t="s">
        <v>7693</v>
      </c>
      <c r="E4094" t="s">
        <v>1189</v>
      </c>
      <c r="F4094" t="s">
        <v>72</v>
      </c>
      <c r="G4094" t="s">
        <v>181</v>
      </c>
      <c r="H4094" t="str">
        <f>" "</f>
        <v xml:space="preserve"> </v>
      </c>
      <c r="N4094" t="s">
        <v>146</v>
      </c>
      <c r="O4094" t="s">
        <v>147</v>
      </c>
      <c r="R4094" t="s">
        <v>57</v>
      </c>
      <c r="S4094">
        <v>16</v>
      </c>
      <c r="T4094">
        <v>170</v>
      </c>
      <c r="U4094" s="1">
        <v>32016</v>
      </c>
      <c r="V4094" t="s">
        <v>6729</v>
      </c>
      <c r="W4094" t="s">
        <v>6730</v>
      </c>
      <c r="X4094" t="s">
        <v>58</v>
      </c>
      <c r="Y4094">
        <v>18</v>
      </c>
      <c r="Z4094" t="s">
        <v>59</v>
      </c>
      <c r="AA4094" t="s">
        <v>59</v>
      </c>
      <c r="AB4094" t="s">
        <v>59</v>
      </c>
      <c r="AC4094" t="s">
        <v>59</v>
      </c>
      <c r="AD4094" t="s">
        <v>59</v>
      </c>
      <c r="AF4094" s="1">
        <v>32027</v>
      </c>
      <c r="AG4094" t="s">
        <v>125</v>
      </c>
      <c r="AH4094" t="s">
        <v>126</v>
      </c>
      <c r="AI4094" t="str">
        <f>"5001020"</f>
        <v>5001020</v>
      </c>
      <c r="AJ4094" t="s">
        <v>6739</v>
      </c>
      <c r="AK4094">
        <v>2821042664</v>
      </c>
      <c r="AL4094" t="s">
        <v>6740</v>
      </c>
      <c r="AM4094" t="s">
        <v>88</v>
      </c>
      <c r="AN4094" t="s">
        <v>88</v>
      </c>
      <c r="AO4094" t="s">
        <v>88</v>
      </c>
      <c r="AP4094" t="s">
        <v>88</v>
      </c>
      <c r="AQ4094">
        <v>1</v>
      </c>
      <c r="AR4094" t="s">
        <v>6729</v>
      </c>
      <c r="AS4094" t="s">
        <v>6730</v>
      </c>
      <c r="AT4094" t="s">
        <v>58</v>
      </c>
      <c r="AU4094" t="s">
        <v>68</v>
      </c>
      <c r="AV4094" t="s">
        <v>69</v>
      </c>
      <c r="AW4094" s="1">
        <v>21716</v>
      </c>
      <c r="AX4094">
        <v>2</v>
      </c>
    </row>
    <row r="4095" spans="1:50">
      <c r="A4095">
        <v>227075</v>
      </c>
      <c r="B4095" t="str">
        <f>"127710941"</f>
        <v>127710941</v>
      </c>
      <c r="C4095" t="s">
        <v>105</v>
      </c>
      <c r="D4095" t="s">
        <v>7694</v>
      </c>
      <c r="E4095" t="s">
        <v>383</v>
      </c>
      <c r="F4095" t="s">
        <v>95</v>
      </c>
      <c r="G4095" t="s">
        <v>7695</v>
      </c>
      <c r="H4095" t="str">
        <f>"ΠΟΛΥΡΡΗΝΙΑΣ 37 ΧΑΝΙΑ"</f>
        <v>ΠΟΛΥΡΡΗΝΙΑΣ 37 ΧΑΝΙΑ</v>
      </c>
      <c r="I4095">
        <v>73100</v>
      </c>
      <c r="J4095">
        <v>2821302618</v>
      </c>
      <c r="K4095">
        <v>6971729294</v>
      </c>
      <c r="M4095" t="s">
        <v>7696</v>
      </c>
      <c r="N4095" t="s">
        <v>292</v>
      </c>
      <c r="O4095" t="s">
        <v>293</v>
      </c>
      <c r="R4095" t="s">
        <v>57</v>
      </c>
      <c r="S4095">
        <v>10</v>
      </c>
      <c r="T4095">
        <v>654</v>
      </c>
      <c r="U4095" s="1">
        <v>40043</v>
      </c>
      <c r="V4095" t="s">
        <v>6729</v>
      </c>
      <c r="W4095" t="s">
        <v>6730</v>
      </c>
      <c r="X4095" t="s">
        <v>58</v>
      </c>
      <c r="Y4095">
        <v>21</v>
      </c>
      <c r="Z4095" t="s">
        <v>59</v>
      </c>
      <c r="AA4095" t="s">
        <v>59</v>
      </c>
      <c r="AB4095" t="s">
        <v>59</v>
      </c>
      <c r="AC4095" t="s">
        <v>59</v>
      </c>
      <c r="AD4095" t="s">
        <v>59</v>
      </c>
      <c r="AF4095" s="1">
        <v>40043</v>
      </c>
      <c r="AG4095" t="s">
        <v>148</v>
      </c>
      <c r="AH4095" t="s">
        <v>149</v>
      </c>
      <c r="AI4095" t="str">
        <f>"5051030"</f>
        <v>5051030</v>
      </c>
      <c r="AJ4095" t="s">
        <v>6760</v>
      </c>
      <c r="AK4095">
        <v>2821027533</v>
      </c>
      <c r="AL4095" t="s">
        <v>6761</v>
      </c>
      <c r="AM4095" t="s">
        <v>88</v>
      </c>
      <c r="AN4095" t="s">
        <v>88</v>
      </c>
      <c r="AO4095" t="s">
        <v>88</v>
      </c>
      <c r="AP4095" t="s">
        <v>88</v>
      </c>
      <c r="AQ4095">
        <v>1</v>
      </c>
      <c r="AR4095" t="s">
        <v>6729</v>
      </c>
      <c r="AS4095" t="s">
        <v>6730</v>
      </c>
      <c r="AT4095" t="s">
        <v>58</v>
      </c>
      <c r="AU4095" t="s">
        <v>68</v>
      </c>
      <c r="AV4095" t="s">
        <v>357</v>
      </c>
      <c r="AW4095" s="1">
        <v>30995</v>
      </c>
      <c r="AX4095">
        <v>2</v>
      </c>
    </row>
    <row r="4096" spans="1:50">
      <c r="A4096">
        <v>176660</v>
      </c>
      <c r="B4096" t="str">
        <f>"045816819"</f>
        <v>045816819</v>
      </c>
      <c r="C4096" t="s">
        <v>50</v>
      </c>
      <c r="D4096" t="s">
        <v>2477</v>
      </c>
      <c r="E4096" t="s">
        <v>237</v>
      </c>
      <c r="F4096" t="s">
        <v>95</v>
      </c>
      <c r="G4096" t="s">
        <v>860</v>
      </c>
      <c r="H4096" t="str">
        <f>"ΑΓΙΑ ΜΑΡΙΝΑ Ν. ΚΥΔΩΝΙΑ"</f>
        <v>ΑΓΙΑ ΜΑΡΙΝΑ Ν. ΚΥΔΩΝΙΑ</v>
      </c>
      <c r="J4096">
        <v>2821038061</v>
      </c>
      <c r="K4096">
        <v>6937382413</v>
      </c>
      <c r="M4096" t="s">
        <v>7697</v>
      </c>
      <c r="N4096" t="s">
        <v>306</v>
      </c>
      <c r="O4096" t="s">
        <v>307</v>
      </c>
      <c r="R4096" t="s">
        <v>57</v>
      </c>
      <c r="S4096">
        <v>12</v>
      </c>
      <c r="T4096">
        <v>180</v>
      </c>
      <c r="U4096" s="1">
        <v>35674</v>
      </c>
      <c r="V4096" t="s">
        <v>6729</v>
      </c>
      <c r="W4096" t="s">
        <v>6730</v>
      </c>
      <c r="X4096" t="s">
        <v>58</v>
      </c>
      <c r="Y4096">
        <v>18</v>
      </c>
      <c r="Z4096" t="s">
        <v>59</v>
      </c>
      <c r="AA4096" t="s">
        <v>59</v>
      </c>
      <c r="AB4096" t="s">
        <v>59</v>
      </c>
      <c r="AC4096" t="s">
        <v>59</v>
      </c>
      <c r="AD4096" t="s">
        <v>59</v>
      </c>
      <c r="AF4096" s="1">
        <v>35675</v>
      </c>
      <c r="AG4096" t="s">
        <v>148</v>
      </c>
      <c r="AH4096" t="s">
        <v>149</v>
      </c>
      <c r="AI4096" t="str">
        <f>"5051030"</f>
        <v>5051030</v>
      </c>
      <c r="AJ4096" t="s">
        <v>6760</v>
      </c>
      <c r="AK4096">
        <v>2821027533</v>
      </c>
      <c r="AL4096" t="s">
        <v>6761</v>
      </c>
      <c r="AM4096" t="s">
        <v>88</v>
      </c>
      <c r="AN4096" t="s">
        <v>88</v>
      </c>
      <c r="AO4096" t="s">
        <v>88</v>
      </c>
      <c r="AP4096" t="s">
        <v>88</v>
      </c>
      <c r="AQ4096">
        <v>1</v>
      </c>
      <c r="AR4096" t="s">
        <v>6729</v>
      </c>
      <c r="AS4096" t="s">
        <v>6730</v>
      </c>
      <c r="AT4096" t="s">
        <v>58</v>
      </c>
      <c r="AU4096" t="s">
        <v>68</v>
      </c>
      <c r="AV4096" t="s">
        <v>69</v>
      </c>
      <c r="AW4096" s="1">
        <v>24142</v>
      </c>
      <c r="AX4096">
        <v>2</v>
      </c>
    </row>
    <row r="4097" spans="1:50">
      <c r="A4097">
        <v>166435</v>
      </c>
      <c r="B4097" t="str">
        <f>"032695647"</f>
        <v>032695647</v>
      </c>
      <c r="C4097" t="s">
        <v>50</v>
      </c>
      <c r="D4097" t="s">
        <v>6189</v>
      </c>
      <c r="E4097" t="s">
        <v>513</v>
      </c>
      <c r="F4097" t="s">
        <v>99</v>
      </c>
      <c r="G4097" t="s">
        <v>114</v>
      </c>
      <c r="H4097" t="str">
        <f>" "</f>
        <v xml:space="preserve"> </v>
      </c>
      <c r="J4097">
        <v>2821055606</v>
      </c>
      <c r="K4097">
        <v>6986678815</v>
      </c>
      <c r="M4097" t="s">
        <v>7698</v>
      </c>
      <c r="N4097" t="s">
        <v>306</v>
      </c>
      <c r="O4097" t="s">
        <v>307</v>
      </c>
      <c r="R4097" t="s">
        <v>57</v>
      </c>
      <c r="S4097">
        <v>14</v>
      </c>
      <c r="T4097">
        <v>137</v>
      </c>
      <c r="U4097" s="1">
        <v>34206</v>
      </c>
      <c r="V4097" t="s">
        <v>6729</v>
      </c>
      <c r="W4097" t="s">
        <v>6730</v>
      </c>
      <c r="X4097" t="s">
        <v>58</v>
      </c>
      <c r="Y4097">
        <v>18</v>
      </c>
      <c r="Z4097" t="s">
        <v>59</v>
      </c>
      <c r="AA4097" t="s">
        <v>59</v>
      </c>
      <c r="AB4097" t="s">
        <v>59</v>
      </c>
      <c r="AC4097" t="s">
        <v>59</v>
      </c>
      <c r="AD4097" t="s">
        <v>59</v>
      </c>
      <c r="AF4097" s="1">
        <v>34213</v>
      </c>
      <c r="AG4097" t="s">
        <v>125</v>
      </c>
      <c r="AH4097" t="s">
        <v>126</v>
      </c>
      <c r="AI4097" t="str">
        <f>"5001072"</f>
        <v>5001072</v>
      </c>
      <c r="AJ4097" t="s">
        <v>6922</v>
      </c>
      <c r="AK4097">
        <v>2821055471</v>
      </c>
      <c r="AL4097" t="s">
        <v>6923</v>
      </c>
      <c r="AM4097" t="s">
        <v>88</v>
      </c>
      <c r="AN4097" t="s">
        <v>88</v>
      </c>
      <c r="AO4097" t="s">
        <v>88</v>
      </c>
      <c r="AP4097" t="s">
        <v>88</v>
      </c>
      <c r="AQ4097">
        <v>1</v>
      </c>
      <c r="AR4097" t="s">
        <v>6729</v>
      </c>
      <c r="AS4097" t="s">
        <v>6730</v>
      </c>
      <c r="AT4097" t="s">
        <v>58</v>
      </c>
      <c r="AU4097" t="s">
        <v>68</v>
      </c>
      <c r="AV4097" t="s">
        <v>69</v>
      </c>
      <c r="AW4097" s="1">
        <v>23505</v>
      </c>
      <c r="AX4097">
        <v>2</v>
      </c>
    </row>
    <row r="4098" spans="1:50">
      <c r="B4098" t="str">
        <f>"063821548"</f>
        <v>063821548</v>
      </c>
      <c r="C4098" t="s">
        <v>50</v>
      </c>
      <c r="D4098" t="s">
        <v>2505</v>
      </c>
      <c r="E4098" t="s">
        <v>600</v>
      </c>
      <c r="F4098" t="s">
        <v>99</v>
      </c>
      <c r="G4098" t="s">
        <v>1001</v>
      </c>
      <c r="H4098" t="str">
        <f>"ΙΩΑΝΝΗ ΒΑΜΒΑΚΑ 4 "</f>
        <v xml:space="preserve">ΙΩΑΝΝΗ ΒΑΜΒΑΚΑ 4 </v>
      </c>
      <c r="I4098">
        <v>73100</v>
      </c>
      <c r="J4098">
        <v>2821053531</v>
      </c>
      <c r="K4098">
        <v>6978187854</v>
      </c>
      <c r="N4098" t="s">
        <v>1351</v>
      </c>
      <c r="O4098" t="s">
        <v>1352</v>
      </c>
      <c r="R4098" t="s">
        <v>159</v>
      </c>
      <c r="S4098">
        <v>3</v>
      </c>
      <c r="T4098" t="s">
        <v>574</v>
      </c>
      <c r="U4098" s="1">
        <v>43378</v>
      </c>
      <c r="V4098" t="s">
        <v>6729</v>
      </c>
      <c r="W4098" t="s">
        <v>6730</v>
      </c>
      <c r="X4098" t="s">
        <v>58</v>
      </c>
      <c r="Y4098">
        <v>23</v>
      </c>
      <c r="Z4098" t="s">
        <v>59</v>
      </c>
      <c r="AA4098" t="s">
        <v>59</v>
      </c>
      <c r="AB4098" t="s">
        <v>59</v>
      </c>
      <c r="AC4098" t="s">
        <v>59</v>
      </c>
      <c r="AD4098" t="s">
        <v>59</v>
      </c>
      <c r="AF4098" s="1">
        <v>43381</v>
      </c>
      <c r="AI4098" t="str">
        <f>""</f>
        <v/>
      </c>
      <c r="AS4098" t="s">
        <v>6730</v>
      </c>
      <c r="AT4098" t="s">
        <v>58</v>
      </c>
      <c r="AU4098" t="s">
        <v>164</v>
      </c>
      <c r="AW4098" s="1">
        <v>30926</v>
      </c>
      <c r="AX4098">
        <v>2</v>
      </c>
    </row>
    <row r="4099" spans="1:50">
      <c r="A4099">
        <v>195258</v>
      </c>
      <c r="B4099" t="str">
        <f>"063597073"</f>
        <v>063597073</v>
      </c>
      <c r="C4099" t="s">
        <v>50</v>
      </c>
      <c r="D4099" t="s">
        <v>5070</v>
      </c>
      <c r="E4099" t="s">
        <v>52</v>
      </c>
      <c r="F4099" t="s">
        <v>72</v>
      </c>
      <c r="G4099" t="s">
        <v>513</v>
      </c>
      <c r="H4099" t="str">
        <f>"ΕΙΡΗΝΗΣ 222 ΚΑΛΑΜΑΚΙ"</f>
        <v>ΕΙΡΗΝΗΣ 222 ΚΑΛΑΜΑΚΙ</v>
      </c>
      <c r="I4099">
        <v>73100</v>
      </c>
      <c r="J4099">
        <v>2821032020</v>
      </c>
      <c r="K4099">
        <v>6945727297</v>
      </c>
      <c r="M4099" t="s">
        <v>7699</v>
      </c>
      <c r="N4099" t="s">
        <v>146</v>
      </c>
      <c r="O4099" t="s">
        <v>147</v>
      </c>
      <c r="R4099" t="s">
        <v>57</v>
      </c>
      <c r="S4099">
        <v>10</v>
      </c>
      <c r="T4099">
        <v>194</v>
      </c>
      <c r="U4099" s="1">
        <v>37497</v>
      </c>
      <c r="V4099" t="s">
        <v>6729</v>
      </c>
      <c r="W4099" t="s">
        <v>6730</v>
      </c>
      <c r="X4099" t="s">
        <v>58</v>
      </c>
      <c r="Y4099">
        <v>20</v>
      </c>
      <c r="Z4099" t="s">
        <v>59</v>
      </c>
      <c r="AA4099" t="s">
        <v>59</v>
      </c>
      <c r="AB4099" t="s">
        <v>59</v>
      </c>
      <c r="AC4099" t="s">
        <v>59</v>
      </c>
      <c r="AD4099" t="s">
        <v>59</v>
      </c>
      <c r="AF4099" s="1">
        <v>37503</v>
      </c>
      <c r="AG4099" t="s">
        <v>125</v>
      </c>
      <c r="AH4099" t="s">
        <v>126</v>
      </c>
      <c r="AI4099" t="str">
        <f>"5007010"</f>
        <v>5007010</v>
      </c>
      <c r="AJ4099" t="s">
        <v>6797</v>
      </c>
      <c r="AK4099">
        <v>2824022241</v>
      </c>
      <c r="AL4099" t="s">
        <v>6798</v>
      </c>
      <c r="AM4099" t="s">
        <v>88</v>
      </c>
      <c r="AN4099" t="s">
        <v>6764</v>
      </c>
      <c r="AO4099" t="s">
        <v>6799</v>
      </c>
      <c r="AP4099" t="s">
        <v>6799</v>
      </c>
      <c r="AQ4099">
        <v>1</v>
      </c>
      <c r="AR4099" t="s">
        <v>6729</v>
      </c>
      <c r="AS4099" t="s">
        <v>6730</v>
      </c>
      <c r="AT4099" t="s">
        <v>58</v>
      </c>
      <c r="AU4099" t="s">
        <v>68</v>
      </c>
      <c r="AV4099" t="s">
        <v>69</v>
      </c>
      <c r="AW4099" s="1">
        <v>27807</v>
      </c>
      <c r="AX4099">
        <v>2</v>
      </c>
    </row>
    <row r="4100" spans="1:50">
      <c r="A4100">
        <v>215557</v>
      </c>
      <c r="B4100" t="str">
        <f>"101551775"</f>
        <v>101551775</v>
      </c>
      <c r="C4100" t="s">
        <v>105</v>
      </c>
      <c r="D4100" t="s">
        <v>2507</v>
      </c>
      <c r="E4100" t="s">
        <v>154</v>
      </c>
      <c r="F4100" t="s">
        <v>5437</v>
      </c>
      <c r="G4100" t="s">
        <v>114</v>
      </c>
      <c r="H4100" t="str">
        <f>" "</f>
        <v xml:space="preserve"> </v>
      </c>
      <c r="J4100">
        <v>2821041980</v>
      </c>
      <c r="K4100">
        <v>6944577981</v>
      </c>
      <c r="N4100" t="s">
        <v>204</v>
      </c>
      <c r="O4100" t="s">
        <v>205</v>
      </c>
      <c r="P4100" t="s">
        <v>292</v>
      </c>
      <c r="Q4100" t="s">
        <v>293</v>
      </c>
      <c r="R4100" t="s">
        <v>57</v>
      </c>
      <c r="S4100">
        <v>9</v>
      </c>
      <c r="T4100">
        <v>231</v>
      </c>
      <c r="U4100" s="1">
        <v>38960</v>
      </c>
      <c r="V4100" t="s">
        <v>6729</v>
      </c>
      <c r="W4100" t="s">
        <v>6730</v>
      </c>
      <c r="X4100" t="s">
        <v>58</v>
      </c>
      <c r="Y4100">
        <v>20</v>
      </c>
      <c r="Z4100" t="s">
        <v>59</v>
      </c>
      <c r="AA4100" t="s">
        <v>59</v>
      </c>
      <c r="AB4100" t="s">
        <v>59</v>
      </c>
      <c r="AC4100" t="s">
        <v>59</v>
      </c>
      <c r="AD4100" t="s">
        <v>59</v>
      </c>
      <c r="AF4100" s="1">
        <v>38961</v>
      </c>
      <c r="AG4100" t="s">
        <v>148</v>
      </c>
      <c r="AH4100" t="s">
        <v>149</v>
      </c>
      <c r="AI4100" t="str">
        <f>"5057010"</f>
        <v>5057010</v>
      </c>
      <c r="AJ4100" t="s">
        <v>6836</v>
      </c>
      <c r="AK4100">
        <v>2824022511</v>
      </c>
      <c r="AL4100" t="s">
        <v>6837</v>
      </c>
      <c r="AM4100" t="s">
        <v>88</v>
      </c>
      <c r="AN4100" t="s">
        <v>6764</v>
      </c>
      <c r="AO4100" t="s">
        <v>6799</v>
      </c>
      <c r="AP4100" t="s">
        <v>6799</v>
      </c>
      <c r="AQ4100">
        <v>1</v>
      </c>
      <c r="AR4100" t="s">
        <v>6729</v>
      </c>
      <c r="AS4100" t="s">
        <v>6730</v>
      </c>
      <c r="AT4100" t="s">
        <v>58</v>
      </c>
      <c r="AU4100" t="s">
        <v>68</v>
      </c>
      <c r="AV4100" t="s">
        <v>69</v>
      </c>
      <c r="AW4100" s="1">
        <v>27852</v>
      </c>
      <c r="AX4100">
        <v>2</v>
      </c>
    </row>
    <row r="4101" spans="1:50">
      <c r="A4101">
        <v>191763</v>
      </c>
      <c r="B4101" t="str">
        <f>"101591484"</f>
        <v>101591484</v>
      </c>
      <c r="C4101" t="s">
        <v>105</v>
      </c>
      <c r="D4101" t="s">
        <v>2507</v>
      </c>
      <c r="E4101" t="s">
        <v>72</v>
      </c>
      <c r="F4101" t="s">
        <v>72</v>
      </c>
      <c r="G4101" t="s">
        <v>237</v>
      </c>
      <c r="H4101" t="str">
        <f>"ΓΕΩΡΓΑΚΑΚΗ 15 ΧΑΝΙΑ"</f>
        <v>ΓΕΩΡΓΑΚΑΚΗ 15 ΧΑΝΙΑ</v>
      </c>
      <c r="J4101">
        <v>2821076916</v>
      </c>
      <c r="K4101">
        <v>6977008910</v>
      </c>
      <c r="M4101" t="s">
        <v>7700</v>
      </c>
      <c r="N4101" t="s">
        <v>168</v>
      </c>
      <c r="O4101" t="s">
        <v>169</v>
      </c>
      <c r="R4101" t="s">
        <v>57</v>
      </c>
      <c r="S4101">
        <v>8</v>
      </c>
      <c r="T4101">
        <v>291</v>
      </c>
      <c r="U4101" s="1">
        <v>37218</v>
      </c>
      <c r="V4101" t="s">
        <v>6729</v>
      </c>
      <c r="W4101" t="s">
        <v>6730</v>
      </c>
      <c r="X4101" t="s">
        <v>58</v>
      </c>
      <c r="Y4101">
        <v>20</v>
      </c>
      <c r="Z4101" t="s">
        <v>59</v>
      </c>
      <c r="AA4101" t="s">
        <v>59</v>
      </c>
      <c r="AB4101" t="s">
        <v>59</v>
      </c>
      <c r="AC4101" t="s">
        <v>59</v>
      </c>
      <c r="AD4101" t="s">
        <v>59</v>
      </c>
      <c r="AF4101" s="1">
        <v>37221</v>
      </c>
      <c r="AG4101" t="s">
        <v>137</v>
      </c>
      <c r="AH4101" t="s">
        <v>138</v>
      </c>
      <c r="AI4101" t="str">
        <f>"5050060"</f>
        <v>5050060</v>
      </c>
      <c r="AJ4101" t="s">
        <v>6801</v>
      </c>
      <c r="AK4101">
        <v>2821091515</v>
      </c>
      <c r="AL4101" t="s">
        <v>6802</v>
      </c>
      <c r="AM4101" t="s">
        <v>88</v>
      </c>
      <c r="AN4101" t="s">
        <v>88</v>
      </c>
      <c r="AO4101" t="s">
        <v>88</v>
      </c>
      <c r="AP4101" t="s">
        <v>88</v>
      </c>
      <c r="AQ4101">
        <v>1</v>
      </c>
      <c r="AR4101" t="s">
        <v>6729</v>
      </c>
      <c r="AS4101" t="s">
        <v>6730</v>
      </c>
      <c r="AT4101" t="s">
        <v>58</v>
      </c>
      <c r="AU4101" t="s">
        <v>68</v>
      </c>
      <c r="AV4101" t="s">
        <v>69</v>
      </c>
      <c r="AW4101" s="1">
        <v>26642</v>
      </c>
      <c r="AX4101">
        <v>2</v>
      </c>
    </row>
    <row r="4102" spans="1:50">
      <c r="A4102">
        <v>199104</v>
      </c>
      <c r="B4102" t="str">
        <f>"065651618"</f>
        <v>065651618</v>
      </c>
      <c r="C4102" t="s">
        <v>105</v>
      </c>
      <c r="D4102" t="s">
        <v>2507</v>
      </c>
      <c r="E4102" t="s">
        <v>106</v>
      </c>
      <c r="F4102" t="s">
        <v>95</v>
      </c>
      <c r="G4102" t="s">
        <v>255</v>
      </c>
      <c r="H4102" t="str">
        <f>"Γ. Ρίτσου 11 "</f>
        <v xml:space="preserve">Γ. Ρίτσου 11 </v>
      </c>
      <c r="I4102">
        <v>73136</v>
      </c>
      <c r="J4102">
        <v>2821093786</v>
      </c>
      <c r="K4102">
        <v>6979793267</v>
      </c>
      <c r="M4102" t="s">
        <v>7701</v>
      </c>
      <c r="N4102" t="s">
        <v>176</v>
      </c>
      <c r="O4102" t="s">
        <v>177</v>
      </c>
      <c r="R4102" t="s">
        <v>57</v>
      </c>
      <c r="S4102">
        <v>7</v>
      </c>
      <c r="T4102">
        <v>206</v>
      </c>
      <c r="U4102" s="1">
        <v>37866</v>
      </c>
      <c r="V4102" t="s">
        <v>6729</v>
      </c>
      <c r="W4102" t="s">
        <v>6730</v>
      </c>
      <c r="X4102" t="s">
        <v>58</v>
      </c>
      <c r="Y4102">
        <v>20</v>
      </c>
      <c r="Z4102" t="s">
        <v>59</v>
      </c>
      <c r="AA4102" t="s">
        <v>59</v>
      </c>
      <c r="AB4102" t="s">
        <v>59</v>
      </c>
      <c r="AC4102" t="s">
        <v>59</v>
      </c>
      <c r="AD4102" t="s">
        <v>59</v>
      </c>
      <c r="AF4102" s="1">
        <v>37866</v>
      </c>
      <c r="AG4102" t="s">
        <v>125</v>
      </c>
      <c r="AH4102" t="s">
        <v>126</v>
      </c>
      <c r="AI4102" t="str">
        <f>"5001050"</f>
        <v>5001050</v>
      </c>
      <c r="AJ4102" t="s">
        <v>6917</v>
      </c>
      <c r="AK4102">
        <v>2821088012</v>
      </c>
      <c r="AL4102" t="s">
        <v>6918</v>
      </c>
      <c r="AM4102" t="s">
        <v>88</v>
      </c>
      <c r="AN4102" t="s">
        <v>88</v>
      </c>
      <c r="AO4102" t="s">
        <v>88</v>
      </c>
      <c r="AP4102" t="s">
        <v>88</v>
      </c>
      <c r="AQ4102">
        <v>1</v>
      </c>
      <c r="AR4102" t="s">
        <v>6729</v>
      </c>
      <c r="AS4102" t="s">
        <v>6730</v>
      </c>
      <c r="AT4102" t="s">
        <v>58</v>
      </c>
      <c r="AU4102" t="s">
        <v>68</v>
      </c>
      <c r="AV4102" t="s">
        <v>69</v>
      </c>
      <c r="AW4102" s="1">
        <v>27109</v>
      </c>
      <c r="AX4102">
        <v>2</v>
      </c>
    </row>
    <row r="4103" spans="1:50">
      <c r="A4103">
        <v>218939</v>
      </c>
      <c r="B4103" t="str">
        <f>"046593064"</f>
        <v>046593064</v>
      </c>
      <c r="C4103" t="s">
        <v>50</v>
      </c>
      <c r="D4103" t="s">
        <v>7702</v>
      </c>
      <c r="E4103" t="s">
        <v>71</v>
      </c>
      <c r="F4103" t="s">
        <v>4097</v>
      </c>
      <c r="G4103" t="s">
        <v>181</v>
      </c>
      <c r="H4103" t="str">
        <f>" "</f>
        <v xml:space="preserve"> </v>
      </c>
      <c r="J4103">
        <v>2821054489</v>
      </c>
      <c r="K4103">
        <v>6974953480</v>
      </c>
      <c r="N4103" t="s">
        <v>1647</v>
      </c>
      <c r="O4103" t="s">
        <v>1648</v>
      </c>
      <c r="R4103" t="s">
        <v>57</v>
      </c>
      <c r="S4103">
        <v>7</v>
      </c>
      <c r="T4103">
        <v>599</v>
      </c>
      <c r="U4103" s="1">
        <v>39310</v>
      </c>
      <c r="V4103" t="s">
        <v>6729</v>
      </c>
      <c r="W4103" t="s">
        <v>6730</v>
      </c>
      <c r="X4103" t="s">
        <v>58</v>
      </c>
      <c r="Y4103">
        <v>20</v>
      </c>
      <c r="Z4103" t="s">
        <v>59</v>
      </c>
      <c r="AA4103" t="s">
        <v>59</v>
      </c>
      <c r="AB4103" t="s">
        <v>59</v>
      </c>
      <c r="AC4103" t="s">
        <v>59</v>
      </c>
      <c r="AD4103" t="s">
        <v>59</v>
      </c>
      <c r="AF4103" s="1">
        <v>39328</v>
      </c>
      <c r="AG4103" t="s">
        <v>125</v>
      </c>
      <c r="AH4103" t="s">
        <v>126</v>
      </c>
      <c r="AI4103" t="str">
        <f>"5001010"</f>
        <v>5001010</v>
      </c>
      <c r="AJ4103" t="s">
        <v>6873</v>
      </c>
      <c r="AK4103">
        <v>2821052130</v>
      </c>
      <c r="AL4103" t="s">
        <v>6874</v>
      </c>
      <c r="AM4103" t="s">
        <v>88</v>
      </c>
      <c r="AN4103" t="s">
        <v>88</v>
      </c>
      <c r="AO4103" t="s">
        <v>88</v>
      </c>
      <c r="AP4103" t="s">
        <v>88</v>
      </c>
      <c r="AQ4103">
        <v>1</v>
      </c>
      <c r="AR4103" t="s">
        <v>6729</v>
      </c>
      <c r="AS4103" t="s">
        <v>6730</v>
      </c>
      <c r="AT4103" t="s">
        <v>58</v>
      </c>
      <c r="AU4103" t="s">
        <v>68</v>
      </c>
      <c r="AV4103" t="s">
        <v>69</v>
      </c>
      <c r="AW4103" s="1">
        <v>21214</v>
      </c>
      <c r="AX4103">
        <v>2</v>
      </c>
    </row>
    <row r="4104" spans="1:50">
      <c r="A4104">
        <v>196673</v>
      </c>
      <c r="B4104" t="str">
        <f>"033308613"</f>
        <v>033308613</v>
      </c>
      <c r="C4104" t="s">
        <v>50</v>
      </c>
      <c r="D4104" t="s">
        <v>7702</v>
      </c>
      <c r="E4104" t="s">
        <v>181</v>
      </c>
      <c r="F4104" t="s">
        <v>72</v>
      </c>
      <c r="G4104" t="s">
        <v>7319</v>
      </c>
      <c r="H4104" t="str">
        <f>" "</f>
        <v xml:space="preserve"> </v>
      </c>
      <c r="J4104">
        <v>2821041724</v>
      </c>
      <c r="K4104">
        <v>6942835894</v>
      </c>
      <c r="M4104" t="s">
        <v>7703</v>
      </c>
      <c r="N4104" t="s">
        <v>176</v>
      </c>
      <c r="O4104" t="s">
        <v>177</v>
      </c>
      <c r="R4104" t="s">
        <v>57</v>
      </c>
      <c r="S4104">
        <v>13</v>
      </c>
      <c r="T4104">
        <v>184</v>
      </c>
      <c r="U4104" s="1">
        <v>34941</v>
      </c>
      <c r="V4104" t="s">
        <v>6729</v>
      </c>
      <c r="W4104" t="s">
        <v>6730</v>
      </c>
      <c r="X4104" t="s">
        <v>58</v>
      </c>
      <c r="Y4104">
        <v>18</v>
      </c>
      <c r="Z4104" t="s">
        <v>59</v>
      </c>
      <c r="AA4104" t="s">
        <v>59</v>
      </c>
      <c r="AB4104" t="s">
        <v>59</v>
      </c>
      <c r="AC4104" t="s">
        <v>59</v>
      </c>
      <c r="AD4104" t="s">
        <v>59</v>
      </c>
      <c r="AF4104" s="1">
        <v>34946</v>
      </c>
      <c r="AG4104" t="s">
        <v>125</v>
      </c>
      <c r="AH4104" t="s">
        <v>126</v>
      </c>
      <c r="AI4104" t="str">
        <f>"5001076"</f>
        <v>5001076</v>
      </c>
      <c r="AJ4104" t="s">
        <v>6979</v>
      </c>
      <c r="AK4104">
        <v>2821088808</v>
      </c>
      <c r="AL4104" t="s">
        <v>6980</v>
      </c>
      <c r="AM4104" t="s">
        <v>88</v>
      </c>
      <c r="AN4104" t="s">
        <v>88</v>
      </c>
      <c r="AO4104" t="s">
        <v>6733</v>
      </c>
      <c r="AP4104" t="s">
        <v>6755</v>
      </c>
      <c r="AQ4104">
        <v>1</v>
      </c>
      <c r="AR4104" t="s">
        <v>6729</v>
      </c>
      <c r="AS4104" t="s">
        <v>6730</v>
      </c>
      <c r="AT4104" t="s">
        <v>58</v>
      </c>
      <c r="AU4104" t="s">
        <v>68</v>
      </c>
      <c r="AV4104" t="s">
        <v>69</v>
      </c>
      <c r="AW4104" s="1">
        <v>23747</v>
      </c>
      <c r="AX4104">
        <v>2</v>
      </c>
    </row>
    <row r="4105" spans="1:50">
      <c r="A4105">
        <v>401272</v>
      </c>
      <c r="B4105" t="str">
        <f>"076314830"</f>
        <v>076314830</v>
      </c>
      <c r="C4105" t="s">
        <v>50</v>
      </c>
      <c r="D4105" t="s">
        <v>7704</v>
      </c>
      <c r="E4105" t="s">
        <v>52</v>
      </c>
      <c r="F4105" t="s">
        <v>166</v>
      </c>
      <c r="G4105" t="s">
        <v>589</v>
      </c>
      <c r="H4105" t="str">
        <f>"ΑΓΙΟΥ ΝΙΚΟΛΑΟΥ ΚΟΡΑΚΙΕΣ ΑΚΡΩΤΗΡΙ ΧΑΝΙΩΝ"</f>
        <v>ΑΓΙΟΥ ΝΙΚΟΛΑΟΥ ΚΟΡΑΚΙΕΣ ΑΚΡΩΤΗΡΙ ΧΑΝΙΩΝ</v>
      </c>
      <c r="I4105">
        <v>73100</v>
      </c>
      <c r="J4105">
        <v>2821064325</v>
      </c>
      <c r="K4105">
        <v>6973616176</v>
      </c>
      <c r="M4105" t="s">
        <v>7705</v>
      </c>
      <c r="N4105" t="s">
        <v>146</v>
      </c>
      <c r="O4105" t="s">
        <v>147</v>
      </c>
      <c r="R4105" t="s">
        <v>57</v>
      </c>
      <c r="S4105">
        <v>9</v>
      </c>
      <c r="T4105" t="s">
        <v>7706</v>
      </c>
      <c r="U4105" s="1">
        <v>39692</v>
      </c>
      <c r="V4105" t="s">
        <v>6729</v>
      </c>
      <c r="W4105" t="s">
        <v>6730</v>
      </c>
      <c r="X4105" t="s">
        <v>58</v>
      </c>
      <c r="Y4105">
        <v>20</v>
      </c>
      <c r="Z4105" t="s">
        <v>59</v>
      </c>
      <c r="AA4105" t="s">
        <v>59</v>
      </c>
      <c r="AB4105" t="s">
        <v>59</v>
      </c>
      <c r="AC4105" t="s">
        <v>59</v>
      </c>
      <c r="AD4105" t="s">
        <v>59</v>
      </c>
      <c r="AF4105" s="1">
        <v>39692</v>
      </c>
      <c r="AG4105" t="s">
        <v>125</v>
      </c>
      <c r="AH4105" t="s">
        <v>126</v>
      </c>
      <c r="AI4105" t="str">
        <f>"5001075"</f>
        <v>5001075</v>
      </c>
      <c r="AJ4105" t="s">
        <v>6768</v>
      </c>
      <c r="AK4105">
        <v>2821064200</v>
      </c>
      <c r="AL4105" t="s">
        <v>6769</v>
      </c>
      <c r="AM4105" t="s">
        <v>88</v>
      </c>
      <c r="AN4105" t="s">
        <v>88</v>
      </c>
      <c r="AO4105" t="s">
        <v>6770</v>
      </c>
      <c r="AP4105" t="s">
        <v>6771</v>
      </c>
      <c r="AQ4105">
        <v>1</v>
      </c>
      <c r="AR4105" t="s">
        <v>6729</v>
      </c>
      <c r="AS4105" t="s">
        <v>6730</v>
      </c>
      <c r="AT4105" t="s">
        <v>58</v>
      </c>
      <c r="AU4105" t="s">
        <v>68</v>
      </c>
      <c r="AV4105" t="s">
        <v>69</v>
      </c>
      <c r="AW4105" s="1">
        <v>27001</v>
      </c>
      <c r="AX4105">
        <v>2</v>
      </c>
    </row>
    <row r="4106" spans="1:50">
      <c r="A4106">
        <v>217342</v>
      </c>
      <c r="B4106" t="str">
        <f>"027372053"</f>
        <v>027372053</v>
      </c>
      <c r="C4106" t="s">
        <v>50</v>
      </c>
      <c r="D4106" t="s">
        <v>7707</v>
      </c>
      <c r="E4106" t="s">
        <v>237</v>
      </c>
      <c r="F4106" t="s">
        <v>72</v>
      </c>
      <c r="G4106" t="s">
        <v>52</v>
      </c>
      <c r="H4106" t="str">
        <f>" "</f>
        <v xml:space="preserve"> </v>
      </c>
      <c r="J4106">
        <v>2821066553</v>
      </c>
      <c r="K4106">
        <v>6945610457</v>
      </c>
      <c r="N4106" t="s">
        <v>157</v>
      </c>
      <c r="O4106" t="s">
        <v>158</v>
      </c>
      <c r="R4106" t="s">
        <v>57</v>
      </c>
      <c r="S4106">
        <v>7</v>
      </c>
      <c r="T4106">
        <v>599</v>
      </c>
      <c r="U4106" s="1">
        <v>39310</v>
      </c>
      <c r="V4106" t="s">
        <v>6729</v>
      </c>
      <c r="W4106" t="s">
        <v>6730</v>
      </c>
      <c r="X4106" t="s">
        <v>58</v>
      </c>
      <c r="Y4106">
        <v>20</v>
      </c>
      <c r="Z4106" t="s">
        <v>59</v>
      </c>
      <c r="AA4106" t="s">
        <v>59</v>
      </c>
      <c r="AB4106" t="s">
        <v>59</v>
      </c>
      <c r="AC4106" t="s">
        <v>59</v>
      </c>
      <c r="AD4106" t="s">
        <v>59</v>
      </c>
      <c r="AF4106" s="1">
        <v>39328</v>
      </c>
      <c r="AG4106" t="s">
        <v>148</v>
      </c>
      <c r="AH4106" t="s">
        <v>149</v>
      </c>
      <c r="AI4106" t="str">
        <f>"5062010"</f>
        <v>5062010</v>
      </c>
      <c r="AJ4106" t="s">
        <v>6783</v>
      </c>
      <c r="AK4106">
        <v>2821031620</v>
      </c>
      <c r="AL4106" t="s">
        <v>6784</v>
      </c>
      <c r="AM4106" t="s">
        <v>88</v>
      </c>
      <c r="AN4106" t="s">
        <v>88</v>
      </c>
      <c r="AO4106" t="s">
        <v>6785</v>
      </c>
      <c r="AP4106" t="s">
        <v>6786</v>
      </c>
      <c r="AQ4106">
        <v>1</v>
      </c>
      <c r="AR4106" t="s">
        <v>6729</v>
      </c>
      <c r="AS4106" t="s">
        <v>6730</v>
      </c>
      <c r="AT4106" t="s">
        <v>58</v>
      </c>
      <c r="AU4106" t="s">
        <v>68</v>
      </c>
      <c r="AV4106" t="s">
        <v>69</v>
      </c>
      <c r="AW4106" s="1">
        <v>23135</v>
      </c>
      <c r="AX4106">
        <v>2</v>
      </c>
    </row>
    <row r="4107" spans="1:50">
      <c r="A4107">
        <v>207497</v>
      </c>
      <c r="B4107" t="str">
        <f>"027372077"</f>
        <v>027372077</v>
      </c>
      <c r="C4107" t="s">
        <v>50</v>
      </c>
      <c r="D4107" t="s">
        <v>7707</v>
      </c>
      <c r="E4107" t="s">
        <v>620</v>
      </c>
      <c r="F4107" t="s">
        <v>72</v>
      </c>
      <c r="G4107" t="s">
        <v>52</v>
      </c>
      <c r="H4107" t="str">
        <f>" "</f>
        <v xml:space="preserve"> </v>
      </c>
      <c r="J4107">
        <v>2821095255</v>
      </c>
      <c r="K4107">
        <v>6977741713</v>
      </c>
      <c r="M4107" t="s">
        <v>7708</v>
      </c>
      <c r="N4107" t="s">
        <v>478</v>
      </c>
      <c r="O4107" t="s">
        <v>479</v>
      </c>
      <c r="R4107" t="s">
        <v>57</v>
      </c>
      <c r="S4107">
        <v>8</v>
      </c>
      <c r="T4107">
        <v>218</v>
      </c>
      <c r="U4107" s="1">
        <v>38596</v>
      </c>
      <c r="V4107" t="s">
        <v>6729</v>
      </c>
      <c r="W4107" t="s">
        <v>6730</v>
      </c>
      <c r="X4107" t="s">
        <v>58</v>
      </c>
      <c r="Y4107">
        <v>20</v>
      </c>
      <c r="Z4107" t="s">
        <v>59</v>
      </c>
      <c r="AA4107" t="s">
        <v>59</v>
      </c>
      <c r="AB4107" t="s">
        <v>59</v>
      </c>
      <c r="AC4107" t="s">
        <v>59</v>
      </c>
      <c r="AD4107" t="s">
        <v>59</v>
      </c>
      <c r="AF4107" s="1">
        <v>38596</v>
      </c>
      <c r="AG4107" t="s">
        <v>125</v>
      </c>
      <c r="AH4107" t="s">
        <v>126</v>
      </c>
      <c r="AI4107" t="str">
        <f>"5001076"</f>
        <v>5001076</v>
      </c>
      <c r="AJ4107" t="s">
        <v>6979</v>
      </c>
      <c r="AK4107">
        <v>2821088808</v>
      </c>
      <c r="AL4107" t="s">
        <v>6980</v>
      </c>
      <c r="AM4107" t="s">
        <v>88</v>
      </c>
      <c r="AN4107" t="s">
        <v>88</v>
      </c>
      <c r="AO4107" t="s">
        <v>6733</v>
      </c>
      <c r="AP4107" t="s">
        <v>6755</v>
      </c>
      <c r="AQ4107">
        <v>1</v>
      </c>
      <c r="AR4107" t="s">
        <v>6729</v>
      </c>
      <c r="AS4107" t="s">
        <v>6730</v>
      </c>
      <c r="AT4107" t="s">
        <v>58</v>
      </c>
      <c r="AU4107" t="s">
        <v>68</v>
      </c>
      <c r="AV4107" t="s">
        <v>69</v>
      </c>
      <c r="AW4107" s="1">
        <v>22754</v>
      </c>
      <c r="AX4107">
        <v>2</v>
      </c>
    </row>
    <row r="4108" spans="1:50">
      <c r="A4108">
        <v>199410</v>
      </c>
      <c r="B4108" t="str">
        <f>"062006114"</f>
        <v>062006114</v>
      </c>
      <c r="C4108" t="s">
        <v>50</v>
      </c>
      <c r="D4108" t="s">
        <v>7709</v>
      </c>
      <c r="E4108" t="s">
        <v>484</v>
      </c>
      <c r="F4108" t="s">
        <v>450</v>
      </c>
      <c r="G4108" t="s">
        <v>52</v>
      </c>
      <c r="H4108" t="str">
        <f>"ΕΘΝΙΚΗΣ ΑΝΤΙΣΤΑΣΗΣ 3Β ΧΑΝΙΑ"</f>
        <v>ΕΘΝΙΚΗΣ ΑΝΤΙΣΤΑΣΗΣ 3Β ΧΑΝΙΑ</v>
      </c>
      <c r="I4108">
        <v>73132</v>
      </c>
      <c r="J4108">
        <v>2821023198</v>
      </c>
      <c r="K4108">
        <v>6945354963</v>
      </c>
      <c r="L4108">
        <v>2221085168</v>
      </c>
      <c r="M4108" t="s">
        <v>7710</v>
      </c>
      <c r="N4108" t="s">
        <v>189</v>
      </c>
      <c r="O4108" t="s">
        <v>190</v>
      </c>
      <c r="R4108" t="s">
        <v>57</v>
      </c>
      <c r="S4108">
        <v>9</v>
      </c>
      <c r="T4108">
        <v>206</v>
      </c>
      <c r="U4108" s="1">
        <v>37866</v>
      </c>
      <c r="V4108" t="s">
        <v>6729</v>
      </c>
      <c r="W4108" t="s">
        <v>6730</v>
      </c>
      <c r="X4108" t="s">
        <v>58</v>
      </c>
      <c r="Y4108">
        <v>20</v>
      </c>
      <c r="Z4108" t="s">
        <v>59</v>
      </c>
      <c r="AA4108" t="s">
        <v>59</v>
      </c>
      <c r="AB4108" t="s">
        <v>59</v>
      </c>
      <c r="AC4108" t="s">
        <v>59</v>
      </c>
      <c r="AD4108" t="s">
        <v>59</v>
      </c>
      <c r="AF4108" s="1">
        <v>37867</v>
      </c>
      <c r="AG4108" t="s">
        <v>125</v>
      </c>
      <c r="AH4108" t="s">
        <v>126</v>
      </c>
      <c r="AI4108" t="str">
        <f>"5011010"</f>
        <v>5011010</v>
      </c>
      <c r="AJ4108" t="s">
        <v>6877</v>
      </c>
      <c r="AK4108">
        <v>2821081330</v>
      </c>
      <c r="AL4108" t="s">
        <v>6878</v>
      </c>
      <c r="AM4108" t="s">
        <v>88</v>
      </c>
      <c r="AN4108" t="s">
        <v>88</v>
      </c>
      <c r="AO4108" t="s">
        <v>6748</v>
      </c>
      <c r="AP4108" t="s">
        <v>6748</v>
      </c>
      <c r="AQ4108">
        <v>1</v>
      </c>
      <c r="AR4108" t="s">
        <v>6729</v>
      </c>
      <c r="AS4108" t="s">
        <v>6730</v>
      </c>
      <c r="AT4108" t="s">
        <v>58</v>
      </c>
      <c r="AU4108" t="s">
        <v>68</v>
      </c>
      <c r="AV4108" t="s">
        <v>69</v>
      </c>
      <c r="AW4108" s="1">
        <v>28896</v>
      </c>
      <c r="AX4108">
        <v>2</v>
      </c>
    </row>
    <row r="4109" spans="1:50">
      <c r="A4109">
        <v>202966</v>
      </c>
      <c r="B4109" t="str">
        <f>"043430429"</f>
        <v>043430429</v>
      </c>
      <c r="C4109" t="s">
        <v>50</v>
      </c>
      <c r="D4109" t="s">
        <v>7711</v>
      </c>
      <c r="E4109" t="s">
        <v>1189</v>
      </c>
      <c r="F4109" t="s">
        <v>1286</v>
      </c>
      <c r="G4109" t="s">
        <v>3483</v>
      </c>
      <c r="H4109" t="str">
        <f>" "</f>
        <v xml:space="preserve"> </v>
      </c>
      <c r="J4109">
        <v>2821079337</v>
      </c>
      <c r="K4109">
        <v>6974101856</v>
      </c>
      <c r="M4109" t="s">
        <v>7712</v>
      </c>
      <c r="N4109" t="s">
        <v>1647</v>
      </c>
      <c r="O4109" t="s">
        <v>1648</v>
      </c>
      <c r="R4109" t="s">
        <v>57</v>
      </c>
      <c r="S4109">
        <v>10</v>
      </c>
      <c r="T4109">
        <v>231</v>
      </c>
      <c r="U4109" s="1">
        <v>38230</v>
      </c>
      <c r="V4109" t="s">
        <v>6729</v>
      </c>
      <c r="W4109" t="s">
        <v>6730</v>
      </c>
      <c r="X4109" t="s">
        <v>58</v>
      </c>
      <c r="Y4109">
        <v>18</v>
      </c>
      <c r="Z4109" t="s">
        <v>59</v>
      </c>
      <c r="AA4109" t="s">
        <v>59</v>
      </c>
      <c r="AB4109" t="s">
        <v>59</v>
      </c>
      <c r="AC4109" t="s">
        <v>59</v>
      </c>
      <c r="AD4109" t="s">
        <v>59</v>
      </c>
      <c r="AF4109" s="1">
        <v>38239</v>
      </c>
      <c r="AG4109" t="s">
        <v>125</v>
      </c>
      <c r="AH4109" t="s">
        <v>126</v>
      </c>
      <c r="AI4109" t="str">
        <f>"5001072"</f>
        <v>5001072</v>
      </c>
      <c r="AJ4109" t="s">
        <v>6922</v>
      </c>
      <c r="AK4109">
        <v>2821055471</v>
      </c>
      <c r="AL4109" t="s">
        <v>6923</v>
      </c>
      <c r="AM4109" t="s">
        <v>88</v>
      </c>
      <c r="AN4109" t="s">
        <v>88</v>
      </c>
      <c r="AO4109" t="s">
        <v>88</v>
      </c>
      <c r="AP4109" t="s">
        <v>88</v>
      </c>
      <c r="AQ4109">
        <v>1</v>
      </c>
      <c r="AR4109" t="s">
        <v>6729</v>
      </c>
      <c r="AS4109" t="s">
        <v>6730</v>
      </c>
      <c r="AT4109" t="s">
        <v>58</v>
      </c>
      <c r="AU4109" t="s">
        <v>68</v>
      </c>
      <c r="AV4109" t="s">
        <v>69</v>
      </c>
      <c r="AW4109" s="1">
        <v>22403</v>
      </c>
      <c r="AX4109">
        <v>2</v>
      </c>
    </row>
    <row r="4110" spans="1:50">
      <c r="A4110">
        <v>198050</v>
      </c>
      <c r="B4110" t="str">
        <f>"044554530"</f>
        <v>044554530</v>
      </c>
      <c r="C4110" t="s">
        <v>105</v>
      </c>
      <c r="D4110" t="s">
        <v>7713</v>
      </c>
      <c r="E4110" t="s">
        <v>309</v>
      </c>
      <c r="F4110" t="s">
        <v>84</v>
      </c>
      <c r="G4110" t="s">
        <v>52</v>
      </c>
      <c r="H4110" t="str">
        <f>"Ν. ΜΑΡΙΑΚΑΚΗ 39 ΧΑΝΙΑ"</f>
        <v>Ν. ΜΑΡΙΑΚΑΚΗ 39 ΧΑΝΙΑ</v>
      </c>
      <c r="I4110">
        <v>73100</v>
      </c>
      <c r="J4110">
        <v>2821087747</v>
      </c>
      <c r="L4110">
        <v>2821087747</v>
      </c>
      <c r="N4110" t="s">
        <v>232</v>
      </c>
      <c r="O4110" t="s">
        <v>233</v>
      </c>
      <c r="R4110" t="s">
        <v>57</v>
      </c>
      <c r="S4110">
        <v>7</v>
      </c>
      <c r="T4110">
        <v>206</v>
      </c>
      <c r="U4110" s="1">
        <v>37866</v>
      </c>
      <c r="V4110" t="s">
        <v>6729</v>
      </c>
      <c r="W4110" t="s">
        <v>6730</v>
      </c>
      <c r="X4110" t="s">
        <v>58</v>
      </c>
      <c r="Y4110">
        <v>20</v>
      </c>
      <c r="Z4110" t="s">
        <v>59</v>
      </c>
      <c r="AA4110" t="s">
        <v>59</v>
      </c>
      <c r="AB4110" t="s">
        <v>59</v>
      </c>
      <c r="AC4110" t="s">
        <v>59</v>
      </c>
      <c r="AD4110" t="s">
        <v>59</v>
      </c>
      <c r="AF4110" s="1">
        <v>37866</v>
      </c>
      <c r="AG4110" t="s">
        <v>125</v>
      </c>
      <c r="AH4110" t="s">
        <v>126</v>
      </c>
      <c r="AI4110" t="str">
        <f>"5001020"</f>
        <v>5001020</v>
      </c>
      <c r="AJ4110" t="s">
        <v>6739</v>
      </c>
      <c r="AK4110">
        <v>2821042664</v>
      </c>
      <c r="AL4110" t="s">
        <v>6740</v>
      </c>
      <c r="AM4110" t="s">
        <v>88</v>
      </c>
      <c r="AN4110" t="s">
        <v>88</v>
      </c>
      <c r="AO4110" t="s">
        <v>88</v>
      </c>
      <c r="AP4110" t="s">
        <v>88</v>
      </c>
      <c r="AQ4110">
        <v>1</v>
      </c>
      <c r="AR4110" t="s">
        <v>6729</v>
      </c>
      <c r="AS4110" t="s">
        <v>6730</v>
      </c>
      <c r="AT4110" t="s">
        <v>58</v>
      </c>
      <c r="AU4110" t="s">
        <v>68</v>
      </c>
      <c r="AV4110" t="s">
        <v>69</v>
      </c>
      <c r="AW4110" s="1">
        <v>23820</v>
      </c>
      <c r="AX4110">
        <v>2</v>
      </c>
    </row>
    <row r="4111" spans="1:50">
      <c r="B4111" t="str">
        <f>"059466691"</f>
        <v>059466691</v>
      </c>
      <c r="C4111" t="s">
        <v>50</v>
      </c>
      <c r="D4111" t="s">
        <v>7714</v>
      </c>
      <c r="E4111" t="s">
        <v>382</v>
      </c>
      <c r="F4111" t="s">
        <v>395</v>
      </c>
      <c r="G4111" t="s">
        <v>476</v>
      </c>
      <c r="H4111" t="str">
        <f>"Σ. ΚΑΡΑΓΙΩΡΓΑ 18 ΧΑΝΙΑ"</f>
        <v>Σ. ΚΑΡΑΓΙΩΡΓΑ 18 ΧΑΝΙΑ</v>
      </c>
      <c r="I4111">
        <v>73100</v>
      </c>
      <c r="J4111">
        <v>2821046873</v>
      </c>
      <c r="K4111">
        <v>6974450634</v>
      </c>
      <c r="M4111" t="s">
        <v>7715</v>
      </c>
      <c r="N4111" t="s">
        <v>292</v>
      </c>
      <c r="O4111" t="s">
        <v>293</v>
      </c>
      <c r="R4111" t="s">
        <v>159</v>
      </c>
      <c r="S4111">
        <v>2</v>
      </c>
      <c r="T4111" t="s">
        <v>416</v>
      </c>
      <c r="U4111" s="1">
        <v>43349</v>
      </c>
      <c r="V4111" t="s">
        <v>6729</v>
      </c>
      <c r="W4111" t="s">
        <v>6730</v>
      </c>
      <c r="X4111" t="s">
        <v>58</v>
      </c>
      <c r="Y4111">
        <v>23</v>
      </c>
      <c r="Z4111" t="s">
        <v>59</v>
      </c>
      <c r="AA4111" t="s">
        <v>59</v>
      </c>
      <c r="AB4111" t="s">
        <v>59</v>
      </c>
      <c r="AC4111" t="s">
        <v>59</v>
      </c>
      <c r="AD4111" t="s">
        <v>59</v>
      </c>
      <c r="AF4111" s="1">
        <v>43349</v>
      </c>
      <c r="AG4111" t="s">
        <v>125</v>
      </c>
      <c r="AH4111" t="s">
        <v>126</v>
      </c>
      <c r="AI4111" t="str">
        <f>"5001073"</f>
        <v>5001073</v>
      </c>
      <c r="AJ4111" t="s">
        <v>6849</v>
      </c>
      <c r="AK4111">
        <v>2821028553</v>
      </c>
      <c r="AL4111" t="s">
        <v>6850</v>
      </c>
      <c r="AM4111" t="s">
        <v>88</v>
      </c>
      <c r="AN4111" t="s">
        <v>88</v>
      </c>
      <c r="AO4111" t="s">
        <v>88</v>
      </c>
      <c r="AP4111" t="s">
        <v>88</v>
      </c>
      <c r="AQ4111">
        <v>1</v>
      </c>
      <c r="AR4111" t="s">
        <v>6729</v>
      </c>
      <c r="AS4111" t="s">
        <v>6730</v>
      </c>
      <c r="AT4111" t="s">
        <v>58</v>
      </c>
      <c r="AU4111" t="s">
        <v>419</v>
      </c>
      <c r="AV4111" t="s">
        <v>132</v>
      </c>
      <c r="AW4111" s="1">
        <v>24567</v>
      </c>
      <c r="AX4111">
        <v>2</v>
      </c>
    </row>
    <row r="4112" spans="1:50">
      <c r="A4112">
        <v>155599</v>
      </c>
      <c r="B4112" t="str">
        <f>"037371691"</f>
        <v>037371691</v>
      </c>
      <c r="C4112" t="s">
        <v>50</v>
      </c>
      <c r="D4112" t="s">
        <v>2530</v>
      </c>
      <c r="E4112" t="s">
        <v>250</v>
      </c>
      <c r="F4112" t="s">
        <v>95</v>
      </c>
      <c r="G4112" t="s">
        <v>52</v>
      </c>
      <c r="H4112" t="str">
        <f>" "</f>
        <v xml:space="preserve"> </v>
      </c>
      <c r="N4112" t="s">
        <v>157</v>
      </c>
      <c r="O4112" t="s">
        <v>158</v>
      </c>
      <c r="R4112" t="s">
        <v>57</v>
      </c>
      <c r="S4112">
        <v>16</v>
      </c>
      <c r="T4112">
        <v>188</v>
      </c>
      <c r="U4112" s="1">
        <v>32752</v>
      </c>
      <c r="V4112" t="s">
        <v>6729</v>
      </c>
      <c r="W4112" t="s">
        <v>6730</v>
      </c>
      <c r="X4112" t="s">
        <v>58</v>
      </c>
      <c r="Y4112">
        <v>18</v>
      </c>
      <c r="Z4112" t="s">
        <v>59</v>
      </c>
      <c r="AA4112" t="s">
        <v>59</v>
      </c>
      <c r="AB4112" t="s">
        <v>59</v>
      </c>
      <c r="AC4112" t="s">
        <v>59</v>
      </c>
      <c r="AD4112" t="s">
        <v>59</v>
      </c>
      <c r="AF4112" s="1">
        <v>32762</v>
      </c>
      <c r="AG4112" t="s">
        <v>125</v>
      </c>
      <c r="AH4112" t="s">
        <v>126</v>
      </c>
      <c r="AI4112" t="str">
        <f>"5001010"</f>
        <v>5001010</v>
      </c>
      <c r="AJ4112" t="s">
        <v>6873</v>
      </c>
      <c r="AK4112">
        <v>2821052130</v>
      </c>
      <c r="AL4112" t="s">
        <v>6874</v>
      </c>
      <c r="AM4112" t="s">
        <v>88</v>
      </c>
      <c r="AN4112" t="s">
        <v>88</v>
      </c>
      <c r="AO4112" t="s">
        <v>88</v>
      </c>
      <c r="AP4112" t="s">
        <v>88</v>
      </c>
      <c r="AQ4112">
        <v>1</v>
      </c>
      <c r="AR4112" t="s">
        <v>6729</v>
      </c>
      <c r="AS4112" t="s">
        <v>6730</v>
      </c>
      <c r="AT4112" t="s">
        <v>58</v>
      </c>
      <c r="AU4112" t="s">
        <v>68</v>
      </c>
      <c r="AV4112" t="s">
        <v>69</v>
      </c>
      <c r="AW4112" s="1">
        <v>21729</v>
      </c>
      <c r="AX4112">
        <v>2</v>
      </c>
    </row>
    <row r="4113" spans="1:50">
      <c r="A4113">
        <v>218731</v>
      </c>
      <c r="B4113" t="str">
        <f>"061076002"</f>
        <v>061076002</v>
      </c>
      <c r="C4113" t="s">
        <v>105</v>
      </c>
      <c r="D4113" t="s">
        <v>6201</v>
      </c>
      <c r="E4113" t="s">
        <v>106</v>
      </c>
      <c r="F4113" t="s">
        <v>7716</v>
      </c>
      <c r="G4113" t="s">
        <v>263</v>
      </c>
      <c r="H4113" t="str">
        <f>"ΚΑΤΑΒΑΤΗ ΚΥΚΛΑΔΕΣ"</f>
        <v>ΚΑΤΑΒΑΤΗ ΚΥΚΛΑΔΕΣ</v>
      </c>
      <c r="I4113">
        <v>84003</v>
      </c>
      <c r="J4113">
        <v>2284033132</v>
      </c>
      <c r="K4113">
        <v>6946726390</v>
      </c>
      <c r="M4113" t="s">
        <v>7717</v>
      </c>
      <c r="N4113" t="s">
        <v>199</v>
      </c>
      <c r="O4113" t="s">
        <v>200</v>
      </c>
      <c r="R4113" t="s">
        <v>57</v>
      </c>
      <c r="S4113">
        <v>5</v>
      </c>
      <c r="T4113">
        <v>599</v>
      </c>
      <c r="U4113" s="1">
        <v>39310</v>
      </c>
      <c r="V4113" t="s">
        <v>6729</v>
      </c>
      <c r="W4113" t="s">
        <v>6730</v>
      </c>
      <c r="X4113" t="s">
        <v>58</v>
      </c>
      <c r="Y4113">
        <v>21</v>
      </c>
      <c r="Z4113" t="s">
        <v>59</v>
      </c>
      <c r="AA4113" t="s">
        <v>59</v>
      </c>
      <c r="AB4113" t="s">
        <v>59</v>
      </c>
      <c r="AC4113" t="s">
        <v>59</v>
      </c>
      <c r="AD4113" t="s">
        <v>59</v>
      </c>
      <c r="AF4113" s="1">
        <v>39328</v>
      </c>
      <c r="AG4113" t="s">
        <v>148</v>
      </c>
      <c r="AH4113" t="s">
        <v>149</v>
      </c>
      <c r="AI4113" t="str">
        <f>"5051009"</f>
        <v>5051009</v>
      </c>
      <c r="AJ4113" t="s">
        <v>6851</v>
      </c>
      <c r="AK4113">
        <v>2821044551</v>
      </c>
      <c r="AL4113" t="s">
        <v>6852</v>
      </c>
      <c r="AM4113" t="s">
        <v>88</v>
      </c>
      <c r="AN4113" t="s">
        <v>88</v>
      </c>
      <c r="AO4113" t="s">
        <v>6770</v>
      </c>
      <c r="AP4113" t="s">
        <v>6771</v>
      </c>
      <c r="AQ4113">
        <v>1</v>
      </c>
      <c r="AR4113" t="s">
        <v>6729</v>
      </c>
      <c r="AS4113" t="s">
        <v>6730</v>
      </c>
      <c r="AT4113" t="s">
        <v>58</v>
      </c>
      <c r="AU4113" t="s">
        <v>68</v>
      </c>
      <c r="AV4113" t="s">
        <v>69</v>
      </c>
      <c r="AW4113" s="1">
        <v>25757</v>
      </c>
      <c r="AX4113">
        <v>2</v>
      </c>
    </row>
    <row r="4114" spans="1:50">
      <c r="A4114">
        <v>180121</v>
      </c>
      <c r="B4114" t="str">
        <f>"072975492"</f>
        <v>072975492</v>
      </c>
      <c r="C4114" t="s">
        <v>50</v>
      </c>
      <c r="D4114" t="s">
        <v>6204</v>
      </c>
      <c r="E4114" t="s">
        <v>316</v>
      </c>
      <c r="F4114" t="s">
        <v>53</v>
      </c>
      <c r="G4114" t="s">
        <v>1065</v>
      </c>
      <c r="H4114" t="str">
        <f>"ΛΙΘΙΝΩΝ 41 ΧΑΝΙΑ"</f>
        <v>ΛΙΘΙΝΩΝ 41 ΧΑΝΙΑ</v>
      </c>
      <c r="I4114">
        <v>73132</v>
      </c>
      <c r="J4114">
        <v>2821055028</v>
      </c>
      <c r="K4114">
        <v>6945328207</v>
      </c>
      <c r="M4114" t="s">
        <v>7718</v>
      </c>
      <c r="N4114" t="s">
        <v>292</v>
      </c>
      <c r="O4114" t="s">
        <v>293</v>
      </c>
      <c r="R4114" t="s">
        <v>57</v>
      </c>
      <c r="S4114">
        <v>12</v>
      </c>
      <c r="T4114">
        <v>181</v>
      </c>
      <c r="U4114" s="1">
        <v>36039</v>
      </c>
      <c r="V4114" t="s">
        <v>6729</v>
      </c>
      <c r="W4114" t="s">
        <v>6730</v>
      </c>
      <c r="X4114" t="s">
        <v>58</v>
      </c>
      <c r="Y4114">
        <v>18</v>
      </c>
      <c r="Z4114" t="s">
        <v>59</v>
      </c>
      <c r="AA4114" t="s">
        <v>59</v>
      </c>
      <c r="AB4114" t="s">
        <v>59</v>
      </c>
      <c r="AC4114" t="s">
        <v>59</v>
      </c>
      <c r="AD4114" t="s">
        <v>59</v>
      </c>
      <c r="AF4114" s="1">
        <v>36046</v>
      </c>
      <c r="AG4114" t="s">
        <v>125</v>
      </c>
      <c r="AH4114" t="s">
        <v>126</v>
      </c>
      <c r="AI4114" t="str">
        <f>"5001060"</f>
        <v>5001060</v>
      </c>
      <c r="AJ4114" t="s">
        <v>6914</v>
      </c>
      <c r="AK4114">
        <v>2821091763</v>
      </c>
      <c r="AL4114" t="s">
        <v>6915</v>
      </c>
      <c r="AM4114" t="s">
        <v>88</v>
      </c>
      <c r="AN4114" t="s">
        <v>88</v>
      </c>
      <c r="AO4114" t="s">
        <v>88</v>
      </c>
      <c r="AP4114" t="s">
        <v>88</v>
      </c>
      <c r="AQ4114">
        <v>1</v>
      </c>
      <c r="AR4114" t="s">
        <v>6729</v>
      </c>
      <c r="AS4114" t="s">
        <v>6730</v>
      </c>
      <c r="AT4114" t="s">
        <v>58</v>
      </c>
      <c r="AU4114" t="s">
        <v>68</v>
      </c>
      <c r="AV4114" t="s">
        <v>69</v>
      </c>
      <c r="AW4114" s="1">
        <v>21974</v>
      </c>
      <c r="AX4114">
        <v>2</v>
      </c>
    </row>
    <row r="4115" spans="1:50">
      <c r="A4115">
        <v>144088</v>
      </c>
      <c r="B4115" t="str">
        <f>"065961577"</f>
        <v>065961577</v>
      </c>
      <c r="C4115" t="s">
        <v>50</v>
      </c>
      <c r="D4115" t="s">
        <v>6204</v>
      </c>
      <c r="E4115" t="s">
        <v>83</v>
      </c>
      <c r="F4115" t="s">
        <v>7719</v>
      </c>
      <c r="G4115" t="s">
        <v>73</v>
      </c>
      <c r="H4115" t="str">
        <f>"ΜΟΥΛΕΤΕ 11 ΧΑΝΙΩΝ"</f>
        <v>ΜΟΥΛΕΤΕ 11 ΧΑΝΙΩΝ</v>
      </c>
      <c r="I4115">
        <v>73100</v>
      </c>
      <c r="J4115">
        <v>2821071037</v>
      </c>
      <c r="K4115">
        <v>6972995409</v>
      </c>
      <c r="M4115" t="s">
        <v>7720</v>
      </c>
      <c r="N4115" t="s">
        <v>146</v>
      </c>
      <c r="O4115" t="s">
        <v>147</v>
      </c>
      <c r="R4115" t="s">
        <v>57</v>
      </c>
      <c r="S4115">
        <v>17</v>
      </c>
      <c r="T4115">
        <v>262</v>
      </c>
      <c r="U4115" s="1">
        <v>30916</v>
      </c>
      <c r="V4115" t="s">
        <v>6729</v>
      </c>
      <c r="W4115" t="s">
        <v>6730</v>
      </c>
      <c r="X4115" t="s">
        <v>58</v>
      </c>
      <c r="Y4115">
        <v>18</v>
      </c>
      <c r="Z4115" t="s">
        <v>59</v>
      </c>
      <c r="AA4115" t="s">
        <v>59</v>
      </c>
      <c r="AB4115" t="s">
        <v>59</v>
      </c>
      <c r="AC4115" t="s">
        <v>59</v>
      </c>
      <c r="AD4115" t="s">
        <v>59</v>
      </c>
      <c r="AF4115" s="1">
        <v>30928</v>
      </c>
      <c r="AG4115" t="s">
        <v>125</v>
      </c>
      <c r="AH4115" t="s">
        <v>126</v>
      </c>
      <c r="AI4115" t="str">
        <f>"5011010"</f>
        <v>5011010</v>
      </c>
      <c r="AJ4115" t="s">
        <v>6877</v>
      </c>
      <c r="AK4115">
        <v>2821081330</v>
      </c>
      <c r="AL4115" t="s">
        <v>6878</v>
      </c>
      <c r="AM4115" t="s">
        <v>88</v>
      </c>
      <c r="AN4115" t="s">
        <v>88</v>
      </c>
      <c r="AO4115" t="s">
        <v>6748</v>
      </c>
      <c r="AP4115" t="s">
        <v>6748</v>
      </c>
      <c r="AQ4115">
        <v>1</v>
      </c>
      <c r="AR4115" t="s">
        <v>6729</v>
      </c>
      <c r="AS4115" t="s">
        <v>6730</v>
      </c>
      <c r="AT4115" t="s">
        <v>58</v>
      </c>
      <c r="AU4115" t="s">
        <v>68</v>
      </c>
      <c r="AV4115" t="s">
        <v>69</v>
      </c>
      <c r="AW4115" s="1">
        <v>21496</v>
      </c>
      <c r="AX4115">
        <v>2</v>
      </c>
    </row>
    <row r="4116" spans="1:50">
      <c r="A4116">
        <v>160837</v>
      </c>
      <c r="B4116" t="str">
        <f>"038132327"</f>
        <v>038132327</v>
      </c>
      <c r="C4116" t="s">
        <v>50</v>
      </c>
      <c r="D4116" t="s">
        <v>6204</v>
      </c>
      <c r="E4116" t="s">
        <v>52</v>
      </c>
      <c r="F4116" t="s">
        <v>154</v>
      </c>
      <c r="G4116" t="s">
        <v>1065</v>
      </c>
      <c r="H4116" t="str">
        <f>"Μυλωνογιάννη ΧΑΝΙΑ"</f>
        <v>Μυλωνογιάννη ΧΑΝΙΑ</v>
      </c>
      <c r="I4116">
        <v>73100</v>
      </c>
      <c r="J4116">
        <v>2821088640</v>
      </c>
      <c r="K4116">
        <v>6978003478</v>
      </c>
      <c r="M4116" t="s">
        <v>7721</v>
      </c>
      <c r="N4116" t="s">
        <v>257</v>
      </c>
      <c r="O4116" t="s">
        <v>258</v>
      </c>
      <c r="R4116" t="s">
        <v>57</v>
      </c>
      <c r="S4116">
        <v>14</v>
      </c>
      <c r="T4116">
        <v>161</v>
      </c>
      <c r="U4116" s="1">
        <v>33119</v>
      </c>
      <c r="V4116" t="s">
        <v>6729</v>
      </c>
      <c r="W4116" t="s">
        <v>6730</v>
      </c>
      <c r="X4116" t="s">
        <v>58</v>
      </c>
      <c r="Y4116">
        <v>18</v>
      </c>
      <c r="Z4116" t="s">
        <v>59</v>
      </c>
      <c r="AA4116" t="s">
        <v>59</v>
      </c>
      <c r="AB4116" t="s">
        <v>59</v>
      </c>
      <c r="AC4116" t="s">
        <v>59</v>
      </c>
      <c r="AD4116" t="s">
        <v>59</v>
      </c>
      <c r="AF4116" s="1">
        <v>33119</v>
      </c>
      <c r="AG4116" t="s">
        <v>148</v>
      </c>
      <c r="AH4116" t="s">
        <v>149</v>
      </c>
      <c r="AI4116" t="str">
        <f>"5051009"</f>
        <v>5051009</v>
      </c>
      <c r="AJ4116" t="s">
        <v>6851</v>
      </c>
      <c r="AK4116">
        <v>2821044551</v>
      </c>
      <c r="AL4116" t="s">
        <v>6852</v>
      </c>
      <c r="AM4116" t="s">
        <v>88</v>
      </c>
      <c r="AN4116" t="s">
        <v>88</v>
      </c>
      <c r="AO4116" t="s">
        <v>6770</v>
      </c>
      <c r="AP4116" t="s">
        <v>6771</v>
      </c>
      <c r="AQ4116">
        <v>1</v>
      </c>
      <c r="AR4116" t="s">
        <v>6729</v>
      </c>
      <c r="AS4116" t="s">
        <v>6730</v>
      </c>
      <c r="AT4116" t="s">
        <v>58</v>
      </c>
      <c r="AU4116" t="s">
        <v>68</v>
      </c>
      <c r="AV4116" t="s">
        <v>69</v>
      </c>
      <c r="AW4116" s="1">
        <v>23279</v>
      </c>
      <c r="AX4116">
        <v>2</v>
      </c>
    </row>
    <row r="4117" spans="1:50">
      <c r="A4117">
        <v>225589</v>
      </c>
      <c r="B4117" t="str">
        <f>"029493497"</f>
        <v>029493497</v>
      </c>
      <c r="C4117" t="s">
        <v>50</v>
      </c>
      <c r="D4117" t="s">
        <v>6204</v>
      </c>
      <c r="E4117" t="s">
        <v>52</v>
      </c>
      <c r="F4117" t="s">
        <v>95</v>
      </c>
      <c r="G4117" t="s">
        <v>238</v>
      </c>
      <c r="H4117" t="str">
        <f>" "</f>
        <v xml:space="preserve"> </v>
      </c>
      <c r="J4117">
        <v>2821086454</v>
      </c>
      <c r="K4117">
        <v>6908511510</v>
      </c>
      <c r="M4117" t="s">
        <v>7722</v>
      </c>
      <c r="N4117" t="s">
        <v>3090</v>
      </c>
      <c r="O4117" t="s">
        <v>3091</v>
      </c>
      <c r="R4117" t="s">
        <v>57</v>
      </c>
      <c r="S4117">
        <v>7</v>
      </c>
      <c r="T4117">
        <v>775</v>
      </c>
      <c r="U4117" s="1">
        <v>39680</v>
      </c>
      <c r="V4117" t="s">
        <v>6729</v>
      </c>
      <c r="W4117" t="s">
        <v>6730</v>
      </c>
      <c r="X4117" t="s">
        <v>58</v>
      </c>
      <c r="Y4117">
        <v>20</v>
      </c>
      <c r="Z4117" t="s">
        <v>59</v>
      </c>
      <c r="AA4117" t="s">
        <v>59</v>
      </c>
      <c r="AB4117" t="s">
        <v>59</v>
      </c>
      <c r="AC4117" t="s">
        <v>59</v>
      </c>
      <c r="AD4117" t="s">
        <v>59</v>
      </c>
      <c r="AF4117" s="1">
        <v>39681</v>
      </c>
      <c r="AG4117" t="s">
        <v>137</v>
      </c>
      <c r="AH4117" t="s">
        <v>138</v>
      </c>
      <c r="AI4117" t="str">
        <f>"5040050"</f>
        <v>5040050</v>
      </c>
      <c r="AJ4117" t="s">
        <v>6750</v>
      </c>
      <c r="AK4117">
        <v>2821043147</v>
      </c>
      <c r="AL4117" t="s">
        <v>6751</v>
      </c>
      <c r="AM4117" t="s">
        <v>88</v>
      </c>
      <c r="AN4117" t="s">
        <v>88</v>
      </c>
      <c r="AO4117" t="s">
        <v>88</v>
      </c>
      <c r="AP4117" t="s">
        <v>88</v>
      </c>
      <c r="AQ4117">
        <v>1</v>
      </c>
      <c r="AR4117" t="s">
        <v>6729</v>
      </c>
      <c r="AS4117" t="s">
        <v>6730</v>
      </c>
      <c r="AT4117" t="s">
        <v>58</v>
      </c>
      <c r="AU4117" t="s">
        <v>68</v>
      </c>
      <c r="AV4117" t="s">
        <v>69</v>
      </c>
      <c r="AW4117" s="1">
        <v>22214</v>
      </c>
      <c r="AX4117">
        <v>2</v>
      </c>
    </row>
    <row r="4118" spans="1:50">
      <c r="A4118">
        <v>204029</v>
      </c>
      <c r="B4118" t="str">
        <f>"065485753"</f>
        <v>065485753</v>
      </c>
      <c r="C4118" t="s">
        <v>105</v>
      </c>
      <c r="D4118" t="s">
        <v>2531</v>
      </c>
      <c r="E4118" t="s">
        <v>995</v>
      </c>
      <c r="F4118" t="s">
        <v>3483</v>
      </c>
      <c r="G4118" t="s">
        <v>83</v>
      </c>
      <c r="H4118" t="str">
        <f>"Κ. ΚΑΡΑΜΑΝΛΗ 88 "</f>
        <v xml:space="preserve">Κ. ΚΑΡΑΜΑΝΛΗ 88 </v>
      </c>
      <c r="I4118">
        <v>73200</v>
      </c>
      <c r="J4118">
        <v>2821074364</v>
      </c>
      <c r="K4118">
        <v>6978334112</v>
      </c>
      <c r="M4118" t="s">
        <v>7723</v>
      </c>
      <c r="N4118" t="s">
        <v>176</v>
      </c>
      <c r="O4118" t="s">
        <v>177</v>
      </c>
      <c r="R4118" t="s">
        <v>57</v>
      </c>
      <c r="S4118">
        <v>7</v>
      </c>
      <c r="T4118">
        <v>231</v>
      </c>
      <c r="U4118" s="1">
        <v>38230</v>
      </c>
      <c r="V4118" t="s">
        <v>6729</v>
      </c>
      <c r="W4118" t="s">
        <v>6730</v>
      </c>
      <c r="X4118" t="s">
        <v>58</v>
      </c>
      <c r="Y4118">
        <v>20</v>
      </c>
      <c r="Z4118" t="s">
        <v>59</v>
      </c>
      <c r="AA4118" t="s">
        <v>59</v>
      </c>
      <c r="AB4118" t="s">
        <v>59</v>
      </c>
      <c r="AC4118" t="s">
        <v>59</v>
      </c>
      <c r="AD4118" t="s">
        <v>59</v>
      </c>
      <c r="AF4118" s="1">
        <v>38233</v>
      </c>
      <c r="AG4118" t="s">
        <v>137</v>
      </c>
      <c r="AH4118" t="s">
        <v>138</v>
      </c>
      <c r="AI4118" t="str">
        <f>"5040090"</f>
        <v>5040090</v>
      </c>
      <c r="AJ4118" t="s">
        <v>6757</v>
      </c>
      <c r="AK4118">
        <v>2822022275</v>
      </c>
      <c r="AL4118" t="s">
        <v>6758</v>
      </c>
      <c r="AM4118" t="s">
        <v>88</v>
      </c>
      <c r="AN4118" t="s">
        <v>6744</v>
      </c>
      <c r="AO4118" t="s">
        <v>6744</v>
      </c>
      <c r="AP4118" t="s">
        <v>6744</v>
      </c>
      <c r="AQ4118">
        <v>1</v>
      </c>
      <c r="AR4118" t="s">
        <v>6729</v>
      </c>
      <c r="AS4118" t="s">
        <v>6730</v>
      </c>
      <c r="AT4118" t="s">
        <v>58</v>
      </c>
      <c r="AU4118" t="s">
        <v>68</v>
      </c>
      <c r="AV4118" t="s">
        <v>69</v>
      </c>
      <c r="AW4118" s="1">
        <v>27431</v>
      </c>
      <c r="AX4118">
        <v>2</v>
      </c>
    </row>
    <row r="4119" spans="1:50">
      <c r="A4119">
        <v>150449</v>
      </c>
      <c r="B4119" t="str">
        <f>"030555907"</f>
        <v>030555907</v>
      </c>
      <c r="C4119" t="s">
        <v>50</v>
      </c>
      <c r="D4119" t="s">
        <v>7724</v>
      </c>
      <c r="E4119" t="s">
        <v>237</v>
      </c>
      <c r="F4119" t="s">
        <v>166</v>
      </c>
      <c r="G4119" t="s">
        <v>250</v>
      </c>
      <c r="H4119" t="str">
        <f>"ΚΡΙΤΟΒΟΥΛΙΔΟΥ 20 ΧΑΝΙΑ"</f>
        <v>ΚΡΙΤΟΒΟΥΛΙΔΟΥ 20 ΧΑΝΙΑ</v>
      </c>
      <c r="I4119">
        <v>73134</v>
      </c>
      <c r="K4119">
        <v>6973557894</v>
      </c>
      <c r="N4119" t="s">
        <v>146</v>
      </c>
      <c r="O4119" t="s">
        <v>147</v>
      </c>
      <c r="R4119" t="s">
        <v>57</v>
      </c>
      <c r="S4119">
        <v>16</v>
      </c>
      <c r="T4119">
        <v>170</v>
      </c>
      <c r="U4119" s="1">
        <v>32016</v>
      </c>
      <c r="V4119" t="s">
        <v>6729</v>
      </c>
      <c r="W4119" t="s">
        <v>6730</v>
      </c>
      <c r="X4119" t="s">
        <v>58</v>
      </c>
      <c r="Y4119">
        <v>18</v>
      </c>
      <c r="Z4119" t="s">
        <v>59</v>
      </c>
      <c r="AA4119" t="s">
        <v>59</v>
      </c>
      <c r="AB4119" t="s">
        <v>59</v>
      </c>
      <c r="AC4119" t="s">
        <v>59</v>
      </c>
      <c r="AD4119" t="s">
        <v>59</v>
      </c>
      <c r="AF4119" s="1">
        <v>32024</v>
      </c>
      <c r="AG4119" t="s">
        <v>148</v>
      </c>
      <c r="AH4119" t="s">
        <v>149</v>
      </c>
      <c r="AI4119" t="str">
        <f>"5051040"</f>
        <v>5051040</v>
      </c>
      <c r="AJ4119" t="s">
        <v>6811</v>
      </c>
      <c r="AK4119">
        <v>2821088007</v>
      </c>
      <c r="AL4119" t="s">
        <v>6812</v>
      </c>
      <c r="AM4119" t="s">
        <v>88</v>
      </c>
      <c r="AN4119" t="s">
        <v>88</v>
      </c>
      <c r="AO4119" t="s">
        <v>88</v>
      </c>
      <c r="AP4119" t="s">
        <v>88</v>
      </c>
      <c r="AQ4119">
        <v>1</v>
      </c>
      <c r="AR4119" t="s">
        <v>6729</v>
      </c>
      <c r="AS4119" t="s">
        <v>6730</v>
      </c>
      <c r="AT4119" t="s">
        <v>58</v>
      </c>
      <c r="AU4119" t="s">
        <v>68</v>
      </c>
      <c r="AV4119" t="s">
        <v>69</v>
      </c>
      <c r="AW4119" s="1">
        <v>21755</v>
      </c>
      <c r="AX4119">
        <v>2</v>
      </c>
    </row>
    <row r="4120" spans="1:50">
      <c r="A4120">
        <v>906694</v>
      </c>
      <c r="B4120" t="str">
        <f>"028123058"</f>
        <v>028123058</v>
      </c>
      <c r="C4120" t="s">
        <v>50</v>
      </c>
      <c r="D4120" t="s">
        <v>7724</v>
      </c>
      <c r="E4120" t="s">
        <v>215</v>
      </c>
      <c r="F4120" t="s">
        <v>3049</v>
      </c>
      <c r="G4120" t="s">
        <v>237</v>
      </c>
      <c r="H4120" t="str">
        <f>" "</f>
        <v xml:space="preserve"> </v>
      </c>
      <c r="J4120">
        <v>2822023945</v>
      </c>
      <c r="K4120">
        <v>6938273269</v>
      </c>
      <c r="M4120" t="s">
        <v>7725</v>
      </c>
      <c r="N4120" t="s">
        <v>146</v>
      </c>
      <c r="O4120" t="s">
        <v>147</v>
      </c>
      <c r="R4120" t="s">
        <v>57</v>
      </c>
      <c r="S4120">
        <v>16</v>
      </c>
      <c r="T4120">
        <v>237</v>
      </c>
      <c r="U4120" s="1">
        <v>31293</v>
      </c>
      <c r="V4120" t="s">
        <v>6729</v>
      </c>
      <c r="W4120" t="s">
        <v>6730</v>
      </c>
      <c r="X4120" t="s">
        <v>58</v>
      </c>
      <c r="Y4120">
        <v>18</v>
      </c>
      <c r="Z4120" t="s">
        <v>59</v>
      </c>
      <c r="AA4120" t="s">
        <v>59</v>
      </c>
      <c r="AB4120" t="s">
        <v>59</v>
      </c>
      <c r="AC4120" t="s">
        <v>59</v>
      </c>
      <c r="AD4120" t="s">
        <v>59</v>
      </c>
      <c r="AF4120" s="1">
        <v>31300</v>
      </c>
      <c r="AG4120" t="s">
        <v>125</v>
      </c>
      <c r="AH4120" t="s">
        <v>126</v>
      </c>
      <c r="AI4120" t="str">
        <f>"5004020"</f>
        <v>5004020</v>
      </c>
      <c r="AJ4120" t="s">
        <v>6806</v>
      </c>
      <c r="AK4120">
        <v>2822022103</v>
      </c>
      <c r="AL4120" t="s">
        <v>6807</v>
      </c>
      <c r="AM4120" t="s">
        <v>88</v>
      </c>
      <c r="AN4120" t="s">
        <v>6744</v>
      </c>
      <c r="AO4120" t="s">
        <v>6744</v>
      </c>
      <c r="AP4120" t="s">
        <v>6744</v>
      </c>
      <c r="AQ4120">
        <v>1</v>
      </c>
      <c r="AR4120" t="s">
        <v>6729</v>
      </c>
      <c r="AS4120" t="s">
        <v>6730</v>
      </c>
      <c r="AT4120" t="s">
        <v>58</v>
      </c>
      <c r="AU4120" t="s">
        <v>68</v>
      </c>
      <c r="AV4120" t="s">
        <v>69</v>
      </c>
      <c r="AW4120" s="1">
        <v>21787</v>
      </c>
      <c r="AX4120">
        <v>2</v>
      </c>
    </row>
    <row r="4121" spans="1:50">
      <c r="A4121">
        <v>160578</v>
      </c>
      <c r="B4121" t="str">
        <f>"028123046"</f>
        <v>028123046</v>
      </c>
      <c r="C4121" t="s">
        <v>50</v>
      </c>
      <c r="D4121" t="s">
        <v>7726</v>
      </c>
      <c r="E4121" t="s">
        <v>476</v>
      </c>
      <c r="F4121" t="s">
        <v>99</v>
      </c>
      <c r="G4121" t="s">
        <v>52</v>
      </c>
      <c r="H4121" t="str">
        <f>" "</f>
        <v xml:space="preserve"> </v>
      </c>
      <c r="J4121">
        <v>2822022817</v>
      </c>
      <c r="K4121">
        <v>6976569795</v>
      </c>
      <c r="N4121" t="s">
        <v>306</v>
      </c>
      <c r="O4121" t="s">
        <v>307</v>
      </c>
      <c r="R4121" t="s">
        <v>57</v>
      </c>
      <c r="S4121">
        <v>16</v>
      </c>
      <c r="T4121">
        <v>161</v>
      </c>
      <c r="U4121" s="1">
        <v>33119</v>
      </c>
      <c r="V4121" t="s">
        <v>6729</v>
      </c>
      <c r="W4121" t="s">
        <v>6730</v>
      </c>
      <c r="X4121" t="s">
        <v>58</v>
      </c>
      <c r="Y4121">
        <v>18</v>
      </c>
      <c r="Z4121" t="s">
        <v>59</v>
      </c>
      <c r="AA4121" t="s">
        <v>59</v>
      </c>
      <c r="AB4121" t="s">
        <v>59</v>
      </c>
      <c r="AC4121" t="s">
        <v>59</v>
      </c>
      <c r="AD4121" t="s">
        <v>59</v>
      </c>
      <c r="AF4121" s="1">
        <v>33121</v>
      </c>
      <c r="AG4121" t="s">
        <v>125</v>
      </c>
      <c r="AH4121" t="s">
        <v>126</v>
      </c>
      <c r="AI4121" t="str">
        <f>"5004020"</f>
        <v>5004020</v>
      </c>
      <c r="AJ4121" t="s">
        <v>6806</v>
      </c>
      <c r="AK4121">
        <v>2822022103</v>
      </c>
      <c r="AL4121" t="s">
        <v>6807</v>
      </c>
      <c r="AM4121" t="s">
        <v>88</v>
      </c>
      <c r="AN4121" t="s">
        <v>6744</v>
      </c>
      <c r="AO4121" t="s">
        <v>6744</v>
      </c>
      <c r="AP4121" t="s">
        <v>6744</v>
      </c>
      <c r="AQ4121">
        <v>1</v>
      </c>
      <c r="AR4121" t="s">
        <v>6729</v>
      </c>
      <c r="AS4121" t="s">
        <v>6730</v>
      </c>
      <c r="AT4121" t="s">
        <v>58</v>
      </c>
      <c r="AU4121" t="s">
        <v>68</v>
      </c>
      <c r="AV4121" t="s">
        <v>69</v>
      </c>
      <c r="AW4121" s="1">
        <v>22220</v>
      </c>
      <c r="AX4121">
        <v>2</v>
      </c>
    </row>
    <row r="4122" spans="1:50">
      <c r="A4122">
        <v>179465</v>
      </c>
      <c r="B4122" t="str">
        <f>"072779235"</f>
        <v>072779235</v>
      </c>
      <c r="C4122" t="s">
        <v>50</v>
      </c>
      <c r="D4122" t="s">
        <v>7726</v>
      </c>
      <c r="E4122" t="s">
        <v>73</v>
      </c>
      <c r="F4122" t="s">
        <v>315</v>
      </c>
      <c r="G4122" t="s">
        <v>382</v>
      </c>
      <c r="H4122" t="str">
        <f>" "</f>
        <v xml:space="preserve"> </v>
      </c>
      <c r="N4122" t="s">
        <v>146</v>
      </c>
      <c r="O4122" t="s">
        <v>147</v>
      </c>
      <c r="R4122" t="s">
        <v>57</v>
      </c>
      <c r="S4122">
        <v>2</v>
      </c>
      <c r="T4122">
        <v>181</v>
      </c>
      <c r="U4122" s="1">
        <v>36039</v>
      </c>
      <c r="V4122" t="s">
        <v>6729</v>
      </c>
      <c r="W4122" t="s">
        <v>6730</v>
      </c>
      <c r="X4122" t="s">
        <v>58</v>
      </c>
      <c r="Y4122">
        <v>18</v>
      </c>
      <c r="Z4122" t="s">
        <v>59</v>
      </c>
      <c r="AA4122" t="s">
        <v>59</v>
      </c>
      <c r="AB4122" t="s">
        <v>59</v>
      </c>
      <c r="AC4122" t="s">
        <v>59</v>
      </c>
      <c r="AD4122" t="s">
        <v>59</v>
      </c>
      <c r="AF4122" s="1">
        <v>36041</v>
      </c>
      <c r="AG4122" t="s">
        <v>148</v>
      </c>
      <c r="AH4122" t="s">
        <v>149</v>
      </c>
      <c r="AI4122" t="str">
        <f>"5090080"</f>
        <v>5090080</v>
      </c>
      <c r="AJ4122" t="s">
        <v>6906</v>
      </c>
      <c r="AK4122">
        <v>2821096638</v>
      </c>
      <c r="AL4122" t="s">
        <v>6907</v>
      </c>
      <c r="AM4122" t="s">
        <v>88</v>
      </c>
      <c r="AN4122" t="s">
        <v>88</v>
      </c>
      <c r="AO4122" t="s">
        <v>88</v>
      </c>
      <c r="AP4122" t="s">
        <v>88</v>
      </c>
      <c r="AQ4122">
        <v>1</v>
      </c>
      <c r="AR4122" t="s">
        <v>6729</v>
      </c>
      <c r="AS4122" t="s">
        <v>6730</v>
      </c>
      <c r="AT4122" t="s">
        <v>58</v>
      </c>
      <c r="AU4122" t="s">
        <v>68</v>
      </c>
      <c r="AV4122" t="s">
        <v>69</v>
      </c>
      <c r="AW4122" s="1">
        <v>24489</v>
      </c>
      <c r="AX4122">
        <v>2</v>
      </c>
    </row>
    <row r="4123" spans="1:50">
      <c r="A4123">
        <v>700550</v>
      </c>
      <c r="B4123" t="str">
        <f>"033556934"</f>
        <v>033556934</v>
      </c>
      <c r="C4123" t="s">
        <v>105</v>
      </c>
      <c r="D4123" t="s">
        <v>7727</v>
      </c>
      <c r="E4123" t="s">
        <v>72</v>
      </c>
      <c r="F4123" t="s">
        <v>309</v>
      </c>
      <c r="G4123" t="s">
        <v>7728</v>
      </c>
      <c r="H4123" t="str">
        <f>"ΑΓ. ΜΑΤΘΑΙΟΣ "</f>
        <v xml:space="preserve">ΑΓ. ΜΑΤΘΑΙΟΣ </v>
      </c>
      <c r="I4123">
        <v>73132</v>
      </c>
      <c r="J4123">
        <v>2821400104</v>
      </c>
      <c r="K4123">
        <v>6973716834</v>
      </c>
      <c r="N4123" t="s">
        <v>292</v>
      </c>
      <c r="O4123" t="s">
        <v>293</v>
      </c>
      <c r="R4123" t="s">
        <v>57</v>
      </c>
      <c r="S4123">
        <v>4</v>
      </c>
      <c r="T4123">
        <v>772</v>
      </c>
      <c r="U4123" s="1">
        <v>40413</v>
      </c>
      <c r="V4123" t="s">
        <v>6729</v>
      </c>
      <c r="W4123" t="s">
        <v>6730</v>
      </c>
      <c r="X4123" t="s">
        <v>58</v>
      </c>
      <c r="Y4123">
        <v>21</v>
      </c>
      <c r="Z4123" t="s">
        <v>59</v>
      </c>
      <c r="AA4123" t="s">
        <v>59</v>
      </c>
      <c r="AB4123" t="s">
        <v>59</v>
      </c>
      <c r="AC4123" t="s">
        <v>59</v>
      </c>
      <c r="AD4123" t="s">
        <v>59</v>
      </c>
      <c r="AF4123" s="1">
        <v>40413</v>
      </c>
      <c r="AG4123" t="s">
        <v>137</v>
      </c>
      <c r="AH4123" t="s">
        <v>138</v>
      </c>
      <c r="AI4123" t="str">
        <f>"5040090"</f>
        <v>5040090</v>
      </c>
      <c r="AJ4123" t="s">
        <v>6757</v>
      </c>
      <c r="AK4123">
        <v>2822022275</v>
      </c>
      <c r="AL4123" t="s">
        <v>6758</v>
      </c>
      <c r="AM4123" t="s">
        <v>88</v>
      </c>
      <c r="AN4123" t="s">
        <v>6744</v>
      </c>
      <c r="AO4123" t="s">
        <v>6744</v>
      </c>
      <c r="AP4123" t="s">
        <v>6744</v>
      </c>
      <c r="AQ4123">
        <v>1</v>
      </c>
      <c r="AR4123" t="s">
        <v>6729</v>
      </c>
      <c r="AS4123" t="s">
        <v>6730</v>
      </c>
      <c r="AT4123" t="s">
        <v>58</v>
      </c>
      <c r="AU4123" t="s">
        <v>68</v>
      </c>
      <c r="AV4123" t="s">
        <v>1092</v>
      </c>
      <c r="AW4123" s="1">
        <v>25500</v>
      </c>
      <c r="AX4123">
        <v>2</v>
      </c>
    </row>
    <row r="4124" spans="1:50">
      <c r="A4124">
        <v>197251</v>
      </c>
      <c r="B4124" t="str">
        <f>"073786261"</f>
        <v>073786261</v>
      </c>
      <c r="C4124" t="s">
        <v>50</v>
      </c>
      <c r="D4124" t="s">
        <v>2536</v>
      </c>
      <c r="E4124" t="s">
        <v>83</v>
      </c>
      <c r="F4124" t="s">
        <v>7729</v>
      </c>
      <c r="G4124" t="s">
        <v>950</v>
      </c>
      <c r="H4124" t="str">
        <f>"Δαγκλή 5β, "</f>
        <v xml:space="preserve">Δαγκλή 5β, </v>
      </c>
      <c r="I4124">
        <v>73133</v>
      </c>
      <c r="J4124">
        <v>2821053655</v>
      </c>
      <c r="K4124">
        <v>6944908554</v>
      </c>
      <c r="M4124" t="s">
        <v>7730</v>
      </c>
      <c r="N4124" t="s">
        <v>146</v>
      </c>
      <c r="O4124" t="s">
        <v>147</v>
      </c>
      <c r="R4124" t="s">
        <v>57</v>
      </c>
      <c r="S4124">
        <v>10</v>
      </c>
      <c r="T4124">
        <v>206</v>
      </c>
      <c r="U4124" s="1">
        <v>37866</v>
      </c>
      <c r="V4124" t="s">
        <v>6729</v>
      </c>
      <c r="W4124" t="s">
        <v>6730</v>
      </c>
      <c r="X4124" t="s">
        <v>58</v>
      </c>
      <c r="Y4124">
        <v>18</v>
      </c>
      <c r="Z4124" t="s">
        <v>59</v>
      </c>
      <c r="AA4124" t="s">
        <v>59</v>
      </c>
      <c r="AB4124" t="s">
        <v>59</v>
      </c>
      <c r="AC4124" t="s">
        <v>59</v>
      </c>
      <c r="AD4124" t="s">
        <v>59</v>
      </c>
      <c r="AF4124" s="1">
        <v>37866</v>
      </c>
      <c r="AG4124" t="s">
        <v>125</v>
      </c>
      <c r="AH4124" t="s">
        <v>126</v>
      </c>
      <c r="AI4124" t="str">
        <f>"5001050"</f>
        <v>5001050</v>
      </c>
      <c r="AJ4124" t="s">
        <v>6917</v>
      </c>
      <c r="AK4124">
        <v>2821088012</v>
      </c>
      <c r="AL4124" t="s">
        <v>6918</v>
      </c>
      <c r="AM4124" t="s">
        <v>88</v>
      </c>
      <c r="AN4124" t="s">
        <v>88</v>
      </c>
      <c r="AO4124" t="s">
        <v>88</v>
      </c>
      <c r="AP4124" t="s">
        <v>88</v>
      </c>
      <c r="AQ4124">
        <v>1</v>
      </c>
      <c r="AR4124" t="s">
        <v>6729</v>
      </c>
      <c r="AS4124" t="s">
        <v>6730</v>
      </c>
      <c r="AT4124" t="s">
        <v>58</v>
      </c>
      <c r="AU4124" t="s">
        <v>68</v>
      </c>
      <c r="AV4124" t="s">
        <v>69</v>
      </c>
      <c r="AW4124" s="1">
        <v>24301</v>
      </c>
      <c r="AX4124">
        <v>2</v>
      </c>
    </row>
    <row r="4125" spans="1:50">
      <c r="A4125">
        <v>153971</v>
      </c>
      <c r="B4125" t="str">
        <f>"100626835"</f>
        <v>100626835</v>
      </c>
      <c r="C4125" t="s">
        <v>50</v>
      </c>
      <c r="D4125" t="s">
        <v>7731</v>
      </c>
      <c r="E4125" t="s">
        <v>52</v>
      </c>
      <c r="F4125" t="s">
        <v>111</v>
      </c>
      <c r="G4125" t="s">
        <v>610</v>
      </c>
      <c r="H4125" t="str">
        <f>"25η ΜΑΡΤΙΟΥ 24 ΣΟΥΔΑ"</f>
        <v>25η ΜΑΡΤΙΟΥ 24 ΣΟΥΔΑ</v>
      </c>
      <c r="I4125">
        <v>73200</v>
      </c>
      <c r="J4125">
        <v>2821089050</v>
      </c>
      <c r="K4125">
        <v>6977359211</v>
      </c>
      <c r="M4125" t="s">
        <v>7732</v>
      </c>
      <c r="N4125" t="s">
        <v>146</v>
      </c>
      <c r="O4125" t="s">
        <v>147</v>
      </c>
      <c r="R4125" t="s">
        <v>57</v>
      </c>
      <c r="S4125">
        <v>19</v>
      </c>
      <c r="T4125">
        <v>161</v>
      </c>
      <c r="U4125" s="1">
        <v>32387</v>
      </c>
      <c r="V4125" t="s">
        <v>6729</v>
      </c>
      <c r="W4125" t="s">
        <v>6730</v>
      </c>
      <c r="X4125" t="s">
        <v>58</v>
      </c>
      <c r="Y4125">
        <v>18</v>
      </c>
      <c r="Z4125" t="s">
        <v>59</v>
      </c>
      <c r="AA4125" t="s">
        <v>59</v>
      </c>
      <c r="AB4125" t="s">
        <v>59</v>
      </c>
      <c r="AC4125" t="s">
        <v>59</v>
      </c>
      <c r="AD4125" t="s">
        <v>59</v>
      </c>
      <c r="AF4125" s="1">
        <v>32391</v>
      </c>
      <c r="AG4125" t="s">
        <v>148</v>
      </c>
      <c r="AH4125" t="s">
        <v>149</v>
      </c>
      <c r="AI4125" t="str">
        <f>"5061010"</f>
        <v>5061010</v>
      </c>
      <c r="AJ4125" t="s">
        <v>6746</v>
      </c>
      <c r="AK4125">
        <v>2821081530</v>
      </c>
      <c r="AL4125" t="s">
        <v>6747</v>
      </c>
      <c r="AM4125" t="s">
        <v>88</v>
      </c>
      <c r="AN4125" t="s">
        <v>88</v>
      </c>
      <c r="AO4125" t="s">
        <v>6748</v>
      </c>
      <c r="AP4125" t="s">
        <v>6748</v>
      </c>
      <c r="AQ4125">
        <v>1</v>
      </c>
      <c r="AR4125" t="s">
        <v>6729</v>
      </c>
      <c r="AS4125" t="s">
        <v>6730</v>
      </c>
      <c r="AT4125" t="s">
        <v>58</v>
      </c>
      <c r="AU4125" t="s">
        <v>68</v>
      </c>
      <c r="AV4125" t="s">
        <v>69</v>
      </c>
      <c r="AW4125" s="1">
        <v>22155</v>
      </c>
      <c r="AX4125">
        <v>2</v>
      </c>
    </row>
    <row r="4126" spans="1:50">
      <c r="A4126">
        <v>193640</v>
      </c>
      <c r="B4126" t="str">
        <f>"046751810"</f>
        <v>046751810</v>
      </c>
      <c r="C4126" t="s">
        <v>50</v>
      </c>
      <c r="D4126" t="s">
        <v>7733</v>
      </c>
      <c r="E4126" t="s">
        <v>52</v>
      </c>
      <c r="F4126" t="s">
        <v>154</v>
      </c>
      <c r="G4126" t="s">
        <v>7734</v>
      </c>
      <c r="H4126" t="str">
        <f>" "</f>
        <v xml:space="preserve"> </v>
      </c>
      <c r="J4126">
        <v>2822023996</v>
      </c>
      <c r="K4126">
        <v>6976647115</v>
      </c>
      <c r="M4126" t="s">
        <v>7735</v>
      </c>
      <c r="N4126" t="s">
        <v>246</v>
      </c>
      <c r="O4126" t="s">
        <v>247</v>
      </c>
      <c r="R4126" t="s">
        <v>57</v>
      </c>
      <c r="S4126">
        <v>8</v>
      </c>
      <c r="T4126">
        <v>193</v>
      </c>
      <c r="U4126" s="1">
        <v>37497</v>
      </c>
      <c r="V4126" t="s">
        <v>6729</v>
      </c>
      <c r="W4126" t="s">
        <v>6730</v>
      </c>
      <c r="X4126" t="s">
        <v>58</v>
      </c>
      <c r="Y4126">
        <v>20</v>
      </c>
      <c r="Z4126" t="s">
        <v>59</v>
      </c>
      <c r="AA4126" t="s">
        <v>59</v>
      </c>
      <c r="AB4126" t="s">
        <v>59</v>
      </c>
      <c r="AC4126" t="s">
        <v>59</v>
      </c>
      <c r="AD4126" t="s">
        <v>59</v>
      </c>
      <c r="AF4126" s="1">
        <v>37501</v>
      </c>
      <c r="AG4126" t="s">
        <v>125</v>
      </c>
      <c r="AH4126" t="s">
        <v>126</v>
      </c>
      <c r="AI4126" t="str">
        <f>"5004010"</f>
        <v>5004010</v>
      </c>
      <c r="AJ4126" t="s">
        <v>7166</v>
      </c>
      <c r="AK4126">
        <v>2822022067</v>
      </c>
      <c r="AL4126" t="s">
        <v>7167</v>
      </c>
      <c r="AM4126" t="s">
        <v>88</v>
      </c>
      <c r="AN4126" t="s">
        <v>6744</v>
      </c>
      <c r="AO4126" t="s">
        <v>6744</v>
      </c>
      <c r="AP4126" t="s">
        <v>6744</v>
      </c>
      <c r="AQ4126">
        <v>1</v>
      </c>
      <c r="AR4126" t="s">
        <v>6729</v>
      </c>
      <c r="AS4126" t="s">
        <v>6730</v>
      </c>
      <c r="AT4126" t="s">
        <v>58</v>
      </c>
      <c r="AU4126" t="s">
        <v>68</v>
      </c>
      <c r="AV4126" t="s">
        <v>69</v>
      </c>
      <c r="AW4126" s="1">
        <v>24285</v>
      </c>
      <c r="AX4126">
        <v>2</v>
      </c>
    </row>
    <row r="4127" spans="1:50">
      <c r="A4127">
        <v>157366</v>
      </c>
      <c r="B4127" t="str">
        <f>"064283518"</f>
        <v>064283518</v>
      </c>
      <c r="C4127" t="s">
        <v>50</v>
      </c>
      <c r="D4127" t="s">
        <v>7733</v>
      </c>
      <c r="E4127" t="s">
        <v>372</v>
      </c>
      <c r="F4127" t="s">
        <v>166</v>
      </c>
      <c r="G4127" t="s">
        <v>52</v>
      </c>
      <c r="H4127" t="str">
        <f>" "</f>
        <v xml:space="preserve"> </v>
      </c>
      <c r="M4127" t="s">
        <v>7736</v>
      </c>
      <c r="N4127" t="s">
        <v>299</v>
      </c>
      <c r="O4127" t="s">
        <v>300</v>
      </c>
      <c r="R4127" t="s">
        <v>57</v>
      </c>
      <c r="S4127">
        <v>14</v>
      </c>
      <c r="T4127">
        <v>188</v>
      </c>
      <c r="U4127" s="1">
        <v>32752</v>
      </c>
      <c r="V4127" t="s">
        <v>6729</v>
      </c>
      <c r="W4127" t="s">
        <v>6730</v>
      </c>
      <c r="X4127" t="s">
        <v>58</v>
      </c>
      <c r="Y4127">
        <v>18</v>
      </c>
      <c r="Z4127" t="s">
        <v>59</v>
      </c>
      <c r="AA4127" t="s">
        <v>59</v>
      </c>
      <c r="AB4127" t="s">
        <v>59</v>
      </c>
      <c r="AC4127" t="s">
        <v>59</v>
      </c>
      <c r="AD4127" t="s">
        <v>59</v>
      </c>
      <c r="AF4127" s="1">
        <v>32756</v>
      </c>
      <c r="AG4127" t="s">
        <v>148</v>
      </c>
      <c r="AH4127" t="s">
        <v>149</v>
      </c>
      <c r="AI4127" t="str">
        <f>"5051009"</f>
        <v>5051009</v>
      </c>
      <c r="AJ4127" t="s">
        <v>6851</v>
      </c>
      <c r="AK4127">
        <v>2821044551</v>
      </c>
      <c r="AL4127" t="s">
        <v>6852</v>
      </c>
      <c r="AM4127" t="s">
        <v>88</v>
      </c>
      <c r="AN4127" t="s">
        <v>88</v>
      </c>
      <c r="AO4127" t="s">
        <v>6770</v>
      </c>
      <c r="AP4127" t="s">
        <v>6771</v>
      </c>
      <c r="AQ4127">
        <v>1</v>
      </c>
      <c r="AR4127" t="s">
        <v>6729</v>
      </c>
      <c r="AS4127" t="s">
        <v>6730</v>
      </c>
      <c r="AT4127" t="s">
        <v>58</v>
      </c>
      <c r="AU4127" t="s">
        <v>68</v>
      </c>
      <c r="AV4127" t="s">
        <v>69</v>
      </c>
      <c r="AW4127" s="1">
        <v>22364</v>
      </c>
      <c r="AX4127">
        <v>2</v>
      </c>
    </row>
    <row r="4128" spans="1:50">
      <c r="A4128">
        <v>193454</v>
      </c>
      <c r="B4128" t="str">
        <f>"054209789"</f>
        <v>054209789</v>
      </c>
      <c r="C4128" t="s">
        <v>105</v>
      </c>
      <c r="D4128" t="s">
        <v>7737</v>
      </c>
      <c r="E4128" t="s">
        <v>106</v>
      </c>
      <c r="F4128" t="s">
        <v>414</v>
      </c>
      <c r="G4128" t="s">
        <v>950</v>
      </c>
      <c r="H4128" t="str">
        <f>" "</f>
        <v xml:space="preserve"> </v>
      </c>
      <c r="J4128">
        <v>2821092289</v>
      </c>
      <c r="K4128">
        <v>6972011932</v>
      </c>
      <c r="N4128" t="s">
        <v>292</v>
      </c>
      <c r="O4128" t="s">
        <v>293</v>
      </c>
      <c r="R4128" t="s">
        <v>57</v>
      </c>
      <c r="S4128">
        <v>11</v>
      </c>
      <c r="T4128">
        <v>193</v>
      </c>
      <c r="U4128" s="1">
        <v>37497</v>
      </c>
      <c r="V4128" t="s">
        <v>6729</v>
      </c>
      <c r="W4128" t="s">
        <v>6730</v>
      </c>
      <c r="X4128" t="s">
        <v>58</v>
      </c>
      <c r="Y4128">
        <v>18</v>
      </c>
      <c r="Z4128" t="s">
        <v>59</v>
      </c>
      <c r="AA4128" t="s">
        <v>59</v>
      </c>
      <c r="AB4128" t="s">
        <v>59</v>
      </c>
      <c r="AC4128" t="s">
        <v>59</v>
      </c>
      <c r="AD4128" t="s">
        <v>59</v>
      </c>
      <c r="AF4128" s="1">
        <v>37501</v>
      </c>
      <c r="AG4128" t="s">
        <v>125</v>
      </c>
      <c r="AH4128" t="s">
        <v>126</v>
      </c>
      <c r="AI4128" t="str">
        <f>"5001020"</f>
        <v>5001020</v>
      </c>
      <c r="AJ4128" t="s">
        <v>6739</v>
      </c>
      <c r="AK4128">
        <v>2821042664</v>
      </c>
      <c r="AL4128" t="s">
        <v>6740</v>
      </c>
      <c r="AM4128" t="s">
        <v>88</v>
      </c>
      <c r="AN4128" t="s">
        <v>88</v>
      </c>
      <c r="AO4128" t="s">
        <v>88</v>
      </c>
      <c r="AP4128" t="s">
        <v>88</v>
      </c>
      <c r="AQ4128">
        <v>1</v>
      </c>
      <c r="AR4128" t="s">
        <v>6729</v>
      </c>
      <c r="AS4128" t="s">
        <v>6730</v>
      </c>
      <c r="AT4128" t="s">
        <v>58</v>
      </c>
      <c r="AU4128" t="s">
        <v>68</v>
      </c>
      <c r="AV4128" t="s">
        <v>69</v>
      </c>
      <c r="AW4128" s="1">
        <v>22214</v>
      </c>
      <c r="AX4128">
        <v>2</v>
      </c>
    </row>
    <row r="4129" spans="1:50">
      <c r="A4129">
        <v>177359</v>
      </c>
      <c r="B4129" t="str">
        <f>"113176009"</f>
        <v>113176009</v>
      </c>
      <c r="C4129" t="s">
        <v>50</v>
      </c>
      <c r="D4129" t="s">
        <v>7738</v>
      </c>
      <c r="E4129" t="s">
        <v>563</v>
      </c>
      <c r="F4129" t="s">
        <v>609</v>
      </c>
      <c r="G4129" t="s">
        <v>1361</v>
      </c>
      <c r="H4129" t="str">
        <f>"Περιβολίων 52 "</f>
        <v xml:space="preserve">Περιβολίων 52 </v>
      </c>
      <c r="J4129">
        <v>2821072180</v>
      </c>
      <c r="K4129">
        <v>6945346242</v>
      </c>
      <c r="M4129" t="s">
        <v>7739</v>
      </c>
      <c r="N4129" t="s">
        <v>299</v>
      </c>
      <c r="O4129" t="s">
        <v>300</v>
      </c>
      <c r="R4129" t="s">
        <v>57</v>
      </c>
      <c r="S4129">
        <v>10</v>
      </c>
      <c r="T4129">
        <v>180</v>
      </c>
      <c r="U4129" s="1">
        <v>35674</v>
      </c>
      <c r="V4129" t="s">
        <v>6729</v>
      </c>
      <c r="W4129" t="s">
        <v>6730</v>
      </c>
      <c r="X4129" t="s">
        <v>58</v>
      </c>
      <c r="Y4129">
        <v>18</v>
      </c>
      <c r="Z4129" t="s">
        <v>59</v>
      </c>
      <c r="AA4129" t="s">
        <v>59</v>
      </c>
      <c r="AB4129" t="s">
        <v>59</v>
      </c>
      <c r="AC4129" t="s">
        <v>59</v>
      </c>
      <c r="AD4129" t="s">
        <v>59</v>
      </c>
      <c r="AF4129" s="1">
        <v>35678</v>
      </c>
      <c r="AG4129" t="s">
        <v>125</v>
      </c>
      <c r="AH4129" t="s">
        <v>126</v>
      </c>
      <c r="AI4129" t="str">
        <f>"5001040"</f>
        <v>5001040</v>
      </c>
      <c r="AJ4129" t="s">
        <v>7126</v>
      </c>
      <c r="AK4129">
        <v>2821088010</v>
      </c>
      <c r="AM4129" t="s">
        <v>88</v>
      </c>
      <c r="AN4129" t="s">
        <v>88</v>
      </c>
      <c r="AO4129" t="s">
        <v>88</v>
      </c>
      <c r="AP4129" t="s">
        <v>88</v>
      </c>
      <c r="AQ4129">
        <v>1</v>
      </c>
      <c r="AR4129" t="s">
        <v>6729</v>
      </c>
      <c r="AS4129" t="s">
        <v>6730</v>
      </c>
      <c r="AT4129" t="s">
        <v>58</v>
      </c>
      <c r="AU4129" t="s">
        <v>68</v>
      </c>
      <c r="AV4129" t="s">
        <v>69</v>
      </c>
      <c r="AW4129" s="1">
        <v>19501</v>
      </c>
      <c r="AX4129">
        <v>2</v>
      </c>
    </row>
    <row r="4130" spans="1:50">
      <c r="A4130">
        <v>179466</v>
      </c>
      <c r="B4130" t="str">
        <f>"033077019"</f>
        <v>033077019</v>
      </c>
      <c r="C4130" t="s">
        <v>105</v>
      </c>
      <c r="D4130" t="s">
        <v>7740</v>
      </c>
      <c r="E4130" t="s">
        <v>72</v>
      </c>
      <c r="F4130" t="s">
        <v>670</v>
      </c>
      <c r="G4130" t="s">
        <v>83</v>
      </c>
      <c r="H4130" t="str">
        <f>"ΠΑΡΟΔΟΣ Π. ΓΙΟΥΡΜΕΤΑΚΗ "</f>
        <v xml:space="preserve">ΠΑΡΟΔΟΣ Π. ΓΙΟΥΡΜΕΤΑΚΗ </v>
      </c>
      <c r="I4130">
        <v>73131</v>
      </c>
      <c r="J4130">
        <v>2821033519</v>
      </c>
      <c r="K4130">
        <v>6937486636</v>
      </c>
      <c r="M4130" t="s">
        <v>7741</v>
      </c>
      <c r="N4130" t="s">
        <v>146</v>
      </c>
      <c r="O4130" t="s">
        <v>147</v>
      </c>
      <c r="R4130" t="s">
        <v>57</v>
      </c>
      <c r="S4130">
        <v>13</v>
      </c>
      <c r="T4130">
        <v>164</v>
      </c>
      <c r="U4130" s="1">
        <v>36040</v>
      </c>
      <c r="V4130" t="s">
        <v>6729</v>
      </c>
      <c r="W4130" t="s">
        <v>6730</v>
      </c>
      <c r="X4130" t="s">
        <v>58</v>
      </c>
      <c r="Y4130">
        <v>18</v>
      </c>
      <c r="Z4130" t="s">
        <v>59</v>
      </c>
      <c r="AA4130" t="s">
        <v>59</v>
      </c>
      <c r="AB4130" t="s">
        <v>59</v>
      </c>
      <c r="AC4130" t="s">
        <v>59</v>
      </c>
      <c r="AD4130" t="s">
        <v>59</v>
      </c>
      <c r="AF4130" s="1">
        <v>36074</v>
      </c>
      <c r="AG4130" t="s">
        <v>148</v>
      </c>
      <c r="AH4130" t="s">
        <v>149</v>
      </c>
      <c r="AI4130" t="str">
        <f>"5051010"</f>
        <v>5051010</v>
      </c>
      <c r="AJ4130" t="s">
        <v>6896</v>
      </c>
      <c r="AK4130">
        <v>2821028714</v>
      </c>
      <c r="AL4130" t="s">
        <v>6897</v>
      </c>
      <c r="AM4130" t="s">
        <v>88</v>
      </c>
      <c r="AN4130" t="s">
        <v>88</v>
      </c>
      <c r="AO4130" t="s">
        <v>88</v>
      </c>
      <c r="AP4130" t="s">
        <v>88</v>
      </c>
      <c r="AQ4130">
        <v>1</v>
      </c>
      <c r="AR4130" t="s">
        <v>6729</v>
      </c>
      <c r="AS4130" t="s">
        <v>6730</v>
      </c>
      <c r="AT4130" t="s">
        <v>58</v>
      </c>
      <c r="AU4130" t="s">
        <v>68</v>
      </c>
      <c r="AV4130" t="s">
        <v>69</v>
      </c>
      <c r="AW4130" s="1">
        <v>24401</v>
      </c>
      <c r="AX4130">
        <v>2</v>
      </c>
    </row>
    <row r="4131" spans="1:50">
      <c r="B4131" t="str">
        <f>"079274555"</f>
        <v>079274555</v>
      </c>
      <c r="C4131" t="s">
        <v>50</v>
      </c>
      <c r="D4131" t="s">
        <v>7742</v>
      </c>
      <c r="E4131" t="s">
        <v>250</v>
      </c>
      <c r="F4131" t="s">
        <v>92</v>
      </c>
      <c r="G4131" t="s">
        <v>96</v>
      </c>
      <c r="H4131" t="str">
        <f>" "</f>
        <v xml:space="preserve"> </v>
      </c>
      <c r="N4131" t="s">
        <v>146</v>
      </c>
      <c r="O4131" t="s">
        <v>147</v>
      </c>
      <c r="R4131" t="s">
        <v>57</v>
      </c>
      <c r="S4131">
        <v>7</v>
      </c>
      <c r="T4131" t="s">
        <v>416</v>
      </c>
      <c r="U4131" s="1">
        <v>43349</v>
      </c>
      <c r="V4131" t="s">
        <v>6729</v>
      </c>
      <c r="W4131" t="s">
        <v>6730</v>
      </c>
      <c r="X4131" t="s">
        <v>58</v>
      </c>
      <c r="Y4131">
        <v>20</v>
      </c>
      <c r="Z4131" t="s">
        <v>59</v>
      </c>
      <c r="AA4131" t="s">
        <v>59</v>
      </c>
      <c r="AB4131" t="s">
        <v>59</v>
      </c>
      <c r="AC4131" t="s">
        <v>59</v>
      </c>
      <c r="AD4131" t="s">
        <v>59</v>
      </c>
      <c r="AF4131" s="1">
        <v>43349</v>
      </c>
      <c r="AG4131" t="s">
        <v>148</v>
      </c>
      <c r="AH4131" t="s">
        <v>149</v>
      </c>
      <c r="AI4131" t="str">
        <f>"5058010"</f>
        <v>5058010</v>
      </c>
      <c r="AJ4131" t="s">
        <v>7431</v>
      </c>
      <c r="AK4131">
        <v>2825091037</v>
      </c>
      <c r="AL4131" t="s">
        <v>7432</v>
      </c>
      <c r="AM4131" t="s">
        <v>88</v>
      </c>
      <c r="AN4131" t="s">
        <v>6995</v>
      </c>
      <c r="AO4131" t="s">
        <v>6995</v>
      </c>
      <c r="AP4131" t="s">
        <v>6996</v>
      </c>
      <c r="AQ4131">
        <v>1</v>
      </c>
      <c r="AR4131" t="s">
        <v>6729</v>
      </c>
      <c r="AS4131" t="s">
        <v>6730</v>
      </c>
      <c r="AT4131" t="s">
        <v>58</v>
      </c>
      <c r="AU4131" t="s">
        <v>419</v>
      </c>
      <c r="AV4131" t="s">
        <v>132</v>
      </c>
      <c r="AW4131" s="1">
        <v>27930</v>
      </c>
      <c r="AX4131">
        <v>2</v>
      </c>
    </row>
    <row r="4132" spans="1:50">
      <c r="A4132">
        <v>153467</v>
      </c>
      <c r="B4132" t="str">
        <f>"101556826"</f>
        <v>101556826</v>
      </c>
      <c r="C4132" t="s">
        <v>50</v>
      </c>
      <c r="D4132" t="s">
        <v>7742</v>
      </c>
      <c r="E4132" t="s">
        <v>250</v>
      </c>
      <c r="F4132" t="s">
        <v>92</v>
      </c>
      <c r="G4132" t="s">
        <v>964</v>
      </c>
      <c r="H4132" t="str">
        <f>"Ν. ΣΚΟΥΛΑ 79 ΧΑΝΙΑ"</f>
        <v>Ν. ΣΚΟΥΛΑ 79 ΧΑΝΙΑ</v>
      </c>
      <c r="I4132">
        <v>73100</v>
      </c>
      <c r="J4132">
        <v>2821096926</v>
      </c>
      <c r="K4132">
        <v>6986042860</v>
      </c>
      <c r="M4132" t="s">
        <v>7743</v>
      </c>
      <c r="N4132" t="s">
        <v>146</v>
      </c>
      <c r="O4132" t="s">
        <v>147</v>
      </c>
      <c r="R4132" t="s">
        <v>57</v>
      </c>
      <c r="S4132">
        <v>15</v>
      </c>
      <c r="T4132">
        <v>139</v>
      </c>
      <c r="U4132" s="1">
        <v>32366</v>
      </c>
      <c r="V4132" t="s">
        <v>6729</v>
      </c>
      <c r="W4132" t="s">
        <v>6730</v>
      </c>
      <c r="X4132" t="s">
        <v>58</v>
      </c>
      <c r="Y4132">
        <v>18</v>
      </c>
      <c r="Z4132" t="s">
        <v>59</v>
      </c>
      <c r="AA4132" t="s">
        <v>59</v>
      </c>
      <c r="AB4132" t="s">
        <v>59</v>
      </c>
      <c r="AC4132" t="s">
        <v>59</v>
      </c>
      <c r="AD4132" t="s">
        <v>59</v>
      </c>
      <c r="AF4132" s="1">
        <v>32387</v>
      </c>
      <c r="AG4132" t="s">
        <v>125</v>
      </c>
      <c r="AH4132" t="s">
        <v>126</v>
      </c>
      <c r="AI4132" t="str">
        <f>"5001050"</f>
        <v>5001050</v>
      </c>
      <c r="AJ4132" t="s">
        <v>6917</v>
      </c>
      <c r="AK4132">
        <v>2821088012</v>
      </c>
      <c r="AL4132" t="s">
        <v>6918</v>
      </c>
      <c r="AM4132" t="s">
        <v>88</v>
      </c>
      <c r="AN4132" t="s">
        <v>88</v>
      </c>
      <c r="AO4132" t="s">
        <v>88</v>
      </c>
      <c r="AP4132" t="s">
        <v>88</v>
      </c>
      <c r="AQ4132">
        <v>1</v>
      </c>
      <c r="AR4132" t="s">
        <v>6729</v>
      </c>
      <c r="AS4132" t="s">
        <v>6730</v>
      </c>
      <c r="AT4132" t="s">
        <v>58</v>
      </c>
      <c r="AU4132" t="s">
        <v>68</v>
      </c>
      <c r="AV4132" t="s">
        <v>69</v>
      </c>
      <c r="AW4132" s="1">
        <v>23624</v>
      </c>
      <c r="AX4132">
        <v>2</v>
      </c>
    </row>
    <row r="4133" spans="1:50">
      <c r="A4133">
        <v>154910</v>
      </c>
      <c r="B4133" t="str">
        <f>"032130359"</f>
        <v>032130359</v>
      </c>
      <c r="C4133" t="s">
        <v>105</v>
      </c>
      <c r="D4133" t="s">
        <v>6207</v>
      </c>
      <c r="E4133" t="s">
        <v>166</v>
      </c>
      <c r="F4133" t="s">
        <v>92</v>
      </c>
      <c r="G4133" t="s">
        <v>2127</v>
      </c>
      <c r="H4133" t="str">
        <f>" "</f>
        <v xml:space="preserve"> </v>
      </c>
      <c r="N4133" t="s">
        <v>204</v>
      </c>
      <c r="O4133" t="s">
        <v>205</v>
      </c>
      <c r="P4133" t="s">
        <v>232</v>
      </c>
      <c r="Q4133" t="s">
        <v>233</v>
      </c>
      <c r="R4133" t="s">
        <v>57</v>
      </c>
      <c r="S4133">
        <v>17</v>
      </c>
      <c r="T4133">
        <v>161</v>
      </c>
      <c r="U4133" s="1">
        <v>32387</v>
      </c>
      <c r="V4133" t="s">
        <v>6729</v>
      </c>
      <c r="W4133" t="s">
        <v>6730</v>
      </c>
      <c r="X4133" t="s">
        <v>58</v>
      </c>
      <c r="Y4133">
        <v>18</v>
      </c>
      <c r="Z4133" t="s">
        <v>59</v>
      </c>
      <c r="AA4133" t="s">
        <v>59</v>
      </c>
      <c r="AB4133" t="s">
        <v>59</v>
      </c>
      <c r="AC4133" t="s">
        <v>59</v>
      </c>
      <c r="AD4133" t="s">
        <v>59</v>
      </c>
      <c r="AF4133" s="1">
        <v>32392</v>
      </c>
      <c r="AG4133" t="s">
        <v>148</v>
      </c>
      <c r="AH4133" t="s">
        <v>149</v>
      </c>
      <c r="AI4133" t="str">
        <f>"5051009"</f>
        <v>5051009</v>
      </c>
      <c r="AJ4133" t="s">
        <v>6851</v>
      </c>
      <c r="AK4133">
        <v>2821044551</v>
      </c>
      <c r="AL4133" t="s">
        <v>6852</v>
      </c>
      <c r="AM4133" t="s">
        <v>88</v>
      </c>
      <c r="AN4133" t="s">
        <v>88</v>
      </c>
      <c r="AO4133" t="s">
        <v>6770</v>
      </c>
      <c r="AP4133" t="s">
        <v>6771</v>
      </c>
      <c r="AQ4133">
        <v>1</v>
      </c>
      <c r="AR4133" t="s">
        <v>6729</v>
      </c>
      <c r="AS4133" t="s">
        <v>6730</v>
      </c>
      <c r="AT4133" t="s">
        <v>58</v>
      </c>
      <c r="AU4133" t="s">
        <v>68</v>
      </c>
      <c r="AV4133" t="s">
        <v>69</v>
      </c>
      <c r="AW4133" s="1">
        <v>21874</v>
      </c>
      <c r="AX4133">
        <v>2</v>
      </c>
    </row>
    <row r="4134" spans="1:50">
      <c r="A4134">
        <v>215562</v>
      </c>
      <c r="B4134" t="str">
        <f>"113194943"</f>
        <v>113194943</v>
      </c>
      <c r="C4134" t="s">
        <v>105</v>
      </c>
      <c r="D4134" t="s">
        <v>6207</v>
      </c>
      <c r="E4134" t="s">
        <v>5543</v>
      </c>
      <c r="F4134" t="s">
        <v>949</v>
      </c>
      <c r="G4134" t="s">
        <v>237</v>
      </c>
      <c r="H4134" t="str">
        <f>"ΦΟΥΜΙΔΩΝ 14 ΧΑΝΙΑ"</f>
        <v>ΦΟΥΜΙΔΩΝ 14 ΧΑΝΙΑ</v>
      </c>
      <c r="I4134">
        <v>73131</v>
      </c>
      <c r="J4134">
        <v>2821098350</v>
      </c>
      <c r="K4134">
        <v>6973356609</v>
      </c>
      <c r="M4134" t="s">
        <v>7744</v>
      </c>
      <c r="N4134" t="s">
        <v>204</v>
      </c>
      <c r="O4134" t="s">
        <v>205</v>
      </c>
      <c r="R4134" t="s">
        <v>57</v>
      </c>
      <c r="S4134">
        <v>8</v>
      </c>
      <c r="T4134">
        <v>231</v>
      </c>
      <c r="U4134" s="1">
        <v>38960</v>
      </c>
      <c r="V4134" t="s">
        <v>6729</v>
      </c>
      <c r="W4134" t="s">
        <v>6730</v>
      </c>
      <c r="X4134" t="s">
        <v>58</v>
      </c>
      <c r="Y4134">
        <v>20</v>
      </c>
      <c r="Z4134" t="s">
        <v>59</v>
      </c>
      <c r="AA4134" t="s">
        <v>59</v>
      </c>
      <c r="AB4134" t="s">
        <v>59</v>
      </c>
      <c r="AC4134" t="s">
        <v>59</v>
      </c>
      <c r="AD4134" t="s">
        <v>59</v>
      </c>
      <c r="AF4134" s="1">
        <v>38961</v>
      </c>
      <c r="AG4134" t="s">
        <v>125</v>
      </c>
      <c r="AH4134" t="s">
        <v>294</v>
      </c>
      <c r="AI4134" t="str">
        <f>"5012017"</f>
        <v>5012017</v>
      </c>
      <c r="AJ4134" t="s">
        <v>6859</v>
      </c>
      <c r="AK4134">
        <v>2821088065</v>
      </c>
      <c r="AL4134" t="s">
        <v>6860</v>
      </c>
      <c r="AM4134" t="s">
        <v>88</v>
      </c>
      <c r="AN4134" t="s">
        <v>88</v>
      </c>
      <c r="AO4134" t="s">
        <v>88</v>
      </c>
      <c r="AP4134" t="s">
        <v>88</v>
      </c>
      <c r="AQ4134">
        <v>1</v>
      </c>
      <c r="AR4134" t="s">
        <v>6729</v>
      </c>
      <c r="AS4134" t="s">
        <v>6730</v>
      </c>
      <c r="AT4134" t="s">
        <v>58</v>
      </c>
      <c r="AU4134" t="s">
        <v>68</v>
      </c>
      <c r="AV4134" t="s">
        <v>69</v>
      </c>
      <c r="AW4134" s="1">
        <v>28708</v>
      </c>
      <c r="AX4134">
        <v>2</v>
      </c>
    </row>
    <row r="4135" spans="1:50">
      <c r="A4135">
        <v>191898</v>
      </c>
      <c r="B4135" t="str">
        <f>"112385307"</f>
        <v>112385307</v>
      </c>
      <c r="C4135" t="s">
        <v>105</v>
      </c>
      <c r="D4135" t="s">
        <v>6207</v>
      </c>
      <c r="E4135" t="s">
        <v>72</v>
      </c>
      <c r="F4135" t="s">
        <v>95</v>
      </c>
      <c r="G4135" t="s">
        <v>181</v>
      </c>
      <c r="H4135" t="str">
        <f>" "</f>
        <v xml:space="preserve"> </v>
      </c>
      <c r="N4135" t="s">
        <v>331</v>
      </c>
      <c r="O4135" t="s">
        <v>332</v>
      </c>
      <c r="R4135" t="s">
        <v>57</v>
      </c>
      <c r="S4135">
        <v>8</v>
      </c>
      <c r="T4135">
        <v>291</v>
      </c>
      <c r="U4135" s="1">
        <v>37218</v>
      </c>
      <c r="V4135" t="s">
        <v>6729</v>
      </c>
      <c r="W4135" t="s">
        <v>6730</v>
      </c>
      <c r="X4135" t="s">
        <v>58</v>
      </c>
      <c r="Y4135">
        <v>20</v>
      </c>
      <c r="Z4135" t="s">
        <v>59</v>
      </c>
      <c r="AA4135" t="s">
        <v>59</v>
      </c>
      <c r="AB4135" t="s">
        <v>59</v>
      </c>
      <c r="AC4135" t="s">
        <v>59</v>
      </c>
      <c r="AD4135" t="s">
        <v>59</v>
      </c>
      <c r="AF4135" s="1">
        <v>37218</v>
      </c>
      <c r="AG4135" t="s">
        <v>137</v>
      </c>
      <c r="AH4135" t="s">
        <v>469</v>
      </c>
      <c r="AI4135" t="str">
        <f>"5040055"</f>
        <v>5040055</v>
      </c>
      <c r="AJ4135" t="s">
        <v>6940</v>
      </c>
      <c r="AK4135">
        <v>2821036404</v>
      </c>
      <c r="AL4135" t="s">
        <v>6941</v>
      </c>
      <c r="AM4135" t="s">
        <v>88</v>
      </c>
      <c r="AN4135" t="s">
        <v>88</v>
      </c>
      <c r="AO4135" t="s">
        <v>88</v>
      </c>
      <c r="AP4135" t="s">
        <v>88</v>
      </c>
      <c r="AQ4135">
        <v>1</v>
      </c>
      <c r="AR4135" t="s">
        <v>6729</v>
      </c>
      <c r="AS4135" t="s">
        <v>6730</v>
      </c>
      <c r="AT4135" t="s">
        <v>58</v>
      </c>
      <c r="AU4135" t="s">
        <v>68</v>
      </c>
      <c r="AV4135" t="s">
        <v>69</v>
      </c>
      <c r="AW4135" s="1">
        <v>27036</v>
      </c>
      <c r="AX4135">
        <v>2</v>
      </c>
    </row>
    <row r="4136" spans="1:50">
      <c r="A4136">
        <v>586597</v>
      </c>
      <c r="B4136" t="str">
        <f>"057322602"</f>
        <v>057322602</v>
      </c>
      <c r="C4136" t="s">
        <v>50</v>
      </c>
      <c r="D4136" t="s">
        <v>7745</v>
      </c>
      <c r="E4136" t="s">
        <v>7746</v>
      </c>
      <c r="F4136" t="s">
        <v>72</v>
      </c>
      <c r="G4136" t="s">
        <v>7662</v>
      </c>
      <c r="H4136" t="str">
        <f>"ΜΠΟΝΙΑΛΗ 5 ΧΑΝΙΑ"</f>
        <v>ΜΠΟΝΙΑΛΗ 5 ΧΑΝΙΑ</v>
      </c>
      <c r="I4136">
        <v>73134</v>
      </c>
      <c r="J4136">
        <v>2821027038</v>
      </c>
      <c r="K4136">
        <v>6974096348</v>
      </c>
      <c r="M4136" t="s">
        <v>7747</v>
      </c>
      <c r="N4136" t="s">
        <v>146</v>
      </c>
      <c r="O4136" t="s">
        <v>147</v>
      </c>
      <c r="R4136" t="s">
        <v>57</v>
      </c>
      <c r="S4136">
        <v>14</v>
      </c>
      <c r="T4136">
        <v>165</v>
      </c>
      <c r="U4136" s="1">
        <v>36040</v>
      </c>
      <c r="V4136" t="s">
        <v>6729</v>
      </c>
      <c r="W4136" t="s">
        <v>6730</v>
      </c>
      <c r="X4136" t="s">
        <v>58</v>
      </c>
      <c r="Y4136">
        <v>18</v>
      </c>
      <c r="Z4136" t="s">
        <v>59</v>
      </c>
      <c r="AA4136" t="s">
        <v>59</v>
      </c>
      <c r="AB4136" t="s">
        <v>59</v>
      </c>
      <c r="AC4136" t="s">
        <v>59</v>
      </c>
      <c r="AD4136" t="s">
        <v>59</v>
      </c>
      <c r="AF4136" s="1">
        <v>36040</v>
      </c>
      <c r="AG4136" t="s">
        <v>125</v>
      </c>
      <c r="AH4136" t="s">
        <v>126</v>
      </c>
      <c r="AI4136" t="str">
        <f>"5001072"</f>
        <v>5001072</v>
      </c>
      <c r="AJ4136" t="s">
        <v>6922</v>
      </c>
      <c r="AK4136">
        <v>2821055471</v>
      </c>
      <c r="AL4136" t="s">
        <v>6923</v>
      </c>
      <c r="AM4136" t="s">
        <v>88</v>
      </c>
      <c r="AN4136" t="s">
        <v>88</v>
      </c>
      <c r="AO4136" t="s">
        <v>88</v>
      </c>
      <c r="AP4136" t="s">
        <v>88</v>
      </c>
      <c r="AQ4136">
        <v>1</v>
      </c>
      <c r="AR4136" t="s">
        <v>6729</v>
      </c>
      <c r="AS4136" t="s">
        <v>6730</v>
      </c>
      <c r="AT4136" t="s">
        <v>58</v>
      </c>
      <c r="AU4136" t="s">
        <v>68</v>
      </c>
      <c r="AV4136" t="s">
        <v>357</v>
      </c>
      <c r="AW4136" s="1">
        <v>24962</v>
      </c>
      <c r="AX4136">
        <v>2</v>
      </c>
    </row>
    <row r="4137" spans="1:50">
      <c r="A4137">
        <v>150451</v>
      </c>
      <c r="B4137" t="str">
        <f>"065639470"</f>
        <v>065639470</v>
      </c>
      <c r="C4137" t="s">
        <v>50</v>
      </c>
      <c r="D4137" t="s">
        <v>7748</v>
      </c>
      <c r="E4137" t="s">
        <v>143</v>
      </c>
      <c r="F4137" t="s">
        <v>383</v>
      </c>
      <c r="G4137" t="s">
        <v>367</v>
      </c>
      <c r="H4137" t="str">
        <f>"ΑΡΓΟΥΛΙΔΕΣ ΧΑΝΙΑ"</f>
        <v>ΑΡΓΟΥΛΙΔΕΣ ΧΑΝΙΑ</v>
      </c>
      <c r="I4137">
        <v>73100</v>
      </c>
      <c r="K4137">
        <v>6976634215</v>
      </c>
      <c r="N4137" t="s">
        <v>146</v>
      </c>
      <c r="O4137" t="s">
        <v>147</v>
      </c>
      <c r="R4137" t="s">
        <v>57</v>
      </c>
      <c r="S4137">
        <v>16</v>
      </c>
      <c r="T4137">
        <v>170</v>
      </c>
      <c r="U4137" s="1">
        <v>32016</v>
      </c>
      <c r="V4137" t="s">
        <v>6729</v>
      </c>
      <c r="W4137" t="s">
        <v>6730</v>
      </c>
      <c r="X4137" t="s">
        <v>58</v>
      </c>
      <c r="Y4137">
        <v>18</v>
      </c>
      <c r="Z4137" t="s">
        <v>59</v>
      </c>
      <c r="AA4137" t="s">
        <v>59</v>
      </c>
      <c r="AB4137" t="s">
        <v>59</v>
      </c>
      <c r="AC4137" t="s">
        <v>59</v>
      </c>
      <c r="AD4137" t="s">
        <v>59</v>
      </c>
      <c r="AF4137" s="1">
        <v>32027</v>
      </c>
      <c r="AG4137" t="s">
        <v>148</v>
      </c>
      <c r="AH4137" t="s">
        <v>149</v>
      </c>
      <c r="AI4137" t="str">
        <f>"5051040"</f>
        <v>5051040</v>
      </c>
      <c r="AJ4137" t="s">
        <v>6811</v>
      </c>
      <c r="AK4137">
        <v>2821088007</v>
      </c>
      <c r="AL4137" t="s">
        <v>6812</v>
      </c>
      <c r="AM4137" t="s">
        <v>88</v>
      </c>
      <c r="AN4137" t="s">
        <v>88</v>
      </c>
      <c r="AO4137" t="s">
        <v>88</v>
      </c>
      <c r="AP4137" t="s">
        <v>88</v>
      </c>
      <c r="AQ4137">
        <v>1</v>
      </c>
      <c r="AR4137" t="s">
        <v>6729</v>
      </c>
      <c r="AS4137" t="s">
        <v>6730</v>
      </c>
      <c r="AT4137" t="s">
        <v>58</v>
      </c>
      <c r="AU4137" t="s">
        <v>68</v>
      </c>
      <c r="AV4137" t="s">
        <v>69</v>
      </c>
      <c r="AW4137" s="1">
        <v>22138</v>
      </c>
      <c r="AX4137">
        <v>2</v>
      </c>
    </row>
    <row r="4138" spans="1:50">
      <c r="A4138">
        <v>225765</v>
      </c>
      <c r="B4138" t="str">
        <f>"061272191"</f>
        <v>061272191</v>
      </c>
      <c r="C4138" t="s">
        <v>50</v>
      </c>
      <c r="D4138" t="s">
        <v>2551</v>
      </c>
      <c r="E4138" t="s">
        <v>73</v>
      </c>
      <c r="F4138" t="s">
        <v>7749</v>
      </c>
      <c r="G4138" t="s">
        <v>1927</v>
      </c>
      <c r="H4138" t="str">
        <f>"ΗΠΕΙΡΟΥ 11 ΧΑΝΙΑ"</f>
        <v>ΗΠΕΙΡΟΥ 11 ΧΑΝΙΑ</v>
      </c>
      <c r="I4138">
        <v>73132</v>
      </c>
      <c r="J4138">
        <v>2821046227</v>
      </c>
      <c r="K4138">
        <v>6976471002</v>
      </c>
      <c r="M4138" t="s">
        <v>7750</v>
      </c>
      <c r="N4138" t="s">
        <v>199</v>
      </c>
      <c r="O4138" t="s">
        <v>200</v>
      </c>
      <c r="R4138" t="s">
        <v>57</v>
      </c>
      <c r="S4138">
        <v>5</v>
      </c>
      <c r="T4138">
        <v>862</v>
      </c>
      <c r="U4138" s="1">
        <v>39706</v>
      </c>
      <c r="V4138" t="s">
        <v>6729</v>
      </c>
      <c r="W4138" t="s">
        <v>6730</v>
      </c>
      <c r="X4138" t="s">
        <v>58</v>
      </c>
      <c r="Y4138">
        <v>21</v>
      </c>
      <c r="Z4138" t="s">
        <v>59</v>
      </c>
      <c r="AA4138" t="s">
        <v>59</v>
      </c>
      <c r="AB4138" t="s">
        <v>59</v>
      </c>
      <c r="AC4138" t="s">
        <v>59</v>
      </c>
      <c r="AD4138" t="s">
        <v>59</v>
      </c>
      <c r="AF4138" s="1">
        <v>39709</v>
      </c>
      <c r="AG4138" t="s">
        <v>148</v>
      </c>
      <c r="AH4138" t="s">
        <v>149</v>
      </c>
      <c r="AI4138" t="str">
        <f>"5052010"</f>
        <v>5052010</v>
      </c>
      <c r="AJ4138" t="s">
        <v>6834</v>
      </c>
      <c r="AK4138">
        <v>2825022200</v>
      </c>
      <c r="AL4138" t="s">
        <v>6835</v>
      </c>
      <c r="AM4138" t="s">
        <v>88</v>
      </c>
      <c r="AN4138" t="s">
        <v>6775</v>
      </c>
      <c r="AO4138" t="s">
        <v>6776</v>
      </c>
      <c r="AP4138" t="s">
        <v>6776</v>
      </c>
      <c r="AQ4138">
        <v>1</v>
      </c>
      <c r="AR4138" t="s">
        <v>6729</v>
      </c>
      <c r="AS4138" t="s">
        <v>6730</v>
      </c>
      <c r="AT4138" t="s">
        <v>58</v>
      </c>
      <c r="AU4138" t="s">
        <v>68</v>
      </c>
      <c r="AV4138" t="s">
        <v>69</v>
      </c>
      <c r="AW4138" s="1">
        <v>26318</v>
      </c>
      <c r="AX4138">
        <v>2</v>
      </c>
    </row>
    <row r="4139" spans="1:50">
      <c r="A4139">
        <v>227303</v>
      </c>
      <c r="B4139" t="str">
        <f>"038113718"</f>
        <v>038113718</v>
      </c>
      <c r="C4139" t="s">
        <v>50</v>
      </c>
      <c r="D4139" t="s">
        <v>2551</v>
      </c>
      <c r="E4139" t="s">
        <v>250</v>
      </c>
      <c r="F4139" t="s">
        <v>95</v>
      </c>
      <c r="G4139" t="s">
        <v>237</v>
      </c>
      <c r="H4139" t="str">
        <f>"ΠΕΝΤΕ ΔΡΟΜΟΙ - ΠΕΡΙΒΟΛΙΑ ΘΕΡΙΣΣΟΥ ΧΑΝΙΑ"</f>
        <v>ΠΕΝΤΕ ΔΡΟΜΟΙ - ΠΕΡΙΒΟΛΙΑ ΘΕΡΙΣΣΟΥ ΧΑΝΙΑ</v>
      </c>
      <c r="I4139">
        <v>73100</v>
      </c>
      <c r="J4139">
        <v>2821088537</v>
      </c>
      <c r="K4139">
        <v>6973404992</v>
      </c>
      <c r="M4139" t="s">
        <v>7751</v>
      </c>
      <c r="N4139" t="s">
        <v>232</v>
      </c>
      <c r="O4139" t="s">
        <v>233</v>
      </c>
      <c r="R4139" t="s">
        <v>57</v>
      </c>
      <c r="S4139">
        <v>11</v>
      </c>
      <c r="T4139">
        <v>654</v>
      </c>
      <c r="U4139" s="1">
        <v>40043</v>
      </c>
      <c r="V4139" t="s">
        <v>6729</v>
      </c>
      <c r="W4139" t="s">
        <v>6730</v>
      </c>
      <c r="X4139" t="s">
        <v>58</v>
      </c>
      <c r="Y4139">
        <v>21</v>
      </c>
      <c r="Z4139" t="s">
        <v>59</v>
      </c>
      <c r="AA4139" t="s">
        <v>59</v>
      </c>
      <c r="AB4139" t="s">
        <v>59</v>
      </c>
      <c r="AC4139" t="s">
        <v>59</v>
      </c>
      <c r="AD4139" t="s">
        <v>59</v>
      </c>
      <c r="AF4139" s="1">
        <v>40043</v>
      </c>
      <c r="AG4139" t="s">
        <v>125</v>
      </c>
      <c r="AH4139" t="s">
        <v>126</v>
      </c>
      <c r="AI4139" t="str">
        <f>"5009010"</f>
        <v>5009010</v>
      </c>
      <c r="AJ4139" t="s">
        <v>6901</v>
      </c>
      <c r="AK4139">
        <v>2821077212</v>
      </c>
      <c r="AL4139" t="s">
        <v>6902</v>
      </c>
      <c r="AM4139" t="s">
        <v>88</v>
      </c>
      <c r="AN4139" t="s">
        <v>6764</v>
      </c>
      <c r="AO4139" t="s">
        <v>6885</v>
      </c>
      <c r="AP4139" t="s">
        <v>6886</v>
      </c>
      <c r="AQ4139">
        <v>1</v>
      </c>
      <c r="AR4139" t="s">
        <v>6729</v>
      </c>
      <c r="AS4139" t="s">
        <v>6730</v>
      </c>
      <c r="AT4139" t="s">
        <v>58</v>
      </c>
      <c r="AU4139" t="s">
        <v>68</v>
      </c>
      <c r="AV4139" t="s">
        <v>69</v>
      </c>
      <c r="AW4139" s="1">
        <v>23112</v>
      </c>
      <c r="AX4139">
        <v>2</v>
      </c>
    </row>
    <row r="4140" spans="1:50">
      <c r="A4140">
        <v>180644</v>
      </c>
      <c r="B4140" t="str">
        <f>"065638621"</f>
        <v>065638621</v>
      </c>
      <c r="C4140" t="s">
        <v>50</v>
      </c>
      <c r="D4140" t="s">
        <v>2551</v>
      </c>
      <c r="E4140" t="s">
        <v>52</v>
      </c>
      <c r="F4140" t="s">
        <v>2933</v>
      </c>
      <c r="G4140" t="s">
        <v>7752</v>
      </c>
      <c r="H4140" t="str">
        <f>" "</f>
        <v xml:space="preserve"> </v>
      </c>
      <c r="J4140">
        <v>2821044336</v>
      </c>
      <c r="K4140">
        <v>6976977101</v>
      </c>
      <c r="M4140" t="s">
        <v>7753</v>
      </c>
      <c r="N4140" t="s">
        <v>246</v>
      </c>
      <c r="O4140" t="s">
        <v>247</v>
      </c>
      <c r="R4140" t="s">
        <v>57</v>
      </c>
      <c r="S4140">
        <v>9</v>
      </c>
      <c r="T4140">
        <v>181</v>
      </c>
      <c r="U4140" s="1">
        <v>36039</v>
      </c>
      <c r="V4140" t="s">
        <v>6729</v>
      </c>
      <c r="W4140" t="s">
        <v>6730</v>
      </c>
      <c r="X4140" t="s">
        <v>58</v>
      </c>
      <c r="Y4140">
        <v>18</v>
      </c>
      <c r="Z4140" t="s">
        <v>59</v>
      </c>
      <c r="AA4140" t="s">
        <v>59</v>
      </c>
      <c r="AB4140" t="s">
        <v>59</v>
      </c>
      <c r="AC4140" t="s">
        <v>59</v>
      </c>
      <c r="AD4140" t="s">
        <v>59</v>
      </c>
      <c r="AF4140" s="1">
        <v>36046</v>
      </c>
      <c r="AG4140" t="s">
        <v>148</v>
      </c>
      <c r="AH4140" t="s">
        <v>149</v>
      </c>
      <c r="AI4140" t="str">
        <f>"5051010"</f>
        <v>5051010</v>
      </c>
      <c r="AJ4140" t="s">
        <v>6896</v>
      </c>
      <c r="AK4140">
        <v>2821028714</v>
      </c>
      <c r="AL4140" t="s">
        <v>6897</v>
      </c>
      <c r="AM4140" t="s">
        <v>88</v>
      </c>
      <c r="AN4140" t="s">
        <v>88</v>
      </c>
      <c r="AO4140" t="s">
        <v>88</v>
      </c>
      <c r="AP4140" t="s">
        <v>88</v>
      </c>
      <c r="AQ4140">
        <v>1</v>
      </c>
      <c r="AR4140" t="s">
        <v>6729</v>
      </c>
      <c r="AS4140" t="s">
        <v>6730</v>
      </c>
      <c r="AT4140" t="s">
        <v>58</v>
      </c>
      <c r="AU4140" t="s">
        <v>68</v>
      </c>
      <c r="AV4140" t="s">
        <v>69</v>
      </c>
      <c r="AW4140" s="1">
        <v>20433</v>
      </c>
      <c r="AX4140">
        <v>2</v>
      </c>
    </row>
    <row r="4141" spans="1:50">
      <c r="A4141">
        <v>206695</v>
      </c>
      <c r="B4141" t="str">
        <f>"045853711"</f>
        <v>045853711</v>
      </c>
      <c r="C4141" t="s">
        <v>50</v>
      </c>
      <c r="D4141" t="s">
        <v>2551</v>
      </c>
      <c r="E4141" t="s">
        <v>181</v>
      </c>
      <c r="F4141" t="s">
        <v>72</v>
      </c>
      <c r="G4141" t="s">
        <v>950</v>
      </c>
      <c r="H4141" t="str">
        <f>" "</f>
        <v xml:space="preserve"> </v>
      </c>
      <c r="J4141">
        <v>2821076065</v>
      </c>
      <c r="K4141">
        <v>6937784742</v>
      </c>
      <c r="M4141" t="s">
        <v>7754</v>
      </c>
      <c r="N4141" t="s">
        <v>146</v>
      </c>
      <c r="O4141" t="s">
        <v>147</v>
      </c>
      <c r="R4141" t="s">
        <v>57</v>
      </c>
      <c r="S4141">
        <v>7</v>
      </c>
      <c r="T4141">
        <v>218</v>
      </c>
      <c r="U4141" s="1">
        <v>38596</v>
      </c>
      <c r="V4141" t="s">
        <v>6729</v>
      </c>
      <c r="W4141" t="s">
        <v>6730</v>
      </c>
      <c r="X4141" t="s">
        <v>58</v>
      </c>
      <c r="Y4141">
        <v>20</v>
      </c>
      <c r="Z4141" t="s">
        <v>59</v>
      </c>
      <c r="AA4141" t="s">
        <v>59</v>
      </c>
      <c r="AB4141" t="s">
        <v>59</v>
      </c>
      <c r="AC4141" t="s">
        <v>59</v>
      </c>
      <c r="AD4141" t="s">
        <v>59</v>
      </c>
      <c r="AF4141" s="1">
        <v>38602</v>
      </c>
      <c r="AG4141" t="s">
        <v>125</v>
      </c>
      <c r="AH4141" t="s">
        <v>126</v>
      </c>
      <c r="AI4141" t="str">
        <f>"5001076"</f>
        <v>5001076</v>
      </c>
      <c r="AJ4141" t="s">
        <v>6979</v>
      </c>
      <c r="AK4141">
        <v>2821088808</v>
      </c>
      <c r="AL4141" t="s">
        <v>6980</v>
      </c>
      <c r="AM4141" t="s">
        <v>88</v>
      </c>
      <c r="AN4141" t="s">
        <v>88</v>
      </c>
      <c r="AO4141" t="s">
        <v>6733</v>
      </c>
      <c r="AP4141" t="s">
        <v>6755</v>
      </c>
      <c r="AQ4141">
        <v>1</v>
      </c>
      <c r="AR4141" t="s">
        <v>6729</v>
      </c>
      <c r="AS4141" t="s">
        <v>6730</v>
      </c>
      <c r="AT4141" t="s">
        <v>58</v>
      </c>
      <c r="AU4141" t="s">
        <v>68</v>
      </c>
      <c r="AV4141" t="s">
        <v>69</v>
      </c>
      <c r="AW4141" s="1">
        <v>25060</v>
      </c>
      <c r="AX4141">
        <v>2</v>
      </c>
    </row>
    <row r="4142" spans="1:50">
      <c r="B4142" t="str">
        <f>"125287444"</f>
        <v>125287444</v>
      </c>
      <c r="C4142" t="s">
        <v>50</v>
      </c>
      <c r="D4142" t="s">
        <v>2560</v>
      </c>
      <c r="E4142" t="s">
        <v>7755</v>
      </c>
      <c r="F4142" t="s">
        <v>989</v>
      </c>
      <c r="G4142" t="s">
        <v>507</v>
      </c>
      <c r="H4142" t="str">
        <f>" "</f>
        <v xml:space="preserve"> </v>
      </c>
      <c r="N4142" t="s">
        <v>2241</v>
      </c>
      <c r="O4142" t="s">
        <v>2242</v>
      </c>
      <c r="R4142" t="s">
        <v>121</v>
      </c>
      <c r="S4142">
        <v>1</v>
      </c>
      <c r="T4142" t="s">
        <v>344</v>
      </c>
      <c r="U4142" s="1">
        <v>43348</v>
      </c>
      <c r="V4142" t="s">
        <v>6729</v>
      </c>
      <c r="W4142" t="s">
        <v>6730</v>
      </c>
      <c r="X4142" t="s">
        <v>58</v>
      </c>
      <c r="Y4142">
        <v>23</v>
      </c>
      <c r="Z4142" t="s">
        <v>59</v>
      </c>
      <c r="AD4142" t="s">
        <v>59</v>
      </c>
      <c r="AF4142" s="1">
        <v>43348</v>
      </c>
      <c r="AG4142" t="s">
        <v>125</v>
      </c>
      <c r="AH4142" t="s">
        <v>126</v>
      </c>
      <c r="AI4142" t="str">
        <f>"5001010"</f>
        <v>5001010</v>
      </c>
      <c r="AJ4142" t="s">
        <v>6873</v>
      </c>
      <c r="AK4142">
        <v>2821052130</v>
      </c>
      <c r="AL4142" t="s">
        <v>6874</v>
      </c>
      <c r="AM4142" t="s">
        <v>88</v>
      </c>
      <c r="AN4142" t="s">
        <v>88</v>
      </c>
      <c r="AO4142" t="s">
        <v>88</v>
      </c>
      <c r="AP4142" t="s">
        <v>88</v>
      </c>
      <c r="AQ4142">
        <v>1</v>
      </c>
      <c r="AR4142" t="s">
        <v>6729</v>
      </c>
      <c r="AS4142" t="s">
        <v>6730</v>
      </c>
      <c r="AT4142" t="s">
        <v>58</v>
      </c>
      <c r="AU4142" t="s">
        <v>350</v>
      </c>
      <c r="AV4142" t="s">
        <v>132</v>
      </c>
      <c r="AW4142" s="1">
        <v>33526</v>
      </c>
      <c r="AX4142">
        <v>2</v>
      </c>
    </row>
    <row r="4143" spans="1:50">
      <c r="A4143">
        <v>156079</v>
      </c>
      <c r="B4143" t="str">
        <f>"030556326"</f>
        <v>030556326</v>
      </c>
      <c r="C4143" t="s">
        <v>50</v>
      </c>
      <c r="D4143" t="s">
        <v>7756</v>
      </c>
      <c r="E4143" t="s">
        <v>255</v>
      </c>
      <c r="F4143" t="s">
        <v>72</v>
      </c>
      <c r="G4143" t="s">
        <v>167</v>
      </c>
      <c r="H4143" t="str">
        <f>" "</f>
        <v xml:space="preserve"> </v>
      </c>
      <c r="N4143" t="s">
        <v>146</v>
      </c>
      <c r="O4143" t="s">
        <v>147</v>
      </c>
      <c r="R4143" t="s">
        <v>57</v>
      </c>
      <c r="S4143">
        <v>15</v>
      </c>
      <c r="T4143">
        <v>188</v>
      </c>
      <c r="U4143" s="1">
        <v>32752</v>
      </c>
      <c r="V4143" t="s">
        <v>6729</v>
      </c>
      <c r="W4143" t="s">
        <v>6730</v>
      </c>
      <c r="X4143" t="s">
        <v>58</v>
      </c>
      <c r="Y4143">
        <v>18</v>
      </c>
      <c r="Z4143" t="s">
        <v>59</v>
      </c>
      <c r="AA4143" t="s">
        <v>59</v>
      </c>
      <c r="AB4143" t="s">
        <v>59</v>
      </c>
      <c r="AC4143" t="s">
        <v>59</v>
      </c>
      <c r="AD4143" t="s">
        <v>59</v>
      </c>
      <c r="AF4143" s="1">
        <v>32756</v>
      </c>
      <c r="AG4143" t="s">
        <v>125</v>
      </c>
      <c r="AH4143" t="s">
        <v>126</v>
      </c>
      <c r="AI4143" t="str">
        <f>"5001072"</f>
        <v>5001072</v>
      </c>
      <c r="AJ4143" t="s">
        <v>6922</v>
      </c>
      <c r="AK4143">
        <v>2821055471</v>
      </c>
      <c r="AL4143" t="s">
        <v>6923</v>
      </c>
      <c r="AM4143" t="s">
        <v>88</v>
      </c>
      <c r="AN4143" t="s">
        <v>88</v>
      </c>
      <c r="AO4143" t="s">
        <v>88</v>
      </c>
      <c r="AP4143" t="s">
        <v>88</v>
      </c>
      <c r="AQ4143">
        <v>1</v>
      </c>
      <c r="AR4143" t="s">
        <v>6729</v>
      </c>
      <c r="AS4143" t="s">
        <v>6730</v>
      </c>
      <c r="AT4143" t="s">
        <v>58</v>
      </c>
      <c r="AU4143" t="s">
        <v>68</v>
      </c>
      <c r="AV4143" t="s">
        <v>69</v>
      </c>
      <c r="AW4143" s="1">
        <v>22942</v>
      </c>
      <c r="AX4143">
        <v>2</v>
      </c>
    </row>
    <row r="4144" spans="1:50">
      <c r="A4144">
        <v>218044</v>
      </c>
      <c r="B4144" t="str">
        <f>"056198188"</f>
        <v>056198188</v>
      </c>
      <c r="C4144" t="s">
        <v>105</v>
      </c>
      <c r="D4144" t="s">
        <v>7757</v>
      </c>
      <c r="E4144" t="s">
        <v>474</v>
      </c>
      <c r="F4144" t="s">
        <v>5249</v>
      </c>
      <c r="G4144" t="s">
        <v>83</v>
      </c>
      <c r="H4144" t="str">
        <f>"8ης Δεκεμβριου 35 ΧΑΝΙΑ"</f>
        <v>8ης Δεκεμβριου 35 ΧΑΝΙΑ</v>
      </c>
      <c r="I4144">
        <v>73132</v>
      </c>
      <c r="J4144">
        <v>2821028647</v>
      </c>
      <c r="K4144">
        <v>6942630551</v>
      </c>
      <c r="M4144" t="s">
        <v>7758</v>
      </c>
      <c r="N4144" t="s">
        <v>292</v>
      </c>
      <c r="O4144" t="s">
        <v>293</v>
      </c>
      <c r="R4144" t="s">
        <v>57</v>
      </c>
      <c r="S4144">
        <v>6</v>
      </c>
      <c r="T4144">
        <v>599</v>
      </c>
      <c r="U4144" s="1">
        <v>39310</v>
      </c>
      <c r="V4144" t="s">
        <v>6729</v>
      </c>
      <c r="W4144" t="s">
        <v>6730</v>
      </c>
      <c r="X4144" t="s">
        <v>58</v>
      </c>
      <c r="Y4144">
        <v>20</v>
      </c>
      <c r="Z4144" t="s">
        <v>59</v>
      </c>
      <c r="AA4144" t="s">
        <v>59</v>
      </c>
      <c r="AB4144" t="s">
        <v>59</v>
      </c>
      <c r="AC4144" t="s">
        <v>59</v>
      </c>
      <c r="AD4144" t="s">
        <v>59</v>
      </c>
      <c r="AF4144" s="1">
        <v>39328</v>
      </c>
      <c r="AG4144" t="s">
        <v>125</v>
      </c>
      <c r="AH4144" t="s">
        <v>126</v>
      </c>
      <c r="AI4144" t="str">
        <f>"5001050"</f>
        <v>5001050</v>
      </c>
      <c r="AJ4144" t="s">
        <v>6917</v>
      </c>
      <c r="AK4144">
        <v>2821088012</v>
      </c>
      <c r="AL4144" t="s">
        <v>6918</v>
      </c>
      <c r="AM4144" t="s">
        <v>88</v>
      </c>
      <c r="AN4144" t="s">
        <v>88</v>
      </c>
      <c r="AO4144" t="s">
        <v>88</v>
      </c>
      <c r="AP4144" t="s">
        <v>88</v>
      </c>
      <c r="AQ4144">
        <v>1</v>
      </c>
      <c r="AR4144" t="s">
        <v>6729</v>
      </c>
      <c r="AS4144" t="s">
        <v>6730</v>
      </c>
      <c r="AT4144" t="s">
        <v>58</v>
      </c>
      <c r="AU4144" t="s">
        <v>68</v>
      </c>
      <c r="AV4144" t="s">
        <v>1092</v>
      </c>
      <c r="AW4144" s="1">
        <v>24775</v>
      </c>
      <c r="AX4144">
        <v>2</v>
      </c>
    </row>
    <row r="4145" spans="1:50">
      <c r="A4145">
        <v>152894</v>
      </c>
      <c r="B4145" t="str">
        <f>"030556338"</f>
        <v>030556338</v>
      </c>
      <c r="C4145" t="s">
        <v>50</v>
      </c>
      <c r="D4145" t="s">
        <v>7759</v>
      </c>
      <c r="E4145" t="s">
        <v>250</v>
      </c>
      <c r="F4145" t="s">
        <v>154</v>
      </c>
      <c r="G4145" t="s">
        <v>83</v>
      </c>
      <c r="H4145" t="str">
        <f>"Πειραιώς 21 "</f>
        <v xml:space="preserve">Πειραιώς 21 </v>
      </c>
      <c r="I4145">
        <v>100</v>
      </c>
      <c r="J4145">
        <v>2821096939</v>
      </c>
      <c r="K4145">
        <v>6984198641</v>
      </c>
      <c r="M4145" t="s">
        <v>7760</v>
      </c>
      <c r="N4145" t="s">
        <v>146</v>
      </c>
      <c r="O4145" t="s">
        <v>147</v>
      </c>
      <c r="R4145" t="s">
        <v>57</v>
      </c>
      <c r="S4145">
        <v>16</v>
      </c>
      <c r="T4145">
        <v>166</v>
      </c>
      <c r="U4145" s="1">
        <v>32010</v>
      </c>
      <c r="V4145" t="s">
        <v>6729</v>
      </c>
      <c r="W4145" t="s">
        <v>6730</v>
      </c>
      <c r="X4145" t="s">
        <v>58</v>
      </c>
      <c r="Y4145">
        <v>18</v>
      </c>
      <c r="Z4145" t="s">
        <v>59</v>
      </c>
      <c r="AA4145" t="s">
        <v>59</v>
      </c>
      <c r="AB4145" t="s">
        <v>59</v>
      </c>
      <c r="AC4145" t="s">
        <v>59</v>
      </c>
      <c r="AD4145" t="s">
        <v>59</v>
      </c>
      <c r="AF4145" s="1">
        <v>32021</v>
      </c>
      <c r="AG4145" t="s">
        <v>125</v>
      </c>
      <c r="AH4145" t="s">
        <v>126</v>
      </c>
      <c r="AI4145" t="str">
        <f>"5001073"</f>
        <v>5001073</v>
      </c>
      <c r="AJ4145" t="s">
        <v>6849</v>
      </c>
      <c r="AK4145">
        <v>2821028553</v>
      </c>
      <c r="AL4145" t="s">
        <v>6850</v>
      </c>
      <c r="AM4145" t="s">
        <v>88</v>
      </c>
      <c r="AN4145" t="s">
        <v>88</v>
      </c>
      <c r="AO4145" t="s">
        <v>88</v>
      </c>
      <c r="AP4145" t="s">
        <v>88</v>
      </c>
      <c r="AQ4145">
        <v>1</v>
      </c>
      <c r="AR4145" t="s">
        <v>6729</v>
      </c>
      <c r="AS4145" t="s">
        <v>6730</v>
      </c>
      <c r="AT4145" t="s">
        <v>58</v>
      </c>
      <c r="AU4145" t="s">
        <v>68</v>
      </c>
      <c r="AV4145" t="s">
        <v>69</v>
      </c>
      <c r="AW4145" s="1">
        <v>22797</v>
      </c>
      <c r="AX4145">
        <v>2</v>
      </c>
    </row>
    <row r="4146" spans="1:50">
      <c r="A4146">
        <v>223033</v>
      </c>
      <c r="B4146" t="str">
        <f>"042907515"</f>
        <v>042907515</v>
      </c>
      <c r="C4146" t="s">
        <v>50</v>
      </c>
      <c r="D4146" t="s">
        <v>7759</v>
      </c>
      <c r="E4146" t="s">
        <v>83</v>
      </c>
      <c r="F4146" t="s">
        <v>53</v>
      </c>
      <c r="G4146" t="s">
        <v>263</v>
      </c>
      <c r="H4146" t="str">
        <f>"2η ΠΑΡΟΔΟΣ ΑΓ. ΕΛΕΥΘΕΡΙΟΥ "</f>
        <v xml:space="preserve">2η ΠΑΡΟΔΟΣ ΑΓ. ΕΛΕΥΘΕΡΙΟΥ </v>
      </c>
      <c r="I4146">
        <v>73300</v>
      </c>
      <c r="J4146">
        <v>2821092432</v>
      </c>
      <c r="K4146">
        <v>6972058470</v>
      </c>
      <c r="M4146" t="s">
        <v>7761</v>
      </c>
      <c r="N4146" t="s">
        <v>292</v>
      </c>
      <c r="O4146" t="s">
        <v>293</v>
      </c>
      <c r="R4146" t="s">
        <v>57</v>
      </c>
      <c r="S4146">
        <v>5</v>
      </c>
      <c r="T4146">
        <v>775</v>
      </c>
      <c r="U4146" s="1">
        <v>39680</v>
      </c>
      <c r="V4146" t="s">
        <v>6729</v>
      </c>
      <c r="W4146" t="s">
        <v>6730</v>
      </c>
      <c r="X4146" t="s">
        <v>58</v>
      </c>
      <c r="Y4146">
        <v>21</v>
      </c>
      <c r="Z4146" t="s">
        <v>59</v>
      </c>
      <c r="AA4146" t="s">
        <v>59</v>
      </c>
      <c r="AB4146" t="s">
        <v>59</v>
      </c>
      <c r="AC4146" t="s">
        <v>59</v>
      </c>
      <c r="AD4146" t="s">
        <v>59</v>
      </c>
      <c r="AF4146" s="1">
        <v>39681</v>
      </c>
      <c r="AG4146" t="s">
        <v>125</v>
      </c>
      <c r="AH4146" t="s">
        <v>126</v>
      </c>
      <c r="AI4146" t="str">
        <f>"5002010"</f>
        <v>5002010</v>
      </c>
      <c r="AJ4146" t="s">
        <v>6773</v>
      </c>
      <c r="AK4146">
        <v>2825022249</v>
      </c>
      <c r="AL4146" t="s">
        <v>6774</v>
      </c>
      <c r="AM4146" t="s">
        <v>88</v>
      </c>
      <c r="AN4146" t="s">
        <v>6775</v>
      </c>
      <c r="AO4146" t="s">
        <v>6776</v>
      </c>
      <c r="AP4146" t="s">
        <v>6776</v>
      </c>
      <c r="AQ4146">
        <v>1</v>
      </c>
      <c r="AR4146" t="s">
        <v>6729</v>
      </c>
      <c r="AS4146" t="s">
        <v>6730</v>
      </c>
      <c r="AT4146" t="s">
        <v>58</v>
      </c>
      <c r="AU4146" t="s">
        <v>68</v>
      </c>
      <c r="AV4146" t="s">
        <v>69</v>
      </c>
      <c r="AW4146" s="1">
        <v>23806</v>
      </c>
      <c r="AX4146">
        <v>2</v>
      </c>
    </row>
    <row r="4147" spans="1:50">
      <c r="A4147">
        <v>205359</v>
      </c>
      <c r="B4147" t="str">
        <f>"063953385"</f>
        <v>063953385</v>
      </c>
      <c r="C4147" t="s">
        <v>105</v>
      </c>
      <c r="D4147" t="s">
        <v>2587</v>
      </c>
      <c r="E4147" t="s">
        <v>166</v>
      </c>
      <c r="F4147" t="s">
        <v>53</v>
      </c>
      <c r="G4147" t="s">
        <v>950</v>
      </c>
      <c r="H4147" t="str">
        <f>" "</f>
        <v xml:space="preserve"> </v>
      </c>
      <c r="J4147">
        <v>2821057080</v>
      </c>
      <c r="K4147">
        <v>6977414563</v>
      </c>
      <c r="N4147" t="s">
        <v>204</v>
      </c>
      <c r="O4147" t="s">
        <v>205</v>
      </c>
      <c r="R4147" t="s">
        <v>57</v>
      </c>
      <c r="S4147">
        <v>10</v>
      </c>
      <c r="T4147">
        <v>231</v>
      </c>
      <c r="U4147" s="1">
        <v>38230</v>
      </c>
      <c r="V4147" t="s">
        <v>6729</v>
      </c>
      <c r="W4147" t="s">
        <v>6730</v>
      </c>
      <c r="X4147" t="s">
        <v>58</v>
      </c>
      <c r="Y4147">
        <v>20</v>
      </c>
      <c r="Z4147" t="s">
        <v>59</v>
      </c>
      <c r="AA4147" t="s">
        <v>59</v>
      </c>
      <c r="AB4147" t="s">
        <v>59</v>
      </c>
      <c r="AC4147" t="s">
        <v>59</v>
      </c>
      <c r="AD4147" t="s">
        <v>59</v>
      </c>
      <c r="AF4147" s="1">
        <v>38233</v>
      </c>
      <c r="AG4147" t="s">
        <v>125</v>
      </c>
      <c r="AH4147" t="s">
        <v>126</v>
      </c>
      <c r="AI4147" t="str">
        <f>"5001072"</f>
        <v>5001072</v>
      </c>
      <c r="AJ4147" t="s">
        <v>6922</v>
      </c>
      <c r="AK4147">
        <v>2821055471</v>
      </c>
      <c r="AL4147" t="s">
        <v>6923</v>
      </c>
      <c r="AM4147" t="s">
        <v>88</v>
      </c>
      <c r="AN4147" t="s">
        <v>88</v>
      </c>
      <c r="AO4147" t="s">
        <v>88</v>
      </c>
      <c r="AP4147" t="s">
        <v>88</v>
      </c>
      <c r="AQ4147">
        <v>1</v>
      </c>
      <c r="AR4147" t="s">
        <v>6729</v>
      </c>
      <c r="AS4147" t="s">
        <v>6730</v>
      </c>
      <c r="AT4147" t="s">
        <v>58</v>
      </c>
      <c r="AU4147" t="s">
        <v>68</v>
      </c>
      <c r="AV4147" t="s">
        <v>69</v>
      </c>
      <c r="AW4147" s="1">
        <v>24939</v>
      </c>
      <c r="AX4147">
        <v>2</v>
      </c>
    </row>
    <row r="4148" spans="1:50">
      <c r="A4148">
        <v>221419</v>
      </c>
      <c r="B4148" t="str">
        <f>"074441810"</f>
        <v>074441810</v>
      </c>
      <c r="C4148" t="s">
        <v>50</v>
      </c>
      <c r="D4148" t="s">
        <v>7762</v>
      </c>
      <c r="E4148" t="s">
        <v>237</v>
      </c>
      <c r="F4148" t="s">
        <v>383</v>
      </c>
      <c r="G4148" t="s">
        <v>109</v>
      </c>
      <c r="H4148" t="str">
        <f>" "</f>
        <v xml:space="preserve"> </v>
      </c>
      <c r="J4148">
        <v>2821087849</v>
      </c>
      <c r="K4148">
        <v>6973514347</v>
      </c>
      <c r="N4148" t="s">
        <v>907</v>
      </c>
      <c r="O4148" t="s">
        <v>908</v>
      </c>
      <c r="R4148" t="s">
        <v>57</v>
      </c>
      <c r="S4148">
        <v>6</v>
      </c>
      <c r="T4148">
        <v>691</v>
      </c>
      <c r="U4148" s="1">
        <v>39331</v>
      </c>
      <c r="V4148" t="s">
        <v>6729</v>
      </c>
      <c r="W4148" t="s">
        <v>6730</v>
      </c>
      <c r="X4148" t="s">
        <v>58</v>
      </c>
      <c r="Y4148">
        <v>20</v>
      </c>
      <c r="Z4148" t="s">
        <v>59</v>
      </c>
      <c r="AA4148" t="s">
        <v>59</v>
      </c>
      <c r="AB4148" t="s">
        <v>59</v>
      </c>
      <c r="AC4148" t="s">
        <v>59</v>
      </c>
      <c r="AD4148" t="s">
        <v>59</v>
      </c>
      <c r="AF4148" s="1">
        <v>39332</v>
      </c>
      <c r="AG4148" t="s">
        <v>137</v>
      </c>
      <c r="AH4148" t="s">
        <v>138</v>
      </c>
      <c r="AI4148" t="str">
        <f>"5050060"</f>
        <v>5050060</v>
      </c>
      <c r="AJ4148" t="s">
        <v>6801</v>
      </c>
      <c r="AK4148">
        <v>2821091515</v>
      </c>
      <c r="AL4148" t="s">
        <v>6802</v>
      </c>
      <c r="AM4148" t="s">
        <v>88</v>
      </c>
      <c r="AN4148" t="s">
        <v>88</v>
      </c>
      <c r="AO4148" t="s">
        <v>88</v>
      </c>
      <c r="AP4148" t="s">
        <v>88</v>
      </c>
      <c r="AQ4148">
        <v>1</v>
      </c>
      <c r="AR4148" t="s">
        <v>6729</v>
      </c>
      <c r="AS4148" t="s">
        <v>6730</v>
      </c>
      <c r="AT4148" t="s">
        <v>58</v>
      </c>
      <c r="AU4148" t="s">
        <v>68</v>
      </c>
      <c r="AV4148" t="s">
        <v>69</v>
      </c>
      <c r="AW4148" s="1">
        <v>25762</v>
      </c>
      <c r="AX4148">
        <v>2</v>
      </c>
    </row>
    <row r="4149" spans="1:50">
      <c r="A4149">
        <v>154694</v>
      </c>
      <c r="B4149" t="str">
        <f>"063104399"</f>
        <v>063104399</v>
      </c>
      <c r="C4149" t="s">
        <v>50</v>
      </c>
      <c r="D4149" t="s">
        <v>7763</v>
      </c>
      <c r="E4149" t="s">
        <v>221</v>
      </c>
      <c r="F4149" t="s">
        <v>106</v>
      </c>
      <c r="G4149" t="s">
        <v>396</v>
      </c>
      <c r="H4149" t="str">
        <f>" "</f>
        <v xml:space="preserve"> </v>
      </c>
      <c r="N4149" t="s">
        <v>257</v>
      </c>
      <c r="O4149" t="s">
        <v>258</v>
      </c>
      <c r="R4149" t="s">
        <v>57</v>
      </c>
      <c r="S4149">
        <v>17</v>
      </c>
      <c r="T4149">
        <v>161</v>
      </c>
      <c r="U4149" s="1">
        <v>32387</v>
      </c>
      <c r="V4149" t="s">
        <v>6729</v>
      </c>
      <c r="W4149" t="s">
        <v>6730</v>
      </c>
      <c r="X4149" t="s">
        <v>58</v>
      </c>
      <c r="Y4149">
        <v>18</v>
      </c>
      <c r="Z4149" t="s">
        <v>59</v>
      </c>
      <c r="AA4149" t="s">
        <v>59</v>
      </c>
      <c r="AB4149" t="s">
        <v>59</v>
      </c>
      <c r="AC4149" t="s">
        <v>59</v>
      </c>
      <c r="AD4149" t="s">
        <v>59</v>
      </c>
      <c r="AF4149" s="1">
        <v>32398</v>
      </c>
      <c r="AG4149" t="s">
        <v>148</v>
      </c>
      <c r="AH4149" t="s">
        <v>149</v>
      </c>
      <c r="AI4149" t="str">
        <f>"5051050"</f>
        <v>5051050</v>
      </c>
      <c r="AJ4149" t="s">
        <v>6861</v>
      </c>
      <c r="AK4149">
        <v>2821044860</v>
      </c>
      <c r="AL4149" t="s">
        <v>6862</v>
      </c>
      <c r="AM4149" t="s">
        <v>88</v>
      </c>
      <c r="AN4149" t="s">
        <v>88</v>
      </c>
      <c r="AO4149" t="s">
        <v>88</v>
      </c>
      <c r="AP4149" t="s">
        <v>88</v>
      </c>
      <c r="AQ4149">
        <v>1</v>
      </c>
      <c r="AR4149" t="s">
        <v>6729</v>
      </c>
      <c r="AS4149" t="s">
        <v>6730</v>
      </c>
      <c r="AT4149" t="s">
        <v>58</v>
      </c>
      <c r="AU4149" t="s">
        <v>68</v>
      </c>
      <c r="AV4149" t="s">
        <v>69</v>
      </c>
      <c r="AW4149" s="1">
        <v>23263</v>
      </c>
      <c r="AX4149">
        <v>2</v>
      </c>
    </row>
    <row r="4150" spans="1:50">
      <c r="A4150">
        <v>222315</v>
      </c>
      <c r="B4150" t="str">
        <f>"046184987"</f>
        <v>046184987</v>
      </c>
      <c r="C4150" t="s">
        <v>50</v>
      </c>
      <c r="D4150" t="s">
        <v>7764</v>
      </c>
      <c r="E4150" t="s">
        <v>52</v>
      </c>
      <c r="F4150" t="s">
        <v>166</v>
      </c>
      <c r="G4150" t="s">
        <v>4455</v>
      </c>
      <c r="H4150" t="str">
        <f>" "</f>
        <v xml:space="preserve"> </v>
      </c>
      <c r="J4150">
        <v>2824083434</v>
      </c>
      <c r="K4150">
        <v>6944425418</v>
      </c>
      <c r="N4150" t="s">
        <v>146</v>
      </c>
      <c r="O4150" t="s">
        <v>147</v>
      </c>
      <c r="R4150" t="s">
        <v>57</v>
      </c>
      <c r="S4150">
        <v>6</v>
      </c>
      <c r="T4150">
        <v>775</v>
      </c>
      <c r="U4150" s="1">
        <v>39680</v>
      </c>
      <c r="V4150" t="s">
        <v>6729</v>
      </c>
      <c r="W4150" t="s">
        <v>6730</v>
      </c>
      <c r="X4150" t="s">
        <v>58</v>
      </c>
      <c r="Y4150">
        <v>20</v>
      </c>
      <c r="Z4150" t="s">
        <v>59</v>
      </c>
      <c r="AA4150" t="s">
        <v>59</v>
      </c>
      <c r="AB4150" t="s">
        <v>59</v>
      </c>
      <c r="AC4150" t="s">
        <v>59</v>
      </c>
      <c r="AD4150" t="s">
        <v>59</v>
      </c>
      <c r="AF4150" s="1">
        <v>39682</v>
      </c>
      <c r="AG4150" t="s">
        <v>148</v>
      </c>
      <c r="AH4150" t="s">
        <v>149</v>
      </c>
      <c r="AI4150" t="str">
        <f>"5057010"</f>
        <v>5057010</v>
      </c>
      <c r="AJ4150" t="s">
        <v>6836</v>
      </c>
      <c r="AK4150">
        <v>2824022511</v>
      </c>
      <c r="AL4150" t="s">
        <v>6837</v>
      </c>
      <c r="AM4150" t="s">
        <v>88</v>
      </c>
      <c r="AN4150" t="s">
        <v>6764</v>
      </c>
      <c r="AO4150" t="s">
        <v>6799</v>
      </c>
      <c r="AP4150" t="s">
        <v>6799</v>
      </c>
      <c r="AQ4150">
        <v>1</v>
      </c>
      <c r="AR4150" t="s">
        <v>6729</v>
      </c>
      <c r="AS4150" t="s">
        <v>6730</v>
      </c>
      <c r="AT4150" t="s">
        <v>58</v>
      </c>
      <c r="AU4150" t="s">
        <v>68</v>
      </c>
      <c r="AV4150" t="s">
        <v>69</v>
      </c>
      <c r="AW4150" s="1">
        <v>24777</v>
      </c>
      <c r="AX4150">
        <v>2</v>
      </c>
    </row>
    <row r="4151" spans="1:50">
      <c r="A4151">
        <v>152453</v>
      </c>
      <c r="B4151" t="str">
        <f>"026989135"</f>
        <v>026989135</v>
      </c>
      <c r="C4151" t="s">
        <v>105</v>
      </c>
      <c r="D4151" t="s">
        <v>7765</v>
      </c>
      <c r="E4151" t="s">
        <v>949</v>
      </c>
      <c r="F4151" t="s">
        <v>166</v>
      </c>
      <c r="G4151" t="s">
        <v>250</v>
      </c>
      <c r="H4151" t="str">
        <f>"ΔΗΜΟΚΡΑΤΙΑΣ 73 ΧΑΝΙΑ"</f>
        <v>ΔΗΜΟΚΡΑΤΙΑΣ 73 ΧΑΝΙΑ</v>
      </c>
      <c r="I4151">
        <v>73132</v>
      </c>
      <c r="J4151">
        <v>2821055561</v>
      </c>
      <c r="K4151">
        <v>6978001283</v>
      </c>
      <c r="M4151" t="s">
        <v>7766</v>
      </c>
      <c r="N4151" t="s">
        <v>232</v>
      </c>
      <c r="O4151" t="s">
        <v>233</v>
      </c>
      <c r="R4151" t="s">
        <v>57</v>
      </c>
      <c r="S4151">
        <v>17</v>
      </c>
      <c r="T4151">
        <v>193</v>
      </c>
      <c r="U4151" s="1">
        <v>32042</v>
      </c>
      <c r="V4151" t="s">
        <v>6729</v>
      </c>
      <c r="W4151" t="s">
        <v>6730</v>
      </c>
      <c r="X4151" t="s">
        <v>58</v>
      </c>
      <c r="Y4151">
        <v>18</v>
      </c>
      <c r="Z4151" t="s">
        <v>59</v>
      </c>
      <c r="AA4151" t="s">
        <v>59</v>
      </c>
      <c r="AB4151" t="s">
        <v>59</v>
      </c>
      <c r="AC4151" t="s">
        <v>59</v>
      </c>
      <c r="AD4151" t="s">
        <v>59</v>
      </c>
      <c r="AF4151" s="1">
        <v>32051</v>
      </c>
      <c r="AG4151" t="s">
        <v>148</v>
      </c>
      <c r="AH4151" t="s">
        <v>149</v>
      </c>
      <c r="AI4151" t="str">
        <f>"5051010"</f>
        <v>5051010</v>
      </c>
      <c r="AJ4151" t="s">
        <v>6896</v>
      </c>
      <c r="AK4151">
        <v>2821028714</v>
      </c>
      <c r="AL4151" t="s">
        <v>6897</v>
      </c>
      <c r="AM4151" t="s">
        <v>88</v>
      </c>
      <c r="AN4151" t="s">
        <v>88</v>
      </c>
      <c r="AO4151" t="s">
        <v>88</v>
      </c>
      <c r="AP4151" t="s">
        <v>88</v>
      </c>
      <c r="AQ4151">
        <v>1</v>
      </c>
      <c r="AR4151" t="s">
        <v>6729</v>
      </c>
      <c r="AS4151" t="s">
        <v>6730</v>
      </c>
      <c r="AT4151" t="s">
        <v>58</v>
      </c>
      <c r="AU4151" t="s">
        <v>68</v>
      </c>
      <c r="AV4151" t="s">
        <v>69</v>
      </c>
      <c r="AW4151" s="1">
        <v>20735</v>
      </c>
      <c r="AX4151">
        <v>2</v>
      </c>
    </row>
    <row r="4152" spans="1:50">
      <c r="A4152">
        <v>199509</v>
      </c>
      <c r="B4152" t="str">
        <f>"100804576"</f>
        <v>100804576</v>
      </c>
      <c r="C4152" t="s">
        <v>105</v>
      </c>
      <c r="D4152" t="s">
        <v>7767</v>
      </c>
      <c r="E4152" t="s">
        <v>84</v>
      </c>
      <c r="F4152" t="s">
        <v>72</v>
      </c>
      <c r="G4152" t="s">
        <v>143</v>
      </c>
      <c r="H4152" t="str">
        <f>"¶γ. Ονούφριος  Τ.Θ.92 "</f>
        <v xml:space="preserve">¶γ. Ονούφριος  Τ.Θ.92 </v>
      </c>
      <c r="J4152">
        <v>2821049013</v>
      </c>
      <c r="K4152">
        <v>6974193214</v>
      </c>
      <c r="M4152" t="s">
        <v>7768</v>
      </c>
      <c r="N4152" t="s">
        <v>331</v>
      </c>
      <c r="O4152" t="s">
        <v>332</v>
      </c>
      <c r="P4152" t="s">
        <v>299</v>
      </c>
      <c r="Q4152" t="s">
        <v>300</v>
      </c>
      <c r="R4152" t="s">
        <v>57</v>
      </c>
      <c r="S4152">
        <v>9</v>
      </c>
      <c r="T4152">
        <v>206</v>
      </c>
      <c r="U4152" s="1">
        <v>37866</v>
      </c>
      <c r="V4152" t="s">
        <v>6729</v>
      </c>
      <c r="W4152" t="s">
        <v>6730</v>
      </c>
      <c r="X4152" t="s">
        <v>58</v>
      </c>
      <c r="Y4152">
        <v>20</v>
      </c>
      <c r="Z4152" t="s">
        <v>59</v>
      </c>
      <c r="AA4152" t="s">
        <v>59</v>
      </c>
      <c r="AB4152" t="s">
        <v>59</v>
      </c>
      <c r="AC4152" t="s">
        <v>59</v>
      </c>
      <c r="AD4152" t="s">
        <v>59</v>
      </c>
      <c r="AF4152" s="1">
        <v>37867</v>
      </c>
      <c r="AG4152" t="s">
        <v>125</v>
      </c>
      <c r="AH4152" t="s">
        <v>126</v>
      </c>
      <c r="AI4152" t="str">
        <f>"5001075"</f>
        <v>5001075</v>
      </c>
      <c r="AJ4152" t="s">
        <v>6768</v>
      </c>
      <c r="AK4152">
        <v>2821064200</v>
      </c>
      <c r="AL4152" t="s">
        <v>6769</v>
      </c>
      <c r="AM4152" t="s">
        <v>88</v>
      </c>
      <c r="AN4152" t="s">
        <v>88</v>
      </c>
      <c r="AO4152" t="s">
        <v>6770</v>
      </c>
      <c r="AP4152" t="s">
        <v>6771</v>
      </c>
      <c r="AQ4152">
        <v>1</v>
      </c>
      <c r="AR4152" t="s">
        <v>6729</v>
      </c>
      <c r="AS4152" t="s">
        <v>6730</v>
      </c>
      <c r="AT4152" t="s">
        <v>58</v>
      </c>
      <c r="AU4152" t="s">
        <v>68</v>
      </c>
      <c r="AV4152" t="s">
        <v>69</v>
      </c>
      <c r="AW4152" s="1">
        <v>27925</v>
      </c>
      <c r="AX4152">
        <v>2</v>
      </c>
    </row>
    <row r="4153" spans="1:50">
      <c r="A4153">
        <v>179478</v>
      </c>
      <c r="B4153" t="str">
        <f>"037399560"</f>
        <v>037399560</v>
      </c>
      <c r="C4153" t="s">
        <v>50</v>
      </c>
      <c r="D4153" t="s">
        <v>7769</v>
      </c>
      <c r="E4153" t="s">
        <v>237</v>
      </c>
      <c r="F4153" t="s">
        <v>377</v>
      </c>
      <c r="G4153" t="s">
        <v>4220</v>
      </c>
      <c r="H4153" t="str">
        <f>" "</f>
        <v xml:space="preserve"> </v>
      </c>
      <c r="K4153">
        <v>6972382562</v>
      </c>
      <c r="N4153" t="s">
        <v>146</v>
      </c>
      <c r="O4153" t="s">
        <v>147</v>
      </c>
      <c r="R4153" t="s">
        <v>57</v>
      </c>
      <c r="S4153">
        <v>16</v>
      </c>
      <c r="T4153">
        <v>181</v>
      </c>
      <c r="U4153" s="1">
        <v>36039</v>
      </c>
      <c r="V4153" t="s">
        <v>6729</v>
      </c>
      <c r="W4153" t="s">
        <v>6730</v>
      </c>
      <c r="X4153" t="s">
        <v>58</v>
      </c>
      <c r="Y4153">
        <v>18</v>
      </c>
      <c r="Z4153" t="s">
        <v>59</v>
      </c>
      <c r="AA4153" t="s">
        <v>59</v>
      </c>
      <c r="AB4153" t="s">
        <v>59</v>
      </c>
      <c r="AC4153" t="s">
        <v>59</v>
      </c>
      <c r="AD4153" t="s">
        <v>59</v>
      </c>
      <c r="AF4153" s="1">
        <v>36045</v>
      </c>
      <c r="AG4153" t="s">
        <v>125</v>
      </c>
      <c r="AH4153" t="s">
        <v>126</v>
      </c>
      <c r="AI4153" t="str">
        <f>"5001020"</f>
        <v>5001020</v>
      </c>
      <c r="AJ4153" t="s">
        <v>6739</v>
      </c>
      <c r="AK4153">
        <v>2821042664</v>
      </c>
      <c r="AL4153" t="s">
        <v>6740</v>
      </c>
      <c r="AM4153" t="s">
        <v>88</v>
      </c>
      <c r="AN4153" t="s">
        <v>88</v>
      </c>
      <c r="AO4153" t="s">
        <v>88</v>
      </c>
      <c r="AP4153" t="s">
        <v>88</v>
      </c>
      <c r="AQ4153">
        <v>1</v>
      </c>
      <c r="AR4153" t="s">
        <v>6729</v>
      </c>
      <c r="AS4153" t="s">
        <v>6730</v>
      </c>
      <c r="AT4153" t="s">
        <v>58</v>
      </c>
      <c r="AU4153" t="s">
        <v>68</v>
      </c>
      <c r="AV4153" t="s">
        <v>69</v>
      </c>
      <c r="AW4153" s="1">
        <v>24302</v>
      </c>
      <c r="AX4153">
        <v>2</v>
      </c>
    </row>
    <row r="4154" spans="1:50">
      <c r="A4154">
        <v>197261</v>
      </c>
      <c r="B4154" t="str">
        <f>"072448864"</f>
        <v>072448864</v>
      </c>
      <c r="C4154" t="s">
        <v>50</v>
      </c>
      <c r="D4154" t="s">
        <v>7769</v>
      </c>
      <c r="E4154" t="s">
        <v>109</v>
      </c>
      <c r="F4154" t="s">
        <v>1286</v>
      </c>
      <c r="G4154" t="s">
        <v>5038</v>
      </c>
      <c r="H4154" t="str">
        <f>" "</f>
        <v xml:space="preserve"> </v>
      </c>
      <c r="J4154">
        <v>2821073720</v>
      </c>
      <c r="K4154">
        <v>6974505443</v>
      </c>
      <c r="M4154" t="s">
        <v>7770</v>
      </c>
      <c r="N4154" t="s">
        <v>146</v>
      </c>
      <c r="O4154" t="s">
        <v>147</v>
      </c>
      <c r="R4154" t="s">
        <v>57</v>
      </c>
      <c r="S4154">
        <v>12</v>
      </c>
      <c r="T4154">
        <v>206</v>
      </c>
      <c r="U4154" s="1">
        <v>37866</v>
      </c>
      <c r="V4154" t="s">
        <v>6729</v>
      </c>
      <c r="W4154" t="s">
        <v>6730</v>
      </c>
      <c r="X4154" t="s">
        <v>58</v>
      </c>
      <c r="Y4154">
        <v>18</v>
      </c>
      <c r="Z4154" t="s">
        <v>59</v>
      </c>
      <c r="AA4154" t="s">
        <v>59</v>
      </c>
      <c r="AB4154" t="s">
        <v>59</v>
      </c>
      <c r="AC4154" t="s">
        <v>59</v>
      </c>
      <c r="AD4154" t="s">
        <v>59</v>
      </c>
      <c r="AF4154" s="1">
        <v>37866</v>
      </c>
      <c r="AG4154" t="s">
        <v>148</v>
      </c>
      <c r="AH4154" t="s">
        <v>149</v>
      </c>
      <c r="AI4154" t="str">
        <f>"5090080"</f>
        <v>5090080</v>
      </c>
      <c r="AJ4154" t="s">
        <v>6906</v>
      </c>
      <c r="AK4154">
        <v>2821096638</v>
      </c>
      <c r="AL4154" t="s">
        <v>6907</v>
      </c>
      <c r="AM4154" t="s">
        <v>88</v>
      </c>
      <c r="AN4154" t="s">
        <v>88</v>
      </c>
      <c r="AO4154" t="s">
        <v>88</v>
      </c>
      <c r="AP4154" t="s">
        <v>88</v>
      </c>
      <c r="AQ4154">
        <v>1</v>
      </c>
      <c r="AR4154" t="s">
        <v>6729</v>
      </c>
      <c r="AS4154" t="s">
        <v>6730</v>
      </c>
      <c r="AT4154" t="s">
        <v>58</v>
      </c>
      <c r="AU4154" t="s">
        <v>68</v>
      </c>
      <c r="AV4154" t="s">
        <v>69</v>
      </c>
      <c r="AW4154" s="1">
        <v>24838</v>
      </c>
      <c r="AX4154">
        <v>2</v>
      </c>
    </row>
    <row r="4155" spans="1:50">
      <c r="A4155">
        <v>189390</v>
      </c>
      <c r="B4155" t="str">
        <f>"073768464"</f>
        <v>073768464</v>
      </c>
      <c r="C4155" t="s">
        <v>50</v>
      </c>
      <c r="D4155" t="s">
        <v>2604</v>
      </c>
      <c r="E4155" t="s">
        <v>7771</v>
      </c>
      <c r="F4155" t="s">
        <v>108</v>
      </c>
      <c r="G4155" t="s">
        <v>5506</v>
      </c>
      <c r="H4155" t="str">
        <f>"ΠΑΧΙΑΝΩΝ 21 ΧΑΝΙΑ"</f>
        <v>ΠΑΧΙΑΝΩΝ 21 ΧΑΝΙΑ</v>
      </c>
      <c r="I4155">
        <v>73100</v>
      </c>
      <c r="J4155">
        <v>2821093693</v>
      </c>
      <c r="K4155">
        <v>6974905699</v>
      </c>
      <c r="M4155" t="s">
        <v>7772</v>
      </c>
      <c r="N4155" t="s">
        <v>146</v>
      </c>
      <c r="O4155" t="s">
        <v>147</v>
      </c>
      <c r="R4155" t="s">
        <v>57</v>
      </c>
      <c r="S4155">
        <v>8</v>
      </c>
      <c r="T4155">
        <v>219</v>
      </c>
      <c r="U4155" s="1">
        <v>37134</v>
      </c>
      <c r="V4155" t="s">
        <v>6729</v>
      </c>
      <c r="W4155" t="s">
        <v>6730</v>
      </c>
      <c r="X4155" t="s">
        <v>58</v>
      </c>
      <c r="Y4155">
        <v>20</v>
      </c>
      <c r="Z4155" t="s">
        <v>59</v>
      </c>
      <c r="AA4155" t="s">
        <v>59</v>
      </c>
      <c r="AB4155" t="s">
        <v>59</v>
      </c>
      <c r="AC4155" t="s">
        <v>59</v>
      </c>
      <c r="AD4155" t="s">
        <v>59</v>
      </c>
      <c r="AF4155" s="1">
        <v>37139</v>
      </c>
      <c r="AG4155" t="s">
        <v>148</v>
      </c>
      <c r="AH4155" t="s">
        <v>149</v>
      </c>
      <c r="AI4155" t="str">
        <f>"5090080"</f>
        <v>5090080</v>
      </c>
      <c r="AJ4155" t="s">
        <v>6906</v>
      </c>
      <c r="AK4155">
        <v>2821096638</v>
      </c>
      <c r="AL4155" t="s">
        <v>6907</v>
      </c>
      <c r="AM4155" t="s">
        <v>88</v>
      </c>
      <c r="AN4155" t="s">
        <v>88</v>
      </c>
      <c r="AO4155" t="s">
        <v>88</v>
      </c>
      <c r="AP4155" t="s">
        <v>88</v>
      </c>
      <c r="AQ4155">
        <v>1</v>
      </c>
      <c r="AR4155" t="s">
        <v>6729</v>
      </c>
      <c r="AS4155" t="s">
        <v>6730</v>
      </c>
      <c r="AT4155" t="s">
        <v>58</v>
      </c>
      <c r="AU4155" t="s">
        <v>68</v>
      </c>
      <c r="AV4155" t="s">
        <v>69</v>
      </c>
      <c r="AW4155" s="1">
        <v>26098</v>
      </c>
      <c r="AX4155">
        <v>2</v>
      </c>
    </row>
    <row r="4156" spans="1:50">
      <c r="A4156">
        <v>161246</v>
      </c>
      <c r="B4156" t="str">
        <f>"036272691"</f>
        <v>036272691</v>
      </c>
      <c r="C4156" t="s">
        <v>50</v>
      </c>
      <c r="D4156" t="s">
        <v>2604</v>
      </c>
      <c r="E4156" t="s">
        <v>563</v>
      </c>
      <c r="F4156" t="s">
        <v>95</v>
      </c>
      <c r="G4156" t="s">
        <v>250</v>
      </c>
      <c r="H4156" t="str">
        <f>" "</f>
        <v xml:space="preserve"> </v>
      </c>
      <c r="N4156" t="s">
        <v>257</v>
      </c>
      <c r="O4156" t="s">
        <v>258</v>
      </c>
      <c r="P4156" t="s">
        <v>615</v>
      </c>
      <c r="Q4156" t="s">
        <v>616</v>
      </c>
      <c r="R4156" t="s">
        <v>57</v>
      </c>
      <c r="S4156">
        <v>14</v>
      </c>
      <c r="T4156">
        <v>161</v>
      </c>
      <c r="U4156" s="1">
        <v>33119</v>
      </c>
      <c r="V4156" t="s">
        <v>6729</v>
      </c>
      <c r="W4156" t="s">
        <v>6730</v>
      </c>
      <c r="X4156" t="s">
        <v>58</v>
      </c>
      <c r="Y4156">
        <v>18</v>
      </c>
      <c r="Z4156" t="s">
        <v>59</v>
      </c>
      <c r="AA4156" t="s">
        <v>59</v>
      </c>
      <c r="AB4156" t="s">
        <v>59</v>
      </c>
      <c r="AC4156" t="s">
        <v>59</v>
      </c>
      <c r="AD4156" t="s">
        <v>59</v>
      </c>
      <c r="AF4156" s="1">
        <v>33129</v>
      </c>
      <c r="AG4156" t="s">
        <v>125</v>
      </c>
      <c r="AH4156" t="s">
        <v>126</v>
      </c>
      <c r="AI4156" t="str">
        <f>"5001010"</f>
        <v>5001010</v>
      </c>
      <c r="AJ4156" t="s">
        <v>6873</v>
      </c>
      <c r="AK4156">
        <v>2821052130</v>
      </c>
      <c r="AL4156" t="s">
        <v>6874</v>
      </c>
      <c r="AM4156" t="s">
        <v>88</v>
      </c>
      <c r="AN4156" t="s">
        <v>88</v>
      </c>
      <c r="AO4156" t="s">
        <v>88</v>
      </c>
      <c r="AP4156" t="s">
        <v>88</v>
      </c>
      <c r="AQ4156">
        <v>1</v>
      </c>
      <c r="AR4156" t="s">
        <v>6729</v>
      </c>
      <c r="AS4156" t="s">
        <v>6730</v>
      </c>
      <c r="AT4156" t="s">
        <v>58</v>
      </c>
      <c r="AU4156" t="s">
        <v>68</v>
      </c>
      <c r="AV4156" t="s">
        <v>69</v>
      </c>
      <c r="AW4156" s="1">
        <v>22490</v>
      </c>
      <c r="AX4156">
        <v>2</v>
      </c>
    </row>
    <row r="4157" spans="1:50">
      <c r="A4157">
        <v>213807</v>
      </c>
      <c r="B4157" t="str">
        <f>"079202559"</f>
        <v>079202559</v>
      </c>
      <c r="C4157" t="s">
        <v>50</v>
      </c>
      <c r="D4157" t="s">
        <v>7773</v>
      </c>
      <c r="E4157" t="s">
        <v>109</v>
      </c>
      <c r="F4157" t="s">
        <v>2023</v>
      </c>
      <c r="G4157" t="s">
        <v>1355</v>
      </c>
      <c r="H4157" t="str">
        <f>" "</f>
        <v xml:space="preserve"> </v>
      </c>
      <c r="J4157">
        <v>2310818559</v>
      </c>
      <c r="K4157">
        <v>6973530058</v>
      </c>
      <c r="M4157" t="s">
        <v>7774</v>
      </c>
      <c r="N4157" t="s">
        <v>306</v>
      </c>
      <c r="O4157" t="s">
        <v>307</v>
      </c>
      <c r="R4157" t="s">
        <v>57</v>
      </c>
      <c r="S4157">
        <v>7</v>
      </c>
      <c r="T4157">
        <v>231</v>
      </c>
      <c r="U4157" s="1">
        <v>38960</v>
      </c>
      <c r="V4157" t="s">
        <v>6729</v>
      </c>
      <c r="W4157" t="s">
        <v>6730</v>
      </c>
      <c r="X4157" t="s">
        <v>58</v>
      </c>
      <c r="Y4157">
        <v>21</v>
      </c>
      <c r="Z4157" t="s">
        <v>59</v>
      </c>
      <c r="AA4157" t="s">
        <v>59</v>
      </c>
      <c r="AB4157" t="s">
        <v>59</v>
      </c>
      <c r="AC4157" t="s">
        <v>59</v>
      </c>
      <c r="AD4157" t="s">
        <v>59</v>
      </c>
      <c r="AF4157" s="1">
        <v>38961</v>
      </c>
      <c r="AG4157" t="s">
        <v>148</v>
      </c>
      <c r="AH4157" t="s">
        <v>149</v>
      </c>
      <c r="AI4157" t="str">
        <f>"5052010"</f>
        <v>5052010</v>
      </c>
      <c r="AJ4157" t="s">
        <v>6834</v>
      </c>
      <c r="AK4157">
        <v>2825022200</v>
      </c>
      <c r="AL4157" t="s">
        <v>6835</v>
      </c>
      <c r="AM4157" t="s">
        <v>88</v>
      </c>
      <c r="AN4157" t="s">
        <v>6775</v>
      </c>
      <c r="AO4157" t="s">
        <v>6776</v>
      </c>
      <c r="AP4157" t="s">
        <v>6776</v>
      </c>
      <c r="AQ4157">
        <v>1</v>
      </c>
      <c r="AR4157" t="s">
        <v>6729</v>
      </c>
      <c r="AS4157" t="s">
        <v>6730</v>
      </c>
      <c r="AT4157" t="s">
        <v>58</v>
      </c>
      <c r="AU4157" t="s">
        <v>68</v>
      </c>
      <c r="AV4157" t="s">
        <v>132</v>
      </c>
      <c r="AW4157" s="1">
        <v>26844</v>
      </c>
      <c r="AX4157">
        <v>2</v>
      </c>
    </row>
    <row r="4158" spans="1:50">
      <c r="A4158">
        <v>202631</v>
      </c>
      <c r="B4158" t="str">
        <f>"055965476"</f>
        <v>055965476</v>
      </c>
      <c r="C4158" t="s">
        <v>105</v>
      </c>
      <c r="D4158" t="s">
        <v>2614</v>
      </c>
      <c r="E4158" t="s">
        <v>95</v>
      </c>
      <c r="F4158" t="s">
        <v>72</v>
      </c>
      <c r="G4158" t="s">
        <v>96</v>
      </c>
      <c r="H4158" t="str">
        <f>" "</f>
        <v xml:space="preserve"> </v>
      </c>
      <c r="J4158">
        <v>2821032976</v>
      </c>
      <c r="K4158">
        <v>6932671925</v>
      </c>
      <c r="N4158" t="s">
        <v>232</v>
      </c>
      <c r="O4158" t="s">
        <v>233</v>
      </c>
      <c r="R4158" t="s">
        <v>57</v>
      </c>
      <c r="S4158">
        <v>9</v>
      </c>
      <c r="T4158">
        <v>231</v>
      </c>
      <c r="U4158" s="1">
        <v>38230</v>
      </c>
      <c r="V4158" t="s">
        <v>6729</v>
      </c>
      <c r="W4158" t="s">
        <v>6730</v>
      </c>
      <c r="X4158" t="s">
        <v>58</v>
      </c>
      <c r="Y4158">
        <v>20</v>
      </c>
      <c r="Z4158" t="s">
        <v>59</v>
      </c>
      <c r="AA4158" t="s">
        <v>59</v>
      </c>
      <c r="AB4158" t="s">
        <v>59</v>
      </c>
      <c r="AC4158" t="s">
        <v>59</v>
      </c>
      <c r="AD4158" t="s">
        <v>59</v>
      </c>
      <c r="AF4158" s="1">
        <v>38231</v>
      </c>
      <c r="AG4158" t="s">
        <v>148</v>
      </c>
      <c r="AH4158" t="s">
        <v>149</v>
      </c>
      <c r="AI4158" t="str">
        <f>"5062010"</f>
        <v>5062010</v>
      </c>
      <c r="AJ4158" t="s">
        <v>6783</v>
      </c>
      <c r="AK4158">
        <v>2821031620</v>
      </c>
      <c r="AL4158" t="s">
        <v>6784</v>
      </c>
      <c r="AM4158" t="s">
        <v>88</v>
      </c>
      <c r="AN4158" t="s">
        <v>88</v>
      </c>
      <c r="AO4158" t="s">
        <v>6785</v>
      </c>
      <c r="AP4158" t="s">
        <v>6786</v>
      </c>
      <c r="AQ4158">
        <v>1</v>
      </c>
      <c r="AR4158" t="s">
        <v>6729</v>
      </c>
      <c r="AS4158" t="s">
        <v>6730</v>
      </c>
      <c r="AT4158" t="s">
        <v>58</v>
      </c>
      <c r="AU4158" t="s">
        <v>68</v>
      </c>
      <c r="AV4158" t="s">
        <v>69</v>
      </c>
      <c r="AW4158" s="1">
        <v>23212</v>
      </c>
      <c r="AX4158">
        <v>2</v>
      </c>
    </row>
    <row r="4159" spans="1:50">
      <c r="A4159">
        <v>223036</v>
      </c>
      <c r="B4159" t="str">
        <f>"057323150"</f>
        <v>057323150</v>
      </c>
      <c r="C4159" t="s">
        <v>50</v>
      </c>
      <c r="D4159" t="s">
        <v>7775</v>
      </c>
      <c r="E4159" t="s">
        <v>3866</v>
      </c>
      <c r="F4159" t="s">
        <v>72</v>
      </c>
      <c r="G4159" t="s">
        <v>52</v>
      </c>
      <c r="H4159" t="str">
        <f>"Μ. ΜΠΟΤΣΑΡΗ 114 ΧΑΝΙΑ"</f>
        <v>Μ. ΜΠΟΤΣΑΡΗ 114 ΧΑΝΙΑ</v>
      </c>
      <c r="I4159">
        <v>73136</v>
      </c>
      <c r="J4159">
        <v>2821096183</v>
      </c>
      <c r="K4159">
        <v>6974737246</v>
      </c>
      <c r="M4159" t="s">
        <v>7776</v>
      </c>
      <c r="N4159" t="s">
        <v>292</v>
      </c>
      <c r="O4159" t="s">
        <v>293</v>
      </c>
      <c r="R4159" t="s">
        <v>57</v>
      </c>
      <c r="S4159">
        <v>5</v>
      </c>
      <c r="T4159">
        <v>775</v>
      </c>
      <c r="U4159" s="1">
        <v>39680</v>
      </c>
      <c r="V4159" t="s">
        <v>6729</v>
      </c>
      <c r="W4159" t="s">
        <v>6730</v>
      </c>
      <c r="X4159" t="s">
        <v>58</v>
      </c>
      <c r="Y4159">
        <v>21</v>
      </c>
      <c r="Z4159" t="s">
        <v>59</v>
      </c>
      <c r="AA4159" t="s">
        <v>59</v>
      </c>
      <c r="AB4159" t="s">
        <v>59</v>
      </c>
      <c r="AC4159" t="s">
        <v>59</v>
      </c>
      <c r="AD4159" t="s">
        <v>59</v>
      </c>
      <c r="AF4159" s="1">
        <v>39692</v>
      </c>
      <c r="AG4159" t="s">
        <v>148</v>
      </c>
      <c r="AH4159" t="s">
        <v>149</v>
      </c>
      <c r="AI4159" t="str">
        <f>"5056010"</f>
        <v>5056010</v>
      </c>
      <c r="AJ4159" t="s">
        <v>6762</v>
      </c>
      <c r="AK4159">
        <v>2824031210</v>
      </c>
      <c r="AL4159" t="s">
        <v>6763</v>
      </c>
      <c r="AM4159" t="s">
        <v>88</v>
      </c>
      <c r="AN4159" t="s">
        <v>6764</v>
      </c>
      <c r="AO4159" t="s">
        <v>6765</v>
      </c>
      <c r="AP4159" t="s">
        <v>6765</v>
      </c>
      <c r="AQ4159">
        <v>1</v>
      </c>
      <c r="AR4159" t="s">
        <v>6729</v>
      </c>
      <c r="AS4159" t="s">
        <v>6730</v>
      </c>
      <c r="AT4159" t="s">
        <v>58</v>
      </c>
      <c r="AU4159" t="s">
        <v>68</v>
      </c>
      <c r="AV4159" t="s">
        <v>69</v>
      </c>
      <c r="AW4159" s="1">
        <v>24710</v>
      </c>
      <c r="AX4159">
        <v>2</v>
      </c>
    </row>
    <row r="4160" spans="1:50">
      <c r="A4160">
        <v>163749</v>
      </c>
      <c r="B4160" t="str">
        <f>"035515738"</f>
        <v>035515738</v>
      </c>
      <c r="C4160" t="s">
        <v>50</v>
      </c>
      <c r="D4160" t="s">
        <v>7775</v>
      </c>
      <c r="E4160" t="s">
        <v>314</v>
      </c>
      <c r="F4160" t="s">
        <v>154</v>
      </c>
      <c r="G4160" t="s">
        <v>5432</v>
      </c>
      <c r="H4160" t="str">
        <f>" "</f>
        <v xml:space="preserve"> </v>
      </c>
      <c r="J4160">
        <v>2821074616</v>
      </c>
      <c r="K4160">
        <v>6979682623</v>
      </c>
      <c r="M4160" t="s">
        <v>7777</v>
      </c>
      <c r="N4160" t="s">
        <v>157</v>
      </c>
      <c r="O4160" t="s">
        <v>158</v>
      </c>
      <c r="R4160" t="s">
        <v>57</v>
      </c>
      <c r="S4160">
        <v>14</v>
      </c>
      <c r="T4160">
        <v>161</v>
      </c>
      <c r="U4160" s="1">
        <v>33844</v>
      </c>
      <c r="V4160" t="s">
        <v>6729</v>
      </c>
      <c r="W4160" t="s">
        <v>6730</v>
      </c>
      <c r="X4160" t="s">
        <v>58</v>
      </c>
      <c r="Y4160">
        <v>18</v>
      </c>
      <c r="Z4160" t="s">
        <v>59</v>
      </c>
      <c r="AA4160" t="s">
        <v>59</v>
      </c>
      <c r="AB4160" t="s">
        <v>59</v>
      </c>
      <c r="AC4160" t="s">
        <v>59</v>
      </c>
      <c r="AD4160" t="s">
        <v>59</v>
      </c>
      <c r="AF4160" s="1">
        <v>33848</v>
      </c>
      <c r="AG4160" t="s">
        <v>125</v>
      </c>
      <c r="AH4160" t="s">
        <v>126</v>
      </c>
      <c r="AI4160" t="str">
        <f>"5011010"</f>
        <v>5011010</v>
      </c>
      <c r="AJ4160" t="s">
        <v>6877</v>
      </c>
      <c r="AK4160">
        <v>2821081330</v>
      </c>
      <c r="AL4160" t="s">
        <v>6878</v>
      </c>
      <c r="AM4160" t="s">
        <v>88</v>
      </c>
      <c r="AN4160" t="s">
        <v>88</v>
      </c>
      <c r="AO4160" t="s">
        <v>6748</v>
      </c>
      <c r="AP4160" t="s">
        <v>6748</v>
      </c>
      <c r="AQ4160">
        <v>1</v>
      </c>
      <c r="AR4160" t="s">
        <v>6729</v>
      </c>
      <c r="AS4160" t="s">
        <v>6730</v>
      </c>
      <c r="AT4160" t="s">
        <v>58</v>
      </c>
      <c r="AU4160" t="s">
        <v>68</v>
      </c>
      <c r="AV4160" t="s">
        <v>69</v>
      </c>
      <c r="AW4160" s="1">
        <v>22500</v>
      </c>
      <c r="AX4160">
        <v>2</v>
      </c>
    </row>
    <row r="4161" spans="1:50">
      <c r="A4161">
        <v>179481</v>
      </c>
      <c r="B4161" t="str">
        <f>"038606408"</f>
        <v>038606408</v>
      </c>
      <c r="C4161" t="s">
        <v>50</v>
      </c>
      <c r="D4161" t="s">
        <v>7778</v>
      </c>
      <c r="E4161" t="s">
        <v>396</v>
      </c>
      <c r="F4161" t="s">
        <v>72</v>
      </c>
      <c r="G4161" t="s">
        <v>83</v>
      </c>
      <c r="H4161" t="str">
        <f>"ΣΑΚΗ ΚΑΡΑΓΙΩΡΓΑ 19 ΧΑΝΙΑ"</f>
        <v>ΣΑΚΗ ΚΑΡΑΓΙΩΡΓΑ 19 ΧΑΝΙΑ</v>
      </c>
      <c r="I4161">
        <v>73134</v>
      </c>
      <c r="M4161" t="s">
        <v>7779</v>
      </c>
      <c r="N4161" t="s">
        <v>146</v>
      </c>
      <c r="O4161" t="s">
        <v>147</v>
      </c>
      <c r="R4161" t="s">
        <v>57</v>
      </c>
      <c r="S4161">
        <v>11</v>
      </c>
      <c r="T4161">
        <v>164</v>
      </c>
      <c r="U4161" s="1">
        <v>36040</v>
      </c>
      <c r="V4161" t="s">
        <v>6729</v>
      </c>
      <c r="W4161" t="s">
        <v>6730</v>
      </c>
      <c r="X4161" t="s">
        <v>58</v>
      </c>
      <c r="Y4161">
        <v>18</v>
      </c>
      <c r="Z4161" t="s">
        <v>59</v>
      </c>
      <c r="AA4161" t="s">
        <v>59</v>
      </c>
      <c r="AB4161" t="s">
        <v>59</v>
      </c>
      <c r="AC4161" t="s">
        <v>59</v>
      </c>
      <c r="AD4161" t="s">
        <v>59</v>
      </c>
      <c r="AF4161" s="1">
        <v>36045</v>
      </c>
      <c r="AG4161" t="s">
        <v>125</v>
      </c>
      <c r="AH4161" t="s">
        <v>126</v>
      </c>
      <c r="AI4161" t="str">
        <f>"5006010"</f>
        <v>5006010</v>
      </c>
      <c r="AJ4161" t="s">
        <v>7008</v>
      </c>
      <c r="AK4161">
        <v>2824031620</v>
      </c>
      <c r="AL4161" t="s">
        <v>7009</v>
      </c>
      <c r="AM4161" t="s">
        <v>88</v>
      </c>
      <c r="AN4161" t="s">
        <v>6764</v>
      </c>
      <c r="AO4161" t="s">
        <v>6765</v>
      </c>
      <c r="AP4161" t="s">
        <v>6765</v>
      </c>
      <c r="AQ4161">
        <v>1</v>
      </c>
      <c r="AR4161" t="s">
        <v>6729</v>
      </c>
      <c r="AS4161" t="s">
        <v>6730</v>
      </c>
      <c r="AT4161" t="s">
        <v>58</v>
      </c>
      <c r="AU4161" t="s">
        <v>68</v>
      </c>
      <c r="AV4161" t="s">
        <v>69</v>
      </c>
      <c r="AW4161" s="1">
        <v>23849</v>
      </c>
      <c r="AX4161">
        <v>2</v>
      </c>
    </row>
    <row r="4162" spans="1:50">
      <c r="B4162" t="str">
        <f>"135237774"</f>
        <v>135237774</v>
      </c>
      <c r="C4162" t="s">
        <v>50</v>
      </c>
      <c r="D4162" t="s">
        <v>5093</v>
      </c>
      <c r="E4162" t="s">
        <v>83</v>
      </c>
      <c r="F4162" t="s">
        <v>106</v>
      </c>
      <c r="G4162" t="s">
        <v>255</v>
      </c>
      <c r="H4162" t="str">
        <f>" "</f>
        <v xml:space="preserve"> </v>
      </c>
      <c r="J4162">
        <v>2821056065</v>
      </c>
      <c r="K4162">
        <v>6936753691</v>
      </c>
      <c r="M4162" t="s">
        <v>7780</v>
      </c>
      <c r="N4162" t="s">
        <v>246</v>
      </c>
      <c r="O4162" t="s">
        <v>247</v>
      </c>
      <c r="R4162" t="s">
        <v>121</v>
      </c>
      <c r="S4162">
        <v>1</v>
      </c>
      <c r="T4162" t="s">
        <v>416</v>
      </c>
      <c r="U4162" s="1">
        <v>43349</v>
      </c>
      <c r="V4162" t="s">
        <v>6729</v>
      </c>
      <c r="W4162" t="s">
        <v>6730</v>
      </c>
      <c r="X4162" t="s">
        <v>58</v>
      </c>
      <c r="Y4162">
        <v>23</v>
      </c>
      <c r="Z4162" t="s">
        <v>59</v>
      </c>
      <c r="AA4162" t="s">
        <v>59</v>
      </c>
      <c r="AB4162" t="s">
        <v>59</v>
      </c>
      <c r="AD4162" t="s">
        <v>59</v>
      </c>
      <c r="AF4162" s="1">
        <v>43349</v>
      </c>
      <c r="AG4162" t="s">
        <v>148</v>
      </c>
      <c r="AH4162" t="s">
        <v>149</v>
      </c>
      <c r="AI4162" t="str">
        <f>"5090080"</f>
        <v>5090080</v>
      </c>
      <c r="AJ4162" t="s">
        <v>6906</v>
      </c>
      <c r="AK4162">
        <v>2821096638</v>
      </c>
      <c r="AL4162" t="s">
        <v>6907</v>
      </c>
      <c r="AM4162" t="s">
        <v>88</v>
      </c>
      <c r="AN4162" t="s">
        <v>88</v>
      </c>
      <c r="AO4162" t="s">
        <v>88</v>
      </c>
      <c r="AP4162" t="s">
        <v>88</v>
      </c>
      <c r="AQ4162">
        <v>1</v>
      </c>
      <c r="AR4162" t="s">
        <v>6729</v>
      </c>
      <c r="AS4162" t="s">
        <v>6730</v>
      </c>
      <c r="AT4162" t="s">
        <v>58</v>
      </c>
      <c r="AU4162" t="s">
        <v>419</v>
      </c>
      <c r="AV4162" t="s">
        <v>132</v>
      </c>
      <c r="AW4162" s="1">
        <v>29679</v>
      </c>
      <c r="AX4162">
        <v>2</v>
      </c>
    </row>
    <row r="4163" spans="1:50">
      <c r="A4163">
        <v>700208</v>
      </c>
      <c r="B4163" t="str">
        <f>"113152000"</f>
        <v>113152000</v>
      </c>
      <c r="C4163" t="s">
        <v>50</v>
      </c>
      <c r="D4163" t="s">
        <v>7781</v>
      </c>
      <c r="E4163" t="s">
        <v>3174</v>
      </c>
      <c r="F4163" t="s">
        <v>1070</v>
      </c>
      <c r="G4163" t="s">
        <v>255</v>
      </c>
      <c r="H4163" t="str">
        <f>"2Η ΠΑΡΟΔΟΣ ΝΙΚ.ΠΛΑΣΤΗΡΑ ΧΑΝΙΑ"</f>
        <v>2Η ΠΑΡΟΔΟΣ ΝΙΚ.ΠΛΑΣΤΗΡΑ ΧΑΝΙΑ</v>
      </c>
      <c r="I4163">
        <v>73300</v>
      </c>
      <c r="J4163">
        <v>2821045517</v>
      </c>
      <c r="K4163">
        <v>6976584647</v>
      </c>
      <c r="M4163" t="s">
        <v>7782</v>
      </c>
      <c r="N4163" t="s">
        <v>292</v>
      </c>
      <c r="O4163" t="s">
        <v>293</v>
      </c>
      <c r="R4163" t="s">
        <v>159</v>
      </c>
      <c r="S4163">
        <v>4</v>
      </c>
      <c r="T4163">
        <v>772</v>
      </c>
      <c r="U4163" s="1">
        <v>40413</v>
      </c>
      <c r="V4163" t="s">
        <v>6729</v>
      </c>
      <c r="W4163" t="s">
        <v>6730</v>
      </c>
      <c r="X4163" t="s">
        <v>58</v>
      </c>
      <c r="Y4163">
        <v>21</v>
      </c>
      <c r="Z4163" t="s">
        <v>59</v>
      </c>
      <c r="AA4163" t="s">
        <v>59</v>
      </c>
      <c r="AB4163" t="s">
        <v>59</v>
      </c>
      <c r="AC4163" t="s">
        <v>59</v>
      </c>
      <c r="AD4163" t="s">
        <v>59</v>
      </c>
      <c r="AF4163" s="1">
        <v>40413</v>
      </c>
      <c r="AG4163" t="s">
        <v>125</v>
      </c>
      <c r="AH4163" t="s">
        <v>126</v>
      </c>
      <c r="AI4163" t="str">
        <f>"5001075"</f>
        <v>5001075</v>
      </c>
      <c r="AJ4163" t="s">
        <v>6768</v>
      </c>
      <c r="AK4163">
        <v>2821064200</v>
      </c>
      <c r="AL4163" t="s">
        <v>6769</v>
      </c>
      <c r="AM4163" t="s">
        <v>88</v>
      </c>
      <c r="AN4163" t="s">
        <v>88</v>
      </c>
      <c r="AO4163" t="s">
        <v>6770</v>
      </c>
      <c r="AP4163" t="s">
        <v>6771</v>
      </c>
      <c r="AQ4163">
        <v>1</v>
      </c>
      <c r="AR4163" t="s">
        <v>6729</v>
      </c>
      <c r="AS4163" t="s">
        <v>6730</v>
      </c>
      <c r="AT4163" t="s">
        <v>58</v>
      </c>
      <c r="AU4163" t="s">
        <v>68</v>
      </c>
      <c r="AV4163" t="s">
        <v>69</v>
      </c>
      <c r="AW4163" s="1">
        <v>27136</v>
      </c>
      <c r="AX4163">
        <v>2</v>
      </c>
    </row>
    <row r="4164" spans="1:50">
      <c r="A4164">
        <v>154249</v>
      </c>
      <c r="B4164" t="str">
        <f>"024412885"</f>
        <v>024412885</v>
      </c>
      <c r="C4164" t="s">
        <v>105</v>
      </c>
      <c r="D4164" t="s">
        <v>7783</v>
      </c>
      <c r="E4164" t="s">
        <v>72</v>
      </c>
      <c r="F4164" t="s">
        <v>84</v>
      </c>
      <c r="G4164" t="s">
        <v>93</v>
      </c>
      <c r="H4164" t="str">
        <f>"ΑΛΙΚΙΑΝΟΣ  ΧΑΝΙΩΝ ΔΗΜΟΣ ΠΛΑΤΑΝΙΑ"</f>
        <v>ΑΛΙΚΙΑΝΟΣ  ΧΑΝΙΩΝ ΔΗΜΟΣ ΠΛΑΤΑΝΙΑ</v>
      </c>
      <c r="I4164">
        <v>73005</v>
      </c>
      <c r="J4164">
        <v>2821077037</v>
      </c>
      <c r="K4164">
        <v>6976000525</v>
      </c>
      <c r="M4164" t="s">
        <v>7784</v>
      </c>
      <c r="N4164" t="s">
        <v>292</v>
      </c>
      <c r="O4164" t="s">
        <v>293</v>
      </c>
      <c r="R4164" t="s">
        <v>57</v>
      </c>
      <c r="S4164">
        <v>16</v>
      </c>
      <c r="T4164">
        <v>161</v>
      </c>
      <c r="U4164" s="1">
        <v>32387</v>
      </c>
      <c r="V4164" t="s">
        <v>6729</v>
      </c>
      <c r="W4164" t="s">
        <v>6730</v>
      </c>
      <c r="X4164" t="s">
        <v>58</v>
      </c>
      <c r="Y4164">
        <v>18</v>
      </c>
      <c r="Z4164" t="s">
        <v>59</v>
      </c>
      <c r="AA4164" t="s">
        <v>59</v>
      </c>
      <c r="AB4164" t="s">
        <v>59</v>
      </c>
      <c r="AC4164" t="s">
        <v>59</v>
      </c>
      <c r="AD4164" t="s">
        <v>59</v>
      </c>
      <c r="AF4164" s="1">
        <v>32391</v>
      </c>
      <c r="AG4164" t="s">
        <v>148</v>
      </c>
      <c r="AH4164" t="s">
        <v>149</v>
      </c>
      <c r="AI4164" t="str">
        <f>"5059010"</f>
        <v>5059010</v>
      </c>
      <c r="AJ4164" t="s">
        <v>6883</v>
      </c>
      <c r="AK4164">
        <v>2821077166</v>
      </c>
      <c r="AL4164" t="s">
        <v>6884</v>
      </c>
      <c r="AM4164" t="s">
        <v>88</v>
      </c>
      <c r="AN4164" t="s">
        <v>6764</v>
      </c>
      <c r="AO4164" t="s">
        <v>6885</v>
      </c>
      <c r="AP4164" t="s">
        <v>6886</v>
      </c>
      <c r="AQ4164">
        <v>1</v>
      </c>
      <c r="AR4164" t="s">
        <v>6729</v>
      </c>
      <c r="AS4164" t="s">
        <v>6730</v>
      </c>
      <c r="AT4164" t="s">
        <v>58</v>
      </c>
      <c r="AU4164" t="s">
        <v>68</v>
      </c>
      <c r="AV4164" t="s">
        <v>69</v>
      </c>
      <c r="AW4164" s="1">
        <v>20579</v>
      </c>
      <c r="AX4164">
        <v>2</v>
      </c>
    </row>
    <row r="4165" spans="1:50">
      <c r="A4165">
        <v>169437</v>
      </c>
      <c r="B4165" t="str">
        <f>"050732587"</f>
        <v>050732587</v>
      </c>
      <c r="C4165" t="s">
        <v>50</v>
      </c>
      <c r="D4165" t="s">
        <v>7785</v>
      </c>
      <c r="E4165" t="s">
        <v>215</v>
      </c>
      <c r="F4165" t="s">
        <v>53</v>
      </c>
      <c r="G4165" t="s">
        <v>473</v>
      </c>
      <c r="H4165" t="str">
        <f>" "</f>
        <v xml:space="preserve"> </v>
      </c>
      <c r="N4165" t="s">
        <v>157</v>
      </c>
      <c r="O4165" t="s">
        <v>158</v>
      </c>
      <c r="R4165" t="s">
        <v>57</v>
      </c>
      <c r="S4165">
        <v>13</v>
      </c>
      <c r="T4165">
        <v>184</v>
      </c>
      <c r="U4165" s="1">
        <v>34941</v>
      </c>
      <c r="V4165" t="s">
        <v>6729</v>
      </c>
      <c r="W4165" t="s">
        <v>6730</v>
      </c>
      <c r="X4165" t="s">
        <v>58</v>
      </c>
      <c r="Y4165">
        <v>18</v>
      </c>
      <c r="Z4165" t="s">
        <v>59</v>
      </c>
      <c r="AA4165" t="s">
        <v>59</v>
      </c>
      <c r="AB4165" t="s">
        <v>59</v>
      </c>
      <c r="AC4165" t="s">
        <v>59</v>
      </c>
      <c r="AD4165" t="s">
        <v>59</v>
      </c>
      <c r="AF4165" s="1">
        <v>34943</v>
      </c>
      <c r="AG4165" t="s">
        <v>125</v>
      </c>
      <c r="AH4165" t="s">
        <v>126</v>
      </c>
      <c r="AI4165" t="str">
        <f>"5001072"</f>
        <v>5001072</v>
      </c>
      <c r="AJ4165" t="s">
        <v>6922</v>
      </c>
      <c r="AK4165">
        <v>2821055471</v>
      </c>
      <c r="AL4165" t="s">
        <v>6923</v>
      </c>
      <c r="AM4165" t="s">
        <v>88</v>
      </c>
      <c r="AN4165" t="s">
        <v>88</v>
      </c>
      <c r="AO4165" t="s">
        <v>88</v>
      </c>
      <c r="AP4165" t="s">
        <v>88</v>
      </c>
      <c r="AQ4165">
        <v>1</v>
      </c>
      <c r="AR4165" t="s">
        <v>6729</v>
      </c>
      <c r="AS4165" t="s">
        <v>6730</v>
      </c>
      <c r="AT4165" t="s">
        <v>58</v>
      </c>
      <c r="AU4165" t="s">
        <v>68</v>
      </c>
      <c r="AV4165" t="s">
        <v>69</v>
      </c>
      <c r="AW4165" s="1">
        <v>23302</v>
      </c>
      <c r="AX4165">
        <v>2</v>
      </c>
    </row>
    <row r="4166" spans="1:50">
      <c r="A4166">
        <v>702768</v>
      </c>
      <c r="B4166" t="str">
        <f>"075071785"</f>
        <v>075071785</v>
      </c>
      <c r="C4166" t="s">
        <v>105</v>
      </c>
      <c r="D4166" t="s">
        <v>7786</v>
      </c>
      <c r="E4166" t="s">
        <v>95</v>
      </c>
      <c r="F4166" t="s">
        <v>7787</v>
      </c>
      <c r="G4166" t="s">
        <v>755</v>
      </c>
      <c r="H4166" t="str">
        <f>"Β.ΟΥΓΚΩ 2Α "</f>
        <v xml:space="preserve">Β.ΟΥΓΚΩ 2Α </v>
      </c>
      <c r="I4166">
        <v>73132</v>
      </c>
      <c r="J4166">
        <v>2821098290</v>
      </c>
      <c r="K4166">
        <v>6973237210</v>
      </c>
      <c r="M4166" t="s">
        <v>7788</v>
      </c>
      <c r="N4166" t="s">
        <v>246</v>
      </c>
      <c r="O4166" t="s">
        <v>247</v>
      </c>
      <c r="R4166" t="s">
        <v>57</v>
      </c>
      <c r="S4166">
        <v>7</v>
      </c>
      <c r="T4166" t="s">
        <v>938</v>
      </c>
      <c r="U4166" s="1">
        <v>40429</v>
      </c>
      <c r="V4166" t="s">
        <v>6729</v>
      </c>
      <c r="W4166" t="s">
        <v>6730</v>
      </c>
      <c r="X4166" t="s">
        <v>58</v>
      </c>
      <c r="Y4166">
        <v>20</v>
      </c>
      <c r="Z4166" t="s">
        <v>59</v>
      </c>
      <c r="AA4166" t="s">
        <v>59</v>
      </c>
      <c r="AB4166" t="s">
        <v>59</v>
      </c>
      <c r="AC4166" t="s">
        <v>59</v>
      </c>
      <c r="AD4166" t="s">
        <v>59</v>
      </c>
      <c r="AF4166" s="1">
        <v>40429</v>
      </c>
      <c r="AG4166" t="s">
        <v>148</v>
      </c>
      <c r="AH4166" t="s">
        <v>149</v>
      </c>
      <c r="AI4166" t="str">
        <f>"5051030"</f>
        <v>5051030</v>
      </c>
      <c r="AJ4166" t="s">
        <v>6760</v>
      </c>
      <c r="AK4166">
        <v>2821027533</v>
      </c>
      <c r="AL4166" t="s">
        <v>6761</v>
      </c>
      <c r="AM4166" t="s">
        <v>88</v>
      </c>
      <c r="AN4166" t="s">
        <v>88</v>
      </c>
      <c r="AO4166" t="s">
        <v>88</v>
      </c>
      <c r="AP4166" t="s">
        <v>88</v>
      </c>
      <c r="AQ4166">
        <v>1</v>
      </c>
      <c r="AR4166" t="s">
        <v>6729</v>
      </c>
      <c r="AS4166" t="s">
        <v>6730</v>
      </c>
      <c r="AT4166" t="s">
        <v>58</v>
      </c>
      <c r="AU4166" t="s">
        <v>68</v>
      </c>
      <c r="AV4166" t="s">
        <v>69</v>
      </c>
      <c r="AW4166" s="1">
        <v>24129</v>
      </c>
      <c r="AX4166">
        <v>2</v>
      </c>
    </row>
    <row r="4167" spans="1:50">
      <c r="A4167">
        <v>215186</v>
      </c>
      <c r="B4167" t="str">
        <f>"077201790"</f>
        <v>077201790</v>
      </c>
      <c r="C4167" t="s">
        <v>105</v>
      </c>
      <c r="D4167" t="s">
        <v>7789</v>
      </c>
      <c r="E4167" t="s">
        <v>496</v>
      </c>
      <c r="F4167" t="s">
        <v>166</v>
      </c>
      <c r="G4167" t="s">
        <v>96</v>
      </c>
      <c r="H4167" t="str">
        <f>" "</f>
        <v xml:space="preserve"> </v>
      </c>
      <c r="J4167">
        <v>2821097682</v>
      </c>
      <c r="K4167">
        <v>6973323445</v>
      </c>
      <c r="N4167" t="s">
        <v>1351</v>
      </c>
      <c r="O4167" t="s">
        <v>1352</v>
      </c>
      <c r="R4167" t="s">
        <v>57</v>
      </c>
      <c r="S4167">
        <v>12</v>
      </c>
      <c r="T4167">
        <v>231</v>
      </c>
      <c r="U4167" s="1">
        <v>38960</v>
      </c>
      <c r="V4167" t="s">
        <v>6729</v>
      </c>
      <c r="W4167" t="s">
        <v>6730</v>
      </c>
      <c r="X4167" t="s">
        <v>58</v>
      </c>
      <c r="Y4167">
        <v>20</v>
      </c>
      <c r="Z4167" t="s">
        <v>59</v>
      </c>
      <c r="AA4167" t="s">
        <v>59</v>
      </c>
      <c r="AB4167" t="s">
        <v>59</v>
      </c>
      <c r="AC4167" t="s">
        <v>59</v>
      </c>
      <c r="AD4167" t="s">
        <v>59</v>
      </c>
      <c r="AF4167" s="1">
        <v>38964</v>
      </c>
      <c r="AG4167" t="s">
        <v>137</v>
      </c>
      <c r="AH4167" t="s">
        <v>469</v>
      </c>
      <c r="AI4167" t="str">
        <f>"5040055"</f>
        <v>5040055</v>
      </c>
      <c r="AJ4167" t="s">
        <v>6940</v>
      </c>
      <c r="AK4167">
        <v>2821036404</v>
      </c>
      <c r="AL4167" t="s">
        <v>6941</v>
      </c>
      <c r="AM4167" t="s">
        <v>88</v>
      </c>
      <c r="AN4167" t="s">
        <v>88</v>
      </c>
      <c r="AO4167" t="s">
        <v>88</v>
      </c>
      <c r="AP4167" t="s">
        <v>88</v>
      </c>
      <c r="AQ4167">
        <v>1</v>
      </c>
      <c r="AR4167" t="s">
        <v>6729</v>
      </c>
      <c r="AS4167" t="s">
        <v>6730</v>
      </c>
      <c r="AT4167" t="s">
        <v>58</v>
      </c>
      <c r="AU4167" t="s">
        <v>68</v>
      </c>
      <c r="AV4167" t="s">
        <v>69</v>
      </c>
      <c r="AW4167" s="1">
        <v>26832</v>
      </c>
      <c r="AX4167">
        <v>2</v>
      </c>
    </row>
    <row r="4168" spans="1:50">
      <c r="A4168">
        <v>173392</v>
      </c>
      <c r="B4168" t="str">
        <f>"075463178"</f>
        <v>075463178</v>
      </c>
      <c r="C4168" t="s">
        <v>50</v>
      </c>
      <c r="D4168" t="s">
        <v>7790</v>
      </c>
      <c r="E4168" t="s">
        <v>52</v>
      </c>
      <c r="F4168" t="s">
        <v>53</v>
      </c>
      <c r="G4168" t="s">
        <v>1361</v>
      </c>
      <c r="H4168" t="str">
        <f>"ΣΤΑΥΡΟΣ ΑΚΡΩΤΗΡΙΟΥ"</f>
        <v>ΣΤΑΥΡΟΣ ΑΚΡΩΤΗΡΙΟΥ</v>
      </c>
      <c r="I4168">
        <v>73100</v>
      </c>
      <c r="J4168">
        <v>2821039167</v>
      </c>
      <c r="N4168" t="s">
        <v>146</v>
      </c>
      <c r="O4168" t="s">
        <v>147</v>
      </c>
      <c r="R4168" t="s">
        <v>57</v>
      </c>
      <c r="S4168">
        <v>11</v>
      </c>
      <c r="T4168">
        <v>166</v>
      </c>
      <c r="U4168" s="1">
        <v>35300</v>
      </c>
      <c r="V4168" t="s">
        <v>6729</v>
      </c>
      <c r="W4168" t="s">
        <v>6730</v>
      </c>
      <c r="X4168" t="s">
        <v>58</v>
      </c>
      <c r="Y4168">
        <v>18</v>
      </c>
      <c r="Z4168" t="s">
        <v>59</v>
      </c>
      <c r="AA4168" t="s">
        <v>59</v>
      </c>
      <c r="AB4168" t="s">
        <v>59</v>
      </c>
      <c r="AC4168" t="s">
        <v>59</v>
      </c>
      <c r="AD4168" t="s">
        <v>59</v>
      </c>
      <c r="AF4168" s="1">
        <v>35310</v>
      </c>
      <c r="AG4168" t="s">
        <v>125</v>
      </c>
      <c r="AH4168" t="s">
        <v>126</v>
      </c>
      <c r="AI4168" t="str">
        <f>"5001040"</f>
        <v>5001040</v>
      </c>
      <c r="AJ4168" t="s">
        <v>7126</v>
      </c>
      <c r="AK4168">
        <v>2821088010</v>
      </c>
      <c r="AM4168" t="s">
        <v>88</v>
      </c>
      <c r="AN4168" t="s">
        <v>88</v>
      </c>
      <c r="AO4168" t="s">
        <v>88</v>
      </c>
      <c r="AP4168" t="s">
        <v>88</v>
      </c>
      <c r="AQ4168">
        <v>1</v>
      </c>
      <c r="AR4168" t="s">
        <v>6729</v>
      </c>
      <c r="AS4168" t="s">
        <v>6730</v>
      </c>
      <c r="AT4168" t="s">
        <v>58</v>
      </c>
      <c r="AU4168" t="s">
        <v>68</v>
      </c>
      <c r="AV4168" t="s">
        <v>69</v>
      </c>
      <c r="AW4168" s="1">
        <v>22375</v>
      </c>
      <c r="AX4168">
        <v>2</v>
      </c>
    </row>
    <row r="4169" spans="1:50">
      <c r="A4169">
        <v>199112</v>
      </c>
      <c r="B4169" t="str">
        <f>"030600225"</f>
        <v>030600225</v>
      </c>
      <c r="C4169" t="s">
        <v>105</v>
      </c>
      <c r="D4169" t="s">
        <v>7791</v>
      </c>
      <c r="E4169" t="s">
        <v>202</v>
      </c>
      <c r="F4169" t="s">
        <v>1258</v>
      </c>
      <c r="G4169" t="s">
        <v>52</v>
      </c>
      <c r="H4169" t="str">
        <f>"Π.ΙΩΑΝΝΙΚΕΙΟΥ 40  ΝΕΑ ΧΩΡΑ"</f>
        <v>Π.ΙΩΑΝΝΙΚΕΙΟΥ 40  ΝΕΑ ΧΩΡΑ</v>
      </c>
      <c r="I4169">
        <v>73131</v>
      </c>
      <c r="K4169">
        <v>6945297047</v>
      </c>
      <c r="M4169" t="s">
        <v>7792</v>
      </c>
      <c r="N4169" t="s">
        <v>176</v>
      </c>
      <c r="O4169" t="s">
        <v>177</v>
      </c>
      <c r="R4169" t="s">
        <v>57</v>
      </c>
      <c r="S4169">
        <v>9</v>
      </c>
      <c r="T4169">
        <v>206</v>
      </c>
      <c r="U4169" s="1">
        <v>37866</v>
      </c>
      <c r="V4169" t="s">
        <v>6729</v>
      </c>
      <c r="W4169" t="s">
        <v>6730</v>
      </c>
      <c r="X4169" t="s">
        <v>58</v>
      </c>
      <c r="Y4169">
        <v>20</v>
      </c>
      <c r="Z4169" t="s">
        <v>59</v>
      </c>
      <c r="AA4169" t="s">
        <v>59</v>
      </c>
      <c r="AB4169" t="s">
        <v>59</v>
      </c>
      <c r="AC4169" t="s">
        <v>59</v>
      </c>
      <c r="AD4169" t="s">
        <v>59</v>
      </c>
      <c r="AF4169" s="1">
        <v>37866</v>
      </c>
      <c r="AG4169" t="s">
        <v>148</v>
      </c>
      <c r="AH4169" t="s">
        <v>149</v>
      </c>
      <c r="AI4169" t="str">
        <f>"5051010"</f>
        <v>5051010</v>
      </c>
      <c r="AJ4169" t="s">
        <v>6896</v>
      </c>
      <c r="AK4169">
        <v>2821028714</v>
      </c>
      <c r="AL4169" t="s">
        <v>6897</v>
      </c>
      <c r="AM4169" t="s">
        <v>88</v>
      </c>
      <c r="AN4169" t="s">
        <v>88</v>
      </c>
      <c r="AO4169" t="s">
        <v>88</v>
      </c>
      <c r="AP4169" t="s">
        <v>88</v>
      </c>
      <c r="AQ4169">
        <v>1</v>
      </c>
      <c r="AR4169" t="s">
        <v>6729</v>
      </c>
      <c r="AS4169" t="s">
        <v>6730</v>
      </c>
      <c r="AT4169" t="s">
        <v>58</v>
      </c>
      <c r="AU4169" t="s">
        <v>68</v>
      </c>
      <c r="AV4169" t="s">
        <v>69</v>
      </c>
      <c r="AW4169" s="1">
        <v>24537</v>
      </c>
      <c r="AX4169">
        <v>2</v>
      </c>
    </row>
    <row r="4170" spans="1:50">
      <c r="A4170">
        <v>185973</v>
      </c>
      <c r="B4170" t="str">
        <f>"059502031"</f>
        <v>059502031</v>
      </c>
      <c r="C4170" t="s">
        <v>50</v>
      </c>
      <c r="D4170" t="s">
        <v>7793</v>
      </c>
      <c r="E4170" t="s">
        <v>250</v>
      </c>
      <c r="F4170" t="s">
        <v>92</v>
      </c>
      <c r="G4170" t="s">
        <v>237</v>
      </c>
      <c r="H4170" t="str">
        <f>"ΜΑΥΡΟΚΟΡΔΑΤΟΥ 3 ΧΑΝΙΑ"</f>
        <v>ΜΑΥΡΟΚΟΡΔΑΤΟΥ 3 ΧΑΝΙΑ</v>
      </c>
      <c r="I4170">
        <v>73100</v>
      </c>
      <c r="J4170">
        <v>2821087552</v>
      </c>
      <c r="K4170">
        <v>6974835328</v>
      </c>
      <c r="M4170" t="s">
        <v>7794</v>
      </c>
      <c r="N4170" t="s">
        <v>292</v>
      </c>
      <c r="O4170" t="s">
        <v>293</v>
      </c>
      <c r="R4170" t="s">
        <v>57</v>
      </c>
      <c r="S4170">
        <v>9</v>
      </c>
      <c r="T4170">
        <v>250</v>
      </c>
      <c r="U4170" s="1">
        <v>36769</v>
      </c>
      <c r="V4170" t="s">
        <v>6729</v>
      </c>
      <c r="W4170" t="s">
        <v>6730</v>
      </c>
      <c r="X4170" t="s">
        <v>58</v>
      </c>
      <c r="Y4170">
        <v>20</v>
      </c>
      <c r="Z4170" t="s">
        <v>59</v>
      </c>
      <c r="AA4170" t="s">
        <v>59</v>
      </c>
      <c r="AB4170" t="s">
        <v>59</v>
      </c>
      <c r="AC4170" t="s">
        <v>59</v>
      </c>
      <c r="AD4170" t="s">
        <v>59</v>
      </c>
      <c r="AF4170" s="1">
        <v>36770</v>
      </c>
      <c r="AG4170" t="s">
        <v>137</v>
      </c>
      <c r="AH4170" t="s">
        <v>138</v>
      </c>
      <c r="AI4170" t="str">
        <f>"5040080"</f>
        <v>5040080</v>
      </c>
      <c r="AJ4170" t="s">
        <v>6753</v>
      </c>
      <c r="AK4170">
        <v>2821093155</v>
      </c>
      <c r="AL4170" t="s">
        <v>6754</v>
      </c>
      <c r="AM4170" t="s">
        <v>88</v>
      </c>
      <c r="AN4170" t="s">
        <v>88</v>
      </c>
      <c r="AO4170" t="s">
        <v>6733</v>
      </c>
      <c r="AP4170" t="s">
        <v>6755</v>
      </c>
      <c r="AQ4170">
        <v>1</v>
      </c>
      <c r="AR4170" t="s">
        <v>6729</v>
      </c>
      <c r="AS4170" t="s">
        <v>6730</v>
      </c>
      <c r="AT4170" t="s">
        <v>58</v>
      </c>
      <c r="AU4170" t="s">
        <v>68</v>
      </c>
      <c r="AV4170" t="s">
        <v>69</v>
      </c>
      <c r="AW4170" s="1">
        <v>24595</v>
      </c>
      <c r="AX4170">
        <v>2</v>
      </c>
    </row>
    <row r="4171" spans="1:50">
      <c r="A4171">
        <v>162323</v>
      </c>
      <c r="B4171" t="str">
        <f>"032640243"</f>
        <v>032640243</v>
      </c>
      <c r="C4171" t="s">
        <v>50</v>
      </c>
      <c r="D4171" t="s">
        <v>7795</v>
      </c>
      <c r="E4171" t="s">
        <v>600</v>
      </c>
      <c r="F4171" t="s">
        <v>995</v>
      </c>
      <c r="G4171" t="s">
        <v>109</v>
      </c>
      <c r="H4171" t="str">
        <f>"Λεωνίδα 8 Μουρνιές"</f>
        <v>Λεωνίδα 8 Μουρνιές</v>
      </c>
      <c r="J4171">
        <v>2821075453</v>
      </c>
      <c r="K4171">
        <v>6977012587</v>
      </c>
      <c r="M4171" t="s">
        <v>7796</v>
      </c>
      <c r="N4171" t="s">
        <v>146</v>
      </c>
      <c r="O4171" t="s">
        <v>147</v>
      </c>
      <c r="R4171" t="s">
        <v>57</v>
      </c>
      <c r="S4171">
        <v>14</v>
      </c>
      <c r="T4171">
        <v>132</v>
      </c>
      <c r="U4171" s="1">
        <v>33456</v>
      </c>
      <c r="V4171" t="s">
        <v>6729</v>
      </c>
      <c r="W4171" t="s">
        <v>6730</v>
      </c>
      <c r="X4171" t="s">
        <v>58</v>
      </c>
      <c r="Y4171">
        <v>18</v>
      </c>
      <c r="Z4171" t="s">
        <v>59</v>
      </c>
      <c r="AA4171" t="s">
        <v>59</v>
      </c>
      <c r="AB4171" t="s">
        <v>59</v>
      </c>
      <c r="AC4171" t="s">
        <v>59</v>
      </c>
      <c r="AD4171" t="s">
        <v>59</v>
      </c>
      <c r="AF4171" s="1">
        <v>33484</v>
      </c>
      <c r="AG4171" t="s">
        <v>125</v>
      </c>
      <c r="AH4171" t="s">
        <v>126</v>
      </c>
      <c r="AI4171" t="str">
        <f>"5001073"</f>
        <v>5001073</v>
      </c>
      <c r="AJ4171" t="s">
        <v>6849</v>
      </c>
      <c r="AK4171">
        <v>2821028553</v>
      </c>
      <c r="AL4171" t="s">
        <v>6850</v>
      </c>
      <c r="AM4171" t="s">
        <v>88</v>
      </c>
      <c r="AN4171" t="s">
        <v>88</v>
      </c>
      <c r="AO4171" t="s">
        <v>88</v>
      </c>
      <c r="AP4171" t="s">
        <v>88</v>
      </c>
      <c r="AQ4171">
        <v>1</v>
      </c>
      <c r="AR4171" t="s">
        <v>6729</v>
      </c>
      <c r="AS4171" t="s">
        <v>6730</v>
      </c>
      <c r="AT4171" t="s">
        <v>58</v>
      </c>
      <c r="AU4171" t="s">
        <v>68</v>
      </c>
      <c r="AV4171" t="s">
        <v>69</v>
      </c>
      <c r="AW4171" s="1">
        <v>23244</v>
      </c>
      <c r="AX4171">
        <v>2</v>
      </c>
    </row>
    <row r="4172" spans="1:50">
      <c r="A4172">
        <v>211726</v>
      </c>
      <c r="B4172" t="str">
        <f>"140902908"</f>
        <v>140902908</v>
      </c>
      <c r="C4172" t="s">
        <v>105</v>
      </c>
      <c r="D4172" t="s">
        <v>7797</v>
      </c>
      <c r="E4172" t="s">
        <v>95</v>
      </c>
      <c r="F4172" t="s">
        <v>309</v>
      </c>
      <c r="G4172" t="s">
        <v>237</v>
      </c>
      <c r="H4172" t="str">
        <f>" "</f>
        <v xml:space="preserve"> </v>
      </c>
      <c r="J4172">
        <v>2821099247</v>
      </c>
      <c r="K4172">
        <v>6972253526</v>
      </c>
      <c r="M4172" t="s">
        <v>7798</v>
      </c>
      <c r="N4172" t="s">
        <v>157</v>
      </c>
      <c r="O4172" t="s">
        <v>158</v>
      </c>
      <c r="P4172" t="s">
        <v>478</v>
      </c>
      <c r="Q4172" t="s">
        <v>479</v>
      </c>
      <c r="R4172" t="s">
        <v>57</v>
      </c>
      <c r="S4172">
        <v>8</v>
      </c>
      <c r="T4172">
        <v>231</v>
      </c>
      <c r="U4172" s="1">
        <v>38960</v>
      </c>
      <c r="V4172" t="s">
        <v>6729</v>
      </c>
      <c r="W4172" t="s">
        <v>6730</v>
      </c>
      <c r="X4172" t="s">
        <v>58</v>
      </c>
      <c r="Y4172">
        <v>20</v>
      </c>
      <c r="Z4172" t="s">
        <v>59</v>
      </c>
      <c r="AA4172" t="s">
        <v>59</v>
      </c>
      <c r="AB4172" t="s">
        <v>59</v>
      </c>
      <c r="AC4172" t="s">
        <v>59</v>
      </c>
      <c r="AD4172" t="s">
        <v>59</v>
      </c>
      <c r="AF4172" s="1">
        <v>38961</v>
      </c>
      <c r="AG4172" t="s">
        <v>125</v>
      </c>
      <c r="AH4172" t="s">
        <v>126</v>
      </c>
      <c r="AI4172" t="str">
        <f>"5001076"</f>
        <v>5001076</v>
      </c>
      <c r="AJ4172" t="s">
        <v>6979</v>
      </c>
      <c r="AK4172">
        <v>2821088808</v>
      </c>
      <c r="AL4172" t="s">
        <v>6980</v>
      </c>
      <c r="AM4172" t="s">
        <v>88</v>
      </c>
      <c r="AN4172" t="s">
        <v>88</v>
      </c>
      <c r="AO4172" t="s">
        <v>6733</v>
      </c>
      <c r="AP4172" t="s">
        <v>6755</v>
      </c>
      <c r="AQ4172">
        <v>1</v>
      </c>
      <c r="AR4172" t="s">
        <v>6729</v>
      </c>
      <c r="AS4172" t="s">
        <v>6730</v>
      </c>
      <c r="AT4172" t="s">
        <v>58</v>
      </c>
      <c r="AU4172" t="s">
        <v>68</v>
      </c>
      <c r="AV4172" t="s">
        <v>69</v>
      </c>
      <c r="AW4172" s="1">
        <v>29031</v>
      </c>
      <c r="AX4172">
        <v>2</v>
      </c>
    </row>
    <row r="4173" spans="1:50">
      <c r="A4173">
        <v>197806</v>
      </c>
      <c r="B4173" t="str">
        <f>"103523540"</f>
        <v>103523540</v>
      </c>
      <c r="C4173" t="s">
        <v>50</v>
      </c>
      <c r="D4173" t="s">
        <v>7799</v>
      </c>
      <c r="E4173" t="s">
        <v>7800</v>
      </c>
      <c r="F4173" t="s">
        <v>4097</v>
      </c>
      <c r="G4173" t="s">
        <v>83</v>
      </c>
      <c r="H4173" t="str">
        <f>"ΡΟΥΦΟΥ 12 ΔΙΚΑΣΤΗΡΙΑ"</f>
        <v>ΡΟΥΦΟΥ 12 ΔΙΚΑΣΤΗΡΙΑ</v>
      </c>
      <c r="I4173">
        <v>73132</v>
      </c>
      <c r="J4173">
        <v>2821057997</v>
      </c>
      <c r="K4173">
        <v>6977352439</v>
      </c>
      <c r="M4173" t="s">
        <v>7801</v>
      </c>
      <c r="N4173" t="s">
        <v>292</v>
      </c>
      <c r="O4173" t="s">
        <v>293</v>
      </c>
      <c r="R4173" t="s">
        <v>57</v>
      </c>
      <c r="S4173">
        <v>9</v>
      </c>
      <c r="T4173">
        <v>206</v>
      </c>
      <c r="U4173" s="1">
        <v>37866</v>
      </c>
      <c r="V4173" t="s">
        <v>6729</v>
      </c>
      <c r="W4173" t="s">
        <v>6730</v>
      </c>
      <c r="X4173" t="s">
        <v>58</v>
      </c>
      <c r="Y4173">
        <v>20</v>
      </c>
      <c r="Z4173" t="s">
        <v>59</v>
      </c>
      <c r="AA4173" t="s">
        <v>59</v>
      </c>
      <c r="AB4173" t="s">
        <v>59</v>
      </c>
      <c r="AC4173" t="s">
        <v>59</v>
      </c>
      <c r="AD4173" t="s">
        <v>59</v>
      </c>
      <c r="AF4173" s="1">
        <v>37866</v>
      </c>
      <c r="AG4173" t="s">
        <v>148</v>
      </c>
      <c r="AH4173" t="s">
        <v>149</v>
      </c>
      <c r="AI4173" t="str">
        <f>"5051050"</f>
        <v>5051050</v>
      </c>
      <c r="AJ4173" t="s">
        <v>6861</v>
      </c>
      <c r="AK4173">
        <v>2821044860</v>
      </c>
      <c r="AL4173" t="s">
        <v>6862</v>
      </c>
      <c r="AM4173" t="s">
        <v>88</v>
      </c>
      <c r="AN4173" t="s">
        <v>88</v>
      </c>
      <c r="AO4173" t="s">
        <v>88</v>
      </c>
      <c r="AP4173" t="s">
        <v>88</v>
      </c>
      <c r="AQ4173">
        <v>1</v>
      </c>
      <c r="AR4173" t="s">
        <v>6729</v>
      </c>
      <c r="AS4173" t="s">
        <v>6730</v>
      </c>
      <c r="AT4173" t="s">
        <v>58</v>
      </c>
      <c r="AU4173" t="s">
        <v>68</v>
      </c>
      <c r="AV4173" t="s">
        <v>69</v>
      </c>
      <c r="AW4173" s="1">
        <v>26680</v>
      </c>
      <c r="AX4173">
        <v>2</v>
      </c>
    </row>
    <row r="4174" spans="1:50">
      <c r="A4174">
        <v>188357</v>
      </c>
      <c r="B4174" t="str">
        <f>"061154045"</f>
        <v>061154045</v>
      </c>
      <c r="C4174" t="s">
        <v>105</v>
      </c>
      <c r="D4174" t="s">
        <v>7802</v>
      </c>
      <c r="E4174" t="s">
        <v>106</v>
      </c>
      <c r="F4174" t="s">
        <v>166</v>
      </c>
      <c r="G4174" t="s">
        <v>83</v>
      </c>
      <c r="H4174" t="str">
        <f>"ΠΑΡΟΔΟΣ ΑΓΙΟΥ ΦΑΝΟΥΡΙΟΥ ΚΑΛΑΜΑΚΙ"</f>
        <v>ΠΑΡΟΔΟΣ ΑΓΙΟΥ ΦΑΝΟΥΡΙΟΥ ΚΑΛΑΜΑΚΙ</v>
      </c>
      <c r="I4174">
        <v>73100</v>
      </c>
      <c r="J4174">
        <v>2821058250</v>
      </c>
      <c r="K4174">
        <v>6973305439</v>
      </c>
      <c r="M4174" t="s">
        <v>7803</v>
      </c>
      <c r="N4174" t="s">
        <v>204</v>
      </c>
      <c r="O4174" t="s">
        <v>205</v>
      </c>
      <c r="R4174" t="s">
        <v>57</v>
      </c>
      <c r="S4174">
        <v>9</v>
      </c>
      <c r="T4174">
        <v>251</v>
      </c>
      <c r="U4174" s="1">
        <v>36769</v>
      </c>
      <c r="V4174" t="s">
        <v>6729</v>
      </c>
      <c r="W4174" t="s">
        <v>6730</v>
      </c>
      <c r="X4174" t="s">
        <v>58</v>
      </c>
      <c r="Y4174">
        <v>20</v>
      </c>
      <c r="Z4174" t="s">
        <v>59</v>
      </c>
      <c r="AA4174" t="s">
        <v>59</v>
      </c>
      <c r="AB4174" t="s">
        <v>59</v>
      </c>
      <c r="AC4174" t="s">
        <v>59</v>
      </c>
      <c r="AD4174" t="s">
        <v>59</v>
      </c>
      <c r="AF4174" s="1">
        <v>36770</v>
      </c>
      <c r="AG4174" t="s">
        <v>137</v>
      </c>
      <c r="AH4174" t="s">
        <v>138</v>
      </c>
      <c r="AI4174" t="str">
        <f>"5040080"</f>
        <v>5040080</v>
      </c>
      <c r="AJ4174" t="s">
        <v>6753</v>
      </c>
      <c r="AK4174">
        <v>2821093155</v>
      </c>
      <c r="AL4174" t="s">
        <v>6754</v>
      </c>
      <c r="AM4174" t="s">
        <v>88</v>
      </c>
      <c r="AN4174" t="s">
        <v>88</v>
      </c>
      <c r="AO4174" t="s">
        <v>6733</v>
      </c>
      <c r="AP4174" t="s">
        <v>6755</v>
      </c>
      <c r="AQ4174">
        <v>1</v>
      </c>
      <c r="AR4174" t="s">
        <v>6729</v>
      </c>
      <c r="AS4174" t="s">
        <v>6730</v>
      </c>
      <c r="AT4174" t="s">
        <v>58</v>
      </c>
      <c r="AU4174" t="s">
        <v>68</v>
      </c>
      <c r="AV4174" t="s">
        <v>69</v>
      </c>
      <c r="AW4174" s="1">
        <v>25248</v>
      </c>
      <c r="AX4174">
        <v>2</v>
      </c>
    </row>
    <row r="4175" spans="1:50">
      <c r="A4175">
        <v>208174</v>
      </c>
      <c r="B4175" t="str">
        <f>"059866625"</f>
        <v>059866625</v>
      </c>
      <c r="C4175" t="s">
        <v>105</v>
      </c>
      <c r="D4175" t="s">
        <v>7804</v>
      </c>
      <c r="E4175" t="s">
        <v>166</v>
      </c>
      <c r="F4175" t="s">
        <v>3049</v>
      </c>
      <c r="G4175" t="s">
        <v>52</v>
      </c>
      <c r="H4175" t="str">
        <f>"ΠΑΛΑΜΑ 39 ΧΑΝΙΑ"</f>
        <v>ΠΑΛΑΜΑ 39 ΧΑΝΙΑ</v>
      </c>
      <c r="I4175">
        <v>73132</v>
      </c>
      <c r="J4175">
        <v>2821040199</v>
      </c>
      <c r="K4175">
        <v>6977509345</v>
      </c>
      <c r="M4175" t="s">
        <v>7805</v>
      </c>
      <c r="N4175" t="s">
        <v>176</v>
      </c>
      <c r="O4175" t="s">
        <v>177</v>
      </c>
      <c r="R4175" t="s">
        <v>57</v>
      </c>
      <c r="S4175">
        <v>9</v>
      </c>
      <c r="T4175" t="s">
        <v>7806</v>
      </c>
      <c r="U4175" s="1">
        <v>38596</v>
      </c>
      <c r="V4175" t="s">
        <v>6729</v>
      </c>
      <c r="W4175" t="s">
        <v>6730</v>
      </c>
      <c r="X4175" t="s">
        <v>58</v>
      </c>
      <c r="Y4175">
        <v>20</v>
      </c>
      <c r="Z4175" t="s">
        <v>59</v>
      </c>
      <c r="AA4175" t="s">
        <v>59</v>
      </c>
      <c r="AB4175" t="s">
        <v>59</v>
      </c>
      <c r="AC4175" t="s">
        <v>59</v>
      </c>
      <c r="AD4175" t="s">
        <v>59</v>
      </c>
      <c r="AF4175" s="1">
        <v>38602</v>
      </c>
      <c r="AG4175" t="s">
        <v>125</v>
      </c>
      <c r="AH4175" t="s">
        <v>126</v>
      </c>
      <c r="AI4175" t="str">
        <f>"5009010"</f>
        <v>5009010</v>
      </c>
      <c r="AJ4175" t="s">
        <v>6901</v>
      </c>
      <c r="AK4175">
        <v>2821077212</v>
      </c>
      <c r="AL4175" t="s">
        <v>6902</v>
      </c>
      <c r="AM4175" t="s">
        <v>88</v>
      </c>
      <c r="AN4175" t="s">
        <v>6764</v>
      </c>
      <c r="AO4175" t="s">
        <v>6885</v>
      </c>
      <c r="AP4175" t="s">
        <v>6886</v>
      </c>
      <c r="AQ4175">
        <v>1</v>
      </c>
      <c r="AR4175" t="s">
        <v>6729</v>
      </c>
      <c r="AS4175" t="s">
        <v>6730</v>
      </c>
      <c r="AT4175" t="s">
        <v>58</v>
      </c>
      <c r="AU4175" t="s">
        <v>68</v>
      </c>
      <c r="AV4175" t="s">
        <v>69</v>
      </c>
      <c r="AW4175" s="1">
        <v>25336</v>
      </c>
      <c r="AX4175">
        <v>2</v>
      </c>
    </row>
    <row r="4176" spans="1:50">
      <c r="A4176">
        <v>171908</v>
      </c>
      <c r="B4176" t="str">
        <f>"044122258"</f>
        <v>044122258</v>
      </c>
      <c r="C4176" t="s">
        <v>50</v>
      </c>
      <c r="D4176" t="s">
        <v>7807</v>
      </c>
      <c r="E4176" t="s">
        <v>52</v>
      </c>
      <c r="F4176" t="s">
        <v>450</v>
      </c>
      <c r="G4176" t="s">
        <v>250</v>
      </c>
      <c r="H4176" t="str">
        <f>" "</f>
        <v xml:space="preserve"> </v>
      </c>
      <c r="N4176" t="s">
        <v>135</v>
      </c>
      <c r="O4176" t="s">
        <v>136</v>
      </c>
      <c r="R4176" t="s">
        <v>57</v>
      </c>
      <c r="S4176">
        <v>15</v>
      </c>
      <c r="T4176">
        <v>184</v>
      </c>
      <c r="U4176" s="1">
        <v>34941</v>
      </c>
      <c r="V4176" t="s">
        <v>6729</v>
      </c>
      <c r="W4176" t="s">
        <v>6730</v>
      </c>
      <c r="X4176" t="s">
        <v>58</v>
      </c>
      <c r="Y4176">
        <v>18</v>
      </c>
      <c r="Z4176" t="s">
        <v>59</v>
      </c>
      <c r="AA4176" t="s">
        <v>59</v>
      </c>
      <c r="AB4176" t="s">
        <v>59</v>
      </c>
      <c r="AC4176" t="s">
        <v>59</v>
      </c>
      <c r="AD4176" t="s">
        <v>59</v>
      </c>
      <c r="AF4176" s="1">
        <v>34946</v>
      </c>
      <c r="AG4176" t="s">
        <v>125</v>
      </c>
      <c r="AH4176" t="s">
        <v>126</v>
      </c>
      <c r="AI4176" t="str">
        <f>"5001072"</f>
        <v>5001072</v>
      </c>
      <c r="AJ4176" t="s">
        <v>6922</v>
      </c>
      <c r="AK4176">
        <v>2821055471</v>
      </c>
      <c r="AL4176" t="s">
        <v>6923</v>
      </c>
      <c r="AM4176" t="s">
        <v>88</v>
      </c>
      <c r="AN4176" t="s">
        <v>88</v>
      </c>
      <c r="AO4176" t="s">
        <v>88</v>
      </c>
      <c r="AP4176" t="s">
        <v>88</v>
      </c>
      <c r="AQ4176">
        <v>1</v>
      </c>
      <c r="AR4176" t="s">
        <v>6729</v>
      </c>
      <c r="AS4176" t="s">
        <v>6730</v>
      </c>
      <c r="AT4176" t="s">
        <v>58</v>
      </c>
      <c r="AU4176" t="s">
        <v>68</v>
      </c>
      <c r="AV4176" t="s">
        <v>69</v>
      </c>
      <c r="AW4176" s="1">
        <v>21927</v>
      </c>
      <c r="AX4176">
        <v>2</v>
      </c>
    </row>
    <row r="4177" spans="1:50">
      <c r="A4177">
        <v>157539</v>
      </c>
      <c r="B4177" t="str">
        <f>"033157923"</f>
        <v>033157923</v>
      </c>
      <c r="C4177" t="s">
        <v>105</v>
      </c>
      <c r="D4177" t="s">
        <v>7808</v>
      </c>
      <c r="E4177" t="s">
        <v>95</v>
      </c>
      <c r="F4177" t="s">
        <v>279</v>
      </c>
      <c r="G4177" t="s">
        <v>7809</v>
      </c>
      <c r="H4177" t="str">
        <f>"ΑΡΧΙΜΗΔΗ 29 ΧΑΝΙΑ"</f>
        <v>ΑΡΧΙΜΗΔΗ 29 ΧΑΝΙΑ</v>
      </c>
      <c r="I4177">
        <v>73100</v>
      </c>
      <c r="J4177">
        <v>2821027598</v>
      </c>
      <c r="K4177">
        <v>6974281963</v>
      </c>
      <c r="M4177" t="s">
        <v>7810</v>
      </c>
      <c r="N4177" t="s">
        <v>176</v>
      </c>
      <c r="O4177" t="s">
        <v>177</v>
      </c>
      <c r="R4177" t="s">
        <v>57</v>
      </c>
      <c r="S4177">
        <v>14</v>
      </c>
      <c r="T4177">
        <v>188</v>
      </c>
      <c r="U4177" s="1">
        <v>32752</v>
      </c>
      <c r="V4177" t="s">
        <v>6729</v>
      </c>
      <c r="W4177" t="s">
        <v>6730</v>
      </c>
      <c r="X4177" t="s">
        <v>58</v>
      </c>
      <c r="Y4177">
        <v>18</v>
      </c>
      <c r="Z4177" t="s">
        <v>59</v>
      </c>
      <c r="AA4177" t="s">
        <v>59</v>
      </c>
      <c r="AB4177" t="s">
        <v>59</v>
      </c>
      <c r="AC4177" t="s">
        <v>59</v>
      </c>
      <c r="AD4177" t="s">
        <v>59</v>
      </c>
      <c r="AF4177" s="1">
        <v>32756</v>
      </c>
      <c r="AG4177" t="s">
        <v>148</v>
      </c>
      <c r="AH4177" t="s">
        <v>149</v>
      </c>
      <c r="AI4177" t="str">
        <f>"5051050"</f>
        <v>5051050</v>
      </c>
      <c r="AJ4177" t="s">
        <v>6861</v>
      </c>
      <c r="AK4177">
        <v>2821044860</v>
      </c>
      <c r="AL4177" t="s">
        <v>6862</v>
      </c>
      <c r="AM4177" t="s">
        <v>88</v>
      </c>
      <c r="AN4177" t="s">
        <v>88</v>
      </c>
      <c r="AO4177" t="s">
        <v>88</v>
      </c>
      <c r="AP4177" t="s">
        <v>88</v>
      </c>
      <c r="AQ4177">
        <v>1</v>
      </c>
      <c r="AR4177" t="s">
        <v>6729</v>
      </c>
      <c r="AS4177" t="s">
        <v>6730</v>
      </c>
      <c r="AT4177" t="s">
        <v>58</v>
      </c>
      <c r="AU4177" t="s">
        <v>68</v>
      </c>
      <c r="AV4177" t="s">
        <v>69</v>
      </c>
      <c r="AW4177" s="1">
        <v>22838</v>
      </c>
      <c r="AX4177">
        <v>2</v>
      </c>
    </row>
    <row r="4178" spans="1:50">
      <c r="B4178" t="str">
        <f>"133343599"</f>
        <v>133343599</v>
      </c>
      <c r="C4178" t="s">
        <v>50</v>
      </c>
      <c r="D4178" t="s">
        <v>7811</v>
      </c>
      <c r="E4178" t="s">
        <v>52</v>
      </c>
      <c r="F4178" t="s">
        <v>106</v>
      </c>
      <c r="G4178" t="s">
        <v>263</v>
      </c>
      <c r="H4178" t="str">
        <f>"Νίκου Ανδριανάκη 35 Χανιά Χανιά"</f>
        <v>Νίκου Ανδριανάκη 35 Χανιά Χανιά</v>
      </c>
      <c r="I4178">
        <v>73133</v>
      </c>
      <c r="J4178">
        <v>2821055692</v>
      </c>
      <c r="K4178">
        <v>6972286172</v>
      </c>
      <c r="M4178" t="s">
        <v>7812</v>
      </c>
      <c r="N4178" t="s">
        <v>306</v>
      </c>
      <c r="O4178" t="s">
        <v>307</v>
      </c>
      <c r="R4178" t="s">
        <v>159</v>
      </c>
      <c r="S4178">
        <v>2</v>
      </c>
      <c r="T4178" t="s">
        <v>873</v>
      </c>
      <c r="U4178" s="1">
        <v>43377</v>
      </c>
      <c r="V4178" t="s">
        <v>6729</v>
      </c>
      <c r="W4178" t="s">
        <v>6730</v>
      </c>
      <c r="X4178" t="s">
        <v>58</v>
      </c>
      <c r="Y4178">
        <v>21</v>
      </c>
      <c r="Z4178" t="s">
        <v>59</v>
      </c>
      <c r="AA4178" t="s">
        <v>59</v>
      </c>
      <c r="AB4178" t="s">
        <v>59</v>
      </c>
      <c r="AC4178" t="s">
        <v>59</v>
      </c>
      <c r="AD4178" t="s">
        <v>59</v>
      </c>
      <c r="AF4178" s="1">
        <v>43377</v>
      </c>
      <c r="AG4178" t="s">
        <v>125</v>
      </c>
      <c r="AH4178" t="s">
        <v>126</v>
      </c>
      <c r="AI4178" t="str">
        <f>"5005010"</f>
        <v>5005010</v>
      </c>
      <c r="AJ4178" t="s">
        <v>7100</v>
      </c>
      <c r="AK4178">
        <v>2823041217</v>
      </c>
      <c r="AL4178" t="s">
        <v>7101</v>
      </c>
      <c r="AM4178" t="s">
        <v>88</v>
      </c>
      <c r="AN4178" t="s">
        <v>6824</v>
      </c>
      <c r="AO4178" t="s">
        <v>6870</v>
      </c>
      <c r="AP4178" t="s">
        <v>6871</v>
      </c>
      <c r="AQ4178">
        <v>1</v>
      </c>
      <c r="AR4178" t="s">
        <v>6729</v>
      </c>
      <c r="AS4178" t="s">
        <v>6730</v>
      </c>
      <c r="AT4178" t="s">
        <v>58</v>
      </c>
      <c r="AU4178" t="s">
        <v>164</v>
      </c>
      <c r="AV4178" t="s">
        <v>132</v>
      </c>
      <c r="AW4178" s="1">
        <v>30908</v>
      </c>
      <c r="AX4178">
        <v>2</v>
      </c>
    </row>
    <row r="4179" spans="1:50">
      <c r="A4179">
        <v>216585</v>
      </c>
      <c r="B4179" t="str">
        <f>"052232750"</f>
        <v>052232750</v>
      </c>
      <c r="C4179" t="s">
        <v>50</v>
      </c>
      <c r="D4179" t="s">
        <v>7813</v>
      </c>
      <c r="E4179" t="s">
        <v>52</v>
      </c>
      <c r="F4179" t="s">
        <v>558</v>
      </c>
      <c r="G4179" t="s">
        <v>54</v>
      </c>
      <c r="H4179" t="str">
        <f>" "</f>
        <v xml:space="preserve"> </v>
      </c>
      <c r="J4179">
        <v>2821078463</v>
      </c>
      <c r="K4179">
        <v>6944582006</v>
      </c>
      <c r="N4179" t="s">
        <v>135</v>
      </c>
      <c r="O4179" t="s">
        <v>136</v>
      </c>
      <c r="R4179" t="s">
        <v>57</v>
      </c>
      <c r="S4179">
        <v>8</v>
      </c>
      <c r="T4179">
        <v>236</v>
      </c>
      <c r="U4179" s="1">
        <v>38961</v>
      </c>
      <c r="V4179" t="s">
        <v>6729</v>
      </c>
      <c r="W4179" t="s">
        <v>6730</v>
      </c>
      <c r="X4179" t="s">
        <v>58</v>
      </c>
      <c r="Y4179">
        <v>20</v>
      </c>
      <c r="Z4179" t="s">
        <v>59</v>
      </c>
      <c r="AA4179" t="s">
        <v>59</v>
      </c>
      <c r="AB4179" t="s">
        <v>59</v>
      </c>
      <c r="AC4179" t="s">
        <v>59</v>
      </c>
      <c r="AD4179" t="s">
        <v>59</v>
      </c>
      <c r="AF4179" s="1">
        <v>38965</v>
      </c>
      <c r="AG4179" t="s">
        <v>137</v>
      </c>
      <c r="AH4179" t="s">
        <v>469</v>
      </c>
      <c r="AI4179" t="str">
        <f>"5040055"</f>
        <v>5040055</v>
      </c>
      <c r="AJ4179" t="s">
        <v>6940</v>
      </c>
      <c r="AK4179">
        <v>2821036404</v>
      </c>
      <c r="AL4179" t="s">
        <v>6941</v>
      </c>
      <c r="AM4179" t="s">
        <v>88</v>
      </c>
      <c r="AN4179" t="s">
        <v>88</v>
      </c>
      <c r="AO4179" t="s">
        <v>88</v>
      </c>
      <c r="AP4179" t="s">
        <v>88</v>
      </c>
      <c r="AQ4179">
        <v>1</v>
      </c>
      <c r="AR4179" t="s">
        <v>6729</v>
      </c>
      <c r="AS4179" t="s">
        <v>6730</v>
      </c>
      <c r="AT4179" t="s">
        <v>58</v>
      </c>
      <c r="AU4179" t="s">
        <v>68</v>
      </c>
      <c r="AV4179" t="s">
        <v>69</v>
      </c>
      <c r="AW4179" s="1">
        <v>24219</v>
      </c>
      <c r="AX4179">
        <v>2</v>
      </c>
    </row>
    <row r="4180" spans="1:50">
      <c r="A4180">
        <v>195937</v>
      </c>
      <c r="B4180" t="str">
        <f>"055498636"</f>
        <v>055498636</v>
      </c>
      <c r="C4180" t="s">
        <v>105</v>
      </c>
      <c r="D4180" t="s">
        <v>7814</v>
      </c>
      <c r="E4180" t="s">
        <v>1506</v>
      </c>
      <c r="F4180" t="s">
        <v>450</v>
      </c>
      <c r="G4180" t="s">
        <v>52</v>
      </c>
      <c r="H4180" t="str">
        <f>" "</f>
        <v xml:space="preserve"> </v>
      </c>
      <c r="N4180" t="s">
        <v>331</v>
      </c>
      <c r="O4180" t="s">
        <v>332</v>
      </c>
      <c r="R4180" t="s">
        <v>57</v>
      </c>
      <c r="S4180">
        <v>8</v>
      </c>
      <c r="T4180">
        <v>194</v>
      </c>
      <c r="U4180" s="1">
        <v>37497</v>
      </c>
      <c r="V4180" t="s">
        <v>6729</v>
      </c>
      <c r="W4180" t="s">
        <v>6730</v>
      </c>
      <c r="X4180" t="s">
        <v>58</v>
      </c>
      <c r="Y4180">
        <v>20</v>
      </c>
      <c r="Z4180" t="s">
        <v>59</v>
      </c>
      <c r="AA4180" t="s">
        <v>59</v>
      </c>
      <c r="AB4180" t="s">
        <v>59</v>
      </c>
      <c r="AC4180" t="s">
        <v>59</v>
      </c>
      <c r="AD4180" t="s">
        <v>59</v>
      </c>
      <c r="AF4180" s="1">
        <v>37501</v>
      </c>
      <c r="AG4180" t="s">
        <v>137</v>
      </c>
      <c r="AH4180" t="s">
        <v>138</v>
      </c>
      <c r="AI4180" t="str">
        <f>"5040100"</f>
        <v>5040100</v>
      </c>
      <c r="AJ4180" t="s">
        <v>6790</v>
      </c>
      <c r="AK4180">
        <v>2821058998</v>
      </c>
      <c r="AL4180" t="s">
        <v>6791</v>
      </c>
      <c r="AM4180" t="s">
        <v>88</v>
      </c>
      <c r="AN4180" t="s">
        <v>88</v>
      </c>
      <c r="AO4180" t="s">
        <v>6770</v>
      </c>
      <c r="AP4180" t="s">
        <v>6771</v>
      </c>
      <c r="AQ4180">
        <v>1</v>
      </c>
      <c r="AR4180" t="s">
        <v>6729</v>
      </c>
      <c r="AS4180" t="s">
        <v>6730</v>
      </c>
      <c r="AT4180" t="s">
        <v>58</v>
      </c>
      <c r="AU4180" t="s">
        <v>68</v>
      </c>
      <c r="AV4180" t="s">
        <v>69</v>
      </c>
      <c r="AW4180" s="1">
        <v>23169</v>
      </c>
      <c r="AX4180">
        <v>2</v>
      </c>
    </row>
    <row r="4181" spans="1:50">
      <c r="A4181">
        <v>153759</v>
      </c>
      <c r="B4181" t="str">
        <f>"032382606"</f>
        <v>032382606</v>
      </c>
      <c r="C4181" t="s">
        <v>105</v>
      </c>
      <c r="D4181" t="s">
        <v>7815</v>
      </c>
      <c r="E4181" t="s">
        <v>900</v>
      </c>
      <c r="F4181" t="s">
        <v>383</v>
      </c>
      <c r="G4181" t="s">
        <v>367</v>
      </c>
      <c r="H4181" t="str">
        <f>"Λισσού 43 "</f>
        <v xml:space="preserve">Λισσού 43 </v>
      </c>
      <c r="I4181">
        <v>73135</v>
      </c>
      <c r="J4181">
        <v>2821076591</v>
      </c>
      <c r="K4181">
        <v>6947818578</v>
      </c>
      <c r="M4181" t="s">
        <v>7816</v>
      </c>
      <c r="N4181" t="s">
        <v>157</v>
      </c>
      <c r="O4181" t="s">
        <v>158</v>
      </c>
      <c r="R4181" t="s">
        <v>57</v>
      </c>
      <c r="S4181">
        <v>15</v>
      </c>
      <c r="T4181">
        <v>161</v>
      </c>
      <c r="U4181" s="1">
        <v>32387</v>
      </c>
      <c r="V4181" t="s">
        <v>6729</v>
      </c>
      <c r="W4181" t="s">
        <v>6730</v>
      </c>
      <c r="X4181" t="s">
        <v>58</v>
      </c>
      <c r="Y4181">
        <v>18</v>
      </c>
      <c r="Z4181" t="s">
        <v>59</v>
      </c>
      <c r="AA4181" t="s">
        <v>59</v>
      </c>
      <c r="AB4181" t="s">
        <v>59</v>
      </c>
      <c r="AC4181" t="s">
        <v>59</v>
      </c>
      <c r="AD4181" t="s">
        <v>59</v>
      </c>
      <c r="AF4181" s="1">
        <v>32392</v>
      </c>
      <c r="AG4181" t="s">
        <v>125</v>
      </c>
      <c r="AH4181" t="s">
        <v>126</v>
      </c>
      <c r="AI4181" t="str">
        <f>"5001050"</f>
        <v>5001050</v>
      </c>
      <c r="AJ4181" t="s">
        <v>6917</v>
      </c>
      <c r="AK4181">
        <v>2821088012</v>
      </c>
      <c r="AL4181" t="s">
        <v>6918</v>
      </c>
      <c r="AM4181" t="s">
        <v>88</v>
      </c>
      <c r="AN4181" t="s">
        <v>88</v>
      </c>
      <c r="AO4181" t="s">
        <v>88</v>
      </c>
      <c r="AP4181" t="s">
        <v>88</v>
      </c>
      <c r="AQ4181">
        <v>1</v>
      </c>
      <c r="AR4181" t="s">
        <v>6729</v>
      </c>
      <c r="AS4181" t="s">
        <v>6730</v>
      </c>
      <c r="AT4181" t="s">
        <v>58</v>
      </c>
      <c r="AU4181" t="s">
        <v>68</v>
      </c>
      <c r="AV4181" t="s">
        <v>69</v>
      </c>
      <c r="AW4181" s="1">
        <v>22671</v>
      </c>
      <c r="AX4181">
        <v>2</v>
      </c>
    </row>
    <row r="4182" spans="1:50">
      <c r="A4182">
        <v>169873</v>
      </c>
      <c r="B4182" t="str">
        <f>"035582310"</f>
        <v>035582310</v>
      </c>
      <c r="C4182" t="s">
        <v>50</v>
      </c>
      <c r="D4182" t="s">
        <v>7817</v>
      </c>
      <c r="E4182" t="s">
        <v>325</v>
      </c>
      <c r="F4182" t="s">
        <v>106</v>
      </c>
      <c r="G4182" t="s">
        <v>6454</v>
      </c>
      <c r="H4182" t="str">
        <f>" "</f>
        <v xml:space="preserve"> </v>
      </c>
      <c r="M4182" t="s">
        <v>7818</v>
      </c>
      <c r="N4182" t="s">
        <v>146</v>
      </c>
      <c r="O4182" t="s">
        <v>147</v>
      </c>
      <c r="R4182" t="s">
        <v>57</v>
      </c>
      <c r="S4182">
        <v>13</v>
      </c>
      <c r="T4182">
        <v>184</v>
      </c>
      <c r="U4182" s="1">
        <v>34941</v>
      </c>
      <c r="V4182" t="s">
        <v>6729</v>
      </c>
      <c r="W4182" t="s">
        <v>6730</v>
      </c>
      <c r="X4182" t="s">
        <v>58</v>
      </c>
      <c r="Y4182">
        <v>18</v>
      </c>
      <c r="Z4182" t="s">
        <v>59</v>
      </c>
      <c r="AA4182" t="s">
        <v>59</v>
      </c>
      <c r="AB4182" t="s">
        <v>59</v>
      </c>
      <c r="AC4182" t="s">
        <v>59</v>
      </c>
      <c r="AD4182" t="s">
        <v>59</v>
      </c>
      <c r="AF4182" s="1">
        <v>34943</v>
      </c>
      <c r="AG4182" t="s">
        <v>125</v>
      </c>
      <c r="AH4182" t="s">
        <v>126</v>
      </c>
      <c r="AI4182" t="str">
        <f>"5007010"</f>
        <v>5007010</v>
      </c>
      <c r="AJ4182" t="s">
        <v>6797</v>
      </c>
      <c r="AK4182">
        <v>2824022241</v>
      </c>
      <c r="AL4182" t="s">
        <v>6798</v>
      </c>
      <c r="AM4182" t="s">
        <v>88</v>
      </c>
      <c r="AN4182" t="s">
        <v>6764</v>
      </c>
      <c r="AO4182" t="s">
        <v>6799</v>
      </c>
      <c r="AP4182" t="s">
        <v>6799</v>
      </c>
      <c r="AQ4182">
        <v>1</v>
      </c>
      <c r="AR4182" t="s">
        <v>6729</v>
      </c>
      <c r="AS4182" t="s">
        <v>6730</v>
      </c>
      <c r="AT4182" t="s">
        <v>58</v>
      </c>
      <c r="AU4182" t="s">
        <v>68</v>
      </c>
      <c r="AV4182" t="s">
        <v>69</v>
      </c>
      <c r="AW4182" s="1">
        <v>23767</v>
      </c>
      <c r="AX4182">
        <v>2</v>
      </c>
    </row>
    <row r="4183" spans="1:50">
      <c r="A4183">
        <v>202798</v>
      </c>
      <c r="B4183" t="str">
        <f>"110890389"</f>
        <v>110890389</v>
      </c>
      <c r="C4183" t="s">
        <v>105</v>
      </c>
      <c r="D4183" t="s">
        <v>5130</v>
      </c>
      <c r="E4183" t="s">
        <v>84</v>
      </c>
      <c r="F4183" t="s">
        <v>92</v>
      </c>
      <c r="G4183" t="s">
        <v>263</v>
      </c>
      <c r="H4183" t="str">
        <f>"ΚΟΝΤΟΜΑΡΙ ΠΛΑΤΑΝΙΑΣ"</f>
        <v>ΚΟΝΤΟΜΑΡΙ ΠΛΑΤΑΝΙΑΣ</v>
      </c>
      <c r="I4183">
        <v>73014</v>
      </c>
      <c r="J4183">
        <v>2821062185</v>
      </c>
      <c r="K4183">
        <v>6977423204</v>
      </c>
      <c r="L4183">
        <v>2825083230</v>
      </c>
      <c r="M4183" t="s">
        <v>7819</v>
      </c>
      <c r="N4183" t="s">
        <v>199</v>
      </c>
      <c r="O4183" t="s">
        <v>200</v>
      </c>
      <c r="R4183" t="s">
        <v>57</v>
      </c>
      <c r="S4183">
        <v>9</v>
      </c>
      <c r="T4183">
        <v>231</v>
      </c>
      <c r="U4183" s="1">
        <v>38230</v>
      </c>
      <c r="V4183" t="s">
        <v>6729</v>
      </c>
      <c r="W4183" t="s">
        <v>6730</v>
      </c>
      <c r="X4183" t="s">
        <v>58</v>
      </c>
      <c r="Y4183">
        <v>20</v>
      </c>
      <c r="Z4183" t="s">
        <v>59</v>
      </c>
      <c r="AA4183" t="s">
        <v>59</v>
      </c>
      <c r="AB4183" t="s">
        <v>59</v>
      </c>
      <c r="AC4183" t="s">
        <v>59</v>
      </c>
      <c r="AD4183" t="s">
        <v>59</v>
      </c>
      <c r="AF4183" s="1">
        <v>38230</v>
      </c>
      <c r="AG4183" t="s">
        <v>125</v>
      </c>
      <c r="AH4183" t="s">
        <v>126</v>
      </c>
      <c r="AI4183" t="str">
        <f>"5001080"</f>
        <v>5001080</v>
      </c>
      <c r="AJ4183" t="s">
        <v>6984</v>
      </c>
      <c r="AK4183">
        <v>2821068020</v>
      </c>
      <c r="AL4183" t="s">
        <v>6985</v>
      </c>
      <c r="AM4183" t="s">
        <v>88</v>
      </c>
      <c r="AN4183" t="s">
        <v>6764</v>
      </c>
      <c r="AO4183" t="s">
        <v>6764</v>
      </c>
      <c r="AP4183" t="s">
        <v>6764</v>
      </c>
      <c r="AQ4183">
        <v>1</v>
      </c>
      <c r="AR4183" t="s">
        <v>6729</v>
      </c>
      <c r="AS4183" t="s">
        <v>6730</v>
      </c>
      <c r="AT4183" t="s">
        <v>58</v>
      </c>
      <c r="AU4183" t="s">
        <v>68</v>
      </c>
      <c r="AV4183" t="s">
        <v>69</v>
      </c>
      <c r="AW4183" s="1">
        <v>27913</v>
      </c>
      <c r="AX4183">
        <v>2</v>
      </c>
    </row>
    <row r="4184" spans="1:50">
      <c r="A4184">
        <v>206024</v>
      </c>
      <c r="B4184" t="str">
        <f>"043994260"</f>
        <v>043994260</v>
      </c>
      <c r="C4184" t="s">
        <v>105</v>
      </c>
      <c r="D4184" t="s">
        <v>5130</v>
      </c>
      <c r="E4184" t="s">
        <v>670</v>
      </c>
      <c r="F4184" t="s">
        <v>4368</v>
      </c>
      <c r="G4184" t="s">
        <v>1440</v>
      </c>
      <c r="H4184" t="str">
        <f>" "</f>
        <v xml:space="preserve"> </v>
      </c>
      <c r="J4184">
        <v>2821046296</v>
      </c>
      <c r="K4184">
        <v>6932502223</v>
      </c>
      <c r="N4184" t="s">
        <v>288</v>
      </c>
      <c r="O4184" t="s">
        <v>289</v>
      </c>
      <c r="R4184" t="s">
        <v>57</v>
      </c>
      <c r="S4184">
        <v>12</v>
      </c>
      <c r="T4184">
        <v>231</v>
      </c>
      <c r="U4184" s="1">
        <v>38230</v>
      </c>
      <c r="V4184" t="s">
        <v>6729</v>
      </c>
      <c r="W4184" t="s">
        <v>6730</v>
      </c>
      <c r="X4184" t="s">
        <v>58</v>
      </c>
      <c r="Y4184">
        <v>18</v>
      </c>
      <c r="Z4184" t="s">
        <v>59</v>
      </c>
      <c r="AA4184" t="s">
        <v>59</v>
      </c>
      <c r="AB4184" t="s">
        <v>59</v>
      </c>
      <c r="AC4184" t="s">
        <v>59</v>
      </c>
      <c r="AD4184" t="s">
        <v>59</v>
      </c>
      <c r="AF4184" s="1">
        <v>38233</v>
      </c>
      <c r="AG4184" t="s">
        <v>125</v>
      </c>
      <c r="AH4184" t="s">
        <v>126</v>
      </c>
      <c r="AI4184" t="str">
        <f>"5001020"</f>
        <v>5001020</v>
      </c>
      <c r="AJ4184" t="s">
        <v>6739</v>
      </c>
      <c r="AK4184">
        <v>2821042664</v>
      </c>
      <c r="AL4184" t="s">
        <v>6740</v>
      </c>
      <c r="AM4184" t="s">
        <v>88</v>
      </c>
      <c r="AN4184" t="s">
        <v>88</v>
      </c>
      <c r="AO4184" t="s">
        <v>88</v>
      </c>
      <c r="AP4184" t="s">
        <v>88</v>
      </c>
      <c r="AQ4184">
        <v>1</v>
      </c>
      <c r="AR4184" t="s">
        <v>6729</v>
      </c>
      <c r="AS4184" t="s">
        <v>6730</v>
      </c>
      <c r="AT4184" t="s">
        <v>58</v>
      </c>
      <c r="AU4184" t="s">
        <v>68</v>
      </c>
      <c r="AV4184" t="s">
        <v>69</v>
      </c>
      <c r="AW4184" s="1">
        <v>22459</v>
      </c>
      <c r="AX4184">
        <v>2</v>
      </c>
    </row>
    <row r="4185" spans="1:50">
      <c r="A4185">
        <v>189406</v>
      </c>
      <c r="B4185" t="str">
        <f>"044928820"</f>
        <v>044928820</v>
      </c>
      <c r="C4185" t="s">
        <v>50</v>
      </c>
      <c r="D4185" t="s">
        <v>7820</v>
      </c>
      <c r="E4185" t="s">
        <v>620</v>
      </c>
      <c r="F4185" t="s">
        <v>53</v>
      </c>
      <c r="G4185" t="s">
        <v>83</v>
      </c>
      <c r="H4185" t="str">
        <f>" "</f>
        <v xml:space="preserve"> </v>
      </c>
      <c r="M4185" t="s">
        <v>7821</v>
      </c>
      <c r="N4185" t="s">
        <v>146</v>
      </c>
      <c r="O4185" t="s">
        <v>147</v>
      </c>
      <c r="R4185" t="s">
        <v>57</v>
      </c>
      <c r="S4185">
        <v>8</v>
      </c>
      <c r="T4185">
        <v>219</v>
      </c>
      <c r="U4185" s="1">
        <v>37134</v>
      </c>
      <c r="V4185" t="s">
        <v>6729</v>
      </c>
      <c r="W4185" t="s">
        <v>6730</v>
      </c>
      <c r="X4185" t="s">
        <v>58</v>
      </c>
      <c r="Y4185">
        <v>20</v>
      </c>
      <c r="Z4185" t="s">
        <v>59</v>
      </c>
      <c r="AA4185" t="s">
        <v>59</v>
      </c>
      <c r="AB4185" t="s">
        <v>59</v>
      </c>
      <c r="AC4185" t="s">
        <v>59</v>
      </c>
      <c r="AD4185" t="s">
        <v>59</v>
      </c>
      <c r="AF4185" s="1">
        <v>37139</v>
      </c>
      <c r="AG4185" t="s">
        <v>125</v>
      </c>
      <c r="AH4185" t="s">
        <v>126</v>
      </c>
      <c r="AI4185" t="str">
        <f>"5001072"</f>
        <v>5001072</v>
      </c>
      <c r="AJ4185" t="s">
        <v>6922</v>
      </c>
      <c r="AK4185">
        <v>2821055471</v>
      </c>
      <c r="AL4185" t="s">
        <v>6923</v>
      </c>
      <c r="AM4185" t="s">
        <v>88</v>
      </c>
      <c r="AN4185" t="s">
        <v>88</v>
      </c>
      <c r="AO4185" t="s">
        <v>88</v>
      </c>
      <c r="AP4185" t="s">
        <v>88</v>
      </c>
      <c r="AQ4185">
        <v>1</v>
      </c>
      <c r="AR4185" t="s">
        <v>6729</v>
      </c>
      <c r="AS4185" t="s">
        <v>6730</v>
      </c>
      <c r="AT4185" t="s">
        <v>58</v>
      </c>
      <c r="AU4185" t="s">
        <v>68</v>
      </c>
      <c r="AV4185" t="s">
        <v>69</v>
      </c>
      <c r="AW4185" s="1">
        <v>25090</v>
      </c>
      <c r="AX4185">
        <v>2</v>
      </c>
    </row>
    <row r="4186" spans="1:50">
      <c r="A4186">
        <v>184035</v>
      </c>
      <c r="B4186" t="str">
        <f>"030645415"</f>
        <v>030645415</v>
      </c>
      <c r="C4186" t="s">
        <v>50</v>
      </c>
      <c r="D4186" t="s">
        <v>7822</v>
      </c>
      <c r="E4186" t="s">
        <v>5191</v>
      </c>
      <c r="F4186" t="s">
        <v>84</v>
      </c>
      <c r="G4186" t="s">
        <v>52</v>
      </c>
      <c r="H4186" t="str">
        <f>" "</f>
        <v xml:space="preserve"> </v>
      </c>
      <c r="J4186">
        <v>2821053914</v>
      </c>
      <c r="K4186">
        <v>6972839964</v>
      </c>
      <c r="N4186" t="s">
        <v>199</v>
      </c>
      <c r="O4186" t="s">
        <v>200</v>
      </c>
      <c r="R4186" t="s">
        <v>57</v>
      </c>
      <c r="S4186">
        <v>19</v>
      </c>
      <c r="T4186">
        <v>177</v>
      </c>
      <c r="U4186" s="1">
        <v>36403</v>
      </c>
      <c r="V4186" t="s">
        <v>6729</v>
      </c>
      <c r="W4186" t="s">
        <v>6730</v>
      </c>
      <c r="X4186" t="s">
        <v>58</v>
      </c>
      <c r="Y4186">
        <v>18</v>
      </c>
      <c r="Z4186" t="s">
        <v>59</v>
      </c>
      <c r="AA4186" t="s">
        <v>59</v>
      </c>
      <c r="AB4186" t="s">
        <v>59</v>
      </c>
      <c r="AC4186" t="s">
        <v>59</v>
      </c>
      <c r="AD4186" t="s">
        <v>59</v>
      </c>
      <c r="AF4186" s="1">
        <v>36404</v>
      </c>
      <c r="AG4186" t="s">
        <v>148</v>
      </c>
      <c r="AH4186" t="s">
        <v>149</v>
      </c>
      <c r="AI4186" t="str">
        <f>"5051050"</f>
        <v>5051050</v>
      </c>
      <c r="AJ4186" t="s">
        <v>6861</v>
      </c>
      <c r="AK4186">
        <v>2821044860</v>
      </c>
      <c r="AL4186" t="s">
        <v>6862</v>
      </c>
      <c r="AM4186" t="s">
        <v>88</v>
      </c>
      <c r="AN4186" t="s">
        <v>88</v>
      </c>
      <c r="AO4186" t="s">
        <v>88</v>
      </c>
      <c r="AP4186" t="s">
        <v>88</v>
      </c>
      <c r="AQ4186">
        <v>1</v>
      </c>
      <c r="AR4186" t="s">
        <v>6729</v>
      </c>
      <c r="AS4186" t="s">
        <v>6730</v>
      </c>
      <c r="AT4186" t="s">
        <v>58</v>
      </c>
      <c r="AU4186" t="s">
        <v>68</v>
      </c>
      <c r="AV4186" t="s">
        <v>69</v>
      </c>
      <c r="AW4186" s="1">
        <v>21682</v>
      </c>
      <c r="AX4186">
        <v>2</v>
      </c>
    </row>
    <row r="4187" spans="1:50">
      <c r="A4187">
        <v>207620</v>
      </c>
      <c r="B4187" t="str">
        <f>"059686884"</f>
        <v>059686884</v>
      </c>
      <c r="C4187" t="s">
        <v>50</v>
      </c>
      <c r="D4187" t="s">
        <v>7823</v>
      </c>
      <c r="E4187" t="s">
        <v>83</v>
      </c>
      <c r="F4187" t="s">
        <v>510</v>
      </c>
      <c r="G4187" t="s">
        <v>1286</v>
      </c>
      <c r="H4187" t="str">
        <f>"ΧΩΡΑΦΑΚΙΑ Τ.Θ 1 ΑΚΡΩΤΗΡΙ"</f>
        <v>ΧΩΡΑΦΑΚΙΑ Τ.Θ 1 ΑΚΡΩΤΗΡΙ</v>
      </c>
      <c r="I4187">
        <v>73100</v>
      </c>
      <c r="K4187">
        <v>6977314564</v>
      </c>
      <c r="M4187" t="s">
        <v>7824</v>
      </c>
      <c r="N4187" t="s">
        <v>306</v>
      </c>
      <c r="O4187" t="s">
        <v>307</v>
      </c>
      <c r="R4187" t="s">
        <v>57</v>
      </c>
      <c r="S4187">
        <v>9</v>
      </c>
      <c r="T4187">
        <v>218</v>
      </c>
      <c r="U4187" s="1">
        <v>38596</v>
      </c>
      <c r="V4187" t="s">
        <v>6729</v>
      </c>
      <c r="W4187" t="s">
        <v>6730</v>
      </c>
      <c r="X4187" t="s">
        <v>58</v>
      </c>
      <c r="Y4187">
        <v>20</v>
      </c>
      <c r="Z4187" t="s">
        <v>59</v>
      </c>
      <c r="AA4187" t="s">
        <v>59</v>
      </c>
      <c r="AB4187" t="s">
        <v>59</v>
      </c>
      <c r="AC4187" t="s">
        <v>59</v>
      </c>
      <c r="AD4187" t="s">
        <v>59</v>
      </c>
      <c r="AF4187" s="1">
        <v>38602</v>
      </c>
      <c r="AG4187" t="s">
        <v>125</v>
      </c>
      <c r="AH4187" t="s">
        <v>126</v>
      </c>
      <c r="AI4187" t="str">
        <f>"5001072"</f>
        <v>5001072</v>
      </c>
      <c r="AJ4187" t="s">
        <v>6922</v>
      </c>
      <c r="AK4187">
        <v>2821055471</v>
      </c>
      <c r="AL4187" t="s">
        <v>6923</v>
      </c>
      <c r="AM4187" t="s">
        <v>88</v>
      </c>
      <c r="AN4187" t="s">
        <v>88</v>
      </c>
      <c r="AO4187" t="s">
        <v>88</v>
      </c>
      <c r="AP4187" t="s">
        <v>88</v>
      </c>
      <c r="AQ4187">
        <v>1</v>
      </c>
      <c r="AR4187" t="s">
        <v>6729</v>
      </c>
      <c r="AS4187" t="s">
        <v>6730</v>
      </c>
      <c r="AT4187" t="s">
        <v>58</v>
      </c>
      <c r="AU4187" t="s">
        <v>68</v>
      </c>
      <c r="AV4187" t="s">
        <v>69</v>
      </c>
      <c r="AW4187" s="1">
        <v>26097</v>
      </c>
      <c r="AX4187">
        <v>2</v>
      </c>
    </row>
    <row r="4188" spans="1:50">
      <c r="A4188">
        <v>182389</v>
      </c>
      <c r="B4188" t="str">
        <f>"045929771"</f>
        <v>045929771</v>
      </c>
      <c r="C4188" t="s">
        <v>105</v>
      </c>
      <c r="D4188" t="s">
        <v>7825</v>
      </c>
      <c r="E4188" t="s">
        <v>965</v>
      </c>
      <c r="F4188" t="s">
        <v>95</v>
      </c>
      <c r="G4188" t="s">
        <v>6454</v>
      </c>
      <c r="H4188" t="str">
        <f>" "</f>
        <v xml:space="preserve"> </v>
      </c>
      <c r="J4188">
        <v>2821069760</v>
      </c>
      <c r="K4188">
        <v>6979299426</v>
      </c>
      <c r="M4188" t="s">
        <v>7826</v>
      </c>
      <c r="N4188" t="s">
        <v>157</v>
      </c>
      <c r="O4188" t="s">
        <v>158</v>
      </c>
      <c r="P4188" t="s">
        <v>146</v>
      </c>
      <c r="Q4188" t="s">
        <v>147</v>
      </c>
      <c r="R4188" t="s">
        <v>57</v>
      </c>
      <c r="S4188">
        <v>11</v>
      </c>
      <c r="T4188">
        <v>249</v>
      </c>
      <c r="U4188" s="1">
        <v>36160</v>
      </c>
      <c r="V4188" t="s">
        <v>6729</v>
      </c>
      <c r="W4188" t="s">
        <v>6730</v>
      </c>
      <c r="X4188" t="s">
        <v>58</v>
      </c>
      <c r="Y4188">
        <v>18</v>
      </c>
      <c r="Z4188" t="s">
        <v>59</v>
      </c>
      <c r="AA4188" t="s">
        <v>59</v>
      </c>
      <c r="AB4188" t="s">
        <v>59</v>
      </c>
      <c r="AC4188" t="s">
        <v>59</v>
      </c>
      <c r="AD4188" t="s">
        <v>59</v>
      </c>
      <c r="AF4188" s="1">
        <v>36171</v>
      </c>
      <c r="AG4188" t="s">
        <v>125</v>
      </c>
      <c r="AH4188" t="s">
        <v>126</v>
      </c>
      <c r="AI4188" t="str">
        <f>"5001040"</f>
        <v>5001040</v>
      </c>
      <c r="AJ4188" t="s">
        <v>7126</v>
      </c>
      <c r="AK4188">
        <v>2821088010</v>
      </c>
      <c r="AM4188" t="s">
        <v>88</v>
      </c>
      <c r="AN4188" t="s">
        <v>88</v>
      </c>
      <c r="AO4188" t="s">
        <v>88</v>
      </c>
      <c r="AP4188" t="s">
        <v>88</v>
      </c>
      <c r="AQ4188">
        <v>1</v>
      </c>
      <c r="AR4188" t="s">
        <v>6729</v>
      </c>
      <c r="AS4188" t="s">
        <v>6730</v>
      </c>
      <c r="AT4188" t="s">
        <v>58</v>
      </c>
      <c r="AU4188" t="s">
        <v>68</v>
      </c>
      <c r="AV4188" t="s">
        <v>357</v>
      </c>
      <c r="AW4188" s="1">
        <v>23905</v>
      </c>
      <c r="AX4188">
        <v>2</v>
      </c>
    </row>
    <row r="4189" spans="1:50">
      <c r="A4189">
        <v>206715</v>
      </c>
      <c r="B4189" t="str">
        <f>"113197644"</f>
        <v>113197644</v>
      </c>
      <c r="C4189" t="s">
        <v>50</v>
      </c>
      <c r="D4189" t="s">
        <v>2773</v>
      </c>
      <c r="E4189" t="s">
        <v>1644</v>
      </c>
      <c r="F4189" t="s">
        <v>154</v>
      </c>
      <c r="G4189" t="s">
        <v>255</v>
      </c>
      <c r="H4189" t="str">
        <f>" "</f>
        <v xml:space="preserve"> </v>
      </c>
      <c r="J4189">
        <v>2821077529</v>
      </c>
      <c r="K4189">
        <v>6987436801</v>
      </c>
      <c r="M4189" t="s">
        <v>7827</v>
      </c>
      <c r="N4189" t="s">
        <v>146</v>
      </c>
      <c r="O4189" t="s">
        <v>147</v>
      </c>
      <c r="R4189" t="s">
        <v>57</v>
      </c>
      <c r="S4189">
        <v>8</v>
      </c>
      <c r="T4189">
        <v>218</v>
      </c>
      <c r="U4189" s="1">
        <v>38596</v>
      </c>
      <c r="V4189" t="s">
        <v>6729</v>
      </c>
      <c r="W4189" t="s">
        <v>6730</v>
      </c>
      <c r="X4189" t="s">
        <v>58</v>
      </c>
      <c r="Y4189">
        <v>20</v>
      </c>
      <c r="Z4189" t="s">
        <v>59</v>
      </c>
      <c r="AA4189" t="s">
        <v>59</v>
      </c>
      <c r="AB4189" t="s">
        <v>59</v>
      </c>
      <c r="AC4189" t="s">
        <v>59</v>
      </c>
      <c r="AD4189" t="s">
        <v>59</v>
      </c>
      <c r="AF4189" s="1">
        <v>38602</v>
      </c>
      <c r="AG4189" t="s">
        <v>125</v>
      </c>
      <c r="AH4189" t="s">
        <v>126</v>
      </c>
      <c r="AI4189" t="str">
        <f>"5011010"</f>
        <v>5011010</v>
      </c>
      <c r="AJ4189" t="s">
        <v>6877</v>
      </c>
      <c r="AK4189">
        <v>2821081330</v>
      </c>
      <c r="AL4189" t="s">
        <v>6878</v>
      </c>
      <c r="AM4189" t="s">
        <v>88</v>
      </c>
      <c r="AN4189" t="s">
        <v>88</v>
      </c>
      <c r="AO4189" t="s">
        <v>6748</v>
      </c>
      <c r="AP4189" t="s">
        <v>6748</v>
      </c>
      <c r="AQ4189">
        <v>1</v>
      </c>
      <c r="AR4189" t="s">
        <v>6729</v>
      </c>
      <c r="AS4189" t="s">
        <v>6730</v>
      </c>
      <c r="AT4189" t="s">
        <v>58</v>
      </c>
      <c r="AU4189" t="s">
        <v>68</v>
      </c>
      <c r="AV4189" t="s">
        <v>69</v>
      </c>
      <c r="AW4189" s="1">
        <v>22930</v>
      </c>
      <c r="AX4189">
        <v>2</v>
      </c>
    </row>
    <row r="4190" spans="1:50">
      <c r="A4190">
        <v>192117</v>
      </c>
      <c r="B4190" t="str">
        <f>"061439980"</f>
        <v>061439980</v>
      </c>
      <c r="C4190" t="s">
        <v>105</v>
      </c>
      <c r="D4190" t="s">
        <v>6251</v>
      </c>
      <c r="E4190" t="s">
        <v>84</v>
      </c>
      <c r="F4190" t="s">
        <v>315</v>
      </c>
      <c r="G4190" t="s">
        <v>52</v>
      </c>
      <c r="H4190" t="str">
        <f>" "</f>
        <v xml:space="preserve"> </v>
      </c>
      <c r="J4190">
        <v>2822022462</v>
      </c>
      <c r="K4190">
        <v>6973459378</v>
      </c>
      <c r="M4190" t="s">
        <v>7507</v>
      </c>
      <c r="N4190" t="s">
        <v>168</v>
      </c>
      <c r="O4190" t="s">
        <v>169</v>
      </c>
      <c r="R4190" t="s">
        <v>57</v>
      </c>
      <c r="S4190">
        <v>9</v>
      </c>
      <c r="T4190">
        <v>291</v>
      </c>
      <c r="U4190" s="1">
        <v>37218</v>
      </c>
      <c r="V4190" t="s">
        <v>6729</v>
      </c>
      <c r="W4190" t="s">
        <v>6730</v>
      </c>
      <c r="X4190" t="s">
        <v>58</v>
      </c>
      <c r="Y4190">
        <v>20</v>
      </c>
      <c r="Z4190" t="s">
        <v>59</v>
      </c>
      <c r="AA4190" t="s">
        <v>59</v>
      </c>
      <c r="AB4190" t="s">
        <v>59</v>
      </c>
      <c r="AC4190" t="s">
        <v>59</v>
      </c>
      <c r="AD4190" t="s">
        <v>59</v>
      </c>
      <c r="AF4190" s="1">
        <v>37221</v>
      </c>
      <c r="AG4190" t="s">
        <v>137</v>
      </c>
      <c r="AH4190" t="s">
        <v>138</v>
      </c>
      <c r="AI4190" t="str">
        <f>"5040090"</f>
        <v>5040090</v>
      </c>
      <c r="AJ4190" t="s">
        <v>6757</v>
      </c>
      <c r="AK4190">
        <v>2822022275</v>
      </c>
      <c r="AL4190" t="s">
        <v>6758</v>
      </c>
      <c r="AM4190" t="s">
        <v>88</v>
      </c>
      <c r="AN4190" t="s">
        <v>6744</v>
      </c>
      <c r="AO4190" t="s">
        <v>6744</v>
      </c>
      <c r="AP4190" t="s">
        <v>6744</v>
      </c>
      <c r="AQ4190">
        <v>1</v>
      </c>
      <c r="AR4190" t="s">
        <v>6729</v>
      </c>
      <c r="AS4190" t="s">
        <v>6730</v>
      </c>
      <c r="AT4190" t="s">
        <v>58</v>
      </c>
      <c r="AU4190" t="s">
        <v>68</v>
      </c>
      <c r="AV4190" t="s">
        <v>69</v>
      </c>
      <c r="AW4190" s="1">
        <v>24518</v>
      </c>
      <c r="AX4190">
        <v>2</v>
      </c>
    </row>
    <row r="4191" spans="1:50">
      <c r="A4191">
        <v>166000</v>
      </c>
      <c r="B4191" t="str">
        <f>"030768206"</f>
        <v>030768206</v>
      </c>
      <c r="C4191" t="s">
        <v>105</v>
      </c>
      <c r="D4191" t="s">
        <v>7828</v>
      </c>
      <c r="E4191" t="s">
        <v>166</v>
      </c>
      <c r="F4191" t="s">
        <v>166</v>
      </c>
      <c r="G4191" t="s">
        <v>411</v>
      </c>
      <c r="H4191" t="str">
        <f>"ΓΑΛΑΤΑ 14 ΧΑΝΙΑ"</f>
        <v>ΓΑΛΑΤΑ 14 ΧΑΝΙΑ</v>
      </c>
      <c r="I4191">
        <v>73134</v>
      </c>
      <c r="K4191">
        <v>6909710292</v>
      </c>
      <c r="N4191" t="s">
        <v>292</v>
      </c>
      <c r="O4191" t="s">
        <v>293</v>
      </c>
      <c r="R4191" t="s">
        <v>57</v>
      </c>
      <c r="S4191">
        <v>13</v>
      </c>
      <c r="T4191">
        <v>137</v>
      </c>
      <c r="U4191" s="1">
        <v>34206</v>
      </c>
      <c r="V4191" t="s">
        <v>6729</v>
      </c>
      <c r="W4191" t="s">
        <v>6730</v>
      </c>
      <c r="X4191" t="s">
        <v>58</v>
      </c>
      <c r="Y4191">
        <v>18</v>
      </c>
      <c r="Z4191" t="s">
        <v>59</v>
      </c>
      <c r="AA4191" t="s">
        <v>59</v>
      </c>
      <c r="AB4191" t="s">
        <v>59</v>
      </c>
      <c r="AC4191" t="s">
        <v>59</v>
      </c>
      <c r="AD4191" t="s">
        <v>59</v>
      </c>
      <c r="AF4191" s="1">
        <v>34213</v>
      </c>
      <c r="AG4191" t="s">
        <v>148</v>
      </c>
      <c r="AH4191" t="s">
        <v>149</v>
      </c>
      <c r="AI4191" t="str">
        <f>"5051040"</f>
        <v>5051040</v>
      </c>
      <c r="AJ4191" t="s">
        <v>6811</v>
      </c>
      <c r="AK4191">
        <v>2821088007</v>
      </c>
      <c r="AL4191" t="s">
        <v>6812</v>
      </c>
      <c r="AM4191" t="s">
        <v>88</v>
      </c>
      <c r="AN4191" t="s">
        <v>88</v>
      </c>
      <c r="AO4191" t="s">
        <v>88</v>
      </c>
      <c r="AP4191" t="s">
        <v>88</v>
      </c>
      <c r="AQ4191">
        <v>1</v>
      </c>
      <c r="AR4191" t="s">
        <v>6729</v>
      </c>
      <c r="AS4191" t="s">
        <v>6730</v>
      </c>
      <c r="AT4191" t="s">
        <v>58</v>
      </c>
      <c r="AU4191" t="s">
        <v>68</v>
      </c>
      <c r="AV4191" t="s">
        <v>69</v>
      </c>
      <c r="AW4191" s="1">
        <v>20877</v>
      </c>
      <c r="AX4191">
        <v>2</v>
      </c>
    </row>
    <row r="4192" spans="1:50">
      <c r="A4192">
        <v>224801</v>
      </c>
      <c r="B4192" t="str">
        <f>"037080875"</f>
        <v>037080875</v>
      </c>
      <c r="C4192" t="s">
        <v>50</v>
      </c>
      <c r="D4192" t="s">
        <v>7829</v>
      </c>
      <c r="E4192" t="s">
        <v>255</v>
      </c>
      <c r="F4192" t="s">
        <v>72</v>
      </c>
      <c r="G4192" t="s">
        <v>143</v>
      </c>
      <c r="H4192" t="str">
        <f>"ΚΑΣΤΑΛΙΑΣ Μ.ΤΟΙΧΟΣ ΧΑΝΙΑ"</f>
        <v>ΚΑΣΤΑΛΙΑΣ Μ.ΤΟΙΧΟΣ ΧΑΝΙΑ</v>
      </c>
      <c r="J4192">
        <v>2821033793</v>
      </c>
      <c r="K4192">
        <v>6973349713</v>
      </c>
      <c r="N4192" t="s">
        <v>257</v>
      </c>
      <c r="O4192" t="s">
        <v>258</v>
      </c>
      <c r="R4192" t="s">
        <v>57</v>
      </c>
      <c r="S4192">
        <v>8</v>
      </c>
      <c r="T4192">
        <v>775</v>
      </c>
      <c r="U4192" s="1">
        <v>39680</v>
      </c>
      <c r="V4192" t="s">
        <v>6729</v>
      </c>
      <c r="W4192" t="s">
        <v>6730</v>
      </c>
      <c r="X4192" t="s">
        <v>58</v>
      </c>
      <c r="Y4192">
        <v>20</v>
      </c>
      <c r="Z4192" t="s">
        <v>59</v>
      </c>
      <c r="AA4192" t="s">
        <v>59</v>
      </c>
      <c r="AB4192" t="s">
        <v>59</v>
      </c>
      <c r="AC4192" t="s">
        <v>59</v>
      </c>
      <c r="AD4192" t="s">
        <v>59</v>
      </c>
      <c r="AF4192" s="1">
        <v>39681</v>
      </c>
      <c r="AG4192" t="s">
        <v>148</v>
      </c>
      <c r="AH4192" t="s">
        <v>149</v>
      </c>
      <c r="AI4192" t="str">
        <f>"5052010"</f>
        <v>5052010</v>
      </c>
      <c r="AJ4192" t="s">
        <v>6834</v>
      </c>
      <c r="AK4192">
        <v>2825022200</v>
      </c>
      <c r="AL4192" t="s">
        <v>6835</v>
      </c>
      <c r="AM4192" t="s">
        <v>88</v>
      </c>
      <c r="AN4192" t="s">
        <v>6775</v>
      </c>
      <c r="AO4192" t="s">
        <v>6776</v>
      </c>
      <c r="AP4192" t="s">
        <v>6776</v>
      </c>
      <c r="AQ4192">
        <v>1</v>
      </c>
      <c r="AR4192" t="s">
        <v>6729</v>
      </c>
      <c r="AS4192" t="s">
        <v>6730</v>
      </c>
      <c r="AT4192" t="s">
        <v>58</v>
      </c>
      <c r="AU4192" t="s">
        <v>68</v>
      </c>
      <c r="AV4192" t="s">
        <v>69</v>
      </c>
      <c r="AW4192" s="1">
        <v>23921</v>
      </c>
      <c r="AX4192">
        <v>2</v>
      </c>
    </row>
    <row r="4193" spans="1:50">
      <c r="A4193">
        <v>167716</v>
      </c>
      <c r="B4193" t="str">
        <f>"101551714"</f>
        <v>101551714</v>
      </c>
      <c r="C4193" t="s">
        <v>50</v>
      </c>
      <c r="D4193" t="s">
        <v>7830</v>
      </c>
      <c r="E4193" t="s">
        <v>112</v>
      </c>
      <c r="F4193" t="s">
        <v>72</v>
      </c>
      <c r="G4193" t="s">
        <v>3802</v>
      </c>
      <c r="H4193" t="str">
        <f>"Σοφ.Βενιζέλου 310 Τσικαλαριά-Σούδα"</f>
        <v>Σοφ.Βενιζέλου 310 Τσικαλαριά-Σούδα</v>
      </c>
      <c r="I4193">
        <v>73200</v>
      </c>
      <c r="J4193">
        <v>2821081213</v>
      </c>
      <c r="K4193">
        <v>6980043005</v>
      </c>
      <c r="M4193" t="s">
        <v>7831</v>
      </c>
      <c r="N4193" t="s">
        <v>146</v>
      </c>
      <c r="O4193" t="s">
        <v>147</v>
      </c>
      <c r="R4193" t="s">
        <v>57</v>
      </c>
      <c r="S4193">
        <v>13</v>
      </c>
      <c r="T4193">
        <v>159</v>
      </c>
      <c r="U4193" s="1">
        <v>34582</v>
      </c>
      <c r="V4193" t="s">
        <v>6729</v>
      </c>
      <c r="W4193" t="s">
        <v>6730</v>
      </c>
      <c r="X4193" t="s">
        <v>58</v>
      </c>
      <c r="Y4193">
        <v>18</v>
      </c>
      <c r="Z4193" t="s">
        <v>59</v>
      </c>
      <c r="AA4193" t="s">
        <v>59</v>
      </c>
      <c r="AB4193" t="s">
        <v>59</v>
      </c>
      <c r="AC4193" t="s">
        <v>59</v>
      </c>
      <c r="AD4193" t="s">
        <v>59</v>
      </c>
      <c r="AF4193" s="1">
        <v>34584</v>
      </c>
      <c r="AG4193" t="s">
        <v>125</v>
      </c>
      <c r="AH4193" t="s">
        <v>126</v>
      </c>
      <c r="AI4193" t="str">
        <f>"5011010"</f>
        <v>5011010</v>
      </c>
      <c r="AJ4193" t="s">
        <v>6877</v>
      </c>
      <c r="AK4193">
        <v>2821081330</v>
      </c>
      <c r="AL4193" t="s">
        <v>6878</v>
      </c>
      <c r="AM4193" t="s">
        <v>88</v>
      </c>
      <c r="AN4193" t="s">
        <v>88</v>
      </c>
      <c r="AO4193" t="s">
        <v>6748</v>
      </c>
      <c r="AP4193" t="s">
        <v>6748</v>
      </c>
      <c r="AQ4193">
        <v>1</v>
      </c>
      <c r="AR4193" t="s">
        <v>6729</v>
      </c>
      <c r="AS4193" t="s">
        <v>6730</v>
      </c>
      <c r="AT4193" t="s">
        <v>58</v>
      </c>
      <c r="AU4193" t="s">
        <v>68</v>
      </c>
      <c r="AV4193" t="s">
        <v>69</v>
      </c>
      <c r="AW4193" s="1">
        <v>23626</v>
      </c>
      <c r="AX4193">
        <v>2</v>
      </c>
    </row>
    <row r="4194" spans="1:50">
      <c r="A4194">
        <v>160587</v>
      </c>
      <c r="B4194" t="str">
        <f>"065544211"</f>
        <v>065544211</v>
      </c>
      <c r="C4194" t="s">
        <v>50</v>
      </c>
      <c r="D4194" t="s">
        <v>5144</v>
      </c>
      <c r="E4194" t="s">
        <v>215</v>
      </c>
      <c r="F4194" t="s">
        <v>84</v>
      </c>
      <c r="G4194" t="s">
        <v>263</v>
      </c>
      <c r="H4194" t="str">
        <f>"ΕΠΙΣΚΟΠΟΥ ΣΤΡΑΤΗΓΑΚΗ ΠΛΑΚΟΥΡΕΣ"</f>
        <v>ΕΠΙΣΚΟΠΟΥ ΣΤΡΑΤΗΓΑΚΗ ΠΛΑΚΟΥΡΕΣ</v>
      </c>
      <c r="I4194">
        <v>73100</v>
      </c>
      <c r="J4194">
        <v>2821069750</v>
      </c>
      <c r="K4194">
        <v>6944206629</v>
      </c>
      <c r="M4194" t="s">
        <v>7832</v>
      </c>
      <c r="N4194" t="s">
        <v>306</v>
      </c>
      <c r="O4194" t="s">
        <v>307</v>
      </c>
      <c r="R4194" t="s">
        <v>57</v>
      </c>
      <c r="S4194">
        <v>15</v>
      </c>
      <c r="T4194">
        <v>161</v>
      </c>
      <c r="U4194" s="1">
        <v>33119</v>
      </c>
      <c r="V4194" t="s">
        <v>6729</v>
      </c>
      <c r="W4194" t="s">
        <v>6730</v>
      </c>
      <c r="X4194" t="s">
        <v>58</v>
      </c>
      <c r="Y4194">
        <v>18</v>
      </c>
      <c r="Z4194" t="s">
        <v>59</v>
      </c>
      <c r="AA4194" t="s">
        <v>59</v>
      </c>
      <c r="AB4194" t="s">
        <v>59</v>
      </c>
      <c r="AC4194" t="s">
        <v>59</v>
      </c>
      <c r="AD4194" t="s">
        <v>59</v>
      </c>
      <c r="AF4194" s="1">
        <v>33121</v>
      </c>
      <c r="AG4194" t="s">
        <v>137</v>
      </c>
      <c r="AH4194" t="s">
        <v>138</v>
      </c>
      <c r="AI4194" t="str">
        <f>"5040080"</f>
        <v>5040080</v>
      </c>
      <c r="AJ4194" t="s">
        <v>6753</v>
      </c>
      <c r="AK4194">
        <v>2821093155</v>
      </c>
      <c r="AL4194" t="s">
        <v>6754</v>
      </c>
      <c r="AM4194" t="s">
        <v>88</v>
      </c>
      <c r="AN4194" t="s">
        <v>88</v>
      </c>
      <c r="AO4194" t="s">
        <v>6733</v>
      </c>
      <c r="AP4194" t="s">
        <v>6755</v>
      </c>
      <c r="AQ4194">
        <v>1</v>
      </c>
      <c r="AR4194" t="s">
        <v>6729</v>
      </c>
      <c r="AS4194" t="s">
        <v>6730</v>
      </c>
      <c r="AT4194" t="s">
        <v>58</v>
      </c>
      <c r="AU4194" t="s">
        <v>68</v>
      </c>
      <c r="AV4194" t="s">
        <v>69</v>
      </c>
      <c r="AW4194" s="1">
        <v>22577</v>
      </c>
      <c r="AX4194">
        <v>2</v>
      </c>
    </row>
    <row r="4195" spans="1:50">
      <c r="A4195">
        <v>204054</v>
      </c>
      <c r="B4195" t="str">
        <f>"052944950"</f>
        <v>052944950</v>
      </c>
      <c r="C4195" t="s">
        <v>50</v>
      </c>
      <c r="D4195" t="s">
        <v>5146</v>
      </c>
      <c r="E4195" t="s">
        <v>860</v>
      </c>
      <c r="F4195" t="s">
        <v>84</v>
      </c>
      <c r="G4195" t="s">
        <v>1001</v>
      </c>
      <c r="H4195" t="str">
        <f>"ΕΡΩΦΙΛΗΣ 7 ΧΑΝΙΑ"</f>
        <v>ΕΡΩΦΙΛΗΣ 7 ΧΑΝΙΑ</v>
      </c>
      <c r="I4195">
        <v>73134</v>
      </c>
      <c r="J4195">
        <v>2821028138</v>
      </c>
      <c r="K4195">
        <v>6974527353</v>
      </c>
      <c r="M4195" t="s">
        <v>7833</v>
      </c>
      <c r="N4195" t="s">
        <v>176</v>
      </c>
      <c r="O4195" t="s">
        <v>177</v>
      </c>
      <c r="R4195" t="s">
        <v>57</v>
      </c>
      <c r="S4195">
        <v>7</v>
      </c>
      <c r="T4195">
        <v>231</v>
      </c>
      <c r="U4195" s="1">
        <v>38230</v>
      </c>
      <c r="V4195" t="s">
        <v>6729</v>
      </c>
      <c r="W4195" t="s">
        <v>6730</v>
      </c>
      <c r="X4195" t="s">
        <v>58</v>
      </c>
      <c r="Y4195">
        <v>20</v>
      </c>
      <c r="Z4195" t="s">
        <v>59</v>
      </c>
      <c r="AA4195" t="s">
        <v>59</v>
      </c>
      <c r="AB4195" t="s">
        <v>59</v>
      </c>
      <c r="AC4195" t="s">
        <v>59</v>
      </c>
      <c r="AD4195" t="s">
        <v>59</v>
      </c>
      <c r="AF4195" s="1">
        <v>38233</v>
      </c>
      <c r="AG4195" t="s">
        <v>148</v>
      </c>
      <c r="AH4195" t="s">
        <v>149</v>
      </c>
      <c r="AI4195" t="str">
        <f>"5052010"</f>
        <v>5052010</v>
      </c>
      <c r="AJ4195" t="s">
        <v>6834</v>
      </c>
      <c r="AK4195">
        <v>2825022200</v>
      </c>
      <c r="AL4195" t="s">
        <v>6835</v>
      </c>
      <c r="AM4195" t="s">
        <v>88</v>
      </c>
      <c r="AN4195" t="s">
        <v>6775</v>
      </c>
      <c r="AO4195" t="s">
        <v>6776</v>
      </c>
      <c r="AP4195" t="s">
        <v>6776</v>
      </c>
      <c r="AQ4195">
        <v>1</v>
      </c>
      <c r="AR4195" t="s">
        <v>6729</v>
      </c>
      <c r="AS4195" t="s">
        <v>6730</v>
      </c>
      <c r="AT4195" t="s">
        <v>58</v>
      </c>
      <c r="AU4195" t="s">
        <v>68</v>
      </c>
      <c r="AV4195" t="s">
        <v>69</v>
      </c>
      <c r="AW4195" s="1">
        <v>26772</v>
      </c>
      <c r="AX4195">
        <v>2</v>
      </c>
    </row>
    <row r="4196" spans="1:50">
      <c r="A4196">
        <v>201736</v>
      </c>
      <c r="B4196" t="str">
        <f>"070931322"</f>
        <v>070931322</v>
      </c>
      <c r="C4196" t="s">
        <v>50</v>
      </c>
      <c r="D4196" t="s">
        <v>7834</v>
      </c>
      <c r="E4196" t="s">
        <v>215</v>
      </c>
      <c r="F4196" t="s">
        <v>202</v>
      </c>
      <c r="G4196" t="s">
        <v>83</v>
      </c>
      <c r="H4196" t="str">
        <f>" "</f>
        <v xml:space="preserve"> </v>
      </c>
      <c r="J4196">
        <v>2821033096</v>
      </c>
      <c r="K4196">
        <v>6945544100</v>
      </c>
      <c r="M4196" t="s">
        <v>7835</v>
      </c>
      <c r="N4196" t="s">
        <v>146</v>
      </c>
      <c r="O4196" t="s">
        <v>147</v>
      </c>
      <c r="R4196" t="s">
        <v>57</v>
      </c>
      <c r="S4196">
        <v>7</v>
      </c>
      <c r="T4196">
        <v>231</v>
      </c>
      <c r="U4196" s="1">
        <v>38230</v>
      </c>
      <c r="V4196" t="s">
        <v>6729</v>
      </c>
      <c r="W4196" t="s">
        <v>6730</v>
      </c>
      <c r="X4196" t="s">
        <v>58</v>
      </c>
      <c r="Y4196">
        <v>20</v>
      </c>
      <c r="Z4196" t="s">
        <v>59</v>
      </c>
      <c r="AA4196" t="s">
        <v>59</v>
      </c>
      <c r="AB4196" t="s">
        <v>59</v>
      </c>
      <c r="AC4196" t="s">
        <v>59</v>
      </c>
      <c r="AD4196" t="s">
        <v>59</v>
      </c>
      <c r="AF4196" s="1">
        <v>38233</v>
      </c>
      <c r="AG4196" t="s">
        <v>125</v>
      </c>
      <c r="AH4196" t="s">
        <v>126</v>
      </c>
      <c r="AI4196" t="str">
        <f>"5004010"</f>
        <v>5004010</v>
      </c>
      <c r="AJ4196" t="s">
        <v>7166</v>
      </c>
      <c r="AK4196">
        <v>2822022067</v>
      </c>
      <c r="AL4196" t="s">
        <v>7167</v>
      </c>
      <c r="AM4196" t="s">
        <v>88</v>
      </c>
      <c r="AN4196" t="s">
        <v>6744</v>
      </c>
      <c r="AO4196" t="s">
        <v>6744</v>
      </c>
      <c r="AP4196" t="s">
        <v>6744</v>
      </c>
      <c r="AQ4196">
        <v>1</v>
      </c>
      <c r="AR4196" t="s">
        <v>6729</v>
      </c>
      <c r="AS4196" t="s">
        <v>6730</v>
      </c>
      <c r="AT4196" t="s">
        <v>58</v>
      </c>
      <c r="AU4196" t="s">
        <v>68</v>
      </c>
      <c r="AV4196" t="s">
        <v>69</v>
      </c>
      <c r="AW4196" s="1">
        <v>28281</v>
      </c>
      <c r="AX4196">
        <v>2</v>
      </c>
    </row>
    <row r="4197" spans="1:50">
      <c r="A4197">
        <v>703755</v>
      </c>
      <c r="B4197" t="str">
        <f>"121303156"</f>
        <v>121303156</v>
      </c>
      <c r="C4197" t="s">
        <v>50</v>
      </c>
      <c r="D4197" t="s">
        <v>7836</v>
      </c>
      <c r="E4197" t="s">
        <v>7837</v>
      </c>
      <c r="F4197" t="s">
        <v>2933</v>
      </c>
      <c r="G4197" t="s">
        <v>513</v>
      </c>
      <c r="H4197" t="str">
        <f>"ΑΓΙΟΥ ΑΘΑΝΑΣΙΟΥ 41 ΠΑΡΓΑ"</f>
        <v>ΑΓΙΟΥ ΑΘΑΝΑΣΙΟΥ 41 ΠΑΡΓΑ</v>
      </c>
      <c r="I4197">
        <v>48600</v>
      </c>
      <c r="K4197">
        <v>6937799661</v>
      </c>
      <c r="L4197">
        <v>6946575993</v>
      </c>
      <c r="N4197" t="s">
        <v>168</v>
      </c>
      <c r="O4197" t="s">
        <v>169</v>
      </c>
      <c r="R4197" t="s">
        <v>159</v>
      </c>
      <c r="S4197">
        <v>6</v>
      </c>
      <c r="T4197">
        <v>225</v>
      </c>
      <c r="U4197" s="1">
        <v>41695</v>
      </c>
      <c r="V4197" t="s">
        <v>6729</v>
      </c>
      <c r="W4197" t="s">
        <v>6730</v>
      </c>
      <c r="X4197" t="s">
        <v>58</v>
      </c>
      <c r="Y4197">
        <v>21</v>
      </c>
      <c r="Z4197" t="s">
        <v>59</v>
      </c>
      <c r="AA4197" t="s">
        <v>59</v>
      </c>
      <c r="AB4197" t="s">
        <v>59</v>
      </c>
      <c r="AC4197" t="s">
        <v>59</v>
      </c>
      <c r="AD4197" t="s">
        <v>59</v>
      </c>
      <c r="AF4197" s="1">
        <v>41695</v>
      </c>
      <c r="AG4197" t="s">
        <v>125</v>
      </c>
      <c r="AH4197" t="s">
        <v>126</v>
      </c>
      <c r="AI4197" t="str">
        <f>"5010010"</f>
        <v>5010010</v>
      </c>
      <c r="AJ4197" t="s">
        <v>6779</v>
      </c>
      <c r="AK4197">
        <v>2825051288</v>
      </c>
      <c r="AL4197" t="s">
        <v>6780</v>
      </c>
      <c r="AM4197" t="s">
        <v>88</v>
      </c>
      <c r="AN4197" t="s">
        <v>6775</v>
      </c>
      <c r="AO4197" t="s">
        <v>6781</v>
      </c>
      <c r="AP4197" t="s">
        <v>6782</v>
      </c>
      <c r="AQ4197">
        <v>1</v>
      </c>
      <c r="AR4197" t="s">
        <v>6729</v>
      </c>
      <c r="AS4197" t="s">
        <v>6730</v>
      </c>
      <c r="AT4197" t="s">
        <v>58</v>
      </c>
      <c r="AU4197" t="s">
        <v>68</v>
      </c>
      <c r="AV4197" t="s">
        <v>69</v>
      </c>
      <c r="AW4197" s="1">
        <v>28126</v>
      </c>
      <c r="AX4197">
        <v>2</v>
      </c>
    </row>
    <row r="4198" spans="1:50">
      <c r="B4198" t="str">
        <f>"101557720"</f>
        <v>101557720</v>
      </c>
      <c r="C4198" t="s">
        <v>50</v>
      </c>
      <c r="D4198" t="s">
        <v>7838</v>
      </c>
      <c r="E4198" t="s">
        <v>610</v>
      </c>
      <c r="F4198" t="s">
        <v>72</v>
      </c>
      <c r="H4198" t="str">
        <f>" "</f>
        <v xml:space="preserve"> </v>
      </c>
      <c r="K4198">
        <v>6974819885</v>
      </c>
      <c r="M4198" t="s">
        <v>7839</v>
      </c>
      <c r="N4198" t="s">
        <v>536</v>
      </c>
      <c r="O4198" t="s">
        <v>537</v>
      </c>
      <c r="R4198" t="s">
        <v>159</v>
      </c>
      <c r="S4198">
        <v>3</v>
      </c>
      <c r="T4198" t="s">
        <v>122</v>
      </c>
      <c r="U4198" s="1">
        <v>43348</v>
      </c>
      <c r="V4198" t="s">
        <v>6729</v>
      </c>
      <c r="W4198" t="s">
        <v>6730</v>
      </c>
      <c r="X4198" t="s">
        <v>58</v>
      </c>
      <c r="Y4198">
        <v>23</v>
      </c>
      <c r="Z4198" t="s">
        <v>59</v>
      </c>
      <c r="AA4198" t="s">
        <v>59</v>
      </c>
      <c r="AB4198" t="s">
        <v>59</v>
      </c>
      <c r="AC4198" t="s">
        <v>59</v>
      </c>
      <c r="AD4198" t="s">
        <v>59</v>
      </c>
      <c r="AF4198" s="1">
        <v>43348</v>
      </c>
      <c r="AG4198" t="s">
        <v>125</v>
      </c>
      <c r="AH4198" t="s">
        <v>126</v>
      </c>
      <c r="AI4198" t="str">
        <f>"5001073"</f>
        <v>5001073</v>
      </c>
      <c r="AJ4198" t="s">
        <v>6849</v>
      </c>
      <c r="AK4198">
        <v>2821028553</v>
      </c>
      <c r="AL4198" t="s">
        <v>6850</v>
      </c>
      <c r="AM4198" t="s">
        <v>88</v>
      </c>
      <c r="AN4198" t="s">
        <v>88</v>
      </c>
      <c r="AO4198" t="s">
        <v>88</v>
      </c>
      <c r="AP4198" t="s">
        <v>88</v>
      </c>
      <c r="AQ4198">
        <v>1</v>
      </c>
      <c r="AR4198" t="s">
        <v>6729</v>
      </c>
      <c r="AS4198" t="s">
        <v>6730</v>
      </c>
      <c r="AT4198" t="s">
        <v>58</v>
      </c>
      <c r="AU4198" t="s">
        <v>131</v>
      </c>
      <c r="AV4198" t="s">
        <v>132</v>
      </c>
      <c r="AW4198" s="1">
        <v>27480</v>
      </c>
      <c r="AX4198">
        <v>2</v>
      </c>
    </row>
    <row r="4199" spans="1:50">
      <c r="A4199">
        <v>193844</v>
      </c>
      <c r="B4199" t="str">
        <f>"067999330"</f>
        <v>067999330</v>
      </c>
      <c r="C4199" t="s">
        <v>50</v>
      </c>
      <c r="D4199" t="s">
        <v>7840</v>
      </c>
      <c r="E4199" t="s">
        <v>396</v>
      </c>
      <c r="F4199" t="s">
        <v>589</v>
      </c>
      <c r="G4199" t="s">
        <v>335</v>
      </c>
      <c r="H4199" t="str">
        <f>" "</f>
        <v xml:space="preserve"> </v>
      </c>
      <c r="J4199">
        <v>2321026231</v>
      </c>
      <c r="K4199">
        <v>6973370994</v>
      </c>
      <c r="N4199" t="s">
        <v>478</v>
      </c>
      <c r="O4199" t="s">
        <v>479</v>
      </c>
      <c r="R4199" t="s">
        <v>57</v>
      </c>
      <c r="S4199">
        <v>10</v>
      </c>
      <c r="T4199">
        <v>193</v>
      </c>
      <c r="U4199" s="1">
        <v>37497</v>
      </c>
      <c r="V4199" t="s">
        <v>6729</v>
      </c>
      <c r="W4199" t="s">
        <v>6730</v>
      </c>
      <c r="X4199" t="s">
        <v>58</v>
      </c>
      <c r="Y4199">
        <v>20</v>
      </c>
      <c r="Z4199" t="s">
        <v>59</v>
      </c>
      <c r="AA4199" t="s">
        <v>59</v>
      </c>
      <c r="AB4199" t="s">
        <v>59</v>
      </c>
      <c r="AC4199" t="s">
        <v>59</v>
      </c>
      <c r="AD4199" t="s">
        <v>59</v>
      </c>
      <c r="AF4199" s="1">
        <v>37501</v>
      </c>
      <c r="AG4199" t="s">
        <v>125</v>
      </c>
      <c r="AH4199" t="s">
        <v>126</v>
      </c>
      <c r="AI4199" t="str">
        <f>"5012010"</f>
        <v>5012010</v>
      </c>
      <c r="AJ4199" t="s">
        <v>6794</v>
      </c>
      <c r="AK4199">
        <v>2821033195</v>
      </c>
      <c r="AL4199" t="s">
        <v>6795</v>
      </c>
      <c r="AM4199" t="s">
        <v>88</v>
      </c>
      <c r="AN4199" t="s">
        <v>88</v>
      </c>
      <c r="AO4199" t="s">
        <v>6785</v>
      </c>
      <c r="AP4199" t="s">
        <v>6786</v>
      </c>
      <c r="AQ4199">
        <v>1</v>
      </c>
      <c r="AR4199" t="s">
        <v>6729</v>
      </c>
      <c r="AS4199" t="s">
        <v>6730</v>
      </c>
      <c r="AT4199" t="s">
        <v>58</v>
      </c>
      <c r="AU4199" t="s">
        <v>68</v>
      </c>
      <c r="AV4199" t="s">
        <v>69</v>
      </c>
      <c r="AW4199" s="1">
        <v>28639</v>
      </c>
      <c r="AX4199">
        <v>2</v>
      </c>
    </row>
    <row r="4200" spans="1:50">
      <c r="A4200">
        <v>175551</v>
      </c>
      <c r="B4200" t="str">
        <f>"043417192"</f>
        <v>043417192</v>
      </c>
      <c r="C4200" t="s">
        <v>50</v>
      </c>
      <c r="D4200" t="s">
        <v>7841</v>
      </c>
      <c r="E4200" t="s">
        <v>188</v>
      </c>
      <c r="F4200" t="s">
        <v>72</v>
      </c>
      <c r="G4200" t="s">
        <v>83</v>
      </c>
      <c r="H4200" t="str">
        <f>"Μινωα 5 Χαλέπα"</f>
        <v>Μινωα 5 Χαλέπα</v>
      </c>
      <c r="J4200">
        <v>2821058541</v>
      </c>
      <c r="K4200">
        <v>6940104776</v>
      </c>
      <c r="M4200" t="s">
        <v>7842</v>
      </c>
      <c r="N4200" t="s">
        <v>146</v>
      </c>
      <c r="O4200" t="s">
        <v>147</v>
      </c>
      <c r="R4200" t="s">
        <v>57</v>
      </c>
      <c r="S4200">
        <v>12</v>
      </c>
      <c r="T4200">
        <v>180</v>
      </c>
      <c r="U4200" s="1">
        <v>35674</v>
      </c>
      <c r="V4200" t="s">
        <v>6729</v>
      </c>
      <c r="W4200" t="s">
        <v>6730</v>
      </c>
      <c r="X4200" t="s">
        <v>58</v>
      </c>
      <c r="Y4200">
        <v>18</v>
      </c>
      <c r="Z4200" t="s">
        <v>59</v>
      </c>
      <c r="AA4200" t="s">
        <v>59</v>
      </c>
      <c r="AB4200" t="s">
        <v>59</v>
      </c>
      <c r="AC4200" t="s">
        <v>59</v>
      </c>
      <c r="AD4200" t="s">
        <v>59</v>
      </c>
      <c r="AF4200" s="1">
        <v>35675</v>
      </c>
      <c r="AG4200" t="s">
        <v>125</v>
      </c>
      <c r="AH4200" t="s">
        <v>126</v>
      </c>
      <c r="AI4200" t="str">
        <f>"5001073"</f>
        <v>5001073</v>
      </c>
      <c r="AJ4200" t="s">
        <v>6849</v>
      </c>
      <c r="AK4200">
        <v>2821028553</v>
      </c>
      <c r="AL4200" t="s">
        <v>6850</v>
      </c>
      <c r="AM4200" t="s">
        <v>88</v>
      </c>
      <c r="AN4200" t="s">
        <v>88</v>
      </c>
      <c r="AO4200" t="s">
        <v>88</v>
      </c>
      <c r="AP4200" t="s">
        <v>88</v>
      </c>
      <c r="AQ4200">
        <v>1</v>
      </c>
      <c r="AR4200" t="s">
        <v>6729</v>
      </c>
      <c r="AS4200" t="s">
        <v>6730</v>
      </c>
      <c r="AT4200" t="s">
        <v>58</v>
      </c>
      <c r="AU4200" t="s">
        <v>68</v>
      </c>
      <c r="AV4200" t="s">
        <v>69</v>
      </c>
      <c r="AW4200" s="1">
        <v>24246</v>
      </c>
      <c r="AX4200">
        <v>2</v>
      </c>
    </row>
    <row r="4201" spans="1:50">
      <c r="A4201">
        <v>190908</v>
      </c>
      <c r="B4201" t="str">
        <f>"074843952"</f>
        <v>074843952</v>
      </c>
      <c r="C4201" t="s">
        <v>105</v>
      </c>
      <c r="D4201" t="s">
        <v>7843</v>
      </c>
      <c r="E4201" t="s">
        <v>106</v>
      </c>
      <c r="F4201" t="s">
        <v>95</v>
      </c>
      <c r="G4201" t="s">
        <v>112</v>
      </c>
      <c r="H4201" t="str">
        <f>"ΠΑΡΟΔΟΣ ΠΑΡΑΣΚΕΥΑ ΓΙΟΥΡΜΕΤΑΚΗ ΧΑΝΙΑ"</f>
        <v>ΠΑΡΟΔΟΣ ΠΑΡΑΣΚΕΥΑ ΓΙΟΥΡΜΕΤΑΚΗ ΧΑΝΙΑ</v>
      </c>
      <c r="I4201">
        <v>73133</v>
      </c>
      <c r="J4201">
        <v>2821056633</v>
      </c>
      <c r="K4201">
        <v>6977672049</v>
      </c>
      <c r="M4201" t="s">
        <v>7844</v>
      </c>
      <c r="N4201" t="s">
        <v>204</v>
      </c>
      <c r="O4201" t="s">
        <v>205</v>
      </c>
      <c r="R4201" t="s">
        <v>57</v>
      </c>
      <c r="S4201">
        <v>8</v>
      </c>
      <c r="T4201">
        <v>219</v>
      </c>
      <c r="U4201" s="1">
        <v>37134</v>
      </c>
      <c r="V4201" t="s">
        <v>6729</v>
      </c>
      <c r="W4201" t="s">
        <v>6730</v>
      </c>
      <c r="X4201" t="s">
        <v>58</v>
      </c>
      <c r="Y4201">
        <v>20</v>
      </c>
      <c r="Z4201" t="s">
        <v>59</v>
      </c>
      <c r="AA4201" t="s">
        <v>59</v>
      </c>
      <c r="AB4201" t="s">
        <v>59</v>
      </c>
      <c r="AC4201" t="s">
        <v>59</v>
      </c>
      <c r="AD4201" t="s">
        <v>59</v>
      </c>
      <c r="AF4201" s="1">
        <v>37138</v>
      </c>
      <c r="AG4201" t="s">
        <v>137</v>
      </c>
      <c r="AH4201" t="s">
        <v>138</v>
      </c>
      <c r="AI4201" t="str">
        <f>"5040080"</f>
        <v>5040080</v>
      </c>
      <c r="AJ4201" t="s">
        <v>6753</v>
      </c>
      <c r="AK4201">
        <v>2821093155</v>
      </c>
      <c r="AL4201" t="s">
        <v>6754</v>
      </c>
      <c r="AM4201" t="s">
        <v>88</v>
      </c>
      <c r="AN4201" t="s">
        <v>88</v>
      </c>
      <c r="AO4201" t="s">
        <v>6733</v>
      </c>
      <c r="AP4201" t="s">
        <v>6755</v>
      </c>
      <c r="AQ4201">
        <v>1</v>
      </c>
      <c r="AR4201" t="s">
        <v>6729</v>
      </c>
      <c r="AS4201" t="s">
        <v>6730</v>
      </c>
      <c r="AT4201" t="s">
        <v>58</v>
      </c>
      <c r="AU4201" t="s">
        <v>68</v>
      </c>
      <c r="AV4201" t="s">
        <v>69</v>
      </c>
      <c r="AW4201" s="1">
        <v>26514</v>
      </c>
      <c r="AX4201">
        <v>2</v>
      </c>
    </row>
    <row r="4202" spans="1:50">
      <c r="A4202">
        <v>181470</v>
      </c>
      <c r="B4202" t="str">
        <f>"054499451"</f>
        <v>054499451</v>
      </c>
      <c r="C4202" t="s">
        <v>105</v>
      </c>
      <c r="D4202" t="s">
        <v>7845</v>
      </c>
      <c r="E4202" t="s">
        <v>377</v>
      </c>
      <c r="F4202" t="s">
        <v>1716</v>
      </c>
      <c r="G4202" t="s">
        <v>3386</v>
      </c>
      <c r="H4202" t="str">
        <f>"ΣΤ.ΣΦΑΚΙΩΤΑΚΗ 32 ΛΕΝΤΑΡΙΑΝΑ"</f>
        <v>ΣΤ.ΣΦΑΚΙΩΤΑΚΗ 32 ΛΕΝΤΑΡΙΑΝΑ</v>
      </c>
      <c r="I4202">
        <v>73134</v>
      </c>
      <c r="J4202">
        <v>2821053274</v>
      </c>
      <c r="K4202">
        <v>6974645761</v>
      </c>
      <c r="M4202" t="s">
        <v>7846</v>
      </c>
      <c r="N4202" t="s">
        <v>299</v>
      </c>
      <c r="O4202" t="s">
        <v>300</v>
      </c>
      <c r="P4202" t="s">
        <v>615</v>
      </c>
      <c r="Q4202" t="s">
        <v>616</v>
      </c>
      <c r="R4202" t="s">
        <v>57</v>
      </c>
      <c r="S4202">
        <v>11</v>
      </c>
      <c r="T4202">
        <v>164</v>
      </c>
      <c r="U4202" s="1">
        <v>36040</v>
      </c>
      <c r="V4202" t="s">
        <v>6729</v>
      </c>
      <c r="W4202" t="s">
        <v>6730</v>
      </c>
      <c r="X4202" t="s">
        <v>58</v>
      </c>
      <c r="Y4202">
        <v>18</v>
      </c>
      <c r="Z4202" t="s">
        <v>59</v>
      </c>
      <c r="AA4202" t="s">
        <v>59</v>
      </c>
      <c r="AB4202" t="s">
        <v>59</v>
      </c>
      <c r="AC4202" t="s">
        <v>59</v>
      </c>
      <c r="AD4202" t="s">
        <v>59</v>
      </c>
      <c r="AF4202" s="1">
        <v>36047</v>
      </c>
      <c r="AG4202" t="s">
        <v>137</v>
      </c>
      <c r="AH4202" t="s">
        <v>138</v>
      </c>
      <c r="AI4202" t="str">
        <f>"5050060"</f>
        <v>5050060</v>
      </c>
      <c r="AJ4202" t="s">
        <v>6801</v>
      </c>
      <c r="AK4202">
        <v>2821091515</v>
      </c>
      <c r="AL4202" t="s">
        <v>6802</v>
      </c>
      <c r="AM4202" t="s">
        <v>88</v>
      </c>
      <c r="AN4202" t="s">
        <v>88</v>
      </c>
      <c r="AO4202" t="s">
        <v>88</v>
      </c>
      <c r="AP4202" t="s">
        <v>88</v>
      </c>
      <c r="AQ4202">
        <v>1</v>
      </c>
      <c r="AR4202" t="s">
        <v>6729</v>
      </c>
      <c r="AS4202" t="s">
        <v>6730</v>
      </c>
      <c r="AT4202" t="s">
        <v>58</v>
      </c>
      <c r="AU4202" t="s">
        <v>68</v>
      </c>
      <c r="AV4202" t="s">
        <v>69</v>
      </c>
      <c r="AW4202" s="1">
        <v>23922</v>
      </c>
      <c r="AX4202">
        <v>2</v>
      </c>
    </row>
    <row r="4203" spans="1:50">
      <c r="A4203">
        <v>167984</v>
      </c>
      <c r="B4203" t="str">
        <f>"065531497"</f>
        <v>065531497</v>
      </c>
      <c r="C4203" t="s">
        <v>50</v>
      </c>
      <c r="D4203" t="s">
        <v>7847</v>
      </c>
      <c r="E4203" t="s">
        <v>372</v>
      </c>
      <c r="F4203" t="s">
        <v>230</v>
      </c>
      <c r="G4203" t="s">
        <v>411</v>
      </c>
      <c r="H4203" t="str">
        <f>" "</f>
        <v xml:space="preserve"> </v>
      </c>
      <c r="J4203">
        <v>2821097301</v>
      </c>
      <c r="N4203" t="s">
        <v>292</v>
      </c>
      <c r="O4203" t="s">
        <v>293</v>
      </c>
      <c r="R4203" t="s">
        <v>57</v>
      </c>
      <c r="S4203">
        <v>13</v>
      </c>
      <c r="T4203">
        <v>159</v>
      </c>
      <c r="U4203" s="1">
        <v>34582</v>
      </c>
      <c r="V4203" t="s">
        <v>6729</v>
      </c>
      <c r="W4203" t="s">
        <v>6730</v>
      </c>
      <c r="X4203" t="s">
        <v>58</v>
      </c>
      <c r="Y4203">
        <v>18</v>
      </c>
      <c r="Z4203" t="s">
        <v>59</v>
      </c>
      <c r="AA4203" t="s">
        <v>59</v>
      </c>
      <c r="AB4203" t="s">
        <v>59</v>
      </c>
      <c r="AC4203" t="s">
        <v>59</v>
      </c>
      <c r="AD4203" t="s">
        <v>59</v>
      </c>
      <c r="AF4203" s="1">
        <v>34582</v>
      </c>
      <c r="AG4203" t="s">
        <v>125</v>
      </c>
      <c r="AH4203" t="s">
        <v>126</v>
      </c>
      <c r="AI4203" t="str">
        <f>"5001070"</f>
        <v>5001070</v>
      </c>
      <c r="AJ4203" t="s">
        <v>6731</v>
      </c>
      <c r="AK4203">
        <v>2821088045</v>
      </c>
      <c r="AL4203" t="s">
        <v>6732</v>
      </c>
      <c r="AM4203" t="s">
        <v>88</v>
      </c>
      <c r="AN4203" t="s">
        <v>88</v>
      </c>
      <c r="AO4203" t="s">
        <v>6733</v>
      </c>
      <c r="AP4203" t="s">
        <v>6734</v>
      </c>
      <c r="AQ4203">
        <v>1</v>
      </c>
      <c r="AR4203" t="s">
        <v>6729</v>
      </c>
      <c r="AS4203" t="s">
        <v>6730</v>
      </c>
      <c r="AT4203" t="s">
        <v>58</v>
      </c>
      <c r="AU4203" t="s">
        <v>68</v>
      </c>
      <c r="AV4203" t="s">
        <v>69</v>
      </c>
      <c r="AW4203" s="1">
        <v>21584</v>
      </c>
      <c r="AX4203">
        <v>2</v>
      </c>
    </row>
    <row r="4204" spans="1:50">
      <c r="A4204">
        <v>214078</v>
      </c>
      <c r="B4204" t="str">
        <f>"063907160"</f>
        <v>063907160</v>
      </c>
      <c r="C4204" t="s">
        <v>50</v>
      </c>
      <c r="D4204" t="s">
        <v>7848</v>
      </c>
      <c r="E4204" t="s">
        <v>7849</v>
      </c>
      <c r="F4204" t="s">
        <v>3285</v>
      </c>
      <c r="G4204" t="s">
        <v>964</v>
      </c>
      <c r="H4204" t="str">
        <f>"ΚΙΣΑΜΟΥ 52 ΧΑΝΙΑ"</f>
        <v>ΚΙΣΑΜΟΥ 52 ΧΑΝΙΑ</v>
      </c>
      <c r="I4204">
        <v>73131</v>
      </c>
      <c r="J4204">
        <v>2810751402</v>
      </c>
      <c r="K4204">
        <v>6972364092</v>
      </c>
      <c r="L4204">
        <v>2821041392</v>
      </c>
      <c r="M4204" t="s">
        <v>7850</v>
      </c>
      <c r="N4204" t="s">
        <v>288</v>
      </c>
      <c r="O4204" t="s">
        <v>289</v>
      </c>
      <c r="R4204" t="s">
        <v>57</v>
      </c>
      <c r="S4204">
        <v>8</v>
      </c>
      <c r="T4204" t="s">
        <v>7851</v>
      </c>
      <c r="U4204" s="1">
        <v>38960</v>
      </c>
      <c r="V4204" t="s">
        <v>6729</v>
      </c>
      <c r="W4204" t="s">
        <v>6730</v>
      </c>
      <c r="X4204" t="s">
        <v>58</v>
      </c>
      <c r="Y4204">
        <v>20</v>
      </c>
      <c r="Z4204" t="s">
        <v>59</v>
      </c>
      <c r="AA4204" t="s">
        <v>59</v>
      </c>
      <c r="AB4204" t="s">
        <v>59</v>
      </c>
      <c r="AC4204" t="s">
        <v>59</v>
      </c>
      <c r="AD4204" t="s">
        <v>59</v>
      </c>
      <c r="AF4204" s="1">
        <v>38961</v>
      </c>
      <c r="AG4204" t="s">
        <v>125</v>
      </c>
      <c r="AH4204" t="s">
        <v>126</v>
      </c>
      <c r="AI4204" t="str">
        <f>"5007010"</f>
        <v>5007010</v>
      </c>
      <c r="AJ4204" t="s">
        <v>6797</v>
      </c>
      <c r="AK4204">
        <v>2824022241</v>
      </c>
      <c r="AL4204" t="s">
        <v>6798</v>
      </c>
      <c r="AM4204" t="s">
        <v>88</v>
      </c>
      <c r="AN4204" t="s">
        <v>6764</v>
      </c>
      <c r="AO4204" t="s">
        <v>6799</v>
      </c>
      <c r="AP4204" t="s">
        <v>6799</v>
      </c>
      <c r="AQ4204">
        <v>1</v>
      </c>
      <c r="AR4204" t="s">
        <v>6729</v>
      </c>
      <c r="AS4204" t="s">
        <v>6730</v>
      </c>
      <c r="AT4204" t="s">
        <v>58</v>
      </c>
      <c r="AU4204" t="s">
        <v>68</v>
      </c>
      <c r="AV4204" t="s">
        <v>69</v>
      </c>
      <c r="AW4204" s="1">
        <v>27008</v>
      </c>
      <c r="AX4204">
        <v>2</v>
      </c>
    </row>
    <row r="4205" spans="1:50">
      <c r="A4205">
        <v>220465</v>
      </c>
      <c r="B4205" t="str">
        <f>"066979333"</f>
        <v>066979333</v>
      </c>
      <c r="C4205" t="s">
        <v>50</v>
      </c>
      <c r="D4205" t="s">
        <v>7852</v>
      </c>
      <c r="E4205" t="s">
        <v>2251</v>
      </c>
      <c r="F4205" t="s">
        <v>631</v>
      </c>
      <c r="G4205" t="s">
        <v>250</v>
      </c>
      <c r="H4205" t="str">
        <f>" "</f>
        <v xml:space="preserve"> </v>
      </c>
      <c r="J4205">
        <v>2310912673</v>
      </c>
      <c r="K4205">
        <v>6948176535</v>
      </c>
      <c r="M4205" t="s">
        <v>7853</v>
      </c>
      <c r="N4205" t="s">
        <v>146</v>
      </c>
      <c r="O4205" t="s">
        <v>147</v>
      </c>
      <c r="R4205" t="s">
        <v>57</v>
      </c>
      <c r="S4205">
        <v>7</v>
      </c>
      <c r="T4205">
        <v>681</v>
      </c>
      <c r="U4205" s="1">
        <v>39325</v>
      </c>
      <c r="V4205" t="s">
        <v>6729</v>
      </c>
      <c r="W4205" t="s">
        <v>6730</v>
      </c>
      <c r="X4205" t="s">
        <v>58</v>
      </c>
      <c r="Y4205">
        <v>21</v>
      </c>
      <c r="Z4205" t="s">
        <v>59</v>
      </c>
      <c r="AA4205" t="s">
        <v>59</v>
      </c>
      <c r="AB4205" t="s">
        <v>59</v>
      </c>
      <c r="AC4205" t="s">
        <v>59</v>
      </c>
      <c r="AD4205" t="s">
        <v>59</v>
      </c>
      <c r="AF4205" s="1">
        <v>39330</v>
      </c>
      <c r="AG4205" t="s">
        <v>125</v>
      </c>
      <c r="AH4205" t="s">
        <v>126</v>
      </c>
      <c r="AI4205" t="str">
        <f>"5002010"</f>
        <v>5002010</v>
      </c>
      <c r="AJ4205" t="s">
        <v>6773</v>
      </c>
      <c r="AK4205">
        <v>2825022249</v>
      </c>
      <c r="AL4205" t="s">
        <v>6774</v>
      </c>
      <c r="AM4205" t="s">
        <v>88</v>
      </c>
      <c r="AN4205" t="s">
        <v>6775</v>
      </c>
      <c r="AO4205" t="s">
        <v>6776</v>
      </c>
      <c r="AP4205" t="s">
        <v>6776</v>
      </c>
      <c r="AQ4205">
        <v>1</v>
      </c>
      <c r="AR4205" t="s">
        <v>6729</v>
      </c>
      <c r="AS4205" t="s">
        <v>6730</v>
      </c>
      <c r="AT4205" t="s">
        <v>58</v>
      </c>
      <c r="AU4205" t="s">
        <v>68</v>
      </c>
      <c r="AV4205" t="s">
        <v>69</v>
      </c>
      <c r="AW4205" s="1">
        <v>29461</v>
      </c>
      <c r="AX4205">
        <v>2</v>
      </c>
    </row>
    <row r="4206" spans="1:50">
      <c r="A4206">
        <v>191561</v>
      </c>
      <c r="B4206" t="str">
        <f>"113164103"</f>
        <v>113164103</v>
      </c>
      <c r="C4206" t="s">
        <v>105</v>
      </c>
      <c r="D4206" t="s">
        <v>7854</v>
      </c>
      <c r="E4206" t="s">
        <v>936</v>
      </c>
      <c r="F4206" t="s">
        <v>377</v>
      </c>
      <c r="G4206" t="s">
        <v>316</v>
      </c>
      <c r="H4206" t="str">
        <f>" "</f>
        <v xml:space="preserve"> </v>
      </c>
      <c r="N4206" t="s">
        <v>168</v>
      </c>
      <c r="O4206" t="s">
        <v>169</v>
      </c>
      <c r="R4206" t="s">
        <v>57</v>
      </c>
      <c r="S4206">
        <v>10</v>
      </c>
      <c r="T4206">
        <v>291</v>
      </c>
      <c r="U4206" s="1">
        <v>37218</v>
      </c>
      <c r="V4206" t="s">
        <v>6729</v>
      </c>
      <c r="W4206" t="s">
        <v>6730</v>
      </c>
      <c r="X4206" t="s">
        <v>58</v>
      </c>
      <c r="Y4206">
        <v>20</v>
      </c>
      <c r="Z4206" t="s">
        <v>59</v>
      </c>
      <c r="AA4206" t="s">
        <v>59</v>
      </c>
      <c r="AB4206" t="s">
        <v>59</v>
      </c>
      <c r="AC4206" t="s">
        <v>59</v>
      </c>
      <c r="AD4206" t="s">
        <v>59</v>
      </c>
      <c r="AF4206" s="1">
        <v>37223</v>
      </c>
      <c r="AG4206" t="s">
        <v>137</v>
      </c>
      <c r="AH4206" t="s">
        <v>469</v>
      </c>
      <c r="AI4206" t="str">
        <f>"5040055"</f>
        <v>5040055</v>
      </c>
      <c r="AJ4206" t="s">
        <v>6940</v>
      </c>
      <c r="AK4206">
        <v>2821036404</v>
      </c>
      <c r="AL4206" t="s">
        <v>6941</v>
      </c>
      <c r="AM4206" t="s">
        <v>88</v>
      </c>
      <c r="AN4206" t="s">
        <v>88</v>
      </c>
      <c r="AO4206" t="s">
        <v>88</v>
      </c>
      <c r="AP4206" t="s">
        <v>88</v>
      </c>
      <c r="AQ4206">
        <v>1</v>
      </c>
      <c r="AR4206" t="s">
        <v>6729</v>
      </c>
      <c r="AS4206" t="s">
        <v>6730</v>
      </c>
      <c r="AT4206" t="s">
        <v>58</v>
      </c>
      <c r="AU4206" t="s">
        <v>68</v>
      </c>
      <c r="AV4206" t="s">
        <v>69</v>
      </c>
      <c r="AW4206" s="1">
        <v>26989</v>
      </c>
      <c r="AX4206">
        <v>2</v>
      </c>
    </row>
    <row r="4207" spans="1:50">
      <c r="A4207">
        <v>159376</v>
      </c>
      <c r="B4207" t="str">
        <f>"043875615"</f>
        <v>043875615</v>
      </c>
      <c r="C4207" t="s">
        <v>50</v>
      </c>
      <c r="D4207" t="s">
        <v>7855</v>
      </c>
      <c r="E4207" t="s">
        <v>237</v>
      </c>
      <c r="F4207" t="s">
        <v>1258</v>
      </c>
      <c r="G4207" t="s">
        <v>659</v>
      </c>
      <c r="H4207" t="str">
        <f>"ΑΝΑΠΑΥΣΕΩΣ 11 ΧΑΝΙΑ"</f>
        <v>ΑΝΑΠΑΥΣΕΩΣ 11 ΧΑΝΙΑ</v>
      </c>
      <c r="I4207">
        <v>73135</v>
      </c>
      <c r="J4207">
        <v>2821091713</v>
      </c>
      <c r="K4207">
        <v>6979923118</v>
      </c>
      <c r="N4207" t="s">
        <v>146</v>
      </c>
      <c r="O4207" t="s">
        <v>147</v>
      </c>
      <c r="R4207" t="s">
        <v>57</v>
      </c>
      <c r="S4207">
        <v>14</v>
      </c>
      <c r="T4207">
        <v>161</v>
      </c>
      <c r="U4207" s="1">
        <v>33119</v>
      </c>
      <c r="V4207" t="s">
        <v>6729</v>
      </c>
      <c r="W4207" t="s">
        <v>6730</v>
      </c>
      <c r="X4207" t="s">
        <v>58</v>
      </c>
      <c r="Y4207">
        <v>18</v>
      </c>
      <c r="Z4207" t="s">
        <v>59</v>
      </c>
      <c r="AA4207" t="s">
        <v>59</v>
      </c>
      <c r="AB4207" t="s">
        <v>59</v>
      </c>
      <c r="AC4207" t="s">
        <v>59</v>
      </c>
      <c r="AD4207" t="s">
        <v>59</v>
      </c>
      <c r="AF4207" s="1">
        <v>33123</v>
      </c>
      <c r="AG4207" t="s">
        <v>125</v>
      </c>
      <c r="AH4207" t="s">
        <v>126</v>
      </c>
      <c r="AI4207" t="str">
        <f>"5001010"</f>
        <v>5001010</v>
      </c>
      <c r="AJ4207" t="s">
        <v>6873</v>
      </c>
      <c r="AK4207">
        <v>2821052130</v>
      </c>
      <c r="AL4207" t="s">
        <v>6874</v>
      </c>
      <c r="AM4207" t="s">
        <v>88</v>
      </c>
      <c r="AN4207" t="s">
        <v>88</v>
      </c>
      <c r="AO4207" t="s">
        <v>88</v>
      </c>
      <c r="AP4207" t="s">
        <v>88</v>
      </c>
      <c r="AQ4207">
        <v>1</v>
      </c>
      <c r="AR4207" t="s">
        <v>6729</v>
      </c>
      <c r="AS4207" t="s">
        <v>6730</v>
      </c>
      <c r="AT4207" t="s">
        <v>58</v>
      </c>
      <c r="AU4207" t="s">
        <v>68</v>
      </c>
      <c r="AV4207" t="s">
        <v>69</v>
      </c>
      <c r="AW4207" s="1">
        <v>23238</v>
      </c>
      <c r="AX4207">
        <v>2</v>
      </c>
    </row>
    <row r="4208" spans="1:50">
      <c r="A4208">
        <v>149875</v>
      </c>
      <c r="B4208" t="str">
        <f>"030719328"</f>
        <v>030719328</v>
      </c>
      <c r="C4208" t="s">
        <v>105</v>
      </c>
      <c r="D4208" t="s">
        <v>7856</v>
      </c>
      <c r="E4208" t="s">
        <v>72</v>
      </c>
      <c r="F4208" t="s">
        <v>92</v>
      </c>
      <c r="G4208" t="s">
        <v>7857</v>
      </c>
      <c r="H4208" t="str">
        <f>"ΣΟΦΟΚΛΗ ΒΕΝΙΖΕΛΟΥ 22 ΧΑΝΙΩΝ"</f>
        <v>ΣΟΦΟΚΛΗ ΒΕΝΙΖΕΛΟΥ 22 ΧΑΝΙΩΝ</v>
      </c>
      <c r="I4208">
        <v>73100</v>
      </c>
      <c r="J4208">
        <v>2821091696</v>
      </c>
      <c r="K4208">
        <v>6937911881</v>
      </c>
      <c r="M4208" t="s">
        <v>7858</v>
      </c>
      <c r="N4208" t="s">
        <v>232</v>
      </c>
      <c r="O4208" t="s">
        <v>233</v>
      </c>
      <c r="R4208" t="s">
        <v>57</v>
      </c>
      <c r="S4208">
        <v>16</v>
      </c>
      <c r="T4208">
        <v>228</v>
      </c>
      <c r="U4208" s="1">
        <v>31684</v>
      </c>
      <c r="V4208" t="s">
        <v>6729</v>
      </c>
      <c r="W4208" t="s">
        <v>6730</v>
      </c>
      <c r="X4208" t="s">
        <v>58</v>
      </c>
      <c r="Y4208">
        <v>18</v>
      </c>
      <c r="Z4208" t="s">
        <v>59</v>
      </c>
      <c r="AA4208" t="s">
        <v>59</v>
      </c>
      <c r="AB4208" t="s">
        <v>59</v>
      </c>
      <c r="AC4208" t="s">
        <v>59</v>
      </c>
      <c r="AD4208" t="s">
        <v>59</v>
      </c>
      <c r="AF4208" s="1">
        <v>31691</v>
      </c>
      <c r="AG4208" t="s">
        <v>125</v>
      </c>
      <c r="AH4208" t="s">
        <v>126</v>
      </c>
      <c r="AI4208" t="str">
        <f>"5011010"</f>
        <v>5011010</v>
      </c>
      <c r="AJ4208" t="s">
        <v>6877</v>
      </c>
      <c r="AK4208">
        <v>2821081330</v>
      </c>
      <c r="AL4208" t="s">
        <v>6878</v>
      </c>
      <c r="AM4208" t="s">
        <v>88</v>
      </c>
      <c r="AN4208" t="s">
        <v>88</v>
      </c>
      <c r="AO4208" t="s">
        <v>6748</v>
      </c>
      <c r="AP4208" t="s">
        <v>6748</v>
      </c>
      <c r="AQ4208">
        <v>1</v>
      </c>
      <c r="AR4208" t="s">
        <v>6729</v>
      </c>
      <c r="AS4208" t="s">
        <v>6730</v>
      </c>
      <c r="AT4208" t="s">
        <v>58</v>
      </c>
      <c r="AU4208" t="s">
        <v>68</v>
      </c>
      <c r="AV4208" t="s">
        <v>69</v>
      </c>
      <c r="AW4208" s="1">
        <v>21576</v>
      </c>
      <c r="AX4208">
        <v>2</v>
      </c>
    </row>
    <row r="4209" spans="1:50">
      <c r="A4209">
        <v>174299</v>
      </c>
      <c r="B4209" t="str">
        <f>"034700381"</f>
        <v>034700381</v>
      </c>
      <c r="C4209" t="s">
        <v>50</v>
      </c>
      <c r="D4209" t="s">
        <v>7859</v>
      </c>
      <c r="E4209" t="s">
        <v>755</v>
      </c>
      <c r="F4209" t="s">
        <v>106</v>
      </c>
      <c r="G4209" t="s">
        <v>2406</v>
      </c>
      <c r="H4209" t="str">
        <f>" "</f>
        <v xml:space="preserve"> </v>
      </c>
      <c r="N4209" t="s">
        <v>257</v>
      </c>
      <c r="O4209" t="s">
        <v>258</v>
      </c>
      <c r="R4209" t="s">
        <v>57</v>
      </c>
      <c r="S4209">
        <v>11</v>
      </c>
      <c r="T4209">
        <v>166</v>
      </c>
      <c r="U4209" s="1">
        <v>35300</v>
      </c>
      <c r="V4209" t="s">
        <v>6729</v>
      </c>
      <c r="W4209" t="s">
        <v>6730</v>
      </c>
      <c r="X4209" t="s">
        <v>58</v>
      </c>
      <c r="Y4209">
        <v>18</v>
      </c>
      <c r="Z4209" t="s">
        <v>59</v>
      </c>
      <c r="AA4209" t="s">
        <v>59</v>
      </c>
      <c r="AB4209" t="s">
        <v>59</v>
      </c>
      <c r="AC4209" t="s">
        <v>59</v>
      </c>
      <c r="AD4209" t="s">
        <v>59</v>
      </c>
      <c r="AF4209" s="1">
        <v>35311</v>
      </c>
      <c r="AG4209" t="s">
        <v>148</v>
      </c>
      <c r="AH4209" t="s">
        <v>149</v>
      </c>
      <c r="AI4209" t="str">
        <f>"5062010"</f>
        <v>5062010</v>
      </c>
      <c r="AJ4209" t="s">
        <v>6783</v>
      </c>
      <c r="AK4209">
        <v>2821031620</v>
      </c>
      <c r="AL4209" t="s">
        <v>6784</v>
      </c>
      <c r="AM4209" t="s">
        <v>88</v>
      </c>
      <c r="AN4209" t="s">
        <v>88</v>
      </c>
      <c r="AO4209" t="s">
        <v>6785</v>
      </c>
      <c r="AP4209" t="s">
        <v>6786</v>
      </c>
      <c r="AQ4209">
        <v>1</v>
      </c>
      <c r="AR4209" t="s">
        <v>6729</v>
      </c>
      <c r="AS4209" t="s">
        <v>6730</v>
      </c>
      <c r="AT4209" t="s">
        <v>58</v>
      </c>
      <c r="AU4209" t="s">
        <v>68</v>
      </c>
      <c r="AV4209" t="s">
        <v>69</v>
      </c>
      <c r="AW4209" s="1">
        <v>23668</v>
      </c>
      <c r="AX4209">
        <v>2</v>
      </c>
    </row>
    <row r="4210" spans="1:50">
      <c r="A4210">
        <v>700530</v>
      </c>
      <c r="B4210" t="str">
        <f>"116092274"</f>
        <v>116092274</v>
      </c>
      <c r="C4210" t="s">
        <v>50</v>
      </c>
      <c r="D4210" t="s">
        <v>7860</v>
      </c>
      <c r="E4210" t="s">
        <v>507</v>
      </c>
      <c r="F4210" t="s">
        <v>53</v>
      </c>
      <c r="G4210" t="s">
        <v>1179</v>
      </c>
      <c r="H4210" t="str">
        <f>"ΝΙΚΟΠΟΛΗ ΠΡΕΒΕΖΑ"</f>
        <v>ΝΙΚΟΠΟΛΗ ΠΡΕΒΕΖΑ</v>
      </c>
      <c r="I4210">
        <v>48100</v>
      </c>
      <c r="J4210">
        <v>2682041101</v>
      </c>
      <c r="K4210">
        <v>6977969543</v>
      </c>
      <c r="M4210" t="s">
        <v>7861</v>
      </c>
      <c r="N4210" t="s">
        <v>157</v>
      </c>
      <c r="O4210" t="s">
        <v>158</v>
      </c>
      <c r="P4210" t="s">
        <v>5087</v>
      </c>
      <c r="Q4210" t="s">
        <v>5088</v>
      </c>
      <c r="R4210" t="s">
        <v>57</v>
      </c>
      <c r="S4210">
        <v>7</v>
      </c>
      <c r="T4210">
        <v>772</v>
      </c>
      <c r="U4210" s="1">
        <v>40413</v>
      </c>
      <c r="V4210" t="s">
        <v>6729</v>
      </c>
      <c r="W4210" t="s">
        <v>6730</v>
      </c>
      <c r="X4210" t="s">
        <v>58</v>
      </c>
      <c r="Y4210">
        <v>21</v>
      </c>
      <c r="Z4210" t="s">
        <v>59</v>
      </c>
      <c r="AA4210" t="s">
        <v>59</v>
      </c>
      <c r="AB4210" t="s">
        <v>59</v>
      </c>
      <c r="AC4210" t="s">
        <v>59</v>
      </c>
      <c r="AD4210" t="s">
        <v>59</v>
      </c>
      <c r="AF4210" s="1">
        <v>40413</v>
      </c>
      <c r="AG4210" t="s">
        <v>125</v>
      </c>
      <c r="AH4210" t="s">
        <v>126</v>
      </c>
      <c r="AI4210" t="str">
        <f>"5006010"</f>
        <v>5006010</v>
      </c>
      <c r="AJ4210" t="s">
        <v>7008</v>
      </c>
      <c r="AK4210">
        <v>2824031620</v>
      </c>
      <c r="AL4210" t="s">
        <v>7009</v>
      </c>
      <c r="AM4210" t="s">
        <v>88</v>
      </c>
      <c r="AN4210" t="s">
        <v>6764</v>
      </c>
      <c r="AO4210" t="s">
        <v>6765</v>
      </c>
      <c r="AP4210" t="s">
        <v>6765</v>
      </c>
      <c r="AQ4210">
        <v>1</v>
      </c>
      <c r="AR4210" t="s">
        <v>6729</v>
      </c>
      <c r="AS4210" t="s">
        <v>6730</v>
      </c>
      <c r="AT4210" t="s">
        <v>58</v>
      </c>
      <c r="AU4210" t="s">
        <v>68</v>
      </c>
      <c r="AV4210" t="s">
        <v>69</v>
      </c>
      <c r="AW4210" s="1">
        <v>28388</v>
      </c>
      <c r="AX4210">
        <v>2</v>
      </c>
    </row>
    <row r="4211" spans="1:50">
      <c r="A4211">
        <v>208184</v>
      </c>
      <c r="B4211" t="str">
        <f>"017650720"</f>
        <v>017650720</v>
      </c>
      <c r="C4211" t="s">
        <v>105</v>
      </c>
      <c r="D4211" t="s">
        <v>7862</v>
      </c>
      <c r="E4211" t="s">
        <v>72</v>
      </c>
      <c r="F4211" t="s">
        <v>53</v>
      </c>
      <c r="G4211" t="s">
        <v>83</v>
      </c>
      <c r="H4211" t="str">
        <f>" "</f>
        <v xml:space="preserve"> </v>
      </c>
      <c r="J4211">
        <v>2821069070</v>
      </c>
      <c r="K4211">
        <v>6942250400</v>
      </c>
      <c r="N4211" t="s">
        <v>176</v>
      </c>
      <c r="O4211" t="s">
        <v>177</v>
      </c>
      <c r="R4211" t="s">
        <v>57</v>
      </c>
      <c r="S4211">
        <v>10</v>
      </c>
      <c r="T4211" t="s">
        <v>5937</v>
      </c>
      <c r="U4211" s="1">
        <v>38596</v>
      </c>
      <c r="V4211" t="s">
        <v>6729</v>
      </c>
      <c r="W4211" t="s">
        <v>6730</v>
      </c>
      <c r="X4211" t="s">
        <v>58</v>
      </c>
      <c r="Y4211">
        <v>18</v>
      </c>
      <c r="Z4211" t="s">
        <v>59</v>
      </c>
      <c r="AA4211" t="s">
        <v>59</v>
      </c>
      <c r="AB4211" t="s">
        <v>59</v>
      </c>
      <c r="AC4211" t="s">
        <v>59</v>
      </c>
      <c r="AD4211" t="s">
        <v>59</v>
      </c>
      <c r="AF4211" s="1">
        <v>38602</v>
      </c>
      <c r="AG4211" t="s">
        <v>148</v>
      </c>
      <c r="AH4211" t="s">
        <v>149</v>
      </c>
      <c r="AI4211" t="str">
        <f>"5057010"</f>
        <v>5057010</v>
      </c>
      <c r="AJ4211" t="s">
        <v>6836</v>
      </c>
      <c r="AK4211">
        <v>2824022511</v>
      </c>
      <c r="AL4211" t="s">
        <v>6837</v>
      </c>
      <c r="AM4211" t="s">
        <v>88</v>
      </c>
      <c r="AN4211" t="s">
        <v>6764</v>
      </c>
      <c r="AO4211" t="s">
        <v>6799</v>
      </c>
      <c r="AP4211" t="s">
        <v>6799</v>
      </c>
      <c r="AQ4211">
        <v>1</v>
      </c>
      <c r="AR4211" t="s">
        <v>6729</v>
      </c>
      <c r="AS4211" t="s">
        <v>6730</v>
      </c>
      <c r="AT4211" t="s">
        <v>58</v>
      </c>
      <c r="AU4211" t="s">
        <v>68</v>
      </c>
      <c r="AV4211" t="s">
        <v>69</v>
      </c>
      <c r="AW4211" s="1">
        <v>18652</v>
      </c>
      <c r="AX4211">
        <v>2</v>
      </c>
    </row>
    <row r="4212" spans="1:50">
      <c r="A4212">
        <v>175024</v>
      </c>
      <c r="B4212" t="str">
        <f>"046526168"</f>
        <v>046526168</v>
      </c>
      <c r="C4212" t="s">
        <v>50</v>
      </c>
      <c r="D4212" t="s">
        <v>7863</v>
      </c>
      <c r="E4212" t="s">
        <v>476</v>
      </c>
      <c r="F4212" t="s">
        <v>84</v>
      </c>
      <c r="G4212" t="s">
        <v>93</v>
      </c>
      <c r="H4212" t="str">
        <f>" "</f>
        <v xml:space="preserve"> </v>
      </c>
      <c r="M4212" t="s">
        <v>7864</v>
      </c>
      <c r="N4212" t="s">
        <v>204</v>
      </c>
      <c r="O4212" t="s">
        <v>205</v>
      </c>
      <c r="R4212" t="s">
        <v>57</v>
      </c>
      <c r="S4212">
        <v>11</v>
      </c>
      <c r="T4212">
        <v>166</v>
      </c>
      <c r="U4212" s="1">
        <v>35300</v>
      </c>
      <c r="V4212" t="s">
        <v>6729</v>
      </c>
      <c r="W4212" t="s">
        <v>6730</v>
      </c>
      <c r="X4212" t="s">
        <v>58</v>
      </c>
      <c r="Y4212">
        <v>18</v>
      </c>
      <c r="Z4212" t="s">
        <v>59</v>
      </c>
      <c r="AA4212" t="s">
        <v>59</v>
      </c>
      <c r="AB4212" t="s">
        <v>59</v>
      </c>
      <c r="AC4212" t="s">
        <v>59</v>
      </c>
      <c r="AD4212" t="s">
        <v>59</v>
      </c>
      <c r="AF4212" s="1">
        <v>35310</v>
      </c>
      <c r="AG4212" t="s">
        <v>125</v>
      </c>
      <c r="AH4212" t="s">
        <v>126</v>
      </c>
      <c r="AI4212" t="str">
        <f>"5001072"</f>
        <v>5001072</v>
      </c>
      <c r="AJ4212" t="s">
        <v>6922</v>
      </c>
      <c r="AK4212">
        <v>2821055471</v>
      </c>
      <c r="AL4212" t="s">
        <v>6923</v>
      </c>
      <c r="AM4212" t="s">
        <v>88</v>
      </c>
      <c r="AN4212" t="s">
        <v>88</v>
      </c>
      <c r="AO4212" t="s">
        <v>88</v>
      </c>
      <c r="AP4212" t="s">
        <v>88</v>
      </c>
      <c r="AQ4212">
        <v>1</v>
      </c>
      <c r="AR4212" t="s">
        <v>6729</v>
      </c>
      <c r="AS4212" t="s">
        <v>6730</v>
      </c>
      <c r="AT4212" t="s">
        <v>58</v>
      </c>
      <c r="AU4212" t="s">
        <v>68</v>
      </c>
      <c r="AV4212" t="s">
        <v>69</v>
      </c>
      <c r="AW4212" s="1">
        <v>26614</v>
      </c>
      <c r="AX4212">
        <v>2</v>
      </c>
    </row>
    <row r="4213" spans="1:50">
      <c r="A4213">
        <v>208185</v>
      </c>
      <c r="B4213" t="str">
        <f>"047447808"</f>
        <v>047447808</v>
      </c>
      <c r="C4213" t="s">
        <v>105</v>
      </c>
      <c r="D4213" t="s">
        <v>7865</v>
      </c>
      <c r="E4213" t="s">
        <v>166</v>
      </c>
      <c r="F4213" t="s">
        <v>95</v>
      </c>
      <c r="G4213" t="s">
        <v>6258</v>
      </c>
      <c r="H4213" t="str">
        <f>"Ν. ΣΚΟΥΛΑ 81 ΧΑΝΙΑ"</f>
        <v>Ν. ΣΚΟΥΛΑ 81 ΧΑΝΙΑ</v>
      </c>
      <c r="I4213">
        <v>73136</v>
      </c>
      <c r="J4213">
        <v>2821033941</v>
      </c>
      <c r="K4213">
        <v>6973433861</v>
      </c>
      <c r="M4213" t="s">
        <v>7866</v>
      </c>
      <c r="N4213" t="s">
        <v>176</v>
      </c>
      <c r="O4213" t="s">
        <v>177</v>
      </c>
      <c r="R4213" t="s">
        <v>57</v>
      </c>
      <c r="S4213">
        <v>8</v>
      </c>
      <c r="T4213">
        <v>218</v>
      </c>
      <c r="U4213" s="1">
        <v>38596</v>
      </c>
      <c r="V4213" t="s">
        <v>6729</v>
      </c>
      <c r="W4213" t="s">
        <v>6730</v>
      </c>
      <c r="X4213" t="s">
        <v>58</v>
      </c>
      <c r="Y4213">
        <v>20</v>
      </c>
      <c r="Z4213" t="s">
        <v>59</v>
      </c>
      <c r="AA4213" t="s">
        <v>59</v>
      </c>
      <c r="AB4213" t="s">
        <v>59</v>
      </c>
      <c r="AC4213" t="s">
        <v>59</v>
      </c>
      <c r="AD4213" t="s">
        <v>59</v>
      </c>
      <c r="AF4213" s="1">
        <v>38603</v>
      </c>
      <c r="AG4213" t="s">
        <v>148</v>
      </c>
      <c r="AH4213" t="s">
        <v>149</v>
      </c>
      <c r="AI4213" t="str">
        <f>"5052010"</f>
        <v>5052010</v>
      </c>
      <c r="AJ4213" t="s">
        <v>6834</v>
      </c>
      <c r="AK4213">
        <v>2825022200</v>
      </c>
      <c r="AL4213" t="s">
        <v>6835</v>
      </c>
      <c r="AM4213" t="s">
        <v>88</v>
      </c>
      <c r="AN4213" t="s">
        <v>6775</v>
      </c>
      <c r="AO4213" t="s">
        <v>6776</v>
      </c>
      <c r="AP4213" t="s">
        <v>6776</v>
      </c>
      <c r="AQ4213">
        <v>1</v>
      </c>
      <c r="AR4213" t="s">
        <v>6729</v>
      </c>
      <c r="AS4213" t="s">
        <v>6730</v>
      </c>
      <c r="AT4213" t="s">
        <v>58</v>
      </c>
      <c r="AU4213" t="s">
        <v>68</v>
      </c>
      <c r="AV4213" t="s">
        <v>69</v>
      </c>
      <c r="AW4213" s="1">
        <v>25622</v>
      </c>
      <c r="AX4213">
        <v>2</v>
      </c>
    </row>
    <row r="4214" spans="1:50">
      <c r="A4214">
        <v>176043</v>
      </c>
      <c r="B4214" t="str">
        <f>"043108647"</f>
        <v>043108647</v>
      </c>
      <c r="C4214" t="s">
        <v>105</v>
      </c>
      <c r="D4214" t="s">
        <v>7865</v>
      </c>
      <c r="E4214" t="s">
        <v>53</v>
      </c>
      <c r="F4214" t="s">
        <v>1070</v>
      </c>
      <c r="G4214" t="s">
        <v>1361</v>
      </c>
      <c r="H4214" t="str">
        <f>"ΚΟΡΑΚΙΕΣ ΑΚΡΩΤΗΡΙΟΥ ΑΚΡΩΤΗΡΙ-ΧΑΝΙΩΝ"</f>
        <v>ΚΟΡΑΚΙΕΣ ΑΚΡΩΤΗΡΙΟΥ ΑΚΡΩΤΗΡΙ-ΧΑΝΙΩΝ</v>
      </c>
      <c r="I4214">
        <v>73100</v>
      </c>
      <c r="J4214">
        <v>2821020769</v>
      </c>
      <c r="K4214">
        <v>6947427642</v>
      </c>
      <c r="N4214" t="s">
        <v>232</v>
      </c>
      <c r="O4214" t="s">
        <v>233</v>
      </c>
      <c r="R4214" t="s">
        <v>57</v>
      </c>
      <c r="S4214">
        <v>10</v>
      </c>
      <c r="T4214">
        <v>180</v>
      </c>
      <c r="U4214" s="1">
        <v>35674</v>
      </c>
      <c r="V4214" t="s">
        <v>6729</v>
      </c>
      <c r="W4214" t="s">
        <v>6730</v>
      </c>
      <c r="X4214" t="s">
        <v>58</v>
      </c>
      <c r="Y4214">
        <v>18</v>
      </c>
      <c r="Z4214" t="s">
        <v>59</v>
      </c>
      <c r="AA4214" t="s">
        <v>59</v>
      </c>
      <c r="AB4214" t="s">
        <v>59</v>
      </c>
      <c r="AC4214" t="s">
        <v>59</v>
      </c>
      <c r="AD4214" t="s">
        <v>59</v>
      </c>
      <c r="AF4214" s="1">
        <v>35681</v>
      </c>
      <c r="AG4214" t="s">
        <v>125</v>
      </c>
      <c r="AH4214" t="s">
        <v>126</v>
      </c>
      <c r="AI4214" t="str">
        <f>"5001075"</f>
        <v>5001075</v>
      </c>
      <c r="AJ4214" t="s">
        <v>6768</v>
      </c>
      <c r="AK4214">
        <v>2821064200</v>
      </c>
      <c r="AL4214" t="s">
        <v>6769</v>
      </c>
      <c r="AM4214" t="s">
        <v>88</v>
      </c>
      <c r="AN4214" t="s">
        <v>88</v>
      </c>
      <c r="AO4214" t="s">
        <v>6770</v>
      </c>
      <c r="AP4214" t="s">
        <v>6771</v>
      </c>
      <c r="AQ4214">
        <v>1</v>
      </c>
      <c r="AR4214" t="s">
        <v>6729</v>
      </c>
      <c r="AS4214" t="s">
        <v>6730</v>
      </c>
      <c r="AT4214" t="s">
        <v>58</v>
      </c>
      <c r="AU4214" t="s">
        <v>68</v>
      </c>
      <c r="AV4214" t="s">
        <v>69</v>
      </c>
      <c r="AW4214" s="1">
        <v>20598</v>
      </c>
      <c r="AX4214">
        <v>2</v>
      </c>
    </row>
    <row r="4215" spans="1:50">
      <c r="A4215">
        <v>214079</v>
      </c>
      <c r="B4215" t="str">
        <f>"106991419"</f>
        <v>106991419</v>
      </c>
      <c r="C4215" t="s">
        <v>50</v>
      </c>
      <c r="D4215" t="s">
        <v>7867</v>
      </c>
      <c r="E4215" t="s">
        <v>250</v>
      </c>
      <c r="F4215" t="s">
        <v>53</v>
      </c>
      <c r="G4215" t="s">
        <v>7868</v>
      </c>
      <c r="H4215" t="str">
        <f>"8ης Δεκεμβρίου 37 "</f>
        <v xml:space="preserve">8ης Δεκεμβρίου 37 </v>
      </c>
      <c r="K4215">
        <v>6938896610</v>
      </c>
      <c r="L4215">
        <v>2109330923</v>
      </c>
      <c r="M4215" t="s">
        <v>7869</v>
      </c>
      <c r="N4215" t="s">
        <v>288</v>
      </c>
      <c r="O4215" t="s">
        <v>289</v>
      </c>
      <c r="R4215" t="s">
        <v>57</v>
      </c>
      <c r="S4215">
        <v>7</v>
      </c>
      <c r="T4215">
        <v>231</v>
      </c>
      <c r="U4215" s="1">
        <v>38960</v>
      </c>
      <c r="V4215" t="s">
        <v>6729</v>
      </c>
      <c r="W4215" t="s">
        <v>6730</v>
      </c>
      <c r="X4215" t="s">
        <v>58</v>
      </c>
      <c r="Y4215">
        <v>21</v>
      </c>
      <c r="Z4215" t="s">
        <v>59</v>
      </c>
      <c r="AA4215" t="s">
        <v>59</v>
      </c>
      <c r="AB4215" t="s">
        <v>59</v>
      </c>
      <c r="AC4215" t="s">
        <v>59</v>
      </c>
      <c r="AD4215" t="s">
        <v>59</v>
      </c>
      <c r="AF4215" s="1">
        <v>38960</v>
      </c>
      <c r="AG4215" t="s">
        <v>125</v>
      </c>
      <c r="AH4215" t="s">
        <v>126</v>
      </c>
      <c r="AI4215" t="str">
        <f>"5001050"</f>
        <v>5001050</v>
      </c>
      <c r="AJ4215" t="s">
        <v>6917</v>
      </c>
      <c r="AK4215">
        <v>2821088012</v>
      </c>
      <c r="AL4215" t="s">
        <v>6918</v>
      </c>
      <c r="AM4215" t="s">
        <v>88</v>
      </c>
      <c r="AN4215" t="s">
        <v>88</v>
      </c>
      <c r="AO4215" t="s">
        <v>88</v>
      </c>
      <c r="AP4215" t="s">
        <v>88</v>
      </c>
      <c r="AQ4215">
        <v>1</v>
      </c>
      <c r="AR4215" t="s">
        <v>6729</v>
      </c>
      <c r="AS4215" t="s">
        <v>6730</v>
      </c>
      <c r="AT4215" t="s">
        <v>58</v>
      </c>
      <c r="AU4215" t="s">
        <v>68</v>
      </c>
      <c r="AV4215" t="s">
        <v>1092</v>
      </c>
      <c r="AW4215" s="1">
        <v>29180</v>
      </c>
      <c r="AX4215">
        <v>2</v>
      </c>
    </row>
    <row r="4216" spans="1:50">
      <c r="A4216">
        <v>173681</v>
      </c>
      <c r="B4216" t="str">
        <f>"064691028"</f>
        <v>064691028</v>
      </c>
      <c r="C4216" t="s">
        <v>50</v>
      </c>
      <c r="D4216" t="s">
        <v>7867</v>
      </c>
      <c r="E4216" t="s">
        <v>2297</v>
      </c>
      <c r="F4216" t="s">
        <v>72</v>
      </c>
      <c r="G4216" t="s">
        <v>1189</v>
      </c>
      <c r="H4216" t="str">
        <f>" "</f>
        <v xml:space="preserve"> </v>
      </c>
      <c r="N4216" t="s">
        <v>292</v>
      </c>
      <c r="O4216" t="s">
        <v>293</v>
      </c>
      <c r="R4216" t="s">
        <v>57</v>
      </c>
      <c r="S4216">
        <v>12</v>
      </c>
      <c r="T4216">
        <v>166</v>
      </c>
      <c r="U4216" s="1">
        <v>35300</v>
      </c>
      <c r="V4216" t="s">
        <v>6729</v>
      </c>
      <c r="W4216" t="s">
        <v>6730</v>
      </c>
      <c r="X4216" t="s">
        <v>58</v>
      </c>
      <c r="Y4216">
        <v>18</v>
      </c>
      <c r="Z4216" t="s">
        <v>59</v>
      </c>
      <c r="AA4216" t="s">
        <v>59</v>
      </c>
      <c r="AB4216" t="s">
        <v>59</v>
      </c>
      <c r="AC4216" t="s">
        <v>59</v>
      </c>
      <c r="AD4216" t="s">
        <v>59</v>
      </c>
      <c r="AF4216" s="1">
        <v>35313</v>
      </c>
      <c r="AG4216" t="s">
        <v>125</v>
      </c>
      <c r="AH4216" t="s">
        <v>126</v>
      </c>
      <c r="AI4216" t="str">
        <f>"5012010"</f>
        <v>5012010</v>
      </c>
      <c r="AJ4216" t="s">
        <v>6794</v>
      </c>
      <c r="AK4216">
        <v>2821033195</v>
      </c>
      <c r="AL4216" t="s">
        <v>6795</v>
      </c>
      <c r="AM4216" t="s">
        <v>88</v>
      </c>
      <c r="AN4216" t="s">
        <v>88</v>
      </c>
      <c r="AO4216" t="s">
        <v>6785</v>
      </c>
      <c r="AP4216" t="s">
        <v>6786</v>
      </c>
      <c r="AQ4216">
        <v>1</v>
      </c>
      <c r="AR4216" t="s">
        <v>6729</v>
      </c>
      <c r="AS4216" t="s">
        <v>6730</v>
      </c>
      <c r="AT4216" t="s">
        <v>58</v>
      </c>
      <c r="AU4216" t="s">
        <v>68</v>
      </c>
      <c r="AV4216" t="s">
        <v>69</v>
      </c>
      <c r="AW4216" s="1">
        <v>20981</v>
      </c>
      <c r="AX4216">
        <v>2</v>
      </c>
    </row>
    <row r="4217" spans="1:50">
      <c r="B4217" t="str">
        <f>"151292241"</f>
        <v>151292241</v>
      </c>
      <c r="C4217" t="s">
        <v>50</v>
      </c>
      <c r="D4217" t="s">
        <v>7870</v>
      </c>
      <c r="E4217" t="s">
        <v>2555</v>
      </c>
      <c r="F4217" t="s">
        <v>1679</v>
      </c>
      <c r="G4217" t="s">
        <v>112</v>
      </c>
      <c r="H4217" t="str">
        <f>" "</f>
        <v xml:space="preserve"> </v>
      </c>
      <c r="K4217">
        <v>6909889153</v>
      </c>
      <c r="M4217" t="s">
        <v>7871</v>
      </c>
      <c r="N4217" t="s">
        <v>119</v>
      </c>
      <c r="O4217" t="s">
        <v>120</v>
      </c>
      <c r="R4217" t="s">
        <v>159</v>
      </c>
      <c r="S4217">
        <v>3</v>
      </c>
      <c r="T4217" t="s">
        <v>344</v>
      </c>
      <c r="U4217" s="1">
        <v>43348</v>
      </c>
      <c r="V4217" t="s">
        <v>6729</v>
      </c>
      <c r="W4217" t="s">
        <v>6730</v>
      </c>
      <c r="X4217" t="s">
        <v>58</v>
      </c>
      <c r="Y4217">
        <v>23</v>
      </c>
      <c r="Z4217" t="s">
        <v>59</v>
      </c>
      <c r="AA4217" t="s">
        <v>59</v>
      </c>
      <c r="AB4217" t="s">
        <v>59</v>
      </c>
      <c r="AD4217" t="s">
        <v>59</v>
      </c>
      <c r="AF4217" s="1">
        <v>43348</v>
      </c>
      <c r="AG4217" t="s">
        <v>125</v>
      </c>
      <c r="AH4217" t="s">
        <v>590</v>
      </c>
      <c r="AI4217" t="str">
        <f>"5011201"</f>
        <v>5011201</v>
      </c>
      <c r="AJ4217" t="s">
        <v>7231</v>
      </c>
      <c r="AK4217">
        <v>2821087122</v>
      </c>
      <c r="AL4217" t="s">
        <v>7232</v>
      </c>
      <c r="AM4217" t="s">
        <v>88</v>
      </c>
      <c r="AN4217" t="s">
        <v>88</v>
      </c>
      <c r="AO4217" t="s">
        <v>88</v>
      </c>
      <c r="AP4217" t="s">
        <v>88</v>
      </c>
      <c r="AR4217" t="s">
        <v>6729</v>
      </c>
      <c r="AS4217" t="s">
        <v>6730</v>
      </c>
      <c r="AT4217" t="s">
        <v>58</v>
      </c>
      <c r="AU4217" t="s">
        <v>350</v>
      </c>
      <c r="AV4217" t="s">
        <v>132</v>
      </c>
      <c r="AW4217" s="1">
        <v>33145</v>
      </c>
      <c r="AX4217">
        <v>2</v>
      </c>
    </row>
    <row r="4218" spans="1:50">
      <c r="A4218">
        <v>220015</v>
      </c>
      <c r="B4218" t="str">
        <f>"075075317"</f>
        <v>075075317</v>
      </c>
      <c r="C4218" t="s">
        <v>105</v>
      </c>
      <c r="D4218" t="s">
        <v>7872</v>
      </c>
      <c r="E4218" t="s">
        <v>1679</v>
      </c>
      <c r="F4218" t="s">
        <v>383</v>
      </c>
      <c r="G4218" t="s">
        <v>396</v>
      </c>
      <c r="H4218" t="str">
        <f>"ΑΡΚΑΔΙΟΥ 103 ΠΑΡΗΓΟΡΙΑ"</f>
        <v>ΑΡΚΑΔΙΟΥ 103 ΠΑΡΗΓΟΡΙΑ</v>
      </c>
      <c r="I4218">
        <v>73100</v>
      </c>
      <c r="J4218">
        <v>2821079466</v>
      </c>
      <c r="K4218">
        <v>6979778955</v>
      </c>
      <c r="M4218" t="s">
        <v>7873</v>
      </c>
      <c r="N4218" t="s">
        <v>168</v>
      </c>
      <c r="O4218" t="s">
        <v>169</v>
      </c>
      <c r="R4218" t="s">
        <v>57</v>
      </c>
      <c r="S4218">
        <v>7</v>
      </c>
      <c r="T4218">
        <v>599</v>
      </c>
      <c r="U4218" s="1">
        <v>39310</v>
      </c>
      <c r="V4218" t="s">
        <v>6729</v>
      </c>
      <c r="W4218" t="s">
        <v>6730</v>
      </c>
      <c r="X4218" t="s">
        <v>58</v>
      </c>
      <c r="Y4218">
        <v>20</v>
      </c>
      <c r="Z4218" t="s">
        <v>59</v>
      </c>
      <c r="AA4218" t="s">
        <v>59</v>
      </c>
      <c r="AB4218" t="s">
        <v>59</v>
      </c>
      <c r="AC4218" t="s">
        <v>59</v>
      </c>
      <c r="AD4218" t="s">
        <v>59</v>
      </c>
      <c r="AF4218" s="1">
        <v>39328</v>
      </c>
      <c r="AG4218" t="s">
        <v>137</v>
      </c>
      <c r="AH4218" t="s">
        <v>138</v>
      </c>
      <c r="AI4218" t="str">
        <f>"5050060"</f>
        <v>5050060</v>
      </c>
      <c r="AJ4218" t="s">
        <v>6801</v>
      </c>
      <c r="AK4218">
        <v>2821091515</v>
      </c>
      <c r="AL4218" t="s">
        <v>6802</v>
      </c>
      <c r="AM4218" t="s">
        <v>88</v>
      </c>
      <c r="AN4218" t="s">
        <v>88</v>
      </c>
      <c r="AO4218" t="s">
        <v>88</v>
      </c>
      <c r="AP4218" t="s">
        <v>88</v>
      </c>
      <c r="AQ4218">
        <v>1</v>
      </c>
      <c r="AR4218" t="s">
        <v>6729</v>
      </c>
      <c r="AS4218" t="s">
        <v>6730</v>
      </c>
      <c r="AT4218" t="s">
        <v>58</v>
      </c>
      <c r="AU4218" t="s">
        <v>68</v>
      </c>
      <c r="AV4218" t="s">
        <v>69</v>
      </c>
      <c r="AW4218" s="1">
        <v>26539</v>
      </c>
      <c r="AX4218">
        <v>2</v>
      </c>
    </row>
    <row r="4219" spans="1:50">
      <c r="A4219">
        <v>162991</v>
      </c>
      <c r="B4219" t="str">
        <f>"039007016"</f>
        <v>039007016</v>
      </c>
      <c r="C4219" t="s">
        <v>50</v>
      </c>
      <c r="D4219" t="s">
        <v>7874</v>
      </c>
      <c r="E4219" t="s">
        <v>2248</v>
      </c>
      <c r="F4219" t="s">
        <v>1716</v>
      </c>
      <c r="G4219" t="s">
        <v>96</v>
      </c>
      <c r="H4219" t="str">
        <f>" "</f>
        <v xml:space="preserve"> </v>
      </c>
      <c r="J4219">
        <v>2821050162</v>
      </c>
      <c r="K4219">
        <v>6946202472</v>
      </c>
      <c r="M4219" t="s">
        <v>7875</v>
      </c>
      <c r="N4219" t="s">
        <v>683</v>
      </c>
      <c r="O4219" t="s">
        <v>684</v>
      </c>
      <c r="R4219" t="s">
        <v>57</v>
      </c>
      <c r="S4219">
        <v>13</v>
      </c>
      <c r="T4219">
        <v>132</v>
      </c>
      <c r="U4219" s="1">
        <v>33456</v>
      </c>
      <c r="V4219" t="s">
        <v>6729</v>
      </c>
      <c r="W4219" t="s">
        <v>6730</v>
      </c>
      <c r="X4219" t="s">
        <v>58</v>
      </c>
      <c r="Y4219">
        <v>18</v>
      </c>
      <c r="Z4219" t="s">
        <v>59</v>
      </c>
      <c r="AA4219" t="s">
        <v>59</v>
      </c>
      <c r="AB4219" t="s">
        <v>59</v>
      </c>
      <c r="AC4219" t="s">
        <v>59</v>
      </c>
      <c r="AD4219" t="s">
        <v>59</v>
      </c>
      <c r="AF4219" s="1">
        <v>33483</v>
      </c>
      <c r="AG4219" t="s">
        <v>125</v>
      </c>
      <c r="AH4219" t="s">
        <v>126</v>
      </c>
      <c r="AI4219" t="str">
        <f>"5001076"</f>
        <v>5001076</v>
      </c>
      <c r="AJ4219" t="s">
        <v>6979</v>
      </c>
      <c r="AK4219">
        <v>2821088808</v>
      </c>
      <c r="AL4219" t="s">
        <v>6980</v>
      </c>
      <c r="AM4219" t="s">
        <v>88</v>
      </c>
      <c r="AN4219" t="s">
        <v>88</v>
      </c>
      <c r="AO4219" t="s">
        <v>6733</v>
      </c>
      <c r="AP4219" t="s">
        <v>6755</v>
      </c>
      <c r="AQ4219">
        <v>1</v>
      </c>
      <c r="AR4219" t="s">
        <v>6729</v>
      </c>
      <c r="AS4219" t="s">
        <v>6730</v>
      </c>
      <c r="AT4219" t="s">
        <v>58</v>
      </c>
      <c r="AU4219" t="s">
        <v>68</v>
      </c>
      <c r="AV4219" t="s">
        <v>69</v>
      </c>
      <c r="AW4219" s="1">
        <v>24178</v>
      </c>
      <c r="AX4219">
        <v>2</v>
      </c>
    </row>
    <row r="4220" spans="1:50">
      <c r="A4220">
        <v>163259</v>
      </c>
      <c r="B4220" t="str">
        <f>"029902899"</f>
        <v>029902899</v>
      </c>
      <c r="C4220" t="s">
        <v>50</v>
      </c>
      <c r="D4220" t="s">
        <v>7876</v>
      </c>
      <c r="E4220" t="s">
        <v>52</v>
      </c>
      <c r="F4220" t="s">
        <v>92</v>
      </c>
      <c r="G4220" t="s">
        <v>2088</v>
      </c>
      <c r="H4220" t="str">
        <f>"ΠΑΤΡΙΑΡΧΟΥ ΙΩΑΝΝΙΚΕΙΟΥ 11Α ΧΑΝΙΑ"</f>
        <v>ΠΑΤΡΙΑΡΧΟΥ ΙΩΑΝΝΙΚΕΙΟΥ 11Α ΧΑΝΙΑ</v>
      </c>
      <c r="I4220">
        <v>73131</v>
      </c>
      <c r="J4220">
        <v>2821075628</v>
      </c>
      <c r="M4220" t="s">
        <v>7877</v>
      </c>
      <c r="N4220" t="s">
        <v>257</v>
      </c>
      <c r="O4220" t="s">
        <v>258</v>
      </c>
      <c r="P4220" t="s">
        <v>157</v>
      </c>
      <c r="Q4220" t="s">
        <v>158</v>
      </c>
      <c r="R4220" t="s">
        <v>57</v>
      </c>
      <c r="S4220">
        <v>17</v>
      </c>
      <c r="T4220">
        <v>132</v>
      </c>
      <c r="U4220" s="1">
        <v>33456</v>
      </c>
      <c r="V4220" t="s">
        <v>6729</v>
      </c>
      <c r="W4220" t="s">
        <v>6730</v>
      </c>
      <c r="X4220" t="s">
        <v>58</v>
      </c>
      <c r="Y4220">
        <v>18</v>
      </c>
      <c r="Z4220" t="s">
        <v>59</v>
      </c>
      <c r="AA4220" t="s">
        <v>59</v>
      </c>
      <c r="AB4220" t="s">
        <v>59</v>
      </c>
      <c r="AC4220" t="s">
        <v>59</v>
      </c>
      <c r="AD4220" t="s">
        <v>59</v>
      </c>
      <c r="AF4220" s="1">
        <v>33490</v>
      </c>
      <c r="AG4220" t="s">
        <v>125</v>
      </c>
      <c r="AH4220" t="s">
        <v>126</v>
      </c>
      <c r="AI4220" t="str">
        <f>"5001060"</f>
        <v>5001060</v>
      </c>
      <c r="AJ4220" t="s">
        <v>6914</v>
      </c>
      <c r="AK4220">
        <v>2821091763</v>
      </c>
      <c r="AL4220" t="s">
        <v>6915</v>
      </c>
      <c r="AM4220" t="s">
        <v>88</v>
      </c>
      <c r="AN4220" t="s">
        <v>88</v>
      </c>
      <c r="AO4220" t="s">
        <v>88</v>
      </c>
      <c r="AP4220" t="s">
        <v>88</v>
      </c>
      <c r="AQ4220">
        <v>1</v>
      </c>
      <c r="AR4220" t="s">
        <v>6729</v>
      </c>
      <c r="AS4220" t="s">
        <v>6730</v>
      </c>
      <c r="AT4220" t="s">
        <v>58</v>
      </c>
      <c r="AU4220" t="s">
        <v>68</v>
      </c>
      <c r="AV4220" t="s">
        <v>69</v>
      </c>
      <c r="AW4220" s="1">
        <v>20854</v>
      </c>
      <c r="AX4220">
        <v>2</v>
      </c>
    </row>
    <row r="4221" spans="1:50">
      <c r="A4221">
        <v>187355</v>
      </c>
      <c r="B4221" t="str">
        <f>"072306886"</f>
        <v>072306886</v>
      </c>
      <c r="C4221" t="s">
        <v>105</v>
      </c>
      <c r="D4221" t="s">
        <v>7878</v>
      </c>
      <c r="E4221" t="s">
        <v>95</v>
      </c>
      <c r="F4221" t="s">
        <v>760</v>
      </c>
      <c r="G4221" t="s">
        <v>340</v>
      </c>
      <c r="H4221" t="str">
        <f>" ΠΥΡΓΟΣ"</f>
        <v xml:space="preserve"> ΠΥΡΓΟΣ</v>
      </c>
      <c r="I4221">
        <v>73400</v>
      </c>
      <c r="K4221">
        <v>6974289903</v>
      </c>
      <c r="M4221" t="s">
        <v>7879</v>
      </c>
      <c r="N4221" t="s">
        <v>282</v>
      </c>
      <c r="O4221" t="s">
        <v>283</v>
      </c>
      <c r="R4221" t="s">
        <v>57</v>
      </c>
      <c r="S4221">
        <v>13</v>
      </c>
      <c r="T4221">
        <v>251</v>
      </c>
      <c r="U4221" s="1">
        <v>36769</v>
      </c>
      <c r="V4221" t="s">
        <v>6729</v>
      </c>
      <c r="W4221" t="s">
        <v>6730</v>
      </c>
      <c r="X4221" t="s">
        <v>58</v>
      </c>
      <c r="Y4221">
        <v>18</v>
      </c>
      <c r="Z4221" t="s">
        <v>59</v>
      </c>
      <c r="AA4221" t="s">
        <v>59</v>
      </c>
      <c r="AB4221" t="s">
        <v>59</v>
      </c>
      <c r="AC4221" t="s">
        <v>59</v>
      </c>
      <c r="AD4221" t="s">
        <v>59</v>
      </c>
      <c r="AF4221" s="1">
        <v>36770</v>
      </c>
      <c r="AG4221" t="s">
        <v>125</v>
      </c>
      <c r="AH4221" t="s">
        <v>126</v>
      </c>
      <c r="AI4221" t="str">
        <f>"5004010"</f>
        <v>5004010</v>
      </c>
      <c r="AJ4221" t="s">
        <v>7166</v>
      </c>
      <c r="AK4221">
        <v>2822022067</v>
      </c>
      <c r="AL4221" t="s">
        <v>7167</v>
      </c>
      <c r="AM4221" t="s">
        <v>88</v>
      </c>
      <c r="AN4221" t="s">
        <v>6744</v>
      </c>
      <c r="AO4221" t="s">
        <v>6744</v>
      </c>
      <c r="AP4221" t="s">
        <v>6744</v>
      </c>
      <c r="AQ4221">
        <v>1</v>
      </c>
      <c r="AR4221" t="s">
        <v>6729</v>
      </c>
      <c r="AS4221" t="s">
        <v>6730</v>
      </c>
      <c r="AT4221" t="s">
        <v>58</v>
      </c>
      <c r="AU4221" t="s">
        <v>68</v>
      </c>
      <c r="AV4221" t="s">
        <v>69</v>
      </c>
      <c r="AW4221" s="1">
        <v>22647</v>
      </c>
      <c r="AX4221">
        <v>2</v>
      </c>
    </row>
    <row r="4222" spans="1:50">
      <c r="A4222">
        <v>217075</v>
      </c>
      <c r="B4222" t="str">
        <f>"043501297"</f>
        <v>043501297</v>
      </c>
      <c r="C4222" t="s">
        <v>105</v>
      </c>
      <c r="D4222" t="s">
        <v>7880</v>
      </c>
      <c r="E4222" t="s">
        <v>1023</v>
      </c>
      <c r="F4222" t="s">
        <v>459</v>
      </c>
      <c r="G4222" t="s">
        <v>98</v>
      </c>
      <c r="H4222" t="str">
        <f>" χαλεπα"</f>
        <v xml:space="preserve"> χαλεπα</v>
      </c>
      <c r="I4222">
        <v>59100</v>
      </c>
      <c r="J4222">
        <v>2221505017</v>
      </c>
      <c r="K4222">
        <v>6932899217</v>
      </c>
      <c r="M4222" t="s">
        <v>7881</v>
      </c>
      <c r="N4222" t="s">
        <v>337</v>
      </c>
      <c r="O4222" t="s">
        <v>338</v>
      </c>
      <c r="R4222" t="s">
        <v>57</v>
      </c>
      <c r="S4222">
        <v>7</v>
      </c>
      <c r="T4222">
        <v>298</v>
      </c>
      <c r="U4222" s="1">
        <v>38985</v>
      </c>
      <c r="V4222" t="s">
        <v>6729</v>
      </c>
      <c r="W4222" t="s">
        <v>6730</v>
      </c>
      <c r="X4222" t="s">
        <v>58</v>
      </c>
      <c r="Y4222">
        <v>20</v>
      </c>
      <c r="Z4222" t="s">
        <v>59</v>
      </c>
      <c r="AA4222" t="s">
        <v>59</v>
      </c>
      <c r="AB4222" t="s">
        <v>59</v>
      </c>
      <c r="AC4222" t="s">
        <v>59</v>
      </c>
      <c r="AD4222" t="s">
        <v>59</v>
      </c>
      <c r="AF4222" s="1">
        <v>38985</v>
      </c>
      <c r="AG4222" t="s">
        <v>125</v>
      </c>
      <c r="AH4222" t="s">
        <v>294</v>
      </c>
      <c r="AI4222" t="str">
        <f>"5012017"</f>
        <v>5012017</v>
      </c>
      <c r="AJ4222" t="s">
        <v>6859</v>
      </c>
      <c r="AK4222">
        <v>2821088065</v>
      </c>
      <c r="AL4222" t="s">
        <v>6860</v>
      </c>
      <c r="AM4222" t="s">
        <v>88</v>
      </c>
      <c r="AN4222" t="s">
        <v>88</v>
      </c>
      <c r="AO4222" t="s">
        <v>88</v>
      </c>
      <c r="AP4222" t="s">
        <v>88</v>
      </c>
      <c r="AQ4222">
        <v>1</v>
      </c>
      <c r="AR4222" t="s">
        <v>6729</v>
      </c>
      <c r="AS4222" t="s">
        <v>6730</v>
      </c>
      <c r="AT4222" t="s">
        <v>58</v>
      </c>
      <c r="AU4222" t="s">
        <v>68</v>
      </c>
      <c r="AV4222" t="s">
        <v>69</v>
      </c>
      <c r="AW4222" s="1">
        <v>25122</v>
      </c>
      <c r="AX4222">
        <v>2</v>
      </c>
    </row>
    <row r="4223" spans="1:50">
      <c r="A4223">
        <v>201753</v>
      </c>
      <c r="B4223" t="str">
        <f>"066833829"</f>
        <v>066833829</v>
      </c>
      <c r="C4223" t="s">
        <v>50</v>
      </c>
      <c r="D4223" t="s">
        <v>7882</v>
      </c>
      <c r="E4223" t="s">
        <v>250</v>
      </c>
      <c r="F4223" t="s">
        <v>7883</v>
      </c>
      <c r="G4223" t="s">
        <v>52</v>
      </c>
      <c r="H4223" t="str">
        <f>" "</f>
        <v xml:space="preserve"> </v>
      </c>
      <c r="J4223">
        <v>2821090318</v>
      </c>
      <c r="K4223">
        <v>6978286864</v>
      </c>
      <c r="M4223" t="s">
        <v>7884</v>
      </c>
      <c r="N4223" t="s">
        <v>146</v>
      </c>
      <c r="O4223" t="s">
        <v>147</v>
      </c>
      <c r="R4223" t="s">
        <v>57</v>
      </c>
      <c r="S4223">
        <v>7</v>
      </c>
      <c r="T4223">
        <v>231</v>
      </c>
      <c r="U4223" s="1">
        <v>38230</v>
      </c>
      <c r="V4223" t="s">
        <v>6729</v>
      </c>
      <c r="W4223" t="s">
        <v>6730</v>
      </c>
      <c r="X4223" t="s">
        <v>58</v>
      </c>
      <c r="Y4223">
        <v>20</v>
      </c>
      <c r="Z4223" t="s">
        <v>59</v>
      </c>
      <c r="AA4223" t="s">
        <v>59</v>
      </c>
      <c r="AB4223" t="s">
        <v>59</v>
      </c>
      <c r="AC4223" t="s">
        <v>59</v>
      </c>
      <c r="AD4223" t="s">
        <v>59</v>
      </c>
      <c r="AF4223" s="1">
        <v>38233</v>
      </c>
      <c r="AG4223" t="s">
        <v>125</v>
      </c>
      <c r="AH4223" t="s">
        <v>126</v>
      </c>
      <c r="AI4223" t="str">
        <f>"5001073"</f>
        <v>5001073</v>
      </c>
      <c r="AJ4223" t="s">
        <v>6849</v>
      </c>
      <c r="AK4223">
        <v>2821028553</v>
      </c>
      <c r="AL4223" t="s">
        <v>6850</v>
      </c>
      <c r="AM4223" t="s">
        <v>88</v>
      </c>
      <c r="AN4223" t="s">
        <v>88</v>
      </c>
      <c r="AO4223" t="s">
        <v>88</v>
      </c>
      <c r="AP4223" t="s">
        <v>88</v>
      </c>
      <c r="AQ4223">
        <v>1</v>
      </c>
      <c r="AR4223" t="s">
        <v>6729</v>
      </c>
      <c r="AS4223" t="s">
        <v>6730</v>
      </c>
      <c r="AT4223" t="s">
        <v>58</v>
      </c>
      <c r="AU4223" t="s">
        <v>68</v>
      </c>
      <c r="AV4223" t="s">
        <v>357</v>
      </c>
      <c r="AW4223" s="1">
        <v>29162</v>
      </c>
      <c r="AX4223">
        <v>2</v>
      </c>
    </row>
    <row r="4224" spans="1:50">
      <c r="A4224">
        <v>177882</v>
      </c>
      <c r="B4224" t="str">
        <f>"045373217"</f>
        <v>045373217</v>
      </c>
      <c r="C4224" t="s">
        <v>105</v>
      </c>
      <c r="D4224" t="s">
        <v>7885</v>
      </c>
      <c r="E4224" t="s">
        <v>315</v>
      </c>
      <c r="F4224" t="s">
        <v>92</v>
      </c>
      <c r="G4224" t="s">
        <v>52</v>
      </c>
      <c r="H4224" t="str">
        <f>" "</f>
        <v xml:space="preserve"> </v>
      </c>
      <c r="N4224" t="s">
        <v>1989</v>
      </c>
      <c r="O4224" t="s">
        <v>1990</v>
      </c>
      <c r="R4224" t="s">
        <v>57</v>
      </c>
      <c r="S4224">
        <v>11</v>
      </c>
      <c r="T4224">
        <v>180</v>
      </c>
      <c r="U4224" s="1">
        <v>35674</v>
      </c>
      <c r="V4224" t="s">
        <v>6729</v>
      </c>
      <c r="W4224" t="s">
        <v>6730</v>
      </c>
      <c r="X4224" t="s">
        <v>58</v>
      </c>
      <c r="Y4224">
        <v>18</v>
      </c>
      <c r="Z4224" t="s">
        <v>59</v>
      </c>
      <c r="AA4224" t="s">
        <v>59</v>
      </c>
      <c r="AB4224" t="s">
        <v>59</v>
      </c>
      <c r="AC4224" t="s">
        <v>59</v>
      </c>
      <c r="AD4224" t="s">
        <v>59</v>
      </c>
      <c r="AF4224" s="1">
        <v>35675</v>
      </c>
      <c r="AG4224" t="s">
        <v>137</v>
      </c>
      <c r="AH4224" t="s">
        <v>138</v>
      </c>
      <c r="AI4224" t="str">
        <f>"5040100"</f>
        <v>5040100</v>
      </c>
      <c r="AJ4224" t="s">
        <v>6790</v>
      </c>
      <c r="AK4224">
        <v>2821058998</v>
      </c>
      <c r="AL4224" t="s">
        <v>6791</v>
      </c>
      <c r="AM4224" t="s">
        <v>88</v>
      </c>
      <c r="AN4224" t="s">
        <v>88</v>
      </c>
      <c r="AO4224" t="s">
        <v>6770</v>
      </c>
      <c r="AP4224" t="s">
        <v>6771</v>
      </c>
      <c r="AQ4224">
        <v>1</v>
      </c>
      <c r="AR4224" t="s">
        <v>6729</v>
      </c>
      <c r="AS4224" t="s">
        <v>6730</v>
      </c>
      <c r="AT4224" t="s">
        <v>58</v>
      </c>
      <c r="AU4224" t="s">
        <v>68</v>
      </c>
      <c r="AV4224" t="s">
        <v>69</v>
      </c>
      <c r="AW4224" s="1">
        <v>23743</v>
      </c>
      <c r="AX4224">
        <v>2</v>
      </c>
    </row>
    <row r="4225" spans="1:50">
      <c r="A4225">
        <v>169898</v>
      </c>
      <c r="B4225" t="str">
        <f>"054223201"</f>
        <v>054223201</v>
      </c>
      <c r="C4225" t="s">
        <v>105</v>
      </c>
      <c r="D4225" t="s">
        <v>7886</v>
      </c>
      <c r="E4225" t="s">
        <v>95</v>
      </c>
      <c r="F4225" t="s">
        <v>95</v>
      </c>
      <c r="G4225" t="s">
        <v>3397</v>
      </c>
      <c r="H4225" t="str">
        <f>" "</f>
        <v xml:space="preserve"> </v>
      </c>
      <c r="K4225">
        <v>6938882728</v>
      </c>
      <c r="M4225" t="s">
        <v>7887</v>
      </c>
      <c r="N4225" t="s">
        <v>146</v>
      </c>
      <c r="O4225" t="s">
        <v>147</v>
      </c>
      <c r="R4225" t="s">
        <v>57</v>
      </c>
      <c r="S4225">
        <v>14</v>
      </c>
      <c r="T4225">
        <v>184</v>
      </c>
      <c r="U4225" s="1">
        <v>34941</v>
      </c>
      <c r="V4225" t="s">
        <v>6729</v>
      </c>
      <c r="W4225" t="s">
        <v>6730</v>
      </c>
      <c r="X4225" t="s">
        <v>58</v>
      </c>
      <c r="Y4225">
        <v>18</v>
      </c>
      <c r="Z4225" t="s">
        <v>59</v>
      </c>
      <c r="AA4225" t="s">
        <v>59</v>
      </c>
      <c r="AB4225" t="s">
        <v>59</v>
      </c>
      <c r="AC4225" t="s">
        <v>59</v>
      </c>
      <c r="AD4225" t="s">
        <v>59</v>
      </c>
      <c r="AF4225" s="1">
        <v>34943</v>
      </c>
      <c r="AG4225" t="s">
        <v>148</v>
      </c>
      <c r="AH4225" t="s">
        <v>149</v>
      </c>
      <c r="AI4225" t="str">
        <f>"5051030"</f>
        <v>5051030</v>
      </c>
      <c r="AJ4225" t="s">
        <v>6760</v>
      </c>
      <c r="AK4225">
        <v>2821027533</v>
      </c>
      <c r="AL4225" t="s">
        <v>6761</v>
      </c>
      <c r="AM4225" t="s">
        <v>88</v>
      </c>
      <c r="AN4225" t="s">
        <v>88</v>
      </c>
      <c r="AO4225" t="s">
        <v>88</v>
      </c>
      <c r="AP4225" t="s">
        <v>88</v>
      </c>
      <c r="AQ4225">
        <v>1</v>
      </c>
      <c r="AR4225" t="s">
        <v>6729</v>
      </c>
      <c r="AS4225" t="s">
        <v>6730</v>
      </c>
      <c r="AT4225" t="s">
        <v>58</v>
      </c>
      <c r="AU4225" t="s">
        <v>68</v>
      </c>
      <c r="AV4225" t="s">
        <v>69</v>
      </c>
      <c r="AW4225" s="1">
        <v>23653</v>
      </c>
      <c r="AX4225">
        <v>2</v>
      </c>
    </row>
    <row r="4226" spans="1:50">
      <c r="A4226">
        <v>189966</v>
      </c>
      <c r="B4226" t="str">
        <f>"036732050"</f>
        <v>036732050</v>
      </c>
      <c r="C4226" t="s">
        <v>105</v>
      </c>
      <c r="D4226" t="s">
        <v>7888</v>
      </c>
      <c r="E4226" t="s">
        <v>84</v>
      </c>
      <c r="F4226" t="s">
        <v>558</v>
      </c>
      <c r="G4226" t="s">
        <v>4266</v>
      </c>
      <c r="H4226" t="str">
        <f>"ΣΠΑΡΤΗΣ 43 ΧΑΝΙΑ"</f>
        <v>ΣΠΑΡΤΗΣ 43 ΧΑΝΙΑ</v>
      </c>
      <c r="I4226">
        <v>73132</v>
      </c>
      <c r="J4226">
        <v>2821052921</v>
      </c>
      <c r="K4226">
        <v>6978060314</v>
      </c>
      <c r="M4226" t="s">
        <v>7120</v>
      </c>
      <c r="N4226" t="s">
        <v>232</v>
      </c>
      <c r="O4226" t="s">
        <v>233</v>
      </c>
      <c r="R4226" t="s">
        <v>57</v>
      </c>
      <c r="S4226">
        <v>9</v>
      </c>
      <c r="T4226">
        <v>219</v>
      </c>
      <c r="U4226" s="1">
        <v>37134</v>
      </c>
      <c r="V4226" t="s">
        <v>6729</v>
      </c>
      <c r="W4226" t="s">
        <v>6730</v>
      </c>
      <c r="X4226" t="s">
        <v>58</v>
      </c>
      <c r="Y4226">
        <v>20</v>
      </c>
      <c r="Z4226" t="s">
        <v>59</v>
      </c>
      <c r="AA4226" t="s">
        <v>59</v>
      </c>
      <c r="AB4226" t="s">
        <v>59</v>
      </c>
      <c r="AC4226" t="s">
        <v>59</v>
      </c>
      <c r="AD4226" t="s">
        <v>59</v>
      </c>
      <c r="AF4226" s="1">
        <v>37138</v>
      </c>
      <c r="AG4226" t="s">
        <v>137</v>
      </c>
      <c r="AH4226" t="s">
        <v>138</v>
      </c>
      <c r="AI4226" t="str">
        <f>"5040080"</f>
        <v>5040080</v>
      </c>
      <c r="AJ4226" t="s">
        <v>6753</v>
      </c>
      <c r="AK4226">
        <v>2821093155</v>
      </c>
      <c r="AL4226" t="s">
        <v>6754</v>
      </c>
      <c r="AM4226" t="s">
        <v>88</v>
      </c>
      <c r="AN4226" t="s">
        <v>88</v>
      </c>
      <c r="AO4226" t="s">
        <v>6733</v>
      </c>
      <c r="AP4226" t="s">
        <v>6755</v>
      </c>
      <c r="AQ4226">
        <v>1</v>
      </c>
      <c r="AR4226" t="s">
        <v>6729</v>
      </c>
      <c r="AS4226" t="s">
        <v>6730</v>
      </c>
      <c r="AT4226" t="s">
        <v>58</v>
      </c>
      <c r="AU4226" t="s">
        <v>68</v>
      </c>
      <c r="AV4226" t="s">
        <v>69</v>
      </c>
      <c r="AW4226" s="1">
        <v>21638</v>
      </c>
      <c r="AX4226">
        <v>2</v>
      </c>
    </row>
    <row r="4227" spans="1:50">
      <c r="A4227">
        <v>186496</v>
      </c>
      <c r="B4227" t="str">
        <f>"036250489"</f>
        <v>036250489</v>
      </c>
      <c r="C4227" t="s">
        <v>50</v>
      </c>
      <c r="D4227" t="s">
        <v>7889</v>
      </c>
      <c r="E4227" t="s">
        <v>476</v>
      </c>
      <c r="F4227" t="s">
        <v>2733</v>
      </c>
      <c r="G4227" t="s">
        <v>630</v>
      </c>
      <c r="H4227" t="str">
        <f>"ΑΓ. ΑΠΟΣΤΟΛΩΝ 11 ΕΛ. ΒΕΝΙΖΕΛΟΥ"</f>
        <v>ΑΓ. ΑΠΟΣΤΟΛΩΝ 11 ΕΛ. ΒΕΝΙΖΕΛΟΥ</v>
      </c>
      <c r="I4227">
        <v>73135</v>
      </c>
      <c r="J4227">
        <v>2821074436</v>
      </c>
      <c r="K4227">
        <v>6974520977</v>
      </c>
      <c r="M4227" t="s">
        <v>7890</v>
      </c>
      <c r="N4227" t="s">
        <v>146</v>
      </c>
      <c r="O4227" t="s">
        <v>147</v>
      </c>
      <c r="R4227" t="s">
        <v>57</v>
      </c>
      <c r="S4227">
        <v>11</v>
      </c>
      <c r="T4227">
        <v>251</v>
      </c>
      <c r="U4227" s="1">
        <v>36769</v>
      </c>
      <c r="V4227" t="s">
        <v>6729</v>
      </c>
      <c r="W4227" t="s">
        <v>6730</v>
      </c>
      <c r="X4227" t="s">
        <v>58</v>
      </c>
      <c r="Y4227">
        <v>18</v>
      </c>
      <c r="Z4227" t="s">
        <v>59</v>
      </c>
      <c r="AA4227" t="s">
        <v>59</v>
      </c>
      <c r="AB4227" t="s">
        <v>59</v>
      </c>
      <c r="AC4227" t="s">
        <v>59</v>
      </c>
      <c r="AD4227" t="s">
        <v>59</v>
      </c>
      <c r="AF4227" s="1">
        <v>36773</v>
      </c>
      <c r="AG4227" t="s">
        <v>125</v>
      </c>
      <c r="AH4227" t="s">
        <v>126</v>
      </c>
      <c r="AI4227" t="str">
        <f>"5001072"</f>
        <v>5001072</v>
      </c>
      <c r="AJ4227" t="s">
        <v>6922</v>
      </c>
      <c r="AK4227">
        <v>2821055471</v>
      </c>
      <c r="AL4227" t="s">
        <v>6923</v>
      </c>
      <c r="AM4227" t="s">
        <v>88</v>
      </c>
      <c r="AN4227" t="s">
        <v>88</v>
      </c>
      <c r="AO4227" t="s">
        <v>88</v>
      </c>
      <c r="AP4227" t="s">
        <v>88</v>
      </c>
      <c r="AQ4227">
        <v>1</v>
      </c>
      <c r="AR4227" t="s">
        <v>6729</v>
      </c>
      <c r="AS4227" t="s">
        <v>6730</v>
      </c>
      <c r="AT4227" t="s">
        <v>58</v>
      </c>
      <c r="AU4227" t="s">
        <v>68</v>
      </c>
      <c r="AV4227" t="s">
        <v>69</v>
      </c>
      <c r="AW4227" s="1">
        <v>24522</v>
      </c>
      <c r="AX4227">
        <v>2</v>
      </c>
    </row>
    <row r="4228" spans="1:50">
      <c r="A4228">
        <v>223448</v>
      </c>
      <c r="B4228" t="str">
        <f>"043995545"</f>
        <v>043995545</v>
      </c>
      <c r="C4228" t="s">
        <v>50</v>
      </c>
      <c r="D4228" t="s">
        <v>7891</v>
      </c>
      <c r="E4228" t="s">
        <v>73</v>
      </c>
      <c r="F4228" t="s">
        <v>450</v>
      </c>
      <c r="G4228" t="s">
        <v>54</v>
      </c>
      <c r="H4228" t="str">
        <f>"Μ. ΜΠΟΤΣΑΡΗ 117 "</f>
        <v xml:space="preserve">Μ. ΜΠΟΤΣΑΡΗ 117 </v>
      </c>
      <c r="I4228">
        <v>73100</v>
      </c>
      <c r="J4228">
        <v>2821088109</v>
      </c>
      <c r="K4228">
        <v>6934262281</v>
      </c>
      <c r="M4228" t="s">
        <v>7892</v>
      </c>
      <c r="N4228" t="s">
        <v>232</v>
      </c>
      <c r="O4228" t="s">
        <v>233</v>
      </c>
      <c r="R4228" t="s">
        <v>57</v>
      </c>
      <c r="S4228">
        <v>7</v>
      </c>
      <c r="T4228">
        <v>775</v>
      </c>
      <c r="U4228" s="1">
        <v>39680</v>
      </c>
      <c r="V4228" t="s">
        <v>6729</v>
      </c>
      <c r="W4228" t="s">
        <v>6730</v>
      </c>
      <c r="X4228" t="s">
        <v>58</v>
      </c>
      <c r="Y4228">
        <v>21</v>
      </c>
      <c r="Z4228" t="s">
        <v>59</v>
      </c>
      <c r="AA4228" t="s">
        <v>59</v>
      </c>
      <c r="AB4228" t="s">
        <v>59</v>
      </c>
      <c r="AC4228" t="s">
        <v>59</v>
      </c>
      <c r="AD4228" t="s">
        <v>59</v>
      </c>
      <c r="AF4228" s="1">
        <v>39681</v>
      </c>
      <c r="AG4228" t="s">
        <v>148</v>
      </c>
      <c r="AH4228" t="s">
        <v>149</v>
      </c>
      <c r="AI4228" t="str">
        <f>"5054010"</f>
        <v>5054010</v>
      </c>
      <c r="AJ4228" t="s">
        <v>6815</v>
      </c>
      <c r="AK4228">
        <v>2822022671</v>
      </c>
      <c r="AL4228" t="s">
        <v>6816</v>
      </c>
      <c r="AM4228" t="s">
        <v>88</v>
      </c>
      <c r="AN4228" t="s">
        <v>6744</v>
      </c>
      <c r="AO4228" t="s">
        <v>6744</v>
      </c>
      <c r="AP4228" t="s">
        <v>6744</v>
      </c>
      <c r="AQ4228">
        <v>1</v>
      </c>
      <c r="AR4228" t="s">
        <v>6729</v>
      </c>
      <c r="AS4228" t="s">
        <v>6730</v>
      </c>
      <c r="AT4228" t="s">
        <v>58</v>
      </c>
      <c r="AU4228" t="s">
        <v>68</v>
      </c>
      <c r="AV4228" t="s">
        <v>69</v>
      </c>
      <c r="AW4228" s="1">
        <v>23681</v>
      </c>
      <c r="AX4228">
        <v>2</v>
      </c>
    </row>
    <row r="4229" spans="1:50">
      <c r="A4229">
        <v>209624</v>
      </c>
      <c r="B4229" t="str">
        <f>"061521009"</f>
        <v>061521009</v>
      </c>
      <c r="C4229" t="s">
        <v>50</v>
      </c>
      <c r="D4229" t="s">
        <v>7893</v>
      </c>
      <c r="E4229" t="s">
        <v>52</v>
      </c>
      <c r="F4229" t="s">
        <v>309</v>
      </c>
      <c r="G4229" t="s">
        <v>237</v>
      </c>
      <c r="H4229" t="str">
        <f>"ΑΛΜΥΡΙΔΑΣ 13 ΧΑΝΙΑ"</f>
        <v>ΑΛΜΥΡΙΔΑΣ 13 ΧΑΝΙΑ</v>
      </c>
      <c r="I4229">
        <v>73133</v>
      </c>
      <c r="J4229">
        <v>2821111017</v>
      </c>
      <c r="K4229">
        <v>6972631532</v>
      </c>
      <c r="M4229" t="s">
        <v>7894</v>
      </c>
      <c r="N4229" t="s">
        <v>146</v>
      </c>
      <c r="O4229" t="s">
        <v>147</v>
      </c>
      <c r="R4229" t="s">
        <v>57</v>
      </c>
      <c r="S4229">
        <v>6</v>
      </c>
      <c r="T4229" t="s">
        <v>7895</v>
      </c>
      <c r="U4229" s="1">
        <v>38604</v>
      </c>
      <c r="V4229" t="s">
        <v>6729</v>
      </c>
      <c r="W4229" t="s">
        <v>6730</v>
      </c>
      <c r="X4229" t="s">
        <v>58</v>
      </c>
      <c r="Y4229">
        <v>20</v>
      </c>
      <c r="Z4229" t="s">
        <v>59</v>
      </c>
      <c r="AA4229" t="s">
        <v>59</v>
      </c>
      <c r="AB4229" t="s">
        <v>59</v>
      </c>
      <c r="AC4229" t="s">
        <v>59</v>
      </c>
      <c r="AD4229" t="s">
        <v>59</v>
      </c>
      <c r="AF4229" s="1">
        <v>38607</v>
      </c>
      <c r="AG4229" t="s">
        <v>148</v>
      </c>
      <c r="AH4229" t="s">
        <v>149</v>
      </c>
      <c r="AI4229" t="str">
        <f>"5052010"</f>
        <v>5052010</v>
      </c>
      <c r="AJ4229" t="s">
        <v>6834</v>
      </c>
      <c r="AK4229">
        <v>2825022200</v>
      </c>
      <c r="AL4229" t="s">
        <v>6835</v>
      </c>
      <c r="AM4229" t="s">
        <v>88</v>
      </c>
      <c r="AN4229" t="s">
        <v>6775</v>
      </c>
      <c r="AO4229" t="s">
        <v>6776</v>
      </c>
      <c r="AP4229" t="s">
        <v>6776</v>
      </c>
      <c r="AQ4229">
        <v>1</v>
      </c>
      <c r="AR4229" t="s">
        <v>6729</v>
      </c>
      <c r="AS4229" t="s">
        <v>6730</v>
      </c>
      <c r="AT4229" t="s">
        <v>58</v>
      </c>
      <c r="AU4229" t="s">
        <v>68</v>
      </c>
      <c r="AV4229" t="s">
        <v>69</v>
      </c>
      <c r="AW4229" s="1">
        <v>26585</v>
      </c>
      <c r="AX4229">
        <v>2</v>
      </c>
    </row>
    <row r="4230" spans="1:50">
      <c r="A4230">
        <v>572315</v>
      </c>
      <c r="B4230" t="str">
        <f>"045080469"</f>
        <v>045080469</v>
      </c>
      <c r="C4230" t="s">
        <v>50</v>
      </c>
      <c r="D4230" t="s">
        <v>2857</v>
      </c>
      <c r="E4230" t="s">
        <v>460</v>
      </c>
      <c r="F4230" t="s">
        <v>106</v>
      </c>
      <c r="G4230" t="s">
        <v>103</v>
      </c>
      <c r="H4230" t="str">
        <f>" "</f>
        <v xml:space="preserve"> </v>
      </c>
      <c r="N4230" t="s">
        <v>306</v>
      </c>
      <c r="O4230" t="s">
        <v>307</v>
      </c>
      <c r="R4230" t="s">
        <v>57</v>
      </c>
      <c r="S4230">
        <v>14</v>
      </c>
      <c r="T4230">
        <v>154</v>
      </c>
      <c r="U4230" s="1">
        <v>34225</v>
      </c>
      <c r="V4230" t="s">
        <v>6729</v>
      </c>
      <c r="W4230" t="s">
        <v>6730</v>
      </c>
      <c r="X4230" t="s">
        <v>58</v>
      </c>
      <c r="Y4230">
        <v>18</v>
      </c>
      <c r="Z4230" t="s">
        <v>59</v>
      </c>
      <c r="AA4230" t="s">
        <v>59</v>
      </c>
      <c r="AB4230" t="s">
        <v>59</v>
      </c>
      <c r="AC4230" t="s">
        <v>59</v>
      </c>
      <c r="AD4230" t="s">
        <v>59</v>
      </c>
      <c r="AF4230" s="1">
        <v>34228</v>
      </c>
      <c r="AG4230" t="s">
        <v>148</v>
      </c>
      <c r="AH4230" t="s">
        <v>149</v>
      </c>
      <c r="AI4230" t="str">
        <f>"5051050"</f>
        <v>5051050</v>
      </c>
      <c r="AJ4230" t="s">
        <v>6861</v>
      </c>
      <c r="AK4230">
        <v>2821044860</v>
      </c>
      <c r="AL4230" t="s">
        <v>6862</v>
      </c>
      <c r="AM4230" t="s">
        <v>88</v>
      </c>
      <c r="AN4230" t="s">
        <v>88</v>
      </c>
      <c r="AO4230" t="s">
        <v>88</v>
      </c>
      <c r="AP4230" t="s">
        <v>88</v>
      </c>
      <c r="AQ4230">
        <v>1</v>
      </c>
      <c r="AR4230" t="s">
        <v>6729</v>
      </c>
      <c r="AS4230" t="s">
        <v>6730</v>
      </c>
      <c r="AT4230" t="s">
        <v>58</v>
      </c>
      <c r="AU4230" t="s">
        <v>68</v>
      </c>
      <c r="AV4230" t="s">
        <v>69</v>
      </c>
      <c r="AW4230" s="1">
        <v>24834</v>
      </c>
      <c r="AX4230">
        <v>2</v>
      </c>
    </row>
    <row r="4231" spans="1:50">
      <c r="A4231">
        <v>217578</v>
      </c>
      <c r="B4231" t="str">
        <f>"055795956"</f>
        <v>055795956</v>
      </c>
      <c r="C4231" t="s">
        <v>105</v>
      </c>
      <c r="D4231" t="s">
        <v>2859</v>
      </c>
      <c r="E4231" t="s">
        <v>377</v>
      </c>
      <c r="F4231" t="s">
        <v>106</v>
      </c>
      <c r="G4231" t="s">
        <v>103</v>
      </c>
      <c r="H4231" t="str">
        <f>"ΠΑΠΑΝΑΣΤΑΣΙΟΥ 37 ΧΑΝΙΑ"</f>
        <v>ΠΑΠΑΝΑΣΤΑΣΙΟΥ 37 ΧΑΝΙΑ</v>
      </c>
      <c r="I4231">
        <v>73100</v>
      </c>
      <c r="J4231">
        <v>2821051873</v>
      </c>
      <c r="K4231">
        <v>6979709202</v>
      </c>
      <c r="N4231" t="s">
        <v>146</v>
      </c>
      <c r="O4231" t="s">
        <v>147</v>
      </c>
      <c r="R4231" t="s">
        <v>57</v>
      </c>
      <c r="S4231">
        <v>6</v>
      </c>
      <c r="T4231">
        <v>599</v>
      </c>
      <c r="U4231" s="1">
        <v>39310</v>
      </c>
      <c r="V4231" t="s">
        <v>6729</v>
      </c>
      <c r="W4231" t="s">
        <v>6730</v>
      </c>
      <c r="X4231" t="s">
        <v>58</v>
      </c>
      <c r="Y4231">
        <v>20</v>
      </c>
      <c r="Z4231" t="s">
        <v>59</v>
      </c>
      <c r="AA4231" t="s">
        <v>59</v>
      </c>
      <c r="AB4231" t="s">
        <v>59</v>
      </c>
      <c r="AC4231" t="s">
        <v>59</v>
      </c>
      <c r="AD4231" t="s">
        <v>59</v>
      </c>
      <c r="AF4231" s="1">
        <v>39329</v>
      </c>
      <c r="AG4231" t="s">
        <v>125</v>
      </c>
      <c r="AH4231" t="s">
        <v>126</v>
      </c>
      <c r="AI4231" t="str">
        <f>"5005010"</f>
        <v>5005010</v>
      </c>
      <c r="AJ4231" t="s">
        <v>7100</v>
      </c>
      <c r="AK4231">
        <v>2823041217</v>
      </c>
      <c r="AL4231" t="s">
        <v>7101</v>
      </c>
      <c r="AM4231" t="s">
        <v>88</v>
      </c>
      <c r="AN4231" t="s">
        <v>6824</v>
      </c>
      <c r="AO4231" t="s">
        <v>6870</v>
      </c>
      <c r="AP4231" t="s">
        <v>6871</v>
      </c>
      <c r="AQ4231">
        <v>1</v>
      </c>
      <c r="AR4231" t="s">
        <v>6729</v>
      </c>
      <c r="AS4231" t="s">
        <v>6730</v>
      </c>
      <c r="AT4231" t="s">
        <v>58</v>
      </c>
      <c r="AU4231" t="s">
        <v>68</v>
      </c>
      <c r="AV4231" t="s">
        <v>69</v>
      </c>
      <c r="AW4231" s="1">
        <v>25211</v>
      </c>
      <c r="AX4231">
        <v>2</v>
      </c>
    </row>
    <row r="4232" spans="1:50">
      <c r="A4232">
        <v>185268</v>
      </c>
      <c r="B4232" t="str">
        <f>"037917133"</f>
        <v>037917133</v>
      </c>
      <c r="C4232" t="s">
        <v>105</v>
      </c>
      <c r="D4232" t="s">
        <v>6276</v>
      </c>
      <c r="E4232" t="s">
        <v>581</v>
      </c>
      <c r="F4232" t="s">
        <v>99</v>
      </c>
      <c r="G4232" t="s">
        <v>396</v>
      </c>
      <c r="H4232" t="str">
        <f>" "</f>
        <v xml:space="preserve"> </v>
      </c>
      <c r="M4232" t="s">
        <v>7896</v>
      </c>
      <c r="N4232" t="s">
        <v>204</v>
      </c>
      <c r="O4232" t="s">
        <v>205</v>
      </c>
      <c r="P4232" t="s">
        <v>292</v>
      </c>
      <c r="Q4232" t="s">
        <v>293</v>
      </c>
      <c r="R4232" t="s">
        <v>57</v>
      </c>
      <c r="S4232">
        <v>11</v>
      </c>
      <c r="T4232">
        <v>177</v>
      </c>
      <c r="U4232" s="1">
        <v>36403</v>
      </c>
      <c r="V4232" t="s">
        <v>6729</v>
      </c>
      <c r="W4232" t="s">
        <v>6730</v>
      </c>
      <c r="X4232" t="s">
        <v>58</v>
      </c>
      <c r="Y4232">
        <v>20</v>
      </c>
      <c r="Z4232" t="s">
        <v>59</v>
      </c>
      <c r="AA4232" t="s">
        <v>59</v>
      </c>
      <c r="AB4232" t="s">
        <v>59</v>
      </c>
      <c r="AC4232" t="s">
        <v>59</v>
      </c>
      <c r="AD4232" t="s">
        <v>59</v>
      </c>
      <c r="AF4232" s="1">
        <v>36410</v>
      </c>
      <c r="AG4232" t="s">
        <v>137</v>
      </c>
      <c r="AH4232" t="s">
        <v>138</v>
      </c>
      <c r="AI4232" t="str">
        <f>"5040050"</f>
        <v>5040050</v>
      </c>
      <c r="AJ4232" t="s">
        <v>6750</v>
      </c>
      <c r="AK4232">
        <v>2821043147</v>
      </c>
      <c r="AL4232" t="s">
        <v>6751</v>
      </c>
      <c r="AM4232" t="s">
        <v>88</v>
      </c>
      <c r="AN4232" t="s">
        <v>88</v>
      </c>
      <c r="AO4232" t="s">
        <v>88</v>
      </c>
      <c r="AP4232" t="s">
        <v>88</v>
      </c>
      <c r="AQ4232">
        <v>1</v>
      </c>
      <c r="AR4232" t="s">
        <v>6729</v>
      </c>
      <c r="AS4232" t="s">
        <v>6730</v>
      </c>
      <c r="AT4232" t="s">
        <v>58</v>
      </c>
      <c r="AU4232" t="s">
        <v>68</v>
      </c>
      <c r="AV4232" t="s">
        <v>69</v>
      </c>
      <c r="AW4232" s="1">
        <v>24934</v>
      </c>
      <c r="AX4232">
        <v>2</v>
      </c>
    </row>
    <row r="4233" spans="1:50">
      <c r="A4233">
        <v>178327</v>
      </c>
      <c r="B4233" t="str">
        <f>"044904508"</f>
        <v>044904508</v>
      </c>
      <c r="C4233" t="s">
        <v>50</v>
      </c>
      <c r="D4233" t="s">
        <v>7897</v>
      </c>
      <c r="E4233" t="s">
        <v>52</v>
      </c>
      <c r="F4233" t="s">
        <v>72</v>
      </c>
      <c r="G4233" t="s">
        <v>3444</v>
      </c>
      <c r="H4233" t="str">
        <f>"ΠΑΛΑΙΟΛΟΓΩΝ-ΚΟΜΝΗΜΩΝ 4 ΑΝΩ ΣΟΥΔΑ"</f>
        <v>ΠΑΛΑΙΟΛΟΓΩΝ-ΚΟΜΝΗΜΩΝ 4 ΑΝΩ ΣΟΥΔΑ</v>
      </c>
      <c r="I4233">
        <v>73200</v>
      </c>
      <c r="J4233">
        <v>2821047519</v>
      </c>
      <c r="K4233">
        <v>6973512794</v>
      </c>
      <c r="M4233" t="s">
        <v>7898</v>
      </c>
      <c r="N4233" t="s">
        <v>204</v>
      </c>
      <c r="O4233" t="s">
        <v>205</v>
      </c>
      <c r="R4233" t="s">
        <v>57</v>
      </c>
      <c r="S4233">
        <v>12</v>
      </c>
      <c r="T4233">
        <v>180</v>
      </c>
      <c r="U4233" s="1">
        <v>35674</v>
      </c>
      <c r="V4233" t="s">
        <v>6729</v>
      </c>
      <c r="W4233" t="s">
        <v>6730</v>
      </c>
      <c r="X4233" t="s">
        <v>58</v>
      </c>
      <c r="Y4233">
        <v>18</v>
      </c>
      <c r="Z4233" t="s">
        <v>59</v>
      </c>
      <c r="AA4233" t="s">
        <v>59</v>
      </c>
      <c r="AB4233" t="s">
        <v>59</v>
      </c>
      <c r="AC4233" t="s">
        <v>59</v>
      </c>
      <c r="AD4233" t="s">
        <v>59</v>
      </c>
      <c r="AF4233" s="1">
        <v>35675</v>
      </c>
      <c r="AG4233" t="s">
        <v>125</v>
      </c>
      <c r="AH4233" t="s">
        <v>126</v>
      </c>
      <c r="AI4233" t="str">
        <f>"5011010"</f>
        <v>5011010</v>
      </c>
      <c r="AJ4233" t="s">
        <v>6877</v>
      </c>
      <c r="AK4233">
        <v>2821081330</v>
      </c>
      <c r="AL4233" t="s">
        <v>6878</v>
      </c>
      <c r="AM4233" t="s">
        <v>88</v>
      </c>
      <c r="AN4233" t="s">
        <v>88</v>
      </c>
      <c r="AO4233" t="s">
        <v>6748</v>
      </c>
      <c r="AP4233" t="s">
        <v>6748</v>
      </c>
      <c r="AQ4233">
        <v>1</v>
      </c>
      <c r="AR4233" t="s">
        <v>6729</v>
      </c>
      <c r="AS4233" t="s">
        <v>6730</v>
      </c>
      <c r="AT4233" t="s">
        <v>58</v>
      </c>
      <c r="AU4233" t="s">
        <v>68</v>
      </c>
      <c r="AV4233" t="s">
        <v>69</v>
      </c>
      <c r="AW4233" s="1">
        <v>24420</v>
      </c>
      <c r="AX4233">
        <v>2</v>
      </c>
    </row>
    <row r="4234" spans="1:50">
      <c r="A4234">
        <v>190277</v>
      </c>
      <c r="B4234" t="str">
        <f>"043995453"</f>
        <v>043995453</v>
      </c>
      <c r="C4234" t="s">
        <v>105</v>
      </c>
      <c r="D4234" t="s">
        <v>7899</v>
      </c>
      <c r="E4234" t="s">
        <v>53</v>
      </c>
      <c r="F4234" t="s">
        <v>72</v>
      </c>
      <c r="G4234" t="s">
        <v>3444</v>
      </c>
      <c r="H4234" t="str">
        <f>"ΚΡΟΚΙΔΑ 34 ΧΑΝΙΩΝ"</f>
        <v>ΚΡΟΚΙΔΑ 34 ΧΑΝΙΩΝ</v>
      </c>
      <c r="I4234">
        <v>73133</v>
      </c>
      <c r="N4234" t="s">
        <v>1647</v>
      </c>
      <c r="O4234" t="s">
        <v>1648</v>
      </c>
      <c r="R4234" t="s">
        <v>57</v>
      </c>
      <c r="S4234">
        <v>9</v>
      </c>
      <c r="T4234">
        <v>219</v>
      </c>
      <c r="U4234" s="1">
        <v>37134</v>
      </c>
      <c r="V4234" t="s">
        <v>6729</v>
      </c>
      <c r="W4234" t="s">
        <v>6730</v>
      </c>
      <c r="X4234" t="s">
        <v>58</v>
      </c>
      <c r="Y4234">
        <v>20</v>
      </c>
      <c r="Z4234" t="s">
        <v>59</v>
      </c>
      <c r="AA4234" t="s">
        <v>59</v>
      </c>
      <c r="AB4234" t="s">
        <v>59</v>
      </c>
      <c r="AC4234" t="s">
        <v>59</v>
      </c>
      <c r="AD4234" t="s">
        <v>59</v>
      </c>
      <c r="AF4234" s="1">
        <v>37138</v>
      </c>
      <c r="AG4234" t="s">
        <v>125</v>
      </c>
      <c r="AH4234" t="s">
        <v>126</v>
      </c>
      <c r="AI4234" t="str">
        <f>"5001070"</f>
        <v>5001070</v>
      </c>
      <c r="AJ4234" t="s">
        <v>6731</v>
      </c>
      <c r="AK4234">
        <v>2821088045</v>
      </c>
      <c r="AL4234" t="s">
        <v>6732</v>
      </c>
      <c r="AM4234" t="s">
        <v>88</v>
      </c>
      <c r="AN4234" t="s">
        <v>88</v>
      </c>
      <c r="AO4234" t="s">
        <v>6733</v>
      </c>
      <c r="AP4234" t="s">
        <v>6734</v>
      </c>
      <c r="AQ4234">
        <v>1</v>
      </c>
      <c r="AR4234" t="s">
        <v>6729</v>
      </c>
      <c r="AS4234" t="s">
        <v>6730</v>
      </c>
      <c r="AT4234" t="s">
        <v>58</v>
      </c>
      <c r="AU4234" t="s">
        <v>68</v>
      </c>
      <c r="AV4234" t="s">
        <v>357</v>
      </c>
      <c r="AW4234" s="1">
        <v>22899</v>
      </c>
      <c r="AX4234">
        <v>2</v>
      </c>
    </row>
    <row r="4235" spans="1:50">
      <c r="A4235">
        <v>223064</v>
      </c>
      <c r="B4235" t="str">
        <f>"047287114"</f>
        <v>047287114</v>
      </c>
      <c r="C4235" t="s">
        <v>50</v>
      </c>
      <c r="D4235" t="s">
        <v>7900</v>
      </c>
      <c r="E4235" t="s">
        <v>250</v>
      </c>
      <c r="F4235" t="s">
        <v>106</v>
      </c>
      <c r="G4235" t="s">
        <v>755</v>
      </c>
      <c r="H4235" t="str">
        <f>"ΑΡΕΤΗΣ 2 ΧΡΥΣΟΠΗΓΗ"</f>
        <v>ΑΡΕΤΗΣ 2 ΧΡΥΣΟΠΗΓΗ</v>
      </c>
      <c r="I4235">
        <v>73300</v>
      </c>
      <c r="J4235">
        <v>2821500571</v>
      </c>
      <c r="K4235">
        <v>6973321770</v>
      </c>
      <c r="M4235" t="s">
        <v>7901</v>
      </c>
      <c r="N4235" t="s">
        <v>292</v>
      </c>
      <c r="O4235" t="s">
        <v>293</v>
      </c>
      <c r="R4235" t="s">
        <v>57</v>
      </c>
      <c r="S4235">
        <v>6</v>
      </c>
      <c r="T4235">
        <v>775</v>
      </c>
      <c r="U4235" s="1">
        <v>39680</v>
      </c>
      <c r="V4235" t="s">
        <v>6729</v>
      </c>
      <c r="W4235" t="s">
        <v>6730</v>
      </c>
      <c r="X4235" t="s">
        <v>58</v>
      </c>
      <c r="Y4235">
        <v>20</v>
      </c>
      <c r="Z4235" t="s">
        <v>59</v>
      </c>
      <c r="AA4235" t="s">
        <v>59</v>
      </c>
      <c r="AB4235" t="s">
        <v>59</v>
      </c>
      <c r="AC4235" t="s">
        <v>59</v>
      </c>
      <c r="AD4235" t="s">
        <v>59</v>
      </c>
      <c r="AF4235" s="1">
        <v>39682</v>
      </c>
      <c r="AG4235" t="s">
        <v>137</v>
      </c>
      <c r="AH4235" t="s">
        <v>138</v>
      </c>
      <c r="AI4235" t="str">
        <f>"5040080"</f>
        <v>5040080</v>
      </c>
      <c r="AJ4235" t="s">
        <v>6753</v>
      </c>
      <c r="AK4235">
        <v>2821093155</v>
      </c>
      <c r="AL4235" t="s">
        <v>6754</v>
      </c>
      <c r="AM4235" t="s">
        <v>88</v>
      </c>
      <c r="AN4235" t="s">
        <v>88</v>
      </c>
      <c r="AO4235" t="s">
        <v>6733</v>
      </c>
      <c r="AP4235" t="s">
        <v>6755</v>
      </c>
      <c r="AQ4235">
        <v>1</v>
      </c>
      <c r="AR4235" t="s">
        <v>6729</v>
      </c>
      <c r="AS4235" t="s">
        <v>6730</v>
      </c>
      <c r="AT4235" t="s">
        <v>58</v>
      </c>
      <c r="AU4235" t="s">
        <v>68</v>
      </c>
      <c r="AV4235" t="s">
        <v>69</v>
      </c>
      <c r="AW4235" s="1">
        <v>26355</v>
      </c>
      <c r="AX4235">
        <v>2</v>
      </c>
    </row>
    <row r="4236" spans="1:50">
      <c r="A4236">
        <v>224184</v>
      </c>
      <c r="B4236" t="str">
        <f>"104647582"</f>
        <v>104647582</v>
      </c>
      <c r="C4236" t="s">
        <v>50</v>
      </c>
      <c r="D4236" t="s">
        <v>7902</v>
      </c>
      <c r="E4236" t="s">
        <v>188</v>
      </c>
      <c r="F4236" t="s">
        <v>53</v>
      </c>
      <c r="G4236" t="s">
        <v>4999</v>
      </c>
      <c r="H4236" t="str">
        <f>"ΗΠΕΙΡΟΥ 7-9 "</f>
        <v xml:space="preserve">ΗΠΕΙΡΟΥ 7-9 </v>
      </c>
      <c r="I4236">
        <v>73132</v>
      </c>
      <c r="J4236">
        <v>2492024041</v>
      </c>
      <c r="K4236">
        <v>6972283670</v>
      </c>
      <c r="M4236" t="s">
        <v>7903</v>
      </c>
      <c r="N4236" t="s">
        <v>306</v>
      </c>
      <c r="O4236" t="s">
        <v>307</v>
      </c>
      <c r="R4236" t="s">
        <v>57</v>
      </c>
      <c r="S4236">
        <v>7</v>
      </c>
      <c r="T4236">
        <v>775</v>
      </c>
      <c r="U4236" s="1">
        <v>39680</v>
      </c>
      <c r="V4236" t="s">
        <v>6729</v>
      </c>
      <c r="W4236" t="s">
        <v>6730</v>
      </c>
      <c r="X4236" t="s">
        <v>58</v>
      </c>
      <c r="Y4236">
        <v>21</v>
      </c>
      <c r="Z4236" t="s">
        <v>59</v>
      </c>
      <c r="AA4236" t="s">
        <v>59</v>
      </c>
      <c r="AB4236" t="s">
        <v>59</v>
      </c>
      <c r="AC4236" t="s">
        <v>59</v>
      </c>
      <c r="AD4236" t="s">
        <v>59</v>
      </c>
      <c r="AF4236" s="1">
        <v>40057</v>
      </c>
      <c r="AG4236" t="s">
        <v>148</v>
      </c>
      <c r="AH4236" t="s">
        <v>149</v>
      </c>
      <c r="AI4236" t="str">
        <f>"5054010"</f>
        <v>5054010</v>
      </c>
      <c r="AJ4236" t="s">
        <v>6815</v>
      </c>
      <c r="AK4236">
        <v>2822022671</v>
      </c>
      <c r="AL4236" t="s">
        <v>6816</v>
      </c>
      <c r="AM4236" t="s">
        <v>88</v>
      </c>
      <c r="AN4236" t="s">
        <v>6744</v>
      </c>
      <c r="AO4236" t="s">
        <v>6744</v>
      </c>
      <c r="AP4236" t="s">
        <v>6744</v>
      </c>
      <c r="AQ4236">
        <v>1</v>
      </c>
      <c r="AR4236" t="s">
        <v>6729</v>
      </c>
      <c r="AS4236" t="s">
        <v>6730</v>
      </c>
      <c r="AT4236" t="s">
        <v>58</v>
      </c>
      <c r="AU4236" t="s">
        <v>68</v>
      </c>
      <c r="AV4236" t="s">
        <v>69</v>
      </c>
      <c r="AW4236" s="1">
        <v>28623</v>
      </c>
      <c r="AX4236">
        <v>2</v>
      </c>
    </row>
    <row r="4237" spans="1:50">
      <c r="A4237">
        <v>222383</v>
      </c>
      <c r="B4237" t="str">
        <f>"121100088"</f>
        <v>121100088</v>
      </c>
      <c r="C4237" t="s">
        <v>50</v>
      </c>
      <c r="D4237" t="s">
        <v>7904</v>
      </c>
      <c r="E4237" t="s">
        <v>52</v>
      </c>
      <c r="F4237" t="s">
        <v>72</v>
      </c>
      <c r="G4237" t="s">
        <v>934</v>
      </c>
      <c r="H4237" t="str">
        <f>"ΕΘΝ. ΒΕΝΙΖΕΛΟΥ &amp; ΠΑΝΑΓΟΥΛΗ ΣΟΥΔΑ"</f>
        <v>ΕΘΝ. ΒΕΝΙΖΕΛΟΥ &amp; ΠΑΝΑΓΟΥΛΗ ΣΟΥΔΑ</v>
      </c>
      <c r="I4237">
        <v>73200</v>
      </c>
      <c r="J4237">
        <v>2821089302</v>
      </c>
      <c r="K4237">
        <v>6956031102</v>
      </c>
      <c r="N4237" t="s">
        <v>146</v>
      </c>
      <c r="O4237" t="s">
        <v>147</v>
      </c>
      <c r="R4237" t="s">
        <v>57</v>
      </c>
      <c r="S4237">
        <v>5</v>
      </c>
      <c r="T4237">
        <v>775</v>
      </c>
      <c r="U4237" s="1">
        <v>39680</v>
      </c>
      <c r="V4237" t="s">
        <v>6729</v>
      </c>
      <c r="W4237" t="s">
        <v>6730</v>
      </c>
      <c r="X4237" t="s">
        <v>58</v>
      </c>
      <c r="Y4237">
        <v>21</v>
      </c>
      <c r="Z4237" t="s">
        <v>59</v>
      </c>
      <c r="AA4237" t="s">
        <v>59</v>
      </c>
      <c r="AB4237" t="s">
        <v>59</v>
      </c>
      <c r="AC4237" t="s">
        <v>59</v>
      </c>
      <c r="AD4237" t="s">
        <v>59</v>
      </c>
      <c r="AF4237" s="1">
        <v>39682</v>
      </c>
      <c r="AG4237" t="s">
        <v>125</v>
      </c>
      <c r="AH4237" t="s">
        <v>126</v>
      </c>
      <c r="AI4237" t="str">
        <f>"5001070"</f>
        <v>5001070</v>
      </c>
      <c r="AJ4237" t="s">
        <v>6731</v>
      </c>
      <c r="AK4237">
        <v>2821088045</v>
      </c>
      <c r="AL4237" t="s">
        <v>6732</v>
      </c>
      <c r="AM4237" t="s">
        <v>88</v>
      </c>
      <c r="AN4237" t="s">
        <v>88</v>
      </c>
      <c r="AO4237" t="s">
        <v>6733</v>
      </c>
      <c r="AP4237" t="s">
        <v>6734</v>
      </c>
      <c r="AQ4237">
        <v>1</v>
      </c>
      <c r="AR4237" t="s">
        <v>6729</v>
      </c>
      <c r="AS4237" t="s">
        <v>6730</v>
      </c>
      <c r="AT4237" t="s">
        <v>58</v>
      </c>
      <c r="AU4237" t="s">
        <v>68</v>
      </c>
      <c r="AV4237" t="s">
        <v>69</v>
      </c>
      <c r="AW4237" s="1">
        <v>26948</v>
      </c>
      <c r="AX4237">
        <v>2</v>
      </c>
    </row>
    <row r="4238" spans="1:50">
      <c r="A4238">
        <v>212252</v>
      </c>
      <c r="B4238" t="str">
        <f>"051558867"</f>
        <v>051558867</v>
      </c>
      <c r="C4238" t="s">
        <v>105</v>
      </c>
      <c r="D4238" t="s">
        <v>7905</v>
      </c>
      <c r="E4238" t="s">
        <v>450</v>
      </c>
      <c r="F4238" t="s">
        <v>95</v>
      </c>
      <c r="G4238" t="s">
        <v>83</v>
      </c>
      <c r="H4238" t="str">
        <f>" "</f>
        <v xml:space="preserve"> </v>
      </c>
      <c r="J4238">
        <v>2109964852</v>
      </c>
      <c r="K4238">
        <v>6974498153</v>
      </c>
      <c r="M4238" t="s">
        <v>7906</v>
      </c>
      <c r="N4238" t="s">
        <v>146</v>
      </c>
      <c r="O4238" t="s">
        <v>147</v>
      </c>
      <c r="R4238" t="s">
        <v>57</v>
      </c>
      <c r="S4238">
        <v>6</v>
      </c>
      <c r="T4238">
        <v>231</v>
      </c>
      <c r="U4238" s="1">
        <v>38960</v>
      </c>
      <c r="V4238" t="s">
        <v>6729</v>
      </c>
      <c r="W4238" t="s">
        <v>6730</v>
      </c>
      <c r="X4238" t="s">
        <v>58</v>
      </c>
      <c r="Y4238">
        <v>20</v>
      </c>
      <c r="Z4238" t="s">
        <v>59</v>
      </c>
      <c r="AA4238" t="s">
        <v>59</v>
      </c>
      <c r="AB4238" t="s">
        <v>59</v>
      </c>
      <c r="AC4238" t="s">
        <v>59</v>
      </c>
      <c r="AD4238" t="s">
        <v>59</v>
      </c>
      <c r="AF4238" s="1">
        <v>38961</v>
      </c>
      <c r="AG4238" t="s">
        <v>148</v>
      </c>
      <c r="AH4238" t="s">
        <v>149</v>
      </c>
      <c r="AI4238" t="str">
        <f>"5051009"</f>
        <v>5051009</v>
      </c>
      <c r="AJ4238" t="s">
        <v>6851</v>
      </c>
      <c r="AK4238">
        <v>2821044551</v>
      </c>
      <c r="AL4238" t="s">
        <v>6852</v>
      </c>
      <c r="AM4238" t="s">
        <v>88</v>
      </c>
      <c r="AN4238" t="s">
        <v>88</v>
      </c>
      <c r="AO4238" t="s">
        <v>6770</v>
      </c>
      <c r="AP4238" t="s">
        <v>6771</v>
      </c>
      <c r="AQ4238">
        <v>1</v>
      </c>
      <c r="AR4238" t="s">
        <v>6729</v>
      </c>
      <c r="AS4238" t="s">
        <v>6730</v>
      </c>
      <c r="AT4238" t="s">
        <v>58</v>
      </c>
      <c r="AU4238" t="s">
        <v>68</v>
      </c>
      <c r="AV4238" t="s">
        <v>69</v>
      </c>
      <c r="AW4238" s="1">
        <v>25555</v>
      </c>
      <c r="AX4238">
        <v>2</v>
      </c>
    </row>
    <row r="4239" spans="1:50">
      <c r="A4239">
        <v>160762</v>
      </c>
      <c r="B4239" t="str">
        <f>"065588281"</f>
        <v>065588281</v>
      </c>
      <c r="C4239" t="s">
        <v>50</v>
      </c>
      <c r="D4239" t="s">
        <v>7907</v>
      </c>
      <c r="E4239" t="s">
        <v>610</v>
      </c>
      <c r="F4239" t="s">
        <v>111</v>
      </c>
      <c r="G4239" t="s">
        <v>6364</v>
      </c>
      <c r="H4239" t="str">
        <f>"ΦΑΛΑΣΑΡΝΗΣ 6 ΧΑΝΙΑ"</f>
        <v>ΦΑΛΑΣΑΡΝΗΣ 6 ΧΑΝΙΑ</v>
      </c>
      <c r="I4239">
        <v>73135</v>
      </c>
      <c r="K4239">
        <v>6973557893</v>
      </c>
      <c r="N4239" t="s">
        <v>299</v>
      </c>
      <c r="O4239" t="s">
        <v>300</v>
      </c>
      <c r="P4239" t="s">
        <v>1525</v>
      </c>
      <c r="Q4239" t="s">
        <v>1526</v>
      </c>
      <c r="R4239" t="s">
        <v>57</v>
      </c>
      <c r="S4239">
        <v>14</v>
      </c>
      <c r="T4239">
        <v>161</v>
      </c>
      <c r="U4239" s="1">
        <v>33119</v>
      </c>
      <c r="V4239" t="s">
        <v>6729</v>
      </c>
      <c r="W4239" t="s">
        <v>6730</v>
      </c>
      <c r="X4239" t="s">
        <v>58</v>
      </c>
      <c r="Y4239">
        <v>18</v>
      </c>
      <c r="Z4239" t="s">
        <v>59</v>
      </c>
      <c r="AA4239" t="s">
        <v>59</v>
      </c>
      <c r="AB4239" t="s">
        <v>59</v>
      </c>
      <c r="AC4239" t="s">
        <v>59</v>
      </c>
      <c r="AD4239" t="s">
        <v>59</v>
      </c>
      <c r="AF4239" s="1">
        <v>33123</v>
      </c>
      <c r="AG4239" t="s">
        <v>148</v>
      </c>
      <c r="AH4239" t="s">
        <v>149</v>
      </c>
      <c r="AI4239" t="str">
        <f>"5051040"</f>
        <v>5051040</v>
      </c>
      <c r="AJ4239" t="s">
        <v>6811</v>
      </c>
      <c r="AK4239">
        <v>2821088007</v>
      </c>
      <c r="AL4239" t="s">
        <v>6812</v>
      </c>
      <c r="AM4239" t="s">
        <v>88</v>
      </c>
      <c r="AN4239" t="s">
        <v>88</v>
      </c>
      <c r="AO4239" t="s">
        <v>88</v>
      </c>
      <c r="AP4239" t="s">
        <v>88</v>
      </c>
      <c r="AQ4239">
        <v>1</v>
      </c>
      <c r="AR4239" t="s">
        <v>6729</v>
      </c>
      <c r="AS4239" t="s">
        <v>6730</v>
      </c>
      <c r="AT4239" t="s">
        <v>58</v>
      </c>
      <c r="AU4239" t="s">
        <v>68</v>
      </c>
      <c r="AV4239" t="s">
        <v>69</v>
      </c>
      <c r="AW4239" s="1">
        <v>22119</v>
      </c>
      <c r="AX4239">
        <v>2</v>
      </c>
    </row>
    <row r="4240" spans="1:50">
      <c r="A4240">
        <v>169450</v>
      </c>
      <c r="B4240" t="str">
        <f>"037538028"</f>
        <v>037538028</v>
      </c>
      <c r="C4240" t="s">
        <v>50</v>
      </c>
      <c r="D4240" t="s">
        <v>7908</v>
      </c>
      <c r="E4240" t="s">
        <v>563</v>
      </c>
      <c r="F4240" t="s">
        <v>2184</v>
      </c>
      <c r="G4240" t="s">
        <v>167</v>
      </c>
      <c r="H4240" t="str">
        <f>" "</f>
        <v xml:space="preserve"> </v>
      </c>
      <c r="N4240" t="s">
        <v>157</v>
      </c>
      <c r="O4240" t="s">
        <v>158</v>
      </c>
      <c r="R4240" t="s">
        <v>57</v>
      </c>
      <c r="S4240">
        <v>12</v>
      </c>
      <c r="T4240">
        <v>184</v>
      </c>
      <c r="U4240" s="1">
        <v>34941</v>
      </c>
      <c r="V4240" t="s">
        <v>6729</v>
      </c>
      <c r="W4240" t="s">
        <v>6730</v>
      </c>
      <c r="X4240" t="s">
        <v>58</v>
      </c>
      <c r="Y4240">
        <v>18</v>
      </c>
      <c r="Z4240" t="s">
        <v>59</v>
      </c>
      <c r="AA4240" t="s">
        <v>59</v>
      </c>
      <c r="AB4240" t="s">
        <v>59</v>
      </c>
      <c r="AC4240" t="s">
        <v>59</v>
      </c>
      <c r="AD4240" t="s">
        <v>59</v>
      </c>
      <c r="AF4240" s="1">
        <v>34947</v>
      </c>
      <c r="AG4240" t="s">
        <v>125</v>
      </c>
      <c r="AH4240" t="s">
        <v>126</v>
      </c>
      <c r="AI4240" t="str">
        <f>"5001080"</f>
        <v>5001080</v>
      </c>
      <c r="AJ4240" t="s">
        <v>6984</v>
      </c>
      <c r="AK4240">
        <v>2821068020</v>
      </c>
      <c r="AL4240" t="s">
        <v>6985</v>
      </c>
      <c r="AM4240" t="s">
        <v>88</v>
      </c>
      <c r="AN4240" t="s">
        <v>6764</v>
      </c>
      <c r="AO4240" t="s">
        <v>6764</v>
      </c>
      <c r="AP4240" t="s">
        <v>6764</v>
      </c>
      <c r="AQ4240">
        <v>1</v>
      </c>
      <c r="AR4240" t="s">
        <v>6729</v>
      </c>
      <c r="AS4240" t="s">
        <v>6730</v>
      </c>
      <c r="AT4240" t="s">
        <v>58</v>
      </c>
      <c r="AU4240" t="s">
        <v>68</v>
      </c>
      <c r="AV4240" t="s">
        <v>69</v>
      </c>
      <c r="AW4240" s="1">
        <v>23119</v>
      </c>
      <c r="AX4240">
        <v>2</v>
      </c>
    </row>
    <row r="4241" spans="1:50">
      <c r="A4241">
        <v>220068</v>
      </c>
      <c r="B4241" t="str">
        <f>"101588707"</f>
        <v>101588707</v>
      </c>
      <c r="C4241" t="s">
        <v>50</v>
      </c>
      <c r="D4241" t="s">
        <v>7909</v>
      </c>
      <c r="E4241" t="s">
        <v>237</v>
      </c>
      <c r="F4241" t="s">
        <v>72</v>
      </c>
      <c r="G4241" t="s">
        <v>1277</v>
      </c>
      <c r="H4241" t="str">
        <f>"ΑΛ. ΠΑΠΑΝΑΣΤΑΣΙΟΥ 66 "</f>
        <v xml:space="preserve">ΑΛ. ΠΑΠΑΝΑΣΤΑΣΙΟΥ 66 </v>
      </c>
      <c r="I4241">
        <v>73134</v>
      </c>
      <c r="J4241">
        <v>2821053187</v>
      </c>
      <c r="K4241">
        <v>6945233098</v>
      </c>
      <c r="M4241" t="s">
        <v>7910</v>
      </c>
      <c r="N4241" t="s">
        <v>299</v>
      </c>
      <c r="O4241" t="s">
        <v>300</v>
      </c>
      <c r="R4241" t="s">
        <v>57</v>
      </c>
      <c r="S4241">
        <v>8</v>
      </c>
      <c r="T4241">
        <v>599</v>
      </c>
      <c r="U4241" s="1">
        <v>39310</v>
      </c>
      <c r="V4241" t="s">
        <v>6729</v>
      </c>
      <c r="W4241" t="s">
        <v>6730</v>
      </c>
      <c r="X4241" t="s">
        <v>58</v>
      </c>
      <c r="Y4241">
        <v>20</v>
      </c>
      <c r="Z4241" t="s">
        <v>59</v>
      </c>
      <c r="AA4241" t="s">
        <v>59</v>
      </c>
      <c r="AB4241" t="s">
        <v>59</v>
      </c>
      <c r="AC4241" t="s">
        <v>59</v>
      </c>
      <c r="AD4241" t="s">
        <v>59</v>
      </c>
      <c r="AF4241" s="1">
        <v>39328</v>
      </c>
      <c r="AG4241" t="s">
        <v>137</v>
      </c>
      <c r="AH4241" t="s">
        <v>138</v>
      </c>
      <c r="AI4241" t="str">
        <f>"5040050"</f>
        <v>5040050</v>
      </c>
      <c r="AJ4241" t="s">
        <v>6750</v>
      </c>
      <c r="AK4241">
        <v>2821043147</v>
      </c>
      <c r="AL4241" t="s">
        <v>6751</v>
      </c>
      <c r="AM4241" t="s">
        <v>88</v>
      </c>
      <c r="AN4241" t="s">
        <v>88</v>
      </c>
      <c r="AO4241" t="s">
        <v>88</v>
      </c>
      <c r="AP4241" t="s">
        <v>88</v>
      </c>
      <c r="AQ4241">
        <v>1</v>
      </c>
      <c r="AR4241" t="s">
        <v>6729</v>
      </c>
      <c r="AS4241" t="s">
        <v>6730</v>
      </c>
      <c r="AT4241" t="s">
        <v>58</v>
      </c>
      <c r="AU4241" t="s">
        <v>68</v>
      </c>
      <c r="AV4241" t="s">
        <v>69</v>
      </c>
      <c r="AW4241" s="1">
        <v>27835</v>
      </c>
      <c r="AX4241">
        <v>2</v>
      </c>
    </row>
    <row r="4242" spans="1:50">
      <c r="A4242">
        <v>174883</v>
      </c>
      <c r="B4242" t="str">
        <f>"032411606"</f>
        <v>032411606</v>
      </c>
      <c r="C4242" t="s">
        <v>105</v>
      </c>
      <c r="D4242" t="s">
        <v>7911</v>
      </c>
      <c r="E4242" t="s">
        <v>99</v>
      </c>
      <c r="F4242" t="s">
        <v>510</v>
      </c>
      <c r="G4242" t="s">
        <v>610</v>
      </c>
      <c r="H4242" t="str">
        <f>"Κ. ΒΟΥΛΓΑΡΙΔΗ 15 ΧΑΝΙΑ"</f>
        <v>Κ. ΒΟΥΛΓΑΡΙΔΗ 15 ΧΑΝΙΑ</v>
      </c>
      <c r="I4242">
        <v>73133</v>
      </c>
      <c r="J4242">
        <v>2821028276</v>
      </c>
      <c r="K4242">
        <v>6945903789</v>
      </c>
      <c r="M4242" t="s">
        <v>7912</v>
      </c>
      <c r="N4242" t="s">
        <v>204</v>
      </c>
      <c r="O4242" t="s">
        <v>205</v>
      </c>
      <c r="R4242" t="s">
        <v>57</v>
      </c>
      <c r="S4242">
        <v>18</v>
      </c>
      <c r="T4242">
        <v>166</v>
      </c>
      <c r="U4242" s="1">
        <v>35300</v>
      </c>
      <c r="V4242" t="s">
        <v>6729</v>
      </c>
      <c r="W4242" t="s">
        <v>6730</v>
      </c>
      <c r="X4242" t="s">
        <v>58</v>
      </c>
      <c r="Y4242">
        <v>18</v>
      </c>
      <c r="Z4242" t="s">
        <v>59</v>
      </c>
      <c r="AA4242" t="s">
        <v>59</v>
      </c>
      <c r="AB4242" t="s">
        <v>59</v>
      </c>
      <c r="AC4242" t="s">
        <v>59</v>
      </c>
      <c r="AD4242" t="s">
        <v>59</v>
      </c>
      <c r="AF4242" s="1">
        <v>35311</v>
      </c>
      <c r="AG4242" t="s">
        <v>125</v>
      </c>
      <c r="AH4242" t="s">
        <v>126</v>
      </c>
      <c r="AI4242" t="str">
        <f>"5001060"</f>
        <v>5001060</v>
      </c>
      <c r="AJ4242" t="s">
        <v>6914</v>
      </c>
      <c r="AK4242">
        <v>2821091763</v>
      </c>
      <c r="AL4242" t="s">
        <v>6915</v>
      </c>
      <c r="AM4242" t="s">
        <v>88</v>
      </c>
      <c r="AN4242" t="s">
        <v>88</v>
      </c>
      <c r="AO4242" t="s">
        <v>88</v>
      </c>
      <c r="AP4242" t="s">
        <v>88</v>
      </c>
      <c r="AQ4242">
        <v>1</v>
      </c>
      <c r="AR4242" t="s">
        <v>6729</v>
      </c>
      <c r="AS4242" t="s">
        <v>6730</v>
      </c>
      <c r="AT4242" t="s">
        <v>58</v>
      </c>
      <c r="AU4242" t="s">
        <v>68</v>
      </c>
      <c r="AV4242" t="s">
        <v>69</v>
      </c>
      <c r="AW4242" s="1">
        <v>20947</v>
      </c>
      <c r="AX4242">
        <v>2</v>
      </c>
    </row>
    <row r="4243" spans="1:50">
      <c r="A4243">
        <v>173940</v>
      </c>
      <c r="B4243" t="str">
        <f>"034625051"</f>
        <v>034625051</v>
      </c>
      <c r="C4243" t="s">
        <v>50</v>
      </c>
      <c r="D4243" t="s">
        <v>7913</v>
      </c>
      <c r="E4243" t="s">
        <v>52</v>
      </c>
      <c r="F4243" t="s">
        <v>965</v>
      </c>
      <c r="G4243" t="s">
        <v>7914</v>
      </c>
      <c r="H4243" t="str">
        <f>" "</f>
        <v xml:space="preserve"> </v>
      </c>
      <c r="K4243">
        <v>6947264809</v>
      </c>
      <c r="N4243" t="s">
        <v>199</v>
      </c>
      <c r="O4243" t="s">
        <v>200</v>
      </c>
      <c r="R4243" t="s">
        <v>57</v>
      </c>
      <c r="S4243">
        <v>11</v>
      </c>
      <c r="T4243">
        <v>166</v>
      </c>
      <c r="U4243" s="1">
        <v>35300</v>
      </c>
      <c r="V4243" t="s">
        <v>6729</v>
      </c>
      <c r="W4243" t="s">
        <v>6730</v>
      </c>
      <c r="X4243" t="s">
        <v>58</v>
      </c>
      <c r="Y4243">
        <v>18</v>
      </c>
      <c r="Z4243" t="s">
        <v>59</v>
      </c>
      <c r="AA4243" t="s">
        <v>59</v>
      </c>
      <c r="AB4243" t="s">
        <v>59</v>
      </c>
      <c r="AC4243" t="s">
        <v>59</v>
      </c>
      <c r="AD4243" t="s">
        <v>59</v>
      </c>
      <c r="AF4243" s="1">
        <v>35310</v>
      </c>
      <c r="AG4243" t="s">
        <v>125</v>
      </c>
      <c r="AH4243" t="s">
        <v>126</v>
      </c>
      <c r="AI4243" t="str">
        <f>"5001010"</f>
        <v>5001010</v>
      </c>
      <c r="AJ4243" t="s">
        <v>6873</v>
      </c>
      <c r="AK4243">
        <v>2821052130</v>
      </c>
      <c r="AL4243" t="s">
        <v>6874</v>
      </c>
      <c r="AM4243" t="s">
        <v>88</v>
      </c>
      <c r="AN4243" t="s">
        <v>88</v>
      </c>
      <c r="AO4243" t="s">
        <v>88</v>
      </c>
      <c r="AP4243" t="s">
        <v>88</v>
      </c>
      <c r="AQ4243">
        <v>1</v>
      </c>
      <c r="AR4243" t="s">
        <v>6729</v>
      </c>
      <c r="AS4243" t="s">
        <v>6730</v>
      </c>
      <c r="AT4243" t="s">
        <v>58</v>
      </c>
      <c r="AU4243" t="s">
        <v>68</v>
      </c>
      <c r="AV4243" t="s">
        <v>69</v>
      </c>
      <c r="AW4243" s="1">
        <v>21820</v>
      </c>
      <c r="AX4243">
        <v>2</v>
      </c>
    </row>
    <row r="4244" spans="1:50">
      <c r="A4244">
        <v>195299</v>
      </c>
      <c r="B4244" t="str">
        <f>"076181204"</f>
        <v>076181204</v>
      </c>
      <c r="C4244" t="s">
        <v>50</v>
      </c>
      <c r="D4244" t="s">
        <v>2875</v>
      </c>
      <c r="E4244" t="s">
        <v>237</v>
      </c>
      <c r="F4244" t="s">
        <v>53</v>
      </c>
      <c r="G4244" t="s">
        <v>620</v>
      </c>
      <c r="H4244" t="str">
        <f>"ΑΓ. ΑΠΟΣΤΟΛΩΝ 104 "</f>
        <v xml:space="preserve">ΑΓ. ΑΠΟΣΤΟΛΩΝ 104 </v>
      </c>
      <c r="I4244">
        <v>73300</v>
      </c>
      <c r="J4244">
        <v>2821088071</v>
      </c>
      <c r="K4244">
        <v>6981196250</v>
      </c>
      <c r="M4244" t="s">
        <v>7915</v>
      </c>
      <c r="N4244" t="s">
        <v>146</v>
      </c>
      <c r="O4244" t="s">
        <v>147</v>
      </c>
      <c r="R4244" t="s">
        <v>57</v>
      </c>
      <c r="S4244">
        <v>8</v>
      </c>
      <c r="T4244">
        <v>194</v>
      </c>
      <c r="U4244" s="1">
        <v>37497</v>
      </c>
      <c r="V4244" t="s">
        <v>6729</v>
      </c>
      <c r="W4244" t="s">
        <v>6730</v>
      </c>
      <c r="X4244" t="s">
        <v>58</v>
      </c>
      <c r="Y4244">
        <v>20</v>
      </c>
      <c r="Z4244" t="s">
        <v>59</v>
      </c>
      <c r="AA4244" t="s">
        <v>59</v>
      </c>
      <c r="AB4244" t="s">
        <v>59</v>
      </c>
      <c r="AC4244" t="s">
        <v>59</v>
      </c>
      <c r="AD4244" t="s">
        <v>59</v>
      </c>
      <c r="AF4244" s="1">
        <v>37501</v>
      </c>
      <c r="AG4244" t="s">
        <v>137</v>
      </c>
      <c r="AH4244" t="s">
        <v>138</v>
      </c>
      <c r="AI4244" t="str">
        <f>"5040080"</f>
        <v>5040080</v>
      </c>
      <c r="AJ4244" t="s">
        <v>6753</v>
      </c>
      <c r="AK4244">
        <v>2821093155</v>
      </c>
      <c r="AL4244" t="s">
        <v>6754</v>
      </c>
      <c r="AM4244" t="s">
        <v>88</v>
      </c>
      <c r="AN4244" t="s">
        <v>88</v>
      </c>
      <c r="AO4244" t="s">
        <v>6733</v>
      </c>
      <c r="AP4244" t="s">
        <v>6755</v>
      </c>
      <c r="AQ4244">
        <v>1</v>
      </c>
      <c r="AR4244" t="s">
        <v>6729</v>
      </c>
      <c r="AS4244" t="s">
        <v>6730</v>
      </c>
      <c r="AT4244" t="s">
        <v>58</v>
      </c>
      <c r="AU4244" t="s">
        <v>68</v>
      </c>
      <c r="AV4244" t="s">
        <v>69</v>
      </c>
      <c r="AW4244" s="1">
        <v>27520</v>
      </c>
      <c r="AX4244">
        <v>2</v>
      </c>
    </row>
    <row r="4245" spans="1:50">
      <c r="A4245">
        <v>190388</v>
      </c>
      <c r="B4245" t="str">
        <f>"078115927"</f>
        <v>078115927</v>
      </c>
      <c r="C4245" t="s">
        <v>50</v>
      </c>
      <c r="D4245" t="s">
        <v>2875</v>
      </c>
      <c r="E4245" t="s">
        <v>681</v>
      </c>
      <c r="F4245" t="s">
        <v>53</v>
      </c>
      <c r="G4245" t="s">
        <v>647</v>
      </c>
      <c r="H4245" t="str">
        <f>" "</f>
        <v xml:space="preserve"> </v>
      </c>
      <c r="N4245" t="s">
        <v>306</v>
      </c>
      <c r="O4245" t="s">
        <v>307</v>
      </c>
      <c r="R4245" t="s">
        <v>57</v>
      </c>
      <c r="S4245">
        <v>9</v>
      </c>
      <c r="T4245">
        <v>219</v>
      </c>
      <c r="U4245" s="1">
        <v>37133</v>
      </c>
      <c r="V4245" t="s">
        <v>6729</v>
      </c>
      <c r="W4245" t="s">
        <v>6730</v>
      </c>
      <c r="X4245" t="s">
        <v>58</v>
      </c>
      <c r="Y4245">
        <v>20</v>
      </c>
      <c r="Z4245" t="s">
        <v>59</v>
      </c>
      <c r="AA4245" t="s">
        <v>59</v>
      </c>
      <c r="AB4245" t="s">
        <v>59</v>
      </c>
      <c r="AC4245" t="s">
        <v>59</v>
      </c>
      <c r="AD4245" t="s">
        <v>59</v>
      </c>
      <c r="AF4245" s="1">
        <v>37140</v>
      </c>
      <c r="AG4245" t="s">
        <v>148</v>
      </c>
      <c r="AH4245" t="s">
        <v>149</v>
      </c>
      <c r="AI4245" t="str">
        <f>"5061010"</f>
        <v>5061010</v>
      </c>
      <c r="AJ4245" t="s">
        <v>6746</v>
      </c>
      <c r="AK4245">
        <v>2821081530</v>
      </c>
      <c r="AL4245" t="s">
        <v>6747</v>
      </c>
      <c r="AM4245" t="s">
        <v>88</v>
      </c>
      <c r="AN4245" t="s">
        <v>88</v>
      </c>
      <c r="AO4245" t="s">
        <v>6748</v>
      </c>
      <c r="AP4245" t="s">
        <v>6748</v>
      </c>
      <c r="AQ4245">
        <v>1</v>
      </c>
      <c r="AR4245" t="s">
        <v>6729</v>
      </c>
      <c r="AS4245" t="s">
        <v>6730</v>
      </c>
      <c r="AT4245" t="s">
        <v>58</v>
      </c>
      <c r="AU4245" t="s">
        <v>68</v>
      </c>
      <c r="AV4245" t="s">
        <v>69</v>
      </c>
      <c r="AW4245" s="1">
        <v>26606</v>
      </c>
      <c r="AX4245">
        <v>2</v>
      </c>
    </row>
    <row r="4246" spans="1:50">
      <c r="A4246">
        <v>905171</v>
      </c>
      <c r="B4246" t="str">
        <f>"028123138"</f>
        <v>028123138</v>
      </c>
      <c r="C4246" t="s">
        <v>105</v>
      </c>
      <c r="D4246" t="s">
        <v>7916</v>
      </c>
      <c r="E4246" t="s">
        <v>760</v>
      </c>
      <c r="F4246" t="s">
        <v>95</v>
      </c>
      <c r="G4246" t="s">
        <v>314</v>
      </c>
      <c r="H4246" t="str">
        <f>" "</f>
        <v xml:space="preserve"> </v>
      </c>
      <c r="J4246">
        <v>2822022420</v>
      </c>
      <c r="K4246">
        <v>6973650632</v>
      </c>
      <c r="M4246" t="s">
        <v>7917</v>
      </c>
      <c r="N4246" t="s">
        <v>168</v>
      </c>
      <c r="O4246" t="s">
        <v>169</v>
      </c>
      <c r="R4246" t="s">
        <v>57</v>
      </c>
      <c r="S4246">
        <v>18</v>
      </c>
      <c r="T4246">
        <v>269</v>
      </c>
      <c r="U4246" s="1">
        <v>30547</v>
      </c>
      <c r="V4246" t="s">
        <v>6729</v>
      </c>
      <c r="W4246" t="s">
        <v>6730</v>
      </c>
      <c r="X4246" t="s">
        <v>58</v>
      </c>
      <c r="Y4246">
        <v>18</v>
      </c>
      <c r="Z4246" t="s">
        <v>59</v>
      </c>
      <c r="AA4246" t="s">
        <v>59</v>
      </c>
      <c r="AB4246" t="s">
        <v>59</v>
      </c>
      <c r="AC4246" t="s">
        <v>59</v>
      </c>
      <c r="AD4246" t="s">
        <v>59</v>
      </c>
      <c r="AF4246" s="1">
        <v>30560</v>
      </c>
      <c r="AG4246" t="s">
        <v>137</v>
      </c>
      <c r="AH4246" t="s">
        <v>138</v>
      </c>
      <c r="AI4246" t="str">
        <f>"5040090"</f>
        <v>5040090</v>
      </c>
      <c r="AJ4246" t="s">
        <v>6757</v>
      </c>
      <c r="AK4246">
        <v>2822022275</v>
      </c>
      <c r="AL4246" t="s">
        <v>6758</v>
      </c>
      <c r="AM4246" t="s">
        <v>88</v>
      </c>
      <c r="AN4246" t="s">
        <v>6744</v>
      </c>
      <c r="AO4246" t="s">
        <v>6744</v>
      </c>
      <c r="AP4246" t="s">
        <v>6744</v>
      </c>
      <c r="AQ4246">
        <v>1</v>
      </c>
      <c r="AR4246" t="s">
        <v>6729</v>
      </c>
      <c r="AS4246" t="s">
        <v>6730</v>
      </c>
      <c r="AT4246" t="s">
        <v>58</v>
      </c>
      <c r="AU4246" t="s">
        <v>68</v>
      </c>
      <c r="AV4246" t="s">
        <v>69</v>
      </c>
      <c r="AW4246" s="1">
        <v>19285</v>
      </c>
      <c r="AX4246">
        <v>2</v>
      </c>
    </row>
    <row r="4247" spans="1:50">
      <c r="A4247">
        <v>205917</v>
      </c>
      <c r="B4247" t="str">
        <f>"074832114"</f>
        <v>074832114</v>
      </c>
      <c r="C4247" t="s">
        <v>105</v>
      </c>
      <c r="D4247" t="s">
        <v>7918</v>
      </c>
      <c r="E4247" t="s">
        <v>1217</v>
      </c>
      <c r="F4247" t="s">
        <v>154</v>
      </c>
      <c r="G4247" t="s">
        <v>950</v>
      </c>
      <c r="H4247" t="str">
        <f>" "</f>
        <v xml:space="preserve"> </v>
      </c>
      <c r="J4247">
        <v>2821094676</v>
      </c>
      <c r="K4247">
        <v>6977046847</v>
      </c>
      <c r="M4247" t="s">
        <v>7919</v>
      </c>
      <c r="N4247" t="s">
        <v>292</v>
      </c>
      <c r="O4247" t="s">
        <v>293</v>
      </c>
      <c r="R4247" t="s">
        <v>57</v>
      </c>
      <c r="S4247">
        <v>7</v>
      </c>
      <c r="T4247" t="s">
        <v>6594</v>
      </c>
      <c r="U4247" s="1">
        <v>38233</v>
      </c>
      <c r="V4247" t="s">
        <v>6729</v>
      </c>
      <c r="W4247" t="s">
        <v>6730</v>
      </c>
      <c r="X4247" t="s">
        <v>58</v>
      </c>
      <c r="Y4247">
        <v>20</v>
      </c>
      <c r="Z4247" t="s">
        <v>59</v>
      </c>
      <c r="AA4247" t="s">
        <v>59</v>
      </c>
      <c r="AB4247" t="s">
        <v>59</v>
      </c>
      <c r="AC4247" t="s">
        <v>59</v>
      </c>
      <c r="AD4247" t="s">
        <v>59</v>
      </c>
      <c r="AF4247" s="1">
        <v>38233</v>
      </c>
      <c r="AG4247" t="s">
        <v>125</v>
      </c>
      <c r="AH4247" t="s">
        <v>126</v>
      </c>
      <c r="AI4247" t="str">
        <f>"5006010"</f>
        <v>5006010</v>
      </c>
      <c r="AJ4247" t="s">
        <v>7008</v>
      </c>
      <c r="AK4247">
        <v>2824031620</v>
      </c>
      <c r="AL4247" t="s">
        <v>7009</v>
      </c>
      <c r="AM4247" t="s">
        <v>88</v>
      </c>
      <c r="AN4247" t="s">
        <v>6764</v>
      </c>
      <c r="AO4247" t="s">
        <v>6765</v>
      </c>
      <c r="AP4247" t="s">
        <v>6765</v>
      </c>
      <c r="AQ4247">
        <v>1</v>
      </c>
      <c r="AR4247" t="s">
        <v>6729</v>
      </c>
      <c r="AS4247" t="s">
        <v>6730</v>
      </c>
      <c r="AT4247" t="s">
        <v>58</v>
      </c>
      <c r="AU4247" t="s">
        <v>68</v>
      </c>
      <c r="AV4247" t="s">
        <v>69</v>
      </c>
      <c r="AW4247" s="1">
        <v>24554</v>
      </c>
      <c r="AX4247">
        <v>2</v>
      </c>
    </row>
    <row r="4248" spans="1:50">
      <c r="A4248">
        <v>701508</v>
      </c>
      <c r="B4248" t="str">
        <f>"074440708"</f>
        <v>074440708</v>
      </c>
      <c r="C4248" t="s">
        <v>105</v>
      </c>
      <c r="D4248" t="s">
        <v>7920</v>
      </c>
      <c r="E4248" t="s">
        <v>670</v>
      </c>
      <c r="F4248" t="s">
        <v>900</v>
      </c>
      <c r="G4248" t="s">
        <v>7921</v>
      </c>
      <c r="H4248" t="str">
        <f>"Μ.ΜΠΟΤΣΑΡΗ "</f>
        <v xml:space="preserve">Μ.ΜΠΟΤΣΑΡΗ </v>
      </c>
      <c r="I4248">
        <v>73100</v>
      </c>
      <c r="J4248">
        <v>2821069886</v>
      </c>
      <c r="K4248">
        <v>6972671448</v>
      </c>
      <c r="M4248" t="s">
        <v>7922</v>
      </c>
      <c r="N4248" t="s">
        <v>168</v>
      </c>
      <c r="O4248" t="s">
        <v>169</v>
      </c>
      <c r="R4248" t="s">
        <v>57</v>
      </c>
      <c r="S4248">
        <v>7</v>
      </c>
      <c r="T4248" t="s">
        <v>7923</v>
      </c>
      <c r="U4248" s="1">
        <v>40413</v>
      </c>
      <c r="V4248" t="s">
        <v>6729</v>
      </c>
      <c r="W4248" t="s">
        <v>6730</v>
      </c>
      <c r="X4248" t="s">
        <v>58</v>
      </c>
      <c r="Y4248">
        <v>21</v>
      </c>
      <c r="Z4248" t="s">
        <v>59</v>
      </c>
      <c r="AA4248" t="s">
        <v>59</v>
      </c>
      <c r="AB4248" t="s">
        <v>59</v>
      </c>
      <c r="AC4248" t="s">
        <v>59</v>
      </c>
      <c r="AD4248" t="s">
        <v>59</v>
      </c>
      <c r="AF4248" s="1">
        <v>40413</v>
      </c>
      <c r="AG4248" t="s">
        <v>137</v>
      </c>
      <c r="AH4248" t="s">
        <v>138</v>
      </c>
      <c r="AI4248" t="str">
        <f>"5040105"</f>
        <v>5040105</v>
      </c>
      <c r="AJ4248" t="s">
        <v>6969</v>
      </c>
      <c r="AK4248">
        <v>2825051703</v>
      </c>
      <c r="AL4248" t="s">
        <v>6970</v>
      </c>
      <c r="AM4248" t="s">
        <v>88</v>
      </c>
      <c r="AN4248" t="s">
        <v>6775</v>
      </c>
      <c r="AO4248" t="s">
        <v>6781</v>
      </c>
      <c r="AP4248" t="s">
        <v>6782</v>
      </c>
      <c r="AQ4248">
        <v>1</v>
      </c>
      <c r="AR4248" t="s">
        <v>6729</v>
      </c>
      <c r="AS4248" t="s">
        <v>6730</v>
      </c>
      <c r="AT4248" t="s">
        <v>58</v>
      </c>
      <c r="AU4248" t="s">
        <v>68</v>
      </c>
      <c r="AV4248" t="s">
        <v>69</v>
      </c>
      <c r="AW4248" s="1">
        <v>27397</v>
      </c>
      <c r="AX4248">
        <v>2</v>
      </c>
    </row>
    <row r="4249" spans="1:50">
      <c r="A4249">
        <v>191261</v>
      </c>
      <c r="B4249" t="str">
        <f>"076196788"</f>
        <v>076196788</v>
      </c>
      <c r="C4249" t="s">
        <v>105</v>
      </c>
      <c r="D4249" t="s">
        <v>7924</v>
      </c>
      <c r="E4249" t="s">
        <v>1559</v>
      </c>
      <c r="F4249" t="s">
        <v>900</v>
      </c>
      <c r="G4249" t="s">
        <v>1071</v>
      </c>
      <c r="H4249" t="str">
        <f>" "</f>
        <v xml:space="preserve"> </v>
      </c>
      <c r="N4249" t="s">
        <v>204</v>
      </c>
      <c r="O4249" t="s">
        <v>205</v>
      </c>
      <c r="R4249" t="s">
        <v>57</v>
      </c>
      <c r="S4249">
        <v>9</v>
      </c>
      <c r="T4249">
        <v>219</v>
      </c>
      <c r="U4249" s="1">
        <v>37134</v>
      </c>
      <c r="V4249" t="s">
        <v>6729</v>
      </c>
      <c r="W4249" t="s">
        <v>6730</v>
      </c>
      <c r="X4249" t="s">
        <v>58</v>
      </c>
      <c r="Y4249">
        <v>20</v>
      </c>
      <c r="Z4249" t="s">
        <v>59</v>
      </c>
      <c r="AA4249" t="s">
        <v>59</v>
      </c>
      <c r="AB4249" t="s">
        <v>59</v>
      </c>
      <c r="AC4249" t="s">
        <v>59</v>
      </c>
      <c r="AD4249" t="s">
        <v>59</v>
      </c>
      <c r="AF4249" s="1">
        <v>37141</v>
      </c>
      <c r="AG4249" t="s">
        <v>148</v>
      </c>
      <c r="AH4249" t="s">
        <v>149</v>
      </c>
      <c r="AI4249" t="str">
        <f>"5062010"</f>
        <v>5062010</v>
      </c>
      <c r="AJ4249" t="s">
        <v>6783</v>
      </c>
      <c r="AK4249">
        <v>2821031620</v>
      </c>
      <c r="AL4249" t="s">
        <v>6784</v>
      </c>
      <c r="AM4249" t="s">
        <v>88</v>
      </c>
      <c r="AN4249" t="s">
        <v>88</v>
      </c>
      <c r="AO4249" t="s">
        <v>6785</v>
      </c>
      <c r="AP4249" t="s">
        <v>6786</v>
      </c>
      <c r="AQ4249">
        <v>1</v>
      </c>
      <c r="AR4249" t="s">
        <v>6729</v>
      </c>
      <c r="AS4249" t="s">
        <v>6730</v>
      </c>
      <c r="AT4249" t="s">
        <v>58</v>
      </c>
      <c r="AU4249" t="s">
        <v>68</v>
      </c>
      <c r="AV4249" t="s">
        <v>69</v>
      </c>
      <c r="AW4249" s="1">
        <v>25713</v>
      </c>
      <c r="AX4249">
        <v>2</v>
      </c>
    </row>
    <row r="4250" spans="1:50">
      <c r="A4250">
        <v>226680</v>
      </c>
      <c r="B4250" t="str">
        <f>"044967650"</f>
        <v>044967650</v>
      </c>
      <c r="C4250" t="s">
        <v>50</v>
      </c>
      <c r="D4250" t="s">
        <v>7925</v>
      </c>
      <c r="E4250" t="s">
        <v>155</v>
      </c>
      <c r="F4250" t="s">
        <v>53</v>
      </c>
      <c r="G4250" t="s">
        <v>96</v>
      </c>
      <c r="H4250" t="str">
        <f>"ΠΑΡΟΔΟΣ Μ.ΑΣΙΑΣ ΠΑΣΑΚΑΚΙ ΧΑΝΙΑ"</f>
        <v>ΠΑΡΟΔΟΣ Μ.ΑΣΙΑΣ ΠΑΣΑΚΑΚΙ ΧΑΝΙΑ</v>
      </c>
      <c r="I4250">
        <v>73100</v>
      </c>
      <c r="J4250">
        <v>2821076378</v>
      </c>
      <c r="K4250">
        <v>6945149374</v>
      </c>
      <c r="M4250" t="s">
        <v>7926</v>
      </c>
      <c r="N4250" t="s">
        <v>146</v>
      </c>
      <c r="O4250" t="s">
        <v>147</v>
      </c>
      <c r="R4250" t="s">
        <v>57</v>
      </c>
      <c r="S4250">
        <v>5</v>
      </c>
      <c r="T4250">
        <v>654</v>
      </c>
      <c r="U4250" s="1">
        <v>40043</v>
      </c>
      <c r="V4250" t="s">
        <v>6729</v>
      </c>
      <c r="W4250" t="s">
        <v>6730</v>
      </c>
      <c r="X4250" t="s">
        <v>58</v>
      </c>
      <c r="Y4250">
        <v>21</v>
      </c>
      <c r="Z4250" t="s">
        <v>59</v>
      </c>
      <c r="AA4250" t="s">
        <v>59</v>
      </c>
      <c r="AB4250" t="s">
        <v>59</v>
      </c>
      <c r="AC4250" t="s">
        <v>59</v>
      </c>
      <c r="AD4250" t="s">
        <v>59</v>
      </c>
      <c r="AF4250" s="1">
        <v>40043</v>
      </c>
      <c r="AG4250" t="s">
        <v>148</v>
      </c>
      <c r="AH4250" t="s">
        <v>149</v>
      </c>
      <c r="AI4250" t="str">
        <f>"5051030"</f>
        <v>5051030</v>
      </c>
      <c r="AJ4250" t="s">
        <v>6760</v>
      </c>
      <c r="AK4250">
        <v>2821027533</v>
      </c>
      <c r="AL4250" t="s">
        <v>6761</v>
      </c>
      <c r="AM4250" t="s">
        <v>88</v>
      </c>
      <c r="AN4250" t="s">
        <v>88</v>
      </c>
      <c r="AO4250" t="s">
        <v>88</v>
      </c>
      <c r="AP4250" t="s">
        <v>88</v>
      </c>
      <c r="AQ4250">
        <v>1</v>
      </c>
      <c r="AR4250" t="s">
        <v>6729</v>
      </c>
      <c r="AS4250" t="s">
        <v>6730</v>
      </c>
      <c r="AT4250" t="s">
        <v>58</v>
      </c>
      <c r="AU4250" t="s">
        <v>68</v>
      </c>
      <c r="AV4250" t="s">
        <v>357</v>
      </c>
      <c r="AW4250" s="1">
        <v>25404</v>
      </c>
      <c r="AX4250">
        <v>2</v>
      </c>
    </row>
    <row r="4251" spans="1:50">
      <c r="A4251">
        <v>207039</v>
      </c>
      <c r="B4251" t="str">
        <f>"032985189"</f>
        <v>032985189</v>
      </c>
      <c r="C4251" t="s">
        <v>50</v>
      </c>
      <c r="D4251" t="s">
        <v>7927</v>
      </c>
      <c r="E4251" t="s">
        <v>1345</v>
      </c>
      <c r="F4251" t="s">
        <v>92</v>
      </c>
      <c r="G4251" t="s">
        <v>1179</v>
      </c>
      <c r="H4251" t="str">
        <f>" "</f>
        <v xml:space="preserve"> </v>
      </c>
      <c r="J4251">
        <v>2821050930</v>
      </c>
      <c r="K4251">
        <v>6972007712</v>
      </c>
      <c r="M4251" t="s">
        <v>7928</v>
      </c>
      <c r="N4251" t="s">
        <v>292</v>
      </c>
      <c r="O4251" t="s">
        <v>293</v>
      </c>
      <c r="R4251" t="s">
        <v>57</v>
      </c>
      <c r="S4251">
        <v>8</v>
      </c>
      <c r="T4251">
        <v>218</v>
      </c>
      <c r="U4251" s="1">
        <v>38596</v>
      </c>
      <c r="V4251" t="s">
        <v>6729</v>
      </c>
      <c r="W4251" t="s">
        <v>6730</v>
      </c>
      <c r="X4251" t="s">
        <v>58</v>
      </c>
      <c r="Y4251">
        <v>20</v>
      </c>
      <c r="Z4251" t="s">
        <v>59</v>
      </c>
      <c r="AA4251" t="s">
        <v>59</v>
      </c>
      <c r="AB4251" t="s">
        <v>59</v>
      </c>
      <c r="AC4251" t="s">
        <v>59</v>
      </c>
      <c r="AD4251" t="s">
        <v>59</v>
      </c>
      <c r="AF4251" s="1">
        <v>38602</v>
      </c>
      <c r="AG4251" t="s">
        <v>125</v>
      </c>
      <c r="AH4251" t="s">
        <v>126</v>
      </c>
      <c r="AI4251" t="str">
        <f>"5001072"</f>
        <v>5001072</v>
      </c>
      <c r="AJ4251" t="s">
        <v>6922</v>
      </c>
      <c r="AK4251">
        <v>2821055471</v>
      </c>
      <c r="AL4251" t="s">
        <v>6923</v>
      </c>
      <c r="AM4251" t="s">
        <v>88</v>
      </c>
      <c r="AN4251" t="s">
        <v>88</v>
      </c>
      <c r="AO4251" t="s">
        <v>88</v>
      </c>
      <c r="AP4251" t="s">
        <v>88</v>
      </c>
      <c r="AQ4251">
        <v>1</v>
      </c>
      <c r="AR4251" t="s">
        <v>6729</v>
      </c>
      <c r="AS4251" t="s">
        <v>6730</v>
      </c>
      <c r="AT4251" t="s">
        <v>58</v>
      </c>
      <c r="AU4251" t="s">
        <v>68</v>
      </c>
      <c r="AV4251" t="s">
        <v>69</v>
      </c>
      <c r="AW4251" s="1">
        <v>23756</v>
      </c>
      <c r="AX4251">
        <v>2</v>
      </c>
    </row>
    <row r="4252" spans="1:50">
      <c r="A4252">
        <v>158114</v>
      </c>
      <c r="B4252" t="str">
        <f>"025635440"</f>
        <v>025635440</v>
      </c>
      <c r="C4252" t="s">
        <v>50</v>
      </c>
      <c r="D4252" t="s">
        <v>7929</v>
      </c>
      <c r="E4252" t="s">
        <v>237</v>
      </c>
      <c r="F4252" t="s">
        <v>166</v>
      </c>
      <c r="G4252" t="s">
        <v>372</v>
      </c>
      <c r="H4252" t="str">
        <f>"ΛΙΣΣΟΥ 10 ΚΟΥΜΠΕΣ"</f>
        <v>ΛΙΣΣΟΥ 10 ΚΟΥΜΠΕΣ</v>
      </c>
      <c r="I4252">
        <v>73135</v>
      </c>
      <c r="J4252">
        <v>2821099126</v>
      </c>
      <c r="K4252">
        <v>6979367277</v>
      </c>
      <c r="M4252" t="s">
        <v>7930</v>
      </c>
      <c r="N4252" t="s">
        <v>299</v>
      </c>
      <c r="O4252" t="s">
        <v>300</v>
      </c>
      <c r="R4252" t="s">
        <v>57</v>
      </c>
      <c r="S4252">
        <v>15</v>
      </c>
      <c r="T4252">
        <v>188</v>
      </c>
      <c r="U4252" s="1">
        <v>32752</v>
      </c>
      <c r="V4252" t="s">
        <v>6729</v>
      </c>
      <c r="W4252" t="s">
        <v>6730</v>
      </c>
      <c r="X4252" t="s">
        <v>58</v>
      </c>
      <c r="Y4252">
        <v>18</v>
      </c>
      <c r="Z4252" t="s">
        <v>59</v>
      </c>
      <c r="AA4252" t="s">
        <v>59</v>
      </c>
      <c r="AB4252" t="s">
        <v>59</v>
      </c>
      <c r="AC4252" t="s">
        <v>59</v>
      </c>
      <c r="AD4252" t="s">
        <v>59</v>
      </c>
      <c r="AF4252" s="1">
        <v>32757</v>
      </c>
      <c r="AG4252" t="s">
        <v>137</v>
      </c>
      <c r="AH4252" t="s">
        <v>138</v>
      </c>
      <c r="AI4252" t="str">
        <f>"5040050"</f>
        <v>5040050</v>
      </c>
      <c r="AJ4252" t="s">
        <v>6750</v>
      </c>
      <c r="AK4252">
        <v>2821043147</v>
      </c>
      <c r="AL4252" t="s">
        <v>6751</v>
      </c>
      <c r="AM4252" t="s">
        <v>88</v>
      </c>
      <c r="AN4252" t="s">
        <v>88</v>
      </c>
      <c r="AO4252" t="s">
        <v>88</v>
      </c>
      <c r="AP4252" t="s">
        <v>88</v>
      </c>
      <c r="AQ4252">
        <v>1</v>
      </c>
      <c r="AR4252" t="s">
        <v>6729</v>
      </c>
      <c r="AS4252" t="s">
        <v>6730</v>
      </c>
      <c r="AT4252" t="s">
        <v>58</v>
      </c>
      <c r="AU4252" t="s">
        <v>68</v>
      </c>
      <c r="AV4252" t="s">
        <v>69</v>
      </c>
      <c r="AW4252" s="1">
        <v>21649</v>
      </c>
      <c r="AX4252">
        <v>2</v>
      </c>
    </row>
    <row r="4253" spans="1:50">
      <c r="A4253">
        <v>168238</v>
      </c>
      <c r="B4253" t="str">
        <f>"032378525"</f>
        <v>032378525</v>
      </c>
      <c r="C4253" t="s">
        <v>105</v>
      </c>
      <c r="D4253" t="s">
        <v>7931</v>
      </c>
      <c r="E4253" t="s">
        <v>7932</v>
      </c>
      <c r="F4253" t="s">
        <v>670</v>
      </c>
      <c r="G4253" t="s">
        <v>705</v>
      </c>
      <c r="H4253" t="str">
        <f>" "</f>
        <v xml:space="preserve"> </v>
      </c>
      <c r="N4253" t="s">
        <v>1647</v>
      </c>
      <c r="O4253" t="s">
        <v>1648</v>
      </c>
      <c r="R4253" t="s">
        <v>57</v>
      </c>
      <c r="S4253">
        <v>12</v>
      </c>
      <c r="T4253" t="s">
        <v>7933</v>
      </c>
      <c r="U4253" s="1">
        <v>34582</v>
      </c>
      <c r="V4253" t="s">
        <v>6729</v>
      </c>
      <c r="W4253" t="s">
        <v>6730</v>
      </c>
      <c r="X4253" t="s">
        <v>58</v>
      </c>
      <c r="Y4253">
        <v>18</v>
      </c>
      <c r="Z4253" t="s">
        <v>59</v>
      </c>
      <c r="AA4253" t="s">
        <v>59</v>
      </c>
      <c r="AB4253" t="s">
        <v>59</v>
      </c>
      <c r="AC4253" t="s">
        <v>59</v>
      </c>
      <c r="AD4253" t="s">
        <v>59</v>
      </c>
      <c r="AF4253" s="1">
        <v>34582</v>
      </c>
      <c r="AG4253" t="s">
        <v>125</v>
      </c>
      <c r="AH4253" t="s">
        <v>126</v>
      </c>
      <c r="AI4253" t="str">
        <f>"5001070"</f>
        <v>5001070</v>
      </c>
      <c r="AJ4253" t="s">
        <v>6731</v>
      </c>
      <c r="AK4253">
        <v>2821088045</v>
      </c>
      <c r="AL4253" t="s">
        <v>6732</v>
      </c>
      <c r="AM4253" t="s">
        <v>88</v>
      </c>
      <c r="AN4253" t="s">
        <v>88</v>
      </c>
      <c r="AO4253" t="s">
        <v>6733</v>
      </c>
      <c r="AP4253" t="s">
        <v>6734</v>
      </c>
      <c r="AQ4253">
        <v>1</v>
      </c>
      <c r="AR4253" t="s">
        <v>6729</v>
      </c>
      <c r="AS4253" t="s">
        <v>6730</v>
      </c>
      <c r="AT4253" t="s">
        <v>58</v>
      </c>
      <c r="AU4253" t="s">
        <v>68</v>
      </c>
      <c r="AV4253" t="s">
        <v>69</v>
      </c>
      <c r="AW4253" s="1">
        <v>21412</v>
      </c>
      <c r="AX4253">
        <v>2</v>
      </c>
    </row>
    <row r="4254" spans="1:50">
      <c r="A4254">
        <v>229855</v>
      </c>
      <c r="B4254" t="str">
        <f>"036805776"</f>
        <v>036805776</v>
      </c>
      <c r="C4254" t="s">
        <v>105</v>
      </c>
      <c r="D4254" t="s">
        <v>7931</v>
      </c>
      <c r="E4254" t="s">
        <v>72</v>
      </c>
      <c r="F4254" t="s">
        <v>450</v>
      </c>
      <c r="G4254" t="s">
        <v>1484</v>
      </c>
      <c r="H4254" t="str">
        <f>"ΜΑΓΙΚΟ ΞΑΝΘΗΣ ΞΑΝΘΗ"</f>
        <v>ΜΑΓΙΚΟ ΞΑΝΘΗΣ ΞΑΝΘΗ</v>
      </c>
      <c r="I4254">
        <v>67100</v>
      </c>
      <c r="J4254">
        <v>2310621460</v>
      </c>
      <c r="K4254">
        <v>6972224102</v>
      </c>
      <c r="L4254">
        <v>2821181040</v>
      </c>
      <c r="M4254" t="s">
        <v>7934</v>
      </c>
      <c r="N4254" t="s">
        <v>168</v>
      </c>
      <c r="O4254" t="s">
        <v>169</v>
      </c>
      <c r="R4254" t="s">
        <v>57</v>
      </c>
      <c r="S4254">
        <v>5</v>
      </c>
      <c r="T4254">
        <v>41</v>
      </c>
      <c r="U4254" s="1">
        <v>40169</v>
      </c>
      <c r="V4254" t="s">
        <v>6729</v>
      </c>
      <c r="W4254" t="s">
        <v>6730</v>
      </c>
      <c r="X4254" t="s">
        <v>58</v>
      </c>
      <c r="Y4254">
        <v>20</v>
      </c>
      <c r="Z4254" t="s">
        <v>59</v>
      </c>
      <c r="AA4254" t="s">
        <v>59</v>
      </c>
      <c r="AB4254" t="s">
        <v>59</v>
      </c>
      <c r="AC4254" t="s">
        <v>59</v>
      </c>
      <c r="AD4254" t="s">
        <v>59</v>
      </c>
      <c r="AF4254" s="1">
        <v>40175</v>
      </c>
      <c r="AG4254" t="s">
        <v>137</v>
      </c>
      <c r="AH4254" t="s">
        <v>138</v>
      </c>
      <c r="AI4254" t="str">
        <f>"5040050"</f>
        <v>5040050</v>
      </c>
      <c r="AJ4254" t="s">
        <v>6750</v>
      </c>
      <c r="AK4254">
        <v>2821043147</v>
      </c>
      <c r="AL4254" t="s">
        <v>6751</v>
      </c>
      <c r="AM4254" t="s">
        <v>88</v>
      </c>
      <c r="AN4254" t="s">
        <v>88</v>
      </c>
      <c r="AO4254" t="s">
        <v>88</v>
      </c>
      <c r="AP4254" t="s">
        <v>88</v>
      </c>
      <c r="AQ4254">
        <v>1</v>
      </c>
      <c r="AR4254" t="s">
        <v>6729</v>
      </c>
      <c r="AS4254" t="s">
        <v>6730</v>
      </c>
      <c r="AT4254" t="s">
        <v>58</v>
      </c>
      <c r="AU4254" t="s">
        <v>68</v>
      </c>
      <c r="AV4254" t="s">
        <v>69</v>
      </c>
      <c r="AW4254" s="1">
        <v>23163</v>
      </c>
      <c r="AX4254">
        <v>2</v>
      </c>
    </row>
    <row r="4255" spans="1:50">
      <c r="A4255">
        <v>220953</v>
      </c>
      <c r="B4255" t="str">
        <f>"050766787"</f>
        <v>050766787</v>
      </c>
      <c r="C4255" t="s">
        <v>105</v>
      </c>
      <c r="D4255" t="s">
        <v>7935</v>
      </c>
      <c r="E4255" t="s">
        <v>99</v>
      </c>
      <c r="F4255" t="s">
        <v>2233</v>
      </c>
      <c r="G4255" t="s">
        <v>143</v>
      </c>
      <c r="H4255" t="str">
        <f>" "</f>
        <v xml:space="preserve"> </v>
      </c>
      <c r="J4255">
        <v>2825051654</v>
      </c>
      <c r="K4255">
        <v>6977641890</v>
      </c>
      <c r="M4255" t="s">
        <v>6970</v>
      </c>
      <c r="N4255" t="s">
        <v>2713</v>
      </c>
      <c r="O4255" t="s">
        <v>2714</v>
      </c>
      <c r="R4255" t="s">
        <v>57</v>
      </c>
      <c r="S4255">
        <v>7</v>
      </c>
      <c r="T4255">
        <v>687</v>
      </c>
      <c r="U4255" s="1">
        <v>39330</v>
      </c>
      <c r="V4255" t="s">
        <v>6729</v>
      </c>
      <c r="W4255" t="s">
        <v>6730</v>
      </c>
      <c r="X4255" t="s">
        <v>58</v>
      </c>
      <c r="Y4255">
        <v>20</v>
      </c>
      <c r="Z4255" t="s">
        <v>59</v>
      </c>
      <c r="AA4255" t="s">
        <v>59</v>
      </c>
      <c r="AB4255" t="s">
        <v>59</v>
      </c>
      <c r="AC4255" t="s">
        <v>59</v>
      </c>
      <c r="AD4255" t="s">
        <v>59</v>
      </c>
      <c r="AF4255" s="1">
        <v>39331</v>
      </c>
      <c r="AG4255" t="s">
        <v>137</v>
      </c>
      <c r="AH4255" t="s">
        <v>138</v>
      </c>
      <c r="AI4255" t="str">
        <f>"5040105"</f>
        <v>5040105</v>
      </c>
      <c r="AJ4255" t="s">
        <v>6969</v>
      </c>
      <c r="AK4255">
        <v>2825051703</v>
      </c>
      <c r="AL4255" t="s">
        <v>6970</v>
      </c>
      <c r="AM4255" t="s">
        <v>88</v>
      </c>
      <c r="AN4255" t="s">
        <v>6775</v>
      </c>
      <c r="AO4255" t="s">
        <v>6781</v>
      </c>
      <c r="AP4255" t="s">
        <v>6782</v>
      </c>
      <c r="AQ4255">
        <v>1</v>
      </c>
      <c r="AR4255" t="s">
        <v>6729</v>
      </c>
      <c r="AS4255" t="s">
        <v>6730</v>
      </c>
      <c r="AT4255" t="s">
        <v>58</v>
      </c>
      <c r="AU4255" t="s">
        <v>68</v>
      </c>
      <c r="AV4255" t="s">
        <v>69</v>
      </c>
      <c r="AW4255" s="1">
        <v>20706</v>
      </c>
      <c r="AX4255">
        <v>2</v>
      </c>
    </row>
    <row r="4256" spans="1:50">
      <c r="A4256">
        <v>401480</v>
      </c>
      <c r="B4256" t="str">
        <f>"113174108"</f>
        <v>113174108</v>
      </c>
      <c r="C4256" t="s">
        <v>50</v>
      </c>
      <c r="D4256" t="s">
        <v>7936</v>
      </c>
      <c r="E4256" t="s">
        <v>52</v>
      </c>
      <c r="F4256" t="s">
        <v>72</v>
      </c>
      <c r="G4256" t="s">
        <v>860</v>
      </c>
      <c r="H4256" t="str">
        <f>" "</f>
        <v xml:space="preserve"> </v>
      </c>
      <c r="M4256" t="s">
        <v>7937</v>
      </c>
      <c r="N4256" t="s">
        <v>146</v>
      </c>
      <c r="O4256" t="s">
        <v>147</v>
      </c>
      <c r="R4256" t="s">
        <v>57</v>
      </c>
      <c r="S4256">
        <v>6</v>
      </c>
      <c r="T4256" t="s">
        <v>1230</v>
      </c>
      <c r="U4256" s="1">
        <v>39961</v>
      </c>
      <c r="V4256" t="s">
        <v>6729</v>
      </c>
      <c r="W4256" t="s">
        <v>6730</v>
      </c>
      <c r="X4256" t="s">
        <v>58</v>
      </c>
      <c r="Y4256">
        <v>20</v>
      </c>
      <c r="Z4256" t="s">
        <v>59</v>
      </c>
      <c r="AA4256" t="s">
        <v>59</v>
      </c>
      <c r="AB4256" t="s">
        <v>59</v>
      </c>
      <c r="AC4256" t="s">
        <v>59</v>
      </c>
      <c r="AD4256" t="s">
        <v>59</v>
      </c>
      <c r="AF4256" s="1">
        <v>39967</v>
      </c>
      <c r="AG4256" t="s">
        <v>148</v>
      </c>
      <c r="AH4256" t="s">
        <v>149</v>
      </c>
      <c r="AI4256" t="str">
        <f>"5051009"</f>
        <v>5051009</v>
      </c>
      <c r="AJ4256" t="s">
        <v>6851</v>
      </c>
      <c r="AK4256">
        <v>2821044551</v>
      </c>
      <c r="AL4256" t="s">
        <v>6852</v>
      </c>
      <c r="AM4256" t="s">
        <v>88</v>
      </c>
      <c r="AN4256" t="s">
        <v>88</v>
      </c>
      <c r="AO4256" t="s">
        <v>6770</v>
      </c>
      <c r="AP4256" t="s">
        <v>6771</v>
      </c>
      <c r="AQ4256">
        <v>1</v>
      </c>
      <c r="AR4256" t="s">
        <v>6729</v>
      </c>
      <c r="AS4256" t="s">
        <v>6730</v>
      </c>
      <c r="AT4256" t="s">
        <v>58</v>
      </c>
      <c r="AU4256" t="s">
        <v>68</v>
      </c>
      <c r="AV4256" t="s">
        <v>69</v>
      </c>
      <c r="AW4256" s="1">
        <v>24838</v>
      </c>
      <c r="AX4256">
        <v>2</v>
      </c>
    </row>
    <row r="4257" spans="1:50">
      <c r="A4257">
        <v>218094</v>
      </c>
      <c r="B4257" t="str">
        <f>"112389982"</f>
        <v>112389982</v>
      </c>
      <c r="C4257" t="s">
        <v>50</v>
      </c>
      <c r="D4257" t="s">
        <v>7938</v>
      </c>
      <c r="E4257" t="s">
        <v>1189</v>
      </c>
      <c r="F4257" t="s">
        <v>3483</v>
      </c>
      <c r="G4257" t="s">
        <v>255</v>
      </c>
      <c r="H4257" t="str">
        <f>"Κ.ΜΑΝΟΥ 3  ΠΕΛΕΚΑΠΙΝΑ "</f>
        <v xml:space="preserve">Κ.ΜΑΝΟΥ 3  ΠΕΛΕΚΑΠΙΝΑ </v>
      </c>
      <c r="I4257">
        <v>73100</v>
      </c>
      <c r="J4257">
        <v>2821099359</v>
      </c>
      <c r="K4257">
        <v>6973052962</v>
      </c>
      <c r="M4257" t="s">
        <v>7939</v>
      </c>
      <c r="N4257" t="s">
        <v>292</v>
      </c>
      <c r="O4257" t="s">
        <v>293</v>
      </c>
      <c r="R4257" t="s">
        <v>57</v>
      </c>
      <c r="S4257">
        <v>5</v>
      </c>
      <c r="T4257">
        <v>599</v>
      </c>
      <c r="U4257" s="1">
        <v>39310</v>
      </c>
      <c r="V4257" t="s">
        <v>6729</v>
      </c>
      <c r="W4257" t="s">
        <v>6730</v>
      </c>
      <c r="X4257" t="s">
        <v>58</v>
      </c>
      <c r="Y4257">
        <v>21</v>
      </c>
      <c r="Z4257" t="s">
        <v>59</v>
      </c>
      <c r="AA4257" t="s">
        <v>59</v>
      </c>
      <c r="AB4257" t="s">
        <v>59</v>
      </c>
      <c r="AC4257" t="s">
        <v>59</v>
      </c>
      <c r="AD4257" t="s">
        <v>59</v>
      </c>
      <c r="AF4257" s="1">
        <v>39328</v>
      </c>
      <c r="AG4257" t="s">
        <v>137</v>
      </c>
      <c r="AH4257" t="s">
        <v>469</v>
      </c>
      <c r="AI4257" t="str">
        <f>"5053001"</f>
        <v>5053001</v>
      </c>
      <c r="AJ4257" t="s">
        <v>6788</v>
      </c>
      <c r="AK4257">
        <v>2821068020</v>
      </c>
      <c r="AM4257" t="s">
        <v>88</v>
      </c>
      <c r="AN4257" t="s">
        <v>6764</v>
      </c>
      <c r="AO4257" t="s">
        <v>6764</v>
      </c>
      <c r="AP4257" t="s">
        <v>6764</v>
      </c>
      <c r="AQ4257">
        <v>1</v>
      </c>
      <c r="AR4257" t="s">
        <v>6729</v>
      </c>
      <c r="AS4257" t="s">
        <v>6730</v>
      </c>
      <c r="AT4257" t="s">
        <v>58</v>
      </c>
      <c r="AU4257" t="s">
        <v>68</v>
      </c>
      <c r="AV4257" t="s">
        <v>69</v>
      </c>
      <c r="AW4257" s="1">
        <v>24053</v>
      </c>
      <c r="AX4257">
        <v>2</v>
      </c>
    </row>
    <row r="4258" spans="1:50">
      <c r="A4258">
        <v>213280</v>
      </c>
      <c r="B4258" t="str">
        <f>"059817483"</f>
        <v>059817483</v>
      </c>
      <c r="C4258" t="s">
        <v>50</v>
      </c>
      <c r="D4258" t="s">
        <v>7940</v>
      </c>
      <c r="E4258" t="s">
        <v>83</v>
      </c>
      <c r="F4258" t="s">
        <v>5622</v>
      </c>
      <c r="G4258" t="s">
        <v>52</v>
      </c>
      <c r="H4258" t="str">
        <f>"ΜΙΧΕΛΟΓΙΑΝΝΗ 42 ΧΑΝΙΑ"</f>
        <v>ΜΙΧΕΛΟΓΙΑΝΝΗ 42 ΧΑΝΙΑ</v>
      </c>
      <c r="I4258">
        <v>73100</v>
      </c>
      <c r="J4258">
        <v>2821090771</v>
      </c>
      <c r="K4258">
        <v>6977596274</v>
      </c>
      <c r="M4258" t="s">
        <v>7941</v>
      </c>
      <c r="N4258" t="s">
        <v>232</v>
      </c>
      <c r="O4258" t="s">
        <v>233</v>
      </c>
      <c r="R4258" t="s">
        <v>57</v>
      </c>
      <c r="S4258">
        <v>6</v>
      </c>
      <c r="T4258">
        <v>231</v>
      </c>
      <c r="U4258" s="1">
        <v>38960</v>
      </c>
      <c r="V4258" t="s">
        <v>6729</v>
      </c>
      <c r="W4258" t="s">
        <v>6730</v>
      </c>
      <c r="X4258" t="s">
        <v>58</v>
      </c>
      <c r="Y4258">
        <v>20</v>
      </c>
      <c r="Z4258" t="s">
        <v>59</v>
      </c>
      <c r="AA4258" t="s">
        <v>59</v>
      </c>
      <c r="AB4258" t="s">
        <v>59</v>
      </c>
      <c r="AC4258" t="s">
        <v>59</v>
      </c>
      <c r="AD4258" t="s">
        <v>59</v>
      </c>
      <c r="AF4258" s="1">
        <v>38964</v>
      </c>
      <c r="AG4258" t="s">
        <v>125</v>
      </c>
      <c r="AH4258" t="s">
        <v>126</v>
      </c>
      <c r="AI4258" t="str">
        <f>"5004020"</f>
        <v>5004020</v>
      </c>
      <c r="AJ4258" t="s">
        <v>6806</v>
      </c>
      <c r="AK4258">
        <v>2822022103</v>
      </c>
      <c r="AL4258" t="s">
        <v>6807</v>
      </c>
      <c r="AM4258" t="s">
        <v>88</v>
      </c>
      <c r="AN4258" t="s">
        <v>6744</v>
      </c>
      <c r="AO4258" t="s">
        <v>6744</v>
      </c>
      <c r="AP4258" t="s">
        <v>6744</v>
      </c>
      <c r="AQ4258">
        <v>1</v>
      </c>
      <c r="AR4258" t="s">
        <v>6729</v>
      </c>
      <c r="AS4258" t="s">
        <v>6730</v>
      </c>
      <c r="AT4258" t="s">
        <v>58</v>
      </c>
      <c r="AU4258" t="s">
        <v>68</v>
      </c>
      <c r="AV4258" t="s">
        <v>69</v>
      </c>
      <c r="AW4258" s="1">
        <v>25207</v>
      </c>
      <c r="AX4258">
        <v>2</v>
      </c>
    </row>
    <row r="4259" spans="1:50">
      <c r="A4259">
        <v>222399</v>
      </c>
      <c r="B4259" t="str">
        <f>"044967661"</f>
        <v>044967661</v>
      </c>
      <c r="C4259" t="s">
        <v>50</v>
      </c>
      <c r="D4259" t="s">
        <v>7940</v>
      </c>
      <c r="E4259" t="s">
        <v>181</v>
      </c>
      <c r="F4259" t="s">
        <v>166</v>
      </c>
      <c r="G4259" t="s">
        <v>143</v>
      </c>
      <c r="H4259" t="str">
        <f>" "</f>
        <v xml:space="preserve"> </v>
      </c>
      <c r="I4259">
        <v>73400</v>
      </c>
      <c r="J4259">
        <v>2822024422</v>
      </c>
      <c r="K4259">
        <v>6947528466</v>
      </c>
      <c r="M4259" t="s">
        <v>7942</v>
      </c>
      <c r="N4259" t="s">
        <v>146</v>
      </c>
      <c r="O4259" t="s">
        <v>147</v>
      </c>
      <c r="R4259" t="s">
        <v>57</v>
      </c>
      <c r="S4259">
        <v>6</v>
      </c>
      <c r="T4259">
        <v>775</v>
      </c>
      <c r="U4259" s="1">
        <v>39680</v>
      </c>
      <c r="V4259" t="s">
        <v>6729</v>
      </c>
      <c r="W4259" t="s">
        <v>6730</v>
      </c>
      <c r="X4259" t="s">
        <v>58</v>
      </c>
      <c r="Y4259">
        <v>20</v>
      </c>
      <c r="Z4259" t="s">
        <v>59</v>
      </c>
      <c r="AA4259" t="s">
        <v>59</v>
      </c>
      <c r="AB4259" t="s">
        <v>59</v>
      </c>
      <c r="AC4259" t="s">
        <v>59</v>
      </c>
      <c r="AD4259" t="s">
        <v>59</v>
      </c>
      <c r="AF4259" s="1">
        <v>39681</v>
      </c>
      <c r="AG4259" t="s">
        <v>125</v>
      </c>
      <c r="AH4259" t="s">
        <v>126</v>
      </c>
      <c r="AI4259" t="str">
        <f>"5004010"</f>
        <v>5004010</v>
      </c>
      <c r="AJ4259" t="s">
        <v>7166</v>
      </c>
      <c r="AK4259">
        <v>2822022067</v>
      </c>
      <c r="AL4259" t="s">
        <v>7167</v>
      </c>
      <c r="AM4259" t="s">
        <v>88</v>
      </c>
      <c r="AN4259" t="s">
        <v>6744</v>
      </c>
      <c r="AO4259" t="s">
        <v>6744</v>
      </c>
      <c r="AP4259" t="s">
        <v>6744</v>
      </c>
      <c r="AQ4259">
        <v>1</v>
      </c>
      <c r="AR4259" t="s">
        <v>6729</v>
      </c>
      <c r="AS4259" t="s">
        <v>6730</v>
      </c>
      <c r="AT4259" t="s">
        <v>58</v>
      </c>
      <c r="AU4259" t="s">
        <v>68</v>
      </c>
      <c r="AV4259" t="s">
        <v>69</v>
      </c>
      <c r="AW4259" s="1">
        <v>25634</v>
      </c>
      <c r="AX4259">
        <v>2</v>
      </c>
    </row>
    <row r="4260" spans="1:50">
      <c r="B4260" t="str">
        <f>"100615810"</f>
        <v>100615810</v>
      </c>
      <c r="C4260" t="s">
        <v>50</v>
      </c>
      <c r="D4260" t="s">
        <v>7940</v>
      </c>
      <c r="E4260" t="s">
        <v>541</v>
      </c>
      <c r="F4260" t="s">
        <v>95</v>
      </c>
      <c r="H4260" t="str">
        <f>"Καντανολέου 5 Παλιά πόλη"</f>
        <v>Καντανολέου 5 Παλιά πόλη</v>
      </c>
      <c r="J4260">
        <v>2821041685</v>
      </c>
      <c r="K4260">
        <v>6976974711</v>
      </c>
      <c r="M4260" t="s">
        <v>7943</v>
      </c>
      <c r="N4260" t="s">
        <v>447</v>
      </c>
      <c r="O4260" t="s">
        <v>448</v>
      </c>
      <c r="R4260" t="s">
        <v>159</v>
      </c>
      <c r="S4260">
        <v>3</v>
      </c>
      <c r="T4260" t="s">
        <v>344</v>
      </c>
      <c r="U4260" s="1">
        <v>43348</v>
      </c>
      <c r="V4260" t="s">
        <v>6729</v>
      </c>
      <c r="W4260" t="s">
        <v>6730</v>
      </c>
      <c r="X4260" t="s">
        <v>58</v>
      </c>
      <c r="Y4260">
        <v>23</v>
      </c>
      <c r="Z4260" t="s">
        <v>59</v>
      </c>
      <c r="AA4260" t="s">
        <v>59</v>
      </c>
      <c r="AB4260" t="s">
        <v>59</v>
      </c>
      <c r="AC4260" t="s">
        <v>59</v>
      </c>
      <c r="AD4260" t="s">
        <v>59</v>
      </c>
      <c r="AF4260" s="1">
        <v>43348</v>
      </c>
      <c r="AG4260" t="s">
        <v>125</v>
      </c>
      <c r="AH4260" t="s">
        <v>126</v>
      </c>
      <c r="AI4260" t="str">
        <f>"5011010"</f>
        <v>5011010</v>
      </c>
      <c r="AJ4260" t="s">
        <v>6877</v>
      </c>
      <c r="AK4260">
        <v>2821081330</v>
      </c>
      <c r="AL4260" t="s">
        <v>6878</v>
      </c>
      <c r="AM4260" t="s">
        <v>88</v>
      </c>
      <c r="AN4260" t="s">
        <v>88</v>
      </c>
      <c r="AO4260" t="s">
        <v>6748</v>
      </c>
      <c r="AP4260" t="s">
        <v>6748</v>
      </c>
      <c r="AQ4260">
        <v>1</v>
      </c>
      <c r="AR4260" t="s">
        <v>6729</v>
      </c>
      <c r="AS4260" t="s">
        <v>6730</v>
      </c>
      <c r="AT4260" t="s">
        <v>58</v>
      </c>
      <c r="AU4260" t="s">
        <v>350</v>
      </c>
      <c r="AV4260" t="s">
        <v>132</v>
      </c>
      <c r="AW4260" s="1">
        <v>31309</v>
      </c>
      <c r="AX4260">
        <v>2</v>
      </c>
    </row>
    <row r="4261" spans="1:50">
      <c r="A4261">
        <v>143690</v>
      </c>
      <c r="B4261" t="str">
        <f>"027372890"</f>
        <v>027372890</v>
      </c>
      <c r="C4261" t="s">
        <v>105</v>
      </c>
      <c r="D4261" t="s">
        <v>7944</v>
      </c>
      <c r="E4261" t="s">
        <v>2580</v>
      </c>
      <c r="F4261" t="s">
        <v>311</v>
      </c>
      <c r="G4261" t="s">
        <v>52</v>
      </c>
      <c r="H4261" t="str">
        <f>" "</f>
        <v xml:space="preserve"> </v>
      </c>
      <c r="N4261" t="s">
        <v>176</v>
      </c>
      <c r="O4261" t="s">
        <v>177</v>
      </c>
      <c r="R4261" t="s">
        <v>57</v>
      </c>
      <c r="S4261">
        <v>17</v>
      </c>
      <c r="T4261">
        <v>274</v>
      </c>
      <c r="U4261" s="1">
        <v>30550</v>
      </c>
      <c r="V4261" t="s">
        <v>6729</v>
      </c>
      <c r="W4261" t="s">
        <v>6730</v>
      </c>
      <c r="X4261" t="s">
        <v>58</v>
      </c>
      <c r="Y4261">
        <v>18</v>
      </c>
      <c r="Z4261" t="s">
        <v>59</v>
      </c>
      <c r="AA4261" t="s">
        <v>59</v>
      </c>
      <c r="AB4261" t="s">
        <v>59</v>
      </c>
      <c r="AC4261" t="s">
        <v>59</v>
      </c>
      <c r="AD4261" t="s">
        <v>59</v>
      </c>
      <c r="AF4261" s="1">
        <v>30560</v>
      </c>
      <c r="AG4261" t="s">
        <v>125</v>
      </c>
      <c r="AH4261" t="s">
        <v>126</v>
      </c>
      <c r="AI4261" t="str">
        <f>"5001010"</f>
        <v>5001010</v>
      </c>
      <c r="AJ4261" t="s">
        <v>6873</v>
      </c>
      <c r="AK4261">
        <v>2821052130</v>
      </c>
      <c r="AL4261" t="s">
        <v>6874</v>
      </c>
      <c r="AM4261" t="s">
        <v>88</v>
      </c>
      <c r="AN4261" t="s">
        <v>88</v>
      </c>
      <c r="AO4261" t="s">
        <v>88</v>
      </c>
      <c r="AP4261" t="s">
        <v>88</v>
      </c>
      <c r="AQ4261">
        <v>1</v>
      </c>
      <c r="AR4261" t="s">
        <v>6729</v>
      </c>
      <c r="AS4261" t="s">
        <v>6730</v>
      </c>
      <c r="AT4261" t="s">
        <v>58</v>
      </c>
      <c r="AU4261" t="s">
        <v>68</v>
      </c>
      <c r="AV4261" t="s">
        <v>69</v>
      </c>
      <c r="AW4261" s="1">
        <v>20974</v>
      </c>
      <c r="AX4261">
        <v>2</v>
      </c>
    </row>
    <row r="4262" spans="1:50">
      <c r="A4262">
        <v>184038</v>
      </c>
      <c r="B4262" t="str">
        <f>"037277150"</f>
        <v>037277150</v>
      </c>
      <c r="C4262" t="s">
        <v>105</v>
      </c>
      <c r="D4262" t="s">
        <v>7945</v>
      </c>
      <c r="E4262" t="s">
        <v>92</v>
      </c>
      <c r="F4262" t="s">
        <v>99</v>
      </c>
      <c r="G4262" t="s">
        <v>52</v>
      </c>
      <c r="H4262" t="str">
        <f>"ΠΛΑΤΩΝΟΣ 4Γ ΧΑΝΙΩΝ"</f>
        <v>ΠΛΑΤΩΝΟΣ 4Γ ΧΑΝΙΩΝ</v>
      </c>
      <c r="I4262">
        <v>73132</v>
      </c>
      <c r="J4262">
        <v>2821045901</v>
      </c>
      <c r="K4262">
        <v>6944974454</v>
      </c>
      <c r="M4262" t="s">
        <v>7946</v>
      </c>
      <c r="N4262" t="s">
        <v>199</v>
      </c>
      <c r="O4262" t="s">
        <v>200</v>
      </c>
      <c r="R4262" t="s">
        <v>57</v>
      </c>
      <c r="S4262">
        <v>9</v>
      </c>
      <c r="T4262">
        <v>177</v>
      </c>
      <c r="U4262" s="1">
        <v>36403</v>
      </c>
      <c r="V4262" t="s">
        <v>6729</v>
      </c>
      <c r="W4262" t="s">
        <v>6730</v>
      </c>
      <c r="X4262" t="s">
        <v>58</v>
      </c>
      <c r="Y4262">
        <v>20</v>
      </c>
      <c r="Z4262" t="s">
        <v>59</v>
      </c>
      <c r="AA4262" t="s">
        <v>59</v>
      </c>
      <c r="AB4262" t="s">
        <v>59</v>
      </c>
      <c r="AC4262" t="s">
        <v>59</v>
      </c>
      <c r="AD4262" t="s">
        <v>59</v>
      </c>
      <c r="AF4262" s="1">
        <v>36411</v>
      </c>
      <c r="AG4262" t="s">
        <v>125</v>
      </c>
      <c r="AH4262" t="s">
        <v>126</v>
      </c>
      <c r="AI4262" t="str">
        <f>"5001072"</f>
        <v>5001072</v>
      </c>
      <c r="AJ4262" t="s">
        <v>6922</v>
      </c>
      <c r="AK4262">
        <v>2821055471</v>
      </c>
      <c r="AL4262" t="s">
        <v>6923</v>
      </c>
      <c r="AM4262" t="s">
        <v>88</v>
      </c>
      <c r="AN4262" t="s">
        <v>88</v>
      </c>
      <c r="AO4262" t="s">
        <v>88</v>
      </c>
      <c r="AP4262" t="s">
        <v>88</v>
      </c>
      <c r="AQ4262">
        <v>1</v>
      </c>
      <c r="AR4262" t="s">
        <v>6729</v>
      </c>
      <c r="AS4262" t="s">
        <v>6730</v>
      </c>
      <c r="AT4262" t="s">
        <v>58</v>
      </c>
      <c r="AU4262" t="s">
        <v>68</v>
      </c>
      <c r="AV4262" t="s">
        <v>69</v>
      </c>
      <c r="AW4262" s="1">
        <v>21063</v>
      </c>
      <c r="AX4262">
        <v>2</v>
      </c>
    </row>
    <row r="4263" spans="1:50">
      <c r="A4263">
        <v>173106</v>
      </c>
      <c r="B4263" t="str">
        <f>"042410605"</f>
        <v>042410605</v>
      </c>
      <c r="C4263" t="s">
        <v>105</v>
      </c>
      <c r="D4263" t="s">
        <v>7947</v>
      </c>
      <c r="E4263" t="s">
        <v>166</v>
      </c>
      <c r="F4263" t="s">
        <v>95</v>
      </c>
      <c r="G4263" t="s">
        <v>382</v>
      </c>
      <c r="H4263" t="str">
        <f>" "</f>
        <v xml:space="preserve"> </v>
      </c>
      <c r="N4263" t="s">
        <v>6374</v>
      </c>
      <c r="O4263" t="s">
        <v>6375</v>
      </c>
      <c r="R4263" t="s">
        <v>57</v>
      </c>
      <c r="S4263">
        <v>12</v>
      </c>
      <c r="T4263">
        <v>166</v>
      </c>
      <c r="U4263" s="1">
        <v>35300</v>
      </c>
      <c r="V4263" t="s">
        <v>6729</v>
      </c>
      <c r="W4263" t="s">
        <v>6730</v>
      </c>
      <c r="X4263" t="s">
        <v>58</v>
      </c>
      <c r="Y4263">
        <v>18</v>
      </c>
      <c r="Z4263" t="s">
        <v>59</v>
      </c>
      <c r="AA4263" t="s">
        <v>59</v>
      </c>
      <c r="AB4263" t="s">
        <v>59</v>
      </c>
      <c r="AC4263" t="s">
        <v>59</v>
      </c>
      <c r="AD4263" t="s">
        <v>59</v>
      </c>
      <c r="AF4263" s="1">
        <v>35310</v>
      </c>
      <c r="AG4263" t="s">
        <v>137</v>
      </c>
      <c r="AH4263" t="s">
        <v>469</v>
      </c>
      <c r="AI4263" t="str">
        <f>"5040055"</f>
        <v>5040055</v>
      </c>
      <c r="AJ4263" t="s">
        <v>6940</v>
      </c>
      <c r="AK4263">
        <v>2821036404</v>
      </c>
      <c r="AL4263" t="s">
        <v>6941</v>
      </c>
      <c r="AM4263" t="s">
        <v>88</v>
      </c>
      <c r="AN4263" t="s">
        <v>88</v>
      </c>
      <c r="AO4263" t="s">
        <v>88</v>
      </c>
      <c r="AP4263" t="s">
        <v>88</v>
      </c>
      <c r="AQ4263">
        <v>1</v>
      </c>
      <c r="AR4263" t="s">
        <v>6729</v>
      </c>
      <c r="AS4263" t="s">
        <v>6730</v>
      </c>
      <c r="AT4263" t="s">
        <v>58</v>
      </c>
      <c r="AU4263" t="s">
        <v>68</v>
      </c>
      <c r="AV4263" t="s">
        <v>69</v>
      </c>
      <c r="AW4263" s="1">
        <v>22728</v>
      </c>
      <c r="AX4263">
        <v>2</v>
      </c>
    </row>
    <row r="4264" spans="1:50">
      <c r="A4264">
        <v>159924</v>
      </c>
      <c r="B4264" t="str">
        <f>"023754630"</f>
        <v>023754630</v>
      </c>
      <c r="C4264" t="s">
        <v>105</v>
      </c>
      <c r="D4264" t="s">
        <v>7948</v>
      </c>
      <c r="E4264" t="s">
        <v>154</v>
      </c>
      <c r="F4264" t="s">
        <v>72</v>
      </c>
      <c r="G4264" t="s">
        <v>93</v>
      </c>
      <c r="H4264" t="str">
        <f>" "</f>
        <v xml:space="preserve"> </v>
      </c>
      <c r="N4264" t="s">
        <v>292</v>
      </c>
      <c r="O4264" t="s">
        <v>293</v>
      </c>
      <c r="R4264" t="s">
        <v>57</v>
      </c>
      <c r="S4264">
        <v>15</v>
      </c>
      <c r="T4264">
        <v>161</v>
      </c>
      <c r="U4264" s="1">
        <v>33119</v>
      </c>
      <c r="V4264" t="s">
        <v>6729</v>
      </c>
      <c r="W4264" t="s">
        <v>6730</v>
      </c>
      <c r="X4264" t="s">
        <v>58</v>
      </c>
      <c r="Y4264">
        <v>18</v>
      </c>
      <c r="Z4264" t="s">
        <v>59</v>
      </c>
      <c r="AA4264" t="s">
        <v>59</v>
      </c>
      <c r="AB4264" t="s">
        <v>59</v>
      </c>
      <c r="AC4264" t="s">
        <v>59</v>
      </c>
      <c r="AD4264" t="s">
        <v>59</v>
      </c>
      <c r="AF4264" s="1">
        <v>33121</v>
      </c>
      <c r="AG4264" t="s">
        <v>125</v>
      </c>
      <c r="AH4264" t="s">
        <v>126</v>
      </c>
      <c r="AI4264" t="str">
        <f>"5007010"</f>
        <v>5007010</v>
      </c>
      <c r="AJ4264" t="s">
        <v>6797</v>
      </c>
      <c r="AK4264">
        <v>2824022241</v>
      </c>
      <c r="AL4264" t="s">
        <v>6798</v>
      </c>
      <c r="AM4264" t="s">
        <v>88</v>
      </c>
      <c r="AN4264" t="s">
        <v>6764</v>
      </c>
      <c r="AO4264" t="s">
        <v>6799</v>
      </c>
      <c r="AP4264" t="s">
        <v>6799</v>
      </c>
      <c r="AQ4264">
        <v>1</v>
      </c>
      <c r="AR4264" t="s">
        <v>6729</v>
      </c>
      <c r="AS4264" t="s">
        <v>6730</v>
      </c>
      <c r="AT4264" t="s">
        <v>58</v>
      </c>
      <c r="AU4264" t="s">
        <v>68</v>
      </c>
      <c r="AV4264" t="s">
        <v>69</v>
      </c>
      <c r="AW4264" s="1">
        <v>20432</v>
      </c>
      <c r="AX4264">
        <v>2</v>
      </c>
    </row>
    <row r="4265" spans="1:50">
      <c r="A4265">
        <v>169922</v>
      </c>
      <c r="B4265" t="str">
        <f>"039074004"</f>
        <v>039074004</v>
      </c>
      <c r="C4265" t="s">
        <v>50</v>
      </c>
      <c r="D4265" t="s">
        <v>7949</v>
      </c>
      <c r="E4265" t="s">
        <v>255</v>
      </c>
      <c r="F4265" t="s">
        <v>718</v>
      </c>
      <c r="G4265" t="s">
        <v>52</v>
      </c>
      <c r="H4265" t="str">
        <f>" "</f>
        <v xml:space="preserve"> </v>
      </c>
      <c r="J4265">
        <v>2821047988</v>
      </c>
      <c r="K4265">
        <v>6932863146</v>
      </c>
      <c r="M4265" t="s">
        <v>7950</v>
      </c>
      <c r="N4265" t="s">
        <v>146</v>
      </c>
      <c r="O4265" t="s">
        <v>147</v>
      </c>
      <c r="R4265" t="s">
        <v>57</v>
      </c>
      <c r="S4265">
        <v>11</v>
      </c>
      <c r="T4265">
        <v>184</v>
      </c>
      <c r="U4265" s="1">
        <v>34941</v>
      </c>
      <c r="V4265" t="s">
        <v>6729</v>
      </c>
      <c r="W4265" t="s">
        <v>6730</v>
      </c>
      <c r="X4265" t="s">
        <v>58</v>
      </c>
      <c r="Y4265">
        <v>18</v>
      </c>
      <c r="Z4265" t="s">
        <v>59</v>
      </c>
      <c r="AA4265" t="s">
        <v>59</v>
      </c>
      <c r="AB4265" t="s">
        <v>59</v>
      </c>
      <c r="AC4265" t="s">
        <v>59</v>
      </c>
      <c r="AD4265" t="s">
        <v>59</v>
      </c>
      <c r="AF4265" s="1">
        <v>34941</v>
      </c>
      <c r="AG4265" t="s">
        <v>125</v>
      </c>
      <c r="AH4265" t="s">
        <v>294</v>
      </c>
      <c r="AI4265" t="str">
        <f>"5012017"</f>
        <v>5012017</v>
      </c>
      <c r="AJ4265" t="s">
        <v>6859</v>
      </c>
      <c r="AK4265">
        <v>2821088065</v>
      </c>
      <c r="AL4265" t="s">
        <v>6860</v>
      </c>
      <c r="AM4265" t="s">
        <v>88</v>
      </c>
      <c r="AN4265" t="s">
        <v>88</v>
      </c>
      <c r="AO4265" t="s">
        <v>88</v>
      </c>
      <c r="AP4265" t="s">
        <v>88</v>
      </c>
      <c r="AQ4265">
        <v>1</v>
      </c>
      <c r="AR4265" t="s">
        <v>6729</v>
      </c>
      <c r="AS4265" t="s">
        <v>6730</v>
      </c>
      <c r="AT4265" t="s">
        <v>58</v>
      </c>
      <c r="AU4265" t="s">
        <v>68</v>
      </c>
      <c r="AV4265" t="s">
        <v>69</v>
      </c>
      <c r="AW4265" s="1">
        <v>23871</v>
      </c>
      <c r="AX4265">
        <v>2</v>
      </c>
    </row>
    <row r="4266" spans="1:50">
      <c r="A4266">
        <v>154007</v>
      </c>
      <c r="B4266" t="str">
        <f>"029049012"</f>
        <v>029049012</v>
      </c>
      <c r="C4266" t="s">
        <v>50</v>
      </c>
      <c r="D4266" t="s">
        <v>7951</v>
      </c>
      <c r="E4266" t="s">
        <v>1179</v>
      </c>
      <c r="F4266" t="s">
        <v>99</v>
      </c>
      <c r="G4266" t="s">
        <v>83</v>
      </c>
      <c r="H4266" t="str">
        <f>"ΕΛ.ΒΕΝΙΖΕΛΟΥ 96 ΧΑΝΙΩΝ"</f>
        <v>ΕΛ.ΒΕΝΙΖΕΛΟΥ 96 ΧΑΝΙΩΝ</v>
      </c>
      <c r="I4266">
        <v>73100</v>
      </c>
      <c r="J4266">
        <v>2821056826</v>
      </c>
      <c r="K4266">
        <v>6982611109</v>
      </c>
      <c r="M4266" t="s">
        <v>7952</v>
      </c>
      <c r="N4266" t="s">
        <v>146</v>
      </c>
      <c r="O4266" t="s">
        <v>147</v>
      </c>
      <c r="R4266" t="s">
        <v>57</v>
      </c>
      <c r="S4266">
        <v>18</v>
      </c>
      <c r="T4266">
        <v>161</v>
      </c>
      <c r="U4266" s="1">
        <v>32387</v>
      </c>
      <c r="V4266" t="s">
        <v>6729</v>
      </c>
      <c r="W4266" t="s">
        <v>6730</v>
      </c>
      <c r="X4266" t="s">
        <v>58</v>
      </c>
      <c r="Y4266">
        <v>18</v>
      </c>
      <c r="Z4266" t="s">
        <v>59</v>
      </c>
      <c r="AA4266" t="s">
        <v>59</v>
      </c>
      <c r="AB4266" t="s">
        <v>59</v>
      </c>
      <c r="AC4266" t="s">
        <v>59</v>
      </c>
      <c r="AD4266" t="s">
        <v>59</v>
      </c>
      <c r="AF4266" s="1">
        <v>32391</v>
      </c>
      <c r="AG4266" t="s">
        <v>125</v>
      </c>
      <c r="AH4266" t="s">
        <v>126</v>
      </c>
      <c r="AI4266" t="str">
        <f>"5011010"</f>
        <v>5011010</v>
      </c>
      <c r="AJ4266" t="s">
        <v>6877</v>
      </c>
      <c r="AK4266">
        <v>2821081330</v>
      </c>
      <c r="AL4266" t="s">
        <v>6878</v>
      </c>
      <c r="AM4266" t="s">
        <v>88</v>
      </c>
      <c r="AN4266" t="s">
        <v>88</v>
      </c>
      <c r="AO4266" t="s">
        <v>6748</v>
      </c>
      <c r="AP4266" t="s">
        <v>6748</v>
      </c>
      <c r="AQ4266">
        <v>1</v>
      </c>
      <c r="AR4266" t="s">
        <v>6729</v>
      </c>
      <c r="AS4266" t="s">
        <v>6730</v>
      </c>
      <c r="AT4266" t="s">
        <v>58</v>
      </c>
      <c r="AU4266" t="s">
        <v>68</v>
      </c>
      <c r="AV4266" t="s">
        <v>69</v>
      </c>
      <c r="AW4266" s="1">
        <v>22447</v>
      </c>
      <c r="AX4266">
        <v>2</v>
      </c>
    </row>
    <row r="4267" spans="1:50">
      <c r="B4267" t="str">
        <f>"133890626"</f>
        <v>133890626</v>
      </c>
      <c r="C4267" t="s">
        <v>50</v>
      </c>
      <c r="D4267" t="s">
        <v>7953</v>
      </c>
      <c r="E4267" t="s">
        <v>460</v>
      </c>
      <c r="F4267" t="s">
        <v>99</v>
      </c>
      <c r="G4267" t="s">
        <v>83</v>
      </c>
      <c r="H4267" t="str">
        <f>" "</f>
        <v xml:space="preserve"> </v>
      </c>
      <c r="K4267">
        <v>6938847530</v>
      </c>
      <c r="N4267" t="s">
        <v>536</v>
      </c>
      <c r="O4267" t="s">
        <v>537</v>
      </c>
      <c r="R4267" t="s">
        <v>159</v>
      </c>
      <c r="S4267">
        <v>3</v>
      </c>
      <c r="T4267" t="s">
        <v>344</v>
      </c>
      <c r="U4267" s="1">
        <v>43348</v>
      </c>
      <c r="V4267" t="s">
        <v>6729</v>
      </c>
      <c r="W4267" t="s">
        <v>6730</v>
      </c>
      <c r="X4267" t="s">
        <v>58</v>
      </c>
      <c r="Y4267">
        <v>23</v>
      </c>
      <c r="Z4267" t="s">
        <v>59</v>
      </c>
      <c r="AA4267" t="s">
        <v>59</v>
      </c>
      <c r="AB4267" t="s">
        <v>59</v>
      </c>
      <c r="AD4267" t="s">
        <v>59</v>
      </c>
      <c r="AF4267" s="1">
        <v>43348</v>
      </c>
      <c r="AG4267" t="s">
        <v>345</v>
      </c>
      <c r="AH4267" t="s">
        <v>346</v>
      </c>
      <c r="AI4267" t="str">
        <f>"5041001"</f>
        <v>5041001</v>
      </c>
      <c r="AJ4267" t="s">
        <v>6840</v>
      </c>
      <c r="AK4267">
        <v>2821052100</v>
      </c>
      <c r="AL4267" t="s">
        <v>6841</v>
      </c>
      <c r="AM4267" t="s">
        <v>88</v>
      </c>
      <c r="AN4267" t="s">
        <v>88</v>
      </c>
      <c r="AO4267" t="s">
        <v>88</v>
      </c>
      <c r="AP4267" t="s">
        <v>88</v>
      </c>
      <c r="AQ4267">
        <v>1</v>
      </c>
      <c r="AR4267" t="s">
        <v>6729</v>
      </c>
      <c r="AS4267" t="s">
        <v>6730</v>
      </c>
      <c r="AT4267" t="s">
        <v>58</v>
      </c>
      <c r="AU4267" t="s">
        <v>350</v>
      </c>
      <c r="AV4267" t="s">
        <v>132</v>
      </c>
      <c r="AW4267" s="1">
        <v>31385</v>
      </c>
      <c r="AX4267">
        <v>2</v>
      </c>
    </row>
    <row r="4268" spans="1:50">
      <c r="A4268">
        <v>199125</v>
      </c>
      <c r="B4268" t="str">
        <f>"044293103"</f>
        <v>044293103</v>
      </c>
      <c r="C4268" t="s">
        <v>105</v>
      </c>
      <c r="D4268" t="s">
        <v>7954</v>
      </c>
      <c r="E4268" t="s">
        <v>1062</v>
      </c>
      <c r="F4268" t="s">
        <v>72</v>
      </c>
      <c r="G4268" t="s">
        <v>1001</v>
      </c>
      <c r="H4268" t="str">
        <f>"ΜΠΑΦΡΑΣ 23 ΓΙΑΝΝΙΤΣΑ"</f>
        <v>ΜΠΑΦΡΑΣ 23 ΓΙΑΝΝΙΤΣΑ</v>
      </c>
      <c r="I4268">
        <v>58100</v>
      </c>
      <c r="J4268">
        <v>2382029669</v>
      </c>
      <c r="K4268">
        <v>6932343410</v>
      </c>
      <c r="N4268" t="s">
        <v>176</v>
      </c>
      <c r="O4268" t="s">
        <v>177</v>
      </c>
      <c r="R4268" t="s">
        <v>57</v>
      </c>
      <c r="S4268">
        <v>10</v>
      </c>
      <c r="T4268">
        <v>206</v>
      </c>
      <c r="U4268" s="1">
        <v>37866</v>
      </c>
      <c r="V4268" t="s">
        <v>6729</v>
      </c>
      <c r="W4268" t="s">
        <v>6730</v>
      </c>
      <c r="X4268" t="s">
        <v>58</v>
      </c>
      <c r="Y4268">
        <v>18</v>
      </c>
      <c r="Z4268" t="s">
        <v>59</v>
      </c>
      <c r="AA4268" t="s">
        <v>59</v>
      </c>
      <c r="AB4268" t="s">
        <v>59</v>
      </c>
      <c r="AC4268" t="s">
        <v>59</v>
      </c>
      <c r="AD4268" t="s">
        <v>59</v>
      </c>
      <c r="AF4268" s="1">
        <v>37866</v>
      </c>
      <c r="AG4268" t="s">
        <v>125</v>
      </c>
      <c r="AH4268" t="s">
        <v>126</v>
      </c>
      <c r="AI4268" t="str">
        <f>"5001072"</f>
        <v>5001072</v>
      </c>
      <c r="AJ4268" t="s">
        <v>6922</v>
      </c>
      <c r="AK4268">
        <v>2821055471</v>
      </c>
      <c r="AL4268" t="s">
        <v>6923</v>
      </c>
      <c r="AM4268" t="s">
        <v>88</v>
      </c>
      <c r="AN4268" t="s">
        <v>88</v>
      </c>
      <c r="AO4268" t="s">
        <v>88</v>
      </c>
      <c r="AP4268" t="s">
        <v>88</v>
      </c>
      <c r="AQ4268">
        <v>1</v>
      </c>
      <c r="AR4268" t="s">
        <v>6729</v>
      </c>
      <c r="AS4268" t="s">
        <v>6730</v>
      </c>
      <c r="AT4268" t="s">
        <v>58</v>
      </c>
      <c r="AU4268" t="s">
        <v>68</v>
      </c>
      <c r="AV4268" t="s">
        <v>69</v>
      </c>
      <c r="AW4268" s="1">
        <v>22906</v>
      </c>
      <c r="AX4268">
        <v>2</v>
      </c>
    </row>
    <row r="4269" spans="1:50">
      <c r="A4269">
        <v>201778</v>
      </c>
      <c r="B4269" t="str">
        <f>"073809101"</f>
        <v>073809101</v>
      </c>
      <c r="C4269" t="s">
        <v>105</v>
      </c>
      <c r="D4269" t="s">
        <v>2957</v>
      </c>
      <c r="E4269" t="s">
        <v>95</v>
      </c>
      <c r="F4269" t="s">
        <v>900</v>
      </c>
      <c r="G4269" t="s">
        <v>4602</v>
      </c>
      <c r="H4269" t="str">
        <f>" "</f>
        <v xml:space="preserve"> </v>
      </c>
      <c r="J4269">
        <v>2810325216</v>
      </c>
      <c r="K4269">
        <v>6972218489</v>
      </c>
      <c r="N4269" t="s">
        <v>146</v>
      </c>
      <c r="O4269" t="s">
        <v>147</v>
      </c>
      <c r="R4269" t="s">
        <v>57</v>
      </c>
      <c r="S4269">
        <v>9</v>
      </c>
      <c r="T4269">
        <v>231</v>
      </c>
      <c r="U4269" s="1">
        <v>38230</v>
      </c>
      <c r="V4269" t="s">
        <v>6729</v>
      </c>
      <c r="W4269" t="s">
        <v>6730</v>
      </c>
      <c r="X4269" t="s">
        <v>58</v>
      </c>
      <c r="Y4269">
        <v>20</v>
      </c>
      <c r="Z4269" t="s">
        <v>59</v>
      </c>
      <c r="AA4269" t="s">
        <v>59</v>
      </c>
      <c r="AB4269" t="s">
        <v>59</v>
      </c>
      <c r="AC4269" t="s">
        <v>59</v>
      </c>
      <c r="AD4269" t="s">
        <v>59</v>
      </c>
      <c r="AF4269" s="1">
        <v>38238</v>
      </c>
      <c r="AG4269" t="s">
        <v>148</v>
      </c>
      <c r="AH4269" t="s">
        <v>149</v>
      </c>
      <c r="AI4269" t="str">
        <f>"5062010"</f>
        <v>5062010</v>
      </c>
      <c r="AJ4269" t="s">
        <v>6783</v>
      </c>
      <c r="AK4269">
        <v>2821031620</v>
      </c>
      <c r="AL4269" t="s">
        <v>6784</v>
      </c>
      <c r="AM4269" t="s">
        <v>88</v>
      </c>
      <c r="AN4269" t="s">
        <v>88</v>
      </c>
      <c r="AO4269" t="s">
        <v>6785</v>
      </c>
      <c r="AP4269" t="s">
        <v>6786</v>
      </c>
      <c r="AQ4269">
        <v>1</v>
      </c>
      <c r="AR4269" t="s">
        <v>6729</v>
      </c>
      <c r="AS4269" t="s">
        <v>6730</v>
      </c>
      <c r="AT4269" t="s">
        <v>58</v>
      </c>
      <c r="AU4269" t="s">
        <v>68</v>
      </c>
      <c r="AV4269" t="s">
        <v>69</v>
      </c>
      <c r="AW4269" s="1">
        <v>24711</v>
      </c>
      <c r="AX4269">
        <v>2</v>
      </c>
    </row>
    <row r="4270" spans="1:50">
      <c r="A4270">
        <v>218100</v>
      </c>
      <c r="B4270" t="str">
        <f>"101582776"</f>
        <v>101582776</v>
      </c>
      <c r="C4270" t="s">
        <v>50</v>
      </c>
      <c r="D4270" t="s">
        <v>2961</v>
      </c>
      <c r="E4270" t="s">
        <v>109</v>
      </c>
      <c r="F4270" t="s">
        <v>72</v>
      </c>
      <c r="G4270" t="s">
        <v>52</v>
      </c>
      <c r="H4270" t="str">
        <f>" "</f>
        <v xml:space="preserve"> </v>
      </c>
      <c r="J4270">
        <v>2821058329</v>
      </c>
      <c r="K4270">
        <v>6945897597</v>
      </c>
      <c r="N4270" t="s">
        <v>292</v>
      </c>
      <c r="O4270" t="s">
        <v>293</v>
      </c>
      <c r="R4270" t="s">
        <v>57</v>
      </c>
      <c r="S4270">
        <v>6</v>
      </c>
      <c r="T4270">
        <v>599</v>
      </c>
      <c r="U4270" s="1">
        <v>39310</v>
      </c>
      <c r="V4270" t="s">
        <v>6729</v>
      </c>
      <c r="W4270" t="s">
        <v>6730</v>
      </c>
      <c r="X4270" t="s">
        <v>58</v>
      </c>
      <c r="Y4270">
        <v>20</v>
      </c>
      <c r="Z4270" t="s">
        <v>59</v>
      </c>
      <c r="AA4270" t="s">
        <v>59</v>
      </c>
      <c r="AB4270" t="s">
        <v>59</v>
      </c>
      <c r="AC4270" t="s">
        <v>59</v>
      </c>
      <c r="AD4270" t="s">
        <v>59</v>
      </c>
      <c r="AF4270" s="1">
        <v>39328</v>
      </c>
      <c r="AG4270" t="s">
        <v>137</v>
      </c>
      <c r="AH4270" t="s">
        <v>469</v>
      </c>
      <c r="AI4270" t="str">
        <f>"5040055"</f>
        <v>5040055</v>
      </c>
      <c r="AJ4270" t="s">
        <v>6940</v>
      </c>
      <c r="AK4270">
        <v>2821036404</v>
      </c>
      <c r="AL4270" t="s">
        <v>6941</v>
      </c>
      <c r="AM4270" t="s">
        <v>88</v>
      </c>
      <c r="AN4270" t="s">
        <v>88</v>
      </c>
      <c r="AO4270" t="s">
        <v>88</v>
      </c>
      <c r="AP4270" t="s">
        <v>88</v>
      </c>
      <c r="AQ4270">
        <v>1</v>
      </c>
      <c r="AR4270" t="s">
        <v>6729</v>
      </c>
      <c r="AS4270" t="s">
        <v>6730</v>
      </c>
      <c r="AT4270" t="s">
        <v>58</v>
      </c>
      <c r="AU4270" t="s">
        <v>68</v>
      </c>
      <c r="AV4270" t="s">
        <v>1092</v>
      </c>
      <c r="AW4270" s="1">
        <v>23890</v>
      </c>
      <c r="AX4270">
        <v>2</v>
      </c>
    </row>
    <row r="4271" spans="1:50">
      <c r="A4271">
        <v>214410</v>
      </c>
      <c r="B4271" t="str">
        <f>"078020084"</f>
        <v>078020084</v>
      </c>
      <c r="C4271" t="s">
        <v>50</v>
      </c>
      <c r="D4271" t="s">
        <v>2961</v>
      </c>
      <c r="E4271" t="s">
        <v>181</v>
      </c>
      <c r="F4271" t="s">
        <v>7955</v>
      </c>
      <c r="G4271" t="s">
        <v>563</v>
      </c>
      <c r="H4271" t="str">
        <f>" "</f>
        <v xml:space="preserve"> </v>
      </c>
      <c r="J4271">
        <v>2825095450</v>
      </c>
      <c r="K4271">
        <v>6977541883</v>
      </c>
      <c r="M4271" t="s">
        <v>7956</v>
      </c>
      <c r="N4271" t="s">
        <v>257</v>
      </c>
      <c r="O4271" t="s">
        <v>258</v>
      </c>
      <c r="R4271" t="s">
        <v>57</v>
      </c>
      <c r="S4271">
        <v>9</v>
      </c>
      <c r="T4271">
        <v>231</v>
      </c>
      <c r="U4271" s="1">
        <v>38960</v>
      </c>
      <c r="V4271" t="s">
        <v>6729</v>
      </c>
      <c r="W4271" t="s">
        <v>6730</v>
      </c>
      <c r="X4271" t="s">
        <v>58</v>
      </c>
      <c r="Y4271">
        <v>20</v>
      </c>
      <c r="Z4271" t="s">
        <v>59</v>
      </c>
      <c r="AA4271" t="s">
        <v>59</v>
      </c>
      <c r="AB4271" t="s">
        <v>59</v>
      </c>
      <c r="AC4271" t="s">
        <v>59</v>
      </c>
      <c r="AD4271" t="s">
        <v>59</v>
      </c>
      <c r="AF4271" s="1">
        <v>38961</v>
      </c>
      <c r="AG4271" t="s">
        <v>148</v>
      </c>
      <c r="AH4271" t="s">
        <v>149</v>
      </c>
      <c r="AI4271" t="str">
        <f>"5054010"</f>
        <v>5054010</v>
      </c>
      <c r="AJ4271" t="s">
        <v>6815</v>
      </c>
      <c r="AK4271">
        <v>2822022671</v>
      </c>
      <c r="AL4271" t="s">
        <v>6816</v>
      </c>
      <c r="AM4271" t="s">
        <v>88</v>
      </c>
      <c r="AN4271" t="s">
        <v>6744</v>
      </c>
      <c r="AO4271" t="s">
        <v>6744</v>
      </c>
      <c r="AP4271" t="s">
        <v>6744</v>
      </c>
      <c r="AQ4271">
        <v>1</v>
      </c>
      <c r="AR4271" t="s">
        <v>6729</v>
      </c>
      <c r="AS4271" t="s">
        <v>6730</v>
      </c>
      <c r="AT4271" t="s">
        <v>58</v>
      </c>
      <c r="AU4271" t="s">
        <v>68</v>
      </c>
      <c r="AV4271" t="s">
        <v>69</v>
      </c>
      <c r="AW4271" s="1">
        <v>26606</v>
      </c>
      <c r="AX4271">
        <v>2</v>
      </c>
    </row>
    <row r="4272" spans="1:50">
      <c r="A4272">
        <v>202908</v>
      </c>
      <c r="B4272" t="str">
        <f>"113174620"</f>
        <v>113174620</v>
      </c>
      <c r="C4272" t="s">
        <v>50</v>
      </c>
      <c r="D4272" t="s">
        <v>2966</v>
      </c>
      <c r="E4272" t="s">
        <v>250</v>
      </c>
      <c r="F4272" t="s">
        <v>1286</v>
      </c>
      <c r="G4272" t="s">
        <v>255</v>
      </c>
      <c r="H4272" t="str">
        <f>" "</f>
        <v xml:space="preserve"> </v>
      </c>
      <c r="J4272">
        <v>2821079185</v>
      </c>
      <c r="K4272">
        <v>6974826207</v>
      </c>
      <c r="N4272" t="s">
        <v>246</v>
      </c>
      <c r="O4272" t="s">
        <v>247</v>
      </c>
      <c r="R4272" t="s">
        <v>57</v>
      </c>
      <c r="S4272">
        <v>9</v>
      </c>
      <c r="T4272">
        <v>231</v>
      </c>
      <c r="U4272" s="1">
        <v>38230</v>
      </c>
      <c r="V4272" t="s">
        <v>6729</v>
      </c>
      <c r="W4272" t="s">
        <v>6730</v>
      </c>
      <c r="X4272" t="s">
        <v>58</v>
      </c>
      <c r="Y4272">
        <v>20</v>
      </c>
      <c r="Z4272" t="s">
        <v>59</v>
      </c>
      <c r="AA4272" t="s">
        <v>59</v>
      </c>
      <c r="AB4272" t="s">
        <v>59</v>
      </c>
      <c r="AC4272" t="s">
        <v>59</v>
      </c>
      <c r="AD4272" t="s">
        <v>59</v>
      </c>
      <c r="AF4272" s="1">
        <v>38233</v>
      </c>
      <c r="AG4272" t="s">
        <v>148</v>
      </c>
      <c r="AH4272" t="s">
        <v>149</v>
      </c>
      <c r="AI4272" t="str">
        <f>"5061010"</f>
        <v>5061010</v>
      </c>
      <c r="AJ4272" t="s">
        <v>6746</v>
      </c>
      <c r="AK4272">
        <v>2821081530</v>
      </c>
      <c r="AL4272" t="s">
        <v>6747</v>
      </c>
      <c r="AM4272" t="s">
        <v>88</v>
      </c>
      <c r="AN4272" t="s">
        <v>88</v>
      </c>
      <c r="AO4272" t="s">
        <v>6748</v>
      </c>
      <c r="AP4272" t="s">
        <v>6748</v>
      </c>
      <c r="AQ4272">
        <v>1</v>
      </c>
      <c r="AR4272" t="s">
        <v>6729</v>
      </c>
      <c r="AS4272" t="s">
        <v>6730</v>
      </c>
      <c r="AT4272" t="s">
        <v>58</v>
      </c>
      <c r="AU4272" t="s">
        <v>68</v>
      </c>
      <c r="AV4272" t="s">
        <v>69</v>
      </c>
      <c r="AW4272" s="1">
        <v>26779</v>
      </c>
      <c r="AX4272">
        <v>2</v>
      </c>
    </row>
    <row r="4273" spans="1:50">
      <c r="B4273" t="str">
        <f>"076926279"</f>
        <v>076926279</v>
      </c>
      <c r="C4273" t="s">
        <v>50</v>
      </c>
      <c r="D4273" t="s">
        <v>2966</v>
      </c>
      <c r="E4273" t="s">
        <v>1029</v>
      </c>
      <c r="F4273" t="s">
        <v>95</v>
      </c>
      <c r="G4273" t="s">
        <v>801</v>
      </c>
      <c r="H4273" t="str">
        <f>"ΔΙΟΝΥΣΟΥ 54 - ΑΡΟΗ ΠΑΤΡΑ"</f>
        <v>ΔΙΟΝΥΣΟΥ 54 - ΑΡΟΗ ΠΑΤΡΑ</v>
      </c>
      <c r="I4273">
        <v>26331</v>
      </c>
      <c r="J4273">
        <v>2610623123</v>
      </c>
      <c r="K4273">
        <v>6937193858</v>
      </c>
      <c r="N4273" t="s">
        <v>1116</v>
      </c>
      <c r="O4273" t="s">
        <v>1117</v>
      </c>
      <c r="R4273" t="s">
        <v>159</v>
      </c>
      <c r="S4273">
        <v>4</v>
      </c>
      <c r="T4273" t="s">
        <v>1908</v>
      </c>
      <c r="U4273" s="1">
        <v>43368</v>
      </c>
      <c r="V4273" t="s">
        <v>6729</v>
      </c>
      <c r="W4273" t="s">
        <v>6730</v>
      </c>
      <c r="X4273" t="s">
        <v>58</v>
      </c>
      <c r="Y4273">
        <v>15</v>
      </c>
      <c r="Z4273" t="s">
        <v>59</v>
      </c>
      <c r="AA4273" t="s">
        <v>59</v>
      </c>
      <c r="AB4273" t="s">
        <v>59</v>
      </c>
      <c r="AC4273" t="s">
        <v>59</v>
      </c>
      <c r="AD4273" t="s">
        <v>59</v>
      </c>
      <c r="AF4273" s="1">
        <v>43368</v>
      </c>
      <c r="AG4273" t="s">
        <v>125</v>
      </c>
      <c r="AH4273" t="s">
        <v>294</v>
      </c>
      <c r="AI4273" t="str">
        <f>"5012017"</f>
        <v>5012017</v>
      </c>
      <c r="AJ4273" t="s">
        <v>6859</v>
      </c>
      <c r="AK4273">
        <v>2821088065</v>
      </c>
      <c r="AL4273" t="s">
        <v>6860</v>
      </c>
      <c r="AM4273" t="s">
        <v>88</v>
      </c>
      <c r="AN4273" t="s">
        <v>88</v>
      </c>
      <c r="AO4273" t="s">
        <v>88</v>
      </c>
      <c r="AP4273" t="s">
        <v>88</v>
      </c>
      <c r="AQ4273">
        <v>1</v>
      </c>
      <c r="AR4273" t="s">
        <v>6729</v>
      </c>
      <c r="AS4273" t="s">
        <v>6730</v>
      </c>
      <c r="AT4273" t="s">
        <v>58</v>
      </c>
      <c r="AU4273" t="s">
        <v>2054</v>
      </c>
      <c r="AV4273" t="s">
        <v>132</v>
      </c>
      <c r="AW4273" s="1">
        <v>26031</v>
      </c>
      <c r="AX4273">
        <v>2</v>
      </c>
    </row>
    <row r="4274" spans="1:50">
      <c r="A4274">
        <v>176397</v>
      </c>
      <c r="B4274" t="str">
        <f>"043223188"</f>
        <v>043223188</v>
      </c>
      <c r="C4274" t="s">
        <v>105</v>
      </c>
      <c r="D4274" t="s">
        <v>7957</v>
      </c>
      <c r="E4274" t="s">
        <v>84</v>
      </c>
      <c r="F4274" t="s">
        <v>450</v>
      </c>
      <c r="G4274" t="s">
        <v>1001</v>
      </c>
      <c r="H4274" t="str">
        <f>"ΤΑΥΡΩΝΙΤΗΣ  ΠΛΑΤΑΝΙΑ"</f>
        <v>ΤΑΥΡΩΝΙΤΗΣ  ΠΛΑΤΑΝΙΑ</v>
      </c>
      <c r="I4274">
        <v>73006</v>
      </c>
      <c r="J4274">
        <v>2824023339</v>
      </c>
      <c r="K4274">
        <v>6945032390</v>
      </c>
      <c r="M4274" t="s">
        <v>7958</v>
      </c>
      <c r="N4274" t="s">
        <v>478</v>
      </c>
      <c r="O4274" t="s">
        <v>479</v>
      </c>
      <c r="R4274" t="s">
        <v>57</v>
      </c>
      <c r="S4274">
        <v>17</v>
      </c>
      <c r="T4274">
        <v>180</v>
      </c>
      <c r="U4274" s="1">
        <v>35674</v>
      </c>
      <c r="V4274" t="s">
        <v>6729</v>
      </c>
      <c r="W4274" t="s">
        <v>6730</v>
      </c>
      <c r="X4274" t="s">
        <v>58</v>
      </c>
      <c r="Y4274">
        <v>18</v>
      </c>
      <c r="Z4274" t="s">
        <v>59</v>
      </c>
      <c r="AA4274" t="s">
        <v>59</v>
      </c>
      <c r="AB4274" t="s">
        <v>59</v>
      </c>
      <c r="AC4274" t="s">
        <v>59</v>
      </c>
      <c r="AD4274" t="s">
        <v>59</v>
      </c>
      <c r="AF4274" s="1">
        <v>35677</v>
      </c>
      <c r="AG4274" t="s">
        <v>125</v>
      </c>
      <c r="AH4274" t="s">
        <v>126</v>
      </c>
      <c r="AI4274" t="str">
        <f>"5007010"</f>
        <v>5007010</v>
      </c>
      <c r="AJ4274" t="s">
        <v>6797</v>
      </c>
      <c r="AK4274">
        <v>2824022241</v>
      </c>
      <c r="AL4274" t="s">
        <v>6798</v>
      </c>
      <c r="AM4274" t="s">
        <v>88</v>
      </c>
      <c r="AN4274" t="s">
        <v>6764</v>
      </c>
      <c r="AO4274" t="s">
        <v>6799</v>
      </c>
      <c r="AP4274" t="s">
        <v>6799</v>
      </c>
      <c r="AQ4274">
        <v>1</v>
      </c>
      <c r="AR4274" t="s">
        <v>6729</v>
      </c>
      <c r="AS4274" t="s">
        <v>6730</v>
      </c>
      <c r="AT4274" t="s">
        <v>58</v>
      </c>
      <c r="AU4274" t="s">
        <v>68</v>
      </c>
      <c r="AV4274" t="s">
        <v>69</v>
      </c>
      <c r="AW4274" s="1">
        <v>19897</v>
      </c>
      <c r="AX4274">
        <v>2</v>
      </c>
    </row>
    <row r="4275" spans="1:50">
      <c r="A4275">
        <v>216765</v>
      </c>
      <c r="B4275" t="str">
        <f>"076048024"</f>
        <v>076048024</v>
      </c>
      <c r="C4275" t="s">
        <v>105</v>
      </c>
      <c r="D4275" t="s">
        <v>2972</v>
      </c>
      <c r="E4275" t="s">
        <v>72</v>
      </c>
      <c r="F4275" t="s">
        <v>95</v>
      </c>
      <c r="G4275" t="s">
        <v>155</v>
      </c>
      <c r="H4275" t="str">
        <f>" "</f>
        <v xml:space="preserve"> </v>
      </c>
      <c r="J4275">
        <v>2821076961</v>
      </c>
      <c r="K4275">
        <v>6932357080</v>
      </c>
      <c r="M4275" t="s">
        <v>7959</v>
      </c>
      <c r="N4275" t="s">
        <v>199</v>
      </c>
      <c r="O4275" t="s">
        <v>200</v>
      </c>
      <c r="R4275" t="s">
        <v>57</v>
      </c>
      <c r="S4275">
        <v>7</v>
      </c>
      <c r="T4275">
        <v>298</v>
      </c>
      <c r="U4275" s="1">
        <v>38985</v>
      </c>
      <c r="V4275" t="s">
        <v>6729</v>
      </c>
      <c r="W4275" t="s">
        <v>6730</v>
      </c>
      <c r="X4275" t="s">
        <v>58</v>
      </c>
      <c r="Y4275">
        <v>20</v>
      </c>
      <c r="Z4275" t="s">
        <v>59</v>
      </c>
      <c r="AA4275" t="s">
        <v>59</v>
      </c>
      <c r="AB4275" t="s">
        <v>59</v>
      </c>
      <c r="AC4275" t="s">
        <v>59</v>
      </c>
      <c r="AD4275" t="s">
        <v>59</v>
      </c>
      <c r="AF4275" s="1">
        <v>38988</v>
      </c>
      <c r="AG4275" t="s">
        <v>148</v>
      </c>
      <c r="AH4275" t="s">
        <v>149</v>
      </c>
      <c r="AI4275" t="str">
        <f>"5059010"</f>
        <v>5059010</v>
      </c>
      <c r="AJ4275" t="s">
        <v>6883</v>
      </c>
      <c r="AK4275">
        <v>2821077166</v>
      </c>
      <c r="AL4275" t="s">
        <v>6884</v>
      </c>
      <c r="AM4275" t="s">
        <v>88</v>
      </c>
      <c r="AN4275" t="s">
        <v>6764</v>
      </c>
      <c r="AO4275" t="s">
        <v>6885</v>
      </c>
      <c r="AP4275" t="s">
        <v>6886</v>
      </c>
      <c r="AQ4275">
        <v>1</v>
      </c>
      <c r="AR4275" t="s">
        <v>6729</v>
      </c>
      <c r="AS4275" t="s">
        <v>6730</v>
      </c>
      <c r="AT4275" t="s">
        <v>58</v>
      </c>
      <c r="AU4275" t="s">
        <v>68</v>
      </c>
      <c r="AV4275" t="s">
        <v>69</v>
      </c>
      <c r="AW4275" s="1">
        <v>26121</v>
      </c>
      <c r="AX4275">
        <v>2</v>
      </c>
    </row>
    <row r="4276" spans="1:50">
      <c r="A4276">
        <v>167159</v>
      </c>
      <c r="B4276" t="str">
        <f>"052191909"</f>
        <v>052191909</v>
      </c>
      <c r="C4276" t="s">
        <v>105</v>
      </c>
      <c r="D4276" t="s">
        <v>2972</v>
      </c>
      <c r="E4276" t="s">
        <v>450</v>
      </c>
      <c r="F4276" t="s">
        <v>7324</v>
      </c>
      <c r="G4276" t="s">
        <v>714</v>
      </c>
      <c r="H4276" t="str">
        <f>"Αγ. Δημητρίου 94 Καλαμάκι"</f>
        <v>Αγ. Δημητρίου 94 Καλαμάκι</v>
      </c>
      <c r="J4276">
        <v>2821031652</v>
      </c>
      <c r="K4276">
        <v>6933355762</v>
      </c>
      <c r="M4276" t="s">
        <v>7960</v>
      </c>
      <c r="N4276" t="s">
        <v>204</v>
      </c>
      <c r="O4276" t="s">
        <v>205</v>
      </c>
      <c r="R4276" t="s">
        <v>57</v>
      </c>
      <c r="S4276">
        <v>12</v>
      </c>
      <c r="T4276">
        <v>154</v>
      </c>
      <c r="U4276" s="1">
        <v>34225</v>
      </c>
      <c r="V4276" t="s">
        <v>6729</v>
      </c>
      <c r="W4276" t="s">
        <v>6730</v>
      </c>
      <c r="X4276" t="s">
        <v>58</v>
      </c>
      <c r="Y4276">
        <v>18</v>
      </c>
      <c r="Z4276" t="s">
        <v>59</v>
      </c>
      <c r="AA4276" t="s">
        <v>59</v>
      </c>
      <c r="AB4276" t="s">
        <v>59</v>
      </c>
      <c r="AC4276" t="s">
        <v>59</v>
      </c>
      <c r="AD4276" t="s">
        <v>59</v>
      </c>
      <c r="AF4276" s="1">
        <v>34234</v>
      </c>
      <c r="AG4276" t="s">
        <v>125</v>
      </c>
      <c r="AH4276" t="s">
        <v>126</v>
      </c>
      <c r="AI4276" t="str">
        <f>"5001073"</f>
        <v>5001073</v>
      </c>
      <c r="AJ4276" t="s">
        <v>6849</v>
      </c>
      <c r="AK4276">
        <v>2821028553</v>
      </c>
      <c r="AL4276" t="s">
        <v>6850</v>
      </c>
      <c r="AM4276" t="s">
        <v>88</v>
      </c>
      <c r="AN4276" t="s">
        <v>88</v>
      </c>
      <c r="AO4276" t="s">
        <v>88</v>
      </c>
      <c r="AP4276" t="s">
        <v>88</v>
      </c>
      <c r="AQ4276">
        <v>1</v>
      </c>
      <c r="AR4276" t="s">
        <v>6729</v>
      </c>
      <c r="AS4276" t="s">
        <v>6730</v>
      </c>
      <c r="AT4276" t="s">
        <v>58</v>
      </c>
      <c r="AU4276" t="s">
        <v>68</v>
      </c>
      <c r="AV4276" t="s">
        <v>69</v>
      </c>
      <c r="AW4276" s="1">
        <v>22370</v>
      </c>
      <c r="AX4276">
        <v>2</v>
      </c>
    </row>
    <row r="4277" spans="1:50">
      <c r="A4277">
        <v>211737</v>
      </c>
      <c r="B4277" t="str">
        <f>"069828898"</f>
        <v>069828898</v>
      </c>
      <c r="C4277" t="s">
        <v>105</v>
      </c>
      <c r="D4277" t="s">
        <v>2980</v>
      </c>
      <c r="E4277" t="s">
        <v>900</v>
      </c>
      <c r="F4277" t="s">
        <v>7961</v>
      </c>
      <c r="G4277" t="s">
        <v>340</v>
      </c>
      <c r="H4277" t="str">
        <f>" "</f>
        <v xml:space="preserve"> </v>
      </c>
      <c r="J4277">
        <v>2467085817</v>
      </c>
      <c r="K4277">
        <v>6973259116</v>
      </c>
      <c r="M4277" t="s">
        <v>7962</v>
      </c>
      <c r="N4277" t="s">
        <v>157</v>
      </c>
      <c r="O4277" t="s">
        <v>158</v>
      </c>
      <c r="R4277" t="s">
        <v>57</v>
      </c>
      <c r="S4277">
        <v>9</v>
      </c>
      <c r="T4277">
        <v>231</v>
      </c>
      <c r="U4277" s="1">
        <v>38960</v>
      </c>
      <c r="V4277" t="s">
        <v>6729</v>
      </c>
      <c r="W4277" t="s">
        <v>6730</v>
      </c>
      <c r="X4277" t="s">
        <v>58</v>
      </c>
      <c r="Y4277">
        <v>20</v>
      </c>
      <c r="Z4277" t="s">
        <v>59</v>
      </c>
      <c r="AA4277" t="s">
        <v>59</v>
      </c>
      <c r="AB4277" t="s">
        <v>59</v>
      </c>
      <c r="AC4277" t="s">
        <v>59</v>
      </c>
      <c r="AD4277" t="s">
        <v>59</v>
      </c>
      <c r="AF4277" s="1">
        <v>38968</v>
      </c>
      <c r="AG4277" t="s">
        <v>148</v>
      </c>
      <c r="AH4277" t="s">
        <v>149</v>
      </c>
      <c r="AI4277" t="str">
        <f>"5090080"</f>
        <v>5090080</v>
      </c>
      <c r="AJ4277" t="s">
        <v>6906</v>
      </c>
      <c r="AK4277">
        <v>2821096638</v>
      </c>
      <c r="AL4277" t="s">
        <v>6907</v>
      </c>
      <c r="AM4277" t="s">
        <v>88</v>
      </c>
      <c r="AN4277" t="s">
        <v>88</v>
      </c>
      <c r="AO4277" t="s">
        <v>88</v>
      </c>
      <c r="AP4277" t="s">
        <v>88</v>
      </c>
      <c r="AQ4277">
        <v>1</v>
      </c>
      <c r="AR4277" t="s">
        <v>6729</v>
      </c>
      <c r="AS4277" t="s">
        <v>6730</v>
      </c>
      <c r="AT4277" t="s">
        <v>58</v>
      </c>
      <c r="AU4277" t="s">
        <v>68</v>
      </c>
      <c r="AV4277" t="s">
        <v>69</v>
      </c>
      <c r="AW4277" s="1">
        <v>25713</v>
      </c>
      <c r="AX4277">
        <v>2</v>
      </c>
    </row>
    <row r="4278" spans="1:50">
      <c r="A4278">
        <v>197835</v>
      </c>
      <c r="B4278" t="str">
        <f>"045556974"</f>
        <v>045556974</v>
      </c>
      <c r="C4278" t="s">
        <v>105</v>
      </c>
      <c r="D4278" t="s">
        <v>2980</v>
      </c>
      <c r="E4278" t="s">
        <v>459</v>
      </c>
      <c r="F4278" t="s">
        <v>53</v>
      </c>
      <c r="G4278" t="s">
        <v>507</v>
      </c>
      <c r="H4278" t="str">
        <f>" "</f>
        <v xml:space="preserve"> </v>
      </c>
      <c r="J4278">
        <v>2104629348</v>
      </c>
      <c r="K4278">
        <v>6974835571</v>
      </c>
      <c r="N4278" t="s">
        <v>292</v>
      </c>
      <c r="O4278" t="s">
        <v>293</v>
      </c>
      <c r="R4278" t="s">
        <v>57</v>
      </c>
      <c r="S4278">
        <v>17</v>
      </c>
      <c r="T4278" t="s">
        <v>7963</v>
      </c>
      <c r="U4278" s="1">
        <v>37866</v>
      </c>
      <c r="V4278" t="s">
        <v>6729</v>
      </c>
      <c r="W4278" t="s">
        <v>6730</v>
      </c>
      <c r="X4278" t="s">
        <v>58</v>
      </c>
      <c r="Y4278">
        <v>20</v>
      </c>
      <c r="Z4278" t="s">
        <v>59</v>
      </c>
      <c r="AA4278" t="s">
        <v>59</v>
      </c>
      <c r="AB4278" t="s">
        <v>59</v>
      </c>
      <c r="AC4278" t="s">
        <v>59</v>
      </c>
      <c r="AD4278" t="s">
        <v>59</v>
      </c>
      <c r="AF4278" s="1">
        <v>37867</v>
      </c>
      <c r="AG4278" t="s">
        <v>125</v>
      </c>
      <c r="AH4278" t="s">
        <v>126</v>
      </c>
      <c r="AI4278" t="str">
        <f>"5001040"</f>
        <v>5001040</v>
      </c>
      <c r="AJ4278" t="s">
        <v>7126</v>
      </c>
      <c r="AK4278">
        <v>2821088010</v>
      </c>
      <c r="AM4278" t="s">
        <v>88</v>
      </c>
      <c r="AN4278" t="s">
        <v>88</v>
      </c>
      <c r="AO4278" t="s">
        <v>88</v>
      </c>
      <c r="AP4278" t="s">
        <v>88</v>
      </c>
      <c r="AQ4278">
        <v>1</v>
      </c>
      <c r="AR4278" t="s">
        <v>6729</v>
      </c>
      <c r="AS4278" t="s">
        <v>6730</v>
      </c>
      <c r="AT4278" t="s">
        <v>58</v>
      </c>
      <c r="AU4278" t="s">
        <v>68</v>
      </c>
      <c r="AV4278" t="s">
        <v>69</v>
      </c>
      <c r="AW4278" s="1">
        <v>24028</v>
      </c>
      <c r="AX4278">
        <v>2</v>
      </c>
    </row>
    <row r="4279" spans="1:50">
      <c r="A4279">
        <v>217087</v>
      </c>
      <c r="B4279" t="str">
        <f>"072928012"</f>
        <v>072928012</v>
      </c>
      <c r="C4279" t="s">
        <v>50</v>
      </c>
      <c r="D4279" t="s">
        <v>2983</v>
      </c>
      <c r="E4279" t="s">
        <v>263</v>
      </c>
      <c r="F4279" t="s">
        <v>84</v>
      </c>
      <c r="G4279" t="s">
        <v>52</v>
      </c>
      <c r="H4279" t="str">
        <f>" "</f>
        <v xml:space="preserve"> </v>
      </c>
      <c r="J4279">
        <v>2821028672</v>
      </c>
      <c r="K4279">
        <v>6972026754</v>
      </c>
      <c r="M4279" t="s">
        <v>7964</v>
      </c>
      <c r="N4279" t="s">
        <v>337</v>
      </c>
      <c r="O4279" t="s">
        <v>338</v>
      </c>
      <c r="R4279" t="s">
        <v>57</v>
      </c>
      <c r="S4279">
        <v>7</v>
      </c>
      <c r="T4279">
        <v>298</v>
      </c>
      <c r="U4279" s="1">
        <v>38985</v>
      </c>
      <c r="V4279" t="s">
        <v>6729</v>
      </c>
      <c r="W4279" t="s">
        <v>6730</v>
      </c>
      <c r="X4279" t="s">
        <v>58</v>
      </c>
      <c r="Y4279">
        <v>20</v>
      </c>
      <c r="Z4279" t="s">
        <v>59</v>
      </c>
      <c r="AA4279" t="s">
        <v>59</v>
      </c>
      <c r="AB4279" t="s">
        <v>59</v>
      </c>
      <c r="AC4279" t="s">
        <v>59</v>
      </c>
      <c r="AD4279" t="s">
        <v>59</v>
      </c>
      <c r="AF4279" s="1">
        <v>38985</v>
      </c>
      <c r="AG4279" t="s">
        <v>125</v>
      </c>
      <c r="AH4279" t="s">
        <v>294</v>
      </c>
      <c r="AI4279" t="str">
        <f>"5012017"</f>
        <v>5012017</v>
      </c>
      <c r="AJ4279" t="s">
        <v>6859</v>
      </c>
      <c r="AK4279">
        <v>2821088065</v>
      </c>
      <c r="AL4279" t="s">
        <v>6860</v>
      </c>
      <c r="AM4279" t="s">
        <v>88</v>
      </c>
      <c r="AN4279" t="s">
        <v>88</v>
      </c>
      <c r="AO4279" t="s">
        <v>88</v>
      </c>
      <c r="AP4279" t="s">
        <v>88</v>
      </c>
      <c r="AQ4279">
        <v>1</v>
      </c>
      <c r="AR4279" t="s">
        <v>6729</v>
      </c>
      <c r="AS4279" t="s">
        <v>6730</v>
      </c>
      <c r="AT4279" t="s">
        <v>58</v>
      </c>
      <c r="AU4279" t="s">
        <v>68</v>
      </c>
      <c r="AV4279" t="s">
        <v>69</v>
      </c>
      <c r="AW4279" s="1">
        <v>26434</v>
      </c>
      <c r="AX4279">
        <v>2</v>
      </c>
    </row>
    <row r="4280" spans="1:50">
      <c r="A4280">
        <v>212274</v>
      </c>
      <c r="B4280" t="str">
        <f>"049704548"</f>
        <v>049704548</v>
      </c>
      <c r="C4280" t="s">
        <v>50</v>
      </c>
      <c r="D4280" t="s">
        <v>2983</v>
      </c>
      <c r="E4280" t="s">
        <v>610</v>
      </c>
      <c r="F4280" t="s">
        <v>153</v>
      </c>
      <c r="G4280" t="s">
        <v>52</v>
      </c>
      <c r="H4280" t="str">
        <f>"Ι ΚΑΠΟΔΙΣΤΡΙΑ 302 ΑΓΙΑ ΜΑΡΙΝΑ"</f>
        <v>Ι ΚΑΠΟΔΙΣΤΡΙΑ 302 ΑΓΙΑ ΜΑΡΙΝΑ</v>
      </c>
      <c r="I4280">
        <v>73014</v>
      </c>
      <c r="K4280">
        <v>6945018718</v>
      </c>
      <c r="M4280" t="s">
        <v>7965</v>
      </c>
      <c r="N4280" t="s">
        <v>146</v>
      </c>
      <c r="O4280" t="s">
        <v>147</v>
      </c>
      <c r="R4280" t="s">
        <v>57</v>
      </c>
      <c r="S4280">
        <v>8</v>
      </c>
      <c r="T4280">
        <v>231</v>
      </c>
      <c r="U4280" s="1">
        <v>38960</v>
      </c>
      <c r="V4280" t="s">
        <v>6729</v>
      </c>
      <c r="W4280" t="s">
        <v>6730</v>
      </c>
      <c r="X4280" t="s">
        <v>58</v>
      </c>
      <c r="Y4280">
        <v>20</v>
      </c>
      <c r="Z4280" t="s">
        <v>59</v>
      </c>
      <c r="AA4280" t="s">
        <v>59</v>
      </c>
      <c r="AB4280" t="s">
        <v>59</v>
      </c>
      <c r="AC4280" t="s">
        <v>59</v>
      </c>
      <c r="AD4280" t="s">
        <v>59</v>
      </c>
      <c r="AF4280" s="1">
        <v>38961</v>
      </c>
      <c r="AG4280" t="s">
        <v>125</v>
      </c>
      <c r="AH4280" t="s">
        <v>126</v>
      </c>
      <c r="AI4280" t="str">
        <f>"5002010"</f>
        <v>5002010</v>
      </c>
      <c r="AJ4280" t="s">
        <v>6773</v>
      </c>
      <c r="AK4280">
        <v>2825022249</v>
      </c>
      <c r="AL4280" t="s">
        <v>6774</v>
      </c>
      <c r="AM4280" t="s">
        <v>88</v>
      </c>
      <c r="AN4280" t="s">
        <v>6775</v>
      </c>
      <c r="AO4280" t="s">
        <v>6776</v>
      </c>
      <c r="AP4280" t="s">
        <v>6776</v>
      </c>
      <c r="AQ4280">
        <v>1</v>
      </c>
      <c r="AR4280" t="s">
        <v>6729</v>
      </c>
      <c r="AS4280" t="s">
        <v>6730</v>
      </c>
      <c r="AT4280" t="s">
        <v>58</v>
      </c>
      <c r="AU4280" t="s">
        <v>68</v>
      </c>
      <c r="AV4280" t="s">
        <v>69</v>
      </c>
      <c r="AW4280" s="1">
        <v>29357</v>
      </c>
      <c r="AX4280">
        <v>2</v>
      </c>
    </row>
    <row r="4281" spans="1:50">
      <c r="A4281">
        <v>167747</v>
      </c>
      <c r="B4281" t="str">
        <f>"100642560"</f>
        <v>100642560</v>
      </c>
      <c r="C4281" t="s">
        <v>50</v>
      </c>
      <c r="D4281" t="s">
        <v>7966</v>
      </c>
      <c r="E4281" t="s">
        <v>155</v>
      </c>
      <c r="F4281" t="s">
        <v>166</v>
      </c>
      <c r="G4281" t="s">
        <v>5432</v>
      </c>
      <c r="H4281" t="str">
        <f>" "</f>
        <v xml:space="preserve"> </v>
      </c>
      <c r="M4281" t="s">
        <v>7967</v>
      </c>
      <c r="N4281" t="s">
        <v>146</v>
      </c>
      <c r="O4281" t="s">
        <v>147</v>
      </c>
      <c r="R4281" t="s">
        <v>57</v>
      </c>
      <c r="S4281">
        <v>14</v>
      </c>
      <c r="T4281">
        <v>159</v>
      </c>
      <c r="U4281" s="1">
        <v>34582</v>
      </c>
      <c r="V4281" t="s">
        <v>6729</v>
      </c>
      <c r="W4281" t="s">
        <v>6730</v>
      </c>
      <c r="X4281" t="s">
        <v>58</v>
      </c>
      <c r="Y4281">
        <v>18</v>
      </c>
      <c r="Z4281" t="s">
        <v>59</v>
      </c>
      <c r="AA4281" t="s">
        <v>59</v>
      </c>
      <c r="AB4281" t="s">
        <v>59</v>
      </c>
      <c r="AC4281" t="s">
        <v>59</v>
      </c>
      <c r="AD4281" t="s">
        <v>59</v>
      </c>
      <c r="AF4281" s="1">
        <v>34585</v>
      </c>
      <c r="AG4281" t="s">
        <v>148</v>
      </c>
      <c r="AH4281" t="s">
        <v>149</v>
      </c>
      <c r="AI4281" t="str">
        <f>"5051009"</f>
        <v>5051009</v>
      </c>
      <c r="AJ4281" t="s">
        <v>6851</v>
      </c>
      <c r="AK4281">
        <v>2821044551</v>
      </c>
      <c r="AL4281" t="s">
        <v>6852</v>
      </c>
      <c r="AM4281" t="s">
        <v>88</v>
      </c>
      <c r="AN4281" t="s">
        <v>88</v>
      </c>
      <c r="AO4281" t="s">
        <v>6770</v>
      </c>
      <c r="AP4281" t="s">
        <v>6771</v>
      </c>
      <c r="AQ4281">
        <v>1</v>
      </c>
      <c r="AR4281" t="s">
        <v>6729</v>
      </c>
      <c r="AS4281" t="s">
        <v>6730</v>
      </c>
      <c r="AT4281" t="s">
        <v>58</v>
      </c>
      <c r="AU4281" t="s">
        <v>68</v>
      </c>
      <c r="AV4281" t="s">
        <v>69</v>
      </c>
      <c r="AW4281" s="1">
        <v>22454</v>
      </c>
      <c r="AX4281">
        <v>2</v>
      </c>
    </row>
    <row r="4282" spans="1:50">
      <c r="B4282" t="str">
        <f>"066462203"</f>
        <v>066462203</v>
      </c>
      <c r="C4282" t="s">
        <v>50</v>
      </c>
      <c r="D4282" t="s">
        <v>7968</v>
      </c>
      <c r="E4282" t="s">
        <v>255</v>
      </c>
      <c r="F4282" t="s">
        <v>166</v>
      </c>
      <c r="G4282" t="s">
        <v>52</v>
      </c>
      <c r="H4282" t="str">
        <f>"ΗΡ. ΠΟΛΥΤΕΧΝΕΙΟΥ 8 ΚΑΤΩ ΣΤΑΛΟΣ "</f>
        <v xml:space="preserve">ΗΡ. ΠΟΛΥΤΕΧΝΕΙΟΥ 8 ΚΑΤΩ ΣΤΑΛΟΣ </v>
      </c>
      <c r="I4282">
        <v>73100</v>
      </c>
      <c r="J4282">
        <v>2109350152</v>
      </c>
      <c r="K4282">
        <v>6976335226</v>
      </c>
      <c r="M4282" t="s">
        <v>7969</v>
      </c>
      <c r="N4282" t="s">
        <v>135</v>
      </c>
      <c r="O4282" t="s">
        <v>136</v>
      </c>
      <c r="R4282" t="s">
        <v>159</v>
      </c>
      <c r="S4282">
        <v>6</v>
      </c>
      <c r="T4282" t="s">
        <v>416</v>
      </c>
      <c r="U4282" s="1">
        <v>43349</v>
      </c>
      <c r="V4282" t="s">
        <v>6729</v>
      </c>
      <c r="W4282" t="s">
        <v>6730</v>
      </c>
      <c r="X4282" t="s">
        <v>58</v>
      </c>
      <c r="Y4282">
        <v>23</v>
      </c>
      <c r="Z4282" t="s">
        <v>59</v>
      </c>
      <c r="AA4282" t="s">
        <v>59</v>
      </c>
      <c r="AB4282" t="s">
        <v>59</v>
      </c>
      <c r="AC4282" t="s">
        <v>59</v>
      </c>
      <c r="AD4282" t="s">
        <v>59</v>
      </c>
      <c r="AF4282" s="1">
        <v>43349</v>
      </c>
      <c r="AG4282" t="s">
        <v>137</v>
      </c>
      <c r="AH4282" t="s">
        <v>138</v>
      </c>
      <c r="AI4282" t="str">
        <f>"5040080"</f>
        <v>5040080</v>
      </c>
      <c r="AJ4282" t="s">
        <v>6753</v>
      </c>
      <c r="AK4282">
        <v>2821093155</v>
      </c>
      <c r="AL4282" t="s">
        <v>6754</v>
      </c>
      <c r="AM4282" t="s">
        <v>88</v>
      </c>
      <c r="AN4282" t="s">
        <v>88</v>
      </c>
      <c r="AO4282" t="s">
        <v>6733</v>
      </c>
      <c r="AP4282" t="s">
        <v>6755</v>
      </c>
      <c r="AQ4282">
        <v>1</v>
      </c>
      <c r="AR4282" t="s">
        <v>6729</v>
      </c>
      <c r="AS4282" t="s">
        <v>6730</v>
      </c>
      <c r="AT4282" t="s">
        <v>58</v>
      </c>
      <c r="AU4282" t="s">
        <v>419</v>
      </c>
      <c r="AV4282" t="s">
        <v>132</v>
      </c>
      <c r="AW4282" s="1">
        <v>28597</v>
      </c>
      <c r="AX4282">
        <v>2</v>
      </c>
    </row>
    <row r="4283" spans="1:50">
      <c r="A4283">
        <v>195800</v>
      </c>
      <c r="B4283" t="str">
        <f>"073784882"</f>
        <v>073784882</v>
      </c>
      <c r="C4283" t="s">
        <v>50</v>
      </c>
      <c r="D4283" t="s">
        <v>2995</v>
      </c>
      <c r="E4283" t="s">
        <v>237</v>
      </c>
      <c r="F4283" t="s">
        <v>1679</v>
      </c>
      <c r="G4283" t="s">
        <v>52</v>
      </c>
      <c r="H4283" t="str">
        <f>"ΘΕΡΙΣΟΥ 15Α ΧΑΝΙΑ"</f>
        <v>ΘΕΡΙΣΟΥ 15Α ΧΑΝΙΑ</v>
      </c>
      <c r="I4283">
        <v>73136</v>
      </c>
      <c r="J4283">
        <v>2821095168</v>
      </c>
      <c r="K4283">
        <v>6972774267</v>
      </c>
      <c r="N4283" t="s">
        <v>306</v>
      </c>
      <c r="O4283" t="s">
        <v>307</v>
      </c>
      <c r="R4283" t="s">
        <v>57</v>
      </c>
      <c r="S4283">
        <v>10</v>
      </c>
      <c r="T4283">
        <v>194</v>
      </c>
      <c r="U4283" s="1">
        <v>37497</v>
      </c>
      <c r="V4283" t="s">
        <v>6729</v>
      </c>
      <c r="W4283" t="s">
        <v>6730</v>
      </c>
      <c r="X4283" t="s">
        <v>58</v>
      </c>
      <c r="Y4283">
        <v>18</v>
      </c>
      <c r="Z4283" t="s">
        <v>59</v>
      </c>
      <c r="AA4283" t="s">
        <v>59</v>
      </c>
      <c r="AB4283" t="s">
        <v>59</v>
      </c>
      <c r="AC4283" t="s">
        <v>59</v>
      </c>
      <c r="AD4283" t="s">
        <v>59</v>
      </c>
      <c r="AF4283" s="1">
        <v>37501</v>
      </c>
      <c r="AG4283" t="s">
        <v>125</v>
      </c>
      <c r="AH4283" t="s">
        <v>126</v>
      </c>
      <c r="AI4283" t="str">
        <f>"5001020"</f>
        <v>5001020</v>
      </c>
      <c r="AJ4283" t="s">
        <v>6739</v>
      </c>
      <c r="AK4283">
        <v>2821042664</v>
      </c>
      <c r="AL4283" t="s">
        <v>6740</v>
      </c>
      <c r="AM4283" t="s">
        <v>88</v>
      </c>
      <c r="AN4283" t="s">
        <v>88</v>
      </c>
      <c r="AO4283" t="s">
        <v>88</v>
      </c>
      <c r="AP4283" t="s">
        <v>88</v>
      </c>
      <c r="AQ4283">
        <v>1</v>
      </c>
      <c r="AR4283" t="s">
        <v>6729</v>
      </c>
      <c r="AS4283" t="s">
        <v>6730</v>
      </c>
      <c r="AT4283" t="s">
        <v>58</v>
      </c>
      <c r="AU4283" t="s">
        <v>68</v>
      </c>
      <c r="AV4283" t="s">
        <v>69</v>
      </c>
      <c r="AW4283" s="1">
        <v>26182</v>
      </c>
      <c r="AX4283">
        <v>2</v>
      </c>
    </row>
    <row r="4284" spans="1:50">
      <c r="A4284">
        <v>220486</v>
      </c>
      <c r="B4284" t="str">
        <f>"111832060"</f>
        <v>111832060</v>
      </c>
      <c r="C4284" t="s">
        <v>50</v>
      </c>
      <c r="D4284" t="s">
        <v>7970</v>
      </c>
      <c r="E4284" t="s">
        <v>52</v>
      </c>
      <c r="F4284" t="s">
        <v>84</v>
      </c>
      <c r="G4284" t="s">
        <v>1204</v>
      </c>
      <c r="H4284" t="str">
        <f>"ΑΓΟΡΑΣΤΑΚΗ 39 ΧΑΝΙΑ"</f>
        <v>ΑΓΟΡΑΣΤΑΚΗ 39 ΧΑΝΙΑ</v>
      </c>
      <c r="I4284">
        <v>73134</v>
      </c>
      <c r="J4284">
        <v>2821058457</v>
      </c>
      <c r="K4284">
        <v>6945130963</v>
      </c>
      <c r="N4284" t="s">
        <v>146</v>
      </c>
      <c r="O4284" t="s">
        <v>147</v>
      </c>
      <c r="R4284" t="s">
        <v>57</v>
      </c>
      <c r="S4284">
        <v>7</v>
      </c>
      <c r="T4284">
        <v>681</v>
      </c>
      <c r="U4284" s="1">
        <v>39325</v>
      </c>
      <c r="V4284" t="s">
        <v>6729</v>
      </c>
      <c r="W4284" t="s">
        <v>6730</v>
      </c>
      <c r="X4284" t="s">
        <v>58</v>
      </c>
      <c r="Y4284">
        <v>21</v>
      </c>
      <c r="Z4284" t="s">
        <v>59</v>
      </c>
      <c r="AA4284" t="s">
        <v>59</v>
      </c>
      <c r="AB4284" t="s">
        <v>59</v>
      </c>
      <c r="AC4284" t="s">
        <v>59</v>
      </c>
      <c r="AD4284" t="s">
        <v>59</v>
      </c>
      <c r="AF4284" s="1">
        <v>39329</v>
      </c>
      <c r="AG4284" t="s">
        <v>125</v>
      </c>
      <c r="AH4284" t="s">
        <v>294</v>
      </c>
      <c r="AI4284" t="str">
        <f>"5012017"</f>
        <v>5012017</v>
      </c>
      <c r="AJ4284" t="s">
        <v>6859</v>
      </c>
      <c r="AK4284">
        <v>2821088065</v>
      </c>
      <c r="AL4284" t="s">
        <v>6860</v>
      </c>
      <c r="AM4284" t="s">
        <v>88</v>
      </c>
      <c r="AN4284" t="s">
        <v>88</v>
      </c>
      <c r="AO4284" t="s">
        <v>88</v>
      </c>
      <c r="AP4284" t="s">
        <v>88</v>
      </c>
      <c r="AQ4284">
        <v>1</v>
      </c>
      <c r="AR4284" t="s">
        <v>6729</v>
      </c>
      <c r="AS4284" t="s">
        <v>6730</v>
      </c>
      <c r="AT4284" t="s">
        <v>58</v>
      </c>
      <c r="AU4284" t="s">
        <v>68</v>
      </c>
      <c r="AV4284" t="s">
        <v>69</v>
      </c>
      <c r="AW4284" s="1">
        <v>30031</v>
      </c>
      <c r="AX4284">
        <v>2</v>
      </c>
    </row>
    <row r="4285" spans="1:50">
      <c r="A4285">
        <v>210587</v>
      </c>
      <c r="B4285" t="str">
        <f>"067330289"</f>
        <v>067330289</v>
      </c>
      <c r="C4285" t="s">
        <v>50</v>
      </c>
      <c r="D4285" t="s">
        <v>7971</v>
      </c>
      <c r="E4285" t="s">
        <v>860</v>
      </c>
      <c r="F4285" t="s">
        <v>95</v>
      </c>
      <c r="G4285" t="s">
        <v>114</v>
      </c>
      <c r="H4285" t="str">
        <f>" "</f>
        <v xml:space="preserve"> </v>
      </c>
      <c r="J4285">
        <v>2821055101</v>
      </c>
      <c r="K4285">
        <v>6947774710</v>
      </c>
      <c r="N4285" t="s">
        <v>306</v>
      </c>
      <c r="O4285" t="s">
        <v>307</v>
      </c>
      <c r="R4285" t="s">
        <v>57</v>
      </c>
      <c r="S4285">
        <v>8</v>
      </c>
      <c r="T4285">
        <v>249</v>
      </c>
      <c r="U4285" s="1">
        <v>38617</v>
      </c>
      <c r="V4285" t="s">
        <v>6729</v>
      </c>
      <c r="W4285" t="s">
        <v>6730</v>
      </c>
      <c r="X4285" t="s">
        <v>58</v>
      </c>
      <c r="Y4285">
        <v>20</v>
      </c>
      <c r="Z4285" t="s">
        <v>59</v>
      </c>
      <c r="AA4285" t="s">
        <v>59</v>
      </c>
      <c r="AB4285" t="s">
        <v>59</v>
      </c>
      <c r="AC4285" t="s">
        <v>59</v>
      </c>
      <c r="AD4285" t="s">
        <v>59</v>
      </c>
      <c r="AF4285" s="1">
        <v>38622</v>
      </c>
      <c r="AG4285" t="s">
        <v>148</v>
      </c>
      <c r="AH4285" t="s">
        <v>149</v>
      </c>
      <c r="AI4285" t="str">
        <f>"5051030"</f>
        <v>5051030</v>
      </c>
      <c r="AJ4285" t="s">
        <v>6760</v>
      </c>
      <c r="AK4285">
        <v>2821027533</v>
      </c>
      <c r="AL4285" t="s">
        <v>6761</v>
      </c>
      <c r="AM4285" t="s">
        <v>88</v>
      </c>
      <c r="AN4285" t="s">
        <v>88</v>
      </c>
      <c r="AO4285" t="s">
        <v>88</v>
      </c>
      <c r="AP4285" t="s">
        <v>88</v>
      </c>
      <c r="AQ4285">
        <v>1</v>
      </c>
      <c r="AR4285" t="s">
        <v>6729</v>
      </c>
      <c r="AS4285" t="s">
        <v>6730</v>
      </c>
      <c r="AT4285" t="s">
        <v>58</v>
      </c>
      <c r="AU4285" t="s">
        <v>68</v>
      </c>
      <c r="AV4285" t="s">
        <v>69</v>
      </c>
      <c r="AW4285" s="1">
        <v>27688</v>
      </c>
      <c r="AX4285">
        <v>2</v>
      </c>
    </row>
    <row r="4286" spans="1:50">
      <c r="A4286">
        <v>226163</v>
      </c>
      <c r="B4286" t="str">
        <f>"117621807"</f>
        <v>117621807</v>
      </c>
      <c r="C4286" t="s">
        <v>105</v>
      </c>
      <c r="D4286" t="s">
        <v>7972</v>
      </c>
      <c r="E4286" t="s">
        <v>782</v>
      </c>
      <c r="F4286" t="s">
        <v>7187</v>
      </c>
      <c r="G4286" t="s">
        <v>366</v>
      </c>
      <c r="H4286" t="str">
        <f>"ΛΕΩΦΟΡΟΣ ΘΕΣΣΑΛΟΝΙΚΗΣ 14Β ΠΕΡΑΙΑ ΘΕΣΣΑΛΟΝΙΚΗΣ"</f>
        <v>ΛΕΩΦΟΡΟΣ ΘΕΣΣΑΛΟΝΙΚΗΣ 14Β ΠΕΡΑΙΑ ΘΕΣΣΑΛΟΝΙΚΗΣ</v>
      </c>
      <c r="I4286">
        <v>57019</v>
      </c>
      <c r="J4286">
        <v>2392039085</v>
      </c>
      <c r="K4286">
        <v>6972166197</v>
      </c>
      <c r="M4286" t="s">
        <v>7973</v>
      </c>
      <c r="N4286" t="s">
        <v>337</v>
      </c>
      <c r="O4286" t="s">
        <v>338</v>
      </c>
      <c r="R4286" t="s">
        <v>57</v>
      </c>
      <c r="S4286">
        <v>5</v>
      </c>
      <c r="T4286">
        <v>652</v>
      </c>
      <c r="U4286" s="1">
        <v>40043</v>
      </c>
      <c r="V4286" t="s">
        <v>6729</v>
      </c>
      <c r="W4286" t="s">
        <v>6730</v>
      </c>
      <c r="X4286" t="s">
        <v>58</v>
      </c>
      <c r="Y4286">
        <v>21</v>
      </c>
      <c r="Z4286" t="s">
        <v>59</v>
      </c>
      <c r="AA4286" t="s">
        <v>59</v>
      </c>
      <c r="AB4286" t="s">
        <v>59</v>
      </c>
      <c r="AC4286" t="s">
        <v>59</v>
      </c>
      <c r="AD4286" t="s">
        <v>59</v>
      </c>
      <c r="AF4286" s="1">
        <v>40045</v>
      </c>
      <c r="AG4286" t="s">
        <v>125</v>
      </c>
      <c r="AH4286" t="s">
        <v>294</v>
      </c>
      <c r="AI4286" t="str">
        <f>"5012017"</f>
        <v>5012017</v>
      </c>
      <c r="AJ4286" t="s">
        <v>6859</v>
      </c>
      <c r="AK4286">
        <v>2821088065</v>
      </c>
      <c r="AL4286" t="s">
        <v>6860</v>
      </c>
      <c r="AM4286" t="s">
        <v>88</v>
      </c>
      <c r="AN4286" t="s">
        <v>88</v>
      </c>
      <c r="AO4286" t="s">
        <v>88</v>
      </c>
      <c r="AP4286" t="s">
        <v>88</v>
      </c>
      <c r="AQ4286">
        <v>1</v>
      </c>
      <c r="AR4286" t="s">
        <v>6729</v>
      </c>
      <c r="AS4286" t="s">
        <v>6730</v>
      </c>
      <c r="AT4286" t="s">
        <v>58</v>
      </c>
      <c r="AU4286" t="s">
        <v>68</v>
      </c>
      <c r="AV4286" t="s">
        <v>69</v>
      </c>
      <c r="AW4286" s="1">
        <v>27572</v>
      </c>
      <c r="AX4286">
        <v>2</v>
      </c>
    </row>
    <row r="4287" spans="1:50">
      <c r="A4287">
        <v>197351</v>
      </c>
      <c r="B4287" t="str">
        <f>"061272062"</f>
        <v>061272062</v>
      </c>
      <c r="C4287" t="s">
        <v>50</v>
      </c>
      <c r="D4287" t="s">
        <v>7974</v>
      </c>
      <c r="E4287" t="s">
        <v>5052</v>
      </c>
      <c r="F4287" t="s">
        <v>154</v>
      </c>
      <c r="G4287" t="s">
        <v>237</v>
      </c>
      <c r="H4287" t="str">
        <f>" "</f>
        <v xml:space="preserve"> </v>
      </c>
      <c r="J4287">
        <v>2821056559</v>
      </c>
      <c r="K4287">
        <v>6977849741</v>
      </c>
      <c r="M4287" t="s">
        <v>7975</v>
      </c>
      <c r="N4287" t="s">
        <v>146</v>
      </c>
      <c r="O4287" t="s">
        <v>147</v>
      </c>
      <c r="R4287" t="s">
        <v>57</v>
      </c>
      <c r="S4287">
        <v>9</v>
      </c>
      <c r="T4287">
        <v>206</v>
      </c>
      <c r="U4287" s="1">
        <v>37866</v>
      </c>
      <c r="V4287" t="s">
        <v>6729</v>
      </c>
      <c r="W4287" t="s">
        <v>6730</v>
      </c>
      <c r="X4287" t="s">
        <v>58</v>
      </c>
      <c r="Y4287">
        <v>20</v>
      </c>
      <c r="Z4287" t="s">
        <v>59</v>
      </c>
      <c r="AA4287" t="s">
        <v>59</v>
      </c>
      <c r="AB4287" t="s">
        <v>59</v>
      </c>
      <c r="AC4287" t="s">
        <v>59</v>
      </c>
      <c r="AD4287" t="s">
        <v>59</v>
      </c>
      <c r="AF4287" s="1">
        <v>37866</v>
      </c>
      <c r="AG4287" t="s">
        <v>125</v>
      </c>
      <c r="AH4287" t="s">
        <v>126</v>
      </c>
      <c r="AI4287" t="str">
        <f>"5001072"</f>
        <v>5001072</v>
      </c>
      <c r="AJ4287" t="s">
        <v>6922</v>
      </c>
      <c r="AK4287">
        <v>2821055471</v>
      </c>
      <c r="AL4287" t="s">
        <v>6923</v>
      </c>
      <c r="AM4287" t="s">
        <v>88</v>
      </c>
      <c r="AN4287" t="s">
        <v>88</v>
      </c>
      <c r="AO4287" t="s">
        <v>88</v>
      </c>
      <c r="AP4287" t="s">
        <v>88</v>
      </c>
      <c r="AQ4287">
        <v>1</v>
      </c>
      <c r="AR4287" t="s">
        <v>6729</v>
      </c>
      <c r="AS4287" t="s">
        <v>6730</v>
      </c>
      <c r="AT4287" t="s">
        <v>58</v>
      </c>
      <c r="AU4287" t="s">
        <v>68</v>
      </c>
      <c r="AV4287" t="s">
        <v>69</v>
      </c>
      <c r="AW4287" s="1">
        <v>27207</v>
      </c>
      <c r="AX4287">
        <v>2</v>
      </c>
    </row>
    <row r="4288" spans="1:50">
      <c r="A4288">
        <v>199296</v>
      </c>
      <c r="B4288" t="str">
        <f>"052586077"</f>
        <v>052586077</v>
      </c>
      <c r="C4288" t="s">
        <v>105</v>
      </c>
      <c r="D4288" t="s">
        <v>7976</v>
      </c>
      <c r="E4288" t="s">
        <v>95</v>
      </c>
      <c r="F4288" t="s">
        <v>108</v>
      </c>
      <c r="G4288" t="s">
        <v>83</v>
      </c>
      <c r="H4288" t="str">
        <f>"ΓΕΡΑΣΙΜΟΥ ΠΑΡΔΑΛΗ ΧΑΝΙΩΝ"</f>
        <v>ΓΕΡΑΣΙΜΟΥ ΠΑΡΔΑΛΗ ΧΑΝΙΩΝ</v>
      </c>
      <c r="I4288">
        <v>73100</v>
      </c>
      <c r="J4288">
        <v>2825051057</v>
      </c>
      <c r="K4288">
        <v>6974437395</v>
      </c>
      <c r="M4288" t="s">
        <v>7977</v>
      </c>
      <c r="N4288" t="s">
        <v>135</v>
      </c>
      <c r="O4288" t="s">
        <v>136</v>
      </c>
      <c r="R4288" t="s">
        <v>57</v>
      </c>
      <c r="S4288">
        <v>9</v>
      </c>
      <c r="T4288">
        <v>206</v>
      </c>
      <c r="U4288" s="1">
        <v>37866</v>
      </c>
      <c r="V4288" t="s">
        <v>6729</v>
      </c>
      <c r="W4288" t="s">
        <v>6730</v>
      </c>
      <c r="X4288" t="s">
        <v>58</v>
      </c>
      <c r="Y4288">
        <v>20</v>
      </c>
      <c r="Z4288" t="s">
        <v>59</v>
      </c>
      <c r="AA4288" t="s">
        <v>59</v>
      </c>
      <c r="AB4288" t="s">
        <v>59</v>
      </c>
      <c r="AC4288" t="s">
        <v>59</v>
      </c>
      <c r="AD4288" t="s">
        <v>59</v>
      </c>
      <c r="AF4288" s="1">
        <v>37866</v>
      </c>
      <c r="AG4288" t="s">
        <v>137</v>
      </c>
      <c r="AH4288" t="s">
        <v>469</v>
      </c>
      <c r="AI4288" t="str">
        <f>"5053001"</f>
        <v>5053001</v>
      </c>
      <c r="AJ4288" t="s">
        <v>6788</v>
      </c>
      <c r="AK4288">
        <v>2821068020</v>
      </c>
      <c r="AM4288" t="s">
        <v>88</v>
      </c>
      <c r="AN4288" t="s">
        <v>6764</v>
      </c>
      <c r="AO4288" t="s">
        <v>6764</v>
      </c>
      <c r="AP4288" t="s">
        <v>6764</v>
      </c>
      <c r="AQ4288">
        <v>1</v>
      </c>
      <c r="AR4288" t="s">
        <v>6729</v>
      </c>
      <c r="AS4288" t="s">
        <v>6730</v>
      </c>
      <c r="AT4288" t="s">
        <v>58</v>
      </c>
      <c r="AU4288" t="s">
        <v>68</v>
      </c>
      <c r="AV4288" t="s">
        <v>69</v>
      </c>
      <c r="AW4288" s="1">
        <v>24109</v>
      </c>
      <c r="AX4288">
        <v>2</v>
      </c>
    </row>
    <row r="4289" spans="1:50">
      <c r="A4289">
        <v>157321</v>
      </c>
      <c r="B4289" t="str">
        <f>"035970631"</f>
        <v>035970631</v>
      </c>
      <c r="C4289" t="s">
        <v>105</v>
      </c>
      <c r="D4289" t="s">
        <v>7976</v>
      </c>
      <c r="E4289" t="s">
        <v>53</v>
      </c>
      <c r="F4289" t="s">
        <v>474</v>
      </c>
      <c r="G4289" t="s">
        <v>1189</v>
      </c>
      <c r="H4289" t="str">
        <f>" "</f>
        <v xml:space="preserve"> </v>
      </c>
      <c r="N4289" t="s">
        <v>683</v>
      </c>
      <c r="O4289" t="s">
        <v>684</v>
      </c>
      <c r="R4289" t="s">
        <v>57</v>
      </c>
      <c r="S4289">
        <v>14</v>
      </c>
      <c r="T4289">
        <v>188</v>
      </c>
      <c r="U4289" s="1">
        <v>32752</v>
      </c>
      <c r="V4289" t="s">
        <v>6729</v>
      </c>
      <c r="W4289" t="s">
        <v>6730</v>
      </c>
      <c r="X4289" t="s">
        <v>58</v>
      </c>
      <c r="Y4289">
        <v>18</v>
      </c>
      <c r="Z4289" t="s">
        <v>59</v>
      </c>
      <c r="AA4289" t="s">
        <v>59</v>
      </c>
      <c r="AB4289" t="s">
        <v>59</v>
      </c>
      <c r="AC4289" t="s">
        <v>59</v>
      </c>
      <c r="AD4289" t="s">
        <v>59</v>
      </c>
      <c r="AF4289" s="1">
        <v>32756</v>
      </c>
      <c r="AG4289" t="s">
        <v>125</v>
      </c>
      <c r="AH4289" t="s">
        <v>126</v>
      </c>
      <c r="AI4289" t="str">
        <f>"5001070"</f>
        <v>5001070</v>
      </c>
      <c r="AJ4289" t="s">
        <v>6731</v>
      </c>
      <c r="AK4289">
        <v>2821088045</v>
      </c>
      <c r="AL4289" t="s">
        <v>6732</v>
      </c>
      <c r="AM4289" t="s">
        <v>88</v>
      </c>
      <c r="AN4289" t="s">
        <v>88</v>
      </c>
      <c r="AO4289" t="s">
        <v>6733</v>
      </c>
      <c r="AP4289" t="s">
        <v>6734</v>
      </c>
      <c r="AQ4289">
        <v>1</v>
      </c>
      <c r="AR4289" t="s">
        <v>6729</v>
      </c>
      <c r="AS4289" t="s">
        <v>6730</v>
      </c>
      <c r="AT4289" t="s">
        <v>58</v>
      </c>
      <c r="AU4289" t="s">
        <v>68</v>
      </c>
      <c r="AV4289" t="s">
        <v>69</v>
      </c>
      <c r="AW4289" s="1">
        <v>22466</v>
      </c>
      <c r="AX4289">
        <v>2</v>
      </c>
    </row>
    <row r="4290" spans="1:50">
      <c r="A4290">
        <v>182056</v>
      </c>
      <c r="B4290" t="str">
        <f>"079203060"</f>
        <v>079203060</v>
      </c>
      <c r="C4290" t="s">
        <v>50</v>
      </c>
      <c r="D4290" t="s">
        <v>7978</v>
      </c>
      <c r="E4290" t="s">
        <v>314</v>
      </c>
      <c r="F4290" t="s">
        <v>106</v>
      </c>
      <c r="G4290" t="s">
        <v>93</v>
      </c>
      <c r="H4290" t="str">
        <f>" "</f>
        <v xml:space="preserve"> </v>
      </c>
      <c r="N4290" t="s">
        <v>204</v>
      </c>
      <c r="O4290" t="s">
        <v>205</v>
      </c>
      <c r="R4290" t="s">
        <v>57</v>
      </c>
      <c r="S4290">
        <v>10</v>
      </c>
      <c r="T4290">
        <v>181</v>
      </c>
      <c r="U4290" s="1">
        <v>36039</v>
      </c>
      <c r="V4290" t="s">
        <v>6729</v>
      </c>
      <c r="W4290" t="s">
        <v>6730</v>
      </c>
      <c r="X4290" t="s">
        <v>58</v>
      </c>
      <c r="Y4290">
        <v>18</v>
      </c>
      <c r="Z4290" t="s">
        <v>59</v>
      </c>
      <c r="AA4290" t="s">
        <v>59</v>
      </c>
      <c r="AB4290" t="s">
        <v>59</v>
      </c>
      <c r="AC4290" t="s">
        <v>59</v>
      </c>
      <c r="AD4290" t="s">
        <v>59</v>
      </c>
      <c r="AF4290" s="1">
        <v>36045</v>
      </c>
      <c r="AG4290" t="s">
        <v>125</v>
      </c>
      <c r="AH4290" t="s">
        <v>126</v>
      </c>
      <c r="AI4290" t="str">
        <f>"5001070"</f>
        <v>5001070</v>
      </c>
      <c r="AJ4290" t="s">
        <v>6731</v>
      </c>
      <c r="AK4290">
        <v>2821088045</v>
      </c>
      <c r="AL4290" t="s">
        <v>6732</v>
      </c>
      <c r="AM4290" t="s">
        <v>88</v>
      </c>
      <c r="AN4290" t="s">
        <v>88</v>
      </c>
      <c r="AO4290" t="s">
        <v>6733</v>
      </c>
      <c r="AP4290" t="s">
        <v>6734</v>
      </c>
      <c r="AQ4290">
        <v>1</v>
      </c>
      <c r="AR4290" t="s">
        <v>6729</v>
      </c>
      <c r="AS4290" t="s">
        <v>6730</v>
      </c>
      <c r="AT4290" t="s">
        <v>58</v>
      </c>
      <c r="AU4290" t="s">
        <v>68</v>
      </c>
      <c r="AV4290" t="s">
        <v>69</v>
      </c>
      <c r="AW4290" s="1">
        <v>24574</v>
      </c>
      <c r="AX4290">
        <v>2</v>
      </c>
    </row>
    <row r="4291" spans="1:50">
      <c r="A4291">
        <v>209174</v>
      </c>
      <c r="B4291" t="str">
        <f>"076328790"</f>
        <v>076328790</v>
      </c>
      <c r="C4291" t="s">
        <v>105</v>
      </c>
      <c r="D4291" t="s">
        <v>7979</v>
      </c>
      <c r="E4291" t="s">
        <v>106</v>
      </c>
      <c r="F4291" t="s">
        <v>166</v>
      </c>
      <c r="G4291" t="s">
        <v>5422</v>
      </c>
      <c r="H4291" t="str">
        <f>"ΠΥΡΓΟΣ ΨΗΛΟΝΕΡΟΥ 74 "</f>
        <v xml:space="preserve">ΠΥΡΓΟΣ ΨΗΛΟΝΕΡΟΥ 74 </v>
      </c>
      <c r="I4291">
        <v>73014</v>
      </c>
      <c r="J4291">
        <v>2821062168</v>
      </c>
      <c r="K4291">
        <v>6985071514</v>
      </c>
      <c r="M4291" t="s">
        <v>7980</v>
      </c>
      <c r="N4291" t="s">
        <v>204</v>
      </c>
      <c r="O4291" t="s">
        <v>205</v>
      </c>
      <c r="R4291" t="s">
        <v>57</v>
      </c>
      <c r="S4291">
        <v>7</v>
      </c>
      <c r="T4291">
        <v>218</v>
      </c>
      <c r="U4291" s="1">
        <v>38596</v>
      </c>
      <c r="V4291" t="s">
        <v>6729</v>
      </c>
      <c r="W4291" t="s">
        <v>6730</v>
      </c>
      <c r="X4291" t="s">
        <v>58</v>
      </c>
      <c r="Y4291">
        <v>20</v>
      </c>
      <c r="Z4291" t="s">
        <v>59</v>
      </c>
      <c r="AA4291" t="s">
        <v>59</v>
      </c>
      <c r="AB4291" t="s">
        <v>59</v>
      </c>
      <c r="AC4291" t="s">
        <v>59</v>
      </c>
      <c r="AD4291" t="s">
        <v>59</v>
      </c>
      <c r="AF4291" s="1">
        <v>38602</v>
      </c>
      <c r="AG4291" t="s">
        <v>125</v>
      </c>
      <c r="AH4291" t="s">
        <v>126</v>
      </c>
      <c r="AI4291" t="str">
        <f>"5009010"</f>
        <v>5009010</v>
      </c>
      <c r="AJ4291" t="s">
        <v>6901</v>
      </c>
      <c r="AK4291">
        <v>2821077212</v>
      </c>
      <c r="AL4291" t="s">
        <v>6902</v>
      </c>
      <c r="AM4291" t="s">
        <v>88</v>
      </c>
      <c r="AN4291" t="s">
        <v>6764</v>
      </c>
      <c r="AO4291" t="s">
        <v>6885</v>
      </c>
      <c r="AP4291" t="s">
        <v>6886</v>
      </c>
      <c r="AQ4291">
        <v>1</v>
      </c>
      <c r="AR4291" t="s">
        <v>6729</v>
      </c>
      <c r="AS4291" t="s">
        <v>6730</v>
      </c>
      <c r="AT4291" t="s">
        <v>58</v>
      </c>
      <c r="AU4291" t="s">
        <v>68</v>
      </c>
      <c r="AV4291" t="s">
        <v>69</v>
      </c>
      <c r="AW4291" s="1">
        <v>25358</v>
      </c>
      <c r="AX4291">
        <v>2</v>
      </c>
    </row>
    <row r="4292" spans="1:50">
      <c r="A4292">
        <v>175597</v>
      </c>
      <c r="B4292" t="str">
        <f>"052421584"</f>
        <v>052421584</v>
      </c>
      <c r="C4292" t="s">
        <v>50</v>
      </c>
      <c r="D4292" t="s">
        <v>7981</v>
      </c>
      <c r="E4292" t="s">
        <v>237</v>
      </c>
      <c r="F4292" t="s">
        <v>3824</v>
      </c>
      <c r="G4292" t="s">
        <v>411</v>
      </c>
      <c r="H4292" t="str">
        <f>"Κόρακα 17 "</f>
        <v xml:space="preserve">Κόρακα 17 </v>
      </c>
      <c r="I4292">
        <v>73135</v>
      </c>
      <c r="J4292">
        <v>2821099743</v>
      </c>
      <c r="K4292">
        <v>6948462260</v>
      </c>
      <c r="M4292" t="s">
        <v>7982</v>
      </c>
      <c r="N4292" t="s">
        <v>146</v>
      </c>
      <c r="O4292" t="s">
        <v>147</v>
      </c>
      <c r="R4292" t="s">
        <v>57</v>
      </c>
      <c r="S4292">
        <v>13</v>
      </c>
      <c r="T4292">
        <v>180</v>
      </c>
      <c r="U4292" s="1">
        <v>35674</v>
      </c>
      <c r="V4292" t="s">
        <v>6729</v>
      </c>
      <c r="W4292" t="s">
        <v>6730</v>
      </c>
      <c r="X4292" t="s">
        <v>58</v>
      </c>
      <c r="Y4292">
        <v>18</v>
      </c>
      <c r="Z4292" t="s">
        <v>59</v>
      </c>
      <c r="AA4292" t="s">
        <v>59</v>
      </c>
      <c r="AB4292" t="s">
        <v>59</v>
      </c>
      <c r="AC4292" t="s">
        <v>59</v>
      </c>
      <c r="AD4292" t="s">
        <v>59</v>
      </c>
      <c r="AF4292" s="1">
        <v>35677</v>
      </c>
      <c r="AG4292" t="s">
        <v>125</v>
      </c>
      <c r="AH4292" t="s">
        <v>126</v>
      </c>
      <c r="AI4292" t="str">
        <f>"5001050"</f>
        <v>5001050</v>
      </c>
      <c r="AJ4292" t="s">
        <v>6917</v>
      </c>
      <c r="AK4292">
        <v>2821088012</v>
      </c>
      <c r="AL4292" t="s">
        <v>6918</v>
      </c>
      <c r="AM4292" t="s">
        <v>88</v>
      </c>
      <c r="AN4292" t="s">
        <v>88</v>
      </c>
      <c r="AO4292" t="s">
        <v>88</v>
      </c>
      <c r="AP4292" t="s">
        <v>88</v>
      </c>
      <c r="AQ4292">
        <v>1</v>
      </c>
      <c r="AR4292" t="s">
        <v>6729</v>
      </c>
      <c r="AS4292" t="s">
        <v>6730</v>
      </c>
      <c r="AT4292" t="s">
        <v>58</v>
      </c>
      <c r="AU4292" t="s">
        <v>68</v>
      </c>
      <c r="AV4292" t="s">
        <v>69</v>
      </c>
      <c r="AW4292" s="1">
        <v>22860</v>
      </c>
      <c r="AX4292">
        <v>2</v>
      </c>
    </row>
    <row r="4293" spans="1:50">
      <c r="A4293">
        <v>191779</v>
      </c>
      <c r="B4293" t="str">
        <f>"113188057"</f>
        <v>113188057</v>
      </c>
      <c r="C4293" t="s">
        <v>50</v>
      </c>
      <c r="D4293" t="s">
        <v>7983</v>
      </c>
      <c r="E4293" t="s">
        <v>52</v>
      </c>
      <c r="F4293" t="s">
        <v>95</v>
      </c>
      <c r="G4293" t="s">
        <v>1189</v>
      </c>
      <c r="H4293" t="str">
        <f>" "</f>
        <v xml:space="preserve"> </v>
      </c>
      <c r="N4293" t="s">
        <v>168</v>
      </c>
      <c r="O4293" t="s">
        <v>169</v>
      </c>
      <c r="R4293" t="s">
        <v>57</v>
      </c>
      <c r="S4293">
        <v>10</v>
      </c>
      <c r="T4293">
        <v>291</v>
      </c>
      <c r="U4293" s="1">
        <v>37218</v>
      </c>
      <c r="V4293" t="s">
        <v>6729</v>
      </c>
      <c r="W4293" t="s">
        <v>6730</v>
      </c>
      <c r="X4293" t="s">
        <v>58</v>
      </c>
      <c r="Y4293">
        <v>20</v>
      </c>
      <c r="Z4293" t="s">
        <v>59</v>
      </c>
      <c r="AA4293" t="s">
        <v>59</v>
      </c>
      <c r="AB4293" t="s">
        <v>59</v>
      </c>
      <c r="AC4293" t="s">
        <v>59</v>
      </c>
      <c r="AD4293" t="s">
        <v>59</v>
      </c>
      <c r="AF4293" s="1">
        <v>37221</v>
      </c>
      <c r="AG4293" t="s">
        <v>137</v>
      </c>
      <c r="AH4293" t="s">
        <v>138</v>
      </c>
      <c r="AI4293" t="str">
        <f>"5050060"</f>
        <v>5050060</v>
      </c>
      <c r="AJ4293" t="s">
        <v>6801</v>
      </c>
      <c r="AK4293">
        <v>2821091515</v>
      </c>
      <c r="AL4293" t="s">
        <v>6802</v>
      </c>
      <c r="AM4293" t="s">
        <v>88</v>
      </c>
      <c r="AN4293" t="s">
        <v>88</v>
      </c>
      <c r="AO4293" t="s">
        <v>88</v>
      </c>
      <c r="AP4293" t="s">
        <v>88</v>
      </c>
      <c r="AQ4293">
        <v>1</v>
      </c>
      <c r="AR4293" t="s">
        <v>6729</v>
      </c>
      <c r="AS4293" t="s">
        <v>6730</v>
      </c>
      <c r="AT4293" t="s">
        <v>58</v>
      </c>
      <c r="AU4293" t="s">
        <v>68</v>
      </c>
      <c r="AV4293" t="s">
        <v>69</v>
      </c>
      <c r="AW4293" s="1">
        <v>27683</v>
      </c>
      <c r="AX4293">
        <v>2</v>
      </c>
    </row>
    <row r="4294" spans="1:50">
      <c r="A4294">
        <v>229738</v>
      </c>
      <c r="B4294" t="str">
        <f>"061898894"</f>
        <v>061898894</v>
      </c>
      <c r="C4294" t="s">
        <v>50</v>
      </c>
      <c r="D4294" t="s">
        <v>6312</v>
      </c>
      <c r="E4294" t="s">
        <v>460</v>
      </c>
      <c r="F4294" t="s">
        <v>377</v>
      </c>
      <c r="G4294" t="s">
        <v>52</v>
      </c>
      <c r="H4294" t="str">
        <f>"ΚΡΟΚΙΔΑ 68 ΧΑΝΙΑ"</f>
        <v>ΚΡΟΚΙΔΑ 68 ΧΑΝΙΑ</v>
      </c>
      <c r="I4294">
        <v>73100</v>
      </c>
      <c r="J4294">
        <v>2821040303</v>
      </c>
      <c r="K4294">
        <v>6973323277</v>
      </c>
      <c r="M4294" t="s">
        <v>7984</v>
      </c>
      <c r="N4294" t="s">
        <v>1351</v>
      </c>
      <c r="O4294" t="s">
        <v>1352</v>
      </c>
      <c r="P4294" t="s">
        <v>157</v>
      </c>
      <c r="Q4294" t="s">
        <v>158</v>
      </c>
      <c r="R4294" t="s">
        <v>57</v>
      </c>
      <c r="S4294">
        <v>9</v>
      </c>
      <c r="T4294">
        <v>988</v>
      </c>
      <c r="U4294" s="1">
        <v>40157</v>
      </c>
      <c r="V4294" t="s">
        <v>6729</v>
      </c>
      <c r="W4294" t="s">
        <v>6730</v>
      </c>
      <c r="X4294" t="s">
        <v>58</v>
      </c>
      <c r="Y4294">
        <v>21</v>
      </c>
      <c r="Z4294" t="s">
        <v>59</v>
      </c>
      <c r="AA4294" t="s">
        <v>59</v>
      </c>
      <c r="AB4294" t="s">
        <v>59</v>
      </c>
      <c r="AC4294" t="s">
        <v>59</v>
      </c>
      <c r="AD4294" t="s">
        <v>59</v>
      </c>
      <c r="AF4294" s="1">
        <v>40161</v>
      </c>
      <c r="AG4294" t="s">
        <v>137</v>
      </c>
      <c r="AH4294" t="s">
        <v>138</v>
      </c>
      <c r="AI4294" t="str">
        <f>"5040080"</f>
        <v>5040080</v>
      </c>
      <c r="AJ4294" t="s">
        <v>6753</v>
      </c>
      <c r="AK4294">
        <v>2821093155</v>
      </c>
      <c r="AL4294" t="s">
        <v>6754</v>
      </c>
      <c r="AM4294" t="s">
        <v>88</v>
      </c>
      <c r="AN4294" t="s">
        <v>88</v>
      </c>
      <c r="AO4294" t="s">
        <v>6733</v>
      </c>
      <c r="AP4294" t="s">
        <v>6755</v>
      </c>
      <c r="AQ4294">
        <v>1</v>
      </c>
      <c r="AR4294" t="s">
        <v>6729</v>
      </c>
      <c r="AS4294" t="s">
        <v>6730</v>
      </c>
      <c r="AT4294" t="s">
        <v>58</v>
      </c>
      <c r="AU4294" t="s">
        <v>68</v>
      </c>
      <c r="AV4294" t="s">
        <v>69</v>
      </c>
      <c r="AW4294" s="1">
        <v>25569</v>
      </c>
      <c r="AX4294">
        <v>2</v>
      </c>
    </row>
    <row r="4295" spans="1:50">
      <c r="A4295">
        <v>175599</v>
      </c>
      <c r="B4295" t="str">
        <f>"035304529"</f>
        <v>035304529</v>
      </c>
      <c r="C4295" t="s">
        <v>50</v>
      </c>
      <c r="D4295" t="s">
        <v>7985</v>
      </c>
      <c r="E4295" t="s">
        <v>263</v>
      </c>
      <c r="F4295" t="s">
        <v>84</v>
      </c>
      <c r="G4295" t="s">
        <v>83</v>
      </c>
      <c r="H4295" t="str">
        <f>"ΑΝΑΓΝΩΣΤΟΥ ΜΑΝΤΑΚΑ 53 ΧΑΝΙΑ"</f>
        <v>ΑΝΑΓΝΩΣΤΟΥ ΜΑΝΤΑΚΑ 53 ΧΑΝΙΑ</v>
      </c>
      <c r="I4295">
        <v>73136</v>
      </c>
      <c r="K4295">
        <v>6945774509</v>
      </c>
      <c r="N4295" t="s">
        <v>146</v>
      </c>
      <c r="O4295" t="s">
        <v>147</v>
      </c>
      <c r="R4295" t="s">
        <v>57</v>
      </c>
      <c r="S4295">
        <v>13</v>
      </c>
      <c r="T4295">
        <v>180</v>
      </c>
      <c r="U4295" s="1">
        <v>35674</v>
      </c>
      <c r="V4295" t="s">
        <v>6729</v>
      </c>
      <c r="W4295" t="s">
        <v>6730</v>
      </c>
      <c r="X4295" t="s">
        <v>58</v>
      </c>
      <c r="Y4295">
        <v>18</v>
      </c>
      <c r="Z4295" t="s">
        <v>59</v>
      </c>
      <c r="AA4295" t="s">
        <v>59</v>
      </c>
      <c r="AB4295" t="s">
        <v>59</v>
      </c>
      <c r="AC4295" t="s">
        <v>59</v>
      </c>
      <c r="AD4295" t="s">
        <v>59</v>
      </c>
      <c r="AF4295" s="1">
        <v>35678</v>
      </c>
      <c r="AG4295" t="s">
        <v>148</v>
      </c>
      <c r="AH4295" t="s">
        <v>149</v>
      </c>
      <c r="AI4295" t="str">
        <f>"5051040"</f>
        <v>5051040</v>
      </c>
      <c r="AJ4295" t="s">
        <v>6811</v>
      </c>
      <c r="AK4295">
        <v>2821088007</v>
      </c>
      <c r="AL4295" t="s">
        <v>6812</v>
      </c>
      <c r="AM4295" t="s">
        <v>88</v>
      </c>
      <c r="AN4295" t="s">
        <v>88</v>
      </c>
      <c r="AO4295" t="s">
        <v>88</v>
      </c>
      <c r="AP4295" t="s">
        <v>88</v>
      </c>
      <c r="AQ4295">
        <v>1</v>
      </c>
      <c r="AR4295" t="s">
        <v>6729</v>
      </c>
      <c r="AS4295" t="s">
        <v>6730</v>
      </c>
      <c r="AT4295" t="s">
        <v>58</v>
      </c>
      <c r="AU4295" t="s">
        <v>68</v>
      </c>
      <c r="AV4295" t="s">
        <v>69</v>
      </c>
      <c r="AW4295" s="1">
        <v>24511</v>
      </c>
      <c r="AX4295">
        <v>2</v>
      </c>
    </row>
    <row r="4296" spans="1:50">
      <c r="A4296">
        <v>183104</v>
      </c>
      <c r="B4296" t="str">
        <f>"046171979"</f>
        <v>046171979</v>
      </c>
      <c r="C4296" t="s">
        <v>50</v>
      </c>
      <c r="D4296" t="s">
        <v>3014</v>
      </c>
      <c r="E4296" t="s">
        <v>103</v>
      </c>
      <c r="F4296" t="s">
        <v>166</v>
      </c>
      <c r="G4296" t="s">
        <v>52</v>
      </c>
      <c r="H4296" t="str">
        <f>" "</f>
        <v xml:space="preserve"> </v>
      </c>
      <c r="N4296" t="s">
        <v>204</v>
      </c>
      <c r="O4296" t="s">
        <v>205</v>
      </c>
      <c r="R4296" t="s">
        <v>57</v>
      </c>
      <c r="S4296">
        <v>12</v>
      </c>
      <c r="T4296" t="s">
        <v>984</v>
      </c>
      <c r="U4296" s="1">
        <v>36714</v>
      </c>
      <c r="V4296" t="s">
        <v>6729</v>
      </c>
      <c r="W4296" t="s">
        <v>6730</v>
      </c>
      <c r="X4296" t="s">
        <v>58</v>
      </c>
      <c r="Y4296">
        <v>18</v>
      </c>
      <c r="Z4296" t="s">
        <v>59</v>
      </c>
      <c r="AA4296" t="s">
        <v>59</v>
      </c>
      <c r="AB4296" t="s">
        <v>59</v>
      </c>
      <c r="AC4296" t="s">
        <v>59</v>
      </c>
      <c r="AD4296" t="s">
        <v>59</v>
      </c>
      <c r="AF4296" s="1">
        <v>36714</v>
      </c>
      <c r="AG4296" t="s">
        <v>137</v>
      </c>
      <c r="AH4296" t="s">
        <v>138</v>
      </c>
      <c r="AI4296" t="str">
        <f>"5040100"</f>
        <v>5040100</v>
      </c>
      <c r="AJ4296" t="s">
        <v>6790</v>
      </c>
      <c r="AK4296">
        <v>2821058998</v>
      </c>
      <c r="AL4296" t="s">
        <v>6791</v>
      </c>
      <c r="AM4296" t="s">
        <v>88</v>
      </c>
      <c r="AN4296" t="s">
        <v>88</v>
      </c>
      <c r="AO4296" t="s">
        <v>6770</v>
      </c>
      <c r="AP4296" t="s">
        <v>6771</v>
      </c>
      <c r="AQ4296">
        <v>1</v>
      </c>
      <c r="AR4296" t="s">
        <v>6729</v>
      </c>
      <c r="AS4296" t="s">
        <v>6730</v>
      </c>
      <c r="AT4296" t="s">
        <v>58</v>
      </c>
      <c r="AU4296" t="s">
        <v>68</v>
      </c>
      <c r="AV4296" t="s">
        <v>69</v>
      </c>
      <c r="AW4296" s="1">
        <v>25480</v>
      </c>
      <c r="AX4296">
        <v>2</v>
      </c>
    </row>
    <row r="4297" spans="1:50">
      <c r="B4297" t="str">
        <f>"066837982"</f>
        <v>066837982</v>
      </c>
      <c r="C4297" t="s">
        <v>50</v>
      </c>
      <c r="D4297" t="s">
        <v>7986</v>
      </c>
      <c r="E4297" t="s">
        <v>237</v>
      </c>
      <c r="F4297" t="s">
        <v>920</v>
      </c>
      <c r="G4297" t="s">
        <v>83</v>
      </c>
      <c r="H4297" t="str">
        <f>"1η παροδος Καλαμαρίδη Καμπάνι  ΧΑΝΙΑ"</f>
        <v>1η παροδος Καλαμαρίδη Καμπάνι  ΧΑΝΙΑ</v>
      </c>
      <c r="I4297">
        <v>73100</v>
      </c>
      <c r="J4297">
        <v>2821049607</v>
      </c>
      <c r="K4297">
        <v>6974798196</v>
      </c>
      <c r="M4297" t="s">
        <v>7987</v>
      </c>
      <c r="N4297" t="s">
        <v>146</v>
      </c>
      <c r="O4297" t="s">
        <v>147</v>
      </c>
      <c r="R4297" t="s">
        <v>159</v>
      </c>
      <c r="S4297">
        <v>2</v>
      </c>
      <c r="T4297" t="s">
        <v>416</v>
      </c>
      <c r="U4297" s="1">
        <v>43349</v>
      </c>
      <c r="V4297" t="s">
        <v>6729</v>
      </c>
      <c r="W4297" t="s">
        <v>6730</v>
      </c>
      <c r="X4297" t="s">
        <v>58</v>
      </c>
      <c r="Y4297">
        <v>23</v>
      </c>
      <c r="Z4297" t="s">
        <v>59</v>
      </c>
      <c r="AA4297" t="s">
        <v>59</v>
      </c>
      <c r="AB4297" t="s">
        <v>59</v>
      </c>
      <c r="AC4297" t="s">
        <v>59</v>
      </c>
      <c r="AD4297" t="s">
        <v>59</v>
      </c>
      <c r="AF4297" s="1">
        <v>43349</v>
      </c>
      <c r="AG4297" t="s">
        <v>148</v>
      </c>
      <c r="AH4297" t="s">
        <v>149</v>
      </c>
      <c r="AI4297" t="str">
        <f>"5051010"</f>
        <v>5051010</v>
      </c>
      <c r="AJ4297" t="s">
        <v>6896</v>
      </c>
      <c r="AK4297">
        <v>2821028714</v>
      </c>
      <c r="AL4297" t="s">
        <v>6897</v>
      </c>
      <c r="AM4297" t="s">
        <v>88</v>
      </c>
      <c r="AN4297" t="s">
        <v>88</v>
      </c>
      <c r="AO4297" t="s">
        <v>88</v>
      </c>
      <c r="AP4297" t="s">
        <v>88</v>
      </c>
      <c r="AQ4297">
        <v>1</v>
      </c>
      <c r="AR4297" t="s">
        <v>6729</v>
      </c>
      <c r="AS4297" t="s">
        <v>6730</v>
      </c>
      <c r="AT4297" t="s">
        <v>58</v>
      </c>
      <c r="AU4297" t="s">
        <v>419</v>
      </c>
      <c r="AV4297" t="s">
        <v>132</v>
      </c>
      <c r="AW4297" s="1">
        <v>28845</v>
      </c>
      <c r="AX4297">
        <v>2</v>
      </c>
    </row>
    <row r="4298" spans="1:50">
      <c r="A4298">
        <v>199416</v>
      </c>
      <c r="B4298" t="str">
        <f>"120208837"</f>
        <v>120208837</v>
      </c>
      <c r="C4298" t="s">
        <v>105</v>
      </c>
      <c r="D4298" t="s">
        <v>7988</v>
      </c>
      <c r="E4298" t="s">
        <v>496</v>
      </c>
      <c r="F4298" t="s">
        <v>99</v>
      </c>
      <c r="G4298" t="s">
        <v>83</v>
      </c>
      <c r="H4298" t="str">
        <f>"ΣΤ. ΛΕΚΑΝΙΔΗ 5 ΝΕΑ ΧΩΡΑ"</f>
        <v>ΣΤ. ΛΕΚΑΝΙΔΗ 5 ΝΕΑ ΧΩΡΑ</v>
      </c>
      <c r="J4298">
        <v>2821072910</v>
      </c>
      <c r="K4298">
        <v>6974936326</v>
      </c>
      <c r="M4298" t="s">
        <v>7989</v>
      </c>
      <c r="N4298" t="s">
        <v>189</v>
      </c>
      <c r="O4298" t="s">
        <v>190</v>
      </c>
      <c r="R4298" t="s">
        <v>57</v>
      </c>
      <c r="S4298">
        <v>11</v>
      </c>
      <c r="T4298">
        <v>206</v>
      </c>
      <c r="U4298" s="1">
        <v>37866</v>
      </c>
      <c r="V4298" t="s">
        <v>6729</v>
      </c>
      <c r="W4298" t="s">
        <v>6730</v>
      </c>
      <c r="X4298" t="s">
        <v>58</v>
      </c>
      <c r="Y4298">
        <v>20</v>
      </c>
      <c r="Z4298" t="s">
        <v>59</v>
      </c>
      <c r="AA4298" t="s">
        <v>59</v>
      </c>
      <c r="AB4298" t="s">
        <v>59</v>
      </c>
      <c r="AC4298" t="s">
        <v>59</v>
      </c>
      <c r="AD4298" t="s">
        <v>59</v>
      </c>
      <c r="AF4298" s="1">
        <v>37868</v>
      </c>
      <c r="AG4298" t="s">
        <v>148</v>
      </c>
      <c r="AH4298" t="s">
        <v>149</v>
      </c>
      <c r="AI4298" t="str">
        <f>"5051010"</f>
        <v>5051010</v>
      </c>
      <c r="AJ4298" t="s">
        <v>6896</v>
      </c>
      <c r="AK4298">
        <v>2821028714</v>
      </c>
      <c r="AL4298" t="s">
        <v>6897</v>
      </c>
      <c r="AM4298" t="s">
        <v>88</v>
      </c>
      <c r="AN4298" t="s">
        <v>88</v>
      </c>
      <c r="AO4298" t="s">
        <v>88</v>
      </c>
      <c r="AP4298" t="s">
        <v>88</v>
      </c>
      <c r="AQ4298">
        <v>1</v>
      </c>
      <c r="AR4298" t="s">
        <v>6729</v>
      </c>
      <c r="AS4298" t="s">
        <v>6730</v>
      </c>
      <c r="AT4298" t="s">
        <v>58</v>
      </c>
      <c r="AU4298" t="s">
        <v>68</v>
      </c>
      <c r="AV4298" t="s">
        <v>69</v>
      </c>
      <c r="AW4298" s="1">
        <v>28437</v>
      </c>
      <c r="AX4298">
        <v>2</v>
      </c>
    </row>
    <row r="4299" spans="1:50">
      <c r="A4299">
        <v>209644</v>
      </c>
      <c r="B4299" t="str">
        <f>"074953237"</f>
        <v>074953237</v>
      </c>
      <c r="C4299" t="s">
        <v>105</v>
      </c>
      <c r="D4299" t="s">
        <v>7990</v>
      </c>
      <c r="E4299" t="s">
        <v>154</v>
      </c>
      <c r="F4299" t="s">
        <v>154</v>
      </c>
      <c r="G4299" t="s">
        <v>52</v>
      </c>
      <c r="H4299" t="str">
        <f>" "</f>
        <v xml:space="preserve"> </v>
      </c>
      <c r="J4299">
        <v>2821064984</v>
      </c>
      <c r="K4299">
        <v>6974680514</v>
      </c>
      <c r="N4299" t="s">
        <v>146</v>
      </c>
      <c r="O4299" t="s">
        <v>147</v>
      </c>
      <c r="R4299" t="s">
        <v>57</v>
      </c>
      <c r="S4299">
        <v>12</v>
      </c>
      <c r="T4299">
        <v>225</v>
      </c>
      <c r="U4299" s="1">
        <v>38604</v>
      </c>
      <c r="V4299" t="s">
        <v>6729</v>
      </c>
      <c r="W4299" t="s">
        <v>6730</v>
      </c>
      <c r="X4299" t="s">
        <v>58</v>
      </c>
      <c r="Y4299">
        <v>20</v>
      </c>
      <c r="Z4299" t="s">
        <v>59</v>
      </c>
      <c r="AA4299" t="s">
        <v>59</v>
      </c>
      <c r="AB4299" t="s">
        <v>59</v>
      </c>
      <c r="AC4299" t="s">
        <v>59</v>
      </c>
      <c r="AD4299" t="s">
        <v>59</v>
      </c>
      <c r="AF4299" s="1">
        <v>38607</v>
      </c>
      <c r="AG4299" t="s">
        <v>148</v>
      </c>
      <c r="AH4299" t="s">
        <v>149</v>
      </c>
      <c r="AI4299" t="str">
        <f>"5062010"</f>
        <v>5062010</v>
      </c>
      <c r="AJ4299" t="s">
        <v>6783</v>
      </c>
      <c r="AK4299">
        <v>2821031620</v>
      </c>
      <c r="AL4299" t="s">
        <v>6784</v>
      </c>
      <c r="AM4299" t="s">
        <v>88</v>
      </c>
      <c r="AN4299" t="s">
        <v>88</v>
      </c>
      <c r="AO4299" t="s">
        <v>6785</v>
      </c>
      <c r="AP4299" t="s">
        <v>6786</v>
      </c>
      <c r="AQ4299">
        <v>1</v>
      </c>
      <c r="AR4299" t="s">
        <v>6729</v>
      </c>
      <c r="AS4299" t="s">
        <v>6730</v>
      </c>
      <c r="AT4299" t="s">
        <v>58</v>
      </c>
      <c r="AU4299" t="s">
        <v>68</v>
      </c>
      <c r="AV4299" t="s">
        <v>69</v>
      </c>
      <c r="AW4299" s="1">
        <v>25371</v>
      </c>
      <c r="AX4299">
        <v>2</v>
      </c>
    </row>
    <row r="4300" spans="1:50">
      <c r="A4300">
        <v>184613</v>
      </c>
      <c r="B4300" t="str">
        <f>"046187399"</f>
        <v>046187399</v>
      </c>
      <c r="C4300" t="s">
        <v>105</v>
      </c>
      <c r="D4300" t="s">
        <v>3030</v>
      </c>
      <c r="E4300" t="s">
        <v>315</v>
      </c>
      <c r="F4300" t="s">
        <v>7991</v>
      </c>
      <c r="G4300" t="s">
        <v>52</v>
      </c>
      <c r="H4300" t="str">
        <f>"ΖΩΟΔΟΧΟΥ ΠΗΓΗΣ 82 ΑΓΙΟΣ ΙΩΑΝΝΗΣ"</f>
        <v>ΖΩΟΔΟΧΟΥ ΠΗΓΗΣ 82 ΑΓΙΟΣ ΙΩΑΝΝΗΣ</v>
      </c>
      <c r="I4300">
        <v>73100</v>
      </c>
      <c r="M4300" t="s">
        <v>7992</v>
      </c>
      <c r="N4300" t="s">
        <v>683</v>
      </c>
      <c r="O4300" t="s">
        <v>684</v>
      </c>
      <c r="R4300" t="s">
        <v>57</v>
      </c>
      <c r="S4300">
        <v>9</v>
      </c>
      <c r="T4300">
        <v>177</v>
      </c>
      <c r="U4300" s="1">
        <v>36403</v>
      </c>
      <c r="V4300" t="s">
        <v>6729</v>
      </c>
      <c r="W4300" t="s">
        <v>6730</v>
      </c>
      <c r="X4300" t="s">
        <v>58</v>
      </c>
      <c r="Y4300">
        <v>20</v>
      </c>
      <c r="Z4300" t="s">
        <v>59</v>
      </c>
      <c r="AA4300" t="s">
        <v>59</v>
      </c>
      <c r="AB4300" t="s">
        <v>59</v>
      </c>
      <c r="AC4300" t="s">
        <v>59</v>
      </c>
      <c r="AD4300" t="s">
        <v>59</v>
      </c>
      <c r="AF4300" s="1">
        <v>36409</v>
      </c>
      <c r="AG4300" t="s">
        <v>125</v>
      </c>
      <c r="AH4300" t="s">
        <v>126</v>
      </c>
      <c r="AI4300" t="str">
        <f>"5001072"</f>
        <v>5001072</v>
      </c>
      <c r="AJ4300" t="s">
        <v>6922</v>
      </c>
      <c r="AK4300">
        <v>2821055471</v>
      </c>
      <c r="AL4300" t="s">
        <v>6923</v>
      </c>
      <c r="AM4300" t="s">
        <v>88</v>
      </c>
      <c r="AN4300" t="s">
        <v>88</v>
      </c>
      <c r="AO4300" t="s">
        <v>88</v>
      </c>
      <c r="AP4300" t="s">
        <v>88</v>
      </c>
      <c r="AQ4300">
        <v>1</v>
      </c>
      <c r="AR4300" t="s">
        <v>6729</v>
      </c>
      <c r="AS4300" t="s">
        <v>6730</v>
      </c>
      <c r="AT4300" t="s">
        <v>58</v>
      </c>
      <c r="AU4300" t="s">
        <v>68</v>
      </c>
      <c r="AV4300" t="s">
        <v>69</v>
      </c>
      <c r="AW4300" s="1">
        <v>23622</v>
      </c>
      <c r="AX4300">
        <v>2</v>
      </c>
    </row>
    <row r="4301" spans="1:50">
      <c r="B4301" t="str">
        <f>"065969692"</f>
        <v>065969692</v>
      </c>
      <c r="C4301" t="s">
        <v>50</v>
      </c>
      <c r="D4301" t="s">
        <v>7993</v>
      </c>
      <c r="E4301" t="s">
        <v>513</v>
      </c>
      <c r="F4301" t="s">
        <v>72</v>
      </c>
      <c r="G4301" t="s">
        <v>755</v>
      </c>
      <c r="H4301" t="str">
        <f>"ΜΑΝΟΥΣΟΓΙΑΝΝΑΚΗΔΩΝ  21 ΧΑΝΙΑ"</f>
        <v>ΜΑΝΟΥΣΟΓΙΑΝΝΑΚΗΔΩΝ  21 ΧΑΝΙΑ</v>
      </c>
      <c r="I4301">
        <v>73136</v>
      </c>
      <c r="J4301">
        <v>2824041284</v>
      </c>
      <c r="K4301">
        <v>6944840450</v>
      </c>
      <c r="M4301" t="s">
        <v>7994</v>
      </c>
      <c r="N4301" t="s">
        <v>146</v>
      </c>
      <c r="O4301" t="s">
        <v>147</v>
      </c>
      <c r="R4301" t="s">
        <v>159</v>
      </c>
      <c r="S4301">
        <v>3</v>
      </c>
      <c r="T4301" t="s">
        <v>574</v>
      </c>
      <c r="U4301" s="1">
        <v>43378</v>
      </c>
      <c r="V4301" t="s">
        <v>6729</v>
      </c>
      <c r="W4301" t="s">
        <v>6730</v>
      </c>
      <c r="X4301" t="s">
        <v>58</v>
      </c>
      <c r="Y4301">
        <v>21</v>
      </c>
      <c r="Z4301" t="s">
        <v>59</v>
      </c>
      <c r="AA4301" t="s">
        <v>59</v>
      </c>
      <c r="AB4301" t="s">
        <v>59</v>
      </c>
      <c r="AC4301" t="s">
        <v>59</v>
      </c>
      <c r="AD4301" t="s">
        <v>59</v>
      </c>
      <c r="AF4301" s="1">
        <v>43381</v>
      </c>
      <c r="AG4301" t="s">
        <v>125</v>
      </c>
      <c r="AH4301" t="s">
        <v>126</v>
      </c>
      <c r="AI4301" t="str">
        <f>"5005010"</f>
        <v>5005010</v>
      </c>
      <c r="AJ4301" t="s">
        <v>7100</v>
      </c>
      <c r="AK4301">
        <v>2823041217</v>
      </c>
      <c r="AL4301" t="s">
        <v>7101</v>
      </c>
      <c r="AM4301" t="s">
        <v>88</v>
      </c>
      <c r="AN4301" t="s">
        <v>6824</v>
      </c>
      <c r="AO4301" t="s">
        <v>6870</v>
      </c>
      <c r="AP4301" t="s">
        <v>6871</v>
      </c>
      <c r="AQ4301">
        <v>1</v>
      </c>
      <c r="AR4301" t="s">
        <v>6729</v>
      </c>
      <c r="AS4301" t="s">
        <v>6730</v>
      </c>
      <c r="AT4301" t="s">
        <v>58</v>
      </c>
      <c r="AU4301" t="s">
        <v>164</v>
      </c>
      <c r="AV4301" t="s">
        <v>132</v>
      </c>
      <c r="AW4301" s="1">
        <v>28241</v>
      </c>
      <c r="AX4301">
        <v>2</v>
      </c>
    </row>
    <row r="4302" spans="1:50">
      <c r="A4302">
        <v>203392</v>
      </c>
      <c r="B4302" t="str">
        <f>"072599722"</f>
        <v>072599722</v>
      </c>
      <c r="C4302" t="s">
        <v>50</v>
      </c>
      <c r="D4302" t="s">
        <v>7993</v>
      </c>
      <c r="E4302" t="s">
        <v>476</v>
      </c>
      <c r="F4302" t="s">
        <v>4368</v>
      </c>
      <c r="G4302" t="s">
        <v>52</v>
      </c>
      <c r="H4302" t="str">
        <f>" "</f>
        <v xml:space="preserve"> </v>
      </c>
      <c r="J4302">
        <v>2821040821</v>
      </c>
      <c r="K4302">
        <v>6974145279</v>
      </c>
      <c r="L4302">
        <v>2821042003</v>
      </c>
      <c r="M4302" t="s">
        <v>7995</v>
      </c>
      <c r="N4302" t="s">
        <v>306</v>
      </c>
      <c r="O4302" t="s">
        <v>307</v>
      </c>
      <c r="R4302" t="s">
        <v>57</v>
      </c>
      <c r="S4302">
        <v>9</v>
      </c>
      <c r="T4302">
        <v>231</v>
      </c>
      <c r="U4302" s="1">
        <v>38230</v>
      </c>
      <c r="V4302" t="s">
        <v>6729</v>
      </c>
      <c r="W4302" t="s">
        <v>6730</v>
      </c>
      <c r="X4302" t="s">
        <v>58</v>
      </c>
      <c r="Y4302">
        <v>20</v>
      </c>
      <c r="Z4302" t="s">
        <v>59</v>
      </c>
      <c r="AA4302" t="s">
        <v>59</v>
      </c>
      <c r="AB4302" t="s">
        <v>59</v>
      </c>
      <c r="AC4302" t="s">
        <v>59</v>
      </c>
      <c r="AD4302" t="s">
        <v>59</v>
      </c>
      <c r="AF4302" s="1">
        <v>38233</v>
      </c>
      <c r="AG4302" t="s">
        <v>125</v>
      </c>
      <c r="AH4302" t="s">
        <v>126</v>
      </c>
      <c r="AI4302" t="str">
        <f>"5001076"</f>
        <v>5001076</v>
      </c>
      <c r="AJ4302" t="s">
        <v>6979</v>
      </c>
      <c r="AK4302">
        <v>2821088808</v>
      </c>
      <c r="AL4302" t="s">
        <v>6980</v>
      </c>
      <c r="AM4302" t="s">
        <v>88</v>
      </c>
      <c r="AN4302" t="s">
        <v>88</v>
      </c>
      <c r="AO4302" t="s">
        <v>6733</v>
      </c>
      <c r="AP4302" t="s">
        <v>6755</v>
      </c>
      <c r="AQ4302">
        <v>1</v>
      </c>
      <c r="AR4302" t="s">
        <v>6729</v>
      </c>
      <c r="AS4302" t="s">
        <v>6730</v>
      </c>
      <c r="AT4302" t="s">
        <v>58</v>
      </c>
      <c r="AU4302" t="s">
        <v>68</v>
      </c>
      <c r="AV4302" t="s">
        <v>69</v>
      </c>
      <c r="AW4302" s="1">
        <v>27238</v>
      </c>
      <c r="AX4302">
        <v>2</v>
      </c>
    </row>
    <row r="4303" spans="1:50">
      <c r="A4303">
        <v>175030</v>
      </c>
      <c r="B4303" t="str">
        <f>"054427965"</f>
        <v>054427965</v>
      </c>
      <c r="C4303" t="s">
        <v>50</v>
      </c>
      <c r="D4303" t="s">
        <v>7996</v>
      </c>
      <c r="E4303" t="s">
        <v>181</v>
      </c>
      <c r="F4303" t="s">
        <v>106</v>
      </c>
      <c r="G4303" t="s">
        <v>1068</v>
      </c>
      <c r="H4303" t="str">
        <f>" "</f>
        <v xml:space="preserve"> </v>
      </c>
      <c r="N4303" t="s">
        <v>204</v>
      </c>
      <c r="O4303" t="s">
        <v>205</v>
      </c>
      <c r="R4303" t="s">
        <v>57</v>
      </c>
      <c r="S4303">
        <v>11</v>
      </c>
      <c r="T4303">
        <v>166</v>
      </c>
      <c r="U4303" s="1">
        <v>35300</v>
      </c>
      <c r="V4303" t="s">
        <v>6729</v>
      </c>
      <c r="W4303" t="s">
        <v>6730</v>
      </c>
      <c r="X4303" t="s">
        <v>58</v>
      </c>
      <c r="Y4303">
        <v>18</v>
      </c>
      <c r="Z4303" t="s">
        <v>59</v>
      </c>
      <c r="AA4303" t="s">
        <v>59</v>
      </c>
      <c r="AB4303" t="s">
        <v>59</v>
      </c>
      <c r="AC4303" t="s">
        <v>59</v>
      </c>
      <c r="AD4303" t="s">
        <v>59</v>
      </c>
      <c r="AF4303" s="1">
        <v>35309</v>
      </c>
      <c r="AG4303" t="s">
        <v>125</v>
      </c>
      <c r="AH4303" t="s">
        <v>126</v>
      </c>
      <c r="AI4303" t="str">
        <f>"5012010"</f>
        <v>5012010</v>
      </c>
      <c r="AJ4303" t="s">
        <v>6794</v>
      </c>
      <c r="AK4303">
        <v>2821033195</v>
      </c>
      <c r="AL4303" t="s">
        <v>6795</v>
      </c>
      <c r="AM4303" t="s">
        <v>88</v>
      </c>
      <c r="AN4303" t="s">
        <v>88</v>
      </c>
      <c r="AO4303" t="s">
        <v>6785</v>
      </c>
      <c r="AP4303" t="s">
        <v>6786</v>
      </c>
      <c r="AQ4303">
        <v>1</v>
      </c>
      <c r="AR4303" t="s">
        <v>6729</v>
      </c>
      <c r="AS4303" t="s">
        <v>6730</v>
      </c>
      <c r="AT4303" t="s">
        <v>58</v>
      </c>
      <c r="AU4303" t="s">
        <v>68</v>
      </c>
      <c r="AV4303" t="s">
        <v>69</v>
      </c>
      <c r="AW4303" s="1">
        <v>25636</v>
      </c>
      <c r="AX4303">
        <v>2</v>
      </c>
    </row>
    <row r="4304" spans="1:50">
      <c r="A4304">
        <v>190937</v>
      </c>
      <c r="B4304" t="str">
        <f>"058333952"</f>
        <v>058333952</v>
      </c>
      <c r="C4304" t="s">
        <v>50</v>
      </c>
      <c r="D4304" t="s">
        <v>3038</v>
      </c>
      <c r="E4304" t="s">
        <v>7997</v>
      </c>
      <c r="F4304" t="s">
        <v>166</v>
      </c>
      <c r="G4304" t="s">
        <v>888</v>
      </c>
      <c r="H4304" t="str">
        <f>" "</f>
        <v xml:space="preserve"> </v>
      </c>
      <c r="N4304" t="s">
        <v>204</v>
      </c>
      <c r="O4304" t="s">
        <v>205</v>
      </c>
      <c r="P4304" t="s">
        <v>733</v>
      </c>
      <c r="Q4304" t="s">
        <v>734</v>
      </c>
      <c r="R4304" t="s">
        <v>57</v>
      </c>
      <c r="S4304">
        <v>11</v>
      </c>
      <c r="T4304">
        <v>219</v>
      </c>
      <c r="U4304" s="1">
        <v>37134</v>
      </c>
      <c r="V4304" t="s">
        <v>6729</v>
      </c>
      <c r="W4304" t="s">
        <v>6730</v>
      </c>
      <c r="X4304" t="s">
        <v>58</v>
      </c>
      <c r="Y4304">
        <v>20</v>
      </c>
      <c r="Z4304" t="s">
        <v>59</v>
      </c>
      <c r="AA4304" t="s">
        <v>59</v>
      </c>
      <c r="AB4304" t="s">
        <v>59</v>
      </c>
      <c r="AC4304" t="s">
        <v>59</v>
      </c>
      <c r="AD4304" t="s">
        <v>59</v>
      </c>
      <c r="AF4304" s="1">
        <v>37139</v>
      </c>
      <c r="AG4304" t="s">
        <v>148</v>
      </c>
      <c r="AH4304" t="s">
        <v>149</v>
      </c>
      <c r="AI4304" t="str">
        <f>"5061010"</f>
        <v>5061010</v>
      </c>
      <c r="AJ4304" t="s">
        <v>6746</v>
      </c>
      <c r="AK4304">
        <v>2821081530</v>
      </c>
      <c r="AL4304" t="s">
        <v>6747</v>
      </c>
      <c r="AM4304" t="s">
        <v>88</v>
      </c>
      <c r="AN4304" t="s">
        <v>88</v>
      </c>
      <c r="AO4304" t="s">
        <v>6748</v>
      </c>
      <c r="AP4304" t="s">
        <v>6748</v>
      </c>
      <c r="AQ4304">
        <v>1</v>
      </c>
      <c r="AR4304" t="s">
        <v>6729</v>
      </c>
      <c r="AS4304" t="s">
        <v>6730</v>
      </c>
      <c r="AT4304" t="s">
        <v>58</v>
      </c>
      <c r="AU4304" t="s">
        <v>68</v>
      </c>
      <c r="AV4304" t="s">
        <v>69</v>
      </c>
      <c r="AW4304" s="1">
        <v>28430</v>
      </c>
      <c r="AX4304">
        <v>2</v>
      </c>
    </row>
    <row r="4305" spans="1:50">
      <c r="A4305">
        <v>185647</v>
      </c>
      <c r="B4305" t="str">
        <f>"067415261"</f>
        <v>067415261</v>
      </c>
      <c r="C4305" t="s">
        <v>105</v>
      </c>
      <c r="D4305" t="s">
        <v>7998</v>
      </c>
      <c r="E4305" t="s">
        <v>95</v>
      </c>
      <c r="F4305" t="s">
        <v>72</v>
      </c>
      <c r="G4305" t="s">
        <v>1361</v>
      </c>
      <c r="H4305" t="str">
        <f>" "</f>
        <v xml:space="preserve"> </v>
      </c>
      <c r="J4305">
        <v>2463054487</v>
      </c>
      <c r="K4305">
        <v>6976532565</v>
      </c>
      <c r="M4305" t="s">
        <v>7999</v>
      </c>
      <c r="N4305" t="s">
        <v>157</v>
      </c>
      <c r="O4305" t="s">
        <v>158</v>
      </c>
      <c r="R4305" t="s">
        <v>57</v>
      </c>
      <c r="S4305">
        <v>9</v>
      </c>
      <c r="T4305">
        <v>250</v>
      </c>
      <c r="U4305" s="1">
        <v>36769</v>
      </c>
      <c r="V4305" t="s">
        <v>6729</v>
      </c>
      <c r="W4305" t="s">
        <v>6730</v>
      </c>
      <c r="X4305" t="s">
        <v>58</v>
      </c>
      <c r="Y4305">
        <v>20</v>
      </c>
      <c r="Z4305" t="s">
        <v>59</v>
      </c>
      <c r="AA4305" t="s">
        <v>59</v>
      </c>
      <c r="AB4305" t="s">
        <v>59</v>
      </c>
      <c r="AC4305" t="s">
        <v>59</v>
      </c>
      <c r="AD4305" t="s">
        <v>59</v>
      </c>
      <c r="AF4305" s="1">
        <v>36770</v>
      </c>
      <c r="AG4305" t="s">
        <v>148</v>
      </c>
      <c r="AH4305" t="s">
        <v>149</v>
      </c>
      <c r="AI4305" t="str">
        <f>"5051050"</f>
        <v>5051050</v>
      </c>
      <c r="AJ4305" t="s">
        <v>6861</v>
      </c>
      <c r="AK4305">
        <v>2821044860</v>
      </c>
      <c r="AL4305" t="s">
        <v>6862</v>
      </c>
      <c r="AM4305" t="s">
        <v>88</v>
      </c>
      <c r="AN4305" t="s">
        <v>88</v>
      </c>
      <c r="AO4305" t="s">
        <v>88</v>
      </c>
      <c r="AP4305" t="s">
        <v>88</v>
      </c>
      <c r="AQ4305">
        <v>1</v>
      </c>
      <c r="AR4305" t="s">
        <v>6729</v>
      </c>
      <c r="AS4305" t="s">
        <v>6730</v>
      </c>
      <c r="AT4305" t="s">
        <v>58</v>
      </c>
      <c r="AU4305" t="s">
        <v>68</v>
      </c>
      <c r="AV4305" t="s">
        <v>69</v>
      </c>
      <c r="AW4305" s="1">
        <v>26858</v>
      </c>
      <c r="AX4305">
        <v>2</v>
      </c>
    </row>
    <row r="4306" spans="1:50">
      <c r="A4306">
        <v>190938</v>
      </c>
      <c r="B4306" t="str">
        <f>"101581988"</f>
        <v>101581988</v>
      </c>
      <c r="C4306" t="s">
        <v>105</v>
      </c>
      <c r="D4306" t="s">
        <v>8000</v>
      </c>
      <c r="E4306" t="s">
        <v>670</v>
      </c>
      <c r="F4306" t="s">
        <v>564</v>
      </c>
      <c r="G4306" t="s">
        <v>181</v>
      </c>
      <c r="H4306" t="str">
        <f>"Γ.ΜΙΧΕΛΟΓΙΑΝΝΗ 41 - ΣΟΔΥ ΠΡ. ΗΛΙΑΣ"</f>
        <v>Γ.ΜΙΧΕΛΟΓΙΑΝΝΗ 41 - ΣΟΔΥ ΠΡ. ΗΛΙΑΣ</v>
      </c>
      <c r="I4306">
        <v>73142</v>
      </c>
      <c r="J4306">
        <v>2821111017</v>
      </c>
      <c r="K4306">
        <v>6972335238</v>
      </c>
      <c r="M4306" t="s">
        <v>8001</v>
      </c>
      <c r="N4306" t="s">
        <v>204</v>
      </c>
      <c r="O4306" t="s">
        <v>205</v>
      </c>
      <c r="R4306" t="s">
        <v>57</v>
      </c>
      <c r="S4306">
        <v>9</v>
      </c>
      <c r="T4306">
        <v>219</v>
      </c>
      <c r="U4306" s="1">
        <v>37134</v>
      </c>
      <c r="V4306" t="s">
        <v>6729</v>
      </c>
      <c r="W4306" t="s">
        <v>6730</v>
      </c>
      <c r="X4306" t="s">
        <v>58</v>
      </c>
      <c r="Y4306">
        <v>20</v>
      </c>
      <c r="Z4306" t="s">
        <v>59</v>
      </c>
      <c r="AA4306" t="s">
        <v>59</v>
      </c>
      <c r="AB4306" t="s">
        <v>59</v>
      </c>
      <c r="AC4306" t="s">
        <v>59</v>
      </c>
      <c r="AD4306" t="s">
        <v>59</v>
      </c>
      <c r="AF4306" s="1">
        <v>37138</v>
      </c>
      <c r="AG4306" t="s">
        <v>125</v>
      </c>
      <c r="AH4306" t="s">
        <v>126</v>
      </c>
      <c r="AI4306" t="str">
        <f>"5001050"</f>
        <v>5001050</v>
      </c>
      <c r="AJ4306" t="s">
        <v>6917</v>
      </c>
      <c r="AK4306">
        <v>2821088012</v>
      </c>
      <c r="AL4306" t="s">
        <v>6918</v>
      </c>
      <c r="AM4306" t="s">
        <v>88</v>
      </c>
      <c r="AN4306" t="s">
        <v>88</v>
      </c>
      <c r="AO4306" t="s">
        <v>88</v>
      </c>
      <c r="AP4306" t="s">
        <v>88</v>
      </c>
      <c r="AQ4306">
        <v>1</v>
      </c>
      <c r="AR4306" t="s">
        <v>6729</v>
      </c>
      <c r="AS4306" t="s">
        <v>6730</v>
      </c>
      <c r="AT4306" t="s">
        <v>58</v>
      </c>
      <c r="AU4306" t="s">
        <v>68</v>
      </c>
      <c r="AV4306" t="s">
        <v>69</v>
      </c>
      <c r="AW4306" s="1">
        <v>27525</v>
      </c>
      <c r="AX4306">
        <v>2</v>
      </c>
    </row>
    <row r="4307" spans="1:50">
      <c r="A4307">
        <v>151298</v>
      </c>
      <c r="B4307" t="str">
        <f>"065580013"</f>
        <v>065580013</v>
      </c>
      <c r="C4307" t="s">
        <v>50</v>
      </c>
      <c r="D4307" t="s">
        <v>8002</v>
      </c>
      <c r="E4307" t="s">
        <v>1418</v>
      </c>
      <c r="F4307" t="s">
        <v>5896</v>
      </c>
      <c r="G4307" t="s">
        <v>330</v>
      </c>
      <c r="H4307" t="str">
        <f>"Φαντρίδη 6 Σόδυ"</f>
        <v>Φαντρίδη 6 Σόδυ</v>
      </c>
      <c r="I4307">
        <v>73100</v>
      </c>
      <c r="J4307">
        <v>2821056465</v>
      </c>
      <c r="K4307">
        <v>6977503133</v>
      </c>
      <c r="M4307" t="s">
        <v>8003</v>
      </c>
      <c r="N4307" t="s">
        <v>246</v>
      </c>
      <c r="O4307" t="s">
        <v>247</v>
      </c>
      <c r="R4307" t="s">
        <v>57</v>
      </c>
      <c r="S4307">
        <v>17</v>
      </c>
      <c r="T4307">
        <v>170</v>
      </c>
      <c r="U4307" s="1">
        <v>32016</v>
      </c>
      <c r="V4307" t="s">
        <v>6729</v>
      </c>
      <c r="W4307" t="s">
        <v>6730</v>
      </c>
      <c r="X4307" t="s">
        <v>58</v>
      </c>
      <c r="Y4307">
        <v>18</v>
      </c>
      <c r="Z4307" t="s">
        <v>59</v>
      </c>
      <c r="AA4307" t="s">
        <v>59</v>
      </c>
      <c r="AB4307" t="s">
        <v>59</v>
      </c>
      <c r="AC4307" t="s">
        <v>59</v>
      </c>
      <c r="AD4307" t="s">
        <v>59</v>
      </c>
      <c r="AF4307" s="1">
        <v>32027</v>
      </c>
      <c r="AG4307" t="s">
        <v>125</v>
      </c>
      <c r="AH4307" t="s">
        <v>126</v>
      </c>
      <c r="AI4307" t="str">
        <f>"5001073"</f>
        <v>5001073</v>
      </c>
      <c r="AJ4307" t="s">
        <v>6849</v>
      </c>
      <c r="AK4307">
        <v>2821028553</v>
      </c>
      <c r="AL4307" t="s">
        <v>6850</v>
      </c>
      <c r="AM4307" t="s">
        <v>88</v>
      </c>
      <c r="AN4307" t="s">
        <v>88</v>
      </c>
      <c r="AO4307" t="s">
        <v>88</v>
      </c>
      <c r="AP4307" t="s">
        <v>88</v>
      </c>
      <c r="AQ4307">
        <v>1</v>
      </c>
      <c r="AR4307" t="s">
        <v>6729</v>
      </c>
      <c r="AS4307" t="s">
        <v>6730</v>
      </c>
      <c r="AT4307" t="s">
        <v>58</v>
      </c>
      <c r="AU4307" t="s">
        <v>68</v>
      </c>
      <c r="AV4307" t="s">
        <v>69</v>
      </c>
      <c r="AW4307" s="1">
        <v>19734</v>
      </c>
      <c r="AX4307">
        <v>2</v>
      </c>
    </row>
    <row r="4308" spans="1:50">
      <c r="B4308" t="str">
        <f>"136562789"</f>
        <v>136562789</v>
      </c>
      <c r="C4308" t="s">
        <v>50</v>
      </c>
      <c r="D4308" t="s">
        <v>3060</v>
      </c>
      <c r="E4308" t="s">
        <v>8004</v>
      </c>
      <c r="F4308" t="s">
        <v>95</v>
      </c>
      <c r="G4308" t="s">
        <v>237</v>
      </c>
      <c r="H4308" t="str">
        <f>" "</f>
        <v xml:space="preserve"> </v>
      </c>
      <c r="M4308" t="s">
        <v>8005</v>
      </c>
      <c r="N4308" t="s">
        <v>536</v>
      </c>
      <c r="O4308" t="s">
        <v>537</v>
      </c>
      <c r="R4308" t="s">
        <v>159</v>
      </c>
      <c r="S4308">
        <v>3</v>
      </c>
      <c r="T4308" t="s">
        <v>122</v>
      </c>
      <c r="U4308" s="1">
        <v>43348</v>
      </c>
      <c r="V4308" t="s">
        <v>6729</v>
      </c>
      <c r="W4308" t="s">
        <v>6730</v>
      </c>
      <c r="X4308" t="s">
        <v>58</v>
      </c>
      <c r="Y4308">
        <v>23</v>
      </c>
      <c r="Z4308" t="s">
        <v>59</v>
      </c>
      <c r="AA4308" t="s">
        <v>59</v>
      </c>
      <c r="AB4308" t="s">
        <v>59</v>
      </c>
      <c r="AC4308" t="s">
        <v>59</v>
      </c>
      <c r="AD4308" t="s">
        <v>59</v>
      </c>
      <c r="AF4308" s="1">
        <v>43348</v>
      </c>
      <c r="AG4308" t="s">
        <v>125</v>
      </c>
      <c r="AH4308" t="s">
        <v>294</v>
      </c>
      <c r="AI4308" t="str">
        <f>"5012017"</f>
        <v>5012017</v>
      </c>
      <c r="AJ4308" t="s">
        <v>6859</v>
      </c>
      <c r="AK4308">
        <v>2821088065</v>
      </c>
      <c r="AL4308" t="s">
        <v>6860</v>
      </c>
      <c r="AM4308" t="s">
        <v>88</v>
      </c>
      <c r="AN4308" t="s">
        <v>88</v>
      </c>
      <c r="AO4308" t="s">
        <v>88</v>
      </c>
      <c r="AP4308" t="s">
        <v>88</v>
      </c>
      <c r="AQ4308">
        <v>1</v>
      </c>
      <c r="AR4308" t="s">
        <v>6729</v>
      </c>
      <c r="AS4308" t="s">
        <v>6730</v>
      </c>
      <c r="AT4308" t="s">
        <v>58</v>
      </c>
      <c r="AU4308" t="s">
        <v>131</v>
      </c>
      <c r="AV4308" t="s">
        <v>132</v>
      </c>
      <c r="AW4308" s="1">
        <v>31193</v>
      </c>
      <c r="AX4308">
        <v>2</v>
      </c>
    </row>
    <row r="4309" spans="1:50">
      <c r="A4309">
        <v>225491</v>
      </c>
      <c r="B4309" t="str">
        <f>"079187828"</f>
        <v>079187828</v>
      </c>
      <c r="C4309" t="s">
        <v>50</v>
      </c>
      <c r="D4309" t="s">
        <v>8006</v>
      </c>
      <c r="E4309" t="s">
        <v>263</v>
      </c>
      <c r="F4309" t="s">
        <v>166</v>
      </c>
      <c r="G4309" t="s">
        <v>255</v>
      </c>
      <c r="H4309" t="str">
        <f>"ΚΩΝΣΤΑΝΤΙΝΟΥΠΟΛΕΩΣ 56 "</f>
        <v xml:space="preserve">ΚΩΝΣΤΑΝΤΙΝΟΥΠΟΛΕΩΣ 56 </v>
      </c>
      <c r="I4309">
        <v>73100</v>
      </c>
      <c r="J4309">
        <v>2821088008</v>
      </c>
      <c r="K4309">
        <v>6947188266</v>
      </c>
      <c r="N4309" t="s">
        <v>907</v>
      </c>
      <c r="O4309" t="s">
        <v>908</v>
      </c>
      <c r="R4309" t="s">
        <v>57</v>
      </c>
      <c r="S4309">
        <v>7</v>
      </c>
      <c r="T4309">
        <v>775</v>
      </c>
      <c r="U4309" s="1">
        <v>39680</v>
      </c>
      <c r="V4309" t="s">
        <v>6729</v>
      </c>
      <c r="W4309" t="s">
        <v>6730</v>
      </c>
      <c r="X4309" t="s">
        <v>58</v>
      </c>
      <c r="Y4309">
        <v>20</v>
      </c>
      <c r="Z4309" t="s">
        <v>59</v>
      </c>
      <c r="AA4309" t="s">
        <v>59</v>
      </c>
      <c r="AB4309" t="s">
        <v>59</v>
      </c>
      <c r="AC4309" t="s">
        <v>59</v>
      </c>
      <c r="AD4309" t="s">
        <v>59</v>
      </c>
      <c r="AF4309" s="1">
        <v>39692</v>
      </c>
      <c r="AG4309" t="s">
        <v>137</v>
      </c>
      <c r="AH4309" t="s">
        <v>138</v>
      </c>
      <c r="AI4309" t="str">
        <f>"5050060"</f>
        <v>5050060</v>
      </c>
      <c r="AJ4309" t="s">
        <v>6801</v>
      </c>
      <c r="AK4309">
        <v>2821091515</v>
      </c>
      <c r="AL4309" t="s">
        <v>6802</v>
      </c>
      <c r="AM4309" t="s">
        <v>88</v>
      </c>
      <c r="AN4309" t="s">
        <v>88</v>
      </c>
      <c r="AO4309" t="s">
        <v>88</v>
      </c>
      <c r="AP4309" t="s">
        <v>88</v>
      </c>
      <c r="AQ4309">
        <v>1</v>
      </c>
      <c r="AR4309" t="s">
        <v>6729</v>
      </c>
      <c r="AS4309" t="s">
        <v>6730</v>
      </c>
      <c r="AT4309" t="s">
        <v>58</v>
      </c>
      <c r="AU4309" t="s">
        <v>68</v>
      </c>
      <c r="AV4309" t="s">
        <v>69</v>
      </c>
      <c r="AW4309" s="1">
        <v>27579</v>
      </c>
      <c r="AX4309">
        <v>2</v>
      </c>
    </row>
    <row r="4310" spans="1:50">
      <c r="A4310">
        <v>197847</v>
      </c>
      <c r="B4310" t="str">
        <f>"037928830"</f>
        <v>037928830</v>
      </c>
      <c r="C4310" t="s">
        <v>105</v>
      </c>
      <c r="D4310" t="s">
        <v>3062</v>
      </c>
      <c r="E4310" t="s">
        <v>84</v>
      </c>
      <c r="F4310" t="s">
        <v>5543</v>
      </c>
      <c r="G4310" t="s">
        <v>4127</v>
      </c>
      <c r="H4310" t="str">
        <f>" "</f>
        <v xml:space="preserve"> </v>
      </c>
      <c r="J4310">
        <v>2821053171</v>
      </c>
      <c r="K4310">
        <v>6976079923</v>
      </c>
      <c r="M4310" t="s">
        <v>8007</v>
      </c>
      <c r="N4310" t="s">
        <v>292</v>
      </c>
      <c r="O4310" t="s">
        <v>293</v>
      </c>
      <c r="R4310" t="s">
        <v>57</v>
      </c>
      <c r="S4310">
        <v>10</v>
      </c>
      <c r="T4310">
        <v>206</v>
      </c>
      <c r="U4310" s="1">
        <v>37866</v>
      </c>
      <c r="V4310" t="s">
        <v>6729</v>
      </c>
      <c r="W4310" t="s">
        <v>6730</v>
      </c>
      <c r="X4310" t="s">
        <v>58</v>
      </c>
      <c r="Y4310">
        <v>18</v>
      </c>
      <c r="Z4310" t="s">
        <v>59</v>
      </c>
      <c r="AA4310" t="s">
        <v>59</v>
      </c>
      <c r="AB4310" t="s">
        <v>59</v>
      </c>
      <c r="AC4310" t="s">
        <v>59</v>
      </c>
      <c r="AD4310" t="s">
        <v>59</v>
      </c>
      <c r="AF4310" s="1">
        <v>37866</v>
      </c>
      <c r="AG4310" t="s">
        <v>148</v>
      </c>
      <c r="AH4310" t="s">
        <v>149</v>
      </c>
      <c r="AI4310" t="str">
        <f>"5090080"</f>
        <v>5090080</v>
      </c>
      <c r="AJ4310" t="s">
        <v>6906</v>
      </c>
      <c r="AK4310">
        <v>2821096638</v>
      </c>
      <c r="AL4310" t="s">
        <v>6907</v>
      </c>
      <c r="AM4310" t="s">
        <v>88</v>
      </c>
      <c r="AN4310" t="s">
        <v>88</v>
      </c>
      <c r="AO4310" t="s">
        <v>88</v>
      </c>
      <c r="AP4310" t="s">
        <v>88</v>
      </c>
      <c r="AQ4310">
        <v>1</v>
      </c>
      <c r="AR4310" t="s">
        <v>6729</v>
      </c>
      <c r="AS4310" t="s">
        <v>6730</v>
      </c>
      <c r="AT4310" t="s">
        <v>58</v>
      </c>
      <c r="AU4310" t="s">
        <v>68</v>
      </c>
      <c r="AV4310" t="s">
        <v>69</v>
      </c>
      <c r="AW4310" s="1">
        <v>21853</v>
      </c>
      <c r="AX4310">
        <v>2</v>
      </c>
    </row>
    <row r="4311" spans="1:50">
      <c r="B4311" t="str">
        <f>"120028052"</f>
        <v>120028052</v>
      </c>
      <c r="C4311" t="s">
        <v>50</v>
      </c>
      <c r="D4311" t="s">
        <v>3064</v>
      </c>
      <c r="E4311" t="s">
        <v>610</v>
      </c>
      <c r="F4311" t="s">
        <v>53</v>
      </c>
      <c r="G4311" t="s">
        <v>54</v>
      </c>
      <c r="H4311" t="str">
        <f>"ΣΟΦ. ΒΕΝΙΖΕΛΟΥ 38 ΡΕΘΥΜΝΟ"</f>
        <v>ΣΟΦ. ΒΕΝΙΖΕΛΟΥ 38 ΡΕΘΥΜΝΟ</v>
      </c>
      <c r="I4311">
        <v>74100</v>
      </c>
      <c r="J4311">
        <v>2831054965</v>
      </c>
      <c r="K4311">
        <v>6974703976</v>
      </c>
      <c r="N4311" t="s">
        <v>292</v>
      </c>
      <c r="O4311" t="s">
        <v>293</v>
      </c>
      <c r="R4311" t="s">
        <v>159</v>
      </c>
      <c r="S4311">
        <v>3</v>
      </c>
      <c r="T4311" t="s">
        <v>574</v>
      </c>
      <c r="U4311" s="1">
        <v>43378</v>
      </c>
      <c r="V4311" t="s">
        <v>6729</v>
      </c>
      <c r="W4311" t="s">
        <v>6730</v>
      </c>
      <c r="X4311" t="s">
        <v>58</v>
      </c>
      <c r="Y4311">
        <v>23</v>
      </c>
      <c r="Z4311" t="s">
        <v>59</v>
      </c>
      <c r="AA4311" t="s">
        <v>59</v>
      </c>
      <c r="AB4311" t="s">
        <v>59</v>
      </c>
      <c r="AC4311" t="s">
        <v>59</v>
      </c>
      <c r="AD4311" t="s">
        <v>59</v>
      </c>
      <c r="AF4311" s="1">
        <v>43381</v>
      </c>
      <c r="AG4311" t="s">
        <v>148</v>
      </c>
      <c r="AH4311" t="s">
        <v>149</v>
      </c>
      <c r="AI4311" t="str">
        <f>"5051009"</f>
        <v>5051009</v>
      </c>
      <c r="AJ4311" t="s">
        <v>6851</v>
      </c>
      <c r="AK4311">
        <v>2821044551</v>
      </c>
      <c r="AL4311" t="s">
        <v>6852</v>
      </c>
      <c r="AM4311" t="s">
        <v>88</v>
      </c>
      <c r="AN4311" t="s">
        <v>88</v>
      </c>
      <c r="AO4311" t="s">
        <v>6770</v>
      </c>
      <c r="AP4311" t="s">
        <v>6771</v>
      </c>
      <c r="AQ4311">
        <v>1</v>
      </c>
      <c r="AR4311" t="s">
        <v>6729</v>
      </c>
      <c r="AS4311" t="s">
        <v>6730</v>
      </c>
      <c r="AT4311" t="s">
        <v>58</v>
      </c>
      <c r="AU4311" t="s">
        <v>164</v>
      </c>
      <c r="AV4311" t="s">
        <v>132</v>
      </c>
      <c r="AW4311" s="1">
        <v>30089</v>
      </c>
      <c r="AX4311">
        <v>2</v>
      </c>
    </row>
    <row r="4312" spans="1:50">
      <c r="A4312">
        <v>182392</v>
      </c>
      <c r="B4312" t="str">
        <f>"110865203"</f>
        <v>110865203</v>
      </c>
      <c r="C4312" t="s">
        <v>50</v>
      </c>
      <c r="D4312" t="s">
        <v>8008</v>
      </c>
      <c r="E4312" t="s">
        <v>1588</v>
      </c>
      <c r="F4312" t="s">
        <v>3499</v>
      </c>
      <c r="G4312" t="s">
        <v>460</v>
      </c>
      <c r="H4312" t="str">
        <f>" "</f>
        <v xml:space="preserve"> </v>
      </c>
      <c r="N4312" t="s">
        <v>157</v>
      </c>
      <c r="O4312" t="s">
        <v>158</v>
      </c>
      <c r="R4312" t="s">
        <v>57</v>
      </c>
      <c r="S4312">
        <v>10</v>
      </c>
      <c r="T4312">
        <v>249</v>
      </c>
      <c r="U4312" s="1">
        <v>36160</v>
      </c>
      <c r="V4312" t="s">
        <v>6729</v>
      </c>
      <c r="W4312" t="s">
        <v>6730</v>
      </c>
      <c r="X4312" t="s">
        <v>58</v>
      </c>
      <c r="Y4312">
        <v>18</v>
      </c>
      <c r="Z4312" t="s">
        <v>59</v>
      </c>
      <c r="AA4312" t="s">
        <v>59</v>
      </c>
      <c r="AB4312" t="s">
        <v>59</v>
      </c>
      <c r="AC4312" t="s">
        <v>452</v>
      </c>
      <c r="AD4312" t="s">
        <v>59</v>
      </c>
      <c r="AF4312" s="1">
        <v>36171</v>
      </c>
      <c r="AG4312" t="s">
        <v>125</v>
      </c>
      <c r="AH4312" t="s">
        <v>126</v>
      </c>
      <c r="AI4312" t="str">
        <f>"5001040"</f>
        <v>5001040</v>
      </c>
      <c r="AJ4312" t="s">
        <v>7126</v>
      </c>
      <c r="AK4312">
        <v>2821088010</v>
      </c>
      <c r="AM4312" t="s">
        <v>88</v>
      </c>
      <c r="AN4312" t="s">
        <v>88</v>
      </c>
      <c r="AO4312" t="s">
        <v>88</v>
      </c>
      <c r="AP4312" t="s">
        <v>88</v>
      </c>
      <c r="AQ4312">
        <v>1</v>
      </c>
      <c r="AR4312" t="s">
        <v>6729</v>
      </c>
      <c r="AS4312" t="s">
        <v>6730</v>
      </c>
      <c r="AT4312" t="s">
        <v>58</v>
      </c>
      <c r="AU4312" t="s">
        <v>68</v>
      </c>
      <c r="AV4312" t="s">
        <v>132</v>
      </c>
      <c r="AW4312" s="1">
        <v>24325</v>
      </c>
      <c r="AX4312">
        <v>2</v>
      </c>
    </row>
    <row r="4313" spans="1:50">
      <c r="A4313">
        <v>220491</v>
      </c>
      <c r="B4313" t="str">
        <f>"074624294"</f>
        <v>074624294</v>
      </c>
      <c r="C4313" t="s">
        <v>105</v>
      </c>
      <c r="D4313" t="s">
        <v>8009</v>
      </c>
      <c r="E4313" t="s">
        <v>106</v>
      </c>
      <c r="F4313" t="s">
        <v>84</v>
      </c>
      <c r="G4313" t="s">
        <v>2967</v>
      </c>
      <c r="H4313" t="str">
        <f>" "</f>
        <v xml:space="preserve"> </v>
      </c>
      <c r="J4313">
        <v>2130251136</v>
      </c>
      <c r="K4313">
        <v>6948584299</v>
      </c>
      <c r="N4313" t="s">
        <v>146</v>
      </c>
      <c r="O4313" t="s">
        <v>147</v>
      </c>
      <c r="R4313" t="s">
        <v>57</v>
      </c>
      <c r="S4313">
        <v>11</v>
      </c>
      <c r="T4313">
        <v>681</v>
      </c>
      <c r="U4313" s="1">
        <v>39325</v>
      </c>
      <c r="V4313" t="s">
        <v>6729</v>
      </c>
      <c r="W4313" t="s">
        <v>6730</v>
      </c>
      <c r="X4313" t="s">
        <v>58</v>
      </c>
      <c r="Y4313">
        <v>21</v>
      </c>
      <c r="Z4313" t="s">
        <v>59</v>
      </c>
      <c r="AA4313" t="s">
        <v>59</v>
      </c>
      <c r="AB4313" t="s">
        <v>59</v>
      </c>
      <c r="AC4313" t="s">
        <v>59</v>
      </c>
      <c r="AD4313" t="s">
        <v>452</v>
      </c>
      <c r="AE4313" s="1">
        <v>43708</v>
      </c>
      <c r="AF4313" s="1">
        <v>39330</v>
      </c>
      <c r="AG4313" t="s">
        <v>148</v>
      </c>
      <c r="AH4313" t="s">
        <v>149</v>
      </c>
      <c r="AI4313" t="str">
        <f>"5059010"</f>
        <v>5059010</v>
      </c>
      <c r="AJ4313" t="s">
        <v>6883</v>
      </c>
      <c r="AK4313">
        <v>2821077166</v>
      </c>
      <c r="AL4313" t="s">
        <v>6884</v>
      </c>
      <c r="AM4313" t="s">
        <v>88</v>
      </c>
      <c r="AN4313" t="s">
        <v>6764</v>
      </c>
      <c r="AO4313" t="s">
        <v>6885</v>
      </c>
      <c r="AP4313" t="s">
        <v>6886</v>
      </c>
      <c r="AQ4313">
        <v>1</v>
      </c>
      <c r="AR4313" t="s">
        <v>6729</v>
      </c>
      <c r="AS4313" t="s">
        <v>6730</v>
      </c>
      <c r="AT4313" t="s">
        <v>58</v>
      </c>
      <c r="AU4313" t="s">
        <v>68</v>
      </c>
      <c r="AV4313" t="s">
        <v>69</v>
      </c>
      <c r="AW4313" s="1">
        <v>25720</v>
      </c>
      <c r="AX4313">
        <v>2</v>
      </c>
    </row>
    <row r="4314" spans="1:50">
      <c r="A4314">
        <v>194468</v>
      </c>
      <c r="B4314" t="str">
        <f>"036716398"</f>
        <v>036716398</v>
      </c>
      <c r="C4314" t="s">
        <v>105</v>
      </c>
      <c r="D4314" t="s">
        <v>8010</v>
      </c>
      <c r="E4314" t="s">
        <v>1413</v>
      </c>
      <c r="F4314" t="s">
        <v>53</v>
      </c>
      <c r="G4314" t="s">
        <v>4622</v>
      </c>
      <c r="H4314" t="str">
        <f>"ΚΑΡΑΊΣΚΑΚΗ 2 ΚΟΥΝΟΥΠΙΔΙΑΝΑ ΑΚΡΩΤΗΡΙ ΧΑΝΙΩΝ"</f>
        <v>ΚΑΡΑΊΣΚΑΚΗ 2 ΚΟΥΝΟΥΠΙΔΙΑΝΑ ΑΚΡΩΤΗΡΙ ΧΑΝΙΩΝ</v>
      </c>
      <c r="I4314">
        <v>73100</v>
      </c>
      <c r="J4314">
        <v>2821064149</v>
      </c>
      <c r="K4314">
        <v>6972451401</v>
      </c>
      <c r="N4314" t="s">
        <v>176</v>
      </c>
      <c r="O4314" t="s">
        <v>177</v>
      </c>
      <c r="R4314" t="s">
        <v>57</v>
      </c>
      <c r="S4314">
        <v>12</v>
      </c>
      <c r="T4314">
        <v>193</v>
      </c>
      <c r="U4314" s="1">
        <v>37497</v>
      </c>
      <c r="V4314" t="s">
        <v>6729</v>
      </c>
      <c r="W4314" t="s">
        <v>6730</v>
      </c>
      <c r="X4314" t="s">
        <v>58</v>
      </c>
      <c r="Y4314">
        <v>18</v>
      </c>
      <c r="Z4314" t="s">
        <v>59</v>
      </c>
      <c r="AA4314" t="s">
        <v>59</v>
      </c>
      <c r="AB4314" t="s">
        <v>59</v>
      </c>
      <c r="AC4314" t="s">
        <v>59</v>
      </c>
      <c r="AD4314" t="s">
        <v>59</v>
      </c>
      <c r="AF4314" s="1">
        <v>37501</v>
      </c>
      <c r="AG4314" t="s">
        <v>125</v>
      </c>
      <c r="AH4314" t="s">
        <v>126</v>
      </c>
      <c r="AI4314" t="str">
        <f>"5001075"</f>
        <v>5001075</v>
      </c>
      <c r="AJ4314" t="s">
        <v>6768</v>
      </c>
      <c r="AK4314">
        <v>2821064200</v>
      </c>
      <c r="AL4314" t="s">
        <v>6769</v>
      </c>
      <c r="AM4314" t="s">
        <v>88</v>
      </c>
      <c r="AN4314" t="s">
        <v>88</v>
      </c>
      <c r="AO4314" t="s">
        <v>6770</v>
      </c>
      <c r="AP4314" t="s">
        <v>6771</v>
      </c>
      <c r="AQ4314">
        <v>1</v>
      </c>
      <c r="AR4314" t="s">
        <v>6729</v>
      </c>
      <c r="AS4314" t="s">
        <v>6730</v>
      </c>
      <c r="AT4314" t="s">
        <v>58</v>
      </c>
      <c r="AU4314" t="s">
        <v>68</v>
      </c>
      <c r="AV4314" t="s">
        <v>69</v>
      </c>
      <c r="AW4314" s="1">
        <v>24038</v>
      </c>
      <c r="AX4314">
        <v>2</v>
      </c>
    </row>
    <row r="4315" spans="1:50">
      <c r="A4315">
        <v>209648</v>
      </c>
      <c r="B4315" t="str">
        <f>"046185265"</f>
        <v>046185265</v>
      </c>
      <c r="C4315" t="s">
        <v>50</v>
      </c>
      <c r="D4315" t="s">
        <v>8011</v>
      </c>
      <c r="E4315" t="s">
        <v>83</v>
      </c>
      <c r="F4315" t="s">
        <v>2049</v>
      </c>
      <c r="G4315" t="s">
        <v>52</v>
      </c>
      <c r="H4315" t="str">
        <f>" "</f>
        <v xml:space="preserve"> </v>
      </c>
      <c r="J4315">
        <v>2821046827</v>
      </c>
      <c r="K4315">
        <v>6944387444</v>
      </c>
      <c r="N4315" t="s">
        <v>146</v>
      </c>
      <c r="O4315" t="s">
        <v>147</v>
      </c>
      <c r="R4315" t="s">
        <v>57</v>
      </c>
      <c r="S4315">
        <v>7</v>
      </c>
      <c r="T4315">
        <v>225</v>
      </c>
      <c r="U4315" s="1">
        <v>38604</v>
      </c>
      <c r="V4315" t="s">
        <v>6729</v>
      </c>
      <c r="W4315" t="s">
        <v>6730</v>
      </c>
      <c r="X4315" t="s">
        <v>58</v>
      </c>
      <c r="Y4315">
        <v>20</v>
      </c>
      <c r="Z4315" t="s">
        <v>59</v>
      </c>
      <c r="AA4315" t="s">
        <v>59</v>
      </c>
      <c r="AB4315" t="s">
        <v>59</v>
      </c>
      <c r="AC4315" t="s">
        <v>59</v>
      </c>
      <c r="AD4315" t="s">
        <v>59</v>
      </c>
      <c r="AF4315" s="1">
        <v>38607</v>
      </c>
      <c r="AG4315" t="s">
        <v>148</v>
      </c>
      <c r="AH4315" t="s">
        <v>149</v>
      </c>
      <c r="AI4315" t="str">
        <f>"5061010"</f>
        <v>5061010</v>
      </c>
      <c r="AJ4315" t="s">
        <v>6746</v>
      </c>
      <c r="AK4315">
        <v>2821081530</v>
      </c>
      <c r="AL4315" t="s">
        <v>6747</v>
      </c>
      <c r="AM4315" t="s">
        <v>88</v>
      </c>
      <c r="AN4315" t="s">
        <v>88</v>
      </c>
      <c r="AO4315" t="s">
        <v>6748</v>
      </c>
      <c r="AP4315" t="s">
        <v>6748</v>
      </c>
      <c r="AQ4315">
        <v>1</v>
      </c>
      <c r="AR4315" t="s">
        <v>6729</v>
      </c>
      <c r="AS4315" t="s">
        <v>6730</v>
      </c>
      <c r="AT4315" t="s">
        <v>58</v>
      </c>
      <c r="AU4315" t="s">
        <v>68</v>
      </c>
      <c r="AV4315" t="s">
        <v>69</v>
      </c>
      <c r="AW4315" s="1">
        <v>25791</v>
      </c>
      <c r="AX4315">
        <v>2</v>
      </c>
    </row>
    <row r="4316" spans="1:50">
      <c r="A4316">
        <v>179587</v>
      </c>
      <c r="B4316" t="str">
        <f>"044619760"</f>
        <v>044619760</v>
      </c>
      <c r="C4316" t="s">
        <v>50</v>
      </c>
      <c r="D4316" t="s">
        <v>8011</v>
      </c>
      <c r="E4316" t="s">
        <v>710</v>
      </c>
      <c r="F4316" t="s">
        <v>8012</v>
      </c>
      <c r="G4316" t="s">
        <v>52</v>
      </c>
      <c r="H4316" t="str">
        <f>" "</f>
        <v xml:space="preserve"> </v>
      </c>
      <c r="M4316" t="s">
        <v>8013</v>
      </c>
      <c r="N4316" t="s">
        <v>146</v>
      </c>
      <c r="O4316" t="s">
        <v>147</v>
      </c>
      <c r="R4316" t="s">
        <v>57</v>
      </c>
      <c r="S4316">
        <v>17</v>
      </c>
      <c r="T4316">
        <v>164</v>
      </c>
      <c r="U4316" s="1">
        <v>36040</v>
      </c>
      <c r="V4316" t="s">
        <v>6729</v>
      </c>
      <c r="W4316" t="s">
        <v>6730</v>
      </c>
      <c r="X4316" t="s">
        <v>58</v>
      </c>
      <c r="Y4316">
        <v>18</v>
      </c>
      <c r="Z4316" t="s">
        <v>59</v>
      </c>
      <c r="AA4316" t="s">
        <v>59</v>
      </c>
      <c r="AB4316" t="s">
        <v>59</v>
      </c>
      <c r="AC4316" t="s">
        <v>59</v>
      </c>
      <c r="AD4316" t="s">
        <v>59</v>
      </c>
      <c r="AF4316" s="1">
        <v>36052</v>
      </c>
      <c r="AG4316" t="s">
        <v>148</v>
      </c>
      <c r="AH4316" t="s">
        <v>149</v>
      </c>
      <c r="AI4316" t="str">
        <f>"5051009"</f>
        <v>5051009</v>
      </c>
      <c r="AJ4316" t="s">
        <v>6851</v>
      </c>
      <c r="AK4316">
        <v>2821044551</v>
      </c>
      <c r="AL4316" t="s">
        <v>6852</v>
      </c>
      <c r="AM4316" t="s">
        <v>88</v>
      </c>
      <c r="AN4316" t="s">
        <v>88</v>
      </c>
      <c r="AO4316" t="s">
        <v>6770</v>
      </c>
      <c r="AP4316" t="s">
        <v>6771</v>
      </c>
      <c r="AQ4316">
        <v>1</v>
      </c>
      <c r="AR4316" t="s">
        <v>6729</v>
      </c>
      <c r="AS4316" t="s">
        <v>6730</v>
      </c>
      <c r="AT4316" t="s">
        <v>58</v>
      </c>
      <c r="AU4316" t="s">
        <v>68</v>
      </c>
      <c r="AV4316" t="s">
        <v>69</v>
      </c>
      <c r="AW4316" s="1">
        <v>24768</v>
      </c>
      <c r="AX4316">
        <v>2</v>
      </c>
    </row>
    <row r="4317" spans="1:50">
      <c r="A4317">
        <v>171148</v>
      </c>
      <c r="B4317" t="str">
        <f>"039044780"</f>
        <v>039044780</v>
      </c>
      <c r="C4317" t="s">
        <v>50</v>
      </c>
      <c r="D4317" t="s">
        <v>8014</v>
      </c>
      <c r="E4317" t="s">
        <v>83</v>
      </c>
      <c r="F4317" t="s">
        <v>8015</v>
      </c>
      <c r="G4317" t="s">
        <v>191</v>
      </c>
      <c r="H4317" t="str">
        <f>"ΜΟΥΣΤΕΡΑΚΗ 15 ΧΑΝΙΑ"</f>
        <v>ΜΟΥΣΤΕΡΑΚΗ 15 ΧΑΝΙΑ</v>
      </c>
      <c r="I4317">
        <v>73100</v>
      </c>
      <c r="J4317">
        <v>2821090216</v>
      </c>
      <c r="K4317">
        <v>6945511836</v>
      </c>
      <c r="M4317" t="s">
        <v>8016</v>
      </c>
      <c r="N4317" t="s">
        <v>306</v>
      </c>
      <c r="O4317" t="s">
        <v>307</v>
      </c>
      <c r="R4317" t="s">
        <v>57</v>
      </c>
      <c r="S4317">
        <v>11</v>
      </c>
      <c r="T4317">
        <v>184</v>
      </c>
      <c r="U4317" s="1">
        <v>34941</v>
      </c>
      <c r="V4317" t="s">
        <v>6729</v>
      </c>
      <c r="W4317" t="s">
        <v>6730</v>
      </c>
      <c r="X4317" t="s">
        <v>58</v>
      </c>
      <c r="Y4317">
        <v>18</v>
      </c>
      <c r="Z4317" t="s">
        <v>59</v>
      </c>
      <c r="AA4317" t="s">
        <v>59</v>
      </c>
      <c r="AB4317" t="s">
        <v>59</v>
      </c>
      <c r="AC4317" t="s">
        <v>59</v>
      </c>
      <c r="AD4317" t="s">
        <v>59</v>
      </c>
      <c r="AF4317" s="1">
        <v>34947</v>
      </c>
      <c r="AG4317" t="s">
        <v>125</v>
      </c>
      <c r="AH4317" t="s">
        <v>126</v>
      </c>
      <c r="AI4317" t="str">
        <f>"5011010"</f>
        <v>5011010</v>
      </c>
      <c r="AJ4317" t="s">
        <v>6877</v>
      </c>
      <c r="AK4317">
        <v>2821081330</v>
      </c>
      <c r="AL4317" t="s">
        <v>6878</v>
      </c>
      <c r="AM4317" t="s">
        <v>88</v>
      </c>
      <c r="AN4317" t="s">
        <v>88</v>
      </c>
      <c r="AO4317" t="s">
        <v>6748</v>
      </c>
      <c r="AP4317" t="s">
        <v>6748</v>
      </c>
      <c r="AQ4317">
        <v>1</v>
      </c>
      <c r="AR4317" t="s">
        <v>6729</v>
      </c>
      <c r="AS4317" t="s">
        <v>6730</v>
      </c>
      <c r="AT4317" t="s">
        <v>58</v>
      </c>
      <c r="AU4317" t="s">
        <v>68</v>
      </c>
      <c r="AV4317" t="s">
        <v>69</v>
      </c>
      <c r="AW4317" s="1">
        <v>24678</v>
      </c>
      <c r="AX4317">
        <v>2</v>
      </c>
    </row>
    <row r="4318" spans="1:50">
      <c r="A4318">
        <v>209354</v>
      </c>
      <c r="B4318" t="str">
        <f>"104407168"</f>
        <v>104407168</v>
      </c>
      <c r="C4318" t="s">
        <v>50</v>
      </c>
      <c r="D4318" t="s">
        <v>8017</v>
      </c>
      <c r="E4318" t="s">
        <v>8018</v>
      </c>
      <c r="F4318" t="s">
        <v>309</v>
      </c>
      <c r="G4318" t="s">
        <v>221</v>
      </c>
      <c r="H4318" t="str">
        <f>"Δ. ΠΛΑΠΟΥΤΑ 6 ΝΙΚΑΙΑ"</f>
        <v>Δ. ΠΛΑΠΟΥΤΑ 6 ΝΙΚΑΙΑ</v>
      </c>
      <c r="I4318">
        <v>18452</v>
      </c>
      <c r="J4318">
        <v>2117206949</v>
      </c>
      <c r="K4318">
        <v>6944244546</v>
      </c>
      <c r="M4318" t="s">
        <v>8019</v>
      </c>
      <c r="N4318" t="s">
        <v>157</v>
      </c>
      <c r="O4318" t="s">
        <v>158</v>
      </c>
      <c r="R4318" t="s">
        <v>57</v>
      </c>
      <c r="S4318">
        <v>6</v>
      </c>
      <c r="T4318">
        <v>225</v>
      </c>
      <c r="U4318" s="1">
        <v>38604</v>
      </c>
      <c r="V4318" t="s">
        <v>6729</v>
      </c>
      <c r="W4318" t="s">
        <v>6730</v>
      </c>
      <c r="X4318" t="s">
        <v>58</v>
      </c>
      <c r="Y4318">
        <v>20</v>
      </c>
      <c r="Z4318" t="s">
        <v>59</v>
      </c>
      <c r="AA4318" t="s">
        <v>59</v>
      </c>
      <c r="AB4318" t="s">
        <v>59</v>
      </c>
      <c r="AC4318" t="s">
        <v>59</v>
      </c>
      <c r="AD4318" t="s">
        <v>59</v>
      </c>
      <c r="AF4318" s="1">
        <v>38611</v>
      </c>
      <c r="AG4318" t="s">
        <v>137</v>
      </c>
      <c r="AH4318" t="s">
        <v>138</v>
      </c>
      <c r="AI4318" t="str">
        <f>"5040050"</f>
        <v>5040050</v>
      </c>
      <c r="AJ4318" t="s">
        <v>6750</v>
      </c>
      <c r="AK4318">
        <v>2821043147</v>
      </c>
      <c r="AL4318" t="s">
        <v>6751</v>
      </c>
      <c r="AM4318" t="s">
        <v>88</v>
      </c>
      <c r="AN4318" t="s">
        <v>88</v>
      </c>
      <c r="AO4318" t="s">
        <v>88</v>
      </c>
      <c r="AP4318" t="s">
        <v>88</v>
      </c>
      <c r="AQ4318">
        <v>1</v>
      </c>
      <c r="AR4318" t="s">
        <v>6729</v>
      </c>
      <c r="AS4318" t="s">
        <v>6730</v>
      </c>
      <c r="AT4318" t="s">
        <v>58</v>
      </c>
      <c r="AU4318" t="s">
        <v>68</v>
      </c>
      <c r="AV4318" t="s">
        <v>69</v>
      </c>
      <c r="AW4318" s="1">
        <v>27518</v>
      </c>
      <c r="AX4318">
        <v>2</v>
      </c>
    </row>
    <row r="4319" spans="1:50">
      <c r="A4319">
        <v>165758</v>
      </c>
      <c r="B4319" t="str">
        <f>"063927736"</f>
        <v>063927736</v>
      </c>
      <c r="C4319" t="s">
        <v>50</v>
      </c>
      <c r="D4319" t="s">
        <v>8020</v>
      </c>
      <c r="E4319" t="s">
        <v>7030</v>
      </c>
      <c r="F4319" t="s">
        <v>99</v>
      </c>
      <c r="G4319" t="s">
        <v>1361</v>
      </c>
      <c r="H4319" t="str">
        <f>"Γ. ΣΕΪΜΕΝΗ 28 ΧΑΝΙΑ"</f>
        <v>Γ. ΣΕΪΜΕΝΗ 28 ΧΑΝΙΑ</v>
      </c>
      <c r="I4319">
        <v>73100</v>
      </c>
      <c r="J4319">
        <v>2821055450</v>
      </c>
      <c r="K4319">
        <v>6978606729</v>
      </c>
      <c r="N4319" t="s">
        <v>146</v>
      </c>
      <c r="O4319" t="s">
        <v>147</v>
      </c>
      <c r="R4319" t="s">
        <v>57</v>
      </c>
      <c r="S4319">
        <v>14</v>
      </c>
      <c r="T4319">
        <v>137</v>
      </c>
      <c r="U4319" s="1">
        <v>34206</v>
      </c>
      <c r="V4319" t="s">
        <v>6729</v>
      </c>
      <c r="W4319" t="s">
        <v>6730</v>
      </c>
      <c r="X4319" t="s">
        <v>58</v>
      </c>
      <c r="Y4319">
        <v>18</v>
      </c>
      <c r="Z4319" t="s">
        <v>59</v>
      </c>
      <c r="AA4319" t="s">
        <v>59</v>
      </c>
      <c r="AB4319" t="s">
        <v>59</v>
      </c>
      <c r="AC4319" t="s">
        <v>59</v>
      </c>
      <c r="AD4319" t="s">
        <v>59</v>
      </c>
      <c r="AF4319" s="1">
        <v>34213</v>
      </c>
      <c r="AG4319" t="s">
        <v>125</v>
      </c>
      <c r="AH4319" t="s">
        <v>126</v>
      </c>
      <c r="AI4319" t="str">
        <f>"5001075"</f>
        <v>5001075</v>
      </c>
      <c r="AJ4319" t="s">
        <v>6768</v>
      </c>
      <c r="AK4319">
        <v>2821064200</v>
      </c>
      <c r="AL4319" t="s">
        <v>6769</v>
      </c>
      <c r="AM4319" t="s">
        <v>88</v>
      </c>
      <c r="AN4319" t="s">
        <v>88</v>
      </c>
      <c r="AO4319" t="s">
        <v>6770</v>
      </c>
      <c r="AP4319" t="s">
        <v>6771</v>
      </c>
      <c r="AQ4319">
        <v>1</v>
      </c>
      <c r="AR4319" t="s">
        <v>6729</v>
      </c>
      <c r="AS4319" t="s">
        <v>6730</v>
      </c>
      <c r="AT4319" t="s">
        <v>58</v>
      </c>
      <c r="AU4319" t="s">
        <v>68</v>
      </c>
      <c r="AV4319" t="s">
        <v>69</v>
      </c>
      <c r="AW4319" s="1">
        <v>23653</v>
      </c>
      <c r="AX4319">
        <v>2</v>
      </c>
    </row>
    <row r="4320" spans="1:50">
      <c r="B4320" t="str">
        <f>"136502904"</f>
        <v>136502904</v>
      </c>
      <c r="C4320" t="s">
        <v>50</v>
      </c>
      <c r="D4320" t="s">
        <v>6324</v>
      </c>
      <c r="E4320" t="s">
        <v>215</v>
      </c>
      <c r="F4320" t="s">
        <v>154</v>
      </c>
      <c r="G4320" t="s">
        <v>255</v>
      </c>
      <c r="H4320" t="str">
        <f>"ΛΟΡ. ΜΑΒΙΛΗ 16 ΡΕΘΥΜΝΟ"</f>
        <v>ΛΟΡ. ΜΑΒΙΛΗ 16 ΡΕΘΥΜΝΟ</v>
      </c>
      <c r="I4320">
        <v>74100</v>
      </c>
      <c r="J4320">
        <v>2831027134</v>
      </c>
      <c r="K4320">
        <v>6937812929</v>
      </c>
      <c r="N4320" t="s">
        <v>536</v>
      </c>
      <c r="O4320" t="s">
        <v>537</v>
      </c>
      <c r="R4320" t="s">
        <v>159</v>
      </c>
      <c r="S4320">
        <v>6</v>
      </c>
      <c r="T4320" t="s">
        <v>344</v>
      </c>
      <c r="U4320" s="1">
        <v>43348</v>
      </c>
      <c r="V4320" t="s">
        <v>6729</v>
      </c>
      <c r="W4320" t="s">
        <v>6730</v>
      </c>
      <c r="X4320" t="s">
        <v>58</v>
      </c>
      <c r="Y4320">
        <v>21</v>
      </c>
      <c r="Z4320" t="s">
        <v>59</v>
      </c>
      <c r="AA4320" t="s">
        <v>59</v>
      </c>
      <c r="AB4320" t="s">
        <v>59</v>
      </c>
      <c r="AC4320" t="s">
        <v>59</v>
      </c>
      <c r="AD4320" t="s">
        <v>59</v>
      </c>
      <c r="AF4320" s="1">
        <v>43348</v>
      </c>
      <c r="AG4320" t="s">
        <v>137</v>
      </c>
      <c r="AH4320" t="s">
        <v>138</v>
      </c>
      <c r="AI4320" t="str">
        <f>"5040050"</f>
        <v>5040050</v>
      </c>
      <c r="AJ4320" t="s">
        <v>6750</v>
      </c>
      <c r="AK4320">
        <v>2821043147</v>
      </c>
      <c r="AL4320" t="s">
        <v>6751</v>
      </c>
      <c r="AM4320" t="s">
        <v>88</v>
      </c>
      <c r="AN4320" t="s">
        <v>88</v>
      </c>
      <c r="AO4320" t="s">
        <v>88</v>
      </c>
      <c r="AP4320" t="s">
        <v>88</v>
      </c>
      <c r="AQ4320">
        <v>1</v>
      </c>
      <c r="AR4320" t="s">
        <v>6729</v>
      </c>
      <c r="AS4320" t="s">
        <v>6730</v>
      </c>
      <c r="AT4320" t="s">
        <v>58</v>
      </c>
      <c r="AU4320" t="s">
        <v>350</v>
      </c>
      <c r="AV4320" t="s">
        <v>132</v>
      </c>
      <c r="AW4320" s="1">
        <v>29817</v>
      </c>
      <c r="AX4320">
        <v>2</v>
      </c>
    </row>
    <row r="4321" spans="1:50">
      <c r="A4321">
        <v>168002</v>
      </c>
      <c r="B4321" t="str">
        <f>"028438960"</f>
        <v>028438960</v>
      </c>
      <c r="C4321" t="s">
        <v>105</v>
      </c>
      <c r="D4321" t="s">
        <v>3094</v>
      </c>
      <c r="E4321" t="s">
        <v>166</v>
      </c>
      <c r="F4321" t="s">
        <v>53</v>
      </c>
      <c r="G4321" t="s">
        <v>1361</v>
      </c>
      <c r="H4321" t="str">
        <f>" "</f>
        <v xml:space="preserve"> </v>
      </c>
      <c r="N4321" t="s">
        <v>292</v>
      </c>
      <c r="O4321" t="s">
        <v>293</v>
      </c>
      <c r="R4321" t="s">
        <v>57</v>
      </c>
      <c r="S4321">
        <v>13</v>
      </c>
      <c r="T4321">
        <v>159</v>
      </c>
      <c r="U4321" s="1">
        <v>34582</v>
      </c>
      <c r="V4321" t="s">
        <v>6729</v>
      </c>
      <c r="W4321" t="s">
        <v>6730</v>
      </c>
      <c r="X4321" t="s">
        <v>58</v>
      </c>
      <c r="Y4321">
        <v>18</v>
      </c>
      <c r="Z4321" t="s">
        <v>59</v>
      </c>
      <c r="AA4321" t="s">
        <v>59</v>
      </c>
      <c r="AB4321" t="s">
        <v>59</v>
      </c>
      <c r="AC4321" t="s">
        <v>59</v>
      </c>
      <c r="AD4321" t="s">
        <v>59</v>
      </c>
      <c r="AF4321" s="1">
        <v>34582</v>
      </c>
      <c r="AG4321" t="s">
        <v>125</v>
      </c>
      <c r="AH4321" t="s">
        <v>126</v>
      </c>
      <c r="AI4321" t="str">
        <f>"5001072"</f>
        <v>5001072</v>
      </c>
      <c r="AJ4321" t="s">
        <v>6922</v>
      </c>
      <c r="AK4321">
        <v>2821055471</v>
      </c>
      <c r="AL4321" t="s">
        <v>6923</v>
      </c>
      <c r="AM4321" t="s">
        <v>88</v>
      </c>
      <c r="AN4321" t="s">
        <v>88</v>
      </c>
      <c r="AO4321" t="s">
        <v>88</v>
      </c>
      <c r="AP4321" t="s">
        <v>88</v>
      </c>
      <c r="AQ4321">
        <v>1</v>
      </c>
      <c r="AR4321" t="s">
        <v>6729</v>
      </c>
      <c r="AS4321" t="s">
        <v>6730</v>
      </c>
      <c r="AT4321" t="s">
        <v>58</v>
      </c>
      <c r="AU4321" t="s">
        <v>68</v>
      </c>
      <c r="AV4321" t="s">
        <v>69</v>
      </c>
      <c r="AW4321" s="1">
        <v>20492</v>
      </c>
      <c r="AX4321">
        <v>2</v>
      </c>
    </row>
    <row r="4322" spans="1:50">
      <c r="A4322">
        <v>193160</v>
      </c>
      <c r="B4322" t="str">
        <f>"062273241"</f>
        <v>062273241</v>
      </c>
      <c r="C4322" t="s">
        <v>50</v>
      </c>
      <c r="D4322" t="s">
        <v>1270</v>
      </c>
      <c r="E4322" t="s">
        <v>3666</v>
      </c>
      <c r="F4322" t="s">
        <v>383</v>
      </c>
      <c r="G4322" t="s">
        <v>6714</v>
      </c>
      <c r="H4322" t="str">
        <f>"Σιγανού Παρεν 6 Σόδυ"</f>
        <v>Σιγανού Παρεν 6 Σόδυ</v>
      </c>
      <c r="J4322">
        <v>2821058946</v>
      </c>
      <c r="K4322">
        <v>6972848985</v>
      </c>
      <c r="L4322">
        <v>2103473857</v>
      </c>
      <c r="M4322" t="s">
        <v>8021</v>
      </c>
      <c r="N4322" t="s">
        <v>146</v>
      </c>
      <c r="O4322" t="s">
        <v>147</v>
      </c>
      <c r="R4322" t="s">
        <v>57</v>
      </c>
      <c r="S4322">
        <v>10</v>
      </c>
      <c r="T4322" t="s">
        <v>3919</v>
      </c>
      <c r="U4322" s="1">
        <v>37135</v>
      </c>
      <c r="V4322" t="s">
        <v>6729</v>
      </c>
      <c r="W4322" t="s">
        <v>6730</v>
      </c>
      <c r="X4322" t="s">
        <v>58</v>
      </c>
      <c r="Y4322">
        <v>20</v>
      </c>
      <c r="Z4322" t="s">
        <v>59</v>
      </c>
      <c r="AA4322" t="s">
        <v>59</v>
      </c>
      <c r="AB4322" t="s">
        <v>59</v>
      </c>
      <c r="AC4322" t="s">
        <v>59</v>
      </c>
      <c r="AD4322" t="s">
        <v>59</v>
      </c>
      <c r="AF4322" s="1">
        <v>37516</v>
      </c>
      <c r="AG4322" t="s">
        <v>125</v>
      </c>
      <c r="AH4322" t="s">
        <v>126</v>
      </c>
      <c r="AI4322" t="str">
        <f>"5001073"</f>
        <v>5001073</v>
      </c>
      <c r="AJ4322" t="s">
        <v>6849</v>
      </c>
      <c r="AK4322">
        <v>2821028553</v>
      </c>
      <c r="AL4322" t="s">
        <v>6850</v>
      </c>
      <c r="AM4322" t="s">
        <v>88</v>
      </c>
      <c r="AN4322" t="s">
        <v>88</v>
      </c>
      <c r="AO4322" t="s">
        <v>88</v>
      </c>
      <c r="AP4322" t="s">
        <v>88</v>
      </c>
      <c r="AQ4322">
        <v>1</v>
      </c>
      <c r="AR4322" t="s">
        <v>6729</v>
      </c>
      <c r="AS4322" t="s">
        <v>6730</v>
      </c>
      <c r="AT4322" t="s">
        <v>58</v>
      </c>
      <c r="AU4322" t="s">
        <v>68</v>
      </c>
      <c r="AV4322" t="s">
        <v>69</v>
      </c>
      <c r="AW4322" s="1">
        <v>27433</v>
      </c>
      <c r="AX4322">
        <v>2</v>
      </c>
    </row>
    <row r="4323" spans="1:50">
      <c r="A4323">
        <v>228061</v>
      </c>
      <c r="B4323" t="str">
        <f>"125667270"</f>
        <v>125667270</v>
      </c>
      <c r="C4323" t="s">
        <v>50</v>
      </c>
      <c r="D4323" t="s">
        <v>8022</v>
      </c>
      <c r="E4323" t="s">
        <v>155</v>
      </c>
      <c r="F4323" t="s">
        <v>8023</v>
      </c>
      <c r="G4323" t="s">
        <v>114</v>
      </c>
      <c r="H4323" t="str">
        <f>"ΑΡΓΥΡΑΔΕΣ ΚΕΡΚΥΡΑ"</f>
        <v>ΑΡΓΥΡΑΔΕΣ ΚΕΡΚΥΡΑ</v>
      </c>
      <c r="I4323">
        <v>49080</v>
      </c>
      <c r="J4323">
        <v>2662051274</v>
      </c>
      <c r="K4323">
        <v>6944415642</v>
      </c>
      <c r="M4323" t="s">
        <v>8024</v>
      </c>
      <c r="N4323" t="s">
        <v>176</v>
      </c>
      <c r="O4323" t="s">
        <v>177</v>
      </c>
      <c r="R4323" t="s">
        <v>57</v>
      </c>
      <c r="S4323">
        <v>7</v>
      </c>
      <c r="T4323">
        <v>654</v>
      </c>
      <c r="U4323" s="1">
        <v>40043</v>
      </c>
      <c r="V4323" t="s">
        <v>6729</v>
      </c>
      <c r="W4323" t="s">
        <v>6730</v>
      </c>
      <c r="X4323" t="s">
        <v>58</v>
      </c>
      <c r="Y4323">
        <v>21</v>
      </c>
      <c r="Z4323" t="s">
        <v>59</v>
      </c>
      <c r="AA4323" t="s">
        <v>59</v>
      </c>
      <c r="AB4323" t="s">
        <v>59</v>
      </c>
      <c r="AC4323" t="s">
        <v>59</v>
      </c>
      <c r="AD4323" t="s">
        <v>59</v>
      </c>
      <c r="AF4323" s="1">
        <v>40045</v>
      </c>
      <c r="AG4323" t="s">
        <v>345</v>
      </c>
      <c r="AH4323" t="s">
        <v>346</v>
      </c>
      <c r="AI4323" t="str">
        <f>"5059001"</f>
        <v>5059001</v>
      </c>
      <c r="AJ4323" t="s">
        <v>6742</v>
      </c>
      <c r="AK4323">
        <v>2822041102</v>
      </c>
      <c r="AL4323" t="s">
        <v>6743</v>
      </c>
      <c r="AM4323" t="s">
        <v>88</v>
      </c>
      <c r="AN4323" t="s">
        <v>6744</v>
      </c>
      <c r="AO4323" t="s">
        <v>6744</v>
      </c>
      <c r="AP4323" t="s">
        <v>6744</v>
      </c>
      <c r="AQ4323">
        <v>1</v>
      </c>
      <c r="AR4323" t="s">
        <v>6729</v>
      </c>
      <c r="AS4323" t="s">
        <v>6730</v>
      </c>
      <c r="AT4323" t="s">
        <v>58</v>
      </c>
      <c r="AU4323" t="s">
        <v>68</v>
      </c>
      <c r="AV4323" t="s">
        <v>132</v>
      </c>
      <c r="AW4323" s="1">
        <v>27973</v>
      </c>
      <c r="AX4323">
        <v>2</v>
      </c>
    </row>
    <row r="4324" spans="1:50">
      <c r="A4324">
        <v>222445</v>
      </c>
      <c r="B4324" t="str">
        <f>"101555995"</f>
        <v>101555995</v>
      </c>
      <c r="C4324" t="s">
        <v>50</v>
      </c>
      <c r="D4324" t="s">
        <v>8025</v>
      </c>
      <c r="E4324" t="s">
        <v>476</v>
      </c>
      <c r="F4324" t="s">
        <v>72</v>
      </c>
      <c r="G4324" t="s">
        <v>109</v>
      </c>
      <c r="H4324" t="str">
        <f>" "</f>
        <v xml:space="preserve"> </v>
      </c>
      <c r="J4324">
        <v>2821052157</v>
      </c>
      <c r="K4324">
        <v>6944165673</v>
      </c>
      <c r="M4324" t="s">
        <v>8026</v>
      </c>
      <c r="N4324" t="s">
        <v>146</v>
      </c>
      <c r="O4324" t="s">
        <v>147</v>
      </c>
      <c r="R4324" t="s">
        <v>57</v>
      </c>
      <c r="S4324">
        <v>7</v>
      </c>
      <c r="T4324">
        <v>775</v>
      </c>
      <c r="U4324" s="1">
        <v>39680</v>
      </c>
      <c r="V4324" t="s">
        <v>6729</v>
      </c>
      <c r="W4324" t="s">
        <v>6730</v>
      </c>
      <c r="X4324" t="s">
        <v>58</v>
      </c>
      <c r="Y4324">
        <v>21</v>
      </c>
      <c r="Z4324" t="s">
        <v>59</v>
      </c>
      <c r="AA4324" t="s">
        <v>59</v>
      </c>
      <c r="AB4324" t="s">
        <v>59</v>
      </c>
      <c r="AC4324" t="s">
        <v>59</v>
      </c>
      <c r="AD4324" t="s">
        <v>59</v>
      </c>
      <c r="AF4324" s="1">
        <v>39681</v>
      </c>
      <c r="AG4324" t="s">
        <v>125</v>
      </c>
      <c r="AH4324" t="s">
        <v>126</v>
      </c>
      <c r="AI4324" t="str">
        <f>"5002010"</f>
        <v>5002010</v>
      </c>
      <c r="AJ4324" t="s">
        <v>6773</v>
      </c>
      <c r="AK4324">
        <v>2825022249</v>
      </c>
      <c r="AL4324" t="s">
        <v>6774</v>
      </c>
      <c r="AM4324" t="s">
        <v>88</v>
      </c>
      <c r="AN4324" t="s">
        <v>6775</v>
      </c>
      <c r="AO4324" t="s">
        <v>6776</v>
      </c>
      <c r="AP4324" t="s">
        <v>6776</v>
      </c>
      <c r="AQ4324">
        <v>1</v>
      </c>
      <c r="AR4324" t="s">
        <v>6729</v>
      </c>
      <c r="AS4324" t="s">
        <v>6730</v>
      </c>
      <c r="AT4324" t="s">
        <v>58</v>
      </c>
      <c r="AU4324" t="s">
        <v>68</v>
      </c>
      <c r="AV4324" t="s">
        <v>69</v>
      </c>
      <c r="AW4324" s="1">
        <v>29266</v>
      </c>
      <c r="AX4324">
        <v>2</v>
      </c>
    </row>
    <row r="4325" spans="1:50">
      <c r="A4325">
        <v>154269</v>
      </c>
      <c r="B4325" t="str">
        <f>"063952179"</f>
        <v>063952179</v>
      </c>
      <c r="C4325" t="s">
        <v>50</v>
      </c>
      <c r="D4325" t="s">
        <v>3123</v>
      </c>
      <c r="E4325" t="s">
        <v>83</v>
      </c>
      <c r="F4325" t="s">
        <v>95</v>
      </c>
      <c r="G4325" t="s">
        <v>250</v>
      </c>
      <c r="H4325" t="str">
        <f>"ΚΟΡΑΚΙΕΣ ΑΚΡΩΤΗΡΙΟΥ ΑΚΡΩΤΗΡΙ-ΧΑΝΙΩΝ"</f>
        <v>ΚΟΡΑΚΙΕΣ ΑΚΡΩΤΗΡΙΟΥ ΑΚΡΩΤΗΡΙ-ΧΑΝΙΩΝ</v>
      </c>
      <c r="I4325">
        <v>73100</v>
      </c>
      <c r="J4325">
        <v>2821058914</v>
      </c>
      <c r="K4325">
        <v>6978001218</v>
      </c>
      <c r="N4325" t="s">
        <v>292</v>
      </c>
      <c r="O4325" t="s">
        <v>293</v>
      </c>
      <c r="R4325" t="s">
        <v>57</v>
      </c>
      <c r="S4325">
        <v>16</v>
      </c>
      <c r="T4325">
        <v>161</v>
      </c>
      <c r="U4325" s="1">
        <v>32387</v>
      </c>
      <c r="V4325" t="s">
        <v>6729</v>
      </c>
      <c r="W4325" t="s">
        <v>6730</v>
      </c>
      <c r="X4325" t="s">
        <v>58</v>
      </c>
      <c r="Y4325">
        <v>18</v>
      </c>
      <c r="Z4325" t="s">
        <v>59</v>
      </c>
      <c r="AA4325" t="s">
        <v>59</v>
      </c>
      <c r="AB4325" t="s">
        <v>59</v>
      </c>
      <c r="AC4325" t="s">
        <v>59</v>
      </c>
      <c r="AD4325" t="s">
        <v>59</v>
      </c>
      <c r="AF4325" s="1">
        <v>32393</v>
      </c>
      <c r="AG4325" t="s">
        <v>125</v>
      </c>
      <c r="AH4325" t="s">
        <v>126</v>
      </c>
      <c r="AI4325" t="str">
        <f>"5001075"</f>
        <v>5001075</v>
      </c>
      <c r="AJ4325" t="s">
        <v>6768</v>
      </c>
      <c r="AK4325">
        <v>2821064200</v>
      </c>
      <c r="AL4325" t="s">
        <v>6769</v>
      </c>
      <c r="AM4325" t="s">
        <v>88</v>
      </c>
      <c r="AN4325" t="s">
        <v>88</v>
      </c>
      <c r="AO4325" t="s">
        <v>6770</v>
      </c>
      <c r="AP4325" t="s">
        <v>6771</v>
      </c>
      <c r="AQ4325">
        <v>1</v>
      </c>
      <c r="AR4325" t="s">
        <v>6729</v>
      </c>
      <c r="AS4325" t="s">
        <v>6730</v>
      </c>
      <c r="AT4325" t="s">
        <v>58</v>
      </c>
      <c r="AU4325" t="s">
        <v>68</v>
      </c>
      <c r="AV4325" t="s">
        <v>69</v>
      </c>
      <c r="AW4325" s="1">
        <v>20394</v>
      </c>
      <c r="AX4325">
        <v>2</v>
      </c>
    </row>
    <row r="4326" spans="1:50">
      <c r="B4326" t="str">
        <f>"036250545"</f>
        <v>036250545</v>
      </c>
      <c r="C4326" t="s">
        <v>105</v>
      </c>
      <c r="D4326" t="s">
        <v>3129</v>
      </c>
      <c r="E4326" t="s">
        <v>154</v>
      </c>
      <c r="F4326" t="s">
        <v>92</v>
      </c>
      <c r="G4326" t="s">
        <v>1189</v>
      </c>
      <c r="H4326" t="str">
        <f>"ΑΓ. ΟΝΟΥΦΡΙΟΥ 357 ΚΟΥΝΟΥΠΙΔΙΑΝΑ"</f>
        <v>ΑΓ. ΟΝΟΥΦΡΙΟΥ 357 ΚΟΥΝΟΥΠΙΔΙΑΝΑ</v>
      </c>
      <c r="I4326">
        <v>73100</v>
      </c>
      <c r="J4326">
        <v>2821064730</v>
      </c>
      <c r="K4326">
        <v>6945933370</v>
      </c>
      <c r="M4326" t="s">
        <v>8027</v>
      </c>
      <c r="N4326" t="s">
        <v>292</v>
      </c>
      <c r="O4326" t="s">
        <v>293</v>
      </c>
      <c r="R4326" t="s">
        <v>159</v>
      </c>
      <c r="S4326">
        <v>4</v>
      </c>
      <c r="T4326" t="s">
        <v>416</v>
      </c>
      <c r="U4326" s="1">
        <v>43349</v>
      </c>
      <c r="V4326" t="s">
        <v>6729</v>
      </c>
      <c r="W4326" t="s">
        <v>6730</v>
      </c>
      <c r="X4326" t="s">
        <v>58</v>
      </c>
      <c r="Y4326">
        <v>21</v>
      </c>
      <c r="Z4326" t="s">
        <v>59</v>
      </c>
      <c r="AA4326" t="s">
        <v>59</v>
      </c>
      <c r="AB4326" t="s">
        <v>59</v>
      </c>
      <c r="AC4326" t="s">
        <v>59</v>
      </c>
      <c r="AD4326" t="s">
        <v>59</v>
      </c>
      <c r="AF4326" s="1">
        <v>43349</v>
      </c>
      <c r="AG4326" t="s">
        <v>125</v>
      </c>
      <c r="AH4326" t="s">
        <v>126</v>
      </c>
      <c r="AI4326" t="str">
        <f>"5001072"</f>
        <v>5001072</v>
      </c>
      <c r="AJ4326" t="s">
        <v>6922</v>
      </c>
      <c r="AK4326">
        <v>2821055471</v>
      </c>
      <c r="AL4326" t="s">
        <v>6923</v>
      </c>
      <c r="AM4326" t="s">
        <v>88</v>
      </c>
      <c r="AN4326" t="s">
        <v>88</v>
      </c>
      <c r="AO4326" t="s">
        <v>88</v>
      </c>
      <c r="AP4326" t="s">
        <v>88</v>
      </c>
      <c r="AQ4326">
        <v>1</v>
      </c>
      <c r="AR4326" t="s">
        <v>6729</v>
      </c>
      <c r="AS4326" t="s">
        <v>6730</v>
      </c>
      <c r="AT4326" t="s">
        <v>58</v>
      </c>
      <c r="AU4326" t="s">
        <v>419</v>
      </c>
      <c r="AV4326" t="s">
        <v>132</v>
      </c>
      <c r="AW4326" s="1">
        <v>22450</v>
      </c>
      <c r="AX4326">
        <v>2</v>
      </c>
    </row>
    <row r="4327" spans="1:50">
      <c r="A4327">
        <v>211270</v>
      </c>
      <c r="B4327" t="str">
        <f>"059448821"</f>
        <v>059448821</v>
      </c>
      <c r="C4327" t="s">
        <v>105</v>
      </c>
      <c r="D4327" t="s">
        <v>3129</v>
      </c>
      <c r="E4327" t="s">
        <v>72</v>
      </c>
      <c r="F4327" t="s">
        <v>2165</v>
      </c>
      <c r="G4327" t="s">
        <v>1189</v>
      </c>
      <c r="H4327" t="str">
        <f>"ΘΕΡΙΣΟΥ 15Α ΧΑΝΙΑ"</f>
        <v>ΘΕΡΙΣΟΥ 15Α ΧΑΝΙΑ</v>
      </c>
      <c r="I4327">
        <v>73100</v>
      </c>
      <c r="J4327">
        <v>2821086257</v>
      </c>
      <c r="K4327">
        <v>6974097836</v>
      </c>
      <c r="N4327" t="s">
        <v>331</v>
      </c>
      <c r="O4327" t="s">
        <v>332</v>
      </c>
      <c r="R4327" t="s">
        <v>57</v>
      </c>
      <c r="S4327">
        <v>8</v>
      </c>
      <c r="T4327" t="s">
        <v>5260</v>
      </c>
      <c r="U4327" s="1">
        <v>38670</v>
      </c>
      <c r="V4327" t="s">
        <v>6729</v>
      </c>
      <c r="W4327" t="s">
        <v>6730</v>
      </c>
      <c r="X4327" t="s">
        <v>58</v>
      </c>
      <c r="Y4327">
        <v>20</v>
      </c>
      <c r="Z4327" t="s">
        <v>59</v>
      </c>
      <c r="AA4327" t="s">
        <v>59</v>
      </c>
      <c r="AB4327" t="s">
        <v>59</v>
      </c>
      <c r="AC4327" t="s">
        <v>59</v>
      </c>
      <c r="AD4327" t="s">
        <v>59</v>
      </c>
      <c r="AF4327" s="1">
        <v>38672</v>
      </c>
      <c r="AG4327" t="s">
        <v>137</v>
      </c>
      <c r="AH4327" t="s">
        <v>469</v>
      </c>
      <c r="AI4327" t="str">
        <f>"5040055"</f>
        <v>5040055</v>
      </c>
      <c r="AJ4327" t="s">
        <v>6940</v>
      </c>
      <c r="AK4327">
        <v>2821036404</v>
      </c>
      <c r="AL4327" t="s">
        <v>6941</v>
      </c>
      <c r="AM4327" t="s">
        <v>88</v>
      </c>
      <c r="AN4327" t="s">
        <v>88</v>
      </c>
      <c r="AO4327" t="s">
        <v>88</v>
      </c>
      <c r="AP4327" t="s">
        <v>88</v>
      </c>
      <c r="AQ4327">
        <v>1</v>
      </c>
      <c r="AR4327" t="s">
        <v>6729</v>
      </c>
      <c r="AS4327" t="s">
        <v>6730</v>
      </c>
      <c r="AT4327" t="s">
        <v>58</v>
      </c>
      <c r="AU4327" t="s">
        <v>68</v>
      </c>
      <c r="AV4327" t="s">
        <v>69</v>
      </c>
      <c r="AW4327" s="1">
        <v>24324</v>
      </c>
      <c r="AX4327">
        <v>2</v>
      </c>
    </row>
    <row r="4328" spans="1:50">
      <c r="A4328">
        <v>229715</v>
      </c>
      <c r="B4328" t="str">
        <f>"067421730"</f>
        <v>067421730</v>
      </c>
      <c r="C4328" t="s">
        <v>50</v>
      </c>
      <c r="D4328" t="s">
        <v>8028</v>
      </c>
      <c r="E4328" t="s">
        <v>580</v>
      </c>
      <c r="F4328" t="s">
        <v>95</v>
      </c>
      <c r="G4328" t="s">
        <v>8029</v>
      </c>
      <c r="H4328" t="str">
        <f>"ΔΕΜΠΛΑ-ΤΑΥΡΩΝΙΤΗ-ΚΟΛΥΜΒΑΡΙ ΧΑΝΙΑ ΚΡΗΤΗΣ"</f>
        <v>ΔΕΜΠΛΑ-ΤΑΥΡΩΝΙΤΗ-ΚΟΛΥΜΒΑΡΙ ΧΑΝΙΑ ΚΡΗΤΗΣ</v>
      </c>
      <c r="I4328">
        <v>73006</v>
      </c>
      <c r="J4328">
        <v>2824023094</v>
      </c>
      <c r="K4328">
        <v>6974754644</v>
      </c>
      <c r="N4328" t="s">
        <v>907</v>
      </c>
      <c r="O4328" t="s">
        <v>908</v>
      </c>
      <c r="R4328" t="s">
        <v>57</v>
      </c>
      <c r="S4328">
        <v>5</v>
      </c>
      <c r="T4328">
        <v>988</v>
      </c>
      <c r="U4328" s="1">
        <v>40157</v>
      </c>
      <c r="V4328" t="s">
        <v>6729</v>
      </c>
      <c r="W4328" t="s">
        <v>6730</v>
      </c>
      <c r="X4328" t="s">
        <v>58</v>
      </c>
      <c r="Y4328">
        <v>21</v>
      </c>
      <c r="Z4328" t="s">
        <v>59</v>
      </c>
      <c r="AA4328" t="s">
        <v>59</v>
      </c>
      <c r="AB4328" t="s">
        <v>59</v>
      </c>
      <c r="AC4328" t="s">
        <v>59</v>
      </c>
      <c r="AD4328" t="s">
        <v>59</v>
      </c>
      <c r="AF4328" s="1">
        <v>40162</v>
      </c>
      <c r="AG4328" t="s">
        <v>137</v>
      </c>
      <c r="AH4328" t="s">
        <v>469</v>
      </c>
      <c r="AI4328" t="str">
        <f>"5053001"</f>
        <v>5053001</v>
      </c>
      <c r="AJ4328" t="s">
        <v>6788</v>
      </c>
      <c r="AK4328">
        <v>2821068020</v>
      </c>
      <c r="AM4328" t="s">
        <v>88</v>
      </c>
      <c r="AN4328" t="s">
        <v>6764</v>
      </c>
      <c r="AO4328" t="s">
        <v>6764</v>
      </c>
      <c r="AP4328" t="s">
        <v>6764</v>
      </c>
      <c r="AQ4328">
        <v>1</v>
      </c>
      <c r="AR4328" t="s">
        <v>6729</v>
      </c>
      <c r="AS4328" t="s">
        <v>6730</v>
      </c>
      <c r="AT4328" t="s">
        <v>58</v>
      </c>
      <c r="AU4328" t="s">
        <v>68</v>
      </c>
      <c r="AV4328" t="s">
        <v>69</v>
      </c>
      <c r="AW4328" s="1">
        <v>27928</v>
      </c>
      <c r="AX4328">
        <v>2</v>
      </c>
    </row>
    <row r="4329" spans="1:50">
      <c r="A4329">
        <v>157003</v>
      </c>
      <c r="B4329" t="str">
        <f>"072975222"</f>
        <v>072975222</v>
      </c>
      <c r="C4329" t="s">
        <v>50</v>
      </c>
      <c r="D4329" t="s">
        <v>8030</v>
      </c>
      <c r="E4329" t="s">
        <v>610</v>
      </c>
      <c r="F4329" t="s">
        <v>99</v>
      </c>
      <c r="G4329" t="s">
        <v>4345</v>
      </c>
      <c r="H4329" t="str">
        <f>"ΜΟΝΤΕ ΒΑΡΔΙΑ  ΛΕΝΤΑΡΙΑΝΩΝ"</f>
        <v>ΜΟΝΤΕ ΒΑΡΔΙΑ  ΛΕΝΤΑΡΙΑΝΩΝ</v>
      </c>
      <c r="I4329">
        <v>73100</v>
      </c>
      <c r="J4329">
        <v>2821059431</v>
      </c>
      <c r="K4329">
        <v>6974960671</v>
      </c>
      <c r="L4329">
        <v>2821058425</v>
      </c>
      <c r="M4329" t="s">
        <v>8031</v>
      </c>
      <c r="N4329" t="s">
        <v>199</v>
      </c>
      <c r="O4329" t="s">
        <v>200</v>
      </c>
      <c r="R4329" t="s">
        <v>57</v>
      </c>
      <c r="S4329">
        <v>15</v>
      </c>
      <c r="T4329">
        <v>188</v>
      </c>
      <c r="U4329" s="1">
        <v>32752</v>
      </c>
      <c r="V4329" t="s">
        <v>6729</v>
      </c>
      <c r="W4329" t="s">
        <v>6730</v>
      </c>
      <c r="X4329" t="s">
        <v>58</v>
      </c>
      <c r="Y4329">
        <v>18</v>
      </c>
      <c r="Z4329" t="s">
        <v>59</v>
      </c>
      <c r="AA4329" t="s">
        <v>59</v>
      </c>
      <c r="AB4329" t="s">
        <v>59</v>
      </c>
      <c r="AC4329" t="s">
        <v>59</v>
      </c>
      <c r="AD4329" t="s">
        <v>59</v>
      </c>
      <c r="AF4329" s="1">
        <v>32756</v>
      </c>
      <c r="AG4329" t="s">
        <v>125</v>
      </c>
      <c r="AH4329" t="s">
        <v>126</v>
      </c>
      <c r="AI4329" t="str">
        <f>"5001040"</f>
        <v>5001040</v>
      </c>
      <c r="AJ4329" t="s">
        <v>7126</v>
      </c>
      <c r="AK4329">
        <v>2821088010</v>
      </c>
      <c r="AM4329" t="s">
        <v>88</v>
      </c>
      <c r="AN4329" t="s">
        <v>88</v>
      </c>
      <c r="AO4329" t="s">
        <v>88</v>
      </c>
      <c r="AP4329" t="s">
        <v>88</v>
      </c>
      <c r="AQ4329">
        <v>1</v>
      </c>
      <c r="AR4329" t="s">
        <v>6729</v>
      </c>
      <c r="AS4329" t="s">
        <v>6730</v>
      </c>
      <c r="AT4329" t="s">
        <v>58</v>
      </c>
      <c r="AU4329" t="s">
        <v>68</v>
      </c>
      <c r="AV4329" t="s">
        <v>69</v>
      </c>
      <c r="AW4329" s="1">
        <v>19861</v>
      </c>
      <c r="AX4329">
        <v>2</v>
      </c>
    </row>
    <row r="4330" spans="1:50">
      <c r="A4330">
        <v>220088</v>
      </c>
      <c r="B4330" t="str">
        <f>"100646256"</f>
        <v>100646256</v>
      </c>
      <c r="C4330" t="s">
        <v>50</v>
      </c>
      <c r="D4330" t="s">
        <v>8032</v>
      </c>
      <c r="E4330" t="s">
        <v>1306</v>
      </c>
      <c r="F4330" t="s">
        <v>760</v>
      </c>
      <c r="G4330" t="s">
        <v>96</v>
      </c>
      <c r="H4330" t="str">
        <f>"ΑΜΠΕΛΩΝΟΣ 1 ΔΑΡΑΤΣΟ"</f>
        <v>ΑΜΠΕΛΩΝΟΣ 1 ΔΑΡΑΤΣΟ</v>
      </c>
      <c r="I4330">
        <v>73100</v>
      </c>
      <c r="J4330">
        <v>2821009521</v>
      </c>
      <c r="K4330">
        <v>6979008683</v>
      </c>
      <c r="M4330" t="s">
        <v>8033</v>
      </c>
      <c r="N4330" t="s">
        <v>907</v>
      </c>
      <c r="O4330" t="s">
        <v>908</v>
      </c>
      <c r="R4330" t="s">
        <v>57</v>
      </c>
      <c r="S4330">
        <v>7</v>
      </c>
      <c r="T4330">
        <v>599</v>
      </c>
      <c r="U4330" s="1">
        <v>39310</v>
      </c>
      <c r="V4330" t="s">
        <v>6729</v>
      </c>
      <c r="W4330" t="s">
        <v>6730</v>
      </c>
      <c r="X4330" t="s">
        <v>58</v>
      </c>
      <c r="Y4330">
        <v>20</v>
      </c>
      <c r="Z4330" t="s">
        <v>59</v>
      </c>
      <c r="AA4330" t="s">
        <v>59</v>
      </c>
      <c r="AB4330" t="s">
        <v>59</v>
      </c>
      <c r="AC4330" t="s">
        <v>59</v>
      </c>
      <c r="AD4330" t="s">
        <v>59</v>
      </c>
      <c r="AF4330" s="1">
        <v>39328</v>
      </c>
      <c r="AG4330" t="s">
        <v>137</v>
      </c>
      <c r="AH4330" t="s">
        <v>138</v>
      </c>
      <c r="AI4330" t="str">
        <f>"5050060"</f>
        <v>5050060</v>
      </c>
      <c r="AJ4330" t="s">
        <v>6801</v>
      </c>
      <c r="AK4330">
        <v>2821091515</v>
      </c>
      <c r="AL4330" t="s">
        <v>6802</v>
      </c>
      <c r="AM4330" t="s">
        <v>88</v>
      </c>
      <c r="AN4330" t="s">
        <v>88</v>
      </c>
      <c r="AO4330" t="s">
        <v>88</v>
      </c>
      <c r="AP4330" t="s">
        <v>88</v>
      </c>
      <c r="AQ4330">
        <v>1</v>
      </c>
      <c r="AR4330" t="s">
        <v>6729</v>
      </c>
      <c r="AS4330" t="s">
        <v>6730</v>
      </c>
      <c r="AT4330" t="s">
        <v>58</v>
      </c>
      <c r="AU4330" t="s">
        <v>68</v>
      </c>
      <c r="AV4330" t="s">
        <v>69</v>
      </c>
      <c r="AW4330" s="1">
        <v>28856</v>
      </c>
      <c r="AX4330">
        <v>2</v>
      </c>
    </row>
    <row r="4331" spans="1:50">
      <c r="A4331">
        <v>194690</v>
      </c>
      <c r="B4331" t="str">
        <f>"036250637"</f>
        <v>036250637</v>
      </c>
      <c r="C4331" t="s">
        <v>105</v>
      </c>
      <c r="D4331" t="s">
        <v>8034</v>
      </c>
      <c r="E4331" t="s">
        <v>95</v>
      </c>
      <c r="F4331" t="s">
        <v>698</v>
      </c>
      <c r="G4331" t="s">
        <v>52</v>
      </c>
      <c r="H4331" t="str">
        <f>"Πρεβελάκη 6 Αμπεριά"</f>
        <v>Πρεβελάκη 6 Αμπεριά</v>
      </c>
      <c r="J4331">
        <v>2821046934</v>
      </c>
      <c r="K4331">
        <v>6976819352</v>
      </c>
      <c r="L4331">
        <v>2821046934</v>
      </c>
      <c r="N4331" t="s">
        <v>189</v>
      </c>
      <c r="O4331" t="s">
        <v>190</v>
      </c>
      <c r="R4331" t="s">
        <v>57</v>
      </c>
      <c r="S4331">
        <v>12</v>
      </c>
      <c r="T4331">
        <v>193</v>
      </c>
      <c r="U4331" s="1">
        <v>37497</v>
      </c>
      <c r="V4331" t="s">
        <v>6729</v>
      </c>
      <c r="W4331" t="s">
        <v>6730</v>
      </c>
      <c r="X4331" t="s">
        <v>58</v>
      </c>
      <c r="Y4331">
        <v>18</v>
      </c>
      <c r="Z4331" t="s">
        <v>59</v>
      </c>
      <c r="AA4331" t="s">
        <v>59</v>
      </c>
      <c r="AB4331" t="s">
        <v>59</v>
      </c>
      <c r="AC4331" t="s">
        <v>59</v>
      </c>
      <c r="AD4331" t="s">
        <v>59</v>
      </c>
      <c r="AF4331" s="1">
        <v>37501</v>
      </c>
      <c r="AG4331" t="s">
        <v>125</v>
      </c>
      <c r="AH4331" t="s">
        <v>126</v>
      </c>
      <c r="AI4331" t="str">
        <f>"5001072"</f>
        <v>5001072</v>
      </c>
      <c r="AJ4331" t="s">
        <v>6922</v>
      </c>
      <c r="AK4331">
        <v>2821055471</v>
      </c>
      <c r="AL4331" t="s">
        <v>6923</v>
      </c>
      <c r="AM4331" t="s">
        <v>88</v>
      </c>
      <c r="AN4331" t="s">
        <v>88</v>
      </c>
      <c r="AO4331" t="s">
        <v>88</v>
      </c>
      <c r="AP4331" t="s">
        <v>88</v>
      </c>
      <c r="AQ4331">
        <v>1</v>
      </c>
      <c r="AR4331" t="s">
        <v>6729</v>
      </c>
      <c r="AS4331" t="s">
        <v>6730</v>
      </c>
      <c r="AT4331" t="s">
        <v>58</v>
      </c>
      <c r="AU4331" t="s">
        <v>68</v>
      </c>
      <c r="AV4331" t="s">
        <v>357</v>
      </c>
      <c r="AW4331" s="1">
        <v>24569</v>
      </c>
      <c r="AX4331">
        <v>2</v>
      </c>
    </row>
    <row r="4332" spans="1:50">
      <c r="A4332">
        <v>220500</v>
      </c>
      <c r="B4332" t="str">
        <f>"074271736"</f>
        <v>074271736</v>
      </c>
      <c r="C4332" t="s">
        <v>105</v>
      </c>
      <c r="D4332" t="s">
        <v>8035</v>
      </c>
      <c r="E4332" t="s">
        <v>315</v>
      </c>
      <c r="F4332" t="s">
        <v>309</v>
      </c>
      <c r="G4332" t="s">
        <v>1189</v>
      </c>
      <c r="H4332" t="str">
        <f>"ΗΡΩΩΝ ΣΚΟΠΕΥΤΗΡΙΟΥ 14-16 ΚΑΙΣΑΡΙΑΝΗ"</f>
        <v>ΗΡΩΩΝ ΣΚΟΠΕΥΤΗΡΙΟΥ 14-16 ΚΑΙΣΑΡΙΑΝΗ</v>
      </c>
      <c r="I4332">
        <v>16121</v>
      </c>
      <c r="K4332">
        <v>6973044689</v>
      </c>
      <c r="N4332" t="s">
        <v>146</v>
      </c>
      <c r="O4332" t="s">
        <v>147</v>
      </c>
      <c r="R4332" t="s">
        <v>57</v>
      </c>
      <c r="S4332">
        <v>5</v>
      </c>
      <c r="T4332">
        <v>681</v>
      </c>
      <c r="U4332" s="1">
        <v>39325</v>
      </c>
      <c r="V4332" t="s">
        <v>6729</v>
      </c>
      <c r="W4332" t="s">
        <v>6730</v>
      </c>
      <c r="X4332" t="s">
        <v>58</v>
      </c>
      <c r="Y4332">
        <v>21</v>
      </c>
      <c r="Z4332" t="s">
        <v>59</v>
      </c>
      <c r="AA4332" t="s">
        <v>59</v>
      </c>
      <c r="AB4332" t="s">
        <v>59</v>
      </c>
      <c r="AC4332" t="s">
        <v>59</v>
      </c>
      <c r="AD4332" t="s">
        <v>59</v>
      </c>
      <c r="AF4332" s="1">
        <v>39331</v>
      </c>
      <c r="AG4332" t="s">
        <v>148</v>
      </c>
      <c r="AH4332" t="s">
        <v>149</v>
      </c>
      <c r="AI4332" t="str">
        <f>"5051010"</f>
        <v>5051010</v>
      </c>
      <c r="AJ4332" t="s">
        <v>6896</v>
      </c>
      <c r="AK4332">
        <v>2821028714</v>
      </c>
      <c r="AL4332" t="s">
        <v>6897</v>
      </c>
      <c r="AM4332" t="s">
        <v>88</v>
      </c>
      <c r="AN4332" t="s">
        <v>88</v>
      </c>
      <c r="AO4332" t="s">
        <v>88</v>
      </c>
      <c r="AP4332" t="s">
        <v>88</v>
      </c>
      <c r="AQ4332">
        <v>1</v>
      </c>
      <c r="AR4332" t="s">
        <v>6729</v>
      </c>
      <c r="AS4332" t="s">
        <v>6730</v>
      </c>
      <c r="AT4332" t="s">
        <v>58</v>
      </c>
      <c r="AU4332" t="s">
        <v>68</v>
      </c>
      <c r="AV4332" t="s">
        <v>132</v>
      </c>
      <c r="AW4332" s="1">
        <v>26699</v>
      </c>
      <c r="AX4332">
        <v>2</v>
      </c>
    </row>
    <row r="4333" spans="1:50">
      <c r="A4333">
        <v>197372</v>
      </c>
      <c r="B4333" t="str">
        <f>"053342996"</f>
        <v>053342996</v>
      </c>
      <c r="C4333" t="s">
        <v>50</v>
      </c>
      <c r="D4333" t="s">
        <v>3143</v>
      </c>
      <c r="E4333" t="s">
        <v>143</v>
      </c>
      <c r="F4333" t="s">
        <v>1328</v>
      </c>
      <c r="G4333" t="s">
        <v>181</v>
      </c>
      <c r="H4333" t="str">
        <f>" "</f>
        <v xml:space="preserve"> </v>
      </c>
      <c r="J4333">
        <v>2821090245</v>
      </c>
      <c r="K4333">
        <v>6937522518</v>
      </c>
      <c r="N4333" t="s">
        <v>146</v>
      </c>
      <c r="O4333" t="s">
        <v>147</v>
      </c>
      <c r="R4333" t="s">
        <v>57</v>
      </c>
      <c r="S4333">
        <v>10</v>
      </c>
      <c r="T4333">
        <v>206</v>
      </c>
      <c r="U4333" s="1">
        <v>37866</v>
      </c>
      <c r="V4333" t="s">
        <v>6729</v>
      </c>
      <c r="W4333" t="s">
        <v>6730</v>
      </c>
      <c r="X4333" t="s">
        <v>58</v>
      </c>
      <c r="Y4333">
        <v>18</v>
      </c>
      <c r="Z4333" t="s">
        <v>59</v>
      </c>
      <c r="AA4333" t="s">
        <v>59</v>
      </c>
      <c r="AB4333" t="s">
        <v>59</v>
      </c>
      <c r="AC4333" t="s">
        <v>59</v>
      </c>
      <c r="AD4333" t="s">
        <v>59</v>
      </c>
      <c r="AF4333" s="1">
        <v>37866</v>
      </c>
      <c r="AG4333" t="s">
        <v>125</v>
      </c>
      <c r="AH4333" t="s">
        <v>126</v>
      </c>
      <c r="AI4333" t="str">
        <f>"5001080"</f>
        <v>5001080</v>
      </c>
      <c r="AJ4333" t="s">
        <v>6984</v>
      </c>
      <c r="AK4333">
        <v>2821068020</v>
      </c>
      <c r="AL4333" t="s">
        <v>6985</v>
      </c>
      <c r="AM4333" t="s">
        <v>88</v>
      </c>
      <c r="AN4333" t="s">
        <v>6764</v>
      </c>
      <c r="AO4333" t="s">
        <v>6764</v>
      </c>
      <c r="AP4333" t="s">
        <v>6764</v>
      </c>
      <c r="AQ4333">
        <v>1</v>
      </c>
      <c r="AR4333" t="s">
        <v>6729</v>
      </c>
      <c r="AS4333" t="s">
        <v>6730</v>
      </c>
      <c r="AT4333" t="s">
        <v>58</v>
      </c>
      <c r="AU4333" t="s">
        <v>68</v>
      </c>
      <c r="AV4333" t="s">
        <v>69</v>
      </c>
      <c r="AW4333" s="1">
        <v>22412</v>
      </c>
      <c r="AX4333">
        <v>2</v>
      </c>
    </row>
    <row r="4334" spans="1:50">
      <c r="A4334">
        <v>156216</v>
      </c>
      <c r="B4334" t="str">
        <f>"034700645"</f>
        <v>034700645</v>
      </c>
      <c r="C4334" t="s">
        <v>50</v>
      </c>
      <c r="D4334" t="s">
        <v>3154</v>
      </c>
      <c r="E4334" t="s">
        <v>52</v>
      </c>
      <c r="F4334" t="s">
        <v>1679</v>
      </c>
      <c r="G4334" t="s">
        <v>83</v>
      </c>
      <c r="H4334" t="str">
        <f>" "</f>
        <v xml:space="preserve"> </v>
      </c>
      <c r="N4334" t="s">
        <v>146</v>
      </c>
      <c r="O4334" t="s">
        <v>147</v>
      </c>
      <c r="R4334" t="s">
        <v>57</v>
      </c>
      <c r="S4334">
        <v>15</v>
      </c>
      <c r="T4334">
        <v>188</v>
      </c>
      <c r="U4334" s="1">
        <v>32752</v>
      </c>
      <c r="V4334" t="s">
        <v>6729</v>
      </c>
      <c r="W4334" t="s">
        <v>6730</v>
      </c>
      <c r="X4334" t="s">
        <v>58</v>
      </c>
      <c r="Y4334">
        <v>18</v>
      </c>
      <c r="Z4334" t="s">
        <v>59</v>
      </c>
      <c r="AA4334" t="s">
        <v>59</v>
      </c>
      <c r="AB4334" t="s">
        <v>59</v>
      </c>
      <c r="AC4334" t="s">
        <v>59</v>
      </c>
      <c r="AD4334" t="s">
        <v>59</v>
      </c>
      <c r="AF4334" s="1">
        <v>32756</v>
      </c>
      <c r="AG4334" t="s">
        <v>125</v>
      </c>
      <c r="AH4334" t="s">
        <v>126</v>
      </c>
      <c r="AI4334" t="str">
        <f>"5001020"</f>
        <v>5001020</v>
      </c>
      <c r="AJ4334" t="s">
        <v>6739</v>
      </c>
      <c r="AK4334">
        <v>2821042664</v>
      </c>
      <c r="AL4334" t="s">
        <v>6740</v>
      </c>
      <c r="AM4334" t="s">
        <v>88</v>
      </c>
      <c r="AN4334" t="s">
        <v>88</v>
      </c>
      <c r="AO4334" t="s">
        <v>88</v>
      </c>
      <c r="AP4334" t="s">
        <v>88</v>
      </c>
      <c r="AQ4334">
        <v>1</v>
      </c>
      <c r="AR4334" t="s">
        <v>6729</v>
      </c>
      <c r="AS4334" t="s">
        <v>6730</v>
      </c>
      <c r="AT4334" t="s">
        <v>58</v>
      </c>
      <c r="AU4334" t="s">
        <v>68</v>
      </c>
      <c r="AV4334" t="s">
        <v>69</v>
      </c>
      <c r="AW4334" s="1">
        <v>22879</v>
      </c>
      <c r="AX4334">
        <v>2</v>
      </c>
    </row>
    <row r="4335" spans="1:50">
      <c r="A4335">
        <v>200057</v>
      </c>
      <c r="B4335" t="str">
        <f>"101776478"</f>
        <v>101776478</v>
      </c>
      <c r="C4335" t="s">
        <v>105</v>
      </c>
      <c r="D4335" t="s">
        <v>8036</v>
      </c>
      <c r="E4335" t="s">
        <v>459</v>
      </c>
      <c r="F4335" t="s">
        <v>8037</v>
      </c>
      <c r="G4335" t="s">
        <v>54</v>
      </c>
      <c r="H4335" t="str">
        <f>"Ι. ΚΑΠΟΔΙΣΤΡΙΑ ΑΓΙΑ ΜΑΡΙΝΑ"</f>
        <v>Ι. ΚΑΠΟΔΙΣΤΡΙΑ ΑΓΙΑ ΜΑΡΙΝΑ</v>
      </c>
      <c r="I4335">
        <v>73014</v>
      </c>
      <c r="J4335">
        <v>2821038229</v>
      </c>
      <c r="K4335">
        <v>6944281203</v>
      </c>
      <c r="L4335" t="s">
        <v>8038</v>
      </c>
      <c r="N4335" t="s">
        <v>204</v>
      </c>
      <c r="O4335" t="s">
        <v>205</v>
      </c>
      <c r="R4335" t="s">
        <v>57</v>
      </c>
      <c r="S4335">
        <v>9</v>
      </c>
      <c r="T4335">
        <v>206</v>
      </c>
      <c r="U4335" s="1">
        <v>37866</v>
      </c>
      <c r="V4335" t="s">
        <v>6729</v>
      </c>
      <c r="W4335" t="s">
        <v>6730</v>
      </c>
      <c r="X4335" t="s">
        <v>58</v>
      </c>
      <c r="Y4335">
        <v>20</v>
      </c>
      <c r="Z4335" t="s">
        <v>59</v>
      </c>
      <c r="AA4335" t="s">
        <v>59</v>
      </c>
      <c r="AB4335" t="s">
        <v>59</v>
      </c>
      <c r="AC4335" t="s">
        <v>59</v>
      </c>
      <c r="AD4335" t="s">
        <v>59</v>
      </c>
      <c r="AF4335" s="1">
        <v>37866</v>
      </c>
      <c r="AG4335" t="s">
        <v>148</v>
      </c>
      <c r="AH4335" t="s">
        <v>149</v>
      </c>
      <c r="AI4335" t="str">
        <f>"5062010"</f>
        <v>5062010</v>
      </c>
      <c r="AJ4335" t="s">
        <v>6783</v>
      </c>
      <c r="AK4335">
        <v>2821031620</v>
      </c>
      <c r="AL4335" t="s">
        <v>6784</v>
      </c>
      <c r="AM4335" t="s">
        <v>88</v>
      </c>
      <c r="AN4335" t="s">
        <v>88</v>
      </c>
      <c r="AO4335" t="s">
        <v>6785</v>
      </c>
      <c r="AP4335" t="s">
        <v>6786</v>
      </c>
      <c r="AQ4335">
        <v>1</v>
      </c>
      <c r="AR4335" t="s">
        <v>6729</v>
      </c>
      <c r="AS4335" t="s">
        <v>6730</v>
      </c>
      <c r="AT4335" t="s">
        <v>58</v>
      </c>
      <c r="AU4335" t="s">
        <v>68</v>
      </c>
      <c r="AV4335" t="s">
        <v>69</v>
      </c>
      <c r="AW4335" s="1">
        <v>28123</v>
      </c>
      <c r="AX4335">
        <v>2</v>
      </c>
    </row>
    <row r="4336" spans="1:50">
      <c r="A4336">
        <v>159939</v>
      </c>
      <c r="B4336" t="str">
        <f>"030556142"</f>
        <v>030556142</v>
      </c>
      <c r="C4336" t="s">
        <v>105</v>
      </c>
      <c r="D4336" t="s">
        <v>8039</v>
      </c>
      <c r="E4336" t="s">
        <v>2165</v>
      </c>
      <c r="F4336" t="s">
        <v>72</v>
      </c>
      <c r="G4336" t="s">
        <v>8040</v>
      </c>
      <c r="H4336" t="str">
        <f>" "</f>
        <v xml:space="preserve"> </v>
      </c>
      <c r="N4336" t="s">
        <v>292</v>
      </c>
      <c r="O4336" t="s">
        <v>293</v>
      </c>
      <c r="R4336" t="s">
        <v>57</v>
      </c>
      <c r="S4336">
        <v>16</v>
      </c>
      <c r="T4336">
        <v>161</v>
      </c>
      <c r="U4336" s="1">
        <v>33119</v>
      </c>
      <c r="V4336" t="s">
        <v>6729</v>
      </c>
      <c r="W4336" t="s">
        <v>6730</v>
      </c>
      <c r="X4336" t="s">
        <v>58</v>
      </c>
      <c r="Y4336">
        <v>18</v>
      </c>
      <c r="Z4336" t="s">
        <v>59</v>
      </c>
      <c r="AA4336" t="s">
        <v>59</v>
      </c>
      <c r="AB4336" t="s">
        <v>59</v>
      </c>
      <c r="AC4336" t="s">
        <v>59</v>
      </c>
      <c r="AD4336" t="s">
        <v>59</v>
      </c>
      <c r="AF4336" s="1">
        <v>33119</v>
      </c>
      <c r="AG4336" t="s">
        <v>148</v>
      </c>
      <c r="AH4336" t="s">
        <v>149</v>
      </c>
      <c r="AI4336" t="str">
        <f>"5051050"</f>
        <v>5051050</v>
      </c>
      <c r="AJ4336" t="s">
        <v>6861</v>
      </c>
      <c r="AK4336">
        <v>2821044860</v>
      </c>
      <c r="AL4336" t="s">
        <v>6862</v>
      </c>
      <c r="AM4336" t="s">
        <v>88</v>
      </c>
      <c r="AN4336" t="s">
        <v>88</v>
      </c>
      <c r="AO4336" t="s">
        <v>88</v>
      </c>
      <c r="AP4336" t="s">
        <v>88</v>
      </c>
      <c r="AQ4336">
        <v>1</v>
      </c>
      <c r="AR4336" t="s">
        <v>6729</v>
      </c>
      <c r="AS4336" t="s">
        <v>6730</v>
      </c>
      <c r="AT4336" t="s">
        <v>58</v>
      </c>
      <c r="AU4336" t="s">
        <v>68</v>
      </c>
      <c r="AV4336" t="s">
        <v>69</v>
      </c>
      <c r="AW4336" s="1">
        <v>21613</v>
      </c>
      <c r="AX4336">
        <v>2</v>
      </c>
    </row>
    <row r="4337" spans="1:50">
      <c r="A4337">
        <v>226733</v>
      </c>
      <c r="B4337" t="str">
        <f>"072281826"</f>
        <v>072281826</v>
      </c>
      <c r="C4337" t="s">
        <v>50</v>
      </c>
      <c r="D4337" t="s">
        <v>8041</v>
      </c>
      <c r="E4337" t="s">
        <v>237</v>
      </c>
      <c r="F4337" t="s">
        <v>474</v>
      </c>
      <c r="G4337" t="s">
        <v>52</v>
      </c>
      <c r="H4337" t="str">
        <f>"ΗΡΩΩΝ ΠΟΛΥΤΕΧΝΕΙΟΥ 70 ΧΑΝΙΑ"</f>
        <v>ΗΡΩΩΝ ΠΟΛΥΤΕΧΝΕΙΟΥ 70 ΧΑΝΙΑ</v>
      </c>
      <c r="I4337">
        <v>73100</v>
      </c>
      <c r="J4337">
        <v>2821059753</v>
      </c>
      <c r="K4337">
        <v>6945470064</v>
      </c>
      <c r="M4337" t="s">
        <v>8042</v>
      </c>
      <c r="N4337" t="s">
        <v>146</v>
      </c>
      <c r="O4337" t="s">
        <v>147</v>
      </c>
      <c r="R4337" t="s">
        <v>57</v>
      </c>
      <c r="S4337">
        <v>5</v>
      </c>
      <c r="T4337">
        <v>654</v>
      </c>
      <c r="U4337" s="1">
        <v>40043</v>
      </c>
      <c r="V4337" t="s">
        <v>6729</v>
      </c>
      <c r="W4337" t="s">
        <v>6730</v>
      </c>
      <c r="X4337" t="s">
        <v>58</v>
      </c>
      <c r="Y4337">
        <v>21</v>
      </c>
      <c r="Z4337" t="s">
        <v>59</v>
      </c>
      <c r="AA4337" t="s">
        <v>59</v>
      </c>
      <c r="AB4337" t="s">
        <v>59</v>
      </c>
      <c r="AC4337" t="s">
        <v>59</v>
      </c>
      <c r="AD4337" t="s">
        <v>59</v>
      </c>
      <c r="AF4337" s="1">
        <v>40043</v>
      </c>
      <c r="AG4337" t="s">
        <v>125</v>
      </c>
      <c r="AH4337" t="s">
        <v>126</v>
      </c>
      <c r="AI4337" t="str">
        <f>"5002010"</f>
        <v>5002010</v>
      </c>
      <c r="AJ4337" t="s">
        <v>6773</v>
      </c>
      <c r="AK4337">
        <v>2825022249</v>
      </c>
      <c r="AL4337" t="s">
        <v>6774</v>
      </c>
      <c r="AM4337" t="s">
        <v>88</v>
      </c>
      <c r="AN4337" t="s">
        <v>6775</v>
      </c>
      <c r="AO4337" t="s">
        <v>6776</v>
      </c>
      <c r="AP4337" t="s">
        <v>6776</v>
      </c>
      <c r="AQ4337">
        <v>1</v>
      </c>
      <c r="AR4337" t="s">
        <v>6729</v>
      </c>
      <c r="AS4337" t="s">
        <v>6730</v>
      </c>
      <c r="AT4337" t="s">
        <v>58</v>
      </c>
      <c r="AU4337" t="s">
        <v>68</v>
      </c>
      <c r="AV4337" t="s">
        <v>69</v>
      </c>
      <c r="AW4337" s="1">
        <v>28215</v>
      </c>
      <c r="AX4337">
        <v>2</v>
      </c>
    </row>
    <row r="4338" spans="1:50">
      <c r="A4338">
        <v>159940</v>
      </c>
      <c r="B4338" t="str">
        <f>"027437326"</f>
        <v>027437326</v>
      </c>
      <c r="C4338" t="s">
        <v>50</v>
      </c>
      <c r="D4338" t="s">
        <v>3157</v>
      </c>
      <c r="E4338" t="s">
        <v>237</v>
      </c>
      <c r="F4338" t="s">
        <v>377</v>
      </c>
      <c r="G4338" t="s">
        <v>1068</v>
      </c>
      <c r="H4338" t="str">
        <f>"Β. Πάροδος Ηρακλείου "</f>
        <v xml:space="preserve">Β. Πάροδος Ηρακλείου </v>
      </c>
      <c r="J4338">
        <v>2821057120</v>
      </c>
      <c r="K4338">
        <v>6976558981</v>
      </c>
      <c r="M4338" t="s">
        <v>8043</v>
      </c>
      <c r="N4338" t="s">
        <v>292</v>
      </c>
      <c r="O4338" t="s">
        <v>293</v>
      </c>
      <c r="R4338" t="s">
        <v>57</v>
      </c>
      <c r="S4338">
        <v>14</v>
      </c>
      <c r="T4338">
        <v>161</v>
      </c>
      <c r="U4338" s="1">
        <v>33119</v>
      </c>
      <c r="V4338" t="s">
        <v>6729</v>
      </c>
      <c r="W4338" t="s">
        <v>6730</v>
      </c>
      <c r="X4338" t="s">
        <v>58</v>
      </c>
      <c r="Y4338">
        <v>18</v>
      </c>
      <c r="Z4338" t="s">
        <v>59</v>
      </c>
      <c r="AA4338" t="s">
        <v>59</v>
      </c>
      <c r="AB4338" t="s">
        <v>59</v>
      </c>
      <c r="AC4338" t="s">
        <v>59</v>
      </c>
      <c r="AD4338" t="s">
        <v>59</v>
      </c>
      <c r="AF4338" s="1">
        <v>33123</v>
      </c>
      <c r="AG4338" t="s">
        <v>125</v>
      </c>
      <c r="AH4338" t="s">
        <v>126</v>
      </c>
      <c r="AI4338" t="str">
        <f>"5001073"</f>
        <v>5001073</v>
      </c>
      <c r="AJ4338" t="s">
        <v>6849</v>
      </c>
      <c r="AK4338">
        <v>2821028553</v>
      </c>
      <c r="AL4338" t="s">
        <v>6850</v>
      </c>
      <c r="AM4338" t="s">
        <v>88</v>
      </c>
      <c r="AN4338" t="s">
        <v>88</v>
      </c>
      <c r="AO4338" t="s">
        <v>88</v>
      </c>
      <c r="AP4338" t="s">
        <v>88</v>
      </c>
      <c r="AQ4338">
        <v>1</v>
      </c>
      <c r="AR4338" t="s">
        <v>6729</v>
      </c>
      <c r="AS4338" t="s">
        <v>6730</v>
      </c>
      <c r="AT4338" t="s">
        <v>58</v>
      </c>
      <c r="AU4338" t="s">
        <v>68</v>
      </c>
      <c r="AV4338" t="s">
        <v>69</v>
      </c>
      <c r="AW4338" s="1">
        <v>21144</v>
      </c>
      <c r="AX4338">
        <v>2</v>
      </c>
    </row>
    <row r="4339" spans="1:50">
      <c r="A4339">
        <v>209664</v>
      </c>
      <c r="B4339" t="str">
        <f>"076040770"</f>
        <v>076040770</v>
      </c>
      <c r="C4339" t="s">
        <v>50</v>
      </c>
      <c r="D4339" t="s">
        <v>3157</v>
      </c>
      <c r="E4339" t="s">
        <v>83</v>
      </c>
      <c r="F4339" t="s">
        <v>8044</v>
      </c>
      <c r="G4339" t="s">
        <v>610</v>
      </c>
      <c r="H4339" t="str">
        <f>" "</f>
        <v xml:space="preserve"> </v>
      </c>
      <c r="J4339">
        <v>2821053153</v>
      </c>
      <c r="M4339" t="s">
        <v>8045</v>
      </c>
      <c r="N4339" t="s">
        <v>146</v>
      </c>
      <c r="O4339" t="s">
        <v>147</v>
      </c>
      <c r="R4339" t="s">
        <v>57</v>
      </c>
      <c r="S4339">
        <v>6</v>
      </c>
      <c r="T4339" s="1">
        <v>38607</v>
      </c>
      <c r="U4339" s="1">
        <v>38607</v>
      </c>
      <c r="V4339" t="s">
        <v>6729</v>
      </c>
      <c r="W4339" t="s">
        <v>6730</v>
      </c>
      <c r="X4339" t="s">
        <v>58</v>
      </c>
      <c r="Y4339">
        <v>20</v>
      </c>
      <c r="Z4339" t="s">
        <v>59</v>
      </c>
      <c r="AA4339" t="s">
        <v>59</v>
      </c>
      <c r="AB4339" t="s">
        <v>59</v>
      </c>
      <c r="AC4339" t="s">
        <v>59</v>
      </c>
      <c r="AD4339" t="s">
        <v>59</v>
      </c>
      <c r="AF4339" s="1">
        <v>38607</v>
      </c>
      <c r="AG4339" t="s">
        <v>125</v>
      </c>
      <c r="AH4339" t="s">
        <v>126</v>
      </c>
      <c r="AI4339" t="str">
        <f>"5009010"</f>
        <v>5009010</v>
      </c>
      <c r="AJ4339" t="s">
        <v>6901</v>
      </c>
      <c r="AK4339">
        <v>2821077212</v>
      </c>
      <c r="AL4339" t="s">
        <v>6902</v>
      </c>
      <c r="AM4339" t="s">
        <v>88</v>
      </c>
      <c r="AN4339" t="s">
        <v>6764</v>
      </c>
      <c r="AO4339" t="s">
        <v>6885</v>
      </c>
      <c r="AP4339" t="s">
        <v>6886</v>
      </c>
      <c r="AQ4339">
        <v>1</v>
      </c>
      <c r="AR4339" t="s">
        <v>6729</v>
      </c>
      <c r="AS4339" t="s">
        <v>6730</v>
      </c>
      <c r="AT4339" t="s">
        <v>58</v>
      </c>
      <c r="AU4339" t="s">
        <v>68</v>
      </c>
      <c r="AV4339" t="s">
        <v>69</v>
      </c>
      <c r="AW4339" s="1">
        <v>25681</v>
      </c>
      <c r="AX4339">
        <v>2</v>
      </c>
    </row>
    <row r="4340" spans="1:50">
      <c r="A4340">
        <v>204563</v>
      </c>
      <c r="B4340" t="str">
        <f>"128956545"</f>
        <v>128956545</v>
      </c>
      <c r="C4340" t="s">
        <v>50</v>
      </c>
      <c r="D4340" t="s">
        <v>3157</v>
      </c>
      <c r="E4340" t="s">
        <v>83</v>
      </c>
      <c r="F4340" t="s">
        <v>106</v>
      </c>
      <c r="G4340" t="s">
        <v>378</v>
      </c>
      <c r="H4340" t="str">
        <f>"Νεοφύτου Οικονόμου 16 "</f>
        <v xml:space="preserve">Νεοφύτου Οικονόμου 16 </v>
      </c>
      <c r="K4340">
        <v>6946893377</v>
      </c>
      <c r="L4340">
        <v>2410253236</v>
      </c>
      <c r="M4340" t="s">
        <v>8046</v>
      </c>
      <c r="N4340" t="s">
        <v>337</v>
      </c>
      <c r="O4340" t="s">
        <v>338</v>
      </c>
      <c r="R4340" t="s">
        <v>57</v>
      </c>
      <c r="S4340">
        <v>7</v>
      </c>
      <c r="T4340">
        <v>231</v>
      </c>
      <c r="U4340" s="1">
        <v>38230</v>
      </c>
      <c r="V4340" t="s">
        <v>6729</v>
      </c>
      <c r="W4340" t="s">
        <v>6730</v>
      </c>
      <c r="X4340" t="s">
        <v>58</v>
      </c>
      <c r="Y4340">
        <v>20</v>
      </c>
      <c r="Z4340" t="s">
        <v>59</v>
      </c>
      <c r="AA4340" t="s">
        <v>59</v>
      </c>
      <c r="AB4340" t="s">
        <v>59</v>
      </c>
      <c r="AC4340" t="s">
        <v>59</v>
      </c>
      <c r="AD4340" t="s">
        <v>59</v>
      </c>
      <c r="AF4340" s="1">
        <v>38232</v>
      </c>
      <c r="AG4340" t="s">
        <v>125</v>
      </c>
      <c r="AH4340" t="s">
        <v>126</v>
      </c>
      <c r="AI4340" t="str">
        <f>"5001040"</f>
        <v>5001040</v>
      </c>
      <c r="AJ4340" t="s">
        <v>7126</v>
      </c>
      <c r="AK4340">
        <v>2821088010</v>
      </c>
      <c r="AM4340" t="s">
        <v>88</v>
      </c>
      <c r="AN4340" t="s">
        <v>88</v>
      </c>
      <c r="AO4340" t="s">
        <v>88</v>
      </c>
      <c r="AP4340" t="s">
        <v>88</v>
      </c>
      <c r="AQ4340">
        <v>1</v>
      </c>
      <c r="AR4340" t="s">
        <v>6729</v>
      </c>
      <c r="AS4340" t="s">
        <v>6730</v>
      </c>
      <c r="AT4340" t="s">
        <v>58</v>
      </c>
      <c r="AU4340" t="s">
        <v>68</v>
      </c>
      <c r="AV4340" t="s">
        <v>69</v>
      </c>
      <c r="AW4340" s="1">
        <v>28866</v>
      </c>
      <c r="AX4340">
        <v>2</v>
      </c>
    </row>
    <row r="4341" spans="1:50">
      <c r="A4341">
        <v>202665</v>
      </c>
      <c r="B4341" t="str">
        <f>"044966756"</f>
        <v>044966756</v>
      </c>
      <c r="C4341" t="s">
        <v>50</v>
      </c>
      <c r="D4341" t="s">
        <v>3157</v>
      </c>
      <c r="E4341" t="s">
        <v>83</v>
      </c>
      <c r="F4341" t="s">
        <v>53</v>
      </c>
      <c r="G4341" t="s">
        <v>4602</v>
      </c>
      <c r="H4341" t="str">
        <f>" "</f>
        <v xml:space="preserve"> </v>
      </c>
      <c r="J4341">
        <v>2821070719</v>
      </c>
      <c r="K4341">
        <v>6978344482</v>
      </c>
      <c r="N4341" t="s">
        <v>232</v>
      </c>
      <c r="O4341" t="s">
        <v>233</v>
      </c>
      <c r="P4341" t="s">
        <v>292</v>
      </c>
      <c r="Q4341" t="s">
        <v>293</v>
      </c>
      <c r="R4341" t="s">
        <v>57</v>
      </c>
      <c r="S4341">
        <v>9</v>
      </c>
      <c r="T4341">
        <v>231</v>
      </c>
      <c r="U4341" s="1">
        <v>38230</v>
      </c>
      <c r="V4341" t="s">
        <v>6729</v>
      </c>
      <c r="W4341" t="s">
        <v>6730</v>
      </c>
      <c r="X4341" t="s">
        <v>58</v>
      </c>
      <c r="Y4341">
        <v>20</v>
      </c>
      <c r="Z4341" t="s">
        <v>59</v>
      </c>
      <c r="AA4341" t="s">
        <v>59</v>
      </c>
      <c r="AB4341" t="s">
        <v>59</v>
      </c>
      <c r="AC4341" t="s">
        <v>59</v>
      </c>
      <c r="AD4341" t="s">
        <v>59</v>
      </c>
      <c r="AF4341" s="1">
        <v>38233</v>
      </c>
      <c r="AG4341" t="s">
        <v>125</v>
      </c>
      <c r="AH4341" t="s">
        <v>126</v>
      </c>
      <c r="AI4341" t="str">
        <f>"5001080"</f>
        <v>5001080</v>
      </c>
      <c r="AJ4341" t="s">
        <v>6984</v>
      </c>
      <c r="AK4341">
        <v>2821068020</v>
      </c>
      <c r="AL4341" t="s">
        <v>6985</v>
      </c>
      <c r="AM4341" t="s">
        <v>88</v>
      </c>
      <c r="AN4341" t="s">
        <v>6764</v>
      </c>
      <c r="AO4341" t="s">
        <v>6764</v>
      </c>
      <c r="AP4341" t="s">
        <v>6764</v>
      </c>
      <c r="AQ4341">
        <v>1</v>
      </c>
      <c r="AR4341" t="s">
        <v>6729</v>
      </c>
      <c r="AS4341" t="s">
        <v>6730</v>
      </c>
      <c r="AT4341" t="s">
        <v>58</v>
      </c>
      <c r="AU4341" t="s">
        <v>68</v>
      </c>
      <c r="AV4341" t="s">
        <v>69</v>
      </c>
      <c r="AW4341" s="1">
        <v>24744</v>
      </c>
      <c r="AX4341">
        <v>2</v>
      </c>
    </row>
    <row r="4342" spans="1:50">
      <c r="A4342">
        <v>220503</v>
      </c>
      <c r="B4342" t="str">
        <f>"046594350"</f>
        <v>046594350</v>
      </c>
      <c r="C4342" t="s">
        <v>50</v>
      </c>
      <c r="D4342" t="s">
        <v>3157</v>
      </c>
      <c r="E4342" t="s">
        <v>83</v>
      </c>
      <c r="F4342" t="s">
        <v>5041</v>
      </c>
      <c r="G4342" t="s">
        <v>755</v>
      </c>
      <c r="H4342" t="str">
        <f>"ΑΓ. ΡΟΥΜΕΛΗΣ 6 2821053634"</f>
        <v>ΑΓ. ΡΟΥΜΕΛΗΣ 6 2821053634</v>
      </c>
      <c r="I4342">
        <v>73132</v>
      </c>
      <c r="J4342">
        <v>2821053634</v>
      </c>
      <c r="K4342">
        <v>6977467453</v>
      </c>
      <c r="M4342" t="s">
        <v>8047</v>
      </c>
      <c r="N4342" t="s">
        <v>146</v>
      </c>
      <c r="O4342" t="s">
        <v>147</v>
      </c>
      <c r="R4342" t="s">
        <v>57</v>
      </c>
      <c r="S4342">
        <v>5</v>
      </c>
      <c r="T4342">
        <v>681</v>
      </c>
      <c r="U4342" s="1">
        <v>39325</v>
      </c>
      <c r="V4342" t="s">
        <v>6729</v>
      </c>
      <c r="W4342" t="s">
        <v>6730</v>
      </c>
      <c r="X4342" t="s">
        <v>58</v>
      </c>
      <c r="Y4342">
        <v>21</v>
      </c>
      <c r="Z4342" t="s">
        <v>59</v>
      </c>
      <c r="AA4342" t="s">
        <v>59</v>
      </c>
      <c r="AB4342" t="s">
        <v>59</v>
      </c>
      <c r="AC4342" t="s">
        <v>59</v>
      </c>
      <c r="AD4342" t="s">
        <v>59</v>
      </c>
      <c r="AF4342" s="1">
        <v>39329</v>
      </c>
      <c r="AG4342" t="s">
        <v>148</v>
      </c>
      <c r="AH4342" t="s">
        <v>149</v>
      </c>
      <c r="AI4342" t="str">
        <f>"5055010"</f>
        <v>5055010</v>
      </c>
      <c r="AJ4342" t="s">
        <v>6868</v>
      </c>
      <c r="AK4342">
        <v>2823041416</v>
      </c>
      <c r="AL4342" t="s">
        <v>6869</v>
      </c>
      <c r="AM4342" t="s">
        <v>88</v>
      </c>
      <c r="AN4342" t="s">
        <v>6824</v>
      </c>
      <c r="AO4342" t="s">
        <v>6870</v>
      </c>
      <c r="AP4342" t="s">
        <v>6871</v>
      </c>
      <c r="AQ4342">
        <v>1</v>
      </c>
      <c r="AR4342" t="s">
        <v>6729</v>
      </c>
      <c r="AS4342" t="s">
        <v>6730</v>
      </c>
      <c r="AT4342" t="s">
        <v>58</v>
      </c>
      <c r="AU4342" t="s">
        <v>68</v>
      </c>
      <c r="AV4342" t="s">
        <v>69</v>
      </c>
      <c r="AW4342" s="1">
        <v>26376</v>
      </c>
      <c r="AX4342">
        <v>2</v>
      </c>
    </row>
    <row r="4343" spans="1:50">
      <c r="A4343">
        <v>193169</v>
      </c>
      <c r="B4343" t="str">
        <f>"101596178"</f>
        <v>101596178</v>
      </c>
      <c r="C4343" t="s">
        <v>50</v>
      </c>
      <c r="D4343" t="s">
        <v>3157</v>
      </c>
      <c r="E4343" t="s">
        <v>922</v>
      </c>
      <c r="F4343" t="s">
        <v>5949</v>
      </c>
      <c r="G4343" t="s">
        <v>414</v>
      </c>
      <c r="H4343" t="str">
        <f>" "</f>
        <v xml:space="preserve"> </v>
      </c>
      <c r="J4343">
        <v>2821058256</v>
      </c>
      <c r="K4343">
        <v>6970668250</v>
      </c>
      <c r="L4343">
        <v>2102029274</v>
      </c>
      <c r="M4343" t="s">
        <v>8048</v>
      </c>
      <c r="N4343" t="s">
        <v>146</v>
      </c>
      <c r="O4343" t="s">
        <v>147</v>
      </c>
      <c r="R4343" t="s">
        <v>57</v>
      </c>
      <c r="S4343">
        <v>10</v>
      </c>
      <c r="T4343">
        <v>193</v>
      </c>
      <c r="U4343" s="1">
        <v>37497</v>
      </c>
      <c r="V4343" t="s">
        <v>6729</v>
      </c>
      <c r="W4343" t="s">
        <v>6730</v>
      </c>
      <c r="X4343" t="s">
        <v>58</v>
      </c>
      <c r="Y4343">
        <v>20</v>
      </c>
      <c r="Z4343" t="s">
        <v>59</v>
      </c>
      <c r="AA4343" t="s">
        <v>59</v>
      </c>
      <c r="AB4343" t="s">
        <v>59</v>
      </c>
      <c r="AC4343" t="s">
        <v>59</v>
      </c>
      <c r="AD4343" t="s">
        <v>59</v>
      </c>
      <c r="AF4343" s="1">
        <v>37501</v>
      </c>
      <c r="AG4343" t="s">
        <v>148</v>
      </c>
      <c r="AH4343" t="s">
        <v>149</v>
      </c>
      <c r="AI4343" t="str">
        <f>"5051030"</f>
        <v>5051030</v>
      </c>
      <c r="AJ4343" t="s">
        <v>6760</v>
      </c>
      <c r="AK4343">
        <v>2821027533</v>
      </c>
      <c r="AL4343" t="s">
        <v>6761</v>
      </c>
      <c r="AM4343" t="s">
        <v>88</v>
      </c>
      <c r="AN4343" t="s">
        <v>88</v>
      </c>
      <c r="AO4343" t="s">
        <v>88</v>
      </c>
      <c r="AP4343" t="s">
        <v>88</v>
      </c>
      <c r="AQ4343">
        <v>1</v>
      </c>
      <c r="AR4343" t="s">
        <v>6729</v>
      </c>
      <c r="AS4343" t="s">
        <v>6730</v>
      </c>
      <c r="AT4343" t="s">
        <v>58</v>
      </c>
      <c r="AU4343" t="s">
        <v>68</v>
      </c>
      <c r="AV4343" t="s">
        <v>132</v>
      </c>
      <c r="AW4343" s="1">
        <v>27386</v>
      </c>
      <c r="AX4343">
        <v>2</v>
      </c>
    </row>
    <row r="4344" spans="1:50">
      <c r="A4344">
        <v>198668</v>
      </c>
      <c r="B4344" t="str">
        <f>"066376282"</f>
        <v>066376282</v>
      </c>
      <c r="C4344" t="s">
        <v>50</v>
      </c>
      <c r="D4344" t="s">
        <v>3157</v>
      </c>
      <c r="E4344" t="s">
        <v>52</v>
      </c>
      <c r="F4344" t="s">
        <v>95</v>
      </c>
      <c r="G4344" t="s">
        <v>8049</v>
      </c>
      <c r="H4344" t="str">
        <f>"ΑΛΥΟΣ 3 Ν.ΣΜΥΡΝΗ ΑΘΗΝΑ"</f>
        <v>ΑΛΥΟΣ 3 Ν.ΣΜΥΡΝΗ ΑΘΗΝΑ</v>
      </c>
      <c r="I4344">
        <v>17123</v>
      </c>
      <c r="J4344">
        <v>2810323023</v>
      </c>
      <c r="K4344">
        <v>6974833666</v>
      </c>
      <c r="M4344" t="s">
        <v>8050</v>
      </c>
      <c r="N4344" t="s">
        <v>306</v>
      </c>
      <c r="O4344" t="s">
        <v>307</v>
      </c>
      <c r="R4344" t="s">
        <v>57</v>
      </c>
      <c r="S4344">
        <v>10</v>
      </c>
      <c r="T4344">
        <v>206</v>
      </c>
      <c r="U4344" s="1">
        <v>37866</v>
      </c>
      <c r="V4344" t="s">
        <v>6729</v>
      </c>
      <c r="W4344" t="s">
        <v>6730</v>
      </c>
      <c r="X4344" t="s">
        <v>58</v>
      </c>
      <c r="Y4344">
        <v>20</v>
      </c>
      <c r="Z4344" t="s">
        <v>59</v>
      </c>
      <c r="AA4344" t="s">
        <v>59</v>
      </c>
      <c r="AB4344" t="s">
        <v>59</v>
      </c>
      <c r="AC4344" t="s">
        <v>59</v>
      </c>
      <c r="AD4344" t="s">
        <v>59</v>
      </c>
      <c r="AF4344" s="1">
        <v>37866</v>
      </c>
      <c r="AG4344" t="s">
        <v>125</v>
      </c>
      <c r="AH4344" t="s">
        <v>126</v>
      </c>
      <c r="AI4344" t="str">
        <f>"5007010"</f>
        <v>5007010</v>
      </c>
      <c r="AJ4344" t="s">
        <v>6797</v>
      </c>
      <c r="AK4344">
        <v>2824022241</v>
      </c>
      <c r="AL4344" t="s">
        <v>6798</v>
      </c>
      <c r="AM4344" t="s">
        <v>88</v>
      </c>
      <c r="AN4344" t="s">
        <v>6764</v>
      </c>
      <c r="AO4344" t="s">
        <v>6799</v>
      </c>
      <c r="AP4344" t="s">
        <v>6799</v>
      </c>
      <c r="AQ4344">
        <v>1</v>
      </c>
      <c r="AR4344" t="s">
        <v>6729</v>
      </c>
      <c r="AS4344" t="s">
        <v>6730</v>
      </c>
      <c r="AT4344" t="s">
        <v>58</v>
      </c>
      <c r="AU4344" t="s">
        <v>68</v>
      </c>
      <c r="AV4344" t="s">
        <v>69</v>
      </c>
      <c r="AW4344" s="1">
        <v>27991</v>
      </c>
      <c r="AX4344">
        <v>2</v>
      </c>
    </row>
    <row r="4345" spans="1:50">
      <c r="A4345">
        <v>220504</v>
      </c>
      <c r="B4345" t="str">
        <f>"046184545"</f>
        <v>046184545</v>
      </c>
      <c r="C4345" t="s">
        <v>50</v>
      </c>
      <c r="D4345" t="s">
        <v>3157</v>
      </c>
      <c r="E4345" t="s">
        <v>52</v>
      </c>
      <c r="F4345" t="s">
        <v>166</v>
      </c>
      <c r="G4345" t="s">
        <v>83</v>
      </c>
      <c r="H4345" t="str">
        <f>"Σ. ΦΙΩΤΑΚΗ 37 ΧΑΝΙΑ"</f>
        <v>Σ. ΦΙΩΤΑΚΗ 37 ΧΑΝΙΑ</v>
      </c>
      <c r="I4345">
        <v>73136</v>
      </c>
      <c r="J4345">
        <v>2821028575</v>
      </c>
      <c r="K4345">
        <v>6974361814</v>
      </c>
      <c r="N4345" t="s">
        <v>146</v>
      </c>
      <c r="O4345" t="s">
        <v>147</v>
      </c>
      <c r="R4345" t="s">
        <v>57</v>
      </c>
      <c r="S4345">
        <v>5</v>
      </c>
      <c r="T4345">
        <v>681</v>
      </c>
      <c r="U4345" s="1">
        <v>39325</v>
      </c>
      <c r="V4345" t="s">
        <v>6729</v>
      </c>
      <c r="W4345" t="s">
        <v>6730</v>
      </c>
      <c r="X4345" t="s">
        <v>58</v>
      </c>
      <c r="Y4345">
        <v>21</v>
      </c>
      <c r="Z4345" t="s">
        <v>59</v>
      </c>
      <c r="AA4345" t="s">
        <v>59</v>
      </c>
      <c r="AB4345" t="s">
        <v>59</v>
      </c>
      <c r="AC4345" t="s">
        <v>59</v>
      </c>
      <c r="AD4345" t="s">
        <v>59</v>
      </c>
      <c r="AF4345" s="1">
        <v>39329</v>
      </c>
      <c r="AG4345" t="s">
        <v>148</v>
      </c>
      <c r="AH4345" t="s">
        <v>149</v>
      </c>
      <c r="AI4345" t="str">
        <f>"5056010"</f>
        <v>5056010</v>
      </c>
      <c r="AJ4345" t="s">
        <v>6762</v>
      </c>
      <c r="AK4345">
        <v>2824031210</v>
      </c>
      <c r="AL4345" t="s">
        <v>6763</v>
      </c>
      <c r="AM4345" t="s">
        <v>88</v>
      </c>
      <c r="AN4345" t="s">
        <v>6764</v>
      </c>
      <c r="AO4345" t="s">
        <v>6765</v>
      </c>
      <c r="AP4345" t="s">
        <v>6765</v>
      </c>
      <c r="AQ4345">
        <v>1</v>
      </c>
      <c r="AR4345" t="s">
        <v>6729</v>
      </c>
      <c r="AS4345" t="s">
        <v>6730</v>
      </c>
      <c r="AT4345" t="s">
        <v>58</v>
      </c>
      <c r="AU4345" t="s">
        <v>68</v>
      </c>
      <c r="AV4345" t="s">
        <v>69</v>
      </c>
      <c r="AW4345" s="1">
        <v>25792</v>
      </c>
      <c r="AX4345">
        <v>2</v>
      </c>
    </row>
    <row r="4346" spans="1:50">
      <c r="A4346">
        <v>174087</v>
      </c>
      <c r="B4346" t="str">
        <f>"054364022"</f>
        <v>054364022</v>
      </c>
      <c r="C4346" t="s">
        <v>50</v>
      </c>
      <c r="D4346" t="s">
        <v>3157</v>
      </c>
      <c r="E4346" t="s">
        <v>620</v>
      </c>
      <c r="F4346" t="s">
        <v>95</v>
      </c>
      <c r="G4346" t="s">
        <v>1452</v>
      </c>
      <c r="H4346" t="str">
        <f>" "</f>
        <v xml:space="preserve"> </v>
      </c>
      <c r="N4346" t="s">
        <v>478</v>
      </c>
      <c r="O4346" t="s">
        <v>479</v>
      </c>
      <c r="R4346" t="s">
        <v>57</v>
      </c>
      <c r="S4346">
        <v>15</v>
      </c>
      <c r="T4346">
        <v>166</v>
      </c>
      <c r="U4346" s="1">
        <v>35300</v>
      </c>
      <c r="V4346" t="s">
        <v>6729</v>
      </c>
      <c r="W4346" t="s">
        <v>6730</v>
      </c>
      <c r="X4346" t="s">
        <v>58</v>
      </c>
      <c r="Y4346">
        <v>18</v>
      </c>
      <c r="Z4346" t="s">
        <v>59</v>
      </c>
      <c r="AA4346" t="s">
        <v>59</v>
      </c>
      <c r="AB4346" t="s">
        <v>59</v>
      </c>
      <c r="AC4346" t="s">
        <v>59</v>
      </c>
      <c r="AD4346" t="s">
        <v>59</v>
      </c>
      <c r="AF4346" s="1">
        <v>35310</v>
      </c>
      <c r="AG4346" t="s">
        <v>125</v>
      </c>
      <c r="AH4346" t="s">
        <v>126</v>
      </c>
      <c r="AI4346" t="str">
        <f>"5001020"</f>
        <v>5001020</v>
      </c>
      <c r="AJ4346" t="s">
        <v>6739</v>
      </c>
      <c r="AK4346">
        <v>2821042664</v>
      </c>
      <c r="AL4346" t="s">
        <v>6740</v>
      </c>
      <c r="AM4346" t="s">
        <v>88</v>
      </c>
      <c r="AN4346" t="s">
        <v>88</v>
      </c>
      <c r="AO4346" t="s">
        <v>88</v>
      </c>
      <c r="AP4346" t="s">
        <v>88</v>
      </c>
      <c r="AQ4346">
        <v>1</v>
      </c>
      <c r="AR4346" t="s">
        <v>6729</v>
      </c>
      <c r="AS4346" t="s">
        <v>6730</v>
      </c>
      <c r="AT4346" t="s">
        <v>58</v>
      </c>
      <c r="AU4346" t="s">
        <v>68</v>
      </c>
      <c r="AV4346" t="s">
        <v>69</v>
      </c>
      <c r="AW4346" s="1">
        <v>19943</v>
      </c>
      <c r="AX4346">
        <v>2</v>
      </c>
    </row>
    <row r="4347" spans="1:50">
      <c r="A4347">
        <v>177684</v>
      </c>
      <c r="B4347" t="str">
        <f>"135224453"</f>
        <v>135224453</v>
      </c>
      <c r="C4347" t="s">
        <v>50</v>
      </c>
      <c r="D4347" t="s">
        <v>3157</v>
      </c>
      <c r="E4347" t="s">
        <v>507</v>
      </c>
      <c r="F4347" t="s">
        <v>474</v>
      </c>
      <c r="G4347" t="s">
        <v>8051</v>
      </c>
      <c r="H4347" t="str">
        <f>" "</f>
        <v xml:space="preserve"> </v>
      </c>
      <c r="N4347" t="s">
        <v>282</v>
      </c>
      <c r="O4347" t="s">
        <v>283</v>
      </c>
      <c r="R4347" t="s">
        <v>57</v>
      </c>
      <c r="S4347">
        <v>10</v>
      </c>
      <c r="T4347">
        <v>180</v>
      </c>
      <c r="U4347" s="1">
        <v>35674</v>
      </c>
      <c r="V4347" t="s">
        <v>6729</v>
      </c>
      <c r="W4347" t="s">
        <v>6730</v>
      </c>
      <c r="X4347" t="s">
        <v>58</v>
      </c>
      <c r="Y4347">
        <v>18</v>
      </c>
      <c r="Z4347" t="s">
        <v>59</v>
      </c>
      <c r="AA4347" t="s">
        <v>59</v>
      </c>
      <c r="AB4347" t="s">
        <v>59</v>
      </c>
      <c r="AC4347" t="s">
        <v>59</v>
      </c>
      <c r="AD4347" t="s">
        <v>59</v>
      </c>
      <c r="AF4347" s="1">
        <v>35675</v>
      </c>
      <c r="AG4347" t="s">
        <v>125</v>
      </c>
      <c r="AH4347" t="s">
        <v>126</v>
      </c>
      <c r="AI4347" t="str">
        <f>"5001080"</f>
        <v>5001080</v>
      </c>
      <c r="AJ4347" t="s">
        <v>6984</v>
      </c>
      <c r="AK4347">
        <v>2821068020</v>
      </c>
      <c r="AL4347" t="s">
        <v>6985</v>
      </c>
      <c r="AM4347" t="s">
        <v>88</v>
      </c>
      <c r="AN4347" t="s">
        <v>6764</v>
      </c>
      <c r="AO4347" t="s">
        <v>6764</v>
      </c>
      <c r="AP4347" t="s">
        <v>6764</v>
      </c>
      <c r="AQ4347">
        <v>1</v>
      </c>
      <c r="AR4347" t="s">
        <v>6729</v>
      </c>
      <c r="AS4347" t="s">
        <v>6730</v>
      </c>
      <c r="AT4347" t="s">
        <v>58</v>
      </c>
      <c r="AU4347" t="s">
        <v>68</v>
      </c>
      <c r="AV4347" t="s">
        <v>69</v>
      </c>
      <c r="AW4347" s="1">
        <v>20868</v>
      </c>
      <c r="AX4347">
        <v>2</v>
      </c>
    </row>
    <row r="4348" spans="1:50">
      <c r="A4348">
        <v>169109</v>
      </c>
      <c r="B4348" t="str">
        <f>"054195314"</f>
        <v>054195314</v>
      </c>
      <c r="C4348" t="s">
        <v>105</v>
      </c>
      <c r="D4348" t="s">
        <v>3190</v>
      </c>
      <c r="E4348" t="s">
        <v>166</v>
      </c>
      <c r="F4348" t="s">
        <v>95</v>
      </c>
      <c r="G4348" t="s">
        <v>52</v>
      </c>
      <c r="H4348" t="str">
        <f>" "</f>
        <v xml:space="preserve"> </v>
      </c>
      <c r="J4348">
        <v>2821031620</v>
      </c>
      <c r="K4348">
        <v>6978995796</v>
      </c>
      <c r="N4348" t="s">
        <v>204</v>
      </c>
      <c r="O4348" t="s">
        <v>205</v>
      </c>
      <c r="R4348" t="s">
        <v>57</v>
      </c>
      <c r="S4348">
        <v>14</v>
      </c>
      <c r="T4348">
        <v>159</v>
      </c>
      <c r="U4348" s="1">
        <v>34582</v>
      </c>
      <c r="V4348" t="s">
        <v>6729</v>
      </c>
      <c r="W4348" t="s">
        <v>6730</v>
      </c>
      <c r="X4348" t="s">
        <v>58</v>
      </c>
      <c r="Y4348">
        <v>18</v>
      </c>
      <c r="Z4348" t="s">
        <v>59</v>
      </c>
      <c r="AA4348" t="s">
        <v>59</v>
      </c>
      <c r="AB4348" t="s">
        <v>59</v>
      </c>
      <c r="AC4348" t="s">
        <v>59</v>
      </c>
      <c r="AD4348" t="s">
        <v>59</v>
      </c>
      <c r="AF4348" s="1">
        <v>34585</v>
      </c>
      <c r="AG4348" t="s">
        <v>125</v>
      </c>
      <c r="AH4348" t="s">
        <v>126</v>
      </c>
      <c r="AI4348" t="str">
        <f>"5001070"</f>
        <v>5001070</v>
      </c>
      <c r="AJ4348" t="s">
        <v>6731</v>
      </c>
      <c r="AK4348">
        <v>2821088045</v>
      </c>
      <c r="AL4348" t="s">
        <v>6732</v>
      </c>
      <c r="AM4348" t="s">
        <v>88</v>
      </c>
      <c r="AN4348" t="s">
        <v>88</v>
      </c>
      <c r="AO4348" t="s">
        <v>6733</v>
      </c>
      <c r="AP4348" t="s">
        <v>6734</v>
      </c>
      <c r="AQ4348">
        <v>1</v>
      </c>
      <c r="AR4348" t="s">
        <v>6729</v>
      </c>
      <c r="AS4348" t="s">
        <v>6730</v>
      </c>
      <c r="AT4348" t="s">
        <v>58</v>
      </c>
      <c r="AU4348" t="s">
        <v>68</v>
      </c>
      <c r="AV4348" t="s">
        <v>69</v>
      </c>
      <c r="AW4348" s="1">
        <v>23728</v>
      </c>
      <c r="AX4348">
        <v>2</v>
      </c>
    </row>
    <row r="4349" spans="1:50">
      <c r="A4349">
        <v>149844</v>
      </c>
      <c r="B4349" t="str">
        <f>"024238412"</f>
        <v>024238412</v>
      </c>
      <c r="C4349" t="s">
        <v>105</v>
      </c>
      <c r="D4349" t="s">
        <v>3190</v>
      </c>
      <c r="E4349" t="s">
        <v>1070</v>
      </c>
      <c r="F4349" t="s">
        <v>53</v>
      </c>
      <c r="G4349" t="s">
        <v>3914</v>
      </c>
      <c r="H4349" t="str">
        <f>"ΟΥΕΛΙΓΚΤΟΝ 20 ΧΑΝΙΑ"</f>
        <v>ΟΥΕΛΙΓΚΤΟΝ 20 ΧΑΝΙΑ</v>
      </c>
      <c r="I4349">
        <v>73131</v>
      </c>
      <c r="K4349">
        <v>6977605621</v>
      </c>
      <c r="N4349" t="s">
        <v>292</v>
      </c>
      <c r="O4349" t="s">
        <v>293</v>
      </c>
      <c r="R4349" t="s">
        <v>57</v>
      </c>
      <c r="S4349">
        <v>15</v>
      </c>
      <c r="T4349">
        <v>228</v>
      </c>
      <c r="U4349" s="1">
        <v>31684</v>
      </c>
      <c r="V4349" t="s">
        <v>6729</v>
      </c>
      <c r="W4349" t="s">
        <v>6730</v>
      </c>
      <c r="X4349" t="s">
        <v>58</v>
      </c>
      <c r="Y4349">
        <v>18</v>
      </c>
      <c r="Z4349" t="s">
        <v>59</v>
      </c>
      <c r="AA4349" t="s">
        <v>59</v>
      </c>
      <c r="AB4349" t="s">
        <v>59</v>
      </c>
      <c r="AC4349" t="s">
        <v>59</v>
      </c>
      <c r="AD4349" t="s">
        <v>59</v>
      </c>
      <c r="AF4349" s="1">
        <v>31691</v>
      </c>
      <c r="AG4349" t="s">
        <v>148</v>
      </c>
      <c r="AH4349" t="s">
        <v>149</v>
      </c>
      <c r="AI4349" t="str">
        <f>"5051040"</f>
        <v>5051040</v>
      </c>
      <c r="AJ4349" t="s">
        <v>6811</v>
      </c>
      <c r="AK4349">
        <v>2821088007</v>
      </c>
      <c r="AL4349" t="s">
        <v>6812</v>
      </c>
      <c r="AM4349" t="s">
        <v>88</v>
      </c>
      <c r="AN4349" t="s">
        <v>88</v>
      </c>
      <c r="AO4349" t="s">
        <v>88</v>
      </c>
      <c r="AP4349" t="s">
        <v>88</v>
      </c>
      <c r="AQ4349">
        <v>1</v>
      </c>
      <c r="AR4349" t="s">
        <v>6729</v>
      </c>
      <c r="AS4349" t="s">
        <v>6730</v>
      </c>
      <c r="AT4349" t="s">
        <v>58</v>
      </c>
      <c r="AU4349" t="s">
        <v>68</v>
      </c>
      <c r="AV4349" t="s">
        <v>69</v>
      </c>
      <c r="AW4349" s="1">
        <v>20673</v>
      </c>
      <c r="AX4349">
        <v>2</v>
      </c>
    </row>
    <row r="4350" spans="1:50">
      <c r="A4350">
        <v>215063</v>
      </c>
      <c r="B4350" t="str">
        <f>"101588049"</f>
        <v>101588049</v>
      </c>
      <c r="C4350" t="s">
        <v>105</v>
      </c>
      <c r="D4350" t="s">
        <v>3190</v>
      </c>
      <c r="E4350" t="s">
        <v>496</v>
      </c>
      <c r="F4350" t="s">
        <v>72</v>
      </c>
      <c r="G4350" t="s">
        <v>396</v>
      </c>
      <c r="H4350" t="str">
        <f>" "</f>
        <v xml:space="preserve"> </v>
      </c>
      <c r="J4350">
        <v>2821095847</v>
      </c>
      <c r="K4350">
        <v>6945779573</v>
      </c>
      <c r="N4350" t="s">
        <v>282</v>
      </c>
      <c r="O4350" t="s">
        <v>283</v>
      </c>
      <c r="R4350" t="s">
        <v>57</v>
      </c>
      <c r="S4350">
        <v>8</v>
      </c>
      <c r="T4350">
        <v>231</v>
      </c>
      <c r="U4350" s="1">
        <v>38960</v>
      </c>
      <c r="V4350" t="s">
        <v>6729</v>
      </c>
      <c r="W4350" t="s">
        <v>6730</v>
      </c>
      <c r="X4350" t="s">
        <v>58</v>
      </c>
      <c r="Y4350">
        <v>20</v>
      </c>
      <c r="Z4350" t="s">
        <v>59</v>
      </c>
      <c r="AA4350" t="s">
        <v>59</v>
      </c>
      <c r="AB4350" t="s">
        <v>59</v>
      </c>
      <c r="AC4350" t="s">
        <v>59</v>
      </c>
      <c r="AD4350" t="s">
        <v>59</v>
      </c>
      <c r="AF4350" s="1">
        <v>38961</v>
      </c>
      <c r="AG4350" t="s">
        <v>137</v>
      </c>
      <c r="AH4350" t="s">
        <v>138</v>
      </c>
      <c r="AI4350" t="str">
        <f>"5040100"</f>
        <v>5040100</v>
      </c>
      <c r="AJ4350" t="s">
        <v>6790</v>
      </c>
      <c r="AK4350">
        <v>2821058998</v>
      </c>
      <c r="AL4350" t="s">
        <v>6791</v>
      </c>
      <c r="AM4350" t="s">
        <v>88</v>
      </c>
      <c r="AN4350" t="s">
        <v>88</v>
      </c>
      <c r="AO4350" t="s">
        <v>6770</v>
      </c>
      <c r="AP4350" t="s">
        <v>6771</v>
      </c>
      <c r="AQ4350">
        <v>1</v>
      </c>
      <c r="AR4350" t="s">
        <v>6729</v>
      </c>
      <c r="AS4350" t="s">
        <v>6730</v>
      </c>
      <c r="AT4350" t="s">
        <v>58</v>
      </c>
      <c r="AU4350" t="s">
        <v>68</v>
      </c>
      <c r="AV4350" t="s">
        <v>69</v>
      </c>
      <c r="AW4350" s="1">
        <v>27923</v>
      </c>
      <c r="AX4350">
        <v>2</v>
      </c>
    </row>
    <row r="4351" spans="1:50">
      <c r="B4351" t="str">
        <f>"130420555"</f>
        <v>130420555</v>
      </c>
      <c r="C4351" t="s">
        <v>105</v>
      </c>
      <c r="D4351" t="s">
        <v>3190</v>
      </c>
      <c r="E4351" t="s">
        <v>510</v>
      </c>
      <c r="F4351" t="s">
        <v>2219</v>
      </c>
      <c r="G4351" t="s">
        <v>1001</v>
      </c>
      <c r="H4351" t="str">
        <f>"ΑΓ. ΑΝΤΩΝΙΟΣ - ΚΟΛΥΜΒΑΡΙ ΧΑΝΙΑ"</f>
        <v>ΑΓ. ΑΝΤΩΝΙΟΣ - ΚΟΛΥΜΒΑΡΙ ΧΑΝΙΑ</v>
      </c>
      <c r="I4351">
        <v>73006</v>
      </c>
      <c r="J4351">
        <v>2824091276</v>
      </c>
      <c r="K4351">
        <v>6942923531</v>
      </c>
      <c r="N4351" t="s">
        <v>292</v>
      </c>
      <c r="O4351" t="s">
        <v>293</v>
      </c>
      <c r="R4351" t="s">
        <v>159</v>
      </c>
      <c r="S4351">
        <v>4</v>
      </c>
      <c r="T4351" t="s">
        <v>416</v>
      </c>
      <c r="U4351" s="1">
        <v>43349</v>
      </c>
      <c r="V4351" t="s">
        <v>6729</v>
      </c>
      <c r="W4351" t="s">
        <v>6730</v>
      </c>
      <c r="X4351" t="s">
        <v>58</v>
      </c>
      <c r="Y4351">
        <v>21</v>
      </c>
      <c r="Z4351" t="s">
        <v>59</v>
      </c>
      <c r="AA4351" t="s">
        <v>59</v>
      </c>
      <c r="AB4351" t="s">
        <v>59</v>
      </c>
      <c r="AC4351" t="s">
        <v>59</v>
      </c>
      <c r="AD4351" t="s">
        <v>59</v>
      </c>
      <c r="AF4351" s="1">
        <v>43349</v>
      </c>
      <c r="AG4351" t="s">
        <v>148</v>
      </c>
      <c r="AH4351" t="s">
        <v>149</v>
      </c>
      <c r="AI4351" t="str">
        <f>"5055010"</f>
        <v>5055010</v>
      </c>
      <c r="AJ4351" t="s">
        <v>6868</v>
      </c>
      <c r="AK4351">
        <v>2823041416</v>
      </c>
      <c r="AL4351" t="s">
        <v>6869</v>
      </c>
      <c r="AM4351" t="s">
        <v>88</v>
      </c>
      <c r="AN4351" t="s">
        <v>6824</v>
      </c>
      <c r="AO4351" t="s">
        <v>6870</v>
      </c>
      <c r="AP4351" t="s">
        <v>6871</v>
      </c>
      <c r="AQ4351">
        <v>1</v>
      </c>
      <c r="AR4351" t="s">
        <v>6729</v>
      </c>
      <c r="AS4351" t="s">
        <v>6730</v>
      </c>
      <c r="AT4351" t="s">
        <v>58</v>
      </c>
      <c r="AU4351" t="s">
        <v>419</v>
      </c>
      <c r="AV4351" t="s">
        <v>132</v>
      </c>
      <c r="AW4351" s="1">
        <v>24508</v>
      </c>
      <c r="AX4351">
        <v>2</v>
      </c>
    </row>
    <row r="4352" spans="1:50">
      <c r="A4352">
        <v>153530</v>
      </c>
      <c r="B4352" t="str">
        <f>"031105408"</f>
        <v>031105408</v>
      </c>
      <c r="C4352" t="s">
        <v>105</v>
      </c>
      <c r="D4352" t="s">
        <v>3190</v>
      </c>
      <c r="E4352" t="s">
        <v>92</v>
      </c>
      <c r="F4352" t="s">
        <v>72</v>
      </c>
      <c r="G4352" t="s">
        <v>52</v>
      </c>
      <c r="H4352" t="str">
        <f>" "</f>
        <v xml:space="preserve"> </v>
      </c>
      <c r="M4352" t="s">
        <v>8052</v>
      </c>
      <c r="N4352" t="s">
        <v>292</v>
      </c>
      <c r="O4352" t="s">
        <v>293</v>
      </c>
      <c r="R4352" t="s">
        <v>57</v>
      </c>
      <c r="S4352">
        <v>15</v>
      </c>
      <c r="T4352">
        <v>139</v>
      </c>
      <c r="U4352" s="1">
        <v>32366</v>
      </c>
      <c r="V4352" t="s">
        <v>6729</v>
      </c>
      <c r="W4352" t="s">
        <v>6730</v>
      </c>
      <c r="X4352" t="s">
        <v>58</v>
      </c>
      <c r="Y4352">
        <v>18</v>
      </c>
      <c r="Z4352" t="s">
        <v>59</v>
      </c>
      <c r="AA4352" t="s">
        <v>59</v>
      </c>
      <c r="AB4352" t="s">
        <v>59</v>
      </c>
      <c r="AC4352" t="s">
        <v>59</v>
      </c>
      <c r="AD4352" t="s">
        <v>59</v>
      </c>
      <c r="AF4352" s="1">
        <v>32387</v>
      </c>
      <c r="AG4352" t="s">
        <v>148</v>
      </c>
      <c r="AH4352" t="s">
        <v>149</v>
      </c>
      <c r="AI4352" t="str">
        <f>"5057010"</f>
        <v>5057010</v>
      </c>
      <c r="AJ4352" t="s">
        <v>6836</v>
      </c>
      <c r="AK4352">
        <v>2824022511</v>
      </c>
      <c r="AL4352" t="s">
        <v>6837</v>
      </c>
      <c r="AM4352" t="s">
        <v>88</v>
      </c>
      <c r="AN4352" t="s">
        <v>6764</v>
      </c>
      <c r="AO4352" t="s">
        <v>6799</v>
      </c>
      <c r="AP4352" t="s">
        <v>6799</v>
      </c>
      <c r="AQ4352">
        <v>1</v>
      </c>
      <c r="AR4352" t="s">
        <v>6729</v>
      </c>
      <c r="AS4352" t="s">
        <v>6730</v>
      </c>
      <c r="AT4352" t="s">
        <v>58</v>
      </c>
      <c r="AU4352" t="s">
        <v>68</v>
      </c>
      <c r="AV4352" t="s">
        <v>69</v>
      </c>
      <c r="AW4352" s="1">
        <v>20426</v>
      </c>
      <c r="AX4352">
        <v>2</v>
      </c>
    </row>
    <row r="4353" spans="1:50">
      <c r="A4353">
        <v>702965</v>
      </c>
      <c r="B4353" t="str">
        <f>"101595839"</f>
        <v>101595839</v>
      </c>
      <c r="C4353" t="s">
        <v>105</v>
      </c>
      <c r="D4353" t="s">
        <v>3190</v>
      </c>
      <c r="E4353" t="s">
        <v>108</v>
      </c>
      <c r="F4353" t="s">
        <v>53</v>
      </c>
      <c r="G4353" t="s">
        <v>4515</v>
      </c>
      <c r="H4353" t="str">
        <f>"ΚΑΛΥΒΕΣ ΑΠΟΚΟΡΩΝΟΥ ΑΠΟΚΟΡΩΝΑΣ"</f>
        <v>ΚΑΛΥΒΕΣ ΑΠΟΚΟΡΩΝΟΥ ΑΠΟΚΟΡΩΝΑΣ</v>
      </c>
      <c r="I4353">
        <v>73003</v>
      </c>
      <c r="J4353">
        <v>2825031708</v>
      </c>
      <c r="K4353">
        <v>6977806698</v>
      </c>
      <c r="M4353" t="s">
        <v>8053</v>
      </c>
      <c r="N4353" t="s">
        <v>232</v>
      </c>
      <c r="O4353" t="s">
        <v>233</v>
      </c>
      <c r="R4353" t="s">
        <v>57</v>
      </c>
      <c r="S4353">
        <v>7</v>
      </c>
      <c r="T4353">
        <v>588</v>
      </c>
      <c r="U4353" s="1">
        <v>40778</v>
      </c>
      <c r="V4353" t="s">
        <v>6729</v>
      </c>
      <c r="W4353" t="s">
        <v>6730</v>
      </c>
      <c r="X4353" t="s">
        <v>58</v>
      </c>
      <c r="Y4353">
        <v>21</v>
      </c>
      <c r="Z4353" t="s">
        <v>59</v>
      </c>
      <c r="AA4353" t="s">
        <v>59</v>
      </c>
      <c r="AB4353" t="s">
        <v>59</v>
      </c>
      <c r="AC4353" t="s">
        <v>59</v>
      </c>
      <c r="AD4353" t="s">
        <v>59</v>
      </c>
      <c r="AF4353" s="1">
        <v>40780</v>
      </c>
      <c r="AG4353" t="s">
        <v>60</v>
      </c>
      <c r="AH4353" t="s">
        <v>453</v>
      </c>
      <c r="AI4353" t="str">
        <f>"5000105"</f>
        <v>5000105</v>
      </c>
      <c r="AJ4353" t="s">
        <v>6730</v>
      </c>
      <c r="AK4353">
        <v>2821047144</v>
      </c>
      <c r="AL4353" t="s">
        <v>6792</v>
      </c>
      <c r="AM4353" t="s">
        <v>88</v>
      </c>
      <c r="AN4353" t="s">
        <v>88</v>
      </c>
      <c r="AO4353" t="s">
        <v>88</v>
      </c>
      <c r="AP4353" t="s">
        <v>88</v>
      </c>
      <c r="AS4353" t="s">
        <v>6730</v>
      </c>
      <c r="AT4353" t="s">
        <v>58</v>
      </c>
      <c r="AU4353" t="s">
        <v>68</v>
      </c>
      <c r="AV4353" t="s">
        <v>455</v>
      </c>
      <c r="AW4353" s="1">
        <v>27445</v>
      </c>
      <c r="AX4353">
        <v>2</v>
      </c>
    </row>
    <row r="4354" spans="1:50">
      <c r="A4354">
        <v>197380</v>
      </c>
      <c r="B4354" t="str">
        <f>"059573066"</f>
        <v>059573066</v>
      </c>
      <c r="C4354" t="s">
        <v>105</v>
      </c>
      <c r="D4354" t="s">
        <v>3190</v>
      </c>
      <c r="E4354" t="s">
        <v>670</v>
      </c>
      <c r="F4354" t="s">
        <v>99</v>
      </c>
      <c r="G4354" t="s">
        <v>237</v>
      </c>
      <c r="H4354" t="str">
        <f>"ΑΓΙΟΥ ΒΑΣΙΛΕΙΟΥ 55 ΧΑΝΙΩΝ"</f>
        <v>ΑΓΙΟΥ ΒΑΣΙΛΕΙΟΥ 55 ΧΑΝΙΩΝ</v>
      </c>
      <c r="I4354">
        <v>73100</v>
      </c>
      <c r="J4354">
        <v>2821090166</v>
      </c>
      <c r="L4354">
        <v>2821074665</v>
      </c>
      <c r="N4354" t="s">
        <v>146</v>
      </c>
      <c r="O4354" t="s">
        <v>147</v>
      </c>
      <c r="R4354" t="s">
        <v>57</v>
      </c>
      <c r="S4354">
        <v>9</v>
      </c>
      <c r="T4354">
        <v>206</v>
      </c>
      <c r="U4354" s="1">
        <v>37866</v>
      </c>
      <c r="V4354" t="s">
        <v>6729</v>
      </c>
      <c r="W4354" t="s">
        <v>6730</v>
      </c>
      <c r="X4354" t="s">
        <v>58</v>
      </c>
      <c r="Y4354">
        <v>20</v>
      </c>
      <c r="Z4354" t="s">
        <v>59</v>
      </c>
      <c r="AA4354" t="s">
        <v>59</v>
      </c>
      <c r="AB4354" t="s">
        <v>59</v>
      </c>
      <c r="AC4354" t="s">
        <v>59</v>
      </c>
      <c r="AD4354" t="s">
        <v>59</v>
      </c>
      <c r="AF4354" s="1">
        <v>37866</v>
      </c>
      <c r="AG4354" t="s">
        <v>137</v>
      </c>
      <c r="AH4354" t="s">
        <v>469</v>
      </c>
      <c r="AI4354" t="str">
        <f>"5040055"</f>
        <v>5040055</v>
      </c>
      <c r="AJ4354" t="s">
        <v>6940</v>
      </c>
      <c r="AK4354">
        <v>2821036404</v>
      </c>
      <c r="AL4354" t="s">
        <v>6941</v>
      </c>
      <c r="AM4354" t="s">
        <v>88</v>
      </c>
      <c r="AN4354" t="s">
        <v>88</v>
      </c>
      <c r="AO4354" t="s">
        <v>88</v>
      </c>
      <c r="AP4354" t="s">
        <v>88</v>
      </c>
      <c r="AQ4354">
        <v>1</v>
      </c>
      <c r="AR4354" t="s">
        <v>6729</v>
      </c>
      <c r="AS4354" t="s">
        <v>6730</v>
      </c>
      <c r="AT4354" t="s">
        <v>58</v>
      </c>
      <c r="AU4354" t="s">
        <v>68</v>
      </c>
      <c r="AV4354" t="s">
        <v>69</v>
      </c>
      <c r="AW4354" s="1">
        <v>24542</v>
      </c>
      <c r="AX4354">
        <v>2</v>
      </c>
    </row>
    <row r="4355" spans="1:50">
      <c r="A4355">
        <v>178999</v>
      </c>
      <c r="B4355" t="str">
        <f>"039967261"</f>
        <v>039967261</v>
      </c>
      <c r="C4355" t="s">
        <v>50</v>
      </c>
      <c r="D4355" t="s">
        <v>5252</v>
      </c>
      <c r="E4355" t="s">
        <v>83</v>
      </c>
      <c r="F4355" t="s">
        <v>1070</v>
      </c>
      <c r="G4355" t="s">
        <v>1588</v>
      </c>
      <c r="H4355" t="str">
        <f>"Μιχελογιάννη 17 "</f>
        <v xml:space="preserve">Μιχελογιάννη 17 </v>
      </c>
      <c r="J4355">
        <v>2821058275</v>
      </c>
      <c r="M4355" t="s">
        <v>8054</v>
      </c>
      <c r="N4355" t="s">
        <v>157</v>
      </c>
      <c r="O4355" t="s">
        <v>158</v>
      </c>
      <c r="R4355" t="s">
        <v>57</v>
      </c>
      <c r="S4355">
        <v>12</v>
      </c>
      <c r="T4355">
        <v>181</v>
      </c>
      <c r="U4355" s="1">
        <v>36039</v>
      </c>
      <c r="V4355" t="s">
        <v>6729</v>
      </c>
      <c r="W4355" t="s">
        <v>6730</v>
      </c>
      <c r="X4355" t="s">
        <v>58</v>
      </c>
      <c r="Y4355">
        <v>18</v>
      </c>
      <c r="Z4355" t="s">
        <v>59</v>
      </c>
      <c r="AA4355" t="s">
        <v>59</v>
      </c>
      <c r="AB4355" t="s">
        <v>59</v>
      </c>
      <c r="AC4355" t="s">
        <v>59</v>
      </c>
      <c r="AD4355" t="s">
        <v>59</v>
      </c>
      <c r="AF4355" s="1">
        <v>36041</v>
      </c>
      <c r="AG4355" t="s">
        <v>125</v>
      </c>
      <c r="AH4355" t="s">
        <v>126</v>
      </c>
      <c r="AI4355" t="str">
        <f>"5001073"</f>
        <v>5001073</v>
      </c>
      <c r="AJ4355" t="s">
        <v>6849</v>
      </c>
      <c r="AK4355">
        <v>2821028553</v>
      </c>
      <c r="AL4355" t="s">
        <v>6850</v>
      </c>
      <c r="AM4355" t="s">
        <v>88</v>
      </c>
      <c r="AN4355" t="s">
        <v>88</v>
      </c>
      <c r="AO4355" t="s">
        <v>88</v>
      </c>
      <c r="AP4355" t="s">
        <v>88</v>
      </c>
      <c r="AQ4355">
        <v>1</v>
      </c>
      <c r="AR4355" t="s">
        <v>6729</v>
      </c>
      <c r="AS4355" t="s">
        <v>6730</v>
      </c>
      <c r="AT4355" t="s">
        <v>58</v>
      </c>
      <c r="AU4355" t="s">
        <v>68</v>
      </c>
      <c r="AV4355" t="s">
        <v>69</v>
      </c>
      <c r="AW4355" s="1">
        <v>23534</v>
      </c>
      <c r="AX4355">
        <v>2</v>
      </c>
    </row>
    <row r="4356" spans="1:50">
      <c r="A4356">
        <v>175936</v>
      </c>
      <c r="B4356" t="str">
        <f>"028439194"</f>
        <v>028439194</v>
      </c>
      <c r="C4356" t="s">
        <v>105</v>
      </c>
      <c r="D4356" t="s">
        <v>8055</v>
      </c>
      <c r="E4356" t="s">
        <v>1363</v>
      </c>
      <c r="F4356" t="s">
        <v>510</v>
      </c>
      <c r="G4356" t="s">
        <v>8056</v>
      </c>
      <c r="H4356" t="str">
        <f>" "</f>
        <v xml:space="preserve"> </v>
      </c>
      <c r="J4356">
        <v>2821053765</v>
      </c>
      <c r="K4356">
        <v>6932449612</v>
      </c>
      <c r="M4356" t="s">
        <v>8057</v>
      </c>
      <c r="N4356" t="s">
        <v>292</v>
      </c>
      <c r="O4356" t="s">
        <v>293</v>
      </c>
      <c r="R4356" t="s">
        <v>57</v>
      </c>
      <c r="S4356">
        <v>11</v>
      </c>
      <c r="T4356">
        <v>180</v>
      </c>
      <c r="U4356" s="1">
        <v>35674</v>
      </c>
      <c r="V4356" t="s">
        <v>6729</v>
      </c>
      <c r="W4356" t="s">
        <v>6730</v>
      </c>
      <c r="X4356" t="s">
        <v>58</v>
      </c>
      <c r="Y4356">
        <v>18</v>
      </c>
      <c r="Z4356" t="s">
        <v>59</v>
      </c>
      <c r="AA4356" t="s">
        <v>59</v>
      </c>
      <c r="AB4356" t="s">
        <v>59</v>
      </c>
      <c r="AC4356" t="s">
        <v>59</v>
      </c>
      <c r="AD4356" t="s">
        <v>59</v>
      </c>
      <c r="AF4356" s="1">
        <v>35681</v>
      </c>
      <c r="AG4356" t="s">
        <v>148</v>
      </c>
      <c r="AH4356" t="s">
        <v>149</v>
      </c>
      <c r="AI4356" t="str">
        <f>"5051030"</f>
        <v>5051030</v>
      </c>
      <c r="AJ4356" t="s">
        <v>6760</v>
      </c>
      <c r="AK4356">
        <v>2821027533</v>
      </c>
      <c r="AL4356" t="s">
        <v>6761</v>
      </c>
      <c r="AM4356" t="s">
        <v>88</v>
      </c>
      <c r="AN4356" t="s">
        <v>88</v>
      </c>
      <c r="AO4356" t="s">
        <v>88</v>
      </c>
      <c r="AP4356" t="s">
        <v>88</v>
      </c>
      <c r="AQ4356">
        <v>1</v>
      </c>
      <c r="AR4356" t="s">
        <v>6729</v>
      </c>
      <c r="AS4356" t="s">
        <v>6730</v>
      </c>
      <c r="AT4356" t="s">
        <v>58</v>
      </c>
      <c r="AU4356" t="s">
        <v>68</v>
      </c>
      <c r="AV4356" t="s">
        <v>69</v>
      </c>
      <c r="AW4356" s="1">
        <v>21001</v>
      </c>
      <c r="AX4356">
        <v>2</v>
      </c>
    </row>
    <row r="4357" spans="1:50">
      <c r="B4357" t="str">
        <f>"135015391"</f>
        <v>135015391</v>
      </c>
      <c r="C4357" t="s">
        <v>50</v>
      </c>
      <c r="D4357" t="s">
        <v>8058</v>
      </c>
      <c r="E4357" t="s">
        <v>52</v>
      </c>
      <c r="F4357" t="s">
        <v>564</v>
      </c>
      <c r="G4357" t="s">
        <v>143</v>
      </c>
      <c r="H4357" t="str">
        <f>" "</f>
        <v xml:space="preserve"> </v>
      </c>
      <c r="N4357" t="s">
        <v>536</v>
      </c>
      <c r="O4357" t="s">
        <v>537</v>
      </c>
      <c r="R4357" t="s">
        <v>159</v>
      </c>
      <c r="S4357">
        <v>3</v>
      </c>
      <c r="T4357" t="s">
        <v>122</v>
      </c>
      <c r="U4357" s="1">
        <v>43348</v>
      </c>
      <c r="V4357" t="s">
        <v>6729</v>
      </c>
      <c r="W4357" t="s">
        <v>6730</v>
      </c>
      <c r="X4357" t="s">
        <v>58</v>
      </c>
      <c r="Y4357">
        <v>23</v>
      </c>
      <c r="Z4357" t="s">
        <v>59</v>
      </c>
      <c r="AA4357" t="s">
        <v>59</v>
      </c>
      <c r="AB4357" t="s">
        <v>59</v>
      </c>
      <c r="AC4357" t="s">
        <v>59</v>
      </c>
      <c r="AD4357" t="s">
        <v>59</v>
      </c>
      <c r="AF4357" s="1">
        <v>43348</v>
      </c>
      <c r="AG4357" t="s">
        <v>125</v>
      </c>
      <c r="AH4357" t="s">
        <v>126</v>
      </c>
      <c r="AI4357" t="str">
        <f>"5001072"</f>
        <v>5001072</v>
      </c>
      <c r="AJ4357" t="s">
        <v>6922</v>
      </c>
      <c r="AK4357">
        <v>2821055471</v>
      </c>
      <c r="AL4357" t="s">
        <v>6923</v>
      </c>
      <c r="AM4357" t="s">
        <v>88</v>
      </c>
      <c r="AN4357" t="s">
        <v>88</v>
      </c>
      <c r="AO4357" t="s">
        <v>88</v>
      </c>
      <c r="AP4357" t="s">
        <v>88</v>
      </c>
      <c r="AQ4357">
        <v>1</v>
      </c>
      <c r="AR4357" t="s">
        <v>6729</v>
      </c>
      <c r="AS4357" t="s">
        <v>6730</v>
      </c>
      <c r="AT4357" t="s">
        <v>58</v>
      </c>
      <c r="AU4357" t="s">
        <v>131</v>
      </c>
      <c r="AV4357" t="s">
        <v>132</v>
      </c>
      <c r="AW4357" s="1">
        <v>30987</v>
      </c>
      <c r="AX4357">
        <v>2</v>
      </c>
    </row>
    <row r="4358" spans="1:50">
      <c r="A4358">
        <v>217602</v>
      </c>
      <c r="B4358" t="str">
        <f>"064209423"</f>
        <v>064209423</v>
      </c>
      <c r="C4358" t="s">
        <v>50</v>
      </c>
      <c r="D4358" t="s">
        <v>3205</v>
      </c>
      <c r="E4358" t="s">
        <v>809</v>
      </c>
      <c r="F4358" t="s">
        <v>995</v>
      </c>
      <c r="G4358" t="s">
        <v>215</v>
      </c>
      <c r="H4358" t="str">
        <f>"ΜΟΝ. ΗΣΑΪΑ Τ.Θ. 99 ΚΟΡΑΚΙΕΣ"</f>
        <v>ΜΟΝ. ΗΣΑΪΑ Τ.Θ. 99 ΚΟΡΑΚΙΕΣ</v>
      </c>
      <c r="I4358">
        <v>73133</v>
      </c>
      <c r="J4358">
        <v>2821066990</v>
      </c>
      <c r="K4358">
        <v>6947202603</v>
      </c>
      <c r="M4358" t="s">
        <v>8059</v>
      </c>
      <c r="N4358" t="s">
        <v>146</v>
      </c>
      <c r="O4358" t="s">
        <v>147</v>
      </c>
      <c r="R4358" t="s">
        <v>57</v>
      </c>
      <c r="S4358">
        <v>6</v>
      </c>
      <c r="T4358">
        <v>599</v>
      </c>
      <c r="U4358" s="1">
        <v>39310</v>
      </c>
      <c r="V4358" t="s">
        <v>6729</v>
      </c>
      <c r="W4358" t="s">
        <v>6730</v>
      </c>
      <c r="X4358" t="s">
        <v>58</v>
      </c>
      <c r="Y4358">
        <v>20</v>
      </c>
      <c r="Z4358" t="s">
        <v>59</v>
      </c>
      <c r="AA4358" t="s">
        <v>59</v>
      </c>
      <c r="AB4358" t="s">
        <v>59</v>
      </c>
      <c r="AC4358" t="s">
        <v>59</v>
      </c>
      <c r="AD4358" t="s">
        <v>59</v>
      </c>
      <c r="AF4358" s="1">
        <v>39329</v>
      </c>
      <c r="AG4358" t="s">
        <v>148</v>
      </c>
      <c r="AH4358" t="s">
        <v>149</v>
      </c>
      <c r="AI4358" t="str">
        <f>"5051010"</f>
        <v>5051010</v>
      </c>
      <c r="AJ4358" t="s">
        <v>6896</v>
      </c>
      <c r="AK4358">
        <v>2821028714</v>
      </c>
      <c r="AL4358" t="s">
        <v>6897</v>
      </c>
      <c r="AM4358" t="s">
        <v>88</v>
      </c>
      <c r="AN4358" t="s">
        <v>88</v>
      </c>
      <c r="AO4358" t="s">
        <v>88</v>
      </c>
      <c r="AP4358" t="s">
        <v>88</v>
      </c>
      <c r="AQ4358">
        <v>1</v>
      </c>
      <c r="AR4358" t="s">
        <v>6729</v>
      </c>
      <c r="AS4358" t="s">
        <v>6730</v>
      </c>
      <c r="AT4358" t="s">
        <v>58</v>
      </c>
      <c r="AU4358" t="s">
        <v>68</v>
      </c>
      <c r="AV4358" t="s">
        <v>357</v>
      </c>
      <c r="AW4358" s="1">
        <v>25012</v>
      </c>
      <c r="AX4358">
        <v>2</v>
      </c>
    </row>
    <row r="4359" spans="1:50">
      <c r="A4359">
        <v>171828</v>
      </c>
      <c r="B4359" t="str">
        <f>"045902771"</f>
        <v>045902771</v>
      </c>
      <c r="C4359" t="s">
        <v>50</v>
      </c>
      <c r="D4359" t="s">
        <v>3224</v>
      </c>
      <c r="E4359" t="s">
        <v>215</v>
      </c>
      <c r="F4359" t="s">
        <v>72</v>
      </c>
      <c r="G4359" t="s">
        <v>181</v>
      </c>
      <c r="H4359" t="str">
        <f>" "</f>
        <v xml:space="preserve"> </v>
      </c>
      <c r="M4359" t="s">
        <v>8060</v>
      </c>
      <c r="N4359" t="s">
        <v>257</v>
      </c>
      <c r="O4359" t="s">
        <v>258</v>
      </c>
      <c r="R4359" t="s">
        <v>57</v>
      </c>
      <c r="S4359">
        <v>11</v>
      </c>
      <c r="T4359">
        <v>184</v>
      </c>
      <c r="U4359" s="1">
        <v>34941</v>
      </c>
      <c r="V4359" t="s">
        <v>6729</v>
      </c>
      <c r="W4359" t="s">
        <v>6730</v>
      </c>
      <c r="X4359" t="s">
        <v>58</v>
      </c>
      <c r="Y4359">
        <v>18</v>
      </c>
      <c r="Z4359" t="s">
        <v>59</v>
      </c>
      <c r="AA4359" t="s">
        <v>59</v>
      </c>
      <c r="AB4359" t="s">
        <v>59</v>
      </c>
      <c r="AC4359" t="s">
        <v>59</v>
      </c>
      <c r="AD4359" t="s">
        <v>59</v>
      </c>
      <c r="AF4359" s="1">
        <v>34948</v>
      </c>
      <c r="AG4359" t="s">
        <v>148</v>
      </c>
      <c r="AH4359" t="s">
        <v>149</v>
      </c>
      <c r="AI4359" t="str">
        <f>"5051009"</f>
        <v>5051009</v>
      </c>
      <c r="AJ4359" t="s">
        <v>6851</v>
      </c>
      <c r="AK4359">
        <v>2821044551</v>
      </c>
      <c r="AL4359" t="s">
        <v>6852</v>
      </c>
      <c r="AM4359" t="s">
        <v>88</v>
      </c>
      <c r="AN4359" t="s">
        <v>88</v>
      </c>
      <c r="AO4359" t="s">
        <v>6770</v>
      </c>
      <c r="AP4359" t="s">
        <v>6771</v>
      </c>
      <c r="AQ4359">
        <v>1</v>
      </c>
      <c r="AR4359" t="s">
        <v>6729</v>
      </c>
      <c r="AS4359" t="s">
        <v>6730</v>
      </c>
      <c r="AT4359" t="s">
        <v>58</v>
      </c>
      <c r="AU4359" t="s">
        <v>68</v>
      </c>
      <c r="AV4359" t="s">
        <v>69</v>
      </c>
      <c r="AW4359" s="1">
        <v>22114</v>
      </c>
      <c r="AX4359">
        <v>2</v>
      </c>
    </row>
    <row r="4360" spans="1:50">
      <c r="A4360">
        <v>223111</v>
      </c>
      <c r="B4360" t="str">
        <f>"066833854"</f>
        <v>066833854</v>
      </c>
      <c r="C4360" t="s">
        <v>50</v>
      </c>
      <c r="D4360" t="s">
        <v>3224</v>
      </c>
      <c r="E4360" t="s">
        <v>52</v>
      </c>
      <c r="F4360" t="s">
        <v>1224</v>
      </c>
      <c r="G4360" t="s">
        <v>73</v>
      </c>
      <c r="H4360" t="str">
        <f>"ΣΤΕΡΝΕΣ ΑΚΡΩΤΗΡΙΟΥ"</f>
        <v>ΣΤΕΡΝΕΣ ΑΚΡΩΤΗΡΙΟΥ</v>
      </c>
      <c r="I4360">
        <v>73100</v>
      </c>
      <c r="J4360">
        <v>2821063575</v>
      </c>
      <c r="K4360">
        <v>6977178792</v>
      </c>
      <c r="N4360" t="s">
        <v>292</v>
      </c>
      <c r="O4360" t="s">
        <v>293</v>
      </c>
      <c r="R4360" t="s">
        <v>57</v>
      </c>
      <c r="S4360">
        <v>5</v>
      </c>
      <c r="T4360">
        <v>775</v>
      </c>
      <c r="U4360" s="1">
        <v>39680</v>
      </c>
      <c r="V4360" t="s">
        <v>6729</v>
      </c>
      <c r="W4360" t="s">
        <v>6730</v>
      </c>
      <c r="X4360" t="s">
        <v>58</v>
      </c>
      <c r="Y4360">
        <v>21</v>
      </c>
      <c r="Z4360" t="s">
        <v>59</v>
      </c>
      <c r="AA4360" t="s">
        <v>59</v>
      </c>
      <c r="AB4360" t="s">
        <v>59</v>
      </c>
      <c r="AC4360" t="s">
        <v>59</v>
      </c>
      <c r="AD4360" t="s">
        <v>59</v>
      </c>
      <c r="AF4360" s="1">
        <v>39681</v>
      </c>
      <c r="AG4360" t="s">
        <v>137</v>
      </c>
      <c r="AH4360" t="s">
        <v>138</v>
      </c>
      <c r="AI4360" t="str">
        <f>"5050060"</f>
        <v>5050060</v>
      </c>
      <c r="AJ4360" t="s">
        <v>6801</v>
      </c>
      <c r="AK4360">
        <v>2821091515</v>
      </c>
      <c r="AL4360" t="s">
        <v>6802</v>
      </c>
      <c r="AM4360" t="s">
        <v>88</v>
      </c>
      <c r="AN4360" t="s">
        <v>88</v>
      </c>
      <c r="AO4360" t="s">
        <v>88</v>
      </c>
      <c r="AP4360" t="s">
        <v>88</v>
      </c>
      <c r="AQ4360">
        <v>1</v>
      </c>
      <c r="AR4360" t="s">
        <v>6729</v>
      </c>
      <c r="AS4360" t="s">
        <v>6730</v>
      </c>
      <c r="AT4360" t="s">
        <v>58</v>
      </c>
      <c r="AU4360" t="s">
        <v>68</v>
      </c>
      <c r="AV4360" t="s">
        <v>69</v>
      </c>
      <c r="AW4360" s="1">
        <v>28033</v>
      </c>
      <c r="AX4360">
        <v>2</v>
      </c>
    </row>
    <row r="4361" spans="1:50">
      <c r="A4361">
        <v>225734</v>
      </c>
      <c r="B4361" t="str">
        <f>"077218920"</f>
        <v>077218920</v>
      </c>
      <c r="C4361" t="s">
        <v>50</v>
      </c>
      <c r="D4361" t="s">
        <v>3224</v>
      </c>
      <c r="E4361" t="s">
        <v>52</v>
      </c>
      <c r="F4361" t="s">
        <v>72</v>
      </c>
      <c r="G4361" t="s">
        <v>460</v>
      </c>
      <c r="H4361" t="str">
        <f>"ΒΙΚΤΩΡΟΣ ΟΥΓΚΩ 2Α ΧΑΝΙΑ"</f>
        <v>ΒΙΚΤΩΡΟΣ ΟΥΓΚΩ 2Α ΧΑΝΙΑ</v>
      </c>
      <c r="I4361">
        <v>73132</v>
      </c>
      <c r="J4361">
        <v>2821054427</v>
      </c>
      <c r="K4361">
        <v>6977392943</v>
      </c>
      <c r="N4361" t="s">
        <v>292</v>
      </c>
      <c r="O4361" t="s">
        <v>293</v>
      </c>
      <c r="R4361" t="s">
        <v>57</v>
      </c>
      <c r="S4361">
        <v>7</v>
      </c>
      <c r="T4361">
        <v>862</v>
      </c>
      <c r="U4361" s="1">
        <v>39706</v>
      </c>
      <c r="V4361" t="s">
        <v>6729</v>
      </c>
      <c r="W4361" t="s">
        <v>6730</v>
      </c>
      <c r="X4361" t="s">
        <v>58</v>
      </c>
      <c r="Y4361">
        <v>21</v>
      </c>
      <c r="Z4361" t="s">
        <v>59</v>
      </c>
      <c r="AA4361" t="s">
        <v>59</v>
      </c>
      <c r="AB4361" t="s">
        <v>59</v>
      </c>
      <c r="AC4361" t="s">
        <v>59</v>
      </c>
      <c r="AD4361" t="s">
        <v>59</v>
      </c>
      <c r="AF4361" s="1">
        <v>39708</v>
      </c>
      <c r="AG4361" t="s">
        <v>125</v>
      </c>
      <c r="AH4361" t="s">
        <v>126</v>
      </c>
      <c r="AI4361" t="str">
        <f>"5004010"</f>
        <v>5004010</v>
      </c>
      <c r="AJ4361" t="s">
        <v>7166</v>
      </c>
      <c r="AK4361">
        <v>2822022067</v>
      </c>
      <c r="AL4361" t="s">
        <v>7167</v>
      </c>
      <c r="AM4361" t="s">
        <v>88</v>
      </c>
      <c r="AN4361" t="s">
        <v>6744</v>
      </c>
      <c r="AO4361" t="s">
        <v>6744</v>
      </c>
      <c r="AP4361" t="s">
        <v>6744</v>
      </c>
      <c r="AQ4361">
        <v>1</v>
      </c>
      <c r="AR4361" t="s">
        <v>6729</v>
      </c>
      <c r="AS4361" t="s">
        <v>6730</v>
      </c>
      <c r="AT4361" t="s">
        <v>58</v>
      </c>
      <c r="AU4361" t="s">
        <v>68</v>
      </c>
      <c r="AV4361" t="s">
        <v>69</v>
      </c>
      <c r="AW4361" s="1">
        <v>27582</v>
      </c>
      <c r="AX4361">
        <v>2</v>
      </c>
    </row>
    <row r="4362" spans="1:50">
      <c r="A4362">
        <v>229306</v>
      </c>
      <c r="B4362" t="str">
        <f>"074266486"</f>
        <v>074266486</v>
      </c>
      <c r="C4362" t="s">
        <v>50</v>
      </c>
      <c r="D4362" t="s">
        <v>3232</v>
      </c>
      <c r="E4362" t="s">
        <v>8061</v>
      </c>
      <c r="F4362" t="s">
        <v>564</v>
      </c>
      <c r="G4362" t="s">
        <v>5556</v>
      </c>
      <c r="H4362" t="str">
        <f>"ΚΡΗΤΗΣ 85 "</f>
        <v xml:space="preserve">ΚΡΗΤΗΣ 85 </v>
      </c>
      <c r="I4362">
        <v>54655</v>
      </c>
      <c r="J4362">
        <v>2310829910</v>
      </c>
      <c r="K4362">
        <v>6944052816</v>
      </c>
      <c r="M4362" t="s">
        <v>8062</v>
      </c>
      <c r="N4362" t="s">
        <v>299</v>
      </c>
      <c r="O4362" t="s">
        <v>300</v>
      </c>
      <c r="R4362" t="s">
        <v>57</v>
      </c>
      <c r="S4362">
        <v>6</v>
      </c>
      <c r="T4362">
        <v>792</v>
      </c>
      <c r="U4362" s="1">
        <v>40081</v>
      </c>
      <c r="V4362" t="s">
        <v>6729</v>
      </c>
      <c r="W4362" t="s">
        <v>6730</v>
      </c>
      <c r="X4362" t="s">
        <v>58</v>
      </c>
      <c r="Y4362">
        <v>21</v>
      </c>
      <c r="Z4362" t="s">
        <v>59</v>
      </c>
      <c r="AA4362" t="s">
        <v>59</v>
      </c>
      <c r="AB4362" t="s">
        <v>59</v>
      </c>
      <c r="AC4362" t="s">
        <v>59</v>
      </c>
      <c r="AD4362" t="s">
        <v>59</v>
      </c>
      <c r="AF4362" s="1">
        <v>40421</v>
      </c>
      <c r="AG4362" t="s">
        <v>137</v>
      </c>
      <c r="AH4362" t="s">
        <v>138</v>
      </c>
      <c r="AI4362" t="str">
        <f>"5050065"</f>
        <v>5050065</v>
      </c>
      <c r="AJ4362" t="s">
        <v>6822</v>
      </c>
      <c r="AK4362">
        <v>2823022234</v>
      </c>
      <c r="AL4362" t="s">
        <v>6823</v>
      </c>
      <c r="AM4362" t="s">
        <v>88</v>
      </c>
      <c r="AN4362" t="s">
        <v>6824</v>
      </c>
      <c r="AO4362" t="s">
        <v>6825</v>
      </c>
      <c r="AP4362" t="s">
        <v>6826</v>
      </c>
      <c r="AQ4362">
        <v>1</v>
      </c>
      <c r="AR4362" t="s">
        <v>6729</v>
      </c>
      <c r="AS4362" t="s">
        <v>6730</v>
      </c>
      <c r="AT4362" t="s">
        <v>58</v>
      </c>
      <c r="AU4362" t="s">
        <v>68</v>
      </c>
      <c r="AV4362" t="s">
        <v>69</v>
      </c>
      <c r="AW4362" s="1">
        <v>25846</v>
      </c>
      <c r="AX4362">
        <v>2</v>
      </c>
    </row>
    <row r="4363" spans="1:50">
      <c r="A4363">
        <v>214091</v>
      </c>
      <c r="B4363" t="str">
        <f>"101866202"</f>
        <v>101866202</v>
      </c>
      <c r="C4363" t="s">
        <v>50</v>
      </c>
      <c r="D4363" t="s">
        <v>3232</v>
      </c>
      <c r="E4363" t="s">
        <v>8063</v>
      </c>
      <c r="F4363" t="s">
        <v>3049</v>
      </c>
      <c r="G4363" t="s">
        <v>143</v>
      </c>
      <c r="H4363" t="str">
        <f>"ΠΡΟΣΟΤΣΑΝΗ ΔΡΑΜΑΣ"</f>
        <v>ΠΡΟΣΟΤΣΑΝΗ ΔΡΑΜΑΣ</v>
      </c>
      <c r="I4363">
        <v>66200</v>
      </c>
      <c r="J4363">
        <v>2522022627</v>
      </c>
      <c r="K4363">
        <v>6947004317</v>
      </c>
      <c r="M4363" t="s">
        <v>8064</v>
      </c>
      <c r="N4363" t="s">
        <v>288</v>
      </c>
      <c r="O4363" t="s">
        <v>289</v>
      </c>
      <c r="R4363" t="s">
        <v>57</v>
      </c>
      <c r="S4363">
        <v>8</v>
      </c>
      <c r="T4363">
        <v>231</v>
      </c>
      <c r="U4363" s="1">
        <v>38960</v>
      </c>
      <c r="V4363" t="s">
        <v>6729</v>
      </c>
      <c r="W4363" t="s">
        <v>6730</v>
      </c>
      <c r="X4363" t="s">
        <v>58</v>
      </c>
      <c r="Y4363">
        <v>20</v>
      </c>
      <c r="Z4363" t="s">
        <v>59</v>
      </c>
      <c r="AA4363" t="s">
        <v>59</v>
      </c>
      <c r="AB4363" t="s">
        <v>59</v>
      </c>
      <c r="AC4363" t="s">
        <v>59</v>
      </c>
      <c r="AD4363" t="s">
        <v>59</v>
      </c>
      <c r="AF4363" s="1">
        <v>38961</v>
      </c>
      <c r="AG4363" t="s">
        <v>125</v>
      </c>
      <c r="AH4363" t="s">
        <v>126</v>
      </c>
      <c r="AI4363" t="str">
        <f>"5001010"</f>
        <v>5001010</v>
      </c>
      <c r="AJ4363" t="s">
        <v>6873</v>
      </c>
      <c r="AK4363">
        <v>2821052130</v>
      </c>
      <c r="AL4363" t="s">
        <v>6874</v>
      </c>
      <c r="AM4363" t="s">
        <v>88</v>
      </c>
      <c r="AN4363" t="s">
        <v>88</v>
      </c>
      <c r="AO4363" t="s">
        <v>88</v>
      </c>
      <c r="AP4363" t="s">
        <v>88</v>
      </c>
      <c r="AQ4363">
        <v>1</v>
      </c>
      <c r="AR4363" t="s">
        <v>6729</v>
      </c>
      <c r="AS4363" t="s">
        <v>6730</v>
      </c>
      <c r="AT4363" t="s">
        <v>58</v>
      </c>
      <c r="AU4363" t="s">
        <v>68</v>
      </c>
      <c r="AV4363" t="s">
        <v>69</v>
      </c>
      <c r="AW4363" s="1">
        <v>25171</v>
      </c>
      <c r="AX4363">
        <v>2</v>
      </c>
    </row>
    <row r="4364" spans="1:50">
      <c r="A4364">
        <v>168778</v>
      </c>
      <c r="B4364" t="str">
        <f>"043665789"</f>
        <v>043665789</v>
      </c>
      <c r="C4364" t="s">
        <v>50</v>
      </c>
      <c r="D4364" t="s">
        <v>3232</v>
      </c>
      <c r="E4364" t="s">
        <v>1155</v>
      </c>
      <c r="F4364" t="s">
        <v>670</v>
      </c>
      <c r="G4364" t="s">
        <v>396</v>
      </c>
      <c r="H4364" t="str">
        <f>"ΚΟΖΑΚΟΥ 36 ΧΑΝΙΑ"</f>
        <v>ΚΟΖΑΚΟΥ 36 ΧΑΝΙΑ</v>
      </c>
      <c r="I4364">
        <v>73133</v>
      </c>
      <c r="J4364">
        <v>2821042084</v>
      </c>
      <c r="K4364">
        <v>6978893040</v>
      </c>
      <c r="N4364" t="s">
        <v>337</v>
      </c>
      <c r="O4364" t="s">
        <v>338</v>
      </c>
      <c r="R4364" t="s">
        <v>57</v>
      </c>
      <c r="S4364">
        <v>11</v>
      </c>
      <c r="T4364">
        <v>159</v>
      </c>
      <c r="U4364" s="1">
        <v>34582</v>
      </c>
      <c r="V4364" t="s">
        <v>6729</v>
      </c>
      <c r="W4364" t="s">
        <v>6730</v>
      </c>
      <c r="X4364" t="s">
        <v>58</v>
      </c>
      <c r="Y4364">
        <v>18</v>
      </c>
      <c r="Z4364" t="s">
        <v>59</v>
      </c>
      <c r="AA4364" t="s">
        <v>59</v>
      </c>
      <c r="AB4364" t="s">
        <v>59</v>
      </c>
      <c r="AC4364" t="s">
        <v>59</v>
      </c>
      <c r="AD4364" t="s">
        <v>59</v>
      </c>
      <c r="AF4364" s="1">
        <v>34582</v>
      </c>
      <c r="AG4364" t="s">
        <v>125</v>
      </c>
      <c r="AH4364" t="s">
        <v>126</v>
      </c>
      <c r="AI4364" t="str">
        <f>"5001070"</f>
        <v>5001070</v>
      </c>
      <c r="AJ4364" t="s">
        <v>6731</v>
      </c>
      <c r="AK4364">
        <v>2821088045</v>
      </c>
      <c r="AL4364" t="s">
        <v>6732</v>
      </c>
      <c r="AM4364" t="s">
        <v>88</v>
      </c>
      <c r="AN4364" t="s">
        <v>88</v>
      </c>
      <c r="AO4364" t="s">
        <v>6733</v>
      </c>
      <c r="AP4364" t="s">
        <v>6734</v>
      </c>
      <c r="AQ4364">
        <v>1</v>
      </c>
      <c r="AR4364" t="s">
        <v>6729</v>
      </c>
      <c r="AS4364" t="s">
        <v>6730</v>
      </c>
      <c r="AT4364" t="s">
        <v>58</v>
      </c>
      <c r="AU4364" t="s">
        <v>68</v>
      </c>
      <c r="AV4364" t="s">
        <v>69</v>
      </c>
      <c r="AW4364" s="1">
        <v>25350</v>
      </c>
      <c r="AX4364">
        <v>2</v>
      </c>
    </row>
    <row r="4365" spans="1:50">
      <c r="A4365">
        <v>185458</v>
      </c>
      <c r="B4365" t="str">
        <f>"034552736"</f>
        <v>034552736</v>
      </c>
      <c r="C4365" t="s">
        <v>50</v>
      </c>
      <c r="D4365" t="s">
        <v>3232</v>
      </c>
      <c r="E4365" t="s">
        <v>181</v>
      </c>
      <c r="F4365" t="s">
        <v>383</v>
      </c>
      <c r="G4365" t="s">
        <v>143</v>
      </c>
      <c r="H4365" t="str">
        <f>"ΑΡΧΙΜΗΔΗ 29 ΧΑΝΙΑ"</f>
        <v>ΑΡΧΙΜΗΔΗ 29 ΧΑΝΙΑ</v>
      </c>
      <c r="I4365">
        <v>73100</v>
      </c>
      <c r="J4365">
        <v>2821027598</v>
      </c>
      <c r="K4365">
        <v>6981278598</v>
      </c>
      <c r="N4365" t="s">
        <v>176</v>
      </c>
      <c r="O4365" t="s">
        <v>177</v>
      </c>
      <c r="R4365" t="s">
        <v>57</v>
      </c>
      <c r="S4365">
        <v>13</v>
      </c>
      <c r="T4365">
        <v>184</v>
      </c>
      <c r="U4365" s="1">
        <v>34941</v>
      </c>
      <c r="V4365" t="s">
        <v>6729</v>
      </c>
      <c r="W4365" t="s">
        <v>6730</v>
      </c>
      <c r="X4365" t="s">
        <v>58</v>
      </c>
      <c r="Y4365">
        <v>18</v>
      </c>
      <c r="Z4365" t="s">
        <v>59</v>
      </c>
      <c r="AA4365" t="s">
        <v>59</v>
      </c>
      <c r="AB4365" t="s">
        <v>59</v>
      </c>
      <c r="AC4365" t="s">
        <v>59</v>
      </c>
      <c r="AD4365" t="s">
        <v>59</v>
      </c>
      <c r="AF4365" s="1">
        <v>34949</v>
      </c>
      <c r="AG4365" t="s">
        <v>148</v>
      </c>
      <c r="AH4365" t="s">
        <v>149</v>
      </c>
      <c r="AI4365" t="str">
        <f>"5051040"</f>
        <v>5051040</v>
      </c>
      <c r="AJ4365" t="s">
        <v>6811</v>
      </c>
      <c r="AK4365">
        <v>2821088007</v>
      </c>
      <c r="AL4365" t="s">
        <v>6812</v>
      </c>
      <c r="AM4365" t="s">
        <v>88</v>
      </c>
      <c r="AN4365" t="s">
        <v>88</v>
      </c>
      <c r="AO4365" t="s">
        <v>88</v>
      </c>
      <c r="AP4365" t="s">
        <v>88</v>
      </c>
      <c r="AQ4365">
        <v>1</v>
      </c>
      <c r="AR4365" t="s">
        <v>6729</v>
      </c>
      <c r="AS4365" t="s">
        <v>6730</v>
      </c>
      <c r="AT4365" t="s">
        <v>58</v>
      </c>
      <c r="AU4365" t="s">
        <v>68</v>
      </c>
      <c r="AV4365" t="s">
        <v>357</v>
      </c>
      <c r="AW4365" s="1">
        <v>23443</v>
      </c>
      <c r="AX4365">
        <v>2</v>
      </c>
    </row>
    <row r="4366" spans="1:50">
      <c r="A4366">
        <v>703154</v>
      </c>
      <c r="B4366" t="str">
        <f>"061812556"</f>
        <v>061812556</v>
      </c>
      <c r="C4366" t="s">
        <v>105</v>
      </c>
      <c r="D4366" t="s">
        <v>8065</v>
      </c>
      <c r="E4366" t="s">
        <v>84</v>
      </c>
      <c r="F4366" t="s">
        <v>989</v>
      </c>
      <c r="G4366" t="s">
        <v>96</v>
      </c>
      <c r="H4366" t="str">
        <f>"ΦΙΛΙΠΠΟΥΠΟΛΕΩΣ 66 ΗΡΑΚΛΕΙΟ"</f>
        <v>ΦΙΛΙΠΠΟΥΠΟΛΕΩΣ 66 ΗΡΑΚΛΕΙΟ</v>
      </c>
      <c r="I4366">
        <v>71305</v>
      </c>
      <c r="J4366">
        <v>2810318988</v>
      </c>
      <c r="K4366">
        <v>6973223649</v>
      </c>
      <c r="M4366" t="s">
        <v>8066</v>
      </c>
      <c r="N4366" t="s">
        <v>146</v>
      </c>
      <c r="O4366" t="s">
        <v>147</v>
      </c>
      <c r="R4366" t="s">
        <v>57</v>
      </c>
      <c r="S4366">
        <v>5</v>
      </c>
      <c r="T4366">
        <v>588</v>
      </c>
      <c r="U4366" s="1">
        <v>40778</v>
      </c>
      <c r="V4366" t="s">
        <v>6729</v>
      </c>
      <c r="W4366" t="s">
        <v>6730</v>
      </c>
      <c r="X4366" t="s">
        <v>58</v>
      </c>
      <c r="Y4366">
        <v>21</v>
      </c>
      <c r="Z4366" t="s">
        <v>59</v>
      </c>
      <c r="AA4366" t="s">
        <v>59</v>
      </c>
      <c r="AB4366" t="s">
        <v>59</v>
      </c>
      <c r="AC4366" t="s">
        <v>59</v>
      </c>
      <c r="AD4366" t="s">
        <v>59</v>
      </c>
      <c r="AF4366" s="1">
        <v>40778</v>
      </c>
      <c r="AG4366" t="s">
        <v>125</v>
      </c>
      <c r="AH4366" t="s">
        <v>294</v>
      </c>
      <c r="AI4366" t="str">
        <f>"5012017"</f>
        <v>5012017</v>
      </c>
      <c r="AJ4366" t="s">
        <v>6859</v>
      </c>
      <c r="AK4366">
        <v>2821088065</v>
      </c>
      <c r="AL4366" t="s">
        <v>6860</v>
      </c>
      <c r="AM4366" t="s">
        <v>88</v>
      </c>
      <c r="AN4366" t="s">
        <v>88</v>
      </c>
      <c r="AO4366" t="s">
        <v>88</v>
      </c>
      <c r="AP4366" t="s">
        <v>88</v>
      </c>
      <c r="AQ4366">
        <v>1</v>
      </c>
      <c r="AR4366" t="s">
        <v>6729</v>
      </c>
      <c r="AS4366" t="s">
        <v>6730</v>
      </c>
      <c r="AT4366" t="s">
        <v>58</v>
      </c>
      <c r="AU4366" t="s">
        <v>68</v>
      </c>
      <c r="AV4366" t="s">
        <v>132</v>
      </c>
      <c r="AW4366" s="1">
        <v>26256</v>
      </c>
      <c r="AX4366">
        <v>2</v>
      </c>
    </row>
    <row r="4367" spans="1:50">
      <c r="A4367">
        <v>185082</v>
      </c>
      <c r="B4367" t="str">
        <f>"033191154"</f>
        <v>033191154</v>
      </c>
      <c r="C4367" t="s">
        <v>105</v>
      </c>
      <c r="D4367" t="s">
        <v>5262</v>
      </c>
      <c r="E4367" t="s">
        <v>408</v>
      </c>
      <c r="F4367" t="s">
        <v>53</v>
      </c>
      <c r="G4367" t="s">
        <v>5322</v>
      </c>
      <c r="H4367" t="str">
        <f>"ΕΙΡΗΝΗΣ  3 ΚΙΣΑΜΟΥ"</f>
        <v>ΕΙΡΗΝΗΣ  3 ΚΙΣΑΜΟΥ</v>
      </c>
      <c r="I4367">
        <v>73400</v>
      </c>
      <c r="J4367">
        <v>2822022729</v>
      </c>
      <c r="K4367">
        <v>6945487628</v>
      </c>
      <c r="M4367" t="s">
        <v>8067</v>
      </c>
      <c r="N4367" t="s">
        <v>204</v>
      </c>
      <c r="O4367" t="s">
        <v>205</v>
      </c>
      <c r="P4367" t="s">
        <v>331</v>
      </c>
      <c r="Q4367" t="s">
        <v>332</v>
      </c>
      <c r="R4367" t="s">
        <v>57</v>
      </c>
      <c r="S4367">
        <v>12</v>
      </c>
      <c r="T4367">
        <v>177</v>
      </c>
      <c r="U4367" s="1">
        <v>36403</v>
      </c>
      <c r="V4367" t="s">
        <v>6729</v>
      </c>
      <c r="W4367" t="s">
        <v>6730</v>
      </c>
      <c r="X4367" t="s">
        <v>58</v>
      </c>
      <c r="Y4367">
        <v>20</v>
      </c>
      <c r="Z4367" t="s">
        <v>59</v>
      </c>
      <c r="AA4367" t="s">
        <v>59</v>
      </c>
      <c r="AB4367" t="s">
        <v>59</v>
      </c>
      <c r="AC4367" t="s">
        <v>59</v>
      </c>
      <c r="AD4367" t="s">
        <v>59</v>
      </c>
      <c r="AF4367" s="1">
        <v>36409</v>
      </c>
      <c r="AG4367" t="s">
        <v>125</v>
      </c>
      <c r="AH4367" t="s">
        <v>126</v>
      </c>
      <c r="AI4367" t="str">
        <f>"5004020"</f>
        <v>5004020</v>
      </c>
      <c r="AJ4367" t="s">
        <v>6806</v>
      </c>
      <c r="AK4367">
        <v>2822022103</v>
      </c>
      <c r="AL4367" t="s">
        <v>6807</v>
      </c>
      <c r="AM4367" t="s">
        <v>88</v>
      </c>
      <c r="AN4367" t="s">
        <v>6744</v>
      </c>
      <c r="AO4367" t="s">
        <v>6744</v>
      </c>
      <c r="AP4367" t="s">
        <v>6744</v>
      </c>
      <c r="AQ4367">
        <v>1</v>
      </c>
      <c r="AR4367" t="s">
        <v>6729</v>
      </c>
      <c r="AS4367" t="s">
        <v>6730</v>
      </c>
      <c r="AT4367" t="s">
        <v>58</v>
      </c>
      <c r="AU4367" t="s">
        <v>68</v>
      </c>
      <c r="AV4367" t="s">
        <v>69</v>
      </c>
      <c r="AW4367" s="1">
        <v>21702</v>
      </c>
      <c r="AX4367">
        <v>2</v>
      </c>
    </row>
    <row r="4368" spans="1:50">
      <c r="A4368">
        <v>211748</v>
      </c>
      <c r="B4368" t="str">
        <f>"128570974"</f>
        <v>128570974</v>
      </c>
      <c r="C4368" t="s">
        <v>105</v>
      </c>
      <c r="D4368" t="s">
        <v>3239</v>
      </c>
      <c r="E4368" t="s">
        <v>84</v>
      </c>
      <c r="F4368" t="s">
        <v>459</v>
      </c>
      <c r="G4368" t="s">
        <v>83</v>
      </c>
      <c r="H4368" t="str">
        <f>" "</f>
        <v xml:space="preserve"> </v>
      </c>
      <c r="J4368">
        <v>2421048359</v>
      </c>
      <c r="K4368">
        <v>6973386988</v>
      </c>
      <c r="L4368">
        <v>2662024531</v>
      </c>
      <c r="N4368" t="s">
        <v>157</v>
      </c>
      <c r="O4368" t="s">
        <v>158</v>
      </c>
      <c r="R4368" t="s">
        <v>57</v>
      </c>
      <c r="S4368">
        <v>8</v>
      </c>
      <c r="T4368">
        <v>231</v>
      </c>
      <c r="U4368" s="1">
        <v>38960</v>
      </c>
      <c r="V4368" t="s">
        <v>6729</v>
      </c>
      <c r="W4368" t="s">
        <v>6730</v>
      </c>
      <c r="X4368" t="s">
        <v>58</v>
      </c>
      <c r="Y4368">
        <v>20</v>
      </c>
      <c r="Z4368" t="s">
        <v>59</v>
      </c>
      <c r="AA4368" t="s">
        <v>59</v>
      </c>
      <c r="AB4368" t="s">
        <v>59</v>
      </c>
      <c r="AC4368" t="s">
        <v>59</v>
      </c>
      <c r="AD4368" t="s">
        <v>59</v>
      </c>
      <c r="AF4368" s="1">
        <v>38961</v>
      </c>
      <c r="AG4368" t="s">
        <v>148</v>
      </c>
      <c r="AH4368" t="s">
        <v>149</v>
      </c>
      <c r="AI4368" t="str">
        <f>"5052010"</f>
        <v>5052010</v>
      </c>
      <c r="AJ4368" t="s">
        <v>6834</v>
      </c>
      <c r="AK4368">
        <v>2825022200</v>
      </c>
      <c r="AL4368" t="s">
        <v>6835</v>
      </c>
      <c r="AM4368" t="s">
        <v>88</v>
      </c>
      <c r="AN4368" t="s">
        <v>6775</v>
      </c>
      <c r="AO4368" t="s">
        <v>6776</v>
      </c>
      <c r="AP4368" t="s">
        <v>6776</v>
      </c>
      <c r="AQ4368">
        <v>1</v>
      </c>
      <c r="AR4368" t="s">
        <v>6729</v>
      </c>
      <c r="AS4368" t="s">
        <v>6730</v>
      </c>
      <c r="AT4368" t="s">
        <v>58</v>
      </c>
      <c r="AU4368" t="s">
        <v>68</v>
      </c>
      <c r="AV4368" t="s">
        <v>69</v>
      </c>
      <c r="AW4368" s="1">
        <v>27024</v>
      </c>
      <c r="AX4368">
        <v>2</v>
      </c>
    </row>
    <row r="4369" spans="1:50">
      <c r="A4369">
        <v>190114</v>
      </c>
      <c r="B4369" t="str">
        <f>"077949820"</f>
        <v>077949820</v>
      </c>
      <c r="C4369" t="s">
        <v>105</v>
      </c>
      <c r="D4369" t="s">
        <v>3242</v>
      </c>
      <c r="E4369" t="s">
        <v>99</v>
      </c>
      <c r="F4369" t="s">
        <v>106</v>
      </c>
      <c r="G4369" t="s">
        <v>52</v>
      </c>
      <c r="H4369" t="str">
        <f>"Μ. ΠΗΓΑ 18-20 ΧΑΝΙΑ"</f>
        <v>Μ. ΠΗΓΑ 18-20 ΧΑΝΙΑ</v>
      </c>
      <c r="I4369">
        <v>73131</v>
      </c>
      <c r="J4369">
        <v>2821036018</v>
      </c>
      <c r="M4369" t="s">
        <v>8068</v>
      </c>
      <c r="N4369" t="s">
        <v>199</v>
      </c>
      <c r="O4369" t="s">
        <v>200</v>
      </c>
      <c r="R4369" t="s">
        <v>57</v>
      </c>
      <c r="S4369">
        <v>10</v>
      </c>
      <c r="T4369">
        <v>219</v>
      </c>
      <c r="U4369" s="1">
        <v>37134</v>
      </c>
      <c r="V4369" t="s">
        <v>6729</v>
      </c>
      <c r="W4369" t="s">
        <v>6730</v>
      </c>
      <c r="X4369" t="s">
        <v>58</v>
      </c>
      <c r="Y4369">
        <v>20</v>
      </c>
      <c r="Z4369" t="s">
        <v>59</v>
      </c>
      <c r="AA4369" t="s">
        <v>59</v>
      </c>
      <c r="AB4369" t="s">
        <v>59</v>
      </c>
      <c r="AC4369" t="s">
        <v>59</v>
      </c>
      <c r="AD4369" t="s">
        <v>59</v>
      </c>
      <c r="AF4369" s="1">
        <v>37140</v>
      </c>
      <c r="AG4369" t="s">
        <v>148</v>
      </c>
      <c r="AH4369" t="s">
        <v>149</v>
      </c>
      <c r="AI4369" t="str">
        <f>"5051009"</f>
        <v>5051009</v>
      </c>
      <c r="AJ4369" t="s">
        <v>6851</v>
      </c>
      <c r="AK4369">
        <v>2821044551</v>
      </c>
      <c r="AL4369" t="s">
        <v>6852</v>
      </c>
      <c r="AM4369" t="s">
        <v>88</v>
      </c>
      <c r="AN4369" t="s">
        <v>88</v>
      </c>
      <c r="AO4369" t="s">
        <v>6770</v>
      </c>
      <c r="AP4369" t="s">
        <v>6771</v>
      </c>
      <c r="AQ4369">
        <v>1</v>
      </c>
      <c r="AR4369" t="s">
        <v>6729</v>
      </c>
      <c r="AS4369" t="s">
        <v>6730</v>
      </c>
      <c r="AT4369" t="s">
        <v>58</v>
      </c>
      <c r="AU4369" t="s">
        <v>68</v>
      </c>
      <c r="AV4369" t="s">
        <v>69</v>
      </c>
      <c r="AW4369" s="1">
        <v>25456</v>
      </c>
      <c r="AX4369">
        <v>2</v>
      </c>
    </row>
    <row r="4370" spans="1:50">
      <c r="A4370">
        <v>179620</v>
      </c>
      <c r="B4370" t="str">
        <f>"046347930"</f>
        <v>046347930</v>
      </c>
      <c r="C4370" t="s">
        <v>50</v>
      </c>
      <c r="D4370" t="s">
        <v>8069</v>
      </c>
      <c r="E4370" t="s">
        <v>8070</v>
      </c>
      <c r="F4370" t="s">
        <v>3192</v>
      </c>
      <c r="G4370" t="s">
        <v>237</v>
      </c>
      <c r="H4370" t="str">
        <f>"ΠΑΡΟΔΟΣ ΚΕΑΣ, ΜΑΚΡΥΣ ΤΟΙΧΟΣ ΧΑΝΙΑ"</f>
        <v>ΠΑΡΟΔΟΣ ΚΕΑΣ, ΜΑΚΡΥΣ ΤΟΙΧΟΣ ΧΑΝΙΑ</v>
      </c>
      <c r="I4370">
        <v>73100</v>
      </c>
      <c r="J4370">
        <v>2821086392</v>
      </c>
      <c r="K4370">
        <v>6986362500</v>
      </c>
      <c r="M4370" t="s">
        <v>8071</v>
      </c>
      <c r="N4370" t="s">
        <v>146</v>
      </c>
      <c r="O4370" t="s">
        <v>147</v>
      </c>
      <c r="R4370" t="s">
        <v>57</v>
      </c>
      <c r="S4370">
        <v>9</v>
      </c>
      <c r="T4370">
        <v>164</v>
      </c>
      <c r="U4370" s="1">
        <v>36040</v>
      </c>
      <c r="V4370" t="s">
        <v>6729</v>
      </c>
      <c r="W4370" t="s">
        <v>6730</v>
      </c>
      <c r="X4370" t="s">
        <v>58</v>
      </c>
      <c r="Y4370">
        <v>20</v>
      </c>
      <c r="Z4370" t="s">
        <v>59</v>
      </c>
      <c r="AA4370" t="s">
        <v>59</v>
      </c>
      <c r="AB4370" t="s">
        <v>59</v>
      </c>
      <c r="AC4370" t="s">
        <v>59</v>
      </c>
      <c r="AD4370" t="s">
        <v>59</v>
      </c>
      <c r="AF4370" s="1">
        <v>36045</v>
      </c>
      <c r="AG4370" t="s">
        <v>125</v>
      </c>
      <c r="AH4370" t="s">
        <v>126</v>
      </c>
      <c r="AI4370" t="str">
        <f>"5001060"</f>
        <v>5001060</v>
      </c>
      <c r="AJ4370" t="s">
        <v>6914</v>
      </c>
      <c r="AK4370">
        <v>2821091763</v>
      </c>
      <c r="AL4370" t="s">
        <v>6915</v>
      </c>
      <c r="AM4370" t="s">
        <v>88</v>
      </c>
      <c r="AN4370" t="s">
        <v>88</v>
      </c>
      <c r="AO4370" t="s">
        <v>88</v>
      </c>
      <c r="AP4370" t="s">
        <v>88</v>
      </c>
      <c r="AQ4370">
        <v>1</v>
      </c>
      <c r="AR4370" t="s">
        <v>6729</v>
      </c>
      <c r="AS4370" t="s">
        <v>6730</v>
      </c>
      <c r="AT4370" t="s">
        <v>58</v>
      </c>
      <c r="AU4370" t="s">
        <v>68</v>
      </c>
      <c r="AV4370" t="s">
        <v>69</v>
      </c>
      <c r="AW4370" s="1">
        <v>23779</v>
      </c>
      <c r="AX4370">
        <v>2</v>
      </c>
    </row>
    <row r="4371" spans="1:50">
      <c r="A4371">
        <v>188114</v>
      </c>
      <c r="B4371" t="str">
        <f>"112396360"</f>
        <v>112396360</v>
      </c>
      <c r="C4371" t="s">
        <v>50</v>
      </c>
      <c r="D4371" t="s">
        <v>8072</v>
      </c>
      <c r="E4371" t="s">
        <v>513</v>
      </c>
      <c r="F4371" t="s">
        <v>95</v>
      </c>
      <c r="G4371" t="s">
        <v>221</v>
      </c>
      <c r="H4371" t="str">
        <f>" "</f>
        <v xml:space="preserve"> </v>
      </c>
      <c r="J4371">
        <v>2821002391</v>
      </c>
      <c r="K4371">
        <v>6946790489</v>
      </c>
      <c r="M4371" t="s">
        <v>8073</v>
      </c>
      <c r="N4371" t="s">
        <v>204</v>
      </c>
      <c r="O4371" t="s">
        <v>205</v>
      </c>
      <c r="R4371" t="s">
        <v>57</v>
      </c>
      <c r="S4371">
        <v>9</v>
      </c>
      <c r="T4371">
        <v>251</v>
      </c>
      <c r="U4371" s="1">
        <v>36769</v>
      </c>
      <c r="V4371" t="s">
        <v>6729</v>
      </c>
      <c r="W4371" t="s">
        <v>6730</v>
      </c>
      <c r="X4371" t="s">
        <v>58</v>
      </c>
      <c r="Y4371">
        <v>20</v>
      </c>
      <c r="Z4371" t="s">
        <v>59</v>
      </c>
      <c r="AA4371" t="s">
        <v>59</v>
      </c>
      <c r="AB4371" t="s">
        <v>59</v>
      </c>
      <c r="AC4371" t="s">
        <v>59</v>
      </c>
      <c r="AD4371" t="s">
        <v>59</v>
      </c>
      <c r="AF4371" s="1">
        <v>36770</v>
      </c>
      <c r="AG4371" t="s">
        <v>137</v>
      </c>
      <c r="AH4371" t="s">
        <v>138</v>
      </c>
      <c r="AI4371" t="str">
        <f>"5040080"</f>
        <v>5040080</v>
      </c>
      <c r="AJ4371" t="s">
        <v>6753</v>
      </c>
      <c r="AK4371">
        <v>2821093155</v>
      </c>
      <c r="AL4371" t="s">
        <v>6754</v>
      </c>
      <c r="AM4371" t="s">
        <v>88</v>
      </c>
      <c r="AN4371" t="s">
        <v>88</v>
      </c>
      <c r="AO4371" t="s">
        <v>6733</v>
      </c>
      <c r="AP4371" t="s">
        <v>6755</v>
      </c>
      <c r="AQ4371">
        <v>1</v>
      </c>
      <c r="AR4371" t="s">
        <v>6729</v>
      </c>
      <c r="AS4371" t="s">
        <v>6730</v>
      </c>
      <c r="AT4371" t="s">
        <v>58</v>
      </c>
      <c r="AU4371" t="s">
        <v>68</v>
      </c>
      <c r="AV4371" t="s">
        <v>69</v>
      </c>
      <c r="AW4371" s="1">
        <v>23679</v>
      </c>
      <c r="AX4371">
        <v>2</v>
      </c>
    </row>
    <row r="4372" spans="1:50">
      <c r="A4372">
        <v>168779</v>
      </c>
      <c r="B4372" t="str">
        <f>"072477988"</f>
        <v>072477988</v>
      </c>
      <c r="C4372" t="s">
        <v>50</v>
      </c>
      <c r="D4372" t="s">
        <v>8074</v>
      </c>
      <c r="E4372" t="s">
        <v>2248</v>
      </c>
      <c r="F4372" t="s">
        <v>154</v>
      </c>
      <c r="G4372" t="s">
        <v>250</v>
      </c>
      <c r="H4372" t="str">
        <f>"Γαλατά 4 "</f>
        <v xml:space="preserve">Γαλατά 4 </v>
      </c>
      <c r="J4372">
        <v>2821113369</v>
      </c>
      <c r="K4372">
        <v>6976763471</v>
      </c>
      <c r="M4372" t="s">
        <v>8075</v>
      </c>
      <c r="N4372" t="s">
        <v>337</v>
      </c>
      <c r="O4372" t="s">
        <v>338</v>
      </c>
      <c r="R4372" t="s">
        <v>57</v>
      </c>
      <c r="S4372">
        <v>11</v>
      </c>
      <c r="T4372">
        <v>159</v>
      </c>
      <c r="U4372" s="1">
        <v>34582</v>
      </c>
      <c r="V4372" t="s">
        <v>6729</v>
      </c>
      <c r="W4372" t="s">
        <v>6730</v>
      </c>
      <c r="X4372" t="s">
        <v>58</v>
      </c>
      <c r="Y4372">
        <v>18</v>
      </c>
      <c r="Z4372" t="s">
        <v>59</v>
      </c>
      <c r="AA4372" t="s">
        <v>59</v>
      </c>
      <c r="AB4372" t="s">
        <v>59</v>
      </c>
      <c r="AC4372" t="s">
        <v>59</v>
      </c>
      <c r="AD4372" t="s">
        <v>59</v>
      </c>
      <c r="AF4372" s="1">
        <v>34586</v>
      </c>
      <c r="AG4372" t="s">
        <v>125</v>
      </c>
      <c r="AH4372" t="s">
        <v>126</v>
      </c>
      <c r="AI4372" t="str">
        <f>"5001073"</f>
        <v>5001073</v>
      </c>
      <c r="AJ4372" t="s">
        <v>6849</v>
      </c>
      <c r="AK4372">
        <v>2821028553</v>
      </c>
      <c r="AL4372" t="s">
        <v>6850</v>
      </c>
      <c r="AM4372" t="s">
        <v>88</v>
      </c>
      <c r="AN4372" t="s">
        <v>88</v>
      </c>
      <c r="AO4372" t="s">
        <v>88</v>
      </c>
      <c r="AP4372" t="s">
        <v>88</v>
      </c>
      <c r="AQ4372">
        <v>1</v>
      </c>
      <c r="AR4372" t="s">
        <v>6729</v>
      </c>
      <c r="AS4372" t="s">
        <v>6730</v>
      </c>
      <c r="AT4372" t="s">
        <v>58</v>
      </c>
      <c r="AU4372" t="s">
        <v>68</v>
      </c>
      <c r="AV4372" t="s">
        <v>69</v>
      </c>
      <c r="AW4372" s="1">
        <v>25791</v>
      </c>
      <c r="AX4372">
        <v>2</v>
      </c>
    </row>
    <row r="4373" spans="1:50">
      <c r="A4373">
        <v>182780</v>
      </c>
      <c r="B4373" t="str">
        <f>"061338018"</f>
        <v>061338018</v>
      </c>
      <c r="C4373" t="s">
        <v>50</v>
      </c>
      <c r="D4373" t="s">
        <v>8076</v>
      </c>
      <c r="E4373" t="s">
        <v>513</v>
      </c>
      <c r="F4373" t="s">
        <v>84</v>
      </c>
      <c r="G4373" t="s">
        <v>237</v>
      </c>
      <c r="H4373" t="str">
        <f>"Κ. ΣΙΓΑΝΟΥ- ΠΑΡΕΝ 7 ΧΑΝΙΑ"</f>
        <v>Κ. ΣΙΓΑΝΟΥ- ΠΑΡΕΝ 7 ΧΑΝΙΑ</v>
      </c>
      <c r="I4373">
        <v>73134</v>
      </c>
      <c r="J4373">
        <v>2821023221</v>
      </c>
      <c r="K4373">
        <v>6945795279</v>
      </c>
      <c r="M4373" t="s">
        <v>8077</v>
      </c>
      <c r="N4373" t="s">
        <v>478</v>
      </c>
      <c r="O4373" t="s">
        <v>479</v>
      </c>
      <c r="R4373" t="s">
        <v>57</v>
      </c>
      <c r="S4373">
        <v>9</v>
      </c>
      <c r="T4373">
        <v>249</v>
      </c>
      <c r="U4373" s="1">
        <v>36160</v>
      </c>
      <c r="V4373" t="s">
        <v>6729</v>
      </c>
      <c r="W4373" t="s">
        <v>6730</v>
      </c>
      <c r="X4373" t="s">
        <v>58</v>
      </c>
      <c r="Y4373">
        <v>20</v>
      </c>
      <c r="Z4373" t="s">
        <v>59</v>
      </c>
      <c r="AA4373" t="s">
        <v>59</v>
      </c>
      <c r="AB4373" t="s">
        <v>59</v>
      </c>
      <c r="AC4373" t="s">
        <v>59</v>
      </c>
      <c r="AD4373" t="s">
        <v>59</v>
      </c>
      <c r="AF4373" s="1">
        <v>36171</v>
      </c>
      <c r="AG4373" t="s">
        <v>125</v>
      </c>
      <c r="AH4373" t="s">
        <v>126</v>
      </c>
      <c r="AI4373" t="str">
        <f>"5001050"</f>
        <v>5001050</v>
      </c>
      <c r="AJ4373" t="s">
        <v>6917</v>
      </c>
      <c r="AK4373">
        <v>2821088012</v>
      </c>
      <c r="AL4373" t="s">
        <v>6918</v>
      </c>
      <c r="AM4373" t="s">
        <v>88</v>
      </c>
      <c r="AN4373" t="s">
        <v>88</v>
      </c>
      <c r="AO4373" t="s">
        <v>88</v>
      </c>
      <c r="AP4373" t="s">
        <v>88</v>
      </c>
      <c r="AQ4373">
        <v>1</v>
      </c>
      <c r="AR4373" t="s">
        <v>6729</v>
      </c>
      <c r="AS4373" t="s">
        <v>6730</v>
      </c>
      <c r="AT4373" t="s">
        <v>58</v>
      </c>
      <c r="AU4373" t="s">
        <v>68</v>
      </c>
      <c r="AV4373" t="s">
        <v>69</v>
      </c>
      <c r="AW4373" s="1">
        <v>26215</v>
      </c>
      <c r="AX4373">
        <v>2</v>
      </c>
    </row>
    <row r="4374" spans="1:50">
      <c r="A4374">
        <v>166496</v>
      </c>
      <c r="B4374" t="str">
        <f>"034440216"</f>
        <v>034440216</v>
      </c>
      <c r="C4374" t="s">
        <v>50</v>
      </c>
      <c r="D4374" t="s">
        <v>8076</v>
      </c>
      <c r="E4374" t="s">
        <v>8078</v>
      </c>
      <c r="F4374" t="s">
        <v>53</v>
      </c>
      <c r="G4374" t="s">
        <v>83</v>
      </c>
      <c r="H4374" t="str">
        <f>" "</f>
        <v xml:space="preserve"> </v>
      </c>
      <c r="N4374" t="s">
        <v>306</v>
      </c>
      <c r="O4374" t="s">
        <v>307</v>
      </c>
      <c r="P4374" t="s">
        <v>146</v>
      </c>
      <c r="Q4374" t="s">
        <v>147</v>
      </c>
      <c r="R4374" t="s">
        <v>57</v>
      </c>
      <c r="S4374">
        <v>14</v>
      </c>
      <c r="T4374">
        <v>137</v>
      </c>
      <c r="U4374" s="1">
        <v>34206</v>
      </c>
      <c r="V4374" t="s">
        <v>6729</v>
      </c>
      <c r="W4374" t="s">
        <v>6730</v>
      </c>
      <c r="X4374" t="s">
        <v>58</v>
      </c>
      <c r="Y4374">
        <v>18</v>
      </c>
      <c r="Z4374" t="s">
        <v>59</v>
      </c>
      <c r="AA4374" t="s">
        <v>59</v>
      </c>
      <c r="AB4374" t="s">
        <v>59</v>
      </c>
      <c r="AC4374" t="s">
        <v>59</v>
      </c>
      <c r="AD4374" t="s">
        <v>59</v>
      </c>
      <c r="AF4374" s="1">
        <v>34218</v>
      </c>
      <c r="AG4374" t="s">
        <v>125</v>
      </c>
      <c r="AH4374" t="s">
        <v>126</v>
      </c>
      <c r="AI4374" t="str">
        <f>"5001070"</f>
        <v>5001070</v>
      </c>
      <c r="AJ4374" t="s">
        <v>6731</v>
      </c>
      <c r="AK4374">
        <v>2821088045</v>
      </c>
      <c r="AL4374" t="s">
        <v>6732</v>
      </c>
      <c r="AM4374" t="s">
        <v>88</v>
      </c>
      <c r="AN4374" t="s">
        <v>88</v>
      </c>
      <c r="AO4374" t="s">
        <v>6733</v>
      </c>
      <c r="AP4374" t="s">
        <v>6734</v>
      </c>
      <c r="AQ4374">
        <v>1</v>
      </c>
      <c r="AR4374" t="s">
        <v>6729</v>
      </c>
      <c r="AS4374" t="s">
        <v>6730</v>
      </c>
      <c r="AT4374" t="s">
        <v>58</v>
      </c>
      <c r="AU4374" t="s">
        <v>68</v>
      </c>
      <c r="AV4374" t="s">
        <v>69</v>
      </c>
      <c r="AW4374" s="1">
        <v>22930</v>
      </c>
      <c r="AX4374">
        <v>2</v>
      </c>
    </row>
    <row r="4375" spans="1:50">
      <c r="A4375">
        <v>198675</v>
      </c>
      <c r="B4375" t="str">
        <f>"119214750"</f>
        <v>119214750</v>
      </c>
      <c r="C4375" t="s">
        <v>50</v>
      </c>
      <c r="D4375" t="s">
        <v>8076</v>
      </c>
      <c r="E4375" t="s">
        <v>52</v>
      </c>
      <c r="F4375" t="s">
        <v>84</v>
      </c>
      <c r="G4375" t="s">
        <v>3934</v>
      </c>
      <c r="H4375" t="str">
        <f>"Κ. ΣΙΓΑΝΟΥ - ΠΑΡΕΝ 7 ΣΟΔΥ ΠΡΟΦ. ΗΛΙΑ"</f>
        <v>Κ. ΣΙΓΑΝΟΥ - ΠΑΡΕΝ 7 ΣΟΔΥ ΠΡΟΦ. ΗΛΙΑ</v>
      </c>
      <c r="I4375">
        <v>73134</v>
      </c>
      <c r="J4375">
        <v>2821054286</v>
      </c>
      <c r="K4375">
        <v>6973796858</v>
      </c>
      <c r="M4375" t="s">
        <v>8079</v>
      </c>
      <c r="N4375" t="s">
        <v>306</v>
      </c>
      <c r="O4375" t="s">
        <v>307</v>
      </c>
      <c r="R4375" t="s">
        <v>57</v>
      </c>
      <c r="S4375">
        <v>7</v>
      </c>
      <c r="T4375">
        <v>206</v>
      </c>
      <c r="U4375" s="1">
        <v>37866</v>
      </c>
      <c r="V4375" t="s">
        <v>6729</v>
      </c>
      <c r="W4375" t="s">
        <v>6730</v>
      </c>
      <c r="X4375" t="s">
        <v>58</v>
      </c>
      <c r="Y4375">
        <v>20</v>
      </c>
      <c r="Z4375" t="s">
        <v>59</v>
      </c>
      <c r="AA4375" t="s">
        <v>59</v>
      </c>
      <c r="AB4375" t="s">
        <v>59</v>
      </c>
      <c r="AC4375" t="s">
        <v>59</v>
      </c>
      <c r="AD4375" t="s">
        <v>59</v>
      </c>
      <c r="AF4375" s="1">
        <v>37866</v>
      </c>
      <c r="AG4375" t="s">
        <v>148</v>
      </c>
      <c r="AH4375" t="s">
        <v>149</v>
      </c>
      <c r="AI4375" t="str">
        <f>"5051010"</f>
        <v>5051010</v>
      </c>
      <c r="AJ4375" t="s">
        <v>6896</v>
      </c>
      <c r="AK4375">
        <v>2821028714</v>
      </c>
      <c r="AL4375" t="s">
        <v>6897</v>
      </c>
      <c r="AM4375" t="s">
        <v>88</v>
      </c>
      <c r="AN4375" t="s">
        <v>88</v>
      </c>
      <c r="AO4375" t="s">
        <v>88</v>
      </c>
      <c r="AP4375" t="s">
        <v>88</v>
      </c>
      <c r="AQ4375">
        <v>1</v>
      </c>
      <c r="AR4375" t="s">
        <v>6729</v>
      </c>
      <c r="AS4375" t="s">
        <v>6730</v>
      </c>
      <c r="AT4375" t="s">
        <v>58</v>
      </c>
      <c r="AU4375" t="s">
        <v>68</v>
      </c>
      <c r="AV4375" t="s">
        <v>69</v>
      </c>
      <c r="AW4375" s="1">
        <v>29270</v>
      </c>
      <c r="AX4375">
        <v>2</v>
      </c>
    </row>
    <row r="4376" spans="1:50">
      <c r="A4376">
        <v>175035</v>
      </c>
      <c r="B4376" t="str">
        <f>"076048269"</f>
        <v>076048269</v>
      </c>
      <c r="C4376" t="s">
        <v>105</v>
      </c>
      <c r="D4376" t="s">
        <v>8080</v>
      </c>
      <c r="E4376" t="s">
        <v>383</v>
      </c>
      <c r="F4376" t="s">
        <v>670</v>
      </c>
      <c r="G4376" t="s">
        <v>8081</v>
      </c>
      <c r="H4376" t="str">
        <f>" "</f>
        <v xml:space="preserve"> </v>
      </c>
      <c r="N4376" t="s">
        <v>204</v>
      </c>
      <c r="O4376" t="s">
        <v>205</v>
      </c>
      <c r="R4376" t="s">
        <v>57</v>
      </c>
      <c r="S4376">
        <v>13</v>
      </c>
      <c r="T4376">
        <v>166</v>
      </c>
      <c r="U4376" s="1">
        <v>35300</v>
      </c>
      <c r="V4376" t="s">
        <v>6729</v>
      </c>
      <c r="W4376" t="s">
        <v>6730</v>
      </c>
      <c r="X4376" t="s">
        <v>58</v>
      </c>
      <c r="Y4376">
        <v>18</v>
      </c>
      <c r="Z4376" t="s">
        <v>59</v>
      </c>
      <c r="AA4376" t="s">
        <v>59</v>
      </c>
      <c r="AB4376" t="s">
        <v>59</v>
      </c>
      <c r="AC4376" t="s">
        <v>59</v>
      </c>
      <c r="AD4376" t="s">
        <v>59</v>
      </c>
      <c r="AF4376" s="1">
        <v>35310</v>
      </c>
      <c r="AG4376" t="s">
        <v>125</v>
      </c>
      <c r="AH4376" t="s">
        <v>126</v>
      </c>
      <c r="AI4376" t="str">
        <f>"5001080"</f>
        <v>5001080</v>
      </c>
      <c r="AJ4376" t="s">
        <v>6984</v>
      </c>
      <c r="AK4376">
        <v>2821068020</v>
      </c>
      <c r="AL4376" t="s">
        <v>6985</v>
      </c>
      <c r="AM4376" t="s">
        <v>88</v>
      </c>
      <c r="AN4376" t="s">
        <v>6764</v>
      </c>
      <c r="AO4376" t="s">
        <v>6764</v>
      </c>
      <c r="AP4376" t="s">
        <v>6764</v>
      </c>
      <c r="AQ4376">
        <v>1</v>
      </c>
      <c r="AR4376" t="s">
        <v>6729</v>
      </c>
      <c r="AS4376" t="s">
        <v>6730</v>
      </c>
      <c r="AT4376" t="s">
        <v>58</v>
      </c>
      <c r="AU4376" t="s">
        <v>68</v>
      </c>
      <c r="AV4376" t="s">
        <v>69</v>
      </c>
      <c r="AW4376" s="1">
        <v>25780</v>
      </c>
      <c r="AX4376">
        <v>2</v>
      </c>
    </row>
    <row r="4377" spans="1:50">
      <c r="A4377">
        <v>171922</v>
      </c>
      <c r="B4377" t="str">
        <f>"101567982"</f>
        <v>101567982</v>
      </c>
      <c r="C4377" t="s">
        <v>50</v>
      </c>
      <c r="D4377" t="s">
        <v>8082</v>
      </c>
      <c r="E4377" t="s">
        <v>1497</v>
      </c>
      <c r="F4377" t="s">
        <v>84</v>
      </c>
      <c r="G4377" t="s">
        <v>109</v>
      </c>
      <c r="H4377" t="str">
        <f>" "</f>
        <v xml:space="preserve"> </v>
      </c>
      <c r="N4377" t="s">
        <v>135</v>
      </c>
      <c r="O4377" t="s">
        <v>136</v>
      </c>
      <c r="R4377" t="s">
        <v>57</v>
      </c>
      <c r="S4377">
        <v>14</v>
      </c>
      <c r="T4377">
        <v>184</v>
      </c>
      <c r="U4377" s="1">
        <v>34941</v>
      </c>
      <c r="V4377" t="s">
        <v>6729</v>
      </c>
      <c r="W4377" t="s">
        <v>6730</v>
      </c>
      <c r="X4377" t="s">
        <v>58</v>
      </c>
      <c r="Y4377">
        <v>18</v>
      </c>
      <c r="Z4377" t="s">
        <v>59</v>
      </c>
      <c r="AA4377" t="s">
        <v>59</v>
      </c>
      <c r="AB4377" t="s">
        <v>59</v>
      </c>
      <c r="AC4377" t="s">
        <v>59</v>
      </c>
      <c r="AD4377" t="s">
        <v>59</v>
      </c>
      <c r="AF4377" s="1">
        <v>34948</v>
      </c>
      <c r="AG4377" t="s">
        <v>125</v>
      </c>
      <c r="AH4377" t="s">
        <v>126</v>
      </c>
      <c r="AI4377" t="str">
        <f>"5012010"</f>
        <v>5012010</v>
      </c>
      <c r="AJ4377" t="s">
        <v>6794</v>
      </c>
      <c r="AK4377">
        <v>2821033195</v>
      </c>
      <c r="AL4377" t="s">
        <v>6795</v>
      </c>
      <c r="AM4377" t="s">
        <v>88</v>
      </c>
      <c r="AN4377" t="s">
        <v>88</v>
      </c>
      <c r="AO4377" t="s">
        <v>6785</v>
      </c>
      <c r="AP4377" t="s">
        <v>6786</v>
      </c>
      <c r="AQ4377">
        <v>1</v>
      </c>
      <c r="AR4377" t="s">
        <v>6729</v>
      </c>
      <c r="AS4377" t="s">
        <v>6730</v>
      </c>
      <c r="AT4377" t="s">
        <v>58</v>
      </c>
      <c r="AU4377" t="s">
        <v>68</v>
      </c>
      <c r="AV4377" t="s">
        <v>69</v>
      </c>
      <c r="AW4377" s="1">
        <v>23321</v>
      </c>
      <c r="AX4377">
        <v>2</v>
      </c>
    </row>
    <row r="4378" spans="1:50">
      <c r="A4378">
        <v>219127</v>
      </c>
      <c r="B4378" t="str">
        <f>"066422580"</f>
        <v>066422580</v>
      </c>
      <c r="C4378" t="s">
        <v>50</v>
      </c>
      <c r="D4378" t="s">
        <v>8083</v>
      </c>
      <c r="E4378" t="s">
        <v>250</v>
      </c>
      <c r="F4378" t="s">
        <v>53</v>
      </c>
      <c r="G4378" t="s">
        <v>83</v>
      </c>
      <c r="H4378" t="str">
        <f>"ΓΡΑΜΜΟΥ 32 ΗΡΑΚΛΕΙΟ ΑΤΤΙΚΗΣ"</f>
        <v>ΓΡΑΜΜΟΥ 32 ΗΡΑΚΛΕΙΟ ΑΤΤΙΚΗΣ</v>
      </c>
      <c r="I4378">
        <v>14122</v>
      </c>
      <c r="J4378">
        <v>2102814496</v>
      </c>
      <c r="K4378">
        <v>6938130619</v>
      </c>
      <c r="M4378" t="s">
        <v>8084</v>
      </c>
      <c r="N4378" t="s">
        <v>478</v>
      </c>
      <c r="O4378" t="s">
        <v>479</v>
      </c>
      <c r="R4378" t="s">
        <v>57</v>
      </c>
      <c r="S4378">
        <v>8</v>
      </c>
      <c r="T4378">
        <v>599</v>
      </c>
      <c r="U4378" s="1">
        <v>39310</v>
      </c>
      <c r="V4378" t="s">
        <v>6729</v>
      </c>
      <c r="W4378" t="s">
        <v>6730</v>
      </c>
      <c r="X4378" t="s">
        <v>58</v>
      </c>
      <c r="Y4378">
        <v>20</v>
      </c>
      <c r="Z4378" t="s">
        <v>59</v>
      </c>
      <c r="AA4378" t="s">
        <v>59</v>
      </c>
      <c r="AB4378" t="s">
        <v>59</v>
      </c>
      <c r="AC4378" t="s">
        <v>59</v>
      </c>
      <c r="AD4378" t="s">
        <v>59</v>
      </c>
      <c r="AF4378" s="1">
        <v>39328</v>
      </c>
      <c r="AG4378" t="s">
        <v>125</v>
      </c>
      <c r="AH4378" t="s">
        <v>126</v>
      </c>
      <c r="AI4378" t="str">
        <f>"5008010"</f>
        <v>5008010</v>
      </c>
      <c r="AJ4378" t="s">
        <v>6993</v>
      </c>
      <c r="AK4378">
        <v>2825091207</v>
      </c>
      <c r="AL4378" t="s">
        <v>6994</v>
      </c>
      <c r="AM4378" t="s">
        <v>88</v>
      </c>
      <c r="AN4378" t="s">
        <v>6995</v>
      </c>
      <c r="AO4378" t="s">
        <v>6995</v>
      </c>
      <c r="AP4378" t="s">
        <v>6996</v>
      </c>
      <c r="AQ4378">
        <v>1</v>
      </c>
      <c r="AR4378" t="s">
        <v>6729</v>
      </c>
      <c r="AS4378" t="s">
        <v>6730</v>
      </c>
      <c r="AT4378" t="s">
        <v>58</v>
      </c>
      <c r="AU4378" t="s">
        <v>68</v>
      </c>
      <c r="AV4378" t="s">
        <v>69</v>
      </c>
      <c r="AW4378" s="1">
        <v>26738</v>
      </c>
      <c r="AX4378">
        <v>2</v>
      </c>
    </row>
    <row r="4379" spans="1:50">
      <c r="A4379">
        <v>204650</v>
      </c>
      <c r="B4379" t="str">
        <f>"062766350"</f>
        <v>062766350</v>
      </c>
      <c r="C4379" t="s">
        <v>105</v>
      </c>
      <c r="D4379" t="s">
        <v>8085</v>
      </c>
      <c r="E4379" t="s">
        <v>1357</v>
      </c>
      <c r="F4379" t="s">
        <v>383</v>
      </c>
      <c r="G4379" t="s">
        <v>112</v>
      </c>
      <c r="H4379" t="str">
        <f>" "</f>
        <v xml:space="preserve"> </v>
      </c>
      <c r="J4379">
        <v>2821042868</v>
      </c>
      <c r="K4379">
        <v>6973399030</v>
      </c>
      <c r="M4379" t="s">
        <v>8086</v>
      </c>
      <c r="N4379" t="s">
        <v>189</v>
      </c>
      <c r="O4379" t="s">
        <v>190</v>
      </c>
      <c r="R4379" t="s">
        <v>57</v>
      </c>
      <c r="S4379">
        <v>10</v>
      </c>
      <c r="T4379">
        <v>231</v>
      </c>
      <c r="U4379" s="1">
        <v>38230</v>
      </c>
      <c r="V4379" t="s">
        <v>6729</v>
      </c>
      <c r="W4379" t="s">
        <v>6730</v>
      </c>
      <c r="X4379" t="s">
        <v>58</v>
      </c>
      <c r="Y4379">
        <v>20</v>
      </c>
      <c r="Z4379" t="s">
        <v>59</v>
      </c>
      <c r="AA4379" t="s">
        <v>59</v>
      </c>
      <c r="AB4379" t="s">
        <v>59</v>
      </c>
      <c r="AC4379" t="s">
        <v>59</v>
      </c>
      <c r="AD4379" t="s">
        <v>59</v>
      </c>
      <c r="AF4379" s="1">
        <v>38233</v>
      </c>
      <c r="AG4379" t="s">
        <v>137</v>
      </c>
      <c r="AH4379" t="s">
        <v>138</v>
      </c>
      <c r="AI4379" t="str">
        <f>"5040050"</f>
        <v>5040050</v>
      </c>
      <c r="AJ4379" t="s">
        <v>6750</v>
      </c>
      <c r="AK4379">
        <v>2821043147</v>
      </c>
      <c r="AL4379" t="s">
        <v>6751</v>
      </c>
      <c r="AM4379" t="s">
        <v>88</v>
      </c>
      <c r="AN4379" t="s">
        <v>88</v>
      </c>
      <c r="AO4379" t="s">
        <v>88</v>
      </c>
      <c r="AP4379" t="s">
        <v>88</v>
      </c>
      <c r="AQ4379">
        <v>1</v>
      </c>
      <c r="AR4379" t="s">
        <v>6729</v>
      </c>
      <c r="AS4379" t="s">
        <v>6730</v>
      </c>
      <c r="AT4379" t="s">
        <v>58</v>
      </c>
      <c r="AU4379" t="s">
        <v>68</v>
      </c>
      <c r="AV4379" t="s">
        <v>69</v>
      </c>
      <c r="AW4379" s="1">
        <v>25463</v>
      </c>
      <c r="AX4379">
        <v>2</v>
      </c>
    </row>
    <row r="4380" spans="1:50">
      <c r="A4380">
        <v>200849</v>
      </c>
      <c r="B4380" t="str">
        <f>"127711570"</f>
        <v>127711570</v>
      </c>
      <c r="C4380" t="s">
        <v>105</v>
      </c>
      <c r="D4380" t="s">
        <v>8085</v>
      </c>
      <c r="E4380" t="s">
        <v>670</v>
      </c>
      <c r="F4380" t="s">
        <v>383</v>
      </c>
      <c r="G4380" t="s">
        <v>3483</v>
      </c>
      <c r="H4380" t="str">
        <f>" "</f>
        <v xml:space="preserve"> </v>
      </c>
      <c r="J4380">
        <v>2821052635</v>
      </c>
      <c r="K4380">
        <v>6973778654</v>
      </c>
      <c r="M4380" t="s">
        <v>8087</v>
      </c>
      <c r="N4380" t="s">
        <v>204</v>
      </c>
      <c r="O4380" t="s">
        <v>205</v>
      </c>
      <c r="R4380" t="s">
        <v>57</v>
      </c>
      <c r="S4380">
        <v>7</v>
      </c>
      <c r="T4380">
        <v>213</v>
      </c>
      <c r="U4380" s="1">
        <v>37874</v>
      </c>
      <c r="V4380" t="s">
        <v>6729</v>
      </c>
      <c r="W4380" t="s">
        <v>6730</v>
      </c>
      <c r="X4380" t="s">
        <v>58</v>
      </c>
      <c r="Y4380">
        <v>20</v>
      </c>
      <c r="Z4380" t="s">
        <v>59</v>
      </c>
      <c r="AA4380" t="s">
        <v>59</v>
      </c>
      <c r="AB4380" t="s">
        <v>59</v>
      </c>
      <c r="AC4380" t="s">
        <v>59</v>
      </c>
      <c r="AD4380" t="s">
        <v>59</v>
      </c>
      <c r="AF4380" s="1">
        <v>37879</v>
      </c>
      <c r="AG4380" t="s">
        <v>148</v>
      </c>
      <c r="AH4380" t="s">
        <v>149</v>
      </c>
      <c r="AI4380" t="str">
        <f>"5051050"</f>
        <v>5051050</v>
      </c>
      <c r="AJ4380" t="s">
        <v>6861</v>
      </c>
      <c r="AK4380">
        <v>2821044860</v>
      </c>
      <c r="AL4380" t="s">
        <v>6862</v>
      </c>
      <c r="AM4380" t="s">
        <v>88</v>
      </c>
      <c r="AN4380" t="s">
        <v>88</v>
      </c>
      <c r="AO4380" t="s">
        <v>88</v>
      </c>
      <c r="AP4380" t="s">
        <v>88</v>
      </c>
      <c r="AQ4380">
        <v>1</v>
      </c>
      <c r="AR4380" t="s">
        <v>6729</v>
      </c>
      <c r="AS4380" t="s">
        <v>6730</v>
      </c>
      <c r="AT4380" t="s">
        <v>58</v>
      </c>
      <c r="AU4380" t="s">
        <v>68</v>
      </c>
      <c r="AV4380" t="s">
        <v>69</v>
      </c>
      <c r="AW4380" s="1">
        <v>27150</v>
      </c>
      <c r="AX4380">
        <v>2</v>
      </c>
    </row>
    <row r="4381" spans="1:50">
      <c r="A4381">
        <v>221313</v>
      </c>
      <c r="B4381" t="str">
        <f>"044930121"</f>
        <v>044930121</v>
      </c>
      <c r="C4381" t="s">
        <v>105</v>
      </c>
      <c r="D4381" t="s">
        <v>8088</v>
      </c>
      <c r="E4381" t="s">
        <v>84</v>
      </c>
      <c r="F4381" t="s">
        <v>99</v>
      </c>
      <c r="G4381" t="s">
        <v>476</v>
      </c>
      <c r="H4381" t="str">
        <f>"ΕΙΡΗΝΗΣ &amp; ΑΓΙΟΥ ΓΕΩΡΓΙΟΥ ΧΑΝΙΑ"</f>
        <v>ΕΙΡΗΝΗΣ &amp; ΑΓΙΟΥ ΓΕΩΡΓΙΟΥ ΧΑΝΙΑ</v>
      </c>
      <c r="I4381">
        <v>73100</v>
      </c>
      <c r="J4381">
        <v>2821034139</v>
      </c>
      <c r="K4381">
        <v>6972822411</v>
      </c>
      <c r="M4381" t="s">
        <v>8089</v>
      </c>
      <c r="N4381" t="s">
        <v>168</v>
      </c>
      <c r="O4381" t="s">
        <v>169</v>
      </c>
      <c r="R4381" t="s">
        <v>57</v>
      </c>
      <c r="S4381">
        <v>5</v>
      </c>
      <c r="T4381">
        <v>691</v>
      </c>
      <c r="U4381" s="1">
        <v>39331</v>
      </c>
      <c r="V4381" t="s">
        <v>6729</v>
      </c>
      <c r="W4381" t="s">
        <v>6730</v>
      </c>
      <c r="X4381" t="s">
        <v>58</v>
      </c>
      <c r="Y4381">
        <v>21</v>
      </c>
      <c r="Z4381" t="s">
        <v>59</v>
      </c>
      <c r="AA4381" t="s">
        <v>59</v>
      </c>
      <c r="AB4381" t="s">
        <v>59</v>
      </c>
      <c r="AC4381" t="s">
        <v>59</v>
      </c>
      <c r="AD4381" t="s">
        <v>59</v>
      </c>
      <c r="AF4381" s="1">
        <v>39335</v>
      </c>
      <c r="AG4381" t="s">
        <v>148</v>
      </c>
      <c r="AH4381" t="s">
        <v>149</v>
      </c>
      <c r="AI4381" t="str">
        <f>"5090080"</f>
        <v>5090080</v>
      </c>
      <c r="AJ4381" t="s">
        <v>6906</v>
      </c>
      <c r="AK4381">
        <v>2821096638</v>
      </c>
      <c r="AL4381" t="s">
        <v>6907</v>
      </c>
      <c r="AM4381" t="s">
        <v>88</v>
      </c>
      <c r="AN4381" t="s">
        <v>88</v>
      </c>
      <c r="AO4381" t="s">
        <v>88</v>
      </c>
      <c r="AP4381" t="s">
        <v>88</v>
      </c>
      <c r="AQ4381">
        <v>1</v>
      </c>
      <c r="AR4381" t="s">
        <v>6729</v>
      </c>
      <c r="AS4381" t="s">
        <v>6730</v>
      </c>
      <c r="AT4381" t="s">
        <v>58</v>
      </c>
      <c r="AU4381" t="s">
        <v>68</v>
      </c>
      <c r="AV4381" t="s">
        <v>69</v>
      </c>
      <c r="AW4381" s="1">
        <v>24961</v>
      </c>
      <c r="AX4381">
        <v>2</v>
      </c>
    </row>
    <row r="4382" spans="1:50">
      <c r="A4382">
        <v>170918</v>
      </c>
      <c r="B4382" t="str">
        <f>"036073493"</f>
        <v>036073493</v>
      </c>
      <c r="C4382" t="s">
        <v>50</v>
      </c>
      <c r="D4382" t="s">
        <v>8090</v>
      </c>
      <c r="E4382" t="s">
        <v>8091</v>
      </c>
      <c r="F4382" t="s">
        <v>72</v>
      </c>
      <c r="G4382" t="s">
        <v>1355</v>
      </c>
      <c r="H4382" t="str">
        <f>"ΚΑΠΟΔΙΣΤΡΙΟΥ 15 ΧΑΝΙΑ"</f>
        <v>ΚΑΠΟΔΙΣΤΡΙΟΥ 15 ΧΑΝΙΑ</v>
      </c>
      <c r="I4382">
        <v>73132</v>
      </c>
      <c r="J4382">
        <v>2821050397</v>
      </c>
      <c r="K4382">
        <v>6947733272</v>
      </c>
      <c r="M4382" t="s">
        <v>8092</v>
      </c>
      <c r="N4382" t="s">
        <v>478</v>
      </c>
      <c r="O4382" t="s">
        <v>479</v>
      </c>
      <c r="R4382" t="s">
        <v>57</v>
      </c>
      <c r="S4382">
        <v>13</v>
      </c>
      <c r="T4382">
        <v>184</v>
      </c>
      <c r="U4382" s="1">
        <v>34941</v>
      </c>
      <c r="V4382" t="s">
        <v>6729</v>
      </c>
      <c r="W4382" t="s">
        <v>6730</v>
      </c>
      <c r="X4382" t="s">
        <v>58</v>
      </c>
      <c r="Y4382">
        <v>18</v>
      </c>
      <c r="Z4382" t="s">
        <v>59</v>
      </c>
      <c r="AA4382" t="s">
        <v>59</v>
      </c>
      <c r="AB4382" t="s">
        <v>59</v>
      </c>
      <c r="AC4382" t="s">
        <v>59</v>
      </c>
      <c r="AD4382" t="s">
        <v>59</v>
      </c>
      <c r="AF4382" s="1">
        <v>34948</v>
      </c>
      <c r="AG4382" t="s">
        <v>125</v>
      </c>
      <c r="AH4382" t="s">
        <v>126</v>
      </c>
      <c r="AI4382" t="str">
        <f>"5001060"</f>
        <v>5001060</v>
      </c>
      <c r="AJ4382" t="s">
        <v>6914</v>
      </c>
      <c r="AK4382">
        <v>2821091763</v>
      </c>
      <c r="AL4382" t="s">
        <v>6915</v>
      </c>
      <c r="AM4382" t="s">
        <v>88</v>
      </c>
      <c r="AN4382" t="s">
        <v>88</v>
      </c>
      <c r="AO4382" t="s">
        <v>88</v>
      </c>
      <c r="AP4382" t="s">
        <v>88</v>
      </c>
      <c r="AQ4382">
        <v>1</v>
      </c>
      <c r="AR4382" t="s">
        <v>6729</v>
      </c>
      <c r="AS4382" t="s">
        <v>6730</v>
      </c>
      <c r="AT4382" t="s">
        <v>58</v>
      </c>
      <c r="AU4382" t="s">
        <v>68</v>
      </c>
      <c r="AV4382" t="s">
        <v>69</v>
      </c>
      <c r="AW4382" s="1">
        <v>20832</v>
      </c>
      <c r="AX4382">
        <v>2</v>
      </c>
    </row>
    <row r="4383" spans="1:50">
      <c r="A4383">
        <v>206474</v>
      </c>
      <c r="B4383" t="str">
        <f>"057402398"</f>
        <v>057402398</v>
      </c>
      <c r="C4383" t="s">
        <v>50</v>
      </c>
      <c r="D4383" t="s">
        <v>3272</v>
      </c>
      <c r="E4383" t="s">
        <v>7450</v>
      </c>
      <c r="F4383" t="s">
        <v>99</v>
      </c>
      <c r="G4383" t="s">
        <v>155</v>
      </c>
      <c r="H4383" t="str">
        <f>"ΑΚΤΗ ΠΟΣΕΙΔΩΝΟΣ 49 ΚΙΡΡΑ ΙΤΕΑ"</f>
        <v>ΑΚΤΗ ΠΟΣΕΙΔΩΝΟΣ 49 ΚΙΡΡΑ ΙΤΕΑ</v>
      </c>
      <c r="I4383">
        <v>33200</v>
      </c>
      <c r="J4383">
        <v>2265032847</v>
      </c>
      <c r="K4383">
        <v>6979526488</v>
      </c>
      <c r="L4383">
        <v>6934578979</v>
      </c>
      <c r="N4383" t="s">
        <v>157</v>
      </c>
      <c r="O4383" t="s">
        <v>158</v>
      </c>
      <c r="R4383" t="s">
        <v>57</v>
      </c>
      <c r="S4383">
        <v>7</v>
      </c>
      <c r="T4383">
        <v>218</v>
      </c>
      <c r="U4383" s="1">
        <v>38596</v>
      </c>
      <c r="V4383" t="s">
        <v>6729</v>
      </c>
      <c r="W4383" t="s">
        <v>6730</v>
      </c>
      <c r="X4383" t="s">
        <v>58</v>
      </c>
      <c r="Y4383">
        <v>20</v>
      </c>
      <c r="Z4383" t="s">
        <v>59</v>
      </c>
      <c r="AA4383" t="s">
        <v>59</v>
      </c>
      <c r="AB4383" t="s">
        <v>59</v>
      </c>
      <c r="AC4383" t="s">
        <v>59</v>
      </c>
      <c r="AD4383" t="s">
        <v>59</v>
      </c>
      <c r="AF4383" s="1">
        <v>38603</v>
      </c>
      <c r="AG4383" t="s">
        <v>125</v>
      </c>
      <c r="AH4383" t="s">
        <v>126</v>
      </c>
      <c r="AI4383" t="str">
        <f>"5001075"</f>
        <v>5001075</v>
      </c>
      <c r="AJ4383" t="s">
        <v>6768</v>
      </c>
      <c r="AK4383">
        <v>2821064200</v>
      </c>
      <c r="AL4383" t="s">
        <v>6769</v>
      </c>
      <c r="AM4383" t="s">
        <v>88</v>
      </c>
      <c r="AN4383" t="s">
        <v>88</v>
      </c>
      <c r="AO4383" t="s">
        <v>6770</v>
      </c>
      <c r="AP4383" t="s">
        <v>6771</v>
      </c>
      <c r="AQ4383">
        <v>1</v>
      </c>
      <c r="AR4383" t="s">
        <v>6729</v>
      </c>
      <c r="AS4383" t="s">
        <v>6730</v>
      </c>
      <c r="AT4383" t="s">
        <v>58</v>
      </c>
      <c r="AU4383" t="s">
        <v>68</v>
      </c>
      <c r="AV4383" t="s">
        <v>69</v>
      </c>
      <c r="AW4383" s="1">
        <v>24675</v>
      </c>
      <c r="AX4383">
        <v>2</v>
      </c>
    </row>
    <row r="4384" spans="1:50">
      <c r="A4384">
        <v>195345</v>
      </c>
      <c r="B4384" t="str">
        <f>"047322840"</f>
        <v>047322840</v>
      </c>
      <c r="C4384" t="s">
        <v>50</v>
      </c>
      <c r="D4384" t="s">
        <v>8093</v>
      </c>
      <c r="E4384" t="s">
        <v>3174</v>
      </c>
      <c r="F4384" t="s">
        <v>92</v>
      </c>
      <c r="G4384" t="s">
        <v>787</v>
      </c>
      <c r="H4384" t="str">
        <f>" "</f>
        <v xml:space="preserve"> </v>
      </c>
      <c r="M4384" t="s">
        <v>8094</v>
      </c>
      <c r="N4384" t="s">
        <v>146</v>
      </c>
      <c r="O4384" t="s">
        <v>147</v>
      </c>
      <c r="R4384" t="s">
        <v>57</v>
      </c>
      <c r="S4384">
        <v>8</v>
      </c>
      <c r="T4384">
        <v>194</v>
      </c>
      <c r="U4384" s="1">
        <v>37497</v>
      </c>
      <c r="V4384" t="s">
        <v>6729</v>
      </c>
      <c r="W4384" t="s">
        <v>6730</v>
      </c>
      <c r="X4384" t="s">
        <v>58</v>
      </c>
      <c r="Y4384">
        <v>20</v>
      </c>
      <c r="Z4384" t="s">
        <v>59</v>
      </c>
      <c r="AA4384" t="s">
        <v>59</v>
      </c>
      <c r="AB4384" t="s">
        <v>59</v>
      </c>
      <c r="AC4384" t="s">
        <v>59</v>
      </c>
      <c r="AD4384" t="s">
        <v>59</v>
      </c>
      <c r="AF4384" s="1">
        <v>37501</v>
      </c>
      <c r="AG4384" t="s">
        <v>148</v>
      </c>
      <c r="AH4384" t="s">
        <v>149</v>
      </c>
      <c r="AI4384" t="str">
        <f>"5051050"</f>
        <v>5051050</v>
      </c>
      <c r="AJ4384" t="s">
        <v>6861</v>
      </c>
      <c r="AK4384">
        <v>2821044860</v>
      </c>
      <c r="AL4384" t="s">
        <v>6862</v>
      </c>
      <c r="AM4384" t="s">
        <v>88</v>
      </c>
      <c r="AN4384" t="s">
        <v>88</v>
      </c>
      <c r="AO4384" t="s">
        <v>88</v>
      </c>
      <c r="AP4384" t="s">
        <v>88</v>
      </c>
      <c r="AQ4384">
        <v>1</v>
      </c>
      <c r="AR4384" t="s">
        <v>6729</v>
      </c>
      <c r="AS4384" t="s">
        <v>6730</v>
      </c>
      <c r="AT4384" t="s">
        <v>58</v>
      </c>
      <c r="AU4384" t="s">
        <v>68</v>
      </c>
      <c r="AV4384" t="s">
        <v>69</v>
      </c>
      <c r="AW4384" s="1">
        <v>26013</v>
      </c>
      <c r="AX4384">
        <v>2</v>
      </c>
    </row>
    <row r="4385" spans="1:50">
      <c r="A4385">
        <v>218164</v>
      </c>
      <c r="B4385" t="str">
        <f>"063942600"</f>
        <v>063942600</v>
      </c>
      <c r="C4385" t="s">
        <v>105</v>
      </c>
      <c r="D4385" t="s">
        <v>8095</v>
      </c>
      <c r="E4385" t="s">
        <v>72</v>
      </c>
      <c r="F4385" t="s">
        <v>609</v>
      </c>
      <c r="G4385" t="s">
        <v>8096</v>
      </c>
      <c r="H4385" t="str">
        <f>" "</f>
        <v xml:space="preserve"> </v>
      </c>
      <c r="J4385">
        <v>2821077529</v>
      </c>
      <c r="K4385">
        <v>6981143050</v>
      </c>
      <c r="M4385" t="s">
        <v>8097</v>
      </c>
      <c r="N4385" t="s">
        <v>292</v>
      </c>
      <c r="O4385" t="s">
        <v>293</v>
      </c>
      <c r="R4385" t="s">
        <v>57</v>
      </c>
      <c r="S4385">
        <v>7</v>
      </c>
      <c r="T4385">
        <v>599</v>
      </c>
      <c r="U4385" s="1">
        <v>39310</v>
      </c>
      <c r="V4385" t="s">
        <v>6729</v>
      </c>
      <c r="W4385" t="s">
        <v>6730</v>
      </c>
      <c r="X4385" t="s">
        <v>58</v>
      </c>
      <c r="Y4385">
        <v>21</v>
      </c>
      <c r="Z4385" t="s">
        <v>59</v>
      </c>
      <c r="AA4385" t="s">
        <v>59</v>
      </c>
      <c r="AB4385" t="s">
        <v>59</v>
      </c>
      <c r="AC4385" t="s">
        <v>59</v>
      </c>
      <c r="AD4385" t="s">
        <v>59</v>
      </c>
      <c r="AF4385" s="1">
        <v>39328</v>
      </c>
      <c r="AG4385" t="s">
        <v>125</v>
      </c>
      <c r="AH4385" t="s">
        <v>126</v>
      </c>
      <c r="AI4385" t="str">
        <f>"5011010"</f>
        <v>5011010</v>
      </c>
      <c r="AJ4385" t="s">
        <v>6877</v>
      </c>
      <c r="AK4385">
        <v>2821081330</v>
      </c>
      <c r="AL4385" t="s">
        <v>6878</v>
      </c>
      <c r="AM4385" t="s">
        <v>88</v>
      </c>
      <c r="AN4385" t="s">
        <v>88</v>
      </c>
      <c r="AO4385" t="s">
        <v>6748</v>
      </c>
      <c r="AP4385" t="s">
        <v>6748</v>
      </c>
      <c r="AQ4385">
        <v>1</v>
      </c>
      <c r="AR4385" t="s">
        <v>6729</v>
      </c>
      <c r="AS4385" t="s">
        <v>6730</v>
      </c>
      <c r="AT4385" t="s">
        <v>58</v>
      </c>
      <c r="AU4385" t="s">
        <v>68</v>
      </c>
      <c r="AV4385" t="s">
        <v>69</v>
      </c>
      <c r="AW4385" s="1">
        <v>27491</v>
      </c>
      <c r="AX4385">
        <v>2</v>
      </c>
    </row>
    <row r="4386" spans="1:50">
      <c r="A4386">
        <v>209680</v>
      </c>
      <c r="B4386" t="str">
        <f>"032641092"</f>
        <v>032641092</v>
      </c>
      <c r="C4386" t="s">
        <v>50</v>
      </c>
      <c r="D4386" t="s">
        <v>3276</v>
      </c>
      <c r="E4386" t="s">
        <v>83</v>
      </c>
      <c r="F4386" t="s">
        <v>92</v>
      </c>
      <c r="G4386" t="s">
        <v>8098</v>
      </c>
      <c r="H4386" t="str">
        <f>"ΑΝΔΡΙΑΝΑΚΗ 17Α ΧΑΝΙΑ"</f>
        <v>ΑΝΔΡΙΑΝΑΚΗ 17Α ΧΑΝΙΑ</v>
      </c>
      <c r="I4386">
        <v>73133</v>
      </c>
      <c r="J4386">
        <v>2821051247</v>
      </c>
      <c r="K4386">
        <v>6955091020</v>
      </c>
      <c r="M4386" t="s">
        <v>8099</v>
      </c>
      <c r="N4386" t="s">
        <v>146</v>
      </c>
      <c r="O4386" t="s">
        <v>147</v>
      </c>
      <c r="R4386" t="s">
        <v>57</v>
      </c>
      <c r="S4386">
        <v>7</v>
      </c>
      <c r="T4386">
        <v>225</v>
      </c>
      <c r="U4386" s="1">
        <v>38604</v>
      </c>
      <c r="V4386" t="s">
        <v>6729</v>
      </c>
      <c r="W4386" t="s">
        <v>6730</v>
      </c>
      <c r="X4386" t="s">
        <v>58</v>
      </c>
      <c r="Y4386">
        <v>20</v>
      </c>
      <c r="Z4386" t="s">
        <v>59</v>
      </c>
      <c r="AA4386" t="s">
        <v>59</v>
      </c>
      <c r="AB4386" t="s">
        <v>59</v>
      </c>
      <c r="AC4386" t="s">
        <v>59</v>
      </c>
      <c r="AD4386" t="s">
        <v>59</v>
      </c>
      <c r="AF4386" s="1">
        <v>38607</v>
      </c>
      <c r="AG4386" t="s">
        <v>125</v>
      </c>
      <c r="AH4386" t="s">
        <v>126</v>
      </c>
      <c r="AI4386" t="str">
        <f>"5001060"</f>
        <v>5001060</v>
      </c>
      <c r="AJ4386" t="s">
        <v>6914</v>
      </c>
      <c r="AK4386">
        <v>2821091763</v>
      </c>
      <c r="AL4386" t="s">
        <v>6915</v>
      </c>
      <c r="AM4386" t="s">
        <v>88</v>
      </c>
      <c r="AN4386" t="s">
        <v>88</v>
      </c>
      <c r="AO4386" t="s">
        <v>88</v>
      </c>
      <c r="AP4386" t="s">
        <v>88</v>
      </c>
      <c r="AQ4386">
        <v>1</v>
      </c>
      <c r="AR4386" t="s">
        <v>6729</v>
      </c>
      <c r="AS4386" t="s">
        <v>6730</v>
      </c>
      <c r="AT4386" t="s">
        <v>58</v>
      </c>
      <c r="AU4386" t="s">
        <v>68</v>
      </c>
      <c r="AV4386" t="s">
        <v>132</v>
      </c>
      <c r="AW4386" s="1">
        <v>22167</v>
      </c>
      <c r="AX4386">
        <v>2</v>
      </c>
    </row>
    <row r="4387" spans="1:50">
      <c r="A4387">
        <v>155309</v>
      </c>
      <c r="B4387" t="str">
        <f>"065997617"</f>
        <v>065997617</v>
      </c>
      <c r="C4387" t="s">
        <v>50</v>
      </c>
      <c r="D4387" t="s">
        <v>3276</v>
      </c>
      <c r="E4387" t="s">
        <v>52</v>
      </c>
      <c r="F4387" t="s">
        <v>53</v>
      </c>
      <c r="G4387" t="s">
        <v>314</v>
      </c>
      <c r="H4387" t="str">
        <f>"Μ. ΗΣΥΧΑΚΗ 6 ΧΑΝΙΑ"</f>
        <v>Μ. ΗΣΥΧΑΚΗ 6 ΧΑΝΙΑ</v>
      </c>
      <c r="I4387">
        <v>73132</v>
      </c>
      <c r="J4387">
        <v>2821042832</v>
      </c>
      <c r="K4387">
        <v>6938057128</v>
      </c>
      <c r="L4387">
        <v>2821043530</v>
      </c>
      <c r="M4387" t="s">
        <v>8100</v>
      </c>
      <c r="N4387" t="s">
        <v>337</v>
      </c>
      <c r="O4387" t="s">
        <v>338</v>
      </c>
      <c r="R4387" t="s">
        <v>57</v>
      </c>
      <c r="S4387">
        <v>14</v>
      </c>
      <c r="T4387">
        <v>167</v>
      </c>
      <c r="U4387" s="1">
        <v>32393</v>
      </c>
      <c r="V4387" t="s">
        <v>6729</v>
      </c>
      <c r="W4387" t="s">
        <v>6730</v>
      </c>
      <c r="X4387" t="s">
        <v>58</v>
      </c>
      <c r="Y4387">
        <v>18</v>
      </c>
      <c r="Z4387" t="s">
        <v>59</v>
      </c>
      <c r="AA4387" t="s">
        <v>59</v>
      </c>
      <c r="AB4387" t="s">
        <v>59</v>
      </c>
      <c r="AC4387" t="s">
        <v>59</v>
      </c>
      <c r="AD4387" t="s">
        <v>59</v>
      </c>
      <c r="AF4387" s="1">
        <v>32407</v>
      </c>
      <c r="AG4387" t="s">
        <v>125</v>
      </c>
      <c r="AH4387" t="s">
        <v>294</v>
      </c>
      <c r="AI4387" t="str">
        <f>"5012017"</f>
        <v>5012017</v>
      </c>
      <c r="AJ4387" t="s">
        <v>6859</v>
      </c>
      <c r="AK4387">
        <v>2821088065</v>
      </c>
      <c r="AL4387" t="s">
        <v>6860</v>
      </c>
      <c r="AM4387" t="s">
        <v>88</v>
      </c>
      <c r="AN4387" t="s">
        <v>88</v>
      </c>
      <c r="AO4387" t="s">
        <v>88</v>
      </c>
      <c r="AP4387" t="s">
        <v>88</v>
      </c>
      <c r="AQ4387">
        <v>1</v>
      </c>
      <c r="AR4387" t="s">
        <v>6729</v>
      </c>
      <c r="AS4387" t="s">
        <v>6730</v>
      </c>
      <c r="AT4387" t="s">
        <v>58</v>
      </c>
      <c r="AU4387" t="s">
        <v>68</v>
      </c>
      <c r="AV4387" t="s">
        <v>69</v>
      </c>
      <c r="AW4387" s="1">
        <v>22193</v>
      </c>
      <c r="AX4387">
        <v>2</v>
      </c>
    </row>
    <row r="4388" spans="1:50">
      <c r="A4388">
        <v>221800</v>
      </c>
      <c r="B4388" t="str">
        <f>"077528447"</f>
        <v>077528447</v>
      </c>
      <c r="C4388" t="s">
        <v>105</v>
      </c>
      <c r="D4388" t="s">
        <v>3279</v>
      </c>
      <c r="E4388" t="s">
        <v>95</v>
      </c>
      <c r="F4388" t="s">
        <v>3811</v>
      </c>
      <c r="G4388" t="s">
        <v>52</v>
      </c>
      <c r="H4388" t="str">
        <f>"Μ. ΓΩΝΙΑΣ 36 ΧΑΝΙΩΝ"</f>
        <v>Μ. ΓΩΝΙΑΣ 36 ΧΑΝΙΩΝ</v>
      </c>
      <c r="I4388">
        <v>73131</v>
      </c>
      <c r="J4388">
        <v>2821032101</v>
      </c>
      <c r="K4388">
        <v>6972773017</v>
      </c>
      <c r="N4388" t="s">
        <v>157</v>
      </c>
      <c r="O4388" t="s">
        <v>158</v>
      </c>
      <c r="R4388" t="s">
        <v>57</v>
      </c>
      <c r="S4388">
        <v>6</v>
      </c>
      <c r="T4388">
        <v>775</v>
      </c>
      <c r="U4388" s="1">
        <v>39680</v>
      </c>
      <c r="V4388" t="s">
        <v>6729</v>
      </c>
      <c r="W4388" t="s">
        <v>6730</v>
      </c>
      <c r="X4388" t="s">
        <v>58</v>
      </c>
      <c r="Y4388">
        <v>20</v>
      </c>
      <c r="Z4388" t="s">
        <v>59</v>
      </c>
      <c r="AA4388" t="s">
        <v>59</v>
      </c>
      <c r="AB4388" t="s">
        <v>59</v>
      </c>
      <c r="AC4388" t="s">
        <v>59</v>
      </c>
      <c r="AD4388" t="s">
        <v>59</v>
      </c>
      <c r="AF4388" s="1">
        <v>39685</v>
      </c>
      <c r="AG4388" t="s">
        <v>125</v>
      </c>
      <c r="AH4388" t="s">
        <v>126</v>
      </c>
      <c r="AI4388" t="str">
        <f>"5012010"</f>
        <v>5012010</v>
      </c>
      <c r="AJ4388" t="s">
        <v>6794</v>
      </c>
      <c r="AK4388">
        <v>2821033195</v>
      </c>
      <c r="AL4388" t="s">
        <v>6795</v>
      </c>
      <c r="AM4388" t="s">
        <v>88</v>
      </c>
      <c r="AN4388" t="s">
        <v>88</v>
      </c>
      <c r="AO4388" t="s">
        <v>6785</v>
      </c>
      <c r="AP4388" t="s">
        <v>6786</v>
      </c>
      <c r="AQ4388">
        <v>1</v>
      </c>
      <c r="AR4388" t="s">
        <v>6729</v>
      </c>
      <c r="AS4388" t="s">
        <v>6730</v>
      </c>
      <c r="AT4388" t="s">
        <v>58</v>
      </c>
      <c r="AU4388" t="s">
        <v>68</v>
      </c>
      <c r="AV4388" t="s">
        <v>69</v>
      </c>
      <c r="AW4388" s="1">
        <v>26441</v>
      </c>
      <c r="AX4388">
        <v>2</v>
      </c>
    </row>
    <row r="4389" spans="1:50">
      <c r="A4389">
        <v>194163</v>
      </c>
      <c r="B4389" t="str">
        <f>"042413670"</f>
        <v>042413670</v>
      </c>
      <c r="C4389" t="s">
        <v>105</v>
      </c>
      <c r="D4389" t="s">
        <v>3279</v>
      </c>
      <c r="E4389" t="s">
        <v>92</v>
      </c>
      <c r="F4389" t="s">
        <v>72</v>
      </c>
      <c r="G4389" t="s">
        <v>112</v>
      </c>
      <c r="H4389" t="str">
        <f>"ΕΛΕΥΘΕΡΙΟΥ ΞΕΝΑΚΗ 2Β ΚΑΤΩ ΔΑΡΑΤΣΟ"</f>
        <v>ΕΛΕΥΘΕΡΙΟΥ ΞΕΝΑΚΗ 2Β ΚΑΤΩ ΔΑΡΑΤΣΟ</v>
      </c>
      <c r="I4389">
        <v>73100</v>
      </c>
      <c r="J4389">
        <v>2821034155</v>
      </c>
      <c r="K4389">
        <v>6976000526</v>
      </c>
      <c r="M4389" t="s">
        <v>8101</v>
      </c>
      <c r="N4389" t="s">
        <v>299</v>
      </c>
      <c r="O4389" t="s">
        <v>300</v>
      </c>
      <c r="R4389" t="s">
        <v>57</v>
      </c>
      <c r="S4389">
        <v>10</v>
      </c>
      <c r="T4389">
        <v>193</v>
      </c>
      <c r="U4389" s="1">
        <v>37497</v>
      </c>
      <c r="V4389" t="s">
        <v>6729</v>
      </c>
      <c r="W4389" t="s">
        <v>6730</v>
      </c>
      <c r="X4389" t="s">
        <v>58</v>
      </c>
      <c r="Y4389">
        <v>18</v>
      </c>
      <c r="Z4389" t="s">
        <v>59</v>
      </c>
      <c r="AA4389" t="s">
        <v>59</v>
      </c>
      <c r="AB4389" t="s">
        <v>59</v>
      </c>
      <c r="AC4389" t="s">
        <v>59</v>
      </c>
      <c r="AD4389" t="s">
        <v>59</v>
      </c>
      <c r="AF4389" s="1">
        <v>37501</v>
      </c>
      <c r="AG4389" t="s">
        <v>137</v>
      </c>
      <c r="AH4389" t="s">
        <v>138</v>
      </c>
      <c r="AI4389" t="str">
        <f>"5040080"</f>
        <v>5040080</v>
      </c>
      <c r="AJ4389" t="s">
        <v>6753</v>
      </c>
      <c r="AK4389">
        <v>2821093155</v>
      </c>
      <c r="AL4389" t="s">
        <v>6754</v>
      </c>
      <c r="AM4389" t="s">
        <v>88</v>
      </c>
      <c r="AN4389" t="s">
        <v>88</v>
      </c>
      <c r="AO4389" t="s">
        <v>6733</v>
      </c>
      <c r="AP4389" t="s">
        <v>6755</v>
      </c>
      <c r="AQ4389">
        <v>1</v>
      </c>
      <c r="AR4389" t="s">
        <v>6729</v>
      </c>
      <c r="AS4389" t="s">
        <v>6730</v>
      </c>
      <c r="AT4389" t="s">
        <v>58</v>
      </c>
      <c r="AU4389" t="s">
        <v>68</v>
      </c>
      <c r="AV4389" t="s">
        <v>69</v>
      </c>
      <c r="AW4389" s="1">
        <v>21857</v>
      </c>
      <c r="AX4389">
        <v>2</v>
      </c>
    </row>
    <row r="4390" spans="1:50">
      <c r="A4390">
        <v>217618</v>
      </c>
      <c r="B4390" t="str">
        <f>"113391059"</f>
        <v>113391059</v>
      </c>
      <c r="C4390" t="s">
        <v>50</v>
      </c>
      <c r="D4390" t="s">
        <v>8102</v>
      </c>
      <c r="E4390" t="s">
        <v>73</v>
      </c>
      <c r="F4390" t="s">
        <v>995</v>
      </c>
      <c r="G4390" t="s">
        <v>476</v>
      </c>
      <c r="H4390" t="str">
        <f>" "</f>
        <v xml:space="preserve"> </v>
      </c>
      <c r="J4390">
        <v>2321027819</v>
      </c>
      <c r="K4390">
        <v>6948517828</v>
      </c>
      <c r="N4390" t="s">
        <v>146</v>
      </c>
      <c r="O4390" t="s">
        <v>147</v>
      </c>
      <c r="R4390" t="s">
        <v>57</v>
      </c>
      <c r="S4390">
        <v>8</v>
      </c>
      <c r="T4390">
        <v>599</v>
      </c>
      <c r="U4390" s="1">
        <v>39310</v>
      </c>
      <c r="V4390" t="s">
        <v>6729</v>
      </c>
      <c r="W4390" t="s">
        <v>6730</v>
      </c>
      <c r="X4390" t="s">
        <v>58</v>
      </c>
      <c r="Y4390">
        <v>20</v>
      </c>
      <c r="Z4390" t="s">
        <v>59</v>
      </c>
      <c r="AA4390" t="s">
        <v>59</v>
      </c>
      <c r="AB4390" t="s">
        <v>59</v>
      </c>
      <c r="AC4390" t="s">
        <v>59</v>
      </c>
      <c r="AD4390" t="s">
        <v>59</v>
      </c>
      <c r="AF4390" s="1">
        <v>39328</v>
      </c>
      <c r="AG4390" t="s">
        <v>148</v>
      </c>
      <c r="AH4390" t="s">
        <v>149</v>
      </c>
      <c r="AI4390" t="str">
        <f>"5062010"</f>
        <v>5062010</v>
      </c>
      <c r="AJ4390" t="s">
        <v>6783</v>
      </c>
      <c r="AK4390">
        <v>2821031620</v>
      </c>
      <c r="AL4390" t="s">
        <v>6784</v>
      </c>
      <c r="AM4390" t="s">
        <v>88</v>
      </c>
      <c r="AN4390" t="s">
        <v>88</v>
      </c>
      <c r="AO4390" t="s">
        <v>6785</v>
      </c>
      <c r="AP4390" t="s">
        <v>6786</v>
      </c>
      <c r="AQ4390">
        <v>1</v>
      </c>
      <c r="AR4390" t="s">
        <v>6729</v>
      </c>
      <c r="AS4390" t="s">
        <v>6730</v>
      </c>
      <c r="AT4390" t="s">
        <v>58</v>
      </c>
      <c r="AU4390" t="s">
        <v>68</v>
      </c>
      <c r="AV4390" t="s">
        <v>69</v>
      </c>
      <c r="AW4390" s="1">
        <v>27326</v>
      </c>
      <c r="AX4390">
        <v>2</v>
      </c>
    </row>
    <row r="4391" spans="1:50">
      <c r="A4391">
        <v>147964</v>
      </c>
      <c r="B4391" t="str">
        <f>"027500694"</f>
        <v>027500694</v>
      </c>
      <c r="C4391" t="s">
        <v>105</v>
      </c>
      <c r="D4391" t="s">
        <v>8103</v>
      </c>
      <c r="E4391" t="s">
        <v>309</v>
      </c>
      <c r="F4391" t="s">
        <v>459</v>
      </c>
      <c r="G4391" t="s">
        <v>787</v>
      </c>
      <c r="H4391" t="str">
        <f>" "</f>
        <v xml:space="preserve"> </v>
      </c>
      <c r="N4391" t="s">
        <v>176</v>
      </c>
      <c r="O4391" t="s">
        <v>177</v>
      </c>
      <c r="R4391" t="s">
        <v>57</v>
      </c>
      <c r="S4391">
        <v>17</v>
      </c>
      <c r="T4391">
        <v>237</v>
      </c>
      <c r="U4391" s="1">
        <v>31293</v>
      </c>
      <c r="V4391" t="s">
        <v>6729</v>
      </c>
      <c r="W4391" t="s">
        <v>6730</v>
      </c>
      <c r="X4391" t="s">
        <v>58</v>
      </c>
      <c r="Y4391">
        <v>18</v>
      </c>
      <c r="Z4391" t="s">
        <v>59</v>
      </c>
      <c r="AA4391" t="s">
        <v>59</v>
      </c>
      <c r="AB4391" t="s">
        <v>59</v>
      </c>
      <c r="AC4391" t="s">
        <v>59</v>
      </c>
      <c r="AD4391" t="s">
        <v>59</v>
      </c>
      <c r="AF4391" s="1">
        <v>31307</v>
      </c>
      <c r="AG4391" t="s">
        <v>148</v>
      </c>
      <c r="AH4391" t="s">
        <v>149</v>
      </c>
      <c r="AI4391" t="str">
        <f>"5061010"</f>
        <v>5061010</v>
      </c>
      <c r="AJ4391" t="s">
        <v>6746</v>
      </c>
      <c r="AK4391">
        <v>2821081530</v>
      </c>
      <c r="AL4391" t="s">
        <v>6747</v>
      </c>
      <c r="AM4391" t="s">
        <v>88</v>
      </c>
      <c r="AN4391" t="s">
        <v>88</v>
      </c>
      <c r="AO4391" t="s">
        <v>6748</v>
      </c>
      <c r="AP4391" t="s">
        <v>6748</v>
      </c>
      <c r="AQ4391">
        <v>1</v>
      </c>
      <c r="AR4391" t="s">
        <v>6729</v>
      </c>
      <c r="AS4391" t="s">
        <v>6730</v>
      </c>
      <c r="AT4391" t="s">
        <v>58</v>
      </c>
      <c r="AU4391" t="s">
        <v>68</v>
      </c>
      <c r="AV4391" t="s">
        <v>357</v>
      </c>
      <c r="AW4391" s="1">
        <v>21891</v>
      </c>
      <c r="AX4391">
        <v>2</v>
      </c>
    </row>
    <row r="4392" spans="1:50">
      <c r="A4392">
        <v>188716</v>
      </c>
      <c r="B4392" t="str">
        <f>"101575042"</f>
        <v>101575042</v>
      </c>
      <c r="C4392" t="s">
        <v>50</v>
      </c>
      <c r="D4392" t="s">
        <v>8104</v>
      </c>
      <c r="E4392" t="s">
        <v>263</v>
      </c>
      <c r="F4392" t="s">
        <v>315</v>
      </c>
      <c r="G4392" t="s">
        <v>1644</v>
      </c>
      <c r="H4392" t="str">
        <f>"ΔΙΓΕΝΗ ΑΚΡΙΤΑ 6 ΠΑΛΙΟ ΝΟΣΟΚΟΜΕΙΟ"</f>
        <v>ΔΙΓΕΝΗ ΑΚΡΙΤΑ 6 ΠΑΛΙΟ ΝΟΣΟΚΟΜΕΙΟ</v>
      </c>
      <c r="I4392">
        <v>73100</v>
      </c>
      <c r="J4392">
        <v>2821027954</v>
      </c>
      <c r="K4392">
        <v>6945155078</v>
      </c>
      <c r="M4392" t="s">
        <v>8105</v>
      </c>
      <c r="N4392" t="s">
        <v>1351</v>
      </c>
      <c r="O4392" t="s">
        <v>1352</v>
      </c>
      <c r="R4392" t="s">
        <v>57</v>
      </c>
      <c r="S4392">
        <v>15</v>
      </c>
      <c r="T4392">
        <v>310</v>
      </c>
      <c r="U4392" s="1">
        <v>36833</v>
      </c>
      <c r="V4392" t="s">
        <v>6729</v>
      </c>
      <c r="W4392" t="s">
        <v>6730</v>
      </c>
      <c r="X4392" t="s">
        <v>58</v>
      </c>
      <c r="Y4392">
        <v>20</v>
      </c>
      <c r="Z4392" t="s">
        <v>59</v>
      </c>
      <c r="AA4392" t="s">
        <v>59</v>
      </c>
      <c r="AB4392" t="s">
        <v>59</v>
      </c>
      <c r="AC4392" t="s">
        <v>59</v>
      </c>
      <c r="AD4392" t="s">
        <v>59</v>
      </c>
      <c r="AF4392" s="1">
        <v>36839</v>
      </c>
      <c r="AG4392" t="s">
        <v>137</v>
      </c>
      <c r="AH4392" t="s">
        <v>138</v>
      </c>
      <c r="AI4392" t="str">
        <f>"5040080"</f>
        <v>5040080</v>
      </c>
      <c r="AJ4392" t="s">
        <v>6753</v>
      </c>
      <c r="AK4392">
        <v>2821093155</v>
      </c>
      <c r="AL4392" t="s">
        <v>6754</v>
      </c>
      <c r="AM4392" t="s">
        <v>88</v>
      </c>
      <c r="AN4392" t="s">
        <v>88</v>
      </c>
      <c r="AO4392" t="s">
        <v>6733</v>
      </c>
      <c r="AP4392" t="s">
        <v>6755</v>
      </c>
      <c r="AQ4392">
        <v>1</v>
      </c>
      <c r="AR4392" t="s">
        <v>6729</v>
      </c>
      <c r="AS4392" t="s">
        <v>6730</v>
      </c>
      <c r="AT4392" t="s">
        <v>58</v>
      </c>
      <c r="AU4392" t="s">
        <v>68</v>
      </c>
      <c r="AV4392" t="s">
        <v>69</v>
      </c>
      <c r="AW4392" s="1">
        <v>23753</v>
      </c>
      <c r="AX4392">
        <v>2</v>
      </c>
    </row>
    <row r="4393" spans="1:50">
      <c r="A4393">
        <v>209683</v>
      </c>
      <c r="B4393" t="str">
        <f>"109108968"</f>
        <v>109108968</v>
      </c>
      <c r="C4393" t="s">
        <v>50</v>
      </c>
      <c r="D4393" t="s">
        <v>8106</v>
      </c>
      <c r="E4393" t="s">
        <v>73</v>
      </c>
      <c r="F4393" t="s">
        <v>564</v>
      </c>
      <c r="G4393" t="s">
        <v>414</v>
      </c>
      <c r="H4393" t="str">
        <f>"Γιακουμάκηδων 1 Δαράτσος"</f>
        <v>Γιακουμάκηδων 1 Δαράτσος</v>
      </c>
      <c r="I4393">
        <v>73100</v>
      </c>
      <c r="J4393">
        <v>2821034477</v>
      </c>
      <c r="K4393">
        <v>6938007615</v>
      </c>
      <c r="L4393">
        <v>2298074184</v>
      </c>
      <c r="N4393" t="s">
        <v>146</v>
      </c>
      <c r="O4393" t="s">
        <v>147</v>
      </c>
      <c r="R4393" t="s">
        <v>57</v>
      </c>
      <c r="S4393">
        <v>9</v>
      </c>
      <c r="T4393" t="s">
        <v>5990</v>
      </c>
      <c r="U4393" s="1">
        <v>38607</v>
      </c>
      <c r="V4393" t="s">
        <v>6729</v>
      </c>
      <c r="W4393" t="s">
        <v>6730</v>
      </c>
      <c r="X4393" t="s">
        <v>58</v>
      </c>
      <c r="Y4393">
        <v>20</v>
      </c>
      <c r="Z4393" t="s">
        <v>59</v>
      </c>
      <c r="AA4393" t="s">
        <v>59</v>
      </c>
      <c r="AB4393" t="s">
        <v>59</v>
      </c>
      <c r="AC4393" t="s">
        <v>59</v>
      </c>
      <c r="AD4393" t="s">
        <v>59</v>
      </c>
      <c r="AF4393" s="1">
        <v>38607</v>
      </c>
      <c r="AG4393" t="s">
        <v>148</v>
      </c>
      <c r="AH4393" t="s">
        <v>149</v>
      </c>
      <c r="AI4393" t="str">
        <f>"5056010"</f>
        <v>5056010</v>
      </c>
      <c r="AJ4393" t="s">
        <v>6762</v>
      </c>
      <c r="AK4393">
        <v>2824031210</v>
      </c>
      <c r="AL4393" t="s">
        <v>6763</v>
      </c>
      <c r="AM4393" t="s">
        <v>88</v>
      </c>
      <c r="AN4393" t="s">
        <v>6764</v>
      </c>
      <c r="AO4393" t="s">
        <v>6765</v>
      </c>
      <c r="AP4393" t="s">
        <v>6765</v>
      </c>
      <c r="AQ4393">
        <v>1</v>
      </c>
      <c r="AR4393" t="s">
        <v>6729</v>
      </c>
      <c r="AS4393" t="s">
        <v>6730</v>
      </c>
      <c r="AT4393" t="s">
        <v>58</v>
      </c>
      <c r="AU4393" t="s">
        <v>68</v>
      </c>
      <c r="AV4393" t="s">
        <v>69</v>
      </c>
      <c r="AW4393" s="1">
        <v>28986</v>
      </c>
      <c r="AX4393">
        <v>2</v>
      </c>
    </row>
    <row r="4394" spans="1:50">
      <c r="A4394">
        <v>223843</v>
      </c>
      <c r="B4394" t="str">
        <f>"119892209"</f>
        <v>119892209</v>
      </c>
      <c r="C4394" t="s">
        <v>105</v>
      </c>
      <c r="D4394" t="s">
        <v>8107</v>
      </c>
      <c r="E4394" t="s">
        <v>315</v>
      </c>
      <c r="F4394" t="s">
        <v>1316</v>
      </c>
      <c r="G4394" t="s">
        <v>155</v>
      </c>
      <c r="H4394" t="str">
        <f>"ΘΗΣΕΩΣ 96 ΘΕΣΣΑΛΟΝΙΚΗ"</f>
        <v>ΘΗΣΕΩΣ 96 ΘΕΣΣΑΛΟΝΙΚΗ</v>
      </c>
      <c r="I4394">
        <v>56123</v>
      </c>
      <c r="J4394">
        <v>2286061286</v>
      </c>
      <c r="K4394">
        <v>6946384603</v>
      </c>
      <c r="M4394" t="s">
        <v>8108</v>
      </c>
      <c r="N4394" t="s">
        <v>1647</v>
      </c>
      <c r="O4394" t="s">
        <v>1648</v>
      </c>
      <c r="R4394" t="s">
        <v>57</v>
      </c>
      <c r="S4394">
        <v>7</v>
      </c>
      <c r="T4394">
        <v>775</v>
      </c>
      <c r="U4394" s="1">
        <v>39680</v>
      </c>
      <c r="V4394" t="s">
        <v>6729</v>
      </c>
      <c r="W4394" t="s">
        <v>6730</v>
      </c>
      <c r="X4394" t="s">
        <v>58</v>
      </c>
      <c r="Y4394">
        <v>21</v>
      </c>
      <c r="Z4394" t="s">
        <v>59</v>
      </c>
      <c r="AA4394" t="s">
        <v>59</v>
      </c>
      <c r="AB4394" t="s">
        <v>59</v>
      </c>
      <c r="AC4394" t="s">
        <v>59</v>
      </c>
      <c r="AD4394" t="s">
        <v>59</v>
      </c>
      <c r="AF4394" s="1">
        <v>39682</v>
      </c>
      <c r="AG4394" t="s">
        <v>148</v>
      </c>
      <c r="AH4394" t="s">
        <v>149</v>
      </c>
      <c r="AI4394" t="str">
        <f>"5051040"</f>
        <v>5051040</v>
      </c>
      <c r="AJ4394" t="s">
        <v>6811</v>
      </c>
      <c r="AK4394">
        <v>2821088007</v>
      </c>
      <c r="AL4394" t="s">
        <v>6812</v>
      </c>
      <c r="AM4394" t="s">
        <v>88</v>
      </c>
      <c r="AN4394" t="s">
        <v>88</v>
      </c>
      <c r="AO4394" t="s">
        <v>88</v>
      </c>
      <c r="AP4394" t="s">
        <v>88</v>
      </c>
      <c r="AQ4394">
        <v>1</v>
      </c>
      <c r="AR4394" t="s">
        <v>6729</v>
      </c>
      <c r="AS4394" t="s">
        <v>6730</v>
      </c>
      <c r="AT4394" t="s">
        <v>58</v>
      </c>
      <c r="AU4394" t="s">
        <v>68</v>
      </c>
      <c r="AV4394" t="s">
        <v>132</v>
      </c>
      <c r="AW4394" s="1">
        <v>29472</v>
      </c>
      <c r="AX4394">
        <v>2</v>
      </c>
    </row>
    <row r="4395" spans="1:50">
      <c r="A4395">
        <v>222498</v>
      </c>
      <c r="B4395" t="str">
        <f>"101550060"</f>
        <v>101550060</v>
      </c>
      <c r="C4395" t="s">
        <v>50</v>
      </c>
      <c r="D4395" t="s">
        <v>8109</v>
      </c>
      <c r="E4395" t="s">
        <v>112</v>
      </c>
      <c r="F4395" t="s">
        <v>8110</v>
      </c>
      <c r="G4395" t="s">
        <v>52</v>
      </c>
      <c r="H4395" t="str">
        <f>"ΕΜΜ. ΚΑΤΣΙΓΑΡΗ 10 ΧΑΝΙΑ"</f>
        <v>ΕΜΜ. ΚΑΤΣΙΓΑΡΗ 10 ΧΑΝΙΑ</v>
      </c>
      <c r="I4395">
        <v>73134</v>
      </c>
      <c r="J4395">
        <v>2821052219</v>
      </c>
      <c r="K4395">
        <v>6973613260</v>
      </c>
      <c r="M4395" t="s">
        <v>8111</v>
      </c>
      <c r="N4395" t="s">
        <v>146</v>
      </c>
      <c r="O4395" t="s">
        <v>147</v>
      </c>
      <c r="R4395" t="s">
        <v>57</v>
      </c>
      <c r="S4395">
        <v>5</v>
      </c>
      <c r="T4395">
        <v>775</v>
      </c>
      <c r="U4395" s="1">
        <v>39680</v>
      </c>
      <c r="V4395" t="s">
        <v>6729</v>
      </c>
      <c r="W4395" t="s">
        <v>6730</v>
      </c>
      <c r="X4395" t="s">
        <v>58</v>
      </c>
      <c r="Y4395">
        <v>21</v>
      </c>
      <c r="Z4395" t="s">
        <v>59</v>
      </c>
      <c r="AA4395" t="s">
        <v>59</v>
      </c>
      <c r="AB4395" t="s">
        <v>59</v>
      </c>
      <c r="AC4395" t="s">
        <v>59</v>
      </c>
      <c r="AD4395" t="s">
        <v>59</v>
      </c>
      <c r="AF4395" s="1">
        <v>39681</v>
      </c>
      <c r="AG4395" t="s">
        <v>125</v>
      </c>
      <c r="AH4395" t="s">
        <v>126</v>
      </c>
      <c r="AI4395" t="str">
        <f>"5003010"</f>
        <v>5003010</v>
      </c>
      <c r="AJ4395" t="s">
        <v>7446</v>
      </c>
      <c r="AK4395">
        <v>2823022716</v>
      </c>
      <c r="AL4395" t="s">
        <v>7447</v>
      </c>
      <c r="AM4395" t="s">
        <v>88</v>
      </c>
      <c r="AN4395" t="s">
        <v>6824</v>
      </c>
      <c r="AO4395" t="s">
        <v>6825</v>
      </c>
      <c r="AP4395" t="s">
        <v>6826</v>
      </c>
      <c r="AQ4395">
        <v>1</v>
      </c>
      <c r="AR4395" t="s">
        <v>6729</v>
      </c>
      <c r="AS4395" t="s">
        <v>6730</v>
      </c>
      <c r="AT4395" t="s">
        <v>58</v>
      </c>
      <c r="AU4395" t="s">
        <v>68</v>
      </c>
      <c r="AV4395" t="s">
        <v>69</v>
      </c>
      <c r="AW4395" s="1">
        <v>27561</v>
      </c>
      <c r="AX4395">
        <v>2</v>
      </c>
    </row>
    <row r="4396" spans="1:50">
      <c r="A4396">
        <v>210613</v>
      </c>
      <c r="B4396" t="str">
        <f>"127713783"</f>
        <v>127713783</v>
      </c>
      <c r="C4396" t="s">
        <v>50</v>
      </c>
      <c r="D4396" t="s">
        <v>8112</v>
      </c>
      <c r="E4396" t="s">
        <v>155</v>
      </c>
      <c r="F4396" t="s">
        <v>84</v>
      </c>
      <c r="G4396" t="s">
        <v>250</v>
      </c>
      <c r="H4396" t="str">
        <f>" "</f>
        <v xml:space="preserve"> </v>
      </c>
      <c r="J4396">
        <v>2821028588</v>
      </c>
      <c r="K4396">
        <v>6972565392</v>
      </c>
      <c r="M4396" t="s">
        <v>8113</v>
      </c>
      <c r="N4396" t="s">
        <v>306</v>
      </c>
      <c r="O4396" t="s">
        <v>307</v>
      </c>
      <c r="R4396" t="s">
        <v>57</v>
      </c>
      <c r="S4396">
        <v>8</v>
      </c>
      <c r="T4396">
        <v>249</v>
      </c>
      <c r="U4396" s="1">
        <v>38617</v>
      </c>
      <c r="V4396" t="s">
        <v>6729</v>
      </c>
      <c r="W4396" t="s">
        <v>6730</v>
      </c>
      <c r="X4396" t="s">
        <v>58</v>
      </c>
      <c r="Y4396">
        <v>20</v>
      </c>
      <c r="Z4396" t="s">
        <v>59</v>
      </c>
      <c r="AA4396" t="s">
        <v>59</v>
      </c>
      <c r="AB4396" t="s">
        <v>59</v>
      </c>
      <c r="AC4396" t="s">
        <v>59</v>
      </c>
      <c r="AD4396" t="s">
        <v>59</v>
      </c>
      <c r="AF4396" s="1">
        <v>38621</v>
      </c>
      <c r="AG4396" t="s">
        <v>125</v>
      </c>
      <c r="AH4396" t="s">
        <v>126</v>
      </c>
      <c r="AI4396" t="str">
        <f>"5004010"</f>
        <v>5004010</v>
      </c>
      <c r="AJ4396" t="s">
        <v>7166</v>
      </c>
      <c r="AK4396">
        <v>2822022067</v>
      </c>
      <c r="AL4396" t="s">
        <v>7167</v>
      </c>
      <c r="AM4396" t="s">
        <v>88</v>
      </c>
      <c r="AN4396" t="s">
        <v>6744</v>
      </c>
      <c r="AO4396" t="s">
        <v>6744</v>
      </c>
      <c r="AP4396" t="s">
        <v>6744</v>
      </c>
      <c r="AQ4396">
        <v>1</v>
      </c>
      <c r="AR4396" t="s">
        <v>6729</v>
      </c>
      <c r="AS4396" t="s">
        <v>6730</v>
      </c>
      <c r="AT4396" t="s">
        <v>58</v>
      </c>
      <c r="AU4396" t="s">
        <v>68</v>
      </c>
      <c r="AV4396" t="s">
        <v>69</v>
      </c>
      <c r="AW4396" s="1">
        <v>28812</v>
      </c>
      <c r="AX4396">
        <v>2</v>
      </c>
    </row>
    <row r="4397" spans="1:50">
      <c r="B4397" t="str">
        <f>"049302744"</f>
        <v>049302744</v>
      </c>
      <c r="C4397" t="s">
        <v>50</v>
      </c>
      <c r="D4397" t="s">
        <v>6380</v>
      </c>
      <c r="E4397" t="s">
        <v>620</v>
      </c>
      <c r="F4397" t="s">
        <v>153</v>
      </c>
      <c r="G4397" t="s">
        <v>250</v>
      </c>
      <c r="H4397" t="str">
        <f>"ΚΙΣΣΑΜΟΣ "</f>
        <v xml:space="preserve">ΚΙΣΣΑΜΟΣ </v>
      </c>
      <c r="I4397">
        <v>73400</v>
      </c>
      <c r="J4397">
        <v>2822024625</v>
      </c>
      <c r="K4397">
        <v>6942931033</v>
      </c>
      <c r="N4397" t="s">
        <v>1116</v>
      </c>
      <c r="O4397" t="s">
        <v>1117</v>
      </c>
      <c r="R4397" t="s">
        <v>159</v>
      </c>
      <c r="S4397">
        <v>2</v>
      </c>
      <c r="T4397" t="s">
        <v>1908</v>
      </c>
      <c r="U4397" s="1">
        <v>43368</v>
      </c>
      <c r="V4397" t="s">
        <v>6729</v>
      </c>
      <c r="W4397" t="s">
        <v>6730</v>
      </c>
      <c r="X4397" t="s">
        <v>58</v>
      </c>
      <c r="Y4397">
        <v>24</v>
      </c>
      <c r="Z4397" t="s">
        <v>59</v>
      </c>
      <c r="AA4397" t="s">
        <v>59</v>
      </c>
      <c r="AB4397" t="s">
        <v>59</v>
      </c>
      <c r="AC4397" t="s">
        <v>59</v>
      </c>
      <c r="AD4397" t="s">
        <v>59</v>
      </c>
      <c r="AF4397" s="1">
        <v>43368</v>
      </c>
      <c r="AG4397" t="s">
        <v>125</v>
      </c>
      <c r="AH4397" t="s">
        <v>294</v>
      </c>
      <c r="AI4397" t="str">
        <f>"5012017"</f>
        <v>5012017</v>
      </c>
      <c r="AJ4397" t="s">
        <v>6859</v>
      </c>
      <c r="AK4397">
        <v>2821088065</v>
      </c>
      <c r="AL4397" t="s">
        <v>6860</v>
      </c>
      <c r="AM4397" t="s">
        <v>88</v>
      </c>
      <c r="AN4397" t="s">
        <v>88</v>
      </c>
      <c r="AO4397" t="s">
        <v>88</v>
      </c>
      <c r="AP4397" t="s">
        <v>88</v>
      </c>
      <c r="AQ4397">
        <v>1</v>
      </c>
      <c r="AR4397" t="s">
        <v>6729</v>
      </c>
      <c r="AS4397" t="s">
        <v>6730</v>
      </c>
      <c r="AT4397" t="s">
        <v>58</v>
      </c>
      <c r="AU4397" t="s">
        <v>164</v>
      </c>
      <c r="AV4397" t="s">
        <v>132</v>
      </c>
      <c r="AW4397" s="1">
        <v>30106</v>
      </c>
      <c r="AX4397">
        <v>2</v>
      </c>
    </row>
    <row r="4398" spans="1:50">
      <c r="A4398">
        <v>228227</v>
      </c>
      <c r="B4398" t="str">
        <f>"034529468"</f>
        <v>034529468</v>
      </c>
      <c r="C4398" t="s">
        <v>50</v>
      </c>
      <c r="D4398" t="s">
        <v>8114</v>
      </c>
      <c r="E4398" t="s">
        <v>109</v>
      </c>
      <c r="F4398" t="s">
        <v>564</v>
      </c>
      <c r="G4398" t="s">
        <v>476</v>
      </c>
      <c r="H4398" t="str">
        <f>"ΤΖΙΦΑΚΗ 4 ΛΕΝΤΑΡΙΑΝΑ"</f>
        <v>ΤΖΙΦΑΚΗ 4 ΛΕΝΤΑΡΙΑΝΑ</v>
      </c>
      <c r="I4398">
        <v>73100</v>
      </c>
      <c r="J4398">
        <v>2821057462</v>
      </c>
      <c r="K4398">
        <v>6980381189</v>
      </c>
      <c r="N4398" t="s">
        <v>257</v>
      </c>
      <c r="O4398" t="s">
        <v>258</v>
      </c>
      <c r="R4398" t="s">
        <v>57</v>
      </c>
      <c r="S4398">
        <v>5</v>
      </c>
      <c r="T4398">
        <v>654</v>
      </c>
      <c r="U4398" s="1">
        <v>40043</v>
      </c>
      <c r="V4398" t="s">
        <v>6729</v>
      </c>
      <c r="W4398" t="s">
        <v>6730</v>
      </c>
      <c r="X4398" t="s">
        <v>58</v>
      </c>
      <c r="Y4398">
        <v>21</v>
      </c>
      <c r="Z4398" t="s">
        <v>59</v>
      </c>
      <c r="AA4398" t="s">
        <v>59</v>
      </c>
      <c r="AB4398" t="s">
        <v>59</v>
      </c>
      <c r="AC4398" t="s">
        <v>59</v>
      </c>
      <c r="AD4398" t="s">
        <v>59</v>
      </c>
      <c r="AF4398" s="1">
        <v>40045</v>
      </c>
      <c r="AG4398" t="s">
        <v>148</v>
      </c>
      <c r="AH4398" t="s">
        <v>149</v>
      </c>
      <c r="AI4398" t="str">
        <f>"5059010"</f>
        <v>5059010</v>
      </c>
      <c r="AJ4398" t="s">
        <v>6883</v>
      </c>
      <c r="AK4398">
        <v>2821077166</v>
      </c>
      <c r="AL4398" t="s">
        <v>6884</v>
      </c>
      <c r="AM4398" t="s">
        <v>88</v>
      </c>
      <c r="AN4398" t="s">
        <v>6764</v>
      </c>
      <c r="AO4398" t="s">
        <v>6885</v>
      </c>
      <c r="AP4398" t="s">
        <v>6886</v>
      </c>
      <c r="AQ4398">
        <v>1</v>
      </c>
      <c r="AR4398" t="s">
        <v>6729</v>
      </c>
      <c r="AS4398" t="s">
        <v>6730</v>
      </c>
      <c r="AT4398" t="s">
        <v>58</v>
      </c>
      <c r="AU4398" t="s">
        <v>68</v>
      </c>
      <c r="AV4398" t="s">
        <v>69</v>
      </c>
      <c r="AW4398" s="1">
        <v>21633</v>
      </c>
      <c r="AX4398">
        <v>2</v>
      </c>
    </row>
    <row r="4399" spans="1:50">
      <c r="A4399">
        <v>194820</v>
      </c>
      <c r="B4399" t="str">
        <f>"074967174"</f>
        <v>074967174</v>
      </c>
      <c r="C4399" t="s">
        <v>50</v>
      </c>
      <c r="D4399" t="s">
        <v>8115</v>
      </c>
      <c r="E4399" t="s">
        <v>109</v>
      </c>
      <c r="F4399" t="s">
        <v>99</v>
      </c>
      <c r="G4399" t="s">
        <v>1644</v>
      </c>
      <c r="H4399" t="str">
        <f>" "</f>
        <v xml:space="preserve"> </v>
      </c>
      <c r="J4399">
        <v>2822031317</v>
      </c>
      <c r="K4399">
        <v>6972866821</v>
      </c>
      <c r="M4399" t="s">
        <v>8116</v>
      </c>
      <c r="N4399" t="s">
        <v>282</v>
      </c>
      <c r="O4399" t="s">
        <v>283</v>
      </c>
      <c r="R4399" t="s">
        <v>57</v>
      </c>
      <c r="S4399">
        <v>11</v>
      </c>
      <c r="T4399">
        <v>193</v>
      </c>
      <c r="U4399" s="1">
        <v>37497</v>
      </c>
      <c r="V4399" t="s">
        <v>6729</v>
      </c>
      <c r="W4399" t="s">
        <v>6730</v>
      </c>
      <c r="X4399" t="s">
        <v>58</v>
      </c>
      <c r="Y4399">
        <v>18</v>
      </c>
      <c r="Z4399" t="s">
        <v>59</v>
      </c>
      <c r="AA4399" t="s">
        <v>59</v>
      </c>
      <c r="AB4399" t="s">
        <v>59</v>
      </c>
      <c r="AC4399" t="s">
        <v>59</v>
      </c>
      <c r="AD4399" t="s">
        <v>59</v>
      </c>
      <c r="AF4399" s="1">
        <v>37502</v>
      </c>
      <c r="AG4399" t="s">
        <v>137</v>
      </c>
      <c r="AH4399" t="s">
        <v>138</v>
      </c>
      <c r="AI4399" t="str">
        <f>"5040090"</f>
        <v>5040090</v>
      </c>
      <c r="AJ4399" t="s">
        <v>6757</v>
      </c>
      <c r="AK4399">
        <v>2822022275</v>
      </c>
      <c r="AL4399" t="s">
        <v>6758</v>
      </c>
      <c r="AM4399" t="s">
        <v>88</v>
      </c>
      <c r="AN4399" t="s">
        <v>6744</v>
      </c>
      <c r="AO4399" t="s">
        <v>6744</v>
      </c>
      <c r="AP4399" t="s">
        <v>6744</v>
      </c>
      <c r="AQ4399">
        <v>1</v>
      </c>
      <c r="AR4399" t="s">
        <v>6729</v>
      </c>
      <c r="AS4399" t="s">
        <v>6730</v>
      </c>
      <c r="AT4399" t="s">
        <v>58</v>
      </c>
      <c r="AU4399" t="s">
        <v>68</v>
      </c>
      <c r="AV4399" t="s">
        <v>69</v>
      </c>
      <c r="AW4399" s="1">
        <v>22001</v>
      </c>
      <c r="AX4399">
        <v>2</v>
      </c>
    </row>
    <row r="4400" spans="1:50">
      <c r="A4400">
        <v>153659</v>
      </c>
      <c r="B4400" t="str">
        <f>"025964966"</f>
        <v>025964966</v>
      </c>
      <c r="C4400" t="s">
        <v>50</v>
      </c>
      <c r="D4400" t="s">
        <v>3299</v>
      </c>
      <c r="E4400" t="s">
        <v>8117</v>
      </c>
      <c r="F4400" t="s">
        <v>154</v>
      </c>
      <c r="G4400" t="s">
        <v>1452</v>
      </c>
      <c r="H4400" t="str">
        <f>"Μαργουνίου 74 XANIA"</f>
        <v>Μαργουνίου 74 XANIA</v>
      </c>
      <c r="I4400">
        <v>73100</v>
      </c>
      <c r="J4400">
        <v>2821070555</v>
      </c>
      <c r="K4400">
        <v>6975714872</v>
      </c>
      <c r="M4400" t="s">
        <v>8118</v>
      </c>
      <c r="N4400" t="s">
        <v>257</v>
      </c>
      <c r="O4400" t="s">
        <v>258</v>
      </c>
      <c r="R4400" t="s">
        <v>57</v>
      </c>
      <c r="S4400">
        <v>15</v>
      </c>
      <c r="T4400">
        <v>139</v>
      </c>
      <c r="U4400" s="1">
        <v>32366</v>
      </c>
      <c r="V4400" t="s">
        <v>6729</v>
      </c>
      <c r="W4400" t="s">
        <v>6730</v>
      </c>
      <c r="X4400" t="s">
        <v>58</v>
      </c>
      <c r="Y4400">
        <v>18</v>
      </c>
      <c r="Z4400" t="s">
        <v>59</v>
      </c>
      <c r="AA4400" t="s">
        <v>59</v>
      </c>
      <c r="AB4400" t="s">
        <v>59</v>
      </c>
      <c r="AC4400" t="s">
        <v>59</v>
      </c>
      <c r="AD4400" t="s">
        <v>59</v>
      </c>
      <c r="AF4400" s="1">
        <v>32391</v>
      </c>
      <c r="AG4400" t="s">
        <v>125</v>
      </c>
      <c r="AH4400" t="s">
        <v>126</v>
      </c>
      <c r="AI4400" t="str">
        <f>"5001040"</f>
        <v>5001040</v>
      </c>
      <c r="AJ4400" t="s">
        <v>7126</v>
      </c>
      <c r="AK4400">
        <v>2821088010</v>
      </c>
      <c r="AM4400" t="s">
        <v>88</v>
      </c>
      <c r="AN4400" t="s">
        <v>88</v>
      </c>
      <c r="AO4400" t="s">
        <v>88</v>
      </c>
      <c r="AP4400" t="s">
        <v>88</v>
      </c>
      <c r="AQ4400">
        <v>1</v>
      </c>
      <c r="AR4400" t="s">
        <v>6729</v>
      </c>
      <c r="AS4400" t="s">
        <v>6730</v>
      </c>
      <c r="AT4400" t="s">
        <v>58</v>
      </c>
      <c r="AU4400" t="s">
        <v>68</v>
      </c>
      <c r="AV4400" t="s">
        <v>69</v>
      </c>
      <c r="AW4400" s="1">
        <v>23031</v>
      </c>
      <c r="AX4400">
        <v>2</v>
      </c>
    </row>
    <row r="4401" spans="1:50">
      <c r="A4401">
        <v>229821</v>
      </c>
      <c r="B4401" t="str">
        <f>"061679544"</f>
        <v>061679544</v>
      </c>
      <c r="C4401" t="s">
        <v>105</v>
      </c>
      <c r="D4401" t="s">
        <v>3302</v>
      </c>
      <c r="E4401" t="s">
        <v>95</v>
      </c>
      <c r="F4401" t="s">
        <v>2632</v>
      </c>
      <c r="G4401" t="s">
        <v>1189</v>
      </c>
      <c r="H4401" t="str">
        <f>"ΣΚΛΗΡΟΥ 1 "</f>
        <v xml:space="preserve">ΣΚΛΗΡΟΥ 1 </v>
      </c>
      <c r="I4401">
        <v>73100</v>
      </c>
      <c r="J4401">
        <v>2821301786</v>
      </c>
      <c r="K4401">
        <v>6974428149</v>
      </c>
      <c r="N4401" t="s">
        <v>168</v>
      </c>
      <c r="O4401" t="s">
        <v>169</v>
      </c>
      <c r="R4401" t="s">
        <v>57</v>
      </c>
      <c r="S4401">
        <v>5</v>
      </c>
      <c r="T4401">
        <v>41</v>
      </c>
      <c r="U4401" s="1">
        <v>40169</v>
      </c>
      <c r="V4401" t="s">
        <v>6729</v>
      </c>
      <c r="W4401" t="s">
        <v>6730</v>
      </c>
      <c r="X4401" t="s">
        <v>58</v>
      </c>
      <c r="Y4401">
        <v>21</v>
      </c>
      <c r="Z4401" t="s">
        <v>59</v>
      </c>
      <c r="AA4401" t="s">
        <v>59</v>
      </c>
      <c r="AB4401" t="s">
        <v>59</v>
      </c>
      <c r="AC4401" t="s">
        <v>59</v>
      </c>
      <c r="AD4401" t="s">
        <v>59</v>
      </c>
      <c r="AF4401" s="1">
        <v>40170</v>
      </c>
      <c r="AG4401" t="s">
        <v>137</v>
      </c>
      <c r="AH4401" t="s">
        <v>469</v>
      </c>
      <c r="AI4401" t="str">
        <f>"5040055"</f>
        <v>5040055</v>
      </c>
      <c r="AJ4401" t="s">
        <v>6940</v>
      </c>
      <c r="AK4401">
        <v>2821036404</v>
      </c>
      <c r="AL4401" t="s">
        <v>6941</v>
      </c>
      <c r="AM4401" t="s">
        <v>88</v>
      </c>
      <c r="AN4401" t="s">
        <v>88</v>
      </c>
      <c r="AO4401" t="s">
        <v>88</v>
      </c>
      <c r="AP4401" t="s">
        <v>88</v>
      </c>
      <c r="AQ4401">
        <v>1</v>
      </c>
      <c r="AR4401" t="s">
        <v>6729</v>
      </c>
      <c r="AS4401" t="s">
        <v>6730</v>
      </c>
      <c r="AT4401" t="s">
        <v>58</v>
      </c>
      <c r="AU4401" t="s">
        <v>68</v>
      </c>
      <c r="AV4401" t="s">
        <v>69</v>
      </c>
      <c r="AW4401" s="1">
        <v>25816</v>
      </c>
      <c r="AX4401">
        <v>2</v>
      </c>
    </row>
    <row r="4402" spans="1:50">
      <c r="A4402">
        <v>183547</v>
      </c>
      <c r="B4402" t="str">
        <f>"059886697"</f>
        <v>059886697</v>
      </c>
      <c r="C4402" t="s">
        <v>50</v>
      </c>
      <c r="D4402" t="s">
        <v>8119</v>
      </c>
      <c r="E4402" t="s">
        <v>83</v>
      </c>
      <c r="F4402" t="s">
        <v>920</v>
      </c>
      <c r="G4402" t="s">
        <v>411</v>
      </c>
      <c r="H4402" t="str">
        <f>" "</f>
        <v xml:space="preserve"> </v>
      </c>
      <c r="N4402" t="s">
        <v>146</v>
      </c>
      <c r="O4402" t="s">
        <v>147</v>
      </c>
      <c r="R4402" t="s">
        <v>57</v>
      </c>
      <c r="S4402">
        <v>9</v>
      </c>
      <c r="T4402">
        <v>177</v>
      </c>
      <c r="U4402" s="1">
        <v>36403</v>
      </c>
      <c r="V4402" t="s">
        <v>6729</v>
      </c>
      <c r="W4402" t="s">
        <v>6730</v>
      </c>
      <c r="X4402" t="s">
        <v>58</v>
      </c>
      <c r="Y4402">
        <v>20</v>
      </c>
      <c r="Z4402" t="s">
        <v>59</v>
      </c>
      <c r="AA4402" t="s">
        <v>59</v>
      </c>
      <c r="AB4402" t="s">
        <v>59</v>
      </c>
      <c r="AC4402" t="s">
        <v>59</v>
      </c>
      <c r="AD4402" t="s">
        <v>59</v>
      </c>
      <c r="AF4402" s="1">
        <v>36404</v>
      </c>
      <c r="AG4402" t="s">
        <v>148</v>
      </c>
      <c r="AH4402" t="s">
        <v>149</v>
      </c>
      <c r="AI4402" t="str">
        <f>"5061010"</f>
        <v>5061010</v>
      </c>
      <c r="AJ4402" t="s">
        <v>6746</v>
      </c>
      <c r="AK4402">
        <v>2821081530</v>
      </c>
      <c r="AL4402" t="s">
        <v>6747</v>
      </c>
      <c r="AM4402" t="s">
        <v>88</v>
      </c>
      <c r="AN4402" t="s">
        <v>88</v>
      </c>
      <c r="AO4402" t="s">
        <v>6748</v>
      </c>
      <c r="AP4402" t="s">
        <v>6748</v>
      </c>
      <c r="AQ4402">
        <v>1</v>
      </c>
      <c r="AR4402" t="s">
        <v>6729</v>
      </c>
      <c r="AS4402" t="s">
        <v>6730</v>
      </c>
      <c r="AT4402" t="s">
        <v>58</v>
      </c>
      <c r="AU4402" t="s">
        <v>68</v>
      </c>
      <c r="AV4402" t="s">
        <v>69</v>
      </c>
      <c r="AW4402" s="1">
        <v>26371</v>
      </c>
      <c r="AX4402">
        <v>2</v>
      </c>
    </row>
    <row r="4403" spans="1:50">
      <c r="A4403">
        <v>189517</v>
      </c>
      <c r="B4403" t="str">
        <f>"051149297"</f>
        <v>051149297</v>
      </c>
      <c r="C4403" t="s">
        <v>50</v>
      </c>
      <c r="D4403" t="s">
        <v>8120</v>
      </c>
      <c r="E4403" t="s">
        <v>155</v>
      </c>
      <c r="F4403" t="s">
        <v>153</v>
      </c>
      <c r="G4403" t="s">
        <v>250</v>
      </c>
      <c r="H4403" t="str">
        <f>"ΚΑΠΟΔΙΣΤΡΙΟΥ 46 ΧΑΝΙΩΝ"</f>
        <v>ΚΑΠΟΔΙΣΤΡΙΟΥ 46 ΧΑΝΙΩΝ</v>
      </c>
      <c r="I4403">
        <v>73132</v>
      </c>
      <c r="J4403">
        <v>2821052931</v>
      </c>
      <c r="K4403">
        <v>6972000248</v>
      </c>
      <c r="M4403" t="s">
        <v>8121</v>
      </c>
      <c r="N4403" t="s">
        <v>146</v>
      </c>
      <c r="O4403" t="s">
        <v>147</v>
      </c>
      <c r="R4403" t="s">
        <v>57</v>
      </c>
      <c r="S4403">
        <v>9</v>
      </c>
      <c r="T4403">
        <v>219</v>
      </c>
      <c r="U4403" s="1">
        <v>37134</v>
      </c>
      <c r="V4403" t="s">
        <v>6729</v>
      </c>
      <c r="W4403" t="s">
        <v>6730</v>
      </c>
      <c r="X4403" t="s">
        <v>58</v>
      </c>
      <c r="Y4403">
        <v>20</v>
      </c>
      <c r="Z4403" t="s">
        <v>59</v>
      </c>
      <c r="AA4403" t="s">
        <v>59</v>
      </c>
      <c r="AB4403" t="s">
        <v>59</v>
      </c>
      <c r="AC4403" t="s">
        <v>59</v>
      </c>
      <c r="AD4403" t="s">
        <v>59</v>
      </c>
      <c r="AF4403" s="1">
        <v>37141</v>
      </c>
      <c r="AG4403" t="s">
        <v>125</v>
      </c>
      <c r="AH4403" t="s">
        <v>126</v>
      </c>
      <c r="AI4403" t="str">
        <f>"5001060"</f>
        <v>5001060</v>
      </c>
      <c r="AJ4403" t="s">
        <v>6914</v>
      </c>
      <c r="AK4403">
        <v>2821091763</v>
      </c>
      <c r="AL4403" t="s">
        <v>6915</v>
      </c>
      <c r="AM4403" t="s">
        <v>88</v>
      </c>
      <c r="AN4403" t="s">
        <v>88</v>
      </c>
      <c r="AO4403" t="s">
        <v>88</v>
      </c>
      <c r="AP4403" t="s">
        <v>88</v>
      </c>
      <c r="AQ4403">
        <v>1</v>
      </c>
      <c r="AR4403" t="s">
        <v>6729</v>
      </c>
      <c r="AS4403" t="s">
        <v>6730</v>
      </c>
      <c r="AT4403" t="s">
        <v>58</v>
      </c>
      <c r="AU4403" t="s">
        <v>68</v>
      </c>
      <c r="AV4403" t="s">
        <v>69</v>
      </c>
      <c r="AW4403" s="1">
        <v>24767</v>
      </c>
      <c r="AX4403">
        <v>2</v>
      </c>
    </row>
    <row r="4404" spans="1:50">
      <c r="A4404">
        <v>214750</v>
      </c>
      <c r="B4404" t="str">
        <f>"055056521"</f>
        <v>055056521</v>
      </c>
      <c r="C4404" t="s">
        <v>50</v>
      </c>
      <c r="D4404" t="s">
        <v>5280</v>
      </c>
      <c r="E4404" t="s">
        <v>181</v>
      </c>
      <c r="F4404" t="s">
        <v>72</v>
      </c>
      <c r="G4404" t="s">
        <v>112</v>
      </c>
      <c r="H4404" t="str">
        <f>"ΣΗΦΑΚΑ 52 ΧΑΝΙΑ"</f>
        <v>ΣΗΦΑΚΑ 52 ΧΑΝΙΑ</v>
      </c>
      <c r="I4404">
        <v>73132</v>
      </c>
      <c r="J4404">
        <v>2310222774</v>
      </c>
      <c r="K4404">
        <v>6974196774</v>
      </c>
      <c r="M4404" t="s">
        <v>8122</v>
      </c>
      <c r="N4404" t="s">
        <v>189</v>
      </c>
      <c r="O4404" t="s">
        <v>190</v>
      </c>
      <c r="R4404" t="s">
        <v>57</v>
      </c>
      <c r="S4404">
        <v>6</v>
      </c>
      <c r="T4404">
        <v>231</v>
      </c>
      <c r="U4404" s="1">
        <v>38960</v>
      </c>
      <c r="V4404" t="s">
        <v>6729</v>
      </c>
      <c r="W4404" t="s">
        <v>6730</v>
      </c>
      <c r="X4404" t="s">
        <v>58</v>
      </c>
      <c r="Y4404">
        <v>20</v>
      </c>
      <c r="Z4404" t="s">
        <v>59</v>
      </c>
      <c r="AA4404" t="s">
        <v>59</v>
      </c>
      <c r="AB4404" t="s">
        <v>59</v>
      </c>
      <c r="AC4404" t="s">
        <v>59</v>
      </c>
      <c r="AD4404" t="s">
        <v>59</v>
      </c>
      <c r="AF4404" s="1">
        <v>38964</v>
      </c>
      <c r="AG4404" t="s">
        <v>148</v>
      </c>
      <c r="AH4404" t="s">
        <v>149</v>
      </c>
      <c r="AI4404" t="str">
        <f>"5051040"</f>
        <v>5051040</v>
      </c>
      <c r="AJ4404" t="s">
        <v>6811</v>
      </c>
      <c r="AK4404">
        <v>2821088007</v>
      </c>
      <c r="AL4404" t="s">
        <v>6812</v>
      </c>
      <c r="AM4404" t="s">
        <v>88</v>
      </c>
      <c r="AN4404" t="s">
        <v>88</v>
      </c>
      <c r="AO4404" t="s">
        <v>88</v>
      </c>
      <c r="AP4404" t="s">
        <v>88</v>
      </c>
      <c r="AQ4404">
        <v>1</v>
      </c>
      <c r="AR4404" t="s">
        <v>6729</v>
      </c>
      <c r="AS4404" t="s">
        <v>6730</v>
      </c>
      <c r="AT4404" t="s">
        <v>58</v>
      </c>
      <c r="AU4404" t="s">
        <v>68</v>
      </c>
      <c r="AV4404" t="s">
        <v>69</v>
      </c>
      <c r="AW4404" s="1">
        <v>27170</v>
      </c>
      <c r="AX4404">
        <v>2</v>
      </c>
    </row>
    <row r="4405" spans="1:50">
      <c r="A4405">
        <v>216845</v>
      </c>
      <c r="B4405" t="str">
        <f>"059223656"</f>
        <v>059223656</v>
      </c>
      <c r="C4405" t="s">
        <v>105</v>
      </c>
      <c r="D4405" t="s">
        <v>8123</v>
      </c>
      <c r="E4405" t="s">
        <v>321</v>
      </c>
      <c r="F4405" t="s">
        <v>776</v>
      </c>
      <c r="G4405" t="s">
        <v>610</v>
      </c>
      <c r="H4405" t="str">
        <f>"Κ.ΜΑΝΟΥ 36 ΑΓΙΟΣ ΙΩΑΝΝΗΣ"</f>
        <v>Κ.ΜΑΝΟΥ 36 ΑΓΙΟΣ ΙΩΑΝΝΗΣ</v>
      </c>
      <c r="I4405">
        <v>73134</v>
      </c>
      <c r="J4405">
        <v>2821050274</v>
      </c>
      <c r="K4405">
        <v>6944560996</v>
      </c>
      <c r="M4405" t="s">
        <v>8124</v>
      </c>
      <c r="N4405" t="s">
        <v>168</v>
      </c>
      <c r="O4405" t="s">
        <v>169</v>
      </c>
      <c r="R4405" t="s">
        <v>57</v>
      </c>
      <c r="S4405">
        <v>9</v>
      </c>
      <c r="T4405">
        <v>298</v>
      </c>
      <c r="U4405" s="1">
        <v>38985</v>
      </c>
      <c r="V4405" t="s">
        <v>6729</v>
      </c>
      <c r="W4405" t="s">
        <v>6730</v>
      </c>
      <c r="X4405" t="s">
        <v>58</v>
      </c>
      <c r="Y4405">
        <v>20</v>
      </c>
      <c r="Z4405" t="s">
        <v>59</v>
      </c>
      <c r="AA4405" t="s">
        <v>59</v>
      </c>
      <c r="AB4405" t="s">
        <v>59</v>
      </c>
      <c r="AC4405" t="s">
        <v>59</v>
      </c>
      <c r="AD4405" t="s">
        <v>59</v>
      </c>
      <c r="AF4405" s="1">
        <v>38988</v>
      </c>
      <c r="AG4405" t="s">
        <v>137</v>
      </c>
      <c r="AH4405" t="s">
        <v>138</v>
      </c>
      <c r="AI4405" t="str">
        <f>"5050060"</f>
        <v>5050060</v>
      </c>
      <c r="AJ4405" t="s">
        <v>6801</v>
      </c>
      <c r="AK4405">
        <v>2821091515</v>
      </c>
      <c r="AL4405" t="s">
        <v>6802</v>
      </c>
      <c r="AM4405" t="s">
        <v>88</v>
      </c>
      <c r="AN4405" t="s">
        <v>88</v>
      </c>
      <c r="AO4405" t="s">
        <v>88</v>
      </c>
      <c r="AP4405" t="s">
        <v>88</v>
      </c>
      <c r="AQ4405">
        <v>1</v>
      </c>
      <c r="AR4405" t="s">
        <v>6729</v>
      </c>
      <c r="AS4405" t="s">
        <v>6730</v>
      </c>
      <c r="AT4405" t="s">
        <v>58</v>
      </c>
      <c r="AU4405" t="s">
        <v>68</v>
      </c>
      <c r="AV4405" t="s">
        <v>69</v>
      </c>
      <c r="AW4405" s="1">
        <v>26465</v>
      </c>
      <c r="AX4405">
        <v>2</v>
      </c>
    </row>
    <row r="4406" spans="1:50">
      <c r="B4406" t="str">
        <f>"110897065"</f>
        <v>110897065</v>
      </c>
      <c r="C4406" t="s">
        <v>105</v>
      </c>
      <c r="D4406" t="s">
        <v>8125</v>
      </c>
      <c r="E4406" t="s">
        <v>166</v>
      </c>
      <c r="F4406" t="s">
        <v>106</v>
      </c>
      <c r="G4406" t="s">
        <v>215</v>
      </c>
      <c r="H4406" t="str">
        <f t="shared" ref="H4406:H4411" si="4">" "</f>
        <v xml:space="preserve"> </v>
      </c>
      <c r="K4406">
        <v>6974094376</v>
      </c>
      <c r="M4406" t="s">
        <v>8126</v>
      </c>
      <c r="N4406" t="s">
        <v>246</v>
      </c>
      <c r="O4406" t="s">
        <v>247</v>
      </c>
      <c r="R4406" t="s">
        <v>121</v>
      </c>
      <c r="S4406">
        <v>1</v>
      </c>
      <c r="T4406" t="s">
        <v>574</v>
      </c>
      <c r="U4406" s="1">
        <v>43378</v>
      </c>
      <c r="V4406" t="s">
        <v>6729</v>
      </c>
      <c r="W4406" t="s">
        <v>6730</v>
      </c>
      <c r="X4406" t="s">
        <v>58</v>
      </c>
      <c r="Y4406">
        <v>23</v>
      </c>
      <c r="Z4406" t="s">
        <v>59</v>
      </c>
      <c r="AA4406" t="s">
        <v>59</v>
      </c>
      <c r="AB4406" t="s">
        <v>59</v>
      </c>
      <c r="AD4406" t="s">
        <v>59</v>
      </c>
      <c r="AF4406" s="1">
        <v>43381</v>
      </c>
      <c r="AG4406" t="s">
        <v>148</v>
      </c>
      <c r="AH4406" t="s">
        <v>149</v>
      </c>
      <c r="AI4406" t="str">
        <f>"5061010"</f>
        <v>5061010</v>
      </c>
      <c r="AJ4406" t="s">
        <v>6746</v>
      </c>
      <c r="AK4406">
        <v>2821081530</v>
      </c>
      <c r="AL4406" t="s">
        <v>6747</v>
      </c>
      <c r="AM4406" t="s">
        <v>88</v>
      </c>
      <c r="AN4406" t="s">
        <v>88</v>
      </c>
      <c r="AO4406" t="s">
        <v>6748</v>
      </c>
      <c r="AP4406" t="s">
        <v>6748</v>
      </c>
      <c r="AQ4406">
        <v>1</v>
      </c>
      <c r="AR4406" t="s">
        <v>6729</v>
      </c>
      <c r="AS4406" t="s">
        <v>6730</v>
      </c>
      <c r="AT4406" t="s">
        <v>58</v>
      </c>
      <c r="AU4406" t="s">
        <v>164</v>
      </c>
      <c r="AV4406" t="s">
        <v>132</v>
      </c>
      <c r="AW4406" s="1">
        <v>31092</v>
      </c>
      <c r="AX4406">
        <v>2</v>
      </c>
    </row>
    <row r="4407" spans="1:50">
      <c r="A4407">
        <v>202920</v>
      </c>
      <c r="B4407" t="str">
        <f>"054569015"</f>
        <v>054569015</v>
      </c>
      <c r="C4407" t="s">
        <v>50</v>
      </c>
      <c r="D4407" t="s">
        <v>3348</v>
      </c>
      <c r="E4407" t="s">
        <v>215</v>
      </c>
      <c r="F4407" t="s">
        <v>8127</v>
      </c>
      <c r="G4407" t="s">
        <v>950</v>
      </c>
      <c r="H4407" t="str">
        <f t="shared" si="4"/>
        <v xml:space="preserve"> </v>
      </c>
      <c r="J4407">
        <v>2821051577</v>
      </c>
      <c r="K4407">
        <v>6972222556</v>
      </c>
      <c r="N4407" t="s">
        <v>246</v>
      </c>
      <c r="O4407" t="s">
        <v>247</v>
      </c>
      <c r="R4407" t="s">
        <v>57</v>
      </c>
      <c r="S4407">
        <v>8</v>
      </c>
      <c r="T4407">
        <v>231</v>
      </c>
      <c r="U4407" s="1">
        <v>38230</v>
      </c>
      <c r="V4407" t="s">
        <v>6729</v>
      </c>
      <c r="W4407" t="s">
        <v>6730</v>
      </c>
      <c r="X4407" t="s">
        <v>58</v>
      </c>
      <c r="Y4407">
        <v>20</v>
      </c>
      <c r="Z4407" t="s">
        <v>59</v>
      </c>
      <c r="AA4407" t="s">
        <v>59</v>
      </c>
      <c r="AB4407" t="s">
        <v>59</v>
      </c>
      <c r="AC4407" t="s">
        <v>59</v>
      </c>
      <c r="AD4407" t="s">
        <v>59</v>
      </c>
      <c r="AF4407" s="1">
        <v>38231</v>
      </c>
      <c r="AG4407" t="s">
        <v>148</v>
      </c>
      <c r="AH4407" t="s">
        <v>149</v>
      </c>
      <c r="AI4407" t="str">
        <f>"5062010"</f>
        <v>5062010</v>
      </c>
      <c r="AJ4407" t="s">
        <v>6783</v>
      </c>
      <c r="AK4407">
        <v>2821031620</v>
      </c>
      <c r="AL4407" t="s">
        <v>6784</v>
      </c>
      <c r="AM4407" t="s">
        <v>88</v>
      </c>
      <c r="AN4407" t="s">
        <v>88</v>
      </c>
      <c r="AO4407" t="s">
        <v>6785</v>
      </c>
      <c r="AP4407" t="s">
        <v>6786</v>
      </c>
      <c r="AQ4407">
        <v>1</v>
      </c>
      <c r="AR4407" t="s">
        <v>6729</v>
      </c>
      <c r="AS4407" t="s">
        <v>6730</v>
      </c>
      <c r="AT4407" t="s">
        <v>58</v>
      </c>
      <c r="AU4407" t="s">
        <v>68</v>
      </c>
      <c r="AV4407" t="s">
        <v>69</v>
      </c>
      <c r="AW4407" s="1">
        <v>25180</v>
      </c>
      <c r="AX4407">
        <v>2</v>
      </c>
    </row>
    <row r="4408" spans="1:50">
      <c r="A4408">
        <v>160354</v>
      </c>
      <c r="B4408" t="str">
        <f>"031019961"</f>
        <v>031019961</v>
      </c>
      <c r="C4408" t="s">
        <v>105</v>
      </c>
      <c r="D4408" t="s">
        <v>6395</v>
      </c>
      <c r="E4408" t="s">
        <v>106</v>
      </c>
      <c r="F4408" t="s">
        <v>106</v>
      </c>
      <c r="G4408" t="s">
        <v>1068</v>
      </c>
      <c r="H4408" t="str">
        <f t="shared" si="4"/>
        <v xml:space="preserve"> </v>
      </c>
      <c r="N4408" t="s">
        <v>246</v>
      </c>
      <c r="O4408" t="s">
        <v>247</v>
      </c>
      <c r="R4408" t="s">
        <v>57</v>
      </c>
      <c r="S4408">
        <v>15</v>
      </c>
      <c r="T4408">
        <v>161</v>
      </c>
      <c r="U4408" s="1">
        <v>33119</v>
      </c>
      <c r="V4408" t="s">
        <v>6729</v>
      </c>
      <c r="W4408" t="s">
        <v>6730</v>
      </c>
      <c r="X4408" t="s">
        <v>58</v>
      </c>
      <c r="Y4408">
        <v>18</v>
      </c>
      <c r="Z4408" t="s">
        <v>59</v>
      </c>
      <c r="AA4408" t="s">
        <v>59</v>
      </c>
      <c r="AB4408" t="s">
        <v>59</v>
      </c>
      <c r="AC4408" t="s">
        <v>59</v>
      </c>
      <c r="AD4408" t="s">
        <v>59</v>
      </c>
      <c r="AF4408" s="1">
        <v>33120</v>
      </c>
      <c r="AG4408" t="s">
        <v>125</v>
      </c>
      <c r="AH4408" t="s">
        <v>126</v>
      </c>
      <c r="AI4408" t="str">
        <f>"5001040"</f>
        <v>5001040</v>
      </c>
      <c r="AJ4408" t="s">
        <v>7126</v>
      </c>
      <c r="AK4408">
        <v>2821088010</v>
      </c>
      <c r="AM4408" t="s">
        <v>88</v>
      </c>
      <c r="AN4408" t="s">
        <v>88</v>
      </c>
      <c r="AO4408" t="s">
        <v>88</v>
      </c>
      <c r="AP4408" t="s">
        <v>88</v>
      </c>
      <c r="AQ4408">
        <v>1</v>
      </c>
      <c r="AR4408" t="s">
        <v>6729</v>
      </c>
      <c r="AS4408" t="s">
        <v>6730</v>
      </c>
      <c r="AT4408" t="s">
        <v>58</v>
      </c>
      <c r="AU4408" t="s">
        <v>68</v>
      </c>
      <c r="AV4408" t="s">
        <v>69</v>
      </c>
      <c r="AW4408" s="1">
        <v>20821</v>
      </c>
      <c r="AX4408">
        <v>2</v>
      </c>
    </row>
    <row r="4409" spans="1:50">
      <c r="B4409" t="str">
        <f>"132337651"</f>
        <v>132337651</v>
      </c>
      <c r="C4409" t="s">
        <v>50</v>
      </c>
      <c r="D4409" t="s">
        <v>8128</v>
      </c>
      <c r="E4409" t="s">
        <v>52</v>
      </c>
      <c r="F4409" t="s">
        <v>2320</v>
      </c>
      <c r="G4409" t="s">
        <v>314</v>
      </c>
      <c r="H4409" t="str">
        <f t="shared" si="4"/>
        <v xml:space="preserve"> </v>
      </c>
      <c r="K4409">
        <v>6989680409</v>
      </c>
      <c r="N4409" t="s">
        <v>536</v>
      </c>
      <c r="O4409" t="s">
        <v>537</v>
      </c>
      <c r="R4409" t="s">
        <v>121</v>
      </c>
      <c r="S4409">
        <v>3</v>
      </c>
      <c r="T4409" t="s">
        <v>122</v>
      </c>
      <c r="U4409" s="1">
        <v>43348</v>
      </c>
      <c r="V4409" t="s">
        <v>6729</v>
      </c>
      <c r="W4409" t="s">
        <v>6730</v>
      </c>
      <c r="X4409" t="s">
        <v>58</v>
      </c>
      <c r="Y4409">
        <v>23</v>
      </c>
      <c r="Z4409" t="s">
        <v>59</v>
      </c>
      <c r="AA4409" t="s">
        <v>59</v>
      </c>
      <c r="AB4409" t="s">
        <v>59</v>
      </c>
      <c r="AD4409" t="s">
        <v>59</v>
      </c>
      <c r="AF4409" s="1">
        <v>43348</v>
      </c>
      <c r="AG4409" t="s">
        <v>125</v>
      </c>
      <c r="AH4409" t="s">
        <v>126</v>
      </c>
      <c r="AI4409" t="str">
        <f>"5010010"</f>
        <v>5010010</v>
      </c>
      <c r="AJ4409" t="s">
        <v>6779</v>
      </c>
      <c r="AK4409">
        <v>2825051288</v>
      </c>
      <c r="AL4409" t="s">
        <v>6780</v>
      </c>
      <c r="AM4409" t="s">
        <v>88</v>
      </c>
      <c r="AN4409" t="s">
        <v>6775</v>
      </c>
      <c r="AO4409" t="s">
        <v>6781</v>
      </c>
      <c r="AP4409" t="s">
        <v>6782</v>
      </c>
      <c r="AQ4409">
        <v>1</v>
      </c>
      <c r="AR4409" t="s">
        <v>6729</v>
      </c>
      <c r="AS4409" t="s">
        <v>6730</v>
      </c>
      <c r="AT4409" t="s">
        <v>58</v>
      </c>
      <c r="AU4409" t="s">
        <v>131</v>
      </c>
      <c r="AV4409" t="s">
        <v>132</v>
      </c>
      <c r="AW4409" s="1">
        <v>31139</v>
      </c>
      <c r="AX4409">
        <v>2</v>
      </c>
    </row>
    <row r="4410" spans="1:50">
      <c r="A4410">
        <v>905103</v>
      </c>
      <c r="B4410" t="str">
        <f>"025557088"</f>
        <v>025557088</v>
      </c>
      <c r="C4410" t="s">
        <v>50</v>
      </c>
      <c r="D4410" t="s">
        <v>3365</v>
      </c>
      <c r="E4410" t="s">
        <v>1355</v>
      </c>
      <c r="F4410" t="s">
        <v>106</v>
      </c>
      <c r="G4410" t="s">
        <v>787</v>
      </c>
      <c r="H4410" t="str">
        <f t="shared" si="4"/>
        <v xml:space="preserve"> </v>
      </c>
      <c r="K4410">
        <v>6940902067</v>
      </c>
      <c r="N4410" t="s">
        <v>146</v>
      </c>
      <c r="O4410" t="s">
        <v>147</v>
      </c>
      <c r="R4410" t="s">
        <v>57</v>
      </c>
      <c r="S4410">
        <v>18</v>
      </c>
      <c r="T4410">
        <v>276</v>
      </c>
      <c r="U4410" s="1">
        <v>30552</v>
      </c>
      <c r="V4410" t="s">
        <v>6729</v>
      </c>
      <c r="W4410" t="s">
        <v>6730</v>
      </c>
      <c r="X4410" t="s">
        <v>58</v>
      </c>
      <c r="Y4410">
        <v>18</v>
      </c>
      <c r="Z4410" t="s">
        <v>59</v>
      </c>
      <c r="AA4410" t="s">
        <v>59</v>
      </c>
      <c r="AB4410" t="s">
        <v>59</v>
      </c>
      <c r="AC4410" t="s">
        <v>59</v>
      </c>
      <c r="AD4410" t="s">
        <v>59</v>
      </c>
      <c r="AF4410" s="1">
        <v>30561</v>
      </c>
      <c r="AG4410" t="s">
        <v>148</v>
      </c>
      <c r="AH4410" t="s">
        <v>149</v>
      </c>
      <c r="AI4410" t="str">
        <f>"5051030"</f>
        <v>5051030</v>
      </c>
      <c r="AJ4410" t="s">
        <v>6760</v>
      </c>
      <c r="AK4410">
        <v>2821027533</v>
      </c>
      <c r="AL4410" t="s">
        <v>6761</v>
      </c>
      <c r="AM4410" t="s">
        <v>88</v>
      </c>
      <c r="AN4410" t="s">
        <v>88</v>
      </c>
      <c r="AO4410" t="s">
        <v>88</v>
      </c>
      <c r="AP4410" t="s">
        <v>88</v>
      </c>
      <c r="AQ4410">
        <v>1</v>
      </c>
      <c r="AR4410" t="s">
        <v>6729</v>
      </c>
      <c r="AS4410" t="s">
        <v>6730</v>
      </c>
      <c r="AT4410" t="s">
        <v>58</v>
      </c>
      <c r="AU4410" t="s">
        <v>68</v>
      </c>
      <c r="AV4410" t="s">
        <v>69</v>
      </c>
      <c r="AW4410" s="1">
        <v>21443</v>
      </c>
      <c r="AX4410">
        <v>2</v>
      </c>
    </row>
    <row r="4411" spans="1:50">
      <c r="A4411">
        <v>180481</v>
      </c>
      <c r="B4411" t="str">
        <f>"113159848"</f>
        <v>113159848</v>
      </c>
      <c r="C4411" t="s">
        <v>50</v>
      </c>
      <c r="D4411" t="s">
        <v>3365</v>
      </c>
      <c r="E4411" t="s">
        <v>8129</v>
      </c>
      <c r="F4411" t="s">
        <v>154</v>
      </c>
      <c r="G4411" t="s">
        <v>755</v>
      </c>
      <c r="H4411" t="str">
        <f t="shared" si="4"/>
        <v xml:space="preserve"> </v>
      </c>
      <c r="J4411">
        <v>2821045662</v>
      </c>
      <c r="K4411">
        <v>6972414666</v>
      </c>
      <c r="N4411" t="s">
        <v>232</v>
      </c>
      <c r="O4411" t="s">
        <v>233</v>
      </c>
      <c r="R4411" t="s">
        <v>57</v>
      </c>
      <c r="S4411">
        <v>11</v>
      </c>
      <c r="T4411">
        <v>181</v>
      </c>
      <c r="U4411" s="1">
        <v>36039</v>
      </c>
      <c r="V4411" t="s">
        <v>6729</v>
      </c>
      <c r="W4411" t="s">
        <v>6730</v>
      </c>
      <c r="X4411" t="s">
        <v>58</v>
      </c>
      <c r="Y4411">
        <v>18</v>
      </c>
      <c r="Z4411" t="s">
        <v>59</v>
      </c>
      <c r="AA4411" t="s">
        <v>59</v>
      </c>
      <c r="AB4411" t="s">
        <v>59</v>
      </c>
      <c r="AC4411" t="s">
        <v>59</v>
      </c>
      <c r="AD4411" t="s">
        <v>59</v>
      </c>
      <c r="AF4411" s="1">
        <v>36046</v>
      </c>
      <c r="AG4411" t="s">
        <v>148</v>
      </c>
      <c r="AH4411" t="s">
        <v>149</v>
      </c>
      <c r="AI4411" t="str">
        <f>"5051030"</f>
        <v>5051030</v>
      </c>
      <c r="AJ4411" t="s">
        <v>6760</v>
      </c>
      <c r="AK4411">
        <v>2821027533</v>
      </c>
      <c r="AL4411" t="s">
        <v>6761</v>
      </c>
      <c r="AM4411" t="s">
        <v>88</v>
      </c>
      <c r="AN4411" t="s">
        <v>88</v>
      </c>
      <c r="AO4411" t="s">
        <v>88</v>
      </c>
      <c r="AP4411" t="s">
        <v>88</v>
      </c>
      <c r="AQ4411">
        <v>1</v>
      </c>
      <c r="AR4411" t="s">
        <v>6729</v>
      </c>
      <c r="AS4411" t="s">
        <v>6730</v>
      </c>
      <c r="AT4411" t="s">
        <v>58</v>
      </c>
      <c r="AU4411" t="s">
        <v>68</v>
      </c>
      <c r="AV4411" t="s">
        <v>69</v>
      </c>
      <c r="AW4411" s="1">
        <v>21180</v>
      </c>
      <c r="AX4411">
        <v>2</v>
      </c>
    </row>
    <row r="4412" spans="1:50">
      <c r="A4412">
        <v>190962</v>
      </c>
      <c r="B4412" t="str">
        <f>"047004616"</f>
        <v>047004616</v>
      </c>
      <c r="C4412" t="s">
        <v>105</v>
      </c>
      <c r="D4412" t="s">
        <v>8130</v>
      </c>
      <c r="E4412" t="s">
        <v>92</v>
      </c>
      <c r="F4412" t="s">
        <v>304</v>
      </c>
      <c r="G4412" t="s">
        <v>238</v>
      </c>
      <c r="H4412" t="str">
        <f>"ΠΡΟΦΗΤΗ ΗΛΙΑ 23 ΧΑΝΙΑ"</f>
        <v>ΠΡΟΦΗΤΗ ΗΛΙΑ 23 ΧΑΝΙΑ</v>
      </c>
      <c r="I4412">
        <v>73100</v>
      </c>
      <c r="J4412">
        <v>2821044353</v>
      </c>
      <c r="K4412">
        <v>6977960356</v>
      </c>
      <c r="M4412" t="s">
        <v>8131</v>
      </c>
      <c r="N4412" t="s">
        <v>204</v>
      </c>
      <c r="O4412" t="s">
        <v>205</v>
      </c>
      <c r="R4412" t="s">
        <v>57</v>
      </c>
      <c r="S4412">
        <v>11</v>
      </c>
      <c r="T4412">
        <v>219</v>
      </c>
      <c r="U4412" s="1">
        <v>37134</v>
      </c>
      <c r="V4412" t="s">
        <v>6729</v>
      </c>
      <c r="W4412" t="s">
        <v>6730</v>
      </c>
      <c r="X4412" t="s">
        <v>58</v>
      </c>
      <c r="Y4412">
        <v>20</v>
      </c>
      <c r="Z4412" t="s">
        <v>59</v>
      </c>
      <c r="AA4412" t="s">
        <v>59</v>
      </c>
      <c r="AB4412" t="s">
        <v>59</v>
      </c>
      <c r="AC4412" t="s">
        <v>59</v>
      </c>
      <c r="AD4412" t="s">
        <v>59</v>
      </c>
      <c r="AF4412" s="1">
        <v>37138</v>
      </c>
      <c r="AG4412" t="s">
        <v>137</v>
      </c>
      <c r="AH4412" t="s">
        <v>138</v>
      </c>
      <c r="AI4412" t="str">
        <f>"5040080"</f>
        <v>5040080</v>
      </c>
      <c r="AJ4412" t="s">
        <v>6753</v>
      </c>
      <c r="AK4412">
        <v>2821093155</v>
      </c>
      <c r="AL4412" t="s">
        <v>6754</v>
      </c>
      <c r="AM4412" t="s">
        <v>88</v>
      </c>
      <c r="AN4412" t="s">
        <v>88</v>
      </c>
      <c r="AO4412" t="s">
        <v>6733</v>
      </c>
      <c r="AP4412" t="s">
        <v>6755</v>
      </c>
      <c r="AQ4412">
        <v>1</v>
      </c>
      <c r="AR4412" t="s">
        <v>6729</v>
      </c>
      <c r="AS4412" t="s">
        <v>6730</v>
      </c>
      <c r="AT4412" t="s">
        <v>58</v>
      </c>
      <c r="AU4412" t="s">
        <v>68</v>
      </c>
      <c r="AV4412" t="s">
        <v>69</v>
      </c>
      <c r="AW4412" s="1">
        <v>26467</v>
      </c>
      <c r="AX4412">
        <v>2</v>
      </c>
    </row>
    <row r="4413" spans="1:50">
      <c r="A4413">
        <v>229762</v>
      </c>
      <c r="B4413" t="str">
        <f>"047944388"</f>
        <v>047944388</v>
      </c>
      <c r="C4413" t="s">
        <v>50</v>
      </c>
      <c r="D4413" t="s">
        <v>3369</v>
      </c>
      <c r="E4413" t="s">
        <v>610</v>
      </c>
      <c r="F4413" t="s">
        <v>95</v>
      </c>
      <c r="G4413" t="s">
        <v>476</v>
      </c>
      <c r="H4413" t="str">
        <f>"ΕΡΜΟΥ 6  ΓΑΖΙ"</f>
        <v>ΕΡΜΟΥ 6  ΓΑΖΙ</v>
      </c>
      <c r="I4413">
        <v>71414</v>
      </c>
      <c r="J4413">
        <v>2810314428</v>
      </c>
      <c r="K4413">
        <v>6938420459</v>
      </c>
      <c r="N4413" t="s">
        <v>583</v>
      </c>
      <c r="O4413" t="s">
        <v>584</v>
      </c>
      <c r="R4413" t="s">
        <v>57</v>
      </c>
      <c r="S4413">
        <v>7</v>
      </c>
      <c r="T4413">
        <v>988</v>
      </c>
      <c r="U4413" s="1">
        <v>40157</v>
      </c>
      <c r="V4413" t="s">
        <v>6729</v>
      </c>
      <c r="W4413" t="s">
        <v>6730</v>
      </c>
      <c r="X4413" t="s">
        <v>58</v>
      </c>
      <c r="Y4413">
        <v>21</v>
      </c>
      <c r="Z4413" t="s">
        <v>59</v>
      </c>
      <c r="AA4413" t="s">
        <v>59</v>
      </c>
      <c r="AB4413" t="s">
        <v>59</v>
      </c>
      <c r="AC4413" t="s">
        <v>59</v>
      </c>
      <c r="AD4413" t="s">
        <v>59</v>
      </c>
      <c r="AF4413" s="1">
        <v>40158</v>
      </c>
      <c r="AG4413" t="s">
        <v>137</v>
      </c>
      <c r="AH4413" t="s">
        <v>138</v>
      </c>
      <c r="AI4413" t="str">
        <f>"5040080"</f>
        <v>5040080</v>
      </c>
      <c r="AJ4413" t="s">
        <v>6753</v>
      </c>
      <c r="AK4413">
        <v>2821093155</v>
      </c>
      <c r="AL4413" t="s">
        <v>6754</v>
      </c>
      <c r="AM4413" t="s">
        <v>88</v>
      </c>
      <c r="AN4413" t="s">
        <v>88</v>
      </c>
      <c r="AO4413" t="s">
        <v>6733</v>
      </c>
      <c r="AP4413" t="s">
        <v>6755</v>
      </c>
      <c r="AQ4413">
        <v>1</v>
      </c>
      <c r="AR4413" t="s">
        <v>6729</v>
      </c>
      <c r="AS4413" t="s">
        <v>6730</v>
      </c>
      <c r="AT4413" t="s">
        <v>58</v>
      </c>
      <c r="AU4413" t="s">
        <v>68</v>
      </c>
      <c r="AV4413" t="s">
        <v>69</v>
      </c>
      <c r="AW4413" s="1">
        <v>28491</v>
      </c>
      <c r="AX4413">
        <v>2</v>
      </c>
    </row>
    <row r="4414" spans="1:50">
      <c r="B4414" t="str">
        <f>"130447291"</f>
        <v>130447291</v>
      </c>
      <c r="C4414" t="s">
        <v>50</v>
      </c>
      <c r="D4414" t="s">
        <v>3377</v>
      </c>
      <c r="E4414" t="s">
        <v>250</v>
      </c>
      <c r="F4414" t="s">
        <v>99</v>
      </c>
      <c r="G4414" t="s">
        <v>809</v>
      </c>
      <c r="H4414" t="str">
        <f>"ΓΑΛΑΤΑΣ ΝΕΑΣ ΚΥΔΩΝΙΑΣ "</f>
        <v xml:space="preserve">ΓΑΛΑΤΑΣ ΝΕΑΣ ΚΥΔΩΝΙΑΣ </v>
      </c>
      <c r="I4414">
        <v>73100</v>
      </c>
      <c r="J4414">
        <v>2821031925</v>
      </c>
      <c r="K4414">
        <v>6944915423</v>
      </c>
      <c r="M4414" t="s">
        <v>8132</v>
      </c>
      <c r="N4414" t="s">
        <v>583</v>
      </c>
      <c r="O4414" t="s">
        <v>584</v>
      </c>
      <c r="R4414" t="s">
        <v>159</v>
      </c>
      <c r="S4414">
        <v>3</v>
      </c>
      <c r="T4414" t="s">
        <v>574</v>
      </c>
      <c r="U4414" s="1">
        <v>43378</v>
      </c>
      <c r="V4414" t="s">
        <v>6729</v>
      </c>
      <c r="W4414" t="s">
        <v>6730</v>
      </c>
      <c r="X4414" t="s">
        <v>58</v>
      </c>
      <c r="Y4414">
        <v>23</v>
      </c>
      <c r="Z4414" t="s">
        <v>59</v>
      </c>
      <c r="AA4414" t="s">
        <v>59</v>
      </c>
      <c r="AB4414" t="s">
        <v>59</v>
      </c>
      <c r="AC4414" t="s">
        <v>59</v>
      </c>
      <c r="AD4414" t="s">
        <v>59</v>
      </c>
      <c r="AF4414" s="1">
        <v>43381</v>
      </c>
      <c r="AI4414" t="str">
        <f>""</f>
        <v/>
      </c>
      <c r="AS4414" t="s">
        <v>6730</v>
      </c>
      <c r="AT4414" t="s">
        <v>58</v>
      </c>
      <c r="AU4414" t="s">
        <v>164</v>
      </c>
      <c r="AW4414" s="1">
        <v>31034</v>
      </c>
      <c r="AX4414">
        <v>2</v>
      </c>
    </row>
    <row r="4415" spans="1:50">
      <c r="A4415">
        <v>218557</v>
      </c>
      <c r="B4415" t="str">
        <f>"058607875"</f>
        <v>058607875</v>
      </c>
      <c r="C4415" t="s">
        <v>105</v>
      </c>
      <c r="D4415" t="s">
        <v>3388</v>
      </c>
      <c r="E4415" t="s">
        <v>459</v>
      </c>
      <c r="F4415" t="s">
        <v>95</v>
      </c>
      <c r="G4415" t="s">
        <v>589</v>
      </c>
      <c r="H4415" t="str">
        <f>"ΠΥΘΑΡΙ ΑΚΡΩΤΗΡΙ-ΧΑΝΙΩΝ"</f>
        <v>ΠΥΘΑΡΙ ΑΚΡΩΤΗΡΙ-ΧΑΝΙΩΝ</v>
      </c>
      <c r="I4415">
        <v>73100</v>
      </c>
      <c r="J4415">
        <v>2821069808</v>
      </c>
      <c r="K4415">
        <v>6974435550</v>
      </c>
      <c r="M4415" t="s">
        <v>8133</v>
      </c>
      <c r="N4415" t="s">
        <v>232</v>
      </c>
      <c r="O4415" t="s">
        <v>233</v>
      </c>
      <c r="R4415" t="s">
        <v>57</v>
      </c>
      <c r="S4415">
        <v>5</v>
      </c>
      <c r="T4415">
        <v>599</v>
      </c>
      <c r="U4415" s="1">
        <v>39310</v>
      </c>
      <c r="V4415" t="s">
        <v>6729</v>
      </c>
      <c r="W4415" t="s">
        <v>6730</v>
      </c>
      <c r="X4415" t="s">
        <v>58</v>
      </c>
      <c r="Y4415">
        <v>21</v>
      </c>
      <c r="Z4415" t="s">
        <v>59</v>
      </c>
      <c r="AA4415" t="s">
        <v>59</v>
      </c>
      <c r="AB4415" t="s">
        <v>59</v>
      </c>
      <c r="AC4415" t="s">
        <v>59</v>
      </c>
      <c r="AD4415" t="s">
        <v>59</v>
      </c>
      <c r="AF4415" s="1">
        <v>39328</v>
      </c>
      <c r="AG4415" t="s">
        <v>125</v>
      </c>
      <c r="AH4415" t="s">
        <v>126</v>
      </c>
      <c r="AI4415" t="str">
        <f>"5001080"</f>
        <v>5001080</v>
      </c>
      <c r="AJ4415" t="s">
        <v>6984</v>
      </c>
      <c r="AK4415">
        <v>2821068020</v>
      </c>
      <c r="AL4415" t="s">
        <v>6985</v>
      </c>
      <c r="AM4415" t="s">
        <v>88</v>
      </c>
      <c r="AN4415" t="s">
        <v>6764</v>
      </c>
      <c r="AO4415" t="s">
        <v>6764</v>
      </c>
      <c r="AP4415" t="s">
        <v>6764</v>
      </c>
      <c r="AQ4415">
        <v>1</v>
      </c>
      <c r="AR4415" t="s">
        <v>6729</v>
      </c>
      <c r="AS4415" t="s">
        <v>6730</v>
      </c>
      <c r="AT4415" t="s">
        <v>58</v>
      </c>
      <c r="AU4415" t="s">
        <v>68</v>
      </c>
      <c r="AV4415" t="s">
        <v>69</v>
      </c>
      <c r="AW4415" s="1">
        <v>24984</v>
      </c>
      <c r="AX4415">
        <v>2</v>
      </c>
    </row>
    <row r="4416" spans="1:50">
      <c r="A4416">
        <v>152310</v>
      </c>
      <c r="B4416" t="str">
        <f>"031443840"</f>
        <v>031443840</v>
      </c>
      <c r="C4416" t="s">
        <v>105</v>
      </c>
      <c r="D4416" t="s">
        <v>3388</v>
      </c>
      <c r="E4416" t="s">
        <v>95</v>
      </c>
      <c r="F4416" t="s">
        <v>4855</v>
      </c>
      <c r="G4416" t="s">
        <v>52</v>
      </c>
      <c r="H4416" t="str">
        <f>"ΜΕΛΕΤΙΟΥ ΜΕΤΑΞΑΚΗ 35-37 ΧΑΝΙΑ"</f>
        <v>ΜΕΛΕΤΙΟΥ ΜΕΤΑΞΑΚΗ 35-37 ΧΑΝΙΑ</v>
      </c>
      <c r="I4416">
        <v>73131</v>
      </c>
      <c r="J4416">
        <v>2821070383</v>
      </c>
      <c r="K4416">
        <v>6977605626</v>
      </c>
      <c r="M4416" t="s">
        <v>8134</v>
      </c>
      <c r="N4416" t="s">
        <v>146</v>
      </c>
      <c r="O4416" t="s">
        <v>147</v>
      </c>
      <c r="R4416" t="s">
        <v>57</v>
      </c>
      <c r="S4416">
        <v>15</v>
      </c>
      <c r="T4416">
        <v>193</v>
      </c>
      <c r="U4416" s="1">
        <v>32042</v>
      </c>
      <c r="V4416" t="s">
        <v>6729</v>
      </c>
      <c r="W4416" t="s">
        <v>6730</v>
      </c>
      <c r="X4416" t="s">
        <v>58</v>
      </c>
      <c r="Y4416">
        <v>18</v>
      </c>
      <c r="Z4416" t="s">
        <v>59</v>
      </c>
      <c r="AA4416" t="s">
        <v>59</v>
      </c>
      <c r="AB4416" t="s">
        <v>59</v>
      </c>
      <c r="AC4416" t="s">
        <v>59</v>
      </c>
      <c r="AD4416" t="s">
        <v>59</v>
      </c>
      <c r="AF4416" s="1">
        <v>32049</v>
      </c>
      <c r="AG4416" t="s">
        <v>125</v>
      </c>
      <c r="AH4416" t="s">
        <v>126</v>
      </c>
      <c r="AI4416" t="str">
        <f>"5001060"</f>
        <v>5001060</v>
      </c>
      <c r="AJ4416" t="s">
        <v>6914</v>
      </c>
      <c r="AK4416">
        <v>2821091763</v>
      </c>
      <c r="AL4416" t="s">
        <v>6915</v>
      </c>
      <c r="AM4416" t="s">
        <v>88</v>
      </c>
      <c r="AN4416" t="s">
        <v>88</v>
      </c>
      <c r="AO4416" t="s">
        <v>88</v>
      </c>
      <c r="AP4416" t="s">
        <v>88</v>
      </c>
      <c r="AQ4416">
        <v>1</v>
      </c>
      <c r="AR4416" t="s">
        <v>6729</v>
      </c>
      <c r="AS4416" t="s">
        <v>6730</v>
      </c>
      <c r="AT4416" t="s">
        <v>58</v>
      </c>
      <c r="AU4416" t="s">
        <v>68</v>
      </c>
      <c r="AV4416" t="s">
        <v>69</v>
      </c>
      <c r="AW4416" s="1">
        <v>22184</v>
      </c>
      <c r="AX4416">
        <v>2</v>
      </c>
    </row>
    <row r="4417" spans="1:50">
      <c r="A4417">
        <v>170346</v>
      </c>
      <c r="B4417" t="str">
        <f>"030685634"</f>
        <v>030685634</v>
      </c>
      <c r="C4417" t="s">
        <v>105</v>
      </c>
      <c r="D4417" t="s">
        <v>3388</v>
      </c>
      <c r="E4417" t="s">
        <v>304</v>
      </c>
      <c r="F4417" t="s">
        <v>72</v>
      </c>
      <c r="G4417" t="s">
        <v>96</v>
      </c>
      <c r="H4417" t="str">
        <f>"ΜΑΛΓΑΡΩΝ 5 ΠΑΣΑΚΑΚΙ ΧΑΝΙΑ"</f>
        <v>ΜΑΛΓΑΡΩΝ 5 ΠΑΣΑΚΑΚΙ ΧΑΝΙΑ</v>
      </c>
      <c r="I4417">
        <v>73136</v>
      </c>
      <c r="K4417">
        <v>6948180175</v>
      </c>
      <c r="N4417" t="s">
        <v>292</v>
      </c>
      <c r="O4417" t="s">
        <v>293</v>
      </c>
      <c r="R4417" t="s">
        <v>57</v>
      </c>
      <c r="S4417">
        <v>15</v>
      </c>
      <c r="T4417">
        <v>184</v>
      </c>
      <c r="U4417" s="1">
        <v>34941</v>
      </c>
      <c r="V4417" t="s">
        <v>6729</v>
      </c>
      <c r="W4417" t="s">
        <v>6730</v>
      </c>
      <c r="X4417" t="s">
        <v>58</v>
      </c>
      <c r="Y4417">
        <v>18</v>
      </c>
      <c r="Z4417" t="s">
        <v>59</v>
      </c>
      <c r="AA4417" t="s">
        <v>59</v>
      </c>
      <c r="AB4417" t="s">
        <v>59</v>
      </c>
      <c r="AC4417" t="s">
        <v>59</v>
      </c>
      <c r="AD4417" t="s">
        <v>59</v>
      </c>
      <c r="AF4417" s="1">
        <v>34947</v>
      </c>
      <c r="AG4417" t="s">
        <v>148</v>
      </c>
      <c r="AH4417" t="s">
        <v>149</v>
      </c>
      <c r="AI4417" t="str">
        <f>"5051040"</f>
        <v>5051040</v>
      </c>
      <c r="AJ4417" t="s">
        <v>6811</v>
      </c>
      <c r="AK4417">
        <v>2821088007</v>
      </c>
      <c r="AL4417" t="s">
        <v>6812</v>
      </c>
      <c r="AM4417" t="s">
        <v>88</v>
      </c>
      <c r="AN4417" t="s">
        <v>88</v>
      </c>
      <c r="AO4417" t="s">
        <v>88</v>
      </c>
      <c r="AP4417" t="s">
        <v>88</v>
      </c>
      <c r="AQ4417">
        <v>1</v>
      </c>
      <c r="AR4417" t="s">
        <v>6729</v>
      </c>
      <c r="AS4417" t="s">
        <v>6730</v>
      </c>
      <c r="AT4417" t="s">
        <v>58</v>
      </c>
      <c r="AU4417" t="s">
        <v>68</v>
      </c>
      <c r="AV4417" t="s">
        <v>69</v>
      </c>
      <c r="AW4417" s="1">
        <v>21360</v>
      </c>
      <c r="AX4417">
        <v>2</v>
      </c>
    </row>
    <row r="4418" spans="1:50">
      <c r="A4418">
        <v>175077</v>
      </c>
      <c r="B4418" t="str">
        <f>"044680999"</f>
        <v>044680999</v>
      </c>
      <c r="C4418" t="s">
        <v>105</v>
      </c>
      <c r="D4418" t="s">
        <v>3388</v>
      </c>
      <c r="E4418" t="s">
        <v>72</v>
      </c>
      <c r="F4418" t="s">
        <v>53</v>
      </c>
      <c r="G4418" t="s">
        <v>112</v>
      </c>
      <c r="H4418" t="str">
        <f>"ΖΙΛΙΝΑΣ 8 ΧΑΝΙΑ"</f>
        <v>ΖΙΛΙΝΑΣ 8 ΧΑΝΙΑ</v>
      </c>
      <c r="I4418">
        <v>73100</v>
      </c>
      <c r="J4418">
        <v>2821096789</v>
      </c>
      <c r="K4418">
        <v>6947790424</v>
      </c>
      <c r="M4418" t="s">
        <v>8135</v>
      </c>
      <c r="N4418" t="s">
        <v>189</v>
      </c>
      <c r="O4418" t="s">
        <v>190</v>
      </c>
      <c r="R4418" t="s">
        <v>57</v>
      </c>
      <c r="S4418">
        <v>14</v>
      </c>
      <c r="T4418">
        <v>166</v>
      </c>
      <c r="U4418" s="1">
        <v>35300</v>
      </c>
      <c r="V4418" t="s">
        <v>6729</v>
      </c>
      <c r="W4418" t="s">
        <v>6730</v>
      </c>
      <c r="X4418" t="s">
        <v>58</v>
      </c>
      <c r="Y4418">
        <v>18</v>
      </c>
      <c r="Z4418" t="s">
        <v>59</v>
      </c>
      <c r="AA4418" t="s">
        <v>59</v>
      </c>
      <c r="AB4418" t="s">
        <v>59</v>
      </c>
      <c r="AC4418" t="s">
        <v>59</v>
      </c>
      <c r="AD4418" t="s">
        <v>59</v>
      </c>
      <c r="AF4418" s="1">
        <v>35310</v>
      </c>
      <c r="AG4418" t="s">
        <v>137</v>
      </c>
      <c r="AH4418" t="s">
        <v>138</v>
      </c>
      <c r="AI4418" t="str">
        <f>"5040050"</f>
        <v>5040050</v>
      </c>
      <c r="AJ4418" t="s">
        <v>6750</v>
      </c>
      <c r="AK4418">
        <v>2821043147</v>
      </c>
      <c r="AL4418" t="s">
        <v>6751</v>
      </c>
      <c r="AM4418" t="s">
        <v>88</v>
      </c>
      <c r="AN4418" t="s">
        <v>88</v>
      </c>
      <c r="AO4418" t="s">
        <v>88</v>
      </c>
      <c r="AP4418" t="s">
        <v>88</v>
      </c>
      <c r="AQ4418">
        <v>1</v>
      </c>
      <c r="AR4418" t="s">
        <v>6729</v>
      </c>
      <c r="AS4418" t="s">
        <v>6730</v>
      </c>
      <c r="AT4418" t="s">
        <v>58</v>
      </c>
      <c r="AU4418" t="s">
        <v>68</v>
      </c>
      <c r="AV4418" t="s">
        <v>69</v>
      </c>
      <c r="AW4418" s="1">
        <v>24443</v>
      </c>
      <c r="AX4418">
        <v>2</v>
      </c>
    </row>
    <row r="4419" spans="1:50">
      <c r="A4419">
        <v>221447</v>
      </c>
      <c r="B4419" t="str">
        <f>"075094694"</f>
        <v>075094694</v>
      </c>
      <c r="C4419" t="s">
        <v>105</v>
      </c>
      <c r="D4419" t="s">
        <v>3388</v>
      </c>
      <c r="E4419" t="s">
        <v>53</v>
      </c>
      <c r="F4419" t="s">
        <v>698</v>
      </c>
      <c r="G4419" t="s">
        <v>1134</v>
      </c>
      <c r="H4419" t="str">
        <f>" "</f>
        <v xml:space="preserve"> </v>
      </c>
      <c r="J4419">
        <v>2821033154</v>
      </c>
      <c r="K4419">
        <v>6972306144</v>
      </c>
      <c r="M4419" t="s">
        <v>8136</v>
      </c>
      <c r="N4419" t="s">
        <v>587</v>
      </c>
      <c r="O4419" t="s">
        <v>588</v>
      </c>
      <c r="R4419" t="s">
        <v>57</v>
      </c>
      <c r="S4419">
        <v>5</v>
      </c>
      <c r="T4419">
        <v>691</v>
      </c>
      <c r="U4419" s="1">
        <v>39331</v>
      </c>
      <c r="V4419" t="s">
        <v>6729</v>
      </c>
      <c r="W4419" t="s">
        <v>6730</v>
      </c>
      <c r="X4419" t="s">
        <v>58</v>
      </c>
      <c r="Y4419">
        <v>21</v>
      </c>
      <c r="Z4419" t="s">
        <v>59</v>
      </c>
      <c r="AA4419" t="s">
        <v>59</v>
      </c>
      <c r="AB4419" t="s">
        <v>59</v>
      </c>
      <c r="AC4419" t="s">
        <v>59</v>
      </c>
      <c r="AD4419" t="s">
        <v>59</v>
      </c>
      <c r="AF4419" s="1">
        <v>39335</v>
      </c>
      <c r="AG4419" t="s">
        <v>137</v>
      </c>
      <c r="AH4419" t="s">
        <v>469</v>
      </c>
      <c r="AI4419" t="str">
        <f>"5053001"</f>
        <v>5053001</v>
      </c>
      <c r="AJ4419" t="s">
        <v>6788</v>
      </c>
      <c r="AK4419">
        <v>2821068020</v>
      </c>
      <c r="AM4419" t="s">
        <v>88</v>
      </c>
      <c r="AN4419" t="s">
        <v>6764</v>
      </c>
      <c r="AO4419" t="s">
        <v>6764</v>
      </c>
      <c r="AP4419" t="s">
        <v>6764</v>
      </c>
      <c r="AQ4419">
        <v>1</v>
      </c>
      <c r="AR4419" t="s">
        <v>6729</v>
      </c>
      <c r="AS4419" t="s">
        <v>6730</v>
      </c>
      <c r="AT4419" t="s">
        <v>58</v>
      </c>
      <c r="AU4419" t="s">
        <v>68</v>
      </c>
      <c r="AV4419" t="s">
        <v>357</v>
      </c>
      <c r="AW4419" s="1">
        <v>26123</v>
      </c>
      <c r="AX4419">
        <v>2</v>
      </c>
    </row>
    <row r="4420" spans="1:50">
      <c r="A4420">
        <v>229870</v>
      </c>
      <c r="B4420" t="str">
        <f>"063483611"</f>
        <v>063483611</v>
      </c>
      <c r="C4420" t="s">
        <v>50</v>
      </c>
      <c r="D4420" t="s">
        <v>8137</v>
      </c>
      <c r="E4420" t="s">
        <v>809</v>
      </c>
      <c r="F4420" t="s">
        <v>166</v>
      </c>
      <c r="G4420" t="s">
        <v>3866</v>
      </c>
      <c r="H4420" t="str">
        <f>" "</f>
        <v xml:space="preserve"> </v>
      </c>
      <c r="J4420">
        <v>2821040742</v>
      </c>
      <c r="K4420">
        <v>6942884893</v>
      </c>
      <c r="M4420" t="s">
        <v>8138</v>
      </c>
      <c r="N4420" t="s">
        <v>189</v>
      </c>
      <c r="O4420" t="s">
        <v>190</v>
      </c>
      <c r="R4420" t="s">
        <v>57</v>
      </c>
      <c r="S4420">
        <v>7</v>
      </c>
      <c r="T4420">
        <v>4</v>
      </c>
      <c r="U4420" s="1">
        <v>40186</v>
      </c>
      <c r="V4420" t="s">
        <v>6729</v>
      </c>
      <c r="W4420" t="s">
        <v>6730</v>
      </c>
      <c r="X4420" t="s">
        <v>58</v>
      </c>
      <c r="Y4420">
        <v>21</v>
      </c>
      <c r="Z4420" t="s">
        <v>59</v>
      </c>
      <c r="AA4420" t="s">
        <v>59</v>
      </c>
      <c r="AB4420" t="s">
        <v>59</v>
      </c>
      <c r="AC4420" t="s">
        <v>59</v>
      </c>
      <c r="AD4420" t="s">
        <v>59</v>
      </c>
      <c r="AF4420" s="1">
        <v>40189</v>
      </c>
      <c r="AG4420" t="s">
        <v>125</v>
      </c>
      <c r="AH4420" t="s">
        <v>126</v>
      </c>
      <c r="AI4420" t="str">
        <f>"5001073"</f>
        <v>5001073</v>
      </c>
      <c r="AJ4420" t="s">
        <v>6849</v>
      </c>
      <c r="AK4420">
        <v>2821028553</v>
      </c>
      <c r="AL4420" t="s">
        <v>6850</v>
      </c>
      <c r="AM4420" t="s">
        <v>88</v>
      </c>
      <c r="AN4420" t="s">
        <v>88</v>
      </c>
      <c r="AO4420" t="s">
        <v>88</v>
      </c>
      <c r="AP4420" t="s">
        <v>88</v>
      </c>
      <c r="AQ4420">
        <v>1</v>
      </c>
      <c r="AR4420" t="s">
        <v>6729</v>
      </c>
      <c r="AS4420" t="s">
        <v>6730</v>
      </c>
      <c r="AT4420" t="s">
        <v>58</v>
      </c>
      <c r="AU4420" t="s">
        <v>68</v>
      </c>
      <c r="AV4420" t="s">
        <v>357</v>
      </c>
      <c r="AW4420" s="1">
        <v>28307</v>
      </c>
      <c r="AX4420">
        <v>2</v>
      </c>
    </row>
    <row r="4421" spans="1:50">
      <c r="A4421">
        <v>204930</v>
      </c>
      <c r="B4421" t="str">
        <f>"057428064"</f>
        <v>057428064</v>
      </c>
      <c r="C4421" t="s">
        <v>50</v>
      </c>
      <c r="D4421" t="s">
        <v>8137</v>
      </c>
      <c r="E4421" t="s">
        <v>54</v>
      </c>
      <c r="F4421" t="s">
        <v>166</v>
      </c>
      <c r="G4421" t="s">
        <v>3866</v>
      </c>
      <c r="H4421" t="str">
        <f>"ΜΑΚΕΔΟΝΟΜΑΧΩΝ 45 ΧΑΝΙΩΝ"</f>
        <v>ΜΑΚΕΔΟΝΟΜΑΧΩΝ 45 ΧΑΝΙΩΝ</v>
      </c>
      <c r="I4421">
        <v>73134</v>
      </c>
      <c r="J4421">
        <v>2821027893</v>
      </c>
      <c r="N4421" t="s">
        <v>1351</v>
      </c>
      <c r="O4421" t="s">
        <v>1352</v>
      </c>
      <c r="R4421" t="s">
        <v>57</v>
      </c>
      <c r="S4421">
        <v>11</v>
      </c>
      <c r="T4421">
        <v>231</v>
      </c>
      <c r="U4421" s="1">
        <v>38230</v>
      </c>
      <c r="V4421" t="s">
        <v>6729</v>
      </c>
      <c r="W4421" t="s">
        <v>6730</v>
      </c>
      <c r="X4421" t="s">
        <v>58</v>
      </c>
      <c r="Y4421">
        <v>20</v>
      </c>
      <c r="Z4421" t="s">
        <v>59</v>
      </c>
      <c r="AA4421" t="s">
        <v>59</v>
      </c>
      <c r="AB4421" t="s">
        <v>59</v>
      </c>
      <c r="AC4421" t="s">
        <v>59</v>
      </c>
      <c r="AD4421" t="s">
        <v>59</v>
      </c>
      <c r="AF4421" s="1">
        <v>38236</v>
      </c>
      <c r="AG4421" t="s">
        <v>137</v>
      </c>
      <c r="AH4421" t="s">
        <v>469</v>
      </c>
      <c r="AI4421" t="str">
        <f>"5040055"</f>
        <v>5040055</v>
      </c>
      <c r="AJ4421" t="s">
        <v>6940</v>
      </c>
      <c r="AK4421">
        <v>2821036404</v>
      </c>
      <c r="AL4421" t="s">
        <v>6941</v>
      </c>
      <c r="AM4421" t="s">
        <v>88</v>
      </c>
      <c r="AN4421" t="s">
        <v>88</v>
      </c>
      <c r="AO4421" t="s">
        <v>88</v>
      </c>
      <c r="AP4421" t="s">
        <v>88</v>
      </c>
      <c r="AQ4421">
        <v>1</v>
      </c>
      <c r="AR4421" t="s">
        <v>6729</v>
      </c>
      <c r="AS4421" t="s">
        <v>6730</v>
      </c>
      <c r="AT4421" t="s">
        <v>58</v>
      </c>
      <c r="AU4421" t="s">
        <v>68</v>
      </c>
      <c r="AV4421" t="s">
        <v>69</v>
      </c>
      <c r="AW4421" s="1">
        <v>25934</v>
      </c>
      <c r="AX4421">
        <v>2</v>
      </c>
    </row>
    <row r="4422" spans="1:50">
      <c r="A4422">
        <v>218769</v>
      </c>
      <c r="B4422" t="str">
        <f>"047892209"</f>
        <v>047892209</v>
      </c>
      <c r="C4422" t="s">
        <v>105</v>
      </c>
      <c r="D4422" t="s">
        <v>8139</v>
      </c>
      <c r="E4422" t="s">
        <v>95</v>
      </c>
      <c r="F4422" t="s">
        <v>53</v>
      </c>
      <c r="G4422" t="s">
        <v>476</v>
      </c>
      <c r="H4422" t="str">
        <f>"ΕΦΕΔΡΩΝ ΠΟΛΕΜΙΣΤΩΝ 41Α ΧΑΝΙΑ"</f>
        <v>ΕΦΕΔΡΩΝ ΠΟΛΕΜΙΣΤΩΝ 41Α ΧΑΝΙΑ</v>
      </c>
      <c r="I4422">
        <v>73135</v>
      </c>
      <c r="J4422">
        <v>2821056311</v>
      </c>
      <c r="K4422">
        <v>6972051433</v>
      </c>
      <c r="M4422" t="s">
        <v>8140</v>
      </c>
      <c r="N4422" t="s">
        <v>199</v>
      </c>
      <c r="O4422" t="s">
        <v>200</v>
      </c>
      <c r="R4422" t="s">
        <v>57</v>
      </c>
      <c r="S4422">
        <v>6</v>
      </c>
      <c r="T4422">
        <v>599</v>
      </c>
      <c r="U4422" s="1">
        <v>39310</v>
      </c>
      <c r="V4422" t="s">
        <v>6729</v>
      </c>
      <c r="W4422" t="s">
        <v>6730</v>
      </c>
      <c r="X4422" t="s">
        <v>58</v>
      </c>
      <c r="Y4422">
        <v>21</v>
      </c>
      <c r="Z4422" t="s">
        <v>59</v>
      </c>
      <c r="AA4422" t="s">
        <v>59</v>
      </c>
      <c r="AB4422" t="s">
        <v>59</v>
      </c>
      <c r="AC4422" t="s">
        <v>59</v>
      </c>
      <c r="AD4422" t="s">
        <v>59</v>
      </c>
      <c r="AF4422" s="1">
        <v>39328</v>
      </c>
      <c r="AG4422" t="s">
        <v>148</v>
      </c>
      <c r="AH4422" t="s">
        <v>149</v>
      </c>
      <c r="AI4422" t="str">
        <f>"5051010"</f>
        <v>5051010</v>
      </c>
      <c r="AJ4422" t="s">
        <v>6896</v>
      </c>
      <c r="AK4422">
        <v>2821028714</v>
      </c>
      <c r="AL4422" t="s">
        <v>6897</v>
      </c>
      <c r="AM4422" t="s">
        <v>88</v>
      </c>
      <c r="AN4422" t="s">
        <v>88</v>
      </c>
      <c r="AO4422" t="s">
        <v>88</v>
      </c>
      <c r="AP4422" t="s">
        <v>88</v>
      </c>
      <c r="AQ4422">
        <v>1</v>
      </c>
      <c r="AR4422" t="s">
        <v>6729</v>
      </c>
      <c r="AS4422" t="s">
        <v>6730</v>
      </c>
      <c r="AT4422" t="s">
        <v>58</v>
      </c>
      <c r="AU4422" t="s">
        <v>68</v>
      </c>
      <c r="AV4422" t="s">
        <v>357</v>
      </c>
      <c r="AW4422" s="1">
        <v>28710</v>
      </c>
      <c r="AX4422">
        <v>2</v>
      </c>
    </row>
    <row r="4423" spans="1:50">
      <c r="A4423">
        <v>178381</v>
      </c>
      <c r="B4423" t="str">
        <f>"030988424"</f>
        <v>030988424</v>
      </c>
      <c r="C4423" t="s">
        <v>105</v>
      </c>
      <c r="D4423" t="s">
        <v>8141</v>
      </c>
      <c r="E4423" t="s">
        <v>315</v>
      </c>
      <c r="F4423" t="s">
        <v>72</v>
      </c>
      <c r="G4423" t="s">
        <v>484</v>
      </c>
      <c r="H4423" t="str">
        <f>" "</f>
        <v xml:space="preserve"> </v>
      </c>
      <c r="M4423" t="s">
        <v>8142</v>
      </c>
      <c r="N4423" t="s">
        <v>6374</v>
      </c>
      <c r="O4423" t="s">
        <v>6375</v>
      </c>
      <c r="P4423" t="s">
        <v>282</v>
      </c>
      <c r="Q4423" t="s">
        <v>283</v>
      </c>
      <c r="R4423" t="s">
        <v>57</v>
      </c>
      <c r="S4423">
        <v>12</v>
      </c>
      <c r="T4423">
        <v>180</v>
      </c>
      <c r="U4423" s="1">
        <v>35674</v>
      </c>
      <c r="V4423" t="s">
        <v>6729</v>
      </c>
      <c r="W4423" t="s">
        <v>6730</v>
      </c>
      <c r="X4423" t="s">
        <v>58</v>
      </c>
      <c r="Y4423">
        <v>18</v>
      </c>
      <c r="Z4423" t="s">
        <v>59</v>
      </c>
      <c r="AA4423" t="s">
        <v>59</v>
      </c>
      <c r="AB4423" t="s">
        <v>59</v>
      </c>
      <c r="AC4423" t="s">
        <v>59</v>
      </c>
      <c r="AD4423" t="s">
        <v>59</v>
      </c>
      <c r="AF4423" s="1">
        <v>35677</v>
      </c>
      <c r="AG4423" t="s">
        <v>137</v>
      </c>
      <c r="AH4423" t="s">
        <v>138</v>
      </c>
      <c r="AI4423" t="str">
        <f>"5040090"</f>
        <v>5040090</v>
      </c>
      <c r="AJ4423" t="s">
        <v>6757</v>
      </c>
      <c r="AK4423">
        <v>2822022275</v>
      </c>
      <c r="AL4423" t="s">
        <v>6758</v>
      </c>
      <c r="AM4423" t="s">
        <v>88</v>
      </c>
      <c r="AN4423" t="s">
        <v>6744</v>
      </c>
      <c r="AO4423" t="s">
        <v>6744</v>
      </c>
      <c r="AP4423" t="s">
        <v>6744</v>
      </c>
      <c r="AQ4423">
        <v>1</v>
      </c>
      <c r="AR4423" t="s">
        <v>6729</v>
      </c>
      <c r="AS4423" t="s">
        <v>6730</v>
      </c>
      <c r="AT4423" t="s">
        <v>58</v>
      </c>
      <c r="AU4423" t="s">
        <v>68</v>
      </c>
      <c r="AV4423" t="s">
        <v>69</v>
      </c>
      <c r="AW4423" s="1">
        <v>21528</v>
      </c>
      <c r="AX4423">
        <v>2</v>
      </c>
    </row>
    <row r="4424" spans="1:50">
      <c r="A4424">
        <v>228332</v>
      </c>
      <c r="B4424" t="str">
        <f>"103445857"</f>
        <v>103445857</v>
      </c>
      <c r="C4424" t="s">
        <v>105</v>
      </c>
      <c r="D4424" t="s">
        <v>8143</v>
      </c>
      <c r="E4424" t="s">
        <v>53</v>
      </c>
      <c r="F4424" t="s">
        <v>84</v>
      </c>
      <c r="G4424" t="s">
        <v>3907</v>
      </c>
      <c r="H4424" t="str">
        <f>"ΚΑΠΟΔΙΣΤΡΙΟΥ 12 ΠΕΡΑΜΑ ΠΕΙΡΑΙΑΣ"</f>
        <v>ΚΑΠΟΔΙΣΤΡΙΟΥ 12 ΠΕΡΑΜΑ ΠΕΙΡΑΙΑΣ</v>
      </c>
      <c r="I4424">
        <v>18863</v>
      </c>
      <c r="J4424">
        <v>2104411092</v>
      </c>
      <c r="K4424">
        <v>6938869029</v>
      </c>
      <c r="M4424" t="s">
        <v>8144</v>
      </c>
      <c r="N4424" t="s">
        <v>6202</v>
      </c>
      <c r="O4424" t="s">
        <v>6203</v>
      </c>
      <c r="R4424" t="s">
        <v>57</v>
      </c>
      <c r="S4424">
        <v>5</v>
      </c>
      <c r="T4424">
        <v>654</v>
      </c>
      <c r="U4424" s="1">
        <v>40043</v>
      </c>
      <c r="V4424" t="s">
        <v>6729</v>
      </c>
      <c r="W4424" t="s">
        <v>6730</v>
      </c>
      <c r="X4424" t="s">
        <v>58</v>
      </c>
      <c r="Y4424">
        <v>21</v>
      </c>
      <c r="Z4424" t="s">
        <v>59</v>
      </c>
      <c r="AA4424" t="s">
        <v>59</v>
      </c>
      <c r="AB4424" t="s">
        <v>59</v>
      </c>
      <c r="AC4424" t="s">
        <v>59</v>
      </c>
      <c r="AD4424" t="s">
        <v>59</v>
      </c>
      <c r="AF4424" s="1">
        <v>40043</v>
      </c>
      <c r="AG4424" t="s">
        <v>137</v>
      </c>
      <c r="AH4424" t="s">
        <v>138</v>
      </c>
      <c r="AI4424" t="str">
        <f>"5040050"</f>
        <v>5040050</v>
      </c>
      <c r="AJ4424" t="s">
        <v>6750</v>
      </c>
      <c r="AK4424">
        <v>2821043147</v>
      </c>
      <c r="AL4424" t="s">
        <v>6751</v>
      </c>
      <c r="AM4424" t="s">
        <v>88</v>
      </c>
      <c r="AN4424" t="s">
        <v>88</v>
      </c>
      <c r="AO4424" t="s">
        <v>88</v>
      </c>
      <c r="AP4424" t="s">
        <v>88</v>
      </c>
      <c r="AQ4424">
        <v>1</v>
      </c>
      <c r="AR4424" t="s">
        <v>6729</v>
      </c>
      <c r="AS4424" t="s">
        <v>6730</v>
      </c>
      <c r="AT4424" t="s">
        <v>58</v>
      </c>
      <c r="AU4424" t="s">
        <v>68</v>
      </c>
      <c r="AV4424" t="s">
        <v>69</v>
      </c>
      <c r="AW4424" s="1">
        <v>27374</v>
      </c>
      <c r="AX4424">
        <v>2</v>
      </c>
    </row>
    <row r="4425" spans="1:50">
      <c r="A4425">
        <v>221808</v>
      </c>
      <c r="B4425" t="str">
        <f>"077336370"</f>
        <v>077336370</v>
      </c>
      <c r="C4425" t="s">
        <v>50</v>
      </c>
      <c r="D4425" t="s">
        <v>8145</v>
      </c>
      <c r="E4425" t="s">
        <v>4729</v>
      </c>
      <c r="F4425" t="s">
        <v>8146</v>
      </c>
      <c r="G4425" t="s">
        <v>4127</v>
      </c>
      <c r="H4425" t="str">
        <f>"ΦΕΙΔΙΟΥ 1 ΚΟΜΟΤΗΝΗΣ"</f>
        <v>ΦΕΙΔΙΟΥ 1 ΚΟΜΟΤΗΝΗΣ</v>
      </c>
      <c r="I4425">
        <v>69100</v>
      </c>
      <c r="J4425">
        <v>2531033238</v>
      </c>
      <c r="K4425">
        <v>6974504767</v>
      </c>
      <c r="M4425" t="s">
        <v>8147</v>
      </c>
      <c r="N4425" t="s">
        <v>157</v>
      </c>
      <c r="O4425" t="s">
        <v>158</v>
      </c>
      <c r="R4425" t="s">
        <v>57</v>
      </c>
      <c r="S4425">
        <v>5</v>
      </c>
      <c r="T4425">
        <v>775</v>
      </c>
      <c r="U4425" s="1">
        <v>39680</v>
      </c>
      <c r="V4425" t="s">
        <v>6729</v>
      </c>
      <c r="W4425" t="s">
        <v>6730</v>
      </c>
      <c r="X4425" t="s">
        <v>58</v>
      </c>
      <c r="Y4425">
        <v>20</v>
      </c>
      <c r="Z4425" t="s">
        <v>59</v>
      </c>
      <c r="AA4425" t="s">
        <v>59</v>
      </c>
      <c r="AB4425" t="s">
        <v>59</v>
      </c>
      <c r="AC4425" t="s">
        <v>59</v>
      </c>
      <c r="AD4425" t="s">
        <v>59</v>
      </c>
      <c r="AF4425" s="1">
        <v>39685</v>
      </c>
      <c r="AG4425" t="s">
        <v>125</v>
      </c>
      <c r="AH4425" t="s">
        <v>126</v>
      </c>
      <c r="AI4425" t="str">
        <f>"5004020"</f>
        <v>5004020</v>
      </c>
      <c r="AJ4425" t="s">
        <v>6806</v>
      </c>
      <c r="AK4425">
        <v>2822022103</v>
      </c>
      <c r="AL4425" t="s">
        <v>6807</v>
      </c>
      <c r="AM4425" t="s">
        <v>88</v>
      </c>
      <c r="AN4425" t="s">
        <v>6744</v>
      </c>
      <c r="AO4425" t="s">
        <v>6744</v>
      </c>
      <c r="AP4425" t="s">
        <v>6744</v>
      </c>
      <c r="AQ4425">
        <v>1</v>
      </c>
      <c r="AR4425" t="s">
        <v>6729</v>
      </c>
      <c r="AS4425" t="s">
        <v>6730</v>
      </c>
      <c r="AT4425" t="s">
        <v>58</v>
      </c>
      <c r="AU4425" t="s">
        <v>68</v>
      </c>
      <c r="AV4425" t="s">
        <v>69</v>
      </c>
      <c r="AW4425" s="1">
        <v>25980</v>
      </c>
      <c r="AX4425">
        <v>2</v>
      </c>
    </row>
    <row r="4426" spans="1:50">
      <c r="A4426">
        <v>223846</v>
      </c>
      <c r="B4426" t="str">
        <f>"076339048"</f>
        <v>076339048</v>
      </c>
      <c r="C4426" t="s">
        <v>50</v>
      </c>
      <c r="D4426" t="s">
        <v>8148</v>
      </c>
      <c r="E4426" t="s">
        <v>484</v>
      </c>
      <c r="F4426" t="s">
        <v>53</v>
      </c>
      <c r="G4426" t="s">
        <v>367</v>
      </c>
      <c r="H4426" t="str">
        <f>"Εφέδρων Πολεμιστών 34 Χανιά"</f>
        <v>Εφέδρων Πολεμιστών 34 Χανιά</v>
      </c>
      <c r="I4426">
        <v>73135</v>
      </c>
      <c r="J4426">
        <v>2821087922</v>
      </c>
      <c r="K4426">
        <v>6976769878</v>
      </c>
      <c r="M4426" t="s">
        <v>8149</v>
      </c>
      <c r="N4426" t="s">
        <v>1647</v>
      </c>
      <c r="O4426" t="s">
        <v>1648</v>
      </c>
      <c r="R4426" t="s">
        <v>57</v>
      </c>
      <c r="S4426">
        <v>5</v>
      </c>
      <c r="T4426">
        <v>775</v>
      </c>
      <c r="U4426" s="1">
        <v>39680</v>
      </c>
      <c r="V4426" t="s">
        <v>6729</v>
      </c>
      <c r="W4426" t="s">
        <v>6730</v>
      </c>
      <c r="X4426" t="s">
        <v>58</v>
      </c>
      <c r="Y4426">
        <v>21</v>
      </c>
      <c r="Z4426" t="s">
        <v>59</v>
      </c>
      <c r="AA4426" t="s">
        <v>59</v>
      </c>
      <c r="AB4426" t="s">
        <v>59</v>
      </c>
      <c r="AC4426" t="s">
        <v>59</v>
      </c>
      <c r="AD4426" t="s">
        <v>59</v>
      </c>
      <c r="AF4426" s="1">
        <v>39681</v>
      </c>
      <c r="AG4426" t="s">
        <v>125</v>
      </c>
      <c r="AH4426" t="s">
        <v>126</v>
      </c>
      <c r="AI4426" t="str">
        <f>"5001073"</f>
        <v>5001073</v>
      </c>
      <c r="AJ4426" t="s">
        <v>6849</v>
      </c>
      <c r="AK4426">
        <v>2821028553</v>
      </c>
      <c r="AL4426" t="s">
        <v>6850</v>
      </c>
      <c r="AM4426" t="s">
        <v>88</v>
      </c>
      <c r="AN4426" t="s">
        <v>88</v>
      </c>
      <c r="AO4426" t="s">
        <v>88</v>
      </c>
      <c r="AP4426" t="s">
        <v>88</v>
      </c>
      <c r="AQ4426">
        <v>1</v>
      </c>
      <c r="AR4426" t="s">
        <v>6729</v>
      </c>
      <c r="AS4426" t="s">
        <v>6730</v>
      </c>
      <c r="AT4426" t="s">
        <v>58</v>
      </c>
      <c r="AU4426" t="s">
        <v>68</v>
      </c>
      <c r="AV4426" t="s">
        <v>69</v>
      </c>
      <c r="AW4426" s="1">
        <v>26132</v>
      </c>
      <c r="AX4426">
        <v>2</v>
      </c>
    </row>
    <row r="4427" spans="1:50">
      <c r="A4427">
        <v>151699</v>
      </c>
      <c r="B4427" t="str">
        <f>"028438394"</f>
        <v>028438394</v>
      </c>
      <c r="C4427" t="s">
        <v>50</v>
      </c>
      <c r="D4427" t="s">
        <v>8150</v>
      </c>
      <c r="E4427" t="s">
        <v>8151</v>
      </c>
      <c r="F4427" t="s">
        <v>53</v>
      </c>
      <c r="G4427" t="s">
        <v>396</v>
      </c>
      <c r="H4427" t="str">
        <f>"ΧΑΡΙΛΑΟΥ ΤΡΙΚΟΥΠΗ 16 ΧΑΝΙΑ"</f>
        <v>ΧΑΡΙΛΑΟΥ ΤΡΙΚΟΥΠΗ 16 ΧΑΝΙΑ</v>
      </c>
      <c r="I4427">
        <v>73132</v>
      </c>
      <c r="J4427">
        <v>2821057215</v>
      </c>
      <c r="K4427">
        <v>6972015323</v>
      </c>
      <c r="M4427" t="s">
        <v>8152</v>
      </c>
      <c r="N4427" t="s">
        <v>257</v>
      </c>
      <c r="O4427" t="s">
        <v>258</v>
      </c>
      <c r="R4427" t="s">
        <v>57</v>
      </c>
      <c r="S4427">
        <v>17</v>
      </c>
      <c r="T4427">
        <v>170</v>
      </c>
      <c r="U4427" s="1">
        <v>32016</v>
      </c>
      <c r="V4427" t="s">
        <v>6729</v>
      </c>
      <c r="W4427" t="s">
        <v>6730</v>
      </c>
      <c r="X4427" t="s">
        <v>58</v>
      </c>
      <c r="Y4427">
        <v>18</v>
      </c>
      <c r="Z4427" t="s">
        <v>59</v>
      </c>
      <c r="AA4427" t="s">
        <v>59</v>
      </c>
      <c r="AB4427" t="s">
        <v>59</v>
      </c>
      <c r="AC4427" t="s">
        <v>59</v>
      </c>
      <c r="AD4427" t="s">
        <v>59</v>
      </c>
      <c r="AF4427" s="1">
        <v>32027</v>
      </c>
      <c r="AG4427" t="s">
        <v>125</v>
      </c>
      <c r="AH4427" t="s">
        <v>126</v>
      </c>
      <c r="AI4427" t="str">
        <f>"5001020"</f>
        <v>5001020</v>
      </c>
      <c r="AJ4427" t="s">
        <v>6739</v>
      </c>
      <c r="AK4427">
        <v>2821042664</v>
      </c>
      <c r="AL4427" t="s">
        <v>6740</v>
      </c>
      <c r="AM4427" t="s">
        <v>88</v>
      </c>
      <c r="AN4427" t="s">
        <v>88</v>
      </c>
      <c r="AO4427" t="s">
        <v>88</v>
      </c>
      <c r="AP4427" t="s">
        <v>88</v>
      </c>
      <c r="AQ4427">
        <v>1</v>
      </c>
      <c r="AR4427" t="s">
        <v>6729</v>
      </c>
      <c r="AS4427" t="s">
        <v>6730</v>
      </c>
      <c r="AT4427" t="s">
        <v>58</v>
      </c>
      <c r="AU4427" t="s">
        <v>68</v>
      </c>
      <c r="AV4427" t="s">
        <v>69</v>
      </c>
      <c r="AW4427" s="1">
        <v>20366</v>
      </c>
      <c r="AX4427">
        <v>2</v>
      </c>
    </row>
    <row r="4428" spans="1:50">
      <c r="A4428">
        <v>220785</v>
      </c>
      <c r="B4428" t="str">
        <f>"117640521"</f>
        <v>117640521</v>
      </c>
      <c r="C4428" t="s">
        <v>50</v>
      </c>
      <c r="D4428" t="s">
        <v>8153</v>
      </c>
      <c r="E4428" t="s">
        <v>263</v>
      </c>
      <c r="F4428" t="s">
        <v>72</v>
      </c>
      <c r="G4428" t="s">
        <v>1306</v>
      </c>
      <c r="H4428" t="str">
        <f>"ΣΕΛΙΝΟΥ 7 ΧΑΝΙΩΝ"</f>
        <v>ΣΕΛΙΝΟΥ 7 ΧΑΝΙΩΝ</v>
      </c>
      <c r="I4428">
        <v>73100</v>
      </c>
      <c r="J4428">
        <v>2541029528</v>
      </c>
      <c r="K4428">
        <v>6977726234</v>
      </c>
      <c r="N4428" t="s">
        <v>288</v>
      </c>
      <c r="O4428" t="s">
        <v>289</v>
      </c>
      <c r="R4428" t="s">
        <v>57</v>
      </c>
      <c r="S4428">
        <v>7</v>
      </c>
      <c r="T4428">
        <v>681</v>
      </c>
      <c r="U4428" s="1">
        <v>39325</v>
      </c>
      <c r="V4428" t="s">
        <v>6729</v>
      </c>
      <c r="W4428" t="s">
        <v>6730</v>
      </c>
      <c r="X4428" t="s">
        <v>58</v>
      </c>
      <c r="Y4428">
        <v>21</v>
      </c>
      <c r="Z4428" t="s">
        <v>59</v>
      </c>
      <c r="AA4428" t="s">
        <v>59</v>
      </c>
      <c r="AB4428" t="s">
        <v>59</v>
      </c>
      <c r="AC4428" t="s">
        <v>59</v>
      </c>
      <c r="AD4428" t="s">
        <v>59</v>
      </c>
      <c r="AF4428" s="1">
        <v>39331</v>
      </c>
      <c r="AG4428" t="s">
        <v>125</v>
      </c>
      <c r="AH4428" t="s">
        <v>126</v>
      </c>
      <c r="AI4428" t="str">
        <f>"5004020"</f>
        <v>5004020</v>
      </c>
      <c r="AJ4428" t="s">
        <v>6806</v>
      </c>
      <c r="AK4428">
        <v>2822022103</v>
      </c>
      <c r="AL4428" t="s">
        <v>6807</v>
      </c>
      <c r="AM4428" t="s">
        <v>88</v>
      </c>
      <c r="AN4428" t="s">
        <v>6744</v>
      </c>
      <c r="AO4428" t="s">
        <v>6744</v>
      </c>
      <c r="AP4428" t="s">
        <v>6744</v>
      </c>
      <c r="AQ4428">
        <v>1</v>
      </c>
      <c r="AR4428" t="s">
        <v>6729</v>
      </c>
      <c r="AS4428" t="s">
        <v>6730</v>
      </c>
      <c r="AT4428" t="s">
        <v>58</v>
      </c>
      <c r="AU4428" t="s">
        <v>68</v>
      </c>
      <c r="AV4428" t="s">
        <v>69</v>
      </c>
      <c r="AW4428" s="1">
        <v>29255</v>
      </c>
      <c r="AX4428">
        <v>2</v>
      </c>
    </row>
    <row r="4429" spans="1:50">
      <c r="A4429">
        <v>193204</v>
      </c>
      <c r="B4429" t="str">
        <f>"100616983"</f>
        <v>100616983</v>
      </c>
      <c r="C4429" t="s">
        <v>50</v>
      </c>
      <c r="D4429" t="s">
        <v>3416</v>
      </c>
      <c r="E4429" t="s">
        <v>314</v>
      </c>
      <c r="F4429" t="s">
        <v>4071</v>
      </c>
      <c r="G4429" t="s">
        <v>589</v>
      </c>
      <c r="H4429" t="str">
        <f>" "</f>
        <v xml:space="preserve"> </v>
      </c>
      <c r="J4429">
        <v>2825022458</v>
      </c>
      <c r="K4429">
        <v>6974071493</v>
      </c>
      <c r="M4429" t="s">
        <v>7553</v>
      </c>
      <c r="N4429" t="s">
        <v>146</v>
      </c>
      <c r="O4429" t="s">
        <v>147</v>
      </c>
      <c r="R4429" t="s">
        <v>57</v>
      </c>
      <c r="S4429">
        <v>8</v>
      </c>
      <c r="T4429">
        <v>193</v>
      </c>
      <c r="U4429" s="1">
        <v>37497</v>
      </c>
      <c r="V4429" t="s">
        <v>6729</v>
      </c>
      <c r="W4429" t="s">
        <v>6730</v>
      </c>
      <c r="X4429" t="s">
        <v>58</v>
      </c>
      <c r="Y4429">
        <v>20</v>
      </c>
      <c r="Z4429" t="s">
        <v>59</v>
      </c>
      <c r="AA4429" t="s">
        <v>59</v>
      </c>
      <c r="AB4429" t="s">
        <v>59</v>
      </c>
      <c r="AC4429" t="s">
        <v>59</v>
      </c>
      <c r="AD4429" t="s">
        <v>59</v>
      </c>
      <c r="AF4429" s="1">
        <v>37502</v>
      </c>
      <c r="AG4429" t="s">
        <v>125</v>
      </c>
      <c r="AH4429" t="s">
        <v>126</v>
      </c>
      <c r="AI4429" t="str">
        <f>"5001076"</f>
        <v>5001076</v>
      </c>
      <c r="AJ4429" t="s">
        <v>6979</v>
      </c>
      <c r="AK4429">
        <v>2821088808</v>
      </c>
      <c r="AL4429" t="s">
        <v>6980</v>
      </c>
      <c r="AM4429" t="s">
        <v>88</v>
      </c>
      <c r="AN4429" t="s">
        <v>88</v>
      </c>
      <c r="AO4429" t="s">
        <v>6733</v>
      </c>
      <c r="AP4429" t="s">
        <v>6755</v>
      </c>
      <c r="AQ4429">
        <v>1</v>
      </c>
      <c r="AR4429" t="s">
        <v>6729</v>
      </c>
      <c r="AS4429" t="s">
        <v>6730</v>
      </c>
      <c r="AT4429" t="s">
        <v>58</v>
      </c>
      <c r="AU4429" t="s">
        <v>68</v>
      </c>
      <c r="AV4429" t="s">
        <v>69</v>
      </c>
      <c r="AW4429" s="1">
        <v>28566</v>
      </c>
      <c r="AX4429">
        <v>2</v>
      </c>
    </row>
    <row r="4430" spans="1:50">
      <c r="A4430">
        <v>160779</v>
      </c>
      <c r="B4430" t="str">
        <f>"034717523"</f>
        <v>034717523</v>
      </c>
      <c r="C4430" t="s">
        <v>105</v>
      </c>
      <c r="D4430" t="s">
        <v>8154</v>
      </c>
      <c r="E4430" t="s">
        <v>72</v>
      </c>
      <c r="F4430" t="s">
        <v>166</v>
      </c>
      <c r="G4430" t="s">
        <v>237</v>
      </c>
      <c r="H4430" t="str">
        <f>" "</f>
        <v xml:space="preserve"> </v>
      </c>
      <c r="M4430" t="s">
        <v>8155</v>
      </c>
      <c r="N4430" t="s">
        <v>299</v>
      </c>
      <c r="O4430" t="s">
        <v>300</v>
      </c>
      <c r="R4430" t="s">
        <v>57</v>
      </c>
      <c r="S4430">
        <v>14</v>
      </c>
      <c r="T4430">
        <v>161</v>
      </c>
      <c r="U4430" s="1">
        <v>33119</v>
      </c>
      <c r="V4430" t="s">
        <v>6729</v>
      </c>
      <c r="W4430" t="s">
        <v>6730</v>
      </c>
      <c r="X4430" t="s">
        <v>58</v>
      </c>
      <c r="Y4430">
        <v>18</v>
      </c>
      <c r="Z4430" t="s">
        <v>59</v>
      </c>
      <c r="AA4430" t="s">
        <v>59</v>
      </c>
      <c r="AB4430" t="s">
        <v>59</v>
      </c>
      <c r="AC4430" t="s">
        <v>59</v>
      </c>
      <c r="AD4430" t="s">
        <v>59</v>
      </c>
      <c r="AF4430" s="1">
        <v>33119</v>
      </c>
      <c r="AG4430" t="s">
        <v>137</v>
      </c>
      <c r="AH4430" t="s">
        <v>138</v>
      </c>
      <c r="AI4430" t="str">
        <f>"5040050"</f>
        <v>5040050</v>
      </c>
      <c r="AJ4430" t="s">
        <v>6750</v>
      </c>
      <c r="AK4430">
        <v>2821043147</v>
      </c>
      <c r="AL4430" t="s">
        <v>6751</v>
      </c>
      <c r="AM4430" t="s">
        <v>88</v>
      </c>
      <c r="AN4430" t="s">
        <v>88</v>
      </c>
      <c r="AO4430" t="s">
        <v>88</v>
      </c>
      <c r="AP4430" t="s">
        <v>88</v>
      </c>
      <c r="AQ4430">
        <v>1</v>
      </c>
      <c r="AR4430" t="s">
        <v>6729</v>
      </c>
      <c r="AS4430" t="s">
        <v>6730</v>
      </c>
      <c r="AT4430" t="s">
        <v>58</v>
      </c>
      <c r="AU4430" t="s">
        <v>68</v>
      </c>
      <c r="AV4430" t="s">
        <v>69</v>
      </c>
      <c r="AW4430" s="1">
        <v>22132</v>
      </c>
      <c r="AX4430">
        <v>2</v>
      </c>
    </row>
    <row r="4431" spans="1:50">
      <c r="A4431">
        <v>159968</v>
      </c>
      <c r="B4431" t="str">
        <f>"027373295"</f>
        <v>027373295</v>
      </c>
      <c r="C4431" t="s">
        <v>105</v>
      </c>
      <c r="D4431" t="s">
        <v>8156</v>
      </c>
      <c r="E4431" t="s">
        <v>202</v>
      </c>
      <c r="F4431" t="s">
        <v>95</v>
      </c>
      <c r="G4431" t="s">
        <v>4659</v>
      </c>
      <c r="H4431" t="str">
        <f>"ΚΑΠΟΔΙΣΤΡΙΟΥ 86 ΧΑΝΙΑ"</f>
        <v>ΚΑΠΟΔΙΣΤΡΙΟΥ 86 ΧΑΝΙΑ</v>
      </c>
      <c r="I4431">
        <v>73133</v>
      </c>
      <c r="J4431">
        <v>2821043014</v>
      </c>
      <c r="K4431">
        <v>6976613663</v>
      </c>
      <c r="M4431" t="s">
        <v>8157</v>
      </c>
      <c r="N4431" t="s">
        <v>292</v>
      </c>
      <c r="O4431" t="s">
        <v>293</v>
      </c>
      <c r="R4431" t="s">
        <v>57</v>
      </c>
      <c r="S4431">
        <v>19</v>
      </c>
      <c r="T4431">
        <v>161</v>
      </c>
      <c r="U4431" s="1">
        <v>33119</v>
      </c>
      <c r="V4431" t="s">
        <v>6729</v>
      </c>
      <c r="W4431" t="s">
        <v>6730</v>
      </c>
      <c r="X4431" t="s">
        <v>58</v>
      </c>
      <c r="Y4431">
        <v>18</v>
      </c>
      <c r="Z4431" t="s">
        <v>59</v>
      </c>
      <c r="AA4431" t="s">
        <v>59</v>
      </c>
      <c r="AB4431" t="s">
        <v>59</v>
      </c>
      <c r="AC4431" t="s">
        <v>59</v>
      </c>
      <c r="AD4431" t="s">
        <v>59</v>
      </c>
      <c r="AF4431" s="1">
        <v>33123</v>
      </c>
      <c r="AG4431" t="s">
        <v>148</v>
      </c>
      <c r="AH4431" t="s">
        <v>149</v>
      </c>
      <c r="AI4431" t="str">
        <f>"5051050"</f>
        <v>5051050</v>
      </c>
      <c r="AJ4431" t="s">
        <v>6861</v>
      </c>
      <c r="AK4431">
        <v>2821044860</v>
      </c>
      <c r="AL4431" t="s">
        <v>6862</v>
      </c>
      <c r="AM4431" t="s">
        <v>88</v>
      </c>
      <c r="AN4431" t="s">
        <v>88</v>
      </c>
      <c r="AO4431" t="s">
        <v>88</v>
      </c>
      <c r="AP4431" t="s">
        <v>88</v>
      </c>
      <c r="AQ4431">
        <v>1</v>
      </c>
      <c r="AR4431" t="s">
        <v>6729</v>
      </c>
      <c r="AS4431" t="s">
        <v>6730</v>
      </c>
      <c r="AT4431" t="s">
        <v>58</v>
      </c>
      <c r="AU4431" t="s">
        <v>68</v>
      </c>
      <c r="AV4431" t="s">
        <v>69</v>
      </c>
      <c r="AW4431" s="1">
        <v>21613</v>
      </c>
      <c r="AX4431">
        <v>2</v>
      </c>
    </row>
    <row r="4432" spans="1:50">
      <c r="A4432">
        <v>201893</v>
      </c>
      <c r="B4432" t="str">
        <f>"035609860"</f>
        <v>035609860</v>
      </c>
      <c r="C4432" t="s">
        <v>50</v>
      </c>
      <c r="D4432" t="s">
        <v>8158</v>
      </c>
      <c r="E4432" t="s">
        <v>460</v>
      </c>
      <c r="F4432" t="s">
        <v>99</v>
      </c>
      <c r="G4432" t="s">
        <v>714</v>
      </c>
      <c r="H4432" t="str">
        <f>" "</f>
        <v xml:space="preserve"> </v>
      </c>
      <c r="J4432">
        <v>2310540751</v>
      </c>
      <c r="K4432">
        <v>6945371310</v>
      </c>
      <c r="M4432" t="s">
        <v>8159</v>
      </c>
      <c r="N4432" t="s">
        <v>146</v>
      </c>
      <c r="O4432" t="s">
        <v>147</v>
      </c>
      <c r="R4432" t="s">
        <v>57</v>
      </c>
      <c r="S4432">
        <v>7</v>
      </c>
      <c r="T4432">
        <v>231</v>
      </c>
      <c r="U4432" s="1">
        <v>38230</v>
      </c>
      <c r="V4432" t="s">
        <v>6729</v>
      </c>
      <c r="W4432" t="s">
        <v>6730</v>
      </c>
      <c r="X4432" t="s">
        <v>58</v>
      </c>
      <c r="Y4432">
        <v>20</v>
      </c>
      <c r="Z4432" t="s">
        <v>59</v>
      </c>
      <c r="AA4432" t="s">
        <v>59</v>
      </c>
      <c r="AB4432" t="s">
        <v>59</v>
      </c>
      <c r="AC4432" t="s">
        <v>59</v>
      </c>
      <c r="AD4432" t="s">
        <v>59</v>
      </c>
      <c r="AF4432" s="1">
        <v>38232</v>
      </c>
      <c r="AG4432" t="s">
        <v>125</v>
      </c>
      <c r="AH4432" t="s">
        <v>126</v>
      </c>
      <c r="AI4432" t="str">
        <f>"5001080"</f>
        <v>5001080</v>
      </c>
      <c r="AJ4432" t="s">
        <v>6984</v>
      </c>
      <c r="AK4432">
        <v>2821068020</v>
      </c>
      <c r="AL4432" t="s">
        <v>6985</v>
      </c>
      <c r="AM4432" t="s">
        <v>88</v>
      </c>
      <c r="AN4432" t="s">
        <v>6764</v>
      </c>
      <c r="AO4432" t="s">
        <v>6764</v>
      </c>
      <c r="AP4432" t="s">
        <v>6764</v>
      </c>
      <c r="AQ4432">
        <v>1</v>
      </c>
      <c r="AR4432" t="s">
        <v>6729</v>
      </c>
      <c r="AS4432" t="s">
        <v>6730</v>
      </c>
      <c r="AT4432" t="s">
        <v>58</v>
      </c>
      <c r="AU4432" t="s">
        <v>68</v>
      </c>
      <c r="AV4432" t="s">
        <v>69</v>
      </c>
      <c r="AW4432" s="1">
        <v>25807</v>
      </c>
      <c r="AX4432">
        <v>2</v>
      </c>
    </row>
    <row r="4433" spans="1:50">
      <c r="A4433">
        <v>213900</v>
      </c>
      <c r="B4433" t="str">
        <f>"111813714"</f>
        <v>111813714</v>
      </c>
      <c r="C4433" t="s">
        <v>50</v>
      </c>
      <c r="D4433" t="s">
        <v>8160</v>
      </c>
      <c r="E4433" t="s">
        <v>237</v>
      </c>
      <c r="F4433" t="s">
        <v>309</v>
      </c>
      <c r="G4433" t="s">
        <v>255</v>
      </c>
      <c r="H4433" t="str">
        <f>"8ΗΣ ΔΕΚΕΜΒΡΙΟΥ 6 "</f>
        <v xml:space="preserve">8ΗΣ ΔΕΚΕΜΒΡΙΟΥ 6 </v>
      </c>
      <c r="I4433">
        <v>73100</v>
      </c>
      <c r="J4433">
        <v>2410258566</v>
      </c>
      <c r="K4433">
        <v>6978885396</v>
      </c>
      <c r="M4433" t="s">
        <v>8161</v>
      </c>
      <c r="N4433" t="s">
        <v>306</v>
      </c>
      <c r="O4433" t="s">
        <v>307</v>
      </c>
      <c r="R4433" t="s">
        <v>57</v>
      </c>
      <c r="S4433">
        <v>6</v>
      </c>
      <c r="T4433">
        <v>231</v>
      </c>
      <c r="U4433" s="1">
        <v>38960</v>
      </c>
      <c r="V4433" t="s">
        <v>6729</v>
      </c>
      <c r="W4433" t="s">
        <v>6730</v>
      </c>
      <c r="X4433" t="s">
        <v>58</v>
      </c>
      <c r="Y4433">
        <v>20</v>
      </c>
      <c r="Z4433" t="s">
        <v>59</v>
      </c>
      <c r="AA4433" t="s">
        <v>59</v>
      </c>
      <c r="AB4433" t="s">
        <v>59</v>
      </c>
      <c r="AC4433" t="s">
        <v>59</v>
      </c>
      <c r="AD4433" t="s">
        <v>59</v>
      </c>
      <c r="AF4433" s="1">
        <v>38961</v>
      </c>
      <c r="AG4433" t="s">
        <v>125</v>
      </c>
      <c r="AH4433" t="s">
        <v>126</v>
      </c>
      <c r="AI4433" t="str">
        <f>"5010010"</f>
        <v>5010010</v>
      </c>
      <c r="AJ4433" t="s">
        <v>6779</v>
      </c>
      <c r="AK4433">
        <v>2825051288</v>
      </c>
      <c r="AL4433" t="s">
        <v>6780</v>
      </c>
      <c r="AM4433" t="s">
        <v>88</v>
      </c>
      <c r="AN4433" t="s">
        <v>6775</v>
      </c>
      <c r="AO4433" t="s">
        <v>6781</v>
      </c>
      <c r="AP4433" t="s">
        <v>6782</v>
      </c>
      <c r="AQ4433">
        <v>1</v>
      </c>
      <c r="AR4433" t="s">
        <v>6729</v>
      </c>
      <c r="AS4433" t="s">
        <v>6730</v>
      </c>
      <c r="AT4433" t="s">
        <v>58</v>
      </c>
      <c r="AU4433" t="s">
        <v>68</v>
      </c>
      <c r="AV4433" t="s">
        <v>69</v>
      </c>
      <c r="AW4433" s="1">
        <v>30132</v>
      </c>
      <c r="AX4433">
        <v>2</v>
      </c>
    </row>
    <row r="4434" spans="1:50">
      <c r="A4434">
        <v>201896</v>
      </c>
      <c r="B4434" t="str">
        <f>"112392280"</f>
        <v>112392280</v>
      </c>
      <c r="C4434" t="s">
        <v>50</v>
      </c>
      <c r="D4434" t="s">
        <v>8162</v>
      </c>
      <c r="E4434" t="s">
        <v>707</v>
      </c>
      <c r="F4434" t="s">
        <v>72</v>
      </c>
      <c r="G4434" t="s">
        <v>143</v>
      </c>
      <c r="H4434" t="str">
        <f>" "</f>
        <v xml:space="preserve"> </v>
      </c>
      <c r="J4434">
        <v>2821056897</v>
      </c>
      <c r="K4434">
        <v>6977591366</v>
      </c>
      <c r="N4434" t="s">
        <v>146</v>
      </c>
      <c r="O4434" t="s">
        <v>147</v>
      </c>
      <c r="R4434" t="s">
        <v>57</v>
      </c>
      <c r="S4434">
        <v>7</v>
      </c>
      <c r="T4434">
        <v>231</v>
      </c>
      <c r="U4434" s="1">
        <v>38230</v>
      </c>
      <c r="V4434" t="s">
        <v>6729</v>
      </c>
      <c r="W4434" t="s">
        <v>6730</v>
      </c>
      <c r="X4434" t="s">
        <v>58</v>
      </c>
      <c r="Y4434">
        <v>20</v>
      </c>
      <c r="Z4434" t="s">
        <v>59</v>
      </c>
      <c r="AA4434" t="s">
        <v>59</v>
      </c>
      <c r="AB4434" t="s">
        <v>59</v>
      </c>
      <c r="AC4434" t="s">
        <v>59</v>
      </c>
      <c r="AD4434" t="s">
        <v>59</v>
      </c>
      <c r="AF4434" s="1">
        <v>38233</v>
      </c>
      <c r="AG4434" t="s">
        <v>137</v>
      </c>
      <c r="AH4434" t="s">
        <v>469</v>
      </c>
      <c r="AI4434" t="str">
        <f>"5040055"</f>
        <v>5040055</v>
      </c>
      <c r="AJ4434" t="s">
        <v>6940</v>
      </c>
      <c r="AK4434">
        <v>2821036404</v>
      </c>
      <c r="AL4434" t="s">
        <v>6941</v>
      </c>
      <c r="AM4434" t="s">
        <v>88</v>
      </c>
      <c r="AN4434" t="s">
        <v>88</v>
      </c>
      <c r="AO4434" t="s">
        <v>88</v>
      </c>
      <c r="AP4434" t="s">
        <v>88</v>
      </c>
      <c r="AQ4434">
        <v>1</v>
      </c>
      <c r="AR4434" t="s">
        <v>6729</v>
      </c>
      <c r="AS4434" t="s">
        <v>6730</v>
      </c>
      <c r="AT4434" t="s">
        <v>58</v>
      </c>
      <c r="AU4434" t="s">
        <v>68</v>
      </c>
      <c r="AV4434" t="s">
        <v>69</v>
      </c>
      <c r="AW4434" s="1">
        <v>29354</v>
      </c>
      <c r="AX4434">
        <v>2</v>
      </c>
    </row>
    <row r="4435" spans="1:50">
      <c r="A4435">
        <v>204578</v>
      </c>
      <c r="B4435" t="str">
        <f>"046644124"</f>
        <v>046644124</v>
      </c>
      <c r="C4435" t="s">
        <v>105</v>
      </c>
      <c r="D4435" t="s">
        <v>8163</v>
      </c>
      <c r="E4435" t="s">
        <v>95</v>
      </c>
      <c r="F4435" t="s">
        <v>108</v>
      </c>
      <c r="G4435" t="s">
        <v>83</v>
      </c>
      <c r="H4435" t="str">
        <f>" "</f>
        <v xml:space="preserve"> </v>
      </c>
      <c r="J4435">
        <v>2107782986</v>
      </c>
      <c r="K4435">
        <v>6974690673</v>
      </c>
      <c r="M4435" t="s">
        <v>8164</v>
      </c>
      <c r="N4435" t="s">
        <v>337</v>
      </c>
      <c r="O4435" t="s">
        <v>338</v>
      </c>
      <c r="R4435" t="s">
        <v>57</v>
      </c>
      <c r="S4435">
        <v>7</v>
      </c>
      <c r="T4435">
        <v>231</v>
      </c>
      <c r="U4435" s="1">
        <v>38230</v>
      </c>
      <c r="V4435" t="s">
        <v>6729</v>
      </c>
      <c r="W4435" t="s">
        <v>6730</v>
      </c>
      <c r="X4435" t="s">
        <v>58</v>
      </c>
      <c r="Y4435">
        <v>20</v>
      </c>
      <c r="Z4435" t="s">
        <v>59</v>
      </c>
      <c r="AA4435" t="s">
        <v>59</v>
      </c>
      <c r="AB4435" t="s">
        <v>59</v>
      </c>
      <c r="AC4435" t="s">
        <v>59</v>
      </c>
      <c r="AD4435" t="s">
        <v>59</v>
      </c>
      <c r="AF4435" s="1">
        <v>38233</v>
      </c>
      <c r="AG4435" t="s">
        <v>125</v>
      </c>
      <c r="AH4435" t="s">
        <v>126</v>
      </c>
      <c r="AI4435" t="str">
        <f>"5002010"</f>
        <v>5002010</v>
      </c>
      <c r="AJ4435" t="s">
        <v>6773</v>
      </c>
      <c r="AK4435">
        <v>2825022249</v>
      </c>
      <c r="AL4435" t="s">
        <v>6774</v>
      </c>
      <c r="AM4435" t="s">
        <v>88</v>
      </c>
      <c r="AN4435" t="s">
        <v>6775</v>
      </c>
      <c r="AO4435" t="s">
        <v>6776</v>
      </c>
      <c r="AP4435" t="s">
        <v>6776</v>
      </c>
      <c r="AQ4435">
        <v>1</v>
      </c>
      <c r="AR4435" t="s">
        <v>6729</v>
      </c>
      <c r="AS4435" t="s">
        <v>6730</v>
      </c>
      <c r="AT4435" t="s">
        <v>58</v>
      </c>
      <c r="AU4435" t="s">
        <v>68</v>
      </c>
      <c r="AV4435" t="s">
        <v>69</v>
      </c>
      <c r="AW4435" s="1">
        <v>26840</v>
      </c>
      <c r="AX4435">
        <v>2</v>
      </c>
    </row>
    <row r="4436" spans="1:50">
      <c r="A4436">
        <v>210620</v>
      </c>
      <c r="B4436" t="str">
        <f>"100159915"</f>
        <v>100159915</v>
      </c>
      <c r="C4436" t="s">
        <v>50</v>
      </c>
      <c r="D4436" t="s">
        <v>8165</v>
      </c>
      <c r="E4436" t="s">
        <v>714</v>
      </c>
      <c r="F4436" t="s">
        <v>995</v>
      </c>
      <c r="G4436" t="s">
        <v>83</v>
      </c>
      <c r="H4436" t="str">
        <f>"ΠΟΛΥΓΝΩΤΟΥ 53 ΑΝΩ ΤΟΥΜΠΑ"</f>
        <v>ΠΟΛΥΓΝΩΤΟΥ 53 ΑΝΩ ΤΟΥΜΠΑ</v>
      </c>
      <c r="J4436">
        <v>2310917492</v>
      </c>
      <c r="K4436">
        <v>6944447259</v>
      </c>
      <c r="M4436" t="s">
        <v>8166</v>
      </c>
      <c r="N4436" t="s">
        <v>306</v>
      </c>
      <c r="O4436" t="s">
        <v>307</v>
      </c>
      <c r="R4436" t="s">
        <v>57</v>
      </c>
      <c r="S4436">
        <v>8</v>
      </c>
      <c r="T4436">
        <v>249</v>
      </c>
      <c r="U4436" s="1">
        <v>38617</v>
      </c>
      <c r="V4436" t="s">
        <v>6729</v>
      </c>
      <c r="W4436" t="s">
        <v>6730</v>
      </c>
      <c r="X4436" t="s">
        <v>58</v>
      </c>
      <c r="Y4436">
        <v>20</v>
      </c>
      <c r="Z4436" t="s">
        <v>59</v>
      </c>
      <c r="AA4436" t="s">
        <v>59</v>
      </c>
      <c r="AB4436" t="s">
        <v>59</v>
      </c>
      <c r="AC4436" t="s">
        <v>59</v>
      </c>
      <c r="AD4436" t="s">
        <v>59</v>
      </c>
      <c r="AF4436" s="1">
        <v>38621</v>
      </c>
      <c r="AG4436" t="s">
        <v>148</v>
      </c>
      <c r="AH4436" t="s">
        <v>149</v>
      </c>
      <c r="AI4436" t="str">
        <f>"5055010"</f>
        <v>5055010</v>
      </c>
      <c r="AJ4436" t="s">
        <v>6868</v>
      </c>
      <c r="AK4436">
        <v>2823041416</v>
      </c>
      <c r="AL4436" t="s">
        <v>6869</v>
      </c>
      <c r="AM4436" t="s">
        <v>88</v>
      </c>
      <c r="AN4436" t="s">
        <v>6824</v>
      </c>
      <c r="AO4436" t="s">
        <v>6870</v>
      </c>
      <c r="AP4436" t="s">
        <v>6871</v>
      </c>
      <c r="AQ4436">
        <v>1</v>
      </c>
      <c r="AR4436" t="s">
        <v>6729</v>
      </c>
      <c r="AS4436" t="s">
        <v>6730</v>
      </c>
      <c r="AT4436" t="s">
        <v>58</v>
      </c>
      <c r="AU4436" t="s">
        <v>68</v>
      </c>
      <c r="AV4436" t="s">
        <v>69</v>
      </c>
      <c r="AW4436" s="1">
        <v>28658</v>
      </c>
      <c r="AX4436">
        <v>2</v>
      </c>
    </row>
    <row r="4437" spans="1:50">
      <c r="A4437">
        <v>401170</v>
      </c>
      <c r="B4437" t="str">
        <f>"078047140"</f>
        <v>078047140</v>
      </c>
      <c r="C4437" t="s">
        <v>50</v>
      </c>
      <c r="D4437" t="s">
        <v>6425</v>
      </c>
      <c r="E4437" t="s">
        <v>3249</v>
      </c>
      <c r="F4437" t="s">
        <v>321</v>
      </c>
      <c r="G4437" t="s">
        <v>513</v>
      </c>
      <c r="H4437" t="str">
        <f>"Χ. ΠΙΠΕΡΑΚΗ 24 ΧΑΝΙΑ"</f>
        <v>Χ. ΠΙΠΕΡΑΚΗ 24 ΧΑΝΙΑ</v>
      </c>
      <c r="I4437">
        <v>73100</v>
      </c>
      <c r="J4437">
        <v>2821070389</v>
      </c>
      <c r="K4437">
        <v>6973347068</v>
      </c>
      <c r="N4437" t="s">
        <v>146</v>
      </c>
      <c r="O4437" t="s">
        <v>147</v>
      </c>
      <c r="R4437" t="s">
        <v>57</v>
      </c>
      <c r="S4437">
        <v>8</v>
      </c>
      <c r="T4437" t="s">
        <v>8167</v>
      </c>
      <c r="U4437" s="1">
        <v>38938</v>
      </c>
      <c r="V4437" t="s">
        <v>6729</v>
      </c>
      <c r="W4437" t="s">
        <v>6730</v>
      </c>
      <c r="X4437" t="s">
        <v>58</v>
      </c>
      <c r="Y4437">
        <v>20</v>
      </c>
      <c r="Z4437" t="s">
        <v>59</v>
      </c>
      <c r="AA4437" t="s">
        <v>59</v>
      </c>
      <c r="AB4437" t="s">
        <v>59</v>
      </c>
      <c r="AC4437" t="s">
        <v>59</v>
      </c>
      <c r="AD4437" t="s">
        <v>59</v>
      </c>
      <c r="AF4437" s="1">
        <v>38961</v>
      </c>
      <c r="AG4437" t="s">
        <v>125</v>
      </c>
      <c r="AH4437" t="s">
        <v>126</v>
      </c>
      <c r="AI4437" t="str">
        <f>"5001010"</f>
        <v>5001010</v>
      </c>
      <c r="AJ4437" t="s">
        <v>6873</v>
      </c>
      <c r="AK4437">
        <v>2821052130</v>
      </c>
      <c r="AL4437" t="s">
        <v>6874</v>
      </c>
      <c r="AM4437" t="s">
        <v>88</v>
      </c>
      <c r="AN4437" t="s">
        <v>88</v>
      </c>
      <c r="AO4437" t="s">
        <v>88</v>
      </c>
      <c r="AP4437" t="s">
        <v>88</v>
      </c>
      <c r="AQ4437">
        <v>1</v>
      </c>
      <c r="AR4437" t="s">
        <v>6729</v>
      </c>
      <c r="AS4437" t="s">
        <v>6730</v>
      </c>
      <c r="AT4437" t="s">
        <v>58</v>
      </c>
      <c r="AU4437" t="s">
        <v>68</v>
      </c>
      <c r="AV4437" t="s">
        <v>132</v>
      </c>
      <c r="AW4437" s="1">
        <v>26227</v>
      </c>
      <c r="AX4437">
        <v>2</v>
      </c>
    </row>
    <row r="4438" spans="1:50">
      <c r="B4438" t="str">
        <f>"047287300"</f>
        <v>047287300</v>
      </c>
      <c r="C4438" t="s">
        <v>50</v>
      </c>
      <c r="D4438" t="s">
        <v>8168</v>
      </c>
      <c r="E4438" t="s">
        <v>143</v>
      </c>
      <c r="F4438" t="s">
        <v>95</v>
      </c>
      <c r="G4438" t="s">
        <v>352</v>
      </c>
      <c r="H4438" t="str">
        <f>"ΣΕΛΙΝΟΥ 87 Α ΧΑΝΙΑ"</f>
        <v>ΣΕΛΙΝΟΥ 87 Α ΧΑΝΙΑ</v>
      </c>
      <c r="I4438">
        <v>73100</v>
      </c>
      <c r="M4438" t="s">
        <v>8169</v>
      </c>
      <c r="N4438" t="s">
        <v>292</v>
      </c>
      <c r="O4438" t="s">
        <v>293</v>
      </c>
      <c r="R4438" t="s">
        <v>159</v>
      </c>
      <c r="S4438">
        <v>2</v>
      </c>
      <c r="T4438" t="s">
        <v>574</v>
      </c>
      <c r="U4438" s="1">
        <v>43378</v>
      </c>
      <c r="V4438" t="s">
        <v>6729</v>
      </c>
      <c r="W4438" t="s">
        <v>6730</v>
      </c>
      <c r="X4438" t="s">
        <v>58</v>
      </c>
      <c r="Y4438">
        <v>23</v>
      </c>
      <c r="Z4438" t="s">
        <v>59</v>
      </c>
      <c r="AA4438" t="s">
        <v>59</v>
      </c>
      <c r="AB4438" t="s">
        <v>59</v>
      </c>
      <c r="AC4438" t="s">
        <v>59</v>
      </c>
      <c r="AD4438" t="s">
        <v>59</v>
      </c>
      <c r="AF4438" s="1">
        <v>43381</v>
      </c>
      <c r="AG4438" t="s">
        <v>148</v>
      </c>
      <c r="AH4438" t="s">
        <v>149</v>
      </c>
      <c r="AI4438" t="str">
        <f>"5090080"</f>
        <v>5090080</v>
      </c>
      <c r="AJ4438" t="s">
        <v>6906</v>
      </c>
      <c r="AK4438">
        <v>2821096638</v>
      </c>
      <c r="AL4438" t="s">
        <v>6907</v>
      </c>
      <c r="AM4438" t="s">
        <v>88</v>
      </c>
      <c r="AN4438" t="s">
        <v>88</v>
      </c>
      <c r="AO4438" t="s">
        <v>88</v>
      </c>
      <c r="AP4438" t="s">
        <v>88</v>
      </c>
      <c r="AQ4438">
        <v>1</v>
      </c>
      <c r="AR4438" t="s">
        <v>6729</v>
      </c>
      <c r="AS4438" t="s">
        <v>6730</v>
      </c>
      <c r="AT4438" t="s">
        <v>58</v>
      </c>
      <c r="AU4438" t="s">
        <v>164</v>
      </c>
      <c r="AV4438" t="s">
        <v>132</v>
      </c>
      <c r="AW4438" s="1">
        <v>24648</v>
      </c>
      <c r="AX4438">
        <v>2</v>
      </c>
    </row>
    <row r="4439" spans="1:50">
      <c r="A4439">
        <v>219600</v>
      </c>
      <c r="B4439" t="str">
        <f>"038509079"</f>
        <v>038509079</v>
      </c>
      <c r="C4439" t="s">
        <v>50</v>
      </c>
      <c r="D4439" t="s">
        <v>6426</v>
      </c>
      <c r="E4439" t="s">
        <v>237</v>
      </c>
      <c r="F4439" t="s">
        <v>459</v>
      </c>
      <c r="G4439" t="s">
        <v>1345</v>
      </c>
      <c r="H4439" t="str">
        <f>" "</f>
        <v xml:space="preserve"> </v>
      </c>
      <c r="J4439">
        <v>2106013667</v>
      </c>
      <c r="K4439">
        <v>6976231711</v>
      </c>
      <c r="M4439" t="s">
        <v>8170</v>
      </c>
      <c r="N4439" t="s">
        <v>683</v>
      </c>
      <c r="O4439" t="s">
        <v>684</v>
      </c>
      <c r="R4439" t="s">
        <v>57</v>
      </c>
      <c r="S4439">
        <v>6</v>
      </c>
      <c r="T4439">
        <v>599</v>
      </c>
      <c r="U4439" s="1">
        <v>39310</v>
      </c>
      <c r="V4439" t="s">
        <v>6729</v>
      </c>
      <c r="W4439" t="s">
        <v>6730</v>
      </c>
      <c r="X4439" t="s">
        <v>58</v>
      </c>
      <c r="Y4439">
        <v>20</v>
      </c>
      <c r="Z4439" t="s">
        <v>59</v>
      </c>
      <c r="AA4439" t="s">
        <v>59</v>
      </c>
      <c r="AB4439" t="s">
        <v>59</v>
      </c>
      <c r="AC4439" t="s">
        <v>59</v>
      </c>
      <c r="AD4439" t="s">
        <v>59</v>
      </c>
      <c r="AF4439" s="1">
        <v>39328</v>
      </c>
      <c r="AG4439" t="s">
        <v>125</v>
      </c>
      <c r="AH4439" t="s">
        <v>126</v>
      </c>
      <c r="AI4439" t="str">
        <f>"5009010"</f>
        <v>5009010</v>
      </c>
      <c r="AJ4439" t="s">
        <v>6901</v>
      </c>
      <c r="AK4439">
        <v>2821077212</v>
      </c>
      <c r="AL4439" t="s">
        <v>6902</v>
      </c>
      <c r="AM4439" t="s">
        <v>88</v>
      </c>
      <c r="AN4439" t="s">
        <v>6764</v>
      </c>
      <c r="AO4439" t="s">
        <v>6885</v>
      </c>
      <c r="AP4439" t="s">
        <v>6886</v>
      </c>
      <c r="AQ4439">
        <v>1</v>
      </c>
      <c r="AR4439" t="s">
        <v>6729</v>
      </c>
      <c r="AS4439" t="s">
        <v>6730</v>
      </c>
      <c r="AT4439" t="s">
        <v>58</v>
      </c>
      <c r="AU4439" t="s">
        <v>68</v>
      </c>
      <c r="AV4439" t="s">
        <v>69</v>
      </c>
      <c r="AW4439" s="1">
        <v>25555</v>
      </c>
      <c r="AX4439">
        <v>2</v>
      </c>
    </row>
    <row r="4440" spans="1:50">
      <c r="A4440">
        <v>207975</v>
      </c>
      <c r="B4440" t="str">
        <f>"101550533"</f>
        <v>101550533</v>
      </c>
      <c r="C4440" t="s">
        <v>50</v>
      </c>
      <c r="D4440" t="s">
        <v>6431</v>
      </c>
      <c r="E4440" t="s">
        <v>263</v>
      </c>
      <c r="F4440" t="s">
        <v>166</v>
      </c>
      <c r="G4440" t="s">
        <v>1644</v>
      </c>
      <c r="H4440" t="str">
        <f>"ΓΚΕΡΟΛΑ ΚΑΙ ΘΕΟΔΩΡΑΚΗ ΜΑΝΟΛΗ 2 ΚΟΥΜ ΚΑΠΙ"</f>
        <v>ΓΚΕΡΟΛΑ ΚΑΙ ΘΕΟΔΩΡΑΚΗ ΜΑΝΟΛΗ 2 ΚΟΥΜ ΚΑΠΙ</v>
      </c>
      <c r="I4440">
        <v>73100</v>
      </c>
      <c r="J4440">
        <v>2821027833</v>
      </c>
      <c r="K4440">
        <v>6973983685</v>
      </c>
      <c r="N4440" t="s">
        <v>257</v>
      </c>
      <c r="O4440" t="s">
        <v>258</v>
      </c>
      <c r="P4440" t="s">
        <v>1525</v>
      </c>
      <c r="Q4440" t="s">
        <v>1526</v>
      </c>
      <c r="R4440" t="s">
        <v>57</v>
      </c>
      <c r="S4440">
        <v>9</v>
      </c>
      <c r="T4440">
        <v>218</v>
      </c>
      <c r="U4440" s="1">
        <v>38596</v>
      </c>
      <c r="V4440" t="s">
        <v>6729</v>
      </c>
      <c r="W4440" t="s">
        <v>6730</v>
      </c>
      <c r="X4440" t="s">
        <v>58</v>
      </c>
      <c r="Y4440">
        <v>20</v>
      </c>
      <c r="Z4440" t="s">
        <v>59</v>
      </c>
      <c r="AA4440" t="s">
        <v>59</v>
      </c>
      <c r="AB4440" t="s">
        <v>59</v>
      </c>
      <c r="AC4440" t="s">
        <v>59</v>
      </c>
      <c r="AD4440" t="s">
        <v>59</v>
      </c>
      <c r="AF4440" s="1">
        <v>38602</v>
      </c>
      <c r="AG4440" t="s">
        <v>148</v>
      </c>
      <c r="AH4440" t="s">
        <v>149</v>
      </c>
      <c r="AI4440" t="str">
        <f>"5061010"</f>
        <v>5061010</v>
      </c>
      <c r="AJ4440" t="s">
        <v>6746</v>
      </c>
      <c r="AK4440">
        <v>2821081530</v>
      </c>
      <c r="AL4440" t="s">
        <v>6747</v>
      </c>
      <c r="AM4440" t="s">
        <v>88</v>
      </c>
      <c r="AN4440" t="s">
        <v>88</v>
      </c>
      <c r="AO4440" t="s">
        <v>6748</v>
      </c>
      <c r="AP4440" t="s">
        <v>6748</v>
      </c>
      <c r="AQ4440">
        <v>1</v>
      </c>
      <c r="AR4440" t="s">
        <v>6729</v>
      </c>
      <c r="AS4440" t="s">
        <v>6730</v>
      </c>
      <c r="AT4440" t="s">
        <v>58</v>
      </c>
      <c r="AU4440" t="s">
        <v>68</v>
      </c>
      <c r="AV4440" t="s">
        <v>69</v>
      </c>
      <c r="AW4440" s="1">
        <v>24057</v>
      </c>
      <c r="AX4440">
        <v>2</v>
      </c>
    </row>
    <row r="4441" spans="1:50">
      <c r="A4441">
        <v>173722</v>
      </c>
      <c r="B4441" t="str">
        <f>"100633248"</f>
        <v>100633248</v>
      </c>
      <c r="C4441" t="s">
        <v>50</v>
      </c>
      <c r="D4441" t="s">
        <v>6431</v>
      </c>
      <c r="E4441" t="s">
        <v>52</v>
      </c>
      <c r="F4441" t="s">
        <v>5386</v>
      </c>
      <c r="G4441" t="s">
        <v>705</v>
      </c>
      <c r="H4441" t="str">
        <f>" "</f>
        <v xml:space="preserve"> </v>
      </c>
      <c r="N4441" t="s">
        <v>292</v>
      </c>
      <c r="O4441" t="s">
        <v>293</v>
      </c>
      <c r="R4441" t="s">
        <v>57</v>
      </c>
      <c r="S4441">
        <v>11</v>
      </c>
      <c r="T4441">
        <v>166</v>
      </c>
      <c r="U4441" s="1">
        <v>35300</v>
      </c>
      <c r="V4441" t="s">
        <v>6729</v>
      </c>
      <c r="W4441" t="s">
        <v>6730</v>
      </c>
      <c r="X4441" t="s">
        <v>58</v>
      </c>
      <c r="Y4441">
        <v>18</v>
      </c>
      <c r="Z4441" t="s">
        <v>59</v>
      </c>
      <c r="AA4441" t="s">
        <v>59</v>
      </c>
      <c r="AB4441" t="s">
        <v>59</v>
      </c>
      <c r="AC4441" t="s">
        <v>59</v>
      </c>
      <c r="AD4441" t="s">
        <v>59</v>
      </c>
      <c r="AF4441" s="1">
        <v>35312</v>
      </c>
      <c r="AG4441" t="s">
        <v>125</v>
      </c>
      <c r="AH4441" t="s">
        <v>126</v>
      </c>
      <c r="AI4441" t="str">
        <f>"5001080"</f>
        <v>5001080</v>
      </c>
      <c r="AJ4441" t="s">
        <v>6984</v>
      </c>
      <c r="AK4441">
        <v>2821068020</v>
      </c>
      <c r="AL4441" t="s">
        <v>6985</v>
      </c>
      <c r="AM4441" t="s">
        <v>88</v>
      </c>
      <c r="AN4441" t="s">
        <v>6764</v>
      </c>
      <c r="AO4441" t="s">
        <v>6764</v>
      </c>
      <c r="AP4441" t="s">
        <v>6764</v>
      </c>
      <c r="AQ4441">
        <v>1</v>
      </c>
      <c r="AR4441" t="s">
        <v>6729</v>
      </c>
      <c r="AS4441" t="s">
        <v>6730</v>
      </c>
      <c r="AT4441" t="s">
        <v>58</v>
      </c>
      <c r="AU4441" t="s">
        <v>68</v>
      </c>
      <c r="AV4441" t="s">
        <v>69</v>
      </c>
      <c r="AW4441" s="1">
        <v>20301</v>
      </c>
      <c r="AX4441">
        <v>2</v>
      </c>
    </row>
    <row r="4442" spans="1:50">
      <c r="B4442" t="str">
        <f>"056733614"</f>
        <v>056733614</v>
      </c>
      <c r="C4442" t="s">
        <v>50</v>
      </c>
      <c r="D4442" t="s">
        <v>8171</v>
      </c>
      <c r="E4442" t="s">
        <v>783</v>
      </c>
      <c r="F4442" t="s">
        <v>72</v>
      </c>
      <c r="G4442" t="s">
        <v>181</v>
      </c>
      <c r="H4442" t="str">
        <f>"ΘΥΜΙΑΝΗΣ 6 "</f>
        <v xml:space="preserve">ΘΥΜΙΑΝΗΣ 6 </v>
      </c>
      <c r="I4442">
        <v>73100</v>
      </c>
      <c r="J4442">
        <v>2821500425</v>
      </c>
      <c r="K4442">
        <v>6945540749</v>
      </c>
      <c r="M4442" t="s">
        <v>8172</v>
      </c>
      <c r="N4442" t="s">
        <v>306</v>
      </c>
      <c r="O4442" t="s">
        <v>307</v>
      </c>
      <c r="R4442" t="s">
        <v>159</v>
      </c>
      <c r="S4442">
        <v>2</v>
      </c>
      <c r="T4442" t="s">
        <v>873</v>
      </c>
      <c r="U4442" s="1">
        <v>43377</v>
      </c>
      <c r="V4442" t="s">
        <v>6729</v>
      </c>
      <c r="W4442" t="s">
        <v>6730</v>
      </c>
      <c r="X4442" t="s">
        <v>58</v>
      </c>
      <c r="Y4442">
        <v>23</v>
      </c>
      <c r="Z4442" t="s">
        <v>59</v>
      </c>
      <c r="AA4442" t="s">
        <v>59</v>
      </c>
      <c r="AB4442" t="s">
        <v>59</v>
      </c>
      <c r="AC4442" t="s">
        <v>59</v>
      </c>
      <c r="AD4442" t="s">
        <v>59</v>
      </c>
      <c r="AF4442" s="1">
        <v>43377</v>
      </c>
      <c r="AG4442" t="s">
        <v>125</v>
      </c>
      <c r="AH4442" t="s">
        <v>126</v>
      </c>
      <c r="AI4442" t="str">
        <f>"5008010"</f>
        <v>5008010</v>
      </c>
      <c r="AJ4442" t="s">
        <v>6993</v>
      </c>
      <c r="AK4442">
        <v>2825091207</v>
      </c>
      <c r="AL4442" t="s">
        <v>6994</v>
      </c>
      <c r="AM4442" t="s">
        <v>88</v>
      </c>
      <c r="AN4442" t="s">
        <v>6995</v>
      </c>
      <c r="AO4442" t="s">
        <v>6995</v>
      </c>
      <c r="AP4442" t="s">
        <v>6996</v>
      </c>
      <c r="AQ4442">
        <v>1</v>
      </c>
      <c r="AR4442" t="s">
        <v>6729</v>
      </c>
      <c r="AS4442" t="s">
        <v>6730</v>
      </c>
      <c r="AT4442" t="s">
        <v>58</v>
      </c>
      <c r="AU4442" t="s">
        <v>164</v>
      </c>
      <c r="AV4442" t="s">
        <v>132</v>
      </c>
      <c r="AW4442" s="1">
        <v>27228</v>
      </c>
      <c r="AX4442">
        <v>2</v>
      </c>
    </row>
    <row r="4443" spans="1:50">
      <c r="A4443">
        <v>180244</v>
      </c>
      <c r="B4443" t="str">
        <f>"030685843"</f>
        <v>030685843</v>
      </c>
      <c r="C4443" t="s">
        <v>105</v>
      </c>
      <c r="D4443" t="s">
        <v>8173</v>
      </c>
      <c r="E4443" t="s">
        <v>989</v>
      </c>
      <c r="F4443" t="s">
        <v>377</v>
      </c>
      <c r="G4443" t="s">
        <v>8174</v>
      </c>
      <c r="H4443" t="str">
        <f>"ΑΝΤΩΝΙΟΥ ΓΙΑΝΝΑΡΗ 3-5 ΧΑΝΙΑ"</f>
        <v>ΑΝΤΩΝΙΟΥ ΓΙΑΝΝΑΡΗ 3-5 ΧΑΝΙΑ</v>
      </c>
      <c r="I4443">
        <v>73100</v>
      </c>
      <c r="J4443">
        <v>2821096638</v>
      </c>
      <c r="K4443">
        <v>6978335579</v>
      </c>
      <c r="L4443">
        <v>2821058360</v>
      </c>
      <c r="M4443" t="s">
        <v>8175</v>
      </c>
      <c r="N4443" t="s">
        <v>292</v>
      </c>
      <c r="O4443" t="s">
        <v>293</v>
      </c>
      <c r="R4443" t="s">
        <v>57</v>
      </c>
      <c r="S4443">
        <v>10</v>
      </c>
      <c r="T4443">
        <v>181</v>
      </c>
      <c r="U4443" s="1">
        <v>36039</v>
      </c>
      <c r="V4443" t="s">
        <v>6729</v>
      </c>
      <c r="W4443" t="s">
        <v>6730</v>
      </c>
      <c r="X4443" t="s">
        <v>58</v>
      </c>
      <c r="Y4443">
        <v>18</v>
      </c>
      <c r="Z4443" t="s">
        <v>59</v>
      </c>
      <c r="AA4443" t="s">
        <v>59</v>
      </c>
      <c r="AB4443" t="s">
        <v>59</v>
      </c>
      <c r="AC4443" t="s">
        <v>59</v>
      </c>
      <c r="AD4443" t="s">
        <v>59</v>
      </c>
      <c r="AF4443" s="1">
        <v>36041</v>
      </c>
      <c r="AG4443" t="s">
        <v>148</v>
      </c>
      <c r="AH4443" t="s">
        <v>149</v>
      </c>
      <c r="AI4443" t="str">
        <f>"5090080"</f>
        <v>5090080</v>
      </c>
      <c r="AJ4443" t="s">
        <v>6906</v>
      </c>
      <c r="AK4443">
        <v>2821096638</v>
      </c>
      <c r="AL4443" t="s">
        <v>6907</v>
      </c>
      <c r="AM4443" t="s">
        <v>88</v>
      </c>
      <c r="AN4443" t="s">
        <v>88</v>
      </c>
      <c r="AO4443" t="s">
        <v>88</v>
      </c>
      <c r="AP4443" t="s">
        <v>88</v>
      </c>
      <c r="AQ4443">
        <v>1</v>
      </c>
      <c r="AR4443" t="s">
        <v>6729</v>
      </c>
      <c r="AS4443" t="s">
        <v>6730</v>
      </c>
      <c r="AT4443" t="s">
        <v>58</v>
      </c>
      <c r="AU4443" t="s">
        <v>68</v>
      </c>
      <c r="AV4443" t="s">
        <v>69</v>
      </c>
      <c r="AW4443" s="1">
        <v>21287</v>
      </c>
      <c r="AX4443">
        <v>2</v>
      </c>
    </row>
    <row r="4444" spans="1:50">
      <c r="A4444">
        <v>229763</v>
      </c>
      <c r="B4444" t="str">
        <f>"101740666"</f>
        <v>101740666</v>
      </c>
      <c r="C4444" t="s">
        <v>50</v>
      </c>
      <c r="D4444" t="s">
        <v>8176</v>
      </c>
      <c r="E4444" t="s">
        <v>600</v>
      </c>
      <c r="F4444" t="s">
        <v>670</v>
      </c>
      <c r="G4444" t="s">
        <v>143</v>
      </c>
      <c r="H4444" t="str">
        <f>"ΣΟΡΩΝΗ ΡΟΔΟΣ ΔΩΔΕΚΑΝΗΣΑ"</f>
        <v>ΣΟΡΩΝΗ ΡΟΔΟΣ ΔΩΔΕΚΑΝΗΣΑ</v>
      </c>
      <c r="I4444">
        <v>85106</v>
      </c>
      <c r="J4444">
        <v>2241041187</v>
      </c>
      <c r="K4444">
        <v>6945786957</v>
      </c>
      <c r="N4444" t="s">
        <v>583</v>
      </c>
      <c r="O4444" t="s">
        <v>584</v>
      </c>
      <c r="R4444" t="s">
        <v>57</v>
      </c>
      <c r="S4444">
        <v>7</v>
      </c>
      <c r="T4444">
        <v>988</v>
      </c>
      <c r="U4444" s="1">
        <v>40157</v>
      </c>
      <c r="V4444" t="s">
        <v>6729</v>
      </c>
      <c r="W4444" t="s">
        <v>6730</v>
      </c>
      <c r="X4444" t="s">
        <v>58</v>
      </c>
      <c r="Y4444">
        <v>21</v>
      </c>
      <c r="Z4444" t="s">
        <v>59</v>
      </c>
      <c r="AA4444" t="s">
        <v>59</v>
      </c>
      <c r="AB4444" t="s">
        <v>59</v>
      </c>
      <c r="AC4444" t="s">
        <v>59</v>
      </c>
      <c r="AD4444" t="s">
        <v>59</v>
      </c>
      <c r="AF4444" s="1">
        <v>40158</v>
      </c>
      <c r="AG4444" t="s">
        <v>137</v>
      </c>
      <c r="AH4444" t="s">
        <v>469</v>
      </c>
      <c r="AI4444" t="str">
        <f>"5053001"</f>
        <v>5053001</v>
      </c>
      <c r="AJ4444" t="s">
        <v>6788</v>
      </c>
      <c r="AK4444">
        <v>2821068020</v>
      </c>
      <c r="AM4444" t="s">
        <v>88</v>
      </c>
      <c r="AN4444" t="s">
        <v>6764</v>
      </c>
      <c r="AO4444" t="s">
        <v>6764</v>
      </c>
      <c r="AP4444" t="s">
        <v>6764</v>
      </c>
      <c r="AQ4444">
        <v>1</v>
      </c>
      <c r="AR4444" t="s">
        <v>6729</v>
      </c>
      <c r="AS4444" t="s">
        <v>6730</v>
      </c>
      <c r="AT4444" t="s">
        <v>58</v>
      </c>
      <c r="AU4444" t="s">
        <v>68</v>
      </c>
      <c r="AV4444" t="s">
        <v>69</v>
      </c>
      <c r="AW4444" s="1">
        <v>28126</v>
      </c>
      <c r="AX4444">
        <v>2</v>
      </c>
    </row>
    <row r="4445" spans="1:50">
      <c r="A4445">
        <v>226775</v>
      </c>
      <c r="B4445" t="str">
        <f>"056961997"</f>
        <v>056961997</v>
      </c>
      <c r="C4445" t="s">
        <v>105</v>
      </c>
      <c r="D4445" t="s">
        <v>8177</v>
      </c>
      <c r="E4445" t="s">
        <v>957</v>
      </c>
      <c r="F4445" t="s">
        <v>95</v>
      </c>
      <c r="G4445" t="s">
        <v>4968</v>
      </c>
      <c r="H4445" t="str">
        <f>"ANDRIANAKH 17 Γ "</f>
        <v xml:space="preserve">ANDRIANAKH 17 Γ </v>
      </c>
      <c r="I4445">
        <v>73133</v>
      </c>
      <c r="J4445">
        <v>2821059247</v>
      </c>
      <c r="K4445">
        <v>6974115040</v>
      </c>
      <c r="M4445" t="s">
        <v>8178</v>
      </c>
      <c r="N4445" t="s">
        <v>146</v>
      </c>
      <c r="O4445" t="s">
        <v>147</v>
      </c>
      <c r="R4445" t="s">
        <v>57</v>
      </c>
      <c r="S4445">
        <v>8</v>
      </c>
      <c r="T4445">
        <v>654</v>
      </c>
      <c r="U4445" s="1">
        <v>40043</v>
      </c>
      <c r="V4445" t="s">
        <v>6729</v>
      </c>
      <c r="W4445" t="s">
        <v>6730</v>
      </c>
      <c r="X4445" t="s">
        <v>58</v>
      </c>
      <c r="Y4445">
        <v>20</v>
      </c>
      <c r="Z4445" t="s">
        <v>59</v>
      </c>
      <c r="AA4445" t="s">
        <v>59</v>
      </c>
      <c r="AB4445" t="s">
        <v>59</v>
      </c>
      <c r="AC4445" t="s">
        <v>59</v>
      </c>
      <c r="AD4445" t="s">
        <v>59</v>
      </c>
      <c r="AF4445" s="1">
        <v>40045</v>
      </c>
      <c r="AG4445" t="s">
        <v>125</v>
      </c>
      <c r="AH4445" t="s">
        <v>126</v>
      </c>
      <c r="AI4445" t="str">
        <f>"5001073"</f>
        <v>5001073</v>
      </c>
      <c r="AJ4445" t="s">
        <v>6849</v>
      </c>
      <c r="AK4445">
        <v>2821028553</v>
      </c>
      <c r="AL4445" t="s">
        <v>6850</v>
      </c>
      <c r="AM4445" t="s">
        <v>88</v>
      </c>
      <c r="AN4445" t="s">
        <v>88</v>
      </c>
      <c r="AO4445" t="s">
        <v>88</v>
      </c>
      <c r="AP4445" t="s">
        <v>88</v>
      </c>
      <c r="AQ4445">
        <v>1</v>
      </c>
      <c r="AR4445" t="s">
        <v>6729</v>
      </c>
      <c r="AS4445" t="s">
        <v>6730</v>
      </c>
      <c r="AT4445" t="s">
        <v>58</v>
      </c>
      <c r="AU4445" t="s">
        <v>68</v>
      </c>
      <c r="AV4445" t="s">
        <v>69</v>
      </c>
      <c r="AW4445" s="1">
        <v>26208</v>
      </c>
      <c r="AX4445">
        <v>2</v>
      </c>
    </row>
    <row r="4446" spans="1:50">
      <c r="A4446">
        <v>213908</v>
      </c>
      <c r="B4446" t="str">
        <f>"074952622"</f>
        <v>074952622</v>
      </c>
      <c r="C4446" t="s">
        <v>50</v>
      </c>
      <c r="D4446" t="s">
        <v>8179</v>
      </c>
      <c r="E4446" t="s">
        <v>255</v>
      </c>
      <c r="F4446" t="s">
        <v>202</v>
      </c>
      <c r="G4446" t="s">
        <v>54</v>
      </c>
      <c r="H4446" t="str">
        <f>"Γ. ΧΝΑΡΑ  4 ΜΟΥΡΝΙΕΣ"</f>
        <v>Γ. ΧΝΑΡΑ  4 ΜΟΥΡΝΙΕΣ</v>
      </c>
      <c r="I4446">
        <v>73300</v>
      </c>
      <c r="J4446">
        <v>2821079597</v>
      </c>
      <c r="K4446">
        <v>6973883072</v>
      </c>
      <c r="M4446" t="s">
        <v>8180</v>
      </c>
      <c r="N4446" t="s">
        <v>306</v>
      </c>
      <c r="O4446" t="s">
        <v>307</v>
      </c>
      <c r="R4446" t="s">
        <v>57</v>
      </c>
      <c r="S4446">
        <v>10</v>
      </c>
      <c r="T4446">
        <v>231</v>
      </c>
      <c r="U4446" s="1">
        <v>38960</v>
      </c>
      <c r="V4446" t="s">
        <v>6729</v>
      </c>
      <c r="W4446" t="s">
        <v>6730</v>
      </c>
      <c r="X4446" t="s">
        <v>58</v>
      </c>
      <c r="Y4446">
        <v>18</v>
      </c>
      <c r="Z4446" t="s">
        <v>59</v>
      </c>
      <c r="AA4446" t="s">
        <v>59</v>
      </c>
      <c r="AB4446" t="s">
        <v>59</v>
      </c>
      <c r="AC4446" t="s">
        <v>59</v>
      </c>
      <c r="AD4446" t="s">
        <v>59</v>
      </c>
      <c r="AF4446" s="1">
        <v>38961</v>
      </c>
      <c r="AG4446" t="s">
        <v>148</v>
      </c>
      <c r="AH4446" t="s">
        <v>149</v>
      </c>
      <c r="AI4446" t="str">
        <f>"5051009"</f>
        <v>5051009</v>
      </c>
      <c r="AJ4446" t="s">
        <v>6851</v>
      </c>
      <c r="AK4446">
        <v>2821044551</v>
      </c>
      <c r="AL4446" t="s">
        <v>6852</v>
      </c>
      <c r="AM4446" t="s">
        <v>88</v>
      </c>
      <c r="AN4446" t="s">
        <v>88</v>
      </c>
      <c r="AO4446" t="s">
        <v>6770</v>
      </c>
      <c r="AP4446" t="s">
        <v>6771</v>
      </c>
      <c r="AQ4446">
        <v>1</v>
      </c>
      <c r="AR4446" t="s">
        <v>6729</v>
      </c>
      <c r="AS4446" t="s">
        <v>6730</v>
      </c>
      <c r="AT4446" t="s">
        <v>58</v>
      </c>
      <c r="AU4446" t="s">
        <v>68</v>
      </c>
      <c r="AV4446" t="s">
        <v>357</v>
      </c>
      <c r="AW4446" s="1">
        <v>26109</v>
      </c>
      <c r="AX4446">
        <v>2</v>
      </c>
    </row>
    <row r="4447" spans="1:50">
      <c r="A4447">
        <v>209702</v>
      </c>
      <c r="B4447" t="str">
        <f>"047085737"</f>
        <v>047085737</v>
      </c>
      <c r="C4447" t="s">
        <v>50</v>
      </c>
      <c r="D4447" t="s">
        <v>8181</v>
      </c>
      <c r="E4447" t="s">
        <v>714</v>
      </c>
      <c r="F4447" t="s">
        <v>99</v>
      </c>
      <c r="G4447" t="s">
        <v>52</v>
      </c>
      <c r="H4447" t="str">
        <f>"ΜΑΚΡΥΣ ΤΟΙΧΟΣ Ν. ΚΥΔΩΝΙΑ ΧΑΝΙΩΝ"</f>
        <v>ΜΑΚΡΥΣ ΤΟΙΧΟΣ Ν. ΚΥΔΩΝΙΑ ΧΑΝΙΩΝ</v>
      </c>
      <c r="I4447">
        <v>73100</v>
      </c>
      <c r="J4447">
        <v>2821099402</v>
      </c>
      <c r="K4447">
        <v>6977194036</v>
      </c>
      <c r="N4447" t="s">
        <v>146</v>
      </c>
      <c r="O4447" t="s">
        <v>147</v>
      </c>
      <c r="R4447" t="s">
        <v>57</v>
      </c>
      <c r="S4447">
        <v>8</v>
      </c>
      <c r="T4447">
        <v>225</v>
      </c>
      <c r="U4447" s="1">
        <v>38604</v>
      </c>
      <c r="V4447" t="s">
        <v>6729</v>
      </c>
      <c r="W4447" t="s">
        <v>6730</v>
      </c>
      <c r="X4447" t="s">
        <v>58</v>
      </c>
      <c r="Y4447">
        <v>20</v>
      </c>
      <c r="Z4447" t="s">
        <v>59</v>
      </c>
      <c r="AA4447" t="s">
        <v>59</v>
      </c>
      <c r="AB4447" t="s">
        <v>59</v>
      </c>
      <c r="AC4447" t="s">
        <v>59</v>
      </c>
      <c r="AD4447" t="s">
        <v>59</v>
      </c>
      <c r="AF4447" s="1">
        <v>38610</v>
      </c>
      <c r="AG4447" t="s">
        <v>125</v>
      </c>
      <c r="AH4447" t="s">
        <v>126</v>
      </c>
      <c r="AI4447" t="str">
        <f>"5001075"</f>
        <v>5001075</v>
      </c>
      <c r="AJ4447" t="s">
        <v>6768</v>
      </c>
      <c r="AK4447">
        <v>2821064200</v>
      </c>
      <c r="AL4447" t="s">
        <v>6769</v>
      </c>
      <c r="AM4447" t="s">
        <v>88</v>
      </c>
      <c r="AN4447" t="s">
        <v>88</v>
      </c>
      <c r="AO4447" t="s">
        <v>6770</v>
      </c>
      <c r="AP4447" t="s">
        <v>6771</v>
      </c>
      <c r="AQ4447">
        <v>1</v>
      </c>
      <c r="AR4447" t="s">
        <v>6729</v>
      </c>
      <c r="AS4447" t="s">
        <v>6730</v>
      </c>
      <c r="AT4447" t="s">
        <v>58</v>
      </c>
      <c r="AU4447" t="s">
        <v>68</v>
      </c>
      <c r="AV4447" t="s">
        <v>69</v>
      </c>
      <c r="AW4447" s="1">
        <v>28566</v>
      </c>
      <c r="AX4447">
        <v>2</v>
      </c>
    </row>
    <row r="4448" spans="1:50">
      <c r="A4448">
        <v>175679</v>
      </c>
      <c r="B4448" t="str">
        <f>"043995582"</f>
        <v>043995582</v>
      </c>
      <c r="C4448" t="s">
        <v>50</v>
      </c>
      <c r="D4448" t="s">
        <v>8182</v>
      </c>
      <c r="E4448" t="s">
        <v>155</v>
      </c>
      <c r="F4448" t="s">
        <v>106</v>
      </c>
      <c r="G4448" t="s">
        <v>263</v>
      </c>
      <c r="H4448" t="str">
        <f>" "</f>
        <v xml:space="preserve"> </v>
      </c>
      <c r="N4448" t="s">
        <v>146</v>
      </c>
      <c r="O4448" t="s">
        <v>147</v>
      </c>
      <c r="R4448" t="s">
        <v>57</v>
      </c>
      <c r="S4448">
        <v>10</v>
      </c>
      <c r="T4448">
        <v>180</v>
      </c>
      <c r="U4448" s="1">
        <v>35674</v>
      </c>
      <c r="V4448" t="s">
        <v>6729</v>
      </c>
      <c r="W4448" t="s">
        <v>6730</v>
      </c>
      <c r="X4448" t="s">
        <v>58</v>
      </c>
      <c r="Y4448">
        <v>18</v>
      </c>
      <c r="Z4448" t="s">
        <v>59</v>
      </c>
      <c r="AA4448" t="s">
        <v>59</v>
      </c>
      <c r="AB4448" t="s">
        <v>59</v>
      </c>
      <c r="AC4448" t="s">
        <v>59</v>
      </c>
      <c r="AD4448" t="s">
        <v>59</v>
      </c>
      <c r="AF4448" s="1">
        <v>35676</v>
      </c>
      <c r="AG4448" t="s">
        <v>125</v>
      </c>
      <c r="AH4448" t="s">
        <v>126</v>
      </c>
      <c r="AI4448" t="str">
        <f>"5006010"</f>
        <v>5006010</v>
      </c>
      <c r="AJ4448" t="s">
        <v>7008</v>
      </c>
      <c r="AK4448">
        <v>2824031620</v>
      </c>
      <c r="AL4448" t="s">
        <v>7009</v>
      </c>
      <c r="AM4448" t="s">
        <v>88</v>
      </c>
      <c r="AN4448" t="s">
        <v>6764</v>
      </c>
      <c r="AO4448" t="s">
        <v>6765</v>
      </c>
      <c r="AP4448" t="s">
        <v>6765</v>
      </c>
      <c r="AQ4448">
        <v>1</v>
      </c>
      <c r="AR4448" t="s">
        <v>6729</v>
      </c>
      <c r="AS4448" t="s">
        <v>6730</v>
      </c>
      <c r="AT4448" t="s">
        <v>58</v>
      </c>
      <c r="AU4448" t="s">
        <v>68</v>
      </c>
      <c r="AV4448" t="s">
        <v>69</v>
      </c>
      <c r="AW4448" s="1">
        <v>24562</v>
      </c>
      <c r="AX4448">
        <v>2</v>
      </c>
    </row>
    <row r="4449" spans="1:50">
      <c r="A4449">
        <v>182543</v>
      </c>
      <c r="B4449" t="str">
        <f>"059116709"</f>
        <v>059116709</v>
      </c>
      <c r="C4449" t="s">
        <v>50</v>
      </c>
      <c r="D4449" t="s">
        <v>8183</v>
      </c>
      <c r="E4449" t="s">
        <v>52</v>
      </c>
      <c r="F4449" t="s">
        <v>106</v>
      </c>
      <c r="G4449" t="s">
        <v>1497</v>
      </c>
      <c r="H4449" t="str">
        <f>" "</f>
        <v xml:space="preserve"> </v>
      </c>
      <c r="N4449" t="s">
        <v>146</v>
      </c>
      <c r="O4449" t="s">
        <v>147</v>
      </c>
      <c r="R4449" t="s">
        <v>57</v>
      </c>
      <c r="S4449">
        <v>12</v>
      </c>
      <c r="T4449">
        <v>249</v>
      </c>
      <c r="U4449" s="1">
        <v>36160</v>
      </c>
      <c r="V4449" t="s">
        <v>6729</v>
      </c>
      <c r="W4449" t="s">
        <v>6730</v>
      </c>
      <c r="X4449" t="s">
        <v>58</v>
      </c>
      <c r="Y4449">
        <v>18</v>
      </c>
      <c r="Z4449" t="s">
        <v>59</v>
      </c>
      <c r="AA4449" t="s">
        <v>59</v>
      </c>
      <c r="AB4449" t="s">
        <v>59</v>
      </c>
      <c r="AC4449" t="s">
        <v>59</v>
      </c>
      <c r="AD4449" t="s">
        <v>59</v>
      </c>
      <c r="AF4449" s="1">
        <v>36171</v>
      </c>
      <c r="AG4449" t="s">
        <v>125</v>
      </c>
      <c r="AH4449" t="s">
        <v>126</v>
      </c>
      <c r="AI4449" t="str">
        <f>"5001010"</f>
        <v>5001010</v>
      </c>
      <c r="AJ4449" t="s">
        <v>6873</v>
      </c>
      <c r="AK4449">
        <v>2821052130</v>
      </c>
      <c r="AL4449" t="s">
        <v>6874</v>
      </c>
      <c r="AM4449" t="s">
        <v>88</v>
      </c>
      <c r="AN4449" t="s">
        <v>88</v>
      </c>
      <c r="AO4449" t="s">
        <v>88</v>
      </c>
      <c r="AP4449" t="s">
        <v>88</v>
      </c>
      <c r="AQ4449">
        <v>1</v>
      </c>
      <c r="AR4449" t="s">
        <v>6729</v>
      </c>
      <c r="AS4449" t="s">
        <v>6730</v>
      </c>
      <c r="AT4449" t="s">
        <v>58</v>
      </c>
      <c r="AU4449" t="s">
        <v>68</v>
      </c>
      <c r="AV4449" t="s">
        <v>69</v>
      </c>
      <c r="AW4449" s="1">
        <v>25247</v>
      </c>
      <c r="AX4449">
        <v>2</v>
      </c>
    </row>
    <row r="4450" spans="1:50">
      <c r="A4450">
        <v>182544</v>
      </c>
      <c r="B4450" t="str">
        <f>"074831768"</f>
        <v>074831768</v>
      </c>
      <c r="C4450" t="s">
        <v>50</v>
      </c>
      <c r="D4450" t="s">
        <v>8183</v>
      </c>
      <c r="E4450" t="s">
        <v>1068</v>
      </c>
      <c r="F4450" t="s">
        <v>106</v>
      </c>
      <c r="G4450" t="s">
        <v>1497</v>
      </c>
      <c r="H4450" t="str">
        <f>" "</f>
        <v xml:space="preserve"> </v>
      </c>
      <c r="J4450">
        <v>2821059497</v>
      </c>
      <c r="K4450">
        <v>6979914460</v>
      </c>
      <c r="N4450" t="s">
        <v>146</v>
      </c>
      <c r="O4450" t="s">
        <v>147</v>
      </c>
      <c r="R4450" t="s">
        <v>57</v>
      </c>
      <c r="S4450">
        <v>9</v>
      </c>
      <c r="T4450">
        <v>249</v>
      </c>
      <c r="U4450" s="1">
        <v>36160</v>
      </c>
      <c r="V4450" t="s">
        <v>6729</v>
      </c>
      <c r="W4450" t="s">
        <v>6730</v>
      </c>
      <c r="X4450" t="s">
        <v>58</v>
      </c>
      <c r="Y4450">
        <v>20</v>
      </c>
      <c r="Z4450" t="s">
        <v>59</v>
      </c>
      <c r="AA4450" t="s">
        <v>59</v>
      </c>
      <c r="AB4450" t="s">
        <v>59</v>
      </c>
      <c r="AC4450" t="s">
        <v>59</v>
      </c>
      <c r="AD4450" t="s">
        <v>59</v>
      </c>
      <c r="AF4450" s="1">
        <v>36171</v>
      </c>
      <c r="AG4450" t="s">
        <v>148</v>
      </c>
      <c r="AH4450" t="s">
        <v>149</v>
      </c>
      <c r="AI4450" t="str">
        <f>"5051030"</f>
        <v>5051030</v>
      </c>
      <c r="AJ4450" t="s">
        <v>6760</v>
      </c>
      <c r="AK4450">
        <v>2821027533</v>
      </c>
      <c r="AL4450" t="s">
        <v>6761</v>
      </c>
      <c r="AM4450" t="s">
        <v>88</v>
      </c>
      <c r="AN4450" t="s">
        <v>88</v>
      </c>
      <c r="AO4450" t="s">
        <v>88</v>
      </c>
      <c r="AP4450" t="s">
        <v>88</v>
      </c>
      <c r="AQ4450">
        <v>1</v>
      </c>
      <c r="AR4450" t="s">
        <v>6729</v>
      </c>
      <c r="AS4450" t="s">
        <v>6730</v>
      </c>
      <c r="AT4450" t="s">
        <v>58</v>
      </c>
      <c r="AU4450" t="s">
        <v>68</v>
      </c>
      <c r="AV4450" t="s">
        <v>69</v>
      </c>
      <c r="AW4450" s="1">
        <v>25702</v>
      </c>
      <c r="AX4450">
        <v>2</v>
      </c>
    </row>
    <row r="4451" spans="1:50">
      <c r="A4451">
        <v>906014</v>
      </c>
      <c r="B4451" t="str">
        <f>"066534147"</f>
        <v>066534147</v>
      </c>
      <c r="C4451" t="s">
        <v>50</v>
      </c>
      <c r="D4451" t="s">
        <v>8184</v>
      </c>
      <c r="E4451" t="s">
        <v>8185</v>
      </c>
      <c r="F4451" t="s">
        <v>95</v>
      </c>
      <c r="G4451" t="s">
        <v>494</v>
      </c>
      <c r="H4451" t="str">
        <f>"8ης Δεκεμβρίου 64 "</f>
        <v xml:space="preserve">8ης Δεκεμβρίου 64 </v>
      </c>
      <c r="J4451">
        <v>2821043423</v>
      </c>
      <c r="K4451">
        <v>6945877497</v>
      </c>
      <c r="M4451" t="s">
        <v>8186</v>
      </c>
      <c r="N4451" t="s">
        <v>135</v>
      </c>
      <c r="O4451" t="s">
        <v>136</v>
      </c>
      <c r="R4451" t="s">
        <v>57</v>
      </c>
      <c r="S4451">
        <v>18</v>
      </c>
      <c r="T4451">
        <v>262</v>
      </c>
      <c r="U4451" s="1">
        <v>30916</v>
      </c>
      <c r="V4451" t="s">
        <v>6729</v>
      </c>
      <c r="W4451" t="s">
        <v>6730</v>
      </c>
      <c r="X4451" t="s">
        <v>58</v>
      </c>
      <c r="Y4451">
        <v>18</v>
      </c>
      <c r="Z4451" t="s">
        <v>59</v>
      </c>
      <c r="AA4451" t="s">
        <v>59</v>
      </c>
      <c r="AB4451" t="s">
        <v>59</v>
      </c>
      <c r="AC4451" t="s">
        <v>59</v>
      </c>
      <c r="AD4451" t="s">
        <v>59</v>
      </c>
      <c r="AF4451" s="1">
        <v>30928</v>
      </c>
      <c r="AG4451" t="s">
        <v>125</v>
      </c>
      <c r="AH4451" t="s">
        <v>126</v>
      </c>
      <c r="AI4451" t="str">
        <f>"5001050"</f>
        <v>5001050</v>
      </c>
      <c r="AJ4451" t="s">
        <v>6917</v>
      </c>
      <c r="AK4451">
        <v>2821088012</v>
      </c>
      <c r="AL4451" t="s">
        <v>6918</v>
      </c>
      <c r="AM4451" t="s">
        <v>88</v>
      </c>
      <c r="AN4451" t="s">
        <v>88</v>
      </c>
      <c r="AO4451" t="s">
        <v>88</v>
      </c>
      <c r="AP4451" t="s">
        <v>88</v>
      </c>
      <c r="AQ4451">
        <v>1</v>
      </c>
      <c r="AR4451" t="s">
        <v>6729</v>
      </c>
      <c r="AS4451" t="s">
        <v>6730</v>
      </c>
      <c r="AT4451" t="s">
        <v>58</v>
      </c>
      <c r="AU4451" t="s">
        <v>68</v>
      </c>
      <c r="AV4451" t="s">
        <v>69</v>
      </c>
      <c r="AW4451" s="1">
        <v>20260</v>
      </c>
      <c r="AX4451">
        <v>2</v>
      </c>
    </row>
    <row r="4452" spans="1:50">
      <c r="A4452">
        <v>202694</v>
      </c>
      <c r="B4452" t="str">
        <f>"045880196"</f>
        <v>045880196</v>
      </c>
      <c r="C4452" t="s">
        <v>50</v>
      </c>
      <c r="D4452" t="s">
        <v>8187</v>
      </c>
      <c r="E4452" t="s">
        <v>73</v>
      </c>
      <c r="F4452" t="s">
        <v>383</v>
      </c>
      <c r="G4452" t="s">
        <v>707</v>
      </c>
      <c r="H4452" t="str">
        <f>"ΑΓΙΟΣ ΜΑΤΘΑΙΟΣ ΧΑΝΙΩΝ"</f>
        <v>ΑΓΙΟΣ ΜΑΤΘΑΙΟΣ ΧΑΝΙΩΝ</v>
      </c>
      <c r="I4452">
        <v>73100</v>
      </c>
      <c r="J4452">
        <v>2821041923</v>
      </c>
      <c r="K4452">
        <v>6944565530</v>
      </c>
      <c r="N4452" t="s">
        <v>232</v>
      </c>
      <c r="O4452" t="s">
        <v>233</v>
      </c>
      <c r="R4452" t="s">
        <v>57</v>
      </c>
      <c r="S4452">
        <v>7</v>
      </c>
      <c r="T4452">
        <v>231</v>
      </c>
      <c r="U4452" s="1">
        <v>38230</v>
      </c>
      <c r="V4452" t="s">
        <v>6729</v>
      </c>
      <c r="W4452" t="s">
        <v>6730</v>
      </c>
      <c r="X4452" t="s">
        <v>58</v>
      </c>
      <c r="Y4452">
        <v>20</v>
      </c>
      <c r="Z4452" t="s">
        <v>59</v>
      </c>
      <c r="AA4452" t="s">
        <v>59</v>
      </c>
      <c r="AB4452" t="s">
        <v>59</v>
      </c>
      <c r="AC4452" t="s">
        <v>59</v>
      </c>
      <c r="AD4452" t="s">
        <v>59</v>
      </c>
      <c r="AF4452" s="1">
        <v>38231</v>
      </c>
      <c r="AG4452" t="s">
        <v>137</v>
      </c>
      <c r="AH4452" t="s">
        <v>138</v>
      </c>
      <c r="AI4452" t="str">
        <f>"5040100"</f>
        <v>5040100</v>
      </c>
      <c r="AJ4452" t="s">
        <v>6790</v>
      </c>
      <c r="AK4452">
        <v>2821058998</v>
      </c>
      <c r="AL4452" t="s">
        <v>6791</v>
      </c>
      <c r="AM4452" t="s">
        <v>88</v>
      </c>
      <c r="AN4452" t="s">
        <v>88</v>
      </c>
      <c r="AO4452" t="s">
        <v>6770</v>
      </c>
      <c r="AP4452" t="s">
        <v>6771</v>
      </c>
      <c r="AQ4452">
        <v>1</v>
      </c>
      <c r="AR4452" t="s">
        <v>6729</v>
      </c>
      <c r="AS4452" t="s">
        <v>6730</v>
      </c>
      <c r="AT4452" t="s">
        <v>58</v>
      </c>
      <c r="AU4452" t="s">
        <v>68</v>
      </c>
      <c r="AV4452" t="s">
        <v>69</v>
      </c>
      <c r="AW4452" s="1">
        <v>24740</v>
      </c>
      <c r="AX4452">
        <v>2</v>
      </c>
    </row>
    <row r="4453" spans="1:50">
      <c r="A4453">
        <v>229279</v>
      </c>
      <c r="B4453" t="str">
        <f>"045853225"</f>
        <v>045853225</v>
      </c>
      <c r="C4453" t="s">
        <v>50</v>
      </c>
      <c r="D4453" t="s">
        <v>8187</v>
      </c>
      <c r="E4453" t="s">
        <v>155</v>
      </c>
      <c r="F4453" t="s">
        <v>209</v>
      </c>
      <c r="G4453" t="s">
        <v>52</v>
      </c>
      <c r="H4453" t="str">
        <f>"ΓΙΑΝΝΗ ΡΙΤΣΟΥ 33 ΧΑΝΙΑ"</f>
        <v>ΓΙΑΝΝΗ ΡΙΤΣΟΥ 33 ΧΑΝΙΑ</v>
      </c>
      <c r="I4453">
        <v>73100</v>
      </c>
      <c r="J4453">
        <v>2821074425</v>
      </c>
      <c r="K4453">
        <v>6974412080</v>
      </c>
      <c r="N4453" t="s">
        <v>683</v>
      </c>
      <c r="O4453" t="s">
        <v>684</v>
      </c>
      <c r="R4453" t="s">
        <v>57</v>
      </c>
      <c r="S4453">
        <v>5</v>
      </c>
      <c r="T4453">
        <v>792</v>
      </c>
      <c r="U4453" s="1">
        <v>40081</v>
      </c>
      <c r="V4453" t="s">
        <v>6729</v>
      </c>
      <c r="W4453" t="s">
        <v>6730</v>
      </c>
      <c r="X4453" t="s">
        <v>58</v>
      </c>
      <c r="Y4453">
        <v>21</v>
      </c>
      <c r="Z4453" t="s">
        <v>59</v>
      </c>
      <c r="AA4453" t="s">
        <v>59</v>
      </c>
      <c r="AB4453" t="s">
        <v>59</v>
      </c>
      <c r="AC4453" t="s">
        <v>59</v>
      </c>
      <c r="AD4453" t="s">
        <v>59</v>
      </c>
      <c r="AF4453" s="1">
        <v>40081</v>
      </c>
      <c r="AG4453" t="s">
        <v>345</v>
      </c>
      <c r="AH4453" t="s">
        <v>346</v>
      </c>
      <c r="AI4453" t="str">
        <f>"5041001"</f>
        <v>5041001</v>
      </c>
      <c r="AJ4453" t="s">
        <v>6840</v>
      </c>
      <c r="AK4453">
        <v>2821052100</v>
      </c>
      <c r="AL4453" t="s">
        <v>6841</v>
      </c>
      <c r="AM4453" t="s">
        <v>88</v>
      </c>
      <c r="AN4453" t="s">
        <v>88</v>
      </c>
      <c r="AO4453" t="s">
        <v>88</v>
      </c>
      <c r="AP4453" t="s">
        <v>88</v>
      </c>
      <c r="AQ4453">
        <v>1</v>
      </c>
      <c r="AR4453" t="s">
        <v>6729</v>
      </c>
      <c r="AS4453" t="s">
        <v>6730</v>
      </c>
      <c r="AT4453" t="s">
        <v>58</v>
      </c>
      <c r="AU4453" t="s">
        <v>68</v>
      </c>
      <c r="AV4453" t="s">
        <v>69</v>
      </c>
      <c r="AW4453" s="1">
        <v>27436</v>
      </c>
      <c r="AX4453">
        <v>2</v>
      </c>
    </row>
    <row r="4454" spans="1:50">
      <c r="A4454">
        <v>221093</v>
      </c>
      <c r="B4454" t="str">
        <f>"058607212"</f>
        <v>058607212</v>
      </c>
      <c r="C4454" t="s">
        <v>50</v>
      </c>
      <c r="D4454" t="s">
        <v>8187</v>
      </c>
      <c r="E4454" t="s">
        <v>1170</v>
      </c>
      <c r="F4454" t="s">
        <v>95</v>
      </c>
      <c r="G4454" t="s">
        <v>3706</v>
      </c>
      <c r="H4454" t="str">
        <f>" "</f>
        <v xml:space="preserve"> </v>
      </c>
      <c r="J4454">
        <v>2821032537</v>
      </c>
      <c r="K4454">
        <v>6973673277</v>
      </c>
      <c r="N4454" t="s">
        <v>146</v>
      </c>
      <c r="O4454" t="s">
        <v>147</v>
      </c>
      <c r="R4454" t="s">
        <v>57</v>
      </c>
      <c r="S4454">
        <v>6</v>
      </c>
      <c r="T4454">
        <v>691</v>
      </c>
      <c r="U4454" s="1">
        <v>39331</v>
      </c>
      <c r="V4454" t="s">
        <v>6729</v>
      </c>
      <c r="W4454" t="s">
        <v>6730</v>
      </c>
      <c r="X4454" t="s">
        <v>58</v>
      </c>
      <c r="Y4454">
        <v>20</v>
      </c>
      <c r="Z4454" t="s">
        <v>59</v>
      </c>
      <c r="AA4454" t="s">
        <v>59</v>
      </c>
      <c r="AB4454" t="s">
        <v>59</v>
      </c>
      <c r="AC4454" t="s">
        <v>59</v>
      </c>
      <c r="AD4454" t="s">
        <v>59</v>
      </c>
      <c r="AF4454" s="1">
        <v>39332</v>
      </c>
      <c r="AG4454" t="s">
        <v>148</v>
      </c>
      <c r="AH4454" t="s">
        <v>149</v>
      </c>
      <c r="AI4454" t="str">
        <f>"5062010"</f>
        <v>5062010</v>
      </c>
      <c r="AJ4454" t="s">
        <v>6783</v>
      </c>
      <c r="AK4454">
        <v>2821031620</v>
      </c>
      <c r="AL4454" t="s">
        <v>6784</v>
      </c>
      <c r="AM4454" t="s">
        <v>88</v>
      </c>
      <c r="AN4454" t="s">
        <v>88</v>
      </c>
      <c r="AO4454" t="s">
        <v>6785</v>
      </c>
      <c r="AP4454" t="s">
        <v>6786</v>
      </c>
      <c r="AQ4454">
        <v>1</v>
      </c>
      <c r="AR4454" t="s">
        <v>6729</v>
      </c>
      <c r="AS4454" t="s">
        <v>6730</v>
      </c>
      <c r="AT4454" t="s">
        <v>58</v>
      </c>
      <c r="AU4454" t="s">
        <v>68</v>
      </c>
      <c r="AV4454" t="s">
        <v>69</v>
      </c>
      <c r="AW4454" s="1">
        <v>25765</v>
      </c>
      <c r="AX4454">
        <v>2</v>
      </c>
    </row>
    <row r="4455" spans="1:50">
      <c r="A4455">
        <v>172590</v>
      </c>
      <c r="B4455" t="str">
        <f>"037559687"</f>
        <v>037559687</v>
      </c>
      <c r="C4455" t="s">
        <v>105</v>
      </c>
      <c r="D4455" t="s">
        <v>8188</v>
      </c>
      <c r="E4455" t="s">
        <v>166</v>
      </c>
      <c r="F4455" t="s">
        <v>95</v>
      </c>
      <c r="G4455" t="s">
        <v>2248</v>
      </c>
      <c r="H4455" t="str">
        <f>"ΞΕΠΑΠΑ 8 ΧΑΝΙΑ"</f>
        <v>ΞΕΠΑΠΑ 8 ΧΑΝΙΑ</v>
      </c>
      <c r="I4455">
        <v>73136</v>
      </c>
      <c r="J4455">
        <v>2821074439</v>
      </c>
      <c r="K4455">
        <v>6972605077</v>
      </c>
      <c r="M4455" t="s">
        <v>8189</v>
      </c>
      <c r="N4455" t="s">
        <v>204</v>
      </c>
      <c r="O4455" t="s">
        <v>205</v>
      </c>
      <c r="P4455" t="s">
        <v>292</v>
      </c>
      <c r="Q4455" t="s">
        <v>293</v>
      </c>
      <c r="R4455" t="s">
        <v>57</v>
      </c>
      <c r="S4455">
        <v>14</v>
      </c>
      <c r="T4455">
        <v>184</v>
      </c>
      <c r="U4455" s="1">
        <v>34941</v>
      </c>
      <c r="V4455" t="s">
        <v>6729</v>
      </c>
      <c r="W4455" t="s">
        <v>6730</v>
      </c>
      <c r="X4455" t="s">
        <v>58</v>
      </c>
      <c r="Y4455">
        <v>18</v>
      </c>
      <c r="Z4455" t="s">
        <v>59</v>
      </c>
      <c r="AA4455" t="s">
        <v>59</v>
      </c>
      <c r="AB4455" t="s">
        <v>59</v>
      </c>
      <c r="AC4455" t="s">
        <v>59</v>
      </c>
      <c r="AD4455" t="s">
        <v>59</v>
      </c>
      <c r="AF4455" s="1">
        <v>34943</v>
      </c>
      <c r="AG4455" t="s">
        <v>137</v>
      </c>
      <c r="AH4455" t="s">
        <v>138</v>
      </c>
      <c r="AI4455" t="str">
        <f>"5040080"</f>
        <v>5040080</v>
      </c>
      <c r="AJ4455" t="s">
        <v>6753</v>
      </c>
      <c r="AK4455">
        <v>2821093155</v>
      </c>
      <c r="AL4455" t="s">
        <v>6754</v>
      </c>
      <c r="AM4455" t="s">
        <v>88</v>
      </c>
      <c r="AN4455" t="s">
        <v>88</v>
      </c>
      <c r="AO4455" t="s">
        <v>6733</v>
      </c>
      <c r="AP4455" t="s">
        <v>6755</v>
      </c>
      <c r="AQ4455">
        <v>1</v>
      </c>
      <c r="AR4455" t="s">
        <v>6729</v>
      </c>
      <c r="AS4455" t="s">
        <v>6730</v>
      </c>
      <c r="AT4455" t="s">
        <v>58</v>
      </c>
      <c r="AU4455" t="s">
        <v>68</v>
      </c>
      <c r="AV4455" t="s">
        <v>69</v>
      </c>
      <c r="AW4455" s="1">
        <v>21874</v>
      </c>
      <c r="AX4455">
        <v>2</v>
      </c>
    </row>
    <row r="4456" spans="1:50">
      <c r="B4456" t="str">
        <f>"043027718"</f>
        <v>043027718</v>
      </c>
      <c r="C4456" t="s">
        <v>50</v>
      </c>
      <c r="D4456" t="s">
        <v>8190</v>
      </c>
      <c r="E4456" t="s">
        <v>263</v>
      </c>
      <c r="F4456" t="s">
        <v>99</v>
      </c>
      <c r="G4456" t="s">
        <v>255</v>
      </c>
      <c r="H4456" t="str">
        <f>"ΕΙΡΗΝΗΣ-ΑΓ. ΓΕΩΡΓΙΟΥ ΓΑΛΑΤΑΣ"</f>
        <v>ΕΙΡΗΝΗΣ-ΑΓ. ΓΕΩΡΓΙΟΥ ΓΑΛΑΤΑΣ</v>
      </c>
      <c r="I4456">
        <v>73100</v>
      </c>
      <c r="J4456">
        <v>2821034139</v>
      </c>
      <c r="K4456">
        <v>6946218787</v>
      </c>
      <c r="N4456" t="s">
        <v>1116</v>
      </c>
      <c r="O4456" t="s">
        <v>1117</v>
      </c>
      <c r="R4456" t="s">
        <v>159</v>
      </c>
      <c r="S4456">
        <v>4</v>
      </c>
      <c r="T4456" t="s">
        <v>1908</v>
      </c>
      <c r="U4456" s="1">
        <v>43368</v>
      </c>
      <c r="V4456" t="s">
        <v>6729</v>
      </c>
      <c r="W4456" t="s">
        <v>6730</v>
      </c>
      <c r="X4456" t="s">
        <v>58</v>
      </c>
      <c r="Y4456">
        <v>24</v>
      </c>
      <c r="Z4456" t="s">
        <v>59</v>
      </c>
      <c r="AA4456" t="s">
        <v>59</v>
      </c>
      <c r="AB4456" t="s">
        <v>59</v>
      </c>
      <c r="AC4456" t="s">
        <v>59</v>
      </c>
      <c r="AD4456" t="s">
        <v>59</v>
      </c>
      <c r="AF4456" s="1">
        <v>43368</v>
      </c>
      <c r="AG4456" t="s">
        <v>125</v>
      </c>
      <c r="AH4456" t="s">
        <v>294</v>
      </c>
      <c r="AI4456" t="str">
        <f>"5012017"</f>
        <v>5012017</v>
      </c>
      <c r="AJ4456" t="s">
        <v>6859</v>
      </c>
      <c r="AK4456">
        <v>2821088065</v>
      </c>
      <c r="AL4456" t="s">
        <v>6860</v>
      </c>
      <c r="AM4456" t="s">
        <v>88</v>
      </c>
      <c r="AN4456" t="s">
        <v>88</v>
      </c>
      <c r="AO4456" t="s">
        <v>88</v>
      </c>
      <c r="AP4456" t="s">
        <v>88</v>
      </c>
      <c r="AQ4456">
        <v>1</v>
      </c>
      <c r="AR4456" t="s">
        <v>6729</v>
      </c>
      <c r="AS4456" t="s">
        <v>6730</v>
      </c>
      <c r="AT4456" t="s">
        <v>58</v>
      </c>
      <c r="AU4456" t="s">
        <v>164</v>
      </c>
      <c r="AV4456" t="s">
        <v>132</v>
      </c>
      <c r="AW4456" s="1">
        <v>24776</v>
      </c>
      <c r="AX4456">
        <v>2</v>
      </c>
    </row>
    <row r="4457" spans="1:50">
      <c r="A4457">
        <v>197893</v>
      </c>
      <c r="B4457" t="str">
        <f>"033575021"</f>
        <v>033575021</v>
      </c>
      <c r="C4457" t="s">
        <v>105</v>
      </c>
      <c r="D4457" t="s">
        <v>8191</v>
      </c>
      <c r="E4457" t="s">
        <v>995</v>
      </c>
      <c r="F4457" t="s">
        <v>72</v>
      </c>
      <c r="G4457" t="s">
        <v>255</v>
      </c>
      <c r="H4457" t="str">
        <f>"ΑΛΜΥΡΙΔΟΣ 63 ΧΑΝΙΑ"</f>
        <v>ΑΛΜΥΡΙΔΟΣ 63 ΧΑΝΙΑ</v>
      </c>
      <c r="I4457">
        <v>73100</v>
      </c>
      <c r="J4457">
        <v>2821045047</v>
      </c>
      <c r="K4457">
        <v>6972397637</v>
      </c>
      <c r="M4457" t="s">
        <v>8192</v>
      </c>
      <c r="N4457" t="s">
        <v>292</v>
      </c>
      <c r="O4457" t="s">
        <v>293</v>
      </c>
      <c r="R4457" t="s">
        <v>57</v>
      </c>
      <c r="S4457">
        <v>9</v>
      </c>
      <c r="T4457">
        <v>206</v>
      </c>
      <c r="U4457" s="1">
        <v>37866</v>
      </c>
      <c r="V4457" t="s">
        <v>6729</v>
      </c>
      <c r="W4457" t="s">
        <v>6730</v>
      </c>
      <c r="X4457" t="s">
        <v>58</v>
      </c>
      <c r="Y4457">
        <v>20</v>
      </c>
      <c r="Z4457" t="s">
        <v>59</v>
      </c>
      <c r="AA4457" t="s">
        <v>59</v>
      </c>
      <c r="AB4457" t="s">
        <v>59</v>
      </c>
      <c r="AC4457" t="s">
        <v>59</v>
      </c>
      <c r="AD4457" t="s">
        <v>59</v>
      </c>
      <c r="AF4457" s="1">
        <v>37869</v>
      </c>
      <c r="AG4457" t="s">
        <v>125</v>
      </c>
      <c r="AH4457" t="s">
        <v>126</v>
      </c>
      <c r="AI4457" t="str">
        <f>"5001072"</f>
        <v>5001072</v>
      </c>
      <c r="AJ4457" t="s">
        <v>6922</v>
      </c>
      <c r="AK4457">
        <v>2821055471</v>
      </c>
      <c r="AL4457" t="s">
        <v>6923</v>
      </c>
      <c r="AM4457" t="s">
        <v>88</v>
      </c>
      <c r="AN4457" t="s">
        <v>88</v>
      </c>
      <c r="AO4457" t="s">
        <v>88</v>
      </c>
      <c r="AP4457" t="s">
        <v>88</v>
      </c>
      <c r="AQ4457">
        <v>1</v>
      </c>
      <c r="AR4457" t="s">
        <v>6729</v>
      </c>
      <c r="AS4457" t="s">
        <v>6730</v>
      </c>
      <c r="AT4457" t="s">
        <v>58</v>
      </c>
      <c r="AU4457" t="s">
        <v>68</v>
      </c>
      <c r="AV4457" t="s">
        <v>69</v>
      </c>
      <c r="AW4457" s="1">
        <v>24604</v>
      </c>
      <c r="AX4457">
        <v>2</v>
      </c>
    </row>
    <row r="4458" spans="1:50">
      <c r="A4458">
        <v>701173</v>
      </c>
      <c r="B4458" t="str">
        <f>"069367684"</f>
        <v>069367684</v>
      </c>
      <c r="C4458" t="s">
        <v>50</v>
      </c>
      <c r="D4458" t="s">
        <v>3529</v>
      </c>
      <c r="E4458" t="s">
        <v>52</v>
      </c>
      <c r="F4458" t="s">
        <v>53</v>
      </c>
      <c r="G4458" t="s">
        <v>6467</v>
      </c>
      <c r="H4458" t="str">
        <f>"ΑΚΡΩΤΗΡΙΟΥ ΚΟΥΝΟΥΠΙΔΙΑΝΑ ΧΑΝΙΩΝ"</f>
        <v>ΑΚΡΩΤΗΡΙΟΥ ΚΟΥΝΟΥΠΙΔΙΑΝΑ ΧΑΝΙΩΝ</v>
      </c>
      <c r="I4458">
        <v>73100</v>
      </c>
      <c r="J4458">
        <v>2821069433</v>
      </c>
      <c r="K4458">
        <v>6974011510</v>
      </c>
      <c r="M4458" t="s">
        <v>8193</v>
      </c>
      <c r="N4458" t="s">
        <v>232</v>
      </c>
      <c r="O4458" t="s">
        <v>233</v>
      </c>
      <c r="P4458" t="s">
        <v>204</v>
      </c>
      <c r="Q4458" t="s">
        <v>205</v>
      </c>
      <c r="R4458" t="s">
        <v>57</v>
      </c>
      <c r="S4458">
        <v>7</v>
      </c>
      <c r="T4458">
        <v>772</v>
      </c>
      <c r="U4458" s="1">
        <v>40413</v>
      </c>
      <c r="V4458" t="s">
        <v>6729</v>
      </c>
      <c r="W4458" t="s">
        <v>6730</v>
      </c>
      <c r="X4458" t="s">
        <v>58</v>
      </c>
      <c r="Y4458">
        <v>20</v>
      </c>
      <c r="Z4458" t="s">
        <v>59</v>
      </c>
      <c r="AA4458" t="s">
        <v>59</v>
      </c>
      <c r="AB4458" t="s">
        <v>59</v>
      </c>
      <c r="AC4458" t="s">
        <v>59</v>
      </c>
      <c r="AD4458" t="s">
        <v>59</v>
      </c>
      <c r="AF4458" s="1">
        <v>40413</v>
      </c>
      <c r="AG4458" t="s">
        <v>137</v>
      </c>
      <c r="AH4458" t="s">
        <v>138</v>
      </c>
      <c r="AI4458" t="str">
        <f>"5040090"</f>
        <v>5040090</v>
      </c>
      <c r="AJ4458" t="s">
        <v>6757</v>
      </c>
      <c r="AK4458">
        <v>2822022275</v>
      </c>
      <c r="AL4458" t="s">
        <v>6758</v>
      </c>
      <c r="AM4458" t="s">
        <v>88</v>
      </c>
      <c r="AN4458" t="s">
        <v>6744</v>
      </c>
      <c r="AO4458" t="s">
        <v>6744</v>
      </c>
      <c r="AP4458" t="s">
        <v>6744</v>
      </c>
      <c r="AQ4458">
        <v>1</v>
      </c>
      <c r="AR4458" t="s">
        <v>6729</v>
      </c>
      <c r="AS4458" t="s">
        <v>6730</v>
      </c>
      <c r="AT4458" t="s">
        <v>58</v>
      </c>
      <c r="AU4458" t="s">
        <v>68</v>
      </c>
      <c r="AV4458" t="s">
        <v>69</v>
      </c>
      <c r="AW4458" s="1">
        <v>26674</v>
      </c>
      <c r="AX4458">
        <v>2</v>
      </c>
    </row>
    <row r="4459" spans="1:50">
      <c r="A4459">
        <v>192564</v>
      </c>
      <c r="B4459" t="str">
        <f>"046666257"</f>
        <v>046666257</v>
      </c>
      <c r="C4459" t="s">
        <v>50</v>
      </c>
      <c r="D4459" t="s">
        <v>8194</v>
      </c>
      <c r="E4459" t="s">
        <v>250</v>
      </c>
      <c r="F4459" t="s">
        <v>166</v>
      </c>
      <c r="G4459" t="s">
        <v>787</v>
      </c>
      <c r="H4459" t="str">
        <f>"Σήφη Βαρδινογιάννη 3 "</f>
        <v xml:space="preserve">Σήφη Βαρδινογιάννη 3 </v>
      </c>
      <c r="I4459">
        <v>74100</v>
      </c>
      <c r="J4459">
        <v>2831057543</v>
      </c>
      <c r="K4459">
        <v>6974454787</v>
      </c>
      <c r="M4459" t="s">
        <v>8195</v>
      </c>
      <c r="N4459" t="s">
        <v>146</v>
      </c>
      <c r="O4459" t="s">
        <v>147</v>
      </c>
      <c r="R4459" t="s">
        <v>57</v>
      </c>
      <c r="S4459">
        <v>10</v>
      </c>
      <c r="T4459">
        <v>192</v>
      </c>
      <c r="U4459" s="1">
        <v>37497</v>
      </c>
      <c r="V4459" t="s">
        <v>6729</v>
      </c>
      <c r="W4459" t="s">
        <v>6730</v>
      </c>
      <c r="X4459" t="s">
        <v>58</v>
      </c>
      <c r="Y4459">
        <v>20</v>
      </c>
      <c r="Z4459" t="s">
        <v>59</v>
      </c>
      <c r="AA4459" t="s">
        <v>59</v>
      </c>
      <c r="AB4459" t="s">
        <v>59</v>
      </c>
      <c r="AC4459" t="s">
        <v>59</v>
      </c>
      <c r="AD4459" t="s">
        <v>452</v>
      </c>
      <c r="AE4459" s="1">
        <v>43708</v>
      </c>
      <c r="AF4459" s="1">
        <v>37501</v>
      </c>
      <c r="AG4459" t="s">
        <v>125</v>
      </c>
      <c r="AH4459" t="s">
        <v>126</v>
      </c>
      <c r="AI4459" t="str">
        <f>"5010010"</f>
        <v>5010010</v>
      </c>
      <c r="AJ4459" t="s">
        <v>6779</v>
      </c>
      <c r="AK4459">
        <v>2825051288</v>
      </c>
      <c r="AL4459" t="s">
        <v>6780</v>
      </c>
      <c r="AM4459" t="s">
        <v>88</v>
      </c>
      <c r="AN4459" t="s">
        <v>6775</v>
      </c>
      <c r="AO4459" t="s">
        <v>6781</v>
      </c>
      <c r="AP4459" t="s">
        <v>6782</v>
      </c>
      <c r="AQ4459">
        <v>1</v>
      </c>
      <c r="AR4459" t="s">
        <v>6729</v>
      </c>
      <c r="AS4459" t="s">
        <v>6730</v>
      </c>
      <c r="AT4459" t="s">
        <v>58</v>
      </c>
      <c r="AU4459" t="s">
        <v>68</v>
      </c>
      <c r="AV4459" t="s">
        <v>69</v>
      </c>
      <c r="AW4459" s="1">
        <v>24134</v>
      </c>
      <c r="AX4459">
        <v>2</v>
      </c>
    </row>
    <row r="4460" spans="1:50">
      <c r="A4460">
        <v>189997</v>
      </c>
      <c r="B4460" t="str">
        <f>"042409551"</f>
        <v>042409551</v>
      </c>
      <c r="C4460" t="s">
        <v>105</v>
      </c>
      <c r="D4460" t="s">
        <v>8196</v>
      </c>
      <c r="E4460" t="s">
        <v>72</v>
      </c>
      <c r="F4460" t="s">
        <v>99</v>
      </c>
      <c r="G4460" t="s">
        <v>181</v>
      </c>
      <c r="H4460" t="str">
        <f>" "</f>
        <v xml:space="preserve"> </v>
      </c>
      <c r="N4460" t="s">
        <v>232</v>
      </c>
      <c r="O4460" t="s">
        <v>233</v>
      </c>
      <c r="P4460" t="s">
        <v>282</v>
      </c>
      <c r="Q4460" t="s">
        <v>283</v>
      </c>
      <c r="R4460" t="s">
        <v>57</v>
      </c>
      <c r="S4460">
        <v>13</v>
      </c>
      <c r="T4460">
        <v>219</v>
      </c>
      <c r="U4460" s="1">
        <v>37134</v>
      </c>
      <c r="V4460" t="s">
        <v>6729</v>
      </c>
      <c r="W4460" t="s">
        <v>6730</v>
      </c>
      <c r="X4460" t="s">
        <v>58</v>
      </c>
      <c r="Y4460">
        <v>20</v>
      </c>
      <c r="Z4460" t="s">
        <v>59</v>
      </c>
      <c r="AA4460" t="s">
        <v>59</v>
      </c>
      <c r="AB4460" t="s">
        <v>59</v>
      </c>
      <c r="AC4460" t="s">
        <v>59</v>
      </c>
      <c r="AD4460" t="s">
        <v>59</v>
      </c>
      <c r="AF4460" s="1">
        <v>37139</v>
      </c>
      <c r="AG4460" t="s">
        <v>148</v>
      </c>
      <c r="AH4460" t="s">
        <v>149</v>
      </c>
      <c r="AI4460" t="str">
        <f>"5061010"</f>
        <v>5061010</v>
      </c>
      <c r="AJ4460" t="s">
        <v>6746</v>
      </c>
      <c r="AK4460">
        <v>2821081530</v>
      </c>
      <c r="AL4460" t="s">
        <v>6747</v>
      </c>
      <c r="AM4460" t="s">
        <v>88</v>
      </c>
      <c r="AN4460" t="s">
        <v>88</v>
      </c>
      <c r="AO4460" t="s">
        <v>6748</v>
      </c>
      <c r="AP4460" t="s">
        <v>6748</v>
      </c>
      <c r="AQ4460">
        <v>1</v>
      </c>
      <c r="AR4460" t="s">
        <v>6729</v>
      </c>
      <c r="AS4460" t="s">
        <v>6730</v>
      </c>
      <c r="AT4460" t="s">
        <v>58</v>
      </c>
      <c r="AU4460" t="s">
        <v>68</v>
      </c>
      <c r="AV4460" t="s">
        <v>69</v>
      </c>
      <c r="AW4460" s="1">
        <v>22293</v>
      </c>
      <c r="AX4460">
        <v>2</v>
      </c>
    </row>
    <row r="4461" spans="1:50">
      <c r="A4461">
        <v>200119</v>
      </c>
      <c r="B4461" t="str">
        <f>"113183707"</f>
        <v>113183707</v>
      </c>
      <c r="C4461" t="s">
        <v>105</v>
      </c>
      <c r="D4461" t="s">
        <v>8197</v>
      </c>
      <c r="E4461" t="s">
        <v>782</v>
      </c>
      <c r="F4461" t="s">
        <v>99</v>
      </c>
      <c r="G4461" t="s">
        <v>8198</v>
      </c>
      <c r="H4461" t="str">
        <f>"ΚΟΥΝΟΥΠΙΔΙΑΝΑ ΧΑΝΙΑ"</f>
        <v>ΚΟΥΝΟΥΠΙΔΙΑΝΑ ΧΑΝΙΑ</v>
      </c>
      <c r="I4461">
        <v>73100</v>
      </c>
      <c r="J4461">
        <v>2821009470</v>
      </c>
      <c r="K4461">
        <v>6945753013</v>
      </c>
      <c r="M4461" t="s">
        <v>8199</v>
      </c>
      <c r="N4461" t="s">
        <v>204</v>
      </c>
      <c r="O4461" t="s">
        <v>205</v>
      </c>
      <c r="R4461" t="s">
        <v>57</v>
      </c>
      <c r="S4461">
        <v>8</v>
      </c>
      <c r="T4461">
        <v>206</v>
      </c>
      <c r="U4461" s="1">
        <v>37866</v>
      </c>
      <c r="V4461" t="s">
        <v>6729</v>
      </c>
      <c r="W4461" t="s">
        <v>6730</v>
      </c>
      <c r="X4461" t="s">
        <v>58</v>
      </c>
      <c r="Y4461">
        <v>20</v>
      </c>
      <c r="Z4461" t="s">
        <v>59</v>
      </c>
      <c r="AA4461" t="s">
        <v>59</v>
      </c>
      <c r="AB4461" t="s">
        <v>59</v>
      </c>
      <c r="AC4461" t="s">
        <v>59</v>
      </c>
      <c r="AD4461" t="s">
        <v>59</v>
      </c>
      <c r="AF4461" s="1">
        <v>37866</v>
      </c>
      <c r="AG4461" t="s">
        <v>125</v>
      </c>
      <c r="AH4461" t="s">
        <v>126</v>
      </c>
      <c r="AI4461" t="str">
        <f>"5001060"</f>
        <v>5001060</v>
      </c>
      <c r="AJ4461" t="s">
        <v>6914</v>
      </c>
      <c r="AK4461">
        <v>2821091763</v>
      </c>
      <c r="AL4461" t="s">
        <v>6915</v>
      </c>
      <c r="AM4461" t="s">
        <v>88</v>
      </c>
      <c r="AN4461" t="s">
        <v>88</v>
      </c>
      <c r="AO4461" t="s">
        <v>88</v>
      </c>
      <c r="AP4461" t="s">
        <v>88</v>
      </c>
      <c r="AQ4461">
        <v>1</v>
      </c>
      <c r="AR4461" t="s">
        <v>6729</v>
      </c>
      <c r="AS4461" t="s">
        <v>6730</v>
      </c>
      <c r="AT4461" t="s">
        <v>58</v>
      </c>
      <c r="AU4461" t="s">
        <v>68</v>
      </c>
      <c r="AV4461" t="s">
        <v>69</v>
      </c>
      <c r="AW4461" s="1">
        <v>26434</v>
      </c>
      <c r="AX4461">
        <v>2</v>
      </c>
    </row>
    <row r="4462" spans="1:50">
      <c r="A4462">
        <v>194073</v>
      </c>
      <c r="B4462" t="str">
        <f>"106659380"</f>
        <v>106659380</v>
      </c>
      <c r="C4462" t="s">
        <v>50</v>
      </c>
      <c r="D4462" t="s">
        <v>3544</v>
      </c>
      <c r="E4462" t="s">
        <v>714</v>
      </c>
      <c r="F4462" t="s">
        <v>99</v>
      </c>
      <c r="G4462" t="s">
        <v>396</v>
      </c>
      <c r="H4462" t="str">
        <f>"8ης ΔΕΚΕΜΒΡΙΟΥ 56 ΧΑΝΙΩΝ"</f>
        <v>8ης ΔΕΚΕΜΒΡΙΟΥ 56 ΧΑΝΙΩΝ</v>
      </c>
      <c r="I4462">
        <v>73131</v>
      </c>
      <c r="J4462">
        <v>2610670542</v>
      </c>
      <c r="K4462">
        <v>6936973186</v>
      </c>
      <c r="N4462" t="s">
        <v>306</v>
      </c>
      <c r="O4462" t="s">
        <v>307</v>
      </c>
      <c r="R4462" t="s">
        <v>57</v>
      </c>
      <c r="S4462">
        <v>8</v>
      </c>
      <c r="T4462">
        <v>193</v>
      </c>
      <c r="U4462" s="1">
        <v>37497</v>
      </c>
      <c r="V4462" t="s">
        <v>6729</v>
      </c>
      <c r="W4462" t="s">
        <v>6730</v>
      </c>
      <c r="X4462" t="s">
        <v>58</v>
      </c>
      <c r="Y4462">
        <v>20</v>
      </c>
      <c r="Z4462" t="s">
        <v>59</v>
      </c>
      <c r="AA4462" t="s">
        <v>59</v>
      </c>
      <c r="AB4462" t="s">
        <v>59</v>
      </c>
      <c r="AC4462" t="s">
        <v>59</v>
      </c>
      <c r="AD4462" t="s">
        <v>59</v>
      </c>
      <c r="AF4462" s="1">
        <v>37525</v>
      </c>
      <c r="AG4462" t="s">
        <v>125</v>
      </c>
      <c r="AH4462" t="s">
        <v>126</v>
      </c>
      <c r="AI4462" t="str">
        <f>"5001080"</f>
        <v>5001080</v>
      </c>
      <c r="AJ4462" t="s">
        <v>6984</v>
      </c>
      <c r="AK4462">
        <v>2821068020</v>
      </c>
      <c r="AL4462" t="s">
        <v>6985</v>
      </c>
      <c r="AM4462" t="s">
        <v>88</v>
      </c>
      <c r="AN4462" t="s">
        <v>6764</v>
      </c>
      <c r="AO4462" t="s">
        <v>6764</v>
      </c>
      <c r="AP4462" t="s">
        <v>6764</v>
      </c>
      <c r="AQ4462">
        <v>1</v>
      </c>
      <c r="AR4462" t="s">
        <v>6729</v>
      </c>
      <c r="AS4462" t="s">
        <v>6730</v>
      </c>
      <c r="AT4462" t="s">
        <v>58</v>
      </c>
      <c r="AU4462" t="s">
        <v>68</v>
      </c>
      <c r="AV4462" t="s">
        <v>69</v>
      </c>
      <c r="AW4462" s="1">
        <v>28385</v>
      </c>
      <c r="AX4462">
        <v>2</v>
      </c>
    </row>
    <row r="4463" spans="1:50">
      <c r="B4463" t="str">
        <f>"045041721"</f>
        <v>045041721</v>
      </c>
      <c r="C4463" t="s">
        <v>105</v>
      </c>
      <c r="D4463" t="s">
        <v>3549</v>
      </c>
      <c r="E4463" t="s">
        <v>670</v>
      </c>
      <c r="F4463" t="s">
        <v>2933</v>
      </c>
      <c r="G4463" t="s">
        <v>8200</v>
      </c>
      <c r="H4463" t="str">
        <f>"Α. ΑΓΟΡΑΣΤΑΚΗ 41 ΣΟΔΥ ΠΡ. ΗΛΙΑ"</f>
        <v>Α. ΑΓΟΡΑΣΤΑΚΗ 41 ΣΟΔΥ ΠΡ. ΗΛΙΑ</v>
      </c>
      <c r="I4463">
        <v>73100</v>
      </c>
      <c r="J4463">
        <v>2102521543</v>
      </c>
      <c r="K4463">
        <v>6973933570</v>
      </c>
      <c r="M4463" t="s">
        <v>8201</v>
      </c>
      <c r="N4463" t="s">
        <v>883</v>
      </c>
      <c r="O4463" t="s">
        <v>884</v>
      </c>
      <c r="R4463" t="s">
        <v>159</v>
      </c>
      <c r="S4463">
        <v>5</v>
      </c>
      <c r="T4463" t="s">
        <v>344</v>
      </c>
      <c r="U4463" s="1">
        <v>43348</v>
      </c>
      <c r="V4463" t="s">
        <v>6729</v>
      </c>
      <c r="W4463" t="s">
        <v>6730</v>
      </c>
      <c r="X4463" t="s">
        <v>58</v>
      </c>
      <c r="Y4463">
        <v>21</v>
      </c>
      <c r="Z4463" t="s">
        <v>59</v>
      </c>
      <c r="AA4463" t="s">
        <v>59</v>
      </c>
      <c r="AB4463" t="s">
        <v>59</v>
      </c>
      <c r="AC4463" t="s">
        <v>59</v>
      </c>
      <c r="AD4463" t="s">
        <v>59</v>
      </c>
      <c r="AF4463" s="1">
        <v>43348</v>
      </c>
      <c r="AG4463" t="s">
        <v>125</v>
      </c>
      <c r="AH4463" t="s">
        <v>126</v>
      </c>
      <c r="AI4463" t="str">
        <f>"5001075"</f>
        <v>5001075</v>
      </c>
      <c r="AJ4463" t="s">
        <v>6768</v>
      </c>
      <c r="AK4463">
        <v>2821064200</v>
      </c>
      <c r="AL4463" t="s">
        <v>6769</v>
      </c>
      <c r="AM4463" t="s">
        <v>88</v>
      </c>
      <c r="AN4463" t="s">
        <v>88</v>
      </c>
      <c r="AO4463" t="s">
        <v>6770</v>
      </c>
      <c r="AP4463" t="s">
        <v>6771</v>
      </c>
      <c r="AQ4463">
        <v>1</v>
      </c>
      <c r="AR4463" t="s">
        <v>6729</v>
      </c>
      <c r="AS4463" t="s">
        <v>6730</v>
      </c>
      <c r="AT4463" t="s">
        <v>58</v>
      </c>
      <c r="AU4463" t="s">
        <v>350</v>
      </c>
      <c r="AV4463" t="s">
        <v>132</v>
      </c>
      <c r="AW4463" s="1">
        <v>22637</v>
      </c>
      <c r="AX4463">
        <v>2</v>
      </c>
    </row>
    <row r="4464" spans="1:50">
      <c r="B4464" t="str">
        <f>"100621391"</f>
        <v>100621391</v>
      </c>
      <c r="C4464" t="s">
        <v>50</v>
      </c>
      <c r="D4464" t="s">
        <v>8202</v>
      </c>
      <c r="E4464" t="s">
        <v>112</v>
      </c>
      <c r="F4464" t="s">
        <v>84</v>
      </c>
      <c r="G4464" t="s">
        <v>83</v>
      </c>
      <c r="H4464" t="str">
        <f>"ΚΟΛΥΜΒΑΡΙ ΧΑΝΙΑ"</f>
        <v>ΚΟΛΥΜΒΑΡΙ ΧΑΝΙΑ</v>
      </c>
      <c r="I4464">
        <v>73006</v>
      </c>
      <c r="J4464">
        <v>2824022584</v>
      </c>
      <c r="K4464">
        <v>6982128087</v>
      </c>
      <c r="M4464" t="s">
        <v>8203</v>
      </c>
      <c r="N4464" t="s">
        <v>146</v>
      </c>
      <c r="O4464" t="s">
        <v>147</v>
      </c>
      <c r="R4464" t="s">
        <v>159</v>
      </c>
      <c r="S4464">
        <v>3</v>
      </c>
      <c r="T4464" t="s">
        <v>574</v>
      </c>
      <c r="U4464" s="1">
        <v>43378</v>
      </c>
      <c r="V4464" t="s">
        <v>6729</v>
      </c>
      <c r="W4464" t="s">
        <v>6730</v>
      </c>
      <c r="X4464" t="s">
        <v>58</v>
      </c>
      <c r="Y4464">
        <v>23</v>
      </c>
      <c r="Z4464" t="s">
        <v>59</v>
      </c>
      <c r="AA4464" t="s">
        <v>59</v>
      </c>
      <c r="AB4464" t="s">
        <v>59</v>
      </c>
      <c r="AC4464" t="s">
        <v>59</v>
      </c>
      <c r="AD4464" t="s">
        <v>59</v>
      </c>
      <c r="AF4464" s="1">
        <v>43381</v>
      </c>
      <c r="AG4464" t="s">
        <v>125</v>
      </c>
      <c r="AH4464" t="s">
        <v>126</v>
      </c>
      <c r="AI4464" t="str">
        <f>"5005010"</f>
        <v>5005010</v>
      </c>
      <c r="AJ4464" t="s">
        <v>7100</v>
      </c>
      <c r="AK4464">
        <v>2823041217</v>
      </c>
      <c r="AL4464" t="s">
        <v>7101</v>
      </c>
      <c r="AM4464" t="s">
        <v>88</v>
      </c>
      <c r="AN4464" t="s">
        <v>6824</v>
      </c>
      <c r="AO4464" t="s">
        <v>6870</v>
      </c>
      <c r="AP4464" t="s">
        <v>6871</v>
      </c>
      <c r="AQ4464">
        <v>1</v>
      </c>
      <c r="AR4464" t="s">
        <v>6729</v>
      </c>
      <c r="AS4464" t="s">
        <v>6730</v>
      </c>
      <c r="AT4464" t="s">
        <v>58</v>
      </c>
      <c r="AU4464" t="s">
        <v>164</v>
      </c>
      <c r="AV4464" t="s">
        <v>132</v>
      </c>
      <c r="AW4464" s="1">
        <v>27288</v>
      </c>
      <c r="AX4464">
        <v>2</v>
      </c>
    </row>
    <row r="4465" spans="1:50">
      <c r="A4465">
        <v>200126</v>
      </c>
      <c r="B4465" t="str">
        <f>"038449969"</f>
        <v>038449969</v>
      </c>
      <c r="C4465" t="s">
        <v>105</v>
      </c>
      <c r="D4465" t="s">
        <v>8204</v>
      </c>
      <c r="E4465" t="s">
        <v>321</v>
      </c>
      <c r="F4465" t="s">
        <v>166</v>
      </c>
      <c r="G4465" t="s">
        <v>250</v>
      </c>
      <c r="H4465" t="str">
        <f>"ΚΩΝΣΤΑΝΤΙΝΟΥΠΟΛΕΩΣ 67Α ΧΑΝΙΑ"</f>
        <v>ΚΩΝΣΤΑΝΤΙΝΟΥΠΟΛΕΩΣ 67Α ΧΑΝΙΑ</v>
      </c>
      <c r="I4465">
        <v>73134</v>
      </c>
      <c r="K4465">
        <v>6973408396</v>
      </c>
      <c r="M4465" t="s">
        <v>8205</v>
      </c>
      <c r="N4465" t="s">
        <v>204</v>
      </c>
      <c r="O4465" t="s">
        <v>205</v>
      </c>
      <c r="R4465" t="s">
        <v>57</v>
      </c>
      <c r="S4465">
        <v>7</v>
      </c>
      <c r="T4465">
        <v>206</v>
      </c>
      <c r="U4465" s="1">
        <v>37866</v>
      </c>
      <c r="V4465" t="s">
        <v>6729</v>
      </c>
      <c r="W4465" t="s">
        <v>6730</v>
      </c>
      <c r="X4465" t="s">
        <v>58</v>
      </c>
      <c r="Y4465">
        <v>20</v>
      </c>
      <c r="Z4465" t="s">
        <v>59</v>
      </c>
      <c r="AA4465" t="s">
        <v>59</v>
      </c>
      <c r="AB4465" t="s">
        <v>59</v>
      </c>
      <c r="AC4465" t="s">
        <v>59</v>
      </c>
      <c r="AD4465" t="s">
        <v>59</v>
      </c>
      <c r="AF4465" s="1">
        <v>37866</v>
      </c>
      <c r="AG4465" t="s">
        <v>148</v>
      </c>
      <c r="AH4465" t="s">
        <v>149</v>
      </c>
      <c r="AI4465" t="str">
        <f>"5052010"</f>
        <v>5052010</v>
      </c>
      <c r="AJ4465" t="s">
        <v>6834</v>
      </c>
      <c r="AK4465">
        <v>2825022200</v>
      </c>
      <c r="AL4465" t="s">
        <v>6835</v>
      </c>
      <c r="AM4465" t="s">
        <v>88</v>
      </c>
      <c r="AN4465" t="s">
        <v>6775</v>
      </c>
      <c r="AO4465" t="s">
        <v>6776</v>
      </c>
      <c r="AP4465" t="s">
        <v>6776</v>
      </c>
      <c r="AQ4465">
        <v>1</v>
      </c>
      <c r="AR4465" t="s">
        <v>6729</v>
      </c>
      <c r="AS4465" t="s">
        <v>6730</v>
      </c>
      <c r="AT4465" t="s">
        <v>58</v>
      </c>
      <c r="AU4465" t="s">
        <v>68</v>
      </c>
      <c r="AV4465" t="s">
        <v>69</v>
      </c>
      <c r="AW4465" s="1">
        <v>26606</v>
      </c>
      <c r="AX4465">
        <v>2</v>
      </c>
    </row>
    <row r="4466" spans="1:50">
      <c r="A4466">
        <v>225736</v>
      </c>
      <c r="B4466" t="str">
        <f>"130785488"</f>
        <v>130785488</v>
      </c>
      <c r="C4466" t="s">
        <v>50</v>
      </c>
      <c r="D4466" t="s">
        <v>8206</v>
      </c>
      <c r="E4466" t="s">
        <v>366</v>
      </c>
      <c r="F4466" t="s">
        <v>920</v>
      </c>
      <c r="G4466" t="s">
        <v>372</v>
      </c>
      <c r="H4466" t="str">
        <f>"ΣΤΡΑΤΟΥ 47 "</f>
        <v xml:space="preserve">ΣΤΡΑΤΟΥ 47 </v>
      </c>
      <c r="J4466">
        <v>2821063700</v>
      </c>
      <c r="K4466">
        <v>6937954574</v>
      </c>
      <c r="M4466" t="s">
        <v>8207</v>
      </c>
      <c r="N4466" t="s">
        <v>292</v>
      </c>
      <c r="O4466" t="s">
        <v>293</v>
      </c>
      <c r="R4466" t="s">
        <v>57</v>
      </c>
      <c r="S4466">
        <v>5</v>
      </c>
      <c r="T4466">
        <v>862</v>
      </c>
      <c r="U4466" s="1">
        <v>39706</v>
      </c>
      <c r="V4466" t="s">
        <v>6729</v>
      </c>
      <c r="W4466" t="s">
        <v>6730</v>
      </c>
      <c r="X4466" t="s">
        <v>58</v>
      </c>
      <c r="Y4466">
        <v>21</v>
      </c>
      <c r="Z4466" t="s">
        <v>59</v>
      </c>
      <c r="AA4466" t="s">
        <v>59</v>
      </c>
      <c r="AB4466" t="s">
        <v>59</v>
      </c>
      <c r="AC4466" t="s">
        <v>59</v>
      </c>
      <c r="AD4466" t="s">
        <v>59</v>
      </c>
      <c r="AF4466" s="1">
        <v>39709</v>
      </c>
      <c r="AG4466" t="s">
        <v>125</v>
      </c>
      <c r="AH4466" t="s">
        <v>126</v>
      </c>
      <c r="AI4466" t="str">
        <f>"5005010"</f>
        <v>5005010</v>
      </c>
      <c r="AJ4466" t="s">
        <v>7100</v>
      </c>
      <c r="AK4466">
        <v>2823041217</v>
      </c>
      <c r="AL4466" t="s">
        <v>7101</v>
      </c>
      <c r="AM4466" t="s">
        <v>88</v>
      </c>
      <c r="AN4466" t="s">
        <v>6824</v>
      </c>
      <c r="AO4466" t="s">
        <v>6870</v>
      </c>
      <c r="AP4466" t="s">
        <v>6871</v>
      </c>
      <c r="AQ4466">
        <v>1</v>
      </c>
      <c r="AR4466" t="s">
        <v>6729</v>
      </c>
      <c r="AS4466" t="s">
        <v>6730</v>
      </c>
      <c r="AT4466" t="s">
        <v>58</v>
      </c>
      <c r="AU4466" t="s">
        <v>68</v>
      </c>
      <c r="AV4466" t="s">
        <v>69</v>
      </c>
      <c r="AW4466" s="1">
        <v>29131</v>
      </c>
      <c r="AX4466">
        <v>2</v>
      </c>
    </row>
    <row r="4467" spans="1:50">
      <c r="A4467">
        <v>165815</v>
      </c>
      <c r="B4467" t="str">
        <f>"037737379"</f>
        <v>037737379</v>
      </c>
      <c r="C4467" t="s">
        <v>50</v>
      </c>
      <c r="D4467" t="s">
        <v>8208</v>
      </c>
      <c r="E4467" t="s">
        <v>801</v>
      </c>
      <c r="F4467" t="s">
        <v>95</v>
      </c>
      <c r="G4467" t="s">
        <v>83</v>
      </c>
      <c r="H4467" t="str">
        <f>" "</f>
        <v xml:space="preserve"> </v>
      </c>
      <c r="N4467" t="s">
        <v>146</v>
      </c>
      <c r="O4467" t="s">
        <v>147</v>
      </c>
      <c r="R4467" t="s">
        <v>57</v>
      </c>
      <c r="S4467">
        <v>13</v>
      </c>
      <c r="T4467">
        <v>137</v>
      </c>
      <c r="U4467" s="1">
        <v>34206</v>
      </c>
      <c r="V4467" t="s">
        <v>6729</v>
      </c>
      <c r="W4467" t="s">
        <v>6730</v>
      </c>
      <c r="X4467" t="s">
        <v>58</v>
      </c>
      <c r="Y4467">
        <v>18</v>
      </c>
      <c r="Z4467" t="s">
        <v>59</v>
      </c>
      <c r="AA4467" t="s">
        <v>59</v>
      </c>
      <c r="AB4467" t="s">
        <v>59</v>
      </c>
      <c r="AC4467" t="s">
        <v>59</v>
      </c>
      <c r="AD4467" t="s">
        <v>59</v>
      </c>
      <c r="AF4467" s="1">
        <v>34213</v>
      </c>
      <c r="AG4467" t="s">
        <v>125</v>
      </c>
      <c r="AH4467" t="s">
        <v>126</v>
      </c>
      <c r="AI4467" t="str">
        <f>"5001020"</f>
        <v>5001020</v>
      </c>
      <c r="AJ4467" t="s">
        <v>6739</v>
      </c>
      <c r="AK4467">
        <v>2821042664</v>
      </c>
      <c r="AL4467" t="s">
        <v>6740</v>
      </c>
      <c r="AM4467" t="s">
        <v>88</v>
      </c>
      <c r="AN4467" t="s">
        <v>88</v>
      </c>
      <c r="AO4467" t="s">
        <v>88</v>
      </c>
      <c r="AP4467" t="s">
        <v>88</v>
      </c>
      <c r="AQ4467">
        <v>1</v>
      </c>
      <c r="AR4467" t="s">
        <v>6729</v>
      </c>
      <c r="AS4467" t="s">
        <v>6730</v>
      </c>
      <c r="AT4467" t="s">
        <v>58</v>
      </c>
      <c r="AU4467" t="s">
        <v>68</v>
      </c>
      <c r="AV4467" t="s">
        <v>69</v>
      </c>
      <c r="AW4467" s="1">
        <v>23545</v>
      </c>
      <c r="AX4467">
        <v>2</v>
      </c>
    </row>
    <row r="4468" spans="1:50">
      <c r="B4468" t="str">
        <f>"054248115"</f>
        <v>054248115</v>
      </c>
      <c r="C4468" t="s">
        <v>50</v>
      </c>
      <c r="D4468" t="s">
        <v>8209</v>
      </c>
      <c r="E4468" t="s">
        <v>191</v>
      </c>
      <c r="F4468" t="s">
        <v>53</v>
      </c>
      <c r="G4468" t="s">
        <v>600</v>
      </c>
      <c r="H4468" t="str">
        <f>"ΑΓΓΕΛΩΝ ΜΑΚΡΥΣ ΤΟΙΧΟΣ ΧΑΝΙΑ"</f>
        <v>ΑΓΓΕΛΩΝ ΜΑΚΡΥΣ ΤΟΙΧΟΣ ΧΑΝΙΑ</v>
      </c>
      <c r="I4468">
        <v>73100</v>
      </c>
      <c r="J4468">
        <v>2821033883</v>
      </c>
      <c r="K4468">
        <v>6974211707</v>
      </c>
      <c r="N4468" t="s">
        <v>246</v>
      </c>
      <c r="O4468" t="s">
        <v>247</v>
      </c>
      <c r="R4468" t="s">
        <v>159</v>
      </c>
      <c r="S4468">
        <v>3</v>
      </c>
      <c r="T4468" t="s">
        <v>416</v>
      </c>
      <c r="U4468" s="1">
        <v>43349</v>
      </c>
      <c r="V4468" t="s">
        <v>6729</v>
      </c>
      <c r="W4468" t="s">
        <v>6730</v>
      </c>
      <c r="X4468" t="s">
        <v>58</v>
      </c>
      <c r="Y4468">
        <v>23</v>
      </c>
      <c r="Z4468" t="s">
        <v>59</v>
      </c>
      <c r="AA4468" t="s">
        <v>59</v>
      </c>
      <c r="AB4468" t="s">
        <v>59</v>
      </c>
      <c r="AC4468" t="s">
        <v>59</v>
      </c>
      <c r="AD4468" t="s">
        <v>59</v>
      </c>
      <c r="AF4468" s="1">
        <v>43349</v>
      </c>
      <c r="AG4468" t="s">
        <v>148</v>
      </c>
      <c r="AH4468" t="s">
        <v>149</v>
      </c>
      <c r="AI4468" t="str">
        <f>"5051040"</f>
        <v>5051040</v>
      </c>
      <c r="AJ4468" t="s">
        <v>6811</v>
      </c>
      <c r="AK4468">
        <v>2821088007</v>
      </c>
      <c r="AL4468" t="s">
        <v>6812</v>
      </c>
      <c r="AM4468" t="s">
        <v>88</v>
      </c>
      <c r="AN4468" t="s">
        <v>88</v>
      </c>
      <c r="AO4468" t="s">
        <v>88</v>
      </c>
      <c r="AP4468" t="s">
        <v>88</v>
      </c>
      <c r="AQ4468">
        <v>1</v>
      </c>
      <c r="AR4468" t="s">
        <v>6729</v>
      </c>
      <c r="AS4468" t="s">
        <v>6730</v>
      </c>
      <c r="AT4468" t="s">
        <v>58</v>
      </c>
      <c r="AU4468" t="s">
        <v>419</v>
      </c>
      <c r="AV4468" t="s">
        <v>132</v>
      </c>
      <c r="AW4468" s="1">
        <v>24950</v>
      </c>
      <c r="AX4468">
        <v>2</v>
      </c>
    </row>
    <row r="4469" spans="1:50">
      <c r="A4469">
        <v>218779</v>
      </c>
      <c r="B4469" t="str">
        <f>"046536499"</f>
        <v>046536499</v>
      </c>
      <c r="C4469" t="s">
        <v>50</v>
      </c>
      <c r="D4469" t="s">
        <v>8210</v>
      </c>
      <c r="E4469" t="s">
        <v>513</v>
      </c>
      <c r="F4469" t="s">
        <v>53</v>
      </c>
      <c r="G4469" t="s">
        <v>112</v>
      </c>
      <c r="H4469" t="str">
        <f>" "</f>
        <v xml:space="preserve"> </v>
      </c>
      <c r="J4469">
        <v>2821081886</v>
      </c>
      <c r="K4469">
        <v>6973267380</v>
      </c>
      <c r="M4469" t="s">
        <v>8211</v>
      </c>
      <c r="N4469" t="s">
        <v>199</v>
      </c>
      <c r="O4469" t="s">
        <v>200</v>
      </c>
      <c r="R4469" t="s">
        <v>57</v>
      </c>
      <c r="S4469">
        <v>7</v>
      </c>
      <c r="T4469">
        <v>599</v>
      </c>
      <c r="U4469" s="1">
        <v>39310</v>
      </c>
      <c r="V4469" t="s">
        <v>6729</v>
      </c>
      <c r="W4469" t="s">
        <v>6730</v>
      </c>
      <c r="X4469" t="s">
        <v>58</v>
      </c>
      <c r="Y4469">
        <v>20</v>
      </c>
      <c r="Z4469" t="s">
        <v>59</v>
      </c>
      <c r="AA4469" t="s">
        <v>59</v>
      </c>
      <c r="AB4469" t="s">
        <v>59</v>
      </c>
      <c r="AC4469" t="s">
        <v>59</v>
      </c>
      <c r="AD4469" t="s">
        <v>59</v>
      </c>
      <c r="AF4469" s="1">
        <v>39328</v>
      </c>
      <c r="AG4469" t="s">
        <v>125</v>
      </c>
      <c r="AH4469" t="s">
        <v>126</v>
      </c>
      <c r="AI4469" t="str">
        <f>"5002010"</f>
        <v>5002010</v>
      </c>
      <c r="AJ4469" t="s">
        <v>6773</v>
      </c>
      <c r="AK4469">
        <v>2825022249</v>
      </c>
      <c r="AL4469" t="s">
        <v>6774</v>
      </c>
      <c r="AM4469" t="s">
        <v>88</v>
      </c>
      <c r="AN4469" t="s">
        <v>6775</v>
      </c>
      <c r="AO4469" t="s">
        <v>6776</v>
      </c>
      <c r="AP4469" t="s">
        <v>6776</v>
      </c>
      <c r="AQ4469">
        <v>1</v>
      </c>
      <c r="AR4469" t="s">
        <v>6729</v>
      </c>
      <c r="AS4469" t="s">
        <v>6730</v>
      </c>
      <c r="AT4469" t="s">
        <v>58</v>
      </c>
      <c r="AU4469" t="s">
        <v>68</v>
      </c>
      <c r="AV4469" t="s">
        <v>69</v>
      </c>
      <c r="AW4469" s="1">
        <v>23907</v>
      </c>
      <c r="AX4469">
        <v>2</v>
      </c>
    </row>
    <row r="4470" spans="1:50">
      <c r="A4470">
        <v>181763</v>
      </c>
      <c r="B4470" t="str">
        <f>"103815535"</f>
        <v>103815535</v>
      </c>
      <c r="C4470" t="s">
        <v>50</v>
      </c>
      <c r="D4470" t="s">
        <v>3588</v>
      </c>
      <c r="E4470" t="s">
        <v>52</v>
      </c>
      <c r="F4470" t="s">
        <v>84</v>
      </c>
      <c r="G4470" t="s">
        <v>507</v>
      </c>
      <c r="H4470" t="str">
        <f>"Κ. ΜΑΛΙΝΟΥ 43Β ΧΑΝΙΑ"</f>
        <v>Κ. ΜΑΛΙΝΟΥ 43Β ΧΑΝΙΑ</v>
      </c>
      <c r="I4470">
        <v>73134</v>
      </c>
      <c r="J4470">
        <v>2821057221</v>
      </c>
      <c r="K4470">
        <v>6980462610</v>
      </c>
      <c r="N4470" t="s">
        <v>257</v>
      </c>
      <c r="O4470" t="s">
        <v>258</v>
      </c>
      <c r="P4470" t="s">
        <v>615</v>
      </c>
      <c r="Q4470" t="s">
        <v>616</v>
      </c>
      <c r="R4470" t="s">
        <v>57</v>
      </c>
      <c r="S4470">
        <v>14</v>
      </c>
      <c r="T4470">
        <v>181</v>
      </c>
      <c r="U4470" s="1">
        <v>36039</v>
      </c>
      <c r="V4470" t="s">
        <v>6729</v>
      </c>
      <c r="W4470" t="s">
        <v>6730</v>
      </c>
      <c r="X4470" t="s">
        <v>58</v>
      </c>
      <c r="Y4470">
        <v>18</v>
      </c>
      <c r="Z4470" t="s">
        <v>59</v>
      </c>
      <c r="AA4470" t="s">
        <v>59</v>
      </c>
      <c r="AB4470" t="s">
        <v>59</v>
      </c>
      <c r="AC4470" t="s">
        <v>59</v>
      </c>
      <c r="AD4470" t="s">
        <v>59</v>
      </c>
      <c r="AF4470" s="1">
        <v>36042</v>
      </c>
      <c r="AG4470" t="s">
        <v>148</v>
      </c>
      <c r="AH4470" t="s">
        <v>149</v>
      </c>
      <c r="AI4470" t="str">
        <f>"5051040"</f>
        <v>5051040</v>
      </c>
      <c r="AJ4470" t="s">
        <v>6811</v>
      </c>
      <c r="AK4470">
        <v>2821088007</v>
      </c>
      <c r="AL4470" t="s">
        <v>6812</v>
      </c>
      <c r="AM4470" t="s">
        <v>88</v>
      </c>
      <c r="AN4470" t="s">
        <v>88</v>
      </c>
      <c r="AO4470" t="s">
        <v>88</v>
      </c>
      <c r="AP4470" t="s">
        <v>88</v>
      </c>
      <c r="AQ4470">
        <v>1</v>
      </c>
      <c r="AR4470" t="s">
        <v>6729</v>
      </c>
      <c r="AS4470" t="s">
        <v>6730</v>
      </c>
      <c r="AT4470" t="s">
        <v>58</v>
      </c>
      <c r="AU4470" t="s">
        <v>68</v>
      </c>
      <c r="AV4470" t="s">
        <v>69</v>
      </c>
      <c r="AW4470" s="1">
        <v>21346</v>
      </c>
      <c r="AX4470">
        <v>2</v>
      </c>
    </row>
    <row r="4471" spans="1:50">
      <c r="A4471">
        <v>184179</v>
      </c>
      <c r="B4471" t="str">
        <f>"037689248"</f>
        <v>037689248</v>
      </c>
      <c r="C4471" t="s">
        <v>50</v>
      </c>
      <c r="D4471" t="s">
        <v>3594</v>
      </c>
      <c r="E4471" t="s">
        <v>563</v>
      </c>
      <c r="F4471" t="s">
        <v>609</v>
      </c>
      <c r="G4471" t="s">
        <v>52</v>
      </c>
      <c r="H4471" t="str">
        <f>" "</f>
        <v xml:space="preserve"> </v>
      </c>
      <c r="N4471" t="s">
        <v>146</v>
      </c>
      <c r="O4471" t="s">
        <v>147</v>
      </c>
      <c r="R4471" t="s">
        <v>57</v>
      </c>
      <c r="S4471">
        <v>9</v>
      </c>
      <c r="T4471">
        <v>177</v>
      </c>
      <c r="U4471" s="1">
        <v>36403</v>
      </c>
      <c r="V4471" t="s">
        <v>6729</v>
      </c>
      <c r="W4471" t="s">
        <v>6730</v>
      </c>
      <c r="X4471" t="s">
        <v>58</v>
      </c>
      <c r="Y4471">
        <v>20</v>
      </c>
      <c r="Z4471" t="s">
        <v>59</v>
      </c>
      <c r="AA4471" t="s">
        <v>59</v>
      </c>
      <c r="AB4471" t="s">
        <v>59</v>
      </c>
      <c r="AC4471" t="s">
        <v>59</v>
      </c>
      <c r="AD4471" t="s">
        <v>59</v>
      </c>
      <c r="AF4471" s="1">
        <v>36410</v>
      </c>
      <c r="AG4471" t="s">
        <v>60</v>
      </c>
      <c r="AH4471" t="s">
        <v>61</v>
      </c>
      <c r="AI4471" t="str">
        <f>"9000657"</f>
        <v>9000657</v>
      </c>
      <c r="AJ4471" t="s">
        <v>86</v>
      </c>
      <c r="AK4471">
        <v>2821054390</v>
      </c>
      <c r="AL4471" t="s">
        <v>87</v>
      </c>
      <c r="AM4471" t="s">
        <v>88</v>
      </c>
      <c r="AN4471" t="s">
        <v>88</v>
      </c>
      <c r="AO4471" t="s">
        <v>88</v>
      </c>
      <c r="AP4471" t="s">
        <v>88</v>
      </c>
      <c r="AR4471" t="s">
        <v>89</v>
      </c>
      <c r="AS4471" t="s">
        <v>90</v>
      </c>
      <c r="AT4471" t="s">
        <v>58</v>
      </c>
      <c r="AU4471" t="s">
        <v>68</v>
      </c>
      <c r="AV4471" t="s">
        <v>69</v>
      </c>
      <c r="AW4471" s="1">
        <v>22808</v>
      </c>
      <c r="AX4471">
        <v>0</v>
      </c>
    </row>
    <row r="4472" spans="1:50">
      <c r="A4472">
        <v>183574</v>
      </c>
      <c r="B4472" t="str">
        <f>"063812367"</f>
        <v>063812367</v>
      </c>
      <c r="C4472" t="s">
        <v>50</v>
      </c>
      <c r="D4472" t="s">
        <v>8212</v>
      </c>
      <c r="E4472" t="s">
        <v>52</v>
      </c>
      <c r="F4472" t="s">
        <v>920</v>
      </c>
      <c r="G4472" t="s">
        <v>73</v>
      </c>
      <c r="H4472" t="str">
        <f>" ΒΑΜΟΣ ΑΠΟΚΟΡΩΝΟΥ"</f>
        <v xml:space="preserve"> ΒΑΜΟΣ ΑΠΟΚΟΡΩΝΟΥ</v>
      </c>
      <c r="I4472">
        <v>73008</v>
      </c>
      <c r="J4472">
        <v>2825023304</v>
      </c>
      <c r="K4472">
        <v>6974916437</v>
      </c>
      <c r="M4472" t="s">
        <v>8213</v>
      </c>
      <c r="N4472" t="s">
        <v>146</v>
      </c>
      <c r="O4472" t="s">
        <v>147</v>
      </c>
      <c r="R4472" t="s">
        <v>57</v>
      </c>
      <c r="S4472">
        <v>9</v>
      </c>
      <c r="T4472">
        <v>177</v>
      </c>
      <c r="U4472" s="1">
        <v>36403</v>
      </c>
      <c r="V4472" t="s">
        <v>6729</v>
      </c>
      <c r="W4472" t="s">
        <v>6730</v>
      </c>
      <c r="X4472" t="s">
        <v>58</v>
      </c>
      <c r="Y4472">
        <v>20</v>
      </c>
      <c r="Z4472" t="s">
        <v>59</v>
      </c>
      <c r="AA4472" t="s">
        <v>59</v>
      </c>
      <c r="AB4472" t="s">
        <v>59</v>
      </c>
      <c r="AC4472" t="s">
        <v>59</v>
      </c>
      <c r="AD4472" t="s">
        <v>59</v>
      </c>
      <c r="AF4472" s="1">
        <v>36416</v>
      </c>
      <c r="AG4472" t="s">
        <v>148</v>
      </c>
      <c r="AH4472" t="s">
        <v>149</v>
      </c>
      <c r="AI4472" t="str">
        <f>"5052010"</f>
        <v>5052010</v>
      </c>
      <c r="AJ4472" t="s">
        <v>6834</v>
      </c>
      <c r="AK4472">
        <v>2825022200</v>
      </c>
      <c r="AL4472" t="s">
        <v>6835</v>
      </c>
      <c r="AM4472" t="s">
        <v>88</v>
      </c>
      <c r="AN4472" t="s">
        <v>6775</v>
      </c>
      <c r="AO4472" t="s">
        <v>6776</v>
      </c>
      <c r="AP4472" t="s">
        <v>6776</v>
      </c>
      <c r="AQ4472">
        <v>1</v>
      </c>
      <c r="AR4472" t="s">
        <v>6729</v>
      </c>
      <c r="AS4472" t="s">
        <v>6730</v>
      </c>
      <c r="AT4472" t="s">
        <v>58</v>
      </c>
      <c r="AU4472" t="s">
        <v>68</v>
      </c>
      <c r="AV4472" t="s">
        <v>69</v>
      </c>
      <c r="AW4472" s="1">
        <v>26046</v>
      </c>
      <c r="AX4472">
        <v>2</v>
      </c>
    </row>
    <row r="4473" spans="1:50">
      <c r="A4473">
        <v>211403</v>
      </c>
      <c r="B4473" t="str">
        <f>"059814917"</f>
        <v>059814917</v>
      </c>
      <c r="C4473" t="s">
        <v>105</v>
      </c>
      <c r="D4473" t="s">
        <v>8214</v>
      </c>
      <c r="E4473" t="s">
        <v>5642</v>
      </c>
      <c r="F4473" t="s">
        <v>95</v>
      </c>
      <c r="G4473" t="s">
        <v>215</v>
      </c>
      <c r="H4473" t="str">
        <f>"ΠΑΠΑΝΑΣΤΑΣΙΟΥ 155 ΛΕΝΤΑΡΙΑΝΑ"</f>
        <v>ΠΑΠΑΝΑΣΤΑΣΙΟΥ 155 ΛΕΝΤΑΡΙΑΝΑ</v>
      </c>
      <c r="I4473">
        <v>73134</v>
      </c>
      <c r="J4473">
        <v>2821020308</v>
      </c>
      <c r="K4473">
        <v>6977808043</v>
      </c>
      <c r="M4473" t="s">
        <v>8215</v>
      </c>
      <c r="N4473" t="s">
        <v>168</v>
      </c>
      <c r="O4473" t="s">
        <v>169</v>
      </c>
      <c r="R4473" t="s">
        <v>57</v>
      </c>
      <c r="S4473">
        <v>6</v>
      </c>
      <c r="T4473">
        <v>306</v>
      </c>
      <c r="U4473" s="1">
        <v>38673</v>
      </c>
      <c r="V4473" t="s">
        <v>6729</v>
      </c>
      <c r="W4473" t="s">
        <v>6730</v>
      </c>
      <c r="X4473" t="s">
        <v>58</v>
      </c>
      <c r="Y4473">
        <v>20</v>
      </c>
      <c r="Z4473" t="s">
        <v>59</v>
      </c>
      <c r="AA4473" t="s">
        <v>59</v>
      </c>
      <c r="AB4473" t="s">
        <v>59</v>
      </c>
      <c r="AC4473" t="s">
        <v>59</v>
      </c>
      <c r="AD4473" t="s">
        <v>59</v>
      </c>
      <c r="AF4473" s="1">
        <v>38678</v>
      </c>
      <c r="AG4473" t="s">
        <v>137</v>
      </c>
      <c r="AH4473" t="s">
        <v>138</v>
      </c>
      <c r="AI4473" t="str">
        <f>"5050060"</f>
        <v>5050060</v>
      </c>
      <c r="AJ4473" t="s">
        <v>6801</v>
      </c>
      <c r="AK4473">
        <v>2821091515</v>
      </c>
      <c r="AL4473" t="s">
        <v>6802</v>
      </c>
      <c r="AM4473" t="s">
        <v>88</v>
      </c>
      <c r="AN4473" t="s">
        <v>88</v>
      </c>
      <c r="AO4473" t="s">
        <v>88</v>
      </c>
      <c r="AP4473" t="s">
        <v>88</v>
      </c>
      <c r="AQ4473">
        <v>1</v>
      </c>
      <c r="AR4473" t="s">
        <v>6729</v>
      </c>
      <c r="AS4473" t="s">
        <v>6730</v>
      </c>
      <c r="AT4473" t="s">
        <v>58</v>
      </c>
      <c r="AU4473" t="s">
        <v>68</v>
      </c>
      <c r="AV4473" t="s">
        <v>69</v>
      </c>
      <c r="AW4473" s="1">
        <v>28153</v>
      </c>
      <c r="AX4473">
        <v>2</v>
      </c>
    </row>
    <row r="4474" spans="1:50">
      <c r="A4474">
        <v>184870</v>
      </c>
      <c r="B4474" t="str">
        <f>"028628350"</f>
        <v>028628350</v>
      </c>
      <c r="C4474" t="s">
        <v>105</v>
      </c>
      <c r="D4474" t="s">
        <v>8216</v>
      </c>
      <c r="E4474" t="s">
        <v>99</v>
      </c>
      <c r="F4474" t="s">
        <v>95</v>
      </c>
      <c r="G4474" t="s">
        <v>755</v>
      </c>
      <c r="H4474" t="str">
        <f>" "</f>
        <v xml:space="preserve"> </v>
      </c>
      <c r="N4474" t="s">
        <v>176</v>
      </c>
      <c r="O4474" t="s">
        <v>177</v>
      </c>
      <c r="R4474" t="s">
        <v>57</v>
      </c>
      <c r="S4474">
        <v>11</v>
      </c>
      <c r="T4474">
        <v>177</v>
      </c>
      <c r="U4474" s="1">
        <v>36403</v>
      </c>
      <c r="V4474" t="s">
        <v>6729</v>
      </c>
      <c r="W4474" t="s">
        <v>6730</v>
      </c>
      <c r="X4474" t="s">
        <v>58</v>
      </c>
      <c r="Y4474">
        <v>18</v>
      </c>
      <c r="Z4474" t="s">
        <v>59</v>
      </c>
      <c r="AA4474" t="s">
        <v>59</v>
      </c>
      <c r="AB4474" t="s">
        <v>59</v>
      </c>
      <c r="AC4474" t="s">
        <v>59</v>
      </c>
      <c r="AD4474" t="s">
        <v>59</v>
      </c>
      <c r="AF4474" s="1">
        <v>36409</v>
      </c>
      <c r="AG4474" t="s">
        <v>125</v>
      </c>
      <c r="AH4474" t="s">
        <v>126</v>
      </c>
      <c r="AI4474" t="str">
        <f>"5001080"</f>
        <v>5001080</v>
      </c>
      <c r="AJ4474" t="s">
        <v>6984</v>
      </c>
      <c r="AK4474">
        <v>2821068020</v>
      </c>
      <c r="AL4474" t="s">
        <v>6985</v>
      </c>
      <c r="AM4474" t="s">
        <v>88</v>
      </c>
      <c r="AN4474" t="s">
        <v>6764</v>
      </c>
      <c r="AO4474" t="s">
        <v>6764</v>
      </c>
      <c r="AP4474" t="s">
        <v>6764</v>
      </c>
      <c r="AQ4474">
        <v>1</v>
      </c>
      <c r="AR4474" t="s">
        <v>6729</v>
      </c>
      <c r="AS4474" t="s">
        <v>6730</v>
      </c>
      <c r="AT4474" t="s">
        <v>58</v>
      </c>
      <c r="AU4474" t="s">
        <v>68</v>
      </c>
      <c r="AV4474" t="s">
        <v>69</v>
      </c>
      <c r="AW4474" s="1">
        <v>24321</v>
      </c>
      <c r="AX4474">
        <v>2</v>
      </c>
    </row>
    <row r="4475" spans="1:50">
      <c r="A4475">
        <v>209719</v>
      </c>
      <c r="B4475" t="str">
        <f>"044683627"</f>
        <v>044683627</v>
      </c>
      <c r="C4475" t="s">
        <v>50</v>
      </c>
      <c r="D4475" t="s">
        <v>8217</v>
      </c>
      <c r="E4475" t="s">
        <v>484</v>
      </c>
      <c r="F4475" t="s">
        <v>670</v>
      </c>
      <c r="G4475" t="s">
        <v>5805</v>
      </c>
      <c r="H4475" t="str">
        <f>" "</f>
        <v xml:space="preserve"> </v>
      </c>
      <c r="J4475">
        <v>2821078662</v>
      </c>
      <c r="K4475">
        <v>6972676270</v>
      </c>
      <c r="N4475" t="s">
        <v>146</v>
      </c>
      <c r="O4475" t="s">
        <v>147</v>
      </c>
      <c r="R4475" t="s">
        <v>57</v>
      </c>
      <c r="S4475">
        <v>12</v>
      </c>
      <c r="T4475">
        <v>225</v>
      </c>
      <c r="U4475" s="1">
        <v>38604</v>
      </c>
      <c r="V4475" t="s">
        <v>6729</v>
      </c>
      <c r="W4475" t="s">
        <v>6730</v>
      </c>
      <c r="X4475" t="s">
        <v>58</v>
      </c>
      <c r="Y4475">
        <v>20</v>
      </c>
      <c r="Z4475" t="s">
        <v>59</v>
      </c>
      <c r="AA4475" t="s">
        <v>59</v>
      </c>
      <c r="AB4475" t="s">
        <v>59</v>
      </c>
      <c r="AC4475" t="s">
        <v>59</v>
      </c>
      <c r="AD4475" t="s">
        <v>59</v>
      </c>
      <c r="AF4475" s="1">
        <v>38607</v>
      </c>
      <c r="AG4475" t="s">
        <v>148</v>
      </c>
      <c r="AH4475" t="s">
        <v>149</v>
      </c>
      <c r="AI4475" t="str">
        <f>"5059010"</f>
        <v>5059010</v>
      </c>
      <c r="AJ4475" t="s">
        <v>6883</v>
      </c>
      <c r="AK4475">
        <v>2821077166</v>
      </c>
      <c r="AL4475" t="s">
        <v>6884</v>
      </c>
      <c r="AM4475" t="s">
        <v>88</v>
      </c>
      <c r="AN4475" t="s">
        <v>6764</v>
      </c>
      <c r="AO4475" t="s">
        <v>6885</v>
      </c>
      <c r="AP4475" t="s">
        <v>6886</v>
      </c>
      <c r="AQ4475">
        <v>1</v>
      </c>
      <c r="AR4475" t="s">
        <v>6729</v>
      </c>
      <c r="AS4475" t="s">
        <v>6730</v>
      </c>
      <c r="AT4475" t="s">
        <v>58</v>
      </c>
      <c r="AU4475" t="s">
        <v>68</v>
      </c>
      <c r="AV4475" t="s">
        <v>69</v>
      </c>
      <c r="AW4475" s="1">
        <v>26432</v>
      </c>
      <c r="AX4475">
        <v>2</v>
      </c>
    </row>
    <row r="4476" spans="1:50">
      <c r="B4476" t="str">
        <f>"113183210"</f>
        <v>113183210</v>
      </c>
      <c r="C4476" t="s">
        <v>50</v>
      </c>
      <c r="D4476" t="s">
        <v>8218</v>
      </c>
      <c r="E4476" t="s">
        <v>181</v>
      </c>
      <c r="F4476" t="s">
        <v>309</v>
      </c>
      <c r="G4476" t="s">
        <v>4269</v>
      </c>
      <c r="H4476" t="str">
        <f>" "</f>
        <v xml:space="preserve"> </v>
      </c>
      <c r="N4476" t="s">
        <v>583</v>
      </c>
      <c r="O4476" t="s">
        <v>584</v>
      </c>
      <c r="R4476" t="s">
        <v>121</v>
      </c>
      <c r="S4476">
        <v>1</v>
      </c>
      <c r="T4476" t="s">
        <v>416</v>
      </c>
      <c r="U4476" s="1">
        <v>43349</v>
      </c>
      <c r="V4476" t="s">
        <v>6729</v>
      </c>
      <c r="W4476" t="s">
        <v>6730</v>
      </c>
      <c r="X4476" t="s">
        <v>58</v>
      </c>
      <c r="Y4476">
        <v>23</v>
      </c>
      <c r="Z4476" t="s">
        <v>59</v>
      </c>
      <c r="AA4476" t="s">
        <v>59</v>
      </c>
      <c r="AB4476" t="s">
        <v>59</v>
      </c>
      <c r="AD4476" t="s">
        <v>59</v>
      </c>
      <c r="AF4476" s="1">
        <v>43349</v>
      </c>
      <c r="AG4476" t="s">
        <v>137</v>
      </c>
      <c r="AH4476" t="s">
        <v>138</v>
      </c>
      <c r="AI4476" t="str">
        <f>"5040080"</f>
        <v>5040080</v>
      </c>
      <c r="AJ4476" t="s">
        <v>6753</v>
      </c>
      <c r="AK4476">
        <v>2821093155</v>
      </c>
      <c r="AL4476" t="s">
        <v>6754</v>
      </c>
      <c r="AM4476" t="s">
        <v>88</v>
      </c>
      <c r="AN4476" t="s">
        <v>88</v>
      </c>
      <c r="AO4476" t="s">
        <v>6733</v>
      </c>
      <c r="AP4476" t="s">
        <v>6755</v>
      </c>
      <c r="AQ4476">
        <v>1</v>
      </c>
      <c r="AR4476" t="s">
        <v>6729</v>
      </c>
      <c r="AS4476" t="s">
        <v>6730</v>
      </c>
      <c r="AT4476" t="s">
        <v>58</v>
      </c>
      <c r="AU4476" t="s">
        <v>419</v>
      </c>
      <c r="AV4476" t="s">
        <v>132</v>
      </c>
      <c r="AW4476" s="1">
        <v>27914</v>
      </c>
      <c r="AX4476">
        <v>2</v>
      </c>
    </row>
    <row r="4477" spans="1:50">
      <c r="A4477">
        <v>220907</v>
      </c>
      <c r="B4477" t="str">
        <f>"074843558"</f>
        <v>074843558</v>
      </c>
      <c r="C4477" t="s">
        <v>105</v>
      </c>
      <c r="D4477" t="s">
        <v>8219</v>
      </c>
      <c r="E4477" t="s">
        <v>99</v>
      </c>
      <c r="F4477" t="s">
        <v>309</v>
      </c>
      <c r="G4477" t="s">
        <v>4269</v>
      </c>
      <c r="H4477" t="str">
        <f>"ΗΓΟΥΜΕΝΟΥ ΓΑΒΡΙΗΛ 9 ΑΓΙΟΣ ΙΩΑΝΝΗΣ"</f>
        <v>ΗΓΟΥΜΕΝΟΥ ΓΑΒΡΙΗΛ 9 ΑΓΙΟΣ ΙΩΑΝΝΗΣ</v>
      </c>
      <c r="I4477">
        <v>73100</v>
      </c>
      <c r="J4477">
        <v>2821501868</v>
      </c>
      <c r="K4477">
        <v>6977518615</v>
      </c>
      <c r="M4477" t="s">
        <v>8220</v>
      </c>
      <c r="N4477" t="s">
        <v>2683</v>
      </c>
      <c r="O4477" t="s">
        <v>2684</v>
      </c>
      <c r="R4477" t="s">
        <v>57</v>
      </c>
      <c r="S4477">
        <v>9</v>
      </c>
      <c r="T4477">
        <v>687</v>
      </c>
      <c r="U4477" s="1">
        <v>39330</v>
      </c>
      <c r="V4477" t="s">
        <v>6729</v>
      </c>
      <c r="W4477" t="s">
        <v>6730</v>
      </c>
      <c r="X4477" t="s">
        <v>58</v>
      </c>
      <c r="Y4477">
        <v>20</v>
      </c>
      <c r="Z4477" t="s">
        <v>59</v>
      </c>
      <c r="AA4477" t="s">
        <v>59</v>
      </c>
      <c r="AB4477" t="s">
        <v>59</v>
      </c>
      <c r="AC4477" t="s">
        <v>59</v>
      </c>
      <c r="AD4477" t="s">
        <v>59</v>
      </c>
      <c r="AF4477" s="1">
        <v>39331</v>
      </c>
      <c r="AG4477" t="s">
        <v>137</v>
      </c>
      <c r="AH4477" t="s">
        <v>138</v>
      </c>
      <c r="AI4477" t="str">
        <f>"5050060"</f>
        <v>5050060</v>
      </c>
      <c r="AJ4477" t="s">
        <v>6801</v>
      </c>
      <c r="AK4477">
        <v>2821091515</v>
      </c>
      <c r="AL4477" t="s">
        <v>6802</v>
      </c>
      <c r="AM4477" t="s">
        <v>88</v>
      </c>
      <c r="AN4477" t="s">
        <v>88</v>
      </c>
      <c r="AO4477" t="s">
        <v>88</v>
      </c>
      <c r="AP4477" t="s">
        <v>88</v>
      </c>
      <c r="AQ4477">
        <v>1</v>
      </c>
      <c r="AR4477" t="s">
        <v>6729</v>
      </c>
      <c r="AS4477" t="s">
        <v>6730</v>
      </c>
      <c r="AT4477" t="s">
        <v>58</v>
      </c>
      <c r="AU4477" t="s">
        <v>68</v>
      </c>
      <c r="AV4477" t="s">
        <v>69</v>
      </c>
      <c r="AW4477" s="1">
        <v>26515</v>
      </c>
      <c r="AX4477">
        <v>2</v>
      </c>
    </row>
    <row r="4478" spans="1:50">
      <c r="A4478">
        <v>208259</v>
      </c>
      <c r="B4478" t="str">
        <f>"052652442"</f>
        <v>052652442</v>
      </c>
      <c r="C4478" t="s">
        <v>105</v>
      </c>
      <c r="D4478" t="s">
        <v>8221</v>
      </c>
      <c r="E4478" t="s">
        <v>92</v>
      </c>
      <c r="F4478" t="s">
        <v>72</v>
      </c>
      <c r="G4478" t="s">
        <v>3483</v>
      </c>
      <c r="H4478" t="str">
        <f>"ΠΛΑΤΕΙΑ ΒΑΦΕ ΝΕΑ ΧΩΡΑ"</f>
        <v>ΠΛΑΤΕΙΑ ΒΑΦΕ ΝΕΑ ΧΩΡΑ</v>
      </c>
      <c r="I4478">
        <v>73131</v>
      </c>
      <c r="J4478">
        <v>2821088557</v>
      </c>
      <c r="K4478">
        <v>6942632027</v>
      </c>
      <c r="M4478" t="s">
        <v>8222</v>
      </c>
      <c r="N4478" t="s">
        <v>176</v>
      </c>
      <c r="O4478" t="s">
        <v>177</v>
      </c>
      <c r="R4478" t="s">
        <v>57</v>
      </c>
      <c r="S4478">
        <v>9</v>
      </c>
      <c r="T4478">
        <v>218</v>
      </c>
      <c r="U4478" s="1">
        <v>38596</v>
      </c>
      <c r="V4478" t="s">
        <v>6729</v>
      </c>
      <c r="W4478" t="s">
        <v>6730</v>
      </c>
      <c r="X4478" t="s">
        <v>58</v>
      </c>
      <c r="Y4478">
        <v>20</v>
      </c>
      <c r="Z4478" t="s">
        <v>59</v>
      </c>
      <c r="AA4478" t="s">
        <v>59</v>
      </c>
      <c r="AB4478" t="s">
        <v>59</v>
      </c>
      <c r="AC4478" t="s">
        <v>59</v>
      </c>
      <c r="AD4478" t="s">
        <v>59</v>
      </c>
      <c r="AF4478" s="1">
        <v>38602</v>
      </c>
      <c r="AG4478" t="s">
        <v>148</v>
      </c>
      <c r="AH4478" t="s">
        <v>149</v>
      </c>
      <c r="AI4478" t="str">
        <f>"5054010"</f>
        <v>5054010</v>
      </c>
      <c r="AJ4478" t="s">
        <v>6815</v>
      </c>
      <c r="AK4478">
        <v>2822022671</v>
      </c>
      <c r="AL4478" t="s">
        <v>6816</v>
      </c>
      <c r="AM4478" t="s">
        <v>88</v>
      </c>
      <c r="AN4478" t="s">
        <v>6744</v>
      </c>
      <c r="AO4478" t="s">
        <v>6744</v>
      </c>
      <c r="AP4478" t="s">
        <v>6744</v>
      </c>
      <c r="AQ4478">
        <v>1</v>
      </c>
      <c r="AR4478" t="s">
        <v>6729</v>
      </c>
      <c r="AS4478" t="s">
        <v>6730</v>
      </c>
      <c r="AT4478" t="s">
        <v>58</v>
      </c>
      <c r="AU4478" t="s">
        <v>68</v>
      </c>
      <c r="AV4478" t="s">
        <v>69</v>
      </c>
      <c r="AW4478" s="1">
        <v>25537</v>
      </c>
      <c r="AX4478">
        <v>2</v>
      </c>
    </row>
    <row r="4479" spans="1:50">
      <c r="A4479">
        <v>181188</v>
      </c>
      <c r="B4479" t="str">
        <f>"101572605"</f>
        <v>101572605</v>
      </c>
      <c r="C4479" t="s">
        <v>50</v>
      </c>
      <c r="D4479" t="s">
        <v>8223</v>
      </c>
      <c r="E4479" t="s">
        <v>155</v>
      </c>
      <c r="F4479" t="s">
        <v>1761</v>
      </c>
      <c r="G4479" t="s">
        <v>8224</v>
      </c>
      <c r="H4479" t="str">
        <f>"Γ.ΣΕΦΕΡΗ 8 ΧΑΡΙΛΑΟΥ"</f>
        <v>Γ.ΣΕΦΕΡΗ 8 ΧΑΡΙΛΑΟΥ</v>
      </c>
      <c r="I4479">
        <v>54250</v>
      </c>
      <c r="J4479">
        <v>2310305565</v>
      </c>
      <c r="K4479">
        <v>6944736127</v>
      </c>
      <c r="M4479" t="s">
        <v>8225</v>
      </c>
      <c r="N4479" t="s">
        <v>306</v>
      </c>
      <c r="O4479" t="s">
        <v>307</v>
      </c>
      <c r="R4479" t="s">
        <v>57</v>
      </c>
      <c r="S4479">
        <v>9</v>
      </c>
      <c r="T4479">
        <v>164</v>
      </c>
      <c r="U4479" s="1">
        <v>36040</v>
      </c>
      <c r="V4479" t="s">
        <v>6729</v>
      </c>
      <c r="W4479" t="s">
        <v>6730</v>
      </c>
      <c r="X4479" t="s">
        <v>58</v>
      </c>
      <c r="Y4479">
        <v>18</v>
      </c>
      <c r="Z4479" t="s">
        <v>59</v>
      </c>
      <c r="AA4479" t="s">
        <v>59</v>
      </c>
      <c r="AB4479" t="s">
        <v>59</v>
      </c>
      <c r="AC4479" t="s">
        <v>59</v>
      </c>
      <c r="AD4479" t="s">
        <v>59</v>
      </c>
      <c r="AF4479" s="1">
        <v>36041</v>
      </c>
      <c r="AG4479" t="s">
        <v>137</v>
      </c>
      <c r="AH4479" t="s">
        <v>138</v>
      </c>
      <c r="AI4479" t="str">
        <f>"5050060"</f>
        <v>5050060</v>
      </c>
      <c r="AJ4479" t="s">
        <v>6801</v>
      </c>
      <c r="AK4479">
        <v>2821091515</v>
      </c>
      <c r="AL4479" t="s">
        <v>6802</v>
      </c>
      <c r="AM4479" t="s">
        <v>88</v>
      </c>
      <c r="AN4479" t="s">
        <v>88</v>
      </c>
      <c r="AO4479" t="s">
        <v>88</v>
      </c>
      <c r="AP4479" t="s">
        <v>88</v>
      </c>
      <c r="AQ4479">
        <v>1</v>
      </c>
      <c r="AR4479" t="s">
        <v>6729</v>
      </c>
      <c r="AS4479" t="s">
        <v>6730</v>
      </c>
      <c r="AT4479" t="s">
        <v>58</v>
      </c>
      <c r="AU4479" t="s">
        <v>68</v>
      </c>
      <c r="AV4479" t="s">
        <v>357</v>
      </c>
      <c r="AW4479" s="1">
        <v>24185</v>
      </c>
      <c r="AX4479">
        <v>2</v>
      </c>
    </row>
    <row r="4480" spans="1:50">
      <c r="A4480">
        <v>200479</v>
      </c>
      <c r="B4480" t="str">
        <f>"071404267"</f>
        <v>071404267</v>
      </c>
      <c r="C4480" t="s">
        <v>105</v>
      </c>
      <c r="D4480" t="s">
        <v>8226</v>
      </c>
      <c r="E4480" t="s">
        <v>72</v>
      </c>
      <c r="F4480" t="s">
        <v>383</v>
      </c>
      <c r="G4480" t="s">
        <v>112</v>
      </c>
      <c r="H4480" t="str">
        <f>" "</f>
        <v xml:space="preserve"> </v>
      </c>
      <c r="J4480">
        <v>2821031830</v>
      </c>
      <c r="K4480">
        <v>6947610801</v>
      </c>
      <c r="M4480" t="s">
        <v>8227</v>
      </c>
      <c r="N4480" t="s">
        <v>204</v>
      </c>
      <c r="O4480" t="s">
        <v>205</v>
      </c>
      <c r="R4480" t="s">
        <v>57</v>
      </c>
      <c r="S4480">
        <v>7</v>
      </c>
      <c r="T4480">
        <v>206</v>
      </c>
      <c r="U4480" s="1">
        <v>37866</v>
      </c>
      <c r="V4480" t="s">
        <v>6729</v>
      </c>
      <c r="W4480" t="s">
        <v>6730</v>
      </c>
      <c r="X4480" t="s">
        <v>58</v>
      </c>
      <c r="Y4480">
        <v>20</v>
      </c>
      <c r="Z4480" t="s">
        <v>59</v>
      </c>
      <c r="AA4480" t="s">
        <v>59</v>
      </c>
      <c r="AB4480" t="s">
        <v>59</v>
      </c>
      <c r="AC4480" t="s">
        <v>59</v>
      </c>
      <c r="AD4480" t="s">
        <v>59</v>
      </c>
      <c r="AF4480" s="1">
        <v>37866</v>
      </c>
      <c r="AG4480" t="s">
        <v>137</v>
      </c>
      <c r="AH4480" t="s">
        <v>138</v>
      </c>
      <c r="AI4480" t="str">
        <f>"5040050"</f>
        <v>5040050</v>
      </c>
      <c r="AJ4480" t="s">
        <v>6750</v>
      </c>
      <c r="AK4480">
        <v>2821043147</v>
      </c>
      <c r="AL4480" t="s">
        <v>6751</v>
      </c>
      <c r="AM4480" t="s">
        <v>88</v>
      </c>
      <c r="AN4480" t="s">
        <v>88</v>
      </c>
      <c r="AO4480" t="s">
        <v>88</v>
      </c>
      <c r="AP4480" t="s">
        <v>88</v>
      </c>
      <c r="AQ4480">
        <v>1</v>
      </c>
      <c r="AR4480" t="s">
        <v>6729</v>
      </c>
      <c r="AS4480" t="s">
        <v>6730</v>
      </c>
      <c r="AT4480" t="s">
        <v>58</v>
      </c>
      <c r="AU4480" t="s">
        <v>68</v>
      </c>
      <c r="AV4480" t="s">
        <v>69</v>
      </c>
      <c r="AW4480" s="1">
        <v>27506</v>
      </c>
      <c r="AX4480">
        <v>2</v>
      </c>
    </row>
    <row r="4481" spans="1:50">
      <c r="A4481">
        <v>226185</v>
      </c>
      <c r="B4481" t="str">
        <f>"046205300"</f>
        <v>046205300</v>
      </c>
      <c r="C4481" t="s">
        <v>50</v>
      </c>
      <c r="D4481" t="s">
        <v>8228</v>
      </c>
      <c r="E4481" t="s">
        <v>52</v>
      </c>
      <c r="F4481" t="s">
        <v>8229</v>
      </c>
      <c r="G4481" t="s">
        <v>8230</v>
      </c>
      <c r="H4481" t="str">
        <f>"Ο. ΝΙΚ0ΝΟΣ 52 ΝΕΑ ΧΩΡΑ ΧΑΝΙΑ"</f>
        <v>Ο. ΝΙΚ0ΝΟΣ 52 ΝΕΑ ΧΩΡΑ ΧΑΝΙΑ</v>
      </c>
      <c r="I4481">
        <v>73133</v>
      </c>
      <c r="J4481">
        <v>2821095684</v>
      </c>
      <c r="K4481">
        <v>6942770424</v>
      </c>
      <c r="N4481" t="s">
        <v>337</v>
      </c>
      <c r="O4481" t="s">
        <v>338</v>
      </c>
      <c r="R4481" t="s">
        <v>57</v>
      </c>
      <c r="S4481">
        <v>5</v>
      </c>
      <c r="T4481" t="s">
        <v>8231</v>
      </c>
      <c r="U4481" s="1">
        <v>40043</v>
      </c>
      <c r="V4481" t="s">
        <v>6729</v>
      </c>
      <c r="W4481" t="s">
        <v>6730</v>
      </c>
      <c r="X4481" t="s">
        <v>58</v>
      </c>
      <c r="Y4481">
        <v>21</v>
      </c>
      <c r="Z4481" t="s">
        <v>59</v>
      </c>
      <c r="AA4481" t="s">
        <v>59</v>
      </c>
      <c r="AB4481" t="s">
        <v>452</v>
      </c>
      <c r="AC4481" t="s">
        <v>59</v>
      </c>
      <c r="AD4481" t="s">
        <v>59</v>
      </c>
      <c r="AF4481" s="1">
        <v>40057</v>
      </c>
      <c r="AG4481" t="s">
        <v>125</v>
      </c>
      <c r="AH4481" t="s">
        <v>294</v>
      </c>
      <c r="AI4481" t="str">
        <f>"5012017"</f>
        <v>5012017</v>
      </c>
      <c r="AJ4481" t="s">
        <v>6859</v>
      </c>
      <c r="AK4481">
        <v>2821088065</v>
      </c>
      <c r="AL4481" t="s">
        <v>6860</v>
      </c>
      <c r="AM4481" t="s">
        <v>88</v>
      </c>
      <c r="AN4481" t="s">
        <v>88</v>
      </c>
      <c r="AO4481" t="s">
        <v>88</v>
      </c>
      <c r="AP4481" t="s">
        <v>88</v>
      </c>
      <c r="AQ4481">
        <v>1</v>
      </c>
      <c r="AR4481" t="s">
        <v>6729</v>
      </c>
      <c r="AS4481" t="s">
        <v>6730</v>
      </c>
      <c r="AT4481" t="s">
        <v>58</v>
      </c>
      <c r="AU4481" t="s">
        <v>68</v>
      </c>
      <c r="AV4481" t="s">
        <v>69</v>
      </c>
      <c r="AW4481" s="1">
        <v>22644</v>
      </c>
      <c r="AX4481">
        <v>2</v>
      </c>
    </row>
    <row r="4482" spans="1:50">
      <c r="A4482">
        <v>213364</v>
      </c>
      <c r="B4482" t="str">
        <f>"044684114"</f>
        <v>044684114</v>
      </c>
      <c r="C4482" t="s">
        <v>50</v>
      </c>
      <c r="D4482" t="s">
        <v>3623</v>
      </c>
      <c r="E4482" t="s">
        <v>8232</v>
      </c>
      <c r="F4482" t="s">
        <v>95</v>
      </c>
      <c r="G4482" t="s">
        <v>8233</v>
      </c>
      <c r="H4482" t="str">
        <f>" "</f>
        <v xml:space="preserve"> </v>
      </c>
      <c r="J4482">
        <v>2821092930</v>
      </c>
      <c r="K4482">
        <v>6937248911</v>
      </c>
      <c r="N4482" t="s">
        <v>232</v>
      </c>
      <c r="O4482" t="s">
        <v>233</v>
      </c>
      <c r="R4482" t="s">
        <v>57</v>
      </c>
      <c r="S4482">
        <v>8</v>
      </c>
      <c r="T4482">
        <v>231</v>
      </c>
      <c r="U4482" s="1">
        <v>38960</v>
      </c>
      <c r="V4482" t="s">
        <v>6729</v>
      </c>
      <c r="W4482" t="s">
        <v>6730</v>
      </c>
      <c r="X4482" t="s">
        <v>58</v>
      </c>
      <c r="Y4482">
        <v>20</v>
      </c>
      <c r="Z4482" t="s">
        <v>59</v>
      </c>
      <c r="AA4482" t="s">
        <v>59</v>
      </c>
      <c r="AB4482" t="s">
        <v>59</v>
      </c>
      <c r="AC4482" t="s">
        <v>59</v>
      </c>
      <c r="AD4482" t="s">
        <v>59</v>
      </c>
      <c r="AF4482" s="1">
        <v>38961</v>
      </c>
      <c r="AG4482" t="s">
        <v>125</v>
      </c>
      <c r="AH4482" t="s">
        <v>126</v>
      </c>
      <c r="AI4482" t="str">
        <f>"5009010"</f>
        <v>5009010</v>
      </c>
      <c r="AJ4482" t="s">
        <v>6901</v>
      </c>
      <c r="AK4482">
        <v>2821077212</v>
      </c>
      <c r="AL4482" t="s">
        <v>6902</v>
      </c>
      <c r="AM4482" t="s">
        <v>88</v>
      </c>
      <c r="AN4482" t="s">
        <v>6764</v>
      </c>
      <c r="AO4482" t="s">
        <v>6885</v>
      </c>
      <c r="AP4482" t="s">
        <v>6886</v>
      </c>
      <c r="AQ4482">
        <v>1</v>
      </c>
      <c r="AR4482" t="s">
        <v>6729</v>
      </c>
      <c r="AS4482" t="s">
        <v>6730</v>
      </c>
      <c r="AT4482" t="s">
        <v>58</v>
      </c>
      <c r="AU4482" t="s">
        <v>68</v>
      </c>
      <c r="AV4482" t="s">
        <v>132</v>
      </c>
      <c r="AW4482" s="1">
        <v>22978</v>
      </c>
      <c r="AX4482">
        <v>2</v>
      </c>
    </row>
    <row r="4483" spans="1:50">
      <c r="A4483">
        <v>167812</v>
      </c>
      <c r="B4483" t="str">
        <f>"032640789"</f>
        <v>032640789</v>
      </c>
      <c r="C4483" t="s">
        <v>50</v>
      </c>
      <c r="D4483" t="s">
        <v>8234</v>
      </c>
      <c r="E4483" t="s">
        <v>83</v>
      </c>
      <c r="F4483" t="s">
        <v>309</v>
      </c>
      <c r="G4483" t="s">
        <v>167</v>
      </c>
      <c r="H4483" t="str">
        <f>"Μαλάθυρου 14 "</f>
        <v xml:space="preserve">Μαλάθυρου 14 </v>
      </c>
      <c r="J4483">
        <v>2821075408</v>
      </c>
      <c r="K4483">
        <v>6944598475</v>
      </c>
      <c r="M4483" t="s">
        <v>8235</v>
      </c>
      <c r="N4483" t="s">
        <v>146</v>
      </c>
      <c r="O4483" t="s">
        <v>147</v>
      </c>
      <c r="R4483" t="s">
        <v>57</v>
      </c>
      <c r="S4483">
        <v>12</v>
      </c>
      <c r="T4483">
        <v>159</v>
      </c>
      <c r="U4483" s="1">
        <v>34582</v>
      </c>
      <c r="V4483" t="s">
        <v>6729</v>
      </c>
      <c r="W4483" t="s">
        <v>6730</v>
      </c>
      <c r="X4483" t="s">
        <v>58</v>
      </c>
      <c r="Y4483">
        <v>18</v>
      </c>
      <c r="Z4483" t="s">
        <v>59</v>
      </c>
      <c r="AA4483" t="s">
        <v>59</v>
      </c>
      <c r="AB4483" t="s">
        <v>59</v>
      </c>
      <c r="AC4483" t="s">
        <v>59</v>
      </c>
      <c r="AD4483" t="s">
        <v>59</v>
      </c>
      <c r="AF4483" s="1">
        <v>34586</v>
      </c>
      <c r="AG4483" t="s">
        <v>125</v>
      </c>
      <c r="AH4483" t="s">
        <v>126</v>
      </c>
      <c r="AI4483" t="str">
        <f>"5001073"</f>
        <v>5001073</v>
      </c>
      <c r="AJ4483" t="s">
        <v>6849</v>
      </c>
      <c r="AK4483">
        <v>2821028553</v>
      </c>
      <c r="AL4483" t="s">
        <v>6850</v>
      </c>
      <c r="AM4483" t="s">
        <v>88</v>
      </c>
      <c r="AN4483" t="s">
        <v>88</v>
      </c>
      <c r="AO4483" t="s">
        <v>88</v>
      </c>
      <c r="AP4483" t="s">
        <v>88</v>
      </c>
      <c r="AQ4483">
        <v>1</v>
      </c>
      <c r="AR4483" t="s">
        <v>6729</v>
      </c>
      <c r="AS4483" t="s">
        <v>6730</v>
      </c>
      <c r="AT4483" t="s">
        <v>58</v>
      </c>
      <c r="AU4483" t="s">
        <v>68</v>
      </c>
      <c r="AV4483" t="s">
        <v>69</v>
      </c>
      <c r="AW4483" s="1">
        <v>23548</v>
      </c>
      <c r="AX4483">
        <v>2</v>
      </c>
    </row>
    <row r="4484" spans="1:50">
      <c r="A4484">
        <v>161293</v>
      </c>
      <c r="B4484" t="str">
        <f>"032640882"</f>
        <v>032640882</v>
      </c>
      <c r="C4484" t="s">
        <v>50</v>
      </c>
      <c r="D4484" t="s">
        <v>5389</v>
      </c>
      <c r="E4484" t="s">
        <v>255</v>
      </c>
      <c r="F4484" t="s">
        <v>95</v>
      </c>
      <c r="G4484" t="s">
        <v>52</v>
      </c>
      <c r="H4484" t="str">
        <f>"ΗΛΙΑ ΔΕΛΗΓΙΑΝΝΑΚΗ 8 ΑΓ.ΙΩΑΝΝΗΣ ΧΑΝΙΑ"</f>
        <v>ΗΛΙΑ ΔΕΛΗΓΙΑΝΝΑΚΗ 8 ΑΓ.ΙΩΑΝΝΗΣ ΧΑΝΙΑ</v>
      </c>
      <c r="I4484">
        <v>73100</v>
      </c>
      <c r="J4484">
        <v>2821040930</v>
      </c>
      <c r="K4484">
        <v>6977393821</v>
      </c>
      <c r="M4484" t="s">
        <v>8236</v>
      </c>
      <c r="N4484" t="s">
        <v>257</v>
      </c>
      <c r="O4484" t="s">
        <v>258</v>
      </c>
      <c r="P4484" t="s">
        <v>615</v>
      </c>
      <c r="Q4484" t="s">
        <v>616</v>
      </c>
      <c r="R4484" t="s">
        <v>57</v>
      </c>
      <c r="S4484">
        <v>15</v>
      </c>
      <c r="T4484">
        <v>161</v>
      </c>
      <c r="U4484" s="1">
        <v>33119</v>
      </c>
      <c r="V4484" t="s">
        <v>6729</v>
      </c>
      <c r="W4484" t="s">
        <v>6730</v>
      </c>
      <c r="X4484" t="s">
        <v>58</v>
      </c>
      <c r="Y4484">
        <v>18</v>
      </c>
      <c r="Z4484" t="s">
        <v>59</v>
      </c>
      <c r="AA4484" t="s">
        <v>59</v>
      </c>
      <c r="AB4484" t="s">
        <v>59</v>
      </c>
      <c r="AC4484" t="s">
        <v>59</v>
      </c>
      <c r="AD4484" t="s">
        <v>59</v>
      </c>
      <c r="AF4484" s="1">
        <v>33128</v>
      </c>
      <c r="AG4484" t="s">
        <v>148</v>
      </c>
      <c r="AH4484" t="s">
        <v>149</v>
      </c>
      <c r="AI4484" t="str">
        <f>"5051010"</f>
        <v>5051010</v>
      </c>
      <c r="AJ4484" t="s">
        <v>6896</v>
      </c>
      <c r="AK4484">
        <v>2821028714</v>
      </c>
      <c r="AL4484" t="s">
        <v>6897</v>
      </c>
      <c r="AM4484" t="s">
        <v>88</v>
      </c>
      <c r="AN4484" t="s">
        <v>88</v>
      </c>
      <c r="AO4484" t="s">
        <v>88</v>
      </c>
      <c r="AP4484" t="s">
        <v>88</v>
      </c>
      <c r="AQ4484">
        <v>1</v>
      </c>
      <c r="AR4484" t="s">
        <v>6729</v>
      </c>
      <c r="AS4484" t="s">
        <v>6730</v>
      </c>
      <c r="AT4484" t="s">
        <v>58</v>
      </c>
      <c r="AU4484" t="s">
        <v>68</v>
      </c>
      <c r="AV4484" t="s">
        <v>69</v>
      </c>
      <c r="AW4484" s="1">
        <v>22747</v>
      </c>
      <c r="AX4484">
        <v>2</v>
      </c>
    </row>
    <row r="4485" spans="1:50">
      <c r="A4485">
        <v>192071</v>
      </c>
      <c r="B4485" t="str">
        <f>"036772685"</f>
        <v>036772685</v>
      </c>
      <c r="C4485" t="s">
        <v>105</v>
      </c>
      <c r="D4485" t="s">
        <v>5391</v>
      </c>
      <c r="E4485" t="s">
        <v>99</v>
      </c>
      <c r="F4485" t="s">
        <v>166</v>
      </c>
      <c r="G4485" t="s">
        <v>671</v>
      </c>
      <c r="H4485" t="str">
        <f>" "</f>
        <v xml:space="preserve"> </v>
      </c>
      <c r="M4485" t="s">
        <v>8237</v>
      </c>
      <c r="N4485" t="s">
        <v>299</v>
      </c>
      <c r="O4485" t="s">
        <v>300</v>
      </c>
      <c r="R4485" t="s">
        <v>57</v>
      </c>
      <c r="S4485">
        <v>8</v>
      </c>
      <c r="T4485">
        <v>291</v>
      </c>
      <c r="U4485" s="1">
        <v>37218</v>
      </c>
      <c r="V4485" t="s">
        <v>6729</v>
      </c>
      <c r="W4485" t="s">
        <v>6730</v>
      </c>
      <c r="X4485" t="s">
        <v>58</v>
      </c>
      <c r="Y4485">
        <v>20</v>
      </c>
      <c r="Z4485" t="s">
        <v>59</v>
      </c>
      <c r="AA4485" t="s">
        <v>59</v>
      </c>
      <c r="AB4485" t="s">
        <v>59</v>
      </c>
      <c r="AC4485" t="s">
        <v>59</v>
      </c>
      <c r="AD4485" t="s">
        <v>59</v>
      </c>
      <c r="AF4485" s="1">
        <v>37222</v>
      </c>
      <c r="AG4485" t="s">
        <v>137</v>
      </c>
      <c r="AH4485" t="s">
        <v>138</v>
      </c>
      <c r="AI4485" t="str">
        <f>"5040050"</f>
        <v>5040050</v>
      </c>
      <c r="AJ4485" t="s">
        <v>6750</v>
      </c>
      <c r="AK4485">
        <v>2821043147</v>
      </c>
      <c r="AL4485" t="s">
        <v>6751</v>
      </c>
      <c r="AM4485" t="s">
        <v>88</v>
      </c>
      <c r="AN4485" t="s">
        <v>88</v>
      </c>
      <c r="AO4485" t="s">
        <v>88</v>
      </c>
      <c r="AP4485" t="s">
        <v>88</v>
      </c>
      <c r="AQ4485">
        <v>1</v>
      </c>
      <c r="AR4485" t="s">
        <v>6729</v>
      </c>
      <c r="AS4485" t="s">
        <v>6730</v>
      </c>
      <c r="AT4485" t="s">
        <v>58</v>
      </c>
      <c r="AU4485" t="s">
        <v>68</v>
      </c>
      <c r="AV4485" t="s">
        <v>69</v>
      </c>
      <c r="AW4485" s="1">
        <v>24649</v>
      </c>
      <c r="AX4485">
        <v>2</v>
      </c>
    </row>
    <row r="4486" spans="1:50">
      <c r="A4486">
        <v>164975</v>
      </c>
      <c r="B4486" t="str">
        <f>"023760901"</f>
        <v>023760901</v>
      </c>
      <c r="C4486" t="s">
        <v>50</v>
      </c>
      <c r="D4486" t="s">
        <v>8238</v>
      </c>
      <c r="E4486" t="s">
        <v>1204</v>
      </c>
      <c r="F4486" t="s">
        <v>1258</v>
      </c>
      <c r="G4486" t="s">
        <v>647</v>
      </c>
      <c r="H4486" t="str">
        <f>"ΑΓ. ΤΡΙΑΔΑΣ 1 ΚΟΡΑΚΙΕΣ"</f>
        <v>ΑΓ. ΤΡΙΑΔΑΣ 1 ΚΟΡΑΚΙΕΣ</v>
      </c>
      <c r="I4486">
        <v>73100</v>
      </c>
      <c r="J4486">
        <v>2821049018</v>
      </c>
      <c r="K4486">
        <v>6934402748</v>
      </c>
      <c r="M4486" t="s">
        <v>8239</v>
      </c>
      <c r="N4486" t="s">
        <v>135</v>
      </c>
      <c r="O4486" t="s">
        <v>136</v>
      </c>
      <c r="R4486" t="s">
        <v>57</v>
      </c>
      <c r="S4486">
        <v>14</v>
      </c>
      <c r="T4486">
        <v>161</v>
      </c>
      <c r="U4486" s="1">
        <v>33844</v>
      </c>
      <c r="V4486" t="s">
        <v>6729</v>
      </c>
      <c r="W4486" t="s">
        <v>6730</v>
      </c>
      <c r="X4486" t="s">
        <v>58</v>
      </c>
      <c r="Y4486">
        <v>18</v>
      </c>
      <c r="Z4486" t="s">
        <v>59</v>
      </c>
      <c r="AA4486" t="s">
        <v>59</v>
      </c>
      <c r="AB4486" t="s">
        <v>59</v>
      </c>
      <c r="AC4486" t="s">
        <v>59</v>
      </c>
      <c r="AD4486" t="s">
        <v>59</v>
      </c>
      <c r="AF4486" s="1">
        <v>33848</v>
      </c>
      <c r="AG4486" t="s">
        <v>137</v>
      </c>
      <c r="AH4486" t="s">
        <v>138</v>
      </c>
      <c r="AI4486" t="str">
        <f>"5040080"</f>
        <v>5040080</v>
      </c>
      <c r="AJ4486" t="s">
        <v>6753</v>
      </c>
      <c r="AK4486">
        <v>2821093155</v>
      </c>
      <c r="AL4486" t="s">
        <v>6754</v>
      </c>
      <c r="AM4486" t="s">
        <v>88</v>
      </c>
      <c r="AN4486" t="s">
        <v>88</v>
      </c>
      <c r="AO4486" t="s">
        <v>6733</v>
      </c>
      <c r="AP4486" t="s">
        <v>6755</v>
      </c>
      <c r="AQ4486">
        <v>1</v>
      </c>
      <c r="AR4486" t="s">
        <v>6729</v>
      </c>
      <c r="AS4486" t="s">
        <v>6730</v>
      </c>
      <c r="AT4486" t="s">
        <v>58</v>
      </c>
      <c r="AU4486" t="s">
        <v>68</v>
      </c>
      <c r="AV4486" t="s">
        <v>69</v>
      </c>
      <c r="AW4486" s="1">
        <v>23012</v>
      </c>
      <c r="AX4486">
        <v>2</v>
      </c>
    </row>
    <row r="4487" spans="1:50">
      <c r="A4487">
        <v>194762</v>
      </c>
      <c r="B4487" t="str">
        <f>"052099379"</f>
        <v>052099379</v>
      </c>
      <c r="C4487" t="s">
        <v>105</v>
      </c>
      <c r="D4487" t="s">
        <v>8240</v>
      </c>
      <c r="E4487" t="s">
        <v>106</v>
      </c>
      <c r="F4487" t="s">
        <v>989</v>
      </c>
      <c r="G4487" t="s">
        <v>83</v>
      </c>
      <c r="H4487" t="str">
        <f>" "</f>
        <v xml:space="preserve"> </v>
      </c>
      <c r="J4487">
        <v>2822022271</v>
      </c>
      <c r="K4487">
        <v>6972282304</v>
      </c>
      <c r="M4487" t="s">
        <v>8241</v>
      </c>
      <c r="N4487" t="s">
        <v>168</v>
      </c>
      <c r="O4487" t="s">
        <v>169</v>
      </c>
      <c r="R4487" t="s">
        <v>57</v>
      </c>
      <c r="S4487">
        <v>11</v>
      </c>
      <c r="T4487">
        <v>193</v>
      </c>
      <c r="U4487" s="1">
        <v>37497</v>
      </c>
      <c r="V4487" t="s">
        <v>6729</v>
      </c>
      <c r="W4487" t="s">
        <v>6730</v>
      </c>
      <c r="X4487" t="s">
        <v>58</v>
      </c>
      <c r="Y4487">
        <v>18</v>
      </c>
      <c r="Z4487" t="s">
        <v>59</v>
      </c>
      <c r="AA4487" t="s">
        <v>59</v>
      </c>
      <c r="AB4487" t="s">
        <v>59</v>
      </c>
      <c r="AC4487" t="s">
        <v>59</v>
      </c>
      <c r="AD4487" t="s">
        <v>59</v>
      </c>
      <c r="AF4487" s="1">
        <v>37501</v>
      </c>
      <c r="AG4487" t="s">
        <v>137</v>
      </c>
      <c r="AH4487" t="s">
        <v>138</v>
      </c>
      <c r="AI4487" t="str">
        <f>"5040090"</f>
        <v>5040090</v>
      </c>
      <c r="AJ4487" t="s">
        <v>6757</v>
      </c>
      <c r="AK4487">
        <v>2822022275</v>
      </c>
      <c r="AL4487" t="s">
        <v>6758</v>
      </c>
      <c r="AM4487" t="s">
        <v>88</v>
      </c>
      <c r="AN4487" t="s">
        <v>6744</v>
      </c>
      <c r="AO4487" t="s">
        <v>6744</v>
      </c>
      <c r="AP4487" t="s">
        <v>6744</v>
      </c>
      <c r="AQ4487">
        <v>1</v>
      </c>
      <c r="AR4487" t="s">
        <v>6729</v>
      </c>
      <c r="AS4487" t="s">
        <v>6730</v>
      </c>
      <c r="AT4487" t="s">
        <v>58</v>
      </c>
      <c r="AU4487" t="s">
        <v>68</v>
      </c>
      <c r="AV4487" t="s">
        <v>69</v>
      </c>
      <c r="AW4487" s="1">
        <v>23613</v>
      </c>
      <c r="AX4487">
        <v>2</v>
      </c>
    </row>
    <row r="4488" spans="1:50">
      <c r="A4488">
        <v>221242</v>
      </c>
      <c r="B4488" t="str">
        <f>"110074964"</f>
        <v>110074964</v>
      </c>
      <c r="C4488" t="s">
        <v>50</v>
      </c>
      <c r="D4488" t="s">
        <v>5401</v>
      </c>
      <c r="E4488" t="s">
        <v>964</v>
      </c>
      <c r="F4488" t="s">
        <v>166</v>
      </c>
      <c r="G4488" t="s">
        <v>52</v>
      </c>
      <c r="H4488" t="str">
        <f>"ΔΙΑΣΠΟΡΑ 115ΠΜ ΠΑΖΙΝΟΣ"</f>
        <v>ΔΙΑΣΠΟΡΑ 115ΠΜ ΠΑΖΙΝΟΣ</v>
      </c>
      <c r="I4488">
        <v>73100</v>
      </c>
      <c r="J4488">
        <v>2821066152</v>
      </c>
      <c r="K4488">
        <v>6943942426</v>
      </c>
      <c r="M4488" t="s">
        <v>8242</v>
      </c>
      <c r="N4488" t="s">
        <v>299</v>
      </c>
      <c r="O4488" t="s">
        <v>300</v>
      </c>
      <c r="R4488" t="s">
        <v>57</v>
      </c>
      <c r="S4488">
        <v>5</v>
      </c>
      <c r="T4488">
        <v>691</v>
      </c>
      <c r="U4488" s="1">
        <v>39331</v>
      </c>
      <c r="V4488" t="s">
        <v>6729</v>
      </c>
      <c r="W4488" t="s">
        <v>6730</v>
      </c>
      <c r="X4488" t="s">
        <v>58</v>
      </c>
      <c r="Y4488">
        <v>21</v>
      </c>
      <c r="Z4488" t="s">
        <v>59</v>
      </c>
      <c r="AA4488" t="s">
        <v>59</v>
      </c>
      <c r="AB4488" t="s">
        <v>59</v>
      </c>
      <c r="AC4488" t="s">
        <v>59</v>
      </c>
      <c r="AD4488" t="s">
        <v>59</v>
      </c>
      <c r="AF4488" s="1">
        <v>39335</v>
      </c>
      <c r="AG4488" t="s">
        <v>137</v>
      </c>
      <c r="AH4488" t="s">
        <v>138</v>
      </c>
      <c r="AI4488" t="str">
        <f>"5040090"</f>
        <v>5040090</v>
      </c>
      <c r="AJ4488" t="s">
        <v>6757</v>
      </c>
      <c r="AK4488">
        <v>2822022275</v>
      </c>
      <c r="AL4488" t="s">
        <v>6758</v>
      </c>
      <c r="AM4488" t="s">
        <v>88</v>
      </c>
      <c r="AN4488" t="s">
        <v>6744</v>
      </c>
      <c r="AO4488" t="s">
        <v>6744</v>
      </c>
      <c r="AP4488" t="s">
        <v>6744</v>
      </c>
      <c r="AQ4488">
        <v>1</v>
      </c>
      <c r="AR4488" t="s">
        <v>6729</v>
      </c>
      <c r="AS4488" t="s">
        <v>6730</v>
      </c>
      <c r="AT4488" t="s">
        <v>58</v>
      </c>
      <c r="AU4488" t="s">
        <v>68</v>
      </c>
      <c r="AV4488" t="s">
        <v>69</v>
      </c>
      <c r="AW4488" s="1">
        <v>27784</v>
      </c>
      <c r="AX4488">
        <v>2</v>
      </c>
    </row>
    <row r="4489" spans="1:50">
      <c r="A4489">
        <v>185092</v>
      </c>
      <c r="B4489" t="str">
        <f>"037910250"</f>
        <v>037910250</v>
      </c>
      <c r="C4489" t="s">
        <v>50</v>
      </c>
      <c r="D4489" t="s">
        <v>8243</v>
      </c>
      <c r="E4489" t="s">
        <v>237</v>
      </c>
      <c r="F4489" t="s">
        <v>154</v>
      </c>
      <c r="G4489" t="s">
        <v>6364</v>
      </c>
      <c r="H4489" t="str">
        <f>"ΓΕΡΑΣΙΜΟΥ ΠΑΡΔΑΛΗ 29 ΝΕΑ ΧΩΡΑ"</f>
        <v>ΓΕΡΑΣΙΜΟΥ ΠΑΡΔΑΛΗ 29 ΝΕΑ ΧΩΡΑ</v>
      </c>
      <c r="I4489">
        <v>73131</v>
      </c>
      <c r="J4489">
        <v>2821055974</v>
      </c>
      <c r="K4489">
        <v>6973533370</v>
      </c>
      <c r="M4489" t="s">
        <v>8244</v>
      </c>
      <c r="N4489" t="s">
        <v>292</v>
      </c>
      <c r="O4489" t="s">
        <v>293</v>
      </c>
      <c r="R4489" t="s">
        <v>57</v>
      </c>
      <c r="S4489">
        <v>12</v>
      </c>
      <c r="T4489" t="s">
        <v>8245</v>
      </c>
      <c r="U4489" s="1">
        <v>36404</v>
      </c>
      <c r="V4489" t="s">
        <v>6729</v>
      </c>
      <c r="W4489" t="s">
        <v>6730</v>
      </c>
      <c r="X4489" t="s">
        <v>58</v>
      </c>
      <c r="Y4489">
        <v>18</v>
      </c>
      <c r="Z4489" t="s">
        <v>59</v>
      </c>
      <c r="AA4489" t="s">
        <v>59</v>
      </c>
      <c r="AB4489" t="s">
        <v>59</v>
      </c>
      <c r="AC4489" t="s">
        <v>59</v>
      </c>
      <c r="AD4489" t="s">
        <v>59</v>
      </c>
      <c r="AF4489" s="1">
        <v>36404</v>
      </c>
      <c r="AG4489" t="s">
        <v>148</v>
      </c>
      <c r="AH4489" t="s">
        <v>149</v>
      </c>
      <c r="AI4489" t="str">
        <f>"5059010"</f>
        <v>5059010</v>
      </c>
      <c r="AJ4489" t="s">
        <v>6883</v>
      </c>
      <c r="AK4489">
        <v>2821077166</v>
      </c>
      <c r="AL4489" t="s">
        <v>6884</v>
      </c>
      <c r="AM4489" t="s">
        <v>88</v>
      </c>
      <c r="AN4489" t="s">
        <v>6764</v>
      </c>
      <c r="AO4489" t="s">
        <v>6885</v>
      </c>
      <c r="AP4489" t="s">
        <v>6886</v>
      </c>
      <c r="AQ4489">
        <v>1</v>
      </c>
      <c r="AR4489" t="s">
        <v>6729</v>
      </c>
      <c r="AS4489" t="s">
        <v>6730</v>
      </c>
      <c r="AT4489" t="s">
        <v>58</v>
      </c>
      <c r="AU4489" t="s">
        <v>68</v>
      </c>
      <c r="AV4489" t="s">
        <v>69</v>
      </c>
      <c r="AW4489" s="1">
        <v>24543</v>
      </c>
      <c r="AX4489">
        <v>2</v>
      </c>
    </row>
    <row r="4490" spans="1:50">
      <c r="A4490">
        <v>154959</v>
      </c>
      <c r="B4490" t="str">
        <f>"021217957"</f>
        <v>021217957</v>
      </c>
      <c r="C4490" t="s">
        <v>50</v>
      </c>
      <c r="D4490" t="s">
        <v>3647</v>
      </c>
      <c r="E4490" t="s">
        <v>1019</v>
      </c>
      <c r="F4490" t="s">
        <v>166</v>
      </c>
      <c r="G4490" t="s">
        <v>83</v>
      </c>
      <c r="H4490" t="str">
        <f>"ΠΟΥΚΕΒΙΛ 1 ΒΕΛΒΕΝΤΟ"</f>
        <v>ΠΟΥΚΕΒΙΛ 1 ΒΕΛΒΕΝΤΟ</v>
      </c>
      <c r="I4490">
        <v>50400</v>
      </c>
      <c r="J4490">
        <v>2464032494</v>
      </c>
      <c r="K4490">
        <v>6972316496</v>
      </c>
      <c r="M4490" t="s">
        <v>8246</v>
      </c>
      <c r="N4490" t="s">
        <v>257</v>
      </c>
      <c r="O4490" t="s">
        <v>258</v>
      </c>
      <c r="R4490" t="s">
        <v>57</v>
      </c>
      <c r="S4490">
        <v>19</v>
      </c>
      <c r="T4490">
        <v>161</v>
      </c>
      <c r="U4490" s="1">
        <v>32387</v>
      </c>
      <c r="V4490" t="s">
        <v>6729</v>
      </c>
      <c r="W4490" t="s">
        <v>6730</v>
      </c>
      <c r="X4490" t="s">
        <v>58</v>
      </c>
      <c r="Y4490">
        <v>18</v>
      </c>
      <c r="Z4490" t="s">
        <v>59</v>
      </c>
      <c r="AA4490" t="s">
        <v>59</v>
      </c>
      <c r="AB4490" t="s">
        <v>59</v>
      </c>
      <c r="AC4490" t="s">
        <v>59</v>
      </c>
      <c r="AD4490" t="s">
        <v>59</v>
      </c>
      <c r="AF4490" s="1">
        <v>32398</v>
      </c>
      <c r="AG4490" t="s">
        <v>148</v>
      </c>
      <c r="AH4490" t="s">
        <v>149</v>
      </c>
      <c r="AI4490" t="str">
        <f>"5051050"</f>
        <v>5051050</v>
      </c>
      <c r="AJ4490" t="s">
        <v>6861</v>
      </c>
      <c r="AK4490">
        <v>2821044860</v>
      </c>
      <c r="AL4490" t="s">
        <v>6862</v>
      </c>
      <c r="AM4490" t="s">
        <v>88</v>
      </c>
      <c r="AN4490" t="s">
        <v>88</v>
      </c>
      <c r="AO4490" t="s">
        <v>88</v>
      </c>
      <c r="AP4490" t="s">
        <v>88</v>
      </c>
      <c r="AQ4490">
        <v>1</v>
      </c>
      <c r="AR4490" t="s">
        <v>6729</v>
      </c>
      <c r="AS4490" t="s">
        <v>6730</v>
      </c>
      <c r="AT4490" t="s">
        <v>58</v>
      </c>
      <c r="AU4490" t="s">
        <v>68</v>
      </c>
      <c r="AV4490" t="s">
        <v>69</v>
      </c>
      <c r="AW4490" s="1">
        <v>20409</v>
      </c>
      <c r="AX4490">
        <v>2</v>
      </c>
    </row>
    <row r="4491" spans="1:50">
      <c r="A4491">
        <v>190230</v>
      </c>
      <c r="B4491" t="str">
        <f>"100161554"</f>
        <v>100161554</v>
      </c>
      <c r="C4491" t="s">
        <v>50</v>
      </c>
      <c r="D4491" t="s">
        <v>5409</v>
      </c>
      <c r="E4491" t="s">
        <v>699</v>
      </c>
      <c r="F4491" t="s">
        <v>99</v>
      </c>
      <c r="G4491" t="s">
        <v>2945</v>
      </c>
      <c r="H4491" t="str">
        <f>" "</f>
        <v xml:space="preserve"> </v>
      </c>
      <c r="K4491">
        <v>6937231138</v>
      </c>
      <c r="M4491" t="s">
        <v>8247</v>
      </c>
      <c r="N4491" t="s">
        <v>246</v>
      </c>
      <c r="O4491" t="s">
        <v>247</v>
      </c>
      <c r="R4491" t="s">
        <v>57</v>
      </c>
      <c r="S4491">
        <v>10</v>
      </c>
      <c r="T4491">
        <v>219</v>
      </c>
      <c r="U4491" s="1">
        <v>37134</v>
      </c>
      <c r="V4491" t="s">
        <v>6729</v>
      </c>
      <c r="W4491" t="s">
        <v>6730</v>
      </c>
      <c r="X4491" t="s">
        <v>58</v>
      </c>
      <c r="Y4491">
        <v>20</v>
      </c>
      <c r="Z4491" t="s">
        <v>59</v>
      </c>
      <c r="AA4491" t="s">
        <v>59</v>
      </c>
      <c r="AB4491" t="s">
        <v>59</v>
      </c>
      <c r="AC4491" t="s">
        <v>59</v>
      </c>
      <c r="AD4491" t="s">
        <v>59</v>
      </c>
      <c r="AF4491" s="1">
        <v>37138</v>
      </c>
      <c r="AG4491" t="s">
        <v>148</v>
      </c>
      <c r="AH4491" t="s">
        <v>149</v>
      </c>
      <c r="AI4491" t="str">
        <f>"5051009"</f>
        <v>5051009</v>
      </c>
      <c r="AJ4491" t="s">
        <v>6851</v>
      </c>
      <c r="AK4491">
        <v>2821044551</v>
      </c>
      <c r="AL4491" t="s">
        <v>6852</v>
      </c>
      <c r="AM4491" t="s">
        <v>88</v>
      </c>
      <c r="AN4491" t="s">
        <v>88</v>
      </c>
      <c r="AO4491" t="s">
        <v>6770</v>
      </c>
      <c r="AP4491" t="s">
        <v>6771</v>
      </c>
      <c r="AQ4491">
        <v>1</v>
      </c>
      <c r="AR4491" t="s">
        <v>6729</v>
      </c>
      <c r="AS4491" t="s">
        <v>6730</v>
      </c>
      <c r="AT4491" t="s">
        <v>58</v>
      </c>
      <c r="AU4491" t="s">
        <v>68</v>
      </c>
      <c r="AV4491" t="s">
        <v>69</v>
      </c>
      <c r="AW4491" s="1">
        <v>27206</v>
      </c>
      <c r="AX4491">
        <v>2</v>
      </c>
    </row>
    <row r="4492" spans="1:50">
      <c r="B4492" t="str">
        <f>"128340726"</f>
        <v>128340726</v>
      </c>
      <c r="C4492" t="s">
        <v>50</v>
      </c>
      <c r="D4492" t="s">
        <v>8248</v>
      </c>
      <c r="E4492" t="s">
        <v>112</v>
      </c>
      <c r="F4492" t="s">
        <v>166</v>
      </c>
      <c r="H4492" t="str">
        <f>" "</f>
        <v xml:space="preserve"> </v>
      </c>
      <c r="K4492">
        <v>6945144500</v>
      </c>
      <c r="M4492" t="s">
        <v>8249</v>
      </c>
      <c r="N4492" t="s">
        <v>246</v>
      </c>
      <c r="O4492" t="s">
        <v>247</v>
      </c>
      <c r="R4492" t="s">
        <v>159</v>
      </c>
      <c r="S4492">
        <v>4</v>
      </c>
      <c r="T4492" t="s">
        <v>416</v>
      </c>
      <c r="U4492" s="1">
        <v>43349</v>
      </c>
      <c r="V4492" t="s">
        <v>6729</v>
      </c>
      <c r="W4492" t="s">
        <v>6730</v>
      </c>
      <c r="X4492" t="s">
        <v>58</v>
      </c>
      <c r="Y4492">
        <v>23</v>
      </c>
      <c r="Z4492" t="s">
        <v>59</v>
      </c>
      <c r="AA4492" t="s">
        <v>59</v>
      </c>
      <c r="AB4492" t="s">
        <v>59</v>
      </c>
      <c r="AC4492" t="s">
        <v>59</v>
      </c>
      <c r="AD4492" t="s">
        <v>59</v>
      </c>
      <c r="AF4492" s="1">
        <v>43349</v>
      </c>
      <c r="AG4492" t="s">
        <v>148</v>
      </c>
      <c r="AH4492" t="s">
        <v>149</v>
      </c>
      <c r="AI4492" t="str">
        <f>"5052010"</f>
        <v>5052010</v>
      </c>
      <c r="AJ4492" t="s">
        <v>6834</v>
      </c>
      <c r="AK4492">
        <v>2825022200</v>
      </c>
      <c r="AL4492" t="s">
        <v>6835</v>
      </c>
      <c r="AM4492" t="s">
        <v>88</v>
      </c>
      <c r="AN4492" t="s">
        <v>6775</v>
      </c>
      <c r="AO4492" t="s">
        <v>6776</v>
      </c>
      <c r="AP4492" t="s">
        <v>6776</v>
      </c>
      <c r="AQ4492">
        <v>1</v>
      </c>
      <c r="AR4492" t="s">
        <v>6729</v>
      </c>
      <c r="AS4492" t="s">
        <v>6730</v>
      </c>
      <c r="AT4492" t="s">
        <v>58</v>
      </c>
      <c r="AU4492" t="s">
        <v>419</v>
      </c>
      <c r="AV4492" t="s">
        <v>132</v>
      </c>
      <c r="AW4492" s="1">
        <v>31135</v>
      </c>
      <c r="AX4492">
        <v>2</v>
      </c>
    </row>
    <row r="4493" spans="1:50">
      <c r="A4493">
        <v>218897</v>
      </c>
      <c r="B4493" t="str">
        <f>"056108950"</f>
        <v>056108950</v>
      </c>
      <c r="C4493" t="s">
        <v>50</v>
      </c>
      <c r="D4493" t="s">
        <v>8250</v>
      </c>
      <c r="E4493" t="s">
        <v>727</v>
      </c>
      <c r="F4493" t="s">
        <v>53</v>
      </c>
      <c r="G4493" t="s">
        <v>8251</v>
      </c>
      <c r="H4493" t="str">
        <f>"Παλαιόχωρα Χανιά"</f>
        <v>Παλαιόχωρα Χανιά</v>
      </c>
      <c r="I4493">
        <v>73001</v>
      </c>
      <c r="J4493">
        <v>2823041497</v>
      </c>
      <c r="K4493">
        <v>6977969707</v>
      </c>
      <c r="N4493" t="s">
        <v>246</v>
      </c>
      <c r="O4493" t="s">
        <v>247</v>
      </c>
      <c r="R4493" t="s">
        <v>57</v>
      </c>
      <c r="S4493">
        <v>7</v>
      </c>
      <c r="T4493">
        <v>599</v>
      </c>
      <c r="U4493" s="1">
        <v>39310</v>
      </c>
      <c r="V4493" t="s">
        <v>6729</v>
      </c>
      <c r="W4493" t="s">
        <v>6730</v>
      </c>
      <c r="X4493" t="s">
        <v>58</v>
      </c>
      <c r="Y4493">
        <v>20</v>
      </c>
      <c r="Z4493" t="s">
        <v>59</v>
      </c>
      <c r="AA4493" t="s">
        <v>59</v>
      </c>
      <c r="AB4493" t="s">
        <v>59</v>
      </c>
      <c r="AC4493" t="s">
        <v>59</v>
      </c>
      <c r="AD4493" t="s">
        <v>59</v>
      </c>
      <c r="AF4493" s="1">
        <v>39328</v>
      </c>
      <c r="AG4493" t="s">
        <v>148</v>
      </c>
      <c r="AH4493" t="s">
        <v>149</v>
      </c>
      <c r="AI4493" t="str">
        <f>"5055010"</f>
        <v>5055010</v>
      </c>
      <c r="AJ4493" t="s">
        <v>6868</v>
      </c>
      <c r="AK4493">
        <v>2823041416</v>
      </c>
      <c r="AL4493" t="s">
        <v>6869</v>
      </c>
      <c r="AM4493" t="s">
        <v>88</v>
      </c>
      <c r="AN4493" t="s">
        <v>6824</v>
      </c>
      <c r="AO4493" t="s">
        <v>6870</v>
      </c>
      <c r="AP4493" t="s">
        <v>6871</v>
      </c>
      <c r="AQ4493">
        <v>1</v>
      </c>
      <c r="AR4493" t="s">
        <v>6729</v>
      </c>
      <c r="AS4493" t="s">
        <v>6730</v>
      </c>
      <c r="AT4493" t="s">
        <v>58</v>
      </c>
      <c r="AU4493" t="s">
        <v>68</v>
      </c>
      <c r="AV4493" t="s">
        <v>69</v>
      </c>
      <c r="AW4493" s="1">
        <v>24321</v>
      </c>
      <c r="AX4493">
        <v>2</v>
      </c>
    </row>
    <row r="4494" spans="1:50">
      <c r="B4494" t="str">
        <f>"114584992"</f>
        <v>114584992</v>
      </c>
      <c r="C4494" t="s">
        <v>50</v>
      </c>
      <c r="D4494" t="s">
        <v>8250</v>
      </c>
      <c r="E4494" t="s">
        <v>52</v>
      </c>
      <c r="F4494" t="s">
        <v>92</v>
      </c>
      <c r="G4494" t="s">
        <v>83</v>
      </c>
      <c r="H4494" t="str">
        <f>"ΔΗΜΟΚΡΑΤΙΑΣ 84 ΗΡΑΚΛΕΙΟ"</f>
        <v>ΔΗΜΟΚΡΑΤΙΑΣ 84 ΗΡΑΚΛΕΙΟ</v>
      </c>
      <c r="I4494">
        <v>71601</v>
      </c>
      <c r="J4494">
        <v>2810241831</v>
      </c>
      <c r="K4494">
        <v>6946355966</v>
      </c>
      <c r="M4494" t="s">
        <v>8252</v>
      </c>
      <c r="N4494" t="s">
        <v>883</v>
      </c>
      <c r="O4494" t="s">
        <v>884</v>
      </c>
      <c r="R4494" t="s">
        <v>159</v>
      </c>
      <c r="S4494">
        <v>3</v>
      </c>
      <c r="T4494" t="s">
        <v>344</v>
      </c>
      <c r="U4494" s="1">
        <v>43348</v>
      </c>
      <c r="V4494" t="s">
        <v>6729</v>
      </c>
      <c r="W4494" t="s">
        <v>6730</v>
      </c>
      <c r="X4494" t="s">
        <v>58</v>
      </c>
      <c r="Y4494">
        <v>23</v>
      </c>
      <c r="Z4494" t="s">
        <v>59</v>
      </c>
      <c r="AA4494" t="s">
        <v>59</v>
      </c>
      <c r="AB4494" t="s">
        <v>59</v>
      </c>
      <c r="AC4494" t="s">
        <v>59</v>
      </c>
      <c r="AD4494" t="s">
        <v>59</v>
      </c>
      <c r="AF4494" s="1">
        <v>43348</v>
      </c>
      <c r="AG4494" t="s">
        <v>125</v>
      </c>
      <c r="AH4494" t="s">
        <v>126</v>
      </c>
      <c r="AI4494" t="str">
        <f>"5001080"</f>
        <v>5001080</v>
      </c>
      <c r="AJ4494" t="s">
        <v>6984</v>
      </c>
      <c r="AK4494">
        <v>2821068020</v>
      </c>
      <c r="AL4494" t="s">
        <v>6985</v>
      </c>
      <c r="AM4494" t="s">
        <v>88</v>
      </c>
      <c r="AN4494" t="s">
        <v>6764</v>
      </c>
      <c r="AO4494" t="s">
        <v>6764</v>
      </c>
      <c r="AP4494" t="s">
        <v>6764</v>
      </c>
      <c r="AQ4494">
        <v>1</v>
      </c>
      <c r="AR4494" t="s">
        <v>6729</v>
      </c>
      <c r="AS4494" t="s">
        <v>6730</v>
      </c>
      <c r="AT4494" t="s">
        <v>58</v>
      </c>
      <c r="AU4494" t="s">
        <v>350</v>
      </c>
      <c r="AV4494" t="s">
        <v>132</v>
      </c>
      <c r="AW4494" s="1">
        <v>29936</v>
      </c>
      <c r="AX4494">
        <v>2</v>
      </c>
    </row>
    <row r="4495" spans="1:50">
      <c r="A4495">
        <v>158978</v>
      </c>
      <c r="B4495" t="str">
        <f>"034628890"</f>
        <v>034628890</v>
      </c>
      <c r="C4495" t="s">
        <v>105</v>
      </c>
      <c r="D4495" t="s">
        <v>8253</v>
      </c>
      <c r="E4495" t="s">
        <v>166</v>
      </c>
      <c r="F4495" t="s">
        <v>72</v>
      </c>
      <c r="G4495" t="s">
        <v>73</v>
      </c>
      <c r="H4495" t="str">
        <f>"ΠΡΟΦΗΤΗ ΗΛΙΑ 3 ΧΑΛΕΠΑ"</f>
        <v>ΠΡΟΦΗΤΗ ΗΛΙΑ 3 ΧΑΛΕΠΑ</v>
      </c>
      <c r="I4495">
        <v>73133</v>
      </c>
      <c r="J4495">
        <v>2821059840</v>
      </c>
      <c r="K4495">
        <v>6976073333</v>
      </c>
      <c r="M4495" t="s">
        <v>7491</v>
      </c>
      <c r="N4495" t="s">
        <v>157</v>
      </c>
      <c r="O4495" t="s">
        <v>158</v>
      </c>
      <c r="R4495" t="s">
        <v>57</v>
      </c>
      <c r="S4495">
        <v>14</v>
      </c>
      <c r="T4495">
        <v>161</v>
      </c>
      <c r="U4495" s="1">
        <v>33119</v>
      </c>
      <c r="V4495" t="s">
        <v>6729</v>
      </c>
      <c r="W4495" t="s">
        <v>6730</v>
      </c>
      <c r="X4495" t="s">
        <v>58</v>
      </c>
      <c r="Y4495">
        <v>18</v>
      </c>
      <c r="Z4495" t="s">
        <v>59</v>
      </c>
      <c r="AA4495" t="s">
        <v>59</v>
      </c>
      <c r="AB4495" t="s">
        <v>59</v>
      </c>
      <c r="AC4495" t="s">
        <v>59</v>
      </c>
      <c r="AD4495" t="s">
        <v>59</v>
      </c>
      <c r="AF4495" s="1">
        <v>33121</v>
      </c>
      <c r="AG4495" t="s">
        <v>125</v>
      </c>
      <c r="AH4495" t="s">
        <v>126</v>
      </c>
      <c r="AI4495" t="str">
        <f>"5001072"</f>
        <v>5001072</v>
      </c>
      <c r="AJ4495" t="s">
        <v>6922</v>
      </c>
      <c r="AK4495">
        <v>2821055471</v>
      </c>
      <c r="AL4495" t="s">
        <v>6923</v>
      </c>
      <c r="AM4495" t="s">
        <v>88</v>
      </c>
      <c r="AN4495" t="s">
        <v>88</v>
      </c>
      <c r="AO4495" t="s">
        <v>88</v>
      </c>
      <c r="AP4495" t="s">
        <v>88</v>
      </c>
      <c r="AQ4495">
        <v>1</v>
      </c>
      <c r="AR4495" t="s">
        <v>6729</v>
      </c>
      <c r="AS4495" t="s">
        <v>6730</v>
      </c>
      <c r="AT4495" t="s">
        <v>58</v>
      </c>
      <c r="AU4495" t="s">
        <v>68</v>
      </c>
      <c r="AV4495" t="s">
        <v>69</v>
      </c>
      <c r="AW4495" s="1">
        <v>22882</v>
      </c>
      <c r="AX4495">
        <v>2</v>
      </c>
    </row>
    <row r="4496" spans="1:50">
      <c r="A4496">
        <v>161578</v>
      </c>
      <c r="B4496" t="str">
        <f>"030223151"</f>
        <v>030223151</v>
      </c>
      <c r="C4496" t="s">
        <v>105</v>
      </c>
      <c r="D4496" t="s">
        <v>8253</v>
      </c>
      <c r="E4496" t="s">
        <v>53</v>
      </c>
      <c r="F4496" t="s">
        <v>92</v>
      </c>
      <c r="G4496" t="s">
        <v>109</v>
      </c>
      <c r="H4496" t="str">
        <f>" "</f>
        <v xml:space="preserve"> </v>
      </c>
      <c r="J4496">
        <v>2821099837</v>
      </c>
      <c r="K4496">
        <v>6973410309</v>
      </c>
      <c r="M4496" t="s">
        <v>8254</v>
      </c>
      <c r="N4496" t="s">
        <v>204</v>
      </c>
      <c r="O4496" t="s">
        <v>205</v>
      </c>
      <c r="P4496" t="s">
        <v>282</v>
      </c>
      <c r="Q4496" t="s">
        <v>283</v>
      </c>
      <c r="R4496" t="s">
        <v>57</v>
      </c>
      <c r="S4496">
        <v>15</v>
      </c>
      <c r="T4496">
        <v>161</v>
      </c>
      <c r="U4496" s="1">
        <v>33119</v>
      </c>
      <c r="V4496" t="s">
        <v>6729</v>
      </c>
      <c r="W4496" t="s">
        <v>6730</v>
      </c>
      <c r="X4496" t="s">
        <v>58</v>
      </c>
      <c r="Y4496">
        <v>18</v>
      </c>
      <c r="Z4496" t="s">
        <v>59</v>
      </c>
      <c r="AA4496" t="s">
        <v>59</v>
      </c>
      <c r="AB4496" t="s">
        <v>59</v>
      </c>
      <c r="AC4496" t="s">
        <v>59</v>
      </c>
      <c r="AD4496" t="s">
        <v>59</v>
      </c>
      <c r="AF4496" s="1">
        <v>33121</v>
      </c>
      <c r="AG4496" t="s">
        <v>137</v>
      </c>
      <c r="AH4496" t="s">
        <v>138</v>
      </c>
      <c r="AI4496" t="str">
        <f>"5040080"</f>
        <v>5040080</v>
      </c>
      <c r="AJ4496" t="s">
        <v>6753</v>
      </c>
      <c r="AK4496">
        <v>2821093155</v>
      </c>
      <c r="AL4496" t="s">
        <v>6754</v>
      </c>
      <c r="AM4496" t="s">
        <v>88</v>
      </c>
      <c r="AN4496" t="s">
        <v>88</v>
      </c>
      <c r="AO4496" t="s">
        <v>6733</v>
      </c>
      <c r="AP4496" t="s">
        <v>6755</v>
      </c>
      <c r="AQ4496">
        <v>1</v>
      </c>
      <c r="AR4496" t="s">
        <v>6729</v>
      </c>
      <c r="AS4496" t="s">
        <v>6730</v>
      </c>
      <c r="AT4496" t="s">
        <v>58</v>
      </c>
      <c r="AU4496" t="s">
        <v>68</v>
      </c>
      <c r="AV4496" t="s">
        <v>69</v>
      </c>
      <c r="AW4496" s="1">
        <v>23044</v>
      </c>
      <c r="AX4496">
        <v>2</v>
      </c>
    </row>
    <row r="4497" spans="1:50">
      <c r="A4497">
        <v>201953</v>
      </c>
      <c r="B4497" t="str">
        <f>"120575441"</f>
        <v>120575441</v>
      </c>
      <c r="C4497" t="s">
        <v>50</v>
      </c>
      <c r="D4497" t="s">
        <v>3656</v>
      </c>
      <c r="E4497" t="s">
        <v>250</v>
      </c>
      <c r="F4497" t="s">
        <v>3857</v>
      </c>
      <c r="G4497" t="s">
        <v>237</v>
      </c>
      <c r="H4497" t="str">
        <f>" "</f>
        <v xml:space="preserve"> </v>
      </c>
      <c r="J4497">
        <v>2107718863</v>
      </c>
      <c r="K4497">
        <v>6972785678</v>
      </c>
      <c r="M4497" t="s">
        <v>8255</v>
      </c>
      <c r="N4497" t="s">
        <v>146</v>
      </c>
      <c r="O4497" t="s">
        <v>147</v>
      </c>
      <c r="R4497" t="s">
        <v>57</v>
      </c>
      <c r="S4497">
        <v>6</v>
      </c>
      <c r="T4497">
        <v>231</v>
      </c>
      <c r="U4497" s="1">
        <v>38595</v>
      </c>
      <c r="V4497" t="s">
        <v>6729</v>
      </c>
      <c r="W4497" t="s">
        <v>6730</v>
      </c>
      <c r="X4497" t="s">
        <v>58</v>
      </c>
      <c r="Y4497">
        <v>20</v>
      </c>
      <c r="Z4497" t="s">
        <v>59</v>
      </c>
      <c r="AA4497" t="s">
        <v>59</v>
      </c>
      <c r="AB4497" t="s">
        <v>59</v>
      </c>
      <c r="AC4497" t="s">
        <v>59</v>
      </c>
      <c r="AD4497" t="s">
        <v>59</v>
      </c>
      <c r="AF4497" s="1">
        <v>38596</v>
      </c>
      <c r="AG4497" t="s">
        <v>137</v>
      </c>
      <c r="AH4497" t="s">
        <v>469</v>
      </c>
      <c r="AI4497" t="str">
        <f>"5053001"</f>
        <v>5053001</v>
      </c>
      <c r="AJ4497" t="s">
        <v>6788</v>
      </c>
      <c r="AK4497">
        <v>2821068020</v>
      </c>
      <c r="AM4497" t="s">
        <v>88</v>
      </c>
      <c r="AN4497" t="s">
        <v>6764</v>
      </c>
      <c r="AO4497" t="s">
        <v>6764</v>
      </c>
      <c r="AP4497" t="s">
        <v>6764</v>
      </c>
      <c r="AQ4497">
        <v>1</v>
      </c>
      <c r="AR4497" t="s">
        <v>6729</v>
      </c>
      <c r="AS4497" t="s">
        <v>6730</v>
      </c>
      <c r="AT4497" t="s">
        <v>58</v>
      </c>
      <c r="AU4497" t="s">
        <v>68</v>
      </c>
      <c r="AV4497" t="s">
        <v>69</v>
      </c>
      <c r="AW4497" s="1">
        <v>29057</v>
      </c>
      <c r="AX4497">
        <v>2</v>
      </c>
    </row>
    <row r="4498" spans="1:50">
      <c r="A4498">
        <v>195987</v>
      </c>
      <c r="B4498" t="str">
        <f>"052652847"</f>
        <v>052652847</v>
      </c>
      <c r="C4498" t="s">
        <v>50</v>
      </c>
      <c r="D4498" t="s">
        <v>3656</v>
      </c>
      <c r="E4498" t="s">
        <v>52</v>
      </c>
      <c r="F4498" t="s">
        <v>99</v>
      </c>
      <c r="G4498" t="s">
        <v>52</v>
      </c>
      <c r="H4498" t="str">
        <f>"ΕΘΝΙΚΗΣ ΑΝΤΙΣΤΑΣΗΣ 7 ΛΕΝΤΑΡΙΑΝΑ"</f>
        <v>ΕΘΝΙΚΗΣ ΑΝΤΙΣΤΑΣΗΣ 7 ΛΕΝΤΑΡΙΑΝΑ</v>
      </c>
      <c r="I4498">
        <v>73133</v>
      </c>
      <c r="J4498">
        <v>2821045952</v>
      </c>
      <c r="K4498">
        <v>6976869902</v>
      </c>
      <c r="M4498" t="s">
        <v>8256</v>
      </c>
      <c r="N4498" t="s">
        <v>733</v>
      </c>
      <c r="O4498" t="s">
        <v>734</v>
      </c>
      <c r="R4498" t="s">
        <v>57</v>
      </c>
      <c r="S4498">
        <v>11</v>
      </c>
      <c r="T4498">
        <v>194</v>
      </c>
      <c r="U4498" s="1">
        <v>37497</v>
      </c>
      <c r="V4498" t="s">
        <v>6729</v>
      </c>
      <c r="W4498" t="s">
        <v>6730</v>
      </c>
      <c r="X4498" t="s">
        <v>58</v>
      </c>
      <c r="Y4498">
        <v>20</v>
      </c>
      <c r="Z4498" t="s">
        <v>59</v>
      </c>
      <c r="AA4498" t="s">
        <v>59</v>
      </c>
      <c r="AB4498" t="s">
        <v>59</v>
      </c>
      <c r="AC4498" t="s">
        <v>59</v>
      </c>
      <c r="AD4498" t="s">
        <v>59</v>
      </c>
      <c r="AF4498" s="1">
        <v>37501</v>
      </c>
      <c r="AG4498" t="s">
        <v>137</v>
      </c>
      <c r="AH4498" t="s">
        <v>138</v>
      </c>
      <c r="AI4498" t="str">
        <f>"5040080"</f>
        <v>5040080</v>
      </c>
      <c r="AJ4498" t="s">
        <v>6753</v>
      </c>
      <c r="AK4498">
        <v>2821093155</v>
      </c>
      <c r="AL4498" t="s">
        <v>6754</v>
      </c>
      <c r="AM4498" t="s">
        <v>88</v>
      </c>
      <c r="AN4498" t="s">
        <v>88</v>
      </c>
      <c r="AO4498" t="s">
        <v>6733</v>
      </c>
      <c r="AP4498" t="s">
        <v>6755</v>
      </c>
      <c r="AQ4498">
        <v>1</v>
      </c>
      <c r="AR4498" t="s">
        <v>6729</v>
      </c>
      <c r="AS4498" t="s">
        <v>6730</v>
      </c>
      <c r="AT4498" t="s">
        <v>58</v>
      </c>
      <c r="AU4498" t="s">
        <v>68</v>
      </c>
      <c r="AV4498" t="s">
        <v>69</v>
      </c>
      <c r="AW4498" s="1">
        <v>23377</v>
      </c>
      <c r="AX4498">
        <v>2</v>
      </c>
    </row>
    <row r="4499" spans="1:50">
      <c r="A4499">
        <v>193231</v>
      </c>
      <c r="B4499" t="str">
        <f>"063878018"</f>
        <v>063878018</v>
      </c>
      <c r="C4499" t="s">
        <v>50</v>
      </c>
      <c r="D4499" t="s">
        <v>3656</v>
      </c>
      <c r="E4499" t="s">
        <v>54</v>
      </c>
      <c r="F4499" t="s">
        <v>304</v>
      </c>
      <c r="G4499" t="s">
        <v>1358</v>
      </c>
      <c r="H4499" t="str">
        <f>"Λούλου 4 "</f>
        <v xml:space="preserve">Λούλου 4 </v>
      </c>
      <c r="J4499">
        <v>2821052337</v>
      </c>
      <c r="K4499">
        <v>6938265227</v>
      </c>
      <c r="L4499">
        <v>2821056963</v>
      </c>
      <c r="N4499" t="s">
        <v>146</v>
      </c>
      <c r="O4499" t="s">
        <v>147</v>
      </c>
      <c r="R4499" t="s">
        <v>57</v>
      </c>
      <c r="S4499">
        <v>10</v>
      </c>
      <c r="T4499">
        <v>193</v>
      </c>
      <c r="U4499" s="1">
        <v>37497</v>
      </c>
      <c r="V4499" t="s">
        <v>6729</v>
      </c>
      <c r="W4499" t="s">
        <v>6730</v>
      </c>
      <c r="X4499" t="s">
        <v>58</v>
      </c>
      <c r="Y4499">
        <v>18</v>
      </c>
      <c r="Z4499" t="s">
        <v>59</v>
      </c>
      <c r="AA4499" t="s">
        <v>59</v>
      </c>
      <c r="AB4499" t="s">
        <v>59</v>
      </c>
      <c r="AC4499" t="s">
        <v>59</v>
      </c>
      <c r="AD4499" t="s">
        <v>59</v>
      </c>
      <c r="AF4499" s="1">
        <v>37501</v>
      </c>
      <c r="AG4499" t="s">
        <v>125</v>
      </c>
      <c r="AH4499" t="s">
        <v>126</v>
      </c>
      <c r="AI4499" t="str">
        <f>"5001050"</f>
        <v>5001050</v>
      </c>
      <c r="AJ4499" t="s">
        <v>6917</v>
      </c>
      <c r="AK4499">
        <v>2821088012</v>
      </c>
      <c r="AL4499" t="s">
        <v>6918</v>
      </c>
      <c r="AM4499" t="s">
        <v>88</v>
      </c>
      <c r="AN4499" t="s">
        <v>88</v>
      </c>
      <c r="AO4499" t="s">
        <v>88</v>
      </c>
      <c r="AP4499" t="s">
        <v>88</v>
      </c>
      <c r="AQ4499">
        <v>1</v>
      </c>
      <c r="AR4499" t="s">
        <v>6729</v>
      </c>
      <c r="AS4499" t="s">
        <v>6730</v>
      </c>
      <c r="AT4499" t="s">
        <v>58</v>
      </c>
      <c r="AU4499" t="s">
        <v>68</v>
      </c>
      <c r="AV4499" t="s">
        <v>69</v>
      </c>
      <c r="AW4499" s="1">
        <v>24819</v>
      </c>
      <c r="AX4499">
        <v>2</v>
      </c>
    </row>
    <row r="4500" spans="1:50">
      <c r="B4500" t="str">
        <f>"148951854"</f>
        <v>148951854</v>
      </c>
      <c r="C4500" t="s">
        <v>50</v>
      </c>
      <c r="D4500" t="s">
        <v>8257</v>
      </c>
      <c r="E4500" t="s">
        <v>1510</v>
      </c>
      <c r="F4500" t="s">
        <v>670</v>
      </c>
      <c r="G4500" t="s">
        <v>52</v>
      </c>
      <c r="H4500" t="str">
        <f>"ΚΙΤΡΟΥΣ Β ΠΑΡΟΔΟΣ "</f>
        <v xml:space="preserve">ΚΙΤΡΟΥΣ Β ΠΑΡΟΔΟΣ </v>
      </c>
      <c r="I4500">
        <v>60100</v>
      </c>
      <c r="J4500">
        <v>2351030447</v>
      </c>
      <c r="K4500">
        <v>6974703364</v>
      </c>
      <c r="N4500" t="s">
        <v>536</v>
      </c>
      <c r="O4500" t="s">
        <v>537</v>
      </c>
      <c r="R4500" t="s">
        <v>159</v>
      </c>
      <c r="S4500">
        <v>5</v>
      </c>
      <c r="T4500" t="s">
        <v>344</v>
      </c>
      <c r="U4500" s="1">
        <v>43348</v>
      </c>
      <c r="V4500" t="s">
        <v>6729</v>
      </c>
      <c r="W4500" t="s">
        <v>6730</v>
      </c>
      <c r="X4500" t="s">
        <v>58</v>
      </c>
      <c r="Y4500">
        <v>21</v>
      </c>
      <c r="Z4500" t="s">
        <v>59</v>
      </c>
      <c r="AA4500" t="s">
        <v>59</v>
      </c>
      <c r="AB4500" t="s">
        <v>59</v>
      </c>
      <c r="AC4500" t="s">
        <v>59</v>
      </c>
      <c r="AD4500" t="s">
        <v>59</v>
      </c>
      <c r="AF4500" s="1">
        <v>43348</v>
      </c>
      <c r="AG4500" t="s">
        <v>125</v>
      </c>
      <c r="AH4500" t="s">
        <v>126</v>
      </c>
      <c r="AI4500" t="str">
        <f>"5001010"</f>
        <v>5001010</v>
      </c>
      <c r="AJ4500" t="s">
        <v>6873</v>
      </c>
      <c r="AK4500">
        <v>2821052130</v>
      </c>
      <c r="AL4500" t="s">
        <v>6874</v>
      </c>
      <c r="AM4500" t="s">
        <v>88</v>
      </c>
      <c r="AN4500" t="s">
        <v>88</v>
      </c>
      <c r="AO4500" t="s">
        <v>88</v>
      </c>
      <c r="AP4500" t="s">
        <v>88</v>
      </c>
      <c r="AQ4500">
        <v>1</v>
      </c>
      <c r="AR4500" t="s">
        <v>6729</v>
      </c>
      <c r="AS4500" t="s">
        <v>6730</v>
      </c>
      <c r="AT4500" t="s">
        <v>58</v>
      </c>
      <c r="AU4500" t="s">
        <v>350</v>
      </c>
      <c r="AV4500" t="s">
        <v>132</v>
      </c>
      <c r="AW4500" s="1">
        <v>31363</v>
      </c>
      <c r="AX4500">
        <v>2</v>
      </c>
    </row>
    <row r="4501" spans="1:50">
      <c r="A4501">
        <v>167820</v>
      </c>
      <c r="B4501" t="str">
        <f>"032641067"</f>
        <v>032641067</v>
      </c>
      <c r="C4501" t="s">
        <v>50</v>
      </c>
      <c r="D4501" t="s">
        <v>8258</v>
      </c>
      <c r="E4501" t="s">
        <v>681</v>
      </c>
      <c r="F4501" t="s">
        <v>1185</v>
      </c>
      <c r="G4501" t="s">
        <v>3444</v>
      </c>
      <c r="H4501" t="str">
        <f>" "</f>
        <v xml:space="preserve"> </v>
      </c>
      <c r="N4501" t="s">
        <v>146</v>
      </c>
      <c r="O4501" t="s">
        <v>147</v>
      </c>
      <c r="R4501" t="s">
        <v>57</v>
      </c>
      <c r="S4501">
        <v>14</v>
      </c>
      <c r="T4501">
        <v>159</v>
      </c>
      <c r="U4501" s="1">
        <v>34582</v>
      </c>
      <c r="V4501" t="s">
        <v>6729</v>
      </c>
      <c r="W4501" t="s">
        <v>6730</v>
      </c>
      <c r="X4501" t="s">
        <v>58</v>
      </c>
      <c r="Y4501">
        <v>18</v>
      </c>
      <c r="Z4501" t="s">
        <v>59</v>
      </c>
      <c r="AA4501" t="s">
        <v>59</v>
      </c>
      <c r="AB4501" t="s">
        <v>59</v>
      </c>
      <c r="AC4501" t="s">
        <v>59</v>
      </c>
      <c r="AD4501" t="s">
        <v>59</v>
      </c>
      <c r="AF4501" s="1">
        <v>34585</v>
      </c>
      <c r="AG4501" t="s">
        <v>125</v>
      </c>
      <c r="AH4501" t="s">
        <v>126</v>
      </c>
      <c r="AI4501" t="str">
        <f>"5001072"</f>
        <v>5001072</v>
      </c>
      <c r="AJ4501" t="s">
        <v>6922</v>
      </c>
      <c r="AK4501">
        <v>2821055471</v>
      </c>
      <c r="AL4501" t="s">
        <v>6923</v>
      </c>
      <c r="AM4501" t="s">
        <v>88</v>
      </c>
      <c r="AN4501" t="s">
        <v>88</v>
      </c>
      <c r="AO4501" t="s">
        <v>88</v>
      </c>
      <c r="AP4501" t="s">
        <v>88</v>
      </c>
      <c r="AQ4501">
        <v>1</v>
      </c>
      <c r="AR4501" t="s">
        <v>6729</v>
      </c>
      <c r="AS4501" t="s">
        <v>6730</v>
      </c>
      <c r="AT4501" t="s">
        <v>58</v>
      </c>
      <c r="AU4501" t="s">
        <v>68</v>
      </c>
      <c r="AV4501" t="s">
        <v>69</v>
      </c>
      <c r="AW4501" s="1">
        <v>23690</v>
      </c>
      <c r="AX4501">
        <v>2</v>
      </c>
    </row>
    <row r="4502" spans="1:50">
      <c r="B4502" t="str">
        <f>"038635416"</f>
        <v>038635416</v>
      </c>
      <c r="C4502" t="s">
        <v>105</v>
      </c>
      <c r="D4502" t="s">
        <v>8259</v>
      </c>
      <c r="E4502" t="s">
        <v>53</v>
      </c>
      <c r="F4502" t="s">
        <v>377</v>
      </c>
      <c r="G4502" t="s">
        <v>255</v>
      </c>
      <c r="H4502" t="str">
        <f>"ΡΟΥΦΟΥ 12 ΧΑΝΙΑ"</f>
        <v>ΡΟΥΦΟΥ 12 ΧΑΝΙΑ</v>
      </c>
      <c r="I4502">
        <v>73132</v>
      </c>
      <c r="J4502">
        <v>2821057997</v>
      </c>
      <c r="K4502">
        <v>6973306487</v>
      </c>
      <c r="N4502" t="s">
        <v>292</v>
      </c>
      <c r="O4502" t="s">
        <v>293</v>
      </c>
      <c r="R4502" t="s">
        <v>159</v>
      </c>
      <c r="S4502">
        <v>3</v>
      </c>
      <c r="T4502" t="s">
        <v>160</v>
      </c>
      <c r="U4502" s="1">
        <v>43364</v>
      </c>
      <c r="V4502" t="s">
        <v>6729</v>
      </c>
      <c r="W4502" t="s">
        <v>6730</v>
      </c>
      <c r="X4502" t="s">
        <v>58</v>
      </c>
      <c r="Y4502">
        <v>23</v>
      </c>
      <c r="Z4502" t="s">
        <v>59</v>
      </c>
      <c r="AA4502" t="s">
        <v>59</v>
      </c>
      <c r="AB4502" t="s">
        <v>59</v>
      </c>
      <c r="AC4502" t="s">
        <v>59</v>
      </c>
      <c r="AD4502" t="s">
        <v>59</v>
      </c>
      <c r="AF4502" s="1">
        <v>43367</v>
      </c>
      <c r="AG4502" t="s">
        <v>125</v>
      </c>
      <c r="AH4502" t="s">
        <v>126</v>
      </c>
      <c r="AI4502" t="str">
        <f>"5001050"</f>
        <v>5001050</v>
      </c>
      <c r="AJ4502" t="s">
        <v>6917</v>
      </c>
      <c r="AK4502">
        <v>2821088012</v>
      </c>
      <c r="AL4502" t="s">
        <v>6918</v>
      </c>
      <c r="AM4502" t="s">
        <v>88</v>
      </c>
      <c r="AN4502" t="s">
        <v>88</v>
      </c>
      <c r="AO4502" t="s">
        <v>88</v>
      </c>
      <c r="AP4502" t="s">
        <v>88</v>
      </c>
      <c r="AQ4502">
        <v>1</v>
      </c>
      <c r="AR4502" t="s">
        <v>6729</v>
      </c>
      <c r="AS4502" t="s">
        <v>6730</v>
      </c>
      <c r="AT4502" t="s">
        <v>58</v>
      </c>
      <c r="AU4502" t="s">
        <v>164</v>
      </c>
      <c r="AV4502" t="s">
        <v>132</v>
      </c>
      <c r="AW4502" s="1">
        <v>26985</v>
      </c>
      <c r="AX4502">
        <v>2</v>
      </c>
    </row>
    <row r="4503" spans="1:50">
      <c r="A4503">
        <v>215966</v>
      </c>
      <c r="B4503" t="str">
        <f>"106022995"</f>
        <v>106022995</v>
      </c>
      <c r="C4503" t="s">
        <v>50</v>
      </c>
      <c r="D4503" t="s">
        <v>8260</v>
      </c>
      <c r="E4503" t="s">
        <v>83</v>
      </c>
      <c r="F4503" t="s">
        <v>8261</v>
      </c>
      <c r="G4503" t="s">
        <v>4177</v>
      </c>
      <c r="H4503" t="str">
        <f>" "</f>
        <v xml:space="preserve"> </v>
      </c>
      <c r="K4503">
        <v>6974898282</v>
      </c>
      <c r="N4503" t="s">
        <v>282</v>
      </c>
      <c r="O4503" t="s">
        <v>283</v>
      </c>
      <c r="R4503" t="s">
        <v>57</v>
      </c>
      <c r="S4503">
        <v>10</v>
      </c>
      <c r="T4503">
        <v>232</v>
      </c>
      <c r="U4503" s="1">
        <v>38960</v>
      </c>
      <c r="V4503" t="s">
        <v>6729</v>
      </c>
      <c r="W4503" t="s">
        <v>6730</v>
      </c>
      <c r="X4503" t="s">
        <v>58</v>
      </c>
      <c r="Y4503">
        <v>20</v>
      </c>
      <c r="Z4503" t="s">
        <v>59</v>
      </c>
      <c r="AA4503" t="s">
        <v>59</v>
      </c>
      <c r="AB4503" t="s">
        <v>59</v>
      </c>
      <c r="AC4503" t="s">
        <v>59</v>
      </c>
      <c r="AD4503" t="s">
        <v>59</v>
      </c>
      <c r="AF4503" s="1">
        <v>38965</v>
      </c>
      <c r="AG4503" t="s">
        <v>125</v>
      </c>
      <c r="AH4503" t="s">
        <v>126</v>
      </c>
      <c r="AI4503" t="str">
        <f>"5002010"</f>
        <v>5002010</v>
      </c>
      <c r="AJ4503" t="s">
        <v>6773</v>
      </c>
      <c r="AK4503">
        <v>2825022249</v>
      </c>
      <c r="AL4503" t="s">
        <v>6774</v>
      </c>
      <c r="AM4503" t="s">
        <v>88</v>
      </c>
      <c r="AN4503" t="s">
        <v>6775</v>
      </c>
      <c r="AO4503" t="s">
        <v>6776</v>
      </c>
      <c r="AP4503" t="s">
        <v>6776</v>
      </c>
      <c r="AQ4503">
        <v>1</v>
      </c>
      <c r="AR4503" t="s">
        <v>6729</v>
      </c>
      <c r="AS4503" t="s">
        <v>6730</v>
      </c>
      <c r="AT4503" t="s">
        <v>58</v>
      </c>
      <c r="AU4503" t="s">
        <v>68</v>
      </c>
      <c r="AV4503" t="s">
        <v>69</v>
      </c>
      <c r="AW4503" s="1">
        <v>27727</v>
      </c>
      <c r="AX4503">
        <v>2</v>
      </c>
    </row>
    <row r="4504" spans="1:50">
      <c r="A4504">
        <v>221491</v>
      </c>
      <c r="B4504" t="str">
        <f>"051251704"</f>
        <v>051251704</v>
      </c>
      <c r="C4504" t="s">
        <v>50</v>
      </c>
      <c r="D4504" t="s">
        <v>3672</v>
      </c>
      <c r="E4504" t="s">
        <v>3290</v>
      </c>
      <c r="F4504" t="s">
        <v>670</v>
      </c>
      <c r="G4504" t="s">
        <v>714</v>
      </c>
      <c r="H4504" t="str">
        <f>"Α΄ΠΑΡ. ΜΠΟΛΙΩΤΗ 69 ΑΓΙΟΣ ΙΩΑΝΝΗΣ"</f>
        <v>Α΄ΠΑΡ. ΜΠΟΛΙΩΤΗ 69 ΑΓΙΟΣ ΙΩΑΝΝΗΣ</v>
      </c>
      <c r="I4504">
        <v>73134</v>
      </c>
      <c r="N4504" t="s">
        <v>306</v>
      </c>
      <c r="O4504" t="s">
        <v>307</v>
      </c>
      <c r="R4504" t="s">
        <v>57</v>
      </c>
      <c r="S4504">
        <v>12</v>
      </c>
      <c r="T4504">
        <v>164</v>
      </c>
      <c r="U4504" s="1">
        <v>36040</v>
      </c>
      <c r="V4504" t="s">
        <v>6729</v>
      </c>
      <c r="W4504" t="s">
        <v>6730</v>
      </c>
      <c r="X4504" t="s">
        <v>58</v>
      </c>
      <c r="Y4504">
        <v>18</v>
      </c>
      <c r="Z4504" t="s">
        <v>59</v>
      </c>
      <c r="AA4504" t="s">
        <v>59</v>
      </c>
      <c r="AB4504" t="s">
        <v>59</v>
      </c>
      <c r="AC4504" t="s">
        <v>59</v>
      </c>
      <c r="AD4504" t="s">
        <v>59</v>
      </c>
      <c r="AF4504" s="1">
        <v>36041</v>
      </c>
      <c r="AG4504" t="s">
        <v>137</v>
      </c>
      <c r="AH4504" t="s">
        <v>469</v>
      </c>
      <c r="AI4504" t="str">
        <f>"5040055"</f>
        <v>5040055</v>
      </c>
      <c r="AJ4504" t="s">
        <v>6940</v>
      </c>
      <c r="AK4504">
        <v>2821036404</v>
      </c>
      <c r="AL4504" t="s">
        <v>6941</v>
      </c>
      <c r="AM4504" t="s">
        <v>88</v>
      </c>
      <c r="AN4504" t="s">
        <v>88</v>
      </c>
      <c r="AO4504" t="s">
        <v>88</v>
      </c>
      <c r="AP4504" t="s">
        <v>88</v>
      </c>
      <c r="AQ4504">
        <v>1</v>
      </c>
      <c r="AR4504" t="s">
        <v>6729</v>
      </c>
      <c r="AS4504" t="s">
        <v>6730</v>
      </c>
      <c r="AT4504" t="s">
        <v>58</v>
      </c>
      <c r="AU4504" t="s">
        <v>68</v>
      </c>
      <c r="AV4504" t="s">
        <v>69</v>
      </c>
      <c r="AW4504" s="1">
        <v>25101</v>
      </c>
      <c r="AX4504">
        <v>2</v>
      </c>
    </row>
    <row r="4505" spans="1:50">
      <c r="A4505">
        <v>223166</v>
      </c>
      <c r="B4505" t="str">
        <f>"126415677"</f>
        <v>126415677</v>
      </c>
      <c r="C4505" t="s">
        <v>50</v>
      </c>
      <c r="D4505" t="s">
        <v>8262</v>
      </c>
      <c r="E4505" t="s">
        <v>83</v>
      </c>
      <c r="F4505" t="s">
        <v>95</v>
      </c>
      <c r="G4505" t="s">
        <v>237</v>
      </c>
      <c r="H4505" t="str">
        <f>" "</f>
        <v xml:space="preserve"> </v>
      </c>
      <c r="J4505">
        <v>2821080026</v>
      </c>
      <c r="K4505">
        <v>6932338225</v>
      </c>
      <c r="M4505" t="s">
        <v>8263</v>
      </c>
      <c r="N4505" t="s">
        <v>292</v>
      </c>
      <c r="O4505" t="s">
        <v>293</v>
      </c>
      <c r="R4505" t="s">
        <v>57</v>
      </c>
      <c r="S4505">
        <v>5</v>
      </c>
      <c r="T4505">
        <v>775</v>
      </c>
      <c r="U4505" s="1">
        <v>39680</v>
      </c>
      <c r="V4505" t="s">
        <v>6729</v>
      </c>
      <c r="W4505" t="s">
        <v>6730</v>
      </c>
      <c r="X4505" t="s">
        <v>58</v>
      </c>
      <c r="Y4505">
        <v>20</v>
      </c>
      <c r="Z4505" t="s">
        <v>59</v>
      </c>
      <c r="AA4505" t="s">
        <v>59</v>
      </c>
      <c r="AB4505" t="s">
        <v>59</v>
      </c>
      <c r="AC4505" t="s">
        <v>59</v>
      </c>
      <c r="AD4505" t="s">
        <v>59</v>
      </c>
      <c r="AF4505" s="1">
        <v>39681</v>
      </c>
      <c r="AG4505" t="s">
        <v>137</v>
      </c>
      <c r="AH4505" t="s">
        <v>138</v>
      </c>
      <c r="AI4505" t="str">
        <f>"5050065"</f>
        <v>5050065</v>
      </c>
      <c r="AJ4505" t="s">
        <v>6822</v>
      </c>
      <c r="AK4505">
        <v>2823022234</v>
      </c>
      <c r="AL4505" t="s">
        <v>6823</v>
      </c>
      <c r="AM4505" t="s">
        <v>88</v>
      </c>
      <c r="AN4505" t="s">
        <v>6824</v>
      </c>
      <c r="AO4505" t="s">
        <v>6825</v>
      </c>
      <c r="AP4505" t="s">
        <v>6826</v>
      </c>
      <c r="AQ4505">
        <v>1</v>
      </c>
      <c r="AR4505" t="s">
        <v>6729</v>
      </c>
      <c r="AS4505" t="s">
        <v>6730</v>
      </c>
      <c r="AT4505" t="s">
        <v>58</v>
      </c>
      <c r="AU4505" t="s">
        <v>68</v>
      </c>
      <c r="AV4505" t="s">
        <v>69</v>
      </c>
      <c r="AW4505" s="1">
        <v>27631</v>
      </c>
      <c r="AX4505">
        <v>2</v>
      </c>
    </row>
    <row r="4506" spans="1:50">
      <c r="A4506">
        <v>186313</v>
      </c>
      <c r="B4506" t="str">
        <f>"042624320"</f>
        <v>042624320</v>
      </c>
      <c r="C4506" t="s">
        <v>105</v>
      </c>
      <c r="D4506" t="s">
        <v>8264</v>
      </c>
      <c r="E4506" t="s">
        <v>95</v>
      </c>
      <c r="F4506" t="s">
        <v>304</v>
      </c>
      <c r="G4506" t="s">
        <v>83</v>
      </c>
      <c r="H4506" t="str">
        <f>" "</f>
        <v xml:space="preserve"> </v>
      </c>
      <c r="N4506" t="s">
        <v>6051</v>
      </c>
      <c r="O4506" t="s">
        <v>2714</v>
      </c>
      <c r="R4506" t="s">
        <v>57</v>
      </c>
      <c r="S4506">
        <v>8</v>
      </c>
      <c r="T4506">
        <v>251</v>
      </c>
      <c r="U4506" s="1">
        <v>36769</v>
      </c>
      <c r="V4506" t="s">
        <v>6729</v>
      </c>
      <c r="W4506" t="s">
        <v>6730</v>
      </c>
      <c r="X4506" t="s">
        <v>58</v>
      </c>
      <c r="Y4506">
        <v>28</v>
      </c>
      <c r="Z4506" t="s">
        <v>59</v>
      </c>
      <c r="AA4506" t="s">
        <v>59</v>
      </c>
      <c r="AB4506" t="s">
        <v>59</v>
      </c>
      <c r="AC4506" t="s">
        <v>59</v>
      </c>
      <c r="AD4506" t="s">
        <v>59</v>
      </c>
      <c r="AF4506" s="1">
        <v>36770</v>
      </c>
      <c r="AG4506" t="s">
        <v>137</v>
      </c>
      <c r="AH4506" t="s">
        <v>138</v>
      </c>
      <c r="AI4506" t="str">
        <f>"5050060"</f>
        <v>5050060</v>
      </c>
      <c r="AJ4506" t="s">
        <v>6801</v>
      </c>
      <c r="AK4506">
        <v>2821091515</v>
      </c>
      <c r="AL4506" t="s">
        <v>6802</v>
      </c>
      <c r="AM4506" t="s">
        <v>88</v>
      </c>
      <c r="AN4506" t="s">
        <v>88</v>
      </c>
      <c r="AO4506" t="s">
        <v>88</v>
      </c>
      <c r="AP4506" t="s">
        <v>88</v>
      </c>
      <c r="AQ4506">
        <v>1</v>
      </c>
      <c r="AR4506" t="s">
        <v>6729</v>
      </c>
      <c r="AS4506" t="s">
        <v>6730</v>
      </c>
      <c r="AT4506" t="s">
        <v>58</v>
      </c>
      <c r="AU4506" t="s">
        <v>68</v>
      </c>
      <c r="AV4506" t="s">
        <v>69</v>
      </c>
      <c r="AW4506" s="1">
        <v>24108</v>
      </c>
      <c r="AX4506">
        <v>2</v>
      </c>
    </row>
    <row r="4507" spans="1:50">
      <c r="A4507">
        <v>214205</v>
      </c>
      <c r="B4507" t="str">
        <f>"126475569"</f>
        <v>126475569</v>
      </c>
      <c r="C4507" t="s">
        <v>50</v>
      </c>
      <c r="D4507" t="s">
        <v>8265</v>
      </c>
      <c r="E4507" t="s">
        <v>109</v>
      </c>
      <c r="F4507" t="s">
        <v>53</v>
      </c>
      <c r="G4507" t="s">
        <v>671</v>
      </c>
      <c r="H4507" t="str">
        <f>"ΠΕΤΡΟΠΟΥΛΑΚΗΔΩΝ 6 ΧΑΝΙΑ"</f>
        <v>ΠΕΤΡΟΠΟΥΛΑΚΗΔΩΝ 6 ΧΑΝΙΑ</v>
      </c>
      <c r="I4507">
        <v>73100</v>
      </c>
      <c r="J4507">
        <v>2821096472</v>
      </c>
      <c r="K4507">
        <v>6972857412</v>
      </c>
      <c r="M4507" t="s">
        <v>8266</v>
      </c>
      <c r="N4507" t="s">
        <v>683</v>
      </c>
      <c r="O4507" t="s">
        <v>684</v>
      </c>
      <c r="R4507" t="s">
        <v>57</v>
      </c>
      <c r="S4507">
        <v>8</v>
      </c>
      <c r="T4507">
        <v>231</v>
      </c>
      <c r="U4507" s="1">
        <v>38960</v>
      </c>
      <c r="V4507" t="s">
        <v>6729</v>
      </c>
      <c r="W4507" t="s">
        <v>6730</v>
      </c>
      <c r="X4507" t="s">
        <v>58</v>
      </c>
      <c r="Y4507">
        <v>20</v>
      </c>
      <c r="Z4507" t="s">
        <v>59</v>
      </c>
      <c r="AA4507" t="s">
        <v>59</v>
      </c>
      <c r="AB4507" t="s">
        <v>59</v>
      </c>
      <c r="AC4507" t="s">
        <v>59</v>
      </c>
      <c r="AD4507" t="s">
        <v>59</v>
      </c>
      <c r="AF4507" s="1">
        <v>38961</v>
      </c>
      <c r="AG4507" t="s">
        <v>125</v>
      </c>
      <c r="AH4507" t="s">
        <v>126</v>
      </c>
      <c r="AI4507" t="str">
        <f>"5001073"</f>
        <v>5001073</v>
      </c>
      <c r="AJ4507" t="s">
        <v>6849</v>
      </c>
      <c r="AK4507">
        <v>2821028553</v>
      </c>
      <c r="AL4507" t="s">
        <v>6850</v>
      </c>
      <c r="AM4507" t="s">
        <v>88</v>
      </c>
      <c r="AN4507" t="s">
        <v>88</v>
      </c>
      <c r="AO4507" t="s">
        <v>88</v>
      </c>
      <c r="AP4507" t="s">
        <v>88</v>
      </c>
      <c r="AQ4507">
        <v>1</v>
      </c>
      <c r="AR4507" t="s">
        <v>6729</v>
      </c>
      <c r="AS4507" t="s">
        <v>6730</v>
      </c>
      <c r="AT4507" t="s">
        <v>58</v>
      </c>
      <c r="AU4507" t="s">
        <v>68</v>
      </c>
      <c r="AV4507" t="s">
        <v>69</v>
      </c>
      <c r="AW4507" s="1">
        <v>23773</v>
      </c>
      <c r="AX4507">
        <v>2</v>
      </c>
    </row>
    <row r="4508" spans="1:50">
      <c r="B4508" t="str">
        <f>"049435891"</f>
        <v>049435891</v>
      </c>
      <c r="C4508" t="s">
        <v>50</v>
      </c>
      <c r="D4508" t="s">
        <v>8267</v>
      </c>
      <c r="E4508" t="s">
        <v>460</v>
      </c>
      <c r="F4508" t="s">
        <v>154</v>
      </c>
      <c r="G4508" t="s">
        <v>563</v>
      </c>
      <c r="H4508" t="str">
        <f>"ΑΕΡΟΠΟΥ 1 ΦΛΩΡΙΝΑ"</f>
        <v>ΑΕΡΟΠΟΥ 1 ΦΛΩΡΙΝΑ</v>
      </c>
      <c r="I4508">
        <v>53100</v>
      </c>
      <c r="J4508">
        <v>2385046682</v>
      </c>
      <c r="K4508">
        <v>6944519501</v>
      </c>
      <c r="N4508" t="s">
        <v>1817</v>
      </c>
      <c r="O4508" t="s">
        <v>1818</v>
      </c>
      <c r="R4508" t="s">
        <v>159</v>
      </c>
      <c r="S4508">
        <v>6</v>
      </c>
      <c r="T4508" t="s">
        <v>344</v>
      </c>
      <c r="U4508" s="1">
        <v>43348</v>
      </c>
      <c r="V4508" t="s">
        <v>6729</v>
      </c>
      <c r="W4508" t="s">
        <v>6730</v>
      </c>
      <c r="X4508" t="s">
        <v>58</v>
      </c>
      <c r="Y4508">
        <v>21</v>
      </c>
      <c r="Z4508" t="s">
        <v>59</v>
      </c>
      <c r="AA4508" t="s">
        <v>59</v>
      </c>
      <c r="AB4508" t="s">
        <v>59</v>
      </c>
      <c r="AC4508" t="s">
        <v>59</v>
      </c>
      <c r="AD4508" t="s">
        <v>59</v>
      </c>
      <c r="AF4508" s="1">
        <v>43348</v>
      </c>
      <c r="AG4508" t="s">
        <v>345</v>
      </c>
      <c r="AH4508" t="s">
        <v>346</v>
      </c>
      <c r="AI4508" t="str">
        <f>"5041001"</f>
        <v>5041001</v>
      </c>
      <c r="AJ4508" t="s">
        <v>6840</v>
      </c>
      <c r="AK4508">
        <v>2821052100</v>
      </c>
      <c r="AL4508" t="s">
        <v>6841</v>
      </c>
      <c r="AM4508" t="s">
        <v>88</v>
      </c>
      <c r="AN4508" t="s">
        <v>88</v>
      </c>
      <c r="AO4508" t="s">
        <v>88</v>
      </c>
      <c r="AP4508" t="s">
        <v>88</v>
      </c>
      <c r="AQ4508">
        <v>1</v>
      </c>
      <c r="AR4508" t="s">
        <v>6729</v>
      </c>
      <c r="AS4508" t="s">
        <v>6730</v>
      </c>
      <c r="AT4508" t="s">
        <v>58</v>
      </c>
      <c r="AU4508" t="s">
        <v>350</v>
      </c>
      <c r="AV4508" t="s">
        <v>132</v>
      </c>
      <c r="AW4508" s="1">
        <v>30017</v>
      </c>
      <c r="AX4508">
        <v>2</v>
      </c>
    </row>
    <row r="4509" spans="1:50">
      <c r="A4509">
        <v>217655</v>
      </c>
      <c r="B4509" t="str">
        <f>"036705427"</f>
        <v>036705427</v>
      </c>
      <c r="C4509" t="s">
        <v>50</v>
      </c>
      <c r="D4509" t="s">
        <v>6507</v>
      </c>
      <c r="E4509" t="s">
        <v>610</v>
      </c>
      <c r="F4509" t="s">
        <v>72</v>
      </c>
      <c r="G4509" t="s">
        <v>52</v>
      </c>
      <c r="H4509" t="str">
        <f>"ΜΕΣΟΛΟΓΓΙΟΥ 2 ΧΑΝΙΑ"</f>
        <v>ΜΕΣΟΛΟΓΓΙΟΥ 2 ΧΑΝΙΑ</v>
      </c>
      <c r="I4509">
        <v>73133</v>
      </c>
      <c r="J4509">
        <v>2821041521</v>
      </c>
      <c r="K4509">
        <v>6973329557</v>
      </c>
      <c r="M4509" t="s">
        <v>8268</v>
      </c>
      <c r="N4509" t="s">
        <v>146</v>
      </c>
      <c r="O4509" t="s">
        <v>147</v>
      </c>
      <c r="R4509" t="s">
        <v>57</v>
      </c>
      <c r="S4509">
        <v>6</v>
      </c>
      <c r="T4509">
        <v>599</v>
      </c>
      <c r="U4509" s="1">
        <v>39310</v>
      </c>
      <c r="V4509" t="s">
        <v>6729</v>
      </c>
      <c r="W4509" t="s">
        <v>6730</v>
      </c>
      <c r="X4509" t="s">
        <v>58</v>
      </c>
      <c r="Y4509">
        <v>20</v>
      </c>
      <c r="Z4509" t="s">
        <v>59</v>
      </c>
      <c r="AA4509" t="s">
        <v>59</v>
      </c>
      <c r="AB4509" t="s">
        <v>59</v>
      </c>
      <c r="AC4509" t="s">
        <v>59</v>
      </c>
      <c r="AD4509" t="s">
        <v>59</v>
      </c>
      <c r="AF4509" s="1">
        <v>39328</v>
      </c>
      <c r="AG4509" t="s">
        <v>125</v>
      </c>
      <c r="AH4509" t="s">
        <v>126</v>
      </c>
      <c r="AI4509" t="str">
        <f>"5005010"</f>
        <v>5005010</v>
      </c>
      <c r="AJ4509" t="s">
        <v>7100</v>
      </c>
      <c r="AK4509">
        <v>2823041217</v>
      </c>
      <c r="AL4509" t="s">
        <v>7101</v>
      </c>
      <c r="AM4509" t="s">
        <v>88</v>
      </c>
      <c r="AN4509" t="s">
        <v>6824</v>
      </c>
      <c r="AO4509" t="s">
        <v>6870</v>
      </c>
      <c r="AP4509" t="s">
        <v>6871</v>
      </c>
      <c r="AQ4509">
        <v>1</v>
      </c>
      <c r="AR4509" t="s">
        <v>6729</v>
      </c>
      <c r="AS4509" t="s">
        <v>6730</v>
      </c>
      <c r="AT4509" t="s">
        <v>58</v>
      </c>
      <c r="AU4509" t="s">
        <v>68</v>
      </c>
      <c r="AV4509" t="s">
        <v>1092</v>
      </c>
      <c r="AW4509" s="1">
        <v>21561</v>
      </c>
      <c r="AX4509">
        <v>2</v>
      </c>
    </row>
    <row r="4510" spans="1:50">
      <c r="B4510" t="str">
        <f>"101550999"</f>
        <v>101550999</v>
      </c>
      <c r="C4510" t="s">
        <v>50</v>
      </c>
      <c r="D4510" t="s">
        <v>3687</v>
      </c>
      <c r="E4510" t="s">
        <v>188</v>
      </c>
      <c r="F4510" t="s">
        <v>84</v>
      </c>
      <c r="G4510" t="s">
        <v>52</v>
      </c>
      <c r="H4510" t="str">
        <f>"Χ. ΔΑΣΚΑΛΑΚΗ 14 ΧΑΝΙΑ"</f>
        <v>Χ. ΔΑΣΚΑΛΑΚΗ 14 ΧΑΝΙΑ</v>
      </c>
      <c r="I4510">
        <v>73133</v>
      </c>
      <c r="J4510">
        <v>2821055929</v>
      </c>
      <c r="K4510">
        <v>6977605633</v>
      </c>
      <c r="M4510" t="s">
        <v>8269</v>
      </c>
      <c r="N4510" t="s">
        <v>331</v>
      </c>
      <c r="O4510" t="s">
        <v>332</v>
      </c>
      <c r="R4510" t="s">
        <v>159</v>
      </c>
      <c r="S4510">
        <v>3</v>
      </c>
      <c r="T4510" t="s">
        <v>574</v>
      </c>
      <c r="U4510" s="1">
        <v>43378</v>
      </c>
      <c r="V4510" t="s">
        <v>6729</v>
      </c>
      <c r="W4510" t="s">
        <v>6730</v>
      </c>
      <c r="X4510" t="s">
        <v>58</v>
      </c>
      <c r="Y4510">
        <v>23</v>
      </c>
      <c r="Z4510" t="s">
        <v>59</v>
      </c>
      <c r="AA4510" t="s">
        <v>59</v>
      </c>
      <c r="AB4510" t="s">
        <v>59</v>
      </c>
      <c r="AC4510" t="s">
        <v>59</v>
      </c>
      <c r="AD4510" t="s">
        <v>59</v>
      </c>
      <c r="AF4510" s="1">
        <v>43381</v>
      </c>
      <c r="AG4510" t="s">
        <v>137</v>
      </c>
      <c r="AH4510" t="s">
        <v>138</v>
      </c>
      <c r="AI4510" t="str">
        <f>"5040050"</f>
        <v>5040050</v>
      </c>
      <c r="AJ4510" t="s">
        <v>6750</v>
      </c>
      <c r="AK4510">
        <v>2821043147</v>
      </c>
      <c r="AL4510" t="s">
        <v>6751</v>
      </c>
      <c r="AM4510" t="s">
        <v>88</v>
      </c>
      <c r="AN4510" t="s">
        <v>88</v>
      </c>
      <c r="AO4510" t="s">
        <v>88</v>
      </c>
      <c r="AP4510" t="s">
        <v>88</v>
      </c>
      <c r="AQ4510">
        <v>1</v>
      </c>
      <c r="AR4510" t="s">
        <v>6729</v>
      </c>
      <c r="AS4510" t="s">
        <v>6730</v>
      </c>
      <c r="AT4510" t="s">
        <v>58</v>
      </c>
      <c r="AU4510" t="s">
        <v>164</v>
      </c>
      <c r="AV4510" t="s">
        <v>132</v>
      </c>
      <c r="AW4510" s="1">
        <v>29676</v>
      </c>
      <c r="AX4510">
        <v>2</v>
      </c>
    </row>
    <row r="4511" spans="1:50">
      <c r="A4511">
        <v>163040</v>
      </c>
      <c r="B4511" t="str">
        <f>"079559769"</f>
        <v>079559769</v>
      </c>
      <c r="C4511" t="s">
        <v>50</v>
      </c>
      <c r="D4511" t="s">
        <v>8270</v>
      </c>
      <c r="E4511" t="s">
        <v>3604</v>
      </c>
      <c r="F4511" t="s">
        <v>166</v>
      </c>
      <c r="G4511" t="s">
        <v>610</v>
      </c>
      <c r="H4511" t="str">
        <f>" "</f>
        <v xml:space="preserve"> </v>
      </c>
      <c r="M4511" t="s">
        <v>8271</v>
      </c>
      <c r="N4511" t="s">
        <v>299</v>
      </c>
      <c r="O4511" t="s">
        <v>300</v>
      </c>
      <c r="R4511" t="s">
        <v>57</v>
      </c>
      <c r="S4511">
        <v>13</v>
      </c>
      <c r="T4511">
        <v>132</v>
      </c>
      <c r="U4511" s="1">
        <v>33456</v>
      </c>
      <c r="V4511" t="s">
        <v>6729</v>
      </c>
      <c r="W4511" t="s">
        <v>6730</v>
      </c>
      <c r="X4511" t="s">
        <v>58</v>
      </c>
      <c r="Y4511">
        <v>18</v>
      </c>
      <c r="Z4511" t="s">
        <v>59</v>
      </c>
      <c r="AA4511" t="s">
        <v>59</v>
      </c>
      <c r="AB4511" t="s">
        <v>59</v>
      </c>
      <c r="AC4511" t="s">
        <v>59</v>
      </c>
      <c r="AD4511" t="s">
        <v>59</v>
      </c>
      <c r="AF4511" s="1">
        <v>33485</v>
      </c>
      <c r="AG4511" t="s">
        <v>148</v>
      </c>
      <c r="AH4511" t="s">
        <v>149</v>
      </c>
      <c r="AI4511" t="str">
        <f>"5051050"</f>
        <v>5051050</v>
      </c>
      <c r="AJ4511" t="s">
        <v>6861</v>
      </c>
      <c r="AK4511">
        <v>2821044860</v>
      </c>
      <c r="AL4511" t="s">
        <v>6862</v>
      </c>
      <c r="AM4511" t="s">
        <v>88</v>
      </c>
      <c r="AN4511" t="s">
        <v>88</v>
      </c>
      <c r="AO4511" t="s">
        <v>88</v>
      </c>
      <c r="AP4511" t="s">
        <v>88</v>
      </c>
      <c r="AQ4511">
        <v>1</v>
      </c>
      <c r="AR4511" t="s">
        <v>6729</v>
      </c>
      <c r="AS4511" t="s">
        <v>6730</v>
      </c>
      <c r="AT4511" t="s">
        <v>58</v>
      </c>
      <c r="AU4511" t="s">
        <v>68</v>
      </c>
      <c r="AV4511" t="s">
        <v>69</v>
      </c>
      <c r="AW4511" s="1">
        <v>21981</v>
      </c>
      <c r="AX4511">
        <v>2</v>
      </c>
    </row>
    <row r="4512" spans="1:50">
      <c r="A4512">
        <v>220567</v>
      </c>
      <c r="B4512" t="str">
        <f>"061492009"</f>
        <v>061492009</v>
      </c>
      <c r="C4512" t="s">
        <v>50</v>
      </c>
      <c r="D4512" t="s">
        <v>8272</v>
      </c>
      <c r="E4512" t="s">
        <v>143</v>
      </c>
      <c r="F4512" t="s">
        <v>53</v>
      </c>
      <c r="G4512" t="s">
        <v>964</v>
      </c>
      <c r="H4512" t="str">
        <f>"¶νω Δαράτσο ΤΧ230 ΔΑΡΑΤΣΟΣ"</f>
        <v>¶νω Δαράτσο ΤΧ230 ΔΑΡΑΤΣΟΣ</v>
      </c>
      <c r="J4512">
        <v>2821058434</v>
      </c>
      <c r="K4512">
        <v>6974822846</v>
      </c>
      <c r="M4512" t="s">
        <v>8273</v>
      </c>
      <c r="N4512" t="s">
        <v>146</v>
      </c>
      <c r="O4512" t="s">
        <v>147</v>
      </c>
      <c r="R4512" t="s">
        <v>57</v>
      </c>
      <c r="S4512">
        <v>5</v>
      </c>
      <c r="T4512">
        <v>681</v>
      </c>
      <c r="U4512" s="1">
        <v>39325</v>
      </c>
      <c r="V4512" t="s">
        <v>6729</v>
      </c>
      <c r="W4512" t="s">
        <v>6730</v>
      </c>
      <c r="X4512" t="s">
        <v>58</v>
      </c>
      <c r="Y4512">
        <v>21</v>
      </c>
      <c r="Z4512" t="s">
        <v>59</v>
      </c>
      <c r="AA4512" t="s">
        <v>59</v>
      </c>
      <c r="AB4512" t="s">
        <v>59</v>
      </c>
      <c r="AC4512" t="s">
        <v>59</v>
      </c>
      <c r="AD4512" t="s">
        <v>59</v>
      </c>
      <c r="AF4512" s="1">
        <v>39329</v>
      </c>
      <c r="AG4512" t="s">
        <v>125</v>
      </c>
      <c r="AH4512" t="s">
        <v>126</v>
      </c>
      <c r="AI4512" t="str">
        <f>"5001073"</f>
        <v>5001073</v>
      </c>
      <c r="AJ4512" t="s">
        <v>6849</v>
      </c>
      <c r="AK4512">
        <v>2821028553</v>
      </c>
      <c r="AL4512" t="s">
        <v>6850</v>
      </c>
      <c r="AM4512" t="s">
        <v>88</v>
      </c>
      <c r="AN4512" t="s">
        <v>88</v>
      </c>
      <c r="AO4512" t="s">
        <v>88</v>
      </c>
      <c r="AP4512" t="s">
        <v>88</v>
      </c>
      <c r="AQ4512">
        <v>1</v>
      </c>
      <c r="AR4512" t="s">
        <v>6729</v>
      </c>
      <c r="AS4512" t="s">
        <v>6730</v>
      </c>
      <c r="AT4512" t="s">
        <v>58</v>
      </c>
      <c r="AU4512" t="s">
        <v>68</v>
      </c>
      <c r="AV4512" t="s">
        <v>357</v>
      </c>
      <c r="AW4512" s="1">
        <v>27371</v>
      </c>
      <c r="AX4512">
        <v>2</v>
      </c>
    </row>
    <row r="4513" spans="1:50">
      <c r="A4513">
        <v>218582</v>
      </c>
      <c r="B4513" t="str">
        <f>"101777205"</f>
        <v>101777205</v>
      </c>
      <c r="C4513" t="s">
        <v>105</v>
      </c>
      <c r="D4513" t="s">
        <v>8274</v>
      </c>
      <c r="E4513" t="s">
        <v>53</v>
      </c>
      <c r="F4513" t="s">
        <v>99</v>
      </c>
      <c r="G4513" t="s">
        <v>3444</v>
      </c>
      <c r="H4513" t="str">
        <f>"ΜΑΝΩΛΙΑΣΣΗΣ 2 ΠΑΤΡΑ"</f>
        <v>ΜΑΝΩΛΙΑΣΣΗΣ 2 ΠΑΤΡΑ</v>
      </c>
      <c r="I4513">
        <v>26223</v>
      </c>
      <c r="J4513">
        <v>2610429475</v>
      </c>
      <c r="K4513">
        <v>6944987842</v>
      </c>
      <c r="L4513">
        <v>2671020086</v>
      </c>
      <c r="M4513" t="s">
        <v>8275</v>
      </c>
      <c r="N4513" t="s">
        <v>232</v>
      </c>
      <c r="O4513" t="s">
        <v>233</v>
      </c>
      <c r="R4513" t="s">
        <v>57</v>
      </c>
      <c r="S4513">
        <v>7</v>
      </c>
      <c r="T4513">
        <v>599</v>
      </c>
      <c r="U4513" s="1">
        <v>39310</v>
      </c>
      <c r="V4513" t="s">
        <v>6729</v>
      </c>
      <c r="W4513" t="s">
        <v>6730</v>
      </c>
      <c r="X4513" t="s">
        <v>58</v>
      </c>
      <c r="Y4513">
        <v>21</v>
      </c>
      <c r="Z4513" t="s">
        <v>59</v>
      </c>
      <c r="AA4513" t="s">
        <v>59</v>
      </c>
      <c r="AB4513" t="s">
        <v>59</v>
      </c>
      <c r="AC4513" t="s">
        <v>59</v>
      </c>
      <c r="AD4513" t="s">
        <v>59</v>
      </c>
      <c r="AF4513" s="1">
        <v>39328</v>
      </c>
      <c r="AG4513" t="s">
        <v>125</v>
      </c>
      <c r="AH4513" t="s">
        <v>126</v>
      </c>
      <c r="AI4513" t="str">
        <f>"5012010"</f>
        <v>5012010</v>
      </c>
      <c r="AJ4513" t="s">
        <v>6794</v>
      </c>
      <c r="AK4513">
        <v>2821033195</v>
      </c>
      <c r="AL4513" t="s">
        <v>6795</v>
      </c>
      <c r="AM4513" t="s">
        <v>88</v>
      </c>
      <c r="AN4513" t="s">
        <v>88</v>
      </c>
      <c r="AO4513" t="s">
        <v>6785</v>
      </c>
      <c r="AP4513" t="s">
        <v>6786</v>
      </c>
      <c r="AQ4513">
        <v>1</v>
      </c>
      <c r="AR4513" t="s">
        <v>6729</v>
      </c>
      <c r="AS4513" t="s">
        <v>6730</v>
      </c>
      <c r="AT4513" t="s">
        <v>58</v>
      </c>
      <c r="AU4513" t="s">
        <v>68</v>
      </c>
      <c r="AV4513" t="s">
        <v>132</v>
      </c>
      <c r="AW4513" s="1">
        <v>27914</v>
      </c>
      <c r="AX4513">
        <v>2</v>
      </c>
    </row>
    <row r="4514" spans="1:50">
      <c r="A4514">
        <v>212928</v>
      </c>
      <c r="B4514" t="str">
        <f>"028435841"</f>
        <v>028435841</v>
      </c>
      <c r="C4514" t="s">
        <v>105</v>
      </c>
      <c r="D4514" t="s">
        <v>8276</v>
      </c>
      <c r="E4514" t="s">
        <v>450</v>
      </c>
      <c r="F4514" t="s">
        <v>53</v>
      </c>
      <c r="G4514" t="s">
        <v>755</v>
      </c>
      <c r="H4514" t="str">
        <f>" "</f>
        <v xml:space="preserve"> </v>
      </c>
      <c r="J4514">
        <v>2821055028</v>
      </c>
      <c r="K4514">
        <v>6937000367</v>
      </c>
      <c r="M4514" t="s">
        <v>7718</v>
      </c>
      <c r="N4514" t="s">
        <v>292</v>
      </c>
      <c r="O4514" t="s">
        <v>293</v>
      </c>
      <c r="R4514" t="s">
        <v>57</v>
      </c>
      <c r="S4514">
        <v>7</v>
      </c>
      <c r="T4514">
        <v>231</v>
      </c>
      <c r="U4514" s="1">
        <v>38960</v>
      </c>
      <c r="V4514" t="s">
        <v>6729</v>
      </c>
      <c r="W4514" t="s">
        <v>6730</v>
      </c>
      <c r="X4514" t="s">
        <v>58</v>
      </c>
      <c r="Y4514">
        <v>20</v>
      </c>
      <c r="Z4514" t="s">
        <v>59</v>
      </c>
      <c r="AA4514" t="s">
        <v>59</v>
      </c>
      <c r="AB4514" t="s">
        <v>59</v>
      </c>
      <c r="AC4514" t="s">
        <v>59</v>
      </c>
      <c r="AD4514" t="s">
        <v>59</v>
      </c>
      <c r="AF4514" s="1">
        <v>38961</v>
      </c>
      <c r="AG4514" t="s">
        <v>137</v>
      </c>
      <c r="AH4514" t="s">
        <v>138</v>
      </c>
      <c r="AI4514" t="str">
        <f>"5040105"</f>
        <v>5040105</v>
      </c>
      <c r="AJ4514" t="s">
        <v>6969</v>
      </c>
      <c r="AK4514">
        <v>2825051703</v>
      </c>
      <c r="AL4514" t="s">
        <v>6970</v>
      </c>
      <c r="AM4514" t="s">
        <v>88</v>
      </c>
      <c r="AN4514" t="s">
        <v>6775</v>
      </c>
      <c r="AO4514" t="s">
        <v>6781</v>
      </c>
      <c r="AP4514" t="s">
        <v>6782</v>
      </c>
      <c r="AQ4514">
        <v>1</v>
      </c>
      <c r="AR4514" t="s">
        <v>6729</v>
      </c>
      <c r="AS4514" t="s">
        <v>6730</v>
      </c>
      <c r="AT4514" t="s">
        <v>58</v>
      </c>
      <c r="AU4514" t="s">
        <v>68</v>
      </c>
      <c r="AV4514" t="s">
        <v>69</v>
      </c>
      <c r="AW4514" s="1">
        <v>21422</v>
      </c>
      <c r="AX4514">
        <v>2</v>
      </c>
    </row>
    <row r="4515" spans="1:50">
      <c r="A4515">
        <v>201968</v>
      </c>
      <c r="B4515" t="str">
        <f>"053372165"</f>
        <v>053372165</v>
      </c>
      <c r="C4515" t="s">
        <v>50</v>
      </c>
      <c r="D4515" t="s">
        <v>3695</v>
      </c>
      <c r="E4515" t="s">
        <v>263</v>
      </c>
      <c r="F4515" t="s">
        <v>95</v>
      </c>
      <c r="G4515" t="s">
        <v>714</v>
      </c>
      <c r="H4515" t="str">
        <f>"ΕΜ. ΜΟΥΝΤΑΚΗ 29 ΧΑΝΙΑ"</f>
        <v>ΕΜ. ΜΟΥΝΤΑΚΗ 29 ΧΑΝΙΑ</v>
      </c>
      <c r="I4515">
        <v>73133</v>
      </c>
      <c r="J4515">
        <v>2821041254</v>
      </c>
      <c r="K4515">
        <v>6972516982</v>
      </c>
      <c r="N4515" t="s">
        <v>146</v>
      </c>
      <c r="O4515" t="s">
        <v>147</v>
      </c>
      <c r="R4515" t="s">
        <v>57</v>
      </c>
      <c r="S4515">
        <v>7</v>
      </c>
      <c r="T4515">
        <v>231</v>
      </c>
      <c r="U4515" s="1">
        <v>38230</v>
      </c>
      <c r="V4515" t="s">
        <v>6729</v>
      </c>
      <c r="W4515" t="s">
        <v>6730</v>
      </c>
      <c r="X4515" t="s">
        <v>58</v>
      </c>
      <c r="Y4515">
        <v>20</v>
      </c>
      <c r="Z4515" t="s">
        <v>59</v>
      </c>
      <c r="AA4515" t="s">
        <v>59</v>
      </c>
      <c r="AB4515" t="s">
        <v>59</v>
      </c>
      <c r="AC4515" t="s">
        <v>59</v>
      </c>
      <c r="AD4515" t="s">
        <v>59</v>
      </c>
      <c r="AF4515" s="1">
        <v>38233</v>
      </c>
      <c r="AG4515" t="s">
        <v>125</v>
      </c>
      <c r="AH4515" t="s">
        <v>126</v>
      </c>
      <c r="AI4515" t="str">
        <f>"5001072"</f>
        <v>5001072</v>
      </c>
      <c r="AJ4515" t="s">
        <v>6922</v>
      </c>
      <c r="AK4515">
        <v>2821055471</v>
      </c>
      <c r="AL4515" t="s">
        <v>6923</v>
      </c>
      <c r="AM4515" t="s">
        <v>88</v>
      </c>
      <c r="AN4515" t="s">
        <v>88</v>
      </c>
      <c r="AO4515" t="s">
        <v>88</v>
      </c>
      <c r="AP4515" t="s">
        <v>88</v>
      </c>
      <c r="AQ4515">
        <v>1</v>
      </c>
      <c r="AR4515" t="s">
        <v>6729</v>
      </c>
      <c r="AS4515" t="s">
        <v>6730</v>
      </c>
      <c r="AT4515" t="s">
        <v>58</v>
      </c>
      <c r="AU4515" t="s">
        <v>68</v>
      </c>
      <c r="AV4515" t="s">
        <v>69</v>
      </c>
      <c r="AW4515" s="1">
        <v>25923</v>
      </c>
      <c r="AX4515">
        <v>2</v>
      </c>
    </row>
    <row r="4516" spans="1:50">
      <c r="A4516">
        <v>701800</v>
      </c>
      <c r="B4516" t="str">
        <f>"077109124"</f>
        <v>077109124</v>
      </c>
      <c r="C4516" t="s">
        <v>50</v>
      </c>
      <c r="D4516" t="s">
        <v>8277</v>
      </c>
      <c r="E4516" t="s">
        <v>460</v>
      </c>
      <c r="F4516" t="s">
        <v>920</v>
      </c>
      <c r="G4516" t="s">
        <v>476</v>
      </c>
      <c r="H4516" t="str">
        <f>"ΙΩΣΗΦ ΒΡΙΓΚΑ 6 ΧΑΝΙΑ"</f>
        <v>ΙΩΣΗΦ ΒΡΙΓΚΑ 6 ΧΑΝΙΑ</v>
      </c>
      <c r="I4516">
        <v>73133</v>
      </c>
      <c r="J4516">
        <v>2821400893</v>
      </c>
      <c r="K4516">
        <v>6948252654</v>
      </c>
      <c r="M4516" t="s">
        <v>8278</v>
      </c>
      <c r="N4516" t="s">
        <v>199</v>
      </c>
      <c r="O4516" t="s">
        <v>200</v>
      </c>
      <c r="R4516" t="s">
        <v>57</v>
      </c>
      <c r="S4516">
        <v>6</v>
      </c>
      <c r="T4516">
        <v>772</v>
      </c>
      <c r="U4516" s="1">
        <v>40413</v>
      </c>
      <c r="V4516" t="s">
        <v>6729</v>
      </c>
      <c r="W4516" t="s">
        <v>6730</v>
      </c>
      <c r="X4516" t="s">
        <v>58</v>
      </c>
      <c r="Y4516">
        <v>20</v>
      </c>
      <c r="Z4516" t="s">
        <v>59</v>
      </c>
      <c r="AA4516" t="s">
        <v>59</v>
      </c>
      <c r="AB4516" t="s">
        <v>59</v>
      </c>
      <c r="AC4516" t="s">
        <v>59</v>
      </c>
      <c r="AD4516" t="s">
        <v>59</v>
      </c>
      <c r="AF4516" s="1">
        <v>40422</v>
      </c>
      <c r="AG4516" t="s">
        <v>125</v>
      </c>
      <c r="AH4516" t="s">
        <v>126</v>
      </c>
      <c r="AI4516" t="str">
        <f>"5001075"</f>
        <v>5001075</v>
      </c>
      <c r="AJ4516" t="s">
        <v>6768</v>
      </c>
      <c r="AK4516">
        <v>2821064200</v>
      </c>
      <c r="AL4516" t="s">
        <v>6769</v>
      </c>
      <c r="AM4516" t="s">
        <v>88</v>
      </c>
      <c r="AN4516" t="s">
        <v>88</v>
      </c>
      <c r="AO4516" t="s">
        <v>6770</v>
      </c>
      <c r="AP4516" t="s">
        <v>6771</v>
      </c>
      <c r="AQ4516">
        <v>1</v>
      </c>
      <c r="AR4516" t="s">
        <v>6729</v>
      </c>
      <c r="AS4516" t="s">
        <v>6730</v>
      </c>
      <c r="AT4516" t="s">
        <v>58</v>
      </c>
      <c r="AU4516" t="s">
        <v>68</v>
      </c>
      <c r="AV4516" t="s">
        <v>69</v>
      </c>
      <c r="AW4516" s="1">
        <v>28109</v>
      </c>
      <c r="AX4516">
        <v>2</v>
      </c>
    </row>
    <row r="4517" spans="1:50">
      <c r="A4517">
        <v>207399</v>
      </c>
      <c r="B4517" t="str">
        <f>"030848962"</f>
        <v>030848962</v>
      </c>
      <c r="C4517" t="s">
        <v>50</v>
      </c>
      <c r="D4517" t="s">
        <v>8279</v>
      </c>
      <c r="E4517" t="s">
        <v>964</v>
      </c>
      <c r="F4517" t="s">
        <v>304</v>
      </c>
      <c r="G4517" t="s">
        <v>52</v>
      </c>
      <c r="H4517" t="str">
        <f>"Σελίνου 118, Ν.Χώρα "</f>
        <v xml:space="preserve">Σελίνου 118, Ν.Χώρα </v>
      </c>
      <c r="J4517">
        <v>2821075544</v>
      </c>
      <c r="K4517">
        <v>6973556029</v>
      </c>
      <c r="M4517" t="s">
        <v>8280</v>
      </c>
      <c r="N4517" t="s">
        <v>246</v>
      </c>
      <c r="O4517" t="s">
        <v>247</v>
      </c>
      <c r="R4517" t="s">
        <v>57</v>
      </c>
      <c r="S4517">
        <v>8</v>
      </c>
      <c r="T4517">
        <v>218</v>
      </c>
      <c r="U4517" s="1">
        <v>38596</v>
      </c>
      <c r="V4517" t="s">
        <v>6729</v>
      </c>
      <c r="W4517" t="s">
        <v>6730</v>
      </c>
      <c r="X4517" t="s">
        <v>58</v>
      </c>
      <c r="Y4517">
        <v>20</v>
      </c>
      <c r="Z4517" t="s">
        <v>59</v>
      </c>
      <c r="AA4517" t="s">
        <v>59</v>
      </c>
      <c r="AB4517" t="s">
        <v>59</v>
      </c>
      <c r="AC4517" t="s">
        <v>59</v>
      </c>
      <c r="AD4517" t="s">
        <v>59</v>
      </c>
      <c r="AF4517" s="1">
        <v>38600</v>
      </c>
      <c r="AG4517" t="s">
        <v>125</v>
      </c>
      <c r="AH4517" t="s">
        <v>126</v>
      </c>
      <c r="AI4517" t="str">
        <f>"5001050"</f>
        <v>5001050</v>
      </c>
      <c r="AJ4517" t="s">
        <v>6917</v>
      </c>
      <c r="AK4517">
        <v>2821088012</v>
      </c>
      <c r="AL4517" t="s">
        <v>6918</v>
      </c>
      <c r="AM4517" t="s">
        <v>88</v>
      </c>
      <c r="AN4517" t="s">
        <v>88</v>
      </c>
      <c r="AO4517" t="s">
        <v>88</v>
      </c>
      <c r="AP4517" t="s">
        <v>88</v>
      </c>
      <c r="AQ4517">
        <v>1</v>
      </c>
      <c r="AR4517" t="s">
        <v>6729</v>
      </c>
      <c r="AS4517" t="s">
        <v>6730</v>
      </c>
      <c r="AT4517" t="s">
        <v>58</v>
      </c>
      <c r="AU4517" t="s">
        <v>68</v>
      </c>
      <c r="AV4517" t="s">
        <v>69</v>
      </c>
      <c r="AW4517" s="1">
        <v>22699</v>
      </c>
      <c r="AX4517">
        <v>2</v>
      </c>
    </row>
    <row r="4518" spans="1:50">
      <c r="A4518">
        <v>160791</v>
      </c>
      <c r="B4518" t="str">
        <f>"021944282"</f>
        <v>021944282</v>
      </c>
      <c r="C4518" t="s">
        <v>50</v>
      </c>
      <c r="D4518" t="s">
        <v>8279</v>
      </c>
      <c r="E4518" t="s">
        <v>83</v>
      </c>
      <c r="F4518" t="s">
        <v>166</v>
      </c>
      <c r="G4518" t="s">
        <v>54</v>
      </c>
      <c r="H4518" t="str">
        <f>" "</f>
        <v xml:space="preserve"> </v>
      </c>
      <c r="M4518" t="s">
        <v>8281</v>
      </c>
      <c r="N4518" t="s">
        <v>299</v>
      </c>
      <c r="O4518" t="s">
        <v>300</v>
      </c>
      <c r="R4518" t="s">
        <v>57</v>
      </c>
      <c r="S4518">
        <v>13</v>
      </c>
      <c r="T4518">
        <v>161</v>
      </c>
      <c r="U4518" s="1">
        <v>33119</v>
      </c>
      <c r="V4518" t="s">
        <v>6729</v>
      </c>
      <c r="W4518" t="s">
        <v>6730</v>
      </c>
      <c r="X4518" t="s">
        <v>58</v>
      </c>
      <c r="Y4518">
        <v>18</v>
      </c>
      <c r="Z4518" t="s">
        <v>59</v>
      </c>
      <c r="AA4518" t="s">
        <v>59</v>
      </c>
      <c r="AB4518" t="s">
        <v>59</v>
      </c>
      <c r="AC4518" t="s">
        <v>59</v>
      </c>
      <c r="AD4518" t="s">
        <v>59</v>
      </c>
      <c r="AF4518" s="1">
        <v>33121</v>
      </c>
      <c r="AG4518" t="s">
        <v>137</v>
      </c>
      <c r="AH4518" t="s">
        <v>138</v>
      </c>
      <c r="AI4518" t="str">
        <f>"5040050"</f>
        <v>5040050</v>
      </c>
      <c r="AJ4518" t="s">
        <v>6750</v>
      </c>
      <c r="AK4518">
        <v>2821043147</v>
      </c>
      <c r="AL4518" t="s">
        <v>6751</v>
      </c>
      <c r="AM4518" t="s">
        <v>88</v>
      </c>
      <c r="AN4518" t="s">
        <v>88</v>
      </c>
      <c r="AO4518" t="s">
        <v>88</v>
      </c>
      <c r="AP4518" t="s">
        <v>88</v>
      </c>
      <c r="AQ4518">
        <v>1</v>
      </c>
      <c r="AR4518" t="s">
        <v>6729</v>
      </c>
      <c r="AS4518" t="s">
        <v>6730</v>
      </c>
      <c r="AT4518" t="s">
        <v>58</v>
      </c>
      <c r="AU4518" t="s">
        <v>68</v>
      </c>
      <c r="AV4518" t="s">
        <v>69</v>
      </c>
      <c r="AW4518" s="1">
        <v>20837</v>
      </c>
      <c r="AX4518">
        <v>2</v>
      </c>
    </row>
    <row r="4519" spans="1:50">
      <c r="A4519">
        <v>228536</v>
      </c>
      <c r="B4519" t="str">
        <f>"136405888"</f>
        <v>136405888</v>
      </c>
      <c r="C4519" t="s">
        <v>50</v>
      </c>
      <c r="D4519" t="s">
        <v>8282</v>
      </c>
      <c r="E4519" t="s">
        <v>1277</v>
      </c>
      <c r="F4519" t="s">
        <v>166</v>
      </c>
      <c r="G4519" t="s">
        <v>250</v>
      </c>
      <c r="H4519" t="str">
        <f>" "</f>
        <v xml:space="preserve"> </v>
      </c>
      <c r="N4519" t="s">
        <v>146</v>
      </c>
      <c r="O4519" t="s">
        <v>147</v>
      </c>
      <c r="R4519" t="s">
        <v>57</v>
      </c>
      <c r="S4519">
        <v>4</v>
      </c>
      <c r="T4519">
        <v>683</v>
      </c>
      <c r="U4519" s="1">
        <v>40052</v>
      </c>
      <c r="V4519" t="s">
        <v>6729</v>
      </c>
      <c r="W4519" t="s">
        <v>6730</v>
      </c>
      <c r="X4519" t="s">
        <v>58</v>
      </c>
      <c r="Y4519">
        <v>21</v>
      </c>
      <c r="Z4519" t="s">
        <v>59</v>
      </c>
      <c r="AA4519" t="s">
        <v>59</v>
      </c>
      <c r="AB4519" t="s">
        <v>59</v>
      </c>
      <c r="AC4519" t="s">
        <v>59</v>
      </c>
      <c r="AD4519" t="s">
        <v>59</v>
      </c>
      <c r="AF4519" s="1">
        <v>40053</v>
      </c>
      <c r="AG4519" t="s">
        <v>125</v>
      </c>
      <c r="AH4519" t="s">
        <v>126</v>
      </c>
      <c r="AI4519" t="str">
        <f>"5010010"</f>
        <v>5010010</v>
      </c>
      <c r="AJ4519" t="s">
        <v>6779</v>
      </c>
      <c r="AK4519">
        <v>2825051288</v>
      </c>
      <c r="AL4519" t="s">
        <v>6780</v>
      </c>
      <c r="AM4519" t="s">
        <v>88</v>
      </c>
      <c r="AN4519" t="s">
        <v>6775</v>
      </c>
      <c r="AO4519" t="s">
        <v>6781</v>
      </c>
      <c r="AP4519" t="s">
        <v>6782</v>
      </c>
      <c r="AQ4519">
        <v>1</v>
      </c>
      <c r="AR4519" t="s">
        <v>6729</v>
      </c>
      <c r="AS4519" t="s">
        <v>6730</v>
      </c>
      <c r="AT4519" t="s">
        <v>58</v>
      </c>
      <c r="AU4519" t="s">
        <v>68</v>
      </c>
      <c r="AV4519" t="s">
        <v>69</v>
      </c>
      <c r="AW4519" s="1">
        <v>32055</v>
      </c>
      <c r="AX4519">
        <v>2</v>
      </c>
    </row>
    <row r="4520" spans="1:50">
      <c r="A4520">
        <v>228537</v>
      </c>
      <c r="B4520" t="str">
        <f>"136406105"</f>
        <v>136406105</v>
      </c>
      <c r="C4520" t="s">
        <v>50</v>
      </c>
      <c r="D4520" t="s">
        <v>8282</v>
      </c>
      <c r="E4520" t="s">
        <v>52</v>
      </c>
      <c r="F4520" t="s">
        <v>166</v>
      </c>
      <c r="G4520" t="s">
        <v>250</v>
      </c>
      <c r="H4520" t="str">
        <f>" "</f>
        <v xml:space="preserve"> </v>
      </c>
      <c r="N4520" t="s">
        <v>146</v>
      </c>
      <c r="O4520" t="s">
        <v>147</v>
      </c>
      <c r="R4520" t="s">
        <v>57</v>
      </c>
      <c r="S4520">
        <v>4</v>
      </c>
      <c r="T4520">
        <v>683</v>
      </c>
      <c r="U4520" s="1">
        <v>40052</v>
      </c>
      <c r="V4520" t="s">
        <v>6729</v>
      </c>
      <c r="W4520" t="s">
        <v>6730</v>
      </c>
      <c r="X4520" t="s">
        <v>58</v>
      </c>
      <c r="Y4520">
        <v>21</v>
      </c>
      <c r="Z4520" t="s">
        <v>59</v>
      </c>
      <c r="AA4520" t="s">
        <v>59</v>
      </c>
      <c r="AB4520" t="s">
        <v>59</v>
      </c>
      <c r="AC4520" t="s">
        <v>59</v>
      </c>
      <c r="AD4520" t="s">
        <v>59</v>
      </c>
      <c r="AF4520" s="1">
        <v>40053</v>
      </c>
      <c r="AG4520" t="s">
        <v>125</v>
      </c>
      <c r="AH4520" t="s">
        <v>126</v>
      </c>
      <c r="AI4520" t="str">
        <f>"5010010"</f>
        <v>5010010</v>
      </c>
      <c r="AJ4520" t="s">
        <v>6779</v>
      </c>
      <c r="AK4520">
        <v>2825051288</v>
      </c>
      <c r="AL4520" t="s">
        <v>6780</v>
      </c>
      <c r="AM4520" t="s">
        <v>88</v>
      </c>
      <c r="AN4520" t="s">
        <v>6775</v>
      </c>
      <c r="AO4520" t="s">
        <v>6781</v>
      </c>
      <c r="AP4520" t="s">
        <v>6782</v>
      </c>
      <c r="AQ4520">
        <v>1</v>
      </c>
      <c r="AR4520" t="s">
        <v>6729</v>
      </c>
      <c r="AS4520" t="s">
        <v>6730</v>
      </c>
      <c r="AT4520" t="s">
        <v>58</v>
      </c>
      <c r="AU4520" t="s">
        <v>68</v>
      </c>
      <c r="AV4520" t="s">
        <v>69</v>
      </c>
      <c r="AW4520" s="1">
        <v>31475</v>
      </c>
      <c r="AX4520">
        <v>2</v>
      </c>
    </row>
    <row r="4521" spans="1:50">
      <c r="A4521">
        <v>168183</v>
      </c>
      <c r="B4521" t="str">
        <f>"028435908"</f>
        <v>028435908</v>
      </c>
      <c r="C4521" t="s">
        <v>105</v>
      </c>
      <c r="D4521" t="s">
        <v>8283</v>
      </c>
      <c r="E4521" t="s">
        <v>53</v>
      </c>
      <c r="F4521" t="s">
        <v>99</v>
      </c>
      <c r="G4521" t="s">
        <v>83</v>
      </c>
      <c r="H4521" t="str">
        <f>"Γ. ΚΑΨΩΜΕΝΟΥ 4 ΧΑΝΙΑ"</f>
        <v>Γ. ΚΑΨΩΜΕΝΟΥ 4 ΧΑΝΙΑ</v>
      </c>
      <c r="I4521">
        <v>73136</v>
      </c>
      <c r="K4521">
        <v>6973660238</v>
      </c>
      <c r="N4521" t="s">
        <v>199</v>
      </c>
      <c r="O4521" t="s">
        <v>200</v>
      </c>
      <c r="R4521" t="s">
        <v>57</v>
      </c>
      <c r="S4521">
        <v>12</v>
      </c>
      <c r="T4521">
        <v>159</v>
      </c>
      <c r="U4521" s="1">
        <v>34582</v>
      </c>
      <c r="V4521" t="s">
        <v>6729</v>
      </c>
      <c r="W4521" t="s">
        <v>6730</v>
      </c>
      <c r="X4521" t="s">
        <v>58</v>
      </c>
      <c r="Y4521">
        <v>18</v>
      </c>
      <c r="Z4521" t="s">
        <v>59</v>
      </c>
      <c r="AA4521" t="s">
        <v>59</v>
      </c>
      <c r="AB4521" t="s">
        <v>59</v>
      </c>
      <c r="AC4521" t="s">
        <v>59</v>
      </c>
      <c r="AD4521" t="s">
        <v>59</v>
      </c>
      <c r="AF4521" s="1">
        <v>34586</v>
      </c>
      <c r="AG4521" t="s">
        <v>148</v>
      </c>
      <c r="AH4521" t="s">
        <v>149</v>
      </c>
      <c r="AI4521" t="str">
        <f>"5051040"</f>
        <v>5051040</v>
      </c>
      <c r="AJ4521" t="s">
        <v>6811</v>
      </c>
      <c r="AK4521">
        <v>2821088007</v>
      </c>
      <c r="AL4521" t="s">
        <v>6812</v>
      </c>
      <c r="AM4521" t="s">
        <v>88</v>
      </c>
      <c r="AN4521" t="s">
        <v>88</v>
      </c>
      <c r="AO4521" t="s">
        <v>88</v>
      </c>
      <c r="AP4521" t="s">
        <v>88</v>
      </c>
      <c r="AQ4521">
        <v>1</v>
      </c>
      <c r="AR4521" t="s">
        <v>6729</v>
      </c>
      <c r="AS4521" t="s">
        <v>6730</v>
      </c>
      <c r="AT4521" t="s">
        <v>58</v>
      </c>
      <c r="AU4521" t="s">
        <v>68</v>
      </c>
      <c r="AV4521" t="s">
        <v>69</v>
      </c>
      <c r="AW4521" s="1">
        <v>21540</v>
      </c>
      <c r="AX4521">
        <v>2</v>
      </c>
    </row>
    <row r="4522" spans="1:50">
      <c r="A4522">
        <v>181335</v>
      </c>
      <c r="B4522" t="str">
        <f>"043111086"</f>
        <v>043111086</v>
      </c>
      <c r="C4522" t="s">
        <v>50</v>
      </c>
      <c r="D4522" t="s">
        <v>8284</v>
      </c>
      <c r="E4522" t="s">
        <v>1189</v>
      </c>
      <c r="F4522" t="s">
        <v>166</v>
      </c>
      <c r="G4522" t="s">
        <v>52</v>
      </c>
      <c r="H4522" t="str">
        <f>" "</f>
        <v xml:space="preserve"> </v>
      </c>
      <c r="N4522" t="s">
        <v>288</v>
      </c>
      <c r="O4522" t="s">
        <v>289</v>
      </c>
      <c r="R4522" t="s">
        <v>57</v>
      </c>
      <c r="S4522">
        <v>13</v>
      </c>
      <c r="T4522">
        <v>164</v>
      </c>
      <c r="U4522" s="1">
        <v>36040</v>
      </c>
      <c r="V4522" t="s">
        <v>6729</v>
      </c>
      <c r="W4522" t="s">
        <v>6730</v>
      </c>
      <c r="X4522" t="s">
        <v>58</v>
      </c>
      <c r="Y4522">
        <v>18</v>
      </c>
      <c r="Z4522" t="s">
        <v>59</v>
      </c>
      <c r="AA4522" t="s">
        <v>59</v>
      </c>
      <c r="AB4522" t="s">
        <v>59</v>
      </c>
      <c r="AC4522" t="s">
        <v>59</v>
      </c>
      <c r="AD4522" t="s">
        <v>59</v>
      </c>
      <c r="AF4522" s="1">
        <v>36045</v>
      </c>
      <c r="AG4522" t="s">
        <v>125</v>
      </c>
      <c r="AH4522" t="s">
        <v>126</v>
      </c>
      <c r="AI4522" t="str">
        <f>"5001040"</f>
        <v>5001040</v>
      </c>
      <c r="AJ4522" t="s">
        <v>7126</v>
      </c>
      <c r="AK4522">
        <v>2821088010</v>
      </c>
      <c r="AM4522" t="s">
        <v>88</v>
      </c>
      <c r="AN4522" t="s">
        <v>88</v>
      </c>
      <c r="AO4522" t="s">
        <v>88</v>
      </c>
      <c r="AP4522" t="s">
        <v>88</v>
      </c>
      <c r="AQ4522">
        <v>1</v>
      </c>
      <c r="AR4522" t="s">
        <v>6729</v>
      </c>
      <c r="AS4522" t="s">
        <v>6730</v>
      </c>
      <c r="AT4522" t="s">
        <v>58</v>
      </c>
      <c r="AU4522" t="s">
        <v>68</v>
      </c>
      <c r="AV4522" t="s">
        <v>69</v>
      </c>
      <c r="AW4522" s="1">
        <v>23159</v>
      </c>
      <c r="AX4522">
        <v>2</v>
      </c>
    </row>
    <row r="4523" spans="1:50">
      <c r="A4523">
        <v>219665</v>
      </c>
      <c r="B4523" t="str">
        <f>"067963714"</f>
        <v>067963714</v>
      </c>
      <c r="C4523" t="s">
        <v>50</v>
      </c>
      <c r="D4523" t="s">
        <v>8285</v>
      </c>
      <c r="E4523" t="s">
        <v>52</v>
      </c>
      <c r="F4523" t="s">
        <v>309</v>
      </c>
      <c r="G4523" t="s">
        <v>5556</v>
      </c>
      <c r="H4523" t="str">
        <f>" "</f>
        <v xml:space="preserve"> </v>
      </c>
      <c r="J4523">
        <v>2821049837</v>
      </c>
      <c r="K4523">
        <v>6974391239</v>
      </c>
      <c r="N4523" t="s">
        <v>299</v>
      </c>
      <c r="O4523" t="s">
        <v>300</v>
      </c>
      <c r="R4523" t="s">
        <v>57</v>
      </c>
      <c r="S4523">
        <v>7</v>
      </c>
      <c r="T4523">
        <v>599</v>
      </c>
      <c r="U4523" s="1">
        <v>39310</v>
      </c>
      <c r="V4523" t="s">
        <v>6729</v>
      </c>
      <c r="W4523" t="s">
        <v>6730</v>
      </c>
      <c r="X4523" t="s">
        <v>58</v>
      </c>
      <c r="Y4523">
        <v>21</v>
      </c>
      <c r="Z4523" t="s">
        <v>59</v>
      </c>
      <c r="AA4523" t="s">
        <v>59</v>
      </c>
      <c r="AB4523" t="s">
        <v>59</v>
      </c>
      <c r="AC4523" t="s">
        <v>59</v>
      </c>
      <c r="AD4523" t="s">
        <v>59</v>
      </c>
      <c r="AF4523" s="1">
        <v>39328</v>
      </c>
      <c r="AG4523" t="s">
        <v>148</v>
      </c>
      <c r="AH4523" t="s">
        <v>149</v>
      </c>
      <c r="AI4523" t="str">
        <f>"5051030"</f>
        <v>5051030</v>
      </c>
      <c r="AJ4523" t="s">
        <v>6760</v>
      </c>
      <c r="AK4523">
        <v>2821027533</v>
      </c>
      <c r="AL4523" t="s">
        <v>6761</v>
      </c>
      <c r="AM4523" t="s">
        <v>88</v>
      </c>
      <c r="AN4523" t="s">
        <v>88</v>
      </c>
      <c r="AO4523" t="s">
        <v>88</v>
      </c>
      <c r="AP4523" t="s">
        <v>88</v>
      </c>
      <c r="AQ4523">
        <v>1</v>
      </c>
      <c r="AR4523" t="s">
        <v>6729</v>
      </c>
      <c r="AS4523" t="s">
        <v>6730</v>
      </c>
      <c r="AT4523" t="s">
        <v>58</v>
      </c>
      <c r="AU4523" t="s">
        <v>68</v>
      </c>
      <c r="AV4523" t="s">
        <v>69</v>
      </c>
      <c r="AW4523" s="1">
        <v>27956</v>
      </c>
      <c r="AX4523">
        <v>2</v>
      </c>
    </row>
    <row r="4524" spans="1:50">
      <c r="A4524">
        <v>198912</v>
      </c>
      <c r="B4524" t="str">
        <f>"124590091"</f>
        <v>124590091</v>
      </c>
      <c r="C4524" t="s">
        <v>50</v>
      </c>
      <c r="D4524" t="s">
        <v>8286</v>
      </c>
      <c r="E4524" t="s">
        <v>8287</v>
      </c>
      <c r="F4524" t="s">
        <v>450</v>
      </c>
      <c r="G4524" t="s">
        <v>237</v>
      </c>
      <c r="H4524" t="str">
        <f>"ΚΑΜΠΑΝΙ Τ.Θ.40 ΑΚΡΩΤΗΡΙ"</f>
        <v>ΚΑΜΠΑΝΙ Τ.Θ.40 ΑΚΡΩΤΗΡΙ</v>
      </c>
      <c r="I4524">
        <v>73100</v>
      </c>
      <c r="J4524">
        <v>2821042554</v>
      </c>
      <c r="K4524">
        <v>6976508167</v>
      </c>
      <c r="M4524" t="s">
        <v>8288</v>
      </c>
      <c r="N4524" t="s">
        <v>683</v>
      </c>
      <c r="O4524" t="s">
        <v>684</v>
      </c>
      <c r="R4524" t="s">
        <v>57</v>
      </c>
      <c r="S4524">
        <v>7</v>
      </c>
      <c r="T4524">
        <v>206</v>
      </c>
      <c r="U4524" s="1">
        <v>37866</v>
      </c>
      <c r="V4524" t="s">
        <v>6729</v>
      </c>
      <c r="W4524" t="s">
        <v>6730</v>
      </c>
      <c r="X4524" t="s">
        <v>58</v>
      </c>
      <c r="Y4524">
        <v>20</v>
      </c>
      <c r="Z4524" t="s">
        <v>59</v>
      </c>
      <c r="AA4524" t="s">
        <v>59</v>
      </c>
      <c r="AB4524" t="s">
        <v>59</v>
      </c>
      <c r="AC4524" t="s">
        <v>59</v>
      </c>
      <c r="AD4524" t="s">
        <v>59</v>
      </c>
      <c r="AF4524" s="1">
        <v>37866</v>
      </c>
      <c r="AG4524" t="s">
        <v>125</v>
      </c>
      <c r="AH4524" t="s">
        <v>126</v>
      </c>
      <c r="AI4524" t="str">
        <f>"5012010"</f>
        <v>5012010</v>
      </c>
      <c r="AJ4524" t="s">
        <v>6794</v>
      </c>
      <c r="AK4524">
        <v>2821033195</v>
      </c>
      <c r="AL4524" t="s">
        <v>6795</v>
      </c>
      <c r="AM4524" t="s">
        <v>88</v>
      </c>
      <c r="AN4524" t="s">
        <v>88</v>
      </c>
      <c r="AO4524" t="s">
        <v>6785</v>
      </c>
      <c r="AP4524" t="s">
        <v>6786</v>
      </c>
      <c r="AQ4524">
        <v>1</v>
      </c>
      <c r="AR4524" t="s">
        <v>6729</v>
      </c>
      <c r="AS4524" t="s">
        <v>6730</v>
      </c>
      <c r="AT4524" t="s">
        <v>58</v>
      </c>
      <c r="AU4524" t="s">
        <v>68</v>
      </c>
      <c r="AV4524" t="s">
        <v>69</v>
      </c>
      <c r="AW4524" s="1">
        <v>28562</v>
      </c>
      <c r="AX4524">
        <v>2</v>
      </c>
    </row>
    <row r="4525" spans="1:50">
      <c r="A4525">
        <v>209244</v>
      </c>
      <c r="B4525" t="str">
        <f>"103953213"</f>
        <v>103953213</v>
      </c>
      <c r="C4525" t="s">
        <v>105</v>
      </c>
      <c r="D4525" t="s">
        <v>8289</v>
      </c>
      <c r="E4525" t="s">
        <v>53</v>
      </c>
      <c r="F4525" t="s">
        <v>95</v>
      </c>
      <c r="G4525" t="s">
        <v>52</v>
      </c>
      <c r="H4525" t="str">
        <f>"ΠΑΛΑΙΟΧΩΡΑ ΠΕΛΕΚΑΝΟΣ"</f>
        <v>ΠΑΛΑΙΟΧΩΡΑ ΠΕΛΕΚΑΝΟΣ</v>
      </c>
      <c r="I4525">
        <v>73001</v>
      </c>
      <c r="J4525">
        <v>2396023220</v>
      </c>
      <c r="K4525">
        <v>6973009154</v>
      </c>
      <c r="N4525" t="s">
        <v>204</v>
      </c>
      <c r="O4525" t="s">
        <v>205</v>
      </c>
      <c r="R4525" t="s">
        <v>57</v>
      </c>
      <c r="S4525">
        <v>6</v>
      </c>
      <c r="T4525">
        <v>218</v>
      </c>
      <c r="U4525" s="1">
        <v>38596</v>
      </c>
      <c r="V4525" t="s">
        <v>6729</v>
      </c>
      <c r="W4525" t="s">
        <v>6730</v>
      </c>
      <c r="X4525" t="s">
        <v>58</v>
      </c>
      <c r="Y4525">
        <v>20</v>
      </c>
      <c r="Z4525" t="s">
        <v>59</v>
      </c>
      <c r="AA4525" t="s">
        <v>59</v>
      </c>
      <c r="AB4525" t="s">
        <v>59</v>
      </c>
      <c r="AC4525" t="s">
        <v>59</v>
      </c>
      <c r="AD4525" t="s">
        <v>59</v>
      </c>
      <c r="AF4525" s="1">
        <v>38603</v>
      </c>
      <c r="AG4525" t="s">
        <v>148</v>
      </c>
      <c r="AH4525" t="s">
        <v>149</v>
      </c>
      <c r="AI4525" t="str">
        <f>"5056010"</f>
        <v>5056010</v>
      </c>
      <c r="AJ4525" t="s">
        <v>6762</v>
      </c>
      <c r="AK4525">
        <v>2824031210</v>
      </c>
      <c r="AL4525" t="s">
        <v>6763</v>
      </c>
      <c r="AM4525" t="s">
        <v>88</v>
      </c>
      <c r="AN4525" t="s">
        <v>6764</v>
      </c>
      <c r="AO4525" t="s">
        <v>6765</v>
      </c>
      <c r="AP4525" t="s">
        <v>6765</v>
      </c>
      <c r="AQ4525">
        <v>1</v>
      </c>
      <c r="AR4525" t="s">
        <v>6729</v>
      </c>
      <c r="AS4525" t="s">
        <v>6730</v>
      </c>
      <c r="AT4525" t="s">
        <v>58</v>
      </c>
      <c r="AU4525" t="s">
        <v>68</v>
      </c>
      <c r="AV4525" t="s">
        <v>69</v>
      </c>
      <c r="AW4525" s="1">
        <v>29297</v>
      </c>
      <c r="AX4525">
        <v>2</v>
      </c>
    </row>
    <row r="4526" spans="1:50">
      <c r="A4526">
        <v>149769</v>
      </c>
      <c r="B4526" t="str">
        <f>"032302684"</f>
        <v>032302684</v>
      </c>
      <c r="C4526" t="s">
        <v>105</v>
      </c>
      <c r="D4526" t="s">
        <v>8289</v>
      </c>
      <c r="E4526" t="s">
        <v>92</v>
      </c>
      <c r="F4526" t="s">
        <v>377</v>
      </c>
      <c r="G4526" t="s">
        <v>8290</v>
      </c>
      <c r="H4526" t="str">
        <f>"ΥΔΡΑΜΙΑΣ 2 ΧΑΝΙΑ"</f>
        <v>ΥΔΡΑΜΙΑΣ 2 ΧΑΝΙΑ</v>
      </c>
      <c r="I4526">
        <v>73133</v>
      </c>
      <c r="J4526">
        <v>2821042083</v>
      </c>
      <c r="M4526" t="s">
        <v>8291</v>
      </c>
      <c r="N4526" t="s">
        <v>146</v>
      </c>
      <c r="O4526" t="s">
        <v>147</v>
      </c>
      <c r="R4526" t="s">
        <v>57</v>
      </c>
      <c r="S4526">
        <v>15</v>
      </c>
      <c r="T4526">
        <v>228</v>
      </c>
      <c r="U4526" s="1">
        <v>31684</v>
      </c>
      <c r="V4526" t="s">
        <v>6729</v>
      </c>
      <c r="W4526" t="s">
        <v>6730</v>
      </c>
      <c r="X4526" t="s">
        <v>58</v>
      </c>
      <c r="Y4526">
        <v>18</v>
      </c>
      <c r="Z4526" t="s">
        <v>59</v>
      </c>
      <c r="AA4526" t="s">
        <v>59</v>
      </c>
      <c r="AB4526" t="s">
        <v>59</v>
      </c>
      <c r="AC4526" t="s">
        <v>59</v>
      </c>
      <c r="AD4526" t="s">
        <v>59</v>
      </c>
      <c r="AF4526" s="1">
        <v>31692</v>
      </c>
      <c r="AG4526" t="s">
        <v>148</v>
      </c>
      <c r="AH4526" t="s">
        <v>149</v>
      </c>
      <c r="AI4526" t="str">
        <f>"5051010"</f>
        <v>5051010</v>
      </c>
      <c r="AJ4526" t="s">
        <v>6896</v>
      </c>
      <c r="AK4526">
        <v>2821028714</v>
      </c>
      <c r="AL4526" t="s">
        <v>6897</v>
      </c>
      <c r="AM4526" t="s">
        <v>88</v>
      </c>
      <c r="AN4526" t="s">
        <v>88</v>
      </c>
      <c r="AO4526" t="s">
        <v>88</v>
      </c>
      <c r="AP4526" t="s">
        <v>88</v>
      </c>
      <c r="AQ4526">
        <v>1</v>
      </c>
      <c r="AR4526" t="s">
        <v>6729</v>
      </c>
      <c r="AS4526" t="s">
        <v>6730</v>
      </c>
      <c r="AT4526" t="s">
        <v>58</v>
      </c>
      <c r="AU4526" t="s">
        <v>68</v>
      </c>
      <c r="AV4526" t="s">
        <v>69</v>
      </c>
      <c r="AW4526" s="1">
        <v>22390</v>
      </c>
      <c r="AX4526">
        <v>2</v>
      </c>
    </row>
    <row r="4527" spans="1:50">
      <c r="A4527">
        <v>210164</v>
      </c>
      <c r="B4527" t="str">
        <f>"035495907"</f>
        <v>035495907</v>
      </c>
      <c r="C4527" t="s">
        <v>105</v>
      </c>
      <c r="D4527" t="s">
        <v>8292</v>
      </c>
      <c r="E4527" t="s">
        <v>3954</v>
      </c>
      <c r="F4527" t="s">
        <v>166</v>
      </c>
      <c r="G4527" t="s">
        <v>1644</v>
      </c>
      <c r="H4527" t="str">
        <f>"ΕΜΜ. ΛΥΚΟΒΑΡΔΗ 7 ΧΑΝΙΑ"</f>
        <v>ΕΜΜ. ΛΥΚΟΒΑΡΔΗ 7 ΧΑΝΙΑ</v>
      </c>
      <c r="I4527">
        <v>73134</v>
      </c>
      <c r="J4527">
        <v>2821075480</v>
      </c>
      <c r="K4527">
        <v>6973799412</v>
      </c>
      <c r="M4527" t="s">
        <v>8293</v>
      </c>
      <c r="N4527" t="s">
        <v>232</v>
      </c>
      <c r="O4527" t="s">
        <v>233</v>
      </c>
      <c r="R4527" t="s">
        <v>57</v>
      </c>
      <c r="S4527">
        <v>6</v>
      </c>
      <c r="T4527" t="s">
        <v>5247</v>
      </c>
      <c r="U4527" s="1">
        <v>38608</v>
      </c>
      <c r="V4527" t="s">
        <v>6729</v>
      </c>
      <c r="W4527" t="s">
        <v>6730</v>
      </c>
      <c r="X4527" t="s">
        <v>58</v>
      </c>
      <c r="Y4527">
        <v>20</v>
      </c>
      <c r="Z4527" t="s">
        <v>59</v>
      </c>
      <c r="AA4527" t="s">
        <v>59</v>
      </c>
      <c r="AB4527" t="s">
        <v>59</v>
      </c>
      <c r="AC4527" t="s">
        <v>59</v>
      </c>
      <c r="AD4527" t="s">
        <v>59</v>
      </c>
      <c r="AF4527" s="1">
        <v>38609</v>
      </c>
      <c r="AG4527" t="s">
        <v>125</v>
      </c>
      <c r="AH4527" t="s">
        <v>126</v>
      </c>
      <c r="AI4527" t="str">
        <f>"5002010"</f>
        <v>5002010</v>
      </c>
      <c r="AJ4527" t="s">
        <v>6773</v>
      </c>
      <c r="AK4527">
        <v>2825022249</v>
      </c>
      <c r="AL4527" t="s">
        <v>6774</v>
      </c>
      <c r="AM4527" t="s">
        <v>88</v>
      </c>
      <c r="AN4527" t="s">
        <v>6775</v>
      </c>
      <c r="AO4527" t="s">
        <v>6776</v>
      </c>
      <c r="AP4527" t="s">
        <v>6776</v>
      </c>
      <c r="AQ4527">
        <v>1</v>
      </c>
      <c r="AR4527" t="s">
        <v>6729</v>
      </c>
      <c r="AS4527" t="s">
        <v>6730</v>
      </c>
      <c r="AT4527" t="s">
        <v>58</v>
      </c>
      <c r="AU4527" t="s">
        <v>68</v>
      </c>
      <c r="AV4527" t="s">
        <v>69</v>
      </c>
      <c r="AW4527" s="1">
        <v>24762</v>
      </c>
      <c r="AX4527">
        <v>2</v>
      </c>
    </row>
    <row r="4528" spans="1:50">
      <c r="A4528">
        <v>195849</v>
      </c>
      <c r="B4528" t="str">
        <f>"074320864"</f>
        <v>074320864</v>
      </c>
      <c r="C4528" t="s">
        <v>105</v>
      </c>
      <c r="D4528" t="s">
        <v>8294</v>
      </c>
      <c r="E4528" t="s">
        <v>496</v>
      </c>
      <c r="F4528" t="s">
        <v>95</v>
      </c>
      <c r="G4528" t="s">
        <v>787</v>
      </c>
      <c r="H4528" t="str">
        <f>" "</f>
        <v xml:space="preserve"> </v>
      </c>
      <c r="J4528">
        <v>2821045994</v>
      </c>
      <c r="K4528">
        <v>6977903760</v>
      </c>
      <c r="M4528" t="s">
        <v>8295</v>
      </c>
      <c r="N4528" t="s">
        <v>257</v>
      </c>
      <c r="O4528" t="s">
        <v>258</v>
      </c>
      <c r="P4528" t="s">
        <v>299</v>
      </c>
      <c r="Q4528" t="s">
        <v>300</v>
      </c>
      <c r="R4528" t="s">
        <v>57</v>
      </c>
      <c r="S4528">
        <v>12</v>
      </c>
      <c r="T4528">
        <v>194</v>
      </c>
      <c r="U4528" s="1">
        <v>37497</v>
      </c>
      <c r="V4528" t="s">
        <v>6729</v>
      </c>
      <c r="W4528" t="s">
        <v>6730</v>
      </c>
      <c r="X4528" t="s">
        <v>58</v>
      </c>
      <c r="Y4528">
        <v>20</v>
      </c>
      <c r="Z4528" t="s">
        <v>59</v>
      </c>
      <c r="AA4528" t="s">
        <v>59</v>
      </c>
      <c r="AB4528" t="s">
        <v>59</v>
      </c>
      <c r="AC4528" t="s">
        <v>59</v>
      </c>
      <c r="AD4528" t="s">
        <v>59</v>
      </c>
      <c r="AF4528" s="1">
        <v>37501</v>
      </c>
      <c r="AG4528" t="s">
        <v>148</v>
      </c>
      <c r="AH4528" t="s">
        <v>149</v>
      </c>
      <c r="AI4528" t="str">
        <f>"5090080"</f>
        <v>5090080</v>
      </c>
      <c r="AJ4528" t="s">
        <v>6906</v>
      </c>
      <c r="AK4528">
        <v>2821096638</v>
      </c>
      <c r="AL4528" t="s">
        <v>6907</v>
      </c>
      <c r="AM4528" t="s">
        <v>88</v>
      </c>
      <c r="AN4528" t="s">
        <v>88</v>
      </c>
      <c r="AO4528" t="s">
        <v>88</v>
      </c>
      <c r="AP4528" t="s">
        <v>88</v>
      </c>
      <c r="AQ4528">
        <v>1</v>
      </c>
      <c r="AR4528" t="s">
        <v>6729</v>
      </c>
      <c r="AS4528" t="s">
        <v>6730</v>
      </c>
      <c r="AT4528" t="s">
        <v>58</v>
      </c>
      <c r="AU4528" t="s">
        <v>68</v>
      </c>
      <c r="AV4528" t="s">
        <v>69</v>
      </c>
      <c r="AW4528" s="1">
        <v>24534</v>
      </c>
      <c r="AX4528">
        <v>2</v>
      </c>
    </row>
    <row r="4529" spans="1:50">
      <c r="A4529">
        <v>196441</v>
      </c>
      <c r="B4529" t="str">
        <f>"127745941"</f>
        <v>127745941</v>
      </c>
      <c r="C4529" t="s">
        <v>50</v>
      </c>
      <c r="D4529" t="s">
        <v>8296</v>
      </c>
      <c r="E4529" t="s">
        <v>8297</v>
      </c>
      <c r="F4529" t="s">
        <v>782</v>
      </c>
      <c r="G4529" t="s">
        <v>83</v>
      </c>
      <c r="H4529" t="str">
        <f>"ΣΗΦΗ ΜΑΥΡΟΓΙΑΝΝΑΚΗ 14  ΧΑΝΙΑ"</f>
        <v>ΣΗΦΗ ΜΑΥΡΟΓΙΑΝΝΑΚΗ 14  ΧΑΝΙΑ</v>
      </c>
      <c r="I4529">
        <v>73100</v>
      </c>
      <c r="K4529">
        <v>6932181079</v>
      </c>
      <c r="M4529" t="s">
        <v>8298</v>
      </c>
      <c r="N4529" t="s">
        <v>337</v>
      </c>
      <c r="O4529" t="s">
        <v>338</v>
      </c>
      <c r="R4529" t="s">
        <v>57</v>
      </c>
      <c r="S4529">
        <v>7</v>
      </c>
      <c r="T4529">
        <v>46</v>
      </c>
      <c r="U4529" s="1">
        <v>37684</v>
      </c>
      <c r="V4529" t="s">
        <v>6729</v>
      </c>
      <c r="W4529" t="s">
        <v>6730</v>
      </c>
      <c r="X4529" t="s">
        <v>58</v>
      </c>
      <c r="Y4529">
        <v>20</v>
      </c>
      <c r="Z4529" t="s">
        <v>59</v>
      </c>
      <c r="AA4529" t="s">
        <v>59</v>
      </c>
      <c r="AB4529" t="s">
        <v>59</v>
      </c>
      <c r="AC4529" t="s">
        <v>59</v>
      </c>
      <c r="AD4529" t="s">
        <v>59</v>
      </c>
      <c r="AF4529" s="1">
        <v>37699</v>
      </c>
      <c r="AG4529" t="s">
        <v>125</v>
      </c>
      <c r="AH4529" t="s">
        <v>294</v>
      </c>
      <c r="AI4529" t="str">
        <f>"5012017"</f>
        <v>5012017</v>
      </c>
      <c r="AJ4529" t="s">
        <v>6859</v>
      </c>
      <c r="AK4529">
        <v>2821088065</v>
      </c>
      <c r="AL4529" t="s">
        <v>6860</v>
      </c>
      <c r="AM4529" t="s">
        <v>88</v>
      </c>
      <c r="AN4529" t="s">
        <v>88</v>
      </c>
      <c r="AO4529" t="s">
        <v>88</v>
      </c>
      <c r="AP4529" t="s">
        <v>88</v>
      </c>
      <c r="AQ4529">
        <v>1</v>
      </c>
      <c r="AR4529" t="s">
        <v>6729</v>
      </c>
      <c r="AS4529" t="s">
        <v>6730</v>
      </c>
      <c r="AT4529" t="s">
        <v>58</v>
      </c>
      <c r="AU4529" t="s">
        <v>68</v>
      </c>
      <c r="AV4529" t="s">
        <v>69</v>
      </c>
      <c r="AW4529" s="1">
        <v>27921</v>
      </c>
      <c r="AX4529">
        <v>2</v>
      </c>
    </row>
    <row r="4530" spans="1:50">
      <c r="A4530">
        <v>603595</v>
      </c>
      <c r="B4530" t="str">
        <f>"045309072"</f>
        <v>045309072</v>
      </c>
      <c r="C4530" t="s">
        <v>50</v>
      </c>
      <c r="D4530" t="s">
        <v>8299</v>
      </c>
      <c r="E4530" t="s">
        <v>237</v>
      </c>
      <c r="F4530" t="s">
        <v>95</v>
      </c>
      <c r="G4530" t="s">
        <v>83</v>
      </c>
      <c r="H4530" t="str">
        <f>" "</f>
        <v xml:space="preserve"> </v>
      </c>
      <c r="J4530">
        <v>2821069418</v>
      </c>
      <c r="K4530">
        <v>6947638445</v>
      </c>
      <c r="M4530" t="s">
        <v>8300</v>
      </c>
      <c r="N4530" t="s">
        <v>55</v>
      </c>
      <c r="O4530" t="s">
        <v>56</v>
      </c>
      <c r="R4530" t="s">
        <v>57</v>
      </c>
      <c r="S4530">
        <v>9</v>
      </c>
      <c r="T4530">
        <v>163</v>
      </c>
      <c r="U4530" s="1">
        <v>37813</v>
      </c>
      <c r="V4530" t="s">
        <v>6729</v>
      </c>
      <c r="W4530" t="s">
        <v>6730</v>
      </c>
      <c r="X4530" t="s">
        <v>58</v>
      </c>
      <c r="Y4530">
        <v>22</v>
      </c>
      <c r="Z4530" t="s">
        <v>59</v>
      </c>
      <c r="AA4530" t="s">
        <v>59</v>
      </c>
      <c r="AB4530" t="s">
        <v>59</v>
      </c>
      <c r="AC4530" t="s">
        <v>59</v>
      </c>
      <c r="AD4530" t="s">
        <v>59</v>
      </c>
      <c r="AF4530" s="1">
        <v>37855</v>
      </c>
      <c r="AG4530" t="s">
        <v>345</v>
      </c>
      <c r="AH4530" t="s">
        <v>346</v>
      </c>
      <c r="AI4530" t="str">
        <f>"5041001"</f>
        <v>5041001</v>
      </c>
      <c r="AJ4530" t="s">
        <v>6840</v>
      </c>
      <c r="AK4530">
        <v>2821052100</v>
      </c>
      <c r="AL4530" t="s">
        <v>6841</v>
      </c>
      <c r="AM4530" t="s">
        <v>88</v>
      </c>
      <c r="AN4530" t="s">
        <v>88</v>
      </c>
      <c r="AO4530" t="s">
        <v>88</v>
      </c>
      <c r="AP4530" t="s">
        <v>88</v>
      </c>
      <c r="AQ4530">
        <v>1</v>
      </c>
      <c r="AR4530" t="s">
        <v>6729</v>
      </c>
      <c r="AS4530" t="s">
        <v>6730</v>
      </c>
      <c r="AT4530" t="s">
        <v>58</v>
      </c>
      <c r="AU4530" t="s">
        <v>68</v>
      </c>
      <c r="AV4530" t="s">
        <v>69</v>
      </c>
      <c r="AW4530" s="1">
        <v>24247</v>
      </c>
      <c r="AX4530">
        <v>2</v>
      </c>
    </row>
    <row r="4531" spans="1:50">
      <c r="A4531">
        <v>175708</v>
      </c>
      <c r="B4531" t="str">
        <f>"036866653"</f>
        <v>036866653</v>
      </c>
      <c r="C4531" t="s">
        <v>50</v>
      </c>
      <c r="D4531" t="s">
        <v>8301</v>
      </c>
      <c r="E4531" t="s">
        <v>964</v>
      </c>
      <c r="F4531" t="s">
        <v>581</v>
      </c>
      <c r="G4531" t="s">
        <v>6454</v>
      </c>
      <c r="H4531" t="str">
        <f>" ΓΑΒΑΛΟΧΩΡΙ ΑΠΟΚΟΡΩΝΟΥ"</f>
        <v xml:space="preserve"> ΓΑΒΑΛΟΧΩΡΙ ΑΠΟΚΟΡΩΝΟΥ</v>
      </c>
      <c r="I4531">
        <v>73008</v>
      </c>
      <c r="J4531">
        <v>2825023081</v>
      </c>
      <c r="K4531">
        <v>6972565715</v>
      </c>
      <c r="N4531" t="s">
        <v>146</v>
      </c>
      <c r="O4531" t="s">
        <v>147</v>
      </c>
      <c r="R4531" t="s">
        <v>57</v>
      </c>
      <c r="S4531">
        <v>12</v>
      </c>
      <c r="T4531">
        <v>180</v>
      </c>
      <c r="U4531" s="1">
        <v>35674</v>
      </c>
      <c r="V4531" t="s">
        <v>6729</v>
      </c>
      <c r="W4531" t="s">
        <v>6730</v>
      </c>
      <c r="X4531" t="s">
        <v>58</v>
      </c>
      <c r="Y4531">
        <v>18</v>
      </c>
      <c r="Z4531" t="s">
        <v>59</v>
      </c>
      <c r="AA4531" t="s">
        <v>59</v>
      </c>
      <c r="AB4531" t="s">
        <v>59</v>
      </c>
      <c r="AC4531" t="s">
        <v>59</v>
      </c>
      <c r="AD4531" t="s">
        <v>59</v>
      </c>
      <c r="AF4531" s="1">
        <v>35682</v>
      </c>
      <c r="AG4531" t="s">
        <v>148</v>
      </c>
      <c r="AH4531" t="s">
        <v>149</v>
      </c>
      <c r="AI4531" t="str">
        <f>"5052010"</f>
        <v>5052010</v>
      </c>
      <c r="AJ4531" t="s">
        <v>6834</v>
      </c>
      <c r="AK4531">
        <v>2825022200</v>
      </c>
      <c r="AL4531" t="s">
        <v>6835</v>
      </c>
      <c r="AM4531" t="s">
        <v>88</v>
      </c>
      <c r="AN4531" t="s">
        <v>6775</v>
      </c>
      <c r="AO4531" t="s">
        <v>6776</v>
      </c>
      <c r="AP4531" t="s">
        <v>6776</v>
      </c>
      <c r="AQ4531">
        <v>1</v>
      </c>
      <c r="AR4531" t="s">
        <v>6729</v>
      </c>
      <c r="AS4531" t="s">
        <v>6730</v>
      </c>
      <c r="AT4531" t="s">
        <v>58</v>
      </c>
      <c r="AU4531" t="s">
        <v>68</v>
      </c>
      <c r="AV4531" t="s">
        <v>69</v>
      </c>
      <c r="AW4531" s="1">
        <v>24403</v>
      </c>
      <c r="AX4531">
        <v>2</v>
      </c>
    </row>
    <row r="4532" spans="1:50">
      <c r="A4532">
        <v>703447</v>
      </c>
      <c r="B4532" t="str">
        <f>"048164185"</f>
        <v>048164185</v>
      </c>
      <c r="C4532" t="s">
        <v>50</v>
      </c>
      <c r="D4532" t="s">
        <v>8302</v>
      </c>
      <c r="E4532" t="s">
        <v>83</v>
      </c>
      <c r="F4532" t="s">
        <v>99</v>
      </c>
      <c r="G4532" t="s">
        <v>250</v>
      </c>
      <c r="H4532" t="str">
        <f>"Χ. ΠΟΛΟΓΙΩΡΓΗ 27 ΑΗ ΓΙΑΝΝΗΣ"</f>
        <v>Χ. ΠΟΛΟΓΙΩΡΓΗ 27 ΑΗ ΓΙΑΝΝΗΣ</v>
      </c>
      <c r="I4532">
        <v>73100</v>
      </c>
      <c r="K4532">
        <v>6942264798</v>
      </c>
      <c r="N4532" t="s">
        <v>683</v>
      </c>
      <c r="O4532" t="s">
        <v>684</v>
      </c>
      <c r="R4532" t="s">
        <v>57</v>
      </c>
      <c r="S4532">
        <v>6</v>
      </c>
      <c r="T4532" t="s">
        <v>938</v>
      </c>
      <c r="U4532" s="1">
        <v>40420</v>
      </c>
      <c r="V4532" t="s">
        <v>6729</v>
      </c>
      <c r="W4532" t="s">
        <v>6730</v>
      </c>
      <c r="X4532" t="s">
        <v>58</v>
      </c>
      <c r="Y4532">
        <v>20</v>
      </c>
      <c r="Z4532" t="s">
        <v>59</v>
      </c>
      <c r="AA4532" t="s">
        <v>59</v>
      </c>
      <c r="AB4532" t="s">
        <v>59</v>
      </c>
      <c r="AC4532" t="s">
        <v>59</v>
      </c>
      <c r="AD4532" t="s">
        <v>59</v>
      </c>
      <c r="AF4532" s="1">
        <v>40422</v>
      </c>
      <c r="AG4532" t="s">
        <v>125</v>
      </c>
      <c r="AH4532" t="s">
        <v>126</v>
      </c>
      <c r="AI4532" t="str">
        <f>"5001050"</f>
        <v>5001050</v>
      </c>
      <c r="AJ4532" t="s">
        <v>6917</v>
      </c>
      <c r="AK4532">
        <v>2821088012</v>
      </c>
      <c r="AL4532" t="s">
        <v>6918</v>
      </c>
      <c r="AM4532" t="s">
        <v>88</v>
      </c>
      <c r="AN4532" t="s">
        <v>88</v>
      </c>
      <c r="AO4532" t="s">
        <v>88</v>
      </c>
      <c r="AP4532" t="s">
        <v>88</v>
      </c>
      <c r="AQ4532">
        <v>1</v>
      </c>
      <c r="AR4532" t="s">
        <v>6729</v>
      </c>
      <c r="AS4532" t="s">
        <v>6730</v>
      </c>
      <c r="AT4532" t="s">
        <v>58</v>
      </c>
      <c r="AU4532" t="s">
        <v>68</v>
      </c>
      <c r="AV4532" t="s">
        <v>132</v>
      </c>
      <c r="AW4532" s="1">
        <v>26774</v>
      </c>
      <c r="AX4532">
        <v>2</v>
      </c>
    </row>
    <row r="4533" spans="1:50">
      <c r="B4533" t="str">
        <f>"101552028"</f>
        <v>101552028</v>
      </c>
      <c r="C4533" t="s">
        <v>50</v>
      </c>
      <c r="D4533" t="s">
        <v>3744</v>
      </c>
      <c r="E4533" t="s">
        <v>2264</v>
      </c>
      <c r="F4533" t="s">
        <v>166</v>
      </c>
      <c r="G4533" t="s">
        <v>155</v>
      </c>
      <c r="H4533" t="str">
        <f>"Κ.ΜΑΝΟΥ 66Α ΧΑΝΙΑ"</f>
        <v>Κ.ΜΑΝΟΥ 66Α ΧΑΝΙΑ</v>
      </c>
      <c r="I4533">
        <v>73100</v>
      </c>
      <c r="J4533">
        <v>2821057850</v>
      </c>
      <c r="K4533">
        <v>6978117663</v>
      </c>
      <c r="M4533" t="s">
        <v>8303</v>
      </c>
      <c r="N4533" t="s">
        <v>146</v>
      </c>
      <c r="O4533" t="s">
        <v>147</v>
      </c>
      <c r="R4533" t="s">
        <v>159</v>
      </c>
      <c r="S4533">
        <v>4</v>
      </c>
      <c r="T4533" t="s">
        <v>160</v>
      </c>
      <c r="U4533" s="1">
        <v>43364</v>
      </c>
      <c r="V4533" t="s">
        <v>6729</v>
      </c>
      <c r="W4533" t="s">
        <v>6730</v>
      </c>
      <c r="X4533" t="s">
        <v>58</v>
      </c>
      <c r="Y4533">
        <v>21</v>
      </c>
      <c r="Z4533" t="s">
        <v>59</v>
      </c>
      <c r="AA4533" t="s">
        <v>59</v>
      </c>
      <c r="AB4533" t="s">
        <v>59</v>
      </c>
      <c r="AC4533" t="s">
        <v>59</v>
      </c>
      <c r="AD4533" t="s">
        <v>59</v>
      </c>
      <c r="AF4533" s="1">
        <v>43367</v>
      </c>
      <c r="AG4533" t="s">
        <v>148</v>
      </c>
      <c r="AH4533" t="s">
        <v>149</v>
      </c>
      <c r="AI4533" t="str">
        <f>"5055010"</f>
        <v>5055010</v>
      </c>
      <c r="AJ4533" t="s">
        <v>6868</v>
      </c>
      <c r="AK4533">
        <v>2823041416</v>
      </c>
      <c r="AL4533" t="s">
        <v>6869</v>
      </c>
      <c r="AM4533" t="s">
        <v>88</v>
      </c>
      <c r="AN4533" t="s">
        <v>6824</v>
      </c>
      <c r="AO4533" t="s">
        <v>6870</v>
      </c>
      <c r="AP4533" t="s">
        <v>6871</v>
      </c>
      <c r="AQ4533">
        <v>1</v>
      </c>
      <c r="AR4533" t="s">
        <v>6729</v>
      </c>
      <c r="AS4533" t="s">
        <v>6730</v>
      </c>
      <c r="AT4533" t="s">
        <v>58</v>
      </c>
      <c r="AU4533" t="s">
        <v>164</v>
      </c>
      <c r="AV4533" t="s">
        <v>132</v>
      </c>
      <c r="AW4533" s="1">
        <v>27199</v>
      </c>
      <c r="AX4533">
        <v>2</v>
      </c>
    </row>
    <row r="4534" spans="1:50">
      <c r="A4534">
        <v>209250</v>
      </c>
      <c r="B4534" t="str">
        <f>"066839650"</f>
        <v>066839650</v>
      </c>
      <c r="C4534" t="s">
        <v>50</v>
      </c>
      <c r="D4534" t="s">
        <v>6520</v>
      </c>
      <c r="E4534" t="s">
        <v>1189</v>
      </c>
      <c r="F4534" t="s">
        <v>383</v>
      </c>
      <c r="G4534" t="s">
        <v>83</v>
      </c>
      <c r="H4534" t="str">
        <f>"Γ. ΒΑΛΥΡΑΚΗ 15 ΛΕΝΤΑΡΙΑΝΑ"</f>
        <v>Γ. ΒΑΛΥΡΑΚΗ 15 ΛΕΝΤΑΡΙΑΝΑ</v>
      </c>
      <c r="I4534">
        <v>73133</v>
      </c>
      <c r="J4534">
        <v>2821041615</v>
      </c>
      <c r="K4534">
        <v>6977223263</v>
      </c>
      <c r="M4534" t="s">
        <v>8304</v>
      </c>
      <c r="N4534" t="s">
        <v>204</v>
      </c>
      <c r="O4534" t="s">
        <v>205</v>
      </c>
      <c r="R4534" t="s">
        <v>57</v>
      </c>
      <c r="S4534">
        <v>6</v>
      </c>
      <c r="T4534">
        <v>218</v>
      </c>
      <c r="U4534" s="1">
        <v>38596</v>
      </c>
      <c r="V4534" t="s">
        <v>6729</v>
      </c>
      <c r="W4534" t="s">
        <v>6730</v>
      </c>
      <c r="X4534" t="s">
        <v>58</v>
      </c>
      <c r="Y4534">
        <v>20</v>
      </c>
      <c r="Z4534" t="s">
        <v>59</v>
      </c>
      <c r="AA4534" t="s">
        <v>59</v>
      </c>
      <c r="AB4534" t="s">
        <v>59</v>
      </c>
      <c r="AC4534" t="s">
        <v>59</v>
      </c>
      <c r="AD4534" t="s">
        <v>59</v>
      </c>
      <c r="AF4534" s="1">
        <v>38600</v>
      </c>
      <c r="AG4534" t="s">
        <v>137</v>
      </c>
      <c r="AH4534" t="s">
        <v>138</v>
      </c>
      <c r="AI4534" t="str">
        <f>"5040105"</f>
        <v>5040105</v>
      </c>
      <c r="AJ4534" t="s">
        <v>6969</v>
      </c>
      <c r="AK4534">
        <v>2825051703</v>
      </c>
      <c r="AL4534" t="s">
        <v>6970</v>
      </c>
      <c r="AM4534" t="s">
        <v>88</v>
      </c>
      <c r="AN4534" t="s">
        <v>6775</v>
      </c>
      <c r="AO4534" t="s">
        <v>6781</v>
      </c>
      <c r="AP4534" t="s">
        <v>6782</v>
      </c>
      <c r="AQ4534">
        <v>1</v>
      </c>
      <c r="AR4534" t="s">
        <v>6729</v>
      </c>
      <c r="AS4534" t="s">
        <v>6730</v>
      </c>
      <c r="AT4534" t="s">
        <v>58</v>
      </c>
      <c r="AU4534" t="s">
        <v>68</v>
      </c>
      <c r="AV4534" t="s">
        <v>69</v>
      </c>
      <c r="AW4534" s="1">
        <v>28702</v>
      </c>
      <c r="AX4534">
        <v>2</v>
      </c>
    </row>
    <row r="4535" spans="1:50">
      <c r="A4535">
        <v>169492</v>
      </c>
      <c r="B4535" t="str">
        <f>"027518476"</f>
        <v>027518476</v>
      </c>
      <c r="C4535" t="s">
        <v>105</v>
      </c>
      <c r="D4535" t="s">
        <v>3753</v>
      </c>
      <c r="E4535" t="s">
        <v>95</v>
      </c>
      <c r="F4535" t="s">
        <v>106</v>
      </c>
      <c r="G4535" t="s">
        <v>1065</v>
      </c>
      <c r="H4535" t="str">
        <f>" "</f>
        <v xml:space="preserve"> </v>
      </c>
      <c r="M4535" t="s">
        <v>8305</v>
      </c>
      <c r="N4535" t="s">
        <v>157</v>
      </c>
      <c r="O4535" t="s">
        <v>158</v>
      </c>
      <c r="R4535" t="s">
        <v>57</v>
      </c>
      <c r="S4535">
        <v>19</v>
      </c>
      <c r="T4535">
        <v>184</v>
      </c>
      <c r="U4535" s="1">
        <v>34941</v>
      </c>
      <c r="V4535" t="s">
        <v>6729</v>
      </c>
      <c r="W4535" t="s">
        <v>6730</v>
      </c>
      <c r="X4535" t="s">
        <v>58</v>
      </c>
      <c r="Y4535">
        <v>18</v>
      </c>
      <c r="Z4535" t="s">
        <v>59</v>
      </c>
      <c r="AA4535" t="s">
        <v>59</v>
      </c>
      <c r="AB4535" t="s">
        <v>59</v>
      </c>
      <c r="AC4535" t="s">
        <v>59</v>
      </c>
      <c r="AD4535" t="s">
        <v>59</v>
      </c>
      <c r="AF4535" s="1">
        <v>34943</v>
      </c>
      <c r="AG4535" t="s">
        <v>125</v>
      </c>
      <c r="AH4535" t="s">
        <v>126</v>
      </c>
      <c r="AI4535" t="str">
        <f>"5007010"</f>
        <v>5007010</v>
      </c>
      <c r="AJ4535" t="s">
        <v>6797</v>
      </c>
      <c r="AK4535">
        <v>2824022241</v>
      </c>
      <c r="AL4535" t="s">
        <v>6798</v>
      </c>
      <c r="AM4535" t="s">
        <v>88</v>
      </c>
      <c r="AN4535" t="s">
        <v>6764</v>
      </c>
      <c r="AO4535" t="s">
        <v>6799</v>
      </c>
      <c r="AP4535" t="s">
        <v>6799</v>
      </c>
      <c r="AQ4535">
        <v>1</v>
      </c>
      <c r="AR4535" t="s">
        <v>6729</v>
      </c>
      <c r="AS4535" t="s">
        <v>6730</v>
      </c>
      <c r="AT4535" t="s">
        <v>58</v>
      </c>
      <c r="AU4535" t="s">
        <v>68</v>
      </c>
      <c r="AV4535" t="s">
        <v>69</v>
      </c>
      <c r="AW4535" s="1">
        <v>22945</v>
      </c>
      <c r="AX4535">
        <v>2</v>
      </c>
    </row>
    <row r="4536" spans="1:50">
      <c r="A4536">
        <v>227160</v>
      </c>
      <c r="B4536" t="str">
        <f>"101591299"</f>
        <v>101591299</v>
      </c>
      <c r="C4536" t="s">
        <v>50</v>
      </c>
      <c r="D4536" t="s">
        <v>8306</v>
      </c>
      <c r="E4536" t="s">
        <v>8307</v>
      </c>
      <c r="F4536" t="s">
        <v>202</v>
      </c>
      <c r="G4536" t="s">
        <v>250</v>
      </c>
      <c r="H4536" t="str">
        <f>"ΠΛΑΤΩΝΟΣ 7 ΧΑΝΙΑ"</f>
        <v>ΠΛΑΤΩΝΟΣ 7 ΧΑΝΙΑ</v>
      </c>
      <c r="I4536">
        <v>73134</v>
      </c>
      <c r="J4536">
        <v>2821057535</v>
      </c>
      <c r="K4536">
        <v>6944657588</v>
      </c>
      <c r="L4536">
        <v>6974645689</v>
      </c>
      <c r="M4536" t="s">
        <v>8308</v>
      </c>
      <c r="N4536" t="s">
        <v>292</v>
      </c>
      <c r="O4536" t="s">
        <v>293</v>
      </c>
      <c r="R4536" t="s">
        <v>57</v>
      </c>
      <c r="S4536">
        <v>4</v>
      </c>
      <c r="T4536">
        <v>654</v>
      </c>
      <c r="U4536" s="1">
        <v>40043</v>
      </c>
      <c r="V4536" t="s">
        <v>6729</v>
      </c>
      <c r="W4536" t="s">
        <v>6730</v>
      </c>
      <c r="X4536" t="s">
        <v>58</v>
      </c>
      <c r="Y4536">
        <v>21</v>
      </c>
      <c r="Z4536" t="s">
        <v>59</v>
      </c>
      <c r="AA4536" t="s">
        <v>59</v>
      </c>
      <c r="AB4536" t="s">
        <v>59</v>
      </c>
      <c r="AC4536" t="s">
        <v>59</v>
      </c>
      <c r="AD4536" t="s">
        <v>59</v>
      </c>
      <c r="AF4536" s="1">
        <v>40044</v>
      </c>
      <c r="AG4536" t="s">
        <v>137</v>
      </c>
      <c r="AH4536" t="s">
        <v>138</v>
      </c>
      <c r="AI4536" t="str">
        <f>"5040090"</f>
        <v>5040090</v>
      </c>
      <c r="AJ4536" t="s">
        <v>6757</v>
      </c>
      <c r="AK4536">
        <v>2822022275</v>
      </c>
      <c r="AL4536" t="s">
        <v>6758</v>
      </c>
      <c r="AM4536" t="s">
        <v>88</v>
      </c>
      <c r="AN4536" t="s">
        <v>6744</v>
      </c>
      <c r="AO4536" t="s">
        <v>6744</v>
      </c>
      <c r="AP4536" t="s">
        <v>6744</v>
      </c>
      <c r="AQ4536">
        <v>1</v>
      </c>
      <c r="AR4536" t="s">
        <v>6729</v>
      </c>
      <c r="AS4536" t="s">
        <v>6730</v>
      </c>
      <c r="AT4536" t="s">
        <v>58</v>
      </c>
      <c r="AU4536" t="s">
        <v>68</v>
      </c>
      <c r="AV4536" t="s">
        <v>69</v>
      </c>
      <c r="AW4536" s="1">
        <v>26325</v>
      </c>
      <c r="AX4536">
        <v>2</v>
      </c>
    </row>
    <row r="4537" spans="1:50">
      <c r="B4537" t="str">
        <f>"119721549"</f>
        <v>119721549</v>
      </c>
      <c r="C4537" t="s">
        <v>50</v>
      </c>
      <c r="D4537" t="s">
        <v>8309</v>
      </c>
      <c r="E4537" t="s">
        <v>52</v>
      </c>
      <c r="F4537" t="s">
        <v>53</v>
      </c>
      <c r="G4537" t="s">
        <v>476</v>
      </c>
      <c r="H4537" t="str">
        <f>"ΚΟΡΓΙΑΛΕΝΕΙΟΥ 10 ΑΘΗΝΑ"</f>
        <v>ΚΟΡΓΙΑΛΕΝΕΙΟΥ 10 ΑΘΗΝΑ</v>
      </c>
      <c r="I4537">
        <v>11526</v>
      </c>
      <c r="J4537">
        <v>2106924380</v>
      </c>
      <c r="K4537">
        <v>6996924380</v>
      </c>
      <c r="M4537" t="s">
        <v>8310</v>
      </c>
      <c r="N4537" t="s">
        <v>337</v>
      </c>
      <c r="O4537" t="s">
        <v>338</v>
      </c>
      <c r="R4537" t="s">
        <v>121</v>
      </c>
      <c r="S4537">
        <v>1</v>
      </c>
      <c r="T4537" t="s">
        <v>1908</v>
      </c>
      <c r="U4537" s="1">
        <v>43368</v>
      </c>
      <c r="V4537" t="s">
        <v>6729</v>
      </c>
      <c r="W4537" t="s">
        <v>6730</v>
      </c>
      <c r="X4537" t="s">
        <v>58</v>
      </c>
      <c r="Y4537">
        <v>23</v>
      </c>
      <c r="Z4537" t="s">
        <v>59</v>
      </c>
      <c r="AA4537" t="s">
        <v>59</v>
      </c>
      <c r="AB4537" t="s">
        <v>59</v>
      </c>
      <c r="AC4537" t="s">
        <v>59</v>
      </c>
      <c r="AD4537" t="s">
        <v>59</v>
      </c>
      <c r="AF4537" s="1">
        <v>43368</v>
      </c>
      <c r="AG4537" t="s">
        <v>125</v>
      </c>
      <c r="AH4537" t="s">
        <v>294</v>
      </c>
      <c r="AI4537" t="str">
        <f>"5012017"</f>
        <v>5012017</v>
      </c>
      <c r="AJ4537" t="s">
        <v>6859</v>
      </c>
      <c r="AK4537">
        <v>2821088065</v>
      </c>
      <c r="AL4537" t="s">
        <v>6860</v>
      </c>
      <c r="AM4537" t="s">
        <v>88</v>
      </c>
      <c r="AN4537" t="s">
        <v>88</v>
      </c>
      <c r="AO4537" t="s">
        <v>88</v>
      </c>
      <c r="AP4537" t="s">
        <v>88</v>
      </c>
      <c r="AQ4537">
        <v>1</v>
      </c>
      <c r="AR4537" t="s">
        <v>6729</v>
      </c>
      <c r="AS4537" t="s">
        <v>6730</v>
      </c>
      <c r="AT4537" t="s">
        <v>58</v>
      </c>
      <c r="AU4537" t="s">
        <v>164</v>
      </c>
      <c r="AV4537" t="s">
        <v>132</v>
      </c>
      <c r="AW4537" s="1">
        <v>28153</v>
      </c>
      <c r="AX4537">
        <v>2</v>
      </c>
    </row>
    <row r="4538" spans="1:50">
      <c r="A4538">
        <v>198184</v>
      </c>
      <c r="B4538" t="str">
        <f>"046170983"</f>
        <v>046170983</v>
      </c>
      <c r="C4538" t="s">
        <v>50</v>
      </c>
      <c r="D4538" t="s">
        <v>8311</v>
      </c>
      <c r="E4538" t="s">
        <v>610</v>
      </c>
      <c r="F4538" t="s">
        <v>106</v>
      </c>
      <c r="G4538" t="s">
        <v>155</v>
      </c>
      <c r="H4538" t="str">
        <f>"ΚΩΝΣΤΑΝΤΙΝΟΥΠΟΛΕΩΣ 68 ΧΑΝΙΑ"</f>
        <v>ΚΩΝΣΤΑΝΤΙΝΟΥΠΟΛΕΩΣ 68 ΧΑΝΙΑ</v>
      </c>
      <c r="I4538">
        <v>73136</v>
      </c>
      <c r="J4538">
        <v>2821088340</v>
      </c>
      <c r="K4538">
        <v>6976780274</v>
      </c>
      <c r="M4538" t="s">
        <v>8312</v>
      </c>
      <c r="N4538" t="s">
        <v>199</v>
      </c>
      <c r="O4538" t="s">
        <v>200</v>
      </c>
      <c r="R4538" t="s">
        <v>57</v>
      </c>
      <c r="S4538">
        <v>9</v>
      </c>
      <c r="T4538">
        <v>206</v>
      </c>
      <c r="U4538" s="1">
        <v>37866</v>
      </c>
      <c r="V4538" t="s">
        <v>6729</v>
      </c>
      <c r="W4538" t="s">
        <v>6730</v>
      </c>
      <c r="X4538" t="s">
        <v>58</v>
      </c>
      <c r="Y4538">
        <v>20</v>
      </c>
      <c r="Z4538" t="s">
        <v>59</v>
      </c>
      <c r="AA4538" t="s">
        <v>59</v>
      </c>
      <c r="AB4538" t="s">
        <v>59</v>
      </c>
      <c r="AC4538" t="s">
        <v>59</v>
      </c>
      <c r="AD4538" t="s">
        <v>59</v>
      </c>
      <c r="AF4538" s="1">
        <v>37866</v>
      </c>
      <c r="AG4538" t="s">
        <v>125</v>
      </c>
      <c r="AH4538" t="s">
        <v>126</v>
      </c>
      <c r="AI4538" t="str">
        <f>"5001076"</f>
        <v>5001076</v>
      </c>
      <c r="AJ4538" t="s">
        <v>6979</v>
      </c>
      <c r="AK4538">
        <v>2821088808</v>
      </c>
      <c r="AL4538" t="s">
        <v>6980</v>
      </c>
      <c r="AM4538" t="s">
        <v>88</v>
      </c>
      <c r="AN4538" t="s">
        <v>88</v>
      </c>
      <c r="AO4538" t="s">
        <v>6733</v>
      </c>
      <c r="AP4538" t="s">
        <v>6755</v>
      </c>
      <c r="AQ4538">
        <v>1</v>
      </c>
      <c r="AR4538" t="s">
        <v>6729</v>
      </c>
      <c r="AS4538" t="s">
        <v>6730</v>
      </c>
      <c r="AT4538" t="s">
        <v>58</v>
      </c>
      <c r="AU4538" t="s">
        <v>68</v>
      </c>
      <c r="AV4538" t="s">
        <v>69</v>
      </c>
      <c r="AW4538" s="1">
        <v>25475</v>
      </c>
      <c r="AX4538">
        <v>2</v>
      </c>
    </row>
    <row r="4539" spans="1:50">
      <c r="A4539">
        <v>161654</v>
      </c>
      <c r="B4539" t="str">
        <f>"077671774"</f>
        <v>077671774</v>
      </c>
      <c r="C4539" t="s">
        <v>50</v>
      </c>
      <c r="D4539" t="s">
        <v>3769</v>
      </c>
      <c r="E4539" t="s">
        <v>96</v>
      </c>
      <c r="F4539" t="s">
        <v>95</v>
      </c>
      <c r="G4539" t="s">
        <v>1902</v>
      </c>
      <c r="H4539" t="str">
        <f>" "</f>
        <v xml:space="preserve"> </v>
      </c>
      <c r="M4539" t="s">
        <v>8313</v>
      </c>
      <c r="N4539" t="s">
        <v>299</v>
      </c>
      <c r="O4539" t="s">
        <v>300</v>
      </c>
      <c r="R4539" t="s">
        <v>57</v>
      </c>
      <c r="S4539">
        <v>15</v>
      </c>
      <c r="T4539">
        <v>161</v>
      </c>
      <c r="U4539" s="1">
        <v>33119</v>
      </c>
      <c r="V4539" t="s">
        <v>6729</v>
      </c>
      <c r="W4539" t="s">
        <v>6730</v>
      </c>
      <c r="X4539" t="s">
        <v>58</v>
      </c>
      <c r="Y4539">
        <v>18</v>
      </c>
      <c r="Z4539" t="s">
        <v>59</v>
      </c>
      <c r="AA4539" t="s">
        <v>59</v>
      </c>
      <c r="AB4539" t="s">
        <v>59</v>
      </c>
      <c r="AC4539" t="s">
        <v>59</v>
      </c>
      <c r="AD4539" t="s">
        <v>59</v>
      </c>
      <c r="AF4539" s="1">
        <v>33119</v>
      </c>
      <c r="AG4539" t="s">
        <v>137</v>
      </c>
      <c r="AH4539" t="s">
        <v>138</v>
      </c>
      <c r="AI4539" t="str">
        <f>"5040050"</f>
        <v>5040050</v>
      </c>
      <c r="AJ4539" t="s">
        <v>6750</v>
      </c>
      <c r="AK4539">
        <v>2821043147</v>
      </c>
      <c r="AL4539" t="s">
        <v>6751</v>
      </c>
      <c r="AM4539" t="s">
        <v>88</v>
      </c>
      <c r="AN4539" t="s">
        <v>88</v>
      </c>
      <c r="AO4539" t="s">
        <v>88</v>
      </c>
      <c r="AP4539" t="s">
        <v>88</v>
      </c>
      <c r="AQ4539">
        <v>1</v>
      </c>
      <c r="AR4539" t="s">
        <v>6729</v>
      </c>
      <c r="AS4539" t="s">
        <v>6730</v>
      </c>
      <c r="AT4539" t="s">
        <v>58</v>
      </c>
      <c r="AU4539" t="s">
        <v>68</v>
      </c>
      <c r="AV4539" t="s">
        <v>69</v>
      </c>
      <c r="AW4539" s="1">
        <v>21686</v>
      </c>
      <c r="AX4539">
        <v>2</v>
      </c>
    </row>
    <row r="4540" spans="1:50">
      <c r="A4540">
        <v>203840</v>
      </c>
      <c r="B4540" t="str">
        <f>"127724091"</f>
        <v>127724091</v>
      </c>
      <c r="C4540" t="s">
        <v>105</v>
      </c>
      <c r="D4540" t="s">
        <v>3776</v>
      </c>
      <c r="E4540" t="s">
        <v>99</v>
      </c>
      <c r="F4540" t="s">
        <v>2233</v>
      </c>
      <c r="G4540" t="s">
        <v>964</v>
      </c>
      <c r="H4540" t="str">
        <f>"ΕΙΡΗΝΗΣ 17 ΚΑΛΑΜΑΚΙ"</f>
        <v>ΕΙΡΗΝΗΣ 17 ΚΑΛΑΜΑΚΙ</v>
      </c>
      <c r="I4540">
        <v>73100</v>
      </c>
      <c r="N4540" t="s">
        <v>257</v>
      </c>
      <c r="O4540" t="s">
        <v>258</v>
      </c>
      <c r="R4540" t="s">
        <v>57</v>
      </c>
      <c r="S4540">
        <v>9</v>
      </c>
      <c r="T4540">
        <v>231</v>
      </c>
      <c r="U4540" s="1">
        <v>38230</v>
      </c>
      <c r="V4540" t="s">
        <v>6729</v>
      </c>
      <c r="W4540" t="s">
        <v>6730</v>
      </c>
      <c r="X4540" t="s">
        <v>58</v>
      </c>
      <c r="Y4540">
        <v>20</v>
      </c>
      <c r="Z4540" t="s">
        <v>59</v>
      </c>
      <c r="AA4540" t="s">
        <v>59</v>
      </c>
      <c r="AB4540" t="s">
        <v>59</v>
      </c>
      <c r="AC4540" t="s">
        <v>59</v>
      </c>
      <c r="AD4540" t="s">
        <v>59</v>
      </c>
      <c r="AF4540" s="1">
        <v>38236</v>
      </c>
      <c r="AG4540" t="s">
        <v>148</v>
      </c>
      <c r="AH4540" t="s">
        <v>149</v>
      </c>
      <c r="AI4540" t="str">
        <f>"5057010"</f>
        <v>5057010</v>
      </c>
      <c r="AJ4540" t="s">
        <v>6836</v>
      </c>
      <c r="AK4540">
        <v>2824022511</v>
      </c>
      <c r="AL4540" t="s">
        <v>6837</v>
      </c>
      <c r="AM4540" t="s">
        <v>88</v>
      </c>
      <c r="AN4540" t="s">
        <v>6764</v>
      </c>
      <c r="AO4540" t="s">
        <v>6799</v>
      </c>
      <c r="AP4540" t="s">
        <v>6799</v>
      </c>
      <c r="AQ4540">
        <v>1</v>
      </c>
      <c r="AR4540" t="s">
        <v>6729</v>
      </c>
      <c r="AS4540" t="s">
        <v>6730</v>
      </c>
      <c r="AT4540" t="s">
        <v>58</v>
      </c>
      <c r="AU4540" t="s">
        <v>68</v>
      </c>
      <c r="AV4540" t="s">
        <v>69</v>
      </c>
      <c r="AW4540" s="1">
        <v>27425</v>
      </c>
      <c r="AX4540">
        <v>2</v>
      </c>
    </row>
    <row r="4541" spans="1:50">
      <c r="A4541">
        <v>703014</v>
      </c>
      <c r="B4541" t="str">
        <f>"038106696"</f>
        <v>038106696</v>
      </c>
      <c r="C4541" t="s">
        <v>50</v>
      </c>
      <c r="D4541" t="s">
        <v>3784</v>
      </c>
      <c r="E4541" t="s">
        <v>255</v>
      </c>
      <c r="F4541" t="s">
        <v>202</v>
      </c>
      <c r="G4541" t="s">
        <v>238</v>
      </c>
      <c r="H4541" t="str">
        <f>"ΜΙΧΑΗΛ ΨΕΛΛΟΥ 8 "</f>
        <v xml:space="preserve">ΜΙΧΑΗΛ ΨΕΛΛΟΥ 8 </v>
      </c>
      <c r="I4541">
        <v>54250</v>
      </c>
      <c r="J4541">
        <v>2310322961</v>
      </c>
      <c r="K4541">
        <v>6978054128</v>
      </c>
      <c r="M4541" t="s">
        <v>8314</v>
      </c>
      <c r="N4541" t="s">
        <v>157</v>
      </c>
      <c r="O4541" t="s">
        <v>158</v>
      </c>
      <c r="R4541" t="s">
        <v>159</v>
      </c>
      <c r="S4541">
        <v>5</v>
      </c>
      <c r="T4541">
        <v>588</v>
      </c>
      <c r="U4541" s="1">
        <v>40778</v>
      </c>
      <c r="V4541" t="s">
        <v>6729</v>
      </c>
      <c r="W4541" t="s">
        <v>6730</v>
      </c>
      <c r="X4541" t="s">
        <v>58</v>
      </c>
      <c r="Y4541">
        <v>23</v>
      </c>
      <c r="Z4541" t="s">
        <v>59</v>
      </c>
      <c r="AA4541" t="s">
        <v>59</v>
      </c>
      <c r="AB4541" t="s">
        <v>59</v>
      </c>
      <c r="AC4541" t="s">
        <v>59</v>
      </c>
      <c r="AD4541" t="s">
        <v>59</v>
      </c>
      <c r="AF4541" s="1">
        <v>40780</v>
      </c>
      <c r="AG4541" t="s">
        <v>137</v>
      </c>
      <c r="AH4541" t="s">
        <v>138</v>
      </c>
      <c r="AI4541" t="str">
        <f>"5040080"</f>
        <v>5040080</v>
      </c>
      <c r="AJ4541" t="s">
        <v>6753</v>
      </c>
      <c r="AK4541">
        <v>2821093155</v>
      </c>
      <c r="AL4541" t="s">
        <v>6754</v>
      </c>
      <c r="AM4541" t="s">
        <v>88</v>
      </c>
      <c r="AN4541" t="s">
        <v>88</v>
      </c>
      <c r="AO4541" t="s">
        <v>6733</v>
      </c>
      <c r="AP4541" t="s">
        <v>6755</v>
      </c>
      <c r="AQ4541">
        <v>1</v>
      </c>
      <c r="AR4541" t="s">
        <v>6729</v>
      </c>
      <c r="AS4541" t="s">
        <v>6730</v>
      </c>
      <c r="AT4541" t="s">
        <v>58</v>
      </c>
      <c r="AU4541" t="s">
        <v>68</v>
      </c>
      <c r="AV4541" t="s">
        <v>69</v>
      </c>
      <c r="AW4541" s="1">
        <v>27370</v>
      </c>
      <c r="AX4541">
        <v>2</v>
      </c>
    </row>
    <row r="4542" spans="1:50">
      <c r="A4542">
        <v>151775</v>
      </c>
      <c r="B4542" t="str">
        <f>"032812948"</f>
        <v>032812948</v>
      </c>
      <c r="C4542" t="s">
        <v>50</v>
      </c>
      <c r="D4542" t="s">
        <v>8315</v>
      </c>
      <c r="E4542" t="s">
        <v>250</v>
      </c>
      <c r="F4542" t="s">
        <v>166</v>
      </c>
      <c r="G4542" t="s">
        <v>52</v>
      </c>
      <c r="H4542" t="str">
        <f>"ΜΕΤΑΞΑΚΗ 35 ΧΑΝΙΑ"</f>
        <v>ΜΕΤΑΞΑΚΗ 35 ΧΑΝΙΑ</v>
      </c>
      <c r="I4542">
        <v>73131</v>
      </c>
      <c r="K4542">
        <v>6978630962</v>
      </c>
      <c r="N4542" t="s">
        <v>257</v>
      </c>
      <c r="O4542" t="s">
        <v>258</v>
      </c>
      <c r="R4542" t="s">
        <v>57</v>
      </c>
      <c r="S4542">
        <v>15</v>
      </c>
      <c r="T4542">
        <v>170</v>
      </c>
      <c r="U4542" s="1">
        <v>32016</v>
      </c>
      <c r="V4542" t="s">
        <v>6729</v>
      </c>
      <c r="W4542" t="s">
        <v>6730</v>
      </c>
      <c r="X4542" t="s">
        <v>58</v>
      </c>
      <c r="Y4542">
        <v>18</v>
      </c>
      <c r="Z4542" t="s">
        <v>59</v>
      </c>
      <c r="AA4542" t="s">
        <v>59</v>
      </c>
      <c r="AB4542" t="s">
        <v>59</v>
      </c>
      <c r="AC4542" t="s">
        <v>59</v>
      </c>
      <c r="AD4542" t="s">
        <v>59</v>
      </c>
      <c r="AF4542" s="1">
        <v>32027</v>
      </c>
      <c r="AG4542" t="s">
        <v>148</v>
      </c>
      <c r="AH4542" t="s">
        <v>149</v>
      </c>
      <c r="AI4542" t="str">
        <f>"5051040"</f>
        <v>5051040</v>
      </c>
      <c r="AJ4542" t="s">
        <v>6811</v>
      </c>
      <c r="AK4542">
        <v>2821088007</v>
      </c>
      <c r="AL4542" t="s">
        <v>6812</v>
      </c>
      <c r="AM4542" t="s">
        <v>88</v>
      </c>
      <c r="AN4542" t="s">
        <v>88</v>
      </c>
      <c r="AO4542" t="s">
        <v>88</v>
      </c>
      <c r="AP4542" t="s">
        <v>88</v>
      </c>
      <c r="AQ4542">
        <v>1</v>
      </c>
      <c r="AR4542" t="s">
        <v>6729</v>
      </c>
      <c r="AS4542" t="s">
        <v>6730</v>
      </c>
      <c r="AT4542" t="s">
        <v>58</v>
      </c>
      <c r="AU4542" t="s">
        <v>68</v>
      </c>
      <c r="AV4542" t="s">
        <v>69</v>
      </c>
      <c r="AW4542" s="1">
        <v>22907</v>
      </c>
      <c r="AX4542">
        <v>2</v>
      </c>
    </row>
    <row r="4543" spans="1:50">
      <c r="A4543">
        <v>184948</v>
      </c>
      <c r="B4543" t="str">
        <f>"032227410"</f>
        <v>032227410</v>
      </c>
      <c r="C4543" t="s">
        <v>50</v>
      </c>
      <c r="D4543" t="s">
        <v>3786</v>
      </c>
      <c r="E4543" t="s">
        <v>54</v>
      </c>
      <c r="F4543" t="s">
        <v>84</v>
      </c>
      <c r="G4543" t="s">
        <v>52</v>
      </c>
      <c r="H4543" t="str">
        <f>" "</f>
        <v xml:space="preserve"> </v>
      </c>
      <c r="N4543" t="s">
        <v>257</v>
      </c>
      <c r="O4543" t="s">
        <v>258</v>
      </c>
      <c r="P4543" t="s">
        <v>478</v>
      </c>
      <c r="Q4543" t="s">
        <v>479</v>
      </c>
      <c r="R4543" t="s">
        <v>57</v>
      </c>
      <c r="S4543">
        <v>10</v>
      </c>
      <c r="T4543">
        <v>177</v>
      </c>
      <c r="U4543" s="1">
        <v>36403</v>
      </c>
      <c r="V4543" t="s">
        <v>6729</v>
      </c>
      <c r="W4543" t="s">
        <v>6730</v>
      </c>
      <c r="X4543" t="s">
        <v>58</v>
      </c>
      <c r="Y4543">
        <v>18</v>
      </c>
      <c r="Z4543" t="s">
        <v>59</v>
      </c>
      <c r="AA4543" t="s">
        <v>59</v>
      </c>
      <c r="AB4543" t="s">
        <v>59</v>
      </c>
      <c r="AC4543" t="s">
        <v>59</v>
      </c>
      <c r="AD4543" t="s">
        <v>59</v>
      </c>
      <c r="AF4543" s="1">
        <v>36411</v>
      </c>
      <c r="AG4543" t="s">
        <v>125</v>
      </c>
      <c r="AH4543" t="s">
        <v>126</v>
      </c>
      <c r="AI4543" t="str">
        <f>"5001070"</f>
        <v>5001070</v>
      </c>
      <c r="AJ4543" t="s">
        <v>6731</v>
      </c>
      <c r="AK4543">
        <v>2821088045</v>
      </c>
      <c r="AL4543" t="s">
        <v>6732</v>
      </c>
      <c r="AM4543" t="s">
        <v>88</v>
      </c>
      <c r="AN4543" t="s">
        <v>88</v>
      </c>
      <c r="AO4543" t="s">
        <v>6733</v>
      </c>
      <c r="AP4543" t="s">
        <v>6734</v>
      </c>
      <c r="AQ4543">
        <v>1</v>
      </c>
      <c r="AR4543" t="s">
        <v>6729</v>
      </c>
      <c r="AS4543" t="s">
        <v>6730</v>
      </c>
      <c r="AT4543" t="s">
        <v>58</v>
      </c>
      <c r="AU4543" t="s">
        <v>68</v>
      </c>
      <c r="AV4543" t="s">
        <v>69</v>
      </c>
      <c r="AW4543" s="1">
        <v>22925</v>
      </c>
      <c r="AX4543">
        <v>2</v>
      </c>
    </row>
    <row r="4544" spans="1:50">
      <c r="A4544">
        <v>188941</v>
      </c>
      <c r="B4544" t="str">
        <f>"046592485"</f>
        <v>046592485</v>
      </c>
      <c r="C4544" t="s">
        <v>50</v>
      </c>
      <c r="D4544" t="s">
        <v>6538</v>
      </c>
      <c r="E4544" t="s">
        <v>52</v>
      </c>
      <c r="F4544" t="s">
        <v>377</v>
      </c>
      <c r="G4544" t="s">
        <v>513</v>
      </c>
      <c r="H4544" t="str">
        <f>"ΑΝΑΠΑΥΣΕΩΣ 35 ΧΑΝΙΑ"</f>
        <v>ΑΝΑΠΑΥΣΕΩΣ 35 ΧΑΝΙΑ</v>
      </c>
      <c r="I4544">
        <v>73135</v>
      </c>
      <c r="J4544">
        <v>2821076886</v>
      </c>
      <c r="K4544">
        <v>6973380704</v>
      </c>
      <c r="M4544" t="s">
        <v>8316</v>
      </c>
      <c r="N4544" t="s">
        <v>204</v>
      </c>
      <c r="O4544" t="s">
        <v>205</v>
      </c>
      <c r="R4544" t="s">
        <v>57</v>
      </c>
      <c r="S4544">
        <v>9</v>
      </c>
      <c r="T4544" t="s">
        <v>984</v>
      </c>
      <c r="U4544" s="1">
        <v>36714</v>
      </c>
      <c r="V4544" t="s">
        <v>6729</v>
      </c>
      <c r="W4544" t="s">
        <v>6730</v>
      </c>
      <c r="X4544" t="s">
        <v>58</v>
      </c>
      <c r="Y4544">
        <v>20</v>
      </c>
      <c r="Z4544" t="s">
        <v>59</v>
      </c>
      <c r="AA4544" t="s">
        <v>59</v>
      </c>
      <c r="AB4544" t="s">
        <v>59</v>
      </c>
      <c r="AC4544" t="s">
        <v>59</v>
      </c>
      <c r="AD4544" t="s">
        <v>59</v>
      </c>
      <c r="AF4544" s="1">
        <v>36714</v>
      </c>
      <c r="AG4544" t="s">
        <v>137</v>
      </c>
      <c r="AH4544" t="s">
        <v>138</v>
      </c>
      <c r="AI4544" t="str">
        <f>"5040080"</f>
        <v>5040080</v>
      </c>
      <c r="AJ4544" t="s">
        <v>6753</v>
      </c>
      <c r="AK4544">
        <v>2821093155</v>
      </c>
      <c r="AL4544" t="s">
        <v>6754</v>
      </c>
      <c r="AM4544" t="s">
        <v>88</v>
      </c>
      <c r="AN4544" t="s">
        <v>88</v>
      </c>
      <c r="AO4544" t="s">
        <v>6733</v>
      </c>
      <c r="AP4544" t="s">
        <v>6755</v>
      </c>
      <c r="AQ4544">
        <v>1</v>
      </c>
      <c r="AR4544" t="s">
        <v>6729</v>
      </c>
      <c r="AS4544" t="s">
        <v>6730</v>
      </c>
      <c r="AT4544" t="s">
        <v>58</v>
      </c>
      <c r="AU4544" t="s">
        <v>68</v>
      </c>
      <c r="AV4544" t="s">
        <v>69</v>
      </c>
      <c r="AW4544" s="1">
        <v>25963</v>
      </c>
      <c r="AX4544">
        <v>2</v>
      </c>
    </row>
    <row r="4545" spans="1:50">
      <c r="A4545">
        <v>200169</v>
      </c>
      <c r="B4545" t="str">
        <f>"117801382"</f>
        <v>117801382</v>
      </c>
      <c r="C4545" t="s">
        <v>50</v>
      </c>
      <c r="D4545" t="s">
        <v>6538</v>
      </c>
      <c r="E4545" t="s">
        <v>52</v>
      </c>
      <c r="F4545" t="s">
        <v>581</v>
      </c>
      <c r="G4545" t="s">
        <v>396</v>
      </c>
      <c r="H4545" t="str">
        <f>" "</f>
        <v xml:space="preserve"> </v>
      </c>
      <c r="J4545">
        <v>2623096273</v>
      </c>
      <c r="L4545">
        <v>2610433497</v>
      </c>
      <c r="N4545" t="s">
        <v>204</v>
      </c>
      <c r="O4545" t="s">
        <v>205</v>
      </c>
      <c r="R4545" t="s">
        <v>57</v>
      </c>
      <c r="S4545">
        <v>8</v>
      </c>
      <c r="T4545">
        <v>206</v>
      </c>
      <c r="U4545" s="1">
        <v>37866</v>
      </c>
      <c r="V4545" t="s">
        <v>6729</v>
      </c>
      <c r="W4545" t="s">
        <v>6730</v>
      </c>
      <c r="X4545" t="s">
        <v>58</v>
      </c>
      <c r="Y4545">
        <v>20</v>
      </c>
      <c r="Z4545" t="s">
        <v>59</v>
      </c>
      <c r="AA4545" t="s">
        <v>59</v>
      </c>
      <c r="AB4545" t="s">
        <v>59</v>
      </c>
      <c r="AC4545" t="s">
        <v>59</v>
      </c>
      <c r="AD4545" t="s">
        <v>59</v>
      </c>
      <c r="AF4545" s="1">
        <v>37866</v>
      </c>
      <c r="AG4545" t="s">
        <v>137</v>
      </c>
      <c r="AH4545" t="s">
        <v>469</v>
      </c>
      <c r="AI4545" t="str">
        <f>"5040055"</f>
        <v>5040055</v>
      </c>
      <c r="AJ4545" t="s">
        <v>6940</v>
      </c>
      <c r="AK4545">
        <v>2821036404</v>
      </c>
      <c r="AL4545" t="s">
        <v>6941</v>
      </c>
      <c r="AM4545" t="s">
        <v>88</v>
      </c>
      <c r="AN4545" t="s">
        <v>88</v>
      </c>
      <c r="AO4545" t="s">
        <v>88</v>
      </c>
      <c r="AP4545" t="s">
        <v>88</v>
      </c>
      <c r="AQ4545">
        <v>1</v>
      </c>
      <c r="AR4545" t="s">
        <v>6729</v>
      </c>
      <c r="AS4545" t="s">
        <v>6730</v>
      </c>
      <c r="AT4545" t="s">
        <v>58</v>
      </c>
      <c r="AU4545" t="s">
        <v>68</v>
      </c>
      <c r="AV4545" t="s">
        <v>69</v>
      </c>
      <c r="AW4545" s="1">
        <v>27730</v>
      </c>
      <c r="AX4545">
        <v>2</v>
      </c>
    </row>
    <row r="4546" spans="1:50">
      <c r="A4546">
        <v>179747</v>
      </c>
      <c r="B4546" t="str">
        <f>"045336418"</f>
        <v>045336418</v>
      </c>
      <c r="C4546" t="s">
        <v>50</v>
      </c>
      <c r="D4546" t="s">
        <v>8317</v>
      </c>
      <c r="E4546" t="s">
        <v>563</v>
      </c>
      <c r="F4546" t="s">
        <v>377</v>
      </c>
      <c r="G4546" t="s">
        <v>93</v>
      </c>
      <c r="H4546" t="str">
        <f>"ΚΑΘΙΑΝΑ ΑΚΡΩΤΗΡΙΟΥ"</f>
        <v>ΚΑΘΙΑΝΑ ΑΚΡΩΤΗΡΙΟΥ</v>
      </c>
      <c r="I4546">
        <v>73100</v>
      </c>
      <c r="J4546">
        <v>2821066558</v>
      </c>
      <c r="K4546">
        <v>6944226369</v>
      </c>
      <c r="N4546" t="s">
        <v>146</v>
      </c>
      <c r="O4546" t="s">
        <v>147</v>
      </c>
      <c r="R4546" t="s">
        <v>57</v>
      </c>
      <c r="S4546">
        <v>12</v>
      </c>
      <c r="T4546">
        <v>181</v>
      </c>
      <c r="U4546" s="1">
        <v>36039</v>
      </c>
      <c r="V4546" t="s">
        <v>6729</v>
      </c>
      <c r="W4546" t="s">
        <v>6730</v>
      </c>
      <c r="X4546" t="s">
        <v>58</v>
      </c>
      <c r="Y4546">
        <v>18</v>
      </c>
      <c r="Z4546" t="s">
        <v>59</v>
      </c>
      <c r="AA4546" t="s">
        <v>59</v>
      </c>
      <c r="AB4546" t="s">
        <v>59</v>
      </c>
      <c r="AC4546" t="s">
        <v>59</v>
      </c>
      <c r="AD4546" t="s">
        <v>59</v>
      </c>
      <c r="AF4546" s="1">
        <v>36045</v>
      </c>
      <c r="AG4546" t="s">
        <v>125</v>
      </c>
      <c r="AH4546" t="s">
        <v>126</v>
      </c>
      <c r="AI4546" t="str">
        <f>"5001075"</f>
        <v>5001075</v>
      </c>
      <c r="AJ4546" t="s">
        <v>6768</v>
      </c>
      <c r="AK4546">
        <v>2821064200</v>
      </c>
      <c r="AL4546" t="s">
        <v>6769</v>
      </c>
      <c r="AM4546" t="s">
        <v>88</v>
      </c>
      <c r="AN4546" t="s">
        <v>88</v>
      </c>
      <c r="AO4546" t="s">
        <v>6770</v>
      </c>
      <c r="AP4546" t="s">
        <v>6771</v>
      </c>
      <c r="AQ4546">
        <v>1</v>
      </c>
      <c r="AR4546" t="s">
        <v>6729</v>
      </c>
      <c r="AS4546" t="s">
        <v>6730</v>
      </c>
      <c r="AT4546" t="s">
        <v>58</v>
      </c>
      <c r="AU4546" t="s">
        <v>68</v>
      </c>
      <c r="AV4546" t="s">
        <v>69</v>
      </c>
      <c r="AW4546" s="1">
        <v>24116</v>
      </c>
      <c r="AX4546">
        <v>2</v>
      </c>
    </row>
    <row r="4547" spans="1:50">
      <c r="A4547">
        <v>219550</v>
      </c>
      <c r="B4547" t="str">
        <f>"100602420"</f>
        <v>100602420</v>
      </c>
      <c r="C4547" t="s">
        <v>50</v>
      </c>
      <c r="D4547" t="s">
        <v>3788</v>
      </c>
      <c r="E4547" t="s">
        <v>255</v>
      </c>
      <c r="F4547" t="s">
        <v>154</v>
      </c>
      <c r="G4547" t="s">
        <v>263</v>
      </c>
      <c r="H4547" t="str">
        <f>"ΓΟΥΡΝΕΣ ΠΕΔΙΑΔΟΣ "</f>
        <v xml:space="preserve">ΓΟΥΡΝΕΣ ΠΕΔΙΑΔΟΣ </v>
      </c>
      <c r="I4547">
        <v>71500</v>
      </c>
      <c r="J4547">
        <v>2821069761</v>
      </c>
      <c r="K4547">
        <v>6942620483</v>
      </c>
      <c r="M4547" t="s">
        <v>8318</v>
      </c>
      <c r="N4547" t="s">
        <v>288</v>
      </c>
      <c r="O4547" t="s">
        <v>289</v>
      </c>
      <c r="R4547" t="s">
        <v>57</v>
      </c>
      <c r="S4547">
        <v>9</v>
      </c>
      <c r="T4547">
        <v>599</v>
      </c>
      <c r="U4547" s="1">
        <v>39310</v>
      </c>
      <c r="V4547" t="s">
        <v>6729</v>
      </c>
      <c r="W4547" t="s">
        <v>6730</v>
      </c>
      <c r="X4547" t="s">
        <v>58</v>
      </c>
      <c r="Y4547">
        <v>20</v>
      </c>
      <c r="Z4547" t="s">
        <v>59</v>
      </c>
      <c r="AA4547" t="s">
        <v>59</v>
      </c>
      <c r="AB4547" t="s">
        <v>59</v>
      </c>
      <c r="AC4547" t="s">
        <v>59</v>
      </c>
      <c r="AD4547" t="s">
        <v>59</v>
      </c>
      <c r="AF4547" s="1">
        <v>39328</v>
      </c>
      <c r="AG4547" t="s">
        <v>125</v>
      </c>
      <c r="AH4547" t="s">
        <v>126</v>
      </c>
      <c r="AI4547" t="str">
        <f>"5001076"</f>
        <v>5001076</v>
      </c>
      <c r="AJ4547" t="s">
        <v>6979</v>
      </c>
      <c r="AK4547">
        <v>2821088808</v>
      </c>
      <c r="AL4547" t="s">
        <v>6980</v>
      </c>
      <c r="AM4547" t="s">
        <v>88</v>
      </c>
      <c r="AN4547" t="s">
        <v>88</v>
      </c>
      <c r="AO4547" t="s">
        <v>6733</v>
      </c>
      <c r="AP4547" t="s">
        <v>6755</v>
      </c>
      <c r="AQ4547">
        <v>1</v>
      </c>
      <c r="AR4547" t="s">
        <v>6729</v>
      </c>
      <c r="AS4547" t="s">
        <v>6730</v>
      </c>
      <c r="AT4547" t="s">
        <v>58</v>
      </c>
      <c r="AU4547" t="s">
        <v>68</v>
      </c>
      <c r="AV4547" t="s">
        <v>69</v>
      </c>
      <c r="AW4547" s="1">
        <v>28643</v>
      </c>
      <c r="AX4547">
        <v>2</v>
      </c>
    </row>
    <row r="4548" spans="1:50">
      <c r="A4548">
        <v>203448</v>
      </c>
      <c r="B4548" t="str">
        <f>"044709057"</f>
        <v>044709057</v>
      </c>
      <c r="C4548" t="s">
        <v>50</v>
      </c>
      <c r="D4548" t="s">
        <v>3806</v>
      </c>
      <c r="E4548" t="s">
        <v>52</v>
      </c>
      <c r="F4548" t="s">
        <v>95</v>
      </c>
      <c r="G4548" t="s">
        <v>109</v>
      </c>
      <c r="H4548" t="str">
        <f>"ΣΤΡΑΤΟΥΔΑΚΗ &amp; ΘΕΡΙΣΟΥ "</f>
        <v xml:space="preserve">ΣΤΡΑΤΟΥΔΑΚΗ &amp; ΘΕΡΙΣΟΥ </v>
      </c>
      <c r="K4548">
        <v>6945775044</v>
      </c>
      <c r="M4548" t="s">
        <v>8319</v>
      </c>
      <c r="N4548" t="s">
        <v>306</v>
      </c>
      <c r="O4548" t="s">
        <v>307</v>
      </c>
      <c r="R4548" t="s">
        <v>57</v>
      </c>
      <c r="S4548">
        <v>10</v>
      </c>
      <c r="T4548">
        <v>231</v>
      </c>
      <c r="U4548" s="1">
        <v>38230</v>
      </c>
      <c r="V4548" t="s">
        <v>6729</v>
      </c>
      <c r="W4548" t="s">
        <v>6730</v>
      </c>
      <c r="X4548" t="s">
        <v>58</v>
      </c>
      <c r="Y4548">
        <v>20</v>
      </c>
      <c r="Z4548" t="s">
        <v>59</v>
      </c>
      <c r="AA4548" t="s">
        <v>59</v>
      </c>
      <c r="AB4548" t="s">
        <v>59</v>
      </c>
      <c r="AC4548" t="s">
        <v>59</v>
      </c>
      <c r="AD4548" t="s">
        <v>59</v>
      </c>
      <c r="AF4548" s="1">
        <v>38232</v>
      </c>
      <c r="AG4548" t="s">
        <v>125</v>
      </c>
      <c r="AH4548" t="s">
        <v>294</v>
      </c>
      <c r="AI4548" t="str">
        <f>"5012017"</f>
        <v>5012017</v>
      </c>
      <c r="AJ4548" t="s">
        <v>6859</v>
      </c>
      <c r="AK4548">
        <v>2821088065</v>
      </c>
      <c r="AL4548" t="s">
        <v>6860</v>
      </c>
      <c r="AM4548" t="s">
        <v>88</v>
      </c>
      <c r="AN4548" t="s">
        <v>88</v>
      </c>
      <c r="AO4548" t="s">
        <v>88</v>
      </c>
      <c r="AP4548" t="s">
        <v>88</v>
      </c>
      <c r="AQ4548">
        <v>1</v>
      </c>
      <c r="AR4548" t="s">
        <v>6729</v>
      </c>
      <c r="AS4548" t="s">
        <v>6730</v>
      </c>
      <c r="AT4548" t="s">
        <v>58</v>
      </c>
      <c r="AU4548" t="s">
        <v>68</v>
      </c>
      <c r="AV4548" t="s">
        <v>69</v>
      </c>
      <c r="AW4548" s="1">
        <v>25589</v>
      </c>
      <c r="AX4548">
        <v>2</v>
      </c>
    </row>
    <row r="4549" spans="1:50">
      <c r="A4549">
        <v>192097</v>
      </c>
      <c r="B4549" t="str">
        <f>"112384488"</f>
        <v>112384488</v>
      </c>
      <c r="C4549" t="s">
        <v>50</v>
      </c>
      <c r="D4549" t="s">
        <v>8320</v>
      </c>
      <c r="E4549" t="s">
        <v>460</v>
      </c>
      <c r="F4549" t="s">
        <v>84</v>
      </c>
      <c r="G4549" t="s">
        <v>237</v>
      </c>
      <c r="H4549" t="str">
        <f>" "</f>
        <v xml:space="preserve"> </v>
      </c>
      <c r="N4549" t="s">
        <v>907</v>
      </c>
      <c r="O4549" t="s">
        <v>908</v>
      </c>
      <c r="R4549" t="s">
        <v>57</v>
      </c>
      <c r="S4549">
        <v>8</v>
      </c>
      <c r="T4549">
        <v>291</v>
      </c>
      <c r="U4549" s="1">
        <v>37218</v>
      </c>
      <c r="V4549" t="s">
        <v>6729</v>
      </c>
      <c r="W4549" t="s">
        <v>6730</v>
      </c>
      <c r="X4549" t="s">
        <v>58</v>
      </c>
      <c r="Y4549">
        <v>20</v>
      </c>
      <c r="Z4549" t="s">
        <v>59</v>
      </c>
      <c r="AA4549" t="s">
        <v>59</v>
      </c>
      <c r="AB4549" t="s">
        <v>59</v>
      </c>
      <c r="AC4549" t="s">
        <v>59</v>
      </c>
      <c r="AD4549" t="s">
        <v>59</v>
      </c>
      <c r="AF4549" s="1">
        <v>37223</v>
      </c>
      <c r="AG4549" t="s">
        <v>137</v>
      </c>
      <c r="AH4549" t="s">
        <v>138</v>
      </c>
      <c r="AI4549" t="str">
        <f>"5050060"</f>
        <v>5050060</v>
      </c>
      <c r="AJ4549" t="s">
        <v>6801</v>
      </c>
      <c r="AK4549">
        <v>2821091515</v>
      </c>
      <c r="AL4549" t="s">
        <v>6802</v>
      </c>
      <c r="AM4549" t="s">
        <v>88</v>
      </c>
      <c r="AN4549" t="s">
        <v>88</v>
      </c>
      <c r="AO4549" t="s">
        <v>88</v>
      </c>
      <c r="AP4549" t="s">
        <v>88</v>
      </c>
      <c r="AQ4549">
        <v>1</v>
      </c>
      <c r="AR4549" t="s">
        <v>6729</v>
      </c>
      <c r="AS4549" t="s">
        <v>6730</v>
      </c>
      <c r="AT4549" t="s">
        <v>58</v>
      </c>
      <c r="AU4549" t="s">
        <v>68</v>
      </c>
      <c r="AV4549" t="s">
        <v>69</v>
      </c>
      <c r="AW4549" s="1">
        <v>26665</v>
      </c>
      <c r="AX4549">
        <v>2</v>
      </c>
    </row>
    <row r="4550" spans="1:50">
      <c r="A4550">
        <v>190014</v>
      </c>
      <c r="B4550" t="str">
        <f>"075216849"</f>
        <v>075216849</v>
      </c>
      <c r="C4550" t="s">
        <v>105</v>
      </c>
      <c r="D4550" t="s">
        <v>8321</v>
      </c>
      <c r="E4550" t="s">
        <v>92</v>
      </c>
      <c r="F4550" t="s">
        <v>95</v>
      </c>
      <c r="G4550" t="s">
        <v>7681</v>
      </c>
      <c r="H4550" t="str">
        <f>" "</f>
        <v xml:space="preserve"> </v>
      </c>
      <c r="K4550">
        <v>6937633461</v>
      </c>
      <c r="N4550" t="s">
        <v>232</v>
      </c>
      <c r="O4550" t="s">
        <v>233</v>
      </c>
      <c r="R4550" t="s">
        <v>57</v>
      </c>
      <c r="S4550">
        <v>8</v>
      </c>
      <c r="T4550">
        <v>219</v>
      </c>
      <c r="U4550" s="1">
        <v>37134</v>
      </c>
      <c r="V4550" t="s">
        <v>6729</v>
      </c>
      <c r="W4550" t="s">
        <v>6730</v>
      </c>
      <c r="X4550" t="s">
        <v>58</v>
      </c>
      <c r="Y4550">
        <v>20</v>
      </c>
      <c r="Z4550" t="s">
        <v>59</v>
      </c>
      <c r="AA4550" t="s">
        <v>59</v>
      </c>
      <c r="AB4550" t="s">
        <v>59</v>
      </c>
      <c r="AC4550" t="s">
        <v>59</v>
      </c>
      <c r="AD4550" t="s">
        <v>59</v>
      </c>
      <c r="AF4550" s="1">
        <v>37137</v>
      </c>
      <c r="AG4550" t="s">
        <v>148</v>
      </c>
      <c r="AH4550" t="s">
        <v>149</v>
      </c>
      <c r="AI4550" t="str">
        <f>"5059010"</f>
        <v>5059010</v>
      </c>
      <c r="AJ4550" t="s">
        <v>6883</v>
      </c>
      <c r="AK4550">
        <v>2821077166</v>
      </c>
      <c r="AL4550" t="s">
        <v>6884</v>
      </c>
      <c r="AM4550" t="s">
        <v>88</v>
      </c>
      <c r="AN4550" t="s">
        <v>6764</v>
      </c>
      <c r="AO4550" t="s">
        <v>6885</v>
      </c>
      <c r="AP4550" t="s">
        <v>6886</v>
      </c>
      <c r="AQ4550">
        <v>1</v>
      </c>
      <c r="AR4550" t="s">
        <v>6729</v>
      </c>
      <c r="AS4550" t="s">
        <v>6730</v>
      </c>
      <c r="AT4550" t="s">
        <v>58</v>
      </c>
      <c r="AU4550" t="s">
        <v>68</v>
      </c>
      <c r="AV4550" t="s">
        <v>69</v>
      </c>
      <c r="AW4550" s="1">
        <v>25431</v>
      </c>
      <c r="AX4550">
        <v>2</v>
      </c>
    </row>
    <row r="4551" spans="1:50">
      <c r="A4551">
        <v>166061</v>
      </c>
      <c r="B4551" t="str">
        <f>"065546197"</f>
        <v>065546197</v>
      </c>
      <c r="C4551" t="s">
        <v>50</v>
      </c>
      <c r="D4551" t="s">
        <v>8322</v>
      </c>
      <c r="E4551" t="s">
        <v>215</v>
      </c>
      <c r="F4551" t="s">
        <v>6252</v>
      </c>
      <c r="G4551" t="s">
        <v>83</v>
      </c>
      <c r="H4551" t="str">
        <f>" "</f>
        <v xml:space="preserve"> </v>
      </c>
      <c r="J4551">
        <v>2821097904</v>
      </c>
      <c r="K4551">
        <v>6978002867</v>
      </c>
      <c r="M4551" t="s">
        <v>8323</v>
      </c>
      <c r="N4551" t="s">
        <v>292</v>
      </c>
      <c r="O4551" t="s">
        <v>293</v>
      </c>
      <c r="R4551" t="s">
        <v>57</v>
      </c>
      <c r="S4551">
        <v>13</v>
      </c>
      <c r="T4551">
        <v>137</v>
      </c>
      <c r="U4551" s="1">
        <v>34206</v>
      </c>
      <c r="V4551" t="s">
        <v>6729</v>
      </c>
      <c r="W4551" t="s">
        <v>6730</v>
      </c>
      <c r="X4551" t="s">
        <v>58</v>
      </c>
      <c r="Y4551">
        <v>18</v>
      </c>
      <c r="Z4551" t="s">
        <v>59</v>
      </c>
      <c r="AA4551" t="s">
        <v>59</v>
      </c>
      <c r="AB4551" t="s">
        <v>59</v>
      </c>
      <c r="AC4551" t="s">
        <v>59</v>
      </c>
      <c r="AD4551" t="s">
        <v>59</v>
      </c>
      <c r="AF4551" s="1">
        <v>34222</v>
      </c>
      <c r="AG4551" t="s">
        <v>148</v>
      </c>
      <c r="AH4551" t="s">
        <v>149</v>
      </c>
      <c r="AI4551" t="str">
        <f>"5090080"</f>
        <v>5090080</v>
      </c>
      <c r="AJ4551" t="s">
        <v>6906</v>
      </c>
      <c r="AK4551">
        <v>2821096638</v>
      </c>
      <c r="AL4551" t="s">
        <v>6907</v>
      </c>
      <c r="AM4551" t="s">
        <v>88</v>
      </c>
      <c r="AN4551" t="s">
        <v>88</v>
      </c>
      <c r="AO4551" t="s">
        <v>88</v>
      </c>
      <c r="AP4551" t="s">
        <v>88</v>
      </c>
      <c r="AQ4551">
        <v>1</v>
      </c>
      <c r="AR4551" t="s">
        <v>6729</v>
      </c>
      <c r="AS4551" t="s">
        <v>6730</v>
      </c>
      <c r="AT4551" t="s">
        <v>58</v>
      </c>
      <c r="AU4551" t="s">
        <v>68</v>
      </c>
      <c r="AV4551" t="s">
        <v>69</v>
      </c>
      <c r="AW4551" s="1">
        <v>21795</v>
      </c>
      <c r="AX4551">
        <v>2</v>
      </c>
    </row>
    <row r="4552" spans="1:50">
      <c r="A4552">
        <v>202459</v>
      </c>
      <c r="B4552" t="str">
        <f>"035966250"</f>
        <v>035966250</v>
      </c>
      <c r="C4552" t="s">
        <v>50</v>
      </c>
      <c r="D4552" t="s">
        <v>8322</v>
      </c>
      <c r="E4552" t="s">
        <v>52</v>
      </c>
      <c r="F4552" t="s">
        <v>3471</v>
      </c>
      <c r="G4552" t="s">
        <v>83</v>
      </c>
      <c r="H4552" t="str">
        <f>" "</f>
        <v xml:space="preserve"> </v>
      </c>
      <c r="J4552">
        <v>2810327156</v>
      </c>
      <c r="K4552">
        <v>6973620535</v>
      </c>
      <c r="N4552" t="s">
        <v>292</v>
      </c>
      <c r="O4552" t="s">
        <v>293</v>
      </c>
      <c r="R4552" t="s">
        <v>57</v>
      </c>
      <c r="S4552">
        <v>10</v>
      </c>
      <c r="T4552">
        <v>231</v>
      </c>
      <c r="U4552" s="1">
        <v>38230</v>
      </c>
      <c r="V4552" t="s">
        <v>6729</v>
      </c>
      <c r="W4552" t="s">
        <v>6730</v>
      </c>
      <c r="X4552" t="s">
        <v>58</v>
      </c>
      <c r="Y4552">
        <v>18</v>
      </c>
      <c r="Z4552" t="s">
        <v>59</v>
      </c>
      <c r="AA4552" t="s">
        <v>59</v>
      </c>
      <c r="AB4552" t="s">
        <v>59</v>
      </c>
      <c r="AC4552" t="s">
        <v>59</v>
      </c>
      <c r="AD4552" t="s">
        <v>59</v>
      </c>
      <c r="AF4552" s="1">
        <v>38237</v>
      </c>
      <c r="AG4552" t="s">
        <v>125</v>
      </c>
      <c r="AH4552" t="s">
        <v>126</v>
      </c>
      <c r="AI4552" t="str">
        <f>"5001070"</f>
        <v>5001070</v>
      </c>
      <c r="AJ4552" t="s">
        <v>6731</v>
      </c>
      <c r="AK4552">
        <v>2821088045</v>
      </c>
      <c r="AL4552" t="s">
        <v>6732</v>
      </c>
      <c r="AM4552" t="s">
        <v>88</v>
      </c>
      <c r="AN4552" t="s">
        <v>88</v>
      </c>
      <c r="AO4552" t="s">
        <v>6733</v>
      </c>
      <c r="AP4552" t="s">
        <v>6734</v>
      </c>
      <c r="AQ4552">
        <v>1</v>
      </c>
      <c r="AR4552" t="s">
        <v>6729</v>
      </c>
      <c r="AS4552" t="s">
        <v>6730</v>
      </c>
      <c r="AT4552" t="s">
        <v>58</v>
      </c>
      <c r="AU4552" t="s">
        <v>68</v>
      </c>
      <c r="AV4552" t="s">
        <v>69</v>
      </c>
      <c r="AW4552" s="1">
        <v>22245</v>
      </c>
      <c r="AX4552">
        <v>2</v>
      </c>
    </row>
    <row r="4553" spans="1:50">
      <c r="A4553">
        <v>204156</v>
      </c>
      <c r="B4553" t="str">
        <f>"035867719"</f>
        <v>035867719</v>
      </c>
      <c r="C4553" t="s">
        <v>50</v>
      </c>
      <c r="D4553" t="s">
        <v>3817</v>
      </c>
      <c r="E4553" t="s">
        <v>1440</v>
      </c>
      <c r="F4553" t="s">
        <v>95</v>
      </c>
      <c r="G4553" t="s">
        <v>8324</v>
      </c>
      <c r="H4553" t="str">
        <f>" "</f>
        <v xml:space="preserve"> </v>
      </c>
      <c r="J4553">
        <v>2823042130</v>
      </c>
      <c r="K4553">
        <v>6972994548</v>
      </c>
      <c r="N4553" t="s">
        <v>176</v>
      </c>
      <c r="O4553" t="s">
        <v>177</v>
      </c>
      <c r="R4553" t="s">
        <v>57</v>
      </c>
      <c r="S4553">
        <v>9</v>
      </c>
      <c r="T4553">
        <v>231</v>
      </c>
      <c r="U4553" s="1">
        <v>38230</v>
      </c>
      <c r="V4553" t="s">
        <v>6729</v>
      </c>
      <c r="W4553" t="s">
        <v>6730</v>
      </c>
      <c r="X4553" t="s">
        <v>58</v>
      </c>
      <c r="Y4553">
        <v>20</v>
      </c>
      <c r="Z4553" t="s">
        <v>59</v>
      </c>
      <c r="AA4553" t="s">
        <v>59</v>
      </c>
      <c r="AB4553" t="s">
        <v>59</v>
      </c>
      <c r="AC4553" t="s">
        <v>59</v>
      </c>
      <c r="AD4553" t="s">
        <v>59</v>
      </c>
      <c r="AF4553" s="1">
        <v>38233</v>
      </c>
      <c r="AG4553" t="s">
        <v>125</v>
      </c>
      <c r="AH4553" t="s">
        <v>126</v>
      </c>
      <c r="AI4553" t="str">
        <f>"5005010"</f>
        <v>5005010</v>
      </c>
      <c r="AJ4553" t="s">
        <v>7100</v>
      </c>
      <c r="AK4553">
        <v>2823041217</v>
      </c>
      <c r="AL4553" t="s">
        <v>7101</v>
      </c>
      <c r="AM4553" t="s">
        <v>88</v>
      </c>
      <c r="AN4553" t="s">
        <v>6824</v>
      </c>
      <c r="AO4553" t="s">
        <v>6870</v>
      </c>
      <c r="AP4553" t="s">
        <v>6871</v>
      </c>
      <c r="AQ4553">
        <v>1</v>
      </c>
      <c r="AR4553" t="s">
        <v>6729</v>
      </c>
      <c r="AS4553" t="s">
        <v>6730</v>
      </c>
      <c r="AT4553" t="s">
        <v>58</v>
      </c>
      <c r="AU4553" t="s">
        <v>68</v>
      </c>
      <c r="AV4553" t="s">
        <v>69</v>
      </c>
      <c r="AW4553" s="1">
        <v>24285</v>
      </c>
      <c r="AX4553">
        <v>2</v>
      </c>
    </row>
    <row r="4554" spans="1:50">
      <c r="A4554">
        <v>198975</v>
      </c>
      <c r="B4554" t="str">
        <f>"032245808"</f>
        <v>032245808</v>
      </c>
      <c r="C4554" t="s">
        <v>50</v>
      </c>
      <c r="D4554" t="s">
        <v>3819</v>
      </c>
      <c r="E4554" t="s">
        <v>109</v>
      </c>
      <c r="F4554" t="s">
        <v>450</v>
      </c>
      <c r="G4554" t="s">
        <v>600</v>
      </c>
      <c r="H4554" t="str">
        <f>"ΣΠΥΡΙΔΟΓΙΑΝΝΗ 4 ΧΑΝΙΑ"</f>
        <v>ΣΠΥΡΙΔΟΓΙΑΝΝΗ 4 ΧΑΝΙΑ</v>
      </c>
      <c r="I4554">
        <v>73100</v>
      </c>
      <c r="J4554">
        <v>2821054715</v>
      </c>
      <c r="K4554">
        <v>6972821987</v>
      </c>
      <c r="N4554" t="s">
        <v>299</v>
      </c>
      <c r="O4554" t="s">
        <v>300</v>
      </c>
      <c r="R4554" t="s">
        <v>57</v>
      </c>
      <c r="S4554">
        <v>9</v>
      </c>
      <c r="T4554">
        <v>206</v>
      </c>
      <c r="U4554" s="1">
        <v>37866</v>
      </c>
      <c r="V4554" t="s">
        <v>6729</v>
      </c>
      <c r="W4554" t="s">
        <v>6730</v>
      </c>
      <c r="X4554" t="s">
        <v>58</v>
      </c>
      <c r="Y4554">
        <v>20</v>
      </c>
      <c r="Z4554" t="s">
        <v>59</v>
      </c>
      <c r="AA4554" t="s">
        <v>59</v>
      </c>
      <c r="AB4554" t="s">
        <v>59</v>
      </c>
      <c r="AC4554" t="s">
        <v>59</v>
      </c>
      <c r="AD4554" t="s">
        <v>59</v>
      </c>
      <c r="AF4554" s="1">
        <v>37866</v>
      </c>
      <c r="AG4554" t="s">
        <v>137</v>
      </c>
      <c r="AH4554" t="s">
        <v>138</v>
      </c>
      <c r="AI4554" t="str">
        <f>"5040100"</f>
        <v>5040100</v>
      </c>
      <c r="AJ4554" t="s">
        <v>6790</v>
      </c>
      <c r="AK4554">
        <v>2821058998</v>
      </c>
      <c r="AL4554" t="s">
        <v>6791</v>
      </c>
      <c r="AM4554" t="s">
        <v>88</v>
      </c>
      <c r="AN4554" t="s">
        <v>88</v>
      </c>
      <c r="AO4554" t="s">
        <v>6770</v>
      </c>
      <c r="AP4554" t="s">
        <v>6771</v>
      </c>
      <c r="AQ4554">
        <v>1</v>
      </c>
      <c r="AR4554" t="s">
        <v>6729</v>
      </c>
      <c r="AS4554" t="s">
        <v>6730</v>
      </c>
      <c r="AT4554" t="s">
        <v>58</v>
      </c>
      <c r="AU4554" t="s">
        <v>68</v>
      </c>
      <c r="AV4554" t="s">
        <v>69</v>
      </c>
      <c r="AW4554" s="1">
        <v>22129</v>
      </c>
      <c r="AX4554">
        <v>2</v>
      </c>
    </row>
    <row r="4555" spans="1:50">
      <c r="B4555" t="str">
        <f>"113185960"</f>
        <v>113185960</v>
      </c>
      <c r="C4555" t="s">
        <v>50</v>
      </c>
      <c r="D4555" t="s">
        <v>7681</v>
      </c>
      <c r="E4555" t="s">
        <v>8325</v>
      </c>
      <c r="F4555" t="s">
        <v>920</v>
      </c>
      <c r="G4555" t="s">
        <v>83</v>
      </c>
      <c r="H4555" t="str">
        <f>"ΦΡΕ 38 ΧΑΝΙΑ"</f>
        <v>ΦΡΕ 38 ΧΑΝΙΑ</v>
      </c>
      <c r="I4555">
        <v>73134</v>
      </c>
      <c r="J4555">
        <v>2821087050</v>
      </c>
      <c r="K4555">
        <v>6974998576</v>
      </c>
      <c r="N4555" t="s">
        <v>536</v>
      </c>
      <c r="O4555" t="s">
        <v>537</v>
      </c>
      <c r="R4555" t="s">
        <v>159</v>
      </c>
      <c r="S4555">
        <v>5</v>
      </c>
      <c r="T4555" t="s">
        <v>344</v>
      </c>
      <c r="U4555" s="1">
        <v>43348</v>
      </c>
      <c r="V4555" t="s">
        <v>6729</v>
      </c>
      <c r="W4555" t="s">
        <v>6730</v>
      </c>
      <c r="X4555" t="s">
        <v>58</v>
      </c>
      <c r="Y4555">
        <v>21</v>
      </c>
      <c r="Z4555" t="s">
        <v>59</v>
      </c>
      <c r="AA4555" t="s">
        <v>59</v>
      </c>
      <c r="AB4555" t="s">
        <v>59</v>
      </c>
      <c r="AC4555" t="s">
        <v>59</v>
      </c>
      <c r="AD4555" t="s">
        <v>59</v>
      </c>
      <c r="AF4555" s="1">
        <v>43348</v>
      </c>
      <c r="AG4555" t="s">
        <v>125</v>
      </c>
      <c r="AH4555" t="s">
        <v>126</v>
      </c>
      <c r="AI4555" t="str">
        <f>"5001050"</f>
        <v>5001050</v>
      </c>
      <c r="AJ4555" t="s">
        <v>6917</v>
      </c>
      <c r="AK4555">
        <v>2821088012</v>
      </c>
      <c r="AL4555" t="s">
        <v>6918</v>
      </c>
      <c r="AM4555" t="s">
        <v>88</v>
      </c>
      <c r="AN4555" t="s">
        <v>88</v>
      </c>
      <c r="AO4555" t="s">
        <v>88</v>
      </c>
      <c r="AP4555" t="s">
        <v>88</v>
      </c>
      <c r="AQ4555">
        <v>1</v>
      </c>
      <c r="AR4555" t="s">
        <v>6729</v>
      </c>
      <c r="AS4555" t="s">
        <v>6730</v>
      </c>
      <c r="AT4555" t="s">
        <v>58</v>
      </c>
      <c r="AU4555" t="s">
        <v>350</v>
      </c>
      <c r="AV4555" t="s">
        <v>132</v>
      </c>
      <c r="AW4555" s="1">
        <v>26433</v>
      </c>
      <c r="AX4555">
        <v>2</v>
      </c>
    </row>
    <row r="4556" spans="1:50">
      <c r="A4556">
        <v>206825</v>
      </c>
      <c r="B4556" t="str">
        <f>"055297840"</f>
        <v>055297840</v>
      </c>
      <c r="C4556" t="s">
        <v>105</v>
      </c>
      <c r="D4556" t="s">
        <v>3821</v>
      </c>
      <c r="E4556" t="s">
        <v>108</v>
      </c>
      <c r="F4556" t="s">
        <v>166</v>
      </c>
      <c r="G4556" t="s">
        <v>52</v>
      </c>
      <c r="H4556" t="str">
        <f>" "</f>
        <v xml:space="preserve"> </v>
      </c>
      <c r="J4556">
        <v>2821087849</v>
      </c>
      <c r="K4556">
        <v>6947941447</v>
      </c>
      <c r="M4556" t="s">
        <v>8326</v>
      </c>
      <c r="N4556" t="s">
        <v>146</v>
      </c>
      <c r="O4556" t="s">
        <v>147</v>
      </c>
      <c r="R4556" t="s">
        <v>57</v>
      </c>
      <c r="S4556">
        <v>7</v>
      </c>
      <c r="T4556">
        <v>218</v>
      </c>
      <c r="U4556" s="1">
        <v>38596</v>
      </c>
      <c r="V4556" t="s">
        <v>6729</v>
      </c>
      <c r="W4556" t="s">
        <v>6730</v>
      </c>
      <c r="X4556" t="s">
        <v>58</v>
      </c>
      <c r="Y4556">
        <v>20</v>
      </c>
      <c r="Z4556" t="s">
        <v>59</v>
      </c>
      <c r="AA4556" t="s">
        <v>59</v>
      </c>
      <c r="AB4556" t="s">
        <v>59</v>
      </c>
      <c r="AC4556" t="s">
        <v>59</v>
      </c>
      <c r="AD4556" t="s">
        <v>59</v>
      </c>
      <c r="AF4556" s="1">
        <v>38603</v>
      </c>
      <c r="AG4556" t="s">
        <v>148</v>
      </c>
      <c r="AH4556" t="s">
        <v>149</v>
      </c>
      <c r="AI4556" t="str">
        <f>"5090080"</f>
        <v>5090080</v>
      </c>
      <c r="AJ4556" t="s">
        <v>6906</v>
      </c>
      <c r="AK4556">
        <v>2821096638</v>
      </c>
      <c r="AL4556" t="s">
        <v>6907</v>
      </c>
      <c r="AM4556" t="s">
        <v>88</v>
      </c>
      <c r="AN4556" t="s">
        <v>88</v>
      </c>
      <c r="AO4556" t="s">
        <v>88</v>
      </c>
      <c r="AP4556" t="s">
        <v>88</v>
      </c>
      <c r="AQ4556">
        <v>1</v>
      </c>
      <c r="AR4556" t="s">
        <v>6729</v>
      </c>
      <c r="AS4556" t="s">
        <v>6730</v>
      </c>
      <c r="AT4556" t="s">
        <v>58</v>
      </c>
      <c r="AU4556" t="s">
        <v>68</v>
      </c>
      <c r="AV4556" t="s">
        <v>69</v>
      </c>
      <c r="AW4556" s="1">
        <v>24530</v>
      </c>
      <c r="AX4556">
        <v>2</v>
      </c>
    </row>
    <row r="4557" spans="1:50">
      <c r="A4557">
        <v>222625</v>
      </c>
      <c r="B4557" t="str">
        <f>"050756296"</f>
        <v>050756296</v>
      </c>
      <c r="C4557" t="s">
        <v>105</v>
      </c>
      <c r="D4557" t="s">
        <v>8327</v>
      </c>
      <c r="E4557" t="s">
        <v>99</v>
      </c>
      <c r="F4557" t="s">
        <v>92</v>
      </c>
      <c r="G4557" t="s">
        <v>155</v>
      </c>
      <c r="H4557" t="str">
        <f>" "</f>
        <v xml:space="preserve"> </v>
      </c>
      <c r="J4557">
        <v>2821040862</v>
      </c>
      <c r="K4557">
        <v>6978529028</v>
      </c>
      <c r="M4557" t="s">
        <v>8328</v>
      </c>
      <c r="N4557" t="s">
        <v>146</v>
      </c>
      <c r="O4557" t="s">
        <v>147</v>
      </c>
      <c r="R4557" t="s">
        <v>57</v>
      </c>
      <c r="S4557">
        <v>6</v>
      </c>
      <c r="T4557">
        <v>775</v>
      </c>
      <c r="U4557" s="1">
        <v>39680</v>
      </c>
      <c r="V4557" t="s">
        <v>6729</v>
      </c>
      <c r="W4557" t="s">
        <v>6730</v>
      </c>
      <c r="X4557" t="s">
        <v>58</v>
      </c>
      <c r="Y4557">
        <v>20</v>
      </c>
      <c r="Z4557" t="s">
        <v>59</v>
      </c>
      <c r="AA4557" t="s">
        <v>59</v>
      </c>
      <c r="AB4557" t="s">
        <v>59</v>
      </c>
      <c r="AC4557" t="s">
        <v>59</v>
      </c>
      <c r="AD4557" t="s">
        <v>59</v>
      </c>
      <c r="AF4557" s="1">
        <v>39681</v>
      </c>
      <c r="AG4557" t="s">
        <v>137</v>
      </c>
      <c r="AH4557" t="s">
        <v>138</v>
      </c>
      <c r="AI4557" t="str">
        <f>"5040050"</f>
        <v>5040050</v>
      </c>
      <c r="AJ4557" t="s">
        <v>6750</v>
      </c>
      <c r="AK4557">
        <v>2821043147</v>
      </c>
      <c r="AL4557" t="s">
        <v>6751</v>
      </c>
      <c r="AM4557" t="s">
        <v>88</v>
      </c>
      <c r="AN4557" t="s">
        <v>88</v>
      </c>
      <c r="AO4557" t="s">
        <v>88</v>
      </c>
      <c r="AP4557" t="s">
        <v>88</v>
      </c>
      <c r="AQ4557">
        <v>1</v>
      </c>
      <c r="AR4557" t="s">
        <v>6729</v>
      </c>
      <c r="AS4557" t="s">
        <v>6730</v>
      </c>
      <c r="AT4557" t="s">
        <v>58</v>
      </c>
      <c r="AU4557" t="s">
        <v>68</v>
      </c>
      <c r="AV4557" t="s">
        <v>69</v>
      </c>
      <c r="AW4557" s="1">
        <v>23079</v>
      </c>
      <c r="AX4557">
        <v>2</v>
      </c>
    </row>
    <row r="4558" spans="1:50">
      <c r="A4558">
        <v>704144</v>
      </c>
      <c r="B4558" t="str">
        <f>"066968054"</f>
        <v>066968054</v>
      </c>
      <c r="C4558" t="s">
        <v>50</v>
      </c>
      <c r="D4558" t="s">
        <v>8329</v>
      </c>
      <c r="E4558" t="s">
        <v>484</v>
      </c>
      <c r="F4558" t="s">
        <v>995</v>
      </c>
      <c r="G4558" t="s">
        <v>8330</v>
      </c>
      <c r="H4558" t="str">
        <f>"ΠΛΑΤΩΝΟΣ 17 ΘΕΣΣΑΛΟΝΙΚΗ"</f>
        <v>ΠΛΑΤΩΝΟΣ 17 ΘΕΣΣΑΛΟΝΙΚΗ</v>
      </c>
      <c r="I4558">
        <v>56224</v>
      </c>
      <c r="J4558">
        <v>2310574016</v>
      </c>
      <c r="K4558">
        <v>6977590827</v>
      </c>
      <c r="M4558" t="s">
        <v>8331</v>
      </c>
      <c r="N4558" t="s">
        <v>306</v>
      </c>
      <c r="O4558" t="s">
        <v>307</v>
      </c>
      <c r="R4558" t="s">
        <v>121</v>
      </c>
      <c r="S4558">
        <v>4</v>
      </c>
      <c r="T4558">
        <v>1350</v>
      </c>
      <c r="U4558" s="1">
        <v>42732</v>
      </c>
      <c r="V4558" t="s">
        <v>6729</v>
      </c>
      <c r="W4558" t="s">
        <v>6730</v>
      </c>
      <c r="X4558" t="s">
        <v>58</v>
      </c>
      <c r="Y4558">
        <v>21</v>
      </c>
      <c r="Z4558" t="s">
        <v>59</v>
      </c>
      <c r="AA4558" t="s">
        <v>59</v>
      </c>
      <c r="AB4558" t="s">
        <v>59</v>
      </c>
      <c r="AC4558" t="s">
        <v>59</v>
      </c>
      <c r="AD4558" t="s">
        <v>59</v>
      </c>
      <c r="AF4558" s="1">
        <v>42734</v>
      </c>
      <c r="AG4558" t="s">
        <v>148</v>
      </c>
      <c r="AH4558" t="s">
        <v>149</v>
      </c>
      <c r="AI4558" t="str">
        <f>"5055010"</f>
        <v>5055010</v>
      </c>
      <c r="AJ4558" t="s">
        <v>6868</v>
      </c>
      <c r="AK4558">
        <v>2823041416</v>
      </c>
      <c r="AL4558" t="s">
        <v>6869</v>
      </c>
      <c r="AM4558" t="s">
        <v>88</v>
      </c>
      <c r="AN4558" t="s">
        <v>6824</v>
      </c>
      <c r="AO4558" t="s">
        <v>6870</v>
      </c>
      <c r="AP4558" t="s">
        <v>6871</v>
      </c>
      <c r="AQ4558">
        <v>1</v>
      </c>
      <c r="AR4558" t="s">
        <v>6729</v>
      </c>
      <c r="AS4558" t="s">
        <v>6730</v>
      </c>
      <c r="AT4558" t="s">
        <v>58</v>
      </c>
      <c r="AU4558" t="s">
        <v>68</v>
      </c>
      <c r="AV4558" t="s">
        <v>132</v>
      </c>
      <c r="AW4558" s="1">
        <v>27522</v>
      </c>
      <c r="AX4558">
        <v>2</v>
      </c>
    </row>
    <row r="4559" spans="1:50">
      <c r="B4559" t="str">
        <f>"141987368"</f>
        <v>141987368</v>
      </c>
      <c r="C4559" t="s">
        <v>105</v>
      </c>
      <c r="D4559" t="s">
        <v>3834</v>
      </c>
      <c r="E4559" t="s">
        <v>84</v>
      </c>
      <c r="F4559" t="s">
        <v>309</v>
      </c>
      <c r="G4559" t="s">
        <v>255</v>
      </c>
      <c r="H4559" t="str">
        <f>" "</f>
        <v xml:space="preserve"> </v>
      </c>
      <c r="K4559">
        <v>6982627047</v>
      </c>
      <c r="N4559" t="s">
        <v>337</v>
      </c>
      <c r="O4559" t="s">
        <v>338</v>
      </c>
      <c r="R4559" t="s">
        <v>159</v>
      </c>
      <c r="S4559">
        <v>2</v>
      </c>
      <c r="T4559" t="s">
        <v>1908</v>
      </c>
      <c r="U4559" s="1">
        <v>43368</v>
      </c>
      <c r="V4559" t="s">
        <v>6729</v>
      </c>
      <c r="W4559" t="s">
        <v>6730</v>
      </c>
      <c r="X4559" t="s">
        <v>58</v>
      </c>
      <c r="Y4559">
        <v>23</v>
      </c>
      <c r="Z4559" t="s">
        <v>59</v>
      </c>
      <c r="AA4559" t="s">
        <v>59</v>
      </c>
      <c r="AB4559" t="s">
        <v>59</v>
      </c>
      <c r="AC4559" t="s">
        <v>59</v>
      </c>
      <c r="AD4559" t="s">
        <v>59</v>
      </c>
      <c r="AF4559" s="1">
        <v>43368</v>
      </c>
      <c r="AG4559" t="s">
        <v>125</v>
      </c>
      <c r="AH4559" t="s">
        <v>294</v>
      </c>
      <c r="AI4559" t="str">
        <f>"5012017"</f>
        <v>5012017</v>
      </c>
      <c r="AJ4559" t="s">
        <v>6859</v>
      </c>
      <c r="AK4559">
        <v>2821088065</v>
      </c>
      <c r="AL4559" t="s">
        <v>6860</v>
      </c>
      <c r="AM4559" t="s">
        <v>88</v>
      </c>
      <c r="AN4559" t="s">
        <v>88</v>
      </c>
      <c r="AO4559" t="s">
        <v>88</v>
      </c>
      <c r="AP4559" t="s">
        <v>88</v>
      </c>
      <c r="AQ4559">
        <v>1</v>
      </c>
      <c r="AR4559" t="s">
        <v>6729</v>
      </c>
      <c r="AS4559" t="s">
        <v>6730</v>
      </c>
      <c r="AT4559" t="s">
        <v>58</v>
      </c>
      <c r="AU4559" t="s">
        <v>164</v>
      </c>
      <c r="AV4559" t="s">
        <v>132</v>
      </c>
      <c r="AW4559" s="1">
        <v>32548</v>
      </c>
      <c r="AX4559">
        <v>2</v>
      </c>
    </row>
    <row r="4560" spans="1:50">
      <c r="A4560">
        <v>194089</v>
      </c>
      <c r="B4560" t="str">
        <f>"125501871"</f>
        <v>125501871</v>
      </c>
      <c r="C4560" t="s">
        <v>50</v>
      </c>
      <c r="D4560" t="s">
        <v>8332</v>
      </c>
      <c r="E4560" t="s">
        <v>237</v>
      </c>
      <c r="F4560" t="s">
        <v>510</v>
      </c>
      <c r="G4560" t="s">
        <v>181</v>
      </c>
      <c r="H4560" t="str">
        <f>"Σ. ΧΙΟΝΟΥΔΑΚΗ 4 ΧΑΝΙΑ"</f>
        <v>Σ. ΧΙΟΝΟΥΔΑΚΗ 4 ΧΑΝΙΑ</v>
      </c>
      <c r="I4560">
        <v>73100</v>
      </c>
      <c r="J4560">
        <v>2821500889</v>
      </c>
      <c r="K4560">
        <v>6975811849</v>
      </c>
      <c r="M4560" t="s">
        <v>8333</v>
      </c>
      <c r="N4560" t="s">
        <v>306</v>
      </c>
      <c r="O4560" t="s">
        <v>307</v>
      </c>
      <c r="R4560" t="s">
        <v>57</v>
      </c>
      <c r="S4560">
        <v>11</v>
      </c>
      <c r="T4560">
        <v>193</v>
      </c>
      <c r="U4560" s="1">
        <v>37497</v>
      </c>
      <c r="V4560" t="s">
        <v>6729</v>
      </c>
      <c r="W4560" t="s">
        <v>6730</v>
      </c>
      <c r="X4560" t="s">
        <v>58</v>
      </c>
      <c r="Y4560">
        <v>18</v>
      </c>
      <c r="Z4560" t="s">
        <v>59</v>
      </c>
      <c r="AA4560" t="s">
        <v>59</v>
      </c>
      <c r="AB4560" t="s">
        <v>59</v>
      </c>
      <c r="AC4560" t="s">
        <v>59</v>
      </c>
      <c r="AD4560" t="s">
        <v>59</v>
      </c>
      <c r="AF4560" s="1">
        <v>37502</v>
      </c>
      <c r="AG4560" t="s">
        <v>148</v>
      </c>
      <c r="AH4560" t="s">
        <v>149</v>
      </c>
      <c r="AI4560" t="str">
        <f>"5090080"</f>
        <v>5090080</v>
      </c>
      <c r="AJ4560" t="s">
        <v>6906</v>
      </c>
      <c r="AK4560">
        <v>2821096638</v>
      </c>
      <c r="AL4560" t="s">
        <v>6907</v>
      </c>
      <c r="AM4560" t="s">
        <v>88</v>
      </c>
      <c r="AN4560" t="s">
        <v>88</v>
      </c>
      <c r="AO4560" t="s">
        <v>88</v>
      </c>
      <c r="AP4560" t="s">
        <v>88</v>
      </c>
      <c r="AQ4560">
        <v>1</v>
      </c>
      <c r="AR4560" t="s">
        <v>6729</v>
      </c>
      <c r="AS4560" t="s">
        <v>6730</v>
      </c>
      <c r="AT4560" t="s">
        <v>58</v>
      </c>
      <c r="AU4560" t="s">
        <v>68</v>
      </c>
      <c r="AV4560" t="s">
        <v>132</v>
      </c>
      <c r="AW4560" s="1">
        <v>25963</v>
      </c>
      <c r="AX4560">
        <v>2</v>
      </c>
    </row>
    <row r="4561" spans="1:50">
      <c r="A4561">
        <v>211547</v>
      </c>
      <c r="B4561" t="str">
        <f>"113195792"</f>
        <v>113195792</v>
      </c>
      <c r="C4561" t="s">
        <v>105</v>
      </c>
      <c r="D4561" t="s">
        <v>8334</v>
      </c>
      <c r="E4561" t="s">
        <v>154</v>
      </c>
      <c r="F4561" t="s">
        <v>72</v>
      </c>
      <c r="G4561" t="s">
        <v>52</v>
      </c>
      <c r="H4561" t="str">
        <f>"6η ΠΑΡ. ΑΓ. ΟΝΟΥΦΡΙΟΥ Τ.Θ. 581 ΑΚΡΩΤΗΡΙ - ΧΑΝΙΑ"</f>
        <v>6η ΠΑΡ. ΑΓ. ΟΝΟΥΦΡΙΟΥ Τ.Θ. 581 ΑΚΡΩΤΗΡΙ - ΧΑΝΙΑ</v>
      </c>
      <c r="I4561">
        <v>73142</v>
      </c>
      <c r="J4561">
        <v>2821059130</v>
      </c>
      <c r="K4561">
        <v>6974623422</v>
      </c>
      <c r="M4561" t="s">
        <v>8335</v>
      </c>
      <c r="N4561" t="s">
        <v>204</v>
      </c>
      <c r="O4561" t="s">
        <v>205</v>
      </c>
      <c r="P4561" t="s">
        <v>331</v>
      </c>
      <c r="Q4561" t="s">
        <v>332</v>
      </c>
      <c r="R4561" t="s">
        <v>57</v>
      </c>
      <c r="S4561">
        <v>6</v>
      </c>
      <c r="T4561">
        <v>316</v>
      </c>
      <c r="U4561" s="1">
        <v>38684</v>
      </c>
      <c r="V4561" t="s">
        <v>6729</v>
      </c>
      <c r="W4561" t="s">
        <v>6730</v>
      </c>
      <c r="X4561" t="s">
        <v>58</v>
      </c>
      <c r="Y4561">
        <v>20</v>
      </c>
      <c r="Z4561" t="s">
        <v>59</v>
      </c>
      <c r="AA4561" t="s">
        <v>59</v>
      </c>
      <c r="AB4561" t="s">
        <v>59</v>
      </c>
      <c r="AC4561" t="s">
        <v>59</v>
      </c>
      <c r="AD4561" t="s">
        <v>59</v>
      </c>
      <c r="AF4561" s="1">
        <v>38684</v>
      </c>
      <c r="AG4561" t="s">
        <v>125</v>
      </c>
      <c r="AH4561" t="s">
        <v>126</v>
      </c>
      <c r="AI4561" t="str">
        <f>"5005010"</f>
        <v>5005010</v>
      </c>
      <c r="AJ4561" t="s">
        <v>7100</v>
      </c>
      <c r="AK4561">
        <v>2823041217</v>
      </c>
      <c r="AL4561" t="s">
        <v>7101</v>
      </c>
      <c r="AM4561" t="s">
        <v>88</v>
      </c>
      <c r="AN4561" t="s">
        <v>6824</v>
      </c>
      <c r="AO4561" t="s">
        <v>6870</v>
      </c>
      <c r="AP4561" t="s">
        <v>6871</v>
      </c>
      <c r="AQ4561">
        <v>1</v>
      </c>
      <c r="AR4561" t="s">
        <v>6729</v>
      </c>
      <c r="AS4561" t="s">
        <v>6730</v>
      </c>
      <c r="AT4561" t="s">
        <v>58</v>
      </c>
      <c r="AU4561" t="s">
        <v>68</v>
      </c>
      <c r="AV4561" t="s">
        <v>69</v>
      </c>
      <c r="AW4561" s="1">
        <v>28208</v>
      </c>
      <c r="AX4561">
        <v>2</v>
      </c>
    </row>
    <row r="4562" spans="1:50">
      <c r="A4562">
        <v>214998</v>
      </c>
      <c r="B4562" t="str">
        <f>"032638980"</f>
        <v>032638980</v>
      </c>
      <c r="C4562" t="s">
        <v>105</v>
      </c>
      <c r="D4562" t="s">
        <v>3839</v>
      </c>
      <c r="E4562" t="s">
        <v>84</v>
      </c>
      <c r="F4562" t="s">
        <v>377</v>
      </c>
      <c r="G4562" t="s">
        <v>96</v>
      </c>
      <c r="H4562" t="str">
        <f>" "</f>
        <v xml:space="preserve"> </v>
      </c>
      <c r="J4562">
        <v>2821050394</v>
      </c>
      <c r="K4562">
        <v>6977558739</v>
      </c>
      <c r="N4562" t="s">
        <v>168</v>
      </c>
      <c r="O4562" t="s">
        <v>169</v>
      </c>
      <c r="R4562" t="s">
        <v>57</v>
      </c>
      <c r="S4562">
        <v>7</v>
      </c>
      <c r="T4562">
        <v>231</v>
      </c>
      <c r="U4562" s="1">
        <v>38960</v>
      </c>
      <c r="V4562" t="s">
        <v>6729</v>
      </c>
      <c r="W4562" t="s">
        <v>6730</v>
      </c>
      <c r="X4562" t="s">
        <v>58</v>
      </c>
      <c r="Y4562">
        <v>20</v>
      </c>
      <c r="Z4562" t="s">
        <v>59</v>
      </c>
      <c r="AA4562" t="s">
        <v>59</v>
      </c>
      <c r="AB4562" t="s">
        <v>59</v>
      </c>
      <c r="AC4562" t="s">
        <v>59</v>
      </c>
      <c r="AD4562" t="s">
        <v>59</v>
      </c>
      <c r="AF4562" s="1">
        <v>38961</v>
      </c>
      <c r="AG4562" t="s">
        <v>137</v>
      </c>
      <c r="AH4562" t="s">
        <v>469</v>
      </c>
      <c r="AI4562" t="str">
        <f>"5040055"</f>
        <v>5040055</v>
      </c>
      <c r="AJ4562" t="s">
        <v>6940</v>
      </c>
      <c r="AK4562">
        <v>2821036404</v>
      </c>
      <c r="AL4562" t="s">
        <v>6941</v>
      </c>
      <c r="AM4562" t="s">
        <v>88</v>
      </c>
      <c r="AN4562" t="s">
        <v>88</v>
      </c>
      <c r="AO4562" t="s">
        <v>88</v>
      </c>
      <c r="AP4562" t="s">
        <v>88</v>
      </c>
      <c r="AQ4562">
        <v>1</v>
      </c>
      <c r="AR4562" t="s">
        <v>6729</v>
      </c>
      <c r="AS4562" t="s">
        <v>6730</v>
      </c>
      <c r="AT4562" t="s">
        <v>58</v>
      </c>
      <c r="AU4562" t="s">
        <v>68</v>
      </c>
      <c r="AV4562" t="s">
        <v>69</v>
      </c>
      <c r="AW4562" s="1">
        <v>23042</v>
      </c>
      <c r="AX4562">
        <v>2</v>
      </c>
    </row>
    <row r="4563" spans="1:50">
      <c r="A4563">
        <v>185521</v>
      </c>
      <c r="B4563" t="str">
        <f>"050789217"</f>
        <v>050789217</v>
      </c>
      <c r="C4563" t="s">
        <v>50</v>
      </c>
      <c r="D4563" t="s">
        <v>3845</v>
      </c>
      <c r="E4563" t="s">
        <v>396</v>
      </c>
      <c r="F4563" t="s">
        <v>6208</v>
      </c>
      <c r="G4563" t="s">
        <v>109</v>
      </c>
      <c r="H4563" t="str">
        <f>"ΛΑΦΟΝΗΣΙΟΥ 12 "</f>
        <v xml:space="preserve">ΛΑΦΟΝΗΣΙΟΥ 12 </v>
      </c>
      <c r="J4563">
        <v>2821071697</v>
      </c>
      <c r="K4563">
        <v>6978574663</v>
      </c>
      <c r="M4563" t="s">
        <v>8336</v>
      </c>
      <c r="N4563" t="s">
        <v>299</v>
      </c>
      <c r="O4563" t="s">
        <v>300</v>
      </c>
      <c r="P4563" t="s">
        <v>615</v>
      </c>
      <c r="Q4563" t="s">
        <v>616</v>
      </c>
      <c r="R4563" t="s">
        <v>57</v>
      </c>
      <c r="S4563">
        <v>12</v>
      </c>
      <c r="T4563">
        <v>165</v>
      </c>
      <c r="U4563" s="1">
        <v>35300</v>
      </c>
      <c r="V4563" t="s">
        <v>6729</v>
      </c>
      <c r="W4563" t="s">
        <v>6730</v>
      </c>
      <c r="X4563" t="s">
        <v>58</v>
      </c>
      <c r="Y4563">
        <v>18</v>
      </c>
      <c r="Z4563" t="s">
        <v>59</v>
      </c>
      <c r="AA4563" t="s">
        <v>59</v>
      </c>
      <c r="AB4563" t="s">
        <v>59</v>
      </c>
      <c r="AC4563" t="s">
        <v>59</v>
      </c>
      <c r="AD4563" t="s">
        <v>59</v>
      </c>
      <c r="AF4563" s="1">
        <v>35313</v>
      </c>
      <c r="AG4563" t="s">
        <v>148</v>
      </c>
      <c r="AH4563" t="s">
        <v>149</v>
      </c>
      <c r="AI4563" t="str">
        <f>"5051010"</f>
        <v>5051010</v>
      </c>
      <c r="AJ4563" t="s">
        <v>6896</v>
      </c>
      <c r="AK4563">
        <v>2821028714</v>
      </c>
      <c r="AL4563" t="s">
        <v>6897</v>
      </c>
      <c r="AM4563" t="s">
        <v>88</v>
      </c>
      <c r="AN4563" t="s">
        <v>88</v>
      </c>
      <c r="AO4563" t="s">
        <v>88</v>
      </c>
      <c r="AP4563" t="s">
        <v>88</v>
      </c>
      <c r="AQ4563">
        <v>1</v>
      </c>
      <c r="AR4563" t="s">
        <v>6729</v>
      </c>
      <c r="AS4563" t="s">
        <v>6730</v>
      </c>
      <c r="AT4563" t="s">
        <v>58</v>
      </c>
      <c r="AU4563" t="s">
        <v>68</v>
      </c>
      <c r="AV4563" t="s">
        <v>69</v>
      </c>
      <c r="AW4563" s="1">
        <v>23246</v>
      </c>
      <c r="AX4563">
        <v>2</v>
      </c>
    </row>
    <row r="4564" spans="1:50">
      <c r="A4564">
        <v>182678</v>
      </c>
      <c r="B4564" t="str">
        <f>"039586810"</f>
        <v>039586810</v>
      </c>
      <c r="C4564" t="s">
        <v>105</v>
      </c>
      <c r="D4564" t="s">
        <v>8337</v>
      </c>
      <c r="E4564" t="s">
        <v>309</v>
      </c>
      <c r="F4564" t="s">
        <v>2014</v>
      </c>
      <c r="G4564" t="s">
        <v>8338</v>
      </c>
      <c r="H4564" t="str">
        <f>"ΕΛΕΥΘΕΡΙΑΣ 22 ΧΑΝΙΑ"</f>
        <v>ΕΛΕΥΘΕΡΙΑΣ 22 ΧΑΝΙΑ</v>
      </c>
      <c r="I4564">
        <v>73300</v>
      </c>
      <c r="J4564">
        <v>2821076409</v>
      </c>
      <c r="K4564">
        <v>6973491620</v>
      </c>
      <c r="N4564" t="s">
        <v>292</v>
      </c>
      <c r="O4564" t="s">
        <v>293</v>
      </c>
      <c r="R4564" t="s">
        <v>57</v>
      </c>
      <c r="S4564">
        <v>12</v>
      </c>
      <c r="T4564">
        <v>249</v>
      </c>
      <c r="U4564" s="1">
        <v>36160</v>
      </c>
      <c r="V4564" t="s">
        <v>6729</v>
      </c>
      <c r="W4564" t="s">
        <v>6730</v>
      </c>
      <c r="X4564" t="s">
        <v>58</v>
      </c>
      <c r="Y4564">
        <v>18</v>
      </c>
      <c r="Z4564" t="s">
        <v>59</v>
      </c>
      <c r="AA4564" t="s">
        <v>59</v>
      </c>
      <c r="AB4564" t="s">
        <v>59</v>
      </c>
      <c r="AC4564" t="s">
        <v>59</v>
      </c>
      <c r="AD4564" t="s">
        <v>59</v>
      </c>
      <c r="AF4564" s="1">
        <v>36172</v>
      </c>
      <c r="AG4564" t="s">
        <v>148</v>
      </c>
      <c r="AH4564" t="s">
        <v>149</v>
      </c>
      <c r="AI4564" t="str">
        <f>"5051030"</f>
        <v>5051030</v>
      </c>
      <c r="AJ4564" t="s">
        <v>6760</v>
      </c>
      <c r="AK4564">
        <v>2821027533</v>
      </c>
      <c r="AL4564" t="s">
        <v>6761</v>
      </c>
      <c r="AM4564" t="s">
        <v>88</v>
      </c>
      <c r="AN4564" t="s">
        <v>88</v>
      </c>
      <c r="AO4564" t="s">
        <v>88</v>
      </c>
      <c r="AP4564" t="s">
        <v>88</v>
      </c>
      <c r="AQ4564">
        <v>1</v>
      </c>
      <c r="AR4564" t="s">
        <v>6729</v>
      </c>
      <c r="AS4564" t="s">
        <v>6730</v>
      </c>
      <c r="AT4564" t="s">
        <v>58</v>
      </c>
      <c r="AU4564" t="s">
        <v>68</v>
      </c>
      <c r="AV4564" t="s">
        <v>69</v>
      </c>
      <c r="AW4564" s="1">
        <v>22132</v>
      </c>
      <c r="AX4564">
        <v>2</v>
      </c>
    </row>
    <row r="4565" spans="1:50">
      <c r="A4565">
        <v>219889</v>
      </c>
      <c r="B4565" t="str">
        <f>"113178027"</f>
        <v>113178027</v>
      </c>
      <c r="C4565" t="s">
        <v>50</v>
      </c>
      <c r="D4565" t="s">
        <v>8339</v>
      </c>
      <c r="E4565" t="s">
        <v>112</v>
      </c>
      <c r="F4565" t="s">
        <v>2184</v>
      </c>
      <c r="G4565" t="s">
        <v>250</v>
      </c>
      <c r="H4565" t="str">
        <f>" "</f>
        <v xml:space="preserve"> </v>
      </c>
      <c r="J4565">
        <v>2821029831</v>
      </c>
      <c r="K4565">
        <v>6944173409</v>
      </c>
      <c r="N4565" t="s">
        <v>176</v>
      </c>
      <c r="O4565" t="s">
        <v>177</v>
      </c>
      <c r="R4565" t="s">
        <v>57</v>
      </c>
      <c r="S4565">
        <v>5</v>
      </c>
      <c r="T4565">
        <v>599</v>
      </c>
      <c r="U4565" s="1">
        <v>39310</v>
      </c>
      <c r="V4565" t="s">
        <v>6729</v>
      </c>
      <c r="W4565" t="s">
        <v>6730</v>
      </c>
      <c r="X4565" t="s">
        <v>58</v>
      </c>
      <c r="Y4565">
        <v>21</v>
      </c>
      <c r="Z4565" t="s">
        <v>59</v>
      </c>
      <c r="AA4565" t="s">
        <v>59</v>
      </c>
      <c r="AB4565" t="s">
        <v>59</v>
      </c>
      <c r="AC4565" t="s">
        <v>59</v>
      </c>
      <c r="AD4565" t="s">
        <v>59</v>
      </c>
      <c r="AF4565" s="1">
        <v>39328</v>
      </c>
      <c r="AG4565" t="s">
        <v>125</v>
      </c>
      <c r="AH4565" t="s">
        <v>126</v>
      </c>
      <c r="AI4565" t="str">
        <f>"5005010"</f>
        <v>5005010</v>
      </c>
      <c r="AJ4565" t="s">
        <v>7100</v>
      </c>
      <c r="AK4565">
        <v>2823041217</v>
      </c>
      <c r="AL4565" t="s">
        <v>7101</v>
      </c>
      <c r="AM4565" t="s">
        <v>88</v>
      </c>
      <c r="AN4565" t="s">
        <v>6824</v>
      </c>
      <c r="AO4565" t="s">
        <v>6870</v>
      </c>
      <c r="AP4565" t="s">
        <v>6871</v>
      </c>
      <c r="AQ4565">
        <v>1</v>
      </c>
      <c r="AR4565" t="s">
        <v>6729</v>
      </c>
      <c r="AS4565" t="s">
        <v>6730</v>
      </c>
      <c r="AT4565" t="s">
        <v>58</v>
      </c>
      <c r="AU4565" t="s">
        <v>68</v>
      </c>
      <c r="AV4565" t="s">
        <v>69</v>
      </c>
      <c r="AW4565" s="1">
        <v>29740</v>
      </c>
      <c r="AX4565">
        <v>2</v>
      </c>
    </row>
    <row r="4566" spans="1:50">
      <c r="A4566">
        <v>229719</v>
      </c>
      <c r="B4566" t="str">
        <f>"101551148"</f>
        <v>101551148</v>
      </c>
      <c r="C4566" t="s">
        <v>50</v>
      </c>
      <c r="D4566" t="s">
        <v>8340</v>
      </c>
      <c r="E4566" t="s">
        <v>755</v>
      </c>
      <c r="F4566" t="s">
        <v>106</v>
      </c>
      <c r="G4566" t="s">
        <v>237</v>
      </c>
      <c r="H4566" t="str">
        <f>"ΝΙΚ. ΣΚΟΥΛΑ 80 ΧΑΝΙΑ"</f>
        <v>ΝΙΚ. ΣΚΟΥΛΑ 80 ΧΑΝΙΑ</v>
      </c>
      <c r="I4566">
        <v>73100</v>
      </c>
      <c r="K4566">
        <v>6948249585</v>
      </c>
      <c r="M4566" t="s">
        <v>8341</v>
      </c>
      <c r="N4566" t="s">
        <v>907</v>
      </c>
      <c r="O4566" t="s">
        <v>908</v>
      </c>
      <c r="R4566" t="s">
        <v>57</v>
      </c>
      <c r="S4566">
        <v>5</v>
      </c>
      <c r="T4566">
        <v>988</v>
      </c>
      <c r="U4566" s="1">
        <v>40157</v>
      </c>
      <c r="V4566" t="s">
        <v>6729</v>
      </c>
      <c r="W4566" t="s">
        <v>6730</v>
      </c>
      <c r="X4566" t="s">
        <v>58</v>
      </c>
      <c r="Y4566">
        <v>21</v>
      </c>
      <c r="Z4566" t="s">
        <v>59</v>
      </c>
      <c r="AA4566" t="s">
        <v>59</v>
      </c>
      <c r="AB4566" t="s">
        <v>59</v>
      </c>
      <c r="AC4566" t="s">
        <v>59</v>
      </c>
      <c r="AD4566" t="s">
        <v>59</v>
      </c>
      <c r="AF4566" s="1">
        <v>40161</v>
      </c>
      <c r="AG4566" t="s">
        <v>137</v>
      </c>
      <c r="AH4566" t="s">
        <v>469</v>
      </c>
      <c r="AI4566" t="str">
        <f>"5040055"</f>
        <v>5040055</v>
      </c>
      <c r="AJ4566" t="s">
        <v>6940</v>
      </c>
      <c r="AK4566">
        <v>2821036404</v>
      </c>
      <c r="AL4566" t="s">
        <v>6941</v>
      </c>
      <c r="AM4566" t="s">
        <v>88</v>
      </c>
      <c r="AN4566" t="s">
        <v>88</v>
      </c>
      <c r="AO4566" t="s">
        <v>88</v>
      </c>
      <c r="AP4566" t="s">
        <v>88</v>
      </c>
      <c r="AQ4566">
        <v>1</v>
      </c>
      <c r="AR4566" t="s">
        <v>6729</v>
      </c>
      <c r="AS4566" t="s">
        <v>6730</v>
      </c>
      <c r="AT4566" t="s">
        <v>58</v>
      </c>
      <c r="AU4566" t="s">
        <v>68</v>
      </c>
      <c r="AV4566" t="s">
        <v>69</v>
      </c>
      <c r="AW4566" s="1">
        <v>29596</v>
      </c>
      <c r="AX4566">
        <v>2</v>
      </c>
    </row>
    <row r="4567" spans="1:50">
      <c r="A4567">
        <v>206828</v>
      </c>
      <c r="B4567" t="str">
        <f>"050792873"</f>
        <v>050792873</v>
      </c>
      <c r="C4567" t="s">
        <v>50</v>
      </c>
      <c r="D4567" t="s">
        <v>8340</v>
      </c>
      <c r="E4567" t="s">
        <v>263</v>
      </c>
      <c r="F4567" t="s">
        <v>72</v>
      </c>
      <c r="G4567" t="s">
        <v>8342</v>
      </c>
      <c r="H4567" t="str">
        <f>" "</f>
        <v xml:space="preserve"> </v>
      </c>
      <c r="J4567">
        <v>2821027338</v>
      </c>
      <c r="K4567">
        <v>6974601284</v>
      </c>
      <c r="N4567" t="s">
        <v>146</v>
      </c>
      <c r="O4567" t="s">
        <v>147</v>
      </c>
      <c r="R4567" t="s">
        <v>57</v>
      </c>
      <c r="S4567">
        <v>8</v>
      </c>
      <c r="T4567">
        <v>218</v>
      </c>
      <c r="U4567" s="1">
        <v>38596</v>
      </c>
      <c r="V4567" t="s">
        <v>6729</v>
      </c>
      <c r="W4567" t="s">
        <v>6730</v>
      </c>
      <c r="X4567" t="s">
        <v>58</v>
      </c>
      <c r="Y4567">
        <v>20</v>
      </c>
      <c r="Z4567" t="s">
        <v>59</v>
      </c>
      <c r="AA4567" t="s">
        <v>59</v>
      </c>
      <c r="AB4567" t="s">
        <v>59</v>
      </c>
      <c r="AC4567" t="s">
        <v>59</v>
      </c>
      <c r="AD4567" t="s">
        <v>59</v>
      </c>
      <c r="AF4567" s="1">
        <v>38602</v>
      </c>
      <c r="AG4567" t="s">
        <v>148</v>
      </c>
      <c r="AH4567" t="s">
        <v>149</v>
      </c>
      <c r="AI4567" t="str">
        <f>"5062010"</f>
        <v>5062010</v>
      </c>
      <c r="AJ4567" t="s">
        <v>6783</v>
      </c>
      <c r="AK4567">
        <v>2821031620</v>
      </c>
      <c r="AL4567" t="s">
        <v>6784</v>
      </c>
      <c r="AM4567" t="s">
        <v>88</v>
      </c>
      <c r="AN4567" t="s">
        <v>88</v>
      </c>
      <c r="AO4567" t="s">
        <v>6785</v>
      </c>
      <c r="AP4567" t="s">
        <v>6786</v>
      </c>
      <c r="AQ4567">
        <v>1</v>
      </c>
      <c r="AR4567" t="s">
        <v>6729</v>
      </c>
      <c r="AS4567" t="s">
        <v>6730</v>
      </c>
      <c r="AT4567" t="s">
        <v>58</v>
      </c>
      <c r="AU4567" t="s">
        <v>68</v>
      </c>
      <c r="AV4567" t="s">
        <v>69</v>
      </c>
      <c r="AW4567" s="1">
        <v>24748</v>
      </c>
      <c r="AX4567">
        <v>2</v>
      </c>
    </row>
    <row r="4568" spans="1:50">
      <c r="A4568">
        <v>194972</v>
      </c>
      <c r="B4568" t="str">
        <f>"063648249"</f>
        <v>063648249</v>
      </c>
      <c r="C4568" t="s">
        <v>50</v>
      </c>
      <c r="D4568" t="s">
        <v>8340</v>
      </c>
      <c r="E4568" t="s">
        <v>52</v>
      </c>
      <c r="F4568" t="s">
        <v>95</v>
      </c>
      <c r="G4568" t="s">
        <v>237</v>
      </c>
      <c r="H4568" t="str">
        <f>" "</f>
        <v xml:space="preserve"> </v>
      </c>
      <c r="J4568">
        <v>2821064015</v>
      </c>
      <c r="K4568">
        <v>6977370353</v>
      </c>
      <c r="M4568" t="s">
        <v>8343</v>
      </c>
      <c r="N4568" t="s">
        <v>2348</v>
      </c>
      <c r="O4568" t="s">
        <v>2349</v>
      </c>
      <c r="R4568" t="s">
        <v>57</v>
      </c>
      <c r="S4568">
        <v>12</v>
      </c>
      <c r="T4568">
        <v>193</v>
      </c>
      <c r="U4568" s="1">
        <v>37497</v>
      </c>
      <c r="V4568" t="s">
        <v>6729</v>
      </c>
      <c r="W4568" t="s">
        <v>6730</v>
      </c>
      <c r="X4568" t="s">
        <v>58</v>
      </c>
      <c r="Y4568">
        <v>18</v>
      </c>
      <c r="Z4568" t="s">
        <v>59</v>
      </c>
      <c r="AA4568" t="s">
        <v>59</v>
      </c>
      <c r="AB4568" t="s">
        <v>59</v>
      </c>
      <c r="AC4568" t="s">
        <v>59</v>
      </c>
      <c r="AD4568" t="s">
        <v>59</v>
      </c>
      <c r="AF4568" s="1">
        <v>37501</v>
      </c>
      <c r="AG4568" t="s">
        <v>137</v>
      </c>
      <c r="AH4568" t="s">
        <v>138</v>
      </c>
      <c r="AI4568" t="str">
        <f>"5040080"</f>
        <v>5040080</v>
      </c>
      <c r="AJ4568" t="s">
        <v>6753</v>
      </c>
      <c r="AK4568">
        <v>2821093155</v>
      </c>
      <c r="AL4568" t="s">
        <v>6754</v>
      </c>
      <c r="AM4568" t="s">
        <v>88</v>
      </c>
      <c r="AN4568" t="s">
        <v>88</v>
      </c>
      <c r="AO4568" t="s">
        <v>6733</v>
      </c>
      <c r="AP4568" t="s">
        <v>6755</v>
      </c>
      <c r="AQ4568">
        <v>1</v>
      </c>
      <c r="AR4568" t="s">
        <v>6729</v>
      </c>
      <c r="AS4568" t="s">
        <v>6730</v>
      </c>
      <c r="AT4568" t="s">
        <v>58</v>
      </c>
      <c r="AU4568" t="s">
        <v>68</v>
      </c>
      <c r="AV4568" t="s">
        <v>69</v>
      </c>
      <c r="AW4568" s="1">
        <v>19360</v>
      </c>
      <c r="AX4568">
        <v>2</v>
      </c>
    </row>
    <row r="4569" spans="1:50">
      <c r="A4569">
        <v>150128</v>
      </c>
      <c r="B4569" t="str">
        <f>"032225834"</f>
        <v>032225834</v>
      </c>
      <c r="C4569" t="s">
        <v>50</v>
      </c>
      <c r="D4569" t="s">
        <v>8344</v>
      </c>
      <c r="E4569" t="s">
        <v>396</v>
      </c>
      <c r="F4569" t="s">
        <v>166</v>
      </c>
      <c r="G4569" t="s">
        <v>2127</v>
      </c>
      <c r="H4569" t="str">
        <f>" "</f>
        <v xml:space="preserve"> </v>
      </c>
      <c r="J4569">
        <v>2824022825</v>
      </c>
      <c r="K4569">
        <v>6976123869</v>
      </c>
      <c r="M4569" t="s">
        <v>8345</v>
      </c>
      <c r="N4569" t="s">
        <v>157</v>
      </c>
      <c r="O4569" t="s">
        <v>158</v>
      </c>
      <c r="R4569" t="s">
        <v>57</v>
      </c>
      <c r="S4569">
        <v>16</v>
      </c>
      <c r="T4569">
        <v>170</v>
      </c>
      <c r="U4569" s="1">
        <v>32016</v>
      </c>
      <c r="V4569" t="s">
        <v>6729</v>
      </c>
      <c r="W4569" t="s">
        <v>6730</v>
      </c>
      <c r="X4569" t="s">
        <v>58</v>
      </c>
      <c r="Y4569">
        <v>18</v>
      </c>
      <c r="Z4569" t="s">
        <v>59</v>
      </c>
      <c r="AA4569" t="s">
        <v>59</v>
      </c>
      <c r="AB4569" t="s">
        <v>59</v>
      </c>
      <c r="AC4569" t="s">
        <v>59</v>
      </c>
      <c r="AD4569" t="s">
        <v>59</v>
      </c>
      <c r="AF4569" s="1">
        <v>32021</v>
      </c>
      <c r="AG4569" t="s">
        <v>125</v>
      </c>
      <c r="AH4569" t="s">
        <v>126</v>
      </c>
      <c r="AI4569" t="str">
        <f>"5004010"</f>
        <v>5004010</v>
      </c>
      <c r="AJ4569" t="s">
        <v>7166</v>
      </c>
      <c r="AK4569">
        <v>2822022067</v>
      </c>
      <c r="AL4569" t="s">
        <v>7167</v>
      </c>
      <c r="AM4569" t="s">
        <v>88</v>
      </c>
      <c r="AN4569" t="s">
        <v>6744</v>
      </c>
      <c r="AO4569" t="s">
        <v>6744</v>
      </c>
      <c r="AP4569" t="s">
        <v>6744</v>
      </c>
      <c r="AQ4569">
        <v>1</v>
      </c>
      <c r="AR4569" t="s">
        <v>6729</v>
      </c>
      <c r="AS4569" t="s">
        <v>6730</v>
      </c>
      <c r="AT4569" t="s">
        <v>58</v>
      </c>
      <c r="AU4569" t="s">
        <v>68</v>
      </c>
      <c r="AV4569" t="s">
        <v>69</v>
      </c>
      <c r="AW4569" s="1">
        <v>22171</v>
      </c>
      <c r="AX4569">
        <v>2</v>
      </c>
    </row>
    <row r="4570" spans="1:50">
      <c r="B4570" t="str">
        <f>"136425666"</f>
        <v>136425666</v>
      </c>
      <c r="C4570" t="s">
        <v>50</v>
      </c>
      <c r="D4570" t="s">
        <v>8344</v>
      </c>
      <c r="E4570" t="s">
        <v>250</v>
      </c>
      <c r="F4570" t="s">
        <v>53</v>
      </c>
      <c r="G4570" t="s">
        <v>52</v>
      </c>
      <c r="H4570" t="str">
        <f>"ΜΑΝΟΥΣΟΓΙΑΝΝΑΚΗΔΩΝ 41 ΧΑΝΙΑ"</f>
        <v>ΜΑΝΟΥΣΟΓΙΑΝΝΑΚΗΔΩΝ 41 ΧΑΝΙΑ</v>
      </c>
      <c r="I4570">
        <v>73100</v>
      </c>
      <c r="J4570">
        <v>2821064340</v>
      </c>
      <c r="K4570">
        <v>6974890817</v>
      </c>
      <c r="M4570" t="s">
        <v>8346</v>
      </c>
      <c r="N4570" t="s">
        <v>146</v>
      </c>
      <c r="O4570" t="s">
        <v>147</v>
      </c>
      <c r="R4570" t="s">
        <v>121</v>
      </c>
      <c r="S4570">
        <v>1</v>
      </c>
      <c r="T4570" t="s">
        <v>416</v>
      </c>
      <c r="U4570" s="1">
        <v>43349</v>
      </c>
      <c r="V4570" t="s">
        <v>6729</v>
      </c>
      <c r="W4570" t="s">
        <v>6730</v>
      </c>
      <c r="X4570" t="s">
        <v>58</v>
      </c>
      <c r="Y4570">
        <v>23</v>
      </c>
      <c r="Z4570" t="s">
        <v>59</v>
      </c>
      <c r="AA4570" t="s">
        <v>59</v>
      </c>
      <c r="AB4570" t="s">
        <v>59</v>
      </c>
      <c r="AC4570" t="s">
        <v>59</v>
      </c>
      <c r="AD4570" t="s">
        <v>59</v>
      </c>
      <c r="AF4570" s="1">
        <v>43349</v>
      </c>
      <c r="AG4570" t="s">
        <v>125</v>
      </c>
      <c r="AH4570" t="s">
        <v>126</v>
      </c>
      <c r="AI4570" t="str">
        <f>"5001020"</f>
        <v>5001020</v>
      </c>
      <c r="AJ4570" t="s">
        <v>6739</v>
      </c>
      <c r="AK4570">
        <v>2821042664</v>
      </c>
      <c r="AL4570" t="s">
        <v>6740</v>
      </c>
      <c r="AM4570" t="s">
        <v>88</v>
      </c>
      <c r="AN4570" t="s">
        <v>88</v>
      </c>
      <c r="AO4570" t="s">
        <v>88</v>
      </c>
      <c r="AP4570" t="s">
        <v>88</v>
      </c>
      <c r="AQ4570">
        <v>1</v>
      </c>
      <c r="AR4570" t="s">
        <v>6729</v>
      </c>
      <c r="AS4570" t="s">
        <v>6730</v>
      </c>
      <c r="AT4570" t="s">
        <v>58</v>
      </c>
      <c r="AU4570" t="s">
        <v>419</v>
      </c>
      <c r="AV4570" t="s">
        <v>132</v>
      </c>
      <c r="AW4570" s="1">
        <v>30834</v>
      </c>
      <c r="AX4570">
        <v>2</v>
      </c>
    </row>
    <row r="4571" spans="1:50">
      <c r="A4571">
        <v>612956</v>
      </c>
      <c r="B4571" t="str">
        <f>"100641316"</f>
        <v>100641316</v>
      </c>
      <c r="C4571" t="s">
        <v>50</v>
      </c>
      <c r="D4571" t="s">
        <v>8344</v>
      </c>
      <c r="E4571" t="s">
        <v>52</v>
      </c>
      <c r="F4571" t="s">
        <v>72</v>
      </c>
      <c r="G4571" t="s">
        <v>366</v>
      </c>
      <c r="H4571" t="str">
        <f>" "</f>
        <v xml:space="preserve"> </v>
      </c>
      <c r="J4571">
        <v>2821064912</v>
      </c>
      <c r="K4571">
        <v>6947202606</v>
      </c>
      <c r="N4571" t="s">
        <v>8347</v>
      </c>
      <c r="O4571" t="s">
        <v>8348</v>
      </c>
      <c r="R4571" t="s">
        <v>57</v>
      </c>
      <c r="S4571">
        <v>15</v>
      </c>
      <c r="T4571" t="s">
        <v>8349</v>
      </c>
      <c r="U4571" s="1">
        <v>39211</v>
      </c>
      <c r="V4571" t="s">
        <v>6729</v>
      </c>
      <c r="W4571" t="s">
        <v>6730</v>
      </c>
      <c r="X4571" t="s">
        <v>58</v>
      </c>
      <c r="Y4571">
        <v>21</v>
      </c>
      <c r="Z4571" t="s">
        <v>59</v>
      </c>
      <c r="AA4571" t="s">
        <v>59</v>
      </c>
      <c r="AB4571" t="s">
        <v>59</v>
      </c>
      <c r="AC4571" t="s">
        <v>59</v>
      </c>
      <c r="AD4571" t="s">
        <v>59</v>
      </c>
      <c r="AF4571" s="1">
        <v>39211</v>
      </c>
      <c r="AG4571" t="s">
        <v>345</v>
      </c>
      <c r="AH4571" t="s">
        <v>346</v>
      </c>
      <c r="AI4571" t="str">
        <f>"5041001"</f>
        <v>5041001</v>
      </c>
      <c r="AJ4571" t="s">
        <v>6840</v>
      </c>
      <c r="AK4571">
        <v>2821052100</v>
      </c>
      <c r="AL4571" t="s">
        <v>6841</v>
      </c>
      <c r="AM4571" t="s">
        <v>88</v>
      </c>
      <c r="AN4571" t="s">
        <v>88</v>
      </c>
      <c r="AO4571" t="s">
        <v>88</v>
      </c>
      <c r="AP4571" t="s">
        <v>88</v>
      </c>
      <c r="AQ4571">
        <v>1</v>
      </c>
      <c r="AR4571" t="s">
        <v>6729</v>
      </c>
      <c r="AS4571" t="s">
        <v>6730</v>
      </c>
      <c r="AT4571" t="s">
        <v>58</v>
      </c>
      <c r="AU4571" t="s">
        <v>68</v>
      </c>
      <c r="AV4571" t="s">
        <v>69</v>
      </c>
      <c r="AW4571" s="1">
        <v>23446</v>
      </c>
      <c r="AX4571">
        <v>2</v>
      </c>
    </row>
    <row r="4572" spans="1:50">
      <c r="A4572">
        <v>207521</v>
      </c>
      <c r="B4572" t="str">
        <f>"074842918"</f>
        <v>074842918</v>
      </c>
      <c r="C4572" t="s">
        <v>105</v>
      </c>
      <c r="D4572" t="s">
        <v>3860</v>
      </c>
      <c r="E4572" t="s">
        <v>1363</v>
      </c>
      <c r="F4572" t="s">
        <v>166</v>
      </c>
      <c r="G4572" t="s">
        <v>255</v>
      </c>
      <c r="H4572" t="str">
        <f>"ΚΑΘΙΑΝΑ ΑΚΡΩΤΗΡΙΟΥ ΧΑΝΙΑ"</f>
        <v>ΚΑΘΙΑΝΑ ΑΚΡΩΤΗΡΙΟΥ ΧΑΝΙΑ</v>
      </c>
      <c r="J4572">
        <v>2821063651</v>
      </c>
      <c r="K4572">
        <v>6972310090</v>
      </c>
      <c r="M4572" t="s">
        <v>8350</v>
      </c>
      <c r="N4572" t="s">
        <v>478</v>
      </c>
      <c r="O4572" t="s">
        <v>479</v>
      </c>
      <c r="R4572" t="s">
        <v>57</v>
      </c>
      <c r="S4572">
        <v>8</v>
      </c>
      <c r="T4572">
        <v>218</v>
      </c>
      <c r="U4572" s="1">
        <v>38596</v>
      </c>
      <c r="V4572" t="s">
        <v>6729</v>
      </c>
      <c r="W4572" t="s">
        <v>6730</v>
      </c>
      <c r="X4572" t="s">
        <v>58</v>
      </c>
      <c r="Y4572">
        <v>20</v>
      </c>
      <c r="Z4572" t="s">
        <v>59</v>
      </c>
      <c r="AA4572" t="s">
        <v>59</v>
      </c>
      <c r="AB4572" t="s">
        <v>59</v>
      </c>
      <c r="AC4572" t="s">
        <v>59</v>
      </c>
      <c r="AD4572" t="s">
        <v>59</v>
      </c>
      <c r="AF4572" s="1">
        <v>38600</v>
      </c>
      <c r="AG4572" t="s">
        <v>125</v>
      </c>
      <c r="AH4572" t="s">
        <v>126</v>
      </c>
      <c r="AI4572" t="str">
        <f>"5010010"</f>
        <v>5010010</v>
      </c>
      <c r="AJ4572" t="s">
        <v>6779</v>
      </c>
      <c r="AK4572">
        <v>2825051288</v>
      </c>
      <c r="AL4572" t="s">
        <v>6780</v>
      </c>
      <c r="AM4572" t="s">
        <v>88</v>
      </c>
      <c r="AN4572" t="s">
        <v>6775</v>
      </c>
      <c r="AO4572" t="s">
        <v>6781</v>
      </c>
      <c r="AP4572" t="s">
        <v>6782</v>
      </c>
      <c r="AQ4572">
        <v>1</v>
      </c>
      <c r="AR4572" t="s">
        <v>6729</v>
      </c>
      <c r="AS4572" t="s">
        <v>6730</v>
      </c>
      <c r="AT4572" t="s">
        <v>58</v>
      </c>
      <c r="AU4572" t="s">
        <v>68</v>
      </c>
      <c r="AV4572" t="s">
        <v>69</v>
      </c>
      <c r="AW4572" s="1">
        <v>26233</v>
      </c>
      <c r="AX4572">
        <v>2</v>
      </c>
    </row>
    <row r="4573" spans="1:50">
      <c r="A4573">
        <v>190999</v>
      </c>
      <c r="B4573" t="str">
        <f>"061796828"</f>
        <v>061796828</v>
      </c>
      <c r="C4573" t="s">
        <v>105</v>
      </c>
      <c r="D4573" t="s">
        <v>3860</v>
      </c>
      <c r="E4573" t="s">
        <v>95</v>
      </c>
      <c r="F4573" t="s">
        <v>166</v>
      </c>
      <c r="G4573" t="s">
        <v>255</v>
      </c>
      <c r="H4573" t="str">
        <f>" "</f>
        <v xml:space="preserve"> </v>
      </c>
      <c r="K4573">
        <v>6944655192</v>
      </c>
      <c r="L4573">
        <v>2821047147</v>
      </c>
      <c r="M4573" t="s">
        <v>8351</v>
      </c>
      <c r="N4573" t="s">
        <v>204</v>
      </c>
      <c r="O4573" t="s">
        <v>205</v>
      </c>
      <c r="R4573" t="s">
        <v>57</v>
      </c>
      <c r="S4573">
        <v>8</v>
      </c>
      <c r="T4573">
        <v>219</v>
      </c>
      <c r="U4573" s="1">
        <v>37134</v>
      </c>
      <c r="V4573" t="s">
        <v>6729</v>
      </c>
      <c r="W4573" t="s">
        <v>6730</v>
      </c>
      <c r="X4573" t="s">
        <v>58</v>
      </c>
      <c r="Y4573">
        <v>20</v>
      </c>
      <c r="Z4573" t="s">
        <v>59</v>
      </c>
      <c r="AA4573" t="s">
        <v>59</v>
      </c>
      <c r="AB4573" t="s">
        <v>59</v>
      </c>
      <c r="AC4573" t="s">
        <v>59</v>
      </c>
      <c r="AD4573" t="s">
        <v>59</v>
      </c>
      <c r="AF4573" s="1">
        <v>37139</v>
      </c>
      <c r="AG4573" t="s">
        <v>137</v>
      </c>
      <c r="AH4573" t="s">
        <v>138</v>
      </c>
      <c r="AI4573" t="str">
        <f>"5040050"</f>
        <v>5040050</v>
      </c>
      <c r="AJ4573" t="s">
        <v>6750</v>
      </c>
      <c r="AK4573">
        <v>2821043147</v>
      </c>
      <c r="AL4573" t="s">
        <v>6751</v>
      </c>
      <c r="AM4573" t="s">
        <v>88</v>
      </c>
      <c r="AN4573" t="s">
        <v>88</v>
      </c>
      <c r="AO4573" t="s">
        <v>88</v>
      </c>
      <c r="AP4573" t="s">
        <v>88</v>
      </c>
      <c r="AQ4573">
        <v>1</v>
      </c>
      <c r="AR4573" t="s">
        <v>6729</v>
      </c>
      <c r="AS4573" t="s">
        <v>6730</v>
      </c>
      <c r="AT4573" t="s">
        <v>58</v>
      </c>
      <c r="AU4573" t="s">
        <v>68</v>
      </c>
      <c r="AV4573" t="s">
        <v>69</v>
      </c>
      <c r="AW4573" s="1">
        <v>26784</v>
      </c>
      <c r="AX4573">
        <v>2</v>
      </c>
    </row>
    <row r="4574" spans="1:50">
      <c r="A4574">
        <v>211138</v>
      </c>
      <c r="B4574" t="str">
        <f>"037825693"</f>
        <v>037825693</v>
      </c>
      <c r="C4574" t="s">
        <v>105</v>
      </c>
      <c r="D4574" t="s">
        <v>8352</v>
      </c>
      <c r="E4574" t="s">
        <v>230</v>
      </c>
      <c r="F4574" t="s">
        <v>1543</v>
      </c>
      <c r="G4574" t="s">
        <v>237</v>
      </c>
      <c r="H4574" t="str">
        <f>"Ι. ΤΖΙΦΑΚΗ 2 ΛΕΝΤΑΡΙΑΝΑ"</f>
        <v>Ι. ΤΖΙΦΑΚΗ 2 ΛΕΝΤΑΡΙΑΝΑ</v>
      </c>
      <c r="I4574">
        <v>73133</v>
      </c>
      <c r="J4574">
        <v>2421034604</v>
      </c>
      <c r="K4574">
        <v>6981738214</v>
      </c>
      <c r="M4574" t="s">
        <v>8353</v>
      </c>
      <c r="N4574" t="s">
        <v>146</v>
      </c>
      <c r="O4574" t="s">
        <v>147</v>
      </c>
      <c r="R4574" t="s">
        <v>57</v>
      </c>
      <c r="S4574">
        <v>13</v>
      </c>
      <c r="T4574">
        <v>160</v>
      </c>
      <c r="U4574" s="1">
        <v>34582</v>
      </c>
      <c r="V4574" t="s">
        <v>6729</v>
      </c>
      <c r="W4574" t="s">
        <v>6730</v>
      </c>
      <c r="X4574" t="s">
        <v>58</v>
      </c>
      <c r="Y4574">
        <v>18</v>
      </c>
      <c r="Z4574" t="s">
        <v>59</v>
      </c>
      <c r="AA4574" t="s">
        <v>59</v>
      </c>
      <c r="AB4574" t="s">
        <v>59</v>
      </c>
      <c r="AC4574" t="s">
        <v>59</v>
      </c>
      <c r="AD4574" t="s">
        <v>59</v>
      </c>
      <c r="AF4574" s="1">
        <v>34582</v>
      </c>
      <c r="AG4574" t="s">
        <v>137</v>
      </c>
      <c r="AH4574" t="s">
        <v>469</v>
      </c>
      <c r="AI4574" t="str">
        <f>"5040055"</f>
        <v>5040055</v>
      </c>
      <c r="AJ4574" t="s">
        <v>6940</v>
      </c>
      <c r="AK4574">
        <v>2821036404</v>
      </c>
      <c r="AL4574" t="s">
        <v>6941</v>
      </c>
      <c r="AM4574" t="s">
        <v>88</v>
      </c>
      <c r="AN4574" t="s">
        <v>88</v>
      </c>
      <c r="AO4574" t="s">
        <v>88</v>
      </c>
      <c r="AP4574" t="s">
        <v>88</v>
      </c>
      <c r="AQ4574">
        <v>1</v>
      </c>
      <c r="AR4574" t="s">
        <v>6729</v>
      </c>
      <c r="AS4574" t="s">
        <v>6730</v>
      </c>
      <c r="AT4574" t="s">
        <v>58</v>
      </c>
      <c r="AU4574" t="s">
        <v>68</v>
      </c>
      <c r="AV4574" t="s">
        <v>357</v>
      </c>
      <c r="AW4574" s="1">
        <v>24172</v>
      </c>
      <c r="AX4574">
        <v>2</v>
      </c>
    </row>
    <row r="4575" spans="1:50">
      <c r="A4575">
        <v>160312</v>
      </c>
      <c r="B4575" t="str">
        <f>"063735486"</f>
        <v>063735486</v>
      </c>
      <c r="C4575" t="s">
        <v>50</v>
      </c>
      <c r="D4575" t="s">
        <v>8354</v>
      </c>
      <c r="E4575" t="s">
        <v>255</v>
      </c>
      <c r="F4575" t="s">
        <v>99</v>
      </c>
      <c r="G4575" t="s">
        <v>411</v>
      </c>
      <c r="H4575" t="str">
        <f>" "</f>
        <v xml:space="preserve"> </v>
      </c>
      <c r="K4575">
        <v>6947532420</v>
      </c>
      <c r="M4575" t="s">
        <v>8355</v>
      </c>
      <c r="N4575" t="s">
        <v>199</v>
      </c>
      <c r="O4575" t="s">
        <v>200</v>
      </c>
      <c r="R4575" t="s">
        <v>57</v>
      </c>
      <c r="S4575">
        <v>14</v>
      </c>
      <c r="T4575">
        <v>161</v>
      </c>
      <c r="U4575" s="1">
        <v>33119</v>
      </c>
      <c r="V4575" t="s">
        <v>6729</v>
      </c>
      <c r="W4575" t="s">
        <v>6730</v>
      </c>
      <c r="X4575" t="s">
        <v>58</v>
      </c>
      <c r="Y4575">
        <v>18</v>
      </c>
      <c r="Z4575" t="s">
        <v>59</v>
      </c>
      <c r="AA4575" t="s">
        <v>59</v>
      </c>
      <c r="AB4575" t="s">
        <v>59</v>
      </c>
      <c r="AC4575" t="s">
        <v>59</v>
      </c>
      <c r="AD4575" t="s">
        <v>59</v>
      </c>
      <c r="AF4575" s="1">
        <v>33120</v>
      </c>
      <c r="AG4575" t="s">
        <v>125</v>
      </c>
      <c r="AH4575" t="s">
        <v>126</v>
      </c>
      <c r="AI4575" t="str">
        <f>"5004020"</f>
        <v>5004020</v>
      </c>
      <c r="AJ4575" t="s">
        <v>6806</v>
      </c>
      <c r="AK4575">
        <v>2822022103</v>
      </c>
      <c r="AL4575" t="s">
        <v>6807</v>
      </c>
      <c r="AM4575" t="s">
        <v>88</v>
      </c>
      <c r="AN4575" t="s">
        <v>6744</v>
      </c>
      <c r="AO4575" t="s">
        <v>6744</v>
      </c>
      <c r="AP4575" t="s">
        <v>6744</v>
      </c>
      <c r="AQ4575">
        <v>1</v>
      </c>
      <c r="AR4575" t="s">
        <v>6729</v>
      </c>
      <c r="AS4575" t="s">
        <v>6730</v>
      </c>
      <c r="AT4575" t="s">
        <v>58</v>
      </c>
      <c r="AU4575" t="s">
        <v>68</v>
      </c>
      <c r="AV4575" t="s">
        <v>69</v>
      </c>
      <c r="AW4575" s="1">
        <v>21745</v>
      </c>
      <c r="AX4575">
        <v>2</v>
      </c>
    </row>
    <row r="4576" spans="1:50">
      <c r="A4576">
        <v>208924</v>
      </c>
      <c r="B4576" t="str">
        <f>"046594050"</f>
        <v>046594050</v>
      </c>
      <c r="C4576" t="s">
        <v>50</v>
      </c>
      <c r="D4576" t="s">
        <v>8354</v>
      </c>
      <c r="E4576" t="s">
        <v>54</v>
      </c>
      <c r="F4576" t="s">
        <v>92</v>
      </c>
      <c r="G4576" t="s">
        <v>263</v>
      </c>
      <c r="H4576" t="str">
        <f>"ΚΩΝΣΤΑΝΤΙΝΟΥΠΟΛΕΩΣ 66 ΧΑΝΙΑ"</f>
        <v>ΚΩΝΣΤΑΝΤΙΝΟΥΠΟΛΕΩΣ 66 ΧΑΝΙΑ</v>
      </c>
      <c r="I4576">
        <v>73100</v>
      </c>
      <c r="J4576">
        <v>2821074320</v>
      </c>
      <c r="K4576">
        <v>6972027635</v>
      </c>
      <c r="M4576" t="s">
        <v>8356</v>
      </c>
      <c r="N4576" t="s">
        <v>583</v>
      </c>
      <c r="O4576" t="s">
        <v>584</v>
      </c>
      <c r="R4576" t="s">
        <v>57</v>
      </c>
      <c r="S4576">
        <v>9</v>
      </c>
      <c r="T4576">
        <v>218</v>
      </c>
      <c r="U4576" s="1">
        <v>38596</v>
      </c>
      <c r="V4576" t="s">
        <v>6729</v>
      </c>
      <c r="W4576" t="s">
        <v>6730</v>
      </c>
      <c r="X4576" t="s">
        <v>58</v>
      </c>
      <c r="Y4576">
        <v>20</v>
      </c>
      <c r="Z4576" t="s">
        <v>59</v>
      </c>
      <c r="AA4576" t="s">
        <v>59</v>
      </c>
      <c r="AB4576" t="s">
        <v>59</v>
      </c>
      <c r="AC4576" t="s">
        <v>59</v>
      </c>
      <c r="AD4576" t="s">
        <v>59</v>
      </c>
      <c r="AF4576" s="1">
        <v>38602</v>
      </c>
      <c r="AG4576" t="s">
        <v>137</v>
      </c>
      <c r="AH4576" t="s">
        <v>138</v>
      </c>
      <c r="AI4576" t="str">
        <f>"5040080"</f>
        <v>5040080</v>
      </c>
      <c r="AJ4576" t="s">
        <v>6753</v>
      </c>
      <c r="AK4576">
        <v>2821093155</v>
      </c>
      <c r="AL4576" t="s">
        <v>6754</v>
      </c>
      <c r="AM4576" t="s">
        <v>88</v>
      </c>
      <c r="AN4576" t="s">
        <v>88</v>
      </c>
      <c r="AO4576" t="s">
        <v>6733</v>
      </c>
      <c r="AP4576" t="s">
        <v>6755</v>
      </c>
      <c r="AQ4576">
        <v>1</v>
      </c>
      <c r="AR4576" t="s">
        <v>6729</v>
      </c>
      <c r="AS4576" t="s">
        <v>6730</v>
      </c>
      <c r="AT4576" t="s">
        <v>58</v>
      </c>
      <c r="AU4576" t="s">
        <v>68</v>
      </c>
      <c r="AV4576" t="s">
        <v>69</v>
      </c>
      <c r="AW4576" s="1">
        <v>25569</v>
      </c>
      <c r="AX4576">
        <v>2</v>
      </c>
    </row>
    <row r="4577" spans="1:50">
      <c r="A4577">
        <v>186005</v>
      </c>
      <c r="B4577" t="str">
        <f>"044967267"</f>
        <v>044967267</v>
      </c>
      <c r="C4577" t="s">
        <v>105</v>
      </c>
      <c r="D4577" t="s">
        <v>8357</v>
      </c>
      <c r="E4577" t="s">
        <v>84</v>
      </c>
      <c r="F4577" t="s">
        <v>99</v>
      </c>
      <c r="G4577" t="s">
        <v>237</v>
      </c>
      <c r="H4577" t="str">
        <f>" "</f>
        <v xml:space="preserve"> </v>
      </c>
      <c r="K4577">
        <v>6977379376</v>
      </c>
      <c r="M4577" t="s">
        <v>8358</v>
      </c>
      <c r="N4577" t="s">
        <v>292</v>
      </c>
      <c r="O4577" t="s">
        <v>293</v>
      </c>
      <c r="R4577" t="s">
        <v>57</v>
      </c>
      <c r="S4577">
        <v>9</v>
      </c>
      <c r="T4577">
        <v>250</v>
      </c>
      <c r="U4577" s="1">
        <v>36769</v>
      </c>
      <c r="V4577" t="s">
        <v>6729</v>
      </c>
      <c r="W4577" t="s">
        <v>6730</v>
      </c>
      <c r="X4577" t="s">
        <v>58</v>
      </c>
      <c r="Y4577">
        <v>20</v>
      </c>
      <c r="Z4577" t="s">
        <v>59</v>
      </c>
      <c r="AA4577" t="s">
        <v>59</v>
      </c>
      <c r="AB4577" t="s">
        <v>59</v>
      </c>
      <c r="AC4577" t="s">
        <v>59</v>
      </c>
      <c r="AD4577" t="s">
        <v>59</v>
      </c>
      <c r="AF4577" s="1">
        <v>36773</v>
      </c>
      <c r="AG4577" t="s">
        <v>125</v>
      </c>
      <c r="AH4577" t="s">
        <v>126</v>
      </c>
      <c r="AI4577" t="str">
        <f>"5004020"</f>
        <v>5004020</v>
      </c>
      <c r="AJ4577" t="s">
        <v>6806</v>
      </c>
      <c r="AK4577">
        <v>2822022103</v>
      </c>
      <c r="AL4577" t="s">
        <v>6807</v>
      </c>
      <c r="AM4577" t="s">
        <v>88</v>
      </c>
      <c r="AN4577" t="s">
        <v>6744</v>
      </c>
      <c r="AO4577" t="s">
        <v>6744</v>
      </c>
      <c r="AP4577" t="s">
        <v>6744</v>
      </c>
      <c r="AQ4577">
        <v>1</v>
      </c>
      <c r="AR4577" t="s">
        <v>6729</v>
      </c>
      <c r="AS4577" t="s">
        <v>6730</v>
      </c>
      <c r="AT4577" t="s">
        <v>58</v>
      </c>
      <c r="AU4577" t="s">
        <v>68</v>
      </c>
      <c r="AV4577" t="s">
        <v>69</v>
      </c>
      <c r="AW4577" s="1">
        <v>25178</v>
      </c>
      <c r="AX4577">
        <v>2</v>
      </c>
    </row>
    <row r="4578" spans="1:50">
      <c r="A4578">
        <v>191580</v>
      </c>
      <c r="B4578" t="str">
        <f>"046666374"</f>
        <v>046666374</v>
      </c>
      <c r="C4578" t="s">
        <v>105</v>
      </c>
      <c r="D4578" t="s">
        <v>8359</v>
      </c>
      <c r="E4578" t="s">
        <v>377</v>
      </c>
      <c r="F4578" t="s">
        <v>108</v>
      </c>
      <c r="G4578" t="s">
        <v>255</v>
      </c>
      <c r="H4578" t="str">
        <f>"ΣΗΦΑΚΑ 70 ΠΑΛΙΑ ΠΟΛΗ"</f>
        <v>ΣΗΦΑΚΑ 70 ΠΑΛΙΑ ΠΟΛΗ</v>
      </c>
      <c r="K4578">
        <v>6909156731</v>
      </c>
      <c r="N4578" t="s">
        <v>168</v>
      </c>
      <c r="O4578" t="s">
        <v>169</v>
      </c>
      <c r="R4578" t="s">
        <v>57</v>
      </c>
      <c r="S4578">
        <v>10</v>
      </c>
      <c r="T4578">
        <v>291</v>
      </c>
      <c r="U4578" s="1">
        <v>37218</v>
      </c>
      <c r="V4578" t="s">
        <v>6729</v>
      </c>
      <c r="W4578" t="s">
        <v>6730</v>
      </c>
      <c r="X4578" t="s">
        <v>58</v>
      </c>
      <c r="Y4578">
        <v>20</v>
      </c>
      <c r="Z4578" t="s">
        <v>59</v>
      </c>
      <c r="AA4578" t="s">
        <v>59</v>
      </c>
      <c r="AB4578" t="s">
        <v>59</v>
      </c>
      <c r="AC4578" t="s">
        <v>59</v>
      </c>
      <c r="AD4578" t="s">
        <v>59</v>
      </c>
      <c r="AF4578" s="1">
        <v>37221</v>
      </c>
      <c r="AG4578" t="s">
        <v>137</v>
      </c>
      <c r="AH4578" t="s">
        <v>138</v>
      </c>
      <c r="AI4578" t="str">
        <f>"5050060"</f>
        <v>5050060</v>
      </c>
      <c r="AJ4578" t="s">
        <v>6801</v>
      </c>
      <c r="AK4578">
        <v>2821091515</v>
      </c>
      <c r="AL4578" t="s">
        <v>6802</v>
      </c>
      <c r="AM4578" t="s">
        <v>88</v>
      </c>
      <c r="AN4578" t="s">
        <v>88</v>
      </c>
      <c r="AO4578" t="s">
        <v>88</v>
      </c>
      <c r="AP4578" t="s">
        <v>88</v>
      </c>
      <c r="AQ4578">
        <v>1</v>
      </c>
      <c r="AR4578" t="s">
        <v>6729</v>
      </c>
      <c r="AS4578" t="s">
        <v>6730</v>
      </c>
      <c r="AT4578" t="s">
        <v>58</v>
      </c>
      <c r="AU4578" t="s">
        <v>68</v>
      </c>
      <c r="AV4578" t="s">
        <v>69</v>
      </c>
      <c r="AW4578" s="1">
        <v>24573</v>
      </c>
      <c r="AX4578">
        <v>2</v>
      </c>
    </row>
    <row r="4579" spans="1:50">
      <c r="A4579">
        <v>158731</v>
      </c>
      <c r="B4579" t="str">
        <f>"043995164"</f>
        <v>043995164</v>
      </c>
      <c r="C4579" t="s">
        <v>105</v>
      </c>
      <c r="D4579" t="s">
        <v>8359</v>
      </c>
      <c r="E4579" t="s">
        <v>53</v>
      </c>
      <c r="F4579" t="s">
        <v>510</v>
      </c>
      <c r="G4579" t="s">
        <v>787</v>
      </c>
      <c r="H4579" t="str">
        <f>" "</f>
        <v xml:space="preserve"> </v>
      </c>
      <c r="M4579" t="s">
        <v>8360</v>
      </c>
      <c r="N4579" t="s">
        <v>337</v>
      </c>
      <c r="O4579" t="s">
        <v>338</v>
      </c>
      <c r="R4579" t="s">
        <v>57</v>
      </c>
      <c r="S4579">
        <v>13</v>
      </c>
      <c r="T4579">
        <v>161</v>
      </c>
      <c r="U4579" s="1">
        <v>33119</v>
      </c>
      <c r="V4579" t="s">
        <v>6729</v>
      </c>
      <c r="W4579" t="s">
        <v>6730</v>
      </c>
      <c r="X4579" t="s">
        <v>58</v>
      </c>
      <c r="Y4579">
        <v>18</v>
      </c>
      <c r="Z4579" t="s">
        <v>59</v>
      </c>
      <c r="AA4579" t="s">
        <v>59</v>
      </c>
      <c r="AB4579" t="s">
        <v>59</v>
      </c>
      <c r="AC4579" t="s">
        <v>59</v>
      </c>
      <c r="AD4579" t="s">
        <v>59</v>
      </c>
      <c r="AF4579" s="1">
        <v>33126</v>
      </c>
      <c r="AG4579" t="s">
        <v>125</v>
      </c>
      <c r="AH4579" t="s">
        <v>126</v>
      </c>
      <c r="AI4579" t="str">
        <f>"5001072"</f>
        <v>5001072</v>
      </c>
      <c r="AJ4579" t="s">
        <v>6922</v>
      </c>
      <c r="AK4579">
        <v>2821055471</v>
      </c>
      <c r="AL4579" t="s">
        <v>6923</v>
      </c>
      <c r="AM4579" t="s">
        <v>88</v>
      </c>
      <c r="AN4579" t="s">
        <v>88</v>
      </c>
      <c r="AO4579" t="s">
        <v>88</v>
      </c>
      <c r="AP4579" t="s">
        <v>88</v>
      </c>
      <c r="AQ4579">
        <v>1</v>
      </c>
      <c r="AR4579" t="s">
        <v>6729</v>
      </c>
      <c r="AS4579" t="s">
        <v>6730</v>
      </c>
      <c r="AT4579" t="s">
        <v>58</v>
      </c>
      <c r="AU4579" t="s">
        <v>68</v>
      </c>
      <c r="AV4579" t="s">
        <v>69</v>
      </c>
      <c r="AW4579" s="1">
        <v>23092</v>
      </c>
      <c r="AX4579">
        <v>2</v>
      </c>
    </row>
    <row r="4580" spans="1:50">
      <c r="A4580">
        <v>210648</v>
      </c>
      <c r="B4580" t="str">
        <f>"113726800"</f>
        <v>113726800</v>
      </c>
      <c r="C4580" t="s">
        <v>50</v>
      </c>
      <c r="D4580" t="s">
        <v>8361</v>
      </c>
      <c r="E4580" t="s">
        <v>476</v>
      </c>
      <c r="F4580" t="s">
        <v>53</v>
      </c>
      <c r="G4580" t="s">
        <v>73</v>
      </c>
      <c r="H4580" t="str">
        <f>" "</f>
        <v xml:space="preserve"> </v>
      </c>
      <c r="J4580">
        <v>2109917017</v>
      </c>
      <c r="K4580">
        <v>6973988369</v>
      </c>
      <c r="M4580" t="s">
        <v>8362</v>
      </c>
      <c r="N4580" t="s">
        <v>306</v>
      </c>
      <c r="O4580" t="s">
        <v>307</v>
      </c>
      <c r="R4580" t="s">
        <v>57</v>
      </c>
      <c r="S4580">
        <v>8</v>
      </c>
      <c r="T4580">
        <v>249</v>
      </c>
      <c r="U4580" s="1">
        <v>38617</v>
      </c>
      <c r="V4580" t="s">
        <v>6729</v>
      </c>
      <c r="W4580" t="s">
        <v>6730</v>
      </c>
      <c r="X4580" t="s">
        <v>58</v>
      </c>
      <c r="Y4580">
        <v>20</v>
      </c>
      <c r="Z4580" t="s">
        <v>59</v>
      </c>
      <c r="AA4580" t="s">
        <v>59</v>
      </c>
      <c r="AB4580" t="s">
        <v>59</v>
      </c>
      <c r="AC4580" t="s">
        <v>59</v>
      </c>
      <c r="AD4580" t="s">
        <v>59</v>
      </c>
      <c r="AF4580" s="1">
        <v>38621</v>
      </c>
      <c r="AG4580" t="s">
        <v>137</v>
      </c>
      <c r="AH4580" t="s">
        <v>138</v>
      </c>
      <c r="AI4580" t="str">
        <f>"5040090"</f>
        <v>5040090</v>
      </c>
      <c r="AJ4580" t="s">
        <v>6757</v>
      </c>
      <c r="AK4580">
        <v>2822022275</v>
      </c>
      <c r="AL4580" t="s">
        <v>6758</v>
      </c>
      <c r="AM4580" t="s">
        <v>88</v>
      </c>
      <c r="AN4580" t="s">
        <v>6744</v>
      </c>
      <c r="AO4580" t="s">
        <v>6744</v>
      </c>
      <c r="AP4580" t="s">
        <v>6744</v>
      </c>
      <c r="AQ4580">
        <v>1</v>
      </c>
      <c r="AR4580" t="s">
        <v>6729</v>
      </c>
      <c r="AS4580" t="s">
        <v>6730</v>
      </c>
      <c r="AT4580" t="s">
        <v>58</v>
      </c>
      <c r="AU4580" t="s">
        <v>68</v>
      </c>
      <c r="AV4580" t="s">
        <v>69</v>
      </c>
      <c r="AW4580" s="1">
        <v>28930</v>
      </c>
      <c r="AX4580">
        <v>2</v>
      </c>
    </row>
    <row r="4581" spans="1:50">
      <c r="A4581">
        <v>209978</v>
      </c>
      <c r="B4581" t="str">
        <f>"067190424"</f>
        <v>067190424</v>
      </c>
      <c r="C4581" t="s">
        <v>105</v>
      </c>
      <c r="D4581" t="s">
        <v>8363</v>
      </c>
      <c r="E4581" t="s">
        <v>53</v>
      </c>
      <c r="F4581" t="s">
        <v>72</v>
      </c>
      <c r="G4581" t="s">
        <v>255</v>
      </c>
      <c r="H4581" t="str">
        <f>"ΚΡΟΚΙΔΑ 67 ΧΑΝΙΩΝ"</f>
        <v>ΚΡΟΚΙΔΑ 67 ΧΑΝΙΩΝ</v>
      </c>
      <c r="I4581">
        <v>73133</v>
      </c>
      <c r="J4581">
        <v>2821023227</v>
      </c>
      <c r="K4581">
        <v>6977336046</v>
      </c>
      <c r="M4581" t="s">
        <v>8364</v>
      </c>
      <c r="N4581" t="s">
        <v>292</v>
      </c>
      <c r="O4581" t="s">
        <v>293</v>
      </c>
      <c r="R4581" t="s">
        <v>57</v>
      </c>
      <c r="S4581">
        <v>6</v>
      </c>
      <c r="T4581">
        <v>225</v>
      </c>
      <c r="U4581" s="1">
        <v>38604</v>
      </c>
      <c r="V4581" t="s">
        <v>6729</v>
      </c>
      <c r="W4581" t="s">
        <v>6730</v>
      </c>
      <c r="X4581" t="s">
        <v>58</v>
      </c>
      <c r="Y4581">
        <v>20</v>
      </c>
      <c r="Z4581" t="s">
        <v>59</v>
      </c>
      <c r="AA4581" t="s">
        <v>59</v>
      </c>
      <c r="AB4581" t="s">
        <v>59</v>
      </c>
      <c r="AC4581" t="s">
        <v>59</v>
      </c>
      <c r="AD4581" t="s">
        <v>59</v>
      </c>
      <c r="AF4581" s="1">
        <v>38607</v>
      </c>
      <c r="AG4581" t="s">
        <v>148</v>
      </c>
      <c r="AH4581" t="s">
        <v>149</v>
      </c>
      <c r="AI4581" t="str">
        <f>"5054010"</f>
        <v>5054010</v>
      </c>
      <c r="AJ4581" t="s">
        <v>6815</v>
      </c>
      <c r="AK4581">
        <v>2822022671</v>
      </c>
      <c r="AL4581" t="s">
        <v>6816</v>
      </c>
      <c r="AM4581" t="s">
        <v>88</v>
      </c>
      <c r="AN4581" t="s">
        <v>6744</v>
      </c>
      <c r="AO4581" t="s">
        <v>6744</v>
      </c>
      <c r="AP4581" t="s">
        <v>6744</v>
      </c>
      <c r="AQ4581">
        <v>1</v>
      </c>
      <c r="AR4581" t="s">
        <v>6729</v>
      </c>
      <c r="AS4581" t="s">
        <v>6730</v>
      </c>
      <c r="AT4581" t="s">
        <v>58</v>
      </c>
      <c r="AU4581" t="s">
        <v>68</v>
      </c>
      <c r="AV4581" t="s">
        <v>69</v>
      </c>
      <c r="AW4581" s="1">
        <v>27636</v>
      </c>
      <c r="AX4581">
        <v>2</v>
      </c>
    </row>
    <row r="4582" spans="1:50">
      <c r="A4582">
        <v>149266</v>
      </c>
      <c r="B4582" t="str">
        <f>"048107732"</f>
        <v>048107732</v>
      </c>
      <c r="C4582" t="s">
        <v>50</v>
      </c>
      <c r="D4582" t="s">
        <v>8365</v>
      </c>
      <c r="E4582" t="s">
        <v>610</v>
      </c>
      <c r="F4582" t="s">
        <v>230</v>
      </c>
      <c r="G4582" t="s">
        <v>658</v>
      </c>
      <c r="H4582" t="str">
        <f>"ΜΑΚΕΔΟΝΟΜΑΧΩΝ ΚΑΤΩ ΔΑΡΑΤΣΟ"</f>
        <v>ΜΑΚΕΔΟΝΟΜΑΧΩΝ ΚΑΤΩ ΔΑΡΑΤΣΟ</v>
      </c>
      <c r="J4582">
        <v>2821031691</v>
      </c>
      <c r="K4582">
        <v>6973902161</v>
      </c>
      <c r="M4582" t="s">
        <v>8366</v>
      </c>
      <c r="N4582" t="s">
        <v>176</v>
      </c>
      <c r="O4582" t="s">
        <v>177</v>
      </c>
      <c r="R4582" t="s">
        <v>57</v>
      </c>
      <c r="S4582">
        <v>16</v>
      </c>
      <c r="T4582">
        <v>205</v>
      </c>
      <c r="U4582" s="1">
        <v>31658</v>
      </c>
      <c r="V4582" t="s">
        <v>6729</v>
      </c>
      <c r="W4582" t="s">
        <v>6730</v>
      </c>
      <c r="X4582" t="s">
        <v>58</v>
      </c>
      <c r="Y4582">
        <v>18</v>
      </c>
      <c r="Z4582" t="s">
        <v>59</v>
      </c>
      <c r="AA4582" t="s">
        <v>59</v>
      </c>
      <c r="AB4582" t="s">
        <v>59</v>
      </c>
      <c r="AC4582" t="s">
        <v>59</v>
      </c>
      <c r="AD4582" t="s">
        <v>59</v>
      </c>
      <c r="AF4582" s="1">
        <v>31672</v>
      </c>
      <c r="AG4582" t="s">
        <v>125</v>
      </c>
      <c r="AH4582" t="s">
        <v>126</v>
      </c>
      <c r="AI4582" t="str">
        <f>"5001073"</f>
        <v>5001073</v>
      </c>
      <c r="AJ4582" t="s">
        <v>6849</v>
      </c>
      <c r="AK4582">
        <v>2821028553</v>
      </c>
      <c r="AL4582" t="s">
        <v>6850</v>
      </c>
      <c r="AM4582" t="s">
        <v>88</v>
      </c>
      <c r="AN4582" t="s">
        <v>88</v>
      </c>
      <c r="AO4582" t="s">
        <v>88</v>
      </c>
      <c r="AP4582" t="s">
        <v>88</v>
      </c>
      <c r="AQ4582">
        <v>1</v>
      </c>
      <c r="AR4582" t="s">
        <v>6729</v>
      </c>
      <c r="AS4582" t="s">
        <v>6730</v>
      </c>
      <c r="AT4582" t="s">
        <v>58</v>
      </c>
      <c r="AU4582" t="s">
        <v>68</v>
      </c>
      <c r="AV4582" t="s">
        <v>69</v>
      </c>
      <c r="AW4582" s="1">
        <v>22372</v>
      </c>
      <c r="AX4582">
        <v>2</v>
      </c>
    </row>
    <row r="4583" spans="1:50">
      <c r="B4583" t="str">
        <f>"050094769"</f>
        <v>050094769</v>
      </c>
      <c r="C4583" t="s">
        <v>50</v>
      </c>
      <c r="D4583" t="s">
        <v>8367</v>
      </c>
      <c r="E4583" t="s">
        <v>143</v>
      </c>
      <c r="F4583" t="s">
        <v>459</v>
      </c>
      <c r="G4583" t="s">
        <v>5434</v>
      </c>
      <c r="H4583" t="str">
        <f>"ΚΑΡΔΙΤΣΑΣ 59 ΛΑΡΙΣΑ"</f>
        <v>ΚΑΡΔΙΤΣΑΣ 59 ΛΑΡΙΣΑ</v>
      </c>
      <c r="I4583">
        <v>41335</v>
      </c>
      <c r="J4583">
        <v>2410626159</v>
      </c>
      <c r="K4583">
        <v>6945321331</v>
      </c>
      <c r="M4583" t="s">
        <v>8368</v>
      </c>
      <c r="N4583" t="s">
        <v>536</v>
      </c>
      <c r="O4583" t="s">
        <v>537</v>
      </c>
      <c r="R4583" t="s">
        <v>159</v>
      </c>
      <c r="S4583">
        <v>5</v>
      </c>
      <c r="T4583" t="s">
        <v>344</v>
      </c>
      <c r="U4583" s="1">
        <v>43348</v>
      </c>
      <c r="V4583" t="s">
        <v>6729</v>
      </c>
      <c r="W4583" t="s">
        <v>6730</v>
      </c>
      <c r="X4583" t="s">
        <v>58</v>
      </c>
      <c r="Y4583">
        <v>21</v>
      </c>
      <c r="Z4583" t="s">
        <v>59</v>
      </c>
      <c r="AA4583" t="s">
        <v>59</v>
      </c>
      <c r="AB4583" t="s">
        <v>59</v>
      </c>
      <c r="AC4583" t="s">
        <v>59</v>
      </c>
      <c r="AD4583" t="s">
        <v>59</v>
      </c>
      <c r="AF4583" s="1">
        <v>43348</v>
      </c>
      <c r="AG4583" t="s">
        <v>125</v>
      </c>
      <c r="AH4583" t="s">
        <v>126</v>
      </c>
      <c r="AI4583" t="str">
        <f>"5001060"</f>
        <v>5001060</v>
      </c>
      <c r="AJ4583" t="s">
        <v>6914</v>
      </c>
      <c r="AK4583">
        <v>2821091763</v>
      </c>
      <c r="AL4583" t="s">
        <v>6915</v>
      </c>
      <c r="AM4583" t="s">
        <v>88</v>
      </c>
      <c r="AN4583" t="s">
        <v>88</v>
      </c>
      <c r="AO4583" t="s">
        <v>88</v>
      </c>
      <c r="AP4583" t="s">
        <v>88</v>
      </c>
      <c r="AQ4583">
        <v>1</v>
      </c>
      <c r="AR4583" t="s">
        <v>6729</v>
      </c>
      <c r="AS4583" t="s">
        <v>6730</v>
      </c>
      <c r="AT4583" t="s">
        <v>58</v>
      </c>
      <c r="AU4583" t="s">
        <v>350</v>
      </c>
      <c r="AV4583" t="s">
        <v>132</v>
      </c>
      <c r="AW4583" s="1">
        <v>24971</v>
      </c>
      <c r="AX4583">
        <v>2</v>
      </c>
    </row>
    <row r="4584" spans="1:50">
      <c r="A4584">
        <v>202716</v>
      </c>
      <c r="B4584" t="str">
        <f>"039653708"</f>
        <v>039653708</v>
      </c>
      <c r="C4584" t="s">
        <v>105</v>
      </c>
      <c r="D4584" t="s">
        <v>8369</v>
      </c>
      <c r="E4584" t="s">
        <v>304</v>
      </c>
      <c r="F4584" t="s">
        <v>84</v>
      </c>
      <c r="G4584" t="s">
        <v>83</v>
      </c>
      <c r="H4584" t="str">
        <f>" "</f>
        <v xml:space="preserve"> </v>
      </c>
      <c r="J4584">
        <v>2821050024</v>
      </c>
      <c r="N4584" t="s">
        <v>232</v>
      </c>
      <c r="O4584" t="s">
        <v>233</v>
      </c>
      <c r="R4584" t="s">
        <v>57</v>
      </c>
      <c r="S4584">
        <v>7</v>
      </c>
      <c r="T4584">
        <v>231</v>
      </c>
      <c r="U4584" s="1">
        <v>38230</v>
      </c>
      <c r="V4584" t="s">
        <v>6729</v>
      </c>
      <c r="W4584" t="s">
        <v>6730</v>
      </c>
      <c r="X4584" t="s">
        <v>58</v>
      </c>
      <c r="Y4584">
        <v>20</v>
      </c>
      <c r="Z4584" t="s">
        <v>59</v>
      </c>
      <c r="AA4584" t="s">
        <v>59</v>
      </c>
      <c r="AB4584" t="s">
        <v>59</v>
      </c>
      <c r="AC4584" t="s">
        <v>59</v>
      </c>
      <c r="AD4584" t="s">
        <v>59</v>
      </c>
      <c r="AF4584" s="1">
        <v>38231</v>
      </c>
      <c r="AG4584" t="s">
        <v>148</v>
      </c>
      <c r="AH4584" t="s">
        <v>149</v>
      </c>
      <c r="AI4584" t="str">
        <f>"5057010"</f>
        <v>5057010</v>
      </c>
      <c r="AJ4584" t="s">
        <v>6836</v>
      </c>
      <c r="AK4584">
        <v>2824022511</v>
      </c>
      <c r="AL4584" t="s">
        <v>6837</v>
      </c>
      <c r="AM4584" t="s">
        <v>88</v>
      </c>
      <c r="AN4584" t="s">
        <v>6764</v>
      </c>
      <c r="AO4584" t="s">
        <v>6799</v>
      </c>
      <c r="AP4584" t="s">
        <v>6799</v>
      </c>
      <c r="AQ4584">
        <v>1</v>
      </c>
      <c r="AR4584" t="s">
        <v>6729</v>
      </c>
      <c r="AS4584" t="s">
        <v>6730</v>
      </c>
      <c r="AT4584" t="s">
        <v>58</v>
      </c>
      <c r="AU4584" t="s">
        <v>68</v>
      </c>
      <c r="AV4584" t="s">
        <v>69</v>
      </c>
      <c r="AW4584" s="1">
        <v>23382</v>
      </c>
      <c r="AX4584">
        <v>2</v>
      </c>
    </row>
    <row r="4585" spans="1:50">
      <c r="A4585">
        <v>175954</v>
      </c>
      <c r="B4585" t="str">
        <f>"034625524"</f>
        <v>034625524</v>
      </c>
      <c r="C4585" t="s">
        <v>105</v>
      </c>
      <c r="D4585" t="s">
        <v>8369</v>
      </c>
      <c r="E4585" t="s">
        <v>72</v>
      </c>
      <c r="F4585" t="s">
        <v>84</v>
      </c>
      <c r="G4585" t="s">
        <v>83</v>
      </c>
      <c r="H4585" t="str">
        <f>"Ε. ΝΙΚΟΛΟΥΔΗ 3 ΧΑΝΙΑ"</f>
        <v>Ε. ΝΙΚΟΛΟΥΔΗ 3 ΧΑΝΙΑ</v>
      </c>
      <c r="I4585">
        <v>73100</v>
      </c>
      <c r="J4585">
        <v>2821046320</v>
      </c>
      <c r="M4585" t="s">
        <v>8370</v>
      </c>
      <c r="N4585" t="s">
        <v>292</v>
      </c>
      <c r="O4585" t="s">
        <v>293</v>
      </c>
      <c r="R4585" t="s">
        <v>57</v>
      </c>
      <c r="S4585">
        <v>10</v>
      </c>
      <c r="T4585">
        <v>180</v>
      </c>
      <c r="U4585" s="1">
        <v>35674</v>
      </c>
      <c r="V4585" t="s">
        <v>6729</v>
      </c>
      <c r="W4585" t="s">
        <v>6730</v>
      </c>
      <c r="X4585" t="s">
        <v>58</v>
      </c>
      <c r="Y4585">
        <v>18</v>
      </c>
      <c r="Z4585" t="s">
        <v>59</v>
      </c>
      <c r="AA4585" t="s">
        <v>59</v>
      </c>
      <c r="AB4585" t="s">
        <v>59</v>
      </c>
      <c r="AC4585" t="s">
        <v>59</v>
      </c>
      <c r="AD4585" t="s">
        <v>59</v>
      </c>
      <c r="AF4585" s="1">
        <v>35681</v>
      </c>
      <c r="AG4585" t="s">
        <v>148</v>
      </c>
      <c r="AH4585" t="s">
        <v>149</v>
      </c>
      <c r="AI4585" t="str">
        <f>"5051010"</f>
        <v>5051010</v>
      </c>
      <c r="AJ4585" t="s">
        <v>6896</v>
      </c>
      <c r="AK4585">
        <v>2821028714</v>
      </c>
      <c r="AL4585" t="s">
        <v>6897</v>
      </c>
      <c r="AM4585" t="s">
        <v>88</v>
      </c>
      <c r="AN4585" t="s">
        <v>88</v>
      </c>
      <c r="AO4585" t="s">
        <v>88</v>
      </c>
      <c r="AP4585" t="s">
        <v>88</v>
      </c>
      <c r="AQ4585">
        <v>1</v>
      </c>
      <c r="AR4585" t="s">
        <v>6729</v>
      </c>
      <c r="AS4585" t="s">
        <v>6730</v>
      </c>
      <c r="AT4585" t="s">
        <v>58</v>
      </c>
      <c r="AU4585" t="s">
        <v>68</v>
      </c>
      <c r="AV4585" t="s">
        <v>69</v>
      </c>
      <c r="AW4585" s="1">
        <v>22204</v>
      </c>
      <c r="AX4585">
        <v>2</v>
      </c>
    </row>
    <row r="4586" spans="1:50">
      <c r="A4586">
        <v>214360</v>
      </c>
      <c r="B4586" t="str">
        <f>"061205210"</f>
        <v>061205210</v>
      </c>
      <c r="C4586" t="s">
        <v>50</v>
      </c>
      <c r="D4586" t="s">
        <v>3935</v>
      </c>
      <c r="E4586" t="s">
        <v>316</v>
      </c>
      <c r="F4586" t="s">
        <v>995</v>
      </c>
      <c r="G4586" t="s">
        <v>237</v>
      </c>
      <c r="H4586" t="str">
        <f>"ΕΘΝ. ΒΕΝΙΖΕΛΟΥ 229 ΣΟΥΔΑ ΧΑΝΙΩΝ"</f>
        <v>ΕΘΝ. ΒΕΝΙΖΕΛΟΥ 229 ΣΟΥΔΑ ΧΑΝΙΩΝ</v>
      </c>
      <c r="I4586">
        <v>73200</v>
      </c>
      <c r="J4586">
        <v>2821089267</v>
      </c>
      <c r="K4586">
        <v>6977217467</v>
      </c>
      <c r="M4586" t="s">
        <v>8371</v>
      </c>
      <c r="N4586" t="s">
        <v>299</v>
      </c>
      <c r="O4586" t="s">
        <v>300</v>
      </c>
      <c r="R4586" t="s">
        <v>57</v>
      </c>
      <c r="S4586">
        <v>8</v>
      </c>
      <c r="T4586">
        <v>231</v>
      </c>
      <c r="U4586" s="1">
        <v>38960</v>
      </c>
      <c r="V4586" t="s">
        <v>6729</v>
      </c>
      <c r="W4586" t="s">
        <v>6730</v>
      </c>
      <c r="X4586" t="s">
        <v>58</v>
      </c>
      <c r="Y4586">
        <v>20</v>
      </c>
      <c r="Z4586" t="s">
        <v>59</v>
      </c>
      <c r="AA4586" t="s">
        <v>59</v>
      </c>
      <c r="AB4586" t="s">
        <v>59</v>
      </c>
      <c r="AC4586" t="s">
        <v>59</v>
      </c>
      <c r="AD4586" t="s">
        <v>59</v>
      </c>
      <c r="AF4586" s="1">
        <v>38960</v>
      </c>
      <c r="AG4586" t="s">
        <v>137</v>
      </c>
      <c r="AH4586" t="s">
        <v>138</v>
      </c>
      <c r="AI4586" t="str">
        <f>"5040105"</f>
        <v>5040105</v>
      </c>
      <c r="AJ4586" t="s">
        <v>6969</v>
      </c>
      <c r="AK4586">
        <v>2825051703</v>
      </c>
      <c r="AL4586" t="s">
        <v>6970</v>
      </c>
      <c r="AM4586" t="s">
        <v>88</v>
      </c>
      <c r="AN4586" t="s">
        <v>6775</v>
      </c>
      <c r="AO4586" t="s">
        <v>6781</v>
      </c>
      <c r="AP4586" t="s">
        <v>6782</v>
      </c>
      <c r="AQ4586">
        <v>1</v>
      </c>
      <c r="AR4586" t="s">
        <v>6729</v>
      </c>
      <c r="AS4586" t="s">
        <v>6730</v>
      </c>
      <c r="AT4586" t="s">
        <v>58</v>
      </c>
      <c r="AU4586" t="s">
        <v>68</v>
      </c>
      <c r="AV4586" t="s">
        <v>69</v>
      </c>
      <c r="AW4586" s="1">
        <v>28908</v>
      </c>
      <c r="AX4586">
        <v>2</v>
      </c>
    </row>
    <row r="4587" spans="1:50">
      <c r="A4587">
        <v>217378</v>
      </c>
      <c r="B4587" t="str">
        <f>"046594294"</f>
        <v>046594294</v>
      </c>
      <c r="C4587" t="s">
        <v>50</v>
      </c>
      <c r="D4587" t="s">
        <v>3938</v>
      </c>
      <c r="E4587" t="s">
        <v>1189</v>
      </c>
      <c r="F4587" t="s">
        <v>72</v>
      </c>
      <c r="G4587" t="s">
        <v>610</v>
      </c>
      <c r="H4587" t="str">
        <f>" "</f>
        <v xml:space="preserve"> </v>
      </c>
      <c r="J4587">
        <v>2821074527</v>
      </c>
      <c r="K4587">
        <v>6972144050</v>
      </c>
      <c r="M4587" t="s">
        <v>8372</v>
      </c>
      <c r="N4587" t="s">
        <v>157</v>
      </c>
      <c r="O4587" t="s">
        <v>158</v>
      </c>
      <c r="R4587" t="s">
        <v>57</v>
      </c>
      <c r="S4587">
        <v>6</v>
      </c>
      <c r="T4587">
        <v>599</v>
      </c>
      <c r="U4587" s="1">
        <v>39310</v>
      </c>
      <c r="V4587" t="s">
        <v>6729</v>
      </c>
      <c r="W4587" t="s">
        <v>6730</v>
      </c>
      <c r="X4587" t="s">
        <v>58</v>
      </c>
      <c r="Y4587">
        <v>20</v>
      </c>
      <c r="Z4587" t="s">
        <v>59</v>
      </c>
      <c r="AA4587" t="s">
        <v>59</v>
      </c>
      <c r="AB4587" t="s">
        <v>59</v>
      </c>
      <c r="AC4587" t="s">
        <v>59</v>
      </c>
      <c r="AD4587" t="s">
        <v>59</v>
      </c>
      <c r="AF4587" s="1">
        <v>39328</v>
      </c>
      <c r="AG4587" t="s">
        <v>125</v>
      </c>
      <c r="AH4587" t="s">
        <v>126</v>
      </c>
      <c r="AI4587" t="str">
        <f>"5009010"</f>
        <v>5009010</v>
      </c>
      <c r="AJ4587" t="s">
        <v>6901</v>
      </c>
      <c r="AK4587">
        <v>2821077212</v>
      </c>
      <c r="AL4587" t="s">
        <v>6902</v>
      </c>
      <c r="AM4587" t="s">
        <v>88</v>
      </c>
      <c r="AN4587" t="s">
        <v>6764</v>
      </c>
      <c r="AO4587" t="s">
        <v>6885</v>
      </c>
      <c r="AP4587" t="s">
        <v>6886</v>
      </c>
      <c r="AQ4587">
        <v>1</v>
      </c>
      <c r="AR4587" t="s">
        <v>6729</v>
      </c>
      <c r="AS4587" t="s">
        <v>6730</v>
      </c>
      <c r="AT4587" t="s">
        <v>58</v>
      </c>
      <c r="AU4587" t="s">
        <v>68</v>
      </c>
      <c r="AV4587" t="s">
        <v>69</v>
      </c>
      <c r="AW4587" s="1">
        <v>24319</v>
      </c>
      <c r="AX4587">
        <v>2</v>
      </c>
    </row>
    <row r="4588" spans="1:50">
      <c r="B4588" t="str">
        <f>"112383732"</f>
        <v>112383732</v>
      </c>
      <c r="C4588" t="s">
        <v>50</v>
      </c>
      <c r="D4588" t="s">
        <v>3938</v>
      </c>
      <c r="E4588" t="s">
        <v>83</v>
      </c>
      <c r="F4588" t="s">
        <v>84</v>
      </c>
      <c r="G4588" t="s">
        <v>250</v>
      </c>
      <c r="H4588" t="str">
        <f>"25ΗΣ ΜΑΡΤΙΟΥ 44 ΣΟΥΔΑ ΧΑΝΙΑ"</f>
        <v>25ΗΣ ΜΑΡΤΙΟΥ 44 ΣΟΥΔΑ ΧΑΝΙΑ</v>
      </c>
      <c r="I4588">
        <v>73200</v>
      </c>
      <c r="J4588">
        <v>2821089463</v>
      </c>
      <c r="K4588">
        <v>6944154771</v>
      </c>
      <c r="N4588" t="s">
        <v>907</v>
      </c>
      <c r="O4588" t="s">
        <v>908</v>
      </c>
      <c r="R4588" t="s">
        <v>159</v>
      </c>
      <c r="S4588">
        <v>2</v>
      </c>
      <c r="T4588" t="s">
        <v>416</v>
      </c>
      <c r="U4588" s="1">
        <v>43349</v>
      </c>
      <c r="V4588" t="s">
        <v>6729</v>
      </c>
      <c r="W4588" t="s">
        <v>6730</v>
      </c>
      <c r="X4588" t="s">
        <v>58</v>
      </c>
      <c r="Y4588">
        <v>23</v>
      </c>
      <c r="Z4588" t="s">
        <v>59</v>
      </c>
      <c r="AA4588" t="s">
        <v>59</v>
      </c>
      <c r="AB4588" t="s">
        <v>59</v>
      </c>
      <c r="AC4588" t="s">
        <v>59</v>
      </c>
      <c r="AD4588" t="s">
        <v>59</v>
      </c>
      <c r="AF4588" s="1">
        <v>43349</v>
      </c>
      <c r="AG4588" t="s">
        <v>137</v>
      </c>
      <c r="AH4588" t="s">
        <v>138</v>
      </c>
      <c r="AI4588" t="str">
        <f>"5050060"</f>
        <v>5050060</v>
      </c>
      <c r="AJ4588" t="s">
        <v>6801</v>
      </c>
      <c r="AK4588">
        <v>2821091515</v>
      </c>
      <c r="AL4588" t="s">
        <v>6802</v>
      </c>
      <c r="AM4588" t="s">
        <v>88</v>
      </c>
      <c r="AN4588" t="s">
        <v>88</v>
      </c>
      <c r="AO4588" t="s">
        <v>88</v>
      </c>
      <c r="AP4588" t="s">
        <v>88</v>
      </c>
      <c r="AQ4588">
        <v>1</v>
      </c>
      <c r="AR4588" t="s">
        <v>6729</v>
      </c>
      <c r="AS4588" t="s">
        <v>6730</v>
      </c>
      <c r="AT4588" t="s">
        <v>58</v>
      </c>
      <c r="AU4588" t="s">
        <v>419</v>
      </c>
      <c r="AV4588" t="s">
        <v>132</v>
      </c>
      <c r="AW4588" s="1">
        <v>29902</v>
      </c>
      <c r="AX4588">
        <v>2</v>
      </c>
    </row>
    <row r="4589" spans="1:50">
      <c r="B4589" t="str">
        <f>"066846690"</f>
        <v>066846690</v>
      </c>
      <c r="C4589" t="s">
        <v>105</v>
      </c>
      <c r="D4589" t="s">
        <v>6583</v>
      </c>
      <c r="E4589" t="s">
        <v>154</v>
      </c>
      <c r="F4589" t="s">
        <v>166</v>
      </c>
      <c r="G4589" t="s">
        <v>83</v>
      </c>
      <c r="H4589" t="str">
        <f>"ΚΟΛΟΤΟΥΡΟΥ 19 ΚΑΛΑΜΑΡΙΑ ΘΕΣΣΑΛΟΝΙΚΗΣ"</f>
        <v>ΚΟΛΟΤΟΥΡΟΥ 19 ΚΑΛΑΜΑΡΙΑ ΘΕΣΣΑΛΟΝΙΚΗΣ</v>
      </c>
      <c r="I4589">
        <v>55132</v>
      </c>
      <c r="J4589">
        <v>2821073170</v>
      </c>
      <c r="K4589">
        <v>6974122402</v>
      </c>
      <c r="M4589" t="s">
        <v>8373</v>
      </c>
      <c r="N4589" t="s">
        <v>168</v>
      </c>
      <c r="O4589" t="s">
        <v>169</v>
      </c>
      <c r="R4589" t="s">
        <v>159</v>
      </c>
      <c r="S4589">
        <v>4</v>
      </c>
      <c r="T4589" t="s">
        <v>416</v>
      </c>
      <c r="U4589" s="1">
        <v>43349</v>
      </c>
      <c r="V4589" t="s">
        <v>6729</v>
      </c>
      <c r="W4589" t="s">
        <v>6730</v>
      </c>
      <c r="X4589" t="s">
        <v>58</v>
      </c>
      <c r="Y4589">
        <v>21</v>
      </c>
      <c r="Z4589" t="s">
        <v>59</v>
      </c>
      <c r="AA4589" t="s">
        <v>59</v>
      </c>
      <c r="AB4589" t="s">
        <v>59</v>
      </c>
      <c r="AC4589" t="s">
        <v>59</v>
      </c>
      <c r="AD4589" t="s">
        <v>59</v>
      </c>
      <c r="AF4589" s="1">
        <v>43349</v>
      </c>
      <c r="AG4589" t="s">
        <v>137</v>
      </c>
      <c r="AH4589" t="s">
        <v>469</v>
      </c>
      <c r="AI4589" t="str">
        <f>"5053001"</f>
        <v>5053001</v>
      </c>
      <c r="AJ4589" t="s">
        <v>6788</v>
      </c>
      <c r="AK4589">
        <v>2821068020</v>
      </c>
      <c r="AM4589" t="s">
        <v>88</v>
      </c>
      <c r="AN4589" t="s">
        <v>6764</v>
      </c>
      <c r="AO4589" t="s">
        <v>6764</v>
      </c>
      <c r="AP4589" t="s">
        <v>6764</v>
      </c>
      <c r="AQ4589">
        <v>1</v>
      </c>
      <c r="AR4589" t="s">
        <v>6729</v>
      </c>
      <c r="AS4589" t="s">
        <v>6730</v>
      </c>
      <c r="AT4589" t="s">
        <v>58</v>
      </c>
      <c r="AU4589" t="s">
        <v>419</v>
      </c>
      <c r="AV4589" t="s">
        <v>132</v>
      </c>
      <c r="AW4589" s="1">
        <v>28871</v>
      </c>
      <c r="AX4589">
        <v>2</v>
      </c>
    </row>
    <row r="4590" spans="1:50">
      <c r="A4590">
        <v>156387</v>
      </c>
      <c r="B4590" t="str">
        <f>"079645057"</f>
        <v>079645057</v>
      </c>
      <c r="C4590" t="s">
        <v>50</v>
      </c>
      <c r="D4590" t="s">
        <v>8374</v>
      </c>
      <c r="E4590" t="s">
        <v>52</v>
      </c>
      <c r="F4590" t="s">
        <v>6198</v>
      </c>
      <c r="G4590" t="s">
        <v>316</v>
      </c>
      <c r="H4590" t="str">
        <f>"Α ΣΟΔΥ ΚΑΛΑΘΑΣ ΑΚΡΩΤΗΡΙ"</f>
        <v>Α ΣΟΔΥ ΚΑΛΑΘΑΣ ΑΚΡΩΤΗΡΙ</v>
      </c>
      <c r="I4590">
        <v>73100</v>
      </c>
      <c r="J4590">
        <v>2821007397</v>
      </c>
      <c r="K4590">
        <v>6976231240</v>
      </c>
      <c r="M4590" t="s">
        <v>8375</v>
      </c>
      <c r="N4590" t="s">
        <v>146</v>
      </c>
      <c r="O4590" t="s">
        <v>147</v>
      </c>
      <c r="R4590" t="s">
        <v>57</v>
      </c>
      <c r="S4590">
        <v>15</v>
      </c>
      <c r="T4590">
        <v>188</v>
      </c>
      <c r="U4590" s="1">
        <v>32752</v>
      </c>
      <c r="V4590" t="s">
        <v>6729</v>
      </c>
      <c r="W4590" t="s">
        <v>6730</v>
      </c>
      <c r="X4590" t="s">
        <v>58</v>
      </c>
      <c r="Y4590">
        <v>18</v>
      </c>
      <c r="Z4590" t="s">
        <v>59</v>
      </c>
      <c r="AA4590" t="s">
        <v>59</v>
      </c>
      <c r="AB4590" t="s">
        <v>59</v>
      </c>
      <c r="AC4590" t="s">
        <v>59</v>
      </c>
      <c r="AD4590" t="s">
        <v>59</v>
      </c>
      <c r="AF4590" s="1">
        <v>32752</v>
      </c>
      <c r="AG4590" t="s">
        <v>148</v>
      </c>
      <c r="AH4590" t="s">
        <v>149</v>
      </c>
      <c r="AI4590" t="str">
        <f>"5051030"</f>
        <v>5051030</v>
      </c>
      <c r="AJ4590" t="s">
        <v>6760</v>
      </c>
      <c r="AK4590">
        <v>2821027533</v>
      </c>
      <c r="AL4590" t="s">
        <v>6761</v>
      </c>
      <c r="AM4590" t="s">
        <v>88</v>
      </c>
      <c r="AN4590" t="s">
        <v>88</v>
      </c>
      <c r="AO4590" t="s">
        <v>88</v>
      </c>
      <c r="AP4590" t="s">
        <v>88</v>
      </c>
      <c r="AQ4590">
        <v>1</v>
      </c>
      <c r="AR4590" t="s">
        <v>6729</v>
      </c>
      <c r="AS4590" t="s">
        <v>6730</v>
      </c>
      <c r="AT4590" t="s">
        <v>58</v>
      </c>
      <c r="AU4590" t="s">
        <v>68</v>
      </c>
      <c r="AV4590" t="s">
        <v>69</v>
      </c>
      <c r="AW4590" s="1">
        <v>23736</v>
      </c>
      <c r="AX4590">
        <v>2</v>
      </c>
    </row>
    <row r="4591" spans="1:50">
      <c r="A4591">
        <v>220937</v>
      </c>
      <c r="B4591" t="str">
        <f>"073230812"</f>
        <v>073230812</v>
      </c>
      <c r="C4591" t="s">
        <v>50</v>
      </c>
      <c r="D4591" t="s">
        <v>8376</v>
      </c>
      <c r="E4591" t="s">
        <v>237</v>
      </c>
      <c r="F4591" t="s">
        <v>8377</v>
      </c>
      <c r="G4591" t="s">
        <v>52</v>
      </c>
      <c r="H4591" t="str">
        <f>"ΑΛΕΞΑΝΔΡΟΥ ΠΡΑΙΔΟ 11 "</f>
        <v xml:space="preserve">ΑΛΕΞΑΝΔΡΟΥ ΠΡΑΙΔΟ 11 </v>
      </c>
      <c r="I4591">
        <v>73100</v>
      </c>
      <c r="J4591">
        <v>2821091946</v>
      </c>
      <c r="K4591">
        <v>6974369069</v>
      </c>
      <c r="L4591">
        <v>6987238076</v>
      </c>
      <c r="M4591" t="s">
        <v>8378</v>
      </c>
      <c r="N4591" t="s">
        <v>765</v>
      </c>
      <c r="O4591" t="s">
        <v>766</v>
      </c>
      <c r="R4591" t="s">
        <v>159</v>
      </c>
      <c r="S4591">
        <v>5</v>
      </c>
      <c r="T4591">
        <v>687</v>
      </c>
      <c r="U4591" s="1">
        <v>39330</v>
      </c>
      <c r="V4591" t="s">
        <v>6729</v>
      </c>
      <c r="W4591" t="s">
        <v>6730</v>
      </c>
      <c r="X4591" t="s">
        <v>58</v>
      </c>
      <c r="Y4591">
        <v>20</v>
      </c>
      <c r="Z4591" t="s">
        <v>59</v>
      </c>
      <c r="AA4591" t="s">
        <v>59</v>
      </c>
      <c r="AB4591" t="s">
        <v>59</v>
      </c>
      <c r="AC4591" t="s">
        <v>59</v>
      </c>
      <c r="AD4591" t="s">
        <v>59</v>
      </c>
      <c r="AF4591" s="1">
        <v>39335</v>
      </c>
      <c r="AG4591" t="s">
        <v>137</v>
      </c>
      <c r="AH4591" t="s">
        <v>138</v>
      </c>
      <c r="AI4591" t="str">
        <f>"5050060"</f>
        <v>5050060</v>
      </c>
      <c r="AJ4591" t="s">
        <v>6801</v>
      </c>
      <c r="AK4591">
        <v>2821091515</v>
      </c>
      <c r="AL4591" t="s">
        <v>6802</v>
      </c>
      <c r="AM4591" t="s">
        <v>88</v>
      </c>
      <c r="AN4591" t="s">
        <v>88</v>
      </c>
      <c r="AO4591" t="s">
        <v>88</v>
      </c>
      <c r="AP4591" t="s">
        <v>88</v>
      </c>
      <c r="AQ4591">
        <v>1</v>
      </c>
      <c r="AR4591" t="s">
        <v>6729</v>
      </c>
      <c r="AS4591" t="s">
        <v>6730</v>
      </c>
      <c r="AT4591" t="s">
        <v>58</v>
      </c>
      <c r="AU4591" t="s">
        <v>68</v>
      </c>
      <c r="AV4591" t="s">
        <v>69</v>
      </c>
      <c r="AW4591" s="1">
        <v>25934</v>
      </c>
      <c r="AX4591">
        <v>2</v>
      </c>
    </row>
    <row r="4592" spans="1:50">
      <c r="A4592">
        <v>194973</v>
      </c>
      <c r="B4592" t="str">
        <f>"072551310"</f>
        <v>072551310</v>
      </c>
      <c r="C4592" t="s">
        <v>50</v>
      </c>
      <c r="D4592" t="s">
        <v>8379</v>
      </c>
      <c r="E4592" t="s">
        <v>215</v>
      </c>
      <c r="F4592" t="s">
        <v>166</v>
      </c>
      <c r="G4592" t="s">
        <v>237</v>
      </c>
      <c r="H4592" t="str">
        <f>" "</f>
        <v xml:space="preserve"> </v>
      </c>
      <c r="J4592">
        <v>2821033841</v>
      </c>
      <c r="K4592">
        <v>6974391008</v>
      </c>
      <c r="M4592" t="s">
        <v>8380</v>
      </c>
      <c r="N4592" t="s">
        <v>8381</v>
      </c>
      <c r="O4592" t="s">
        <v>8382</v>
      </c>
      <c r="R4592" t="s">
        <v>57</v>
      </c>
      <c r="S4592">
        <v>10</v>
      </c>
      <c r="T4592">
        <v>193</v>
      </c>
      <c r="U4592" s="1">
        <v>37497</v>
      </c>
      <c r="V4592" t="s">
        <v>6729</v>
      </c>
      <c r="W4592" t="s">
        <v>6730</v>
      </c>
      <c r="X4592" t="s">
        <v>58</v>
      </c>
      <c r="Y4592">
        <v>18</v>
      </c>
      <c r="Z4592" t="s">
        <v>59</v>
      </c>
      <c r="AA4592" t="s">
        <v>59</v>
      </c>
      <c r="AB4592" t="s">
        <v>59</v>
      </c>
      <c r="AC4592" t="s">
        <v>59</v>
      </c>
      <c r="AD4592" t="s">
        <v>59</v>
      </c>
      <c r="AF4592" s="1">
        <v>37501</v>
      </c>
      <c r="AG4592" t="s">
        <v>137</v>
      </c>
      <c r="AH4592" t="s">
        <v>138</v>
      </c>
      <c r="AI4592" t="str">
        <f>"5040080"</f>
        <v>5040080</v>
      </c>
      <c r="AJ4592" t="s">
        <v>6753</v>
      </c>
      <c r="AK4592">
        <v>2821093155</v>
      </c>
      <c r="AL4592" t="s">
        <v>6754</v>
      </c>
      <c r="AM4592" t="s">
        <v>88</v>
      </c>
      <c r="AN4592" t="s">
        <v>88</v>
      </c>
      <c r="AO4592" t="s">
        <v>6733</v>
      </c>
      <c r="AP4592" t="s">
        <v>6755</v>
      </c>
      <c r="AQ4592">
        <v>1</v>
      </c>
      <c r="AR4592" t="s">
        <v>6729</v>
      </c>
      <c r="AS4592" t="s">
        <v>6730</v>
      </c>
      <c r="AT4592" t="s">
        <v>58</v>
      </c>
      <c r="AU4592" t="s">
        <v>68</v>
      </c>
      <c r="AV4592" t="s">
        <v>69</v>
      </c>
      <c r="AW4592" s="1">
        <v>27030</v>
      </c>
      <c r="AX4592">
        <v>2</v>
      </c>
    </row>
    <row r="4593" spans="1:50">
      <c r="A4593">
        <v>208285</v>
      </c>
      <c r="B4593" t="str">
        <f>"063037008"</f>
        <v>063037008</v>
      </c>
      <c r="C4593" t="s">
        <v>105</v>
      </c>
      <c r="D4593" t="s">
        <v>8383</v>
      </c>
      <c r="E4593" t="s">
        <v>106</v>
      </c>
      <c r="F4593" t="s">
        <v>154</v>
      </c>
      <c r="G4593" t="s">
        <v>73</v>
      </c>
      <c r="H4593" t="str">
        <f>" "</f>
        <v xml:space="preserve"> </v>
      </c>
      <c r="J4593">
        <v>2821079665</v>
      </c>
      <c r="K4593">
        <v>6973434525</v>
      </c>
      <c r="M4593" t="s">
        <v>8384</v>
      </c>
      <c r="N4593" t="s">
        <v>176</v>
      </c>
      <c r="O4593" t="s">
        <v>177</v>
      </c>
      <c r="R4593" t="s">
        <v>57</v>
      </c>
      <c r="S4593">
        <v>10</v>
      </c>
      <c r="T4593">
        <v>218</v>
      </c>
      <c r="U4593" s="1">
        <v>38596</v>
      </c>
      <c r="V4593" t="s">
        <v>6729</v>
      </c>
      <c r="W4593" t="s">
        <v>6730</v>
      </c>
      <c r="X4593" t="s">
        <v>58</v>
      </c>
      <c r="Y4593">
        <v>20</v>
      </c>
      <c r="Z4593" t="s">
        <v>59</v>
      </c>
      <c r="AA4593" t="s">
        <v>59</v>
      </c>
      <c r="AB4593" t="s">
        <v>59</v>
      </c>
      <c r="AC4593" t="s">
        <v>59</v>
      </c>
      <c r="AD4593" t="s">
        <v>59</v>
      </c>
      <c r="AF4593" s="1">
        <v>38603</v>
      </c>
      <c r="AG4593" t="s">
        <v>125</v>
      </c>
      <c r="AH4593" t="s">
        <v>126</v>
      </c>
      <c r="AI4593" t="str">
        <f>"5009010"</f>
        <v>5009010</v>
      </c>
      <c r="AJ4593" t="s">
        <v>6901</v>
      </c>
      <c r="AK4593">
        <v>2821077212</v>
      </c>
      <c r="AL4593" t="s">
        <v>6902</v>
      </c>
      <c r="AM4593" t="s">
        <v>88</v>
      </c>
      <c r="AN4593" t="s">
        <v>6764</v>
      </c>
      <c r="AO4593" t="s">
        <v>6885</v>
      </c>
      <c r="AP4593" t="s">
        <v>6886</v>
      </c>
      <c r="AQ4593">
        <v>1</v>
      </c>
      <c r="AR4593" t="s">
        <v>6729</v>
      </c>
      <c r="AS4593" t="s">
        <v>6730</v>
      </c>
      <c r="AT4593" t="s">
        <v>58</v>
      </c>
      <c r="AU4593" t="s">
        <v>68</v>
      </c>
      <c r="AV4593" t="s">
        <v>69</v>
      </c>
      <c r="AW4593" s="1">
        <v>25309</v>
      </c>
      <c r="AX4593">
        <v>2</v>
      </c>
    </row>
    <row r="4594" spans="1:50">
      <c r="A4594">
        <v>154821</v>
      </c>
      <c r="B4594" t="str">
        <f>"031571327"</f>
        <v>031571327</v>
      </c>
      <c r="C4594" t="s">
        <v>105</v>
      </c>
      <c r="D4594" t="s">
        <v>3944</v>
      </c>
      <c r="E4594" t="s">
        <v>166</v>
      </c>
      <c r="F4594" t="s">
        <v>609</v>
      </c>
      <c r="G4594" t="s">
        <v>83</v>
      </c>
      <c r="H4594" t="str">
        <f>"ΠΟΛΟΓΙΩΡΓΗ 41-42 ΑΓΙΟΣ ΙΩΑΝΝΗΣ"</f>
        <v>ΠΟΛΟΓΙΩΡΓΗ 41-42 ΑΓΙΟΣ ΙΩΑΝΝΗΣ</v>
      </c>
      <c r="I4594">
        <v>73100</v>
      </c>
      <c r="J4594">
        <v>2821027371</v>
      </c>
      <c r="K4594">
        <v>6970973536</v>
      </c>
      <c r="M4594" t="s">
        <v>8385</v>
      </c>
      <c r="N4594" t="s">
        <v>176</v>
      </c>
      <c r="O4594" t="s">
        <v>177</v>
      </c>
      <c r="R4594" t="s">
        <v>57</v>
      </c>
      <c r="S4594">
        <v>16</v>
      </c>
      <c r="T4594">
        <v>161</v>
      </c>
      <c r="U4594" s="1">
        <v>32387</v>
      </c>
      <c r="V4594" t="s">
        <v>6729</v>
      </c>
      <c r="W4594" t="s">
        <v>6730</v>
      </c>
      <c r="X4594" t="s">
        <v>58</v>
      </c>
      <c r="Y4594">
        <v>18</v>
      </c>
      <c r="Z4594" t="s">
        <v>59</v>
      </c>
      <c r="AA4594" t="s">
        <v>59</v>
      </c>
      <c r="AB4594" t="s">
        <v>59</v>
      </c>
      <c r="AC4594" t="s">
        <v>59</v>
      </c>
      <c r="AD4594" t="s">
        <v>59</v>
      </c>
      <c r="AF4594" s="1">
        <v>32398</v>
      </c>
      <c r="AG4594" t="s">
        <v>125</v>
      </c>
      <c r="AH4594" t="s">
        <v>126</v>
      </c>
      <c r="AI4594" t="str">
        <f>"5001075"</f>
        <v>5001075</v>
      </c>
      <c r="AJ4594" t="s">
        <v>6768</v>
      </c>
      <c r="AK4594">
        <v>2821064200</v>
      </c>
      <c r="AL4594" t="s">
        <v>6769</v>
      </c>
      <c r="AM4594" t="s">
        <v>88</v>
      </c>
      <c r="AN4594" t="s">
        <v>88</v>
      </c>
      <c r="AO4594" t="s">
        <v>6770</v>
      </c>
      <c r="AP4594" t="s">
        <v>6771</v>
      </c>
      <c r="AQ4594">
        <v>1</v>
      </c>
      <c r="AR4594" t="s">
        <v>6729</v>
      </c>
      <c r="AS4594" t="s">
        <v>6730</v>
      </c>
      <c r="AT4594" t="s">
        <v>58</v>
      </c>
      <c r="AU4594" t="s">
        <v>68</v>
      </c>
      <c r="AV4594" t="s">
        <v>69</v>
      </c>
      <c r="AW4594" s="1">
        <v>22618</v>
      </c>
      <c r="AX4594">
        <v>2</v>
      </c>
    </row>
    <row r="4595" spans="1:50">
      <c r="A4595">
        <v>197528</v>
      </c>
      <c r="B4595" t="str">
        <f>"048313982"</f>
        <v>048313982</v>
      </c>
      <c r="C4595" t="s">
        <v>50</v>
      </c>
      <c r="D4595" t="s">
        <v>8386</v>
      </c>
      <c r="E4595" t="s">
        <v>52</v>
      </c>
      <c r="F4595" t="s">
        <v>53</v>
      </c>
      <c r="G4595" t="s">
        <v>378</v>
      </c>
      <c r="H4595" t="str">
        <f>" "</f>
        <v xml:space="preserve"> </v>
      </c>
      <c r="J4595">
        <v>2104413481</v>
      </c>
      <c r="K4595">
        <v>6942711512</v>
      </c>
      <c r="M4595" t="s">
        <v>8387</v>
      </c>
      <c r="N4595" t="s">
        <v>146</v>
      </c>
      <c r="O4595" t="s">
        <v>147</v>
      </c>
      <c r="R4595" t="s">
        <v>57</v>
      </c>
      <c r="S4595">
        <v>9</v>
      </c>
      <c r="T4595">
        <v>206</v>
      </c>
      <c r="U4595" s="1">
        <v>37866</v>
      </c>
      <c r="V4595" t="s">
        <v>6729</v>
      </c>
      <c r="W4595" t="s">
        <v>6730</v>
      </c>
      <c r="X4595" t="s">
        <v>58</v>
      </c>
      <c r="Y4595">
        <v>20</v>
      </c>
      <c r="Z4595" t="s">
        <v>59</v>
      </c>
      <c r="AA4595" t="s">
        <v>59</v>
      </c>
      <c r="AB4595" t="s">
        <v>59</v>
      </c>
      <c r="AC4595" t="s">
        <v>59</v>
      </c>
      <c r="AD4595" t="s">
        <v>59</v>
      </c>
      <c r="AF4595" s="1">
        <v>37886</v>
      </c>
      <c r="AG4595" t="s">
        <v>125</v>
      </c>
      <c r="AH4595" t="s">
        <v>126</v>
      </c>
      <c r="AI4595" t="str">
        <f>"5009010"</f>
        <v>5009010</v>
      </c>
      <c r="AJ4595" t="s">
        <v>6901</v>
      </c>
      <c r="AK4595">
        <v>2821077212</v>
      </c>
      <c r="AL4595" t="s">
        <v>6902</v>
      </c>
      <c r="AM4595" t="s">
        <v>88</v>
      </c>
      <c r="AN4595" t="s">
        <v>6764</v>
      </c>
      <c r="AO4595" t="s">
        <v>6885</v>
      </c>
      <c r="AP4595" t="s">
        <v>6886</v>
      </c>
      <c r="AQ4595">
        <v>1</v>
      </c>
      <c r="AR4595" t="s">
        <v>6729</v>
      </c>
      <c r="AS4595" t="s">
        <v>6730</v>
      </c>
      <c r="AT4595" t="s">
        <v>58</v>
      </c>
      <c r="AU4595" t="s">
        <v>68</v>
      </c>
      <c r="AV4595" t="s">
        <v>69</v>
      </c>
      <c r="AW4595" s="1">
        <v>26823</v>
      </c>
      <c r="AX4595">
        <v>2</v>
      </c>
    </row>
    <row r="4596" spans="1:50">
      <c r="A4596">
        <v>198186</v>
      </c>
      <c r="B4596" t="str">
        <f>"036617869"</f>
        <v>036617869</v>
      </c>
      <c r="C4596" t="s">
        <v>50</v>
      </c>
      <c r="D4596" t="s">
        <v>8388</v>
      </c>
      <c r="E4596" t="s">
        <v>4836</v>
      </c>
      <c r="F4596" t="s">
        <v>166</v>
      </c>
      <c r="G4596" t="s">
        <v>4622</v>
      </c>
      <c r="H4596" t="str">
        <f>"ΑΓ. ΑΠΟΣΤΟΛΩΝ 2 ΧΑΝΙΑ"</f>
        <v>ΑΓ. ΑΠΟΣΤΟΛΩΝ 2 ΧΑΝΙΑ</v>
      </c>
      <c r="I4596">
        <v>73300</v>
      </c>
      <c r="J4596">
        <v>2821076471</v>
      </c>
      <c r="K4596">
        <v>6972263984</v>
      </c>
      <c r="M4596" t="s">
        <v>8389</v>
      </c>
      <c r="N4596" t="s">
        <v>199</v>
      </c>
      <c r="O4596" t="s">
        <v>200</v>
      </c>
      <c r="R4596" t="s">
        <v>57</v>
      </c>
      <c r="S4596">
        <v>10</v>
      </c>
      <c r="T4596">
        <v>206</v>
      </c>
      <c r="U4596" s="1">
        <v>37866</v>
      </c>
      <c r="V4596" t="s">
        <v>6729</v>
      </c>
      <c r="W4596" t="s">
        <v>6730</v>
      </c>
      <c r="X4596" t="s">
        <v>58</v>
      </c>
      <c r="Y4596">
        <v>18</v>
      </c>
      <c r="Z4596" t="s">
        <v>59</v>
      </c>
      <c r="AA4596" t="s">
        <v>59</v>
      </c>
      <c r="AB4596" t="s">
        <v>59</v>
      </c>
      <c r="AC4596" t="s">
        <v>59</v>
      </c>
      <c r="AD4596" t="s">
        <v>59</v>
      </c>
      <c r="AF4596" s="1">
        <v>37866</v>
      </c>
      <c r="AG4596" t="s">
        <v>125</v>
      </c>
      <c r="AH4596" t="s">
        <v>126</v>
      </c>
      <c r="AI4596" t="str">
        <f>"5001076"</f>
        <v>5001076</v>
      </c>
      <c r="AJ4596" t="s">
        <v>6979</v>
      </c>
      <c r="AK4596">
        <v>2821088808</v>
      </c>
      <c r="AL4596" t="s">
        <v>6980</v>
      </c>
      <c r="AM4596" t="s">
        <v>88</v>
      </c>
      <c r="AN4596" t="s">
        <v>88</v>
      </c>
      <c r="AO4596" t="s">
        <v>6733</v>
      </c>
      <c r="AP4596" t="s">
        <v>6755</v>
      </c>
      <c r="AQ4596">
        <v>1</v>
      </c>
      <c r="AR4596" t="s">
        <v>6729</v>
      </c>
      <c r="AS4596" t="s">
        <v>6730</v>
      </c>
      <c r="AT4596" t="s">
        <v>58</v>
      </c>
      <c r="AU4596" t="s">
        <v>68</v>
      </c>
      <c r="AV4596" t="s">
        <v>69</v>
      </c>
      <c r="AW4596" s="1">
        <v>21565</v>
      </c>
      <c r="AX4596">
        <v>2</v>
      </c>
    </row>
    <row r="4597" spans="1:50">
      <c r="A4597">
        <v>202475</v>
      </c>
      <c r="B4597" t="str">
        <f>"054573065"</f>
        <v>054573065</v>
      </c>
      <c r="C4597" t="s">
        <v>105</v>
      </c>
      <c r="D4597" t="s">
        <v>8390</v>
      </c>
      <c r="E4597" t="s">
        <v>670</v>
      </c>
      <c r="F4597" t="s">
        <v>230</v>
      </c>
      <c r="G4597" t="s">
        <v>83</v>
      </c>
      <c r="H4597" t="str">
        <f>"ΕΘΝ. ΒΕΝΙΖΕΛΟΥ 229 ΣΟΥΔΑΣ"</f>
        <v>ΕΘΝ. ΒΕΝΙΖΕΛΟΥ 229 ΣΟΥΔΑΣ</v>
      </c>
      <c r="I4597">
        <v>73200</v>
      </c>
      <c r="J4597">
        <v>2821089267</v>
      </c>
      <c r="K4597">
        <v>6973321963</v>
      </c>
      <c r="M4597" t="s">
        <v>8391</v>
      </c>
      <c r="N4597" t="s">
        <v>292</v>
      </c>
      <c r="O4597" t="s">
        <v>293</v>
      </c>
      <c r="R4597" t="s">
        <v>57</v>
      </c>
      <c r="S4597">
        <v>9</v>
      </c>
      <c r="T4597">
        <v>231</v>
      </c>
      <c r="U4597" s="1">
        <v>38230</v>
      </c>
      <c r="V4597" t="s">
        <v>6729</v>
      </c>
      <c r="W4597" t="s">
        <v>6730</v>
      </c>
      <c r="X4597" t="s">
        <v>58</v>
      </c>
      <c r="Y4597">
        <v>20</v>
      </c>
      <c r="Z4597" t="s">
        <v>59</v>
      </c>
      <c r="AA4597" t="s">
        <v>59</v>
      </c>
      <c r="AB4597" t="s">
        <v>59</v>
      </c>
      <c r="AC4597" t="s">
        <v>59</v>
      </c>
      <c r="AD4597" t="s">
        <v>59</v>
      </c>
      <c r="AF4597" s="1">
        <v>38233</v>
      </c>
      <c r="AG4597" t="s">
        <v>148</v>
      </c>
      <c r="AH4597" t="s">
        <v>149</v>
      </c>
      <c r="AI4597" t="str">
        <f>"5061010"</f>
        <v>5061010</v>
      </c>
      <c r="AJ4597" t="s">
        <v>6746</v>
      </c>
      <c r="AK4597">
        <v>2821081530</v>
      </c>
      <c r="AL4597" t="s">
        <v>6747</v>
      </c>
      <c r="AM4597" t="s">
        <v>88</v>
      </c>
      <c r="AN4597" t="s">
        <v>88</v>
      </c>
      <c r="AO4597" t="s">
        <v>6748</v>
      </c>
      <c r="AP4597" t="s">
        <v>6748</v>
      </c>
      <c r="AQ4597">
        <v>1</v>
      </c>
      <c r="AR4597" t="s">
        <v>6729</v>
      </c>
      <c r="AS4597" t="s">
        <v>6730</v>
      </c>
      <c r="AT4597" t="s">
        <v>58</v>
      </c>
      <c r="AU4597" t="s">
        <v>68</v>
      </c>
      <c r="AV4597" t="s">
        <v>357</v>
      </c>
      <c r="AW4597" s="1">
        <v>28985</v>
      </c>
      <c r="AX4597">
        <v>2</v>
      </c>
    </row>
    <row r="4598" spans="1:50">
      <c r="A4598">
        <v>200194</v>
      </c>
      <c r="B4598" t="str">
        <f>"118476093"</f>
        <v>118476093</v>
      </c>
      <c r="C4598" t="s">
        <v>50</v>
      </c>
      <c r="D4598" t="s">
        <v>8392</v>
      </c>
      <c r="E4598" t="s">
        <v>513</v>
      </c>
      <c r="F4598" t="s">
        <v>154</v>
      </c>
      <c r="G4598" t="s">
        <v>1019</v>
      </c>
      <c r="H4598" t="str">
        <f>" "</f>
        <v xml:space="preserve"> </v>
      </c>
      <c r="J4598">
        <v>2824022724</v>
      </c>
      <c r="K4598">
        <v>6945252209</v>
      </c>
      <c r="N4598" t="s">
        <v>204</v>
      </c>
      <c r="O4598" t="s">
        <v>205</v>
      </c>
      <c r="R4598" t="s">
        <v>57</v>
      </c>
      <c r="S4598">
        <v>9</v>
      </c>
      <c r="T4598">
        <v>206</v>
      </c>
      <c r="U4598" s="1">
        <v>37866</v>
      </c>
      <c r="V4598" t="s">
        <v>6729</v>
      </c>
      <c r="W4598" t="s">
        <v>6730</v>
      </c>
      <c r="X4598" t="s">
        <v>58</v>
      </c>
      <c r="Y4598">
        <v>20</v>
      </c>
      <c r="Z4598" t="s">
        <v>59</v>
      </c>
      <c r="AA4598" t="s">
        <v>59</v>
      </c>
      <c r="AB4598" t="s">
        <v>59</v>
      </c>
      <c r="AC4598" t="s">
        <v>59</v>
      </c>
      <c r="AD4598" t="s">
        <v>59</v>
      </c>
      <c r="AF4598" s="1">
        <v>37867</v>
      </c>
      <c r="AG4598" t="s">
        <v>125</v>
      </c>
      <c r="AH4598" t="s">
        <v>126</v>
      </c>
      <c r="AI4598" t="str">
        <f>"5001020"</f>
        <v>5001020</v>
      </c>
      <c r="AJ4598" t="s">
        <v>6739</v>
      </c>
      <c r="AK4598">
        <v>2821042664</v>
      </c>
      <c r="AL4598" t="s">
        <v>6740</v>
      </c>
      <c r="AM4598" t="s">
        <v>88</v>
      </c>
      <c r="AN4598" t="s">
        <v>88</v>
      </c>
      <c r="AO4598" t="s">
        <v>88</v>
      </c>
      <c r="AP4598" t="s">
        <v>88</v>
      </c>
      <c r="AQ4598">
        <v>1</v>
      </c>
      <c r="AR4598" t="s">
        <v>6729</v>
      </c>
      <c r="AS4598" t="s">
        <v>6730</v>
      </c>
      <c r="AT4598" t="s">
        <v>58</v>
      </c>
      <c r="AU4598" t="s">
        <v>68</v>
      </c>
      <c r="AV4598" t="s">
        <v>69</v>
      </c>
      <c r="AW4598" s="1">
        <v>29259</v>
      </c>
      <c r="AX4598">
        <v>2</v>
      </c>
    </row>
    <row r="4599" spans="1:50">
      <c r="A4599">
        <v>147941</v>
      </c>
      <c r="B4599" t="str">
        <f>"030718320"</f>
        <v>030718320</v>
      </c>
      <c r="C4599" t="s">
        <v>105</v>
      </c>
      <c r="D4599" t="s">
        <v>8393</v>
      </c>
      <c r="E4599" t="s">
        <v>2580</v>
      </c>
      <c r="F4599" t="s">
        <v>95</v>
      </c>
      <c r="G4599" t="s">
        <v>6454</v>
      </c>
      <c r="H4599" t="str">
        <f>" "</f>
        <v xml:space="preserve"> </v>
      </c>
      <c r="J4599">
        <v>2821098782</v>
      </c>
      <c r="K4599">
        <v>6945792370</v>
      </c>
      <c r="N4599" t="s">
        <v>176</v>
      </c>
      <c r="O4599" t="s">
        <v>177</v>
      </c>
      <c r="R4599" t="s">
        <v>57</v>
      </c>
      <c r="S4599">
        <v>16</v>
      </c>
      <c r="T4599">
        <v>237</v>
      </c>
      <c r="U4599" s="1">
        <v>31293</v>
      </c>
      <c r="V4599" t="s">
        <v>6729</v>
      </c>
      <c r="W4599" t="s">
        <v>6730</v>
      </c>
      <c r="X4599" t="s">
        <v>58</v>
      </c>
      <c r="Y4599">
        <v>18</v>
      </c>
      <c r="Z4599" t="s">
        <v>59</v>
      </c>
      <c r="AA4599" t="s">
        <v>59</v>
      </c>
      <c r="AB4599" t="s">
        <v>59</v>
      </c>
      <c r="AC4599" t="s">
        <v>59</v>
      </c>
      <c r="AD4599" t="s">
        <v>59</v>
      </c>
      <c r="AF4599" s="1">
        <v>31295</v>
      </c>
      <c r="AG4599" t="s">
        <v>148</v>
      </c>
      <c r="AH4599" t="s">
        <v>149</v>
      </c>
      <c r="AI4599" t="str">
        <f>"5059010"</f>
        <v>5059010</v>
      </c>
      <c r="AJ4599" t="s">
        <v>6883</v>
      </c>
      <c r="AK4599">
        <v>2821077166</v>
      </c>
      <c r="AL4599" t="s">
        <v>6884</v>
      </c>
      <c r="AM4599" t="s">
        <v>88</v>
      </c>
      <c r="AN4599" t="s">
        <v>6764</v>
      </c>
      <c r="AO4599" t="s">
        <v>6885</v>
      </c>
      <c r="AP4599" t="s">
        <v>6886</v>
      </c>
      <c r="AQ4599">
        <v>1</v>
      </c>
      <c r="AR4599" t="s">
        <v>6729</v>
      </c>
      <c r="AS4599" t="s">
        <v>6730</v>
      </c>
      <c r="AT4599" t="s">
        <v>58</v>
      </c>
      <c r="AU4599" t="s">
        <v>68</v>
      </c>
      <c r="AV4599" t="s">
        <v>69</v>
      </c>
      <c r="AW4599" s="1">
        <v>22282</v>
      </c>
      <c r="AX4599">
        <v>2</v>
      </c>
    </row>
    <row r="4600" spans="1:50">
      <c r="A4600">
        <v>180302</v>
      </c>
      <c r="B4600" t="str">
        <f>"037495800"</f>
        <v>037495800</v>
      </c>
      <c r="C4600" t="s">
        <v>105</v>
      </c>
      <c r="D4600" t="s">
        <v>8394</v>
      </c>
      <c r="E4600" t="s">
        <v>99</v>
      </c>
      <c r="F4600" t="s">
        <v>609</v>
      </c>
      <c r="G4600" t="s">
        <v>52</v>
      </c>
      <c r="H4600" t="str">
        <f>"ΛΑΦΟΝΗΣΙΟΥ 7 ΧΑΝΙΑ"</f>
        <v>ΛΑΦΟΝΗΣΙΟΥ 7 ΧΑΝΙΑ</v>
      </c>
      <c r="I4600">
        <v>73131</v>
      </c>
      <c r="J4600">
        <v>2821075328</v>
      </c>
      <c r="K4600">
        <v>6946799410</v>
      </c>
      <c r="M4600" t="s">
        <v>8395</v>
      </c>
      <c r="N4600" t="s">
        <v>292</v>
      </c>
      <c r="O4600" t="s">
        <v>293</v>
      </c>
      <c r="R4600" t="s">
        <v>57</v>
      </c>
      <c r="S4600">
        <v>14</v>
      </c>
      <c r="T4600">
        <v>181</v>
      </c>
      <c r="U4600" s="1">
        <v>36039</v>
      </c>
      <c r="V4600" t="s">
        <v>6729</v>
      </c>
      <c r="W4600" t="s">
        <v>6730</v>
      </c>
      <c r="X4600" t="s">
        <v>58</v>
      </c>
      <c r="Y4600">
        <v>18</v>
      </c>
      <c r="Z4600" t="s">
        <v>59</v>
      </c>
      <c r="AA4600" t="s">
        <v>59</v>
      </c>
      <c r="AB4600" t="s">
        <v>59</v>
      </c>
      <c r="AC4600" t="s">
        <v>59</v>
      </c>
      <c r="AD4600" t="s">
        <v>59</v>
      </c>
      <c r="AF4600" s="1">
        <v>36046</v>
      </c>
      <c r="AG4600" t="s">
        <v>125</v>
      </c>
      <c r="AH4600" t="s">
        <v>126</v>
      </c>
      <c r="AI4600" t="str">
        <f>"5001060"</f>
        <v>5001060</v>
      </c>
      <c r="AJ4600" t="s">
        <v>6914</v>
      </c>
      <c r="AK4600">
        <v>2821091763</v>
      </c>
      <c r="AL4600" t="s">
        <v>6915</v>
      </c>
      <c r="AM4600" t="s">
        <v>88</v>
      </c>
      <c r="AN4600" t="s">
        <v>88</v>
      </c>
      <c r="AO4600" t="s">
        <v>88</v>
      </c>
      <c r="AP4600" t="s">
        <v>88</v>
      </c>
      <c r="AQ4600">
        <v>1</v>
      </c>
      <c r="AR4600" t="s">
        <v>6729</v>
      </c>
      <c r="AS4600" t="s">
        <v>6730</v>
      </c>
      <c r="AT4600" t="s">
        <v>58</v>
      </c>
      <c r="AU4600" t="s">
        <v>68</v>
      </c>
      <c r="AV4600" t="s">
        <v>69</v>
      </c>
      <c r="AW4600" s="1">
        <v>21878</v>
      </c>
      <c r="AX4600">
        <v>2</v>
      </c>
    </row>
    <row r="4601" spans="1:50">
      <c r="A4601">
        <v>160857</v>
      </c>
      <c r="B4601" t="str">
        <f>"042920758"</f>
        <v>042920758</v>
      </c>
      <c r="C4601" t="s">
        <v>50</v>
      </c>
      <c r="D4601" t="s">
        <v>3978</v>
      </c>
      <c r="E4601" t="s">
        <v>155</v>
      </c>
      <c r="F4601" t="s">
        <v>154</v>
      </c>
      <c r="G4601" t="s">
        <v>610</v>
      </c>
      <c r="H4601" t="str">
        <f>" "</f>
        <v xml:space="preserve"> </v>
      </c>
      <c r="J4601">
        <v>2821034155</v>
      </c>
      <c r="K4601">
        <v>6976006078</v>
      </c>
      <c r="N4601" t="s">
        <v>257</v>
      </c>
      <c r="O4601" t="s">
        <v>258</v>
      </c>
      <c r="R4601" t="s">
        <v>57</v>
      </c>
      <c r="S4601">
        <v>14</v>
      </c>
      <c r="T4601">
        <v>161</v>
      </c>
      <c r="U4601" s="1">
        <v>33119</v>
      </c>
      <c r="V4601" t="s">
        <v>6729</v>
      </c>
      <c r="W4601" t="s">
        <v>6730</v>
      </c>
      <c r="X4601" t="s">
        <v>58</v>
      </c>
      <c r="Y4601">
        <v>18</v>
      </c>
      <c r="Z4601" t="s">
        <v>59</v>
      </c>
      <c r="AA4601" t="s">
        <v>59</v>
      </c>
      <c r="AB4601" t="s">
        <v>59</v>
      </c>
      <c r="AC4601" t="s">
        <v>59</v>
      </c>
      <c r="AD4601" t="s">
        <v>59</v>
      </c>
      <c r="AF4601" s="1">
        <v>33123</v>
      </c>
      <c r="AG4601" t="s">
        <v>148</v>
      </c>
      <c r="AH4601" t="s">
        <v>149</v>
      </c>
      <c r="AI4601" t="str">
        <f>"5051030"</f>
        <v>5051030</v>
      </c>
      <c r="AJ4601" t="s">
        <v>6760</v>
      </c>
      <c r="AK4601">
        <v>2821027533</v>
      </c>
      <c r="AL4601" t="s">
        <v>6761</v>
      </c>
      <c r="AM4601" t="s">
        <v>88</v>
      </c>
      <c r="AN4601" t="s">
        <v>88</v>
      </c>
      <c r="AO4601" t="s">
        <v>88</v>
      </c>
      <c r="AP4601" t="s">
        <v>88</v>
      </c>
      <c r="AQ4601">
        <v>1</v>
      </c>
      <c r="AR4601" t="s">
        <v>6729</v>
      </c>
      <c r="AS4601" t="s">
        <v>6730</v>
      </c>
      <c r="AT4601" t="s">
        <v>58</v>
      </c>
      <c r="AU4601" t="s">
        <v>68</v>
      </c>
      <c r="AV4601" t="s">
        <v>69</v>
      </c>
      <c r="AW4601" s="1">
        <v>23825</v>
      </c>
      <c r="AX4601">
        <v>2</v>
      </c>
    </row>
    <row r="4602" spans="1:50">
      <c r="A4602">
        <v>181210</v>
      </c>
      <c r="B4602" t="str">
        <f>"051482900"</f>
        <v>051482900</v>
      </c>
      <c r="C4602" t="s">
        <v>50</v>
      </c>
      <c r="D4602" t="s">
        <v>6592</v>
      </c>
      <c r="E4602" t="s">
        <v>52</v>
      </c>
      <c r="F4602" t="s">
        <v>670</v>
      </c>
      <c r="G4602" t="s">
        <v>476</v>
      </c>
      <c r="H4602" t="str">
        <f>"ΑΓΑΘ. ΝΙΝΟΛΑΚΗ 5 ΧΑΝΙΩΝ"</f>
        <v>ΑΓΑΘ. ΝΙΝΟΛΑΚΗ 5 ΧΑΝΙΩΝ</v>
      </c>
      <c r="I4602">
        <v>73135</v>
      </c>
      <c r="N4602" t="s">
        <v>306</v>
      </c>
      <c r="O4602" t="s">
        <v>307</v>
      </c>
      <c r="R4602" t="s">
        <v>57</v>
      </c>
      <c r="S4602">
        <v>10</v>
      </c>
      <c r="T4602">
        <v>181</v>
      </c>
      <c r="U4602" s="1">
        <v>36039</v>
      </c>
      <c r="V4602" t="s">
        <v>6729</v>
      </c>
      <c r="W4602" t="s">
        <v>6730</v>
      </c>
      <c r="X4602" t="s">
        <v>58</v>
      </c>
      <c r="Y4602">
        <v>18</v>
      </c>
      <c r="Z4602" t="s">
        <v>59</v>
      </c>
      <c r="AA4602" t="s">
        <v>59</v>
      </c>
      <c r="AB4602" t="s">
        <v>59</v>
      </c>
      <c r="AC4602" t="s">
        <v>59</v>
      </c>
      <c r="AD4602" t="s">
        <v>59</v>
      </c>
      <c r="AF4602" s="1">
        <v>36042</v>
      </c>
      <c r="AG4602" t="s">
        <v>137</v>
      </c>
      <c r="AH4602" t="s">
        <v>138</v>
      </c>
      <c r="AI4602" t="str">
        <f>"5040100"</f>
        <v>5040100</v>
      </c>
      <c r="AJ4602" t="s">
        <v>6790</v>
      </c>
      <c r="AK4602">
        <v>2821058998</v>
      </c>
      <c r="AL4602" t="s">
        <v>6791</v>
      </c>
      <c r="AM4602" t="s">
        <v>88</v>
      </c>
      <c r="AN4602" t="s">
        <v>88</v>
      </c>
      <c r="AO4602" t="s">
        <v>6770</v>
      </c>
      <c r="AP4602" t="s">
        <v>6771</v>
      </c>
      <c r="AQ4602">
        <v>1</v>
      </c>
      <c r="AR4602" t="s">
        <v>6729</v>
      </c>
      <c r="AS4602" t="s">
        <v>6730</v>
      </c>
      <c r="AT4602" t="s">
        <v>58</v>
      </c>
      <c r="AU4602" t="s">
        <v>68</v>
      </c>
      <c r="AV4602" t="s">
        <v>69</v>
      </c>
      <c r="AW4602" s="1">
        <v>25535</v>
      </c>
      <c r="AX4602">
        <v>2</v>
      </c>
    </row>
    <row r="4603" spans="1:50">
      <c r="A4603">
        <v>703003</v>
      </c>
      <c r="B4603" t="str">
        <f>"046187420"</f>
        <v>046187420</v>
      </c>
      <c r="C4603" t="s">
        <v>105</v>
      </c>
      <c r="D4603" t="s">
        <v>8396</v>
      </c>
      <c r="E4603" t="s">
        <v>166</v>
      </c>
      <c r="F4603" t="s">
        <v>8397</v>
      </c>
      <c r="G4603" t="s">
        <v>83</v>
      </c>
      <c r="H4603" t="str">
        <f>"ΑΚΡΩΤΗΡΙΟΥ 11 ΒΛΗΤΕΣ ΧΑΝΙΑ"</f>
        <v>ΑΚΡΩΤΗΡΙΟΥ 11 ΒΛΗΤΕΣ ΧΑΝΙΑ</v>
      </c>
      <c r="I4603">
        <v>73200</v>
      </c>
      <c r="J4603">
        <v>2821089103</v>
      </c>
      <c r="K4603">
        <v>6976608335</v>
      </c>
      <c r="M4603" t="s">
        <v>8398</v>
      </c>
      <c r="N4603" t="s">
        <v>331</v>
      </c>
      <c r="O4603" t="s">
        <v>332</v>
      </c>
      <c r="R4603" t="s">
        <v>57</v>
      </c>
      <c r="S4603">
        <v>8</v>
      </c>
      <c r="T4603">
        <v>588</v>
      </c>
      <c r="U4603" s="1">
        <v>40779</v>
      </c>
      <c r="V4603" t="s">
        <v>6729</v>
      </c>
      <c r="W4603" t="s">
        <v>6730</v>
      </c>
      <c r="X4603" t="s">
        <v>58</v>
      </c>
      <c r="Y4603">
        <v>21</v>
      </c>
      <c r="Z4603" t="s">
        <v>59</v>
      </c>
      <c r="AA4603" t="s">
        <v>59</v>
      </c>
      <c r="AB4603" t="s">
        <v>59</v>
      </c>
      <c r="AC4603" t="s">
        <v>59</v>
      </c>
      <c r="AD4603" t="s">
        <v>59</v>
      </c>
      <c r="AF4603" s="1">
        <v>40779</v>
      </c>
      <c r="AG4603" t="s">
        <v>137</v>
      </c>
      <c r="AH4603" t="s">
        <v>138</v>
      </c>
      <c r="AI4603" t="str">
        <f>"5040105"</f>
        <v>5040105</v>
      </c>
      <c r="AJ4603" t="s">
        <v>6969</v>
      </c>
      <c r="AK4603">
        <v>2825051703</v>
      </c>
      <c r="AL4603" t="s">
        <v>6970</v>
      </c>
      <c r="AM4603" t="s">
        <v>88</v>
      </c>
      <c r="AN4603" t="s">
        <v>6775</v>
      </c>
      <c r="AO4603" t="s">
        <v>6781</v>
      </c>
      <c r="AP4603" t="s">
        <v>6782</v>
      </c>
      <c r="AQ4603">
        <v>1</v>
      </c>
      <c r="AR4603" t="s">
        <v>6729</v>
      </c>
      <c r="AS4603" t="s">
        <v>6730</v>
      </c>
      <c r="AT4603" t="s">
        <v>58</v>
      </c>
      <c r="AU4603" t="s">
        <v>68</v>
      </c>
      <c r="AV4603" t="s">
        <v>69</v>
      </c>
      <c r="AW4603" s="1">
        <v>24281</v>
      </c>
      <c r="AX4603">
        <v>2</v>
      </c>
    </row>
    <row r="4604" spans="1:50">
      <c r="A4604">
        <v>205782</v>
      </c>
      <c r="B4604" t="str">
        <f>"100623175"</f>
        <v>100623175</v>
      </c>
      <c r="C4604" t="s">
        <v>105</v>
      </c>
      <c r="D4604" t="s">
        <v>6600</v>
      </c>
      <c r="E4604" t="s">
        <v>106</v>
      </c>
      <c r="F4604" t="s">
        <v>95</v>
      </c>
      <c r="G4604" t="s">
        <v>181</v>
      </c>
      <c r="H4604" t="str">
        <f>" "</f>
        <v xml:space="preserve"> </v>
      </c>
      <c r="J4604">
        <v>2841025306</v>
      </c>
      <c r="K4604">
        <v>6944577419</v>
      </c>
      <c r="N4604" t="s">
        <v>204</v>
      </c>
      <c r="O4604" t="s">
        <v>205</v>
      </c>
      <c r="R4604" t="s">
        <v>57</v>
      </c>
      <c r="S4604">
        <v>9</v>
      </c>
      <c r="T4604">
        <v>231</v>
      </c>
      <c r="U4604" s="1">
        <v>38230</v>
      </c>
      <c r="V4604" t="s">
        <v>6729</v>
      </c>
      <c r="W4604" t="s">
        <v>6730</v>
      </c>
      <c r="X4604" t="s">
        <v>58</v>
      </c>
      <c r="Y4604">
        <v>20</v>
      </c>
      <c r="Z4604" t="s">
        <v>59</v>
      </c>
      <c r="AA4604" t="s">
        <v>59</v>
      </c>
      <c r="AB4604" t="s">
        <v>59</v>
      </c>
      <c r="AC4604" t="s">
        <v>59</v>
      </c>
      <c r="AD4604" t="s">
        <v>59</v>
      </c>
      <c r="AF4604" s="1">
        <v>38232</v>
      </c>
      <c r="AG4604" t="s">
        <v>125</v>
      </c>
      <c r="AH4604" t="s">
        <v>126</v>
      </c>
      <c r="AI4604" t="str">
        <f>"5012010"</f>
        <v>5012010</v>
      </c>
      <c r="AJ4604" t="s">
        <v>6794</v>
      </c>
      <c r="AK4604">
        <v>2821033195</v>
      </c>
      <c r="AL4604" t="s">
        <v>6795</v>
      </c>
      <c r="AM4604" t="s">
        <v>88</v>
      </c>
      <c r="AN4604" t="s">
        <v>88</v>
      </c>
      <c r="AO4604" t="s">
        <v>6785</v>
      </c>
      <c r="AP4604" t="s">
        <v>6786</v>
      </c>
      <c r="AQ4604">
        <v>1</v>
      </c>
      <c r="AR4604" t="s">
        <v>6729</v>
      </c>
      <c r="AS4604" t="s">
        <v>6730</v>
      </c>
      <c r="AT4604" t="s">
        <v>58</v>
      </c>
      <c r="AU4604" t="s">
        <v>68</v>
      </c>
      <c r="AV4604" t="s">
        <v>69</v>
      </c>
      <c r="AW4604" s="1">
        <v>26820</v>
      </c>
      <c r="AX4604">
        <v>2</v>
      </c>
    </row>
    <row r="4605" spans="1:50">
      <c r="B4605" t="str">
        <f>"141360812"</f>
        <v>141360812</v>
      </c>
      <c r="C4605" t="s">
        <v>50</v>
      </c>
      <c r="D4605" t="s">
        <v>8399</v>
      </c>
      <c r="E4605" t="s">
        <v>3739</v>
      </c>
      <c r="F4605" t="s">
        <v>72</v>
      </c>
      <c r="H4605" t="str">
        <f>"ΣΦΑΚΙΩΝ  3 ΗΡΑΚΛΕΙΟ"</f>
        <v>ΣΦΑΚΙΩΝ  3 ΗΡΑΚΛΕΙΟ</v>
      </c>
      <c r="I4605">
        <v>71201</v>
      </c>
      <c r="J4605">
        <v>2815008509</v>
      </c>
      <c r="K4605">
        <v>6979353597</v>
      </c>
      <c r="M4605" t="s">
        <v>8400</v>
      </c>
      <c r="N4605" t="s">
        <v>883</v>
      </c>
      <c r="O4605" t="s">
        <v>884</v>
      </c>
      <c r="R4605" t="s">
        <v>159</v>
      </c>
      <c r="S4605">
        <v>1</v>
      </c>
      <c r="T4605" t="s">
        <v>122</v>
      </c>
      <c r="U4605" s="1">
        <v>43348</v>
      </c>
      <c r="V4605" t="s">
        <v>6729</v>
      </c>
      <c r="W4605" t="s">
        <v>6730</v>
      </c>
      <c r="X4605" t="s">
        <v>58</v>
      </c>
      <c r="Y4605">
        <v>23</v>
      </c>
      <c r="Z4605" t="s">
        <v>59</v>
      </c>
      <c r="AA4605" t="s">
        <v>59</v>
      </c>
      <c r="AB4605" t="s">
        <v>59</v>
      </c>
      <c r="AC4605" t="s">
        <v>59</v>
      </c>
      <c r="AD4605" t="s">
        <v>59</v>
      </c>
      <c r="AF4605" s="1">
        <v>43348</v>
      </c>
      <c r="AG4605" t="s">
        <v>125</v>
      </c>
      <c r="AH4605" t="s">
        <v>126</v>
      </c>
      <c r="AI4605" t="str">
        <f>"5002010"</f>
        <v>5002010</v>
      </c>
      <c r="AJ4605" t="s">
        <v>6773</v>
      </c>
      <c r="AK4605">
        <v>2825022249</v>
      </c>
      <c r="AL4605" t="s">
        <v>6774</v>
      </c>
      <c r="AM4605" t="s">
        <v>88</v>
      </c>
      <c r="AN4605" t="s">
        <v>6775</v>
      </c>
      <c r="AO4605" t="s">
        <v>6776</v>
      </c>
      <c r="AP4605" t="s">
        <v>6776</v>
      </c>
      <c r="AQ4605">
        <v>1</v>
      </c>
      <c r="AR4605" t="s">
        <v>6729</v>
      </c>
      <c r="AS4605" t="s">
        <v>6730</v>
      </c>
      <c r="AT4605" t="s">
        <v>58</v>
      </c>
      <c r="AU4605" t="s">
        <v>131</v>
      </c>
      <c r="AV4605" t="s">
        <v>132</v>
      </c>
      <c r="AW4605" s="1">
        <v>30162</v>
      </c>
      <c r="AX4605">
        <v>2</v>
      </c>
    </row>
    <row r="4606" spans="1:50">
      <c r="A4606">
        <v>704359</v>
      </c>
      <c r="B4606" t="str">
        <f>"106657614"</f>
        <v>106657614</v>
      </c>
      <c r="C4606" t="s">
        <v>50</v>
      </c>
      <c r="D4606" t="s">
        <v>3996</v>
      </c>
      <c r="E4606" t="s">
        <v>83</v>
      </c>
      <c r="F4606" t="s">
        <v>95</v>
      </c>
      <c r="G4606" t="s">
        <v>155</v>
      </c>
      <c r="H4606" t="str">
        <f>"ΣΑΤΟΜΗΣ  4 ΖΩΓΡΑΦΟΥ"</f>
        <v>ΣΑΤΟΜΗΣ  4 ΖΩΓΡΑΦΟΥ</v>
      </c>
      <c r="I4606">
        <v>15771</v>
      </c>
      <c r="J4606">
        <v>2107470688</v>
      </c>
      <c r="K4606">
        <v>6944458115</v>
      </c>
      <c r="N4606" t="s">
        <v>384</v>
      </c>
      <c r="O4606" t="s">
        <v>385</v>
      </c>
      <c r="R4606" t="s">
        <v>121</v>
      </c>
      <c r="S4606">
        <v>8</v>
      </c>
      <c r="T4606">
        <v>797</v>
      </c>
      <c r="U4606" s="1">
        <v>42968</v>
      </c>
      <c r="V4606" t="s">
        <v>6729</v>
      </c>
      <c r="W4606" t="s">
        <v>6730</v>
      </c>
      <c r="X4606" t="s">
        <v>58</v>
      </c>
      <c r="Y4606">
        <v>23</v>
      </c>
      <c r="Z4606" t="s">
        <v>59</v>
      </c>
      <c r="AA4606" t="s">
        <v>59</v>
      </c>
      <c r="AB4606" t="s">
        <v>59</v>
      </c>
      <c r="AC4606" t="s">
        <v>59</v>
      </c>
      <c r="AD4606" t="s">
        <v>59</v>
      </c>
      <c r="AF4606" s="1">
        <v>42968</v>
      </c>
      <c r="AG4606" t="s">
        <v>148</v>
      </c>
      <c r="AH4606" t="s">
        <v>149</v>
      </c>
      <c r="AI4606" t="str">
        <f>"5051040"</f>
        <v>5051040</v>
      </c>
      <c r="AJ4606" t="s">
        <v>6811</v>
      </c>
      <c r="AK4606">
        <v>2821088007</v>
      </c>
      <c r="AL4606" t="s">
        <v>6812</v>
      </c>
      <c r="AM4606" t="s">
        <v>88</v>
      </c>
      <c r="AN4606" t="s">
        <v>88</v>
      </c>
      <c r="AO4606" t="s">
        <v>88</v>
      </c>
      <c r="AP4606" t="s">
        <v>88</v>
      </c>
      <c r="AQ4606">
        <v>1</v>
      </c>
      <c r="AR4606" t="s">
        <v>6729</v>
      </c>
      <c r="AS4606" t="s">
        <v>6730</v>
      </c>
      <c r="AT4606" t="s">
        <v>58</v>
      </c>
      <c r="AU4606" t="s">
        <v>68</v>
      </c>
      <c r="AV4606" t="s">
        <v>132</v>
      </c>
      <c r="AW4606" s="1">
        <v>27625</v>
      </c>
      <c r="AX4606">
        <v>2</v>
      </c>
    </row>
    <row r="4607" spans="1:50">
      <c r="A4607">
        <v>157282</v>
      </c>
      <c r="B4607" t="str">
        <f>"064481013"</f>
        <v>064481013</v>
      </c>
      <c r="C4607" t="s">
        <v>50</v>
      </c>
      <c r="D4607" t="s">
        <v>8401</v>
      </c>
      <c r="E4607" t="s">
        <v>8402</v>
      </c>
      <c r="F4607" t="s">
        <v>8403</v>
      </c>
      <c r="G4607" t="s">
        <v>8404</v>
      </c>
      <c r="H4607" t="str">
        <f>"ΖΑΧΑΡΙΑ ΑΠΤΕΡΑ"</f>
        <v>ΖΑΧΑΡΙΑ ΑΠΤΕΡΑ</v>
      </c>
      <c r="I4607">
        <v>73003</v>
      </c>
      <c r="J4607">
        <v>2825031953</v>
      </c>
      <c r="K4607">
        <v>6947772812</v>
      </c>
      <c r="M4607" t="s">
        <v>8405</v>
      </c>
      <c r="N4607" t="s">
        <v>306</v>
      </c>
      <c r="O4607" t="s">
        <v>307</v>
      </c>
      <c r="R4607" t="s">
        <v>57</v>
      </c>
      <c r="S4607">
        <v>14</v>
      </c>
      <c r="T4607">
        <v>188</v>
      </c>
      <c r="U4607" s="1">
        <v>32752</v>
      </c>
      <c r="V4607" t="s">
        <v>6729</v>
      </c>
      <c r="W4607" t="s">
        <v>6730</v>
      </c>
      <c r="X4607" t="s">
        <v>58</v>
      </c>
      <c r="Y4607">
        <v>18</v>
      </c>
      <c r="Z4607" t="s">
        <v>59</v>
      </c>
      <c r="AA4607" t="s">
        <v>59</v>
      </c>
      <c r="AB4607" t="s">
        <v>59</v>
      </c>
      <c r="AC4607" t="s">
        <v>59</v>
      </c>
      <c r="AD4607" t="s">
        <v>59</v>
      </c>
      <c r="AF4607" s="1">
        <v>32756</v>
      </c>
      <c r="AG4607" t="s">
        <v>148</v>
      </c>
      <c r="AH4607" t="s">
        <v>149</v>
      </c>
      <c r="AI4607" t="str">
        <f>"5051010"</f>
        <v>5051010</v>
      </c>
      <c r="AJ4607" t="s">
        <v>6896</v>
      </c>
      <c r="AK4607">
        <v>2821028714</v>
      </c>
      <c r="AL4607" t="s">
        <v>6897</v>
      </c>
      <c r="AM4607" t="s">
        <v>88</v>
      </c>
      <c r="AN4607" t="s">
        <v>88</v>
      </c>
      <c r="AO4607" t="s">
        <v>88</v>
      </c>
      <c r="AP4607" t="s">
        <v>88</v>
      </c>
      <c r="AQ4607">
        <v>1</v>
      </c>
      <c r="AR4607" t="s">
        <v>6729</v>
      </c>
      <c r="AS4607" t="s">
        <v>6730</v>
      </c>
      <c r="AT4607" t="s">
        <v>58</v>
      </c>
      <c r="AU4607" t="s">
        <v>68</v>
      </c>
      <c r="AV4607" t="s">
        <v>69</v>
      </c>
      <c r="AW4607" s="1">
        <v>20285</v>
      </c>
      <c r="AX4607">
        <v>2</v>
      </c>
    </row>
    <row r="4608" spans="1:50">
      <c r="A4608">
        <v>228160</v>
      </c>
      <c r="B4608" t="str">
        <f>"056227742"</f>
        <v>056227742</v>
      </c>
      <c r="C4608" t="s">
        <v>50</v>
      </c>
      <c r="D4608" t="s">
        <v>8406</v>
      </c>
      <c r="E4608" t="s">
        <v>476</v>
      </c>
      <c r="F4608" t="s">
        <v>309</v>
      </c>
      <c r="G4608" t="s">
        <v>52</v>
      </c>
      <c r="H4608" t="str">
        <f>"ΚΟΛΟΚΟΤΡΩΝΗ 18 ΚΑΛΛΙΘΕΑ ΠΙΕΡΙΑΣ"</f>
        <v>ΚΟΛΟΚΟΤΡΩΝΗ 18 ΚΑΛΛΙΘΕΑ ΠΙΕΡΙΑΣ</v>
      </c>
      <c r="I4608">
        <v>60100</v>
      </c>
      <c r="J4608">
        <v>2351061380</v>
      </c>
      <c r="K4608">
        <v>6975861459</v>
      </c>
      <c r="N4608" t="s">
        <v>176</v>
      </c>
      <c r="O4608" t="s">
        <v>177</v>
      </c>
      <c r="R4608" t="s">
        <v>57</v>
      </c>
      <c r="S4608">
        <v>5</v>
      </c>
      <c r="T4608">
        <v>654</v>
      </c>
      <c r="U4608" s="1">
        <v>40043</v>
      </c>
      <c r="V4608" t="s">
        <v>6729</v>
      </c>
      <c r="W4608" t="s">
        <v>6730</v>
      </c>
      <c r="X4608" t="s">
        <v>58</v>
      </c>
      <c r="Y4608">
        <v>21</v>
      </c>
      <c r="Z4608" t="s">
        <v>59</v>
      </c>
      <c r="AA4608" t="s">
        <v>59</v>
      </c>
      <c r="AB4608" t="s">
        <v>59</v>
      </c>
      <c r="AC4608" t="s">
        <v>59</v>
      </c>
      <c r="AD4608" t="s">
        <v>59</v>
      </c>
      <c r="AF4608" s="1">
        <v>40045</v>
      </c>
      <c r="AG4608" t="s">
        <v>345</v>
      </c>
      <c r="AH4608" t="s">
        <v>346</v>
      </c>
      <c r="AI4608" t="str">
        <f>"5041001"</f>
        <v>5041001</v>
      </c>
      <c r="AJ4608" t="s">
        <v>6840</v>
      </c>
      <c r="AK4608">
        <v>2821052100</v>
      </c>
      <c r="AL4608" t="s">
        <v>6841</v>
      </c>
      <c r="AM4608" t="s">
        <v>88</v>
      </c>
      <c r="AN4608" t="s">
        <v>88</v>
      </c>
      <c r="AO4608" t="s">
        <v>88</v>
      </c>
      <c r="AP4608" t="s">
        <v>88</v>
      </c>
      <c r="AQ4608">
        <v>1</v>
      </c>
      <c r="AR4608" t="s">
        <v>6729</v>
      </c>
      <c r="AS4608" t="s">
        <v>6730</v>
      </c>
      <c r="AT4608" t="s">
        <v>58</v>
      </c>
      <c r="AU4608" t="s">
        <v>68</v>
      </c>
      <c r="AV4608" t="s">
        <v>132</v>
      </c>
      <c r="AW4608" s="1">
        <v>25276</v>
      </c>
      <c r="AX4608">
        <v>2</v>
      </c>
    </row>
    <row r="4609" spans="1:50">
      <c r="A4609">
        <v>215769</v>
      </c>
      <c r="B4609" t="str">
        <f>"100648495"</f>
        <v>100648495</v>
      </c>
      <c r="C4609" t="s">
        <v>105</v>
      </c>
      <c r="D4609" t="s">
        <v>4021</v>
      </c>
      <c r="E4609" t="s">
        <v>106</v>
      </c>
      <c r="F4609" t="s">
        <v>84</v>
      </c>
      <c r="G4609" t="s">
        <v>1074</v>
      </c>
      <c r="H4609" t="str">
        <f>"ΡΗΓΑ ΦΕΡΑΙΟΥ 15 ΧΑΝΙΑ"</f>
        <v>ΡΗΓΑ ΦΕΡΑΙΟΥ 15 ΧΑΝΙΑ</v>
      </c>
      <c r="I4609">
        <v>73100</v>
      </c>
      <c r="J4609">
        <v>2821066636</v>
      </c>
      <c r="K4609">
        <v>6948571893</v>
      </c>
      <c r="L4609">
        <v>2821052161</v>
      </c>
      <c r="M4609" t="s">
        <v>8407</v>
      </c>
      <c r="N4609" t="s">
        <v>204</v>
      </c>
      <c r="O4609" t="s">
        <v>205</v>
      </c>
      <c r="P4609" t="s">
        <v>331</v>
      </c>
      <c r="Q4609" t="s">
        <v>332</v>
      </c>
      <c r="R4609" t="s">
        <v>57</v>
      </c>
      <c r="S4609">
        <v>8</v>
      </c>
      <c r="T4609">
        <v>231</v>
      </c>
      <c r="U4609" s="1">
        <v>38960</v>
      </c>
      <c r="V4609" t="s">
        <v>6729</v>
      </c>
      <c r="W4609" t="s">
        <v>6730</v>
      </c>
      <c r="X4609" t="s">
        <v>58</v>
      </c>
      <c r="Y4609">
        <v>20</v>
      </c>
      <c r="Z4609" t="s">
        <v>59</v>
      </c>
      <c r="AA4609" t="s">
        <v>59</v>
      </c>
      <c r="AB4609" t="s">
        <v>59</v>
      </c>
      <c r="AC4609" t="s">
        <v>59</v>
      </c>
      <c r="AD4609" t="s">
        <v>59</v>
      </c>
      <c r="AF4609" s="1">
        <v>38961</v>
      </c>
      <c r="AG4609" t="s">
        <v>137</v>
      </c>
      <c r="AH4609" t="s">
        <v>469</v>
      </c>
      <c r="AI4609" t="str">
        <f>"5040055"</f>
        <v>5040055</v>
      </c>
      <c r="AJ4609" t="s">
        <v>6940</v>
      </c>
      <c r="AK4609">
        <v>2821036404</v>
      </c>
      <c r="AL4609" t="s">
        <v>6941</v>
      </c>
      <c r="AM4609" t="s">
        <v>88</v>
      </c>
      <c r="AN4609" t="s">
        <v>88</v>
      </c>
      <c r="AO4609" t="s">
        <v>88</v>
      </c>
      <c r="AP4609" t="s">
        <v>88</v>
      </c>
      <c r="AQ4609">
        <v>1</v>
      </c>
      <c r="AR4609" t="s">
        <v>6729</v>
      </c>
      <c r="AS4609" t="s">
        <v>6730</v>
      </c>
      <c r="AT4609" t="s">
        <v>58</v>
      </c>
      <c r="AU4609" t="s">
        <v>68</v>
      </c>
      <c r="AV4609" t="s">
        <v>69</v>
      </c>
      <c r="AW4609" s="1">
        <v>27626</v>
      </c>
      <c r="AX4609">
        <v>2</v>
      </c>
    </row>
    <row r="4610" spans="1:50">
      <c r="A4610">
        <v>206839</v>
      </c>
      <c r="B4610" t="str">
        <f>"113160743"</f>
        <v>113160743</v>
      </c>
      <c r="C4610" t="s">
        <v>50</v>
      </c>
      <c r="D4610" t="s">
        <v>8408</v>
      </c>
      <c r="E4610" t="s">
        <v>237</v>
      </c>
      <c r="F4610" t="s">
        <v>383</v>
      </c>
      <c r="G4610" t="s">
        <v>2409</v>
      </c>
      <c r="H4610" t="str">
        <f>"ΣΩΚΡΑΤΟΥΣ 49 ΧΟΛΑΡΓΟΣ"</f>
        <v>ΣΩΚΡΑΤΟΥΣ 49 ΧΟΛΑΡΓΟΣ</v>
      </c>
      <c r="I4610">
        <v>15562</v>
      </c>
      <c r="J4610">
        <v>2114039707</v>
      </c>
      <c r="K4610">
        <v>6937373229</v>
      </c>
      <c r="M4610" t="s">
        <v>8409</v>
      </c>
      <c r="N4610" t="s">
        <v>146</v>
      </c>
      <c r="O4610" t="s">
        <v>147</v>
      </c>
      <c r="R4610" t="s">
        <v>57</v>
      </c>
      <c r="S4610">
        <v>10</v>
      </c>
      <c r="T4610">
        <v>218</v>
      </c>
      <c r="U4610" s="1">
        <v>38596</v>
      </c>
      <c r="V4610" t="s">
        <v>6729</v>
      </c>
      <c r="W4610" t="s">
        <v>6730</v>
      </c>
      <c r="X4610" t="s">
        <v>58</v>
      </c>
      <c r="Y4610">
        <v>20</v>
      </c>
      <c r="Z4610" t="s">
        <v>59</v>
      </c>
      <c r="AA4610" t="s">
        <v>59</v>
      </c>
      <c r="AB4610" t="s">
        <v>59</v>
      </c>
      <c r="AC4610" t="s">
        <v>59</v>
      </c>
      <c r="AD4610" t="s">
        <v>59</v>
      </c>
      <c r="AF4610" s="1">
        <v>38602</v>
      </c>
      <c r="AG4610" t="s">
        <v>125</v>
      </c>
      <c r="AH4610" t="s">
        <v>126</v>
      </c>
      <c r="AI4610" t="str">
        <f>"5004010"</f>
        <v>5004010</v>
      </c>
      <c r="AJ4610" t="s">
        <v>7166</v>
      </c>
      <c r="AK4610">
        <v>2822022067</v>
      </c>
      <c r="AL4610" t="s">
        <v>7167</v>
      </c>
      <c r="AM4610" t="s">
        <v>88</v>
      </c>
      <c r="AN4610" t="s">
        <v>6744</v>
      </c>
      <c r="AO4610" t="s">
        <v>6744</v>
      </c>
      <c r="AP4610" t="s">
        <v>6744</v>
      </c>
      <c r="AQ4610">
        <v>1</v>
      </c>
      <c r="AR4610" t="s">
        <v>6729</v>
      </c>
      <c r="AS4610" t="s">
        <v>6730</v>
      </c>
      <c r="AT4610" t="s">
        <v>58</v>
      </c>
      <c r="AU4610" t="s">
        <v>68</v>
      </c>
      <c r="AV4610" t="s">
        <v>69</v>
      </c>
      <c r="AW4610" s="1">
        <v>24999</v>
      </c>
      <c r="AX4610">
        <v>2</v>
      </c>
    </row>
    <row r="4611" spans="1:50">
      <c r="A4611">
        <v>194097</v>
      </c>
      <c r="B4611" t="str">
        <f>"100600070"</f>
        <v>100600070</v>
      </c>
      <c r="C4611" t="s">
        <v>50</v>
      </c>
      <c r="D4611" t="s">
        <v>8410</v>
      </c>
      <c r="E4611" t="s">
        <v>181</v>
      </c>
      <c r="F4611" t="s">
        <v>72</v>
      </c>
      <c r="G4611" t="s">
        <v>513</v>
      </c>
      <c r="H4611" t="str">
        <f>"ΑΝ. ΓΟΓΟΝΗ 55 ΧΑΝΙΑ"</f>
        <v>ΑΝ. ΓΟΓΟΝΗ 55 ΧΑΝΙΑ</v>
      </c>
      <c r="J4611">
        <v>2821063692</v>
      </c>
      <c r="K4611">
        <v>6944450135</v>
      </c>
      <c r="L4611">
        <v>6974048914</v>
      </c>
      <c r="M4611" t="s">
        <v>8411</v>
      </c>
      <c r="N4611" t="s">
        <v>306</v>
      </c>
      <c r="O4611" t="s">
        <v>307</v>
      </c>
      <c r="R4611" t="s">
        <v>57</v>
      </c>
      <c r="S4611">
        <v>10</v>
      </c>
      <c r="T4611">
        <v>193</v>
      </c>
      <c r="U4611" s="1">
        <v>37497</v>
      </c>
      <c r="V4611" t="s">
        <v>6729</v>
      </c>
      <c r="W4611" t="s">
        <v>6730</v>
      </c>
      <c r="X4611" t="s">
        <v>58</v>
      </c>
      <c r="Y4611">
        <v>18</v>
      </c>
      <c r="Z4611" t="s">
        <v>59</v>
      </c>
      <c r="AA4611" t="s">
        <v>59</v>
      </c>
      <c r="AB4611" t="s">
        <v>59</v>
      </c>
      <c r="AC4611" t="s">
        <v>59</v>
      </c>
      <c r="AD4611" t="s">
        <v>59</v>
      </c>
      <c r="AF4611" s="1">
        <v>37501</v>
      </c>
      <c r="AG4611" t="s">
        <v>125</v>
      </c>
      <c r="AH4611" t="s">
        <v>126</v>
      </c>
      <c r="AI4611" t="str">
        <f>"5006010"</f>
        <v>5006010</v>
      </c>
      <c r="AJ4611" t="s">
        <v>7008</v>
      </c>
      <c r="AK4611">
        <v>2824031620</v>
      </c>
      <c r="AL4611" t="s">
        <v>7009</v>
      </c>
      <c r="AM4611" t="s">
        <v>88</v>
      </c>
      <c r="AN4611" t="s">
        <v>6764</v>
      </c>
      <c r="AO4611" t="s">
        <v>6765</v>
      </c>
      <c r="AP4611" t="s">
        <v>6765</v>
      </c>
      <c r="AQ4611">
        <v>1</v>
      </c>
      <c r="AR4611" t="s">
        <v>6729</v>
      </c>
      <c r="AS4611" t="s">
        <v>6730</v>
      </c>
      <c r="AT4611" t="s">
        <v>58</v>
      </c>
      <c r="AU4611" t="s">
        <v>68</v>
      </c>
      <c r="AV4611" t="s">
        <v>69</v>
      </c>
      <c r="AW4611" s="1">
        <v>25456</v>
      </c>
      <c r="AX4611">
        <v>2</v>
      </c>
    </row>
    <row r="4612" spans="1:50">
      <c r="A4612">
        <v>176496</v>
      </c>
      <c r="B4612" t="str">
        <f>"031812000"</f>
        <v>031812000</v>
      </c>
      <c r="C4612" t="s">
        <v>50</v>
      </c>
      <c r="D4612" t="s">
        <v>4030</v>
      </c>
      <c r="E4612" t="s">
        <v>181</v>
      </c>
      <c r="F4612" t="s">
        <v>72</v>
      </c>
      <c r="G4612" t="s">
        <v>109</v>
      </c>
      <c r="H4612" t="str">
        <f>" "</f>
        <v xml:space="preserve"> </v>
      </c>
      <c r="J4612">
        <v>2821031511</v>
      </c>
      <c r="K4612">
        <v>6956297971</v>
      </c>
      <c r="M4612" t="s">
        <v>8412</v>
      </c>
      <c r="N4612" t="s">
        <v>478</v>
      </c>
      <c r="O4612" t="s">
        <v>479</v>
      </c>
      <c r="R4612" t="s">
        <v>57</v>
      </c>
      <c r="S4612">
        <v>15</v>
      </c>
      <c r="T4612">
        <v>180</v>
      </c>
      <c r="U4612" s="1">
        <v>35674</v>
      </c>
      <c r="V4612" t="s">
        <v>6729</v>
      </c>
      <c r="W4612" t="s">
        <v>6730</v>
      </c>
      <c r="X4612" t="s">
        <v>58</v>
      </c>
      <c r="Y4612">
        <v>18</v>
      </c>
      <c r="Z4612" t="s">
        <v>59</v>
      </c>
      <c r="AA4612" t="s">
        <v>59</v>
      </c>
      <c r="AB4612" t="s">
        <v>59</v>
      </c>
      <c r="AC4612" t="s">
        <v>59</v>
      </c>
      <c r="AD4612" t="s">
        <v>59</v>
      </c>
      <c r="AF4612" s="1">
        <v>35678</v>
      </c>
      <c r="AG4612" t="s">
        <v>125</v>
      </c>
      <c r="AH4612" t="s">
        <v>126</v>
      </c>
      <c r="AI4612" t="str">
        <f>"5009010"</f>
        <v>5009010</v>
      </c>
      <c r="AJ4612" t="s">
        <v>6901</v>
      </c>
      <c r="AK4612">
        <v>2821077212</v>
      </c>
      <c r="AL4612" t="s">
        <v>6902</v>
      </c>
      <c r="AM4612" t="s">
        <v>88</v>
      </c>
      <c r="AN4612" t="s">
        <v>6764</v>
      </c>
      <c r="AO4612" t="s">
        <v>6885</v>
      </c>
      <c r="AP4612" t="s">
        <v>6886</v>
      </c>
      <c r="AQ4612">
        <v>1</v>
      </c>
      <c r="AR4612" t="s">
        <v>6729</v>
      </c>
      <c r="AS4612" t="s">
        <v>6730</v>
      </c>
      <c r="AT4612" t="s">
        <v>58</v>
      </c>
      <c r="AU4612" t="s">
        <v>68</v>
      </c>
      <c r="AV4612" t="s">
        <v>69</v>
      </c>
      <c r="AW4612" s="1">
        <v>22527</v>
      </c>
      <c r="AX4612">
        <v>2</v>
      </c>
    </row>
    <row r="4613" spans="1:50">
      <c r="A4613">
        <v>225941</v>
      </c>
      <c r="B4613" t="str">
        <f>"125662027"</f>
        <v>125662027</v>
      </c>
      <c r="C4613" t="s">
        <v>50</v>
      </c>
      <c r="D4613" t="s">
        <v>8413</v>
      </c>
      <c r="E4613" t="s">
        <v>237</v>
      </c>
      <c r="F4613" t="s">
        <v>1493</v>
      </c>
      <c r="G4613" t="s">
        <v>1074</v>
      </c>
      <c r="H4613" t="str">
        <f>"ΗΛΙΟΥΠΟΛΕΩΣ 72-74 ΑΘΗΝΑ "</f>
        <v xml:space="preserve">ΗΛΙΟΥΠΟΛΕΩΣ 72-74 ΑΘΗΝΑ </v>
      </c>
      <c r="I4613">
        <v>11631</v>
      </c>
      <c r="J4613">
        <v>2109015169</v>
      </c>
      <c r="K4613">
        <v>6979045815</v>
      </c>
      <c r="M4613" t="s">
        <v>8414</v>
      </c>
      <c r="N4613" t="s">
        <v>146</v>
      </c>
      <c r="O4613" t="s">
        <v>147</v>
      </c>
      <c r="R4613" t="s">
        <v>57</v>
      </c>
      <c r="S4613">
        <v>7</v>
      </c>
      <c r="T4613" t="s">
        <v>8415</v>
      </c>
      <c r="U4613" s="1">
        <v>39832</v>
      </c>
      <c r="V4613" t="s">
        <v>6729</v>
      </c>
      <c r="W4613" t="s">
        <v>6730</v>
      </c>
      <c r="X4613" t="s">
        <v>58</v>
      </c>
      <c r="Y4613">
        <v>21</v>
      </c>
      <c r="Z4613" t="s">
        <v>59</v>
      </c>
      <c r="AA4613" t="s">
        <v>59</v>
      </c>
      <c r="AB4613" t="s">
        <v>59</v>
      </c>
      <c r="AC4613" t="s">
        <v>59</v>
      </c>
      <c r="AD4613" t="s">
        <v>59</v>
      </c>
      <c r="AF4613" s="1">
        <v>39832</v>
      </c>
      <c r="AG4613" t="s">
        <v>125</v>
      </c>
      <c r="AH4613" t="s">
        <v>126</v>
      </c>
      <c r="AI4613" t="str">
        <f>"5001073"</f>
        <v>5001073</v>
      </c>
      <c r="AJ4613" t="s">
        <v>6849</v>
      </c>
      <c r="AK4613">
        <v>2821028553</v>
      </c>
      <c r="AL4613" t="s">
        <v>6850</v>
      </c>
      <c r="AM4613" t="s">
        <v>88</v>
      </c>
      <c r="AN4613" t="s">
        <v>88</v>
      </c>
      <c r="AO4613" t="s">
        <v>88</v>
      </c>
      <c r="AP4613" t="s">
        <v>88</v>
      </c>
      <c r="AQ4613">
        <v>1</v>
      </c>
      <c r="AR4613" t="s">
        <v>6729</v>
      </c>
      <c r="AS4613" t="s">
        <v>6730</v>
      </c>
      <c r="AT4613" t="s">
        <v>58</v>
      </c>
      <c r="AU4613" t="s">
        <v>68</v>
      </c>
      <c r="AV4613" t="s">
        <v>132</v>
      </c>
      <c r="AW4613" s="1">
        <v>28979</v>
      </c>
      <c r="AX4613">
        <v>2</v>
      </c>
    </row>
    <row r="4614" spans="1:50">
      <c r="A4614">
        <v>191583</v>
      </c>
      <c r="B4614" t="str">
        <f>"062924632"</f>
        <v>062924632</v>
      </c>
      <c r="C4614" t="s">
        <v>50</v>
      </c>
      <c r="D4614" t="s">
        <v>8416</v>
      </c>
      <c r="E4614" t="s">
        <v>52</v>
      </c>
      <c r="F4614" t="s">
        <v>53</v>
      </c>
      <c r="G4614" t="s">
        <v>237</v>
      </c>
      <c r="H4614" t="str">
        <f>" "</f>
        <v xml:space="preserve"> </v>
      </c>
      <c r="N4614" t="s">
        <v>168</v>
      </c>
      <c r="O4614" t="s">
        <v>169</v>
      </c>
      <c r="R4614" t="s">
        <v>57</v>
      </c>
      <c r="S4614">
        <v>10</v>
      </c>
      <c r="T4614">
        <v>291</v>
      </c>
      <c r="U4614" s="1">
        <v>37218</v>
      </c>
      <c r="V4614" t="s">
        <v>6729</v>
      </c>
      <c r="W4614" t="s">
        <v>6730</v>
      </c>
      <c r="X4614" t="s">
        <v>58</v>
      </c>
      <c r="Y4614">
        <v>20</v>
      </c>
      <c r="Z4614" t="s">
        <v>59</v>
      </c>
      <c r="AA4614" t="s">
        <v>59</v>
      </c>
      <c r="AB4614" t="s">
        <v>59</v>
      </c>
      <c r="AC4614" t="s">
        <v>59</v>
      </c>
      <c r="AD4614" t="s">
        <v>59</v>
      </c>
      <c r="AF4614" s="1">
        <v>37223</v>
      </c>
      <c r="AG4614" t="s">
        <v>137</v>
      </c>
      <c r="AH4614" t="s">
        <v>138</v>
      </c>
      <c r="AI4614" t="str">
        <f>"5050060"</f>
        <v>5050060</v>
      </c>
      <c r="AJ4614" t="s">
        <v>6801</v>
      </c>
      <c r="AK4614">
        <v>2821091515</v>
      </c>
      <c r="AL4614" t="s">
        <v>6802</v>
      </c>
      <c r="AM4614" t="s">
        <v>88</v>
      </c>
      <c r="AN4614" t="s">
        <v>88</v>
      </c>
      <c r="AO4614" t="s">
        <v>88</v>
      </c>
      <c r="AP4614" t="s">
        <v>88</v>
      </c>
      <c r="AQ4614">
        <v>1</v>
      </c>
      <c r="AR4614" t="s">
        <v>6729</v>
      </c>
      <c r="AS4614" t="s">
        <v>6730</v>
      </c>
      <c r="AT4614" t="s">
        <v>58</v>
      </c>
      <c r="AU4614" t="s">
        <v>68</v>
      </c>
      <c r="AV4614" t="s">
        <v>69</v>
      </c>
      <c r="AW4614" s="1">
        <v>26291</v>
      </c>
      <c r="AX4614">
        <v>2</v>
      </c>
    </row>
    <row r="4615" spans="1:50">
      <c r="B4615" t="str">
        <f>"050767286"</f>
        <v>050767286</v>
      </c>
      <c r="C4615" t="s">
        <v>50</v>
      </c>
      <c r="D4615" t="s">
        <v>8417</v>
      </c>
      <c r="E4615" t="s">
        <v>714</v>
      </c>
      <c r="F4615" t="s">
        <v>53</v>
      </c>
      <c r="G4615" t="s">
        <v>964</v>
      </c>
      <c r="H4615" t="str">
        <f>"ΑΡΚΑΔΙΟΥ 4 ΧΑΝΙΑ"</f>
        <v>ΑΡΚΑΔΙΟΥ 4 ΧΑΝΙΑ</v>
      </c>
      <c r="I4615">
        <v>73100</v>
      </c>
      <c r="J4615">
        <v>2821087749</v>
      </c>
      <c r="K4615">
        <v>6974072619</v>
      </c>
      <c r="M4615" t="s">
        <v>8418</v>
      </c>
      <c r="N4615" t="s">
        <v>653</v>
      </c>
      <c r="O4615" t="s">
        <v>654</v>
      </c>
      <c r="R4615" t="s">
        <v>159</v>
      </c>
      <c r="S4615">
        <v>8</v>
      </c>
      <c r="T4615" t="s">
        <v>344</v>
      </c>
      <c r="U4615" s="1">
        <v>43348</v>
      </c>
      <c r="V4615" t="s">
        <v>6729</v>
      </c>
      <c r="W4615" t="s">
        <v>6730</v>
      </c>
      <c r="X4615" t="s">
        <v>58</v>
      </c>
      <c r="Y4615">
        <v>23</v>
      </c>
      <c r="Z4615" t="s">
        <v>59</v>
      </c>
      <c r="AA4615" t="s">
        <v>59</v>
      </c>
      <c r="AB4615" t="s">
        <v>59</v>
      </c>
      <c r="AC4615" t="s">
        <v>59</v>
      </c>
      <c r="AD4615" t="s">
        <v>59</v>
      </c>
      <c r="AF4615" s="1">
        <v>43348</v>
      </c>
      <c r="AG4615" t="s">
        <v>125</v>
      </c>
      <c r="AH4615" t="s">
        <v>590</v>
      </c>
      <c r="AI4615" t="str">
        <f>"5011201"</f>
        <v>5011201</v>
      </c>
      <c r="AJ4615" t="s">
        <v>7231</v>
      </c>
      <c r="AK4615">
        <v>2821087122</v>
      </c>
      <c r="AL4615" t="s">
        <v>7232</v>
      </c>
      <c r="AM4615" t="s">
        <v>88</v>
      </c>
      <c r="AN4615" t="s">
        <v>88</v>
      </c>
      <c r="AO4615" t="s">
        <v>88</v>
      </c>
      <c r="AP4615" t="s">
        <v>88</v>
      </c>
      <c r="AR4615" t="s">
        <v>6729</v>
      </c>
      <c r="AS4615" t="s">
        <v>6730</v>
      </c>
      <c r="AT4615" t="s">
        <v>58</v>
      </c>
      <c r="AU4615" t="s">
        <v>350</v>
      </c>
      <c r="AV4615" t="s">
        <v>132</v>
      </c>
      <c r="AW4615" s="1">
        <v>23845</v>
      </c>
      <c r="AX4615">
        <v>2</v>
      </c>
    </row>
    <row r="4616" spans="1:50">
      <c r="A4616">
        <v>228964</v>
      </c>
      <c r="B4616" t="str">
        <f>"059646260"</f>
        <v>059646260</v>
      </c>
      <c r="C4616" t="s">
        <v>105</v>
      </c>
      <c r="D4616" t="s">
        <v>8419</v>
      </c>
      <c r="E4616" t="s">
        <v>72</v>
      </c>
      <c r="F4616" t="s">
        <v>166</v>
      </c>
      <c r="G4616" t="s">
        <v>255</v>
      </c>
      <c r="H4616" t="str">
        <f>" "</f>
        <v xml:space="preserve"> </v>
      </c>
      <c r="N4616" t="s">
        <v>587</v>
      </c>
      <c r="O4616" t="s">
        <v>588</v>
      </c>
      <c r="R4616" t="s">
        <v>57</v>
      </c>
      <c r="S4616">
        <v>4</v>
      </c>
      <c r="T4616">
        <v>683</v>
      </c>
      <c r="U4616" s="1">
        <v>40052</v>
      </c>
      <c r="V4616" t="s">
        <v>6729</v>
      </c>
      <c r="W4616" t="s">
        <v>6730</v>
      </c>
      <c r="X4616" t="s">
        <v>58</v>
      </c>
      <c r="Y4616">
        <v>21</v>
      </c>
      <c r="Z4616" t="s">
        <v>59</v>
      </c>
      <c r="AA4616" t="s">
        <v>59</v>
      </c>
      <c r="AB4616" t="s">
        <v>59</v>
      </c>
      <c r="AC4616" t="s">
        <v>59</v>
      </c>
      <c r="AD4616" t="s">
        <v>59</v>
      </c>
      <c r="AF4616" s="1">
        <v>40053</v>
      </c>
      <c r="AG4616" t="s">
        <v>137</v>
      </c>
      <c r="AH4616" t="s">
        <v>469</v>
      </c>
      <c r="AI4616" t="str">
        <f>"5040055"</f>
        <v>5040055</v>
      </c>
      <c r="AJ4616" t="s">
        <v>6940</v>
      </c>
      <c r="AK4616">
        <v>2821036404</v>
      </c>
      <c r="AL4616" t="s">
        <v>6941</v>
      </c>
      <c r="AM4616" t="s">
        <v>88</v>
      </c>
      <c r="AN4616" t="s">
        <v>88</v>
      </c>
      <c r="AO4616" t="s">
        <v>88</v>
      </c>
      <c r="AP4616" t="s">
        <v>88</v>
      </c>
      <c r="AQ4616">
        <v>1</v>
      </c>
      <c r="AR4616" t="s">
        <v>6729</v>
      </c>
      <c r="AS4616" t="s">
        <v>6730</v>
      </c>
      <c r="AT4616" t="s">
        <v>58</v>
      </c>
      <c r="AU4616" t="s">
        <v>68</v>
      </c>
      <c r="AV4616" t="s">
        <v>69</v>
      </c>
      <c r="AW4616" s="1">
        <v>25062</v>
      </c>
      <c r="AX4616">
        <v>2</v>
      </c>
    </row>
    <row r="4617" spans="1:50">
      <c r="A4617">
        <v>190486</v>
      </c>
      <c r="B4617" t="str">
        <f>"072861151"</f>
        <v>072861151</v>
      </c>
      <c r="C4617" t="s">
        <v>50</v>
      </c>
      <c r="D4617" t="s">
        <v>8420</v>
      </c>
      <c r="E4617" t="s">
        <v>755</v>
      </c>
      <c r="F4617" t="s">
        <v>95</v>
      </c>
      <c r="G4617" t="s">
        <v>411</v>
      </c>
      <c r="H4617" t="str">
        <f>" "</f>
        <v xml:space="preserve"> </v>
      </c>
      <c r="N4617" t="s">
        <v>288</v>
      </c>
      <c r="O4617" t="s">
        <v>289</v>
      </c>
      <c r="R4617" t="s">
        <v>57</v>
      </c>
      <c r="S4617">
        <v>9</v>
      </c>
      <c r="T4617">
        <v>219</v>
      </c>
      <c r="U4617" s="1">
        <v>37134</v>
      </c>
      <c r="V4617" t="s">
        <v>6729</v>
      </c>
      <c r="W4617" t="s">
        <v>6730</v>
      </c>
      <c r="X4617" t="s">
        <v>58</v>
      </c>
      <c r="Y4617">
        <v>20</v>
      </c>
      <c r="Z4617" t="s">
        <v>59</v>
      </c>
      <c r="AA4617" t="s">
        <v>59</v>
      </c>
      <c r="AB4617" t="s">
        <v>59</v>
      </c>
      <c r="AC4617" t="s">
        <v>59</v>
      </c>
      <c r="AD4617" t="s">
        <v>59</v>
      </c>
      <c r="AF4617" s="1">
        <v>37141</v>
      </c>
      <c r="AG4617" t="s">
        <v>125</v>
      </c>
      <c r="AH4617" t="s">
        <v>126</v>
      </c>
      <c r="AI4617" t="str">
        <f>"5001080"</f>
        <v>5001080</v>
      </c>
      <c r="AJ4617" t="s">
        <v>6984</v>
      </c>
      <c r="AK4617">
        <v>2821068020</v>
      </c>
      <c r="AL4617" t="s">
        <v>6985</v>
      </c>
      <c r="AM4617" t="s">
        <v>88</v>
      </c>
      <c r="AN4617" t="s">
        <v>6764</v>
      </c>
      <c r="AO4617" t="s">
        <v>6764</v>
      </c>
      <c r="AP4617" t="s">
        <v>6764</v>
      </c>
      <c r="AQ4617">
        <v>1</v>
      </c>
      <c r="AR4617" t="s">
        <v>6729</v>
      </c>
      <c r="AS4617" t="s">
        <v>6730</v>
      </c>
      <c r="AT4617" t="s">
        <v>58</v>
      </c>
      <c r="AU4617" t="s">
        <v>68</v>
      </c>
      <c r="AV4617" t="s">
        <v>69</v>
      </c>
      <c r="AW4617" s="1">
        <v>25053</v>
      </c>
      <c r="AX4617">
        <v>2</v>
      </c>
    </row>
    <row r="4618" spans="1:50">
      <c r="B4618" t="str">
        <f>"046536973"</f>
        <v>046536973</v>
      </c>
      <c r="C4618" t="s">
        <v>105</v>
      </c>
      <c r="D4618" t="s">
        <v>8421</v>
      </c>
      <c r="E4618" t="s">
        <v>95</v>
      </c>
      <c r="F4618" t="s">
        <v>383</v>
      </c>
      <c r="G4618" t="s">
        <v>1248</v>
      </c>
      <c r="H4618" t="str">
        <f>"ΠΑΤΕΡΑΚΗ 26 ΧΑΝΙΑ"</f>
        <v>ΠΑΤΕΡΑΚΗ 26 ΧΑΝΙΑ</v>
      </c>
      <c r="I4618">
        <v>73133</v>
      </c>
      <c r="J4618">
        <v>2821058265</v>
      </c>
      <c r="K4618">
        <v>6947844390</v>
      </c>
      <c r="M4618" t="s">
        <v>8422</v>
      </c>
      <c r="N4618" t="s">
        <v>292</v>
      </c>
      <c r="O4618" t="s">
        <v>293</v>
      </c>
      <c r="R4618" t="s">
        <v>159</v>
      </c>
      <c r="S4618">
        <v>3</v>
      </c>
      <c r="T4618" t="s">
        <v>416</v>
      </c>
      <c r="U4618" s="1">
        <v>43349</v>
      </c>
      <c r="V4618" t="s">
        <v>6729</v>
      </c>
      <c r="W4618" t="s">
        <v>6730</v>
      </c>
      <c r="X4618" t="s">
        <v>58</v>
      </c>
      <c r="Y4618">
        <v>23</v>
      </c>
      <c r="Z4618" t="s">
        <v>59</v>
      </c>
      <c r="AA4618" t="s">
        <v>59</v>
      </c>
      <c r="AB4618" t="s">
        <v>59</v>
      </c>
      <c r="AC4618" t="s">
        <v>59</v>
      </c>
      <c r="AD4618" t="s">
        <v>59</v>
      </c>
      <c r="AF4618" s="1">
        <v>43349</v>
      </c>
      <c r="AG4618" t="s">
        <v>148</v>
      </c>
      <c r="AH4618" t="s">
        <v>149</v>
      </c>
      <c r="AI4618" t="str">
        <f>"5058010"</f>
        <v>5058010</v>
      </c>
      <c r="AJ4618" t="s">
        <v>7431</v>
      </c>
      <c r="AK4618">
        <v>2825091037</v>
      </c>
      <c r="AL4618" t="s">
        <v>7432</v>
      </c>
      <c r="AM4618" t="s">
        <v>88</v>
      </c>
      <c r="AN4618" t="s">
        <v>6995</v>
      </c>
      <c r="AO4618" t="s">
        <v>6995</v>
      </c>
      <c r="AP4618" t="s">
        <v>6996</v>
      </c>
      <c r="AQ4618">
        <v>1</v>
      </c>
      <c r="AR4618" t="s">
        <v>6729</v>
      </c>
      <c r="AS4618" t="s">
        <v>6730</v>
      </c>
      <c r="AT4618" t="s">
        <v>58</v>
      </c>
      <c r="AU4618" t="s">
        <v>419</v>
      </c>
      <c r="AV4618" t="s">
        <v>132</v>
      </c>
      <c r="AW4618" s="1">
        <v>26110</v>
      </c>
      <c r="AX4618">
        <v>2</v>
      </c>
    </row>
    <row r="4619" spans="1:50">
      <c r="A4619">
        <v>175764</v>
      </c>
      <c r="B4619" t="str">
        <f>"054934190"</f>
        <v>054934190</v>
      </c>
      <c r="C4619" t="s">
        <v>50</v>
      </c>
      <c r="D4619" t="s">
        <v>8423</v>
      </c>
      <c r="E4619" t="s">
        <v>255</v>
      </c>
      <c r="F4619" t="s">
        <v>311</v>
      </c>
      <c r="G4619" t="s">
        <v>3802</v>
      </c>
      <c r="H4619" t="str">
        <f>" "</f>
        <v xml:space="preserve"> </v>
      </c>
      <c r="N4619" t="s">
        <v>146</v>
      </c>
      <c r="O4619" t="s">
        <v>147</v>
      </c>
      <c r="R4619" t="s">
        <v>57</v>
      </c>
      <c r="S4619">
        <v>13</v>
      </c>
      <c r="T4619">
        <v>180</v>
      </c>
      <c r="U4619" s="1">
        <v>35674</v>
      </c>
      <c r="V4619" t="s">
        <v>6729</v>
      </c>
      <c r="W4619" t="s">
        <v>6730</v>
      </c>
      <c r="X4619" t="s">
        <v>58</v>
      </c>
      <c r="Y4619">
        <v>18</v>
      </c>
      <c r="Z4619" t="s">
        <v>59</v>
      </c>
      <c r="AA4619" t="s">
        <v>59</v>
      </c>
      <c r="AB4619" t="s">
        <v>59</v>
      </c>
      <c r="AC4619" t="s">
        <v>59</v>
      </c>
      <c r="AD4619" t="s">
        <v>59</v>
      </c>
      <c r="AF4619" s="1">
        <v>35677</v>
      </c>
      <c r="AG4619" t="s">
        <v>125</v>
      </c>
      <c r="AH4619" t="s">
        <v>126</v>
      </c>
      <c r="AI4619" t="str">
        <f>"5001080"</f>
        <v>5001080</v>
      </c>
      <c r="AJ4619" t="s">
        <v>6984</v>
      </c>
      <c r="AK4619">
        <v>2821068020</v>
      </c>
      <c r="AL4619" t="s">
        <v>6985</v>
      </c>
      <c r="AM4619" t="s">
        <v>88</v>
      </c>
      <c r="AN4619" t="s">
        <v>6764</v>
      </c>
      <c r="AO4619" t="s">
        <v>6764</v>
      </c>
      <c r="AP4619" t="s">
        <v>6764</v>
      </c>
      <c r="AQ4619">
        <v>1</v>
      </c>
      <c r="AR4619" t="s">
        <v>6729</v>
      </c>
      <c r="AS4619" t="s">
        <v>6730</v>
      </c>
      <c r="AT4619" t="s">
        <v>58</v>
      </c>
      <c r="AU4619" t="s">
        <v>68</v>
      </c>
      <c r="AV4619" t="s">
        <v>69</v>
      </c>
      <c r="AW4619" s="1">
        <v>22450</v>
      </c>
      <c r="AX4619">
        <v>2</v>
      </c>
    </row>
    <row r="4620" spans="1:50">
      <c r="A4620">
        <v>214683</v>
      </c>
      <c r="B4620" t="str">
        <f>"050011631"</f>
        <v>050011631</v>
      </c>
      <c r="C4620" t="s">
        <v>105</v>
      </c>
      <c r="D4620" t="s">
        <v>8424</v>
      </c>
      <c r="E4620" t="s">
        <v>99</v>
      </c>
      <c r="F4620" t="s">
        <v>1573</v>
      </c>
      <c r="G4620" t="s">
        <v>8425</v>
      </c>
      <c r="H4620" t="str">
        <f>"ΧΩΡΑΣ ΝΕΡΟ Τ.Θ. 133 ΗΜΑΘΙΑ"</f>
        <v>ΧΩΡΑΣ ΝΕΡΟ Τ.Θ. 133 ΗΜΑΘΙΑ</v>
      </c>
      <c r="I4620">
        <v>59200</v>
      </c>
      <c r="J4620">
        <v>2332052505</v>
      </c>
      <c r="K4620">
        <v>6999900090</v>
      </c>
      <c r="M4620" t="s">
        <v>8426</v>
      </c>
      <c r="N4620" t="s">
        <v>176</v>
      </c>
      <c r="O4620" t="s">
        <v>177</v>
      </c>
      <c r="R4620" t="s">
        <v>57</v>
      </c>
      <c r="S4620">
        <v>8</v>
      </c>
      <c r="T4620">
        <v>231</v>
      </c>
      <c r="U4620" s="1">
        <v>38960</v>
      </c>
      <c r="V4620" t="s">
        <v>6729</v>
      </c>
      <c r="W4620" t="s">
        <v>6730</v>
      </c>
      <c r="X4620" t="s">
        <v>58</v>
      </c>
      <c r="Y4620">
        <v>20</v>
      </c>
      <c r="Z4620" t="s">
        <v>59</v>
      </c>
      <c r="AA4620" t="s">
        <v>59</v>
      </c>
      <c r="AB4620" t="s">
        <v>59</v>
      </c>
      <c r="AC4620" t="s">
        <v>59</v>
      </c>
      <c r="AD4620" t="s">
        <v>59</v>
      </c>
      <c r="AF4620" s="1">
        <v>38961</v>
      </c>
      <c r="AG4620" t="s">
        <v>125</v>
      </c>
      <c r="AH4620" t="s">
        <v>126</v>
      </c>
      <c r="AI4620" t="str">
        <f>"5010010"</f>
        <v>5010010</v>
      </c>
      <c r="AJ4620" t="s">
        <v>6779</v>
      </c>
      <c r="AK4620">
        <v>2825051288</v>
      </c>
      <c r="AL4620" t="s">
        <v>6780</v>
      </c>
      <c r="AM4620" t="s">
        <v>88</v>
      </c>
      <c r="AN4620" t="s">
        <v>6775</v>
      </c>
      <c r="AO4620" t="s">
        <v>6781</v>
      </c>
      <c r="AP4620" t="s">
        <v>6782</v>
      </c>
      <c r="AQ4620">
        <v>1</v>
      </c>
      <c r="AR4620" t="s">
        <v>6729</v>
      </c>
      <c r="AS4620" t="s">
        <v>6730</v>
      </c>
      <c r="AT4620" t="s">
        <v>58</v>
      </c>
      <c r="AU4620" t="s">
        <v>68</v>
      </c>
      <c r="AV4620" t="s">
        <v>69</v>
      </c>
      <c r="AW4620" s="1">
        <v>23268</v>
      </c>
      <c r="AX4620">
        <v>2</v>
      </c>
    </row>
    <row r="4621" spans="1:50">
      <c r="A4621">
        <v>197550</v>
      </c>
      <c r="B4621" t="str">
        <f>"052936856"</f>
        <v>052936856</v>
      </c>
      <c r="C4621" t="s">
        <v>105</v>
      </c>
      <c r="D4621" t="s">
        <v>8427</v>
      </c>
      <c r="E4621" t="s">
        <v>72</v>
      </c>
      <c r="F4621" t="s">
        <v>609</v>
      </c>
      <c r="G4621" t="s">
        <v>4127</v>
      </c>
      <c r="H4621" t="str">
        <f>"ΑΝΑΓΝΩΣΤΟΥ ΜΑΝΤΑΚΑ 94 ΧΑΝΙΑ"</f>
        <v>ΑΝΑΓΝΩΣΤΟΥ ΜΑΝΤΑΚΑ 94 ΧΑΝΙΑ</v>
      </c>
      <c r="I4621">
        <v>73136</v>
      </c>
      <c r="J4621">
        <v>2821073385</v>
      </c>
      <c r="K4621">
        <v>6946891478</v>
      </c>
      <c r="N4621" t="s">
        <v>146</v>
      </c>
      <c r="O4621" t="s">
        <v>147</v>
      </c>
      <c r="R4621" t="s">
        <v>57</v>
      </c>
      <c r="S4621">
        <v>10</v>
      </c>
      <c r="T4621">
        <v>206</v>
      </c>
      <c r="U4621" s="1">
        <v>37866</v>
      </c>
      <c r="V4621" t="s">
        <v>6729</v>
      </c>
      <c r="W4621" t="s">
        <v>6730</v>
      </c>
      <c r="X4621" t="s">
        <v>58</v>
      </c>
      <c r="Y4621">
        <v>18</v>
      </c>
      <c r="Z4621" t="s">
        <v>59</v>
      </c>
      <c r="AA4621" t="s">
        <v>59</v>
      </c>
      <c r="AB4621" t="s">
        <v>59</v>
      </c>
      <c r="AC4621" t="s">
        <v>59</v>
      </c>
      <c r="AD4621" t="s">
        <v>59</v>
      </c>
      <c r="AF4621" s="1">
        <v>37866</v>
      </c>
      <c r="AG4621" t="s">
        <v>148</v>
      </c>
      <c r="AH4621" t="s">
        <v>149</v>
      </c>
      <c r="AI4621" t="str">
        <f>"5051040"</f>
        <v>5051040</v>
      </c>
      <c r="AJ4621" t="s">
        <v>6811</v>
      </c>
      <c r="AK4621">
        <v>2821088007</v>
      </c>
      <c r="AL4621" t="s">
        <v>6812</v>
      </c>
      <c r="AM4621" t="s">
        <v>88</v>
      </c>
      <c r="AN4621" t="s">
        <v>88</v>
      </c>
      <c r="AO4621" t="s">
        <v>88</v>
      </c>
      <c r="AP4621" t="s">
        <v>88</v>
      </c>
      <c r="AQ4621">
        <v>1</v>
      </c>
      <c r="AR4621" t="s">
        <v>6729</v>
      </c>
      <c r="AS4621" t="s">
        <v>6730</v>
      </c>
      <c r="AT4621" t="s">
        <v>58</v>
      </c>
      <c r="AU4621" t="s">
        <v>68</v>
      </c>
      <c r="AV4621" t="s">
        <v>69</v>
      </c>
      <c r="AW4621" s="1">
        <v>24661</v>
      </c>
      <c r="AX4621">
        <v>2</v>
      </c>
    </row>
    <row r="4622" spans="1:50">
      <c r="B4622" t="str">
        <f>"140901008"</f>
        <v>140901008</v>
      </c>
      <c r="C4622" t="s">
        <v>50</v>
      </c>
      <c r="D4622" t="s">
        <v>8428</v>
      </c>
      <c r="E4622" t="s">
        <v>250</v>
      </c>
      <c r="F4622" t="s">
        <v>95</v>
      </c>
      <c r="G4622" t="s">
        <v>221</v>
      </c>
      <c r="H4622" t="str">
        <f>" "</f>
        <v xml:space="preserve"> </v>
      </c>
      <c r="N4622" t="s">
        <v>653</v>
      </c>
      <c r="O4622" t="s">
        <v>654</v>
      </c>
      <c r="R4622" t="s">
        <v>121</v>
      </c>
      <c r="S4622">
        <v>1</v>
      </c>
      <c r="T4622" t="s">
        <v>344</v>
      </c>
      <c r="U4622" s="1">
        <v>43348</v>
      </c>
      <c r="V4622" t="s">
        <v>6729</v>
      </c>
      <c r="W4622" t="s">
        <v>6730</v>
      </c>
      <c r="X4622" t="s">
        <v>58</v>
      </c>
      <c r="Y4622">
        <v>23</v>
      </c>
      <c r="Z4622" t="s">
        <v>59</v>
      </c>
      <c r="AD4622" t="s">
        <v>59</v>
      </c>
      <c r="AF4622" s="1">
        <v>43348</v>
      </c>
      <c r="AG4622" t="s">
        <v>345</v>
      </c>
      <c r="AH4622" t="s">
        <v>346</v>
      </c>
      <c r="AI4622" t="str">
        <f>"5041001"</f>
        <v>5041001</v>
      </c>
      <c r="AJ4622" t="s">
        <v>6840</v>
      </c>
      <c r="AK4622">
        <v>2821052100</v>
      </c>
      <c r="AL4622" t="s">
        <v>6841</v>
      </c>
      <c r="AM4622" t="s">
        <v>88</v>
      </c>
      <c r="AN4622" t="s">
        <v>88</v>
      </c>
      <c r="AO4622" t="s">
        <v>88</v>
      </c>
      <c r="AP4622" t="s">
        <v>88</v>
      </c>
      <c r="AQ4622">
        <v>1</v>
      </c>
      <c r="AR4622" t="s">
        <v>6729</v>
      </c>
      <c r="AS4622" t="s">
        <v>6730</v>
      </c>
      <c r="AT4622" t="s">
        <v>58</v>
      </c>
      <c r="AU4622" t="s">
        <v>350</v>
      </c>
      <c r="AV4622" t="s">
        <v>132</v>
      </c>
      <c r="AW4622" s="1">
        <v>32764</v>
      </c>
      <c r="AX4622">
        <v>2</v>
      </c>
    </row>
    <row r="4623" spans="1:50">
      <c r="A4623">
        <v>210655</v>
      </c>
      <c r="B4623" t="str">
        <f>"102016506"</f>
        <v>102016506</v>
      </c>
      <c r="C4623" t="s">
        <v>50</v>
      </c>
      <c r="D4623" t="s">
        <v>8429</v>
      </c>
      <c r="E4623" t="s">
        <v>8430</v>
      </c>
      <c r="F4623" t="s">
        <v>53</v>
      </c>
      <c r="G4623" t="s">
        <v>8431</v>
      </c>
      <c r="H4623" t="str">
        <f>"ΑΓΙΟΥ ΝΕΚΤΑΡΙΟΥ 26 ΧΑΝΙΑ"</f>
        <v>ΑΓΙΟΥ ΝΕΚΤΑΡΙΟΥ 26 ΧΑΝΙΑ</v>
      </c>
      <c r="I4623">
        <v>73100</v>
      </c>
      <c r="J4623">
        <v>2821009448</v>
      </c>
      <c r="K4623">
        <v>6975519049</v>
      </c>
      <c r="M4623" t="s">
        <v>8432</v>
      </c>
      <c r="N4623" t="s">
        <v>306</v>
      </c>
      <c r="O4623" t="s">
        <v>307</v>
      </c>
      <c r="R4623" t="s">
        <v>57</v>
      </c>
      <c r="S4623">
        <v>6</v>
      </c>
      <c r="T4623">
        <v>249</v>
      </c>
      <c r="U4623" s="1">
        <v>38617</v>
      </c>
      <c r="V4623" t="s">
        <v>6729</v>
      </c>
      <c r="W4623" t="s">
        <v>6730</v>
      </c>
      <c r="X4623" t="s">
        <v>58</v>
      </c>
      <c r="Y4623">
        <v>20</v>
      </c>
      <c r="Z4623" t="s">
        <v>59</v>
      </c>
      <c r="AA4623" t="s">
        <v>59</v>
      </c>
      <c r="AB4623" t="s">
        <v>59</v>
      </c>
      <c r="AC4623" t="s">
        <v>59</v>
      </c>
      <c r="AD4623" t="s">
        <v>59</v>
      </c>
      <c r="AF4623" s="1">
        <v>38621</v>
      </c>
      <c r="AG4623" t="s">
        <v>137</v>
      </c>
      <c r="AH4623" t="s">
        <v>138</v>
      </c>
      <c r="AI4623" t="str">
        <f>"5040050"</f>
        <v>5040050</v>
      </c>
      <c r="AJ4623" t="s">
        <v>6750</v>
      </c>
      <c r="AK4623">
        <v>2821043147</v>
      </c>
      <c r="AL4623" t="s">
        <v>6751</v>
      </c>
      <c r="AM4623" t="s">
        <v>88</v>
      </c>
      <c r="AN4623" t="s">
        <v>88</v>
      </c>
      <c r="AO4623" t="s">
        <v>88</v>
      </c>
      <c r="AP4623" t="s">
        <v>88</v>
      </c>
      <c r="AQ4623">
        <v>1</v>
      </c>
      <c r="AR4623" t="s">
        <v>6729</v>
      </c>
      <c r="AS4623" t="s">
        <v>6730</v>
      </c>
      <c r="AT4623" t="s">
        <v>58</v>
      </c>
      <c r="AU4623" t="s">
        <v>68</v>
      </c>
      <c r="AV4623" t="s">
        <v>69</v>
      </c>
      <c r="AW4623" s="1">
        <v>29307</v>
      </c>
      <c r="AX4623">
        <v>2</v>
      </c>
    </row>
    <row r="4624" spans="1:50">
      <c r="A4624">
        <v>222687</v>
      </c>
      <c r="B4624" t="str">
        <f>"068686323"</f>
        <v>068686323</v>
      </c>
      <c r="C4624" t="s">
        <v>105</v>
      </c>
      <c r="D4624" t="s">
        <v>8433</v>
      </c>
      <c r="E4624" t="s">
        <v>2933</v>
      </c>
      <c r="F4624" t="s">
        <v>95</v>
      </c>
      <c r="G4624" t="s">
        <v>83</v>
      </c>
      <c r="H4624" t="str">
        <f>" "</f>
        <v xml:space="preserve"> </v>
      </c>
      <c r="J4624">
        <v>2102758132</v>
      </c>
      <c r="K4624">
        <v>6946907377</v>
      </c>
      <c r="M4624" t="s">
        <v>8434</v>
      </c>
      <c r="N4624" t="s">
        <v>146</v>
      </c>
      <c r="O4624" t="s">
        <v>147</v>
      </c>
      <c r="P4624" t="s">
        <v>257</v>
      </c>
      <c r="Q4624" t="s">
        <v>258</v>
      </c>
      <c r="R4624" t="s">
        <v>57</v>
      </c>
      <c r="S4624">
        <v>7</v>
      </c>
      <c r="T4624">
        <v>775</v>
      </c>
      <c r="U4624" s="1">
        <v>39680</v>
      </c>
      <c r="V4624" t="s">
        <v>6729</v>
      </c>
      <c r="W4624" t="s">
        <v>6730</v>
      </c>
      <c r="X4624" t="s">
        <v>58</v>
      </c>
      <c r="Y4624">
        <v>21</v>
      </c>
      <c r="Z4624" t="s">
        <v>59</v>
      </c>
      <c r="AA4624" t="s">
        <v>59</v>
      </c>
      <c r="AB4624" t="s">
        <v>59</v>
      </c>
      <c r="AC4624" t="s">
        <v>59</v>
      </c>
      <c r="AD4624" t="s">
        <v>59</v>
      </c>
      <c r="AF4624" s="1">
        <v>39685</v>
      </c>
      <c r="AG4624" t="s">
        <v>148</v>
      </c>
      <c r="AH4624" t="s">
        <v>149</v>
      </c>
      <c r="AI4624" t="str">
        <f>"5055010"</f>
        <v>5055010</v>
      </c>
      <c r="AJ4624" t="s">
        <v>6868</v>
      </c>
      <c r="AK4624">
        <v>2823041416</v>
      </c>
      <c r="AL4624" t="s">
        <v>6869</v>
      </c>
      <c r="AM4624" t="s">
        <v>88</v>
      </c>
      <c r="AN4624" t="s">
        <v>6824</v>
      </c>
      <c r="AO4624" t="s">
        <v>6870</v>
      </c>
      <c r="AP4624" t="s">
        <v>6871</v>
      </c>
      <c r="AQ4624">
        <v>1</v>
      </c>
      <c r="AR4624" t="s">
        <v>6729</v>
      </c>
      <c r="AS4624" t="s">
        <v>6730</v>
      </c>
      <c r="AT4624" t="s">
        <v>58</v>
      </c>
      <c r="AU4624" t="s">
        <v>68</v>
      </c>
      <c r="AV4624" t="s">
        <v>69</v>
      </c>
      <c r="AW4624" s="1">
        <v>26888</v>
      </c>
      <c r="AX4624">
        <v>2</v>
      </c>
    </row>
    <row r="4625" spans="1:50">
      <c r="A4625">
        <v>702278</v>
      </c>
      <c r="B4625" t="str">
        <f>"064331336"</f>
        <v>064331336</v>
      </c>
      <c r="C4625" t="s">
        <v>50</v>
      </c>
      <c r="D4625" t="s">
        <v>4086</v>
      </c>
      <c r="E4625" t="s">
        <v>263</v>
      </c>
      <c r="F4625" t="s">
        <v>99</v>
      </c>
      <c r="G4625" t="s">
        <v>237</v>
      </c>
      <c r="H4625" t="str">
        <f>"ΑΠΟΚΟΡΩΝΟΥ 86 ΧΑΝΙΑ"</f>
        <v>ΑΠΟΚΟΡΩΝΟΥ 86 ΧΑΝΙΑ</v>
      </c>
      <c r="I4625">
        <v>73135</v>
      </c>
      <c r="J4625">
        <v>2821302081</v>
      </c>
      <c r="K4625">
        <v>6972397074</v>
      </c>
      <c r="M4625" t="s">
        <v>8435</v>
      </c>
      <c r="N4625" t="s">
        <v>146</v>
      </c>
      <c r="O4625" t="s">
        <v>147</v>
      </c>
      <c r="R4625" t="s">
        <v>57</v>
      </c>
      <c r="S4625">
        <v>4</v>
      </c>
      <c r="T4625">
        <v>772</v>
      </c>
      <c r="U4625" s="1">
        <v>40413</v>
      </c>
      <c r="V4625" t="s">
        <v>6729</v>
      </c>
      <c r="W4625" t="s">
        <v>6730</v>
      </c>
      <c r="X4625" t="s">
        <v>58</v>
      </c>
      <c r="Y4625">
        <v>21</v>
      </c>
      <c r="Z4625" t="s">
        <v>59</v>
      </c>
      <c r="AA4625" t="s">
        <v>59</v>
      </c>
      <c r="AB4625" t="s">
        <v>59</v>
      </c>
      <c r="AC4625" t="s">
        <v>59</v>
      </c>
      <c r="AD4625" t="s">
        <v>59</v>
      </c>
      <c r="AF4625" s="1">
        <v>40422</v>
      </c>
      <c r="AG4625" t="s">
        <v>125</v>
      </c>
      <c r="AH4625" t="s">
        <v>126</v>
      </c>
      <c r="AI4625" t="str">
        <f>"5004010"</f>
        <v>5004010</v>
      </c>
      <c r="AJ4625" t="s">
        <v>7166</v>
      </c>
      <c r="AK4625">
        <v>2822022067</v>
      </c>
      <c r="AL4625" t="s">
        <v>7167</v>
      </c>
      <c r="AM4625" t="s">
        <v>88</v>
      </c>
      <c r="AN4625" t="s">
        <v>6744</v>
      </c>
      <c r="AO4625" t="s">
        <v>6744</v>
      </c>
      <c r="AP4625" t="s">
        <v>6744</v>
      </c>
      <c r="AQ4625">
        <v>1</v>
      </c>
      <c r="AR4625" t="s">
        <v>6729</v>
      </c>
      <c r="AS4625" t="s">
        <v>6730</v>
      </c>
      <c r="AT4625" t="s">
        <v>58</v>
      </c>
      <c r="AU4625" t="s">
        <v>68</v>
      </c>
      <c r="AV4625" t="s">
        <v>69</v>
      </c>
      <c r="AW4625" s="1">
        <v>28079</v>
      </c>
      <c r="AX4625">
        <v>2</v>
      </c>
    </row>
    <row r="4626" spans="1:50">
      <c r="A4626">
        <v>703980</v>
      </c>
      <c r="B4626" t="str">
        <f>"132096758"</f>
        <v>132096758</v>
      </c>
      <c r="C4626" t="s">
        <v>50</v>
      </c>
      <c r="D4626" t="s">
        <v>8436</v>
      </c>
      <c r="E4626" t="s">
        <v>476</v>
      </c>
      <c r="F4626" t="s">
        <v>2320</v>
      </c>
      <c r="G4626" t="s">
        <v>255</v>
      </c>
      <c r="H4626" t="str">
        <f>"ΓΡΑΜΜΟΥ 32 "</f>
        <v xml:space="preserve">ΓΡΑΜΜΟΥ 32 </v>
      </c>
      <c r="I4626">
        <v>18345</v>
      </c>
      <c r="J4626">
        <v>2109585001</v>
      </c>
      <c r="K4626">
        <v>6936975051</v>
      </c>
      <c r="M4626" t="s">
        <v>8437</v>
      </c>
      <c r="N4626" t="s">
        <v>306</v>
      </c>
      <c r="O4626" t="s">
        <v>307</v>
      </c>
      <c r="R4626" t="s">
        <v>121</v>
      </c>
      <c r="S4626">
        <v>6</v>
      </c>
      <c r="T4626" t="s">
        <v>4900</v>
      </c>
      <c r="U4626" s="1">
        <v>40413</v>
      </c>
      <c r="V4626" t="s">
        <v>6729</v>
      </c>
      <c r="W4626" t="s">
        <v>6730</v>
      </c>
      <c r="X4626" t="s">
        <v>58</v>
      </c>
      <c r="Y4626">
        <v>21</v>
      </c>
      <c r="Z4626" t="s">
        <v>59</v>
      </c>
      <c r="AA4626" t="s">
        <v>59</v>
      </c>
      <c r="AB4626" t="s">
        <v>59</v>
      </c>
      <c r="AC4626" t="s">
        <v>59</v>
      </c>
      <c r="AD4626" t="s">
        <v>59</v>
      </c>
      <c r="AF4626" s="1">
        <v>42716</v>
      </c>
      <c r="AG4626" t="s">
        <v>125</v>
      </c>
      <c r="AH4626" t="s">
        <v>126</v>
      </c>
      <c r="AI4626" t="str">
        <f>"5005010"</f>
        <v>5005010</v>
      </c>
      <c r="AJ4626" t="s">
        <v>7100</v>
      </c>
      <c r="AK4626">
        <v>2823041217</v>
      </c>
      <c r="AL4626" t="s">
        <v>7101</v>
      </c>
      <c r="AM4626" t="s">
        <v>88</v>
      </c>
      <c r="AN4626" t="s">
        <v>6824</v>
      </c>
      <c r="AO4626" t="s">
        <v>6870</v>
      </c>
      <c r="AP4626" t="s">
        <v>6871</v>
      </c>
      <c r="AQ4626">
        <v>1</v>
      </c>
      <c r="AR4626" t="s">
        <v>6729</v>
      </c>
      <c r="AS4626" t="s">
        <v>6730</v>
      </c>
      <c r="AT4626" t="s">
        <v>58</v>
      </c>
      <c r="AU4626" t="s">
        <v>68</v>
      </c>
      <c r="AV4626" t="s">
        <v>69</v>
      </c>
      <c r="AW4626" s="1">
        <v>31046</v>
      </c>
      <c r="AX4626">
        <v>2</v>
      </c>
    </row>
    <row r="4627" spans="1:50">
      <c r="A4627">
        <v>176937</v>
      </c>
      <c r="B4627" t="str">
        <f>"065235174"</f>
        <v>065235174</v>
      </c>
      <c r="C4627" t="s">
        <v>50</v>
      </c>
      <c r="D4627" t="s">
        <v>8438</v>
      </c>
      <c r="E4627" t="s">
        <v>237</v>
      </c>
      <c r="F4627" t="s">
        <v>95</v>
      </c>
      <c r="G4627" t="s">
        <v>460</v>
      </c>
      <c r="H4627" t="str">
        <f>"ΠΛΑΤΩΝΟΣ 9 ΧΑΝΙΑ"</f>
        <v>ΠΛΑΤΩΝΟΣ 9 ΧΑΝΙΑ</v>
      </c>
      <c r="I4627">
        <v>731</v>
      </c>
      <c r="J4627">
        <v>2821046011</v>
      </c>
      <c r="K4627">
        <v>6985723476</v>
      </c>
      <c r="M4627" t="s">
        <v>8439</v>
      </c>
      <c r="N4627" t="s">
        <v>683</v>
      </c>
      <c r="O4627" t="s">
        <v>684</v>
      </c>
      <c r="R4627" t="s">
        <v>57</v>
      </c>
      <c r="S4627">
        <v>12</v>
      </c>
      <c r="T4627">
        <v>180</v>
      </c>
      <c r="U4627" s="1">
        <v>35674</v>
      </c>
      <c r="V4627" t="s">
        <v>6729</v>
      </c>
      <c r="W4627" t="s">
        <v>6730</v>
      </c>
      <c r="X4627" t="s">
        <v>58</v>
      </c>
      <c r="Y4627">
        <v>18</v>
      </c>
      <c r="Z4627" t="s">
        <v>59</v>
      </c>
      <c r="AA4627" t="s">
        <v>59</v>
      </c>
      <c r="AB4627" t="s">
        <v>59</v>
      </c>
      <c r="AC4627" t="s">
        <v>59</v>
      </c>
      <c r="AD4627" t="s">
        <v>59</v>
      </c>
      <c r="AF4627" s="1">
        <v>35678</v>
      </c>
      <c r="AG4627" t="s">
        <v>125</v>
      </c>
      <c r="AH4627" t="s">
        <v>126</v>
      </c>
      <c r="AI4627" t="str">
        <f>"5011010"</f>
        <v>5011010</v>
      </c>
      <c r="AJ4627" t="s">
        <v>6877</v>
      </c>
      <c r="AK4627">
        <v>2821081330</v>
      </c>
      <c r="AL4627" t="s">
        <v>6878</v>
      </c>
      <c r="AM4627" t="s">
        <v>88</v>
      </c>
      <c r="AN4627" t="s">
        <v>88</v>
      </c>
      <c r="AO4627" t="s">
        <v>6748</v>
      </c>
      <c r="AP4627" t="s">
        <v>6748</v>
      </c>
      <c r="AQ4627">
        <v>1</v>
      </c>
      <c r="AR4627" t="s">
        <v>6729</v>
      </c>
      <c r="AS4627" t="s">
        <v>6730</v>
      </c>
      <c r="AT4627" t="s">
        <v>58</v>
      </c>
      <c r="AU4627" t="s">
        <v>68</v>
      </c>
      <c r="AV4627" t="s">
        <v>69</v>
      </c>
      <c r="AW4627" s="1">
        <v>23262</v>
      </c>
      <c r="AX4627">
        <v>2</v>
      </c>
    </row>
    <row r="4628" spans="1:50">
      <c r="A4628">
        <v>163274</v>
      </c>
      <c r="B4628" t="str">
        <f>"037080771"</f>
        <v>037080771</v>
      </c>
      <c r="C4628" t="s">
        <v>50</v>
      </c>
      <c r="D4628" t="s">
        <v>8440</v>
      </c>
      <c r="E4628" t="s">
        <v>52</v>
      </c>
      <c r="F4628" t="s">
        <v>1414</v>
      </c>
      <c r="G4628" t="s">
        <v>647</v>
      </c>
      <c r="H4628" t="str">
        <f>" "</f>
        <v xml:space="preserve"> </v>
      </c>
      <c r="N4628" t="s">
        <v>257</v>
      </c>
      <c r="O4628" t="s">
        <v>258</v>
      </c>
      <c r="R4628" t="s">
        <v>57</v>
      </c>
      <c r="S4628">
        <v>13</v>
      </c>
      <c r="T4628">
        <v>132</v>
      </c>
      <c r="U4628" s="1">
        <v>33456</v>
      </c>
      <c r="V4628" t="s">
        <v>6729</v>
      </c>
      <c r="W4628" t="s">
        <v>6730</v>
      </c>
      <c r="X4628" t="s">
        <v>58</v>
      </c>
      <c r="Y4628">
        <v>18</v>
      </c>
      <c r="Z4628" t="s">
        <v>59</v>
      </c>
      <c r="AA4628" t="s">
        <v>59</v>
      </c>
      <c r="AB4628" t="s">
        <v>59</v>
      </c>
      <c r="AC4628" t="s">
        <v>59</v>
      </c>
      <c r="AD4628" t="s">
        <v>59</v>
      </c>
      <c r="AF4628" s="1">
        <v>33491</v>
      </c>
      <c r="AG4628" t="s">
        <v>148</v>
      </c>
      <c r="AH4628" t="s">
        <v>149</v>
      </c>
      <c r="AI4628" t="str">
        <f>"5062010"</f>
        <v>5062010</v>
      </c>
      <c r="AJ4628" t="s">
        <v>6783</v>
      </c>
      <c r="AK4628">
        <v>2821031620</v>
      </c>
      <c r="AL4628" t="s">
        <v>6784</v>
      </c>
      <c r="AM4628" t="s">
        <v>88</v>
      </c>
      <c r="AN4628" t="s">
        <v>88</v>
      </c>
      <c r="AO4628" t="s">
        <v>6785</v>
      </c>
      <c r="AP4628" t="s">
        <v>6786</v>
      </c>
      <c r="AQ4628">
        <v>1</v>
      </c>
      <c r="AR4628" t="s">
        <v>6729</v>
      </c>
      <c r="AS4628" t="s">
        <v>6730</v>
      </c>
      <c r="AT4628" t="s">
        <v>58</v>
      </c>
      <c r="AU4628" t="s">
        <v>68</v>
      </c>
      <c r="AV4628" t="s">
        <v>69</v>
      </c>
      <c r="AW4628" s="1">
        <v>24169</v>
      </c>
      <c r="AX4628">
        <v>2</v>
      </c>
    </row>
    <row r="4629" spans="1:50">
      <c r="A4629">
        <v>222695</v>
      </c>
      <c r="B4629" t="str">
        <f>"101204998"</f>
        <v>101204998</v>
      </c>
      <c r="C4629" t="s">
        <v>50</v>
      </c>
      <c r="D4629" t="s">
        <v>8441</v>
      </c>
      <c r="E4629" t="s">
        <v>263</v>
      </c>
      <c r="F4629" t="s">
        <v>383</v>
      </c>
      <c r="G4629" t="s">
        <v>155</v>
      </c>
      <c r="H4629" t="str">
        <f>" "</f>
        <v xml:space="preserve"> </v>
      </c>
      <c r="J4629">
        <v>2109597001</v>
      </c>
      <c r="K4629">
        <v>6972941900</v>
      </c>
      <c r="N4629" t="s">
        <v>146</v>
      </c>
      <c r="O4629" t="s">
        <v>147</v>
      </c>
      <c r="R4629" t="s">
        <v>57</v>
      </c>
      <c r="S4629">
        <v>8</v>
      </c>
      <c r="T4629">
        <v>775</v>
      </c>
      <c r="U4629" s="1">
        <v>39680</v>
      </c>
      <c r="V4629" t="s">
        <v>6729</v>
      </c>
      <c r="W4629" t="s">
        <v>6730</v>
      </c>
      <c r="X4629" t="s">
        <v>58</v>
      </c>
      <c r="Y4629">
        <v>20</v>
      </c>
      <c r="Z4629" t="s">
        <v>59</v>
      </c>
      <c r="AA4629" t="s">
        <v>59</v>
      </c>
      <c r="AB4629" t="s">
        <v>59</v>
      </c>
      <c r="AC4629" t="s">
        <v>59</v>
      </c>
      <c r="AD4629" t="s">
        <v>59</v>
      </c>
      <c r="AF4629" s="1">
        <v>39681</v>
      </c>
      <c r="AG4629" t="s">
        <v>345</v>
      </c>
      <c r="AH4629" t="s">
        <v>346</v>
      </c>
      <c r="AI4629" t="str">
        <f>"5041001"</f>
        <v>5041001</v>
      </c>
      <c r="AJ4629" t="s">
        <v>6840</v>
      </c>
      <c r="AK4629">
        <v>2821052100</v>
      </c>
      <c r="AL4629" t="s">
        <v>6841</v>
      </c>
      <c r="AM4629" t="s">
        <v>88</v>
      </c>
      <c r="AN4629" t="s">
        <v>88</v>
      </c>
      <c r="AO4629" t="s">
        <v>88</v>
      </c>
      <c r="AP4629" t="s">
        <v>88</v>
      </c>
      <c r="AQ4629">
        <v>1</v>
      </c>
      <c r="AR4629" t="s">
        <v>6729</v>
      </c>
      <c r="AS4629" t="s">
        <v>6730</v>
      </c>
      <c r="AT4629" t="s">
        <v>58</v>
      </c>
      <c r="AU4629" t="s">
        <v>68</v>
      </c>
      <c r="AV4629" t="s">
        <v>69</v>
      </c>
      <c r="AW4629" s="1">
        <v>29540</v>
      </c>
      <c r="AX4629">
        <v>2</v>
      </c>
    </row>
    <row r="4630" spans="1:50">
      <c r="A4630">
        <v>197559</v>
      </c>
      <c r="B4630" t="str">
        <f>"064959800"</f>
        <v>064959800</v>
      </c>
      <c r="C4630" t="s">
        <v>50</v>
      </c>
      <c r="D4630" t="s">
        <v>8442</v>
      </c>
      <c r="E4630" t="s">
        <v>396</v>
      </c>
      <c r="F4630" t="s">
        <v>1111</v>
      </c>
      <c r="G4630" t="s">
        <v>3671</v>
      </c>
      <c r="H4630" t="str">
        <f>" "</f>
        <v xml:space="preserve"> </v>
      </c>
      <c r="J4630">
        <v>2821038091</v>
      </c>
      <c r="L4630">
        <v>2821060543</v>
      </c>
      <c r="N4630" t="s">
        <v>146</v>
      </c>
      <c r="O4630" t="s">
        <v>147</v>
      </c>
      <c r="R4630" t="s">
        <v>57</v>
      </c>
      <c r="S4630">
        <v>9</v>
      </c>
      <c r="T4630">
        <v>206</v>
      </c>
      <c r="U4630" s="1">
        <v>37866</v>
      </c>
      <c r="V4630" t="s">
        <v>6729</v>
      </c>
      <c r="W4630" t="s">
        <v>6730</v>
      </c>
      <c r="X4630" t="s">
        <v>58</v>
      </c>
      <c r="Y4630">
        <v>20</v>
      </c>
      <c r="Z4630" t="s">
        <v>59</v>
      </c>
      <c r="AA4630" t="s">
        <v>59</v>
      </c>
      <c r="AB4630" t="s">
        <v>59</v>
      </c>
      <c r="AC4630" t="s">
        <v>59</v>
      </c>
      <c r="AD4630" t="s">
        <v>59</v>
      </c>
      <c r="AF4630" s="1">
        <v>37866</v>
      </c>
      <c r="AG4630" t="s">
        <v>125</v>
      </c>
      <c r="AH4630" t="s">
        <v>126</v>
      </c>
      <c r="AI4630" t="str">
        <f>"5001080"</f>
        <v>5001080</v>
      </c>
      <c r="AJ4630" t="s">
        <v>6984</v>
      </c>
      <c r="AK4630">
        <v>2821068020</v>
      </c>
      <c r="AL4630" t="s">
        <v>6985</v>
      </c>
      <c r="AM4630" t="s">
        <v>88</v>
      </c>
      <c r="AN4630" t="s">
        <v>6764</v>
      </c>
      <c r="AO4630" t="s">
        <v>6764</v>
      </c>
      <c r="AP4630" t="s">
        <v>6764</v>
      </c>
      <c r="AQ4630">
        <v>1</v>
      </c>
      <c r="AR4630" t="s">
        <v>6729</v>
      </c>
      <c r="AS4630" t="s">
        <v>6730</v>
      </c>
      <c r="AT4630" t="s">
        <v>58</v>
      </c>
      <c r="AU4630" t="s">
        <v>68</v>
      </c>
      <c r="AV4630" t="s">
        <v>69</v>
      </c>
      <c r="AW4630" s="1">
        <v>24554</v>
      </c>
      <c r="AX4630">
        <v>2</v>
      </c>
    </row>
    <row r="4631" spans="1:50">
      <c r="A4631">
        <v>218280</v>
      </c>
      <c r="B4631" t="str">
        <f>"113162306"</f>
        <v>113162306</v>
      </c>
      <c r="C4631" t="s">
        <v>105</v>
      </c>
      <c r="D4631" t="s">
        <v>8443</v>
      </c>
      <c r="E4631" t="s">
        <v>106</v>
      </c>
      <c r="F4631" t="s">
        <v>564</v>
      </c>
      <c r="G4631" t="s">
        <v>96</v>
      </c>
      <c r="H4631" t="str">
        <f>"Ν. Μαριακάκη 6 ΧΑΝΙΑ"</f>
        <v>Ν. Μαριακάκη 6 ΧΑΝΙΑ</v>
      </c>
      <c r="I4631">
        <v>73135</v>
      </c>
      <c r="J4631">
        <v>2821095278</v>
      </c>
      <c r="K4631">
        <v>6977270613</v>
      </c>
      <c r="M4631" t="s">
        <v>8444</v>
      </c>
      <c r="N4631" t="s">
        <v>292</v>
      </c>
      <c r="O4631" t="s">
        <v>293</v>
      </c>
      <c r="R4631" t="s">
        <v>57</v>
      </c>
      <c r="S4631">
        <v>8</v>
      </c>
      <c r="T4631">
        <v>599</v>
      </c>
      <c r="U4631" s="1">
        <v>39310</v>
      </c>
      <c r="V4631" t="s">
        <v>6729</v>
      </c>
      <c r="W4631" t="s">
        <v>6730</v>
      </c>
      <c r="X4631" t="s">
        <v>58</v>
      </c>
      <c r="Y4631">
        <v>21</v>
      </c>
      <c r="Z4631" t="s">
        <v>59</v>
      </c>
      <c r="AA4631" t="s">
        <v>59</v>
      </c>
      <c r="AB4631" t="s">
        <v>59</v>
      </c>
      <c r="AC4631" t="s">
        <v>59</v>
      </c>
      <c r="AD4631" t="s">
        <v>59</v>
      </c>
      <c r="AF4631" s="1">
        <v>39328</v>
      </c>
      <c r="AG4631" t="s">
        <v>148</v>
      </c>
      <c r="AH4631" t="s">
        <v>149</v>
      </c>
      <c r="AI4631" t="str">
        <f>"5052010"</f>
        <v>5052010</v>
      </c>
      <c r="AJ4631" t="s">
        <v>6834</v>
      </c>
      <c r="AK4631">
        <v>2825022200</v>
      </c>
      <c r="AL4631" t="s">
        <v>6835</v>
      </c>
      <c r="AM4631" t="s">
        <v>88</v>
      </c>
      <c r="AN4631" t="s">
        <v>6775</v>
      </c>
      <c r="AO4631" t="s">
        <v>6776</v>
      </c>
      <c r="AP4631" t="s">
        <v>6776</v>
      </c>
      <c r="AQ4631">
        <v>1</v>
      </c>
      <c r="AR4631" t="s">
        <v>6729</v>
      </c>
      <c r="AS4631" t="s">
        <v>6730</v>
      </c>
      <c r="AT4631" t="s">
        <v>58</v>
      </c>
      <c r="AU4631" t="s">
        <v>68</v>
      </c>
      <c r="AV4631" t="s">
        <v>69</v>
      </c>
      <c r="AW4631" s="1">
        <v>28350</v>
      </c>
      <c r="AX4631">
        <v>2</v>
      </c>
    </row>
    <row r="4632" spans="1:50">
      <c r="B4632" t="str">
        <f>"121817235"</f>
        <v>121817235</v>
      </c>
      <c r="C4632" t="s">
        <v>105</v>
      </c>
      <c r="D4632" t="s">
        <v>8445</v>
      </c>
      <c r="E4632" t="s">
        <v>95</v>
      </c>
      <c r="F4632" t="s">
        <v>95</v>
      </c>
      <c r="G4632" t="s">
        <v>1029</v>
      </c>
      <c r="H4632" t="str">
        <f>"ΓΡ.ΛΑΜΠΡΑΚΗ 41 ΚΑΡΔΙΤΣΑ"</f>
        <v>ΓΡ.ΛΑΜΠΡΑΚΗ 41 ΚΑΡΔΙΤΣΑ</v>
      </c>
      <c r="I4632">
        <v>43100</v>
      </c>
      <c r="J4632">
        <v>2441071051</v>
      </c>
      <c r="K4632">
        <v>6970635651</v>
      </c>
      <c r="M4632" t="s">
        <v>8446</v>
      </c>
      <c r="N4632" t="s">
        <v>168</v>
      </c>
      <c r="O4632" t="s">
        <v>169</v>
      </c>
      <c r="R4632" t="s">
        <v>159</v>
      </c>
      <c r="S4632">
        <v>5</v>
      </c>
      <c r="T4632" t="s">
        <v>416</v>
      </c>
      <c r="U4632" s="1">
        <v>43349</v>
      </c>
      <c r="V4632" t="s">
        <v>6729</v>
      </c>
      <c r="W4632" t="s">
        <v>6730</v>
      </c>
      <c r="X4632" t="s">
        <v>58</v>
      </c>
      <c r="Y4632">
        <v>23</v>
      </c>
      <c r="Z4632" t="s">
        <v>59</v>
      </c>
      <c r="AA4632" t="s">
        <v>59</v>
      </c>
      <c r="AB4632" t="s">
        <v>59</v>
      </c>
      <c r="AC4632" t="s">
        <v>59</v>
      </c>
      <c r="AD4632" t="s">
        <v>59</v>
      </c>
      <c r="AF4632" s="1">
        <v>43349</v>
      </c>
      <c r="AG4632" t="s">
        <v>125</v>
      </c>
      <c r="AH4632" t="s">
        <v>126</v>
      </c>
      <c r="AI4632" t="str">
        <f>"5002010"</f>
        <v>5002010</v>
      </c>
      <c r="AJ4632" t="s">
        <v>6773</v>
      </c>
      <c r="AK4632">
        <v>2825022249</v>
      </c>
      <c r="AL4632" t="s">
        <v>6774</v>
      </c>
      <c r="AM4632" t="s">
        <v>88</v>
      </c>
      <c r="AN4632" t="s">
        <v>6775</v>
      </c>
      <c r="AO4632" t="s">
        <v>6776</v>
      </c>
      <c r="AP4632" t="s">
        <v>6776</v>
      </c>
      <c r="AQ4632">
        <v>1</v>
      </c>
      <c r="AR4632" t="s">
        <v>6729</v>
      </c>
      <c r="AS4632" t="s">
        <v>6730</v>
      </c>
      <c r="AT4632" t="s">
        <v>58</v>
      </c>
      <c r="AU4632" t="s">
        <v>419</v>
      </c>
      <c r="AV4632" t="s">
        <v>132</v>
      </c>
      <c r="AW4632" s="1">
        <v>30402</v>
      </c>
      <c r="AX4632">
        <v>2</v>
      </c>
    </row>
    <row r="4633" spans="1:50">
      <c r="A4633">
        <v>209991</v>
      </c>
      <c r="B4633" t="str">
        <f>"046185124"</f>
        <v>046185124</v>
      </c>
      <c r="C4633" t="s">
        <v>105</v>
      </c>
      <c r="D4633" t="s">
        <v>8447</v>
      </c>
      <c r="E4633" t="s">
        <v>95</v>
      </c>
      <c r="F4633" t="s">
        <v>108</v>
      </c>
      <c r="G4633" t="s">
        <v>237</v>
      </c>
      <c r="H4633" t="str">
        <f>" "</f>
        <v xml:space="preserve"> </v>
      </c>
      <c r="J4633">
        <v>2821054937</v>
      </c>
      <c r="L4633">
        <v>2821045312</v>
      </c>
      <c r="N4633" t="s">
        <v>292</v>
      </c>
      <c r="O4633" t="s">
        <v>293</v>
      </c>
      <c r="R4633" t="s">
        <v>57</v>
      </c>
      <c r="S4633">
        <v>6</v>
      </c>
      <c r="T4633">
        <v>225</v>
      </c>
      <c r="U4633" s="1">
        <v>38604</v>
      </c>
      <c r="V4633" t="s">
        <v>6729</v>
      </c>
      <c r="W4633" t="s">
        <v>6730</v>
      </c>
      <c r="X4633" t="s">
        <v>58</v>
      </c>
      <c r="Y4633">
        <v>20</v>
      </c>
      <c r="Z4633" t="s">
        <v>59</v>
      </c>
      <c r="AA4633" t="s">
        <v>59</v>
      </c>
      <c r="AB4633" t="s">
        <v>59</v>
      </c>
      <c r="AC4633" t="s">
        <v>59</v>
      </c>
      <c r="AD4633" t="s">
        <v>59</v>
      </c>
      <c r="AF4633" s="1">
        <v>38607</v>
      </c>
      <c r="AG4633" t="s">
        <v>148</v>
      </c>
      <c r="AH4633" t="s">
        <v>149</v>
      </c>
      <c r="AI4633" t="str">
        <f>"5057010"</f>
        <v>5057010</v>
      </c>
      <c r="AJ4633" t="s">
        <v>6836</v>
      </c>
      <c r="AK4633">
        <v>2824022511</v>
      </c>
      <c r="AL4633" t="s">
        <v>6837</v>
      </c>
      <c r="AM4633" t="s">
        <v>88</v>
      </c>
      <c r="AN4633" t="s">
        <v>6764</v>
      </c>
      <c r="AO4633" t="s">
        <v>6799</v>
      </c>
      <c r="AP4633" t="s">
        <v>6799</v>
      </c>
      <c r="AQ4633">
        <v>1</v>
      </c>
      <c r="AR4633" t="s">
        <v>6729</v>
      </c>
      <c r="AS4633" t="s">
        <v>6730</v>
      </c>
      <c r="AT4633" t="s">
        <v>58</v>
      </c>
      <c r="AU4633" t="s">
        <v>68</v>
      </c>
      <c r="AV4633" t="s">
        <v>69</v>
      </c>
      <c r="AW4633" s="1">
        <v>24339</v>
      </c>
      <c r="AX4633">
        <v>2</v>
      </c>
    </row>
    <row r="4634" spans="1:50">
      <c r="A4634">
        <v>228272</v>
      </c>
      <c r="B4634" t="str">
        <f>"061511004"</f>
        <v>061511004</v>
      </c>
      <c r="C4634" t="s">
        <v>105</v>
      </c>
      <c r="D4634" t="s">
        <v>8448</v>
      </c>
      <c r="E4634" t="s">
        <v>321</v>
      </c>
      <c r="F4634" t="s">
        <v>166</v>
      </c>
      <c r="G4634" t="s">
        <v>8449</v>
      </c>
      <c r="H4634" t="str">
        <f>"ΚΩΝΣΤ. ΜΠΑΣΙΑ 9 ΧΑΝΙΑ"</f>
        <v>ΚΩΝΣΤ. ΜΠΑΣΙΑ 9 ΧΑΝΙΑ</v>
      </c>
      <c r="I4634">
        <v>73100</v>
      </c>
      <c r="J4634">
        <v>2821051884</v>
      </c>
      <c r="K4634">
        <v>6942405770</v>
      </c>
      <c r="M4634" t="s">
        <v>8450</v>
      </c>
      <c r="N4634" t="s">
        <v>168</v>
      </c>
      <c r="O4634" t="s">
        <v>169</v>
      </c>
      <c r="R4634" t="s">
        <v>57</v>
      </c>
      <c r="S4634">
        <v>6</v>
      </c>
      <c r="T4634">
        <v>654</v>
      </c>
      <c r="U4634" s="1">
        <v>40043</v>
      </c>
      <c r="V4634" t="s">
        <v>6729</v>
      </c>
      <c r="W4634" t="s">
        <v>6730</v>
      </c>
      <c r="X4634" t="s">
        <v>58</v>
      </c>
      <c r="Y4634">
        <v>20</v>
      </c>
      <c r="Z4634" t="s">
        <v>59</v>
      </c>
      <c r="AA4634" t="s">
        <v>59</v>
      </c>
      <c r="AB4634" t="s">
        <v>59</v>
      </c>
      <c r="AC4634" t="s">
        <v>59</v>
      </c>
      <c r="AD4634" t="s">
        <v>59</v>
      </c>
      <c r="AF4634" s="1">
        <v>40044</v>
      </c>
      <c r="AG4634" t="s">
        <v>137</v>
      </c>
      <c r="AH4634" t="s">
        <v>138</v>
      </c>
      <c r="AI4634" t="str">
        <f>"5050060"</f>
        <v>5050060</v>
      </c>
      <c r="AJ4634" t="s">
        <v>6801</v>
      </c>
      <c r="AK4634">
        <v>2821091515</v>
      </c>
      <c r="AL4634" t="s">
        <v>6802</v>
      </c>
      <c r="AM4634" t="s">
        <v>88</v>
      </c>
      <c r="AN4634" t="s">
        <v>88</v>
      </c>
      <c r="AO4634" t="s">
        <v>88</v>
      </c>
      <c r="AP4634" t="s">
        <v>88</v>
      </c>
      <c r="AQ4634">
        <v>1</v>
      </c>
      <c r="AR4634" t="s">
        <v>6729</v>
      </c>
      <c r="AS4634" t="s">
        <v>6730</v>
      </c>
      <c r="AT4634" t="s">
        <v>58</v>
      </c>
      <c r="AU4634" t="s">
        <v>68</v>
      </c>
      <c r="AV4634" t="s">
        <v>69</v>
      </c>
      <c r="AW4634" s="1">
        <v>25918</v>
      </c>
      <c r="AX4634">
        <v>2</v>
      </c>
    </row>
    <row r="4635" spans="1:50">
      <c r="A4635">
        <v>209780</v>
      </c>
      <c r="B4635" t="str">
        <f>"102910737"</f>
        <v>102910737</v>
      </c>
      <c r="C4635" t="s">
        <v>105</v>
      </c>
      <c r="D4635" t="s">
        <v>8451</v>
      </c>
      <c r="E4635" t="s">
        <v>95</v>
      </c>
      <c r="F4635" t="s">
        <v>1320</v>
      </c>
      <c r="G4635" t="s">
        <v>52</v>
      </c>
      <c r="H4635" t="str">
        <f>"ΠΛΑΚΑ ΑΠΟΚΟΡΩΝΟΥ "</f>
        <v xml:space="preserve">ΠΛΑΚΑ ΑΠΟΚΟΡΩΝΟΥ </v>
      </c>
      <c r="J4635">
        <v>2825083371</v>
      </c>
      <c r="K4635">
        <v>6947123879</v>
      </c>
      <c r="N4635" t="s">
        <v>146</v>
      </c>
      <c r="O4635" t="s">
        <v>147</v>
      </c>
      <c r="R4635" t="s">
        <v>57</v>
      </c>
      <c r="S4635">
        <v>6</v>
      </c>
      <c r="T4635" t="s">
        <v>8452</v>
      </c>
      <c r="U4635" s="1">
        <v>38604</v>
      </c>
      <c r="V4635" t="s">
        <v>6729</v>
      </c>
      <c r="W4635" t="s">
        <v>6730</v>
      </c>
      <c r="X4635" t="s">
        <v>58</v>
      </c>
      <c r="Y4635">
        <v>20</v>
      </c>
      <c r="Z4635" t="s">
        <v>59</v>
      </c>
      <c r="AA4635" t="s">
        <v>59</v>
      </c>
      <c r="AB4635" t="s">
        <v>59</v>
      </c>
      <c r="AC4635" t="s">
        <v>59</v>
      </c>
      <c r="AD4635" t="s">
        <v>59</v>
      </c>
      <c r="AF4635" s="1">
        <v>38604</v>
      </c>
      <c r="AG4635" t="s">
        <v>148</v>
      </c>
      <c r="AH4635" t="s">
        <v>149</v>
      </c>
      <c r="AI4635" t="str">
        <f>"5056010"</f>
        <v>5056010</v>
      </c>
      <c r="AJ4635" t="s">
        <v>6762</v>
      </c>
      <c r="AK4635">
        <v>2824031210</v>
      </c>
      <c r="AL4635" t="s">
        <v>6763</v>
      </c>
      <c r="AM4635" t="s">
        <v>88</v>
      </c>
      <c r="AN4635" t="s">
        <v>6764</v>
      </c>
      <c r="AO4635" t="s">
        <v>6765</v>
      </c>
      <c r="AP4635" t="s">
        <v>6765</v>
      </c>
      <c r="AQ4635">
        <v>1</v>
      </c>
      <c r="AR4635" t="s">
        <v>6729</v>
      </c>
      <c r="AS4635" t="s">
        <v>6730</v>
      </c>
      <c r="AT4635" t="s">
        <v>58</v>
      </c>
      <c r="AU4635" t="s">
        <v>68</v>
      </c>
      <c r="AV4635" t="s">
        <v>69</v>
      </c>
      <c r="AW4635" s="1">
        <v>26935</v>
      </c>
      <c r="AX4635">
        <v>2</v>
      </c>
    </row>
    <row r="4636" spans="1:50">
      <c r="A4636">
        <v>193540</v>
      </c>
      <c r="B4636" t="str">
        <f>"036322871"</f>
        <v>036322871</v>
      </c>
      <c r="C4636" t="s">
        <v>105</v>
      </c>
      <c r="D4636" t="s">
        <v>8453</v>
      </c>
      <c r="E4636" t="s">
        <v>72</v>
      </c>
      <c r="F4636" t="s">
        <v>84</v>
      </c>
      <c r="G4636" t="s">
        <v>1164</v>
      </c>
      <c r="H4636" t="str">
        <f>" "</f>
        <v xml:space="preserve"> </v>
      </c>
      <c r="J4636">
        <v>2821067297</v>
      </c>
      <c r="M4636" t="s">
        <v>8454</v>
      </c>
      <c r="N4636" t="s">
        <v>292</v>
      </c>
      <c r="O4636" t="s">
        <v>293</v>
      </c>
      <c r="R4636" t="s">
        <v>57</v>
      </c>
      <c r="S4636">
        <v>11</v>
      </c>
      <c r="T4636">
        <v>193</v>
      </c>
      <c r="U4636" s="1">
        <v>37497</v>
      </c>
      <c r="V4636" t="s">
        <v>6729</v>
      </c>
      <c r="W4636" t="s">
        <v>6730</v>
      </c>
      <c r="X4636" t="s">
        <v>58</v>
      </c>
      <c r="Y4636">
        <v>18</v>
      </c>
      <c r="Z4636" t="s">
        <v>59</v>
      </c>
      <c r="AA4636" t="s">
        <v>59</v>
      </c>
      <c r="AB4636" t="s">
        <v>59</v>
      </c>
      <c r="AC4636" t="s">
        <v>59</v>
      </c>
      <c r="AD4636" t="s">
        <v>59</v>
      </c>
      <c r="AF4636" s="1">
        <v>37501</v>
      </c>
      <c r="AG4636" t="s">
        <v>137</v>
      </c>
      <c r="AH4636" t="s">
        <v>138</v>
      </c>
      <c r="AI4636" t="str">
        <f>"5040050"</f>
        <v>5040050</v>
      </c>
      <c r="AJ4636" t="s">
        <v>6750</v>
      </c>
      <c r="AK4636">
        <v>2821043147</v>
      </c>
      <c r="AL4636" t="s">
        <v>6751</v>
      </c>
      <c r="AM4636" t="s">
        <v>88</v>
      </c>
      <c r="AN4636" t="s">
        <v>88</v>
      </c>
      <c r="AO4636" t="s">
        <v>88</v>
      </c>
      <c r="AP4636" t="s">
        <v>88</v>
      </c>
      <c r="AQ4636">
        <v>1</v>
      </c>
      <c r="AR4636" t="s">
        <v>6729</v>
      </c>
      <c r="AS4636" t="s">
        <v>6730</v>
      </c>
      <c r="AT4636" t="s">
        <v>58</v>
      </c>
      <c r="AU4636" t="s">
        <v>68</v>
      </c>
      <c r="AV4636" t="s">
        <v>69</v>
      </c>
      <c r="AW4636" s="1">
        <v>21632</v>
      </c>
      <c r="AX4636">
        <v>2</v>
      </c>
    </row>
    <row r="4637" spans="1:50">
      <c r="A4637">
        <v>180317</v>
      </c>
      <c r="B4637" t="str">
        <f>"054427732"</f>
        <v>054427732</v>
      </c>
      <c r="C4637" t="s">
        <v>105</v>
      </c>
      <c r="D4637" t="s">
        <v>8455</v>
      </c>
      <c r="E4637" t="s">
        <v>989</v>
      </c>
      <c r="F4637" t="s">
        <v>99</v>
      </c>
      <c r="G4637" t="s">
        <v>83</v>
      </c>
      <c r="H4637" t="str">
        <f>" "</f>
        <v xml:space="preserve"> </v>
      </c>
      <c r="J4637">
        <v>2821064941</v>
      </c>
      <c r="K4637">
        <v>6972703864</v>
      </c>
      <c r="M4637" t="s">
        <v>8456</v>
      </c>
      <c r="N4637" t="s">
        <v>292</v>
      </c>
      <c r="O4637" t="s">
        <v>293</v>
      </c>
      <c r="R4637" t="s">
        <v>57</v>
      </c>
      <c r="S4637">
        <v>11</v>
      </c>
      <c r="T4637">
        <v>164</v>
      </c>
      <c r="U4637" s="1">
        <v>36040</v>
      </c>
      <c r="V4637" t="s">
        <v>6729</v>
      </c>
      <c r="W4637" t="s">
        <v>6730</v>
      </c>
      <c r="X4637" t="s">
        <v>58</v>
      </c>
      <c r="Y4637">
        <v>18</v>
      </c>
      <c r="Z4637" t="s">
        <v>59</v>
      </c>
      <c r="AA4637" t="s">
        <v>59</v>
      </c>
      <c r="AB4637" t="s">
        <v>59</v>
      </c>
      <c r="AC4637" t="s">
        <v>59</v>
      </c>
      <c r="AD4637" t="s">
        <v>59</v>
      </c>
      <c r="AF4637" s="1">
        <v>36045</v>
      </c>
      <c r="AG4637" t="s">
        <v>148</v>
      </c>
      <c r="AH4637" t="s">
        <v>149</v>
      </c>
      <c r="AI4637" t="str">
        <f>"5090080"</f>
        <v>5090080</v>
      </c>
      <c r="AJ4637" t="s">
        <v>6906</v>
      </c>
      <c r="AK4637">
        <v>2821096638</v>
      </c>
      <c r="AL4637" t="s">
        <v>6907</v>
      </c>
      <c r="AM4637" t="s">
        <v>88</v>
      </c>
      <c r="AN4637" t="s">
        <v>88</v>
      </c>
      <c r="AO4637" t="s">
        <v>88</v>
      </c>
      <c r="AP4637" t="s">
        <v>88</v>
      </c>
      <c r="AQ4637">
        <v>1</v>
      </c>
      <c r="AR4637" t="s">
        <v>6729</v>
      </c>
      <c r="AS4637" t="s">
        <v>6730</v>
      </c>
      <c r="AT4637" t="s">
        <v>58</v>
      </c>
      <c r="AU4637" t="s">
        <v>68</v>
      </c>
      <c r="AV4637" t="s">
        <v>69</v>
      </c>
      <c r="AW4637" s="1">
        <v>20679</v>
      </c>
      <c r="AX4637">
        <v>2</v>
      </c>
    </row>
    <row r="4638" spans="1:50">
      <c r="A4638">
        <v>222709</v>
      </c>
      <c r="B4638" t="str">
        <f>"051837230"</f>
        <v>051837230</v>
      </c>
      <c r="C4638" t="s">
        <v>50</v>
      </c>
      <c r="D4638" t="s">
        <v>8457</v>
      </c>
      <c r="E4638" t="s">
        <v>215</v>
      </c>
      <c r="F4638" t="s">
        <v>4629</v>
      </c>
      <c r="G4638" t="s">
        <v>181</v>
      </c>
      <c r="H4638" t="str">
        <f>"ΜΑΡΙΑΝΝΑ ΠΕΡΙΒΟΛΙΩΝ ΠΕΡΙΒΟΛΙΑ"</f>
        <v>ΜΑΡΙΑΝΝΑ ΠΕΡΙΒΟΛΙΩΝ ΠΕΡΙΒΟΛΙΑ</v>
      </c>
      <c r="I4638">
        <v>73100</v>
      </c>
      <c r="J4638">
        <v>2821303100</v>
      </c>
      <c r="K4638">
        <v>6973660059</v>
      </c>
      <c r="N4638" t="s">
        <v>146</v>
      </c>
      <c r="O4638" t="s">
        <v>147</v>
      </c>
      <c r="R4638" t="s">
        <v>57</v>
      </c>
      <c r="S4638">
        <v>6</v>
      </c>
      <c r="T4638">
        <v>775</v>
      </c>
      <c r="U4638" s="1">
        <v>39680</v>
      </c>
      <c r="V4638" t="s">
        <v>6729</v>
      </c>
      <c r="W4638" t="s">
        <v>6730</v>
      </c>
      <c r="X4638" t="s">
        <v>58</v>
      </c>
      <c r="Y4638">
        <v>20</v>
      </c>
      <c r="Z4638" t="s">
        <v>59</v>
      </c>
      <c r="AA4638" t="s">
        <v>59</v>
      </c>
      <c r="AB4638" t="s">
        <v>59</v>
      </c>
      <c r="AC4638" t="s">
        <v>59</v>
      </c>
      <c r="AD4638" t="s">
        <v>59</v>
      </c>
      <c r="AF4638" s="1">
        <v>39681</v>
      </c>
      <c r="AG4638" t="s">
        <v>125</v>
      </c>
      <c r="AH4638" t="s">
        <v>126</v>
      </c>
      <c r="AI4638" t="str">
        <f>"5001020"</f>
        <v>5001020</v>
      </c>
      <c r="AJ4638" t="s">
        <v>6739</v>
      </c>
      <c r="AK4638">
        <v>2821042664</v>
      </c>
      <c r="AL4638" t="s">
        <v>6740</v>
      </c>
      <c r="AM4638" t="s">
        <v>88</v>
      </c>
      <c r="AN4638" t="s">
        <v>88</v>
      </c>
      <c r="AO4638" t="s">
        <v>88</v>
      </c>
      <c r="AP4638" t="s">
        <v>88</v>
      </c>
      <c r="AQ4638">
        <v>1</v>
      </c>
      <c r="AR4638" t="s">
        <v>6729</v>
      </c>
      <c r="AS4638" t="s">
        <v>6730</v>
      </c>
      <c r="AT4638" t="s">
        <v>58</v>
      </c>
      <c r="AU4638" t="s">
        <v>68</v>
      </c>
      <c r="AV4638" t="s">
        <v>69</v>
      </c>
      <c r="AW4638" s="1">
        <v>24595</v>
      </c>
      <c r="AX4638">
        <v>2</v>
      </c>
    </row>
    <row r="4639" spans="1:50">
      <c r="A4639">
        <v>227467</v>
      </c>
      <c r="B4639" t="str">
        <f>"122950831"</f>
        <v>122950831</v>
      </c>
      <c r="C4639" t="s">
        <v>50</v>
      </c>
      <c r="D4639" t="s">
        <v>8458</v>
      </c>
      <c r="E4639" t="s">
        <v>964</v>
      </c>
      <c r="F4639" t="s">
        <v>53</v>
      </c>
      <c r="G4639" t="s">
        <v>396</v>
      </c>
      <c r="H4639" t="str">
        <f>"25 ΜΑΡΤΙΟΥ 72 ΧΑΝΙΑ"</f>
        <v>25 ΜΑΡΤΙΟΥ 72 ΧΑΝΙΑ</v>
      </c>
      <c r="I4639">
        <v>73100</v>
      </c>
      <c r="J4639">
        <v>2821092241</v>
      </c>
      <c r="K4639">
        <v>6946083729</v>
      </c>
      <c r="M4639" t="s">
        <v>8459</v>
      </c>
      <c r="N4639" t="s">
        <v>199</v>
      </c>
      <c r="O4639" t="s">
        <v>200</v>
      </c>
      <c r="R4639" t="s">
        <v>57</v>
      </c>
      <c r="S4639">
        <v>6</v>
      </c>
      <c r="T4639">
        <v>654</v>
      </c>
      <c r="U4639" s="1">
        <v>40043</v>
      </c>
      <c r="V4639" t="s">
        <v>6729</v>
      </c>
      <c r="W4639" t="s">
        <v>6730</v>
      </c>
      <c r="X4639" t="s">
        <v>58</v>
      </c>
      <c r="Y4639">
        <v>21</v>
      </c>
      <c r="Z4639" t="s">
        <v>59</v>
      </c>
      <c r="AA4639" t="s">
        <v>59</v>
      </c>
      <c r="AB4639" t="s">
        <v>59</v>
      </c>
      <c r="AC4639" t="s">
        <v>59</v>
      </c>
      <c r="AD4639" t="s">
        <v>59</v>
      </c>
      <c r="AF4639" s="1">
        <v>40044</v>
      </c>
      <c r="AG4639" t="s">
        <v>148</v>
      </c>
      <c r="AH4639" t="s">
        <v>149</v>
      </c>
      <c r="AI4639" t="str">
        <f>"5054010"</f>
        <v>5054010</v>
      </c>
      <c r="AJ4639" t="s">
        <v>6815</v>
      </c>
      <c r="AK4639">
        <v>2822022671</v>
      </c>
      <c r="AL4639" t="s">
        <v>6816</v>
      </c>
      <c r="AM4639" t="s">
        <v>88</v>
      </c>
      <c r="AN4639" t="s">
        <v>6744</v>
      </c>
      <c r="AO4639" t="s">
        <v>6744</v>
      </c>
      <c r="AP4639" t="s">
        <v>6744</v>
      </c>
      <c r="AQ4639">
        <v>1</v>
      </c>
      <c r="AR4639" t="s">
        <v>6729</v>
      </c>
      <c r="AS4639" t="s">
        <v>6730</v>
      </c>
      <c r="AT4639" t="s">
        <v>58</v>
      </c>
      <c r="AU4639" t="s">
        <v>68</v>
      </c>
      <c r="AV4639" t="s">
        <v>69</v>
      </c>
      <c r="AW4639" s="1">
        <v>29742</v>
      </c>
      <c r="AX4639">
        <v>2</v>
      </c>
    </row>
    <row r="4640" spans="1:50">
      <c r="A4640">
        <v>196139</v>
      </c>
      <c r="B4640" t="str">
        <f>"077211192"</f>
        <v>077211192</v>
      </c>
      <c r="C4640" t="s">
        <v>50</v>
      </c>
      <c r="D4640" t="s">
        <v>8460</v>
      </c>
      <c r="E4640" t="s">
        <v>964</v>
      </c>
      <c r="F4640" t="s">
        <v>72</v>
      </c>
      <c r="G4640" t="s">
        <v>950</v>
      </c>
      <c r="H4640" t="str">
        <f>" "</f>
        <v xml:space="preserve"> </v>
      </c>
      <c r="J4640">
        <v>2821072042</v>
      </c>
      <c r="K4640">
        <v>6942401884</v>
      </c>
      <c r="M4640" t="s">
        <v>8461</v>
      </c>
      <c r="N4640" t="s">
        <v>146</v>
      </c>
      <c r="O4640" t="s">
        <v>147</v>
      </c>
      <c r="R4640" t="s">
        <v>57</v>
      </c>
      <c r="S4640">
        <v>7</v>
      </c>
      <c r="T4640" t="s">
        <v>8462</v>
      </c>
      <c r="U4640" s="1">
        <v>37515</v>
      </c>
      <c r="V4640" t="s">
        <v>6729</v>
      </c>
      <c r="W4640" t="s">
        <v>6730</v>
      </c>
      <c r="X4640" t="s">
        <v>58</v>
      </c>
      <c r="Y4640">
        <v>20</v>
      </c>
      <c r="Z4640" t="s">
        <v>59</v>
      </c>
      <c r="AA4640" t="s">
        <v>59</v>
      </c>
      <c r="AB4640" t="s">
        <v>59</v>
      </c>
      <c r="AC4640" t="s">
        <v>59</v>
      </c>
      <c r="AD4640" t="s">
        <v>59</v>
      </c>
      <c r="AF4640" s="1">
        <v>37522</v>
      </c>
      <c r="AG4640" t="s">
        <v>148</v>
      </c>
      <c r="AH4640" t="s">
        <v>149</v>
      </c>
      <c r="AI4640" t="str">
        <f>"5090080"</f>
        <v>5090080</v>
      </c>
      <c r="AJ4640" t="s">
        <v>6906</v>
      </c>
      <c r="AK4640">
        <v>2821096638</v>
      </c>
      <c r="AL4640" t="s">
        <v>6907</v>
      </c>
      <c r="AM4640" t="s">
        <v>88</v>
      </c>
      <c r="AN4640" t="s">
        <v>88</v>
      </c>
      <c r="AO4640" t="s">
        <v>88</v>
      </c>
      <c r="AP4640" t="s">
        <v>88</v>
      </c>
      <c r="AQ4640">
        <v>1</v>
      </c>
      <c r="AR4640" t="s">
        <v>6729</v>
      </c>
      <c r="AS4640" t="s">
        <v>6730</v>
      </c>
      <c r="AT4640" t="s">
        <v>58</v>
      </c>
      <c r="AU4640" t="s">
        <v>68</v>
      </c>
      <c r="AV4640" t="s">
        <v>69</v>
      </c>
      <c r="AW4640" s="1">
        <v>27025</v>
      </c>
      <c r="AX4640">
        <v>2</v>
      </c>
    </row>
    <row r="4641" spans="1:50">
      <c r="A4641">
        <v>222711</v>
      </c>
      <c r="B4641" t="str">
        <f>"106656537"</f>
        <v>106656537</v>
      </c>
      <c r="C4641" t="s">
        <v>50</v>
      </c>
      <c r="D4641" t="s">
        <v>8463</v>
      </c>
      <c r="E4641" t="s">
        <v>396</v>
      </c>
      <c r="F4641" t="s">
        <v>6252</v>
      </c>
      <c r="G4641" t="s">
        <v>8464</v>
      </c>
      <c r="H4641" t="str">
        <f>"ΗΡ. ΠΟΛΥΤΕΧΝΕΙΟΥ 68 ΧΑΝΙΩΝ"</f>
        <v>ΗΡ. ΠΟΛΥΤΕΧΝΕΙΟΥ 68 ΧΑΝΙΩΝ</v>
      </c>
      <c r="I4641">
        <v>73100</v>
      </c>
      <c r="J4641">
        <v>2821400825</v>
      </c>
      <c r="K4641">
        <v>6974587214</v>
      </c>
      <c r="M4641" t="s">
        <v>8465</v>
      </c>
      <c r="N4641" t="s">
        <v>146</v>
      </c>
      <c r="O4641" t="s">
        <v>147</v>
      </c>
      <c r="R4641" t="s">
        <v>57</v>
      </c>
      <c r="S4641">
        <v>5</v>
      </c>
      <c r="T4641">
        <v>775</v>
      </c>
      <c r="U4641" s="1">
        <v>39680</v>
      </c>
      <c r="V4641" t="s">
        <v>6729</v>
      </c>
      <c r="W4641" t="s">
        <v>6730</v>
      </c>
      <c r="X4641" t="s">
        <v>58</v>
      </c>
      <c r="Y4641">
        <v>21</v>
      </c>
      <c r="Z4641" t="s">
        <v>59</v>
      </c>
      <c r="AA4641" t="s">
        <v>59</v>
      </c>
      <c r="AB4641" t="s">
        <v>59</v>
      </c>
      <c r="AC4641" t="s">
        <v>59</v>
      </c>
      <c r="AD4641" t="s">
        <v>59</v>
      </c>
      <c r="AF4641" s="1">
        <v>39681</v>
      </c>
      <c r="AG4641" t="s">
        <v>148</v>
      </c>
      <c r="AH4641" t="s">
        <v>149</v>
      </c>
      <c r="AI4641" t="str">
        <f>"5054010"</f>
        <v>5054010</v>
      </c>
      <c r="AJ4641" t="s">
        <v>6815</v>
      </c>
      <c r="AK4641">
        <v>2822022671</v>
      </c>
      <c r="AL4641" t="s">
        <v>6816</v>
      </c>
      <c r="AM4641" t="s">
        <v>88</v>
      </c>
      <c r="AN4641" t="s">
        <v>6744</v>
      </c>
      <c r="AO4641" t="s">
        <v>6744</v>
      </c>
      <c r="AP4641" t="s">
        <v>6744</v>
      </c>
      <c r="AQ4641">
        <v>1</v>
      </c>
      <c r="AR4641" t="s">
        <v>6729</v>
      </c>
      <c r="AS4641" t="s">
        <v>6730</v>
      </c>
      <c r="AT4641" t="s">
        <v>58</v>
      </c>
      <c r="AU4641" t="s">
        <v>68</v>
      </c>
      <c r="AV4641" t="s">
        <v>69</v>
      </c>
      <c r="AW4641" s="1">
        <v>28160</v>
      </c>
      <c r="AX4641">
        <v>2</v>
      </c>
    </row>
    <row r="4642" spans="1:50">
      <c r="A4642">
        <v>223234</v>
      </c>
      <c r="B4642" t="str">
        <f>"049374101"</f>
        <v>049374101</v>
      </c>
      <c r="C4642" t="s">
        <v>105</v>
      </c>
      <c r="D4642" t="s">
        <v>8466</v>
      </c>
      <c r="E4642" t="s">
        <v>95</v>
      </c>
      <c r="F4642" t="s">
        <v>900</v>
      </c>
      <c r="G4642" t="s">
        <v>143</v>
      </c>
      <c r="H4642" t="str">
        <f>" "</f>
        <v xml:space="preserve"> </v>
      </c>
      <c r="J4642">
        <v>2821070164</v>
      </c>
      <c r="K4642">
        <v>6937156321</v>
      </c>
      <c r="M4642" t="s">
        <v>8467</v>
      </c>
      <c r="N4642" t="s">
        <v>292</v>
      </c>
      <c r="O4642" t="s">
        <v>293</v>
      </c>
      <c r="R4642" t="s">
        <v>57</v>
      </c>
      <c r="S4642">
        <v>5</v>
      </c>
      <c r="T4642">
        <v>775</v>
      </c>
      <c r="U4642" s="1">
        <v>39680</v>
      </c>
      <c r="V4642" t="s">
        <v>6729</v>
      </c>
      <c r="W4642" t="s">
        <v>6730</v>
      </c>
      <c r="X4642" t="s">
        <v>58</v>
      </c>
      <c r="Y4642">
        <v>21</v>
      </c>
      <c r="Z4642" t="s">
        <v>59</v>
      </c>
      <c r="AA4642" t="s">
        <v>59</v>
      </c>
      <c r="AB4642" t="s">
        <v>59</v>
      </c>
      <c r="AC4642" t="s">
        <v>59</v>
      </c>
      <c r="AD4642" t="s">
        <v>59</v>
      </c>
      <c r="AF4642" s="1">
        <v>39681</v>
      </c>
      <c r="AG4642" t="s">
        <v>137</v>
      </c>
      <c r="AH4642" t="s">
        <v>138</v>
      </c>
      <c r="AI4642" t="str">
        <f>"5040105"</f>
        <v>5040105</v>
      </c>
      <c r="AJ4642" t="s">
        <v>6969</v>
      </c>
      <c r="AK4642">
        <v>2825051703</v>
      </c>
      <c r="AL4642" t="s">
        <v>6970</v>
      </c>
      <c r="AM4642" t="s">
        <v>88</v>
      </c>
      <c r="AN4642" t="s">
        <v>6775</v>
      </c>
      <c r="AO4642" t="s">
        <v>6781</v>
      </c>
      <c r="AP4642" t="s">
        <v>6782</v>
      </c>
      <c r="AQ4642">
        <v>1</v>
      </c>
      <c r="AR4642" t="s">
        <v>6729</v>
      </c>
      <c r="AS4642" t="s">
        <v>6730</v>
      </c>
      <c r="AT4642" t="s">
        <v>58</v>
      </c>
      <c r="AU4642" t="s">
        <v>68</v>
      </c>
      <c r="AV4642" t="s">
        <v>69</v>
      </c>
      <c r="AW4642" s="1">
        <v>27054</v>
      </c>
      <c r="AX4642">
        <v>2</v>
      </c>
    </row>
    <row r="4643" spans="1:50">
      <c r="A4643">
        <v>197569</v>
      </c>
      <c r="B4643" t="str">
        <f>"061244536"</f>
        <v>061244536</v>
      </c>
      <c r="C4643" t="s">
        <v>50</v>
      </c>
      <c r="D4643" t="s">
        <v>8468</v>
      </c>
      <c r="E4643" t="s">
        <v>83</v>
      </c>
      <c r="F4643" t="s">
        <v>450</v>
      </c>
      <c r="G4643" t="s">
        <v>52</v>
      </c>
      <c r="H4643" t="str">
        <f>" "</f>
        <v xml:space="preserve"> </v>
      </c>
      <c r="J4643">
        <v>2106519452</v>
      </c>
      <c r="K4643">
        <v>6977525172</v>
      </c>
      <c r="L4643">
        <v>2221029770</v>
      </c>
      <c r="N4643" t="s">
        <v>146</v>
      </c>
      <c r="O4643" t="s">
        <v>147</v>
      </c>
      <c r="R4643" t="s">
        <v>57</v>
      </c>
      <c r="S4643">
        <v>9</v>
      </c>
      <c r="T4643">
        <v>206</v>
      </c>
      <c r="U4643" s="1">
        <v>37866</v>
      </c>
      <c r="V4643" t="s">
        <v>6729</v>
      </c>
      <c r="W4643" t="s">
        <v>6730</v>
      </c>
      <c r="X4643" t="s">
        <v>58</v>
      </c>
      <c r="Y4643">
        <v>20</v>
      </c>
      <c r="Z4643" t="s">
        <v>59</v>
      </c>
      <c r="AA4643" t="s">
        <v>59</v>
      </c>
      <c r="AB4643" t="s">
        <v>59</v>
      </c>
      <c r="AC4643" t="s">
        <v>59</v>
      </c>
      <c r="AD4643" t="s">
        <v>59</v>
      </c>
      <c r="AF4643" s="1">
        <v>37866</v>
      </c>
      <c r="AG4643" t="s">
        <v>148</v>
      </c>
      <c r="AH4643" t="s">
        <v>149</v>
      </c>
      <c r="AI4643" t="str">
        <f>"5057010"</f>
        <v>5057010</v>
      </c>
      <c r="AJ4643" t="s">
        <v>6836</v>
      </c>
      <c r="AK4643">
        <v>2824022511</v>
      </c>
      <c r="AL4643" t="s">
        <v>6837</v>
      </c>
      <c r="AM4643" t="s">
        <v>88</v>
      </c>
      <c r="AN4643" t="s">
        <v>6764</v>
      </c>
      <c r="AO4643" t="s">
        <v>6799</v>
      </c>
      <c r="AP4643" t="s">
        <v>6799</v>
      </c>
      <c r="AQ4643">
        <v>1</v>
      </c>
      <c r="AR4643" t="s">
        <v>6729</v>
      </c>
      <c r="AS4643" t="s">
        <v>6730</v>
      </c>
      <c r="AT4643" t="s">
        <v>58</v>
      </c>
      <c r="AU4643" t="s">
        <v>68</v>
      </c>
      <c r="AV4643" t="s">
        <v>69</v>
      </c>
      <c r="AW4643" s="1">
        <v>27016</v>
      </c>
      <c r="AX4643">
        <v>2</v>
      </c>
    </row>
    <row r="4644" spans="1:50">
      <c r="A4644">
        <v>208303</v>
      </c>
      <c r="B4644" t="str">
        <f>"055159509"</f>
        <v>055159509</v>
      </c>
      <c r="C4644" t="s">
        <v>105</v>
      </c>
      <c r="D4644" t="s">
        <v>8469</v>
      </c>
      <c r="E4644" t="s">
        <v>72</v>
      </c>
      <c r="F4644" t="s">
        <v>95</v>
      </c>
      <c r="G4644" t="s">
        <v>5858</v>
      </c>
      <c r="H4644" t="str">
        <f>"ΒΑΓΙ ΑΓ. ΜΑΡΙΝΑ 1  Ν. ΚΥΔΩΝΙΑ"</f>
        <v>ΒΑΓΙ ΑΓ. ΜΑΡΙΝΑ 1  Ν. ΚΥΔΩΝΙΑ</v>
      </c>
      <c r="I4644">
        <v>73014</v>
      </c>
      <c r="J4644">
        <v>2821038265</v>
      </c>
      <c r="K4644">
        <v>6972552873</v>
      </c>
      <c r="M4644" t="s">
        <v>8470</v>
      </c>
      <c r="N4644" t="s">
        <v>176</v>
      </c>
      <c r="O4644" t="s">
        <v>177</v>
      </c>
      <c r="R4644" t="s">
        <v>57</v>
      </c>
      <c r="S4644">
        <v>8</v>
      </c>
      <c r="T4644">
        <v>218</v>
      </c>
      <c r="U4644" s="1">
        <v>38596</v>
      </c>
      <c r="V4644" t="s">
        <v>6729</v>
      </c>
      <c r="W4644" t="s">
        <v>6730</v>
      </c>
      <c r="X4644" t="s">
        <v>58</v>
      </c>
      <c r="Y4644">
        <v>20</v>
      </c>
      <c r="Z4644" t="s">
        <v>59</v>
      </c>
      <c r="AA4644" t="s">
        <v>59</v>
      </c>
      <c r="AB4644" t="s">
        <v>59</v>
      </c>
      <c r="AC4644" t="s">
        <v>59</v>
      </c>
      <c r="AD4644" t="s">
        <v>59</v>
      </c>
      <c r="AF4644" s="1">
        <v>38602</v>
      </c>
      <c r="AG4644" t="s">
        <v>125</v>
      </c>
      <c r="AH4644" t="s">
        <v>126</v>
      </c>
      <c r="AI4644" t="str">
        <f>"5005010"</f>
        <v>5005010</v>
      </c>
      <c r="AJ4644" t="s">
        <v>7100</v>
      </c>
      <c r="AK4644">
        <v>2823041217</v>
      </c>
      <c r="AL4644" t="s">
        <v>7101</v>
      </c>
      <c r="AM4644" t="s">
        <v>88</v>
      </c>
      <c r="AN4644" t="s">
        <v>6824</v>
      </c>
      <c r="AO4644" t="s">
        <v>6870</v>
      </c>
      <c r="AP4644" t="s">
        <v>6871</v>
      </c>
      <c r="AQ4644">
        <v>1</v>
      </c>
      <c r="AR4644" t="s">
        <v>6729</v>
      </c>
      <c r="AS4644" t="s">
        <v>6730</v>
      </c>
      <c r="AT4644" t="s">
        <v>58</v>
      </c>
      <c r="AU4644" t="s">
        <v>68</v>
      </c>
      <c r="AV4644" t="s">
        <v>132</v>
      </c>
      <c r="AW4644" s="1">
        <v>23722</v>
      </c>
      <c r="AX4644">
        <v>2</v>
      </c>
    </row>
    <row r="4645" spans="1:50">
      <c r="A4645">
        <v>192523</v>
      </c>
      <c r="B4645" t="str">
        <f>"127213764"</f>
        <v>127213764</v>
      </c>
      <c r="C4645" t="s">
        <v>50</v>
      </c>
      <c r="D4645" t="s">
        <v>4122</v>
      </c>
      <c r="E4645" t="s">
        <v>476</v>
      </c>
      <c r="F4645" t="s">
        <v>106</v>
      </c>
      <c r="G4645" t="s">
        <v>513</v>
      </c>
      <c r="H4645" t="str">
        <f>"ΕΓΝΑΤΙΑΣ 22 ΚΑΒΑΛΑ"</f>
        <v>ΕΓΝΑΤΙΑΣ 22 ΚΑΒΑΛΑ</v>
      </c>
      <c r="I4645">
        <v>65403</v>
      </c>
      <c r="J4645">
        <v>2510244850</v>
      </c>
      <c r="K4645">
        <v>6981554729</v>
      </c>
      <c r="M4645" t="s">
        <v>8471</v>
      </c>
      <c r="N4645" t="s">
        <v>157</v>
      </c>
      <c r="O4645" t="s">
        <v>158</v>
      </c>
      <c r="R4645" t="s">
        <v>57</v>
      </c>
      <c r="S4645">
        <v>8</v>
      </c>
      <c r="T4645">
        <v>192</v>
      </c>
      <c r="U4645" s="1">
        <v>37497</v>
      </c>
      <c r="V4645" t="s">
        <v>6729</v>
      </c>
      <c r="W4645" t="s">
        <v>6730</v>
      </c>
      <c r="X4645" t="s">
        <v>58</v>
      </c>
      <c r="Y4645">
        <v>20</v>
      </c>
      <c r="Z4645" t="s">
        <v>59</v>
      </c>
      <c r="AA4645" t="s">
        <v>59</v>
      </c>
      <c r="AB4645" t="s">
        <v>59</v>
      </c>
      <c r="AC4645" t="s">
        <v>59</v>
      </c>
      <c r="AD4645" t="s">
        <v>59</v>
      </c>
      <c r="AF4645" s="1">
        <v>37500</v>
      </c>
      <c r="AG4645" t="s">
        <v>125</v>
      </c>
      <c r="AH4645" t="s">
        <v>126</v>
      </c>
      <c r="AI4645" t="str">
        <f>"5010010"</f>
        <v>5010010</v>
      </c>
      <c r="AJ4645" t="s">
        <v>6779</v>
      </c>
      <c r="AK4645">
        <v>2825051288</v>
      </c>
      <c r="AL4645" t="s">
        <v>6780</v>
      </c>
      <c r="AM4645" t="s">
        <v>88</v>
      </c>
      <c r="AN4645" t="s">
        <v>6775</v>
      </c>
      <c r="AO4645" t="s">
        <v>6781</v>
      </c>
      <c r="AP4645" t="s">
        <v>6782</v>
      </c>
      <c r="AQ4645">
        <v>1</v>
      </c>
      <c r="AR4645" t="s">
        <v>6729</v>
      </c>
      <c r="AS4645" t="s">
        <v>6730</v>
      </c>
      <c r="AT4645" t="s">
        <v>58</v>
      </c>
      <c r="AU4645" t="s">
        <v>68</v>
      </c>
      <c r="AV4645" t="s">
        <v>69</v>
      </c>
      <c r="AW4645" s="1">
        <v>23769</v>
      </c>
      <c r="AX4645">
        <v>2</v>
      </c>
    </row>
    <row r="4646" spans="1:50">
      <c r="A4646">
        <v>194844</v>
      </c>
      <c r="B4646" t="str">
        <f>"035971479"</f>
        <v>035971479</v>
      </c>
      <c r="C4646" t="s">
        <v>50</v>
      </c>
      <c r="D4646" t="s">
        <v>8472</v>
      </c>
      <c r="E4646" t="s">
        <v>250</v>
      </c>
      <c r="F4646" t="s">
        <v>166</v>
      </c>
      <c r="G4646" t="s">
        <v>52</v>
      </c>
      <c r="H4646" t="str">
        <f>" "</f>
        <v xml:space="preserve"> </v>
      </c>
      <c r="J4646">
        <v>2821096947</v>
      </c>
      <c r="L4646">
        <v>2821098917</v>
      </c>
      <c r="N4646" t="s">
        <v>299</v>
      </c>
      <c r="O4646" t="s">
        <v>300</v>
      </c>
      <c r="R4646" t="s">
        <v>57</v>
      </c>
      <c r="S4646">
        <v>11</v>
      </c>
      <c r="T4646">
        <v>193</v>
      </c>
      <c r="U4646" s="1">
        <v>37497</v>
      </c>
      <c r="V4646" t="s">
        <v>6729</v>
      </c>
      <c r="W4646" t="s">
        <v>6730</v>
      </c>
      <c r="X4646" t="s">
        <v>58</v>
      </c>
      <c r="Y4646">
        <v>18</v>
      </c>
      <c r="Z4646" t="s">
        <v>59</v>
      </c>
      <c r="AA4646" t="s">
        <v>59</v>
      </c>
      <c r="AB4646" t="s">
        <v>59</v>
      </c>
      <c r="AC4646" t="s">
        <v>59</v>
      </c>
      <c r="AD4646" t="s">
        <v>59</v>
      </c>
      <c r="AF4646" s="1">
        <v>37501</v>
      </c>
      <c r="AG4646" t="s">
        <v>137</v>
      </c>
      <c r="AH4646" t="s">
        <v>469</v>
      </c>
      <c r="AI4646" t="str">
        <f>"5040055"</f>
        <v>5040055</v>
      </c>
      <c r="AJ4646" t="s">
        <v>6940</v>
      </c>
      <c r="AK4646">
        <v>2821036404</v>
      </c>
      <c r="AL4646" t="s">
        <v>6941</v>
      </c>
      <c r="AM4646" t="s">
        <v>88</v>
      </c>
      <c r="AN4646" t="s">
        <v>88</v>
      </c>
      <c r="AO4646" t="s">
        <v>88</v>
      </c>
      <c r="AP4646" t="s">
        <v>88</v>
      </c>
      <c r="AQ4646">
        <v>1</v>
      </c>
      <c r="AR4646" t="s">
        <v>6729</v>
      </c>
      <c r="AS4646" t="s">
        <v>6730</v>
      </c>
      <c r="AT4646" t="s">
        <v>58</v>
      </c>
      <c r="AU4646" t="s">
        <v>68</v>
      </c>
      <c r="AV4646" t="s">
        <v>69</v>
      </c>
      <c r="AW4646" s="1">
        <v>23405</v>
      </c>
      <c r="AX4646">
        <v>2</v>
      </c>
    </row>
    <row r="4647" spans="1:50">
      <c r="A4647">
        <v>188845</v>
      </c>
      <c r="B4647" t="str">
        <f>"063648446"</f>
        <v>063648446</v>
      </c>
      <c r="C4647" t="s">
        <v>50</v>
      </c>
      <c r="D4647" t="s">
        <v>8473</v>
      </c>
      <c r="E4647" t="s">
        <v>52</v>
      </c>
      <c r="F4647" t="s">
        <v>5543</v>
      </c>
      <c r="G4647" t="s">
        <v>372</v>
      </c>
      <c r="H4647" t="str">
        <f>"25ΗΣ ΜΑΡΤΙΟΥ 1821 ΣΟΥΔΑ ΧΑΝΙΩΝ"</f>
        <v>25ΗΣ ΜΑΡΤΙΟΥ 1821 ΣΟΥΔΑ ΧΑΝΙΩΝ</v>
      </c>
      <c r="I4647">
        <v>73200</v>
      </c>
      <c r="J4647">
        <v>2821081409</v>
      </c>
      <c r="K4647">
        <v>6982619153</v>
      </c>
      <c r="M4647" t="s">
        <v>8474</v>
      </c>
      <c r="N4647" t="s">
        <v>176</v>
      </c>
      <c r="O4647" t="s">
        <v>177</v>
      </c>
      <c r="R4647" t="s">
        <v>57</v>
      </c>
      <c r="S4647">
        <v>14</v>
      </c>
      <c r="T4647">
        <v>1032</v>
      </c>
      <c r="U4647" s="1">
        <v>34144</v>
      </c>
      <c r="V4647" t="s">
        <v>6729</v>
      </c>
      <c r="W4647" t="s">
        <v>6730</v>
      </c>
      <c r="X4647" t="s">
        <v>58</v>
      </c>
      <c r="Y4647">
        <v>18</v>
      </c>
      <c r="Z4647" t="s">
        <v>59</v>
      </c>
      <c r="AA4647" t="s">
        <v>59</v>
      </c>
      <c r="AB4647" t="s">
        <v>59</v>
      </c>
      <c r="AC4647" t="s">
        <v>59</v>
      </c>
      <c r="AD4647" t="s">
        <v>59</v>
      </c>
      <c r="AF4647" s="1">
        <v>34215</v>
      </c>
      <c r="AG4647" t="s">
        <v>137</v>
      </c>
      <c r="AH4647" t="s">
        <v>138</v>
      </c>
      <c r="AI4647" t="str">
        <f>"5040050"</f>
        <v>5040050</v>
      </c>
      <c r="AJ4647" t="s">
        <v>6750</v>
      </c>
      <c r="AK4647">
        <v>2821043147</v>
      </c>
      <c r="AL4647" t="s">
        <v>6751</v>
      </c>
      <c r="AM4647" t="s">
        <v>88</v>
      </c>
      <c r="AN4647" t="s">
        <v>88</v>
      </c>
      <c r="AO4647" t="s">
        <v>88</v>
      </c>
      <c r="AP4647" t="s">
        <v>88</v>
      </c>
      <c r="AQ4647">
        <v>1</v>
      </c>
      <c r="AR4647" t="s">
        <v>6729</v>
      </c>
      <c r="AS4647" t="s">
        <v>6730</v>
      </c>
      <c r="AT4647" t="s">
        <v>58</v>
      </c>
      <c r="AU4647" t="s">
        <v>68</v>
      </c>
      <c r="AV4647" t="s">
        <v>69</v>
      </c>
      <c r="AW4647" s="1">
        <v>21956</v>
      </c>
      <c r="AX4647">
        <v>2</v>
      </c>
    </row>
    <row r="4648" spans="1:50">
      <c r="A4648">
        <v>157483</v>
      </c>
      <c r="B4648" t="str">
        <f>"032900807"</f>
        <v>032900807</v>
      </c>
      <c r="C4648" t="s">
        <v>50</v>
      </c>
      <c r="D4648" t="s">
        <v>8475</v>
      </c>
      <c r="E4648" t="s">
        <v>83</v>
      </c>
      <c r="F4648" t="s">
        <v>776</v>
      </c>
      <c r="G4648" t="s">
        <v>2324</v>
      </c>
      <c r="H4648" t="str">
        <f>" "</f>
        <v xml:space="preserve"> </v>
      </c>
      <c r="J4648">
        <v>2821055855</v>
      </c>
      <c r="K4648">
        <v>6945934118</v>
      </c>
      <c r="N4648" t="s">
        <v>257</v>
      </c>
      <c r="O4648" t="s">
        <v>258</v>
      </c>
      <c r="R4648" t="s">
        <v>57</v>
      </c>
      <c r="S4648">
        <v>14</v>
      </c>
      <c r="T4648">
        <v>188</v>
      </c>
      <c r="U4648" s="1">
        <v>32752</v>
      </c>
      <c r="V4648" t="s">
        <v>6729</v>
      </c>
      <c r="W4648" t="s">
        <v>6730</v>
      </c>
      <c r="X4648" t="s">
        <v>58</v>
      </c>
      <c r="Y4648">
        <v>18</v>
      </c>
      <c r="Z4648" t="s">
        <v>59</v>
      </c>
      <c r="AA4648" t="s">
        <v>59</v>
      </c>
      <c r="AB4648" t="s">
        <v>59</v>
      </c>
      <c r="AC4648" t="s">
        <v>59</v>
      </c>
      <c r="AD4648" t="s">
        <v>59</v>
      </c>
      <c r="AF4648" s="1">
        <v>32756</v>
      </c>
      <c r="AG4648" t="s">
        <v>125</v>
      </c>
      <c r="AH4648" t="s">
        <v>126</v>
      </c>
      <c r="AI4648" t="str">
        <f>"5001075"</f>
        <v>5001075</v>
      </c>
      <c r="AJ4648" t="s">
        <v>6768</v>
      </c>
      <c r="AK4648">
        <v>2821064200</v>
      </c>
      <c r="AL4648" t="s">
        <v>6769</v>
      </c>
      <c r="AM4648" t="s">
        <v>88</v>
      </c>
      <c r="AN4648" t="s">
        <v>88</v>
      </c>
      <c r="AO4648" t="s">
        <v>6770</v>
      </c>
      <c r="AP4648" t="s">
        <v>6771</v>
      </c>
      <c r="AQ4648">
        <v>1</v>
      </c>
      <c r="AR4648" t="s">
        <v>6729</v>
      </c>
      <c r="AS4648" t="s">
        <v>6730</v>
      </c>
      <c r="AT4648" t="s">
        <v>58</v>
      </c>
      <c r="AU4648" t="s">
        <v>68</v>
      </c>
      <c r="AV4648" t="s">
        <v>357</v>
      </c>
      <c r="AW4648" s="1">
        <v>22877</v>
      </c>
      <c r="AX4648">
        <v>2</v>
      </c>
    </row>
    <row r="4649" spans="1:50">
      <c r="A4649">
        <v>212497</v>
      </c>
      <c r="B4649" t="str">
        <f>"100610259"</f>
        <v>100610259</v>
      </c>
      <c r="C4649" t="s">
        <v>50</v>
      </c>
      <c r="D4649" t="s">
        <v>8476</v>
      </c>
      <c r="E4649" t="s">
        <v>658</v>
      </c>
      <c r="F4649" t="s">
        <v>99</v>
      </c>
      <c r="G4649" t="s">
        <v>1286</v>
      </c>
      <c r="H4649" t="str">
        <f>"ΣΤΕΡΝΕΣ ΑΚΡΩΤΗΡΙΟΥ ΑΚΡΩΤΗΡΙ-ΧΑΝΙΩΝ"</f>
        <v>ΣΤΕΡΝΕΣ ΑΚΡΩΤΗΡΙΟΥ ΑΚΡΩΤΗΡΙ-ΧΑΝΙΩΝ</v>
      </c>
      <c r="I4649">
        <v>73100</v>
      </c>
      <c r="J4649">
        <v>2821063417</v>
      </c>
      <c r="K4649">
        <v>6980498787</v>
      </c>
      <c r="N4649" t="s">
        <v>146</v>
      </c>
      <c r="O4649" t="s">
        <v>147</v>
      </c>
      <c r="R4649" t="s">
        <v>57</v>
      </c>
      <c r="S4649">
        <v>8</v>
      </c>
      <c r="T4649">
        <v>231</v>
      </c>
      <c r="U4649" s="1">
        <v>38960</v>
      </c>
      <c r="V4649" t="s">
        <v>6729</v>
      </c>
      <c r="W4649" t="s">
        <v>6730</v>
      </c>
      <c r="X4649" t="s">
        <v>58</v>
      </c>
      <c r="Y4649">
        <v>20</v>
      </c>
      <c r="Z4649" t="s">
        <v>59</v>
      </c>
      <c r="AA4649" t="s">
        <v>59</v>
      </c>
      <c r="AB4649" t="s">
        <v>59</v>
      </c>
      <c r="AC4649" t="s">
        <v>59</v>
      </c>
      <c r="AD4649" t="s">
        <v>59</v>
      </c>
      <c r="AF4649" s="1">
        <v>38961</v>
      </c>
      <c r="AG4649" t="s">
        <v>125</v>
      </c>
      <c r="AH4649" t="s">
        <v>126</v>
      </c>
      <c r="AI4649" t="str">
        <f>"5001075"</f>
        <v>5001075</v>
      </c>
      <c r="AJ4649" t="s">
        <v>6768</v>
      </c>
      <c r="AK4649">
        <v>2821064200</v>
      </c>
      <c r="AL4649" t="s">
        <v>6769</v>
      </c>
      <c r="AM4649" t="s">
        <v>88</v>
      </c>
      <c r="AN4649" t="s">
        <v>88</v>
      </c>
      <c r="AO4649" t="s">
        <v>6770</v>
      </c>
      <c r="AP4649" t="s">
        <v>6771</v>
      </c>
      <c r="AQ4649">
        <v>1</v>
      </c>
      <c r="AR4649" t="s">
        <v>6729</v>
      </c>
      <c r="AS4649" t="s">
        <v>6730</v>
      </c>
      <c r="AT4649" t="s">
        <v>58</v>
      </c>
      <c r="AU4649" t="s">
        <v>68</v>
      </c>
      <c r="AV4649" t="s">
        <v>69</v>
      </c>
      <c r="AW4649" s="1">
        <v>28943</v>
      </c>
      <c r="AX4649">
        <v>2</v>
      </c>
    </row>
    <row r="4650" spans="1:50">
      <c r="A4650">
        <v>190489</v>
      </c>
      <c r="B4650" t="str">
        <f>"053152899"</f>
        <v>053152899</v>
      </c>
      <c r="C4650" t="s">
        <v>50</v>
      </c>
      <c r="D4650" t="s">
        <v>8477</v>
      </c>
      <c r="E4650" t="s">
        <v>8478</v>
      </c>
      <c r="F4650" t="s">
        <v>698</v>
      </c>
      <c r="G4650" t="s">
        <v>2127</v>
      </c>
      <c r="H4650" t="str">
        <f>"ΜΙΧ. ΚΑΛΟΡΙΖΙΚΟΥ 16 ΧΑΝΙΑ"</f>
        <v>ΜΙΧ. ΚΑΛΟΡΙΖΙΚΟΥ 16 ΧΑΝΙΑ</v>
      </c>
      <c r="I4650">
        <v>73134</v>
      </c>
      <c r="J4650">
        <v>2821046327</v>
      </c>
      <c r="K4650">
        <v>6947519859</v>
      </c>
      <c r="M4650" t="s">
        <v>8479</v>
      </c>
      <c r="N4650" t="s">
        <v>288</v>
      </c>
      <c r="O4650" t="s">
        <v>289</v>
      </c>
      <c r="R4650" t="s">
        <v>57</v>
      </c>
      <c r="S4650">
        <v>11</v>
      </c>
      <c r="T4650">
        <v>219</v>
      </c>
      <c r="U4650" s="1">
        <v>37134</v>
      </c>
      <c r="V4650" t="s">
        <v>6729</v>
      </c>
      <c r="W4650" t="s">
        <v>6730</v>
      </c>
      <c r="X4650" t="s">
        <v>58</v>
      </c>
      <c r="Y4650">
        <v>18</v>
      </c>
      <c r="Z4650" t="s">
        <v>59</v>
      </c>
      <c r="AA4650" t="s">
        <v>59</v>
      </c>
      <c r="AB4650" t="s">
        <v>59</v>
      </c>
      <c r="AC4650" t="s">
        <v>59</v>
      </c>
      <c r="AD4650" t="s">
        <v>59</v>
      </c>
      <c r="AF4650" s="1">
        <v>37141</v>
      </c>
      <c r="AG4650" t="s">
        <v>125</v>
      </c>
      <c r="AH4650" t="s">
        <v>126</v>
      </c>
      <c r="AI4650" t="str">
        <f>"5001060"</f>
        <v>5001060</v>
      </c>
      <c r="AJ4650" t="s">
        <v>6914</v>
      </c>
      <c r="AK4650">
        <v>2821091763</v>
      </c>
      <c r="AL4650" t="s">
        <v>6915</v>
      </c>
      <c r="AM4650" t="s">
        <v>88</v>
      </c>
      <c r="AN4650" t="s">
        <v>88</v>
      </c>
      <c r="AO4650" t="s">
        <v>88</v>
      </c>
      <c r="AP4650" t="s">
        <v>88</v>
      </c>
      <c r="AQ4650">
        <v>1</v>
      </c>
      <c r="AR4650" t="s">
        <v>6729</v>
      </c>
      <c r="AS4650" t="s">
        <v>6730</v>
      </c>
      <c r="AT4650" t="s">
        <v>58</v>
      </c>
      <c r="AU4650" t="s">
        <v>68</v>
      </c>
      <c r="AV4650" t="s">
        <v>69</v>
      </c>
      <c r="AW4650" s="1">
        <v>24780</v>
      </c>
      <c r="AX4650">
        <v>2</v>
      </c>
    </row>
    <row r="4651" spans="1:50">
      <c r="A4651">
        <v>217258</v>
      </c>
      <c r="B4651" t="str">
        <f>"072280946"</f>
        <v>072280946</v>
      </c>
      <c r="C4651" t="s">
        <v>105</v>
      </c>
      <c r="D4651" t="s">
        <v>8480</v>
      </c>
      <c r="E4651" t="s">
        <v>450</v>
      </c>
      <c r="F4651" t="s">
        <v>95</v>
      </c>
      <c r="G4651" t="s">
        <v>316</v>
      </c>
      <c r="H4651" t="str">
        <f>" "</f>
        <v xml:space="preserve"> </v>
      </c>
      <c r="J4651">
        <v>2821072184</v>
      </c>
      <c r="K4651">
        <v>6972819010</v>
      </c>
      <c r="N4651" t="s">
        <v>2713</v>
      </c>
      <c r="O4651" t="s">
        <v>2714</v>
      </c>
      <c r="R4651" t="s">
        <v>57</v>
      </c>
      <c r="S4651">
        <v>9</v>
      </c>
      <c r="T4651">
        <v>457</v>
      </c>
      <c r="U4651" s="1">
        <v>39055</v>
      </c>
      <c r="V4651" t="s">
        <v>6729</v>
      </c>
      <c r="W4651" t="s">
        <v>6730</v>
      </c>
      <c r="X4651" t="s">
        <v>58</v>
      </c>
      <c r="Y4651">
        <v>20</v>
      </c>
      <c r="Z4651" t="s">
        <v>59</v>
      </c>
      <c r="AA4651" t="s">
        <v>59</v>
      </c>
      <c r="AB4651" t="s">
        <v>59</v>
      </c>
      <c r="AC4651" t="s">
        <v>59</v>
      </c>
      <c r="AD4651" t="s">
        <v>59</v>
      </c>
      <c r="AF4651" s="1">
        <v>39059</v>
      </c>
      <c r="AG4651" t="s">
        <v>137</v>
      </c>
      <c r="AH4651" t="s">
        <v>469</v>
      </c>
      <c r="AI4651" t="str">
        <f>"5040055"</f>
        <v>5040055</v>
      </c>
      <c r="AJ4651" t="s">
        <v>6940</v>
      </c>
      <c r="AK4651">
        <v>2821036404</v>
      </c>
      <c r="AL4651" t="s">
        <v>6941</v>
      </c>
      <c r="AM4651" t="s">
        <v>88</v>
      </c>
      <c r="AN4651" t="s">
        <v>88</v>
      </c>
      <c r="AO4651" t="s">
        <v>88</v>
      </c>
      <c r="AP4651" t="s">
        <v>88</v>
      </c>
      <c r="AQ4651">
        <v>1</v>
      </c>
      <c r="AR4651" t="s">
        <v>6729</v>
      </c>
      <c r="AS4651" t="s">
        <v>6730</v>
      </c>
      <c r="AT4651" t="s">
        <v>58</v>
      </c>
      <c r="AU4651" t="s">
        <v>68</v>
      </c>
      <c r="AV4651" t="s">
        <v>69</v>
      </c>
      <c r="AW4651" s="1">
        <v>25682</v>
      </c>
      <c r="AX4651">
        <v>2</v>
      </c>
    </row>
    <row r="4652" spans="1:50">
      <c r="A4652">
        <v>138199</v>
      </c>
      <c r="B4652" t="str">
        <f>"022461153"</f>
        <v>022461153</v>
      </c>
      <c r="C4652" t="s">
        <v>105</v>
      </c>
      <c r="D4652" t="s">
        <v>8481</v>
      </c>
      <c r="E4652" t="s">
        <v>2580</v>
      </c>
      <c r="F4652" t="s">
        <v>166</v>
      </c>
      <c r="G4652" t="s">
        <v>143</v>
      </c>
      <c r="H4652" t="str">
        <f>" "</f>
        <v xml:space="preserve"> </v>
      </c>
      <c r="N4652" t="s">
        <v>292</v>
      </c>
      <c r="O4652" t="s">
        <v>293</v>
      </c>
      <c r="R4652" t="s">
        <v>57</v>
      </c>
      <c r="S4652">
        <v>17</v>
      </c>
      <c r="T4652">
        <v>271</v>
      </c>
      <c r="U4652" s="1">
        <v>30195</v>
      </c>
      <c r="V4652" t="s">
        <v>6729</v>
      </c>
      <c r="W4652" t="s">
        <v>6730</v>
      </c>
      <c r="X4652" t="s">
        <v>58</v>
      </c>
      <c r="Y4652">
        <v>18</v>
      </c>
      <c r="Z4652" t="s">
        <v>59</v>
      </c>
      <c r="AA4652" t="s">
        <v>59</v>
      </c>
      <c r="AB4652" t="s">
        <v>59</v>
      </c>
      <c r="AC4652" t="s">
        <v>59</v>
      </c>
      <c r="AD4652" t="s">
        <v>59</v>
      </c>
      <c r="AF4652" s="1">
        <v>30207</v>
      </c>
      <c r="AG4652" t="s">
        <v>148</v>
      </c>
      <c r="AH4652" t="s">
        <v>149</v>
      </c>
      <c r="AI4652" t="str">
        <f>"5061010"</f>
        <v>5061010</v>
      </c>
      <c r="AJ4652" t="s">
        <v>6746</v>
      </c>
      <c r="AK4652">
        <v>2821081530</v>
      </c>
      <c r="AL4652" t="s">
        <v>6747</v>
      </c>
      <c r="AM4652" t="s">
        <v>88</v>
      </c>
      <c r="AN4652" t="s">
        <v>88</v>
      </c>
      <c r="AO4652" t="s">
        <v>6748</v>
      </c>
      <c r="AP4652" t="s">
        <v>6748</v>
      </c>
      <c r="AQ4652">
        <v>1</v>
      </c>
      <c r="AR4652" t="s">
        <v>6729</v>
      </c>
      <c r="AS4652" t="s">
        <v>6730</v>
      </c>
      <c r="AT4652" t="s">
        <v>58</v>
      </c>
      <c r="AU4652" t="s">
        <v>68</v>
      </c>
      <c r="AV4652" t="s">
        <v>69</v>
      </c>
      <c r="AW4652" s="1">
        <v>19495</v>
      </c>
      <c r="AX4652">
        <v>2</v>
      </c>
    </row>
    <row r="4653" spans="1:50">
      <c r="B4653" t="str">
        <f>"126745709"</f>
        <v>126745709</v>
      </c>
      <c r="C4653" t="s">
        <v>50</v>
      </c>
      <c r="D4653" t="s">
        <v>8482</v>
      </c>
      <c r="E4653" t="s">
        <v>109</v>
      </c>
      <c r="F4653" t="s">
        <v>95</v>
      </c>
      <c r="G4653" t="s">
        <v>237</v>
      </c>
      <c r="H4653" t="str">
        <f>"ΕΡΜΟΥ 15 "</f>
        <v xml:space="preserve">ΕΡΜΟΥ 15 </v>
      </c>
      <c r="I4653">
        <v>60100</v>
      </c>
      <c r="J4653">
        <v>2351077445</v>
      </c>
      <c r="K4653">
        <v>6942808838</v>
      </c>
      <c r="M4653" t="s">
        <v>8483</v>
      </c>
      <c r="N4653" t="s">
        <v>119</v>
      </c>
      <c r="O4653" t="s">
        <v>120</v>
      </c>
      <c r="R4653" t="s">
        <v>159</v>
      </c>
      <c r="S4653">
        <v>5</v>
      </c>
      <c r="T4653" t="s">
        <v>344</v>
      </c>
      <c r="U4653" s="1">
        <v>43348</v>
      </c>
      <c r="V4653" t="s">
        <v>6729</v>
      </c>
      <c r="W4653" t="s">
        <v>6730</v>
      </c>
      <c r="X4653" t="s">
        <v>58</v>
      </c>
      <c r="Y4653">
        <v>21</v>
      </c>
      <c r="Z4653" t="s">
        <v>59</v>
      </c>
      <c r="AA4653" t="s">
        <v>59</v>
      </c>
      <c r="AB4653" t="s">
        <v>59</v>
      </c>
      <c r="AC4653" t="s">
        <v>59</v>
      </c>
      <c r="AD4653" t="s">
        <v>59</v>
      </c>
      <c r="AF4653" s="1">
        <v>43348</v>
      </c>
      <c r="AG4653" t="s">
        <v>125</v>
      </c>
      <c r="AH4653" t="s">
        <v>126</v>
      </c>
      <c r="AI4653" t="str">
        <f>"5001010"</f>
        <v>5001010</v>
      </c>
      <c r="AJ4653" t="s">
        <v>6873</v>
      </c>
      <c r="AK4653">
        <v>2821052130</v>
      </c>
      <c r="AL4653" t="s">
        <v>6874</v>
      </c>
      <c r="AM4653" t="s">
        <v>88</v>
      </c>
      <c r="AN4653" t="s">
        <v>88</v>
      </c>
      <c r="AO4653" t="s">
        <v>88</v>
      </c>
      <c r="AP4653" t="s">
        <v>88</v>
      </c>
      <c r="AQ4653">
        <v>1</v>
      </c>
      <c r="AR4653" t="s">
        <v>6729</v>
      </c>
      <c r="AS4653" t="s">
        <v>6730</v>
      </c>
      <c r="AT4653" t="s">
        <v>58</v>
      </c>
      <c r="AU4653" t="s">
        <v>350</v>
      </c>
      <c r="AV4653" t="s">
        <v>132</v>
      </c>
      <c r="AW4653" s="1">
        <v>30723</v>
      </c>
      <c r="AX4653">
        <v>2</v>
      </c>
    </row>
    <row r="4654" spans="1:50">
      <c r="A4654">
        <v>182571</v>
      </c>
      <c r="B4654" t="str">
        <f>"076315470"</f>
        <v>076315470</v>
      </c>
      <c r="C4654" t="s">
        <v>50</v>
      </c>
      <c r="D4654" t="s">
        <v>8484</v>
      </c>
      <c r="E4654" t="s">
        <v>460</v>
      </c>
      <c r="F4654" t="s">
        <v>166</v>
      </c>
      <c r="G4654" t="s">
        <v>250</v>
      </c>
      <c r="H4654" t="str">
        <f>" "</f>
        <v xml:space="preserve"> </v>
      </c>
      <c r="N4654" t="s">
        <v>146</v>
      </c>
      <c r="O4654" t="s">
        <v>147</v>
      </c>
      <c r="R4654" t="s">
        <v>57</v>
      </c>
      <c r="S4654">
        <v>12</v>
      </c>
      <c r="T4654">
        <v>249</v>
      </c>
      <c r="U4654" s="1">
        <v>36160</v>
      </c>
      <c r="V4654" t="s">
        <v>6729</v>
      </c>
      <c r="W4654" t="s">
        <v>6730</v>
      </c>
      <c r="X4654" t="s">
        <v>58</v>
      </c>
      <c r="Y4654">
        <v>18</v>
      </c>
      <c r="Z4654" t="s">
        <v>59</v>
      </c>
      <c r="AA4654" t="s">
        <v>59</v>
      </c>
      <c r="AB4654" t="s">
        <v>59</v>
      </c>
      <c r="AC4654" t="s">
        <v>59</v>
      </c>
      <c r="AD4654" t="s">
        <v>59</v>
      </c>
      <c r="AF4654" s="1">
        <v>36171</v>
      </c>
      <c r="AG4654" t="s">
        <v>125</v>
      </c>
      <c r="AH4654" t="s">
        <v>126</v>
      </c>
      <c r="AI4654" t="str">
        <f>"5001070"</f>
        <v>5001070</v>
      </c>
      <c r="AJ4654" t="s">
        <v>6731</v>
      </c>
      <c r="AK4654">
        <v>2821088045</v>
      </c>
      <c r="AL4654" t="s">
        <v>6732</v>
      </c>
      <c r="AM4654" t="s">
        <v>88</v>
      </c>
      <c r="AN4654" t="s">
        <v>88</v>
      </c>
      <c r="AO4654" t="s">
        <v>6733</v>
      </c>
      <c r="AP4654" t="s">
        <v>6734</v>
      </c>
      <c r="AQ4654">
        <v>1</v>
      </c>
      <c r="AR4654" t="s">
        <v>6729</v>
      </c>
      <c r="AS4654" t="s">
        <v>6730</v>
      </c>
      <c r="AT4654" t="s">
        <v>58</v>
      </c>
      <c r="AU4654" t="s">
        <v>68</v>
      </c>
      <c r="AV4654" t="s">
        <v>69</v>
      </c>
      <c r="AW4654" s="1">
        <v>25345</v>
      </c>
      <c r="AX4654">
        <v>2</v>
      </c>
    </row>
    <row r="4655" spans="1:50">
      <c r="A4655">
        <v>187071</v>
      </c>
      <c r="B4655" t="str">
        <f>"045371513"</f>
        <v>045371513</v>
      </c>
      <c r="C4655" t="s">
        <v>105</v>
      </c>
      <c r="D4655" t="s">
        <v>8485</v>
      </c>
      <c r="E4655" t="s">
        <v>72</v>
      </c>
      <c r="F4655" t="s">
        <v>166</v>
      </c>
      <c r="G4655" t="s">
        <v>250</v>
      </c>
      <c r="H4655" t="str">
        <f>" "</f>
        <v xml:space="preserve"> </v>
      </c>
      <c r="N4655" t="s">
        <v>282</v>
      </c>
      <c r="O4655" t="s">
        <v>283</v>
      </c>
      <c r="R4655" t="s">
        <v>57</v>
      </c>
      <c r="S4655">
        <v>13</v>
      </c>
      <c r="T4655">
        <v>251</v>
      </c>
      <c r="U4655" s="1">
        <v>36769</v>
      </c>
      <c r="V4655" t="s">
        <v>6729</v>
      </c>
      <c r="W4655" t="s">
        <v>6730</v>
      </c>
      <c r="X4655" t="s">
        <v>58</v>
      </c>
      <c r="Y4655">
        <v>18</v>
      </c>
      <c r="Z4655" t="s">
        <v>59</v>
      </c>
      <c r="AA4655" t="s">
        <v>59</v>
      </c>
      <c r="AB4655" t="s">
        <v>59</v>
      </c>
      <c r="AC4655" t="s">
        <v>59</v>
      </c>
      <c r="AD4655" t="s">
        <v>59</v>
      </c>
      <c r="AF4655" s="1">
        <v>36770</v>
      </c>
      <c r="AG4655" t="s">
        <v>137</v>
      </c>
      <c r="AH4655" t="s">
        <v>138</v>
      </c>
      <c r="AI4655" t="str">
        <f>"5040100"</f>
        <v>5040100</v>
      </c>
      <c r="AJ4655" t="s">
        <v>6790</v>
      </c>
      <c r="AK4655">
        <v>2821058998</v>
      </c>
      <c r="AL4655" t="s">
        <v>6791</v>
      </c>
      <c r="AM4655" t="s">
        <v>88</v>
      </c>
      <c r="AN4655" t="s">
        <v>88</v>
      </c>
      <c r="AO4655" t="s">
        <v>6770</v>
      </c>
      <c r="AP4655" t="s">
        <v>6771</v>
      </c>
      <c r="AQ4655">
        <v>1</v>
      </c>
      <c r="AR4655" t="s">
        <v>6729</v>
      </c>
      <c r="AS4655" t="s">
        <v>6730</v>
      </c>
      <c r="AT4655" t="s">
        <v>58</v>
      </c>
      <c r="AU4655" t="s">
        <v>68</v>
      </c>
      <c r="AV4655" t="s">
        <v>69</v>
      </c>
      <c r="AW4655" s="1">
        <v>24663</v>
      </c>
      <c r="AX4655">
        <v>2</v>
      </c>
    </row>
    <row r="4656" spans="1:50">
      <c r="B4656" t="str">
        <f>"100504635"</f>
        <v>100504635</v>
      </c>
      <c r="C4656" t="s">
        <v>105</v>
      </c>
      <c r="D4656" t="s">
        <v>8486</v>
      </c>
      <c r="E4656" t="s">
        <v>99</v>
      </c>
      <c r="F4656" t="s">
        <v>304</v>
      </c>
      <c r="G4656" t="s">
        <v>367</v>
      </c>
      <c r="H4656" t="str">
        <f>" "</f>
        <v xml:space="preserve"> </v>
      </c>
      <c r="K4656">
        <v>6973003283</v>
      </c>
      <c r="N4656" t="s">
        <v>257</v>
      </c>
      <c r="O4656" t="s">
        <v>258</v>
      </c>
      <c r="R4656" t="s">
        <v>121</v>
      </c>
      <c r="S4656">
        <v>1</v>
      </c>
      <c r="T4656" t="s">
        <v>574</v>
      </c>
      <c r="U4656" s="1">
        <v>43378</v>
      </c>
      <c r="V4656" t="s">
        <v>6729</v>
      </c>
      <c r="W4656" t="s">
        <v>6730</v>
      </c>
      <c r="X4656" t="s">
        <v>58</v>
      </c>
      <c r="Y4656">
        <v>23</v>
      </c>
      <c r="Z4656" t="s">
        <v>59</v>
      </c>
      <c r="AA4656" t="s">
        <v>59</v>
      </c>
      <c r="AB4656" t="s">
        <v>59</v>
      </c>
      <c r="AD4656" t="s">
        <v>59</v>
      </c>
      <c r="AF4656" s="1">
        <v>43381</v>
      </c>
      <c r="AG4656" t="s">
        <v>137</v>
      </c>
      <c r="AH4656" t="s">
        <v>138</v>
      </c>
      <c r="AI4656" t="str">
        <f>"5040090"</f>
        <v>5040090</v>
      </c>
      <c r="AJ4656" t="s">
        <v>6757</v>
      </c>
      <c r="AK4656">
        <v>2822022275</v>
      </c>
      <c r="AL4656" t="s">
        <v>6758</v>
      </c>
      <c r="AM4656" t="s">
        <v>88</v>
      </c>
      <c r="AN4656" t="s">
        <v>6744</v>
      </c>
      <c r="AO4656" t="s">
        <v>6744</v>
      </c>
      <c r="AP4656" t="s">
        <v>6744</v>
      </c>
      <c r="AQ4656">
        <v>1</v>
      </c>
      <c r="AR4656" t="s">
        <v>6729</v>
      </c>
      <c r="AS4656" t="s">
        <v>6730</v>
      </c>
      <c r="AT4656" t="s">
        <v>58</v>
      </c>
      <c r="AU4656" t="s">
        <v>164</v>
      </c>
      <c r="AV4656" t="s">
        <v>132</v>
      </c>
      <c r="AW4656" s="1">
        <v>29815</v>
      </c>
      <c r="AX4656">
        <v>2</v>
      </c>
    </row>
    <row r="4657" spans="1:50">
      <c r="A4657">
        <v>905960</v>
      </c>
      <c r="B4657" t="str">
        <f>"065652479"</f>
        <v>065652479</v>
      </c>
      <c r="C4657" t="s">
        <v>50</v>
      </c>
      <c r="D4657" t="s">
        <v>8487</v>
      </c>
      <c r="E4657" t="s">
        <v>181</v>
      </c>
      <c r="F4657" t="s">
        <v>459</v>
      </c>
      <c r="G4657" t="s">
        <v>494</v>
      </c>
      <c r="H4657" t="str">
        <f>"Μ. ΑΠΟΣΤΟΛΙΔΗ 20 ΧΑΝΙΑ"</f>
        <v>Μ. ΑΠΟΣΤΟΛΙΔΗ 20 ΧΑΝΙΑ</v>
      </c>
      <c r="I4657">
        <v>73131</v>
      </c>
      <c r="J4657">
        <v>2821071075</v>
      </c>
      <c r="K4657">
        <v>6977741487</v>
      </c>
      <c r="M4657" t="s">
        <v>8488</v>
      </c>
      <c r="N4657" t="s">
        <v>232</v>
      </c>
      <c r="O4657" t="s">
        <v>233</v>
      </c>
      <c r="R4657" t="s">
        <v>57</v>
      </c>
      <c r="S4657">
        <v>17</v>
      </c>
      <c r="T4657">
        <v>262</v>
      </c>
      <c r="U4657" s="1">
        <v>30916</v>
      </c>
      <c r="V4657" t="s">
        <v>6729</v>
      </c>
      <c r="W4657" t="s">
        <v>6730</v>
      </c>
      <c r="X4657" t="s">
        <v>58</v>
      </c>
      <c r="Y4657">
        <v>18</v>
      </c>
      <c r="Z4657" t="s">
        <v>59</v>
      </c>
      <c r="AA4657" t="s">
        <v>59</v>
      </c>
      <c r="AB4657" t="s">
        <v>59</v>
      </c>
      <c r="AC4657" t="s">
        <v>59</v>
      </c>
      <c r="AD4657" t="s">
        <v>59</v>
      </c>
      <c r="AF4657" s="1">
        <v>30932</v>
      </c>
      <c r="AG4657" t="s">
        <v>125</v>
      </c>
      <c r="AH4657" t="s">
        <v>126</v>
      </c>
      <c r="AI4657" t="str">
        <f>"5001060"</f>
        <v>5001060</v>
      </c>
      <c r="AJ4657" t="s">
        <v>6914</v>
      </c>
      <c r="AK4657">
        <v>2821091763</v>
      </c>
      <c r="AL4657" t="s">
        <v>6915</v>
      </c>
      <c r="AM4657" t="s">
        <v>88</v>
      </c>
      <c r="AN4657" t="s">
        <v>88</v>
      </c>
      <c r="AO4657" t="s">
        <v>88</v>
      </c>
      <c r="AP4657" t="s">
        <v>88</v>
      </c>
      <c r="AQ4657">
        <v>1</v>
      </c>
      <c r="AR4657" t="s">
        <v>6729</v>
      </c>
      <c r="AS4657" t="s">
        <v>6730</v>
      </c>
      <c r="AT4657" t="s">
        <v>58</v>
      </c>
      <c r="AU4657" t="s">
        <v>68</v>
      </c>
      <c r="AV4657" t="s">
        <v>69</v>
      </c>
      <c r="AW4657" s="1">
        <v>20886</v>
      </c>
      <c r="AX4657">
        <v>2</v>
      </c>
    </row>
    <row r="4658" spans="1:50">
      <c r="A4658">
        <v>160318</v>
      </c>
      <c r="B4658" t="str">
        <f>"041925431"</f>
        <v>041925431</v>
      </c>
      <c r="C4658" t="s">
        <v>105</v>
      </c>
      <c r="D4658" t="s">
        <v>8489</v>
      </c>
      <c r="E4658" t="s">
        <v>72</v>
      </c>
      <c r="F4658" t="s">
        <v>510</v>
      </c>
      <c r="G4658" t="s">
        <v>167</v>
      </c>
      <c r="H4658" t="str">
        <f>" "</f>
        <v xml:space="preserve"> </v>
      </c>
      <c r="I4658">
        <v>73400</v>
      </c>
      <c r="J4658">
        <v>2822023847</v>
      </c>
      <c r="K4658">
        <v>6934379327</v>
      </c>
      <c r="M4658" t="s">
        <v>8490</v>
      </c>
      <c r="N4658" t="s">
        <v>199</v>
      </c>
      <c r="O4658" t="s">
        <v>200</v>
      </c>
      <c r="R4658" t="s">
        <v>57</v>
      </c>
      <c r="S4658">
        <v>14</v>
      </c>
      <c r="T4658">
        <v>161</v>
      </c>
      <c r="U4658" s="1">
        <v>33119</v>
      </c>
      <c r="V4658" t="s">
        <v>6729</v>
      </c>
      <c r="W4658" t="s">
        <v>6730</v>
      </c>
      <c r="X4658" t="s">
        <v>58</v>
      </c>
      <c r="Y4658">
        <v>18</v>
      </c>
      <c r="Z4658" t="s">
        <v>59</v>
      </c>
      <c r="AA4658" t="s">
        <v>59</v>
      </c>
      <c r="AB4658" t="s">
        <v>59</v>
      </c>
      <c r="AC4658" t="s">
        <v>59</v>
      </c>
      <c r="AD4658" t="s">
        <v>59</v>
      </c>
      <c r="AF4658" s="1">
        <v>33121</v>
      </c>
      <c r="AG4658" t="s">
        <v>125</v>
      </c>
      <c r="AH4658" t="s">
        <v>126</v>
      </c>
      <c r="AI4658" t="str">
        <f>"5004010"</f>
        <v>5004010</v>
      </c>
      <c r="AJ4658" t="s">
        <v>7166</v>
      </c>
      <c r="AK4658">
        <v>2822022067</v>
      </c>
      <c r="AL4658" t="s">
        <v>7167</v>
      </c>
      <c r="AM4658" t="s">
        <v>88</v>
      </c>
      <c r="AN4658" t="s">
        <v>6744</v>
      </c>
      <c r="AO4658" t="s">
        <v>6744</v>
      </c>
      <c r="AP4658" t="s">
        <v>6744</v>
      </c>
      <c r="AQ4658">
        <v>1</v>
      </c>
      <c r="AR4658" t="s">
        <v>6729</v>
      </c>
      <c r="AS4658" t="s">
        <v>6730</v>
      </c>
      <c r="AT4658" t="s">
        <v>58</v>
      </c>
      <c r="AU4658" t="s">
        <v>68</v>
      </c>
      <c r="AV4658" t="s">
        <v>69</v>
      </c>
      <c r="AW4658" s="1">
        <v>21455</v>
      </c>
      <c r="AX4658">
        <v>2</v>
      </c>
    </row>
    <row r="4659" spans="1:50">
      <c r="A4659">
        <v>194607</v>
      </c>
      <c r="B4659" t="str">
        <f>"050379161"</f>
        <v>050379161</v>
      </c>
      <c r="C4659" t="s">
        <v>105</v>
      </c>
      <c r="D4659" t="s">
        <v>8491</v>
      </c>
      <c r="E4659" t="s">
        <v>1330</v>
      </c>
      <c r="F4659" t="s">
        <v>92</v>
      </c>
      <c r="G4659" t="s">
        <v>215</v>
      </c>
      <c r="H4659" t="str">
        <f>" "</f>
        <v xml:space="preserve"> </v>
      </c>
      <c r="J4659">
        <v>2821027573</v>
      </c>
      <c r="L4659">
        <v>2821046864</v>
      </c>
      <c r="N4659" t="s">
        <v>176</v>
      </c>
      <c r="O4659" t="s">
        <v>177</v>
      </c>
      <c r="R4659" t="s">
        <v>57</v>
      </c>
      <c r="S4659">
        <v>11</v>
      </c>
      <c r="T4659">
        <v>193</v>
      </c>
      <c r="U4659" s="1">
        <v>37497</v>
      </c>
      <c r="V4659" t="s">
        <v>6729</v>
      </c>
      <c r="W4659" t="s">
        <v>6730</v>
      </c>
      <c r="X4659" t="s">
        <v>58</v>
      </c>
      <c r="Y4659">
        <v>18</v>
      </c>
      <c r="Z4659" t="s">
        <v>59</v>
      </c>
      <c r="AA4659" t="s">
        <v>59</v>
      </c>
      <c r="AB4659" t="s">
        <v>59</v>
      </c>
      <c r="AC4659" t="s">
        <v>59</v>
      </c>
      <c r="AD4659" t="s">
        <v>59</v>
      </c>
      <c r="AF4659" s="1">
        <v>37505</v>
      </c>
      <c r="AG4659" t="s">
        <v>137</v>
      </c>
      <c r="AH4659" t="s">
        <v>138</v>
      </c>
      <c r="AI4659" t="str">
        <f>"5050060"</f>
        <v>5050060</v>
      </c>
      <c r="AJ4659" t="s">
        <v>6801</v>
      </c>
      <c r="AK4659">
        <v>2821091515</v>
      </c>
      <c r="AL4659" t="s">
        <v>6802</v>
      </c>
      <c r="AM4659" t="s">
        <v>88</v>
      </c>
      <c r="AN4659" t="s">
        <v>88</v>
      </c>
      <c r="AO4659" t="s">
        <v>88</v>
      </c>
      <c r="AP4659" t="s">
        <v>88</v>
      </c>
      <c r="AQ4659">
        <v>1</v>
      </c>
      <c r="AR4659" t="s">
        <v>6729</v>
      </c>
      <c r="AS4659" t="s">
        <v>6730</v>
      </c>
      <c r="AT4659" t="s">
        <v>58</v>
      </c>
      <c r="AU4659" t="s">
        <v>68</v>
      </c>
      <c r="AV4659" t="s">
        <v>69</v>
      </c>
      <c r="AW4659" s="1">
        <v>23858</v>
      </c>
      <c r="AX4659">
        <v>2</v>
      </c>
    </row>
    <row r="4660" spans="1:50">
      <c r="B4660" t="str">
        <f>"138980805"</f>
        <v>138980805</v>
      </c>
      <c r="C4660" t="s">
        <v>50</v>
      </c>
      <c r="D4660" t="s">
        <v>8492</v>
      </c>
      <c r="E4660" t="s">
        <v>8493</v>
      </c>
      <c r="F4660" t="s">
        <v>106</v>
      </c>
      <c r="G4660" t="s">
        <v>484</v>
      </c>
      <c r="H4660" t="str">
        <f>" "</f>
        <v xml:space="preserve"> </v>
      </c>
      <c r="N4660" t="s">
        <v>1817</v>
      </c>
      <c r="O4660" t="s">
        <v>1818</v>
      </c>
      <c r="R4660" t="s">
        <v>121</v>
      </c>
      <c r="S4660">
        <v>3</v>
      </c>
      <c r="T4660" t="s">
        <v>344</v>
      </c>
      <c r="U4660" s="1">
        <v>43348</v>
      </c>
      <c r="V4660" t="s">
        <v>6729</v>
      </c>
      <c r="W4660" t="s">
        <v>6730</v>
      </c>
      <c r="X4660" t="s">
        <v>58</v>
      </c>
      <c r="Y4660">
        <v>23</v>
      </c>
      <c r="Z4660" t="s">
        <v>59</v>
      </c>
      <c r="AA4660" t="s">
        <v>59</v>
      </c>
      <c r="AB4660" t="s">
        <v>59</v>
      </c>
      <c r="AD4660" t="s">
        <v>59</v>
      </c>
      <c r="AF4660" s="1">
        <v>43348</v>
      </c>
      <c r="AG4660" t="s">
        <v>125</v>
      </c>
      <c r="AH4660" t="s">
        <v>590</v>
      </c>
      <c r="AI4660" t="str">
        <f>"5011201"</f>
        <v>5011201</v>
      </c>
      <c r="AJ4660" t="s">
        <v>7231</v>
      </c>
      <c r="AK4660">
        <v>2821087122</v>
      </c>
      <c r="AL4660" t="s">
        <v>7232</v>
      </c>
      <c r="AM4660" t="s">
        <v>88</v>
      </c>
      <c r="AN4660" t="s">
        <v>88</v>
      </c>
      <c r="AO4660" t="s">
        <v>88</v>
      </c>
      <c r="AP4660" t="s">
        <v>88</v>
      </c>
      <c r="AR4660" t="s">
        <v>6729</v>
      </c>
      <c r="AS4660" t="s">
        <v>6730</v>
      </c>
      <c r="AT4660" t="s">
        <v>58</v>
      </c>
      <c r="AU4660" t="s">
        <v>350</v>
      </c>
      <c r="AV4660" t="s">
        <v>132</v>
      </c>
      <c r="AW4660" s="1">
        <v>31420</v>
      </c>
      <c r="AX4660">
        <v>2</v>
      </c>
    </row>
    <row r="4661" spans="1:50">
      <c r="A4661">
        <v>172167</v>
      </c>
      <c r="B4661" t="str">
        <f>"045250740"</f>
        <v>045250740</v>
      </c>
      <c r="C4661" t="s">
        <v>105</v>
      </c>
      <c r="D4661" t="s">
        <v>8494</v>
      </c>
      <c r="E4661" t="s">
        <v>383</v>
      </c>
      <c r="F4661" t="s">
        <v>72</v>
      </c>
      <c r="G4661" t="s">
        <v>1189</v>
      </c>
      <c r="H4661" t="str">
        <f>" "</f>
        <v xml:space="preserve"> </v>
      </c>
      <c r="K4661">
        <v>6983668574</v>
      </c>
      <c r="M4661" t="s">
        <v>6970</v>
      </c>
      <c r="N4661" t="s">
        <v>331</v>
      </c>
      <c r="O4661" t="s">
        <v>332</v>
      </c>
      <c r="R4661" t="s">
        <v>57</v>
      </c>
      <c r="S4661">
        <v>15</v>
      </c>
      <c r="T4661">
        <v>184</v>
      </c>
      <c r="U4661" s="1">
        <v>34941</v>
      </c>
      <c r="V4661" t="s">
        <v>6729</v>
      </c>
      <c r="W4661" t="s">
        <v>6730</v>
      </c>
      <c r="X4661" t="s">
        <v>58</v>
      </c>
      <c r="Y4661">
        <v>18</v>
      </c>
      <c r="Z4661" t="s">
        <v>59</v>
      </c>
      <c r="AA4661" t="s">
        <v>59</v>
      </c>
      <c r="AB4661" t="s">
        <v>59</v>
      </c>
      <c r="AC4661" t="s">
        <v>59</v>
      </c>
      <c r="AD4661" t="s">
        <v>59</v>
      </c>
      <c r="AF4661" s="1">
        <v>34945</v>
      </c>
      <c r="AG4661" t="s">
        <v>125</v>
      </c>
      <c r="AH4661" t="s">
        <v>126</v>
      </c>
      <c r="AI4661" t="str">
        <f>"5001020"</f>
        <v>5001020</v>
      </c>
      <c r="AJ4661" t="s">
        <v>6739</v>
      </c>
      <c r="AK4661">
        <v>2821042664</v>
      </c>
      <c r="AL4661" t="s">
        <v>6740</v>
      </c>
      <c r="AM4661" t="s">
        <v>88</v>
      </c>
      <c r="AN4661" t="s">
        <v>88</v>
      </c>
      <c r="AO4661" t="s">
        <v>88</v>
      </c>
      <c r="AP4661" t="s">
        <v>88</v>
      </c>
      <c r="AQ4661">
        <v>1</v>
      </c>
      <c r="AR4661" t="s">
        <v>6729</v>
      </c>
      <c r="AS4661" t="s">
        <v>6730</v>
      </c>
      <c r="AT4661" t="s">
        <v>58</v>
      </c>
      <c r="AU4661" t="s">
        <v>68</v>
      </c>
      <c r="AV4661" t="s">
        <v>69</v>
      </c>
      <c r="AW4661" s="1">
        <v>22910</v>
      </c>
      <c r="AX4661">
        <v>2</v>
      </c>
    </row>
    <row r="4662" spans="1:50">
      <c r="A4662">
        <v>149670</v>
      </c>
      <c r="B4662" t="str">
        <f>"032044967"</f>
        <v>032044967</v>
      </c>
      <c r="C4662" t="s">
        <v>105</v>
      </c>
      <c r="D4662" t="s">
        <v>8494</v>
      </c>
      <c r="E4662" t="s">
        <v>72</v>
      </c>
      <c r="F4662" t="s">
        <v>72</v>
      </c>
      <c r="G4662" t="s">
        <v>1189</v>
      </c>
      <c r="H4662" t="str">
        <f>"ΣΤΕΡΝΕΣ ΑΚΡΩΤΗΡΙΟΥ ΑΚΡΩΤΗΡΙ-ΧΑΝΙΩΝ"</f>
        <v>ΣΤΕΡΝΕΣ ΑΚΡΩΤΗΡΙΟΥ ΑΚΡΩΤΗΡΙ-ΧΑΝΙΩΝ</v>
      </c>
      <c r="I4662">
        <v>73100</v>
      </c>
      <c r="J4662">
        <v>2821066094</v>
      </c>
      <c r="K4662">
        <v>6946339883</v>
      </c>
      <c r="N4662" t="s">
        <v>157</v>
      </c>
      <c r="O4662" t="s">
        <v>158</v>
      </c>
      <c r="R4662" t="s">
        <v>57</v>
      </c>
      <c r="S4662">
        <v>16</v>
      </c>
      <c r="T4662">
        <v>228</v>
      </c>
      <c r="U4662" s="1">
        <v>31684</v>
      </c>
      <c r="V4662" t="s">
        <v>6729</v>
      </c>
      <c r="W4662" t="s">
        <v>6730</v>
      </c>
      <c r="X4662" t="s">
        <v>58</v>
      </c>
      <c r="Y4662">
        <v>18</v>
      </c>
      <c r="Z4662" t="s">
        <v>59</v>
      </c>
      <c r="AA4662" t="s">
        <v>59</v>
      </c>
      <c r="AB4662" t="s">
        <v>59</v>
      </c>
      <c r="AC4662" t="s">
        <v>59</v>
      </c>
      <c r="AD4662" t="s">
        <v>59</v>
      </c>
      <c r="AF4662" s="1">
        <v>31688</v>
      </c>
      <c r="AG4662" t="s">
        <v>125</v>
      </c>
      <c r="AH4662" t="s">
        <v>126</v>
      </c>
      <c r="AI4662" t="str">
        <f>"5001075"</f>
        <v>5001075</v>
      </c>
      <c r="AJ4662" t="s">
        <v>6768</v>
      </c>
      <c r="AK4662">
        <v>2821064200</v>
      </c>
      <c r="AL4662" t="s">
        <v>6769</v>
      </c>
      <c r="AM4662" t="s">
        <v>88</v>
      </c>
      <c r="AN4662" t="s">
        <v>88</v>
      </c>
      <c r="AO4662" t="s">
        <v>6770</v>
      </c>
      <c r="AP4662" t="s">
        <v>6771</v>
      </c>
      <c r="AQ4662">
        <v>1</v>
      </c>
      <c r="AR4662" t="s">
        <v>6729</v>
      </c>
      <c r="AS4662" t="s">
        <v>6730</v>
      </c>
      <c r="AT4662" t="s">
        <v>58</v>
      </c>
      <c r="AU4662" t="s">
        <v>68</v>
      </c>
      <c r="AV4662" t="s">
        <v>69</v>
      </c>
      <c r="AW4662" s="1">
        <v>22318</v>
      </c>
      <c r="AX4662">
        <v>2</v>
      </c>
    </row>
    <row r="4663" spans="1:50">
      <c r="A4663">
        <v>222725</v>
      </c>
      <c r="B4663" t="str">
        <f>"037251921"</f>
        <v>037251921</v>
      </c>
      <c r="C4663" t="s">
        <v>50</v>
      </c>
      <c r="D4663" t="s">
        <v>8495</v>
      </c>
      <c r="E4663" t="s">
        <v>52</v>
      </c>
      <c r="F4663" t="s">
        <v>72</v>
      </c>
      <c r="G4663" t="s">
        <v>52</v>
      </c>
      <c r="H4663" t="str">
        <f>"ΝΕΡΟΚΟΥΡΟΥ 83 "</f>
        <v xml:space="preserve">ΝΕΡΟΚΟΥΡΟΥ 83 </v>
      </c>
      <c r="I4663">
        <v>73100</v>
      </c>
      <c r="J4663">
        <v>2821096113</v>
      </c>
      <c r="K4663">
        <v>6974492462</v>
      </c>
      <c r="M4663" t="s">
        <v>8496</v>
      </c>
      <c r="N4663" t="s">
        <v>146</v>
      </c>
      <c r="O4663" t="s">
        <v>147</v>
      </c>
      <c r="R4663" t="s">
        <v>57</v>
      </c>
      <c r="S4663">
        <v>8</v>
      </c>
      <c r="T4663">
        <v>775</v>
      </c>
      <c r="U4663" s="1">
        <v>39680</v>
      </c>
      <c r="V4663" t="s">
        <v>6729</v>
      </c>
      <c r="W4663" t="s">
        <v>6730</v>
      </c>
      <c r="X4663" t="s">
        <v>58</v>
      </c>
      <c r="Y4663">
        <v>20</v>
      </c>
      <c r="Z4663" t="s">
        <v>59</v>
      </c>
      <c r="AA4663" t="s">
        <v>59</v>
      </c>
      <c r="AB4663" t="s">
        <v>59</v>
      </c>
      <c r="AC4663" t="s">
        <v>59</v>
      </c>
      <c r="AD4663" t="s">
        <v>59</v>
      </c>
      <c r="AF4663" s="1">
        <v>39680</v>
      </c>
      <c r="AG4663" t="s">
        <v>137</v>
      </c>
      <c r="AH4663" t="s">
        <v>138</v>
      </c>
      <c r="AI4663" t="str">
        <f>"5050060"</f>
        <v>5050060</v>
      </c>
      <c r="AJ4663" t="s">
        <v>6801</v>
      </c>
      <c r="AK4663">
        <v>2821091515</v>
      </c>
      <c r="AL4663" t="s">
        <v>6802</v>
      </c>
      <c r="AM4663" t="s">
        <v>88</v>
      </c>
      <c r="AN4663" t="s">
        <v>88</v>
      </c>
      <c r="AO4663" t="s">
        <v>88</v>
      </c>
      <c r="AP4663" t="s">
        <v>88</v>
      </c>
      <c r="AQ4663">
        <v>1</v>
      </c>
      <c r="AR4663" t="s">
        <v>6729</v>
      </c>
      <c r="AS4663" t="s">
        <v>6730</v>
      </c>
      <c r="AT4663" t="s">
        <v>58</v>
      </c>
      <c r="AU4663" t="s">
        <v>68</v>
      </c>
      <c r="AV4663" t="s">
        <v>69</v>
      </c>
      <c r="AW4663" s="1">
        <v>27918</v>
      </c>
      <c r="AX4663">
        <v>2</v>
      </c>
    </row>
    <row r="4664" spans="1:50">
      <c r="A4664">
        <v>215158</v>
      </c>
      <c r="B4664" t="str">
        <f>"101564550"</f>
        <v>101564550</v>
      </c>
      <c r="C4664" t="s">
        <v>50</v>
      </c>
      <c r="D4664" t="s">
        <v>8497</v>
      </c>
      <c r="E4664" t="s">
        <v>8498</v>
      </c>
      <c r="F4664" t="s">
        <v>99</v>
      </c>
      <c r="G4664" t="s">
        <v>181</v>
      </c>
      <c r="H4664" t="str">
        <f>"ΦΩΤΕΙΝΑΚΙΑ ΜΟΥΡΝΙΕΣ"</f>
        <v>ΦΩΤΕΙΝΑΚΙΑ ΜΟΥΡΝΙΕΣ</v>
      </c>
      <c r="I4664">
        <v>73300</v>
      </c>
      <c r="J4664">
        <v>2821076873</v>
      </c>
      <c r="K4664">
        <v>6944465612</v>
      </c>
      <c r="M4664" t="s">
        <v>8499</v>
      </c>
      <c r="N4664" t="s">
        <v>907</v>
      </c>
      <c r="O4664" t="s">
        <v>908</v>
      </c>
      <c r="R4664" t="s">
        <v>57</v>
      </c>
      <c r="S4664">
        <v>8</v>
      </c>
      <c r="T4664">
        <v>231</v>
      </c>
      <c r="U4664" s="1">
        <v>38960</v>
      </c>
      <c r="V4664" t="s">
        <v>6729</v>
      </c>
      <c r="W4664" t="s">
        <v>6730</v>
      </c>
      <c r="X4664" t="s">
        <v>58</v>
      </c>
      <c r="Y4664">
        <v>20</v>
      </c>
      <c r="Z4664" t="s">
        <v>59</v>
      </c>
      <c r="AA4664" t="s">
        <v>59</v>
      </c>
      <c r="AB4664" t="s">
        <v>59</v>
      </c>
      <c r="AC4664" t="s">
        <v>59</v>
      </c>
      <c r="AD4664" t="s">
        <v>59</v>
      </c>
      <c r="AF4664" s="1">
        <v>38964</v>
      </c>
      <c r="AG4664" t="s">
        <v>137</v>
      </c>
      <c r="AH4664" t="s">
        <v>138</v>
      </c>
      <c r="AI4664" t="str">
        <f>"5050060"</f>
        <v>5050060</v>
      </c>
      <c r="AJ4664" t="s">
        <v>6801</v>
      </c>
      <c r="AK4664">
        <v>2821091515</v>
      </c>
      <c r="AL4664" t="s">
        <v>6802</v>
      </c>
      <c r="AM4664" t="s">
        <v>88</v>
      </c>
      <c r="AN4664" t="s">
        <v>88</v>
      </c>
      <c r="AO4664" t="s">
        <v>88</v>
      </c>
      <c r="AP4664" t="s">
        <v>88</v>
      </c>
      <c r="AQ4664">
        <v>1</v>
      </c>
      <c r="AR4664" t="s">
        <v>6729</v>
      </c>
      <c r="AS4664" t="s">
        <v>6730</v>
      </c>
      <c r="AT4664" t="s">
        <v>58</v>
      </c>
      <c r="AU4664" t="s">
        <v>68</v>
      </c>
      <c r="AV4664" t="s">
        <v>69</v>
      </c>
      <c r="AW4664" s="1">
        <v>26665</v>
      </c>
      <c r="AX4664">
        <v>2</v>
      </c>
    </row>
    <row r="4665" spans="1:50">
      <c r="A4665">
        <v>212978</v>
      </c>
      <c r="B4665" t="str">
        <f>"101592733"</f>
        <v>101592733</v>
      </c>
      <c r="C4665" t="s">
        <v>50</v>
      </c>
      <c r="D4665" t="s">
        <v>8500</v>
      </c>
      <c r="E4665" t="s">
        <v>83</v>
      </c>
      <c r="F4665" t="s">
        <v>92</v>
      </c>
      <c r="G4665" t="s">
        <v>52</v>
      </c>
      <c r="H4665" t="str">
        <f>" "</f>
        <v xml:space="preserve"> </v>
      </c>
      <c r="J4665">
        <v>2821071246</v>
      </c>
      <c r="K4665">
        <v>6977625788</v>
      </c>
      <c r="N4665" t="s">
        <v>292</v>
      </c>
      <c r="O4665" t="s">
        <v>293</v>
      </c>
      <c r="R4665" t="s">
        <v>57</v>
      </c>
      <c r="S4665">
        <v>8</v>
      </c>
      <c r="T4665">
        <v>231</v>
      </c>
      <c r="U4665" s="1">
        <v>38960</v>
      </c>
      <c r="V4665" t="s">
        <v>6729</v>
      </c>
      <c r="W4665" t="s">
        <v>6730</v>
      </c>
      <c r="X4665" t="s">
        <v>58</v>
      </c>
      <c r="Y4665">
        <v>20</v>
      </c>
      <c r="Z4665" t="s">
        <v>59</v>
      </c>
      <c r="AA4665" t="s">
        <v>59</v>
      </c>
      <c r="AB4665" t="s">
        <v>59</v>
      </c>
      <c r="AC4665" t="s">
        <v>59</v>
      </c>
      <c r="AD4665" t="s">
        <v>59</v>
      </c>
      <c r="AF4665" s="1">
        <v>38961</v>
      </c>
      <c r="AG4665" t="s">
        <v>125</v>
      </c>
      <c r="AH4665" t="s">
        <v>126</v>
      </c>
      <c r="AI4665" t="str">
        <f>"5001010"</f>
        <v>5001010</v>
      </c>
      <c r="AJ4665" t="s">
        <v>6873</v>
      </c>
      <c r="AK4665">
        <v>2821052130</v>
      </c>
      <c r="AL4665" t="s">
        <v>6874</v>
      </c>
      <c r="AM4665" t="s">
        <v>88</v>
      </c>
      <c r="AN4665" t="s">
        <v>88</v>
      </c>
      <c r="AO4665" t="s">
        <v>88</v>
      </c>
      <c r="AP4665" t="s">
        <v>88</v>
      </c>
      <c r="AQ4665">
        <v>1</v>
      </c>
      <c r="AR4665" t="s">
        <v>6729</v>
      </c>
      <c r="AS4665" t="s">
        <v>6730</v>
      </c>
      <c r="AT4665" t="s">
        <v>58</v>
      </c>
      <c r="AU4665" t="s">
        <v>68</v>
      </c>
      <c r="AV4665" t="s">
        <v>69</v>
      </c>
      <c r="AW4665" s="1">
        <v>21513</v>
      </c>
      <c r="AX4665">
        <v>2</v>
      </c>
    </row>
    <row r="4666" spans="1:50">
      <c r="B4666" t="str">
        <f>"072392434"</f>
        <v>072392434</v>
      </c>
      <c r="C4666" t="s">
        <v>105</v>
      </c>
      <c r="D4666" t="s">
        <v>8501</v>
      </c>
      <c r="E4666" t="s">
        <v>72</v>
      </c>
      <c r="F4666" t="s">
        <v>106</v>
      </c>
      <c r="G4666" t="s">
        <v>52</v>
      </c>
      <c r="H4666" t="str">
        <f>"ΒΑΣ. ΠΟΘΟΥΛΑΚΗ 7 ΧΑΝΙΑ"</f>
        <v>ΒΑΣ. ΠΟΘΟΥΛΑΚΗ 7 ΧΑΝΙΑ</v>
      </c>
      <c r="I4666">
        <v>73134</v>
      </c>
      <c r="J4666">
        <v>2821073997</v>
      </c>
      <c r="K4666">
        <v>6972605783</v>
      </c>
      <c r="N4666" t="s">
        <v>6202</v>
      </c>
      <c r="O4666" t="s">
        <v>6203</v>
      </c>
      <c r="R4666" t="s">
        <v>159</v>
      </c>
      <c r="S4666">
        <v>2</v>
      </c>
      <c r="T4666" t="s">
        <v>574</v>
      </c>
      <c r="U4666" s="1">
        <v>43378</v>
      </c>
      <c r="V4666" t="s">
        <v>6729</v>
      </c>
      <c r="W4666" t="s">
        <v>6730</v>
      </c>
      <c r="X4666" t="s">
        <v>58</v>
      </c>
      <c r="Y4666">
        <v>23</v>
      </c>
      <c r="Z4666" t="s">
        <v>59</v>
      </c>
      <c r="AA4666" t="s">
        <v>59</v>
      </c>
      <c r="AB4666" t="s">
        <v>59</v>
      </c>
      <c r="AC4666" t="s">
        <v>59</v>
      </c>
      <c r="AD4666" t="s">
        <v>59</v>
      </c>
      <c r="AF4666" s="1">
        <v>43381</v>
      </c>
      <c r="AI4666" t="str">
        <f>""</f>
        <v/>
      </c>
      <c r="AS4666" t="s">
        <v>6730</v>
      </c>
      <c r="AT4666" t="s">
        <v>58</v>
      </c>
      <c r="AU4666" t="s">
        <v>164</v>
      </c>
      <c r="AW4666" s="1">
        <v>25962</v>
      </c>
      <c r="AX4666">
        <v>2</v>
      </c>
    </row>
    <row r="4667" spans="1:50">
      <c r="A4667">
        <v>183670</v>
      </c>
      <c r="B4667" t="str">
        <f>"043474518"</f>
        <v>043474518</v>
      </c>
      <c r="C4667" t="s">
        <v>50</v>
      </c>
      <c r="D4667" t="s">
        <v>8502</v>
      </c>
      <c r="E4667" t="s">
        <v>8503</v>
      </c>
      <c r="F4667" t="s">
        <v>166</v>
      </c>
      <c r="G4667" t="s">
        <v>263</v>
      </c>
      <c r="H4667" t="str">
        <f>" "</f>
        <v xml:space="preserve"> </v>
      </c>
      <c r="N4667" t="s">
        <v>146</v>
      </c>
      <c r="O4667" t="s">
        <v>147</v>
      </c>
      <c r="R4667" t="s">
        <v>57</v>
      </c>
      <c r="S4667">
        <v>9</v>
      </c>
      <c r="T4667">
        <v>177</v>
      </c>
      <c r="U4667" s="1">
        <v>36403</v>
      </c>
      <c r="V4667" t="s">
        <v>6729</v>
      </c>
      <c r="W4667" t="s">
        <v>6730</v>
      </c>
      <c r="X4667" t="s">
        <v>58</v>
      </c>
      <c r="Y4667">
        <v>20</v>
      </c>
      <c r="Z4667" t="s">
        <v>59</v>
      </c>
      <c r="AA4667" t="s">
        <v>59</v>
      </c>
      <c r="AB4667" t="s">
        <v>59</v>
      </c>
      <c r="AC4667" t="s">
        <v>59</v>
      </c>
      <c r="AD4667" t="s">
        <v>59</v>
      </c>
      <c r="AF4667" s="1">
        <v>36404</v>
      </c>
      <c r="AG4667" t="s">
        <v>148</v>
      </c>
      <c r="AH4667" t="s">
        <v>149</v>
      </c>
      <c r="AI4667" t="str">
        <f>"5051030"</f>
        <v>5051030</v>
      </c>
      <c r="AJ4667" t="s">
        <v>6760</v>
      </c>
      <c r="AK4667">
        <v>2821027533</v>
      </c>
      <c r="AL4667" t="s">
        <v>6761</v>
      </c>
      <c r="AM4667" t="s">
        <v>88</v>
      </c>
      <c r="AN4667" t="s">
        <v>88</v>
      </c>
      <c r="AO4667" t="s">
        <v>88</v>
      </c>
      <c r="AP4667" t="s">
        <v>88</v>
      </c>
      <c r="AQ4667">
        <v>1</v>
      </c>
      <c r="AR4667" t="s">
        <v>6729</v>
      </c>
      <c r="AS4667" t="s">
        <v>6730</v>
      </c>
      <c r="AT4667" t="s">
        <v>58</v>
      </c>
      <c r="AU4667" t="s">
        <v>68</v>
      </c>
      <c r="AV4667" t="s">
        <v>132</v>
      </c>
      <c r="AW4667" s="1">
        <v>20604</v>
      </c>
      <c r="AX4667">
        <v>2</v>
      </c>
    </row>
    <row r="4668" spans="1:50">
      <c r="A4668">
        <v>223816</v>
      </c>
      <c r="B4668" t="str">
        <f>"065528930"</f>
        <v>065528930</v>
      </c>
      <c r="C4668" t="s">
        <v>50</v>
      </c>
      <c r="D4668" t="s">
        <v>8504</v>
      </c>
      <c r="E4668" t="s">
        <v>83</v>
      </c>
      <c r="F4668" t="s">
        <v>383</v>
      </c>
      <c r="G4668" t="s">
        <v>250</v>
      </c>
      <c r="H4668" t="str">
        <f>" "</f>
        <v xml:space="preserve"> </v>
      </c>
      <c r="J4668">
        <v>2821092316</v>
      </c>
      <c r="K4668">
        <v>6993371147</v>
      </c>
      <c r="M4668" t="s">
        <v>8505</v>
      </c>
      <c r="N4668" t="s">
        <v>246</v>
      </c>
      <c r="O4668" t="s">
        <v>247</v>
      </c>
      <c r="R4668" t="s">
        <v>57</v>
      </c>
      <c r="S4668">
        <v>7</v>
      </c>
      <c r="T4668">
        <v>775</v>
      </c>
      <c r="U4668" s="1">
        <v>39680</v>
      </c>
      <c r="V4668" t="s">
        <v>6729</v>
      </c>
      <c r="W4668" t="s">
        <v>6730</v>
      </c>
      <c r="X4668" t="s">
        <v>58</v>
      </c>
      <c r="Y4668">
        <v>21</v>
      </c>
      <c r="Z4668" t="s">
        <v>59</v>
      </c>
      <c r="AA4668" t="s">
        <v>59</v>
      </c>
      <c r="AB4668" t="s">
        <v>59</v>
      </c>
      <c r="AC4668" t="s">
        <v>59</v>
      </c>
      <c r="AD4668" t="s">
        <v>59</v>
      </c>
      <c r="AF4668" s="1">
        <v>39682</v>
      </c>
      <c r="AG4668" t="s">
        <v>148</v>
      </c>
      <c r="AH4668" t="s">
        <v>149</v>
      </c>
      <c r="AI4668" t="str">
        <f>"5051050"</f>
        <v>5051050</v>
      </c>
      <c r="AJ4668" t="s">
        <v>6861</v>
      </c>
      <c r="AK4668">
        <v>2821044860</v>
      </c>
      <c r="AL4668" t="s">
        <v>6862</v>
      </c>
      <c r="AM4668" t="s">
        <v>88</v>
      </c>
      <c r="AN4668" t="s">
        <v>88</v>
      </c>
      <c r="AO4668" t="s">
        <v>88</v>
      </c>
      <c r="AP4668" t="s">
        <v>88</v>
      </c>
      <c r="AQ4668">
        <v>1</v>
      </c>
      <c r="AR4668" t="s">
        <v>6729</v>
      </c>
      <c r="AS4668" t="s">
        <v>6730</v>
      </c>
      <c r="AT4668" t="s">
        <v>58</v>
      </c>
      <c r="AU4668" t="s">
        <v>68</v>
      </c>
      <c r="AV4668" t="s">
        <v>357</v>
      </c>
      <c r="AW4668" s="1">
        <v>26644</v>
      </c>
      <c r="AX4668">
        <v>2</v>
      </c>
    </row>
    <row r="4669" spans="1:50">
      <c r="A4669">
        <v>219570</v>
      </c>
      <c r="B4669" t="str">
        <f>"039806096"</f>
        <v>039806096</v>
      </c>
      <c r="C4669" t="s">
        <v>50</v>
      </c>
      <c r="D4669" t="s">
        <v>8504</v>
      </c>
      <c r="E4669" t="s">
        <v>372</v>
      </c>
      <c r="F4669" t="s">
        <v>1093</v>
      </c>
      <c r="G4669" t="s">
        <v>83</v>
      </c>
      <c r="H4669" t="str">
        <f>" "</f>
        <v xml:space="preserve"> </v>
      </c>
      <c r="J4669">
        <v>2821049059</v>
      </c>
      <c r="K4669">
        <v>6973242160</v>
      </c>
      <c r="N4669" t="s">
        <v>288</v>
      </c>
      <c r="O4669" t="s">
        <v>289</v>
      </c>
      <c r="R4669" t="s">
        <v>57</v>
      </c>
      <c r="S4669">
        <v>7</v>
      </c>
      <c r="T4669">
        <v>599</v>
      </c>
      <c r="U4669" s="1">
        <v>39310</v>
      </c>
      <c r="V4669" t="s">
        <v>6729</v>
      </c>
      <c r="W4669" t="s">
        <v>6730</v>
      </c>
      <c r="X4669" t="s">
        <v>58</v>
      </c>
      <c r="Y4669">
        <v>20</v>
      </c>
      <c r="Z4669" t="s">
        <v>59</v>
      </c>
      <c r="AA4669" t="s">
        <v>59</v>
      </c>
      <c r="AB4669" t="s">
        <v>59</v>
      </c>
      <c r="AC4669" t="s">
        <v>59</v>
      </c>
      <c r="AD4669" t="s">
        <v>59</v>
      </c>
      <c r="AF4669" s="1">
        <v>39328</v>
      </c>
      <c r="AG4669" t="s">
        <v>125</v>
      </c>
      <c r="AH4669" t="s">
        <v>126</v>
      </c>
      <c r="AI4669" t="str">
        <f>"5012010"</f>
        <v>5012010</v>
      </c>
      <c r="AJ4669" t="s">
        <v>6794</v>
      </c>
      <c r="AK4669">
        <v>2821033195</v>
      </c>
      <c r="AL4669" t="s">
        <v>6795</v>
      </c>
      <c r="AM4669" t="s">
        <v>88</v>
      </c>
      <c r="AN4669" t="s">
        <v>88</v>
      </c>
      <c r="AO4669" t="s">
        <v>6785</v>
      </c>
      <c r="AP4669" t="s">
        <v>6786</v>
      </c>
      <c r="AQ4669">
        <v>1</v>
      </c>
      <c r="AR4669" t="s">
        <v>6729</v>
      </c>
      <c r="AS4669" t="s">
        <v>6730</v>
      </c>
      <c r="AT4669" t="s">
        <v>58</v>
      </c>
      <c r="AU4669" t="s">
        <v>68</v>
      </c>
      <c r="AV4669" t="s">
        <v>69</v>
      </c>
      <c r="AW4669" s="1">
        <v>27316</v>
      </c>
      <c r="AX4669">
        <v>2</v>
      </c>
    </row>
    <row r="4670" spans="1:50">
      <c r="A4670">
        <v>180326</v>
      </c>
      <c r="B4670" t="str">
        <f>"110862380"</f>
        <v>110862380</v>
      </c>
      <c r="C4670" t="s">
        <v>50</v>
      </c>
      <c r="D4670" t="s">
        <v>4184</v>
      </c>
      <c r="E4670" t="s">
        <v>366</v>
      </c>
      <c r="F4670" t="s">
        <v>166</v>
      </c>
      <c r="G4670" t="s">
        <v>263</v>
      </c>
      <c r="H4670" t="str">
        <f>" ΚΙΣΣΑΜΟΣ"</f>
        <v xml:space="preserve"> ΚΙΣΣΑΜΟΣ</v>
      </c>
      <c r="I4670">
        <v>73400</v>
      </c>
      <c r="M4670" t="s">
        <v>8506</v>
      </c>
      <c r="N4670" t="s">
        <v>292</v>
      </c>
      <c r="O4670" t="s">
        <v>293</v>
      </c>
      <c r="R4670" t="s">
        <v>57</v>
      </c>
      <c r="S4670">
        <v>10</v>
      </c>
      <c r="T4670">
        <v>181</v>
      </c>
      <c r="U4670" s="1">
        <v>36039</v>
      </c>
      <c r="V4670" t="s">
        <v>6729</v>
      </c>
      <c r="W4670" t="s">
        <v>6730</v>
      </c>
      <c r="X4670" t="s">
        <v>58</v>
      </c>
      <c r="Y4670">
        <v>18</v>
      </c>
      <c r="Z4670" t="s">
        <v>59</v>
      </c>
      <c r="AA4670" t="s">
        <v>59</v>
      </c>
      <c r="AB4670" t="s">
        <v>59</v>
      </c>
      <c r="AC4670" t="s">
        <v>59</v>
      </c>
      <c r="AD4670" t="s">
        <v>59</v>
      </c>
      <c r="AF4670" s="1">
        <v>36045</v>
      </c>
      <c r="AG4670" t="s">
        <v>148</v>
      </c>
      <c r="AH4670" t="s">
        <v>149</v>
      </c>
      <c r="AI4670" t="str">
        <f>"5054010"</f>
        <v>5054010</v>
      </c>
      <c r="AJ4670" t="s">
        <v>6815</v>
      </c>
      <c r="AK4670">
        <v>2822022671</v>
      </c>
      <c r="AL4670" t="s">
        <v>6816</v>
      </c>
      <c r="AM4670" t="s">
        <v>88</v>
      </c>
      <c r="AN4670" t="s">
        <v>6744</v>
      </c>
      <c r="AO4670" t="s">
        <v>6744</v>
      </c>
      <c r="AP4670" t="s">
        <v>6744</v>
      </c>
      <c r="AQ4670">
        <v>1</v>
      </c>
      <c r="AR4670" t="s">
        <v>6729</v>
      </c>
      <c r="AS4670" t="s">
        <v>6730</v>
      </c>
      <c r="AT4670" t="s">
        <v>58</v>
      </c>
      <c r="AU4670" t="s">
        <v>68</v>
      </c>
      <c r="AV4670" t="s">
        <v>69</v>
      </c>
      <c r="AW4670" s="1">
        <v>22063</v>
      </c>
      <c r="AX4670">
        <v>2</v>
      </c>
    </row>
    <row r="4671" spans="1:50">
      <c r="A4671">
        <v>205932</v>
      </c>
      <c r="B4671" t="str">
        <f>"055930753"</f>
        <v>055930753</v>
      </c>
      <c r="C4671" t="s">
        <v>105</v>
      </c>
      <c r="D4671" t="s">
        <v>4189</v>
      </c>
      <c r="E4671" t="s">
        <v>84</v>
      </c>
      <c r="F4671" t="s">
        <v>8507</v>
      </c>
      <c r="G4671" t="s">
        <v>2239</v>
      </c>
      <c r="H4671" t="str">
        <f>" "</f>
        <v xml:space="preserve"> </v>
      </c>
      <c r="J4671">
        <v>2831051593</v>
      </c>
      <c r="K4671">
        <v>6945863644</v>
      </c>
      <c r="M4671" t="s">
        <v>8508</v>
      </c>
      <c r="N4671" t="s">
        <v>292</v>
      </c>
      <c r="O4671" t="s">
        <v>293</v>
      </c>
      <c r="R4671" t="s">
        <v>57</v>
      </c>
      <c r="S4671">
        <v>7</v>
      </c>
      <c r="T4671">
        <v>231</v>
      </c>
      <c r="U4671" s="1">
        <v>38230</v>
      </c>
      <c r="V4671" t="s">
        <v>6729</v>
      </c>
      <c r="W4671" t="s">
        <v>6730</v>
      </c>
      <c r="X4671" t="s">
        <v>58</v>
      </c>
      <c r="Y4671">
        <v>20</v>
      </c>
      <c r="Z4671" t="s">
        <v>59</v>
      </c>
      <c r="AA4671" t="s">
        <v>59</v>
      </c>
      <c r="AB4671" t="s">
        <v>59</v>
      </c>
      <c r="AC4671" t="s">
        <v>59</v>
      </c>
      <c r="AD4671" t="s">
        <v>59</v>
      </c>
      <c r="AF4671" s="1">
        <v>38232</v>
      </c>
      <c r="AG4671" t="s">
        <v>148</v>
      </c>
      <c r="AH4671" t="s">
        <v>149</v>
      </c>
      <c r="AI4671" t="str">
        <f>"5051050"</f>
        <v>5051050</v>
      </c>
      <c r="AJ4671" t="s">
        <v>6861</v>
      </c>
      <c r="AK4671">
        <v>2821044860</v>
      </c>
      <c r="AL4671" t="s">
        <v>6862</v>
      </c>
      <c r="AM4671" t="s">
        <v>88</v>
      </c>
      <c r="AN4671" t="s">
        <v>88</v>
      </c>
      <c r="AO4671" t="s">
        <v>88</v>
      </c>
      <c r="AP4671" t="s">
        <v>88</v>
      </c>
      <c r="AQ4671">
        <v>1</v>
      </c>
      <c r="AR4671" t="s">
        <v>6729</v>
      </c>
      <c r="AS4671" t="s">
        <v>6730</v>
      </c>
      <c r="AT4671" t="s">
        <v>58</v>
      </c>
      <c r="AU4671" t="s">
        <v>68</v>
      </c>
      <c r="AV4671" t="s">
        <v>69</v>
      </c>
      <c r="AW4671" s="1">
        <v>23561</v>
      </c>
      <c r="AX4671">
        <v>2</v>
      </c>
    </row>
    <row r="4672" spans="1:50">
      <c r="A4672">
        <v>199177</v>
      </c>
      <c r="B4672" t="str">
        <f>"030651004"</f>
        <v>030651004</v>
      </c>
      <c r="C4672" t="s">
        <v>105</v>
      </c>
      <c r="D4672" t="s">
        <v>8509</v>
      </c>
      <c r="E4672" t="s">
        <v>95</v>
      </c>
      <c r="F4672" t="s">
        <v>414</v>
      </c>
      <c r="G4672" t="s">
        <v>83</v>
      </c>
      <c r="H4672" t="str">
        <f>" "</f>
        <v xml:space="preserve"> </v>
      </c>
      <c r="J4672">
        <v>2821098296</v>
      </c>
      <c r="K4672">
        <v>6978261661</v>
      </c>
      <c r="N4672" t="s">
        <v>176</v>
      </c>
      <c r="O4672" t="s">
        <v>177</v>
      </c>
      <c r="R4672" t="s">
        <v>57</v>
      </c>
      <c r="S4672">
        <v>8</v>
      </c>
      <c r="T4672">
        <v>206</v>
      </c>
      <c r="U4672" s="1">
        <v>37866</v>
      </c>
      <c r="V4672" t="s">
        <v>6729</v>
      </c>
      <c r="W4672" t="s">
        <v>6730</v>
      </c>
      <c r="X4672" t="s">
        <v>58</v>
      </c>
      <c r="Y4672">
        <v>20</v>
      </c>
      <c r="Z4672" t="s">
        <v>59</v>
      </c>
      <c r="AA4672" t="s">
        <v>59</v>
      </c>
      <c r="AB4672" t="s">
        <v>59</v>
      </c>
      <c r="AC4672" t="s">
        <v>59</v>
      </c>
      <c r="AD4672" t="s">
        <v>59</v>
      </c>
      <c r="AF4672" s="1">
        <v>37866</v>
      </c>
      <c r="AG4672" t="s">
        <v>125</v>
      </c>
      <c r="AH4672" t="s">
        <v>126</v>
      </c>
      <c r="AI4672" t="str">
        <f>"5001020"</f>
        <v>5001020</v>
      </c>
      <c r="AJ4672" t="s">
        <v>6739</v>
      </c>
      <c r="AK4672">
        <v>2821042664</v>
      </c>
      <c r="AL4672" t="s">
        <v>6740</v>
      </c>
      <c r="AM4672" t="s">
        <v>88</v>
      </c>
      <c r="AN4672" t="s">
        <v>88</v>
      </c>
      <c r="AO4672" t="s">
        <v>88</v>
      </c>
      <c r="AP4672" t="s">
        <v>88</v>
      </c>
      <c r="AQ4672">
        <v>1</v>
      </c>
      <c r="AR4672" t="s">
        <v>6729</v>
      </c>
      <c r="AS4672" t="s">
        <v>6730</v>
      </c>
      <c r="AT4672" t="s">
        <v>58</v>
      </c>
      <c r="AU4672" t="s">
        <v>68</v>
      </c>
      <c r="AV4672" t="s">
        <v>69</v>
      </c>
      <c r="AW4672" s="1">
        <v>21572</v>
      </c>
      <c r="AX4672">
        <v>2</v>
      </c>
    </row>
    <row r="4673" spans="1:50">
      <c r="A4673">
        <v>222729</v>
      </c>
      <c r="B4673" t="str">
        <f>"101587133"</f>
        <v>101587133</v>
      </c>
      <c r="C4673" t="s">
        <v>50</v>
      </c>
      <c r="D4673" t="s">
        <v>4196</v>
      </c>
      <c r="E4673" t="s">
        <v>52</v>
      </c>
      <c r="F4673" t="s">
        <v>95</v>
      </c>
      <c r="G4673" t="s">
        <v>3866</v>
      </c>
      <c r="H4673" t="str">
        <f>"ΑΝΔΡΟΝΙΚΟΥ 38 ΧΑΝΙΑ"</f>
        <v>ΑΝΔΡΟΝΙΚΟΥ 38 ΧΑΝΙΑ</v>
      </c>
      <c r="I4673">
        <v>73135</v>
      </c>
      <c r="J4673">
        <v>2821112433</v>
      </c>
      <c r="K4673">
        <v>6974604142</v>
      </c>
      <c r="M4673" t="s">
        <v>8510</v>
      </c>
      <c r="N4673" t="s">
        <v>146</v>
      </c>
      <c r="O4673" t="s">
        <v>147</v>
      </c>
      <c r="R4673" t="s">
        <v>57</v>
      </c>
      <c r="S4673">
        <v>6</v>
      </c>
      <c r="T4673">
        <v>775</v>
      </c>
      <c r="U4673" s="1">
        <v>39680</v>
      </c>
      <c r="V4673" t="s">
        <v>6729</v>
      </c>
      <c r="W4673" t="s">
        <v>6730</v>
      </c>
      <c r="X4673" t="s">
        <v>58</v>
      </c>
      <c r="Y4673">
        <v>20</v>
      </c>
      <c r="Z4673" t="s">
        <v>59</v>
      </c>
      <c r="AA4673" t="s">
        <v>59</v>
      </c>
      <c r="AB4673" t="s">
        <v>59</v>
      </c>
      <c r="AC4673" t="s">
        <v>59</v>
      </c>
      <c r="AD4673" t="s">
        <v>59</v>
      </c>
      <c r="AF4673" s="1">
        <v>39682</v>
      </c>
      <c r="AG4673" t="s">
        <v>125</v>
      </c>
      <c r="AH4673" t="s">
        <v>126</v>
      </c>
      <c r="AI4673" t="str">
        <f>"5003010"</f>
        <v>5003010</v>
      </c>
      <c r="AJ4673" t="s">
        <v>7446</v>
      </c>
      <c r="AK4673">
        <v>2823022716</v>
      </c>
      <c r="AL4673" t="s">
        <v>7447</v>
      </c>
      <c r="AM4673" t="s">
        <v>88</v>
      </c>
      <c r="AN4673" t="s">
        <v>6824</v>
      </c>
      <c r="AO4673" t="s">
        <v>6825</v>
      </c>
      <c r="AP4673" t="s">
        <v>6826</v>
      </c>
      <c r="AQ4673">
        <v>1</v>
      </c>
      <c r="AR4673" t="s">
        <v>6729</v>
      </c>
      <c r="AS4673" t="s">
        <v>6730</v>
      </c>
      <c r="AT4673" t="s">
        <v>58</v>
      </c>
      <c r="AU4673" t="s">
        <v>68</v>
      </c>
      <c r="AV4673" t="s">
        <v>132</v>
      </c>
      <c r="AW4673" s="1">
        <v>29001</v>
      </c>
      <c r="AX4673">
        <v>2</v>
      </c>
    </row>
    <row r="4674" spans="1:50">
      <c r="A4674">
        <v>226902</v>
      </c>
      <c r="B4674" t="str">
        <f>"120555940"</f>
        <v>120555940</v>
      </c>
      <c r="C4674" t="s">
        <v>50</v>
      </c>
      <c r="D4674" t="s">
        <v>4199</v>
      </c>
      <c r="E4674" t="s">
        <v>1497</v>
      </c>
      <c r="F4674" t="s">
        <v>99</v>
      </c>
      <c r="G4674" t="s">
        <v>52</v>
      </c>
      <c r="H4674" t="str">
        <f>"ΔΑΣΚΑΛΕΙΟ ΤΘ 1534 ΚΕΡΑΤΕΑ"</f>
        <v>ΔΑΣΚΑΛΕΙΟ ΤΘ 1534 ΚΕΡΑΤΕΑ</v>
      </c>
      <c r="I4674">
        <v>19001</v>
      </c>
      <c r="J4674">
        <v>2107781055</v>
      </c>
      <c r="K4674">
        <v>6974783398</v>
      </c>
      <c r="L4674">
        <v>6972452976</v>
      </c>
      <c r="M4674" t="s">
        <v>8511</v>
      </c>
      <c r="N4674" t="s">
        <v>146</v>
      </c>
      <c r="O4674" t="s">
        <v>147</v>
      </c>
      <c r="R4674" t="s">
        <v>57</v>
      </c>
      <c r="S4674">
        <v>5</v>
      </c>
      <c r="T4674">
        <v>654</v>
      </c>
      <c r="U4674" s="1">
        <v>40043</v>
      </c>
      <c r="V4674" t="s">
        <v>6729</v>
      </c>
      <c r="W4674" t="s">
        <v>6730</v>
      </c>
      <c r="X4674" t="s">
        <v>58</v>
      </c>
      <c r="Y4674">
        <v>21</v>
      </c>
      <c r="Z4674" t="s">
        <v>59</v>
      </c>
      <c r="AA4674" t="s">
        <v>59</v>
      </c>
      <c r="AB4674" t="s">
        <v>59</v>
      </c>
      <c r="AC4674" t="s">
        <v>59</v>
      </c>
      <c r="AD4674" t="s">
        <v>59</v>
      </c>
      <c r="AF4674" s="1">
        <v>40043</v>
      </c>
      <c r="AG4674" t="s">
        <v>148</v>
      </c>
      <c r="AH4674" t="s">
        <v>149</v>
      </c>
      <c r="AI4674" t="str">
        <f>"5058010"</f>
        <v>5058010</v>
      </c>
      <c r="AJ4674" t="s">
        <v>7431</v>
      </c>
      <c r="AK4674">
        <v>2825091037</v>
      </c>
      <c r="AL4674" t="s">
        <v>7432</v>
      </c>
      <c r="AM4674" t="s">
        <v>88</v>
      </c>
      <c r="AN4674" t="s">
        <v>6995</v>
      </c>
      <c r="AO4674" t="s">
        <v>6995</v>
      </c>
      <c r="AP4674" t="s">
        <v>6996</v>
      </c>
      <c r="AQ4674">
        <v>1</v>
      </c>
      <c r="AR4674" t="s">
        <v>6729</v>
      </c>
      <c r="AS4674" t="s">
        <v>6730</v>
      </c>
      <c r="AT4674" t="s">
        <v>58</v>
      </c>
      <c r="AU4674" t="s">
        <v>68</v>
      </c>
      <c r="AV4674" t="s">
        <v>69</v>
      </c>
      <c r="AW4674" s="1">
        <v>24576</v>
      </c>
      <c r="AX4674">
        <v>2</v>
      </c>
    </row>
    <row r="4675" spans="1:50">
      <c r="A4675">
        <v>202094</v>
      </c>
      <c r="B4675" t="str">
        <f>"113990124"</f>
        <v>113990124</v>
      </c>
      <c r="C4675" t="s">
        <v>50</v>
      </c>
      <c r="D4675" t="s">
        <v>4210</v>
      </c>
      <c r="E4675" t="s">
        <v>83</v>
      </c>
      <c r="F4675" t="s">
        <v>5974</v>
      </c>
      <c r="G4675" t="s">
        <v>610</v>
      </c>
      <c r="H4675" t="str">
        <f>"ΛΟΥΛΑΚΑΚΗ 13 ΧΑΝΙΑ"</f>
        <v>ΛΟΥΛΑΚΑΚΗ 13 ΧΑΝΙΑ</v>
      </c>
      <c r="I4675">
        <v>73100</v>
      </c>
      <c r="J4675">
        <v>2821111850</v>
      </c>
      <c r="K4675">
        <v>6973397519</v>
      </c>
      <c r="M4675" t="s">
        <v>8512</v>
      </c>
      <c r="N4675" t="s">
        <v>146</v>
      </c>
      <c r="O4675" t="s">
        <v>147</v>
      </c>
      <c r="R4675" t="s">
        <v>57</v>
      </c>
      <c r="S4675">
        <v>9</v>
      </c>
      <c r="T4675">
        <v>231</v>
      </c>
      <c r="U4675" s="1">
        <v>38230</v>
      </c>
      <c r="V4675" t="s">
        <v>6729</v>
      </c>
      <c r="W4675" t="s">
        <v>6730</v>
      </c>
      <c r="X4675" t="s">
        <v>58</v>
      </c>
      <c r="Y4675">
        <v>20</v>
      </c>
      <c r="Z4675" t="s">
        <v>59</v>
      </c>
      <c r="AA4675" t="s">
        <v>59</v>
      </c>
      <c r="AB4675" t="s">
        <v>59</v>
      </c>
      <c r="AC4675" t="s">
        <v>59</v>
      </c>
      <c r="AD4675" t="s">
        <v>59</v>
      </c>
      <c r="AF4675" s="1">
        <v>38233</v>
      </c>
      <c r="AG4675" t="s">
        <v>137</v>
      </c>
      <c r="AH4675" t="s">
        <v>138</v>
      </c>
      <c r="AI4675" t="str">
        <f>"5040080"</f>
        <v>5040080</v>
      </c>
      <c r="AJ4675" t="s">
        <v>6753</v>
      </c>
      <c r="AK4675">
        <v>2821093155</v>
      </c>
      <c r="AL4675" t="s">
        <v>6754</v>
      </c>
      <c r="AM4675" t="s">
        <v>88</v>
      </c>
      <c r="AN4675" t="s">
        <v>88</v>
      </c>
      <c r="AO4675" t="s">
        <v>6733</v>
      </c>
      <c r="AP4675" t="s">
        <v>6755</v>
      </c>
      <c r="AQ4675">
        <v>1</v>
      </c>
      <c r="AR4675" t="s">
        <v>6729</v>
      </c>
      <c r="AS4675" t="s">
        <v>6730</v>
      </c>
      <c r="AT4675" t="s">
        <v>58</v>
      </c>
      <c r="AU4675" t="s">
        <v>68</v>
      </c>
      <c r="AV4675" t="s">
        <v>69</v>
      </c>
      <c r="AW4675" s="1">
        <v>27184</v>
      </c>
      <c r="AX4675">
        <v>2</v>
      </c>
    </row>
    <row r="4676" spans="1:50">
      <c r="A4676">
        <v>223730</v>
      </c>
      <c r="B4676" t="str">
        <f>"072263704"</f>
        <v>072263704</v>
      </c>
      <c r="C4676" t="s">
        <v>50</v>
      </c>
      <c r="D4676" t="s">
        <v>8513</v>
      </c>
      <c r="E4676" t="s">
        <v>52</v>
      </c>
      <c r="F4676" t="s">
        <v>4097</v>
      </c>
      <c r="G4676" t="s">
        <v>83</v>
      </c>
      <c r="H4676" t="str">
        <f>"Ι. ΣΦΑΚΙΑΝΑΚΗ 21 ΧΑΝΙΑ"</f>
        <v>Ι. ΣΦΑΚΙΑΝΑΚΗ 21 ΧΑΝΙΑ</v>
      </c>
      <c r="I4676">
        <v>73134</v>
      </c>
      <c r="J4676">
        <v>2821053763</v>
      </c>
      <c r="K4676">
        <v>6972500955</v>
      </c>
      <c r="M4676" t="s">
        <v>8514</v>
      </c>
      <c r="N4676" t="s">
        <v>199</v>
      </c>
      <c r="O4676" t="s">
        <v>200</v>
      </c>
      <c r="R4676" t="s">
        <v>57</v>
      </c>
      <c r="S4676">
        <v>7</v>
      </c>
      <c r="T4676">
        <v>775</v>
      </c>
      <c r="U4676" s="1">
        <v>39680</v>
      </c>
      <c r="V4676" t="s">
        <v>6729</v>
      </c>
      <c r="W4676" t="s">
        <v>6730</v>
      </c>
      <c r="X4676" t="s">
        <v>58</v>
      </c>
      <c r="Y4676">
        <v>20</v>
      </c>
      <c r="Z4676" t="s">
        <v>59</v>
      </c>
      <c r="AA4676" t="s">
        <v>59</v>
      </c>
      <c r="AB4676" t="s">
        <v>59</v>
      </c>
      <c r="AC4676" t="s">
        <v>59</v>
      </c>
      <c r="AD4676" t="s">
        <v>59</v>
      </c>
      <c r="AF4676" s="1">
        <v>39681</v>
      </c>
      <c r="AG4676" t="s">
        <v>125</v>
      </c>
      <c r="AH4676" t="s">
        <v>126</v>
      </c>
      <c r="AI4676" t="str">
        <f>"5003010"</f>
        <v>5003010</v>
      </c>
      <c r="AJ4676" t="s">
        <v>7446</v>
      </c>
      <c r="AK4676">
        <v>2823022716</v>
      </c>
      <c r="AL4676" t="s">
        <v>7447</v>
      </c>
      <c r="AM4676" t="s">
        <v>88</v>
      </c>
      <c r="AN4676" t="s">
        <v>6824</v>
      </c>
      <c r="AO4676" t="s">
        <v>6825</v>
      </c>
      <c r="AP4676" t="s">
        <v>6826</v>
      </c>
      <c r="AQ4676">
        <v>1</v>
      </c>
      <c r="AR4676" t="s">
        <v>6729</v>
      </c>
      <c r="AS4676" t="s">
        <v>6730</v>
      </c>
      <c r="AT4676" t="s">
        <v>58</v>
      </c>
      <c r="AU4676" t="s">
        <v>68</v>
      </c>
      <c r="AV4676" t="s">
        <v>69</v>
      </c>
      <c r="AW4676" s="1">
        <v>24160</v>
      </c>
      <c r="AX4676">
        <v>2</v>
      </c>
    </row>
    <row r="4677" spans="1:50">
      <c r="B4677" t="str">
        <f>"112355837"</f>
        <v>112355837</v>
      </c>
      <c r="C4677" t="s">
        <v>105</v>
      </c>
      <c r="D4677" t="s">
        <v>5573</v>
      </c>
      <c r="E4677" t="s">
        <v>166</v>
      </c>
      <c r="F4677" t="s">
        <v>315</v>
      </c>
      <c r="G4677" t="s">
        <v>513</v>
      </c>
      <c r="H4677" t="str">
        <f>"ΜΕΣΑΥΛΙΑ ΚΙΣΣΑΜΟΥ "</f>
        <v xml:space="preserve">ΜΕΣΑΥΛΙΑ ΚΙΣΣΑΜΟΥ </v>
      </c>
      <c r="I4677">
        <v>73002</v>
      </c>
      <c r="J4677">
        <v>2824041110</v>
      </c>
      <c r="K4677">
        <v>6947350906</v>
      </c>
      <c r="N4677" t="s">
        <v>342</v>
      </c>
      <c r="O4677" t="s">
        <v>343</v>
      </c>
      <c r="R4677" t="s">
        <v>159</v>
      </c>
      <c r="S4677">
        <v>5</v>
      </c>
      <c r="T4677" t="s">
        <v>344</v>
      </c>
      <c r="U4677" s="1">
        <v>43348</v>
      </c>
      <c r="V4677" t="s">
        <v>6729</v>
      </c>
      <c r="W4677" t="s">
        <v>6730</v>
      </c>
      <c r="X4677" t="s">
        <v>58</v>
      </c>
      <c r="Y4677">
        <v>21</v>
      </c>
      <c r="Z4677" t="s">
        <v>59</v>
      </c>
      <c r="AA4677" t="s">
        <v>59</v>
      </c>
      <c r="AB4677" t="s">
        <v>59</v>
      </c>
      <c r="AC4677" t="s">
        <v>59</v>
      </c>
      <c r="AD4677" t="s">
        <v>59</v>
      </c>
      <c r="AF4677" s="1">
        <v>43348</v>
      </c>
      <c r="AG4677" t="s">
        <v>345</v>
      </c>
      <c r="AH4677" t="s">
        <v>346</v>
      </c>
      <c r="AI4677" t="str">
        <f>"5059001"</f>
        <v>5059001</v>
      </c>
      <c r="AJ4677" t="s">
        <v>6742</v>
      </c>
      <c r="AK4677">
        <v>2822041102</v>
      </c>
      <c r="AL4677" t="s">
        <v>6743</v>
      </c>
      <c r="AM4677" t="s">
        <v>88</v>
      </c>
      <c r="AN4677" t="s">
        <v>6744</v>
      </c>
      <c r="AO4677" t="s">
        <v>6744</v>
      </c>
      <c r="AP4677" t="s">
        <v>6744</v>
      </c>
      <c r="AQ4677">
        <v>1</v>
      </c>
      <c r="AR4677" t="s">
        <v>6729</v>
      </c>
      <c r="AS4677" t="s">
        <v>6730</v>
      </c>
      <c r="AT4677" t="s">
        <v>58</v>
      </c>
      <c r="AU4677" t="s">
        <v>350</v>
      </c>
      <c r="AV4677" t="s">
        <v>132</v>
      </c>
      <c r="AW4677" s="1">
        <v>30882</v>
      </c>
      <c r="AX4677">
        <v>2</v>
      </c>
    </row>
    <row r="4678" spans="1:50">
      <c r="A4678">
        <v>164285</v>
      </c>
      <c r="B4678" t="str">
        <f>"031325374"</f>
        <v>031325374</v>
      </c>
      <c r="C4678" t="s">
        <v>50</v>
      </c>
      <c r="D4678" t="s">
        <v>8515</v>
      </c>
      <c r="E4678" t="s">
        <v>96</v>
      </c>
      <c r="F4678" t="s">
        <v>920</v>
      </c>
      <c r="G4678" t="s">
        <v>330</v>
      </c>
      <c r="H4678" t="str">
        <f>" "</f>
        <v xml:space="preserve"> </v>
      </c>
      <c r="M4678" t="s">
        <v>8516</v>
      </c>
      <c r="N4678" t="s">
        <v>146</v>
      </c>
      <c r="O4678" t="s">
        <v>147</v>
      </c>
      <c r="R4678" t="s">
        <v>57</v>
      </c>
      <c r="S4678">
        <v>15</v>
      </c>
      <c r="T4678">
        <v>161</v>
      </c>
      <c r="U4678" s="1">
        <v>33844</v>
      </c>
      <c r="V4678" t="s">
        <v>6729</v>
      </c>
      <c r="W4678" t="s">
        <v>6730</v>
      </c>
      <c r="X4678" t="s">
        <v>58</v>
      </c>
      <c r="Y4678">
        <v>18</v>
      </c>
      <c r="Z4678" t="s">
        <v>59</v>
      </c>
      <c r="AA4678" t="s">
        <v>59</v>
      </c>
      <c r="AB4678" t="s">
        <v>59</v>
      </c>
      <c r="AC4678" t="s">
        <v>59</v>
      </c>
      <c r="AD4678" t="s">
        <v>59</v>
      </c>
      <c r="AF4678" s="1">
        <v>33850</v>
      </c>
      <c r="AG4678" t="s">
        <v>125</v>
      </c>
      <c r="AH4678" t="s">
        <v>126</v>
      </c>
      <c r="AI4678" t="str">
        <f>"5002010"</f>
        <v>5002010</v>
      </c>
      <c r="AJ4678" t="s">
        <v>6773</v>
      </c>
      <c r="AK4678">
        <v>2825022249</v>
      </c>
      <c r="AL4678" t="s">
        <v>6774</v>
      </c>
      <c r="AM4678" t="s">
        <v>88</v>
      </c>
      <c r="AN4678" t="s">
        <v>6775</v>
      </c>
      <c r="AO4678" t="s">
        <v>6776</v>
      </c>
      <c r="AP4678" t="s">
        <v>6776</v>
      </c>
      <c r="AQ4678">
        <v>1</v>
      </c>
      <c r="AR4678" t="s">
        <v>6729</v>
      </c>
      <c r="AS4678" t="s">
        <v>6730</v>
      </c>
      <c r="AT4678" t="s">
        <v>58</v>
      </c>
      <c r="AU4678" t="s">
        <v>68</v>
      </c>
      <c r="AV4678" t="s">
        <v>69</v>
      </c>
      <c r="AW4678" s="1">
        <v>23537</v>
      </c>
      <c r="AX4678">
        <v>2</v>
      </c>
    </row>
    <row r="4679" spans="1:50">
      <c r="A4679">
        <v>179840</v>
      </c>
      <c r="B4679" t="str">
        <f>"052308679"</f>
        <v>052308679</v>
      </c>
      <c r="C4679" t="s">
        <v>105</v>
      </c>
      <c r="D4679" t="s">
        <v>8517</v>
      </c>
      <c r="E4679" t="s">
        <v>99</v>
      </c>
      <c r="F4679" t="s">
        <v>989</v>
      </c>
      <c r="G4679" t="s">
        <v>8518</v>
      </c>
      <c r="H4679" t="str">
        <f>"Μιχελογιάννη 17 "</f>
        <v xml:space="preserve">Μιχελογιάννη 17 </v>
      </c>
      <c r="J4679">
        <v>2821058275</v>
      </c>
      <c r="K4679">
        <v>6932132028</v>
      </c>
      <c r="M4679" t="s">
        <v>8519</v>
      </c>
      <c r="N4679" t="s">
        <v>146</v>
      </c>
      <c r="O4679" t="s">
        <v>147</v>
      </c>
      <c r="R4679" t="s">
        <v>57</v>
      </c>
      <c r="S4679">
        <v>14</v>
      </c>
      <c r="T4679">
        <v>181</v>
      </c>
      <c r="U4679" s="1">
        <v>36039</v>
      </c>
      <c r="V4679" t="s">
        <v>6729</v>
      </c>
      <c r="W4679" t="s">
        <v>6730</v>
      </c>
      <c r="X4679" t="s">
        <v>58</v>
      </c>
      <c r="Y4679">
        <v>18</v>
      </c>
      <c r="Z4679" t="s">
        <v>59</v>
      </c>
      <c r="AA4679" t="s">
        <v>59</v>
      </c>
      <c r="AB4679" t="s">
        <v>59</v>
      </c>
      <c r="AC4679" t="s">
        <v>59</v>
      </c>
      <c r="AD4679" t="s">
        <v>59</v>
      </c>
      <c r="AF4679" s="1">
        <v>36040</v>
      </c>
      <c r="AG4679" t="s">
        <v>125</v>
      </c>
      <c r="AH4679" t="s">
        <v>126</v>
      </c>
      <c r="AI4679" t="str">
        <f>"5001050"</f>
        <v>5001050</v>
      </c>
      <c r="AJ4679" t="s">
        <v>6917</v>
      </c>
      <c r="AK4679">
        <v>2821088012</v>
      </c>
      <c r="AL4679" t="s">
        <v>6918</v>
      </c>
      <c r="AM4679" t="s">
        <v>88</v>
      </c>
      <c r="AN4679" t="s">
        <v>88</v>
      </c>
      <c r="AO4679" t="s">
        <v>88</v>
      </c>
      <c r="AP4679" t="s">
        <v>88</v>
      </c>
      <c r="AQ4679">
        <v>1</v>
      </c>
      <c r="AR4679" t="s">
        <v>6729</v>
      </c>
      <c r="AS4679" t="s">
        <v>6730</v>
      </c>
      <c r="AT4679" t="s">
        <v>58</v>
      </c>
      <c r="AU4679" t="s">
        <v>68</v>
      </c>
      <c r="AV4679" t="s">
        <v>69</v>
      </c>
      <c r="AW4679" s="1">
        <v>24375</v>
      </c>
      <c r="AX4679">
        <v>2</v>
      </c>
    </row>
    <row r="4680" spans="1:50">
      <c r="A4680">
        <v>195819</v>
      </c>
      <c r="B4680" t="str">
        <f>"056385431"</f>
        <v>056385431</v>
      </c>
      <c r="C4680" t="s">
        <v>50</v>
      </c>
      <c r="D4680" t="s">
        <v>8520</v>
      </c>
      <c r="E4680" t="s">
        <v>52</v>
      </c>
      <c r="F4680" t="s">
        <v>95</v>
      </c>
      <c r="G4680" t="s">
        <v>8521</v>
      </c>
      <c r="H4680" t="str">
        <f>"ΔΗΜΟΚΡΑΤΙΑΣ 21 "</f>
        <v xml:space="preserve">ΔΗΜΟΚΡΑΤΙΑΣ 21 </v>
      </c>
      <c r="I4680">
        <v>73100</v>
      </c>
      <c r="J4680">
        <v>2822023830</v>
      </c>
      <c r="K4680">
        <v>6974712347</v>
      </c>
      <c r="M4680" t="s">
        <v>8522</v>
      </c>
      <c r="N4680" t="s">
        <v>306</v>
      </c>
      <c r="O4680" t="s">
        <v>307</v>
      </c>
      <c r="R4680" t="s">
        <v>57</v>
      </c>
      <c r="S4680">
        <v>11</v>
      </c>
      <c r="T4680">
        <v>194</v>
      </c>
      <c r="U4680" s="1">
        <v>37497</v>
      </c>
      <c r="V4680" t="s">
        <v>6729</v>
      </c>
      <c r="W4680" t="s">
        <v>6730</v>
      </c>
      <c r="X4680" t="s">
        <v>58</v>
      </c>
      <c r="Y4680">
        <v>20</v>
      </c>
      <c r="Z4680" t="s">
        <v>59</v>
      </c>
      <c r="AA4680" t="s">
        <v>59</v>
      </c>
      <c r="AB4680" t="s">
        <v>59</v>
      </c>
      <c r="AC4680" t="s">
        <v>59</v>
      </c>
      <c r="AD4680" t="s">
        <v>59</v>
      </c>
      <c r="AF4680" s="1">
        <v>37501</v>
      </c>
      <c r="AG4680" t="s">
        <v>125</v>
      </c>
      <c r="AH4680" t="s">
        <v>126</v>
      </c>
      <c r="AI4680" t="str">
        <f>"5001020"</f>
        <v>5001020</v>
      </c>
      <c r="AJ4680" t="s">
        <v>6739</v>
      </c>
      <c r="AK4680">
        <v>2821042664</v>
      </c>
      <c r="AL4680" t="s">
        <v>6740</v>
      </c>
      <c r="AM4680" t="s">
        <v>88</v>
      </c>
      <c r="AN4680" t="s">
        <v>88</v>
      </c>
      <c r="AO4680" t="s">
        <v>88</v>
      </c>
      <c r="AP4680" t="s">
        <v>88</v>
      </c>
      <c r="AQ4680">
        <v>1</v>
      </c>
      <c r="AR4680" t="s">
        <v>6729</v>
      </c>
      <c r="AS4680" t="s">
        <v>6730</v>
      </c>
      <c r="AT4680" t="s">
        <v>58</v>
      </c>
      <c r="AU4680" t="s">
        <v>68</v>
      </c>
      <c r="AV4680" t="s">
        <v>69</v>
      </c>
      <c r="AW4680" s="1">
        <v>25786</v>
      </c>
      <c r="AX4680">
        <v>2</v>
      </c>
    </row>
    <row r="4681" spans="1:50">
      <c r="B4681" t="str">
        <f>"122996519"</f>
        <v>122996519</v>
      </c>
      <c r="C4681" t="s">
        <v>50</v>
      </c>
      <c r="D4681" t="s">
        <v>8523</v>
      </c>
      <c r="E4681" t="s">
        <v>600</v>
      </c>
      <c r="F4681" t="s">
        <v>4855</v>
      </c>
      <c r="G4681" t="s">
        <v>2235</v>
      </c>
      <c r="H4681" t="str">
        <f>"4Η ΠΑΡΟΔΟΣ ΑΓ.ΑΠΟΣΤΟΛΩΝ "</f>
        <v xml:space="preserve">4Η ΠΑΡΟΔΟΣ ΑΓ.ΑΠΟΣΤΟΛΩΝ </v>
      </c>
      <c r="I4681">
        <v>73100</v>
      </c>
      <c r="J4681">
        <v>2821099490</v>
      </c>
      <c r="K4681">
        <v>6981038964</v>
      </c>
      <c r="M4681" t="s">
        <v>8524</v>
      </c>
      <c r="N4681" t="s">
        <v>146</v>
      </c>
      <c r="O4681" t="s">
        <v>147</v>
      </c>
      <c r="R4681" t="s">
        <v>159</v>
      </c>
      <c r="S4681">
        <v>4</v>
      </c>
      <c r="T4681" t="s">
        <v>416</v>
      </c>
      <c r="U4681" s="1">
        <v>43349</v>
      </c>
      <c r="V4681" t="s">
        <v>6729</v>
      </c>
      <c r="W4681" t="s">
        <v>6730</v>
      </c>
      <c r="X4681" t="s">
        <v>58</v>
      </c>
      <c r="Y4681">
        <v>21</v>
      </c>
      <c r="Z4681" t="s">
        <v>59</v>
      </c>
      <c r="AA4681" t="s">
        <v>59</v>
      </c>
      <c r="AB4681" t="s">
        <v>59</v>
      </c>
      <c r="AC4681" t="s">
        <v>59</v>
      </c>
      <c r="AD4681" t="s">
        <v>59</v>
      </c>
      <c r="AF4681" s="1">
        <v>43349</v>
      </c>
      <c r="AG4681" t="s">
        <v>148</v>
      </c>
      <c r="AH4681" t="s">
        <v>149</v>
      </c>
      <c r="AI4681" t="str">
        <f>"5058010"</f>
        <v>5058010</v>
      </c>
      <c r="AJ4681" t="s">
        <v>7431</v>
      </c>
      <c r="AK4681">
        <v>2825091037</v>
      </c>
      <c r="AL4681" t="s">
        <v>7432</v>
      </c>
      <c r="AM4681" t="s">
        <v>88</v>
      </c>
      <c r="AN4681" t="s">
        <v>6995</v>
      </c>
      <c r="AO4681" t="s">
        <v>6995</v>
      </c>
      <c r="AP4681" t="s">
        <v>6996</v>
      </c>
      <c r="AQ4681">
        <v>1</v>
      </c>
      <c r="AR4681" t="s">
        <v>6729</v>
      </c>
      <c r="AS4681" t="s">
        <v>6730</v>
      </c>
      <c r="AT4681" t="s">
        <v>58</v>
      </c>
      <c r="AU4681" t="s">
        <v>419</v>
      </c>
      <c r="AV4681" t="s">
        <v>132</v>
      </c>
      <c r="AW4681" s="1">
        <v>25271</v>
      </c>
      <c r="AX4681">
        <v>2</v>
      </c>
    </row>
    <row r="4682" spans="1:50">
      <c r="A4682">
        <v>213992</v>
      </c>
      <c r="B4682" t="str">
        <f>"063278406"</f>
        <v>063278406</v>
      </c>
      <c r="C4682" t="s">
        <v>50</v>
      </c>
      <c r="D4682" t="s">
        <v>8525</v>
      </c>
      <c r="E4682" t="s">
        <v>73</v>
      </c>
      <c r="F4682" t="s">
        <v>53</v>
      </c>
      <c r="G4682" t="s">
        <v>8526</v>
      </c>
      <c r="H4682" t="str">
        <f>"ΕΓΚΩΜΗΣ ΚΥΠΡΟΥ 3Η ΠΑΡΟΔΟΣ ΧΑΛΕΠΑ"</f>
        <v>ΕΓΚΩΜΗΣ ΚΥΠΡΟΥ 3Η ΠΑΡΟΔΟΣ ΧΑΛΕΠΑ</v>
      </c>
      <c r="I4682">
        <v>73133</v>
      </c>
      <c r="J4682">
        <v>2821071591</v>
      </c>
      <c r="K4682">
        <v>6972076825</v>
      </c>
      <c r="M4682" t="s">
        <v>8527</v>
      </c>
      <c r="N4682" t="s">
        <v>306</v>
      </c>
      <c r="O4682" t="s">
        <v>307</v>
      </c>
      <c r="R4682" t="s">
        <v>57</v>
      </c>
      <c r="S4682">
        <v>6</v>
      </c>
      <c r="T4682">
        <v>231</v>
      </c>
      <c r="U4682" s="1">
        <v>38960</v>
      </c>
      <c r="V4682" t="s">
        <v>6729</v>
      </c>
      <c r="W4682" t="s">
        <v>6730</v>
      </c>
      <c r="X4682" t="s">
        <v>58</v>
      </c>
      <c r="Y4682">
        <v>20</v>
      </c>
      <c r="Z4682" t="s">
        <v>59</v>
      </c>
      <c r="AA4682" t="s">
        <v>59</v>
      </c>
      <c r="AB4682" t="s">
        <v>59</v>
      </c>
      <c r="AC4682" t="s">
        <v>59</v>
      </c>
      <c r="AD4682" t="s">
        <v>59</v>
      </c>
      <c r="AF4682" s="1">
        <v>38961</v>
      </c>
      <c r="AG4682" t="s">
        <v>125</v>
      </c>
      <c r="AH4682" t="s">
        <v>126</v>
      </c>
      <c r="AI4682" t="str">
        <f>"5009010"</f>
        <v>5009010</v>
      </c>
      <c r="AJ4682" t="s">
        <v>6901</v>
      </c>
      <c r="AK4682">
        <v>2821077212</v>
      </c>
      <c r="AL4682" t="s">
        <v>6902</v>
      </c>
      <c r="AM4682" t="s">
        <v>88</v>
      </c>
      <c r="AN4682" t="s">
        <v>6764</v>
      </c>
      <c r="AO4682" t="s">
        <v>6885</v>
      </c>
      <c r="AP4682" t="s">
        <v>6886</v>
      </c>
      <c r="AQ4682">
        <v>1</v>
      </c>
      <c r="AR4682" t="s">
        <v>6729</v>
      </c>
      <c r="AS4682" t="s">
        <v>6730</v>
      </c>
      <c r="AT4682" t="s">
        <v>58</v>
      </c>
      <c r="AU4682" t="s">
        <v>68</v>
      </c>
      <c r="AV4682" t="s">
        <v>69</v>
      </c>
      <c r="AW4682" s="1">
        <v>27393</v>
      </c>
      <c r="AX4682">
        <v>2</v>
      </c>
    </row>
    <row r="4683" spans="1:50">
      <c r="A4683">
        <v>193784</v>
      </c>
      <c r="B4683" t="str">
        <f>"072308843"</f>
        <v>072308843</v>
      </c>
      <c r="C4683" t="s">
        <v>50</v>
      </c>
      <c r="D4683" t="s">
        <v>6651</v>
      </c>
      <c r="E4683" t="s">
        <v>1189</v>
      </c>
      <c r="F4683" t="s">
        <v>72</v>
      </c>
      <c r="G4683" t="s">
        <v>658</v>
      </c>
      <c r="H4683" t="str">
        <f>" ΚΟΡΑΚΙΕΣ"</f>
        <v xml:space="preserve"> ΚΟΡΑΚΙΕΣ</v>
      </c>
      <c r="J4683">
        <v>2821074613</v>
      </c>
      <c r="K4683">
        <v>6945553298</v>
      </c>
      <c r="M4683" t="s">
        <v>8528</v>
      </c>
      <c r="N4683" t="s">
        <v>1647</v>
      </c>
      <c r="O4683" t="s">
        <v>1648</v>
      </c>
      <c r="R4683" t="s">
        <v>57</v>
      </c>
      <c r="S4683">
        <v>11</v>
      </c>
      <c r="T4683">
        <v>193</v>
      </c>
      <c r="U4683" s="1">
        <v>37497</v>
      </c>
      <c r="V4683" t="s">
        <v>6729</v>
      </c>
      <c r="W4683" t="s">
        <v>6730</v>
      </c>
      <c r="X4683" t="s">
        <v>58</v>
      </c>
      <c r="Y4683">
        <v>18</v>
      </c>
      <c r="Z4683" t="s">
        <v>59</v>
      </c>
      <c r="AA4683" t="s">
        <v>59</v>
      </c>
      <c r="AB4683" t="s">
        <v>59</v>
      </c>
      <c r="AC4683" t="s">
        <v>59</v>
      </c>
      <c r="AD4683" t="s">
        <v>59</v>
      </c>
      <c r="AF4683" s="1">
        <v>37501</v>
      </c>
      <c r="AG4683" t="s">
        <v>125</v>
      </c>
      <c r="AH4683" t="s">
        <v>126</v>
      </c>
      <c r="AI4683" t="str">
        <f>"5011010"</f>
        <v>5011010</v>
      </c>
      <c r="AJ4683" t="s">
        <v>6877</v>
      </c>
      <c r="AK4683">
        <v>2821081330</v>
      </c>
      <c r="AL4683" t="s">
        <v>6878</v>
      </c>
      <c r="AM4683" t="s">
        <v>88</v>
      </c>
      <c r="AN4683" t="s">
        <v>88</v>
      </c>
      <c r="AO4683" t="s">
        <v>6748</v>
      </c>
      <c r="AP4683" t="s">
        <v>6748</v>
      </c>
      <c r="AQ4683">
        <v>1</v>
      </c>
      <c r="AR4683" t="s">
        <v>6729</v>
      </c>
      <c r="AS4683" t="s">
        <v>6730</v>
      </c>
      <c r="AT4683" t="s">
        <v>58</v>
      </c>
      <c r="AU4683" t="s">
        <v>68</v>
      </c>
      <c r="AV4683" t="s">
        <v>357</v>
      </c>
      <c r="AW4683" s="1">
        <v>23043</v>
      </c>
      <c r="AX4683">
        <v>2</v>
      </c>
    </row>
    <row r="4684" spans="1:50">
      <c r="A4684">
        <v>200237</v>
      </c>
      <c r="B4684" t="str">
        <f>"039875090"</f>
        <v>039875090</v>
      </c>
      <c r="C4684" t="s">
        <v>105</v>
      </c>
      <c r="D4684" t="s">
        <v>4228</v>
      </c>
      <c r="E4684" t="s">
        <v>72</v>
      </c>
      <c r="F4684" t="s">
        <v>166</v>
      </c>
      <c r="G4684" t="s">
        <v>4695</v>
      </c>
      <c r="H4684" t="str">
        <f>"Γ.Δ.ΚΑΨΩΜΕΝΟΥ 21 ΧΑΝΙΑ"</f>
        <v>Γ.Δ.ΚΑΨΩΜΕΝΟΥ 21 ΧΑΝΙΑ</v>
      </c>
      <c r="I4684">
        <v>73136</v>
      </c>
      <c r="J4684">
        <v>2821099949</v>
      </c>
      <c r="K4684">
        <v>6977858917</v>
      </c>
      <c r="M4684" t="s">
        <v>8529</v>
      </c>
      <c r="N4684" t="s">
        <v>204</v>
      </c>
      <c r="O4684" t="s">
        <v>205</v>
      </c>
      <c r="P4684" t="s">
        <v>282</v>
      </c>
      <c r="Q4684" t="s">
        <v>283</v>
      </c>
      <c r="R4684" t="s">
        <v>57</v>
      </c>
      <c r="S4684">
        <v>7</v>
      </c>
      <c r="T4684">
        <v>206</v>
      </c>
      <c r="U4684" s="1">
        <v>37866</v>
      </c>
      <c r="V4684" t="s">
        <v>6729</v>
      </c>
      <c r="W4684" t="s">
        <v>6730</v>
      </c>
      <c r="X4684" t="s">
        <v>58</v>
      </c>
      <c r="Y4684">
        <v>20</v>
      </c>
      <c r="Z4684" t="s">
        <v>59</v>
      </c>
      <c r="AA4684" t="s">
        <v>59</v>
      </c>
      <c r="AB4684" t="s">
        <v>59</v>
      </c>
      <c r="AC4684" t="s">
        <v>59</v>
      </c>
      <c r="AD4684" t="s">
        <v>59</v>
      </c>
      <c r="AF4684" s="1">
        <v>37866</v>
      </c>
      <c r="AG4684" t="s">
        <v>125</v>
      </c>
      <c r="AH4684" t="s">
        <v>126</v>
      </c>
      <c r="AI4684" t="str">
        <f>"5001076"</f>
        <v>5001076</v>
      </c>
      <c r="AJ4684" t="s">
        <v>6979</v>
      </c>
      <c r="AK4684">
        <v>2821088808</v>
      </c>
      <c r="AL4684" t="s">
        <v>6980</v>
      </c>
      <c r="AM4684" t="s">
        <v>88</v>
      </c>
      <c r="AN4684" t="s">
        <v>88</v>
      </c>
      <c r="AO4684" t="s">
        <v>6733</v>
      </c>
      <c r="AP4684" t="s">
        <v>6755</v>
      </c>
      <c r="AQ4684">
        <v>1</v>
      </c>
      <c r="AR4684" t="s">
        <v>6729</v>
      </c>
      <c r="AS4684" t="s">
        <v>6730</v>
      </c>
      <c r="AT4684" t="s">
        <v>58</v>
      </c>
      <c r="AU4684" t="s">
        <v>68</v>
      </c>
      <c r="AV4684" t="s">
        <v>69</v>
      </c>
      <c r="AW4684" s="1">
        <v>24209</v>
      </c>
      <c r="AX4684">
        <v>2</v>
      </c>
    </row>
    <row r="4685" spans="1:50">
      <c r="A4685">
        <v>184199</v>
      </c>
      <c r="B4685" t="str">
        <f>"042226224"</f>
        <v>042226224</v>
      </c>
      <c r="C4685" t="s">
        <v>105</v>
      </c>
      <c r="D4685" t="s">
        <v>8530</v>
      </c>
      <c r="E4685" t="s">
        <v>95</v>
      </c>
      <c r="F4685" t="s">
        <v>202</v>
      </c>
      <c r="G4685" t="s">
        <v>73</v>
      </c>
      <c r="H4685" t="str">
        <f>"ΗΡΩΩΝ ΠΟΛΥΤΕΧΝΕΙΟΥ 35 ΧΑΝΙΑ"</f>
        <v>ΗΡΩΩΝ ΠΟΛΥΤΕΧΝΕΙΟΥ 35 ΧΑΝΙΑ</v>
      </c>
      <c r="I4685">
        <v>73133</v>
      </c>
      <c r="K4685">
        <v>6978777872</v>
      </c>
      <c r="N4685" t="s">
        <v>146</v>
      </c>
      <c r="O4685" t="s">
        <v>147</v>
      </c>
      <c r="R4685" t="s">
        <v>57</v>
      </c>
      <c r="S4685">
        <v>9</v>
      </c>
      <c r="T4685">
        <v>177</v>
      </c>
      <c r="U4685" s="1">
        <v>36403</v>
      </c>
      <c r="V4685" t="s">
        <v>6729</v>
      </c>
      <c r="W4685" t="s">
        <v>6730</v>
      </c>
      <c r="X4685" t="s">
        <v>58</v>
      </c>
      <c r="Y4685">
        <v>20</v>
      </c>
      <c r="Z4685" t="s">
        <v>59</v>
      </c>
      <c r="AA4685" t="s">
        <v>59</v>
      </c>
      <c r="AB4685" t="s">
        <v>59</v>
      </c>
      <c r="AC4685" t="s">
        <v>59</v>
      </c>
      <c r="AD4685" t="s">
        <v>59</v>
      </c>
      <c r="AF4685" s="1">
        <v>36404</v>
      </c>
      <c r="AG4685" t="s">
        <v>148</v>
      </c>
      <c r="AH4685" t="s">
        <v>149</v>
      </c>
      <c r="AI4685" t="str">
        <f>"5051040"</f>
        <v>5051040</v>
      </c>
      <c r="AJ4685" t="s">
        <v>6811</v>
      </c>
      <c r="AK4685">
        <v>2821088007</v>
      </c>
      <c r="AL4685" t="s">
        <v>6812</v>
      </c>
      <c r="AM4685" t="s">
        <v>88</v>
      </c>
      <c r="AN4685" t="s">
        <v>88</v>
      </c>
      <c r="AO4685" t="s">
        <v>88</v>
      </c>
      <c r="AP4685" t="s">
        <v>88</v>
      </c>
      <c r="AQ4685">
        <v>1</v>
      </c>
      <c r="AR4685" t="s">
        <v>6729</v>
      </c>
      <c r="AS4685" t="s">
        <v>6730</v>
      </c>
      <c r="AT4685" t="s">
        <v>58</v>
      </c>
      <c r="AU4685" t="s">
        <v>68</v>
      </c>
      <c r="AV4685" t="s">
        <v>69</v>
      </c>
      <c r="AW4685" s="1">
        <v>22364</v>
      </c>
      <c r="AX4685">
        <v>2</v>
      </c>
    </row>
    <row r="4686" spans="1:50">
      <c r="A4686">
        <v>191298</v>
      </c>
      <c r="B4686" t="str">
        <f>"052809413"</f>
        <v>052809413</v>
      </c>
      <c r="C4686" t="s">
        <v>105</v>
      </c>
      <c r="D4686" t="s">
        <v>8531</v>
      </c>
      <c r="E4686" t="s">
        <v>450</v>
      </c>
      <c r="F4686" t="s">
        <v>670</v>
      </c>
      <c r="G4686" t="s">
        <v>473</v>
      </c>
      <c r="H4686" t="str">
        <f>"Κ.Τσισμενάκη 1 Μακρύς Τοίχος"</f>
        <v>Κ.Τσισμενάκη 1 Μακρύς Τοίχος</v>
      </c>
      <c r="I4686">
        <v>73100</v>
      </c>
      <c r="J4686">
        <v>2821031817</v>
      </c>
      <c r="K4686">
        <v>6944721880</v>
      </c>
      <c r="M4686" t="s">
        <v>8532</v>
      </c>
      <c r="N4686" t="s">
        <v>204</v>
      </c>
      <c r="O4686" t="s">
        <v>205</v>
      </c>
      <c r="R4686" t="s">
        <v>57</v>
      </c>
      <c r="S4686">
        <v>9</v>
      </c>
      <c r="T4686">
        <v>219</v>
      </c>
      <c r="U4686" s="1">
        <v>37134</v>
      </c>
      <c r="V4686" t="s">
        <v>6729</v>
      </c>
      <c r="W4686" t="s">
        <v>6730</v>
      </c>
      <c r="X4686" t="s">
        <v>58</v>
      </c>
      <c r="Y4686">
        <v>20</v>
      </c>
      <c r="Z4686" t="s">
        <v>59</v>
      </c>
      <c r="AA4686" t="s">
        <v>59</v>
      </c>
      <c r="AB4686" t="s">
        <v>59</v>
      </c>
      <c r="AC4686" t="s">
        <v>59</v>
      </c>
      <c r="AD4686" t="s">
        <v>59</v>
      </c>
      <c r="AF4686" s="1">
        <v>37138</v>
      </c>
      <c r="AG4686" t="s">
        <v>125</v>
      </c>
      <c r="AH4686" t="s">
        <v>126</v>
      </c>
      <c r="AI4686" t="str">
        <f>"5006010"</f>
        <v>5006010</v>
      </c>
      <c r="AJ4686" t="s">
        <v>7008</v>
      </c>
      <c r="AK4686">
        <v>2824031620</v>
      </c>
      <c r="AL4686" t="s">
        <v>7009</v>
      </c>
      <c r="AM4686" t="s">
        <v>88</v>
      </c>
      <c r="AN4686" t="s">
        <v>6764</v>
      </c>
      <c r="AO4686" t="s">
        <v>6765</v>
      </c>
      <c r="AP4686" t="s">
        <v>6765</v>
      </c>
      <c r="AQ4686">
        <v>1</v>
      </c>
      <c r="AR4686" t="s">
        <v>6729</v>
      </c>
      <c r="AS4686" t="s">
        <v>6730</v>
      </c>
      <c r="AT4686" t="s">
        <v>58</v>
      </c>
      <c r="AU4686" t="s">
        <v>68</v>
      </c>
      <c r="AV4686" t="s">
        <v>69</v>
      </c>
      <c r="AW4686" s="1">
        <v>26965</v>
      </c>
      <c r="AX4686">
        <v>2</v>
      </c>
    </row>
    <row r="4687" spans="1:50">
      <c r="B4687" t="str">
        <f>"062915518"</f>
        <v>062915518</v>
      </c>
      <c r="C4687" t="s">
        <v>50</v>
      </c>
      <c r="D4687" t="s">
        <v>4230</v>
      </c>
      <c r="E4687" t="s">
        <v>96</v>
      </c>
      <c r="F4687" t="s">
        <v>72</v>
      </c>
      <c r="G4687" t="s">
        <v>255</v>
      </c>
      <c r="H4687" t="str">
        <f>" "</f>
        <v xml:space="preserve"> </v>
      </c>
      <c r="N4687" t="s">
        <v>119</v>
      </c>
      <c r="O4687" t="s">
        <v>120</v>
      </c>
      <c r="R4687" t="s">
        <v>159</v>
      </c>
      <c r="S4687">
        <v>1</v>
      </c>
      <c r="T4687" t="s">
        <v>122</v>
      </c>
      <c r="U4687" s="1">
        <v>43348</v>
      </c>
      <c r="V4687" t="s">
        <v>6729</v>
      </c>
      <c r="W4687" t="s">
        <v>6730</v>
      </c>
      <c r="X4687" t="s">
        <v>58</v>
      </c>
      <c r="Y4687">
        <v>23</v>
      </c>
      <c r="Z4687" t="s">
        <v>59</v>
      </c>
      <c r="AA4687" t="s">
        <v>59</v>
      </c>
      <c r="AB4687" t="s">
        <v>59</v>
      </c>
      <c r="AC4687" t="s">
        <v>59</v>
      </c>
      <c r="AD4687" t="s">
        <v>59</v>
      </c>
      <c r="AF4687" s="1">
        <v>43348</v>
      </c>
      <c r="AG4687" t="s">
        <v>148</v>
      </c>
      <c r="AH4687" t="s">
        <v>149</v>
      </c>
      <c r="AI4687" t="str">
        <f>"5051040"</f>
        <v>5051040</v>
      </c>
      <c r="AJ4687" t="s">
        <v>6811</v>
      </c>
      <c r="AK4687">
        <v>2821088007</v>
      </c>
      <c r="AL4687" t="s">
        <v>6812</v>
      </c>
      <c r="AM4687" t="s">
        <v>88</v>
      </c>
      <c r="AN4687" t="s">
        <v>88</v>
      </c>
      <c r="AO4687" t="s">
        <v>88</v>
      </c>
      <c r="AP4687" t="s">
        <v>88</v>
      </c>
      <c r="AQ4687">
        <v>1</v>
      </c>
      <c r="AR4687" t="s">
        <v>6729</v>
      </c>
      <c r="AS4687" t="s">
        <v>6730</v>
      </c>
      <c r="AT4687" t="s">
        <v>58</v>
      </c>
      <c r="AU4687" t="s">
        <v>131</v>
      </c>
      <c r="AV4687" t="s">
        <v>132</v>
      </c>
      <c r="AW4687" s="1">
        <v>31046</v>
      </c>
      <c r="AX4687">
        <v>2</v>
      </c>
    </row>
    <row r="4688" spans="1:50">
      <c r="A4688">
        <v>153008</v>
      </c>
      <c r="B4688" t="str">
        <f>"030720002"</f>
        <v>030720002</v>
      </c>
      <c r="C4688" t="s">
        <v>50</v>
      </c>
      <c r="D4688" t="s">
        <v>4242</v>
      </c>
      <c r="E4688" t="s">
        <v>215</v>
      </c>
      <c r="F4688" t="s">
        <v>95</v>
      </c>
      <c r="G4688" t="s">
        <v>52</v>
      </c>
      <c r="H4688" t="str">
        <f>"ΒΑΜΟΥ 4 ΧΑΝΙΑ"</f>
        <v>ΒΑΜΟΥ 4 ΧΑΝΙΑ</v>
      </c>
      <c r="I4688">
        <v>73100</v>
      </c>
      <c r="J4688">
        <v>2821046143</v>
      </c>
      <c r="K4688">
        <v>6978725465</v>
      </c>
      <c r="N4688" t="s">
        <v>146</v>
      </c>
      <c r="O4688" t="s">
        <v>147</v>
      </c>
      <c r="R4688" t="s">
        <v>57</v>
      </c>
      <c r="S4688">
        <v>16</v>
      </c>
      <c r="T4688">
        <v>166</v>
      </c>
      <c r="U4688" s="1">
        <v>32010</v>
      </c>
      <c r="V4688" t="s">
        <v>6729</v>
      </c>
      <c r="W4688" t="s">
        <v>6730</v>
      </c>
      <c r="X4688" t="s">
        <v>58</v>
      </c>
      <c r="Y4688">
        <v>18</v>
      </c>
      <c r="Z4688" t="s">
        <v>59</v>
      </c>
      <c r="AA4688" t="s">
        <v>59</v>
      </c>
      <c r="AB4688" t="s">
        <v>59</v>
      </c>
      <c r="AC4688" t="s">
        <v>59</v>
      </c>
      <c r="AD4688" t="s">
        <v>59</v>
      </c>
      <c r="AF4688" s="1">
        <v>32021</v>
      </c>
      <c r="AG4688" t="s">
        <v>125</v>
      </c>
      <c r="AH4688" t="s">
        <v>126</v>
      </c>
      <c r="AI4688" t="str">
        <f>"5001075"</f>
        <v>5001075</v>
      </c>
      <c r="AJ4688" t="s">
        <v>6768</v>
      </c>
      <c r="AK4688">
        <v>2821064200</v>
      </c>
      <c r="AL4688" t="s">
        <v>6769</v>
      </c>
      <c r="AM4688" t="s">
        <v>88</v>
      </c>
      <c r="AN4688" t="s">
        <v>88</v>
      </c>
      <c r="AO4688" t="s">
        <v>6770</v>
      </c>
      <c r="AP4688" t="s">
        <v>6771</v>
      </c>
      <c r="AQ4688">
        <v>1</v>
      </c>
      <c r="AR4688" t="s">
        <v>6729</v>
      </c>
      <c r="AS4688" t="s">
        <v>6730</v>
      </c>
      <c r="AT4688" t="s">
        <v>58</v>
      </c>
      <c r="AU4688" t="s">
        <v>68</v>
      </c>
      <c r="AV4688" t="s">
        <v>69</v>
      </c>
      <c r="AW4688" s="1">
        <v>22647</v>
      </c>
      <c r="AX4688">
        <v>2</v>
      </c>
    </row>
    <row r="4689" spans="1:50">
      <c r="A4689">
        <v>174360</v>
      </c>
      <c r="B4689" t="str">
        <f>"031670796"</f>
        <v>031670796</v>
      </c>
      <c r="C4689" t="s">
        <v>105</v>
      </c>
      <c r="D4689" t="s">
        <v>8533</v>
      </c>
      <c r="E4689" t="s">
        <v>95</v>
      </c>
      <c r="F4689" t="s">
        <v>95</v>
      </c>
      <c r="G4689" t="s">
        <v>411</v>
      </c>
      <c r="H4689" t="str">
        <f>" "</f>
        <v xml:space="preserve"> </v>
      </c>
      <c r="N4689" t="s">
        <v>176</v>
      </c>
      <c r="O4689" t="s">
        <v>177</v>
      </c>
      <c r="R4689" t="s">
        <v>57</v>
      </c>
      <c r="S4689">
        <v>13</v>
      </c>
      <c r="T4689">
        <v>166</v>
      </c>
      <c r="U4689" s="1">
        <v>35300</v>
      </c>
      <c r="V4689" t="s">
        <v>6729</v>
      </c>
      <c r="W4689" t="s">
        <v>6730</v>
      </c>
      <c r="X4689" t="s">
        <v>58</v>
      </c>
      <c r="Y4689">
        <v>18</v>
      </c>
      <c r="Z4689" t="s">
        <v>59</v>
      </c>
      <c r="AA4689" t="s">
        <v>59</v>
      </c>
      <c r="AB4689" t="s">
        <v>59</v>
      </c>
      <c r="AC4689" t="s">
        <v>59</v>
      </c>
      <c r="AD4689" t="s">
        <v>59</v>
      </c>
      <c r="AF4689" s="1">
        <v>35310</v>
      </c>
      <c r="AG4689" t="s">
        <v>148</v>
      </c>
      <c r="AH4689" t="s">
        <v>149</v>
      </c>
      <c r="AI4689" t="str">
        <f>"5062010"</f>
        <v>5062010</v>
      </c>
      <c r="AJ4689" t="s">
        <v>6783</v>
      </c>
      <c r="AK4689">
        <v>2821031620</v>
      </c>
      <c r="AL4689" t="s">
        <v>6784</v>
      </c>
      <c r="AM4689" t="s">
        <v>88</v>
      </c>
      <c r="AN4689" t="s">
        <v>88</v>
      </c>
      <c r="AO4689" t="s">
        <v>6785</v>
      </c>
      <c r="AP4689" t="s">
        <v>6786</v>
      </c>
      <c r="AQ4689">
        <v>1</v>
      </c>
      <c r="AR4689" t="s">
        <v>6729</v>
      </c>
      <c r="AS4689" t="s">
        <v>6730</v>
      </c>
      <c r="AT4689" t="s">
        <v>58</v>
      </c>
      <c r="AU4689" t="s">
        <v>68</v>
      </c>
      <c r="AV4689" t="s">
        <v>69</v>
      </c>
      <c r="AW4689" s="1">
        <v>24073</v>
      </c>
      <c r="AX4689">
        <v>2</v>
      </c>
    </row>
    <row r="4690" spans="1:50">
      <c r="A4690">
        <v>217706</v>
      </c>
      <c r="B4690" t="str">
        <f>"056243084"</f>
        <v>056243084</v>
      </c>
      <c r="C4690" t="s">
        <v>105</v>
      </c>
      <c r="D4690" t="s">
        <v>8533</v>
      </c>
      <c r="E4690" t="s">
        <v>5543</v>
      </c>
      <c r="F4690" t="s">
        <v>72</v>
      </c>
      <c r="G4690" t="s">
        <v>8534</v>
      </c>
      <c r="H4690" t="str">
        <f>" "</f>
        <v xml:space="preserve"> </v>
      </c>
      <c r="J4690">
        <v>2821079597</v>
      </c>
      <c r="K4690">
        <v>6937742869</v>
      </c>
      <c r="N4690" t="s">
        <v>146</v>
      </c>
      <c r="O4690" t="s">
        <v>147</v>
      </c>
      <c r="R4690" t="s">
        <v>57</v>
      </c>
      <c r="S4690">
        <v>6</v>
      </c>
      <c r="T4690">
        <v>599</v>
      </c>
      <c r="U4690" s="1">
        <v>39310</v>
      </c>
      <c r="V4690" t="s">
        <v>6729</v>
      </c>
      <c r="W4690" t="s">
        <v>6730</v>
      </c>
      <c r="X4690" t="s">
        <v>58</v>
      </c>
      <c r="Y4690">
        <v>20</v>
      </c>
      <c r="Z4690" t="s">
        <v>59</v>
      </c>
      <c r="AA4690" t="s">
        <v>59</v>
      </c>
      <c r="AB4690" t="s">
        <v>59</v>
      </c>
      <c r="AC4690" t="s">
        <v>59</v>
      </c>
      <c r="AD4690" t="s">
        <v>59</v>
      </c>
      <c r="AF4690" s="1">
        <v>39328</v>
      </c>
      <c r="AG4690" t="s">
        <v>148</v>
      </c>
      <c r="AH4690" t="s">
        <v>149</v>
      </c>
      <c r="AI4690" t="str">
        <f>"5051050"</f>
        <v>5051050</v>
      </c>
      <c r="AJ4690" t="s">
        <v>6861</v>
      </c>
      <c r="AK4690">
        <v>2821044860</v>
      </c>
      <c r="AL4690" t="s">
        <v>6862</v>
      </c>
      <c r="AM4690" t="s">
        <v>88</v>
      </c>
      <c r="AN4690" t="s">
        <v>88</v>
      </c>
      <c r="AO4690" t="s">
        <v>88</v>
      </c>
      <c r="AP4690" t="s">
        <v>88</v>
      </c>
      <c r="AQ4690">
        <v>1</v>
      </c>
      <c r="AR4690" t="s">
        <v>6729</v>
      </c>
      <c r="AS4690" t="s">
        <v>6730</v>
      </c>
      <c r="AT4690" t="s">
        <v>58</v>
      </c>
      <c r="AU4690" t="s">
        <v>68</v>
      </c>
      <c r="AV4690" t="s">
        <v>357</v>
      </c>
      <c r="AW4690" s="1">
        <v>25750</v>
      </c>
      <c r="AX4690">
        <v>2</v>
      </c>
    </row>
    <row r="4691" spans="1:50">
      <c r="A4691">
        <v>188788</v>
      </c>
      <c r="B4691" t="str">
        <f>"042693300"</f>
        <v>042693300</v>
      </c>
      <c r="C4691" t="s">
        <v>105</v>
      </c>
      <c r="D4691" t="s">
        <v>8535</v>
      </c>
      <c r="E4691" t="s">
        <v>166</v>
      </c>
      <c r="F4691" t="s">
        <v>609</v>
      </c>
      <c r="G4691" t="s">
        <v>52</v>
      </c>
      <c r="H4691" t="str">
        <f>"ΙΩΝΙΑΣ 37 ΧΑΝΙΑ"</f>
        <v>ΙΩΝΙΑΣ 37 ΧΑΝΙΑ</v>
      </c>
      <c r="I4691">
        <v>73136</v>
      </c>
      <c r="J4691">
        <v>2821076622</v>
      </c>
      <c r="K4691">
        <v>6946790912</v>
      </c>
      <c r="M4691" t="s">
        <v>8536</v>
      </c>
      <c r="N4691" t="s">
        <v>204</v>
      </c>
      <c r="O4691" t="s">
        <v>205</v>
      </c>
      <c r="R4691" t="s">
        <v>57</v>
      </c>
      <c r="S4691">
        <v>12</v>
      </c>
      <c r="T4691" t="s">
        <v>3883</v>
      </c>
      <c r="U4691" s="1">
        <v>36039</v>
      </c>
      <c r="V4691" t="s">
        <v>6729</v>
      </c>
      <c r="W4691" t="s">
        <v>6730</v>
      </c>
      <c r="X4691" t="s">
        <v>58</v>
      </c>
      <c r="Y4691">
        <v>18</v>
      </c>
      <c r="Z4691" t="s">
        <v>59</v>
      </c>
      <c r="AA4691" t="s">
        <v>59</v>
      </c>
      <c r="AB4691" t="s">
        <v>59</v>
      </c>
      <c r="AC4691" t="s">
        <v>59</v>
      </c>
      <c r="AD4691" t="s">
        <v>59</v>
      </c>
      <c r="AF4691" s="1">
        <v>36770</v>
      </c>
      <c r="AG4691" t="s">
        <v>137</v>
      </c>
      <c r="AH4691" t="s">
        <v>138</v>
      </c>
      <c r="AI4691" t="str">
        <f>"5040080"</f>
        <v>5040080</v>
      </c>
      <c r="AJ4691" t="s">
        <v>6753</v>
      </c>
      <c r="AK4691">
        <v>2821093155</v>
      </c>
      <c r="AL4691" t="s">
        <v>6754</v>
      </c>
      <c r="AM4691" t="s">
        <v>88</v>
      </c>
      <c r="AN4691" t="s">
        <v>88</v>
      </c>
      <c r="AO4691" t="s">
        <v>6733</v>
      </c>
      <c r="AP4691" t="s">
        <v>6755</v>
      </c>
      <c r="AQ4691">
        <v>1</v>
      </c>
      <c r="AR4691" t="s">
        <v>6729</v>
      </c>
      <c r="AS4691" t="s">
        <v>6730</v>
      </c>
      <c r="AT4691" t="s">
        <v>58</v>
      </c>
      <c r="AU4691" t="s">
        <v>68</v>
      </c>
      <c r="AV4691" t="s">
        <v>69</v>
      </c>
      <c r="AW4691" s="1">
        <v>24408</v>
      </c>
      <c r="AX4691">
        <v>2</v>
      </c>
    </row>
    <row r="4692" spans="1:50">
      <c r="A4692">
        <v>168783</v>
      </c>
      <c r="B4692" t="str">
        <f>"036052829"</f>
        <v>036052829</v>
      </c>
      <c r="C4692" t="s">
        <v>50</v>
      </c>
      <c r="D4692" t="s">
        <v>8537</v>
      </c>
      <c r="E4692" t="s">
        <v>1520</v>
      </c>
      <c r="F4692" t="s">
        <v>510</v>
      </c>
      <c r="G4692" t="s">
        <v>263</v>
      </c>
      <c r="H4692" t="str">
        <f>"ΚΟΥΜΑΡΕΣ ΑΡΩΝΙ ΑΚΡΩΤΗΡΙ"</f>
        <v>ΚΟΥΜΑΡΕΣ ΑΡΩΝΙ ΑΚΡΩΤΗΡΙ</v>
      </c>
      <c r="I4692">
        <v>73100</v>
      </c>
      <c r="J4692">
        <v>2821066313</v>
      </c>
      <c r="K4692">
        <v>6977502753</v>
      </c>
      <c r="M4692" t="s">
        <v>8538</v>
      </c>
      <c r="N4692" t="s">
        <v>337</v>
      </c>
      <c r="O4692" t="s">
        <v>338</v>
      </c>
      <c r="R4692" t="s">
        <v>57</v>
      </c>
      <c r="S4692">
        <v>12</v>
      </c>
      <c r="T4692">
        <v>159</v>
      </c>
      <c r="U4692" s="1">
        <v>34582</v>
      </c>
      <c r="V4692" t="s">
        <v>6729</v>
      </c>
      <c r="W4692" t="s">
        <v>6730</v>
      </c>
      <c r="X4692" t="s">
        <v>58</v>
      </c>
      <c r="Y4692">
        <v>18</v>
      </c>
      <c r="Z4692" t="s">
        <v>59</v>
      </c>
      <c r="AA4692" t="s">
        <v>59</v>
      </c>
      <c r="AB4692" t="s">
        <v>59</v>
      </c>
      <c r="AC4692" t="s">
        <v>59</v>
      </c>
      <c r="AD4692" t="s">
        <v>59</v>
      </c>
      <c r="AF4692" s="1">
        <v>34584</v>
      </c>
      <c r="AG4692" t="s">
        <v>125</v>
      </c>
      <c r="AH4692" t="s">
        <v>126</v>
      </c>
      <c r="AI4692" t="str">
        <f>"5011010"</f>
        <v>5011010</v>
      </c>
      <c r="AJ4692" t="s">
        <v>6877</v>
      </c>
      <c r="AK4692">
        <v>2821081330</v>
      </c>
      <c r="AL4692" t="s">
        <v>6878</v>
      </c>
      <c r="AM4692" t="s">
        <v>88</v>
      </c>
      <c r="AN4692" t="s">
        <v>88</v>
      </c>
      <c r="AO4692" t="s">
        <v>6748</v>
      </c>
      <c r="AP4692" t="s">
        <v>6748</v>
      </c>
      <c r="AQ4692">
        <v>1</v>
      </c>
      <c r="AR4692" t="s">
        <v>6729</v>
      </c>
      <c r="AS4692" t="s">
        <v>6730</v>
      </c>
      <c r="AT4692" t="s">
        <v>58</v>
      </c>
      <c r="AU4692" t="s">
        <v>68</v>
      </c>
      <c r="AV4692" t="s">
        <v>69</v>
      </c>
      <c r="AW4692" s="1">
        <v>25389</v>
      </c>
      <c r="AX4692">
        <v>2</v>
      </c>
    </row>
    <row r="4693" spans="1:50">
      <c r="A4693">
        <v>195057</v>
      </c>
      <c r="B4693" t="str">
        <f>"078050088"</f>
        <v>078050088</v>
      </c>
      <c r="C4693" t="s">
        <v>105</v>
      </c>
      <c r="D4693" t="s">
        <v>8539</v>
      </c>
      <c r="E4693" t="s">
        <v>670</v>
      </c>
      <c r="F4693" t="s">
        <v>989</v>
      </c>
      <c r="G4693" t="s">
        <v>787</v>
      </c>
      <c r="H4693" t="str">
        <f>"ΣΟΦΟΚΛΕΟΥΣ 18 ΧΑΝΙΑ"</f>
        <v>ΣΟΦΟΚΛΕΟΥΣ 18 ΧΑΝΙΑ</v>
      </c>
      <c r="I4693">
        <v>73133</v>
      </c>
      <c r="K4693">
        <v>6944796925</v>
      </c>
      <c r="N4693" t="s">
        <v>157</v>
      </c>
      <c r="O4693" t="s">
        <v>158</v>
      </c>
      <c r="R4693" t="s">
        <v>57</v>
      </c>
      <c r="S4693">
        <v>10</v>
      </c>
      <c r="T4693">
        <v>194</v>
      </c>
      <c r="U4693" s="1">
        <v>37497</v>
      </c>
      <c r="V4693" t="s">
        <v>6729</v>
      </c>
      <c r="W4693" t="s">
        <v>6730</v>
      </c>
      <c r="X4693" t="s">
        <v>58</v>
      </c>
      <c r="Y4693">
        <v>20</v>
      </c>
      <c r="Z4693" t="s">
        <v>59</v>
      </c>
      <c r="AA4693" t="s">
        <v>59</v>
      </c>
      <c r="AB4693" t="s">
        <v>59</v>
      </c>
      <c r="AC4693" t="s">
        <v>59</v>
      </c>
      <c r="AD4693" t="s">
        <v>59</v>
      </c>
      <c r="AF4693" s="1">
        <v>37501</v>
      </c>
      <c r="AG4693" t="s">
        <v>148</v>
      </c>
      <c r="AH4693" t="s">
        <v>149</v>
      </c>
      <c r="AI4693" t="str">
        <f>"5051040"</f>
        <v>5051040</v>
      </c>
      <c r="AJ4693" t="s">
        <v>6811</v>
      </c>
      <c r="AK4693">
        <v>2821088007</v>
      </c>
      <c r="AL4693" t="s">
        <v>6812</v>
      </c>
      <c r="AM4693" t="s">
        <v>88</v>
      </c>
      <c r="AN4693" t="s">
        <v>88</v>
      </c>
      <c r="AO4693" t="s">
        <v>88</v>
      </c>
      <c r="AP4693" t="s">
        <v>88</v>
      </c>
      <c r="AQ4693">
        <v>1</v>
      </c>
      <c r="AR4693" t="s">
        <v>6729</v>
      </c>
      <c r="AS4693" t="s">
        <v>6730</v>
      </c>
      <c r="AT4693" t="s">
        <v>58</v>
      </c>
      <c r="AU4693" t="s">
        <v>68</v>
      </c>
      <c r="AV4693" t="s">
        <v>69</v>
      </c>
      <c r="AW4693" s="1">
        <v>25513</v>
      </c>
      <c r="AX4693">
        <v>2</v>
      </c>
    </row>
    <row r="4694" spans="1:50">
      <c r="B4694" t="str">
        <f>"047323732"</f>
        <v>047323732</v>
      </c>
      <c r="C4694" t="s">
        <v>50</v>
      </c>
      <c r="D4694" t="s">
        <v>6658</v>
      </c>
      <c r="E4694" t="s">
        <v>112</v>
      </c>
      <c r="F4694" t="s">
        <v>72</v>
      </c>
      <c r="G4694" t="s">
        <v>52</v>
      </c>
      <c r="H4694" t="str">
        <f>"ΓΑΛΑΤΑΣ ΧΑΝΙΑ"</f>
        <v>ΓΑΛΑΤΑΣ ΧΑΝΙΑ</v>
      </c>
      <c r="I4694">
        <v>73100</v>
      </c>
      <c r="J4694">
        <v>2821033621</v>
      </c>
      <c r="K4694">
        <v>6972914730</v>
      </c>
      <c r="M4694" t="s">
        <v>8540</v>
      </c>
      <c r="N4694" t="s">
        <v>342</v>
      </c>
      <c r="O4694" t="s">
        <v>343</v>
      </c>
      <c r="R4694" t="s">
        <v>159</v>
      </c>
      <c r="S4694">
        <v>3</v>
      </c>
      <c r="T4694" t="s">
        <v>344</v>
      </c>
      <c r="U4694" s="1">
        <v>43348</v>
      </c>
      <c r="V4694" t="s">
        <v>6729</v>
      </c>
      <c r="W4694" t="s">
        <v>6730</v>
      </c>
      <c r="X4694" t="s">
        <v>58</v>
      </c>
      <c r="Y4694">
        <v>21</v>
      </c>
      <c r="Z4694" t="s">
        <v>59</v>
      </c>
      <c r="AA4694" t="s">
        <v>59</v>
      </c>
      <c r="AB4694" t="s">
        <v>59</v>
      </c>
      <c r="AC4694" t="s">
        <v>59</v>
      </c>
      <c r="AD4694" t="s">
        <v>59</v>
      </c>
      <c r="AF4694" s="1">
        <v>43348</v>
      </c>
      <c r="AG4694" t="s">
        <v>345</v>
      </c>
      <c r="AH4694" t="s">
        <v>346</v>
      </c>
      <c r="AI4694" t="str">
        <f>"5041001"</f>
        <v>5041001</v>
      </c>
      <c r="AJ4694" t="s">
        <v>6840</v>
      </c>
      <c r="AK4694">
        <v>2821052100</v>
      </c>
      <c r="AL4694" t="s">
        <v>6841</v>
      </c>
      <c r="AM4694" t="s">
        <v>88</v>
      </c>
      <c r="AN4694" t="s">
        <v>88</v>
      </c>
      <c r="AO4694" t="s">
        <v>88</v>
      </c>
      <c r="AP4694" t="s">
        <v>88</v>
      </c>
      <c r="AQ4694">
        <v>1</v>
      </c>
      <c r="AR4694" t="s">
        <v>6729</v>
      </c>
      <c r="AS4694" t="s">
        <v>6730</v>
      </c>
      <c r="AT4694" t="s">
        <v>58</v>
      </c>
      <c r="AU4694" t="s">
        <v>350</v>
      </c>
      <c r="AV4694" t="s">
        <v>132</v>
      </c>
      <c r="AW4694" s="1">
        <v>23687</v>
      </c>
      <c r="AX4694">
        <v>2</v>
      </c>
    </row>
    <row r="4695" spans="1:50">
      <c r="A4695">
        <v>401459</v>
      </c>
      <c r="B4695" t="str">
        <f>"077719842"</f>
        <v>077719842</v>
      </c>
      <c r="C4695" t="s">
        <v>105</v>
      </c>
      <c r="D4695" t="s">
        <v>8541</v>
      </c>
      <c r="E4695" t="s">
        <v>154</v>
      </c>
      <c r="F4695" t="s">
        <v>1229</v>
      </c>
      <c r="G4695" t="s">
        <v>3290</v>
      </c>
      <c r="H4695" t="str">
        <f>" "</f>
        <v xml:space="preserve"> </v>
      </c>
      <c r="J4695">
        <v>2821086027</v>
      </c>
      <c r="K4695">
        <v>6976725407</v>
      </c>
      <c r="M4695" t="s">
        <v>8542</v>
      </c>
      <c r="N4695" t="s">
        <v>146</v>
      </c>
      <c r="O4695" t="s">
        <v>147</v>
      </c>
      <c r="R4695" t="s">
        <v>57</v>
      </c>
      <c r="S4695">
        <v>8</v>
      </c>
      <c r="T4695" t="s">
        <v>1230</v>
      </c>
      <c r="U4695" s="1">
        <v>40057</v>
      </c>
      <c r="V4695" t="s">
        <v>6729</v>
      </c>
      <c r="W4695" t="s">
        <v>6730</v>
      </c>
      <c r="X4695" t="s">
        <v>58</v>
      </c>
      <c r="Y4695">
        <v>20</v>
      </c>
      <c r="Z4695" t="s">
        <v>59</v>
      </c>
      <c r="AA4695" t="s">
        <v>59</v>
      </c>
      <c r="AB4695" t="s">
        <v>59</v>
      </c>
      <c r="AC4695" t="s">
        <v>59</v>
      </c>
      <c r="AD4695" t="s">
        <v>59</v>
      </c>
      <c r="AF4695" s="1">
        <v>40063</v>
      </c>
      <c r="AG4695" t="s">
        <v>125</v>
      </c>
      <c r="AH4695" t="s">
        <v>126</v>
      </c>
      <c r="AI4695" t="str">
        <f>"5001010"</f>
        <v>5001010</v>
      </c>
      <c r="AJ4695" t="s">
        <v>6873</v>
      </c>
      <c r="AK4695">
        <v>2821052130</v>
      </c>
      <c r="AL4695" t="s">
        <v>6874</v>
      </c>
      <c r="AM4695" t="s">
        <v>88</v>
      </c>
      <c r="AN4695" t="s">
        <v>88</v>
      </c>
      <c r="AO4695" t="s">
        <v>88</v>
      </c>
      <c r="AP4695" t="s">
        <v>88</v>
      </c>
      <c r="AQ4695">
        <v>1</v>
      </c>
      <c r="AR4695" t="s">
        <v>6729</v>
      </c>
      <c r="AS4695" t="s">
        <v>6730</v>
      </c>
      <c r="AT4695" t="s">
        <v>58</v>
      </c>
      <c r="AU4695" t="s">
        <v>68</v>
      </c>
      <c r="AV4695" t="s">
        <v>69</v>
      </c>
      <c r="AW4695" s="1">
        <v>23808</v>
      </c>
      <c r="AX4695">
        <v>2</v>
      </c>
    </row>
    <row r="4696" spans="1:50">
      <c r="B4696" t="str">
        <f>"074692008"</f>
        <v>074692008</v>
      </c>
      <c r="C4696" t="s">
        <v>105</v>
      </c>
      <c r="D4696" t="s">
        <v>8541</v>
      </c>
      <c r="E4696" t="s">
        <v>72</v>
      </c>
      <c r="F4696" t="s">
        <v>154</v>
      </c>
      <c r="G4696" t="s">
        <v>1068</v>
      </c>
      <c r="H4696" t="str">
        <f>"ΔΙΓΕΝΗ ΑΚΡΙΤΑ "</f>
        <v xml:space="preserve">ΔΙΓΕΝΗ ΑΚΡΙΤΑ </v>
      </c>
      <c r="I4696">
        <v>73100</v>
      </c>
      <c r="J4696">
        <v>2821044836</v>
      </c>
      <c r="K4696">
        <v>6974303705</v>
      </c>
      <c r="N4696" t="s">
        <v>1039</v>
      </c>
      <c r="O4696" t="s">
        <v>1040</v>
      </c>
      <c r="R4696" t="s">
        <v>159</v>
      </c>
      <c r="S4696">
        <v>3</v>
      </c>
      <c r="T4696" t="s">
        <v>344</v>
      </c>
      <c r="U4696" s="1">
        <v>43348</v>
      </c>
      <c r="V4696" t="s">
        <v>6729</v>
      </c>
      <c r="W4696" t="s">
        <v>6730</v>
      </c>
      <c r="X4696" t="s">
        <v>58</v>
      </c>
      <c r="Y4696">
        <v>23</v>
      </c>
      <c r="Z4696" t="s">
        <v>59</v>
      </c>
      <c r="AA4696" t="s">
        <v>59</v>
      </c>
      <c r="AB4696" t="s">
        <v>59</v>
      </c>
      <c r="AC4696" t="s">
        <v>59</v>
      </c>
      <c r="AD4696" t="s">
        <v>59</v>
      </c>
      <c r="AF4696" s="1">
        <v>43348</v>
      </c>
      <c r="AG4696" t="s">
        <v>345</v>
      </c>
      <c r="AH4696" t="s">
        <v>346</v>
      </c>
      <c r="AI4696" t="str">
        <f>"5059001"</f>
        <v>5059001</v>
      </c>
      <c r="AJ4696" t="s">
        <v>6742</v>
      </c>
      <c r="AK4696">
        <v>2822041102</v>
      </c>
      <c r="AL4696" t="s">
        <v>6743</v>
      </c>
      <c r="AM4696" t="s">
        <v>88</v>
      </c>
      <c r="AN4696" t="s">
        <v>6744</v>
      </c>
      <c r="AO4696" t="s">
        <v>6744</v>
      </c>
      <c r="AP4696" t="s">
        <v>6744</v>
      </c>
      <c r="AQ4696">
        <v>1</v>
      </c>
      <c r="AR4696" t="s">
        <v>6729</v>
      </c>
      <c r="AS4696" t="s">
        <v>6730</v>
      </c>
      <c r="AT4696" t="s">
        <v>58</v>
      </c>
      <c r="AU4696" t="s">
        <v>350</v>
      </c>
      <c r="AV4696" t="s">
        <v>132</v>
      </c>
      <c r="AW4696" s="1">
        <v>29165</v>
      </c>
      <c r="AX4696">
        <v>2</v>
      </c>
    </row>
    <row r="4697" spans="1:50">
      <c r="B4697" t="str">
        <f>"045906223"</f>
        <v>045906223</v>
      </c>
      <c r="C4697" t="s">
        <v>105</v>
      </c>
      <c r="D4697" t="s">
        <v>8541</v>
      </c>
      <c r="E4697" t="s">
        <v>949</v>
      </c>
      <c r="F4697" t="s">
        <v>53</v>
      </c>
      <c r="G4697" t="s">
        <v>1830</v>
      </c>
      <c r="H4697" t="str">
        <f>"Ν.ΜΑΡΙΑΚΑΚΗ 41 ΧΑΝΙΑ"</f>
        <v>Ν.ΜΑΡΙΑΚΑΚΗ 41 ΧΑΝΙΑ</v>
      </c>
      <c r="I4697">
        <v>73135</v>
      </c>
      <c r="J4697">
        <v>2821074104</v>
      </c>
      <c r="K4697">
        <v>6974739122</v>
      </c>
      <c r="N4697" t="s">
        <v>292</v>
      </c>
      <c r="O4697" t="s">
        <v>293</v>
      </c>
      <c r="R4697" t="s">
        <v>159</v>
      </c>
      <c r="S4697">
        <v>3</v>
      </c>
      <c r="T4697" t="s">
        <v>160</v>
      </c>
      <c r="U4697" s="1">
        <v>43364</v>
      </c>
      <c r="V4697" t="s">
        <v>6729</v>
      </c>
      <c r="W4697" t="s">
        <v>6730</v>
      </c>
      <c r="X4697" t="s">
        <v>58</v>
      </c>
      <c r="Y4697">
        <v>23</v>
      </c>
      <c r="Z4697" t="s">
        <v>59</v>
      </c>
      <c r="AA4697" t="s">
        <v>59</v>
      </c>
      <c r="AB4697" t="s">
        <v>59</v>
      </c>
      <c r="AC4697" t="s">
        <v>59</v>
      </c>
      <c r="AD4697" t="s">
        <v>59</v>
      </c>
      <c r="AF4697" s="1">
        <v>43367</v>
      </c>
      <c r="AG4697" t="s">
        <v>125</v>
      </c>
      <c r="AH4697" t="s">
        <v>126</v>
      </c>
      <c r="AI4697" t="str">
        <f>"5012010"</f>
        <v>5012010</v>
      </c>
      <c r="AJ4697" t="s">
        <v>6794</v>
      </c>
      <c r="AK4697">
        <v>2821033195</v>
      </c>
      <c r="AL4697" t="s">
        <v>6795</v>
      </c>
      <c r="AM4697" t="s">
        <v>88</v>
      </c>
      <c r="AN4697" t="s">
        <v>88</v>
      </c>
      <c r="AO4697" t="s">
        <v>6785</v>
      </c>
      <c r="AP4697" t="s">
        <v>6786</v>
      </c>
      <c r="AQ4697">
        <v>1</v>
      </c>
      <c r="AR4697" t="s">
        <v>6729</v>
      </c>
      <c r="AS4697" t="s">
        <v>6730</v>
      </c>
      <c r="AT4697" t="s">
        <v>58</v>
      </c>
      <c r="AU4697" t="s">
        <v>164</v>
      </c>
      <c r="AV4697" t="s">
        <v>132</v>
      </c>
      <c r="AW4697" s="1">
        <v>25569</v>
      </c>
      <c r="AX4697">
        <v>2</v>
      </c>
    </row>
    <row r="4698" spans="1:50">
      <c r="A4698">
        <v>214953</v>
      </c>
      <c r="B4698" t="str">
        <f>"064098269"</f>
        <v>064098269</v>
      </c>
      <c r="C4698" t="s">
        <v>50</v>
      </c>
      <c r="D4698" t="s">
        <v>5580</v>
      </c>
      <c r="E4698" t="s">
        <v>476</v>
      </c>
      <c r="F4698" t="s">
        <v>166</v>
      </c>
      <c r="G4698" t="s">
        <v>905</v>
      </c>
      <c r="H4698" t="str">
        <f>" "</f>
        <v xml:space="preserve"> </v>
      </c>
      <c r="J4698">
        <v>2825022369</v>
      </c>
      <c r="K4698">
        <v>6946506034</v>
      </c>
      <c r="M4698" t="s">
        <v>8543</v>
      </c>
      <c r="N4698" t="s">
        <v>189</v>
      </c>
      <c r="O4698" t="s">
        <v>190</v>
      </c>
      <c r="R4698" t="s">
        <v>57</v>
      </c>
      <c r="S4698">
        <v>9</v>
      </c>
      <c r="T4698">
        <v>231</v>
      </c>
      <c r="U4698" s="1">
        <v>38960</v>
      </c>
      <c r="V4698" t="s">
        <v>6729</v>
      </c>
      <c r="W4698" t="s">
        <v>6730</v>
      </c>
      <c r="X4698" t="s">
        <v>58</v>
      </c>
      <c r="Y4698">
        <v>20</v>
      </c>
      <c r="Z4698" t="s">
        <v>59</v>
      </c>
      <c r="AA4698" t="s">
        <v>59</v>
      </c>
      <c r="AB4698" t="s">
        <v>59</v>
      </c>
      <c r="AC4698" t="s">
        <v>59</v>
      </c>
      <c r="AD4698" t="s">
        <v>59</v>
      </c>
      <c r="AF4698" s="1">
        <v>38961</v>
      </c>
      <c r="AG4698" t="s">
        <v>137</v>
      </c>
      <c r="AH4698" t="s">
        <v>138</v>
      </c>
      <c r="AI4698" t="str">
        <f>"5040050"</f>
        <v>5040050</v>
      </c>
      <c r="AJ4698" t="s">
        <v>6750</v>
      </c>
      <c r="AK4698">
        <v>2821043147</v>
      </c>
      <c r="AL4698" t="s">
        <v>6751</v>
      </c>
      <c r="AM4698" t="s">
        <v>88</v>
      </c>
      <c r="AN4698" t="s">
        <v>88</v>
      </c>
      <c r="AO4698" t="s">
        <v>88</v>
      </c>
      <c r="AP4698" t="s">
        <v>88</v>
      </c>
      <c r="AQ4698">
        <v>1</v>
      </c>
      <c r="AR4698" t="s">
        <v>6729</v>
      </c>
      <c r="AS4698" t="s">
        <v>6730</v>
      </c>
      <c r="AT4698" t="s">
        <v>58</v>
      </c>
      <c r="AU4698" t="s">
        <v>68</v>
      </c>
      <c r="AV4698" t="s">
        <v>69</v>
      </c>
      <c r="AW4698" s="1">
        <v>26464</v>
      </c>
      <c r="AX4698">
        <v>2</v>
      </c>
    </row>
    <row r="4699" spans="1:50">
      <c r="A4699">
        <v>181228</v>
      </c>
      <c r="B4699" t="str">
        <f>"051261931"</f>
        <v>051261931</v>
      </c>
      <c r="C4699" t="s">
        <v>50</v>
      </c>
      <c r="D4699" t="s">
        <v>5580</v>
      </c>
      <c r="E4699" t="s">
        <v>52</v>
      </c>
      <c r="F4699" t="s">
        <v>166</v>
      </c>
      <c r="G4699" t="s">
        <v>5217</v>
      </c>
      <c r="H4699" t="str">
        <f>" "</f>
        <v xml:space="preserve"> </v>
      </c>
      <c r="N4699" t="s">
        <v>306</v>
      </c>
      <c r="O4699" t="s">
        <v>307</v>
      </c>
      <c r="R4699" t="s">
        <v>57</v>
      </c>
      <c r="S4699">
        <v>10</v>
      </c>
      <c r="T4699">
        <v>181</v>
      </c>
      <c r="U4699" s="1">
        <v>36039</v>
      </c>
      <c r="V4699" t="s">
        <v>6729</v>
      </c>
      <c r="W4699" t="s">
        <v>6730</v>
      </c>
      <c r="X4699" t="s">
        <v>58</v>
      </c>
      <c r="Y4699">
        <v>18</v>
      </c>
      <c r="Z4699" t="s">
        <v>59</v>
      </c>
      <c r="AA4699" t="s">
        <v>59</v>
      </c>
      <c r="AB4699" t="s">
        <v>59</v>
      </c>
      <c r="AC4699" t="s">
        <v>59</v>
      </c>
      <c r="AD4699" t="s">
        <v>59</v>
      </c>
      <c r="AF4699" s="1">
        <v>36045</v>
      </c>
      <c r="AG4699" t="s">
        <v>148</v>
      </c>
      <c r="AH4699" t="s">
        <v>149</v>
      </c>
      <c r="AI4699" t="str">
        <f>"5057010"</f>
        <v>5057010</v>
      </c>
      <c r="AJ4699" t="s">
        <v>6836</v>
      </c>
      <c r="AK4699">
        <v>2824022511</v>
      </c>
      <c r="AL4699" t="s">
        <v>6837</v>
      </c>
      <c r="AM4699" t="s">
        <v>88</v>
      </c>
      <c r="AN4699" t="s">
        <v>6764</v>
      </c>
      <c r="AO4699" t="s">
        <v>6799</v>
      </c>
      <c r="AP4699" t="s">
        <v>6799</v>
      </c>
      <c r="AQ4699">
        <v>1</v>
      </c>
      <c r="AR4699" t="s">
        <v>6729</v>
      </c>
      <c r="AS4699" t="s">
        <v>6730</v>
      </c>
      <c r="AT4699" t="s">
        <v>58</v>
      </c>
      <c r="AU4699" t="s">
        <v>68</v>
      </c>
      <c r="AV4699" t="s">
        <v>69</v>
      </c>
      <c r="AW4699" s="1">
        <v>24719</v>
      </c>
      <c r="AX4699">
        <v>2</v>
      </c>
    </row>
    <row r="4700" spans="1:50">
      <c r="A4700">
        <v>171396</v>
      </c>
      <c r="B4700" t="str">
        <f>"073744927"</f>
        <v>073744927</v>
      </c>
      <c r="C4700" t="s">
        <v>105</v>
      </c>
      <c r="D4700" t="s">
        <v>8544</v>
      </c>
      <c r="E4700" t="s">
        <v>84</v>
      </c>
      <c r="F4700" t="s">
        <v>72</v>
      </c>
      <c r="G4700" t="s">
        <v>96</v>
      </c>
      <c r="H4700" t="str">
        <f>"ΚΡΙΤΟΒΟΥΛΙΔΟΥ 26 ΧΑΝΙΑ"</f>
        <v>ΚΡΙΤΟΒΟΥΛΙΔΟΥ 26 ΧΑΝΙΑ</v>
      </c>
      <c r="I4700">
        <v>73134</v>
      </c>
      <c r="K4700">
        <v>6978116137</v>
      </c>
      <c r="M4700" t="s">
        <v>8545</v>
      </c>
      <c r="N4700" t="s">
        <v>683</v>
      </c>
      <c r="O4700" t="s">
        <v>684</v>
      </c>
      <c r="R4700" t="s">
        <v>57</v>
      </c>
      <c r="S4700">
        <v>11</v>
      </c>
      <c r="T4700">
        <v>184</v>
      </c>
      <c r="U4700" s="1">
        <v>34941</v>
      </c>
      <c r="V4700" t="s">
        <v>6729</v>
      </c>
      <c r="W4700" t="s">
        <v>6730</v>
      </c>
      <c r="X4700" t="s">
        <v>58</v>
      </c>
      <c r="Y4700">
        <v>18</v>
      </c>
      <c r="Z4700" t="s">
        <v>59</v>
      </c>
      <c r="AA4700" t="s">
        <v>59</v>
      </c>
      <c r="AB4700" t="s">
        <v>59</v>
      </c>
      <c r="AC4700" t="s">
        <v>59</v>
      </c>
      <c r="AD4700" t="s">
        <v>59</v>
      </c>
      <c r="AF4700" s="1">
        <v>34953</v>
      </c>
      <c r="AG4700" t="s">
        <v>125</v>
      </c>
      <c r="AH4700" t="s">
        <v>126</v>
      </c>
      <c r="AI4700" t="str">
        <f>"5001060"</f>
        <v>5001060</v>
      </c>
      <c r="AJ4700" t="s">
        <v>6914</v>
      </c>
      <c r="AK4700">
        <v>2821091763</v>
      </c>
      <c r="AL4700" t="s">
        <v>6915</v>
      </c>
      <c r="AM4700" t="s">
        <v>88</v>
      </c>
      <c r="AN4700" t="s">
        <v>88</v>
      </c>
      <c r="AO4700" t="s">
        <v>88</v>
      </c>
      <c r="AP4700" t="s">
        <v>88</v>
      </c>
      <c r="AQ4700">
        <v>1</v>
      </c>
      <c r="AR4700" t="s">
        <v>6729</v>
      </c>
      <c r="AS4700" t="s">
        <v>6730</v>
      </c>
      <c r="AT4700" t="s">
        <v>58</v>
      </c>
      <c r="AU4700" t="s">
        <v>68</v>
      </c>
      <c r="AV4700" t="s">
        <v>69</v>
      </c>
      <c r="AW4700" s="1">
        <v>25648</v>
      </c>
      <c r="AX4700">
        <v>2</v>
      </c>
    </row>
    <row r="4701" spans="1:50">
      <c r="A4701">
        <v>218297</v>
      </c>
      <c r="B4701" t="str">
        <f>"045853495"</f>
        <v>045853495</v>
      </c>
      <c r="C4701" t="s">
        <v>105</v>
      </c>
      <c r="D4701" t="s">
        <v>8546</v>
      </c>
      <c r="E4701" t="s">
        <v>154</v>
      </c>
      <c r="F4701" t="s">
        <v>106</v>
      </c>
      <c r="G4701" t="s">
        <v>314</v>
      </c>
      <c r="H4701" t="str">
        <f>" "</f>
        <v xml:space="preserve"> </v>
      </c>
      <c r="I4701">
        <v>73100</v>
      </c>
      <c r="J4701">
        <v>2821089210</v>
      </c>
      <c r="K4701">
        <v>6976120322</v>
      </c>
      <c r="M4701" t="s">
        <v>8547</v>
      </c>
      <c r="N4701" t="s">
        <v>292</v>
      </c>
      <c r="O4701" t="s">
        <v>293</v>
      </c>
      <c r="R4701" t="s">
        <v>57</v>
      </c>
      <c r="S4701">
        <v>6</v>
      </c>
      <c r="T4701">
        <v>599</v>
      </c>
      <c r="U4701" s="1">
        <v>39310</v>
      </c>
      <c r="V4701" t="s">
        <v>6729</v>
      </c>
      <c r="W4701" t="s">
        <v>6730</v>
      </c>
      <c r="X4701" t="s">
        <v>58</v>
      </c>
      <c r="Y4701">
        <v>20</v>
      </c>
      <c r="Z4701" t="s">
        <v>59</v>
      </c>
      <c r="AA4701" t="s">
        <v>59</v>
      </c>
      <c r="AB4701" t="s">
        <v>59</v>
      </c>
      <c r="AC4701" t="s">
        <v>59</v>
      </c>
      <c r="AD4701" t="s">
        <v>59</v>
      </c>
      <c r="AF4701" s="1">
        <v>39331</v>
      </c>
      <c r="AG4701" t="s">
        <v>125</v>
      </c>
      <c r="AH4701" t="s">
        <v>126</v>
      </c>
      <c r="AI4701" t="str">
        <f>"5004010"</f>
        <v>5004010</v>
      </c>
      <c r="AJ4701" t="s">
        <v>7166</v>
      </c>
      <c r="AK4701">
        <v>2822022067</v>
      </c>
      <c r="AL4701" t="s">
        <v>7167</v>
      </c>
      <c r="AM4701" t="s">
        <v>88</v>
      </c>
      <c r="AN4701" t="s">
        <v>6744</v>
      </c>
      <c r="AO4701" t="s">
        <v>6744</v>
      </c>
      <c r="AP4701" t="s">
        <v>6744</v>
      </c>
      <c r="AQ4701">
        <v>1</v>
      </c>
      <c r="AR4701" t="s">
        <v>6729</v>
      </c>
      <c r="AS4701" t="s">
        <v>6730</v>
      </c>
      <c r="AT4701" t="s">
        <v>58</v>
      </c>
      <c r="AU4701" t="s">
        <v>68</v>
      </c>
      <c r="AV4701" t="s">
        <v>69</v>
      </c>
      <c r="AW4701" s="1">
        <v>23190</v>
      </c>
      <c r="AX4701">
        <v>2</v>
      </c>
    </row>
    <row r="4702" spans="1:50">
      <c r="A4702">
        <v>190289</v>
      </c>
      <c r="B4702" t="str">
        <f>"065496640"</f>
        <v>065496640</v>
      </c>
      <c r="C4702" t="s">
        <v>50</v>
      </c>
      <c r="D4702" t="s">
        <v>4257</v>
      </c>
      <c r="E4702" t="s">
        <v>8548</v>
      </c>
      <c r="F4702" t="s">
        <v>72</v>
      </c>
      <c r="G4702" t="s">
        <v>2088</v>
      </c>
      <c r="H4702" t="str">
        <f>"ΠΑΤΡΙΑΡΧΟΥ ΙΩΑΝΝΙΚΕΙΟΥ 35 ΧΑΝΙΑ"</f>
        <v>ΠΑΤΡΙΑΡΧΟΥ ΙΩΑΝΝΙΚΕΙΟΥ 35 ΧΑΝΙΑ</v>
      </c>
      <c r="I4702">
        <v>73131</v>
      </c>
      <c r="J4702">
        <v>2821072898</v>
      </c>
      <c r="K4702">
        <v>6973749024</v>
      </c>
      <c r="M4702" t="s">
        <v>8549</v>
      </c>
      <c r="N4702" t="s">
        <v>1647</v>
      </c>
      <c r="O4702" t="s">
        <v>1648</v>
      </c>
      <c r="R4702" t="s">
        <v>57</v>
      </c>
      <c r="S4702">
        <v>11</v>
      </c>
      <c r="T4702">
        <v>219</v>
      </c>
      <c r="U4702" s="1">
        <v>37134</v>
      </c>
      <c r="V4702" t="s">
        <v>6729</v>
      </c>
      <c r="W4702" t="s">
        <v>6730</v>
      </c>
      <c r="X4702" t="s">
        <v>58</v>
      </c>
      <c r="Y4702">
        <v>18</v>
      </c>
      <c r="Z4702" t="s">
        <v>59</v>
      </c>
      <c r="AA4702" t="s">
        <v>59</v>
      </c>
      <c r="AB4702" t="s">
        <v>59</v>
      </c>
      <c r="AC4702" t="s">
        <v>59</v>
      </c>
      <c r="AD4702" t="s">
        <v>59</v>
      </c>
      <c r="AF4702" s="1">
        <v>37141</v>
      </c>
      <c r="AG4702" t="s">
        <v>125</v>
      </c>
      <c r="AH4702" t="s">
        <v>126</v>
      </c>
      <c r="AI4702" t="str">
        <f>"5001060"</f>
        <v>5001060</v>
      </c>
      <c r="AJ4702" t="s">
        <v>6914</v>
      </c>
      <c r="AK4702">
        <v>2821091763</v>
      </c>
      <c r="AL4702" t="s">
        <v>6915</v>
      </c>
      <c r="AM4702" t="s">
        <v>88</v>
      </c>
      <c r="AN4702" t="s">
        <v>88</v>
      </c>
      <c r="AO4702" t="s">
        <v>88</v>
      </c>
      <c r="AP4702" t="s">
        <v>88</v>
      </c>
      <c r="AQ4702">
        <v>1</v>
      </c>
      <c r="AR4702" t="s">
        <v>6729</v>
      </c>
      <c r="AS4702" t="s">
        <v>6730</v>
      </c>
      <c r="AT4702" t="s">
        <v>58</v>
      </c>
      <c r="AU4702" t="s">
        <v>68</v>
      </c>
      <c r="AV4702" t="s">
        <v>69</v>
      </c>
      <c r="AW4702" s="1">
        <v>22197</v>
      </c>
      <c r="AX4702">
        <v>2</v>
      </c>
    </row>
    <row r="4703" spans="1:50">
      <c r="A4703">
        <v>189657</v>
      </c>
      <c r="B4703" t="str">
        <f>"044595690"</f>
        <v>044595690</v>
      </c>
      <c r="C4703" t="s">
        <v>50</v>
      </c>
      <c r="D4703" t="s">
        <v>8550</v>
      </c>
      <c r="E4703" t="s">
        <v>314</v>
      </c>
      <c r="F4703" t="s">
        <v>72</v>
      </c>
      <c r="G4703" t="s">
        <v>367</v>
      </c>
      <c r="H4703" t="str">
        <f>" "</f>
        <v xml:space="preserve"> </v>
      </c>
      <c r="M4703" t="s">
        <v>8551</v>
      </c>
      <c r="N4703" t="s">
        <v>146</v>
      </c>
      <c r="O4703" t="s">
        <v>147</v>
      </c>
      <c r="R4703" t="s">
        <v>57</v>
      </c>
      <c r="S4703">
        <v>10</v>
      </c>
      <c r="T4703">
        <v>219</v>
      </c>
      <c r="U4703" s="1">
        <v>37134</v>
      </c>
      <c r="V4703" t="s">
        <v>6729</v>
      </c>
      <c r="W4703" t="s">
        <v>6730</v>
      </c>
      <c r="X4703" t="s">
        <v>58</v>
      </c>
      <c r="Y4703">
        <v>20</v>
      </c>
      <c r="Z4703" t="s">
        <v>59</v>
      </c>
      <c r="AA4703" t="s">
        <v>59</v>
      </c>
      <c r="AB4703" t="s">
        <v>59</v>
      </c>
      <c r="AC4703" t="s">
        <v>59</v>
      </c>
      <c r="AD4703" t="s">
        <v>59</v>
      </c>
      <c r="AF4703" s="1">
        <v>37498</v>
      </c>
      <c r="AG4703" t="s">
        <v>125</v>
      </c>
      <c r="AH4703" t="s">
        <v>126</v>
      </c>
      <c r="AI4703" t="str">
        <f>"5009010"</f>
        <v>5009010</v>
      </c>
      <c r="AJ4703" t="s">
        <v>6901</v>
      </c>
      <c r="AK4703">
        <v>2821077212</v>
      </c>
      <c r="AL4703" t="s">
        <v>6902</v>
      </c>
      <c r="AM4703" t="s">
        <v>88</v>
      </c>
      <c r="AN4703" t="s">
        <v>6764</v>
      </c>
      <c r="AO4703" t="s">
        <v>6885</v>
      </c>
      <c r="AP4703" t="s">
        <v>6886</v>
      </c>
      <c r="AQ4703">
        <v>1</v>
      </c>
      <c r="AR4703" t="s">
        <v>6729</v>
      </c>
      <c r="AS4703" t="s">
        <v>6730</v>
      </c>
      <c r="AT4703" t="s">
        <v>58</v>
      </c>
      <c r="AU4703" t="s">
        <v>68</v>
      </c>
      <c r="AV4703" t="s">
        <v>69</v>
      </c>
      <c r="AW4703" s="1">
        <v>25951</v>
      </c>
      <c r="AX4703">
        <v>2</v>
      </c>
    </row>
    <row r="4704" spans="1:50">
      <c r="A4704">
        <v>172644</v>
      </c>
      <c r="B4704" t="str">
        <f>"043428667"</f>
        <v>043428667</v>
      </c>
      <c r="C4704" t="s">
        <v>105</v>
      </c>
      <c r="D4704" t="s">
        <v>6660</v>
      </c>
      <c r="E4704" t="s">
        <v>95</v>
      </c>
      <c r="F4704" t="s">
        <v>8552</v>
      </c>
      <c r="G4704" t="s">
        <v>610</v>
      </c>
      <c r="H4704" t="str">
        <f>" ΠΛΑΚΟΥΡΙΑ"</f>
        <v xml:space="preserve"> ΠΛΑΚΟΥΡΙΑ</v>
      </c>
      <c r="I4704">
        <v>73400</v>
      </c>
      <c r="K4704">
        <v>6955173174</v>
      </c>
      <c r="M4704" t="s">
        <v>8553</v>
      </c>
      <c r="N4704" t="s">
        <v>204</v>
      </c>
      <c r="O4704" t="s">
        <v>205</v>
      </c>
      <c r="P4704" t="s">
        <v>292</v>
      </c>
      <c r="Q4704" t="s">
        <v>293</v>
      </c>
      <c r="R4704" t="s">
        <v>57</v>
      </c>
      <c r="S4704">
        <v>11</v>
      </c>
      <c r="T4704">
        <v>184</v>
      </c>
      <c r="U4704" s="1">
        <v>34941</v>
      </c>
      <c r="V4704" t="s">
        <v>6729</v>
      </c>
      <c r="W4704" t="s">
        <v>6730</v>
      </c>
      <c r="X4704" t="s">
        <v>58</v>
      </c>
      <c r="Y4704">
        <v>18</v>
      </c>
      <c r="Z4704" t="s">
        <v>59</v>
      </c>
      <c r="AA4704" t="s">
        <v>59</v>
      </c>
      <c r="AB4704" t="s">
        <v>59</v>
      </c>
      <c r="AC4704" t="s">
        <v>59</v>
      </c>
      <c r="AD4704" t="s">
        <v>59</v>
      </c>
      <c r="AF4704" s="1">
        <v>34953</v>
      </c>
      <c r="AG4704" t="s">
        <v>125</v>
      </c>
      <c r="AH4704" t="s">
        <v>126</v>
      </c>
      <c r="AI4704" t="str">
        <f>"5004010"</f>
        <v>5004010</v>
      </c>
      <c r="AJ4704" t="s">
        <v>7166</v>
      </c>
      <c r="AK4704">
        <v>2822022067</v>
      </c>
      <c r="AL4704" t="s">
        <v>7167</v>
      </c>
      <c r="AM4704" t="s">
        <v>88</v>
      </c>
      <c r="AN4704" t="s">
        <v>6744</v>
      </c>
      <c r="AO4704" t="s">
        <v>6744</v>
      </c>
      <c r="AP4704" t="s">
        <v>6744</v>
      </c>
      <c r="AQ4704">
        <v>1</v>
      </c>
      <c r="AR4704" t="s">
        <v>6729</v>
      </c>
      <c r="AS4704" t="s">
        <v>6730</v>
      </c>
      <c r="AT4704" t="s">
        <v>58</v>
      </c>
      <c r="AU4704" t="s">
        <v>68</v>
      </c>
      <c r="AV4704" t="s">
        <v>69</v>
      </c>
      <c r="AW4704" s="1">
        <v>24236</v>
      </c>
      <c r="AX4704">
        <v>2</v>
      </c>
    </row>
    <row r="4705" spans="1:50">
      <c r="A4705">
        <v>150733</v>
      </c>
      <c r="B4705" t="str">
        <f>"113193368"</f>
        <v>113193368</v>
      </c>
      <c r="C4705" t="s">
        <v>50</v>
      </c>
      <c r="D4705" t="s">
        <v>8554</v>
      </c>
      <c r="E4705" t="s">
        <v>964</v>
      </c>
      <c r="F4705" t="s">
        <v>106</v>
      </c>
      <c r="G4705" t="s">
        <v>2564</v>
      </c>
      <c r="H4705" t="str">
        <f>" "</f>
        <v xml:space="preserve"> </v>
      </c>
      <c r="N4705" t="s">
        <v>146</v>
      </c>
      <c r="O4705" t="s">
        <v>147</v>
      </c>
      <c r="R4705" t="s">
        <v>57</v>
      </c>
      <c r="S4705">
        <v>15</v>
      </c>
      <c r="T4705">
        <v>170</v>
      </c>
      <c r="U4705" s="1">
        <v>32016</v>
      </c>
      <c r="V4705" t="s">
        <v>6729</v>
      </c>
      <c r="W4705" t="s">
        <v>6730</v>
      </c>
      <c r="X4705" t="s">
        <v>58</v>
      </c>
      <c r="Y4705">
        <v>18</v>
      </c>
      <c r="Z4705" t="s">
        <v>59</v>
      </c>
      <c r="AA4705" t="s">
        <v>59</v>
      </c>
      <c r="AB4705" t="s">
        <v>59</v>
      </c>
      <c r="AC4705" t="s">
        <v>59</v>
      </c>
      <c r="AD4705" t="s">
        <v>59</v>
      </c>
      <c r="AF4705" s="1">
        <v>32027</v>
      </c>
      <c r="AG4705" t="s">
        <v>148</v>
      </c>
      <c r="AH4705" t="s">
        <v>149</v>
      </c>
      <c r="AI4705" t="str">
        <f>"5062010"</f>
        <v>5062010</v>
      </c>
      <c r="AJ4705" t="s">
        <v>6783</v>
      </c>
      <c r="AK4705">
        <v>2821031620</v>
      </c>
      <c r="AL4705" t="s">
        <v>6784</v>
      </c>
      <c r="AM4705" t="s">
        <v>88</v>
      </c>
      <c r="AN4705" t="s">
        <v>88</v>
      </c>
      <c r="AO4705" t="s">
        <v>6785</v>
      </c>
      <c r="AP4705" t="s">
        <v>6786</v>
      </c>
      <c r="AQ4705">
        <v>1</v>
      </c>
      <c r="AR4705" t="s">
        <v>6729</v>
      </c>
      <c r="AS4705" t="s">
        <v>6730</v>
      </c>
      <c r="AT4705" t="s">
        <v>58</v>
      </c>
      <c r="AU4705" t="s">
        <v>68</v>
      </c>
      <c r="AV4705" t="s">
        <v>69</v>
      </c>
      <c r="AW4705" s="1">
        <v>22034</v>
      </c>
      <c r="AX4705">
        <v>2</v>
      </c>
    </row>
    <row r="4706" spans="1:50">
      <c r="A4706">
        <v>229283</v>
      </c>
      <c r="B4706" t="str">
        <f>"113774845"</f>
        <v>113774845</v>
      </c>
      <c r="C4706" t="s">
        <v>50</v>
      </c>
      <c r="D4706" t="s">
        <v>8554</v>
      </c>
      <c r="E4706" t="s">
        <v>52</v>
      </c>
      <c r="F4706" t="s">
        <v>1093</v>
      </c>
      <c r="G4706" t="s">
        <v>513</v>
      </c>
      <c r="H4706" t="str">
        <f>"ΜΑΡΚΟΥ ΜΠΟΤΣΑΡΗ 18 "</f>
        <v xml:space="preserve">ΜΑΡΚΟΥ ΜΠΟΤΣΑΡΗ 18 </v>
      </c>
      <c r="I4706">
        <v>67100</v>
      </c>
      <c r="K4706">
        <v>6973390835</v>
      </c>
      <c r="L4706">
        <v>2310630274</v>
      </c>
      <c r="M4706" t="s">
        <v>8555</v>
      </c>
      <c r="N4706" t="s">
        <v>683</v>
      </c>
      <c r="O4706" t="s">
        <v>684</v>
      </c>
      <c r="R4706" t="s">
        <v>57</v>
      </c>
      <c r="S4706">
        <v>5</v>
      </c>
      <c r="T4706" t="s">
        <v>8556</v>
      </c>
      <c r="U4706" s="1">
        <v>40081</v>
      </c>
      <c r="V4706" t="s">
        <v>6729</v>
      </c>
      <c r="W4706" t="s">
        <v>6730</v>
      </c>
      <c r="X4706" t="s">
        <v>58</v>
      </c>
      <c r="Y4706">
        <v>21</v>
      </c>
      <c r="Z4706" t="s">
        <v>59</v>
      </c>
      <c r="AA4706" t="s">
        <v>59</v>
      </c>
      <c r="AB4706" t="s">
        <v>59</v>
      </c>
      <c r="AC4706" t="s">
        <v>59</v>
      </c>
      <c r="AD4706" t="s">
        <v>59</v>
      </c>
      <c r="AF4706" s="1">
        <v>40081</v>
      </c>
      <c r="AG4706" t="s">
        <v>125</v>
      </c>
      <c r="AH4706" t="s">
        <v>126</v>
      </c>
      <c r="AI4706" t="str">
        <f>"5004020"</f>
        <v>5004020</v>
      </c>
      <c r="AJ4706" t="s">
        <v>6806</v>
      </c>
      <c r="AK4706">
        <v>2822022103</v>
      </c>
      <c r="AL4706" t="s">
        <v>6807</v>
      </c>
      <c r="AM4706" t="s">
        <v>88</v>
      </c>
      <c r="AN4706" t="s">
        <v>6744</v>
      </c>
      <c r="AO4706" t="s">
        <v>6744</v>
      </c>
      <c r="AP4706" t="s">
        <v>6744</v>
      </c>
      <c r="AQ4706">
        <v>1</v>
      </c>
      <c r="AR4706" t="s">
        <v>6729</v>
      </c>
      <c r="AS4706" t="s">
        <v>6730</v>
      </c>
      <c r="AT4706" t="s">
        <v>58</v>
      </c>
      <c r="AU4706" t="s">
        <v>68</v>
      </c>
      <c r="AV4706" t="s">
        <v>132</v>
      </c>
      <c r="AW4706" s="1">
        <v>27885</v>
      </c>
      <c r="AX4706">
        <v>2</v>
      </c>
    </row>
    <row r="4707" spans="1:50">
      <c r="A4707">
        <v>704173</v>
      </c>
      <c r="B4707" t="str">
        <f>"052597020"</f>
        <v>052597020</v>
      </c>
      <c r="C4707" t="s">
        <v>105</v>
      </c>
      <c r="D4707" t="s">
        <v>8557</v>
      </c>
      <c r="E4707" t="s">
        <v>995</v>
      </c>
      <c r="F4707" t="s">
        <v>581</v>
      </c>
      <c r="G4707" t="s">
        <v>181</v>
      </c>
      <c r="H4707" t="str">
        <f>" "</f>
        <v xml:space="preserve"> </v>
      </c>
      <c r="N4707" t="s">
        <v>1424</v>
      </c>
      <c r="O4707" t="s">
        <v>1096</v>
      </c>
      <c r="R4707" t="s">
        <v>121</v>
      </c>
      <c r="S4707">
        <v>1</v>
      </c>
      <c r="T4707">
        <v>1350</v>
      </c>
      <c r="U4707" s="1">
        <v>42732</v>
      </c>
      <c r="V4707" t="s">
        <v>6729</v>
      </c>
      <c r="W4707" t="s">
        <v>6730</v>
      </c>
      <c r="X4707" t="s">
        <v>58</v>
      </c>
      <c r="Y4707">
        <v>23</v>
      </c>
      <c r="Z4707" t="s">
        <v>59</v>
      </c>
      <c r="AA4707" t="s">
        <v>59</v>
      </c>
      <c r="AB4707" t="s">
        <v>59</v>
      </c>
      <c r="AC4707" t="s">
        <v>59</v>
      </c>
      <c r="AD4707" t="s">
        <v>59</v>
      </c>
      <c r="AF4707" s="1">
        <v>42734</v>
      </c>
      <c r="AG4707" t="s">
        <v>137</v>
      </c>
      <c r="AH4707" t="s">
        <v>469</v>
      </c>
      <c r="AI4707" t="str">
        <f>"5040055"</f>
        <v>5040055</v>
      </c>
      <c r="AJ4707" t="s">
        <v>6940</v>
      </c>
      <c r="AK4707">
        <v>2821036404</v>
      </c>
      <c r="AL4707" t="s">
        <v>6941</v>
      </c>
      <c r="AM4707" t="s">
        <v>88</v>
      </c>
      <c r="AN4707" t="s">
        <v>88</v>
      </c>
      <c r="AO4707" t="s">
        <v>88</v>
      </c>
      <c r="AP4707" t="s">
        <v>88</v>
      </c>
      <c r="AQ4707">
        <v>1</v>
      </c>
      <c r="AR4707" t="s">
        <v>6729</v>
      </c>
      <c r="AS4707" t="s">
        <v>6730</v>
      </c>
      <c r="AT4707" t="s">
        <v>58</v>
      </c>
      <c r="AU4707" t="s">
        <v>68</v>
      </c>
      <c r="AV4707" t="s">
        <v>132</v>
      </c>
      <c r="AW4707" s="1">
        <v>27531</v>
      </c>
      <c r="AX4707">
        <v>2</v>
      </c>
    </row>
    <row r="4708" spans="1:50">
      <c r="A4708">
        <v>156942</v>
      </c>
      <c r="B4708" t="str">
        <f>"027493256"</f>
        <v>027493256</v>
      </c>
      <c r="C4708" t="s">
        <v>105</v>
      </c>
      <c r="D4708" t="s">
        <v>8558</v>
      </c>
      <c r="E4708" t="s">
        <v>95</v>
      </c>
      <c r="F4708" t="s">
        <v>670</v>
      </c>
      <c r="G4708" t="s">
        <v>8559</v>
      </c>
      <c r="H4708" t="str">
        <f>" "</f>
        <v xml:space="preserve"> </v>
      </c>
      <c r="J4708">
        <v>2821095373</v>
      </c>
      <c r="K4708">
        <v>6932088671</v>
      </c>
      <c r="N4708" t="s">
        <v>232</v>
      </c>
      <c r="O4708" t="s">
        <v>233</v>
      </c>
      <c r="R4708" t="s">
        <v>57</v>
      </c>
      <c r="S4708">
        <v>16</v>
      </c>
      <c r="T4708">
        <v>188</v>
      </c>
      <c r="U4708" s="1">
        <v>32752</v>
      </c>
      <c r="V4708" t="s">
        <v>6729</v>
      </c>
      <c r="W4708" t="s">
        <v>6730</v>
      </c>
      <c r="X4708" t="s">
        <v>58</v>
      </c>
      <c r="Y4708">
        <v>18</v>
      </c>
      <c r="Z4708" t="s">
        <v>59</v>
      </c>
      <c r="AA4708" t="s">
        <v>59</v>
      </c>
      <c r="AB4708" t="s">
        <v>59</v>
      </c>
      <c r="AC4708" t="s">
        <v>59</v>
      </c>
      <c r="AD4708" t="s">
        <v>59</v>
      </c>
      <c r="AF4708" s="1">
        <v>32762</v>
      </c>
      <c r="AG4708" t="s">
        <v>148</v>
      </c>
      <c r="AH4708" t="s">
        <v>149</v>
      </c>
      <c r="AI4708" t="str">
        <f>"5051050"</f>
        <v>5051050</v>
      </c>
      <c r="AJ4708" t="s">
        <v>6861</v>
      </c>
      <c r="AK4708">
        <v>2821044860</v>
      </c>
      <c r="AL4708" t="s">
        <v>6862</v>
      </c>
      <c r="AM4708" t="s">
        <v>88</v>
      </c>
      <c r="AN4708" t="s">
        <v>88</v>
      </c>
      <c r="AO4708" t="s">
        <v>88</v>
      </c>
      <c r="AP4708" t="s">
        <v>88</v>
      </c>
      <c r="AQ4708">
        <v>1</v>
      </c>
      <c r="AR4708" t="s">
        <v>6729</v>
      </c>
      <c r="AS4708" t="s">
        <v>6730</v>
      </c>
      <c r="AT4708" t="s">
        <v>58</v>
      </c>
      <c r="AU4708" t="s">
        <v>68</v>
      </c>
      <c r="AV4708" t="s">
        <v>69</v>
      </c>
      <c r="AW4708" s="1">
        <v>20617</v>
      </c>
      <c r="AX4708">
        <v>2</v>
      </c>
    </row>
    <row r="4709" spans="1:50">
      <c r="A4709">
        <v>213997</v>
      </c>
      <c r="B4709" t="str">
        <f>"066836057"</f>
        <v>066836057</v>
      </c>
      <c r="C4709" t="s">
        <v>50</v>
      </c>
      <c r="D4709" t="s">
        <v>8560</v>
      </c>
      <c r="E4709" t="s">
        <v>255</v>
      </c>
      <c r="F4709" t="s">
        <v>106</v>
      </c>
      <c r="G4709" t="s">
        <v>237</v>
      </c>
      <c r="H4709" t="str">
        <f>"ΒΑΜΟΣ ΑΠΟΚΟΡΩΝΟΥ "</f>
        <v xml:space="preserve">ΒΑΜΟΣ ΑΠΟΚΟΡΩΝΟΥ </v>
      </c>
      <c r="I4709">
        <v>73008</v>
      </c>
      <c r="J4709">
        <v>2821071368</v>
      </c>
      <c r="K4709">
        <v>6973823208</v>
      </c>
      <c r="M4709" t="s">
        <v>8561</v>
      </c>
      <c r="N4709" t="s">
        <v>306</v>
      </c>
      <c r="O4709" t="s">
        <v>307</v>
      </c>
      <c r="R4709" t="s">
        <v>57</v>
      </c>
      <c r="S4709">
        <v>6</v>
      </c>
      <c r="T4709">
        <v>231</v>
      </c>
      <c r="U4709" s="1">
        <v>38960</v>
      </c>
      <c r="V4709" t="s">
        <v>6729</v>
      </c>
      <c r="W4709" t="s">
        <v>6730</v>
      </c>
      <c r="X4709" t="s">
        <v>58</v>
      </c>
      <c r="Y4709">
        <v>20</v>
      </c>
      <c r="Z4709" t="s">
        <v>59</v>
      </c>
      <c r="AA4709" t="s">
        <v>59</v>
      </c>
      <c r="AB4709" t="s">
        <v>59</v>
      </c>
      <c r="AC4709" t="s">
        <v>59</v>
      </c>
      <c r="AD4709" t="s">
        <v>59</v>
      </c>
      <c r="AF4709" s="1">
        <v>38961</v>
      </c>
      <c r="AG4709" t="s">
        <v>137</v>
      </c>
      <c r="AH4709" t="s">
        <v>138</v>
      </c>
      <c r="AI4709" t="str">
        <f>"5040105"</f>
        <v>5040105</v>
      </c>
      <c r="AJ4709" t="s">
        <v>6969</v>
      </c>
      <c r="AK4709">
        <v>2825051703</v>
      </c>
      <c r="AL4709" t="s">
        <v>6970</v>
      </c>
      <c r="AM4709" t="s">
        <v>88</v>
      </c>
      <c r="AN4709" t="s">
        <v>6775</v>
      </c>
      <c r="AO4709" t="s">
        <v>6781</v>
      </c>
      <c r="AP4709" t="s">
        <v>6782</v>
      </c>
      <c r="AQ4709">
        <v>1</v>
      </c>
      <c r="AR4709" t="s">
        <v>6729</v>
      </c>
      <c r="AS4709" t="s">
        <v>6730</v>
      </c>
      <c r="AT4709" t="s">
        <v>58</v>
      </c>
      <c r="AU4709" t="s">
        <v>68</v>
      </c>
      <c r="AV4709" t="s">
        <v>69</v>
      </c>
      <c r="AW4709" s="1">
        <v>28270</v>
      </c>
      <c r="AX4709">
        <v>2</v>
      </c>
    </row>
    <row r="4710" spans="1:50">
      <c r="A4710">
        <v>218299</v>
      </c>
      <c r="B4710" t="str">
        <f>"047858425"</f>
        <v>047858425</v>
      </c>
      <c r="C4710" t="s">
        <v>50</v>
      </c>
      <c r="D4710" t="s">
        <v>8562</v>
      </c>
      <c r="E4710" t="s">
        <v>250</v>
      </c>
      <c r="F4710" t="s">
        <v>311</v>
      </c>
      <c r="G4710" t="s">
        <v>8563</v>
      </c>
      <c r="H4710" t="str">
        <f>"Γ. ΡΙΤΣΟΥ 22 ΧΑΝΙΑ"</f>
        <v>Γ. ΡΙΤΣΟΥ 22 ΧΑΝΙΑ</v>
      </c>
      <c r="I4710">
        <v>73100</v>
      </c>
      <c r="J4710">
        <v>2821072623</v>
      </c>
      <c r="K4710">
        <v>6942408161</v>
      </c>
      <c r="M4710" t="s">
        <v>8564</v>
      </c>
      <c r="N4710" t="s">
        <v>292</v>
      </c>
      <c r="O4710" t="s">
        <v>293</v>
      </c>
      <c r="R4710" t="s">
        <v>57</v>
      </c>
      <c r="S4710">
        <v>10</v>
      </c>
      <c r="T4710">
        <v>599</v>
      </c>
      <c r="U4710" s="1">
        <v>39310</v>
      </c>
      <c r="V4710" t="s">
        <v>6729</v>
      </c>
      <c r="W4710" t="s">
        <v>6730</v>
      </c>
      <c r="X4710" t="s">
        <v>58</v>
      </c>
      <c r="Y4710">
        <v>20</v>
      </c>
      <c r="Z4710" t="s">
        <v>59</v>
      </c>
      <c r="AA4710" t="s">
        <v>59</v>
      </c>
      <c r="AB4710" t="s">
        <v>59</v>
      </c>
      <c r="AC4710" t="s">
        <v>59</v>
      </c>
      <c r="AD4710" t="s">
        <v>59</v>
      </c>
      <c r="AF4710" s="1">
        <v>39330</v>
      </c>
      <c r="AG4710" t="s">
        <v>125</v>
      </c>
      <c r="AH4710" t="s">
        <v>294</v>
      </c>
      <c r="AI4710" t="str">
        <f>"5012017"</f>
        <v>5012017</v>
      </c>
      <c r="AJ4710" t="s">
        <v>6859</v>
      </c>
      <c r="AK4710">
        <v>2821088065</v>
      </c>
      <c r="AL4710" t="s">
        <v>6860</v>
      </c>
      <c r="AM4710" t="s">
        <v>88</v>
      </c>
      <c r="AN4710" t="s">
        <v>88</v>
      </c>
      <c r="AO4710" t="s">
        <v>88</v>
      </c>
      <c r="AP4710" t="s">
        <v>88</v>
      </c>
      <c r="AQ4710">
        <v>1</v>
      </c>
      <c r="AR4710" t="s">
        <v>6729</v>
      </c>
      <c r="AS4710" t="s">
        <v>6730</v>
      </c>
      <c r="AT4710" t="s">
        <v>58</v>
      </c>
      <c r="AU4710" t="s">
        <v>68</v>
      </c>
      <c r="AV4710" t="s">
        <v>69</v>
      </c>
      <c r="AW4710" s="1">
        <v>26976</v>
      </c>
      <c r="AX4710">
        <v>2</v>
      </c>
    </row>
    <row r="4711" spans="1:50">
      <c r="A4711">
        <v>170162</v>
      </c>
      <c r="B4711" t="str">
        <f>"036322569"</f>
        <v>036322569</v>
      </c>
      <c r="C4711" t="s">
        <v>50</v>
      </c>
      <c r="D4711" t="s">
        <v>8565</v>
      </c>
      <c r="E4711" t="s">
        <v>1755</v>
      </c>
      <c r="F4711" t="s">
        <v>95</v>
      </c>
      <c r="G4711" t="s">
        <v>52</v>
      </c>
      <c r="H4711" t="str">
        <f>"ΠΑΤΡΙΑΡΧΟΥ ΙΩΑΝΝΙΚΕΙΟΥ 17Α ΧΑΝΙΑ"</f>
        <v>ΠΑΤΡΙΑΡΧΟΥ ΙΩΑΝΝΙΚΕΙΟΥ 17Α ΧΑΝΙΑ</v>
      </c>
      <c r="I4711">
        <v>73131</v>
      </c>
      <c r="J4711">
        <v>2821095881</v>
      </c>
      <c r="L4711">
        <v>2824022511</v>
      </c>
      <c r="N4711" t="s">
        <v>146</v>
      </c>
      <c r="O4711" t="s">
        <v>147</v>
      </c>
      <c r="R4711" t="s">
        <v>57</v>
      </c>
      <c r="S4711">
        <v>13</v>
      </c>
      <c r="T4711">
        <v>184</v>
      </c>
      <c r="U4711" s="1">
        <v>34941</v>
      </c>
      <c r="V4711" t="s">
        <v>6729</v>
      </c>
      <c r="W4711" t="s">
        <v>6730</v>
      </c>
      <c r="X4711" t="s">
        <v>58</v>
      </c>
      <c r="Y4711">
        <v>18</v>
      </c>
      <c r="Z4711" t="s">
        <v>59</v>
      </c>
      <c r="AA4711" t="s">
        <v>59</v>
      </c>
      <c r="AB4711" t="s">
        <v>59</v>
      </c>
      <c r="AC4711" t="s">
        <v>59</v>
      </c>
      <c r="AD4711" t="s">
        <v>59</v>
      </c>
      <c r="AF4711" s="1">
        <v>34943</v>
      </c>
      <c r="AG4711" t="s">
        <v>125</v>
      </c>
      <c r="AH4711" t="s">
        <v>126</v>
      </c>
      <c r="AI4711" t="str">
        <f>"5012010"</f>
        <v>5012010</v>
      </c>
      <c r="AJ4711" t="s">
        <v>6794</v>
      </c>
      <c r="AK4711">
        <v>2821033195</v>
      </c>
      <c r="AL4711" t="s">
        <v>6795</v>
      </c>
      <c r="AM4711" t="s">
        <v>88</v>
      </c>
      <c r="AN4711" t="s">
        <v>88</v>
      </c>
      <c r="AO4711" t="s">
        <v>6785</v>
      </c>
      <c r="AP4711" t="s">
        <v>6786</v>
      </c>
      <c r="AQ4711">
        <v>1</v>
      </c>
      <c r="AR4711" t="s">
        <v>6729</v>
      </c>
      <c r="AS4711" t="s">
        <v>6730</v>
      </c>
      <c r="AT4711" t="s">
        <v>58</v>
      </c>
      <c r="AU4711" t="s">
        <v>68</v>
      </c>
      <c r="AV4711" t="s">
        <v>69</v>
      </c>
      <c r="AW4711" s="1">
        <v>23510</v>
      </c>
      <c r="AX4711">
        <v>2</v>
      </c>
    </row>
    <row r="4712" spans="1:50">
      <c r="A4712">
        <v>180985</v>
      </c>
      <c r="B4712" t="str">
        <f>"045252272"</f>
        <v>045252272</v>
      </c>
      <c r="C4712" t="s">
        <v>50</v>
      </c>
      <c r="D4712" t="s">
        <v>8566</v>
      </c>
      <c r="E4712" t="s">
        <v>52</v>
      </c>
      <c r="F4712" t="s">
        <v>166</v>
      </c>
      <c r="G4712" t="s">
        <v>93</v>
      </c>
      <c r="H4712" t="str">
        <f>" "</f>
        <v xml:space="preserve"> </v>
      </c>
      <c r="K4712">
        <v>6970791312</v>
      </c>
      <c r="N4712" t="s">
        <v>478</v>
      </c>
      <c r="O4712" t="s">
        <v>479</v>
      </c>
      <c r="R4712" t="s">
        <v>57</v>
      </c>
      <c r="S4712">
        <v>16</v>
      </c>
      <c r="T4712">
        <v>181</v>
      </c>
      <c r="U4712" s="1">
        <v>36039</v>
      </c>
      <c r="V4712" t="s">
        <v>6729</v>
      </c>
      <c r="W4712" t="s">
        <v>6730</v>
      </c>
      <c r="X4712" t="s">
        <v>58</v>
      </c>
      <c r="Y4712">
        <v>18</v>
      </c>
      <c r="Z4712" t="s">
        <v>59</v>
      </c>
      <c r="AA4712" t="s">
        <v>59</v>
      </c>
      <c r="AB4712" t="s">
        <v>59</v>
      </c>
      <c r="AC4712" t="s">
        <v>59</v>
      </c>
      <c r="AD4712" t="s">
        <v>59</v>
      </c>
      <c r="AF4712" s="1">
        <v>36041</v>
      </c>
      <c r="AG4712" t="s">
        <v>125</v>
      </c>
      <c r="AH4712" t="s">
        <v>126</v>
      </c>
      <c r="AI4712" t="str">
        <f>"5001040"</f>
        <v>5001040</v>
      </c>
      <c r="AJ4712" t="s">
        <v>7126</v>
      </c>
      <c r="AK4712">
        <v>2821088010</v>
      </c>
      <c r="AM4712" t="s">
        <v>88</v>
      </c>
      <c r="AN4712" t="s">
        <v>88</v>
      </c>
      <c r="AO4712" t="s">
        <v>88</v>
      </c>
      <c r="AP4712" t="s">
        <v>88</v>
      </c>
      <c r="AQ4712">
        <v>1</v>
      </c>
      <c r="AR4712" t="s">
        <v>6729</v>
      </c>
      <c r="AS4712" t="s">
        <v>6730</v>
      </c>
      <c r="AT4712" t="s">
        <v>58</v>
      </c>
      <c r="AU4712" t="s">
        <v>68</v>
      </c>
      <c r="AV4712" t="s">
        <v>69</v>
      </c>
      <c r="AW4712" s="1">
        <v>21336</v>
      </c>
      <c r="AX4712">
        <v>2</v>
      </c>
    </row>
    <row r="4713" spans="1:50">
      <c r="B4713" t="str">
        <f>"144046445"</f>
        <v>144046445</v>
      </c>
      <c r="C4713" t="s">
        <v>50</v>
      </c>
      <c r="D4713" t="s">
        <v>4281</v>
      </c>
      <c r="E4713" t="s">
        <v>396</v>
      </c>
      <c r="F4713" t="s">
        <v>106</v>
      </c>
      <c r="G4713" t="s">
        <v>755</v>
      </c>
      <c r="H4713" t="str">
        <f>"ΑΓΙΟΥ ΔΗΜΗΤΡΙΟΥ 91 ΚΑΛΑΜΑΚΙ"</f>
        <v>ΑΓΙΟΥ ΔΗΜΗΤΡΙΟΥ 91 ΚΑΛΑΜΑΚΙ</v>
      </c>
      <c r="I4713">
        <v>73100</v>
      </c>
      <c r="J4713">
        <v>2821032776</v>
      </c>
      <c r="K4713">
        <v>6977075447</v>
      </c>
      <c r="M4713" t="s">
        <v>8567</v>
      </c>
      <c r="N4713" t="s">
        <v>536</v>
      </c>
      <c r="O4713" t="s">
        <v>537</v>
      </c>
      <c r="R4713" t="s">
        <v>121</v>
      </c>
      <c r="S4713">
        <v>3</v>
      </c>
      <c r="T4713" t="s">
        <v>122</v>
      </c>
      <c r="U4713" s="1">
        <v>43348</v>
      </c>
      <c r="V4713" t="s">
        <v>6729</v>
      </c>
      <c r="W4713" t="s">
        <v>6730</v>
      </c>
      <c r="X4713" t="s">
        <v>58</v>
      </c>
      <c r="Y4713">
        <v>23</v>
      </c>
      <c r="Z4713" t="s">
        <v>59</v>
      </c>
      <c r="AA4713" t="s">
        <v>59</v>
      </c>
      <c r="AB4713" t="s">
        <v>59</v>
      </c>
      <c r="AD4713" t="s">
        <v>59</v>
      </c>
      <c r="AF4713" s="1">
        <v>43348</v>
      </c>
      <c r="AG4713" t="s">
        <v>148</v>
      </c>
      <c r="AH4713" t="s">
        <v>149</v>
      </c>
      <c r="AI4713" t="str">
        <f>"5090080"</f>
        <v>5090080</v>
      </c>
      <c r="AJ4713" t="s">
        <v>6906</v>
      </c>
      <c r="AK4713">
        <v>2821096638</v>
      </c>
      <c r="AL4713" t="s">
        <v>6907</v>
      </c>
      <c r="AM4713" t="s">
        <v>88</v>
      </c>
      <c r="AN4713" t="s">
        <v>88</v>
      </c>
      <c r="AO4713" t="s">
        <v>88</v>
      </c>
      <c r="AP4713" t="s">
        <v>88</v>
      </c>
      <c r="AQ4713">
        <v>1</v>
      </c>
      <c r="AR4713" t="s">
        <v>6729</v>
      </c>
      <c r="AS4713" t="s">
        <v>6730</v>
      </c>
      <c r="AT4713" t="s">
        <v>58</v>
      </c>
      <c r="AU4713" t="s">
        <v>131</v>
      </c>
      <c r="AV4713" t="s">
        <v>132</v>
      </c>
      <c r="AW4713" s="1">
        <v>32672</v>
      </c>
      <c r="AX4713">
        <v>2</v>
      </c>
    </row>
    <row r="4714" spans="1:50">
      <c r="A4714">
        <v>171485</v>
      </c>
      <c r="B4714" t="str">
        <f>"034481561"</f>
        <v>034481561</v>
      </c>
      <c r="C4714" t="s">
        <v>105</v>
      </c>
      <c r="D4714" t="s">
        <v>4286</v>
      </c>
      <c r="E4714" t="s">
        <v>4612</v>
      </c>
      <c r="F4714" t="s">
        <v>95</v>
      </c>
      <c r="G4714" t="s">
        <v>658</v>
      </c>
      <c r="H4714" t="str">
        <f>" "</f>
        <v xml:space="preserve"> </v>
      </c>
      <c r="N4714" t="s">
        <v>299</v>
      </c>
      <c r="O4714" t="s">
        <v>300</v>
      </c>
      <c r="P4714" t="s">
        <v>176</v>
      </c>
      <c r="Q4714" t="s">
        <v>177</v>
      </c>
      <c r="R4714" t="s">
        <v>57</v>
      </c>
      <c r="S4714">
        <v>13</v>
      </c>
      <c r="T4714">
        <v>184</v>
      </c>
      <c r="U4714" s="1">
        <v>34941</v>
      </c>
      <c r="V4714" t="s">
        <v>6729</v>
      </c>
      <c r="W4714" t="s">
        <v>6730</v>
      </c>
      <c r="X4714" t="s">
        <v>58</v>
      </c>
      <c r="Y4714">
        <v>18</v>
      </c>
      <c r="Z4714" t="s">
        <v>59</v>
      </c>
      <c r="AA4714" t="s">
        <v>59</v>
      </c>
      <c r="AB4714" t="s">
        <v>59</v>
      </c>
      <c r="AC4714" t="s">
        <v>59</v>
      </c>
      <c r="AD4714" t="s">
        <v>59</v>
      </c>
      <c r="AF4714" s="1">
        <v>34948</v>
      </c>
      <c r="AG4714" t="s">
        <v>137</v>
      </c>
      <c r="AH4714" t="s">
        <v>469</v>
      </c>
      <c r="AI4714" t="str">
        <f>"5040055"</f>
        <v>5040055</v>
      </c>
      <c r="AJ4714" t="s">
        <v>6940</v>
      </c>
      <c r="AK4714">
        <v>2821036404</v>
      </c>
      <c r="AL4714" t="s">
        <v>6941</v>
      </c>
      <c r="AM4714" t="s">
        <v>88</v>
      </c>
      <c r="AN4714" t="s">
        <v>88</v>
      </c>
      <c r="AO4714" t="s">
        <v>88</v>
      </c>
      <c r="AP4714" t="s">
        <v>88</v>
      </c>
      <c r="AQ4714">
        <v>1</v>
      </c>
      <c r="AR4714" t="s">
        <v>6729</v>
      </c>
      <c r="AS4714" t="s">
        <v>6730</v>
      </c>
      <c r="AT4714" t="s">
        <v>58</v>
      </c>
      <c r="AU4714" t="s">
        <v>68</v>
      </c>
      <c r="AV4714" t="s">
        <v>357</v>
      </c>
      <c r="AW4714" s="1">
        <v>21675</v>
      </c>
      <c r="AX4714">
        <v>2</v>
      </c>
    </row>
    <row r="4715" spans="1:50">
      <c r="A4715">
        <v>197589</v>
      </c>
      <c r="B4715" t="str">
        <f>"062631779"</f>
        <v>062631779</v>
      </c>
      <c r="C4715" t="s">
        <v>50</v>
      </c>
      <c r="D4715" t="s">
        <v>5595</v>
      </c>
      <c r="E4715" t="s">
        <v>237</v>
      </c>
      <c r="F4715" t="s">
        <v>166</v>
      </c>
      <c r="G4715" t="s">
        <v>83</v>
      </c>
      <c r="H4715" t="str">
        <f>" "</f>
        <v xml:space="preserve"> </v>
      </c>
      <c r="J4715">
        <v>2821071349</v>
      </c>
      <c r="K4715">
        <v>6938554097</v>
      </c>
      <c r="N4715" t="s">
        <v>146</v>
      </c>
      <c r="O4715" t="s">
        <v>147</v>
      </c>
      <c r="R4715" t="s">
        <v>57</v>
      </c>
      <c r="S4715">
        <v>9</v>
      </c>
      <c r="T4715">
        <v>206</v>
      </c>
      <c r="U4715" s="1">
        <v>37866</v>
      </c>
      <c r="V4715" t="s">
        <v>6729</v>
      </c>
      <c r="W4715" t="s">
        <v>6730</v>
      </c>
      <c r="X4715" t="s">
        <v>58</v>
      </c>
      <c r="Y4715">
        <v>20</v>
      </c>
      <c r="Z4715" t="s">
        <v>59</v>
      </c>
      <c r="AA4715" t="s">
        <v>59</v>
      </c>
      <c r="AB4715" t="s">
        <v>59</v>
      </c>
      <c r="AC4715" t="s">
        <v>59</v>
      </c>
      <c r="AD4715" t="s">
        <v>59</v>
      </c>
      <c r="AF4715" s="1">
        <v>37866</v>
      </c>
      <c r="AG4715" t="s">
        <v>148</v>
      </c>
      <c r="AH4715" t="s">
        <v>149</v>
      </c>
      <c r="AI4715" t="str">
        <f>"5057010"</f>
        <v>5057010</v>
      </c>
      <c r="AJ4715" t="s">
        <v>6836</v>
      </c>
      <c r="AK4715">
        <v>2824022511</v>
      </c>
      <c r="AL4715" t="s">
        <v>6837</v>
      </c>
      <c r="AM4715" t="s">
        <v>88</v>
      </c>
      <c r="AN4715" t="s">
        <v>6764</v>
      </c>
      <c r="AO4715" t="s">
        <v>6799</v>
      </c>
      <c r="AP4715" t="s">
        <v>6799</v>
      </c>
      <c r="AQ4715">
        <v>1</v>
      </c>
      <c r="AR4715" t="s">
        <v>6729</v>
      </c>
      <c r="AS4715" t="s">
        <v>6730</v>
      </c>
      <c r="AT4715" t="s">
        <v>58</v>
      </c>
      <c r="AU4715" t="s">
        <v>68</v>
      </c>
      <c r="AV4715" t="s">
        <v>69</v>
      </c>
      <c r="AW4715" s="1">
        <v>27761</v>
      </c>
      <c r="AX4715">
        <v>2</v>
      </c>
    </row>
    <row r="4716" spans="1:50">
      <c r="A4716">
        <v>222744</v>
      </c>
      <c r="B4716" t="str">
        <f>"129775523"</f>
        <v>129775523</v>
      </c>
      <c r="C4716" t="s">
        <v>50</v>
      </c>
      <c r="D4716" t="s">
        <v>4292</v>
      </c>
      <c r="E4716" t="s">
        <v>52</v>
      </c>
      <c r="F4716" t="s">
        <v>99</v>
      </c>
      <c r="G4716" t="s">
        <v>181</v>
      </c>
      <c r="H4716" t="str">
        <f>"ΠΕΤΡΩΦ 48 ΝΕΑ ΧΩΡΑ"</f>
        <v>ΠΕΤΡΩΦ 48 ΝΕΑ ΧΩΡΑ</v>
      </c>
      <c r="I4716">
        <v>73131</v>
      </c>
      <c r="J4716">
        <v>2821501633</v>
      </c>
      <c r="K4716">
        <v>6982955536</v>
      </c>
      <c r="M4716" t="s">
        <v>8568</v>
      </c>
      <c r="N4716" t="s">
        <v>146</v>
      </c>
      <c r="O4716" t="s">
        <v>147</v>
      </c>
      <c r="R4716" t="s">
        <v>57</v>
      </c>
      <c r="S4716">
        <v>7</v>
      </c>
      <c r="T4716">
        <v>775</v>
      </c>
      <c r="U4716" s="1">
        <v>39680</v>
      </c>
      <c r="V4716" t="s">
        <v>6729</v>
      </c>
      <c r="W4716" t="s">
        <v>6730</v>
      </c>
      <c r="X4716" t="s">
        <v>58</v>
      </c>
      <c r="Y4716">
        <v>21</v>
      </c>
      <c r="Z4716" t="s">
        <v>59</v>
      </c>
      <c r="AA4716" t="s">
        <v>59</v>
      </c>
      <c r="AB4716" t="s">
        <v>59</v>
      </c>
      <c r="AC4716" t="s">
        <v>59</v>
      </c>
      <c r="AD4716" t="s">
        <v>59</v>
      </c>
      <c r="AF4716" s="1">
        <v>39681</v>
      </c>
      <c r="AG4716" t="s">
        <v>125</v>
      </c>
      <c r="AH4716" t="s">
        <v>590</v>
      </c>
      <c r="AI4716" t="str">
        <f>"5011201"</f>
        <v>5011201</v>
      </c>
      <c r="AJ4716" t="s">
        <v>7231</v>
      </c>
      <c r="AK4716">
        <v>2821087122</v>
      </c>
      <c r="AL4716" t="s">
        <v>7232</v>
      </c>
      <c r="AM4716" t="s">
        <v>88</v>
      </c>
      <c r="AN4716" t="s">
        <v>88</v>
      </c>
      <c r="AO4716" t="s">
        <v>88</v>
      </c>
      <c r="AP4716" t="s">
        <v>88</v>
      </c>
      <c r="AR4716" t="s">
        <v>6729</v>
      </c>
      <c r="AS4716" t="s">
        <v>6730</v>
      </c>
      <c r="AT4716" t="s">
        <v>58</v>
      </c>
      <c r="AU4716" t="s">
        <v>68</v>
      </c>
      <c r="AV4716" t="s">
        <v>132</v>
      </c>
      <c r="AW4716" s="1">
        <v>28562</v>
      </c>
      <c r="AX4716">
        <v>2</v>
      </c>
    </row>
    <row r="4717" spans="1:50">
      <c r="B4717" t="str">
        <f>"076194980"</f>
        <v>076194980</v>
      </c>
      <c r="C4717" t="s">
        <v>105</v>
      </c>
      <c r="D4717" t="s">
        <v>6668</v>
      </c>
      <c r="E4717" t="s">
        <v>304</v>
      </c>
      <c r="F4717" t="s">
        <v>72</v>
      </c>
      <c r="G4717" t="s">
        <v>181</v>
      </c>
      <c r="H4717" t="str">
        <f>"ΑΛΙΚΙΑΝΟΣ -ΔΗΜΟΣ ΜΟΥΣΟΥΡΩΝ ΧΑΝΙΑ"</f>
        <v>ΑΛΙΚΙΑΝΟΣ -ΔΗΜΟΣ ΜΟΥΣΟΥΡΩΝ ΧΑΝΙΑ</v>
      </c>
      <c r="I4717">
        <v>73005</v>
      </c>
      <c r="J4717">
        <v>2821077291</v>
      </c>
      <c r="K4717">
        <v>6976765128</v>
      </c>
      <c r="N4717" t="s">
        <v>587</v>
      </c>
      <c r="O4717" t="s">
        <v>588</v>
      </c>
      <c r="R4717" t="s">
        <v>159</v>
      </c>
      <c r="S4717">
        <v>4</v>
      </c>
      <c r="T4717" t="s">
        <v>574</v>
      </c>
      <c r="U4717" s="1">
        <v>43378</v>
      </c>
      <c r="V4717" t="s">
        <v>6729</v>
      </c>
      <c r="W4717" t="s">
        <v>6730</v>
      </c>
      <c r="X4717" t="s">
        <v>58</v>
      </c>
      <c r="Y4717">
        <v>21</v>
      </c>
      <c r="Z4717" t="s">
        <v>59</v>
      </c>
      <c r="AA4717" t="s">
        <v>59</v>
      </c>
      <c r="AB4717" t="s">
        <v>59</v>
      </c>
      <c r="AC4717" t="s">
        <v>59</v>
      </c>
      <c r="AD4717" t="s">
        <v>59</v>
      </c>
      <c r="AF4717" s="1">
        <v>43381</v>
      </c>
      <c r="AG4717" t="s">
        <v>137</v>
      </c>
      <c r="AH4717" t="s">
        <v>469</v>
      </c>
      <c r="AI4717" t="str">
        <f>"5040055"</f>
        <v>5040055</v>
      </c>
      <c r="AJ4717" t="s">
        <v>6940</v>
      </c>
      <c r="AK4717">
        <v>2821036404</v>
      </c>
      <c r="AL4717" t="s">
        <v>6941</v>
      </c>
      <c r="AM4717" t="s">
        <v>88</v>
      </c>
      <c r="AN4717" t="s">
        <v>88</v>
      </c>
      <c r="AO4717" t="s">
        <v>88</v>
      </c>
      <c r="AP4717" t="s">
        <v>88</v>
      </c>
      <c r="AQ4717">
        <v>1</v>
      </c>
      <c r="AR4717" t="s">
        <v>6729</v>
      </c>
      <c r="AS4717" t="s">
        <v>6730</v>
      </c>
      <c r="AT4717" t="s">
        <v>58</v>
      </c>
      <c r="AU4717" t="s">
        <v>164</v>
      </c>
      <c r="AV4717" t="s">
        <v>132</v>
      </c>
      <c r="AW4717" s="1">
        <v>27534</v>
      </c>
      <c r="AX4717">
        <v>2</v>
      </c>
    </row>
    <row r="4718" spans="1:50">
      <c r="A4718">
        <v>191831</v>
      </c>
      <c r="B4718" t="str">
        <f>"078894710"</f>
        <v>078894710</v>
      </c>
      <c r="C4718" t="s">
        <v>105</v>
      </c>
      <c r="D4718" t="s">
        <v>8569</v>
      </c>
      <c r="E4718" t="s">
        <v>949</v>
      </c>
      <c r="F4718" t="s">
        <v>321</v>
      </c>
      <c r="G4718" t="s">
        <v>8570</v>
      </c>
      <c r="H4718" t="str">
        <f>" "</f>
        <v xml:space="preserve"> </v>
      </c>
      <c r="M4718" t="s">
        <v>8571</v>
      </c>
      <c r="N4718" t="s">
        <v>168</v>
      </c>
      <c r="O4718" t="s">
        <v>169</v>
      </c>
      <c r="R4718" t="s">
        <v>57</v>
      </c>
      <c r="S4718">
        <v>9</v>
      </c>
      <c r="T4718">
        <v>291</v>
      </c>
      <c r="U4718" s="1">
        <v>37218</v>
      </c>
      <c r="V4718" t="s">
        <v>6729</v>
      </c>
      <c r="W4718" t="s">
        <v>6730</v>
      </c>
      <c r="X4718" t="s">
        <v>58</v>
      </c>
      <c r="Y4718">
        <v>20</v>
      </c>
      <c r="Z4718" t="s">
        <v>59</v>
      </c>
      <c r="AA4718" t="s">
        <v>59</v>
      </c>
      <c r="AB4718" t="s">
        <v>59</v>
      </c>
      <c r="AC4718" t="s">
        <v>59</v>
      </c>
      <c r="AD4718" t="s">
        <v>59</v>
      </c>
      <c r="AF4718" s="1">
        <v>37221</v>
      </c>
      <c r="AG4718" t="s">
        <v>137</v>
      </c>
      <c r="AH4718" t="s">
        <v>469</v>
      </c>
      <c r="AI4718" t="str">
        <f>"5053001"</f>
        <v>5053001</v>
      </c>
      <c r="AJ4718" t="s">
        <v>6788</v>
      </c>
      <c r="AK4718">
        <v>2821068020</v>
      </c>
      <c r="AM4718" t="s">
        <v>88</v>
      </c>
      <c r="AN4718" t="s">
        <v>6764</v>
      </c>
      <c r="AO4718" t="s">
        <v>6764</v>
      </c>
      <c r="AP4718" t="s">
        <v>6764</v>
      </c>
      <c r="AQ4718">
        <v>1</v>
      </c>
      <c r="AR4718" t="s">
        <v>6729</v>
      </c>
      <c r="AS4718" t="s">
        <v>6730</v>
      </c>
      <c r="AT4718" t="s">
        <v>58</v>
      </c>
      <c r="AU4718" t="s">
        <v>68</v>
      </c>
      <c r="AV4718" t="s">
        <v>69</v>
      </c>
      <c r="AW4718" s="1">
        <v>26295</v>
      </c>
      <c r="AX4718">
        <v>2</v>
      </c>
    </row>
    <row r="4719" spans="1:50">
      <c r="A4719">
        <v>700655</v>
      </c>
      <c r="B4719" t="str">
        <f>"046593899"</f>
        <v>046593899</v>
      </c>
      <c r="C4719" t="s">
        <v>50</v>
      </c>
      <c r="D4719" t="s">
        <v>8572</v>
      </c>
      <c r="E4719" t="s">
        <v>476</v>
      </c>
      <c r="F4719" t="s">
        <v>95</v>
      </c>
      <c r="G4719" t="s">
        <v>52</v>
      </c>
      <c r="H4719" t="str">
        <f>"Κ.ΜΑΛΙΝΟΥ 29 ΧΑΝΙΑ"</f>
        <v>Κ.ΜΑΛΙΝΟΥ 29 ΧΑΝΙΑ</v>
      </c>
      <c r="I4719">
        <v>73100</v>
      </c>
      <c r="J4719">
        <v>2821053316</v>
      </c>
      <c r="K4719">
        <v>6973399747</v>
      </c>
      <c r="L4719">
        <v>2821039621</v>
      </c>
      <c r="N4719" t="s">
        <v>292</v>
      </c>
      <c r="O4719" t="s">
        <v>293</v>
      </c>
      <c r="R4719" t="s">
        <v>57</v>
      </c>
      <c r="S4719">
        <v>4</v>
      </c>
      <c r="T4719" t="s">
        <v>8573</v>
      </c>
      <c r="U4719" s="1">
        <v>40413</v>
      </c>
      <c r="V4719" t="s">
        <v>6729</v>
      </c>
      <c r="W4719" t="s">
        <v>6730</v>
      </c>
      <c r="X4719" t="s">
        <v>58</v>
      </c>
      <c r="Y4719">
        <v>21</v>
      </c>
      <c r="Z4719" t="s">
        <v>59</v>
      </c>
      <c r="AA4719" t="s">
        <v>59</v>
      </c>
      <c r="AB4719" t="s">
        <v>59</v>
      </c>
      <c r="AC4719" t="s">
        <v>59</v>
      </c>
      <c r="AD4719" t="s">
        <v>59</v>
      </c>
      <c r="AF4719" s="1">
        <v>40413</v>
      </c>
      <c r="AG4719" t="s">
        <v>125</v>
      </c>
      <c r="AH4719" t="s">
        <v>126</v>
      </c>
      <c r="AI4719" t="str">
        <f>"5001020"</f>
        <v>5001020</v>
      </c>
      <c r="AJ4719" t="s">
        <v>6739</v>
      </c>
      <c r="AK4719">
        <v>2821042664</v>
      </c>
      <c r="AL4719" t="s">
        <v>6740</v>
      </c>
      <c r="AM4719" t="s">
        <v>88</v>
      </c>
      <c r="AN4719" t="s">
        <v>88</v>
      </c>
      <c r="AO4719" t="s">
        <v>88</v>
      </c>
      <c r="AP4719" t="s">
        <v>88</v>
      </c>
      <c r="AQ4719">
        <v>1</v>
      </c>
      <c r="AR4719" t="s">
        <v>6729</v>
      </c>
      <c r="AS4719" t="s">
        <v>6730</v>
      </c>
      <c r="AT4719" t="s">
        <v>58</v>
      </c>
      <c r="AU4719" t="s">
        <v>68</v>
      </c>
      <c r="AV4719" t="s">
        <v>69</v>
      </c>
      <c r="AW4719" s="1">
        <v>26147</v>
      </c>
      <c r="AX4719">
        <v>2</v>
      </c>
    </row>
    <row r="4720" spans="1:50">
      <c r="A4720">
        <v>214374</v>
      </c>
      <c r="B4720" t="str">
        <f>"075599870"</f>
        <v>075599870</v>
      </c>
      <c r="C4720" t="s">
        <v>50</v>
      </c>
      <c r="D4720" t="s">
        <v>8574</v>
      </c>
      <c r="E4720" t="s">
        <v>237</v>
      </c>
      <c r="F4720" t="s">
        <v>72</v>
      </c>
      <c r="G4720" t="s">
        <v>1588</v>
      </c>
      <c r="H4720" t="str">
        <f>"ΚΥΡΗΝΕΙΑΣ 32 "</f>
        <v xml:space="preserve">ΚΥΡΗΝΕΙΑΣ 32 </v>
      </c>
      <c r="I4720">
        <v>15669</v>
      </c>
      <c r="J4720">
        <v>2106511650</v>
      </c>
      <c r="K4720">
        <v>6944884984</v>
      </c>
      <c r="M4720" t="s">
        <v>8575</v>
      </c>
      <c r="N4720" t="s">
        <v>299</v>
      </c>
      <c r="O4720" t="s">
        <v>300</v>
      </c>
      <c r="R4720" t="s">
        <v>57</v>
      </c>
      <c r="S4720">
        <v>6</v>
      </c>
      <c r="T4720">
        <v>231</v>
      </c>
      <c r="U4720" s="1">
        <v>38960</v>
      </c>
      <c r="V4720" t="s">
        <v>6729</v>
      </c>
      <c r="W4720" t="s">
        <v>6730</v>
      </c>
      <c r="X4720" t="s">
        <v>58</v>
      </c>
      <c r="Y4720">
        <v>20</v>
      </c>
      <c r="Z4720" t="s">
        <v>59</v>
      </c>
      <c r="AA4720" t="s">
        <v>59</v>
      </c>
      <c r="AB4720" t="s">
        <v>59</v>
      </c>
      <c r="AC4720" t="s">
        <v>59</v>
      </c>
      <c r="AD4720" t="s">
        <v>59</v>
      </c>
      <c r="AF4720" s="1">
        <v>38961</v>
      </c>
      <c r="AG4720" t="s">
        <v>137</v>
      </c>
      <c r="AH4720" t="s">
        <v>138</v>
      </c>
      <c r="AI4720" t="str">
        <f>"5040090"</f>
        <v>5040090</v>
      </c>
      <c r="AJ4720" t="s">
        <v>6757</v>
      </c>
      <c r="AK4720">
        <v>2822022275</v>
      </c>
      <c r="AL4720" t="s">
        <v>6758</v>
      </c>
      <c r="AM4720" t="s">
        <v>88</v>
      </c>
      <c r="AN4720" t="s">
        <v>6744</v>
      </c>
      <c r="AO4720" t="s">
        <v>6744</v>
      </c>
      <c r="AP4720" t="s">
        <v>6744</v>
      </c>
      <c r="AQ4720">
        <v>1</v>
      </c>
      <c r="AR4720" t="s">
        <v>6729</v>
      </c>
      <c r="AS4720" t="s">
        <v>6730</v>
      </c>
      <c r="AT4720" t="s">
        <v>58</v>
      </c>
      <c r="AU4720" t="s">
        <v>68</v>
      </c>
      <c r="AV4720" t="s">
        <v>69</v>
      </c>
      <c r="AW4720" s="1">
        <v>25416</v>
      </c>
      <c r="AX4720">
        <v>2</v>
      </c>
    </row>
    <row r="4721" spans="1:50">
      <c r="A4721">
        <v>177596</v>
      </c>
      <c r="B4721" t="str">
        <f>"055763123"</f>
        <v>055763123</v>
      </c>
      <c r="C4721" t="s">
        <v>105</v>
      </c>
      <c r="D4721" t="s">
        <v>4302</v>
      </c>
      <c r="E4721" t="s">
        <v>154</v>
      </c>
      <c r="F4721" t="s">
        <v>166</v>
      </c>
      <c r="G4721" t="s">
        <v>8576</v>
      </c>
      <c r="H4721" t="str">
        <f>" "</f>
        <v xml:space="preserve"> </v>
      </c>
      <c r="N4721" t="s">
        <v>282</v>
      </c>
      <c r="O4721" t="s">
        <v>283</v>
      </c>
      <c r="R4721" t="s">
        <v>57</v>
      </c>
      <c r="S4721">
        <v>13</v>
      </c>
      <c r="T4721">
        <v>180</v>
      </c>
      <c r="U4721" s="1">
        <v>35674</v>
      </c>
      <c r="V4721" t="s">
        <v>6729</v>
      </c>
      <c r="W4721" t="s">
        <v>6730</v>
      </c>
      <c r="X4721" t="s">
        <v>58</v>
      </c>
      <c r="Y4721">
        <v>18</v>
      </c>
      <c r="Z4721" t="s">
        <v>59</v>
      </c>
      <c r="AA4721" t="s">
        <v>59</v>
      </c>
      <c r="AB4721" t="s">
        <v>59</v>
      </c>
      <c r="AC4721" t="s">
        <v>59</v>
      </c>
      <c r="AD4721" t="s">
        <v>59</v>
      </c>
      <c r="AF4721" s="1">
        <v>35678</v>
      </c>
      <c r="AG4721" t="s">
        <v>125</v>
      </c>
      <c r="AH4721" t="s">
        <v>126</v>
      </c>
      <c r="AI4721" t="str">
        <f>"5001070"</f>
        <v>5001070</v>
      </c>
      <c r="AJ4721" t="s">
        <v>6731</v>
      </c>
      <c r="AK4721">
        <v>2821088045</v>
      </c>
      <c r="AL4721" t="s">
        <v>6732</v>
      </c>
      <c r="AM4721" t="s">
        <v>88</v>
      </c>
      <c r="AN4721" t="s">
        <v>88</v>
      </c>
      <c r="AO4721" t="s">
        <v>6733</v>
      </c>
      <c r="AP4721" t="s">
        <v>6734</v>
      </c>
      <c r="AQ4721">
        <v>1</v>
      </c>
      <c r="AR4721" t="s">
        <v>6729</v>
      </c>
      <c r="AS4721" t="s">
        <v>6730</v>
      </c>
      <c r="AT4721" t="s">
        <v>58</v>
      </c>
      <c r="AU4721" t="s">
        <v>68</v>
      </c>
      <c r="AV4721" t="s">
        <v>69</v>
      </c>
      <c r="AW4721" s="1">
        <v>25210</v>
      </c>
      <c r="AX4721">
        <v>2</v>
      </c>
    </row>
    <row r="4722" spans="1:50">
      <c r="A4722">
        <v>703744</v>
      </c>
      <c r="B4722" t="str">
        <f>"064193088"</f>
        <v>064193088</v>
      </c>
      <c r="C4722" t="s">
        <v>105</v>
      </c>
      <c r="D4722" t="s">
        <v>6673</v>
      </c>
      <c r="E4722" t="s">
        <v>315</v>
      </c>
      <c r="F4722" t="s">
        <v>450</v>
      </c>
      <c r="G4722" t="s">
        <v>699</v>
      </c>
      <c r="H4722" t="str">
        <f>"ΧΑΙΡΩΝΕΙΑΣ 6 ΘΕΣ/ΝΙΚΗ"</f>
        <v>ΧΑΙΡΩΝΕΙΑΣ 6 ΘΕΣ/ΝΙΚΗ</v>
      </c>
      <c r="I4722">
        <v>56430</v>
      </c>
      <c r="J4722">
        <v>2310682858</v>
      </c>
      <c r="K4722">
        <v>6937445145</v>
      </c>
      <c r="M4722" t="s">
        <v>8577</v>
      </c>
      <c r="N4722" t="s">
        <v>168</v>
      </c>
      <c r="O4722" t="s">
        <v>169</v>
      </c>
      <c r="R4722" t="s">
        <v>159</v>
      </c>
      <c r="S4722">
        <v>6</v>
      </c>
      <c r="T4722">
        <v>225</v>
      </c>
      <c r="U4722" s="1">
        <v>41695</v>
      </c>
      <c r="V4722" t="s">
        <v>6729</v>
      </c>
      <c r="W4722" t="s">
        <v>6730</v>
      </c>
      <c r="X4722" t="s">
        <v>58</v>
      </c>
      <c r="Y4722">
        <v>21</v>
      </c>
      <c r="Z4722" t="s">
        <v>59</v>
      </c>
      <c r="AA4722" t="s">
        <v>59</v>
      </c>
      <c r="AB4722" t="s">
        <v>59</v>
      </c>
      <c r="AC4722" t="s">
        <v>59</v>
      </c>
      <c r="AD4722" t="s">
        <v>59</v>
      </c>
      <c r="AF4722" s="1">
        <v>41695</v>
      </c>
      <c r="AG4722" t="s">
        <v>137</v>
      </c>
      <c r="AH4722" t="s">
        <v>469</v>
      </c>
      <c r="AI4722" t="str">
        <f>"5053001"</f>
        <v>5053001</v>
      </c>
      <c r="AJ4722" t="s">
        <v>6788</v>
      </c>
      <c r="AK4722">
        <v>2821068020</v>
      </c>
      <c r="AM4722" t="s">
        <v>88</v>
      </c>
      <c r="AN4722" t="s">
        <v>6764</v>
      </c>
      <c r="AO4722" t="s">
        <v>6764</v>
      </c>
      <c r="AP4722" t="s">
        <v>6764</v>
      </c>
      <c r="AQ4722">
        <v>1</v>
      </c>
      <c r="AR4722" t="s">
        <v>6729</v>
      </c>
      <c r="AS4722" t="s">
        <v>6730</v>
      </c>
      <c r="AT4722" t="s">
        <v>58</v>
      </c>
      <c r="AU4722" t="s">
        <v>68</v>
      </c>
      <c r="AV4722" t="s">
        <v>69</v>
      </c>
      <c r="AW4722" s="1">
        <v>28126</v>
      </c>
      <c r="AX4722">
        <v>2</v>
      </c>
    </row>
    <row r="4723" spans="1:50">
      <c r="A4723">
        <v>184016</v>
      </c>
      <c r="B4723" t="str">
        <f>"026959980"</f>
        <v>026959980</v>
      </c>
      <c r="C4723" t="s">
        <v>105</v>
      </c>
      <c r="D4723" t="s">
        <v>6673</v>
      </c>
      <c r="E4723" t="s">
        <v>108</v>
      </c>
      <c r="F4723" t="s">
        <v>670</v>
      </c>
      <c r="G4723" t="s">
        <v>647</v>
      </c>
      <c r="H4723" t="str">
        <f>"ΑΡΓΟΥΛΙΔΕΣ "</f>
        <v xml:space="preserve">ΑΡΓΟΥΛΙΔΕΣ </v>
      </c>
      <c r="I4723">
        <v>73100</v>
      </c>
      <c r="K4723">
        <v>6972133796</v>
      </c>
      <c r="M4723" t="s">
        <v>8578</v>
      </c>
      <c r="N4723" t="s">
        <v>232</v>
      </c>
      <c r="O4723" t="s">
        <v>233</v>
      </c>
      <c r="R4723" t="s">
        <v>57</v>
      </c>
      <c r="S4723">
        <v>9</v>
      </c>
      <c r="T4723">
        <v>177</v>
      </c>
      <c r="U4723" s="1">
        <v>36403</v>
      </c>
      <c r="V4723" t="s">
        <v>6729</v>
      </c>
      <c r="W4723" t="s">
        <v>6730</v>
      </c>
      <c r="X4723" t="s">
        <v>58</v>
      </c>
      <c r="Y4723">
        <v>20</v>
      </c>
      <c r="Z4723" t="s">
        <v>59</v>
      </c>
      <c r="AA4723" t="s">
        <v>59</v>
      </c>
      <c r="AB4723" t="s">
        <v>59</v>
      </c>
      <c r="AC4723" t="s">
        <v>59</v>
      </c>
      <c r="AD4723" t="s">
        <v>59</v>
      </c>
      <c r="AF4723" s="1">
        <v>36405</v>
      </c>
      <c r="AG4723" t="s">
        <v>125</v>
      </c>
      <c r="AH4723" t="s">
        <v>126</v>
      </c>
      <c r="AI4723" t="str">
        <f>"5001070"</f>
        <v>5001070</v>
      </c>
      <c r="AJ4723" t="s">
        <v>6731</v>
      </c>
      <c r="AK4723">
        <v>2821088045</v>
      </c>
      <c r="AL4723" t="s">
        <v>6732</v>
      </c>
      <c r="AM4723" t="s">
        <v>88</v>
      </c>
      <c r="AN4723" t="s">
        <v>88</v>
      </c>
      <c r="AO4723" t="s">
        <v>6733</v>
      </c>
      <c r="AP4723" t="s">
        <v>6734</v>
      </c>
      <c r="AQ4723">
        <v>1</v>
      </c>
      <c r="AR4723" t="s">
        <v>6729</v>
      </c>
      <c r="AS4723" t="s">
        <v>6730</v>
      </c>
      <c r="AT4723" t="s">
        <v>58</v>
      </c>
      <c r="AU4723" t="s">
        <v>68</v>
      </c>
      <c r="AV4723" t="s">
        <v>132</v>
      </c>
      <c r="AW4723" s="1">
        <v>19762</v>
      </c>
      <c r="AX4723">
        <v>2</v>
      </c>
    </row>
    <row r="4724" spans="1:50">
      <c r="A4724">
        <v>206148</v>
      </c>
      <c r="B4724" t="str">
        <f>"113459360"</f>
        <v>113459360</v>
      </c>
      <c r="C4724" t="s">
        <v>50</v>
      </c>
      <c r="D4724" t="s">
        <v>8579</v>
      </c>
      <c r="E4724" t="s">
        <v>237</v>
      </c>
      <c r="F4724" t="s">
        <v>99</v>
      </c>
      <c r="G4724" t="s">
        <v>507</v>
      </c>
      <c r="H4724" t="str">
        <f>"Κ. ΣΑΜΙΩΤΑΚΗ 10 ΧΑΝΙΑ"</f>
        <v>Κ. ΣΑΜΙΩΤΑΚΗ 10 ΧΑΝΙΑ</v>
      </c>
      <c r="I4724">
        <v>73134</v>
      </c>
      <c r="J4724">
        <v>2821008246</v>
      </c>
      <c r="K4724">
        <v>6974691961</v>
      </c>
      <c r="M4724" t="s">
        <v>8580</v>
      </c>
      <c r="N4724" t="s">
        <v>299</v>
      </c>
      <c r="O4724" t="s">
        <v>300</v>
      </c>
      <c r="R4724" t="s">
        <v>57</v>
      </c>
      <c r="S4724">
        <v>7</v>
      </c>
      <c r="T4724" t="s">
        <v>8581</v>
      </c>
      <c r="U4724" s="1">
        <v>38230</v>
      </c>
      <c r="V4724" t="s">
        <v>6729</v>
      </c>
      <c r="W4724" t="s">
        <v>6730</v>
      </c>
      <c r="X4724" t="s">
        <v>58</v>
      </c>
      <c r="Y4724">
        <v>20</v>
      </c>
      <c r="Z4724" t="s">
        <v>59</v>
      </c>
      <c r="AA4724" t="s">
        <v>59</v>
      </c>
      <c r="AB4724" t="s">
        <v>59</v>
      </c>
      <c r="AC4724" t="s">
        <v>59</v>
      </c>
      <c r="AD4724" t="s">
        <v>59</v>
      </c>
      <c r="AF4724" s="1">
        <v>38231</v>
      </c>
      <c r="AG4724" t="s">
        <v>137</v>
      </c>
      <c r="AH4724" t="s">
        <v>138</v>
      </c>
      <c r="AI4724" t="str">
        <f>"5040050"</f>
        <v>5040050</v>
      </c>
      <c r="AJ4724" t="s">
        <v>6750</v>
      </c>
      <c r="AK4724">
        <v>2821043147</v>
      </c>
      <c r="AL4724" t="s">
        <v>6751</v>
      </c>
      <c r="AM4724" t="s">
        <v>88</v>
      </c>
      <c r="AN4724" t="s">
        <v>88</v>
      </c>
      <c r="AO4724" t="s">
        <v>88</v>
      </c>
      <c r="AP4724" t="s">
        <v>88</v>
      </c>
      <c r="AQ4724">
        <v>1</v>
      </c>
      <c r="AR4724" t="s">
        <v>6729</v>
      </c>
      <c r="AS4724" t="s">
        <v>6730</v>
      </c>
      <c r="AT4724" t="s">
        <v>58</v>
      </c>
      <c r="AU4724" t="s">
        <v>68</v>
      </c>
      <c r="AV4724" t="s">
        <v>69</v>
      </c>
      <c r="AW4724" s="1">
        <v>27973</v>
      </c>
      <c r="AX4724">
        <v>2</v>
      </c>
    </row>
    <row r="4725" spans="1:50">
      <c r="A4725">
        <v>197964</v>
      </c>
      <c r="B4725" t="str">
        <f>"101588074"</f>
        <v>101588074</v>
      </c>
      <c r="C4725" t="s">
        <v>50</v>
      </c>
      <c r="D4725" t="s">
        <v>8582</v>
      </c>
      <c r="E4725" t="s">
        <v>707</v>
      </c>
      <c r="F4725" t="s">
        <v>72</v>
      </c>
      <c r="G4725" t="s">
        <v>255</v>
      </c>
      <c r="H4725" t="str">
        <f>"ΜΑΡΓΟΥΝΙΟΥ 66 "</f>
        <v xml:space="preserve">ΜΑΡΓΟΥΝΙΟΥ 66 </v>
      </c>
      <c r="I4725">
        <v>73100</v>
      </c>
      <c r="J4725">
        <v>2821071419</v>
      </c>
      <c r="K4725">
        <v>6932008220</v>
      </c>
      <c r="N4725" t="s">
        <v>292</v>
      </c>
      <c r="O4725" t="s">
        <v>293</v>
      </c>
      <c r="R4725" t="s">
        <v>57</v>
      </c>
      <c r="S4725">
        <v>13</v>
      </c>
      <c r="T4725">
        <v>206</v>
      </c>
      <c r="U4725" s="1">
        <v>37866</v>
      </c>
      <c r="V4725" t="s">
        <v>6729</v>
      </c>
      <c r="W4725" t="s">
        <v>6730</v>
      </c>
      <c r="X4725" t="s">
        <v>58</v>
      </c>
      <c r="Y4725">
        <v>20</v>
      </c>
      <c r="Z4725" t="s">
        <v>59</v>
      </c>
      <c r="AA4725" t="s">
        <v>59</v>
      </c>
      <c r="AB4725" t="s">
        <v>59</v>
      </c>
      <c r="AC4725" t="s">
        <v>59</v>
      </c>
      <c r="AD4725" t="s">
        <v>59</v>
      </c>
      <c r="AF4725" s="1">
        <v>38230</v>
      </c>
      <c r="AG4725" t="s">
        <v>125</v>
      </c>
      <c r="AH4725" t="s">
        <v>126</v>
      </c>
      <c r="AI4725" t="str">
        <f>"5001080"</f>
        <v>5001080</v>
      </c>
      <c r="AJ4725" t="s">
        <v>6984</v>
      </c>
      <c r="AK4725">
        <v>2821068020</v>
      </c>
      <c r="AL4725" t="s">
        <v>6985</v>
      </c>
      <c r="AM4725" t="s">
        <v>88</v>
      </c>
      <c r="AN4725" t="s">
        <v>6764</v>
      </c>
      <c r="AO4725" t="s">
        <v>6764</v>
      </c>
      <c r="AP4725" t="s">
        <v>6764</v>
      </c>
      <c r="AQ4725">
        <v>1</v>
      </c>
      <c r="AR4725" t="s">
        <v>6729</v>
      </c>
      <c r="AS4725" t="s">
        <v>6730</v>
      </c>
      <c r="AT4725" t="s">
        <v>58</v>
      </c>
      <c r="AU4725" t="s">
        <v>68</v>
      </c>
      <c r="AV4725" t="s">
        <v>69</v>
      </c>
      <c r="AW4725" s="1">
        <v>27723</v>
      </c>
      <c r="AX4725">
        <v>2</v>
      </c>
    </row>
    <row r="4726" spans="1:50">
      <c r="A4726">
        <v>212530</v>
      </c>
      <c r="B4726" t="str">
        <f>"045880215"</f>
        <v>045880215</v>
      </c>
      <c r="C4726" t="s">
        <v>105</v>
      </c>
      <c r="D4726" t="s">
        <v>8583</v>
      </c>
      <c r="E4726" t="s">
        <v>95</v>
      </c>
      <c r="F4726" t="s">
        <v>154</v>
      </c>
      <c r="G4726" t="s">
        <v>2967</v>
      </c>
      <c r="H4726" t="str">
        <f>"Χ' ΓΙΩΡΓΗ ΚΕΛΑΪΔΗ "</f>
        <v xml:space="preserve">Χ' ΓΙΩΡΓΗ ΚΕΛΑΪΔΗ </v>
      </c>
      <c r="J4726">
        <v>2821070695</v>
      </c>
      <c r="K4726">
        <v>6974312958</v>
      </c>
      <c r="N4726" t="s">
        <v>146</v>
      </c>
      <c r="O4726" t="s">
        <v>147</v>
      </c>
      <c r="R4726" t="s">
        <v>57</v>
      </c>
      <c r="S4726">
        <v>6</v>
      </c>
      <c r="T4726">
        <v>231</v>
      </c>
      <c r="U4726" s="1">
        <v>38960</v>
      </c>
      <c r="V4726" t="s">
        <v>6729</v>
      </c>
      <c r="W4726" t="s">
        <v>6730</v>
      </c>
      <c r="X4726" t="s">
        <v>58</v>
      </c>
      <c r="Y4726">
        <v>20</v>
      </c>
      <c r="Z4726" t="s">
        <v>59</v>
      </c>
      <c r="AA4726" t="s">
        <v>59</v>
      </c>
      <c r="AB4726" t="s">
        <v>59</v>
      </c>
      <c r="AC4726" t="s">
        <v>59</v>
      </c>
      <c r="AD4726" t="s">
        <v>59</v>
      </c>
      <c r="AF4726" s="1">
        <v>38961</v>
      </c>
      <c r="AG4726" t="s">
        <v>137</v>
      </c>
      <c r="AH4726" t="s">
        <v>138</v>
      </c>
      <c r="AI4726" t="str">
        <f>"5040100"</f>
        <v>5040100</v>
      </c>
      <c r="AJ4726" t="s">
        <v>6790</v>
      </c>
      <c r="AK4726">
        <v>2821058998</v>
      </c>
      <c r="AL4726" t="s">
        <v>6791</v>
      </c>
      <c r="AM4726" t="s">
        <v>88</v>
      </c>
      <c r="AN4726" t="s">
        <v>88</v>
      </c>
      <c r="AO4726" t="s">
        <v>6770</v>
      </c>
      <c r="AP4726" t="s">
        <v>6771</v>
      </c>
      <c r="AQ4726">
        <v>1</v>
      </c>
      <c r="AR4726" t="s">
        <v>6729</v>
      </c>
      <c r="AS4726" t="s">
        <v>6730</v>
      </c>
      <c r="AT4726" t="s">
        <v>58</v>
      </c>
      <c r="AU4726" t="s">
        <v>68</v>
      </c>
      <c r="AV4726" t="s">
        <v>69</v>
      </c>
      <c r="AW4726" s="1">
        <v>24335</v>
      </c>
      <c r="AX4726">
        <v>2</v>
      </c>
    </row>
    <row r="4727" spans="1:50">
      <c r="A4727">
        <v>217386</v>
      </c>
      <c r="B4727" t="str">
        <f>"120205755"</f>
        <v>120205755</v>
      </c>
      <c r="C4727" t="s">
        <v>105</v>
      </c>
      <c r="D4727" t="s">
        <v>4326</v>
      </c>
      <c r="E4727" t="s">
        <v>377</v>
      </c>
      <c r="F4727" t="s">
        <v>4097</v>
      </c>
      <c r="G4727" t="s">
        <v>103</v>
      </c>
      <c r="H4727" t="str">
        <f>"ΕΦ.ΠΟΛΕΜΙΣΤΩΝ 165 ΧΑΝΙΑ"</f>
        <v>ΕΦ.ΠΟΛΕΜΙΣΤΩΝ 165 ΧΑΝΙΑ</v>
      </c>
      <c r="I4727">
        <v>73100</v>
      </c>
      <c r="J4727">
        <v>2821071401</v>
      </c>
      <c r="K4727">
        <v>6972113216</v>
      </c>
      <c r="N4727" t="s">
        <v>157</v>
      </c>
      <c r="O4727" t="s">
        <v>158</v>
      </c>
      <c r="R4727" t="s">
        <v>57</v>
      </c>
      <c r="S4727">
        <v>6</v>
      </c>
      <c r="T4727">
        <v>599</v>
      </c>
      <c r="U4727" s="1">
        <v>39310</v>
      </c>
      <c r="V4727" t="s">
        <v>6729</v>
      </c>
      <c r="W4727" t="s">
        <v>6730</v>
      </c>
      <c r="X4727" t="s">
        <v>58</v>
      </c>
      <c r="Y4727">
        <v>20</v>
      </c>
      <c r="Z4727" t="s">
        <v>59</v>
      </c>
      <c r="AA4727" t="s">
        <v>59</v>
      </c>
      <c r="AB4727" t="s">
        <v>59</v>
      </c>
      <c r="AC4727" t="s">
        <v>59</v>
      </c>
      <c r="AD4727" t="s">
        <v>59</v>
      </c>
      <c r="AF4727" s="1">
        <v>39328</v>
      </c>
      <c r="AG4727" t="s">
        <v>148</v>
      </c>
      <c r="AH4727" t="s">
        <v>149</v>
      </c>
      <c r="AI4727" t="str">
        <f>"5061010"</f>
        <v>5061010</v>
      </c>
      <c r="AJ4727" t="s">
        <v>6746</v>
      </c>
      <c r="AK4727">
        <v>2821081530</v>
      </c>
      <c r="AL4727" t="s">
        <v>6747</v>
      </c>
      <c r="AM4727" t="s">
        <v>88</v>
      </c>
      <c r="AN4727" t="s">
        <v>88</v>
      </c>
      <c r="AO4727" t="s">
        <v>6748</v>
      </c>
      <c r="AP4727" t="s">
        <v>6748</v>
      </c>
      <c r="AQ4727">
        <v>1</v>
      </c>
      <c r="AR4727" t="s">
        <v>6729</v>
      </c>
      <c r="AS4727" t="s">
        <v>6730</v>
      </c>
      <c r="AT4727" t="s">
        <v>58</v>
      </c>
      <c r="AU4727" t="s">
        <v>68</v>
      </c>
      <c r="AV4727" t="s">
        <v>69</v>
      </c>
      <c r="AW4727" s="1">
        <v>27498</v>
      </c>
      <c r="AX4727">
        <v>2</v>
      </c>
    </row>
    <row r="4728" spans="1:50">
      <c r="A4728">
        <v>178338</v>
      </c>
      <c r="B4728" t="str">
        <f>"073074915"</f>
        <v>073074915</v>
      </c>
      <c r="C4728" t="s">
        <v>50</v>
      </c>
      <c r="D4728" t="s">
        <v>4329</v>
      </c>
      <c r="E4728" t="s">
        <v>52</v>
      </c>
      <c r="F4728" t="s">
        <v>72</v>
      </c>
      <c r="G4728" t="s">
        <v>52</v>
      </c>
      <c r="H4728" t="str">
        <f>" "</f>
        <v xml:space="preserve"> </v>
      </c>
      <c r="N4728" t="s">
        <v>204</v>
      </c>
      <c r="O4728" t="s">
        <v>205</v>
      </c>
      <c r="R4728" t="s">
        <v>57</v>
      </c>
      <c r="S4728">
        <v>11</v>
      </c>
      <c r="T4728">
        <v>180</v>
      </c>
      <c r="U4728" s="1">
        <v>35674</v>
      </c>
      <c r="V4728" t="s">
        <v>6729</v>
      </c>
      <c r="W4728" t="s">
        <v>6730</v>
      </c>
      <c r="X4728" t="s">
        <v>58</v>
      </c>
      <c r="Y4728">
        <v>18</v>
      </c>
      <c r="Z4728" t="s">
        <v>59</v>
      </c>
      <c r="AA4728" t="s">
        <v>59</v>
      </c>
      <c r="AB4728" t="s">
        <v>59</v>
      </c>
      <c r="AC4728" t="s">
        <v>59</v>
      </c>
      <c r="AD4728" t="s">
        <v>59</v>
      </c>
      <c r="AF4728" s="1">
        <v>35678</v>
      </c>
      <c r="AG4728" t="s">
        <v>125</v>
      </c>
      <c r="AH4728" t="s">
        <v>126</v>
      </c>
      <c r="AI4728" t="str">
        <f>"5001020"</f>
        <v>5001020</v>
      </c>
      <c r="AJ4728" t="s">
        <v>6739</v>
      </c>
      <c r="AK4728">
        <v>2821042664</v>
      </c>
      <c r="AL4728" t="s">
        <v>6740</v>
      </c>
      <c r="AM4728" t="s">
        <v>88</v>
      </c>
      <c r="AN4728" t="s">
        <v>88</v>
      </c>
      <c r="AO4728" t="s">
        <v>88</v>
      </c>
      <c r="AP4728" t="s">
        <v>88</v>
      </c>
      <c r="AQ4728">
        <v>1</v>
      </c>
      <c r="AR4728" t="s">
        <v>6729</v>
      </c>
      <c r="AS4728" t="s">
        <v>6730</v>
      </c>
      <c r="AT4728" t="s">
        <v>58</v>
      </c>
      <c r="AU4728" t="s">
        <v>68</v>
      </c>
      <c r="AV4728" t="s">
        <v>69</v>
      </c>
      <c r="AW4728" s="1">
        <v>24372</v>
      </c>
      <c r="AX4728">
        <v>2</v>
      </c>
    </row>
    <row r="4729" spans="1:50">
      <c r="A4729">
        <v>216827</v>
      </c>
      <c r="B4729" t="str">
        <f>"064604460"</f>
        <v>064604460</v>
      </c>
      <c r="C4729" t="s">
        <v>50</v>
      </c>
      <c r="D4729" t="s">
        <v>4329</v>
      </c>
      <c r="E4729" t="s">
        <v>52</v>
      </c>
      <c r="F4729" t="s">
        <v>53</v>
      </c>
      <c r="G4729" t="s">
        <v>237</v>
      </c>
      <c r="H4729" t="str">
        <f>"ΓΙΑΜΠΟΥΔΑΚΗ  ΚΑΤΩ ΔΑΡΑΤΣΟ"</f>
        <v>ΓΙΑΜΠΟΥΔΑΚΗ  ΚΑΤΩ ΔΑΡΑΤΣΟ</v>
      </c>
      <c r="I4729">
        <v>73133</v>
      </c>
      <c r="J4729">
        <v>2821400208</v>
      </c>
      <c r="K4729">
        <v>6977089522</v>
      </c>
      <c r="M4729" t="s">
        <v>8584</v>
      </c>
      <c r="N4729" t="s">
        <v>299</v>
      </c>
      <c r="O4729" t="s">
        <v>300</v>
      </c>
      <c r="R4729" t="s">
        <v>57</v>
      </c>
      <c r="S4729">
        <v>5</v>
      </c>
      <c r="T4729" t="s">
        <v>8585</v>
      </c>
      <c r="U4729" s="1">
        <v>38982</v>
      </c>
      <c r="V4729" t="s">
        <v>6729</v>
      </c>
      <c r="W4729" t="s">
        <v>6730</v>
      </c>
      <c r="X4729" t="s">
        <v>58</v>
      </c>
      <c r="Y4729">
        <v>20</v>
      </c>
      <c r="Z4729" t="s">
        <v>59</v>
      </c>
      <c r="AA4729" t="s">
        <v>59</v>
      </c>
      <c r="AB4729" t="s">
        <v>59</v>
      </c>
      <c r="AC4729" t="s">
        <v>59</v>
      </c>
      <c r="AD4729" t="s">
        <v>59</v>
      </c>
      <c r="AF4729" s="1">
        <v>38986</v>
      </c>
      <c r="AG4729" t="s">
        <v>148</v>
      </c>
      <c r="AH4729" t="s">
        <v>149</v>
      </c>
      <c r="AI4729" t="str">
        <f>"5052010"</f>
        <v>5052010</v>
      </c>
      <c r="AJ4729" t="s">
        <v>6834</v>
      </c>
      <c r="AK4729">
        <v>2825022200</v>
      </c>
      <c r="AL4729" t="s">
        <v>6835</v>
      </c>
      <c r="AM4729" t="s">
        <v>88</v>
      </c>
      <c r="AN4729" t="s">
        <v>6775</v>
      </c>
      <c r="AO4729" t="s">
        <v>6776</v>
      </c>
      <c r="AP4729" t="s">
        <v>6776</v>
      </c>
      <c r="AQ4729">
        <v>1</v>
      </c>
      <c r="AR4729" t="s">
        <v>6729</v>
      </c>
      <c r="AS4729" t="s">
        <v>6730</v>
      </c>
      <c r="AT4729" t="s">
        <v>58</v>
      </c>
      <c r="AU4729" t="s">
        <v>68</v>
      </c>
      <c r="AV4729" t="s">
        <v>69</v>
      </c>
      <c r="AW4729" s="1">
        <v>29706</v>
      </c>
      <c r="AX4729">
        <v>2</v>
      </c>
    </row>
    <row r="4730" spans="1:50">
      <c r="A4730">
        <v>166585</v>
      </c>
      <c r="B4730" t="str">
        <f>"025602549"</f>
        <v>025602549</v>
      </c>
      <c r="C4730" t="s">
        <v>105</v>
      </c>
      <c r="D4730" t="s">
        <v>4332</v>
      </c>
      <c r="E4730" t="s">
        <v>72</v>
      </c>
      <c r="F4730" t="s">
        <v>304</v>
      </c>
      <c r="G4730" t="s">
        <v>4345</v>
      </c>
      <c r="H4730" t="str">
        <f>"Κροκιδά  76 Αμπεριά"</f>
        <v>Κροκιδά  76 Αμπεριά</v>
      </c>
      <c r="I4730">
        <v>73100</v>
      </c>
      <c r="J4730">
        <v>2821045441</v>
      </c>
      <c r="K4730">
        <v>6977755250</v>
      </c>
      <c r="M4730" t="s">
        <v>8586</v>
      </c>
      <c r="N4730" t="s">
        <v>306</v>
      </c>
      <c r="O4730" t="s">
        <v>307</v>
      </c>
      <c r="R4730" t="s">
        <v>57</v>
      </c>
      <c r="S4730">
        <v>12</v>
      </c>
      <c r="T4730">
        <v>137</v>
      </c>
      <c r="U4730" s="1">
        <v>34206</v>
      </c>
      <c r="V4730" t="s">
        <v>6729</v>
      </c>
      <c r="W4730" t="s">
        <v>6730</v>
      </c>
      <c r="X4730" t="s">
        <v>58</v>
      </c>
      <c r="Y4730">
        <v>18</v>
      </c>
      <c r="Z4730" t="s">
        <v>59</v>
      </c>
      <c r="AA4730" t="s">
        <v>59</v>
      </c>
      <c r="AB4730" t="s">
        <v>59</v>
      </c>
      <c r="AC4730" t="s">
        <v>59</v>
      </c>
      <c r="AD4730" t="s">
        <v>59</v>
      </c>
      <c r="AF4730" s="1">
        <v>34213</v>
      </c>
      <c r="AG4730" t="s">
        <v>125</v>
      </c>
      <c r="AH4730" t="s">
        <v>126</v>
      </c>
      <c r="AI4730" t="str">
        <f>"5011010"</f>
        <v>5011010</v>
      </c>
      <c r="AJ4730" t="s">
        <v>6877</v>
      </c>
      <c r="AK4730">
        <v>2821081330</v>
      </c>
      <c r="AL4730" t="s">
        <v>6878</v>
      </c>
      <c r="AM4730" t="s">
        <v>88</v>
      </c>
      <c r="AN4730" t="s">
        <v>88</v>
      </c>
      <c r="AO4730" t="s">
        <v>6748</v>
      </c>
      <c r="AP4730" t="s">
        <v>6748</v>
      </c>
      <c r="AQ4730">
        <v>1</v>
      </c>
      <c r="AR4730" t="s">
        <v>6729</v>
      </c>
      <c r="AS4730" t="s">
        <v>6730</v>
      </c>
      <c r="AT4730" t="s">
        <v>58</v>
      </c>
      <c r="AU4730" t="s">
        <v>68</v>
      </c>
      <c r="AV4730" t="s">
        <v>69</v>
      </c>
      <c r="AW4730" s="1">
        <v>21186</v>
      </c>
      <c r="AX4730">
        <v>2</v>
      </c>
    </row>
    <row r="4731" spans="1:50">
      <c r="A4731">
        <v>166765</v>
      </c>
      <c r="B4731" t="str">
        <f>"032900334"</f>
        <v>032900334</v>
      </c>
      <c r="C4731" t="s">
        <v>50</v>
      </c>
      <c r="D4731" t="s">
        <v>4341</v>
      </c>
      <c r="E4731" t="s">
        <v>476</v>
      </c>
      <c r="F4731" t="s">
        <v>72</v>
      </c>
      <c r="G4731" t="s">
        <v>155</v>
      </c>
      <c r="H4731" t="str">
        <f>"Π. ΚΟΡΝΑΡΟΥ 2 ΧΑΝΙΑ"</f>
        <v>Π. ΚΟΡΝΑΡΟΥ 2 ΧΑΝΙΑ</v>
      </c>
      <c r="I4731">
        <v>73100</v>
      </c>
      <c r="N4731" t="s">
        <v>176</v>
      </c>
      <c r="O4731" t="s">
        <v>177</v>
      </c>
      <c r="R4731" t="s">
        <v>57</v>
      </c>
      <c r="S4731">
        <v>14</v>
      </c>
      <c r="T4731">
        <v>137</v>
      </c>
      <c r="U4731" s="1">
        <v>34206</v>
      </c>
      <c r="V4731" t="s">
        <v>6729</v>
      </c>
      <c r="W4731" t="s">
        <v>6730</v>
      </c>
      <c r="X4731" t="s">
        <v>58</v>
      </c>
      <c r="Y4731">
        <v>18</v>
      </c>
      <c r="Z4731" t="s">
        <v>59</v>
      </c>
      <c r="AA4731" t="s">
        <v>59</v>
      </c>
      <c r="AB4731" t="s">
        <v>59</v>
      </c>
      <c r="AC4731" t="s">
        <v>59</v>
      </c>
      <c r="AD4731" t="s">
        <v>59</v>
      </c>
      <c r="AF4731" s="1">
        <v>34213</v>
      </c>
      <c r="AG4731" t="s">
        <v>137</v>
      </c>
      <c r="AH4731" t="s">
        <v>138</v>
      </c>
      <c r="AI4731" t="str">
        <f>"5040100"</f>
        <v>5040100</v>
      </c>
      <c r="AJ4731" t="s">
        <v>6790</v>
      </c>
      <c r="AK4731">
        <v>2821058998</v>
      </c>
      <c r="AL4731" t="s">
        <v>6791</v>
      </c>
      <c r="AM4731" t="s">
        <v>88</v>
      </c>
      <c r="AN4731" t="s">
        <v>88</v>
      </c>
      <c r="AO4731" t="s">
        <v>6770</v>
      </c>
      <c r="AP4731" t="s">
        <v>6771</v>
      </c>
      <c r="AQ4731">
        <v>1</v>
      </c>
      <c r="AR4731" t="s">
        <v>6729</v>
      </c>
      <c r="AS4731" t="s">
        <v>6730</v>
      </c>
      <c r="AT4731" t="s">
        <v>58</v>
      </c>
      <c r="AU4731" t="s">
        <v>68</v>
      </c>
      <c r="AV4731" t="s">
        <v>69</v>
      </c>
      <c r="AW4731" s="1">
        <v>22079</v>
      </c>
      <c r="AX4731">
        <v>2</v>
      </c>
    </row>
    <row r="4732" spans="1:50">
      <c r="A4732">
        <v>208382</v>
      </c>
      <c r="B4732" t="str">
        <f>"024230739"</f>
        <v>024230739</v>
      </c>
      <c r="C4732" t="s">
        <v>105</v>
      </c>
      <c r="D4732" t="s">
        <v>4341</v>
      </c>
      <c r="E4732" t="s">
        <v>383</v>
      </c>
      <c r="F4732" t="s">
        <v>8587</v>
      </c>
      <c r="G4732" t="s">
        <v>96</v>
      </c>
      <c r="H4732" t="str">
        <f>" "</f>
        <v xml:space="preserve"> </v>
      </c>
      <c r="J4732">
        <v>2821097387</v>
      </c>
      <c r="K4732">
        <v>6977394749</v>
      </c>
      <c r="M4732" t="s">
        <v>8588</v>
      </c>
      <c r="N4732" t="s">
        <v>168</v>
      </c>
      <c r="O4732" t="s">
        <v>169</v>
      </c>
      <c r="R4732" t="s">
        <v>57</v>
      </c>
      <c r="S4732">
        <v>6</v>
      </c>
      <c r="T4732" t="s">
        <v>8589</v>
      </c>
      <c r="U4732" s="1">
        <v>38596</v>
      </c>
      <c r="V4732" t="s">
        <v>6729</v>
      </c>
      <c r="W4732" t="s">
        <v>6730</v>
      </c>
      <c r="X4732" t="s">
        <v>58</v>
      </c>
      <c r="Y4732">
        <v>20</v>
      </c>
      <c r="Z4732" t="s">
        <v>59</v>
      </c>
      <c r="AA4732" t="s">
        <v>59</v>
      </c>
      <c r="AB4732" t="s">
        <v>59</v>
      </c>
      <c r="AC4732" t="s">
        <v>59</v>
      </c>
      <c r="AD4732" t="s">
        <v>59</v>
      </c>
      <c r="AF4732" s="1">
        <v>38603</v>
      </c>
      <c r="AG4732" t="s">
        <v>125</v>
      </c>
      <c r="AH4732" t="s">
        <v>126</v>
      </c>
      <c r="AI4732" t="str">
        <f>"5001076"</f>
        <v>5001076</v>
      </c>
      <c r="AJ4732" t="s">
        <v>6979</v>
      </c>
      <c r="AK4732">
        <v>2821088808</v>
      </c>
      <c r="AL4732" t="s">
        <v>6980</v>
      </c>
      <c r="AM4732" t="s">
        <v>88</v>
      </c>
      <c r="AN4732" t="s">
        <v>88</v>
      </c>
      <c r="AO4732" t="s">
        <v>6733</v>
      </c>
      <c r="AP4732" t="s">
        <v>6755</v>
      </c>
      <c r="AQ4732">
        <v>1</v>
      </c>
      <c r="AR4732" t="s">
        <v>6729</v>
      </c>
      <c r="AS4732" t="s">
        <v>6730</v>
      </c>
      <c r="AT4732" t="s">
        <v>58</v>
      </c>
      <c r="AU4732" t="s">
        <v>68</v>
      </c>
      <c r="AV4732" t="s">
        <v>69</v>
      </c>
      <c r="AW4732" s="1">
        <v>21950</v>
      </c>
      <c r="AX4732">
        <v>2</v>
      </c>
    </row>
    <row r="4733" spans="1:50">
      <c r="A4733">
        <v>195452</v>
      </c>
      <c r="B4733" t="str">
        <f>"101584708"</f>
        <v>101584708</v>
      </c>
      <c r="C4733" t="s">
        <v>50</v>
      </c>
      <c r="D4733" t="s">
        <v>4343</v>
      </c>
      <c r="E4733" t="s">
        <v>73</v>
      </c>
      <c r="F4733" t="s">
        <v>72</v>
      </c>
      <c r="G4733" t="s">
        <v>787</v>
      </c>
      <c r="H4733" t="str">
        <f>" "</f>
        <v xml:space="preserve"> </v>
      </c>
      <c r="M4733" t="s">
        <v>8590</v>
      </c>
      <c r="N4733" t="s">
        <v>146</v>
      </c>
      <c r="O4733" t="s">
        <v>147</v>
      </c>
      <c r="R4733" t="s">
        <v>57</v>
      </c>
      <c r="S4733">
        <v>8</v>
      </c>
      <c r="T4733">
        <v>194</v>
      </c>
      <c r="U4733" s="1">
        <v>37497</v>
      </c>
      <c r="V4733" t="s">
        <v>6729</v>
      </c>
      <c r="W4733" t="s">
        <v>6730</v>
      </c>
      <c r="X4733" t="s">
        <v>58</v>
      </c>
      <c r="Y4733">
        <v>20</v>
      </c>
      <c r="Z4733" t="s">
        <v>59</v>
      </c>
      <c r="AA4733" t="s">
        <v>59</v>
      </c>
      <c r="AB4733" t="s">
        <v>59</v>
      </c>
      <c r="AC4733" t="s">
        <v>59</v>
      </c>
      <c r="AD4733" t="s">
        <v>59</v>
      </c>
      <c r="AF4733" s="1">
        <v>37501</v>
      </c>
      <c r="AG4733" t="s">
        <v>148</v>
      </c>
      <c r="AH4733" t="s">
        <v>149</v>
      </c>
      <c r="AI4733" t="str">
        <f>"5051050"</f>
        <v>5051050</v>
      </c>
      <c r="AJ4733" t="s">
        <v>6861</v>
      </c>
      <c r="AK4733">
        <v>2821044860</v>
      </c>
      <c r="AL4733" t="s">
        <v>6862</v>
      </c>
      <c r="AM4733" t="s">
        <v>88</v>
      </c>
      <c r="AN4733" t="s">
        <v>88</v>
      </c>
      <c r="AO4733" t="s">
        <v>88</v>
      </c>
      <c r="AP4733" t="s">
        <v>88</v>
      </c>
      <c r="AQ4733">
        <v>1</v>
      </c>
      <c r="AR4733" t="s">
        <v>6729</v>
      </c>
      <c r="AS4733" t="s">
        <v>6730</v>
      </c>
      <c r="AT4733" t="s">
        <v>58</v>
      </c>
      <c r="AU4733" t="s">
        <v>68</v>
      </c>
      <c r="AV4733" t="s">
        <v>69</v>
      </c>
      <c r="AW4733" s="1">
        <v>25359</v>
      </c>
      <c r="AX4733">
        <v>2</v>
      </c>
    </row>
    <row r="4734" spans="1:50">
      <c r="A4734">
        <v>203162</v>
      </c>
      <c r="B4734" t="str">
        <f>"032853838"</f>
        <v>032853838</v>
      </c>
      <c r="C4734" t="s">
        <v>50</v>
      </c>
      <c r="D4734" t="s">
        <v>4343</v>
      </c>
      <c r="E4734" t="s">
        <v>1644</v>
      </c>
      <c r="F4734" t="s">
        <v>450</v>
      </c>
      <c r="G4734" t="s">
        <v>2811</v>
      </c>
      <c r="H4734" t="str">
        <f>"ΓΙΑΜΠΟΥΔΑΚΗ 40 ΧΑΝΙΑ"</f>
        <v>ΓΙΑΜΠΟΥΔΑΚΗ 40 ΧΑΝΙΑ</v>
      </c>
      <c r="I4734">
        <v>73100</v>
      </c>
      <c r="J4734">
        <v>2821045206</v>
      </c>
      <c r="K4734">
        <v>6973346499</v>
      </c>
      <c r="N4734" t="s">
        <v>478</v>
      </c>
      <c r="O4734" t="s">
        <v>479</v>
      </c>
      <c r="R4734" t="s">
        <v>57</v>
      </c>
      <c r="S4734">
        <v>9</v>
      </c>
      <c r="T4734">
        <v>231</v>
      </c>
      <c r="U4734" s="1">
        <v>38230</v>
      </c>
      <c r="V4734" t="s">
        <v>6729</v>
      </c>
      <c r="W4734" t="s">
        <v>6730</v>
      </c>
      <c r="X4734" t="s">
        <v>58</v>
      </c>
      <c r="Y4734">
        <v>20</v>
      </c>
      <c r="Z4734" t="s">
        <v>59</v>
      </c>
      <c r="AA4734" t="s">
        <v>59</v>
      </c>
      <c r="AB4734" t="s">
        <v>59</v>
      </c>
      <c r="AC4734" t="s">
        <v>59</v>
      </c>
      <c r="AD4734" t="s">
        <v>59</v>
      </c>
      <c r="AF4734" s="1">
        <v>38231</v>
      </c>
      <c r="AG4734" t="s">
        <v>125</v>
      </c>
      <c r="AH4734" t="s">
        <v>126</v>
      </c>
      <c r="AI4734" t="str">
        <f>"5001075"</f>
        <v>5001075</v>
      </c>
      <c r="AJ4734" t="s">
        <v>6768</v>
      </c>
      <c r="AK4734">
        <v>2821064200</v>
      </c>
      <c r="AL4734" t="s">
        <v>6769</v>
      </c>
      <c r="AM4734" t="s">
        <v>88</v>
      </c>
      <c r="AN4734" t="s">
        <v>88</v>
      </c>
      <c r="AO4734" t="s">
        <v>6770</v>
      </c>
      <c r="AP4734" t="s">
        <v>6771</v>
      </c>
      <c r="AQ4734">
        <v>1</v>
      </c>
      <c r="AR4734" t="s">
        <v>6729</v>
      </c>
      <c r="AS4734" t="s">
        <v>6730</v>
      </c>
      <c r="AT4734" t="s">
        <v>58</v>
      </c>
      <c r="AU4734" t="s">
        <v>68</v>
      </c>
      <c r="AV4734" t="s">
        <v>69</v>
      </c>
      <c r="AW4734" s="1">
        <v>23697</v>
      </c>
      <c r="AX4734">
        <v>2</v>
      </c>
    </row>
    <row r="4735" spans="1:50">
      <c r="A4735">
        <v>218308</v>
      </c>
      <c r="B4735" t="str">
        <f>"073155684"</f>
        <v>073155684</v>
      </c>
      <c r="C4735" t="s">
        <v>50</v>
      </c>
      <c r="D4735" t="s">
        <v>4343</v>
      </c>
      <c r="E4735" t="s">
        <v>250</v>
      </c>
      <c r="F4735" t="s">
        <v>4071</v>
      </c>
      <c r="G4735" t="s">
        <v>143</v>
      </c>
      <c r="H4735" t="str">
        <f>"ΣΤΕΦΑΝΟΥ ΖΩΓΡΑΦΑΚΗ ΤΘ 164 ΓΑΛΑΤΑΣ"</f>
        <v>ΣΤΕΦΑΝΟΥ ΖΩΓΡΑΦΑΚΗ ΤΘ 164 ΓΑΛΑΤΑΣ</v>
      </c>
      <c r="I4735">
        <v>73100</v>
      </c>
      <c r="J4735">
        <v>2821050924</v>
      </c>
      <c r="K4735">
        <v>6945987261</v>
      </c>
      <c r="M4735" t="s">
        <v>8591</v>
      </c>
      <c r="N4735" t="s">
        <v>292</v>
      </c>
      <c r="O4735" t="s">
        <v>293</v>
      </c>
      <c r="R4735" t="s">
        <v>57</v>
      </c>
      <c r="S4735">
        <v>6</v>
      </c>
      <c r="T4735">
        <v>599</v>
      </c>
      <c r="U4735" s="1">
        <v>39310</v>
      </c>
      <c r="V4735" t="s">
        <v>6729</v>
      </c>
      <c r="W4735" t="s">
        <v>6730</v>
      </c>
      <c r="X4735" t="s">
        <v>58</v>
      </c>
      <c r="Y4735">
        <v>20</v>
      </c>
      <c r="Z4735" t="s">
        <v>59</v>
      </c>
      <c r="AA4735" t="s">
        <v>59</v>
      </c>
      <c r="AB4735" t="s">
        <v>59</v>
      </c>
      <c r="AC4735" t="s">
        <v>59</v>
      </c>
      <c r="AD4735" t="s">
        <v>59</v>
      </c>
      <c r="AF4735" s="1">
        <v>39328</v>
      </c>
      <c r="AG4735" t="s">
        <v>137</v>
      </c>
      <c r="AH4735" t="s">
        <v>138</v>
      </c>
      <c r="AI4735" t="str">
        <f>"5050060"</f>
        <v>5050060</v>
      </c>
      <c r="AJ4735" t="s">
        <v>6801</v>
      </c>
      <c r="AK4735">
        <v>2821091515</v>
      </c>
      <c r="AL4735" t="s">
        <v>6802</v>
      </c>
      <c r="AM4735" t="s">
        <v>88</v>
      </c>
      <c r="AN4735" t="s">
        <v>88</v>
      </c>
      <c r="AO4735" t="s">
        <v>88</v>
      </c>
      <c r="AP4735" t="s">
        <v>88</v>
      </c>
      <c r="AQ4735">
        <v>1</v>
      </c>
      <c r="AR4735" t="s">
        <v>6729</v>
      </c>
      <c r="AS4735" t="s">
        <v>6730</v>
      </c>
      <c r="AT4735" t="s">
        <v>58</v>
      </c>
      <c r="AU4735" t="s">
        <v>68</v>
      </c>
      <c r="AV4735" t="s">
        <v>69</v>
      </c>
      <c r="AW4735" s="1">
        <v>26811</v>
      </c>
      <c r="AX4735">
        <v>2</v>
      </c>
    </row>
    <row r="4736" spans="1:50">
      <c r="A4736">
        <v>193339</v>
      </c>
      <c r="B4736" t="str">
        <f>"046203590"</f>
        <v>046203590</v>
      </c>
      <c r="C4736" t="s">
        <v>50</v>
      </c>
      <c r="D4736" t="s">
        <v>4343</v>
      </c>
      <c r="E4736" t="s">
        <v>83</v>
      </c>
      <c r="F4736" t="s">
        <v>823</v>
      </c>
      <c r="G4736" t="s">
        <v>378</v>
      </c>
      <c r="H4736" t="str">
        <f>"ΓΕΡΑΣΙΜΟΥ ΠΑΡΔΑΛΗ 30 ΧΑΝΙΑ"</f>
        <v>ΓΕΡΑΣΙΜΟΥ ΠΑΡΔΑΛΗ 30 ΧΑΝΙΑ</v>
      </c>
      <c r="I4736">
        <v>73131</v>
      </c>
      <c r="J4736">
        <v>2821098558</v>
      </c>
      <c r="K4736">
        <v>6979148356</v>
      </c>
      <c r="M4736" t="s">
        <v>8592</v>
      </c>
      <c r="N4736" t="s">
        <v>146</v>
      </c>
      <c r="O4736" t="s">
        <v>147</v>
      </c>
      <c r="R4736" t="s">
        <v>57</v>
      </c>
      <c r="S4736">
        <v>8</v>
      </c>
      <c r="T4736">
        <v>193</v>
      </c>
      <c r="U4736" s="1">
        <v>37497</v>
      </c>
      <c r="V4736" t="s">
        <v>6729</v>
      </c>
      <c r="W4736" t="s">
        <v>6730</v>
      </c>
      <c r="X4736" t="s">
        <v>58</v>
      </c>
      <c r="Y4736">
        <v>20</v>
      </c>
      <c r="Z4736" t="s">
        <v>59</v>
      </c>
      <c r="AA4736" t="s">
        <v>59</v>
      </c>
      <c r="AB4736" t="s">
        <v>59</v>
      </c>
      <c r="AC4736" t="s">
        <v>59</v>
      </c>
      <c r="AD4736" t="s">
        <v>59</v>
      </c>
      <c r="AF4736" s="1">
        <v>37501</v>
      </c>
      <c r="AG4736" t="s">
        <v>125</v>
      </c>
      <c r="AH4736" t="s">
        <v>126</v>
      </c>
      <c r="AI4736" t="str">
        <f>"5001060"</f>
        <v>5001060</v>
      </c>
      <c r="AJ4736" t="s">
        <v>6914</v>
      </c>
      <c r="AK4736">
        <v>2821091763</v>
      </c>
      <c r="AL4736" t="s">
        <v>6915</v>
      </c>
      <c r="AM4736" t="s">
        <v>88</v>
      </c>
      <c r="AN4736" t="s">
        <v>88</v>
      </c>
      <c r="AO4736" t="s">
        <v>88</v>
      </c>
      <c r="AP4736" t="s">
        <v>88</v>
      </c>
      <c r="AQ4736">
        <v>1</v>
      </c>
      <c r="AR4736" t="s">
        <v>6729</v>
      </c>
      <c r="AS4736" t="s">
        <v>6730</v>
      </c>
      <c r="AT4736" t="s">
        <v>58</v>
      </c>
      <c r="AU4736" t="s">
        <v>68</v>
      </c>
      <c r="AV4736" t="s">
        <v>69</v>
      </c>
      <c r="AW4736" s="1">
        <v>25624</v>
      </c>
      <c r="AX4736">
        <v>2</v>
      </c>
    </row>
    <row r="4737" spans="1:50">
      <c r="A4737">
        <v>168063</v>
      </c>
      <c r="B4737" t="str">
        <f>"030402480"</f>
        <v>030402480</v>
      </c>
      <c r="C4737" t="s">
        <v>105</v>
      </c>
      <c r="D4737" t="s">
        <v>4349</v>
      </c>
      <c r="E4737" t="s">
        <v>95</v>
      </c>
      <c r="F4737" t="s">
        <v>450</v>
      </c>
      <c r="G4737" t="s">
        <v>647</v>
      </c>
      <c r="H4737" t="str">
        <f>" "</f>
        <v xml:space="preserve"> </v>
      </c>
      <c r="N4737" t="s">
        <v>292</v>
      </c>
      <c r="O4737" t="s">
        <v>293</v>
      </c>
      <c r="R4737" t="s">
        <v>57</v>
      </c>
      <c r="S4737">
        <v>13</v>
      </c>
      <c r="T4737">
        <v>159</v>
      </c>
      <c r="U4737" s="1">
        <v>34582</v>
      </c>
      <c r="V4737" t="s">
        <v>6729</v>
      </c>
      <c r="W4737" t="s">
        <v>6730</v>
      </c>
      <c r="X4737" t="s">
        <v>58</v>
      </c>
      <c r="Y4737">
        <v>18</v>
      </c>
      <c r="Z4737" t="s">
        <v>59</v>
      </c>
      <c r="AA4737" t="s">
        <v>59</v>
      </c>
      <c r="AB4737" t="s">
        <v>59</v>
      </c>
      <c r="AC4737" t="s">
        <v>59</v>
      </c>
      <c r="AD4737" t="s">
        <v>59</v>
      </c>
      <c r="AF4737" s="1">
        <v>34582</v>
      </c>
      <c r="AG4737" t="s">
        <v>125</v>
      </c>
      <c r="AH4737" t="s">
        <v>126</v>
      </c>
      <c r="AI4737" t="str">
        <f>"5012010"</f>
        <v>5012010</v>
      </c>
      <c r="AJ4737" t="s">
        <v>6794</v>
      </c>
      <c r="AK4737">
        <v>2821033195</v>
      </c>
      <c r="AL4737" t="s">
        <v>6795</v>
      </c>
      <c r="AM4737" t="s">
        <v>88</v>
      </c>
      <c r="AN4737" t="s">
        <v>88</v>
      </c>
      <c r="AO4737" t="s">
        <v>6785</v>
      </c>
      <c r="AP4737" t="s">
        <v>6786</v>
      </c>
      <c r="AQ4737">
        <v>1</v>
      </c>
      <c r="AR4737" t="s">
        <v>6729</v>
      </c>
      <c r="AS4737" t="s">
        <v>6730</v>
      </c>
      <c r="AT4737" t="s">
        <v>58</v>
      </c>
      <c r="AU4737" t="s">
        <v>68</v>
      </c>
      <c r="AV4737" t="s">
        <v>69</v>
      </c>
      <c r="AW4737" s="1">
        <v>21417</v>
      </c>
      <c r="AX4737">
        <v>2</v>
      </c>
    </row>
    <row r="4738" spans="1:50">
      <c r="A4738">
        <v>202120</v>
      </c>
      <c r="B4738" t="str">
        <f>"075854915"</f>
        <v>075854915</v>
      </c>
      <c r="C4738" t="s">
        <v>105</v>
      </c>
      <c r="D4738" t="s">
        <v>8593</v>
      </c>
      <c r="E4738" t="s">
        <v>53</v>
      </c>
      <c r="F4738" t="s">
        <v>670</v>
      </c>
      <c r="G4738" t="s">
        <v>181</v>
      </c>
      <c r="H4738" t="str">
        <f>"ΜΑΝΩΛΗ ΜΑΝΤΑΚΑ 26 ΛΕΝΤΑΡΙΑΝΑ"</f>
        <v>ΜΑΝΩΛΗ ΜΑΝΤΑΚΑ 26 ΛΕΝΤΑΡΙΑΝΑ</v>
      </c>
      <c r="J4738">
        <v>2821052547</v>
      </c>
      <c r="K4738">
        <v>6978706555</v>
      </c>
      <c r="M4738" t="s">
        <v>8594</v>
      </c>
      <c r="N4738" t="s">
        <v>146</v>
      </c>
      <c r="O4738" t="s">
        <v>147</v>
      </c>
      <c r="R4738" t="s">
        <v>57</v>
      </c>
      <c r="S4738">
        <v>7</v>
      </c>
      <c r="T4738">
        <v>231</v>
      </c>
      <c r="U4738" s="1">
        <v>38230</v>
      </c>
      <c r="V4738" t="s">
        <v>6729</v>
      </c>
      <c r="W4738" t="s">
        <v>6730</v>
      </c>
      <c r="X4738" t="s">
        <v>58</v>
      </c>
      <c r="Y4738">
        <v>20</v>
      </c>
      <c r="Z4738" t="s">
        <v>59</v>
      </c>
      <c r="AA4738" t="s">
        <v>59</v>
      </c>
      <c r="AB4738" t="s">
        <v>59</v>
      </c>
      <c r="AC4738" t="s">
        <v>59</v>
      </c>
      <c r="AD4738" t="s">
        <v>59</v>
      </c>
      <c r="AF4738" s="1">
        <v>38236</v>
      </c>
      <c r="AG4738" t="s">
        <v>148</v>
      </c>
      <c r="AH4738" t="s">
        <v>149</v>
      </c>
      <c r="AI4738" t="str">
        <f>"5057010"</f>
        <v>5057010</v>
      </c>
      <c r="AJ4738" t="s">
        <v>6836</v>
      </c>
      <c r="AK4738">
        <v>2824022511</v>
      </c>
      <c r="AL4738" t="s">
        <v>6837</v>
      </c>
      <c r="AM4738" t="s">
        <v>88</v>
      </c>
      <c r="AN4738" t="s">
        <v>6764</v>
      </c>
      <c r="AO4738" t="s">
        <v>6799</v>
      </c>
      <c r="AP4738" t="s">
        <v>6799</v>
      </c>
      <c r="AQ4738">
        <v>1</v>
      </c>
      <c r="AR4738" t="s">
        <v>6729</v>
      </c>
      <c r="AS4738" t="s">
        <v>6730</v>
      </c>
      <c r="AT4738" t="s">
        <v>58</v>
      </c>
      <c r="AU4738" t="s">
        <v>68</v>
      </c>
      <c r="AV4738" t="s">
        <v>69</v>
      </c>
      <c r="AW4738" s="1">
        <v>25821</v>
      </c>
      <c r="AX4738">
        <v>2</v>
      </c>
    </row>
    <row r="4739" spans="1:50">
      <c r="A4739">
        <v>193340</v>
      </c>
      <c r="B4739" t="str">
        <f>"050284159"</f>
        <v>050284159</v>
      </c>
      <c r="C4739" t="s">
        <v>50</v>
      </c>
      <c r="D4739" t="s">
        <v>8595</v>
      </c>
      <c r="E4739" t="s">
        <v>3150</v>
      </c>
      <c r="F4739" t="s">
        <v>309</v>
      </c>
      <c r="G4739" t="s">
        <v>8596</v>
      </c>
      <c r="H4739" t="str">
        <f>" "</f>
        <v xml:space="preserve"> </v>
      </c>
      <c r="J4739">
        <v>2831053094</v>
      </c>
      <c r="L4739">
        <v>2821042376</v>
      </c>
      <c r="M4739" t="s">
        <v>8597</v>
      </c>
      <c r="N4739" t="s">
        <v>146</v>
      </c>
      <c r="O4739" t="s">
        <v>147</v>
      </c>
      <c r="R4739" t="s">
        <v>57</v>
      </c>
      <c r="S4739">
        <v>12</v>
      </c>
      <c r="T4739">
        <v>193</v>
      </c>
      <c r="U4739" s="1">
        <v>37497</v>
      </c>
      <c r="V4739" t="s">
        <v>6729</v>
      </c>
      <c r="W4739" t="s">
        <v>6730</v>
      </c>
      <c r="X4739" t="s">
        <v>58</v>
      </c>
      <c r="Y4739">
        <v>18</v>
      </c>
      <c r="Z4739" t="s">
        <v>59</v>
      </c>
      <c r="AA4739" t="s">
        <v>59</v>
      </c>
      <c r="AB4739" t="s">
        <v>59</v>
      </c>
      <c r="AC4739" t="s">
        <v>59</v>
      </c>
      <c r="AD4739" t="s">
        <v>59</v>
      </c>
      <c r="AF4739" s="1">
        <v>37501</v>
      </c>
      <c r="AG4739" t="s">
        <v>125</v>
      </c>
      <c r="AH4739" t="s">
        <v>126</v>
      </c>
      <c r="AI4739" t="str">
        <f>"5001072"</f>
        <v>5001072</v>
      </c>
      <c r="AJ4739" t="s">
        <v>6922</v>
      </c>
      <c r="AK4739">
        <v>2821055471</v>
      </c>
      <c r="AL4739" t="s">
        <v>6923</v>
      </c>
      <c r="AM4739" t="s">
        <v>88</v>
      </c>
      <c r="AN4739" t="s">
        <v>88</v>
      </c>
      <c r="AO4739" t="s">
        <v>88</v>
      </c>
      <c r="AP4739" t="s">
        <v>88</v>
      </c>
      <c r="AQ4739">
        <v>1</v>
      </c>
      <c r="AR4739" t="s">
        <v>6729</v>
      </c>
      <c r="AS4739" t="s">
        <v>6730</v>
      </c>
      <c r="AT4739" t="s">
        <v>58</v>
      </c>
      <c r="AU4739" t="s">
        <v>68</v>
      </c>
      <c r="AV4739" t="s">
        <v>69</v>
      </c>
      <c r="AW4739" s="1">
        <v>24126</v>
      </c>
      <c r="AX4739">
        <v>2</v>
      </c>
    </row>
    <row r="4740" spans="1:50">
      <c r="A4740">
        <v>198113</v>
      </c>
      <c r="B4740" t="str">
        <f>"035715750"</f>
        <v>035715750</v>
      </c>
      <c r="C4740" t="s">
        <v>105</v>
      </c>
      <c r="D4740" t="s">
        <v>8598</v>
      </c>
      <c r="E4740" t="s">
        <v>309</v>
      </c>
      <c r="F4740" t="s">
        <v>95</v>
      </c>
      <c r="G4740" t="s">
        <v>4127</v>
      </c>
      <c r="H4740" t="str">
        <f>"Ν. ΣΚΟΥΛΑ 79 ΧΑΝΙΑ"</f>
        <v>Ν. ΣΚΟΥΛΑ 79 ΧΑΝΙΑ</v>
      </c>
      <c r="I4740">
        <v>73100</v>
      </c>
      <c r="J4740">
        <v>2821096926</v>
      </c>
      <c r="K4740">
        <v>6978001283</v>
      </c>
      <c r="M4740" t="s">
        <v>8599</v>
      </c>
      <c r="N4740" t="s">
        <v>232</v>
      </c>
      <c r="O4740" t="s">
        <v>233</v>
      </c>
      <c r="R4740" t="s">
        <v>57</v>
      </c>
      <c r="S4740">
        <v>10</v>
      </c>
      <c r="T4740">
        <v>206</v>
      </c>
      <c r="U4740" s="1">
        <v>37866</v>
      </c>
      <c r="V4740" t="s">
        <v>6729</v>
      </c>
      <c r="W4740" t="s">
        <v>6730</v>
      </c>
      <c r="X4740" t="s">
        <v>58</v>
      </c>
      <c r="Y4740">
        <v>18</v>
      </c>
      <c r="Z4740" t="s">
        <v>59</v>
      </c>
      <c r="AA4740" t="s">
        <v>59</v>
      </c>
      <c r="AB4740" t="s">
        <v>59</v>
      </c>
      <c r="AC4740" t="s">
        <v>59</v>
      </c>
      <c r="AD4740" t="s">
        <v>59</v>
      </c>
      <c r="AF4740" s="1">
        <v>37866</v>
      </c>
      <c r="AG4740" t="s">
        <v>148</v>
      </c>
      <c r="AH4740" t="s">
        <v>149</v>
      </c>
      <c r="AI4740" t="str">
        <f>"5051010"</f>
        <v>5051010</v>
      </c>
      <c r="AJ4740" t="s">
        <v>6896</v>
      </c>
      <c r="AK4740">
        <v>2821028714</v>
      </c>
      <c r="AL4740" t="s">
        <v>6897</v>
      </c>
      <c r="AM4740" t="s">
        <v>88</v>
      </c>
      <c r="AN4740" t="s">
        <v>88</v>
      </c>
      <c r="AO4740" t="s">
        <v>88</v>
      </c>
      <c r="AP4740" t="s">
        <v>88</v>
      </c>
      <c r="AQ4740">
        <v>1</v>
      </c>
      <c r="AR4740" t="s">
        <v>6729</v>
      </c>
      <c r="AS4740" t="s">
        <v>6730</v>
      </c>
      <c r="AT4740" t="s">
        <v>58</v>
      </c>
      <c r="AU4740" t="s">
        <v>68</v>
      </c>
      <c r="AV4740" t="s">
        <v>132</v>
      </c>
      <c r="AW4740" s="1">
        <v>22499</v>
      </c>
      <c r="AX4740">
        <v>2</v>
      </c>
    </row>
    <row r="4741" spans="1:50">
      <c r="A4741">
        <v>225575</v>
      </c>
      <c r="B4741" t="str">
        <f>"045853121"</f>
        <v>045853121</v>
      </c>
      <c r="C4741" t="s">
        <v>105</v>
      </c>
      <c r="D4741" t="s">
        <v>8598</v>
      </c>
      <c r="E4741" t="s">
        <v>95</v>
      </c>
      <c r="F4741" t="s">
        <v>108</v>
      </c>
      <c r="G4741" t="s">
        <v>52</v>
      </c>
      <c r="H4741" t="str">
        <f>" "</f>
        <v xml:space="preserve"> </v>
      </c>
      <c r="J4741">
        <v>2821033319</v>
      </c>
      <c r="K4741">
        <v>6977469342</v>
      </c>
      <c r="N4741" t="s">
        <v>583</v>
      </c>
      <c r="O4741" t="s">
        <v>584</v>
      </c>
      <c r="R4741" t="s">
        <v>57</v>
      </c>
      <c r="S4741">
        <v>5</v>
      </c>
      <c r="T4741">
        <v>775</v>
      </c>
      <c r="U4741" s="1">
        <v>39680</v>
      </c>
      <c r="V4741" t="s">
        <v>6729</v>
      </c>
      <c r="W4741" t="s">
        <v>6730</v>
      </c>
      <c r="X4741" t="s">
        <v>58</v>
      </c>
      <c r="Y4741">
        <v>21</v>
      </c>
      <c r="Z4741" t="s">
        <v>59</v>
      </c>
      <c r="AA4741" t="s">
        <v>59</v>
      </c>
      <c r="AB4741" t="s">
        <v>59</v>
      </c>
      <c r="AC4741" t="s">
        <v>59</v>
      </c>
      <c r="AD4741" t="s">
        <v>59</v>
      </c>
      <c r="AF4741" s="1">
        <v>39681</v>
      </c>
      <c r="AG4741" t="s">
        <v>137</v>
      </c>
      <c r="AH4741" t="s">
        <v>469</v>
      </c>
      <c r="AI4741" t="str">
        <f>"5040055"</f>
        <v>5040055</v>
      </c>
      <c r="AJ4741" t="s">
        <v>6940</v>
      </c>
      <c r="AK4741">
        <v>2821036404</v>
      </c>
      <c r="AL4741" t="s">
        <v>6941</v>
      </c>
      <c r="AM4741" t="s">
        <v>88</v>
      </c>
      <c r="AN4741" t="s">
        <v>88</v>
      </c>
      <c r="AO4741" t="s">
        <v>88</v>
      </c>
      <c r="AP4741" t="s">
        <v>88</v>
      </c>
      <c r="AQ4741">
        <v>1</v>
      </c>
      <c r="AR4741" t="s">
        <v>6729</v>
      </c>
      <c r="AS4741" t="s">
        <v>6730</v>
      </c>
      <c r="AT4741" t="s">
        <v>58</v>
      </c>
      <c r="AU4741" t="s">
        <v>68</v>
      </c>
      <c r="AV4741" t="s">
        <v>69</v>
      </c>
      <c r="AW4741" s="1">
        <v>24473</v>
      </c>
      <c r="AX4741">
        <v>2</v>
      </c>
    </row>
    <row r="4742" spans="1:50">
      <c r="A4742">
        <v>193550</v>
      </c>
      <c r="B4742" t="str">
        <f>"045280375"</f>
        <v>045280375</v>
      </c>
      <c r="C4742" t="s">
        <v>50</v>
      </c>
      <c r="D4742" t="s">
        <v>8600</v>
      </c>
      <c r="E4742" t="s">
        <v>155</v>
      </c>
      <c r="F4742" t="s">
        <v>1493</v>
      </c>
      <c r="G4742" t="s">
        <v>52</v>
      </c>
      <c r="H4742" t="str">
        <f>"ΒΑΓΙ 1 ΑΓΙΑ ΜΑΡΙΝΑ"</f>
        <v>ΒΑΓΙ 1 ΑΓΙΑ ΜΑΡΙΝΑ</v>
      </c>
      <c r="I4742">
        <v>73014</v>
      </c>
      <c r="J4742">
        <v>2821038265</v>
      </c>
      <c r="K4742">
        <v>6974388548</v>
      </c>
      <c r="M4742" t="s">
        <v>8601</v>
      </c>
      <c r="N4742" t="s">
        <v>292</v>
      </c>
      <c r="O4742" t="s">
        <v>293</v>
      </c>
      <c r="R4742" t="s">
        <v>57</v>
      </c>
      <c r="S4742">
        <v>8</v>
      </c>
      <c r="T4742">
        <v>193</v>
      </c>
      <c r="U4742" s="1">
        <v>37497</v>
      </c>
      <c r="V4742" t="s">
        <v>6729</v>
      </c>
      <c r="W4742" t="s">
        <v>6730</v>
      </c>
      <c r="X4742" t="s">
        <v>58</v>
      </c>
      <c r="Y4742">
        <v>20</v>
      </c>
      <c r="Z4742" t="s">
        <v>59</v>
      </c>
      <c r="AA4742" t="s">
        <v>59</v>
      </c>
      <c r="AB4742" t="s">
        <v>59</v>
      </c>
      <c r="AC4742" t="s">
        <v>59</v>
      </c>
      <c r="AD4742" t="s">
        <v>59</v>
      </c>
      <c r="AF4742" s="1">
        <v>37501</v>
      </c>
      <c r="AG4742" t="s">
        <v>148</v>
      </c>
      <c r="AH4742" t="s">
        <v>149</v>
      </c>
      <c r="AI4742" t="str">
        <f>"5062010"</f>
        <v>5062010</v>
      </c>
      <c r="AJ4742" t="s">
        <v>6783</v>
      </c>
      <c r="AK4742">
        <v>2821031620</v>
      </c>
      <c r="AL4742" t="s">
        <v>6784</v>
      </c>
      <c r="AM4742" t="s">
        <v>88</v>
      </c>
      <c r="AN4742" t="s">
        <v>88</v>
      </c>
      <c r="AO4742" t="s">
        <v>6785</v>
      </c>
      <c r="AP4742" t="s">
        <v>6786</v>
      </c>
      <c r="AQ4742">
        <v>1</v>
      </c>
      <c r="AR4742" t="s">
        <v>6729</v>
      </c>
      <c r="AS4742" t="s">
        <v>6730</v>
      </c>
      <c r="AT4742" t="s">
        <v>58</v>
      </c>
      <c r="AU4742" t="s">
        <v>68</v>
      </c>
      <c r="AV4742" t="s">
        <v>69</v>
      </c>
      <c r="AW4742" s="1">
        <v>24935</v>
      </c>
      <c r="AX4742">
        <v>2</v>
      </c>
    </row>
    <row r="4743" spans="1:50">
      <c r="A4743">
        <v>199183</v>
      </c>
      <c r="B4743" t="str">
        <f>"064037633"</f>
        <v>064037633</v>
      </c>
      <c r="C4743" t="s">
        <v>105</v>
      </c>
      <c r="D4743" t="s">
        <v>8602</v>
      </c>
      <c r="E4743" t="s">
        <v>99</v>
      </c>
      <c r="F4743" t="s">
        <v>99</v>
      </c>
      <c r="G4743" t="s">
        <v>191</v>
      </c>
      <c r="H4743" t="str">
        <f>" "</f>
        <v xml:space="preserve"> </v>
      </c>
      <c r="J4743">
        <v>2821057724</v>
      </c>
      <c r="K4743">
        <v>6945228189</v>
      </c>
      <c r="N4743" t="s">
        <v>176</v>
      </c>
      <c r="O4743" t="s">
        <v>177</v>
      </c>
      <c r="R4743" t="s">
        <v>57</v>
      </c>
      <c r="S4743">
        <v>13</v>
      </c>
      <c r="T4743">
        <v>206</v>
      </c>
      <c r="U4743" s="1">
        <v>37866</v>
      </c>
      <c r="V4743" t="s">
        <v>6729</v>
      </c>
      <c r="W4743" t="s">
        <v>6730</v>
      </c>
      <c r="X4743" t="s">
        <v>58</v>
      </c>
      <c r="Y4743">
        <v>20</v>
      </c>
      <c r="Z4743" t="s">
        <v>59</v>
      </c>
      <c r="AA4743" t="s">
        <v>59</v>
      </c>
      <c r="AB4743" t="s">
        <v>59</v>
      </c>
      <c r="AC4743" t="s">
        <v>59</v>
      </c>
      <c r="AD4743" t="s">
        <v>59</v>
      </c>
      <c r="AF4743" s="1">
        <v>37866</v>
      </c>
      <c r="AG4743" t="s">
        <v>125</v>
      </c>
      <c r="AH4743" t="s">
        <v>126</v>
      </c>
      <c r="AI4743" t="str">
        <f>"5001040"</f>
        <v>5001040</v>
      </c>
      <c r="AJ4743" t="s">
        <v>7126</v>
      </c>
      <c r="AK4743">
        <v>2821088010</v>
      </c>
      <c r="AM4743" t="s">
        <v>88</v>
      </c>
      <c r="AN4743" t="s">
        <v>88</v>
      </c>
      <c r="AO4743" t="s">
        <v>88</v>
      </c>
      <c r="AP4743" t="s">
        <v>88</v>
      </c>
      <c r="AQ4743">
        <v>1</v>
      </c>
      <c r="AR4743" t="s">
        <v>6729</v>
      </c>
      <c r="AS4743" t="s">
        <v>6730</v>
      </c>
      <c r="AT4743" t="s">
        <v>58</v>
      </c>
      <c r="AU4743" t="s">
        <v>68</v>
      </c>
      <c r="AV4743" t="s">
        <v>69</v>
      </c>
      <c r="AW4743" s="1">
        <v>26817</v>
      </c>
      <c r="AX4743">
        <v>2</v>
      </c>
    </row>
    <row r="4744" spans="1:50">
      <c r="A4744">
        <v>215128</v>
      </c>
      <c r="B4744" t="str">
        <f>"077671332"</f>
        <v>077671332</v>
      </c>
      <c r="C4744" t="s">
        <v>105</v>
      </c>
      <c r="D4744" t="s">
        <v>8603</v>
      </c>
      <c r="E4744" t="s">
        <v>202</v>
      </c>
      <c r="F4744" t="s">
        <v>53</v>
      </c>
      <c r="G4744" t="s">
        <v>83</v>
      </c>
      <c r="H4744" t="str">
        <f>"ΑΛ. ΠΑΝΑΓΟΥΛΗ 11 ΧΑΝΙΑ"</f>
        <v>ΑΛ. ΠΑΝΑΓΟΥΛΗ 11 ΧΑΝΙΑ</v>
      </c>
      <c r="I4744">
        <v>73100</v>
      </c>
      <c r="J4744">
        <v>2821099679</v>
      </c>
      <c r="K4744">
        <v>6973272270</v>
      </c>
      <c r="M4744" t="s">
        <v>8604</v>
      </c>
      <c r="N4744" t="s">
        <v>299</v>
      </c>
      <c r="O4744" t="s">
        <v>300</v>
      </c>
      <c r="R4744" t="s">
        <v>57</v>
      </c>
      <c r="S4744">
        <v>7</v>
      </c>
      <c r="T4744">
        <v>231</v>
      </c>
      <c r="U4744" s="1">
        <v>38960</v>
      </c>
      <c r="V4744" t="s">
        <v>6729</v>
      </c>
      <c r="W4744" t="s">
        <v>6730</v>
      </c>
      <c r="X4744" t="s">
        <v>58</v>
      </c>
      <c r="Y4744">
        <v>20</v>
      </c>
      <c r="Z4744" t="s">
        <v>59</v>
      </c>
      <c r="AA4744" t="s">
        <v>59</v>
      </c>
      <c r="AB4744" t="s">
        <v>59</v>
      </c>
      <c r="AC4744" t="s">
        <v>59</v>
      </c>
      <c r="AD4744" t="s">
        <v>59</v>
      </c>
      <c r="AF4744" s="1">
        <v>38961</v>
      </c>
      <c r="AG4744" t="s">
        <v>137</v>
      </c>
      <c r="AH4744" t="s">
        <v>138</v>
      </c>
      <c r="AI4744" t="str">
        <f>"5040050"</f>
        <v>5040050</v>
      </c>
      <c r="AJ4744" t="s">
        <v>6750</v>
      </c>
      <c r="AK4744">
        <v>2821043147</v>
      </c>
      <c r="AL4744" t="s">
        <v>6751</v>
      </c>
      <c r="AM4744" t="s">
        <v>88</v>
      </c>
      <c r="AN4744" t="s">
        <v>88</v>
      </c>
      <c r="AO4744" t="s">
        <v>88</v>
      </c>
      <c r="AP4744" t="s">
        <v>88</v>
      </c>
      <c r="AQ4744">
        <v>1</v>
      </c>
      <c r="AR4744" t="s">
        <v>6729</v>
      </c>
      <c r="AS4744" t="s">
        <v>6730</v>
      </c>
      <c r="AT4744" t="s">
        <v>58</v>
      </c>
      <c r="AU4744" t="s">
        <v>68</v>
      </c>
      <c r="AV4744" t="s">
        <v>69</v>
      </c>
      <c r="AW4744" s="1">
        <v>24040</v>
      </c>
      <c r="AX4744">
        <v>2</v>
      </c>
    </row>
    <row r="4745" spans="1:50">
      <c r="A4745">
        <v>209305</v>
      </c>
      <c r="B4745" t="str">
        <f>"122954079"</f>
        <v>122954079</v>
      </c>
      <c r="C4745" t="s">
        <v>50</v>
      </c>
      <c r="D4745" t="s">
        <v>8605</v>
      </c>
      <c r="E4745" t="s">
        <v>143</v>
      </c>
      <c r="F4745" t="s">
        <v>92</v>
      </c>
      <c r="G4745" t="s">
        <v>255</v>
      </c>
      <c r="H4745" t="str">
        <f>" "</f>
        <v xml:space="preserve"> </v>
      </c>
      <c r="J4745">
        <v>2821080082</v>
      </c>
      <c r="K4745">
        <v>6942689941</v>
      </c>
      <c r="M4745" t="s">
        <v>8606</v>
      </c>
      <c r="N4745" t="s">
        <v>204</v>
      </c>
      <c r="O4745" t="s">
        <v>205</v>
      </c>
      <c r="R4745" t="s">
        <v>57</v>
      </c>
      <c r="S4745">
        <v>6</v>
      </c>
      <c r="T4745" t="s">
        <v>7806</v>
      </c>
      <c r="U4745" s="1">
        <v>38602</v>
      </c>
      <c r="V4745" t="s">
        <v>6729</v>
      </c>
      <c r="W4745" t="s">
        <v>6730</v>
      </c>
      <c r="X4745" t="s">
        <v>58</v>
      </c>
      <c r="Y4745">
        <v>20</v>
      </c>
      <c r="Z4745" t="s">
        <v>59</v>
      </c>
      <c r="AA4745" t="s">
        <v>59</v>
      </c>
      <c r="AB4745" t="s">
        <v>59</v>
      </c>
      <c r="AC4745" t="s">
        <v>59</v>
      </c>
      <c r="AD4745" t="s">
        <v>59</v>
      </c>
      <c r="AF4745" s="1">
        <v>38602</v>
      </c>
      <c r="AG4745" t="s">
        <v>137</v>
      </c>
      <c r="AH4745" t="s">
        <v>138</v>
      </c>
      <c r="AI4745" t="str">
        <f>"5040105"</f>
        <v>5040105</v>
      </c>
      <c r="AJ4745" t="s">
        <v>6969</v>
      </c>
      <c r="AK4745">
        <v>2825051703</v>
      </c>
      <c r="AL4745" t="s">
        <v>6970</v>
      </c>
      <c r="AM4745" t="s">
        <v>88</v>
      </c>
      <c r="AN4745" t="s">
        <v>6775</v>
      </c>
      <c r="AO4745" t="s">
        <v>6781</v>
      </c>
      <c r="AP4745" t="s">
        <v>6782</v>
      </c>
      <c r="AQ4745">
        <v>1</v>
      </c>
      <c r="AR4745" t="s">
        <v>6729</v>
      </c>
      <c r="AS4745" t="s">
        <v>6730</v>
      </c>
      <c r="AT4745" t="s">
        <v>58</v>
      </c>
      <c r="AU4745" t="s">
        <v>68</v>
      </c>
      <c r="AV4745" t="s">
        <v>69</v>
      </c>
      <c r="AW4745" s="1">
        <v>29288</v>
      </c>
      <c r="AX4745">
        <v>2</v>
      </c>
    </row>
    <row r="4746" spans="1:50">
      <c r="A4746">
        <v>195458</v>
      </c>
      <c r="B4746" t="str">
        <f>"061271968"</f>
        <v>061271968</v>
      </c>
      <c r="C4746" t="s">
        <v>50</v>
      </c>
      <c r="D4746" t="s">
        <v>6700</v>
      </c>
      <c r="E4746" t="s">
        <v>1345</v>
      </c>
      <c r="F4746" t="s">
        <v>53</v>
      </c>
      <c r="G4746" t="s">
        <v>52</v>
      </c>
      <c r="H4746" t="str">
        <f>" "</f>
        <v xml:space="preserve"> </v>
      </c>
      <c r="M4746" t="s">
        <v>8607</v>
      </c>
      <c r="N4746" t="s">
        <v>146</v>
      </c>
      <c r="O4746" t="s">
        <v>147</v>
      </c>
      <c r="R4746" t="s">
        <v>57</v>
      </c>
      <c r="S4746">
        <v>10</v>
      </c>
      <c r="T4746">
        <v>194</v>
      </c>
      <c r="U4746" s="1">
        <v>37497</v>
      </c>
      <c r="V4746" t="s">
        <v>6729</v>
      </c>
      <c r="W4746" t="s">
        <v>6730</v>
      </c>
      <c r="X4746" t="s">
        <v>58</v>
      </c>
      <c r="Y4746">
        <v>20</v>
      </c>
      <c r="Z4746" t="s">
        <v>59</v>
      </c>
      <c r="AA4746" t="s">
        <v>59</v>
      </c>
      <c r="AB4746" t="s">
        <v>59</v>
      </c>
      <c r="AC4746" t="s">
        <v>59</v>
      </c>
      <c r="AD4746" t="s">
        <v>59</v>
      </c>
      <c r="AF4746" s="1">
        <v>37502</v>
      </c>
      <c r="AG4746" t="s">
        <v>125</v>
      </c>
      <c r="AH4746" t="s">
        <v>126</v>
      </c>
      <c r="AI4746" t="str">
        <f>"5009010"</f>
        <v>5009010</v>
      </c>
      <c r="AJ4746" t="s">
        <v>6901</v>
      </c>
      <c r="AK4746">
        <v>2821077212</v>
      </c>
      <c r="AL4746" t="s">
        <v>6902</v>
      </c>
      <c r="AM4746" t="s">
        <v>88</v>
      </c>
      <c r="AN4746" t="s">
        <v>6764</v>
      </c>
      <c r="AO4746" t="s">
        <v>6885</v>
      </c>
      <c r="AP4746" t="s">
        <v>6886</v>
      </c>
      <c r="AQ4746">
        <v>1</v>
      </c>
      <c r="AR4746" t="s">
        <v>6729</v>
      </c>
      <c r="AS4746" t="s">
        <v>6730</v>
      </c>
      <c r="AT4746" t="s">
        <v>58</v>
      </c>
      <c r="AU4746" t="s">
        <v>68</v>
      </c>
      <c r="AV4746" t="s">
        <v>69</v>
      </c>
      <c r="AW4746" s="1">
        <v>27281</v>
      </c>
      <c r="AX4746">
        <v>2</v>
      </c>
    </row>
    <row r="4747" spans="1:50">
      <c r="A4747">
        <v>185261</v>
      </c>
      <c r="B4747" t="str">
        <f>"045249600"</f>
        <v>045249600</v>
      </c>
      <c r="C4747" t="s">
        <v>50</v>
      </c>
      <c r="D4747" t="s">
        <v>8608</v>
      </c>
      <c r="E4747" t="s">
        <v>484</v>
      </c>
      <c r="F4747" t="s">
        <v>111</v>
      </c>
      <c r="G4747" t="s">
        <v>52</v>
      </c>
      <c r="H4747" t="str">
        <f>" "</f>
        <v xml:space="preserve"> </v>
      </c>
      <c r="J4747">
        <v>2821301733</v>
      </c>
      <c r="K4747">
        <v>6944886157</v>
      </c>
      <c r="M4747" t="s">
        <v>8609</v>
      </c>
      <c r="N4747" t="s">
        <v>204</v>
      </c>
      <c r="O4747" t="s">
        <v>205</v>
      </c>
      <c r="R4747" t="s">
        <v>57</v>
      </c>
      <c r="S4747">
        <v>13</v>
      </c>
      <c r="T4747">
        <v>177</v>
      </c>
      <c r="U4747" s="1">
        <v>36403</v>
      </c>
      <c r="V4747" t="s">
        <v>6729</v>
      </c>
      <c r="W4747" t="s">
        <v>6730</v>
      </c>
      <c r="X4747" t="s">
        <v>58</v>
      </c>
      <c r="Y4747">
        <v>18</v>
      </c>
      <c r="Z4747" t="s">
        <v>59</v>
      </c>
      <c r="AA4747" t="s">
        <v>59</v>
      </c>
      <c r="AB4747" t="s">
        <v>59</v>
      </c>
      <c r="AC4747" t="s">
        <v>59</v>
      </c>
      <c r="AD4747" t="s">
        <v>59</v>
      </c>
      <c r="AF4747" s="1">
        <v>36409</v>
      </c>
      <c r="AG4747" t="s">
        <v>148</v>
      </c>
      <c r="AH4747" t="s">
        <v>149</v>
      </c>
      <c r="AI4747" t="str">
        <f>"5090080"</f>
        <v>5090080</v>
      </c>
      <c r="AJ4747" t="s">
        <v>6906</v>
      </c>
      <c r="AK4747">
        <v>2821096638</v>
      </c>
      <c r="AL4747" t="s">
        <v>6907</v>
      </c>
      <c r="AM4747" t="s">
        <v>88</v>
      </c>
      <c r="AN4747" t="s">
        <v>88</v>
      </c>
      <c r="AO4747" t="s">
        <v>88</v>
      </c>
      <c r="AP4747" t="s">
        <v>88</v>
      </c>
      <c r="AQ4747">
        <v>1</v>
      </c>
      <c r="AR4747" t="s">
        <v>6729</v>
      </c>
      <c r="AS4747" t="s">
        <v>6730</v>
      </c>
      <c r="AT4747" t="s">
        <v>58</v>
      </c>
      <c r="AU4747" t="s">
        <v>68</v>
      </c>
      <c r="AV4747" t="s">
        <v>69</v>
      </c>
      <c r="AW4747" s="1">
        <v>24978</v>
      </c>
      <c r="AX4747">
        <v>2</v>
      </c>
    </row>
    <row r="4748" spans="1:50">
      <c r="A4748">
        <v>204217</v>
      </c>
      <c r="B4748" t="str">
        <f>"044161550"</f>
        <v>044161550</v>
      </c>
      <c r="C4748" t="s">
        <v>50</v>
      </c>
      <c r="D4748" t="s">
        <v>8610</v>
      </c>
      <c r="E4748" t="s">
        <v>727</v>
      </c>
      <c r="F4748" t="s">
        <v>4097</v>
      </c>
      <c r="G4748" t="s">
        <v>950</v>
      </c>
      <c r="H4748" t="str">
        <f>" "</f>
        <v xml:space="preserve"> </v>
      </c>
      <c r="J4748">
        <v>2821087636</v>
      </c>
      <c r="K4748">
        <v>6945755509</v>
      </c>
      <c r="M4748" t="s">
        <v>8611</v>
      </c>
      <c r="N4748" t="s">
        <v>176</v>
      </c>
      <c r="O4748" t="s">
        <v>177</v>
      </c>
      <c r="R4748" t="s">
        <v>57</v>
      </c>
      <c r="S4748">
        <v>8</v>
      </c>
      <c r="T4748">
        <v>231</v>
      </c>
      <c r="U4748" s="1">
        <v>38230</v>
      </c>
      <c r="V4748" t="s">
        <v>6729</v>
      </c>
      <c r="W4748" t="s">
        <v>6730</v>
      </c>
      <c r="X4748" t="s">
        <v>58</v>
      </c>
      <c r="Y4748">
        <v>20</v>
      </c>
      <c r="Z4748" t="s">
        <v>59</v>
      </c>
      <c r="AA4748" t="s">
        <v>59</v>
      </c>
      <c r="AB4748" t="s">
        <v>59</v>
      </c>
      <c r="AC4748" t="s">
        <v>59</v>
      </c>
      <c r="AD4748" t="s">
        <v>59</v>
      </c>
      <c r="AF4748" s="1">
        <v>38232</v>
      </c>
      <c r="AG4748" t="s">
        <v>148</v>
      </c>
      <c r="AH4748" t="s">
        <v>149</v>
      </c>
      <c r="AI4748" t="str">
        <f>"5059010"</f>
        <v>5059010</v>
      </c>
      <c r="AJ4748" t="s">
        <v>6883</v>
      </c>
      <c r="AK4748">
        <v>2821077166</v>
      </c>
      <c r="AL4748" t="s">
        <v>6884</v>
      </c>
      <c r="AM4748" t="s">
        <v>88</v>
      </c>
      <c r="AN4748" t="s">
        <v>6764</v>
      </c>
      <c r="AO4748" t="s">
        <v>6885</v>
      </c>
      <c r="AP4748" t="s">
        <v>6886</v>
      </c>
      <c r="AQ4748">
        <v>1</v>
      </c>
      <c r="AR4748" t="s">
        <v>6729</v>
      </c>
      <c r="AS4748" t="s">
        <v>6730</v>
      </c>
      <c r="AT4748" t="s">
        <v>58</v>
      </c>
      <c r="AU4748" t="s">
        <v>68</v>
      </c>
      <c r="AV4748" t="s">
        <v>69</v>
      </c>
      <c r="AW4748" s="1">
        <v>25221</v>
      </c>
      <c r="AX4748">
        <v>2</v>
      </c>
    </row>
    <row r="4749" spans="1:50">
      <c r="A4749">
        <v>161101</v>
      </c>
      <c r="B4749" t="str">
        <f>"032902038"</f>
        <v>032902038</v>
      </c>
      <c r="C4749" t="s">
        <v>105</v>
      </c>
      <c r="D4749" t="s">
        <v>8612</v>
      </c>
      <c r="E4749" t="s">
        <v>92</v>
      </c>
      <c r="F4749" t="s">
        <v>920</v>
      </c>
      <c r="G4749" t="s">
        <v>8613</v>
      </c>
      <c r="H4749" t="str">
        <f>" "</f>
        <v xml:space="preserve"> </v>
      </c>
      <c r="N4749" t="s">
        <v>176</v>
      </c>
      <c r="O4749" t="s">
        <v>177</v>
      </c>
      <c r="R4749" t="s">
        <v>57</v>
      </c>
      <c r="S4749">
        <v>15</v>
      </c>
      <c r="T4749">
        <v>161</v>
      </c>
      <c r="U4749" s="1">
        <v>33119</v>
      </c>
      <c r="V4749" t="s">
        <v>6729</v>
      </c>
      <c r="W4749" t="s">
        <v>6730</v>
      </c>
      <c r="X4749" t="s">
        <v>58</v>
      </c>
      <c r="Y4749">
        <v>18</v>
      </c>
      <c r="Z4749" t="s">
        <v>59</v>
      </c>
      <c r="AA4749" t="s">
        <v>59</v>
      </c>
      <c r="AB4749" t="s">
        <v>59</v>
      </c>
      <c r="AC4749" t="s">
        <v>59</v>
      </c>
      <c r="AD4749" t="s">
        <v>59</v>
      </c>
      <c r="AF4749" s="1">
        <v>33129</v>
      </c>
      <c r="AG4749" t="s">
        <v>125</v>
      </c>
      <c r="AH4749" t="s">
        <v>126</v>
      </c>
      <c r="AI4749" t="str">
        <f>"5001040"</f>
        <v>5001040</v>
      </c>
      <c r="AJ4749" t="s">
        <v>7126</v>
      </c>
      <c r="AK4749">
        <v>2821088010</v>
      </c>
      <c r="AM4749" t="s">
        <v>88</v>
      </c>
      <c r="AN4749" t="s">
        <v>88</v>
      </c>
      <c r="AO4749" t="s">
        <v>88</v>
      </c>
      <c r="AP4749" t="s">
        <v>88</v>
      </c>
      <c r="AQ4749">
        <v>1</v>
      </c>
      <c r="AR4749" t="s">
        <v>6729</v>
      </c>
      <c r="AS4749" t="s">
        <v>6730</v>
      </c>
      <c r="AT4749" t="s">
        <v>58</v>
      </c>
      <c r="AU4749" t="s">
        <v>68</v>
      </c>
      <c r="AV4749" t="s">
        <v>69</v>
      </c>
      <c r="AW4749" s="1">
        <v>22585</v>
      </c>
      <c r="AX4749">
        <v>2</v>
      </c>
    </row>
    <row r="4750" spans="1:50">
      <c r="A4750">
        <v>197606</v>
      </c>
      <c r="B4750" t="str">
        <f>"077830292"</f>
        <v>077830292</v>
      </c>
      <c r="C4750" t="s">
        <v>50</v>
      </c>
      <c r="D4750" t="s">
        <v>8614</v>
      </c>
      <c r="E4750" t="s">
        <v>8615</v>
      </c>
      <c r="F4750" t="s">
        <v>154</v>
      </c>
      <c r="G4750" t="s">
        <v>255</v>
      </c>
      <c r="H4750" t="str">
        <f>"ΚΟΝΔΥΛΑΚΗ 8 ΓΑΖΙ"</f>
        <v>ΚΟΝΔΥΛΑΚΗ 8 ΓΑΖΙ</v>
      </c>
      <c r="I4750">
        <v>71414</v>
      </c>
      <c r="J4750">
        <v>2821033107</v>
      </c>
      <c r="K4750">
        <v>6944921300</v>
      </c>
      <c r="M4750" t="s">
        <v>8616</v>
      </c>
      <c r="N4750" t="s">
        <v>146</v>
      </c>
      <c r="O4750" t="s">
        <v>147</v>
      </c>
      <c r="R4750" t="s">
        <v>57</v>
      </c>
      <c r="S4750">
        <v>9</v>
      </c>
      <c r="T4750">
        <v>206</v>
      </c>
      <c r="U4750" s="1">
        <v>37866</v>
      </c>
      <c r="V4750" t="s">
        <v>6729</v>
      </c>
      <c r="W4750" t="s">
        <v>6730</v>
      </c>
      <c r="X4750" t="s">
        <v>58</v>
      </c>
      <c r="Y4750">
        <v>20</v>
      </c>
      <c r="Z4750" t="s">
        <v>59</v>
      </c>
      <c r="AA4750" t="s">
        <v>59</v>
      </c>
      <c r="AB4750" t="s">
        <v>59</v>
      </c>
      <c r="AC4750" t="s">
        <v>59</v>
      </c>
      <c r="AD4750" t="s">
        <v>59</v>
      </c>
      <c r="AF4750" s="1">
        <v>37866</v>
      </c>
      <c r="AG4750" t="s">
        <v>148</v>
      </c>
      <c r="AH4750" t="s">
        <v>149</v>
      </c>
      <c r="AI4750" t="str">
        <f>"5051009"</f>
        <v>5051009</v>
      </c>
      <c r="AJ4750" t="s">
        <v>6851</v>
      </c>
      <c r="AK4750">
        <v>2821044551</v>
      </c>
      <c r="AL4750" t="s">
        <v>6852</v>
      </c>
      <c r="AM4750" t="s">
        <v>88</v>
      </c>
      <c r="AN4750" t="s">
        <v>88</v>
      </c>
      <c r="AO4750" t="s">
        <v>6770</v>
      </c>
      <c r="AP4750" t="s">
        <v>6771</v>
      </c>
      <c r="AQ4750">
        <v>1</v>
      </c>
      <c r="AR4750" t="s">
        <v>6729</v>
      </c>
      <c r="AS4750" t="s">
        <v>6730</v>
      </c>
      <c r="AT4750" t="s">
        <v>58</v>
      </c>
      <c r="AU4750" t="s">
        <v>68</v>
      </c>
      <c r="AV4750" t="s">
        <v>69</v>
      </c>
      <c r="AW4750" s="1">
        <v>28126</v>
      </c>
      <c r="AX4750">
        <v>2</v>
      </c>
    </row>
    <row r="4751" spans="1:50">
      <c r="A4751">
        <v>152349</v>
      </c>
      <c r="B4751" t="str">
        <f>"031153930"</f>
        <v>031153930</v>
      </c>
      <c r="C4751" t="s">
        <v>105</v>
      </c>
      <c r="D4751" t="s">
        <v>8617</v>
      </c>
      <c r="E4751" t="s">
        <v>154</v>
      </c>
      <c r="F4751" t="s">
        <v>166</v>
      </c>
      <c r="G4751" t="s">
        <v>52</v>
      </c>
      <c r="H4751" t="str">
        <f>" "</f>
        <v xml:space="preserve"> </v>
      </c>
      <c r="N4751" t="s">
        <v>146</v>
      </c>
      <c r="O4751" t="s">
        <v>147</v>
      </c>
      <c r="R4751" t="s">
        <v>57</v>
      </c>
      <c r="S4751">
        <v>16</v>
      </c>
      <c r="T4751">
        <v>193</v>
      </c>
      <c r="U4751" s="1">
        <v>32042</v>
      </c>
      <c r="V4751" t="s">
        <v>6729</v>
      </c>
      <c r="W4751" t="s">
        <v>6730</v>
      </c>
      <c r="X4751" t="s">
        <v>58</v>
      </c>
      <c r="Y4751">
        <v>18</v>
      </c>
      <c r="Z4751" t="s">
        <v>59</v>
      </c>
      <c r="AA4751" t="s">
        <v>59</v>
      </c>
      <c r="AB4751" t="s">
        <v>59</v>
      </c>
      <c r="AC4751" t="s">
        <v>59</v>
      </c>
      <c r="AD4751" t="s">
        <v>59</v>
      </c>
      <c r="AF4751" s="1">
        <v>32049</v>
      </c>
      <c r="AG4751" t="s">
        <v>125</v>
      </c>
      <c r="AH4751" t="s">
        <v>126</v>
      </c>
      <c r="AI4751" t="str">
        <f>"5001040"</f>
        <v>5001040</v>
      </c>
      <c r="AJ4751" t="s">
        <v>7126</v>
      </c>
      <c r="AK4751">
        <v>2821088010</v>
      </c>
      <c r="AM4751" t="s">
        <v>88</v>
      </c>
      <c r="AN4751" t="s">
        <v>88</v>
      </c>
      <c r="AO4751" t="s">
        <v>88</v>
      </c>
      <c r="AP4751" t="s">
        <v>88</v>
      </c>
      <c r="AQ4751">
        <v>1</v>
      </c>
      <c r="AR4751" t="s">
        <v>6729</v>
      </c>
      <c r="AS4751" t="s">
        <v>6730</v>
      </c>
      <c r="AT4751" t="s">
        <v>58</v>
      </c>
      <c r="AU4751" t="s">
        <v>68</v>
      </c>
      <c r="AV4751" t="s">
        <v>69</v>
      </c>
      <c r="AW4751" s="1">
        <v>22192</v>
      </c>
      <c r="AX4751">
        <v>2</v>
      </c>
    </row>
    <row r="4752" spans="1:50">
      <c r="A4752">
        <v>227392</v>
      </c>
      <c r="B4752" t="str">
        <f>"067766720"</f>
        <v>067766720</v>
      </c>
      <c r="C4752" t="s">
        <v>50</v>
      </c>
      <c r="D4752" t="s">
        <v>8618</v>
      </c>
      <c r="E4752" t="s">
        <v>188</v>
      </c>
      <c r="F4752" t="s">
        <v>202</v>
      </c>
      <c r="G4752" t="s">
        <v>1345</v>
      </c>
      <c r="H4752" t="str">
        <f>"ΔΑΣΚΑΛΟΓΙΑΝΝΗ ΧΡΥΣΗ ΑΚΤΗ ΧΑΝΙΑ"</f>
        <v>ΔΑΣΚΑΛΟΓΙΑΝΝΗ ΧΡΥΣΗ ΑΚΤΗ ΧΑΝΙΑ</v>
      </c>
      <c r="I4752">
        <v>73100</v>
      </c>
      <c r="J4752">
        <v>2821033471</v>
      </c>
      <c r="K4752">
        <v>6937934187</v>
      </c>
      <c r="M4752" t="s">
        <v>8619</v>
      </c>
      <c r="N4752" t="s">
        <v>232</v>
      </c>
      <c r="O4752" t="s">
        <v>233</v>
      </c>
      <c r="R4752" t="s">
        <v>57</v>
      </c>
      <c r="S4752">
        <v>6</v>
      </c>
      <c r="T4752">
        <v>654</v>
      </c>
      <c r="U4752" s="1">
        <v>40043</v>
      </c>
      <c r="V4752" t="s">
        <v>6729</v>
      </c>
      <c r="W4752" t="s">
        <v>6730</v>
      </c>
      <c r="X4752" t="s">
        <v>58</v>
      </c>
      <c r="Y4752">
        <v>21</v>
      </c>
      <c r="Z4752" t="s">
        <v>59</v>
      </c>
      <c r="AA4752" t="s">
        <v>59</v>
      </c>
      <c r="AB4752" t="s">
        <v>59</v>
      </c>
      <c r="AC4752" t="s">
        <v>59</v>
      </c>
      <c r="AD4752" t="s">
        <v>59</v>
      </c>
      <c r="AF4752" s="1">
        <v>40046</v>
      </c>
      <c r="AG4752" t="s">
        <v>125</v>
      </c>
      <c r="AH4752" t="s">
        <v>126</v>
      </c>
      <c r="AI4752" t="str">
        <f>"5005010"</f>
        <v>5005010</v>
      </c>
      <c r="AJ4752" t="s">
        <v>7100</v>
      </c>
      <c r="AK4752">
        <v>2823041217</v>
      </c>
      <c r="AL4752" t="s">
        <v>7101</v>
      </c>
      <c r="AM4752" t="s">
        <v>88</v>
      </c>
      <c r="AN4752" t="s">
        <v>6824</v>
      </c>
      <c r="AO4752" t="s">
        <v>6870</v>
      </c>
      <c r="AP4752" t="s">
        <v>6871</v>
      </c>
      <c r="AQ4752">
        <v>1</v>
      </c>
      <c r="AR4752" t="s">
        <v>6729</v>
      </c>
      <c r="AS4752" t="s">
        <v>6730</v>
      </c>
      <c r="AT4752" t="s">
        <v>58</v>
      </c>
      <c r="AU4752" t="s">
        <v>68</v>
      </c>
      <c r="AV4752" t="s">
        <v>69</v>
      </c>
      <c r="AW4752" s="1">
        <v>28482</v>
      </c>
      <c r="AX4752">
        <v>2</v>
      </c>
    </row>
    <row r="4753" spans="1:50">
      <c r="A4753">
        <v>200626</v>
      </c>
      <c r="B4753" t="str">
        <f>"035014692"</f>
        <v>035014692</v>
      </c>
      <c r="C4753" t="s">
        <v>50</v>
      </c>
      <c r="D4753" t="s">
        <v>8620</v>
      </c>
      <c r="E4753" t="s">
        <v>5284</v>
      </c>
      <c r="F4753" t="s">
        <v>53</v>
      </c>
      <c r="G4753" t="s">
        <v>83</v>
      </c>
      <c r="H4753" t="str">
        <f>"ΡΟΖΑΚΗΔΩΝ 7Α "</f>
        <v xml:space="preserve">ΡΟΖΑΚΗΔΩΝ 7Α </v>
      </c>
      <c r="I4753">
        <v>73134</v>
      </c>
      <c r="J4753">
        <v>2821053609</v>
      </c>
      <c r="K4753">
        <v>6978322790</v>
      </c>
      <c r="N4753" t="s">
        <v>299</v>
      </c>
      <c r="O4753" t="s">
        <v>300</v>
      </c>
      <c r="R4753" t="s">
        <v>57</v>
      </c>
      <c r="S4753">
        <v>8</v>
      </c>
      <c r="T4753">
        <v>213</v>
      </c>
      <c r="U4753" s="1">
        <v>37874</v>
      </c>
      <c r="V4753" t="s">
        <v>6729</v>
      </c>
      <c r="W4753" t="s">
        <v>6730</v>
      </c>
      <c r="X4753" t="s">
        <v>58</v>
      </c>
      <c r="Y4753">
        <v>20</v>
      </c>
      <c r="Z4753" t="s">
        <v>59</v>
      </c>
      <c r="AA4753" t="s">
        <v>59</v>
      </c>
      <c r="AB4753" t="s">
        <v>59</v>
      </c>
      <c r="AC4753" t="s">
        <v>59</v>
      </c>
      <c r="AD4753" t="s">
        <v>59</v>
      </c>
      <c r="AF4753" s="1">
        <v>37879</v>
      </c>
      <c r="AG4753" t="s">
        <v>148</v>
      </c>
      <c r="AH4753" t="s">
        <v>149</v>
      </c>
      <c r="AI4753" t="str">
        <f>"5059010"</f>
        <v>5059010</v>
      </c>
      <c r="AJ4753" t="s">
        <v>6883</v>
      </c>
      <c r="AK4753">
        <v>2821077166</v>
      </c>
      <c r="AL4753" t="s">
        <v>6884</v>
      </c>
      <c r="AM4753" t="s">
        <v>88</v>
      </c>
      <c r="AN4753" t="s">
        <v>6764</v>
      </c>
      <c r="AO4753" t="s">
        <v>6885</v>
      </c>
      <c r="AP4753" t="s">
        <v>6886</v>
      </c>
      <c r="AQ4753">
        <v>1</v>
      </c>
      <c r="AR4753" t="s">
        <v>6729</v>
      </c>
      <c r="AS4753" t="s">
        <v>6730</v>
      </c>
      <c r="AT4753" t="s">
        <v>58</v>
      </c>
      <c r="AU4753" t="s">
        <v>68</v>
      </c>
      <c r="AV4753" t="s">
        <v>69</v>
      </c>
      <c r="AW4753" s="1">
        <v>24356</v>
      </c>
      <c r="AX4753">
        <v>2</v>
      </c>
    </row>
    <row r="4754" spans="1:50">
      <c r="B4754" t="str">
        <f>"137216368"</f>
        <v>137216368</v>
      </c>
      <c r="C4754" t="s">
        <v>50</v>
      </c>
      <c r="D4754" t="s">
        <v>8621</v>
      </c>
      <c r="E4754" t="s">
        <v>52</v>
      </c>
      <c r="F4754" t="s">
        <v>72</v>
      </c>
      <c r="G4754" t="s">
        <v>71</v>
      </c>
      <c r="H4754" t="str">
        <f>"ΦΩΤΕΙΝΟΥ 12 "</f>
        <v xml:space="preserve">ΦΩΤΕΙΝΟΥ 12 </v>
      </c>
      <c r="K4754">
        <v>6974952560</v>
      </c>
      <c r="M4754" t="s">
        <v>8622</v>
      </c>
      <c r="N4754" t="s">
        <v>536</v>
      </c>
      <c r="O4754" t="s">
        <v>537</v>
      </c>
      <c r="R4754" t="s">
        <v>159</v>
      </c>
      <c r="S4754">
        <v>3</v>
      </c>
      <c r="T4754" t="s">
        <v>344</v>
      </c>
      <c r="U4754" s="1">
        <v>43348</v>
      </c>
      <c r="V4754" t="s">
        <v>6729</v>
      </c>
      <c r="W4754" t="s">
        <v>6730</v>
      </c>
      <c r="X4754" t="s">
        <v>58</v>
      </c>
      <c r="Y4754">
        <v>23</v>
      </c>
      <c r="Z4754" t="s">
        <v>59</v>
      </c>
      <c r="AA4754" t="s">
        <v>59</v>
      </c>
      <c r="AB4754" t="s">
        <v>59</v>
      </c>
      <c r="AD4754" t="s">
        <v>59</v>
      </c>
      <c r="AF4754" s="1">
        <v>43348</v>
      </c>
      <c r="AG4754" t="s">
        <v>125</v>
      </c>
      <c r="AH4754" t="s">
        <v>126</v>
      </c>
      <c r="AI4754" t="str">
        <f>"5010010"</f>
        <v>5010010</v>
      </c>
      <c r="AJ4754" t="s">
        <v>6779</v>
      </c>
      <c r="AK4754">
        <v>2825051288</v>
      </c>
      <c r="AL4754" t="s">
        <v>6780</v>
      </c>
      <c r="AM4754" t="s">
        <v>88</v>
      </c>
      <c r="AN4754" t="s">
        <v>6775</v>
      </c>
      <c r="AO4754" t="s">
        <v>6781</v>
      </c>
      <c r="AP4754" t="s">
        <v>6782</v>
      </c>
      <c r="AQ4754">
        <v>1</v>
      </c>
      <c r="AR4754" t="s">
        <v>6729</v>
      </c>
      <c r="AS4754" t="s">
        <v>6730</v>
      </c>
      <c r="AT4754" t="s">
        <v>58</v>
      </c>
      <c r="AU4754" t="s">
        <v>350</v>
      </c>
      <c r="AV4754" t="s">
        <v>132</v>
      </c>
      <c r="AW4754" s="1">
        <v>30418</v>
      </c>
      <c r="AX4754">
        <v>2</v>
      </c>
    </row>
    <row r="4755" spans="1:50">
      <c r="A4755">
        <v>187459</v>
      </c>
      <c r="B4755" t="str">
        <f>"048293420"</f>
        <v>048293420</v>
      </c>
      <c r="C4755" t="s">
        <v>50</v>
      </c>
      <c r="D4755" t="s">
        <v>4400</v>
      </c>
      <c r="E4755" t="s">
        <v>155</v>
      </c>
      <c r="F4755" t="s">
        <v>166</v>
      </c>
      <c r="G4755" t="s">
        <v>801</v>
      </c>
      <c r="H4755" t="str">
        <f>" "</f>
        <v xml:space="preserve"> </v>
      </c>
      <c r="M4755" t="s">
        <v>8623</v>
      </c>
      <c r="N4755" t="s">
        <v>299</v>
      </c>
      <c r="O4755" t="s">
        <v>300</v>
      </c>
      <c r="P4755" t="s">
        <v>1525</v>
      </c>
      <c r="Q4755" t="s">
        <v>1526</v>
      </c>
      <c r="R4755" t="s">
        <v>57</v>
      </c>
      <c r="S4755">
        <v>10</v>
      </c>
      <c r="T4755">
        <v>251</v>
      </c>
      <c r="U4755" s="1">
        <v>36769</v>
      </c>
      <c r="V4755" t="s">
        <v>6729</v>
      </c>
      <c r="W4755" t="s">
        <v>6730</v>
      </c>
      <c r="X4755" t="s">
        <v>58</v>
      </c>
      <c r="Y4755">
        <v>18</v>
      </c>
      <c r="Z4755" t="s">
        <v>59</v>
      </c>
      <c r="AA4755" t="s">
        <v>59</v>
      </c>
      <c r="AB4755" t="s">
        <v>59</v>
      </c>
      <c r="AC4755" t="s">
        <v>59</v>
      </c>
      <c r="AD4755" t="s">
        <v>59</v>
      </c>
      <c r="AF4755" s="1">
        <v>36770</v>
      </c>
      <c r="AG4755" t="s">
        <v>137</v>
      </c>
      <c r="AH4755" t="s">
        <v>138</v>
      </c>
      <c r="AI4755" t="str">
        <f>"5040050"</f>
        <v>5040050</v>
      </c>
      <c r="AJ4755" t="s">
        <v>6750</v>
      </c>
      <c r="AK4755">
        <v>2821043147</v>
      </c>
      <c r="AL4755" t="s">
        <v>6751</v>
      </c>
      <c r="AM4755" t="s">
        <v>88</v>
      </c>
      <c r="AN4755" t="s">
        <v>88</v>
      </c>
      <c r="AO4755" t="s">
        <v>88</v>
      </c>
      <c r="AP4755" t="s">
        <v>88</v>
      </c>
      <c r="AQ4755">
        <v>1</v>
      </c>
      <c r="AR4755" t="s">
        <v>6729</v>
      </c>
      <c r="AS4755" t="s">
        <v>6730</v>
      </c>
      <c r="AT4755" t="s">
        <v>58</v>
      </c>
      <c r="AU4755" t="s">
        <v>68</v>
      </c>
      <c r="AV4755" t="s">
        <v>69</v>
      </c>
      <c r="AW4755" s="1">
        <v>22987</v>
      </c>
      <c r="AX4755">
        <v>2</v>
      </c>
    </row>
    <row r="4756" spans="1:50">
      <c r="A4756">
        <v>156479</v>
      </c>
      <c r="B4756" t="str">
        <f>"033902085"</f>
        <v>033902085</v>
      </c>
      <c r="C4756" t="s">
        <v>50</v>
      </c>
      <c r="D4756" t="s">
        <v>113</v>
      </c>
      <c r="E4756" t="s">
        <v>529</v>
      </c>
      <c r="F4756" t="s">
        <v>166</v>
      </c>
      <c r="G4756" t="s">
        <v>411</v>
      </c>
      <c r="H4756" t="str">
        <f>"ΠΛΑΤΑΝΟΣ ΚΙΣΑΜΟΥ ΧΑΝΙΩΝ "</f>
        <v xml:space="preserve">ΠΛΑΤΑΝΟΣ ΚΙΣΑΜΟΥ ΧΑΝΙΩΝ </v>
      </c>
      <c r="J4756">
        <v>2822041077</v>
      </c>
      <c r="K4756">
        <v>6974514955</v>
      </c>
      <c r="N4756" t="s">
        <v>146</v>
      </c>
      <c r="O4756" t="s">
        <v>147</v>
      </c>
      <c r="R4756" t="s">
        <v>57</v>
      </c>
      <c r="S4756">
        <v>15</v>
      </c>
      <c r="T4756">
        <v>188</v>
      </c>
      <c r="U4756" s="1">
        <v>32752</v>
      </c>
      <c r="V4756" t="s">
        <v>6729</v>
      </c>
      <c r="W4756" t="s">
        <v>6730</v>
      </c>
      <c r="X4756" t="s">
        <v>58</v>
      </c>
      <c r="Y4756">
        <v>18</v>
      </c>
      <c r="Z4756" t="s">
        <v>59</v>
      </c>
      <c r="AA4756" t="s">
        <v>59</v>
      </c>
      <c r="AB4756" t="s">
        <v>59</v>
      </c>
      <c r="AC4756" t="s">
        <v>59</v>
      </c>
      <c r="AD4756" t="s">
        <v>59</v>
      </c>
      <c r="AF4756" s="1">
        <v>32762</v>
      </c>
      <c r="AG4756" t="s">
        <v>125</v>
      </c>
      <c r="AH4756" t="s">
        <v>126</v>
      </c>
      <c r="AI4756" t="str">
        <f>"5001010"</f>
        <v>5001010</v>
      </c>
      <c r="AJ4756" t="s">
        <v>6873</v>
      </c>
      <c r="AK4756">
        <v>2821052130</v>
      </c>
      <c r="AL4756" t="s">
        <v>6874</v>
      </c>
      <c r="AM4756" t="s">
        <v>88</v>
      </c>
      <c r="AN4756" t="s">
        <v>88</v>
      </c>
      <c r="AO4756" t="s">
        <v>88</v>
      </c>
      <c r="AP4756" t="s">
        <v>88</v>
      </c>
      <c r="AQ4756">
        <v>1</v>
      </c>
      <c r="AR4756" t="s">
        <v>6729</v>
      </c>
      <c r="AS4756" t="s">
        <v>6730</v>
      </c>
      <c r="AT4756" t="s">
        <v>58</v>
      </c>
      <c r="AU4756" t="s">
        <v>68</v>
      </c>
      <c r="AV4756" t="s">
        <v>69</v>
      </c>
      <c r="AW4756" s="1">
        <v>23099</v>
      </c>
      <c r="AX4756">
        <v>2</v>
      </c>
    </row>
    <row r="4757" spans="1:50">
      <c r="A4757">
        <v>161103</v>
      </c>
      <c r="B4757" t="str">
        <f>"031175785"</f>
        <v>031175785</v>
      </c>
      <c r="C4757" t="s">
        <v>50</v>
      </c>
      <c r="D4757" t="s">
        <v>4434</v>
      </c>
      <c r="E4757" t="s">
        <v>8624</v>
      </c>
      <c r="F4757" t="s">
        <v>450</v>
      </c>
      <c r="G4757" t="s">
        <v>83</v>
      </c>
      <c r="H4757" t="str">
        <f>" "</f>
        <v xml:space="preserve"> </v>
      </c>
      <c r="N4757" t="s">
        <v>176</v>
      </c>
      <c r="O4757" t="s">
        <v>177</v>
      </c>
      <c r="R4757" t="s">
        <v>57</v>
      </c>
      <c r="S4757">
        <v>15</v>
      </c>
      <c r="T4757">
        <v>161</v>
      </c>
      <c r="U4757" s="1">
        <v>33119</v>
      </c>
      <c r="V4757" t="s">
        <v>6729</v>
      </c>
      <c r="W4757" t="s">
        <v>6730</v>
      </c>
      <c r="X4757" t="s">
        <v>58</v>
      </c>
      <c r="Y4757">
        <v>18</v>
      </c>
      <c r="Z4757" t="s">
        <v>59</v>
      </c>
      <c r="AA4757" t="s">
        <v>59</v>
      </c>
      <c r="AB4757" t="s">
        <v>59</v>
      </c>
      <c r="AC4757" t="s">
        <v>59</v>
      </c>
      <c r="AD4757" t="s">
        <v>59</v>
      </c>
      <c r="AF4757" s="1">
        <v>33126</v>
      </c>
      <c r="AG4757" t="s">
        <v>125</v>
      </c>
      <c r="AH4757" t="s">
        <v>126</v>
      </c>
      <c r="AI4757" t="str">
        <f>"5012010"</f>
        <v>5012010</v>
      </c>
      <c r="AJ4757" t="s">
        <v>6794</v>
      </c>
      <c r="AK4757">
        <v>2821033195</v>
      </c>
      <c r="AL4757" t="s">
        <v>6795</v>
      </c>
      <c r="AM4757" t="s">
        <v>88</v>
      </c>
      <c r="AN4757" t="s">
        <v>88</v>
      </c>
      <c r="AO4757" t="s">
        <v>6785</v>
      </c>
      <c r="AP4757" t="s">
        <v>6786</v>
      </c>
      <c r="AQ4757">
        <v>1</v>
      </c>
      <c r="AR4757" t="s">
        <v>6729</v>
      </c>
      <c r="AS4757" t="s">
        <v>6730</v>
      </c>
      <c r="AT4757" t="s">
        <v>58</v>
      </c>
      <c r="AU4757" t="s">
        <v>68</v>
      </c>
      <c r="AV4757" t="s">
        <v>69</v>
      </c>
      <c r="AW4757" s="1">
        <v>22784</v>
      </c>
      <c r="AX4757">
        <v>2</v>
      </c>
    </row>
    <row r="4758" spans="1:50">
      <c r="A4758">
        <v>222777</v>
      </c>
      <c r="B4758" t="str">
        <f>"070611037"</f>
        <v>070611037</v>
      </c>
      <c r="C4758" t="s">
        <v>50</v>
      </c>
      <c r="D4758" t="s">
        <v>8625</v>
      </c>
      <c r="E4758" t="s">
        <v>620</v>
      </c>
      <c r="F4758" t="s">
        <v>383</v>
      </c>
      <c r="G4758" t="s">
        <v>52</v>
      </c>
      <c r="H4758" t="str">
        <f>"ΝΕΑΣ ΚΥΔΩΝΙΑΣ 4 ΒΑΜΒΑΚΟΠΟΥΛΟ"</f>
        <v>ΝΕΑΣ ΚΥΔΩΝΙΑΣ 4 ΒΑΜΒΑΚΟΠΟΥΛΟ</v>
      </c>
      <c r="I4758">
        <v>73131</v>
      </c>
      <c r="J4758">
        <v>2821076213</v>
      </c>
      <c r="K4758">
        <v>6974784151</v>
      </c>
      <c r="M4758" t="s">
        <v>8626</v>
      </c>
      <c r="N4758" t="s">
        <v>146</v>
      </c>
      <c r="O4758" t="s">
        <v>147</v>
      </c>
      <c r="R4758" t="s">
        <v>57</v>
      </c>
      <c r="S4758">
        <v>8</v>
      </c>
      <c r="T4758">
        <v>775</v>
      </c>
      <c r="U4758" s="1">
        <v>39680</v>
      </c>
      <c r="V4758" t="s">
        <v>6729</v>
      </c>
      <c r="W4758" t="s">
        <v>6730</v>
      </c>
      <c r="X4758" t="s">
        <v>58</v>
      </c>
      <c r="Y4758">
        <v>20</v>
      </c>
      <c r="Z4758" t="s">
        <v>59</v>
      </c>
      <c r="AA4758" t="s">
        <v>59</v>
      </c>
      <c r="AB4758" t="s">
        <v>59</v>
      </c>
      <c r="AC4758" t="s">
        <v>59</v>
      </c>
      <c r="AD4758" t="s">
        <v>59</v>
      </c>
      <c r="AF4758" s="1">
        <v>39681</v>
      </c>
      <c r="AG4758" t="s">
        <v>125</v>
      </c>
      <c r="AH4758" t="s">
        <v>294</v>
      </c>
      <c r="AI4758" t="str">
        <f>"5012017"</f>
        <v>5012017</v>
      </c>
      <c r="AJ4758" t="s">
        <v>6859</v>
      </c>
      <c r="AK4758">
        <v>2821088065</v>
      </c>
      <c r="AL4758" t="s">
        <v>6860</v>
      </c>
      <c r="AM4758" t="s">
        <v>88</v>
      </c>
      <c r="AN4758" t="s">
        <v>88</v>
      </c>
      <c r="AO4758" t="s">
        <v>88</v>
      </c>
      <c r="AP4758" t="s">
        <v>88</v>
      </c>
      <c r="AQ4758">
        <v>1</v>
      </c>
      <c r="AR4758" t="s">
        <v>6729</v>
      </c>
      <c r="AS4758" t="s">
        <v>6730</v>
      </c>
      <c r="AT4758" t="s">
        <v>58</v>
      </c>
      <c r="AU4758" t="s">
        <v>68</v>
      </c>
      <c r="AV4758" t="s">
        <v>69</v>
      </c>
      <c r="AW4758" s="1">
        <v>28944</v>
      </c>
      <c r="AX4758">
        <v>2</v>
      </c>
    </row>
    <row r="4759" spans="1:50">
      <c r="A4759">
        <v>219390</v>
      </c>
      <c r="B4759" t="str">
        <f>"065933310"</f>
        <v>065933310</v>
      </c>
      <c r="C4759" t="s">
        <v>50</v>
      </c>
      <c r="D4759" t="s">
        <v>4445</v>
      </c>
      <c r="E4759" t="s">
        <v>109</v>
      </c>
      <c r="F4759" t="s">
        <v>408</v>
      </c>
      <c r="G4759" t="s">
        <v>174</v>
      </c>
      <c r="H4759" t="str">
        <f>" "</f>
        <v xml:space="preserve"> </v>
      </c>
      <c r="J4759">
        <v>2461035398</v>
      </c>
      <c r="K4759">
        <v>6947165980</v>
      </c>
      <c r="M4759" t="s">
        <v>8627</v>
      </c>
      <c r="N4759" t="s">
        <v>306</v>
      </c>
      <c r="O4759" t="s">
        <v>307</v>
      </c>
      <c r="R4759" t="s">
        <v>57</v>
      </c>
      <c r="S4759">
        <v>6</v>
      </c>
      <c r="T4759">
        <v>599</v>
      </c>
      <c r="U4759" s="1">
        <v>39310</v>
      </c>
      <c r="V4759" t="s">
        <v>6729</v>
      </c>
      <c r="W4759" t="s">
        <v>6730</v>
      </c>
      <c r="X4759" t="s">
        <v>58</v>
      </c>
      <c r="Y4759">
        <v>20</v>
      </c>
      <c r="Z4759" t="s">
        <v>59</v>
      </c>
      <c r="AA4759" t="s">
        <v>59</v>
      </c>
      <c r="AB4759" t="s">
        <v>59</v>
      </c>
      <c r="AC4759" t="s">
        <v>59</v>
      </c>
      <c r="AD4759" t="s">
        <v>59</v>
      </c>
      <c r="AF4759" s="1">
        <v>39329</v>
      </c>
      <c r="AG4759" t="s">
        <v>125</v>
      </c>
      <c r="AH4759" t="s">
        <v>126</v>
      </c>
      <c r="AI4759" t="str">
        <f>"5003010"</f>
        <v>5003010</v>
      </c>
      <c r="AJ4759" t="s">
        <v>7446</v>
      </c>
      <c r="AK4759">
        <v>2823022716</v>
      </c>
      <c r="AL4759" t="s">
        <v>7447</v>
      </c>
      <c r="AM4759" t="s">
        <v>88</v>
      </c>
      <c r="AN4759" t="s">
        <v>6824</v>
      </c>
      <c r="AO4759" t="s">
        <v>6825</v>
      </c>
      <c r="AP4759" t="s">
        <v>6826</v>
      </c>
      <c r="AQ4759">
        <v>1</v>
      </c>
      <c r="AR4759" t="s">
        <v>6729</v>
      </c>
      <c r="AS4759" t="s">
        <v>6730</v>
      </c>
      <c r="AT4759" t="s">
        <v>58</v>
      </c>
      <c r="AU4759" t="s">
        <v>68</v>
      </c>
      <c r="AV4759" t="s">
        <v>69</v>
      </c>
      <c r="AW4759" s="1">
        <v>28765</v>
      </c>
      <c r="AX4759">
        <v>2</v>
      </c>
    </row>
    <row r="4760" spans="1:50">
      <c r="A4760">
        <v>163076</v>
      </c>
      <c r="B4760" t="str">
        <f>"028321260"</f>
        <v>028321260</v>
      </c>
      <c r="C4760" t="s">
        <v>50</v>
      </c>
      <c r="D4760" t="s">
        <v>4468</v>
      </c>
      <c r="E4760" t="s">
        <v>8628</v>
      </c>
      <c r="F4760" t="s">
        <v>8629</v>
      </c>
      <c r="G4760" t="s">
        <v>3802</v>
      </c>
      <c r="H4760" t="str">
        <f>" "</f>
        <v xml:space="preserve"> </v>
      </c>
      <c r="M4760" t="s">
        <v>8630</v>
      </c>
      <c r="N4760" t="s">
        <v>257</v>
      </c>
      <c r="O4760" t="s">
        <v>258</v>
      </c>
      <c r="R4760" t="s">
        <v>57</v>
      </c>
      <c r="S4760">
        <v>15</v>
      </c>
      <c r="T4760">
        <v>132</v>
      </c>
      <c r="U4760" s="1">
        <v>33456</v>
      </c>
      <c r="V4760" t="s">
        <v>6729</v>
      </c>
      <c r="W4760" t="s">
        <v>6730</v>
      </c>
      <c r="X4760" t="s">
        <v>58</v>
      </c>
      <c r="Y4760">
        <v>18</v>
      </c>
      <c r="Z4760" t="s">
        <v>59</v>
      </c>
      <c r="AA4760" t="s">
        <v>59</v>
      </c>
      <c r="AB4760" t="s">
        <v>59</v>
      </c>
      <c r="AC4760" t="s">
        <v>59</v>
      </c>
      <c r="AD4760" t="s">
        <v>59</v>
      </c>
      <c r="AF4760" s="1">
        <v>33483</v>
      </c>
      <c r="AG4760" t="s">
        <v>125</v>
      </c>
      <c r="AH4760" t="s">
        <v>126</v>
      </c>
      <c r="AI4760" t="str">
        <f>"5001072"</f>
        <v>5001072</v>
      </c>
      <c r="AJ4760" t="s">
        <v>6922</v>
      </c>
      <c r="AK4760">
        <v>2821055471</v>
      </c>
      <c r="AL4760" t="s">
        <v>6923</v>
      </c>
      <c r="AM4760" t="s">
        <v>88</v>
      </c>
      <c r="AN4760" t="s">
        <v>88</v>
      </c>
      <c r="AO4760" t="s">
        <v>88</v>
      </c>
      <c r="AP4760" t="s">
        <v>88</v>
      </c>
      <c r="AQ4760">
        <v>1</v>
      </c>
      <c r="AR4760" t="s">
        <v>6729</v>
      </c>
      <c r="AS4760" t="s">
        <v>6730</v>
      </c>
      <c r="AT4760" t="s">
        <v>58</v>
      </c>
      <c r="AU4760" t="s">
        <v>68</v>
      </c>
      <c r="AV4760" t="s">
        <v>69</v>
      </c>
      <c r="AW4760" s="1">
        <v>18936</v>
      </c>
      <c r="AX4760">
        <v>2</v>
      </c>
    </row>
    <row r="4761" spans="1:50">
      <c r="A4761">
        <v>175830</v>
      </c>
      <c r="B4761" t="str">
        <f>"036000280"</f>
        <v>036000280</v>
      </c>
      <c r="C4761" t="s">
        <v>105</v>
      </c>
      <c r="D4761" t="s">
        <v>8631</v>
      </c>
      <c r="E4761" t="s">
        <v>450</v>
      </c>
      <c r="F4761" t="s">
        <v>108</v>
      </c>
      <c r="G4761" t="s">
        <v>5241</v>
      </c>
      <c r="H4761" t="str">
        <f>" "</f>
        <v xml:space="preserve"> </v>
      </c>
      <c r="N4761" t="s">
        <v>146</v>
      </c>
      <c r="O4761" t="s">
        <v>147</v>
      </c>
      <c r="R4761" t="s">
        <v>57</v>
      </c>
      <c r="S4761">
        <v>13</v>
      </c>
      <c r="T4761">
        <v>180</v>
      </c>
      <c r="U4761" s="1">
        <v>35674</v>
      </c>
      <c r="V4761" t="s">
        <v>6729</v>
      </c>
      <c r="W4761" t="s">
        <v>6730</v>
      </c>
      <c r="X4761" t="s">
        <v>58</v>
      </c>
      <c r="Y4761">
        <v>18</v>
      </c>
      <c r="Z4761" t="s">
        <v>59</v>
      </c>
      <c r="AA4761" t="s">
        <v>59</v>
      </c>
      <c r="AB4761" t="s">
        <v>59</v>
      </c>
      <c r="AC4761" t="s">
        <v>452</v>
      </c>
      <c r="AD4761" t="s">
        <v>59</v>
      </c>
      <c r="AF4761" s="1">
        <v>35677</v>
      </c>
      <c r="AG4761" t="s">
        <v>125</v>
      </c>
      <c r="AH4761" t="s">
        <v>126</v>
      </c>
      <c r="AI4761" t="str">
        <f>"5001060"</f>
        <v>5001060</v>
      </c>
      <c r="AJ4761" t="s">
        <v>6914</v>
      </c>
      <c r="AK4761">
        <v>2821091763</v>
      </c>
      <c r="AL4761" t="s">
        <v>6915</v>
      </c>
      <c r="AM4761" t="s">
        <v>88</v>
      </c>
      <c r="AN4761" t="s">
        <v>88</v>
      </c>
      <c r="AO4761" t="s">
        <v>88</v>
      </c>
      <c r="AP4761" t="s">
        <v>88</v>
      </c>
      <c r="AQ4761">
        <v>1</v>
      </c>
      <c r="AR4761" t="s">
        <v>6729</v>
      </c>
      <c r="AS4761" t="s">
        <v>6730</v>
      </c>
      <c r="AT4761" t="s">
        <v>58</v>
      </c>
      <c r="AU4761" t="s">
        <v>68</v>
      </c>
      <c r="AV4761" t="s">
        <v>132</v>
      </c>
      <c r="AW4761" s="1">
        <v>24409</v>
      </c>
      <c r="AX4761">
        <v>2</v>
      </c>
    </row>
    <row r="4762" spans="1:50">
      <c r="A4762">
        <v>159699</v>
      </c>
      <c r="B4762" t="str">
        <f>"032900764"</f>
        <v>032900764</v>
      </c>
      <c r="C4762" t="s">
        <v>50</v>
      </c>
      <c r="D4762" t="s">
        <v>4474</v>
      </c>
      <c r="E4762" t="s">
        <v>1189</v>
      </c>
      <c r="F4762" t="s">
        <v>377</v>
      </c>
      <c r="G4762" t="s">
        <v>96</v>
      </c>
      <c r="H4762" t="str">
        <f>" "</f>
        <v xml:space="preserve"> </v>
      </c>
      <c r="N4762" t="s">
        <v>146</v>
      </c>
      <c r="O4762" t="s">
        <v>147</v>
      </c>
      <c r="R4762" t="s">
        <v>57</v>
      </c>
      <c r="S4762">
        <v>15</v>
      </c>
      <c r="T4762">
        <v>161</v>
      </c>
      <c r="U4762" s="1">
        <v>33119</v>
      </c>
      <c r="V4762" t="s">
        <v>6729</v>
      </c>
      <c r="W4762" t="s">
        <v>6730</v>
      </c>
      <c r="X4762" t="s">
        <v>58</v>
      </c>
      <c r="Y4762">
        <v>18</v>
      </c>
      <c r="Z4762" t="s">
        <v>59</v>
      </c>
      <c r="AA4762" t="s">
        <v>59</v>
      </c>
      <c r="AB4762" t="s">
        <v>59</v>
      </c>
      <c r="AC4762" t="s">
        <v>59</v>
      </c>
      <c r="AD4762" t="s">
        <v>59</v>
      </c>
      <c r="AF4762" s="1">
        <v>33119</v>
      </c>
      <c r="AG4762" t="s">
        <v>125</v>
      </c>
      <c r="AH4762" t="s">
        <v>126</v>
      </c>
      <c r="AI4762" t="str">
        <f>"5001010"</f>
        <v>5001010</v>
      </c>
      <c r="AJ4762" t="s">
        <v>6873</v>
      </c>
      <c r="AK4762">
        <v>2821052130</v>
      </c>
      <c r="AL4762" t="s">
        <v>6874</v>
      </c>
      <c r="AM4762" t="s">
        <v>88</v>
      </c>
      <c r="AN4762" t="s">
        <v>88</v>
      </c>
      <c r="AO4762" t="s">
        <v>88</v>
      </c>
      <c r="AP4762" t="s">
        <v>88</v>
      </c>
      <c r="AQ4762">
        <v>1</v>
      </c>
      <c r="AR4762" t="s">
        <v>6729</v>
      </c>
      <c r="AS4762" t="s">
        <v>6730</v>
      </c>
      <c r="AT4762" t="s">
        <v>58</v>
      </c>
      <c r="AU4762" t="s">
        <v>68</v>
      </c>
      <c r="AV4762" t="s">
        <v>69</v>
      </c>
      <c r="AW4762" s="1">
        <v>22913</v>
      </c>
      <c r="AX4762">
        <v>2</v>
      </c>
    </row>
    <row r="4763" spans="1:50">
      <c r="A4763">
        <v>199559</v>
      </c>
      <c r="B4763" t="str">
        <f>"073812953"</f>
        <v>073812953</v>
      </c>
      <c r="C4763" t="s">
        <v>105</v>
      </c>
      <c r="D4763" t="s">
        <v>8632</v>
      </c>
      <c r="E4763" t="s">
        <v>202</v>
      </c>
      <c r="F4763" t="s">
        <v>72</v>
      </c>
      <c r="G4763" t="s">
        <v>143</v>
      </c>
      <c r="H4763" t="str">
        <f>"ΔΗΜ.ΡΑΛΛΗ 28 ΑΘΗΝΑ"</f>
        <v>ΔΗΜ.ΡΑΛΛΗ 28 ΑΘΗΝΑ</v>
      </c>
      <c r="I4763">
        <v>11144</v>
      </c>
      <c r="J4763">
        <v>2102020541</v>
      </c>
      <c r="K4763">
        <v>6977689751</v>
      </c>
      <c r="M4763" t="s">
        <v>8633</v>
      </c>
      <c r="N4763" t="s">
        <v>282</v>
      </c>
      <c r="O4763" t="s">
        <v>283</v>
      </c>
      <c r="R4763" t="s">
        <v>57</v>
      </c>
      <c r="S4763">
        <v>10</v>
      </c>
      <c r="T4763">
        <v>206</v>
      </c>
      <c r="U4763" s="1">
        <v>37866</v>
      </c>
      <c r="V4763" t="s">
        <v>6729</v>
      </c>
      <c r="W4763" t="s">
        <v>6730</v>
      </c>
      <c r="X4763" t="s">
        <v>58</v>
      </c>
      <c r="Y4763">
        <v>20</v>
      </c>
      <c r="Z4763" t="s">
        <v>59</v>
      </c>
      <c r="AA4763" t="s">
        <v>59</v>
      </c>
      <c r="AB4763" t="s">
        <v>59</v>
      </c>
      <c r="AC4763" t="s">
        <v>59</v>
      </c>
      <c r="AD4763" t="s">
        <v>59</v>
      </c>
      <c r="AF4763" s="1">
        <v>37867</v>
      </c>
      <c r="AG4763" t="s">
        <v>137</v>
      </c>
      <c r="AH4763" t="s">
        <v>138</v>
      </c>
      <c r="AI4763" t="str">
        <f>"5040090"</f>
        <v>5040090</v>
      </c>
      <c r="AJ4763" t="s">
        <v>6757</v>
      </c>
      <c r="AK4763">
        <v>2822022275</v>
      </c>
      <c r="AL4763" t="s">
        <v>6758</v>
      </c>
      <c r="AM4763" t="s">
        <v>88</v>
      </c>
      <c r="AN4763" t="s">
        <v>6744</v>
      </c>
      <c r="AO4763" t="s">
        <v>6744</v>
      </c>
      <c r="AP4763" t="s">
        <v>6744</v>
      </c>
      <c r="AQ4763">
        <v>1</v>
      </c>
      <c r="AR4763" t="s">
        <v>6729</v>
      </c>
      <c r="AS4763" t="s">
        <v>6730</v>
      </c>
      <c r="AT4763" t="s">
        <v>58</v>
      </c>
      <c r="AU4763" t="s">
        <v>68</v>
      </c>
      <c r="AV4763" t="s">
        <v>69</v>
      </c>
      <c r="AW4763" s="1">
        <v>27009</v>
      </c>
      <c r="AX4763">
        <v>2</v>
      </c>
    </row>
    <row r="4764" spans="1:50">
      <c r="A4764">
        <v>228333</v>
      </c>
      <c r="B4764" t="str">
        <f>"054222462"</f>
        <v>054222462</v>
      </c>
      <c r="C4764" t="s">
        <v>50</v>
      </c>
      <c r="D4764" t="s">
        <v>4482</v>
      </c>
      <c r="E4764" t="s">
        <v>964</v>
      </c>
      <c r="F4764" t="s">
        <v>1070</v>
      </c>
      <c r="G4764" t="s">
        <v>52</v>
      </c>
      <c r="H4764" t="str">
        <f>"1Η ΠΑΡΟΔΟΣ ΡΟΖΑΚΙΔΩΝ 3 ΧΑΝΙΑ"</f>
        <v>1Η ΠΑΡΟΔΟΣ ΡΟΖΑΚΙΔΩΝ 3 ΧΑΝΙΑ</v>
      </c>
      <c r="I4764">
        <v>73100</v>
      </c>
      <c r="J4764">
        <v>2821041569</v>
      </c>
      <c r="K4764">
        <v>6977013381</v>
      </c>
      <c r="N4764" t="s">
        <v>1989</v>
      </c>
      <c r="O4764" t="s">
        <v>1990</v>
      </c>
      <c r="R4764" t="s">
        <v>57</v>
      </c>
      <c r="S4764">
        <v>8</v>
      </c>
      <c r="T4764">
        <v>654</v>
      </c>
      <c r="U4764" s="1">
        <v>40043</v>
      </c>
      <c r="V4764" t="s">
        <v>6729</v>
      </c>
      <c r="W4764" t="s">
        <v>6730</v>
      </c>
      <c r="X4764" t="s">
        <v>58</v>
      </c>
      <c r="Y4764">
        <v>20</v>
      </c>
      <c r="Z4764" t="s">
        <v>59</v>
      </c>
      <c r="AA4764" t="s">
        <v>59</v>
      </c>
      <c r="AB4764" t="s">
        <v>59</v>
      </c>
      <c r="AC4764" t="s">
        <v>59</v>
      </c>
      <c r="AD4764" t="s">
        <v>59</v>
      </c>
      <c r="AF4764" s="1">
        <v>40043</v>
      </c>
      <c r="AG4764" t="s">
        <v>137</v>
      </c>
      <c r="AH4764" t="s">
        <v>138</v>
      </c>
      <c r="AI4764" t="str">
        <f>"5040100"</f>
        <v>5040100</v>
      </c>
      <c r="AJ4764" t="s">
        <v>6790</v>
      </c>
      <c r="AK4764">
        <v>2821058998</v>
      </c>
      <c r="AL4764" t="s">
        <v>6791</v>
      </c>
      <c r="AM4764" t="s">
        <v>88</v>
      </c>
      <c r="AN4764" t="s">
        <v>88</v>
      </c>
      <c r="AO4764" t="s">
        <v>6770</v>
      </c>
      <c r="AP4764" t="s">
        <v>6771</v>
      </c>
      <c r="AQ4764">
        <v>1</v>
      </c>
      <c r="AR4764" t="s">
        <v>6729</v>
      </c>
      <c r="AS4764" t="s">
        <v>6730</v>
      </c>
      <c r="AT4764" t="s">
        <v>58</v>
      </c>
      <c r="AU4764" t="s">
        <v>68</v>
      </c>
      <c r="AV4764" t="s">
        <v>69</v>
      </c>
      <c r="AW4764" s="1">
        <v>26409</v>
      </c>
      <c r="AX4764">
        <v>2</v>
      </c>
    </row>
    <row r="4765" spans="1:50">
      <c r="A4765">
        <v>188799</v>
      </c>
      <c r="B4765" t="str">
        <f>"076172096"</f>
        <v>076172096</v>
      </c>
      <c r="C4765" t="s">
        <v>105</v>
      </c>
      <c r="D4765" t="s">
        <v>4485</v>
      </c>
      <c r="E4765" t="s">
        <v>95</v>
      </c>
      <c r="F4765" t="s">
        <v>72</v>
      </c>
      <c r="G4765" t="s">
        <v>2967</v>
      </c>
      <c r="H4765" t="str">
        <f>"ΛΟΥΣΑΚΙΕΣ ΚΙΣΣΑΜΟΣ"</f>
        <v>ΛΟΥΣΑΚΙΕΣ ΚΙΣΣΑΜΟΣ</v>
      </c>
      <c r="I4765">
        <v>73400</v>
      </c>
      <c r="K4765">
        <v>6976399939</v>
      </c>
      <c r="M4765" t="s">
        <v>8634</v>
      </c>
      <c r="N4765" t="s">
        <v>204</v>
      </c>
      <c r="O4765" t="s">
        <v>205</v>
      </c>
      <c r="R4765" t="s">
        <v>57</v>
      </c>
      <c r="S4765">
        <v>12</v>
      </c>
      <c r="T4765" t="s">
        <v>3883</v>
      </c>
      <c r="U4765" s="1">
        <v>36039</v>
      </c>
      <c r="V4765" t="s">
        <v>6729</v>
      </c>
      <c r="W4765" t="s">
        <v>6730</v>
      </c>
      <c r="X4765" t="s">
        <v>58</v>
      </c>
      <c r="Y4765">
        <v>18</v>
      </c>
      <c r="Z4765" t="s">
        <v>59</v>
      </c>
      <c r="AA4765" t="s">
        <v>59</v>
      </c>
      <c r="AB4765" t="s">
        <v>59</v>
      </c>
      <c r="AC4765" t="s">
        <v>59</v>
      </c>
      <c r="AD4765" t="s">
        <v>59</v>
      </c>
      <c r="AF4765" s="1">
        <v>36770</v>
      </c>
      <c r="AG4765" t="s">
        <v>148</v>
      </c>
      <c r="AH4765" t="s">
        <v>149</v>
      </c>
      <c r="AI4765" t="str">
        <f>"5054010"</f>
        <v>5054010</v>
      </c>
      <c r="AJ4765" t="s">
        <v>6815</v>
      </c>
      <c r="AK4765">
        <v>2822022671</v>
      </c>
      <c r="AL4765" t="s">
        <v>6816</v>
      </c>
      <c r="AM4765" t="s">
        <v>88</v>
      </c>
      <c r="AN4765" t="s">
        <v>6744</v>
      </c>
      <c r="AO4765" t="s">
        <v>6744</v>
      </c>
      <c r="AP4765" t="s">
        <v>6744</v>
      </c>
      <c r="AQ4765">
        <v>1</v>
      </c>
      <c r="AR4765" t="s">
        <v>6729</v>
      </c>
      <c r="AS4765" t="s">
        <v>6730</v>
      </c>
      <c r="AT4765" t="s">
        <v>58</v>
      </c>
      <c r="AU4765" t="s">
        <v>68</v>
      </c>
      <c r="AV4765" t="s">
        <v>69</v>
      </c>
      <c r="AW4765" s="1">
        <v>24208</v>
      </c>
      <c r="AX4765">
        <v>2</v>
      </c>
    </row>
    <row r="4766" spans="1:50">
      <c r="A4766">
        <v>218321</v>
      </c>
      <c r="B4766" t="str">
        <f>"072475436"</f>
        <v>072475436</v>
      </c>
      <c r="C4766" t="s">
        <v>105</v>
      </c>
      <c r="D4766" t="s">
        <v>4485</v>
      </c>
      <c r="E4766" t="s">
        <v>166</v>
      </c>
      <c r="F4766" t="s">
        <v>72</v>
      </c>
      <c r="G4766" t="s">
        <v>1001</v>
      </c>
      <c r="H4766" t="str">
        <f>" "</f>
        <v xml:space="preserve"> </v>
      </c>
      <c r="J4766">
        <v>2821075259</v>
      </c>
      <c r="K4766">
        <v>6947576469</v>
      </c>
      <c r="M4766" t="s">
        <v>8635</v>
      </c>
      <c r="N4766" t="s">
        <v>292</v>
      </c>
      <c r="O4766" t="s">
        <v>293</v>
      </c>
      <c r="R4766" t="s">
        <v>57</v>
      </c>
      <c r="S4766">
        <v>6</v>
      </c>
      <c r="T4766">
        <v>599</v>
      </c>
      <c r="U4766" s="1">
        <v>39310</v>
      </c>
      <c r="V4766" t="s">
        <v>6729</v>
      </c>
      <c r="W4766" t="s">
        <v>6730</v>
      </c>
      <c r="X4766" t="s">
        <v>58</v>
      </c>
      <c r="Y4766">
        <v>20</v>
      </c>
      <c r="Z4766" t="s">
        <v>59</v>
      </c>
      <c r="AA4766" t="s">
        <v>59</v>
      </c>
      <c r="AB4766" t="s">
        <v>59</v>
      </c>
      <c r="AC4766" t="s">
        <v>59</v>
      </c>
      <c r="AD4766" t="s">
        <v>59</v>
      </c>
      <c r="AF4766" s="1">
        <v>39328</v>
      </c>
      <c r="AG4766" t="s">
        <v>148</v>
      </c>
      <c r="AH4766" t="s">
        <v>149</v>
      </c>
      <c r="AI4766" t="str">
        <f>"5051009"</f>
        <v>5051009</v>
      </c>
      <c r="AJ4766" t="s">
        <v>6851</v>
      </c>
      <c r="AK4766">
        <v>2821044551</v>
      </c>
      <c r="AL4766" t="s">
        <v>6852</v>
      </c>
      <c r="AM4766" t="s">
        <v>88</v>
      </c>
      <c r="AN4766" t="s">
        <v>88</v>
      </c>
      <c r="AO4766" t="s">
        <v>6770</v>
      </c>
      <c r="AP4766" t="s">
        <v>6771</v>
      </c>
      <c r="AQ4766">
        <v>1</v>
      </c>
      <c r="AR4766" t="s">
        <v>6729</v>
      </c>
      <c r="AS4766" t="s">
        <v>6730</v>
      </c>
      <c r="AT4766" t="s">
        <v>58</v>
      </c>
      <c r="AU4766" t="s">
        <v>68</v>
      </c>
      <c r="AV4766" t="s">
        <v>69</v>
      </c>
      <c r="AW4766" s="1">
        <v>23046</v>
      </c>
      <c r="AX4766">
        <v>2</v>
      </c>
    </row>
    <row r="4767" spans="1:50">
      <c r="A4767">
        <v>178299</v>
      </c>
      <c r="B4767" t="str">
        <f>"077147190"</f>
        <v>077147190</v>
      </c>
      <c r="C4767" t="s">
        <v>105</v>
      </c>
      <c r="D4767" t="s">
        <v>4485</v>
      </c>
      <c r="E4767" t="s">
        <v>315</v>
      </c>
      <c r="F4767" t="s">
        <v>154</v>
      </c>
      <c r="G4767" t="s">
        <v>1277</v>
      </c>
      <c r="H4767" t="str">
        <f>"ΠΑΛΑΙΟΛΟΓΩΝ ΚΟΜΝΗΝΩΝ 4 ΑΝΩ ΣΟΥΔΑ"</f>
        <v>ΠΑΛΑΙΟΛΟΓΩΝ ΚΟΜΝΗΝΩΝ 4 ΑΝΩ ΣΟΥΔΑ</v>
      </c>
      <c r="I4767">
        <v>73200</v>
      </c>
      <c r="J4767">
        <v>2821047519</v>
      </c>
      <c r="K4767">
        <v>6972297423</v>
      </c>
      <c r="N4767" t="s">
        <v>204</v>
      </c>
      <c r="O4767" t="s">
        <v>205</v>
      </c>
      <c r="R4767" t="s">
        <v>57</v>
      </c>
      <c r="S4767">
        <v>10</v>
      </c>
      <c r="T4767">
        <v>180</v>
      </c>
      <c r="U4767" s="1">
        <v>35674</v>
      </c>
      <c r="V4767" t="s">
        <v>6729</v>
      </c>
      <c r="W4767" t="s">
        <v>6730</v>
      </c>
      <c r="X4767" t="s">
        <v>58</v>
      </c>
      <c r="Y4767">
        <v>18</v>
      </c>
      <c r="Z4767" t="s">
        <v>59</v>
      </c>
      <c r="AA4767" t="s">
        <v>59</v>
      </c>
      <c r="AB4767" t="s">
        <v>59</v>
      </c>
      <c r="AC4767" t="s">
        <v>59</v>
      </c>
      <c r="AD4767" t="s">
        <v>59</v>
      </c>
      <c r="AF4767" s="1">
        <v>35675</v>
      </c>
      <c r="AG4767" t="s">
        <v>137</v>
      </c>
      <c r="AH4767" t="s">
        <v>138</v>
      </c>
      <c r="AI4767" t="str">
        <f>"5050060"</f>
        <v>5050060</v>
      </c>
      <c r="AJ4767" t="s">
        <v>6801</v>
      </c>
      <c r="AK4767">
        <v>2821091515</v>
      </c>
      <c r="AL4767" t="s">
        <v>6802</v>
      </c>
      <c r="AM4767" t="s">
        <v>88</v>
      </c>
      <c r="AN4767" t="s">
        <v>88</v>
      </c>
      <c r="AO4767" t="s">
        <v>88</v>
      </c>
      <c r="AP4767" t="s">
        <v>88</v>
      </c>
      <c r="AQ4767">
        <v>1</v>
      </c>
      <c r="AR4767" t="s">
        <v>6729</v>
      </c>
      <c r="AS4767" t="s">
        <v>6730</v>
      </c>
      <c r="AT4767" t="s">
        <v>58</v>
      </c>
      <c r="AU4767" t="s">
        <v>68</v>
      </c>
      <c r="AV4767" t="s">
        <v>69</v>
      </c>
      <c r="AW4767" s="1">
        <v>23779</v>
      </c>
      <c r="AX4767">
        <v>2</v>
      </c>
    </row>
    <row r="4768" spans="1:50">
      <c r="B4768" t="str">
        <f>"113160417"</f>
        <v>113160417</v>
      </c>
      <c r="C4768" t="s">
        <v>50</v>
      </c>
      <c r="D4768" t="s">
        <v>4490</v>
      </c>
      <c r="E4768" t="s">
        <v>114</v>
      </c>
      <c r="F4768" t="s">
        <v>383</v>
      </c>
      <c r="G4768" t="s">
        <v>2709</v>
      </c>
      <c r="H4768" t="str">
        <f>"Γ. ΣΕΪΜΕΝΗ 20 "</f>
        <v xml:space="preserve">Γ. ΣΕΪΜΕΝΗ 20 </v>
      </c>
      <c r="I4768">
        <v>73134</v>
      </c>
      <c r="J4768">
        <v>2821050132</v>
      </c>
      <c r="K4768">
        <v>6945976289</v>
      </c>
      <c r="M4768" t="s">
        <v>8636</v>
      </c>
      <c r="N4768" t="s">
        <v>119</v>
      </c>
      <c r="O4768" t="s">
        <v>120</v>
      </c>
      <c r="R4768" t="s">
        <v>159</v>
      </c>
      <c r="S4768">
        <v>4</v>
      </c>
      <c r="T4768" t="s">
        <v>344</v>
      </c>
      <c r="U4768" s="1">
        <v>43348</v>
      </c>
      <c r="V4768" t="s">
        <v>6729</v>
      </c>
      <c r="W4768" t="s">
        <v>6730</v>
      </c>
      <c r="X4768" t="s">
        <v>58</v>
      </c>
      <c r="Y4768">
        <v>23</v>
      </c>
      <c r="Z4768" t="s">
        <v>59</v>
      </c>
      <c r="AA4768" t="s">
        <v>59</v>
      </c>
      <c r="AB4768" t="s">
        <v>59</v>
      </c>
      <c r="AC4768" t="s">
        <v>59</v>
      </c>
      <c r="AD4768" t="s">
        <v>59</v>
      </c>
      <c r="AF4768" s="1">
        <v>43348</v>
      </c>
      <c r="AG4768" t="s">
        <v>125</v>
      </c>
      <c r="AH4768" t="s">
        <v>126</v>
      </c>
      <c r="AI4768" t="str">
        <f>"5001080"</f>
        <v>5001080</v>
      </c>
      <c r="AJ4768" t="s">
        <v>6984</v>
      </c>
      <c r="AK4768">
        <v>2821068020</v>
      </c>
      <c r="AL4768" t="s">
        <v>6985</v>
      </c>
      <c r="AM4768" t="s">
        <v>88</v>
      </c>
      <c r="AN4768" t="s">
        <v>6764</v>
      </c>
      <c r="AO4768" t="s">
        <v>6764</v>
      </c>
      <c r="AP4768" t="s">
        <v>6764</v>
      </c>
      <c r="AQ4768">
        <v>1</v>
      </c>
      <c r="AR4768" t="s">
        <v>6729</v>
      </c>
      <c r="AS4768" t="s">
        <v>6730</v>
      </c>
      <c r="AT4768" t="s">
        <v>58</v>
      </c>
      <c r="AU4768" t="s">
        <v>350</v>
      </c>
      <c r="AV4768" t="s">
        <v>132</v>
      </c>
      <c r="AW4768" s="1">
        <v>30390</v>
      </c>
      <c r="AX4768">
        <v>2</v>
      </c>
    </row>
    <row r="4769" spans="1:50">
      <c r="A4769">
        <v>209812</v>
      </c>
      <c r="B4769" t="str">
        <f>"025557863"</f>
        <v>025557863</v>
      </c>
      <c r="C4769" t="s">
        <v>50</v>
      </c>
      <c r="D4769" t="s">
        <v>4490</v>
      </c>
      <c r="E4769" t="s">
        <v>52</v>
      </c>
      <c r="F4769" t="s">
        <v>95</v>
      </c>
      <c r="G4769" t="s">
        <v>4515</v>
      </c>
      <c r="H4769" t="str">
        <f>" "</f>
        <v xml:space="preserve"> </v>
      </c>
      <c r="J4769">
        <v>2821055841</v>
      </c>
      <c r="K4769">
        <v>6972805951</v>
      </c>
      <c r="M4769" t="s">
        <v>8637</v>
      </c>
      <c r="N4769" t="s">
        <v>146</v>
      </c>
      <c r="O4769" t="s">
        <v>147</v>
      </c>
      <c r="R4769" t="s">
        <v>57</v>
      </c>
      <c r="S4769">
        <v>8</v>
      </c>
      <c r="T4769">
        <v>225</v>
      </c>
      <c r="U4769" s="1">
        <v>38604</v>
      </c>
      <c r="V4769" t="s">
        <v>6729</v>
      </c>
      <c r="W4769" t="s">
        <v>6730</v>
      </c>
      <c r="X4769" t="s">
        <v>58</v>
      </c>
      <c r="Y4769">
        <v>20</v>
      </c>
      <c r="Z4769" t="s">
        <v>59</v>
      </c>
      <c r="AA4769" t="s">
        <v>59</v>
      </c>
      <c r="AB4769" t="s">
        <v>59</v>
      </c>
      <c r="AC4769" t="s">
        <v>59</v>
      </c>
      <c r="AD4769" t="s">
        <v>59</v>
      </c>
      <c r="AF4769" s="1">
        <v>38608</v>
      </c>
      <c r="AG4769" t="s">
        <v>148</v>
      </c>
      <c r="AH4769" t="s">
        <v>149</v>
      </c>
      <c r="AI4769" t="str">
        <f>"5051009"</f>
        <v>5051009</v>
      </c>
      <c r="AJ4769" t="s">
        <v>6851</v>
      </c>
      <c r="AK4769">
        <v>2821044551</v>
      </c>
      <c r="AL4769" t="s">
        <v>6852</v>
      </c>
      <c r="AM4769" t="s">
        <v>88</v>
      </c>
      <c r="AN4769" t="s">
        <v>88</v>
      </c>
      <c r="AO4769" t="s">
        <v>6770</v>
      </c>
      <c r="AP4769" t="s">
        <v>6771</v>
      </c>
      <c r="AQ4769">
        <v>1</v>
      </c>
      <c r="AR4769" t="s">
        <v>6729</v>
      </c>
      <c r="AS4769" t="s">
        <v>6730</v>
      </c>
      <c r="AT4769" t="s">
        <v>58</v>
      </c>
      <c r="AU4769" t="s">
        <v>68</v>
      </c>
      <c r="AV4769" t="s">
        <v>69</v>
      </c>
      <c r="AW4769" s="1">
        <v>28376</v>
      </c>
      <c r="AX4769">
        <v>2</v>
      </c>
    </row>
    <row r="4770" spans="1:50">
      <c r="B4770" t="str">
        <f>"064890576"</f>
        <v>064890576</v>
      </c>
      <c r="C4770" t="s">
        <v>105</v>
      </c>
      <c r="D4770" t="s">
        <v>4502</v>
      </c>
      <c r="E4770" t="s">
        <v>4612</v>
      </c>
      <c r="F4770" t="s">
        <v>383</v>
      </c>
      <c r="G4770" t="s">
        <v>8638</v>
      </c>
      <c r="H4770" t="str">
        <f>"ΝΙΝΟΛΑΚΗ 31 ΧΑΝΙΑ"</f>
        <v>ΝΙΝΟΛΑΚΗ 31 ΧΑΝΙΑ</v>
      </c>
      <c r="I4770">
        <v>73135</v>
      </c>
      <c r="J4770">
        <v>2821074882</v>
      </c>
      <c r="K4770">
        <v>6942290197</v>
      </c>
      <c r="N4770" t="s">
        <v>119</v>
      </c>
      <c r="O4770" t="s">
        <v>120</v>
      </c>
      <c r="R4770" t="s">
        <v>159</v>
      </c>
      <c r="S4770">
        <v>5</v>
      </c>
      <c r="T4770" t="s">
        <v>344</v>
      </c>
      <c r="U4770" s="1">
        <v>43348</v>
      </c>
      <c r="V4770" t="s">
        <v>6729</v>
      </c>
      <c r="W4770" t="s">
        <v>6730</v>
      </c>
      <c r="X4770" t="s">
        <v>58</v>
      </c>
      <c r="Y4770">
        <v>21</v>
      </c>
      <c r="Z4770" t="s">
        <v>59</v>
      </c>
      <c r="AA4770" t="s">
        <v>59</v>
      </c>
      <c r="AB4770" t="s">
        <v>59</v>
      </c>
      <c r="AC4770" t="s">
        <v>59</v>
      </c>
      <c r="AD4770" t="s">
        <v>59</v>
      </c>
      <c r="AF4770" s="1">
        <v>43348</v>
      </c>
      <c r="AG4770" t="s">
        <v>125</v>
      </c>
      <c r="AH4770" t="s">
        <v>126</v>
      </c>
      <c r="AI4770" t="str">
        <f>"5001075"</f>
        <v>5001075</v>
      </c>
      <c r="AJ4770" t="s">
        <v>6768</v>
      </c>
      <c r="AK4770">
        <v>2821064200</v>
      </c>
      <c r="AL4770" t="s">
        <v>6769</v>
      </c>
      <c r="AM4770" t="s">
        <v>88</v>
      </c>
      <c r="AN4770" t="s">
        <v>88</v>
      </c>
      <c r="AO4770" t="s">
        <v>6770</v>
      </c>
      <c r="AP4770" t="s">
        <v>6771</v>
      </c>
      <c r="AQ4770">
        <v>1</v>
      </c>
      <c r="AR4770" t="s">
        <v>6729</v>
      </c>
      <c r="AS4770" t="s">
        <v>6730</v>
      </c>
      <c r="AT4770" t="s">
        <v>58</v>
      </c>
      <c r="AU4770" t="s">
        <v>350</v>
      </c>
      <c r="AV4770" t="s">
        <v>132</v>
      </c>
      <c r="AW4770" s="1">
        <v>28594</v>
      </c>
      <c r="AX4770">
        <v>2</v>
      </c>
    </row>
    <row r="4771" spans="1:50">
      <c r="A4771">
        <v>179886</v>
      </c>
      <c r="B4771" t="str">
        <f>"053060538"</f>
        <v>053060538</v>
      </c>
      <c r="C4771" t="s">
        <v>50</v>
      </c>
      <c r="D4771" t="s">
        <v>8639</v>
      </c>
      <c r="E4771" t="s">
        <v>610</v>
      </c>
      <c r="F4771" t="s">
        <v>1543</v>
      </c>
      <c r="G4771" t="s">
        <v>714</v>
      </c>
      <c r="H4771" t="str">
        <f>" "</f>
        <v xml:space="preserve"> </v>
      </c>
      <c r="N4771" t="s">
        <v>146</v>
      </c>
      <c r="O4771" t="s">
        <v>147</v>
      </c>
      <c r="R4771" t="s">
        <v>57</v>
      </c>
      <c r="S4771">
        <v>12</v>
      </c>
      <c r="T4771">
        <v>181</v>
      </c>
      <c r="U4771" s="1">
        <v>36039</v>
      </c>
      <c r="V4771" t="s">
        <v>6729</v>
      </c>
      <c r="W4771" t="s">
        <v>6730</v>
      </c>
      <c r="X4771" t="s">
        <v>58</v>
      </c>
      <c r="Y4771">
        <v>18</v>
      </c>
      <c r="Z4771" t="s">
        <v>59</v>
      </c>
      <c r="AA4771" t="s">
        <v>59</v>
      </c>
      <c r="AB4771" t="s">
        <v>59</v>
      </c>
      <c r="AC4771" t="s">
        <v>59</v>
      </c>
      <c r="AD4771" t="s">
        <v>59</v>
      </c>
      <c r="AF4771" s="1">
        <v>36045</v>
      </c>
      <c r="AG4771" t="s">
        <v>125</v>
      </c>
      <c r="AH4771" t="s">
        <v>126</v>
      </c>
      <c r="AI4771" t="str">
        <f>"5001020"</f>
        <v>5001020</v>
      </c>
      <c r="AJ4771" t="s">
        <v>6739</v>
      </c>
      <c r="AK4771">
        <v>2821042664</v>
      </c>
      <c r="AL4771" t="s">
        <v>6740</v>
      </c>
      <c r="AM4771" t="s">
        <v>88</v>
      </c>
      <c r="AN4771" t="s">
        <v>88</v>
      </c>
      <c r="AO4771" t="s">
        <v>88</v>
      </c>
      <c r="AP4771" t="s">
        <v>88</v>
      </c>
      <c r="AQ4771">
        <v>1</v>
      </c>
      <c r="AR4771" t="s">
        <v>6729</v>
      </c>
      <c r="AS4771" t="s">
        <v>6730</v>
      </c>
      <c r="AT4771" t="s">
        <v>58</v>
      </c>
      <c r="AU4771" t="s">
        <v>68</v>
      </c>
      <c r="AV4771" t="s">
        <v>69</v>
      </c>
      <c r="AW4771" s="1">
        <v>24187</v>
      </c>
      <c r="AX4771">
        <v>2</v>
      </c>
    </row>
    <row r="4772" spans="1:50">
      <c r="A4772">
        <v>200270</v>
      </c>
      <c r="B4772" t="str">
        <f>"101779087"</f>
        <v>101779087</v>
      </c>
      <c r="C4772" t="s">
        <v>50</v>
      </c>
      <c r="D4772" t="s">
        <v>8640</v>
      </c>
      <c r="E4772" t="s">
        <v>326</v>
      </c>
      <c r="F4772" t="s">
        <v>84</v>
      </c>
      <c r="G4772" t="s">
        <v>237</v>
      </c>
      <c r="H4772" t="str">
        <f>" "</f>
        <v xml:space="preserve"> </v>
      </c>
      <c r="J4772">
        <v>2610427407</v>
      </c>
      <c r="K4772">
        <v>6944281203</v>
      </c>
      <c r="N4772" t="s">
        <v>204</v>
      </c>
      <c r="O4772" t="s">
        <v>205</v>
      </c>
      <c r="P4772" t="s">
        <v>1116</v>
      </c>
      <c r="Q4772" t="s">
        <v>1117</v>
      </c>
      <c r="R4772" t="s">
        <v>57</v>
      </c>
      <c r="S4772">
        <v>9</v>
      </c>
      <c r="T4772">
        <v>206</v>
      </c>
      <c r="U4772" s="1">
        <v>37866</v>
      </c>
      <c r="V4772" t="s">
        <v>6729</v>
      </c>
      <c r="W4772" t="s">
        <v>6730</v>
      </c>
      <c r="X4772" t="s">
        <v>58</v>
      </c>
      <c r="Y4772">
        <v>20</v>
      </c>
      <c r="Z4772" t="s">
        <v>59</v>
      </c>
      <c r="AA4772" t="s">
        <v>59</v>
      </c>
      <c r="AB4772" t="s">
        <v>59</v>
      </c>
      <c r="AC4772" t="s">
        <v>59</v>
      </c>
      <c r="AD4772" t="s">
        <v>59</v>
      </c>
      <c r="AF4772" s="1">
        <v>37866</v>
      </c>
      <c r="AG4772" t="s">
        <v>125</v>
      </c>
      <c r="AH4772" t="s">
        <v>126</v>
      </c>
      <c r="AI4772" t="str">
        <f>"5001080"</f>
        <v>5001080</v>
      </c>
      <c r="AJ4772" t="s">
        <v>6984</v>
      </c>
      <c r="AK4772">
        <v>2821068020</v>
      </c>
      <c r="AL4772" t="s">
        <v>6985</v>
      </c>
      <c r="AM4772" t="s">
        <v>88</v>
      </c>
      <c r="AN4772" t="s">
        <v>6764</v>
      </c>
      <c r="AO4772" t="s">
        <v>6764</v>
      </c>
      <c r="AP4772" t="s">
        <v>6764</v>
      </c>
      <c r="AQ4772">
        <v>1</v>
      </c>
      <c r="AR4772" t="s">
        <v>6729</v>
      </c>
      <c r="AS4772" t="s">
        <v>6730</v>
      </c>
      <c r="AT4772" t="s">
        <v>58</v>
      </c>
      <c r="AU4772" t="s">
        <v>68</v>
      </c>
      <c r="AV4772" t="s">
        <v>69</v>
      </c>
      <c r="AW4772" s="1">
        <v>27857</v>
      </c>
      <c r="AX4772">
        <v>2</v>
      </c>
    </row>
    <row r="4773" spans="1:50">
      <c r="A4773">
        <v>194770</v>
      </c>
      <c r="B4773" t="str">
        <f>"040508164"</f>
        <v>040508164</v>
      </c>
      <c r="C4773" t="s">
        <v>105</v>
      </c>
      <c r="D4773" t="s">
        <v>8641</v>
      </c>
      <c r="E4773" t="s">
        <v>166</v>
      </c>
      <c r="F4773" t="s">
        <v>95</v>
      </c>
      <c r="G4773" t="s">
        <v>143</v>
      </c>
      <c r="H4773" t="str">
        <f>" "</f>
        <v xml:space="preserve"> </v>
      </c>
      <c r="J4773">
        <v>2822023457</v>
      </c>
      <c r="K4773">
        <v>6972844343</v>
      </c>
      <c r="M4773" t="s">
        <v>8642</v>
      </c>
      <c r="N4773" t="s">
        <v>168</v>
      </c>
      <c r="O4773" t="s">
        <v>169</v>
      </c>
      <c r="R4773" t="s">
        <v>57</v>
      </c>
      <c r="S4773">
        <v>10</v>
      </c>
      <c r="T4773">
        <v>193</v>
      </c>
      <c r="U4773" s="1">
        <v>37497</v>
      </c>
      <c r="V4773" t="s">
        <v>6729</v>
      </c>
      <c r="W4773" t="s">
        <v>6730</v>
      </c>
      <c r="X4773" t="s">
        <v>58</v>
      </c>
      <c r="Y4773">
        <v>18</v>
      </c>
      <c r="Z4773" t="s">
        <v>59</v>
      </c>
      <c r="AA4773" t="s">
        <v>59</v>
      </c>
      <c r="AB4773" t="s">
        <v>59</v>
      </c>
      <c r="AC4773" t="s">
        <v>59</v>
      </c>
      <c r="AD4773" t="s">
        <v>59</v>
      </c>
      <c r="AF4773" s="1">
        <v>37501</v>
      </c>
      <c r="AG4773" t="s">
        <v>137</v>
      </c>
      <c r="AH4773" t="s">
        <v>138</v>
      </c>
      <c r="AI4773" t="str">
        <f>"5040090"</f>
        <v>5040090</v>
      </c>
      <c r="AJ4773" t="s">
        <v>6757</v>
      </c>
      <c r="AK4773">
        <v>2822022275</v>
      </c>
      <c r="AL4773" t="s">
        <v>6758</v>
      </c>
      <c r="AM4773" t="s">
        <v>88</v>
      </c>
      <c r="AN4773" t="s">
        <v>6744</v>
      </c>
      <c r="AO4773" t="s">
        <v>6744</v>
      </c>
      <c r="AP4773" t="s">
        <v>6744</v>
      </c>
      <c r="AQ4773">
        <v>1</v>
      </c>
      <c r="AR4773" t="s">
        <v>6729</v>
      </c>
      <c r="AS4773" t="s">
        <v>6730</v>
      </c>
      <c r="AT4773" t="s">
        <v>58</v>
      </c>
      <c r="AU4773" t="s">
        <v>68</v>
      </c>
      <c r="AV4773" t="s">
        <v>69</v>
      </c>
      <c r="AW4773" s="1">
        <v>22343</v>
      </c>
      <c r="AX4773">
        <v>2</v>
      </c>
    </row>
    <row r="4774" spans="1:50">
      <c r="A4774">
        <v>192677</v>
      </c>
      <c r="B4774" t="str">
        <f>"064092230"</f>
        <v>064092230</v>
      </c>
      <c r="C4774" t="s">
        <v>105</v>
      </c>
      <c r="D4774" t="s">
        <v>8641</v>
      </c>
      <c r="E4774" t="s">
        <v>377</v>
      </c>
      <c r="F4774" t="s">
        <v>106</v>
      </c>
      <c r="G4774" t="s">
        <v>8643</v>
      </c>
      <c r="H4774" t="str">
        <f>" "</f>
        <v xml:space="preserve"> </v>
      </c>
      <c r="N4774" t="s">
        <v>204</v>
      </c>
      <c r="O4774" t="s">
        <v>205</v>
      </c>
      <c r="P4774" t="s">
        <v>798</v>
      </c>
      <c r="Q4774" t="s">
        <v>799</v>
      </c>
      <c r="R4774" t="s">
        <v>57</v>
      </c>
      <c r="S4774">
        <v>10</v>
      </c>
      <c r="T4774">
        <v>192</v>
      </c>
      <c r="U4774" s="1">
        <v>37497</v>
      </c>
      <c r="V4774" t="s">
        <v>6729</v>
      </c>
      <c r="W4774" t="s">
        <v>6730</v>
      </c>
      <c r="X4774" t="s">
        <v>58</v>
      </c>
      <c r="Y4774">
        <v>20</v>
      </c>
      <c r="Z4774" t="s">
        <v>59</v>
      </c>
      <c r="AA4774" t="s">
        <v>59</v>
      </c>
      <c r="AB4774" t="s">
        <v>59</v>
      </c>
      <c r="AC4774" t="s">
        <v>59</v>
      </c>
      <c r="AD4774" t="s">
        <v>59</v>
      </c>
      <c r="AF4774" s="1">
        <v>37501</v>
      </c>
      <c r="AG4774" t="s">
        <v>137</v>
      </c>
      <c r="AH4774" t="s">
        <v>469</v>
      </c>
      <c r="AI4774" t="str">
        <f>"5040055"</f>
        <v>5040055</v>
      </c>
      <c r="AJ4774" t="s">
        <v>6940</v>
      </c>
      <c r="AK4774">
        <v>2821036404</v>
      </c>
      <c r="AL4774" t="s">
        <v>6941</v>
      </c>
      <c r="AM4774" t="s">
        <v>88</v>
      </c>
      <c r="AN4774" t="s">
        <v>88</v>
      </c>
      <c r="AO4774" t="s">
        <v>88</v>
      </c>
      <c r="AP4774" t="s">
        <v>88</v>
      </c>
      <c r="AQ4774">
        <v>1</v>
      </c>
      <c r="AR4774" t="s">
        <v>6729</v>
      </c>
      <c r="AS4774" t="s">
        <v>6730</v>
      </c>
      <c r="AT4774" t="s">
        <v>58</v>
      </c>
      <c r="AU4774" t="s">
        <v>68</v>
      </c>
      <c r="AV4774" t="s">
        <v>69</v>
      </c>
      <c r="AW4774" s="1">
        <v>26819</v>
      </c>
      <c r="AX4774">
        <v>2</v>
      </c>
    </row>
    <row r="4775" spans="1:50">
      <c r="A4775">
        <v>618509</v>
      </c>
      <c r="B4775" t="str">
        <f>"137215765"</f>
        <v>137215765</v>
      </c>
      <c r="C4775" t="s">
        <v>50</v>
      </c>
      <c r="D4775" t="s">
        <v>133</v>
      </c>
      <c r="E4775" t="s">
        <v>96</v>
      </c>
      <c r="F4775" t="s">
        <v>106</v>
      </c>
      <c r="G4775" t="s">
        <v>52</v>
      </c>
      <c r="H4775" t="str">
        <f>"Πετρακογιώργη 3 Πόρος"</f>
        <v>Πετρακογιώργη 3 Πόρος</v>
      </c>
      <c r="I4775">
        <v>71305</v>
      </c>
      <c r="J4775">
        <v>2813011151</v>
      </c>
      <c r="K4775">
        <v>6987667654</v>
      </c>
      <c r="M4775" t="s">
        <v>8644</v>
      </c>
      <c r="N4775" t="s">
        <v>615</v>
      </c>
      <c r="O4775" t="s">
        <v>616</v>
      </c>
      <c r="R4775" t="s">
        <v>57</v>
      </c>
      <c r="S4775">
        <v>5</v>
      </c>
      <c r="T4775">
        <v>774</v>
      </c>
      <c r="U4775" s="1">
        <v>39680</v>
      </c>
      <c r="V4775" t="s">
        <v>80</v>
      </c>
      <c r="W4775" t="s">
        <v>81</v>
      </c>
      <c r="X4775" t="s">
        <v>58</v>
      </c>
      <c r="Y4775">
        <v>23</v>
      </c>
      <c r="Z4775" t="s">
        <v>59</v>
      </c>
      <c r="AA4775" t="s">
        <v>59</v>
      </c>
      <c r="AB4775" t="s">
        <v>59</v>
      </c>
      <c r="AC4775" t="s">
        <v>59</v>
      </c>
      <c r="AD4775" t="s">
        <v>59</v>
      </c>
      <c r="AF4775" s="1">
        <v>39681</v>
      </c>
      <c r="AG4775" t="s">
        <v>8645</v>
      </c>
      <c r="AH4775" t="s">
        <v>8646</v>
      </c>
      <c r="AI4775" t="str">
        <f>"9170519"</f>
        <v>9170519</v>
      </c>
      <c r="AJ4775" t="s">
        <v>8647</v>
      </c>
      <c r="AK4775">
        <v>2810244075</v>
      </c>
      <c r="AL4775" t="s">
        <v>8648</v>
      </c>
      <c r="AM4775" t="s">
        <v>78</v>
      </c>
      <c r="AN4775" t="s">
        <v>78</v>
      </c>
      <c r="AO4775" t="s">
        <v>78</v>
      </c>
      <c r="AP4775" t="s">
        <v>213</v>
      </c>
      <c r="AQ4775">
        <v>1</v>
      </c>
      <c r="AR4775" t="s">
        <v>80</v>
      </c>
      <c r="AS4775" t="s">
        <v>81</v>
      </c>
      <c r="AT4775" t="s">
        <v>58</v>
      </c>
      <c r="AU4775" t="s">
        <v>68</v>
      </c>
      <c r="AV4775" t="s">
        <v>69</v>
      </c>
      <c r="AW4775" s="1">
        <v>30961</v>
      </c>
      <c r="AX4775">
        <v>1</v>
      </c>
    </row>
    <row r="4776" spans="1:50">
      <c r="A4776">
        <v>569172</v>
      </c>
      <c r="B4776" t="str">
        <f>"033357202"</f>
        <v>033357202</v>
      </c>
      <c r="C4776" t="s">
        <v>50</v>
      </c>
      <c r="D4776" t="s">
        <v>8649</v>
      </c>
      <c r="E4776" t="s">
        <v>4695</v>
      </c>
      <c r="F4776" t="s">
        <v>8650</v>
      </c>
      <c r="G4776" t="s">
        <v>801</v>
      </c>
      <c r="H4776" t="str">
        <f>"ΕΛΕΥΘΕΡΙΑΣ 58 ΗΡΑΚΛΕΙΟ"</f>
        <v>ΕΛΕΥΘΕΡΙΑΣ 58 ΗΡΑΚΛΕΙΟ</v>
      </c>
      <c r="I4776">
        <v>71414</v>
      </c>
      <c r="J4776">
        <v>2810822812</v>
      </c>
      <c r="K4776">
        <v>6932237877</v>
      </c>
      <c r="N4776" t="s">
        <v>1525</v>
      </c>
      <c r="O4776" t="s">
        <v>1526</v>
      </c>
      <c r="R4776" t="s">
        <v>57</v>
      </c>
      <c r="S4776">
        <v>15</v>
      </c>
      <c r="T4776">
        <v>162</v>
      </c>
      <c r="U4776" s="1">
        <v>33844</v>
      </c>
      <c r="V4776" t="s">
        <v>80</v>
      </c>
      <c r="W4776" t="s">
        <v>81</v>
      </c>
      <c r="X4776" t="s">
        <v>58</v>
      </c>
      <c r="Y4776">
        <v>25</v>
      </c>
      <c r="Z4776" t="s">
        <v>59</v>
      </c>
      <c r="AA4776" t="s">
        <v>59</v>
      </c>
      <c r="AB4776" t="s">
        <v>59</v>
      </c>
      <c r="AC4776" t="s">
        <v>59</v>
      </c>
      <c r="AD4776" t="s">
        <v>59</v>
      </c>
      <c r="AF4776" s="1">
        <v>33848</v>
      </c>
      <c r="AG4776" t="s">
        <v>8651</v>
      </c>
      <c r="AH4776" t="s">
        <v>8652</v>
      </c>
      <c r="AI4776" t="str">
        <f>"9170582"</f>
        <v>9170582</v>
      </c>
      <c r="AJ4776" t="s">
        <v>8653</v>
      </c>
      <c r="AK4776">
        <v>2810261806</v>
      </c>
      <c r="AL4776" t="s">
        <v>8654</v>
      </c>
      <c r="AM4776" t="s">
        <v>78</v>
      </c>
      <c r="AN4776" t="s">
        <v>78</v>
      </c>
      <c r="AO4776" t="s">
        <v>78</v>
      </c>
      <c r="AP4776" t="s">
        <v>141</v>
      </c>
      <c r="AQ4776">
        <v>1</v>
      </c>
      <c r="AR4776" t="s">
        <v>80</v>
      </c>
      <c r="AS4776" t="s">
        <v>81</v>
      </c>
      <c r="AT4776" t="s">
        <v>58</v>
      </c>
      <c r="AU4776" t="s">
        <v>68</v>
      </c>
      <c r="AV4776" t="s">
        <v>69</v>
      </c>
      <c r="AW4776" s="1">
        <v>23764</v>
      </c>
      <c r="AX4776">
        <v>1</v>
      </c>
    </row>
    <row r="4777" spans="1:50">
      <c r="A4777">
        <v>549453</v>
      </c>
      <c r="B4777" t="str">
        <f>"030171033"</f>
        <v>030171033</v>
      </c>
      <c r="C4777" t="s">
        <v>50</v>
      </c>
      <c r="D4777" t="s">
        <v>8655</v>
      </c>
      <c r="E4777" t="s">
        <v>215</v>
      </c>
      <c r="F4777" t="s">
        <v>979</v>
      </c>
      <c r="G4777" t="s">
        <v>52</v>
      </c>
      <c r="H4777" t="str">
        <f>" "</f>
        <v xml:space="preserve"> </v>
      </c>
      <c r="J4777">
        <v>2810240681</v>
      </c>
      <c r="K4777">
        <v>6949714916</v>
      </c>
      <c r="N4777" t="s">
        <v>1525</v>
      </c>
      <c r="O4777" t="s">
        <v>1526</v>
      </c>
      <c r="R4777" t="s">
        <v>57</v>
      </c>
      <c r="S4777">
        <v>17</v>
      </c>
      <c r="T4777">
        <v>281</v>
      </c>
      <c r="U4777" s="1">
        <v>30558</v>
      </c>
      <c r="V4777" t="s">
        <v>80</v>
      </c>
      <c r="W4777" t="s">
        <v>81</v>
      </c>
      <c r="X4777" t="s">
        <v>58</v>
      </c>
      <c r="Y4777">
        <v>25</v>
      </c>
      <c r="Z4777" t="s">
        <v>59</v>
      </c>
      <c r="AA4777" t="s">
        <v>59</v>
      </c>
      <c r="AB4777" t="s">
        <v>59</v>
      </c>
      <c r="AC4777" t="s">
        <v>59</v>
      </c>
      <c r="AD4777" t="s">
        <v>59</v>
      </c>
      <c r="AF4777" s="1">
        <v>30568</v>
      </c>
      <c r="AG4777" t="s">
        <v>8651</v>
      </c>
      <c r="AH4777" t="s">
        <v>8652</v>
      </c>
      <c r="AI4777" t="str">
        <f>"9170529"</f>
        <v>9170529</v>
      </c>
      <c r="AJ4777" t="s">
        <v>8656</v>
      </c>
      <c r="AK4777">
        <v>2810223699</v>
      </c>
      <c r="AL4777" t="s">
        <v>8657</v>
      </c>
      <c r="AM4777" t="s">
        <v>78</v>
      </c>
      <c r="AN4777" t="s">
        <v>78</v>
      </c>
      <c r="AO4777" t="s">
        <v>286</v>
      </c>
      <c r="AP4777" t="s">
        <v>286</v>
      </c>
      <c r="AQ4777">
        <v>1</v>
      </c>
      <c r="AR4777" t="s">
        <v>80</v>
      </c>
      <c r="AS4777" t="s">
        <v>81</v>
      </c>
      <c r="AT4777" t="s">
        <v>58</v>
      </c>
      <c r="AU4777" t="s">
        <v>68</v>
      </c>
      <c r="AV4777" t="s">
        <v>69</v>
      </c>
      <c r="AW4777" s="1">
        <v>22089</v>
      </c>
      <c r="AX4777">
        <v>1</v>
      </c>
    </row>
    <row r="4778" spans="1:50">
      <c r="A4778">
        <v>582277</v>
      </c>
      <c r="B4778" t="str">
        <f>"039101613"</f>
        <v>039101613</v>
      </c>
      <c r="C4778" t="s">
        <v>105</v>
      </c>
      <c r="D4778" t="s">
        <v>165</v>
      </c>
      <c r="E4778" t="s">
        <v>166</v>
      </c>
      <c r="F4778" t="s">
        <v>72</v>
      </c>
      <c r="G4778" t="s">
        <v>52</v>
      </c>
      <c r="H4778" t="str">
        <f>"ΑΝΤΩΝΙΟΥ ΜΠΕΤΕΙΝΑΚΗ 39 ΗΡΑΚΛΕΙΟ"</f>
        <v>ΑΝΤΩΝΙΟΥ ΜΠΕΤΕΙΝΑΚΗ 39 ΗΡΑΚΛΕΙΟ</v>
      </c>
      <c r="I4778">
        <v>71305</v>
      </c>
      <c r="J4778">
        <v>2810324051</v>
      </c>
      <c r="K4778">
        <v>6976337898</v>
      </c>
      <c r="N4778" t="s">
        <v>615</v>
      </c>
      <c r="O4778" t="s">
        <v>616</v>
      </c>
      <c r="R4778" t="s">
        <v>57</v>
      </c>
      <c r="S4778">
        <v>10</v>
      </c>
      <c r="T4778">
        <v>179</v>
      </c>
      <c r="U4778" s="1">
        <v>35674</v>
      </c>
      <c r="V4778" t="s">
        <v>80</v>
      </c>
      <c r="W4778" t="s">
        <v>81</v>
      </c>
      <c r="X4778" t="s">
        <v>58</v>
      </c>
      <c r="Y4778">
        <v>21</v>
      </c>
      <c r="Z4778" t="s">
        <v>59</v>
      </c>
      <c r="AA4778" t="s">
        <v>59</v>
      </c>
      <c r="AB4778" t="s">
        <v>59</v>
      </c>
      <c r="AC4778" t="s">
        <v>59</v>
      </c>
      <c r="AD4778" t="s">
        <v>59</v>
      </c>
      <c r="AF4778" s="1">
        <v>35681</v>
      </c>
      <c r="AG4778" t="s">
        <v>8645</v>
      </c>
      <c r="AH4778" t="s">
        <v>8646</v>
      </c>
      <c r="AI4778" t="str">
        <f>"9170431"</f>
        <v>9170431</v>
      </c>
      <c r="AJ4778" t="s">
        <v>8658</v>
      </c>
      <c r="AK4778">
        <v>2810250952</v>
      </c>
      <c r="AL4778" t="s">
        <v>8659</v>
      </c>
      <c r="AM4778" t="s">
        <v>78</v>
      </c>
      <c r="AN4778" t="s">
        <v>78</v>
      </c>
      <c r="AO4778" t="s">
        <v>78</v>
      </c>
      <c r="AP4778" t="s">
        <v>141</v>
      </c>
      <c r="AQ4778">
        <v>1</v>
      </c>
      <c r="AR4778" t="s">
        <v>80</v>
      </c>
      <c r="AS4778" t="s">
        <v>81</v>
      </c>
      <c r="AT4778" t="s">
        <v>58</v>
      </c>
      <c r="AU4778" t="s">
        <v>68</v>
      </c>
      <c r="AV4778" t="s">
        <v>69</v>
      </c>
      <c r="AW4778" s="1">
        <v>23560</v>
      </c>
      <c r="AX4778">
        <v>1</v>
      </c>
    </row>
    <row r="4779" spans="1:50">
      <c r="A4779">
        <v>592953</v>
      </c>
      <c r="B4779" t="str">
        <f>"077103642"</f>
        <v>077103642</v>
      </c>
      <c r="C4779" t="s">
        <v>50</v>
      </c>
      <c r="D4779" t="s">
        <v>187</v>
      </c>
      <c r="E4779" t="s">
        <v>143</v>
      </c>
      <c r="F4779" t="s">
        <v>72</v>
      </c>
      <c r="G4779" t="s">
        <v>52</v>
      </c>
      <c r="H4779" t="str">
        <f>"ΙΔΑΙΑ 9 ΗΡΑΚΛΕΙΟ"</f>
        <v>ΙΔΑΙΑ 9 ΗΡΑΚΛΕΙΟ</v>
      </c>
      <c r="I4779">
        <v>71409</v>
      </c>
      <c r="J4779">
        <v>2810321673</v>
      </c>
      <c r="K4779">
        <v>6944554746</v>
      </c>
      <c r="M4779" t="s">
        <v>8660</v>
      </c>
      <c r="N4779" t="s">
        <v>615</v>
      </c>
      <c r="O4779" t="s">
        <v>616</v>
      </c>
      <c r="R4779" t="s">
        <v>57</v>
      </c>
      <c r="S4779">
        <v>8</v>
      </c>
      <c r="T4779">
        <v>218</v>
      </c>
      <c r="U4779" s="1">
        <v>37134</v>
      </c>
      <c r="V4779" t="s">
        <v>80</v>
      </c>
      <c r="W4779" t="s">
        <v>81</v>
      </c>
      <c r="X4779" t="s">
        <v>58</v>
      </c>
      <c r="Y4779">
        <v>22</v>
      </c>
      <c r="Z4779" t="s">
        <v>59</v>
      </c>
      <c r="AA4779" t="s">
        <v>59</v>
      </c>
      <c r="AB4779" t="s">
        <v>59</v>
      </c>
      <c r="AC4779" t="s">
        <v>59</v>
      </c>
      <c r="AD4779" t="s">
        <v>59</v>
      </c>
      <c r="AF4779" s="1">
        <v>37137</v>
      </c>
      <c r="AG4779" t="s">
        <v>8645</v>
      </c>
      <c r="AH4779" t="s">
        <v>8646</v>
      </c>
      <c r="AI4779" t="str">
        <f>"9170192"</f>
        <v>9170192</v>
      </c>
      <c r="AJ4779" t="s">
        <v>8661</v>
      </c>
      <c r="AK4779">
        <v>2810231985</v>
      </c>
      <c r="AL4779" t="s">
        <v>8662</v>
      </c>
      <c r="AM4779" t="s">
        <v>78</v>
      </c>
      <c r="AN4779" t="s">
        <v>78</v>
      </c>
      <c r="AO4779" t="s">
        <v>78</v>
      </c>
      <c r="AP4779" t="s">
        <v>163</v>
      </c>
      <c r="AQ4779">
        <v>1</v>
      </c>
      <c r="AR4779" t="s">
        <v>80</v>
      </c>
      <c r="AS4779" t="s">
        <v>81</v>
      </c>
      <c r="AT4779" t="s">
        <v>58</v>
      </c>
      <c r="AU4779" t="s">
        <v>68</v>
      </c>
      <c r="AV4779" t="s">
        <v>69</v>
      </c>
      <c r="AW4779" s="1">
        <v>26722</v>
      </c>
      <c r="AX4779">
        <v>1</v>
      </c>
    </row>
    <row r="4780" spans="1:50">
      <c r="A4780">
        <v>572191</v>
      </c>
      <c r="B4780" t="str">
        <f>"036783313"</f>
        <v>036783313</v>
      </c>
      <c r="C4780" t="s">
        <v>50</v>
      </c>
      <c r="D4780" t="s">
        <v>187</v>
      </c>
      <c r="E4780" t="s">
        <v>8663</v>
      </c>
      <c r="F4780" t="s">
        <v>92</v>
      </c>
      <c r="G4780" t="s">
        <v>52</v>
      </c>
      <c r="H4780" t="str">
        <f>"ΣΤΑΥΡΙΝΙΔΗ 9 ΗΡΑΚΛΕΙΟ"</f>
        <v>ΣΤΑΥΡΙΝΙΔΗ 9 ΗΡΑΚΛΕΙΟ</v>
      </c>
      <c r="J4780">
        <v>2810323647</v>
      </c>
      <c r="K4780">
        <v>6938417954</v>
      </c>
      <c r="M4780" t="s">
        <v>8664</v>
      </c>
      <c r="N4780" t="s">
        <v>306</v>
      </c>
      <c r="O4780" t="s">
        <v>307</v>
      </c>
      <c r="R4780" t="s">
        <v>57</v>
      </c>
      <c r="S4780">
        <v>13</v>
      </c>
      <c r="T4780">
        <v>154</v>
      </c>
      <c r="U4780" s="1">
        <v>34225</v>
      </c>
      <c r="V4780" t="s">
        <v>80</v>
      </c>
      <c r="W4780" t="s">
        <v>81</v>
      </c>
      <c r="X4780" t="s">
        <v>58</v>
      </c>
      <c r="Y4780">
        <v>21</v>
      </c>
      <c r="Z4780" t="s">
        <v>59</v>
      </c>
      <c r="AA4780" t="s">
        <v>59</v>
      </c>
      <c r="AB4780" t="s">
        <v>59</v>
      </c>
      <c r="AC4780" t="s">
        <v>59</v>
      </c>
      <c r="AD4780" t="s">
        <v>59</v>
      </c>
      <c r="AF4780" s="1">
        <v>34226</v>
      </c>
      <c r="AG4780" t="s">
        <v>8645</v>
      </c>
      <c r="AH4780" t="s">
        <v>8646</v>
      </c>
      <c r="AI4780" t="str">
        <f>"9170192"</f>
        <v>9170192</v>
      </c>
      <c r="AJ4780" t="s">
        <v>8661</v>
      </c>
      <c r="AK4780">
        <v>2810231985</v>
      </c>
      <c r="AL4780" t="s">
        <v>8662</v>
      </c>
      <c r="AM4780" t="s">
        <v>78</v>
      </c>
      <c r="AN4780" t="s">
        <v>78</v>
      </c>
      <c r="AO4780" t="s">
        <v>78</v>
      </c>
      <c r="AP4780" t="s">
        <v>163</v>
      </c>
      <c r="AQ4780">
        <v>1</v>
      </c>
      <c r="AR4780" t="s">
        <v>80</v>
      </c>
      <c r="AS4780" t="s">
        <v>81</v>
      </c>
      <c r="AT4780" t="s">
        <v>58</v>
      </c>
      <c r="AU4780" t="s">
        <v>68</v>
      </c>
      <c r="AV4780" t="s">
        <v>69</v>
      </c>
      <c r="AW4780" s="1">
        <v>24474</v>
      </c>
      <c r="AX4780">
        <v>1</v>
      </c>
    </row>
    <row r="4781" spans="1:50">
      <c r="A4781">
        <v>581070</v>
      </c>
      <c r="B4781" t="str">
        <f>"038514262"</f>
        <v>038514262</v>
      </c>
      <c r="C4781" t="s">
        <v>50</v>
      </c>
      <c r="D4781" t="s">
        <v>187</v>
      </c>
      <c r="E4781" t="s">
        <v>52</v>
      </c>
      <c r="F4781" t="s">
        <v>53</v>
      </c>
      <c r="G4781" t="s">
        <v>314</v>
      </c>
      <c r="H4781" t="str">
        <f>"ΚΟΜΝΗΝΩΝ 84 ΗΡΑΚΛΕΙΟ"</f>
        <v>ΚΟΜΝΗΝΩΝ 84 ΗΡΑΚΛΕΙΟ</v>
      </c>
      <c r="I4781">
        <v>71307</v>
      </c>
      <c r="J4781">
        <v>2810240251</v>
      </c>
      <c r="N4781" t="s">
        <v>615</v>
      </c>
      <c r="O4781" t="s">
        <v>616</v>
      </c>
      <c r="R4781" t="s">
        <v>57</v>
      </c>
      <c r="S4781">
        <v>13</v>
      </c>
      <c r="T4781">
        <v>179</v>
      </c>
      <c r="U4781" s="1">
        <v>35674</v>
      </c>
      <c r="V4781" t="s">
        <v>80</v>
      </c>
      <c r="W4781" t="s">
        <v>81</v>
      </c>
      <c r="X4781" t="s">
        <v>58</v>
      </c>
      <c r="Y4781">
        <v>21</v>
      </c>
      <c r="Z4781" t="s">
        <v>59</v>
      </c>
      <c r="AA4781" t="s">
        <v>59</v>
      </c>
      <c r="AB4781" t="s">
        <v>59</v>
      </c>
      <c r="AC4781" t="s">
        <v>59</v>
      </c>
      <c r="AD4781" t="s">
        <v>59</v>
      </c>
      <c r="AF4781" s="1">
        <v>35675</v>
      </c>
      <c r="AG4781" t="s">
        <v>8645</v>
      </c>
      <c r="AH4781" t="s">
        <v>8646</v>
      </c>
      <c r="AI4781" t="str">
        <f>"9170198"</f>
        <v>9170198</v>
      </c>
      <c r="AJ4781" t="s">
        <v>8665</v>
      </c>
      <c r="AK4781">
        <v>2810227379</v>
      </c>
      <c r="AL4781" t="s">
        <v>8666</v>
      </c>
      <c r="AM4781" t="s">
        <v>78</v>
      </c>
      <c r="AN4781" t="s">
        <v>78</v>
      </c>
      <c r="AO4781" t="s">
        <v>78</v>
      </c>
      <c r="AP4781" t="s">
        <v>79</v>
      </c>
      <c r="AQ4781">
        <v>1</v>
      </c>
      <c r="AR4781" t="s">
        <v>80</v>
      </c>
      <c r="AS4781" t="s">
        <v>81</v>
      </c>
      <c r="AT4781" t="s">
        <v>58</v>
      </c>
      <c r="AU4781" t="s">
        <v>68</v>
      </c>
      <c r="AV4781" t="s">
        <v>69</v>
      </c>
      <c r="AW4781" s="1">
        <v>24332</v>
      </c>
      <c r="AX4781">
        <v>1</v>
      </c>
    </row>
    <row r="4782" spans="1:50">
      <c r="A4782">
        <v>574627</v>
      </c>
      <c r="B4782" t="str">
        <f>"052493414"</f>
        <v>052493414</v>
      </c>
      <c r="C4782" t="s">
        <v>105</v>
      </c>
      <c r="D4782" t="s">
        <v>197</v>
      </c>
      <c r="E4782" t="s">
        <v>53</v>
      </c>
      <c r="F4782" t="s">
        <v>72</v>
      </c>
      <c r="G4782" t="s">
        <v>52</v>
      </c>
      <c r="H4782" t="str">
        <f>"test "</f>
        <v xml:space="preserve">test </v>
      </c>
      <c r="I4782">
        <v>11111</v>
      </c>
      <c r="J4782">
        <v>2810111111</v>
      </c>
      <c r="K4782">
        <v>6978787878</v>
      </c>
      <c r="N4782" t="s">
        <v>306</v>
      </c>
      <c r="O4782" t="s">
        <v>307</v>
      </c>
      <c r="R4782" t="s">
        <v>57</v>
      </c>
      <c r="S4782">
        <v>13</v>
      </c>
      <c r="T4782">
        <v>158</v>
      </c>
      <c r="U4782" s="1">
        <v>34582</v>
      </c>
      <c r="V4782" t="s">
        <v>80</v>
      </c>
      <c r="W4782" t="s">
        <v>81</v>
      </c>
      <c r="X4782" t="s">
        <v>58</v>
      </c>
      <c r="Y4782">
        <v>21</v>
      </c>
      <c r="Z4782" t="s">
        <v>59</v>
      </c>
      <c r="AA4782" t="s">
        <v>59</v>
      </c>
      <c r="AB4782" t="s">
        <v>59</v>
      </c>
      <c r="AC4782" t="s">
        <v>59</v>
      </c>
      <c r="AD4782" t="s">
        <v>59</v>
      </c>
      <c r="AF4782" s="1">
        <v>34582</v>
      </c>
      <c r="AG4782" t="s">
        <v>8645</v>
      </c>
      <c r="AH4782" t="s">
        <v>8646</v>
      </c>
      <c r="AI4782" t="str">
        <f>"9170191"</f>
        <v>9170191</v>
      </c>
      <c r="AJ4782" t="s">
        <v>8667</v>
      </c>
      <c r="AK4782">
        <v>2810231459</v>
      </c>
      <c r="AL4782" t="s">
        <v>8668</v>
      </c>
      <c r="AM4782" t="s">
        <v>78</v>
      </c>
      <c r="AN4782" t="s">
        <v>78</v>
      </c>
      <c r="AO4782" t="s">
        <v>78</v>
      </c>
      <c r="AP4782" t="s">
        <v>163</v>
      </c>
      <c r="AQ4782">
        <v>1</v>
      </c>
      <c r="AR4782" t="s">
        <v>80</v>
      </c>
      <c r="AS4782" t="s">
        <v>81</v>
      </c>
      <c r="AT4782" t="s">
        <v>58</v>
      </c>
      <c r="AU4782" t="s">
        <v>68</v>
      </c>
      <c r="AV4782" t="s">
        <v>69</v>
      </c>
      <c r="AW4782" s="1">
        <v>23001</v>
      </c>
      <c r="AX4782">
        <v>1</v>
      </c>
    </row>
    <row r="4783" spans="1:50">
      <c r="B4783" t="str">
        <f>"136521482"</f>
        <v>136521482</v>
      </c>
      <c r="C4783" t="s">
        <v>50</v>
      </c>
      <c r="D4783" t="s">
        <v>8669</v>
      </c>
      <c r="E4783" t="s">
        <v>513</v>
      </c>
      <c r="F4783" t="s">
        <v>99</v>
      </c>
      <c r="G4783" t="s">
        <v>237</v>
      </c>
      <c r="H4783" t="str">
        <f>"ΠΑΛΑΙΟΧΩΡΙΟΥ ΣΥΡΡΑΚΟΥ 6 "</f>
        <v xml:space="preserve">ΠΑΛΑΙΟΧΩΡΙΟΥ ΣΥΡΡΑΚΟΥ 6 </v>
      </c>
      <c r="I4783">
        <v>45332</v>
      </c>
      <c r="J4783">
        <v>2651041682</v>
      </c>
      <c r="K4783">
        <v>6978428713</v>
      </c>
      <c r="N4783" t="s">
        <v>1525</v>
      </c>
      <c r="O4783" t="s">
        <v>1526</v>
      </c>
      <c r="R4783" t="s">
        <v>159</v>
      </c>
      <c r="S4783">
        <v>3</v>
      </c>
      <c r="T4783" t="s">
        <v>8670</v>
      </c>
      <c r="U4783" s="1">
        <v>43348</v>
      </c>
      <c r="V4783" t="s">
        <v>80</v>
      </c>
      <c r="W4783" t="s">
        <v>81</v>
      </c>
      <c r="X4783" t="s">
        <v>58</v>
      </c>
      <c r="Y4783">
        <v>25</v>
      </c>
      <c r="Z4783" t="s">
        <v>59</v>
      </c>
      <c r="AA4783" t="s">
        <v>59</v>
      </c>
      <c r="AB4783" t="s">
        <v>59</v>
      </c>
      <c r="AC4783" t="s">
        <v>59</v>
      </c>
      <c r="AD4783" t="s">
        <v>59</v>
      </c>
      <c r="AF4783" s="1">
        <v>43348</v>
      </c>
      <c r="AG4783" t="s">
        <v>8651</v>
      </c>
      <c r="AH4783" t="s">
        <v>8652</v>
      </c>
      <c r="AI4783" t="str">
        <f>"9170476"</f>
        <v>9170476</v>
      </c>
      <c r="AJ4783" t="s">
        <v>8671</v>
      </c>
      <c r="AK4783">
        <v>2893041265</v>
      </c>
      <c r="AL4783" t="s">
        <v>8672</v>
      </c>
      <c r="AM4783" t="s">
        <v>78</v>
      </c>
      <c r="AN4783" t="s">
        <v>405</v>
      </c>
      <c r="AO4783" t="s">
        <v>405</v>
      </c>
      <c r="AP4783" t="s">
        <v>2895</v>
      </c>
      <c r="AQ4783">
        <v>17</v>
      </c>
      <c r="AR4783" t="s">
        <v>80</v>
      </c>
      <c r="AS4783" t="s">
        <v>81</v>
      </c>
      <c r="AT4783" t="s">
        <v>58</v>
      </c>
      <c r="AU4783" t="s">
        <v>8673</v>
      </c>
      <c r="AV4783" t="s">
        <v>132</v>
      </c>
      <c r="AW4783" s="1">
        <v>31004</v>
      </c>
      <c r="AX4783">
        <v>1</v>
      </c>
    </row>
    <row r="4784" spans="1:50">
      <c r="B4784" t="str">
        <f>"130690893"</f>
        <v>130690893</v>
      </c>
      <c r="C4784" t="s">
        <v>50</v>
      </c>
      <c r="D4784" t="s">
        <v>8669</v>
      </c>
      <c r="E4784" t="s">
        <v>8674</v>
      </c>
      <c r="F4784" t="s">
        <v>95</v>
      </c>
      <c r="G4784" t="s">
        <v>54</v>
      </c>
      <c r="H4784" t="str">
        <f>"ΧΩΡΑ ΝΑΞΟΥ "</f>
        <v xml:space="preserve">ΧΩΡΑ ΝΑΞΟΥ </v>
      </c>
      <c r="I4784">
        <v>84300</v>
      </c>
      <c r="J4784">
        <v>2285024576</v>
      </c>
      <c r="K4784">
        <v>6977917347</v>
      </c>
      <c r="N4784" t="s">
        <v>615</v>
      </c>
      <c r="O4784" t="s">
        <v>616</v>
      </c>
      <c r="R4784" t="s">
        <v>159</v>
      </c>
      <c r="S4784">
        <v>1</v>
      </c>
      <c r="T4784" t="s">
        <v>8675</v>
      </c>
      <c r="U4784" s="1">
        <v>43348</v>
      </c>
      <c r="V4784" t="s">
        <v>80</v>
      </c>
      <c r="W4784" t="s">
        <v>81</v>
      </c>
      <c r="X4784" t="s">
        <v>58</v>
      </c>
      <c r="Y4784">
        <v>25</v>
      </c>
      <c r="Z4784" t="s">
        <v>59</v>
      </c>
      <c r="AA4784" t="s">
        <v>59</v>
      </c>
      <c r="AB4784" t="s">
        <v>59</v>
      </c>
      <c r="AC4784" t="s">
        <v>59</v>
      </c>
      <c r="AD4784" t="s">
        <v>59</v>
      </c>
      <c r="AF4784" s="1">
        <v>43348</v>
      </c>
      <c r="AG4784" t="s">
        <v>8645</v>
      </c>
      <c r="AH4784" t="s">
        <v>8676</v>
      </c>
      <c r="AI4784" t="str">
        <f>"9170170"</f>
        <v>9170170</v>
      </c>
      <c r="AJ4784" t="s">
        <v>8677</v>
      </c>
      <c r="AK4784">
        <v>2891091303</v>
      </c>
      <c r="AL4784" t="s">
        <v>8678</v>
      </c>
      <c r="AM4784" t="s">
        <v>78</v>
      </c>
      <c r="AN4784" t="s">
        <v>276</v>
      </c>
      <c r="AO4784" t="s">
        <v>490</v>
      </c>
      <c r="AP4784" t="s">
        <v>8679</v>
      </c>
      <c r="AQ4784">
        <v>12</v>
      </c>
      <c r="AR4784" t="s">
        <v>80</v>
      </c>
      <c r="AS4784" t="s">
        <v>81</v>
      </c>
      <c r="AT4784" t="s">
        <v>58</v>
      </c>
      <c r="AU4784" t="s">
        <v>8673</v>
      </c>
      <c r="AV4784" t="s">
        <v>132</v>
      </c>
      <c r="AW4784" s="1">
        <v>32438</v>
      </c>
      <c r="AX4784">
        <v>1</v>
      </c>
    </row>
    <row r="4785" spans="1:50">
      <c r="A4785">
        <v>612508</v>
      </c>
      <c r="B4785" t="str">
        <f>"049187934"</f>
        <v>049187934</v>
      </c>
      <c r="C4785" t="s">
        <v>50</v>
      </c>
      <c r="D4785" t="s">
        <v>8669</v>
      </c>
      <c r="E4785" t="s">
        <v>484</v>
      </c>
      <c r="F4785" t="s">
        <v>581</v>
      </c>
      <c r="G4785" t="s">
        <v>476</v>
      </c>
      <c r="H4785" t="str">
        <f>"ΧΡΙΣΤΟΒΑΣΙΛΗ 15-17 ΙΩΑΝΝΙΝΑ"</f>
        <v>ΧΡΙΣΤΟΒΑΣΙΛΗ 15-17 ΙΩΑΝΝΙΝΑ</v>
      </c>
      <c r="I4785">
        <v>45333</v>
      </c>
      <c r="J4785">
        <v>2651021757</v>
      </c>
      <c r="K4785">
        <v>6944253766</v>
      </c>
      <c r="M4785" t="s">
        <v>8680</v>
      </c>
      <c r="N4785" t="s">
        <v>176</v>
      </c>
      <c r="O4785" t="s">
        <v>177</v>
      </c>
      <c r="R4785" t="s">
        <v>57</v>
      </c>
      <c r="S4785">
        <v>10</v>
      </c>
      <c r="T4785">
        <v>234</v>
      </c>
      <c r="U4785" s="1">
        <v>38960</v>
      </c>
      <c r="V4785" t="s">
        <v>80</v>
      </c>
      <c r="W4785" t="s">
        <v>81</v>
      </c>
      <c r="X4785" t="s">
        <v>58</v>
      </c>
      <c r="Y4785">
        <v>22</v>
      </c>
      <c r="Z4785" t="s">
        <v>59</v>
      </c>
      <c r="AA4785" t="s">
        <v>59</v>
      </c>
      <c r="AB4785" t="s">
        <v>59</v>
      </c>
      <c r="AC4785" t="s">
        <v>59</v>
      </c>
      <c r="AD4785" t="s">
        <v>59</v>
      </c>
      <c r="AF4785" s="1">
        <v>38961</v>
      </c>
      <c r="AG4785" t="s">
        <v>8645</v>
      </c>
      <c r="AH4785" t="s">
        <v>8646</v>
      </c>
      <c r="AI4785" t="str">
        <f>"9170362"</f>
        <v>9170362</v>
      </c>
      <c r="AJ4785" t="s">
        <v>8681</v>
      </c>
      <c r="AK4785">
        <v>2810255261</v>
      </c>
      <c r="AL4785" t="s">
        <v>8682</v>
      </c>
      <c r="AM4785" t="s">
        <v>78</v>
      </c>
      <c r="AN4785" t="s">
        <v>78</v>
      </c>
      <c r="AO4785" t="s">
        <v>78</v>
      </c>
      <c r="AP4785" t="s">
        <v>141</v>
      </c>
      <c r="AQ4785">
        <v>1</v>
      </c>
      <c r="AR4785" t="s">
        <v>80</v>
      </c>
      <c r="AS4785" t="s">
        <v>81</v>
      </c>
      <c r="AT4785" t="s">
        <v>58</v>
      </c>
      <c r="AU4785" t="s">
        <v>68</v>
      </c>
      <c r="AV4785" t="s">
        <v>69</v>
      </c>
      <c r="AW4785" s="1">
        <v>27397</v>
      </c>
      <c r="AX4785">
        <v>1</v>
      </c>
    </row>
    <row r="4786" spans="1:50">
      <c r="A4786">
        <v>589208</v>
      </c>
      <c r="B4786" t="str">
        <f>"056743797"</f>
        <v>056743797</v>
      </c>
      <c r="C4786" t="s">
        <v>105</v>
      </c>
      <c r="D4786" t="s">
        <v>3104</v>
      </c>
      <c r="E4786" t="s">
        <v>459</v>
      </c>
      <c r="F4786" t="s">
        <v>53</v>
      </c>
      <c r="G4786" t="s">
        <v>52</v>
      </c>
      <c r="H4786" t="str">
        <f>" "</f>
        <v xml:space="preserve"> </v>
      </c>
      <c r="N4786" t="s">
        <v>615</v>
      </c>
      <c r="O4786" t="s">
        <v>616</v>
      </c>
      <c r="R4786" t="s">
        <v>57</v>
      </c>
      <c r="S4786">
        <v>11</v>
      </c>
      <c r="T4786">
        <v>176</v>
      </c>
      <c r="U4786" s="1">
        <v>36403</v>
      </c>
      <c r="V4786" t="s">
        <v>80</v>
      </c>
      <c r="W4786" t="s">
        <v>81</v>
      </c>
      <c r="X4786" t="s">
        <v>58</v>
      </c>
      <c r="Y4786">
        <v>21</v>
      </c>
      <c r="Z4786" t="s">
        <v>59</v>
      </c>
      <c r="AA4786" t="s">
        <v>59</v>
      </c>
      <c r="AB4786" t="s">
        <v>59</v>
      </c>
      <c r="AC4786" t="s">
        <v>59</v>
      </c>
      <c r="AD4786" t="s">
        <v>59</v>
      </c>
      <c r="AF4786" s="1">
        <v>36404</v>
      </c>
      <c r="AG4786" t="s">
        <v>8645</v>
      </c>
      <c r="AH4786" t="s">
        <v>8646</v>
      </c>
      <c r="AI4786" t="str">
        <f>"9170192"</f>
        <v>9170192</v>
      </c>
      <c r="AJ4786" t="s">
        <v>8661</v>
      </c>
      <c r="AK4786">
        <v>2810231985</v>
      </c>
      <c r="AL4786" t="s">
        <v>8662</v>
      </c>
      <c r="AM4786" t="s">
        <v>78</v>
      </c>
      <c r="AN4786" t="s">
        <v>78</v>
      </c>
      <c r="AO4786" t="s">
        <v>78</v>
      </c>
      <c r="AP4786" t="s">
        <v>163</v>
      </c>
      <c r="AQ4786">
        <v>1</v>
      </c>
      <c r="AR4786" t="s">
        <v>80</v>
      </c>
      <c r="AS4786" t="s">
        <v>81</v>
      </c>
      <c r="AT4786" t="s">
        <v>58</v>
      </c>
      <c r="AU4786" t="s">
        <v>68</v>
      </c>
      <c r="AV4786" t="s">
        <v>69</v>
      </c>
      <c r="AW4786" s="1">
        <v>25198</v>
      </c>
      <c r="AX4786">
        <v>1</v>
      </c>
    </row>
    <row r="4787" spans="1:50">
      <c r="B4787" t="str">
        <f>"079410190"</f>
        <v>079410190</v>
      </c>
      <c r="C4787" t="s">
        <v>50</v>
      </c>
      <c r="D4787" t="s">
        <v>214</v>
      </c>
      <c r="E4787" t="s">
        <v>83</v>
      </c>
      <c r="F4787" t="s">
        <v>166</v>
      </c>
      <c r="G4787" t="s">
        <v>52</v>
      </c>
      <c r="H4787" t="str">
        <f>"Γ. ΠΑΠΑΝΔΡΕΟΥ 66 ΗΡΑΚΛΕΙΟ"</f>
        <v>Γ. ΠΑΠΑΝΔΡΕΟΥ 66 ΗΡΑΚΛΕΙΟ</v>
      </c>
      <c r="I4787">
        <v>71305</v>
      </c>
      <c r="J4787">
        <v>2810240014</v>
      </c>
      <c r="K4787">
        <v>6942989268</v>
      </c>
      <c r="N4787" t="s">
        <v>478</v>
      </c>
      <c r="O4787" t="s">
        <v>479</v>
      </c>
      <c r="R4787" t="s">
        <v>121</v>
      </c>
      <c r="S4787">
        <v>1</v>
      </c>
      <c r="T4787" t="s">
        <v>8675</v>
      </c>
      <c r="U4787" s="1">
        <v>43348</v>
      </c>
      <c r="V4787" t="s">
        <v>80</v>
      </c>
      <c r="W4787" t="s">
        <v>81</v>
      </c>
      <c r="X4787" t="s">
        <v>58</v>
      </c>
      <c r="Y4787">
        <v>14</v>
      </c>
      <c r="Z4787" t="s">
        <v>59</v>
      </c>
      <c r="AA4787" t="s">
        <v>59</v>
      </c>
      <c r="AB4787" t="s">
        <v>59</v>
      </c>
      <c r="AC4787" t="s">
        <v>59</v>
      </c>
      <c r="AD4787" t="s">
        <v>59</v>
      </c>
      <c r="AF4787" s="1">
        <v>43348</v>
      </c>
      <c r="AG4787" t="s">
        <v>8645</v>
      </c>
      <c r="AH4787" t="s">
        <v>8646</v>
      </c>
      <c r="AI4787" t="str">
        <f>"9170009"</f>
        <v>9170009</v>
      </c>
      <c r="AJ4787" t="s">
        <v>8683</v>
      </c>
      <c r="AK4787">
        <v>2810861612</v>
      </c>
      <c r="AL4787" t="s">
        <v>8684</v>
      </c>
      <c r="AM4787" t="s">
        <v>78</v>
      </c>
      <c r="AN4787" t="s">
        <v>78</v>
      </c>
      <c r="AO4787" t="s">
        <v>185</v>
      </c>
      <c r="AP4787" t="s">
        <v>8685</v>
      </c>
      <c r="AQ4787">
        <v>4</v>
      </c>
      <c r="AR4787" t="s">
        <v>80</v>
      </c>
      <c r="AS4787" t="s">
        <v>81</v>
      </c>
      <c r="AT4787" t="s">
        <v>58</v>
      </c>
      <c r="AU4787" t="s">
        <v>8686</v>
      </c>
      <c r="AV4787" t="s">
        <v>132</v>
      </c>
      <c r="AW4787" s="1">
        <v>30599</v>
      </c>
      <c r="AX4787">
        <v>1</v>
      </c>
    </row>
    <row r="4788" spans="1:50">
      <c r="A4788">
        <v>597672</v>
      </c>
      <c r="B4788" t="str">
        <f>"072791248"</f>
        <v>072791248</v>
      </c>
      <c r="C4788" t="s">
        <v>105</v>
      </c>
      <c r="D4788" t="s">
        <v>8687</v>
      </c>
      <c r="E4788" t="s">
        <v>2649</v>
      </c>
      <c r="F4788" t="s">
        <v>900</v>
      </c>
      <c r="G4788" t="s">
        <v>215</v>
      </c>
      <c r="H4788" t="str">
        <f>"ΑΛΕΞΑΝΔΡΕΙΑΣ 45 ΗΡΑΚΛΕΙΟ"</f>
        <v>ΑΛΕΞΑΝΔΡΕΙΑΣ 45 ΗΡΑΚΛΕΙΟ</v>
      </c>
      <c r="I4788">
        <v>71306</v>
      </c>
      <c r="J4788">
        <v>2810325864</v>
      </c>
      <c r="K4788">
        <v>6947322857</v>
      </c>
      <c r="N4788" t="s">
        <v>615</v>
      </c>
      <c r="O4788" t="s">
        <v>616</v>
      </c>
      <c r="R4788" t="s">
        <v>57</v>
      </c>
      <c r="S4788">
        <v>9</v>
      </c>
      <c r="T4788" t="s">
        <v>8688</v>
      </c>
      <c r="U4788" s="1">
        <v>37497</v>
      </c>
      <c r="V4788" t="s">
        <v>80</v>
      </c>
      <c r="W4788" t="s">
        <v>81</v>
      </c>
      <c r="X4788" t="s">
        <v>58</v>
      </c>
      <c r="Y4788">
        <v>22</v>
      </c>
      <c r="Z4788" t="s">
        <v>59</v>
      </c>
      <c r="AA4788" t="s">
        <v>59</v>
      </c>
      <c r="AB4788" t="s">
        <v>59</v>
      </c>
      <c r="AC4788" t="s">
        <v>59</v>
      </c>
      <c r="AD4788" t="s">
        <v>59</v>
      </c>
      <c r="AF4788" s="1">
        <v>37501</v>
      </c>
      <c r="AG4788" t="s">
        <v>8645</v>
      </c>
      <c r="AH4788" t="s">
        <v>8646</v>
      </c>
      <c r="AI4788" t="str">
        <f>"9170190"</f>
        <v>9170190</v>
      </c>
      <c r="AJ4788" t="s">
        <v>8689</v>
      </c>
      <c r="AK4788">
        <v>2810232169</v>
      </c>
      <c r="AL4788" t="s">
        <v>8690</v>
      </c>
      <c r="AM4788" t="s">
        <v>78</v>
      </c>
      <c r="AN4788" t="s">
        <v>78</v>
      </c>
      <c r="AO4788" t="s">
        <v>78</v>
      </c>
      <c r="AP4788" t="s">
        <v>163</v>
      </c>
      <c r="AQ4788">
        <v>1</v>
      </c>
      <c r="AR4788" t="s">
        <v>80</v>
      </c>
      <c r="AS4788" t="s">
        <v>81</v>
      </c>
      <c r="AT4788" t="s">
        <v>58</v>
      </c>
      <c r="AU4788" t="s">
        <v>68</v>
      </c>
      <c r="AV4788" t="s">
        <v>69</v>
      </c>
      <c r="AW4788" s="1">
        <v>24514</v>
      </c>
      <c r="AX4788">
        <v>1</v>
      </c>
    </row>
    <row r="4789" spans="1:50">
      <c r="B4789" t="str">
        <f>"134266157"</f>
        <v>134266157</v>
      </c>
      <c r="C4789" t="s">
        <v>50</v>
      </c>
      <c r="D4789" t="s">
        <v>8691</v>
      </c>
      <c r="E4789" t="s">
        <v>112</v>
      </c>
      <c r="F4789" t="s">
        <v>72</v>
      </c>
      <c r="G4789" t="s">
        <v>8692</v>
      </c>
      <c r="H4789" t="str">
        <f>"ΕΦΕΣΟΥ 18 Ν.ΗΡΑΚΛΕΙΟ"</f>
        <v>ΕΦΕΣΟΥ 18 Ν.ΗΡΑΚΛΕΙΟ</v>
      </c>
      <c r="I4789">
        <v>14122</v>
      </c>
      <c r="J4789">
        <v>2102845505</v>
      </c>
      <c r="K4789">
        <v>6982578819</v>
      </c>
      <c r="M4789" t="s">
        <v>8693</v>
      </c>
      <c r="N4789" t="s">
        <v>8694</v>
      </c>
      <c r="O4789" t="s">
        <v>8695</v>
      </c>
      <c r="R4789" t="s">
        <v>159</v>
      </c>
      <c r="S4789">
        <v>5</v>
      </c>
      <c r="T4789" t="s">
        <v>8696</v>
      </c>
      <c r="U4789" s="1">
        <v>43348</v>
      </c>
      <c r="V4789" t="s">
        <v>80</v>
      </c>
      <c r="W4789" t="s">
        <v>81</v>
      </c>
      <c r="X4789" t="s">
        <v>58</v>
      </c>
      <c r="Y4789">
        <v>24</v>
      </c>
      <c r="Z4789" t="s">
        <v>59</v>
      </c>
      <c r="AA4789" t="s">
        <v>59</v>
      </c>
      <c r="AB4789" t="s">
        <v>59</v>
      </c>
      <c r="AC4789" t="s">
        <v>59</v>
      </c>
      <c r="AD4789" t="s">
        <v>59</v>
      </c>
      <c r="AF4789" s="1">
        <v>43348</v>
      </c>
      <c r="AG4789" t="s">
        <v>8645</v>
      </c>
      <c r="AH4789" t="s">
        <v>8697</v>
      </c>
      <c r="AI4789" t="str">
        <f>"9170511"</f>
        <v>9170511</v>
      </c>
      <c r="AJ4789" t="s">
        <v>8698</v>
      </c>
      <c r="AK4789">
        <v>2810316275</v>
      </c>
      <c r="AL4789" t="s">
        <v>8699</v>
      </c>
      <c r="AM4789" t="s">
        <v>78</v>
      </c>
      <c r="AN4789" t="s">
        <v>78</v>
      </c>
      <c r="AO4789" t="s">
        <v>78</v>
      </c>
      <c r="AP4789" t="s">
        <v>141</v>
      </c>
      <c r="AQ4789">
        <v>1</v>
      </c>
      <c r="AR4789" t="s">
        <v>80</v>
      </c>
      <c r="AS4789" t="s">
        <v>81</v>
      </c>
      <c r="AT4789" t="s">
        <v>58</v>
      </c>
      <c r="AU4789" t="s">
        <v>350</v>
      </c>
      <c r="AV4789" t="s">
        <v>132</v>
      </c>
      <c r="AW4789" s="1">
        <v>32510</v>
      </c>
      <c r="AX4789">
        <v>1</v>
      </c>
    </row>
    <row r="4790" spans="1:50">
      <c r="A4790">
        <v>557321</v>
      </c>
      <c r="B4790" t="str">
        <f>"030171069"</f>
        <v>030171069</v>
      </c>
      <c r="C4790" t="s">
        <v>50</v>
      </c>
      <c r="D4790" t="s">
        <v>8700</v>
      </c>
      <c r="E4790" t="s">
        <v>52</v>
      </c>
      <c r="F4790" t="s">
        <v>95</v>
      </c>
      <c r="G4790" t="s">
        <v>83</v>
      </c>
      <c r="H4790" t="str">
        <f>"ΕΠΙΣΚΟΠΗ ΠΕΔΙΑΔΟΣ "</f>
        <v xml:space="preserve">ΕΠΙΣΚΟΠΗ ΠΕΔΙΑΔΟΣ </v>
      </c>
      <c r="I4790">
        <v>70008</v>
      </c>
      <c r="J4790">
        <v>2810233668</v>
      </c>
      <c r="K4790">
        <v>6955253216</v>
      </c>
      <c r="N4790" t="s">
        <v>615</v>
      </c>
      <c r="O4790" t="s">
        <v>616</v>
      </c>
      <c r="R4790" t="s">
        <v>57</v>
      </c>
      <c r="S4790">
        <v>16</v>
      </c>
      <c r="T4790">
        <v>168</v>
      </c>
      <c r="U4790" s="1">
        <v>32010</v>
      </c>
      <c r="V4790" t="s">
        <v>80</v>
      </c>
      <c r="W4790" t="s">
        <v>81</v>
      </c>
      <c r="X4790" t="s">
        <v>58</v>
      </c>
      <c r="Y4790">
        <v>21</v>
      </c>
      <c r="Z4790" t="s">
        <v>59</v>
      </c>
      <c r="AA4790" t="s">
        <v>59</v>
      </c>
      <c r="AB4790" t="s">
        <v>59</v>
      </c>
      <c r="AC4790" t="s">
        <v>59</v>
      </c>
      <c r="AD4790" t="s">
        <v>59</v>
      </c>
      <c r="AF4790" s="1">
        <v>32024</v>
      </c>
      <c r="AG4790" t="s">
        <v>8645</v>
      </c>
      <c r="AH4790" t="s">
        <v>8646</v>
      </c>
      <c r="AI4790" t="str">
        <f>"9170534"</f>
        <v>9170534</v>
      </c>
      <c r="AJ4790" t="s">
        <v>8701</v>
      </c>
      <c r="AK4790">
        <v>2810323225</v>
      </c>
      <c r="AL4790" t="s">
        <v>8702</v>
      </c>
      <c r="AM4790" t="s">
        <v>78</v>
      </c>
      <c r="AN4790" t="s">
        <v>78</v>
      </c>
      <c r="AO4790" t="s">
        <v>78</v>
      </c>
      <c r="AP4790" t="s">
        <v>163</v>
      </c>
      <c r="AQ4790">
        <v>1</v>
      </c>
      <c r="AR4790" t="s">
        <v>80</v>
      </c>
      <c r="AS4790" t="s">
        <v>81</v>
      </c>
      <c r="AT4790" t="s">
        <v>58</v>
      </c>
      <c r="AU4790" t="s">
        <v>68</v>
      </c>
      <c r="AV4790" t="s">
        <v>69</v>
      </c>
      <c r="AW4790" s="1">
        <v>23295</v>
      </c>
      <c r="AX4790">
        <v>1</v>
      </c>
    </row>
    <row r="4791" spans="1:50">
      <c r="B4791" t="str">
        <f>"149619947"</f>
        <v>149619947</v>
      </c>
      <c r="C4791" t="s">
        <v>50</v>
      </c>
      <c r="D4791" t="s">
        <v>8703</v>
      </c>
      <c r="E4791" t="s">
        <v>1562</v>
      </c>
      <c r="F4791" t="s">
        <v>95</v>
      </c>
      <c r="G4791" t="s">
        <v>188</v>
      </c>
      <c r="H4791" t="str">
        <f>" "</f>
        <v xml:space="preserve"> </v>
      </c>
      <c r="N4791" t="s">
        <v>615</v>
      </c>
      <c r="O4791" t="s">
        <v>616</v>
      </c>
      <c r="R4791" t="s">
        <v>121</v>
      </c>
      <c r="S4791">
        <v>1</v>
      </c>
      <c r="T4791" t="s">
        <v>8675</v>
      </c>
      <c r="U4791" s="1">
        <v>43348</v>
      </c>
      <c r="V4791" t="s">
        <v>80</v>
      </c>
      <c r="W4791" t="s">
        <v>81</v>
      </c>
      <c r="X4791" t="s">
        <v>58</v>
      </c>
      <c r="Y4791">
        <v>24</v>
      </c>
      <c r="Z4791" t="s">
        <v>59</v>
      </c>
      <c r="AA4791" t="s">
        <v>59</v>
      </c>
      <c r="AB4791" t="s">
        <v>59</v>
      </c>
      <c r="AD4791" t="s">
        <v>59</v>
      </c>
      <c r="AF4791" s="1">
        <v>43348</v>
      </c>
      <c r="AG4791" t="s">
        <v>8645</v>
      </c>
      <c r="AH4791" t="s">
        <v>8646</v>
      </c>
      <c r="AI4791" t="str">
        <f>"9170027"</f>
        <v>9170027</v>
      </c>
      <c r="AJ4791" t="s">
        <v>8704</v>
      </c>
      <c r="AK4791">
        <v>2810711207</v>
      </c>
      <c r="AL4791" t="s">
        <v>8705</v>
      </c>
      <c r="AM4791" t="s">
        <v>78</v>
      </c>
      <c r="AN4791" t="s">
        <v>129</v>
      </c>
      <c r="AO4791" t="s">
        <v>597</v>
      </c>
      <c r="AP4791" t="s">
        <v>598</v>
      </c>
      <c r="AQ4791">
        <v>4</v>
      </c>
      <c r="AR4791" t="s">
        <v>80</v>
      </c>
      <c r="AS4791" t="s">
        <v>81</v>
      </c>
      <c r="AT4791" t="s">
        <v>58</v>
      </c>
      <c r="AU4791" t="s">
        <v>8673</v>
      </c>
      <c r="AV4791" t="s">
        <v>132</v>
      </c>
      <c r="AW4791" s="1">
        <v>32723</v>
      </c>
      <c r="AX4791">
        <v>1</v>
      </c>
    </row>
    <row r="4792" spans="1:50">
      <c r="A4792">
        <v>591559</v>
      </c>
      <c r="B4792" t="str">
        <f>"103826760"</f>
        <v>103826760</v>
      </c>
      <c r="C4792" t="s">
        <v>50</v>
      </c>
      <c r="D4792" t="s">
        <v>8706</v>
      </c>
      <c r="E4792" t="s">
        <v>52</v>
      </c>
      <c r="F4792" t="s">
        <v>99</v>
      </c>
      <c r="G4792" t="s">
        <v>8707</v>
      </c>
      <c r="H4792" t="str">
        <f>"Χ. ΔΑΣΚΑΛΑΚΗ 5 ΗΡΑΚΛΕΙΟ"</f>
        <v>Χ. ΔΑΣΚΑΛΑΚΗ 5 ΗΡΑΚΛΕΙΟ</v>
      </c>
      <c r="I4792">
        <v>70300</v>
      </c>
      <c r="J4792">
        <v>2891022973</v>
      </c>
      <c r="K4792">
        <v>6977921082</v>
      </c>
      <c r="N4792" t="s">
        <v>615</v>
      </c>
      <c r="O4792" t="s">
        <v>616</v>
      </c>
      <c r="R4792" t="s">
        <v>57</v>
      </c>
      <c r="S4792">
        <v>9</v>
      </c>
      <c r="T4792">
        <v>249</v>
      </c>
      <c r="U4792" s="1">
        <v>36769</v>
      </c>
      <c r="V4792" t="s">
        <v>80</v>
      </c>
      <c r="W4792" t="s">
        <v>81</v>
      </c>
      <c r="X4792" t="s">
        <v>58</v>
      </c>
      <c r="Y4792">
        <v>22</v>
      </c>
      <c r="Z4792" t="s">
        <v>59</v>
      </c>
      <c r="AA4792" t="s">
        <v>59</v>
      </c>
      <c r="AB4792" t="s">
        <v>59</v>
      </c>
      <c r="AC4792" t="s">
        <v>59</v>
      </c>
      <c r="AD4792" t="s">
        <v>59</v>
      </c>
      <c r="AF4792" s="1">
        <v>36769</v>
      </c>
      <c r="AG4792" t="s">
        <v>8645</v>
      </c>
      <c r="AH4792" t="s">
        <v>8646</v>
      </c>
      <c r="AI4792" t="str">
        <f>"9170561"</f>
        <v>9170561</v>
      </c>
      <c r="AJ4792" t="s">
        <v>8708</v>
      </c>
      <c r="AK4792">
        <v>2891023609</v>
      </c>
      <c r="AL4792" t="s">
        <v>8709</v>
      </c>
      <c r="AM4792" t="s">
        <v>78</v>
      </c>
      <c r="AN4792" t="s">
        <v>276</v>
      </c>
      <c r="AO4792" t="s">
        <v>490</v>
      </c>
      <c r="AP4792" t="s">
        <v>490</v>
      </c>
      <c r="AQ4792">
        <v>12</v>
      </c>
      <c r="AR4792" t="s">
        <v>80</v>
      </c>
      <c r="AS4792" t="s">
        <v>81</v>
      </c>
      <c r="AT4792" t="s">
        <v>58</v>
      </c>
      <c r="AU4792" t="s">
        <v>68</v>
      </c>
      <c r="AV4792" t="s">
        <v>69</v>
      </c>
      <c r="AW4792" s="1">
        <v>23917</v>
      </c>
      <c r="AX4792">
        <v>1</v>
      </c>
    </row>
    <row r="4793" spans="1:50">
      <c r="A4793">
        <v>559455</v>
      </c>
      <c r="B4793" t="str">
        <f>"034208311"</f>
        <v>034208311</v>
      </c>
      <c r="C4793" t="s">
        <v>50</v>
      </c>
      <c r="D4793" t="s">
        <v>261</v>
      </c>
      <c r="E4793" t="s">
        <v>112</v>
      </c>
      <c r="F4793" t="s">
        <v>95</v>
      </c>
      <c r="G4793" t="s">
        <v>237</v>
      </c>
      <c r="H4793" t="str">
        <f>"ΛΥΚΑΣΤΟΥ 29 ΠΟΡΟΣ,ΗΡΑΚΛΕΙΟ"</f>
        <v>ΛΥΚΑΣΤΟΥ 29 ΠΟΡΟΣ,ΗΡΑΚΛΕΙΟ</v>
      </c>
      <c r="I4793">
        <v>71307</v>
      </c>
      <c r="K4793">
        <v>6949772677</v>
      </c>
      <c r="L4793">
        <v>6949781674</v>
      </c>
      <c r="N4793" t="s">
        <v>615</v>
      </c>
      <c r="O4793" t="s">
        <v>616</v>
      </c>
      <c r="R4793" t="s">
        <v>57</v>
      </c>
      <c r="S4793">
        <v>16</v>
      </c>
      <c r="T4793">
        <v>168</v>
      </c>
      <c r="U4793" s="1">
        <v>32010</v>
      </c>
      <c r="V4793" t="s">
        <v>80</v>
      </c>
      <c r="W4793" t="s">
        <v>81</v>
      </c>
      <c r="X4793" t="s">
        <v>58</v>
      </c>
      <c r="Y4793">
        <v>21</v>
      </c>
      <c r="Z4793" t="s">
        <v>59</v>
      </c>
      <c r="AA4793" t="s">
        <v>59</v>
      </c>
      <c r="AB4793" t="s">
        <v>59</v>
      </c>
      <c r="AC4793" t="s">
        <v>59</v>
      </c>
      <c r="AD4793" t="s">
        <v>59</v>
      </c>
      <c r="AF4793" s="1">
        <v>32023</v>
      </c>
      <c r="AG4793" t="s">
        <v>8645</v>
      </c>
      <c r="AH4793" t="s">
        <v>8646</v>
      </c>
      <c r="AI4793" t="str">
        <f>"9170257"</f>
        <v>9170257</v>
      </c>
      <c r="AJ4793" t="s">
        <v>8710</v>
      </c>
      <c r="AK4793">
        <v>2810245513</v>
      </c>
      <c r="AL4793" t="s">
        <v>8711</v>
      </c>
      <c r="AM4793" t="s">
        <v>78</v>
      </c>
      <c r="AN4793" t="s">
        <v>78</v>
      </c>
      <c r="AO4793" t="s">
        <v>78</v>
      </c>
      <c r="AP4793" t="s">
        <v>213</v>
      </c>
      <c r="AQ4793">
        <v>1</v>
      </c>
      <c r="AR4793" t="s">
        <v>80</v>
      </c>
      <c r="AS4793" t="s">
        <v>81</v>
      </c>
      <c r="AT4793" t="s">
        <v>58</v>
      </c>
      <c r="AU4793" t="s">
        <v>68</v>
      </c>
      <c r="AV4793" t="s">
        <v>69</v>
      </c>
      <c r="AW4793" s="1">
        <v>23452</v>
      </c>
      <c r="AX4793">
        <v>1</v>
      </c>
    </row>
    <row r="4794" spans="1:50">
      <c r="A4794">
        <v>597687</v>
      </c>
      <c r="B4794" t="str">
        <f>"055526690"</f>
        <v>055526690</v>
      </c>
      <c r="C4794" t="s">
        <v>50</v>
      </c>
      <c r="D4794" t="s">
        <v>261</v>
      </c>
      <c r="E4794" t="s">
        <v>8712</v>
      </c>
      <c r="F4794" t="s">
        <v>95</v>
      </c>
      <c r="G4794" t="s">
        <v>237</v>
      </c>
      <c r="H4794" t="str">
        <f>"ΛΥΚΑΣΤΟΥ 29 ΗΡΑΚΛΕΙΟ"</f>
        <v>ΛΥΚΑΣΤΟΥ 29 ΗΡΑΚΛΕΙΟ</v>
      </c>
      <c r="I4794">
        <v>71307</v>
      </c>
      <c r="J4794">
        <v>2810225068</v>
      </c>
      <c r="K4794">
        <v>6907646094</v>
      </c>
      <c r="L4794">
        <v>2810225068</v>
      </c>
      <c r="M4794" t="s">
        <v>8713</v>
      </c>
      <c r="N4794" t="s">
        <v>615</v>
      </c>
      <c r="O4794" t="s">
        <v>616</v>
      </c>
      <c r="R4794" t="s">
        <v>57</v>
      </c>
      <c r="S4794">
        <v>9</v>
      </c>
      <c r="T4794">
        <v>195</v>
      </c>
      <c r="U4794" s="1">
        <v>37497</v>
      </c>
      <c r="V4794" t="s">
        <v>80</v>
      </c>
      <c r="W4794" t="s">
        <v>81</v>
      </c>
      <c r="X4794" t="s">
        <v>58</v>
      </c>
      <c r="Y4794">
        <v>22</v>
      </c>
      <c r="Z4794" t="s">
        <v>59</v>
      </c>
      <c r="AA4794" t="s">
        <v>59</v>
      </c>
      <c r="AB4794" t="s">
        <v>59</v>
      </c>
      <c r="AC4794" t="s">
        <v>59</v>
      </c>
      <c r="AD4794" t="s">
        <v>59</v>
      </c>
      <c r="AF4794" s="1">
        <v>37501</v>
      </c>
      <c r="AG4794" t="s">
        <v>8645</v>
      </c>
      <c r="AH4794" t="s">
        <v>8646</v>
      </c>
      <c r="AI4794" t="str">
        <f>"9170257"</f>
        <v>9170257</v>
      </c>
      <c r="AJ4794" t="s">
        <v>8710</v>
      </c>
      <c r="AK4794">
        <v>2810245513</v>
      </c>
      <c r="AL4794" t="s">
        <v>8711</v>
      </c>
      <c r="AM4794" t="s">
        <v>78</v>
      </c>
      <c r="AN4794" t="s">
        <v>78</v>
      </c>
      <c r="AO4794" t="s">
        <v>78</v>
      </c>
      <c r="AP4794" t="s">
        <v>213</v>
      </c>
      <c r="AQ4794">
        <v>1</v>
      </c>
      <c r="AR4794" t="s">
        <v>80</v>
      </c>
      <c r="AS4794" t="s">
        <v>81</v>
      </c>
      <c r="AT4794" t="s">
        <v>58</v>
      </c>
      <c r="AU4794" t="s">
        <v>68</v>
      </c>
      <c r="AV4794" t="s">
        <v>69</v>
      </c>
      <c r="AW4794" s="1">
        <v>24819</v>
      </c>
      <c r="AX4794">
        <v>1</v>
      </c>
    </row>
    <row r="4795" spans="1:50">
      <c r="A4795">
        <v>590542</v>
      </c>
      <c r="B4795" t="str">
        <f>"053945261"</f>
        <v>053945261</v>
      </c>
      <c r="C4795" t="s">
        <v>50</v>
      </c>
      <c r="D4795" t="s">
        <v>261</v>
      </c>
      <c r="E4795" t="s">
        <v>52</v>
      </c>
      <c r="F4795" t="s">
        <v>166</v>
      </c>
      <c r="G4795" t="s">
        <v>143</v>
      </c>
      <c r="H4795" t="str">
        <f>"ΣΤΕΦΑΝΟΥ ΝΙΚΟΛΑΪΔΗ 31 ΘΕΡΙΣΣΟΣ ΗΡΑΚΛΕΙΟΥ"</f>
        <v>ΣΤΕΦΑΝΟΥ ΝΙΚΟΛΑΪΔΗ 31 ΘΕΡΙΣΣΟΣ ΗΡΑΚΛΕΙΟΥ</v>
      </c>
      <c r="I4795">
        <v>71305</v>
      </c>
      <c r="J4795">
        <v>2810314890</v>
      </c>
      <c r="K4795">
        <v>6974461749</v>
      </c>
      <c r="N4795" t="s">
        <v>1525</v>
      </c>
      <c r="O4795" t="s">
        <v>1526</v>
      </c>
      <c r="R4795" t="s">
        <v>57</v>
      </c>
      <c r="S4795">
        <v>9</v>
      </c>
      <c r="T4795">
        <v>176</v>
      </c>
      <c r="U4795" s="1">
        <v>36403</v>
      </c>
      <c r="V4795" t="s">
        <v>80</v>
      </c>
      <c r="W4795" t="s">
        <v>81</v>
      </c>
      <c r="X4795" t="s">
        <v>58</v>
      </c>
      <c r="Y4795">
        <v>25</v>
      </c>
      <c r="Z4795" t="s">
        <v>59</v>
      </c>
      <c r="AA4795" t="s">
        <v>59</v>
      </c>
      <c r="AB4795" t="s">
        <v>59</v>
      </c>
      <c r="AC4795" t="s">
        <v>59</v>
      </c>
      <c r="AD4795" t="s">
        <v>59</v>
      </c>
      <c r="AF4795" s="1">
        <v>36404</v>
      </c>
      <c r="AG4795" t="s">
        <v>8651</v>
      </c>
      <c r="AH4795" t="s">
        <v>8652</v>
      </c>
      <c r="AI4795" t="str">
        <f>"9170052"</f>
        <v>9170052</v>
      </c>
      <c r="AJ4795" t="s">
        <v>8714</v>
      </c>
      <c r="AK4795">
        <v>2810257486</v>
      </c>
      <c r="AL4795" t="s">
        <v>8715</v>
      </c>
      <c r="AM4795" t="s">
        <v>78</v>
      </c>
      <c r="AN4795" t="s">
        <v>78</v>
      </c>
      <c r="AO4795" t="s">
        <v>78</v>
      </c>
      <c r="AP4795" t="s">
        <v>79</v>
      </c>
      <c r="AQ4795">
        <v>1</v>
      </c>
      <c r="AR4795" t="s">
        <v>80</v>
      </c>
      <c r="AS4795" t="s">
        <v>81</v>
      </c>
      <c r="AT4795" t="s">
        <v>58</v>
      </c>
      <c r="AU4795" t="s">
        <v>68</v>
      </c>
      <c r="AV4795" t="s">
        <v>69</v>
      </c>
      <c r="AW4795" s="1">
        <v>25315</v>
      </c>
      <c r="AX4795">
        <v>1</v>
      </c>
    </row>
    <row r="4796" spans="1:50">
      <c r="B4796" t="str">
        <f>"141101040"</f>
        <v>141101040</v>
      </c>
      <c r="C4796" t="s">
        <v>50</v>
      </c>
      <c r="D4796" t="s">
        <v>8716</v>
      </c>
      <c r="E4796" t="s">
        <v>396</v>
      </c>
      <c r="F4796" t="s">
        <v>72</v>
      </c>
      <c r="G4796" t="s">
        <v>181</v>
      </c>
      <c r="H4796" t="str">
        <f>" "</f>
        <v xml:space="preserve"> </v>
      </c>
      <c r="K4796">
        <v>6947552000</v>
      </c>
      <c r="N4796" t="s">
        <v>615</v>
      </c>
      <c r="O4796" t="s">
        <v>616</v>
      </c>
      <c r="R4796" t="s">
        <v>121</v>
      </c>
      <c r="S4796">
        <v>1</v>
      </c>
      <c r="T4796" t="s">
        <v>8717</v>
      </c>
      <c r="U4796" s="1">
        <v>43348</v>
      </c>
      <c r="V4796" t="s">
        <v>80</v>
      </c>
      <c r="W4796" t="s">
        <v>81</v>
      </c>
      <c r="X4796" t="s">
        <v>58</v>
      </c>
      <c r="Y4796">
        <v>24</v>
      </c>
      <c r="Z4796" t="s">
        <v>59</v>
      </c>
      <c r="AA4796" t="s">
        <v>59</v>
      </c>
      <c r="AB4796" t="s">
        <v>59</v>
      </c>
      <c r="AD4796" t="s">
        <v>59</v>
      </c>
      <c r="AF4796" s="1">
        <v>43348</v>
      </c>
      <c r="AG4796" t="s">
        <v>8645</v>
      </c>
      <c r="AH4796" t="s">
        <v>8646</v>
      </c>
      <c r="AI4796" t="str">
        <f>"9170264"</f>
        <v>9170264</v>
      </c>
      <c r="AJ4796" t="s">
        <v>8718</v>
      </c>
      <c r="AK4796">
        <v>2810332030</v>
      </c>
      <c r="AL4796" t="s">
        <v>8719</v>
      </c>
      <c r="AM4796" t="s">
        <v>78</v>
      </c>
      <c r="AN4796" t="s">
        <v>78</v>
      </c>
      <c r="AO4796" t="s">
        <v>286</v>
      </c>
      <c r="AP4796" t="s">
        <v>286</v>
      </c>
      <c r="AQ4796">
        <v>1</v>
      </c>
      <c r="AR4796" t="s">
        <v>80</v>
      </c>
      <c r="AS4796" t="s">
        <v>81</v>
      </c>
      <c r="AT4796" t="s">
        <v>58</v>
      </c>
      <c r="AU4796" t="s">
        <v>8720</v>
      </c>
      <c r="AV4796" t="s">
        <v>132</v>
      </c>
      <c r="AW4796" s="1">
        <v>32742</v>
      </c>
      <c r="AX4796">
        <v>1</v>
      </c>
    </row>
    <row r="4797" spans="1:50">
      <c r="B4797" t="str">
        <f>"134863702"</f>
        <v>134863702</v>
      </c>
      <c r="C4797" t="s">
        <v>50</v>
      </c>
      <c r="D4797" t="s">
        <v>8721</v>
      </c>
      <c r="E4797" t="s">
        <v>8722</v>
      </c>
      <c r="F4797" t="s">
        <v>3192</v>
      </c>
      <c r="G4797" t="s">
        <v>52</v>
      </c>
      <c r="H4797" t="str">
        <f>"ΚΩΣΤΗ ΠΑΛΑΜΑ 30  ΣΙΝΔΟΣ"</f>
        <v>ΚΩΣΤΗ ΠΑΛΑΜΑ 30  ΣΙΝΔΟΣ</v>
      </c>
      <c r="I4797">
        <v>57400</v>
      </c>
      <c r="J4797">
        <v>2310797129</v>
      </c>
      <c r="K4797">
        <v>6986801919</v>
      </c>
      <c r="L4797">
        <v>6988207643</v>
      </c>
      <c r="M4797" t="s">
        <v>8723</v>
      </c>
      <c r="N4797" t="s">
        <v>615</v>
      </c>
      <c r="O4797" t="s">
        <v>616</v>
      </c>
      <c r="R4797" t="s">
        <v>159</v>
      </c>
      <c r="S4797">
        <v>2</v>
      </c>
      <c r="T4797" t="s">
        <v>8675</v>
      </c>
      <c r="U4797" s="1">
        <v>43348</v>
      </c>
      <c r="V4797" t="s">
        <v>80</v>
      </c>
      <c r="W4797" t="s">
        <v>81</v>
      </c>
      <c r="X4797" t="s">
        <v>58</v>
      </c>
      <c r="Y4797">
        <v>25</v>
      </c>
      <c r="Z4797" t="s">
        <v>59</v>
      </c>
      <c r="AA4797" t="s">
        <v>59</v>
      </c>
      <c r="AB4797" t="s">
        <v>59</v>
      </c>
      <c r="AC4797" t="s">
        <v>59</v>
      </c>
      <c r="AD4797" t="s">
        <v>59</v>
      </c>
      <c r="AF4797" s="1">
        <v>43348</v>
      </c>
      <c r="AG4797" t="s">
        <v>8645</v>
      </c>
      <c r="AH4797" t="s">
        <v>8676</v>
      </c>
      <c r="AI4797" t="str">
        <f>"9170085"</f>
        <v>9170085</v>
      </c>
      <c r="AJ4797" t="s">
        <v>8724</v>
      </c>
      <c r="AK4797">
        <v>2893031176</v>
      </c>
      <c r="AL4797" t="s">
        <v>8725</v>
      </c>
      <c r="AM4797" t="s">
        <v>78</v>
      </c>
      <c r="AN4797" t="s">
        <v>405</v>
      </c>
      <c r="AO4797" t="s">
        <v>805</v>
      </c>
      <c r="AP4797" t="s">
        <v>8726</v>
      </c>
      <c r="AQ4797">
        <v>15</v>
      </c>
      <c r="AR4797" t="s">
        <v>80</v>
      </c>
      <c r="AS4797" t="s">
        <v>81</v>
      </c>
      <c r="AT4797" t="s">
        <v>58</v>
      </c>
      <c r="AU4797" t="s">
        <v>8673</v>
      </c>
      <c r="AV4797" t="s">
        <v>132</v>
      </c>
      <c r="AW4797" s="1">
        <v>30820</v>
      </c>
      <c r="AX4797">
        <v>1</v>
      </c>
    </row>
    <row r="4798" spans="1:50">
      <c r="A4798">
        <v>564323</v>
      </c>
      <c r="B4798" t="str">
        <f>"033851056"</f>
        <v>033851056</v>
      </c>
      <c r="C4798" t="s">
        <v>50</v>
      </c>
      <c r="D4798" t="s">
        <v>287</v>
      </c>
      <c r="E4798" t="s">
        <v>440</v>
      </c>
      <c r="F4798" t="s">
        <v>304</v>
      </c>
      <c r="G4798" t="s">
        <v>566</v>
      </c>
      <c r="H4798" t="str">
        <f>" "</f>
        <v xml:space="preserve"> </v>
      </c>
      <c r="N4798" t="s">
        <v>615</v>
      </c>
      <c r="O4798" t="s">
        <v>616</v>
      </c>
      <c r="R4798" t="s">
        <v>57</v>
      </c>
      <c r="S4798">
        <v>15</v>
      </c>
      <c r="T4798">
        <v>161</v>
      </c>
      <c r="U4798" s="1">
        <v>33119</v>
      </c>
      <c r="V4798" t="s">
        <v>80</v>
      </c>
      <c r="W4798" t="s">
        <v>81</v>
      </c>
      <c r="X4798" t="s">
        <v>58</v>
      </c>
      <c r="Y4798">
        <v>21</v>
      </c>
      <c r="Z4798" t="s">
        <v>59</v>
      </c>
      <c r="AA4798" t="s">
        <v>59</v>
      </c>
      <c r="AB4798" t="s">
        <v>59</v>
      </c>
      <c r="AC4798" t="s">
        <v>59</v>
      </c>
      <c r="AD4798" t="s">
        <v>59</v>
      </c>
      <c r="AF4798" s="1">
        <v>33120</v>
      </c>
      <c r="AG4798" t="s">
        <v>8645</v>
      </c>
      <c r="AH4798" t="s">
        <v>8646</v>
      </c>
      <c r="AI4798" t="str">
        <f>"9170191"</f>
        <v>9170191</v>
      </c>
      <c r="AJ4798" t="s">
        <v>8667</v>
      </c>
      <c r="AK4798">
        <v>2810231459</v>
      </c>
      <c r="AL4798" t="s">
        <v>8668</v>
      </c>
      <c r="AM4798" t="s">
        <v>78</v>
      </c>
      <c r="AN4798" t="s">
        <v>78</v>
      </c>
      <c r="AO4798" t="s">
        <v>78</v>
      </c>
      <c r="AP4798" t="s">
        <v>163</v>
      </c>
      <c r="AQ4798">
        <v>1</v>
      </c>
      <c r="AR4798" t="s">
        <v>80</v>
      </c>
      <c r="AS4798" t="s">
        <v>81</v>
      </c>
      <c r="AT4798" t="s">
        <v>58</v>
      </c>
      <c r="AU4798" t="s">
        <v>68</v>
      </c>
      <c r="AV4798" t="s">
        <v>69</v>
      </c>
      <c r="AW4798" s="1">
        <v>24199</v>
      </c>
      <c r="AX4798">
        <v>1</v>
      </c>
    </row>
    <row r="4799" spans="1:50">
      <c r="B4799" t="str">
        <f>"146462123"</f>
        <v>146462123</v>
      </c>
      <c r="C4799" t="s">
        <v>50</v>
      </c>
      <c r="D4799" t="s">
        <v>313</v>
      </c>
      <c r="E4799" t="s">
        <v>181</v>
      </c>
      <c r="F4799" t="s">
        <v>95</v>
      </c>
      <c r="H4799" t="str">
        <f>" "</f>
        <v xml:space="preserve"> </v>
      </c>
      <c r="N4799" t="s">
        <v>8694</v>
      </c>
      <c r="O4799" t="s">
        <v>8695</v>
      </c>
      <c r="R4799" t="s">
        <v>159</v>
      </c>
      <c r="S4799">
        <v>2</v>
      </c>
      <c r="T4799" t="s">
        <v>8696</v>
      </c>
      <c r="U4799" s="1">
        <v>43348</v>
      </c>
      <c r="V4799" t="s">
        <v>80</v>
      </c>
      <c r="W4799" t="s">
        <v>81</v>
      </c>
      <c r="X4799" t="s">
        <v>58</v>
      </c>
      <c r="Y4799">
        <v>24</v>
      </c>
      <c r="Z4799" t="s">
        <v>59</v>
      </c>
      <c r="AA4799" t="s">
        <v>59</v>
      </c>
      <c r="AB4799" t="s">
        <v>59</v>
      </c>
      <c r="AC4799" t="s">
        <v>59</v>
      </c>
      <c r="AD4799" t="s">
        <v>59</v>
      </c>
      <c r="AF4799" s="1">
        <v>43348</v>
      </c>
      <c r="AG4799" t="s">
        <v>8645</v>
      </c>
      <c r="AH4799" t="s">
        <v>8646</v>
      </c>
      <c r="AI4799" t="str">
        <f>"9170561"</f>
        <v>9170561</v>
      </c>
      <c r="AJ4799" t="s">
        <v>8708</v>
      </c>
      <c r="AK4799">
        <v>2891023609</v>
      </c>
      <c r="AL4799" t="s">
        <v>8709</v>
      </c>
      <c r="AM4799" t="s">
        <v>78</v>
      </c>
      <c r="AN4799" t="s">
        <v>276</v>
      </c>
      <c r="AO4799" t="s">
        <v>490</v>
      </c>
      <c r="AP4799" t="s">
        <v>490</v>
      </c>
      <c r="AQ4799">
        <v>12</v>
      </c>
      <c r="AR4799" t="s">
        <v>80</v>
      </c>
      <c r="AS4799" t="s">
        <v>81</v>
      </c>
      <c r="AT4799" t="s">
        <v>58</v>
      </c>
      <c r="AU4799" t="s">
        <v>350</v>
      </c>
      <c r="AV4799" t="s">
        <v>132</v>
      </c>
      <c r="AW4799" s="1">
        <v>32475</v>
      </c>
      <c r="AX4799">
        <v>1</v>
      </c>
    </row>
    <row r="4800" spans="1:50">
      <c r="B4800" t="str">
        <f>"139803128"</f>
        <v>139803128</v>
      </c>
      <c r="C4800" t="s">
        <v>105</v>
      </c>
      <c r="D4800" t="s">
        <v>8727</v>
      </c>
      <c r="E4800" t="s">
        <v>408</v>
      </c>
      <c r="F4800" t="s">
        <v>450</v>
      </c>
      <c r="G4800" t="s">
        <v>238</v>
      </c>
      <c r="H4800" t="str">
        <f>"ΕΥΡΙΠΙΔΟΥ 13 ΗΛΙΟΥΠΟΛΗ"</f>
        <v>ΕΥΡΙΠΙΔΟΥ 13 ΗΛΙΟΥΠΟΛΗ</v>
      </c>
      <c r="I4800">
        <v>16343</v>
      </c>
      <c r="J4800">
        <v>2109930119</v>
      </c>
      <c r="K4800">
        <v>6973514100</v>
      </c>
      <c r="L4800">
        <v>6948100756</v>
      </c>
      <c r="M4800" t="s">
        <v>8728</v>
      </c>
      <c r="N4800" t="s">
        <v>615</v>
      </c>
      <c r="O4800" t="s">
        <v>616</v>
      </c>
      <c r="R4800" t="s">
        <v>159</v>
      </c>
      <c r="S4800">
        <v>5</v>
      </c>
      <c r="T4800" t="s">
        <v>8675</v>
      </c>
      <c r="U4800" s="1">
        <v>43348</v>
      </c>
      <c r="V4800" t="s">
        <v>80</v>
      </c>
      <c r="W4800" t="s">
        <v>81</v>
      </c>
      <c r="X4800" t="s">
        <v>58</v>
      </c>
      <c r="Y4800">
        <v>24</v>
      </c>
      <c r="Z4800" t="s">
        <v>59</v>
      </c>
      <c r="AA4800" t="s">
        <v>59</v>
      </c>
      <c r="AB4800" t="s">
        <v>59</v>
      </c>
      <c r="AC4800" t="s">
        <v>59</v>
      </c>
      <c r="AD4800" t="s">
        <v>59</v>
      </c>
      <c r="AF4800" s="1">
        <v>43348</v>
      </c>
      <c r="AG4800" t="s">
        <v>8645</v>
      </c>
      <c r="AH4800" t="s">
        <v>8646</v>
      </c>
      <c r="AI4800" t="str">
        <f>"9170144"</f>
        <v>9170144</v>
      </c>
      <c r="AJ4800" t="s">
        <v>8729</v>
      </c>
      <c r="AK4800">
        <v>2891022244</v>
      </c>
      <c r="AL4800" t="s">
        <v>8730</v>
      </c>
      <c r="AM4800" t="s">
        <v>78</v>
      </c>
      <c r="AN4800" t="s">
        <v>276</v>
      </c>
      <c r="AO4800" t="s">
        <v>490</v>
      </c>
      <c r="AP4800" t="s">
        <v>490</v>
      </c>
      <c r="AQ4800">
        <v>12</v>
      </c>
      <c r="AR4800" t="s">
        <v>80</v>
      </c>
      <c r="AS4800" t="s">
        <v>81</v>
      </c>
      <c r="AT4800" t="s">
        <v>58</v>
      </c>
      <c r="AU4800" t="s">
        <v>8673</v>
      </c>
      <c r="AV4800" t="s">
        <v>132</v>
      </c>
      <c r="AW4800" s="1">
        <v>31593</v>
      </c>
      <c r="AX4800">
        <v>1</v>
      </c>
    </row>
    <row r="4801" spans="1:50">
      <c r="A4801">
        <v>619579</v>
      </c>
      <c r="B4801" t="str">
        <f>"120320420"</f>
        <v>120320420</v>
      </c>
      <c r="C4801" t="s">
        <v>50</v>
      </c>
      <c r="D4801" t="s">
        <v>333</v>
      </c>
      <c r="E4801" t="s">
        <v>73</v>
      </c>
      <c r="F4801" t="s">
        <v>53</v>
      </c>
      <c r="G4801" t="s">
        <v>710</v>
      </c>
      <c r="H4801" t="str">
        <f>" "</f>
        <v xml:space="preserve"> </v>
      </c>
      <c r="J4801">
        <v>2811118199</v>
      </c>
      <c r="K4801">
        <v>6973565379</v>
      </c>
      <c r="N4801" t="s">
        <v>1525</v>
      </c>
      <c r="O4801" t="s">
        <v>1526</v>
      </c>
      <c r="R4801" t="s">
        <v>57</v>
      </c>
      <c r="S4801">
        <v>5</v>
      </c>
      <c r="T4801">
        <v>774</v>
      </c>
      <c r="U4801" s="1">
        <v>39680</v>
      </c>
      <c r="V4801" t="s">
        <v>80</v>
      </c>
      <c r="W4801" t="s">
        <v>81</v>
      </c>
      <c r="X4801" t="s">
        <v>58</v>
      </c>
      <c r="Y4801">
        <v>25</v>
      </c>
      <c r="Z4801" t="s">
        <v>59</v>
      </c>
      <c r="AA4801" t="s">
        <v>59</v>
      </c>
      <c r="AB4801" t="s">
        <v>59</v>
      </c>
      <c r="AC4801" t="s">
        <v>59</v>
      </c>
      <c r="AD4801" t="s">
        <v>59</v>
      </c>
      <c r="AF4801" s="1">
        <v>40057</v>
      </c>
      <c r="AG4801" t="s">
        <v>8651</v>
      </c>
      <c r="AH4801" t="s">
        <v>8652</v>
      </c>
      <c r="AI4801" t="str">
        <f>"9170450"</f>
        <v>9170450</v>
      </c>
      <c r="AJ4801" t="s">
        <v>8731</v>
      </c>
      <c r="AK4801">
        <v>2810253661</v>
      </c>
      <c r="AL4801" t="s">
        <v>8732</v>
      </c>
      <c r="AM4801" t="s">
        <v>78</v>
      </c>
      <c r="AN4801" t="s">
        <v>78</v>
      </c>
      <c r="AO4801" t="s">
        <v>78</v>
      </c>
      <c r="AP4801" t="s">
        <v>79</v>
      </c>
      <c r="AQ4801">
        <v>1</v>
      </c>
      <c r="AR4801" t="s">
        <v>80</v>
      </c>
      <c r="AS4801" t="s">
        <v>81</v>
      </c>
      <c r="AT4801" t="s">
        <v>58</v>
      </c>
      <c r="AU4801" t="s">
        <v>68</v>
      </c>
      <c r="AV4801" t="s">
        <v>69</v>
      </c>
      <c r="AW4801" s="1">
        <v>29474</v>
      </c>
      <c r="AX4801">
        <v>1</v>
      </c>
    </row>
    <row r="4802" spans="1:50">
      <c r="B4802" t="str">
        <f>"141071356"</f>
        <v>141071356</v>
      </c>
      <c r="C4802" t="s">
        <v>50</v>
      </c>
      <c r="D4802" t="s">
        <v>333</v>
      </c>
      <c r="E4802" t="s">
        <v>367</v>
      </c>
      <c r="F4802" t="s">
        <v>315</v>
      </c>
      <c r="G4802" t="s">
        <v>3467</v>
      </c>
      <c r="H4802" t="str">
        <f>"ΖΗΡΙΑΣ 16 ΗΛΙΟΥΠΟΛΗ"</f>
        <v>ΖΗΡΙΑΣ 16 ΗΛΙΟΥΠΟΛΗ</v>
      </c>
      <c r="I4802">
        <v>16345</v>
      </c>
      <c r="J4802">
        <v>2109761584</v>
      </c>
      <c r="K4802">
        <v>6973710359</v>
      </c>
      <c r="N4802" t="s">
        <v>615</v>
      </c>
      <c r="O4802" t="s">
        <v>616</v>
      </c>
      <c r="R4802" t="s">
        <v>159</v>
      </c>
      <c r="S4802">
        <v>5</v>
      </c>
      <c r="T4802" t="s">
        <v>8675</v>
      </c>
      <c r="U4802" s="1">
        <v>43348</v>
      </c>
      <c r="V4802" t="s">
        <v>80</v>
      </c>
      <c r="W4802" t="s">
        <v>81</v>
      </c>
      <c r="X4802" t="s">
        <v>58</v>
      </c>
      <c r="Y4802">
        <v>24</v>
      </c>
      <c r="Z4802" t="s">
        <v>59</v>
      </c>
      <c r="AA4802" t="s">
        <v>59</v>
      </c>
      <c r="AB4802" t="s">
        <v>59</v>
      </c>
      <c r="AC4802" t="s">
        <v>59</v>
      </c>
      <c r="AD4802" t="s">
        <v>59</v>
      </c>
      <c r="AF4802" s="1">
        <v>43348</v>
      </c>
      <c r="AG4802" t="s">
        <v>8645</v>
      </c>
      <c r="AH4802" t="s">
        <v>8646</v>
      </c>
      <c r="AI4802" t="str">
        <f>"9170561"</f>
        <v>9170561</v>
      </c>
      <c r="AJ4802" t="s">
        <v>8708</v>
      </c>
      <c r="AK4802">
        <v>2891023609</v>
      </c>
      <c r="AL4802" t="s">
        <v>8709</v>
      </c>
      <c r="AM4802" t="s">
        <v>78</v>
      </c>
      <c r="AN4802" t="s">
        <v>276</v>
      </c>
      <c r="AO4802" t="s">
        <v>490</v>
      </c>
      <c r="AP4802" t="s">
        <v>490</v>
      </c>
      <c r="AQ4802">
        <v>12</v>
      </c>
      <c r="AR4802" t="s">
        <v>80</v>
      </c>
      <c r="AS4802" t="s">
        <v>81</v>
      </c>
      <c r="AT4802" t="s">
        <v>58</v>
      </c>
      <c r="AU4802" t="s">
        <v>8673</v>
      </c>
      <c r="AV4802" t="s">
        <v>132</v>
      </c>
      <c r="AW4802" s="1">
        <v>31904</v>
      </c>
      <c r="AX4802">
        <v>1</v>
      </c>
    </row>
    <row r="4803" spans="1:50">
      <c r="A4803">
        <v>216809</v>
      </c>
      <c r="B4803" t="str">
        <f>"103811376"</f>
        <v>103811376</v>
      </c>
      <c r="C4803" t="s">
        <v>50</v>
      </c>
      <c r="D4803" t="s">
        <v>8733</v>
      </c>
      <c r="E4803" t="s">
        <v>1001</v>
      </c>
      <c r="F4803" t="s">
        <v>95</v>
      </c>
      <c r="G4803" t="s">
        <v>52</v>
      </c>
      <c r="H4803" t="str">
        <f>"Ν. Σουκατζίδη 17 ΗΡΑΚΛΕΙΟ"</f>
        <v>Ν. Σουκατζίδη 17 ΗΡΑΚΛΕΙΟ</v>
      </c>
      <c r="J4803">
        <v>2810314302</v>
      </c>
      <c r="K4803">
        <v>6946876884</v>
      </c>
      <c r="M4803" t="s">
        <v>8734</v>
      </c>
      <c r="N4803" t="s">
        <v>288</v>
      </c>
      <c r="O4803" t="s">
        <v>289</v>
      </c>
      <c r="R4803" t="s">
        <v>57</v>
      </c>
      <c r="S4803">
        <v>8</v>
      </c>
      <c r="T4803">
        <v>298</v>
      </c>
      <c r="U4803" s="1">
        <v>38985</v>
      </c>
      <c r="V4803" t="s">
        <v>80</v>
      </c>
      <c r="W4803" t="s">
        <v>81</v>
      </c>
      <c r="X4803" t="s">
        <v>58</v>
      </c>
      <c r="Y4803">
        <v>23</v>
      </c>
      <c r="Z4803" t="s">
        <v>59</v>
      </c>
      <c r="AA4803" t="s">
        <v>59</v>
      </c>
      <c r="AB4803" t="s">
        <v>59</v>
      </c>
      <c r="AC4803" t="s">
        <v>59</v>
      </c>
      <c r="AD4803" t="s">
        <v>59</v>
      </c>
      <c r="AF4803" s="1">
        <v>38987</v>
      </c>
      <c r="AG4803" t="s">
        <v>8645</v>
      </c>
      <c r="AH4803" t="s">
        <v>8646</v>
      </c>
      <c r="AI4803" t="str">
        <f>"9170058"</f>
        <v>9170058</v>
      </c>
      <c r="AJ4803" t="s">
        <v>8735</v>
      </c>
      <c r="AK4803">
        <v>2810252903</v>
      </c>
      <c r="AL4803" t="s">
        <v>8736</v>
      </c>
      <c r="AM4803" t="s">
        <v>78</v>
      </c>
      <c r="AN4803" t="s">
        <v>78</v>
      </c>
      <c r="AO4803" t="s">
        <v>78</v>
      </c>
      <c r="AP4803" t="s">
        <v>163</v>
      </c>
      <c r="AQ4803">
        <v>1</v>
      </c>
      <c r="AR4803" t="s">
        <v>80</v>
      </c>
      <c r="AS4803" t="s">
        <v>81</v>
      </c>
      <c r="AT4803" t="s">
        <v>58</v>
      </c>
      <c r="AU4803" t="s">
        <v>68</v>
      </c>
      <c r="AV4803" t="s">
        <v>69</v>
      </c>
      <c r="AW4803" s="1">
        <v>28603</v>
      </c>
      <c r="AX4803">
        <v>1</v>
      </c>
    </row>
    <row r="4804" spans="1:50">
      <c r="A4804">
        <v>190333</v>
      </c>
      <c r="B4804" t="str">
        <f>"052990584"</f>
        <v>052990584</v>
      </c>
      <c r="C4804" t="s">
        <v>50</v>
      </c>
      <c r="D4804" t="s">
        <v>8737</v>
      </c>
      <c r="E4804" t="s">
        <v>52</v>
      </c>
      <c r="F4804" t="s">
        <v>95</v>
      </c>
      <c r="G4804" t="s">
        <v>755</v>
      </c>
      <c r="H4804" t="str">
        <f>"ΚΕΡΑΜΟΥ 37 ΗΡΑΚΛΕΙΟ"</f>
        <v>ΚΕΡΑΜΟΥ 37 ΗΡΑΚΛΕΙΟ</v>
      </c>
      <c r="I4804">
        <v>71601</v>
      </c>
      <c r="J4804">
        <v>2810222763</v>
      </c>
      <c r="K4804">
        <v>6974499165</v>
      </c>
      <c r="L4804">
        <v>2841340486</v>
      </c>
      <c r="N4804" t="s">
        <v>306</v>
      </c>
      <c r="O4804" t="s">
        <v>307</v>
      </c>
      <c r="R4804" t="s">
        <v>57</v>
      </c>
      <c r="S4804">
        <v>10</v>
      </c>
      <c r="T4804">
        <v>219</v>
      </c>
      <c r="U4804" s="1">
        <v>37134</v>
      </c>
      <c r="V4804" t="s">
        <v>80</v>
      </c>
      <c r="W4804" t="s">
        <v>81</v>
      </c>
      <c r="X4804" t="s">
        <v>58</v>
      </c>
      <c r="Y4804">
        <v>22</v>
      </c>
      <c r="Z4804" t="s">
        <v>59</v>
      </c>
      <c r="AA4804" t="s">
        <v>59</v>
      </c>
      <c r="AB4804" t="s">
        <v>59</v>
      </c>
      <c r="AC4804" t="s">
        <v>59</v>
      </c>
      <c r="AD4804" t="s">
        <v>59</v>
      </c>
      <c r="AF4804" s="1">
        <v>37138</v>
      </c>
      <c r="AG4804" t="s">
        <v>8645</v>
      </c>
      <c r="AH4804" t="s">
        <v>8646</v>
      </c>
      <c r="AI4804" t="str">
        <f>"9170520"</f>
        <v>9170520</v>
      </c>
      <c r="AJ4804" t="s">
        <v>8738</v>
      </c>
      <c r="AK4804">
        <v>2810281317</v>
      </c>
      <c r="AL4804" t="s">
        <v>8739</v>
      </c>
      <c r="AM4804" t="s">
        <v>78</v>
      </c>
      <c r="AN4804" t="s">
        <v>78</v>
      </c>
      <c r="AO4804" t="s">
        <v>286</v>
      </c>
      <c r="AP4804" t="s">
        <v>286</v>
      </c>
      <c r="AQ4804">
        <v>1</v>
      </c>
      <c r="AR4804" t="s">
        <v>80</v>
      </c>
      <c r="AS4804" t="s">
        <v>81</v>
      </c>
      <c r="AT4804" t="s">
        <v>58</v>
      </c>
      <c r="AU4804" t="s">
        <v>68</v>
      </c>
      <c r="AV4804" t="s">
        <v>69</v>
      </c>
      <c r="AW4804" s="1">
        <v>25497</v>
      </c>
      <c r="AX4804">
        <v>1</v>
      </c>
    </row>
    <row r="4805" spans="1:50">
      <c r="A4805">
        <v>585361</v>
      </c>
      <c r="B4805" t="str">
        <f>"032491546"</f>
        <v>032491546</v>
      </c>
      <c r="C4805" t="s">
        <v>50</v>
      </c>
      <c r="D4805" t="s">
        <v>410</v>
      </c>
      <c r="E4805" t="s">
        <v>112</v>
      </c>
      <c r="F4805" t="s">
        <v>95</v>
      </c>
      <c r="G4805" t="s">
        <v>237</v>
      </c>
      <c r="H4805" t="str">
        <f>" "</f>
        <v xml:space="preserve"> </v>
      </c>
      <c r="J4805">
        <v>2892052342</v>
      </c>
      <c r="K4805">
        <v>6946908243</v>
      </c>
      <c r="N4805" t="s">
        <v>615</v>
      </c>
      <c r="O4805" t="s">
        <v>616</v>
      </c>
      <c r="R4805" t="s">
        <v>57</v>
      </c>
      <c r="S4805">
        <v>10</v>
      </c>
      <c r="T4805">
        <v>165</v>
      </c>
      <c r="U4805" s="1">
        <v>36040</v>
      </c>
      <c r="V4805" t="s">
        <v>80</v>
      </c>
      <c r="W4805" t="s">
        <v>81</v>
      </c>
      <c r="X4805" t="s">
        <v>58</v>
      </c>
      <c r="Y4805">
        <v>21</v>
      </c>
      <c r="Z4805" t="s">
        <v>59</v>
      </c>
      <c r="AA4805" t="s">
        <v>59</v>
      </c>
      <c r="AB4805" t="s">
        <v>59</v>
      </c>
      <c r="AC4805" t="s">
        <v>59</v>
      </c>
      <c r="AD4805" t="s">
        <v>59</v>
      </c>
      <c r="AF4805" s="1">
        <v>36040</v>
      </c>
      <c r="AG4805" t="s">
        <v>8645</v>
      </c>
      <c r="AH4805" t="s">
        <v>8646</v>
      </c>
      <c r="AI4805" t="str">
        <f>"9170536"</f>
        <v>9170536</v>
      </c>
      <c r="AJ4805" t="s">
        <v>8740</v>
      </c>
      <c r="AK4805">
        <v>2892051187</v>
      </c>
      <c r="AL4805" t="s">
        <v>8741</v>
      </c>
      <c r="AM4805" t="s">
        <v>78</v>
      </c>
      <c r="AN4805" t="s">
        <v>242</v>
      </c>
      <c r="AO4805" t="s">
        <v>349</v>
      </c>
      <c r="AP4805" t="s">
        <v>349</v>
      </c>
      <c r="AQ4805">
        <v>19</v>
      </c>
      <c r="AR4805" t="s">
        <v>80</v>
      </c>
      <c r="AS4805" t="s">
        <v>81</v>
      </c>
      <c r="AT4805" t="s">
        <v>58</v>
      </c>
      <c r="AU4805" t="s">
        <v>68</v>
      </c>
      <c r="AV4805" t="s">
        <v>69</v>
      </c>
      <c r="AW4805" s="1">
        <v>23416</v>
      </c>
      <c r="AX4805">
        <v>1</v>
      </c>
    </row>
    <row r="4806" spans="1:50">
      <c r="A4806">
        <v>205064</v>
      </c>
      <c r="B4806" t="str">
        <f>"123195474"</f>
        <v>123195474</v>
      </c>
      <c r="C4806" t="s">
        <v>105</v>
      </c>
      <c r="D4806" t="s">
        <v>8742</v>
      </c>
      <c r="E4806" t="s">
        <v>95</v>
      </c>
      <c r="F4806" t="s">
        <v>4097</v>
      </c>
      <c r="G4806" t="s">
        <v>237</v>
      </c>
      <c r="H4806" t="str">
        <f>"ΕΜΜΑΝΟΥΗΛ ΚΑΚΕΠΑΚΗ 9 Ν. ΑΛΙΚΑΡΝΑΣΣΟΣ"</f>
        <v>ΕΜΜΑΝΟΥΗΛ ΚΑΚΕΠΑΚΗ 9 Ν. ΑΛΙΚΑΡΝΑΣΣΟΣ</v>
      </c>
      <c r="I4806">
        <v>71601</v>
      </c>
      <c r="J4806">
        <v>2810262607</v>
      </c>
      <c r="K4806">
        <v>6972899186</v>
      </c>
      <c r="L4806">
        <v>2810330018</v>
      </c>
      <c r="N4806" t="s">
        <v>204</v>
      </c>
      <c r="O4806" t="s">
        <v>205</v>
      </c>
      <c r="R4806" t="s">
        <v>57</v>
      </c>
      <c r="S4806">
        <v>7</v>
      </c>
      <c r="T4806">
        <v>231</v>
      </c>
      <c r="U4806" s="1">
        <v>38230</v>
      </c>
      <c r="V4806" t="s">
        <v>80</v>
      </c>
      <c r="W4806" t="s">
        <v>81</v>
      </c>
      <c r="X4806" t="s">
        <v>58</v>
      </c>
      <c r="Y4806">
        <v>22</v>
      </c>
      <c r="Z4806" t="s">
        <v>59</v>
      </c>
      <c r="AA4806" t="s">
        <v>59</v>
      </c>
      <c r="AB4806" t="s">
        <v>59</v>
      </c>
      <c r="AC4806" t="s">
        <v>59</v>
      </c>
      <c r="AD4806" t="s">
        <v>59</v>
      </c>
      <c r="AF4806" s="1">
        <v>38231</v>
      </c>
      <c r="AG4806" t="s">
        <v>8645</v>
      </c>
      <c r="AH4806" t="s">
        <v>8646</v>
      </c>
      <c r="AI4806" t="str">
        <f>"9170343"</f>
        <v>9170343</v>
      </c>
      <c r="AJ4806" t="s">
        <v>8743</v>
      </c>
      <c r="AK4806">
        <v>2810283970</v>
      </c>
      <c r="AL4806" t="s">
        <v>8744</v>
      </c>
      <c r="AM4806" t="s">
        <v>78</v>
      </c>
      <c r="AN4806" t="s">
        <v>78</v>
      </c>
      <c r="AO4806" t="s">
        <v>78</v>
      </c>
      <c r="AP4806" t="s">
        <v>79</v>
      </c>
      <c r="AQ4806">
        <v>1</v>
      </c>
      <c r="AR4806" t="s">
        <v>80</v>
      </c>
      <c r="AS4806" t="s">
        <v>81</v>
      </c>
      <c r="AT4806" t="s">
        <v>58</v>
      </c>
      <c r="AU4806" t="s">
        <v>68</v>
      </c>
      <c r="AV4806" t="s">
        <v>69</v>
      </c>
      <c r="AW4806" s="1">
        <v>28171</v>
      </c>
      <c r="AX4806">
        <v>1</v>
      </c>
    </row>
    <row r="4807" spans="1:50">
      <c r="A4807">
        <v>593646</v>
      </c>
      <c r="B4807" t="str">
        <f>"103684334"</f>
        <v>103684334</v>
      </c>
      <c r="C4807" t="s">
        <v>50</v>
      </c>
      <c r="D4807" t="s">
        <v>413</v>
      </c>
      <c r="E4807" t="s">
        <v>600</v>
      </c>
      <c r="F4807" t="s">
        <v>154</v>
      </c>
      <c r="G4807" t="s">
        <v>52</v>
      </c>
      <c r="H4807" t="str">
        <f>"ΓΑΖΙΟΥ 18 ΗΡΑΚΛΕΙΟ"</f>
        <v>ΓΑΖΙΟΥ 18 ΗΡΑΚΛΕΙΟ</v>
      </c>
      <c r="I4807">
        <v>71409</v>
      </c>
      <c r="J4807">
        <v>2810237856</v>
      </c>
      <c r="K4807">
        <v>6972008192</v>
      </c>
      <c r="M4807" t="s">
        <v>8745</v>
      </c>
      <c r="N4807" t="s">
        <v>615</v>
      </c>
      <c r="O4807" t="s">
        <v>616</v>
      </c>
      <c r="R4807" t="s">
        <v>57</v>
      </c>
      <c r="S4807">
        <v>8</v>
      </c>
      <c r="T4807">
        <v>218</v>
      </c>
      <c r="U4807" s="1">
        <v>37134</v>
      </c>
      <c r="V4807" t="s">
        <v>80</v>
      </c>
      <c r="W4807" t="s">
        <v>81</v>
      </c>
      <c r="X4807" t="s">
        <v>58</v>
      </c>
      <c r="Y4807">
        <v>22</v>
      </c>
      <c r="Z4807" t="s">
        <v>59</v>
      </c>
      <c r="AA4807" t="s">
        <v>59</v>
      </c>
      <c r="AB4807" t="s">
        <v>59</v>
      </c>
      <c r="AC4807" t="s">
        <v>59</v>
      </c>
      <c r="AD4807" t="s">
        <v>59</v>
      </c>
      <c r="AF4807" s="1">
        <v>37140</v>
      </c>
      <c r="AG4807" t="s">
        <v>8645</v>
      </c>
      <c r="AH4807" t="s">
        <v>8646</v>
      </c>
      <c r="AI4807" t="str">
        <f>"9170534"</f>
        <v>9170534</v>
      </c>
      <c r="AJ4807" t="s">
        <v>8701</v>
      </c>
      <c r="AK4807">
        <v>2810323225</v>
      </c>
      <c r="AL4807" t="s">
        <v>8702</v>
      </c>
      <c r="AM4807" t="s">
        <v>78</v>
      </c>
      <c r="AN4807" t="s">
        <v>78</v>
      </c>
      <c r="AO4807" t="s">
        <v>78</v>
      </c>
      <c r="AP4807" t="s">
        <v>163</v>
      </c>
      <c r="AQ4807">
        <v>1</v>
      </c>
      <c r="AR4807" t="s">
        <v>80</v>
      </c>
      <c r="AS4807" t="s">
        <v>81</v>
      </c>
      <c r="AT4807" t="s">
        <v>58</v>
      </c>
      <c r="AU4807" t="s">
        <v>68</v>
      </c>
      <c r="AV4807" t="s">
        <v>69</v>
      </c>
      <c r="AW4807" s="1">
        <v>26584</v>
      </c>
      <c r="AX4807">
        <v>1</v>
      </c>
    </row>
    <row r="4808" spans="1:50">
      <c r="A4808">
        <v>617411</v>
      </c>
      <c r="B4808" t="str">
        <f>"123178754"</f>
        <v>123178754</v>
      </c>
      <c r="C4808" t="s">
        <v>50</v>
      </c>
      <c r="D4808" t="s">
        <v>413</v>
      </c>
      <c r="E4808" t="s">
        <v>316</v>
      </c>
      <c r="F4808" t="s">
        <v>95</v>
      </c>
      <c r="G4808" t="s">
        <v>52</v>
      </c>
      <c r="H4808" t="str">
        <f>"ΠΑΡΟΔΟΣ ΑΡΧ. ΕΥΓΕΝΙΑΣ 15 ΗΡΑΚΛΕΙΟ"</f>
        <v>ΠΑΡΟΔΟΣ ΑΡΧ. ΕΥΓΕΝΙΑΣ 15 ΗΡΑΚΛΕΙΟ</v>
      </c>
      <c r="I4808">
        <v>71409</v>
      </c>
      <c r="J4808">
        <v>2810320026</v>
      </c>
      <c r="K4808">
        <v>6937788052</v>
      </c>
      <c r="N4808" t="s">
        <v>615</v>
      </c>
      <c r="O4808" t="s">
        <v>616</v>
      </c>
      <c r="R4808" t="s">
        <v>57</v>
      </c>
      <c r="S4808">
        <v>6</v>
      </c>
      <c r="T4808">
        <v>774</v>
      </c>
      <c r="U4808" s="1">
        <v>39680</v>
      </c>
      <c r="V4808" t="s">
        <v>80</v>
      </c>
      <c r="W4808" t="s">
        <v>81</v>
      </c>
      <c r="X4808" t="s">
        <v>58</v>
      </c>
      <c r="Y4808">
        <v>23</v>
      </c>
      <c r="Z4808" t="s">
        <v>59</v>
      </c>
      <c r="AA4808" t="s">
        <v>59</v>
      </c>
      <c r="AB4808" t="s">
        <v>59</v>
      </c>
      <c r="AC4808" t="s">
        <v>59</v>
      </c>
      <c r="AD4808" t="s">
        <v>59</v>
      </c>
      <c r="AF4808" s="1">
        <v>39681</v>
      </c>
      <c r="AG4808" t="s">
        <v>8645</v>
      </c>
      <c r="AH4808" t="s">
        <v>8646</v>
      </c>
      <c r="AI4808" t="str">
        <f>"9170516"</f>
        <v>9170516</v>
      </c>
      <c r="AJ4808" t="s">
        <v>8746</v>
      </c>
      <c r="AK4808">
        <v>2810236861</v>
      </c>
      <c r="AL4808" t="s">
        <v>8747</v>
      </c>
      <c r="AM4808" t="s">
        <v>78</v>
      </c>
      <c r="AN4808" t="s">
        <v>78</v>
      </c>
      <c r="AO4808" t="s">
        <v>78</v>
      </c>
      <c r="AP4808" t="s">
        <v>163</v>
      </c>
      <c r="AQ4808">
        <v>1</v>
      </c>
      <c r="AR4808" t="s">
        <v>80</v>
      </c>
      <c r="AS4808" t="s">
        <v>81</v>
      </c>
      <c r="AT4808" t="s">
        <v>58</v>
      </c>
      <c r="AU4808" t="s">
        <v>68</v>
      </c>
      <c r="AV4808" t="s">
        <v>69</v>
      </c>
      <c r="AW4808" s="1">
        <v>30452</v>
      </c>
      <c r="AX4808">
        <v>1</v>
      </c>
    </row>
    <row r="4809" spans="1:50">
      <c r="A4809">
        <v>575701</v>
      </c>
      <c r="B4809" t="str">
        <f>"054134148"</f>
        <v>054134148</v>
      </c>
      <c r="C4809" t="s">
        <v>50</v>
      </c>
      <c r="D4809" t="s">
        <v>413</v>
      </c>
      <c r="E4809" t="s">
        <v>1355</v>
      </c>
      <c r="F4809" t="s">
        <v>95</v>
      </c>
      <c r="G4809" t="s">
        <v>5182</v>
      </c>
      <c r="H4809" t="str">
        <f>"ΕΖΗΚΙΑ 42 ΗΡΑΚΛΕΙΟ"</f>
        <v>ΕΖΗΚΙΑ 42 ΗΡΑΚΛΕΙΟ</v>
      </c>
      <c r="I4809">
        <v>71410</v>
      </c>
      <c r="J4809">
        <v>2810253818</v>
      </c>
      <c r="K4809">
        <v>6934029489</v>
      </c>
      <c r="N4809" t="s">
        <v>615</v>
      </c>
      <c r="O4809" t="s">
        <v>616</v>
      </c>
      <c r="R4809" t="s">
        <v>57</v>
      </c>
      <c r="S4809">
        <v>12</v>
      </c>
      <c r="T4809">
        <v>184</v>
      </c>
      <c r="U4809" s="1">
        <v>34941</v>
      </c>
      <c r="V4809" t="s">
        <v>80</v>
      </c>
      <c r="W4809" t="s">
        <v>81</v>
      </c>
      <c r="X4809" t="s">
        <v>58</v>
      </c>
      <c r="Y4809">
        <v>21</v>
      </c>
      <c r="Z4809" t="s">
        <v>59</v>
      </c>
      <c r="AA4809" t="s">
        <v>59</v>
      </c>
      <c r="AB4809" t="s">
        <v>59</v>
      </c>
      <c r="AC4809" t="s">
        <v>59</v>
      </c>
      <c r="AD4809" t="s">
        <v>59</v>
      </c>
      <c r="AF4809" s="1">
        <v>34947</v>
      </c>
      <c r="AG4809" t="s">
        <v>8645</v>
      </c>
      <c r="AH4809" t="s">
        <v>8646</v>
      </c>
      <c r="AI4809" t="str">
        <f>"9170575"</f>
        <v>9170575</v>
      </c>
      <c r="AJ4809" t="s">
        <v>8748</v>
      </c>
      <c r="AK4809">
        <v>2810260772</v>
      </c>
      <c r="AL4809" t="s">
        <v>8749</v>
      </c>
      <c r="AM4809" t="s">
        <v>78</v>
      </c>
      <c r="AN4809" t="s">
        <v>78</v>
      </c>
      <c r="AO4809" t="s">
        <v>78</v>
      </c>
      <c r="AP4809" t="s">
        <v>141</v>
      </c>
      <c r="AQ4809">
        <v>1</v>
      </c>
      <c r="AR4809" t="s">
        <v>80</v>
      </c>
      <c r="AS4809" t="s">
        <v>81</v>
      </c>
      <c r="AT4809" t="s">
        <v>58</v>
      </c>
      <c r="AU4809" t="s">
        <v>68</v>
      </c>
      <c r="AV4809" t="s">
        <v>69</v>
      </c>
      <c r="AW4809" s="1">
        <v>24782</v>
      </c>
      <c r="AX4809">
        <v>1</v>
      </c>
    </row>
    <row r="4810" spans="1:50">
      <c r="A4810">
        <v>585073</v>
      </c>
      <c r="B4810" t="str">
        <f>"048337734"</f>
        <v>048337734</v>
      </c>
      <c r="C4810" t="s">
        <v>50</v>
      </c>
      <c r="D4810" t="s">
        <v>413</v>
      </c>
      <c r="E4810" t="s">
        <v>83</v>
      </c>
      <c r="F4810" t="s">
        <v>309</v>
      </c>
      <c r="G4810" t="s">
        <v>52</v>
      </c>
      <c r="H4810" t="str">
        <f>"ΜΥΣΤΡΑ 14 ΗΡΑΚΛΕΙΟ"</f>
        <v>ΜΥΣΤΡΑ 14 ΗΡΑΚΛΕΙΟ</v>
      </c>
      <c r="J4810">
        <v>2810259004</v>
      </c>
      <c r="K4810">
        <v>6972284626</v>
      </c>
      <c r="N4810" t="s">
        <v>615</v>
      </c>
      <c r="O4810" t="s">
        <v>616</v>
      </c>
      <c r="R4810" t="s">
        <v>57</v>
      </c>
      <c r="S4810">
        <v>11</v>
      </c>
      <c r="T4810">
        <v>165</v>
      </c>
      <c r="U4810" s="1">
        <v>36040</v>
      </c>
      <c r="V4810" t="s">
        <v>80</v>
      </c>
      <c r="W4810" t="s">
        <v>81</v>
      </c>
      <c r="X4810" t="s">
        <v>58</v>
      </c>
      <c r="Y4810">
        <v>21</v>
      </c>
      <c r="Z4810" t="s">
        <v>59</v>
      </c>
      <c r="AA4810" t="s">
        <v>59</v>
      </c>
      <c r="AB4810" t="s">
        <v>59</v>
      </c>
      <c r="AC4810" t="s">
        <v>59</v>
      </c>
      <c r="AD4810" t="s">
        <v>59</v>
      </c>
      <c r="AF4810" s="1">
        <v>36040</v>
      </c>
      <c r="AG4810" t="s">
        <v>8645</v>
      </c>
      <c r="AH4810" t="s">
        <v>8646</v>
      </c>
      <c r="AI4810" t="str">
        <f>"9170575"</f>
        <v>9170575</v>
      </c>
      <c r="AJ4810" t="s">
        <v>8748</v>
      </c>
      <c r="AK4810">
        <v>2810260772</v>
      </c>
      <c r="AL4810" t="s">
        <v>8749</v>
      </c>
      <c r="AM4810" t="s">
        <v>78</v>
      </c>
      <c r="AN4810" t="s">
        <v>78</v>
      </c>
      <c r="AO4810" t="s">
        <v>78</v>
      </c>
      <c r="AP4810" t="s">
        <v>141</v>
      </c>
      <c r="AQ4810">
        <v>1</v>
      </c>
      <c r="AR4810" t="s">
        <v>80</v>
      </c>
      <c r="AS4810" t="s">
        <v>81</v>
      </c>
      <c r="AT4810" t="s">
        <v>58</v>
      </c>
      <c r="AU4810" t="s">
        <v>68</v>
      </c>
      <c r="AV4810" t="s">
        <v>69</v>
      </c>
      <c r="AW4810" s="1">
        <v>23847</v>
      </c>
      <c r="AX4810">
        <v>1</v>
      </c>
    </row>
    <row r="4811" spans="1:50">
      <c r="B4811" t="str">
        <f>"112647533"</f>
        <v>112647533</v>
      </c>
      <c r="C4811" t="s">
        <v>50</v>
      </c>
      <c r="D4811" t="s">
        <v>413</v>
      </c>
      <c r="E4811" t="s">
        <v>8750</v>
      </c>
      <c r="F4811" t="s">
        <v>53</v>
      </c>
      <c r="G4811" t="s">
        <v>476</v>
      </c>
      <c r="H4811" t="str">
        <f>"ΚΡΗΝΗΣ 8-10 ΒΥΡΩΝΑΣ"</f>
        <v>ΚΡΗΝΗΣ 8-10 ΒΥΡΩΝΑΣ</v>
      </c>
      <c r="I4811">
        <v>16231</v>
      </c>
      <c r="J4811">
        <v>2107657220</v>
      </c>
      <c r="K4811">
        <v>6972770239</v>
      </c>
      <c r="N4811" t="s">
        <v>1525</v>
      </c>
      <c r="O4811" t="s">
        <v>1526</v>
      </c>
      <c r="R4811" t="s">
        <v>159</v>
      </c>
      <c r="S4811">
        <v>4</v>
      </c>
      <c r="T4811" t="s">
        <v>8670</v>
      </c>
      <c r="U4811" s="1">
        <v>43348</v>
      </c>
      <c r="V4811" t="s">
        <v>80</v>
      </c>
      <c r="W4811" t="s">
        <v>81</v>
      </c>
      <c r="X4811" t="s">
        <v>58</v>
      </c>
      <c r="Y4811">
        <v>25</v>
      </c>
      <c r="Z4811" t="s">
        <v>59</v>
      </c>
      <c r="AA4811" t="s">
        <v>59</v>
      </c>
      <c r="AB4811" t="s">
        <v>59</v>
      </c>
      <c r="AC4811" t="s">
        <v>59</v>
      </c>
      <c r="AD4811" t="s">
        <v>59</v>
      </c>
      <c r="AF4811" s="1">
        <v>43348</v>
      </c>
      <c r="AG4811" t="s">
        <v>8651</v>
      </c>
      <c r="AH4811" t="s">
        <v>8652</v>
      </c>
      <c r="AI4811" t="str">
        <f>"9170410"</f>
        <v>9170410</v>
      </c>
      <c r="AJ4811" t="s">
        <v>8751</v>
      </c>
      <c r="AK4811">
        <v>2810251805</v>
      </c>
      <c r="AL4811" t="s">
        <v>8752</v>
      </c>
      <c r="AM4811" t="s">
        <v>78</v>
      </c>
      <c r="AN4811" t="s">
        <v>78</v>
      </c>
      <c r="AO4811" t="s">
        <v>78</v>
      </c>
      <c r="AP4811" t="s">
        <v>141</v>
      </c>
      <c r="AQ4811">
        <v>1</v>
      </c>
      <c r="AR4811" t="s">
        <v>80</v>
      </c>
      <c r="AS4811" t="s">
        <v>81</v>
      </c>
      <c r="AT4811" t="s">
        <v>58</v>
      </c>
      <c r="AU4811" t="s">
        <v>8673</v>
      </c>
      <c r="AV4811" t="s">
        <v>132</v>
      </c>
      <c r="AW4811" s="1">
        <v>29277</v>
      </c>
      <c r="AX4811">
        <v>1</v>
      </c>
    </row>
    <row r="4812" spans="1:50">
      <c r="A4812">
        <v>596781</v>
      </c>
      <c r="B4812" t="str">
        <f>"078337235"</f>
        <v>078337235</v>
      </c>
      <c r="C4812" t="s">
        <v>50</v>
      </c>
      <c r="D4812" t="s">
        <v>413</v>
      </c>
      <c r="E4812" t="s">
        <v>52</v>
      </c>
      <c r="F4812" t="s">
        <v>72</v>
      </c>
      <c r="G4812" t="s">
        <v>671</v>
      </c>
      <c r="H4812" t="str">
        <f>"ΠΟΛΥΞΙΓΚΗ 34 ΗΡΑΚΛΕΙΟ"</f>
        <v>ΠΟΛΥΞΙΓΚΗ 34 ΗΡΑΚΛΕΙΟ</v>
      </c>
      <c r="I4812">
        <v>71306</v>
      </c>
      <c r="J4812">
        <v>2810321847</v>
      </c>
      <c r="K4812">
        <v>6972380790</v>
      </c>
      <c r="N4812" t="s">
        <v>1525</v>
      </c>
      <c r="O4812" t="s">
        <v>1526</v>
      </c>
      <c r="R4812" t="s">
        <v>57</v>
      </c>
      <c r="S4812">
        <v>8</v>
      </c>
      <c r="T4812">
        <v>195</v>
      </c>
      <c r="U4812" s="1">
        <v>37501</v>
      </c>
      <c r="V4812" t="s">
        <v>80</v>
      </c>
      <c r="W4812" t="s">
        <v>81</v>
      </c>
      <c r="X4812" t="s">
        <v>58</v>
      </c>
      <c r="Y4812">
        <v>25</v>
      </c>
      <c r="Z4812" t="s">
        <v>59</v>
      </c>
      <c r="AA4812" t="s">
        <v>59</v>
      </c>
      <c r="AB4812" t="s">
        <v>59</v>
      </c>
      <c r="AC4812" t="s">
        <v>59</v>
      </c>
      <c r="AD4812" t="s">
        <v>59</v>
      </c>
      <c r="AF4812" s="1">
        <v>37501</v>
      </c>
      <c r="AG4812" t="s">
        <v>8651</v>
      </c>
      <c r="AH4812" t="s">
        <v>8652</v>
      </c>
      <c r="AI4812" t="str">
        <f>"9170101"</f>
        <v>9170101</v>
      </c>
      <c r="AJ4812" t="s">
        <v>8753</v>
      </c>
      <c r="AK4812">
        <v>2810238392</v>
      </c>
      <c r="AL4812" t="s">
        <v>8754</v>
      </c>
      <c r="AM4812" t="s">
        <v>78</v>
      </c>
      <c r="AN4812" t="s">
        <v>78</v>
      </c>
      <c r="AO4812" t="s">
        <v>78</v>
      </c>
      <c r="AP4812" t="s">
        <v>163</v>
      </c>
      <c r="AQ4812">
        <v>1</v>
      </c>
      <c r="AR4812" t="s">
        <v>80</v>
      </c>
      <c r="AS4812" t="s">
        <v>81</v>
      </c>
      <c r="AT4812" t="s">
        <v>58</v>
      </c>
      <c r="AU4812" t="s">
        <v>68</v>
      </c>
      <c r="AV4812" t="s">
        <v>69</v>
      </c>
      <c r="AW4812" s="1">
        <v>25763</v>
      </c>
      <c r="AX4812">
        <v>1</v>
      </c>
    </row>
    <row r="4813" spans="1:50">
      <c r="A4813">
        <v>595741</v>
      </c>
      <c r="B4813" t="str">
        <f>"065199668"</f>
        <v>065199668</v>
      </c>
      <c r="C4813" t="s">
        <v>50</v>
      </c>
      <c r="D4813" t="s">
        <v>413</v>
      </c>
      <c r="E4813" t="s">
        <v>181</v>
      </c>
      <c r="F4813" t="s">
        <v>166</v>
      </c>
      <c r="G4813" t="s">
        <v>96</v>
      </c>
      <c r="H4813" t="str">
        <f>" "</f>
        <v xml:space="preserve"> </v>
      </c>
      <c r="N4813" t="s">
        <v>1525</v>
      </c>
      <c r="O4813" t="s">
        <v>1526</v>
      </c>
      <c r="R4813" t="s">
        <v>57</v>
      </c>
      <c r="S4813">
        <v>8</v>
      </c>
      <c r="T4813">
        <v>218</v>
      </c>
      <c r="U4813" s="1">
        <v>37134</v>
      </c>
      <c r="V4813" t="s">
        <v>80</v>
      </c>
      <c r="W4813" t="s">
        <v>81</v>
      </c>
      <c r="X4813" t="s">
        <v>58</v>
      </c>
      <c r="Y4813">
        <v>25</v>
      </c>
      <c r="Z4813" t="s">
        <v>59</v>
      </c>
      <c r="AA4813" t="s">
        <v>59</v>
      </c>
      <c r="AB4813" t="s">
        <v>59</v>
      </c>
      <c r="AC4813" t="s">
        <v>59</v>
      </c>
      <c r="AD4813" t="s">
        <v>59</v>
      </c>
      <c r="AF4813" s="1">
        <v>37138</v>
      </c>
      <c r="AG4813" t="s">
        <v>8651</v>
      </c>
      <c r="AH4813" t="s">
        <v>8652</v>
      </c>
      <c r="AI4813" t="str">
        <f>"9170417"</f>
        <v>9170417</v>
      </c>
      <c r="AJ4813" t="s">
        <v>8755</v>
      </c>
      <c r="AK4813">
        <v>2810752140</v>
      </c>
      <c r="AL4813" t="s">
        <v>8756</v>
      </c>
      <c r="AM4813" t="s">
        <v>78</v>
      </c>
      <c r="AN4813" t="s">
        <v>424</v>
      </c>
      <c r="AO4813" t="s">
        <v>425</v>
      </c>
      <c r="AP4813" t="s">
        <v>8757</v>
      </c>
      <c r="AQ4813">
        <v>11</v>
      </c>
      <c r="AR4813" t="s">
        <v>80</v>
      </c>
      <c r="AS4813" t="s">
        <v>81</v>
      </c>
      <c r="AT4813" t="s">
        <v>58</v>
      </c>
      <c r="AU4813" t="s">
        <v>68</v>
      </c>
      <c r="AV4813" t="s">
        <v>69</v>
      </c>
      <c r="AW4813" s="1">
        <v>27059</v>
      </c>
      <c r="AX4813">
        <v>1</v>
      </c>
    </row>
    <row r="4814" spans="1:50">
      <c r="A4814">
        <v>616427</v>
      </c>
      <c r="B4814" t="str">
        <f>"118913003"</f>
        <v>118913003</v>
      </c>
      <c r="C4814" t="s">
        <v>50</v>
      </c>
      <c r="D4814" t="s">
        <v>413</v>
      </c>
      <c r="E4814" t="s">
        <v>801</v>
      </c>
      <c r="F4814" t="s">
        <v>900</v>
      </c>
      <c r="G4814" t="s">
        <v>255</v>
      </c>
      <c r="H4814" t="str">
        <f>"ΘΕΡΙΣΣΟΥ 64 ΗΡΑΚΛΕΙΟ"</f>
        <v>ΘΕΡΙΣΣΟΥ 64 ΗΡΑΚΛΕΙΟ</v>
      </c>
      <c r="I4814">
        <v>71304</v>
      </c>
      <c r="J4814">
        <v>2810258885</v>
      </c>
      <c r="K4814">
        <v>6977909690</v>
      </c>
      <c r="N4814" t="s">
        <v>1525</v>
      </c>
      <c r="O4814" t="s">
        <v>1526</v>
      </c>
      <c r="R4814" t="s">
        <v>57</v>
      </c>
      <c r="S4814">
        <v>5</v>
      </c>
      <c r="T4814">
        <v>660</v>
      </c>
      <c r="U4814" s="1">
        <v>39311</v>
      </c>
      <c r="V4814" t="s">
        <v>80</v>
      </c>
      <c r="W4814" t="s">
        <v>81</v>
      </c>
      <c r="X4814" t="s">
        <v>58</v>
      </c>
      <c r="Y4814">
        <v>25</v>
      </c>
      <c r="Z4814" t="s">
        <v>59</v>
      </c>
      <c r="AA4814" t="s">
        <v>59</v>
      </c>
      <c r="AB4814" t="s">
        <v>59</v>
      </c>
      <c r="AC4814" t="s">
        <v>59</v>
      </c>
      <c r="AD4814" t="s">
        <v>59</v>
      </c>
      <c r="AF4814" s="1">
        <v>39328</v>
      </c>
      <c r="AG4814" t="s">
        <v>8651</v>
      </c>
      <c r="AH4814" t="s">
        <v>8652</v>
      </c>
      <c r="AI4814" t="str">
        <f>"9170506"</f>
        <v>9170506</v>
      </c>
      <c r="AJ4814" t="s">
        <v>8758</v>
      </c>
      <c r="AK4814">
        <v>2810312448</v>
      </c>
      <c r="AL4814" t="s">
        <v>8759</v>
      </c>
      <c r="AM4814" t="s">
        <v>78</v>
      </c>
      <c r="AN4814" t="s">
        <v>78</v>
      </c>
      <c r="AO4814" t="s">
        <v>78</v>
      </c>
      <c r="AP4814" t="s">
        <v>141</v>
      </c>
      <c r="AQ4814">
        <v>1</v>
      </c>
      <c r="AR4814" t="s">
        <v>80</v>
      </c>
      <c r="AS4814" t="s">
        <v>81</v>
      </c>
      <c r="AT4814" t="s">
        <v>58</v>
      </c>
      <c r="AU4814" t="s">
        <v>68</v>
      </c>
      <c r="AV4814" t="s">
        <v>69</v>
      </c>
      <c r="AW4814" s="1">
        <v>29986</v>
      </c>
      <c r="AX4814">
        <v>1</v>
      </c>
    </row>
    <row r="4815" spans="1:50">
      <c r="B4815" t="str">
        <f>"132980554"</f>
        <v>132980554</v>
      </c>
      <c r="C4815" t="s">
        <v>50</v>
      </c>
      <c r="D4815" t="s">
        <v>413</v>
      </c>
      <c r="E4815" t="s">
        <v>460</v>
      </c>
      <c r="F4815" t="s">
        <v>154</v>
      </c>
      <c r="G4815" t="s">
        <v>4573</v>
      </c>
      <c r="H4815" t="str">
        <f>"ΑΠΟΛΛΩΝΙΑΣ 33 ΓΑΖΙ ΗΡΑΚΛΕΙΟΥ"</f>
        <v>ΑΠΟΛΛΩΝΙΑΣ 33 ΓΑΖΙ ΗΡΑΚΛΕΙΟΥ</v>
      </c>
      <c r="I4815">
        <v>71414</v>
      </c>
      <c r="J4815">
        <v>2810316658</v>
      </c>
      <c r="K4815">
        <v>6956270189</v>
      </c>
      <c r="N4815" t="s">
        <v>1525</v>
      </c>
      <c r="O4815" t="s">
        <v>1526</v>
      </c>
      <c r="R4815" t="s">
        <v>159</v>
      </c>
      <c r="S4815">
        <v>3</v>
      </c>
      <c r="T4815" t="s">
        <v>8670</v>
      </c>
      <c r="U4815" s="1">
        <v>43348</v>
      </c>
      <c r="V4815" t="s">
        <v>80</v>
      </c>
      <c r="W4815" t="s">
        <v>81</v>
      </c>
      <c r="X4815" t="s">
        <v>58</v>
      </c>
      <c r="Y4815">
        <v>25</v>
      </c>
      <c r="Z4815" t="s">
        <v>59</v>
      </c>
      <c r="AA4815" t="s">
        <v>59</v>
      </c>
      <c r="AB4815" t="s">
        <v>59</v>
      </c>
      <c r="AC4815" t="s">
        <v>59</v>
      </c>
      <c r="AD4815" t="s">
        <v>59</v>
      </c>
      <c r="AF4815" s="1">
        <v>43348</v>
      </c>
      <c r="AG4815" t="s">
        <v>8651</v>
      </c>
      <c r="AH4815" t="s">
        <v>8652</v>
      </c>
      <c r="AI4815" t="str">
        <f>"9170303"</f>
        <v>9170303</v>
      </c>
      <c r="AJ4815" t="s">
        <v>8760</v>
      </c>
      <c r="AK4815">
        <v>2892043385</v>
      </c>
      <c r="AL4815" t="s">
        <v>8761</v>
      </c>
      <c r="AM4815" t="s">
        <v>78</v>
      </c>
      <c r="AN4815" t="s">
        <v>242</v>
      </c>
      <c r="AO4815" t="s">
        <v>243</v>
      </c>
      <c r="AP4815" t="s">
        <v>8762</v>
      </c>
      <c r="AQ4815">
        <v>19</v>
      </c>
      <c r="AR4815" t="s">
        <v>80</v>
      </c>
      <c r="AS4815" t="s">
        <v>81</v>
      </c>
      <c r="AT4815" t="s">
        <v>58</v>
      </c>
      <c r="AU4815" t="s">
        <v>8673</v>
      </c>
      <c r="AV4815" t="s">
        <v>132</v>
      </c>
      <c r="AW4815" s="1">
        <v>31234</v>
      </c>
      <c r="AX4815">
        <v>1</v>
      </c>
    </row>
    <row r="4816" spans="1:50">
      <c r="A4816">
        <v>551249</v>
      </c>
      <c r="B4816" t="str">
        <f>"028555574"</f>
        <v>028555574</v>
      </c>
      <c r="C4816" t="s">
        <v>105</v>
      </c>
      <c r="D4816" t="s">
        <v>430</v>
      </c>
      <c r="E4816" t="s">
        <v>84</v>
      </c>
      <c r="F4816" t="s">
        <v>72</v>
      </c>
      <c r="G4816" t="s">
        <v>255</v>
      </c>
      <c r="H4816" t="str">
        <f>" "</f>
        <v xml:space="preserve"> </v>
      </c>
      <c r="J4816">
        <v>2810741975</v>
      </c>
      <c r="K4816">
        <v>6974126427</v>
      </c>
      <c r="M4816" t="s">
        <v>8763</v>
      </c>
      <c r="N4816" t="s">
        <v>615</v>
      </c>
      <c r="O4816" t="s">
        <v>616</v>
      </c>
      <c r="R4816" t="s">
        <v>57</v>
      </c>
      <c r="S4816">
        <v>17</v>
      </c>
      <c r="T4816">
        <v>271</v>
      </c>
      <c r="U4816" s="1">
        <v>30914</v>
      </c>
      <c r="V4816" t="s">
        <v>80</v>
      </c>
      <c r="W4816" t="s">
        <v>81</v>
      </c>
      <c r="X4816" t="s">
        <v>58</v>
      </c>
      <c r="Y4816">
        <v>21</v>
      </c>
      <c r="Z4816" t="s">
        <v>59</v>
      </c>
      <c r="AA4816" t="s">
        <v>59</v>
      </c>
      <c r="AB4816" t="s">
        <v>59</v>
      </c>
      <c r="AC4816" t="s">
        <v>59</v>
      </c>
      <c r="AD4816" t="s">
        <v>59</v>
      </c>
      <c r="AF4816" s="1">
        <v>30929</v>
      </c>
      <c r="AG4816" t="s">
        <v>8645</v>
      </c>
      <c r="AH4816" t="s">
        <v>8646</v>
      </c>
      <c r="AI4816" t="str">
        <f>"9170091"</f>
        <v>9170091</v>
      </c>
      <c r="AJ4816" t="s">
        <v>8764</v>
      </c>
      <c r="AK4816">
        <v>2810741381</v>
      </c>
      <c r="AL4816" t="s">
        <v>8765</v>
      </c>
      <c r="AM4816" t="s">
        <v>78</v>
      </c>
      <c r="AN4816" t="s">
        <v>424</v>
      </c>
      <c r="AO4816" t="s">
        <v>428</v>
      </c>
      <c r="AP4816" t="s">
        <v>8766</v>
      </c>
      <c r="AQ4816">
        <v>11</v>
      </c>
      <c r="AR4816" t="s">
        <v>80</v>
      </c>
      <c r="AS4816" t="s">
        <v>81</v>
      </c>
      <c r="AT4816" t="s">
        <v>58</v>
      </c>
      <c r="AU4816" t="s">
        <v>68</v>
      </c>
      <c r="AV4816" t="s">
        <v>69</v>
      </c>
      <c r="AW4816" s="1">
        <v>21480</v>
      </c>
      <c r="AX4816">
        <v>1</v>
      </c>
    </row>
    <row r="4817" spans="1:50">
      <c r="A4817">
        <v>572358</v>
      </c>
      <c r="B4817" t="str">
        <f>"051129631"</f>
        <v>051129631</v>
      </c>
      <c r="C4817" t="s">
        <v>50</v>
      </c>
      <c r="D4817" t="s">
        <v>433</v>
      </c>
      <c r="E4817" t="s">
        <v>580</v>
      </c>
      <c r="F4817" t="s">
        <v>106</v>
      </c>
      <c r="G4817" t="s">
        <v>83</v>
      </c>
      <c r="H4817" t="str">
        <f>"ΙΤΑΝΟΥ 9 ΠΑΤΕΛΕΣ"</f>
        <v>ΙΤΑΝΟΥ 9 ΠΑΤΕΛΕΣ</v>
      </c>
      <c r="I4817">
        <v>71307</v>
      </c>
      <c r="J4817">
        <v>2810213602</v>
      </c>
      <c r="K4817">
        <v>6978223485</v>
      </c>
      <c r="M4817" t="s">
        <v>8767</v>
      </c>
      <c r="N4817" t="s">
        <v>306</v>
      </c>
      <c r="O4817" t="s">
        <v>307</v>
      </c>
      <c r="R4817" t="s">
        <v>57</v>
      </c>
      <c r="S4817">
        <v>12</v>
      </c>
      <c r="T4817">
        <v>154</v>
      </c>
      <c r="U4817" s="1">
        <v>34225</v>
      </c>
      <c r="V4817" t="s">
        <v>80</v>
      </c>
      <c r="W4817" t="s">
        <v>81</v>
      </c>
      <c r="X4817" t="s">
        <v>58</v>
      </c>
      <c r="Y4817">
        <v>21</v>
      </c>
      <c r="Z4817" t="s">
        <v>59</v>
      </c>
      <c r="AA4817" t="s">
        <v>59</v>
      </c>
      <c r="AB4817" t="s">
        <v>59</v>
      </c>
      <c r="AC4817" t="s">
        <v>59</v>
      </c>
      <c r="AD4817" t="s">
        <v>59</v>
      </c>
      <c r="AF4817" s="1">
        <v>34226</v>
      </c>
      <c r="AG4817" t="s">
        <v>8645</v>
      </c>
      <c r="AH4817" t="s">
        <v>8646</v>
      </c>
      <c r="AI4817" t="str">
        <f>"9170194"</f>
        <v>9170194</v>
      </c>
      <c r="AJ4817" t="s">
        <v>8768</v>
      </c>
      <c r="AK4817">
        <v>2810239611</v>
      </c>
      <c r="AL4817" t="s">
        <v>8769</v>
      </c>
      <c r="AM4817" t="s">
        <v>78</v>
      </c>
      <c r="AN4817" t="s">
        <v>78</v>
      </c>
      <c r="AO4817" t="s">
        <v>78</v>
      </c>
      <c r="AP4817" t="s">
        <v>213</v>
      </c>
      <c r="AQ4817">
        <v>1</v>
      </c>
      <c r="AR4817" t="s">
        <v>80</v>
      </c>
      <c r="AS4817" t="s">
        <v>81</v>
      </c>
      <c r="AT4817" t="s">
        <v>58</v>
      </c>
      <c r="AU4817" t="s">
        <v>68</v>
      </c>
      <c r="AV4817" t="s">
        <v>69</v>
      </c>
      <c r="AW4817" s="1">
        <v>25632</v>
      </c>
      <c r="AX4817">
        <v>1</v>
      </c>
    </row>
    <row r="4818" spans="1:50">
      <c r="A4818">
        <v>602174</v>
      </c>
      <c r="B4818" t="str">
        <f>"047986877"</f>
        <v>047986877</v>
      </c>
      <c r="C4818" t="s">
        <v>50</v>
      </c>
      <c r="D4818" t="s">
        <v>433</v>
      </c>
      <c r="E4818" t="s">
        <v>783</v>
      </c>
      <c r="F4818" t="s">
        <v>106</v>
      </c>
      <c r="G4818" t="s">
        <v>1001</v>
      </c>
      <c r="H4818" t="str">
        <f>"ΘΕΟΔΟΣΙΟΥ ΔΙΑΚΟΝΟΥ 12Α  ΗΡΑΚΛΕΙΟ ΗΡΑΚΛΕΙΟ"</f>
        <v>ΘΕΟΔΟΣΙΟΥ ΔΙΑΚΟΝΟΥ 12Α  ΗΡΑΚΛΕΙΟ ΗΡΑΚΛΕΙΟ</v>
      </c>
      <c r="I4818">
        <v>71305</v>
      </c>
      <c r="J4818">
        <v>2810310492</v>
      </c>
      <c r="K4818">
        <v>6977454681</v>
      </c>
      <c r="N4818" t="s">
        <v>615</v>
      </c>
      <c r="O4818" t="s">
        <v>616</v>
      </c>
      <c r="R4818" t="s">
        <v>57</v>
      </c>
      <c r="S4818">
        <v>8</v>
      </c>
      <c r="T4818">
        <v>207</v>
      </c>
      <c r="U4818" s="1">
        <v>37866</v>
      </c>
      <c r="V4818" t="s">
        <v>80</v>
      </c>
      <c r="W4818" t="s">
        <v>81</v>
      </c>
      <c r="X4818" t="s">
        <v>58</v>
      </c>
      <c r="Y4818">
        <v>22</v>
      </c>
      <c r="Z4818" t="s">
        <v>59</v>
      </c>
      <c r="AA4818" t="s">
        <v>59</v>
      </c>
      <c r="AB4818" t="s">
        <v>59</v>
      </c>
      <c r="AC4818" t="s">
        <v>59</v>
      </c>
      <c r="AD4818" t="s">
        <v>59</v>
      </c>
      <c r="AF4818" s="1">
        <v>37866</v>
      </c>
      <c r="AG4818" t="s">
        <v>8645</v>
      </c>
      <c r="AH4818" t="s">
        <v>8646</v>
      </c>
      <c r="AI4818" t="str">
        <f>"9170115"</f>
        <v>9170115</v>
      </c>
      <c r="AJ4818" t="s">
        <v>8770</v>
      </c>
      <c r="AK4818">
        <v>2810231165</v>
      </c>
      <c r="AL4818" t="s">
        <v>8771</v>
      </c>
      <c r="AM4818" t="s">
        <v>78</v>
      </c>
      <c r="AN4818" t="s">
        <v>78</v>
      </c>
      <c r="AO4818" t="s">
        <v>78</v>
      </c>
      <c r="AP4818" t="s">
        <v>141</v>
      </c>
      <c r="AQ4818">
        <v>1</v>
      </c>
      <c r="AR4818" t="s">
        <v>80</v>
      </c>
      <c r="AS4818" t="s">
        <v>81</v>
      </c>
      <c r="AT4818" t="s">
        <v>58</v>
      </c>
      <c r="AU4818" t="s">
        <v>68</v>
      </c>
      <c r="AV4818" t="s">
        <v>69</v>
      </c>
      <c r="AW4818" s="1">
        <v>28068</v>
      </c>
      <c r="AX4818">
        <v>1</v>
      </c>
    </row>
    <row r="4819" spans="1:50">
      <c r="B4819" t="str">
        <f>"044761591"</f>
        <v>044761591</v>
      </c>
      <c r="C4819" t="s">
        <v>105</v>
      </c>
      <c r="D4819" t="s">
        <v>6817</v>
      </c>
      <c r="E4819" t="s">
        <v>230</v>
      </c>
      <c r="F4819" t="s">
        <v>900</v>
      </c>
      <c r="G4819" t="s">
        <v>8772</v>
      </c>
      <c r="H4819" t="str">
        <f>"ΔΗΜΗΤΡΑΣ    49 ΠΤΟΛΕΜΑΪΔΑ"</f>
        <v>ΔΗΜΗΤΡΑΣ    49 ΠΤΟΛΕΜΑΪΔΑ</v>
      </c>
      <c r="I4819">
        <v>50200</v>
      </c>
      <c r="J4819">
        <v>2463023739</v>
      </c>
      <c r="K4819">
        <v>6944431193</v>
      </c>
      <c r="N4819" t="s">
        <v>176</v>
      </c>
      <c r="O4819" t="s">
        <v>177</v>
      </c>
      <c r="R4819" t="s">
        <v>159</v>
      </c>
      <c r="S4819">
        <v>3</v>
      </c>
      <c r="T4819" t="s">
        <v>8675</v>
      </c>
      <c r="U4819" s="1">
        <v>43348</v>
      </c>
      <c r="V4819" t="s">
        <v>80</v>
      </c>
      <c r="W4819" t="s">
        <v>81</v>
      </c>
      <c r="X4819" t="s">
        <v>58</v>
      </c>
      <c r="Y4819">
        <v>24</v>
      </c>
      <c r="Z4819" t="s">
        <v>59</v>
      </c>
      <c r="AA4819" t="s">
        <v>59</v>
      </c>
      <c r="AB4819" t="s">
        <v>59</v>
      </c>
      <c r="AC4819" t="s">
        <v>59</v>
      </c>
      <c r="AD4819" t="s">
        <v>59</v>
      </c>
      <c r="AF4819" s="1">
        <v>43348</v>
      </c>
      <c r="AG4819" t="s">
        <v>8645</v>
      </c>
      <c r="AH4819" t="s">
        <v>8646</v>
      </c>
      <c r="AI4819" t="str">
        <f>"9170068"</f>
        <v>9170068</v>
      </c>
      <c r="AJ4819" t="s">
        <v>8773</v>
      </c>
      <c r="AK4819">
        <v>2893031217</v>
      </c>
      <c r="AL4819" t="s">
        <v>8774</v>
      </c>
      <c r="AM4819" t="s">
        <v>78</v>
      </c>
      <c r="AN4819" t="s">
        <v>405</v>
      </c>
      <c r="AO4819" t="s">
        <v>805</v>
      </c>
      <c r="AP4819" t="s">
        <v>806</v>
      </c>
      <c r="AQ4819">
        <v>15</v>
      </c>
      <c r="AR4819" t="s">
        <v>80</v>
      </c>
      <c r="AS4819" t="s">
        <v>81</v>
      </c>
      <c r="AT4819" t="s">
        <v>58</v>
      </c>
      <c r="AU4819" t="s">
        <v>8673</v>
      </c>
      <c r="AV4819" t="s">
        <v>132</v>
      </c>
      <c r="AW4819" s="1">
        <v>24504</v>
      </c>
      <c r="AX4819">
        <v>1</v>
      </c>
    </row>
    <row r="4820" spans="1:50">
      <c r="A4820">
        <v>618887</v>
      </c>
      <c r="B4820" t="str">
        <f>"132319530"</f>
        <v>132319530</v>
      </c>
      <c r="C4820" t="s">
        <v>50</v>
      </c>
      <c r="D4820" t="s">
        <v>8775</v>
      </c>
      <c r="E4820" t="s">
        <v>112</v>
      </c>
      <c r="F4820" t="s">
        <v>99</v>
      </c>
      <c r="G4820" t="s">
        <v>255</v>
      </c>
      <c r="H4820" t="str">
        <f>"ΣΤΑΔΙΟΥ 97 ΑΛΙΚΑΡΝΑΣΣΟΣ"</f>
        <v>ΣΤΑΔΙΟΥ 97 ΑΛΙΚΑΡΝΑΣΣΟΣ</v>
      </c>
      <c r="I4820">
        <v>71601</v>
      </c>
      <c r="J4820">
        <v>2810244532</v>
      </c>
      <c r="K4820">
        <v>6947902628</v>
      </c>
      <c r="M4820" t="s">
        <v>8776</v>
      </c>
      <c r="N4820" t="s">
        <v>615</v>
      </c>
      <c r="O4820" t="s">
        <v>616</v>
      </c>
      <c r="R4820" t="s">
        <v>57</v>
      </c>
      <c r="S4820">
        <v>5</v>
      </c>
      <c r="T4820">
        <v>774</v>
      </c>
      <c r="U4820" s="1">
        <v>39680</v>
      </c>
      <c r="V4820" t="s">
        <v>80</v>
      </c>
      <c r="W4820" t="s">
        <v>81</v>
      </c>
      <c r="X4820" t="s">
        <v>58</v>
      </c>
      <c r="Y4820">
        <v>23</v>
      </c>
      <c r="Z4820" t="s">
        <v>59</v>
      </c>
      <c r="AA4820" t="s">
        <v>59</v>
      </c>
      <c r="AB4820" t="s">
        <v>59</v>
      </c>
      <c r="AC4820" t="s">
        <v>59</v>
      </c>
      <c r="AD4820" t="s">
        <v>59</v>
      </c>
      <c r="AF4820" s="1">
        <v>39681</v>
      </c>
      <c r="AG4820" t="s">
        <v>8645</v>
      </c>
      <c r="AH4820" t="s">
        <v>8646</v>
      </c>
      <c r="AI4820" t="str">
        <f>"9170257"</f>
        <v>9170257</v>
      </c>
      <c r="AJ4820" t="s">
        <v>8710</v>
      </c>
      <c r="AK4820">
        <v>2810245513</v>
      </c>
      <c r="AL4820" t="s">
        <v>8711</v>
      </c>
      <c r="AM4820" t="s">
        <v>78</v>
      </c>
      <c r="AN4820" t="s">
        <v>78</v>
      </c>
      <c r="AO4820" t="s">
        <v>78</v>
      </c>
      <c r="AP4820" t="s">
        <v>213</v>
      </c>
      <c r="AQ4820">
        <v>1</v>
      </c>
      <c r="AR4820" t="s">
        <v>80</v>
      </c>
      <c r="AS4820" t="s">
        <v>81</v>
      </c>
      <c r="AT4820" t="s">
        <v>58</v>
      </c>
      <c r="AU4820" t="s">
        <v>68</v>
      </c>
      <c r="AV4820" t="s">
        <v>69</v>
      </c>
      <c r="AW4820" s="1">
        <v>31369</v>
      </c>
      <c r="AX4820">
        <v>1</v>
      </c>
    </row>
    <row r="4821" spans="1:50">
      <c r="A4821">
        <v>615885</v>
      </c>
      <c r="B4821" t="str">
        <f>"113386399"</f>
        <v>113386399</v>
      </c>
      <c r="C4821" t="s">
        <v>50</v>
      </c>
      <c r="D4821" t="s">
        <v>5679</v>
      </c>
      <c r="E4821" t="s">
        <v>237</v>
      </c>
      <c r="F4821" t="s">
        <v>84</v>
      </c>
      <c r="G4821" t="s">
        <v>255</v>
      </c>
      <c r="H4821" t="str">
        <f>"ΠΑΛΑΙΟΚΩΜΗ ΣΕΡΡΩΝ ΑΜΦΙΠΟΛΗ"</f>
        <v>ΠΑΛΑΙΟΚΩΜΗ ΣΕΡΡΩΝ ΑΜΦΙΠΟΛΗ</v>
      </c>
      <c r="I4821">
        <v>62041</v>
      </c>
      <c r="J4821">
        <v>2324093352</v>
      </c>
      <c r="K4821">
        <v>6977206942</v>
      </c>
      <c r="M4821" t="s">
        <v>8777</v>
      </c>
      <c r="N4821" t="s">
        <v>176</v>
      </c>
      <c r="O4821" t="s">
        <v>177</v>
      </c>
      <c r="R4821" t="s">
        <v>57</v>
      </c>
      <c r="S4821">
        <v>8</v>
      </c>
      <c r="T4821">
        <v>600</v>
      </c>
      <c r="U4821" s="1">
        <v>39310</v>
      </c>
      <c r="V4821" t="s">
        <v>80</v>
      </c>
      <c r="W4821" t="s">
        <v>81</v>
      </c>
      <c r="X4821" t="s">
        <v>58</v>
      </c>
      <c r="Y4821">
        <v>22</v>
      </c>
      <c r="Z4821" t="s">
        <v>59</v>
      </c>
      <c r="AA4821" t="s">
        <v>59</v>
      </c>
      <c r="AB4821" t="s">
        <v>59</v>
      </c>
      <c r="AC4821" t="s">
        <v>59</v>
      </c>
      <c r="AD4821" t="s">
        <v>59</v>
      </c>
      <c r="AF4821" s="1">
        <v>39328</v>
      </c>
      <c r="AG4821" t="s">
        <v>8645</v>
      </c>
      <c r="AH4821" t="s">
        <v>8646</v>
      </c>
      <c r="AI4821" t="str">
        <f>"9170549"</f>
        <v>9170549</v>
      </c>
      <c r="AJ4821" t="s">
        <v>8778</v>
      </c>
      <c r="AK4821">
        <v>2810751800</v>
      </c>
      <c r="AL4821" t="s">
        <v>8779</v>
      </c>
      <c r="AM4821" t="s">
        <v>78</v>
      </c>
      <c r="AN4821" t="s">
        <v>424</v>
      </c>
      <c r="AO4821" t="s">
        <v>425</v>
      </c>
      <c r="AP4821" t="s">
        <v>425</v>
      </c>
      <c r="AQ4821">
        <v>11</v>
      </c>
      <c r="AR4821" t="s">
        <v>80</v>
      </c>
      <c r="AS4821" t="s">
        <v>81</v>
      </c>
      <c r="AT4821" t="s">
        <v>58</v>
      </c>
      <c r="AU4821" t="s">
        <v>68</v>
      </c>
      <c r="AV4821" t="s">
        <v>69</v>
      </c>
      <c r="AW4821" s="1">
        <v>24443</v>
      </c>
      <c r="AX4821">
        <v>1</v>
      </c>
    </row>
    <row r="4822" spans="1:50">
      <c r="B4822" t="str">
        <f>"128338061"</f>
        <v>128338061</v>
      </c>
      <c r="C4822" t="s">
        <v>50</v>
      </c>
      <c r="D4822" t="s">
        <v>5679</v>
      </c>
      <c r="E4822" t="s">
        <v>484</v>
      </c>
      <c r="F4822" t="s">
        <v>108</v>
      </c>
      <c r="G4822" t="s">
        <v>73</v>
      </c>
      <c r="H4822" t="str">
        <f>"ΜΑΧΗΣ ΚΡΗΤΗΣ 58 ΗΡΑΚΛΕΙΟ"</f>
        <v>ΜΑΧΗΣ ΚΡΗΤΗΣ 58 ΗΡΑΚΛΕΙΟ</v>
      </c>
      <c r="I4822">
        <v>71303</v>
      </c>
      <c r="J4822">
        <v>2185005055</v>
      </c>
      <c r="K4822">
        <v>6942615763</v>
      </c>
      <c r="L4822">
        <v>2810319098</v>
      </c>
      <c r="N4822" t="s">
        <v>1525</v>
      </c>
      <c r="O4822" t="s">
        <v>1526</v>
      </c>
      <c r="R4822" t="s">
        <v>159</v>
      </c>
      <c r="S4822">
        <v>4</v>
      </c>
      <c r="T4822" t="s">
        <v>8670</v>
      </c>
      <c r="U4822" s="1">
        <v>43348</v>
      </c>
      <c r="V4822" t="s">
        <v>80</v>
      </c>
      <c r="W4822" t="s">
        <v>81</v>
      </c>
      <c r="X4822" t="s">
        <v>58</v>
      </c>
      <c r="Y4822">
        <v>25</v>
      </c>
      <c r="Z4822" t="s">
        <v>59</v>
      </c>
      <c r="AA4822" t="s">
        <v>59</v>
      </c>
      <c r="AB4822" t="s">
        <v>59</v>
      </c>
      <c r="AC4822" t="s">
        <v>59</v>
      </c>
      <c r="AD4822" t="s">
        <v>59</v>
      </c>
      <c r="AF4822" s="1">
        <v>43348</v>
      </c>
      <c r="AG4822" t="s">
        <v>8651</v>
      </c>
      <c r="AH4822" t="s">
        <v>8652</v>
      </c>
      <c r="AI4822" t="str">
        <f>"9521638"</f>
        <v>9521638</v>
      </c>
      <c r="AJ4822" t="s">
        <v>8780</v>
      </c>
      <c r="AK4822">
        <v>2893031831</v>
      </c>
      <c r="AL4822" t="s">
        <v>8781</v>
      </c>
      <c r="AM4822" t="s">
        <v>78</v>
      </c>
      <c r="AN4822" t="s">
        <v>405</v>
      </c>
      <c r="AO4822" t="s">
        <v>805</v>
      </c>
      <c r="AP4822" t="s">
        <v>806</v>
      </c>
      <c r="AQ4822">
        <v>15</v>
      </c>
      <c r="AR4822" t="s">
        <v>80</v>
      </c>
      <c r="AS4822" t="s">
        <v>81</v>
      </c>
      <c r="AT4822" t="s">
        <v>58</v>
      </c>
      <c r="AU4822" t="s">
        <v>8673</v>
      </c>
      <c r="AV4822" t="s">
        <v>132</v>
      </c>
      <c r="AW4822" s="1">
        <v>30941</v>
      </c>
      <c r="AX4822">
        <v>1</v>
      </c>
    </row>
    <row r="4823" spans="1:50">
      <c r="A4823">
        <v>612536</v>
      </c>
      <c r="B4823" t="str">
        <f>"058780579"</f>
        <v>058780579</v>
      </c>
      <c r="C4823" t="s">
        <v>105</v>
      </c>
      <c r="D4823" t="s">
        <v>8782</v>
      </c>
      <c r="E4823" t="s">
        <v>311</v>
      </c>
      <c r="F4823" t="s">
        <v>72</v>
      </c>
      <c r="G4823" t="s">
        <v>630</v>
      </c>
      <c r="H4823" t="str">
        <f>"N.Πιτσουλάκη 44 "</f>
        <v xml:space="preserve">N.Πιτσουλάκη 44 </v>
      </c>
      <c r="I4823">
        <v>71307</v>
      </c>
      <c r="J4823">
        <v>2810212843</v>
      </c>
      <c r="K4823">
        <v>6972022227</v>
      </c>
      <c r="M4823" t="s">
        <v>8783</v>
      </c>
      <c r="N4823" t="s">
        <v>176</v>
      </c>
      <c r="O4823" t="s">
        <v>177</v>
      </c>
      <c r="R4823" t="s">
        <v>57</v>
      </c>
      <c r="S4823">
        <v>9</v>
      </c>
      <c r="T4823">
        <v>234</v>
      </c>
      <c r="U4823" s="1">
        <v>38960</v>
      </c>
      <c r="V4823" t="s">
        <v>80</v>
      </c>
      <c r="W4823" t="s">
        <v>81</v>
      </c>
      <c r="X4823" t="s">
        <v>58</v>
      </c>
      <c r="Y4823">
        <v>22</v>
      </c>
      <c r="Z4823" t="s">
        <v>59</v>
      </c>
      <c r="AA4823" t="s">
        <v>59</v>
      </c>
      <c r="AB4823" t="s">
        <v>59</v>
      </c>
      <c r="AC4823" t="s">
        <v>59</v>
      </c>
      <c r="AD4823" t="s">
        <v>59</v>
      </c>
      <c r="AF4823" s="1">
        <v>38961</v>
      </c>
      <c r="AG4823" t="s">
        <v>8645</v>
      </c>
      <c r="AH4823" t="s">
        <v>8646</v>
      </c>
      <c r="AI4823" t="str">
        <f>"9170259"</f>
        <v>9170259</v>
      </c>
      <c r="AJ4823" t="s">
        <v>8784</v>
      </c>
      <c r="AK4823">
        <v>6994891960</v>
      </c>
      <c r="AL4823" t="s">
        <v>8785</v>
      </c>
      <c r="AM4823" t="s">
        <v>78</v>
      </c>
      <c r="AN4823" t="s">
        <v>78</v>
      </c>
      <c r="AO4823" t="s">
        <v>78</v>
      </c>
      <c r="AP4823" t="s">
        <v>213</v>
      </c>
      <c r="AQ4823">
        <v>1</v>
      </c>
      <c r="AR4823" t="s">
        <v>80</v>
      </c>
      <c r="AS4823" t="s">
        <v>81</v>
      </c>
      <c r="AT4823" t="s">
        <v>58</v>
      </c>
      <c r="AU4823" t="s">
        <v>68</v>
      </c>
      <c r="AV4823" t="s">
        <v>69</v>
      </c>
      <c r="AW4823" s="1">
        <v>24561</v>
      </c>
      <c r="AX4823">
        <v>1</v>
      </c>
    </row>
    <row r="4824" spans="1:50">
      <c r="A4824">
        <v>401243</v>
      </c>
      <c r="B4824" t="str">
        <f>"074988970"</f>
        <v>074988970</v>
      </c>
      <c r="C4824" t="s">
        <v>105</v>
      </c>
      <c r="D4824" t="s">
        <v>8782</v>
      </c>
      <c r="E4824" t="s">
        <v>1093</v>
      </c>
      <c r="F4824" t="s">
        <v>72</v>
      </c>
      <c r="G4824" t="s">
        <v>494</v>
      </c>
      <c r="H4824" t="str">
        <f>" "</f>
        <v xml:space="preserve"> </v>
      </c>
      <c r="K4824">
        <v>6936934710</v>
      </c>
      <c r="N4824" t="s">
        <v>176</v>
      </c>
      <c r="O4824" t="s">
        <v>177</v>
      </c>
      <c r="R4824" t="s">
        <v>57</v>
      </c>
      <c r="S4824">
        <v>8</v>
      </c>
      <c r="T4824" t="s">
        <v>8167</v>
      </c>
      <c r="U4824" s="1">
        <v>38961</v>
      </c>
      <c r="V4824" t="s">
        <v>80</v>
      </c>
      <c r="W4824" t="s">
        <v>81</v>
      </c>
      <c r="X4824" t="s">
        <v>58</v>
      </c>
      <c r="Y4824">
        <v>22</v>
      </c>
      <c r="Z4824" t="s">
        <v>59</v>
      </c>
      <c r="AA4824" t="s">
        <v>59</v>
      </c>
      <c r="AB4824" t="s">
        <v>59</v>
      </c>
      <c r="AC4824" t="s">
        <v>59</v>
      </c>
      <c r="AD4824" t="s">
        <v>59</v>
      </c>
      <c r="AF4824" s="1">
        <v>38966</v>
      </c>
      <c r="AG4824" t="s">
        <v>8645</v>
      </c>
      <c r="AH4824" t="s">
        <v>8646</v>
      </c>
      <c r="AI4824" t="str">
        <f>"9170115"</f>
        <v>9170115</v>
      </c>
      <c r="AJ4824" t="s">
        <v>8770</v>
      </c>
      <c r="AK4824">
        <v>2810231165</v>
      </c>
      <c r="AL4824" t="s">
        <v>8771</v>
      </c>
      <c r="AM4824" t="s">
        <v>78</v>
      </c>
      <c r="AN4824" t="s">
        <v>78</v>
      </c>
      <c r="AO4824" t="s">
        <v>78</v>
      </c>
      <c r="AP4824" t="s">
        <v>141</v>
      </c>
      <c r="AQ4824">
        <v>1</v>
      </c>
      <c r="AR4824" t="s">
        <v>80</v>
      </c>
      <c r="AS4824" t="s">
        <v>81</v>
      </c>
      <c r="AT4824" t="s">
        <v>58</v>
      </c>
      <c r="AU4824" t="s">
        <v>68</v>
      </c>
      <c r="AV4824" t="s">
        <v>132</v>
      </c>
      <c r="AW4824" s="1">
        <v>24939</v>
      </c>
      <c r="AX4824">
        <v>1</v>
      </c>
    </row>
    <row r="4825" spans="1:50">
      <c r="A4825">
        <v>607862</v>
      </c>
      <c r="B4825" t="str">
        <f>"122232581"</f>
        <v>122232581</v>
      </c>
      <c r="C4825" t="s">
        <v>50</v>
      </c>
      <c r="D4825" t="s">
        <v>8786</v>
      </c>
      <c r="E4825" t="s">
        <v>155</v>
      </c>
      <c r="F4825" t="s">
        <v>975</v>
      </c>
      <c r="G4825" t="s">
        <v>1074</v>
      </c>
      <c r="H4825" t="str">
        <f>"ΜΑΚΕΔΟΝΙΑΣ 51 "</f>
        <v xml:space="preserve">ΜΑΚΕΔΟΝΙΑΣ 51 </v>
      </c>
      <c r="I4825">
        <v>13341</v>
      </c>
      <c r="J4825">
        <v>2102471189</v>
      </c>
      <c r="K4825">
        <v>6972924177</v>
      </c>
      <c r="N4825" t="s">
        <v>615</v>
      </c>
      <c r="O4825" t="s">
        <v>616</v>
      </c>
      <c r="R4825" t="s">
        <v>57</v>
      </c>
      <c r="S4825">
        <v>8</v>
      </c>
      <c r="T4825">
        <v>217</v>
      </c>
      <c r="U4825" s="1">
        <v>38596</v>
      </c>
      <c r="V4825" t="s">
        <v>80</v>
      </c>
      <c r="W4825" t="s">
        <v>81</v>
      </c>
      <c r="X4825" t="s">
        <v>58</v>
      </c>
      <c r="Y4825">
        <v>23</v>
      </c>
      <c r="Z4825" t="s">
        <v>59</v>
      </c>
      <c r="AA4825" t="s">
        <v>59</v>
      </c>
      <c r="AB4825" t="s">
        <v>59</v>
      </c>
      <c r="AC4825" t="s">
        <v>59</v>
      </c>
      <c r="AD4825" t="s">
        <v>59</v>
      </c>
      <c r="AF4825" s="1">
        <v>38602</v>
      </c>
      <c r="AG4825" t="s">
        <v>8645</v>
      </c>
      <c r="AH4825" t="s">
        <v>8646</v>
      </c>
      <c r="AI4825" t="str">
        <f>"9521412"</f>
        <v>9521412</v>
      </c>
      <c r="AJ4825" t="s">
        <v>8787</v>
      </c>
      <c r="AK4825">
        <v>2897025680</v>
      </c>
      <c r="AL4825" t="s">
        <v>8788</v>
      </c>
      <c r="AM4825" t="s">
        <v>78</v>
      </c>
      <c r="AN4825" t="s">
        <v>219</v>
      </c>
      <c r="AO4825" t="s">
        <v>219</v>
      </c>
      <c r="AP4825" t="s">
        <v>219</v>
      </c>
      <c r="AQ4825">
        <v>8</v>
      </c>
      <c r="AR4825" t="s">
        <v>80</v>
      </c>
      <c r="AS4825" t="s">
        <v>81</v>
      </c>
      <c r="AT4825" t="s">
        <v>58</v>
      </c>
      <c r="AU4825" t="s">
        <v>68</v>
      </c>
      <c r="AV4825" t="s">
        <v>69</v>
      </c>
      <c r="AW4825" s="1">
        <v>30328</v>
      </c>
      <c r="AX4825">
        <v>1</v>
      </c>
    </row>
    <row r="4826" spans="1:50">
      <c r="B4826" t="str">
        <f>"064121070"</f>
        <v>064121070</v>
      </c>
      <c r="C4826" t="s">
        <v>50</v>
      </c>
      <c r="D4826" t="s">
        <v>8789</v>
      </c>
      <c r="E4826" t="s">
        <v>964</v>
      </c>
      <c r="F4826" t="s">
        <v>377</v>
      </c>
      <c r="H4826" t="str">
        <f>" "</f>
        <v xml:space="preserve"> </v>
      </c>
      <c r="N4826" t="s">
        <v>683</v>
      </c>
      <c r="O4826" t="s">
        <v>684</v>
      </c>
      <c r="R4826" t="s">
        <v>121</v>
      </c>
      <c r="S4826">
        <v>1</v>
      </c>
      <c r="T4826" t="s">
        <v>8675</v>
      </c>
      <c r="U4826" s="1">
        <v>43348</v>
      </c>
      <c r="V4826" t="s">
        <v>80</v>
      </c>
      <c r="W4826" t="s">
        <v>81</v>
      </c>
      <c r="X4826" t="s">
        <v>58</v>
      </c>
      <c r="Y4826">
        <v>24</v>
      </c>
      <c r="Z4826" t="s">
        <v>59</v>
      </c>
      <c r="AA4826" t="s">
        <v>59</v>
      </c>
      <c r="AB4826" t="s">
        <v>59</v>
      </c>
      <c r="AC4826" t="s">
        <v>59</v>
      </c>
      <c r="AD4826" t="s">
        <v>59</v>
      </c>
      <c r="AF4826" s="1">
        <v>43348</v>
      </c>
      <c r="AG4826" t="s">
        <v>8645</v>
      </c>
      <c r="AH4826" t="s">
        <v>8646</v>
      </c>
      <c r="AI4826" t="str">
        <f>"9170515"</f>
        <v>9170515</v>
      </c>
      <c r="AJ4826" t="s">
        <v>8790</v>
      </c>
      <c r="AK4826">
        <v>2810254821</v>
      </c>
      <c r="AL4826" t="s">
        <v>8791</v>
      </c>
      <c r="AM4826" t="s">
        <v>78</v>
      </c>
      <c r="AN4826" t="s">
        <v>78</v>
      </c>
      <c r="AO4826" t="s">
        <v>78</v>
      </c>
      <c r="AP4826" t="s">
        <v>163</v>
      </c>
      <c r="AQ4826">
        <v>1</v>
      </c>
      <c r="AR4826" t="s">
        <v>80</v>
      </c>
      <c r="AS4826" t="s">
        <v>81</v>
      </c>
      <c r="AT4826" t="s">
        <v>58</v>
      </c>
      <c r="AU4826" t="s">
        <v>8673</v>
      </c>
      <c r="AV4826" t="s">
        <v>132</v>
      </c>
      <c r="AW4826" s="1">
        <v>32511</v>
      </c>
      <c r="AX4826">
        <v>1</v>
      </c>
    </row>
    <row r="4827" spans="1:50">
      <c r="A4827">
        <v>564615</v>
      </c>
      <c r="B4827" t="str">
        <f>"034503594"</f>
        <v>034503594</v>
      </c>
      <c r="C4827" t="s">
        <v>105</v>
      </c>
      <c r="D4827" t="s">
        <v>8792</v>
      </c>
      <c r="E4827" t="s">
        <v>95</v>
      </c>
      <c r="F4827" t="s">
        <v>72</v>
      </c>
      <c r="G4827" t="s">
        <v>52</v>
      </c>
      <c r="H4827" t="str">
        <f>"ΠΕΛΛΗΣ 40 ΗΡΑΚΛΕΙΟ"</f>
        <v>ΠΕΛΛΗΣ 40 ΗΡΑΚΛΕΙΟ</v>
      </c>
      <c r="I4827">
        <v>71307</v>
      </c>
      <c r="J4827">
        <v>2810762130</v>
      </c>
      <c r="K4827">
        <v>6944967046</v>
      </c>
      <c r="M4827" t="s">
        <v>8793</v>
      </c>
      <c r="N4827" t="s">
        <v>615</v>
      </c>
      <c r="O4827" t="s">
        <v>616</v>
      </c>
      <c r="R4827" t="s">
        <v>57</v>
      </c>
      <c r="S4827">
        <v>14</v>
      </c>
      <c r="T4827">
        <v>161</v>
      </c>
      <c r="U4827" s="1">
        <v>33119</v>
      </c>
      <c r="V4827" t="s">
        <v>80</v>
      </c>
      <c r="W4827" t="s">
        <v>81</v>
      </c>
      <c r="X4827" t="s">
        <v>58</v>
      </c>
      <c r="Y4827">
        <v>21</v>
      </c>
      <c r="Z4827" t="s">
        <v>59</v>
      </c>
      <c r="AA4827" t="s">
        <v>59</v>
      </c>
      <c r="AB4827" t="s">
        <v>59</v>
      </c>
      <c r="AC4827" t="s">
        <v>59</v>
      </c>
      <c r="AD4827" t="s">
        <v>59</v>
      </c>
      <c r="AF4827" s="1">
        <v>33121</v>
      </c>
      <c r="AG4827" t="s">
        <v>8645</v>
      </c>
      <c r="AH4827" t="s">
        <v>8646</v>
      </c>
      <c r="AI4827" t="str">
        <f>"9170205"</f>
        <v>9170205</v>
      </c>
      <c r="AJ4827" t="s">
        <v>8794</v>
      </c>
      <c r="AK4827">
        <v>2810762030</v>
      </c>
      <c r="AL4827" t="s">
        <v>8795</v>
      </c>
      <c r="AM4827" t="s">
        <v>78</v>
      </c>
      <c r="AN4827" t="s">
        <v>219</v>
      </c>
      <c r="AO4827" t="s">
        <v>297</v>
      </c>
      <c r="AP4827" t="s">
        <v>8796</v>
      </c>
      <c r="AQ4827">
        <v>7</v>
      </c>
      <c r="AR4827" t="s">
        <v>80</v>
      </c>
      <c r="AS4827" t="s">
        <v>81</v>
      </c>
      <c r="AT4827" t="s">
        <v>58</v>
      </c>
      <c r="AU4827" t="s">
        <v>68</v>
      </c>
      <c r="AV4827" t="s">
        <v>69</v>
      </c>
      <c r="AW4827" s="1">
        <v>24080</v>
      </c>
      <c r="AX4827">
        <v>1</v>
      </c>
    </row>
    <row r="4828" spans="1:50">
      <c r="A4828">
        <v>615974</v>
      </c>
      <c r="B4828" t="str">
        <f>"056238732"</f>
        <v>056238732</v>
      </c>
      <c r="C4828" t="s">
        <v>105</v>
      </c>
      <c r="D4828" t="s">
        <v>8792</v>
      </c>
      <c r="E4828" t="s">
        <v>53</v>
      </c>
      <c r="F4828" t="s">
        <v>72</v>
      </c>
      <c r="G4828" t="s">
        <v>52</v>
      </c>
      <c r="H4828" t="str">
        <f>"ΛΑΜΠΡΟΥ ΚΟΡΟΜΗΛΑ 2 ΓΙΑΝΝΙΤΣΑ"</f>
        <v>ΛΑΜΠΡΟΥ ΚΟΡΟΜΗΛΑ 2 ΓΙΑΝΝΙΤΣΑ</v>
      </c>
      <c r="I4828">
        <v>58100</v>
      </c>
      <c r="J4828">
        <v>2382020241</v>
      </c>
      <c r="K4828">
        <v>6948575654</v>
      </c>
      <c r="M4828" t="s">
        <v>8797</v>
      </c>
      <c r="N4828" t="s">
        <v>176</v>
      </c>
      <c r="O4828" t="s">
        <v>177</v>
      </c>
      <c r="R4828" t="s">
        <v>57</v>
      </c>
      <c r="S4828">
        <v>7</v>
      </c>
      <c r="T4828">
        <v>600</v>
      </c>
      <c r="U4828" s="1">
        <v>39328</v>
      </c>
      <c r="V4828" t="s">
        <v>80</v>
      </c>
      <c r="W4828" t="s">
        <v>81</v>
      </c>
      <c r="X4828" t="s">
        <v>58</v>
      </c>
      <c r="Y4828">
        <v>22</v>
      </c>
      <c r="Z4828" t="s">
        <v>59</v>
      </c>
      <c r="AA4828" t="s">
        <v>59</v>
      </c>
      <c r="AB4828" t="s">
        <v>59</v>
      </c>
      <c r="AC4828" t="s">
        <v>59</v>
      </c>
      <c r="AD4828" t="s">
        <v>59</v>
      </c>
      <c r="AF4828" s="1">
        <v>39329</v>
      </c>
      <c r="AG4828" t="s">
        <v>8645</v>
      </c>
      <c r="AH4828" t="s">
        <v>8646</v>
      </c>
      <c r="AI4828" t="str">
        <f>"9170107"</f>
        <v>9170107</v>
      </c>
      <c r="AJ4828" t="s">
        <v>8798</v>
      </c>
      <c r="AK4828">
        <v>2810282405</v>
      </c>
      <c r="AL4828" t="s">
        <v>8799</v>
      </c>
      <c r="AM4828" t="s">
        <v>78</v>
      </c>
      <c r="AN4828" t="s">
        <v>78</v>
      </c>
      <c r="AO4828" t="s">
        <v>78</v>
      </c>
      <c r="AP4828" t="s">
        <v>79</v>
      </c>
      <c r="AQ4828">
        <v>1</v>
      </c>
      <c r="AR4828" t="s">
        <v>80</v>
      </c>
      <c r="AS4828" t="s">
        <v>81</v>
      </c>
      <c r="AT4828" t="s">
        <v>58</v>
      </c>
      <c r="AU4828" t="s">
        <v>68</v>
      </c>
      <c r="AV4828" t="s">
        <v>69</v>
      </c>
      <c r="AW4828" s="1">
        <v>24687</v>
      </c>
      <c r="AX4828">
        <v>1</v>
      </c>
    </row>
    <row r="4829" spans="1:50">
      <c r="A4829">
        <v>557538</v>
      </c>
      <c r="B4829" t="str">
        <f>"026683400"</f>
        <v>026683400</v>
      </c>
      <c r="C4829" t="s">
        <v>105</v>
      </c>
      <c r="D4829" t="s">
        <v>8800</v>
      </c>
      <c r="E4829" t="s">
        <v>53</v>
      </c>
      <c r="F4829" t="s">
        <v>166</v>
      </c>
      <c r="G4829" t="s">
        <v>103</v>
      </c>
      <c r="H4829" t="str">
        <f>"ΠΡΩΤΑΓΟΡΑ 12 ΗΡΑΚΛΕΙΟ"</f>
        <v>ΠΡΩΤΑΓΟΡΑ 12 ΗΡΑΚΛΕΙΟ</v>
      </c>
      <c r="I4829">
        <v>71400</v>
      </c>
      <c r="J4829">
        <v>2810321179</v>
      </c>
      <c r="K4829">
        <v>6974497477</v>
      </c>
      <c r="N4829" t="s">
        <v>615</v>
      </c>
      <c r="O4829" t="s">
        <v>616</v>
      </c>
      <c r="R4829" t="s">
        <v>57</v>
      </c>
      <c r="S4829">
        <v>16</v>
      </c>
      <c r="T4829">
        <v>168</v>
      </c>
      <c r="U4829" s="1">
        <v>32010</v>
      </c>
      <c r="V4829" t="s">
        <v>80</v>
      </c>
      <c r="W4829" t="s">
        <v>81</v>
      </c>
      <c r="X4829" t="s">
        <v>58</v>
      </c>
      <c r="Y4829">
        <v>21</v>
      </c>
      <c r="Z4829" t="s">
        <v>59</v>
      </c>
      <c r="AA4829" t="s">
        <v>59</v>
      </c>
      <c r="AB4829" t="s">
        <v>59</v>
      </c>
      <c r="AC4829" t="s">
        <v>59</v>
      </c>
      <c r="AD4829" t="s">
        <v>59</v>
      </c>
      <c r="AF4829" s="1">
        <v>32021</v>
      </c>
      <c r="AG4829" t="s">
        <v>8645</v>
      </c>
      <c r="AH4829" t="s">
        <v>8646</v>
      </c>
      <c r="AI4829" t="str">
        <f>"9170514"</f>
        <v>9170514</v>
      </c>
      <c r="AJ4829" t="s">
        <v>8801</v>
      </c>
      <c r="AK4829">
        <v>2810238666</v>
      </c>
      <c r="AL4829" t="s">
        <v>8802</v>
      </c>
      <c r="AM4829" t="s">
        <v>78</v>
      </c>
      <c r="AN4829" t="s">
        <v>78</v>
      </c>
      <c r="AO4829" t="s">
        <v>78</v>
      </c>
      <c r="AP4829" t="s">
        <v>163</v>
      </c>
      <c r="AQ4829">
        <v>1</v>
      </c>
      <c r="AR4829" t="s">
        <v>80</v>
      </c>
      <c r="AS4829" t="s">
        <v>81</v>
      </c>
      <c r="AT4829" t="s">
        <v>58</v>
      </c>
      <c r="AU4829" t="s">
        <v>68</v>
      </c>
      <c r="AV4829" t="s">
        <v>69</v>
      </c>
      <c r="AW4829" s="1">
        <v>20633</v>
      </c>
      <c r="AX4829">
        <v>1</v>
      </c>
    </row>
    <row r="4830" spans="1:50">
      <c r="B4830" t="str">
        <f>"139995078"</f>
        <v>139995078</v>
      </c>
      <c r="C4830" t="s">
        <v>105</v>
      </c>
      <c r="D4830" t="s">
        <v>5692</v>
      </c>
      <c r="E4830" t="s">
        <v>315</v>
      </c>
      <c r="F4830" t="s">
        <v>670</v>
      </c>
      <c r="G4830" t="s">
        <v>83</v>
      </c>
      <c r="H4830" t="str">
        <f>"ΜΕΓΑΛΟΥ ΑΛΕΞΑΝΔΡΟΥ 2 "</f>
        <v xml:space="preserve">ΜΕΓΑΛΟΥ ΑΛΕΞΑΝΔΡΟΥ 2 </v>
      </c>
      <c r="I4830">
        <v>57001</v>
      </c>
      <c r="J4830">
        <v>2310487487</v>
      </c>
      <c r="K4830">
        <v>6982531387</v>
      </c>
      <c r="M4830" t="s">
        <v>8803</v>
      </c>
      <c r="N4830" t="s">
        <v>615</v>
      </c>
      <c r="O4830" t="s">
        <v>616</v>
      </c>
      <c r="R4830" t="s">
        <v>159</v>
      </c>
      <c r="S4830">
        <v>5</v>
      </c>
      <c r="T4830" t="s">
        <v>8675</v>
      </c>
      <c r="U4830" s="1">
        <v>43348</v>
      </c>
      <c r="V4830" t="s">
        <v>80</v>
      </c>
      <c r="W4830" t="s">
        <v>81</v>
      </c>
      <c r="X4830" t="s">
        <v>58</v>
      </c>
      <c r="Y4830">
        <v>24</v>
      </c>
      <c r="Z4830" t="s">
        <v>59</v>
      </c>
      <c r="AA4830" t="s">
        <v>59</v>
      </c>
      <c r="AB4830" t="s">
        <v>59</v>
      </c>
      <c r="AC4830" t="s">
        <v>59</v>
      </c>
      <c r="AD4830" t="s">
        <v>59</v>
      </c>
      <c r="AF4830" s="1">
        <v>43348</v>
      </c>
      <c r="AG4830" t="s">
        <v>8645</v>
      </c>
      <c r="AH4830" t="s">
        <v>8646</v>
      </c>
      <c r="AI4830" t="str">
        <f>"9170039"</f>
        <v>9170039</v>
      </c>
      <c r="AJ4830" t="s">
        <v>8804</v>
      </c>
      <c r="AK4830">
        <v>2894022231</v>
      </c>
      <c r="AL4830" t="s">
        <v>8805</v>
      </c>
      <c r="AM4830" t="s">
        <v>78</v>
      </c>
      <c r="AN4830" t="s">
        <v>405</v>
      </c>
      <c r="AO4830" t="s">
        <v>406</v>
      </c>
      <c r="AP4830" t="s">
        <v>406</v>
      </c>
      <c r="AQ4830">
        <v>6</v>
      </c>
      <c r="AR4830" t="s">
        <v>80</v>
      </c>
      <c r="AS4830" t="s">
        <v>81</v>
      </c>
      <c r="AT4830" t="s">
        <v>58</v>
      </c>
      <c r="AU4830" t="s">
        <v>8673</v>
      </c>
      <c r="AV4830" t="s">
        <v>132</v>
      </c>
      <c r="AW4830" s="1">
        <v>31667</v>
      </c>
      <c r="AX4830">
        <v>1</v>
      </c>
    </row>
    <row r="4831" spans="1:50">
      <c r="B4831" t="str">
        <f>"064210700"</f>
        <v>064210700</v>
      </c>
      <c r="C4831" t="s">
        <v>50</v>
      </c>
      <c r="D4831" t="s">
        <v>439</v>
      </c>
      <c r="E4831" t="s">
        <v>83</v>
      </c>
      <c r="F4831" t="s">
        <v>106</v>
      </c>
      <c r="G4831" t="s">
        <v>3589</v>
      </c>
      <c r="H4831" t="str">
        <f>"ΠΥΡΓΟΥ 2 "</f>
        <v xml:space="preserve">ΠΥΡΓΟΥ 2 </v>
      </c>
      <c r="I4831">
        <v>71409</v>
      </c>
      <c r="J4831">
        <v>2810771537</v>
      </c>
      <c r="K4831">
        <v>6945668773</v>
      </c>
      <c r="N4831" t="s">
        <v>615</v>
      </c>
      <c r="O4831" t="s">
        <v>616</v>
      </c>
      <c r="R4831" t="s">
        <v>159</v>
      </c>
      <c r="S4831">
        <v>5</v>
      </c>
      <c r="T4831" t="s">
        <v>8675</v>
      </c>
      <c r="U4831" s="1">
        <v>43348</v>
      </c>
      <c r="V4831" t="s">
        <v>80</v>
      </c>
      <c r="W4831" t="s">
        <v>81</v>
      </c>
      <c r="X4831" t="s">
        <v>58</v>
      </c>
      <c r="Y4831">
        <v>24</v>
      </c>
      <c r="Z4831" t="s">
        <v>59</v>
      </c>
      <c r="AA4831" t="s">
        <v>59</v>
      </c>
      <c r="AB4831" t="s">
        <v>59</v>
      </c>
      <c r="AC4831" t="s">
        <v>59</v>
      </c>
      <c r="AD4831" t="s">
        <v>59</v>
      </c>
      <c r="AF4831" s="1">
        <v>43348</v>
      </c>
      <c r="AG4831" t="s">
        <v>8645</v>
      </c>
      <c r="AH4831" t="s">
        <v>8646</v>
      </c>
      <c r="AI4831" t="str">
        <f>"9170235"</f>
        <v>9170235</v>
      </c>
      <c r="AJ4831" t="s">
        <v>8806</v>
      </c>
      <c r="AK4831">
        <v>2891031258</v>
      </c>
      <c r="AL4831" t="s">
        <v>8807</v>
      </c>
      <c r="AM4831" t="s">
        <v>78</v>
      </c>
      <c r="AN4831" t="s">
        <v>276</v>
      </c>
      <c r="AO4831" t="s">
        <v>277</v>
      </c>
      <c r="AP4831" t="s">
        <v>277</v>
      </c>
      <c r="AQ4831">
        <v>13</v>
      </c>
      <c r="AR4831" t="s">
        <v>80</v>
      </c>
      <c r="AS4831" t="s">
        <v>81</v>
      </c>
      <c r="AT4831" t="s">
        <v>58</v>
      </c>
      <c r="AU4831" t="s">
        <v>8673</v>
      </c>
      <c r="AV4831" t="s">
        <v>132</v>
      </c>
      <c r="AW4831" s="1">
        <v>32276</v>
      </c>
      <c r="AX4831">
        <v>1</v>
      </c>
    </row>
    <row r="4832" spans="1:50">
      <c r="A4832">
        <v>565651</v>
      </c>
      <c r="B4832" t="str">
        <f>"103528915"</f>
        <v>103528915</v>
      </c>
      <c r="C4832" t="s">
        <v>50</v>
      </c>
      <c r="D4832" t="s">
        <v>439</v>
      </c>
      <c r="E4832" t="s">
        <v>52</v>
      </c>
      <c r="F4832" t="s">
        <v>166</v>
      </c>
      <c r="G4832" t="s">
        <v>250</v>
      </c>
      <c r="H4832" t="str">
        <f>"ΠΕΛΕΓΡΗ 7 ΗΡΑΚΛΕΙΟ"</f>
        <v>ΠΕΛΕΓΡΗ 7 ΗΡΑΚΛΕΙΟ</v>
      </c>
      <c r="I4832">
        <v>71409</v>
      </c>
      <c r="J4832">
        <v>2810323600</v>
      </c>
      <c r="K4832">
        <v>6947843758</v>
      </c>
      <c r="L4832">
        <v>6973682358</v>
      </c>
      <c r="N4832" t="s">
        <v>615</v>
      </c>
      <c r="O4832" t="s">
        <v>616</v>
      </c>
      <c r="R4832" t="s">
        <v>57</v>
      </c>
      <c r="S4832">
        <v>15</v>
      </c>
      <c r="T4832">
        <v>161</v>
      </c>
      <c r="U4832" s="1">
        <v>33121</v>
      </c>
      <c r="V4832" t="s">
        <v>80</v>
      </c>
      <c r="W4832" t="s">
        <v>81</v>
      </c>
      <c r="X4832" t="s">
        <v>58</v>
      </c>
      <c r="Y4832">
        <v>21</v>
      </c>
      <c r="Z4832" t="s">
        <v>59</v>
      </c>
      <c r="AA4832" t="s">
        <v>59</v>
      </c>
      <c r="AB4832" t="s">
        <v>59</v>
      </c>
      <c r="AC4832" t="s">
        <v>59</v>
      </c>
      <c r="AD4832" t="s">
        <v>59</v>
      </c>
      <c r="AF4832" s="1">
        <v>33121</v>
      </c>
      <c r="AG4832" t="s">
        <v>8645</v>
      </c>
      <c r="AH4832" t="s">
        <v>8646</v>
      </c>
      <c r="AI4832" t="str">
        <f>"9170423"</f>
        <v>9170423</v>
      </c>
      <c r="AJ4832" t="s">
        <v>8808</v>
      </c>
      <c r="AK4832">
        <v>2810239612</v>
      </c>
      <c r="AL4832" t="s">
        <v>8809</v>
      </c>
      <c r="AM4832" t="s">
        <v>78</v>
      </c>
      <c r="AN4832" t="s">
        <v>78</v>
      </c>
      <c r="AO4832" t="s">
        <v>78</v>
      </c>
      <c r="AP4832" t="s">
        <v>163</v>
      </c>
      <c r="AQ4832">
        <v>1</v>
      </c>
      <c r="AR4832" t="s">
        <v>80</v>
      </c>
      <c r="AS4832" t="s">
        <v>81</v>
      </c>
      <c r="AT4832" t="s">
        <v>58</v>
      </c>
      <c r="AU4832" t="s">
        <v>68</v>
      </c>
      <c r="AV4832" t="s">
        <v>2039</v>
      </c>
      <c r="AW4832" s="1">
        <v>24056</v>
      </c>
      <c r="AX4832">
        <v>1</v>
      </c>
    </row>
    <row r="4833" spans="1:50">
      <c r="A4833">
        <v>611544</v>
      </c>
      <c r="B4833" t="str">
        <f>"054105362"</f>
        <v>054105362</v>
      </c>
      <c r="C4833" t="s">
        <v>50</v>
      </c>
      <c r="D4833" t="s">
        <v>445</v>
      </c>
      <c r="E4833" t="s">
        <v>2235</v>
      </c>
      <c r="F4833" t="s">
        <v>53</v>
      </c>
      <c r="G4833" t="s">
        <v>73</v>
      </c>
      <c r="H4833" t="str">
        <f>"ΚΝΩΣΣΟΥ 97 ΗΡΑΚΛΕΙΟ"</f>
        <v>ΚΝΩΣΣΟΥ 97 ΗΡΑΚΛΕΙΟ</v>
      </c>
      <c r="I4833">
        <v>71307</v>
      </c>
      <c r="J4833">
        <v>2810230504</v>
      </c>
      <c r="K4833">
        <v>6932230504</v>
      </c>
      <c r="M4833" t="s">
        <v>8810</v>
      </c>
      <c r="N4833" t="s">
        <v>1525</v>
      </c>
      <c r="O4833" t="s">
        <v>1526</v>
      </c>
      <c r="R4833" t="s">
        <v>57</v>
      </c>
      <c r="S4833">
        <v>6</v>
      </c>
      <c r="T4833">
        <v>233</v>
      </c>
      <c r="U4833" s="1">
        <v>38960</v>
      </c>
      <c r="V4833" t="s">
        <v>80</v>
      </c>
      <c r="W4833" t="s">
        <v>81</v>
      </c>
      <c r="X4833" t="s">
        <v>58</v>
      </c>
      <c r="Y4833">
        <v>25</v>
      </c>
      <c r="Z4833" t="s">
        <v>59</v>
      </c>
      <c r="AA4833" t="s">
        <v>59</v>
      </c>
      <c r="AB4833" t="s">
        <v>59</v>
      </c>
      <c r="AC4833" t="s">
        <v>59</v>
      </c>
      <c r="AD4833" t="s">
        <v>59</v>
      </c>
      <c r="AF4833" s="1">
        <v>38961</v>
      </c>
      <c r="AG4833" t="s">
        <v>8651</v>
      </c>
      <c r="AH4833" t="s">
        <v>8652</v>
      </c>
      <c r="AI4833" t="str">
        <f>"9170414"</f>
        <v>9170414</v>
      </c>
      <c r="AJ4833" t="s">
        <v>8811</v>
      </c>
      <c r="AK4833">
        <v>2810220080</v>
      </c>
      <c r="AL4833" t="s">
        <v>8812</v>
      </c>
      <c r="AM4833" t="s">
        <v>78</v>
      </c>
      <c r="AN4833" t="s">
        <v>78</v>
      </c>
      <c r="AO4833" t="s">
        <v>78</v>
      </c>
      <c r="AP4833" t="s">
        <v>213</v>
      </c>
      <c r="AQ4833">
        <v>1</v>
      </c>
      <c r="AR4833" t="s">
        <v>80</v>
      </c>
      <c r="AS4833" t="s">
        <v>81</v>
      </c>
      <c r="AT4833" t="s">
        <v>58</v>
      </c>
      <c r="AU4833" t="s">
        <v>68</v>
      </c>
      <c r="AV4833" t="s">
        <v>69</v>
      </c>
      <c r="AW4833" s="1">
        <v>25007</v>
      </c>
      <c r="AX4833">
        <v>1</v>
      </c>
    </row>
    <row r="4834" spans="1:50">
      <c r="A4834">
        <v>702561</v>
      </c>
      <c r="B4834" t="str">
        <f>"144347346"</f>
        <v>144347346</v>
      </c>
      <c r="C4834" t="s">
        <v>50</v>
      </c>
      <c r="D4834" t="s">
        <v>8813</v>
      </c>
      <c r="E4834" t="s">
        <v>263</v>
      </c>
      <c r="F4834" t="s">
        <v>782</v>
      </c>
      <c r="G4834" t="s">
        <v>52</v>
      </c>
      <c r="H4834" t="str">
        <f>" "</f>
        <v xml:space="preserve"> </v>
      </c>
      <c r="K4834">
        <v>6942883018</v>
      </c>
      <c r="N4834" t="s">
        <v>615</v>
      </c>
      <c r="O4834" t="s">
        <v>616</v>
      </c>
      <c r="R4834" t="s">
        <v>57</v>
      </c>
      <c r="S4834">
        <v>4</v>
      </c>
      <c r="T4834">
        <v>772</v>
      </c>
      <c r="U4834" s="1">
        <v>40413</v>
      </c>
      <c r="V4834" t="s">
        <v>80</v>
      </c>
      <c r="W4834" t="s">
        <v>81</v>
      </c>
      <c r="X4834" t="s">
        <v>58</v>
      </c>
      <c r="Y4834">
        <v>24</v>
      </c>
      <c r="Z4834" t="s">
        <v>59</v>
      </c>
      <c r="AA4834" t="s">
        <v>59</v>
      </c>
      <c r="AB4834" t="s">
        <v>59</v>
      </c>
      <c r="AC4834" t="s">
        <v>59</v>
      </c>
      <c r="AD4834" t="s">
        <v>59</v>
      </c>
      <c r="AF4834" s="1">
        <v>40413</v>
      </c>
      <c r="AG4834" t="s">
        <v>8645</v>
      </c>
      <c r="AH4834" t="s">
        <v>8646</v>
      </c>
      <c r="AI4834" t="str">
        <f>"9170239"</f>
        <v>9170239</v>
      </c>
      <c r="AJ4834" t="s">
        <v>8814</v>
      </c>
      <c r="AK4834">
        <v>2897022076</v>
      </c>
      <c r="AL4834" t="s">
        <v>8815</v>
      </c>
      <c r="AM4834" t="s">
        <v>78</v>
      </c>
      <c r="AN4834" t="s">
        <v>219</v>
      </c>
      <c r="AO4834" t="s">
        <v>219</v>
      </c>
      <c r="AP4834" t="s">
        <v>220</v>
      </c>
      <c r="AQ4834">
        <v>8</v>
      </c>
      <c r="AR4834" t="s">
        <v>80</v>
      </c>
      <c r="AS4834" t="s">
        <v>81</v>
      </c>
      <c r="AT4834" t="s">
        <v>58</v>
      </c>
      <c r="AU4834" t="s">
        <v>68</v>
      </c>
      <c r="AV4834" t="s">
        <v>69</v>
      </c>
      <c r="AW4834" s="1">
        <v>31636</v>
      </c>
      <c r="AX4834">
        <v>1</v>
      </c>
    </row>
    <row r="4835" spans="1:50">
      <c r="B4835" t="str">
        <f>"054512729"</f>
        <v>054512729</v>
      </c>
      <c r="C4835" t="s">
        <v>105</v>
      </c>
      <c r="D4835" t="s">
        <v>8816</v>
      </c>
      <c r="E4835" t="s">
        <v>53</v>
      </c>
      <c r="F4835" t="s">
        <v>95</v>
      </c>
      <c r="G4835" t="s">
        <v>460</v>
      </c>
      <c r="H4835" t="str">
        <f>"ΝΕΣΤΟΥ 1 ΩΡΑΙΟΚΑΣΤΡΟ"</f>
        <v>ΝΕΣΤΟΥ 1 ΩΡΑΙΟΚΑΣΤΡΟ</v>
      </c>
      <c r="I4835">
        <v>57013</v>
      </c>
      <c r="J4835">
        <v>2310694057</v>
      </c>
      <c r="K4835">
        <v>6973008939</v>
      </c>
      <c r="N4835" t="s">
        <v>176</v>
      </c>
      <c r="O4835" t="s">
        <v>177</v>
      </c>
      <c r="R4835" t="s">
        <v>57</v>
      </c>
      <c r="S4835">
        <v>5</v>
      </c>
      <c r="T4835" t="s">
        <v>8675</v>
      </c>
      <c r="U4835" s="1">
        <v>43348</v>
      </c>
      <c r="V4835" t="s">
        <v>80</v>
      </c>
      <c r="W4835" t="s">
        <v>81</v>
      </c>
      <c r="X4835" t="s">
        <v>58</v>
      </c>
      <c r="Y4835">
        <v>23</v>
      </c>
      <c r="Z4835" t="s">
        <v>59</v>
      </c>
      <c r="AA4835" t="s">
        <v>59</v>
      </c>
      <c r="AB4835" t="s">
        <v>59</v>
      </c>
      <c r="AC4835" t="s">
        <v>59</v>
      </c>
      <c r="AD4835" t="s">
        <v>59</v>
      </c>
      <c r="AF4835" s="1">
        <v>43348</v>
      </c>
      <c r="AG4835" t="s">
        <v>8645</v>
      </c>
      <c r="AH4835" t="s">
        <v>8646</v>
      </c>
      <c r="AI4835" t="str">
        <f>"9170427"</f>
        <v>9170427</v>
      </c>
      <c r="AJ4835" t="s">
        <v>8817</v>
      </c>
      <c r="AK4835">
        <v>2810220998</v>
      </c>
      <c r="AL4835" t="s">
        <v>8818</v>
      </c>
      <c r="AM4835" t="s">
        <v>78</v>
      </c>
      <c r="AN4835" t="s">
        <v>78</v>
      </c>
      <c r="AO4835" t="s">
        <v>286</v>
      </c>
      <c r="AP4835" t="s">
        <v>286</v>
      </c>
      <c r="AQ4835">
        <v>1</v>
      </c>
      <c r="AR4835" t="s">
        <v>80</v>
      </c>
      <c r="AS4835" t="s">
        <v>81</v>
      </c>
      <c r="AT4835" t="s">
        <v>58</v>
      </c>
      <c r="AU4835" t="s">
        <v>8673</v>
      </c>
      <c r="AV4835" t="s">
        <v>132</v>
      </c>
      <c r="AW4835" s="1">
        <v>23858</v>
      </c>
      <c r="AX4835">
        <v>1</v>
      </c>
    </row>
    <row r="4836" spans="1:50">
      <c r="B4836" t="str">
        <f>"155169395"</f>
        <v>155169395</v>
      </c>
      <c r="C4836" t="s">
        <v>50</v>
      </c>
      <c r="D4836" t="s">
        <v>8819</v>
      </c>
      <c r="E4836" t="s">
        <v>181</v>
      </c>
      <c r="F4836" t="s">
        <v>95</v>
      </c>
      <c r="G4836" t="s">
        <v>8820</v>
      </c>
      <c r="H4836" t="str">
        <f>" "</f>
        <v xml:space="preserve"> </v>
      </c>
      <c r="N4836" t="s">
        <v>8821</v>
      </c>
      <c r="O4836" t="s">
        <v>8822</v>
      </c>
      <c r="R4836" t="s">
        <v>121</v>
      </c>
      <c r="S4836">
        <v>1</v>
      </c>
      <c r="T4836" t="s">
        <v>8696</v>
      </c>
      <c r="U4836" s="1">
        <v>43348</v>
      </c>
      <c r="V4836" t="s">
        <v>80</v>
      </c>
      <c r="W4836" t="s">
        <v>81</v>
      </c>
      <c r="X4836" t="s">
        <v>58</v>
      </c>
      <c r="Y4836">
        <v>24</v>
      </c>
      <c r="Z4836" t="s">
        <v>59</v>
      </c>
      <c r="AA4836" t="s">
        <v>59</v>
      </c>
      <c r="AB4836" t="s">
        <v>59</v>
      </c>
      <c r="AD4836" t="s">
        <v>59</v>
      </c>
      <c r="AF4836" s="1">
        <v>43348</v>
      </c>
      <c r="AG4836" t="s">
        <v>8645</v>
      </c>
      <c r="AH4836" t="s">
        <v>8697</v>
      </c>
      <c r="AI4836" t="str">
        <f>"9170511"</f>
        <v>9170511</v>
      </c>
      <c r="AJ4836" t="s">
        <v>8698</v>
      </c>
      <c r="AK4836">
        <v>2810316275</v>
      </c>
      <c r="AL4836" t="s">
        <v>8699</v>
      </c>
      <c r="AM4836" t="s">
        <v>78</v>
      </c>
      <c r="AN4836" t="s">
        <v>78</v>
      </c>
      <c r="AO4836" t="s">
        <v>78</v>
      </c>
      <c r="AP4836" t="s">
        <v>141</v>
      </c>
      <c r="AQ4836">
        <v>1</v>
      </c>
      <c r="AR4836" t="s">
        <v>80</v>
      </c>
      <c r="AS4836" t="s">
        <v>81</v>
      </c>
      <c r="AT4836" t="s">
        <v>58</v>
      </c>
      <c r="AU4836" t="s">
        <v>350</v>
      </c>
      <c r="AV4836" t="s">
        <v>132</v>
      </c>
      <c r="AW4836" s="1">
        <v>32630</v>
      </c>
      <c r="AX4836">
        <v>1</v>
      </c>
    </row>
    <row r="4837" spans="1:50">
      <c r="B4837" t="str">
        <f>"065994953"</f>
        <v>065994953</v>
      </c>
      <c r="C4837" t="s">
        <v>105</v>
      </c>
      <c r="D4837" t="s">
        <v>465</v>
      </c>
      <c r="E4837" t="s">
        <v>383</v>
      </c>
      <c r="F4837" t="s">
        <v>782</v>
      </c>
      <c r="G4837" t="s">
        <v>378</v>
      </c>
      <c r="H4837" t="str">
        <f>"ΣΤΡΑΒΩΝΟΣ 26 ΑΛΕΞΑΝΔΡΕΙΑ ΗΜΑΘΙΑΣ"</f>
        <v>ΣΤΡΑΒΩΝΟΣ 26 ΑΛΕΞΑΝΔΡΕΙΑ ΗΜΑΘΙΑΣ</v>
      </c>
      <c r="I4837">
        <v>59300</v>
      </c>
      <c r="J4837">
        <v>2810873992</v>
      </c>
      <c r="K4837">
        <v>6976047890</v>
      </c>
      <c r="N4837" t="s">
        <v>176</v>
      </c>
      <c r="O4837" t="s">
        <v>177</v>
      </c>
      <c r="R4837" t="s">
        <v>57</v>
      </c>
      <c r="S4837">
        <v>5</v>
      </c>
      <c r="T4837" t="s">
        <v>8675</v>
      </c>
      <c r="U4837" s="1">
        <v>43348</v>
      </c>
      <c r="V4837" t="s">
        <v>80</v>
      </c>
      <c r="W4837" t="s">
        <v>81</v>
      </c>
      <c r="X4837" t="s">
        <v>58</v>
      </c>
      <c r="Y4837">
        <v>23</v>
      </c>
      <c r="Z4837" t="s">
        <v>59</v>
      </c>
      <c r="AA4837" t="s">
        <v>59</v>
      </c>
      <c r="AB4837" t="s">
        <v>59</v>
      </c>
      <c r="AC4837" t="s">
        <v>59</v>
      </c>
      <c r="AD4837" t="s">
        <v>59</v>
      </c>
      <c r="AF4837" s="1">
        <v>43348</v>
      </c>
      <c r="AG4837" t="s">
        <v>8645</v>
      </c>
      <c r="AH4837" t="s">
        <v>8646</v>
      </c>
      <c r="AI4837" t="str">
        <f>"9170250"</f>
        <v>9170250</v>
      </c>
      <c r="AJ4837" t="s">
        <v>8823</v>
      </c>
      <c r="AK4837">
        <v>2897022005</v>
      </c>
      <c r="AL4837" t="s">
        <v>8824</v>
      </c>
      <c r="AM4837" t="s">
        <v>78</v>
      </c>
      <c r="AN4837" t="s">
        <v>219</v>
      </c>
      <c r="AO4837" t="s">
        <v>219</v>
      </c>
      <c r="AP4837" t="s">
        <v>219</v>
      </c>
      <c r="AQ4837">
        <v>8</v>
      </c>
      <c r="AR4837" t="s">
        <v>80</v>
      </c>
      <c r="AS4837" t="s">
        <v>81</v>
      </c>
      <c r="AT4837" t="s">
        <v>58</v>
      </c>
      <c r="AU4837" t="s">
        <v>8673</v>
      </c>
      <c r="AV4837" t="s">
        <v>132</v>
      </c>
      <c r="AW4837" s="1">
        <v>26456</v>
      </c>
      <c r="AX4837">
        <v>1</v>
      </c>
    </row>
    <row r="4838" spans="1:50">
      <c r="A4838">
        <v>618782</v>
      </c>
      <c r="B4838" t="str">
        <f>"132485101"</f>
        <v>132485101</v>
      </c>
      <c r="C4838" t="s">
        <v>50</v>
      </c>
      <c r="D4838" t="s">
        <v>8825</v>
      </c>
      <c r="E4838" t="s">
        <v>255</v>
      </c>
      <c r="F4838" t="s">
        <v>95</v>
      </c>
      <c r="G4838" t="s">
        <v>699</v>
      </c>
      <c r="H4838" t="str">
        <f>"ΒΕΝΙΖΕΛΟΥ 162 ΣΕΡΡΕΣ"</f>
        <v>ΒΕΝΙΖΕΛΟΥ 162 ΣΕΡΡΕΣ</v>
      </c>
      <c r="I4838">
        <v>62125</v>
      </c>
      <c r="J4838">
        <v>2321052601</v>
      </c>
      <c r="K4838">
        <v>6947607666</v>
      </c>
      <c r="N4838" t="s">
        <v>615</v>
      </c>
      <c r="O4838" t="s">
        <v>616</v>
      </c>
      <c r="R4838" t="s">
        <v>57</v>
      </c>
      <c r="S4838">
        <v>5</v>
      </c>
      <c r="T4838">
        <v>774</v>
      </c>
      <c r="U4838" s="1">
        <v>39680</v>
      </c>
      <c r="V4838" t="s">
        <v>80</v>
      </c>
      <c r="W4838" t="s">
        <v>81</v>
      </c>
      <c r="X4838" t="s">
        <v>58</v>
      </c>
      <c r="Y4838">
        <v>23</v>
      </c>
      <c r="Z4838" t="s">
        <v>59</v>
      </c>
      <c r="AA4838" t="s">
        <v>59</v>
      </c>
      <c r="AB4838" t="s">
        <v>59</v>
      </c>
      <c r="AC4838" t="s">
        <v>59</v>
      </c>
      <c r="AD4838" t="s">
        <v>59</v>
      </c>
      <c r="AF4838" s="1">
        <v>39681</v>
      </c>
      <c r="AG4838" t="s">
        <v>8645</v>
      </c>
      <c r="AH4838" t="s">
        <v>8646</v>
      </c>
      <c r="AI4838" t="str">
        <f>"9170097"</f>
        <v>9170097</v>
      </c>
      <c r="AJ4838" t="s">
        <v>8826</v>
      </c>
      <c r="AK4838">
        <v>2810751807</v>
      </c>
      <c r="AL4838" t="s">
        <v>8827</v>
      </c>
      <c r="AM4838" t="s">
        <v>78</v>
      </c>
      <c r="AN4838" t="s">
        <v>424</v>
      </c>
      <c r="AO4838" t="s">
        <v>425</v>
      </c>
      <c r="AP4838" t="s">
        <v>425</v>
      </c>
      <c r="AQ4838">
        <v>11</v>
      </c>
      <c r="AR4838" t="s">
        <v>80</v>
      </c>
      <c r="AS4838" t="s">
        <v>81</v>
      </c>
      <c r="AT4838" t="s">
        <v>58</v>
      </c>
      <c r="AU4838" t="s">
        <v>68</v>
      </c>
      <c r="AV4838" t="s">
        <v>69</v>
      </c>
      <c r="AW4838" s="1">
        <v>31442</v>
      </c>
      <c r="AX4838">
        <v>1</v>
      </c>
    </row>
    <row r="4839" spans="1:50">
      <c r="B4839" t="str">
        <f>"135205426"</f>
        <v>135205426</v>
      </c>
      <c r="C4839" t="s">
        <v>50</v>
      </c>
      <c r="D4839" t="s">
        <v>467</v>
      </c>
      <c r="E4839" t="s">
        <v>8828</v>
      </c>
      <c r="F4839" t="s">
        <v>166</v>
      </c>
      <c r="G4839" t="s">
        <v>96</v>
      </c>
      <c r="H4839" t="str">
        <f>"Μ. ΜΑΝΟΥΣΕΛΗ 4 ΧΑΝΙΑ"</f>
        <v>Μ. ΜΑΝΟΥΣΕΛΗ 4 ΧΑΝΙΑ</v>
      </c>
      <c r="I4839">
        <v>73100</v>
      </c>
      <c r="J4839">
        <v>2821042396</v>
      </c>
      <c r="K4839">
        <v>6947832899</v>
      </c>
      <c r="N4839" t="s">
        <v>1525</v>
      </c>
      <c r="O4839" t="s">
        <v>1526</v>
      </c>
      <c r="R4839" t="s">
        <v>159</v>
      </c>
      <c r="S4839">
        <v>5</v>
      </c>
      <c r="T4839" t="s">
        <v>8670</v>
      </c>
      <c r="U4839" s="1">
        <v>43348</v>
      </c>
      <c r="V4839" t="s">
        <v>80</v>
      </c>
      <c r="W4839" t="s">
        <v>81</v>
      </c>
      <c r="X4839" t="s">
        <v>58</v>
      </c>
      <c r="Y4839">
        <v>25</v>
      </c>
      <c r="Z4839" t="s">
        <v>59</v>
      </c>
      <c r="AA4839" t="s">
        <v>59</v>
      </c>
      <c r="AB4839" t="s">
        <v>59</v>
      </c>
      <c r="AC4839" t="s">
        <v>59</v>
      </c>
      <c r="AD4839" t="s">
        <v>59</v>
      </c>
      <c r="AF4839" s="1">
        <v>43348</v>
      </c>
      <c r="AG4839" t="s">
        <v>8651</v>
      </c>
      <c r="AH4839" t="s">
        <v>8652</v>
      </c>
      <c r="AI4839" t="str">
        <f>"9170422"</f>
        <v>9170422</v>
      </c>
      <c r="AJ4839" t="s">
        <v>8829</v>
      </c>
      <c r="AK4839">
        <v>2892097222</v>
      </c>
      <c r="AL4839" t="s">
        <v>8830</v>
      </c>
      <c r="AM4839" t="s">
        <v>78</v>
      </c>
      <c r="AN4839" t="s">
        <v>242</v>
      </c>
      <c r="AO4839" t="s">
        <v>243</v>
      </c>
      <c r="AP4839" t="s">
        <v>8831</v>
      </c>
      <c r="AQ4839">
        <v>16</v>
      </c>
      <c r="AR4839" t="s">
        <v>80</v>
      </c>
      <c r="AS4839" t="s">
        <v>81</v>
      </c>
      <c r="AT4839" t="s">
        <v>58</v>
      </c>
      <c r="AU4839" t="s">
        <v>8673</v>
      </c>
      <c r="AV4839" t="s">
        <v>132</v>
      </c>
      <c r="AW4839" s="1">
        <v>31014</v>
      </c>
      <c r="AX4839">
        <v>1</v>
      </c>
    </row>
    <row r="4840" spans="1:50">
      <c r="A4840">
        <v>615283</v>
      </c>
      <c r="B4840" t="str">
        <f>"103666494"</f>
        <v>103666494</v>
      </c>
      <c r="C4840" t="s">
        <v>50</v>
      </c>
      <c r="D4840" t="s">
        <v>467</v>
      </c>
      <c r="E4840" t="s">
        <v>255</v>
      </c>
      <c r="F4840" t="s">
        <v>1679</v>
      </c>
      <c r="G4840" t="s">
        <v>250</v>
      </c>
      <c r="H4840" t="str">
        <f>" "</f>
        <v xml:space="preserve"> </v>
      </c>
      <c r="J4840">
        <v>2894031056</v>
      </c>
      <c r="K4840">
        <v>6977198373</v>
      </c>
      <c r="N4840" t="s">
        <v>1525</v>
      </c>
      <c r="O4840" t="s">
        <v>1526</v>
      </c>
      <c r="R4840" t="s">
        <v>57</v>
      </c>
      <c r="S4840">
        <v>6</v>
      </c>
      <c r="T4840">
        <v>598</v>
      </c>
      <c r="U4840" s="1">
        <v>39310</v>
      </c>
      <c r="V4840" t="s">
        <v>80</v>
      </c>
      <c r="W4840" t="s">
        <v>81</v>
      </c>
      <c r="X4840" t="s">
        <v>58</v>
      </c>
      <c r="Y4840">
        <v>25</v>
      </c>
      <c r="Z4840" t="s">
        <v>59</v>
      </c>
      <c r="AA4840" t="s">
        <v>59</v>
      </c>
      <c r="AB4840" t="s">
        <v>59</v>
      </c>
      <c r="AC4840" t="s">
        <v>59</v>
      </c>
      <c r="AD4840" t="s">
        <v>59</v>
      </c>
      <c r="AF4840" s="1">
        <v>39328</v>
      </c>
      <c r="AG4840" t="s">
        <v>8651</v>
      </c>
      <c r="AH4840" t="s">
        <v>8652</v>
      </c>
      <c r="AI4840" t="str">
        <f>"9170397"</f>
        <v>9170397</v>
      </c>
      <c r="AJ4840" t="s">
        <v>8832</v>
      </c>
      <c r="AK4840">
        <v>2892022520</v>
      </c>
      <c r="AL4840" t="s">
        <v>8833</v>
      </c>
      <c r="AM4840" t="s">
        <v>78</v>
      </c>
      <c r="AN4840" t="s">
        <v>242</v>
      </c>
      <c r="AO4840" t="s">
        <v>243</v>
      </c>
      <c r="AP4840" t="s">
        <v>243</v>
      </c>
      <c r="AQ4840">
        <v>20</v>
      </c>
      <c r="AR4840" t="s">
        <v>80</v>
      </c>
      <c r="AS4840" t="s">
        <v>81</v>
      </c>
      <c r="AT4840" t="s">
        <v>58</v>
      </c>
      <c r="AU4840" t="s">
        <v>68</v>
      </c>
      <c r="AV4840" t="s">
        <v>69</v>
      </c>
      <c r="AW4840" s="1">
        <v>30069</v>
      </c>
      <c r="AX4840">
        <v>1</v>
      </c>
    </row>
    <row r="4841" spans="1:50">
      <c r="B4841" t="str">
        <f>"150401685"</f>
        <v>150401685</v>
      </c>
      <c r="C4841" t="s">
        <v>50</v>
      </c>
      <c r="D4841" t="s">
        <v>467</v>
      </c>
      <c r="E4841" t="s">
        <v>109</v>
      </c>
      <c r="F4841" t="s">
        <v>106</v>
      </c>
      <c r="G4841" t="s">
        <v>52</v>
      </c>
      <c r="H4841" t="str">
        <f>"ΑΓΙΑ ΒΑΡΒΑΡΑ "</f>
        <v xml:space="preserve">ΑΓΙΑ ΒΑΡΒΑΡΑ </v>
      </c>
      <c r="J4841">
        <v>2894023777</v>
      </c>
      <c r="K4841">
        <v>6970909514</v>
      </c>
      <c r="N4841" t="s">
        <v>8834</v>
      </c>
      <c r="O4841" t="s">
        <v>8695</v>
      </c>
      <c r="R4841" t="s">
        <v>159</v>
      </c>
      <c r="S4841">
        <v>3</v>
      </c>
      <c r="T4841" t="s">
        <v>8835</v>
      </c>
      <c r="U4841" s="1">
        <v>43348</v>
      </c>
      <c r="V4841" t="s">
        <v>80</v>
      </c>
      <c r="W4841" t="s">
        <v>81</v>
      </c>
      <c r="X4841" t="s">
        <v>58</v>
      </c>
      <c r="Y4841">
        <v>24</v>
      </c>
      <c r="Z4841" t="s">
        <v>59</v>
      </c>
      <c r="AA4841" t="s">
        <v>59</v>
      </c>
      <c r="AB4841" t="s">
        <v>59</v>
      </c>
      <c r="AD4841" t="s">
        <v>59</v>
      </c>
      <c r="AF4841" s="1">
        <v>43348</v>
      </c>
      <c r="AG4841" t="s">
        <v>8645</v>
      </c>
      <c r="AH4841" t="s">
        <v>8646</v>
      </c>
      <c r="AI4841" t="str">
        <f>"9170055"</f>
        <v>9170055</v>
      </c>
      <c r="AJ4841" t="s">
        <v>8836</v>
      </c>
      <c r="AK4841">
        <v>2810255097</v>
      </c>
      <c r="AL4841" t="s">
        <v>8837</v>
      </c>
      <c r="AM4841" t="s">
        <v>78</v>
      </c>
      <c r="AN4841" t="s">
        <v>78</v>
      </c>
      <c r="AO4841" t="s">
        <v>78</v>
      </c>
      <c r="AP4841" t="s">
        <v>141</v>
      </c>
      <c r="AQ4841">
        <v>1</v>
      </c>
      <c r="AR4841" t="s">
        <v>80</v>
      </c>
      <c r="AS4841" t="s">
        <v>81</v>
      </c>
      <c r="AT4841" t="s">
        <v>58</v>
      </c>
      <c r="AU4841" t="s">
        <v>131</v>
      </c>
      <c r="AV4841" t="s">
        <v>132</v>
      </c>
      <c r="AW4841" s="1">
        <v>32899</v>
      </c>
      <c r="AX4841">
        <v>1</v>
      </c>
    </row>
    <row r="4842" spans="1:50">
      <c r="A4842">
        <v>618757</v>
      </c>
      <c r="B4842" t="str">
        <f>"123687390"</f>
        <v>123687390</v>
      </c>
      <c r="C4842" t="s">
        <v>50</v>
      </c>
      <c r="D4842" t="s">
        <v>467</v>
      </c>
      <c r="E4842" t="s">
        <v>4729</v>
      </c>
      <c r="F4842" t="s">
        <v>106</v>
      </c>
      <c r="G4842" t="s">
        <v>52</v>
      </c>
      <c r="H4842" t="str">
        <f>"ΚΑΠΑΡΙΑΝΑ  ΚΑΠΑΡΙΑΝΑ ΗΡΑΚΛΕΙΟΥ"</f>
        <v>ΚΑΠΑΡΙΑΝΑ  ΚΑΠΑΡΙΑΝΑ ΗΡΑΚΛΕΙΟΥ</v>
      </c>
      <c r="I4842">
        <v>70400</v>
      </c>
      <c r="J4842">
        <v>2892023304</v>
      </c>
      <c r="K4842">
        <v>6973929040</v>
      </c>
      <c r="N4842" t="s">
        <v>615</v>
      </c>
      <c r="O4842" t="s">
        <v>616</v>
      </c>
      <c r="R4842" t="s">
        <v>57</v>
      </c>
      <c r="S4842">
        <v>5</v>
      </c>
      <c r="T4842">
        <v>774</v>
      </c>
      <c r="U4842" s="1">
        <v>39680</v>
      </c>
      <c r="V4842" t="s">
        <v>80</v>
      </c>
      <c r="W4842" t="s">
        <v>81</v>
      </c>
      <c r="X4842" t="s">
        <v>58</v>
      </c>
      <c r="Y4842">
        <v>23</v>
      </c>
      <c r="Z4842" t="s">
        <v>59</v>
      </c>
      <c r="AA4842" t="s">
        <v>59</v>
      </c>
      <c r="AB4842" t="s">
        <v>59</v>
      </c>
      <c r="AC4842" t="s">
        <v>59</v>
      </c>
      <c r="AD4842" t="s">
        <v>59</v>
      </c>
      <c r="AF4842" s="1">
        <v>39681</v>
      </c>
      <c r="AG4842" t="s">
        <v>8645</v>
      </c>
      <c r="AH4842" t="s">
        <v>8646</v>
      </c>
      <c r="AI4842" t="str">
        <f>"9170495"</f>
        <v>9170495</v>
      </c>
      <c r="AJ4842" t="s">
        <v>8838</v>
      </c>
      <c r="AK4842">
        <v>2892023325</v>
      </c>
      <c r="AL4842" t="s">
        <v>8839</v>
      </c>
      <c r="AM4842" t="s">
        <v>78</v>
      </c>
      <c r="AN4842" t="s">
        <v>242</v>
      </c>
      <c r="AO4842" t="s">
        <v>243</v>
      </c>
      <c r="AP4842" t="s">
        <v>243</v>
      </c>
      <c r="AQ4842">
        <v>20</v>
      </c>
      <c r="AR4842" t="s">
        <v>80</v>
      </c>
      <c r="AS4842" t="s">
        <v>81</v>
      </c>
      <c r="AT4842" t="s">
        <v>58</v>
      </c>
      <c r="AU4842" t="s">
        <v>68</v>
      </c>
      <c r="AV4842" t="s">
        <v>69</v>
      </c>
      <c r="AW4842" s="1">
        <v>31246</v>
      </c>
      <c r="AX4842">
        <v>1</v>
      </c>
    </row>
    <row r="4843" spans="1:50">
      <c r="A4843">
        <v>579474</v>
      </c>
      <c r="B4843" t="str">
        <f>"054133490"</f>
        <v>054133490</v>
      </c>
      <c r="C4843" t="s">
        <v>50</v>
      </c>
      <c r="D4843" t="s">
        <v>467</v>
      </c>
      <c r="E4843" t="s">
        <v>52</v>
      </c>
      <c r="F4843" t="s">
        <v>5386</v>
      </c>
      <c r="G4843" t="s">
        <v>52</v>
      </c>
      <c r="H4843" t="str">
        <f>"ΓΕΩΡΓΙΟΥ ΓΕΝΝΗΜΑΤΑ 12 ΗΡΑΚΛΕΙΟΥ"</f>
        <v>ΓΕΩΡΓΙΟΥ ΓΕΝΝΗΜΑΤΑ 12 ΗΡΑΚΛΕΙΟΥ</v>
      </c>
      <c r="I4843">
        <v>70400</v>
      </c>
      <c r="J4843">
        <v>2892022897</v>
      </c>
      <c r="N4843" t="s">
        <v>615</v>
      </c>
      <c r="O4843" t="s">
        <v>616</v>
      </c>
      <c r="R4843" t="s">
        <v>57</v>
      </c>
      <c r="S4843">
        <v>11</v>
      </c>
      <c r="T4843">
        <v>165</v>
      </c>
      <c r="U4843" s="1">
        <v>35300</v>
      </c>
      <c r="V4843" t="s">
        <v>80</v>
      </c>
      <c r="W4843" t="s">
        <v>81</v>
      </c>
      <c r="X4843" t="s">
        <v>58</v>
      </c>
      <c r="Y4843">
        <v>21</v>
      </c>
      <c r="Z4843" t="s">
        <v>59</v>
      </c>
      <c r="AA4843" t="s">
        <v>59</v>
      </c>
      <c r="AB4843" t="s">
        <v>59</v>
      </c>
      <c r="AC4843" t="s">
        <v>59</v>
      </c>
      <c r="AD4843" t="s">
        <v>59</v>
      </c>
      <c r="AF4843" s="1">
        <v>35310</v>
      </c>
      <c r="AG4843" t="s">
        <v>8645</v>
      </c>
      <c r="AH4843" t="s">
        <v>8646</v>
      </c>
      <c r="AI4843" t="str">
        <f>"9170267"</f>
        <v>9170267</v>
      </c>
      <c r="AJ4843" t="s">
        <v>8840</v>
      </c>
      <c r="AK4843">
        <v>2892022320</v>
      </c>
      <c r="AL4843" t="s">
        <v>8841</v>
      </c>
      <c r="AM4843" t="s">
        <v>78</v>
      </c>
      <c r="AN4843" t="s">
        <v>242</v>
      </c>
      <c r="AO4843" t="s">
        <v>243</v>
      </c>
      <c r="AP4843" t="s">
        <v>243</v>
      </c>
      <c r="AQ4843">
        <v>20</v>
      </c>
      <c r="AR4843" t="s">
        <v>80</v>
      </c>
      <c r="AS4843" t="s">
        <v>81</v>
      </c>
      <c r="AT4843" t="s">
        <v>58</v>
      </c>
      <c r="AU4843" t="s">
        <v>68</v>
      </c>
      <c r="AV4843" t="s">
        <v>69</v>
      </c>
      <c r="AW4843" s="1">
        <v>24839</v>
      </c>
      <c r="AX4843">
        <v>1</v>
      </c>
    </row>
    <row r="4844" spans="1:50">
      <c r="A4844">
        <v>608557</v>
      </c>
      <c r="B4844" t="str">
        <f>"064579213"</f>
        <v>064579213</v>
      </c>
      <c r="C4844" t="s">
        <v>50</v>
      </c>
      <c r="D4844" t="s">
        <v>467</v>
      </c>
      <c r="E4844" t="s">
        <v>52</v>
      </c>
      <c r="F4844" t="s">
        <v>108</v>
      </c>
      <c r="G4844" t="s">
        <v>54</v>
      </c>
      <c r="H4844" t="str">
        <f>"ΤΡΙΤΩΝΙΑΣ 4 ΗΡΑΚΛΕΙΟ"</f>
        <v>ΤΡΙΤΩΝΙΑΣ 4 ΗΡΑΚΛΕΙΟ</v>
      </c>
      <c r="I4844">
        <v>71409</v>
      </c>
      <c r="J4844">
        <v>2810213387</v>
      </c>
      <c r="K4844">
        <v>6976439487</v>
      </c>
      <c r="N4844" t="s">
        <v>1525</v>
      </c>
      <c r="O4844" t="s">
        <v>1526</v>
      </c>
      <c r="R4844" t="s">
        <v>57</v>
      </c>
      <c r="S4844">
        <v>7</v>
      </c>
      <c r="T4844">
        <v>217</v>
      </c>
      <c r="U4844" s="1">
        <v>38596</v>
      </c>
      <c r="V4844" t="s">
        <v>80</v>
      </c>
      <c r="W4844" t="s">
        <v>81</v>
      </c>
      <c r="X4844" t="s">
        <v>58</v>
      </c>
      <c r="Y4844">
        <v>25</v>
      </c>
      <c r="Z4844" t="s">
        <v>59</v>
      </c>
      <c r="AA4844" t="s">
        <v>59</v>
      </c>
      <c r="AB4844" t="s">
        <v>59</v>
      </c>
      <c r="AC4844" t="s">
        <v>59</v>
      </c>
      <c r="AD4844" t="s">
        <v>59</v>
      </c>
      <c r="AF4844" s="1">
        <v>38601</v>
      </c>
      <c r="AG4844" t="s">
        <v>8651</v>
      </c>
      <c r="AH4844" t="s">
        <v>8652</v>
      </c>
      <c r="AI4844" t="str">
        <f>"9520695"</f>
        <v>9520695</v>
      </c>
      <c r="AJ4844" t="s">
        <v>8842</v>
      </c>
      <c r="AK4844">
        <v>2810235506</v>
      </c>
      <c r="AL4844" t="s">
        <v>8843</v>
      </c>
      <c r="AM4844" t="s">
        <v>78</v>
      </c>
      <c r="AN4844" t="s">
        <v>78</v>
      </c>
      <c r="AO4844" t="s">
        <v>78</v>
      </c>
      <c r="AP4844" t="s">
        <v>163</v>
      </c>
      <c r="AQ4844">
        <v>1</v>
      </c>
      <c r="AR4844" t="s">
        <v>80</v>
      </c>
      <c r="AS4844" t="s">
        <v>81</v>
      </c>
      <c r="AT4844" t="s">
        <v>58</v>
      </c>
      <c r="AU4844" t="s">
        <v>68</v>
      </c>
      <c r="AV4844" t="s">
        <v>69</v>
      </c>
      <c r="AW4844" s="1">
        <v>26371</v>
      </c>
      <c r="AX4844">
        <v>1</v>
      </c>
    </row>
    <row r="4845" spans="1:50">
      <c r="A4845">
        <v>614787</v>
      </c>
      <c r="B4845" t="str">
        <f>"104925285"</f>
        <v>104925285</v>
      </c>
      <c r="C4845" t="s">
        <v>50</v>
      </c>
      <c r="D4845" t="s">
        <v>467</v>
      </c>
      <c r="E4845" t="s">
        <v>181</v>
      </c>
      <c r="F4845" t="s">
        <v>72</v>
      </c>
      <c r="G4845" t="s">
        <v>103</v>
      </c>
      <c r="H4845" t="str">
        <f>"ΦΑΝΕΡΩΜΕΝΗ ΦΑΙΣΤΟΥ "</f>
        <v xml:space="preserve">ΦΑΝΕΡΩΜΕΝΗ ΦΑΙΣΤΟΥ </v>
      </c>
      <c r="J4845">
        <v>2892091389</v>
      </c>
      <c r="K4845">
        <v>6974615786</v>
      </c>
      <c r="N4845" t="s">
        <v>615</v>
      </c>
      <c r="O4845" t="s">
        <v>616</v>
      </c>
      <c r="R4845" t="s">
        <v>57</v>
      </c>
      <c r="S4845">
        <v>6</v>
      </c>
      <c r="T4845">
        <v>598</v>
      </c>
      <c r="U4845" s="1">
        <v>39310</v>
      </c>
      <c r="V4845" t="s">
        <v>80</v>
      </c>
      <c r="W4845" t="s">
        <v>81</v>
      </c>
      <c r="X4845" t="s">
        <v>58</v>
      </c>
      <c r="Y4845">
        <v>23</v>
      </c>
      <c r="Z4845" t="s">
        <v>59</v>
      </c>
      <c r="AA4845" t="s">
        <v>59</v>
      </c>
      <c r="AB4845" t="s">
        <v>59</v>
      </c>
      <c r="AC4845" t="s">
        <v>59</v>
      </c>
      <c r="AD4845" t="s">
        <v>59</v>
      </c>
      <c r="AF4845" s="1">
        <v>39328</v>
      </c>
      <c r="AG4845" t="s">
        <v>8645</v>
      </c>
      <c r="AH4845" t="s">
        <v>8646</v>
      </c>
      <c r="AI4845" t="str">
        <f>"9170267"</f>
        <v>9170267</v>
      </c>
      <c r="AJ4845" t="s">
        <v>8840</v>
      </c>
      <c r="AK4845">
        <v>2892022320</v>
      </c>
      <c r="AL4845" t="s">
        <v>8841</v>
      </c>
      <c r="AM4845" t="s">
        <v>78</v>
      </c>
      <c r="AN4845" t="s">
        <v>242</v>
      </c>
      <c r="AO4845" t="s">
        <v>243</v>
      </c>
      <c r="AP4845" t="s">
        <v>243</v>
      </c>
      <c r="AQ4845">
        <v>20</v>
      </c>
      <c r="AR4845" t="s">
        <v>80</v>
      </c>
      <c r="AS4845" t="s">
        <v>81</v>
      </c>
      <c r="AT4845" t="s">
        <v>58</v>
      </c>
      <c r="AU4845" t="s">
        <v>68</v>
      </c>
      <c r="AV4845" t="s">
        <v>69</v>
      </c>
      <c r="AW4845" s="1">
        <v>29234</v>
      </c>
      <c r="AX4845">
        <v>1</v>
      </c>
    </row>
    <row r="4846" spans="1:50">
      <c r="A4846">
        <v>570060</v>
      </c>
      <c r="B4846" t="str">
        <f>"079647616"</f>
        <v>079647616</v>
      </c>
      <c r="C4846" t="s">
        <v>50</v>
      </c>
      <c r="D4846" t="s">
        <v>8844</v>
      </c>
      <c r="E4846" t="s">
        <v>541</v>
      </c>
      <c r="F4846" t="s">
        <v>72</v>
      </c>
      <c r="G4846" t="s">
        <v>52</v>
      </c>
      <c r="H4846" t="str">
        <f>"Γ.ΓΕΝΝΗΜΑΤΑ 48 ΗΡΑΚΛΕΙΟ"</f>
        <v>Γ.ΓΕΝΝΗΜΑΤΑ 48 ΗΡΑΚΛΕΙΟ</v>
      </c>
      <c r="I4846">
        <v>71305</v>
      </c>
      <c r="J4846">
        <v>2810313907</v>
      </c>
      <c r="K4846">
        <v>6932317984</v>
      </c>
      <c r="M4846" t="s">
        <v>8845</v>
      </c>
      <c r="N4846" t="s">
        <v>306</v>
      </c>
      <c r="O4846" t="s">
        <v>307</v>
      </c>
      <c r="R4846" t="s">
        <v>57</v>
      </c>
      <c r="S4846">
        <v>14</v>
      </c>
      <c r="T4846">
        <v>239</v>
      </c>
      <c r="U4846" s="1">
        <v>33969</v>
      </c>
      <c r="V4846" t="s">
        <v>80</v>
      </c>
      <c r="W4846" t="s">
        <v>81</v>
      </c>
      <c r="X4846" t="s">
        <v>58</v>
      </c>
      <c r="Y4846">
        <v>21</v>
      </c>
      <c r="Z4846" t="s">
        <v>59</v>
      </c>
      <c r="AA4846" t="s">
        <v>59</v>
      </c>
      <c r="AB4846" t="s">
        <v>59</v>
      </c>
      <c r="AC4846" t="s">
        <v>59</v>
      </c>
      <c r="AD4846" t="s">
        <v>59</v>
      </c>
      <c r="AF4846" s="1">
        <v>33977</v>
      </c>
      <c r="AG4846" t="s">
        <v>8645</v>
      </c>
      <c r="AH4846" t="s">
        <v>8646</v>
      </c>
      <c r="AI4846" t="str">
        <f>"9170113"</f>
        <v>9170113</v>
      </c>
      <c r="AJ4846" t="s">
        <v>8846</v>
      </c>
      <c r="AK4846">
        <v>2810226174</v>
      </c>
      <c r="AL4846" t="s">
        <v>8847</v>
      </c>
      <c r="AM4846" t="s">
        <v>78</v>
      </c>
      <c r="AN4846" t="s">
        <v>78</v>
      </c>
      <c r="AO4846" t="s">
        <v>78</v>
      </c>
      <c r="AP4846" t="s">
        <v>79</v>
      </c>
      <c r="AQ4846">
        <v>1</v>
      </c>
      <c r="AR4846" t="s">
        <v>80</v>
      </c>
      <c r="AS4846" t="s">
        <v>81</v>
      </c>
      <c r="AT4846" t="s">
        <v>58</v>
      </c>
      <c r="AU4846" t="s">
        <v>68</v>
      </c>
      <c r="AV4846" t="s">
        <v>69</v>
      </c>
      <c r="AW4846" s="1">
        <v>22767</v>
      </c>
      <c r="AX4846">
        <v>1</v>
      </c>
    </row>
    <row r="4847" spans="1:50">
      <c r="A4847">
        <v>610982</v>
      </c>
      <c r="B4847" t="str">
        <f>"068147690"</f>
        <v>068147690</v>
      </c>
      <c r="C4847" t="s">
        <v>105</v>
      </c>
      <c r="D4847" t="s">
        <v>472</v>
      </c>
      <c r="E4847" t="s">
        <v>95</v>
      </c>
      <c r="F4847" t="s">
        <v>72</v>
      </c>
      <c r="G4847" t="s">
        <v>103</v>
      </c>
      <c r="H4847" t="str">
        <f>"Φανερωμένη Φαιστού Φανερωμένη Φαιστού (Ηρακλείου)"</f>
        <v>Φανερωμένη Φαιστού Φανερωμένη Φαιστού (Ηρακλείου)</v>
      </c>
      <c r="I4847">
        <v>70200</v>
      </c>
      <c r="J4847">
        <v>2892091389</v>
      </c>
      <c r="K4847">
        <v>6977098188</v>
      </c>
      <c r="M4847" t="s">
        <v>8848</v>
      </c>
      <c r="N4847" t="s">
        <v>615</v>
      </c>
      <c r="O4847" t="s">
        <v>616</v>
      </c>
      <c r="R4847" t="s">
        <v>57</v>
      </c>
      <c r="S4847">
        <v>8</v>
      </c>
      <c r="T4847">
        <v>233</v>
      </c>
      <c r="U4847" s="1">
        <v>38960</v>
      </c>
      <c r="V4847" t="s">
        <v>80</v>
      </c>
      <c r="W4847" t="s">
        <v>81</v>
      </c>
      <c r="X4847" t="s">
        <v>58</v>
      </c>
      <c r="Y4847">
        <v>23</v>
      </c>
      <c r="Z4847" t="s">
        <v>59</v>
      </c>
      <c r="AA4847" t="s">
        <v>59</v>
      </c>
      <c r="AB4847" t="s">
        <v>59</v>
      </c>
      <c r="AC4847" t="s">
        <v>59</v>
      </c>
      <c r="AD4847" t="s">
        <v>59</v>
      </c>
      <c r="AF4847" s="1">
        <v>38961</v>
      </c>
      <c r="AG4847" t="s">
        <v>8645</v>
      </c>
      <c r="AH4847" t="s">
        <v>8646</v>
      </c>
      <c r="AI4847" t="str">
        <f>"9170338"</f>
        <v>9170338</v>
      </c>
      <c r="AJ4847" t="s">
        <v>8849</v>
      </c>
      <c r="AK4847">
        <v>2892051377</v>
      </c>
      <c r="AL4847" t="s">
        <v>8850</v>
      </c>
      <c r="AM4847" t="s">
        <v>78</v>
      </c>
      <c r="AN4847" t="s">
        <v>242</v>
      </c>
      <c r="AO4847" t="s">
        <v>349</v>
      </c>
      <c r="AP4847" t="s">
        <v>349</v>
      </c>
      <c r="AQ4847">
        <v>19</v>
      </c>
      <c r="AR4847" t="s">
        <v>80</v>
      </c>
      <c r="AS4847" t="s">
        <v>81</v>
      </c>
      <c r="AT4847" t="s">
        <v>58</v>
      </c>
      <c r="AU4847" t="s">
        <v>68</v>
      </c>
      <c r="AV4847" t="s">
        <v>69</v>
      </c>
      <c r="AW4847" s="1">
        <v>29705</v>
      </c>
      <c r="AX4847">
        <v>1</v>
      </c>
    </row>
    <row r="4848" spans="1:50">
      <c r="A4848">
        <v>563394</v>
      </c>
      <c r="B4848" t="str">
        <f>"034942787"</f>
        <v>034942787</v>
      </c>
      <c r="C4848" t="s">
        <v>105</v>
      </c>
      <c r="D4848" t="s">
        <v>472</v>
      </c>
      <c r="E4848" t="s">
        <v>72</v>
      </c>
      <c r="F4848" t="s">
        <v>166</v>
      </c>
      <c r="G4848" t="s">
        <v>263</v>
      </c>
      <c r="H4848" t="str">
        <f>"ΚΟΡΥΤΣΑΣ 40 ΠΟΡΟΣ"</f>
        <v>ΚΟΡΥΤΣΑΣ 40 ΠΟΡΟΣ</v>
      </c>
      <c r="I4848">
        <v>71307</v>
      </c>
      <c r="N4848" t="s">
        <v>615</v>
      </c>
      <c r="O4848" t="s">
        <v>616</v>
      </c>
      <c r="R4848" t="s">
        <v>57</v>
      </c>
      <c r="S4848">
        <v>15</v>
      </c>
      <c r="T4848">
        <v>194</v>
      </c>
      <c r="U4848" s="1">
        <v>32397</v>
      </c>
      <c r="V4848" t="s">
        <v>80</v>
      </c>
      <c r="W4848" t="s">
        <v>81</v>
      </c>
      <c r="X4848" t="s">
        <v>58</v>
      </c>
      <c r="Y4848">
        <v>21</v>
      </c>
      <c r="Z4848" t="s">
        <v>59</v>
      </c>
      <c r="AA4848" t="s">
        <v>59</v>
      </c>
      <c r="AB4848" t="s">
        <v>59</v>
      </c>
      <c r="AC4848" t="s">
        <v>59</v>
      </c>
      <c r="AD4848" t="s">
        <v>59</v>
      </c>
      <c r="AF4848" s="1">
        <v>32762</v>
      </c>
      <c r="AG4848" t="s">
        <v>8645</v>
      </c>
      <c r="AH4848" t="s">
        <v>8697</v>
      </c>
      <c r="AI4848" t="str">
        <f>"9170511"</f>
        <v>9170511</v>
      </c>
      <c r="AJ4848" t="s">
        <v>8698</v>
      </c>
      <c r="AK4848">
        <v>2810316275</v>
      </c>
      <c r="AL4848" t="s">
        <v>8699</v>
      </c>
      <c r="AM4848" t="s">
        <v>78</v>
      </c>
      <c r="AN4848" t="s">
        <v>78</v>
      </c>
      <c r="AO4848" t="s">
        <v>78</v>
      </c>
      <c r="AP4848" t="s">
        <v>141</v>
      </c>
      <c r="AQ4848">
        <v>1</v>
      </c>
      <c r="AR4848" t="s">
        <v>80</v>
      </c>
      <c r="AS4848" t="s">
        <v>81</v>
      </c>
      <c r="AT4848" t="s">
        <v>58</v>
      </c>
      <c r="AU4848" t="s">
        <v>68</v>
      </c>
      <c r="AV4848" t="s">
        <v>69</v>
      </c>
      <c r="AW4848" s="1">
        <v>22976</v>
      </c>
      <c r="AX4848">
        <v>1</v>
      </c>
    </row>
    <row r="4849" spans="1:50">
      <c r="A4849">
        <v>555294</v>
      </c>
      <c r="B4849" t="str">
        <f>"030874261"</f>
        <v>030874261</v>
      </c>
      <c r="C4849" t="s">
        <v>105</v>
      </c>
      <c r="D4849" t="s">
        <v>472</v>
      </c>
      <c r="E4849" t="s">
        <v>106</v>
      </c>
      <c r="F4849" t="s">
        <v>95</v>
      </c>
      <c r="G4849" t="s">
        <v>109</v>
      </c>
      <c r="H4849" t="str">
        <f>"ΑΓΙΑ ΒΑΡΒΑΡΑ ΗΡΑΚΛΕΙΟ"</f>
        <v>ΑΓΙΑ ΒΑΡΒΑΡΑ ΗΡΑΚΛΕΙΟ</v>
      </c>
      <c r="I4849">
        <v>70003</v>
      </c>
      <c r="J4849">
        <v>2894023777</v>
      </c>
      <c r="K4849">
        <v>6945992441</v>
      </c>
      <c r="M4849" t="s">
        <v>8851</v>
      </c>
      <c r="N4849" t="s">
        <v>615</v>
      </c>
      <c r="O4849" t="s">
        <v>616</v>
      </c>
      <c r="R4849" t="s">
        <v>57</v>
      </c>
      <c r="S4849">
        <v>17</v>
      </c>
      <c r="T4849">
        <v>200</v>
      </c>
      <c r="U4849" s="1">
        <v>31657</v>
      </c>
      <c r="V4849" t="s">
        <v>80</v>
      </c>
      <c r="W4849" t="s">
        <v>81</v>
      </c>
      <c r="X4849" t="s">
        <v>58</v>
      </c>
      <c r="Y4849">
        <v>21</v>
      </c>
      <c r="Z4849" t="s">
        <v>59</v>
      </c>
      <c r="AA4849" t="s">
        <v>59</v>
      </c>
      <c r="AB4849" t="s">
        <v>59</v>
      </c>
      <c r="AC4849" t="s">
        <v>59</v>
      </c>
      <c r="AD4849" t="s">
        <v>59</v>
      </c>
      <c r="AF4849" s="1">
        <v>31666</v>
      </c>
      <c r="AG4849" t="s">
        <v>8645</v>
      </c>
      <c r="AH4849" t="s">
        <v>8646</v>
      </c>
      <c r="AI4849" t="str">
        <f>"9170039"</f>
        <v>9170039</v>
      </c>
      <c r="AJ4849" t="s">
        <v>8804</v>
      </c>
      <c r="AK4849">
        <v>2894022231</v>
      </c>
      <c r="AL4849" t="s">
        <v>8805</v>
      </c>
      <c r="AM4849" t="s">
        <v>78</v>
      </c>
      <c r="AN4849" t="s">
        <v>405</v>
      </c>
      <c r="AO4849" t="s">
        <v>406</v>
      </c>
      <c r="AP4849" t="s">
        <v>406</v>
      </c>
      <c r="AQ4849">
        <v>6</v>
      </c>
      <c r="AR4849" t="s">
        <v>80</v>
      </c>
      <c r="AS4849" t="s">
        <v>81</v>
      </c>
      <c r="AT4849" t="s">
        <v>58</v>
      </c>
      <c r="AU4849" t="s">
        <v>68</v>
      </c>
      <c r="AV4849" t="s">
        <v>69</v>
      </c>
      <c r="AW4849" s="1">
        <v>23082</v>
      </c>
      <c r="AX4849">
        <v>1</v>
      </c>
    </row>
    <row r="4850" spans="1:50">
      <c r="A4850">
        <v>585857</v>
      </c>
      <c r="B4850" t="str">
        <f>"043132082"</f>
        <v>043132082</v>
      </c>
      <c r="C4850" t="s">
        <v>105</v>
      </c>
      <c r="D4850" t="s">
        <v>8852</v>
      </c>
      <c r="E4850" t="s">
        <v>95</v>
      </c>
      <c r="F4850" t="s">
        <v>53</v>
      </c>
      <c r="G4850" t="s">
        <v>5887</v>
      </c>
      <c r="H4850" t="str">
        <f>"ΘΕΡΙΣΟΥ 6 ΗΡΑΚΛΕΙΟ"</f>
        <v>ΘΕΡΙΣΟΥ 6 ΗΡΑΚΛΕΙΟ</v>
      </c>
      <c r="I4850">
        <v>71304</v>
      </c>
      <c r="J4850">
        <v>2810253494</v>
      </c>
      <c r="K4850">
        <v>6944251214</v>
      </c>
      <c r="N4850" t="s">
        <v>615</v>
      </c>
      <c r="O4850" t="s">
        <v>616</v>
      </c>
      <c r="R4850" t="s">
        <v>57</v>
      </c>
      <c r="S4850">
        <v>11</v>
      </c>
      <c r="T4850">
        <v>165</v>
      </c>
      <c r="U4850" s="1">
        <v>36040</v>
      </c>
      <c r="V4850" t="s">
        <v>80</v>
      </c>
      <c r="W4850" t="s">
        <v>81</v>
      </c>
      <c r="X4850" t="s">
        <v>58</v>
      </c>
      <c r="Y4850">
        <v>21</v>
      </c>
      <c r="Z4850" t="s">
        <v>59</v>
      </c>
      <c r="AA4850" t="s">
        <v>59</v>
      </c>
      <c r="AB4850" t="s">
        <v>59</v>
      </c>
      <c r="AC4850" t="s">
        <v>59</v>
      </c>
      <c r="AD4850" t="s">
        <v>59</v>
      </c>
      <c r="AF4850" s="1">
        <v>36045</v>
      </c>
      <c r="AG4850" t="s">
        <v>8645</v>
      </c>
      <c r="AH4850" t="s">
        <v>8646</v>
      </c>
      <c r="AI4850" t="str">
        <f>"9170525"</f>
        <v>9170525</v>
      </c>
      <c r="AJ4850" t="s">
        <v>8853</v>
      </c>
      <c r="AK4850">
        <v>2810256547</v>
      </c>
      <c r="AL4850" t="s">
        <v>8854</v>
      </c>
      <c r="AM4850" t="s">
        <v>78</v>
      </c>
      <c r="AN4850" t="s">
        <v>78</v>
      </c>
      <c r="AO4850" t="s">
        <v>78</v>
      </c>
      <c r="AP4850" t="s">
        <v>141</v>
      </c>
      <c r="AQ4850">
        <v>1</v>
      </c>
      <c r="AR4850" t="s">
        <v>80</v>
      </c>
      <c r="AS4850" t="s">
        <v>81</v>
      </c>
      <c r="AT4850" t="s">
        <v>58</v>
      </c>
      <c r="AU4850" t="s">
        <v>68</v>
      </c>
      <c r="AV4850" t="s">
        <v>69</v>
      </c>
      <c r="AW4850" s="1">
        <v>22608</v>
      </c>
      <c r="AX4850">
        <v>1</v>
      </c>
    </row>
    <row r="4851" spans="1:50">
      <c r="A4851">
        <v>581859</v>
      </c>
      <c r="B4851" t="str">
        <f>"037368570"</f>
        <v>037368570</v>
      </c>
      <c r="C4851" t="s">
        <v>105</v>
      </c>
      <c r="D4851" t="s">
        <v>8852</v>
      </c>
      <c r="E4851" t="s">
        <v>8855</v>
      </c>
      <c r="F4851" t="s">
        <v>450</v>
      </c>
      <c r="G4851" t="s">
        <v>8856</v>
      </c>
      <c r="H4851" t="str">
        <f>"ΛΕΩΦΟΡΟΣ ΚΝΩΣΣΟΥ 188 ΗΡΑΚΛΕΙΟ"</f>
        <v>ΛΕΩΦΟΡΟΣ ΚΝΩΣΣΟΥ 188 ΗΡΑΚΛΕΙΟ</v>
      </c>
      <c r="I4851">
        <v>71306</v>
      </c>
      <c r="J4851">
        <v>2810210538</v>
      </c>
      <c r="K4851">
        <v>6944322425</v>
      </c>
      <c r="N4851" t="s">
        <v>615</v>
      </c>
      <c r="O4851" t="s">
        <v>616</v>
      </c>
      <c r="R4851" t="s">
        <v>57</v>
      </c>
      <c r="S4851">
        <v>12</v>
      </c>
      <c r="T4851">
        <v>179</v>
      </c>
      <c r="U4851" s="1">
        <v>35674</v>
      </c>
      <c r="V4851" t="s">
        <v>80</v>
      </c>
      <c r="W4851" t="s">
        <v>81</v>
      </c>
      <c r="X4851" t="s">
        <v>58</v>
      </c>
      <c r="Y4851">
        <v>21</v>
      </c>
      <c r="Z4851" t="s">
        <v>59</v>
      </c>
      <c r="AA4851" t="s">
        <v>59</v>
      </c>
      <c r="AB4851" t="s">
        <v>59</v>
      </c>
      <c r="AC4851" t="s">
        <v>59</v>
      </c>
      <c r="AD4851" t="s">
        <v>59</v>
      </c>
      <c r="AF4851" s="1">
        <v>35676</v>
      </c>
      <c r="AG4851" t="s">
        <v>8645</v>
      </c>
      <c r="AH4851" t="s">
        <v>8646</v>
      </c>
      <c r="AI4851" t="str">
        <f>"9170514"</f>
        <v>9170514</v>
      </c>
      <c r="AJ4851" t="s">
        <v>8801</v>
      </c>
      <c r="AK4851">
        <v>2810238666</v>
      </c>
      <c r="AL4851" t="s">
        <v>8802</v>
      </c>
      <c r="AM4851" t="s">
        <v>78</v>
      </c>
      <c r="AN4851" t="s">
        <v>78</v>
      </c>
      <c r="AO4851" t="s">
        <v>78</v>
      </c>
      <c r="AP4851" t="s">
        <v>163</v>
      </c>
      <c r="AQ4851">
        <v>1</v>
      </c>
      <c r="AR4851" t="s">
        <v>80</v>
      </c>
      <c r="AS4851" t="s">
        <v>81</v>
      </c>
      <c r="AT4851" t="s">
        <v>58</v>
      </c>
      <c r="AU4851" t="s">
        <v>68</v>
      </c>
      <c r="AV4851" t="s">
        <v>69</v>
      </c>
      <c r="AW4851" s="1">
        <v>22340</v>
      </c>
      <c r="AX4851">
        <v>1</v>
      </c>
    </row>
    <row r="4852" spans="1:50">
      <c r="B4852" t="str">
        <f>"134315586"</f>
        <v>134315586</v>
      </c>
      <c r="C4852" t="s">
        <v>50</v>
      </c>
      <c r="D4852" t="s">
        <v>475</v>
      </c>
      <c r="E4852" t="s">
        <v>188</v>
      </c>
      <c r="F4852" t="s">
        <v>581</v>
      </c>
      <c r="G4852" t="s">
        <v>155</v>
      </c>
      <c r="H4852" t="str">
        <f>"ΤΑΞΙΛΟΥ  "</f>
        <v xml:space="preserve">ΤΑΞΙΛΟΥ  </v>
      </c>
      <c r="I4852">
        <v>15771</v>
      </c>
      <c r="J4852">
        <v>2681087161</v>
      </c>
      <c r="K4852">
        <v>6973741765</v>
      </c>
      <c r="N4852" t="s">
        <v>1525</v>
      </c>
      <c r="O4852" t="s">
        <v>1526</v>
      </c>
      <c r="R4852" t="s">
        <v>159</v>
      </c>
      <c r="S4852">
        <v>2</v>
      </c>
      <c r="T4852" t="s">
        <v>8670</v>
      </c>
      <c r="U4852" s="1">
        <v>43348</v>
      </c>
      <c r="V4852" t="s">
        <v>80</v>
      </c>
      <c r="W4852" t="s">
        <v>81</v>
      </c>
      <c r="X4852" t="s">
        <v>58</v>
      </c>
      <c r="Y4852">
        <v>25</v>
      </c>
      <c r="Z4852" t="s">
        <v>59</v>
      </c>
      <c r="AA4852" t="s">
        <v>59</v>
      </c>
      <c r="AB4852" t="s">
        <v>59</v>
      </c>
      <c r="AC4852" t="s">
        <v>59</v>
      </c>
      <c r="AD4852" t="s">
        <v>59</v>
      </c>
      <c r="AF4852" s="1">
        <v>43348</v>
      </c>
      <c r="AG4852" t="s">
        <v>8651</v>
      </c>
      <c r="AH4852" t="s">
        <v>8652</v>
      </c>
      <c r="AI4852" t="str">
        <f>"9170506"</f>
        <v>9170506</v>
      </c>
      <c r="AJ4852" t="s">
        <v>8758</v>
      </c>
      <c r="AK4852">
        <v>2810312448</v>
      </c>
      <c r="AL4852" t="s">
        <v>8759</v>
      </c>
      <c r="AM4852" t="s">
        <v>78</v>
      </c>
      <c r="AN4852" t="s">
        <v>78</v>
      </c>
      <c r="AO4852" t="s">
        <v>78</v>
      </c>
      <c r="AP4852" t="s">
        <v>141</v>
      </c>
      <c r="AQ4852">
        <v>1</v>
      </c>
      <c r="AR4852" t="s">
        <v>80</v>
      </c>
      <c r="AS4852" t="s">
        <v>81</v>
      </c>
      <c r="AT4852" t="s">
        <v>58</v>
      </c>
      <c r="AU4852" t="s">
        <v>8673</v>
      </c>
      <c r="AV4852" t="s">
        <v>132</v>
      </c>
      <c r="AW4852" s="1">
        <v>30215</v>
      </c>
      <c r="AX4852">
        <v>1</v>
      </c>
    </row>
    <row r="4853" spans="1:50">
      <c r="A4853">
        <v>615395</v>
      </c>
      <c r="B4853" t="str">
        <f>"128333540"</f>
        <v>128333540</v>
      </c>
      <c r="C4853" t="s">
        <v>50</v>
      </c>
      <c r="D4853" t="s">
        <v>8857</v>
      </c>
      <c r="E4853" t="s">
        <v>54</v>
      </c>
      <c r="F4853" t="s">
        <v>53</v>
      </c>
      <c r="G4853" t="s">
        <v>52</v>
      </c>
      <c r="H4853" t="str">
        <f>" "</f>
        <v xml:space="preserve"> </v>
      </c>
      <c r="J4853">
        <v>2894051409</v>
      </c>
      <c r="K4853">
        <v>6947743541</v>
      </c>
      <c r="N4853" t="s">
        <v>1525</v>
      </c>
      <c r="O4853" t="s">
        <v>1526</v>
      </c>
      <c r="R4853" t="s">
        <v>57</v>
      </c>
      <c r="S4853">
        <v>6</v>
      </c>
      <c r="T4853">
        <v>598</v>
      </c>
      <c r="U4853" s="1">
        <v>39310</v>
      </c>
      <c r="V4853" t="s">
        <v>80</v>
      </c>
      <c r="W4853" t="s">
        <v>81</v>
      </c>
      <c r="X4853" t="s">
        <v>58</v>
      </c>
      <c r="Y4853">
        <v>25</v>
      </c>
      <c r="Z4853" t="s">
        <v>59</v>
      </c>
      <c r="AA4853" t="s">
        <v>59</v>
      </c>
      <c r="AB4853" t="s">
        <v>59</v>
      </c>
      <c r="AC4853" t="s">
        <v>59</v>
      </c>
      <c r="AD4853" t="s">
        <v>59</v>
      </c>
      <c r="AF4853" s="1">
        <v>39328</v>
      </c>
      <c r="AG4853" t="s">
        <v>8651</v>
      </c>
      <c r="AH4853" t="s">
        <v>8652</v>
      </c>
      <c r="AI4853" t="str">
        <f>"9170576"</f>
        <v>9170576</v>
      </c>
      <c r="AJ4853" t="s">
        <v>8858</v>
      </c>
      <c r="AK4853">
        <v>2810240001</v>
      </c>
      <c r="AL4853" t="s">
        <v>8859</v>
      </c>
      <c r="AM4853" t="s">
        <v>78</v>
      </c>
      <c r="AN4853" t="s">
        <v>78</v>
      </c>
      <c r="AO4853" t="s">
        <v>286</v>
      </c>
      <c r="AP4853" t="s">
        <v>286</v>
      </c>
      <c r="AQ4853">
        <v>1</v>
      </c>
      <c r="AR4853" t="s">
        <v>80</v>
      </c>
      <c r="AS4853" t="s">
        <v>81</v>
      </c>
      <c r="AT4853" t="s">
        <v>58</v>
      </c>
      <c r="AU4853" t="s">
        <v>68</v>
      </c>
      <c r="AV4853" t="s">
        <v>69</v>
      </c>
      <c r="AW4853" s="1">
        <v>29036</v>
      </c>
      <c r="AX4853">
        <v>1</v>
      </c>
    </row>
    <row r="4854" spans="1:50">
      <c r="A4854">
        <v>567009</v>
      </c>
      <c r="B4854" t="str">
        <f>"050732194"</f>
        <v>050732194</v>
      </c>
      <c r="C4854" t="s">
        <v>50</v>
      </c>
      <c r="D4854" t="s">
        <v>486</v>
      </c>
      <c r="E4854" t="s">
        <v>255</v>
      </c>
      <c r="F4854" t="s">
        <v>72</v>
      </c>
      <c r="G4854" t="s">
        <v>238</v>
      </c>
      <c r="H4854" t="str">
        <f>"ΘΕΝΩΝ 24 ΘΕΡΙΣΟΣ ΗΡΑΚΛΕΙΟΥ"</f>
        <v>ΘΕΝΩΝ 24 ΘΕΡΙΣΟΣ ΗΡΑΚΛΕΙΟΥ</v>
      </c>
      <c r="I4854">
        <v>71305</v>
      </c>
      <c r="J4854">
        <v>2810260388</v>
      </c>
      <c r="K4854">
        <v>6945292798</v>
      </c>
      <c r="N4854" t="s">
        <v>615</v>
      </c>
      <c r="O4854" t="s">
        <v>616</v>
      </c>
      <c r="R4854" t="s">
        <v>57</v>
      </c>
      <c r="S4854">
        <v>14</v>
      </c>
      <c r="T4854">
        <v>133</v>
      </c>
      <c r="U4854" s="1">
        <v>33456</v>
      </c>
      <c r="V4854" t="s">
        <v>80</v>
      </c>
      <c r="W4854" t="s">
        <v>81</v>
      </c>
      <c r="X4854" t="s">
        <v>58</v>
      </c>
      <c r="Y4854">
        <v>21</v>
      </c>
      <c r="Z4854" t="s">
        <v>59</v>
      </c>
      <c r="AA4854" t="s">
        <v>59</v>
      </c>
      <c r="AB4854" t="s">
        <v>59</v>
      </c>
      <c r="AC4854" t="s">
        <v>59</v>
      </c>
      <c r="AD4854" t="s">
        <v>59</v>
      </c>
      <c r="AF4854" s="1">
        <v>33486</v>
      </c>
      <c r="AG4854" t="s">
        <v>8645</v>
      </c>
      <c r="AH4854" t="s">
        <v>8646</v>
      </c>
      <c r="AI4854" t="str">
        <f>"9170424"</f>
        <v>9170424</v>
      </c>
      <c r="AJ4854" t="s">
        <v>8860</v>
      </c>
      <c r="AK4854">
        <v>2810254530</v>
      </c>
      <c r="AL4854" t="s">
        <v>8861</v>
      </c>
      <c r="AM4854" t="s">
        <v>78</v>
      </c>
      <c r="AN4854" t="s">
        <v>78</v>
      </c>
      <c r="AO4854" t="s">
        <v>78</v>
      </c>
      <c r="AP4854" t="s">
        <v>163</v>
      </c>
      <c r="AQ4854">
        <v>1</v>
      </c>
      <c r="AR4854" t="s">
        <v>80</v>
      </c>
      <c r="AS4854" t="s">
        <v>81</v>
      </c>
      <c r="AT4854" t="s">
        <v>58</v>
      </c>
      <c r="AU4854" t="s">
        <v>68</v>
      </c>
      <c r="AV4854" t="s">
        <v>69</v>
      </c>
      <c r="AW4854" s="1">
        <v>24095</v>
      </c>
      <c r="AX4854">
        <v>1</v>
      </c>
    </row>
    <row r="4855" spans="1:50">
      <c r="A4855">
        <v>610739</v>
      </c>
      <c r="B4855" t="str">
        <f>"062486191"</f>
        <v>062486191</v>
      </c>
      <c r="C4855" t="s">
        <v>50</v>
      </c>
      <c r="D4855" t="s">
        <v>486</v>
      </c>
      <c r="E4855" t="s">
        <v>507</v>
      </c>
      <c r="F4855" t="s">
        <v>153</v>
      </c>
      <c r="G4855" t="s">
        <v>52</v>
      </c>
      <c r="H4855" t="str">
        <f>"Μ. ΚΑΡΔΙΩΤΙΣΣΗΣ 55 &amp; ΤΟΜΠΑΖΗ  ΗΡΑΚΛΕΙΟ"</f>
        <v>Μ. ΚΑΡΔΙΩΤΙΣΣΗΣ 55 &amp; ΤΟΜΠΑΖΗ  ΗΡΑΚΛΕΙΟ</v>
      </c>
      <c r="I4855">
        <v>71202</v>
      </c>
      <c r="J4855">
        <v>2810286887</v>
      </c>
      <c r="K4855">
        <v>6972621029</v>
      </c>
      <c r="M4855" t="s">
        <v>8862</v>
      </c>
      <c r="N4855" t="s">
        <v>615</v>
      </c>
      <c r="O4855" t="s">
        <v>616</v>
      </c>
      <c r="R4855" t="s">
        <v>57</v>
      </c>
      <c r="S4855">
        <v>6</v>
      </c>
      <c r="T4855">
        <v>233</v>
      </c>
      <c r="U4855" s="1">
        <v>38960</v>
      </c>
      <c r="V4855" t="s">
        <v>80</v>
      </c>
      <c r="W4855" t="s">
        <v>81</v>
      </c>
      <c r="X4855" t="s">
        <v>58</v>
      </c>
      <c r="Y4855">
        <v>23</v>
      </c>
      <c r="Z4855" t="s">
        <v>59</v>
      </c>
      <c r="AA4855" t="s">
        <v>59</v>
      </c>
      <c r="AB4855" t="s">
        <v>59</v>
      </c>
      <c r="AC4855" t="s">
        <v>59</v>
      </c>
      <c r="AD4855" t="s">
        <v>59</v>
      </c>
      <c r="AF4855" s="1">
        <v>38961</v>
      </c>
      <c r="AG4855" t="s">
        <v>8645</v>
      </c>
      <c r="AH4855" t="s">
        <v>8646</v>
      </c>
      <c r="AI4855" t="str">
        <f>"9170108"</f>
        <v>9170108</v>
      </c>
      <c r="AJ4855" t="s">
        <v>8863</v>
      </c>
      <c r="AK4855">
        <v>2810232111</v>
      </c>
      <c r="AL4855" t="s">
        <v>8864</v>
      </c>
      <c r="AM4855" t="s">
        <v>78</v>
      </c>
      <c r="AN4855" t="s">
        <v>78</v>
      </c>
      <c r="AO4855" t="s">
        <v>78</v>
      </c>
      <c r="AP4855" t="s">
        <v>163</v>
      </c>
      <c r="AQ4855">
        <v>1</v>
      </c>
      <c r="AR4855" t="s">
        <v>80</v>
      </c>
      <c r="AS4855" t="s">
        <v>81</v>
      </c>
      <c r="AT4855" t="s">
        <v>58</v>
      </c>
      <c r="AU4855" t="s">
        <v>68</v>
      </c>
      <c r="AV4855" t="s">
        <v>69</v>
      </c>
      <c r="AW4855" s="1">
        <v>28956</v>
      </c>
      <c r="AX4855">
        <v>1</v>
      </c>
    </row>
    <row r="4856" spans="1:50">
      <c r="B4856" t="str">
        <f>"046237101"</f>
        <v>046237101</v>
      </c>
      <c r="C4856" t="s">
        <v>105</v>
      </c>
      <c r="D4856" t="s">
        <v>497</v>
      </c>
      <c r="E4856" t="s">
        <v>1841</v>
      </c>
      <c r="F4856" t="s">
        <v>53</v>
      </c>
      <c r="G4856" t="s">
        <v>52</v>
      </c>
      <c r="H4856" t="str">
        <f>"Μ. ΒΡΥΣΗ ΚΙΛΚΙΣ"</f>
        <v>Μ. ΒΡΥΣΗ ΚΙΛΚΙΣ</v>
      </c>
      <c r="I4856">
        <v>61100</v>
      </c>
      <c r="J4856">
        <v>2341071631</v>
      </c>
      <c r="K4856">
        <v>6936750662</v>
      </c>
      <c r="N4856" t="s">
        <v>176</v>
      </c>
      <c r="O4856" t="s">
        <v>177</v>
      </c>
      <c r="R4856" t="s">
        <v>57</v>
      </c>
      <c r="S4856">
        <v>5</v>
      </c>
      <c r="T4856" t="s">
        <v>8675</v>
      </c>
      <c r="U4856" s="1">
        <v>43348</v>
      </c>
      <c r="V4856" t="s">
        <v>80</v>
      </c>
      <c r="W4856" t="s">
        <v>81</v>
      </c>
      <c r="X4856" t="s">
        <v>58</v>
      </c>
      <c r="Y4856">
        <v>23</v>
      </c>
      <c r="Z4856" t="s">
        <v>59</v>
      </c>
      <c r="AA4856" t="s">
        <v>59</v>
      </c>
      <c r="AB4856" t="s">
        <v>59</v>
      </c>
      <c r="AC4856" t="s">
        <v>59</v>
      </c>
      <c r="AD4856" t="s">
        <v>59</v>
      </c>
      <c r="AF4856" s="1">
        <v>43348</v>
      </c>
      <c r="AG4856" t="s">
        <v>8645</v>
      </c>
      <c r="AH4856" t="s">
        <v>8646</v>
      </c>
      <c r="AI4856" t="str">
        <f>"9170012"</f>
        <v>9170012</v>
      </c>
      <c r="AJ4856" t="s">
        <v>8865</v>
      </c>
      <c r="AK4856">
        <v>2810811304</v>
      </c>
      <c r="AL4856" t="s">
        <v>8866</v>
      </c>
      <c r="AM4856" t="s">
        <v>78</v>
      </c>
      <c r="AN4856" t="s">
        <v>129</v>
      </c>
      <c r="AO4856" t="s">
        <v>130</v>
      </c>
      <c r="AP4856" t="s">
        <v>8867</v>
      </c>
      <c r="AQ4856">
        <v>2</v>
      </c>
      <c r="AR4856" t="s">
        <v>80</v>
      </c>
      <c r="AS4856" t="s">
        <v>81</v>
      </c>
      <c r="AT4856" t="s">
        <v>58</v>
      </c>
      <c r="AU4856" t="s">
        <v>8673</v>
      </c>
      <c r="AV4856" t="s">
        <v>132</v>
      </c>
      <c r="AW4856" s="1">
        <v>25991</v>
      </c>
      <c r="AX4856">
        <v>1</v>
      </c>
    </row>
    <row r="4857" spans="1:50">
      <c r="A4857">
        <v>703832</v>
      </c>
      <c r="B4857" t="str">
        <f>"114135707"</f>
        <v>114135707</v>
      </c>
      <c r="C4857" t="s">
        <v>50</v>
      </c>
      <c r="D4857" t="s">
        <v>8868</v>
      </c>
      <c r="E4857" t="s">
        <v>340</v>
      </c>
      <c r="F4857" t="s">
        <v>95</v>
      </c>
      <c r="G4857" t="s">
        <v>191</v>
      </c>
      <c r="H4857" t="str">
        <f>"ΑΥΞΕΝΤΙΟΥ 34 "</f>
        <v xml:space="preserve">ΑΥΞΕΝΤΙΟΥ 34 </v>
      </c>
      <c r="I4857">
        <v>41221</v>
      </c>
      <c r="J4857">
        <v>2410281566</v>
      </c>
      <c r="K4857">
        <v>6976259018</v>
      </c>
      <c r="N4857" t="s">
        <v>1525</v>
      </c>
      <c r="O4857" t="s">
        <v>1526</v>
      </c>
      <c r="R4857" t="s">
        <v>57</v>
      </c>
      <c r="S4857">
        <v>6</v>
      </c>
      <c r="T4857">
        <v>224</v>
      </c>
      <c r="U4857" s="1">
        <v>41695</v>
      </c>
      <c r="V4857" t="s">
        <v>80</v>
      </c>
      <c r="W4857" t="s">
        <v>81</v>
      </c>
      <c r="X4857" t="s">
        <v>58</v>
      </c>
      <c r="Y4857">
        <v>25</v>
      </c>
      <c r="Z4857" t="s">
        <v>59</v>
      </c>
      <c r="AA4857" t="s">
        <v>59</v>
      </c>
      <c r="AB4857" t="s">
        <v>59</v>
      </c>
      <c r="AC4857" t="s">
        <v>59</v>
      </c>
      <c r="AD4857" t="s">
        <v>59</v>
      </c>
      <c r="AF4857" s="1">
        <v>41695</v>
      </c>
      <c r="AG4857" t="s">
        <v>8651</v>
      </c>
      <c r="AH4857" t="s">
        <v>8652</v>
      </c>
      <c r="AI4857" t="str">
        <f>"9170414"</f>
        <v>9170414</v>
      </c>
      <c r="AJ4857" t="s">
        <v>8811</v>
      </c>
      <c r="AK4857">
        <v>2810220080</v>
      </c>
      <c r="AL4857" t="s">
        <v>8812</v>
      </c>
      <c r="AM4857" t="s">
        <v>78</v>
      </c>
      <c r="AN4857" t="s">
        <v>78</v>
      </c>
      <c r="AO4857" t="s">
        <v>78</v>
      </c>
      <c r="AP4857" t="s">
        <v>213</v>
      </c>
      <c r="AQ4857">
        <v>1</v>
      </c>
      <c r="AR4857" t="s">
        <v>80</v>
      </c>
      <c r="AS4857" t="s">
        <v>81</v>
      </c>
      <c r="AT4857" t="s">
        <v>58</v>
      </c>
      <c r="AU4857" t="s">
        <v>68</v>
      </c>
      <c r="AV4857" t="s">
        <v>69</v>
      </c>
      <c r="AW4857" s="1">
        <v>30317</v>
      </c>
      <c r="AX4857">
        <v>1</v>
      </c>
    </row>
    <row r="4858" spans="1:50">
      <c r="A4858">
        <v>554815</v>
      </c>
      <c r="B4858" t="str">
        <f>"032694141"</f>
        <v>032694141</v>
      </c>
      <c r="C4858" t="s">
        <v>105</v>
      </c>
      <c r="D4858" t="s">
        <v>502</v>
      </c>
      <c r="E4858" t="s">
        <v>106</v>
      </c>
      <c r="F4858" t="s">
        <v>166</v>
      </c>
      <c r="G4858" t="s">
        <v>215</v>
      </c>
      <c r="H4858" t="str">
        <f>"ΑΓΙΑ ΒΑΡΒΑΡΑ  ΗΡΑΚΛΕΙΟ"</f>
        <v>ΑΓΙΑ ΒΑΡΒΑΡΑ  ΗΡΑΚΛΕΙΟ</v>
      </c>
      <c r="I4858">
        <v>70003</v>
      </c>
      <c r="J4858">
        <v>2894023444</v>
      </c>
      <c r="K4858">
        <v>6936112170</v>
      </c>
      <c r="N4858" t="s">
        <v>615</v>
      </c>
      <c r="O4858" t="s">
        <v>616</v>
      </c>
      <c r="R4858" t="s">
        <v>57</v>
      </c>
      <c r="S4858">
        <v>16</v>
      </c>
      <c r="T4858">
        <v>200</v>
      </c>
      <c r="U4858" s="1">
        <v>31657</v>
      </c>
      <c r="V4858" t="s">
        <v>80</v>
      </c>
      <c r="W4858" t="s">
        <v>81</v>
      </c>
      <c r="X4858" t="s">
        <v>58</v>
      </c>
      <c r="Y4858">
        <v>21</v>
      </c>
      <c r="Z4858" t="s">
        <v>59</v>
      </c>
      <c r="AA4858" t="s">
        <v>59</v>
      </c>
      <c r="AB4858" t="s">
        <v>59</v>
      </c>
      <c r="AC4858" t="s">
        <v>59</v>
      </c>
      <c r="AD4858" t="s">
        <v>59</v>
      </c>
      <c r="AF4858" s="1">
        <v>31666</v>
      </c>
      <c r="AG4858" t="s">
        <v>8645</v>
      </c>
      <c r="AH4858" t="s">
        <v>8646</v>
      </c>
      <c r="AI4858" t="str">
        <f>"9170039"</f>
        <v>9170039</v>
      </c>
      <c r="AJ4858" t="s">
        <v>8804</v>
      </c>
      <c r="AK4858">
        <v>2894022231</v>
      </c>
      <c r="AL4858" t="s">
        <v>8805</v>
      </c>
      <c r="AM4858" t="s">
        <v>78</v>
      </c>
      <c r="AN4858" t="s">
        <v>405</v>
      </c>
      <c r="AO4858" t="s">
        <v>406</v>
      </c>
      <c r="AP4858" t="s">
        <v>406</v>
      </c>
      <c r="AQ4858">
        <v>6</v>
      </c>
      <c r="AR4858" t="s">
        <v>80</v>
      </c>
      <c r="AS4858" t="s">
        <v>81</v>
      </c>
      <c r="AT4858" t="s">
        <v>58</v>
      </c>
      <c r="AU4858" t="s">
        <v>68</v>
      </c>
      <c r="AV4858" t="s">
        <v>69</v>
      </c>
      <c r="AW4858" s="1">
        <v>22735</v>
      </c>
      <c r="AX4858">
        <v>1</v>
      </c>
    </row>
    <row r="4859" spans="1:50">
      <c r="B4859" t="str">
        <f>"128891849"</f>
        <v>128891849</v>
      </c>
      <c r="C4859" t="s">
        <v>50</v>
      </c>
      <c r="D4859" t="s">
        <v>505</v>
      </c>
      <c r="E4859" t="s">
        <v>250</v>
      </c>
      <c r="F4859" t="s">
        <v>84</v>
      </c>
      <c r="G4859" t="s">
        <v>52</v>
      </c>
      <c r="H4859" t="str">
        <f>"ΚΡΙΘΙΑ ΛΑΓΚΑΔΑ "</f>
        <v xml:space="preserve">ΚΡΙΘΙΑ ΛΑΓΚΑΔΑ </v>
      </c>
      <c r="I4859">
        <v>57200</v>
      </c>
      <c r="J4859">
        <v>2394054491</v>
      </c>
      <c r="K4859">
        <v>6978255854</v>
      </c>
      <c r="N4859" t="s">
        <v>615</v>
      </c>
      <c r="O4859" t="s">
        <v>616</v>
      </c>
      <c r="R4859" t="s">
        <v>159</v>
      </c>
      <c r="S4859">
        <v>3</v>
      </c>
      <c r="T4859" t="s">
        <v>8675</v>
      </c>
      <c r="U4859" s="1">
        <v>43348</v>
      </c>
      <c r="V4859" t="s">
        <v>80</v>
      </c>
      <c r="W4859" t="s">
        <v>81</v>
      </c>
      <c r="X4859" t="s">
        <v>58</v>
      </c>
      <c r="Y4859">
        <v>24</v>
      </c>
      <c r="Z4859" t="s">
        <v>59</v>
      </c>
      <c r="AA4859" t="s">
        <v>59</v>
      </c>
      <c r="AB4859" t="s">
        <v>59</v>
      </c>
      <c r="AC4859" t="s">
        <v>59</v>
      </c>
      <c r="AD4859" t="s">
        <v>59</v>
      </c>
      <c r="AF4859" s="1">
        <v>43348</v>
      </c>
      <c r="AG4859" t="s">
        <v>8645</v>
      </c>
      <c r="AH4859" t="s">
        <v>8646</v>
      </c>
      <c r="AI4859" t="str">
        <f>"9170061"</f>
        <v>9170061</v>
      </c>
      <c r="AJ4859" t="s">
        <v>8869</v>
      </c>
      <c r="AK4859">
        <v>2810791254</v>
      </c>
      <c r="AL4859" t="s">
        <v>8870</v>
      </c>
      <c r="AM4859" t="s">
        <v>78</v>
      </c>
      <c r="AN4859" t="s">
        <v>78</v>
      </c>
      <c r="AO4859" t="s">
        <v>78</v>
      </c>
      <c r="AP4859" t="s">
        <v>8871</v>
      </c>
      <c r="AQ4859">
        <v>3</v>
      </c>
      <c r="AR4859" t="s">
        <v>80</v>
      </c>
      <c r="AS4859" t="s">
        <v>81</v>
      </c>
      <c r="AT4859" t="s">
        <v>58</v>
      </c>
      <c r="AU4859" t="s">
        <v>8673</v>
      </c>
      <c r="AV4859" t="s">
        <v>132</v>
      </c>
      <c r="AW4859" s="1">
        <v>31896</v>
      </c>
      <c r="AX4859">
        <v>1</v>
      </c>
    </row>
    <row r="4860" spans="1:50">
      <c r="B4860" t="str">
        <f>"150433370"</f>
        <v>150433370</v>
      </c>
      <c r="C4860" t="s">
        <v>50</v>
      </c>
      <c r="D4860" t="s">
        <v>8872</v>
      </c>
      <c r="E4860" t="s">
        <v>8873</v>
      </c>
      <c r="F4860" t="s">
        <v>72</v>
      </c>
      <c r="G4860" t="s">
        <v>566</v>
      </c>
      <c r="H4860" t="str">
        <f>"Ομήρου ΠΥΡΓΟΣ"</f>
        <v>Ομήρου ΠΥΡΓΟΣ</v>
      </c>
      <c r="I4860">
        <v>27100</v>
      </c>
      <c r="K4860">
        <v>6989296465</v>
      </c>
      <c r="N4860" t="s">
        <v>615</v>
      </c>
      <c r="O4860" t="s">
        <v>616</v>
      </c>
      <c r="R4860" t="s">
        <v>159</v>
      </c>
      <c r="S4860">
        <v>1</v>
      </c>
      <c r="T4860" t="s">
        <v>8675</v>
      </c>
      <c r="U4860" s="1">
        <v>43348</v>
      </c>
      <c r="V4860" t="s">
        <v>80</v>
      </c>
      <c r="W4860" t="s">
        <v>81</v>
      </c>
      <c r="X4860" t="s">
        <v>58</v>
      </c>
      <c r="Y4860">
        <v>24</v>
      </c>
      <c r="Z4860" t="s">
        <v>59</v>
      </c>
      <c r="AA4860" t="s">
        <v>59</v>
      </c>
      <c r="AB4860" t="s">
        <v>59</v>
      </c>
      <c r="AD4860" t="s">
        <v>59</v>
      </c>
      <c r="AF4860" s="1">
        <v>43348</v>
      </c>
      <c r="AG4860" t="s">
        <v>8645</v>
      </c>
      <c r="AH4860" t="s">
        <v>8646</v>
      </c>
      <c r="AI4860" t="str">
        <f>"9170079"</f>
        <v>9170079</v>
      </c>
      <c r="AJ4860" t="s">
        <v>8874</v>
      </c>
      <c r="AK4860">
        <v>2894051292</v>
      </c>
      <c r="AL4860" t="s">
        <v>8875</v>
      </c>
      <c r="AM4860" t="s">
        <v>78</v>
      </c>
      <c r="AN4860" t="s">
        <v>424</v>
      </c>
      <c r="AO4860" t="s">
        <v>428</v>
      </c>
      <c r="AP4860" t="s">
        <v>8876</v>
      </c>
      <c r="AQ4860">
        <v>9</v>
      </c>
      <c r="AR4860" t="s">
        <v>80</v>
      </c>
      <c r="AS4860" t="s">
        <v>81</v>
      </c>
      <c r="AT4860" t="s">
        <v>58</v>
      </c>
      <c r="AU4860" t="s">
        <v>8673</v>
      </c>
      <c r="AV4860" t="s">
        <v>132</v>
      </c>
      <c r="AW4860" s="1">
        <v>32766</v>
      </c>
      <c r="AX4860">
        <v>1</v>
      </c>
    </row>
    <row r="4861" spans="1:50">
      <c r="B4861" t="str">
        <f>"143668261"</f>
        <v>143668261</v>
      </c>
      <c r="C4861" t="s">
        <v>50</v>
      </c>
      <c r="D4861" t="s">
        <v>8877</v>
      </c>
      <c r="E4861" t="s">
        <v>83</v>
      </c>
      <c r="F4861" t="s">
        <v>72</v>
      </c>
      <c r="G4861" t="s">
        <v>566</v>
      </c>
      <c r="H4861" t="str">
        <f>"ΠΕΡΑΜΑ ΓΕΡΟΠΟΤΑΜΟΥ "</f>
        <v xml:space="preserve">ΠΕΡΑΜΑ ΓΕΡΟΠΟΤΑΜΟΥ </v>
      </c>
      <c r="I4861">
        <v>74052</v>
      </c>
      <c r="J4861">
        <v>2834023017</v>
      </c>
      <c r="K4861">
        <v>6972000601</v>
      </c>
      <c r="N4861" t="s">
        <v>615</v>
      </c>
      <c r="O4861" t="s">
        <v>616</v>
      </c>
      <c r="R4861" t="s">
        <v>159</v>
      </c>
      <c r="S4861">
        <v>3</v>
      </c>
      <c r="T4861" t="s">
        <v>8675</v>
      </c>
      <c r="U4861" s="1">
        <v>43348</v>
      </c>
      <c r="V4861" t="s">
        <v>80</v>
      </c>
      <c r="W4861" t="s">
        <v>81</v>
      </c>
      <c r="X4861" t="s">
        <v>58</v>
      </c>
      <c r="Y4861">
        <v>25</v>
      </c>
      <c r="Z4861" t="s">
        <v>59</v>
      </c>
      <c r="AA4861" t="s">
        <v>59</v>
      </c>
      <c r="AB4861" t="s">
        <v>59</v>
      </c>
      <c r="AC4861" t="s">
        <v>59</v>
      </c>
      <c r="AD4861" t="s">
        <v>59</v>
      </c>
      <c r="AF4861" s="1">
        <v>43348</v>
      </c>
      <c r="AG4861" t="s">
        <v>8645</v>
      </c>
      <c r="AH4861" t="s">
        <v>8676</v>
      </c>
      <c r="AI4861" t="str">
        <f>"9170067"</f>
        <v>9170067</v>
      </c>
      <c r="AJ4861" t="s">
        <v>8878</v>
      </c>
      <c r="AK4861">
        <v>2893032007</v>
      </c>
      <c r="AL4861" t="s">
        <v>8879</v>
      </c>
      <c r="AM4861" t="s">
        <v>78</v>
      </c>
      <c r="AN4861" t="s">
        <v>405</v>
      </c>
      <c r="AO4861" t="s">
        <v>805</v>
      </c>
      <c r="AP4861" t="s">
        <v>8880</v>
      </c>
      <c r="AQ4861">
        <v>15</v>
      </c>
      <c r="AR4861" t="s">
        <v>80</v>
      </c>
      <c r="AS4861" t="s">
        <v>81</v>
      </c>
      <c r="AT4861" t="s">
        <v>58</v>
      </c>
      <c r="AU4861" t="s">
        <v>8673</v>
      </c>
      <c r="AV4861" t="s">
        <v>132</v>
      </c>
      <c r="AW4861" s="1">
        <v>32094</v>
      </c>
      <c r="AX4861">
        <v>1</v>
      </c>
    </row>
    <row r="4862" spans="1:50">
      <c r="B4862" t="str">
        <f>"129059229"</f>
        <v>129059229</v>
      </c>
      <c r="C4862" t="s">
        <v>105</v>
      </c>
      <c r="D4862" t="s">
        <v>8881</v>
      </c>
      <c r="E4862" t="s">
        <v>111</v>
      </c>
      <c r="F4862" t="s">
        <v>760</v>
      </c>
      <c r="G4862" t="s">
        <v>181</v>
      </c>
      <c r="H4862" t="str">
        <f>" "</f>
        <v xml:space="preserve"> </v>
      </c>
      <c r="N4862" t="s">
        <v>615</v>
      </c>
      <c r="O4862" t="s">
        <v>616</v>
      </c>
      <c r="R4862" t="s">
        <v>121</v>
      </c>
      <c r="S4862">
        <v>1</v>
      </c>
      <c r="T4862" t="s">
        <v>8675</v>
      </c>
      <c r="U4862" s="1">
        <v>43348</v>
      </c>
      <c r="V4862" t="s">
        <v>80</v>
      </c>
      <c r="W4862" t="s">
        <v>81</v>
      </c>
      <c r="X4862" t="s">
        <v>58</v>
      </c>
      <c r="Y4862">
        <v>25</v>
      </c>
      <c r="Z4862" t="s">
        <v>59</v>
      </c>
      <c r="AA4862" t="s">
        <v>59</v>
      </c>
      <c r="AB4862" t="s">
        <v>59</v>
      </c>
      <c r="AC4862" t="s">
        <v>59</v>
      </c>
      <c r="AD4862" t="s">
        <v>59</v>
      </c>
      <c r="AF4862" s="1">
        <v>43348</v>
      </c>
      <c r="AG4862" t="s">
        <v>8645</v>
      </c>
      <c r="AH4862" t="s">
        <v>8676</v>
      </c>
      <c r="AI4862" t="str">
        <f>"9170067"</f>
        <v>9170067</v>
      </c>
      <c r="AJ4862" t="s">
        <v>8878</v>
      </c>
      <c r="AK4862">
        <v>2893032007</v>
      </c>
      <c r="AL4862" t="s">
        <v>8879</v>
      </c>
      <c r="AM4862" t="s">
        <v>78</v>
      </c>
      <c r="AN4862" t="s">
        <v>405</v>
      </c>
      <c r="AO4862" t="s">
        <v>805</v>
      </c>
      <c r="AP4862" t="s">
        <v>8880</v>
      </c>
      <c r="AQ4862">
        <v>15</v>
      </c>
      <c r="AR4862" t="s">
        <v>80</v>
      </c>
      <c r="AS4862" t="s">
        <v>81</v>
      </c>
      <c r="AT4862" t="s">
        <v>58</v>
      </c>
      <c r="AU4862" t="s">
        <v>8673</v>
      </c>
      <c r="AV4862" t="s">
        <v>132</v>
      </c>
      <c r="AW4862" s="1">
        <v>30755</v>
      </c>
      <c r="AX4862">
        <v>1</v>
      </c>
    </row>
    <row r="4863" spans="1:50">
      <c r="B4863" t="str">
        <f>"119429053"</f>
        <v>119429053</v>
      </c>
      <c r="C4863" t="s">
        <v>105</v>
      </c>
      <c r="D4863" t="s">
        <v>8882</v>
      </c>
      <c r="E4863" t="s">
        <v>108</v>
      </c>
      <c r="F4863" t="s">
        <v>95</v>
      </c>
      <c r="G4863" t="s">
        <v>6958</v>
      </c>
      <c r="H4863" t="str">
        <f>"ΔΑΒΑΚΗ 68 "</f>
        <v xml:space="preserve">ΔΑΒΑΚΗ 68 </v>
      </c>
      <c r="I4863">
        <v>38445</v>
      </c>
      <c r="J4863">
        <v>2421084117</v>
      </c>
      <c r="K4863">
        <v>6972234659</v>
      </c>
      <c r="N4863" t="s">
        <v>8694</v>
      </c>
      <c r="O4863" t="s">
        <v>8695</v>
      </c>
      <c r="R4863" t="s">
        <v>159</v>
      </c>
      <c r="S4863">
        <v>2</v>
      </c>
      <c r="T4863" t="s">
        <v>8696</v>
      </c>
      <c r="U4863" s="1">
        <v>43348</v>
      </c>
      <c r="V4863" t="s">
        <v>80</v>
      </c>
      <c r="W4863" t="s">
        <v>81</v>
      </c>
      <c r="X4863" t="s">
        <v>58</v>
      </c>
      <c r="Y4863">
        <v>24</v>
      </c>
      <c r="Z4863" t="s">
        <v>59</v>
      </c>
      <c r="AA4863" t="s">
        <v>59</v>
      </c>
      <c r="AB4863" t="s">
        <v>59</v>
      </c>
      <c r="AC4863" t="s">
        <v>59</v>
      </c>
      <c r="AD4863" t="s">
        <v>59</v>
      </c>
      <c r="AF4863" s="1">
        <v>43348</v>
      </c>
      <c r="AG4863" t="s">
        <v>8645</v>
      </c>
      <c r="AH4863" t="s">
        <v>8646</v>
      </c>
      <c r="AI4863" t="str">
        <f>"9170043"</f>
        <v>9170043</v>
      </c>
      <c r="AJ4863" t="s">
        <v>8883</v>
      </c>
      <c r="AK4863">
        <v>2894022075</v>
      </c>
      <c r="AL4863" t="s">
        <v>8884</v>
      </c>
      <c r="AM4863" t="s">
        <v>78</v>
      </c>
      <c r="AN4863" t="s">
        <v>405</v>
      </c>
      <c r="AO4863" t="s">
        <v>406</v>
      </c>
      <c r="AP4863" t="s">
        <v>8885</v>
      </c>
      <c r="AQ4863">
        <v>6</v>
      </c>
      <c r="AR4863" t="s">
        <v>80</v>
      </c>
      <c r="AS4863" t="s">
        <v>81</v>
      </c>
      <c r="AT4863" t="s">
        <v>58</v>
      </c>
      <c r="AU4863" t="s">
        <v>350</v>
      </c>
      <c r="AV4863" t="s">
        <v>132</v>
      </c>
      <c r="AW4863" s="1">
        <v>30549</v>
      </c>
      <c r="AX4863">
        <v>1</v>
      </c>
    </row>
    <row r="4864" spans="1:50">
      <c r="A4864">
        <v>565740</v>
      </c>
      <c r="B4864" t="str">
        <f>"035128959"</f>
        <v>035128959</v>
      </c>
      <c r="C4864" t="s">
        <v>50</v>
      </c>
      <c r="D4864" t="s">
        <v>8886</v>
      </c>
      <c r="E4864" t="s">
        <v>513</v>
      </c>
      <c r="F4864" t="s">
        <v>383</v>
      </c>
      <c r="G4864" t="s">
        <v>181</v>
      </c>
      <c r="H4864" t="str">
        <f>"ΛΕΩΦΟΡΟΣ ΙΩΝΙΑΣ 14 ΗΡΑΚΛΕΙΟ"</f>
        <v>ΛΕΩΦΟΡΟΣ ΙΩΝΙΑΣ 14 ΗΡΑΚΛΕΙΟ</v>
      </c>
      <c r="I4864">
        <v>71305</v>
      </c>
      <c r="J4864">
        <v>2810343210</v>
      </c>
      <c r="K4864">
        <v>6947768697</v>
      </c>
      <c r="L4864">
        <v>6972631051</v>
      </c>
      <c r="M4864" t="s">
        <v>8887</v>
      </c>
      <c r="N4864" t="s">
        <v>615</v>
      </c>
      <c r="O4864" t="s">
        <v>616</v>
      </c>
      <c r="P4864" t="s">
        <v>257</v>
      </c>
      <c r="Q4864" t="s">
        <v>258</v>
      </c>
      <c r="R4864" t="s">
        <v>57</v>
      </c>
      <c r="S4864">
        <v>17</v>
      </c>
      <c r="T4864">
        <v>161</v>
      </c>
      <c r="U4864" s="1">
        <v>33119</v>
      </c>
      <c r="V4864" t="s">
        <v>80</v>
      </c>
      <c r="W4864" t="s">
        <v>81</v>
      </c>
      <c r="X4864" t="s">
        <v>58</v>
      </c>
      <c r="Y4864">
        <v>21</v>
      </c>
      <c r="Z4864" t="s">
        <v>59</v>
      </c>
      <c r="AA4864" t="s">
        <v>59</v>
      </c>
      <c r="AB4864" t="s">
        <v>59</v>
      </c>
      <c r="AC4864" t="s">
        <v>59</v>
      </c>
      <c r="AD4864" t="s">
        <v>59</v>
      </c>
      <c r="AF4864" s="1">
        <v>33119</v>
      </c>
      <c r="AG4864" t="s">
        <v>8645</v>
      </c>
      <c r="AH4864" t="s">
        <v>8646</v>
      </c>
      <c r="AI4864" t="str">
        <f>"9170516"</f>
        <v>9170516</v>
      </c>
      <c r="AJ4864" t="s">
        <v>8746</v>
      </c>
      <c r="AK4864">
        <v>2810236861</v>
      </c>
      <c r="AL4864" t="s">
        <v>8747</v>
      </c>
      <c r="AM4864" t="s">
        <v>78</v>
      </c>
      <c r="AN4864" t="s">
        <v>78</v>
      </c>
      <c r="AO4864" t="s">
        <v>78</v>
      </c>
      <c r="AP4864" t="s">
        <v>163</v>
      </c>
      <c r="AQ4864">
        <v>1</v>
      </c>
      <c r="AR4864" t="s">
        <v>80</v>
      </c>
      <c r="AS4864" t="s">
        <v>81</v>
      </c>
      <c r="AT4864" t="s">
        <v>58</v>
      </c>
      <c r="AU4864" t="s">
        <v>68</v>
      </c>
      <c r="AV4864" t="s">
        <v>2039</v>
      </c>
      <c r="AW4864" s="1">
        <v>24437</v>
      </c>
      <c r="AX4864">
        <v>1</v>
      </c>
    </row>
    <row r="4865" spans="1:50">
      <c r="B4865" t="str">
        <f>"119675276"</f>
        <v>119675276</v>
      </c>
      <c r="C4865" t="s">
        <v>50</v>
      </c>
      <c r="D4865" t="s">
        <v>8886</v>
      </c>
      <c r="E4865" t="s">
        <v>2314</v>
      </c>
      <c r="F4865" t="s">
        <v>99</v>
      </c>
      <c r="G4865" t="s">
        <v>620</v>
      </c>
      <c r="H4865" t="str">
        <f>" "</f>
        <v xml:space="preserve"> </v>
      </c>
      <c r="N4865" t="s">
        <v>1525</v>
      </c>
      <c r="O4865" t="s">
        <v>1526</v>
      </c>
      <c r="R4865" t="s">
        <v>57</v>
      </c>
      <c r="S4865">
        <v>6</v>
      </c>
      <c r="T4865" t="s">
        <v>8670</v>
      </c>
      <c r="U4865" s="1">
        <v>43348</v>
      </c>
      <c r="V4865" t="s">
        <v>80</v>
      </c>
      <c r="W4865" t="s">
        <v>81</v>
      </c>
      <c r="X4865" t="s">
        <v>58</v>
      </c>
      <c r="Y4865">
        <v>25</v>
      </c>
      <c r="Z4865" t="s">
        <v>59</v>
      </c>
      <c r="AA4865" t="s">
        <v>59</v>
      </c>
      <c r="AB4865" t="s">
        <v>59</v>
      </c>
      <c r="AD4865" t="s">
        <v>59</v>
      </c>
      <c r="AF4865" s="1">
        <v>43348</v>
      </c>
      <c r="AG4865" t="s">
        <v>8651</v>
      </c>
      <c r="AH4865" t="s">
        <v>8652</v>
      </c>
      <c r="AI4865" t="str">
        <f>"9170318"</f>
        <v>9170318</v>
      </c>
      <c r="AJ4865" t="s">
        <v>8888</v>
      </c>
      <c r="AK4865">
        <v>2893023231</v>
      </c>
      <c r="AL4865" t="s">
        <v>8889</v>
      </c>
      <c r="AM4865" t="s">
        <v>78</v>
      </c>
      <c r="AN4865" t="s">
        <v>424</v>
      </c>
      <c r="AO4865" t="s">
        <v>577</v>
      </c>
      <c r="AP4865" t="s">
        <v>1668</v>
      </c>
      <c r="AQ4865">
        <v>10</v>
      </c>
      <c r="AR4865" t="s">
        <v>80</v>
      </c>
      <c r="AS4865" t="s">
        <v>81</v>
      </c>
      <c r="AT4865" t="s">
        <v>58</v>
      </c>
      <c r="AU4865" t="s">
        <v>8673</v>
      </c>
      <c r="AV4865" t="s">
        <v>132</v>
      </c>
      <c r="AW4865" s="1">
        <v>29263</v>
      </c>
      <c r="AX4865">
        <v>1</v>
      </c>
    </row>
    <row r="4866" spans="1:50">
      <c r="B4866" t="str">
        <f>"131988683"</f>
        <v>131988683</v>
      </c>
      <c r="C4866" t="s">
        <v>50</v>
      </c>
      <c r="D4866" t="s">
        <v>8890</v>
      </c>
      <c r="E4866" t="s">
        <v>250</v>
      </c>
      <c r="F4866" t="s">
        <v>6024</v>
      </c>
      <c r="G4866" t="s">
        <v>3477</v>
      </c>
      <c r="H4866" t="str">
        <f>"ΕΛΕΥΘΕΡΙΟΥ ΒΕΝΙΖΕΛΟΥ 81Β "</f>
        <v xml:space="preserve">ΕΛΕΥΘΕΡΙΟΥ ΒΕΝΙΖΕΛΟΥ 81Β </v>
      </c>
      <c r="I4866">
        <v>18863</v>
      </c>
      <c r="J4866">
        <v>2104020588</v>
      </c>
      <c r="K4866">
        <v>6947090313</v>
      </c>
      <c r="N4866" t="s">
        <v>1525</v>
      </c>
      <c r="O4866" t="s">
        <v>1526</v>
      </c>
      <c r="R4866" t="s">
        <v>159</v>
      </c>
      <c r="S4866">
        <v>3</v>
      </c>
      <c r="T4866" t="s">
        <v>8670</v>
      </c>
      <c r="U4866" s="1">
        <v>43348</v>
      </c>
      <c r="V4866" t="s">
        <v>80</v>
      </c>
      <c r="W4866" t="s">
        <v>81</v>
      </c>
      <c r="X4866" t="s">
        <v>58</v>
      </c>
      <c r="Y4866">
        <v>25</v>
      </c>
      <c r="Z4866" t="s">
        <v>59</v>
      </c>
      <c r="AA4866" t="s">
        <v>59</v>
      </c>
      <c r="AB4866" t="s">
        <v>59</v>
      </c>
      <c r="AC4866" t="s">
        <v>59</v>
      </c>
      <c r="AD4866" t="s">
        <v>59</v>
      </c>
      <c r="AF4866" s="1">
        <v>43348</v>
      </c>
      <c r="AG4866" t="s">
        <v>8651</v>
      </c>
      <c r="AH4866" t="s">
        <v>8652</v>
      </c>
      <c r="AI4866" t="str">
        <f>"9170394"</f>
        <v>9170394</v>
      </c>
      <c r="AJ4866" t="s">
        <v>8891</v>
      </c>
      <c r="AK4866">
        <v>2894023548</v>
      </c>
      <c r="AL4866" t="s">
        <v>8892</v>
      </c>
      <c r="AM4866" t="s">
        <v>78</v>
      </c>
      <c r="AN4866" t="s">
        <v>405</v>
      </c>
      <c r="AO4866" t="s">
        <v>406</v>
      </c>
      <c r="AP4866" t="s">
        <v>8893</v>
      </c>
      <c r="AQ4866">
        <v>6</v>
      </c>
      <c r="AR4866" t="s">
        <v>80</v>
      </c>
      <c r="AS4866" t="s">
        <v>81</v>
      </c>
      <c r="AT4866" t="s">
        <v>58</v>
      </c>
      <c r="AU4866" t="s">
        <v>8673</v>
      </c>
      <c r="AV4866" t="s">
        <v>132</v>
      </c>
      <c r="AW4866" s="1">
        <v>30733</v>
      </c>
      <c r="AX4866">
        <v>1</v>
      </c>
    </row>
    <row r="4867" spans="1:50">
      <c r="A4867">
        <v>574452</v>
      </c>
      <c r="B4867" t="str">
        <f>"035810045"</f>
        <v>035810045</v>
      </c>
      <c r="C4867" t="s">
        <v>50</v>
      </c>
      <c r="D4867" t="s">
        <v>8894</v>
      </c>
      <c r="E4867" t="s">
        <v>188</v>
      </c>
      <c r="F4867" t="s">
        <v>99</v>
      </c>
      <c r="G4867" t="s">
        <v>215</v>
      </c>
      <c r="H4867" t="str">
        <f>"ΠΕΤΡΑΚΟΓΙΩΡΓΗ 22 ΗΡΑΚΛΕΙΟ"</f>
        <v>ΠΕΤΡΑΚΟΓΙΩΡΓΗ 22 ΗΡΑΚΛΕΙΟ</v>
      </c>
      <c r="J4867">
        <v>2810261718</v>
      </c>
      <c r="K4867">
        <v>6936044063</v>
      </c>
      <c r="N4867" t="s">
        <v>1525</v>
      </c>
      <c r="O4867" t="s">
        <v>1526</v>
      </c>
      <c r="R4867" t="s">
        <v>57</v>
      </c>
      <c r="S4867">
        <v>14</v>
      </c>
      <c r="T4867">
        <v>160</v>
      </c>
      <c r="U4867" s="1">
        <v>34582</v>
      </c>
      <c r="V4867" t="s">
        <v>80</v>
      </c>
      <c r="W4867" t="s">
        <v>81</v>
      </c>
      <c r="X4867" t="s">
        <v>58</v>
      </c>
      <c r="Y4867">
        <v>25</v>
      </c>
      <c r="Z4867" t="s">
        <v>59</v>
      </c>
      <c r="AA4867" t="s">
        <v>59</v>
      </c>
      <c r="AB4867" t="s">
        <v>59</v>
      </c>
      <c r="AC4867" t="s">
        <v>59</v>
      </c>
      <c r="AD4867" t="s">
        <v>59</v>
      </c>
      <c r="AF4867" s="1">
        <v>34582</v>
      </c>
      <c r="AG4867" t="s">
        <v>8651</v>
      </c>
      <c r="AH4867" t="s">
        <v>8652</v>
      </c>
      <c r="AI4867" t="str">
        <f>"9170400"</f>
        <v>9170400</v>
      </c>
      <c r="AJ4867" t="s">
        <v>8895</v>
      </c>
      <c r="AK4867">
        <v>2810312158</v>
      </c>
      <c r="AL4867" t="s">
        <v>8896</v>
      </c>
      <c r="AM4867" t="s">
        <v>78</v>
      </c>
      <c r="AN4867" t="s">
        <v>78</v>
      </c>
      <c r="AO4867" t="s">
        <v>78</v>
      </c>
      <c r="AP4867" t="s">
        <v>79</v>
      </c>
      <c r="AQ4867">
        <v>1</v>
      </c>
      <c r="AR4867" t="s">
        <v>80</v>
      </c>
      <c r="AS4867" t="s">
        <v>81</v>
      </c>
      <c r="AT4867" t="s">
        <v>58</v>
      </c>
      <c r="AU4867" t="s">
        <v>68</v>
      </c>
      <c r="AV4867" t="s">
        <v>69</v>
      </c>
      <c r="AW4867" s="1">
        <v>23208</v>
      </c>
      <c r="AX4867">
        <v>1</v>
      </c>
    </row>
    <row r="4868" spans="1:50">
      <c r="A4868">
        <v>568882</v>
      </c>
      <c r="B4868" t="str">
        <f>"062285805"</f>
        <v>062285805</v>
      </c>
      <c r="C4868" t="s">
        <v>50</v>
      </c>
      <c r="D4868" t="s">
        <v>8897</v>
      </c>
      <c r="E4868" t="s">
        <v>507</v>
      </c>
      <c r="F4868" t="s">
        <v>95</v>
      </c>
      <c r="G4868" t="s">
        <v>255</v>
      </c>
      <c r="H4868" t="str">
        <f>"ΒΟΝΗ ΚΑΣΤΕΛΛΙ"</f>
        <v>ΒΟΝΗ ΚΑΣΤΕΛΛΙ</v>
      </c>
      <c r="I4868">
        <v>70006</v>
      </c>
      <c r="K4868">
        <v>6976782134</v>
      </c>
      <c r="N4868" t="s">
        <v>615</v>
      </c>
      <c r="O4868" t="s">
        <v>616</v>
      </c>
      <c r="R4868" t="s">
        <v>57</v>
      </c>
      <c r="S4868">
        <v>14</v>
      </c>
      <c r="T4868">
        <v>162</v>
      </c>
      <c r="U4868" s="1">
        <v>33844</v>
      </c>
      <c r="V4868" t="s">
        <v>80</v>
      </c>
      <c r="W4868" t="s">
        <v>81</v>
      </c>
      <c r="X4868" t="s">
        <v>58</v>
      </c>
      <c r="Y4868">
        <v>21</v>
      </c>
      <c r="Z4868" t="s">
        <v>59</v>
      </c>
      <c r="AA4868" t="s">
        <v>59</v>
      </c>
      <c r="AB4868" t="s">
        <v>59</v>
      </c>
      <c r="AC4868" t="s">
        <v>59</v>
      </c>
      <c r="AD4868" t="s">
        <v>59</v>
      </c>
      <c r="AF4868" s="1">
        <v>33848</v>
      </c>
      <c r="AG4868" t="s">
        <v>8645</v>
      </c>
      <c r="AH4868" t="s">
        <v>8646</v>
      </c>
      <c r="AI4868" t="str">
        <f>"9170228"</f>
        <v>9170228</v>
      </c>
      <c r="AJ4868" t="s">
        <v>8898</v>
      </c>
      <c r="AK4868">
        <v>2891041210</v>
      </c>
      <c r="AL4868" t="s">
        <v>8899</v>
      </c>
      <c r="AM4868" t="s">
        <v>78</v>
      </c>
      <c r="AN4868" t="s">
        <v>276</v>
      </c>
      <c r="AO4868" t="s">
        <v>1936</v>
      </c>
      <c r="AP4868" t="s">
        <v>1936</v>
      </c>
      <c r="AQ4868">
        <v>13</v>
      </c>
      <c r="AR4868" t="s">
        <v>80</v>
      </c>
      <c r="AS4868" t="s">
        <v>81</v>
      </c>
      <c r="AT4868" t="s">
        <v>58</v>
      </c>
      <c r="AU4868" t="s">
        <v>68</v>
      </c>
      <c r="AV4868" t="s">
        <v>69</v>
      </c>
      <c r="AW4868" s="1">
        <v>23873</v>
      </c>
      <c r="AX4868">
        <v>1</v>
      </c>
    </row>
    <row r="4869" spans="1:50">
      <c r="B4869" t="str">
        <f>"141360756"</f>
        <v>141360756</v>
      </c>
      <c r="C4869" t="s">
        <v>50</v>
      </c>
      <c r="D4869" t="s">
        <v>523</v>
      </c>
      <c r="E4869" t="s">
        <v>237</v>
      </c>
      <c r="F4869" t="s">
        <v>95</v>
      </c>
      <c r="G4869" t="s">
        <v>476</v>
      </c>
      <c r="H4869" t="str">
        <f>" "</f>
        <v xml:space="preserve"> </v>
      </c>
      <c r="N4869" t="s">
        <v>683</v>
      </c>
      <c r="O4869" t="s">
        <v>684</v>
      </c>
      <c r="R4869" t="s">
        <v>121</v>
      </c>
      <c r="S4869">
        <v>1</v>
      </c>
      <c r="T4869" t="s">
        <v>8675</v>
      </c>
      <c r="U4869" s="1">
        <v>43348</v>
      </c>
      <c r="V4869" t="s">
        <v>80</v>
      </c>
      <c r="W4869" t="s">
        <v>81</v>
      </c>
      <c r="X4869" t="s">
        <v>58</v>
      </c>
      <c r="Y4869">
        <v>24</v>
      </c>
      <c r="Z4869" t="s">
        <v>59</v>
      </c>
      <c r="AA4869" t="s">
        <v>59</v>
      </c>
      <c r="AB4869" t="s">
        <v>59</v>
      </c>
      <c r="AD4869" t="s">
        <v>59</v>
      </c>
      <c r="AF4869" s="1">
        <v>43348</v>
      </c>
      <c r="AG4869" t="s">
        <v>8645</v>
      </c>
      <c r="AH4869" t="s">
        <v>8646</v>
      </c>
      <c r="AI4869" t="str">
        <f>"9170343"</f>
        <v>9170343</v>
      </c>
      <c r="AJ4869" t="s">
        <v>8743</v>
      </c>
      <c r="AK4869">
        <v>2810283970</v>
      </c>
      <c r="AL4869" t="s">
        <v>8744</v>
      </c>
      <c r="AM4869" t="s">
        <v>78</v>
      </c>
      <c r="AN4869" t="s">
        <v>78</v>
      </c>
      <c r="AO4869" t="s">
        <v>78</v>
      </c>
      <c r="AP4869" t="s">
        <v>79</v>
      </c>
      <c r="AQ4869">
        <v>1</v>
      </c>
      <c r="AR4869" t="s">
        <v>80</v>
      </c>
      <c r="AS4869" t="s">
        <v>81</v>
      </c>
      <c r="AT4869" t="s">
        <v>58</v>
      </c>
      <c r="AU4869" t="s">
        <v>8673</v>
      </c>
      <c r="AV4869" t="s">
        <v>132</v>
      </c>
      <c r="AW4869" s="1">
        <v>32072</v>
      </c>
      <c r="AX4869">
        <v>1</v>
      </c>
    </row>
    <row r="4870" spans="1:50">
      <c r="A4870">
        <v>595650</v>
      </c>
      <c r="B4870" t="str">
        <f>"072531592"</f>
        <v>072531592</v>
      </c>
      <c r="C4870" t="s">
        <v>50</v>
      </c>
      <c r="D4870" t="s">
        <v>523</v>
      </c>
      <c r="E4870" t="s">
        <v>263</v>
      </c>
      <c r="F4870" t="s">
        <v>106</v>
      </c>
      <c r="G4870" t="s">
        <v>188</v>
      </c>
      <c r="H4870" t="str">
        <f>"ΓΙΟΥΧΤΑ 1Α ΗΡΑΚΛΕΙΟ"</f>
        <v>ΓΙΟΥΧΤΑ 1Α ΗΡΑΚΛΕΙΟ</v>
      </c>
      <c r="I4870">
        <v>71307</v>
      </c>
      <c r="J4870">
        <v>2810230780</v>
      </c>
      <c r="K4870">
        <v>6976852000</v>
      </c>
      <c r="N4870" t="s">
        <v>1525</v>
      </c>
      <c r="O4870" t="s">
        <v>1526</v>
      </c>
      <c r="R4870" t="s">
        <v>57</v>
      </c>
      <c r="S4870">
        <v>8</v>
      </c>
      <c r="T4870">
        <v>218</v>
      </c>
      <c r="U4870" s="1">
        <v>37134</v>
      </c>
      <c r="V4870" t="s">
        <v>80</v>
      </c>
      <c r="W4870" t="s">
        <v>81</v>
      </c>
      <c r="X4870" t="s">
        <v>58</v>
      </c>
      <c r="Y4870">
        <v>25</v>
      </c>
      <c r="Z4870" t="s">
        <v>59</v>
      </c>
      <c r="AA4870" t="s">
        <v>59</v>
      </c>
      <c r="AB4870" t="s">
        <v>59</v>
      </c>
      <c r="AC4870" t="s">
        <v>59</v>
      </c>
      <c r="AD4870" t="s">
        <v>59</v>
      </c>
      <c r="AF4870" s="1">
        <v>37140</v>
      </c>
      <c r="AG4870" t="s">
        <v>8651</v>
      </c>
      <c r="AH4870" t="s">
        <v>8652</v>
      </c>
      <c r="AI4870" t="str">
        <f>"9170530"</f>
        <v>9170530</v>
      </c>
      <c r="AJ4870" t="s">
        <v>8900</v>
      </c>
      <c r="AK4870">
        <v>2810238562</v>
      </c>
      <c r="AL4870" t="s">
        <v>8901</v>
      </c>
      <c r="AM4870" t="s">
        <v>78</v>
      </c>
      <c r="AN4870" t="s">
        <v>78</v>
      </c>
      <c r="AO4870" t="s">
        <v>78</v>
      </c>
      <c r="AP4870" t="s">
        <v>79</v>
      </c>
      <c r="AQ4870">
        <v>1</v>
      </c>
      <c r="AR4870" t="s">
        <v>80</v>
      </c>
      <c r="AS4870" t="s">
        <v>81</v>
      </c>
      <c r="AT4870" t="s">
        <v>58</v>
      </c>
      <c r="AU4870" t="s">
        <v>68</v>
      </c>
      <c r="AV4870" t="s">
        <v>69</v>
      </c>
      <c r="AW4870" s="1">
        <v>24629</v>
      </c>
      <c r="AX4870">
        <v>1</v>
      </c>
    </row>
    <row r="4871" spans="1:50">
      <c r="A4871">
        <v>622788</v>
      </c>
      <c r="B4871" t="str">
        <f>"138965746"</f>
        <v>138965746</v>
      </c>
      <c r="C4871" t="s">
        <v>50</v>
      </c>
      <c r="D4871" t="s">
        <v>523</v>
      </c>
      <c r="E4871" t="s">
        <v>263</v>
      </c>
      <c r="F4871" t="s">
        <v>2227</v>
      </c>
      <c r="G4871" t="s">
        <v>314</v>
      </c>
      <c r="H4871" t="str">
        <f>"ΟΡΦΕΟΣ 32 ΗΡΑΚΛΕΙΟ"</f>
        <v>ΟΡΦΕΟΣ 32 ΗΡΑΚΛΕΙΟ</v>
      </c>
      <c r="I4871">
        <v>71409</v>
      </c>
      <c r="J4871">
        <v>2810210768</v>
      </c>
      <c r="K4871">
        <v>6972624071</v>
      </c>
      <c r="M4871" t="s">
        <v>8902</v>
      </c>
      <c r="N4871" t="s">
        <v>1525</v>
      </c>
      <c r="O4871" t="s">
        <v>1526</v>
      </c>
      <c r="R4871" t="s">
        <v>57</v>
      </c>
      <c r="S4871">
        <v>4</v>
      </c>
      <c r="T4871">
        <v>653</v>
      </c>
      <c r="U4871" s="1">
        <v>40043</v>
      </c>
      <c r="V4871" t="s">
        <v>80</v>
      </c>
      <c r="W4871" t="s">
        <v>81</v>
      </c>
      <c r="X4871" t="s">
        <v>58</v>
      </c>
      <c r="Y4871">
        <v>25</v>
      </c>
      <c r="Z4871" t="s">
        <v>59</v>
      </c>
      <c r="AA4871" t="s">
        <v>59</v>
      </c>
      <c r="AB4871" t="s">
        <v>59</v>
      </c>
      <c r="AC4871" t="s">
        <v>59</v>
      </c>
      <c r="AD4871" t="s">
        <v>59</v>
      </c>
      <c r="AF4871" s="1">
        <v>40043</v>
      </c>
      <c r="AG4871" t="s">
        <v>8651</v>
      </c>
      <c r="AH4871" t="s">
        <v>8652</v>
      </c>
      <c r="AI4871" t="str">
        <f>"9170416"</f>
        <v>9170416</v>
      </c>
      <c r="AJ4871" t="s">
        <v>8903</v>
      </c>
      <c r="AK4871">
        <v>2810224704</v>
      </c>
      <c r="AL4871" t="s">
        <v>8904</v>
      </c>
      <c r="AM4871" t="s">
        <v>78</v>
      </c>
      <c r="AN4871" t="s">
        <v>78</v>
      </c>
      <c r="AO4871" t="s">
        <v>78</v>
      </c>
      <c r="AP4871" t="s">
        <v>213</v>
      </c>
      <c r="AQ4871">
        <v>1</v>
      </c>
      <c r="AR4871" t="s">
        <v>80</v>
      </c>
      <c r="AS4871" t="s">
        <v>81</v>
      </c>
      <c r="AT4871" t="s">
        <v>58</v>
      </c>
      <c r="AU4871" t="s">
        <v>68</v>
      </c>
      <c r="AV4871" t="s">
        <v>69</v>
      </c>
      <c r="AW4871" s="1">
        <v>31625</v>
      </c>
      <c r="AX4871">
        <v>1</v>
      </c>
    </row>
    <row r="4872" spans="1:50">
      <c r="A4872">
        <v>583924</v>
      </c>
      <c r="B4872" t="str">
        <f>"036689109"</f>
        <v>036689109</v>
      </c>
      <c r="C4872" t="s">
        <v>50</v>
      </c>
      <c r="D4872" t="s">
        <v>523</v>
      </c>
      <c r="E4872" t="s">
        <v>905</v>
      </c>
      <c r="F4872" t="s">
        <v>760</v>
      </c>
      <c r="G4872" t="s">
        <v>1065</v>
      </c>
      <c r="H4872" t="str">
        <f>" "</f>
        <v xml:space="preserve"> </v>
      </c>
      <c r="N4872" t="s">
        <v>615</v>
      </c>
      <c r="O4872" t="s">
        <v>616</v>
      </c>
      <c r="R4872" t="s">
        <v>57</v>
      </c>
      <c r="S4872">
        <v>13</v>
      </c>
      <c r="T4872">
        <v>165</v>
      </c>
      <c r="U4872" s="1">
        <v>36040</v>
      </c>
      <c r="V4872" t="s">
        <v>80</v>
      </c>
      <c r="W4872" t="s">
        <v>81</v>
      </c>
      <c r="X4872" t="s">
        <v>58</v>
      </c>
      <c r="Y4872">
        <v>21</v>
      </c>
      <c r="Z4872" t="s">
        <v>59</v>
      </c>
      <c r="AA4872" t="s">
        <v>59</v>
      </c>
      <c r="AB4872" t="s">
        <v>59</v>
      </c>
      <c r="AC4872" t="s">
        <v>59</v>
      </c>
      <c r="AD4872" t="s">
        <v>59</v>
      </c>
      <c r="AF4872" s="1">
        <v>36040</v>
      </c>
      <c r="AG4872" t="s">
        <v>8645</v>
      </c>
      <c r="AH4872" t="s">
        <v>8646</v>
      </c>
      <c r="AI4872" t="str">
        <f>"9170300"</f>
        <v>9170300</v>
      </c>
      <c r="AJ4872" t="s">
        <v>8905</v>
      </c>
      <c r="AK4872">
        <v>2892041219</v>
      </c>
      <c r="AL4872" t="s">
        <v>8906</v>
      </c>
      <c r="AM4872" t="s">
        <v>78</v>
      </c>
      <c r="AN4872" t="s">
        <v>242</v>
      </c>
      <c r="AO4872" t="s">
        <v>243</v>
      </c>
      <c r="AP4872" t="s">
        <v>244</v>
      </c>
      <c r="AQ4872">
        <v>18</v>
      </c>
      <c r="AR4872" t="s">
        <v>80</v>
      </c>
      <c r="AS4872" t="s">
        <v>81</v>
      </c>
      <c r="AT4872" t="s">
        <v>58</v>
      </c>
      <c r="AU4872" t="s">
        <v>68</v>
      </c>
      <c r="AV4872" t="s">
        <v>69</v>
      </c>
      <c r="AW4872" s="1">
        <v>23928</v>
      </c>
      <c r="AX4872">
        <v>1</v>
      </c>
    </row>
    <row r="4873" spans="1:50">
      <c r="A4873">
        <v>592050</v>
      </c>
      <c r="B4873" t="str">
        <f>"100570560"</f>
        <v>100570560</v>
      </c>
      <c r="C4873" t="s">
        <v>50</v>
      </c>
      <c r="D4873" t="s">
        <v>523</v>
      </c>
      <c r="E4873" t="s">
        <v>52</v>
      </c>
      <c r="F4873" t="s">
        <v>377</v>
      </c>
      <c r="G4873" t="s">
        <v>620</v>
      </c>
      <c r="H4873" t="str">
        <f>"ΑΒΔΗΡΩΝ ΤΕΡΜΑ (Ο.Τ.266) ΗΡΑΚΛΕΙΟΥ"</f>
        <v>ΑΒΔΗΡΩΝ ΤΕΡΜΑ (Ο.Τ.266) ΗΡΑΚΛΕΙΟΥ</v>
      </c>
      <c r="I4873">
        <v>71409</v>
      </c>
      <c r="J4873">
        <v>2810325296</v>
      </c>
      <c r="K4873">
        <v>6973214976</v>
      </c>
      <c r="M4873" t="s">
        <v>8907</v>
      </c>
      <c r="N4873" t="s">
        <v>1525</v>
      </c>
      <c r="O4873" t="s">
        <v>1526</v>
      </c>
      <c r="R4873" t="s">
        <v>57</v>
      </c>
      <c r="S4873">
        <v>9</v>
      </c>
      <c r="T4873">
        <v>249</v>
      </c>
      <c r="U4873" s="1">
        <v>36769</v>
      </c>
      <c r="V4873" t="s">
        <v>80</v>
      </c>
      <c r="W4873" t="s">
        <v>81</v>
      </c>
      <c r="X4873" t="s">
        <v>58</v>
      </c>
      <c r="Y4873">
        <v>25</v>
      </c>
      <c r="Z4873" t="s">
        <v>59</v>
      </c>
      <c r="AA4873" t="s">
        <v>59</v>
      </c>
      <c r="AB4873" t="s">
        <v>59</v>
      </c>
      <c r="AC4873" t="s">
        <v>59</v>
      </c>
      <c r="AD4873" t="s">
        <v>59</v>
      </c>
      <c r="AF4873" s="1">
        <v>36770</v>
      </c>
      <c r="AG4873" t="s">
        <v>8651</v>
      </c>
      <c r="AH4873" t="s">
        <v>8652</v>
      </c>
      <c r="AI4873" t="str">
        <f>"9521522"</f>
        <v>9521522</v>
      </c>
      <c r="AJ4873" t="s">
        <v>8908</v>
      </c>
      <c r="AK4873">
        <v>2810324296</v>
      </c>
      <c r="AL4873" t="s">
        <v>8909</v>
      </c>
      <c r="AM4873" t="s">
        <v>78</v>
      </c>
      <c r="AN4873" t="s">
        <v>78</v>
      </c>
      <c r="AO4873" t="s">
        <v>78</v>
      </c>
      <c r="AP4873" t="s">
        <v>163</v>
      </c>
      <c r="AQ4873">
        <v>1</v>
      </c>
      <c r="AR4873" t="s">
        <v>80</v>
      </c>
      <c r="AS4873" t="s">
        <v>81</v>
      </c>
      <c r="AT4873" t="s">
        <v>58</v>
      </c>
      <c r="AU4873" t="s">
        <v>68</v>
      </c>
      <c r="AV4873" t="s">
        <v>69</v>
      </c>
      <c r="AW4873" s="1">
        <v>25401</v>
      </c>
      <c r="AX4873">
        <v>1</v>
      </c>
    </row>
    <row r="4874" spans="1:50">
      <c r="A4874">
        <v>581673</v>
      </c>
      <c r="B4874" t="str">
        <f>"064227871"</f>
        <v>064227871</v>
      </c>
      <c r="C4874" t="s">
        <v>50</v>
      </c>
      <c r="D4874" t="s">
        <v>523</v>
      </c>
      <c r="E4874" t="s">
        <v>52</v>
      </c>
      <c r="F4874" t="s">
        <v>72</v>
      </c>
      <c r="G4874" t="s">
        <v>103</v>
      </c>
      <c r="H4874" t="str">
        <f>"ΜΙΧ.ΑΡΧΑΓΓΕΛΟΥ 59 ΗΡΑΚΛΕΙΟ"</f>
        <v>ΜΙΧ.ΑΡΧΑΓΓΕΛΟΥ 59 ΗΡΑΚΛΕΙΟ</v>
      </c>
      <c r="I4874">
        <v>71304</v>
      </c>
      <c r="J4874">
        <v>2810311553</v>
      </c>
      <c r="K4874">
        <v>6936677112</v>
      </c>
      <c r="M4874" t="s">
        <v>8910</v>
      </c>
      <c r="N4874" t="s">
        <v>615</v>
      </c>
      <c r="O4874" t="s">
        <v>616</v>
      </c>
      <c r="R4874" t="s">
        <v>57</v>
      </c>
      <c r="S4874">
        <v>12</v>
      </c>
      <c r="T4874">
        <v>179</v>
      </c>
      <c r="U4874" s="1">
        <v>35674</v>
      </c>
      <c r="V4874" t="s">
        <v>80</v>
      </c>
      <c r="W4874" t="s">
        <v>81</v>
      </c>
      <c r="X4874" t="s">
        <v>58</v>
      </c>
      <c r="Y4874">
        <v>21</v>
      </c>
      <c r="Z4874" t="s">
        <v>59</v>
      </c>
      <c r="AA4874" t="s">
        <v>59</v>
      </c>
      <c r="AB4874" t="s">
        <v>59</v>
      </c>
      <c r="AC4874" t="s">
        <v>59</v>
      </c>
      <c r="AD4874" t="s">
        <v>59</v>
      </c>
      <c r="AF4874" s="1">
        <v>35674</v>
      </c>
      <c r="AG4874" t="s">
        <v>8645</v>
      </c>
      <c r="AH4874" t="s">
        <v>8646</v>
      </c>
      <c r="AI4874" t="str">
        <f>"9170036"</f>
        <v>9170036</v>
      </c>
      <c r="AJ4874" t="s">
        <v>8911</v>
      </c>
      <c r="AK4874">
        <v>2810721466</v>
      </c>
      <c r="AL4874" t="s">
        <v>8912</v>
      </c>
      <c r="AM4874" t="s">
        <v>78</v>
      </c>
      <c r="AN4874" t="s">
        <v>78</v>
      </c>
      <c r="AO4874" t="s">
        <v>78</v>
      </c>
      <c r="AP4874" t="s">
        <v>8913</v>
      </c>
      <c r="AQ4874">
        <v>1</v>
      </c>
      <c r="AR4874" t="s">
        <v>80</v>
      </c>
      <c r="AS4874" t="s">
        <v>81</v>
      </c>
      <c r="AT4874" t="s">
        <v>58</v>
      </c>
      <c r="AU4874" t="s">
        <v>68</v>
      </c>
      <c r="AV4874" t="s">
        <v>69</v>
      </c>
      <c r="AW4874" s="1">
        <v>23130</v>
      </c>
      <c r="AX4874">
        <v>1</v>
      </c>
    </row>
    <row r="4875" spans="1:50">
      <c r="A4875">
        <v>583613</v>
      </c>
      <c r="B4875" t="str">
        <f>"030270256"</f>
        <v>030270256</v>
      </c>
      <c r="C4875" t="s">
        <v>50</v>
      </c>
      <c r="D4875" t="s">
        <v>523</v>
      </c>
      <c r="E4875" t="s">
        <v>8914</v>
      </c>
      <c r="F4875" t="s">
        <v>166</v>
      </c>
      <c r="G4875" t="s">
        <v>237</v>
      </c>
      <c r="H4875" t="str">
        <f>"ΜΕΛΙΝΑΣ ΜΕΡΚΟΥΡΗ 55 ΗΡΑΚΛΕΙΟ"</f>
        <v>ΜΕΛΙΝΑΣ ΜΕΡΚΟΥΡΗ 55 ΗΡΑΚΛΕΙΟ</v>
      </c>
      <c r="I4875">
        <v>71305</v>
      </c>
      <c r="J4875">
        <v>2810254031</v>
      </c>
      <c r="K4875">
        <v>6942527608</v>
      </c>
      <c r="N4875" t="s">
        <v>306</v>
      </c>
      <c r="O4875" t="s">
        <v>307</v>
      </c>
      <c r="R4875" t="s">
        <v>57</v>
      </c>
      <c r="S4875">
        <v>11</v>
      </c>
      <c r="T4875">
        <v>180</v>
      </c>
      <c r="U4875" s="1">
        <v>35674</v>
      </c>
      <c r="V4875" t="s">
        <v>80</v>
      </c>
      <c r="W4875" t="s">
        <v>81</v>
      </c>
      <c r="X4875" t="s">
        <v>58</v>
      </c>
      <c r="Y4875">
        <v>21</v>
      </c>
      <c r="Z4875" t="s">
        <v>59</v>
      </c>
      <c r="AA4875" t="s">
        <v>59</v>
      </c>
      <c r="AB4875" t="s">
        <v>59</v>
      </c>
      <c r="AC4875" t="s">
        <v>59</v>
      </c>
      <c r="AD4875" t="s">
        <v>59</v>
      </c>
      <c r="AF4875" s="1">
        <v>35677</v>
      </c>
      <c r="AG4875" t="s">
        <v>8645</v>
      </c>
      <c r="AH4875" t="s">
        <v>8646</v>
      </c>
      <c r="AI4875" t="str">
        <f>"9170514"</f>
        <v>9170514</v>
      </c>
      <c r="AJ4875" t="s">
        <v>8801</v>
      </c>
      <c r="AK4875">
        <v>2810238666</v>
      </c>
      <c r="AL4875" t="s">
        <v>8802</v>
      </c>
      <c r="AM4875" t="s">
        <v>78</v>
      </c>
      <c r="AN4875" t="s">
        <v>78</v>
      </c>
      <c r="AO4875" t="s">
        <v>78</v>
      </c>
      <c r="AP4875" t="s">
        <v>163</v>
      </c>
      <c r="AQ4875">
        <v>1</v>
      </c>
      <c r="AR4875" t="s">
        <v>80</v>
      </c>
      <c r="AS4875" t="s">
        <v>81</v>
      </c>
      <c r="AT4875" t="s">
        <v>58</v>
      </c>
      <c r="AU4875" t="s">
        <v>68</v>
      </c>
      <c r="AV4875" t="s">
        <v>69</v>
      </c>
      <c r="AW4875" s="1">
        <v>23655</v>
      </c>
      <c r="AX4875">
        <v>1</v>
      </c>
    </row>
    <row r="4876" spans="1:50">
      <c r="A4876">
        <v>617361</v>
      </c>
      <c r="B4876" t="str">
        <f>"137455590"</f>
        <v>137455590</v>
      </c>
      <c r="C4876" t="s">
        <v>50</v>
      </c>
      <c r="D4876" t="s">
        <v>523</v>
      </c>
      <c r="E4876" t="s">
        <v>54</v>
      </c>
      <c r="F4876" t="s">
        <v>95</v>
      </c>
      <c r="G4876" t="s">
        <v>52</v>
      </c>
      <c r="H4876" t="str">
        <f>"ΠΑΤΜΟΥ 9 ΗΡΑΚΛΕΙΟ"</f>
        <v>ΠΑΤΜΟΥ 9 ΗΡΑΚΛΕΙΟ</v>
      </c>
      <c r="I4876">
        <v>71307</v>
      </c>
      <c r="J4876">
        <v>2810239616</v>
      </c>
      <c r="K4876">
        <v>6942464739</v>
      </c>
      <c r="N4876" t="s">
        <v>615</v>
      </c>
      <c r="O4876" t="s">
        <v>616</v>
      </c>
      <c r="R4876" t="s">
        <v>57</v>
      </c>
      <c r="S4876">
        <v>6</v>
      </c>
      <c r="T4876">
        <v>774</v>
      </c>
      <c r="U4876" s="1">
        <v>39680</v>
      </c>
      <c r="V4876" t="s">
        <v>80</v>
      </c>
      <c r="W4876" t="s">
        <v>81</v>
      </c>
      <c r="X4876" t="s">
        <v>58</v>
      </c>
      <c r="Y4876">
        <v>23</v>
      </c>
      <c r="Z4876" t="s">
        <v>59</v>
      </c>
      <c r="AA4876" t="s">
        <v>59</v>
      </c>
      <c r="AB4876" t="s">
        <v>59</v>
      </c>
      <c r="AC4876" t="s">
        <v>59</v>
      </c>
      <c r="AD4876" t="s">
        <v>59</v>
      </c>
      <c r="AF4876" s="1">
        <v>39681</v>
      </c>
      <c r="AG4876" t="s">
        <v>8645</v>
      </c>
      <c r="AH4876" t="s">
        <v>8646</v>
      </c>
      <c r="AI4876" t="str">
        <f>"9170255"</f>
        <v>9170255</v>
      </c>
      <c r="AJ4876" t="s">
        <v>8915</v>
      </c>
      <c r="AK4876">
        <v>2810220750</v>
      </c>
      <c r="AL4876" t="s">
        <v>8916</v>
      </c>
      <c r="AM4876" t="s">
        <v>78</v>
      </c>
      <c r="AN4876" t="s">
        <v>78</v>
      </c>
      <c r="AO4876" t="s">
        <v>78</v>
      </c>
      <c r="AP4876" t="s">
        <v>213</v>
      </c>
      <c r="AQ4876">
        <v>1</v>
      </c>
      <c r="AR4876" t="s">
        <v>80</v>
      </c>
      <c r="AS4876" t="s">
        <v>81</v>
      </c>
      <c r="AT4876" t="s">
        <v>58</v>
      </c>
      <c r="AU4876" t="s">
        <v>68</v>
      </c>
      <c r="AV4876" t="s">
        <v>69</v>
      </c>
      <c r="AW4876" s="1">
        <v>30403</v>
      </c>
      <c r="AX4876">
        <v>1</v>
      </c>
    </row>
    <row r="4877" spans="1:50">
      <c r="A4877">
        <v>617305</v>
      </c>
      <c r="B4877" t="str">
        <f>"103516928"</f>
        <v>103516928</v>
      </c>
      <c r="C4877" t="s">
        <v>105</v>
      </c>
      <c r="D4877" t="s">
        <v>543</v>
      </c>
      <c r="E4877" t="s">
        <v>8917</v>
      </c>
      <c r="F4877" t="s">
        <v>95</v>
      </c>
      <c r="G4877" t="s">
        <v>553</v>
      </c>
      <c r="H4877" t="str">
        <f>"ΚΑΛΛΟΝΗ ΠΕΔΙΑΔΟΣ "</f>
        <v xml:space="preserve">ΚΑΛΛΟΝΗ ΠΕΔΙΑΔΟΣ </v>
      </c>
      <c r="I4877">
        <v>70100</v>
      </c>
      <c r="J4877">
        <v>2810742068</v>
      </c>
      <c r="K4877">
        <v>6972473027</v>
      </c>
      <c r="N4877" t="s">
        <v>615</v>
      </c>
      <c r="O4877" t="s">
        <v>616</v>
      </c>
      <c r="R4877" t="s">
        <v>57</v>
      </c>
      <c r="S4877">
        <v>6</v>
      </c>
      <c r="T4877">
        <v>774</v>
      </c>
      <c r="U4877" s="1">
        <v>39680</v>
      </c>
      <c r="V4877" t="s">
        <v>80</v>
      </c>
      <c r="W4877" t="s">
        <v>81</v>
      </c>
      <c r="X4877" t="s">
        <v>58</v>
      </c>
      <c r="Y4877">
        <v>23</v>
      </c>
      <c r="Z4877" t="s">
        <v>59</v>
      </c>
      <c r="AA4877" t="s">
        <v>59</v>
      </c>
      <c r="AB4877" t="s">
        <v>59</v>
      </c>
      <c r="AC4877" t="s">
        <v>59</v>
      </c>
      <c r="AD4877" t="s">
        <v>59</v>
      </c>
      <c r="AF4877" s="1">
        <v>39681</v>
      </c>
      <c r="AG4877" t="s">
        <v>8645</v>
      </c>
      <c r="AH4877" t="s">
        <v>8676</v>
      </c>
      <c r="AI4877" t="str">
        <f>"9170095"</f>
        <v>9170095</v>
      </c>
      <c r="AJ4877" t="s">
        <v>8918</v>
      </c>
      <c r="AK4877">
        <v>2810741397</v>
      </c>
      <c r="AL4877" t="s">
        <v>8919</v>
      </c>
      <c r="AM4877" t="s">
        <v>78</v>
      </c>
      <c r="AN4877" t="s">
        <v>424</v>
      </c>
      <c r="AO4877" t="s">
        <v>428</v>
      </c>
      <c r="AP4877" t="s">
        <v>8920</v>
      </c>
      <c r="AQ4877">
        <v>11</v>
      </c>
      <c r="AR4877" t="s">
        <v>80</v>
      </c>
      <c r="AS4877" t="s">
        <v>81</v>
      </c>
      <c r="AT4877" t="s">
        <v>58</v>
      </c>
      <c r="AU4877" t="s">
        <v>68</v>
      </c>
      <c r="AV4877" t="s">
        <v>69</v>
      </c>
      <c r="AW4877" s="1">
        <v>29561</v>
      </c>
      <c r="AX4877">
        <v>1</v>
      </c>
    </row>
    <row r="4878" spans="1:50">
      <c r="A4878">
        <v>586888</v>
      </c>
      <c r="B4878" t="str">
        <f>"064485767"</f>
        <v>064485767</v>
      </c>
      <c r="C4878" t="s">
        <v>50</v>
      </c>
      <c r="D4878" t="s">
        <v>544</v>
      </c>
      <c r="E4878" t="s">
        <v>566</v>
      </c>
      <c r="F4878" t="s">
        <v>2165</v>
      </c>
      <c r="G4878" t="s">
        <v>250</v>
      </c>
      <c r="H4878" t="str">
        <f>"Γ.ΣΚΟΥΛΑ 36 ΗΡΑΚΛΕΙΟ"</f>
        <v>Γ.ΣΚΟΥΛΑ 36 ΗΡΑΚΛΕΙΟ</v>
      </c>
      <c r="I4878">
        <v>71305</v>
      </c>
      <c r="J4878">
        <v>2810322349</v>
      </c>
      <c r="K4878">
        <v>6936784555</v>
      </c>
      <c r="N4878" t="s">
        <v>1525</v>
      </c>
      <c r="O4878" t="s">
        <v>1526</v>
      </c>
      <c r="R4878" t="s">
        <v>57</v>
      </c>
      <c r="S4878">
        <v>10</v>
      </c>
      <c r="T4878">
        <v>165</v>
      </c>
      <c r="U4878" s="1">
        <v>36040</v>
      </c>
      <c r="V4878" t="s">
        <v>80</v>
      </c>
      <c r="W4878" t="s">
        <v>81</v>
      </c>
      <c r="X4878" t="s">
        <v>58</v>
      </c>
      <c r="Y4878">
        <v>25</v>
      </c>
      <c r="Z4878" t="s">
        <v>59</v>
      </c>
      <c r="AA4878" t="s">
        <v>59</v>
      </c>
      <c r="AB4878" t="s">
        <v>59</v>
      </c>
      <c r="AC4878" t="s">
        <v>59</v>
      </c>
      <c r="AD4878" t="s">
        <v>59</v>
      </c>
      <c r="AF4878" s="1">
        <v>36042</v>
      </c>
      <c r="AG4878" t="s">
        <v>8651</v>
      </c>
      <c r="AH4878" t="s">
        <v>8652</v>
      </c>
      <c r="AI4878" t="str">
        <f>"9170101"</f>
        <v>9170101</v>
      </c>
      <c r="AJ4878" t="s">
        <v>8753</v>
      </c>
      <c r="AK4878">
        <v>2810238392</v>
      </c>
      <c r="AL4878" t="s">
        <v>8754</v>
      </c>
      <c r="AM4878" t="s">
        <v>78</v>
      </c>
      <c r="AN4878" t="s">
        <v>78</v>
      </c>
      <c r="AO4878" t="s">
        <v>78</v>
      </c>
      <c r="AP4878" t="s">
        <v>163</v>
      </c>
      <c r="AQ4878">
        <v>1</v>
      </c>
      <c r="AR4878" t="s">
        <v>80</v>
      </c>
      <c r="AS4878" t="s">
        <v>81</v>
      </c>
      <c r="AT4878" t="s">
        <v>58</v>
      </c>
      <c r="AU4878" t="s">
        <v>68</v>
      </c>
      <c r="AV4878" t="s">
        <v>69</v>
      </c>
      <c r="AW4878" s="1">
        <v>22907</v>
      </c>
      <c r="AX4878">
        <v>1</v>
      </c>
    </row>
    <row r="4879" spans="1:50">
      <c r="A4879">
        <v>614819</v>
      </c>
      <c r="B4879" t="str">
        <f>"103699083"</f>
        <v>103699083</v>
      </c>
      <c r="C4879" t="s">
        <v>105</v>
      </c>
      <c r="D4879" t="s">
        <v>556</v>
      </c>
      <c r="E4879" t="s">
        <v>95</v>
      </c>
      <c r="F4879" t="s">
        <v>72</v>
      </c>
      <c r="G4879" t="s">
        <v>237</v>
      </c>
      <c r="H4879" t="str">
        <f>"ΠΟΜΠΙΑ ΜΟΙΡΩΝ"</f>
        <v>ΠΟΜΠΙΑ ΜΟΙΡΩΝ</v>
      </c>
      <c r="I4879">
        <v>70400</v>
      </c>
      <c r="J4879">
        <v>2892041295</v>
      </c>
      <c r="K4879">
        <v>6976656525</v>
      </c>
      <c r="M4879" t="s">
        <v>8921</v>
      </c>
      <c r="N4879" t="s">
        <v>615</v>
      </c>
      <c r="O4879" t="s">
        <v>616</v>
      </c>
      <c r="R4879" t="s">
        <v>57</v>
      </c>
      <c r="S4879">
        <v>6</v>
      </c>
      <c r="T4879">
        <v>598</v>
      </c>
      <c r="U4879" s="1">
        <v>39310</v>
      </c>
      <c r="V4879" t="s">
        <v>80</v>
      </c>
      <c r="W4879" t="s">
        <v>81</v>
      </c>
      <c r="X4879" t="s">
        <v>58</v>
      </c>
      <c r="Y4879">
        <v>23</v>
      </c>
      <c r="Z4879" t="s">
        <v>59</v>
      </c>
      <c r="AA4879" t="s">
        <v>59</v>
      </c>
      <c r="AB4879" t="s">
        <v>59</v>
      </c>
      <c r="AC4879" t="s">
        <v>59</v>
      </c>
      <c r="AD4879" t="s">
        <v>59</v>
      </c>
      <c r="AF4879" s="1">
        <v>39328</v>
      </c>
      <c r="AG4879" t="s">
        <v>8645</v>
      </c>
      <c r="AH4879" t="s">
        <v>8646</v>
      </c>
      <c r="AI4879" t="str">
        <f>"9170431"</f>
        <v>9170431</v>
      </c>
      <c r="AJ4879" t="s">
        <v>8658</v>
      </c>
      <c r="AK4879">
        <v>2810250952</v>
      </c>
      <c r="AL4879" t="s">
        <v>8659</v>
      </c>
      <c r="AM4879" t="s">
        <v>78</v>
      </c>
      <c r="AN4879" t="s">
        <v>78</v>
      </c>
      <c r="AO4879" t="s">
        <v>78</v>
      </c>
      <c r="AP4879" t="s">
        <v>141</v>
      </c>
      <c r="AQ4879">
        <v>1</v>
      </c>
      <c r="AR4879" t="s">
        <v>80</v>
      </c>
      <c r="AS4879" t="s">
        <v>81</v>
      </c>
      <c r="AT4879" t="s">
        <v>58</v>
      </c>
      <c r="AU4879" t="s">
        <v>68</v>
      </c>
      <c r="AV4879" t="s">
        <v>69</v>
      </c>
      <c r="AW4879" s="1">
        <v>30218</v>
      </c>
      <c r="AX4879">
        <v>1</v>
      </c>
    </row>
    <row r="4880" spans="1:50">
      <c r="B4880" t="str">
        <f>"129426476"</f>
        <v>129426476</v>
      </c>
      <c r="C4880" t="s">
        <v>50</v>
      </c>
      <c r="D4880" t="s">
        <v>8922</v>
      </c>
      <c r="E4880" t="s">
        <v>238</v>
      </c>
      <c r="F4880" t="s">
        <v>304</v>
      </c>
      <c r="G4880" t="s">
        <v>112</v>
      </c>
      <c r="H4880" t="str">
        <f>"ΘΟΥΚΙΔΥΔΟΥ 30 ΑΓ. ΑΝΑΡΓΥΡΟΙ"</f>
        <v>ΘΟΥΚΙΔΥΔΟΥ 30 ΑΓ. ΑΝΑΡΓΥΡΟΙ</v>
      </c>
      <c r="J4880">
        <v>2322031221</v>
      </c>
      <c r="K4880">
        <v>6936224666</v>
      </c>
      <c r="M4880" t="s">
        <v>8923</v>
      </c>
      <c r="N4880" t="s">
        <v>615</v>
      </c>
      <c r="O4880" t="s">
        <v>616</v>
      </c>
      <c r="R4880" t="s">
        <v>159</v>
      </c>
      <c r="S4880">
        <v>3</v>
      </c>
      <c r="T4880" t="s">
        <v>8675</v>
      </c>
      <c r="U4880" s="1">
        <v>43348</v>
      </c>
      <c r="V4880" t="s">
        <v>80</v>
      </c>
      <c r="W4880" t="s">
        <v>81</v>
      </c>
      <c r="X4880" t="s">
        <v>58</v>
      </c>
      <c r="Y4880">
        <v>24</v>
      </c>
      <c r="Z4880" t="s">
        <v>59</v>
      </c>
      <c r="AA4880" t="s">
        <v>59</v>
      </c>
      <c r="AB4880" t="s">
        <v>59</v>
      </c>
      <c r="AC4880" t="s">
        <v>59</v>
      </c>
      <c r="AD4880" t="s">
        <v>59</v>
      </c>
      <c r="AF4880" s="1">
        <v>43348</v>
      </c>
      <c r="AG4880" t="s">
        <v>8645</v>
      </c>
      <c r="AH4880" t="s">
        <v>8646</v>
      </c>
      <c r="AI4880" t="str">
        <f>"9170018"</f>
        <v>9170018</v>
      </c>
      <c r="AJ4880" t="s">
        <v>8924</v>
      </c>
      <c r="AK4880">
        <v>2810821217</v>
      </c>
      <c r="AL4880" t="s">
        <v>8925</v>
      </c>
      <c r="AM4880" t="s">
        <v>78</v>
      </c>
      <c r="AN4880" t="s">
        <v>129</v>
      </c>
      <c r="AO4880" t="s">
        <v>130</v>
      </c>
      <c r="AP4880" t="s">
        <v>130</v>
      </c>
      <c r="AQ4880">
        <v>1</v>
      </c>
      <c r="AR4880" t="s">
        <v>80</v>
      </c>
      <c r="AS4880" t="s">
        <v>81</v>
      </c>
      <c r="AT4880" t="s">
        <v>58</v>
      </c>
      <c r="AU4880" t="s">
        <v>8673</v>
      </c>
      <c r="AV4880" t="s">
        <v>132</v>
      </c>
      <c r="AW4880" s="1">
        <v>31881</v>
      </c>
      <c r="AX4880">
        <v>1</v>
      </c>
    </row>
    <row r="4881" spans="1:50">
      <c r="B4881" t="str">
        <f>"150403119"</f>
        <v>150403119</v>
      </c>
      <c r="C4881" t="s">
        <v>105</v>
      </c>
      <c r="D4881" t="s">
        <v>8926</v>
      </c>
      <c r="E4881" t="s">
        <v>84</v>
      </c>
      <c r="F4881" t="s">
        <v>965</v>
      </c>
      <c r="G4881" t="s">
        <v>191</v>
      </c>
      <c r="H4881" t="str">
        <f>" "</f>
        <v xml:space="preserve"> </v>
      </c>
      <c r="N4881" t="s">
        <v>615</v>
      </c>
      <c r="O4881" t="s">
        <v>616</v>
      </c>
      <c r="R4881" t="s">
        <v>121</v>
      </c>
      <c r="S4881">
        <v>1</v>
      </c>
      <c r="T4881" t="s">
        <v>8675</v>
      </c>
      <c r="U4881" s="1">
        <v>43348</v>
      </c>
      <c r="V4881" t="s">
        <v>80</v>
      </c>
      <c r="W4881" t="s">
        <v>81</v>
      </c>
      <c r="X4881" t="s">
        <v>58</v>
      </c>
      <c r="Y4881">
        <v>24</v>
      </c>
      <c r="Z4881" t="s">
        <v>59</v>
      </c>
      <c r="AA4881" t="s">
        <v>59</v>
      </c>
      <c r="AB4881" t="s">
        <v>59</v>
      </c>
      <c r="AD4881" t="s">
        <v>59</v>
      </c>
      <c r="AF4881" s="1">
        <v>43348</v>
      </c>
      <c r="AG4881" t="s">
        <v>8645</v>
      </c>
      <c r="AH4881" t="s">
        <v>8646</v>
      </c>
      <c r="AI4881" t="str">
        <f>"9521015"</f>
        <v>9521015</v>
      </c>
      <c r="AJ4881" t="s">
        <v>8927</v>
      </c>
      <c r="AK4881">
        <v>2897029138</v>
      </c>
      <c r="AL4881" t="s">
        <v>8928</v>
      </c>
      <c r="AM4881" t="s">
        <v>78</v>
      </c>
      <c r="AN4881" t="s">
        <v>219</v>
      </c>
      <c r="AO4881" t="s">
        <v>219</v>
      </c>
      <c r="AP4881" t="s">
        <v>220</v>
      </c>
      <c r="AQ4881">
        <v>8</v>
      </c>
      <c r="AR4881" t="s">
        <v>80</v>
      </c>
      <c r="AS4881" t="s">
        <v>81</v>
      </c>
      <c r="AT4881" t="s">
        <v>58</v>
      </c>
      <c r="AU4881" t="s">
        <v>8673</v>
      </c>
      <c r="AV4881" t="s">
        <v>132</v>
      </c>
      <c r="AW4881" s="1">
        <v>32685</v>
      </c>
      <c r="AX4881">
        <v>1</v>
      </c>
    </row>
    <row r="4882" spans="1:50">
      <c r="A4882">
        <v>618726</v>
      </c>
      <c r="B4882" t="str">
        <f>"068145740"</f>
        <v>068145740</v>
      </c>
      <c r="C4882" t="s">
        <v>105</v>
      </c>
      <c r="D4882" t="s">
        <v>565</v>
      </c>
      <c r="E4882" t="s">
        <v>95</v>
      </c>
      <c r="F4882" t="s">
        <v>84</v>
      </c>
      <c r="G4882" t="s">
        <v>52</v>
      </c>
      <c r="H4882" t="str">
        <f>"ΠΕΤΡΑΚΗ 24 ΗΡΑΚΛΕΙΟ"</f>
        <v>ΠΕΤΡΑΚΗ 24 ΗΡΑΚΛΕΙΟ</v>
      </c>
      <c r="I4882">
        <v>71304</v>
      </c>
      <c r="J4882">
        <v>2810262936</v>
      </c>
      <c r="K4882">
        <v>6932474014</v>
      </c>
      <c r="N4882" t="s">
        <v>615</v>
      </c>
      <c r="O4882" t="s">
        <v>616</v>
      </c>
      <c r="P4882" t="s">
        <v>157</v>
      </c>
      <c r="Q4882" t="s">
        <v>158</v>
      </c>
      <c r="R4882" t="s">
        <v>57</v>
      </c>
      <c r="S4882">
        <v>5</v>
      </c>
      <c r="T4882">
        <v>774</v>
      </c>
      <c r="U4882" s="1">
        <v>39680</v>
      </c>
      <c r="V4882" t="s">
        <v>80</v>
      </c>
      <c r="W4882" t="s">
        <v>81</v>
      </c>
      <c r="X4882" t="s">
        <v>58</v>
      </c>
      <c r="Y4882">
        <v>23</v>
      </c>
      <c r="Z4882" t="s">
        <v>59</v>
      </c>
      <c r="AA4882" t="s">
        <v>59</v>
      </c>
      <c r="AB4882" t="s">
        <v>59</v>
      </c>
      <c r="AC4882" t="s">
        <v>59</v>
      </c>
      <c r="AD4882" t="s">
        <v>59</v>
      </c>
      <c r="AF4882" s="1">
        <v>39681</v>
      </c>
      <c r="AG4882" t="s">
        <v>8645</v>
      </c>
      <c r="AH4882" t="s">
        <v>8646</v>
      </c>
      <c r="AI4882" t="str">
        <f>"9170057"</f>
        <v>9170057</v>
      </c>
      <c r="AJ4882" t="s">
        <v>8929</v>
      </c>
      <c r="AK4882">
        <v>2810251505</v>
      </c>
      <c r="AL4882" t="s">
        <v>8930</v>
      </c>
      <c r="AM4882" t="s">
        <v>78</v>
      </c>
      <c r="AN4882" t="s">
        <v>78</v>
      </c>
      <c r="AO4882" t="s">
        <v>78</v>
      </c>
      <c r="AP4882" t="s">
        <v>141</v>
      </c>
      <c r="AQ4882">
        <v>1</v>
      </c>
      <c r="AR4882" t="s">
        <v>80</v>
      </c>
      <c r="AS4882" t="s">
        <v>81</v>
      </c>
      <c r="AT4882" t="s">
        <v>58</v>
      </c>
      <c r="AU4882" t="s">
        <v>68</v>
      </c>
      <c r="AV4882" t="s">
        <v>69</v>
      </c>
      <c r="AW4882" s="1">
        <v>26324</v>
      </c>
      <c r="AX4882">
        <v>1</v>
      </c>
    </row>
    <row r="4883" spans="1:50">
      <c r="A4883">
        <v>596617</v>
      </c>
      <c r="B4883" t="str">
        <f>"072682610"</f>
        <v>072682610</v>
      </c>
      <c r="C4883" t="s">
        <v>105</v>
      </c>
      <c r="D4883" t="s">
        <v>565</v>
      </c>
      <c r="E4883" t="s">
        <v>53</v>
      </c>
      <c r="F4883" t="s">
        <v>166</v>
      </c>
      <c r="G4883" t="s">
        <v>1553</v>
      </c>
      <c r="H4883" t="str">
        <f>" "</f>
        <v xml:space="preserve"> </v>
      </c>
      <c r="J4883">
        <v>2810311948</v>
      </c>
      <c r="L4883">
        <v>2894023245</v>
      </c>
      <c r="N4883" t="s">
        <v>615</v>
      </c>
      <c r="O4883" t="s">
        <v>616</v>
      </c>
      <c r="R4883" t="s">
        <v>57</v>
      </c>
      <c r="S4883">
        <v>9</v>
      </c>
      <c r="T4883">
        <v>195</v>
      </c>
      <c r="U4883" s="1">
        <v>37497</v>
      </c>
      <c r="V4883" t="s">
        <v>80</v>
      </c>
      <c r="W4883" t="s">
        <v>81</v>
      </c>
      <c r="X4883" t="s">
        <v>58</v>
      </c>
      <c r="Y4883">
        <v>22</v>
      </c>
      <c r="Z4883" t="s">
        <v>59</v>
      </c>
      <c r="AA4883" t="s">
        <v>59</v>
      </c>
      <c r="AB4883" t="s">
        <v>59</v>
      </c>
      <c r="AC4883" t="s">
        <v>59</v>
      </c>
      <c r="AD4883" t="s">
        <v>59</v>
      </c>
      <c r="AF4883" s="1">
        <v>37501</v>
      </c>
      <c r="AG4883" t="s">
        <v>8645</v>
      </c>
      <c r="AH4883" t="s">
        <v>8646</v>
      </c>
      <c r="AI4883" t="str">
        <f>"9170255"</f>
        <v>9170255</v>
      </c>
      <c r="AJ4883" t="s">
        <v>8915</v>
      </c>
      <c r="AK4883">
        <v>2810220750</v>
      </c>
      <c r="AL4883" t="s">
        <v>8916</v>
      </c>
      <c r="AM4883" t="s">
        <v>78</v>
      </c>
      <c r="AN4883" t="s">
        <v>78</v>
      </c>
      <c r="AO4883" t="s">
        <v>78</v>
      </c>
      <c r="AP4883" t="s">
        <v>213</v>
      </c>
      <c r="AQ4883">
        <v>1</v>
      </c>
      <c r="AR4883" t="s">
        <v>80</v>
      </c>
      <c r="AS4883" t="s">
        <v>81</v>
      </c>
      <c r="AT4883" t="s">
        <v>58</v>
      </c>
      <c r="AU4883" t="s">
        <v>68</v>
      </c>
      <c r="AV4883" t="s">
        <v>69</v>
      </c>
      <c r="AW4883" s="1">
        <v>25660</v>
      </c>
      <c r="AX4883">
        <v>1</v>
      </c>
    </row>
    <row r="4884" spans="1:50">
      <c r="A4884">
        <v>618329</v>
      </c>
      <c r="B4884" t="str">
        <f>"137245604"</f>
        <v>137245604</v>
      </c>
      <c r="C4884" t="s">
        <v>50</v>
      </c>
      <c r="D4884" t="s">
        <v>568</v>
      </c>
      <c r="E4884" t="s">
        <v>237</v>
      </c>
      <c r="F4884" t="s">
        <v>95</v>
      </c>
      <c r="G4884" t="s">
        <v>83</v>
      </c>
      <c r="H4884" t="str">
        <f>"ΝΙΟΒΗΣ 5 ΗΡΑΚΛΕΙΟ"</f>
        <v>ΝΙΟΒΗΣ 5 ΗΡΑΚΛΕΙΟ</v>
      </c>
      <c r="I4884">
        <v>71305</v>
      </c>
      <c r="J4884">
        <v>2810311411</v>
      </c>
      <c r="K4884">
        <v>6976361651</v>
      </c>
      <c r="N4884" t="s">
        <v>615</v>
      </c>
      <c r="O4884" t="s">
        <v>616</v>
      </c>
      <c r="R4884" t="s">
        <v>57</v>
      </c>
      <c r="S4884">
        <v>5</v>
      </c>
      <c r="T4884">
        <v>774</v>
      </c>
      <c r="U4884" s="1">
        <v>39680</v>
      </c>
      <c r="V4884" t="s">
        <v>80</v>
      </c>
      <c r="W4884" t="s">
        <v>81</v>
      </c>
      <c r="X4884" t="s">
        <v>58</v>
      </c>
      <c r="Y4884">
        <v>23</v>
      </c>
      <c r="Z4884" t="s">
        <v>59</v>
      </c>
      <c r="AA4884" t="s">
        <v>59</v>
      </c>
      <c r="AB4884" t="s">
        <v>59</v>
      </c>
      <c r="AC4884" t="s">
        <v>59</v>
      </c>
      <c r="AD4884" t="s">
        <v>59</v>
      </c>
      <c r="AF4884" s="1">
        <v>39681</v>
      </c>
      <c r="AG4884" t="s">
        <v>8645</v>
      </c>
      <c r="AH4884" t="s">
        <v>8646</v>
      </c>
      <c r="AI4884" t="str">
        <f>"9170061"</f>
        <v>9170061</v>
      </c>
      <c r="AJ4884" t="s">
        <v>8869</v>
      </c>
      <c r="AK4884">
        <v>2810791254</v>
      </c>
      <c r="AL4884" t="s">
        <v>8870</v>
      </c>
      <c r="AM4884" t="s">
        <v>78</v>
      </c>
      <c r="AN4884" t="s">
        <v>78</v>
      </c>
      <c r="AO4884" t="s">
        <v>78</v>
      </c>
      <c r="AP4884" t="s">
        <v>8871</v>
      </c>
      <c r="AQ4884">
        <v>3</v>
      </c>
      <c r="AR4884" t="s">
        <v>80</v>
      </c>
      <c r="AS4884" t="s">
        <v>81</v>
      </c>
      <c r="AT4884" t="s">
        <v>58</v>
      </c>
      <c r="AU4884" t="s">
        <v>68</v>
      </c>
      <c r="AV4884" t="s">
        <v>69</v>
      </c>
      <c r="AW4884" s="1">
        <v>31138</v>
      </c>
      <c r="AX4884">
        <v>1</v>
      </c>
    </row>
    <row r="4885" spans="1:50">
      <c r="A4885">
        <v>565914</v>
      </c>
      <c r="B4885" t="str">
        <f>"070362157"</f>
        <v>070362157</v>
      </c>
      <c r="C4885" t="s">
        <v>50</v>
      </c>
      <c r="D4885" t="s">
        <v>568</v>
      </c>
      <c r="E4885" t="s">
        <v>73</v>
      </c>
      <c r="F4885" t="s">
        <v>3049</v>
      </c>
      <c r="G4885" t="s">
        <v>71</v>
      </c>
      <c r="H4885" t="str">
        <f>"ΑΛ. ΒΟΥΓΙΟΥΚΛΑΚΗ 8 ΗΡΑΚΛΕΙΟ"</f>
        <v>ΑΛ. ΒΟΥΓΙΟΥΚΛΑΚΗ 8 ΗΡΑΚΛΕΙΟ</v>
      </c>
      <c r="J4885">
        <v>2810210284</v>
      </c>
      <c r="K4885">
        <v>6972538870</v>
      </c>
      <c r="M4885" t="s">
        <v>8931</v>
      </c>
      <c r="N4885" t="s">
        <v>615</v>
      </c>
      <c r="O4885" t="s">
        <v>616</v>
      </c>
      <c r="R4885" t="s">
        <v>57</v>
      </c>
      <c r="S4885">
        <v>15</v>
      </c>
      <c r="T4885">
        <v>161</v>
      </c>
      <c r="U4885" s="1">
        <v>33119</v>
      </c>
      <c r="V4885" t="s">
        <v>80</v>
      </c>
      <c r="W4885" t="s">
        <v>81</v>
      </c>
      <c r="X4885" t="s">
        <v>58</v>
      </c>
      <c r="Y4885">
        <v>21</v>
      </c>
      <c r="Z4885" t="s">
        <v>59</v>
      </c>
      <c r="AA4885" t="s">
        <v>59</v>
      </c>
      <c r="AB4885" t="s">
        <v>59</v>
      </c>
      <c r="AC4885" t="s">
        <v>59</v>
      </c>
      <c r="AD4885" t="s">
        <v>59</v>
      </c>
      <c r="AF4885" s="1">
        <v>33121</v>
      </c>
      <c r="AG4885" t="s">
        <v>8645</v>
      </c>
      <c r="AH4885" t="s">
        <v>8646</v>
      </c>
      <c r="AI4885" t="str">
        <f>"9170192"</f>
        <v>9170192</v>
      </c>
      <c r="AJ4885" t="s">
        <v>8661</v>
      </c>
      <c r="AK4885">
        <v>2810231985</v>
      </c>
      <c r="AL4885" t="s">
        <v>8662</v>
      </c>
      <c r="AM4885" t="s">
        <v>78</v>
      </c>
      <c r="AN4885" t="s">
        <v>78</v>
      </c>
      <c r="AO4885" t="s">
        <v>78</v>
      </c>
      <c r="AP4885" t="s">
        <v>163</v>
      </c>
      <c r="AQ4885">
        <v>1</v>
      </c>
      <c r="AR4885" t="s">
        <v>80</v>
      </c>
      <c r="AS4885" t="s">
        <v>81</v>
      </c>
      <c r="AT4885" t="s">
        <v>58</v>
      </c>
      <c r="AU4885" t="s">
        <v>68</v>
      </c>
      <c r="AV4885" t="s">
        <v>69</v>
      </c>
      <c r="AW4885" s="1">
        <v>22716</v>
      </c>
      <c r="AX4885">
        <v>1</v>
      </c>
    </row>
    <row r="4886" spans="1:50">
      <c r="B4886" t="str">
        <f>"147020379"</f>
        <v>147020379</v>
      </c>
      <c r="C4886" t="s">
        <v>50</v>
      </c>
      <c r="D4886" t="s">
        <v>8932</v>
      </c>
      <c r="E4886" t="s">
        <v>263</v>
      </c>
      <c r="F4886" t="s">
        <v>84</v>
      </c>
      <c r="G4886" t="s">
        <v>52</v>
      </c>
      <c r="H4886" t="str">
        <f>"ΑΚΡΟΠΟΛΕΩΣ 22 "</f>
        <v xml:space="preserve">ΑΚΡΟΠΟΛΕΩΣ 22 </v>
      </c>
      <c r="I4886">
        <v>12134</v>
      </c>
      <c r="J4886">
        <v>2105726762</v>
      </c>
      <c r="K4886">
        <v>6983743900</v>
      </c>
      <c r="N4886" t="s">
        <v>615</v>
      </c>
      <c r="O4886" t="s">
        <v>616</v>
      </c>
      <c r="R4886" t="s">
        <v>159</v>
      </c>
      <c r="S4886">
        <v>3</v>
      </c>
      <c r="T4886" t="s">
        <v>8675</v>
      </c>
      <c r="U4886" s="1">
        <v>43348</v>
      </c>
      <c r="V4886" t="s">
        <v>80</v>
      </c>
      <c r="W4886" t="s">
        <v>81</v>
      </c>
      <c r="X4886" t="s">
        <v>58</v>
      </c>
      <c r="Y4886">
        <v>24</v>
      </c>
      <c r="Z4886" t="s">
        <v>59</v>
      </c>
      <c r="AA4886" t="s">
        <v>59</v>
      </c>
      <c r="AB4886" t="s">
        <v>59</v>
      </c>
      <c r="AC4886" t="s">
        <v>59</v>
      </c>
      <c r="AD4886" t="s">
        <v>59</v>
      </c>
      <c r="AF4886" s="1">
        <v>43348</v>
      </c>
      <c r="AG4886" t="s">
        <v>8645</v>
      </c>
      <c r="AH4886" t="s">
        <v>8646</v>
      </c>
      <c r="AI4886" t="str">
        <f>"9170244"</f>
        <v>9170244</v>
      </c>
      <c r="AJ4886" t="s">
        <v>8933</v>
      </c>
      <c r="AK4886">
        <v>2897061213</v>
      </c>
      <c r="AL4886" t="s">
        <v>8934</v>
      </c>
      <c r="AM4886" t="s">
        <v>78</v>
      </c>
      <c r="AN4886" t="s">
        <v>219</v>
      </c>
      <c r="AO4886" t="s">
        <v>527</v>
      </c>
      <c r="AP4886" t="s">
        <v>528</v>
      </c>
      <c r="AQ4886">
        <v>8</v>
      </c>
      <c r="AR4886" t="s">
        <v>80</v>
      </c>
      <c r="AS4886" t="s">
        <v>81</v>
      </c>
      <c r="AT4886" t="s">
        <v>58</v>
      </c>
      <c r="AU4886" t="s">
        <v>8673</v>
      </c>
      <c r="AV4886" t="s">
        <v>132</v>
      </c>
      <c r="AW4886" s="1">
        <v>31960</v>
      </c>
      <c r="AX4886">
        <v>1</v>
      </c>
    </row>
    <row r="4887" spans="1:50">
      <c r="A4887">
        <v>605047</v>
      </c>
      <c r="B4887" t="str">
        <f>"123170001"</f>
        <v>123170001</v>
      </c>
      <c r="C4887" t="s">
        <v>105</v>
      </c>
      <c r="D4887" t="s">
        <v>8935</v>
      </c>
      <c r="E4887" t="s">
        <v>53</v>
      </c>
      <c r="F4887" t="s">
        <v>111</v>
      </c>
      <c r="G4887" t="s">
        <v>181</v>
      </c>
      <c r="H4887" t="str">
        <f>"ΜΑΝΟΥΗΛ ΠΑΝΣΕΛΗΝΟΥ 4 ΗΡΑΚΛΕΙΟ"</f>
        <v>ΜΑΝΟΥΗΛ ΠΑΝΣΕΛΗΝΟΥ 4 ΗΡΑΚΛΕΙΟ</v>
      </c>
      <c r="I4887">
        <v>71409</v>
      </c>
      <c r="J4887">
        <v>2810360638</v>
      </c>
      <c r="K4887">
        <v>6937305075</v>
      </c>
      <c r="M4887" t="s">
        <v>8936</v>
      </c>
      <c r="N4887" t="s">
        <v>615</v>
      </c>
      <c r="O4887" t="s">
        <v>616</v>
      </c>
      <c r="R4887" t="s">
        <v>57</v>
      </c>
      <c r="S4887">
        <v>10</v>
      </c>
      <c r="T4887">
        <v>231</v>
      </c>
      <c r="U4887" s="1">
        <v>38230</v>
      </c>
      <c r="V4887" t="s">
        <v>80</v>
      </c>
      <c r="W4887" t="s">
        <v>81</v>
      </c>
      <c r="X4887" t="s">
        <v>58</v>
      </c>
      <c r="Y4887">
        <v>22</v>
      </c>
      <c r="Z4887" t="s">
        <v>59</v>
      </c>
      <c r="AA4887" t="s">
        <v>59</v>
      </c>
      <c r="AB4887" t="s">
        <v>59</v>
      </c>
      <c r="AC4887" t="s">
        <v>59</v>
      </c>
      <c r="AD4887" t="s">
        <v>59</v>
      </c>
      <c r="AF4887" s="1">
        <v>38231</v>
      </c>
      <c r="AG4887" t="s">
        <v>8645</v>
      </c>
      <c r="AH4887" t="s">
        <v>8646</v>
      </c>
      <c r="AI4887" t="str">
        <f>"9170259"</f>
        <v>9170259</v>
      </c>
      <c r="AJ4887" t="s">
        <v>8784</v>
      </c>
      <c r="AK4887">
        <v>6994891960</v>
      </c>
      <c r="AL4887" t="s">
        <v>8785</v>
      </c>
      <c r="AM4887" t="s">
        <v>78</v>
      </c>
      <c r="AN4887" t="s">
        <v>78</v>
      </c>
      <c r="AO4887" t="s">
        <v>78</v>
      </c>
      <c r="AP4887" t="s">
        <v>213</v>
      </c>
      <c r="AQ4887">
        <v>1</v>
      </c>
      <c r="AR4887" t="s">
        <v>80</v>
      </c>
      <c r="AS4887" t="s">
        <v>81</v>
      </c>
      <c r="AT4887" t="s">
        <v>58</v>
      </c>
      <c r="AU4887" t="s">
        <v>68</v>
      </c>
      <c r="AV4887" t="s">
        <v>69</v>
      </c>
      <c r="AW4887" s="1">
        <v>26952</v>
      </c>
      <c r="AX4887">
        <v>1</v>
      </c>
    </row>
    <row r="4888" spans="1:50">
      <c r="B4888" t="str">
        <f>"142388253"</f>
        <v>142388253</v>
      </c>
      <c r="C4888" t="s">
        <v>50</v>
      </c>
      <c r="D4888" t="s">
        <v>8937</v>
      </c>
      <c r="E4888" t="s">
        <v>83</v>
      </c>
      <c r="F4888" t="s">
        <v>99</v>
      </c>
      <c r="G4888" t="s">
        <v>3444</v>
      </c>
      <c r="H4888" t="str">
        <f>"ΔΩΡΙΕΩΝ  18 "</f>
        <v xml:space="preserve">ΔΩΡΙΕΩΝ  18 </v>
      </c>
      <c r="I4888">
        <v>35100</v>
      </c>
      <c r="J4888">
        <v>2231039485</v>
      </c>
      <c r="K4888">
        <v>6979679720</v>
      </c>
      <c r="N4888" t="s">
        <v>615</v>
      </c>
      <c r="O4888" t="s">
        <v>616</v>
      </c>
      <c r="R4888" t="s">
        <v>159</v>
      </c>
      <c r="S4888">
        <v>4</v>
      </c>
      <c r="T4888" t="s">
        <v>8675</v>
      </c>
      <c r="U4888" s="1">
        <v>43348</v>
      </c>
      <c r="V4888" t="s">
        <v>80</v>
      </c>
      <c r="W4888" t="s">
        <v>81</v>
      </c>
      <c r="X4888" t="s">
        <v>58</v>
      </c>
      <c r="Y4888">
        <v>24</v>
      </c>
      <c r="Z4888" t="s">
        <v>59</v>
      </c>
      <c r="AA4888" t="s">
        <v>59</v>
      </c>
      <c r="AB4888" t="s">
        <v>59</v>
      </c>
      <c r="AC4888" t="s">
        <v>59</v>
      </c>
      <c r="AD4888" t="s">
        <v>59</v>
      </c>
      <c r="AF4888" s="1">
        <v>43348</v>
      </c>
      <c r="AG4888" t="s">
        <v>8645</v>
      </c>
      <c r="AH4888" t="s">
        <v>8646</v>
      </c>
      <c r="AI4888" t="str">
        <f>"9170282"</f>
        <v>9170282</v>
      </c>
      <c r="AJ4888" t="s">
        <v>8938</v>
      </c>
      <c r="AK4888">
        <v>2892022120</v>
      </c>
      <c r="AL4888" t="s">
        <v>8939</v>
      </c>
      <c r="AM4888" t="s">
        <v>78</v>
      </c>
      <c r="AN4888" t="s">
        <v>242</v>
      </c>
      <c r="AO4888" t="s">
        <v>243</v>
      </c>
      <c r="AP4888" t="s">
        <v>8940</v>
      </c>
      <c r="AQ4888">
        <v>20</v>
      </c>
      <c r="AR4888" t="s">
        <v>80</v>
      </c>
      <c r="AS4888" t="s">
        <v>81</v>
      </c>
      <c r="AT4888" t="s">
        <v>58</v>
      </c>
      <c r="AU4888" t="s">
        <v>8673</v>
      </c>
      <c r="AV4888" t="s">
        <v>132</v>
      </c>
      <c r="AW4888" s="1">
        <v>32349</v>
      </c>
      <c r="AX4888">
        <v>1</v>
      </c>
    </row>
    <row r="4889" spans="1:50">
      <c r="A4889">
        <v>614884</v>
      </c>
      <c r="B4889" t="str">
        <f>"104095365"</f>
        <v>104095365</v>
      </c>
      <c r="C4889" t="s">
        <v>50</v>
      </c>
      <c r="D4889" t="s">
        <v>8937</v>
      </c>
      <c r="E4889" t="s">
        <v>4671</v>
      </c>
      <c r="F4889" t="s">
        <v>450</v>
      </c>
      <c r="G4889" t="s">
        <v>8941</v>
      </c>
      <c r="H4889" t="str">
        <f>"Μ.ΑΛΕΞΑΝΔΡΟΥ 122 ΗΡΑΚΛΕΙΟ"</f>
        <v>Μ.ΑΛΕΞΑΝΔΡΟΥ 122 ΗΡΑΚΛΕΙΟ</v>
      </c>
      <c r="I4889">
        <v>71306</v>
      </c>
      <c r="J4889">
        <v>2810211488</v>
      </c>
      <c r="K4889">
        <v>6976844539</v>
      </c>
      <c r="N4889" t="s">
        <v>615</v>
      </c>
      <c r="O4889" t="s">
        <v>616</v>
      </c>
      <c r="R4889" t="s">
        <v>57</v>
      </c>
      <c r="S4889">
        <v>6</v>
      </c>
      <c r="T4889">
        <v>598</v>
      </c>
      <c r="U4889" s="1">
        <v>39310</v>
      </c>
      <c r="V4889" t="s">
        <v>80</v>
      </c>
      <c r="W4889" t="s">
        <v>81</v>
      </c>
      <c r="X4889" t="s">
        <v>58</v>
      </c>
      <c r="Y4889">
        <v>23</v>
      </c>
      <c r="Z4889" t="s">
        <v>59</v>
      </c>
      <c r="AA4889" t="s">
        <v>59</v>
      </c>
      <c r="AB4889" t="s">
        <v>59</v>
      </c>
      <c r="AC4889" t="s">
        <v>59</v>
      </c>
      <c r="AD4889" t="s">
        <v>59</v>
      </c>
      <c r="AF4889" s="1">
        <v>39328</v>
      </c>
      <c r="AG4889" t="s">
        <v>8645</v>
      </c>
      <c r="AH4889" t="s">
        <v>8646</v>
      </c>
      <c r="AI4889" t="str">
        <f>"9170263"</f>
        <v>9170263</v>
      </c>
      <c r="AJ4889" t="s">
        <v>8942</v>
      </c>
      <c r="AK4889">
        <v>2810346939</v>
      </c>
      <c r="AL4889" t="s">
        <v>8943</v>
      </c>
      <c r="AM4889" t="s">
        <v>78</v>
      </c>
      <c r="AN4889" t="s">
        <v>78</v>
      </c>
      <c r="AO4889" t="s">
        <v>286</v>
      </c>
      <c r="AP4889" t="s">
        <v>286</v>
      </c>
      <c r="AQ4889">
        <v>1</v>
      </c>
      <c r="AR4889" t="s">
        <v>80</v>
      </c>
      <c r="AS4889" t="s">
        <v>81</v>
      </c>
      <c r="AT4889" t="s">
        <v>58</v>
      </c>
      <c r="AU4889" t="s">
        <v>68</v>
      </c>
      <c r="AV4889" t="s">
        <v>69</v>
      </c>
      <c r="AW4889" s="1">
        <v>29877</v>
      </c>
      <c r="AX4889">
        <v>1</v>
      </c>
    </row>
    <row r="4890" spans="1:50">
      <c r="A4890">
        <v>578333</v>
      </c>
      <c r="B4890" t="str">
        <f>"079608234"</f>
        <v>079608234</v>
      </c>
      <c r="C4890" t="s">
        <v>50</v>
      </c>
      <c r="D4890" t="s">
        <v>4588</v>
      </c>
      <c r="E4890" t="s">
        <v>215</v>
      </c>
      <c r="F4890" t="s">
        <v>95</v>
      </c>
      <c r="G4890" t="s">
        <v>109</v>
      </c>
      <c r="H4890" t="str">
        <f>"Ξενοφώντος 36 Πόρος"</f>
        <v>Ξενοφώντος 36 Πόρος</v>
      </c>
      <c r="I4890">
        <v>71307</v>
      </c>
      <c r="J4890">
        <v>2810229007</v>
      </c>
      <c r="K4890">
        <v>6957545091</v>
      </c>
      <c r="M4890" t="s">
        <v>8944</v>
      </c>
      <c r="N4890" t="s">
        <v>615</v>
      </c>
      <c r="O4890" t="s">
        <v>616</v>
      </c>
      <c r="R4890" t="s">
        <v>57</v>
      </c>
      <c r="S4890">
        <v>11</v>
      </c>
      <c r="T4890">
        <v>165</v>
      </c>
      <c r="U4890" s="1">
        <v>35300</v>
      </c>
      <c r="V4890" t="s">
        <v>80</v>
      </c>
      <c r="W4890" t="s">
        <v>81</v>
      </c>
      <c r="X4890" t="s">
        <v>58</v>
      </c>
      <c r="Y4890">
        <v>21</v>
      </c>
      <c r="Z4890" t="s">
        <v>59</v>
      </c>
      <c r="AA4890" t="s">
        <v>59</v>
      </c>
      <c r="AB4890" t="s">
        <v>59</v>
      </c>
      <c r="AC4890" t="s">
        <v>59</v>
      </c>
      <c r="AD4890" t="s">
        <v>59</v>
      </c>
      <c r="AF4890" s="1">
        <v>35310</v>
      </c>
      <c r="AG4890" t="s">
        <v>8645</v>
      </c>
      <c r="AH4890" t="s">
        <v>8646</v>
      </c>
      <c r="AI4890" t="str">
        <f>"9170259"</f>
        <v>9170259</v>
      </c>
      <c r="AJ4890" t="s">
        <v>8784</v>
      </c>
      <c r="AK4890">
        <v>6994891960</v>
      </c>
      <c r="AL4890" t="s">
        <v>8785</v>
      </c>
      <c r="AM4890" t="s">
        <v>78</v>
      </c>
      <c r="AN4890" t="s">
        <v>78</v>
      </c>
      <c r="AO4890" t="s">
        <v>78</v>
      </c>
      <c r="AP4890" t="s">
        <v>213</v>
      </c>
      <c r="AQ4890">
        <v>1</v>
      </c>
      <c r="AR4890" t="s">
        <v>80</v>
      </c>
      <c r="AS4890" t="s">
        <v>81</v>
      </c>
      <c r="AT4890" t="s">
        <v>58</v>
      </c>
      <c r="AU4890" t="s">
        <v>68</v>
      </c>
      <c r="AV4890" t="s">
        <v>69</v>
      </c>
      <c r="AW4890" s="1">
        <v>24908</v>
      </c>
      <c r="AX4890">
        <v>1</v>
      </c>
    </row>
    <row r="4891" spans="1:50">
      <c r="A4891">
        <v>617333</v>
      </c>
      <c r="B4891" t="str">
        <f>"132331554"</f>
        <v>132331554</v>
      </c>
      <c r="C4891" t="s">
        <v>50</v>
      </c>
      <c r="D4891" t="s">
        <v>4588</v>
      </c>
      <c r="E4891" t="s">
        <v>215</v>
      </c>
      <c r="F4891" t="s">
        <v>166</v>
      </c>
      <c r="G4891" t="s">
        <v>1644</v>
      </c>
      <c r="H4891" t="str">
        <f>" "</f>
        <v xml:space="preserve"> </v>
      </c>
      <c r="J4891">
        <v>2810231861</v>
      </c>
      <c r="K4891">
        <v>6944755737</v>
      </c>
      <c r="N4891" t="s">
        <v>615</v>
      </c>
      <c r="O4891" t="s">
        <v>616</v>
      </c>
      <c r="R4891" t="s">
        <v>57</v>
      </c>
      <c r="S4891">
        <v>6</v>
      </c>
      <c r="T4891">
        <v>774</v>
      </c>
      <c r="U4891" s="1">
        <v>39680</v>
      </c>
      <c r="V4891" t="s">
        <v>80</v>
      </c>
      <c r="W4891" t="s">
        <v>81</v>
      </c>
      <c r="X4891" t="s">
        <v>58</v>
      </c>
      <c r="Y4891">
        <v>23</v>
      </c>
      <c r="Z4891" t="s">
        <v>59</v>
      </c>
      <c r="AA4891" t="s">
        <v>59</v>
      </c>
      <c r="AB4891" t="s">
        <v>59</v>
      </c>
      <c r="AC4891" t="s">
        <v>59</v>
      </c>
      <c r="AD4891" t="s">
        <v>59</v>
      </c>
      <c r="AF4891" s="1">
        <v>39681</v>
      </c>
      <c r="AG4891" t="s">
        <v>8645</v>
      </c>
      <c r="AH4891" t="s">
        <v>8646</v>
      </c>
      <c r="AI4891" t="str">
        <f>"9170250"</f>
        <v>9170250</v>
      </c>
      <c r="AJ4891" t="s">
        <v>8823</v>
      </c>
      <c r="AK4891">
        <v>2897022005</v>
      </c>
      <c r="AL4891" t="s">
        <v>8824</v>
      </c>
      <c r="AM4891" t="s">
        <v>78</v>
      </c>
      <c r="AN4891" t="s">
        <v>219</v>
      </c>
      <c r="AO4891" t="s">
        <v>219</v>
      </c>
      <c r="AP4891" t="s">
        <v>219</v>
      </c>
      <c r="AQ4891">
        <v>8</v>
      </c>
      <c r="AR4891" t="s">
        <v>80</v>
      </c>
      <c r="AS4891" t="s">
        <v>81</v>
      </c>
      <c r="AT4891" t="s">
        <v>58</v>
      </c>
      <c r="AU4891" t="s">
        <v>68</v>
      </c>
      <c r="AV4891" t="s">
        <v>69</v>
      </c>
      <c r="AW4891" s="1">
        <v>30477</v>
      </c>
      <c r="AX4891">
        <v>1</v>
      </c>
    </row>
    <row r="4892" spans="1:50">
      <c r="A4892">
        <v>602259</v>
      </c>
      <c r="B4892" t="str">
        <f>"103807547"</f>
        <v>103807547</v>
      </c>
      <c r="C4892" t="s">
        <v>50</v>
      </c>
      <c r="D4892" t="s">
        <v>4588</v>
      </c>
      <c r="E4892" t="s">
        <v>541</v>
      </c>
      <c r="F4892" t="s">
        <v>99</v>
      </c>
      <c r="G4892" t="s">
        <v>83</v>
      </c>
      <c r="H4892" t="str">
        <f>"Κ.ΚΑΡΑΜΑΝΛΗ 17 ΗΡΑΚΛΕΙΟ"</f>
        <v>Κ.ΚΑΡΑΜΑΝΛΗ 17 ΗΡΑΚΛΕΙΟ</v>
      </c>
      <c r="I4892">
        <v>71305</v>
      </c>
      <c r="J4892">
        <v>2810262951</v>
      </c>
      <c r="K4892">
        <v>6947073673</v>
      </c>
      <c r="N4892" t="s">
        <v>615</v>
      </c>
      <c r="O4892" t="s">
        <v>616</v>
      </c>
      <c r="R4892" t="s">
        <v>57</v>
      </c>
      <c r="S4892">
        <v>7</v>
      </c>
      <c r="T4892">
        <v>207</v>
      </c>
      <c r="U4892" s="1">
        <v>37866</v>
      </c>
      <c r="V4892" t="s">
        <v>80</v>
      </c>
      <c r="W4892" t="s">
        <v>81</v>
      </c>
      <c r="X4892" t="s">
        <v>58</v>
      </c>
      <c r="Y4892">
        <v>22</v>
      </c>
      <c r="Z4892" t="s">
        <v>59</v>
      </c>
      <c r="AA4892" t="s">
        <v>59</v>
      </c>
      <c r="AB4892" t="s">
        <v>59</v>
      </c>
      <c r="AC4892" t="s">
        <v>59</v>
      </c>
      <c r="AD4892" t="s">
        <v>59</v>
      </c>
      <c r="AF4892" s="1">
        <v>37866</v>
      </c>
      <c r="AG4892" t="s">
        <v>8645</v>
      </c>
      <c r="AH4892" t="s">
        <v>8646</v>
      </c>
      <c r="AI4892" t="str">
        <f>"9170532"</f>
        <v>9170532</v>
      </c>
      <c r="AJ4892" t="s">
        <v>8945</v>
      </c>
      <c r="AK4892">
        <v>2810250330</v>
      </c>
      <c r="AL4892" t="s">
        <v>8946</v>
      </c>
      <c r="AM4892" t="s">
        <v>78</v>
      </c>
      <c r="AN4892" t="s">
        <v>78</v>
      </c>
      <c r="AO4892" t="s">
        <v>78</v>
      </c>
      <c r="AP4892" t="s">
        <v>141</v>
      </c>
      <c r="AQ4892">
        <v>1</v>
      </c>
      <c r="AR4892" t="s">
        <v>80</v>
      </c>
      <c r="AS4892" t="s">
        <v>81</v>
      </c>
      <c r="AT4892" t="s">
        <v>58</v>
      </c>
      <c r="AU4892" t="s">
        <v>68</v>
      </c>
      <c r="AV4892" t="s">
        <v>69</v>
      </c>
      <c r="AW4892" s="1">
        <v>28949</v>
      </c>
      <c r="AX4892">
        <v>1</v>
      </c>
    </row>
    <row r="4893" spans="1:50">
      <c r="A4893">
        <v>591712</v>
      </c>
      <c r="B4893" t="str">
        <f>"064228726"</f>
        <v>064228726</v>
      </c>
      <c r="C4893" t="s">
        <v>50</v>
      </c>
      <c r="D4893" t="s">
        <v>8947</v>
      </c>
      <c r="E4893" t="s">
        <v>73</v>
      </c>
      <c r="F4893" t="s">
        <v>782</v>
      </c>
      <c r="G4893" t="s">
        <v>52</v>
      </c>
      <c r="H4893" t="str">
        <f>" "</f>
        <v xml:space="preserve"> </v>
      </c>
      <c r="N4893" t="s">
        <v>1525</v>
      </c>
      <c r="O4893" t="s">
        <v>1526</v>
      </c>
      <c r="R4893" t="s">
        <v>57</v>
      </c>
      <c r="S4893">
        <v>12</v>
      </c>
      <c r="T4893">
        <v>249</v>
      </c>
      <c r="U4893" s="1">
        <v>36769</v>
      </c>
      <c r="V4893" t="s">
        <v>80</v>
      </c>
      <c r="W4893" t="s">
        <v>81</v>
      </c>
      <c r="X4893" t="s">
        <v>58</v>
      </c>
      <c r="Y4893">
        <v>25</v>
      </c>
      <c r="Z4893" t="s">
        <v>59</v>
      </c>
      <c r="AA4893" t="s">
        <v>59</v>
      </c>
      <c r="AB4893" t="s">
        <v>59</v>
      </c>
      <c r="AC4893" t="s">
        <v>59</v>
      </c>
      <c r="AD4893" t="s">
        <v>59</v>
      </c>
      <c r="AF4893" s="1">
        <v>36770</v>
      </c>
      <c r="AG4893" t="s">
        <v>8651</v>
      </c>
      <c r="AH4893" t="s">
        <v>8652</v>
      </c>
      <c r="AI4893" t="str">
        <f>"9170405"</f>
        <v>9170405</v>
      </c>
      <c r="AJ4893" t="s">
        <v>8948</v>
      </c>
      <c r="AK4893">
        <v>2810323644</v>
      </c>
      <c r="AL4893" t="s">
        <v>8949</v>
      </c>
      <c r="AM4893" t="s">
        <v>78</v>
      </c>
      <c r="AN4893" t="s">
        <v>78</v>
      </c>
      <c r="AO4893" t="s">
        <v>78</v>
      </c>
      <c r="AP4893" t="s">
        <v>213</v>
      </c>
      <c r="AQ4893">
        <v>1</v>
      </c>
      <c r="AR4893" t="s">
        <v>80</v>
      </c>
      <c r="AS4893" t="s">
        <v>81</v>
      </c>
      <c r="AT4893" t="s">
        <v>58</v>
      </c>
      <c r="AU4893" t="s">
        <v>68</v>
      </c>
      <c r="AV4893" t="s">
        <v>69</v>
      </c>
      <c r="AW4893" s="1">
        <v>23880</v>
      </c>
      <c r="AX4893">
        <v>1</v>
      </c>
    </row>
    <row r="4894" spans="1:50">
      <c r="A4894">
        <v>609630</v>
      </c>
      <c r="B4894" t="str">
        <f>"076305101"</f>
        <v>076305101</v>
      </c>
      <c r="C4894" t="s">
        <v>105</v>
      </c>
      <c r="D4894" t="s">
        <v>8950</v>
      </c>
      <c r="E4894" t="s">
        <v>72</v>
      </c>
      <c r="F4894" t="s">
        <v>154</v>
      </c>
      <c r="G4894" t="s">
        <v>73</v>
      </c>
      <c r="H4894" t="str">
        <f>"ΑΡΙΑΔΝΗΣ 1 ΓΑΖΙ"</f>
        <v>ΑΡΙΑΔΝΗΣ 1 ΓΑΖΙ</v>
      </c>
      <c r="I4894">
        <v>71414</v>
      </c>
      <c r="J4894">
        <v>2843023264</v>
      </c>
      <c r="K4894">
        <v>6977215808</v>
      </c>
      <c r="M4894" t="s">
        <v>8951</v>
      </c>
      <c r="N4894" t="s">
        <v>176</v>
      </c>
      <c r="O4894" t="s">
        <v>177</v>
      </c>
      <c r="R4894" t="s">
        <v>57</v>
      </c>
      <c r="S4894">
        <v>8</v>
      </c>
      <c r="T4894" t="s">
        <v>8952</v>
      </c>
      <c r="U4894" s="1">
        <v>38604</v>
      </c>
      <c r="V4894" t="s">
        <v>80</v>
      </c>
      <c r="W4894" t="s">
        <v>81</v>
      </c>
      <c r="X4894" t="s">
        <v>58</v>
      </c>
      <c r="Y4894">
        <v>22</v>
      </c>
      <c r="Z4894" t="s">
        <v>59</v>
      </c>
      <c r="AA4894" t="s">
        <v>59</v>
      </c>
      <c r="AB4894" t="s">
        <v>59</v>
      </c>
      <c r="AC4894" t="s">
        <v>59</v>
      </c>
      <c r="AD4894" t="s">
        <v>59</v>
      </c>
      <c r="AF4894" s="1">
        <v>38607</v>
      </c>
      <c r="AG4894" t="s">
        <v>8645</v>
      </c>
      <c r="AH4894" t="s">
        <v>8646</v>
      </c>
      <c r="AI4894" t="str">
        <f>"9170546"</f>
        <v>9170546</v>
      </c>
      <c r="AJ4894" t="s">
        <v>8953</v>
      </c>
      <c r="AK4894">
        <v>2810261362</v>
      </c>
      <c r="AL4894" t="s">
        <v>8954</v>
      </c>
      <c r="AM4894" t="s">
        <v>78</v>
      </c>
      <c r="AN4894" t="s">
        <v>78</v>
      </c>
      <c r="AO4894" t="s">
        <v>78</v>
      </c>
      <c r="AP4894" t="s">
        <v>141</v>
      </c>
      <c r="AQ4894">
        <v>1</v>
      </c>
      <c r="AR4894" t="s">
        <v>80</v>
      </c>
      <c r="AS4894" t="s">
        <v>81</v>
      </c>
      <c r="AT4894" t="s">
        <v>58</v>
      </c>
      <c r="AU4894" t="s">
        <v>68</v>
      </c>
      <c r="AV4894" t="s">
        <v>69</v>
      </c>
      <c r="AW4894" s="1">
        <v>25767</v>
      </c>
      <c r="AX4894">
        <v>1</v>
      </c>
    </row>
    <row r="4895" spans="1:50">
      <c r="B4895" t="str">
        <f>"118909352"</f>
        <v>118909352</v>
      </c>
      <c r="C4895" t="s">
        <v>50</v>
      </c>
      <c r="D4895" t="s">
        <v>8955</v>
      </c>
      <c r="E4895" t="s">
        <v>263</v>
      </c>
      <c r="F4895" t="s">
        <v>95</v>
      </c>
      <c r="G4895" t="s">
        <v>1538</v>
      </c>
      <c r="H4895" t="str">
        <f>"ΜΙΝΩΟΣ ΚΑΙ ΠΑΥΣΑΝΙΑ "</f>
        <v xml:space="preserve">ΜΙΝΩΟΣ ΚΑΙ ΠΑΥΣΑΝΙΑ </v>
      </c>
      <c r="I4895">
        <v>71201</v>
      </c>
      <c r="J4895">
        <v>2810263372</v>
      </c>
      <c r="K4895">
        <v>6942852368</v>
      </c>
      <c r="N4895" t="s">
        <v>337</v>
      </c>
      <c r="O4895" t="s">
        <v>338</v>
      </c>
      <c r="R4895" t="s">
        <v>159</v>
      </c>
      <c r="S4895">
        <v>2</v>
      </c>
      <c r="T4895" t="s">
        <v>8675</v>
      </c>
      <c r="U4895" s="1">
        <v>43348</v>
      </c>
      <c r="V4895" t="s">
        <v>80</v>
      </c>
      <c r="W4895" t="s">
        <v>81</v>
      </c>
      <c r="X4895" t="s">
        <v>58</v>
      </c>
      <c r="Y4895">
        <v>24</v>
      </c>
      <c r="Z4895" t="s">
        <v>59</v>
      </c>
      <c r="AA4895" t="s">
        <v>59</v>
      </c>
      <c r="AB4895" t="s">
        <v>59</v>
      </c>
      <c r="AC4895" t="s">
        <v>59</v>
      </c>
      <c r="AD4895" t="s">
        <v>59</v>
      </c>
      <c r="AF4895" s="1">
        <v>43348</v>
      </c>
      <c r="AG4895" t="s">
        <v>8645</v>
      </c>
      <c r="AH4895" t="s">
        <v>8646</v>
      </c>
      <c r="AI4895" t="str">
        <f>"9170575"</f>
        <v>9170575</v>
      </c>
      <c r="AJ4895" t="s">
        <v>8748</v>
      </c>
      <c r="AK4895">
        <v>2810260772</v>
      </c>
      <c r="AL4895" t="s">
        <v>8749</v>
      </c>
      <c r="AM4895" t="s">
        <v>78</v>
      </c>
      <c r="AN4895" t="s">
        <v>78</v>
      </c>
      <c r="AO4895" t="s">
        <v>78</v>
      </c>
      <c r="AP4895" t="s">
        <v>141</v>
      </c>
      <c r="AQ4895">
        <v>1</v>
      </c>
      <c r="AR4895" t="s">
        <v>80</v>
      </c>
      <c r="AS4895" t="s">
        <v>81</v>
      </c>
      <c r="AT4895" t="s">
        <v>58</v>
      </c>
      <c r="AU4895" t="s">
        <v>8673</v>
      </c>
      <c r="AV4895" t="s">
        <v>132</v>
      </c>
      <c r="AW4895" s="1">
        <v>31292</v>
      </c>
      <c r="AX4895">
        <v>1</v>
      </c>
    </row>
    <row r="4896" spans="1:50">
      <c r="B4896" t="str">
        <f>"118909364"</f>
        <v>118909364</v>
      </c>
      <c r="C4896" t="s">
        <v>50</v>
      </c>
      <c r="D4896" t="s">
        <v>8955</v>
      </c>
      <c r="E4896" t="s">
        <v>1484</v>
      </c>
      <c r="F4896" t="s">
        <v>95</v>
      </c>
      <c r="G4896" t="s">
        <v>1538</v>
      </c>
      <c r="H4896" t="str">
        <f>" "</f>
        <v xml:space="preserve"> </v>
      </c>
      <c r="N4896" t="s">
        <v>1525</v>
      </c>
      <c r="O4896" t="s">
        <v>1526</v>
      </c>
      <c r="R4896" t="s">
        <v>121</v>
      </c>
      <c r="S4896">
        <v>1</v>
      </c>
      <c r="T4896" t="s">
        <v>8670</v>
      </c>
      <c r="U4896" s="1">
        <v>43348</v>
      </c>
      <c r="V4896" t="s">
        <v>80</v>
      </c>
      <c r="W4896" t="s">
        <v>81</v>
      </c>
      <c r="X4896" t="s">
        <v>58</v>
      </c>
      <c r="Y4896">
        <v>25</v>
      </c>
      <c r="Z4896" t="s">
        <v>59</v>
      </c>
      <c r="AA4896" t="s">
        <v>59</v>
      </c>
      <c r="AB4896" t="s">
        <v>59</v>
      </c>
      <c r="AC4896" t="s">
        <v>59</v>
      </c>
      <c r="AD4896" t="s">
        <v>59</v>
      </c>
      <c r="AF4896" s="1">
        <v>43348</v>
      </c>
      <c r="AG4896" t="s">
        <v>8651</v>
      </c>
      <c r="AH4896" t="s">
        <v>8652</v>
      </c>
      <c r="AI4896" t="str">
        <f>"9170299"</f>
        <v>9170299</v>
      </c>
      <c r="AJ4896" t="s">
        <v>8956</v>
      </c>
      <c r="AK4896">
        <v>2892041219</v>
      </c>
      <c r="AL4896" t="s">
        <v>8957</v>
      </c>
      <c r="AM4896" t="s">
        <v>78</v>
      </c>
      <c r="AN4896" t="s">
        <v>242</v>
      </c>
      <c r="AO4896" t="s">
        <v>243</v>
      </c>
      <c r="AP4896" t="s">
        <v>244</v>
      </c>
      <c r="AQ4896">
        <v>18</v>
      </c>
      <c r="AR4896" t="s">
        <v>80</v>
      </c>
      <c r="AS4896" t="s">
        <v>81</v>
      </c>
      <c r="AT4896" t="s">
        <v>58</v>
      </c>
      <c r="AU4896" t="s">
        <v>8673</v>
      </c>
      <c r="AV4896" t="s">
        <v>132</v>
      </c>
      <c r="AW4896" s="1">
        <v>30842</v>
      </c>
      <c r="AX4896">
        <v>1</v>
      </c>
    </row>
    <row r="4897" spans="1:50">
      <c r="A4897">
        <v>614948</v>
      </c>
      <c r="B4897" t="str">
        <f>"137476640"</f>
        <v>137476640</v>
      </c>
      <c r="C4897" t="s">
        <v>50</v>
      </c>
      <c r="D4897" t="s">
        <v>606</v>
      </c>
      <c r="E4897" t="s">
        <v>964</v>
      </c>
      <c r="F4897" t="s">
        <v>900</v>
      </c>
      <c r="G4897" t="s">
        <v>52</v>
      </c>
      <c r="H4897" t="str">
        <f>"ΑΧΑΙΩΝ 29  ΗΡΑΚΛΕΙΟ"</f>
        <v>ΑΧΑΙΩΝ 29  ΗΡΑΚΛΕΙΟ</v>
      </c>
      <c r="I4897">
        <v>71303</v>
      </c>
      <c r="J4897">
        <v>2810528669</v>
      </c>
      <c r="K4897">
        <v>6948525282</v>
      </c>
      <c r="M4897" t="s">
        <v>8958</v>
      </c>
      <c r="N4897" t="s">
        <v>615</v>
      </c>
      <c r="O4897" t="s">
        <v>616</v>
      </c>
      <c r="R4897" t="s">
        <v>57</v>
      </c>
      <c r="S4897">
        <v>6</v>
      </c>
      <c r="T4897">
        <v>598</v>
      </c>
      <c r="U4897" s="1">
        <v>39310</v>
      </c>
      <c r="V4897" t="s">
        <v>80</v>
      </c>
      <c r="W4897" t="s">
        <v>81</v>
      </c>
      <c r="X4897" t="s">
        <v>58</v>
      </c>
      <c r="Y4897">
        <v>23</v>
      </c>
      <c r="Z4897" t="s">
        <v>59</v>
      </c>
      <c r="AA4897" t="s">
        <v>59</v>
      </c>
      <c r="AB4897" t="s">
        <v>59</v>
      </c>
      <c r="AC4897" t="s">
        <v>59</v>
      </c>
      <c r="AD4897" t="s">
        <v>59</v>
      </c>
      <c r="AF4897" s="1">
        <v>39328</v>
      </c>
      <c r="AG4897" t="s">
        <v>8645</v>
      </c>
      <c r="AH4897" t="s">
        <v>8646</v>
      </c>
      <c r="AI4897" t="str">
        <f>"9521091"</f>
        <v>9521091</v>
      </c>
      <c r="AJ4897" t="s">
        <v>8959</v>
      </c>
      <c r="AK4897">
        <v>2810370360</v>
      </c>
      <c r="AL4897" t="s">
        <v>8960</v>
      </c>
      <c r="AM4897" t="s">
        <v>78</v>
      </c>
      <c r="AN4897" t="s">
        <v>129</v>
      </c>
      <c r="AO4897" t="s">
        <v>130</v>
      </c>
      <c r="AP4897" t="s">
        <v>130</v>
      </c>
      <c r="AQ4897">
        <v>1</v>
      </c>
      <c r="AR4897" t="s">
        <v>80</v>
      </c>
      <c r="AS4897" t="s">
        <v>81</v>
      </c>
      <c r="AT4897" t="s">
        <v>58</v>
      </c>
      <c r="AU4897" t="s">
        <v>68</v>
      </c>
      <c r="AV4897" t="s">
        <v>69</v>
      </c>
      <c r="AW4897" s="1">
        <v>30572</v>
      </c>
      <c r="AX4897">
        <v>1</v>
      </c>
    </row>
    <row r="4898" spans="1:50">
      <c r="A4898">
        <v>603180</v>
      </c>
      <c r="B4898" t="str">
        <f>"079047973"</f>
        <v>079047973</v>
      </c>
      <c r="C4898" t="s">
        <v>50</v>
      </c>
      <c r="D4898" t="s">
        <v>606</v>
      </c>
      <c r="E4898" t="s">
        <v>83</v>
      </c>
      <c r="F4898" t="s">
        <v>670</v>
      </c>
      <c r="G4898" t="s">
        <v>964</v>
      </c>
      <c r="H4898" t="str">
        <f>"ΓΕΩΡΓΙΟΥ ΓΕΝΝΗΜΑΤΑ 8 ΗΡΑΚΛΕΙΟ"</f>
        <v>ΓΕΩΡΓΙΟΥ ΓΕΝΝΗΜΑΤΑ 8 ΗΡΑΚΛΕΙΟ</v>
      </c>
      <c r="I4898">
        <v>71414</v>
      </c>
      <c r="J4898">
        <v>2810257538</v>
      </c>
      <c r="K4898">
        <v>6945459406</v>
      </c>
      <c r="N4898" t="s">
        <v>1525</v>
      </c>
      <c r="O4898" t="s">
        <v>1526</v>
      </c>
      <c r="R4898" t="s">
        <v>57</v>
      </c>
      <c r="S4898">
        <v>7</v>
      </c>
      <c r="T4898">
        <v>207</v>
      </c>
      <c r="U4898" s="1">
        <v>37866</v>
      </c>
      <c r="V4898" t="s">
        <v>80</v>
      </c>
      <c r="W4898" t="s">
        <v>81</v>
      </c>
      <c r="X4898" t="s">
        <v>58</v>
      </c>
      <c r="Y4898">
        <v>25</v>
      </c>
      <c r="Z4898" t="s">
        <v>59</v>
      </c>
      <c r="AA4898" t="s">
        <v>59</v>
      </c>
      <c r="AB4898" t="s">
        <v>59</v>
      </c>
      <c r="AC4898" t="s">
        <v>59</v>
      </c>
      <c r="AD4898" t="s">
        <v>59</v>
      </c>
      <c r="AF4898" s="1">
        <v>37866</v>
      </c>
      <c r="AG4898" t="s">
        <v>8651</v>
      </c>
      <c r="AH4898" t="s">
        <v>8652</v>
      </c>
      <c r="AI4898" t="str">
        <f>"9170040"</f>
        <v>9170040</v>
      </c>
      <c r="AJ4898" t="s">
        <v>8961</v>
      </c>
      <c r="AK4898">
        <v>2894023512</v>
      </c>
      <c r="AL4898" t="s">
        <v>8962</v>
      </c>
      <c r="AM4898" t="s">
        <v>78</v>
      </c>
      <c r="AN4898" t="s">
        <v>405</v>
      </c>
      <c r="AO4898" t="s">
        <v>406</v>
      </c>
      <c r="AP4898" t="s">
        <v>406</v>
      </c>
      <c r="AQ4898">
        <v>6</v>
      </c>
      <c r="AR4898" t="s">
        <v>80</v>
      </c>
      <c r="AS4898" t="s">
        <v>81</v>
      </c>
      <c r="AT4898" t="s">
        <v>58</v>
      </c>
      <c r="AU4898" t="s">
        <v>68</v>
      </c>
      <c r="AV4898" t="s">
        <v>69</v>
      </c>
      <c r="AW4898" s="1">
        <v>26529</v>
      </c>
      <c r="AX4898">
        <v>1</v>
      </c>
    </row>
    <row r="4899" spans="1:50">
      <c r="B4899" t="str">
        <f>"146441164"</f>
        <v>146441164</v>
      </c>
      <c r="C4899" t="s">
        <v>50</v>
      </c>
      <c r="D4899" t="s">
        <v>606</v>
      </c>
      <c r="E4899" t="s">
        <v>181</v>
      </c>
      <c r="F4899" t="s">
        <v>106</v>
      </c>
      <c r="G4899" t="s">
        <v>83</v>
      </c>
      <c r="H4899" t="str">
        <f>" "</f>
        <v xml:space="preserve"> </v>
      </c>
      <c r="N4899" t="s">
        <v>8834</v>
      </c>
      <c r="O4899" t="s">
        <v>8695</v>
      </c>
      <c r="R4899" t="s">
        <v>121</v>
      </c>
      <c r="S4899">
        <v>3</v>
      </c>
      <c r="T4899" t="s">
        <v>8835</v>
      </c>
      <c r="U4899" s="1">
        <v>43348</v>
      </c>
      <c r="V4899" t="s">
        <v>80</v>
      </c>
      <c r="W4899" t="s">
        <v>81</v>
      </c>
      <c r="X4899" t="s">
        <v>58</v>
      </c>
      <c r="Y4899">
        <v>24</v>
      </c>
      <c r="Z4899" t="s">
        <v>59</v>
      </c>
      <c r="AA4899" t="s">
        <v>59</v>
      </c>
      <c r="AB4899" t="s">
        <v>59</v>
      </c>
      <c r="AD4899" t="s">
        <v>59</v>
      </c>
      <c r="AF4899" s="1">
        <v>43348</v>
      </c>
      <c r="AG4899" t="s">
        <v>8645</v>
      </c>
      <c r="AH4899" t="s">
        <v>8646</v>
      </c>
      <c r="AI4899" t="str">
        <f>"9170327"</f>
        <v>9170327</v>
      </c>
      <c r="AJ4899" t="s">
        <v>8963</v>
      </c>
      <c r="AK4899">
        <v>2892091234</v>
      </c>
      <c r="AL4899" t="s">
        <v>8964</v>
      </c>
      <c r="AM4899" t="s">
        <v>78</v>
      </c>
      <c r="AN4899" t="s">
        <v>242</v>
      </c>
      <c r="AO4899" t="s">
        <v>349</v>
      </c>
      <c r="AP4899" t="s">
        <v>8965</v>
      </c>
      <c r="AQ4899">
        <v>19</v>
      </c>
      <c r="AR4899" t="s">
        <v>80</v>
      </c>
      <c r="AS4899" t="s">
        <v>81</v>
      </c>
      <c r="AT4899" t="s">
        <v>58</v>
      </c>
      <c r="AU4899" t="s">
        <v>131</v>
      </c>
      <c r="AV4899" t="s">
        <v>132</v>
      </c>
      <c r="AW4899" s="1">
        <v>32968</v>
      </c>
      <c r="AX4899">
        <v>1</v>
      </c>
    </row>
    <row r="4900" spans="1:50">
      <c r="A4900">
        <v>554609</v>
      </c>
      <c r="B4900" t="str">
        <f>"030270324"</f>
        <v>030270324</v>
      </c>
      <c r="C4900" t="s">
        <v>105</v>
      </c>
      <c r="D4900" t="s">
        <v>622</v>
      </c>
      <c r="E4900" t="s">
        <v>84</v>
      </c>
      <c r="F4900" t="s">
        <v>782</v>
      </c>
      <c r="G4900" t="s">
        <v>155</v>
      </c>
      <c r="H4900" t="str">
        <f>" "</f>
        <v xml:space="preserve"> </v>
      </c>
      <c r="N4900" t="s">
        <v>615</v>
      </c>
      <c r="O4900" t="s">
        <v>616</v>
      </c>
      <c r="R4900" t="s">
        <v>57</v>
      </c>
      <c r="S4900">
        <v>18</v>
      </c>
      <c r="T4900">
        <v>200</v>
      </c>
      <c r="U4900" s="1">
        <v>31657</v>
      </c>
      <c r="V4900" t="s">
        <v>80</v>
      </c>
      <c r="W4900" t="s">
        <v>81</v>
      </c>
      <c r="X4900" t="s">
        <v>58</v>
      </c>
      <c r="Y4900">
        <v>21</v>
      </c>
      <c r="Z4900" t="s">
        <v>59</v>
      </c>
      <c r="AA4900" t="s">
        <v>59</v>
      </c>
      <c r="AB4900" t="s">
        <v>59</v>
      </c>
      <c r="AC4900" t="s">
        <v>59</v>
      </c>
      <c r="AD4900" t="s">
        <v>59</v>
      </c>
      <c r="AF4900" s="1">
        <v>31664</v>
      </c>
      <c r="AG4900" t="s">
        <v>8645</v>
      </c>
      <c r="AH4900" t="s">
        <v>8646</v>
      </c>
      <c r="AI4900" t="str">
        <f>"9170255"</f>
        <v>9170255</v>
      </c>
      <c r="AJ4900" t="s">
        <v>8915</v>
      </c>
      <c r="AK4900">
        <v>2810220750</v>
      </c>
      <c r="AL4900" t="s">
        <v>8916</v>
      </c>
      <c r="AM4900" t="s">
        <v>78</v>
      </c>
      <c r="AN4900" t="s">
        <v>78</v>
      </c>
      <c r="AO4900" t="s">
        <v>78</v>
      </c>
      <c r="AP4900" t="s">
        <v>213</v>
      </c>
      <c r="AQ4900">
        <v>1</v>
      </c>
      <c r="AR4900" t="s">
        <v>80</v>
      </c>
      <c r="AS4900" t="s">
        <v>81</v>
      </c>
      <c r="AT4900" t="s">
        <v>58</v>
      </c>
      <c r="AU4900" t="s">
        <v>68</v>
      </c>
      <c r="AV4900" t="s">
        <v>69</v>
      </c>
      <c r="AW4900" s="1">
        <v>21599</v>
      </c>
      <c r="AX4900">
        <v>1</v>
      </c>
    </row>
    <row r="4901" spans="1:50">
      <c r="A4901">
        <v>573989</v>
      </c>
      <c r="B4901" t="str">
        <f>"037790500"</f>
        <v>037790500</v>
      </c>
      <c r="C4901" t="s">
        <v>105</v>
      </c>
      <c r="D4901" t="s">
        <v>622</v>
      </c>
      <c r="E4901" t="s">
        <v>510</v>
      </c>
      <c r="F4901" t="s">
        <v>72</v>
      </c>
      <c r="G4901" t="s">
        <v>610</v>
      </c>
      <c r="H4901" t="str">
        <f>"ΠΕΡΓΑΜΟΥ 16 ΗΡΑΚΛΕΙΟ"</f>
        <v>ΠΕΡΓΑΜΟΥ 16 ΗΡΑΚΛΕΙΟ</v>
      </c>
      <c r="I4901">
        <v>71304</v>
      </c>
      <c r="J4901">
        <v>2810315547</v>
      </c>
      <c r="K4901">
        <v>6937408015</v>
      </c>
      <c r="N4901" t="s">
        <v>615</v>
      </c>
      <c r="O4901" t="s">
        <v>616</v>
      </c>
      <c r="R4901" t="s">
        <v>57</v>
      </c>
      <c r="S4901">
        <v>13</v>
      </c>
      <c r="T4901">
        <v>160</v>
      </c>
      <c r="U4901" s="1">
        <v>34582</v>
      </c>
      <c r="V4901" t="s">
        <v>80</v>
      </c>
      <c r="W4901" t="s">
        <v>81</v>
      </c>
      <c r="X4901" t="s">
        <v>58</v>
      </c>
      <c r="Y4901">
        <v>21</v>
      </c>
      <c r="Z4901" t="s">
        <v>59</v>
      </c>
      <c r="AA4901" t="s">
        <v>59</v>
      </c>
      <c r="AB4901" t="s">
        <v>59</v>
      </c>
      <c r="AC4901" t="s">
        <v>59</v>
      </c>
      <c r="AD4901" t="s">
        <v>59</v>
      </c>
      <c r="AF4901" s="1">
        <v>34582</v>
      </c>
      <c r="AG4901" t="s">
        <v>8645</v>
      </c>
      <c r="AH4901" t="s">
        <v>8646</v>
      </c>
      <c r="AI4901" t="str">
        <f>"9170532"</f>
        <v>9170532</v>
      </c>
      <c r="AJ4901" t="s">
        <v>8945</v>
      </c>
      <c r="AK4901">
        <v>2810250330</v>
      </c>
      <c r="AL4901" t="s">
        <v>8946</v>
      </c>
      <c r="AM4901" t="s">
        <v>78</v>
      </c>
      <c r="AN4901" t="s">
        <v>78</v>
      </c>
      <c r="AO4901" t="s">
        <v>78</v>
      </c>
      <c r="AP4901" t="s">
        <v>141</v>
      </c>
      <c r="AQ4901">
        <v>1</v>
      </c>
      <c r="AR4901" t="s">
        <v>80</v>
      </c>
      <c r="AS4901" t="s">
        <v>81</v>
      </c>
      <c r="AT4901" t="s">
        <v>58</v>
      </c>
      <c r="AU4901" t="s">
        <v>68</v>
      </c>
      <c r="AV4901" t="s">
        <v>69</v>
      </c>
      <c r="AW4901" s="1">
        <v>24536</v>
      </c>
      <c r="AX4901">
        <v>1</v>
      </c>
    </row>
    <row r="4902" spans="1:50">
      <c r="A4902">
        <v>605252</v>
      </c>
      <c r="B4902" t="str">
        <f>"062809261"</f>
        <v>062809261</v>
      </c>
      <c r="C4902" t="s">
        <v>50</v>
      </c>
      <c r="D4902" t="s">
        <v>8966</v>
      </c>
      <c r="E4902" t="s">
        <v>2031</v>
      </c>
      <c r="F4902" t="s">
        <v>53</v>
      </c>
      <c r="G4902" t="s">
        <v>155</v>
      </c>
      <c r="H4902" t="str">
        <f>" "</f>
        <v xml:space="preserve"> </v>
      </c>
      <c r="J4902">
        <v>2731028247</v>
      </c>
      <c r="K4902">
        <v>6972512714</v>
      </c>
      <c r="N4902" t="s">
        <v>615</v>
      </c>
      <c r="O4902" t="s">
        <v>616</v>
      </c>
      <c r="R4902" t="s">
        <v>57</v>
      </c>
      <c r="S4902">
        <v>9</v>
      </c>
      <c r="T4902">
        <v>231</v>
      </c>
      <c r="U4902" s="1">
        <v>38230</v>
      </c>
      <c r="V4902" t="s">
        <v>80</v>
      </c>
      <c r="W4902" t="s">
        <v>81</v>
      </c>
      <c r="X4902" t="s">
        <v>58</v>
      </c>
      <c r="Y4902">
        <v>22</v>
      </c>
      <c r="Z4902" t="s">
        <v>59</v>
      </c>
      <c r="AA4902" t="s">
        <v>59</v>
      </c>
      <c r="AB4902" t="s">
        <v>59</v>
      </c>
      <c r="AC4902" t="s">
        <v>59</v>
      </c>
      <c r="AD4902" t="s">
        <v>59</v>
      </c>
      <c r="AF4902" s="1">
        <v>38231</v>
      </c>
      <c r="AG4902" t="s">
        <v>8645</v>
      </c>
      <c r="AH4902" t="s">
        <v>8646</v>
      </c>
      <c r="AI4902" t="str">
        <f>"9170219"</f>
        <v>9170219</v>
      </c>
      <c r="AJ4902" t="s">
        <v>8967</v>
      </c>
      <c r="AK4902">
        <v>2897041357</v>
      </c>
      <c r="AL4902" t="s">
        <v>8968</v>
      </c>
      <c r="AM4902" t="s">
        <v>78</v>
      </c>
      <c r="AN4902" t="s">
        <v>219</v>
      </c>
      <c r="AO4902" t="s">
        <v>297</v>
      </c>
      <c r="AP4902" t="s">
        <v>297</v>
      </c>
      <c r="AQ4902">
        <v>7</v>
      </c>
      <c r="AR4902" t="s">
        <v>80</v>
      </c>
      <c r="AS4902" t="s">
        <v>81</v>
      </c>
      <c r="AT4902" t="s">
        <v>58</v>
      </c>
      <c r="AU4902" t="s">
        <v>68</v>
      </c>
      <c r="AV4902" t="s">
        <v>69</v>
      </c>
      <c r="AW4902" s="1">
        <v>27017</v>
      </c>
      <c r="AX4902">
        <v>1</v>
      </c>
    </row>
    <row r="4903" spans="1:50">
      <c r="A4903">
        <v>597769</v>
      </c>
      <c r="B4903" t="str">
        <f>"036914631"</f>
        <v>036914631</v>
      </c>
      <c r="C4903" t="s">
        <v>50</v>
      </c>
      <c r="D4903" t="s">
        <v>5741</v>
      </c>
      <c r="E4903" t="s">
        <v>8969</v>
      </c>
      <c r="F4903" t="s">
        <v>8970</v>
      </c>
      <c r="G4903" t="s">
        <v>52</v>
      </c>
      <c r="H4903" t="str">
        <f>"ΚΟΚΚΙΝΗ  ΧΑΝΙ ΚΟΚΚΙΝΗ  ΧΑΝΙ Τ.Θ 722"</f>
        <v>ΚΟΚΚΙΝΗ  ΧΑΝΙ ΚΟΚΚΙΝΗ  ΧΑΝΙ Τ.Θ 722</v>
      </c>
      <c r="I4903">
        <v>71500</v>
      </c>
      <c r="J4903">
        <v>2810762940</v>
      </c>
      <c r="K4903">
        <v>6977910835</v>
      </c>
      <c r="L4903">
        <v>2521033559</v>
      </c>
      <c r="M4903" t="s">
        <v>8971</v>
      </c>
      <c r="N4903" t="s">
        <v>615</v>
      </c>
      <c r="O4903" t="s">
        <v>616</v>
      </c>
      <c r="R4903" t="s">
        <v>57</v>
      </c>
      <c r="S4903">
        <v>9</v>
      </c>
      <c r="T4903">
        <v>195</v>
      </c>
      <c r="U4903" s="1">
        <v>37497</v>
      </c>
      <c r="V4903" t="s">
        <v>80</v>
      </c>
      <c r="W4903" t="s">
        <v>81</v>
      </c>
      <c r="X4903" t="s">
        <v>58</v>
      </c>
      <c r="Y4903">
        <v>22</v>
      </c>
      <c r="Z4903" t="s">
        <v>59</v>
      </c>
      <c r="AA4903" t="s">
        <v>59</v>
      </c>
      <c r="AB4903" t="s">
        <v>59</v>
      </c>
      <c r="AC4903" t="s">
        <v>59</v>
      </c>
      <c r="AD4903" t="s">
        <v>59</v>
      </c>
      <c r="AF4903" s="1">
        <v>37501</v>
      </c>
      <c r="AG4903" t="s">
        <v>8645</v>
      </c>
      <c r="AH4903" t="s">
        <v>8646</v>
      </c>
      <c r="AI4903" t="str">
        <f>"9170206"</f>
        <v>9170206</v>
      </c>
      <c r="AJ4903" t="s">
        <v>8972</v>
      </c>
      <c r="AK4903">
        <v>2810761137</v>
      </c>
      <c r="AL4903" t="s">
        <v>8973</v>
      </c>
      <c r="AM4903" t="s">
        <v>78</v>
      </c>
      <c r="AN4903" t="s">
        <v>219</v>
      </c>
      <c r="AO4903" t="s">
        <v>297</v>
      </c>
      <c r="AP4903" t="s">
        <v>8796</v>
      </c>
      <c r="AQ4903">
        <v>7</v>
      </c>
      <c r="AR4903" t="s">
        <v>80</v>
      </c>
      <c r="AS4903" t="s">
        <v>81</v>
      </c>
      <c r="AT4903" t="s">
        <v>58</v>
      </c>
      <c r="AU4903" t="s">
        <v>68</v>
      </c>
      <c r="AV4903" t="s">
        <v>69</v>
      </c>
      <c r="AW4903" s="1">
        <v>24346</v>
      </c>
      <c r="AX4903">
        <v>1</v>
      </c>
    </row>
    <row r="4904" spans="1:50">
      <c r="A4904">
        <v>702149</v>
      </c>
      <c r="B4904" t="str">
        <f>"103610820"</f>
        <v>103610820</v>
      </c>
      <c r="C4904" t="s">
        <v>50</v>
      </c>
      <c r="D4904" t="s">
        <v>625</v>
      </c>
      <c r="E4904" t="s">
        <v>155</v>
      </c>
      <c r="F4904" t="s">
        <v>450</v>
      </c>
      <c r="G4904" t="s">
        <v>237</v>
      </c>
      <c r="H4904" t="str">
        <f>"ΑΝΩΠΟΛΕΩΣ 40 ΗΡΑΚΛΕΙΟ"</f>
        <v>ΑΝΩΠΟΛΕΩΣ 40 ΗΡΑΚΛΕΙΟ</v>
      </c>
      <c r="I4904">
        <v>71500</v>
      </c>
      <c r="K4904">
        <v>6972254181</v>
      </c>
      <c r="L4904">
        <v>2106841715</v>
      </c>
      <c r="N4904" t="s">
        <v>615</v>
      </c>
      <c r="O4904" t="s">
        <v>616</v>
      </c>
      <c r="R4904" t="s">
        <v>57</v>
      </c>
      <c r="S4904">
        <v>4</v>
      </c>
      <c r="T4904">
        <v>772</v>
      </c>
      <c r="U4904" s="1">
        <v>40413</v>
      </c>
      <c r="V4904" t="s">
        <v>80</v>
      </c>
      <c r="W4904" t="s">
        <v>81</v>
      </c>
      <c r="X4904" t="s">
        <v>58</v>
      </c>
      <c r="Y4904">
        <v>23</v>
      </c>
      <c r="Z4904" t="s">
        <v>59</v>
      </c>
      <c r="AA4904" t="s">
        <v>59</v>
      </c>
      <c r="AB4904" t="s">
        <v>59</v>
      </c>
      <c r="AC4904" t="s">
        <v>59</v>
      </c>
      <c r="AD4904" t="s">
        <v>59</v>
      </c>
      <c r="AF4904" s="1">
        <v>40413</v>
      </c>
      <c r="AG4904" t="s">
        <v>8645</v>
      </c>
      <c r="AH4904" t="s">
        <v>8646</v>
      </c>
      <c r="AI4904" t="str">
        <f>"9170264"</f>
        <v>9170264</v>
      </c>
      <c r="AJ4904" t="s">
        <v>8718</v>
      </c>
      <c r="AK4904">
        <v>2810332030</v>
      </c>
      <c r="AL4904" t="s">
        <v>8719</v>
      </c>
      <c r="AM4904" t="s">
        <v>78</v>
      </c>
      <c r="AN4904" t="s">
        <v>78</v>
      </c>
      <c r="AO4904" t="s">
        <v>286</v>
      </c>
      <c r="AP4904" t="s">
        <v>286</v>
      </c>
      <c r="AQ4904">
        <v>1</v>
      </c>
      <c r="AR4904" t="s">
        <v>80</v>
      </c>
      <c r="AS4904" t="s">
        <v>81</v>
      </c>
      <c r="AT4904" t="s">
        <v>58</v>
      </c>
      <c r="AU4904" t="s">
        <v>68</v>
      </c>
      <c r="AV4904" t="s">
        <v>69</v>
      </c>
      <c r="AW4904" s="1">
        <v>29111</v>
      </c>
      <c r="AX4904">
        <v>1</v>
      </c>
    </row>
    <row r="4905" spans="1:50">
      <c r="A4905">
        <v>584892</v>
      </c>
      <c r="B4905" t="str">
        <f>"050907160"</f>
        <v>050907160</v>
      </c>
      <c r="C4905" t="s">
        <v>105</v>
      </c>
      <c r="D4905" t="s">
        <v>6898</v>
      </c>
      <c r="E4905" t="s">
        <v>2580</v>
      </c>
      <c r="F4905" t="s">
        <v>670</v>
      </c>
      <c r="G4905" t="s">
        <v>372</v>
      </c>
      <c r="H4905" t="str">
        <f>" "</f>
        <v xml:space="preserve"> </v>
      </c>
      <c r="N4905" t="s">
        <v>615</v>
      </c>
      <c r="O4905" t="s">
        <v>616</v>
      </c>
      <c r="R4905" t="s">
        <v>57</v>
      </c>
      <c r="S4905">
        <v>11</v>
      </c>
      <c r="T4905">
        <v>165</v>
      </c>
      <c r="U4905" s="1">
        <v>36040</v>
      </c>
      <c r="V4905" t="s">
        <v>80</v>
      </c>
      <c r="W4905" t="s">
        <v>81</v>
      </c>
      <c r="X4905" t="s">
        <v>58</v>
      </c>
      <c r="Y4905">
        <v>21</v>
      </c>
      <c r="Z4905" t="s">
        <v>59</v>
      </c>
      <c r="AA4905" t="s">
        <v>59</v>
      </c>
      <c r="AB4905" t="s">
        <v>59</v>
      </c>
      <c r="AC4905" t="s">
        <v>59</v>
      </c>
      <c r="AD4905" t="s">
        <v>59</v>
      </c>
      <c r="AF4905" s="1">
        <v>36045</v>
      </c>
      <c r="AG4905" t="s">
        <v>8645</v>
      </c>
      <c r="AH4905" t="s">
        <v>8646</v>
      </c>
      <c r="AI4905" t="str">
        <f>"9521014"</f>
        <v>9521014</v>
      </c>
      <c r="AJ4905" t="s">
        <v>8974</v>
      </c>
      <c r="AK4905">
        <v>2897029611</v>
      </c>
      <c r="AL4905" t="s">
        <v>8975</v>
      </c>
      <c r="AM4905" t="s">
        <v>78</v>
      </c>
      <c r="AN4905" t="s">
        <v>219</v>
      </c>
      <c r="AO4905" t="s">
        <v>527</v>
      </c>
      <c r="AP4905" t="s">
        <v>527</v>
      </c>
      <c r="AQ4905">
        <v>8</v>
      </c>
      <c r="AR4905" t="s">
        <v>80</v>
      </c>
      <c r="AS4905" t="s">
        <v>81</v>
      </c>
      <c r="AT4905" t="s">
        <v>58</v>
      </c>
      <c r="AU4905" t="s">
        <v>68</v>
      </c>
      <c r="AV4905" t="s">
        <v>69</v>
      </c>
      <c r="AW4905" s="1">
        <v>24552</v>
      </c>
      <c r="AX4905">
        <v>1</v>
      </c>
    </row>
    <row r="4906" spans="1:50">
      <c r="A4906">
        <v>608809</v>
      </c>
      <c r="B4906" t="str">
        <f>"123166085"</f>
        <v>123166085</v>
      </c>
      <c r="C4906" t="s">
        <v>50</v>
      </c>
      <c r="D4906" t="s">
        <v>8976</v>
      </c>
      <c r="E4906" t="s">
        <v>109</v>
      </c>
      <c r="F4906" t="s">
        <v>2933</v>
      </c>
      <c r="G4906" t="s">
        <v>1001</v>
      </c>
      <c r="H4906" t="str">
        <f>"ΕΛΕΥΘΕΡΝΗΣ 4 ΗΡΑΚΛΕΙΟ"</f>
        <v>ΕΛΕΥΘΕΡΝΗΣ 4 ΗΡΑΚΛΕΙΟ</v>
      </c>
      <c r="I4906">
        <v>71303</v>
      </c>
      <c r="J4906">
        <v>2810255380</v>
      </c>
      <c r="K4906">
        <v>6946406355</v>
      </c>
      <c r="N4906" t="s">
        <v>1525</v>
      </c>
      <c r="O4906" t="s">
        <v>1526</v>
      </c>
      <c r="R4906" t="s">
        <v>57</v>
      </c>
      <c r="S4906">
        <v>6</v>
      </c>
      <c r="T4906">
        <v>217</v>
      </c>
      <c r="U4906" s="1">
        <v>38596</v>
      </c>
      <c r="V4906" t="s">
        <v>80</v>
      </c>
      <c r="W4906" t="s">
        <v>81</v>
      </c>
      <c r="X4906" t="s">
        <v>58</v>
      </c>
      <c r="Y4906">
        <v>25</v>
      </c>
      <c r="Z4906" t="s">
        <v>59</v>
      </c>
      <c r="AA4906" t="s">
        <v>59</v>
      </c>
      <c r="AB4906" t="s">
        <v>59</v>
      </c>
      <c r="AC4906" t="s">
        <v>59</v>
      </c>
      <c r="AD4906" t="s">
        <v>59</v>
      </c>
      <c r="AF4906" s="1">
        <v>38601</v>
      </c>
      <c r="AG4906" t="s">
        <v>8651</v>
      </c>
      <c r="AH4906" t="s">
        <v>8652</v>
      </c>
      <c r="AI4906" t="str">
        <f>"9170506"</f>
        <v>9170506</v>
      </c>
      <c r="AJ4906" t="s">
        <v>8758</v>
      </c>
      <c r="AK4906">
        <v>2810312448</v>
      </c>
      <c r="AL4906" t="s">
        <v>8759</v>
      </c>
      <c r="AM4906" t="s">
        <v>78</v>
      </c>
      <c r="AN4906" t="s">
        <v>78</v>
      </c>
      <c r="AO4906" t="s">
        <v>78</v>
      </c>
      <c r="AP4906" t="s">
        <v>141</v>
      </c>
      <c r="AQ4906">
        <v>1</v>
      </c>
      <c r="AR4906" t="s">
        <v>80</v>
      </c>
      <c r="AS4906" t="s">
        <v>81</v>
      </c>
      <c r="AT4906" t="s">
        <v>58</v>
      </c>
      <c r="AU4906" t="s">
        <v>68</v>
      </c>
      <c r="AV4906" t="s">
        <v>69</v>
      </c>
      <c r="AW4906" s="1">
        <v>29176</v>
      </c>
      <c r="AX4906">
        <v>1</v>
      </c>
    </row>
    <row r="4907" spans="1:50">
      <c r="A4907">
        <v>618113</v>
      </c>
      <c r="B4907" t="str">
        <f>"123166073"</f>
        <v>123166073</v>
      </c>
      <c r="C4907" t="s">
        <v>50</v>
      </c>
      <c r="D4907" t="s">
        <v>8976</v>
      </c>
      <c r="E4907" t="s">
        <v>809</v>
      </c>
      <c r="F4907" t="s">
        <v>2933</v>
      </c>
      <c r="G4907" t="s">
        <v>1001</v>
      </c>
      <c r="H4907" t="str">
        <f>"ΜΗΤΣΟΤΑΚΗ 5  ΗΡΑΚΛΕΙΟ"</f>
        <v>ΜΗΤΣΟΤΑΚΗ 5  ΗΡΑΚΛΕΙΟ</v>
      </c>
      <c r="I4907">
        <v>71202</v>
      </c>
      <c r="J4907">
        <v>2810341738</v>
      </c>
      <c r="K4907">
        <v>6948509523</v>
      </c>
      <c r="N4907" t="s">
        <v>615</v>
      </c>
      <c r="O4907" t="s">
        <v>616</v>
      </c>
      <c r="R4907" t="s">
        <v>57</v>
      </c>
      <c r="S4907">
        <v>5</v>
      </c>
      <c r="T4907">
        <v>774</v>
      </c>
      <c r="U4907" s="1">
        <v>39680</v>
      </c>
      <c r="V4907" t="s">
        <v>80</v>
      </c>
      <c r="W4907" t="s">
        <v>81</v>
      </c>
      <c r="X4907" t="s">
        <v>58</v>
      </c>
      <c r="Y4907">
        <v>23</v>
      </c>
      <c r="Z4907" t="s">
        <v>59</v>
      </c>
      <c r="AA4907" t="s">
        <v>59</v>
      </c>
      <c r="AB4907" t="s">
        <v>59</v>
      </c>
      <c r="AC4907" t="s">
        <v>59</v>
      </c>
      <c r="AD4907" t="s">
        <v>59</v>
      </c>
      <c r="AF4907" s="1">
        <v>39681</v>
      </c>
      <c r="AG4907" t="s">
        <v>8645</v>
      </c>
      <c r="AH4907" t="s">
        <v>8646</v>
      </c>
      <c r="AI4907" t="str">
        <f>"9170048"</f>
        <v>9170048</v>
      </c>
      <c r="AJ4907" t="s">
        <v>8977</v>
      </c>
      <c r="AK4907">
        <v>2810283303</v>
      </c>
      <c r="AL4907" t="s">
        <v>8978</v>
      </c>
      <c r="AM4907" t="s">
        <v>78</v>
      </c>
      <c r="AN4907" t="s">
        <v>78</v>
      </c>
      <c r="AO4907" t="s">
        <v>78</v>
      </c>
      <c r="AP4907" t="s">
        <v>79</v>
      </c>
      <c r="AQ4907">
        <v>1</v>
      </c>
      <c r="AR4907" t="s">
        <v>80</v>
      </c>
      <c r="AS4907" t="s">
        <v>81</v>
      </c>
      <c r="AT4907" t="s">
        <v>58</v>
      </c>
      <c r="AU4907" t="s">
        <v>68</v>
      </c>
      <c r="AV4907" t="s">
        <v>69</v>
      </c>
      <c r="AW4907" s="1">
        <v>30748</v>
      </c>
      <c r="AX4907">
        <v>1</v>
      </c>
    </row>
    <row r="4908" spans="1:50">
      <c r="A4908">
        <v>614901</v>
      </c>
      <c r="B4908" t="str">
        <f>"128328909"</f>
        <v>128328909</v>
      </c>
      <c r="C4908" t="s">
        <v>105</v>
      </c>
      <c r="D4908" t="s">
        <v>8979</v>
      </c>
      <c r="E4908" t="s">
        <v>95</v>
      </c>
      <c r="F4908" t="s">
        <v>99</v>
      </c>
      <c r="G4908" t="s">
        <v>52</v>
      </c>
      <c r="H4908" t="str">
        <f>"ΑΣΤΑΛΗΣ 12 ΗΡΑΚΛΕΙΟ"</f>
        <v>ΑΣΤΑΛΗΣ 12 ΗΡΑΚΛΕΙΟ</v>
      </c>
      <c r="I4908">
        <v>71409</v>
      </c>
      <c r="J4908">
        <v>2810237739</v>
      </c>
      <c r="K4908">
        <v>6937308464</v>
      </c>
      <c r="N4908" t="s">
        <v>615</v>
      </c>
      <c r="O4908" t="s">
        <v>616</v>
      </c>
      <c r="R4908" t="s">
        <v>57</v>
      </c>
      <c r="S4908">
        <v>7</v>
      </c>
      <c r="T4908">
        <v>598</v>
      </c>
      <c r="U4908" s="1">
        <v>39310</v>
      </c>
      <c r="V4908" t="s">
        <v>80</v>
      </c>
      <c r="W4908" t="s">
        <v>81</v>
      </c>
      <c r="X4908" t="s">
        <v>58</v>
      </c>
      <c r="Y4908">
        <v>23</v>
      </c>
      <c r="Z4908" t="s">
        <v>59</v>
      </c>
      <c r="AA4908" t="s">
        <v>59</v>
      </c>
      <c r="AB4908" t="s">
        <v>59</v>
      </c>
      <c r="AC4908" t="s">
        <v>59</v>
      </c>
      <c r="AD4908" t="s">
        <v>59</v>
      </c>
      <c r="AF4908" s="1">
        <v>39310</v>
      </c>
      <c r="AG4908" t="s">
        <v>8645</v>
      </c>
      <c r="AH4908" t="s">
        <v>8646</v>
      </c>
      <c r="AI4908" t="str">
        <f>"9170531"</f>
        <v>9170531</v>
      </c>
      <c r="AJ4908" t="s">
        <v>8980</v>
      </c>
      <c r="AK4908">
        <v>2810229104</v>
      </c>
      <c r="AL4908" t="s">
        <v>8981</v>
      </c>
      <c r="AM4908" t="s">
        <v>78</v>
      </c>
      <c r="AN4908" t="s">
        <v>78</v>
      </c>
      <c r="AO4908" t="s">
        <v>78</v>
      </c>
      <c r="AP4908" t="s">
        <v>79</v>
      </c>
      <c r="AQ4908">
        <v>1</v>
      </c>
      <c r="AR4908" t="s">
        <v>80</v>
      </c>
      <c r="AS4908" t="s">
        <v>81</v>
      </c>
      <c r="AT4908" t="s">
        <v>58</v>
      </c>
      <c r="AU4908" t="s">
        <v>68</v>
      </c>
      <c r="AV4908" t="s">
        <v>69</v>
      </c>
      <c r="AW4908" s="1">
        <v>30876</v>
      </c>
      <c r="AX4908">
        <v>1</v>
      </c>
    </row>
    <row r="4909" spans="1:50">
      <c r="A4909">
        <v>597775</v>
      </c>
      <c r="B4909" t="str">
        <f>"074603599"</f>
        <v>074603599</v>
      </c>
      <c r="C4909" t="s">
        <v>50</v>
      </c>
      <c r="D4909" t="s">
        <v>8982</v>
      </c>
      <c r="E4909" t="s">
        <v>52</v>
      </c>
      <c r="F4909" t="s">
        <v>99</v>
      </c>
      <c r="G4909" t="s">
        <v>237</v>
      </c>
      <c r="H4909" t="str">
        <f>"ΕΤΕΑΡΧΟΥ 23 ΗΛΙΟΥΠΟΛΗ ΗΡΑΚΛΕΙΟΥ"</f>
        <v>ΕΤΕΑΡΧΟΥ 23 ΗΛΙΟΥΠΟΛΗ ΗΡΑΚΛΕΙΟΥ</v>
      </c>
      <c r="I4909">
        <v>71202</v>
      </c>
      <c r="J4909">
        <v>2810238019</v>
      </c>
      <c r="K4909">
        <v>6974062393</v>
      </c>
      <c r="N4909" t="s">
        <v>615</v>
      </c>
      <c r="O4909" t="s">
        <v>616</v>
      </c>
      <c r="R4909" t="s">
        <v>57</v>
      </c>
      <c r="S4909">
        <v>10</v>
      </c>
      <c r="T4909">
        <v>195</v>
      </c>
      <c r="U4909" s="1">
        <v>37497</v>
      </c>
      <c r="V4909" t="s">
        <v>80</v>
      </c>
      <c r="W4909" t="s">
        <v>81</v>
      </c>
      <c r="X4909" t="s">
        <v>58</v>
      </c>
      <c r="Y4909">
        <v>21</v>
      </c>
      <c r="Z4909" t="s">
        <v>59</v>
      </c>
      <c r="AA4909" t="s">
        <v>59</v>
      </c>
      <c r="AB4909" t="s">
        <v>59</v>
      </c>
      <c r="AC4909" t="s">
        <v>59</v>
      </c>
      <c r="AD4909" t="s">
        <v>59</v>
      </c>
      <c r="AF4909" s="1">
        <v>37501</v>
      </c>
      <c r="AG4909" t="s">
        <v>8645</v>
      </c>
      <c r="AH4909" t="s">
        <v>8646</v>
      </c>
      <c r="AI4909" t="str">
        <f>"9170428"</f>
        <v>9170428</v>
      </c>
      <c r="AJ4909" t="s">
        <v>8983</v>
      </c>
      <c r="AK4909">
        <v>2810234768</v>
      </c>
      <c r="AL4909" t="s">
        <v>8984</v>
      </c>
      <c r="AM4909" t="s">
        <v>78</v>
      </c>
      <c r="AN4909" t="s">
        <v>78</v>
      </c>
      <c r="AO4909" t="s">
        <v>78</v>
      </c>
      <c r="AP4909" t="s">
        <v>79</v>
      </c>
      <c r="AQ4909">
        <v>1</v>
      </c>
      <c r="AR4909" t="s">
        <v>80</v>
      </c>
      <c r="AS4909" t="s">
        <v>81</v>
      </c>
      <c r="AT4909" t="s">
        <v>58</v>
      </c>
      <c r="AU4909" t="s">
        <v>68</v>
      </c>
      <c r="AV4909" t="s">
        <v>69</v>
      </c>
      <c r="AW4909" s="1">
        <v>24322</v>
      </c>
      <c r="AX4909">
        <v>1</v>
      </c>
    </row>
    <row r="4910" spans="1:50">
      <c r="B4910" t="str">
        <f>"140417687"</f>
        <v>140417687</v>
      </c>
      <c r="C4910" t="s">
        <v>50</v>
      </c>
      <c r="D4910" t="s">
        <v>5743</v>
      </c>
      <c r="E4910" t="s">
        <v>8985</v>
      </c>
      <c r="F4910" t="s">
        <v>84</v>
      </c>
      <c r="G4910" t="s">
        <v>5764</v>
      </c>
      <c r="H4910" t="str">
        <f>"ΦΩΤΑΚΟΥ 3  "</f>
        <v xml:space="preserve">ΦΩΤΑΚΟΥ 3  </v>
      </c>
      <c r="I4910">
        <v>54635</v>
      </c>
      <c r="J4910">
        <v>2310210866</v>
      </c>
      <c r="K4910">
        <v>6978254160</v>
      </c>
      <c r="N4910" t="s">
        <v>204</v>
      </c>
      <c r="O4910" t="s">
        <v>205</v>
      </c>
      <c r="R4910" t="s">
        <v>159</v>
      </c>
      <c r="S4910">
        <v>5</v>
      </c>
      <c r="T4910" t="s">
        <v>8675</v>
      </c>
      <c r="U4910" s="1">
        <v>43348</v>
      </c>
      <c r="V4910" t="s">
        <v>80</v>
      </c>
      <c r="W4910" t="s">
        <v>81</v>
      </c>
      <c r="X4910" t="s">
        <v>58</v>
      </c>
      <c r="Y4910">
        <v>24</v>
      </c>
      <c r="Z4910" t="s">
        <v>59</v>
      </c>
      <c r="AA4910" t="s">
        <v>59</v>
      </c>
      <c r="AB4910" t="s">
        <v>59</v>
      </c>
      <c r="AC4910" t="s">
        <v>59</v>
      </c>
      <c r="AD4910" t="s">
        <v>59</v>
      </c>
      <c r="AF4910" s="1">
        <v>43348</v>
      </c>
      <c r="AG4910" t="s">
        <v>8645</v>
      </c>
      <c r="AH4910" t="s">
        <v>8646</v>
      </c>
      <c r="AI4910" t="str">
        <f>"9170512"</f>
        <v>9170512</v>
      </c>
      <c r="AJ4910" t="s">
        <v>8986</v>
      </c>
      <c r="AK4910">
        <v>2810253082</v>
      </c>
      <c r="AL4910" t="s">
        <v>8987</v>
      </c>
      <c r="AM4910" t="s">
        <v>78</v>
      </c>
      <c r="AN4910" t="s">
        <v>78</v>
      </c>
      <c r="AO4910" t="s">
        <v>78</v>
      </c>
      <c r="AP4910" t="s">
        <v>141</v>
      </c>
      <c r="AQ4910">
        <v>1</v>
      </c>
      <c r="AR4910" t="s">
        <v>80</v>
      </c>
      <c r="AS4910" t="s">
        <v>81</v>
      </c>
      <c r="AT4910" t="s">
        <v>58</v>
      </c>
      <c r="AU4910" t="s">
        <v>8673</v>
      </c>
      <c r="AV4910" t="s">
        <v>132</v>
      </c>
      <c r="AW4910" s="1">
        <v>31130</v>
      </c>
      <c r="AX4910">
        <v>1</v>
      </c>
    </row>
    <row r="4911" spans="1:50">
      <c r="A4911">
        <v>591238</v>
      </c>
      <c r="B4911" t="str">
        <f>"100104861"</f>
        <v>100104861</v>
      </c>
      <c r="C4911" t="s">
        <v>50</v>
      </c>
      <c r="D4911" t="s">
        <v>8988</v>
      </c>
      <c r="E4911" t="s">
        <v>476</v>
      </c>
      <c r="F4911" t="s">
        <v>53</v>
      </c>
      <c r="G4911" t="s">
        <v>52</v>
      </c>
      <c r="H4911" t="str">
        <f>" "</f>
        <v xml:space="preserve"> </v>
      </c>
      <c r="K4911">
        <v>6945872806</v>
      </c>
      <c r="N4911" t="s">
        <v>615</v>
      </c>
      <c r="O4911" t="s">
        <v>616</v>
      </c>
      <c r="R4911" t="s">
        <v>57</v>
      </c>
      <c r="S4911">
        <v>10</v>
      </c>
      <c r="T4911">
        <v>249</v>
      </c>
      <c r="U4911" s="1">
        <v>36769</v>
      </c>
      <c r="V4911" t="s">
        <v>80</v>
      </c>
      <c r="W4911" t="s">
        <v>81</v>
      </c>
      <c r="X4911" t="s">
        <v>58</v>
      </c>
      <c r="Y4911">
        <v>21</v>
      </c>
      <c r="Z4911" t="s">
        <v>59</v>
      </c>
      <c r="AA4911" t="s">
        <v>59</v>
      </c>
      <c r="AB4911" t="s">
        <v>59</v>
      </c>
      <c r="AC4911" t="s">
        <v>59</v>
      </c>
      <c r="AD4911" t="s">
        <v>59</v>
      </c>
      <c r="AF4911" s="1">
        <v>36770</v>
      </c>
      <c r="AG4911" t="s">
        <v>8645</v>
      </c>
      <c r="AH4911" t="s">
        <v>8646</v>
      </c>
      <c r="AI4911" t="str">
        <f>"9170197"</f>
        <v>9170197</v>
      </c>
      <c r="AJ4911" t="s">
        <v>8989</v>
      </c>
      <c r="AK4911">
        <v>2810232577</v>
      </c>
      <c r="AL4911" t="s">
        <v>8990</v>
      </c>
      <c r="AM4911" t="s">
        <v>78</v>
      </c>
      <c r="AN4911" t="s">
        <v>78</v>
      </c>
      <c r="AO4911" t="s">
        <v>78</v>
      </c>
      <c r="AP4911" t="s">
        <v>163</v>
      </c>
      <c r="AQ4911">
        <v>1</v>
      </c>
      <c r="AR4911" t="s">
        <v>80</v>
      </c>
      <c r="AS4911" t="s">
        <v>81</v>
      </c>
      <c r="AT4911" t="s">
        <v>58</v>
      </c>
      <c r="AU4911" t="s">
        <v>68</v>
      </c>
      <c r="AV4911" t="s">
        <v>69</v>
      </c>
      <c r="AW4911" s="1">
        <v>24521</v>
      </c>
      <c r="AX4911">
        <v>1</v>
      </c>
    </row>
    <row r="4912" spans="1:50">
      <c r="A4912">
        <v>622344</v>
      </c>
      <c r="B4912" t="str">
        <f>"138978883"</f>
        <v>138978883</v>
      </c>
      <c r="C4912" t="s">
        <v>50</v>
      </c>
      <c r="D4912" t="s">
        <v>8988</v>
      </c>
      <c r="E4912" t="s">
        <v>460</v>
      </c>
      <c r="F4912" t="s">
        <v>106</v>
      </c>
      <c r="G4912" t="s">
        <v>237</v>
      </c>
      <c r="H4912" t="str">
        <f>"ΕΘΝΙΚΗΣ ΑΝΤΙΣΤΑΣΕΩΣ 142Α ΗΡΑΚΛΕΙΟ"</f>
        <v>ΕΘΝΙΚΗΣ ΑΝΤΙΣΤΑΣΕΩΣ 142Α ΗΡΑΚΛΕΙΟ</v>
      </c>
      <c r="I4912">
        <v>71306</v>
      </c>
      <c r="J4912">
        <v>2810240782</v>
      </c>
      <c r="K4912">
        <v>6973786870</v>
      </c>
      <c r="N4912" t="s">
        <v>1525</v>
      </c>
      <c r="O4912" t="s">
        <v>1526</v>
      </c>
      <c r="R4912" t="s">
        <v>57</v>
      </c>
      <c r="S4912">
        <v>7</v>
      </c>
      <c r="T4912">
        <v>653</v>
      </c>
      <c r="U4912" s="1">
        <v>40043</v>
      </c>
      <c r="V4912" t="s">
        <v>80</v>
      </c>
      <c r="W4912" t="s">
        <v>81</v>
      </c>
      <c r="X4912" t="s">
        <v>58</v>
      </c>
      <c r="Y4912">
        <v>25</v>
      </c>
      <c r="Z4912" t="s">
        <v>59</v>
      </c>
      <c r="AA4912" t="s">
        <v>59</v>
      </c>
      <c r="AB4912" t="s">
        <v>59</v>
      </c>
      <c r="AC4912" t="s">
        <v>59</v>
      </c>
      <c r="AD4912" t="s">
        <v>59</v>
      </c>
      <c r="AF4912" s="1">
        <v>40043</v>
      </c>
      <c r="AG4912" t="s">
        <v>8651</v>
      </c>
      <c r="AH4912" t="s">
        <v>8652</v>
      </c>
      <c r="AI4912" t="str">
        <f>"9170354"</f>
        <v>9170354</v>
      </c>
      <c r="AJ4912" t="s">
        <v>8991</v>
      </c>
      <c r="AK4912">
        <v>2894041313</v>
      </c>
      <c r="AL4912" t="s">
        <v>8992</v>
      </c>
      <c r="AM4912" t="s">
        <v>78</v>
      </c>
      <c r="AN4912" t="s">
        <v>405</v>
      </c>
      <c r="AO4912" t="s">
        <v>551</v>
      </c>
      <c r="AP4912" t="s">
        <v>552</v>
      </c>
      <c r="AQ4912">
        <v>21</v>
      </c>
      <c r="AR4912" t="s">
        <v>80</v>
      </c>
      <c r="AS4912" t="s">
        <v>81</v>
      </c>
      <c r="AT4912" t="s">
        <v>58</v>
      </c>
      <c r="AU4912" t="s">
        <v>68</v>
      </c>
      <c r="AV4912" t="s">
        <v>69</v>
      </c>
      <c r="AW4912" s="1">
        <v>29605</v>
      </c>
      <c r="AX4912">
        <v>1</v>
      </c>
    </row>
    <row r="4913" spans="1:50">
      <c r="A4913">
        <v>614601</v>
      </c>
      <c r="B4913" t="str">
        <f>"062627662"</f>
        <v>062627662</v>
      </c>
      <c r="C4913" t="s">
        <v>50</v>
      </c>
      <c r="D4913" t="s">
        <v>8993</v>
      </c>
      <c r="E4913" t="s">
        <v>52</v>
      </c>
      <c r="F4913" t="s">
        <v>53</v>
      </c>
      <c r="G4913" t="s">
        <v>54</v>
      </c>
      <c r="H4913" t="str">
        <f>"62 ΜΑΡΤΥΡΩΝ 100 ΗΡΑΚΛΕΙΟ"</f>
        <v>62 ΜΑΡΤΥΡΩΝ 100 ΗΡΑΚΛΕΙΟ</v>
      </c>
      <c r="I4913">
        <v>71303</v>
      </c>
      <c r="J4913">
        <v>2810255102</v>
      </c>
      <c r="K4913">
        <v>6981318231</v>
      </c>
      <c r="M4913" t="s">
        <v>8994</v>
      </c>
      <c r="N4913" t="s">
        <v>615</v>
      </c>
      <c r="O4913" t="s">
        <v>616</v>
      </c>
      <c r="R4913" t="s">
        <v>57</v>
      </c>
      <c r="S4913">
        <v>5</v>
      </c>
      <c r="T4913">
        <v>598</v>
      </c>
      <c r="U4913" s="1">
        <v>39310</v>
      </c>
      <c r="V4913" t="s">
        <v>80</v>
      </c>
      <c r="W4913" t="s">
        <v>81</v>
      </c>
      <c r="X4913" t="s">
        <v>58</v>
      </c>
      <c r="Y4913">
        <v>23</v>
      </c>
      <c r="Z4913" t="s">
        <v>59</v>
      </c>
      <c r="AA4913" t="s">
        <v>59</v>
      </c>
      <c r="AB4913" t="s">
        <v>59</v>
      </c>
      <c r="AC4913" t="s">
        <v>59</v>
      </c>
      <c r="AD4913" t="s">
        <v>59</v>
      </c>
      <c r="AF4913" s="1">
        <v>39328</v>
      </c>
      <c r="AG4913" t="s">
        <v>8645</v>
      </c>
      <c r="AH4913" t="s">
        <v>8646</v>
      </c>
      <c r="AI4913" t="str">
        <f>"9170362"</f>
        <v>9170362</v>
      </c>
      <c r="AJ4913" t="s">
        <v>8681</v>
      </c>
      <c r="AK4913">
        <v>2810255261</v>
      </c>
      <c r="AL4913" t="s">
        <v>8682</v>
      </c>
      <c r="AM4913" t="s">
        <v>78</v>
      </c>
      <c r="AN4913" t="s">
        <v>78</v>
      </c>
      <c r="AO4913" t="s">
        <v>78</v>
      </c>
      <c r="AP4913" t="s">
        <v>141</v>
      </c>
      <c r="AQ4913">
        <v>1</v>
      </c>
      <c r="AR4913" t="s">
        <v>80</v>
      </c>
      <c r="AS4913" t="s">
        <v>81</v>
      </c>
      <c r="AT4913" t="s">
        <v>58</v>
      </c>
      <c r="AU4913" t="s">
        <v>68</v>
      </c>
      <c r="AV4913" t="s">
        <v>69</v>
      </c>
      <c r="AW4913" s="1">
        <v>30886</v>
      </c>
      <c r="AX4913">
        <v>1</v>
      </c>
    </row>
    <row r="4914" spans="1:50">
      <c r="A4914">
        <v>581280</v>
      </c>
      <c r="B4914" t="str">
        <f>"036088931"</f>
        <v>036088931</v>
      </c>
      <c r="C4914" t="s">
        <v>105</v>
      </c>
      <c r="D4914" t="s">
        <v>637</v>
      </c>
      <c r="E4914" t="s">
        <v>106</v>
      </c>
      <c r="F4914" t="s">
        <v>53</v>
      </c>
      <c r="G4914" t="s">
        <v>372</v>
      </c>
      <c r="H4914" t="str">
        <f>" "</f>
        <v xml:space="preserve"> </v>
      </c>
      <c r="N4914" t="s">
        <v>615</v>
      </c>
      <c r="O4914" t="s">
        <v>616</v>
      </c>
      <c r="R4914" t="s">
        <v>57</v>
      </c>
      <c r="S4914">
        <v>12</v>
      </c>
      <c r="T4914">
        <v>179</v>
      </c>
      <c r="U4914" s="1">
        <v>35674</v>
      </c>
      <c r="V4914" t="s">
        <v>80</v>
      </c>
      <c r="W4914" t="s">
        <v>81</v>
      </c>
      <c r="X4914" t="s">
        <v>58</v>
      </c>
      <c r="Y4914">
        <v>21</v>
      </c>
      <c r="Z4914" t="s">
        <v>59</v>
      </c>
      <c r="AA4914" t="s">
        <v>59</v>
      </c>
      <c r="AB4914" t="s">
        <v>59</v>
      </c>
      <c r="AC4914" t="s">
        <v>59</v>
      </c>
      <c r="AD4914" t="s">
        <v>59</v>
      </c>
      <c r="AF4914" s="1">
        <v>35676</v>
      </c>
      <c r="AG4914" t="s">
        <v>8645</v>
      </c>
      <c r="AH4914" t="s">
        <v>8646</v>
      </c>
      <c r="AI4914" t="str">
        <f>"9170048"</f>
        <v>9170048</v>
      </c>
      <c r="AJ4914" t="s">
        <v>8977</v>
      </c>
      <c r="AK4914">
        <v>2810283303</v>
      </c>
      <c r="AL4914" t="s">
        <v>8978</v>
      </c>
      <c r="AM4914" t="s">
        <v>78</v>
      </c>
      <c r="AN4914" t="s">
        <v>78</v>
      </c>
      <c r="AO4914" t="s">
        <v>78</v>
      </c>
      <c r="AP4914" t="s">
        <v>79</v>
      </c>
      <c r="AQ4914">
        <v>1</v>
      </c>
      <c r="AR4914" t="s">
        <v>80</v>
      </c>
      <c r="AS4914" t="s">
        <v>81</v>
      </c>
      <c r="AT4914" t="s">
        <v>58</v>
      </c>
      <c r="AU4914" t="s">
        <v>68</v>
      </c>
      <c r="AV4914" t="s">
        <v>69</v>
      </c>
      <c r="AW4914" s="1">
        <v>24662</v>
      </c>
      <c r="AX4914">
        <v>1</v>
      </c>
    </row>
    <row r="4915" spans="1:50">
      <c r="A4915">
        <v>211449</v>
      </c>
      <c r="B4915" t="str">
        <f>"123151717"</f>
        <v>123151717</v>
      </c>
      <c r="C4915" t="s">
        <v>50</v>
      </c>
      <c r="D4915" t="s">
        <v>8995</v>
      </c>
      <c r="E4915" t="s">
        <v>143</v>
      </c>
      <c r="F4915" t="s">
        <v>95</v>
      </c>
      <c r="G4915" t="s">
        <v>52</v>
      </c>
      <c r="H4915" t="str">
        <f>"ΒΡΑΧΟΚΗΠΟΣ ΚΟΚΚΙΝΗ ΧΑΝΙ ΗΡΑΚΛΕΙΟ"</f>
        <v>ΒΡΑΧΟΚΗΠΟΣ ΚΟΚΚΙΝΗ ΧΑΝΙ ΗΡΑΚΛΕΙΟ</v>
      </c>
      <c r="I4915">
        <v>71500</v>
      </c>
      <c r="J4915">
        <v>2810761496</v>
      </c>
      <c r="K4915">
        <v>6946850333</v>
      </c>
      <c r="L4915">
        <v>2810371445</v>
      </c>
      <c r="N4915" t="s">
        <v>204</v>
      </c>
      <c r="O4915" t="s">
        <v>205</v>
      </c>
      <c r="R4915" t="s">
        <v>57</v>
      </c>
      <c r="S4915">
        <v>6</v>
      </c>
      <c r="T4915">
        <v>316</v>
      </c>
      <c r="U4915" s="1">
        <v>38685</v>
      </c>
      <c r="V4915" t="s">
        <v>80</v>
      </c>
      <c r="W4915" t="s">
        <v>81</v>
      </c>
      <c r="X4915" t="s">
        <v>58</v>
      </c>
      <c r="Y4915">
        <v>23</v>
      </c>
      <c r="Z4915" t="s">
        <v>59</v>
      </c>
      <c r="AA4915" t="s">
        <v>59</v>
      </c>
      <c r="AB4915" t="s">
        <v>59</v>
      </c>
      <c r="AC4915" t="s">
        <v>59</v>
      </c>
      <c r="AD4915" t="s">
        <v>59</v>
      </c>
      <c r="AF4915" s="1">
        <v>38685</v>
      </c>
      <c r="AG4915" t="s">
        <v>8645</v>
      </c>
      <c r="AH4915" t="s">
        <v>8646</v>
      </c>
      <c r="AI4915" t="str">
        <f>"9170192"</f>
        <v>9170192</v>
      </c>
      <c r="AJ4915" t="s">
        <v>8661</v>
      </c>
      <c r="AK4915">
        <v>2810231985</v>
      </c>
      <c r="AL4915" t="s">
        <v>8662</v>
      </c>
      <c r="AM4915" t="s">
        <v>78</v>
      </c>
      <c r="AN4915" t="s">
        <v>78</v>
      </c>
      <c r="AO4915" t="s">
        <v>78</v>
      </c>
      <c r="AP4915" t="s">
        <v>163</v>
      </c>
      <c r="AQ4915">
        <v>1</v>
      </c>
      <c r="AR4915" t="s">
        <v>80</v>
      </c>
      <c r="AS4915" t="s">
        <v>81</v>
      </c>
      <c r="AT4915" t="s">
        <v>58</v>
      </c>
      <c r="AU4915" t="s">
        <v>68</v>
      </c>
      <c r="AV4915" t="s">
        <v>69</v>
      </c>
      <c r="AW4915" s="1">
        <v>29769</v>
      </c>
      <c r="AX4915">
        <v>1</v>
      </c>
    </row>
    <row r="4916" spans="1:50">
      <c r="A4916">
        <v>609668</v>
      </c>
      <c r="B4916" t="str">
        <f>"120695162"</f>
        <v>120695162</v>
      </c>
      <c r="C4916" t="s">
        <v>50</v>
      </c>
      <c r="D4916" t="s">
        <v>8996</v>
      </c>
      <c r="E4916" t="s">
        <v>1644</v>
      </c>
      <c r="F4916" t="s">
        <v>383</v>
      </c>
      <c r="G4916" t="s">
        <v>143</v>
      </c>
      <c r="H4916" t="str">
        <f>"ΓΡ. ΜΑΜΕΛΗ 48 ΚΟΜΟΤΗΝΗ"</f>
        <v>ΓΡ. ΜΑΜΕΛΗ 48 ΚΟΜΟΤΗΝΗ</v>
      </c>
      <c r="I4916">
        <v>69100</v>
      </c>
      <c r="J4916">
        <v>2531020088</v>
      </c>
      <c r="K4916">
        <v>6972299316</v>
      </c>
      <c r="M4916" t="s">
        <v>8997</v>
      </c>
      <c r="N4916" t="s">
        <v>176</v>
      </c>
      <c r="O4916" t="s">
        <v>177</v>
      </c>
      <c r="R4916" t="s">
        <v>57</v>
      </c>
      <c r="S4916">
        <v>13</v>
      </c>
      <c r="T4916">
        <v>225</v>
      </c>
      <c r="U4916" s="1">
        <v>38604</v>
      </c>
      <c r="V4916" t="s">
        <v>80</v>
      </c>
      <c r="W4916" t="s">
        <v>81</v>
      </c>
      <c r="X4916" t="s">
        <v>58</v>
      </c>
      <c r="Y4916">
        <v>23</v>
      </c>
      <c r="Z4916" t="s">
        <v>59</v>
      </c>
      <c r="AA4916" t="s">
        <v>59</v>
      </c>
      <c r="AB4916" t="s">
        <v>59</v>
      </c>
      <c r="AC4916" t="s">
        <v>59</v>
      </c>
      <c r="AD4916" t="s">
        <v>59</v>
      </c>
      <c r="AF4916" s="1">
        <v>38608</v>
      </c>
      <c r="AG4916" t="s">
        <v>8645</v>
      </c>
      <c r="AH4916" t="s">
        <v>8646</v>
      </c>
      <c r="AI4916" t="str">
        <f>"9170228"</f>
        <v>9170228</v>
      </c>
      <c r="AJ4916" t="s">
        <v>8898</v>
      </c>
      <c r="AK4916">
        <v>2891041210</v>
      </c>
      <c r="AL4916" t="s">
        <v>8899</v>
      </c>
      <c r="AM4916" t="s">
        <v>78</v>
      </c>
      <c r="AN4916" t="s">
        <v>276</v>
      </c>
      <c r="AO4916" t="s">
        <v>1936</v>
      </c>
      <c r="AP4916" t="s">
        <v>1936</v>
      </c>
      <c r="AQ4916">
        <v>13</v>
      </c>
      <c r="AR4916" t="s">
        <v>80</v>
      </c>
      <c r="AS4916" t="s">
        <v>81</v>
      </c>
      <c r="AT4916" t="s">
        <v>58</v>
      </c>
      <c r="AU4916" t="s">
        <v>68</v>
      </c>
      <c r="AV4916" t="s">
        <v>69</v>
      </c>
      <c r="AW4916" s="1">
        <v>24742</v>
      </c>
      <c r="AX4916">
        <v>1</v>
      </c>
    </row>
    <row r="4917" spans="1:50">
      <c r="B4917" t="str">
        <f>"078248005"</f>
        <v>078248005</v>
      </c>
      <c r="C4917" t="s">
        <v>50</v>
      </c>
      <c r="D4917" t="s">
        <v>8998</v>
      </c>
      <c r="E4917" t="s">
        <v>52</v>
      </c>
      <c r="F4917" t="s">
        <v>8999</v>
      </c>
      <c r="G4917" t="s">
        <v>155</v>
      </c>
      <c r="H4917" t="str">
        <f>" "</f>
        <v xml:space="preserve"> </v>
      </c>
      <c r="N4917" t="s">
        <v>615</v>
      </c>
      <c r="O4917" t="s">
        <v>616</v>
      </c>
      <c r="R4917" t="s">
        <v>121</v>
      </c>
      <c r="S4917">
        <v>1</v>
      </c>
      <c r="T4917" t="s">
        <v>8675</v>
      </c>
      <c r="U4917" s="1">
        <v>43348</v>
      </c>
      <c r="V4917" t="s">
        <v>80</v>
      </c>
      <c r="W4917" t="s">
        <v>81</v>
      </c>
      <c r="X4917" t="s">
        <v>58</v>
      </c>
      <c r="Y4917">
        <v>24</v>
      </c>
      <c r="Z4917" t="s">
        <v>59</v>
      </c>
      <c r="AD4917" t="s">
        <v>59</v>
      </c>
      <c r="AF4917" s="1">
        <v>43348</v>
      </c>
      <c r="AG4917" t="s">
        <v>8645</v>
      </c>
      <c r="AH4917" t="s">
        <v>8676</v>
      </c>
      <c r="AI4917" t="str">
        <f>"9170129"</f>
        <v>9170129</v>
      </c>
      <c r="AJ4917" t="s">
        <v>9000</v>
      </c>
      <c r="AK4917">
        <v>2895031360</v>
      </c>
      <c r="AL4917" t="s">
        <v>9001</v>
      </c>
      <c r="AM4917" t="s">
        <v>78</v>
      </c>
      <c r="AN4917" t="s">
        <v>482</v>
      </c>
      <c r="AO4917" t="s">
        <v>482</v>
      </c>
      <c r="AP4917" t="s">
        <v>9002</v>
      </c>
      <c r="AQ4917">
        <v>14</v>
      </c>
      <c r="AR4917" t="s">
        <v>80</v>
      </c>
      <c r="AS4917" t="s">
        <v>81</v>
      </c>
      <c r="AT4917" t="s">
        <v>58</v>
      </c>
      <c r="AU4917" t="s">
        <v>8673</v>
      </c>
      <c r="AV4917" t="s">
        <v>132</v>
      </c>
      <c r="AW4917" s="1">
        <v>29081</v>
      </c>
      <c r="AX4917">
        <v>1</v>
      </c>
    </row>
    <row r="4918" spans="1:50">
      <c r="A4918">
        <v>553484</v>
      </c>
      <c r="B4918" t="str">
        <f>"029838246"</f>
        <v>029838246</v>
      </c>
      <c r="C4918" t="s">
        <v>105</v>
      </c>
      <c r="D4918" t="s">
        <v>4606</v>
      </c>
      <c r="E4918" t="s">
        <v>9003</v>
      </c>
      <c r="F4918" t="s">
        <v>9003</v>
      </c>
      <c r="G4918" t="s">
        <v>1074</v>
      </c>
      <c r="H4918" t="str">
        <f>"Ποταμιές Χερσόνησος"</f>
        <v>Ποταμιές Χερσόνησος</v>
      </c>
      <c r="I4918">
        <v>70005</v>
      </c>
      <c r="J4918">
        <v>2897051350</v>
      </c>
      <c r="K4918">
        <v>6948105813</v>
      </c>
      <c r="N4918" t="s">
        <v>615</v>
      </c>
      <c r="O4918" t="s">
        <v>616</v>
      </c>
      <c r="R4918" t="s">
        <v>57</v>
      </c>
      <c r="S4918">
        <v>17</v>
      </c>
      <c r="T4918" t="s">
        <v>9004</v>
      </c>
      <c r="U4918" s="1">
        <v>31289</v>
      </c>
      <c r="V4918" t="s">
        <v>80</v>
      </c>
      <c r="W4918" t="s">
        <v>81</v>
      </c>
      <c r="X4918" t="s">
        <v>58</v>
      </c>
      <c r="Y4918">
        <v>21</v>
      </c>
      <c r="Z4918" t="s">
        <v>59</v>
      </c>
      <c r="AA4918" t="s">
        <v>59</v>
      </c>
      <c r="AB4918" t="s">
        <v>59</v>
      </c>
      <c r="AC4918" t="s">
        <v>59</v>
      </c>
      <c r="AD4918" t="s">
        <v>59</v>
      </c>
      <c r="AF4918" s="1">
        <v>31299</v>
      </c>
      <c r="AG4918" t="s">
        <v>8645</v>
      </c>
      <c r="AH4918" t="s">
        <v>8646</v>
      </c>
      <c r="AI4918" t="str">
        <f>"9170206"</f>
        <v>9170206</v>
      </c>
      <c r="AJ4918" t="s">
        <v>8972</v>
      </c>
      <c r="AK4918">
        <v>2810761137</v>
      </c>
      <c r="AL4918" t="s">
        <v>8973</v>
      </c>
      <c r="AM4918" t="s">
        <v>78</v>
      </c>
      <c r="AN4918" t="s">
        <v>219</v>
      </c>
      <c r="AO4918" t="s">
        <v>297</v>
      </c>
      <c r="AP4918" t="s">
        <v>8796</v>
      </c>
      <c r="AQ4918">
        <v>7</v>
      </c>
      <c r="AR4918" t="s">
        <v>80</v>
      </c>
      <c r="AS4918" t="s">
        <v>81</v>
      </c>
      <c r="AT4918" t="s">
        <v>58</v>
      </c>
      <c r="AU4918" t="s">
        <v>68</v>
      </c>
      <c r="AV4918" t="s">
        <v>69</v>
      </c>
      <c r="AW4918" s="1">
        <v>21681</v>
      </c>
      <c r="AX4918">
        <v>1</v>
      </c>
    </row>
    <row r="4919" spans="1:50">
      <c r="A4919">
        <v>203513</v>
      </c>
      <c r="B4919" t="str">
        <f>"044548903"</f>
        <v>044548903</v>
      </c>
      <c r="C4919" t="s">
        <v>50</v>
      </c>
      <c r="D4919" t="s">
        <v>9005</v>
      </c>
      <c r="E4919" t="s">
        <v>809</v>
      </c>
      <c r="F4919" t="s">
        <v>2219</v>
      </c>
      <c r="G4919" t="s">
        <v>237</v>
      </c>
      <c r="H4919" t="str">
        <f>"ΠΗΓΙΑΝΟΣ ΚΑΜΠΟΣ ΡΕΘΥΜΝΟ"</f>
        <v>ΠΗΓΙΑΝΟΣ ΚΑΜΠΟΣ ΡΕΘΥΜΝΟ</v>
      </c>
      <c r="I4919">
        <v>74100</v>
      </c>
      <c r="J4919">
        <v>2102844241</v>
      </c>
      <c r="K4919">
        <v>6947656648</v>
      </c>
      <c r="M4919" t="s">
        <v>9006</v>
      </c>
      <c r="N4919" t="s">
        <v>288</v>
      </c>
      <c r="O4919" t="s">
        <v>289</v>
      </c>
      <c r="R4919" t="s">
        <v>57</v>
      </c>
      <c r="S4919">
        <v>7</v>
      </c>
      <c r="T4919">
        <v>231</v>
      </c>
      <c r="U4919" s="1">
        <v>38230</v>
      </c>
      <c r="V4919" t="s">
        <v>80</v>
      </c>
      <c r="W4919" t="s">
        <v>81</v>
      </c>
      <c r="X4919" t="s">
        <v>58</v>
      </c>
      <c r="Y4919">
        <v>23</v>
      </c>
      <c r="Z4919" t="s">
        <v>59</v>
      </c>
      <c r="AA4919" t="s">
        <v>59</v>
      </c>
      <c r="AB4919" t="s">
        <v>59</v>
      </c>
      <c r="AC4919" t="s">
        <v>59</v>
      </c>
      <c r="AD4919" t="s">
        <v>59</v>
      </c>
      <c r="AF4919" s="1">
        <v>38236</v>
      </c>
      <c r="AG4919" t="s">
        <v>8645</v>
      </c>
      <c r="AH4919" t="s">
        <v>8646</v>
      </c>
      <c r="AI4919" t="str">
        <f>"9521411"</f>
        <v>9521411</v>
      </c>
      <c r="AJ4919" t="s">
        <v>9007</v>
      </c>
      <c r="AK4919">
        <v>2810824954</v>
      </c>
      <c r="AL4919" t="s">
        <v>9008</v>
      </c>
      <c r="AM4919" t="s">
        <v>78</v>
      </c>
      <c r="AN4919" t="s">
        <v>129</v>
      </c>
      <c r="AO4919" t="s">
        <v>130</v>
      </c>
      <c r="AP4919" t="s">
        <v>130</v>
      </c>
      <c r="AQ4919">
        <v>1</v>
      </c>
      <c r="AR4919" t="s">
        <v>80</v>
      </c>
      <c r="AS4919" t="s">
        <v>81</v>
      </c>
      <c r="AT4919" t="s">
        <v>58</v>
      </c>
      <c r="AU4919" t="s">
        <v>68</v>
      </c>
      <c r="AV4919" t="s">
        <v>69</v>
      </c>
      <c r="AW4919" s="1">
        <v>25137</v>
      </c>
      <c r="AX4919">
        <v>1</v>
      </c>
    </row>
    <row r="4920" spans="1:50">
      <c r="A4920">
        <v>616912</v>
      </c>
      <c r="B4920" t="str">
        <f>"140071776"</f>
        <v>140071776</v>
      </c>
      <c r="C4920" t="s">
        <v>50</v>
      </c>
      <c r="D4920" t="s">
        <v>9005</v>
      </c>
      <c r="E4920" t="s">
        <v>191</v>
      </c>
      <c r="F4920" t="s">
        <v>9009</v>
      </c>
      <c r="G4920" t="s">
        <v>340</v>
      </c>
      <c r="H4920" t="str">
        <f>"ΑΙΑΝΗ-ΚΟΖΑΝΗΣ ΚΟΖΑΝΗ"</f>
        <v>ΑΙΑΝΗ-ΚΟΖΑΝΗΣ ΚΟΖΑΝΗ</v>
      </c>
      <c r="I4920">
        <v>50004</v>
      </c>
      <c r="J4920">
        <v>2461098659</v>
      </c>
      <c r="K4920">
        <v>6977260903</v>
      </c>
      <c r="N4920" t="s">
        <v>615</v>
      </c>
      <c r="O4920" t="s">
        <v>616</v>
      </c>
      <c r="R4920" t="s">
        <v>57</v>
      </c>
      <c r="S4920">
        <v>6</v>
      </c>
      <c r="T4920">
        <v>774</v>
      </c>
      <c r="U4920" s="1">
        <v>39680</v>
      </c>
      <c r="V4920" t="s">
        <v>80</v>
      </c>
      <c r="W4920" t="s">
        <v>81</v>
      </c>
      <c r="X4920" t="s">
        <v>58</v>
      </c>
      <c r="Y4920">
        <v>23</v>
      </c>
      <c r="Z4920" t="s">
        <v>59</v>
      </c>
      <c r="AA4920" t="s">
        <v>59</v>
      </c>
      <c r="AB4920" t="s">
        <v>59</v>
      </c>
      <c r="AC4920" t="s">
        <v>59</v>
      </c>
      <c r="AD4920" t="s">
        <v>59</v>
      </c>
      <c r="AF4920" s="1">
        <v>39682</v>
      </c>
      <c r="AG4920" t="s">
        <v>8645</v>
      </c>
      <c r="AH4920" t="s">
        <v>8646</v>
      </c>
      <c r="AI4920" t="str">
        <f>"9170132"</f>
        <v>9170132</v>
      </c>
      <c r="AJ4920" t="s">
        <v>9010</v>
      </c>
      <c r="AK4920">
        <v>2895022233</v>
      </c>
      <c r="AL4920" t="s">
        <v>9011</v>
      </c>
      <c r="AM4920" t="s">
        <v>78</v>
      </c>
      <c r="AN4920" t="s">
        <v>482</v>
      </c>
      <c r="AO4920" t="s">
        <v>482</v>
      </c>
      <c r="AP4920" t="s">
        <v>483</v>
      </c>
      <c r="AQ4920">
        <v>14</v>
      </c>
      <c r="AR4920" t="s">
        <v>80</v>
      </c>
      <c r="AS4920" t="s">
        <v>81</v>
      </c>
      <c r="AT4920" t="s">
        <v>58</v>
      </c>
      <c r="AU4920" t="s">
        <v>68</v>
      </c>
      <c r="AV4920" t="s">
        <v>69</v>
      </c>
      <c r="AW4920" s="1">
        <v>29754</v>
      </c>
      <c r="AX4920">
        <v>1</v>
      </c>
    </row>
    <row r="4921" spans="1:50">
      <c r="A4921">
        <v>611234</v>
      </c>
      <c r="B4921" t="str">
        <f>"078320241"</f>
        <v>078320241</v>
      </c>
      <c r="C4921" t="s">
        <v>50</v>
      </c>
      <c r="D4921" t="s">
        <v>1071</v>
      </c>
      <c r="E4921" t="s">
        <v>9012</v>
      </c>
      <c r="F4921" t="s">
        <v>5833</v>
      </c>
      <c r="G4921" t="s">
        <v>4390</v>
      </c>
      <c r="H4921" t="str">
        <f>" "</f>
        <v xml:space="preserve"> </v>
      </c>
      <c r="J4921">
        <v>2891022447</v>
      </c>
      <c r="K4921">
        <v>6937231428</v>
      </c>
      <c r="N4921" t="s">
        <v>1525</v>
      </c>
      <c r="O4921" t="s">
        <v>1526</v>
      </c>
      <c r="R4921" t="s">
        <v>57</v>
      </c>
      <c r="S4921">
        <v>7</v>
      </c>
      <c r="T4921">
        <v>233</v>
      </c>
      <c r="U4921" s="1">
        <v>38960</v>
      </c>
      <c r="V4921" t="s">
        <v>80</v>
      </c>
      <c r="W4921" t="s">
        <v>81</v>
      </c>
      <c r="X4921" t="s">
        <v>58</v>
      </c>
      <c r="Y4921">
        <v>25</v>
      </c>
      <c r="Z4921" t="s">
        <v>59</v>
      </c>
      <c r="AA4921" t="s">
        <v>59</v>
      </c>
      <c r="AB4921" t="s">
        <v>59</v>
      </c>
      <c r="AC4921" t="s">
        <v>59</v>
      </c>
      <c r="AD4921" t="s">
        <v>59</v>
      </c>
      <c r="AF4921" s="1">
        <v>38961</v>
      </c>
      <c r="AG4921" t="s">
        <v>8651</v>
      </c>
      <c r="AH4921" t="s">
        <v>8652</v>
      </c>
      <c r="AI4921" t="str">
        <f>"9170389"</f>
        <v>9170389</v>
      </c>
      <c r="AJ4921" t="s">
        <v>9013</v>
      </c>
      <c r="AK4921">
        <v>2891023312</v>
      </c>
      <c r="AL4921" t="s">
        <v>9014</v>
      </c>
      <c r="AM4921" t="s">
        <v>78</v>
      </c>
      <c r="AN4921" t="s">
        <v>276</v>
      </c>
      <c r="AO4921" t="s">
        <v>490</v>
      </c>
      <c r="AP4921" t="s">
        <v>490</v>
      </c>
      <c r="AQ4921">
        <v>12</v>
      </c>
      <c r="AR4921" t="s">
        <v>80</v>
      </c>
      <c r="AS4921" t="s">
        <v>81</v>
      </c>
      <c r="AT4921" t="s">
        <v>58</v>
      </c>
      <c r="AU4921" t="s">
        <v>68</v>
      </c>
      <c r="AV4921" t="s">
        <v>69</v>
      </c>
      <c r="AW4921" s="1">
        <v>26793</v>
      </c>
      <c r="AX4921">
        <v>1</v>
      </c>
    </row>
    <row r="4922" spans="1:50">
      <c r="A4922">
        <v>615401</v>
      </c>
      <c r="B4922" t="str">
        <f>"132984067"</f>
        <v>132984067</v>
      </c>
      <c r="C4922" t="s">
        <v>50</v>
      </c>
      <c r="D4922" t="s">
        <v>5747</v>
      </c>
      <c r="E4922" t="s">
        <v>2719</v>
      </c>
      <c r="F4922" t="s">
        <v>95</v>
      </c>
      <c r="G4922" t="s">
        <v>181</v>
      </c>
      <c r="H4922" t="str">
        <f>"ΛΑΣΚΑΡΑΤΟΥ 3 ΗΡΑΚΛΕΙΟ"</f>
        <v>ΛΑΣΚΑΡΑΤΟΥ 3 ΗΡΑΚΛΕΙΟ</v>
      </c>
      <c r="I4922">
        <v>71409</v>
      </c>
      <c r="J4922">
        <v>2810238872</v>
      </c>
      <c r="K4922">
        <v>6932358504</v>
      </c>
      <c r="N4922" t="s">
        <v>1525</v>
      </c>
      <c r="O4922" t="s">
        <v>1526</v>
      </c>
      <c r="R4922" t="s">
        <v>57</v>
      </c>
      <c r="S4922">
        <v>8</v>
      </c>
      <c r="T4922">
        <v>598</v>
      </c>
      <c r="U4922" s="1">
        <v>39310</v>
      </c>
      <c r="V4922" t="s">
        <v>80</v>
      </c>
      <c r="W4922" t="s">
        <v>81</v>
      </c>
      <c r="X4922" t="s">
        <v>58</v>
      </c>
      <c r="Y4922">
        <v>25</v>
      </c>
      <c r="Z4922" t="s">
        <v>59</v>
      </c>
      <c r="AA4922" t="s">
        <v>59</v>
      </c>
      <c r="AB4922" t="s">
        <v>59</v>
      </c>
      <c r="AC4922" t="s">
        <v>59</v>
      </c>
      <c r="AD4922" t="s">
        <v>59</v>
      </c>
      <c r="AF4922" s="1">
        <v>39328</v>
      </c>
      <c r="AG4922" t="s">
        <v>8651</v>
      </c>
      <c r="AH4922" t="s">
        <v>9015</v>
      </c>
      <c r="AI4922" t="str">
        <f>"9170527"</f>
        <v>9170527</v>
      </c>
      <c r="AJ4922" t="s">
        <v>9016</v>
      </c>
      <c r="AK4922">
        <v>2810282486</v>
      </c>
      <c r="AL4922" t="s">
        <v>9017</v>
      </c>
      <c r="AM4922" t="s">
        <v>78</v>
      </c>
      <c r="AN4922" t="s">
        <v>78</v>
      </c>
      <c r="AO4922" t="s">
        <v>78</v>
      </c>
      <c r="AP4922" t="s">
        <v>79</v>
      </c>
      <c r="AQ4922">
        <v>1</v>
      </c>
      <c r="AR4922" t="s">
        <v>80</v>
      </c>
      <c r="AS4922" t="s">
        <v>81</v>
      </c>
      <c r="AT4922" t="s">
        <v>58</v>
      </c>
      <c r="AU4922" t="s">
        <v>68</v>
      </c>
      <c r="AV4922" t="s">
        <v>69</v>
      </c>
      <c r="AW4922" s="1">
        <v>29023</v>
      </c>
      <c r="AX4922">
        <v>1</v>
      </c>
    </row>
    <row r="4923" spans="1:50">
      <c r="B4923" t="str">
        <f>"028712234"</f>
        <v>028712234</v>
      </c>
      <c r="C4923" t="s">
        <v>50</v>
      </c>
      <c r="D4923" t="s">
        <v>9018</v>
      </c>
      <c r="E4923" t="s">
        <v>314</v>
      </c>
      <c r="F4923" t="s">
        <v>202</v>
      </c>
      <c r="G4923" t="s">
        <v>52</v>
      </c>
      <c r="H4923" t="str">
        <f>" "</f>
        <v xml:space="preserve"> </v>
      </c>
      <c r="N4923" t="s">
        <v>683</v>
      </c>
      <c r="O4923" t="s">
        <v>684</v>
      </c>
      <c r="R4923" t="s">
        <v>121</v>
      </c>
      <c r="S4923">
        <v>3</v>
      </c>
      <c r="T4923" t="s">
        <v>8675</v>
      </c>
      <c r="U4923" s="1">
        <v>43348</v>
      </c>
      <c r="V4923" t="s">
        <v>80</v>
      </c>
      <c r="W4923" t="s">
        <v>81</v>
      </c>
      <c r="X4923" t="s">
        <v>58</v>
      </c>
      <c r="Y4923">
        <v>24</v>
      </c>
      <c r="Z4923" t="s">
        <v>59</v>
      </c>
      <c r="AA4923" t="s">
        <v>59</v>
      </c>
      <c r="AB4923" t="s">
        <v>59</v>
      </c>
      <c r="AD4923" t="s">
        <v>59</v>
      </c>
      <c r="AF4923" s="1">
        <v>43348</v>
      </c>
      <c r="AG4923" t="s">
        <v>8645</v>
      </c>
      <c r="AH4923" t="s">
        <v>8646</v>
      </c>
      <c r="AI4923" t="str">
        <f>"9170102"</f>
        <v>9170102</v>
      </c>
      <c r="AJ4923" t="s">
        <v>9019</v>
      </c>
      <c r="AK4923">
        <v>2810283938</v>
      </c>
      <c r="AL4923" t="s">
        <v>9020</v>
      </c>
      <c r="AM4923" t="s">
        <v>78</v>
      </c>
      <c r="AN4923" t="s">
        <v>78</v>
      </c>
      <c r="AO4923" t="s">
        <v>78</v>
      </c>
      <c r="AP4923" t="s">
        <v>79</v>
      </c>
      <c r="AQ4923">
        <v>1</v>
      </c>
      <c r="AR4923" t="s">
        <v>80</v>
      </c>
      <c r="AS4923" t="s">
        <v>81</v>
      </c>
      <c r="AT4923" t="s">
        <v>58</v>
      </c>
      <c r="AU4923" t="s">
        <v>8673</v>
      </c>
      <c r="AV4923" t="s">
        <v>132</v>
      </c>
      <c r="AW4923" s="1">
        <v>27992</v>
      </c>
      <c r="AX4923">
        <v>1</v>
      </c>
    </row>
    <row r="4924" spans="1:50">
      <c r="A4924">
        <v>578498</v>
      </c>
      <c r="B4924" t="str">
        <f>"037307841"</f>
        <v>037307841</v>
      </c>
      <c r="C4924" t="s">
        <v>50</v>
      </c>
      <c r="D4924" t="s">
        <v>9021</v>
      </c>
      <c r="E4924" t="s">
        <v>155</v>
      </c>
      <c r="F4924" t="s">
        <v>383</v>
      </c>
      <c r="G4924" t="s">
        <v>620</v>
      </c>
      <c r="H4924" t="str">
        <f>"ΗΛΙΟΥ 11 ΓΑΖΙ"</f>
        <v>ΗΛΙΟΥ 11 ΓΑΖΙ</v>
      </c>
      <c r="I4924">
        <v>71414</v>
      </c>
      <c r="J4924">
        <v>2810822195</v>
      </c>
      <c r="K4924">
        <v>6972714481</v>
      </c>
      <c r="N4924" t="s">
        <v>615</v>
      </c>
      <c r="O4924" t="s">
        <v>616</v>
      </c>
      <c r="R4924" t="s">
        <v>57</v>
      </c>
      <c r="S4924">
        <v>13</v>
      </c>
      <c r="T4924">
        <v>165</v>
      </c>
      <c r="U4924" s="1">
        <v>35300</v>
      </c>
      <c r="V4924" t="s">
        <v>80</v>
      </c>
      <c r="W4924" t="s">
        <v>81</v>
      </c>
      <c r="X4924" t="s">
        <v>58</v>
      </c>
      <c r="Y4924">
        <v>21</v>
      </c>
      <c r="Z4924" t="s">
        <v>59</v>
      </c>
      <c r="AA4924" t="s">
        <v>59</v>
      </c>
      <c r="AB4924" t="s">
        <v>59</v>
      </c>
      <c r="AC4924" t="s">
        <v>59</v>
      </c>
      <c r="AD4924" t="s">
        <v>59</v>
      </c>
      <c r="AF4924" s="1">
        <v>35310</v>
      </c>
      <c r="AG4924" t="s">
        <v>8645</v>
      </c>
      <c r="AH4924" t="s">
        <v>8646</v>
      </c>
      <c r="AI4924" t="str">
        <f>"9170560"</f>
        <v>9170560</v>
      </c>
      <c r="AJ4924" t="s">
        <v>9022</v>
      </c>
      <c r="AK4924">
        <v>2810821816</v>
      </c>
      <c r="AL4924" t="s">
        <v>9023</v>
      </c>
      <c r="AM4924" t="s">
        <v>78</v>
      </c>
      <c r="AN4924" t="s">
        <v>129</v>
      </c>
      <c r="AO4924" t="s">
        <v>130</v>
      </c>
      <c r="AP4924" t="s">
        <v>130</v>
      </c>
      <c r="AQ4924">
        <v>1</v>
      </c>
      <c r="AR4924" t="s">
        <v>80</v>
      </c>
      <c r="AS4924" t="s">
        <v>81</v>
      </c>
      <c r="AT4924" t="s">
        <v>58</v>
      </c>
      <c r="AU4924" t="s">
        <v>68</v>
      </c>
      <c r="AV4924" t="s">
        <v>69</v>
      </c>
      <c r="AW4924" s="1">
        <v>24681</v>
      </c>
      <c r="AX4924">
        <v>1</v>
      </c>
    </row>
    <row r="4925" spans="1:50">
      <c r="A4925">
        <v>569067</v>
      </c>
      <c r="B4925" t="str">
        <f>"065133563"</f>
        <v>065133563</v>
      </c>
      <c r="C4925" t="s">
        <v>50</v>
      </c>
      <c r="D4925" t="s">
        <v>9024</v>
      </c>
      <c r="E4925" t="s">
        <v>250</v>
      </c>
      <c r="F4925" t="s">
        <v>95</v>
      </c>
      <c r="G4925" t="s">
        <v>314</v>
      </c>
      <c r="H4925" t="str">
        <f>"ΜΑΡΙΑΣ ΠΟΛΥΔΟΥΡΗ 12 ΗΡΑΚΛΕΙΟ"</f>
        <v>ΜΑΡΙΑΣ ΠΟΛΥΔΟΥΡΗ 12 ΗΡΑΚΛΕΙΟ</v>
      </c>
      <c r="J4925">
        <v>2810312729</v>
      </c>
      <c r="K4925">
        <v>6931547141</v>
      </c>
      <c r="N4925" t="s">
        <v>1525</v>
      </c>
      <c r="O4925" t="s">
        <v>1526</v>
      </c>
      <c r="R4925" t="s">
        <v>57</v>
      </c>
      <c r="S4925">
        <v>13</v>
      </c>
      <c r="T4925">
        <v>162</v>
      </c>
      <c r="U4925" s="1">
        <v>33844</v>
      </c>
      <c r="V4925" t="s">
        <v>80</v>
      </c>
      <c r="W4925" t="s">
        <v>81</v>
      </c>
      <c r="X4925" t="s">
        <v>58</v>
      </c>
      <c r="Y4925">
        <v>25</v>
      </c>
      <c r="Z4925" t="s">
        <v>59</v>
      </c>
      <c r="AA4925" t="s">
        <v>59</v>
      </c>
      <c r="AB4925" t="s">
        <v>59</v>
      </c>
      <c r="AC4925" t="s">
        <v>59</v>
      </c>
      <c r="AD4925" t="s">
        <v>59</v>
      </c>
      <c r="AF4925" s="1">
        <v>33848</v>
      </c>
      <c r="AG4925" t="s">
        <v>8651</v>
      </c>
      <c r="AH4925" t="s">
        <v>8652</v>
      </c>
      <c r="AI4925" t="str">
        <f>"9170348"</f>
        <v>9170348</v>
      </c>
      <c r="AJ4925" t="s">
        <v>9025</v>
      </c>
      <c r="AK4925">
        <v>2810239435</v>
      </c>
      <c r="AL4925" t="s">
        <v>9026</v>
      </c>
      <c r="AM4925" t="s">
        <v>78</v>
      </c>
      <c r="AN4925" t="s">
        <v>78</v>
      </c>
      <c r="AO4925" t="s">
        <v>78</v>
      </c>
      <c r="AP4925" t="s">
        <v>163</v>
      </c>
      <c r="AQ4925">
        <v>1</v>
      </c>
      <c r="AR4925" t="s">
        <v>80</v>
      </c>
      <c r="AS4925" t="s">
        <v>81</v>
      </c>
      <c r="AT4925" t="s">
        <v>58</v>
      </c>
      <c r="AU4925" t="s">
        <v>68</v>
      </c>
      <c r="AV4925" t="s">
        <v>69</v>
      </c>
      <c r="AW4925" s="1">
        <v>24193</v>
      </c>
      <c r="AX4925">
        <v>1</v>
      </c>
    </row>
    <row r="4926" spans="1:50">
      <c r="A4926">
        <v>597324</v>
      </c>
      <c r="B4926" t="str">
        <f>"074181257"</f>
        <v>074181257</v>
      </c>
      <c r="C4926" t="s">
        <v>50</v>
      </c>
      <c r="D4926" t="s">
        <v>9027</v>
      </c>
      <c r="E4926" t="s">
        <v>553</v>
      </c>
      <c r="F4926" t="s">
        <v>4097</v>
      </c>
      <c r="G4926" t="s">
        <v>9028</v>
      </c>
      <c r="H4926" t="str">
        <f>" "</f>
        <v xml:space="preserve"> </v>
      </c>
      <c r="J4926">
        <v>2810751145</v>
      </c>
      <c r="L4926">
        <v>2810317026</v>
      </c>
      <c r="N4926" t="s">
        <v>306</v>
      </c>
      <c r="O4926" t="s">
        <v>307</v>
      </c>
      <c r="R4926" t="s">
        <v>57</v>
      </c>
      <c r="S4926">
        <v>10</v>
      </c>
      <c r="T4926">
        <v>193</v>
      </c>
      <c r="U4926" s="1">
        <v>37497</v>
      </c>
      <c r="V4926" t="s">
        <v>80</v>
      </c>
      <c r="W4926" t="s">
        <v>81</v>
      </c>
      <c r="X4926" t="s">
        <v>58</v>
      </c>
      <c r="Y4926">
        <v>21</v>
      </c>
      <c r="Z4926" t="s">
        <v>59</v>
      </c>
      <c r="AA4926" t="s">
        <v>59</v>
      </c>
      <c r="AB4926" t="s">
        <v>59</v>
      </c>
      <c r="AC4926" t="s">
        <v>59</v>
      </c>
      <c r="AD4926" t="s">
        <v>59</v>
      </c>
      <c r="AF4926" s="1">
        <v>37503</v>
      </c>
      <c r="AG4926" t="s">
        <v>8645</v>
      </c>
      <c r="AH4926" t="s">
        <v>8646</v>
      </c>
      <c r="AI4926" t="str">
        <f>"9170097"</f>
        <v>9170097</v>
      </c>
      <c r="AJ4926" t="s">
        <v>8826</v>
      </c>
      <c r="AK4926">
        <v>2810751807</v>
      </c>
      <c r="AL4926" t="s">
        <v>8827</v>
      </c>
      <c r="AM4926" t="s">
        <v>78</v>
      </c>
      <c r="AN4926" t="s">
        <v>424</v>
      </c>
      <c r="AO4926" t="s">
        <v>425</v>
      </c>
      <c r="AP4926" t="s">
        <v>425</v>
      </c>
      <c r="AQ4926">
        <v>11</v>
      </c>
      <c r="AR4926" t="s">
        <v>80</v>
      </c>
      <c r="AS4926" t="s">
        <v>81</v>
      </c>
      <c r="AT4926" t="s">
        <v>58</v>
      </c>
      <c r="AU4926" t="s">
        <v>68</v>
      </c>
      <c r="AV4926" t="s">
        <v>69</v>
      </c>
      <c r="AW4926" s="1">
        <v>26182</v>
      </c>
      <c r="AX4926">
        <v>1</v>
      </c>
    </row>
    <row r="4927" spans="1:50">
      <c r="A4927">
        <v>610091</v>
      </c>
      <c r="B4927" t="str">
        <f>"055225136"</f>
        <v>055225136</v>
      </c>
      <c r="C4927" t="s">
        <v>50</v>
      </c>
      <c r="D4927" t="s">
        <v>9029</v>
      </c>
      <c r="E4927" t="s">
        <v>1001</v>
      </c>
      <c r="F4927" t="s">
        <v>166</v>
      </c>
      <c r="G4927" t="s">
        <v>513</v>
      </c>
      <c r="H4927" t="str">
        <f>" "</f>
        <v xml:space="preserve"> </v>
      </c>
      <c r="J4927">
        <v>2810281034</v>
      </c>
      <c r="K4927">
        <v>6977630207</v>
      </c>
      <c r="N4927" t="s">
        <v>615</v>
      </c>
      <c r="O4927" t="s">
        <v>616</v>
      </c>
      <c r="R4927" t="s">
        <v>57</v>
      </c>
      <c r="S4927">
        <v>7</v>
      </c>
      <c r="T4927">
        <v>233</v>
      </c>
      <c r="U4927" s="1">
        <v>38960</v>
      </c>
      <c r="V4927" t="s">
        <v>80</v>
      </c>
      <c r="W4927" t="s">
        <v>81</v>
      </c>
      <c r="X4927" t="s">
        <v>58</v>
      </c>
      <c r="Y4927">
        <v>25</v>
      </c>
      <c r="Z4927" t="s">
        <v>59</v>
      </c>
      <c r="AA4927" t="s">
        <v>59</v>
      </c>
      <c r="AB4927" t="s">
        <v>59</v>
      </c>
      <c r="AC4927" t="s">
        <v>59</v>
      </c>
      <c r="AD4927" t="s">
        <v>59</v>
      </c>
      <c r="AF4927" s="1">
        <v>38961</v>
      </c>
      <c r="AG4927" t="s">
        <v>8645</v>
      </c>
      <c r="AH4927" t="s">
        <v>8646</v>
      </c>
      <c r="AI4927" t="str">
        <f>"9170575"</f>
        <v>9170575</v>
      </c>
      <c r="AJ4927" t="s">
        <v>8748</v>
      </c>
      <c r="AK4927">
        <v>2810260772</v>
      </c>
      <c r="AL4927" t="s">
        <v>8749</v>
      </c>
      <c r="AM4927" t="s">
        <v>78</v>
      </c>
      <c r="AN4927" t="s">
        <v>78</v>
      </c>
      <c r="AO4927" t="s">
        <v>78</v>
      </c>
      <c r="AP4927" t="s">
        <v>141</v>
      </c>
      <c r="AQ4927">
        <v>1</v>
      </c>
      <c r="AR4927" t="s">
        <v>80</v>
      </c>
      <c r="AS4927" t="s">
        <v>81</v>
      </c>
      <c r="AT4927" t="s">
        <v>58</v>
      </c>
      <c r="AU4927" t="s">
        <v>68</v>
      </c>
      <c r="AV4927" t="s">
        <v>69</v>
      </c>
      <c r="AW4927" s="1">
        <v>25285</v>
      </c>
      <c r="AX4927">
        <v>1</v>
      </c>
    </row>
    <row r="4928" spans="1:50">
      <c r="B4928" t="str">
        <f>"123275646"</f>
        <v>123275646</v>
      </c>
      <c r="C4928" t="s">
        <v>50</v>
      </c>
      <c r="D4928" t="s">
        <v>9030</v>
      </c>
      <c r="E4928" t="s">
        <v>9031</v>
      </c>
      <c r="F4928" t="s">
        <v>670</v>
      </c>
      <c r="G4928" t="s">
        <v>3174</v>
      </c>
      <c r="H4928" t="str">
        <f>" "</f>
        <v xml:space="preserve"> </v>
      </c>
      <c r="N4928" t="s">
        <v>683</v>
      </c>
      <c r="O4928" t="s">
        <v>684</v>
      </c>
      <c r="R4928" t="s">
        <v>159</v>
      </c>
      <c r="S4928">
        <v>1</v>
      </c>
      <c r="T4928" t="s">
        <v>8675</v>
      </c>
      <c r="U4928" s="1">
        <v>43348</v>
      </c>
      <c r="V4928" t="s">
        <v>80</v>
      </c>
      <c r="W4928" t="s">
        <v>81</v>
      </c>
      <c r="X4928" t="s">
        <v>58</v>
      </c>
      <c r="Y4928">
        <v>24</v>
      </c>
      <c r="Z4928" t="s">
        <v>59</v>
      </c>
      <c r="AA4928" t="s">
        <v>59</v>
      </c>
      <c r="AB4928" t="s">
        <v>59</v>
      </c>
      <c r="AC4928" t="s">
        <v>59</v>
      </c>
      <c r="AD4928" t="s">
        <v>59</v>
      </c>
      <c r="AF4928" s="1">
        <v>43348</v>
      </c>
      <c r="AG4928" t="s">
        <v>8645</v>
      </c>
      <c r="AH4928" t="s">
        <v>8646</v>
      </c>
      <c r="AI4928" t="str">
        <f>"9170206"</f>
        <v>9170206</v>
      </c>
      <c r="AJ4928" t="s">
        <v>8972</v>
      </c>
      <c r="AK4928">
        <v>2810761137</v>
      </c>
      <c r="AL4928" t="s">
        <v>8973</v>
      </c>
      <c r="AM4928" t="s">
        <v>78</v>
      </c>
      <c r="AN4928" t="s">
        <v>219</v>
      </c>
      <c r="AO4928" t="s">
        <v>297</v>
      </c>
      <c r="AP4928" t="s">
        <v>8796</v>
      </c>
      <c r="AQ4928">
        <v>7</v>
      </c>
      <c r="AR4928" t="s">
        <v>80</v>
      </c>
      <c r="AS4928" t="s">
        <v>81</v>
      </c>
      <c r="AT4928" t="s">
        <v>58</v>
      </c>
      <c r="AU4928" t="s">
        <v>8673</v>
      </c>
      <c r="AV4928" t="s">
        <v>132</v>
      </c>
      <c r="AW4928" s="1">
        <v>28302</v>
      </c>
      <c r="AX4928">
        <v>1</v>
      </c>
    </row>
    <row r="4929" spans="1:50">
      <c r="B4929" t="str">
        <f>"123093250"</f>
        <v>123093250</v>
      </c>
      <c r="C4929" t="s">
        <v>105</v>
      </c>
      <c r="D4929" t="s">
        <v>9032</v>
      </c>
      <c r="E4929" t="s">
        <v>3049</v>
      </c>
      <c r="F4929" t="s">
        <v>111</v>
      </c>
      <c r="G4929" t="s">
        <v>83</v>
      </c>
      <c r="H4929" t="str">
        <f>"ΒΕΛΙΣΣΑΡΙΟΥ 22 "</f>
        <v xml:space="preserve">ΒΕΛΙΣΣΑΡΙΟΥ 22 </v>
      </c>
      <c r="I4929">
        <v>12241</v>
      </c>
      <c r="J4929">
        <v>2105618136</v>
      </c>
      <c r="K4929">
        <v>6944359752</v>
      </c>
      <c r="N4929" t="s">
        <v>204</v>
      </c>
      <c r="O4929" t="s">
        <v>205</v>
      </c>
      <c r="R4929" t="s">
        <v>159</v>
      </c>
      <c r="S4929">
        <v>5</v>
      </c>
      <c r="T4929" t="s">
        <v>8675</v>
      </c>
      <c r="U4929" s="1">
        <v>43348</v>
      </c>
      <c r="V4929" t="s">
        <v>80</v>
      </c>
      <c r="W4929" t="s">
        <v>81</v>
      </c>
      <c r="X4929" t="s">
        <v>58</v>
      </c>
      <c r="Y4929">
        <v>24</v>
      </c>
      <c r="Z4929" t="s">
        <v>59</v>
      </c>
      <c r="AA4929" t="s">
        <v>59</v>
      </c>
      <c r="AB4929" t="s">
        <v>59</v>
      </c>
      <c r="AC4929" t="s">
        <v>59</v>
      </c>
      <c r="AD4929" t="s">
        <v>59</v>
      </c>
      <c r="AF4929" s="1">
        <v>43348</v>
      </c>
      <c r="AG4929" t="s">
        <v>8645</v>
      </c>
      <c r="AH4929" t="s">
        <v>8646</v>
      </c>
      <c r="AI4929" t="str">
        <f>"9170515"</f>
        <v>9170515</v>
      </c>
      <c r="AJ4929" t="s">
        <v>8790</v>
      </c>
      <c r="AK4929">
        <v>2810254821</v>
      </c>
      <c r="AL4929" t="s">
        <v>8791</v>
      </c>
      <c r="AM4929" t="s">
        <v>78</v>
      </c>
      <c r="AN4929" t="s">
        <v>78</v>
      </c>
      <c r="AO4929" t="s">
        <v>78</v>
      </c>
      <c r="AP4929" t="s">
        <v>163</v>
      </c>
      <c r="AQ4929">
        <v>1</v>
      </c>
      <c r="AR4929" t="s">
        <v>80</v>
      </c>
      <c r="AS4929" t="s">
        <v>81</v>
      </c>
      <c r="AT4929" t="s">
        <v>58</v>
      </c>
      <c r="AU4929" t="s">
        <v>8673</v>
      </c>
      <c r="AV4929" t="s">
        <v>132</v>
      </c>
      <c r="AW4929" s="1">
        <v>30318</v>
      </c>
      <c r="AX4929">
        <v>1</v>
      </c>
    </row>
    <row r="4930" spans="1:50">
      <c r="B4930" t="str">
        <f>"150412442"</f>
        <v>150412442</v>
      </c>
      <c r="C4930" t="s">
        <v>50</v>
      </c>
      <c r="D4930" t="s">
        <v>6928</v>
      </c>
      <c r="E4930" t="s">
        <v>52</v>
      </c>
      <c r="F4930" t="s">
        <v>9033</v>
      </c>
      <c r="G4930" t="s">
        <v>250</v>
      </c>
      <c r="H4930" t="str">
        <f>" "</f>
        <v xml:space="preserve"> </v>
      </c>
      <c r="N4930" t="s">
        <v>615</v>
      </c>
      <c r="O4930" t="s">
        <v>616</v>
      </c>
      <c r="R4930" t="s">
        <v>159</v>
      </c>
      <c r="S4930">
        <v>2</v>
      </c>
      <c r="T4930" t="s">
        <v>9034</v>
      </c>
      <c r="U4930" s="1">
        <v>43377</v>
      </c>
      <c r="V4930" t="s">
        <v>80</v>
      </c>
      <c r="W4930" t="s">
        <v>81</v>
      </c>
      <c r="X4930" t="s">
        <v>58</v>
      </c>
      <c r="Y4930">
        <v>24</v>
      </c>
      <c r="Z4930" t="s">
        <v>59</v>
      </c>
      <c r="AA4930" t="s">
        <v>59</v>
      </c>
      <c r="AB4930" t="s">
        <v>59</v>
      </c>
      <c r="AD4930" t="s">
        <v>59</v>
      </c>
      <c r="AF4930" s="1">
        <v>43377</v>
      </c>
      <c r="AG4930" t="s">
        <v>8645</v>
      </c>
      <c r="AH4930" t="s">
        <v>8676</v>
      </c>
      <c r="AI4930" t="str">
        <f>"9170330"</f>
        <v>9170330</v>
      </c>
      <c r="AJ4930" t="s">
        <v>9035</v>
      </c>
      <c r="AK4930">
        <v>2892043274</v>
      </c>
      <c r="AL4930" t="s">
        <v>9036</v>
      </c>
      <c r="AM4930" t="s">
        <v>78</v>
      </c>
      <c r="AN4930" t="s">
        <v>242</v>
      </c>
      <c r="AO4930" t="s">
        <v>349</v>
      </c>
      <c r="AP4930" t="s">
        <v>9037</v>
      </c>
      <c r="AQ4930">
        <v>21</v>
      </c>
      <c r="AR4930" t="s">
        <v>80</v>
      </c>
      <c r="AS4930" t="s">
        <v>81</v>
      </c>
      <c r="AT4930" t="s">
        <v>58</v>
      </c>
      <c r="AU4930" t="s">
        <v>8673</v>
      </c>
      <c r="AV4930" t="s">
        <v>132</v>
      </c>
      <c r="AW4930" s="1">
        <v>32748</v>
      </c>
      <c r="AX4930">
        <v>1</v>
      </c>
    </row>
    <row r="4931" spans="1:50">
      <c r="B4931" t="str">
        <f>"143686660"</f>
        <v>143686660</v>
      </c>
      <c r="C4931" t="s">
        <v>50</v>
      </c>
      <c r="D4931" t="s">
        <v>9038</v>
      </c>
      <c r="E4931" t="s">
        <v>755</v>
      </c>
      <c r="F4931" t="s">
        <v>95</v>
      </c>
      <c r="G4931" t="s">
        <v>73</v>
      </c>
      <c r="H4931" t="str">
        <f>"ΚΟΡΥΤΣΑΣ 42 ΠΟΡΟΣ"</f>
        <v>ΚΟΡΥΤΣΑΣ 42 ΠΟΡΟΣ</v>
      </c>
      <c r="I4931">
        <v>71307</v>
      </c>
      <c r="J4931">
        <v>2811755033</v>
      </c>
      <c r="K4931">
        <v>6955425954</v>
      </c>
      <c r="M4931" t="s">
        <v>9039</v>
      </c>
      <c r="N4931" t="s">
        <v>615</v>
      </c>
      <c r="O4931" t="s">
        <v>616</v>
      </c>
      <c r="R4931" t="s">
        <v>159</v>
      </c>
      <c r="S4931">
        <v>2</v>
      </c>
      <c r="T4931" t="s">
        <v>8675</v>
      </c>
      <c r="U4931" s="1">
        <v>43348</v>
      </c>
      <c r="V4931" t="s">
        <v>80</v>
      </c>
      <c r="W4931" t="s">
        <v>81</v>
      </c>
      <c r="X4931" t="s">
        <v>58</v>
      </c>
      <c r="Y4931">
        <v>24</v>
      </c>
      <c r="Z4931" t="s">
        <v>59</v>
      </c>
      <c r="AA4931" t="s">
        <v>59</v>
      </c>
      <c r="AB4931" t="s">
        <v>59</v>
      </c>
      <c r="AC4931" t="s">
        <v>59</v>
      </c>
      <c r="AD4931" t="s">
        <v>59</v>
      </c>
      <c r="AF4931" s="1">
        <v>43348</v>
      </c>
      <c r="AG4931" t="s">
        <v>8645</v>
      </c>
      <c r="AH4931" t="s">
        <v>8646</v>
      </c>
      <c r="AI4931" t="str">
        <f>"9170427"</f>
        <v>9170427</v>
      </c>
      <c r="AJ4931" t="s">
        <v>8817</v>
      </c>
      <c r="AK4931">
        <v>2810220998</v>
      </c>
      <c r="AL4931" t="s">
        <v>8818</v>
      </c>
      <c r="AM4931" t="s">
        <v>78</v>
      </c>
      <c r="AN4931" t="s">
        <v>78</v>
      </c>
      <c r="AO4931" t="s">
        <v>286</v>
      </c>
      <c r="AP4931" t="s">
        <v>286</v>
      </c>
      <c r="AQ4931">
        <v>1</v>
      </c>
      <c r="AR4931" t="s">
        <v>80</v>
      </c>
      <c r="AS4931" t="s">
        <v>81</v>
      </c>
      <c r="AT4931" t="s">
        <v>58</v>
      </c>
      <c r="AU4931" t="s">
        <v>8673</v>
      </c>
      <c r="AV4931" t="s">
        <v>132</v>
      </c>
      <c r="AW4931" s="1">
        <v>32283</v>
      </c>
      <c r="AX4931">
        <v>1</v>
      </c>
    </row>
    <row r="4932" spans="1:50">
      <c r="B4932" t="str">
        <f>"140649935"</f>
        <v>140649935</v>
      </c>
      <c r="C4932" t="s">
        <v>50</v>
      </c>
      <c r="D4932" t="s">
        <v>9040</v>
      </c>
      <c r="E4932" t="s">
        <v>96</v>
      </c>
      <c r="F4932" t="s">
        <v>84</v>
      </c>
      <c r="G4932" t="s">
        <v>476</v>
      </c>
      <c r="H4932" t="str">
        <f>"Σ. ΠΑΠΑΠΟΛΙΤΗ 15 "</f>
        <v xml:space="preserve">Σ. ΠΑΠΑΠΟΛΙΤΗ 15 </v>
      </c>
      <c r="I4932">
        <v>57008</v>
      </c>
      <c r="J4932">
        <v>2310783283</v>
      </c>
      <c r="K4932">
        <v>6976086214</v>
      </c>
      <c r="N4932" t="s">
        <v>615</v>
      </c>
      <c r="O4932" t="s">
        <v>616</v>
      </c>
      <c r="R4932" t="s">
        <v>159</v>
      </c>
      <c r="S4932">
        <v>2</v>
      </c>
      <c r="T4932" t="s">
        <v>8675</v>
      </c>
      <c r="U4932" s="1">
        <v>43348</v>
      </c>
      <c r="V4932" t="s">
        <v>80</v>
      </c>
      <c r="W4932" t="s">
        <v>81</v>
      </c>
      <c r="X4932" t="s">
        <v>58</v>
      </c>
      <c r="Y4932">
        <v>24</v>
      </c>
      <c r="Z4932" t="s">
        <v>59</v>
      </c>
      <c r="AA4932" t="s">
        <v>59</v>
      </c>
      <c r="AB4932" t="s">
        <v>59</v>
      </c>
      <c r="AC4932" t="s">
        <v>59</v>
      </c>
      <c r="AD4932" t="s">
        <v>59</v>
      </c>
      <c r="AF4932" s="1">
        <v>43348</v>
      </c>
      <c r="AG4932" t="s">
        <v>8645</v>
      </c>
      <c r="AH4932" t="s">
        <v>8646</v>
      </c>
      <c r="AI4932" t="str">
        <f>"9170126"</f>
        <v>9170126</v>
      </c>
      <c r="AJ4932" t="s">
        <v>9041</v>
      </c>
      <c r="AK4932">
        <v>2810871213</v>
      </c>
      <c r="AL4932" t="s">
        <v>9042</v>
      </c>
      <c r="AM4932" t="s">
        <v>78</v>
      </c>
      <c r="AN4932" t="s">
        <v>78</v>
      </c>
      <c r="AO4932" t="s">
        <v>437</v>
      </c>
      <c r="AP4932" t="s">
        <v>438</v>
      </c>
      <c r="AQ4932">
        <v>5</v>
      </c>
      <c r="AR4932" t="s">
        <v>80</v>
      </c>
      <c r="AS4932" t="s">
        <v>81</v>
      </c>
      <c r="AT4932" t="s">
        <v>58</v>
      </c>
      <c r="AU4932" t="s">
        <v>8673</v>
      </c>
      <c r="AV4932" t="s">
        <v>132</v>
      </c>
      <c r="AW4932" s="1">
        <v>32364</v>
      </c>
      <c r="AX4932">
        <v>1</v>
      </c>
    </row>
    <row r="4933" spans="1:50">
      <c r="B4933" t="str">
        <f>"134835520"</f>
        <v>134835520</v>
      </c>
      <c r="C4933" t="s">
        <v>50</v>
      </c>
      <c r="D4933" t="s">
        <v>9043</v>
      </c>
      <c r="E4933" t="s">
        <v>335</v>
      </c>
      <c r="F4933" t="s">
        <v>84</v>
      </c>
      <c r="G4933" t="s">
        <v>484</v>
      </c>
      <c r="H4933" t="str">
        <f>"ΠΑΛΑΙΦΥΤΟ ΓΙΑΝΝΙΤΣΩΝ"</f>
        <v>ΠΑΛΑΙΦΥΤΟ ΓΙΑΝΝΙΤΣΩΝ</v>
      </c>
      <c r="I4933">
        <v>58100</v>
      </c>
      <c r="J4933">
        <v>2382041945</v>
      </c>
      <c r="K4933">
        <v>6984721712</v>
      </c>
      <c r="L4933">
        <v>2382042342</v>
      </c>
      <c r="M4933" t="s">
        <v>9044</v>
      </c>
      <c r="N4933" t="s">
        <v>615</v>
      </c>
      <c r="O4933" t="s">
        <v>616</v>
      </c>
      <c r="R4933" t="s">
        <v>159</v>
      </c>
      <c r="S4933">
        <v>3</v>
      </c>
      <c r="T4933" t="s">
        <v>8675</v>
      </c>
      <c r="U4933" s="1">
        <v>43348</v>
      </c>
      <c r="V4933" t="s">
        <v>80</v>
      </c>
      <c r="W4933" t="s">
        <v>81</v>
      </c>
      <c r="X4933" t="s">
        <v>58</v>
      </c>
      <c r="Y4933">
        <v>24</v>
      </c>
      <c r="Z4933" t="s">
        <v>59</v>
      </c>
      <c r="AA4933" t="s">
        <v>59</v>
      </c>
      <c r="AB4933" t="s">
        <v>59</v>
      </c>
      <c r="AC4933" t="s">
        <v>59</v>
      </c>
      <c r="AD4933" t="s">
        <v>59</v>
      </c>
      <c r="AF4933" s="1">
        <v>43348</v>
      </c>
      <c r="AG4933" t="s">
        <v>8645</v>
      </c>
      <c r="AH4933" t="s">
        <v>8646</v>
      </c>
      <c r="AI4933" t="str">
        <f>"9170525"</f>
        <v>9170525</v>
      </c>
      <c r="AJ4933" t="s">
        <v>8853</v>
      </c>
      <c r="AK4933">
        <v>2810256547</v>
      </c>
      <c r="AL4933" t="s">
        <v>8854</v>
      </c>
      <c r="AM4933" t="s">
        <v>78</v>
      </c>
      <c r="AN4933" t="s">
        <v>78</v>
      </c>
      <c r="AO4933" t="s">
        <v>78</v>
      </c>
      <c r="AP4933" t="s">
        <v>141</v>
      </c>
      <c r="AQ4933">
        <v>1</v>
      </c>
      <c r="AR4933" t="s">
        <v>80</v>
      </c>
      <c r="AS4933" t="s">
        <v>81</v>
      </c>
      <c r="AT4933" t="s">
        <v>58</v>
      </c>
      <c r="AU4933" t="s">
        <v>8673</v>
      </c>
      <c r="AV4933" t="s">
        <v>132</v>
      </c>
      <c r="AW4933" s="1">
        <v>31650</v>
      </c>
      <c r="AX4933">
        <v>1</v>
      </c>
    </row>
    <row r="4934" spans="1:50">
      <c r="A4934">
        <v>227817</v>
      </c>
      <c r="B4934" t="str">
        <f>"055135470"</f>
        <v>055135470</v>
      </c>
      <c r="C4934" t="s">
        <v>50</v>
      </c>
      <c r="D4934" t="s">
        <v>674</v>
      </c>
      <c r="E4934" t="s">
        <v>2845</v>
      </c>
      <c r="F4934" t="s">
        <v>106</v>
      </c>
      <c r="G4934" t="s">
        <v>255</v>
      </c>
      <c r="H4934" t="str">
        <f>"ΜΩΔΑΙΑΣ 24 ΗΡΑΚΛΕΙΟ"</f>
        <v>ΜΩΔΑΙΑΣ 24 ΗΡΑΚΛΕΙΟ</v>
      </c>
      <c r="I4934">
        <v>71409</v>
      </c>
      <c r="J4934">
        <v>2810325251</v>
      </c>
      <c r="K4934">
        <v>6977809687</v>
      </c>
      <c r="N4934" t="s">
        <v>176</v>
      </c>
      <c r="O4934" t="s">
        <v>177</v>
      </c>
      <c r="R4934" t="s">
        <v>57</v>
      </c>
      <c r="S4934">
        <v>8</v>
      </c>
      <c r="T4934">
        <v>654</v>
      </c>
      <c r="U4934" s="1">
        <v>40043</v>
      </c>
      <c r="V4934" t="s">
        <v>80</v>
      </c>
      <c r="W4934" t="s">
        <v>81</v>
      </c>
      <c r="X4934" t="s">
        <v>58</v>
      </c>
      <c r="Y4934">
        <v>23</v>
      </c>
      <c r="Z4934" t="s">
        <v>59</v>
      </c>
      <c r="AA4934" t="s">
        <v>59</v>
      </c>
      <c r="AB4934" t="s">
        <v>59</v>
      </c>
      <c r="AC4934" t="s">
        <v>59</v>
      </c>
      <c r="AD4934" t="s">
        <v>59</v>
      </c>
      <c r="AF4934" s="1">
        <v>40044</v>
      </c>
      <c r="AG4934" t="s">
        <v>8645</v>
      </c>
      <c r="AH4934" t="s">
        <v>8676</v>
      </c>
      <c r="AI4934" t="str">
        <f>"9521628"</f>
        <v>9521628</v>
      </c>
      <c r="AJ4934" t="s">
        <v>9045</v>
      </c>
      <c r="AM4934" t="s">
        <v>78</v>
      </c>
      <c r="AN4934" t="s">
        <v>78</v>
      </c>
      <c r="AO4934" t="s">
        <v>286</v>
      </c>
      <c r="AP4934" t="s">
        <v>9046</v>
      </c>
      <c r="AR4934" t="s">
        <v>80</v>
      </c>
      <c r="AS4934" t="s">
        <v>81</v>
      </c>
      <c r="AT4934" t="s">
        <v>58</v>
      </c>
      <c r="AU4934" t="s">
        <v>68</v>
      </c>
      <c r="AV4934" t="s">
        <v>69</v>
      </c>
      <c r="AW4934" s="1">
        <v>25677</v>
      </c>
      <c r="AX4934">
        <v>1</v>
      </c>
    </row>
    <row r="4935" spans="1:50">
      <c r="B4935" t="str">
        <f>"068145948"</f>
        <v>068145948</v>
      </c>
      <c r="C4935" t="s">
        <v>50</v>
      </c>
      <c r="D4935" t="s">
        <v>674</v>
      </c>
      <c r="E4935" t="s">
        <v>52</v>
      </c>
      <c r="F4935" t="s">
        <v>776</v>
      </c>
      <c r="G4935" t="s">
        <v>255</v>
      </c>
      <c r="H4935" t="str">
        <f>"ΤΥΜΠΑΚΙ "</f>
        <v xml:space="preserve">ΤΥΜΠΑΚΙ </v>
      </c>
      <c r="I4935">
        <v>70200</v>
      </c>
      <c r="J4935">
        <v>2892053360</v>
      </c>
      <c r="K4935">
        <v>6983883817</v>
      </c>
      <c r="N4935" t="s">
        <v>615</v>
      </c>
      <c r="O4935" t="s">
        <v>616</v>
      </c>
      <c r="R4935" t="s">
        <v>159</v>
      </c>
      <c r="S4935">
        <v>2</v>
      </c>
      <c r="T4935" t="s">
        <v>8675</v>
      </c>
      <c r="U4935" s="1">
        <v>43348</v>
      </c>
      <c r="V4935" t="s">
        <v>80</v>
      </c>
      <c r="W4935" t="s">
        <v>81</v>
      </c>
      <c r="X4935" t="s">
        <v>58</v>
      </c>
      <c r="Y4935">
        <v>25</v>
      </c>
      <c r="Z4935" t="s">
        <v>59</v>
      </c>
      <c r="AA4935" t="s">
        <v>59</v>
      </c>
      <c r="AB4935" t="s">
        <v>59</v>
      </c>
      <c r="AC4935" t="s">
        <v>59</v>
      </c>
      <c r="AD4935" t="s">
        <v>59</v>
      </c>
      <c r="AF4935" s="1">
        <v>43348</v>
      </c>
      <c r="AG4935" t="s">
        <v>8645</v>
      </c>
      <c r="AH4935" t="s">
        <v>8676</v>
      </c>
      <c r="AI4935" t="str">
        <f>"9170330"</f>
        <v>9170330</v>
      </c>
      <c r="AJ4935" t="s">
        <v>9035</v>
      </c>
      <c r="AK4935">
        <v>2892043274</v>
      </c>
      <c r="AL4935" t="s">
        <v>9036</v>
      </c>
      <c r="AM4935" t="s">
        <v>78</v>
      </c>
      <c r="AN4935" t="s">
        <v>242</v>
      </c>
      <c r="AO4935" t="s">
        <v>349</v>
      </c>
      <c r="AP4935" t="s">
        <v>9037</v>
      </c>
      <c r="AQ4935">
        <v>21</v>
      </c>
      <c r="AR4935" t="s">
        <v>80</v>
      </c>
      <c r="AS4935" t="s">
        <v>81</v>
      </c>
      <c r="AT4935" t="s">
        <v>58</v>
      </c>
      <c r="AU4935" t="s">
        <v>8673</v>
      </c>
      <c r="AV4935" t="s">
        <v>132</v>
      </c>
      <c r="AW4935" s="1">
        <v>28651</v>
      </c>
      <c r="AX4935">
        <v>1</v>
      </c>
    </row>
    <row r="4936" spans="1:50">
      <c r="A4936">
        <v>614594</v>
      </c>
      <c r="B4936" t="str">
        <f>"132328015"</f>
        <v>132328015</v>
      </c>
      <c r="C4936" t="s">
        <v>50</v>
      </c>
      <c r="D4936" t="s">
        <v>691</v>
      </c>
      <c r="E4936" t="s">
        <v>801</v>
      </c>
      <c r="F4936" t="s">
        <v>9047</v>
      </c>
      <c r="G4936" t="s">
        <v>314</v>
      </c>
      <c r="H4936" t="str">
        <f>"ΚΛΕΑΝΘΗ 101 ΗΡΑΚΛΕΙΟ"</f>
        <v>ΚΛΕΑΝΘΗ 101 ΗΡΑΚΛΕΙΟ</v>
      </c>
      <c r="I4936">
        <v>71409</v>
      </c>
      <c r="J4936">
        <v>2897041891</v>
      </c>
      <c r="K4936">
        <v>6932269485</v>
      </c>
      <c r="M4936" t="s">
        <v>9048</v>
      </c>
      <c r="N4936" t="s">
        <v>615</v>
      </c>
      <c r="O4936" t="s">
        <v>616</v>
      </c>
      <c r="R4936" t="s">
        <v>57</v>
      </c>
      <c r="S4936">
        <v>5</v>
      </c>
      <c r="T4936">
        <v>598</v>
      </c>
      <c r="U4936" s="1">
        <v>39310</v>
      </c>
      <c r="V4936" t="s">
        <v>80</v>
      </c>
      <c r="W4936" t="s">
        <v>81</v>
      </c>
      <c r="X4936" t="s">
        <v>58</v>
      </c>
      <c r="Y4936">
        <v>23</v>
      </c>
      <c r="Z4936" t="s">
        <v>59</v>
      </c>
      <c r="AA4936" t="s">
        <v>59</v>
      </c>
      <c r="AB4936" t="s">
        <v>59</v>
      </c>
      <c r="AC4936" t="s">
        <v>59</v>
      </c>
      <c r="AD4936" t="s">
        <v>59</v>
      </c>
      <c r="AF4936" s="1">
        <v>39328</v>
      </c>
      <c r="AG4936" t="s">
        <v>8645</v>
      </c>
      <c r="AH4936" t="s">
        <v>8646</v>
      </c>
      <c r="AI4936" t="str">
        <f>"9521412"</f>
        <v>9521412</v>
      </c>
      <c r="AJ4936" t="s">
        <v>8787</v>
      </c>
      <c r="AK4936">
        <v>2897025680</v>
      </c>
      <c r="AL4936" t="s">
        <v>8788</v>
      </c>
      <c r="AM4936" t="s">
        <v>78</v>
      </c>
      <c r="AN4936" t="s">
        <v>219</v>
      </c>
      <c r="AO4936" t="s">
        <v>219</v>
      </c>
      <c r="AP4936" t="s">
        <v>219</v>
      </c>
      <c r="AQ4936">
        <v>8</v>
      </c>
      <c r="AR4936" t="s">
        <v>80</v>
      </c>
      <c r="AS4936" t="s">
        <v>81</v>
      </c>
      <c r="AT4936" t="s">
        <v>58</v>
      </c>
      <c r="AU4936" t="s">
        <v>68</v>
      </c>
      <c r="AV4936" t="s">
        <v>69</v>
      </c>
      <c r="AW4936" s="1">
        <v>31080</v>
      </c>
      <c r="AX4936">
        <v>1</v>
      </c>
    </row>
    <row r="4937" spans="1:50">
      <c r="A4937">
        <v>572301</v>
      </c>
      <c r="B4937" t="str">
        <f>"036089792"</f>
        <v>036089792</v>
      </c>
      <c r="C4937" t="s">
        <v>50</v>
      </c>
      <c r="D4937" t="s">
        <v>9049</v>
      </c>
      <c r="E4937" t="s">
        <v>545</v>
      </c>
      <c r="F4937" t="s">
        <v>975</v>
      </c>
      <c r="G4937" t="s">
        <v>237</v>
      </c>
      <c r="H4937" t="str">
        <f>" "</f>
        <v xml:space="preserve"> </v>
      </c>
      <c r="N4937" t="s">
        <v>306</v>
      </c>
      <c r="O4937" t="s">
        <v>307</v>
      </c>
      <c r="R4937" t="s">
        <v>57</v>
      </c>
      <c r="S4937">
        <v>12</v>
      </c>
      <c r="T4937">
        <v>154</v>
      </c>
      <c r="U4937" s="1">
        <v>34225</v>
      </c>
      <c r="V4937" t="s">
        <v>80</v>
      </c>
      <c r="W4937" t="s">
        <v>81</v>
      </c>
      <c r="X4937" t="s">
        <v>58</v>
      </c>
      <c r="Y4937">
        <v>21</v>
      </c>
      <c r="Z4937" t="s">
        <v>59</v>
      </c>
      <c r="AA4937" t="s">
        <v>59</v>
      </c>
      <c r="AB4937" t="s">
        <v>59</v>
      </c>
      <c r="AC4937" t="s">
        <v>59</v>
      </c>
      <c r="AD4937" t="s">
        <v>59</v>
      </c>
      <c r="AF4937" s="1">
        <v>34226</v>
      </c>
      <c r="AG4937" t="s">
        <v>8645</v>
      </c>
      <c r="AH4937" t="s">
        <v>8646</v>
      </c>
      <c r="AI4937" t="str">
        <f>"9170198"</f>
        <v>9170198</v>
      </c>
      <c r="AJ4937" t="s">
        <v>8665</v>
      </c>
      <c r="AK4937">
        <v>2810227379</v>
      </c>
      <c r="AL4937" t="s">
        <v>8666</v>
      </c>
      <c r="AM4937" t="s">
        <v>78</v>
      </c>
      <c r="AN4937" t="s">
        <v>78</v>
      </c>
      <c r="AO4937" t="s">
        <v>78</v>
      </c>
      <c r="AP4937" t="s">
        <v>79</v>
      </c>
      <c r="AQ4937">
        <v>1</v>
      </c>
      <c r="AR4937" t="s">
        <v>80</v>
      </c>
      <c r="AS4937" t="s">
        <v>81</v>
      </c>
      <c r="AT4937" t="s">
        <v>58</v>
      </c>
      <c r="AU4937" t="s">
        <v>68</v>
      </c>
      <c r="AV4937" t="s">
        <v>69</v>
      </c>
      <c r="AW4937" s="1">
        <v>25245</v>
      </c>
      <c r="AX4937">
        <v>1</v>
      </c>
    </row>
    <row r="4938" spans="1:50">
      <c r="A4938">
        <v>622631</v>
      </c>
      <c r="B4938" t="str">
        <f>"118937744"</f>
        <v>118937744</v>
      </c>
      <c r="C4938" t="s">
        <v>50</v>
      </c>
      <c r="D4938" t="s">
        <v>5759</v>
      </c>
      <c r="E4938" t="s">
        <v>54</v>
      </c>
      <c r="F4938" t="s">
        <v>2227</v>
      </c>
      <c r="G4938" t="s">
        <v>52</v>
      </c>
      <c r="H4938" t="str">
        <f>"ΠΑΣΙΦΑΗΣ 6 ΗΡΑΚΛΕΙΟ"</f>
        <v>ΠΑΣΙΦΑΗΣ 6 ΗΡΑΚΛΕΙΟ</v>
      </c>
      <c r="I4938">
        <v>71202</v>
      </c>
      <c r="J4938">
        <v>2810226548</v>
      </c>
      <c r="K4938">
        <v>6979630550</v>
      </c>
      <c r="M4938" t="s">
        <v>9050</v>
      </c>
      <c r="N4938" t="s">
        <v>1525</v>
      </c>
      <c r="O4938" t="s">
        <v>1526</v>
      </c>
      <c r="R4938" t="s">
        <v>57</v>
      </c>
      <c r="S4938">
        <v>6</v>
      </c>
      <c r="T4938">
        <v>653</v>
      </c>
      <c r="U4938" s="1">
        <v>40043</v>
      </c>
      <c r="V4938" t="s">
        <v>80</v>
      </c>
      <c r="W4938" t="s">
        <v>81</v>
      </c>
      <c r="X4938" t="s">
        <v>58</v>
      </c>
      <c r="Y4938">
        <v>25</v>
      </c>
      <c r="Z4938" t="s">
        <v>59</v>
      </c>
      <c r="AA4938" t="s">
        <v>59</v>
      </c>
      <c r="AB4938" t="s">
        <v>59</v>
      </c>
      <c r="AC4938" t="s">
        <v>59</v>
      </c>
      <c r="AD4938" t="s">
        <v>59</v>
      </c>
      <c r="AF4938" s="1">
        <v>40045</v>
      </c>
      <c r="AG4938" t="s">
        <v>8651</v>
      </c>
      <c r="AH4938" t="s">
        <v>8652</v>
      </c>
      <c r="AI4938" t="str">
        <f>"9170585"</f>
        <v>9170585</v>
      </c>
      <c r="AJ4938" t="s">
        <v>9051</v>
      </c>
      <c r="AK4938">
        <v>2810542736</v>
      </c>
      <c r="AL4938" t="s">
        <v>9052</v>
      </c>
      <c r="AM4938" t="s">
        <v>78</v>
      </c>
      <c r="AN4938" t="s">
        <v>78</v>
      </c>
      <c r="AO4938" t="s">
        <v>78</v>
      </c>
      <c r="AP4938" t="s">
        <v>9053</v>
      </c>
      <c r="AQ4938">
        <v>1</v>
      </c>
      <c r="AR4938" t="s">
        <v>80</v>
      </c>
      <c r="AS4938" t="s">
        <v>81</v>
      </c>
      <c r="AT4938" t="s">
        <v>58</v>
      </c>
      <c r="AU4938" t="s">
        <v>68</v>
      </c>
      <c r="AV4938" t="s">
        <v>69</v>
      </c>
      <c r="AW4938" s="1">
        <v>29988</v>
      </c>
      <c r="AX4938">
        <v>1</v>
      </c>
    </row>
    <row r="4939" spans="1:50">
      <c r="A4939">
        <v>565528</v>
      </c>
      <c r="B4939" t="str">
        <f>"041837500"</f>
        <v>041837500</v>
      </c>
      <c r="C4939" t="s">
        <v>50</v>
      </c>
      <c r="D4939" t="s">
        <v>700</v>
      </c>
      <c r="E4939" t="s">
        <v>460</v>
      </c>
      <c r="F4939" t="s">
        <v>72</v>
      </c>
      <c r="G4939" t="s">
        <v>964</v>
      </c>
      <c r="H4939" t="str">
        <f>" "</f>
        <v xml:space="preserve"> </v>
      </c>
      <c r="N4939" t="s">
        <v>615</v>
      </c>
      <c r="O4939" t="s">
        <v>616</v>
      </c>
      <c r="R4939" t="s">
        <v>57</v>
      </c>
      <c r="S4939">
        <v>15</v>
      </c>
      <c r="T4939">
        <v>161</v>
      </c>
      <c r="U4939" s="1">
        <v>33119</v>
      </c>
      <c r="V4939" t="s">
        <v>80</v>
      </c>
      <c r="W4939" t="s">
        <v>81</v>
      </c>
      <c r="X4939" t="s">
        <v>58</v>
      </c>
      <c r="Y4939">
        <v>21</v>
      </c>
      <c r="Z4939" t="s">
        <v>59</v>
      </c>
      <c r="AA4939" t="s">
        <v>59</v>
      </c>
      <c r="AB4939" t="s">
        <v>59</v>
      </c>
      <c r="AC4939" t="s">
        <v>59</v>
      </c>
      <c r="AD4939" t="s">
        <v>59</v>
      </c>
      <c r="AF4939" s="1">
        <v>33121</v>
      </c>
      <c r="AG4939" t="s">
        <v>8645</v>
      </c>
      <c r="AH4939" t="s">
        <v>8646</v>
      </c>
      <c r="AI4939" t="str">
        <f>"9170198"</f>
        <v>9170198</v>
      </c>
      <c r="AJ4939" t="s">
        <v>8665</v>
      </c>
      <c r="AK4939">
        <v>2810227379</v>
      </c>
      <c r="AL4939" t="s">
        <v>8666</v>
      </c>
      <c r="AM4939" t="s">
        <v>78</v>
      </c>
      <c r="AN4939" t="s">
        <v>78</v>
      </c>
      <c r="AO4939" t="s">
        <v>78</v>
      </c>
      <c r="AP4939" t="s">
        <v>79</v>
      </c>
      <c r="AQ4939">
        <v>1</v>
      </c>
      <c r="AR4939" t="s">
        <v>80</v>
      </c>
      <c r="AS4939" t="s">
        <v>81</v>
      </c>
      <c r="AT4939" t="s">
        <v>58</v>
      </c>
      <c r="AU4939" t="s">
        <v>68</v>
      </c>
      <c r="AV4939" t="s">
        <v>69</v>
      </c>
      <c r="AW4939" s="1">
        <v>23268</v>
      </c>
      <c r="AX4939">
        <v>1</v>
      </c>
    </row>
    <row r="4940" spans="1:50">
      <c r="A4940">
        <v>557248</v>
      </c>
      <c r="B4940" t="str">
        <f>"064400426"</f>
        <v>064400426</v>
      </c>
      <c r="C4940" t="s">
        <v>50</v>
      </c>
      <c r="D4940" t="s">
        <v>9054</v>
      </c>
      <c r="E4940" t="s">
        <v>52</v>
      </c>
      <c r="F4940" t="s">
        <v>106</v>
      </c>
      <c r="G4940" t="s">
        <v>1001</v>
      </c>
      <c r="H4940" t="str">
        <f>"ΠΑΛΑΙΟΚΑΠΑ 54 ΗΡΑΚΛΕΙΟ"</f>
        <v>ΠΑΛΑΙΟΚΑΠΑ 54 ΗΡΑΚΛΕΙΟ</v>
      </c>
      <c r="I4940">
        <v>71305</v>
      </c>
      <c r="J4940">
        <v>2811751070</v>
      </c>
      <c r="K4940">
        <v>6942015499</v>
      </c>
      <c r="M4940" t="s">
        <v>9055</v>
      </c>
      <c r="N4940" t="s">
        <v>615</v>
      </c>
      <c r="O4940" t="s">
        <v>616</v>
      </c>
      <c r="R4940" t="s">
        <v>57</v>
      </c>
      <c r="S4940">
        <v>16</v>
      </c>
      <c r="T4940">
        <v>168</v>
      </c>
      <c r="U4940" s="1">
        <v>32010</v>
      </c>
      <c r="V4940" t="s">
        <v>80</v>
      </c>
      <c r="W4940" t="s">
        <v>81</v>
      </c>
      <c r="X4940" t="s">
        <v>58</v>
      </c>
      <c r="Y4940">
        <v>21</v>
      </c>
      <c r="Z4940" t="s">
        <v>59</v>
      </c>
      <c r="AA4940" t="s">
        <v>59</v>
      </c>
      <c r="AB4940" t="s">
        <v>59</v>
      </c>
      <c r="AC4940" t="s">
        <v>59</v>
      </c>
      <c r="AD4940" t="s">
        <v>59</v>
      </c>
      <c r="AF4940" s="1">
        <v>32021</v>
      </c>
      <c r="AG4940" t="s">
        <v>8645</v>
      </c>
      <c r="AH4940" t="s">
        <v>8646</v>
      </c>
      <c r="AI4940" t="str">
        <f>"9170109"</f>
        <v>9170109</v>
      </c>
      <c r="AJ4940" t="s">
        <v>9056</v>
      </c>
      <c r="AK4940">
        <v>2810212659</v>
      </c>
      <c r="AL4940" t="s">
        <v>9057</v>
      </c>
      <c r="AM4940" t="s">
        <v>78</v>
      </c>
      <c r="AN4940" t="s">
        <v>78</v>
      </c>
      <c r="AO4940" t="s">
        <v>78</v>
      </c>
      <c r="AP4940" t="s">
        <v>163</v>
      </c>
      <c r="AQ4940">
        <v>1</v>
      </c>
      <c r="AR4940" t="s">
        <v>80</v>
      </c>
      <c r="AS4940" t="s">
        <v>81</v>
      </c>
      <c r="AT4940" t="s">
        <v>58</v>
      </c>
      <c r="AU4940" t="s">
        <v>68</v>
      </c>
      <c r="AV4940" t="s">
        <v>69</v>
      </c>
      <c r="AW4940" s="1">
        <v>23188</v>
      </c>
      <c r="AX4940">
        <v>1</v>
      </c>
    </row>
    <row r="4941" spans="1:50">
      <c r="A4941">
        <v>548961</v>
      </c>
      <c r="B4941" t="str">
        <f>"070341229"</f>
        <v>070341229</v>
      </c>
      <c r="C4941" t="s">
        <v>50</v>
      </c>
      <c r="D4941" t="s">
        <v>9058</v>
      </c>
      <c r="E4941" t="s">
        <v>52</v>
      </c>
      <c r="F4941" t="s">
        <v>153</v>
      </c>
      <c r="G4941" t="s">
        <v>563</v>
      </c>
      <c r="H4941" t="str">
        <f>"ΘΕΟΔ.ΜΑΤΘΑΙΑΚΗ 35 ΗΡΑΚΛΕΙΟ"</f>
        <v>ΘΕΟΔ.ΜΑΤΘΑΙΑΚΗ 35 ΗΡΑΚΛΕΙΟ</v>
      </c>
      <c r="I4941">
        <v>71305</v>
      </c>
      <c r="J4941">
        <v>2810251008</v>
      </c>
      <c r="K4941">
        <v>6945297373</v>
      </c>
      <c r="M4941" t="s">
        <v>9059</v>
      </c>
      <c r="N4941" t="s">
        <v>615</v>
      </c>
      <c r="O4941" t="s">
        <v>616</v>
      </c>
      <c r="R4941" t="s">
        <v>57</v>
      </c>
      <c r="S4941">
        <v>18</v>
      </c>
      <c r="T4941">
        <v>293</v>
      </c>
      <c r="U4941" s="1">
        <v>30218</v>
      </c>
      <c r="V4941" t="s">
        <v>80</v>
      </c>
      <c r="W4941" t="s">
        <v>81</v>
      </c>
      <c r="X4941" t="s">
        <v>58</v>
      </c>
      <c r="Y4941">
        <v>21</v>
      </c>
      <c r="Z4941" t="s">
        <v>59</v>
      </c>
      <c r="AA4941" t="s">
        <v>59</v>
      </c>
      <c r="AB4941" t="s">
        <v>59</v>
      </c>
      <c r="AC4941" t="s">
        <v>59</v>
      </c>
      <c r="AD4941" t="s">
        <v>59</v>
      </c>
      <c r="AF4941" s="1">
        <v>30222</v>
      </c>
      <c r="AG4941" t="s">
        <v>8645</v>
      </c>
      <c r="AH4941" t="s">
        <v>8646</v>
      </c>
      <c r="AI4941" t="str">
        <f>"9170058"</f>
        <v>9170058</v>
      </c>
      <c r="AJ4941" t="s">
        <v>8735</v>
      </c>
      <c r="AK4941">
        <v>2810252903</v>
      </c>
      <c r="AL4941" t="s">
        <v>8736</v>
      </c>
      <c r="AM4941" t="s">
        <v>78</v>
      </c>
      <c r="AN4941" t="s">
        <v>78</v>
      </c>
      <c r="AO4941" t="s">
        <v>78</v>
      </c>
      <c r="AP4941" t="s">
        <v>163</v>
      </c>
      <c r="AQ4941">
        <v>1</v>
      </c>
      <c r="AR4941" t="s">
        <v>80</v>
      </c>
      <c r="AS4941" t="s">
        <v>81</v>
      </c>
      <c r="AT4941" t="s">
        <v>58</v>
      </c>
      <c r="AU4941" t="s">
        <v>68</v>
      </c>
      <c r="AV4941" t="s">
        <v>69</v>
      </c>
      <c r="AW4941" s="1">
        <v>21299</v>
      </c>
      <c r="AX4941">
        <v>1</v>
      </c>
    </row>
    <row r="4942" spans="1:50">
      <c r="A4942">
        <v>229013</v>
      </c>
      <c r="B4942" t="str">
        <f>"125258368"</f>
        <v>125258368</v>
      </c>
      <c r="C4942" t="s">
        <v>50</v>
      </c>
      <c r="D4942" t="s">
        <v>9060</v>
      </c>
      <c r="E4942" t="s">
        <v>52</v>
      </c>
      <c r="F4942" t="s">
        <v>72</v>
      </c>
      <c r="G4942" t="s">
        <v>964</v>
      </c>
      <c r="H4942" t="str">
        <f>"ΜΑΚΡΥΣ ΓΙΑΛΟΣ ΜΑΚΡΥΣ ΓΙΑΛΟΣ"</f>
        <v>ΜΑΚΡΥΣ ΓΙΑΛΟΣ ΜΑΚΡΥΣ ΓΙΑΛΟΣ</v>
      </c>
      <c r="I4942">
        <v>72055</v>
      </c>
      <c r="J4942">
        <v>2843052396</v>
      </c>
      <c r="K4942">
        <v>6974715926</v>
      </c>
      <c r="M4942" t="s">
        <v>9061</v>
      </c>
      <c r="N4942" t="s">
        <v>306</v>
      </c>
      <c r="O4942" t="s">
        <v>307</v>
      </c>
      <c r="R4942" t="s">
        <v>57</v>
      </c>
      <c r="S4942">
        <v>5</v>
      </c>
      <c r="T4942">
        <v>720</v>
      </c>
      <c r="U4942" s="1">
        <v>40059</v>
      </c>
      <c r="V4942" t="s">
        <v>80</v>
      </c>
      <c r="W4942" t="s">
        <v>81</v>
      </c>
      <c r="X4942" t="s">
        <v>58</v>
      </c>
      <c r="Y4942">
        <v>23</v>
      </c>
      <c r="Z4942" t="s">
        <v>59</v>
      </c>
      <c r="AA4942" t="s">
        <v>59</v>
      </c>
      <c r="AB4942" t="s">
        <v>59</v>
      </c>
      <c r="AC4942" t="s">
        <v>59</v>
      </c>
      <c r="AD4942" t="s">
        <v>59</v>
      </c>
      <c r="AF4942" s="1">
        <v>40063</v>
      </c>
      <c r="AG4942" t="s">
        <v>8645</v>
      </c>
      <c r="AH4942" t="s">
        <v>8646</v>
      </c>
      <c r="AI4942" t="str">
        <f>"9170575"</f>
        <v>9170575</v>
      </c>
      <c r="AJ4942" t="s">
        <v>8748</v>
      </c>
      <c r="AK4942">
        <v>2810260772</v>
      </c>
      <c r="AL4942" t="s">
        <v>8749</v>
      </c>
      <c r="AM4942" t="s">
        <v>78</v>
      </c>
      <c r="AN4942" t="s">
        <v>78</v>
      </c>
      <c r="AO4942" t="s">
        <v>78</v>
      </c>
      <c r="AP4942" t="s">
        <v>141</v>
      </c>
      <c r="AQ4942">
        <v>1</v>
      </c>
      <c r="AR4942" t="s">
        <v>80</v>
      </c>
      <c r="AS4942" t="s">
        <v>81</v>
      </c>
      <c r="AT4942" t="s">
        <v>58</v>
      </c>
      <c r="AU4942" t="s">
        <v>68</v>
      </c>
      <c r="AV4942" t="s">
        <v>69</v>
      </c>
      <c r="AW4942" s="1">
        <v>30104</v>
      </c>
      <c r="AX4942">
        <v>1</v>
      </c>
    </row>
    <row r="4943" spans="1:50">
      <c r="A4943">
        <v>557275</v>
      </c>
      <c r="B4943" t="str">
        <f>"033839541"</f>
        <v>033839541</v>
      </c>
      <c r="C4943" t="s">
        <v>105</v>
      </c>
      <c r="D4943" t="s">
        <v>9062</v>
      </c>
      <c r="E4943" t="s">
        <v>166</v>
      </c>
      <c r="F4943" t="s">
        <v>95</v>
      </c>
      <c r="G4943" t="s">
        <v>52</v>
      </c>
      <c r="H4943" t="str">
        <f>"ΛΙΣΣΟΥ 23 ΗΡΑΚΛΕΙΟ"</f>
        <v>ΛΙΣΣΟΥ 23 ΗΡΑΚΛΕΙΟ</v>
      </c>
      <c r="I4943">
        <v>71304</v>
      </c>
      <c r="J4943">
        <v>2810259533</v>
      </c>
      <c r="K4943">
        <v>6946245232</v>
      </c>
      <c r="N4943" t="s">
        <v>615</v>
      </c>
      <c r="O4943" t="s">
        <v>616</v>
      </c>
      <c r="R4943" t="s">
        <v>57</v>
      </c>
      <c r="S4943">
        <v>15</v>
      </c>
      <c r="T4943">
        <v>168</v>
      </c>
      <c r="U4943" s="1">
        <v>32010</v>
      </c>
      <c r="V4943" t="s">
        <v>80</v>
      </c>
      <c r="W4943" t="s">
        <v>81</v>
      </c>
      <c r="X4943" t="s">
        <v>58</v>
      </c>
      <c r="Y4943">
        <v>21</v>
      </c>
      <c r="Z4943" t="s">
        <v>59</v>
      </c>
      <c r="AA4943" t="s">
        <v>59</v>
      </c>
      <c r="AB4943" t="s">
        <v>59</v>
      </c>
      <c r="AC4943" t="s">
        <v>59</v>
      </c>
      <c r="AD4943" t="s">
        <v>59</v>
      </c>
      <c r="AF4943" s="1">
        <v>32021</v>
      </c>
      <c r="AG4943" t="s">
        <v>8645</v>
      </c>
      <c r="AH4943" t="s">
        <v>8646</v>
      </c>
      <c r="AI4943" t="str">
        <f>"9170055"</f>
        <v>9170055</v>
      </c>
      <c r="AJ4943" t="s">
        <v>8836</v>
      </c>
      <c r="AK4943">
        <v>2810255097</v>
      </c>
      <c r="AL4943" t="s">
        <v>8837</v>
      </c>
      <c r="AM4943" t="s">
        <v>78</v>
      </c>
      <c r="AN4943" t="s">
        <v>78</v>
      </c>
      <c r="AO4943" t="s">
        <v>78</v>
      </c>
      <c r="AP4943" t="s">
        <v>141</v>
      </c>
      <c r="AQ4943">
        <v>1</v>
      </c>
      <c r="AR4943" t="s">
        <v>80</v>
      </c>
      <c r="AS4943" t="s">
        <v>81</v>
      </c>
      <c r="AT4943" t="s">
        <v>58</v>
      </c>
      <c r="AU4943" t="s">
        <v>68</v>
      </c>
      <c r="AV4943" t="s">
        <v>69</v>
      </c>
      <c r="AW4943" s="1">
        <v>23163</v>
      </c>
      <c r="AX4943">
        <v>1</v>
      </c>
    </row>
    <row r="4944" spans="1:50">
      <c r="B4944" t="str">
        <f>"123156922"</f>
        <v>123156922</v>
      </c>
      <c r="C4944" t="s">
        <v>50</v>
      </c>
      <c r="D4944" t="s">
        <v>9063</v>
      </c>
      <c r="E4944" t="s">
        <v>255</v>
      </c>
      <c r="F4944" t="s">
        <v>95</v>
      </c>
      <c r="G4944" t="s">
        <v>263</v>
      </c>
      <c r="H4944" t="str">
        <f>"ΛΥΣΙΣΤΡΑΤΗΣ 46 ΗΡΑΚΛΕΙΟ"</f>
        <v>ΛΥΣΙΣΤΡΑΤΗΣ 46 ΗΡΑΚΛΕΙΟ</v>
      </c>
      <c r="I4944">
        <v>71304</v>
      </c>
      <c r="J4944">
        <v>2810312496</v>
      </c>
      <c r="K4944">
        <v>6978005953</v>
      </c>
      <c r="N4944" t="s">
        <v>204</v>
      </c>
      <c r="O4944" t="s">
        <v>205</v>
      </c>
      <c r="R4944" t="s">
        <v>159</v>
      </c>
      <c r="S4944">
        <v>6</v>
      </c>
      <c r="T4944" t="s">
        <v>8675</v>
      </c>
      <c r="U4944" s="1">
        <v>43348</v>
      </c>
      <c r="V4944" t="s">
        <v>80</v>
      </c>
      <c r="W4944" t="s">
        <v>81</v>
      </c>
      <c r="X4944" t="s">
        <v>58</v>
      </c>
      <c r="Y4944">
        <v>24</v>
      </c>
      <c r="Z4944" t="s">
        <v>59</v>
      </c>
      <c r="AA4944" t="s">
        <v>59</v>
      </c>
      <c r="AB4944" t="s">
        <v>59</v>
      </c>
      <c r="AC4944" t="s">
        <v>59</v>
      </c>
      <c r="AD4944" t="s">
        <v>59</v>
      </c>
      <c r="AF4944" s="1">
        <v>43348</v>
      </c>
      <c r="AG4944" t="s">
        <v>8645</v>
      </c>
      <c r="AH4944" t="s">
        <v>8646</v>
      </c>
      <c r="AI4944" t="str">
        <f>"9170560"</f>
        <v>9170560</v>
      </c>
      <c r="AJ4944" t="s">
        <v>9022</v>
      </c>
      <c r="AK4944">
        <v>2810821816</v>
      </c>
      <c r="AL4944" t="s">
        <v>9023</v>
      </c>
      <c r="AM4944" t="s">
        <v>78</v>
      </c>
      <c r="AN4944" t="s">
        <v>129</v>
      </c>
      <c r="AO4944" t="s">
        <v>130</v>
      </c>
      <c r="AP4944" t="s">
        <v>130</v>
      </c>
      <c r="AQ4944">
        <v>1</v>
      </c>
      <c r="AR4944" t="s">
        <v>80</v>
      </c>
      <c r="AS4944" t="s">
        <v>81</v>
      </c>
      <c r="AT4944" t="s">
        <v>58</v>
      </c>
      <c r="AU4944" t="s">
        <v>8673</v>
      </c>
      <c r="AV4944" t="s">
        <v>132</v>
      </c>
      <c r="AW4944" s="1">
        <v>30553</v>
      </c>
      <c r="AX4944">
        <v>1</v>
      </c>
    </row>
    <row r="4945" spans="1:50">
      <c r="A4945">
        <v>555491</v>
      </c>
      <c r="B4945" t="str">
        <f>"029776159"</f>
        <v>029776159</v>
      </c>
      <c r="C4945" t="s">
        <v>50</v>
      </c>
      <c r="D4945" t="s">
        <v>9063</v>
      </c>
      <c r="E4945" t="s">
        <v>842</v>
      </c>
      <c r="F4945" t="s">
        <v>95</v>
      </c>
      <c r="G4945" t="s">
        <v>9064</v>
      </c>
      <c r="H4945" t="str">
        <f>"ΑΠΟΛΛΩΝΟΣ Κ ΔΕΛΦΩΝ 5 ΗΡΑΚΛΕΙΟ"</f>
        <v>ΑΠΟΛΛΩΝΟΣ Κ ΔΕΛΦΩΝ 5 ΗΡΑΚΛΕΙΟ</v>
      </c>
      <c r="J4945">
        <v>2810325086</v>
      </c>
      <c r="K4945">
        <v>6979792887</v>
      </c>
      <c r="N4945" t="s">
        <v>615</v>
      </c>
      <c r="O4945" t="s">
        <v>616</v>
      </c>
      <c r="R4945" t="s">
        <v>57</v>
      </c>
      <c r="S4945">
        <v>17</v>
      </c>
      <c r="T4945">
        <v>200</v>
      </c>
      <c r="U4945" s="1">
        <v>31657</v>
      </c>
      <c r="V4945" t="s">
        <v>80</v>
      </c>
      <c r="W4945" t="s">
        <v>81</v>
      </c>
      <c r="X4945" t="s">
        <v>58</v>
      </c>
      <c r="Y4945">
        <v>21</v>
      </c>
      <c r="Z4945" t="s">
        <v>59</v>
      </c>
      <c r="AA4945" t="s">
        <v>59</v>
      </c>
      <c r="AB4945" t="s">
        <v>59</v>
      </c>
      <c r="AC4945" t="s">
        <v>59</v>
      </c>
      <c r="AD4945" t="s">
        <v>59</v>
      </c>
      <c r="AF4945" s="1">
        <v>31663</v>
      </c>
      <c r="AG4945" t="s">
        <v>8645</v>
      </c>
      <c r="AH4945" t="s">
        <v>8646</v>
      </c>
      <c r="AI4945" t="str">
        <f>"9170115"</f>
        <v>9170115</v>
      </c>
      <c r="AJ4945" t="s">
        <v>8770</v>
      </c>
      <c r="AK4945">
        <v>2810231165</v>
      </c>
      <c r="AL4945" t="s">
        <v>8771</v>
      </c>
      <c r="AM4945" t="s">
        <v>78</v>
      </c>
      <c r="AN4945" t="s">
        <v>78</v>
      </c>
      <c r="AO4945" t="s">
        <v>78</v>
      </c>
      <c r="AP4945" t="s">
        <v>141</v>
      </c>
      <c r="AQ4945">
        <v>1</v>
      </c>
      <c r="AR4945" t="s">
        <v>80</v>
      </c>
      <c r="AS4945" t="s">
        <v>81</v>
      </c>
      <c r="AT4945" t="s">
        <v>58</v>
      </c>
      <c r="AU4945" t="s">
        <v>68</v>
      </c>
      <c r="AV4945" t="s">
        <v>69</v>
      </c>
      <c r="AW4945" s="1">
        <v>23209</v>
      </c>
      <c r="AX4945">
        <v>1</v>
      </c>
    </row>
    <row r="4946" spans="1:50">
      <c r="A4946">
        <v>616577</v>
      </c>
      <c r="B4946" t="str">
        <f>"038938439"</f>
        <v>038938439</v>
      </c>
      <c r="C4946" t="s">
        <v>50</v>
      </c>
      <c r="D4946" t="s">
        <v>9065</v>
      </c>
      <c r="E4946" t="s">
        <v>255</v>
      </c>
      <c r="F4946" t="s">
        <v>5205</v>
      </c>
      <c r="G4946" t="s">
        <v>534</v>
      </c>
      <c r="H4946" t="str">
        <f>"ΓΕΡΓΕΡΗ ΓΕΡΓΕΡΗ ΗΡΑΚΛΕΙΟΥ"</f>
        <v>ΓΕΡΓΕΡΗ ΓΕΡΓΕΡΗ ΗΡΑΚΛΕΙΟΥ</v>
      </c>
      <c r="I4946">
        <v>70003</v>
      </c>
      <c r="K4946">
        <v>6977145391</v>
      </c>
      <c r="M4946" t="s">
        <v>9066</v>
      </c>
      <c r="N4946" t="s">
        <v>1525</v>
      </c>
      <c r="O4946" t="s">
        <v>1526</v>
      </c>
      <c r="R4946" t="s">
        <v>57</v>
      </c>
      <c r="S4946">
        <v>6</v>
      </c>
      <c r="T4946">
        <v>660</v>
      </c>
      <c r="U4946" s="1">
        <v>39311</v>
      </c>
      <c r="V4946" t="s">
        <v>80</v>
      </c>
      <c r="W4946" t="s">
        <v>81</v>
      </c>
      <c r="X4946" t="s">
        <v>58</v>
      </c>
      <c r="Y4946">
        <v>25</v>
      </c>
      <c r="Z4946" t="s">
        <v>59</v>
      </c>
      <c r="AA4946" t="s">
        <v>59</v>
      </c>
      <c r="AB4946" t="s">
        <v>452</v>
      </c>
      <c r="AC4946" t="s">
        <v>59</v>
      </c>
      <c r="AD4946" t="s">
        <v>59</v>
      </c>
      <c r="AF4946" s="1">
        <v>39328</v>
      </c>
      <c r="AG4946" t="s">
        <v>8651</v>
      </c>
      <c r="AH4946" t="s">
        <v>8652</v>
      </c>
      <c r="AI4946" t="str">
        <f>"9170354"</f>
        <v>9170354</v>
      </c>
      <c r="AJ4946" t="s">
        <v>8991</v>
      </c>
      <c r="AK4946">
        <v>2894041313</v>
      </c>
      <c r="AL4946" t="s">
        <v>8992</v>
      </c>
      <c r="AM4946" t="s">
        <v>78</v>
      </c>
      <c r="AN4946" t="s">
        <v>405</v>
      </c>
      <c r="AO4946" t="s">
        <v>551</v>
      </c>
      <c r="AP4946" t="s">
        <v>552</v>
      </c>
      <c r="AQ4946">
        <v>21</v>
      </c>
      <c r="AR4946" t="s">
        <v>80</v>
      </c>
      <c r="AS4946" t="s">
        <v>81</v>
      </c>
      <c r="AT4946" t="s">
        <v>58</v>
      </c>
      <c r="AU4946" t="s">
        <v>68</v>
      </c>
      <c r="AV4946" t="s">
        <v>69</v>
      </c>
      <c r="AW4946" s="1">
        <v>24657</v>
      </c>
      <c r="AX4946">
        <v>1</v>
      </c>
    </row>
    <row r="4947" spans="1:50">
      <c r="A4947">
        <v>597808</v>
      </c>
      <c r="B4947" t="str">
        <f>"052954235"</f>
        <v>052954235</v>
      </c>
      <c r="C4947" t="s">
        <v>50</v>
      </c>
      <c r="D4947" t="s">
        <v>9065</v>
      </c>
      <c r="E4947" t="s">
        <v>372</v>
      </c>
      <c r="F4947" t="s">
        <v>84</v>
      </c>
      <c r="G4947" t="s">
        <v>109</v>
      </c>
      <c r="H4947" t="str">
        <f>"Κοκκίνη Χάνι "</f>
        <v xml:space="preserve">Κοκκίνη Χάνι </v>
      </c>
      <c r="I4947">
        <v>71500</v>
      </c>
      <c r="J4947">
        <v>2810315970</v>
      </c>
      <c r="K4947">
        <v>6938390868</v>
      </c>
      <c r="L4947">
        <v>2810251953</v>
      </c>
      <c r="N4947" t="s">
        <v>1525</v>
      </c>
      <c r="O4947" t="s">
        <v>1526</v>
      </c>
      <c r="R4947" t="s">
        <v>57</v>
      </c>
      <c r="S4947">
        <v>11</v>
      </c>
      <c r="T4947">
        <v>195</v>
      </c>
      <c r="U4947" s="1">
        <v>37497</v>
      </c>
      <c r="V4947" t="s">
        <v>80</v>
      </c>
      <c r="W4947" t="s">
        <v>81</v>
      </c>
      <c r="X4947" t="s">
        <v>58</v>
      </c>
      <c r="Y4947">
        <v>25</v>
      </c>
      <c r="Z4947" t="s">
        <v>59</v>
      </c>
      <c r="AA4947" t="s">
        <v>59</v>
      </c>
      <c r="AB4947" t="s">
        <v>59</v>
      </c>
      <c r="AC4947" t="s">
        <v>59</v>
      </c>
      <c r="AD4947" t="s">
        <v>59</v>
      </c>
      <c r="AF4947" s="1">
        <v>37502</v>
      </c>
      <c r="AG4947" t="s">
        <v>8651</v>
      </c>
      <c r="AH4947" t="s">
        <v>8652</v>
      </c>
      <c r="AI4947" t="str">
        <f>"9170595"</f>
        <v>9170595</v>
      </c>
      <c r="AJ4947" t="s">
        <v>9067</v>
      </c>
      <c r="AK4947">
        <v>2897042900</v>
      </c>
      <c r="AL4947" t="s">
        <v>9068</v>
      </c>
      <c r="AM4947" t="s">
        <v>78</v>
      </c>
      <c r="AN4947" t="s">
        <v>219</v>
      </c>
      <c r="AO4947" t="s">
        <v>297</v>
      </c>
      <c r="AP4947" t="s">
        <v>297</v>
      </c>
      <c r="AQ4947">
        <v>7</v>
      </c>
      <c r="AR4947" t="s">
        <v>80</v>
      </c>
      <c r="AS4947" t="s">
        <v>81</v>
      </c>
      <c r="AT4947" t="s">
        <v>58</v>
      </c>
      <c r="AU4947" t="s">
        <v>68</v>
      </c>
      <c r="AV4947" t="s">
        <v>69</v>
      </c>
      <c r="AW4947" s="1">
        <v>24266</v>
      </c>
      <c r="AX4947">
        <v>1</v>
      </c>
    </row>
    <row r="4948" spans="1:50">
      <c r="B4948" t="str">
        <f>"122521599"</f>
        <v>122521599</v>
      </c>
      <c r="C4948" t="s">
        <v>50</v>
      </c>
      <c r="D4948" t="s">
        <v>9069</v>
      </c>
      <c r="E4948" t="s">
        <v>109</v>
      </c>
      <c r="F4948" t="s">
        <v>383</v>
      </c>
      <c r="G4948" t="s">
        <v>155</v>
      </c>
      <c r="H4948" t="str">
        <f>"ΠΡΑΞΙΤΕΛΟΥΣ 3 "</f>
        <v xml:space="preserve">ΠΡΑΞΙΤΕΛΟΥΣ 3 </v>
      </c>
      <c r="I4948">
        <v>67100</v>
      </c>
      <c r="J4948">
        <v>2541072096</v>
      </c>
      <c r="K4948">
        <v>6974202178</v>
      </c>
      <c r="N4948" t="s">
        <v>1525</v>
      </c>
      <c r="O4948" t="s">
        <v>1526</v>
      </c>
      <c r="R4948" t="s">
        <v>121</v>
      </c>
      <c r="S4948">
        <v>1</v>
      </c>
      <c r="T4948" t="s">
        <v>8670</v>
      </c>
      <c r="U4948" s="1">
        <v>43348</v>
      </c>
      <c r="V4948" t="s">
        <v>80</v>
      </c>
      <c r="W4948" t="s">
        <v>81</v>
      </c>
      <c r="X4948" t="s">
        <v>58</v>
      </c>
      <c r="Y4948">
        <v>25</v>
      </c>
      <c r="Z4948" t="s">
        <v>59</v>
      </c>
      <c r="AA4948" t="s">
        <v>59</v>
      </c>
      <c r="AB4948" t="s">
        <v>59</v>
      </c>
      <c r="AC4948" t="s">
        <v>59</v>
      </c>
      <c r="AD4948" t="s">
        <v>59</v>
      </c>
      <c r="AF4948" s="1">
        <v>43348</v>
      </c>
      <c r="AG4948" t="s">
        <v>8651</v>
      </c>
      <c r="AH4948" t="s">
        <v>8652</v>
      </c>
      <c r="AI4948" t="str">
        <f>"9170367"</f>
        <v>9170367</v>
      </c>
      <c r="AJ4948" t="s">
        <v>9070</v>
      </c>
      <c r="AK4948">
        <v>2810244550</v>
      </c>
      <c r="AL4948" t="s">
        <v>9071</v>
      </c>
      <c r="AM4948" t="s">
        <v>78</v>
      </c>
      <c r="AN4948" t="s">
        <v>78</v>
      </c>
      <c r="AO4948" t="s">
        <v>286</v>
      </c>
      <c r="AP4948" t="s">
        <v>286</v>
      </c>
      <c r="AQ4948">
        <v>1</v>
      </c>
      <c r="AR4948" t="s">
        <v>80</v>
      </c>
      <c r="AS4948" t="s">
        <v>81</v>
      </c>
      <c r="AT4948" t="s">
        <v>58</v>
      </c>
      <c r="AU4948" t="s">
        <v>8673</v>
      </c>
      <c r="AV4948" t="s">
        <v>132</v>
      </c>
      <c r="AW4948" s="1">
        <v>30451</v>
      </c>
      <c r="AX4948">
        <v>1</v>
      </c>
    </row>
    <row r="4949" spans="1:50">
      <c r="A4949">
        <v>579875</v>
      </c>
      <c r="B4949" t="str">
        <f>"032483755"</f>
        <v>032483755</v>
      </c>
      <c r="C4949" t="s">
        <v>50</v>
      </c>
      <c r="D4949" t="s">
        <v>9072</v>
      </c>
      <c r="E4949" t="s">
        <v>73</v>
      </c>
      <c r="F4949" t="s">
        <v>95</v>
      </c>
      <c r="G4949" t="s">
        <v>114</v>
      </c>
      <c r="H4949" t="str">
        <f>"ΞΕΝΙΟΥ ΔΙΟΣ 6 ΠΕΡΑΙΑΣ"</f>
        <v>ΞΕΝΙΟΥ ΔΙΟΣ 6 ΠΕΡΑΙΑΣ</v>
      </c>
      <c r="I4949">
        <v>57019</v>
      </c>
      <c r="J4949">
        <v>2392022875</v>
      </c>
      <c r="K4949">
        <v>6945445535</v>
      </c>
      <c r="L4949">
        <v>2810341439</v>
      </c>
      <c r="N4949" t="s">
        <v>1525</v>
      </c>
      <c r="O4949" t="s">
        <v>1526</v>
      </c>
      <c r="R4949" t="s">
        <v>57</v>
      </c>
      <c r="S4949">
        <v>12</v>
      </c>
      <c r="T4949">
        <v>165</v>
      </c>
      <c r="U4949" s="1">
        <v>35300</v>
      </c>
      <c r="V4949" t="s">
        <v>80</v>
      </c>
      <c r="W4949" t="s">
        <v>81</v>
      </c>
      <c r="X4949" t="s">
        <v>58</v>
      </c>
      <c r="Y4949">
        <v>25</v>
      </c>
      <c r="Z4949" t="s">
        <v>59</v>
      </c>
      <c r="AA4949" t="s">
        <v>59</v>
      </c>
      <c r="AB4949" t="s">
        <v>59</v>
      </c>
      <c r="AC4949" t="s">
        <v>59</v>
      </c>
      <c r="AD4949" t="s">
        <v>59</v>
      </c>
      <c r="AF4949" s="1">
        <v>35310</v>
      </c>
      <c r="AG4949" t="s">
        <v>8651</v>
      </c>
      <c r="AH4949" t="s">
        <v>8652</v>
      </c>
      <c r="AI4949" t="str">
        <f>"9170508"</f>
        <v>9170508</v>
      </c>
      <c r="AJ4949" t="s">
        <v>9073</v>
      </c>
      <c r="AK4949">
        <v>2810212076</v>
      </c>
      <c r="AL4949" t="s">
        <v>9074</v>
      </c>
      <c r="AM4949" t="s">
        <v>78</v>
      </c>
      <c r="AN4949" t="s">
        <v>78</v>
      </c>
      <c r="AO4949" t="s">
        <v>78</v>
      </c>
      <c r="AP4949" t="s">
        <v>163</v>
      </c>
      <c r="AQ4949">
        <v>1</v>
      </c>
      <c r="AR4949" t="s">
        <v>80</v>
      </c>
      <c r="AS4949" t="s">
        <v>81</v>
      </c>
      <c r="AT4949" t="s">
        <v>58</v>
      </c>
      <c r="AU4949" t="s">
        <v>68</v>
      </c>
      <c r="AV4949" t="s">
        <v>69</v>
      </c>
      <c r="AW4949" s="1">
        <v>22663</v>
      </c>
      <c r="AX4949">
        <v>1</v>
      </c>
    </row>
    <row r="4950" spans="1:50">
      <c r="A4950">
        <v>608183</v>
      </c>
      <c r="B4950" t="str">
        <f>"103656138"</f>
        <v>103656138</v>
      </c>
      <c r="C4950" t="s">
        <v>50</v>
      </c>
      <c r="D4950" t="s">
        <v>703</v>
      </c>
      <c r="E4950" t="s">
        <v>513</v>
      </c>
      <c r="F4950" t="s">
        <v>99</v>
      </c>
      <c r="G4950" t="s">
        <v>727</v>
      </c>
      <c r="H4950" t="str">
        <f>"ΛΕΒΗΝΟΥ 62 ΗΡΑΚΛΕΙΟ"</f>
        <v>ΛΕΒΗΝΟΥ 62 ΗΡΑΚΛΕΙΟ</v>
      </c>
      <c r="I4950">
        <v>71304</v>
      </c>
      <c r="J4950">
        <v>2892024719</v>
      </c>
      <c r="K4950">
        <v>6932760212</v>
      </c>
      <c r="L4950">
        <v>2892024406</v>
      </c>
      <c r="N4950" t="s">
        <v>1525</v>
      </c>
      <c r="O4950" t="s">
        <v>1526</v>
      </c>
      <c r="R4950" t="s">
        <v>57</v>
      </c>
      <c r="S4950">
        <v>8</v>
      </c>
      <c r="T4950">
        <v>217</v>
      </c>
      <c r="U4950" s="1">
        <v>38596</v>
      </c>
      <c r="V4950" t="s">
        <v>80</v>
      </c>
      <c r="W4950" t="s">
        <v>81</v>
      </c>
      <c r="X4950" t="s">
        <v>58</v>
      </c>
      <c r="Y4950">
        <v>25</v>
      </c>
      <c r="Z4950" t="s">
        <v>59</v>
      </c>
      <c r="AA4950" t="s">
        <v>59</v>
      </c>
      <c r="AB4950" t="s">
        <v>59</v>
      </c>
      <c r="AC4950" t="s">
        <v>59</v>
      </c>
      <c r="AD4950" t="s">
        <v>59</v>
      </c>
      <c r="AF4950" s="1">
        <v>38600</v>
      </c>
      <c r="AG4950" t="s">
        <v>8651</v>
      </c>
      <c r="AH4950" t="s">
        <v>8652</v>
      </c>
      <c r="AI4950" t="str">
        <f>"9170052"</f>
        <v>9170052</v>
      </c>
      <c r="AJ4950" t="s">
        <v>8714</v>
      </c>
      <c r="AK4950">
        <v>2810257486</v>
      </c>
      <c r="AL4950" t="s">
        <v>8715</v>
      </c>
      <c r="AM4950" t="s">
        <v>78</v>
      </c>
      <c r="AN4950" t="s">
        <v>78</v>
      </c>
      <c r="AO4950" t="s">
        <v>78</v>
      </c>
      <c r="AP4950" t="s">
        <v>79</v>
      </c>
      <c r="AQ4950">
        <v>1</v>
      </c>
      <c r="AR4950" t="s">
        <v>80</v>
      </c>
      <c r="AS4950" t="s">
        <v>81</v>
      </c>
      <c r="AT4950" t="s">
        <v>58</v>
      </c>
      <c r="AU4950" t="s">
        <v>68</v>
      </c>
      <c r="AV4950" t="s">
        <v>69</v>
      </c>
      <c r="AW4950" s="1">
        <v>26499</v>
      </c>
      <c r="AX4950">
        <v>1</v>
      </c>
    </row>
    <row r="4951" spans="1:50">
      <c r="A4951">
        <v>563224</v>
      </c>
      <c r="B4951" t="str">
        <f>"062485446"</f>
        <v>062485446</v>
      </c>
      <c r="C4951" t="s">
        <v>50</v>
      </c>
      <c r="D4951" t="s">
        <v>703</v>
      </c>
      <c r="E4951" t="s">
        <v>112</v>
      </c>
      <c r="F4951" t="s">
        <v>166</v>
      </c>
      <c r="G4951" t="s">
        <v>658</v>
      </c>
      <c r="H4951" t="str">
        <f>"Λόφος Λειβάδας Τ.Θ. 108 ΑΓΙΟΣ ΜΥΡΩΝ ΗΡΑΚΛΕΙΟ"</f>
        <v>Λόφος Λειβάδας Τ.Θ. 108 ΑΓΙΟΣ ΜΥΡΩΝ ΗΡΑΚΛΕΙΟ</v>
      </c>
      <c r="I4951">
        <v>70013</v>
      </c>
      <c r="J4951">
        <v>2810540085</v>
      </c>
      <c r="K4951">
        <v>6949464249</v>
      </c>
      <c r="M4951" t="s">
        <v>9075</v>
      </c>
      <c r="N4951" t="s">
        <v>615</v>
      </c>
      <c r="O4951" t="s">
        <v>616</v>
      </c>
      <c r="R4951" t="s">
        <v>57</v>
      </c>
      <c r="S4951">
        <v>15</v>
      </c>
      <c r="T4951">
        <v>194</v>
      </c>
      <c r="U4951" s="1">
        <v>32763</v>
      </c>
      <c r="V4951" t="s">
        <v>80</v>
      </c>
      <c r="W4951" t="s">
        <v>81</v>
      </c>
      <c r="X4951" t="s">
        <v>58</v>
      </c>
      <c r="Y4951">
        <v>21</v>
      </c>
      <c r="Z4951" t="s">
        <v>59</v>
      </c>
      <c r="AA4951" t="s">
        <v>59</v>
      </c>
      <c r="AB4951" t="s">
        <v>59</v>
      </c>
      <c r="AC4951" t="s">
        <v>59</v>
      </c>
      <c r="AD4951" t="s">
        <v>59</v>
      </c>
      <c r="AF4951" s="1">
        <v>32763</v>
      </c>
      <c r="AG4951" t="s">
        <v>8645</v>
      </c>
      <c r="AH4951" t="s">
        <v>8646</v>
      </c>
      <c r="AI4951" t="str">
        <f>"9170580"</f>
        <v>9170580</v>
      </c>
      <c r="AJ4951" t="s">
        <v>9076</v>
      </c>
      <c r="AK4951">
        <v>2810542809</v>
      </c>
      <c r="AL4951" t="s">
        <v>9077</v>
      </c>
      <c r="AM4951" t="s">
        <v>78</v>
      </c>
      <c r="AN4951" t="s">
        <v>78</v>
      </c>
      <c r="AO4951" t="s">
        <v>78</v>
      </c>
      <c r="AP4951" t="s">
        <v>9053</v>
      </c>
      <c r="AQ4951">
        <v>1</v>
      </c>
      <c r="AR4951" t="s">
        <v>80</v>
      </c>
      <c r="AS4951" t="s">
        <v>81</v>
      </c>
      <c r="AT4951" t="s">
        <v>58</v>
      </c>
      <c r="AU4951" t="s">
        <v>68</v>
      </c>
      <c r="AV4951" t="s">
        <v>69</v>
      </c>
      <c r="AW4951" s="1">
        <v>23952</v>
      </c>
      <c r="AX4951">
        <v>1</v>
      </c>
    </row>
    <row r="4952" spans="1:50">
      <c r="B4952" t="str">
        <f>"150424312"</f>
        <v>150424312</v>
      </c>
      <c r="C4952" t="s">
        <v>50</v>
      </c>
      <c r="D4952" t="s">
        <v>703</v>
      </c>
      <c r="E4952" t="s">
        <v>52</v>
      </c>
      <c r="F4952" t="s">
        <v>99</v>
      </c>
      <c r="G4952" t="s">
        <v>9078</v>
      </c>
      <c r="H4952" t="str">
        <f>"ΚΥΠΡΟΥ 20 "</f>
        <v xml:space="preserve">ΚΥΠΡΟΥ 20 </v>
      </c>
      <c r="I4952">
        <v>71305</v>
      </c>
      <c r="J4952">
        <v>2810250488</v>
      </c>
      <c r="K4952">
        <v>6947495448</v>
      </c>
      <c r="N4952" t="s">
        <v>615</v>
      </c>
      <c r="O4952" t="s">
        <v>616</v>
      </c>
      <c r="R4952" t="s">
        <v>159</v>
      </c>
      <c r="S4952">
        <v>3</v>
      </c>
      <c r="T4952" t="s">
        <v>8675</v>
      </c>
      <c r="U4952" s="1">
        <v>43348</v>
      </c>
      <c r="V4952" t="s">
        <v>80</v>
      </c>
      <c r="W4952" t="s">
        <v>81</v>
      </c>
      <c r="X4952" t="s">
        <v>58</v>
      </c>
      <c r="Y4952">
        <v>24</v>
      </c>
      <c r="Z4952" t="s">
        <v>59</v>
      </c>
      <c r="AA4952" t="s">
        <v>59</v>
      </c>
      <c r="AB4952" t="s">
        <v>59</v>
      </c>
      <c r="AC4952" t="s">
        <v>59</v>
      </c>
      <c r="AD4952" t="s">
        <v>59</v>
      </c>
      <c r="AF4952" s="1">
        <v>43348</v>
      </c>
      <c r="AG4952" t="s">
        <v>8645</v>
      </c>
      <c r="AH4952" t="s">
        <v>8646</v>
      </c>
      <c r="AI4952" t="str">
        <f>"9170309"</f>
        <v>9170309</v>
      </c>
      <c r="AJ4952" t="s">
        <v>9079</v>
      </c>
      <c r="AK4952">
        <v>2893041265</v>
      </c>
      <c r="AL4952" t="s">
        <v>9080</v>
      </c>
      <c r="AM4952" t="s">
        <v>78</v>
      </c>
      <c r="AN4952" t="s">
        <v>405</v>
      </c>
      <c r="AO4952" t="s">
        <v>405</v>
      </c>
      <c r="AP4952" t="s">
        <v>2895</v>
      </c>
      <c r="AQ4952">
        <v>17</v>
      </c>
      <c r="AR4952" t="s">
        <v>80</v>
      </c>
      <c r="AS4952" t="s">
        <v>81</v>
      </c>
      <c r="AT4952" t="s">
        <v>58</v>
      </c>
      <c r="AU4952" t="s">
        <v>8673</v>
      </c>
      <c r="AV4952" t="s">
        <v>132</v>
      </c>
      <c r="AW4952" s="1">
        <v>32432</v>
      </c>
      <c r="AX4952">
        <v>1</v>
      </c>
    </row>
    <row r="4953" spans="1:50">
      <c r="A4953">
        <v>579879</v>
      </c>
      <c r="B4953" t="str">
        <f>"114299136"</f>
        <v>114299136</v>
      </c>
      <c r="C4953" t="s">
        <v>50</v>
      </c>
      <c r="D4953" t="s">
        <v>703</v>
      </c>
      <c r="E4953" t="s">
        <v>372</v>
      </c>
      <c r="F4953" t="s">
        <v>459</v>
      </c>
      <c r="G4953" t="s">
        <v>237</v>
      </c>
      <c r="H4953" t="str">
        <f>"ΣΤΡΑΒΩΝΟΣ 8  ΗΡΑΚΛΕΙΟ"</f>
        <v>ΣΤΡΑΒΩΝΟΣ 8  ΗΡΑΚΛΕΙΟ</v>
      </c>
      <c r="I4953">
        <v>71305</v>
      </c>
      <c r="J4953">
        <v>2810250918</v>
      </c>
      <c r="K4953">
        <v>6974783438</v>
      </c>
      <c r="N4953" t="s">
        <v>1525</v>
      </c>
      <c r="O4953" t="s">
        <v>1526</v>
      </c>
      <c r="R4953" t="s">
        <v>57</v>
      </c>
      <c r="S4953">
        <v>13</v>
      </c>
      <c r="T4953">
        <v>165</v>
      </c>
      <c r="U4953" s="1">
        <v>35300</v>
      </c>
      <c r="V4953" t="s">
        <v>80</v>
      </c>
      <c r="W4953" t="s">
        <v>81</v>
      </c>
      <c r="X4953" t="s">
        <v>58</v>
      </c>
      <c r="Y4953">
        <v>25</v>
      </c>
      <c r="Z4953" t="s">
        <v>59</v>
      </c>
      <c r="AA4953" t="s">
        <v>59</v>
      </c>
      <c r="AB4953" t="s">
        <v>59</v>
      </c>
      <c r="AC4953" t="s">
        <v>59</v>
      </c>
      <c r="AD4953" t="s">
        <v>59</v>
      </c>
      <c r="AF4953" s="1">
        <v>35310</v>
      </c>
      <c r="AG4953" t="s">
        <v>8651</v>
      </c>
      <c r="AH4953" t="s">
        <v>8652</v>
      </c>
      <c r="AI4953" t="str">
        <f>"9170507"</f>
        <v>9170507</v>
      </c>
      <c r="AJ4953" t="s">
        <v>9081</v>
      </c>
      <c r="AK4953">
        <v>2810236132</v>
      </c>
      <c r="AL4953" t="s">
        <v>9082</v>
      </c>
      <c r="AM4953" t="s">
        <v>78</v>
      </c>
      <c r="AN4953" t="s">
        <v>78</v>
      </c>
      <c r="AO4953" t="s">
        <v>78</v>
      </c>
      <c r="AP4953" t="s">
        <v>79</v>
      </c>
      <c r="AQ4953">
        <v>1</v>
      </c>
      <c r="AR4953" t="s">
        <v>80</v>
      </c>
      <c r="AS4953" t="s">
        <v>81</v>
      </c>
      <c r="AT4953" t="s">
        <v>58</v>
      </c>
      <c r="AU4953" t="s">
        <v>68</v>
      </c>
      <c r="AV4953" t="s">
        <v>69</v>
      </c>
      <c r="AW4953" s="1">
        <v>24122</v>
      </c>
      <c r="AX4953">
        <v>1</v>
      </c>
    </row>
    <row r="4954" spans="1:50">
      <c r="A4954">
        <v>608867</v>
      </c>
      <c r="B4954" t="str">
        <f>"103830723"</f>
        <v>103830723</v>
      </c>
      <c r="C4954" t="s">
        <v>50</v>
      </c>
      <c r="D4954" t="s">
        <v>709</v>
      </c>
      <c r="E4954" t="s">
        <v>237</v>
      </c>
      <c r="F4954" t="s">
        <v>9083</v>
      </c>
      <c r="G4954" t="s">
        <v>83</v>
      </c>
      <c r="H4954" t="str">
        <f>"ΣΟΦΟΚΛΕΟΥΣ 32 ΑΝΑΛΗΨΗ"</f>
        <v>ΣΟΦΟΚΛΕΟΥΣ 32 ΑΝΑΛΗΨΗ</v>
      </c>
      <c r="I4954">
        <v>71306</v>
      </c>
      <c r="J4954">
        <v>2810289426</v>
      </c>
      <c r="K4954">
        <v>6974327230</v>
      </c>
      <c r="M4954" t="s">
        <v>9084</v>
      </c>
      <c r="N4954" t="s">
        <v>1525</v>
      </c>
      <c r="O4954" t="s">
        <v>1526</v>
      </c>
      <c r="R4954" t="s">
        <v>57</v>
      </c>
      <c r="S4954">
        <v>7</v>
      </c>
      <c r="T4954">
        <v>217</v>
      </c>
      <c r="U4954" s="1">
        <v>38596</v>
      </c>
      <c r="V4954" t="s">
        <v>80</v>
      </c>
      <c r="W4954" t="s">
        <v>81</v>
      </c>
      <c r="X4954" t="s">
        <v>58</v>
      </c>
      <c r="Y4954">
        <v>25</v>
      </c>
      <c r="Z4954" t="s">
        <v>59</v>
      </c>
      <c r="AA4954" t="s">
        <v>59</v>
      </c>
      <c r="AB4954" t="s">
        <v>59</v>
      </c>
      <c r="AC4954" t="s">
        <v>59</v>
      </c>
      <c r="AD4954" t="s">
        <v>59</v>
      </c>
      <c r="AF4954" s="1">
        <v>38600</v>
      </c>
      <c r="AG4954" t="s">
        <v>8651</v>
      </c>
      <c r="AH4954" t="s">
        <v>8652</v>
      </c>
      <c r="AI4954" t="str">
        <f>"9170578"</f>
        <v>9170578</v>
      </c>
      <c r="AJ4954" t="s">
        <v>9085</v>
      </c>
      <c r="AK4954">
        <v>2897022010</v>
      </c>
      <c r="AL4954" t="s">
        <v>9086</v>
      </c>
      <c r="AM4954" t="s">
        <v>78</v>
      </c>
      <c r="AN4954" t="s">
        <v>219</v>
      </c>
      <c r="AO4954" t="s">
        <v>219</v>
      </c>
      <c r="AP4954" t="s">
        <v>220</v>
      </c>
      <c r="AQ4954">
        <v>8</v>
      </c>
      <c r="AR4954" t="s">
        <v>80</v>
      </c>
      <c r="AS4954" t="s">
        <v>81</v>
      </c>
      <c r="AT4954" t="s">
        <v>58</v>
      </c>
      <c r="AU4954" t="s">
        <v>68</v>
      </c>
      <c r="AV4954" t="s">
        <v>69</v>
      </c>
      <c r="AW4954" s="1">
        <v>28358</v>
      </c>
      <c r="AX4954">
        <v>1</v>
      </c>
    </row>
    <row r="4955" spans="1:50">
      <c r="A4955">
        <v>702361</v>
      </c>
      <c r="B4955" t="str">
        <f>"110712303"</f>
        <v>110712303</v>
      </c>
      <c r="C4955" t="s">
        <v>50</v>
      </c>
      <c r="D4955" t="s">
        <v>709</v>
      </c>
      <c r="E4955" t="s">
        <v>52</v>
      </c>
      <c r="F4955" t="s">
        <v>510</v>
      </c>
      <c r="G4955" t="s">
        <v>83</v>
      </c>
      <c r="H4955" t="str">
        <f>"ΛΟΧΑΓΟΥ ΚΑΡΑΓΙΑΝΝΗ 20 "</f>
        <v xml:space="preserve">ΛΟΧΑΓΟΥ ΚΑΡΑΓΙΑΝΝΗ 20 </v>
      </c>
      <c r="I4955">
        <v>71306</v>
      </c>
      <c r="J4955">
        <v>2810238203</v>
      </c>
      <c r="K4955">
        <v>6976430445</v>
      </c>
      <c r="M4955" t="s">
        <v>9087</v>
      </c>
      <c r="N4955" t="s">
        <v>1525</v>
      </c>
      <c r="O4955" t="s">
        <v>1526</v>
      </c>
      <c r="R4955" t="s">
        <v>57</v>
      </c>
      <c r="S4955">
        <v>4</v>
      </c>
      <c r="T4955">
        <v>772</v>
      </c>
      <c r="U4955" s="1">
        <v>40413</v>
      </c>
      <c r="V4955" t="s">
        <v>80</v>
      </c>
      <c r="W4955" t="s">
        <v>81</v>
      </c>
      <c r="X4955" t="s">
        <v>58</v>
      </c>
      <c r="Y4955">
        <v>25</v>
      </c>
      <c r="Z4955" t="s">
        <v>59</v>
      </c>
      <c r="AA4955" t="s">
        <v>59</v>
      </c>
      <c r="AB4955" t="s">
        <v>59</v>
      </c>
      <c r="AC4955" t="s">
        <v>59</v>
      </c>
      <c r="AD4955" t="s">
        <v>59</v>
      </c>
      <c r="AF4955" s="1">
        <v>40413</v>
      </c>
      <c r="AG4955" t="s">
        <v>8651</v>
      </c>
      <c r="AH4955" t="s">
        <v>8652</v>
      </c>
      <c r="AI4955" t="str">
        <f>"9170466"</f>
        <v>9170466</v>
      </c>
      <c r="AJ4955" t="s">
        <v>9088</v>
      </c>
      <c r="AK4955">
        <v>2897022686</v>
      </c>
      <c r="AL4955" t="s">
        <v>9089</v>
      </c>
      <c r="AM4955" t="s">
        <v>78</v>
      </c>
      <c r="AN4955" t="s">
        <v>219</v>
      </c>
      <c r="AO4955" t="s">
        <v>219</v>
      </c>
      <c r="AP4955" t="s">
        <v>219</v>
      </c>
      <c r="AQ4955">
        <v>8</v>
      </c>
      <c r="AR4955" t="s">
        <v>80</v>
      </c>
      <c r="AS4955" t="s">
        <v>81</v>
      </c>
      <c r="AT4955" t="s">
        <v>58</v>
      </c>
      <c r="AU4955" t="s">
        <v>68</v>
      </c>
      <c r="AV4955" t="s">
        <v>69</v>
      </c>
      <c r="AW4955" s="1">
        <v>29788</v>
      </c>
      <c r="AX4955">
        <v>1</v>
      </c>
    </row>
    <row r="4956" spans="1:50">
      <c r="A4956">
        <v>597328</v>
      </c>
      <c r="B4956" t="str">
        <f>"074047007"</f>
        <v>074047007</v>
      </c>
      <c r="C4956" t="s">
        <v>50</v>
      </c>
      <c r="D4956" t="s">
        <v>9090</v>
      </c>
      <c r="E4956" t="s">
        <v>860</v>
      </c>
      <c r="F4956" t="s">
        <v>95</v>
      </c>
      <c r="G4956" t="s">
        <v>316</v>
      </c>
      <c r="H4956" t="str">
        <f>"ΠΑΠΑΠΕΤΡΟΥ ΓΑΒΑΛΑ 83 ΗΡΑΚΛΕΙΟ"</f>
        <v>ΠΑΠΑΠΕΤΡΟΥ ΓΑΒΑΛΑ 83 ΗΡΑΚΛΕΙΟ</v>
      </c>
      <c r="I4956">
        <v>71409</v>
      </c>
      <c r="J4956">
        <v>2810323926</v>
      </c>
      <c r="K4956">
        <v>6972683657</v>
      </c>
      <c r="N4956" t="s">
        <v>306</v>
      </c>
      <c r="O4956" t="s">
        <v>307</v>
      </c>
      <c r="R4956" t="s">
        <v>57</v>
      </c>
      <c r="S4956">
        <v>10</v>
      </c>
      <c r="T4956">
        <v>193</v>
      </c>
      <c r="U4956" s="1">
        <v>37497</v>
      </c>
      <c r="V4956" t="s">
        <v>80</v>
      </c>
      <c r="W4956" t="s">
        <v>81</v>
      </c>
      <c r="X4956" t="s">
        <v>58</v>
      </c>
      <c r="Y4956">
        <v>21</v>
      </c>
      <c r="Z4956" t="s">
        <v>59</v>
      </c>
      <c r="AA4956" t="s">
        <v>59</v>
      </c>
      <c r="AB4956" t="s">
        <v>59</v>
      </c>
      <c r="AC4956" t="s">
        <v>59</v>
      </c>
      <c r="AD4956" t="s">
        <v>59</v>
      </c>
      <c r="AF4956" s="1">
        <v>37501</v>
      </c>
      <c r="AG4956" t="s">
        <v>8645</v>
      </c>
      <c r="AH4956" t="s">
        <v>8646</v>
      </c>
      <c r="AI4956" t="str">
        <f>"9170533"</f>
        <v>9170533</v>
      </c>
      <c r="AJ4956" t="s">
        <v>9091</v>
      </c>
      <c r="AK4956">
        <v>2810239434</v>
      </c>
      <c r="AL4956" t="s">
        <v>9092</v>
      </c>
      <c r="AM4956" t="s">
        <v>78</v>
      </c>
      <c r="AN4956" t="s">
        <v>78</v>
      </c>
      <c r="AO4956" t="s">
        <v>78</v>
      </c>
      <c r="AP4956" t="s">
        <v>163</v>
      </c>
      <c r="AQ4956">
        <v>1</v>
      </c>
      <c r="AR4956" t="s">
        <v>80</v>
      </c>
      <c r="AS4956" t="s">
        <v>81</v>
      </c>
      <c r="AT4956" t="s">
        <v>58</v>
      </c>
      <c r="AU4956" t="s">
        <v>68</v>
      </c>
      <c r="AV4956" t="s">
        <v>69</v>
      </c>
      <c r="AW4956" s="1">
        <v>26213</v>
      </c>
      <c r="AX4956">
        <v>1</v>
      </c>
    </row>
    <row r="4957" spans="1:50">
      <c r="A4957">
        <v>588709</v>
      </c>
      <c r="B4957" t="str">
        <f>"038464819"</f>
        <v>038464819</v>
      </c>
      <c r="C4957" t="s">
        <v>50</v>
      </c>
      <c r="D4957" t="s">
        <v>9090</v>
      </c>
      <c r="E4957" t="s">
        <v>143</v>
      </c>
      <c r="F4957" t="s">
        <v>3857</v>
      </c>
      <c r="G4957" t="s">
        <v>316</v>
      </c>
      <c r="H4957" t="str">
        <f>"Π.ΠΕΤΡΟΥ ΓΑΒΑΛΑ 83 ΗΡΑΚΛΕΙΟ"</f>
        <v>Π.ΠΕΤΡΟΥ ΓΑΒΑΛΑ 83 ΗΡΑΚΛΕΙΟ</v>
      </c>
      <c r="I4957">
        <v>71409</v>
      </c>
      <c r="J4957">
        <v>2810326506</v>
      </c>
      <c r="K4957">
        <v>6972796697</v>
      </c>
      <c r="N4957" t="s">
        <v>615</v>
      </c>
      <c r="O4957" t="s">
        <v>616</v>
      </c>
      <c r="R4957" t="s">
        <v>57</v>
      </c>
      <c r="S4957">
        <v>10</v>
      </c>
      <c r="T4957">
        <v>176</v>
      </c>
      <c r="U4957" s="1">
        <v>36403</v>
      </c>
      <c r="V4957" t="s">
        <v>80</v>
      </c>
      <c r="W4957" t="s">
        <v>81</v>
      </c>
      <c r="X4957" t="s">
        <v>58</v>
      </c>
      <c r="Y4957">
        <v>21</v>
      </c>
      <c r="Z4957" t="s">
        <v>59</v>
      </c>
      <c r="AA4957" t="s">
        <v>59</v>
      </c>
      <c r="AB4957" t="s">
        <v>59</v>
      </c>
      <c r="AC4957" t="s">
        <v>59</v>
      </c>
      <c r="AD4957" t="s">
        <v>59</v>
      </c>
      <c r="AF4957" s="1">
        <v>36404</v>
      </c>
      <c r="AG4957" t="s">
        <v>8645</v>
      </c>
      <c r="AH4957" t="s">
        <v>8646</v>
      </c>
      <c r="AI4957" t="str">
        <f>"9170514"</f>
        <v>9170514</v>
      </c>
      <c r="AJ4957" t="s">
        <v>8801</v>
      </c>
      <c r="AK4957">
        <v>2810238666</v>
      </c>
      <c r="AL4957" t="s">
        <v>8802</v>
      </c>
      <c r="AM4957" t="s">
        <v>78</v>
      </c>
      <c r="AN4957" t="s">
        <v>78</v>
      </c>
      <c r="AO4957" t="s">
        <v>78</v>
      </c>
      <c r="AP4957" t="s">
        <v>163</v>
      </c>
      <c r="AQ4957">
        <v>1</v>
      </c>
      <c r="AR4957" t="s">
        <v>80</v>
      </c>
      <c r="AS4957" t="s">
        <v>81</v>
      </c>
      <c r="AT4957" t="s">
        <v>58</v>
      </c>
      <c r="AU4957" t="s">
        <v>68</v>
      </c>
      <c r="AV4957" t="s">
        <v>69</v>
      </c>
      <c r="AW4957" s="1">
        <v>24935</v>
      </c>
      <c r="AX4957">
        <v>1</v>
      </c>
    </row>
    <row r="4958" spans="1:50">
      <c r="A4958">
        <v>620048</v>
      </c>
      <c r="B4958" t="str">
        <f>"036837983"</f>
        <v>036837983</v>
      </c>
      <c r="C4958" t="s">
        <v>50</v>
      </c>
      <c r="D4958" t="s">
        <v>9093</v>
      </c>
      <c r="E4958" t="s">
        <v>484</v>
      </c>
      <c r="F4958" t="s">
        <v>2184</v>
      </c>
      <c r="G4958" t="s">
        <v>155</v>
      </c>
      <c r="H4958" t="str">
        <f>"Ε.ΠΑΠΑΠΑΝΑΓΙΩΤΟΥ-ΜΙΤΑΥΤΣΗ 36 ΘΕΣΣΑΛΟΝΙΚΗ"</f>
        <v>Ε.ΠΑΠΑΠΑΝΑΓΙΩΤΟΥ-ΜΙΤΑΥΤΣΗ 36 ΘΕΣΣΑΛΟΝΙΚΗ</v>
      </c>
      <c r="I4958">
        <v>56533</v>
      </c>
      <c r="J4958">
        <v>2310604575</v>
      </c>
      <c r="K4958">
        <v>6945282227</v>
      </c>
      <c r="M4958" t="s">
        <v>9094</v>
      </c>
      <c r="N4958" t="s">
        <v>176</v>
      </c>
      <c r="O4958" t="s">
        <v>177</v>
      </c>
      <c r="R4958" t="s">
        <v>57</v>
      </c>
      <c r="S4958">
        <v>9</v>
      </c>
      <c r="T4958">
        <v>775</v>
      </c>
      <c r="U4958" s="1">
        <v>39680</v>
      </c>
      <c r="V4958" t="s">
        <v>80</v>
      </c>
      <c r="W4958" t="s">
        <v>81</v>
      </c>
      <c r="X4958" t="s">
        <v>58</v>
      </c>
      <c r="Y4958">
        <v>22</v>
      </c>
      <c r="Z4958" t="s">
        <v>59</v>
      </c>
      <c r="AA4958" t="s">
        <v>59</v>
      </c>
      <c r="AB4958" t="s">
        <v>59</v>
      </c>
      <c r="AC4958" t="s">
        <v>59</v>
      </c>
      <c r="AD4958" t="s">
        <v>59</v>
      </c>
      <c r="AF4958" s="1">
        <v>39681</v>
      </c>
      <c r="AG4958" t="s">
        <v>8645</v>
      </c>
      <c r="AH4958" t="s">
        <v>8646</v>
      </c>
      <c r="AI4958" t="str">
        <f>"9170206"</f>
        <v>9170206</v>
      </c>
      <c r="AJ4958" t="s">
        <v>8972</v>
      </c>
      <c r="AK4958">
        <v>2810761137</v>
      </c>
      <c r="AL4958" t="s">
        <v>8973</v>
      </c>
      <c r="AM4958" t="s">
        <v>78</v>
      </c>
      <c r="AN4958" t="s">
        <v>219</v>
      </c>
      <c r="AO4958" t="s">
        <v>297</v>
      </c>
      <c r="AP4958" t="s">
        <v>8796</v>
      </c>
      <c r="AQ4958">
        <v>7</v>
      </c>
      <c r="AR4958" t="s">
        <v>80</v>
      </c>
      <c r="AS4958" t="s">
        <v>81</v>
      </c>
      <c r="AT4958" t="s">
        <v>58</v>
      </c>
      <c r="AU4958" t="s">
        <v>68</v>
      </c>
      <c r="AV4958" t="s">
        <v>69</v>
      </c>
      <c r="AW4958" s="1">
        <v>24509</v>
      </c>
      <c r="AX4958">
        <v>1</v>
      </c>
    </row>
    <row r="4959" spans="1:50">
      <c r="A4959">
        <v>590983</v>
      </c>
      <c r="B4959" t="str">
        <f>"069871458"</f>
        <v>069871458</v>
      </c>
      <c r="C4959" t="s">
        <v>50</v>
      </c>
      <c r="D4959" t="s">
        <v>9095</v>
      </c>
      <c r="E4959" t="s">
        <v>237</v>
      </c>
      <c r="F4959" t="s">
        <v>1573</v>
      </c>
      <c r="G4959" t="s">
        <v>6454</v>
      </c>
      <c r="H4959" t="str">
        <f>"ΑΛΜΠΕΡ 71 ΗΡΑΚΛΕΙΟ"</f>
        <v>ΑΛΜΠΕΡ 71 ΗΡΑΚΛΕΙΟ</v>
      </c>
      <c r="I4959">
        <v>71201</v>
      </c>
      <c r="J4959">
        <v>2810287379</v>
      </c>
      <c r="K4959">
        <v>6980528740</v>
      </c>
      <c r="M4959" t="s">
        <v>9096</v>
      </c>
      <c r="N4959" t="s">
        <v>615</v>
      </c>
      <c r="O4959" t="s">
        <v>616</v>
      </c>
      <c r="R4959" t="s">
        <v>57</v>
      </c>
      <c r="S4959">
        <v>10</v>
      </c>
      <c r="T4959" t="s">
        <v>9097</v>
      </c>
      <c r="U4959" s="1">
        <v>36769</v>
      </c>
      <c r="V4959" t="s">
        <v>80</v>
      </c>
      <c r="W4959" t="s">
        <v>81</v>
      </c>
      <c r="X4959" t="s">
        <v>58</v>
      </c>
      <c r="Y4959">
        <v>21</v>
      </c>
      <c r="Z4959" t="s">
        <v>59</v>
      </c>
      <c r="AA4959" t="s">
        <v>59</v>
      </c>
      <c r="AB4959" t="s">
        <v>59</v>
      </c>
      <c r="AC4959" t="s">
        <v>59</v>
      </c>
      <c r="AD4959" t="s">
        <v>59</v>
      </c>
      <c r="AF4959" s="1">
        <v>36770</v>
      </c>
      <c r="AG4959" t="s">
        <v>8645</v>
      </c>
      <c r="AH4959" t="s">
        <v>8646</v>
      </c>
      <c r="AI4959" t="str">
        <f>"9170343"</f>
        <v>9170343</v>
      </c>
      <c r="AJ4959" t="s">
        <v>8743</v>
      </c>
      <c r="AK4959">
        <v>2810283970</v>
      </c>
      <c r="AL4959" t="s">
        <v>8744</v>
      </c>
      <c r="AM4959" t="s">
        <v>78</v>
      </c>
      <c r="AN4959" t="s">
        <v>78</v>
      </c>
      <c r="AO4959" t="s">
        <v>78</v>
      </c>
      <c r="AP4959" t="s">
        <v>79</v>
      </c>
      <c r="AQ4959">
        <v>1</v>
      </c>
      <c r="AR4959" t="s">
        <v>80</v>
      </c>
      <c r="AS4959" t="s">
        <v>81</v>
      </c>
      <c r="AT4959" t="s">
        <v>58</v>
      </c>
      <c r="AU4959" t="s">
        <v>68</v>
      </c>
      <c r="AV4959" t="s">
        <v>69</v>
      </c>
      <c r="AW4959" s="1">
        <v>24925</v>
      </c>
      <c r="AX4959">
        <v>1</v>
      </c>
    </row>
    <row r="4960" spans="1:50">
      <c r="A4960">
        <v>615945</v>
      </c>
      <c r="B4960" t="str">
        <f>"103835301"</f>
        <v>103835301</v>
      </c>
      <c r="C4960" t="s">
        <v>50</v>
      </c>
      <c r="D4960" t="s">
        <v>9098</v>
      </c>
      <c r="E4960" t="s">
        <v>134</v>
      </c>
      <c r="F4960" t="s">
        <v>3499</v>
      </c>
      <c r="G4960" t="s">
        <v>372</v>
      </c>
      <c r="H4960" t="str">
        <f>"Δ.ΦΡΑΓΚΙΑΔΑΚΗ 22 ΗΡΑΚΛΕΙΟ"</f>
        <v>Δ.ΦΡΑΓΚΙΑΔΑΚΗ 22 ΗΡΑΚΛΕΙΟ</v>
      </c>
      <c r="J4960">
        <v>2810335186</v>
      </c>
      <c r="K4960">
        <v>6972621636</v>
      </c>
      <c r="N4960" t="s">
        <v>176</v>
      </c>
      <c r="O4960" t="s">
        <v>177</v>
      </c>
      <c r="R4960" t="s">
        <v>57</v>
      </c>
      <c r="S4960">
        <v>7</v>
      </c>
      <c r="T4960">
        <v>600</v>
      </c>
      <c r="U4960" s="1">
        <v>37511</v>
      </c>
      <c r="V4960" t="s">
        <v>80</v>
      </c>
      <c r="W4960" t="s">
        <v>81</v>
      </c>
      <c r="X4960" t="s">
        <v>58</v>
      </c>
      <c r="Y4960">
        <v>22</v>
      </c>
      <c r="Z4960" t="s">
        <v>59</v>
      </c>
      <c r="AA4960" t="s">
        <v>59</v>
      </c>
      <c r="AB4960" t="s">
        <v>59</v>
      </c>
      <c r="AC4960" t="s">
        <v>59</v>
      </c>
      <c r="AD4960" t="s">
        <v>59</v>
      </c>
      <c r="AF4960" s="1">
        <v>39328</v>
      </c>
      <c r="AG4960" t="s">
        <v>8645</v>
      </c>
      <c r="AH4960" t="s">
        <v>8646</v>
      </c>
      <c r="AI4960" t="str">
        <f>"9521014"</f>
        <v>9521014</v>
      </c>
      <c r="AJ4960" t="s">
        <v>8974</v>
      </c>
      <c r="AK4960">
        <v>2897029611</v>
      </c>
      <c r="AL4960" t="s">
        <v>8975</v>
      </c>
      <c r="AM4960" t="s">
        <v>78</v>
      </c>
      <c r="AN4960" t="s">
        <v>219</v>
      </c>
      <c r="AO4960" t="s">
        <v>527</v>
      </c>
      <c r="AP4960" t="s">
        <v>527</v>
      </c>
      <c r="AQ4960">
        <v>8</v>
      </c>
      <c r="AR4960" t="s">
        <v>80</v>
      </c>
      <c r="AS4960" t="s">
        <v>81</v>
      </c>
      <c r="AT4960" t="s">
        <v>58</v>
      </c>
      <c r="AU4960" t="s">
        <v>68</v>
      </c>
      <c r="AV4960" t="s">
        <v>69</v>
      </c>
      <c r="AW4960" s="1">
        <v>24736</v>
      </c>
      <c r="AX4960">
        <v>1</v>
      </c>
    </row>
    <row r="4961" spans="1:50">
      <c r="B4961" t="str">
        <f>"049715145"</f>
        <v>049715145</v>
      </c>
      <c r="C4961" t="s">
        <v>50</v>
      </c>
      <c r="D4961" t="s">
        <v>9099</v>
      </c>
      <c r="E4961" t="s">
        <v>215</v>
      </c>
      <c r="F4961" t="s">
        <v>95</v>
      </c>
      <c r="G4961" t="s">
        <v>238</v>
      </c>
      <c r="H4961" t="str">
        <f>"ΝΗΣΟΥ ΡΩ -ΙΟΛΗΣ ΚΑΛΥΒΙΑ "</f>
        <v xml:space="preserve">ΝΗΣΟΥ ΡΩ -ΙΟΛΗΣ ΚΑΛΥΒΙΑ </v>
      </c>
      <c r="I4961">
        <v>35100</v>
      </c>
      <c r="J4961">
        <v>2231044921</v>
      </c>
      <c r="K4961">
        <v>6977607623</v>
      </c>
      <c r="N4961" t="s">
        <v>1525</v>
      </c>
      <c r="O4961" t="s">
        <v>1526</v>
      </c>
      <c r="R4961" t="s">
        <v>159</v>
      </c>
      <c r="S4961">
        <v>3</v>
      </c>
      <c r="T4961" t="s">
        <v>8670</v>
      </c>
      <c r="U4961" s="1">
        <v>43348</v>
      </c>
      <c r="V4961" t="s">
        <v>80</v>
      </c>
      <c r="W4961" t="s">
        <v>81</v>
      </c>
      <c r="X4961" t="s">
        <v>58</v>
      </c>
      <c r="Y4961">
        <v>25</v>
      </c>
      <c r="Z4961" t="s">
        <v>59</v>
      </c>
      <c r="AA4961" t="s">
        <v>59</v>
      </c>
      <c r="AB4961" t="s">
        <v>59</v>
      </c>
      <c r="AC4961" t="s">
        <v>59</v>
      </c>
      <c r="AD4961" t="s">
        <v>59</v>
      </c>
      <c r="AF4961" s="1">
        <v>43348</v>
      </c>
      <c r="AG4961" t="s">
        <v>8651</v>
      </c>
      <c r="AH4961" t="s">
        <v>8652</v>
      </c>
      <c r="AI4961" t="str">
        <f>"9170401"</f>
        <v>9170401</v>
      </c>
      <c r="AJ4961" t="s">
        <v>9100</v>
      </c>
      <c r="AK4961">
        <v>2893051329</v>
      </c>
      <c r="AL4961" t="s">
        <v>9101</v>
      </c>
      <c r="AM4961" t="s">
        <v>78</v>
      </c>
      <c r="AN4961" t="s">
        <v>424</v>
      </c>
      <c r="AO4961" t="s">
        <v>577</v>
      </c>
      <c r="AP4961" t="s">
        <v>723</v>
      </c>
      <c r="AQ4961">
        <v>9</v>
      </c>
      <c r="AR4961" t="s">
        <v>80</v>
      </c>
      <c r="AS4961" t="s">
        <v>81</v>
      </c>
      <c r="AT4961" t="s">
        <v>58</v>
      </c>
      <c r="AU4961" t="s">
        <v>8673</v>
      </c>
      <c r="AV4961" t="s">
        <v>132</v>
      </c>
      <c r="AW4961" s="1">
        <v>29537</v>
      </c>
      <c r="AX4961">
        <v>1</v>
      </c>
    </row>
    <row r="4962" spans="1:50">
      <c r="A4962">
        <v>618405</v>
      </c>
      <c r="B4962" t="str">
        <f>"130353700"</f>
        <v>130353700</v>
      </c>
      <c r="C4962" t="s">
        <v>50</v>
      </c>
      <c r="D4962" t="s">
        <v>9102</v>
      </c>
      <c r="E4962" t="s">
        <v>250</v>
      </c>
      <c r="F4962" t="s">
        <v>154</v>
      </c>
      <c r="G4962" t="s">
        <v>255</v>
      </c>
      <c r="H4962" t="str">
        <f>"ΦΗΡΟΣΤΕΦΑΝΙ ΘΗΡΑ"</f>
        <v>ΦΗΡΟΣΤΕΦΑΝΙ ΘΗΡΑ</v>
      </c>
      <c r="I4962">
        <v>84700</v>
      </c>
      <c r="J4962">
        <v>2286023320</v>
      </c>
      <c r="K4962">
        <v>6973082609</v>
      </c>
      <c r="M4962" t="s">
        <v>9103</v>
      </c>
      <c r="N4962" t="s">
        <v>615</v>
      </c>
      <c r="O4962" t="s">
        <v>616</v>
      </c>
      <c r="R4962" t="s">
        <v>57</v>
      </c>
      <c r="S4962">
        <v>5</v>
      </c>
      <c r="T4962">
        <v>774</v>
      </c>
      <c r="U4962" s="1">
        <v>39680</v>
      </c>
      <c r="V4962" t="s">
        <v>80</v>
      </c>
      <c r="W4962" t="s">
        <v>81</v>
      </c>
      <c r="X4962" t="s">
        <v>58</v>
      </c>
      <c r="Y4962">
        <v>23</v>
      </c>
      <c r="Z4962" t="s">
        <v>59</v>
      </c>
      <c r="AA4962" t="s">
        <v>59</v>
      </c>
      <c r="AB4962" t="s">
        <v>59</v>
      </c>
      <c r="AC4962" t="s">
        <v>59</v>
      </c>
      <c r="AD4962" t="s">
        <v>59</v>
      </c>
      <c r="AF4962" s="1">
        <v>39681</v>
      </c>
      <c r="AG4962" t="s">
        <v>8645</v>
      </c>
      <c r="AH4962" t="s">
        <v>8646</v>
      </c>
      <c r="AI4962" t="str">
        <f>"9170257"</f>
        <v>9170257</v>
      </c>
      <c r="AJ4962" t="s">
        <v>8710</v>
      </c>
      <c r="AK4962">
        <v>2810245513</v>
      </c>
      <c r="AL4962" t="s">
        <v>8711</v>
      </c>
      <c r="AM4962" t="s">
        <v>78</v>
      </c>
      <c r="AN4962" t="s">
        <v>78</v>
      </c>
      <c r="AO4962" t="s">
        <v>78</v>
      </c>
      <c r="AP4962" t="s">
        <v>213</v>
      </c>
      <c r="AQ4962">
        <v>1</v>
      </c>
      <c r="AR4962" t="s">
        <v>80</v>
      </c>
      <c r="AS4962" t="s">
        <v>81</v>
      </c>
      <c r="AT4962" t="s">
        <v>58</v>
      </c>
      <c r="AU4962" t="s">
        <v>68</v>
      </c>
      <c r="AV4962" t="s">
        <v>69</v>
      </c>
      <c r="AW4962" s="1">
        <v>30966</v>
      </c>
      <c r="AX4962">
        <v>1</v>
      </c>
    </row>
    <row r="4963" spans="1:50">
      <c r="A4963">
        <v>612321</v>
      </c>
      <c r="B4963" t="str">
        <f>"079220749"</f>
        <v>079220749</v>
      </c>
      <c r="C4963" t="s">
        <v>105</v>
      </c>
      <c r="D4963" t="s">
        <v>9104</v>
      </c>
      <c r="E4963" t="s">
        <v>2233</v>
      </c>
      <c r="F4963" t="s">
        <v>166</v>
      </c>
      <c r="G4963" t="s">
        <v>1367</v>
      </c>
      <c r="H4963" t="str">
        <f>"Α.ΠΑΠΑΝΔΡΕΟΥ 128 ΗΡΑΚΛΕΙΟ"</f>
        <v>Α.ΠΑΠΑΝΔΡΕΟΥ 128 ΗΡΑΚΛΕΙΟ</v>
      </c>
      <c r="I4963">
        <v>71305</v>
      </c>
      <c r="J4963">
        <v>2810311004</v>
      </c>
      <c r="K4963">
        <v>6977254742</v>
      </c>
      <c r="N4963" t="s">
        <v>176</v>
      </c>
      <c r="O4963" t="s">
        <v>177</v>
      </c>
      <c r="R4963" t="s">
        <v>57</v>
      </c>
      <c r="S4963">
        <v>8</v>
      </c>
      <c r="T4963">
        <v>234</v>
      </c>
      <c r="U4963" s="1">
        <v>38960</v>
      </c>
      <c r="V4963" t="s">
        <v>80</v>
      </c>
      <c r="W4963" t="s">
        <v>81</v>
      </c>
      <c r="X4963" t="s">
        <v>58</v>
      </c>
      <c r="Y4963">
        <v>22</v>
      </c>
      <c r="Z4963" t="s">
        <v>59</v>
      </c>
      <c r="AA4963" t="s">
        <v>59</v>
      </c>
      <c r="AB4963" t="s">
        <v>59</v>
      </c>
      <c r="AC4963" t="s">
        <v>59</v>
      </c>
      <c r="AD4963" t="s">
        <v>59</v>
      </c>
      <c r="AF4963" s="1">
        <v>38961</v>
      </c>
      <c r="AG4963" t="s">
        <v>8645</v>
      </c>
      <c r="AH4963" t="s">
        <v>8646</v>
      </c>
      <c r="AI4963" t="str">
        <f>"9170257"</f>
        <v>9170257</v>
      </c>
      <c r="AJ4963" t="s">
        <v>8710</v>
      </c>
      <c r="AK4963">
        <v>2810245513</v>
      </c>
      <c r="AL4963" t="s">
        <v>8711</v>
      </c>
      <c r="AM4963" t="s">
        <v>78</v>
      </c>
      <c r="AN4963" t="s">
        <v>78</v>
      </c>
      <c r="AO4963" t="s">
        <v>78</v>
      </c>
      <c r="AP4963" t="s">
        <v>213</v>
      </c>
      <c r="AQ4963">
        <v>1</v>
      </c>
      <c r="AR4963" t="s">
        <v>80</v>
      </c>
      <c r="AS4963" t="s">
        <v>81</v>
      </c>
      <c r="AT4963" t="s">
        <v>58</v>
      </c>
      <c r="AU4963" t="s">
        <v>68</v>
      </c>
      <c r="AV4963" t="s">
        <v>69</v>
      </c>
      <c r="AW4963" s="1">
        <v>26020</v>
      </c>
      <c r="AX4963">
        <v>1</v>
      </c>
    </row>
    <row r="4964" spans="1:50">
      <c r="A4964">
        <v>576623</v>
      </c>
      <c r="B4964" t="str">
        <f>"034137031"</f>
        <v>034137031</v>
      </c>
      <c r="C4964" t="s">
        <v>50</v>
      </c>
      <c r="D4964" t="s">
        <v>9105</v>
      </c>
      <c r="E4964" t="s">
        <v>1644</v>
      </c>
      <c r="F4964" t="s">
        <v>53</v>
      </c>
      <c r="G4964" t="s">
        <v>52</v>
      </c>
      <c r="H4964" t="str">
        <f>"ΠΑΡΘΕΝΙΟΥ ΚΕΛΑΪΔΗ 48 ΗΡΑΚΛΕΙΟ"</f>
        <v>ΠΑΡΘΕΝΙΟΥ ΚΕΛΑΪΔΗ 48 ΗΡΑΚΛΕΙΟ</v>
      </c>
      <c r="I4964">
        <v>71306</v>
      </c>
      <c r="J4964">
        <v>2810211775</v>
      </c>
      <c r="K4964">
        <v>6978116876</v>
      </c>
      <c r="N4964" t="s">
        <v>176</v>
      </c>
      <c r="O4964" t="s">
        <v>177</v>
      </c>
      <c r="R4964" t="s">
        <v>57</v>
      </c>
      <c r="S4964">
        <v>14</v>
      </c>
      <c r="T4964">
        <v>184</v>
      </c>
      <c r="U4964" s="1">
        <v>34941</v>
      </c>
      <c r="V4964" t="s">
        <v>80</v>
      </c>
      <c r="W4964" t="s">
        <v>81</v>
      </c>
      <c r="X4964" t="s">
        <v>58</v>
      </c>
      <c r="Y4964">
        <v>21</v>
      </c>
      <c r="Z4964" t="s">
        <v>59</v>
      </c>
      <c r="AA4964" t="s">
        <v>59</v>
      </c>
      <c r="AB4964" t="s">
        <v>59</v>
      </c>
      <c r="AC4964" t="s">
        <v>59</v>
      </c>
      <c r="AD4964" t="s">
        <v>59</v>
      </c>
      <c r="AF4964" s="1">
        <v>34943</v>
      </c>
      <c r="AG4964" t="s">
        <v>8645</v>
      </c>
      <c r="AH4964" t="s">
        <v>8646</v>
      </c>
      <c r="AI4964" t="str">
        <f>"9170054"</f>
        <v>9170054</v>
      </c>
      <c r="AJ4964" t="s">
        <v>9106</v>
      </c>
      <c r="AK4964">
        <v>2810254527</v>
      </c>
      <c r="AL4964" t="s">
        <v>9107</v>
      </c>
      <c r="AM4964" t="s">
        <v>78</v>
      </c>
      <c r="AN4964" t="s">
        <v>78</v>
      </c>
      <c r="AO4964" t="s">
        <v>78</v>
      </c>
      <c r="AP4964" t="s">
        <v>163</v>
      </c>
      <c r="AQ4964">
        <v>1</v>
      </c>
      <c r="AR4964" t="s">
        <v>80</v>
      </c>
      <c r="AS4964" t="s">
        <v>81</v>
      </c>
      <c r="AT4964" t="s">
        <v>58</v>
      </c>
      <c r="AU4964" t="s">
        <v>68</v>
      </c>
      <c r="AV4964" t="s">
        <v>69</v>
      </c>
      <c r="AW4964" s="1">
        <v>22846</v>
      </c>
      <c r="AX4964">
        <v>1</v>
      </c>
    </row>
    <row r="4965" spans="1:50">
      <c r="A4965">
        <v>703818</v>
      </c>
      <c r="B4965" t="str">
        <f>"110103210"</f>
        <v>110103210</v>
      </c>
      <c r="C4965" t="s">
        <v>50</v>
      </c>
      <c r="D4965" t="s">
        <v>9105</v>
      </c>
      <c r="E4965" t="s">
        <v>314</v>
      </c>
      <c r="F4965" t="s">
        <v>53</v>
      </c>
      <c r="G4965" t="s">
        <v>52</v>
      </c>
      <c r="H4965" t="str">
        <f>"ΠΑΡΘΕΝΙΟΥ ΚΕΛΑΪΔΗ 48 ΗΡΑΚΛΕΙΟ"</f>
        <v>ΠΑΡΘΕΝΙΟΥ ΚΕΛΑΪΔΗ 48 ΗΡΑΚΛΕΙΟ</v>
      </c>
      <c r="I4965">
        <v>71306</v>
      </c>
      <c r="J4965">
        <v>2810327467</v>
      </c>
      <c r="K4965">
        <v>6975161232</v>
      </c>
      <c r="N4965" t="s">
        <v>1525</v>
      </c>
      <c r="O4965" t="s">
        <v>1526</v>
      </c>
      <c r="R4965" t="s">
        <v>57</v>
      </c>
      <c r="S4965">
        <v>4</v>
      </c>
      <c r="T4965">
        <v>224</v>
      </c>
      <c r="U4965" s="1">
        <v>41695</v>
      </c>
      <c r="V4965" t="s">
        <v>80</v>
      </c>
      <c r="W4965" t="s">
        <v>81</v>
      </c>
      <c r="X4965" t="s">
        <v>58</v>
      </c>
      <c r="Y4965">
        <v>25</v>
      </c>
      <c r="Z4965" t="s">
        <v>59</v>
      </c>
      <c r="AA4965" t="s">
        <v>59</v>
      </c>
      <c r="AB4965" t="s">
        <v>59</v>
      </c>
      <c r="AC4965" t="s">
        <v>59</v>
      </c>
      <c r="AD4965" t="s">
        <v>59</v>
      </c>
      <c r="AF4965" s="1">
        <v>41695</v>
      </c>
      <c r="AG4965" t="s">
        <v>8651</v>
      </c>
      <c r="AH4965" t="s">
        <v>8652</v>
      </c>
      <c r="AI4965" t="str">
        <f>"9170349"</f>
        <v>9170349</v>
      </c>
      <c r="AJ4965" t="s">
        <v>9108</v>
      </c>
      <c r="AK4965">
        <v>2810282893</v>
      </c>
      <c r="AL4965" t="s">
        <v>9109</v>
      </c>
      <c r="AM4965" t="s">
        <v>78</v>
      </c>
      <c r="AN4965" t="s">
        <v>78</v>
      </c>
      <c r="AO4965" t="s">
        <v>78</v>
      </c>
      <c r="AP4965" t="s">
        <v>79</v>
      </c>
      <c r="AQ4965">
        <v>1</v>
      </c>
      <c r="AR4965" t="s">
        <v>80</v>
      </c>
      <c r="AS4965" t="s">
        <v>81</v>
      </c>
      <c r="AT4965" t="s">
        <v>58</v>
      </c>
      <c r="AU4965" t="s">
        <v>68</v>
      </c>
      <c r="AV4965" t="s">
        <v>69</v>
      </c>
      <c r="AW4965" s="1">
        <v>25083</v>
      </c>
      <c r="AX4965">
        <v>1</v>
      </c>
    </row>
    <row r="4966" spans="1:50">
      <c r="A4966">
        <v>611860</v>
      </c>
      <c r="B4966" t="str">
        <f>"114267058"</f>
        <v>114267058</v>
      </c>
      <c r="C4966" t="s">
        <v>50</v>
      </c>
      <c r="D4966" t="s">
        <v>739</v>
      </c>
      <c r="E4966" t="s">
        <v>237</v>
      </c>
      <c r="F4966" t="s">
        <v>989</v>
      </c>
      <c r="G4966" t="s">
        <v>52</v>
      </c>
      <c r="H4966" t="str">
        <f>"ΠΑΠΑΓΙΑΝΝΗ ΣΚΟΥΛΑ 75 ΗΡΑΚΛΕΙΟ"</f>
        <v>ΠΑΠΑΓΙΑΝΝΗ ΣΚΟΥΛΑ 75 ΗΡΑΚΛΕΙΟ</v>
      </c>
      <c r="I4966">
        <v>71305</v>
      </c>
      <c r="J4966">
        <v>2815004573</v>
      </c>
      <c r="K4966">
        <v>6977355510</v>
      </c>
      <c r="M4966" t="s">
        <v>9110</v>
      </c>
      <c r="N4966" t="s">
        <v>1525</v>
      </c>
      <c r="O4966" t="s">
        <v>1526</v>
      </c>
      <c r="R4966" t="s">
        <v>57</v>
      </c>
      <c r="S4966">
        <v>6</v>
      </c>
      <c r="T4966" t="s">
        <v>9111</v>
      </c>
      <c r="U4966" s="1">
        <v>38960</v>
      </c>
      <c r="V4966" t="s">
        <v>80</v>
      </c>
      <c r="W4966" t="s">
        <v>81</v>
      </c>
      <c r="X4966" t="s">
        <v>58</v>
      </c>
      <c r="Y4966">
        <v>25</v>
      </c>
      <c r="Z4966" t="s">
        <v>59</v>
      </c>
      <c r="AA4966" t="s">
        <v>59</v>
      </c>
      <c r="AB4966" t="s">
        <v>59</v>
      </c>
      <c r="AC4966" t="s">
        <v>59</v>
      </c>
      <c r="AD4966" t="s">
        <v>59</v>
      </c>
      <c r="AF4966" s="1">
        <v>38961</v>
      </c>
      <c r="AG4966" t="s">
        <v>8651</v>
      </c>
      <c r="AH4966" t="s">
        <v>8652</v>
      </c>
      <c r="AI4966" t="str">
        <f>"9170526"</f>
        <v>9170526</v>
      </c>
      <c r="AJ4966" t="s">
        <v>9112</v>
      </c>
      <c r="AK4966">
        <v>2810251986</v>
      </c>
      <c r="AL4966" t="s">
        <v>9113</v>
      </c>
      <c r="AM4966" t="s">
        <v>78</v>
      </c>
      <c r="AN4966" t="s">
        <v>78</v>
      </c>
      <c r="AO4966" t="s">
        <v>78</v>
      </c>
      <c r="AP4966" t="s">
        <v>141</v>
      </c>
      <c r="AQ4966">
        <v>1</v>
      </c>
      <c r="AR4966" t="s">
        <v>80</v>
      </c>
      <c r="AS4966" t="s">
        <v>81</v>
      </c>
      <c r="AT4966" t="s">
        <v>58</v>
      </c>
      <c r="AU4966" t="s">
        <v>68</v>
      </c>
      <c r="AV4966" t="s">
        <v>69</v>
      </c>
      <c r="AW4966" s="1">
        <v>29307</v>
      </c>
      <c r="AX4966">
        <v>1</v>
      </c>
    </row>
    <row r="4967" spans="1:50">
      <c r="A4967">
        <v>568541</v>
      </c>
      <c r="B4967" t="str">
        <f>"103531380"</f>
        <v>103531380</v>
      </c>
      <c r="C4967" t="s">
        <v>50</v>
      </c>
      <c r="D4967" t="s">
        <v>739</v>
      </c>
      <c r="E4967" t="s">
        <v>250</v>
      </c>
      <c r="F4967" t="s">
        <v>95</v>
      </c>
      <c r="G4967" t="s">
        <v>372</v>
      </c>
      <c r="H4967" t="str">
        <f>"ΜΕΛΙΔΟΝΙΟΥ 16Α ΗΡΑΚΛΕΙΟ"</f>
        <v>ΜΕΛΙΔΟΝΙΟΥ 16Α ΗΡΑΚΛΕΙΟ</v>
      </c>
      <c r="I4967">
        <v>71414</v>
      </c>
      <c r="J4967">
        <v>2810822485</v>
      </c>
      <c r="K4967">
        <v>6980935448</v>
      </c>
      <c r="N4967" t="s">
        <v>615</v>
      </c>
      <c r="O4967" t="s">
        <v>616</v>
      </c>
      <c r="R4967" t="s">
        <v>57</v>
      </c>
      <c r="S4967">
        <v>14</v>
      </c>
      <c r="T4967">
        <v>162</v>
      </c>
      <c r="U4967" s="1">
        <v>33844</v>
      </c>
      <c r="V4967" t="s">
        <v>80</v>
      </c>
      <c r="W4967" t="s">
        <v>81</v>
      </c>
      <c r="X4967" t="s">
        <v>58</v>
      </c>
      <c r="Y4967">
        <v>21</v>
      </c>
      <c r="Z4967" t="s">
        <v>59</v>
      </c>
      <c r="AA4967" t="s">
        <v>59</v>
      </c>
      <c r="AB4967" t="s">
        <v>59</v>
      </c>
      <c r="AC4967" t="s">
        <v>59</v>
      </c>
      <c r="AD4967" t="s">
        <v>59</v>
      </c>
      <c r="AF4967" s="1">
        <v>33848</v>
      </c>
      <c r="AG4967" t="s">
        <v>8645</v>
      </c>
      <c r="AH4967" t="s">
        <v>8646</v>
      </c>
      <c r="AI4967" t="str">
        <f>"9170017"</f>
        <v>9170017</v>
      </c>
      <c r="AJ4967" t="s">
        <v>9114</v>
      </c>
      <c r="AK4967">
        <v>2810250746</v>
      </c>
      <c r="AL4967" t="s">
        <v>9115</v>
      </c>
      <c r="AM4967" t="s">
        <v>78</v>
      </c>
      <c r="AN4967" t="s">
        <v>129</v>
      </c>
      <c r="AO4967" t="s">
        <v>130</v>
      </c>
      <c r="AP4967" t="s">
        <v>130</v>
      </c>
      <c r="AQ4967">
        <v>1</v>
      </c>
      <c r="AR4967" t="s">
        <v>80</v>
      </c>
      <c r="AS4967" t="s">
        <v>81</v>
      </c>
      <c r="AT4967" t="s">
        <v>58</v>
      </c>
      <c r="AU4967" t="s">
        <v>68</v>
      </c>
      <c r="AV4967" t="s">
        <v>69</v>
      </c>
      <c r="AW4967" s="1">
        <v>23878</v>
      </c>
      <c r="AX4967">
        <v>1</v>
      </c>
    </row>
    <row r="4968" spans="1:50">
      <c r="B4968" t="str">
        <f>"151906415"</f>
        <v>151906415</v>
      </c>
      <c r="C4968" t="s">
        <v>50</v>
      </c>
      <c r="D4968" t="s">
        <v>9116</v>
      </c>
      <c r="E4968" t="s">
        <v>83</v>
      </c>
      <c r="F4968" t="s">
        <v>84</v>
      </c>
      <c r="G4968" t="s">
        <v>563</v>
      </c>
      <c r="H4968" t="str">
        <f>" "</f>
        <v xml:space="preserve"> </v>
      </c>
      <c r="N4968" t="s">
        <v>8694</v>
      </c>
      <c r="O4968" t="s">
        <v>8695</v>
      </c>
      <c r="R4968" t="s">
        <v>159</v>
      </c>
      <c r="S4968">
        <v>1</v>
      </c>
      <c r="T4968" t="s">
        <v>8835</v>
      </c>
      <c r="U4968" s="1">
        <v>43348</v>
      </c>
      <c r="V4968" t="s">
        <v>80</v>
      </c>
      <c r="W4968" t="s">
        <v>81</v>
      </c>
      <c r="X4968" t="s">
        <v>58</v>
      </c>
      <c r="Y4968">
        <v>24</v>
      </c>
      <c r="Z4968" t="s">
        <v>59</v>
      </c>
      <c r="AA4968" t="s">
        <v>59</v>
      </c>
      <c r="AB4968" t="s">
        <v>59</v>
      </c>
      <c r="AD4968" t="s">
        <v>59</v>
      </c>
      <c r="AF4968" s="1">
        <v>43348</v>
      </c>
      <c r="AG4968" t="s">
        <v>8645</v>
      </c>
      <c r="AH4968" t="s">
        <v>8646</v>
      </c>
      <c r="AI4968" t="str">
        <f>"9170428"</f>
        <v>9170428</v>
      </c>
      <c r="AJ4968" t="s">
        <v>8983</v>
      </c>
      <c r="AK4968">
        <v>2810234768</v>
      </c>
      <c r="AL4968" t="s">
        <v>8984</v>
      </c>
      <c r="AM4968" t="s">
        <v>78</v>
      </c>
      <c r="AN4968" t="s">
        <v>78</v>
      </c>
      <c r="AO4968" t="s">
        <v>78</v>
      </c>
      <c r="AP4968" t="s">
        <v>79</v>
      </c>
      <c r="AQ4968">
        <v>1</v>
      </c>
      <c r="AR4968" t="s">
        <v>80</v>
      </c>
      <c r="AS4968" t="s">
        <v>81</v>
      </c>
      <c r="AT4968" t="s">
        <v>58</v>
      </c>
      <c r="AU4968" t="s">
        <v>131</v>
      </c>
      <c r="AV4968" t="s">
        <v>132</v>
      </c>
      <c r="AW4968" s="1">
        <v>33415</v>
      </c>
      <c r="AX4968">
        <v>1</v>
      </c>
    </row>
    <row r="4969" spans="1:50">
      <c r="B4969" t="str">
        <f>"137213907"</f>
        <v>137213907</v>
      </c>
      <c r="C4969" t="s">
        <v>50</v>
      </c>
      <c r="D4969" t="s">
        <v>9117</v>
      </c>
      <c r="E4969" t="s">
        <v>52</v>
      </c>
      <c r="F4969" t="s">
        <v>106</v>
      </c>
      <c r="G4969" t="s">
        <v>620</v>
      </c>
      <c r="H4969" t="str">
        <f>"Κρουσσώνας Ηράκλειο"</f>
        <v>Κρουσσώνας Ηράκλειο</v>
      </c>
      <c r="J4969">
        <v>2810711957</v>
      </c>
      <c r="K4969">
        <v>6976360612</v>
      </c>
      <c r="M4969" t="s">
        <v>9118</v>
      </c>
      <c r="N4969" t="s">
        <v>1525</v>
      </c>
      <c r="O4969" t="s">
        <v>1526</v>
      </c>
      <c r="R4969" t="s">
        <v>121</v>
      </c>
      <c r="S4969">
        <v>1</v>
      </c>
      <c r="T4969" t="s">
        <v>8670</v>
      </c>
      <c r="U4969" s="1">
        <v>43348</v>
      </c>
      <c r="V4969" t="s">
        <v>80</v>
      </c>
      <c r="W4969" t="s">
        <v>81</v>
      </c>
      <c r="X4969" t="s">
        <v>58</v>
      </c>
      <c r="Y4969">
        <v>25</v>
      </c>
      <c r="Z4969" t="s">
        <v>59</v>
      </c>
      <c r="AA4969" t="s">
        <v>59</v>
      </c>
      <c r="AB4969" t="s">
        <v>59</v>
      </c>
      <c r="AD4969" t="s">
        <v>59</v>
      </c>
      <c r="AF4969" s="1">
        <v>43348</v>
      </c>
      <c r="AG4969" t="s">
        <v>8651</v>
      </c>
      <c r="AH4969" t="s">
        <v>8652</v>
      </c>
      <c r="AI4969" t="str">
        <f>"9170353"</f>
        <v>9170353</v>
      </c>
      <c r="AJ4969" t="s">
        <v>9119</v>
      </c>
      <c r="AK4969">
        <v>2810861585</v>
      </c>
      <c r="AL4969" t="s">
        <v>9120</v>
      </c>
      <c r="AM4969" t="s">
        <v>78</v>
      </c>
      <c r="AN4969" t="s">
        <v>78</v>
      </c>
      <c r="AO4969" t="s">
        <v>185</v>
      </c>
      <c r="AP4969" t="s">
        <v>8685</v>
      </c>
      <c r="AQ4969">
        <v>4</v>
      </c>
      <c r="AR4969" t="s">
        <v>80</v>
      </c>
      <c r="AS4969" t="s">
        <v>81</v>
      </c>
      <c r="AT4969" t="s">
        <v>58</v>
      </c>
      <c r="AU4969" t="s">
        <v>8673</v>
      </c>
      <c r="AV4969" t="s">
        <v>132</v>
      </c>
      <c r="AW4969" s="1">
        <v>31175</v>
      </c>
      <c r="AX4969">
        <v>1</v>
      </c>
    </row>
    <row r="4970" spans="1:50">
      <c r="B4970" t="str">
        <f>"150800950"</f>
        <v>150800950</v>
      </c>
      <c r="C4970" t="s">
        <v>50</v>
      </c>
      <c r="D4970" t="s">
        <v>5765</v>
      </c>
      <c r="E4970" t="s">
        <v>83</v>
      </c>
      <c r="F4970" t="s">
        <v>84</v>
      </c>
      <c r="G4970" t="s">
        <v>73</v>
      </c>
      <c r="H4970" t="str">
        <f>" "</f>
        <v xml:space="preserve"> </v>
      </c>
      <c r="N4970" t="s">
        <v>8834</v>
      </c>
      <c r="O4970" t="s">
        <v>8695</v>
      </c>
      <c r="R4970" t="s">
        <v>121</v>
      </c>
      <c r="S4970">
        <v>3</v>
      </c>
      <c r="T4970" t="s">
        <v>8835</v>
      </c>
      <c r="U4970" s="1">
        <v>43348</v>
      </c>
      <c r="V4970" t="s">
        <v>80</v>
      </c>
      <c r="W4970" t="s">
        <v>81</v>
      </c>
      <c r="X4970" t="s">
        <v>58</v>
      </c>
      <c r="Y4970">
        <v>24</v>
      </c>
      <c r="Z4970" t="s">
        <v>59</v>
      </c>
      <c r="AA4970" t="s">
        <v>59</v>
      </c>
      <c r="AB4970" t="s">
        <v>59</v>
      </c>
      <c r="AD4970" t="s">
        <v>59</v>
      </c>
      <c r="AF4970" s="1">
        <v>43348</v>
      </c>
      <c r="AG4970" t="s">
        <v>8645</v>
      </c>
      <c r="AH4970" t="s">
        <v>8646</v>
      </c>
      <c r="AI4970" t="str">
        <f>"9170319"</f>
        <v>9170319</v>
      </c>
      <c r="AJ4970" t="s">
        <v>9121</v>
      </c>
      <c r="AK4970">
        <v>2893022231</v>
      </c>
      <c r="AL4970" t="s">
        <v>9122</v>
      </c>
      <c r="AM4970" t="s">
        <v>78</v>
      </c>
      <c r="AN4970" t="s">
        <v>424</v>
      </c>
      <c r="AO4970" t="s">
        <v>577</v>
      </c>
      <c r="AP4970" t="s">
        <v>1668</v>
      </c>
      <c r="AQ4970">
        <v>10</v>
      </c>
      <c r="AR4970" t="s">
        <v>80</v>
      </c>
      <c r="AS4970" t="s">
        <v>81</v>
      </c>
      <c r="AT4970" t="s">
        <v>58</v>
      </c>
      <c r="AU4970" t="s">
        <v>131</v>
      </c>
      <c r="AV4970" t="s">
        <v>132</v>
      </c>
      <c r="AW4970" s="1">
        <v>32038</v>
      </c>
      <c r="AX4970">
        <v>1</v>
      </c>
    </row>
    <row r="4971" spans="1:50">
      <c r="B4971" t="str">
        <f>"150800961"</f>
        <v>150800961</v>
      </c>
      <c r="C4971" t="s">
        <v>105</v>
      </c>
      <c r="D4971" t="s">
        <v>9123</v>
      </c>
      <c r="E4971" t="s">
        <v>95</v>
      </c>
      <c r="F4971" t="s">
        <v>84</v>
      </c>
      <c r="G4971" t="s">
        <v>73</v>
      </c>
      <c r="H4971" t="str">
        <f>" "</f>
        <v xml:space="preserve"> </v>
      </c>
      <c r="K4971">
        <v>6934015597</v>
      </c>
      <c r="N4971" t="s">
        <v>8834</v>
      </c>
      <c r="O4971" t="s">
        <v>8695</v>
      </c>
      <c r="R4971" t="s">
        <v>121</v>
      </c>
      <c r="S4971">
        <v>3</v>
      </c>
      <c r="T4971" t="s">
        <v>8835</v>
      </c>
      <c r="U4971" s="1">
        <v>43348</v>
      </c>
      <c r="V4971" t="s">
        <v>80</v>
      </c>
      <c r="W4971" t="s">
        <v>81</v>
      </c>
      <c r="X4971" t="s">
        <v>58</v>
      </c>
      <c r="Y4971">
        <v>24</v>
      </c>
      <c r="Z4971" t="s">
        <v>59</v>
      </c>
      <c r="AA4971" t="s">
        <v>59</v>
      </c>
      <c r="AB4971" t="s">
        <v>59</v>
      </c>
      <c r="AD4971" t="s">
        <v>59</v>
      </c>
      <c r="AF4971" s="1">
        <v>43348</v>
      </c>
      <c r="AG4971" t="s">
        <v>8645</v>
      </c>
      <c r="AH4971" t="s">
        <v>8646</v>
      </c>
      <c r="AI4971" t="str">
        <f>"9170525"</f>
        <v>9170525</v>
      </c>
      <c r="AJ4971" t="s">
        <v>8853</v>
      </c>
      <c r="AK4971">
        <v>2810256547</v>
      </c>
      <c r="AL4971" t="s">
        <v>8854</v>
      </c>
      <c r="AM4971" t="s">
        <v>78</v>
      </c>
      <c r="AN4971" t="s">
        <v>78</v>
      </c>
      <c r="AO4971" t="s">
        <v>78</v>
      </c>
      <c r="AP4971" t="s">
        <v>141</v>
      </c>
      <c r="AQ4971">
        <v>1</v>
      </c>
      <c r="AR4971" t="s">
        <v>80</v>
      </c>
      <c r="AS4971" t="s">
        <v>81</v>
      </c>
      <c r="AT4971" t="s">
        <v>58</v>
      </c>
      <c r="AU4971" t="s">
        <v>131</v>
      </c>
      <c r="AV4971" t="s">
        <v>132</v>
      </c>
      <c r="AW4971" s="1">
        <v>32509</v>
      </c>
      <c r="AX4971">
        <v>1</v>
      </c>
    </row>
    <row r="4972" spans="1:50">
      <c r="A4972">
        <v>602320</v>
      </c>
      <c r="B4972" t="str">
        <f>"048337088"</f>
        <v>048337088</v>
      </c>
      <c r="C4972" t="s">
        <v>50</v>
      </c>
      <c r="D4972" t="s">
        <v>9124</v>
      </c>
      <c r="E4972" t="s">
        <v>96</v>
      </c>
      <c r="F4972" t="s">
        <v>166</v>
      </c>
      <c r="G4972" t="s">
        <v>112</v>
      </c>
      <c r="H4972" t="str">
        <f>" "</f>
        <v xml:space="preserve"> </v>
      </c>
      <c r="J4972">
        <v>2810252379</v>
      </c>
      <c r="K4972">
        <v>6974380735</v>
      </c>
      <c r="N4972" t="s">
        <v>615</v>
      </c>
      <c r="O4972" t="s">
        <v>616</v>
      </c>
      <c r="R4972" t="s">
        <v>57</v>
      </c>
      <c r="S4972">
        <v>7</v>
      </c>
      <c r="T4972">
        <v>207</v>
      </c>
      <c r="U4972" s="1">
        <v>37866</v>
      </c>
      <c r="V4972" t="s">
        <v>80</v>
      </c>
      <c r="W4972" t="s">
        <v>81</v>
      </c>
      <c r="X4972" t="s">
        <v>58</v>
      </c>
      <c r="Y4972">
        <v>22</v>
      </c>
      <c r="Z4972" t="s">
        <v>59</v>
      </c>
      <c r="AA4972" t="s">
        <v>59</v>
      </c>
      <c r="AB4972" t="s">
        <v>59</v>
      </c>
      <c r="AC4972" t="s">
        <v>59</v>
      </c>
      <c r="AD4972" t="s">
        <v>59</v>
      </c>
      <c r="AF4972" s="1">
        <v>37866</v>
      </c>
      <c r="AG4972" t="s">
        <v>8645</v>
      </c>
      <c r="AH4972" t="s">
        <v>8646</v>
      </c>
      <c r="AI4972" t="str">
        <f>"9170494"</f>
        <v>9170494</v>
      </c>
      <c r="AJ4972" t="s">
        <v>9125</v>
      </c>
      <c r="AK4972">
        <v>2810228361</v>
      </c>
      <c r="AL4972" t="s">
        <v>9126</v>
      </c>
      <c r="AM4972" t="s">
        <v>78</v>
      </c>
      <c r="AN4972" t="s">
        <v>78</v>
      </c>
      <c r="AO4972" t="s">
        <v>78</v>
      </c>
      <c r="AP4972" t="s">
        <v>79</v>
      </c>
      <c r="AQ4972">
        <v>1</v>
      </c>
      <c r="AR4972" t="s">
        <v>80</v>
      </c>
      <c r="AS4972" t="s">
        <v>81</v>
      </c>
      <c r="AT4972" t="s">
        <v>58</v>
      </c>
      <c r="AU4972" t="s">
        <v>68</v>
      </c>
      <c r="AV4972" t="s">
        <v>69</v>
      </c>
      <c r="AW4972" s="1">
        <v>26863</v>
      </c>
      <c r="AX4972">
        <v>1</v>
      </c>
    </row>
    <row r="4973" spans="1:50">
      <c r="A4973">
        <v>618731</v>
      </c>
      <c r="B4973" t="str">
        <f>"054419210"</f>
        <v>054419210</v>
      </c>
      <c r="C4973" t="s">
        <v>50</v>
      </c>
      <c r="D4973" t="s">
        <v>753</v>
      </c>
      <c r="E4973" t="s">
        <v>314</v>
      </c>
      <c r="F4973" t="s">
        <v>106</v>
      </c>
      <c r="G4973" t="s">
        <v>188</v>
      </c>
      <c r="H4973" t="str">
        <f>"ΑΓ. ΛΑΥΡΑΣ 97-99 ΖΩΓΡΑΦΟΥ"</f>
        <v>ΑΓ. ΛΑΥΡΑΣ 97-99 ΖΩΓΡΑΦΟΥ</v>
      </c>
      <c r="I4973">
        <v>15773</v>
      </c>
      <c r="J4973">
        <v>2107781612</v>
      </c>
      <c r="K4973">
        <v>6947005404</v>
      </c>
      <c r="M4973" t="s">
        <v>9127</v>
      </c>
      <c r="N4973" t="s">
        <v>615</v>
      </c>
      <c r="O4973" t="s">
        <v>616</v>
      </c>
      <c r="R4973" t="s">
        <v>57</v>
      </c>
      <c r="S4973">
        <v>10</v>
      </c>
      <c r="T4973">
        <v>774</v>
      </c>
      <c r="U4973" s="1">
        <v>39680</v>
      </c>
      <c r="V4973" t="s">
        <v>80</v>
      </c>
      <c r="W4973" t="s">
        <v>81</v>
      </c>
      <c r="X4973" t="s">
        <v>58</v>
      </c>
      <c r="Y4973">
        <v>23</v>
      </c>
      <c r="Z4973" t="s">
        <v>59</v>
      </c>
      <c r="AA4973" t="s">
        <v>59</v>
      </c>
      <c r="AB4973" t="s">
        <v>59</v>
      </c>
      <c r="AC4973" t="s">
        <v>59</v>
      </c>
      <c r="AD4973" t="s">
        <v>59</v>
      </c>
      <c r="AF4973" s="1">
        <v>39681</v>
      </c>
      <c r="AG4973" t="s">
        <v>8645</v>
      </c>
      <c r="AH4973" t="s">
        <v>8646</v>
      </c>
      <c r="AI4973" t="str">
        <f>"9170091"</f>
        <v>9170091</v>
      </c>
      <c r="AJ4973" t="s">
        <v>8764</v>
      </c>
      <c r="AK4973">
        <v>2810741381</v>
      </c>
      <c r="AL4973" t="s">
        <v>8765</v>
      </c>
      <c r="AM4973" t="s">
        <v>78</v>
      </c>
      <c r="AN4973" t="s">
        <v>424</v>
      </c>
      <c r="AO4973" t="s">
        <v>428</v>
      </c>
      <c r="AP4973" t="s">
        <v>8766</v>
      </c>
      <c r="AQ4973">
        <v>11</v>
      </c>
      <c r="AR4973" t="s">
        <v>80</v>
      </c>
      <c r="AS4973" t="s">
        <v>81</v>
      </c>
      <c r="AT4973" t="s">
        <v>58</v>
      </c>
      <c r="AU4973" t="s">
        <v>68</v>
      </c>
      <c r="AV4973" t="s">
        <v>69</v>
      </c>
      <c r="AW4973" s="1">
        <v>25760</v>
      </c>
      <c r="AX4973">
        <v>1</v>
      </c>
    </row>
    <row r="4974" spans="1:50">
      <c r="A4974">
        <v>614984</v>
      </c>
      <c r="B4974" t="str">
        <f>"038472358"</f>
        <v>038472358</v>
      </c>
      <c r="C4974" t="s">
        <v>50</v>
      </c>
      <c r="D4974" t="s">
        <v>753</v>
      </c>
      <c r="E4974" t="s">
        <v>52</v>
      </c>
      <c r="F4974" t="s">
        <v>106</v>
      </c>
      <c r="G4974" t="s">
        <v>188</v>
      </c>
      <c r="H4974" t="str">
        <f>"ΑΝΩ ΑΡΧΑΝΕΣ ΑΝΩ ΑΡΧΑΝΕΣ"</f>
        <v>ΑΝΩ ΑΡΧΑΝΕΣ ΑΝΩ ΑΡΧΑΝΕΣ</v>
      </c>
      <c r="I4974">
        <v>70100</v>
      </c>
      <c r="J4974">
        <v>2810751819</v>
      </c>
      <c r="K4974">
        <v>6981618250</v>
      </c>
      <c r="M4974" t="s">
        <v>9128</v>
      </c>
      <c r="N4974" t="s">
        <v>615</v>
      </c>
      <c r="O4974" t="s">
        <v>616</v>
      </c>
      <c r="R4974" t="s">
        <v>57</v>
      </c>
      <c r="S4974">
        <v>14</v>
      </c>
      <c r="T4974">
        <v>598</v>
      </c>
      <c r="U4974" s="1">
        <v>39310</v>
      </c>
      <c r="V4974" t="s">
        <v>80</v>
      </c>
      <c r="W4974" t="s">
        <v>81</v>
      </c>
      <c r="X4974" t="s">
        <v>58</v>
      </c>
      <c r="Y4974">
        <v>23</v>
      </c>
      <c r="Z4974" t="s">
        <v>59</v>
      </c>
      <c r="AA4974" t="s">
        <v>59</v>
      </c>
      <c r="AB4974" t="s">
        <v>59</v>
      </c>
      <c r="AC4974" t="s">
        <v>59</v>
      </c>
      <c r="AD4974" t="s">
        <v>59</v>
      </c>
      <c r="AF4974" s="1">
        <v>39328</v>
      </c>
      <c r="AG4974" t="s">
        <v>8645</v>
      </c>
      <c r="AH4974" t="s">
        <v>8646</v>
      </c>
      <c r="AI4974" t="str">
        <f>"9170097"</f>
        <v>9170097</v>
      </c>
      <c r="AJ4974" t="s">
        <v>8826</v>
      </c>
      <c r="AK4974">
        <v>2810751807</v>
      </c>
      <c r="AL4974" t="s">
        <v>8827</v>
      </c>
      <c r="AM4974" t="s">
        <v>78</v>
      </c>
      <c r="AN4974" t="s">
        <v>424</v>
      </c>
      <c r="AO4974" t="s">
        <v>425</v>
      </c>
      <c r="AP4974" t="s">
        <v>425</v>
      </c>
      <c r="AQ4974">
        <v>11</v>
      </c>
      <c r="AR4974" t="s">
        <v>80</v>
      </c>
      <c r="AS4974" t="s">
        <v>81</v>
      </c>
      <c r="AT4974" t="s">
        <v>58</v>
      </c>
      <c r="AU4974" t="s">
        <v>68</v>
      </c>
      <c r="AV4974" t="s">
        <v>69</v>
      </c>
      <c r="AW4974" s="1">
        <v>24575</v>
      </c>
      <c r="AX4974">
        <v>1</v>
      </c>
    </row>
    <row r="4975" spans="1:50">
      <c r="A4975">
        <v>224834</v>
      </c>
      <c r="B4975" t="str">
        <f>"063477917"</f>
        <v>063477917</v>
      </c>
      <c r="C4975" t="s">
        <v>105</v>
      </c>
      <c r="D4975" t="s">
        <v>759</v>
      </c>
      <c r="E4975" t="s">
        <v>95</v>
      </c>
      <c r="F4975" t="s">
        <v>92</v>
      </c>
      <c r="G4975" t="s">
        <v>83</v>
      </c>
      <c r="H4975" t="str">
        <f>" "</f>
        <v xml:space="preserve"> </v>
      </c>
      <c r="J4975">
        <v>2810370353</v>
      </c>
      <c r="K4975">
        <v>6936592868</v>
      </c>
      <c r="N4975" t="s">
        <v>176</v>
      </c>
      <c r="O4975" t="s">
        <v>177</v>
      </c>
      <c r="R4975" t="s">
        <v>57</v>
      </c>
      <c r="S4975">
        <v>7</v>
      </c>
      <c r="T4975">
        <v>775</v>
      </c>
      <c r="U4975" s="1">
        <v>39680</v>
      </c>
      <c r="V4975" t="s">
        <v>80</v>
      </c>
      <c r="W4975" t="s">
        <v>81</v>
      </c>
      <c r="X4975" t="s">
        <v>58</v>
      </c>
      <c r="Y4975">
        <v>22</v>
      </c>
      <c r="Z4975" t="s">
        <v>59</v>
      </c>
      <c r="AA4975" t="s">
        <v>59</v>
      </c>
      <c r="AB4975" t="s">
        <v>59</v>
      </c>
      <c r="AC4975" t="s">
        <v>59</v>
      </c>
      <c r="AD4975" t="s">
        <v>59</v>
      </c>
      <c r="AF4975" s="1">
        <v>39685</v>
      </c>
      <c r="AG4975" t="s">
        <v>8645</v>
      </c>
      <c r="AH4975" t="s">
        <v>8646</v>
      </c>
      <c r="AI4975" t="str">
        <f>"9170018"</f>
        <v>9170018</v>
      </c>
      <c r="AJ4975" t="s">
        <v>8924</v>
      </c>
      <c r="AK4975">
        <v>2810821217</v>
      </c>
      <c r="AL4975" t="s">
        <v>8925</v>
      </c>
      <c r="AM4975" t="s">
        <v>78</v>
      </c>
      <c r="AN4975" t="s">
        <v>129</v>
      </c>
      <c r="AO4975" t="s">
        <v>130</v>
      </c>
      <c r="AP4975" t="s">
        <v>130</v>
      </c>
      <c r="AQ4975">
        <v>1</v>
      </c>
      <c r="AR4975" t="s">
        <v>80</v>
      </c>
      <c r="AS4975" t="s">
        <v>81</v>
      </c>
      <c r="AT4975" t="s">
        <v>58</v>
      </c>
      <c r="AU4975" t="s">
        <v>68</v>
      </c>
      <c r="AV4975" t="s">
        <v>132</v>
      </c>
      <c r="AW4975" s="1">
        <v>27195</v>
      </c>
      <c r="AX4975">
        <v>1</v>
      </c>
    </row>
    <row r="4976" spans="1:50">
      <c r="B4976" t="str">
        <f>"144322419"</f>
        <v>144322419</v>
      </c>
      <c r="C4976" t="s">
        <v>50</v>
      </c>
      <c r="D4976" t="s">
        <v>763</v>
      </c>
      <c r="E4976" t="s">
        <v>54</v>
      </c>
      <c r="F4976" t="s">
        <v>95</v>
      </c>
      <c r="G4976" t="s">
        <v>280</v>
      </c>
      <c r="H4976" t="str">
        <f>"ΘΑΛΗ ΜΙΛΗΣΙΟΥ 10 "</f>
        <v xml:space="preserve">ΘΑΛΗ ΜΙΛΗΣΙΟΥ 10 </v>
      </c>
      <c r="I4976">
        <v>71601</v>
      </c>
      <c r="J4976">
        <v>2810240731</v>
      </c>
      <c r="K4976">
        <v>6972985565</v>
      </c>
      <c r="N4976" t="s">
        <v>615</v>
      </c>
      <c r="O4976" t="s">
        <v>616</v>
      </c>
      <c r="R4976" t="s">
        <v>159</v>
      </c>
      <c r="S4976">
        <v>2</v>
      </c>
      <c r="T4976" t="s">
        <v>8675</v>
      </c>
      <c r="U4976" s="1">
        <v>43348</v>
      </c>
      <c r="V4976" t="s">
        <v>80</v>
      </c>
      <c r="W4976" t="s">
        <v>81</v>
      </c>
      <c r="X4976" t="s">
        <v>58</v>
      </c>
      <c r="Y4976">
        <v>24</v>
      </c>
      <c r="Z4976" t="s">
        <v>59</v>
      </c>
      <c r="AA4976" t="s">
        <v>59</v>
      </c>
      <c r="AB4976" t="s">
        <v>59</v>
      </c>
      <c r="AC4976" t="s">
        <v>59</v>
      </c>
      <c r="AD4976" t="s">
        <v>59</v>
      </c>
      <c r="AF4976" s="1">
        <v>43348</v>
      </c>
      <c r="AG4976" t="s">
        <v>8645</v>
      </c>
      <c r="AH4976" t="s">
        <v>8646</v>
      </c>
      <c r="AI4976" t="str">
        <f>"9170309"</f>
        <v>9170309</v>
      </c>
      <c r="AJ4976" t="s">
        <v>9079</v>
      </c>
      <c r="AK4976">
        <v>2893041265</v>
      </c>
      <c r="AL4976" t="s">
        <v>9080</v>
      </c>
      <c r="AM4976" t="s">
        <v>78</v>
      </c>
      <c r="AN4976" t="s">
        <v>405</v>
      </c>
      <c r="AO4976" t="s">
        <v>405</v>
      </c>
      <c r="AP4976" t="s">
        <v>2895</v>
      </c>
      <c r="AQ4976">
        <v>17</v>
      </c>
      <c r="AR4976" t="s">
        <v>80</v>
      </c>
      <c r="AS4976" t="s">
        <v>81</v>
      </c>
      <c r="AT4976" t="s">
        <v>58</v>
      </c>
      <c r="AU4976" t="s">
        <v>8673</v>
      </c>
      <c r="AV4976" t="s">
        <v>132</v>
      </c>
      <c r="AW4976" s="1">
        <v>32578</v>
      </c>
      <c r="AX4976">
        <v>1</v>
      </c>
    </row>
    <row r="4977" spans="1:50">
      <c r="A4977">
        <v>558578</v>
      </c>
      <c r="B4977" t="str">
        <f>"031744439"</f>
        <v>031744439</v>
      </c>
      <c r="C4977" t="s">
        <v>50</v>
      </c>
      <c r="D4977" t="s">
        <v>9129</v>
      </c>
      <c r="E4977" t="s">
        <v>964</v>
      </c>
      <c r="F4977" t="s">
        <v>9130</v>
      </c>
      <c r="G4977" t="s">
        <v>215</v>
      </c>
      <c r="H4977" t="str">
        <f>"ΙΝΑΤΟΥ 5   ΗΡΑΚΛΕΙΟ"</f>
        <v>ΙΝΑΤΟΥ 5   ΗΡΑΚΛΕΙΟ</v>
      </c>
      <c r="I4977">
        <v>71303</v>
      </c>
      <c r="J4977">
        <v>2810313433</v>
      </c>
      <c r="N4977" t="s">
        <v>615</v>
      </c>
      <c r="O4977" t="s">
        <v>616</v>
      </c>
      <c r="R4977" t="s">
        <v>57</v>
      </c>
      <c r="S4977">
        <v>16</v>
      </c>
      <c r="T4977" t="s">
        <v>9131</v>
      </c>
      <c r="U4977" s="1">
        <v>32010</v>
      </c>
      <c r="V4977" t="s">
        <v>80</v>
      </c>
      <c r="W4977" t="s">
        <v>81</v>
      </c>
      <c r="X4977" t="s">
        <v>58</v>
      </c>
      <c r="Y4977">
        <v>21</v>
      </c>
      <c r="Z4977" t="s">
        <v>59</v>
      </c>
      <c r="AA4977" t="s">
        <v>59</v>
      </c>
      <c r="AB4977" t="s">
        <v>59</v>
      </c>
      <c r="AC4977" t="s">
        <v>59</v>
      </c>
      <c r="AD4977" t="s">
        <v>59</v>
      </c>
      <c r="AF4977" s="1">
        <v>32023</v>
      </c>
      <c r="AG4977" t="s">
        <v>8645</v>
      </c>
      <c r="AH4977" t="s">
        <v>8646</v>
      </c>
      <c r="AI4977" t="str">
        <f>"9170580"</f>
        <v>9170580</v>
      </c>
      <c r="AJ4977" t="s">
        <v>9076</v>
      </c>
      <c r="AK4977">
        <v>2810542809</v>
      </c>
      <c r="AL4977" t="s">
        <v>9077</v>
      </c>
      <c r="AM4977" t="s">
        <v>78</v>
      </c>
      <c r="AN4977" t="s">
        <v>78</v>
      </c>
      <c r="AO4977" t="s">
        <v>78</v>
      </c>
      <c r="AP4977" t="s">
        <v>9053</v>
      </c>
      <c r="AQ4977">
        <v>1</v>
      </c>
      <c r="AR4977" t="s">
        <v>80</v>
      </c>
      <c r="AS4977" t="s">
        <v>81</v>
      </c>
      <c r="AT4977" t="s">
        <v>58</v>
      </c>
      <c r="AU4977" t="s">
        <v>68</v>
      </c>
      <c r="AV4977" t="s">
        <v>69</v>
      </c>
      <c r="AW4977" s="1">
        <v>23712</v>
      </c>
      <c r="AX4977">
        <v>1</v>
      </c>
    </row>
    <row r="4978" spans="1:50">
      <c r="A4978">
        <v>577858</v>
      </c>
      <c r="B4978" t="str">
        <f>"062969637"</f>
        <v>062969637</v>
      </c>
      <c r="C4978" t="s">
        <v>50</v>
      </c>
      <c r="D4978" t="s">
        <v>771</v>
      </c>
      <c r="E4978" t="s">
        <v>263</v>
      </c>
      <c r="F4978" t="s">
        <v>84</v>
      </c>
      <c r="G4978" t="s">
        <v>237</v>
      </c>
      <c r="H4978" t="str">
        <f>"ΚΑΒΡΟΧΩΡΙ ΓΑΖΙΟΥ ΓΑΖΙ"</f>
        <v>ΚΑΒΡΟΧΩΡΙ ΓΑΖΙΟΥ ΓΑΖΙ</v>
      </c>
      <c r="I4978">
        <v>71414</v>
      </c>
      <c r="J4978">
        <v>2810822794</v>
      </c>
      <c r="K4978">
        <v>6976822207</v>
      </c>
      <c r="M4978" t="s">
        <v>9132</v>
      </c>
      <c r="N4978" t="s">
        <v>615</v>
      </c>
      <c r="O4978" t="s">
        <v>616</v>
      </c>
      <c r="R4978" t="s">
        <v>57</v>
      </c>
      <c r="S4978">
        <v>13</v>
      </c>
      <c r="T4978">
        <v>165</v>
      </c>
      <c r="U4978" s="1">
        <v>35300</v>
      </c>
      <c r="V4978" t="s">
        <v>80</v>
      </c>
      <c r="W4978" t="s">
        <v>81</v>
      </c>
      <c r="X4978" t="s">
        <v>58</v>
      </c>
      <c r="Y4978">
        <v>21</v>
      </c>
      <c r="Z4978" t="s">
        <v>59</v>
      </c>
      <c r="AA4978" t="s">
        <v>59</v>
      </c>
      <c r="AB4978" t="s">
        <v>59</v>
      </c>
      <c r="AC4978" t="s">
        <v>59</v>
      </c>
      <c r="AD4978" t="s">
        <v>59</v>
      </c>
      <c r="AF4978" s="1">
        <v>35310</v>
      </c>
      <c r="AG4978" t="s">
        <v>8645</v>
      </c>
      <c r="AH4978" t="s">
        <v>8646</v>
      </c>
      <c r="AI4978" t="str">
        <f>"9170362"</f>
        <v>9170362</v>
      </c>
      <c r="AJ4978" t="s">
        <v>8681</v>
      </c>
      <c r="AK4978">
        <v>2810255261</v>
      </c>
      <c r="AL4978" t="s">
        <v>8682</v>
      </c>
      <c r="AM4978" t="s">
        <v>78</v>
      </c>
      <c r="AN4978" t="s">
        <v>78</v>
      </c>
      <c r="AO4978" t="s">
        <v>78</v>
      </c>
      <c r="AP4978" t="s">
        <v>141</v>
      </c>
      <c r="AQ4978">
        <v>1</v>
      </c>
      <c r="AR4978" t="s">
        <v>80</v>
      </c>
      <c r="AS4978" t="s">
        <v>81</v>
      </c>
      <c r="AT4978" t="s">
        <v>58</v>
      </c>
      <c r="AU4978" t="s">
        <v>68</v>
      </c>
      <c r="AV4978" t="s">
        <v>69</v>
      </c>
      <c r="AW4978" s="1">
        <v>24295</v>
      </c>
      <c r="AX4978">
        <v>1</v>
      </c>
    </row>
    <row r="4979" spans="1:50">
      <c r="A4979">
        <v>589732</v>
      </c>
      <c r="B4979" t="str">
        <f>"038647220"</f>
        <v>038647220</v>
      </c>
      <c r="C4979" t="s">
        <v>50</v>
      </c>
      <c r="D4979" t="s">
        <v>9133</v>
      </c>
      <c r="E4979" t="s">
        <v>620</v>
      </c>
      <c r="F4979" t="s">
        <v>84</v>
      </c>
      <c r="G4979" t="s">
        <v>314</v>
      </c>
      <c r="H4979" t="str">
        <f>"ΖΩΤΙΚΟΥ 3 ΗΡΑΚΛΕΙΟ"</f>
        <v>ΖΩΤΙΚΟΥ 3 ΗΡΑΚΛΕΙΟ</v>
      </c>
      <c r="I4979">
        <v>71410</v>
      </c>
      <c r="J4979">
        <v>2810251249</v>
      </c>
      <c r="K4979">
        <v>6942052457</v>
      </c>
      <c r="N4979" t="s">
        <v>1525</v>
      </c>
      <c r="O4979" t="s">
        <v>1526</v>
      </c>
      <c r="R4979" t="s">
        <v>57</v>
      </c>
      <c r="S4979">
        <v>12</v>
      </c>
      <c r="T4979">
        <v>176</v>
      </c>
      <c r="U4979" s="1">
        <v>36403</v>
      </c>
      <c r="V4979" t="s">
        <v>80</v>
      </c>
      <c r="W4979" t="s">
        <v>81</v>
      </c>
      <c r="X4979" t="s">
        <v>58</v>
      </c>
      <c r="Y4979">
        <v>25</v>
      </c>
      <c r="Z4979" t="s">
        <v>59</v>
      </c>
      <c r="AA4979" t="s">
        <v>59</v>
      </c>
      <c r="AB4979" t="s">
        <v>59</v>
      </c>
      <c r="AC4979" t="s">
        <v>59</v>
      </c>
      <c r="AD4979" t="s">
        <v>59</v>
      </c>
      <c r="AF4979" s="1">
        <v>36406</v>
      </c>
      <c r="AG4979" t="s">
        <v>8651</v>
      </c>
      <c r="AH4979" t="s">
        <v>8652</v>
      </c>
      <c r="AI4979" t="str">
        <f>"9170412"</f>
        <v>9170412</v>
      </c>
      <c r="AJ4979" t="s">
        <v>9134</v>
      </c>
      <c r="AK4979">
        <v>2810721466</v>
      </c>
      <c r="AL4979" t="s">
        <v>9135</v>
      </c>
      <c r="AM4979" t="s">
        <v>78</v>
      </c>
      <c r="AN4979" t="s">
        <v>78</v>
      </c>
      <c r="AO4979" t="s">
        <v>78</v>
      </c>
      <c r="AP4979" t="s">
        <v>8913</v>
      </c>
      <c r="AQ4979">
        <v>1</v>
      </c>
      <c r="AR4979" t="s">
        <v>80</v>
      </c>
      <c r="AS4979" t="s">
        <v>81</v>
      </c>
      <c r="AT4979" t="s">
        <v>58</v>
      </c>
      <c r="AU4979" t="s">
        <v>68</v>
      </c>
      <c r="AV4979" t="s">
        <v>69</v>
      </c>
      <c r="AW4979" s="1">
        <v>23979</v>
      </c>
      <c r="AX4979">
        <v>1</v>
      </c>
    </row>
    <row r="4980" spans="1:50">
      <c r="B4980" t="str">
        <f>"138999356"</f>
        <v>138999356</v>
      </c>
      <c r="C4980" t="s">
        <v>50</v>
      </c>
      <c r="D4980" t="s">
        <v>779</v>
      </c>
      <c r="E4980" t="s">
        <v>263</v>
      </c>
      <c r="F4980" t="s">
        <v>760</v>
      </c>
      <c r="G4980" t="s">
        <v>52</v>
      </c>
      <c r="H4980" t="str">
        <f>" "</f>
        <v xml:space="preserve"> </v>
      </c>
      <c r="N4980" t="s">
        <v>384</v>
      </c>
      <c r="O4980" t="s">
        <v>385</v>
      </c>
      <c r="R4980" t="s">
        <v>121</v>
      </c>
      <c r="S4980">
        <v>1</v>
      </c>
      <c r="T4980" t="s">
        <v>8675</v>
      </c>
      <c r="U4980" s="1">
        <v>43348</v>
      </c>
      <c r="V4980" t="s">
        <v>80</v>
      </c>
      <c r="W4980" t="s">
        <v>81</v>
      </c>
      <c r="X4980" t="s">
        <v>58</v>
      </c>
      <c r="Y4980">
        <v>24</v>
      </c>
      <c r="Z4980" t="s">
        <v>59</v>
      </c>
      <c r="AA4980" t="s">
        <v>59</v>
      </c>
      <c r="AB4980" t="s">
        <v>59</v>
      </c>
      <c r="AC4980" t="s">
        <v>59</v>
      </c>
      <c r="AD4980" t="s">
        <v>59</v>
      </c>
      <c r="AF4980" s="1">
        <v>43348</v>
      </c>
      <c r="AG4980" t="s">
        <v>8645</v>
      </c>
      <c r="AH4980" t="s">
        <v>8646</v>
      </c>
      <c r="AI4980" t="str">
        <f>"9170546"</f>
        <v>9170546</v>
      </c>
      <c r="AJ4980" t="s">
        <v>8953</v>
      </c>
      <c r="AK4980">
        <v>2810261362</v>
      </c>
      <c r="AL4980" t="s">
        <v>8954</v>
      </c>
      <c r="AM4980" t="s">
        <v>78</v>
      </c>
      <c r="AN4980" t="s">
        <v>78</v>
      </c>
      <c r="AO4980" t="s">
        <v>78</v>
      </c>
      <c r="AP4980" t="s">
        <v>141</v>
      </c>
      <c r="AQ4980">
        <v>1</v>
      </c>
      <c r="AR4980" t="s">
        <v>80</v>
      </c>
      <c r="AS4980" t="s">
        <v>81</v>
      </c>
      <c r="AT4980" t="s">
        <v>58</v>
      </c>
      <c r="AU4980" t="s">
        <v>8673</v>
      </c>
      <c r="AV4980" t="s">
        <v>132</v>
      </c>
      <c r="AW4980" s="1">
        <v>32143</v>
      </c>
      <c r="AX4980">
        <v>1</v>
      </c>
    </row>
    <row r="4981" spans="1:50">
      <c r="A4981">
        <v>564175</v>
      </c>
      <c r="B4981" t="str">
        <f>"037794792"</f>
        <v>037794792</v>
      </c>
      <c r="C4981" t="s">
        <v>50</v>
      </c>
      <c r="D4981" t="s">
        <v>779</v>
      </c>
      <c r="E4981" t="s">
        <v>263</v>
      </c>
      <c r="F4981" t="s">
        <v>2337</v>
      </c>
      <c r="G4981" t="s">
        <v>73</v>
      </c>
      <c r="H4981" t="str">
        <f>"ΚΑΜΠΟΣ ΑΓ. ΣΥΛΛΑ 111 ΗΡΑΚΛΕΙΟ"</f>
        <v>ΚΑΜΠΟΣ ΑΓ. ΣΥΛΛΑ 111 ΗΡΑΚΛΕΙΟ</v>
      </c>
      <c r="I4981">
        <v>71500</v>
      </c>
      <c r="J4981">
        <v>2810881113</v>
      </c>
      <c r="K4981">
        <v>6944578681</v>
      </c>
      <c r="M4981" t="s">
        <v>9136</v>
      </c>
      <c r="N4981" t="s">
        <v>615</v>
      </c>
      <c r="O4981" t="s">
        <v>616</v>
      </c>
      <c r="R4981" t="s">
        <v>57</v>
      </c>
      <c r="S4981">
        <v>14</v>
      </c>
      <c r="T4981">
        <v>161</v>
      </c>
      <c r="U4981" s="1">
        <v>33119</v>
      </c>
      <c r="V4981" t="s">
        <v>80</v>
      </c>
      <c r="W4981" t="s">
        <v>81</v>
      </c>
      <c r="X4981" t="s">
        <v>58</v>
      </c>
      <c r="Y4981">
        <v>21</v>
      </c>
      <c r="Z4981" t="s">
        <v>59</v>
      </c>
      <c r="AA4981" t="s">
        <v>59</v>
      </c>
      <c r="AB4981" t="s">
        <v>59</v>
      </c>
      <c r="AC4981" t="s">
        <v>59</v>
      </c>
      <c r="AD4981" t="s">
        <v>59</v>
      </c>
      <c r="AF4981" s="1">
        <v>33121</v>
      </c>
      <c r="AG4981" t="s">
        <v>8645</v>
      </c>
      <c r="AH4981" t="s">
        <v>8646</v>
      </c>
      <c r="AI4981" t="str">
        <f>"9170056"</f>
        <v>9170056</v>
      </c>
      <c r="AJ4981" t="s">
        <v>9137</v>
      </c>
      <c r="AK4981">
        <v>2810253392</v>
      </c>
      <c r="AL4981" t="s">
        <v>9138</v>
      </c>
      <c r="AM4981" t="s">
        <v>78</v>
      </c>
      <c r="AN4981" t="s">
        <v>78</v>
      </c>
      <c r="AO4981" t="s">
        <v>78</v>
      </c>
      <c r="AP4981" t="s">
        <v>141</v>
      </c>
      <c r="AQ4981">
        <v>1</v>
      </c>
      <c r="AR4981" t="s">
        <v>80</v>
      </c>
      <c r="AS4981" t="s">
        <v>81</v>
      </c>
      <c r="AT4981" t="s">
        <v>58</v>
      </c>
      <c r="AU4981" t="s">
        <v>68</v>
      </c>
      <c r="AV4981" t="s">
        <v>69</v>
      </c>
      <c r="AW4981" s="1">
        <v>24181</v>
      </c>
      <c r="AX4981">
        <v>1</v>
      </c>
    </row>
    <row r="4982" spans="1:50">
      <c r="A4982">
        <v>587879</v>
      </c>
      <c r="B4982" t="str">
        <f>"057793461"</f>
        <v>057793461</v>
      </c>
      <c r="C4982" t="s">
        <v>50</v>
      </c>
      <c r="D4982" t="s">
        <v>779</v>
      </c>
      <c r="E4982" t="s">
        <v>2370</v>
      </c>
      <c r="F4982" t="s">
        <v>108</v>
      </c>
      <c r="G4982" t="s">
        <v>460</v>
      </c>
      <c r="H4982" t="str">
        <f>"ΠΙΕΡΙΑΣ 8 ΗΡΑΚΛΕΙΟ"</f>
        <v>ΠΙΕΡΙΑΣ 8 ΗΡΑΚΛΕΙΟ</v>
      </c>
      <c r="I4982">
        <v>71307</v>
      </c>
      <c r="J4982">
        <v>2810319096</v>
      </c>
      <c r="K4982">
        <v>6946300083</v>
      </c>
      <c r="M4982" t="s">
        <v>9139</v>
      </c>
      <c r="N4982" t="s">
        <v>615</v>
      </c>
      <c r="O4982" t="s">
        <v>616</v>
      </c>
      <c r="R4982" t="s">
        <v>57</v>
      </c>
      <c r="S4982">
        <v>11</v>
      </c>
      <c r="T4982">
        <v>250</v>
      </c>
      <c r="U4982" s="1">
        <v>36160</v>
      </c>
      <c r="V4982" t="s">
        <v>80</v>
      </c>
      <c r="W4982" t="s">
        <v>81</v>
      </c>
      <c r="X4982" t="s">
        <v>58</v>
      </c>
      <c r="Y4982">
        <v>21</v>
      </c>
      <c r="Z4982" t="s">
        <v>59</v>
      </c>
      <c r="AA4982" t="s">
        <v>59</v>
      </c>
      <c r="AB4982" t="s">
        <v>59</v>
      </c>
      <c r="AC4982" t="s">
        <v>59</v>
      </c>
      <c r="AD4982" t="s">
        <v>59</v>
      </c>
      <c r="AF4982" s="1">
        <v>36171</v>
      </c>
      <c r="AG4982" t="s">
        <v>8645</v>
      </c>
      <c r="AH4982" t="s">
        <v>8646</v>
      </c>
      <c r="AI4982" t="str">
        <f>"9170515"</f>
        <v>9170515</v>
      </c>
      <c r="AJ4982" t="s">
        <v>8790</v>
      </c>
      <c r="AK4982">
        <v>2810254821</v>
      </c>
      <c r="AL4982" t="s">
        <v>8791</v>
      </c>
      <c r="AM4982" t="s">
        <v>78</v>
      </c>
      <c r="AN4982" t="s">
        <v>78</v>
      </c>
      <c r="AO4982" t="s">
        <v>78</v>
      </c>
      <c r="AP4982" t="s">
        <v>163</v>
      </c>
      <c r="AQ4982">
        <v>1</v>
      </c>
      <c r="AR4982" t="s">
        <v>80</v>
      </c>
      <c r="AS4982" t="s">
        <v>81</v>
      </c>
      <c r="AT4982" t="s">
        <v>58</v>
      </c>
      <c r="AU4982" t="s">
        <v>68</v>
      </c>
      <c r="AV4982" t="s">
        <v>69</v>
      </c>
      <c r="AW4982" s="1">
        <v>25897</v>
      </c>
      <c r="AX4982">
        <v>1</v>
      </c>
    </row>
    <row r="4983" spans="1:50">
      <c r="A4983">
        <v>579446</v>
      </c>
      <c r="B4983" t="str">
        <f>"039657326"</f>
        <v>039657326</v>
      </c>
      <c r="C4983" t="s">
        <v>50</v>
      </c>
      <c r="D4983" t="s">
        <v>9140</v>
      </c>
      <c r="E4983" t="s">
        <v>255</v>
      </c>
      <c r="F4983" t="s">
        <v>53</v>
      </c>
      <c r="G4983" t="s">
        <v>52</v>
      </c>
      <c r="H4983" t="str">
        <f>"ΧΡΥΣΟΣΤΟΜΟΥ 67 ΗΡΑΚΛΕΙΟ"</f>
        <v>ΧΡΥΣΟΣΤΟΜΟΥ 67 ΗΡΑΚΛΕΙΟ</v>
      </c>
      <c r="I4983">
        <v>71306</v>
      </c>
      <c r="J4983">
        <v>2810232848</v>
      </c>
      <c r="K4983">
        <v>6976643108</v>
      </c>
      <c r="N4983" t="s">
        <v>615</v>
      </c>
      <c r="O4983" t="s">
        <v>616</v>
      </c>
      <c r="R4983" t="s">
        <v>57</v>
      </c>
      <c r="S4983">
        <v>13</v>
      </c>
      <c r="T4983">
        <v>165</v>
      </c>
      <c r="U4983" s="1">
        <v>35300</v>
      </c>
      <c r="V4983" t="s">
        <v>80</v>
      </c>
      <c r="W4983" t="s">
        <v>81</v>
      </c>
      <c r="X4983" t="s">
        <v>58</v>
      </c>
      <c r="Y4983">
        <v>21</v>
      </c>
      <c r="Z4983" t="s">
        <v>59</v>
      </c>
      <c r="AA4983" t="s">
        <v>59</v>
      </c>
      <c r="AB4983" t="s">
        <v>59</v>
      </c>
      <c r="AC4983" t="s">
        <v>59</v>
      </c>
      <c r="AD4983" t="s">
        <v>59</v>
      </c>
      <c r="AF4983" s="1">
        <v>35310</v>
      </c>
      <c r="AG4983" t="s">
        <v>8645</v>
      </c>
      <c r="AH4983" t="s">
        <v>8646</v>
      </c>
      <c r="AI4983" t="str">
        <f>"9170343"</f>
        <v>9170343</v>
      </c>
      <c r="AJ4983" t="s">
        <v>8743</v>
      </c>
      <c r="AK4983">
        <v>2810283970</v>
      </c>
      <c r="AL4983" t="s">
        <v>8744</v>
      </c>
      <c r="AM4983" t="s">
        <v>78</v>
      </c>
      <c r="AN4983" t="s">
        <v>78</v>
      </c>
      <c r="AO4983" t="s">
        <v>78</v>
      </c>
      <c r="AP4983" t="s">
        <v>79</v>
      </c>
      <c r="AQ4983">
        <v>1</v>
      </c>
      <c r="AR4983" t="s">
        <v>80</v>
      </c>
      <c r="AS4983" t="s">
        <v>81</v>
      </c>
      <c r="AT4983" t="s">
        <v>58</v>
      </c>
      <c r="AU4983" t="s">
        <v>68</v>
      </c>
      <c r="AV4983" t="s">
        <v>69</v>
      </c>
      <c r="AW4983" s="1">
        <v>24678</v>
      </c>
      <c r="AX4983">
        <v>1</v>
      </c>
    </row>
    <row r="4984" spans="1:50">
      <c r="B4984" t="str">
        <f>"140207807"</f>
        <v>140207807</v>
      </c>
      <c r="C4984" t="s">
        <v>50</v>
      </c>
      <c r="D4984" t="s">
        <v>9140</v>
      </c>
      <c r="E4984" t="s">
        <v>52</v>
      </c>
      <c r="F4984" t="s">
        <v>166</v>
      </c>
      <c r="G4984" t="s">
        <v>964</v>
      </c>
      <c r="H4984" t="str">
        <f>"ΠΟΛΥΤΕΧΝΕΙΟΥ 15 ΒΑΣΙΛΕΙΕΣ ΗΡΑΚΛΕΙΟΥ"</f>
        <v>ΠΟΛΥΤΕΧΝΕΙΟΥ 15 ΒΑΣΙΛΕΙΕΣ ΗΡΑΚΛΕΙΟΥ</v>
      </c>
      <c r="I4984">
        <v>71500</v>
      </c>
      <c r="J4984">
        <v>2810881164</v>
      </c>
      <c r="K4984">
        <v>6973745714</v>
      </c>
      <c r="N4984" t="s">
        <v>615</v>
      </c>
      <c r="O4984" t="s">
        <v>616</v>
      </c>
      <c r="R4984" t="s">
        <v>159</v>
      </c>
      <c r="S4984">
        <v>3</v>
      </c>
      <c r="T4984" t="s">
        <v>8675</v>
      </c>
      <c r="U4984" s="1">
        <v>43348</v>
      </c>
      <c r="V4984" t="s">
        <v>80</v>
      </c>
      <c r="W4984" t="s">
        <v>81</v>
      </c>
      <c r="X4984" t="s">
        <v>58</v>
      </c>
      <c r="Y4984">
        <v>24</v>
      </c>
      <c r="Z4984" t="s">
        <v>59</v>
      </c>
      <c r="AA4984" t="s">
        <v>59</v>
      </c>
      <c r="AB4984" t="s">
        <v>59</v>
      </c>
      <c r="AC4984" t="s">
        <v>59</v>
      </c>
      <c r="AD4984" t="s">
        <v>59</v>
      </c>
      <c r="AF4984" s="1">
        <v>43348</v>
      </c>
      <c r="AG4984" t="s">
        <v>8645</v>
      </c>
      <c r="AH4984" t="s">
        <v>8646</v>
      </c>
      <c r="AI4984" t="str">
        <f>"9170427"</f>
        <v>9170427</v>
      </c>
      <c r="AJ4984" t="s">
        <v>8817</v>
      </c>
      <c r="AK4984">
        <v>2810220998</v>
      </c>
      <c r="AL4984" t="s">
        <v>8818</v>
      </c>
      <c r="AM4984" t="s">
        <v>78</v>
      </c>
      <c r="AN4984" t="s">
        <v>78</v>
      </c>
      <c r="AO4984" t="s">
        <v>286</v>
      </c>
      <c r="AP4984" t="s">
        <v>286</v>
      </c>
      <c r="AQ4984">
        <v>1</v>
      </c>
      <c r="AR4984" t="s">
        <v>80</v>
      </c>
      <c r="AS4984" t="s">
        <v>81</v>
      </c>
      <c r="AT4984" t="s">
        <v>58</v>
      </c>
      <c r="AU4984" t="s">
        <v>8673</v>
      </c>
      <c r="AV4984" t="s">
        <v>132</v>
      </c>
      <c r="AW4984" s="1">
        <v>30554</v>
      </c>
      <c r="AX4984">
        <v>1</v>
      </c>
    </row>
    <row r="4985" spans="1:50">
      <c r="B4985" t="str">
        <f>"067177592"</f>
        <v>067177592</v>
      </c>
      <c r="C4985" t="s">
        <v>105</v>
      </c>
      <c r="D4985" t="s">
        <v>9141</v>
      </c>
      <c r="E4985" t="s">
        <v>72</v>
      </c>
      <c r="F4985" t="s">
        <v>95</v>
      </c>
      <c r="G4985" t="s">
        <v>250</v>
      </c>
      <c r="H4985" t="str">
        <f>"ΠΑΡΜΕΝΙΩΝΟΣ 2 ΕΔΕΣΣΑ"</f>
        <v>ΠΑΡΜΕΝΙΩΝΟΣ 2 ΕΔΕΣΣΑ</v>
      </c>
      <c r="I4985">
        <v>58200</v>
      </c>
      <c r="J4985">
        <v>2381027350</v>
      </c>
      <c r="K4985">
        <v>6944418511</v>
      </c>
      <c r="N4985" t="s">
        <v>615</v>
      </c>
      <c r="O4985" t="s">
        <v>616</v>
      </c>
      <c r="R4985" t="s">
        <v>159</v>
      </c>
      <c r="S4985">
        <v>3</v>
      </c>
      <c r="T4985" t="s">
        <v>8675</v>
      </c>
      <c r="U4985" s="1">
        <v>43348</v>
      </c>
      <c r="V4985" t="s">
        <v>80</v>
      </c>
      <c r="W4985" t="s">
        <v>81</v>
      </c>
      <c r="X4985" t="s">
        <v>58</v>
      </c>
      <c r="Y4985">
        <v>24</v>
      </c>
      <c r="Z4985" t="s">
        <v>59</v>
      </c>
      <c r="AA4985" t="s">
        <v>59</v>
      </c>
      <c r="AB4985" t="s">
        <v>59</v>
      </c>
      <c r="AC4985" t="s">
        <v>59</v>
      </c>
      <c r="AD4985" t="s">
        <v>59</v>
      </c>
      <c r="AF4985" s="1">
        <v>43348</v>
      </c>
      <c r="AG4985" t="s">
        <v>8645</v>
      </c>
      <c r="AH4985" t="s">
        <v>8646</v>
      </c>
      <c r="AI4985" t="str">
        <f>"9170426"</f>
        <v>9170426</v>
      </c>
      <c r="AJ4985" t="s">
        <v>9142</v>
      </c>
      <c r="AK4985">
        <v>2810222289</v>
      </c>
      <c r="AL4985" t="s">
        <v>9143</v>
      </c>
      <c r="AM4985" t="s">
        <v>78</v>
      </c>
      <c r="AN4985" t="s">
        <v>78</v>
      </c>
      <c r="AO4985" t="s">
        <v>78</v>
      </c>
      <c r="AP4985" t="s">
        <v>213</v>
      </c>
      <c r="AQ4985">
        <v>1</v>
      </c>
      <c r="AR4985" t="s">
        <v>80</v>
      </c>
      <c r="AS4985" t="s">
        <v>81</v>
      </c>
      <c r="AT4985" t="s">
        <v>58</v>
      </c>
      <c r="AU4985" t="s">
        <v>8673</v>
      </c>
      <c r="AV4985" t="s">
        <v>132</v>
      </c>
      <c r="AW4985" s="1">
        <v>27080</v>
      </c>
      <c r="AX4985">
        <v>1</v>
      </c>
    </row>
    <row r="4986" spans="1:50">
      <c r="B4986" t="str">
        <f>"139649803"</f>
        <v>139649803</v>
      </c>
      <c r="C4986" t="s">
        <v>105</v>
      </c>
      <c r="D4986" t="s">
        <v>9144</v>
      </c>
      <c r="E4986" t="s">
        <v>581</v>
      </c>
      <c r="F4986" t="s">
        <v>900</v>
      </c>
      <c r="G4986" t="s">
        <v>563</v>
      </c>
      <c r="H4986" t="str">
        <f>" "</f>
        <v xml:space="preserve"> </v>
      </c>
      <c r="N4986" t="s">
        <v>683</v>
      </c>
      <c r="O4986" t="s">
        <v>684</v>
      </c>
      <c r="R4986" t="s">
        <v>121</v>
      </c>
      <c r="S4986">
        <v>1</v>
      </c>
      <c r="T4986" t="s">
        <v>8675</v>
      </c>
      <c r="U4986" s="1">
        <v>43348</v>
      </c>
      <c r="V4986" t="s">
        <v>80</v>
      </c>
      <c r="W4986" t="s">
        <v>81</v>
      </c>
      <c r="X4986" t="s">
        <v>58</v>
      </c>
      <c r="Y4986">
        <v>24</v>
      </c>
      <c r="Z4986" t="s">
        <v>59</v>
      </c>
      <c r="AA4986" t="s">
        <v>59</v>
      </c>
      <c r="AB4986" t="s">
        <v>59</v>
      </c>
      <c r="AD4986" t="s">
        <v>59</v>
      </c>
      <c r="AF4986" s="1">
        <v>43348</v>
      </c>
      <c r="AG4986" t="s">
        <v>8645</v>
      </c>
      <c r="AH4986" t="s">
        <v>8646</v>
      </c>
      <c r="AI4986" t="str">
        <f>"9170017"</f>
        <v>9170017</v>
      </c>
      <c r="AJ4986" t="s">
        <v>9114</v>
      </c>
      <c r="AK4986">
        <v>2810250746</v>
      </c>
      <c r="AL4986" t="s">
        <v>9115</v>
      </c>
      <c r="AM4986" t="s">
        <v>78</v>
      </c>
      <c r="AN4986" t="s">
        <v>129</v>
      </c>
      <c r="AO4986" t="s">
        <v>130</v>
      </c>
      <c r="AP4986" t="s">
        <v>130</v>
      </c>
      <c r="AQ4986">
        <v>1</v>
      </c>
      <c r="AR4986" t="s">
        <v>80</v>
      </c>
      <c r="AS4986" t="s">
        <v>81</v>
      </c>
      <c r="AT4986" t="s">
        <v>58</v>
      </c>
      <c r="AU4986" t="s">
        <v>8673</v>
      </c>
      <c r="AV4986" t="s">
        <v>132</v>
      </c>
      <c r="AW4986" s="1">
        <v>30675</v>
      </c>
      <c r="AX4986">
        <v>1</v>
      </c>
    </row>
    <row r="4987" spans="1:50">
      <c r="B4987" t="str">
        <f>"128092959"</f>
        <v>128092959</v>
      </c>
      <c r="C4987" t="s">
        <v>50</v>
      </c>
      <c r="D4987" t="s">
        <v>9145</v>
      </c>
      <c r="E4987" t="s">
        <v>9146</v>
      </c>
      <c r="F4987" t="s">
        <v>99</v>
      </c>
      <c r="G4987" t="s">
        <v>52</v>
      </c>
      <c r="H4987" t="str">
        <f>"ΑΝΑΞΙΜΑΝΔΡΟΥ 90 ΧΑΡΙΛΑΟΥ"</f>
        <v>ΑΝΑΞΙΜΑΝΔΡΟΥ 90 ΧΑΡΙΛΑΟΥ</v>
      </c>
      <c r="I4987">
        <v>54250</v>
      </c>
      <c r="J4987">
        <v>2310315057</v>
      </c>
      <c r="K4987">
        <v>6978337315</v>
      </c>
      <c r="M4987" t="s">
        <v>9147</v>
      </c>
      <c r="N4987" t="s">
        <v>1525</v>
      </c>
      <c r="O4987" t="s">
        <v>1526</v>
      </c>
      <c r="R4987" t="s">
        <v>159</v>
      </c>
      <c r="S4987">
        <v>3</v>
      </c>
      <c r="T4987" t="s">
        <v>8670</v>
      </c>
      <c r="U4987" s="1">
        <v>43348</v>
      </c>
      <c r="V4987" t="s">
        <v>80</v>
      </c>
      <c r="W4987" t="s">
        <v>81</v>
      </c>
      <c r="X4987" t="s">
        <v>58</v>
      </c>
      <c r="Y4987">
        <v>25</v>
      </c>
      <c r="Z4987" t="s">
        <v>59</v>
      </c>
      <c r="AA4987" t="s">
        <v>59</v>
      </c>
      <c r="AB4987" t="s">
        <v>59</v>
      </c>
      <c r="AC4987" t="s">
        <v>59</v>
      </c>
      <c r="AD4987" t="s">
        <v>59</v>
      </c>
      <c r="AF4987" s="1">
        <v>43348</v>
      </c>
      <c r="AG4987" t="s">
        <v>8651</v>
      </c>
      <c r="AH4987" t="s">
        <v>8652</v>
      </c>
      <c r="AI4987" t="str">
        <f>"9170365"</f>
        <v>9170365</v>
      </c>
      <c r="AJ4987" t="s">
        <v>9148</v>
      </c>
      <c r="AK4987">
        <v>2893032347</v>
      </c>
      <c r="AL4987" t="s">
        <v>9149</v>
      </c>
      <c r="AM4987" t="s">
        <v>78</v>
      </c>
      <c r="AN4987" t="s">
        <v>405</v>
      </c>
      <c r="AO4987" t="s">
        <v>805</v>
      </c>
      <c r="AP4987" t="s">
        <v>8726</v>
      </c>
      <c r="AQ4987">
        <v>15</v>
      </c>
      <c r="AR4987" t="s">
        <v>80</v>
      </c>
      <c r="AS4987" t="s">
        <v>81</v>
      </c>
      <c r="AT4987" t="s">
        <v>58</v>
      </c>
      <c r="AU4987" t="s">
        <v>8673</v>
      </c>
      <c r="AV4987" t="s">
        <v>132</v>
      </c>
      <c r="AW4987" s="1">
        <v>29327</v>
      </c>
      <c r="AX4987">
        <v>1</v>
      </c>
    </row>
    <row r="4988" spans="1:50">
      <c r="A4988">
        <v>553756</v>
      </c>
      <c r="B4988" t="str">
        <f>"030519724"</f>
        <v>030519724</v>
      </c>
      <c r="C4988" t="s">
        <v>105</v>
      </c>
      <c r="D4988" t="s">
        <v>9150</v>
      </c>
      <c r="E4988" t="s">
        <v>166</v>
      </c>
      <c r="F4988" t="s">
        <v>1316</v>
      </c>
      <c r="G4988" t="s">
        <v>325</v>
      </c>
      <c r="H4988" t="str">
        <f>"ΠΑΡΑΣΚΕΥΟΠΟΥΛΟΥ 105 ΗΡΑΚΛΕΙΟ"</f>
        <v>ΠΑΡΑΣΚΕΥΟΠΟΥΛΟΥ 105 ΗΡΑΚΛΕΙΟ</v>
      </c>
      <c r="I4988">
        <v>71305</v>
      </c>
      <c r="J4988">
        <v>2810325376</v>
      </c>
      <c r="K4988">
        <v>6972003914</v>
      </c>
      <c r="N4988" t="s">
        <v>615</v>
      </c>
      <c r="O4988" t="s">
        <v>616</v>
      </c>
      <c r="R4988" t="s">
        <v>57</v>
      </c>
      <c r="S4988">
        <v>16</v>
      </c>
      <c r="T4988">
        <v>235</v>
      </c>
      <c r="U4988" s="1">
        <v>31290</v>
      </c>
      <c r="V4988" t="s">
        <v>80</v>
      </c>
      <c r="W4988" t="s">
        <v>81</v>
      </c>
      <c r="X4988" t="s">
        <v>58</v>
      </c>
      <c r="Y4988">
        <v>21</v>
      </c>
      <c r="Z4988" t="s">
        <v>59</v>
      </c>
      <c r="AA4988" t="s">
        <v>59</v>
      </c>
      <c r="AB4988" t="s">
        <v>59</v>
      </c>
      <c r="AC4988" t="s">
        <v>59</v>
      </c>
      <c r="AD4988" t="s">
        <v>59</v>
      </c>
      <c r="AF4988" s="1">
        <v>31296</v>
      </c>
      <c r="AG4988" t="s">
        <v>8645</v>
      </c>
      <c r="AH4988" t="s">
        <v>8646</v>
      </c>
      <c r="AI4988" t="str">
        <f>"9170058"</f>
        <v>9170058</v>
      </c>
      <c r="AJ4988" t="s">
        <v>8735</v>
      </c>
      <c r="AK4988">
        <v>2810252903</v>
      </c>
      <c r="AL4988" t="s">
        <v>8736</v>
      </c>
      <c r="AM4988" t="s">
        <v>78</v>
      </c>
      <c r="AN4988" t="s">
        <v>78</v>
      </c>
      <c r="AO4988" t="s">
        <v>78</v>
      </c>
      <c r="AP4988" t="s">
        <v>163</v>
      </c>
      <c r="AQ4988">
        <v>1</v>
      </c>
      <c r="AR4988" t="s">
        <v>80</v>
      </c>
      <c r="AS4988" t="s">
        <v>81</v>
      </c>
      <c r="AT4988" t="s">
        <v>58</v>
      </c>
      <c r="AU4988" t="s">
        <v>68</v>
      </c>
      <c r="AV4988" t="s">
        <v>69</v>
      </c>
      <c r="AW4988" s="1">
        <v>22440</v>
      </c>
      <c r="AX4988">
        <v>1</v>
      </c>
    </row>
    <row r="4989" spans="1:50">
      <c r="B4989" t="str">
        <f>"154233793"</f>
        <v>154233793</v>
      </c>
      <c r="C4989" t="s">
        <v>50</v>
      </c>
      <c r="D4989" t="s">
        <v>9151</v>
      </c>
      <c r="E4989" t="s">
        <v>109</v>
      </c>
      <c r="F4989" t="s">
        <v>53</v>
      </c>
      <c r="G4989" t="s">
        <v>755</v>
      </c>
      <c r="H4989" t="str">
        <f>" "</f>
        <v xml:space="preserve"> </v>
      </c>
      <c r="N4989" t="s">
        <v>683</v>
      </c>
      <c r="O4989" t="s">
        <v>684</v>
      </c>
      <c r="R4989" t="s">
        <v>121</v>
      </c>
      <c r="S4989">
        <v>1</v>
      </c>
      <c r="T4989" t="s">
        <v>8675</v>
      </c>
      <c r="U4989" s="1">
        <v>43348</v>
      </c>
      <c r="V4989" t="s">
        <v>80</v>
      </c>
      <c r="W4989" t="s">
        <v>81</v>
      </c>
      <c r="X4989" t="s">
        <v>58</v>
      </c>
      <c r="Y4989">
        <v>24</v>
      </c>
      <c r="Z4989" t="s">
        <v>59</v>
      </c>
      <c r="AD4989" t="s">
        <v>59</v>
      </c>
      <c r="AF4989" s="1">
        <v>43348</v>
      </c>
      <c r="AG4989" t="s">
        <v>8645</v>
      </c>
      <c r="AH4989" t="s">
        <v>8646</v>
      </c>
      <c r="AI4989" t="str">
        <f>"9170267"</f>
        <v>9170267</v>
      </c>
      <c r="AJ4989" t="s">
        <v>8840</v>
      </c>
      <c r="AK4989">
        <v>2892022320</v>
      </c>
      <c r="AL4989" t="s">
        <v>8841</v>
      </c>
      <c r="AM4989" t="s">
        <v>78</v>
      </c>
      <c r="AN4989" t="s">
        <v>242</v>
      </c>
      <c r="AO4989" t="s">
        <v>243</v>
      </c>
      <c r="AP4989" t="s">
        <v>243</v>
      </c>
      <c r="AQ4989">
        <v>20</v>
      </c>
      <c r="AR4989" t="s">
        <v>80</v>
      </c>
      <c r="AS4989" t="s">
        <v>81</v>
      </c>
      <c r="AT4989" t="s">
        <v>58</v>
      </c>
      <c r="AU4989" t="s">
        <v>8673</v>
      </c>
      <c r="AV4989" t="s">
        <v>132</v>
      </c>
      <c r="AW4989" s="1">
        <v>33457</v>
      </c>
      <c r="AX4989">
        <v>1</v>
      </c>
    </row>
    <row r="4990" spans="1:50">
      <c r="A4990">
        <v>567618</v>
      </c>
      <c r="B4990" t="str">
        <f>"035803214"</f>
        <v>035803214</v>
      </c>
      <c r="C4990" t="s">
        <v>50</v>
      </c>
      <c r="D4990" t="s">
        <v>796</v>
      </c>
      <c r="E4990" t="s">
        <v>237</v>
      </c>
      <c r="F4990" t="s">
        <v>72</v>
      </c>
      <c r="G4990" t="s">
        <v>181</v>
      </c>
      <c r="H4990" t="str">
        <f>"ΤΕΡΨΙΧΟΡΗΣ 16 "</f>
        <v xml:space="preserve">ΤΕΡΨΙΧΟΡΗΣ 16 </v>
      </c>
      <c r="I4990">
        <v>71409</v>
      </c>
      <c r="J4990">
        <v>2810214160</v>
      </c>
      <c r="K4990">
        <v>6946482717</v>
      </c>
      <c r="M4990" t="s">
        <v>9152</v>
      </c>
      <c r="N4990" t="s">
        <v>615</v>
      </c>
      <c r="O4990" t="s">
        <v>616</v>
      </c>
      <c r="R4990" t="s">
        <v>57</v>
      </c>
      <c r="S4990">
        <v>14</v>
      </c>
      <c r="T4990">
        <v>133</v>
      </c>
      <c r="U4990" s="1">
        <v>31694</v>
      </c>
      <c r="V4990" t="s">
        <v>80</v>
      </c>
      <c r="W4990" t="s">
        <v>81</v>
      </c>
      <c r="X4990" t="s">
        <v>58</v>
      </c>
      <c r="Y4990">
        <v>21</v>
      </c>
      <c r="Z4990" t="s">
        <v>59</v>
      </c>
      <c r="AA4990" t="s">
        <v>59</v>
      </c>
      <c r="AB4990" t="s">
        <v>59</v>
      </c>
      <c r="AC4990" t="s">
        <v>59</v>
      </c>
      <c r="AD4990" t="s">
        <v>59</v>
      </c>
      <c r="AF4990" s="1">
        <v>33483</v>
      </c>
      <c r="AG4990" t="s">
        <v>8645</v>
      </c>
      <c r="AH4990" t="s">
        <v>8646</v>
      </c>
      <c r="AI4990" t="str">
        <f>"9521093"</f>
        <v>9521093</v>
      </c>
      <c r="AJ4990" t="s">
        <v>9153</v>
      </c>
      <c r="AK4990">
        <v>2810322162</v>
      </c>
      <c r="AL4990" t="s">
        <v>9154</v>
      </c>
      <c r="AM4990" t="s">
        <v>78</v>
      </c>
      <c r="AN4990" t="s">
        <v>78</v>
      </c>
      <c r="AO4990" t="s">
        <v>78</v>
      </c>
      <c r="AP4990" t="s">
        <v>163</v>
      </c>
      <c r="AQ4990">
        <v>1</v>
      </c>
      <c r="AR4990" t="s">
        <v>80</v>
      </c>
      <c r="AS4990" t="s">
        <v>81</v>
      </c>
      <c r="AT4990" t="s">
        <v>58</v>
      </c>
      <c r="AU4990" t="s">
        <v>68</v>
      </c>
      <c r="AV4990" t="s">
        <v>69</v>
      </c>
      <c r="AW4990" s="1">
        <v>24065</v>
      </c>
      <c r="AX4990">
        <v>1</v>
      </c>
    </row>
    <row r="4991" spans="1:50">
      <c r="A4991">
        <v>611899</v>
      </c>
      <c r="B4991" t="str">
        <f>"125581356"</f>
        <v>125581356</v>
      </c>
      <c r="C4991" t="s">
        <v>50</v>
      </c>
      <c r="D4991" t="s">
        <v>796</v>
      </c>
      <c r="E4991" t="s">
        <v>658</v>
      </c>
      <c r="F4991" t="s">
        <v>166</v>
      </c>
      <c r="G4991" t="s">
        <v>250</v>
      </c>
      <c r="H4991" t="str">
        <f>"Αγίου Αρτεμίου 9 Μεσαμπελιές"</f>
        <v>Αγίου Αρτεμίου 9 Μεσαμπελιές</v>
      </c>
      <c r="I4991">
        <v>71409</v>
      </c>
      <c r="J4991">
        <v>2810328733</v>
      </c>
      <c r="K4991">
        <v>6936799068</v>
      </c>
      <c r="M4991" t="s">
        <v>9155</v>
      </c>
      <c r="N4991" t="s">
        <v>1525</v>
      </c>
      <c r="O4991" t="s">
        <v>1526</v>
      </c>
      <c r="R4991" t="s">
        <v>57</v>
      </c>
      <c r="S4991">
        <v>8</v>
      </c>
      <c r="T4991">
        <v>233</v>
      </c>
      <c r="U4991" s="1">
        <v>38960</v>
      </c>
      <c r="V4991" t="s">
        <v>80</v>
      </c>
      <c r="W4991" t="s">
        <v>81</v>
      </c>
      <c r="X4991" t="s">
        <v>58</v>
      </c>
      <c r="Y4991">
        <v>25</v>
      </c>
      <c r="Z4991" t="s">
        <v>59</v>
      </c>
      <c r="AA4991" t="s">
        <v>59</v>
      </c>
      <c r="AB4991" t="s">
        <v>59</v>
      </c>
      <c r="AC4991" t="s">
        <v>59</v>
      </c>
      <c r="AD4991" t="s">
        <v>59</v>
      </c>
      <c r="AF4991" s="1">
        <v>38961</v>
      </c>
      <c r="AG4991" t="s">
        <v>8651</v>
      </c>
      <c r="AH4991" t="s">
        <v>8652</v>
      </c>
      <c r="AI4991" t="str">
        <f>"9170256"</f>
        <v>9170256</v>
      </c>
      <c r="AJ4991" t="s">
        <v>9156</v>
      </c>
      <c r="AK4991">
        <v>2810211000</v>
      </c>
      <c r="AL4991" t="s">
        <v>9157</v>
      </c>
      <c r="AM4991" t="s">
        <v>78</v>
      </c>
      <c r="AN4991" t="s">
        <v>78</v>
      </c>
      <c r="AO4991" t="s">
        <v>78</v>
      </c>
      <c r="AP4991" t="s">
        <v>163</v>
      </c>
      <c r="AQ4991">
        <v>1</v>
      </c>
      <c r="AR4991" t="s">
        <v>80</v>
      </c>
      <c r="AS4991" t="s">
        <v>81</v>
      </c>
      <c r="AT4991" t="s">
        <v>58</v>
      </c>
      <c r="AU4991" t="s">
        <v>68</v>
      </c>
      <c r="AV4991" t="s">
        <v>69</v>
      </c>
      <c r="AW4991" s="1">
        <v>29196</v>
      </c>
      <c r="AX4991">
        <v>1</v>
      </c>
    </row>
    <row r="4992" spans="1:50">
      <c r="B4992" t="str">
        <f>"137212610"</f>
        <v>137212610</v>
      </c>
      <c r="C4992" t="s">
        <v>50</v>
      </c>
      <c r="D4992" t="s">
        <v>796</v>
      </c>
      <c r="E4992" t="s">
        <v>250</v>
      </c>
      <c r="F4992" t="s">
        <v>106</v>
      </c>
      <c r="G4992" t="s">
        <v>52</v>
      </c>
      <c r="H4992" t="str">
        <f>" "</f>
        <v xml:space="preserve"> </v>
      </c>
      <c r="N4992" t="s">
        <v>1525</v>
      </c>
      <c r="O4992" t="s">
        <v>1526</v>
      </c>
      <c r="R4992" t="s">
        <v>159</v>
      </c>
      <c r="S4992">
        <v>2</v>
      </c>
      <c r="T4992" t="s">
        <v>8670</v>
      </c>
      <c r="U4992" s="1">
        <v>43348</v>
      </c>
      <c r="V4992" t="s">
        <v>80</v>
      </c>
      <c r="W4992" t="s">
        <v>81</v>
      </c>
      <c r="X4992" t="s">
        <v>58</v>
      </c>
      <c r="Y4992">
        <v>25</v>
      </c>
      <c r="Z4992" t="s">
        <v>59</v>
      </c>
      <c r="AA4992" t="s">
        <v>59</v>
      </c>
      <c r="AB4992" t="s">
        <v>59</v>
      </c>
      <c r="AD4992" t="s">
        <v>59</v>
      </c>
      <c r="AF4992" s="1">
        <v>43348</v>
      </c>
      <c r="AG4992" t="s">
        <v>8651</v>
      </c>
      <c r="AH4992" t="s">
        <v>8652</v>
      </c>
      <c r="AI4992" t="str">
        <f>"9170347"</f>
        <v>9170347</v>
      </c>
      <c r="AJ4992" t="s">
        <v>9158</v>
      </c>
      <c r="AK4992">
        <v>2893031831</v>
      </c>
      <c r="AL4992" t="s">
        <v>9159</v>
      </c>
      <c r="AM4992" t="s">
        <v>78</v>
      </c>
      <c r="AN4992" t="s">
        <v>405</v>
      </c>
      <c r="AO4992" t="s">
        <v>805</v>
      </c>
      <c r="AP4992" t="s">
        <v>806</v>
      </c>
      <c r="AQ4992">
        <v>15</v>
      </c>
      <c r="AR4992" t="s">
        <v>80</v>
      </c>
      <c r="AS4992" t="s">
        <v>81</v>
      </c>
      <c r="AT4992" t="s">
        <v>58</v>
      </c>
      <c r="AU4992" t="s">
        <v>8673</v>
      </c>
      <c r="AV4992" t="s">
        <v>132</v>
      </c>
      <c r="AW4992" s="1">
        <v>30508</v>
      </c>
      <c r="AX4992">
        <v>1</v>
      </c>
    </row>
    <row r="4993" spans="1:50">
      <c r="B4993" t="str">
        <f>"116669448"</f>
        <v>116669448</v>
      </c>
      <c r="C4993" t="s">
        <v>50</v>
      </c>
      <c r="D4993" t="s">
        <v>796</v>
      </c>
      <c r="E4993" t="s">
        <v>83</v>
      </c>
      <c r="F4993" t="s">
        <v>99</v>
      </c>
      <c r="G4993" t="s">
        <v>143</v>
      </c>
      <c r="H4993" t="str">
        <f>" "</f>
        <v xml:space="preserve"> </v>
      </c>
      <c r="N4993" t="s">
        <v>1525</v>
      </c>
      <c r="O4993" t="s">
        <v>1526</v>
      </c>
      <c r="R4993" t="s">
        <v>121</v>
      </c>
      <c r="S4993">
        <v>4</v>
      </c>
      <c r="T4993" t="s">
        <v>8670</v>
      </c>
      <c r="U4993" s="1">
        <v>43348</v>
      </c>
      <c r="V4993" t="s">
        <v>80</v>
      </c>
      <c r="W4993" t="s">
        <v>81</v>
      </c>
      <c r="X4993" t="s">
        <v>58</v>
      </c>
      <c r="Y4993">
        <v>25</v>
      </c>
      <c r="Z4993" t="s">
        <v>59</v>
      </c>
      <c r="AA4993" t="s">
        <v>59</v>
      </c>
      <c r="AB4993" t="s">
        <v>59</v>
      </c>
      <c r="AD4993" t="s">
        <v>59</v>
      </c>
      <c r="AF4993" s="1">
        <v>43348</v>
      </c>
      <c r="AG4993" t="s">
        <v>8651</v>
      </c>
      <c r="AH4993" t="s">
        <v>8652</v>
      </c>
      <c r="AI4993" t="str">
        <f>"9170466"</f>
        <v>9170466</v>
      </c>
      <c r="AJ4993" t="s">
        <v>9088</v>
      </c>
      <c r="AK4993">
        <v>2897022686</v>
      </c>
      <c r="AL4993" t="s">
        <v>9089</v>
      </c>
      <c r="AM4993" t="s">
        <v>78</v>
      </c>
      <c r="AN4993" t="s">
        <v>219</v>
      </c>
      <c r="AO4993" t="s">
        <v>219</v>
      </c>
      <c r="AP4993" t="s">
        <v>219</v>
      </c>
      <c r="AQ4993">
        <v>8</v>
      </c>
      <c r="AR4993" t="s">
        <v>80</v>
      </c>
      <c r="AS4993" t="s">
        <v>81</v>
      </c>
      <c r="AT4993" t="s">
        <v>58</v>
      </c>
      <c r="AU4993" t="s">
        <v>8673</v>
      </c>
      <c r="AV4993" t="s">
        <v>132</v>
      </c>
      <c r="AW4993" s="1">
        <v>31083</v>
      </c>
      <c r="AX4993">
        <v>1</v>
      </c>
    </row>
    <row r="4994" spans="1:50">
      <c r="A4994">
        <v>609122</v>
      </c>
      <c r="B4994" t="str">
        <f>"103518971"</f>
        <v>103518971</v>
      </c>
      <c r="C4994" t="s">
        <v>50</v>
      </c>
      <c r="D4994" t="s">
        <v>796</v>
      </c>
      <c r="E4994" t="s">
        <v>255</v>
      </c>
      <c r="F4994" t="s">
        <v>72</v>
      </c>
      <c r="G4994" t="s">
        <v>1001</v>
      </c>
      <c r="H4994" t="str">
        <f>"ΒΗΣΣΑΡΙΩΝΟΣ 1 ΗΡΑΚΛΕΙΟ"</f>
        <v>ΒΗΣΣΑΡΙΩΝΟΣ 1 ΗΡΑΚΛΕΙΟ</v>
      </c>
      <c r="I4994">
        <v>71409</v>
      </c>
      <c r="J4994">
        <v>2810230314</v>
      </c>
      <c r="K4994">
        <v>6977200883</v>
      </c>
      <c r="N4994" t="s">
        <v>306</v>
      </c>
      <c r="O4994" t="s">
        <v>307</v>
      </c>
      <c r="R4994" t="s">
        <v>57</v>
      </c>
      <c r="S4994">
        <v>10</v>
      </c>
      <c r="T4994">
        <v>218</v>
      </c>
      <c r="U4994" s="1">
        <v>38596</v>
      </c>
      <c r="V4994" t="s">
        <v>80</v>
      </c>
      <c r="W4994" t="s">
        <v>81</v>
      </c>
      <c r="X4994" t="s">
        <v>58</v>
      </c>
      <c r="Y4994">
        <v>22</v>
      </c>
      <c r="Z4994" t="s">
        <v>59</v>
      </c>
      <c r="AA4994" t="s">
        <v>59</v>
      </c>
      <c r="AB4994" t="s">
        <v>59</v>
      </c>
      <c r="AC4994" t="s">
        <v>59</v>
      </c>
      <c r="AD4994" t="s">
        <v>59</v>
      </c>
      <c r="AF4994" s="1">
        <v>38600</v>
      </c>
      <c r="AG4994" t="s">
        <v>8645</v>
      </c>
      <c r="AH4994" t="s">
        <v>8646</v>
      </c>
      <c r="AI4994" t="str">
        <f>"9170560"</f>
        <v>9170560</v>
      </c>
      <c r="AJ4994" t="s">
        <v>9022</v>
      </c>
      <c r="AK4994">
        <v>2810821816</v>
      </c>
      <c r="AL4994" t="s">
        <v>9023</v>
      </c>
      <c r="AM4994" t="s">
        <v>78</v>
      </c>
      <c r="AN4994" t="s">
        <v>129</v>
      </c>
      <c r="AO4994" t="s">
        <v>130</v>
      </c>
      <c r="AP4994" t="s">
        <v>130</v>
      </c>
      <c r="AQ4994">
        <v>1</v>
      </c>
      <c r="AR4994" t="s">
        <v>80</v>
      </c>
      <c r="AS4994" t="s">
        <v>81</v>
      </c>
      <c r="AT4994" t="s">
        <v>58</v>
      </c>
      <c r="AU4994" t="s">
        <v>68</v>
      </c>
      <c r="AV4994" t="s">
        <v>69</v>
      </c>
      <c r="AW4994" s="1">
        <v>28121</v>
      </c>
      <c r="AX4994">
        <v>1</v>
      </c>
    </row>
    <row r="4995" spans="1:50">
      <c r="B4995" t="str">
        <f>"133565670"</f>
        <v>133565670</v>
      </c>
      <c r="C4995" t="s">
        <v>50</v>
      </c>
      <c r="D4995" t="s">
        <v>796</v>
      </c>
      <c r="E4995" t="s">
        <v>340</v>
      </c>
      <c r="F4995" t="s">
        <v>95</v>
      </c>
      <c r="G4995" t="s">
        <v>1155</v>
      </c>
      <c r="H4995" t="str">
        <f>" "</f>
        <v xml:space="preserve"> </v>
      </c>
      <c r="N4995" t="s">
        <v>8834</v>
      </c>
      <c r="O4995" t="s">
        <v>8695</v>
      </c>
      <c r="R4995" t="s">
        <v>121</v>
      </c>
      <c r="S4995">
        <v>3</v>
      </c>
      <c r="T4995" t="s">
        <v>8835</v>
      </c>
      <c r="U4995" s="1">
        <v>43348</v>
      </c>
      <c r="V4995" t="s">
        <v>80</v>
      </c>
      <c r="W4995" t="s">
        <v>81</v>
      </c>
      <c r="X4995" t="s">
        <v>58</v>
      </c>
      <c r="Y4995">
        <v>24</v>
      </c>
      <c r="Z4995" t="s">
        <v>59</v>
      </c>
      <c r="AA4995" t="s">
        <v>59</v>
      </c>
      <c r="AB4995" t="s">
        <v>59</v>
      </c>
      <c r="AD4995" t="s">
        <v>59</v>
      </c>
      <c r="AF4995" s="1">
        <v>43348</v>
      </c>
      <c r="AG4995" t="s">
        <v>8645</v>
      </c>
      <c r="AH4995" t="s">
        <v>8646</v>
      </c>
      <c r="AI4995" t="str">
        <f>"9170192"</f>
        <v>9170192</v>
      </c>
      <c r="AJ4995" t="s">
        <v>8661</v>
      </c>
      <c r="AK4995">
        <v>2810231985</v>
      </c>
      <c r="AL4995" t="s">
        <v>8662</v>
      </c>
      <c r="AM4995" t="s">
        <v>78</v>
      </c>
      <c r="AN4995" t="s">
        <v>78</v>
      </c>
      <c r="AO4995" t="s">
        <v>78</v>
      </c>
      <c r="AP4995" t="s">
        <v>163</v>
      </c>
      <c r="AQ4995">
        <v>1</v>
      </c>
      <c r="AR4995" t="s">
        <v>80</v>
      </c>
      <c r="AS4995" t="s">
        <v>81</v>
      </c>
      <c r="AT4995" t="s">
        <v>58</v>
      </c>
      <c r="AU4995" t="s">
        <v>131</v>
      </c>
      <c r="AV4995" t="s">
        <v>132</v>
      </c>
      <c r="AW4995" s="1">
        <v>33422</v>
      </c>
      <c r="AX4995">
        <v>1</v>
      </c>
    </row>
    <row r="4996" spans="1:50">
      <c r="A4996">
        <v>612138</v>
      </c>
      <c r="B4996" t="str">
        <f>"103829590"</f>
        <v>103829590</v>
      </c>
      <c r="C4996" t="s">
        <v>50</v>
      </c>
      <c r="D4996" t="s">
        <v>796</v>
      </c>
      <c r="E4996" t="s">
        <v>52</v>
      </c>
      <c r="F4996" t="s">
        <v>99</v>
      </c>
      <c r="G4996" t="s">
        <v>250</v>
      </c>
      <c r="H4996" t="str">
        <f>"ΘΕΝΩΝ 82 ΗΡΑΚΛΕΙΟ"</f>
        <v>ΘΕΝΩΝ 82 ΗΡΑΚΛΕΙΟ</v>
      </c>
      <c r="I4996">
        <v>71305</v>
      </c>
      <c r="J4996">
        <v>2810258339</v>
      </c>
      <c r="K4996">
        <v>6944470253</v>
      </c>
      <c r="N4996" t="s">
        <v>306</v>
      </c>
      <c r="O4996" t="s">
        <v>307</v>
      </c>
      <c r="R4996" t="s">
        <v>57</v>
      </c>
      <c r="S4996">
        <v>6</v>
      </c>
      <c r="T4996">
        <v>234</v>
      </c>
      <c r="U4996" s="1">
        <v>38960</v>
      </c>
      <c r="V4996" t="s">
        <v>80</v>
      </c>
      <c r="W4996" t="s">
        <v>81</v>
      </c>
      <c r="X4996" t="s">
        <v>58</v>
      </c>
      <c r="Y4996">
        <v>23</v>
      </c>
      <c r="Z4996" t="s">
        <v>59</v>
      </c>
      <c r="AA4996" t="s">
        <v>59</v>
      </c>
      <c r="AB4996" t="s">
        <v>59</v>
      </c>
      <c r="AC4996" t="s">
        <v>59</v>
      </c>
      <c r="AD4996" t="s">
        <v>59</v>
      </c>
      <c r="AF4996" s="1">
        <v>38961</v>
      </c>
      <c r="AG4996" t="s">
        <v>8645</v>
      </c>
      <c r="AH4996" t="s">
        <v>8646</v>
      </c>
      <c r="AI4996" t="str">
        <f>"9170057"</f>
        <v>9170057</v>
      </c>
      <c r="AJ4996" t="s">
        <v>8929</v>
      </c>
      <c r="AK4996">
        <v>2810251505</v>
      </c>
      <c r="AL4996" t="s">
        <v>8930</v>
      </c>
      <c r="AM4996" t="s">
        <v>78</v>
      </c>
      <c r="AN4996" t="s">
        <v>78</v>
      </c>
      <c r="AO4996" t="s">
        <v>78</v>
      </c>
      <c r="AP4996" t="s">
        <v>141</v>
      </c>
      <c r="AQ4996">
        <v>1</v>
      </c>
      <c r="AR4996" t="s">
        <v>80</v>
      </c>
      <c r="AS4996" t="s">
        <v>81</v>
      </c>
      <c r="AT4996" t="s">
        <v>58</v>
      </c>
      <c r="AU4996" t="s">
        <v>68</v>
      </c>
      <c r="AV4996" t="s">
        <v>69</v>
      </c>
      <c r="AW4996" s="1">
        <v>28863</v>
      </c>
      <c r="AX4996">
        <v>1</v>
      </c>
    </row>
    <row r="4997" spans="1:50">
      <c r="A4997">
        <v>618508</v>
      </c>
      <c r="B4997" t="str">
        <f>"131499365"</f>
        <v>131499365</v>
      </c>
      <c r="C4997" t="s">
        <v>50</v>
      </c>
      <c r="D4997" t="s">
        <v>796</v>
      </c>
      <c r="E4997" t="s">
        <v>52</v>
      </c>
      <c r="F4997" t="s">
        <v>99</v>
      </c>
      <c r="G4997" t="s">
        <v>476</v>
      </c>
      <c r="H4997" t="str">
        <f>"Θ.ΜΑΤΘΑΙΑΚΗ 79 ΗΡΑΚΛΕΙΟ"</f>
        <v>Θ.ΜΑΤΘΑΙΑΚΗ 79 ΗΡΑΚΛΕΙΟ</v>
      </c>
      <c r="I4997">
        <v>71305</v>
      </c>
      <c r="J4997">
        <v>2810360503</v>
      </c>
      <c r="K4997">
        <v>6973418703</v>
      </c>
      <c r="M4997" t="s">
        <v>9160</v>
      </c>
      <c r="N4997" t="s">
        <v>615</v>
      </c>
      <c r="O4997" t="s">
        <v>616</v>
      </c>
      <c r="R4997" t="s">
        <v>57</v>
      </c>
      <c r="S4997">
        <v>7</v>
      </c>
      <c r="T4997">
        <v>774</v>
      </c>
      <c r="U4997" s="1">
        <v>39680</v>
      </c>
      <c r="V4997" t="s">
        <v>80</v>
      </c>
      <c r="W4997" t="s">
        <v>81</v>
      </c>
      <c r="X4997" t="s">
        <v>58</v>
      </c>
      <c r="Y4997">
        <v>23</v>
      </c>
      <c r="Z4997" t="s">
        <v>59</v>
      </c>
      <c r="AA4997" t="s">
        <v>59</v>
      </c>
      <c r="AB4997" t="s">
        <v>59</v>
      </c>
      <c r="AC4997" t="s">
        <v>59</v>
      </c>
      <c r="AD4997" t="s">
        <v>59</v>
      </c>
      <c r="AF4997" s="1">
        <v>39681</v>
      </c>
      <c r="AG4997" t="s">
        <v>8645</v>
      </c>
      <c r="AH4997" t="s">
        <v>8646</v>
      </c>
      <c r="AI4997" t="str">
        <f>"9170059"</f>
        <v>9170059</v>
      </c>
      <c r="AJ4997" t="s">
        <v>9161</v>
      </c>
      <c r="AK4997">
        <v>2810791244</v>
      </c>
      <c r="AL4997" t="s">
        <v>9162</v>
      </c>
      <c r="AM4997" t="s">
        <v>78</v>
      </c>
      <c r="AN4997" t="s">
        <v>78</v>
      </c>
      <c r="AO4997" t="s">
        <v>195</v>
      </c>
      <c r="AP4997" t="s">
        <v>196</v>
      </c>
      <c r="AQ4997">
        <v>3</v>
      </c>
      <c r="AR4997" t="s">
        <v>80</v>
      </c>
      <c r="AS4997" t="s">
        <v>81</v>
      </c>
      <c r="AT4997" t="s">
        <v>58</v>
      </c>
      <c r="AU4997" t="s">
        <v>68</v>
      </c>
      <c r="AV4997" t="s">
        <v>69</v>
      </c>
      <c r="AW4997" s="1">
        <v>31093</v>
      </c>
      <c r="AX4997">
        <v>1</v>
      </c>
    </row>
    <row r="4998" spans="1:50">
      <c r="B4998" t="str">
        <f>"141397018"</f>
        <v>141397018</v>
      </c>
      <c r="C4998" t="s">
        <v>50</v>
      </c>
      <c r="D4998" t="s">
        <v>796</v>
      </c>
      <c r="E4998" t="s">
        <v>52</v>
      </c>
      <c r="F4998" t="s">
        <v>53</v>
      </c>
      <c r="G4998" t="s">
        <v>476</v>
      </c>
      <c r="H4998" t="str">
        <f>"ΑΣΗΜΙ ΜΟΝΟΦΑΤΣΙΟΥ "</f>
        <v xml:space="preserve">ΑΣΗΜΙ ΜΟΝΟΦΑΤΣΙΟΥ </v>
      </c>
      <c r="I4998">
        <v>70016</v>
      </c>
      <c r="J4998">
        <v>2893032255</v>
      </c>
      <c r="K4998">
        <v>6945132404</v>
      </c>
      <c r="N4998" t="s">
        <v>615</v>
      </c>
      <c r="O4998" t="s">
        <v>616</v>
      </c>
      <c r="R4998" t="s">
        <v>159</v>
      </c>
      <c r="S4998">
        <v>3</v>
      </c>
      <c r="T4998" t="s">
        <v>8675</v>
      </c>
      <c r="U4998" s="1">
        <v>43348</v>
      </c>
      <c r="V4998" t="s">
        <v>80</v>
      </c>
      <c r="W4998" t="s">
        <v>81</v>
      </c>
      <c r="X4998" t="s">
        <v>58</v>
      </c>
      <c r="Y4998">
        <v>25</v>
      </c>
      <c r="Z4998" t="s">
        <v>59</v>
      </c>
      <c r="AA4998" t="s">
        <v>59</v>
      </c>
      <c r="AB4998" t="s">
        <v>59</v>
      </c>
      <c r="AC4998" t="s">
        <v>59</v>
      </c>
      <c r="AD4998" t="s">
        <v>59</v>
      </c>
      <c r="AF4998" s="1">
        <v>43348</v>
      </c>
      <c r="AG4998" t="s">
        <v>8645</v>
      </c>
      <c r="AH4998" t="s">
        <v>8676</v>
      </c>
      <c r="AI4998" t="str">
        <f>"9170304"</f>
        <v>9170304</v>
      </c>
      <c r="AJ4998" t="s">
        <v>9163</v>
      </c>
      <c r="AK4998">
        <v>2892043385</v>
      </c>
      <c r="AL4998" t="s">
        <v>9164</v>
      </c>
      <c r="AM4998" t="s">
        <v>78</v>
      </c>
      <c r="AN4998" t="s">
        <v>242</v>
      </c>
      <c r="AO4998" t="s">
        <v>243</v>
      </c>
      <c r="AP4998" t="s">
        <v>8762</v>
      </c>
      <c r="AQ4998">
        <v>19</v>
      </c>
      <c r="AR4998" t="s">
        <v>80</v>
      </c>
      <c r="AS4998" t="s">
        <v>81</v>
      </c>
      <c r="AT4998" t="s">
        <v>58</v>
      </c>
      <c r="AU4998" t="s">
        <v>8673</v>
      </c>
      <c r="AV4998" t="s">
        <v>132</v>
      </c>
      <c r="AW4998" s="1">
        <v>31951</v>
      </c>
      <c r="AX4998">
        <v>1</v>
      </c>
    </row>
    <row r="4999" spans="1:50">
      <c r="A4999">
        <v>618729</v>
      </c>
      <c r="B4999" t="str">
        <f>"078286741"</f>
        <v>078286741</v>
      </c>
      <c r="C4999" t="s">
        <v>105</v>
      </c>
      <c r="D4999" t="s">
        <v>808</v>
      </c>
      <c r="E4999" t="s">
        <v>1316</v>
      </c>
      <c r="F4999" t="s">
        <v>72</v>
      </c>
      <c r="G4999" t="s">
        <v>255</v>
      </c>
      <c r="H4999" t="str">
        <f>"ΑΞΟΥ 8 ΗΡΑΚΛΕΙΟ-ΚΡΗΤΗΣ"</f>
        <v>ΑΞΟΥ 8 ΗΡΑΚΛΕΙΟ-ΚΡΗΤΗΣ</v>
      </c>
      <c r="I4999">
        <v>71303</v>
      </c>
      <c r="J4999">
        <v>2810255370</v>
      </c>
      <c r="K4999">
        <v>6944281146</v>
      </c>
      <c r="N4999" t="s">
        <v>615</v>
      </c>
      <c r="O4999" t="s">
        <v>616</v>
      </c>
      <c r="R4999" t="s">
        <v>57</v>
      </c>
      <c r="S4999">
        <v>5</v>
      </c>
      <c r="T4999">
        <v>774</v>
      </c>
      <c r="U4999" s="1">
        <v>39680</v>
      </c>
      <c r="V4999" t="s">
        <v>80</v>
      </c>
      <c r="W4999" t="s">
        <v>81</v>
      </c>
      <c r="X4999" t="s">
        <v>58</v>
      </c>
      <c r="Y4999">
        <v>23</v>
      </c>
      <c r="Z4999" t="s">
        <v>59</v>
      </c>
      <c r="AA4999" t="s">
        <v>59</v>
      </c>
      <c r="AB4999" t="s">
        <v>59</v>
      </c>
      <c r="AC4999" t="s">
        <v>59</v>
      </c>
      <c r="AD4999" t="s">
        <v>59</v>
      </c>
      <c r="AF4999" s="1">
        <v>39685</v>
      </c>
      <c r="AG4999" t="s">
        <v>8645</v>
      </c>
      <c r="AH4999" t="s">
        <v>8676</v>
      </c>
      <c r="AI4999" t="str">
        <f>"9521628"</f>
        <v>9521628</v>
      </c>
      <c r="AJ4999" t="s">
        <v>9045</v>
      </c>
      <c r="AM4999" t="s">
        <v>78</v>
      </c>
      <c r="AN4999" t="s">
        <v>78</v>
      </c>
      <c r="AO4999" t="s">
        <v>286</v>
      </c>
      <c r="AP4999" t="s">
        <v>9046</v>
      </c>
      <c r="AR4999" t="s">
        <v>80</v>
      </c>
      <c r="AS4999" t="s">
        <v>81</v>
      </c>
      <c r="AT4999" t="s">
        <v>58</v>
      </c>
      <c r="AU4999" t="s">
        <v>68</v>
      </c>
      <c r="AV4999" t="s">
        <v>69</v>
      </c>
      <c r="AW4999" s="1">
        <v>26332</v>
      </c>
      <c r="AX4999">
        <v>1</v>
      </c>
    </row>
    <row r="5000" spans="1:50">
      <c r="A5000">
        <v>200774</v>
      </c>
      <c r="B5000" t="str">
        <f>"072858564"</f>
        <v>072858564</v>
      </c>
      <c r="C5000" t="s">
        <v>105</v>
      </c>
      <c r="D5000" t="s">
        <v>808</v>
      </c>
      <c r="E5000" t="s">
        <v>53</v>
      </c>
      <c r="F5000" t="s">
        <v>5041</v>
      </c>
      <c r="G5000" t="s">
        <v>9165</v>
      </c>
      <c r="H5000" t="str">
        <f>" "</f>
        <v xml:space="preserve"> </v>
      </c>
      <c r="J5000">
        <v>2810327353</v>
      </c>
      <c r="K5000">
        <v>6972032198</v>
      </c>
      <c r="N5000" t="s">
        <v>204</v>
      </c>
      <c r="O5000" t="s">
        <v>205</v>
      </c>
      <c r="R5000" t="s">
        <v>57</v>
      </c>
      <c r="S5000">
        <v>8</v>
      </c>
      <c r="T5000">
        <v>213</v>
      </c>
      <c r="U5000" s="1">
        <v>37874</v>
      </c>
      <c r="V5000" t="s">
        <v>80</v>
      </c>
      <c r="W5000" t="s">
        <v>81</v>
      </c>
      <c r="X5000" t="s">
        <v>58</v>
      </c>
      <c r="Y5000">
        <v>22</v>
      </c>
      <c r="Z5000" t="s">
        <v>59</v>
      </c>
      <c r="AA5000" t="s">
        <v>59</v>
      </c>
      <c r="AB5000" t="s">
        <v>59</v>
      </c>
      <c r="AC5000" t="s">
        <v>59</v>
      </c>
      <c r="AD5000" t="s">
        <v>59</v>
      </c>
      <c r="AF5000" s="1">
        <v>37876</v>
      </c>
      <c r="AG5000" t="s">
        <v>8645</v>
      </c>
      <c r="AH5000" t="s">
        <v>8646</v>
      </c>
      <c r="AI5000" t="str">
        <f>"9170580"</f>
        <v>9170580</v>
      </c>
      <c r="AJ5000" t="s">
        <v>9076</v>
      </c>
      <c r="AK5000">
        <v>2810542809</v>
      </c>
      <c r="AL5000" t="s">
        <v>9077</v>
      </c>
      <c r="AM5000" t="s">
        <v>78</v>
      </c>
      <c r="AN5000" t="s">
        <v>78</v>
      </c>
      <c r="AO5000" t="s">
        <v>78</v>
      </c>
      <c r="AP5000" t="s">
        <v>9053</v>
      </c>
      <c r="AQ5000">
        <v>1</v>
      </c>
      <c r="AR5000" t="s">
        <v>80</v>
      </c>
      <c r="AS5000" t="s">
        <v>81</v>
      </c>
      <c r="AT5000" t="s">
        <v>58</v>
      </c>
      <c r="AU5000" t="s">
        <v>68</v>
      </c>
      <c r="AV5000" t="s">
        <v>69</v>
      </c>
      <c r="AW5000" s="1">
        <v>27160</v>
      </c>
      <c r="AX5000">
        <v>1</v>
      </c>
    </row>
    <row r="5001" spans="1:50">
      <c r="A5001">
        <v>593441</v>
      </c>
      <c r="B5001" t="str">
        <f>"104403089"</f>
        <v>104403089</v>
      </c>
      <c r="C5001" t="s">
        <v>50</v>
      </c>
      <c r="D5001" t="s">
        <v>5777</v>
      </c>
      <c r="E5001" t="s">
        <v>143</v>
      </c>
      <c r="F5001" t="s">
        <v>5642</v>
      </c>
      <c r="G5001" t="s">
        <v>112</v>
      </c>
      <c r="H5001" t="str">
        <f>"ΜΙΧΕΛΟΓΙΑΝΝΗ 6 ΧΑΝΙΑ"</f>
        <v>ΜΙΧΕΛΟΓΙΑΝΝΗ 6 ΧΑΝΙΑ</v>
      </c>
      <c r="I5001">
        <v>73100</v>
      </c>
      <c r="J5001">
        <v>2821401261</v>
      </c>
      <c r="K5001">
        <v>6973229278</v>
      </c>
      <c r="N5001" t="s">
        <v>615</v>
      </c>
      <c r="O5001" t="s">
        <v>616</v>
      </c>
      <c r="R5001" t="s">
        <v>57</v>
      </c>
      <c r="S5001">
        <v>10</v>
      </c>
      <c r="T5001">
        <v>218</v>
      </c>
      <c r="U5001" s="1">
        <v>37134</v>
      </c>
      <c r="V5001" t="s">
        <v>80</v>
      </c>
      <c r="W5001" t="s">
        <v>81</v>
      </c>
      <c r="X5001" t="s">
        <v>58</v>
      </c>
      <c r="Y5001">
        <v>22</v>
      </c>
      <c r="Z5001" t="s">
        <v>59</v>
      </c>
      <c r="AA5001" t="s">
        <v>59</v>
      </c>
      <c r="AB5001" t="s">
        <v>59</v>
      </c>
      <c r="AC5001" t="s">
        <v>59</v>
      </c>
      <c r="AD5001" t="s">
        <v>59</v>
      </c>
      <c r="AF5001" s="1">
        <v>37138</v>
      </c>
      <c r="AG5001" t="s">
        <v>8645</v>
      </c>
      <c r="AH5001" t="s">
        <v>8646</v>
      </c>
      <c r="AI5001" t="str">
        <f>"9170267"</f>
        <v>9170267</v>
      </c>
      <c r="AJ5001" t="s">
        <v>8840</v>
      </c>
      <c r="AK5001">
        <v>2892022320</v>
      </c>
      <c r="AL5001" t="s">
        <v>8841</v>
      </c>
      <c r="AM5001" t="s">
        <v>78</v>
      </c>
      <c r="AN5001" t="s">
        <v>242</v>
      </c>
      <c r="AO5001" t="s">
        <v>243</v>
      </c>
      <c r="AP5001" t="s">
        <v>243</v>
      </c>
      <c r="AQ5001">
        <v>20</v>
      </c>
      <c r="AR5001" t="s">
        <v>80</v>
      </c>
      <c r="AS5001" t="s">
        <v>81</v>
      </c>
      <c r="AT5001" t="s">
        <v>58</v>
      </c>
      <c r="AU5001" t="s">
        <v>68</v>
      </c>
      <c r="AV5001" t="s">
        <v>69</v>
      </c>
      <c r="AW5001" s="1">
        <v>27495</v>
      </c>
      <c r="AX5001">
        <v>1</v>
      </c>
    </row>
    <row r="5002" spans="1:50">
      <c r="B5002" t="str">
        <f>"138180992"</f>
        <v>138180992</v>
      </c>
      <c r="C5002" t="s">
        <v>105</v>
      </c>
      <c r="D5002" t="s">
        <v>822</v>
      </c>
      <c r="E5002" t="s">
        <v>450</v>
      </c>
      <c r="F5002" t="s">
        <v>782</v>
      </c>
      <c r="G5002" t="s">
        <v>476</v>
      </c>
      <c r="H5002" t="str">
        <f>"ΑΓ. ΓΕΩΡΓΙΟΣ-ΑΥΛΩΝΑΡΙΟΥ ΕΥΒΟΙΑ"</f>
        <v>ΑΓ. ΓΕΩΡΓΙΟΣ-ΑΥΛΩΝΑΡΙΟΥ ΕΥΒΟΙΑ</v>
      </c>
      <c r="I5002">
        <v>34009</v>
      </c>
      <c r="J5002">
        <v>2223031866</v>
      </c>
      <c r="K5002">
        <v>6936908462</v>
      </c>
      <c r="N5002" t="s">
        <v>8694</v>
      </c>
      <c r="O5002" t="s">
        <v>8695</v>
      </c>
      <c r="R5002" t="s">
        <v>159</v>
      </c>
      <c r="S5002">
        <v>3</v>
      </c>
      <c r="T5002" t="s">
        <v>8696</v>
      </c>
      <c r="U5002" s="1">
        <v>43348</v>
      </c>
      <c r="V5002" t="s">
        <v>80</v>
      </c>
      <c r="W5002" t="s">
        <v>81</v>
      </c>
      <c r="X5002" t="s">
        <v>58</v>
      </c>
      <c r="Y5002">
        <v>24</v>
      </c>
      <c r="Z5002" t="s">
        <v>59</v>
      </c>
      <c r="AA5002" t="s">
        <v>59</v>
      </c>
      <c r="AB5002" t="s">
        <v>59</v>
      </c>
      <c r="AC5002" t="s">
        <v>59</v>
      </c>
      <c r="AD5002" t="s">
        <v>59</v>
      </c>
      <c r="AF5002" s="1">
        <v>43348</v>
      </c>
      <c r="AG5002" t="s">
        <v>8645</v>
      </c>
      <c r="AH5002" t="s">
        <v>8646</v>
      </c>
      <c r="AI5002" t="str">
        <f>"9170057"</f>
        <v>9170057</v>
      </c>
      <c r="AJ5002" t="s">
        <v>8929</v>
      </c>
      <c r="AK5002">
        <v>2810251505</v>
      </c>
      <c r="AL5002" t="s">
        <v>8930</v>
      </c>
      <c r="AM5002" t="s">
        <v>78</v>
      </c>
      <c r="AN5002" t="s">
        <v>78</v>
      </c>
      <c r="AO5002" t="s">
        <v>78</v>
      </c>
      <c r="AP5002" t="s">
        <v>141</v>
      </c>
      <c r="AQ5002">
        <v>1</v>
      </c>
      <c r="AR5002" t="s">
        <v>80</v>
      </c>
      <c r="AS5002" t="s">
        <v>81</v>
      </c>
      <c r="AT5002" t="s">
        <v>58</v>
      </c>
      <c r="AU5002" t="s">
        <v>350</v>
      </c>
      <c r="AV5002" t="s">
        <v>132</v>
      </c>
      <c r="AW5002" s="1">
        <v>31365</v>
      </c>
      <c r="AX5002">
        <v>1</v>
      </c>
    </row>
    <row r="5003" spans="1:50">
      <c r="B5003" t="str">
        <f>"112320284"</f>
        <v>112320284</v>
      </c>
      <c r="C5003" t="s">
        <v>50</v>
      </c>
      <c r="D5003" t="s">
        <v>9166</v>
      </c>
      <c r="E5003" t="s">
        <v>1694</v>
      </c>
      <c r="F5003" t="s">
        <v>84</v>
      </c>
      <c r="G5003" t="s">
        <v>476</v>
      </c>
      <c r="H5003" t="str">
        <f>"ΛΕΥΚΟΠΗΓΗ ΚΟΖΑΝΗΣ ΚΟΖΑΝΗ"</f>
        <v>ΛΕΥΚΟΠΗΓΗ ΚΟΖΑΝΗΣ ΚΟΖΑΝΗ</v>
      </c>
      <c r="I5003">
        <v>50100</v>
      </c>
      <c r="J5003">
        <v>2461099289</v>
      </c>
      <c r="K5003">
        <v>6944866451</v>
      </c>
      <c r="N5003" t="s">
        <v>306</v>
      </c>
      <c r="O5003" t="s">
        <v>307</v>
      </c>
      <c r="R5003" t="s">
        <v>159</v>
      </c>
      <c r="S5003">
        <v>5</v>
      </c>
      <c r="T5003" t="s">
        <v>8675</v>
      </c>
      <c r="U5003" s="1">
        <v>43348</v>
      </c>
      <c r="V5003" t="s">
        <v>80</v>
      </c>
      <c r="W5003" t="s">
        <v>81</v>
      </c>
      <c r="X5003" t="s">
        <v>58</v>
      </c>
      <c r="Y5003">
        <v>24</v>
      </c>
      <c r="Z5003" t="s">
        <v>59</v>
      </c>
      <c r="AA5003" t="s">
        <v>59</v>
      </c>
      <c r="AB5003" t="s">
        <v>59</v>
      </c>
      <c r="AC5003" t="s">
        <v>59</v>
      </c>
      <c r="AD5003" t="s">
        <v>59</v>
      </c>
      <c r="AF5003" s="1">
        <v>43348</v>
      </c>
      <c r="AG5003" t="s">
        <v>8645</v>
      </c>
      <c r="AH5003" t="s">
        <v>8646</v>
      </c>
      <c r="AI5003" t="str">
        <f>"9521014"</f>
        <v>9521014</v>
      </c>
      <c r="AJ5003" t="s">
        <v>8974</v>
      </c>
      <c r="AK5003">
        <v>2897029611</v>
      </c>
      <c r="AL5003" t="s">
        <v>8975</v>
      </c>
      <c r="AM5003" t="s">
        <v>78</v>
      </c>
      <c r="AN5003" t="s">
        <v>219</v>
      </c>
      <c r="AO5003" t="s">
        <v>527</v>
      </c>
      <c r="AP5003" t="s">
        <v>527</v>
      </c>
      <c r="AQ5003">
        <v>8</v>
      </c>
      <c r="AR5003" t="s">
        <v>80</v>
      </c>
      <c r="AS5003" t="s">
        <v>81</v>
      </c>
      <c r="AT5003" t="s">
        <v>58</v>
      </c>
      <c r="AU5003" t="s">
        <v>8673</v>
      </c>
      <c r="AV5003" t="s">
        <v>132</v>
      </c>
      <c r="AW5003" s="1">
        <v>29292</v>
      </c>
      <c r="AX5003">
        <v>1</v>
      </c>
    </row>
    <row r="5004" spans="1:50">
      <c r="A5004">
        <v>617308</v>
      </c>
      <c r="B5004" t="str">
        <f>"131456654"</f>
        <v>131456654</v>
      </c>
      <c r="C5004" t="s">
        <v>50</v>
      </c>
      <c r="D5004" t="s">
        <v>9167</v>
      </c>
      <c r="E5004" t="s">
        <v>215</v>
      </c>
      <c r="F5004" t="s">
        <v>510</v>
      </c>
      <c r="G5004" t="s">
        <v>513</v>
      </c>
      <c r="H5004" t="str">
        <f>"ΠΑΤΣΙΔΕΣ ΗΡΑΚΛΕΙΟ"</f>
        <v>ΠΑΤΣΙΔΕΣ ΗΡΑΚΛΕΙΟ</v>
      </c>
      <c r="I5004">
        <v>70100</v>
      </c>
      <c r="J5004">
        <v>2810731762</v>
      </c>
      <c r="K5004">
        <v>6937473194</v>
      </c>
      <c r="M5004" t="s">
        <v>9168</v>
      </c>
      <c r="N5004" t="s">
        <v>615</v>
      </c>
      <c r="O5004" t="s">
        <v>616</v>
      </c>
      <c r="R5004" t="s">
        <v>57</v>
      </c>
      <c r="S5004">
        <v>6</v>
      </c>
      <c r="T5004">
        <v>774</v>
      </c>
      <c r="U5004" s="1">
        <v>39680</v>
      </c>
      <c r="V5004" t="s">
        <v>80</v>
      </c>
      <c r="W5004" t="s">
        <v>81</v>
      </c>
      <c r="X5004" t="s">
        <v>58</v>
      </c>
      <c r="Y5004">
        <v>23</v>
      </c>
      <c r="Z5004" t="s">
        <v>59</v>
      </c>
      <c r="AA5004" t="s">
        <v>59</v>
      </c>
      <c r="AB5004" t="s">
        <v>59</v>
      </c>
      <c r="AC5004" t="s">
        <v>59</v>
      </c>
      <c r="AD5004" t="s">
        <v>59</v>
      </c>
      <c r="AF5004" s="1">
        <v>39681</v>
      </c>
      <c r="AG5004" t="s">
        <v>8645</v>
      </c>
      <c r="AH5004" t="s">
        <v>8646</v>
      </c>
      <c r="AI5004" t="str">
        <f>"9170263"</f>
        <v>9170263</v>
      </c>
      <c r="AJ5004" t="s">
        <v>8942</v>
      </c>
      <c r="AK5004">
        <v>2810346939</v>
      </c>
      <c r="AL5004" t="s">
        <v>8943</v>
      </c>
      <c r="AM5004" t="s">
        <v>78</v>
      </c>
      <c r="AN5004" t="s">
        <v>78</v>
      </c>
      <c r="AO5004" t="s">
        <v>286</v>
      </c>
      <c r="AP5004" t="s">
        <v>286</v>
      </c>
      <c r="AQ5004">
        <v>1</v>
      </c>
      <c r="AR5004" t="s">
        <v>80</v>
      </c>
      <c r="AS5004" t="s">
        <v>81</v>
      </c>
      <c r="AT5004" t="s">
        <v>58</v>
      </c>
      <c r="AU5004" t="s">
        <v>68</v>
      </c>
      <c r="AV5004" t="s">
        <v>69</v>
      </c>
      <c r="AW5004" s="1">
        <v>30464</v>
      </c>
      <c r="AX5004">
        <v>1</v>
      </c>
    </row>
    <row r="5005" spans="1:50">
      <c r="A5005">
        <v>704050</v>
      </c>
      <c r="B5005" t="str">
        <f>"132464443"</f>
        <v>132464443</v>
      </c>
      <c r="C5005" t="s">
        <v>50</v>
      </c>
      <c r="D5005" t="s">
        <v>9169</v>
      </c>
      <c r="E5005" t="s">
        <v>9170</v>
      </c>
      <c r="F5005" t="s">
        <v>166</v>
      </c>
      <c r="G5005" t="s">
        <v>1484</v>
      </c>
      <c r="H5005" t="str">
        <f>"ΘΕΟΔΩΡΟΥ ΚΑΣΤΑΝΟΥ 1 ΑΛΕΞΑΝΔΡΟΥΠΟΛΗ"</f>
        <v>ΘΕΟΔΩΡΟΥ ΚΑΣΤΑΝΟΥ 1 ΑΛΕΞΑΝΔΡΟΥΠΟΛΗ</v>
      </c>
      <c r="I5005">
        <v>68100</v>
      </c>
      <c r="J5005">
        <v>2551025175</v>
      </c>
      <c r="K5005">
        <v>6944172919</v>
      </c>
      <c r="N5005" t="s">
        <v>306</v>
      </c>
      <c r="O5005" t="s">
        <v>307</v>
      </c>
      <c r="R5005" t="s">
        <v>57</v>
      </c>
      <c r="S5005">
        <v>4</v>
      </c>
      <c r="T5005">
        <v>1350</v>
      </c>
      <c r="U5005" s="1">
        <v>42732</v>
      </c>
      <c r="V5005" t="s">
        <v>80</v>
      </c>
      <c r="W5005" t="s">
        <v>81</v>
      </c>
      <c r="X5005" t="s">
        <v>58</v>
      </c>
      <c r="Y5005">
        <v>24</v>
      </c>
      <c r="Z5005" t="s">
        <v>59</v>
      </c>
      <c r="AA5005" t="s">
        <v>59</v>
      </c>
      <c r="AB5005" t="s">
        <v>59</v>
      </c>
      <c r="AC5005" t="s">
        <v>59</v>
      </c>
      <c r="AD5005" t="s">
        <v>59</v>
      </c>
      <c r="AF5005" s="1">
        <v>42734</v>
      </c>
      <c r="AG5005" t="s">
        <v>8645</v>
      </c>
      <c r="AH5005" t="s">
        <v>8646</v>
      </c>
      <c r="AI5005" t="str">
        <f>"9170205"</f>
        <v>9170205</v>
      </c>
      <c r="AJ5005" t="s">
        <v>8794</v>
      </c>
      <c r="AK5005">
        <v>2810762030</v>
      </c>
      <c r="AL5005" t="s">
        <v>8795</v>
      </c>
      <c r="AM5005" t="s">
        <v>78</v>
      </c>
      <c r="AN5005" t="s">
        <v>219</v>
      </c>
      <c r="AO5005" t="s">
        <v>297</v>
      </c>
      <c r="AP5005" t="s">
        <v>8796</v>
      </c>
      <c r="AQ5005">
        <v>7</v>
      </c>
      <c r="AR5005" t="s">
        <v>80</v>
      </c>
      <c r="AS5005" t="s">
        <v>81</v>
      </c>
      <c r="AT5005" t="s">
        <v>58</v>
      </c>
      <c r="AU5005" t="s">
        <v>68</v>
      </c>
      <c r="AV5005" t="s">
        <v>69</v>
      </c>
      <c r="AW5005" s="1">
        <v>30317</v>
      </c>
      <c r="AX5005">
        <v>1</v>
      </c>
    </row>
    <row r="5006" spans="1:50">
      <c r="A5006">
        <v>560083</v>
      </c>
      <c r="B5006" t="str">
        <f>"030874341"</f>
        <v>030874341</v>
      </c>
      <c r="C5006" t="s">
        <v>105</v>
      </c>
      <c r="D5006" t="s">
        <v>9171</v>
      </c>
      <c r="E5006" t="s">
        <v>72</v>
      </c>
      <c r="F5006" t="s">
        <v>786</v>
      </c>
      <c r="G5006" t="s">
        <v>52</v>
      </c>
      <c r="H5006" t="str">
        <f>"ΜΟΥΣΣΩΝ 4  ΑΜΜΟΥΔΑΡΑ"</f>
        <v>ΜΟΥΣΣΩΝ 4  ΑΜΜΟΥΔΑΡΑ</v>
      </c>
      <c r="J5006">
        <v>2810251712</v>
      </c>
      <c r="N5006" t="s">
        <v>615</v>
      </c>
      <c r="O5006" t="s">
        <v>616</v>
      </c>
      <c r="R5006" t="s">
        <v>57</v>
      </c>
      <c r="S5006">
        <v>16</v>
      </c>
      <c r="T5006">
        <v>185</v>
      </c>
      <c r="U5006" s="1">
        <v>32035</v>
      </c>
      <c r="V5006" t="s">
        <v>80</v>
      </c>
      <c r="W5006" t="s">
        <v>81</v>
      </c>
      <c r="X5006" t="s">
        <v>58</v>
      </c>
      <c r="Y5006">
        <v>21</v>
      </c>
      <c r="Z5006" t="s">
        <v>59</v>
      </c>
      <c r="AA5006" t="s">
        <v>59</v>
      </c>
      <c r="AB5006" t="s">
        <v>59</v>
      </c>
      <c r="AC5006" t="s">
        <v>59</v>
      </c>
      <c r="AD5006" t="s">
        <v>59</v>
      </c>
      <c r="AF5006" s="1">
        <v>32037</v>
      </c>
      <c r="AG5006" t="s">
        <v>8645</v>
      </c>
      <c r="AH5006" t="s">
        <v>8697</v>
      </c>
      <c r="AI5006" t="str">
        <f>"9170511"</f>
        <v>9170511</v>
      </c>
      <c r="AJ5006" t="s">
        <v>8698</v>
      </c>
      <c r="AK5006">
        <v>2810316275</v>
      </c>
      <c r="AL5006" t="s">
        <v>8699</v>
      </c>
      <c r="AM5006" t="s">
        <v>78</v>
      </c>
      <c r="AN5006" t="s">
        <v>78</v>
      </c>
      <c r="AO5006" t="s">
        <v>78</v>
      </c>
      <c r="AP5006" t="s">
        <v>141</v>
      </c>
      <c r="AQ5006">
        <v>1</v>
      </c>
      <c r="AR5006" t="s">
        <v>80</v>
      </c>
      <c r="AS5006" t="s">
        <v>81</v>
      </c>
      <c r="AT5006" t="s">
        <v>58</v>
      </c>
      <c r="AU5006" t="s">
        <v>68</v>
      </c>
      <c r="AV5006" t="s">
        <v>69</v>
      </c>
      <c r="AW5006" s="1">
        <v>21190</v>
      </c>
      <c r="AX5006">
        <v>1</v>
      </c>
    </row>
    <row r="5007" spans="1:50">
      <c r="A5007">
        <v>607310</v>
      </c>
      <c r="B5007" t="str">
        <f>"132331923"</f>
        <v>132331923</v>
      </c>
      <c r="C5007" t="s">
        <v>50</v>
      </c>
      <c r="D5007" t="s">
        <v>844</v>
      </c>
      <c r="E5007" t="s">
        <v>73</v>
      </c>
      <c r="F5007" t="s">
        <v>99</v>
      </c>
      <c r="G5007" t="s">
        <v>476</v>
      </c>
      <c r="H5007" t="str">
        <f>"ΙΣΟΤΗΤΑΣ 11 ΗΡΑΚΛΕΙΟ"</f>
        <v>ΙΣΟΤΗΤΑΣ 11 ΗΡΑΚΛΕΙΟ</v>
      </c>
      <c r="I5007">
        <v>71306</v>
      </c>
      <c r="J5007">
        <v>2810321886</v>
      </c>
      <c r="K5007">
        <v>6972339137</v>
      </c>
      <c r="M5007" t="s">
        <v>9172</v>
      </c>
      <c r="N5007" t="s">
        <v>615</v>
      </c>
      <c r="O5007" t="s">
        <v>616</v>
      </c>
      <c r="R5007" t="s">
        <v>57</v>
      </c>
      <c r="S5007">
        <v>9</v>
      </c>
      <c r="T5007">
        <v>217</v>
      </c>
      <c r="U5007" s="1">
        <v>38596</v>
      </c>
      <c r="V5007" t="s">
        <v>80</v>
      </c>
      <c r="W5007" t="s">
        <v>81</v>
      </c>
      <c r="X5007" t="s">
        <v>58</v>
      </c>
      <c r="Y5007">
        <v>23</v>
      </c>
      <c r="Z5007" t="s">
        <v>59</v>
      </c>
      <c r="AA5007" t="s">
        <v>59</v>
      </c>
      <c r="AB5007" t="s">
        <v>59</v>
      </c>
      <c r="AC5007" t="s">
        <v>59</v>
      </c>
      <c r="AD5007" t="s">
        <v>59</v>
      </c>
      <c r="AF5007" s="1">
        <v>38600</v>
      </c>
      <c r="AG5007" t="s">
        <v>60</v>
      </c>
      <c r="AH5007" t="s">
        <v>453</v>
      </c>
      <c r="AI5007" t="str">
        <f>"9917101"</f>
        <v>9917101</v>
      </c>
      <c r="AJ5007" t="s">
        <v>81</v>
      </c>
      <c r="AK5007">
        <v>2810529300</v>
      </c>
      <c r="AL5007" t="s">
        <v>9173</v>
      </c>
      <c r="AM5007" t="s">
        <v>78</v>
      </c>
      <c r="AN5007" t="s">
        <v>78</v>
      </c>
      <c r="AO5007" t="s">
        <v>78</v>
      </c>
      <c r="AP5007" t="s">
        <v>79</v>
      </c>
      <c r="AS5007" t="s">
        <v>81</v>
      </c>
      <c r="AT5007" t="s">
        <v>58</v>
      </c>
      <c r="AU5007" t="s">
        <v>68</v>
      </c>
      <c r="AV5007" t="s">
        <v>455</v>
      </c>
      <c r="AW5007" s="1">
        <v>29168</v>
      </c>
      <c r="AX5007">
        <v>1</v>
      </c>
    </row>
    <row r="5008" spans="1:50">
      <c r="A5008">
        <v>621682</v>
      </c>
      <c r="B5008" t="str">
        <f>"132310952"</f>
        <v>132310952</v>
      </c>
      <c r="C5008" t="s">
        <v>50</v>
      </c>
      <c r="D5008" t="s">
        <v>844</v>
      </c>
      <c r="E5008" t="s">
        <v>83</v>
      </c>
      <c r="F5008" t="s">
        <v>106</v>
      </c>
      <c r="G5008" t="s">
        <v>314</v>
      </c>
      <c r="H5008" t="str">
        <f>"ΙΚΑΡΙΑΣ  3 ΗΡΑΚΛΕΙΟ"</f>
        <v>ΙΚΑΡΙΑΣ  3 ΗΡΑΚΛΕΙΟ</v>
      </c>
      <c r="I5008">
        <v>71409</v>
      </c>
      <c r="J5008">
        <v>2810325896</v>
      </c>
      <c r="K5008">
        <v>6977405652</v>
      </c>
      <c r="M5008" t="s">
        <v>9174</v>
      </c>
      <c r="N5008" t="s">
        <v>615</v>
      </c>
      <c r="O5008" t="s">
        <v>616</v>
      </c>
      <c r="P5008" t="s">
        <v>384</v>
      </c>
      <c r="Q5008" t="s">
        <v>385</v>
      </c>
      <c r="R5008" t="s">
        <v>57</v>
      </c>
      <c r="S5008">
        <v>7</v>
      </c>
      <c r="T5008">
        <v>653</v>
      </c>
      <c r="U5008" s="1">
        <v>40043</v>
      </c>
      <c r="V5008" t="s">
        <v>80</v>
      </c>
      <c r="W5008" t="s">
        <v>81</v>
      </c>
      <c r="X5008" t="s">
        <v>58</v>
      </c>
      <c r="Y5008">
        <v>23</v>
      </c>
      <c r="Z5008" t="s">
        <v>59</v>
      </c>
      <c r="AA5008" t="s">
        <v>59</v>
      </c>
      <c r="AB5008" t="s">
        <v>59</v>
      </c>
      <c r="AC5008" t="s">
        <v>59</v>
      </c>
      <c r="AD5008" t="s">
        <v>59</v>
      </c>
      <c r="AF5008" s="1">
        <v>40045</v>
      </c>
      <c r="AG5008" t="s">
        <v>8645</v>
      </c>
      <c r="AH5008" t="s">
        <v>8646</v>
      </c>
      <c r="AI5008" t="str">
        <f>"9170319"</f>
        <v>9170319</v>
      </c>
      <c r="AJ5008" t="s">
        <v>9121</v>
      </c>
      <c r="AK5008">
        <v>2893022231</v>
      </c>
      <c r="AL5008" t="s">
        <v>9122</v>
      </c>
      <c r="AM5008" t="s">
        <v>78</v>
      </c>
      <c r="AN5008" t="s">
        <v>424</v>
      </c>
      <c r="AO5008" t="s">
        <v>577</v>
      </c>
      <c r="AP5008" t="s">
        <v>1668</v>
      </c>
      <c r="AQ5008">
        <v>10</v>
      </c>
      <c r="AR5008" t="s">
        <v>80</v>
      </c>
      <c r="AS5008" t="s">
        <v>81</v>
      </c>
      <c r="AT5008" t="s">
        <v>58</v>
      </c>
      <c r="AU5008" t="s">
        <v>68</v>
      </c>
      <c r="AV5008" t="s">
        <v>69</v>
      </c>
      <c r="AW5008" s="1">
        <v>29355</v>
      </c>
      <c r="AX5008">
        <v>1</v>
      </c>
    </row>
    <row r="5009" spans="1:50">
      <c r="A5009">
        <v>621591</v>
      </c>
      <c r="B5009" t="str">
        <f>"138993721"</f>
        <v>138993721</v>
      </c>
      <c r="C5009" t="s">
        <v>50</v>
      </c>
      <c r="D5009" t="s">
        <v>844</v>
      </c>
      <c r="E5009" t="s">
        <v>473</v>
      </c>
      <c r="F5009" t="s">
        <v>670</v>
      </c>
      <c r="G5009" t="s">
        <v>181</v>
      </c>
      <c r="H5009" t="str">
        <f>"ΕΚΑΛΗΣ 31 ΗΡΑΚΛΕΙΟ"</f>
        <v>ΕΚΑΛΗΣ 31 ΗΡΑΚΛΕΙΟ</v>
      </c>
      <c r="I5009">
        <v>71409</v>
      </c>
      <c r="J5009">
        <v>2810320943</v>
      </c>
      <c r="K5009">
        <v>6946656937</v>
      </c>
      <c r="N5009" t="s">
        <v>615</v>
      </c>
      <c r="O5009" t="s">
        <v>616</v>
      </c>
      <c r="R5009" t="s">
        <v>57</v>
      </c>
      <c r="S5009">
        <v>4</v>
      </c>
      <c r="T5009">
        <v>653</v>
      </c>
      <c r="U5009" s="1">
        <v>40043</v>
      </c>
      <c r="V5009" t="s">
        <v>80</v>
      </c>
      <c r="W5009" t="s">
        <v>81</v>
      </c>
      <c r="X5009" t="s">
        <v>58</v>
      </c>
      <c r="Y5009">
        <v>23</v>
      </c>
      <c r="Z5009" t="s">
        <v>59</v>
      </c>
      <c r="AA5009" t="s">
        <v>59</v>
      </c>
      <c r="AB5009" t="s">
        <v>59</v>
      </c>
      <c r="AC5009" t="s">
        <v>59</v>
      </c>
      <c r="AD5009" t="s">
        <v>59</v>
      </c>
      <c r="AF5009" s="1">
        <v>40043</v>
      </c>
      <c r="AG5009" t="s">
        <v>8645</v>
      </c>
      <c r="AH5009" t="s">
        <v>8646</v>
      </c>
      <c r="AI5009" t="str">
        <f>"9170547"</f>
        <v>9170547</v>
      </c>
      <c r="AJ5009" t="s">
        <v>9175</v>
      </c>
      <c r="AK5009">
        <v>2810250886</v>
      </c>
      <c r="AL5009" t="s">
        <v>9176</v>
      </c>
      <c r="AM5009" t="s">
        <v>78</v>
      </c>
      <c r="AN5009" t="s">
        <v>78</v>
      </c>
      <c r="AO5009" t="s">
        <v>78</v>
      </c>
      <c r="AP5009" t="s">
        <v>141</v>
      </c>
      <c r="AQ5009">
        <v>1</v>
      </c>
      <c r="AR5009" t="s">
        <v>80</v>
      </c>
      <c r="AS5009" t="s">
        <v>81</v>
      </c>
      <c r="AT5009" t="s">
        <v>58</v>
      </c>
      <c r="AU5009" t="s">
        <v>68</v>
      </c>
      <c r="AV5009" t="s">
        <v>69</v>
      </c>
      <c r="AW5009" s="1">
        <v>31669</v>
      </c>
      <c r="AX5009">
        <v>1</v>
      </c>
    </row>
    <row r="5010" spans="1:50">
      <c r="A5010">
        <v>702055</v>
      </c>
      <c r="B5010" t="str">
        <f>"138998255"</f>
        <v>138998255</v>
      </c>
      <c r="C5010" t="s">
        <v>50</v>
      </c>
      <c r="D5010" t="s">
        <v>844</v>
      </c>
      <c r="E5010" t="s">
        <v>191</v>
      </c>
      <c r="F5010" t="s">
        <v>92</v>
      </c>
      <c r="G5010" t="s">
        <v>215</v>
      </c>
      <c r="H5010" t="str">
        <f>"ΠΥΡΓΟΣ ΜΟΝΟΦΑΤΣΙΟΥ ΑΣΤΕΡΟΥΣΙΩΝ ΗΡΑΚΛΕΙΟ"</f>
        <v>ΠΥΡΓΟΣ ΜΟΝΟΦΑΤΣΙΟΥ ΑΣΤΕΡΟΥΣΙΩΝ ΗΡΑΚΛΕΙΟ</v>
      </c>
      <c r="I5010">
        <v>70010</v>
      </c>
      <c r="J5010">
        <v>2893022560</v>
      </c>
      <c r="K5010">
        <v>6978744316</v>
      </c>
      <c r="M5010" t="s">
        <v>9177</v>
      </c>
      <c r="N5010" t="s">
        <v>615</v>
      </c>
      <c r="O5010" t="s">
        <v>616</v>
      </c>
      <c r="R5010" t="s">
        <v>57</v>
      </c>
      <c r="S5010">
        <v>4</v>
      </c>
      <c r="T5010">
        <v>772</v>
      </c>
      <c r="U5010" s="1">
        <v>40413</v>
      </c>
      <c r="V5010" t="s">
        <v>80</v>
      </c>
      <c r="W5010" t="s">
        <v>81</v>
      </c>
      <c r="X5010" t="s">
        <v>58</v>
      </c>
      <c r="Y5010">
        <v>24</v>
      </c>
      <c r="Z5010" t="s">
        <v>59</v>
      </c>
      <c r="AA5010" t="s">
        <v>59</v>
      </c>
      <c r="AB5010" t="s">
        <v>59</v>
      </c>
      <c r="AC5010" t="s">
        <v>59</v>
      </c>
      <c r="AD5010" t="s">
        <v>59</v>
      </c>
      <c r="AF5010" s="1">
        <v>40413</v>
      </c>
      <c r="AG5010" t="s">
        <v>8645</v>
      </c>
      <c r="AH5010" t="s">
        <v>8646</v>
      </c>
      <c r="AI5010" t="str">
        <f>"9170097"</f>
        <v>9170097</v>
      </c>
      <c r="AJ5010" t="s">
        <v>8826</v>
      </c>
      <c r="AK5010">
        <v>2810751807</v>
      </c>
      <c r="AL5010" t="s">
        <v>8827</v>
      </c>
      <c r="AM5010" t="s">
        <v>78</v>
      </c>
      <c r="AN5010" t="s">
        <v>424</v>
      </c>
      <c r="AO5010" t="s">
        <v>425</v>
      </c>
      <c r="AP5010" t="s">
        <v>425</v>
      </c>
      <c r="AQ5010">
        <v>11</v>
      </c>
      <c r="AR5010" t="s">
        <v>80</v>
      </c>
      <c r="AS5010" t="s">
        <v>81</v>
      </c>
      <c r="AT5010" t="s">
        <v>58</v>
      </c>
      <c r="AU5010" t="s">
        <v>68</v>
      </c>
      <c r="AV5010" t="s">
        <v>69</v>
      </c>
      <c r="AW5010" s="1">
        <v>31554</v>
      </c>
      <c r="AX5010">
        <v>1</v>
      </c>
    </row>
    <row r="5011" spans="1:50">
      <c r="B5011" t="str">
        <f>"138983660"</f>
        <v>138983660</v>
      </c>
      <c r="C5011" t="s">
        <v>105</v>
      </c>
      <c r="D5011" t="s">
        <v>9178</v>
      </c>
      <c r="E5011" t="s">
        <v>510</v>
      </c>
      <c r="F5011" t="s">
        <v>95</v>
      </c>
      <c r="G5011" t="s">
        <v>215</v>
      </c>
      <c r="H5011" t="str">
        <f>"ΣΕΡΡΩΝ 86 "</f>
        <v xml:space="preserve">ΣΕΡΡΩΝ 86 </v>
      </c>
      <c r="I5011">
        <v>71307</v>
      </c>
      <c r="J5011">
        <v>2810323065</v>
      </c>
      <c r="K5011">
        <v>6979273793</v>
      </c>
      <c r="N5011" t="s">
        <v>615</v>
      </c>
      <c r="O5011" t="s">
        <v>616</v>
      </c>
      <c r="R5011" t="s">
        <v>159</v>
      </c>
      <c r="S5011">
        <v>3</v>
      </c>
      <c r="T5011" t="s">
        <v>8675</v>
      </c>
      <c r="U5011" s="1">
        <v>43348</v>
      </c>
      <c r="V5011" t="s">
        <v>80</v>
      </c>
      <c r="W5011" t="s">
        <v>81</v>
      </c>
      <c r="X5011" t="s">
        <v>58</v>
      </c>
      <c r="Y5011">
        <v>24</v>
      </c>
      <c r="Z5011" t="s">
        <v>59</v>
      </c>
      <c r="AA5011" t="s">
        <v>59</v>
      </c>
      <c r="AB5011" t="s">
        <v>59</v>
      </c>
      <c r="AC5011" t="s">
        <v>59</v>
      </c>
      <c r="AD5011" t="s">
        <v>59</v>
      </c>
      <c r="AF5011" s="1">
        <v>43348</v>
      </c>
      <c r="AG5011" t="s">
        <v>8645</v>
      </c>
      <c r="AH5011" t="s">
        <v>8646</v>
      </c>
      <c r="AI5011" t="str">
        <f>"9170034"</f>
        <v>9170034</v>
      </c>
      <c r="AJ5011" t="s">
        <v>9179</v>
      </c>
      <c r="AK5011">
        <v>2810841217</v>
      </c>
      <c r="AL5011" t="s">
        <v>9180</v>
      </c>
      <c r="AM5011" t="s">
        <v>78</v>
      </c>
      <c r="AN5011" t="s">
        <v>129</v>
      </c>
      <c r="AO5011" t="s">
        <v>130</v>
      </c>
      <c r="AP5011" t="s">
        <v>9181</v>
      </c>
      <c r="AQ5011">
        <v>2</v>
      </c>
      <c r="AR5011" t="s">
        <v>80</v>
      </c>
      <c r="AS5011" t="s">
        <v>81</v>
      </c>
      <c r="AT5011" t="s">
        <v>58</v>
      </c>
      <c r="AU5011" t="s">
        <v>8673</v>
      </c>
      <c r="AV5011" t="s">
        <v>132</v>
      </c>
      <c r="AW5011" s="1">
        <v>31991</v>
      </c>
      <c r="AX5011">
        <v>1</v>
      </c>
    </row>
    <row r="5012" spans="1:50">
      <c r="A5012">
        <v>596978</v>
      </c>
      <c r="B5012" t="str">
        <f>"056168018"</f>
        <v>056168018</v>
      </c>
      <c r="C5012" t="s">
        <v>50</v>
      </c>
      <c r="D5012" t="s">
        <v>9182</v>
      </c>
      <c r="E5012" t="s">
        <v>188</v>
      </c>
      <c r="F5012" t="s">
        <v>95</v>
      </c>
      <c r="G5012" t="s">
        <v>52</v>
      </c>
      <c r="H5012" t="str">
        <f>" "</f>
        <v xml:space="preserve"> </v>
      </c>
      <c r="J5012">
        <v>2810821122</v>
      </c>
      <c r="L5012">
        <v>2892022471</v>
      </c>
      <c r="N5012" t="s">
        <v>1525</v>
      </c>
      <c r="O5012" t="s">
        <v>1526</v>
      </c>
      <c r="R5012" t="s">
        <v>57</v>
      </c>
      <c r="S5012">
        <v>8</v>
      </c>
      <c r="T5012">
        <v>195</v>
      </c>
      <c r="U5012" s="1">
        <v>37501</v>
      </c>
      <c r="V5012" t="s">
        <v>80</v>
      </c>
      <c r="W5012" t="s">
        <v>81</v>
      </c>
      <c r="X5012" t="s">
        <v>58</v>
      </c>
      <c r="Y5012">
        <v>25</v>
      </c>
      <c r="Z5012" t="s">
        <v>59</v>
      </c>
      <c r="AA5012" t="s">
        <v>59</v>
      </c>
      <c r="AB5012" t="s">
        <v>59</v>
      </c>
      <c r="AC5012" t="s">
        <v>59</v>
      </c>
      <c r="AD5012" t="s">
        <v>59</v>
      </c>
      <c r="AF5012" s="1">
        <v>37501</v>
      </c>
      <c r="AG5012" t="s">
        <v>8651</v>
      </c>
      <c r="AH5012" t="s">
        <v>8652</v>
      </c>
      <c r="AI5012" t="str">
        <f>"9170552"</f>
        <v>9170552</v>
      </c>
      <c r="AJ5012" t="s">
        <v>9183</v>
      </c>
      <c r="AK5012">
        <v>2892025131</v>
      </c>
      <c r="AL5012" t="s">
        <v>9184</v>
      </c>
      <c r="AM5012" t="s">
        <v>78</v>
      </c>
      <c r="AN5012" t="s">
        <v>242</v>
      </c>
      <c r="AO5012" t="s">
        <v>243</v>
      </c>
      <c r="AP5012" t="s">
        <v>243</v>
      </c>
      <c r="AQ5012">
        <v>20</v>
      </c>
      <c r="AR5012" t="s">
        <v>80</v>
      </c>
      <c r="AS5012" t="s">
        <v>81</v>
      </c>
      <c r="AT5012" t="s">
        <v>58</v>
      </c>
      <c r="AU5012" t="s">
        <v>68</v>
      </c>
      <c r="AV5012" t="s">
        <v>69</v>
      </c>
      <c r="AW5012" s="1">
        <v>27993</v>
      </c>
      <c r="AX5012">
        <v>1</v>
      </c>
    </row>
    <row r="5013" spans="1:50">
      <c r="B5013" t="str">
        <f>"134485723"</f>
        <v>134485723</v>
      </c>
      <c r="C5013" t="s">
        <v>105</v>
      </c>
      <c r="D5013" t="s">
        <v>862</v>
      </c>
      <c r="E5013" t="s">
        <v>782</v>
      </c>
      <c r="F5013" t="s">
        <v>72</v>
      </c>
      <c r="G5013" t="s">
        <v>513</v>
      </c>
      <c r="H5013" t="str">
        <f>"ΓΚΑΓΚΑΛΕΣ "</f>
        <v xml:space="preserve">ΓΚΑΓΚΑΛΕΣ </v>
      </c>
      <c r="I5013">
        <v>70012</v>
      </c>
      <c r="J5013">
        <v>2892031846</v>
      </c>
      <c r="K5013">
        <v>6938740150</v>
      </c>
      <c r="N5013" t="s">
        <v>384</v>
      </c>
      <c r="O5013" t="s">
        <v>385</v>
      </c>
      <c r="R5013" t="s">
        <v>159</v>
      </c>
      <c r="S5013">
        <v>2</v>
      </c>
      <c r="T5013" t="s">
        <v>8675</v>
      </c>
      <c r="U5013" s="1">
        <v>43348</v>
      </c>
      <c r="V5013" t="s">
        <v>80</v>
      </c>
      <c r="W5013" t="s">
        <v>81</v>
      </c>
      <c r="X5013" t="s">
        <v>58</v>
      </c>
      <c r="Y5013">
        <v>24</v>
      </c>
      <c r="Z5013" t="s">
        <v>59</v>
      </c>
      <c r="AA5013" t="s">
        <v>59</v>
      </c>
      <c r="AB5013" t="s">
        <v>59</v>
      </c>
      <c r="AC5013" t="s">
        <v>59</v>
      </c>
      <c r="AD5013" t="s">
        <v>59</v>
      </c>
      <c r="AF5013" s="1">
        <v>43348</v>
      </c>
      <c r="AG5013" t="s">
        <v>8645</v>
      </c>
      <c r="AH5013" t="s">
        <v>8646</v>
      </c>
      <c r="AI5013" t="str">
        <f>"9170017"</f>
        <v>9170017</v>
      </c>
      <c r="AJ5013" t="s">
        <v>9114</v>
      </c>
      <c r="AK5013">
        <v>2810250746</v>
      </c>
      <c r="AL5013" t="s">
        <v>9115</v>
      </c>
      <c r="AM5013" t="s">
        <v>78</v>
      </c>
      <c r="AN5013" t="s">
        <v>129</v>
      </c>
      <c r="AO5013" t="s">
        <v>130</v>
      </c>
      <c r="AP5013" t="s">
        <v>130</v>
      </c>
      <c r="AQ5013">
        <v>1</v>
      </c>
      <c r="AR5013" t="s">
        <v>80</v>
      </c>
      <c r="AS5013" t="s">
        <v>81</v>
      </c>
      <c r="AT5013" t="s">
        <v>58</v>
      </c>
      <c r="AU5013" t="s">
        <v>8673</v>
      </c>
      <c r="AV5013" t="s">
        <v>132</v>
      </c>
      <c r="AW5013" s="1">
        <v>31689</v>
      </c>
      <c r="AX5013">
        <v>1</v>
      </c>
    </row>
    <row r="5014" spans="1:50">
      <c r="B5014" t="str">
        <f>"074932727"</f>
        <v>074932727</v>
      </c>
      <c r="C5014" t="s">
        <v>105</v>
      </c>
      <c r="D5014" t="s">
        <v>9185</v>
      </c>
      <c r="E5014" t="s">
        <v>72</v>
      </c>
      <c r="F5014" t="s">
        <v>95</v>
      </c>
      <c r="G5014" t="s">
        <v>4515</v>
      </c>
      <c r="H5014" t="str">
        <f>"ΡΙΖΟ ΣΚΥΔΡΑ"</f>
        <v>ΡΙΖΟ ΣΚΥΔΡΑ</v>
      </c>
      <c r="I5014">
        <v>58500</v>
      </c>
      <c r="J5014">
        <v>2381071834</v>
      </c>
      <c r="K5014">
        <v>6944463123</v>
      </c>
      <c r="N5014" t="s">
        <v>176</v>
      </c>
      <c r="O5014" t="s">
        <v>177</v>
      </c>
      <c r="R5014" t="s">
        <v>57</v>
      </c>
      <c r="S5014">
        <v>4</v>
      </c>
      <c r="T5014" t="s">
        <v>8675</v>
      </c>
      <c r="U5014" s="1">
        <v>43348</v>
      </c>
      <c r="V5014" t="s">
        <v>80</v>
      </c>
      <c r="W5014" t="s">
        <v>81</v>
      </c>
      <c r="X5014" t="s">
        <v>58</v>
      </c>
      <c r="Y5014">
        <v>24</v>
      </c>
      <c r="Z5014" t="s">
        <v>59</v>
      </c>
      <c r="AA5014" t="s">
        <v>59</v>
      </c>
      <c r="AB5014" t="s">
        <v>59</v>
      </c>
      <c r="AC5014" t="s">
        <v>59</v>
      </c>
      <c r="AD5014" t="s">
        <v>59</v>
      </c>
      <c r="AF5014" s="1">
        <v>43348</v>
      </c>
      <c r="AG5014" t="s">
        <v>8645</v>
      </c>
      <c r="AH5014" t="s">
        <v>8646</v>
      </c>
      <c r="AI5014" t="str">
        <f>"9170285"</f>
        <v>9170285</v>
      </c>
      <c r="AJ5014" t="s">
        <v>9186</v>
      </c>
      <c r="AK5014">
        <v>2894031223</v>
      </c>
      <c r="AL5014" t="s">
        <v>9187</v>
      </c>
      <c r="AM5014" t="s">
        <v>78</v>
      </c>
      <c r="AN5014" t="s">
        <v>242</v>
      </c>
      <c r="AO5014" t="s">
        <v>999</v>
      </c>
      <c r="AP5014" t="s">
        <v>999</v>
      </c>
      <c r="AQ5014">
        <v>21</v>
      </c>
      <c r="AR5014" t="s">
        <v>80</v>
      </c>
      <c r="AS5014" t="s">
        <v>81</v>
      </c>
      <c r="AT5014" t="s">
        <v>58</v>
      </c>
      <c r="AU5014" t="s">
        <v>8673</v>
      </c>
      <c r="AV5014" t="s">
        <v>132</v>
      </c>
      <c r="AW5014" s="1">
        <v>26154</v>
      </c>
      <c r="AX5014">
        <v>1</v>
      </c>
    </row>
    <row r="5015" spans="1:50">
      <c r="A5015">
        <v>621469</v>
      </c>
      <c r="B5015" t="str">
        <f>"138969456"</f>
        <v>138969456</v>
      </c>
      <c r="C5015" t="s">
        <v>50</v>
      </c>
      <c r="D5015" t="s">
        <v>9188</v>
      </c>
      <c r="E5015" t="s">
        <v>6179</v>
      </c>
      <c r="F5015" t="s">
        <v>166</v>
      </c>
      <c r="G5015" t="s">
        <v>52</v>
      </c>
      <c r="H5015" t="str">
        <f>"ΓΟΡΓΙΑ 4 ΗΡΑΚΛΕΙΟ"</f>
        <v>ΓΟΡΓΙΑ 4 ΗΡΑΚΛΕΙΟ</v>
      </c>
      <c r="I5015">
        <v>71409</v>
      </c>
      <c r="J5015">
        <v>2811111311</v>
      </c>
      <c r="K5015">
        <v>6977288688</v>
      </c>
      <c r="M5015" t="s">
        <v>9189</v>
      </c>
      <c r="N5015" t="s">
        <v>615</v>
      </c>
      <c r="O5015" t="s">
        <v>616</v>
      </c>
      <c r="R5015" t="s">
        <v>57</v>
      </c>
      <c r="S5015">
        <v>4</v>
      </c>
      <c r="T5015">
        <v>653</v>
      </c>
      <c r="U5015" s="1">
        <v>40043</v>
      </c>
      <c r="V5015" t="s">
        <v>80</v>
      </c>
      <c r="W5015" t="s">
        <v>81</v>
      </c>
      <c r="X5015" t="s">
        <v>58</v>
      </c>
      <c r="Y5015">
        <v>23</v>
      </c>
      <c r="Z5015" t="s">
        <v>59</v>
      </c>
      <c r="AA5015" t="s">
        <v>59</v>
      </c>
      <c r="AB5015" t="s">
        <v>59</v>
      </c>
      <c r="AC5015" t="s">
        <v>59</v>
      </c>
      <c r="AD5015" t="s">
        <v>59</v>
      </c>
      <c r="AF5015" s="1">
        <v>40043</v>
      </c>
      <c r="AG5015" t="s">
        <v>8645</v>
      </c>
      <c r="AH5015" t="s">
        <v>8646</v>
      </c>
      <c r="AI5015" t="str">
        <f>"9170428"</f>
        <v>9170428</v>
      </c>
      <c r="AJ5015" t="s">
        <v>8983</v>
      </c>
      <c r="AK5015">
        <v>2810234768</v>
      </c>
      <c r="AL5015" t="s">
        <v>8984</v>
      </c>
      <c r="AM5015" t="s">
        <v>78</v>
      </c>
      <c r="AN5015" t="s">
        <v>78</v>
      </c>
      <c r="AO5015" t="s">
        <v>78</v>
      </c>
      <c r="AP5015" t="s">
        <v>79</v>
      </c>
      <c r="AQ5015">
        <v>1</v>
      </c>
      <c r="AR5015" t="s">
        <v>80</v>
      </c>
      <c r="AS5015" t="s">
        <v>81</v>
      </c>
      <c r="AT5015" t="s">
        <v>58</v>
      </c>
      <c r="AU5015" t="s">
        <v>68</v>
      </c>
      <c r="AV5015" t="s">
        <v>69</v>
      </c>
      <c r="AW5015" s="1">
        <v>31624</v>
      </c>
      <c r="AX5015">
        <v>1</v>
      </c>
    </row>
    <row r="5016" spans="1:50">
      <c r="A5016">
        <v>617309</v>
      </c>
      <c r="B5016" t="str">
        <f>"125571756"</f>
        <v>125571756</v>
      </c>
      <c r="C5016" t="s">
        <v>50</v>
      </c>
      <c r="D5016" t="s">
        <v>9188</v>
      </c>
      <c r="E5016" t="s">
        <v>904</v>
      </c>
      <c r="F5016" t="s">
        <v>311</v>
      </c>
      <c r="G5016" t="s">
        <v>52</v>
      </c>
      <c r="H5016" t="str">
        <f>"ΠΑΤΣΙΔΕΣ ΗΡΑΚΛΕΙΟ"</f>
        <v>ΠΑΤΣΙΔΕΣ ΗΡΑΚΛΕΙΟ</v>
      </c>
      <c r="J5016">
        <v>2810731707</v>
      </c>
      <c r="K5016">
        <v>6979636132</v>
      </c>
      <c r="M5016" t="s">
        <v>9190</v>
      </c>
      <c r="N5016" t="s">
        <v>615</v>
      </c>
      <c r="O5016" t="s">
        <v>616</v>
      </c>
      <c r="R5016" t="s">
        <v>57</v>
      </c>
      <c r="S5016">
        <v>8</v>
      </c>
      <c r="T5016">
        <v>774</v>
      </c>
      <c r="U5016" s="1">
        <v>39680</v>
      </c>
      <c r="V5016" t="s">
        <v>80</v>
      </c>
      <c r="W5016" t="s">
        <v>81</v>
      </c>
      <c r="X5016" t="s">
        <v>58</v>
      </c>
      <c r="Y5016">
        <v>23</v>
      </c>
      <c r="Z5016" t="s">
        <v>59</v>
      </c>
      <c r="AA5016" t="s">
        <v>59</v>
      </c>
      <c r="AB5016" t="s">
        <v>59</v>
      </c>
      <c r="AC5016" t="s">
        <v>59</v>
      </c>
      <c r="AD5016" t="s">
        <v>59</v>
      </c>
      <c r="AF5016" s="1">
        <v>39681</v>
      </c>
      <c r="AG5016" t="s">
        <v>8645</v>
      </c>
      <c r="AH5016" t="s">
        <v>8646</v>
      </c>
      <c r="AI5016" t="str">
        <f>"9170192"</f>
        <v>9170192</v>
      </c>
      <c r="AJ5016" t="s">
        <v>8661</v>
      </c>
      <c r="AK5016">
        <v>2810231985</v>
      </c>
      <c r="AL5016" t="s">
        <v>8662</v>
      </c>
      <c r="AM5016" t="s">
        <v>78</v>
      </c>
      <c r="AN5016" t="s">
        <v>78</v>
      </c>
      <c r="AO5016" t="s">
        <v>78</v>
      </c>
      <c r="AP5016" t="s">
        <v>163</v>
      </c>
      <c r="AQ5016">
        <v>1</v>
      </c>
      <c r="AR5016" t="s">
        <v>80</v>
      </c>
      <c r="AS5016" t="s">
        <v>81</v>
      </c>
      <c r="AT5016" t="s">
        <v>58</v>
      </c>
      <c r="AU5016" t="s">
        <v>68</v>
      </c>
      <c r="AV5016" t="s">
        <v>69</v>
      </c>
      <c r="AW5016" s="1">
        <v>30676</v>
      </c>
      <c r="AX5016">
        <v>1</v>
      </c>
    </row>
    <row r="5017" spans="1:50">
      <c r="B5017" t="str">
        <f>"137245721"</f>
        <v>137245721</v>
      </c>
      <c r="C5017" t="s">
        <v>50</v>
      </c>
      <c r="D5017" t="s">
        <v>9191</v>
      </c>
      <c r="E5017" t="s">
        <v>250</v>
      </c>
      <c r="F5017" t="s">
        <v>95</v>
      </c>
      <c r="G5017" t="s">
        <v>215</v>
      </c>
      <c r="H5017" t="str">
        <f>"ΑΙΓΑΙΟΥ 11 ΒΑΣΙΛΕΙΕΣ ΗΡΑΚΛΕΙΟΥ"</f>
        <v>ΑΙΓΑΙΟΥ 11 ΒΑΣΙΛΕΙΕΣ ΗΡΑΚΛΕΙΟΥ</v>
      </c>
      <c r="I5017">
        <v>71500</v>
      </c>
      <c r="J5017">
        <v>2810313515</v>
      </c>
      <c r="K5017">
        <v>6979533692</v>
      </c>
      <c r="N5017" t="s">
        <v>615</v>
      </c>
      <c r="O5017" t="s">
        <v>616</v>
      </c>
      <c r="R5017" t="s">
        <v>159</v>
      </c>
      <c r="S5017">
        <v>3</v>
      </c>
      <c r="T5017" t="s">
        <v>8675</v>
      </c>
      <c r="U5017" s="1">
        <v>43348</v>
      </c>
      <c r="V5017" t="s">
        <v>80</v>
      </c>
      <c r="W5017" t="s">
        <v>81</v>
      </c>
      <c r="X5017" t="s">
        <v>58</v>
      </c>
      <c r="Y5017">
        <v>24</v>
      </c>
      <c r="Z5017" t="s">
        <v>59</v>
      </c>
      <c r="AA5017" t="s">
        <v>59</v>
      </c>
      <c r="AB5017" t="s">
        <v>59</v>
      </c>
      <c r="AC5017" t="s">
        <v>59</v>
      </c>
      <c r="AD5017" t="s">
        <v>59</v>
      </c>
      <c r="AF5017" s="1">
        <v>43348</v>
      </c>
      <c r="AG5017" t="s">
        <v>8645</v>
      </c>
      <c r="AH5017" t="s">
        <v>8646</v>
      </c>
      <c r="AI5017" t="str">
        <f>"9521014"</f>
        <v>9521014</v>
      </c>
      <c r="AJ5017" t="s">
        <v>8974</v>
      </c>
      <c r="AK5017">
        <v>2897029611</v>
      </c>
      <c r="AL5017" t="s">
        <v>8975</v>
      </c>
      <c r="AM5017" t="s">
        <v>78</v>
      </c>
      <c r="AN5017" t="s">
        <v>219</v>
      </c>
      <c r="AO5017" t="s">
        <v>527</v>
      </c>
      <c r="AP5017" t="s">
        <v>527</v>
      </c>
      <c r="AQ5017">
        <v>8</v>
      </c>
      <c r="AR5017" t="s">
        <v>80</v>
      </c>
      <c r="AS5017" t="s">
        <v>81</v>
      </c>
      <c r="AT5017" t="s">
        <v>58</v>
      </c>
      <c r="AU5017" t="s">
        <v>8673</v>
      </c>
      <c r="AV5017" t="s">
        <v>132</v>
      </c>
      <c r="AW5017" s="1">
        <v>31752</v>
      </c>
      <c r="AX5017">
        <v>1</v>
      </c>
    </row>
    <row r="5018" spans="1:50">
      <c r="A5018">
        <v>613174</v>
      </c>
      <c r="B5018" t="str">
        <f>"046384893"</f>
        <v>046384893</v>
      </c>
      <c r="C5018" t="s">
        <v>50</v>
      </c>
      <c r="D5018" t="s">
        <v>9192</v>
      </c>
      <c r="E5018" t="s">
        <v>1155</v>
      </c>
      <c r="F5018" t="s">
        <v>95</v>
      </c>
      <c r="G5018" t="s">
        <v>155</v>
      </c>
      <c r="H5018" t="str">
        <f>"Αγελάου 11 ¶γιος Αρτεμιος"</f>
        <v>Αγελάου 11 ¶γιος Αρτεμιος</v>
      </c>
      <c r="I5018">
        <v>11634</v>
      </c>
      <c r="J5018">
        <v>2107563076</v>
      </c>
      <c r="K5018">
        <v>6977081793</v>
      </c>
      <c r="M5018" t="s">
        <v>9193</v>
      </c>
      <c r="N5018" t="s">
        <v>615</v>
      </c>
      <c r="O5018" t="s">
        <v>616</v>
      </c>
      <c r="R5018" t="s">
        <v>57</v>
      </c>
      <c r="S5018">
        <v>12</v>
      </c>
      <c r="T5018">
        <v>598</v>
      </c>
      <c r="U5018" s="1">
        <v>39310</v>
      </c>
      <c r="V5018" t="s">
        <v>80</v>
      </c>
      <c r="W5018" t="s">
        <v>81</v>
      </c>
      <c r="X5018" t="s">
        <v>58</v>
      </c>
      <c r="Y5018">
        <v>23</v>
      </c>
      <c r="Z5018" t="s">
        <v>59</v>
      </c>
      <c r="AA5018" t="s">
        <v>59</v>
      </c>
      <c r="AB5018" t="s">
        <v>59</v>
      </c>
      <c r="AC5018" t="s">
        <v>59</v>
      </c>
      <c r="AD5018" t="s">
        <v>59</v>
      </c>
      <c r="AF5018" s="1">
        <v>39310</v>
      </c>
      <c r="AG5018" t="s">
        <v>8645</v>
      </c>
      <c r="AH5018" t="s">
        <v>8646</v>
      </c>
      <c r="AI5018" t="str">
        <f>"9170194"</f>
        <v>9170194</v>
      </c>
      <c r="AJ5018" t="s">
        <v>8768</v>
      </c>
      <c r="AK5018">
        <v>2810239611</v>
      </c>
      <c r="AL5018" t="s">
        <v>8769</v>
      </c>
      <c r="AM5018" t="s">
        <v>78</v>
      </c>
      <c r="AN5018" t="s">
        <v>78</v>
      </c>
      <c r="AO5018" t="s">
        <v>78</v>
      </c>
      <c r="AP5018" t="s">
        <v>213</v>
      </c>
      <c r="AQ5018">
        <v>1</v>
      </c>
      <c r="AR5018" t="s">
        <v>80</v>
      </c>
      <c r="AS5018" t="s">
        <v>81</v>
      </c>
      <c r="AT5018" t="s">
        <v>58</v>
      </c>
      <c r="AU5018" t="s">
        <v>68</v>
      </c>
      <c r="AV5018" t="s">
        <v>69</v>
      </c>
      <c r="AW5018" s="1">
        <v>24230</v>
      </c>
      <c r="AX5018">
        <v>1</v>
      </c>
    </row>
    <row r="5019" spans="1:50">
      <c r="B5019" t="str">
        <f>"079767270"</f>
        <v>079767270</v>
      </c>
      <c r="C5019" t="s">
        <v>50</v>
      </c>
      <c r="D5019" t="s">
        <v>880</v>
      </c>
      <c r="E5019" t="s">
        <v>440</v>
      </c>
      <c r="F5019" t="s">
        <v>111</v>
      </c>
      <c r="G5019" t="s">
        <v>52</v>
      </c>
      <c r="H5019" t="str">
        <f>" "</f>
        <v xml:space="preserve"> </v>
      </c>
      <c r="N5019" t="s">
        <v>1525</v>
      </c>
      <c r="O5019" t="s">
        <v>1526</v>
      </c>
      <c r="R5019" t="s">
        <v>121</v>
      </c>
      <c r="S5019">
        <v>1</v>
      </c>
      <c r="T5019" t="s">
        <v>8670</v>
      </c>
      <c r="U5019" s="1">
        <v>43348</v>
      </c>
      <c r="V5019" t="s">
        <v>80</v>
      </c>
      <c r="W5019" t="s">
        <v>81</v>
      </c>
      <c r="X5019" t="s">
        <v>58</v>
      </c>
      <c r="Y5019">
        <v>25</v>
      </c>
      <c r="Z5019" t="s">
        <v>59</v>
      </c>
      <c r="AA5019" t="s">
        <v>59</v>
      </c>
      <c r="AB5019" t="s">
        <v>59</v>
      </c>
      <c r="AC5019" t="s">
        <v>59</v>
      </c>
      <c r="AD5019" t="s">
        <v>59</v>
      </c>
      <c r="AF5019" s="1">
        <v>43348</v>
      </c>
      <c r="AG5019" t="s">
        <v>8651</v>
      </c>
      <c r="AH5019" t="s">
        <v>8652</v>
      </c>
      <c r="AI5019" t="str">
        <f>"9170060"</f>
        <v>9170060</v>
      </c>
      <c r="AJ5019" t="s">
        <v>9194</v>
      </c>
      <c r="AK5019">
        <v>2810791187</v>
      </c>
      <c r="AL5019" t="s">
        <v>9195</v>
      </c>
      <c r="AM5019" t="s">
        <v>78</v>
      </c>
      <c r="AN5019" t="s">
        <v>78</v>
      </c>
      <c r="AO5019" t="s">
        <v>78</v>
      </c>
      <c r="AP5019" t="s">
        <v>8871</v>
      </c>
      <c r="AQ5019">
        <v>3</v>
      </c>
      <c r="AR5019" t="s">
        <v>80</v>
      </c>
      <c r="AS5019" t="s">
        <v>81</v>
      </c>
      <c r="AT5019" t="s">
        <v>58</v>
      </c>
      <c r="AU5019" t="s">
        <v>8673</v>
      </c>
      <c r="AV5019" t="s">
        <v>132</v>
      </c>
      <c r="AW5019" s="1">
        <v>30175</v>
      </c>
      <c r="AX5019">
        <v>1</v>
      </c>
    </row>
    <row r="5020" spans="1:50">
      <c r="A5020">
        <v>227824</v>
      </c>
      <c r="B5020" t="str">
        <f>"110109016"</f>
        <v>110109016</v>
      </c>
      <c r="C5020" t="s">
        <v>50</v>
      </c>
      <c r="D5020" t="s">
        <v>882</v>
      </c>
      <c r="E5020" t="s">
        <v>83</v>
      </c>
      <c r="F5020" t="s">
        <v>92</v>
      </c>
      <c r="G5020" t="s">
        <v>237</v>
      </c>
      <c r="H5020" t="str">
        <f>"ΜΑΙΑΝΔΡΟΥ 7 ΗΡΑΚΛΕΙΟ ΚΡΗΤΗΣ"</f>
        <v>ΜΑΙΑΝΔΡΟΥ 7 ΗΡΑΚΛΕΙΟ ΚΡΗΤΗΣ</v>
      </c>
      <c r="I5020">
        <v>71305</v>
      </c>
      <c r="J5020">
        <v>2810257671</v>
      </c>
      <c r="K5020">
        <v>6977337575</v>
      </c>
      <c r="N5020" t="s">
        <v>176</v>
      </c>
      <c r="O5020" t="s">
        <v>177</v>
      </c>
      <c r="R5020" t="s">
        <v>57</v>
      </c>
      <c r="S5020">
        <v>5</v>
      </c>
      <c r="T5020">
        <v>654</v>
      </c>
      <c r="U5020" s="1">
        <v>40043</v>
      </c>
      <c r="V5020" t="s">
        <v>80</v>
      </c>
      <c r="W5020" t="s">
        <v>81</v>
      </c>
      <c r="X5020" t="s">
        <v>58</v>
      </c>
      <c r="Y5020">
        <v>23</v>
      </c>
      <c r="Z5020" t="s">
        <v>59</v>
      </c>
      <c r="AA5020" t="s">
        <v>59</v>
      </c>
      <c r="AB5020" t="s">
        <v>59</v>
      </c>
      <c r="AC5020" t="s">
        <v>59</v>
      </c>
      <c r="AD5020" t="s">
        <v>59</v>
      </c>
      <c r="AF5020" s="1">
        <v>40043</v>
      </c>
      <c r="AG5020" t="s">
        <v>8645</v>
      </c>
      <c r="AH5020" t="s">
        <v>8646</v>
      </c>
      <c r="AI5020" t="str">
        <f>"9170247"</f>
        <v>9170247</v>
      </c>
      <c r="AJ5020" t="s">
        <v>9196</v>
      </c>
      <c r="AK5020">
        <v>2810731278</v>
      </c>
      <c r="AL5020" t="s">
        <v>9197</v>
      </c>
      <c r="AM5020" t="s">
        <v>78</v>
      </c>
      <c r="AN5020" t="s">
        <v>78</v>
      </c>
      <c r="AO5020" t="s">
        <v>78</v>
      </c>
      <c r="AP5020" t="s">
        <v>9198</v>
      </c>
      <c r="AQ5020">
        <v>11</v>
      </c>
      <c r="AR5020" t="s">
        <v>80</v>
      </c>
      <c r="AS5020" t="s">
        <v>81</v>
      </c>
      <c r="AT5020" t="s">
        <v>58</v>
      </c>
      <c r="AU5020" t="s">
        <v>68</v>
      </c>
      <c r="AV5020" t="s">
        <v>69</v>
      </c>
      <c r="AW5020" s="1">
        <v>24511</v>
      </c>
      <c r="AX5020">
        <v>1</v>
      </c>
    </row>
    <row r="5021" spans="1:50">
      <c r="A5021">
        <v>223868</v>
      </c>
      <c r="B5021" t="str">
        <f>"045260770"</f>
        <v>045260770</v>
      </c>
      <c r="C5021" t="s">
        <v>50</v>
      </c>
      <c r="D5021" t="s">
        <v>9199</v>
      </c>
      <c r="E5021" t="s">
        <v>314</v>
      </c>
      <c r="F5021" t="s">
        <v>53</v>
      </c>
      <c r="G5021" t="s">
        <v>52</v>
      </c>
      <c r="H5021" t="str">
        <f>"ΨΑΡΟΜΗΛΙΓΓΩΝ 30 ΗΡΑΚΛΕΙΟ"</f>
        <v>ΨΑΡΟΜΗΛΙΓΓΩΝ 30 ΗΡΑΚΛΕΙΟ</v>
      </c>
      <c r="I5021">
        <v>71202</v>
      </c>
      <c r="K5021">
        <v>6944378094</v>
      </c>
      <c r="M5021" t="s">
        <v>9200</v>
      </c>
      <c r="N5021" t="s">
        <v>478</v>
      </c>
      <c r="O5021" t="s">
        <v>479</v>
      </c>
      <c r="R5021" t="s">
        <v>57</v>
      </c>
      <c r="S5021">
        <v>5</v>
      </c>
      <c r="T5021">
        <v>775</v>
      </c>
      <c r="U5021" s="1">
        <v>39680</v>
      </c>
      <c r="V5021" t="s">
        <v>80</v>
      </c>
      <c r="W5021" t="s">
        <v>81</v>
      </c>
      <c r="X5021" t="s">
        <v>58</v>
      </c>
      <c r="Y5021">
        <v>23</v>
      </c>
      <c r="Z5021" t="s">
        <v>59</v>
      </c>
      <c r="AA5021" t="s">
        <v>59</v>
      </c>
      <c r="AB5021" t="s">
        <v>59</v>
      </c>
      <c r="AC5021" t="s">
        <v>59</v>
      </c>
      <c r="AD5021" t="s">
        <v>59</v>
      </c>
      <c r="AF5021" s="1">
        <v>39685</v>
      </c>
      <c r="AG5021" t="s">
        <v>8645</v>
      </c>
      <c r="AH5021" t="s">
        <v>8646</v>
      </c>
      <c r="AI5021" t="str">
        <f>"9170097"</f>
        <v>9170097</v>
      </c>
      <c r="AJ5021" t="s">
        <v>8826</v>
      </c>
      <c r="AK5021">
        <v>2810751807</v>
      </c>
      <c r="AL5021" t="s">
        <v>8827</v>
      </c>
      <c r="AM5021" t="s">
        <v>78</v>
      </c>
      <c r="AN5021" t="s">
        <v>424</v>
      </c>
      <c r="AO5021" t="s">
        <v>425</v>
      </c>
      <c r="AP5021" t="s">
        <v>425</v>
      </c>
      <c r="AQ5021">
        <v>11</v>
      </c>
      <c r="AR5021" t="s">
        <v>80</v>
      </c>
      <c r="AS5021" t="s">
        <v>81</v>
      </c>
      <c r="AT5021" t="s">
        <v>58</v>
      </c>
      <c r="AU5021" t="s">
        <v>68</v>
      </c>
      <c r="AV5021" t="s">
        <v>69</v>
      </c>
      <c r="AW5021" s="1">
        <v>22771</v>
      </c>
      <c r="AX5021">
        <v>1</v>
      </c>
    </row>
    <row r="5022" spans="1:50">
      <c r="B5022" t="str">
        <f>"110109378"</f>
        <v>110109378</v>
      </c>
      <c r="C5022" t="s">
        <v>50</v>
      </c>
      <c r="D5022" t="s">
        <v>9201</v>
      </c>
      <c r="E5022" t="s">
        <v>1796</v>
      </c>
      <c r="F5022" t="s">
        <v>72</v>
      </c>
      <c r="G5022" t="s">
        <v>52</v>
      </c>
      <c r="H5022" t="str">
        <f>"ΜΑΡΑΘΩΝΟΣ 17 "</f>
        <v xml:space="preserve">ΜΑΡΑΘΩΝΟΣ 17 </v>
      </c>
      <c r="I5022">
        <v>71409</v>
      </c>
      <c r="J5022">
        <v>2810221422</v>
      </c>
      <c r="K5022">
        <v>6940910537</v>
      </c>
      <c r="N5022" t="s">
        <v>1525</v>
      </c>
      <c r="O5022" t="s">
        <v>1526</v>
      </c>
      <c r="R5022" t="s">
        <v>159</v>
      </c>
      <c r="S5022">
        <v>5</v>
      </c>
      <c r="T5022" t="s">
        <v>8670</v>
      </c>
      <c r="U5022" s="1">
        <v>43348</v>
      </c>
      <c r="V5022" t="s">
        <v>80</v>
      </c>
      <c r="W5022" t="s">
        <v>81</v>
      </c>
      <c r="X5022" t="s">
        <v>58</v>
      </c>
      <c r="Y5022">
        <v>25</v>
      </c>
      <c r="Z5022" t="s">
        <v>59</v>
      </c>
      <c r="AA5022" t="s">
        <v>59</v>
      </c>
      <c r="AB5022" t="s">
        <v>59</v>
      </c>
      <c r="AC5022" t="s">
        <v>59</v>
      </c>
      <c r="AD5022" t="s">
        <v>59</v>
      </c>
      <c r="AF5022" s="1">
        <v>43348</v>
      </c>
      <c r="AG5022" t="s">
        <v>8651</v>
      </c>
      <c r="AH5022" t="s">
        <v>9202</v>
      </c>
      <c r="AI5022" t="str">
        <f>"9521477"</f>
        <v>9521477</v>
      </c>
      <c r="AJ5022" t="s">
        <v>9203</v>
      </c>
      <c r="AK5022">
        <v>2810301780</v>
      </c>
      <c r="AL5022" t="s">
        <v>9204</v>
      </c>
      <c r="AM5022" t="s">
        <v>78</v>
      </c>
      <c r="AN5022" t="s">
        <v>78</v>
      </c>
      <c r="AO5022" t="s">
        <v>78</v>
      </c>
      <c r="AP5022" t="s">
        <v>79</v>
      </c>
      <c r="AQ5022">
        <v>1</v>
      </c>
      <c r="AR5022" t="s">
        <v>80</v>
      </c>
      <c r="AS5022" t="s">
        <v>81</v>
      </c>
      <c r="AT5022" t="s">
        <v>58</v>
      </c>
      <c r="AU5022" t="s">
        <v>8673</v>
      </c>
      <c r="AV5022" t="s">
        <v>132</v>
      </c>
      <c r="AW5022" s="1">
        <v>30596</v>
      </c>
      <c r="AX5022">
        <v>1</v>
      </c>
    </row>
    <row r="5023" spans="1:50">
      <c r="A5023">
        <v>606664</v>
      </c>
      <c r="B5023" t="str">
        <f>"076711810"</f>
        <v>076711810</v>
      </c>
      <c r="C5023" t="s">
        <v>50</v>
      </c>
      <c r="D5023" t="s">
        <v>9205</v>
      </c>
      <c r="E5023" t="s">
        <v>3477</v>
      </c>
      <c r="F5023" t="s">
        <v>84</v>
      </c>
      <c r="G5023" t="s">
        <v>367</v>
      </c>
      <c r="H5023" t="str">
        <f>"Μιχαήλ Αποστόλη 9 Πατέλες"</f>
        <v>Μιχαήλ Αποστόλη 9 Πατέλες</v>
      </c>
      <c r="I5023">
        <v>71037</v>
      </c>
      <c r="J5023">
        <v>2813013601</v>
      </c>
      <c r="K5023">
        <v>6951761369</v>
      </c>
      <c r="M5023" t="s">
        <v>9206</v>
      </c>
      <c r="N5023" t="s">
        <v>337</v>
      </c>
      <c r="O5023" t="s">
        <v>338</v>
      </c>
      <c r="R5023" t="s">
        <v>57</v>
      </c>
      <c r="S5023">
        <v>7</v>
      </c>
      <c r="T5023">
        <v>231</v>
      </c>
      <c r="U5023" s="1">
        <v>38230</v>
      </c>
      <c r="V5023" t="s">
        <v>80</v>
      </c>
      <c r="W5023" t="s">
        <v>81</v>
      </c>
      <c r="X5023" t="s">
        <v>58</v>
      </c>
      <c r="Y5023">
        <v>23</v>
      </c>
      <c r="Z5023" t="s">
        <v>59</v>
      </c>
      <c r="AA5023" t="s">
        <v>59</v>
      </c>
      <c r="AB5023" t="s">
        <v>59</v>
      </c>
      <c r="AC5023" t="s">
        <v>59</v>
      </c>
      <c r="AD5023" t="s">
        <v>59</v>
      </c>
      <c r="AF5023" s="1">
        <v>38233</v>
      </c>
      <c r="AG5023" t="s">
        <v>8645</v>
      </c>
      <c r="AH5023" t="s">
        <v>8646</v>
      </c>
      <c r="AI5023" t="str">
        <f>"9170194"</f>
        <v>9170194</v>
      </c>
      <c r="AJ5023" t="s">
        <v>8768</v>
      </c>
      <c r="AK5023">
        <v>2810239611</v>
      </c>
      <c r="AL5023" t="s">
        <v>8769</v>
      </c>
      <c r="AM5023" t="s">
        <v>78</v>
      </c>
      <c r="AN5023" t="s">
        <v>78</v>
      </c>
      <c r="AO5023" t="s">
        <v>78</v>
      </c>
      <c r="AP5023" t="s">
        <v>213</v>
      </c>
      <c r="AQ5023">
        <v>1</v>
      </c>
      <c r="AR5023" t="s">
        <v>80</v>
      </c>
      <c r="AS5023" t="s">
        <v>81</v>
      </c>
      <c r="AT5023" t="s">
        <v>58</v>
      </c>
      <c r="AU5023" t="s">
        <v>68</v>
      </c>
      <c r="AV5023" t="s">
        <v>69</v>
      </c>
      <c r="AW5023" s="1">
        <v>27240</v>
      </c>
      <c r="AX5023">
        <v>1</v>
      </c>
    </row>
    <row r="5024" spans="1:50">
      <c r="A5024">
        <v>556191</v>
      </c>
      <c r="B5024" t="str">
        <f>"028112726"</f>
        <v>028112726</v>
      </c>
      <c r="C5024" t="s">
        <v>50</v>
      </c>
      <c r="D5024" t="s">
        <v>885</v>
      </c>
      <c r="E5024" t="s">
        <v>250</v>
      </c>
      <c r="F5024" t="s">
        <v>166</v>
      </c>
      <c r="G5024" t="s">
        <v>580</v>
      </c>
      <c r="H5024" t="str">
        <f>"Κωνσταντινίδη 12 Τρία Πεύκα"</f>
        <v>Κωνσταντινίδη 12 Τρία Πεύκα</v>
      </c>
      <c r="I5024">
        <v>71306</v>
      </c>
      <c r="J5024">
        <v>2810231297</v>
      </c>
      <c r="K5024">
        <v>6973594108</v>
      </c>
      <c r="L5024">
        <v>2810328220</v>
      </c>
      <c r="M5024" t="s">
        <v>9207</v>
      </c>
      <c r="N5024" t="s">
        <v>615</v>
      </c>
      <c r="O5024" t="s">
        <v>616</v>
      </c>
      <c r="R5024" t="s">
        <v>57</v>
      </c>
      <c r="S5024">
        <v>19</v>
      </c>
      <c r="T5024">
        <v>200</v>
      </c>
      <c r="U5024" s="1">
        <v>31657</v>
      </c>
      <c r="V5024" t="s">
        <v>80</v>
      </c>
      <c r="W5024" t="s">
        <v>81</v>
      </c>
      <c r="X5024" t="s">
        <v>58</v>
      </c>
      <c r="Y5024">
        <v>21</v>
      </c>
      <c r="Z5024" t="s">
        <v>59</v>
      </c>
      <c r="AA5024" t="s">
        <v>59</v>
      </c>
      <c r="AB5024" t="s">
        <v>59</v>
      </c>
      <c r="AC5024" t="s">
        <v>59</v>
      </c>
      <c r="AD5024" t="s">
        <v>59</v>
      </c>
      <c r="AF5024" s="1">
        <v>31667</v>
      </c>
      <c r="AG5024" t="s">
        <v>8645</v>
      </c>
      <c r="AH5024" t="s">
        <v>8646</v>
      </c>
      <c r="AI5024" t="str">
        <f>"9170194"</f>
        <v>9170194</v>
      </c>
      <c r="AJ5024" t="s">
        <v>8768</v>
      </c>
      <c r="AK5024">
        <v>2810239611</v>
      </c>
      <c r="AL5024" t="s">
        <v>8769</v>
      </c>
      <c r="AM5024" t="s">
        <v>78</v>
      </c>
      <c r="AN5024" t="s">
        <v>78</v>
      </c>
      <c r="AO5024" t="s">
        <v>78</v>
      </c>
      <c r="AP5024" t="s">
        <v>213</v>
      </c>
      <c r="AQ5024">
        <v>1</v>
      </c>
      <c r="AR5024" t="s">
        <v>80</v>
      </c>
      <c r="AS5024" t="s">
        <v>81</v>
      </c>
      <c r="AT5024" t="s">
        <v>58</v>
      </c>
      <c r="AU5024" t="s">
        <v>68</v>
      </c>
      <c r="AV5024" t="s">
        <v>69</v>
      </c>
      <c r="AW5024" s="1">
        <v>23292</v>
      </c>
      <c r="AX5024">
        <v>1</v>
      </c>
    </row>
    <row r="5025" spans="1:50">
      <c r="B5025" t="str">
        <f>"129097074"</f>
        <v>129097074</v>
      </c>
      <c r="C5025" t="s">
        <v>50</v>
      </c>
      <c r="D5025" t="s">
        <v>9208</v>
      </c>
      <c r="E5025" t="s">
        <v>1155</v>
      </c>
      <c r="F5025" t="s">
        <v>53</v>
      </c>
      <c r="G5025" t="s">
        <v>5201</v>
      </c>
      <c r="H5025" t="str">
        <f>"7ΗΣ ΝΟΕΜΒΡΙΟΥ 41 "</f>
        <v xml:space="preserve">7ΗΣ ΝΟΕΜΒΡΙΟΥ 41 </v>
      </c>
      <c r="I5025">
        <v>53100</v>
      </c>
      <c r="J5025">
        <v>2385045850</v>
      </c>
      <c r="K5025">
        <v>6983000408</v>
      </c>
      <c r="N5025" t="s">
        <v>1525</v>
      </c>
      <c r="O5025" t="s">
        <v>1526</v>
      </c>
      <c r="R5025" t="s">
        <v>159</v>
      </c>
      <c r="S5025">
        <v>2</v>
      </c>
      <c r="T5025" t="s">
        <v>8670</v>
      </c>
      <c r="U5025" s="1">
        <v>43348</v>
      </c>
      <c r="V5025" t="s">
        <v>80</v>
      </c>
      <c r="W5025" t="s">
        <v>81</v>
      </c>
      <c r="X5025" t="s">
        <v>58</v>
      </c>
      <c r="Y5025">
        <v>25</v>
      </c>
      <c r="Z5025" t="s">
        <v>59</v>
      </c>
      <c r="AA5025" t="s">
        <v>59</v>
      </c>
      <c r="AB5025" t="s">
        <v>59</v>
      </c>
      <c r="AC5025" t="s">
        <v>59</v>
      </c>
      <c r="AD5025" t="s">
        <v>59</v>
      </c>
      <c r="AF5025" s="1">
        <v>43348</v>
      </c>
      <c r="AG5025" t="s">
        <v>8651</v>
      </c>
      <c r="AH5025" t="s">
        <v>8652</v>
      </c>
      <c r="AI5025" t="str">
        <f>"9170229"</f>
        <v>9170229</v>
      </c>
      <c r="AJ5025" t="s">
        <v>9209</v>
      </c>
      <c r="AK5025">
        <v>2891041639</v>
      </c>
      <c r="AL5025" t="s">
        <v>9210</v>
      </c>
      <c r="AM5025" t="s">
        <v>78</v>
      </c>
      <c r="AN5025" t="s">
        <v>276</v>
      </c>
      <c r="AO5025" t="s">
        <v>1936</v>
      </c>
      <c r="AP5025" t="s">
        <v>1936</v>
      </c>
      <c r="AQ5025">
        <v>13</v>
      </c>
      <c r="AR5025" t="s">
        <v>80</v>
      </c>
      <c r="AS5025" t="s">
        <v>81</v>
      </c>
      <c r="AT5025" t="s">
        <v>58</v>
      </c>
      <c r="AU5025" t="s">
        <v>8673</v>
      </c>
      <c r="AV5025" t="s">
        <v>132</v>
      </c>
      <c r="AW5025" s="1">
        <v>30585</v>
      </c>
      <c r="AX5025">
        <v>1</v>
      </c>
    </row>
    <row r="5026" spans="1:50">
      <c r="A5026">
        <v>618869</v>
      </c>
      <c r="B5026" t="str">
        <f>"132329374"</f>
        <v>132329374</v>
      </c>
      <c r="C5026" t="s">
        <v>50</v>
      </c>
      <c r="D5026" t="s">
        <v>9211</v>
      </c>
      <c r="E5026" t="s">
        <v>52</v>
      </c>
      <c r="F5026" t="s">
        <v>53</v>
      </c>
      <c r="G5026" t="s">
        <v>964</v>
      </c>
      <c r="H5026" t="str">
        <f>"ΧΡΥΣΟΣΚΑΛΙΤΙΣΣΑΣ 15 ΗΡΑΚΛΕΙΟ"</f>
        <v>ΧΡΥΣΟΣΚΑΛΙΤΙΣΣΑΣ 15 ΗΡΑΚΛΕΙΟ</v>
      </c>
      <c r="I5026">
        <v>71305</v>
      </c>
      <c r="J5026">
        <v>2810214435</v>
      </c>
      <c r="K5026">
        <v>6936842444</v>
      </c>
      <c r="N5026" t="s">
        <v>615</v>
      </c>
      <c r="O5026" t="s">
        <v>616</v>
      </c>
      <c r="R5026" t="s">
        <v>57</v>
      </c>
      <c r="S5026">
        <v>5</v>
      </c>
      <c r="T5026">
        <v>774</v>
      </c>
      <c r="U5026" s="1">
        <v>39680</v>
      </c>
      <c r="V5026" t="s">
        <v>80</v>
      </c>
      <c r="W5026" t="s">
        <v>81</v>
      </c>
      <c r="X5026" t="s">
        <v>58</v>
      </c>
      <c r="Y5026">
        <v>23</v>
      </c>
      <c r="Z5026" t="s">
        <v>59</v>
      </c>
      <c r="AA5026" t="s">
        <v>59</v>
      </c>
      <c r="AB5026" t="s">
        <v>59</v>
      </c>
      <c r="AC5026" t="s">
        <v>59</v>
      </c>
      <c r="AD5026" t="s">
        <v>59</v>
      </c>
      <c r="AF5026" s="1">
        <v>39681</v>
      </c>
      <c r="AG5026" t="s">
        <v>8645</v>
      </c>
      <c r="AH5026" t="s">
        <v>8646</v>
      </c>
      <c r="AI5026" t="str">
        <f>"9170224"</f>
        <v>9170224</v>
      </c>
      <c r="AJ5026" t="s">
        <v>9212</v>
      </c>
      <c r="AK5026">
        <v>2810771214</v>
      </c>
      <c r="AL5026" t="s">
        <v>9213</v>
      </c>
      <c r="AM5026" t="s">
        <v>78</v>
      </c>
      <c r="AN5026" t="s">
        <v>219</v>
      </c>
      <c r="AO5026" t="s">
        <v>1437</v>
      </c>
      <c r="AP5026" t="s">
        <v>1437</v>
      </c>
      <c r="AQ5026">
        <v>7</v>
      </c>
      <c r="AR5026" t="s">
        <v>80</v>
      </c>
      <c r="AS5026" t="s">
        <v>81</v>
      </c>
      <c r="AT5026" t="s">
        <v>58</v>
      </c>
      <c r="AU5026" t="s">
        <v>68</v>
      </c>
      <c r="AV5026" t="s">
        <v>69</v>
      </c>
      <c r="AW5026" s="1">
        <v>31265</v>
      </c>
      <c r="AX5026">
        <v>1</v>
      </c>
    </row>
    <row r="5027" spans="1:50">
      <c r="A5027">
        <v>613805</v>
      </c>
      <c r="B5027" t="str">
        <f>"132969365"</f>
        <v>132969365</v>
      </c>
      <c r="C5027" t="s">
        <v>50</v>
      </c>
      <c r="D5027" t="s">
        <v>9214</v>
      </c>
      <c r="E5027" t="s">
        <v>263</v>
      </c>
      <c r="F5027" t="s">
        <v>84</v>
      </c>
      <c r="G5027" t="s">
        <v>964</v>
      </c>
      <c r="H5027" t="str">
        <f>"ΚΑΠΕΤΑΝΟΜΑΝΩΛΗ 18 ΗΡΑΚΛΕΙΟ"</f>
        <v>ΚΑΠΕΤΑΝΟΜΑΝΩΛΗ 18 ΗΡΑΚΛΕΙΟ</v>
      </c>
      <c r="I5027">
        <v>71303</v>
      </c>
      <c r="J5027">
        <v>2810310609</v>
      </c>
      <c r="K5027">
        <v>6948683207</v>
      </c>
      <c r="N5027" t="s">
        <v>615</v>
      </c>
      <c r="O5027" t="s">
        <v>616</v>
      </c>
      <c r="R5027" t="s">
        <v>57</v>
      </c>
      <c r="S5027">
        <v>6</v>
      </c>
      <c r="T5027">
        <v>598</v>
      </c>
      <c r="U5027" s="1">
        <v>39310</v>
      </c>
      <c r="V5027" t="s">
        <v>80</v>
      </c>
      <c r="W5027" t="s">
        <v>81</v>
      </c>
      <c r="X5027" t="s">
        <v>58</v>
      </c>
      <c r="Y5027">
        <v>23</v>
      </c>
      <c r="Z5027" t="s">
        <v>59</v>
      </c>
      <c r="AA5027" t="s">
        <v>59</v>
      </c>
      <c r="AB5027" t="s">
        <v>59</v>
      </c>
      <c r="AC5027" t="s">
        <v>59</v>
      </c>
      <c r="AD5027" t="s">
        <v>59</v>
      </c>
      <c r="AF5027" s="1">
        <v>39328</v>
      </c>
      <c r="AG5027" t="s">
        <v>8645</v>
      </c>
      <c r="AH5027" t="s">
        <v>8646</v>
      </c>
      <c r="AI5027" t="str">
        <f>"9170037"</f>
        <v>9170037</v>
      </c>
      <c r="AJ5027" t="s">
        <v>9215</v>
      </c>
      <c r="AK5027">
        <v>2810831208</v>
      </c>
      <c r="AL5027" t="s">
        <v>9216</v>
      </c>
      <c r="AM5027" t="s">
        <v>78</v>
      </c>
      <c r="AN5027" t="s">
        <v>129</v>
      </c>
      <c r="AO5027" t="s">
        <v>267</v>
      </c>
      <c r="AP5027" t="s">
        <v>267</v>
      </c>
      <c r="AQ5027">
        <v>2</v>
      </c>
      <c r="AR5027" t="s">
        <v>80</v>
      </c>
      <c r="AS5027" t="s">
        <v>81</v>
      </c>
      <c r="AT5027" t="s">
        <v>58</v>
      </c>
      <c r="AU5027" t="s">
        <v>68</v>
      </c>
      <c r="AV5027" t="s">
        <v>69</v>
      </c>
      <c r="AW5027" s="1">
        <v>30071</v>
      </c>
      <c r="AX5027">
        <v>1</v>
      </c>
    </row>
    <row r="5028" spans="1:50">
      <c r="A5028">
        <v>564150</v>
      </c>
      <c r="B5028" t="str">
        <f>"034607961"</f>
        <v>034607961</v>
      </c>
      <c r="C5028" t="s">
        <v>50</v>
      </c>
      <c r="D5028" t="s">
        <v>9217</v>
      </c>
      <c r="E5028" t="s">
        <v>112</v>
      </c>
      <c r="F5028" t="s">
        <v>99</v>
      </c>
      <c r="G5028" t="s">
        <v>83</v>
      </c>
      <c r="H5028" t="str">
        <f>"ΑΓΙΩΝ ΘΕΟΔΩΡΩΝ 6 ΗΡΑΚΛΕΙΟ"</f>
        <v>ΑΓΙΩΝ ΘΕΟΔΩΡΩΝ 6 ΗΡΑΚΛΕΙΟ</v>
      </c>
      <c r="I5028">
        <v>71500</v>
      </c>
      <c r="J5028">
        <v>2810542725</v>
      </c>
      <c r="K5028">
        <v>6988895096</v>
      </c>
      <c r="N5028" t="s">
        <v>615</v>
      </c>
      <c r="O5028" t="s">
        <v>616</v>
      </c>
      <c r="R5028" t="s">
        <v>57</v>
      </c>
      <c r="S5028">
        <v>14</v>
      </c>
      <c r="T5028" t="s">
        <v>9218</v>
      </c>
      <c r="U5028" s="1">
        <v>33119</v>
      </c>
      <c r="V5028" t="s">
        <v>80</v>
      </c>
      <c r="W5028" t="s">
        <v>81</v>
      </c>
      <c r="X5028" t="s">
        <v>58</v>
      </c>
      <c r="Y5028">
        <v>21</v>
      </c>
      <c r="Z5028" t="s">
        <v>59</v>
      </c>
      <c r="AA5028" t="s">
        <v>59</v>
      </c>
      <c r="AB5028" t="s">
        <v>59</v>
      </c>
      <c r="AC5028" t="s">
        <v>59</v>
      </c>
      <c r="AD5028" t="s">
        <v>59</v>
      </c>
      <c r="AF5028" s="1">
        <v>33120</v>
      </c>
      <c r="AG5028" t="s">
        <v>8645</v>
      </c>
      <c r="AH5028" t="s">
        <v>8646</v>
      </c>
      <c r="AI5028" t="str">
        <f>"9170580"</f>
        <v>9170580</v>
      </c>
      <c r="AJ5028" t="s">
        <v>9076</v>
      </c>
      <c r="AK5028">
        <v>2810542809</v>
      </c>
      <c r="AL5028" t="s">
        <v>9077</v>
      </c>
      <c r="AM5028" t="s">
        <v>78</v>
      </c>
      <c r="AN5028" t="s">
        <v>78</v>
      </c>
      <c r="AO5028" t="s">
        <v>78</v>
      </c>
      <c r="AP5028" t="s">
        <v>9053</v>
      </c>
      <c r="AQ5028">
        <v>1</v>
      </c>
      <c r="AR5028" t="s">
        <v>80</v>
      </c>
      <c r="AS5028" t="s">
        <v>81</v>
      </c>
      <c r="AT5028" t="s">
        <v>58</v>
      </c>
      <c r="AU5028" t="s">
        <v>68</v>
      </c>
      <c r="AV5028" t="s">
        <v>69</v>
      </c>
      <c r="AW5028" s="1">
        <v>23264</v>
      </c>
      <c r="AX5028">
        <v>1</v>
      </c>
    </row>
    <row r="5029" spans="1:50">
      <c r="A5029">
        <v>572323</v>
      </c>
      <c r="B5029" t="str">
        <f>"038585181"</f>
        <v>038585181</v>
      </c>
      <c r="C5029" t="s">
        <v>50</v>
      </c>
      <c r="D5029" t="s">
        <v>899</v>
      </c>
      <c r="E5029" t="s">
        <v>964</v>
      </c>
      <c r="F5029" t="s">
        <v>95</v>
      </c>
      <c r="G5029" t="s">
        <v>112</v>
      </c>
      <c r="H5029" t="str">
        <f>"ΔΡΥΜΗΤΙΝΟΥ 8 ΗΡΑΚΛΕΙΟ"</f>
        <v>ΔΡΥΜΗΤΙΝΟΥ 8 ΗΡΑΚΛΕΙΟ</v>
      </c>
      <c r="I5029">
        <v>71305</v>
      </c>
      <c r="J5029">
        <v>2810254056</v>
      </c>
      <c r="K5029">
        <v>6946226540</v>
      </c>
      <c r="M5029" t="s">
        <v>9219</v>
      </c>
      <c r="N5029" t="s">
        <v>306</v>
      </c>
      <c r="O5029" t="s">
        <v>307</v>
      </c>
      <c r="R5029" t="s">
        <v>57</v>
      </c>
      <c r="S5029">
        <v>13</v>
      </c>
      <c r="T5029">
        <v>154</v>
      </c>
      <c r="U5029" s="1">
        <v>34225</v>
      </c>
      <c r="V5029" t="s">
        <v>80</v>
      </c>
      <c r="W5029" t="s">
        <v>81</v>
      </c>
      <c r="X5029" t="s">
        <v>58</v>
      </c>
      <c r="Y5029">
        <v>21</v>
      </c>
      <c r="Z5029" t="s">
        <v>59</v>
      </c>
      <c r="AA5029" t="s">
        <v>59</v>
      </c>
      <c r="AB5029" t="s">
        <v>59</v>
      </c>
      <c r="AC5029" t="s">
        <v>59</v>
      </c>
      <c r="AD5029" t="s">
        <v>59</v>
      </c>
      <c r="AF5029" s="1">
        <v>34226</v>
      </c>
      <c r="AG5029" t="s">
        <v>8645</v>
      </c>
      <c r="AH5029" t="s">
        <v>8646</v>
      </c>
      <c r="AI5029" t="str">
        <f>"9170102"</f>
        <v>9170102</v>
      </c>
      <c r="AJ5029" t="s">
        <v>9019</v>
      </c>
      <c r="AK5029">
        <v>2810283938</v>
      </c>
      <c r="AL5029" t="s">
        <v>9020</v>
      </c>
      <c r="AM5029" t="s">
        <v>78</v>
      </c>
      <c r="AN5029" t="s">
        <v>78</v>
      </c>
      <c r="AO5029" t="s">
        <v>78</v>
      </c>
      <c r="AP5029" t="s">
        <v>79</v>
      </c>
      <c r="AQ5029">
        <v>1</v>
      </c>
      <c r="AR5029" t="s">
        <v>80</v>
      </c>
      <c r="AS5029" t="s">
        <v>81</v>
      </c>
      <c r="AT5029" t="s">
        <v>58</v>
      </c>
      <c r="AU5029" t="s">
        <v>68</v>
      </c>
      <c r="AV5029" t="s">
        <v>69</v>
      </c>
      <c r="AW5029" s="1">
        <v>25281</v>
      </c>
      <c r="AX5029">
        <v>1</v>
      </c>
    </row>
    <row r="5030" spans="1:50">
      <c r="A5030">
        <v>614486</v>
      </c>
      <c r="B5030" t="str">
        <f>"137228066"</f>
        <v>137228066</v>
      </c>
      <c r="C5030" t="s">
        <v>50</v>
      </c>
      <c r="D5030" t="s">
        <v>899</v>
      </c>
      <c r="E5030" t="s">
        <v>237</v>
      </c>
      <c r="F5030" t="s">
        <v>920</v>
      </c>
      <c r="G5030" t="s">
        <v>215</v>
      </c>
      <c r="H5030" t="str">
        <f>"ΛΕΒΗΝΟΥ 29 ΗΡΑΚΛΕΙΟ"</f>
        <v>ΛΕΒΗΝΟΥ 29 ΗΡΑΚΛΕΙΟ</v>
      </c>
      <c r="I5030">
        <v>71304</v>
      </c>
      <c r="J5030">
        <v>2810319729</v>
      </c>
      <c r="K5030">
        <v>6944338526</v>
      </c>
      <c r="N5030" t="s">
        <v>615</v>
      </c>
      <c r="O5030" t="s">
        <v>616</v>
      </c>
      <c r="R5030" t="s">
        <v>57</v>
      </c>
      <c r="S5030">
        <v>6</v>
      </c>
      <c r="T5030">
        <v>598</v>
      </c>
      <c r="U5030" s="1">
        <v>39310</v>
      </c>
      <c r="V5030" t="s">
        <v>80</v>
      </c>
      <c r="W5030" t="s">
        <v>81</v>
      </c>
      <c r="X5030" t="s">
        <v>58</v>
      </c>
      <c r="Y5030">
        <v>23</v>
      </c>
      <c r="Z5030" t="s">
        <v>59</v>
      </c>
      <c r="AA5030" t="s">
        <v>59</v>
      </c>
      <c r="AB5030" t="s">
        <v>59</v>
      </c>
      <c r="AC5030" t="s">
        <v>59</v>
      </c>
      <c r="AD5030" t="s">
        <v>59</v>
      </c>
      <c r="AF5030" s="1">
        <v>39328</v>
      </c>
      <c r="AG5030" t="s">
        <v>8645</v>
      </c>
      <c r="AH5030" t="s">
        <v>8646</v>
      </c>
      <c r="AI5030" t="str">
        <f>"9170206"</f>
        <v>9170206</v>
      </c>
      <c r="AJ5030" t="s">
        <v>8972</v>
      </c>
      <c r="AK5030">
        <v>2810761137</v>
      </c>
      <c r="AL5030" t="s">
        <v>8973</v>
      </c>
      <c r="AM5030" t="s">
        <v>78</v>
      </c>
      <c r="AN5030" t="s">
        <v>219</v>
      </c>
      <c r="AO5030" t="s">
        <v>297</v>
      </c>
      <c r="AP5030" t="s">
        <v>8796</v>
      </c>
      <c r="AQ5030">
        <v>7</v>
      </c>
      <c r="AR5030" t="s">
        <v>80</v>
      </c>
      <c r="AS5030" t="s">
        <v>81</v>
      </c>
      <c r="AT5030" t="s">
        <v>58</v>
      </c>
      <c r="AU5030" t="s">
        <v>68</v>
      </c>
      <c r="AV5030" t="s">
        <v>69</v>
      </c>
      <c r="AW5030" s="1">
        <v>29411</v>
      </c>
      <c r="AX5030">
        <v>1</v>
      </c>
    </row>
    <row r="5031" spans="1:50">
      <c r="B5031" t="str">
        <f>"128340124"</f>
        <v>128340124</v>
      </c>
      <c r="C5031" t="s">
        <v>50</v>
      </c>
      <c r="D5031" t="s">
        <v>899</v>
      </c>
      <c r="E5031" t="s">
        <v>755</v>
      </c>
      <c r="F5031" t="s">
        <v>920</v>
      </c>
      <c r="G5031" t="s">
        <v>215</v>
      </c>
      <c r="H5031" t="str">
        <f>"ΑΝΑΓΕΝΝΗΣΕΩΣ 6-8 ΗΡΑΚΛΕΙΟ"</f>
        <v>ΑΝΑΓΕΝΝΗΣΕΩΣ 6-8 ΗΡΑΚΛΕΙΟ</v>
      </c>
      <c r="I5031">
        <v>71305</v>
      </c>
      <c r="J5031">
        <v>2810238540</v>
      </c>
      <c r="K5031">
        <v>6947942475</v>
      </c>
      <c r="N5031" t="s">
        <v>1525</v>
      </c>
      <c r="O5031" t="s">
        <v>1526</v>
      </c>
      <c r="R5031" t="s">
        <v>159</v>
      </c>
      <c r="S5031">
        <v>3</v>
      </c>
      <c r="T5031" t="s">
        <v>8670</v>
      </c>
      <c r="U5031" s="1">
        <v>43348</v>
      </c>
      <c r="V5031" t="s">
        <v>80</v>
      </c>
      <c r="W5031" t="s">
        <v>81</v>
      </c>
      <c r="X5031" t="s">
        <v>58</v>
      </c>
      <c r="Y5031">
        <v>25</v>
      </c>
      <c r="Z5031" t="s">
        <v>59</v>
      </c>
      <c r="AA5031" t="s">
        <v>59</v>
      </c>
      <c r="AB5031" t="s">
        <v>59</v>
      </c>
      <c r="AC5031" t="s">
        <v>59</v>
      </c>
      <c r="AD5031" t="s">
        <v>59</v>
      </c>
      <c r="AF5031" s="1">
        <v>43348</v>
      </c>
      <c r="AG5031" t="s">
        <v>8651</v>
      </c>
      <c r="AH5031" t="s">
        <v>8652</v>
      </c>
      <c r="AI5031" t="str">
        <f>"9170280"</f>
        <v>9170280</v>
      </c>
      <c r="AJ5031" t="s">
        <v>9220</v>
      </c>
      <c r="AK5031">
        <v>2894031022</v>
      </c>
      <c r="AL5031" t="s">
        <v>9221</v>
      </c>
      <c r="AM5031" t="s">
        <v>78</v>
      </c>
      <c r="AN5031" t="s">
        <v>242</v>
      </c>
      <c r="AO5031" t="s">
        <v>999</v>
      </c>
      <c r="AP5031" t="s">
        <v>9222</v>
      </c>
      <c r="AQ5031">
        <v>21</v>
      </c>
      <c r="AR5031" t="s">
        <v>80</v>
      </c>
      <c r="AS5031" t="s">
        <v>81</v>
      </c>
      <c r="AT5031" t="s">
        <v>58</v>
      </c>
      <c r="AU5031" t="s">
        <v>8673</v>
      </c>
      <c r="AV5031" t="s">
        <v>132</v>
      </c>
      <c r="AW5031" s="1">
        <v>30038</v>
      </c>
      <c r="AX5031">
        <v>1</v>
      </c>
    </row>
    <row r="5032" spans="1:50">
      <c r="A5032">
        <v>571296</v>
      </c>
      <c r="B5032" t="str">
        <f>"103534264"</f>
        <v>103534264</v>
      </c>
      <c r="C5032" t="s">
        <v>50</v>
      </c>
      <c r="D5032" t="s">
        <v>899</v>
      </c>
      <c r="E5032" t="s">
        <v>460</v>
      </c>
      <c r="F5032" t="s">
        <v>9223</v>
      </c>
      <c r="G5032" t="s">
        <v>396</v>
      </c>
      <c r="H5032" t="str">
        <f>" "</f>
        <v xml:space="preserve"> </v>
      </c>
      <c r="N5032" t="s">
        <v>615</v>
      </c>
      <c r="O5032" t="s">
        <v>616</v>
      </c>
      <c r="R5032" t="s">
        <v>57</v>
      </c>
      <c r="S5032">
        <v>14</v>
      </c>
      <c r="T5032">
        <v>138</v>
      </c>
      <c r="U5032" s="1">
        <v>34206</v>
      </c>
      <c r="V5032" t="s">
        <v>80</v>
      </c>
      <c r="W5032" t="s">
        <v>81</v>
      </c>
      <c r="X5032" t="s">
        <v>58</v>
      </c>
      <c r="Y5032">
        <v>21</v>
      </c>
      <c r="Z5032" t="s">
        <v>59</v>
      </c>
      <c r="AA5032" t="s">
        <v>59</v>
      </c>
      <c r="AB5032" t="s">
        <v>59</v>
      </c>
      <c r="AC5032" t="s">
        <v>59</v>
      </c>
      <c r="AD5032" t="s">
        <v>59</v>
      </c>
      <c r="AF5032" s="1">
        <v>34213</v>
      </c>
      <c r="AG5032" t="s">
        <v>8645</v>
      </c>
      <c r="AH5032" t="s">
        <v>8646</v>
      </c>
      <c r="AI5032" t="str">
        <f>"9170262"</f>
        <v>9170262</v>
      </c>
      <c r="AJ5032" t="s">
        <v>9224</v>
      </c>
      <c r="AK5032">
        <v>2810245912</v>
      </c>
      <c r="AL5032" t="s">
        <v>9225</v>
      </c>
      <c r="AM5032" t="s">
        <v>78</v>
      </c>
      <c r="AN5032" t="s">
        <v>78</v>
      </c>
      <c r="AO5032" t="s">
        <v>286</v>
      </c>
      <c r="AP5032" t="s">
        <v>286</v>
      </c>
      <c r="AQ5032">
        <v>1</v>
      </c>
      <c r="AR5032" t="s">
        <v>80</v>
      </c>
      <c r="AS5032" t="s">
        <v>81</v>
      </c>
      <c r="AT5032" t="s">
        <v>58</v>
      </c>
      <c r="AU5032" t="s">
        <v>68</v>
      </c>
      <c r="AV5032" t="s">
        <v>69</v>
      </c>
      <c r="AW5032" s="1">
        <v>22630</v>
      </c>
      <c r="AX5032">
        <v>1</v>
      </c>
    </row>
    <row r="5033" spans="1:50">
      <c r="A5033">
        <v>618607</v>
      </c>
      <c r="B5033" t="str">
        <f>"125565393"</f>
        <v>125565393</v>
      </c>
      <c r="C5033" t="s">
        <v>105</v>
      </c>
      <c r="D5033" t="s">
        <v>909</v>
      </c>
      <c r="E5033" t="s">
        <v>72</v>
      </c>
      <c r="F5033" t="s">
        <v>166</v>
      </c>
      <c r="G5033" t="s">
        <v>484</v>
      </c>
      <c r="H5033" t="str">
        <f>"ΑΝΑΓΕΝΝΗΣΕΩΣ 17 ΗΡΑΚΛΕΙΟ"</f>
        <v>ΑΝΑΓΕΝΝΗΣΕΩΣ 17 ΗΡΑΚΛΕΙΟ</v>
      </c>
      <c r="I5033">
        <v>71601</v>
      </c>
      <c r="J5033">
        <v>2810244311</v>
      </c>
      <c r="K5033">
        <v>6974074992</v>
      </c>
      <c r="N5033" t="s">
        <v>615</v>
      </c>
      <c r="O5033" t="s">
        <v>616</v>
      </c>
      <c r="R5033" t="s">
        <v>57</v>
      </c>
      <c r="S5033">
        <v>5</v>
      </c>
      <c r="T5033">
        <v>774</v>
      </c>
      <c r="U5033" s="1">
        <v>39680</v>
      </c>
      <c r="V5033" t="s">
        <v>80</v>
      </c>
      <c r="W5033" t="s">
        <v>81</v>
      </c>
      <c r="X5033" t="s">
        <v>58</v>
      </c>
      <c r="Y5033">
        <v>23</v>
      </c>
      <c r="Z5033" t="s">
        <v>59</v>
      </c>
      <c r="AA5033" t="s">
        <v>59</v>
      </c>
      <c r="AB5033" t="s">
        <v>59</v>
      </c>
      <c r="AC5033" t="s">
        <v>59</v>
      </c>
      <c r="AD5033" t="s">
        <v>59</v>
      </c>
      <c r="AF5033" s="1">
        <v>39681</v>
      </c>
      <c r="AG5033" t="s">
        <v>8645</v>
      </c>
      <c r="AH5033" t="s">
        <v>8646</v>
      </c>
      <c r="AI5033" t="str">
        <f>"9170428"</f>
        <v>9170428</v>
      </c>
      <c r="AJ5033" t="s">
        <v>8983</v>
      </c>
      <c r="AK5033">
        <v>2810234768</v>
      </c>
      <c r="AL5033" t="s">
        <v>8984</v>
      </c>
      <c r="AM5033" t="s">
        <v>78</v>
      </c>
      <c r="AN5033" t="s">
        <v>78</v>
      </c>
      <c r="AO5033" t="s">
        <v>78</v>
      </c>
      <c r="AP5033" t="s">
        <v>79</v>
      </c>
      <c r="AQ5033">
        <v>1</v>
      </c>
      <c r="AR5033" t="s">
        <v>80</v>
      </c>
      <c r="AS5033" t="s">
        <v>81</v>
      </c>
      <c r="AT5033" t="s">
        <v>58</v>
      </c>
      <c r="AU5033" t="s">
        <v>68</v>
      </c>
      <c r="AV5033" t="s">
        <v>69</v>
      </c>
      <c r="AW5033" s="1">
        <v>30793</v>
      </c>
      <c r="AX5033">
        <v>1</v>
      </c>
    </row>
    <row r="5034" spans="1:50">
      <c r="A5034">
        <v>561573</v>
      </c>
      <c r="B5034" t="str">
        <f>"034531046"</f>
        <v>034531046</v>
      </c>
      <c r="C5034" t="s">
        <v>105</v>
      </c>
      <c r="D5034" t="s">
        <v>9226</v>
      </c>
      <c r="E5034" t="s">
        <v>95</v>
      </c>
      <c r="F5034" t="s">
        <v>53</v>
      </c>
      <c r="G5034" t="s">
        <v>566</v>
      </c>
      <c r="H5034" t="str">
        <f>"ΒΕΝΕΡΑΤΟ ΗΡΑΚΛΕΙΟ"</f>
        <v>ΒΕΝΕΡΑΤΟ ΗΡΑΚΛΕΙΟ</v>
      </c>
      <c r="I5034">
        <v>70011</v>
      </c>
      <c r="J5034">
        <v>2810791764</v>
      </c>
      <c r="K5034">
        <v>6908378887</v>
      </c>
      <c r="N5034" t="s">
        <v>615</v>
      </c>
      <c r="O5034" t="s">
        <v>616</v>
      </c>
      <c r="R5034" t="s">
        <v>57</v>
      </c>
      <c r="S5034">
        <v>15</v>
      </c>
      <c r="T5034">
        <v>159</v>
      </c>
      <c r="U5034" s="1">
        <v>32385</v>
      </c>
      <c r="V5034" t="s">
        <v>80</v>
      </c>
      <c r="W5034" t="s">
        <v>81</v>
      </c>
      <c r="X5034" t="s">
        <v>58</v>
      </c>
      <c r="Y5034">
        <v>21</v>
      </c>
      <c r="Z5034" t="s">
        <v>59</v>
      </c>
      <c r="AA5034" t="s">
        <v>59</v>
      </c>
      <c r="AB5034" t="s">
        <v>59</v>
      </c>
      <c r="AC5034" t="s">
        <v>59</v>
      </c>
      <c r="AD5034" t="s">
        <v>59</v>
      </c>
      <c r="AF5034" s="1">
        <v>32388</v>
      </c>
      <c r="AG5034" t="s">
        <v>8645</v>
      </c>
      <c r="AH5034" t="s">
        <v>8646</v>
      </c>
      <c r="AI5034" t="str">
        <f>"9170061"</f>
        <v>9170061</v>
      </c>
      <c r="AJ5034" t="s">
        <v>8869</v>
      </c>
      <c r="AK5034">
        <v>2810791254</v>
      </c>
      <c r="AL5034" t="s">
        <v>8870</v>
      </c>
      <c r="AM5034" t="s">
        <v>78</v>
      </c>
      <c r="AN5034" t="s">
        <v>78</v>
      </c>
      <c r="AO5034" t="s">
        <v>78</v>
      </c>
      <c r="AP5034" t="s">
        <v>8871</v>
      </c>
      <c r="AQ5034">
        <v>3</v>
      </c>
      <c r="AR5034" t="s">
        <v>80</v>
      </c>
      <c r="AS5034" t="s">
        <v>81</v>
      </c>
      <c r="AT5034" t="s">
        <v>58</v>
      </c>
      <c r="AU5034" t="s">
        <v>68</v>
      </c>
      <c r="AV5034" t="s">
        <v>69</v>
      </c>
      <c r="AW5034" s="1">
        <v>21629</v>
      </c>
      <c r="AX5034">
        <v>1</v>
      </c>
    </row>
    <row r="5035" spans="1:50">
      <c r="A5035">
        <v>616550</v>
      </c>
      <c r="B5035" t="str">
        <f>"120851507"</f>
        <v>120851507</v>
      </c>
      <c r="C5035" t="s">
        <v>50</v>
      </c>
      <c r="D5035" t="s">
        <v>9227</v>
      </c>
      <c r="E5035" t="s">
        <v>1074</v>
      </c>
      <c r="F5035" t="s">
        <v>377</v>
      </c>
      <c r="G5035" t="s">
        <v>460</v>
      </c>
      <c r="H5035" t="str">
        <f>"ΝΑΠΟΛΕΟΝΤΟΣ 3 - 5 ΑΤΤΙΚΗ"</f>
        <v>ΝΑΠΟΛΕΟΝΤΟΣ 3 - 5 ΑΤΤΙΚΗ</v>
      </c>
      <c r="I5035">
        <v>16356</v>
      </c>
      <c r="J5035">
        <v>2110111587</v>
      </c>
      <c r="K5035">
        <v>6972235132</v>
      </c>
      <c r="M5035" t="s">
        <v>9228</v>
      </c>
      <c r="N5035" t="s">
        <v>1525</v>
      </c>
      <c r="O5035" t="s">
        <v>1526</v>
      </c>
      <c r="R5035" t="s">
        <v>57</v>
      </c>
      <c r="S5035">
        <v>5</v>
      </c>
      <c r="T5035">
        <v>660</v>
      </c>
      <c r="U5035" s="1">
        <v>39311</v>
      </c>
      <c r="V5035" t="s">
        <v>80</v>
      </c>
      <c r="W5035" t="s">
        <v>81</v>
      </c>
      <c r="X5035" t="s">
        <v>58</v>
      </c>
      <c r="Y5035">
        <v>25</v>
      </c>
      <c r="Z5035" t="s">
        <v>59</v>
      </c>
      <c r="AA5035" t="s">
        <v>59</v>
      </c>
      <c r="AB5035" t="s">
        <v>59</v>
      </c>
      <c r="AC5035" t="s">
        <v>59</v>
      </c>
      <c r="AD5035" t="s">
        <v>59</v>
      </c>
      <c r="AF5035" s="1">
        <v>39311</v>
      </c>
      <c r="AG5035" t="s">
        <v>8651</v>
      </c>
      <c r="AH5035" t="s">
        <v>8652</v>
      </c>
      <c r="AI5035" t="str">
        <f>"9170260"</f>
        <v>9170260</v>
      </c>
      <c r="AJ5035" t="s">
        <v>9229</v>
      </c>
      <c r="AK5035">
        <v>2810221900</v>
      </c>
      <c r="AL5035" t="s">
        <v>9230</v>
      </c>
      <c r="AM5035" t="s">
        <v>78</v>
      </c>
      <c r="AN5035" t="s">
        <v>78</v>
      </c>
      <c r="AO5035" t="s">
        <v>78</v>
      </c>
      <c r="AP5035" t="s">
        <v>213</v>
      </c>
      <c r="AQ5035">
        <v>1</v>
      </c>
      <c r="AR5035" t="s">
        <v>80</v>
      </c>
      <c r="AS5035" t="s">
        <v>81</v>
      </c>
      <c r="AT5035" t="s">
        <v>58</v>
      </c>
      <c r="AU5035" t="s">
        <v>68</v>
      </c>
      <c r="AV5035" t="s">
        <v>69</v>
      </c>
      <c r="AW5035" s="1">
        <v>30343</v>
      </c>
      <c r="AX5035">
        <v>1</v>
      </c>
    </row>
    <row r="5036" spans="1:50">
      <c r="A5036">
        <v>595918</v>
      </c>
      <c r="B5036" t="str">
        <f>"038978277"</f>
        <v>038978277</v>
      </c>
      <c r="C5036" t="s">
        <v>105</v>
      </c>
      <c r="D5036" t="s">
        <v>6997</v>
      </c>
      <c r="E5036" t="s">
        <v>84</v>
      </c>
      <c r="F5036" t="s">
        <v>72</v>
      </c>
      <c r="G5036" t="s">
        <v>396</v>
      </c>
      <c r="H5036" t="str">
        <f>" "</f>
        <v xml:space="preserve"> </v>
      </c>
      <c r="N5036" t="s">
        <v>615</v>
      </c>
      <c r="O5036" t="s">
        <v>616</v>
      </c>
      <c r="R5036" t="s">
        <v>57</v>
      </c>
      <c r="S5036">
        <v>8</v>
      </c>
      <c r="T5036">
        <v>218</v>
      </c>
      <c r="U5036" s="1">
        <v>37134</v>
      </c>
      <c r="V5036" t="s">
        <v>80</v>
      </c>
      <c r="W5036" t="s">
        <v>81</v>
      </c>
      <c r="X5036" t="s">
        <v>58</v>
      </c>
      <c r="Y5036">
        <v>22</v>
      </c>
      <c r="Z5036" t="s">
        <v>59</v>
      </c>
      <c r="AA5036" t="s">
        <v>59</v>
      </c>
      <c r="AB5036" t="s">
        <v>59</v>
      </c>
      <c r="AC5036" t="s">
        <v>59</v>
      </c>
      <c r="AD5036" t="s">
        <v>59</v>
      </c>
      <c r="AF5036" s="1">
        <v>37139</v>
      </c>
      <c r="AG5036" t="s">
        <v>8645</v>
      </c>
      <c r="AH5036" t="s">
        <v>8646</v>
      </c>
      <c r="AI5036" t="str">
        <f>"9170519"</f>
        <v>9170519</v>
      </c>
      <c r="AJ5036" t="s">
        <v>8647</v>
      </c>
      <c r="AK5036">
        <v>2810244075</v>
      </c>
      <c r="AL5036" t="s">
        <v>8648</v>
      </c>
      <c r="AM5036" t="s">
        <v>78</v>
      </c>
      <c r="AN5036" t="s">
        <v>78</v>
      </c>
      <c r="AO5036" t="s">
        <v>78</v>
      </c>
      <c r="AP5036" t="s">
        <v>213</v>
      </c>
      <c r="AQ5036">
        <v>1</v>
      </c>
      <c r="AR5036" t="s">
        <v>80</v>
      </c>
      <c r="AS5036" t="s">
        <v>81</v>
      </c>
      <c r="AT5036" t="s">
        <v>58</v>
      </c>
      <c r="AU5036" t="s">
        <v>68</v>
      </c>
      <c r="AV5036" t="s">
        <v>69</v>
      </c>
      <c r="AW5036" s="1">
        <v>22528</v>
      </c>
      <c r="AX5036">
        <v>1</v>
      </c>
    </row>
    <row r="5037" spans="1:50">
      <c r="B5037" t="str">
        <f>"103531735"</f>
        <v>103531735</v>
      </c>
      <c r="C5037" t="s">
        <v>50</v>
      </c>
      <c r="D5037" t="s">
        <v>926</v>
      </c>
      <c r="E5037" t="s">
        <v>83</v>
      </c>
      <c r="F5037" t="s">
        <v>936</v>
      </c>
      <c r="G5037" t="s">
        <v>964</v>
      </c>
      <c r="H5037" t="str">
        <f>"ΜΕΛΕΝΙΚΟΥ 17 "</f>
        <v xml:space="preserve">ΜΕΛΕΝΙΚΟΥ 17 </v>
      </c>
      <c r="I5037">
        <v>56224</v>
      </c>
      <c r="J5037">
        <v>2310705851</v>
      </c>
      <c r="K5037">
        <v>6937752241</v>
      </c>
      <c r="M5037" t="s">
        <v>9231</v>
      </c>
      <c r="N5037" t="s">
        <v>1817</v>
      </c>
      <c r="O5037" t="s">
        <v>1818</v>
      </c>
      <c r="R5037" t="s">
        <v>159</v>
      </c>
      <c r="S5037">
        <v>5</v>
      </c>
      <c r="T5037" t="s">
        <v>8696</v>
      </c>
      <c r="U5037" s="1">
        <v>43348</v>
      </c>
      <c r="V5037" t="s">
        <v>80</v>
      </c>
      <c r="W5037" t="s">
        <v>81</v>
      </c>
      <c r="X5037" t="s">
        <v>58</v>
      </c>
      <c r="Y5037">
        <v>24</v>
      </c>
      <c r="Z5037" t="s">
        <v>59</v>
      </c>
      <c r="AA5037" t="s">
        <v>59</v>
      </c>
      <c r="AB5037" t="s">
        <v>59</v>
      </c>
      <c r="AC5037" t="s">
        <v>59</v>
      </c>
      <c r="AD5037" t="s">
        <v>59</v>
      </c>
      <c r="AF5037" s="1">
        <v>43348</v>
      </c>
      <c r="AG5037" t="s">
        <v>8645</v>
      </c>
      <c r="AH5037" t="s">
        <v>8697</v>
      </c>
      <c r="AI5037" t="str">
        <f>"9170581"</f>
        <v>9170581</v>
      </c>
      <c r="AJ5037" t="s">
        <v>9232</v>
      </c>
      <c r="AK5037">
        <v>2892041052</v>
      </c>
      <c r="AL5037" t="s">
        <v>9233</v>
      </c>
      <c r="AM5037" t="s">
        <v>78</v>
      </c>
      <c r="AN5037" t="s">
        <v>242</v>
      </c>
      <c r="AO5037" t="s">
        <v>243</v>
      </c>
      <c r="AP5037" t="s">
        <v>244</v>
      </c>
      <c r="AQ5037">
        <v>20</v>
      </c>
      <c r="AR5037" t="s">
        <v>80</v>
      </c>
      <c r="AS5037" t="s">
        <v>81</v>
      </c>
      <c r="AT5037" t="s">
        <v>58</v>
      </c>
      <c r="AU5037" t="s">
        <v>350</v>
      </c>
      <c r="AV5037" t="s">
        <v>132</v>
      </c>
      <c r="AW5037" s="1">
        <v>28299</v>
      </c>
      <c r="AX5037">
        <v>1</v>
      </c>
    </row>
    <row r="5038" spans="1:50">
      <c r="A5038">
        <v>553873</v>
      </c>
      <c r="B5038" t="str">
        <f>"028715261"</f>
        <v>028715261</v>
      </c>
      <c r="C5038" t="s">
        <v>50</v>
      </c>
      <c r="D5038" t="s">
        <v>926</v>
      </c>
      <c r="E5038" t="s">
        <v>109</v>
      </c>
      <c r="F5038" t="s">
        <v>84</v>
      </c>
      <c r="G5038" t="s">
        <v>250</v>
      </c>
      <c r="H5038" t="str">
        <f>" "</f>
        <v xml:space="preserve"> </v>
      </c>
      <c r="N5038" t="s">
        <v>615</v>
      </c>
      <c r="O5038" t="s">
        <v>616</v>
      </c>
      <c r="R5038" t="s">
        <v>57</v>
      </c>
      <c r="S5038">
        <v>17</v>
      </c>
      <c r="T5038">
        <v>235</v>
      </c>
      <c r="U5038" s="1">
        <v>31289</v>
      </c>
      <c r="V5038" t="s">
        <v>80</v>
      </c>
      <c r="W5038" t="s">
        <v>81</v>
      </c>
      <c r="X5038" t="s">
        <v>58</v>
      </c>
      <c r="Y5038">
        <v>21</v>
      </c>
      <c r="Z5038" t="s">
        <v>59</v>
      </c>
      <c r="AA5038" t="s">
        <v>59</v>
      </c>
      <c r="AB5038" t="s">
        <v>59</v>
      </c>
      <c r="AC5038" t="s">
        <v>59</v>
      </c>
      <c r="AD5038" t="s">
        <v>59</v>
      </c>
      <c r="AF5038" s="1">
        <v>31301</v>
      </c>
      <c r="AG5038" t="s">
        <v>8645</v>
      </c>
      <c r="AH5038" t="s">
        <v>8646</v>
      </c>
      <c r="AI5038" t="str">
        <f>"9170091"</f>
        <v>9170091</v>
      </c>
      <c r="AJ5038" t="s">
        <v>8764</v>
      </c>
      <c r="AK5038">
        <v>2810741381</v>
      </c>
      <c r="AL5038" t="s">
        <v>8765</v>
      </c>
      <c r="AM5038" t="s">
        <v>78</v>
      </c>
      <c r="AN5038" t="s">
        <v>424</v>
      </c>
      <c r="AO5038" t="s">
        <v>428</v>
      </c>
      <c r="AP5038" t="s">
        <v>8766</v>
      </c>
      <c r="AQ5038">
        <v>11</v>
      </c>
      <c r="AR5038" t="s">
        <v>80</v>
      </c>
      <c r="AS5038" t="s">
        <v>81</v>
      </c>
      <c r="AT5038" t="s">
        <v>58</v>
      </c>
      <c r="AU5038" t="s">
        <v>68</v>
      </c>
      <c r="AV5038" t="s">
        <v>69</v>
      </c>
      <c r="AW5038" s="1">
        <v>22880</v>
      </c>
      <c r="AX5038">
        <v>1</v>
      </c>
    </row>
    <row r="5039" spans="1:50">
      <c r="A5039">
        <v>609191</v>
      </c>
      <c r="B5039" t="str">
        <f>"103845029"</f>
        <v>103845029</v>
      </c>
      <c r="C5039" t="s">
        <v>50</v>
      </c>
      <c r="D5039" t="s">
        <v>926</v>
      </c>
      <c r="E5039" t="s">
        <v>52</v>
      </c>
      <c r="F5039" t="s">
        <v>53</v>
      </c>
      <c r="G5039" t="s">
        <v>237</v>
      </c>
      <c r="H5039" t="str">
        <f>"ΗΡΑΚΛΗ 36  		 ΗΡΑΚΛΕΙΟ"</f>
        <v>ΗΡΑΚΛΗ 36  		 ΗΡΑΚΛΕΙΟ</v>
      </c>
      <c r="I5039">
        <v>71305</v>
      </c>
      <c r="J5039">
        <v>2810317922</v>
      </c>
      <c r="K5039">
        <v>6972558985</v>
      </c>
      <c r="N5039" t="s">
        <v>306</v>
      </c>
      <c r="O5039" t="s">
        <v>307</v>
      </c>
      <c r="R5039" t="s">
        <v>57</v>
      </c>
      <c r="S5039">
        <v>7</v>
      </c>
      <c r="T5039">
        <v>218</v>
      </c>
      <c r="U5039" s="1">
        <v>38596</v>
      </c>
      <c r="V5039" t="s">
        <v>80</v>
      </c>
      <c r="W5039" t="s">
        <v>81</v>
      </c>
      <c r="X5039" t="s">
        <v>58</v>
      </c>
      <c r="Y5039">
        <v>22</v>
      </c>
      <c r="Z5039" t="s">
        <v>59</v>
      </c>
      <c r="AA5039" t="s">
        <v>59</v>
      </c>
      <c r="AB5039" t="s">
        <v>59</v>
      </c>
      <c r="AC5039" t="s">
        <v>59</v>
      </c>
      <c r="AD5039" t="s">
        <v>59</v>
      </c>
      <c r="AF5039" s="1">
        <v>38600</v>
      </c>
      <c r="AG5039" t="s">
        <v>8645</v>
      </c>
      <c r="AH5039" t="s">
        <v>8646</v>
      </c>
      <c r="AI5039" t="str">
        <f>"9521092"</f>
        <v>9521092</v>
      </c>
      <c r="AJ5039" t="s">
        <v>9234</v>
      </c>
      <c r="AK5039">
        <v>2810313321</v>
      </c>
      <c r="AL5039" t="s">
        <v>9235</v>
      </c>
      <c r="AM5039" t="s">
        <v>78</v>
      </c>
      <c r="AN5039" t="s">
        <v>78</v>
      </c>
      <c r="AO5039" t="s">
        <v>78</v>
      </c>
      <c r="AP5039" t="s">
        <v>141</v>
      </c>
      <c r="AQ5039">
        <v>1</v>
      </c>
      <c r="AR5039" t="s">
        <v>80</v>
      </c>
      <c r="AS5039" t="s">
        <v>81</v>
      </c>
      <c r="AT5039" t="s">
        <v>58</v>
      </c>
      <c r="AU5039" t="s">
        <v>68</v>
      </c>
      <c r="AV5039" t="s">
        <v>69</v>
      </c>
      <c r="AW5039" s="1">
        <v>27544</v>
      </c>
      <c r="AX5039">
        <v>1</v>
      </c>
    </row>
    <row r="5040" spans="1:50">
      <c r="A5040">
        <v>566127</v>
      </c>
      <c r="B5040" t="str">
        <f>"064213805"</f>
        <v>064213805</v>
      </c>
      <c r="C5040" t="s">
        <v>50</v>
      </c>
      <c r="D5040" t="s">
        <v>926</v>
      </c>
      <c r="E5040" t="s">
        <v>52</v>
      </c>
      <c r="F5040" t="s">
        <v>920</v>
      </c>
      <c r="G5040" t="s">
        <v>5794</v>
      </c>
      <c r="H5040" t="str">
        <f>" "</f>
        <v xml:space="preserve"> </v>
      </c>
      <c r="N5040" t="s">
        <v>615</v>
      </c>
      <c r="O5040" t="s">
        <v>616</v>
      </c>
      <c r="R5040" t="s">
        <v>57</v>
      </c>
      <c r="S5040">
        <v>15</v>
      </c>
      <c r="T5040">
        <v>161</v>
      </c>
      <c r="U5040" s="1">
        <v>33119</v>
      </c>
      <c r="V5040" t="s">
        <v>80</v>
      </c>
      <c r="W5040" t="s">
        <v>81</v>
      </c>
      <c r="X5040" t="s">
        <v>58</v>
      </c>
      <c r="Y5040">
        <v>21</v>
      </c>
      <c r="Z5040" t="s">
        <v>59</v>
      </c>
      <c r="AA5040" t="s">
        <v>59</v>
      </c>
      <c r="AB5040" t="s">
        <v>59</v>
      </c>
      <c r="AC5040" t="s">
        <v>59</v>
      </c>
      <c r="AD5040" t="s">
        <v>59</v>
      </c>
      <c r="AF5040" s="1">
        <v>33121</v>
      </c>
      <c r="AG5040" t="s">
        <v>8645</v>
      </c>
      <c r="AH5040" t="s">
        <v>8646</v>
      </c>
      <c r="AI5040" t="str">
        <f>"9170091"</f>
        <v>9170091</v>
      </c>
      <c r="AJ5040" t="s">
        <v>8764</v>
      </c>
      <c r="AK5040">
        <v>2810741381</v>
      </c>
      <c r="AL5040" t="s">
        <v>8765</v>
      </c>
      <c r="AM5040" t="s">
        <v>78</v>
      </c>
      <c r="AN5040" t="s">
        <v>424</v>
      </c>
      <c r="AO5040" t="s">
        <v>428</v>
      </c>
      <c r="AP5040" t="s">
        <v>8766</v>
      </c>
      <c r="AQ5040">
        <v>11</v>
      </c>
      <c r="AR5040" t="s">
        <v>80</v>
      </c>
      <c r="AS5040" t="s">
        <v>81</v>
      </c>
      <c r="AT5040" t="s">
        <v>58</v>
      </c>
      <c r="AU5040" t="s">
        <v>68</v>
      </c>
      <c r="AV5040" t="s">
        <v>69</v>
      </c>
      <c r="AW5040" s="1">
        <v>24207</v>
      </c>
      <c r="AX5040">
        <v>1</v>
      </c>
    </row>
    <row r="5041" spans="1:50">
      <c r="A5041">
        <v>620036</v>
      </c>
      <c r="B5041" t="str">
        <f>"079157001"</f>
        <v>079157001</v>
      </c>
      <c r="C5041" t="s">
        <v>105</v>
      </c>
      <c r="D5041" t="s">
        <v>9236</v>
      </c>
      <c r="E5041" t="s">
        <v>72</v>
      </c>
      <c r="F5041" t="s">
        <v>99</v>
      </c>
      <c r="G5041" t="s">
        <v>1744</v>
      </c>
      <c r="H5041" t="str">
        <f>"ΘΕΟΦΑΝΟΥΣ 38 ΗΡΑΚΛΕΙΟ"</f>
        <v>ΘΕΟΦΑΝΟΥΣ 38 ΗΡΑΚΛΕΙΟ</v>
      </c>
      <c r="I5041">
        <v>71305</v>
      </c>
      <c r="J5041">
        <v>2810323971</v>
      </c>
      <c r="K5041">
        <v>6946004566</v>
      </c>
      <c r="N5041" t="s">
        <v>176</v>
      </c>
      <c r="O5041" t="s">
        <v>177</v>
      </c>
      <c r="R5041" t="s">
        <v>57</v>
      </c>
      <c r="S5041">
        <v>6</v>
      </c>
      <c r="T5041">
        <v>775</v>
      </c>
      <c r="U5041" s="1">
        <v>39680</v>
      </c>
      <c r="V5041" t="s">
        <v>80</v>
      </c>
      <c r="W5041" t="s">
        <v>81</v>
      </c>
      <c r="X5041" t="s">
        <v>58</v>
      </c>
      <c r="Y5041">
        <v>23</v>
      </c>
      <c r="Z5041" t="s">
        <v>59</v>
      </c>
      <c r="AA5041" t="s">
        <v>59</v>
      </c>
      <c r="AB5041" t="s">
        <v>59</v>
      </c>
      <c r="AC5041" t="s">
        <v>59</v>
      </c>
      <c r="AD5041" t="s">
        <v>59</v>
      </c>
      <c r="AF5041" s="1">
        <v>39681</v>
      </c>
      <c r="AG5041" t="s">
        <v>8645</v>
      </c>
      <c r="AH5041" t="s">
        <v>8646</v>
      </c>
      <c r="AI5041" t="str">
        <f>"9170120"</f>
        <v>9170120</v>
      </c>
      <c r="AJ5041" t="s">
        <v>9237</v>
      </c>
      <c r="AK5041">
        <v>2810881577</v>
      </c>
      <c r="AL5041" t="s">
        <v>9238</v>
      </c>
      <c r="AM5041" t="s">
        <v>78</v>
      </c>
      <c r="AN5041" t="s">
        <v>78</v>
      </c>
      <c r="AO5041" t="s">
        <v>78</v>
      </c>
      <c r="AP5041" t="s">
        <v>9239</v>
      </c>
      <c r="AQ5041">
        <v>1</v>
      </c>
      <c r="AR5041" t="s">
        <v>80</v>
      </c>
      <c r="AS5041" t="s">
        <v>81</v>
      </c>
      <c r="AT5041" t="s">
        <v>58</v>
      </c>
      <c r="AU5041" t="s">
        <v>68</v>
      </c>
      <c r="AV5041" t="s">
        <v>69</v>
      </c>
      <c r="AW5041" s="1">
        <v>25429</v>
      </c>
      <c r="AX5041">
        <v>1</v>
      </c>
    </row>
    <row r="5042" spans="1:50">
      <c r="A5042">
        <v>225861</v>
      </c>
      <c r="B5042" t="str">
        <f>"074461359"</f>
        <v>074461359</v>
      </c>
      <c r="C5042" t="s">
        <v>105</v>
      </c>
      <c r="D5042" t="s">
        <v>9236</v>
      </c>
      <c r="E5042" t="s">
        <v>72</v>
      </c>
      <c r="F5042" t="s">
        <v>53</v>
      </c>
      <c r="G5042" t="s">
        <v>950</v>
      </c>
      <c r="H5042" t="str">
        <f>"Θ.ΜΑΤΘΑΙΑΚΗ 44 ΗΡΑΚΛΕΙΟ"</f>
        <v>Θ.ΜΑΤΘΑΙΑΚΗ 44 ΗΡΑΚΛΕΙΟ</v>
      </c>
      <c r="I5042">
        <v>71305</v>
      </c>
      <c r="K5042">
        <v>6972816049</v>
      </c>
      <c r="N5042" t="s">
        <v>176</v>
      </c>
      <c r="O5042" t="s">
        <v>177</v>
      </c>
      <c r="R5042" t="s">
        <v>57</v>
      </c>
      <c r="S5042">
        <v>6</v>
      </c>
      <c r="T5042">
        <v>862</v>
      </c>
      <c r="U5042" s="1">
        <v>39706</v>
      </c>
      <c r="V5042" t="s">
        <v>80</v>
      </c>
      <c r="W5042" t="s">
        <v>81</v>
      </c>
      <c r="X5042" t="s">
        <v>58</v>
      </c>
      <c r="Y5042">
        <v>23</v>
      </c>
      <c r="Z5042" t="s">
        <v>59</v>
      </c>
      <c r="AA5042" t="s">
        <v>59</v>
      </c>
      <c r="AB5042" t="s">
        <v>59</v>
      </c>
      <c r="AC5042" t="s">
        <v>59</v>
      </c>
      <c r="AD5042" t="s">
        <v>59</v>
      </c>
      <c r="AF5042" s="1">
        <v>39707</v>
      </c>
      <c r="AG5042" t="s">
        <v>8645</v>
      </c>
      <c r="AH5042" t="s">
        <v>8646</v>
      </c>
      <c r="AI5042" t="str">
        <f>"9170058"</f>
        <v>9170058</v>
      </c>
      <c r="AJ5042" t="s">
        <v>8735</v>
      </c>
      <c r="AK5042">
        <v>2810252903</v>
      </c>
      <c r="AL5042" t="s">
        <v>8736</v>
      </c>
      <c r="AM5042" t="s">
        <v>78</v>
      </c>
      <c r="AN5042" t="s">
        <v>78</v>
      </c>
      <c r="AO5042" t="s">
        <v>78</v>
      </c>
      <c r="AP5042" t="s">
        <v>163</v>
      </c>
      <c r="AQ5042">
        <v>1</v>
      </c>
      <c r="AR5042" t="s">
        <v>80</v>
      </c>
      <c r="AS5042" t="s">
        <v>81</v>
      </c>
      <c r="AT5042" t="s">
        <v>58</v>
      </c>
      <c r="AU5042" t="s">
        <v>68</v>
      </c>
      <c r="AV5042" t="s">
        <v>132</v>
      </c>
      <c r="AW5042" s="1">
        <v>26466</v>
      </c>
      <c r="AX5042">
        <v>1</v>
      </c>
    </row>
    <row r="5043" spans="1:50">
      <c r="A5043">
        <v>618677</v>
      </c>
      <c r="B5043" t="str">
        <f>"117733541"</f>
        <v>117733541</v>
      </c>
      <c r="C5043" t="s">
        <v>105</v>
      </c>
      <c r="D5043" t="s">
        <v>5812</v>
      </c>
      <c r="E5043" t="s">
        <v>995</v>
      </c>
      <c r="F5043" t="s">
        <v>154</v>
      </c>
      <c r="G5043" t="s">
        <v>1108</v>
      </c>
      <c r="H5043" t="str">
        <f>"ΑΓ. ΠΑΝΤΕΛΕΗΜΟΝΟΣ 8 - ΠΟΛΙΧΝΗ ΘΕΣΣΑΛΟΝΙΚΗ"</f>
        <v>ΑΓ. ΠΑΝΤΕΛΕΗΜΟΝΟΣ 8 - ΠΟΛΙΧΝΗ ΘΕΣΣΑΛΟΝΙΚΗ</v>
      </c>
      <c r="I5043">
        <v>56533</v>
      </c>
      <c r="J5043">
        <v>2310605647</v>
      </c>
      <c r="K5043">
        <v>6936072529</v>
      </c>
      <c r="N5043" t="s">
        <v>615</v>
      </c>
      <c r="O5043" t="s">
        <v>616</v>
      </c>
      <c r="R5043" t="s">
        <v>57</v>
      </c>
      <c r="S5043">
        <v>7</v>
      </c>
      <c r="T5043">
        <v>774</v>
      </c>
      <c r="U5043" s="1">
        <v>39680</v>
      </c>
      <c r="V5043" t="s">
        <v>80</v>
      </c>
      <c r="W5043" t="s">
        <v>81</v>
      </c>
      <c r="X5043" t="s">
        <v>58</v>
      </c>
      <c r="Y5043">
        <v>23</v>
      </c>
      <c r="Z5043" t="s">
        <v>59</v>
      </c>
      <c r="AA5043" t="s">
        <v>59</v>
      </c>
      <c r="AB5043" t="s">
        <v>59</v>
      </c>
      <c r="AC5043" t="s">
        <v>59</v>
      </c>
      <c r="AD5043" t="s">
        <v>59</v>
      </c>
      <c r="AF5043" s="1">
        <v>39685</v>
      </c>
      <c r="AG5043" t="s">
        <v>8645</v>
      </c>
      <c r="AH5043" t="s">
        <v>8646</v>
      </c>
      <c r="AI5043" t="str">
        <f>"9170043"</f>
        <v>9170043</v>
      </c>
      <c r="AJ5043" t="s">
        <v>8883</v>
      </c>
      <c r="AK5043">
        <v>2894022075</v>
      </c>
      <c r="AL5043" t="s">
        <v>8884</v>
      </c>
      <c r="AM5043" t="s">
        <v>78</v>
      </c>
      <c r="AN5043" t="s">
        <v>405</v>
      </c>
      <c r="AO5043" t="s">
        <v>406</v>
      </c>
      <c r="AP5043" t="s">
        <v>8885</v>
      </c>
      <c r="AQ5043">
        <v>6</v>
      </c>
      <c r="AR5043" t="s">
        <v>80</v>
      </c>
      <c r="AS5043" t="s">
        <v>81</v>
      </c>
      <c r="AT5043" t="s">
        <v>58</v>
      </c>
      <c r="AU5043" t="s">
        <v>68</v>
      </c>
      <c r="AV5043" t="s">
        <v>69</v>
      </c>
      <c r="AW5043" s="1">
        <v>30992</v>
      </c>
      <c r="AX5043">
        <v>1</v>
      </c>
    </row>
    <row r="5044" spans="1:50">
      <c r="B5044" t="str">
        <f>"151196740"</f>
        <v>151196740</v>
      </c>
      <c r="C5044" t="s">
        <v>50</v>
      </c>
      <c r="D5044" t="s">
        <v>9240</v>
      </c>
      <c r="E5044" t="s">
        <v>372</v>
      </c>
      <c r="F5044" t="s">
        <v>408</v>
      </c>
      <c r="G5044" t="s">
        <v>484</v>
      </c>
      <c r="H5044" t="str">
        <f>"Μαγκριώτου και Καραϊτση Γιαννιτσά"</f>
        <v>Μαγκριώτου και Καραϊτση Γιαννιτσά</v>
      </c>
      <c r="I5044">
        <v>58100</v>
      </c>
      <c r="J5044">
        <v>2382021485</v>
      </c>
      <c r="K5044">
        <v>6971942194</v>
      </c>
      <c r="M5044" t="s">
        <v>9241</v>
      </c>
      <c r="N5044" t="s">
        <v>8694</v>
      </c>
      <c r="O5044" t="s">
        <v>8695</v>
      </c>
      <c r="R5044" t="s">
        <v>159</v>
      </c>
      <c r="S5044">
        <v>1</v>
      </c>
      <c r="T5044" t="s">
        <v>8835</v>
      </c>
      <c r="U5044" s="1">
        <v>43348</v>
      </c>
      <c r="V5044" t="s">
        <v>80</v>
      </c>
      <c r="W5044" t="s">
        <v>81</v>
      </c>
      <c r="X5044" t="s">
        <v>58</v>
      </c>
      <c r="Y5044">
        <v>24</v>
      </c>
      <c r="Z5044" t="s">
        <v>59</v>
      </c>
      <c r="AA5044" t="s">
        <v>59</v>
      </c>
      <c r="AB5044" t="s">
        <v>59</v>
      </c>
      <c r="AD5044" t="s">
        <v>59</v>
      </c>
      <c r="AF5044" s="1">
        <v>43348</v>
      </c>
      <c r="AG5044" t="s">
        <v>8645</v>
      </c>
      <c r="AH5044" t="s">
        <v>8646</v>
      </c>
      <c r="AI5044" t="str">
        <f>"9170424"</f>
        <v>9170424</v>
      </c>
      <c r="AJ5044" t="s">
        <v>8860</v>
      </c>
      <c r="AK5044">
        <v>2810254530</v>
      </c>
      <c r="AL5044" t="s">
        <v>8861</v>
      </c>
      <c r="AM5044" t="s">
        <v>78</v>
      </c>
      <c r="AN5044" t="s">
        <v>78</v>
      </c>
      <c r="AO5044" t="s">
        <v>78</v>
      </c>
      <c r="AP5044" t="s">
        <v>163</v>
      </c>
      <c r="AQ5044">
        <v>1</v>
      </c>
      <c r="AR5044" t="s">
        <v>80</v>
      </c>
      <c r="AS5044" t="s">
        <v>81</v>
      </c>
      <c r="AT5044" t="s">
        <v>58</v>
      </c>
      <c r="AU5044" t="s">
        <v>131</v>
      </c>
      <c r="AV5044" t="s">
        <v>132</v>
      </c>
      <c r="AW5044" s="1">
        <v>33669</v>
      </c>
      <c r="AX5044">
        <v>1</v>
      </c>
    </row>
    <row r="5045" spans="1:50">
      <c r="A5045">
        <v>575708</v>
      </c>
      <c r="B5045" t="str">
        <f>"039456172"</f>
        <v>039456172</v>
      </c>
      <c r="C5045" t="s">
        <v>105</v>
      </c>
      <c r="D5045" t="s">
        <v>9242</v>
      </c>
      <c r="E5045" t="s">
        <v>95</v>
      </c>
      <c r="F5045" t="s">
        <v>53</v>
      </c>
      <c r="G5045" t="s">
        <v>237</v>
      </c>
      <c r="H5045" t="str">
        <f>"ΑΝΩ ΚΑΛΕΣΣΑ ΗΡΑΚΛΕΙΟ"</f>
        <v>ΑΝΩ ΚΑΛΕΣΣΑ ΗΡΑΚΛΕΙΟ</v>
      </c>
      <c r="I5045">
        <v>71500</v>
      </c>
      <c r="J5045">
        <v>2810821979</v>
      </c>
      <c r="K5045">
        <v>6945452978</v>
      </c>
      <c r="N5045" t="s">
        <v>615</v>
      </c>
      <c r="O5045" t="s">
        <v>616</v>
      </c>
      <c r="R5045" t="s">
        <v>57</v>
      </c>
      <c r="S5045">
        <v>13</v>
      </c>
      <c r="T5045">
        <v>184</v>
      </c>
      <c r="U5045" s="1">
        <v>34941</v>
      </c>
      <c r="V5045" t="s">
        <v>80</v>
      </c>
      <c r="W5045" t="s">
        <v>81</v>
      </c>
      <c r="X5045" t="s">
        <v>58</v>
      </c>
      <c r="Y5045">
        <v>21</v>
      </c>
      <c r="Z5045" t="s">
        <v>59</v>
      </c>
      <c r="AA5045" t="s">
        <v>59</v>
      </c>
      <c r="AB5045" t="s">
        <v>59</v>
      </c>
      <c r="AC5045" t="s">
        <v>59</v>
      </c>
      <c r="AD5045" t="s">
        <v>59</v>
      </c>
      <c r="AF5045" s="1">
        <v>34949</v>
      </c>
      <c r="AG5045" t="s">
        <v>8645</v>
      </c>
      <c r="AH5045" t="s">
        <v>8646</v>
      </c>
      <c r="AI5045" t="str">
        <f>"9521092"</f>
        <v>9521092</v>
      </c>
      <c r="AJ5045" t="s">
        <v>9234</v>
      </c>
      <c r="AK5045">
        <v>2810313321</v>
      </c>
      <c r="AL5045" t="s">
        <v>9235</v>
      </c>
      <c r="AM5045" t="s">
        <v>78</v>
      </c>
      <c r="AN5045" t="s">
        <v>78</v>
      </c>
      <c r="AO5045" t="s">
        <v>78</v>
      </c>
      <c r="AP5045" t="s">
        <v>141</v>
      </c>
      <c r="AQ5045">
        <v>1</v>
      </c>
      <c r="AR5045" t="s">
        <v>80</v>
      </c>
      <c r="AS5045" t="s">
        <v>81</v>
      </c>
      <c r="AT5045" t="s">
        <v>58</v>
      </c>
      <c r="AU5045" t="s">
        <v>68</v>
      </c>
      <c r="AV5045" t="s">
        <v>69</v>
      </c>
      <c r="AW5045" s="1">
        <v>24442</v>
      </c>
      <c r="AX5045">
        <v>1</v>
      </c>
    </row>
    <row r="5046" spans="1:50">
      <c r="B5046" t="str">
        <f>"033592400"</f>
        <v>033592400</v>
      </c>
      <c r="C5046" t="s">
        <v>105</v>
      </c>
      <c r="D5046" t="s">
        <v>9243</v>
      </c>
      <c r="E5046" t="s">
        <v>84</v>
      </c>
      <c r="F5046" t="s">
        <v>53</v>
      </c>
      <c r="G5046" t="s">
        <v>4515</v>
      </c>
      <c r="H5046" t="str">
        <f>"ΠΕΝΤΑΜΟΔΙ ΗΡΑΚΛΕΙΟ"</f>
        <v>ΠΕΝΤΑΜΟΔΙ ΗΡΑΚΛΕΙΟ</v>
      </c>
      <c r="I5046">
        <v>70013</v>
      </c>
      <c r="J5046">
        <v>2810721697</v>
      </c>
      <c r="K5046">
        <v>6977393716</v>
      </c>
      <c r="N5046" t="s">
        <v>176</v>
      </c>
      <c r="O5046" t="s">
        <v>177</v>
      </c>
      <c r="R5046" t="s">
        <v>57</v>
      </c>
      <c r="S5046">
        <v>5</v>
      </c>
      <c r="T5046" t="s">
        <v>8675</v>
      </c>
      <c r="U5046" s="1">
        <v>43348</v>
      </c>
      <c r="V5046" t="s">
        <v>80</v>
      </c>
      <c r="W5046" t="s">
        <v>81</v>
      </c>
      <c r="X5046" t="s">
        <v>58</v>
      </c>
      <c r="Y5046">
        <v>23</v>
      </c>
      <c r="Z5046" t="s">
        <v>59</v>
      </c>
      <c r="AA5046" t="s">
        <v>59</v>
      </c>
      <c r="AB5046" t="s">
        <v>59</v>
      </c>
      <c r="AC5046" t="s">
        <v>59</v>
      </c>
      <c r="AD5046" t="s">
        <v>59</v>
      </c>
      <c r="AF5046" s="1">
        <v>43348</v>
      </c>
      <c r="AG5046" t="s">
        <v>8645</v>
      </c>
      <c r="AH5046" t="s">
        <v>8646</v>
      </c>
      <c r="AI5046" t="str">
        <f>"9170020"</f>
        <v>9170020</v>
      </c>
      <c r="AJ5046" t="s">
        <v>9244</v>
      </c>
      <c r="AK5046">
        <v>2810821476</v>
      </c>
      <c r="AL5046" t="s">
        <v>9245</v>
      </c>
      <c r="AM5046" t="s">
        <v>78</v>
      </c>
      <c r="AN5046" t="s">
        <v>129</v>
      </c>
      <c r="AO5046" t="s">
        <v>130</v>
      </c>
      <c r="AP5046" t="s">
        <v>9246</v>
      </c>
      <c r="AQ5046">
        <v>2</v>
      </c>
      <c r="AR5046" t="s">
        <v>80</v>
      </c>
      <c r="AS5046" t="s">
        <v>81</v>
      </c>
      <c r="AT5046" t="s">
        <v>58</v>
      </c>
      <c r="AU5046" t="s">
        <v>8673</v>
      </c>
      <c r="AV5046" t="s">
        <v>132</v>
      </c>
      <c r="AW5046" s="1">
        <v>24530</v>
      </c>
      <c r="AX5046">
        <v>1</v>
      </c>
    </row>
    <row r="5047" spans="1:50">
      <c r="A5047">
        <v>562983</v>
      </c>
      <c r="B5047" t="str">
        <f>"034208267"</f>
        <v>034208267</v>
      </c>
      <c r="C5047" t="s">
        <v>105</v>
      </c>
      <c r="D5047" t="s">
        <v>9247</v>
      </c>
      <c r="E5047" t="s">
        <v>95</v>
      </c>
      <c r="F5047" t="s">
        <v>53</v>
      </c>
      <c r="G5047" t="s">
        <v>83</v>
      </c>
      <c r="H5047" t="str">
        <f>"ΦΑΙΣΤΟΥ 51 ΗΡΑΚΛΕΙΟ"</f>
        <v>ΦΑΙΣΤΟΥ 51 ΗΡΑΚΛΕΙΟ</v>
      </c>
      <c r="I5047">
        <v>71410</v>
      </c>
      <c r="J5047">
        <v>2810321859</v>
      </c>
      <c r="K5047">
        <v>6970401029</v>
      </c>
      <c r="N5047" t="s">
        <v>615</v>
      </c>
      <c r="O5047" t="s">
        <v>616</v>
      </c>
      <c r="R5047" t="s">
        <v>57</v>
      </c>
      <c r="S5047">
        <v>15</v>
      </c>
      <c r="T5047">
        <v>187</v>
      </c>
      <c r="U5047" s="1">
        <v>32750</v>
      </c>
      <c r="V5047" t="s">
        <v>80</v>
      </c>
      <c r="W5047" t="s">
        <v>81</v>
      </c>
      <c r="X5047" t="s">
        <v>58</v>
      </c>
      <c r="Y5047">
        <v>21</v>
      </c>
      <c r="Z5047" t="s">
        <v>59</v>
      </c>
      <c r="AA5047" t="s">
        <v>59</v>
      </c>
      <c r="AB5047" t="s">
        <v>59</v>
      </c>
      <c r="AC5047" t="s">
        <v>59</v>
      </c>
      <c r="AD5047" t="s">
        <v>59</v>
      </c>
      <c r="AF5047" s="1">
        <v>32755</v>
      </c>
      <c r="AG5047" t="s">
        <v>8645</v>
      </c>
      <c r="AH5047" t="s">
        <v>8646</v>
      </c>
      <c r="AI5047" t="str">
        <f>"9170517"</f>
        <v>9170517</v>
      </c>
      <c r="AJ5047" t="s">
        <v>9248</v>
      </c>
      <c r="AK5047">
        <v>2810238757</v>
      </c>
      <c r="AL5047" t="s">
        <v>9249</v>
      </c>
      <c r="AM5047" t="s">
        <v>78</v>
      </c>
      <c r="AN5047" t="s">
        <v>78</v>
      </c>
      <c r="AO5047" t="s">
        <v>78</v>
      </c>
      <c r="AP5047" t="s">
        <v>163</v>
      </c>
      <c r="AQ5047">
        <v>1</v>
      </c>
      <c r="AR5047" t="s">
        <v>80</v>
      </c>
      <c r="AS5047" t="s">
        <v>81</v>
      </c>
      <c r="AT5047" t="s">
        <v>58</v>
      </c>
      <c r="AU5047" t="s">
        <v>68</v>
      </c>
      <c r="AV5047" t="s">
        <v>69</v>
      </c>
      <c r="AW5047" s="1">
        <v>20899</v>
      </c>
      <c r="AX5047">
        <v>1</v>
      </c>
    </row>
    <row r="5048" spans="1:50">
      <c r="A5048">
        <v>555987</v>
      </c>
      <c r="B5048" t="str">
        <f>"103529659"</f>
        <v>103529659</v>
      </c>
      <c r="C5048" t="s">
        <v>50</v>
      </c>
      <c r="D5048" t="s">
        <v>9250</v>
      </c>
      <c r="E5048" t="s">
        <v>52</v>
      </c>
      <c r="F5048" t="s">
        <v>106</v>
      </c>
      <c r="G5048" t="s">
        <v>112</v>
      </c>
      <c r="H5048" t="str">
        <f>"Πλάτωνος 7 Νέα Αλικαρνασσος"</f>
        <v>Πλάτωνος 7 Νέα Αλικαρνασσος</v>
      </c>
      <c r="I5048">
        <v>71601</v>
      </c>
      <c r="K5048">
        <v>6973842590</v>
      </c>
      <c r="M5048" t="s">
        <v>9251</v>
      </c>
      <c r="N5048" t="s">
        <v>615</v>
      </c>
      <c r="O5048" t="s">
        <v>616</v>
      </c>
      <c r="R5048" t="s">
        <v>57</v>
      </c>
      <c r="S5048">
        <v>17</v>
      </c>
      <c r="T5048">
        <v>200</v>
      </c>
      <c r="U5048" s="1">
        <v>31657</v>
      </c>
      <c r="V5048" t="s">
        <v>80</v>
      </c>
      <c r="W5048" t="s">
        <v>81</v>
      </c>
      <c r="X5048" t="s">
        <v>58</v>
      </c>
      <c r="Y5048">
        <v>21</v>
      </c>
      <c r="Z5048" t="s">
        <v>59</v>
      </c>
      <c r="AA5048" t="s">
        <v>59</v>
      </c>
      <c r="AB5048" t="s">
        <v>59</v>
      </c>
      <c r="AC5048" t="s">
        <v>59</v>
      </c>
      <c r="AD5048" t="s">
        <v>59</v>
      </c>
      <c r="AF5048" s="1">
        <v>31663</v>
      </c>
      <c r="AG5048" t="s">
        <v>8645</v>
      </c>
      <c r="AH5048" t="s">
        <v>8646</v>
      </c>
      <c r="AI5048" t="str">
        <f>"9170263"</f>
        <v>9170263</v>
      </c>
      <c r="AJ5048" t="s">
        <v>8942</v>
      </c>
      <c r="AK5048">
        <v>2810346939</v>
      </c>
      <c r="AL5048" t="s">
        <v>8943</v>
      </c>
      <c r="AM5048" t="s">
        <v>78</v>
      </c>
      <c r="AN5048" t="s">
        <v>78</v>
      </c>
      <c r="AO5048" t="s">
        <v>286</v>
      </c>
      <c r="AP5048" t="s">
        <v>286</v>
      </c>
      <c r="AQ5048">
        <v>1</v>
      </c>
      <c r="AR5048" t="s">
        <v>80</v>
      </c>
      <c r="AS5048" t="s">
        <v>81</v>
      </c>
      <c r="AT5048" t="s">
        <v>58</v>
      </c>
      <c r="AU5048" t="s">
        <v>68</v>
      </c>
      <c r="AV5048" t="s">
        <v>69</v>
      </c>
      <c r="AW5048" s="1">
        <v>23071</v>
      </c>
      <c r="AX5048">
        <v>1</v>
      </c>
    </row>
    <row r="5049" spans="1:50">
      <c r="A5049">
        <v>700674</v>
      </c>
      <c r="B5049" t="str">
        <f>"143673640"</f>
        <v>143673640</v>
      </c>
      <c r="C5049" t="s">
        <v>50</v>
      </c>
      <c r="D5049" t="s">
        <v>9252</v>
      </c>
      <c r="E5049" t="s">
        <v>52</v>
      </c>
      <c r="F5049" t="s">
        <v>95</v>
      </c>
      <c r="G5049" t="s">
        <v>54</v>
      </c>
      <c r="H5049" t="str">
        <f>"28 ΟΚΤΩΒΡΙΟΥ 140 ΣΗΤΕΙΑ"</f>
        <v>28 ΟΚΤΩΒΡΙΟΥ 140 ΣΗΤΕΙΑ</v>
      </c>
      <c r="I5049">
        <v>72300</v>
      </c>
      <c r="J5049">
        <v>2810211706</v>
      </c>
      <c r="K5049">
        <v>6981090164</v>
      </c>
      <c r="L5049">
        <v>2810211706</v>
      </c>
      <c r="M5049" t="s">
        <v>9253</v>
      </c>
      <c r="N5049" t="s">
        <v>615</v>
      </c>
      <c r="O5049" t="s">
        <v>616</v>
      </c>
      <c r="R5049" t="s">
        <v>57</v>
      </c>
      <c r="S5049">
        <v>5</v>
      </c>
      <c r="T5049">
        <v>772</v>
      </c>
      <c r="U5049" s="1">
        <v>40413</v>
      </c>
      <c r="V5049" t="s">
        <v>80</v>
      </c>
      <c r="W5049" t="s">
        <v>81</v>
      </c>
      <c r="X5049" t="s">
        <v>58</v>
      </c>
      <c r="Y5049">
        <v>23</v>
      </c>
      <c r="Z5049" t="s">
        <v>59</v>
      </c>
      <c r="AA5049" t="s">
        <v>59</v>
      </c>
      <c r="AB5049" t="s">
        <v>59</v>
      </c>
      <c r="AC5049" t="s">
        <v>59</v>
      </c>
      <c r="AD5049" t="s">
        <v>59</v>
      </c>
      <c r="AF5049" s="1">
        <v>40413</v>
      </c>
      <c r="AG5049" t="s">
        <v>8645</v>
      </c>
      <c r="AH5049" t="s">
        <v>8646</v>
      </c>
      <c r="AI5049" t="str">
        <f>"9170427"</f>
        <v>9170427</v>
      </c>
      <c r="AJ5049" t="s">
        <v>8817</v>
      </c>
      <c r="AK5049">
        <v>2810220998</v>
      </c>
      <c r="AL5049" t="s">
        <v>8818</v>
      </c>
      <c r="AM5049" t="s">
        <v>78</v>
      </c>
      <c r="AN5049" t="s">
        <v>78</v>
      </c>
      <c r="AO5049" t="s">
        <v>286</v>
      </c>
      <c r="AP5049" t="s">
        <v>286</v>
      </c>
      <c r="AQ5049">
        <v>1</v>
      </c>
      <c r="AR5049" t="s">
        <v>80</v>
      </c>
      <c r="AS5049" t="s">
        <v>81</v>
      </c>
      <c r="AT5049" t="s">
        <v>58</v>
      </c>
      <c r="AU5049" t="s">
        <v>68</v>
      </c>
      <c r="AV5049" t="s">
        <v>69</v>
      </c>
      <c r="AW5049" s="1">
        <v>31491</v>
      </c>
      <c r="AX5049">
        <v>1</v>
      </c>
    </row>
    <row r="5050" spans="1:50">
      <c r="A5050">
        <v>555234</v>
      </c>
      <c r="B5050" t="str">
        <f>"063202528"</f>
        <v>063202528</v>
      </c>
      <c r="C5050" t="s">
        <v>50</v>
      </c>
      <c r="D5050" t="s">
        <v>9254</v>
      </c>
      <c r="E5050" t="s">
        <v>215</v>
      </c>
      <c r="F5050" t="s">
        <v>1868</v>
      </c>
      <c r="G5050" t="s">
        <v>2370</v>
      </c>
      <c r="H5050" t="str">
        <f>"ΠΥΡΓΟΣ "</f>
        <v xml:space="preserve">ΠΥΡΓΟΣ </v>
      </c>
      <c r="K5050">
        <v>6972177953</v>
      </c>
      <c r="N5050" t="s">
        <v>615</v>
      </c>
      <c r="O5050" t="s">
        <v>616</v>
      </c>
      <c r="R5050" t="s">
        <v>57</v>
      </c>
      <c r="S5050">
        <v>17</v>
      </c>
      <c r="T5050">
        <v>200</v>
      </c>
      <c r="U5050" s="1">
        <v>31657</v>
      </c>
      <c r="V5050" t="s">
        <v>80</v>
      </c>
      <c r="W5050" t="s">
        <v>81</v>
      </c>
      <c r="X5050" t="s">
        <v>58</v>
      </c>
      <c r="Y5050">
        <v>21</v>
      </c>
      <c r="Z5050" t="s">
        <v>59</v>
      </c>
      <c r="AA5050" t="s">
        <v>59</v>
      </c>
      <c r="AB5050" t="s">
        <v>59</v>
      </c>
      <c r="AC5050" t="s">
        <v>59</v>
      </c>
      <c r="AD5050" t="s">
        <v>59</v>
      </c>
      <c r="AF5050" s="1">
        <v>31666</v>
      </c>
      <c r="AG5050" t="s">
        <v>8645</v>
      </c>
      <c r="AH5050" t="s">
        <v>8646</v>
      </c>
      <c r="AI5050" t="str">
        <f>"9170196"</f>
        <v>9170196</v>
      </c>
      <c r="AJ5050" t="s">
        <v>9255</v>
      </c>
      <c r="AK5050">
        <v>2810283356</v>
      </c>
      <c r="AL5050" t="s">
        <v>9256</v>
      </c>
      <c r="AM5050" t="s">
        <v>78</v>
      </c>
      <c r="AN5050" t="s">
        <v>78</v>
      </c>
      <c r="AO5050" t="s">
        <v>78</v>
      </c>
      <c r="AP5050" t="s">
        <v>79</v>
      </c>
      <c r="AQ5050">
        <v>1</v>
      </c>
      <c r="AR5050" t="s">
        <v>80</v>
      </c>
      <c r="AS5050" t="s">
        <v>81</v>
      </c>
      <c r="AT5050" t="s">
        <v>58</v>
      </c>
      <c r="AU5050" t="s">
        <v>68</v>
      </c>
      <c r="AV5050" t="s">
        <v>69</v>
      </c>
      <c r="AW5050" s="1">
        <v>23368</v>
      </c>
      <c r="AX5050">
        <v>1</v>
      </c>
    </row>
    <row r="5051" spans="1:50">
      <c r="A5051">
        <v>564076</v>
      </c>
      <c r="B5051" t="str">
        <f>"032801842"</f>
        <v>032801842</v>
      </c>
      <c r="C5051" t="s">
        <v>105</v>
      </c>
      <c r="D5051" t="s">
        <v>9257</v>
      </c>
      <c r="E5051" t="s">
        <v>900</v>
      </c>
      <c r="F5051" t="s">
        <v>1868</v>
      </c>
      <c r="G5051" t="s">
        <v>2370</v>
      </c>
      <c r="H5051" t="str">
        <f>" "</f>
        <v xml:space="preserve"> </v>
      </c>
      <c r="N5051" t="s">
        <v>615</v>
      </c>
      <c r="O5051" t="s">
        <v>616</v>
      </c>
      <c r="R5051" t="s">
        <v>57</v>
      </c>
      <c r="S5051">
        <v>15</v>
      </c>
      <c r="T5051">
        <v>161</v>
      </c>
      <c r="U5051" s="1">
        <v>33119</v>
      </c>
      <c r="V5051" t="s">
        <v>80</v>
      </c>
      <c r="W5051" t="s">
        <v>81</v>
      </c>
      <c r="X5051" t="s">
        <v>58</v>
      </c>
      <c r="Y5051">
        <v>21</v>
      </c>
      <c r="Z5051" t="s">
        <v>59</v>
      </c>
      <c r="AA5051" t="s">
        <v>59</v>
      </c>
      <c r="AB5051" t="s">
        <v>59</v>
      </c>
      <c r="AC5051" t="s">
        <v>59</v>
      </c>
      <c r="AD5051" t="s">
        <v>59</v>
      </c>
      <c r="AF5051" s="1">
        <v>33121</v>
      </c>
      <c r="AG5051" t="s">
        <v>8645</v>
      </c>
      <c r="AH5051" t="s">
        <v>8646</v>
      </c>
      <c r="AI5051" t="str">
        <f>"9170255"</f>
        <v>9170255</v>
      </c>
      <c r="AJ5051" t="s">
        <v>8915</v>
      </c>
      <c r="AK5051">
        <v>2810220750</v>
      </c>
      <c r="AL5051" t="s">
        <v>8916</v>
      </c>
      <c r="AM5051" t="s">
        <v>78</v>
      </c>
      <c r="AN5051" t="s">
        <v>78</v>
      </c>
      <c r="AO5051" t="s">
        <v>78</v>
      </c>
      <c r="AP5051" t="s">
        <v>213</v>
      </c>
      <c r="AQ5051">
        <v>1</v>
      </c>
      <c r="AR5051" t="s">
        <v>80</v>
      </c>
      <c r="AS5051" t="s">
        <v>81</v>
      </c>
      <c r="AT5051" t="s">
        <v>58</v>
      </c>
      <c r="AU5051" t="s">
        <v>68</v>
      </c>
      <c r="AV5051" t="s">
        <v>69</v>
      </c>
      <c r="AW5051" s="1">
        <v>22844</v>
      </c>
      <c r="AX5051">
        <v>1</v>
      </c>
    </row>
    <row r="5052" spans="1:50">
      <c r="B5052" t="str">
        <f>"065199945"</f>
        <v>065199945</v>
      </c>
      <c r="C5052" t="s">
        <v>50</v>
      </c>
      <c r="D5052" t="s">
        <v>944</v>
      </c>
      <c r="E5052" t="s">
        <v>610</v>
      </c>
      <c r="F5052" t="s">
        <v>9258</v>
      </c>
      <c r="G5052" t="s">
        <v>143</v>
      </c>
      <c r="H5052" t="str">
        <f>"ΘΕΟΓΝΗ 10 "</f>
        <v xml:space="preserve">ΘΕΟΓΝΗ 10 </v>
      </c>
      <c r="I5052">
        <v>71409</v>
      </c>
      <c r="J5052">
        <v>281111646</v>
      </c>
      <c r="K5052">
        <v>6975875366</v>
      </c>
      <c r="N5052" t="s">
        <v>615</v>
      </c>
      <c r="O5052" t="s">
        <v>616</v>
      </c>
      <c r="R5052" t="s">
        <v>121</v>
      </c>
      <c r="S5052">
        <v>1</v>
      </c>
      <c r="T5052" t="s">
        <v>8675</v>
      </c>
      <c r="U5052" s="1">
        <v>43348</v>
      </c>
      <c r="V5052" t="s">
        <v>80</v>
      </c>
      <c r="W5052" t="s">
        <v>81</v>
      </c>
      <c r="X5052" t="s">
        <v>58</v>
      </c>
      <c r="Y5052">
        <v>24</v>
      </c>
      <c r="Z5052" t="s">
        <v>59</v>
      </c>
      <c r="AA5052" t="s">
        <v>59</v>
      </c>
      <c r="AB5052" t="s">
        <v>59</v>
      </c>
      <c r="AC5052" t="s">
        <v>59</v>
      </c>
      <c r="AD5052" t="s">
        <v>59</v>
      </c>
      <c r="AF5052" s="1">
        <v>43348</v>
      </c>
      <c r="AG5052" t="s">
        <v>8645</v>
      </c>
      <c r="AH5052" t="s">
        <v>8646</v>
      </c>
      <c r="AI5052" t="str">
        <f>"9170534"</f>
        <v>9170534</v>
      </c>
      <c r="AJ5052" t="s">
        <v>8701</v>
      </c>
      <c r="AK5052">
        <v>2810323225</v>
      </c>
      <c r="AL5052" t="s">
        <v>8702</v>
      </c>
      <c r="AM5052" t="s">
        <v>78</v>
      </c>
      <c r="AN5052" t="s">
        <v>78</v>
      </c>
      <c r="AO5052" t="s">
        <v>78</v>
      </c>
      <c r="AP5052" t="s">
        <v>163</v>
      </c>
      <c r="AQ5052">
        <v>1</v>
      </c>
      <c r="AR5052" t="s">
        <v>80</v>
      </c>
      <c r="AS5052" t="s">
        <v>81</v>
      </c>
      <c r="AT5052" t="s">
        <v>58</v>
      </c>
      <c r="AU5052" t="s">
        <v>8673</v>
      </c>
      <c r="AV5052" t="s">
        <v>132</v>
      </c>
      <c r="AW5052" s="1">
        <v>30537</v>
      </c>
      <c r="AX5052">
        <v>1</v>
      </c>
    </row>
    <row r="5053" spans="1:50">
      <c r="A5053">
        <v>591702</v>
      </c>
      <c r="B5053" t="str">
        <f>"103548999"</f>
        <v>103548999</v>
      </c>
      <c r="C5053" t="s">
        <v>50</v>
      </c>
      <c r="D5053" t="s">
        <v>9259</v>
      </c>
      <c r="E5053" t="s">
        <v>52</v>
      </c>
      <c r="F5053" t="s">
        <v>99</v>
      </c>
      <c r="G5053" t="s">
        <v>1452</v>
      </c>
      <c r="H5053" t="str">
        <f>" "</f>
        <v xml:space="preserve"> </v>
      </c>
      <c r="N5053" t="s">
        <v>1525</v>
      </c>
      <c r="O5053" t="s">
        <v>1526</v>
      </c>
      <c r="R5053" t="s">
        <v>57</v>
      </c>
      <c r="S5053">
        <v>12</v>
      </c>
      <c r="T5053">
        <v>249</v>
      </c>
      <c r="U5053" s="1">
        <v>36769</v>
      </c>
      <c r="V5053" t="s">
        <v>80</v>
      </c>
      <c r="W5053" t="s">
        <v>81</v>
      </c>
      <c r="X5053" t="s">
        <v>58</v>
      </c>
      <c r="Y5053">
        <v>25</v>
      </c>
      <c r="Z5053" t="s">
        <v>59</v>
      </c>
      <c r="AA5053" t="s">
        <v>59</v>
      </c>
      <c r="AB5053" t="s">
        <v>59</v>
      </c>
      <c r="AC5053" t="s">
        <v>59</v>
      </c>
      <c r="AD5053" t="s">
        <v>59</v>
      </c>
      <c r="AF5053" s="1">
        <v>36773</v>
      </c>
      <c r="AG5053" t="s">
        <v>8651</v>
      </c>
      <c r="AH5053" t="s">
        <v>8652</v>
      </c>
      <c r="AI5053" t="str">
        <f>"9170439"</f>
        <v>9170439</v>
      </c>
      <c r="AJ5053" t="s">
        <v>9260</v>
      </c>
      <c r="AK5053">
        <v>2895071251</v>
      </c>
      <c r="AL5053" t="s">
        <v>9261</v>
      </c>
      <c r="AM5053" t="s">
        <v>78</v>
      </c>
      <c r="AN5053" t="s">
        <v>482</v>
      </c>
      <c r="AO5053" t="s">
        <v>482</v>
      </c>
      <c r="AP5053" t="s">
        <v>9002</v>
      </c>
      <c r="AQ5053">
        <v>14</v>
      </c>
      <c r="AR5053" t="s">
        <v>80</v>
      </c>
      <c r="AS5053" t="s">
        <v>81</v>
      </c>
      <c r="AT5053" t="s">
        <v>58</v>
      </c>
      <c r="AU5053" t="s">
        <v>68</v>
      </c>
      <c r="AV5053" t="s">
        <v>69</v>
      </c>
      <c r="AW5053" s="1">
        <v>23532</v>
      </c>
      <c r="AX5053">
        <v>1</v>
      </c>
    </row>
    <row r="5054" spans="1:50">
      <c r="B5054" t="str">
        <f>"140476952"</f>
        <v>140476952</v>
      </c>
      <c r="C5054" t="s">
        <v>50</v>
      </c>
      <c r="D5054" t="s">
        <v>9262</v>
      </c>
      <c r="E5054" t="s">
        <v>801</v>
      </c>
      <c r="F5054" t="s">
        <v>72</v>
      </c>
      <c r="G5054" t="s">
        <v>476</v>
      </c>
      <c r="H5054" t="str">
        <f>"Θουκιδίδου 27 Πόρος"</f>
        <v>Θουκιδίδου 27 Πόρος</v>
      </c>
      <c r="I5054">
        <v>71307</v>
      </c>
      <c r="J5054">
        <v>2811118226</v>
      </c>
      <c r="K5054">
        <v>6937166834</v>
      </c>
      <c r="M5054" t="s">
        <v>9263</v>
      </c>
      <c r="N5054" t="s">
        <v>615</v>
      </c>
      <c r="O5054" t="s">
        <v>616</v>
      </c>
      <c r="R5054" t="s">
        <v>159</v>
      </c>
      <c r="S5054">
        <v>3</v>
      </c>
      <c r="T5054" t="s">
        <v>8675</v>
      </c>
      <c r="U5054" s="1">
        <v>43348</v>
      </c>
      <c r="V5054" t="s">
        <v>80</v>
      </c>
      <c r="W5054" t="s">
        <v>81</v>
      </c>
      <c r="X5054" t="s">
        <v>58</v>
      </c>
      <c r="Y5054">
        <v>24</v>
      </c>
      <c r="Z5054" t="s">
        <v>59</v>
      </c>
      <c r="AA5054" t="s">
        <v>59</v>
      </c>
      <c r="AB5054" t="s">
        <v>59</v>
      </c>
      <c r="AC5054" t="s">
        <v>59</v>
      </c>
      <c r="AD5054" t="s">
        <v>59</v>
      </c>
      <c r="AF5054" s="1">
        <v>43348</v>
      </c>
      <c r="AG5054" t="s">
        <v>8645</v>
      </c>
      <c r="AH5054" t="s">
        <v>8646</v>
      </c>
      <c r="AI5054" t="str">
        <f>"9170262"</f>
        <v>9170262</v>
      </c>
      <c r="AJ5054" t="s">
        <v>9224</v>
      </c>
      <c r="AK5054">
        <v>2810245912</v>
      </c>
      <c r="AL5054" t="s">
        <v>9225</v>
      </c>
      <c r="AM5054" t="s">
        <v>78</v>
      </c>
      <c r="AN5054" t="s">
        <v>78</v>
      </c>
      <c r="AO5054" t="s">
        <v>286</v>
      </c>
      <c r="AP5054" t="s">
        <v>286</v>
      </c>
      <c r="AQ5054">
        <v>1</v>
      </c>
      <c r="AR5054" t="s">
        <v>80</v>
      </c>
      <c r="AS5054" t="s">
        <v>81</v>
      </c>
      <c r="AT5054" t="s">
        <v>58</v>
      </c>
      <c r="AU5054" t="s">
        <v>8673</v>
      </c>
      <c r="AV5054" t="s">
        <v>132</v>
      </c>
      <c r="AW5054" s="1">
        <v>30798</v>
      </c>
      <c r="AX5054">
        <v>1</v>
      </c>
    </row>
    <row r="5055" spans="1:50">
      <c r="A5055">
        <v>609193</v>
      </c>
      <c r="B5055" t="str">
        <f>"075377031"</f>
        <v>075377031</v>
      </c>
      <c r="C5055" t="s">
        <v>50</v>
      </c>
      <c r="D5055" t="s">
        <v>5824</v>
      </c>
      <c r="E5055" t="s">
        <v>134</v>
      </c>
      <c r="F5055" t="s">
        <v>95</v>
      </c>
      <c r="G5055" t="s">
        <v>255</v>
      </c>
      <c r="H5055" t="str">
        <f>"ΑΝΑΓΕΝΝΗΣΕΩΣ 27 ΗΡΑΚΛΕΙΟ"</f>
        <v>ΑΝΑΓΕΝΝΗΣΕΩΣ 27 ΗΡΑΚΛΕΙΟ</v>
      </c>
      <c r="I5055">
        <v>71305</v>
      </c>
      <c r="J5055">
        <v>2815003358</v>
      </c>
      <c r="K5055">
        <v>6974658838</v>
      </c>
      <c r="N5055" t="s">
        <v>306</v>
      </c>
      <c r="O5055" t="s">
        <v>307</v>
      </c>
      <c r="R5055" t="s">
        <v>57</v>
      </c>
      <c r="S5055">
        <v>9</v>
      </c>
      <c r="T5055">
        <v>218</v>
      </c>
      <c r="U5055" s="1">
        <v>38600</v>
      </c>
      <c r="V5055" t="s">
        <v>80</v>
      </c>
      <c r="W5055" t="s">
        <v>81</v>
      </c>
      <c r="X5055" t="s">
        <v>58</v>
      </c>
      <c r="Y5055">
        <v>22</v>
      </c>
      <c r="Z5055" t="s">
        <v>59</v>
      </c>
      <c r="AA5055" t="s">
        <v>59</v>
      </c>
      <c r="AB5055" t="s">
        <v>59</v>
      </c>
      <c r="AC5055" t="s">
        <v>59</v>
      </c>
      <c r="AD5055" t="s">
        <v>59</v>
      </c>
      <c r="AF5055" s="1">
        <v>38600</v>
      </c>
      <c r="AG5055" t="s">
        <v>8645</v>
      </c>
      <c r="AH5055" t="s">
        <v>8646</v>
      </c>
      <c r="AI5055" t="str">
        <f>"9170115"</f>
        <v>9170115</v>
      </c>
      <c r="AJ5055" t="s">
        <v>8770</v>
      </c>
      <c r="AK5055">
        <v>2810231165</v>
      </c>
      <c r="AL5055" t="s">
        <v>8771</v>
      </c>
      <c r="AM5055" t="s">
        <v>78</v>
      </c>
      <c r="AN5055" t="s">
        <v>78</v>
      </c>
      <c r="AO5055" t="s">
        <v>78</v>
      </c>
      <c r="AP5055" t="s">
        <v>141</v>
      </c>
      <c r="AQ5055">
        <v>1</v>
      </c>
      <c r="AR5055" t="s">
        <v>80</v>
      </c>
      <c r="AS5055" t="s">
        <v>81</v>
      </c>
      <c r="AT5055" t="s">
        <v>58</v>
      </c>
      <c r="AU5055" t="s">
        <v>68</v>
      </c>
      <c r="AV5055" t="s">
        <v>69</v>
      </c>
      <c r="AW5055" s="1">
        <v>27822</v>
      </c>
      <c r="AX5055">
        <v>1</v>
      </c>
    </row>
    <row r="5056" spans="1:50">
      <c r="A5056">
        <v>199735</v>
      </c>
      <c r="B5056" t="str">
        <f>"103539303"</f>
        <v>103539303</v>
      </c>
      <c r="C5056" t="s">
        <v>50</v>
      </c>
      <c r="D5056" t="s">
        <v>5824</v>
      </c>
      <c r="E5056" t="s">
        <v>52</v>
      </c>
      <c r="F5056" t="s">
        <v>166</v>
      </c>
      <c r="G5056" t="s">
        <v>699</v>
      </c>
      <c r="H5056" t="str">
        <f>" "</f>
        <v xml:space="preserve"> </v>
      </c>
      <c r="J5056">
        <v>2810344539</v>
      </c>
      <c r="K5056">
        <v>6947773373</v>
      </c>
      <c r="N5056" t="s">
        <v>204</v>
      </c>
      <c r="O5056" t="s">
        <v>205</v>
      </c>
      <c r="R5056" t="s">
        <v>57</v>
      </c>
      <c r="S5056">
        <v>8</v>
      </c>
      <c r="T5056">
        <v>206</v>
      </c>
      <c r="U5056" s="1">
        <v>37866</v>
      </c>
      <c r="V5056" t="s">
        <v>80</v>
      </c>
      <c r="W5056" t="s">
        <v>81</v>
      </c>
      <c r="X5056" t="s">
        <v>58</v>
      </c>
      <c r="Y5056">
        <v>22</v>
      </c>
      <c r="Z5056" t="s">
        <v>59</v>
      </c>
      <c r="AA5056" t="s">
        <v>59</v>
      </c>
      <c r="AB5056" t="s">
        <v>59</v>
      </c>
      <c r="AC5056" t="s">
        <v>59</v>
      </c>
      <c r="AD5056" t="s">
        <v>59</v>
      </c>
      <c r="AF5056" s="1">
        <v>37866</v>
      </c>
      <c r="AG5056" t="s">
        <v>8645</v>
      </c>
      <c r="AH5056" t="s">
        <v>8646</v>
      </c>
      <c r="AI5056" t="str">
        <f>"9170262"</f>
        <v>9170262</v>
      </c>
      <c r="AJ5056" t="s">
        <v>9224</v>
      </c>
      <c r="AK5056">
        <v>2810245912</v>
      </c>
      <c r="AL5056" t="s">
        <v>9225</v>
      </c>
      <c r="AM5056" t="s">
        <v>78</v>
      </c>
      <c r="AN5056" t="s">
        <v>78</v>
      </c>
      <c r="AO5056" t="s">
        <v>286</v>
      </c>
      <c r="AP5056" t="s">
        <v>286</v>
      </c>
      <c r="AQ5056">
        <v>1</v>
      </c>
      <c r="AR5056" t="s">
        <v>80</v>
      </c>
      <c r="AS5056" t="s">
        <v>81</v>
      </c>
      <c r="AT5056" t="s">
        <v>58</v>
      </c>
      <c r="AU5056" t="s">
        <v>68</v>
      </c>
      <c r="AV5056" t="s">
        <v>69</v>
      </c>
      <c r="AW5056" s="1">
        <v>27790</v>
      </c>
      <c r="AX5056">
        <v>1</v>
      </c>
    </row>
    <row r="5057" spans="1:50">
      <c r="A5057">
        <v>612585</v>
      </c>
      <c r="B5057" t="str">
        <f>"053830629"</f>
        <v>053830629</v>
      </c>
      <c r="C5057" t="s">
        <v>50</v>
      </c>
      <c r="D5057" t="s">
        <v>9264</v>
      </c>
      <c r="E5057" t="s">
        <v>255</v>
      </c>
      <c r="F5057" t="s">
        <v>92</v>
      </c>
      <c r="G5057" t="s">
        <v>250</v>
      </c>
      <c r="H5057" t="str">
        <f>" "</f>
        <v xml:space="preserve"> </v>
      </c>
      <c r="J5057">
        <v>2310604448</v>
      </c>
      <c r="K5057">
        <v>6974645147</v>
      </c>
      <c r="N5057" t="s">
        <v>176</v>
      </c>
      <c r="O5057" t="s">
        <v>177</v>
      </c>
      <c r="R5057" t="s">
        <v>57</v>
      </c>
      <c r="S5057">
        <v>8</v>
      </c>
      <c r="T5057">
        <v>234</v>
      </c>
      <c r="U5057" s="1">
        <v>38960</v>
      </c>
      <c r="V5057" t="s">
        <v>80</v>
      </c>
      <c r="W5057" t="s">
        <v>81</v>
      </c>
      <c r="X5057" t="s">
        <v>58</v>
      </c>
      <c r="Y5057">
        <v>22</v>
      </c>
      <c r="Z5057" t="s">
        <v>59</v>
      </c>
      <c r="AA5057" t="s">
        <v>59</v>
      </c>
      <c r="AB5057" t="s">
        <v>59</v>
      </c>
      <c r="AC5057" t="s">
        <v>59</v>
      </c>
      <c r="AD5057" t="s">
        <v>59</v>
      </c>
      <c r="AF5057" s="1">
        <v>38961</v>
      </c>
      <c r="AG5057" t="s">
        <v>8645</v>
      </c>
      <c r="AH5057" t="s">
        <v>8646</v>
      </c>
      <c r="AI5057" t="str">
        <f>"9170495"</f>
        <v>9170495</v>
      </c>
      <c r="AJ5057" t="s">
        <v>8838</v>
      </c>
      <c r="AK5057">
        <v>2892023325</v>
      </c>
      <c r="AL5057" t="s">
        <v>8839</v>
      </c>
      <c r="AM5057" t="s">
        <v>78</v>
      </c>
      <c r="AN5057" t="s">
        <v>242</v>
      </c>
      <c r="AO5057" t="s">
        <v>243</v>
      </c>
      <c r="AP5057" t="s">
        <v>243</v>
      </c>
      <c r="AQ5057">
        <v>20</v>
      </c>
      <c r="AR5057" t="s">
        <v>80</v>
      </c>
      <c r="AS5057" t="s">
        <v>81</v>
      </c>
      <c r="AT5057" t="s">
        <v>58</v>
      </c>
      <c r="AU5057" t="s">
        <v>68</v>
      </c>
      <c r="AV5057" t="s">
        <v>69</v>
      </c>
      <c r="AW5057" s="1">
        <v>26940</v>
      </c>
      <c r="AX5057">
        <v>1</v>
      </c>
    </row>
    <row r="5058" spans="1:50">
      <c r="A5058">
        <v>224848</v>
      </c>
      <c r="B5058" t="str">
        <f>"063389585"</f>
        <v>063389585</v>
      </c>
      <c r="C5058" t="s">
        <v>50</v>
      </c>
      <c r="D5058" t="s">
        <v>9265</v>
      </c>
      <c r="E5058" t="s">
        <v>263</v>
      </c>
      <c r="F5058" t="s">
        <v>99</v>
      </c>
      <c r="G5058" t="s">
        <v>112</v>
      </c>
      <c r="H5058" t="str">
        <f>"ΟΝΤΑΘΙ  ΔΡΟΣΙΑ"</f>
        <v>ΟΝΤΑΘΙ  ΔΡΟΣΙΑ</v>
      </c>
      <c r="I5058">
        <v>34100</v>
      </c>
      <c r="J5058">
        <v>2117258027</v>
      </c>
      <c r="K5058">
        <v>6932570579</v>
      </c>
      <c r="N5058" t="s">
        <v>176</v>
      </c>
      <c r="O5058" t="s">
        <v>177</v>
      </c>
      <c r="R5058" t="s">
        <v>57</v>
      </c>
      <c r="S5058">
        <v>7</v>
      </c>
      <c r="T5058">
        <v>775</v>
      </c>
      <c r="U5058" s="1">
        <v>39680</v>
      </c>
      <c r="V5058" t="s">
        <v>80</v>
      </c>
      <c r="W5058" t="s">
        <v>81</v>
      </c>
      <c r="X5058" t="s">
        <v>58</v>
      </c>
      <c r="Y5058">
        <v>23</v>
      </c>
      <c r="Z5058" t="s">
        <v>59</v>
      </c>
      <c r="AA5058" t="s">
        <v>59</v>
      </c>
      <c r="AB5058" t="s">
        <v>59</v>
      </c>
      <c r="AC5058" t="s">
        <v>59</v>
      </c>
      <c r="AD5058" t="s">
        <v>59</v>
      </c>
      <c r="AF5058" s="1">
        <v>39685</v>
      </c>
      <c r="AG5058" t="s">
        <v>8645</v>
      </c>
      <c r="AH5058" t="s">
        <v>8646</v>
      </c>
      <c r="AI5058" t="str">
        <f>"9170282"</f>
        <v>9170282</v>
      </c>
      <c r="AJ5058" t="s">
        <v>8938</v>
      </c>
      <c r="AK5058">
        <v>2892022120</v>
      </c>
      <c r="AL5058" t="s">
        <v>8939</v>
      </c>
      <c r="AM5058" t="s">
        <v>78</v>
      </c>
      <c r="AN5058" t="s">
        <v>242</v>
      </c>
      <c r="AO5058" t="s">
        <v>243</v>
      </c>
      <c r="AP5058" t="s">
        <v>8940</v>
      </c>
      <c r="AQ5058">
        <v>20</v>
      </c>
      <c r="AR5058" t="s">
        <v>80</v>
      </c>
      <c r="AS5058" t="s">
        <v>81</v>
      </c>
      <c r="AT5058" t="s">
        <v>58</v>
      </c>
      <c r="AU5058" t="s">
        <v>68</v>
      </c>
      <c r="AV5058" t="s">
        <v>69</v>
      </c>
      <c r="AW5058" s="1">
        <v>29331</v>
      </c>
      <c r="AX5058">
        <v>1</v>
      </c>
    </row>
    <row r="5059" spans="1:50">
      <c r="B5059" t="str">
        <f>"149559332"</f>
        <v>149559332</v>
      </c>
      <c r="C5059" t="s">
        <v>50</v>
      </c>
      <c r="D5059" t="s">
        <v>9266</v>
      </c>
      <c r="E5059" t="s">
        <v>563</v>
      </c>
      <c r="F5059" t="s">
        <v>95</v>
      </c>
      <c r="G5059" t="s">
        <v>314</v>
      </c>
      <c r="H5059" t="str">
        <f>" "</f>
        <v xml:space="preserve"> </v>
      </c>
      <c r="N5059" t="s">
        <v>615</v>
      </c>
      <c r="O5059" t="s">
        <v>616</v>
      </c>
      <c r="R5059" t="s">
        <v>121</v>
      </c>
      <c r="S5059">
        <v>1</v>
      </c>
      <c r="T5059" t="s">
        <v>8717</v>
      </c>
      <c r="U5059" s="1">
        <v>43348</v>
      </c>
      <c r="V5059" t="s">
        <v>80</v>
      </c>
      <c r="W5059" t="s">
        <v>81</v>
      </c>
      <c r="X5059" t="s">
        <v>58</v>
      </c>
      <c r="Y5059">
        <v>24</v>
      </c>
      <c r="Z5059" t="s">
        <v>59</v>
      </c>
      <c r="AA5059" t="s">
        <v>59</v>
      </c>
      <c r="AB5059" t="s">
        <v>59</v>
      </c>
      <c r="AD5059" t="s">
        <v>59</v>
      </c>
      <c r="AF5059" s="1">
        <v>43348</v>
      </c>
      <c r="AG5059" t="s">
        <v>8645</v>
      </c>
      <c r="AH5059" t="s">
        <v>8646</v>
      </c>
      <c r="AI5059" t="str">
        <f>"9170109"</f>
        <v>9170109</v>
      </c>
      <c r="AJ5059" t="s">
        <v>9056</v>
      </c>
      <c r="AK5059">
        <v>2810212659</v>
      </c>
      <c r="AL5059" t="s">
        <v>9057</v>
      </c>
      <c r="AM5059" t="s">
        <v>78</v>
      </c>
      <c r="AN5059" t="s">
        <v>78</v>
      </c>
      <c r="AO5059" t="s">
        <v>78</v>
      </c>
      <c r="AP5059" t="s">
        <v>163</v>
      </c>
      <c r="AQ5059">
        <v>1</v>
      </c>
      <c r="AR5059" t="s">
        <v>80</v>
      </c>
      <c r="AS5059" t="s">
        <v>81</v>
      </c>
      <c r="AT5059" t="s">
        <v>58</v>
      </c>
      <c r="AU5059" t="s">
        <v>8720</v>
      </c>
      <c r="AV5059" t="s">
        <v>132</v>
      </c>
      <c r="AW5059" s="1">
        <v>32789</v>
      </c>
      <c r="AX5059">
        <v>1</v>
      </c>
    </row>
    <row r="5060" spans="1:50">
      <c r="A5060">
        <v>581139</v>
      </c>
      <c r="B5060" t="str">
        <f>"028121575"</f>
        <v>028121575</v>
      </c>
      <c r="C5060" t="s">
        <v>50</v>
      </c>
      <c r="D5060" t="s">
        <v>9267</v>
      </c>
      <c r="E5060" t="s">
        <v>109</v>
      </c>
      <c r="F5060" t="s">
        <v>72</v>
      </c>
      <c r="G5060" t="s">
        <v>103</v>
      </c>
      <c r="H5060" t="str">
        <f>"ΔΙΟΣ 10 ΗΡΑΚΛΕΙΟ"</f>
        <v>ΔΙΟΣ 10 ΗΡΑΚΛΕΙΟ</v>
      </c>
      <c r="I5060">
        <v>71305</v>
      </c>
      <c r="J5060">
        <v>2810232371</v>
      </c>
      <c r="K5060">
        <v>6972974504</v>
      </c>
      <c r="M5060" t="s">
        <v>9268</v>
      </c>
      <c r="N5060" t="s">
        <v>615</v>
      </c>
      <c r="O5060" t="s">
        <v>616</v>
      </c>
      <c r="P5060" t="s">
        <v>292</v>
      </c>
      <c r="Q5060" t="s">
        <v>293</v>
      </c>
      <c r="R5060" t="s">
        <v>57</v>
      </c>
      <c r="S5060">
        <v>13</v>
      </c>
      <c r="T5060">
        <v>179</v>
      </c>
      <c r="U5060" s="1">
        <v>35674</v>
      </c>
      <c r="V5060" t="s">
        <v>80</v>
      </c>
      <c r="W5060" t="s">
        <v>81</v>
      </c>
      <c r="X5060" t="s">
        <v>58</v>
      </c>
      <c r="Y5060">
        <v>21</v>
      </c>
      <c r="Z5060" t="s">
        <v>59</v>
      </c>
      <c r="AA5060" t="s">
        <v>59</v>
      </c>
      <c r="AB5060" t="s">
        <v>59</v>
      </c>
      <c r="AC5060" t="s">
        <v>59</v>
      </c>
      <c r="AD5060" t="s">
        <v>59</v>
      </c>
      <c r="AF5060" s="1">
        <v>35675</v>
      </c>
      <c r="AG5060" t="s">
        <v>8645</v>
      </c>
      <c r="AH5060" t="s">
        <v>8646</v>
      </c>
      <c r="AI5060" t="str">
        <f>"9170196"</f>
        <v>9170196</v>
      </c>
      <c r="AJ5060" t="s">
        <v>9255</v>
      </c>
      <c r="AK5060">
        <v>2810283356</v>
      </c>
      <c r="AL5060" t="s">
        <v>9256</v>
      </c>
      <c r="AM5060" t="s">
        <v>78</v>
      </c>
      <c r="AN5060" t="s">
        <v>78</v>
      </c>
      <c r="AO5060" t="s">
        <v>78</v>
      </c>
      <c r="AP5060" t="s">
        <v>79</v>
      </c>
      <c r="AQ5060">
        <v>1</v>
      </c>
      <c r="AR5060" t="s">
        <v>80</v>
      </c>
      <c r="AS5060" t="s">
        <v>81</v>
      </c>
      <c r="AT5060" t="s">
        <v>58</v>
      </c>
      <c r="AU5060" t="s">
        <v>68</v>
      </c>
      <c r="AV5060" t="s">
        <v>69</v>
      </c>
      <c r="AW5060" s="1">
        <v>23038</v>
      </c>
      <c r="AX5060">
        <v>1</v>
      </c>
    </row>
    <row r="5061" spans="1:50">
      <c r="A5061">
        <v>617808</v>
      </c>
      <c r="B5061" t="str">
        <f>"120010189"</f>
        <v>120010189</v>
      </c>
      <c r="C5061" t="s">
        <v>105</v>
      </c>
      <c r="D5061" t="s">
        <v>5828</v>
      </c>
      <c r="E5061" t="s">
        <v>377</v>
      </c>
      <c r="F5061" t="s">
        <v>72</v>
      </c>
      <c r="G5061" t="s">
        <v>506</v>
      </c>
      <c r="H5061" t="str">
        <f>"ΑΝΩΓΕΙΑ ΑΝΩΓΕΙΑ ΡΕΘΥΜΝΟΥ"</f>
        <v>ΑΝΩΓΕΙΑ ΑΝΩΓΕΙΑ ΡΕΘΥΜΝΟΥ</v>
      </c>
      <c r="I5061">
        <v>74051</v>
      </c>
      <c r="K5061">
        <v>6955115805</v>
      </c>
      <c r="N5061" t="s">
        <v>615</v>
      </c>
      <c r="O5061" t="s">
        <v>616</v>
      </c>
      <c r="R5061" t="s">
        <v>57</v>
      </c>
      <c r="S5061">
        <v>5</v>
      </c>
      <c r="T5061">
        <v>774</v>
      </c>
      <c r="U5061" s="1">
        <v>39680</v>
      </c>
      <c r="V5061" t="s">
        <v>80</v>
      </c>
      <c r="W5061" t="s">
        <v>81</v>
      </c>
      <c r="X5061" t="s">
        <v>58</v>
      </c>
      <c r="Y5061">
        <v>23</v>
      </c>
      <c r="Z5061" t="s">
        <v>59</v>
      </c>
      <c r="AA5061" t="s">
        <v>59</v>
      </c>
      <c r="AB5061" t="s">
        <v>452</v>
      </c>
      <c r="AC5061" t="s">
        <v>59</v>
      </c>
      <c r="AD5061" t="s">
        <v>59</v>
      </c>
      <c r="AF5061" s="1">
        <v>39681</v>
      </c>
      <c r="AG5061" t="s">
        <v>8645</v>
      </c>
      <c r="AH5061" t="s">
        <v>8646</v>
      </c>
      <c r="AI5061" t="str">
        <f>"9170091"</f>
        <v>9170091</v>
      </c>
      <c r="AJ5061" t="s">
        <v>8764</v>
      </c>
      <c r="AK5061">
        <v>2810741381</v>
      </c>
      <c r="AL5061" t="s">
        <v>8765</v>
      </c>
      <c r="AM5061" t="s">
        <v>78</v>
      </c>
      <c r="AN5061" t="s">
        <v>424</v>
      </c>
      <c r="AO5061" t="s">
        <v>428</v>
      </c>
      <c r="AP5061" t="s">
        <v>8766</v>
      </c>
      <c r="AQ5061">
        <v>11</v>
      </c>
      <c r="AR5061" t="s">
        <v>80</v>
      </c>
      <c r="AS5061" t="s">
        <v>81</v>
      </c>
      <c r="AT5061" t="s">
        <v>58</v>
      </c>
      <c r="AU5061" t="s">
        <v>68</v>
      </c>
      <c r="AV5061" t="s">
        <v>69</v>
      </c>
      <c r="AW5061" s="1">
        <v>30152</v>
      </c>
      <c r="AX5061">
        <v>1</v>
      </c>
    </row>
    <row r="5062" spans="1:50">
      <c r="A5062">
        <v>594509</v>
      </c>
      <c r="B5062" t="str">
        <f>"053479860"</f>
        <v>053479860</v>
      </c>
      <c r="C5062" t="s">
        <v>50</v>
      </c>
      <c r="D5062" t="s">
        <v>966</v>
      </c>
      <c r="E5062" t="s">
        <v>1189</v>
      </c>
      <c r="F5062" t="s">
        <v>6675</v>
      </c>
      <c r="G5062" t="s">
        <v>1029</v>
      </c>
      <c r="H5062" t="str">
        <f>" "</f>
        <v xml:space="preserve"> </v>
      </c>
      <c r="N5062" t="s">
        <v>615</v>
      </c>
      <c r="O5062" t="s">
        <v>616</v>
      </c>
      <c r="R5062" t="s">
        <v>57</v>
      </c>
      <c r="S5062">
        <v>8</v>
      </c>
      <c r="T5062">
        <v>218</v>
      </c>
      <c r="U5062" s="1">
        <v>37134</v>
      </c>
      <c r="V5062" t="s">
        <v>80</v>
      </c>
      <c r="W5062" t="s">
        <v>81</v>
      </c>
      <c r="X5062" t="s">
        <v>58</v>
      </c>
      <c r="Y5062">
        <v>22</v>
      </c>
      <c r="Z5062" t="s">
        <v>59</v>
      </c>
      <c r="AA5062" t="s">
        <v>59</v>
      </c>
      <c r="AB5062" t="s">
        <v>59</v>
      </c>
      <c r="AC5062" t="s">
        <v>59</v>
      </c>
      <c r="AD5062" t="s">
        <v>59</v>
      </c>
      <c r="AF5062" s="1">
        <v>37141</v>
      </c>
      <c r="AG5062" t="s">
        <v>8645</v>
      </c>
      <c r="AH5062" t="s">
        <v>8646</v>
      </c>
      <c r="AI5062" t="str">
        <f>"9170102"</f>
        <v>9170102</v>
      </c>
      <c r="AJ5062" t="s">
        <v>9019</v>
      </c>
      <c r="AK5062">
        <v>2810283938</v>
      </c>
      <c r="AL5062" t="s">
        <v>9020</v>
      </c>
      <c r="AM5062" t="s">
        <v>78</v>
      </c>
      <c r="AN5062" t="s">
        <v>78</v>
      </c>
      <c r="AO5062" t="s">
        <v>78</v>
      </c>
      <c r="AP5062" t="s">
        <v>79</v>
      </c>
      <c r="AQ5062">
        <v>1</v>
      </c>
      <c r="AR5062" t="s">
        <v>80</v>
      </c>
      <c r="AS5062" t="s">
        <v>81</v>
      </c>
      <c r="AT5062" t="s">
        <v>58</v>
      </c>
      <c r="AU5062" t="s">
        <v>68</v>
      </c>
      <c r="AV5062" t="s">
        <v>69</v>
      </c>
      <c r="AW5062" s="1">
        <v>26023</v>
      </c>
      <c r="AX5062">
        <v>1</v>
      </c>
    </row>
    <row r="5063" spans="1:50">
      <c r="A5063">
        <v>557957</v>
      </c>
      <c r="B5063" t="str">
        <f>"034259243"</f>
        <v>034259243</v>
      </c>
      <c r="C5063" t="s">
        <v>50</v>
      </c>
      <c r="D5063" t="s">
        <v>966</v>
      </c>
      <c r="E5063" t="s">
        <v>52</v>
      </c>
      <c r="F5063" t="s">
        <v>95</v>
      </c>
      <c r="G5063" t="s">
        <v>9269</v>
      </c>
      <c r="H5063" t="str">
        <f>"ΚΟΥΜΠΕΔΕΣ ΓΑΖΙΟΥ Τ.Θ. 09 ΗΡΑΚΛΕΙΟ"</f>
        <v>ΚΟΥΜΠΕΔΕΣ ΓΑΖΙΟΥ Τ.Θ. 09 ΗΡΑΚΛΕΙΟ</v>
      </c>
      <c r="I5063">
        <v>71500</v>
      </c>
      <c r="J5063">
        <v>2810313702</v>
      </c>
      <c r="K5063">
        <v>6976927211</v>
      </c>
      <c r="N5063" t="s">
        <v>615</v>
      </c>
      <c r="O5063" t="s">
        <v>616</v>
      </c>
      <c r="R5063" t="s">
        <v>57</v>
      </c>
      <c r="S5063">
        <v>16</v>
      </c>
      <c r="T5063">
        <v>168</v>
      </c>
      <c r="U5063" s="1">
        <v>32010</v>
      </c>
      <c r="V5063" t="s">
        <v>80</v>
      </c>
      <c r="W5063" t="s">
        <v>81</v>
      </c>
      <c r="X5063" t="s">
        <v>58</v>
      </c>
      <c r="Y5063">
        <v>21</v>
      </c>
      <c r="Z5063" t="s">
        <v>59</v>
      </c>
      <c r="AA5063" t="s">
        <v>59</v>
      </c>
      <c r="AB5063" t="s">
        <v>59</v>
      </c>
      <c r="AC5063" t="s">
        <v>59</v>
      </c>
      <c r="AD5063" t="s">
        <v>59</v>
      </c>
      <c r="AF5063" s="1">
        <v>32021</v>
      </c>
      <c r="AG5063" t="s">
        <v>8645</v>
      </c>
      <c r="AH5063" t="s">
        <v>8646</v>
      </c>
      <c r="AI5063" t="str">
        <f>"9170547"</f>
        <v>9170547</v>
      </c>
      <c r="AJ5063" t="s">
        <v>9175</v>
      </c>
      <c r="AK5063">
        <v>2810250886</v>
      </c>
      <c r="AL5063" t="s">
        <v>9176</v>
      </c>
      <c r="AM5063" t="s">
        <v>78</v>
      </c>
      <c r="AN5063" t="s">
        <v>78</v>
      </c>
      <c r="AO5063" t="s">
        <v>78</v>
      </c>
      <c r="AP5063" t="s">
        <v>141</v>
      </c>
      <c r="AQ5063">
        <v>1</v>
      </c>
      <c r="AR5063" t="s">
        <v>80</v>
      </c>
      <c r="AS5063" t="s">
        <v>81</v>
      </c>
      <c r="AT5063" t="s">
        <v>58</v>
      </c>
      <c r="AU5063" t="s">
        <v>68</v>
      </c>
      <c r="AV5063" t="s">
        <v>69</v>
      </c>
      <c r="AW5063" s="1">
        <v>23944</v>
      </c>
      <c r="AX5063">
        <v>1</v>
      </c>
    </row>
    <row r="5064" spans="1:50">
      <c r="B5064" t="str">
        <f>"138959174"</f>
        <v>138959174</v>
      </c>
      <c r="C5064" t="s">
        <v>50</v>
      </c>
      <c r="D5064" t="s">
        <v>966</v>
      </c>
      <c r="E5064" t="s">
        <v>52</v>
      </c>
      <c r="F5064" t="s">
        <v>2632</v>
      </c>
      <c r="G5064" t="s">
        <v>54</v>
      </c>
      <c r="H5064" t="str">
        <f>"ΑΙΓΕΩΣ 57 ΚΑΛΛΙΘΕΑ"</f>
        <v>ΑΙΓΕΩΣ 57 ΚΑΛΛΙΘΕΑ</v>
      </c>
      <c r="I5064">
        <v>17675</v>
      </c>
      <c r="J5064">
        <v>2109406385</v>
      </c>
      <c r="K5064">
        <v>6948073663</v>
      </c>
      <c r="N5064" t="s">
        <v>288</v>
      </c>
      <c r="O5064" t="s">
        <v>289</v>
      </c>
      <c r="R5064" t="s">
        <v>159</v>
      </c>
      <c r="S5064">
        <v>2</v>
      </c>
      <c r="T5064" t="s">
        <v>8675</v>
      </c>
      <c r="U5064" s="1">
        <v>43348</v>
      </c>
      <c r="V5064" t="s">
        <v>80</v>
      </c>
      <c r="W5064" t="s">
        <v>81</v>
      </c>
      <c r="X5064" t="s">
        <v>58</v>
      </c>
      <c r="Y5064">
        <v>14</v>
      </c>
      <c r="Z5064" t="s">
        <v>59</v>
      </c>
      <c r="AA5064" t="s">
        <v>59</v>
      </c>
      <c r="AB5064" t="s">
        <v>59</v>
      </c>
      <c r="AC5064" t="s">
        <v>59</v>
      </c>
      <c r="AD5064" t="s">
        <v>59</v>
      </c>
      <c r="AF5064" s="1">
        <v>43348</v>
      </c>
      <c r="AG5064" t="s">
        <v>8645</v>
      </c>
      <c r="AH5064" t="s">
        <v>8646</v>
      </c>
      <c r="AI5064" t="str">
        <f>"9170034"</f>
        <v>9170034</v>
      </c>
      <c r="AJ5064" t="s">
        <v>9179</v>
      </c>
      <c r="AK5064">
        <v>2810841217</v>
      </c>
      <c r="AL5064" t="s">
        <v>9180</v>
      </c>
      <c r="AM5064" t="s">
        <v>78</v>
      </c>
      <c r="AN5064" t="s">
        <v>129</v>
      </c>
      <c r="AO5064" t="s">
        <v>130</v>
      </c>
      <c r="AP5064" t="s">
        <v>9181</v>
      </c>
      <c r="AQ5064">
        <v>2</v>
      </c>
      <c r="AR5064" t="s">
        <v>80</v>
      </c>
      <c r="AS5064" t="s">
        <v>81</v>
      </c>
      <c r="AT5064" t="s">
        <v>58</v>
      </c>
      <c r="AU5064" t="s">
        <v>8686</v>
      </c>
      <c r="AV5064" t="s">
        <v>132</v>
      </c>
      <c r="AW5064" s="1">
        <v>29240</v>
      </c>
      <c r="AX5064">
        <v>1</v>
      </c>
    </row>
    <row r="5065" spans="1:50">
      <c r="A5065">
        <v>592340</v>
      </c>
      <c r="B5065" t="str">
        <f>"074407889"</f>
        <v>074407889</v>
      </c>
      <c r="C5065" t="s">
        <v>50</v>
      </c>
      <c r="D5065" t="s">
        <v>966</v>
      </c>
      <c r="E5065" t="s">
        <v>96</v>
      </c>
      <c r="F5065" t="s">
        <v>72</v>
      </c>
      <c r="G5065" t="s">
        <v>188</v>
      </c>
      <c r="H5065" t="str">
        <f>"ΣΤΕΦΑΝΟΓΙΑΝΝΗ 24 ΓΑΖΙ ΗΡΑΚΛΕΙΟΥ"</f>
        <v>ΣΤΕΦΑΝΟΓΙΑΝΝΗ 24 ΓΑΖΙ ΗΡΑΚΛΕΙΟΥ</v>
      </c>
      <c r="I5065">
        <v>71414</v>
      </c>
      <c r="J5065">
        <v>2810317145</v>
      </c>
      <c r="K5065">
        <v>6984311600</v>
      </c>
      <c r="N5065" t="s">
        <v>1525</v>
      </c>
      <c r="O5065" t="s">
        <v>1526</v>
      </c>
      <c r="R5065" t="s">
        <v>57</v>
      </c>
      <c r="S5065">
        <v>10</v>
      </c>
      <c r="T5065">
        <v>249</v>
      </c>
      <c r="U5065" s="1">
        <v>36769</v>
      </c>
      <c r="V5065" t="s">
        <v>80</v>
      </c>
      <c r="W5065" t="s">
        <v>81</v>
      </c>
      <c r="X5065" t="s">
        <v>58</v>
      </c>
      <c r="Y5065">
        <v>25</v>
      </c>
      <c r="Z5065" t="s">
        <v>59</v>
      </c>
      <c r="AA5065" t="s">
        <v>59</v>
      </c>
      <c r="AB5065" t="s">
        <v>59</v>
      </c>
      <c r="AC5065" t="s">
        <v>59</v>
      </c>
      <c r="AD5065" t="s">
        <v>59</v>
      </c>
      <c r="AF5065" s="1">
        <v>36774</v>
      </c>
      <c r="AG5065" t="s">
        <v>8651</v>
      </c>
      <c r="AH5065" t="s">
        <v>8652</v>
      </c>
      <c r="AI5065" t="str">
        <f>"9170585"</f>
        <v>9170585</v>
      </c>
      <c r="AJ5065" t="s">
        <v>9051</v>
      </c>
      <c r="AK5065">
        <v>2810542736</v>
      </c>
      <c r="AL5065" t="s">
        <v>9052</v>
      </c>
      <c r="AM5065" t="s">
        <v>78</v>
      </c>
      <c r="AN5065" t="s">
        <v>78</v>
      </c>
      <c r="AO5065" t="s">
        <v>78</v>
      </c>
      <c r="AP5065" t="s">
        <v>9053</v>
      </c>
      <c r="AQ5065">
        <v>1</v>
      </c>
      <c r="AR5065" t="s">
        <v>80</v>
      </c>
      <c r="AS5065" t="s">
        <v>81</v>
      </c>
      <c r="AT5065" t="s">
        <v>58</v>
      </c>
      <c r="AU5065" t="s">
        <v>68</v>
      </c>
      <c r="AV5065" t="s">
        <v>69</v>
      </c>
      <c r="AW5065" s="1">
        <v>26249</v>
      </c>
      <c r="AX5065">
        <v>1</v>
      </c>
    </row>
    <row r="5066" spans="1:50">
      <c r="A5066">
        <v>225898</v>
      </c>
      <c r="B5066" t="str">
        <f>"103691208"</f>
        <v>103691208</v>
      </c>
      <c r="C5066" t="s">
        <v>50</v>
      </c>
      <c r="D5066" t="s">
        <v>9270</v>
      </c>
      <c r="E5066" t="s">
        <v>109</v>
      </c>
      <c r="F5066" t="s">
        <v>72</v>
      </c>
      <c r="G5066" t="s">
        <v>109</v>
      </c>
      <c r="H5066" t="str">
        <f>" "</f>
        <v xml:space="preserve"> </v>
      </c>
      <c r="N5066" t="s">
        <v>176</v>
      </c>
      <c r="O5066" t="s">
        <v>177</v>
      </c>
      <c r="R5066" t="s">
        <v>57</v>
      </c>
      <c r="S5066">
        <v>5</v>
      </c>
      <c r="T5066" t="s">
        <v>9271</v>
      </c>
      <c r="U5066" s="1">
        <v>39680</v>
      </c>
      <c r="V5066" t="s">
        <v>80</v>
      </c>
      <c r="W5066" t="s">
        <v>81</v>
      </c>
      <c r="X5066" t="s">
        <v>58</v>
      </c>
      <c r="Y5066">
        <v>23</v>
      </c>
      <c r="Z5066" t="s">
        <v>59</v>
      </c>
      <c r="AA5066" t="s">
        <v>59</v>
      </c>
      <c r="AB5066" t="s">
        <v>59</v>
      </c>
      <c r="AC5066" t="s">
        <v>59</v>
      </c>
      <c r="AD5066" t="s">
        <v>59</v>
      </c>
      <c r="AF5066" s="1">
        <v>39682</v>
      </c>
      <c r="AG5066" t="s">
        <v>8645</v>
      </c>
      <c r="AH5066" t="s">
        <v>8646</v>
      </c>
      <c r="AI5066" t="str">
        <f>"9170300"</f>
        <v>9170300</v>
      </c>
      <c r="AJ5066" t="s">
        <v>8905</v>
      </c>
      <c r="AK5066">
        <v>2892041219</v>
      </c>
      <c r="AL5066" t="s">
        <v>8906</v>
      </c>
      <c r="AM5066" t="s">
        <v>78</v>
      </c>
      <c r="AN5066" t="s">
        <v>242</v>
      </c>
      <c r="AO5066" t="s">
        <v>243</v>
      </c>
      <c r="AP5066" t="s">
        <v>244</v>
      </c>
      <c r="AQ5066">
        <v>18</v>
      </c>
      <c r="AR5066" t="s">
        <v>80</v>
      </c>
      <c r="AS5066" t="s">
        <v>81</v>
      </c>
      <c r="AT5066" t="s">
        <v>58</v>
      </c>
      <c r="AU5066" t="s">
        <v>68</v>
      </c>
      <c r="AV5066" t="s">
        <v>69</v>
      </c>
      <c r="AW5066" s="1">
        <v>27570</v>
      </c>
      <c r="AX5066">
        <v>1</v>
      </c>
    </row>
    <row r="5067" spans="1:50">
      <c r="B5067" t="str">
        <f>"112484764"</f>
        <v>112484764</v>
      </c>
      <c r="C5067" t="s">
        <v>50</v>
      </c>
      <c r="D5067" t="s">
        <v>9272</v>
      </c>
      <c r="E5067" t="s">
        <v>237</v>
      </c>
      <c r="F5067" t="s">
        <v>95</v>
      </c>
      <c r="G5067" t="s">
        <v>563</v>
      </c>
      <c r="H5067" t="str">
        <f>"ΝΙΚΗΤΑΡΑ 15 "</f>
        <v xml:space="preserve">ΝΙΚΗΤΑΡΑ 15 </v>
      </c>
      <c r="I5067">
        <v>68100</v>
      </c>
      <c r="J5067">
        <v>2551035259</v>
      </c>
      <c r="K5067">
        <v>6977098104</v>
      </c>
      <c r="N5067" t="s">
        <v>615</v>
      </c>
      <c r="O5067" t="s">
        <v>616</v>
      </c>
      <c r="R5067" t="s">
        <v>159</v>
      </c>
      <c r="S5067">
        <v>3</v>
      </c>
      <c r="T5067" t="s">
        <v>8675</v>
      </c>
      <c r="U5067" s="1">
        <v>43348</v>
      </c>
      <c r="V5067" t="s">
        <v>80</v>
      </c>
      <c r="W5067" t="s">
        <v>81</v>
      </c>
      <c r="X5067" t="s">
        <v>58</v>
      </c>
      <c r="Y5067">
        <v>24</v>
      </c>
      <c r="Z5067" t="s">
        <v>59</v>
      </c>
      <c r="AA5067" t="s">
        <v>59</v>
      </c>
      <c r="AB5067" t="s">
        <v>59</v>
      </c>
      <c r="AC5067" t="s">
        <v>59</v>
      </c>
      <c r="AD5067" t="s">
        <v>59</v>
      </c>
      <c r="AF5067" s="1">
        <v>43348</v>
      </c>
      <c r="AG5067" t="s">
        <v>8645</v>
      </c>
      <c r="AH5067" t="s">
        <v>8646</v>
      </c>
      <c r="AI5067" t="str">
        <f>"9170319"</f>
        <v>9170319</v>
      </c>
      <c r="AJ5067" t="s">
        <v>9121</v>
      </c>
      <c r="AK5067">
        <v>2893022231</v>
      </c>
      <c r="AL5067" t="s">
        <v>9122</v>
      </c>
      <c r="AM5067" t="s">
        <v>78</v>
      </c>
      <c r="AN5067" t="s">
        <v>424</v>
      </c>
      <c r="AO5067" t="s">
        <v>577</v>
      </c>
      <c r="AP5067" t="s">
        <v>1668</v>
      </c>
      <c r="AQ5067">
        <v>10</v>
      </c>
      <c r="AR5067" t="s">
        <v>80</v>
      </c>
      <c r="AS5067" t="s">
        <v>81</v>
      </c>
      <c r="AT5067" t="s">
        <v>58</v>
      </c>
      <c r="AU5067" t="s">
        <v>8673</v>
      </c>
      <c r="AV5067" t="s">
        <v>132</v>
      </c>
      <c r="AW5067" s="1">
        <v>32208</v>
      </c>
      <c r="AX5067">
        <v>1</v>
      </c>
    </row>
    <row r="5068" spans="1:50">
      <c r="A5068">
        <v>621991</v>
      </c>
      <c r="B5068" t="str">
        <f>"112489145"</f>
        <v>112489145</v>
      </c>
      <c r="C5068" t="s">
        <v>50</v>
      </c>
      <c r="D5068" t="s">
        <v>9273</v>
      </c>
      <c r="E5068" t="s">
        <v>340</v>
      </c>
      <c r="F5068" t="s">
        <v>995</v>
      </c>
      <c r="G5068" t="s">
        <v>255</v>
      </c>
      <c r="H5068" t="str">
        <f>"ΛΕΩΝΙΔΑ 3 ΑΛΕΞΑΝΔΡΟΥΠΟΛΗ"</f>
        <v>ΛΕΩΝΙΔΑ 3 ΑΛΕΞΑΝΔΡΟΥΠΟΛΗ</v>
      </c>
      <c r="I5068">
        <v>68100</v>
      </c>
      <c r="J5068">
        <v>2551021773</v>
      </c>
      <c r="K5068">
        <v>6947891714</v>
      </c>
      <c r="M5068" t="s">
        <v>9274</v>
      </c>
      <c r="N5068" t="s">
        <v>615</v>
      </c>
      <c r="O5068" t="s">
        <v>616</v>
      </c>
      <c r="R5068" t="s">
        <v>57</v>
      </c>
      <c r="S5068">
        <v>5</v>
      </c>
      <c r="T5068">
        <v>653</v>
      </c>
      <c r="U5068" s="1">
        <v>40043</v>
      </c>
      <c r="V5068" t="s">
        <v>80</v>
      </c>
      <c r="W5068" t="s">
        <v>81</v>
      </c>
      <c r="X5068" t="s">
        <v>58</v>
      </c>
      <c r="Y5068">
        <v>23</v>
      </c>
      <c r="Z5068" t="s">
        <v>59</v>
      </c>
      <c r="AA5068" t="s">
        <v>59</v>
      </c>
      <c r="AB5068" t="s">
        <v>59</v>
      </c>
      <c r="AC5068" t="s">
        <v>59</v>
      </c>
      <c r="AD5068" t="s">
        <v>59</v>
      </c>
      <c r="AF5068" s="1">
        <v>40043</v>
      </c>
      <c r="AG5068" t="s">
        <v>8645</v>
      </c>
      <c r="AH5068" t="s">
        <v>8646</v>
      </c>
      <c r="AI5068" t="str">
        <f>"9170055"</f>
        <v>9170055</v>
      </c>
      <c r="AJ5068" t="s">
        <v>8836</v>
      </c>
      <c r="AK5068">
        <v>2810255097</v>
      </c>
      <c r="AL5068" t="s">
        <v>8837</v>
      </c>
      <c r="AM5068" t="s">
        <v>78</v>
      </c>
      <c r="AN5068" t="s">
        <v>78</v>
      </c>
      <c r="AO5068" t="s">
        <v>78</v>
      </c>
      <c r="AP5068" t="s">
        <v>141</v>
      </c>
      <c r="AQ5068">
        <v>1</v>
      </c>
      <c r="AR5068" t="s">
        <v>80</v>
      </c>
      <c r="AS5068" t="s">
        <v>81</v>
      </c>
      <c r="AT5068" t="s">
        <v>58</v>
      </c>
      <c r="AU5068" t="s">
        <v>68</v>
      </c>
      <c r="AV5068" t="s">
        <v>69</v>
      </c>
      <c r="AW5068" s="1">
        <v>30936</v>
      </c>
      <c r="AX5068">
        <v>1</v>
      </c>
    </row>
    <row r="5069" spans="1:50">
      <c r="A5069">
        <v>583808</v>
      </c>
      <c r="B5069" t="str">
        <f>"043072530"</f>
        <v>043072530</v>
      </c>
      <c r="C5069" t="s">
        <v>105</v>
      </c>
      <c r="D5069" t="s">
        <v>9275</v>
      </c>
      <c r="E5069" t="s">
        <v>53</v>
      </c>
      <c r="F5069" t="s">
        <v>202</v>
      </c>
      <c r="G5069" t="s">
        <v>484</v>
      </c>
      <c r="H5069" t="str">
        <f>"ΔΕΞΙΘΕΑΣ 4 ΗΡΑΚΛΕΙΟ"</f>
        <v>ΔΕΞΙΘΕΑΣ 4 ΗΡΑΚΛΕΙΟ</v>
      </c>
      <c r="I5069">
        <v>71305</v>
      </c>
      <c r="J5069">
        <v>2810253993</v>
      </c>
      <c r="K5069">
        <v>6932660781</v>
      </c>
      <c r="M5069" t="s">
        <v>9276</v>
      </c>
      <c r="N5069" t="s">
        <v>615</v>
      </c>
      <c r="O5069" t="s">
        <v>616</v>
      </c>
      <c r="R5069" t="s">
        <v>57</v>
      </c>
      <c r="S5069">
        <v>12</v>
      </c>
      <c r="T5069">
        <v>165</v>
      </c>
      <c r="U5069" s="1">
        <v>36041</v>
      </c>
      <c r="V5069" t="s">
        <v>80</v>
      </c>
      <c r="W5069" t="s">
        <v>81</v>
      </c>
      <c r="X5069" t="s">
        <v>58</v>
      </c>
      <c r="Y5069">
        <v>21</v>
      </c>
      <c r="Z5069" t="s">
        <v>59</v>
      </c>
      <c r="AA5069" t="s">
        <v>59</v>
      </c>
      <c r="AB5069" t="s">
        <v>59</v>
      </c>
      <c r="AC5069" t="s">
        <v>59</v>
      </c>
      <c r="AD5069" t="s">
        <v>59</v>
      </c>
      <c r="AF5069" s="1">
        <v>36045</v>
      </c>
      <c r="AG5069" t="s">
        <v>8645</v>
      </c>
      <c r="AH5069" t="s">
        <v>8646</v>
      </c>
      <c r="AI5069" t="str">
        <f>"9170343"</f>
        <v>9170343</v>
      </c>
      <c r="AJ5069" t="s">
        <v>8743</v>
      </c>
      <c r="AK5069">
        <v>2810283970</v>
      </c>
      <c r="AL5069" t="s">
        <v>8744</v>
      </c>
      <c r="AM5069" t="s">
        <v>78</v>
      </c>
      <c r="AN5069" t="s">
        <v>78</v>
      </c>
      <c r="AO5069" t="s">
        <v>78</v>
      </c>
      <c r="AP5069" t="s">
        <v>79</v>
      </c>
      <c r="AQ5069">
        <v>1</v>
      </c>
      <c r="AR5069" t="s">
        <v>80</v>
      </c>
      <c r="AS5069" t="s">
        <v>81</v>
      </c>
      <c r="AT5069" t="s">
        <v>58</v>
      </c>
      <c r="AU5069" t="s">
        <v>68</v>
      </c>
      <c r="AV5069" t="s">
        <v>69</v>
      </c>
      <c r="AW5069" s="1">
        <v>22147</v>
      </c>
      <c r="AX5069">
        <v>1</v>
      </c>
    </row>
    <row r="5070" spans="1:50">
      <c r="B5070" t="str">
        <f>"143553193"</f>
        <v>143553193</v>
      </c>
      <c r="C5070" t="s">
        <v>50</v>
      </c>
      <c r="D5070" t="s">
        <v>9277</v>
      </c>
      <c r="E5070" t="s">
        <v>9278</v>
      </c>
      <c r="F5070" t="s">
        <v>1559</v>
      </c>
      <c r="H5070" t="str">
        <f>" "</f>
        <v xml:space="preserve"> </v>
      </c>
      <c r="N5070" t="s">
        <v>627</v>
      </c>
      <c r="O5070" t="s">
        <v>628</v>
      </c>
      <c r="R5070" t="s">
        <v>159</v>
      </c>
      <c r="S5070">
        <v>3</v>
      </c>
      <c r="T5070" t="s">
        <v>8696</v>
      </c>
      <c r="U5070" s="1">
        <v>43348</v>
      </c>
      <c r="V5070" t="s">
        <v>80</v>
      </c>
      <c r="W5070" t="s">
        <v>81</v>
      </c>
      <c r="X5070" t="s">
        <v>58</v>
      </c>
      <c r="Y5070">
        <v>24</v>
      </c>
      <c r="Z5070" t="s">
        <v>59</v>
      </c>
      <c r="AA5070" t="s">
        <v>59</v>
      </c>
      <c r="AB5070" t="s">
        <v>59</v>
      </c>
      <c r="AC5070" t="s">
        <v>59</v>
      </c>
      <c r="AD5070" t="s">
        <v>59</v>
      </c>
      <c r="AF5070" s="1">
        <v>43348</v>
      </c>
      <c r="AG5070" t="s">
        <v>8645</v>
      </c>
      <c r="AH5070" t="s">
        <v>8697</v>
      </c>
      <c r="AI5070" t="str">
        <f>"9170511"</f>
        <v>9170511</v>
      </c>
      <c r="AJ5070" t="s">
        <v>8698</v>
      </c>
      <c r="AK5070">
        <v>2810316275</v>
      </c>
      <c r="AL5070" t="s">
        <v>8699</v>
      </c>
      <c r="AM5070" t="s">
        <v>78</v>
      </c>
      <c r="AN5070" t="s">
        <v>78</v>
      </c>
      <c r="AO5070" t="s">
        <v>78</v>
      </c>
      <c r="AP5070" t="s">
        <v>141</v>
      </c>
      <c r="AQ5070">
        <v>1</v>
      </c>
      <c r="AR5070" t="s">
        <v>80</v>
      </c>
      <c r="AS5070" t="s">
        <v>81</v>
      </c>
      <c r="AT5070" t="s">
        <v>58</v>
      </c>
      <c r="AU5070" t="s">
        <v>350</v>
      </c>
      <c r="AV5070" t="s">
        <v>132</v>
      </c>
      <c r="AW5070" s="1">
        <v>31880</v>
      </c>
      <c r="AX5070">
        <v>1</v>
      </c>
    </row>
    <row r="5071" spans="1:50">
      <c r="A5071">
        <v>614840</v>
      </c>
      <c r="B5071" t="str">
        <f>"125798674"</f>
        <v>125798674</v>
      </c>
      <c r="C5071" t="s">
        <v>105</v>
      </c>
      <c r="D5071" t="s">
        <v>9279</v>
      </c>
      <c r="E5071" t="s">
        <v>995</v>
      </c>
      <c r="F5071" t="s">
        <v>510</v>
      </c>
      <c r="G5071" t="s">
        <v>52</v>
      </c>
      <c r="H5071" t="str">
        <f>"ΝΙΚ.ΠΛΑΣΤΗΡΑ 12 ΣΤΑΥΡΟΥΠΟΛΗ"</f>
        <v>ΝΙΚ.ΠΛΑΣΤΗΡΑ 12 ΣΤΑΥΡΟΥΠΟΛΗ</v>
      </c>
      <c r="I5071">
        <v>56430</v>
      </c>
      <c r="J5071">
        <v>2310664858</v>
      </c>
      <c r="K5071">
        <v>6932241320</v>
      </c>
      <c r="N5071" t="s">
        <v>615</v>
      </c>
      <c r="O5071" t="s">
        <v>616</v>
      </c>
      <c r="R5071" t="s">
        <v>57</v>
      </c>
      <c r="S5071">
        <v>5</v>
      </c>
      <c r="T5071">
        <v>598</v>
      </c>
      <c r="U5071" s="1">
        <v>39310</v>
      </c>
      <c r="V5071" t="s">
        <v>80</v>
      </c>
      <c r="W5071" t="s">
        <v>81</v>
      </c>
      <c r="X5071" t="s">
        <v>58</v>
      </c>
      <c r="Y5071">
        <v>23</v>
      </c>
      <c r="Z5071" t="s">
        <v>59</v>
      </c>
      <c r="AA5071" t="s">
        <v>59</v>
      </c>
      <c r="AB5071" t="s">
        <v>59</v>
      </c>
      <c r="AC5071" t="s">
        <v>59</v>
      </c>
      <c r="AD5071" t="s">
        <v>59</v>
      </c>
      <c r="AF5071" s="1">
        <v>39329</v>
      </c>
      <c r="AG5071" t="s">
        <v>8645</v>
      </c>
      <c r="AH5071" t="s">
        <v>8646</v>
      </c>
      <c r="AI5071" t="str">
        <f>"9170091"</f>
        <v>9170091</v>
      </c>
      <c r="AJ5071" t="s">
        <v>8764</v>
      </c>
      <c r="AK5071">
        <v>2810741381</v>
      </c>
      <c r="AL5071" t="s">
        <v>8765</v>
      </c>
      <c r="AM5071" t="s">
        <v>78</v>
      </c>
      <c r="AN5071" t="s">
        <v>424</v>
      </c>
      <c r="AO5071" t="s">
        <v>428</v>
      </c>
      <c r="AP5071" t="s">
        <v>8766</v>
      </c>
      <c r="AQ5071">
        <v>11</v>
      </c>
      <c r="AR5071" t="s">
        <v>80</v>
      </c>
      <c r="AS5071" t="s">
        <v>81</v>
      </c>
      <c r="AT5071" t="s">
        <v>58</v>
      </c>
      <c r="AU5071" t="s">
        <v>68</v>
      </c>
      <c r="AV5071" t="s">
        <v>69</v>
      </c>
      <c r="AW5071" s="1">
        <v>30561</v>
      </c>
      <c r="AX5071">
        <v>1</v>
      </c>
    </row>
    <row r="5072" spans="1:50">
      <c r="B5072" t="str">
        <f>"121667056"</f>
        <v>121667056</v>
      </c>
      <c r="C5072" t="s">
        <v>50</v>
      </c>
      <c r="D5072" t="s">
        <v>9280</v>
      </c>
      <c r="E5072" t="s">
        <v>707</v>
      </c>
      <c r="F5072" t="s">
        <v>153</v>
      </c>
      <c r="G5072" t="s">
        <v>1204</v>
      </c>
      <c r="H5072" t="str">
        <f>"ΝΙΚΟΠΟΛΕΩΣ 27 ΚΑΛΑΜΑΡΙΑ ΘΕΣΣΑΛΟΝΙΚΗΣ"</f>
        <v>ΝΙΚΟΠΟΛΕΩΣ 27 ΚΑΛΑΜΑΡΙΑ ΘΕΣΣΑΛΟΝΙΚΗΣ</v>
      </c>
      <c r="I5072">
        <v>55131</v>
      </c>
      <c r="J5072">
        <v>2310410496</v>
      </c>
      <c r="K5072">
        <v>6948272430</v>
      </c>
      <c r="N5072" t="s">
        <v>1525</v>
      </c>
      <c r="O5072" t="s">
        <v>1526</v>
      </c>
      <c r="R5072" t="s">
        <v>159</v>
      </c>
      <c r="S5072">
        <v>2</v>
      </c>
      <c r="T5072" t="s">
        <v>8670</v>
      </c>
      <c r="U5072" s="1">
        <v>43348</v>
      </c>
      <c r="V5072" t="s">
        <v>80</v>
      </c>
      <c r="W5072" t="s">
        <v>81</v>
      </c>
      <c r="X5072" t="s">
        <v>58</v>
      </c>
      <c r="Y5072">
        <v>25</v>
      </c>
      <c r="Z5072" t="s">
        <v>59</v>
      </c>
      <c r="AA5072" t="s">
        <v>59</v>
      </c>
      <c r="AB5072" t="s">
        <v>59</v>
      </c>
      <c r="AC5072" t="s">
        <v>59</v>
      </c>
      <c r="AD5072" t="s">
        <v>59</v>
      </c>
      <c r="AF5072" s="1">
        <v>43348</v>
      </c>
      <c r="AG5072" t="s">
        <v>8651</v>
      </c>
      <c r="AH5072" t="s">
        <v>8652</v>
      </c>
      <c r="AI5072" t="str">
        <f>"9170347"</f>
        <v>9170347</v>
      </c>
      <c r="AJ5072" t="s">
        <v>9158</v>
      </c>
      <c r="AK5072">
        <v>2893031831</v>
      </c>
      <c r="AL5072" t="s">
        <v>9159</v>
      </c>
      <c r="AM5072" t="s">
        <v>78</v>
      </c>
      <c r="AN5072" t="s">
        <v>405</v>
      </c>
      <c r="AO5072" t="s">
        <v>805</v>
      </c>
      <c r="AP5072" t="s">
        <v>806</v>
      </c>
      <c r="AQ5072">
        <v>15</v>
      </c>
      <c r="AR5072" t="s">
        <v>80</v>
      </c>
      <c r="AS5072" t="s">
        <v>81</v>
      </c>
      <c r="AT5072" t="s">
        <v>58</v>
      </c>
      <c r="AU5072" t="s">
        <v>8673</v>
      </c>
      <c r="AV5072" t="s">
        <v>132</v>
      </c>
      <c r="AW5072" s="1">
        <v>29719</v>
      </c>
      <c r="AX5072">
        <v>1</v>
      </c>
    </row>
    <row r="5073" spans="1:50">
      <c r="B5073" t="str">
        <f>"123831016"</f>
        <v>123831016</v>
      </c>
      <c r="C5073" t="s">
        <v>105</v>
      </c>
      <c r="D5073" t="s">
        <v>9281</v>
      </c>
      <c r="E5073" t="s">
        <v>230</v>
      </c>
      <c r="F5073" t="s">
        <v>53</v>
      </c>
      <c r="G5073" t="s">
        <v>630</v>
      </c>
      <c r="H5073" t="str">
        <f>"ΣΟΥΛΙΟΥ 40 "</f>
        <v xml:space="preserve">ΣΟΥΛΙΟΥ 40 </v>
      </c>
      <c r="I5073">
        <v>18120</v>
      </c>
      <c r="J5073">
        <v>2104951938</v>
      </c>
      <c r="K5073">
        <v>6974450752</v>
      </c>
      <c r="N5073" t="s">
        <v>337</v>
      </c>
      <c r="O5073" t="s">
        <v>338</v>
      </c>
      <c r="R5073" t="s">
        <v>159</v>
      </c>
      <c r="S5073">
        <v>2</v>
      </c>
      <c r="T5073" t="s">
        <v>8675</v>
      </c>
      <c r="U5073" s="1">
        <v>43348</v>
      </c>
      <c r="V5073" t="s">
        <v>80</v>
      </c>
      <c r="W5073" t="s">
        <v>81</v>
      </c>
      <c r="X5073" t="s">
        <v>58</v>
      </c>
      <c r="Y5073">
        <v>24</v>
      </c>
      <c r="Z5073" t="s">
        <v>59</v>
      </c>
      <c r="AA5073" t="s">
        <v>59</v>
      </c>
      <c r="AB5073" t="s">
        <v>59</v>
      </c>
      <c r="AC5073" t="s">
        <v>59</v>
      </c>
      <c r="AD5073" t="s">
        <v>59</v>
      </c>
      <c r="AF5073" s="1">
        <v>43348</v>
      </c>
      <c r="AG5073" t="s">
        <v>8645</v>
      </c>
      <c r="AH5073" t="s">
        <v>8646</v>
      </c>
      <c r="AI5073" t="str">
        <f>"9170039"</f>
        <v>9170039</v>
      </c>
      <c r="AJ5073" t="s">
        <v>8804</v>
      </c>
      <c r="AK5073">
        <v>2894022231</v>
      </c>
      <c r="AL5073" t="s">
        <v>8805</v>
      </c>
      <c r="AM5073" t="s">
        <v>78</v>
      </c>
      <c r="AN5073" t="s">
        <v>405</v>
      </c>
      <c r="AO5073" t="s">
        <v>406</v>
      </c>
      <c r="AP5073" t="s">
        <v>406</v>
      </c>
      <c r="AQ5073">
        <v>6</v>
      </c>
      <c r="AR5073" t="s">
        <v>80</v>
      </c>
      <c r="AS5073" t="s">
        <v>81</v>
      </c>
      <c r="AT5073" t="s">
        <v>58</v>
      </c>
      <c r="AU5073" t="s">
        <v>8673</v>
      </c>
      <c r="AV5073" t="s">
        <v>132</v>
      </c>
      <c r="AW5073" s="1">
        <v>30706</v>
      </c>
      <c r="AX5073">
        <v>1</v>
      </c>
    </row>
    <row r="5074" spans="1:50">
      <c r="A5074">
        <v>569046</v>
      </c>
      <c r="B5074" t="str">
        <f>"036325627"</f>
        <v>036325627</v>
      </c>
      <c r="C5074" t="s">
        <v>50</v>
      </c>
      <c r="D5074" t="s">
        <v>9282</v>
      </c>
      <c r="E5074" t="s">
        <v>845</v>
      </c>
      <c r="F5074" t="s">
        <v>166</v>
      </c>
      <c r="G5074" t="s">
        <v>215</v>
      </c>
      <c r="H5074" t="str">
        <f>"ΙΩΑΝΝΗ ΣΚΟΥΝΤΗ 43  ΗΡΑΚΛΕΙΟ"</f>
        <v>ΙΩΑΝΝΗ ΣΚΟΥΝΤΗ 43  ΗΡΑΚΛΕΙΟ</v>
      </c>
      <c r="I5074">
        <v>70400</v>
      </c>
      <c r="J5074">
        <v>2892024722</v>
      </c>
      <c r="K5074">
        <v>6975446555</v>
      </c>
      <c r="N5074" t="s">
        <v>615</v>
      </c>
      <c r="O5074" t="s">
        <v>616</v>
      </c>
      <c r="R5074" t="s">
        <v>57</v>
      </c>
      <c r="S5074">
        <v>14</v>
      </c>
      <c r="T5074">
        <v>162</v>
      </c>
      <c r="U5074" s="1">
        <v>33844</v>
      </c>
      <c r="V5074" t="s">
        <v>80</v>
      </c>
      <c r="W5074" t="s">
        <v>81</v>
      </c>
      <c r="X5074" t="s">
        <v>58</v>
      </c>
      <c r="Y5074">
        <v>21</v>
      </c>
      <c r="Z5074" t="s">
        <v>59</v>
      </c>
      <c r="AA5074" t="s">
        <v>59</v>
      </c>
      <c r="AB5074" t="s">
        <v>59</v>
      </c>
      <c r="AC5074" t="s">
        <v>59</v>
      </c>
      <c r="AD5074" t="s">
        <v>59</v>
      </c>
      <c r="AF5074" s="1">
        <v>33849</v>
      </c>
      <c r="AG5074" t="s">
        <v>8645</v>
      </c>
      <c r="AH5074" t="s">
        <v>8646</v>
      </c>
      <c r="AI5074" t="str">
        <f>"9170295"</f>
        <v>9170295</v>
      </c>
      <c r="AJ5074" t="s">
        <v>9283</v>
      </c>
      <c r="AK5074">
        <v>2892042231</v>
      </c>
      <c r="AL5074" t="s">
        <v>9284</v>
      </c>
      <c r="AM5074" t="s">
        <v>78</v>
      </c>
      <c r="AN5074" t="s">
        <v>242</v>
      </c>
      <c r="AO5074" t="s">
        <v>243</v>
      </c>
      <c r="AP5074" t="s">
        <v>9285</v>
      </c>
      <c r="AQ5074">
        <v>18</v>
      </c>
      <c r="AR5074" t="s">
        <v>80</v>
      </c>
      <c r="AS5074" t="s">
        <v>81</v>
      </c>
      <c r="AT5074" t="s">
        <v>58</v>
      </c>
      <c r="AU5074" t="s">
        <v>68</v>
      </c>
      <c r="AV5074" t="s">
        <v>69</v>
      </c>
      <c r="AW5074" s="1">
        <v>24072</v>
      </c>
      <c r="AX5074">
        <v>1</v>
      </c>
    </row>
    <row r="5075" spans="1:50">
      <c r="B5075" t="str">
        <f>"160564918"</f>
        <v>160564918</v>
      </c>
      <c r="C5075" t="s">
        <v>50</v>
      </c>
      <c r="D5075" t="s">
        <v>7040</v>
      </c>
      <c r="E5075" t="s">
        <v>366</v>
      </c>
      <c r="F5075" t="s">
        <v>782</v>
      </c>
      <c r="G5075" t="s">
        <v>52</v>
      </c>
      <c r="H5075" t="str">
        <f>"ΣΤΑΥΡΟΥ ΚΑΡΑΤΖΑ 33 ΘΕΣΣΑΛΟΝΙΚΗ"</f>
        <v>ΣΤΑΥΡΟΥ ΚΑΡΑΤΖΑ 33 ΘΕΣΣΑΛΟΝΙΚΗ</v>
      </c>
      <c r="I5075">
        <v>55132</v>
      </c>
      <c r="J5075">
        <v>2310457122</v>
      </c>
      <c r="K5075">
        <v>6979640997</v>
      </c>
      <c r="M5075" t="s">
        <v>9286</v>
      </c>
      <c r="N5075" t="s">
        <v>8694</v>
      </c>
      <c r="O5075" t="s">
        <v>8695</v>
      </c>
      <c r="R5075" t="s">
        <v>159</v>
      </c>
      <c r="S5075">
        <v>1</v>
      </c>
      <c r="T5075" t="s">
        <v>8835</v>
      </c>
      <c r="U5075" s="1">
        <v>43348</v>
      </c>
      <c r="V5075" t="s">
        <v>80</v>
      </c>
      <c r="W5075" t="s">
        <v>81</v>
      </c>
      <c r="X5075" t="s">
        <v>58</v>
      </c>
      <c r="Y5075">
        <v>24</v>
      </c>
      <c r="Z5075" t="s">
        <v>59</v>
      </c>
      <c r="AA5075" t="s">
        <v>59</v>
      </c>
      <c r="AB5075" t="s">
        <v>59</v>
      </c>
      <c r="AD5075" t="s">
        <v>59</v>
      </c>
      <c r="AF5075" s="1">
        <v>43348</v>
      </c>
      <c r="AG5075" t="s">
        <v>8645</v>
      </c>
      <c r="AH5075" t="s">
        <v>8646</v>
      </c>
      <c r="AI5075" t="str">
        <f>"9170109"</f>
        <v>9170109</v>
      </c>
      <c r="AJ5075" t="s">
        <v>9056</v>
      </c>
      <c r="AK5075">
        <v>2810212659</v>
      </c>
      <c r="AL5075" t="s">
        <v>9057</v>
      </c>
      <c r="AM5075" t="s">
        <v>78</v>
      </c>
      <c r="AN5075" t="s">
        <v>78</v>
      </c>
      <c r="AO5075" t="s">
        <v>78</v>
      </c>
      <c r="AP5075" t="s">
        <v>163</v>
      </c>
      <c r="AQ5075">
        <v>1</v>
      </c>
      <c r="AR5075" t="s">
        <v>80</v>
      </c>
      <c r="AS5075" t="s">
        <v>81</v>
      </c>
      <c r="AT5075" t="s">
        <v>58</v>
      </c>
      <c r="AU5075" t="s">
        <v>131</v>
      </c>
      <c r="AV5075" t="s">
        <v>132</v>
      </c>
      <c r="AW5075" s="1">
        <v>34159</v>
      </c>
      <c r="AX5075">
        <v>1</v>
      </c>
    </row>
    <row r="5076" spans="1:50">
      <c r="B5076" t="str">
        <f>"149858147"</f>
        <v>149858147</v>
      </c>
      <c r="C5076" t="s">
        <v>50</v>
      </c>
      <c r="D5076" t="s">
        <v>9287</v>
      </c>
      <c r="E5076" t="s">
        <v>52</v>
      </c>
      <c r="F5076" t="s">
        <v>72</v>
      </c>
      <c r="G5076" t="s">
        <v>922</v>
      </c>
      <c r="H5076" t="str">
        <f>" "</f>
        <v xml:space="preserve"> </v>
      </c>
      <c r="K5076">
        <v>6976176882</v>
      </c>
      <c r="M5076" t="s">
        <v>9288</v>
      </c>
      <c r="N5076" t="s">
        <v>615</v>
      </c>
      <c r="O5076" t="s">
        <v>616</v>
      </c>
      <c r="R5076" t="s">
        <v>121</v>
      </c>
      <c r="S5076">
        <v>1</v>
      </c>
      <c r="T5076" t="s">
        <v>8675</v>
      </c>
      <c r="U5076" s="1">
        <v>43348</v>
      </c>
      <c r="V5076" t="s">
        <v>80</v>
      </c>
      <c r="W5076" t="s">
        <v>81</v>
      </c>
      <c r="X5076" t="s">
        <v>58</v>
      </c>
      <c r="Y5076">
        <v>25</v>
      </c>
      <c r="Z5076" t="s">
        <v>59</v>
      </c>
      <c r="AA5076" t="s">
        <v>59</v>
      </c>
      <c r="AB5076" t="s">
        <v>59</v>
      </c>
      <c r="AC5076" t="s">
        <v>59</v>
      </c>
      <c r="AD5076" t="s">
        <v>59</v>
      </c>
      <c r="AF5076" s="1">
        <v>43348</v>
      </c>
      <c r="AG5076" t="s">
        <v>8645</v>
      </c>
      <c r="AH5076" t="s">
        <v>8676</v>
      </c>
      <c r="AI5076" t="str">
        <f>"9170067"</f>
        <v>9170067</v>
      </c>
      <c r="AJ5076" t="s">
        <v>8878</v>
      </c>
      <c r="AK5076">
        <v>2893032007</v>
      </c>
      <c r="AL5076" t="s">
        <v>8879</v>
      </c>
      <c r="AM5076" t="s">
        <v>78</v>
      </c>
      <c r="AN5076" t="s">
        <v>405</v>
      </c>
      <c r="AO5076" t="s">
        <v>805</v>
      </c>
      <c r="AP5076" t="s">
        <v>8880</v>
      </c>
      <c r="AQ5076">
        <v>15</v>
      </c>
      <c r="AR5076" t="s">
        <v>80</v>
      </c>
      <c r="AS5076" t="s">
        <v>81</v>
      </c>
      <c r="AT5076" t="s">
        <v>58</v>
      </c>
      <c r="AU5076" t="s">
        <v>8673</v>
      </c>
      <c r="AV5076" t="s">
        <v>132</v>
      </c>
      <c r="AW5076" s="1">
        <v>32799</v>
      </c>
      <c r="AX5076">
        <v>1</v>
      </c>
    </row>
    <row r="5077" spans="1:50">
      <c r="A5077">
        <v>554431</v>
      </c>
      <c r="B5077" t="str">
        <f>"031654735"</f>
        <v>031654735</v>
      </c>
      <c r="C5077" t="s">
        <v>105</v>
      </c>
      <c r="D5077" t="s">
        <v>9289</v>
      </c>
      <c r="E5077" t="s">
        <v>95</v>
      </c>
      <c r="F5077" t="s">
        <v>53</v>
      </c>
      <c r="G5077" t="s">
        <v>705</v>
      </c>
      <c r="H5077" t="str">
        <f>"ΕΥΜΑΘΙΟΥ 50 ΗΡΑΚΛΕΙΟ"</f>
        <v>ΕΥΜΑΘΙΟΥ 50 ΗΡΑΚΛΕΙΟ</v>
      </c>
      <c r="J5077">
        <v>2810237397</v>
      </c>
      <c r="K5077">
        <v>6977203625</v>
      </c>
      <c r="N5077" t="s">
        <v>615</v>
      </c>
      <c r="O5077" t="s">
        <v>616</v>
      </c>
      <c r="R5077" t="s">
        <v>57</v>
      </c>
      <c r="S5077">
        <v>16</v>
      </c>
      <c r="T5077">
        <v>200</v>
      </c>
      <c r="U5077" s="1">
        <v>31657</v>
      </c>
      <c r="V5077" t="s">
        <v>80</v>
      </c>
      <c r="W5077" t="s">
        <v>81</v>
      </c>
      <c r="X5077" t="s">
        <v>58</v>
      </c>
      <c r="Y5077">
        <v>21</v>
      </c>
      <c r="Z5077" t="s">
        <v>59</v>
      </c>
      <c r="AA5077" t="s">
        <v>59</v>
      </c>
      <c r="AB5077" t="s">
        <v>59</v>
      </c>
      <c r="AC5077" t="s">
        <v>59</v>
      </c>
      <c r="AD5077" t="s">
        <v>59</v>
      </c>
      <c r="AF5077" s="1">
        <v>31671</v>
      </c>
      <c r="AG5077" t="s">
        <v>8645</v>
      </c>
      <c r="AH5077" t="s">
        <v>8646</v>
      </c>
      <c r="AI5077" t="str">
        <f>"9170514"</f>
        <v>9170514</v>
      </c>
      <c r="AJ5077" t="s">
        <v>8801</v>
      </c>
      <c r="AK5077">
        <v>2810238666</v>
      </c>
      <c r="AL5077" t="s">
        <v>8802</v>
      </c>
      <c r="AM5077" t="s">
        <v>78</v>
      </c>
      <c r="AN5077" t="s">
        <v>78</v>
      </c>
      <c r="AO5077" t="s">
        <v>78</v>
      </c>
      <c r="AP5077" t="s">
        <v>163</v>
      </c>
      <c r="AQ5077">
        <v>1</v>
      </c>
      <c r="AR5077" t="s">
        <v>80</v>
      </c>
      <c r="AS5077" t="s">
        <v>81</v>
      </c>
      <c r="AT5077" t="s">
        <v>58</v>
      </c>
      <c r="AU5077" t="s">
        <v>68</v>
      </c>
      <c r="AV5077" t="s">
        <v>69</v>
      </c>
      <c r="AW5077" s="1">
        <v>22317</v>
      </c>
      <c r="AX5077">
        <v>1</v>
      </c>
    </row>
    <row r="5078" spans="1:50">
      <c r="A5078">
        <v>574384</v>
      </c>
      <c r="B5078" t="str">
        <f>"035163396"</f>
        <v>035163396</v>
      </c>
      <c r="C5078" t="s">
        <v>50</v>
      </c>
      <c r="D5078" t="s">
        <v>974</v>
      </c>
      <c r="E5078" t="s">
        <v>143</v>
      </c>
      <c r="F5078" t="s">
        <v>95</v>
      </c>
      <c r="G5078" t="s">
        <v>52</v>
      </c>
      <c r="H5078" t="str">
        <f>" "</f>
        <v xml:space="preserve"> </v>
      </c>
      <c r="N5078" t="s">
        <v>1525</v>
      </c>
      <c r="O5078" t="s">
        <v>1526</v>
      </c>
      <c r="R5078" t="s">
        <v>57</v>
      </c>
      <c r="S5078">
        <v>13</v>
      </c>
      <c r="T5078">
        <v>160</v>
      </c>
      <c r="U5078" s="1">
        <v>34582</v>
      </c>
      <c r="V5078" t="s">
        <v>80</v>
      </c>
      <c r="W5078" t="s">
        <v>81</v>
      </c>
      <c r="X5078" t="s">
        <v>58</v>
      </c>
      <c r="Y5078">
        <v>25</v>
      </c>
      <c r="Z5078" t="s">
        <v>59</v>
      </c>
      <c r="AA5078" t="s">
        <v>59</v>
      </c>
      <c r="AB5078" t="s">
        <v>59</v>
      </c>
      <c r="AC5078" t="s">
        <v>59</v>
      </c>
      <c r="AD5078" t="s">
        <v>59</v>
      </c>
      <c r="AF5078" s="1">
        <v>35313</v>
      </c>
      <c r="AG5078" t="s">
        <v>8651</v>
      </c>
      <c r="AH5078" t="s">
        <v>8652</v>
      </c>
      <c r="AI5078" t="str">
        <f>"9170261"</f>
        <v>9170261</v>
      </c>
      <c r="AJ5078" t="s">
        <v>9290</v>
      </c>
      <c r="AK5078">
        <v>2810228697</v>
      </c>
      <c r="AL5078" t="s">
        <v>9291</v>
      </c>
      <c r="AM5078" t="s">
        <v>78</v>
      </c>
      <c r="AN5078" t="s">
        <v>78</v>
      </c>
      <c r="AO5078" t="s">
        <v>286</v>
      </c>
      <c r="AP5078" t="s">
        <v>286</v>
      </c>
      <c r="AQ5078">
        <v>1</v>
      </c>
      <c r="AR5078" t="s">
        <v>80</v>
      </c>
      <c r="AS5078" t="s">
        <v>81</v>
      </c>
      <c r="AT5078" t="s">
        <v>58</v>
      </c>
      <c r="AU5078" t="s">
        <v>68</v>
      </c>
      <c r="AV5078" t="s">
        <v>69</v>
      </c>
      <c r="AW5078" s="1">
        <v>24159</v>
      </c>
      <c r="AX5078">
        <v>1</v>
      </c>
    </row>
    <row r="5079" spans="1:50">
      <c r="A5079">
        <v>586317</v>
      </c>
      <c r="B5079" t="str">
        <f>"072598450"</f>
        <v>072598450</v>
      </c>
      <c r="C5079" t="s">
        <v>50</v>
      </c>
      <c r="D5079" t="s">
        <v>974</v>
      </c>
      <c r="E5079" t="s">
        <v>52</v>
      </c>
      <c r="F5079" t="s">
        <v>166</v>
      </c>
      <c r="G5079" t="s">
        <v>382</v>
      </c>
      <c r="H5079" t="str">
        <f>"ΒΗΣΣΑΡΙΩΝΟΣ 8 ΗΡΑΚΛΕΙΟ"</f>
        <v>ΒΗΣΣΑΡΙΩΝΟΣ 8 ΗΡΑΚΛΕΙΟ</v>
      </c>
      <c r="I5079">
        <v>71410</v>
      </c>
      <c r="J5079">
        <v>2810326517</v>
      </c>
      <c r="K5079">
        <v>6976166488</v>
      </c>
      <c r="N5079" t="s">
        <v>615</v>
      </c>
      <c r="O5079" t="s">
        <v>616</v>
      </c>
      <c r="R5079" t="s">
        <v>57</v>
      </c>
      <c r="S5079">
        <v>10</v>
      </c>
      <c r="T5079" t="s">
        <v>9292</v>
      </c>
      <c r="U5079" s="1">
        <v>36040</v>
      </c>
      <c r="V5079" t="s">
        <v>80</v>
      </c>
      <c r="W5079" t="s">
        <v>81</v>
      </c>
      <c r="X5079" t="s">
        <v>58</v>
      </c>
      <c r="Y5079">
        <v>21</v>
      </c>
      <c r="Z5079" t="s">
        <v>59</v>
      </c>
      <c r="AA5079" t="s">
        <v>59</v>
      </c>
      <c r="AB5079" t="s">
        <v>59</v>
      </c>
      <c r="AC5079" t="s">
        <v>59</v>
      </c>
      <c r="AD5079" t="s">
        <v>59</v>
      </c>
      <c r="AF5079" s="1">
        <v>36040</v>
      </c>
      <c r="AG5079" t="s">
        <v>8645</v>
      </c>
      <c r="AH5079" t="s">
        <v>8646</v>
      </c>
      <c r="AI5079" t="str">
        <f>"9170533"</f>
        <v>9170533</v>
      </c>
      <c r="AJ5079" t="s">
        <v>9091</v>
      </c>
      <c r="AK5079">
        <v>2810239434</v>
      </c>
      <c r="AL5079" t="s">
        <v>9092</v>
      </c>
      <c r="AM5079" t="s">
        <v>78</v>
      </c>
      <c r="AN5079" t="s">
        <v>78</v>
      </c>
      <c r="AO5079" t="s">
        <v>78</v>
      </c>
      <c r="AP5079" t="s">
        <v>163</v>
      </c>
      <c r="AQ5079">
        <v>1</v>
      </c>
      <c r="AR5079" t="s">
        <v>80</v>
      </c>
      <c r="AS5079" t="s">
        <v>81</v>
      </c>
      <c r="AT5079" t="s">
        <v>58</v>
      </c>
      <c r="AU5079" t="s">
        <v>68</v>
      </c>
      <c r="AV5079" t="s">
        <v>69</v>
      </c>
      <c r="AW5079" s="1">
        <v>25400</v>
      </c>
      <c r="AX5079">
        <v>1</v>
      </c>
    </row>
    <row r="5080" spans="1:50">
      <c r="B5080" t="str">
        <f>"123698643"</f>
        <v>123698643</v>
      </c>
      <c r="C5080" t="s">
        <v>50</v>
      </c>
      <c r="D5080" t="s">
        <v>974</v>
      </c>
      <c r="E5080" t="s">
        <v>9293</v>
      </c>
      <c r="F5080" t="s">
        <v>95</v>
      </c>
      <c r="G5080" t="s">
        <v>52</v>
      </c>
      <c r="H5080" t="str">
        <f>" "</f>
        <v xml:space="preserve"> </v>
      </c>
      <c r="N5080" t="s">
        <v>8834</v>
      </c>
      <c r="O5080" t="s">
        <v>8695</v>
      </c>
      <c r="R5080" t="s">
        <v>159</v>
      </c>
      <c r="S5080">
        <v>3</v>
      </c>
      <c r="T5080" t="s">
        <v>8835</v>
      </c>
      <c r="U5080" s="1">
        <v>43348</v>
      </c>
      <c r="V5080" t="s">
        <v>80</v>
      </c>
      <c r="W5080" t="s">
        <v>81</v>
      </c>
      <c r="X5080" t="s">
        <v>58</v>
      </c>
      <c r="Y5080">
        <v>24</v>
      </c>
      <c r="Z5080" t="s">
        <v>59</v>
      </c>
      <c r="AA5080" t="s">
        <v>59</v>
      </c>
      <c r="AB5080" t="s">
        <v>59</v>
      </c>
      <c r="AD5080" t="s">
        <v>59</v>
      </c>
      <c r="AF5080" s="1">
        <v>43348</v>
      </c>
      <c r="AG5080" t="s">
        <v>8645</v>
      </c>
      <c r="AH5080" t="s">
        <v>8646</v>
      </c>
      <c r="AI5080" t="str">
        <f>"9170532"</f>
        <v>9170532</v>
      </c>
      <c r="AJ5080" t="s">
        <v>8945</v>
      </c>
      <c r="AK5080">
        <v>2810250330</v>
      </c>
      <c r="AL5080" t="s">
        <v>8946</v>
      </c>
      <c r="AM5080" t="s">
        <v>78</v>
      </c>
      <c r="AN5080" t="s">
        <v>78</v>
      </c>
      <c r="AO5080" t="s">
        <v>78</v>
      </c>
      <c r="AP5080" t="s">
        <v>141</v>
      </c>
      <c r="AQ5080">
        <v>1</v>
      </c>
      <c r="AR5080" t="s">
        <v>80</v>
      </c>
      <c r="AS5080" t="s">
        <v>81</v>
      </c>
      <c r="AT5080" t="s">
        <v>58</v>
      </c>
      <c r="AU5080" t="s">
        <v>131</v>
      </c>
      <c r="AV5080" t="s">
        <v>132</v>
      </c>
      <c r="AW5080" s="1">
        <v>33364</v>
      </c>
      <c r="AX5080">
        <v>1</v>
      </c>
    </row>
    <row r="5081" spans="1:50">
      <c r="A5081">
        <v>600949</v>
      </c>
      <c r="B5081" t="str">
        <f>"047215573"</f>
        <v>047215573</v>
      </c>
      <c r="C5081" t="s">
        <v>105</v>
      </c>
      <c r="D5081" t="s">
        <v>7045</v>
      </c>
      <c r="E5081" t="s">
        <v>72</v>
      </c>
      <c r="F5081" t="s">
        <v>5370</v>
      </c>
      <c r="G5081" t="s">
        <v>801</v>
      </c>
      <c r="H5081" t="str">
        <f>"ΑΝΑΣΤΑΣΕΩΣ 16 ΗΡΑΚΛΕΙΟ"</f>
        <v>ΑΝΑΣΤΑΣΕΩΣ 16 ΗΡΑΚΛΕΙΟ</v>
      </c>
      <c r="I5081">
        <v>71307</v>
      </c>
      <c r="K5081">
        <v>6972059099</v>
      </c>
      <c r="M5081" t="s">
        <v>9294</v>
      </c>
      <c r="N5081" t="s">
        <v>615</v>
      </c>
      <c r="O5081" t="s">
        <v>616</v>
      </c>
      <c r="R5081" t="s">
        <v>57</v>
      </c>
      <c r="S5081">
        <v>9</v>
      </c>
      <c r="T5081">
        <v>207</v>
      </c>
      <c r="U5081" s="1">
        <v>37866</v>
      </c>
      <c r="V5081" t="s">
        <v>80</v>
      </c>
      <c r="W5081" t="s">
        <v>81</v>
      </c>
      <c r="X5081" t="s">
        <v>58</v>
      </c>
      <c r="Y5081">
        <v>22</v>
      </c>
      <c r="Z5081" t="s">
        <v>59</v>
      </c>
      <c r="AA5081" t="s">
        <v>59</v>
      </c>
      <c r="AB5081" t="s">
        <v>59</v>
      </c>
      <c r="AC5081" t="s">
        <v>59</v>
      </c>
      <c r="AD5081" t="s">
        <v>59</v>
      </c>
      <c r="AF5081" s="1">
        <v>37866</v>
      </c>
      <c r="AG5081" t="s">
        <v>8645</v>
      </c>
      <c r="AH5081" t="s">
        <v>8646</v>
      </c>
      <c r="AI5081" t="str">
        <f>"9170219"</f>
        <v>9170219</v>
      </c>
      <c r="AJ5081" t="s">
        <v>8967</v>
      </c>
      <c r="AK5081">
        <v>2897041357</v>
      </c>
      <c r="AL5081" t="s">
        <v>8968</v>
      </c>
      <c r="AM5081" t="s">
        <v>78</v>
      </c>
      <c r="AN5081" t="s">
        <v>219</v>
      </c>
      <c r="AO5081" t="s">
        <v>297</v>
      </c>
      <c r="AP5081" t="s">
        <v>297</v>
      </c>
      <c r="AQ5081">
        <v>7</v>
      </c>
      <c r="AR5081" t="s">
        <v>80</v>
      </c>
      <c r="AS5081" t="s">
        <v>81</v>
      </c>
      <c r="AT5081" t="s">
        <v>58</v>
      </c>
      <c r="AU5081" t="s">
        <v>68</v>
      </c>
      <c r="AV5081" t="s">
        <v>69</v>
      </c>
      <c r="AW5081" s="1">
        <v>28401</v>
      </c>
      <c r="AX5081">
        <v>1</v>
      </c>
    </row>
    <row r="5082" spans="1:50">
      <c r="A5082">
        <v>610669</v>
      </c>
      <c r="B5082" t="str">
        <f>"136143884"</f>
        <v>136143884</v>
      </c>
      <c r="C5082" t="s">
        <v>50</v>
      </c>
      <c r="D5082" t="s">
        <v>9295</v>
      </c>
      <c r="E5082" t="s">
        <v>112</v>
      </c>
      <c r="F5082" t="s">
        <v>95</v>
      </c>
      <c r="G5082" t="s">
        <v>250</v>
      </c>
      <c r="H5082" t="str">
        <f>"ΑΓ. ΝΙΚΩΝΟΣ ΜΕΤΑΝΟΕΙΤΕ 4 ΗΡΑΚΛΕΙΟ"</f>
        <v>ΑΓ. ΝΙΚΩΝΟΣ ΜΕΤΑΝΟΕΙΤΕ 4 ΗΡΑΚΛΕΙΟ</v>
      </c>
      <c r="I5082">
        <v>71304</v>
      </c>
      <c r="J5082">
        <v>2810257902</v>
      </c>
      <c r="K5082">
        <v>6938654426</v>
      </c>
      <c r="N5082" t="s">
        <v>615</v>
      </c>
      <c r="O5082" t="s">
        <v>616</v>
      </c>
      <c r="R5082" t="s">
        <v>57</v>
      </c>
      <c r="S5082">
        <v>6</v>
      </c>
      <c r="T5082">
        <v>233</v>
      </c>
      <c r="U5082" s="1">
        <v>38960</v>
      </c>
      <c r="V5082" t="s">
        <v>80</v>
      </c>
      <c r="W5082" t="s">
        <v>81</v>
      </c>
      <c r="X5082" t="s">
        <v>58</v>
      </c>
      <c r="Y5082">
        <v>23</v>
      </c>
      <c r="Z5082" t="s">
        <v>59</v>
      </c>
      <c r="AA5082" t="s">
        <v>59</v>
      </c>
      <c r="AB5082" t="s">
        <v>59</v>
      </c>
      <c r="AC5082" t="s">
        <v>59</v>
      </c>
      <c r="AD5082" t="s">
        <v>59</v>
      </c>
      <c r="AF5082" s="1">
        <v>38961</v>
      </c>
      <c r="AG5082" t="s">
        <v>8645</v>
      </c>
      <c r="AH5082" t="s">
        <v>8646</v>
      </c>
      <c r="AI5082" t="str">
        <f>"9170525"</f>
        <v>9170525</v>
      </c>
      <c r="AJ5082" t="s">
        <v>8853</v>
      </c>
      <c r="AK5082">
        <v>2810256547</v>
      </c>
      <c r="AL5082" t="s">
        <v>8854</v>
      </c>
      <c r="AM5082" t="s">
        <v>78</v>
      </c>
      <c r="AN5082" t="s">
        <v>78</v>
      </c>
      <c r="AO5082" t="s">
        <v>78</v>
      </c>
      <c r="AP5082" t="s">
        <v>141</v>
      </c>
      <c r="AQ5082">
        <v>1</v>
      </c>
      <c r="AR5082" t="s">
        <v>80</v>
      </c>
      <c r="AS5082" t="s">
        <v>81</v>
      </c>
      <c r="AT5082" t="s">
        <v>58</v>
      </c>
      <c r="AU5082" t="s">
        <v>68</v>
      </c>
      <c r="AV5082" t="s">
        <v>69</v>
      </c>
      <c r="AW5082" s="1">
        <v>30236</v>
      </c>
      <c r="AX5082">
        <v>1</v>
      </c>
    </row>
    <row r="5083" spans="1:50">
      <c r="A5083">
        <v>602561</v>
      </c>
      <c r="B5083" t="str">
        <f>"112789130"</f>
        <v>112789130</v>
      </c>
      <c r="C5083" t="s">
        <v>50</v>
      </c>
      <c r="D5083" t="s">
        <v>9295</v>
      </c>
      <c r="E5083" t="s">
        <v>215</v>
      </c>
      <c r="F5083" t="s">
        <v>72</v>
      </c>
      <c r="G5083" t="s">
        <v>52</v>
      </c>
      <c r="H5083" t="str">
        <f>"ΜΑΤΘΑΙΑΚΗ 4Β ΗΡΑΚΛΕΙΟ"</f>
        <v>ΜΑΤΘΑΙΑΚΗ 4Β ΗΡΑΚΛΕΙΟ</v>
      </c>
      <c r="I5083">
        <v>71305</v>
      </c>
      <c r="J5083">
        <v>2810263786</v>
      </c>
      <c r="K5083">
        <v>6945465661</v>
      </c>
      <c r="N5083" t="s">
        <v>615</v>
      </c>
      <c r="O5083" t="s">
        <v>616</v>
      </c>
      <c r="R5083" t="s">
        <v>57</v>
      </c>
      <c r="S5083">
        <v>10</v>
      </c>
      <c r="T5083">
        <v>207</v>
      </c>
      <c r="U5083" s="1">
        <v>37866</v>
      </c>
      <c r="V5083" t="s">
        <v>80</v>
      </c>
      <c r="W5083" t="s">
        <v>81</v>
      </c>
      <c r="X5083" t="s">
        <v>58</v>
      </c>
      <c r="Y5083">
        <v>22</v>
      </c>
      <c r="Z5083" t="s">
        <v>59</v>
      </c>
      <c r="AA5083" t="s">
        <v>59</v>
      </c>
      <c r="AB5083" t="s">
        <v>59</v>
      </c>
      <c r="AC5083" t="s">
        <v>59</v>
      </c>
      <c r="AD5083" t="s">
        <v>59</v>
      </c>
      <c r="AF5083" s="1">
        <v>37866</v>
      </c>
      <c r="AG5083" t="s">
        <v>8645</v>
      </c>
      <c r="AH5083" t="s">
        <v>8697</v>
      </c>
      <c r="AI5083" t="str">
        <f>"9170372"</f>
        <v>9170372</v>
      </c>
      <c r="AJ5083" t="s">
        <v>9296</v>
      </c>
      <c r="AK5083">
        <v>2810281754</v>
      </c>
      <c r="AL5083" t="s">
        <v>9297</v>
      </c>
      <c r="AM5083" t="s">
        <v>78</v>
      </c>
      <c r="AN5083" t="s">
        <v>78</v>
      </c>
      <c r="AO5083" t="s">
        <v>78</v>
      </c>
      <c r="AP5083" t="s">
        <v>79</v>
      </c>
      <c r="AQ5083">
        <v>1</v>
      </c>
      <c r="AR5083" t="s">
        <v>80</v>
      </c>
      <c r="AS5083" t="s">
        <v>81</v>
      </c>
      <c r="AT5083" t="s">
        <v>58</v>
      </c>
      <c r="AU5083" t="s">
        <v>68</v>
      </c>
      <c r="AV5083" t="s">
        <v>69</v>
      </c>
      <c r="AW5083" s="1">
        <v>27665</v>
      </c>
      <c r="AX5083">
        <v>1</v>
      </c>
    </row>
    <row r="5084" spans="1:50">
      <c r="A5084">
        <v>566124</v>
      </c>
      <c r="B5084" t="str">
        <f>"110104358"</f>
        <v>110104358</v>
      </c>
      <c r="C5084" t="s">
        <v>50</v>
      </c>
      <c r="D5084" t="s">
        <v>9298</v>
      </c>
      <c r="E5084" t="s">
        <v>372</v>
      </c>
      <c r="F5084" t="s">
        <v>99</v>
      </c>
      <c r="G5084" t="s">
        <v>83</v>
      </c>
      <c r="H5084" t="str">
        <f>"Γιούχτα 1Α "</f>
        <v xml:space="preserve">Γιούχτα 1Α </v>
      </c>
      <c r="I5084">
        <v>71307</v>
      </c>
      <c r="J5084">
        <v>2810325622</v>
      </c>
      <c r="K5084">
        <v>6944738025</v>
      </c>
      <c r="N5084" t="s">
        <v>615</v>
      </c>
      <c r="O5084" t="s">
        <v>616</v>
      </c>
      <c r="R5084" t="s">
        <v>57</v>
      </c>
      <c r="S5084">
        <v>14</v>
      </c>
      <c r="T5084">
        <v>161</v>
      </c>
      <c r="U5084" s="1">
        <v>33121</v>
      </c>
      <c r="V5084" t="s">
        <v>80</v>
      </c>
      <c r="W5084" t="s">
        <v>81</v>
      </c>
      <c r="X5084" t="s">
        <v>58</v>
      </c>
      <c r="Y5084">
        <v>21</v>
      </c>
      <c r="Z5084" t="s">
        <v>59</v>
      </c>
      <c r="AA5084" t="s">
        <v>59</v>
      </c>
      <c r="AB5084" t="s">
        <v>59</v>
      </c>
      <c r="AC5084" t="s">
        <v>59</v>
      </c>
      <c r="AD5084" t="s">
        <v>59</v>
      </c>
      <c r="AF5084" s="1">
        <v>33121</v>
      </c>
      <c r="AG5084" t="s">
        <v>8645</v>
      </c>
      <c r="AH5084" t="s">
        <v>8646</v>
      </c>
      <c r="AI5084" t="str">
        <f>"9170194"</f>
        <v>9170194</v>
      </c>
      <c r="AJ5084" t="s">
        <v>8768</v>
      </c>
      <c r="AK5084">
        <v>2810239611</v>
      </c>
      <c r="AL5084" t="s">
        <v>8769</v>
      </c>
      <c r="AM5084" t="s">
        <v>78</v>
      </c>
      <c r="AN5084" t="s">
        <v>78</v>
      </c>
      <c r="AO5084" t="s">
        <v>78</v>
      </c>
      <c r="AP5084" t="s">
        <v>213</v>
      </c>
      <c r="AQ5084">
        <v>1</v>
      </c>
      <c r="AR5084" t="s">
        <v>80</v>
      </c>
      <c r="AS5084" t="s">
        <v>81</v>
      </c>
      <c r="AT5084" t="s">
        <v>58</v>
      </c>
      <c r="AU5084" t="s">
        <v>68</v>
      </c>
      <c r="AV5084" t="s">
        <v>69</v>
      </c>
      <c r="AW5084" s="1">
        <v>23790</v>
      </c>
      <c r="AX5084">
        <v>1</v>
      </c>
    </row>
    <row r="5085" spans="1:50">
      <c r="B5085" t="str">
        <f>"134322805"</f>
        <v>134322805</v>
      </c>
      <c r="C5085" t="s">
        <v>105</v>
      </c>
      <c r="D5085" t="s">
        <v>9299</v>
      </c>
      <c r="E5085" t="s">
        <v>106</v>
      </c>
      <c r="F5085" t="s">
        <v>3049</v>
      </c>
      <c r="G5085" t="s">
        <v>484</v>
      </c>
      <c r="H5085" t="str">
        <f>"ΜΑΙΑΝΔΡΟΥ 12 "</f>
        <v xml:space="preserve">ΜΑΙΑΝΔΡΟΥ 12 </v>
      </c>
      <c r="I5085">
        <v>38446</v>
      </c>
      <c r="J5085">
        <v>2421062236</v>
      </c>
      <c r="K5085">
        <v>6945271020</v>
      </c>
      <c r="M5085" t="s">
        <v>9300</v>
      </c>
      <c r="N5085" t="s">
        <v>204</v>
      </c>
      <c r="O5085" t="s">
        <v>205</v>
      </c>
      <c r="R5085" t="s">
        <v>159</v>
      </c>
      <c r="S5085">
        <v>4</v>
      </c>
      <c r="T5085" t="s">
        <v>8675</v>
      </c>
      <c r="U5085" s="1">
        <v>43348</v>
      </c>
      <c r="V5085" t="s">
        <v>80</v>
      </c>
      <c r="W5085" t="s">
        <v>81</v>
      </c>
      <c r="X5085" t="s">
        <v>58</v>
      </c>
      <c r="Y5085">
        <v>24</v>
      </c>
      <c r="Z5085" t="s">
        <v>59</v>
      </c>
      <c r="AA5085" t="s">
        <v>59</v>
      </c>
      <c r="AB5085" t="s">
        <v>59</v>
      </c>
      <c r="AC5085" t="s">
        <v>59</v>
      </c>
      <c r="AD5085" t="s">
        <v>59</v>
      </c>
      <c r="AF5085" s="1">
        <v>43348</v>
      </c>
      <c r="AG5085" t="s">
        <v>8645</v>
      </c>
      <c r="AH5085" t="s">
        <v>8646</v>
      </c>
      <c r="AI5085" t="str">
        <f>"9170268"</f>
        <v>9170268</v>
      </c>
      <c r="AJ5085" t="s">
        <v>9301</v>
      </c>
      <c r="AK5085">
        <v>2892022710</v>
      </c>
      <c r="AL5085" t="s">
        <v>9302</v>
      </c>
      <c r="AM5085" t="s">
        <v>78</v>
      </c>
      <c r="AN5085" t="s">
        <v>242</v>
      </c>
      <c r="AO5085" t="s">
        <v>243</v>
      </c>
      <c r="AP5085" t="s">
        <v>243</v>
      </c>
      <c r="AQ5085">
        <v>20</v>
      </c>
      <c r="AR5085" t="s">
        <v>80</v>
      </c>
      <c r="AS5085" t="s">
        <v>81</v>
      </c>
      <c r="AT5085" t="s">
        <v>58</v>
      </c>
      <c r="AU5085" t="s">
        <v>8673</v>
      </c>
      <c r="AV5085" t="s">
        <v>132</v>
      </c>
      <c r="AW5085" s="1">
        <v>30723</v>
      </c>
      <c r="AX5085">
        <v>1</v>
      </c>
    </row>
    <row r="5086" spans="1:50">
      <c r="A5086">
        <v>620200</v>
      </c>
      <c r="B5086" t="str">
        <f>"120052273"</f>
        <v>120052273</v>
      </c>
      <c r="C5086" t="s">
        <v>50</v>
      </c>
      <c r="D5086" t="s">
        <v>991</v>
      </c>
      <c r="E5086" t="s">
        <v>513</v>
      </c>
      <c r="F5086" t="s">
        <v>631</v>
      </c>
      <c r="G5086" t="s">
        <v>263</v>
      </c>
      <c r="H5086" t="str">
        <f>"ΔΡΑΚΟΝΤΟΠΟΥΛΟΥ 41 ΗΡΑΚΛΕΙΟ"</f>
        <v>ΔΡΑΚΟΝΤΟΠΟΥΛΟΥ 41 ΗΡΑΚΛΕΙΟ</v>
      </c>
      <c r="I5086">
        <v>71306</v>
      </c>
      <c r="J5086">
        <v>2810286148</v>
      </c>
      <c r="K5086">
        <v>6945525456</v>
      </c>
      <c r="M5086" t="s">
        <v>9303</v>
      </c>
      <c r="N5086" t="s">
        <v>306</v>
      </c>
      <c r="O5086" t="s">
        <v>307</v>
      </c>
      <c r="R5086" t="s">
        <v>57</v>
      </c>
      <c r="S5086">
        <v>8</v>
      </c>
      <c r="T5086">
        <v>1189</v>
      </c>
      <c r="U5086" s="1">
        <v>39813</v>
      </c>
      <c r="V5086" t="s">
        <v>80</v>
      </c>
      <c r="W5086" t="s">
        <v>81</v>
      </c>
      <c r="X5086" t="s">
        <v>58</v>
      </c>
      <c r="Y5086">
        <v>23</v>
      </c>
      <c r="Z5086" t="s">
        <v>59</v>
      </c>
      <c r="AA5086" t="s">
        <v>59</v>
      </c>
      <c r="AB5086" t="s">
        <v>59</v>
      </c>
      <c r="AC5086" t="s">
        <v>59</v>
      </c>
      <c r="AD5086" t="s">
        <v>59</v>
      </c>
      <c r="AF5086" s="1">
        <v>39827</v>
      </c>
      <c r="AG5086" t="s">
        <v>8645</v>
      </c>
      <c r="AH5086" t="s">
        <v>8646</v>
      </c>
      <c r="AI5086" t="str">
        <f>"9170056"</f>
        <v>9170056</v>
      </c>
      <c r="AJ5086" t="s">
        <v>9137</v>
      </c>
      <c r="AK5086">
        <v>2810253392</v>
      </c>
      <c r="AL5086" t="s">
        <v>9138</v>
      </c>
      <c r="AM5086" t="s">
        <v>78</v>
      </c>
      <c r="AN5086" t="s">
        <v>78</v>
      </c>
      <c r="AO5086" t="s">
        <v>78</v>
      </c>
      <c r="AP5086" t="s">
        <v>141</v>
      </c>
      <c r="AQ5086">
        <v>1</v>
      </c>
      <c r="AR5086" t="s">
        <v>80</v>
      </c>
      <c r="AS5086" t="s">
        <v>81</v>
      </c>
      <c r="AT5086" t="s">
        <v>58</v>
      </c>
      <c r="AU5086" t="s">
        <v>68</v>
      </c>
      <c r="AV5086" t="s">
        <v>69</v>
      </c>
      <c r="AW5086" s="1">
        <v>29702</v>
      </c>
      <c r="AX5086">
        <v>1</v>
      </c>
    </row>
    <row r="5087" spans="1:50">
      <c r="B5087" t="str">
        <f>"157276461"</f>
        <v>157276461</v>
      </c>
      <c r="C5087" t="s">
        <v>50</v>
      </c>
      <c r="D5087" t="s">
        <v>9304</v>
      </c>
      <c r="E5087" t="s">
        <v>367</v>
      </c>
      <c r="F5087" t="s">
        <v>95</v>
      </c>
      <c r="G5087" t="s">
        <v>335</v>
      </c>
      <c r="H5087" t="str">
        <f>" "</f>
        <v xml:space="preserve"> </v>
      </c>
      <c r="N5087" t="s">
        <v>615</v>
      </c>
      <c r="O5087" t="s">
        <v>616</v>
      </c>
      <c r="R5087" t="s">
        <v>159</v>
      </c>
      <c r="S5087">
        <v>1</v>
      </c>
      <c r="T5087" t="s">
        <v>8675</v>
      </c>
      <c r="U5087" s="1">
        <v>43348</v>
      </c>
      <c r="V5087" t="s">
        <v>80</v>
      </c>
      <c r="W5087" t="s">
        <v>81</v>
      </c>
      <c r="X5087" t="s">
        <v>58</v>
      </c>
      <c r="Y5087">
        <v>24</v>
      </c>
      <c r="Z5087" t="s">
        <v>59</v>
      </c>
      <c r="AA5087" t="s">
        <v>59</v>
      </c>
      <c r="AB5087" t="s">
        <v>59</v>
      </c>
      <c r="AD5087" t="s">
        <v>59</v>
      </c>
      <c r="AF5087" s="1">
        <v>43348</v>
      </c>
      <c r="AG5087" t="s">
        <v>8645</v>
      </c>
      <c r="AH5087" t="s">
        <v>8646</v>
      </c>
      <c r="AI5087" t="str">
        <f>"9170017"</f>
        <v>9170017</v>
      </c>
      <c r="AJ5087" t="s">
        <v>9114</v>
      </c>
      <c r="AK5087">
        <v>2810250746</v>
      </c>
      <c r="AL5087" t="s">
        <v>9115</v>
      </c>
      <c r="AM5087" t="s">
        <v>78</v>
      </c>
      <c r="AN5087" t="s">
        <v>129</v>
      </c>
      <c r="AO5087" t="s">
        <v>130</v>
      </c>
      <c r="AP5087" t="s">
        <v>130</v>
      </c>
      <c r="AQ5087">
        <v>1</v>
      </c>
      <c r="AR5087" t="s">
        <v>80</v>
      </c>
      <c r="AS5087" t="s">
        <v>81</v>
      </c>
      <c r="AT5087" t="s">
        <v>58</v>
      </c>
      <c r="AU5087" t="s">
        <v>8673</v>
      </c>
      <c r="AV5087" t="s">
        <v>132</v>
      </c>
      <c r="AW5087" s="1">
        <v>32665</v>
      </c>
      <c r="AX5087">
        <v>1</v>
      </c>
    </row>
    <row r="5088" spans="1:50">
      <c r="B5088" t="str">
        <f>"151883201"</f>
        <v>151883201</v>
      </c>
      <c r="C5088" t="s">
        <v>50</v>
      </c>
      <c r="D5088" t="s">
        <v>9305</v>
      </c>
      <c r="E5088" t="s">
        <v>563</v>
      </c>
      <c r="F5088" t="s">
        <v>309</v>
      </c>
      <c r="G5088" t="s">
        <v>340</v>
      </c>
      <c r="H5088" t="str">
        <f>"ΑΝΔΡΕΑ ΜΗΛΙΩΤΟΥ 70 ΗΡΑΚΛΕΙΟ"</f>
        <v>ΑΝΔΡΕΑ ΜΗΛΙΩΤΟΥ 70 ΗΡΑΚΛΕΙΟ</v>
      </c>
      <c r="J5088">
        <v>2431071863</v>
      </c>
      <c r="K5088">
        <v>6949408943</v>
      </c>
      <c r="N5088" t="s">
        <v>8694</v>
      </c>
      <c r="O5088" t="s">
        <v>8695</v>
      </c>
      <c r="R5088" t="s">
        <v>159</v>
      </c>
      <c r="S5088">
        <v>1</v>
      </c>
      <c r="T5088" t="s">
        <v>8696</v>
      </c>
      <c r="U5088" s="1">
        <v>43348</v>
      </c>
      <c r="V5088" t="s">
        <v>80</v>
      </c>
      <c r="W5088" t="s">
        <v>81</v>
      </c>
      <c r="X5088" t="s">
        <v>58</v>
      </c>
      <c r="Y5088">
        <v>24</v>
      </c>
      <c r="Z5088" t="s">
        <v>59</v>
      </c>
      <c r="AA5088" t="s">
        <v>59</v>
      </c>
      <c r="AB5088" t="s">
        <v>59</v>
      </c>
      <c r="AD5088" t="s">
        <v>59</v>
      </c>
      <c r="AF5088" s="1">
        <v>43348</v>
      </c>
      <c r="AG5088" t="s">
        <v>8645</v>
      </c>
      <c r="AH5088" t="s">
        <v>8646</v>
      </c>
      <c r="AI5088" t="str">
        <f>"9170115"</f>
        <v>9170115</v>
      </c>
      <c r="AJ5088" t="s">
        <v>8770</v>
      </c>
      <c r="AK5088">
        <v>2810231165</v>
      </c>
      <c r="AL5088" t="s">
        <v>8771</v>
      </c>
      <c r="AM5088" t="s">
        <v>78</v>
      </c>
      <c r="AN5088" t="s">
        <v>78</v>
      </c>
      <c r="AO5088" t="s">
        <v>78</v>
      </c>
      <c r="AP5088" t="s">
        <v>141</v>
      </c>
      <c r="AQ5088">
        <v>1</v>
      </c>
      <c r="AR5088" t="s">
        <v>80</v>
      </c>
      <c r="AS5088" t="s">
        <v>81</v>
      </c>
      <c r="AT5088" t="s">
        <v>58</v>
      </c>
      <c r="AU5088" t="s">
        <v>350</v>
      </c>
      <c r="AV5088" t="s">
        <v>132</v>
      </c>
      <c r="AW5088" s="1">
        <v>33465</v>
      </c>
      <c r="AX5088">
        <v>1</v>
      </c>
    </row>
    <row r="5089" spans="1:50">
      <c r="A5089">
        <v>615590</v>
      </c>
      <c r="B5089" t="str">
        <f>"054558800"</f>
        <v>054558800</v>
      </c>
      <c r="C5089" t="s">
        <v>50</v>
      </c>
      <c r="D5089" t="s">
        <v>1003</v>
      </c>
      <c r="E5089" t="s">
        <v>73</v>
      </c>
      <c r="F5089" t="s">
        <v>95</v>
      </c>
      <c r="G5089" t="s">
        <v>237</v>
      </c>
      <c r="H5089" t="str">
        <f>" "</f>
        <v xml:space="preserve"> </v>
      </c>
      <c r="J5089">
        <v>2810321570</v>
      </c>
      <c r="K5089">
        <v>6976078055</v>
      </c>
      <c r="N5089" t="s">
        <v>1525</v>
      </c>
      <c r="O5089" t="s">
        <v>1526</v>
      </c>
      <c r="R5089" t="s">
        <v>57</v>
      </c>
      <c r="S5089">
        <v>6</v>
      </c>
      <c r="T5089">
        <v>598</v>
      </c>
      <c r="U5089" s="1">
        <v>39310</v>
      </c>
      <c r="V5089" t="s">
        <v>80</v>
      </c>
      <c r="W5089" t="s">
        <v>81</v>
      </c>
      <c r="X5089" t="s">
        <v>58</v>
      </c>
      <c r="Y5089">
        <v>25</v>
      </c>
      <c r="Z5089" t="s">
        <v>59</v>
      </c>
      <c r="AA5089" t="s">
        <v>59</v>
      </c>
      <c r="AB5089" t="s">
        <v>59</v>
      </c>
      <c r="AC5089" t="s">
        <v>59</v>
      </c>
      <c r="AD5089" t="s">
        <v>59</v>
      </c>
      <c r="AF5089" s="1">
        <v>39328</v>
      </c>
      <c r="AG5089" t="s">
        <v>8651</v>
      </c>
      <c r="AH5089" t="s">
        <v>8652</v>
      </c>
      <c r="AI5089" t="str">
        <f>"9170187"</f>
        <v>9170187</v>
      </c>
      <c r="AJ5089" t="s">
        <v>9306</v>
      </c>
      <c r="AK5089">
        <v>2810211623</v>
      </c>
      <c r="AL5089" t="s">
        <v>9307</v>
      </c>
      <c r="AM5089" t="s">
        <v>78</v>
      </c>
      <c r="AN5089" t="s">
        <v>78</v>
      </c>
      <c r="AO5089" t="s">
        <v>78</v>
      </c>
      <c r="AP5089" t="s">
        <v>163</v>
      </c>
      <c r="AQ5089">
        <v>1</v>
      </c>
      <c r="AR5089" t="s">
        <v>80</v>
      </c>
      <c r="AS5089" t="s">
        <v>81</v>
      </c>
      <c r="AT5089" t="s">
        <v>58</v>
      </c>
      <c r="AU5089" t="s">
        <v>68</v>
      </c>
      <c r="AV5089" t="s">
        <v>69</v>
      </c>
      <c r="AW5089" s="1">
        <v>24337</v>
      </c>
      <c r="AX5089">
        <v>1</v>
      </c>
    </row>
    <row r="5090" spans="1:50">
      <c r="A5090">
        <v>586620</v>
      </c>
      <c r="B5090" t="str">
        <f>"068054669"</f>
        <v>068054669</v>
      </c>
      <c r="C5090" t="s">
        <v>50</v>
      </c>
      <c r="D5090" t="s">
        <v>1003</v>
      </c>
      <c r="E5090" t="s">
        <v>191</v>
      </c>
      <c r="F5090" t="s">
        <v>95</v>
      </c>
      <c r="G5090" t="s">
        <v>143</v>
      </c>
      <c r="H5090" t="str">
        <f>"Σκινιάς Δήμος Μινώα Πεδιάδος"</f>
        <v>Σκινιάς Δήμος Μινώα Πεδιάδος</v>
      </c>
      <c r="I5090">
        <v>70300</v>
      </c>
      <c r="K5090">
        <v>6972024017</v>
      </c>
      <c r="N5090" t="s">
        <v>615</v>
      </c>
      <c r="O5090" t="s">
        <v>616</v>
      </c>
      <c r="R5090" t="s">
        <v>57</v>
      </c>
      <c r="S5090">
        <v>10</v>
      </c>
      <c r="T5090">
        <v>165</v>
      </c>
      <c r="U5090" s="1">
        <v>36040</v>
      </c>
      <c r="V5090" t="s">
        <v>80</v>
      </c>
      <c r="W5090" t="s">
        <v>81</v>
      </c>
      <c r="X5090" t="s">
        <v>58</v>
      </c>
      <c r="Y5090">
        <v>21</v>
      </c>
      <c r="Z5090" t="s">
        <v>59</v>
      </c>
      <c r="AA5090" t="s">
        <v>59</v>
      </c>
      <c r="AB5090" t="s">
        <v>59</v>
      </c>
      <c r="AC5090" t="s">
        <v>59</v>
      </c>
      <c r="AD5090" t="s">
        <v>59</v>
      </c>
      <c r="AF5090" s="1">
        <v>36045</v>
      </c>
      <c r="AG5090" t="s">
        <v>8645</v>
      </c>
      <c r="AH5090" t="s">
        <v>8646</v>
      </c>
      <c r="AI5090" t="str">
        <f>"9170561"</f>
        <v>9170561</v>
      </c>
      <c r="AJ5090" t="s">
        <v>8708</v>
      </c>
      <c r="AK5090">
        <v>2891023609</v>
      </c>
      <c r="AL5090" t="s">
        <v>8709</v>
      </c>
      <c r="AM5090" t="s">
        <v>78</v>
      </c>
      <c r="AN5090" t="s">
        <v>276</v>
      </c>
      <c r="AO5090" t="s">
        <v>490</v>
      </c>
      <c r="AP5090" t="s">
        <v>490</v>
      </c>
      <c r="AQ5090">
        <v>12</v>
      </c>
      <c r="AR5090" t="s">
        <v>80</v>
      </c>
      <c r="AS5090" t="s">
        <v>81</v>
      </c>
      <c r="AT5090" t="s">
        <v>58</v>
      </c>
      <c r="AU5090" t="s">
        <v>68</v>
      </c>
      <c r="AV5090" t="s">
        <v>69</v>
      </c>
      <c r="AW5090" s="1">
        <v>25051</v>
      </c>
      <c r="AX5090">
        <v>1</v>
      </c>
    </row>
    <row r="5091" spans="1:50">
      <c r="A5091">
        <v>215274</v>
      </c>
      <c r="B5091" t="str">
        <f>"064575318"</f>
        <v>064575318</v>
      </c>
      <c r="C5091" t="s">
        <v>50</v>
      </c>
      <c r="D5091" t="s">
        <v>9308</v>
      </c>
      <c r="E5091" t="s">
        <v>52</v>
      </c>
      <c r="F5091" t="s">
        <v>510</v>
      </c>
      <c r="G5091" t="s">
        <v>414</v>
      </c>
      <c r="H5091" t="str">
        <f>"ΘΟΥΚΙΔΙΔΟΥ 8 ΠΟΡΟΣ - ΗΡΑΚΛΕΙΟ"</f>
        <v>ΘΟΥΚΙΔΙΔΟΥ 8 ΠΟΡΟΣ - ΗΡΑΚΛΕΙΟ</v>
      </c>
      <c r="I5091">
        <v>71307</v>
      </c>
      <c r="J5091">
        <v>2810343954</v>
      </c>
      <c r="K5091">
        <v>6937196069</v>
      </c>
      <c r="L5091">
        <v>2810240412</v>
      </c>
      <c r="N5091" t="s">
        <v>615</v>
      </c>
      <c r="O5091" t="s">
        <v>616</v>
      </c>
      <c r="R5091" t="s">
        <v>57</v>
      </c>
      <c r="S5091">
        <v>9</v>
      </c>
      <c r="T5091">
        <v>231</v>
      </c>
      <c r="U5091" s="1">
        <v>38960</v>
      </c>
      <c r="V5091" t="s">
        <v>80</v>
      </c>
      <c r="W5091" t="s">
        <v>81</v>
      </c>
      <c r="X5091" t="s">
        <v>58</v>
      </c>
      <c r="Y5091">
        <v>22</v>
      </c>
      <c r="Z5091" t="s">
        <v>59</v>
      </c>
      <c r="AA5091" t="s">
        <v>59</v>
      </c>
      <c r="AB5091" t="s">
        <v>59</v>
      </c>
      <c r="AC5091" t="s">
        <v>59</v>
      </c>
      <c r="AD5091" t="s">
        <v>59</v>
      </c>
      <c r="AF5091" s="1">
        <v>38961</v>
      </c>
      <c r="AG5091" t="s">
        <v>8645</v>
      </c>
      <c r="AH5091" t="s">
        <v>8646</v>
      </c>
      <c r="AI5091" t="str">
        <f>"9170264"</f>
        <v>9170264</v>
      </c>
      <c r="AJ5091" t="s">
        <v>8718</v>
      </c>
      <c r="AK5091">
        <v>2810332030</v>
      </c>
      <c r="AL5091" t="s">
        <v>8719</v>
      </c>
      <c r="AM5091" t="s">
        <v>78</v>
      </c>
      <c r="AN5091" t="s">
        <v>78</v>
      </c>
      <c r="AO5091" t="s">
        <v>286</v>
      </c>
      <c r="AP5091" t="s">
        <v>286</v>
      </c>
      <c r="AQ5091">
        <v>1</v>
      </c>
      <c r="AR5091" t="s">
        <v>80</v>
      </c>
      <c r="AS5091" t="s">
        <v>81</v>
      </c>
      <c r="AT5091" t="s">
        <v>58</v>
      </c>
      <c r="AU5091" t="s">
        <v>68</v>
      </c>
      <c r="AV5091" t="s">
        <v>69</v>
      </c>
      <c r="AW5091" s="1">
        <v>27416</v>
      </c>
      <c r="AX5091">
        <v>1</v>
      </c>
    </row>
    <row r="5092" spans="1:50">
      <c r="A5092">
        <v>595074</v>
      </c>
      <c r="B5092" t="str">
        <f>"062717409"</f>
        <v>062717409</v>
      </c>
      <c r="C5092" t="s">
        <v>50</v>
      </c>
      <c r="D5092" t="s">
        <v>9309</v>
      </c>
      <c r="E5092" t="s">
        <v>215</v>
      </c>
      <c r="F5092" t="s">
        <v>609</v>
      </c>
      <c r="G5092" t="s">
        <v>367</v>
      </c>
      <c r="H5092" t="str">
        <f>"ΛΟΥΚΑ ΠΕΤΡΑΚΗ 5 ΤΡΙΑ ΠΕΥΚΑ"</f>
        <v>ΛΟΥΚΑ ΠΕΤΡΑΚΗ 5 ΤΡΙΑ ΠΕΥΚΑ</v>
      </c>
      <c r="I5092">
        <v>71306</v>
      </c>
      <c r="J5092">
        <v>2810228829</v>
      </c>
      <c r="K5092">
        <v>6974205614</v>
      </c>
      <c r="M5092" t="s">
        <v>9310</v>
      </c>
      <c r="N5092" t="s">
        <v>615</v>
      </c>
      <c r="O5092" t="s">
        <v>616</v>
      </c>
      <c r="R5092" t="s">
        <v>57</v>
      </c>
      <c r="S5092">
        <v>10</v>
      </c>
      <c r="T5092">
        <v>218</v>
      </c>
      <c r="U5092" s="1">
        <v>37134</v>
      </c>
      <c r="V5092" t="s">
        <v>80</v>
      </c>
      <c r="W5092" t="s">
        <v>81</v>
      </c>
      <c r="X5092" t="s">
        <v>58</v>
      </c>
      <c r="Y5092">
        <v>22</v>
      </c>
      <c r="Z5092" t="s">
        <v>59</v>
      </c>
      <c r="AA5092" t="s">
        <v>59</v>
      </c>
      <c r="AB5092" t="s">
        <v>59</v>
      </c>
      <c r="AC5092" t="s">
        <v>59</v>
      </c>
      <c r="AD5092" t="s">
        <v>59</v>
      </c>
      <c r="AF5092" s="1">
        <v>37137</v>
      </c>
      <c r="AG5092" t="s">
        <v>8645</v>
      </c>
      <c r="AH5092" t="s">
        <v>8646</v>
      </c>
      <c r="AI5092" t="str">
        <f>"9170196"</f>
        <v>9170196</v>
      </c>
      <c r="AJ5092" t="s">
        <v>9255</v>
      </c>
      <c r="AK5092">
        <v>2810283356</v>
      </c>
      <c r="AL5092" t="s">
        <v>9256</v>
      </c>
      <c r="AM5092" t="s">
        <v>78</v>
      </c>
      <c r="AN5092" t="s">
        <v>78</v>
      </c>
      <c r="AO5092" t="s">
        <v>78</v>
      </c>
      <c r="AP5092" t="s">
        <v>79</v>
      </c>
      <c r="AQ5092">
        <v>1</v>
      </c>
      <c r="AR5092" t="s">
        <v>80</v>
      </c>
      <c r="AS5092" t="s">
        <v>81</v>
      </c>
      <c r="AT5092" t="s">
        <v>58</v>
      </c>
      <c r="AU5092" t="s">
        <v>68</v>
      </c>
      <c r="AV5092" t="s">
        <v>69</v>
      </c>
      <c r="AW5092" s="1">
        <v>26712</v>
      </c>
      <c r="AX5092">
        <v>1</v>
      </c>
    </row>
    <row r="5093" spans="1:50">
      <c r="A5093">
        <v>216876</v>
      </c>
      <c r="B5093" t="str">
        <f>"061148470"</f>
        <v>061148470</v>
      </c>
      <c r="C5093" t="s">
        <v>50</v>
      </c>
      <c r="D5093" t="s">
        <v>9309</v>
      </c>
      <c r="E5093" t="s">
        <v>314</v>
      </c>
      <c r="F5093" t="s">
        <v>95</v>
      </c>
      <c r="G5093" t="s">
        <v>1387</v>
      </c>
      <c r="H5093" t="str">
        <f>"ΛΕΩΦΟΡΟΣ ΗΡΑΚΛΕΙΟΥ 75 ΗΡΑΚΛΕΙΟ"</f>
        <v>ΛΕΩΦΟΡΟΣ ΗΡΑΚΛΕΙΟΥ 75 ΗΡΑΚΛΕΙΟ</v>
      </c>
      <c r="I5093">
        <v>71307</v>
      </c>
      <c r="J5093">
        <v>2891022792</v>
      </c>
      <c r="K5093">
        <v>6947694203</v>
      </c>
      <c r="M5093" t="s">
        <v>9311</v>
      </c>
      <c r="N5093" t="s">
        <v>204</v>
      </c>
      <c r="O5093" t="s">
        <v>205</v>
      </c>
      <c r="R5093" t="s">
        <v>57</v>
      </c>
      <c r="S5093">
        <v>6</v>
      </c>
      <c r="T5093">
        <v>298</v>
      </c>
      <c r="U5093" s="1">
        <v>38985</v>
      </c>
      <c r="V5093" t="s">
        <v>80</v>
      </c>
      <c r="W5093" t="s">
        <v>81</v>
      </c>
      <c r="X5093" t="s">
        <v>58</v>
      </c>
      <c r="Y5093">
        <v>23</v>
      </c>
      <c r="Z5093" t="s">
        <v>59</v>
      </c>
      <c r="AA5093" t="s">
        <v>59</v>
      </c>
      <c r="AB5093" t="s">
        <v>59</v>
      </c>
      <c r="AC5093" t="s">
        <v>59</v>
      </c>
      <c r="AD5093" t="s">
        <v>59</v>
      </c>
      <c r="AF5093" s="1">
        <v>38986</v>
      </c>
      <c r="AG5093" t="s">
        <v>8645</v>
      </c>
      <c r="AH5093" t="s">
        <v>8646</v>
      </c>
      <c r="AI5093" t="str">
        <f>"9170534"</f>
        <v>9170534</v>
      </c>
      <c r="AJ5093" t="s">
        <v>8701</v>
      </c>
      <c r="AK5093">
        <v>2810323225</v>
      </c>
      <c r="AL5093" t="s">
        <v>8702</v>
      </c>
      <c r="AM5093" t="s">
        <v>78</v>
      </c>
      <c r="AN5093" t="s">
        <v>78</v>
      </c>
      <c r="AO5093" t="s">
        <v>78</v>
      </c>
      <c r="AP5093" t="s">
        <v>163</v>
      </c>
      <c r="AQ5093">
        <v>1</v>
      </c>
      <c r="AR5093" t="s">
        <v>80</v>
      </c>
      <c r="AS5093" t="s">
        <v>81</v>
      </c>
      <c r="AT5093" t="s">
        <v>58</v>
      </c>
      <c r="AU5093" t="s">
        <v>68</v>
      </c>
      <c r="AV5093" t="s">
        <v>69</v>
      </c>
      <c r="AW5093" s="1">
        <v>25884</v>
      </c>
      <c r="AX5093">
        <v>1</v>
      </c>
    </row>
    <row r="5094" spans="1:50">
      <c r="B5094" t="str">
        <f>"146496300"</f>
        <v>146496300</v>
      </c>
      <c r="C5094" t="s">
        <v>50</v>
      </c>
      <c r="D5094" t="s">
        <v>9312</v>
      </c>
      <c r="E5094" t="s">
        <v>54</v>
      </c>
      <c r="F5094" t="s">
        <v>53</v>
      </c>
      <c r="G5094" t="s">
        <v>7030</v>
      </c>
      <c r="H5094" t="str">
        <f>" "</f>
        <v xml:space="preserve"> </v>
      </c>
      <c r="N5094" t="s">
        <v>8834</v>
      </c>
      <c r="O5094" t="s">
        <v>8695</v>
      </c>
      <c r="R5094" t="s">
        <v>121</v>
      </c>
      <c r="S5094">
        <v>3</v>
      </c>
      <c r="T5094" t="s">
        <v>8835</v>
      </c>
      <c r="U5094" s="1">
        <v>43348</v>
      </c>
      <c r="V5094" t="s">
        <v>80</v>
      </c>
      <c r="W5094" t="s">
        <v>81</v>
      </c>
      <c r="X5094" t="s">
        <v>58</v>
      </c>
      <c r="Y5094">
        <v>24</v>
      </c>
      <c r="Z5094" t="s">
        <v>59</v>
      </c>
      <c r="AA5094" t="s">
        <v>59</v>
      </c>
      <c r="AB5094" t="s">
        <v>59</v>
      </c>
      <c r="AD5094" t="s">
        <v>59</v>
      </c>
      <c r="AF5094" s="1">
        <v>43348</v>
      </c>
      <c r="AG5094" t="s">
        <v>8645</v>
      </c>
      <c r="AH5094" t="s">
        <v>8646</v>
      </c>
      <c r="AI5094" t="str">
        <f>"9521412"</f>
        <v>9521412</v>
      </c>
      <c r="AJ5094" t="s">
        <v>8787</v>
      </c>
      <c r="AK5094">
        <v>2897025680</v>
      </c>
      <c r="AL5094" t="s">
        <v>8788</v>
      </c>
      <c r="AM5094" t="s">
        <v>78</v>
      </c>
      <c r="AN5094" t="s">
        <v>219</v>
      </c>
      <c r="AO5094" t="s">
        <v>219</v>
      </c>
      <c r="AP5094" t="s">
        <v>219</v>
      </c>
      <c r="AQ5094">
        <v>8</v>
      </c>
      <c r="AR5094" t="s">
        <v>80</v>
      </c>
      <c r="AS5094" t="s">
        <v>81</v>
      </c>
      <c r="AT5094" t="s">
        <v>58</v>
      </c>
      <c r="AU5094" t="s">
        <v>131</v>
      </c>
      <c r="AV5094" t="s">
        <v>132</v>
      </c>
      <c r="AW5094" s="1">
        <v>33488</v>
      </c>
      <c r="AX5094">
        <v>1</v>
      </c>
    </row>
    <row r="5095" spans="1:50">
      <c r="B5095" t="str">
        <f>"149227651"</f>
        <v>149227651</v>
      </c>
      <c r="C5095" t="s">
        <v>50</v>
      </c>
      <c r="D5095" t="s">
        <v>9313</v>
      </c>
      <c r="E5095" t="s">
        <v>396</v>
      </c>
      <c r="F5095" t="s">
        <v>99</v>
      </c>
      <c r="G5095" t="s">
        <v>181</v>
      </c>
      <c r="H5095" t="str">
        <f>" "</f>
        <v xml:space="preserve"> </v>
      </c>
      <c r="N5095" t="s">
        <v>615</v>
      </c>
      <c r="O5095" t="s">
        <v>616</v>
      </c>
      <c r="R5095" t="s">
        <v>121</v>
      </c>
      <c r="S5095">
        <v>1</v>
      </c>
      <c r="T5095" t="s">
        <v>8717</v>
      </c>
      <c r="U5095" s="1">
        <v>43348</v>
      </c>
      <c r="V5095" t="s">
        <v>80</v>
      </c>
      <c r="W5095" t="s">
        <v>81</v>
      </c>
      <c r="X5095" t="s">
        <v>58</v>
      </c>
      <c r="Y5095">
        <v>24</v>
      </c>
      <c r="Z5095" t="s">
        <v>59</v>
      </c>
      <c r="AA5095" t="s">
        <v>59</v>
      </c>
      <c r="AB5095" t="s">
        <v>59</v>
      </c>
      <c r="AC5095" t="s">
        <v>59</v>
      </c>
      <c r="AD5095" t="s">
        <v>59</v>
      </c>
      <c r="AF5095" s="1">
        <v>43348</v>
      </c>
      <c r="AG5095" t="s">
        <v>8645</v>
      </c>
      <c r="AH5095" t="s">
        <v>8646</v>
      </c>
      <c r="AI5095" t="str">
        <f>"9170242"</f>
        <v>9170242</v>
      </c>
      <c r="AJ5095" t="s">
        <v>9314</v>
      </c>
      <c r="AK5095">
        <v>2897031254</v>
      </c>
      <c r="AL5095" t="s">
        <v>9315</v>
      </c>
      <c r="AM5095" t="s">
        <v>78</v>
      </c>
      <c r="AN5095" t="s">
        <v>219</v>
      </c>
      <c r="AO5095" t="s">
        <v>527</v>
      </c>
      <c r="AP5095" t="s">
        <v>527</v>
      </c>
      <c r="AQ5095">
        <v>8</v>
      </c>
      <c r="AR5095" t="s">
        <v>80</v>
      </c>
      <c r="AS5095" t="s">
        <v>81</v>
      </c>
      <c r="AT5095" t="s">
        <v>58</v>
      </c>
      <c r="AU5095" t="s">
        <v>8720</v>
      </c>
      <c r="AV5095" t="s">
        <v>132</v>
      </c>
      <c r="AW5095" s="1">
        <v>32725</v>
      </c>
      <c r="AX5095">
        <v>1</v>
      </c>
    </row>
    <row r="5096" spans="1:50">
      <c r="A5096">
        <v>574935</v>
      </c>
      <c r="B5096" t="str">
        <f>"032569920"</f>
        <v>032569920</v>
      </c>
      <c r="C5096" t="s">
        <v>50</v>
      </c>
      <c r="D5096" t="s">
        <v>9316</v>
      </c>
      <c r="E5096" t="s">
        <v>83</v>
      </c>
      <c r="F5096" t="s">
        <v>72</v>
      </c>
      <c r="G5096" t="s">
        <v>9317</v>
      </c>
      <c r="H5096" t="str">
        <f>"ΒΩΡΟΙ ΗΡΑΚΛΕΙΟ ΚΡΗΤΗΣ"</f>
        <v>ΒΩΡΟΙ ΗΡΑΚΛΕΙΟ ΚΡΗΤΗΣ</v>
      </c>
      <c r="I5096">
        <v>70200</v>
      </c>
      <c r="J5096">
        <v>2892091461</v>
      </c>
      <c r="K5096">
        <v>6948102412</v>
      </c>
      <c r="M5096" t="s">
        <v>9318</v>
      </c>
      <c r="N5096" t="s">
        <v>176</v>
      </c>
      <c r="O5096" t="s">
        <v>177</v>
      </c>
      <c r="R5096" t="s">
        <v>57</v>
      </c>
      <c r="S5096">
        <v>13</v>
      </c>
      <c r="T5096">
        <v>158</v>
      </c>
      <c r="U5096" s="1">
        <v>34582</v>
      </c>
      <c r="V5096" t="s">
        <v>80</v>
      </c>
      <c r="W5096" t="s">
        <v>81</v>
      </c>
      <c r="X5096" t="s">
        <v>58</v>
      </c>
      <c r="Y5096">
        <v>21</v>
      </c>
      <c r="Z5096" t="s">
        <v>59</v>
      </c>
      <c r="AA5096" t="s">
        <v>59</v>
      </c>
      <c r="AB5096" t="s">
        <v>59</v>
      </c>
      <c r="AC5096" t="s">
        <v>59</v>
      </c>
      <c r="AD5096" t="s">
        <v>59</v>
      </c>
      <c r="AF5096" s="1">
        <v>34582</v>
      </c>
      <c r="AG5096" t="s">
        <v>8645</v>
      </c>
      <c r="AH5096" t="s">
        <v>8646</v>
      </c>
      <c r="AI5096" t="str">
        <f>"9170536"</f>
        <v>9170536</v>
      </c>
      <c r="AJ5096" t="s">
        <v>8740</v>
      </c>
      <c r="AK5096">
        <v>2892051187</v>
      </c>
      <c r="AL5096" t="s">
        <v>8741</v>
      </c>
      <c r="AM5096" t="s">
        <v>78</v>
      </c>
      <c r="AN5096" t="s">
        <v>242</v>
      </c>
      <c r="AO5096" t="s">
        <v>349</v>
      </c>
      <c r="AP5096" t="s">
        <v>349</v>
      </c>
      <c r="AQ5096">
        <v>19</v>
      </c>
      <c r="AR5096" t="s">
        <v>80</v>
      </c>
      <c r="AS5096" t="s">
        <v>81</v>
      </c>
      <c r="AT5096" t="s">
        <v>58</v>
      </c>
      <c r="AU5096" t="s">
        <v>68</v>
      </c>
      <c r="AV5096" t="s">
        <v>69</v>
      </c>
      <c r="AW5096" s="1">
        <v>23776</v>
      </c>
      <c r="AX5096">
        <v>1</v>
      </c>
    </row>
    <row r="5097" spans="1:50">
      <c r="B5097" t="str">
        <f>"138997615"</f>
        <v>138997615</v>
      </c>
      <c r="C5097" t="s">
        <v>50</v>
      </c>
      <c r="D5097" t="s">
        <v>9316</v>
      </c>
      <c r="E5097" t="s">
        <v>52</v>
      </c>
      <c r="F5097" t="s">
        <v>84</v>
      </c>
      <c r="G5097" t="s">
        <v>83</v>
      </c>
      <c r="H5097" t="str">
        <f>"ΜΠΕΝΤΕΒΗ 15 ΗΡΑΚΛΕΙΟ"</f>
        <v>ΜΠΕΝΤΕΒΗ 15 ΗΡΑΚΛΕΙΟ</v>
      </c>
      <c r="I5097">
        <v>71307</v>
      </c>
      <c r="J5097">
        <v>2810212838</v>
      </c>
      <c r="K5097">
        <v>6984145843</v>
      </c>
      <c r="N5097" t="s">
        <v>615</v>
      </c>
      <c r="O5097" t="s">
        <v>616</v>
      </c>
      <c r="R5097" t="s">
        <v>159</v>
      </c>
      <c r="S5097">
        <v>3</v>
      </c>
      <c r="T5097" t="s">
        <v>8675</v>
      </c>
      <c r="U5097" s="1">
        <v>43348</v>
      </c>
      <c r="V5097" t="s">
        <v>80</v>
      </c>
      <c r="W5097" t="s">
        <v>81</v>
      </c>
      <c r="X5097" t="s">
        <v>58</v>
      </c>
      <c r="Y5097">
        <v>24</v>
      </c>
      <c r="Z5097" t="s">
        <v>59</v>
      </c>
      <c r="AA5097" t="s">
        <v>59</v>
      </c>
      <c r="AB5097" t="s">
        <v>59</v>
      </c>
      <c r="AC5097" t="s">
        <v>59</v>
      </c>
      <c r="AD5097" t="s">
        <v>59</v>
      </c>
      <c r="AF5097" s="1">
        <v>43348</v>
      </c>
      <c r="AG5097" t="s">
        <v>8645</v>
      </c>
      <c r="AH5097" t="s">
        <v>8646</v>
      </c>
      <c r="AI5097" t="str">
        <f>"9170086"</f>
        <v>9170086</v>
      </c>
      <c r="AJ5097" t="s">
        <v>9319</v>
      </c>
      <c r="AK5097">
        <v>2893051257</v>
      </c>
      <c r="AL5097" t="s">
        <v>9320</v>
      </c>
      <c r="AM5097" t="s">
        <v>78</v>
      </c>
      <c r="AN5097" t="s">
        <v>424</v>
      </c>
      <c r="AO5097" t="s">
        <v>577</v>
      </c>
      <c r="AP5097" t="s">
        <v>723</v>
      </c>
      <c r="AQ5097">
        <v>9</v>
      </c>
      <c r="AR5097" t="s">
        <v>80</v>
      </c>
      <c r="AS5097" t="s">
        <v>81</v>
      </c>
      <c r="AT5097" t="s">
        <v>58</v>
      </c>
      <c r="AU5097" t="s">
        <v>8673</v>
      </c>
      <c r="AV5097" t="s">
        <v>132</v>
      </c>
      <c r="AW5097" s="1">
        <v>31882</v>
      </c>
      <c r="AX5097">
        <v>1</v>
      </c>
    </row>
    <row r="5098" spans="1:50">
      <c r="A5098">
        <v>215132</v>
      </c>
      <c r="B5098" t="str">
        <f>"046385619"</f>
        <v>046385619</v>
      </c>
      <c r="C5098" t="s">
        <v>50</v>
      </c>
      <c r="D5098" t="s">
        <v>7057</v>
      </c>
      <c r="E5098" t="s">
        <v>83</v>
      </c>
      <c r="F5098" t="s">
        <v>166</v>
      </c>
      <c r="G5098" t="s">
        <v>73</v>
      </c>
      <c r="H5098" t="str">
        <f>" "</f>
        <v xml:space="preserve"> </v>
      </c>
      <c r="J5098">
        <v>2810316673</v>
      </c>
      <c r="K5098">
        <v>6934762454</v>
      </c>
      <c r="L5098">
        <v>6975424282</v>
      </c>
      <c r="M5098" t="s">
        <v>9321</v>
      </c>
      <c r="N5098" t="s">
        <v>615</v>
      </c>
      <c r="O5098" t="s">
        <v>616</v>
      </c>
      <c r="R5098" t="s">
        <v>57</v>
      </c>
      <c r="S5098">
        <v>8</v>
      </c>
      <c r="T5098">
        <v>231</v>
      </c>
      <c r="U5098" s="1">
        <v>38960</v>
      </c>
      <c r="V5098" t="s">
        <v>80</v>
      </c>
      <c r="W5098" t="s">
        <v>81</v>
      </c>
      <c r="X5098" t="s">
        <v>58</v>
      </c>
      <c r="Y5098">
        <v>22</v>
      </c>
      <c r="Z5098" t="s">
        <v>59</v>
      </c>
      <c r="AA5098" t="s">
        <v>59</v>
      </c>
      <c r="AB5098" t="s">
        <v>59</v>
      </c>
      <c r="AC5098" t="s">
        <v>59</v>
      </c>
      <c r="AD5098" t="s">
        <v>59</v>
      </c>
      <c r="AF5098" s="1">
        <v>38961</v>
      </c>
      <c r="AG5098" t="s">
        <v>8645</v>
      </c>
      <c r="AH5098" t="s">
        <v>8646</v>
      </c>
      <c r="AI5098" t="str">
        <f>"9170058"</f>
        <v>9170058</v>
      </c>
      <c r="AJ5098" t="s">
        <v>8735</v>
      </c>
      <c r="AK5098">
        <v>2810252903</v>
      </c>
      <c r="AL5098" t="s">
        <v>8736</v>
      </c>
      <c r="AM5098" t="s">
        <v>78</v>
      </c>
      <c r="AN5098" t="s">
        <v>78</v>
      </c>
      <c r="AO5098" t="s">
        <v>78</v>
      </c>
      <c r="AP5098" t="s">
        <v>163</v>
      </c>
      <c r="AQ5098">
        <v>1</v>
      </c>
      <c r="AR5098" t="s">
        <v>80</v>
      </c>
      <c r="AS5098" t="s">
        <v>81</v>
      </c>
      <c r="AT5098" t="s">
        <v>58</v>
      </c>
      <c r="AU5098" t="s">
        <v>68</v>
      </c>
      <c r="AV5098" t="s">
        <v>69</v>
      </c>
      <c r="AW5098" s="1">
        <v>25982</v>
      </c>
      <c r="AX5098">
        <v>1</v>
      </c>
    </row>
    <row r="5099" spans="1:50">
      <c r="B5099" t="str">
        <f>"118940226"</f>
        <v>118940226</v>
      </c>
      <c r="C5099" t="s">
        <v>50</v>
      </c>
      <c r="D5099" t="s">
        <v>9322</v>
      </c>
      <c r="E5099" t="s">
        <v>699</v>
      </c>
      <c r="F5099" t="s">
        <v>53</v>
      </c>
      <c r="H5099" t="str">
        <f>" "</f>
        <v xml:space="preserve"> </v>
      </c>
      <c r="N5099" t="s">
        <v>1525</v>
      </c>
      <c r="O5099" t="s">
        <v>1526</v>
      </c>
      <c r="R5099" t="s">
        <v>159</v>
      </c>
      <c r="S5099">
        <v>4</v>
      </c>
      <c r="T5099" t="s">
        <v>8670</v>
      </c>
      <c r="U5099" s="1">
        <v>43348</v>
      </c>
      <c r="V5099" t="s">
        <v>80</v>
      </c>
      <c r="W5099" t="s">
        <v>81</v>
      </c>
      <c r="X5099" t="s">
        <v>58</v>
      </c>
      <c r="Y5099">
        <v>25</v>
      </c>
      <c r="Z5099" t="s">
        <v>59</v>
      </c>
      <c r="AA5099" t="s">
        <v>59</v>
      </c>
      <c r="AB5099" t="s">
        <v>59</v>
      </c>
      <c r="AC5099" t="s">
        <v>59</v>
      </c>
      <c r="AD5099" t="s">
        <v>59</v>
      </c>
      <c r="AF5099" s="1">
        <v>43348</v>
      </c>
      <c r="AG5099" t="s">
        <v>8651</v>
      </c>
      <c r="AH5099" t="s">
        <v>8652</v>
      </c>
      <c r="AI5099" t="str">
        <f>"9170357"</f>
        <v>9170357</v>
      </c>
      <c r="AJ5099" t="s">
        <v>9323</v>
      </c>
      <c r="AK5099">
        <v>2894031009</v>
      </c>
      <c r="AL5099" t="s">
        <v>9324</v>
      </c>
      <c r="AM5099" t="s">
        <v>78</v>
      </c>
      <c r="AN5099" t="s">
        <v>242</v>
      </c>
      <c r="AO5099" t="s">
        <v>999</v>
      </c>
      <c r="AP5099" t="s">
        <v>999</v>
      </c>
      <c r="AQ5099">
        <v>21</v>
      </c>
      <c r="AR5099" t="s">
        <v>80</v>
      </c>
      <c r="AS5099" t="s">
        <v>81</v>
      </c>
      <c r="AT5099" t="s">
        <v>58</v>
      </c>
      <c r="AU5099" t="s">
        <v>8673</v>
      </c>
      <c r="AV5099" t="s">
        <v>132</v>
      </c>
      <c r="AW5099" s="1">
        <v>30170</v>
      </c>
      <c r="AX5099">
        <v>1</v>
      </c>
    </row>
    <row r="5100" spans="1:50">
      <c r="B5100" t="str">
        <f>"128593637"</f>
        <v>128593637</v>
      </c>
      <c r="C5100" t="s">
        <v>50</v>
      </c>
      <c r="D5100" t="s">
        <v>4693</v>
      </c>
      <c r="E5100" t="s">
        <v>9325</v>
      </c>
      <c r="F5100" t="s">
        <v>72</v>
      </c>
      <c r="G5100" t="s">
        <v>316</v>
      </c>
      <c r="H5100" t="str">
        <f>"ΦΙΛΑΔΕΛΦΕΙΑΣ 118 "</f>
        <v xml:space="preserve">ΦΙΛΑΔΕΛΦΕΙΑΣ 118 </v>
      </c>
      <c r="I5100">
        <v>38445</v>
      </c>
      <c r="J5100">
        <v>2421081543</v>
      </c>
      <c r="K5100">
        <v>6939633615</v>
      </c>
      <c r="N5100" t="s">
        <v>615</v>
      </c>
      <c r="O5100" t="s">
        <v>616</v>
      </c>
      <c r="R5100" t="s">
        <v>159</v>
      </c>
      <c r="S5100">
        <v>3</v>
      </c>
      <c r="T5100" t="s">
        <v>8675</v>
      </c>
      <c r="U5100" s="1">
        <v>43348</v>
      </c>
      <c r="V5100" t="s">
        <v>80</v>
      </c>
      <c r="W5100" t="s">
        <v>81</v>
      </c>
      <c r="X5100" t="s">
        <v>58</v>
      </c>
      <c r="Y5100">
        <v>24</v>
      </c>
      <c r="Z5100" t="s">
        <v>59</v>
      </c>
      <c r="AA5100" t="s">
        <v>59</v>
      </c>
      <c r="AB5100" t="s">
        <v>59</v>
      </c>
      <c r="AC5100" t="s">
        <v>59</v>
      </c>
      <c r="AD5100" t="s">
        <v>59</v>
      </c>
      <c r="AF5100" s="1">
        <v>43348</v>
      </c>
      <c r="AG5100" t="s">
        <v>8645</v>
      </c>
      <c r="AH5100" t="s">
        <v>8646</v>
      </c>
      <c r="AI5100" t="str">
        <f>"9521015"</f>
        <v>9521015</v>
      </c>
      <c r="AJ5100" t="s">
        <v>8927</v>
      </c>
      <c r="AK5100">
        <v>2897029138</v>
      </c>
      <c r="AL5100" t="s">
        <v>8928</v>
      </c>
      <c r="AM5100" t="s">
        <v>78</v>
      </c>
      <c r="AN5100" t="s">
        <v>219</v>
      </c>
      <c r="AO5100" t="s">
        <v>219</v>
      </c>
      <c r="AP5100" t="s">
        <v>220</v>
      </c>
      <c r="AQ5100">
        <v>8</v>
      </c>
      <c r="AR5100" t="s">
        <v>80</v>
      </c>
      <c r="AS5100" t="s">
        <v>81</v>
      </c>
      <c r="AT5100" t="s">
        <v>58</v>
      </c>
      <c r="AU5100" t="s">
        <v>8673</v>
      </c>
      <c r="AV5100" t="s">
        <v>132</v>
      </c>
      <c r="AW5100" s="1">
        <v>32076</v>
      </c>
      <c r="AX5100">
        <v>1</v>
      </c>
    </row>
    <row r="5101" spans="1:50">
      <c r="B5101" t="str">
        <f>"064904118"</f>
        <v>064904118</v>
      </c>
      <c r="C5101" t="s">
        <v>50</v>
      </c>
      <c r="D5101" t="s">
        <v>1044</v>
      </c>
      <c r="E5101" t="s">
        <v>314</v>
      </c>
      <c r="F5101" t="s">
        <v>920</v>
      </c>
      <c r="G5101" t="s">
        <v>4717</v>
      </c>
      <c r="H5101" t="str">
        <f>"ΕΥΡΙΠΙΔΟΥ 27   ΘΕΣΣΑΛΟΝΙΚΗ"</f>
        <v>ΕΥΡΙΠΙΔΟΥ 27   ΘΕΣΣΑΛΟΝΙΚΗ</v>
      </c>
      <c r="I5101">
        <v>55134</v>
      </c>
      <c r="J5101">
        <v>2310433031</v>
      </c>
      <c r="K5101">
        <v>6945851917</v>
      </c>
      <c r="N5101" t="s">
        <v>204</v>
      </c>
      <c r="O5101" t="s">
        <v>205</v>
      </c>
      <c r="R5101" t="s">
        <v>159</v>
      </c>
      <c r="S5101">
        <v>3</v>
      </c>
      <c r="T5101" t="s">
        <v>8675</v>
      </c>
      <c r="U5101" s="1">
        <v>43348</v>
      </c>
      <c r="V5101" t="s">
        <v>80</v>
      </c>
      <c r="W5101" t="s">
        <v>81</v>
      </c>
      <c r="X5101" t="s">
        <v>58</v>
      </c>
      <c r="Y5101">
        <v>24</v>
      </c>
      <c r="Z5101" t="s">
        <v>59</v>
      </c>
      <c r="AA5101" t="s">
        <v>59</v>
      </c>
      <c r="AB5101" t="s">
        <v>59</v>
      </c>
      <c r="AC5101" t="s">
        <v>59</v>
      </c>
      <c r="AD5101" t="s">
        <v>59</v>
      </c>
      <c r="AF5101" s="1">
        <v>43348</v>
      </c>
      <c r="AG5101" t="s">
        <v>8645</v>
      </c>
      <c r="AH5101" t="s">
        <v>8646</v>
      </c>
      <c r="AI5101" t="str">
        <f>"9170427"</f>
        <v>9170427</v>
      </c>
      <c r="AJ5101" t="s">
        <v>8817</v>
      </c>
      <c r="AK5101">
        <v>2810220998</v>
      </c>
      <c r="AL5101" t="s">
        <v>8818</v>
      </c>
      <c r="AM5101" t="s">
        <v>78</v>
      </c>
      <c r="AN5101" t="s">
        <v>78</v>
      </c>
      <c r="AO5101" t="s">
        <v>286</v>
      </c>
      <c r="AP5101" t="s">
        <v>286</v>
      </c>
      <c r="AQ5101">
        <v>1</v>
      </c>
      <c r="AR5101" t="s">
        <v>80</v>
      </c>
      <c r="AS5101" t="s">
        <v>81</v>
      </c>
      <c r="AT5101" t="s">
        <v>58</v>
      </c>
      <c r="AU5101" t="s">
        <v>8673</v>
      </c>
      <c r="AV5101" t="s">
        <v>132</v>
      </c>
      <c r="AW5101" s="1">
        <v>29853</v>
      </c>
      <c r="AX5101">
        <v>1</v>
      </c>
    </row>
    <row r="5102" spans="1:50">
      <c r="B5102" t="str">
        <f>"151253356"</f>
        <v>151253356</v>
      </c>
      <c r="C5102" t="s">
        <v>105</v>
      </c>
      <c r="D5102" t="s">
        <v>9326</v>
      </c>
      <c r="E5102" t="s">
        <v>108</v>
      </c>
      <c r="F5102" t="s">
        <v>53</v>
      </c>
      <c r="G5102" t="s">
        <v>191</v>
      </c>
      <c r="H5102" t="str">
        <f>"ΑΠΟΛΛΩΝΙΟΥ ΡΟΔΙΟΥ 44 "</f>
        <v xml:space="preserve">ΑΠΟΛΛΩΝΙΟΥ ΡΟΔΙΟΥ 44 </v>
      </c>
      <c r="I5102">
        <v>71305</v>
      </c>
      <c r="J5102">
        <v>2810232690</v>
      </c>
      <c r="K5102">
        <v>6973723376</v>
      </c>
      <c r="N5102" t="s">
        <v>615</v>
      </c>
      <c r="O5102" t="s">
        <v>616</v>
      </c>
      <c r="R5102" t="s">
        <v>159</v>
      </c>
      <c r="S5102">
        <v>3</v>
      </c>
      <c r="T5102" t="s">
        <v>8675</v>
      </c>
      <c r="U5102" s="1">
        <v>43348</v>
      </c>
      <c r="V5102" t="s">
        <v>80</v>
      </c>
      <c r="W5102" t="s">
        <v>81</v>
      </c>
      <c r="X5102" t="s">
        <v>58</v>
      </c>
      <c r="Y5102">
        <v>25</v>
      </c>
      <c r="Z5102" t="s">
        <v>59</v>
      </c>
      <c r="AA5102" t="s">
        <v>59</v>
      </c>
      <c r="AB5102" t="s">
        <v>59</v>
      </c>
      <c r="AC5102" t="s">
        <v>59</v>
      </c>
      <c r="AD5102" t="s">
        <v>59</v>
      </c>
      <c r="AF5102" s="1">
        <v>43348</v>
      </c>
      <c r="AG5102" t="s">
        <v>8645</v>
      </c>
      <c r="AH5102" t="s">
        <v>8676</v>
      </c>
      <c r="AI5102" t="str">
        <f>"9170279"</f>
        <v>9170279</v>
      </c>
      <c r="AJ5102" t="s">
        <v>9327</v>
      </c>
      <c r="AK5102">
        <v>2894031022</v>
      </c>
      <c r="AL5102" t="s">
        <v>9328</v>
      </c>
      <c r="AM5102" t="s">
        <v>78</v>
      </c>
      <c r="AN5102" t="s">
        <v>242</v>
      </c>
      <c r="AO5102" t="s">
        <v>999</v>
      </c>
      <c r="AP5102" t="s">
        <v>9222</v>
      </c>
      <c r="AQ5102">
        <v>21</v>
      </c>
      <c r="AR5102" t="s">
        <v>80</v>
      </c>
      <c r="AS5102" t="s">
        <v>81</v>
      </c>
      <c r="AT5102" t="s">
        <v>58</v>
      </c>
      <c r="AU5102" t="s">
        <v>8673</v>
      </c>
      <c r="AV5102" t="s">
        <v>132</v>
      </c>
      <c r="AW5102" s="1">
        <v>31654</v>
      </c>
      <c r="AX5102">
        <v>1</v>
      </c>
    </row>
    <row r="5103" spans="1:50">
      <c r="B5103" t="str">
        <f>"063814164"</f>
        <v>063814164</v>
      </c>
      <c r="C5103" t="s">
        <v>50</v>
      </c>
      <c r="D5103" t="s">
        <v>9329</v>
      </c>
      <c r="E5103" t="s">
        <v>83</v>
      </c>
      <c r="F5103" t="s">
        <v>900</v>
      </c>
      <c r="G5103" t="s">
        <v>250</v>
      </c>
      <c r="H5103" t="str">
        <f>"ΠΑΡΑΣΚΕΥΟΠΟΥΛΟΥ 35 ΗΡΑΚΛΕΙΟ"</f>
        <v>ΠΑΡΑΣΚΕΥΟΠΟΥΛΟΥ 35 ΗΡΑΚΛΕΙΟ</v>
      </c>
      <c r="I5103">
        <v>71307</v>
      </c>
      <c r="J5103">
        <v>2810320279</v>
      </c>
      <c r="K5103">
        <v>6936269953</v>
      </c>
      <c r="N5103" t="s">
        <v>8694</v>
      </c>
      <c r="O5103" t="s">
        <v>8695</v>
      </c>
      <c r="R5103" t="s">
        <v>159</v>
      </c>
      <c r="S5103">
        <v>4</v>
      </c>
      <c r="T5103" t="s">
        <v>8696</v>
      </c>
      <c r="U5103" s="1">
        <v>43348</v>
      </c>
      <c r="V5103" t="s">
        <v>80</v>
      </c>
      <c r="W5103" t="s">
        <v>81</v>
      </c>
      <c r="X5103" t="s">
        <v>58</v>
      </c>
      <c r="Y5103">
        <v>24</v>
      </c>
      <c r="Z5103" t="s">
        <v>59</v>
      </c>
      <c r="AA5103" t="s">
        <v>59</v>
      </c>
      <c r="AB5103" t="s">
        <v>59</v>
      </c>
      <c r="AC5103" t="s">
        <v>59</v>
      </c>
      <c r="AD5103" t="s">
        <v>59</v>
      </c>
      <c r="AF5103" s="1">
        <v>43348</v>
      </c>
      <c r="AG5103" t="s">
        <v>8645</v>
      </c>
      <c r="AH5103" t="s">
        <v>8646</v>
      </c>
      <c r="AI5103" t="str">
        <f>"9170109"</f>
        <v>9170109</v>
      </c>
      <c r="AJ5103" t="s">
        <v>9056</v>
      </c>
      <c r="AK5103">
        <v>2810212659</v>
      </c>
      <c r="AL5103" t="s">
        <v>9057</v>
      </c>
      <c r="AM5103" t="s">
        <v>78</v>
      </c>
      <c r="AN5103" t="s">
        <v>78</v>
      </c>
      <c r="AO5103" t="s">
        <v>78</v>
      </c>
      <c r="AP5103" t="s">
        <v>163</v>
      </c>
      <c r="AQ5103">
        <v>1</v>
      </c>
      <c r="AR5103" t="s">
        <v>80</v>
      </c>
      <c r="AS5103" t="s">
        <v>81</v>
      </c>
      <c r="AT5103" t="s">
        <v>58</v>
      </c>
      <c r="AU5103" t="s">
        <v>350</v>
      </c>
      <c r="AV5103" t="s">
        <v>132</v>
      </c>
      <c r="AW5103" s="1">
        <v>31447</v>
      </c>
      <c r="AX5103">
        <v>1</v>
      </c>
    </row>
    <row r="5104" spans="1:50">
      <c r="A5104">
        <v>608999</v>
      </c>
      <c r="B5104" t="str">
        <f>"044019010"</f>
        <v>044019010</v>
      </c>
      <c r="C5104" t="s">
        <v>105</v>
      </c>
      <c r="D5104" t="s">
        <v>1046</v>
      </c>
      <c r="E5104" t="s">
        <v>99</v>
      </c>
      <c r="F5104" t="s">
        <v>311</v>
      </c>
      <c r="G5104" t="s">
        <v>112</v>
      </c>
      <c r="H5104" t="str">
        <f>"ΠΕΤΡΟΚΕΦΑΛΙ ΗΡΑΚΛΕΙΟ"</f>
        <v>ΠΕΤΡΟΚΕΦΑΛΙ ΗΡΑΚΛΕΙΟ</v>
      </c>
      <c r="I5104">
        <v>70400</v>
      </c>
      <c r="J5104">
        <v>2892042292</v>
      </c>
      <c r="K5104">
        <v>6955643584</v>
      </c>
      <c r="N5104" t="s">
        <v>176</v>
      </c>
      <c r="O5104" t="s">
        <v>177</v>
      </c>
      <c r="R5104" t="s">
        <v>57</v>
      </c>
      <c r="S5104">
        <v>6</v>
      </c>
      <c r="T5104">
        <v>217</v>
      </c>
      <c r="U5104" s="1">
        <v>38596</v>
      </c>
      <c r="V5104" t="s">
        <v>80</v>
      </c>
      <c r="W5104" t="s">
        <v>81</v>
      </c>
      <c r="X5104" t="s">
        <v>58</v>
      </c>
      <c r="Y5104">
        <v>23</v>
      </c>
      <c r="Z5104" t="s">
        <v>59</v>
      </c>
      <c r="AA5104" t="s">
        <v>59</v>
      </c>
      <c r="AB5104" t="s">
        <v>59</v>
      </c>
      <c r="AC5104" t="s">
        <v>59</v>
      </c>
      <c r="AD5104" t="s">
        <v>59</v>
      </c>
      <c r="AF5104" s="1">
        <v>38600</v>
      </c>
      <c r="AG5104" t="s">
        <v>8645</v>
      </c>
      <c r="AH5104" t="s">
        <v>8646</v>
      </c>
      <c r="AI5104" t="str">
        <f>"9170295"</f>
        <v>9170295</v>
      </c>
      <c r="AJ5104" t="s">
        <v>9283</v>
      </c>
      <c r="AK5104">
        <v>2892042231</v>
      </c>
      <c r="AL5104" t="s">
        <v>9284</v>
      </c>
      <c r="AM5104" t="s">
        <v>78</v>
      </c>
      <c r="AN5104" t="s">
        <v>242</v>
      </c>
      <c r="AO5104" t="s">
        <v>243</v>
      </c>
      <c r="AP5104" t="s">
        <v>9285</v>
      </c>
      <c r="AQ5104">
        <v>18</v>
      </c>
      <c r="AR5104" t="s">
        <v>80</v>
      </c>
      <c r="AS5104" t="s">
        <v>81</v>
      </c>
      <c r="AT5104" t="s">
        <v>58</v>
      </c>
      <c r="AU5104" t="s">
        <v>68</v>
      </c>
      <c r="AV5104" t="s">
        <v>69</v>
      </c>
      <c r="AW5104" s="1">
        <v>23900</v>
      </c>
      <c r="AX5104">
        <v>1</v>
      </c>
    </row>
    <row r="5105" spans="1:50">
      <c r="A5105">
        <v>607117</v>
      </c>
      <c r="B5105" t="str">
        <f>"128316382"</f>
        <v>128316382</v>
      </c>
      <c r="C5105" t="s">
        <v>50</v>
      </c>
      <c r="D5105" t="s">
        <v>3857</v>
      </c>
      <c r="E5105" t="s">
        <v>964</v>
      </c>
      <c r="F5105" t="s">
        <v>670</v>
      </c>
      <c r="G5105" t="s">
        <v>52</v>
      </c>
      <c r="H5105" t="str">
        <f>"ΧΡΙΣΤΟΦΟΡΟΥ ΚΟΛΟΜΒΟΥ 4 ΗΡΑΚΛΕΙΟ"</f>
        <v>ΧΡΙΣΤΟΦΟΡΟΥ ΚΟΛΟΜΒΟΥ 4 ΗΡΑΚΛΕΙΟ</v>
      </c>
      <c r="J5105">
        <v>2105984179</v>
      </c>
      <c r="K5105">
        <v>6934576886</v>
      </c>
      <c r="N5105" t="s">
        <v>615</v>
      </c>
      <c r="O5105" t="s">
        <v>616</v>
      </c>
      <c r="R5105" t="s">
        <v>57</v>
      </c>
      <c r="S5105">
        <v>7</v>
      </c>
      <c r="T5105">
        <v>217</v>
      </c>
      <c r="U5105" s="1">
        <v>38596</v>
      </c>
      <c r="V5105" t="s">
        <v>80</v>
      </c>
      <c r="W5105" t="s">
        <v>81</v>
      </c>
      <c r="X5105" t="s">
        <v>58</v>
      </c>
      <c r="Y5105">
        <v>22</v>
      </c>
      <c r="Z5105" t="s">
        <v>59</v>
      </c>
      <c r="AA5105" t="s">
        <v>59</v>
      </c>
      <c r="AB5105" t="s">
        <v>59</v>
      </c>
      <c r="AC5105" t="s">
        <v>59</v>
      </c>
      <c r="AD5105" t="s">
        <v>59</v>
      </c>
      <c r="AF5105" s="1">
        <v>38600</v>
      </c>
      <c r="AG5105" t="s">
        <v>8645</v>
      </c>
      <c r="AH5105" t="s">
        <v>8646</v>
      </c>
      <c r="AI5105" t="str">
        <f>"9170535"</f>
        <v>9170535</v>
      </c>
      <c r="AJ5105" t="s">
        <v>9330</v>
      </c>
      <c r="AK5105">
        <v>2810222629</v>
      </c>
      <c r="AL5105" t="s">
        <v>9331</v>
      </c>
      <c r="AM5105" t="s">
        <v>78</v>
      </c>
      <c r="AN5105" t="s">
        <v>78</v>
      </c>
      <c r="AO5105" t="s">
        <v>78</v>
      </c>
      <c r="AP5105" t="s">
        <v>213</v>
      </c>
      <c r="AQ5105">
        <v>1</v>
      </c>
      <c r="AR5105" t="s">
        <v>80</v>
      </c>
      <c r="AS5105" t="s">
        <v>81</v>
      </c>
      <c r="AT5105" t="s">
        <v>58</v>
      </c>
      <c r="AU5105" t="s">
        <v>68</v>
      </c>
      <c r="AV5105" t="s">
        <v>69</v>
      </c>
      <c r="AW5105" s="1">
        <v>27401</v>
      </c>
      <c r="AX5105">
        <v>1</v>
      </c>
    </row>
    <row r="5106" spans="1:50">
      <c r="A5106">
        <v>575193</v>
      </c>
      <c r="B5106" t="str">
        <f>"034689570"</f>
        <v>034689570</v>
      </c>
      <c r="C5106" t="s">
        <v>50</v>
      </c>
      <c r="D5106" t="s">
        <v>3857</v>
      </c>
      <c r="E5106" t="s">
        <v>9332</v>
      </c>
      <c r="F5106" t="s">
        <v>84</v>
      </c>
      <c r="G5106" t="s">
        <v>3477</v>
      </c>
      <c r="H5106" t="str">
        <f>"Κων/νου Πετράκη 11 "</f>
        <v xml:space="preserve">Κων/νου Πετράκη 11 </v>
      </c>
      <c r="I5106">
        <v>71601</v>
      </c>
      <c r="J5106">
        <v>2810341924</v>
      </c>
      <c r="K5106">
        <v>6978479753</v>
      </c>
      <c r="M5106" t="s">
        <v>9333</v>
      </c>
      <c r="N5106" t="s">
        <v>615</v>
      </c>
      <c r="O5106" t="s">
        <v>616</v>
      </c>
      <c r="R5106" t="s">
        <v>57</v>
      </c>
      <c r="S5106">
        <v>13</v>
      </c>
      <c r="T5106">
        <v>184</v>
      </c>
      <c r="U5106" s="1">
        <v>34941</v>
      </c>
      <c r="V5106" t="s">
        <v>80</v>
      </c>
      <c r="W5106" t="s">
        <v>81</v>
      </c>
      <c r="X5106" t="s">
        <v>58</v>
      </c>
      <c r="Y5106">
        <v>21</v>
      </c>
      <c r="Z5106" t="s">
        <v>59</v>
      </c>
      <c r="AA5106" t="s">
        <v>59</v>
      </c>
      <c r="AB5106" t="s">
        <v>59</v>
      </c>
      <c r="AC5106" t="s">
        <v>59</v>
      </c>
      <c r="AD5106" t="s">
        <v>59</v>
      </c>
      <c r="AF5106" s="1">
        <v>34946</v>
      </c>
      <c r="AG5106" t="s">
        <v>8645</v>
      </c>
      <c r="AH5106" t="s">
        <v>8646</v>
      </c>
      <c r="AI5106" t="str">
        <f>"9170259"</f>
        <v>9170259</v>
      </c>
      <c r="AJ5106" t="s">
        <v>8784</v>
      </c>
      <c r="AK5106">
        <v>6994891960</v>
      </c>
      <c r="AL5106" t="s">
        <v>8785</v>
      </c>
      <c r="AM5106" t="s">
        <v>78</v>
      </c>
      <c r="AN5106" t="s">
        <v>78</v>
      </c>
      <c r="AO5106" t="s">
        <v>78</v>
      </c>
      <c r="AP5106" t="s">
        <v>213</v>
      </c>
      <c r="AQ5106">
        <v>1</v>
      </c>
      <c r="AR5106" t="s">
        <v>80</v>
      </c>
      <c r="AS5106" t="s">
        <v>81</v>
      </c>
      <c r="AT5106" t="s">
        <v>58</v>
      </c>
      <c r="AU5106" t="s">
        <v>68</v>
      </c>
      <c r="AV5106" t="s">
        <v>69</v>
      </c>
      <c r="AW5106" s="1">
        <v>24084</v>
      </c>
      <c r="AX5106">
        <v>1</v>
      </c>
    </row>
    <row r="5107" spans="1:50">
      <c r="B5107" t="str">
        <f>"149853244"</f>
        <v>149853244</v>
      </c>
      <c r="C5107" t="s">
        <v>50</v>
      </c>
      <c r="D5107" t="s">
        <v>9334</v>
      </c>
      <c r="E5107" t="s">
        <v>396</v>
      </c>
      <c r="F5107" t="s">
        <v>95</v>
      </c>
      <c r="G5107" t="s">
        <v>484</v>
      </c>
      <c r="H5107" t="str">
        <f>" "</f>
        <v xml:space="preserve"> </v>
      </c>
      <c r="N5107" t="s">
        <v>615</v>
      </c>
      <c r="O5107" t="s">
        <v>616</v>
      </c>
      <c r="R5107" t="s">
        <v>121</v>
      </c>
      <c r="S5107">
        <v>1</v>
      </c>
      <c r="T5107" t="s">
        <v>8717</v>
      </c>
      <c r="U5107" s="1">
        <v>43348</v>
      </c>
      <c r="V5107" t="s">
        <v>80</v>
      </c>
      <c r="W5107" t="s">
        <v>81</v>
      </c>
      <c r="X5107" t="s">
        <v>58</v>
      </c>
      <c r="Y5107">
        <v>24</v>
      </c>
      <c r="Z5107" t="s">
        <v>59</v>
      </c>
      <c r="AA5107" t="s">
        <v>59</v>
      </c>
      <c r="AB5107" t="s">
        <v>59</v>
      </c>
      <c r="AD5107" t="s">
        <v>59</v>
      </c>
      <c r="AF5107" s="1">
        <v>43348</v>
      </c>
      <c r="AG5107" t="s">
        <v>8645</v>
      </c>
      <c r="AH5107" t="s">
        <v>8646</v>
      </c>
      <c r="AI5107" t="str">
        <f>"9170056"</f>
        <v>9170056</v>
      </c>
      <c r="AJ5107" t="s">
        <v>9137</v>
      </c>
      <c r="AK5107">
        <v>2810253392</v>
      </c>
      <c r="AL5107" t="s">
        <v>9138</v>
      </c>
      <c r="AM5107" t="s">
        <v>78</v>
      </c>
      <c r="AN5107" t="s">
        <v>78</v>
      </c>
      <c r="AO5107" t="s">
        <v>78</v>
      </c>
      <c r="AP5107" t="s">
        <v>141</v>
      </c>
      <c r="AQ5107">
        <v>1</v>
      </c>
      <c r="AR5107" t="s">
        <v>80</v>
      </c>
      <c r="AS5107" t="s">
        <v>81</v>
      </c>
      <c r="AT5107" t="s">
        <v>58</v>
      </c>
      <c r="AU5107" t="s">
        <v>8720</v>
      </c>
      <c r="AV5107" t="s">
        <v>132</v>
      </c>
      <c r="AW5107" s="1">
        <v>32692</v>
      </c>
      <c r="AX5107">
        <v>1</v>
      </c>
    </row>
    <row r="5108" spans="1:50">
      <c r="B5108" t="str">
        <f>"129966782"</f>
        <v>129966782</v>
      </c>
      <c r="C5108" t="s">
        <v>50</v>
      </c>
      <c r="D5108" t="s">
        <v>9335</v>
      </c>
      <c r="E5108" t="s">
        <v>372</v>
      </c>
      <c r="F5108" t="s">
        <v>72</v>
      </c>
      <c r="G5108" t="s">
        <v>9336</v>
      </c>
      <c r="H5108" t="str">
        <f>"ΕΚΒΑΤΑΝΩΝ 5 "</f>
        <v xml:space="preserve">ΕΚΒΑΤΑΝΩΝ 5 </v>
      </c>
      <c r="I5108">
        <v>15771</v>
      </c>
      <c r="J5108">
        <v>2265072457</v>
      </c>
      <c r="K5108">
        <v>6934477240</v>
      </c>
      <c r="N5108" t="s">
        <v>337</v>
      </c>
      <c r="O5108" t="s">
        <v>338</v>
      </c>
      <c r="R5108" t="s">
        <v>159</v>
      </c>
      <c r="S5108">
        <v>2</v>
      </c>
      <c r="T5108" t="s">
        <v>8675</v>
      </c>
      <c r="U5108" s="1">
        <v>43348</v>
      </c>
      <c r="V5108" t="s">
        <v>80</v>
      </c>
      <c r="W5108" t="s">
        <v>81</v>
      </c>
      <c r="X5108" t="s">
        <v>58</v>
      </c>
      <c r="Y5108">
        <v>24</v>
      </c>
      <c r="Z5108" t="s">
        <v>59</v>
      </c>
      <c r="AA5108" t="s">
        <v>59</v>
      </c>
      <c r="AB5108" t="s">
        <v>59</v>
      </c>
      <c r="AC5108" t="s">
        <v>59</v>
      </c>
      <c r="AD5108" t="s">
        <v>59</v>
      </c>
      <c r="AF5108" s="1">
        <v>43348</v>
      </c>
      <c r="AG5108" t="s">
        <v>8645</v>
      </c>
      <c r="AH5108" t="s">
        <v>8646</v>
      </c>
      <c r="AI5108" t="str">
        <f>"9521412"</f>
        <v>9521412</v>
      </c>
      <c r="AJ5108" t="s">
        <v>8787</v>
      </c>
      <c r="AK5108">
        <v>2897025680</v>
      </c>
      <c r="AL5108" t="s">
        <v>8788</v>
      </c>
      <c r="AM5108" t="s">
        <v>78</v>
      </c>
      <c r="AN5108" t="s">
        <v>219</v>
      </c>
      <c r="AO5108" t="s">
        <v>219</v>
      </c>
      <c r="AP5108" t="s">
        <v>219</v>
      </c>
      <c r="AQ5108">
        <v>8</v>
      </c>
      <c r="AR5108" t="s">
        <v>80</v>
      </c>
      <c r="AS5108" t="s">
        <v>81</v>
      </c>
      <c r="AT5108" t="s">
        <v>58</v>
      </c>
      <c r="AU5108" t="s">
        <v>8673</v>
      </c>
      <c r="AV5108" t="s">
        <v>132</v>
      </c>
      <c r="AW5108" s="1">
        <v>31191</v>
      </c>
      <c r="AX5108">
        <v>1</v>
      </c>
    </row>
    <row r="5109" spans="1:50">
      <c r="A5109">
        <v>210682</v>
      </c>
      <c r="B5109" t="str">
        <f>"078776244"</f>
        <v>078776244</v>
      </c>
      <c r="C5109" t="s">
        <v>50</v>
      </c>
      <c r="D5109" t="s">
        <v>1064</v>
      </c>
      <c r="E5109" t="s">
        <v>52</v>
      </c>
      <c r="F5109" t="s">
        <v>84</v>
      </c>
      <c r="G5109" t="s">
        <v>188</v>
      </c>
      <c r="H5109" t="str">
        <f>"ΛΑΣΣΑΙΑΣ 12 ΜΑΣΤΑΜΠΑΣ"</f>
        <v>ΛΑΣΣΑΙΑΣ 12 ΜΑΣΤΑΜΠΑΣ</v>
      </c>
      <c r="I5109">
        <v>71305</v>
      </c>
      <c r="J5109">
        <v>2810253225</v>
      </c>
      <c r="K5109">
        <v>6948838862</v>
      </c>
      <c r="L5109">
        <v>2810263490</v>
      </c>
      <c r="M5109" t="s">
        <v>9337</v>
      </c>
      <c r="N5109" t="s">
        <v>478</v>
      </c>
      <c r="O5109" t="s">
        <v>479</v>
      </c>
      <c r="R5109" t="s">
        <v>57</v>
      </c>
      <c r="S5109">
        <v>9</v>
      </c>
      <c r="T5109">
        <v>256</v>
      </c>
      <c r="U5109" s="1">
        <v>38624</v>
      </c>
      <c r="V5109" t="s">
        <v>80</v>
      </c>
      <c r="W5109" t="s">
        <v>81</v>
      </c>
      <c r="X5109" t="s">
        <v>58</v>
      </c>
      <c r="Y5109">
        <v>22</v>
      </c>
      <c r="Z5109" t="s">
        <v>59</v>
      </c>
      <c r="AA5109" t="s">
        <v>59</v>
      </c>
      <c r="AB5109" t="s">
        <v>59</v>
      </c>
      <c r="AC5109" t="s">
        <v>59</v>
      </c>
      <c r="AD5109" t="s">
        <v>59</v>
      </c>
      <c r="AF5109" s="1">
        <v>38625</v>
      </c>
      <c r="AG5109" t="s">
        <v>8645</v>
      </c>
      <c r="AH5109" t="s">
        <v>8646</v>
      </c>
      <c r="AI5109" t="str">
        <f>"9170058"</f>
        <v>9170058</v>
      </c>
      <c r="AJ5109" t="s">
        <v>8735</v>
      </c>
      <c r="AK5109">
        <v>2810252903</v>
      </c>
      <c r="AL5109" t="s">
        <v>8736</v>
      </c>
      <c r="AM5109" t="s">
        <v>78</v>
      </c>
      <c r="AN5109" t="s">
        <v>78</v>
      </c>
      <c r="AO5109" t="s">
        <v>78</v>
      </c>
      <c r="AP5109" t="s">
        <v>163</v>
      </c>
      <c r="AQ5109">
        <v>1</v>
      </c>
      <c r="AR5109" t="s">
        <v>80</v>
      </c>
      <c r="AS5109" t="s">
        <v>81</v>
      </c>
      <c r="AT5109" t="s">
        <v>58</v>
      </c>
      <c r="AU5109" t="s">
        <v>68</v>
      </c>
      <c r="AV5109" t="s">
        <v>69</v>
      </c>
      <c r="AW5109" s="1">
        <v>24814</v>
      </c>
      <c r="AX5109">
        <v>1</v>
      </c>
    </row>
    <row r="5110" spans="1:50">
      <c r="B5110" t="str">
        <f>"119689649"</f>
        <v>119689649</v>
      </c>
      <c r="C5110" t="s">
        <v>50</v>
      </c>
      <c r="D5110" t="s">
        <v>1064</v>
      </c>
      <c r="E5110" t="s">
        <v>52</v>
      </c>
      <c r="F5110" t="s">
        <v>99</v>
      </c>
      <c r="G5110" t="s">
        <v>255</v>
      </c>
      <c r="H5110" t="str">
        <f>"ΚΟΥΝΑΒΟΙ ΠΕΔΙΑΔΟΣ ΗΡΑΚΛΕΙΟ"</f>
        <v>ΚΟΥΝΑΒΟΙ ΠΕΔΙΑΔΟΣ ΗΡΑΚΛΕΙΟ</v>
      </c>
      <c r="I5110">
        <v>70100</v>
      </c>
      <c r="J5110">
        <v>2810741910</v>
      </c>
      <c r="K5110">
        <v>6932025008</v>
      </c>
      <c r="N5110" t="s">
        <v>1525</v>
      </c>
      <c r="O5110" t="s">
        <v>1526</v>
      </c>
      <c r="R5110" t="s">
        <v>159</v>
      </c>
      <c r="S5110">
        <v>4</v>
      </c>
      <c r="T5110" t="s">
        <v>8670</v>
      </c>
      <c r="U5110" s="1">
        <v>43348</v>
      </c>
      <c r="V5110" t="s">
        <v>80</v>
      </c>
      <c r="W5110" t="s">
        <v>81</v>
      </c>
      <c r="X5110" t="s">
        <v>58</v>
      </c>
      <c r="Y5110">
        <v>25</v>
      </c>
      <c r="Z5110" t="s">
        <v>59</v>
      </c>
      <c r="AA5110" t="s">
        <v>59</v>
      </c>
      <c r="AB5110" t="s">
        <v>59</v>
      </c>
      <c r="AC5110" t="s">
        <v>59</v>
      </c>
      <c r="AD5110" t="s">
        <v>59</v>
      </c>
      <c r="AF5110" s="1">
        <v>43348</v>
      </c>
      <c r="AG5110" t="s">
        <v>8651</v>
      </c>
      <c r="AH5110" t="s">
        <v>8652</v>
      </c>
      <c r="AI5110" t="str">
        <f>"9170364"</f>
        <v>9170364</v>
      </c>
      <c r="AJ5110" t="s">
        <v>9338</v>
      </c>
      <c r="AK5110">
        <v>2810741562</v>
      </c>
      <c r="AL5110" t="s">
        <v>9339</v>
      </c>
      <c r="AM5110" t="s">
        <v>78</v>
      </c>
      <c r="AN5110" t="s">
        <v>424</v>
      </c>
      <c r="AO5110" t="s">
        <v>428</v>
      </c>
      <c r="AP5110" t="s">
        <v>8920</v>
      </c>
      <c r="AQ5110">
        <v>11</v>
      </c>
      <c r="AR5110" t="s">
        <v>80</v>
      </c>
      <c r="AS5110" t="s">
        <v>81</v>
      </c>
      <c r="AT5110" t="s">
        <v>58</v>
      </c>
      <c r="AU5110" t="s">
        <v>8673</v>
      </c>
      <c r="AV5110" t="s">
        <v>132</v>
      </c>
      <c r="AW5110" s="1">
        <v>30379</v>
      </c>
      <c r="AX5110">
        <v>1</v>
      </c>
    </row>
    <row r="5111" spans="1:50">
      <c r="A5111">
        <v>580420</v>
      </c>
      <c r="B5111" t="str">
        <f>"036444690"</f>
        <v>036444690</v>
      </c>
      <c r="C5111" t="s">
        <v>105</v>
      </c>
      <c r="D5111" t="s">
        <v>1073</v>
      </c>
      <c r="E5111" t="s">
        <v>760</v>
      </c>
      <c r="F5111" t="s">
        <v>309</v>
      </c>
      <c r="G5111" t="s">
        <v>1068</v>
      </c>
      <c r="H5111" t="str">
        <f>" "</f>
        <v xml:space="preserve"> </v>
      </c>
      <c r="K5111">
        <v>6977394527</v>
      </c>
      <c r="N5111" t="s">
        <v>337</v>
      </c>
      <c r="O5111" t="s">
        <v>338</v>
      </c>
      <c r="R5111" t="s">
        <v>57</v>
      </c>
      <c r="S5111">
        <v>12</v>
      </c>
      <c r="T5111">
        <v>65</v>
      </c>
      <c r="U5111" s="1">
        <v>35146</v>
      </c>
      <c r="V5111" t="s">
        <v>80</v>
      </c>
      <c r="W5111" t="s">
        <v>81</v>
      </c>
      <c r="X5111" t="s">
        <v>58</v>
      </c>
      <c r="Y5111">
        <v>21</v>
      </c>
      <c r="Z5111" t="s">
        <v>59</v>
      </c>
      <c r="AA5111" t="s">
        <v>59</v>
      </c>
      <c r="AB5111" t="s">
        <v>59</v>
      </c>
      <c r="AC5111" t="s">
        <v>59</v>
      </c>
      <c r="AD5111" t="s">
        <v>59</v>
      </c>
      <c r="AF5111" s="1">
        <v>35160</v>
      </c>
      <c r="AG5111" t="s">
        <v>8645</v>
      </c>
      <c r="AH5111" t="s">
        <v>8646</v>
      </c>
      <c r="AI5111" t="str">
        <f>"9170197"</f>
        <v>9170197</v>
      </c>
      <c r="AJ5111" t="s">
        <v>8989</v>
      </c>
      <c r="AK5111">
        <v>2810232577</v>
      </c>
      <c r="AL5111" t="s">
        <v>8990</v>
      </c>
      <c r="AM5111" t="s">
        <v>78</v>
      </c>
      <c r="AN5111" t="s">
        <v>78</v>
      </c>
      <c r="AO5111" t="s">
        <v>78</v>
      </c>
      <c r="AP5111" t="s">
        <v>163</v>
      </c>
      <c r="AQ5111">
        <v>1</v>
      </c>
      <c r="AR5111" t="s">
        <v>80</v>
      </c>
      <c r="AS5111" t="s">
        <v>81</v>
      </c>
      <c r="AT5111" t="s">
        <v>58</v>
      </c>
      <c r="AU5111" t="s">
        <v>68</v>
      </c>
      <c r="AV5111" t="s">
        <v>69</v>
      </c>
      <c r="AW5111" s="1">
        <v>22654</v>
      </c>
      <c r="AX5111">
        <v>1</v>
      </c>
    </row>
    <row r="5112" spans="1:50">
      <c r="B5112" t="str">
        <f>"129258440"</f>
        <v>129258440</v>
      </c>
      <c r="C5112" t="s">
        <v>105</v>
      </c>
      <c r="D5112" t="s">
        <v>9340</v>
      </c>
      <c r="E5112" t="s">
        <v>920</v>
      </c>
      <c r="F5112" t="s">
        <v>154</v>
      </c>
      <c r="G5112" t="s">
        <v>1279</v>
      </c>
      <c r="H5112" t="str">
        <f>"ΠΑΤΡΩΝ 39 "</f>
        <v xml:space="preserve">ΠΑΤΡΩΝ 39 </v>
      </c>
      <c r="I5112">
        <v>65404</v>
      </c>
      <c r="J5112">
        <v>2510245977</v>
      </c>
      <c r="K5112">
        <v>6936661067</v>
      </c>
      <c r="N5112" t="s">
        <v>615</v>
      </c>
      <c r="O5112" t="s">
        <v>616</v>
      </c>
      <c r="R5112" t="s">
        <v>159</v>
      </c>
      <c r="S5112">
        <v>3</v>
      </c>
      <c r="T5112" t="s">
        <v>8675</v>
      </c>
      <c r="U5112" s="1">
        <v>43348</v>
      </c>
      <c r="V5112" t="s">
        <v>80</v>
      </c>
      <c r="W5112" t="s">
        <v>81</v>
      </c>
      <c r="X5112" t="s">
        <v>58</v>
      </c>
      <c r="Y5112">
        <v>24</v>
      </c>
      <c r="Z5112" t="s">
        <v>59</v>
      </c>
      <c r="AA5112" t="s">
        <v>59</v>
      </c>
      <c r="AB5112" t="s">
        <v>59</v>
      </c>
      <c r="AC5112" t="s">
        <v>59</v>
      </c>
      <c r="AD5112" t="s">
        <v>59</v>
      </c>
      <c r="AF5112" s="1">
        <v>43348</v>
      </c>
      <c r="AG5112" t="s">
        <v>8645</v>
      </c>
      <c r="AH5112" t="s">
        <v>8646</v>
      </c>
      <c r="AI5112" t="str">
        <f>"9170235"</f>
        <v>9170235</v>
      </c>
      <c r="AJ5112" t="s">
        <v>8806</v>
      </c>
      <c r="AK5112">
        <v>2891031258</v>
      </c>
      <c r="AL5112" t="s">
        <v>8807</v>
      </c>
      <c r="AM5112" t="s">
        <v>78</v>
      </c>
      <c r="AN5112" t="s">
        <v>276</v>
      </c>
      <c r="AO5112" t="s">
        <v>277</v>
      </c>
      <c r="AP5112" t="s">
        <v>277</v>
      </c>
      <c r="AQ5112">
        <v>13</v>
      </c>
      <c r="AR5112" t="s">
        <v>80</v>
      </c>
      <c r="AS5112" t="s">
        <v>81</v>
      </c>
      <c r="AT5112" t="s">
        <v>58</v>
      </c>
      <c r="AU5112" t="s">
        <v>8673</v>
      </c>
      <c r="AV5112" t="s">
        <v>132</v>
      </c>
      <c r="AW5112" s="1">
        <v>30723</v>
      </c>
      <c r="AX5112">
        <v>1</v>
      </c>
    </row>
    <row r="5113" spans="1:50">
      <c r="A5113">
        <v>558832</v>
      </c>
      <c r="B5113" t="str">
        <f>"030171660"</f>
        <v>030171660</v>
      </c>
      <c r="C5113" t="s">
        <v>105</v>
      </c>
      <c r="D5113" t="s">
        <v>9341</v>
      </c>
      <c r="E5113" t="s">
        <v>99</v>
      </c>
      <c r="F5113" t="s">
        <v>166</v>
      </c>
      <c r="G5113" t="s">
        <v>620</v>
      </c>
      <c r="H5113" t="str">
        <f>" "</f>
        <v xml:space="preserve"> </v>
      </c>
      <c r="N5113" t="s">
        <v>615</v>
      </c>
      <c r="O5113" t="s">
        <v>616</v>
      </c>
      <c r="R5113" t="s">
        <v>57</v>
      </c>
      <c r="S5113">
        <v>16</v>
      </c>
      <c r="T5113">
        <v>168</v>
      </c>
      <c r="U5113" s="1">
        <v>32010</v>
      </c>
      <c r="V5113" t="s">
        <v>80</v>
      </c>
      <c r="W5113" t="s">
        <v>81</v>
      </c>
      <c r="X5113" t="s">
        <v>58</v>
      </c>
      <c r="Y5113">
        <v>21</v>
      </c>
      <c r="Z5113" t="s">
        <v>59</v>
      </c>
      <c r="AA5113" t="s">
        <v>59</v>
      </c>
      <c r="AB5113" t="s">
        <v>59</v>
      </c>
      <c r="AC5113" t="s">
        <v>59</v>
      </c>
      <c r="AD5113" t="s">
        <v>59</v>
      </c>
      <c r="AF5113" s="1">
        <v>32023</v>
      </c>
      <c r="AG5113" t="s">
        <v>8645</v>
      </c>
      <c r="AH5113" t="s">
        <v>8646</v>
      </c>
      <c r="AI5113" t="str">
        <f>"9170219"</f>
        <v>9170219</v>
      </c>
      <c r="AJ5113" t="s">
        <v>8967</v>
      </c>
      <c r="AK5113">
        <v>2897041357</v>
      </c>
      <c r="AL5113" t="s">
        <v>8968</v>
      </c>
      <c r="AM5113" t="s">
        <v>78</v>
      </c>
      <c r="AN5113" t="s">
        <v>219</v>
      </c>
      <c r="AO5113" t="s">
        <v>297</v>
      </c>
      <c r="AP5113" t="s">
        <v>297</v>
      </c>
      <c r="AQ5113">
        <v>7</v>
      </c>
      <c r="AR5113" t="s">
        <v>80</v>
      </c>
      <c r="AS5113" t="s">
        <v>81</v>
      </c>
      <c r="AT5113" t="s">
        <v>58</v>
      </c>
      <c r="AU5113" t="s">
        <v>68</v>
      </c>
      <c r="AV5113" t="s">
        <v>69</v>
      </c>
      <c r="AW5113" s="1">
        <v>21186</v>
      </c>
      <c r="AX5113">
        <v>1</v>
      </c>
    </row>
    <row r="5114" spans="1:50">
      <c r="B5114" t="str">
        <f>"119685177"</f>
        <v>119685177</v>
      </c>
      <c r="C5114" t="s">
        <v>105</v>
      </c>
      <c r="D5114" t="s">
        <v>9341</v>
      </c>
      <c r="E5114" t="s">
        <v>106</v>
      </c>
      <c r="F5114" t="s">
        <v>95</v>
      </c>
      <c r="G5114" t="s">
        <v>9342</v>
      </c>
      <c r="H5114" t="str">
        <f>"ΤΕΝΕΔΟΥ 4 ΗΡΑΚΛΕΙΟ"</f>
        <v>ΤΕΝΕΔΟΥ 4 ΗΡΑΚΛΕΙΟ</v>
      </c>
      <c r="I5114">
        <v>71306</v>
      </c>
      <c r="J5114">
        <v>2810330801</v>
      </c>
      <c r="K5114">
        <v>6972479493</v>
      </c>
      <c r="N5114" t="s">
        <v>306</v>
      </c>
      <c r="O5114" t="s">
        <v>307</v>
      </c>
      <c r="R5114" t="s">
        <v>159</v>
      </c>
      <c r="S5114">
        <v>3</v>
      </c>
      <c r="T5114" t="s">
        <v>8675</v>
      </c>
      <c r="U5114" s="1">
        <v>43348</v>
      </c>
      <c r="V5114" t="s">
        <v>80</v>
      </c>
      <c r="W5114" t="s">
        <v>81</v>
      </c>
      <c r="X5114" t="s">
        <v>58</v>
      </c>
      <c r="Y5114">
        <v>24</v>
      </c>
      <c r="Z5114" t="s">
        <v>59</v>
      </c>
      <c r="AA5114" t="s">
        <v>59</v>
      </c>
      <c r="AB5114" t="s">
        <v>59</v>
      </c>
      <c r="AC5114" t="s">
        <v>59</v>
      </c>
      <c r="AD5114" t="s">
        <v>59</v>
      </c>
      <c r="AF5114" s="1">
        <v>43348</v>
      </c>
      <c r="AG5114" t="s">
        <v>8645</v>
      </c>
      <c r="AH5114" t="s">
        <v>8646</v>
      </c>
      <c r="AI5114" t="str">
        <f>"9170068"</f>
        <v>9170068</v>
      </c>
      <c r="AJ5114" t="s">
        <v>8773</v>
      </c>
      <c r="AK5114">
        <v>2893031217</v>
      </c>
      <c r="AL5114" t="s">
        <v>8774</v>
      </c>
      <c r="AM5114" t="s">
        <v>78</v>
      </c>
      <c r="AN5114" t="s">
        <v>405</v>
      </c>
      <c r="AO5114" t="s">
        <v>805</v>
      </c>
      <c r="AP5114" t="s">
        <v>806</v>
      </c>
      <c r="AQ5114">
        <v>15</v>
      </c>
      <c r="AR5114" t="s">
        <v>80</v>
      </c>
      <c r="AS5114" t="s">
        <v>81</v>
      </c>
      <c r="AT5114" t="s">
        <v>58</v>
      </c>
      <c r="AU5114" t="s">
        <v>8673</v>
      </c>
      <c r="AV5114" t="s">
        <v>132</v>
      </c>
      <c r="AW5114" s="1">
        <v>30294</v>
      </c>
      <c r="AX5114">
        <v>1</v>
      </c>
    </row>
    <row r="5115" spans="1:50">
      <c r="A5115">
        <v>604538</v>
      </c>
      <c r="B5115" t="str">
        <f>"109116157"</f>
        <v>109116157</v>
      </c>
      <c r="C5115" t="s">
        <v>50</v>
      </c>
      <c r="D5115" t="s">
        <v>9343</v>
      </c>
      <c r="E5115" t="s">
        <v>52</v>
      </c>
      <c r="F5115" t="s">
        <v>95</v>
      </c>
      <c r="G5115" t="s">
        <v>109</v>
      </c>
      <c r="H5115" t="str">
        <f>"ΠΡΩΗΝ ΑΜΕΡΙΚ.ΒΑΣΗ ΓΟΥΡΝΩΝ ΓΟΥΒΕΣ"</f>
        <v>ΠΡΩΗΝ ΑΜΕΡΙΚ.ΒΑΣΗ ΓΟΥΡΝΩΝ ΓΟΥΒΕΣ</v>
      </c>
      <c r="I5115">
        <v>73500</v>
      </c>
      <c r="J5115">
        <v>2821049129</v>
      </c>
      <c r="K5115">
        <v>6937445972</v>
      </c>
      <c r="M5115" t="s">
        <v>9344</v>
      </c>
      <c r="N5115" t="s">
        <v>615</v>
      </c>
      <c r="O5115" t="s">
        <v>616</v>
      </c>
      <c r="R5115" t="s">
        <v>57</v>
      </c>
      <c r="S5115">
        <v>7</v>
      </c>
      <c r="T5115">
        <v>231</v>
      </c>
      <c r="U5115" s="1">
        <v>38230</v>
      </c>
      <c r="V5115" t="s">
        <v>80</v>
      </c>
      <c r="W5115" t="s">
        <v>81</v>
      </c>
      <c r="X5115" t="s">
        <v>58</v>
      </c>
      <c r="Y5115">
        <v>22</v>
      </c>
      <c r="Z5115" t="s">
        <v>59</v>
      </c>
      <c r="AA5115" t="s">
        <v>59</v>
      </c>
      <c r="AB5115" t="s">
        <v>59</v>
      </c>
      <c r="AC5115" t="s">
        <v>59</v>
      </c>
      <c r="AD5115" t="s">
        <v>59</v>
      </c>
      <c r="AF5115" s="1">
        <v>38230</v>
      </c>
      <c r="AG5115" t="s">
        <v>8645</v>
      </c>
      <c r="AH5115" t="s">
        <v>8646</v>
      </c>
      <c r="AI5115" t="str">
        <f>"9170205"</f>
        <v>9170205</v>
      </c>
      <c r="AJ5115" t="s">
        <v>8794</v>
      </c>
      <c r="AK5115">
        <v>2810762030</v>
      </c>
      <c r="AL5115" t="s">
        <v>8795</v>
      </c>
      <c r="AM5115" t="s">
        <v>78</v>
      </c>
      <c r="AN5115" t="s">
        <v>219</v>
      </c>
      <c r="AO5115" t="s">
        <v>297</v>
      </c>
      <c r="AP5115" t="s">
        <v>8796</v>
      </c>
      <c r="AQ5115">
        <v>7</v>
      </c>
      <c r="AR5115" t="s">
        <v>80</v>
      </c>
      <c r="AS5115" t="s">
        <v>81</v>
      </c>
      <c r="AT5115" t="s">
        <v>58</v>
      </c>
      <c r="AU5115" t="s">
        <v>68</v>
      </c>
      <c r="AV5115" t="s">
        <v>69</v>
      </c>
      <c r="AW5115" s="1">
        <v>29421</v>
      </c>
      <c r="AX5115">
        <v>1</v>
      </c>
    </row>
    <row r="5116" spans="1:50">
      <c r="A5116">
        <v>553945</v>
      </c>
      <c r="B5116" t="str">
        <f>"030623619"</f>
        <v>030623619</v>
      </c>
      <c r="C5116" t="s">
        <v>50</v>
      </c>
      <c r="D5116" t="s">
        <v>1077</v>
      </c>
      <c r="E5116" t="s">
        <v>1001</v>
      </c>
      <c r="F5116" t="s">
        <v>99</v>
      </c>
      <c r="G5116" t="s">
        <v>314</v>
      </c>
      <c r="H5116" t="str">
        <f>"ΠΛΑΓΙΩΤΑΚΗ 6 ΗΡΑΚΛΕΙΟ"</f>
        <v>ΠΛΑΓΙΩΤΑΚΗ 6 ΗΡΑΚΛΕΙΟ</v>
      </c>
      <c r="I5116">
        <v>71409</v>
      </c>
      <c r="J5116">
        <v>2810328291</v>
      </c>
      <c r="K5116">
        <v>6972853667</v>
      </c>
      <c r="N5116" t="s">
        <v>615</v>
      </c>
      <c r="O5116" t="s">
        <v>616</v>
      </c>
      <c r="R5116" t="s">
        <v>57</v>
      </c>
      <c r="S5116">
        <v>17</v>
      </c>
      <c r="T5116">
        <v>235</v>
      </c>
      <c r="U5116" s="1">
        <v>31289</v>
      </c>
      <c r="V5116" t="s">
        <v>80</v>
      </c>
      <c r="W5116" t="s">
        <v>81</v>
      </c>
      <c r="X5116" t="s">
        <v>58</v>
      </c>
      <c r="Y5116">
        <v>21</v>
      </c>
      <c r="Z5116" t="s">
        <v>59</v>
      </c>
      <c r="AA5116" t="s">
        <v>59</v>
      </c>
      <c r="AB5116" t="s">
        <v>59</v>
      </c>
      <c r="AC5116" t="s">
        <v>59</v>
      </c>
      <c r="AD5116" t="s">
        <v>59</v>
      </c>
      <c r="AF5116" s="1">
        <v>31296</v>
      </c>
      <c r="AG5116" t="s">
        <v>8645</v>
      </c>
      <c r="AH5116" t="s">
        <v>8646</v>
      </c>
      <c r="AI5116" t="str">
        <f>"9170115"</f>
        <v>9170115</v>
      </c>
      <c r="AJ5116" t="s">
        <v>8770</v>
      </c>
      <c r="AK5116">
        <v>2810231165</v>
      </c>
      <c r="AL5116" t="s">
        <v>8771</v>
      </c>
      <c r="AM5116" t="s">
        <v>78</v>
      </c>
      <c r="AN5116" t="s">
        <v>78</v>
      </c>
      <c r="AO5116" t="s">
        <v>78</v>
      </c>
      <c r="AP5116" t="s">
        <v>141</v>
      </c>
      <c r="AQ5116">
        <v>1</v>
      </c>
      <c r="AR5116" t="s">
        <v>80</v>
      </c>
      <c r="AS5116" t="s">
        <v>81</v>
      </c>
      <c r="AT5116" t="s">
        <v>58</v>
      </c>
      <c r="AU5116" t="s">
        <v>68</v>
      </c>
      <c r="AV5116" t="s">
        <v>69</v>
      </c>
      <c r="AW5116" s="1">
        <v>22990</v>
      </c>
      <c r="AX5116">
        <v>1</v>
      </c>
    </row>
    <row r="5117" spans="1:50">
      <c r="A5117">
        <v>579024</v>
      </c>
      <c r="B5117" t="str">
        <f>"052484048"</f>
        <v>052484048</v>
      </c>
      <c r="C5117" t="s">
        <v>50</v>
      </c>
      <c r="D5117" t="s">
        <v>1077</v>
      </c>
      <c r="E5117" t="s">
        <v>507</v>
      </c>
      <c r="F5117" t="s">
        <v>99</v>
      </c>
      <c r="G5117" t="s">
        <v>314</v>
      </c>
      <c r="H5117" t="str">
        <f>"ΠΛΑΓΙΩΤΑΚΗ 6  ΗΡΑΚΛΕΙΟ "</f>
        <v xml:space="preserve">ΠΛΑΓΙΩΤΑΚΗ 6  ΗΡΑΚΛΕΙΟ </v>
      </c>
      <c r="I5117">
        <v>71409</v>
      </c>
      <c r="J5117">
        <v>2815004040</v>
      </c>
      <c r="K5117">
        <v>6972836921</v>
      </c>
      <c r="N5117" t="s">
        <v>615</v>
      </c>
      <c r="O5117" t="s">
        <v>616</v>
      </c>
      <c r="R5117" t="s">
        <v>57</v>
      </c>
      <c r="S5117">
        <v>12</v>
      </c>
      <c r="T5117">
        <v>165</v>
      </c>
      <c r="U5117" s="1">
        <v>35300</v>
      </c>
      <c r="V5117" t="s">
        <v>80</v>
      </c>
      <c r="W5117" t="s">
        <v>81</v>
      </c>
      <c r="X5117" t="s">
        <v>58</v>
      </c>
      <c r="Y5117">
        <v>21</v>
      </c>
      <c r="Z5117" t="s">
        <v>59</v>
      </c>
      <c r="AA5117" t="s">
        <v>59</v>
      </c>
      <c r="AB5117" t="s">
        <v>59</v>
      </c>
      <c r="AC5117" t="s">
        <v>59</v>
      </c>
      <c r="AD5117" t="s">
        <v>59</v>
      </c>
      <c r="AF5117" s="1">
        <v>35313</v>
      </c>
      <c r="AG5117" t="s">
        <v>8645</v>
      </c>
      <c r="AH5117" t="s">
        <v>8646</v>
      </c>
      <c r="AI5117" t="str">
        <f>"9170517"</f>
        <v>9170517</v>
      </c>
      <c r="AJ5117" t="s">
        <v>9248</v>
      </c>
      <c r="AK5117">
        <v>2810238757</v>
      </c>
      <c r="AL5117" t="s">
        <v>9249</v>
      </c>
      <c r="AM5117" t="s">
        <v>78</v>
      </c>
      <c r="AN5117" t="s">
        <v>78</v>
      </c>
      <c r="AO5117" t="s">
        <v>78</v>
      </c>
      <c r="AP5117" t="s">
        <v>163</v>
      </c>
      <c r="AQ5117">
        <v>1</v>
      </c>
      <c r="AR5117" t="s">
        <v>80</v>
      </c>
      <c r="AS5117" t="s">
        <v>81</v>
      </c>
      <c r="AT5117" t="s">
        <v>58</v>
      </c>
      <c r="AU5117" t="s">
        <v>68</v>
      </c>
      <c r="AV5117" t="s">
        <v>69</v>
      </c>
      <c r="AW5117" s="1">
        <v>24912</v>
      </c>
      <c r="AX5117">
        <v>1</v>
      </c>
    </row>
    <row r="5118" spans="1:50">
      <c r="A5118">
        <v>579002</v>
      </c>
      <c r="B5118" t="str">
        <f>"036923431"</f>
        <v>036923431</v>
      </c>
      <c r="C5118" t="s">
        <v>105</v>
      </c>
      <c r="D5118" t="s">
        <v>9345</v>
      </c>
      <c r="E5118" t="s">
        <v>936</v>
      </c>
      <c r="F5118" t="s">
        <v>166</v>
      </c>
      <c r="G5118" t="s">
        <v>2977</v>
      </c>
      <c r="H5118" t="str">
        <f>"ΚΑΠΑΡΙΑΝΑ "</f>
        <v xml:space="preserve">ΚΑΠΑΡΙΑΝΑ </v>
      </c>
      <c r="I5118">
        <v>70400</v>
      </c>
      <c r="J5118">
        <v>2892022038</v>
      </c>
      <c r="K5118">
        <v>6936679797</v>
      </c>
      <c r="M5118" t="s">
        <v>9346</v>
      </c>
      <c r="N5118" t="s">
        <v>615</v>
      </c>
      <c r="O5118" t="s">
        <v>616</v>
      </c>
      <c r="R5118" t="s">
        <v>57</v>
      </c>
      <c r="S5118">
        <v>15</v>
      </c>
      <c r="T5118">
        <v>165</v>
      </c>
      <c r="U5118" s="1">
        <v>35300</v>
      </c>
      <c r="V5118" t="s">
        <v>80</v>
      </c>
      <c r="W5118" t="s">
        <v>81</v>
      </c>
      <c r="X5118" t="s">
        <v>58</v>
      </c>
      <c r="Y5118">
        <v>21</v>
      </c>
      <c r="Z5118" t="s">
        <v>59</v>
      </c>
      <c r="AA5118" t="s">
        <v>59</v>
      </c>
      <c r="AB5118" t="s">
        <v>59</v>
      </c>
      <c r="AC5118" t="s">
        <v>59</v>
      </c>
      <c r="AD5118" t="s">
        <v>59</v>
      </c>
      <c r="AF5118" s="1">
        <v>35310</v>
      </c>
      <c r="AG5118" t="s">
        <v>8645</v>
      </c>
      <c r="AH5118" t="s">
        <v>8646</v>
      </c>
      <c r="AI5118" t="str">
        <f>"9170270"</f>
        <v>9170270</v>
      </c>
      <c r="AJ5118" t="s">
        <v>9347</v>
      </c>
      <c r="AK5118">
        <v>2892031245</v>
      </c>
      <c r="AL5118" t="s">
        <v>9348</v>
      </c>
      <c r="AM5118" t="s">
        <v>78</v>
      </c>
      <c r="AN5118" t="s">
        <v>405</v>
      </c>
      <c r="AO5118" t="s">
        <v>405</v>
      </c>
      <c r="AP5118" t="s">
        <v>464</v>
      </c>
      <c r="AQ5118">
        <v>17</v>
      </c>
      <c r="AR5118" t="s">
        <v>80</v>
      </c>
      <c r="AS5118" t="s">
        <v>81</v>
      </c>
      <c r="AT5118" t="s">
        <v>58</v>
      </c>
      <c r="AU5118" t="s">
        <v>68</v>
      </c>
      <c r="AV5118" t="s">
        <v>69</v>
      </c>
      <c r="AW5118" s="1">
        <v>23804</v>
      </c>
      <c r="AX5118">
        <v>1</v>
      </c>
    </row>
    <row r="5119" spans="1:50">
      <c r="A5119">
        <v>565859</v>
      </c>
      <c r="B5119" t="str">
        <f>"034462386"</f>
        <v>034462386</v>
      </c>
      <c r="C5119" t="s">
        <v>105</v>
      </c>
      <c r="D5119" t="s">
        <v>9345</v>
      </c>
      <c r="E5119" t="s">
        <v>84</v>
      </c>
      <c r="F5119" t="s">
        <v>99</v>
      </c>
      <c r="G5119" t="s">
        <v>314</v>
      </c>
      <c r="H5119" t="str">
        <f>"ΓΙΑΚΟΥΜΑΚΗ 8 ΗΡΑΚΛΕΙΟ"</f>
        <v>ΓΙΑΚΟΥΜΑΚΗ 8 ΗΡΑΚΛΕΙΟ</v>
      </c>
      <c r="I5119">
        <v>71305</v>
      </c>
      <c r="J5119">
        <v>2810324548</v>
      </c>
      <c r="K5119">
        <v>6973057703</v>
      </c>
      <c r="M5119" t="s">
        <v>9349</v>
      </c>
      <c r="N5119" t="s">
        <v>615</v>
      </c>
      <c r="O5119" t="s">
        <v>616</v>
      </c>
      <c r="R5119" t="s">
        <v>57</v>
      </c>
      <c r="S5119">
        <v>14</v>
      </c>
      <c r="T5119">
        <v>181</v>
      </c>
      <c r="U5119" s="1">
        <v>33119</v>
      </c>
      <c r="V5119" t="s">
        <v>80</v>
      </c>
      <c r="W5119" t="s">
        <v>81</v>
      </c>
      <c r="X5119" t="s">
        <v>58</v>
      </c>
      <c r="Y5119">
        <v>21</v>
      </c>
      <c r="Z5119" t="s">
        <v>59</v>
      </c>
      <c r="AA5119" t="s">
        <v>59</v>
      </c>
      <c r="AB5119" t="s">
        <v>59</v>
      </c>
      <c r="AC5119" t="s">
        <v>59</v>
      </c>
      <c r="AD5119" t="s">
        <v>59</v>
      </c>
      <c r="AF5119" s="1">
        <v>33121</v>
      </c>
      <c r="AG5119" t="s">
        <v>8645</v>
      </c>
      <c r="AH5119" t="s">
        <v>8646</v>
      </c>
      <c r="AI5119" t="str">
        <f>"9170425"</f>
        <v>9170425</v>
      </c>
      <c r="AJ5119" t="s">
        <v>9350</v>
      </c>
      <c r="AK5119">
        <v>2810250261</v>
      </c>
      <c r="AL5119" t="s">
        <v>9351</v>
      </c>
      <c r="AM5119" t="s">
        <v>78</v>
      </c>
      <c r="AN5119" t="s">
        <v>78</v>
      </c>
      <c r="AO5119" t="s">
        <v>78</v>
      </c>
      <c r="AP5119" t="s">
        <v>141</v>
      </c>
      <c r="AQ5119">
        <v>1</v>
      </c>
      <c r="AR5119" t="s">
        <v>80</v>
      </c>
      <c r="AS5119" t="s">
        <v>81</v>
      </c>
      <c r="AT5119" t="s">
        <v>58</v>
      </c>
      <c r="AU5119" t="s">
        <v>68</v>
      </c>
      <c r="AV5119" t="s">
        <v>2039</v>
      </c>
      <c r="AW5119" s="1">
        <v>23942</v>
      </c>
      <c r="AX5119">
        <v>1</v>
      </c>
    </row>
    <row r="5120" spans="1:50">
      <c r="B5120" t="str">
        <f>"150659684"</f>
        <v>150659684</v>
      </c>
      <c r="C5120" t="s">
        <v>50</v>
      </c>
      <c r="D5120" t="s">
        <v>9352</v>
      </c>
      <c r="E5120" t="s">
        <v>714</v>
      </c>
      <c r="F5120" t="s">
        <v>315</v>
      </c>
      <c r="G5120" t="s">
        <v>52</v>
      </c>
      <c r="H5120" t="str">
        <f>" "</f>
        <v xml:space="preserve"> </v>
      </c>
      <c r="N5120" t="s">
        <v>683</v>
      </c>
      <c r="O5120" t="s">
        <v>684</v>
      </c>
      <c r="R5120" t="s">
        <v>121</v>
      </c>
      <c r="S5120">
        <v>1</v>
      </c>
      <c r="T5120" t="s">
        <v>8675</v>
      </c>
      <c r="U5120" s="1">
        <v>43348</v>
      </c>
      <c r="V5120" t="s">
        <v>80</v>
      </c>
      <c r="W5120" t="s">
        <v>81</v>
      </c>
      <c r="X5120" t="s">
        <v>58</v>
      </c>
      <c r="Y5120">
        <v>24</v>
      </c>
      <c r="Z5120" t="s">
        <v>59</v>
      </c>
      <c r="AD5120" t="s">
        <v>59</v>
      </c>
      <c r="AF5120" s="1">
        <v>43348</v>
      </c>
      <c r="AG5120" t="s">
        <v>8645</v>
      </c>
      <c r="AH5120" t="s">
        <v>8646</v>
      </c>
      <c r="AI5120" t="str">
        <f>"9170132"</f>
        <v>9170132</v>
      </c>
      <c r="AJ5120" t="s">
        <v>9010</v>
      </c>
      <c r="AK5120">
        <v>2895022233</v>
      </c>
      <c r="AL5120" t="s">
        <v>9011</v>
      </c>
      <c r="AM5120" t="s">
        <v>78</v>
      </c>
      <c r="AN5120" t="s">
        <v>482</v>
      </c>
      <c r="AO5120" t="s">
        <v>482</v>
      </c>
      <c r="AP5120" t="s">
        <v>483</v>
      </c>
      <c r="AQ5120">
        <v>14</v>
      </c>
      <c r="AR5120" t="s">
        <v>80</v>
      </c>
      <c r="AS5120" t="s">
        <v>81</v>
      </c>
      <c r="AT5120" t="s">
        <v>58</v>
      </c>
      <c r="AU5120" t="s">
        <v>8673</v>
      </c>
      <c r="AV5120" t="s">
        <v>132</v>
      </c>
      <c r="AW5120" s="1">
        <v>33863</v>
      </c>
      <c r="AX5120">
        <v>1</v>
      </c>
    </row>
    <row r="5121" spans="1:50">
      <c r="A5121">
        <v>567365</v>
      </c>
      <c r="B5121" t="str">
        <f>"034633192"</f>
        <v>034633192</v>
      </c>
      <c r="C5121" t="s">
        <v>105</v>
      </c>
      <c r="D5121" t="s">
        <v>1082</v>
      </c>
      <c r="E5121" t="s">
        <v>1217</v>
      </c>
      <c r="F5121" t="s">
        <v>154</v>
      </c>
      <c r="G5121" t="s">
        <v>9353</v>
      </c>
      <c r="H5121" t="str">
        <f>"ΕΜΜ.ΑΝΔΡΟΝΙΚΟΥ 14 ΜΟΙΡΕΣ ΗΡΑΚΛΕΙΟΥ"</f>
        <v>ΕΜΜ.ΑΝΔΡΟΝΙΚΟΥ 14 ΜΟΙΡΕΣ ΗΡΑΚΛΕΙΟΥ</v>
      </c>
      <c r="I5121">
        <v>70400</v>
      </c>
      <c r="J5121">
        <v>2892023139</v>
      </c>
      <c r="K5121">
        <v>6977397872</v>
      </c>
      <c r="M5121" t="s">
        <v>9354</v>
      </c>
      <c r="N5121" t="s">
        <v>615</v>
      </c>
      <c r="O5121" t="s">
        <v>616</v>
      </c>
      <c r="R5121" t="s">
        <v>57</v>
      </c>
      <c r="S5121">
        <v>14</v>
      </c>
      <c r="T5121">
        <v>133</v>
      </c>
      <c r="U5121" s="1">
        <v>33456</v>
      </c>
      <c r="V5121" t="s">
        <v>80</v>
      </c>
      <c r="W5121" t="s">
        <v>81</v>
      </c>
      <c r="X5121" t="s">
        <v>58</v>
      </c>
      <c r="Y5121">
        <v>21</v>
      </c>
      <c r="Z5121" t="s">
        <v>59</v>
      </c>
      <c r="AA5121" t="s">
        <v>59</v>
      </c>
      <c r="AB5121" t="s">
        <v>59</v>
      </c>
      <c r="AC5121" t="s">
        <v>59</v>
      </c>
      <c r="AD5121" t="s">
        <v>59</v>
      </c>
      <c r="AF5121" s="1">
        <v>33486</v>
      </c>
      <c r="AG5121" t="s">
        <v>8645</v>
      </c>
      <c r="AH5121" t="s">
        <v>8646</v>
      </c>
      <c r="AI5121" t="str">
        <f>"9170495"</f>
        <v>9170495</v>
      </c>
      <c r="AJ5121" t="s">
        <v>8838</v>
      </c>
      <c r="AK5121">
        <v>2892023325</v>
      </c>
      <c r="AL5121" t="s">
        <v>8839</v>
      </c>
      <c r="AM5121" t="s">
        <v>78</v>
      </c>
      <c r="AN5121" t="s">
        <v>242</v>
      </c>
      <c r="AO5121" t="s">
        <v>243</v>
      </c>
      <c r="AP5121" t="s">
        <v>243</v>
      </c>
      <c r="AQ5121">
        <v>20</v>
      </c>
      <c r="AR5121" t="s">
        <v>80</v>
      </c>
      <c r="AS5121" t="s">
        <v>81</v>
      </c>
      <c r="AT5121" t="s">
        <v>58</v>
      </c>
      <c r="AU5121" t="s">
        <v>68</v>
      </c>
      <c r="AV5121" t="s">
        <v>69</v>
      </c>
      <c r="AW5121" s="1">
        <v>23636</v>
      </c>
      <c r="AX5121">
        <v>1</v>
      </c>
    </row>
    <row r="5122" spans="1:50">
      <c r="B5122" t="str">
        <f>"057510103"</f>
        <v>057510103</v>
      </c>
      <c r="C5122" t="s">
        <v>105</v>
      </c>
      <c r="D5122" t="s">
        <v>9355</v>
      </c>
      <c r="E5122" t="s">
        <v>144</v>
      </c>
      <c r="F5122" t="s">
        <v>6531</v>
      </c>
      <c r="G5122" t="s">
        <v>4749</v>
      </c>
      <c r="H5122" t="str">
        <f>"ΔΕΛΦΩΝ  9 ΘΕΣΣΑΛΟΝΙΚΗ"</f>
        <v>ΔΕΛΦΩΝ  9 ΘΕΣΣΑΛΟΝΙΚΗ</v>
      </c>
      <c r="I5122">
        <v>56431</v>
      </c>
      <c r="J5122">
        <v>2310652058</v>
      </c>
      <c r="K5122">
        <v>6977745321</v>
      </c>
      <c r="N5122" t="s">
        <v>176</v>
      </c>
      <c r="O5122" t="s">
        <v>177</v>
      </c>
      <c r="R5122" t="s">
        <v>159</v>
      </c>
      <c r="S5122">
        <v>3</v>
      </c>
      <c r="T5122" t="s">
        <v>9034</v>
      </c>
      <c r="U5122" s="1">
        <v>43377</v>
      </c>
      <c r="V5122" t="s">
        <v>80</v>
      </c>
      <c r="W5122" t="s">
        <v>81</v>
      </c>
      <c r="X5122" t="s">
        <v>58</v>
      </c>
      <c r="Y5122">
        <v>24</v>
      </c>
      <c r="Z5122" t="s">
        <v>59</v>
      </c>
      <c r="AA5122" t="s">
        <v>59</v>
      </c>
      <c r="AB5122" t="s">
        <v>59</v>
      </c>
      <c r="AC5122" t="s">
        <v>59</v>
      </c>
      <c r="AD5122" t="s">
        <v>59</v>
      </c>
      <c r="AF5122" s="1">
        <v>43377</v>
      </c>
      <c r="AI5122" t="str">
        <f>""</f>
        <v/>
      </c>
      <c r="AS5122" t="s">
        <v>81</v>
      </c>
      <c r="AT5122" t="s">
        <v>58</v>
      </c>
      <c r="AU5122" t="s">
        <v>8673</v>
      </c>
      <c r="AW5122" s="1">
        <v>24838</v>
      </c>
      <c r="AX5122">
        <v>1</v>
      </c>
    </row>
    <row r="5123" spans="1:50">
      <c r="B5123" t="str">
        <f>"114596260"</f>
        <v>114596260</v>
      </c>
      <c r="C5123" t="s">
        <v>50</v>
      </c>
      <c r="D5123" t="s">
        <v>1088</v>
      </c>
      <c r="E5123" t="s">
        <v>134</v>
      </c>
      <c r="F5123" t="s">
        <v>72</v>
      </c>
      <c r="G5123" t="s">
        <v>143</v>
      </c>
      <c r="H5123" t="str">
        <f>"Ρ. ΦΕΡΑΙΟΥ 56 ΠΟΛΥΔΡΟΣΟ ΓΑΖΙΟΥ ΗΡΑΚΛΕΙΟ"</f>
        <v>Ρ. ΦΕΡΑΙΟΥ 56 ΠΟΛΥΔΡΟΣΟ ΓΑΖΙΟΥ ΗΡΑΚΛΕΙΟ</v>
      </c>
      <c r="I5123">
        <v>71414</v>
      </c>
      <c r="J5123">
        <v>2815100163</v>
      </c>
      <c r="K5123">
        <v>6972576550</v>
      </c>
      <c r="M5123" t="s">
        <v>9356</v>
      </c>
      <c r="N5123" t="s">
        <v>306</v>
      </c>
      <c r="O5123" t="s">
        <v>307</v>
      </c>
      <c r="R5123" t="s">
        <v>159</v>
      </c>
      <c r="S5123">
        <v>3</v>
      </c>
      <c r="T5123" t="s">
        <v>8675</v>
      </c>
      <c r="U5123" s="1">
        <v>43348</v>
      </c>
      <c r="V5123" t="s">
        <v>80</v>
      </c>
      <c r="W5123" t="s">
        <v>81</v>
      </c>
      <c r="X5123" t="s">
        <v>58</v>
      </c>
      <c r="Y5123">
        <v>24</v>
      </c>
      <c r="Z5123" t="s">
        <v>59</v>
      </c>
      <c r="AA5123" t="s">
        <v>59</v>
      </c>
      <c r="AB5123" t="s">
        <v>59</v>
      </c>
      <c r="AC5123" t="s">
        <v>59</v>
      </c>
      <c r="AD5123" t="s">
        <v>59</v>
      </c>
      <c r="AF5123" s="1">
        <v>43348</v>
      </c>
      <c r="AG5123" t="s">
        <v>8645</v>
      </c>
      <c r="AH5123" t="s">
        <v>8646</v>
      </c>
      <c r="AI5123" t="str">
        <f>"9170327"</f>
        <v>9170327</v>
      </c>
      <c r="AJ5123" t="s">
        <v>8963</v>
      </c>
      <c r="AK5123">
        <v>2892091234</v>
      </c>
      <c r="AL5123" t="s">
        <v>8964</v>
      </c>
      <c r="AM5123" t="s">
        <v>78</v>
      </c>
      <c r="AN5123" t="s">
        <v>242</v>
      </c>
      <c r="AO5123" t="s">
        <v>349</v>
      </c>
      <c r="AP5123" t="s">
        <v>8965</v>
      </c>
      <c r="AQ5123">
        <v>19</v>
      </c>
      <c r="AR5123" t="s">
        <v>80</v>
      </c>
      <c r="AS5123" t="s">
        <v>81</v>
      </c>
      <c r="AT5123" t="s">
        <v>58</v>
      </c>
      <c r="AU5123" t="s">
        <v>8673</v>
      </c>
      <c r="AV5123" t="s">
        <v>132</v>
      </c>
      <c r="AW5123" s="1">
        <v>26919</v>
      </c>
      <c r="AX5123">
        <v>1</v>
      </c>
    </row>
    <row r="5124" spans="1:50">
      <c r="A5124">
        <v>604525</v>
      </c>
      <c r="B5124" t="str">
        <f>"113153094"</f>
        <v>113153094</v>
      </c>
      <c r="C5124" t="s">
        <v>50</v>
      </c>
      <c r="D5124" t="s">
        <v>5865</v>
      </c>
      <c r="E5124" t="s">
        <v>476</v>
      </c>
      <c r="F5124" t="s">
        <v>99</v>
      </c>
      <c r="G5124" t="s">
        <v>620</v>
      </c>
      <c r="H5124" t="str">
        <f>"ΜΑΤΖΑΠΕΤΑΚΗ 18 ΑΓ. ΙΩΑΝΝΗΣ"</f>
        <v>ΜΑΤΖΑΠΕΤΑΚΗ 18 ΑΓ. ΙΩΑΝΝΗΣ</v>
      </c>
      <c r="I5124">
        <v>71409</v>
      </c>
      <c r="J5124">
        <v>2810213222</v>
      </c>
      <c r="K5124">
        <v>6977244458</v>
      </c>
      <c r="N5124" t="s">
        <v>615</v>
      </c>
      <c r="O5124" t="s">
        <v>616</v>
      </c>
      <c r="R5124" t="s">
        <v>57</v>
      </c>
      <c r="S5124">
        <v>8</v>
      </c>
      <c r="T5124" t="s">
        <v>9357</v>
      </c>
      <c r="U5124" s="1">
        <v>38230</v>
      </c>
      <c r="V5124" t="s">
        <v>80</v>
      </c>
      <c r="W5124" t="s">
        <v>81</v>
      </c>
      <c r="X5124" t="s">
        <v>58</v>
      </c>
      <c r="Y5124">
        <v>22</v>
      </c>
      <c r="Z5124" t="s">
        <v>59</v>
      </c>
      <c r="AA5124" t="s">
        <v>59</v>
      </c>
      <c r="AB5124" t="s">
        <v>59</v>
      </c>
      <c r="AC5124" t="s">
        <v>59</v>
      </c>
      <c r="AD5124" t="s">
        <v>59</v>
      </c>
      <c r="AF5124" s="1">
        <v>38231</v>
      </c>
      <c r="AG5124" t="s">
        <v>8645</v>
      </c>
      <c r="AH5124" t="s">
        <v>8646</v>
      </c>
      <c r="AI5124" t="str">
        <f>"9170580"</f>
        <v>9170580</v>
      </c>
      <c r="AJ5124" t="s">
        <v>9076</v>
      </c>
      <c r="AK5124">
        <v>2810542809</v>
      </c>
      <c r="AL5124" t="s">
        <v>9077</v>
      </c>
      <c r="AM5124" t="s">
        <v>78</v>
      </c>
      <c r="AN5124" t="s">
        <v>78</v>
      </c>
      <c r="AO5124" t="s">
        <v>78</v>
      </c>
      <c r="AP5124" t="s">
        <v>9053</v>
      </c>
      <c r="AQ5124">
        <v>1</v>
      </c>
      <c r="AR5124" t="s">
        <v>80</v>
      </c>
      <c r="AS5124" t="s">
        <v>81</v>
      </c>
      <c r="AT5124" t="s">
        <v>58</v>
      </c>
      <c r="AU5124" t="s">
        <v>68</v>
      </c>
      <c r="AV5124" t="s">
        <v>69</v>
      </c>
      <c r="AW5124" s="1">
        <v>27028</v>
      </c>
      <c r="AX5124">
        <v>1</v>
      </c>
    </row>
    <row r="5125" spans="1:50">
      <c r="B5125" t="str">
        <f>"129123521"</f>
        <v>129123521</v>
      </c>
      <c r="C5125" t="s">
        <v>105</v>
      </c>
      <c r="D5125" t="s">
        <v>9358</v>
      </c>
      <c r="E5125" t="s">
        <v>900</v>
      </c>
      <c r="F5125" t="s">
        <v>99</v>
      </c>
      <c r="G5125" t="s">
        <v>626</v>
      </c>
      <c r="H5125" t="str">
        <f>"ΑΛΕΞ. ΠΑΛΛΗ 9 ΑΘΗΝΑ"</f>
        <v>ΑΛΕΞ. ΠΑΛΛΗ 9 ΑΘΗΝΑ</v>
      </c>
      <c r="I5125">
        <v>11475</v>
      </c>
      <c r="J5125">
        <v>2106410614</v>
      </c>
      <c r="K5125">
        <v>6977542743</v>
      </c>
      <c r="N5125" t="s">
        <v>204</v>
      </c>
      <c r="O5125" t="s">
        <v>205</v>
      </c>
      <c r="R5125" t="s">
        <v>159</v>
      </c>
      <c r="S5125">
        <v>4</v>
      </c>
      <c r="T5125" t="s">
        <v>9034</v>
      </c>
      <c r="U5125" s="1">
        <v>43377</v>
      </c>
      <c r="V5125" t="s">
        <v>80</v>
      </c>
      <c r="W5125" t="s">
        <v>81</v>
      </c>
      <c r="X5125" t="s">
        <v>58</v>
      </c>
      <c r="Y5125">
        <v>24</v>
      </c>
      <c r="Z5125" t="s">
        <v>59</v>
      </c>
      <c r="AA5125" t="s">
        <v>59</v>
      </c>
      <c r="AB5125" t="s">
        <v>59</v>
      </c>
      <c r="AC5125" t="s">
        <v>59</v>
      </c>
      <c r="AD5125" t="s">
        <v>59</v>
      </c>
      <c r="AF5125" s="1">
        <v>43377</v>
      </c>
      <c r="AG5125" t="s">
        <v>8645</v>
      </c>
      <c r="AH5125" t="s">
        <v>8646</v>
      </c>
      <c r="AI5125" t="str">
        <f>"9170235"</f>
        <v>9170235</v>
      </c>
      <c r="AJ5125" t="s">
        <v>8806</v>
      </c>
      <c r="AK5125">
        <v>2891031258</v>
      </c>
      <c r="AL5125" t="s">
        <v>8807</v>
      </c>
      <c r="AM5125" t="s">
        <v>78</v>
      </c>
      <c r="AN5125" t="s">
        <v>276</v>
      </c>
      <c r="AO5125" t="s">
        <v>277</v>
      </c>
      <c r="AP5125" t="s">
        <v>277</v>
      </c>
      <c r="AQ5125">
        <v>13</v>
      </c>
      <c r="AR5125" t="s">
        <v>80</v>
      </c>
      <c r="AS5125" t="s">
        <v>81</v>
      </c>
      <c r="AT5125" t="s">
        <v>58</v>
      </c>
      <c r="AU5125" t="s">
        <v>8673</v>
      </c>
      <c r="AV5125" t="s">
        <v>132</v>
      </c>
      <c r="AW5125" s="1">
        <v>28610</v>
      </c>
      <c r="AX5125">
        <v>1</v>
      </c>
    </row>
    <row r="5126" spans="1:50">
      <c r="A5126">
        <v>607707</v>
      </c>
      <c r="B5126" t="str">
        <f>"123781715"</f>
        <v>123781715</v>
      </c>
      <c r="C5126" t="s">
        <v>50</v>
      </c>
      <c r="D5126" t="s">
        <v>9359</v>
      </c>
      <c r="E5126" t="s">
        <v>155</v>
      </c>
      <c r="F5126" t="s">
        <v>95</v>
      </c>
      <c r="G5126" t="s">
        <v>85</v>
      </c>
      <c r="H5126" t="str">
        <f>"ΔΙΟΔΩΡΟΥ 7 ΧΑΛΚΙΔΙΚΗ"</f>
        <v>ΔΙΟΔΩΡΟΥ 7 ΧΑΛΚΙΔΙΚΗ</v>
      </c>
      <c r="I5126">
        <v>63200</v>
      </c>
      <c r="J5126">
        <v>2373022736</v>
      </c>
      <c r="K5126">
        <v>6974884453</v>
      </c>
      <c r="M5126" t="s">
        <v>9360</v>
      </c>
      <c r="N5126" t="s">
        <v>615</v>
      </c>
      <c r="O5126" t="s">
        <v>616</v>
      </c>
      <c r="R5126" t="s">
        <v>57</v>
      </c>
      <c r="S5126">
        <v>7</v>
      </c>
      <c r="T5126" t="s">
        <v>9361</v>
      </c>
      <c r="U5126" s="1">
        <v>38596</v>
      </c>
      <c r="V5126" t="s">
        <v>80</v>
      </c>
      <c r="W5126" t="s">
        <v>81</v>
      </c>
      <c r="X5126" t="s">
        <v>58</v>
      </c>
      <c r="Y5126">
        <v>23</v>
      </c>
      <c r="Z5126" t="s">
        <v>59</v>
      </c>
      <c r="AA5126" t="s">
        <v>59</v>
      </c>
      <c r="AB5126" t="s">
        <v>59</v>
      </c>
      <c r="AC5126" t="s">
        <v>59</v>
      </c>
      <c r="AD5126" t="s">
        <v>59</v>
      </c>
      <c r="AF5126" s="1">
        <v>38602</v>
      </c>
      <c r="AG5126" t="s">
        <v>8645</v>
      </c>
      <c r="AH5126" t="s">
        <v>8646</v>
      </c>
      <c r="AI5126" t="str">
        <f>"9170431"</f>
        <v>9170431</v>
      </c>
      <c r="AJ5126" t="s">
        <v>8658</v>
      </c>
      <c r="AK5126">
        <v>2810250952</v>
      </c>
      <c r="AL5126" t="s">
        <v>8659</v>
      </c>
      <c r="AM5126" t="s">
        <v>78</v>
      </c>
      <c r="AN5126" t="s">
        <v>78</v>
      </c>
      <c r="AO5126" t="s">
        <v>78</v>
      </c>
      <c r="AP5126" t="s">
        <v>141</v>
      </c>
      <c r="AQ5126">
        <v>1</v>
      </c>
      <c r="AR5126" t="s">
        <v>80</v>
      </c>
      <c r="AS5126" t="s">
        <v>81</v>
      </c>
      <c r="AT5126" t="s">
        <v>58</v>
      </c>
      <c r="AU5126" t="s">
        <v>68</v>
      </c>
      <c r="AV5126" t="s">
        <v>69</v>
      </c>
      <c r="AW5126" s="1">
        <v>29966</v>
      </c>
      <c r="AX5126">
        <v>1</v>
      </c>
    </row>
    <row r="5127" spans="1:50">
      <c r="A5127">
        <v>622669</v>
      </c>
      <c r="B5127" t="str">
        <f>"104011961"</f>
        <v>104011961</v>
      </c>
      <c r="C5127" t="s">
        <v>50</v>
      </c>
      <c r="D5127" t="s">
        <v>1099</v>
      </c>
      <c r="E5127" t="s">
        <v>155</v>
      </c>
      <c r="F5127" t="s">
        <v>84</v>
      </c>
      <c r="G5127" t="s">
        <v>1085</v>
      </c>
      <c r="H5127" t="str">
        <f>"ΓΡΗΓΟΡΙΟΥ Ε  4-6 ΜΕΣΣΗΝΗ"</f>
        <v>ΓΡΗΓΟΡΙΟΥ Ε  4-6 ΜΕΣΣΗΝΗ</v>
      </c>
      <c r="I5127">
        <v>24200</v>
      </c>
      <c r="J5127">
        <v>2722062352</v>
      </c>
      <c r="K5127">
        <v>6973692771</v>
      </c>
      <c r="N5127" t="s">
        <v>1525</v>
      </c>
      <c r="O5127" t="s">
        <v>1526</v>
      </c>
      <c r="R5127" t="s">
        <v>57</v>
      </c>
      <c r="S5127">
        <v>4</v>
      </c>
      <c r="T5127">
        <v>653</v>
      </c>
      <c r="U5127" s="1">
        <v>40043</v>
      </c>
      <c r="V5127" t="s">
        <v>80</v>
      </c>
      <c r="W5127" t="s">
        <v>81</v>
      </c>
      <c r="X5127" t="s">
        <v>58</v>
      </c>
      <c r="Y5127">
        <v>25</v>
      </c>
      <c r="Z5127" t="s">
        <v>59</v>
      </c>
      <c r="AA5127" t="s">
        <v>59</v>
      </c>
      <c r="AB5127" t="s">
        <v>59</v>
      </c>
      <c r="AC5127" t="s">
        <v>59</v>
      </c>
      <c r="AD5127" t="s">
        <v>59</v>
      </c>
      <c r="AF5127" s="1">
        <v>40043</v>
      </c>
      <c r="AG5127" t="s">
        <v>8651</v>
      </c>
      <c r="AH5127" t="s">
        <v>8652</v>
      </c>
      <c r="AI5127" t="str">
        <f>"9170410"</f>
        <v>9170410</v>
      </c>
      <c r="AJ5127" t="s">
        <v>8751</v>
      </c>
      <c r="AK5127">
        <v>2810251805</v>
      </c>
      <c r="AL5127" t="s">
        <v>8752</v>
      </c>
      <c r="AM5127" t="s">
        <v>78</v>
      </c>
      <c r="AN5127" t="s">
        <v>78</v>
      </c>
      <c r="AO5127" t="s">
        <v>78</v>
      </c>
      <c r="AP5127" t="s">
        <v>141</v>
      </c>
      <c r="AQ5127">
        <v>1</v>
      </c>
      <c r="AR5127" t="s">
        <v>80</v>
      </c>
      <c r="AS5127" t="s">
        <v>81</v>
      </c>
      <c r="AT5127" t="s">
        <v>58</v>
      </c>
      <c r="AU5127" t="s">
        <v>68</v>
      </c>
      <c r="AV5127" t="s">
        <v>69</v>
      </c>
      <c r="AW5127" s="1">
        <v>30153</v>
      </c>
      <c r="AX5127">
        <v>1</v>
      </c>
    </row>
    <row r="5128" spans="1:50">
      <c r="B5128" t="str">
        <f>"122010900"</f>
        <v>122010900</v>
      </c>
      <c r="C5128" t="s">
        <v>50</v>
      </c>
      <c r="D5128" t="s">
        <v>5870</v>
      </c>
      <c r="E5128" t="s">
        <v>484</v>
      </c>
      <c r="F5128" t="s">
        <v>95</v>
      </c>
      <c r="G5128" t="s">
        <v>191</v>
      </c>
      <c r="H5128" t="str">
        <f>"ΔΑΓΚΛΗ 48 "</f>
        <v xml:space="preserve">ΔΑΓΚΛΗ 48 </v>
      </c>
      <c r="I5128">
        <v>41334</v>
      </c>
      <c r="J5128">
        <v>2410619081</v>
      </c>
      <c r="K5128">
        <v>6946006678</v>
      </c>
      <c r="N5128" t="s">
        <v>1525</v>
      </c>
      <c r="O5128" t="s">
        <v>1526</v>
      </c>
      <c r="R5128" t="s">
        <v>159</v>
      </c>
      <c r="S5128">
        <v>3</v>
      </c>
      <c r="T5128" t="s">
        <v>8670</v>
      </c>
      <c r="U5128" s="1">
        <v>43348</v>
      </c>
      <c r="V5128" t="s">
        <v>80</v>
      </c>
      <c r="W5128" t="s">
        <v>81</v>
      </c>
      <c r="X5128" t="s">
        <v>58</v>
      </c>
      <c r="Y5128">
        <v>25</v>
      </c>
      <c r="Z5128" t="s">
        <v>59</v>
      </c>
      <c r="AA5128" t="s">
        <v>59</v>
      </c>
      <c r="AB5128" t="s">
        <v>59</v>
      </c>
      <c r="AC5128" t="s">
        <v>59</v>
      </c>
      <c r="AD5128" t="s">
        <v>59</v>
      </c>
      <c r="AF5128" s="1">
        <v>43348</v>
      </c>
      <c r="AG5128" t="s">
        <v>8651</v>
      </c>
      <c r="AH5128" t="s">
        <v>8652</v>
      </c>
      <c r="AI5128" t="str">
        <f>"9170318"</f>
        <v>9170318</v>
      </c>
      <c r="AJ5128" t="s">
        <v>8888</v>
      </c>
      <c r="AK5128">
        <v>2893023231</v>
      </c>
      <c r="AL5128" t="s">
        <v>8889</v>
      </c>
      <c r="AM5128" t="s">
        <v>78</v>
      </c>
      <c r="AN5128" t="s">
        <v>424</v>
      </c>
      <c r="AO5128" t="s">
        <v>577</v>
      </c>
      <c r="AP5128" t="s">
        <v>1668</v>
      </c>
      <c r="AQ5128">
        <v>10</v>
      </c>
      <c r="AR5128" t="s">
        <v>80</v>
      </c>
      <c r="AS5128" t="s">
        <v>81</v>
      </c>
      <c r="AT5128" t="s">
        <v>58</v>
      </c>
      <c r="AU5128" t="s">
        <v>8673</v>
      </c>
      <c r="AV5128" t="s">
        <v>132</v>
      </c>
      <c r="AW5128" s="1">
        <v>28975</v>
      </c>
      <c r="AX5128">
        <v>1</v>
      </c>
    </row>
    <row r="5129" spans="1:50">
      <c r="A5129">
        <v>614046</v>
      </c>
      <c r="B5129" t="str">
        <f>"114594291"</f>
        <v>114594291</v>
      </c>
      <c r="C5129" t="s">
        <v>50</v>
      </c>
      <c r="D5129" t="s">
        <v>9362</v>
      </c>
      <c r="E5129" t="s">
        <v>52</v>
      </c>
      <c r="F5129" t="s">
        <v>95</v>
      </c>
      <c r="G5129" t="s">
        <v>191</v>
      </c>
      <c r="H5129" t="str">
        <f>"Κ. ΚΑΡΥΩΤΑΚΗ 8 ΗΡΑΚΛΕΙΟ"</f>
        <v>Κ. ΚΑΡΥΩΤΑΚΗ 8 ΗΡΑΚΛΕΙΟ</v>
      </c>
      <c r="I5129">
        <v>71601</v>
      </c>
      <c r="J5129">
        <v>2810344883</v>
      </c>
      <c r="K5129">
        <v>6937427998</v>
      </c>
      <c r="N5129" t="s">
        <v>615</v>
      </c>
      <c r="O5129" t="s">
        <v>616</v>
      </c>
      <c r="R5129" t="s">
        <v>57</v>
      </c>
      <c r="S5129">
        <v>6</v>
      </c>
      <c r="T5129">
        <v>598</v>
      </c>
      <c r="U5129" s="1">
        <v>39310</v>
      </c>
      <c r="V5129" t="s">
        <v>80</v>
      </c>
      <c r="W5129" t="s">
        <v>81</v>
      </c>
      <c r="X5129" t="s">
        <v>58</v>
      </c>
      <c r="Y5129">
        <v>23</v>
      </c>
      <c r="Z5129" t="s">
        <v>59</v>
      </c>
      <c r="AA5129" t="s">
        <v>59</v>
      </c>
      <c r="AB5129" t="s">
        <v>59</v>
      </c>
      <c r="AC5129" t="s">
        <v>59</v>
      </c>
      <c r="AD5129" t="s">
        <v>59</v>
      </c>
      <c r="AF5129" s="1">
        <v>39328</v>
      </c>
      <c r="AG5129" t="s">
        <v>8645</v>
      </c>
      <c r="AH5129" t="s">
        <v>8646</v>
      </c>
      <c r="AI5129" t="str">
        <f>"9170520"</f>
        <v>9170520</v>
      </c>
      <c r="AJ5129" t="s">
        <v>8738</v>
      </c>
      <c r="AK5129">
        <v>2810281317</v>
      </c>
      <c r="AL5129" t="s">
        <v>8739</v>
      </c>
      <c r="AM5129" t="s">
        <v>78</v>
      </c>
      <c r="AN5129" t="s">
        <v>78</v>
      </c>
      <c r="AO5129" t="s">
        <v>286</v>
      </c>
      <c r="AP5129" t="s">
        <v>286</v>
      </c>
      <c r="AQ5129">
        <v>1</v>
      </c>
      <c r="AR5129" t="s">
        <v>80</v>
      </c>
      <c r="AS5129" t="s">
        <v>81</v>
      </c>
      <c r="AT5129" t="s">
        <v>58</v>
      </c>
      <c r="AU5129" t="s">
        <v>68</v>
      </c>
      <c r="AV5129" t="s">
        <v>69</v>
      </c>
      <c r="AW5129" s="1">
        <v>30385</v>
      </c>
      <c r="AX5129">
        <v>1</v>
      </c>
    </row>
    <row r="5130" spans="1:50">
      <c r="B5130" t="str">
        <f>"137499155"</f>
        <v>137499155</v>
      </c>
      <c r="C5130" t="s">
        <v>50</v>
      </c>
      <c r="D5130" t="s">
        <v>9363</v>
      </c>
      <c r="E5130" t="s">
        <v>9364</v>
      </c>
      <c r="F5130" t="s">
        <v>99</v>
      </c>
      <c r="G5130" t="s">
        <v>83</v>
      </c>
      <c r="H5130" t="str">
        <f>"ΑΓΙΑ ΓΑΛΗΝΗ "</f>
        <v xml:space="preserve">ΑΓΙΑ ΓΑΛΗΝΗ </v>
      </c>
      <c r="I5130">
        <v>74056</v>
      </c>
      <c r="J5130">
        <v>2832091378</v>
      </c>
      <c r="K5130">
        <v>6980924669</v>
      </c>
      <c r="N5130" t="s">
        <v>615</v>
      </c>
      <c r="O5130" t="s">
        <v>616</v>
      </c>
      <c r="R5130" t="s">
        <v>159</v>
      </c>
      <c r="S5130">
        <v>5</v>
      </c>
      <c r="T5130" t="s">
        <v>8675</v>
      </c>
      <c r="U5130" s="1">
        <v>43348</v>
      </c>
      <c r="V5130" t="s">
        <v>80</v>
      </c>
      <c r="W5130" t="s">
        <v>81</v>
      </c>
      <c r="X5130" t="s">
        <v>58</v>
      </c>
      <c r="Y5130">
        <v>24</v>
      </c>
      <c r="Z5130" t="s">
        <v>59</v>
      </c>
      <c r="AA5130" t="s">
        <v>59</v>
      </c>
      <c r="AB5130" t="s">
        <v>59</v>
      </c>
      <c r="AC5130" t="s">
        <v>59</v>
      </c>
      <c r="AD5130" t="s">
        <v>59</v>
      </c>
      <c r="AF5130" s="1">
        <v>43348</v>
      </c>
      <c r="AG5130" t="s">
        <v>8645</v>
      </c>
      <c r="AH5130" t="s">
        <v>8646</v>
      </c>
      <c r="AI5130" t="str">
        <f>"9170056"</f>
        <v>9170056</v>
      </c>
      <c r="AJ5130" t="s">
        <v>9137</v>
      </c>
      <c r="AK5130">
        <v>2810253392</v>
      </c>
      <c r="AL5130" t="s">
        <v>9138</v>
      </c>
      <c r="AM5130" t="s">
        <v>78</v>
      </c>
      <c r="AN5130" t="s">
        <v>78</v>
      </c>
      <c r="AO5130" t="s">
        <v>78</v>
      </c>
      <c r="AP5130" t="s">
        <v>141</v>
      </c>
      <c r="AQ5130">
        <v>1</v>
      </c>
      <c r="AR5130" t="s">
        <v>80</v>
      </c>
      <c r="AS5130" t="s">
        <v>81</v>
      </c>
      <c r="AT5130" t="s">
        <v>58</v>
      </c>
      <c r="AU5130" t="s">
        <v>8673</v>
      </c>
      <c r="AV5130" t="s">
        <v>132</v>
      </c>
      <c r="AW5130" s="1">
        <v>31904</v>
      </c>
      <c r="AX5130">
        <v>1</v>
      </c>
    </row>
    <row r="5131" spans="1:50">
      <c r="A5131">
        <v>565241</v>
      </c>
      <c r="B5131" t="str">
        <f>"055317657"</f>
        <v>055317657</v>
      </c>
      <c r="C5131" t="s">
        <v>50</v>
      </c>
      <c r="D5131" t="s">
        <v>1113</v>
      </c>
      <c r="E5131" t="s">
        <v>52</v>
      </c>
      <c r="F5131" t="s">
        <v>166</v>
      </c>
      <c r="G5131" t="s">
        <v>1114</v>
      </c>
      <c r="H5131" t="str">
        <f>"Προφήτης Ηλίας Τεμένους ΗΡΑΚΛΕΙΟ"</f>
        <v>Προφήτης Ηλίας Τεμένους ΗΡΑΚΛΕΙΟ</v>
      </c>
      <c r="I5131">
        <v>71500</v>
      </c>
      <c r="J5131">
        <v>2810328309</v>
      </c>
      <c r="K5131">
        <v>6980285987</v>
      </c>
      <c r="N5131" t="s">
        <v>615</v>
      </c>
      <c r="O5131" t="s">
        <v>616</v>
      </c>
      <c r="P5131" t="s">
        <v>1116</v>
      </c>
      <c r="Q5131" t="s">
        <v>1117</v>
      </c>
      <c r="R5131" t="s">
        <v>57</v>
      </c>
      <c r="S5131">
        <v>14</v>
      </c>
      <c r="T5131">
        <v>161</v>
      </c>
      <c r="U5131" s="1">
        <v>33119</v>
      </c>
      <c r="V5131" t="s">
        <v>80</v>
      </c>
      <c r="W5131" t="s">
        <v>81</v>
      </c>
      <c r="X5131" t="s">
        <v>58</v>
      </c>
      <c r="Y5131">
        <v>21</v>
      </c>
      <c r="Z5131" t="s">
        <v>59</v>
      </c>
      <c r="AA5131" t="s">
        <v>59</v>
      </c>
      <c r="AB5131" t="s">
        <v>59</v>
      </c>
      <c r="AC5131" t="s">
        <v>59</v>
      </c>
      <c r="AD5131" t="s">
        <v>59</v>
      </c>
      <c r="AF5131" s="1">
        <v>33120</v>
      </c>
      <c r="AG5131" t="s">
        <v>8645</v>
      </c>
      <c r="AH5131" t="s">
        <v>8646</v>
      </c>
      <c r="AI5131" t="str">
        <f>"9170057"</f>
        <v>9170057</v>
      </c>
      <c r="AJ5131" t="s">
        <v>8929</v>
      </c>
      <c r="AK5131">
        <v>2810251505</v>
      </c>
      <c r="AL5131" t="s">
        <v>8930</v>
      </c>
      <c r="AM5131" t="s">
        <v>78</v>
      </c>
      <c r="AN5131" t="s">
        <v>78</v>
      </c>
      <c r="AO5131" t="s">
        <v>78</v>
      </c>
      <c r="AP5131" t="s">
        <v>141</v>
      </c>
      <c r="AQ5131">
        <v>1</v>
      </c>
      <c r="AR5131" t="s">
        <v>80</v>
      </c>
      <c r="AS5131" t="s">
        <v>81</v>
      </c>
      <c r="AT5131" t="s">
        <v>58</v>
      </c>
      <c r="AU5131" t="s">
        <v>68</v>
      </c>
      <c r="AV5131" t="s">
        <v>2039</v>
      </c>
      <c r="AW5131" s="1">
        <v>24108</v>
      </c>
      <c r="AX5131">
        <v>1</v>
      </c>
    </row>
    <row r="5132" spans="1:50">
      <c r="B5132" t="str">
        <f>"146871778"</f>
        <v>146871778</v>
      </c>
      <c r="C5132" t="s">
        <v>50</v>
      </c>
      <c r="D5132" t="s">
        <v>9365</v>
      </c>
      <c r="E5132" t="s">
        <v>476</v>
      </c>
      <c r="F5132" t="s">
        <v>450</v>
      </c>
      <c r="G5132" t="s">
        <v>250</v>
      </c>
      <c r="H5132" t="str">
        <f>"ΠΑΡ.ΑΧΑΙΚΗΣ ΣΥΜΠΟΛΙΤΕΙΑΣ 47 3 "</f>
        <v xml:space="preserve">ΠΑΡ.ΑΧΑΙΚΗΣ ΣΥΜΠΟΛΙΤΕΙΑΣ 47 3 </v>
      </c>
      <c r="I5132">
        <v>26441</v>
      </c>
      <c r="J5132">
        <v>2610431662</v>
      </c>
      <c r="K5132">
        <v>6932140966</v>
      </c>
      <c r="N5132" t="s">
        <v>1525</v>
      </c>
      <c r="O5132" t="s">
        <v>1526</v>
      </c>
      <c r="R5132" t="s">
        <v>159</v>
      </c>
      <c r="S5132">
        <v>2</v>
      </c>
      <c r="T5132" t="s">
        <v>8670</v>
      </c>
      <c r="U5132" s="1">
        <v>43348</v>
      </c>
      <c r="V5132" t="s">
        <v>80</v>
      </c>
      <c r="W5132" t="s">
        <v>81</v>
      </c>
      <c r="X5132" t="s">
        <v>58</v>
      </c>
      <c r="Y5132">
        <v>25</v>
      </c>
      <c r="Z5132" t="s">
        <v>59</v>
      </c>
      <c r="AA5132" t="s">
        <v>59</v>
      </c>
      <c r="AB5132" t="s">
        <v>59</v>
      </c>
      <c r="AC5132" t="s">
        <v>59</v>
      </c>
      <c r="AD5132" t="s">
        <v>59</v>
      </c>
      <c r="AF5132" s="1">
        <v>43348</v>
      </c>
      <c r="AG5132" t="s">
        <v>8651</v>
      </c>
      <c r="AH5132" t="s">
        <v>8652</v>
      </c>
      <c r="AI5132" t="str">
        <f>"9170394"</f>
        <v>9170394</v>
      </c>
      <c r="AJ5132" t="s">
        <v>8891</v>
      </c>
      <c r="AK5132">
        <v>2894023548</v>
      </c>
      <c r="AL5132" t="s">
        <v>8892</v>
      </c>
      <c r="AM5132" t="s">
        <v>78</v>
      </c>
      <c r="AN5132" t="s">
        <v>405</v>
      </c>
      <c r="AO5132" t="s">
        <v>406</v>
      </c>
      <c r="AP5132" t="s">
        <v>8893</v>
      </c>
      <c r="AQ5132">
        <v>6</v>
      </c>
      <c r="AR5132" t="s">
        <v>80</v>
      </c>
      <c r="AS5132" t="s">
        <v>81</v>
      </c>
      <c r="AT5132" t="s">
        <v>58</v>
      </c>
      <c r="AU5132" t="s">
        <v>8673</v>
      </c>
      <c r="AV5132" t="s">
        <v>132</v>
      </c>
      <c r="AW5132" s="1">
        <v>30458</v>
      </c>
      <c r="AX5132">
        <v>1</v>
      </c>
    </row>
    <row r="5133" spans="1:50">
      <c r="B5133" t="str">
        <f>"147541148"</f>
        <v>147541148</v>
      </c>
      <c r="C5133" t="s">
        <v>50</v>
      </c>
      <c r="D5133" t="s">
        <v>9366</v>
      </c>
      <c r="E5133" t="s">
        <v>52</v>
      </c>
      <c r="F5133" t="s">
        <v>1392</v>
      </c>
      <c r="G5133" t="s">
        <v>9367</v>
      </c>
      <c r="H5133" t="str">
        <f>"Μ. ΠΙΕΡΙΔΟΥ 26Α "</f>
        <v xml:space="preserve">Μ. ΠΙΕΡΙΔΟΥ 26Α </v>
      </c>
      <c r="I5133">
        <v>6050</v>
      </c>
      <c r="J5133">
        <v>2130456545</v>
      </c>
      <c r="K5133">
        <v>6980367034</v>
      </c>
      <c r="N5133" t="s">
        <v>615</v>
      </c>
      <c r="O5133" t="s">
        <v>616</v>
      </c>
      <c r="R5133" t="s">
        <v>159</v>
      </c>
      <c r="S5133">
        <v>3</v>
      </c>
      <c r="T5133" t="s">
        <v>8675</v>
      </c>
      <c r="U5133" s="1">
        <v>43348</v>
      </c>
      <c r="V5133" t="s">
        <v>80</v>
      </c>
      <c r="W5133" t="s">
        <v>81</v>
      </c>
      <c r="X5133" t="s">
        <v>58</v>
      </c>
      <c r="Y5133">
        <v>24</v>
      </c>
      <c r="Z5133" t="s">
        <v>59</v>
      </c>
      <c r="AA5133" t="s">
        <v>59</v>
      </c>
      <c r="AB5133" t="s">
        <v>59</v>
      </c>
      <c r="AC5133" t="s">
        <v>59</v>
      </c>
      <c r="AD5133" t="s">
        <v>59</v>
      </c>
      <c r="AF5133" s="1">
        <v>43348</v>
      </c>
      <c r="AG5133" t="s">
        <v>8645</v>
      </c>
      <c r="AH5133" t="s">
        <v>8646</v>
      </c>
      <c r="AI5133" t="str">
        <f>"9170002"</f>
        <v>9170002</v>
      </c>
      <c r="AJ5133" t="s">
        <v>9368</v>
      </c>
      <c r="AK5133">
        <v>2894041207</v>
      </c>
      <c r="AL5133" t="s">
        <v>9369</v>
      </c>
      <c r="AM5133" t="s">
        <v>78</v>
      </c>
      <c r="AN5133" t="s">
        <v>405</v>
      </c>
      <c r="AO5133" t="s">
        <v>551</v>
      </c>
      <c r="AP5133" t="s">
        <v>552</v>
      </c>
      <c r="AQ5133">
        <v>21</v>
      </c>
      <c r="AR5133" t="s">
        <v>80</v>
      </c>
      <c r="AS5133" t="s">
        <v>81</v>
      </c>
      <c r="AT5133" t="s">
        <v>58</v>
      </c>
      <c r="AU5133" t="s">
        <v>8673</v>
      </c>
      <c r="AV5133" t="s">
        <v>132</v>
      </c>
      <c r="AW5133" s="1">
        <v>31714</v>
      </c>
      <c r="AX5133">
        <v>1</v>
      </c>
    </row>
    <row r="5134" spans="1:50">
      <c r="A5134">
        <v>567227</v>
      </c>
      <c r="B5134" t="str">
        <f>"062836078"</f>
        <v>062836078</v>
      </c>
      <c r="C5134" t="s">
        <v>50</v>
      </c>
      <c r="D5134" t="s">
        <v>9370</v>
      </c>
      <c r="E5134" t="s">
        <v>83</v>
      </c>
      <c r="F5134" t="s">
        <v>99</v>
      </c>
      <c r="G5134" t="s">
        <v>513</v>
      </c>
      <c r="H5134" t="str">
        <f>"ΚΩΣΤΗ ΑΔΟΣΙΔΗ 22 ΗΡΑΚΛΕΙΟ"</f>
        <v>ΚΩΣΤΗ ΑΔΟΣΙΔΗ 22 ΗΡΑΚΛΕΙΟ</v>
      </c>
      <c r="I5134">
        <v>71303</v>
      </c>
      <c r="J5134">
        <v>2810250053</v>
      </c>
      <c r="K5134">
        <v>6979973578</v>
      </c>
      <c r="N5134" t="s">
        <v>615</v>
      </c>
      <c r="O5134" t="s">
        <v>616</v>
      </c>
      <c r="R5134" t="s">
        <v>57</v>
      </c>
      <c r="S5134">
        <v>15</v>
      </c>
      <c r="T5134">
        <v>133</v>
      </c>
      <c r="U5134" s="1">
        <v>33456</v>
      </c>
      <c r="V5134" t="s">
        <v>80</v>
      </c>
      <c r="W5134" t="s">
        <v>81</v>
      </c>
      <c r="X5134" t="s">
        <v>58</v>
      </c>
      <c r="Y5134">
        <v>21</v>
      </c>
      <c r="Z5134" t="s">
        <v>59</v>
      </c>
      <c r="AA5134" t="s">
        <v>59</v>
      </c>
      <c r="AB5134" t="s">
        <v>59</v>
      </c>
      <c r="AC5134" t="s">
        <v>59</v>
      </c>
      <c r="AD5134" t="s">
        <v>59</v>
      </c>
      <c r="AF5134" s="1">
        <v>33456</v>
      </c>
      <c r="AG5134" t="s">
        <v>8645</v>
      </c>
      <c r="AH5134" t="s">
        <v>8697</v>
      </c>
      <c r="AI5134" t="str">
        <f>"9170372"</f>
        <v>9170372</v>
      </c>
      <c r="AJ5134" t="s">
        <v>9296</v>
      </c>
      <c r="AK5134">
        <v>2810281754</v>
      </c>
      <c r="AL5134" t="s">
        <v>9297</v>
      </c>
      <c r="AM5134" t="s">
        <v>78</v>
      </c>
      <c r="AN5134" t="s">
        <v>78</v>
      </c>
      <c r="AO5134" t="s">
        <v>78</v>
      </c>
      <c r="AP5134" t="s">
        <v>79</v>
      </c>
      <c r="AQ5134">
        <v>1</v>
      </c>
      <c r="AR5134" t="s">
        <v>80</v>
      </c>
      <c r="AS5134" t="s">
        <v>81</v>
      </c>
      <c r="AT5134" t="s">
        <v>58</v>
      </c>
      <c r="AU5134" t="s">
        <v>68</v>
      </c>
      <c r="AV5134" t="s">
        <v>69</v>
      </c>
      <c r="AW5134" s="1">
        <v>21892</v>
      </c>
      <c r="AX5134">
        <v>1</v>
      </c>
    </row>
    <row r="5135" spans="1:50">
      <c r="A5135">
        <v>597356</v>
      </c>
      <c r="B5135" t="str">
        <f>"050844604"</f>
        <v>050844604</v>
      </c>
      <c r="C5135" t="s">
        <v>105</v>
      </c>
      <c r="D5135" t="s">
        <v>9371</v>
      </c>
      <c r="E5135" t="s">
        <v>72</v>
      </c>
      <c r="F5135" t="s">
        <v>9372</v>
      </c>
      <c r="G5135" t="s">
        <v>268</v>
      </c>
      <c r="H5135" t="str">
        <f>"ΙΚΑΡΙΑΣ 19 ΗΛΙΟΥΠΟΛΗ ΗΡΑΚΛΕΙΟΥ"</f>
        <v>ΙΚΑΡΙΑΣ 19 ΗΛΙΟΥΠΟΛΗ ΗΡΑΚΛΕΙΟΥ</v>
      </c>
      <c r="I5135">
        <v>71409</v>
      </c>
      <c r="J5135">
        <v>2810210926</v>
      </c>
      <c r="K5135">
        <v>6945555076</v>
      </c>
      <c r="N5135" t="s">
        <v>176</v>
      </c>
      <c r="O5135" t="s">
        <v>177</v>
      </c>
      <c r="R5135" t="s">
        <v>57</v>
      </c>
      <c r="S5135">
        <v>11</v>
      </c>
      <c r="T5135">
        <v>193</v>
      </c>
      <c r="U5135" s="1">
        <v>37497</v>
      </c>
      <c r="V5135" t="s">
        <v>80</v>
      </c>
      <c r="W5135" t="s">
        <v>81</v>
      </c>
      <c r="X5135" t="s">
        <v>58</v>
      </c>
      <c r="Y5135">
        <v>21</v>
      </c>
      <c r="Z5135" t="s">
        <v>59</v>
      </c>
      <c r="AA5135" t="s">
        <v>59</v>
      </c>
      <c r="AB5135" t="s">
        <v>59</v>
      </c>
      <c r="AC5135" t="s">
        <v>59</v>
      </c>
      <c r="AD5135" t="s">
        <v>59</v>
      </c>
      <c r="AF5135" s="1">
        <v>37501</v>
      </c>
      <c r="AG5135" t="s">
        <v>8645</v>
      </c>
      <c r="AH5135" t="s">
        <v>8646</v>
      </c>
      <c r="AI5135" t="str">
        <f>"9170547"</f>
        <v>9170547</v>
      </c>
      <c r="AJ5135" t="s">
        <v>9175</v>
      </c>
      <c r="AK5135">
        <v>2810250886</v>
      </c>
      <c r="AL5135" t="s">
        <v>9176</v>
      </c>
      <c r="AM5135" t="s">
        <v>78</v>
      </c>
      <c r="AN5135" t="s">
        <v>78</v>
      </c>
      <c r="AO5135" t="s">
        <v>78</v>
      </c>
      <c r="AP5135" t="s">
        <v>141</v>
      </c>
      <c r="AQ5135">
        <v>1</v>
      </c>
      <c r="AR5135" t="s">
        <v>80</v>
      </c>
      <c r="AS5135" t="s">
        <v>81</v>
      </c>
      <c r="AT5135" t="s">
        <v>58</v>
      </c>
      <c r="AU5135" t="s">
        <v>68</v>
      </c>
      <c r="AV5135" t="s">
        <v>69</v>
      </c>
      <c r="AW5135" s="1">
        <v>23892</v>
      </c>
      <c r="AX5135">
        <v>1</v>
      </c>
    </row>
    <row r="5136" spans="1:50">
      <c r="A5136">
        <v>562476</v>
      </c>
      <c r="B5136" t="str">
        <f>"031372260"</f>
        <v>031372260</v>
      </c>
      <c r="C5136" t="s">
        <v>50</v>
      </c>
      <c r="D5136" t="s">
        <v>9373</v>
      </c>
      <c r="E5136" t="s">
        <v>263</v>
      </c>
      <c r="F5136" t="s">
        <v>72</v>
      </c>
      <c r="G5136" t="s">
        <v>9374</v>
      </c>
      <c r="H5136" t="str">
        <f>"Μ. ΚΑΡΑΝΑΣΤΑΣΗ 20 ΗΡΑΚΛΕΙΟ"</f>
        <v>Μ. ΚΑΡΑΝΑΣΤΑΣΗ 20 ΗΡΑΚΛΕΙΟ</v>
      </c>
      <c r="I5136">
        <v>71409</v>
      </c>
      <c r="J5136">
        <v>2810325348</v>
      </c>
      <c r="K5136">
        <v>6976353410</v>
      </c>
      <c r="N5136" t="s">
        <v>615</v>
      </c>
      <c r="O5136" t="s">
        <v>616</v>
      </c>
      <c r="R5136" t="s">
        <v>57</v>
      </c>
      <c r="S5136">
        <v>15</v>
      </c>
      <c r="T5136">
        <v>187</v>
      </c>
      <c r="U5136" s="1">
        <v>32750</v>
      </c>
      <c r="V5136" t="s">
        <v>80</v>
      </c>
      <c r="W5136" t="s">
        <v>81</v>
      </c>
      <c r="X5136" t="s">
        <v>58</v>
      </c>
      <c r="Y5136">
        <v>21</v>
      </c>
      <c r="Z5136" t="s">
        <v>59</v>
      </c>
      <c r="AA5136" t="s">
        <v>59</v>
      </c>
      <c r="AB5136" t="s">
        <v>59</v>
      </c>
      <c r="AC5136" t="s">
        <v>59</v>
      </c>
      <c r="AD5136" t="s">
        <v>59</v>
      </c>
      <c r="AF5136" s="1">
        <v>32756</v>
      </c>
      <c r="AG5136" t="s">
        <v>8645</v>
      </c>
      <c r="AH5136" t="s">
        <v>8646</v>
      </c>
      <c r="AI5136" t="str">
        <f>"9170517"</f>
        <v>9170517</v>
      </c>
      <c r="AJ5136" t="s">
        <v>9248</v>
      </c>
      <c r="AK5136">
        <v>2810238757</v>
      </c>
      <c r="AL5136" t="s">
        <v>9249</v>
      </c>
      <c r="AM5136" t="s">
        <v>78</v>
      </c>
      <c r="AN5136" t="s">
        <v>78</v>
      </c>
      <c r="AO5136" t="s">
        <v>78</v>
      </c>
      <c r="AP5136" t="s">
        <v>163</v>
      </c>
      <c r="AQ5136">
        <v>1</v>
      </c>
      <c r="AR5136" t="s">
        <v>80</v>
      </c>
      <c r="AS5136" t="s">
        <v>81</v>
      </c>
      <c r="AT5136" t="s">
        <v>58</v>
      </c>
      <c r="AU5136" t="s">
        <v>68</v>
      </c>
      <c r="AV5136" t="s">
        <v>69</v>
      </c>
      <c r="AW5136" s="1">
        <v>23639</v>
      </c>
      <c r="AX5136">
        <v>1</v>
      </c>
    </row>
    <row r="5137" spans="1:50">
      <c r="B5137" t="str">
        <f>"073376388"</f>
        <v>073376388</v>
      </c>
      <c r="C5137" t="s">
        <v>105</v>
      </c>
      <c r="D5137" t="s">
        <v>9375</v>
      </c>
      <c r="E5137" t="s">
        <v>5205</v>
      </c>
      <c r="F5137" t="s">
        <v>920</v>
      </c>
      <c r="G5137" t="s">
        <v>3866</v>
      </c>
      <c r="H5137" t="str">
        <f>"ΓΡΑΜΜΟΥ 87 ΗΓΟΥΜΕΝΙΤΣΑ"</f>
        <v>ΓΡΑΜΜΟΥ 87 ΗΓΟΥΜΕΝΙΤΣΑ</v>
      </c>
      <c r="I5137">
        <v>46100</v>
      </c>
      <c r="J5137">
        <v>2665028053</v>
      </c>
      <c r="K5137">
        <v>6947618478</v>
      </c>
      <c r="N5137" t="s">
        <v>176</v>
      </c>
      <c r="O5137" t="s">
        <v>177</v>
      </c>
      <c r="R5137" t="s">
        <v>159</v>
      </c>
      <c r="S5137">
        <v>3</v>
      </c>
      <c r="T5137" t="s">
        <v>8675</v>
      </c>
      <c r="U5137" s="1">
        <v>43348</v>
      </c>
      <c r="V5137" t="s">
        <v>80</v>
      </c>
      <c r="W5137" t="s">
        <v>81</v>
      </c>
      <c r="X5137" t="s">
        <v>58</v>
      </c>
      <c r="Y5137">
        <v>24</v>
      </c>
      <c r="Z5137" t="s">
        <v>59</v>
      </c>
      <c r="AA5137" t="s">
        <v>59</v>
      </c>
      <c r="AB5137" t="s">
        <v>59</v>
      </c>
      <c r="AC5137" t="s">
        <v>59</v>
      </c>
      <c r="AD5137" t="s">
        <v>59</v>
      </c>
      <c r="AF5137" s="1">
        <v>43348</v>
      </c>
      <c r="AG5137" t="s">
        <v>8645</v>
      </c>
      <c r="AH5137" t="s">
        <v>8646</v>
      </c>
      <c r="AI5137" t="str">
        <f>"9170039"</f>
        <v>9170039</v>
      </c>
      <c r="AJ5137" t="s">
        <v>8804</v>
      </c>
      <c r="AK5137">
        <v>2894022231</v>
      </c>
      <c r="AL5137" t="s">
        <v>8805</v>
      </c>
      <c r="AM5137" t="s">
        <v>78</v>
      </c>
      <c r="AN5137" t="s">
        <v>405</v>
      </c>
      <c r="AO5137" t="s">
        <v>406</v>
      </c>
      <c r="AP5137" t="s">
        <v>406</v>
      </c>
      <c r="AQ5137">
        <v>6</v>
      </c>
      <c r="AR5137" t="s">
        <v>80</v>
      </c>
      <c r="AS5137" t="s">
        <v>81</v>
      </c>
      <c r="AT5137" t="s">
        <v>58</v>
      </c>
      <c r="AU5137" t="s">
        <v>8673</v>
      </c>
      <c r="AV5137" t="s">
        <v>132</v>
      </c>
      <c r="AW5137" s="1">
        <v>24756</v>
      </c>
      <c r="AX5137">
        <v>1</v>
      </c>
    </row>
    <row r="5138" spans="1:50">
      <c r="B5138" t="str">
        <f>"157809116"</f>
        <v>157809116</v>
      </c>
      <c r="C5138" t="s">
        <v>50</v>
      </c>
      <c r="D5138" t="s">
        <v>9376</v>
      </c>
      <c r="E5138" t="s">
        <v>9377</v>
      </c>
      <c r="F5138" t="s">
        <v>383</v>
      </c>
      <c r="G5138" t="s">
        <v>1281</v>
      </c>
      <c r="H5138" t="str">
        <f>" "</f>
        <v xml:space="preserve"> </v>
      </c>
      <c r="N5138" t="s">
        <v>8694</v>
      </c>
      <c r="O5138" t="s">
        <v>8695</v>
      </c>
      <c r="R5138" t="s">
        <v>159</v>
      </c>
      <c r="S5138">
        <v>1</v>
      </c>
      <c r="T5138" t="s">
        <v>8696</v>
      </c>
      <c r="U5138" s="1">
        <v>43348</v>
      </c>
      <c r="V5138" t="s">
        <v>80</v>
      </c>
      <c r="W5138" t="s">
        <v>81</v>
      </c>
      <c r="X5138" t="s">
        <v>58</v>
      </c>
      <c r="Y5138">
        <v>24</v>
      </c>
      <c r="Z5138" t="s">
        <v>59</v>
      </c>
      <c r="AA5138" t="s">
        <v>59</v>
      </c>
      <c r="AB5138" t="s">
        <v>59</v>
      </c>
      <c r="AD5138" t="s">
        <v>59</v>
      </c>
      <c r="AF5138" s="1">
        <v>43348</v>
      </c>
      <c r="AG5138" t="s">
        <v>8645</v>
      </c>
      <c r="AH5138" t="s">
        <v>8697</v>
      </c>
      <c r="AI5138" t="str">
        <f>"9170358"</f>
        <v>9170358</v>
      </c>
      <c r="AJ5138" t="s">
        <v>9378</v>
      </c>
      <c r="AK5138">
        <v>2810282028</v>
      </c>
      <c r="AL5138" t="s">
        <v>9379</v>
      </c>
      <c r="AM5138" t="s">
        <v>78</v>
      </c>
      <c r="AN5138" t="s">
        <v>78</v>
      </c>
      <c r="AO5138" t="s">
        <v>78</v>
      </c>
      <c r="AP5138" t="s">
        <v>141</v>
      </c>
      <c r="AQ5138">
        <v>1</v>
      </c>
      <c r="AR5138" t="s">
        <v>80</v>
      </c>
      <c r="AS5138" t="s">
        <v>81</v>
      </c>
      <c r="AT5138" t="s">
        <v>58</v>
      </c>
      <c r="AU5138" t="s">
        <v>350</v>
      </c>
      <c r="AV5138" t="s">
        <v>132</v>
      </c>
      <c r="AW5138" s="1">
        <v>33617</v>
      </c>
      <c r="AX5138">
        <v>1</v>
      </c>
    </row>
    <row r="5139" spans="1:50">
      <c r="B5139" t="str">
        <f>"145064497"</f>
        <v>145064497</v>
      </c>
      <c r="C5139" t="s">
        <v>50</v>
      </c>
      <c r="D5139" t="s">
        <v>9380</v>
      </c>
      <c r="E5139" t="s">
        <v>1355</v>
      </c>
      <c r="F5139" t="s">
        <v>450</v>
      </c>
      <c r="G5139" t="s">
        <v>484</v>
      </c>
      <c r="H5139" t="str">
        <f>"ΚΙΜΩΝΟΣ 15 "</f>
        <v xml:space="preserve">ΚΙΜΩΝΟΣ 15 </v>
      </c>
      <c r="I5139">
        <v>59100</v>
      </c>
      <c r="K5139">
        <v>6948364111</v>
      </c>
      <c r="N5139" t="s">
        <v>615</v>
      </c>
      <c r="O5139" t="s">
        <v>616</v>
      </c>
      <c r="R5139" t="s">
        <v>159</v>
      </c>
      <c r="S5139">
        <v>5</v>
      </c>
      <c r="T5139" t="s">
        <v>8675</v>
      </c>
      <c r="U5139" s="1">
        <v>43348</v>
      </c>
      <c r="V5139" t="s">
        <v>80</v>
      </c>
      <c r="W5139" t="s">
        <v>81</v>
      </c>
      <c r="X5139" t="s">
        <v>58</v>
      </c>
      <c r="Y5139">
        <v>24</v>
      </c>
      <c r="Z5139" t="s">
        <v>59</v>
      </c>
      <c r="AA5139" t="s">
        <v>59</v>
      </c>
      <c r="AB5139" t="s">
        <v>59</v>
      </c>
      <c r="AC5139" t="s">
        <v>59</v>
      </c>
      <c r="AD5139" t="s">
        <v>59</v>
      </c>
      <c r="AF5139" s="1">
        <v>43348</v>
      </c>
      <c r="AG5139" t="s">
        <v>8645</v>
      </c>
      <c r="AH5139" t="s">
        <v>8646</v>
      </c>
      <c r="AI5139" t="str">
        <f>"9170043"</f>
        <v>9170043</v>
      </c>
      <c r="AJ5139" t="s">
        <v>8883</v>
      </c>
      <c r="AK5139">
        <v>2894022075</v>
      </c>
      <c r="AL5139" t="s">
        <v>8884</v>
      </c>
      <c r="AM5139" t="s">
        <v>78</v>
      </c>
      <c r="AN5139" t="s">
        <v>405</v>
      </c>
      <c r="AO5139" t="s">
        <v>406</v>
      </c>
      <c r="AP5139" t="s">
        <v>8885</v>
      </c>
      <c r="AQ5139">
        <v>6</v>
      </c>
      <c r="AR5139" t="s">
        <v>80</v>
      </c>
      <c r="AS5139" t="s">
        <v>81</v>
      </c>
      <c r="AT5139" t="s">
        <v>58</v>
      </c>
      <c r="AU5139" t="s">
        <v>8673</v>
      </c>
      <c r="AV5139" t="s">
        <v>132</v>
      </c>
      <c r="AW5139" s="1">
        <v>32121</v>
      </c>
      <c r="AX5139">
        <v>1</v>
      </c>
    </row>
    <row r="5140" spans="1:50">
      <c r="B5140" t="str">
        <f>"148758071"</f>
        <v>148758071</v>
      </c>
      <c r="C5140" t="s">
        <v>105</v>
      </c>
      <c r="D5140" t="s">
        <v>9381</v>
      </c>
      <c r="E5140" t="s">
        <v>670</v>
      </c>
      <c r="F5140" t="s">
        <v>315</v>
      </c>
      <c r="G5140" t="s">
        <v>714</v>
      </c>
      <c r="H5140" t="str">
        <f>"ΚΑΝΑΡΗ 40 "</f>
        <v xml:space="preserve">ΚΑΝΑΡΗ 40 </v>
      </c>
      <c r="I5140">
        <v>41500</v>
      </c>
      <c r="J5140">
        <v>2410591765</v>
      </c>
      <c r="K5140">
        <v>6972487365</v>
      </c>
      <c r="N5140" t="s">
        <v>615</v>
      </c>
      <c r="O5140" t="s">
        <v>616</v>
      </c>
      <c r="R5140" t="s">
        <v>159</v>
      </c>
      <c r="S5140">
        <v>5</v>
      </c>
      <c r="T5140" t="s">
        <v>8675</v>
      </c>
      <c r="U5140" s="1">
        <v>43348</v>
      </c>
      <c r="V5140" t="s">
        <v>80</v>
      </c>
      <c r="W5140" t="s">
        <v>81</v>
      </c>
      <c r="X5140" t="s">
        <v>58</v>
      </c>
      <c r="Y5140">
        <v>24</v>
      </c>
      <c r="Z5140" t="s">
        <v>59</v>
      </c>
      <c r="AA5140" t="s">
        <v>59</v>
      </c>
      <c r="AB5140" t="s">
        <v>59</v>
      </c>
      <c r="AC5140" t="s">
        <v>59</v>
      </c>
      <c r="AD5140" t="s">
        <v>59</v>
      </c>
      <c r="AF5140" s="1">
        <v>43348</v>
      </c>
      <c r="AG5140" t="s">
        <v>8645</v>
      </c>
      <c r="AH5140" t="s">
        <v>8646</v>
      </c>
      <c r="AI5140" t="str">
        <f>"9170242"</f>
        <v>9170242</v>
      </c>
      <c r="AJ5140" t="s">
        <v>9314</v>
      </c>
      <c r="AK5140">
        <v>2897031254</v>
      </c>
      <c r="AL5140" t="s">
        <v>9315</v>
      </c>
      <c r="AM5140" t="s">
        <v>78</v>
      </c>
      <c r="AN5140" t="s">
        <v>219</v>
      </c>
      <c r="AO5140" t="s">
        <v>527</v>
      </c>
      <c r="AP5140" t="s">
        <v>527</v>
      </c>
      <c r="AQ5140">
        <v>8</v>
      </c>
      <c r="AR5140" t="s">
        <v>80</v>
      </c>
      <c r="AS5140" t="s">
        <v>81</v>
      </c>
      <c r="AT5140" t="s">
        <v>58</v>
      </c>
      <c r="AU5140" t="s">
        <v>8673</v>
      </c>
      <c r="AV5140" t="s">
        <v>132</v>
      </c>
      <c r="AW5140" s="1">
        <v>32197</v>
      </c>
      <c r="AX5140">
        <v>1</v>
      </c>
    </row>
    <row r="5141" spans="1:50">
      <c r="A5141">
        <v>579043</v>
      </c>
      <c r="B5141" t="str">
        <f>"038647753"</f>
        <v>038647753</v>
      </c>
      <c r="C5141" t="s">
        <v>50</v>
      </c>
      <c r="D5141" t="s">
        <v>9382</v>
      </c>
      <c r="E5141" t="s">
        <v>52</v>
      </c>
      <c r="F5141" t="s">
        <v>9383</v>
      </c>
      <c r="G5141" t="s">
        <v>263</v>
      </c>
      <c r="H5141" t="str">
        <f>"IΩΑΝΝΗ ΚΕΛΕΣΗ 5 ΑΓΙΟΣ ΙΩΑΝΝΗΣ"</f>
        <v>IΩΑΝΝΗ ΚΕΛΕΣΗ 5 ΑΓΙΟΣ ΙΩΑΝΝΗΣ</v>
      </c>
      <c r="I5141">
        <v>71409</v>
      </c>
      <c r="J5141">
        <v>2810254682</v>
      </c>
      <c r="K5141">
        <v>6937357108</v>
      </c>
      <c r="N5141" t="s">
        <v>615</v>
      </c>
      <c r="O5141" t="s">
        <v>616</v>
      </c>
      <c r="R5141" t="s">
        <v>57</v>
      </c>
      <c r="S5141">
        <v>12</v>
      </c>
      <c r="T5141">
        <v>165</v>
      </c>
      <c r="U5141" s="1">
        <v>35300</v>
      </c>
      <c r="V5141" t="s">
        <v>80</v>
      </c>
      <c r="W5141" t="s">
        <v>81</v>
      </c>
      <c r="X5141" t="s">
        <v>58</v>
      </c>
      <c r="Y5141">
        <v>21</v>
      </c>
      <c r="Z5141" t="s">
        <v>59</v>
      </c>
      <c r="AA5141" t="s">
        <v>59</v>
      </c>
      <c r="AB5141" t="s">
        <v>59</v>
      </c>
      <c r="AC5141" t="s">
        <v>59</v>
      </c>
      <c r="AD5141" t="s">
        <v>59</v>
      </c>
      <c r="AF5141" s="1">
        <v>35313</v>
      </c>
      <c r="AG5141" t="s">
        <v>8645</v>
      </c>
      <c r="AH5141" t="s">
        <v>8646</v>
      </c>
      <c r="AI5141" t="str">
        <f>"9170534"</f>
        <v>9170534</v>
      </c>
      <c r="AJ5141" t="s">
        <v>8701</v>
      </c>
      <c r="AK5141">
        <v>2810323225</v>
      </c>
      <c r="AL5141" t="s">
        <v>8702</v>
      </c>
      <c r="AM5141" t="s">
        <v>78</v>
      </c>
      <c r="AN5141" t="s">
        <v>78</v>
      </c>
      <c r="AO5141" t="s">
        <v>78</v>
      </c>
      <c r="AP5141" t="s">
        <v>163</v>
      </c>
      <c r="AQ5141">
        <v>1</v>
      </c>
      <c r="AR5141" t="s">
        <v>80</v>
      </c>
      <c r="AS5141" t="s">
        <v>81</v>
      </c>
      <c r="AT5141" t="s">
        <v>58</v>
      </c>
      <c r="AU5141" t="s">
        <v>68</v>
      </c>
      <c r="AV5141" t="s">
        <v>69</v>
      </c>
      <c r="AW5141" s="1">
        <v>24541</v>
      </c>
      <c r="AX5141">
        <v>1</v>
      </c>
    </row>
    <row r="5142" spans="1:50">
      <c r="A5142">
        <v>704094</v>
      </c>
      <c r="B5142" t="str">
        <f>"142459895"</f>
        <v>142459895</v>
      </c>
      <c r="C5142" t="s">
        <v>50</v>
      </c>
      <c r="D5142" t="s">
        <v>9384</v>
      </c>
      <c r="E5142" t="s">
        <v>620</v>
      </c>
      <c r="F5142" t="s">
        <v>995</v>
      </c>
      <c r="G5142" t="s">
        <v>9385</v>
      </c>
      <c r="H5142" t="str">
        <f>"ΙΠΠΟΚΡΑΤΟΥΣ 107 ΟΡΕΣΤΙΑΔΑ"</f>
        <v>ΙΠΠΟΚΡΑΤΟΥΣ 107 ΟΡΕΣΤΙΑΔΑ</v>
      </c>
      <c r="I5142">
        <v>68200</v>
      </c>
      <c r="J5142">
        <v>2552028231</v>
      </c>
      <c r="K5142">
        <v>6972465537</v>
      </c>
      <c r="N5142" t="s">
        <v>288</v>
      </c>
      <c r="O5142" t="s">
        <v>289</v>
      </c>
      <c r="R5142" t="s">
        <v>57</v>
      </c>
      <c r="S5142">
        <v>2</v>
      </c>
      <c r="T5142">
        <v>1350</v>
      </c>
      <c r="U5142" s="1">
        <v>42732</v>
      </c>
      <c r="V5142" t="s">
        <v>80</v>
      </c>
      <c r="W5142" t="s">
        <v>81</v>
      </c>
      <c r="X5142" t="s">
        <v>58</v>
      </c>
      <c r="Y5142">
        <v>24</v>
      </c>
      <c r="Z5142" t="s">
        <v>59</v>
      </c>
      <c r="AA5142" t="s">
        <v>59</v>
      </c>
      <c r="AB5142" t="s">
        <v>59</v>
      </c>
      <c r="AC5142" t="s">
        <v>59</v>
      </c>
      <c r="AD5142" t="s">
        <v>59</v>
      </c>
      <c r="AF5142" s="1">
        <v>42734</v>
      </c>
      <c r="AG5142" t="s">
        <v>8645</v>
      </c>
      <c r="AH5142" t="s">
        <v>8646</v>
      </c>
      <c r="AI5142" t="str">
        <f>"9170534"</f>
        <v>9170534</v>
      </c>
      <c r="AJ5142" t="s">
        <v>8701</v>
      </c>
      <c r="AK5142">
        <v>2810323225</v>
      </c>
      <c r="AL5142" t="s">
        <v>8702</v>
      </c>
      <c r="AM5142" t="s">
        <v>78</v>
      </c>
      <c r="AN5142" t="s">
        <v>78</v>
      </c>
      <c r="AO5142" t="s">
        <v>78</v>
      </c>
      <c r="AP5142" t="s">
        <v>163</v>
      </c>
      <c r="AQ5142">
        <v>1</v>
      </c>
      <c r="AR5142" t="s">
        <v>80</v>
      </c>
      <c r="AS5142" t="s">
        <v>81</v>
      </c>
      <c r="AT5142" t="s">
        <v>58</v>
      </c>
      <c r="AU5142" t="s">
        <v>68</v>
      </c>
      <c r="AV5142" t="s">
        <v>69</v>
      </c>
      <c r="AW5142" s="1">
        <v>30497</v>
      </c>
      <c r="AX5142">
        <v>1</v>
      </c>
    </row>
    <row r="5143" spans="1:50">
      <c r="B5143" t="str">
        <f>"141145964"</f>
        <v>141145964</v>
      </c>
      <c r="C5143" t="s">
        <v>50</v>
      </c>
      <c r="D5143" t="s">
        <v>9386</v>
      </c>
      <c r="E5143" t="s">
        <v>73</v>
      </c>
      <c r="F5143" t="s">
        <v>9387</v>
      </c>
      <c r="G5143" t="s">
        <v>352</v>
      </c>
      <c r="H5143" t="str">
        <f>"ΣΑΚΕΛΛΑΡΙΔΗ 32 ΚΑΤΕΡΙΝΗ"</f>
        <v>ΣΑΚΕΛΛΑΡΙΔΗ 32 ΚΑΤΕΡΙΝΗ</v>
      </c>
      <c r="I5143">
        <v>60100</v>
      </c>
      <c r="J5143">
        <v>2351025996</v>
      </c>
      <c r="K5143">
        <v>6948402125</v>
      </c>
      <c r="N5143" t="s">
        <v>615</v>
      </c>
      <c r="O5143" t="s">
        <v>616</v>
      </c>
      <c r="R5143" t="s">
        <v>159</v>
      </c>
      <c r="S5143">
        <v>3</v>
      </c>
      <c r="T5143" t="s">
        <v>8675</v>
      </c>
      <c r="U5143" s="1">
        <v>43348</v>
      </c>
      <c r="V5143" t="s">
        <v>80</v>
      </c>
      <c r="W5143" t="s">
        <v>81</v>
      </c>
      <c r="X5143" t="s">
        <v>58</v>
      </c>
      <c r="Y5143">
        <v>24</v>
      </c>
      <c r="Z5143" t="s">
        <v>59</v>
      </c>
      <c r="AA5143" t="s">
        <v>59</v>
      </c>
      <c r="AB5143" t="s">
        <v>59</v>
      </c>
      <c r="AC5143" t="s">
        <v>59</v>
      </c>
      <c r="AD5143" t="s">
        <v>59</v>
      </c>
      <c r="AF5143" s="1">
        <v>43348</v>
      </c>
      <c r="AG5143" t="s">
        <v>8645</v>
      </c>
      <c r="AH5143" t="s">
        <v>8646</v>
      </c>
      <c r="AI5143" t="str">
        <f>"9170002"</f>
        <v>9170002</v>
      </c>
      <c r="AJ5143" t="s">
        <v>9368</v>
      </c>
      <c r="AK5143">
        <v>2894041207</v>
      </c>
      <c r="AL5143" t="s">
        <v>9369</v>
      </c>
      <c r="AM5143" t="s">
        <v>78</v>
      </c>
      <c r="AN5143" t="s">
        <v>405</v>
      </c>
      <c r="AO5143" t="s">
        <v>551</v>
      </c>
      <c r="AP5143" t="s">
        <v>552</v>
      </c>
      <c r="AQ5143">
        <v>21</v>
      </c>
      <c r="AR5143" t="s">
        <v>80</v>
      </c>
      <c r="AS5143" t="s">
        <v>81</v>
      </c>
      <c r="AT5143" t="s">
        <v>58</v>
      </c>
      <c r="AU5143" t="s">
        <v>8673</v>
      </c>
      <c r="AV5143" t="s">
        <v>132</v>
      </c>
      <c r="AW5143" s="1">
        <v>31413</v>
      </c>
      <c r="AX5143">
        <v>1</v>
      </c>
    </row>
    <row r="5144" spans="1:50">
      <c r="A5144">
        <v>622497</v>
      </c>
      <c r="B5144" t="str">
        <f>"115847002"</f>
        <v>115847002</v>
      </c>
      <c r="C5144" t="s">
        <v>50</v>
      </c>
      <c r="D5144" t="s">
        <v>9388</v>
      </c>
      <c r="E5144" t="s">
        <v>237</v>
      </c>
      <c r="F5144" t="s">
        <v>9389</v>
      </c>
      <c r="G5144" t="s">
        <v>9390</v>
      </c>
      <c r="H5144" t="str">
        <f>"ΚΑΠΕΤΑΝ ΝΤΟΓΡΑ 12 ΘΕΣΣΑΛΟΝΙΚΗ"</f>
        <v>ΚΑΠΕΤΑΝ ΝΤΟΓΡΑ 12 ΘΕΣΣΑΛΟΝΙΚΗ</v>
      </c>
      <c r="I5144">
        <v>54352</v>
      </c>
      <c r="J5144">
        <v>2310926383</v>
      </c>
      <c r="K5144">
        <v>6973339951</v>
      </c>
      <c r="M5144" t="s">
        <v>9391</v>
      </c>
      <c r="N5144" t="s">
        <v>1525</v>
      </c>
      <c r="O5144" t="s">
        <v>1526</v>
      </c>
      <c r="R5144" t="s">
        <v>57</v>
      </c>
      <c r="S5144">
        <v>5</v>
      </c>
      <c r="T5144">
        <v>653</v>
      </c>
      <c r="U5144" s="1">
        <v>40043</v>
      </c>
      <c r="V5144" t="s">
        <v>80</v>
      </c>
      <c r="W5144" t="s">
        <v>81</v>
      </c>
      <c r="X5144" t="s">
        <v>58</v>
      </c>
      <c r="Y5144">
        <v>25</v>
      </c>
      <c r="Z5144" t="s">
        <v>59</v>
      </c>
      <c r="AA5144" t="s">
        <v>59</v>
      </c>
      <c r="AB5144" t="s">
        <v>59</v>
      </c>
      <c r="AC5144" t="s">
        <v>59</v>
      </c>
      <c r="AD5144" t="s">
        <v>59</v>
      </c>
      <c r="AF5144" s="1">
        <v>40043</v>
      </c>
      <c r="AG5144" t="s">
        <v>8651</v>
      </c>
      <c r="AH5144" t="s">
        <v>8652</v>
      </c>
      <c r="AI5144" t="str">
        <f>"9170367"</f>
        <v>9170367</v>
      </c>
      <c r="AJ5144" t="s">
        <v>9070</v>
      </c>
      <c r="AK5144">
        <v>2810244550</v>
      </c>
      <c r="AL5144" t="s">
        <v>9071</v>
      </c>
      <c r="AM5144" t="s">
        <v>78</v>
      </c>
      <c r="AN5144" t="s">
        <v>78</v>
      </c>
      <c r="AO5144" t="s">
        <v>286</v>
      </c>
      <c r="AP5144" t="s">
        <v>286</v>
      </c>
      <c r="AQ5144">
        <v>1</v>
      </c>
      <c r="AR5144" t="s">
        <v>80</v>
      </c>
      <c r="AS5144" t="s">
        <v>81</v>
      </c>
      <c r="AT5144" t="s">
        <v>58</v>
      </c>
      <c r="AU5144" t="s">
        <v>68</v>
      </c>
      <c r="AV5144" t="s">
        <v>69</v>
      </c>
      <c r="AW5144" s="1">
        <v>29891</v>
      </c>
      <c r="AX5144">
        <v>1</v>
      </c>
    </row>
    <row r="5145" spans="1:50">
      <c r="B5145" t="str">
        <f>"150536870"</f>
        <v>150536870</v>
      </c>
      <c r="C5145" t="s">
        <v>50</v>
      </c>
      <c r="D5145" t="s">
        <v>9392</v>
      </c>
      <c r="E5145" t="s">
        <v>620</v>
      </c>
      <c r="F5145" t="s">
        <v>72</v>
      </c>
      <c r="G5145" t="s">
        <v>52</v>
      </c>
      <c r="H5145" t="str">
        <f>"ΘΗΡΑΣ Κ Γ.ΓΕΝΝΗΜΑΤΑ 5 "</f>
        <v xml:space="preserve">ΘΗΡΑΣ Κ Γ.ΓΕΝΝΗΜΑΤΑ 5 </v>
      </c>
      <c r="I5145">
        <v>19016</v>
      </c>
      <c r="J5145">
        <v>2294047413</v>
      </c>
      <c r="K5145">
        <v>6979450512</v>
      </c>
      <c r="N5145" t="s">
        <v>8834</v>
      </c>
      <c r="O5145" t="s">
        <v>8695</v>
      </c>
      <c r="R5145" t="s">
        <v>159</v>
      </c>
      <c r="S5145">
        <v>3</v>
      </c>
      <c r="T5145" t="s">
        <v>8696</v>
      </c>
      <c r="U5145" s="1">
        <v>43348</v>
      </c>
      <c r="V5145" t="s">
        <v>80</v>
      </c>
      <c r="W5145" t="s">
        <v>81</v>
      </c>
      <c r="X5145" t="s">
        <v>58</v>
      </c>
      <c r="Y5145">
        <v>24</v>
      </c>
      <c r="Z5145" t="s">
        <v>59</v>
      </c>
      <c r="AA5145" t="s">
        <v>59</v>
      </c>
      <c r="AB5145" t="s">
        <v>59</v>
      </c>
      <c r="AC5145" t="s">
        <v>59</v>
      </c>
      <c r="AD5145" t="s">
        <v>59</v>
      </c>
      <c r="AF5145" s="1">
        <v>43348</v>
      </c>
      <c r="AG5145" t="s">
        <v>8645</v>
      </c>
      <c r="AH5145" t="s">
        <v>8646</v>
      </c>
      <c r="AI5145" t="str">
        <f>"9170300"</f>
        <v>9170300</v>
      </c>
      <c r="AJ5145" t="s">
        <v>8905</v>
      </c>
      <c r="AK5145">
        <v>2892041219</v>
      </c>
      <c r="AL5145" t="s">
        <v>8906</v>
      </c>
      <c r="AM5145" t="s">
        <v>78</v>
      </c>
      <c r="AN5145" t="s">
        <v>242</v>
      </c>
      <c r="AO5145" t="s">
        <v>243</v>
      </c>
      <c r="AP5145" t="s">
        <v>244</v>
      </c>
      <c r="AQ5145">
        <v>18</v>
      </c>
      <c r="AR5145" t="s">
        <v>80</v>
      </c>
      <c r="AS5145" t="s">
        <v>81</v>
      </c>
      <c r="AT5145" t="s">
        <v>58</v>
      </c>
      <c r="AU5145" t="s">
        <v>350</v>
      </c>
      <c r="AV5145" t="s">
        <v>132</v>
      </c>
      <c r="AW5145" s="1">
        <v>32377</v>
      </c>
      <c r="AX5145">
        <v>1</v>
      </c>
    </row>
    <row r="5146" spans="1:50">
      <c r="B5146" t="str">
        <f>"140961889"</f>
        <v>140961889</v>
      </c>
      <c r="C5146" t="s">
        <v>50</v>
      </c>
      <c r="D5146" t="s">
        <v>9393</v>
      </c>
      <c r="E5146" t="s">
        <v>9394</v>
      </c>
      <c r="F5146" t="s">
        <v>53</v>
      </c>
      <c r="G5146" t="s">
        <v>112</v>
      </c>
      <c r="H5146" t="str">
        <f>"ΑΒΕΡΩΒ 12 "</f>
        <v xml:space="preserve">ΑΒΕΡΩΒ 12 </v>
      </c>
      <c r="I5146">
        <v>42100</v>
      </c>
      <c r="J5146">
        <v>2431033304</v>
      </c>
      <c r="K5146">
        <v>6944184824</v>
      </c>
      <c r="N5146" t="s">
        <v>615</v>
      </c>
      <c r="O5146" t="s">
        <v>616</v>
      </c>
      <c r="R5146" t="s">
        <v>159</v>
      </c>
      <c r="S5146">
        <v>5</v>
      </c>
      <c r="T5146" t="s">
        <v>8675</v>
      </c>
      <c r="U5146" s="1">
        <v>43348</v>
      </c>
      <c r="V5146" t="s">
        <v>80</v>
      </c>
      <c r="W5146" t="s">
        <v>81</v>
      </c>
      <c r="X5146" t="s">
        <v>58</v>
      </c>
      <c r="Y5146">
        <v>24</v>
      </c>
      <c r="Z5146" t="s">
        <v>59</v>
      </c>
      <c r="AA5146" t="s">
        <v>59</v>
      </c>
      <c r="AB5146" t="s">
        <v>59</v>
      </c>
      <c r="AC5146" t="s">
        <v>59</v>
      </c>
      <c r="AD5146" t="s">
        <v>59</v>
      </c>
      <c r="AF5146" s="1">
        <v>43348</v>
      </c>
      <c r="AG5146" t="s">
        <v>8645</v>
      </c>
      <c r="AH5146" t="s">
        <v>8646</v>
      </c>
      <c r="AI5146" t="str">
        <f>"9170268"</f>
        <v>9170268</v>
      </c>
      <c r="AJ5146" t="s">
        <v>9301</v>
      </c>
      <c r="AK5146">
        <v>2892022710</v>
      </c>
      <c r="AL5146" t="s">
        <v>9302</v>
      </c>
      <c r="AM5146" t="s">
        <v>78</v>
      </c>
      <c r="AN5146" t="s">
        <v>242</v>
      </c>
      <c r="AO5146" t="s">
        <v>243</v>
      </c>
      <c r="AP5146" t="s">
        <v>243</v>
      </c>
      <c r="AQ5146">
        <v>20</v>
      </c>
      <c r="AR5146" t="s">
        <v>80</v>
      </c>
      <c r="AS5146" t="s">
        <v>81</v>
      </c>
      <c r="AT5146" t="s">
        <v>58</v>
      </c>
      <c r="AU5146" t="s">
        <v>8673</v>
      </c>
      <c r="AV5146" t="s">
        <v>132</v>
      </c>
      <c r="AW5146" s="1">
        <v>31993</v>
      </c>
      <c r="AX5146">
        <v>1</v>
      </c>
    </row>
    <row r="5147" spans="1:50">
      <c r="A5147">
        <v>618766</v>
      </c>
      <c r="B5147" t="str">
        <f>"136314420"</f>
        <v>136314420</v>
      </c>
      <c r="C5147" t="s">
        <v>50</v>
      </c>
      <c r="D5147" t="s">
        <v>9395</v>
      </c>
      <c r="E5147" t="s">
        <v>382</v>
      </c>
      <c r="F5147" t="s">
        <v>476</v>
      </c>
      <c r="G5147" t="s">
        <v>83</v>
      </c>
      <c r="H5147" t="str">
        <f>"¶γγελου Σικελιανού 9 Ηράκλειο"</f>
        <v>¶γγελου Σικελιανού 9 Ηράκλειο</v>
      </c>
      <c r="I5147">
        <v>62125</v>
      </c>
      <c r="J5147">
        <v>2321035244</v>
      </c>
      <c r="K5147">
        <v>6948545582</v>
      </c>
      <c r="M5147" t="s">
        <v>9396</v>
      </c>
      <c r="N5147" t="s">
        <v>615</v>
      </c>
      <c r="O5147" t="s">
        <v>616</v>
      </c>
      <c r="R5147" t="s">
        <v>57</v>
      </c>
      <c r="S5147">
        <v>5</v>
      </c>
      <c r="T5147">
        <v>774</v>
      </c>
      <c r="U5147" s="1">
        <v>39680</v>
      </c>
      <c r="V5147" t="s">
        <v>80</v>
      </c>
      <c r="W5147" t="s">
        <v>81</v>
      </c>
      <c r="X5147" t="s">
        <v>58</v>
      </c>
      <c r="Y5147">
        <v>23</v>
      </c>
      <c r="Z5147" t="s">
        <v>59</v>
      </c>
      <c r="AA5147" t="s">
        <v>59</v>
      </c>
      <c r="AB5147" t="s">
        <v>59</v>
      </c>
      <c r="AC5147" t="s">
        <v>59</v>
      </c>
      <c r="AD5147" t="s">
        <v>59</v>
      </c>
      <c r="AF5147" s="1">
        <v>39681</v>
      </c>
      <c r="AG5147" t="s">
        <v>8645</v>
      </c>
      <c r="AH5147" t="s">
        <v>8646</v>
      </c>
      <c r="AI5147" t="str">
        <f>"9170263"</f>
        <v>9170263</v>
      </c>
      <c r="AJ5147" t="s">
        <v>8942</v>
      </c>
      <c r="AK5147">
        <v>2810346939</v>
      </c>
      <c r="AL5147" t="s">
        <v>8943</v>
      </c>
      <c r="AM5147" t="s">
        <v>78</v>
      </c>
      <c r="AN5147" t="s">
        <v>78</v>
      </c>
      <c r="AO5147" t="s">
        <v>286</v>
      </c>
      <c r="AP5147" t="s">
        <v>286</v>
      </c>
      <c r="AQ5147">
        <v>1</v>
      </c>
      <c r="AR5147" t="s">
        <v>80</v>
      </c>
      <c r="AS5147" t="s">
        <v>81</v>
      </c>
      <c r="AT5147" t="s">
        <v>58</v>
      </c>
      <c r="AU5147" t="s">
        <v>68</v>
      </c>
      <c r="AV5147" t="s">
        <v>69</v>
      </c>
      <c r="AW5147" s="1">
        <v>31366</v>
      </c>
      <c r="AX5147">
        <v>1</v>
      </c>
    </row>
    <row r="5148" spans="1:50">
      <c r="B5148" t="str">
        <f>"066668162"</f>
        <v>066668162</v>
      </c>
      <c r="C5148" t="s">
        <v>50</v>
      </c>
      <c r="D5148" t="s">
        <v>9397</v>
      </c>
      <c r="E5148" t="s">
        <v>340</v>
      </c>
      <c r="F5148" t="s">
        <v>99</v>
      </c>
      <c r="G5148" t="s">
        <v>9398</v>
      </c>
      <c r="H5148" t="str">
        <f>"ΜΕΤΕΩΡΩΝ 30 "</f>
        <v xml:space="preserve">ΜΕΤΕΩΡΩΝ 30 </v>
      </c>
      <c r="I5148">
        <v>71307</v>
      </c>
      <c r="J5148">
        <v>2810284958</v>
      </c>
      <c r="K5148">
        <v>6987099667</v>
      </c>
      <c r="N5148" t="s">
        <v>615</v>
      </c>
      <c r="O5148" t="s">
        <v>616</v>
      </c>
      <c r="R5148" t="s">
        <v>159</v>
      </c>
      <c r="S5148">
        <v>4</v>
      </c>
      <c r="T5148" t="s">
        <v>8675</v>
      </c>
      <c r="U5148" s="1">
        <v>43348</v>
      </c>
      <c r="V5148" t="s">
        <v>80</v>
      </c>
      <c r="W5148" t="s">
        <v>81</v>
      </c>
      <c r="X5148" t="s">
        <v>58</v>
      </c>
      <c r="Y5148">
        <v>24</v>
      </c>
      <c r="Z5148" t="s">
        <v>59</v>
      </c>
      <c r="AA5148" t="s">
        <v>59</v>
      </c>
      <c r="AB5148" t="s">
        <v>59</v>
      </c>
      <c r="AC5148" t="s">
        <v>59</v>
      </c>
      <c r="AD5148" t="s">
        <v>59</v>
      </c>
      <c r="AF5148" s="1">
        <v>43348</v>
      </c>
      <c r="AG5148" t="s">
        <v>8645</v>
      </c>
      <c r="AH5148" t="s">
        <v>8646</v>
      </c>
      <c r="AI5148" t="str">
        <f>"9170058"</f>
        <v>9170058</v>
      </c>
      <c r="AJ5148" t="s">
        <v>8735</v>
      </c>
      <c r="AK5148">
        <v>2810252903</v>
      </c>
      <c r="AL5148" t="s">
        <v>8736</v>
      </c>
      <c r="AM5148" t="s">
        <v>78</v>
      </c>
      <c r="AN5148" t="s">
        <v>78</v>
      </c>
      <c r="AO5148" t="s">
        <v>78</v>
      </c>
      <c r="AP5148" t="s">
        <v>163</v>
      </c>
      <c r="AQ5148">
        <v>1</v>
      </c>
      <c r="AR5148" t="s">
        <v>80</v>
      </c>
      <c r="AS5148" t="s">
        <v>81</v>
      </c>
      <c r="AT5148" t="s">
        <v>58</v>
      </c>
      <c r="AU5148" t="s">
        <v>8673</v>
      </c>
      <c r="AV5148" t="s">
        <v>132</v>
      </c>
      <c r="AW5148" s="1">
        <v>32464</v>
      </c>
      <c r="AX5148">
        <v>1</v>
      </c>
    </row>
    <row r="5149" spans="1:50">
      <c r="A5149">
        <v>224626</v>
      </c>
      <c r="B5149" t="str">
        <f>"133751073"</f>
        <v>133751073</v>
      </c>
      <c r="C5149" t="s">
        <v>50</v>
      </c>
      <c r="D5149" t="s">
        <v>9399</v>
      </c>
      <c r="E5149" t="s">
        <v>755</v>
      </c>
      <c r="F5149" t="s">
        <v>72</v>
      </c>
      <c r="G5149" t="s">
        <v>727</v>
      </c>
      <c r="H5149" t="str">
        <f>"Α. ΒΑΠΟΡΙΔΟΥ 9 ΑΤΤΙΚΗ"</f>
        <v>Α. ΒΑΠΟΡΙΔΟΥ 9 ΑΤΤΙΚΗ</v>
      </c>
      <c r="I5149">
        <v>17124</v>
      </c>
      <c r="J5149">
        <v>2109351312</v>
      </c>
      <c r="K5149">
        <v>6942595019</v>
      </c>
      <c r="N5149" t="s">
        <v>683</v>
      </c>
      <c r="O5149" t="s">
        <v>684</v>
      </c>
      <c r="R5149" t="s">
        <v>57</v>
      </c>
      <c r="S5149">
        <v>5</v>
      </c>
      <c r="T5149">
        <v>775</v>
      </c>
      <c r="U5149" s="1">
        <v>39680</v>
      </c>
      <c r="V5149" t="s">
        <v>80</v>
      </c>
      <c r="W5149" t="s">
        <v>81</v>
      </c>
      <c r="X5149" t="s">
        <v>58</v>
      </c>
      <c r="Y5149">
        <v>23</v>
      </c>
      <c r="Z5149" t="s">
        <v>59</v>
      </c>
      <c r="AA5149" t="s">
        <v>59</v>
      </c>
      <c r="AB5149" t="s">
        <v>59</v>
      </c>
      <c r="AC5149" t="s">
        <v>59</v>
      </c>
      <c r="AD5149" t="s">
        <v>59</v>
      </c>
      <c r="AF5149" s="1">
        <v>39682</v>
      </c>
      <c r="AG5149" t="s">
        <v>8645</v>
      </c>
      <c r="AH5149" t="s">
        <v>8646</v>
      </c>
      <c r="AI5149" t="str">
        <f>"9170017"</f>
        <v>9170017</v>
      </c>
      <c r="AJ5149" t="s">
        <v>9114</v>
      </c>
      <c r="AK5149">
        <v>2810250746</v>
      </c>
      <c r="AL5149" t="s">
        <v>9115</v>
      </c>
      <c r="AM5149" t="s">
        <v>78</v>
      </c>
      <c r="AN5149" t="s">
        <v>129</v>
      </c>
      <c r="AO5149" t="s">
        <v>130</v>
      </c>
      <c r="AP5149" t="s">
        <v>130</v>
      </c>
      <c r="AQ5149">
        <v>1</v>
      </c>
      <c r="AR5149" t="s">
        <v>80</v>
      </c>
      <c r="AS5149" t="s">
        <v>81</v>
      </c>
      <c r="AT5149" t="s">
        <v>58</v>
      </c>
      <c r="AU5149" t="s">
        <v>68</v>
      </c>
      <c r="AV5149" t="s">
        <v>69</v>
      </c>
      <c r="AW5149" s="1">
        <v>29514</v>
      </c>
      <c r="AX5149">
        <v>1</v>
      </c>
    </row>
    <row r="5150" spans="1:50">
      <c r="A5150">
        <v>608653</v>
      </c>
      <c r="B5150" t="str">
        <f>"113893778"</f>
        <v>113893778</v>
      </c>
      <c r="C5150" t="s">
        <v>50</v>
      </c>
      <c r="D5150" t="s">
        <v>9400</v>
      </c>
      <c r="E5150" t="s">
        <v>620</v>
      </c>
      <c r="F5150" t="s">
        <v>95</v>
      </c>
      <c r="G5150" t="s">
        <v>4715</v>
      </c>
      <c r="H5150" t="str">
        <f>"ΒΑΛΗ  ΚΑΙΝΟΥΡΓΙΟΥ"</f>
        <v>ΒΑΛΗ  ΚΑΙΝΟΥΡΓΙΟΥ</v>
      </c>
      <c r="I5150">
        <v>70012</v>
      </c>
      <c r="J5150">
        <v>2310620453</v>
      </c>
      <c r="K5150">
        <v>6936858197</v>
      </c>
      <c r="N5150" t="s">
        <v>1525</v>
      </c>
      <c r="O5150" t="s">
        <v>1526</v>
      </c>
      <c r="R5150" t="s">
        <v>57</v>
      </c>
      <c r="S5150">
        <v>9</v>
      </c>
      <c r="T5150">
        <v>217</v>
      </c>
      <c r="U5150" s="1">
        <v>38600</v>
      </c>
      <c r="V5150" t="s">
        <v>80</v>
      </c>
      <c r="W5150" t="s">
        <v>81</v>
      </c>
      <c r="X5150" t="s">
        <v>58</v>
      </c>
      <c r="Y5150">
        <v>25</v>
      </c>
      <c r="Z5150" t="s">
        <v>59</v>
      </c>
      <c r="AA5150" t="s">
        <v>59</v>
      </c>
      <c r="AB5150" t="s">
        <v>59</v>
      </c>
      <c r="AC5150" t="s">
        <v>59</v>
      </c>
      <c r="AD5150" t="s">
        <v>59</v>
      </c>
      <c r="AF5150" s="1">
        <v>38600</v>
      </c>
      <c r="AG5150" t="s">
        <v>8651</v>
      </c>
      <c r="AH5150" t="s">
        <v>8652</v>
      </c>
      <c r="AI5150" t="str">
        <f>"9170399"</f>
        <v>9170399</v>
      </c>
      <c r="AJ5150" t="s">
        <v>9401</v>
      </c>
      <c r="AK5150">
        <v>2892031806</v>
      </c>
      <c r="AL5150" t="s">
        <v>9402</v>
      </c>
      <c r="AM5150" t="s">
        <v>78</v>
      </c>
      <c r="AN5150" t="s">
        <v>405</v>
      </c>
      <c r="AO5150" t="s">
        <v>405</v>
      </c>
      <c r="AP5150" t="s">
        <v>464</v>
      </c>
      <c r="AQ5150">
        <v>17</v>
      </c>
      <c r="AR5150" t="s">
        <v>80</v>
      </c>
      <c r="AS5150" t="s">
        <v>81</v>
      </c>
      <c r="AT5150" t="s">
        <v>58</v>
      </c>
      <c r="AU5150" t="s">
        <v>68</v>
      </c>
      <c r="AV5150" t="s">
        <v>69</v>
      </c>
      <c r="AW5150" s="1">
        <v>27725</v>
      </c>
      <c r="AX5150">
        <v>1</v>
      </c>
    </row>
    <row r="5151" spans="1:50">
      <c r="A5151">
        <v>620041</v>
      </c>
      <c r="B5151" t="str">
        <f>"109485798"</f>
        <v>109485798</v>
      </c>
      <c r="C5151" t="s">
        <v>50</v>
      </c>
      <c r="D5151" t="s">
        <v>9403</v>
      </c>
      <c r="E5151" t="s">
        <v>52</v>
      </c>
      <c r="F5151" t="s">
        <v>309</v>
      </c>
      <c r="G5151" t="s">
        <v>476</v>
      </c>
      <c r="H5151" t="str">
        <f>" "</f>
        <v xml:space="preserve"> </v>
      </c>
      <c r="I5151">
        <v>69200</v>
      </c>
      <c r="J5151">
        <v>2534022320</v>
      </c>
      <c r="K5151">
        <v>6972693947</v>
      </c>
      <c r="N5151" t="s">
        <v>176</v>
      </c>
      <c r="O5151" t="s">
        <v>177</v>
      </c>
      <c r="R5151" t="s">
        <v>57</v>
      </c>
      <c r="S5151">
        <v>12</v>
      </c>
      <c r="T5151">
        <v>775</v>
      </c>
      <c r="U5151" s="1">
        <v>39680</v>
      </c>
      <c r="V5151" t="s">
        <v>80</v>
      </c>
      <c r="W5151" t="s">
        <v>81</v>
      </c>
      <c r="X5151" t="s">
        <v>58</v>
      </c>
      <c r="Y5151">
        <v>23</v>
      </c>
      <c r="Z5151" t="s">
        <v>59</v>
      </c>
      <c r="AA5151" t="s">
        <v>59</v>
      </c>
      <c r="AB5151" t="s">
        <v>59</v>
      </c>
      <c r="AC5151" t="s">
        <v>59</v>
      </c>
      <c r="AD5151" t="s">
        <v>59</v>
      </c>
      <c r="AF5151" s="1">
        <v>39681</v>
      </c>
      <c r="AG5151" t="s">
        <v>8645</v>
      </c>
      <c r="AH5151" t="s">
        <v>8646</v>
      </c>
      <c r="AI5151" t="str">
        <f>"9170222"</f>
        <v>9170222</v>
      </c>
      <c r="AJ5151" t="s">
        <v>9404</v>
      </c>
      <c r="AK5151">
        <v>2810781325</v>
      </c>
      <c r="AL5151" t="s">
        <v>9405</v>
      </c>
      <c r="AM5151" t="s">
        <v>78</v>
      </c>
      <c r="AN5151" t="s">
        <v>219</v>
      </c>
      <c r="AO5151" t="s">
        <v>297</v>
      </c>
      <c r="AP5151" t="s">
        <v>9406</v>
      </c>
      <c r="AQ5151">
        <v>7</v>
      </c>
      <c r="AR5151" t="s">
        <v>80</v>
      </c>
      <c r="AS5151" t="s">
        <v>81</v>
      </c>
      <c r="AT5151" t="s">
        <v>58</v>
      </c>
      <c r="AU5151" t="s">
        <v>68</v>
      </c>
      <c r="AV5151" t="s">
        <v>69</v>
      </c>
      <c r="AW5151" s="1">
        <v>23805</v>
      </c>
      <c r="AX5151">
        <v>1</v>
      </c>
    </row>
    <row r="5152" spans="1:50">
      <c r="B5152" t="str">
        <f>"128273992"</f>
        <v>128273992</v>
      </c>
      <c r="C5152" t="s">
        <v>50</v>
      </c>
      <c r="D5152" t="s">
        <v>9407</v>
      </c>
      <c r="E5152" t="s">
        <v>630</v>
      </c>
      <c r="F5152" t="s">
        <v>670</v>
      </c>
      <c r="G5152" t="s">
        <v>73</v>
      </c>
      <c r="H5152" t="str">
        <f>"ΠΛΑΤΕΙΑ ΤΣΑΚΩΝΑ 5 ΑΝΩ ΤΟΥΜΠΑ"</f>
        <v>ΠΛΑΤΕΙΑ ΤΣΑΚΩΝΑ 5 ΑΝΩ ΤΟΥΜΠΑ</v>
      </c>
      <c r="I5152">
        <v>54352</v>
      </c>
      <c r="J5152">
        <v>2310924509</v>
      </c>
      <c r="K5152">
        <v>6947393453</v>
      </c>
      <c r="M5152" t="s">
        <v>9408</v>
      </c>
      <c r="N5152" t="s">
        <v>1525</v>
      </c>
      <c r="O5152" t="s">
        <v>1526</v>
      </c>
      <c r="R5152" t="s">
        <v>159</v>
      </c>
      <c r="S5152">
        <v>2</v>
      </c>
      <c r="T5152" t="s">
        <v>8670</v>
      </c>
      <c r="U5152" s="1">
        <v>43348</v>
      </c>
      <c r="V5152" t="s">
        <v>80</v>
      </c>
      <c r="W5152" t="s">
        <v>81</v>
      </c>
      <c r="X5152" t="s">
        <v>58</v>
      </c>
      <c r="Y5152">
        <v>25</v>
      </c>
      <c r="Z5152" t="s">
        <v>59</v>
      </c>
      <c r="AA5152" t="s">
        <v>59</v>
      </c>
      <c r="AB5152" t="s">
        <v>59</v>
      </c>
      <c r="AC5152" t="s">
        <v>59</v>
      </c>
      <c r="AD5152" t="s">
        <v>59</v>
      </c>
      <c r="AF5152" s="1">
        <v>43348</v>
      </c>
      <c r="AG5152" t="s">
        <v>8651</v>
      </c>
      <c r="AH5152" t="s">
        <v>8652</v>
      </c>
      <c r="AI5152" t="str">
        <f>"9170299"</f>
        <v>9170299</v>
      </c>
      <c r="AJ5152" t="s">
        <v>8956</v>
      </c>
      <c r="AK5152">
        <v>2892041219</v>
      </c>
      <c r="AL5152" t="s">
        <v>8957</v>
      </c>
      <c r="AM5152" t="s">
        <v>78</v>
      </c>
      <c r="AN5152" t="s">
        <v>242</v>
      </c>
      <c r="AO5152" t="s">
        <v>243</v>
      </c>
      <c r="AP5152" t="s">
        <v>244</v>
      </c>
      <c r="AQ5152">
        <v>18</v>
      </c>
      <c r="AR5152" t="s">
        <v>80</v>
      </c>
      <c r="AS5152" t="s">
        <v>81</v>
      </c>
      <c r="AT5152" t="s">
        <v>58</v>
      </c>
      <c r="AU5152" t="s">
        <v>8673</v>
      </c>
      <c r="AV5152" t="s">
        <v>132</v>
      </c>
      <c r="AW5152" s="1">
        <v>28615</v>
      </c>
      <c r="AX5152">
        <v>1</v>
      </c>
    </row>
    <row r="5153" spans="1:50">
      <c r="B5153" t="str">
        <f>"149850684"</f>
        <v>149850684</v>
      </c>
      <c r="C5153" t="s">
        <v>50</v>
      </c>
      <c r="D5153" t="s">
        <v>9409</v>
      </c>
      <c r="E5153" t="s">
        <v>237</v>
      </c>
      <c r="F5153" t="s">
        <v>95</v>
      </c>
      <c r="G5153" t="s">
        <v>83</v>
      </c>
      <c r="H5153" t="str">
        <f>"ΑΓΙΑΣ ΠΑΡΑΣΚΕΥΗΣ 2 ΝΑΟΥΣΑ"</f>
        <v>ΑΓΙΑΣ ΠΑΡΑΣΚΕΥΗΣ 2 ΝΑΟΥΣΑ</v>
      </c>
      <c r="I5153">
        <v>59200</v>
      </c>
      <c r="J5153">
        <v>2332022711</v>
      </c>
      <c r="K5153">
        <v>6978887559</v>
      </c>
      <c r="M5153" t="s">
        <v>9410</v>
      </c>
      <c r="N5153" t="s">
        <v>615</v>
      </c>
      <c r="O5153" t="s">
        <v>616</v>
      </c>
      <c r="R5153" t="s">
        <v>159</v>
      </c>
      <c r="S5153">
        <v>2</v>
      </c>
      <c r="T5153" t="s">
        <v>8675</v>
      </c>
      <c r="U5153" s="1">
        <v>43348</v>
      </c>
      <c r="V5153" t="s">
        <v>80</v>
      </c>
      <c r="W5153" t="s">
        <v>81</v>
      </c>
      <c r="X5153" t="s">
        <v>58</v>
      </c>
      <c r="Y5153">
        <v>24</v>
      </c>
      <c r="Z5153" t="s">
        <v>59</v>
      </c>
      <c r="AA5153" t="s">
        <v>59</v>
      </c>
      <c r="AB5153" t="s">
        <v>59</v>
      </c>
      <c r="AC5153" t="s">
        <v>59</v>
      </c>
      <c r="AD5153" t="s">
        <v>59</v>
      </c>
      <c r="AF5153" s="1">
        <v>43348</v>
      </c>
      <c r="AG5153" t="s">
        <v>8645</v>
      </c>
      <c r="AH5153" t="s">
        <v>8646</v>
      </c>
      <c r="AI5153" t="str">
        <f>"9170009"</f>
        <v>9170009</v>
      </c>
      <c r="AJ5153" t="s">
        <v>8683</v>
      </c>
      <c r="AK5153">
        <v>2810861612</v>
      </c>
      <c r="AL5153" t="s">
        <v>8684</v>
      </c>
      <c r="AM5153" t="s">
        <v>78</v>
      </c>
      <c r="AN5153" t="s">
        <v>78</v>
      </c>
      <c r="AO5153" t="s">
        <v>185</v>
      </c>
      <c r="AP5153" t="s">
        <v>8685</v>
      </c>
      <c r="AQ5153">
        <v>4</v>
      </c>
      <c r="AR5153" t="s">
        <v>80</v>
      </c>
      <c r="AS5153" t="s">
        <v>81</v>
      </c>
      <c r="AT5153" t="s">
        <v>58</v>
      </c>
      <c r="AU5153" t="s">
        <v>8673</v>
      </c>
      <c r="AV5153" t="s">
        <v>132</v>
      </c>
      <c r="AW5153" s="1">
        <v>32509</v>
      </c>
      <c r="AX5153">
        <v>1</v>
      </c>
    </row>
    <row r="5154" spans="1:50">
      <c r="B5154" t="str">
        <f>"150944852"</f>
        <v>150944852</v>
      </c>
      <c r="C5154" t="s">
        <v>50</v>
      </c>
      <c r="D5154" t="s">
        <v>9411</v>
      </c>
      <c r="E5154" t="s">
        <v>181</v>
      </c>
      <c r="F5154" t="s">
        <v>84</v>
      </c>
      <c r="G5154" t="s">
        <v>52</v>
      </c>
      <c r="H5154" t="str">
        <f>" "</f>
        <v xml:space="preserve"> </v>
      </c>
      <c r="N5154" t="s">
        <v>8694</v>
      </c>
      <c r="O5154" t="s">
        <v>8695</v>
      </c>
      <c r="R5154" t="s">
        <v>121</v>
      </c>
      <c r="S5154">
        <v>1</v>
      </c>
      <c r="T5154" t="s">
        <v>8835</v>
      </c>
      <c r="U5154" s="1">
        <v>43348</v>
      </c>
      <c r="V5154" t="s">
        <v>80</v>
      </c>
      <c r="W5154" t="s">
        <v>81</v>
      </c>
      <c r="X5154" t="s">
        <v>58</v>
      </c>
      <c r="Y5154">
        <v>24</v>
      </c>
      <c r="Z5154" t="s">
        <v>59</v>
      </c>
      <c r="AA5154" t="s">
        <v>59</v>
      </c>
      <c r="AB5154" t="s">
        <v>59</v>
      </c>
      <c r="AD5154" t="s">
        <v>59</v>
      </c>
      <c r="AF5154" s="1">
        <v>43348</v>
      </c>
      <c r="AG5154" t="s">
        <v>8645</v>
      </c>
      <c r="AH5154" t="s">
        <v>8646</v>
      </c>
      <c r="AI5154" t="str">
        <f>"9170257"</f>
        <v>9170257</v>
      </c>
      <c r="AJ5154" t="s">
        <v>8710</v>
      </c>
      <c r="AK5154">
        <v>2810245513</v>
      </c>
      <c r="AL5154" t="s">
        <v>8711</v>
      </c>
      <c r="AM5154" t="s">
        <v>78</v>
      </c>
      <c r="AN5154" t="s">
        <v>78</v>
      </c>
      <c r="AO5154" t="s">
        <v>78</v>
      </c>
      <c r="AP5154" t="s">
        <v>213</v>
      </c>
      <c r="AQ5154">
        <v>1</v>
      </c>
      <c r="AR5154" t="s">
        <v>80</v>
      </c>
      <c r="AS5154" t="s">
        <v>81</v>
      </c>
      <c r="AT5154" t="s">
        <v>58</v>
      </c>
      <c r="AU5154" t="s">
        <v>131</v>
      </c>
      <c r="AV5154" t="s">
        <v>132</v>
      </c>
      <c r="AW5154" s="1">
        <v>33910</v>
      </c>
      <c r="AX5154">
        <v>1</v>
      </c>
    </row>
    <row r="5155" spans="1:50">
      <c r="A5155">
        <v>562736</v>
      </c>
      <c r="B5155" t="str">
        <f>"031813357"</f>
        <v>031813357</v>
      </c>
      <c r="C5155" t="s">
        <v>50</v>
      </c>
      <c r="D5155" t="s">
        <v>9412</v>
      </c>
      <c r="E5155" t="s">
        <v>922</v>
      </c>
      <c r="F5155" t="s">
        <v>900</v>
      </c>
      <c r="G5155" t="s">
        <v>563</v>
      </c>
      <c r="H5155" t="str">
        <f>"ΠΑΛΑΙΟΚΑΠΑ 72 ΘΕΡΙΣΣΟΣ"</f>
        <v>ΠΑΛΑΙΟΚΑΠΑ 72 ΘΕΡΙΣΣΟΣ</v>
      </c>
      <c r="I5155">
        <v>71305</v>
      </c>
      <c r="J5155">
        <v>2810313953</v>
      </c>
      <c r="K5155">
        <v>6972843231</v>
      </c>
      <c r="N5155" t="s">
        <v>615</v>
      </c>
      <c r="O5155" t="s">
        <v>616</v>
      </c>
      <c r="R5155" t="s">
        <v>57</v>
      </c>
      <c r="S5155">
        <v>15</v>
      </c>
      <c r="T5155">
        <v>187</v>
      </c>
      <c r="U5155" s="1">
        <v>32750</v>
      </c>
      <c r="V5155" t="s">
        <v>80</v>
      </c>
      <c r="W5155" t="s">
        <v>81</v>
      </c>
      <c r="X5155" t="s">
        <v>58</v>
      </c>
      <c r="Y5155">
        <v>21</v>
      </c>
      <c r="Z5155" t="s">
        <v>59</v>
      </c>
      <c r="AA5155" t="s">
        <v>59</v>
      </c>
      <c r="AB5155" t="s">
        <v>59</v>
      </c>
      <c r="AC5155" t="s">
        <v>59</v>
      </c>
      <c r="AD5155" t="s">
        <v>59</v>
      </c>
      <c r="AF5155" s="1">
        <v>32757</v>
      </c>
      <c r="AG5155" t="s">
        <v>8645</v>
      </c>
      <c r="AH5155" t="s">
        <v>8646</v>
      </c>
      <c r="AI5155" t="str">
        <f>"9170102"</f>
        <v>9170102</v>
      </c>
      <c r="AJ5155" t="s">
        <v>9019</v>
      </c>
      <c r="AK5155">
        <v>2810283938</v>
      </c>
      <c r="AL5155" t="s">
        <v>9020</v>
      </c>
      <c r="AM5155" t="s">
        <v>78</v>
      </c>
      <c r="AN5155" t="s">
        <v>78</v>
      </c>
      <c r="AO5155" t="s">
        <v>78</v>
      </c>
      <c r="AP5155" t="s">
        <v>79</v>
      </c>
      <c r="AQ5155">
        <v>1</v>
      </c>
      <c r="AR5155" t="s">
        <v>80</v>
      </c>
      <c r="AS5155" t="s">
        <v>81</v>
      </c>
      <c r="AT5155" t="s">
        <v>58</v>
      </c>
      <c r="AU5155" t="s">
        <v>68</v>
      </c>
      <c r="AV5155" t="s">
        <v>69</v>
      </c>
      <c r="AW5155" s="1">
        <v>23830</v>
      </c>
      <c r="AX5155">
        <v>1</v>
      </c>
    </row>
    <row r="5156" spans="1:50">
      <c r="A5156">
        <v>616418</v>
      </c>
      <c r="B5156" t="str">
        <f>"079506600"</f>
        <v>079506600</v>
      </c>
      <c r="C5156" t="s">
        <v>50</v>
      </c>
      <c r="D5156" t="s">
        <v>9413</v>
      </c>
      <c r="E5156" t="s">
        <v>671</v>
      </c>
      <c r="F5156" t="s">
        <v>95</v>
      </c>
      <c r="G5156" t="s">
        <v>83</v>
      </c>
      <c r="H5156" t="str">
        <f>" ΑΡΚΑΛΟΧΩΡΙ ΗΡΑΚΛΕΙΟΥ"</f>
        <v xml:space="preserve"> ΑΡΚΑΛΟΧΩΡΙ ΗΡΑΚΛΕΙΟΥ</v>
      </c>
      <c r="I5156">
        <v>70300</v>
      </c>
      <c r="J5156">
        <v>2891023832</v>
      </c>
      <c r="K5156">
        <v>6946420138</v>
      </c>
      <c r="N5156" t="s">
        <v>1525</v>
      </c>
      <c r="O5156" t="s">
        <v>1526</v>
      </c>
      <c r="R5156" t="s">
        <v>57</v>
      </c>
      <c r="S5156">
        <v>6</v>
      </c>
      <c r="T5156">
        <v>660</v>
      </c>
      <c r="U5156" s="1">
        <v>39311</v>
      </c>
      <c r="V5156" t="s">
        <v>80</v>
      </c>
      <c r="W5156" t="s">
        <v>81</v>
      </c>
      <c r="X5156" t="s">
        <v>58</v>
      </c>
      <c r="Y5156">
        <v>25</v>
      </c>
      <c r="Z5156" t="s">
        <v>59</v>
      </c>
      <c r="AA5156" t="s">
        <v>59</v>
      </c>
      <c r="AB5156" t="s">
        <v>59</v>
      </c>
      <c r="AC5156" t="s">
        <v>59</v>
      </c>
      <c r="AD5156" t="s">
        <v>59</v>
      </c>
      <c r="AF5156" s="1">
        <v>39328</v>
      </c>
      <c r="AG5156" t="s">
        <v>8651</v>
      </c>
      <c r="AH5156" t="s">
        <v>8652</v>
      </c>
      <c r="AI5156" t="str">
        <f>"9170389"</f>
        <v>9170389</v>
      </c>
      <c r="AJ5156" t="s">
        <v>9013</v>
      </c>
      <c r="AK5156">
        <v>2891023312</v>
      </c>
      <c r="AL5156" t="s">
        <v>9014</v>
      </c>
      <c r="AM5156" t="s">
        <v>78</v>
      </c>
      <c r="AN5156" t="s">
        <v>276</v>
      </c>
      <c r="AO5156" t="s">
        <v>490</v>
      </c>
      <c r="AP5156" t="s">
        <v>490</v>
      </c>
      <c r="AQ5156">
        <v>12</v>
      </c>
      <c r="AR5156" t="s">
        <v>80</v>
      </c>
      <c r="AS5156" t="s">
        <v>81</v>
      </c>
      <c r="AT5156" t="s">
        <v>58</v>
      </c>
      <c r="AU5156" t="s">
        <v>68</v>
      </c>
      <c r="AV5156" t="s">
        <v>69</v>
      </c>
      <c r="AW5156" s="1">
        <v>26131</v>
      </c>
      <c r="AX5156">
        <v>1</v>
      </c>
    </row>
    <row r="5157" spans="1:50">
      <c r="B5157" t="str">
        <f>"136732064"</f>
        <v>136732064</v>
      </c>
      <c r="C5157" t="s">
        <v>50</v>
      </c>
      <c r="D5157" t="s">
        <v>9414</v>
      </c>
      <c r="E5157" t="s">
        <v>155</v>
      </c>
      <c r="F5157" t="s">
        <v>95</v>
      </c>
      <c r="G5157" t="s">
        <v>4729</v>
      </c>
      <c r="H5157" t="str">
        <f>"ΜΕΓΑΛΟΧΩΡΙ ΤΡΙΚΑΛΩΝ ΤΡΙΚΑΛΑ"</f>
        <v>ΜΕΓΑΛΟΧΩΡΙ ΤΡΙΚΑΛΩΝ ΤΡΙΚΑΛΑ</v>
      </c>
      <c r="I5157">
        <v>42100</v>
      </c>
      <c r="J5157">
        <v>2431055413</v>
      </c>
      <c r="K5157">
        <v>6981053003</v>
      </c>
      <c r="N5157" t="s">
        <v>615</v>
      </c>
      <c r="O5157" t="s">
        <v>616</v>
      </c>
      <c r="R5157" t="s">
        <v>159</v>
      </c>
      <c r="S5157">
        <v>2</v>
      </c>
      <c r="T5157" t="s">
        <v>8675</v>
      </c>
      <c r="U5157" s="1">
        <v>43348</v>
      </c>
      <c r="V5157" t="s">
        <v>80</v>
      </c>
      <c r="W5157" t="s">
        <v>81</v>
      </c>
      <c r="X5157" t="s">
        <v>58</v>
      </c>
      <c r="Y5157">
        <v>24</v>
      </c>
      <c r="Z5157" t="s">
        <v>59</v>
      </c>
      <c r="AA5157" t="s">
        <v>59</v>
      </c>
      <c r="AB5157" t="s">
        <v>59</v>
      </c>
      <c r="AC5157" t="s">
        <v>59</v>
      </c>
      <c r="AD5157" t="s">
        <v>59</v>
      </c>
      <c r="AF5157" s="1">
        <v>43348</v>
      </c>
      <c r="AG5157" t="s">
        <v>8645</v>
      </c>
      <c r="AH5157" t="s">
        <v>8646</v>
      </c>
      <c r="AI5157" t="str">
        <f>"9170239"</f>
        <v>9170239</v>
      </c>
      <c r="AJ5157" t="s">
        <v>8814</v>
      </c>
      <c r="AK5157">
        <v>2897022076</v>
      </c>
      <c r="AL5157" t="s">
        <v>8815</v>
      </c>
      <c r="AM5157" t="s">
        <v>78</v>
      </c>
      <c r="AN5157" t="s">
        <v>219</v>
      </c>
      <c r="AO5157" t="s">
        <v>219</v>
      </c>
      <c r="AP5157" t="s">
        <v>220</v>
      </c>
      <c r="AQ5157">
        <v>8</v>
      </c>
      <c r="AR5157" t="s">
        <v>80</v>
      </c>
      <c r="AS5157" t="s">
        <v>81</v>
      </c>
      <c r="AT5157" t="s">
        <v>58</v>
      </c>
      <c r="AU5157" t="s">
        <v>8673</v>
      </c>
      <c r="AV5157" t="s">
        <v>132</v>
      </c>
      <c r="AW5157" s="1">
        <v>32439</v>
      </c>
      <c r="AX5157">
        <v>1</v>
      </c>
    </row>
    <row r="5158" spans="1:50">
      <c r="A5158">
        <v>700410</v>
      </c>
      <c r="B5158" t="str">
        <f>"111401001"</f>
        <v>111401001</v>
      </c>
      <c r="C5158" t="s">
        <v>50</v>
      </c>
      <c r="D5158" t="s">
        <v>9415</v>
      </c>
      <c r="E5158" t="s">
        <v>783</v>
      </c>
      <c r="F5158" t="s">
        <v>53</v>
      </c>
      <c r="G5158" t="s">
        <v>476</v>
      </c>
      <c r="H5158" t="str">
        <f>"ΚΑΛΠΑΚΙΟΥ 6 "</f>
        <v xml:space="preserve">ΚΑΛΠΑΚΙΟΥ 6 </v>
      </c>
      <c r="I5158">
        <v>59100</v>
      </c>
      <c r="J5158">
        <v>2897023357</v>
      </c>
      <c r="K5158">
        <v>6988884176</v>
      </c>
      <c r="M5158" t="s">
        <v>9416</v>
      </c>
      <c r="N5158" t="s">
        <v>615</v>
      </c>
      <c r="O5158" t="s">
        <v>616</v>
      </c>
      <c r="R5158" t="s">
        <v>57</v>
      </c>
      <c r="S5158">
        <v>4</v>
      </c>
      <c r="T5158">
        <v>772</v>
      </c>
      <c r="U5158" s="1">
        <v>40413</v>
      </c>
      <c r="V5158" t="s">
        <v>80</v>
      </c>
      <c r="W5158" t="s">
        <v>81</v>
      </c>
      <c r="X5158" t="s">
        <v>58</v>
      </c>
      <c r="Y5158">
        <v>24</v>
      </c>
      <c r="Z5158" t="s">
        <v>59</v>
      </c>
      <c r="AA5158" t="s">
        <v>59</v>
      </c>
      <c r="AB5158" t="s">
        <v>59</v>
      </c>
      <c r="AC5158" t="s">
        <v>59</v>
      </c>
      <c r="AD5158" t="s">
        <v>59</v>
      </c>
      <c r="AF5158" s="1">
        <v>40413</v>
      </c>
      <c r="AG5158" t="s">
        <v>8645</v>
      </c>
      <c r="AH5158" t="s">
        <v>8646</v>
      </c>
      <c r="AI5158" t="str">
        <f>"9521412"</f>
        <v>9521412</v>
      </c>
      <c r="AJ5158" t="s">
        <v>8787</v>
      </c>
      <c r="AK5158">
        <v>2897025680</v>
      </c>
      <c r="AL5158" t="s">
        <v>8788</v>
      </c>
      <c r="AM5158" t="s">
        <v>78</v>
      </c>
      <c r="AN5158" t="s">
        <v>219</v>
      </c>
      <c r="AO5158" t="s">
        <v>219</v>
      </c>
      <c r="AP5158" t="s">
        <v>219</v>
      </c>
      <c r="AQ5158">
        <v>8</v>
      </c>
      <c r="AR5158" t="s">
        <v>80</v>
      </c>
      <c r="AS5158" t="s">
        <v>81</v>
      </c>
      <c r="AT5158" t="s">
        <v>58</v>
      </c>
      <c r="AU5158" t="s">
        <v>68</v>
      </c>
      <c r="AV5158" t="s">
        <v>69</v>
      </c>
      <c r="AW5158" s="1">
        <v>31627</v>
      </c>
      <c r="AX5158">
        <v>1</v>
      </c>
    </row>
    <row r="5159" spans="1:50">
      <c r="B5159" t="str">
        <f>"068037870"</f>
        <v>068037870</v>
      </c>
      <c r="C5159" t="s">
        <v>105</v>
      </c>
      <c r="D5159" t="s">
        <v>9417</v>
      </c>
      <c r="E5159" t="s">
        <v>2933</v>
      </c>
      <c r="F5159" t="s">
        <v>309</v>
      </c>
      <c r="G5159" t="s">
        <v>9418</v>
      </c>
      <c r="H5159" t="str">
        <f>"ΚΟΛΧΙΔΟΣ 16 "</f>
        <v xml:space="preserve">ΚΟΛΧΙΔΟΣ 16 </v>
      </c>
      <c r="I5159">
        <v>16777</v>
      </c>
      <c r="J5159">
        <v>2109631570</v>
      </c>
      <c r="K5159">
        <v>6977993921</v>
      </c>
      <c r="N5159" t="s">
        <v>1525</v>
      </c>
      <c r="O5159" t="s">
        <v>1526</v>
      </c>
      <c r="R5159" t="s">
        <v>159</v>
      </c>
      <c r="S5159">
        <v>3</v>
      </c>
      <c r="T5159" t="s">
        <v>8670</v>
      </c>
      <c r="U5159" s="1">
        <v>43348</v>
      </c>
      <c r="V5159" t="s">
        <v>80</v>
      </c>
      <c r="W5159" t="s">
        <v>81</v>
      </c>
      <c r="X5159" t="s">
        <v>58</v>
      </c>
      <c r="Y5159">
        <v>25</v>
      </c>
      <c r="Z5159" t="s">
        <v>59</v>
      </c>
      <c r="AA5159" t="s">
        <v>59</v>
      </c>
      <c r="AB5159" t="s">
        <v>59</v>
      </c>
      <c r="AC5159" t="s">
        <v>59</v>
      </c>
      <c r="AD5159" t="s">
        <v>59</v>
      </c>
      <c r="AF5159" s="1">
        <v>43348</v>
      </c>
      <c r="AG5159" t="s">
        <v>8651</v>
      </c>
      <c r="AH5159" t="s">
        <v>8652</v>
      </c>
      <c r="AI5159" t="str">
        <f>"9170060"</f>
        <v>9170060</v>
      </c>
      <c r="AJ5159" t="s">
        <v>9194</v>
      </c>
      <c r="AK5159">
        <v>2810791187</v>
      </c>
      <c r="AL5159" t="s">
        <v>9195</v>
      </c>
      <c r="AM5159" t="s">
        <v>78</v>
      </c>
      <c r="AN5159" t="s">
        <v>78</v>
      </c>
      <c r="AO5159" t="s">
        <v>78</v>
      </c>
      <c r="AP5159" t="s">
        <v>8871</v>
      </c>
      <c r="AQ5159">
        <v>3</v>
      </c>
      <c r="AR5159" t="s">
        <v>80</v>
      </c>
      <c r="AS5159" t="s">
        <v>81</v>
      </c>
      <c r="AT5159" t="s">
        <v>58</v>
      </c>
      <c r="AU5159" t="s">
        <v>8673</v>
      </c>
      <c r="AV5159" t="s">
        <v>132</v>
      </c>
      <c r="AW5159" s="1">
        <v>26633</v>
      </c>
      <c r="AX5159">
        <v>1</v>
      </c>
    </row>
    <row r="5160" spans="1:50">
      <c r="A5160">
        <v>569050</v>
      </c>
      <c r="B5160" t="str">
        <f>"037057349"</f>
        <v>037057349</v>
      </c>
      <c r="C5160" t="s">
        <v>50</v>
      </c>
      <c r="D5160" t="s">
        <v>9419</v>
      </c>
      <c r="E5160" t="s">
        <v>316</v>
      </c>
      <c r="F5160" t="s">
        <v>377</v>
      </c>
      <c r="G5160" t="s">
        <v>367</v>
      </c>
      <c r="H5160" t="str">
        <f>"ΜΗΤΡΟΠΟΛΙΤΗ ΜΑΡΚΑΚΗ 15 ΗΡΑΚΛΕΙΟ"</f>
        <v>ΜΗΤΡΟΠΟΛΙΤΗ ΜΑΡΚΑΚΗ 15 ΗΡΑΚΛΕΙΟ</v>
      </c>
      <c r="I5160">
        <v>71307</v>
      </c>
      <c r="J5160">
        <v>2810287074</v>
      </c>
      <c r="K5160">
        <v>6980236080</v>
      </c>
      <c r="N5160" t="s">
        <v>615</v>
      </c>
      <c r="O5160" t="s">
        <v>616</v>
      </c>
      <c r="R5160" t="s">
        <v>57</v>
      </c>
      <c r="S5160">
        <v>13</v>
      </c>
      <c r="T5160">
        <v>162</v>
      </c>
      <c r="U5160" s="1">
        <v>33844</v>
      </c>
      <c r="V5160" t="s">
        <v>80</v>
      </c>
      <c r="W5160" t="s">
        <v>81</v>
      </c>
      <c r="X5160" t="s">
        <v>58</v>
      </c>
      <c r="Y5160">
        <v>21</v>
      </c>
      <c r="Z5160" t="s">
        <v>59</v>
      </c>
      <c r="AA5160" t="s">
        <v>59</v>
      </c>
      <c r="AB5160" t="s">
        <v>59</v>
      </c>
      <c r="AC5160" t="s">
        <v>59</v>
      </c>
      <c r="AD5160" t="s">
        <v>59</v>
      </c>
      <c r="AF5160" s="1">
        <v>33848</v>
      </c>
      <c r="AG5160" t="s">
        <v>8645</v>
      </c>
      <c r="AH5160" t="s">
        <v>8646</v>
      </c>
      <c r="AI5160" t="str">
        <f>"9170516"</f>
        <v>9170516</v>
      </c>
      <c r="AJ5160" t="s">
        <v>8746</v>
      </c>
      <c r="AK5160">
        <v>2810236861</v>
      </c>
      <c r="AL5160" t="s">
        <v>8747</v>
      </c>
      <c r="AM5160" t="s">
        <v>78</v>
      </c>
      <c r="AN5160" t="s">
        <v>78</v>
      </c>
      <c r="AO5160" t="s">
        <v>78</v>
      </c>
      <c r="AP5160" t="s">
        <v>163</v>
      </c>
      <c r="AQ5160">
        <v>1</v>
      </c>
      <c r="AR5160" t="s">
        <v>80</v>
      </c>
      <c r="AS5160" t="s">
        <v>81</v>
      </c>
      <c r="AT5160" t="s">
        <v>58</v>
      </c>
      <c r="AU5160" t="s">
        <v>68</v>
      </c>
      <c r="AV5160" t="s">
        <v>69</v>
      </c>
      <c r="AW5160" s="1">
        <v>24293</v>
      </c>
      <c r="AX5160">
        <v>1</v>
      </c>
    </row>
    <row r="5161" spans="1:50">
      <c r="B5161" t="str">
        <f>"133880737"</f>
        <v>133880737</v>
      </c>
      <c r="C5161" t="s">
        <v>50</v>
      </c>
      <c r="D5161" t="s">
        <v>9420</v>
      </c>
      <c r="E5161" t="s">
        <v>71</v>
      </c>
      <c r="F5161" t="s">
        <v>459</v>
      </c>
      <c r="G5161" t="s">
        <v>52</v>
      </c>
      <c r="H5161" t="str">
        <f>"ΚΑΡΑΚΑΣΗ 7-9 ΘΕΣΣΑΛΟΝΙΚΗ"</f>
        <v>ΚΑΡΑΚΑΣΗ 7-9 ΘΕΣΣΑΛΟΝΙΚΗ</v>
      </c>
      <c r="I5161">
        <v>54248</v>
      </c>
      <c r="J5161">
        <v>2310471613</v>
      </c>
      <c r="K5161">
        <v>6976171669</v>
      </c>
      <c r="N5161" t="s">
        <v>8694</v>
      </c>
      <c r="O5161" t="s">
        <v>8695</v>
      </c>
      <c r="R5161" t="s">
        <v>159</v>
      </c>
      <c r="S5161">
        <v>4</v>
      </c>
      <c r="T5161" t="s">
        <v>8696</v>
      </c>
      <c r="U5161" s="1">
        <v>43348</v>
      </c>
      <c r="V5161" t="s">
        <v>80</v>
      </c>
      <c r="W5161" t="s">
        <v>81</v>
      </c>
      <c r="X5161" t="s">
        <v>58</v>
      </c>
      <c r="Y5161">
        <v>24</v>
      </c>
      <c r="Z5161" t="s">
        <v>59</v>
      </c>
      <c r="AA5161" t="s">
        <v>59</v>
      </c>
      <c r="AB5161" t="s">
        <v>59</v>
      </c>
      <c r="AC5161" t="s">
        <v>59</v>
      </c>
      <c r="AD5161" t="s">
        <v>59</v>
      </c>
      <c r="AF5161" s="1">
        <v>43348</v>
      </c>
      <c r="AG5161" t="s">
        <v>8645</v>
      </c>
      <c r="AH5161" t="s">
        <v>8697</v>
      </c>
      <c r="AI5161" t="str">
        <f>"9170511"</f>
        <v>9170511</v>
      </c>
      <c r="AJ5161" t="s">
        <v>8698</v>
      </c>
      <c r="AK5161">
        <v>2810316275</v>
      </c>
      <c r="AL5161" t="s">
        <v>8699</v>
      </c>
      <c r="AM5161" t="s">
        <v>78</v>
      </c>
      <c r="AN5161" t="s">
        <v>78</v>
      </c>
      <c r="AO5161" t="s">
        <v>78</v>
      </c>
      <c r="AP5161" t="s">
        <v>141</v>
      </c>
      <c r="AQ5161">
        <v>1</v>
      </c>
      <c r="AR5161" t="s">
        <v>80</v>
      </c>
      <c r="AS5161" t="s">
        <v>81</v>
      </c>
      <c r="AT5161" t="s">
        <v>58</v>
      </c>
      <c r="AU5161" t="s">
        <v>350</v>
      </c>
      <c r="AV5161" t="s">
        <v>132</v>
      </c>
      <c r="AW5161" s="1">
        <v>31320</v>
      </c>
      <c r="AX5161">
        <v>1</v>
      </c>
    </row>
    <row r="5162" spans="1:50">
      <c r="B5162" t="str">
        <f>"147104317"</f>
        <v>147104317</v>
      </c>
      <c r="C5162" t="s">
        <v>50</v>
      </c>
      <c r="D5162" t="s">
        <v>9421</v>
      </c>
      <c r="E5162" t="s">
        <v>181</v>
      </c>
      <c r="F5162" t="s">
        <v>72</v>
      </c>
      <c r="G5162" t="s">
        <v>96</v>
      </c>
      <c r="H5162" t="str">
        <f>"ΜΠΡΑΧΑΜΙΟΥ 2 "</f>
        <v xml:space="preserve">ΜΠΡΑΧΑΜΙΟΥ 2 </v>
      </c>
      <c r="I5162">
        <v>15124</v>
      </c>
      <c r="J5162">
        <v>2106107137</v>
      </c>
      <c r="K5162">
        <v>6973318122</v>
      </c>
      <c r="N5162" t="s">
        <v>615</v>
      </c>
      <c r="O5162" t="s">
        <v>616</v>
      </c>
      <c r="R5162" t="s">
        <v>159</v>
      </c>
      <c r="S5162">
        <v>1</v>
      </c>
      <c r="T5162" t="s">
        <v>8675</v>
      </c>
      <c r="U5162" s="1">
        <v>43348</v>
      </c>
      <c r="V5162" t="s">
        <v>80</v>
      </c>
      <c r="W5162" t="s">
        <v>81</v>
      </c>
      <c r="X5162" t="s">
        <v>58</v>
      </c>
      <c r="Y5162">
        <v>24</v>
      </c>
      <c r="Z5162" t="s">
        <v>59</v>
      </c>
      <c r="AA5162" t="s">
        <v>59</v>
      </c>
      <c r="AB5162" t="s">
        <v>59</v>
      </c>
      <c r="AC5162" t="s">
        <v>59</v>
      </c>
      <c r="AD5162" t="s">
        <v>59</v>
      </c>
      <c r="AF5162" s="1">
        <v>43348</v>
      </c>
      <c r="AG5162" t="s">
        <v>8645</v>
      </c>
      <c r="AH5162" t="s">
        <v>8646</v>
      </c>
      <c r="AI5162" t="str">
        <f>"9170239"</f>
        <v>9170239</v>
      </c>
      <c r="AJ5162" t="s">
        <v>8814</v>
      </c>
      <c r="AK5162">
        <v>2897022076</v>
      </c>
      <c r="AL5162" t="s">
        <v>8815</v>
      </c>
      <c r="AM5162" t="s">
        <v>78</v>
      </c>
      <c r="AN5162" t="s">
        <v>219</v>
      </c>
      <c r="AO5162" t="s">
        <v>219</v>
      </c>
      <c r="AP5162" t="s">
        <v>220</v>
      </c>
      <c r="AQ5162">
        <v>8</v>
      </c>
      <c r="AR5162" t="s">
        <v>80</v>
      </c>
      <c r="AS5162" t="s">
        <v>81</v>
      </c>
      <c r="AT5162" t="s">
        <v>58</v>
      </c>
      <c r="AU5162" t="s">
        <v>8673</v>
      </c>
      <c r="AV5162" t="s">
        <v>132</v>
      </c>
      <c r="AW5162" s="1">
        <v>32318</v>
      </c>
      <c r="AX5162">
        <v>1</v>
      </c>
    </row>
    <row r="5163" spans="1:50">
      <c r="B5163" t="str">
        <f>"141240678"</f>
        <v>141240678</v>
      </c>
      <c r="C5163" t="s">
        <v>50</v>
      </c>
      <c r="D5163" t="s">
        <v>9422</v>
      </c>
      <c r="E5163" t="s">
        <v>237</v>
      </c>
      <c r="F5163" t="s">
        <v>377</v>
      </c>
      <c r="G5163" t="s">
        <v>714</v>
      </c>
      <c r="H5163" t="str">
        <f>"ΔΑΓΚΛΗ 36 Τριανδρία"</f>
        <v>ΔΑΓΚΛΗ 36 Τριανδρία</v>
      </c>
      <c r="I5163">
        <v>55337</v>
      </c>
      <c r="J5163">
        <v>2310903363</v>
      </c>
      <c r="K5163">
        <v>6983857054</v>
      </c>
      <c r="N5163" t="s">
        <v>615</v>
      </c>
      <c r="O5163" t="s">
        <v>616</v>
      </c>
      <c r="R5163" t="s">
        <v>159</v>
      </c>
      <c r="S5163">
        <v>5</v>
      </c>
      <c r="T5163" t="s">
        <v>8675</v>
      </c>
      <c r="U5163" s="1">
        <v>43348</v>
      </c>
      <c r="V5163" t="s">
        <v>80</v>
      </c>
      <c r="W5163" t="s">
        <v>81</v>
      </c>
      <c r="X5163" t="s">
        <v>58</v>
      </c>
      <c r="Y5163">
        <v>24</v>
      </c>
      <c r="Z5163" t="s">
        <v>59</v>
      </c>
      <c r="AA5163" t="s">
        <v>59</v>
      </c>
      <c r="AB5163" t="s">
        <v>59</v>
      </c>
      <c r="AC5163" t="s">
        <v>59</v>
      </c>
      <c r="AD5163" t="s">
        <v>59</v>
      </c>
      <c r="AF5163" s="1">
        <v>43348</v>
      </c>
      <c r="AG5163" t="s">
        <v>8645</v>
      </c>
      <c r="AH5163" t="s">
        <v>8646</v>
      </c>
      <c r="AI5163" t="str">
        <f>"9170009"</f>
        <v>9170009</v>
      </c>
      <c r="AJ5163" t="s">
        <v>8683</v>
      </c>
      <c r="AK5163">
        <v>2810861612</v>
      </c>
      <c r="AL5163" t="s">
        <v>8684</v>
      </c>
      <c r="AM5163" t="s">
        <v>78</v>
      </c>
      <c r="AN5163" t="s">
        <v>78</v>
      </c>
      <c r="AO5163" t="s">
        <v>185</v>
      </c>
      <c r="AP5163" t="s">
        <v>8685</v>
      </c>
      <c r="AQ5163">
        <v>4</v>
      </c>
      <c r="AR5163" t="s">
        <v>80</v>
      </c>
      <c r="AS5163" t="s">
        <v>81</v>
      </c>
      <c r="AT5163" t="s">
        <v>58</v>
      </c>
      <c r="AU5163" t="s">
        <v>8673</v>
      </c>
      <c r="AV5163" t="s">
        <v>132</v>
      </c>
      <c r="AW5163" s="1">
        <v>32357</v>
      </c>
      <c r="AX5163">
        <v>1</v>
      </c>
    </row>
    <row r="5164" spans="1:50">
      <c r="A5164">
        <v>614753</v>
      </c>
      <c r="B5164" t="str">
        <f>"132780175"</f>
        <v>132780175</v>
      </c>
      <c r="C5164" t="s">
        <v>105</v>
      </c>
      <c r="D5164" t="s">
        <v>9423</v>
      </c>
      <c r="E5164" t="s">
        <v>760</v>
      </c>
      <c r="F5164" t="s">
        <v>84</v>
      </c>
      <c r="G5164" t="s">
        <v>440</v>
      </c>
      <c r="H5164" t="str">
        <f>"ΘΟΥΚΥΔΙΔΟΥ 5 ΚΟΖΑΝΗ"</f>
        <v>ΘΟΥΚΥΔΙΔΟΥ 5 ΚΟΖΑΝΗ</v>
      </c>
      <c r="I5164">
        <v>50100</v>
      </c>
      <c r="J5164">
        <v>2461100888</v>
      </c>
      <c r="K5164">
        <v>6947409898</v>
      </c>
      <c r="M5164" t="s">
        <v>9424</v>
      </c>
      <c r="N5164" t="s">
        <v>615</v>
      </c>
      <c r="O5164" t="s">
        <v>616</v>
      </c>
      <c r="R5164" t="s">
        <v>57</v>
      </c>
      <c r="S5164">
        <v>5</v>
      </c>
      <c r="T5164">
        <v>598</v>
      </c>
      <c r="U5164" s="1">
        <v>39310</v>
      </c>
      <c r="V5164" t="s">
        <v>80</v>
      </c>
      <c r="W5164" t="s">
        <v>81</v>
      </c>
      <c r="X5164" t="s">
        <v>58</v>
      </c>
      <c r="Y5164">
        <v>23</v>
      </c>
      <c r="Z5164" t="s">
        <v>59</v>
      </c>
      <c r="AA5164" t="s">
        <v>59</v>
      </c>
      <c r="AB5164" t="s">
        <v>59</v>
      </c>
      <c r="AC5164" t="s">
        <v>59</v>
      </c>
      <c r="AD5164" t="s">
        <v>59</v>
      </c>
      <c r="AF5164" s="1">
        <v>39329</v>
      </c>
      <c r="AG5164" t="s">
        <v>8645</v>
      </c>
      <c r="AH5164" t="s">
        <v>8646</v>
      </c>
      <c r="AI5164" t="str">
        <f>"9170561"</f>
        <v>9170561</v>
      </c>
      <c r="AJ5164" t="s">
        <v>8708</v>
      </c>
      <c r="AK5164">
        <v>2891023609</v>
      </c>
      <c r="AL5164" t="s">
        <v>8709</v>
      </c>
      <c r="AM5164" t="s">
        <v>78</v>
      </c>
      <c r="AN5164" t="s">
        <v>276</v>
      </c>
      <c r="AO5164" t="s">
        <v>490</v>
      </c>
      <c r="AP5164" t="s">
        <v>490</v>
      </c>
      <c r="AQ5164">
        <v>12</v>
      </c>
      <c r="AR5164" t="s">
        <v>80</v>
      </c>
      <c r="AS5164" t="s">
        <v>81</v>
      </c>
      <c r="AT5164" t="s">
        <v>58</v>
      </c>
      <c r="AU5164" t="s">
        <v>68</v>
      </c>
      <c r="AV5164" t="s">
        <v>69</v>
      </c>
      <c r="AW5164" s="1">
        <v>30874</v>
      </c>
      <c r="AX5164">
        <v>1</v>
      </c>
    </row>
    <row r="5165" spans="1:50">
      <c r="A5165">
        <v>618787</v>
      </c>
      <c r="B5165" t="str">
        <f>"117257022"</f>
        <v>117257022</v>
      </c>
      <c r="C5165" t="s">
        <v>50</v>
      </c>
      <c r="D5165" t="s">
        <v>9425</v>
      </c>
      <c r="E5165" t="s">
        <v>9426</v>
      </c>
      <c r="F5165" t="s">
        <v>309</v>
      </c>
      <c r="G5165" t="s">
        <v>396</v>
      </c>
      <c r="H5165" t="str">
        <f>"ΚΩΝ/ΠΟΛΕΩΣ 259 ΟΡΕΣΤΙΑΔΑ"</f>
        <v>ΚΩΝ/ΠΟΛΕΩΣ 259 ΟΡΕΣΤΙΑΔΑ</v>
      </c>
      <c r="I5165">
        <v>68200</v>
      </c>
      <c r="J5165">
        <v>2552029621</v>
      </c>
      <c r="K5165">
        <v>6932607053</v>
      </c>
      <c r="M5165" t="s">
        <v>9427</v>
      </c>
      <c r="N5165" t="s">
        <v>615</v>
      </c>
      <c r="O5165" t="s">
        <v>616</v>
      </c>
      <c r="R5165" t="s">
        <v>57</v>
      </c>
      <c r="S5165">
        <v>5</v>
      </c>
      <c r="T5165">
        <v>774</v>
      </c>
      <c r="U5165" s="1">
        <v>39680</v>
      </c>
      <c r="V5165" t="s">
        <v>80</v>
      </c>
      <c r="W5165" t="s">
        <v>81</v>
      </c>
      <c r="X5165" t="s">
        <v>58</v>
      </c>
      <c r="Y5165">
        <v>23</v>
      </c>
      <c r="Z5165" t="s">
        <v>59</v>
      </c>
      <c r="AA5165" t="s">
        <v>59</v>
      </c>
      <c r="AB5165" t="s">
        <v>59</v>
      </c>
      <c r="AC5165" t="s">
        <v>59</v>
      </c>
      <c r="AD5165" t="s">
        <v>59</v>
      </c>
      <c r="AF5165" s="1">
        <v>39680</v>
      </c>
      <c r="AG5165" t="s">
        <v>8645</v>
      </c>
      <c r="AH5165" t="s">
        <v>8646</v>
      </c>
      <c r="AI5165" t="str">
        <f>"9170194"</f>
        <v>9170194</v>
      </c>
      <c r="AJ5165" t="s">
        <v>8768</v>
      </c>
      <c r="AK5165">
        <v>2810239611</v>
      </c>
      <c r="AL5165" t="s">
        <v>8769</v>
      </c>
      <c r="AM5165" t="s">
        <v>78</v>
      </c>
      <c r="AN5165" t="s">
        <v>78</v>
      </c>
      <c r="AO5165" t="s">
        <v>78</v>
      </c>
      <c r="AP5165" t="s">
        <v>213</v>
      </c>
      <c r="AQ5165">
        <v>1</v>
      </c>
      <c r="AR5165" t="s">
        <v>80</v>
      </c>
      <c r="AS5165" t="s">
        <v>81</v>
      </c>
      <c r="AT5165" t="s">
        <v>58</v>
      </c>
      <c r="AU5165" t="s">
        <v>68</v>
      </c>
      <c r="AV5165" t="s">
        <v>69</v>
      </c>
      <c r="AW5165" s="1">
        <v>29990</v>
      </c>
      <c r="AX5165">
        <v>1</v>
      </c>
    </row>
    <row r="5166" spans="1:50">
      <c r="A5166">
        <v>589021</v>
      </c>
      <c r="B5166" t="str">
        <f>"077980509"</f>
        <v>077980509</v>
      </c>
      <c r="C5166" t="s">
        <v>105</v>
      </c>
      <c r="D5166" t="s">
        <v>9428</v>
      </c>
      <c r="E5166" t="s">
        <v>72</v>
      </c>
      <c r="F5166" t="s">
        <v>377</v>
      </c>
      <c r="G5166" t="s">
        <v>340</v>
      </c>
      <c r="H5166" t="str">
        <f>"ΣΠΗΛΙΑΔΟΥ 1 ΦΛΩΡΙΝΑ"</f>
        <v>ΣΠΗΛΙΑΔΟΥ 1 ΦΛΩΡΙΝΑ</v>
      </c>
      <c r="I5166">
        <v>53100</v>
      </c>
      <c r="J5166">
        <v>2811111821</v>
      </c>
      <c r="K5166">
        <v>6956587338</v>
      </c>
      <c r="N5166" t="s">
        <v>615</v>
      </c>
      <c r="O5166" t="s">
        <v>616</v>
      </c>
      <c r="R5166" t="s">
        <v>57</v>
      </c>
      <c r="S5166">
        <v>9</v>
      </c>
      <c r="T5166">
        <v>176</v>
      </c>
      <c r="U5166" s="1">
        <v>36403</v>
      </c>
      <c r="V5166" t="s">
        <v>80</v>
      </c>
      <c r="W5166" t="s">
        <v>81</v>
      </c>
      <c r="X5166" t="s">
        <v>58</v>
      </c>
      <c r="Y5166">
        <v>22</v>
      </c>
      <c r="Z5166" t="s">
        <v>59</v>
      </c>
      <c r="AA5166" t="s">
        <v>59</v>
      </c>
      <c r="AB5166" t="s">
        <v>59</v>
      </c>
      <c r="AC5166" t="s">
        <v>59</v>
      </c>
      <c r="AD5166" t="s">
        <v>59</v>
      </c>
      <c r="AF5166" s="1">
        <v>36405</v>
      </c>
      <c r="AG5166" t="s">
        <v>8645</v>
      </c>
      <c r="AH5166" t="s">
        <v>8646</v>
      </c>
      <c r="AI5166" t="str">
        <f>"9170345"</f>
        <v>9170345</v>
      </c>
      <c r="AJ5166" t="s">
        <v>9429</v>
      </c>
      <c r="AK5166">
        <v>2810289563</v>
      </c>
      <c r="AL5166" t="s">
        <v>9430</v>
      </c>
      <c r="AM5166" t="s">
        <v>78</v>
      </c>
      <c r="AN5166" t="s">
        <v>78</v>
      </c>
      <c r="AO5166" t="s">
        <v>78</v>
      </c>
      <c r="AP5166" t="s">
        <v>79</v>
      </c>
      <c r="AQ5166">
        <v>1</v>
      </c>
      <c r="AR5166" t="s">
        <v>80</v>
      </c>
      <c r="AS5166" t="s">
        <v>81</v>
      </c>
      <c r="AT5166" t="s">
        <v>58</v>
      </c>
      <c r="AU5166" t="s">
        <v>68</v>
      </c>
      <c r="AV5166" t="s">
        <v>69</v>
      </c>
      <c r="AW5166" s="1">
        <v>24470</v>
      </c>
      <c r="AX5166">
        <v>1</v>
      </c>
    </row>
    <row r="5167" spans="1:50">
      <c r="B5167" t="str">
        <f>"159443828"</f>
        <v>159443828</v>
      </c>
      <c r="C5167" t="s">
        <v>50</v>
      </c>
      <c r="D5167" t="s">
        <v>9431</v>
      </c>
      <c r="E5167" t="s">
        <v>9432</v>
      </c>
      <c r="F5167" t="s">
        <v>84</v>
      </c>
      <c r="G5167" t="s">
        <v>460</v>
      </c>
      <c r="H5167" t="str">
        <f>" "</f>
        <v xml:space="preserve"> </v>
      </c>
      <c r="N5167" t="s">
        <v>683</v>
      </c>
      <c r="O5167" t="s">
        <v>684</v>
      </c>
      <c r="R5167" t="s">
        <v>121</v>
      </c>
      <c r="S5167">
        <v>1</v>
      </c>
      <c r="T5167" t="s">
        <v>8675</v>
      </c>
      <c r="U5167" s="1">
        <v>43348</v>
      </c>
      <c r="V5167" t="s">
        <v>80</v>
      </c>
      <c r="W5167" t="s">
        <v>81</v>
      </c>
      <c r="X5167" t="s">
        <v>58</v>
      </c>
      <c r="Y5167">
        <v>24</v>
      </c>
      <c r="Z5167" t="s">
        <v>59</v>
      </c>
      <c r="AD5167" t="s">
        <v>59</v>
      </c>
      <c r="AF5167" s="1">
        <v>43348</v>
      </c>
      <c r="AG5167" t="s">
        <v>8645</v>
      </c>
      <c r="AH5167" t="s">
        <v>8646</v>
      </c>
      <c r="AI5167" t="str">
        <f>"9170282"</f>
        <v>9170282</v>
      </c>
      <c r="AJ5167" t="s">
        <v>8938</v>
      </c>
      <c r="AK5167">
        <v>2892022120</v>
      </c>
      <c r="AL5167" t="s">
        <v>8939</v>
      </c>
      <c r="AM5167" t="s">
        <v>78</v>
      </c>
      <c r="AN5167" t="s">
        <v>242</v>
      </c>
      <c r="AO5167" t="s">
        <v>243</v>
      </c>
      <c r="AP5167" t="s">
        <v>8940</v>
      </c>
      <c r="AQ5167">
        <v>20</v>
      </c>
      <c r="AR5167" t="s">
        <v>80</v>
      </c>
      <c r="AS5167" t="s">
        <v>81</v>
      </c>
      <c r="AT5167" t="s">
        <v>58</v>
      </c>
      <c r="AU5167" t="s">
        <v>8673</v>
      </c>
      <c r="AV5167" t="s">
        <v>132</v>
      </c>
      <c r="AW5167" s="1">
        <v>34060</v>
      </c>
      <c r="AX5167">
        <v>1</v>
      </c>
    </row>
    <row r="5168" spans="1:50">
      <c r="A5168">
        <v>616822</v>
      </c>
      <c r="B5168" t="str">
        <f>"103528800"</f>
        <v>103528800</v>
      </c>
      <c r="C5168" t="s">
        <v>105</v>
      </c>
      <c r="D5168" t="s">
        <v>9433</v>
      </c>
      <c r="E5168" t="s">
        <v>72</v>
      </c>
      <c r="F5168" t="s">
        <v>99</v>
      </c>
      <c r="G5168" t="s">
        <v>96</v>
      </c>
      <c r="H5168" t="str">
        <f>"Μ. ΓΕΩΡΓΙΑΔΟΥ 59 ΗΡΑΚΛΕΙΟ"</f>
        <v>Μ. ΓΕΩΡΓΙΑΔΟΥ 59 ΗΡΑΚΛΕΙΟ</v>
      </c>
      <c r="I5168">
        <v>71306</v>
      </c>
      <c r="J5168">
        <v>2810371289</v>
      </c>
      <c r="K5168">
        <v>6974890913</v>
      </c>
      <c r="M5168" t="s">
        <v>9434</v>
      </c>
      <c r="N5168" t="s">
        <v>615</v>
      </c>
      <c r="O5168" t="s">
        <v>616</v>
      </c>
      <c r="R5168" t="s">
        <v>57</v>
      </c>
      <c r="S5168">
        <v>6</v>
      </c>
      <c r="T5168">
        <v>774</v>
      </c>
      <c r="U5168" s="1">
        <v>39680</v>
      </c>
      <c r="V5168" t="s">
        <v>80</v>
      </c>
      <c r="W5168" t="s">
        <v>81</v>
      </c>
      <c r="X5168" t="s">
        <v>58</v>
      </c>
      <c r="Y5168">
        <v>23</v>
      </c>
      <c r="Z5168" t="s">
        <v>59</v>
      </c>
      <c r="AA5168" t="s">
        <v>59</v>
      </c>
      <c r="AB5168" t="s">
        <v>59</v>
      </c>
      <c r="AC5168" t="s">
        <v>59</v>
      </c>
      <c r="AD5168" t="s">
        <v>59</v>
      </c>
      <c r="AF5168" s="1">
        <v>39681</v>
      </c>
      <c r="AG5168" t="s">
        <v>8645</v>
      </c>
      <c r="AH5168" t="s">
        <v>8646</v>
      </c>
      <c r="AI5168" t="str">
        <f>"9170108"</f>
        <v>9170108</v>
      </c>
      <c r="AJ5168" t="s">
        <v>8863</v>
      </c>
      <c r="AK5168">
        <v>2810232111</v>
      </c>
      <c r="AL5168" t="s">
        <v>8864</v>
      </c>
      <c r="AM5168" t="s">
        <v>78</v>
      </c>
      <c r="AN5168" t="s">
        <v>78</v>
      </c>
      <c r="AO5168" t="s">
        <v>78</v>
      </c>
      <c r="AP5168" t="s">
        <v>163</v>
      </c>
      <c r="AQ5168">
        <v>1</v>
      </c>
      <c r="AR5168" t="s">
        <v>80</v>
      </c>
      <c r="AS5168" t="s">
        <v>81</v>
      </c>
      <c r="AT5168" t="s">
        <v>58</v>
      </c>
      <c r="AU5168" t="s">
        <v>68</v>
      </c>
      <c r="AV5168" t="s">
        <v>69</v>
      </c>
      <c r="AW5168" s="1">
        <v>29967</v>
      </c>
      <c r="AX5168">
        <v>1</v>
      </c>
    </row>
    <row r="5169" spans="1:50">
      <c r="B5169" t="str">
        <f>"120680124"</f>
        <v>120680124</v>
      </c>
      <c r="C5169" t="s">
        <v>50</v>
      </c>
      <c r="D5169" t="s">
        <v>9435</v>
      </c>
      <c r="E5169" t="s">
        <v>255</v>
      </c>
      <c r="F5169" t="s">
        <v>383</v>
      </c>
      <c r="G5169" t="s">
        <v>620</v>
      </c>
      <c r="H5169" t="str">
        <f>"Σιβιτανίδου 34 "</f>
        <v xml:space="preserve">Σιβιτανίδου 34 </v>
      </c>
      <c r="I5169">
        <v>17676</v>
      </c>
      <c r="J5169">
        <v>2310659517</v>
      </c>
      <c r="K5169">
        <v>6970886937</v>
      </c>
      <c r="M5169" t="s">
        <v>9436</v>
      </c>
      <c r="N5169" t="s">
        <v>683</v>
      </c>
      <c r="O5169" t="s">
        <v>684</v>
      </c>
      <c r="R5169" t="s">
        <v>159</v>
      </c>
      <c r="S5169">
        <v>4</v>
      </c>
      <c r="T5169" t="s">
        <v>8675</v>
      </c>
      <c r="U5169" s="1">
        <v>43348</v>
      </c>
      <c r="V5169" t="s">
        <v>80</v>
      </c>
      <c r="W5169" t="s">
        <v>81</v>
      </c>
      <c r="X5169" t="s">
        <v>58</v>
      </c>
      <c r="Y5169">
        <v>24</v>
      </c>
      <c r="Z5169" t="s">
        <v>59</v>
      </c>
      <c r="AA5169" t="s">
        <v>59</v>
      </c>
      <c r="AB5169" t="s">
        <v>59</v>
      </c>
      <c r="AC5169" t="s">
        <v>59</v>
      </c>
      <c r="AD5169" t="s">
        <v>59</v>
      </c>
      <c r="AF5169" s="1">
        <v>43348</v>
      </c>
      <c r="AG5169" t="s">
        <v>8645</v>
      </c>
      <c r="AH5169" t="s">
        <v>8646</v>
      </c>
      <c r="AI5169" t="str">
        <f>"9170205"</f>
        <v>9170205</v>
      </c>
      <c r="AJ5169" t="s">
        <v>8794</v>
      </c>
      <c r="AK5169">
        <v>2810762030</v>
      </c>
      <c r="AL5169" t="s">
        <v>8795</v>
      </c>
      <c r="AM5169" t="s">
        <v>78</v>
      </c>
      <c r="AN5169" t="s">
        <v>219</v>
      </c>
      <c r="AO5169" t="s">
        <v>297</v>
      </c>
      <c r="AP5169" t="s">
        <v>8796</v>
      </c>
      <c r="AQ5169">
        <v>7</v>
      </c>
      <c r="AR5169" t="s">
        <v>80</v>
      </c>
      <c r="AS5169" t="s">
        <v>81</v>
      </c>
      <c r="AT5169" t="s">
        <v>58</v>
      </c>
      <c r="AU5169" t="s">
        <v>8673</v>
      </c>
      <c r="AV5169" t="s">
        <v>132</v>
      </c>
      <c r="AW5169" s="1">
        <v>30710</v>
      </c>
      <c r="AX5169">
        <v>1</v>
      </c>
    </row>
    <row r="5170" spans="1:50">
      <c r="A5170">
        <v>622622</v>
      </c>
      <c r="B5170" t="str">
        <f>"138978348"</f>
        <v>138978348</v>
      </c>
      <c r="C5170" t="s">
        <v>50</v>
      </c>
      <c r="D5170" t="s">
        <v>9437</v>
      </c>
      <c r="E5170" t="s">
        <v>545</v>
      </c>
      <c r="F5170" t="s">
        <v>4327</v>
      </c>
      <c r="G5170" t="s">
        <v>9332</v>
      </c>
      <c r="H5170" t="str">
        <f>"ΑΝΔΡΙΑΝΟΥ 26 ΑΛΙΚΑΡΝΑΣΣΟΣ ΗΡΑΚΛΕΙΟΥ"</f>
        <v>ΑΝΔΡΙΑΝΟΥ 26 ΑΛΙΚΑΡΝΑΣΣΟΣ ΗΡΑΚΛΕΙΟΥ</v>
      </c>
      <c r="I5170">
        <v>71601</v>
      </c>
      <c r="J5170">
        <v>2810229222</v>
      </c>
      <c r="K5170">
        <v>6981321260</v>
      </c>
      <c r="N5170" t="s">
        <v>1525</v>
      </c>
      <c r="O5170" t="s">
        <v>1526</v>
      </c>
      <c r="R5170" t="s">
        <v>57</v>
      </c>
      <c r="S5170">
        <v>4</v>
      </c>
      <c r="T5170">
        <v>653</v>
      </c>
      <c r="U5170" s="1">
        <v>40043</v>
      </c>
      <c r="V5170" t="s">
        <v>80</v>
      </c>
      <c r="W5170" t="s">
        <v>81</v>
      </c>
      <c r="X5170" t="s">
        <v>58</v>
      </c>
      <c r="Y5170">
        <v>25</v>
      </c>
      <c r="Z5170" t="s">
        <v>59</v>
      </c>
      <c r="AA5170" t="s">
        <v>59</v>
      </c>
      <c r="AB5170" t="s">
        <v>59</v>
      </c>
      <c r="AC5170" t="s">
        <v>59</v>
      </c>
      <c r="AD5170" t="s">
        <v>59</v>
      </c>
      <c r="AF5170" s="1">
        <v>40057</v>
      </c>
      <c r="AG5170" t="s">
        <v>8651</v>
      </c>
      <c r="AH5170" t="s">
        <v>8652</v>
      </c>
      <c r="AI5170" t="str">
        <f>"9170416"</f>
        <v>9170416</v>
      </c>
      <c r="AJ5170" t="s">
        <v>8903</v>
      </c>
      <c r="AK5170">
        <v>2810224704</v>
      </c>
      <c r="AL5170" t="s">
        <v>8904</v>
      </c>
      <c r="AM5170" t="s">
        <v>78</v>
      </c>
      <c r="AN5170" t="s">
        <v>78</v>
      </c>
      <c r="AO5170" t="s">
        <v>78</v>
      </c>
      <c r="AP5170" t="s">
        <v>213</v>
      </c>
      <c r="AQ5170">
        <v>1</v>
      </c>
      <c r="AR5170" t="s">
        <v>80</v>
      </c>
      <c r="AS5170" t="s">
        <v>81</v>
      </c>
      <c r="AT5170" t="s">
        <v>58</v>
      </c>
      <c r="AU5170" t="s">
        <v>68</v>
      </c>
      <c r="AV5170" t="s">
        <v>69</v>
      </c>
      <c r="AW5170" s="1">
        <v>30748</v>
      </c>
      <c r="AX5170">
        <v>1</v>
      </c>
    </row>
    <row r="5171" spans="1:50">
      <c r="A5171">
        <v>578240</v>
      </c>
      <c r="B5171" t="str">
        <f>"103532560"</f>
        <v>103532560</v>
      </c>
      <c r="C5171" t="s">
        <v>50</v>
      </c>
      <c r="D5171" t="s">
        <v>9438</v>
      </c>
      <c r="E5171" t="s">
        <v>1277</v>
      </c>
      <c r="F5171" t="s">
        <v>95</v>
      </c>
      <c r="G5171" t="s">
        <v>181</v>
      </c>
      <c r="H5171" t="str">
        <f>"ΖΑΡΟΥ 4 ΗΡΑΚΛΕΙΟ"</f>
        <v>ΖΑΡΟΥ 4 ΗΡΑΚΛΕΙΟ</v>
      </c>
      <c r="I5171">
        <v>71414</v>
      </c>
      <c r="J5171">
        <v>2810542663</v>
      </c>
      <c r="K5171">
        <v>6939915858</v>
      </c>
      <c r="N5171" t="s">
        <v>615</v>
      </c>
      <c r="O5171" t="s">
        <v>616</v>
      </c>
      <c r="R5171" t="s">
        <v>57</v>
      </c>
      <c r="S5171">
        <v>13</v>
      </c>
      <c r="T5171" t="s">
        <v>9439</v>
      </c>
      <c r="U5171" s="1">
        <v>35300</v>
      </c>
      <c r="V5171" t="s">
        <v>80</v>
      </c>
      <c r="W5171" t="s">
        <v>81</v>
      </c>
      <c r="X5171" t="s">
        <v>58</v>
      </c>
      <c r="Y5171">
        <v>21</v>
      </c>
      <c r="Z5171" t="s">
        <v>59</v>
      </c>
      <c r="AA5171" t="s">
        <v>59</v>
      </c>
      <c r="AB5171" t="s">
        <v>59</v>
      </c>
      <c r="AC5171" t="s">
        <v>59</v>
      </c>
      <c r="AD5171" t="s">
        <v>59</v>
      </c>
      <c r="AF5171" s="1">
        <v>35310</v>
      </c>
      <c r="AG5171" t="s">
        <v>8645</v>
      </c>
      <c r="AH5171" t="s">
        <v>8646</v>
      </c>
      <c r="AI5171" t="str">
        <f>"9170580"</f>
        <v>9170580</v>
      </c>
      <c r="AJ5171" t="s">
        <v>9076</v>
      </c>
      <c r="AK5171">
        <v>2810542809</v>
      </c>
      <c r="AL5171" t="s">
        <v>9077</v>
      </c>
      <c r="AM5171" t="s">
        <v>78</v>
      </c>
      <c r="AN5171" t="s">
        <v>78</v>
      </c>
      <c r="AO5171" t="s">
        <v>78</v>
      </c>
      <c r="AP5171" t="s">
        <v>9053</v>
      </c>
      <c r="AQ5171">
        <v>1</v>
      </c>
      <c r="AR5171" t="s">
        <v>80</v>
      </c>
      <c r="AS5171" t="s">
        <v>81</v>
      </c>
      <c r="AT5171" t="s">
        <v>58</v>
      </c>
      <c r="AU5171" t="s">
        <v>68</v>
      </c>
      <c r="AV5171" t="s">
        <v>69</v>
      </c>
      <c r="AW5171" s="1">
        <v>23454</v>
      </c>
      <c r="AX5171">
        <v>1</v>
      </c>
    </row>
    <row r="5172" spans="1:50">
      <c r="B5172" t="str">
        <f>"128974434"</f>
        <v>128974434</v>
      </c>
      <c r="C5172" t="s">
        <v>50</v>
      </c>
      <c r="D5172" t="s">
        <v>9440</v>
      </c>
      <c r="E5172" t="s">
        <v>52</v>
      </c>
      <c r="F5172" t="s">
        <v>670</v>
      </c>
      <c r="G5172" t="s">
        <v>2315</v>
      </c>
      <c r="H5172" t="str">
        <f>"ΧΡΗΣΤΟΜΑΝΟΥ 25 "</f>
        <v xml:space="preserve">ΧΡΗΣΤΟΜΑΝΟΥ 25 </v>
      </c>
      <c r="I5172">
        <v>41447</v>
      </c>
      <c r="J5172">
        <v>2410258250</v>
      </c>
      <c r="K5172">
        <v>6947376285</v>
      </c>
      <c r="N5172" t="s">
        <v>1525</v>
      </c>
      <c r="O5172" t="s">
        <v>1526</v>
      </c>
      <c r="R5172" t="s">
        <v>159</v>
      </c>
      <c r="S5172">
        <v>1</v>
      </c>
      <c r="T5172" t="s">
        <v>8670</v>
      </c>
      <c r="U5172" s="1">
        <v>43348</v>
      </c>
      <c r="V5172" t="s">
        <v>80</v>
      </c>
      <c r="W5172" t="s">
        <v>81</v>
      </c>
      <c r="X5172" t="s">
        <v>58</v>
      </c>
      <c r="Y5172">
        <v>25</v>
      </c>
      <c r="Z5172" t="s">
        <v>59</v>
      </c>
      <c r="AA5172" t="s">
        <v>59</v>
      </c>
      <c r="AB5172" t="s">
        <v>59</v>
      </c>
      <c r="AC5172" t="s">
        <v>59</v>
      </c>
      <c r="AD5172" t="s">
        <v>59</v>
      </c>
      <c r="AF5172" s="1">
        <v>43348</v>
      </c>
      <c r="AG5172" t="s">
        <v>8651</v>
      </c>
      <c r="AH5172" t="s">
        <v>8652</v>
      </c>
      <c r="AI5172" t="str">
        <f>"9170589"</f>
        <v>9170589</v>
      </c>
      <c r="AJ5172" t="s">
        <v>9441</v>
      </c>
      <c r="AK5172">
        <v>2810763139</v>
      </c>
      <c r="AL5172" t="s">
        <v>9442</v>
      </c>
      <c r="AM5172" t="s">
        <v>78</v>
      </c>
      <c r="AN5172" t="s">
        <v>219</v>
      </c>
      <c r="AO5172" t="s">
        <v>297</v>
      </c>
      <c r="AP5172" t="s">
        <v>8796</v>
      </c>
      <c r="AQ5172">
        <v>7</v>
      </c>
      <c r="AR5172" t="s">
        <v>80</v>
      </c>
      <c r="AS5172" t="s">
        <v>81</v>
      </c>
      <c r="AT5172" t="s">
        <v>58</v>
      </c>
      <c r="AU5172" t="s">
        <v>8673</v>
      </c>
      <c r="AV5172" t="s">
        <v>132</v>
      </c>
      <c r="AW5172" s="1">
        <v>30080</v>
      </c>
      <c r="AX5172">
        <v>1</v>
      </c>
    </row>
    <row r="5173" spans="1:50">
      <c r="B5173" t="str">
        <f>"141995633"</f>
        <v>141995633</v>
      </c>
      <c r="C5173" t="s">
        <v>50</v>
      </c>
      <c r="D5173" t="s">
        <v>9443</v>
      </c>
      <c r="E5173" t="s">
        <v>143</v>
      </c>
      <c r="F5173" t="s">
        <v>936</v>
      </c>
      <c r="G5173" t="s">
        <v>1355</v>
      </c>
      <c r="H5173" t="str">
        <f>"ΠΑΡ.ΟΠΡΟΠΟΥΛΟΥ 5 "</f>
        <v xml:space="preserve">ΠΑΡ.ΟΠΡΟΠΟΥΛΟΥ 5 </v>
      </c>
      <c r="I5173">
        <v>58100</v>
      </c>
      <c r="J5173">
        <v>2382021572</v>
      </c>
      <c r="K5173">
        <v>6945026678</v>
      </c>
      <c r="N5173" t="s">
        <v>615</v>
      </c>
      <c r="O5173" t="s">
        <v>616</v>
      </c>
      <c r="R5173" t="s">
        <v>159</v>
      </c>
      <c r="S5173">
        <v>2</v>
      </c>
      <c r="T5173" t="s">
        <v>8675</v>
      </c>
      <c r="U5173" s="1">
        <v>43348</v>
      </c>
      <c r="V5173" t="s">
        <v>80</v>
      </c>
      <c r="W5173" t="s">
        <v>81</v>
      </c>
      <c r="X5173" t="s">
        <v>58</v>
      </c>
      <c r="Y5173">
        <v>25</v>
      </c>
      <c r="Z5173" t="s">
        <v>59</v>
      </c>
      <c r="AA5173" t="s">
        <v>59</v>
      </c>
      <c r="AB5173" t="s">
        <v>59</v>
      </c>
      <c r="AC5173" t="s">
        <v>59</v>
      </c>
      <c r="AD5173" t="s">
        <v>59</v>
      </c>
      <c r="AF5173" s="1">
        <v>43348</v>
      </c>
      <c r="AG5173" t="s">
        <v>8645</v>
      </c>
      <c r="AH5173" t="s">
        <v>8676</v>
      </c>
      <c r="AI5173" t="str">
        <f>"9170284"</f>
        <v>9170284</v>
      </c>
      <c r="AJ5173" t="s">
        <v>9444</v>
      </c>
      <c r="AK5173">
        <v>2892031320</v>
      </c>
      <c r="AL5173" t="s">
        <v>9445</v>
      </c>
      <c r="AM5173" t="s">
        <v>78</v>
      </c>
      <c r="AN5173" t="s">
        <v>405</v>
      </c>
      <c r="AO5173" t="s">
        <v>405</v>
      </c>
      <c r="AP5173" t="s">
        <v>9446</v>
      </c>
      <c r="AQ5173">
        <v>17</v>
      </c>
      <c r="AR5173" t="s">
        <v>80</v>
      </c>
      <c r="AS5173" t="s">
        <v>81</v>
      </c>
      <c r="AT5173" t="s">
        <v>58</v>
      </c>
      <c r="AU5173" t="s">
        <v>8673</v>
      </c>
      <c r="AV5173" t="s">
        <v>132</v>
      </c>
      <c r="AW5173" s="1">
        <v>31879</v>
      </c>
      <c r="AX5173">
        <v>1</v>
      </c>
    </row>
    <row r="5174" spans="1:50">
      <c r="A5174">
        <v>620878</v>
      </c>
      <c r="B5174" t="str">
        <f>"130324820"</f>
        <v>130324820</v>
      </c>
      <c r="C5174" t="s">
        <v>50</v>
      </c>
      <c r="D5174" t="s">
        <v>1160</v>
      </c>
      <c r="E5174" t="s">
        <v>237</v>
      </c>
      <c r="F5174" t="s">
        <v>510</v>
      </c>
      <c r="G5174" t="s">
        <v>9447</v>
      </c>
      <c r="H5174" t="str">
        <f>"ΚΗΦΙΣΟΔΟΤΟΥ 15 ΑΘΗΝΑ"</f>
        <v>ΚΗΦΙΣΟΔΟΤΟΥ 15 ΑΘΗΝΑ</v>
      </c>
      <c r="I5174">
        <v>11852</v>
      </c>
      <c r="J5174">
        <v>2103478636</v>
      </c>
      <c r="K5174">
        <v>6934446249</v>
      </c>
      <c r="N5174" t="s">
        <v>615</v>
      </c>
      <c r="O5174" t="s">
        <v>616</v>
      </c>
      <c r="R5174" t="s">
        <v>57</v>
      </c>
      <c r="S5174">
        <v>5</v>
      </c>
      <c r="T5174">
        <v>653</v>
      </c>
      <c r="U5174" s="1">
        <v>40043</v>
      </c>
      <c r="V5174" t="s">
        <v>80</v>
      </c>
      <c r="W5174" t="s">
        <v>81</v>
      </c>
      <c r="X5174" t="s">
        <v>58</v>
      </c>
      <c r="Y5174">
        <v>23</v>
      </c>
      <c r="Z5174" t="s">
        <v>59</v>
      </c>
      <c r="AA5174" t="s">
        <v>59</v>
      </c>
      <c r="AB5174" t="s">
        <v>59</v>
      </c>
      <c r="AC5174" t="s">
        <v>59</v>
      </c>
      <c r="AD5174" t="s">
        <v>59</v>
      </c>
      <c r="AF5174" s="1">
        <v>40057</v>
      </c>
      <c r="AG5174" t="s">
        <v>8645</v>
      </c>
      <c r="AH5174" t="s">
        <v>8646</v>
      </c>
      <c r="AI5174" t="str">
        <f>"9170132"</f>
        <v>9170132</v>
      </c>
      <c r="AJ5174" t="s">
        <v>9010</v>
      </c>
      <c r="AK5174">
        <v>2895022233</v>
      </c>
      <c r="AL5174" t="s">
        <v>9011</v>
      </c>
      <c r="AM5174" t="s">
        <v>78</v>
      </c>
      <c r="AN5174" t="s">
        <v>482</v>
      </c>
      <c r="AO5174" t="s">
        <v>482</v>
      </c>
      <c r="AP5174" t="s">
        <v>483</v>
      </c>
      <c r="AQ5174">
        <v>14</v>
      </c>
      <c r="AR5174" t="s">
        <v>80</v>
      </c>
      <c r="AS5174" t="s">
        <v>81</v>
      </c>
      <c r="AT5174" t="s">
        <v>58</v>
      </c>
      <c r="AU5174" t="s">
        <v>68</v>
      </c>
      <c r="AV5174" t="s">
        <v>69</v>
      </c>
      <c r="AW5174" s="1">
        <v>31381</v>
      </c>
      <c r="AX5174">
        <v>1</v>
      </c>
    </row>
    <row r="5175" spans="1:50">
      <c r="A5175">
        <v>621488</v>
      </c>
      <c r="B5175" t="str">
        <f>"122803610"</f>
        <v>122803610</v>
      </c>
      <c r="C5175" t="s">
        <v>105</v>
      </c>
      <c r="D5175" t="s">
        <v>9448</v>
      </c>
      <c r="E5175" t="s">
        <v>304</v>
      </c>
      <c r="F5175" t="s">
        <v>510</v>
      </c>
      <c r="G5175" t="s">
        <v>237</v>
      </c>
      <c r="H5175" t="str">
        <f>"ΚΝΩΣΣΟΥ 247 ΗΡΑΚΛΕΙΟ"</f>
        <v>ΚΝΩΣΣΟΥ 247 ΗΡΑΚΛΕΙΟ</v>
      </c>
      <c r="I5175">
        <v>71409</v>
      </c>
      <c r="J5175">
        <v>2814007155</v>
      </c>
      <c r="K5175">
        <v>6940210695</v>
      </c>
      <c r="M5175" t="s">
        <v>9449</v>
      </c>
      <c r="N5175" t="s">
        <v>615</v>
      </c>
      <c r="O5175" t="s">
        <v>616</v>
      </c>
      <c r="P5175" t="s">
        <v>204</v>
      </c>
      <c r="Q5175" t="s">
        <v>205</v>
      </c>
      <c r="R5175" t="s">
        <v>57</v>
      </c>
      <c r="S5175">
        <v>6</v>
      </c>
      <c r="T5175">
        <v>653</v>
      </c>
      <c r="U5175" s="1">
        <v>40043</v>
      </c>
      <c r="V5175" t="s">
        <v>80</v>
      </c>
      <c r="W5175" t="s">
        <v>81</v>
      </c>
      <c r="X5175" t="s">
        <v>58</v>
      </c>
      <c r="Y5175">
        <v>25</v>
      </c>
      <c r="Z5175" t="s">
        <v>59</v>
      </c>
      <c r="AA5175" t="s">
        <v>59</v>
      </c>
      <c r="AB5175" t="s">
        <v>59</v>
      </c>
      <c r="AC5175" t="s">
        <v>59</v>
      </c>
      <c r="AD5175" t="s">
        <v>59</v>
      </c>
      <c r="AF5175" s="1">
        <v>40043</v>
      </c>
      <c r="AG5175" t="s">
        <v>8645</v>
      </c>
      <c r="AH5175" t="s">
        <v>8646</v>
      </c>
      <c r="AI5175" t="str">
        <f>"9170192"</f>
        <v>9170192</v>
      </c>
      <c r="AJ5175" t="s">
        <v>8661</v>
      </c>
      <c r="AK5175">
        <v>2810231985</v>
      </c>
      <c r="AL5175" t="s">
        <v>8662</v>
      </c>
      <c r="AM5175" t="s">
        <v>78</v>
      </c>
      <c r="AN5175" t="s">
        <v>78</v>
      </c>
      <c r="AO5175" t="s">
        <v>78</v>
      </c>
      <c r="AP5175" t="s">
        <v>163</v>
      </c>
      <c r="AQ5175">
        <v>1</v>
      </c>
      <c r="AR5175" t="s">
        <v>80</v>
      </c>
      <c r="AS5175" t="s">
        <v>81</v>
      </c>
      <c r="AT5175" t="s">
        <v>58</v>
      </c>
      <c r="AU5175" t="s">
        <v>68</v>
      </c>
      <c r="AV5175" t="s">
        <v>69</v>
      </c>
      <c r="AW5175" s="1">
        <v>30037</v>
      </c>
      <c r="AX5175">
        <v>1</v>
      </c>
    </row>
    <row r="5176" spans="1:50">
      <c r="B5176" t="str">
        <f>"144549116"</f>
        <v>144549116</v>
      </c>
      <c r="C5176" t="s">
        <v>50</v>
      </c>
      <c r="D5176" t="s">
        <v>9450</v>
      </c>
      <c r="E5176" t="s">
        <v>237</v>
      </c>
      <c r="F5176" t="s">
        <v>965</v>
      </c>
      <c r="G5176" t="s">
        <v>155</v>
      </c>
      <c r="H5176" t="str">
        <f>"ΠΛΑΤΕΙΑ ΕΘΝΙΚΗΣ ΑΝΤΙΣΤΑΣΗΣ 3 "</f>
        <v xml:space="preserve">ΠΛΑΤΕΙΑ ΕΘΝΙΚΗΣ ΑΝΤΙΣΤΑΣΗΣ 3 </v>
      </c>
      <c r="I5176">
        <v>60200</v>
      </c>
      <c r="J5176">
        <v>2352083443</v>
      </c>
      <c r="K5176">
        <v>6970186700</v>
      </c>
      <c r="N5176" t="s">
        <v>615</v>
      </c>
      <c r="O5176" t="s">
        <v>616</v>
      </c>
      <c r="R5176" t="s">
        <v>159</v>
      </c>
      <c r="S5176">
        <v>3</v>
      </c>
      <c r="T5176" t="s">
        <v>8675</v>
      </c>
      <c r="U5176" s="1">
        <v>43348</v>
      </c>
      <c r="V5176" t="s">
        <v>80</v>
      </c>
      <c r="W5176" t="s">
        <v>81</v>
      </c>
      <c r="X5176" t="s">
        <v>58</v>
      </c>
      <c r="Y5176">
        <v>25</v>
      </c>
      <c r="Z5176" t="s">
        <v>59</v>
      </c>
      <c r="AA5176" t="s">
        <v>59</v>
      </c>
      <c r="AB5176" t="s">
        <v>59</v>
      </c>
      <c r="AC5176" t="s">
        <v>59</v>
      </c>
      <c r="AD5176" t="s">
        <v>59</v>
      </c>
      <c r="AF5176" s="1">
        <v>43348</v>
      </c>
      <c r="AG5176" t="s">
        <v>8645</v>
      </c>
      <c r="AH5176" t="s">
        <v>8676</v>
      </c>
      <c r="AI5176" t="str">
        <f>"9170304"</f>
        <v>9170304</v>
      </c>
      <c r="AJ5176" t="s">
        <v>9163</v>
      </c>
      <c r="AK5176">
        <v>2892043385</v>
      </c>
      <c r="AL5176" t="s">
        <v>9164</v>
      </c>
      <c r="AM5176" t="s">
        <v>78</v>
      </c>
      <c r="AN5176" t="s">
        <v>242</v>
      </c>
      <c r="AO5176" t="s">
        <v>243</v>
      </c>
      <c r="AP5176" t="s">
        <v>8762</v>
      </c>
      <c r="AQ5176">
        <v>19</v>
      </c>
      <c r="AR5176" t="s">
        <v>80</v>
      </c>
      <c r="AS5176" t="s">
        <v>81</v>
      </c>
      <c r="AT5176" t="s">
        <v>58</v>
      </c>
      <c r="AU5176" t="s">
        <v>8673</v>
      </c>
      <c r="AV5176" t="s">
        <v>132</v>
      </c>
      <c r="AW5176" s="1">
        <v>32064</v>
      </c>
      <c r="AX5176">
        <v>1</v>
      </c>
    </row>
    <row r="5177" spans="1:50">
      <c r="A5177">
        <v>224080</v>
      </c>
      <c r="B5177" t="str">
        <f>"070347904"</f>
        <v>070347904</v>
      </c>
      <c r="C5177" t="s">
        <v>50</v>
      </c>
      <c r="D5177" t="s">
        <v>9451</v>
      </c>
      <c r="E5177" t="s">
        <v>250</v>
      </c>
      <c r="F5177" t="s">
        <v>383</v>
      </c>
      <c r="G5177" t="s">
        <v>783</v>
      </c>
      <c r="H5177" t="str">
        <f>" "</f>
        <v xml:space="preserve"> </v>
      </c>
      <c r="J5177">
        <v>2102116865</v>
      </c>
      <c r="K5177">
        <v>6976024800</v>
      </c>
      <c r="N5177" t="s">
        <v>306</v>
      </c>
      <c r="O5177" t="s">
        <v>307</v>
      </c>
      <c r="R5177" t="s">
        <v>57</v>
      </c>
      <c r="S5177">
        <v>7</v>
      </c>
      <c r="T5177">
        <v>775</v>
      </c>
      <c r="U5177" s="1">
        <v>39680</v>
      </c>
      <c r="V5177" t="s">
        <v>80</v>
      </c>
      <c r="W5177" t="s">
        <v>81</v>
      </c>
      <c r="X5177" t="s">
        <v>58</v>
      </c>
      <c r="Y5177">
        <v>23</v>
      </c>
      <c r="Z5177" t="s">
        <v>59</v>
      </c>
      <c r="AA5177" t="s">
        <v>59</v>
      </c>
      <c r="AB5177" t="s">
        <v>59</v>
      </c>
      <c r="AC5177" t="s">
        <v>59</v>
      </c>
      <c r="AD5177" t="s">
        <v>59</v>
      </c>
      <c r="AF5177" s="1">
        <v>39699</v>
      </c>
      <c r="AG5177" t="s">
        <v>8645</v>
      </c>
      <c r="AH5177" t="s">
        <v>8646</v>
      </c>
      <c r="AI5177" t="str">
        <f>"9170059"</f>
        <v>9170059</v>
      </c>
      <c r="AJ5177" t="s">
        <v>9161</v>
      </c>
      <c r="AK5177">
        <v>2810791244</v>
      </c>
      <c r="AL5177" t="s">
        <v>9162</v>
      </c>
      <c r="AM5177" t="s">
        <v>78</v>
      </c>
      <c r="AN5177" t="s">
        <v>78</v>
      </c>
      <c r="AO5177" t="s">
        <v>195</v>
      </c>
      <c r="AP5177" t="s">
        <v>196</v>
      </c>
      <c r="AQ5177">
        <v>3</v>
      </c>
      <c r="AR5177" t="s">
        <v>80</v>
      </c>
      <c r="AS5177" t="s">
        <v>81</v>
      </c>
      <c r="AT5177" t="s">
        <v>58</v>
      </c>
      <c r="AU5177" t="s">
        <v>68</v>
      </c>
      <c r="AV5177" t="s">
        <v>69</v>
      </c>
      <c r="AW5177" s="1">
        <v>28704</v>
      </c>
      <c r="AX5177">
        <v>1</v>
      </c>
    </row>
    <row r="5178" spans="1:50">
      <c r="A5178">
        <v>594331</v>
      </c>
      <c r="B5178" t="str">
        <f>"061238100"</f>
        <v>061238100</v>
      </c>
      <c r="C5178" t="s">
        <v>50</v>
      </c>
      <c r="D5178" t="s">
        <v>9452</v>
      </c>
      <c r="E5178" t="s">
        <v>440</v>
      </c>
      <c r="F5178" t="s">
        <v>154</v>
      </c>
      <c r="G5178" t="s">
        <v>1361</v>
      </c>
      <c r="H5178" t="str">
        <f>"ΣΟΦΟΚΛΕΟΥΣ 1 ΛΙΒΑΔΕΙΑ ΒΟΙΩΤΙΑΣ"</f>
        <v>ΣΟΦΟΚΛΕΟΥΣ 1 ΛΙΒΑΔΕΙΑ ΒΟΙΩΤΙΑΣ</v>
      </c>
      <c r="I5178">
        <v>32100</v>
      </c>
      <c r="J5178">
        <v>2261100268</v>
      </c>
      <c r="K5178">
        <v>6938614642</v>
      </c>
      <c r="N5178" t="s">
        <v>615</v>
      </c>
      <c r="O5178" t="s">
        <v>616</v>
      </c>
      <c r="R5178" t="s">
        <v>57</v>
      </c>
      <c r="S5178">
        <v>8</v>
      </c>
      <c r="T5178">
        <v>218</v>
      </c>
      <c r="U5178" s="1">
        <v>37134</v>
      </c>
      <c r="V5178" t="s">
        <v>80</v>
      </c>
      <c r="W5178" t="s">
        <v>81</v>
      </c>
      <c r="X5178" t="s">
        <v>58</v>
      </c>
      <c r="Y5178">
        <v>22</v>
      </c>
      <c r="Z5178" t="s">
        <v>59</v>
      </c>
      <c r="AA5178" t="s">
        <v>59</v>
      </c>
      <c r="AB5178" t="s">
        <v>59</v>
      </c>
      <c r="AC5178" t="s">
        <v>59</v>
      </c>
      <c r="AD5178" t="s">
        <v>59</v>
      </c>
      <c r="AF5178" s="1">
        <v>37138</v>
      </c>
      <c r="AG5178" t="s">
        <v>8645</v>
      </c>
      <c r="AH5178" t="s">
        <v>8646</v>
      </c>
      <c r="AI5178" t="str">
        <f>"9170423"</f>
        <v>9170423</v>
      </c>
      <c r="AJ5178" t="s">
        <v>8808</v>
      </c>
      <c r="AK5178">
        <v>2810239612</v>
      </c>
      <c r="AL5178" t="s">
        <v>8809</v>
      </c>
      <c r="AM5178" t="s">
        <v>78</v>
      </c>
      <c r="AN5178" t="s">
        <v>78</v>
      </c>
      <c r="AO5178" t="s">
        <v>78</v>
      </c>
      <c r="AP5178" t="s">
        <v>163</v>
      </c>
      <c r="AQ5178">
        <v>1</v>
      </c>
      <c r="AR5178" t="s">
        <v>80</v>
      </c>
      <c r="AS5178" t="s">
        <v>81</v>
      </c>
      <c r="AT5178" t="s">
        <v>58</v>
      </c>
      <c r="AU5178" t="s">
        <v>68</v>
      </c>
      <c r="AV5178" t="s">
        <v>69</v>
      </c>
      <c r="AW5178" s="1">
        <v>27453</v>
      </c>
      <c r="AX5178">
        <v>1</v>
      </c>
    </row>
    <row r="5179" spans="1:50">
      <c r="A5179">
        <v>551449</v>
      </c>
      <c r="B5179" t="str">
        <f>"062669075"</f>
        <v>062669075</v>
      </c>
      <c r="C5179" t="s">
        <v>50</v>
      </c>
      <c r="D5179" t="s">
        <v>1175</v>
      </c>
      <c r="E5179" t="s">
        <v>1189</v>
      </c>
      <c r="F5179" t="s">
        <v>72</v>
      </c>
      <c r="G5179" t="s">
        <v>314</v>
      </c>
      <c r="H5179" t="str">
        <f>" "</f>
        <v xml:space="preserve"> </v>
      </c>
      <c r="N5179" t="s">
        <v>615</v>
      </c>
      <c r="O5179" t="s">
        <v>616</v>
      </c>
      <c r="R5179" t="s">
        <v>57</v>
      </c>
      <c r="S5179">
        <v>18</v>
      </c>
      <c r="T5179">
        <v>271</v>
      </c>
      <c r="U5179" s="1">
        <v>30923</v>
      </c>
      <c r="V5179" t="s">
        <v>80</v>
      </c>
      <c r="W5179" t="s">
        <v>81</v>
      </c>
      <c r="X5179" t="s">
        <v>58</v>
      </c>
      <c r="Y5179">
        <v>21</v>
      </c>
      <c r="Z5179" t="s">
        <v>59</v>
      </c>
      <c r="AA5179" t="s">
        <v>59</v>
      </c>
      <c r="AB5179" t="s">
        <v>59</v>
      </c>
      <c r="AC5179" t="s">
        <v>59</v>
      </c>
      <c r="AD5179" t="s">
        <v>59</v>
      </c>
      <c r="AF5179" s="1">
        <v>30928</v>
      </c>
      <c r="AG5179" t="s">
        <v>8645</v>
      </c>
      <c r="AH5179" t="s">
        <v>8646</v>
      </c>
      <c r="AI5179" t="str">
        <f>"9170197"</f>
        <v>9170197</v>
      </c>
      <c r="AJ5179" t="s">
        <v>8989</v>
      </c>
      <c r="AK5179">
        <v>2810232577</v>
      </c>
      <c r="AL5179" t="s">
        <v>8990</v>
      </c>
      <c r="AM5179" t="s">
        <v>78</v>
      </c>
      <c r="AN5179" t="s">
        <v>78</v>
      </c>
      <c r="AO5179" t="s">
        <v>78</v>
      </c>
      <c r="AP5179" t="s">
        <v>163</v>
      </c>
      <c r="AQ5179">
        <v>1</v>
      </c>
      <c r="AR5179" t="s">
        <v>80</v>
      </c>
      <c r="AS5179" t="s">
        <v>81</v>
      </c>
      <c r="AT5179" t="s">
        <v>58</v>
      </c>
      <c r="AU5179" t="s">
        <v>68</v>
      </c>
      <c r="AV5179" t="s">
        <v>69</v>
      </c>
      <c r="AW5179" s="1">
        <v>22367</v>
      </c>
      <c r="AX5179">
        <v>1</v>
      </c>
    </row>
    <row r="5180" spans="1:50">
      <c r="A5180">
        <v>622139</v>
      </c>
      <c r="B5180" t="str">
        <f>"120132642"</f>
        <v>120132642</v>
      </c>
      <c r="C5180" t="s">
        <v>105</v>
      </c>
      <c r="D5180" t="s">
        <v>1178</v>
      </c>
      <c r="E5180" t="s">
        <v>459</v>
      </c>
      <c r="F5180" t="s">
        <v>2933</v>
      </c>
      <c r="G5180" t="s">
        <v>8772</v>
      </c>
      <c r="H5180" t="str">
        <f>"ΤΡΙΓΛΙΑΣ 22 ΣΕΡΡΕΣ"</f>
        <v>ΤΡΙΓΛΙΑΣ 22 ΣΕΡΡΕΣ</v>
      </c>
      <c r="I5180">
        <v>62100</v>
      </c>
      <c r="J5180">
        <v>2321025097</v>
      </c>
      <c r="K5180">
        <v>6936507939</v>
      </c>
      <c r="N5180" t="s">
        <v>615</v>
      </c>
      <c r="O5180" t="s">
        <v>616</v>
      </c>
      <c r="R5180" t="s">
        <v>57</v>
      </c>
      <c r="S5180">
        <v>4</v>
      </c>
      <c r="T5180">
        <v>653</v>
      </c>
      <c r="U5180" s="1">
        <v>40043</v>
      </c>
      <c r="V5180" t="s">
        <v>80</v>
      </c>
      <c r="W5180" t="s">
        <v>81</v>
      </c>
      <c r="X5180" t="s">
        <v>58</v>
      </c>
      <c r="Y5180">
        <v>23</v>
      </c>
      <c r="Z5180" t="s">
        <v>59</v>
      </c>
      <c r="AA5180" t="s">
        <v>59</v>
      </c>
      <c r="AB5180" t="s">
        <v>59</v>
      </c>
      <c r="AC5180" t="s">
        <v>59</v>
      </c>
      <c r="AD5180" t="s">
        <v>59</v>
      </c>
      <c r="AF5180" s="1">
        <v>40043</v>
      </c>
      <c r="AG5180" t="s">
        <v>8645</v>
      </c>
      <c r="AH5180" t="s">
        <v>8646</v>
      </c>
      <c r="AI5180" t="str">
        <f>"9170012"</f>
        <v>9170012</v>
      </c>
      <c r="AJ5180" t="s">
        <v>8865</v>
      </c>
      <c r="AK5180">
        <v>2810811304</v>
      </c>
      <c r="AL5180" t="s">
        <v>8866</v>
      </c>
      <c r="AM5180" t="s">
        <v>78</v>
      </c>
      <c r="AN5180" t="s">
        <v>129</v>
      </c>
      <c r="AO5180" t="s">
        <v>130</v>
      </c>
      <c r="AP5180" t="s">
        <v>8867</v>
      </c>
      <c r="AQ5180">
        <v>2</v>
      </c>
      <c r="AR5180" t="s">
        <v>80</v>
      </c>
      <c r="AS5180" t="s">
        <v>81</v>
      </c>
      <c r="AT5180" t="s">
        <v>58</v>
      </c>
      <c r="AU5180" t="s">
        <v>68</v>
      </c>
      <c r="AV5180" t="s">
        <v>69</v>
      </c>
      <c r="AW5180" s="1">
        <v>31355</v>
      </c>
      <c r="AX5180">
        <v>1</v>
      </c>
    </row>
    <row r="5181" spans="1:50">
      <c r="A5181">
        <v>579471</v>
      </c>
      <c r="B5181" t="str">
        <f>"052124880"</f>
        <v>052124880</v>
      </c>
      <c r="C5181" t="s">
        <v>105</v>
      </c>
      <c r="D5181" t="s">
        <v>1178</v>
      </c>
      <c r="E5181" t="s">
        <v>95</v>
      </c>
      <c r="F5181" t="s">
        <v>106</v>
      </c>
      <c r="G5181" t="s">
        <v>250</v>
      </c>
      <c r="H5181" t="str">
        <f>"ΣΠ. ΜΕΛΑ 2Α  ΑΓ. ΙΩΑΝΝΗΣ"</f>
        <v>ΣΠ. ΜΕΛΑ 2Α  ΑΓ. ΙΩΑΝΝΗΣ</v>
      </c>
      <c r="I5181">
        <v>71409</v>
      </c>
      <c r="J5181">
        <v>2810212716</v>
      </c>
      <c r="M5181" t="s">
        <v>9453</v>
      </c>
      <c r="N5181" t="s">
        <v>615</v>
      </c>
      <c r="O5181" t="s">
        <v>616</v>
      </c>
      <c r="R5181" t="s">
        <v>57</v>
      </c>
      <c r="S5181">
        <v>11</v>
      </c>
      <c r="T5181">
        <v>165</v>
      </c>
      <c r="U5181" s="1">
        <v>35300</v>
      </c>
      <c r="V5181" t="s">
        <v>80</v>
      </c>
      <c r="W5181" t="s">
        <v>81</v>
      </c>
      <c r="X5181" t="s">
        <v>58</v>
      </c>
      <c r="Y5181">
        <v>21</v>
      </c>
      <c r="Z5181" t="s">
        <v>59</v>
      </c>
      <c r="AA5181" t="s">
        <v>59</v>
      </c>
      <c r="AB5181" t="s">
        <v>59</v>
      </c>
      <c r="AC5181" t="s">
        <v>59</v>
      </c>
      <c r="AD5181" t="s">
        <v>59</v>
      </c>
      <c r="AF5181" s="1">
        <v>35310</v>
      </c>
      <c r="AG5181" t="s">
        <v>8645</v>
      </c>
      <c r="AH5181" t="s">
        <v>8646</v>
      </c>
      <c r="AI5181" t="str">
        <f>"9170113"</f>
        <v>9170113</v>
      </c>
      <c r="AJ5181" t="s">
        <v>8846</v>
      </c>
      <c r="AK5181">
        <v>2810226174</v>
      </c>
      <c r="AL5181" t="s">
        <v>8847</v>
      </c>
      <c r="AM5181" t="s">
        <v>78</v>
      </c>
      <c r="AN5181" t="s">
        <v>78</v>
      </c>
      <c r="AO5181" t="s">
        <v>78</v>
      </c>
      <c r="AP5181" t="s">
        <v>79</v>
      </c>
      <c r="AQ5181">
        <v>1</v>
      </c>
      <c r="AR5181" t="s">
        <v>80</v>
      </c>
      <c r="AS5181" t="s">
        <v>81</v>
      </c>
      <c r="AT5181" t="s">
        <v>58</v>
      </c>
      <c r="AU5181" t="s">
        <v>68</v>
      </c>
      <c r="AV5181" t="s">
        <v>69</v>
      </c>
      <c r="AW5181" s="1">
        <v>23958</v>
      </c>
      <c r="AX5181">
        <v>1</v>
      </c>
    </row>
    <row r="5182" spans="1:50">
      <c r="A5182">
        <v>557673</v>
      </c>
      <c r="B5182" t="str">
        <f>"032427548"</f>
        <v>032427548</v>
      </c>
      <c r="C5182" t="s">
        <v>105</v>
      </c>
      <c r="D5182" t="s">
        <v>1178</v>
      </c>
      <c r="E5182" t="s">
        <v>72</v>
      </c>
      <c r="F5182" t="s">
        <v>106</v>
      </c>
      <c r="G5182" t="s">
        <v>250</v>
      </c>
      <c r="H5182" t="str">
        <f>"ΑΝΑΛΗΨΗ ΧΕΡΣΟΝΗΣΟΥ "</f>
        <v xml:space="preserve">ΑΝΑΛΗΨΗ ΧΕΡΣΟΝΗΣΟΥ </v>
      </c>
      <c r="I5182">
        <v>70014</v>
      </c>
      <c r="K5182">
        <v>6947937509</v>
      </c>
      <c r="M5182" t="s">
        <v>9454</v>
      </c>
      <c r="N5182" t="s">
        <v>615</v>
      </c>
      <c r="O5182" t="s">
        <v>616</v>
      </c>
      <c r="R5182" t="s">
        <v>57</v>
      </c>
      <c r="S5182">
        <v>19</v>
      </c>
      <c r="T5182">
        <v>168</v>
      </c>
      <c r="U5182" s="1">
        <v>32010</v>
      </c>
      <c r="V5182" t="s">
        <v>80</v>
      </c>
      <c r="W5182" t="s">
        <v>81</v>
      </c>
      <c r="X5182" t="s">
        <v>58</v>
      </c>
      <c r="Y5182">
        <v>21</v>
      </c>
      <c r="Z5182" t="s">
        <v>59</v>
      </c>
      <c r="AA5182" t="s">
        <v>59</v>
      </c>
      <c r="AB5182" t="s">
        <v>59</v>
      </c>
      <c r="AC5182" t="s">
        <v>59</v>
      </c>
      <c r="AD5182" t="s">
        <v>59</v>
      </c>
      <c r="AF5182" s="1">
        <v>32021</v>
      </c>
      <c r="AG5182" t="s">
        <v>8645</v>
      </c>
      <c r="AH5182" t="s">
        <v>8646</v>
      </c>
      <c r="AI5182" t="str">
        <f>"9170239"</f>
        <v>9170239</v>
      </c>
      <c r="AJ5182" t="s">
        <v>8814</v>
      </c>
      <c r="AK5182">
        <v>2897022076</v>
      </c>
      <c r="AL5182" t="s">
        <v>8815</v>
      </c>
      <c r="AM5182" t="s">
        <v>78</v>
      </c>
      <c r="AN5182" t="s">
        <v>219</v>
      </c>
      <c r="AO5182" t="s">
        <v>219</v>
      </c>
      <c r="AP5182" t="s">
        <v>220</v>
      </c>
      <c r="AQ5182">
        <v>8</v>
      </c>
      <c r="AR5182" t="s">
        <v>80</v>
      </c>
      <c r="AS5182" t="s">
        <v>81</v>
      </c>
      <c r="AT5182" t="s">
        <v>58</v>
      </c>
      <c r="AU5182" t="s">
        <v>68</v>
      </c>
      <c r="AV5182" t="s">
        <v>69</v>
      </c>
      <c r="AW5182" s="1">
        <v>23013</v>
      </c>
      <c r="AX5182">
        <v>1</v>
      </c>
    </row>
    <row r="5183" spans="1:50">
      <c r="A5183">
        <v>620495</v>
      </c>
      <c r="B5183" t="str">
        <f>"128327600"</f>
        <v>128327600</v>
      </c>
      <c r="C5183" t="s">
        <v>50</v>
      </c>
      <c r="D5183" t="s">
        <v>1182</v>
      </c>
      <c r="E5183" t="s">
        <v>188</v>
      </c>
      <c r="F5183" t="s">
        <v>920</v>
      </c>
      <c r="G5183" t="s">
        <v>658</v>
      </c>
      <c r="H5183" t="str">
        <f>"ΚΑΡΑΙΣΚΑΚΗ 19 ΗΡΑΚΛΕΙΟ"</f>
        <v>ΚΑΡΑΙΣΚΑΚΗ 19 ΗΡΑΚΛΕΙΟ</v>
      </c>
      <c r="I5183">
        <v>71414</v>
      </c>
      <c r="J5183">
        <v>2810821742</v>
      </c>
      <c r="K5183">
        <v>6971935989</v>
      </c>
      <c r="N5183" t="s">
        <v>615</v>
      </c>
      <c r="O5183" t="s">
        <v>616</v>
      </c>
      <c r="R5183" t="s">
        <v>57</v>
      </c>
      <c r="S5183">
        <v>5</v>
      </c>
      <c r="T5183">
        <v>653</v>
      </c>
      <c r="U5183" s="1">
        <v>40043</v>
      </c>
      <c r="V5183" t="s">
        <v>80</v>
      </c>
      <c r="W5183" t="s">
        <v>81</v>
      </c>
      <c r="X5183" t="s">
        <v>58</v>
      </c>
      <c r="Y5183">
        <v>23</v>
      </c>
      <c r="Z5183" t="s">
        <v>59</v>
      </c>
      <c r="AA5183" t="s">
        <v>59</v>
      </c>
      <c r="AB5183" t="s">
        <v>59</v>
      </c>
      <c r="AC5183" t="s">
        <v>59</v>
      </c>
      <c r="AD5183" t="s">
        <v>59</v>
      </c>
      <c r="AF5183" s="1">
        <v>40043</v>
      </c>
      <c r="AG5183" t="s">
        <v>8645</v>
      </c>
      <c r="AH5183" t="s">
        <v>8646</v>
      </c>
      <c r="AI5183" t="str">
        <f>"9170560"</f>
        <v>9170560</v>
      </c>
      <c r="AJ5183" t="s">
        <v>9022</v>
      </c>
      <c r="AK5183">
        <v>2810821816</v>
      </c>
      <c r="AL5183" t="s">
        <v>9023</v>
      </c>
      <c r="AM5183" t="s">
        <v>78</v>
      </c>
      <c r="AN5183" t="s">
        <v>129</v>
      </c>
      <c r="AO5183" t="s">
        <v>130</v>
      </c>
      <c r="AP5183" t="s">
        <v>130</v>
      </c>
      <c r="AQ5183">
        <v>1</v>
      </c>
      <c r="AR5183" t="s">
        <v>80</v>
      </c>
      <c r="AS5183" t="s">
        <v>81</v>
      </c>
      <c r="AT5183" t="s">
        <v>58</v>
      </c>
      <c r="AU5183" t="s">
        <v>68</v>
      </c>
      <c r="AV5183" t="s">
        <v>69</v>
      </c>
      <c r="AW5183" s="1">
        <v>30387</v>
      </c>
      <c r="AX5183">
        <v>1</v>
      </c>
    </row>
    <row r="5184" spans="1:50">
      <c r="A5184">
        <v>619912</v>
      </c>
      <c r="B5184" t="str">
        <f>"044147984"</f>
        <v>044147984</v>
      </c>
      <c r="C5184" t="s">
        <v>50</v>
      </c>
      <c r="D5184" t="s">
        <v>1182</v>
      </c>
      <c r="E5184" t="s">
        <v>801</v>
      </c>
      <c r="F5184" t="s">
        <v>53</v>
      </c>
      <c r="G5184" t="s">
        <v>181</v>
      </c>
      <c r="H5184" t="str">
        <f>"Χη ΑΝΕΣΤΗ 15 ΔΡΑΜΑ"</f>
        <v>Χη ΑΝΕΣΤΗ 15 ΔΡΑΜΑ</v>
      </c>
      <c r="I5184">
        <v>66100</v>
      </c>
      <c r="J5184">
        <v>2521039425</v>
      </c>
      <c r="K5184">
        <v>6946061906</v>
      </c>
      <c r="N5184" t="s">
        <v>176</v>
      </c>
      <c r="O5184" t="s">
        <v>177</v>
      </c>
      <c r="R5184" t="s">
        <v>57</v>
      </c>
      <c r="S5184">
        <v>6</v>
      </c>
      <c r="T5184">
        <v>775</v>
      </c>
      <c r="U5184" s="1">
        <v>39680</v>
      </c>
      <c r="V5184" t="s">
        <v>80</v>
      </c>
      <c r="W5184" t="s">
        <v>81</v>
      </c>
      <c r="X5184" t="s">
        <v>58</v>
      </c>
      <c r="Y5184">
        <v>23</v>
      </c>
      <c r="Z5184" t="s">
        <v>59</v>
      </c>
      <c r="AA5184" t="s">
        <v>59</v>
      </c>
      <c r="AB5184" t="s">
        <v>59</v>
      </c>
      <c r="AC5184" t="s">
        <v>59</v>
      </c>
      <c r="AD5184" t="s">
        <v>59</v>
      </c>
      <c r="AF5184" s="1">
        <v>39681</v>
      </c>
      <c r="AG5184" t="s">
        <v>8645</v>
      </c>
      <c r="AH5184" t="s">
        <v>8646</v>
      </c>
      <c r="AI5184" t="str">
        <f>"9170018"</f>
        <v>9170018</v>
      </c>
      <c r="AJ5184" t="s">
        <v>8924</v>
      </c>
      <c r="AK5184">
        <v>2810821217</v>
      </c>
      <c r="AL5184" t="s">
        <v>8925</v>
      </c>
      <c r="AM5184" t="s">
        <v>78</v>
      </c>
      <c r="AN5184" t="s">
        <v>129</v>
      </c>
      <c r="AO5184" t="s">
        <v>130</v>
      </c>
      <c r="AP5184" t="s">
        <v>130</v>
      </c>
      <c r="AQ5184">
        <v>1</v>
      </c>
      <c r="AR5184" t="s">
        <v>80</v>
      </c>
      <c r="AS5184" t="s">
        <v>81</v>
      </c>
      <c r="AT5184" t="s">
        <v>58</v>
      </c>
      <c r="AU5184" t="s">
        <v>68</v>
      </c>
      <c r="AV5184" t="s">
        <v>69</v>
      </c>
      <c r="AW5184" s="1">
        <v>24241</v>
      </c>
      <c r="AX5184">
        <v>1</v>
      </c>
    </row>
    <row r="5185" spans="1:50">
      <c r="B5185" t="str">
        <f>"047518707"</f>
        <v>047518707</v>
      </c>
      <c r="C5185" t="s">
        <v>50</v>
      </c>
      <c r="D5185" t="s">
        <v>9455</v>
      </c>
      <c r="E5185" t="s">
        <v>255</v>
      </c>
      <c r="F5185" t="s">
        <v>53</v>
      </c>
      <c r="G5185" t="s">
        <v>8820</v>
      </c>
      <c r="H5185" t="str">
        <f>"ΚΥΘΗΡΩΝ 3 ΛΑΜΙΑ"</f>
        <v>ΚΥΘΗΡΩΝ 3 ΛΑΜΙΑ</v>
      </c>
      <c r="I5185">
        <v>35100</v>
      </c>
      <c r="J5185">
        <v>2231044536</v>
      </c>
      <c r="K5185">
        <v>6972685467</v>
      </c>
      <c r="N5185" t="s">
        <v>478</v>
      </c>
      <c r="O5185" t="s">
        <v>479</v>
      </c>
      <c r="R5185" t="s">
        <v>121</v>
      </c>
      <c r="S5185">
        <v>3</v>
      </c>
      <c r="T5185" t="s">
        <v>8675</v>
      </c>
      <c r="U5185" s="1">
        <v>43348</v>
      </c>
      <c r="V5185" t="s">
        <v>80</v>
      </c>
      <c r="W5185" t="s">
        <v>81</v>
      </c>
      <c r="X5185" t="s">
        <v>58</v>
      </c>
      <c r="Y5185">
        <v>14</v>
      </c>
      <c r="Z5185" t="s">
        <v>59</v>
      </c>
      <c r="AA5185" t="s">
        <v>59</v>
      </c>
      <c r="AB5185" t="s">
        <v>59</v>
      </c>
      <c r="AC5185" t="s">
        <v>59</v>
      </c>
      <c r="AD5185" t="s">
        <v>59</v>
      </c>
      <c r="AF5185" s="1">
        <v>43348</v>
      </c>
      <c r="AG5185" t="s">
        <v>8645</v>
      </c>
      <c r="AH5185" t="s">
        <v>8646</v>
      </c>
      <c r="AI5185" t="str">
        <f>"9170206"</f>
        <v>9170206</v>
      </c>
      <c r="AJ5185" t="s">
        <v>8972</v>
      </c>
      <c r="AK5185">
        <v>2810761137</v>
      </c>
      <c r="AL5185" t="s">
        <v>8973</v>
      </c>
      <c r="AM5185" t="s">
        <v>78</v>
      </c>
      <c r="AN5185" t="s">
        <v>219</v>
      </c>
      <c r="AO5185" t="s">
        <v>297</v>
      </c>
      <c r="AP5185" t="s">
        <v>8796</v>
      </c>
      <c r="AQ5185">
        <v>7</v>
      </c>
      <c r="AR5185" t="s">
        <v>80</v>
      </c>
      <c r="AS5185" t="s">
        <v>81</v>
      </c>
      <c r="AT5185" t="s">
        <v>58</v>
      </c>
      <c r="AU5185" t="s">
        <v>8686</v>
      </c>
      <c r="AV5185" t="s">
        <v>132</v>
      </c>
      <c r="AW5185" s="1">
        <v>29132</v>
      </c>
      <c r="AX5185">
        <v>1</v>
      </c>
    </row>
    <row r="5186" spans="1:50">
      <c r="A5186">
        <v>603634</v>
      </c>
      <c r="B5186" t="str">
        <f>"044808729"</f>
        <v>044808729</v>
      </c>
      <c r="C5186" t="s">
        <v>105</v>
      </c>
      <c r="D5186" t="s">
        <v>9456</v>
      </c>
      <c r="E5186" t="s">
        <v>95</v>
      </c>
      <c r="F5186" t="s">
        <v>72</v>
      </c>
      <c r="G5186" t="s">
        <v>4695</v>
      </c>
      <c r="H5186" t="str">
        <f>"ΚΑΤΩ ΑΡΧΑΝΕΣ "</f>
        <v xml:space="preserve">ΚΑΤΩ ΑΡΧΑΝΕΣ </v>
      </c>
      <c r="I5186">
        <v>70100</v>
      </c>
      <c r="J5186">
        <v>2817718504</v>
      </c>
      <c r="K5186">
        <v>6977908020</v>
      </c>
      <c r="N5186" t="s">
        <v>9457</v>
      </c>
      <c r="O5186" t="s">
        <v>9458</v>
      </c>
      <c r="R5186" t="s">
        <v>57</v>
      </c>
      <c r="S5186">
        <v>10</v>
      </c>
      <c r="T5186" t="s">
        <v>9459</v>
      </c>
      <c r="U5186" s="1">
        <v>37813</v>
      </c>
      <c r="V5186" t="s">
        <v>80</v>
      </c>
      <c r="W5186" t="s">
        <v>81</v>
      </c>
      <c r="X5186" t="s">
        <v>58</v>
      </c>
      <c r="Y5186">
        <v>21</v>
      </c>
      <c r="Z5186" t="s">
        <v>59</v>
      </c>
      <c r="AA5186" t="s">
        <v>59</v>
      </c>
      <c r="AB5186" t="s">
        <v>59</v>
      </c>
      <c r="AC5186" t="s">
        <v>59</v>
      </c>
      <c r="AD5186" t="s">
        <v>59</v>
      </c>
      <c r="AF5186" s="1">
        <v>37830</v>
      </c>
      <c r="AG5186" t="s">
        <v>8645</v>
      </c>
      <c r="AH5186" t="s">
        <v>8697</v>
      </c>
      <c r="AI5186" t="str">
        <f>"9170358"</f>
        <v>9170358</v>
      </c>
      <c r="AJ5186" t="s">
        <v>9378</v>
      </c>
      <c r="AK5186">
        <v>2810282028</v>
      </c>
      <c r="AL5186" t="s">
        <v>9379</v>
      </c>
      <c r="AM5186" t="s">
        <v>78</v>
      </c>
      <c r="AN5186" t="s">
        <v>78</v>
      </c>
      <c r="AO5186" t="s">
        <v>78</v>
      </c>
      <c r="AP5186" t="s">
        <v>141</v>
      </c>
      <c r="AQ5186">
        <v>1</v>
      </c>
      <c r="AR5186" t="s">
        <v>80</v>
      </c>
      <c r="AS5186" t="s">
        <v>81</v>
      </c>
      <c r="AT5186" t="s">
        <v>58</v>
      </c>
      <c r="AU5186" t="s">
        <v>68</v>
      </c>
      <c r="AV5186" t="s">
        <v>69</v>
      </c>
      <c r="AW5186" s="1">
        <v>25466</v>
      </c>
      <c r="AX5186">
        <v>1</v>
      </c>
    </row>
    <row r="5187" spans="1:50">
      <c r="A5187">
        <v>700673</v>
      </c>
      <c r="B5187" t="str">
        <f>"062764423"</f>
        <v>062764423</v>
      </c>
      <c r="C5187" t="s">
        <v>50</v>
      </c>
      <c r="D5187" t="s">
        <v>9460</v>
      </c>
      <c r="E5187" t="s">
        <v>83</v>
      </c>
      <c r="F5187" t="s">
        <v>581</v>
      </c>
      <c r="G5187" t="s">
        <v>4987</v>
      </c>
      <c r="H5187" t="str">
        <f>"ΡΑΥΤΟΠΟΥΛΟΥ 2 ΗΡΑΚΛΕΙΟ"</f>
        <v>ΡΑΥΤΟΠΟΥΛΟΥ 2 ΗΡΑΚΛΕΙΟ</v>
      </c>
      <c r="I5187">
        <v>71305</v>
      </c>
      <c r="J5187">
        <v>2810236171</v>
      </c>
      <c r="K5187">
        <v>6945685306</v>
      </c>
      <c r="N5187" t="s">
        <v>615</v>
      </c>
      <c r="O5187" t="s">
        <v>616</v>
      </c>
      <c r="R5187" t="s">
        <v>57</v>
      </c>
      <c r="S5187">
        <v>5</v>
      </c>
      <c r="T5187">
        <v>772</v>
      </c>
      <c r="U5187" s="1">
        <v>40413</v>
      </c>
      <c r="V5187" t="s">
        <v>80</v>
      </c>
      <c r="W5187" t="s">
        <v>81</v>
      </c>
      <c r="X5187" t="s">
        <v>58</v>
      </c>
      <c r="Y5187">
        <v>25</v>
      </c>
      <c r="Z5187" t="s">
        <v>59</v>
      </c>
      <c r="AA5187" t="s">
        <v>59</v>
      </c>
      <c r="AB5187" t="s">
        <v>59</v>
      </c>
      <c r="AC5187" t="s">
        <v>59</v>
      </c>
      <c r="AD5187" t="s">
        <v>59</v>
      </c>
      <c r="AF5187" s="1">
        <v>40413</v>
      </c>
      <c r="AG5187" t="s">
        <v>8645</v>
      </c>
      <c r="AH5187" t="s">
        <v>8676</v>
      </c>
      <c r="AI5187" t="str">
        <f>"9170038"</f>
        <v>9170038</v>
      </c>
      <c r="AJ5187" t="s">
        <v>9461</v>
      </c>
      <c r="AK5187">
        <v>2810521484</v>
      </c>
      <c r="AL5187" t="s">
        <v>9462</v>
      </c>
      <c r="AM5187" t="s">
        <v>78</v>
      </c>
      <c r="AN5187" t="s">
        <v>129</v>
      </c>
      <c r="AO5187" t="s">
        <v>130</v>
      </c>
      <c r="AP5187" t="s">
        <v>9463</v>
      </c>
      <c r="AQ5187">
        <v>2</v>
      </c>
      <c r="AR5187" t="s">
        <v>80</v>
      </c>
      <c r="AS5187" t="s">
        <v>81</v>
      </c>
      <c r="AT5187" t="s">
        <v>58</v>
      </c>
      <c r="AU5187" t="s">
        <v>68</v>
      </c>
      <c r="AV5187" t="s">
        <v>69</v>
      </c>
      <c r="AW5187" s="1">
        <v>30822</v>
      </c>
      <c r="AX5187">
        <v>1</v>
      </c>
    </row>
    <row r="5188" spans="1:50">
      <c r="A5188">
        <v>622022</v>
      </c>
      <c r="B5188" t="str">
        <f>"149602720"</f>
        <v>149602720</v>
      </c>
      <c r="C5188" t="s">
        <v>50</v>
      </c>
      <c r="D5188" t="s">
        <v>9464</v>
      </c>
      <c r="E5188" t="s">
        <v>610</v>
      </c>
      <c r="F5188" t="s">
        <v>760</v>
      </c>
      <c r="G5188" t="s">
        <v>52</v>
      </c>
      <c r="H5188" t="str">
        <f>"ΑΘΗΝΑΣ 18 ΗΡΑΚΛΕΙΟ"</f>
        <v>ΑΘΗΝΑΣ 18 ΗΡΑΚΛΕΙΟ</v>
      </c>
      <c r="I5188">
        <v>71306</v>
      </c>
      <c r="J5188">
        <v>2810346628</v>
      </c>
      <c r="K5188">
        <v>6975705966</v>
      </c>
      <c r="N5188" t="s">
        <v>615</v>
      </c>
      <c r="O5188" t="s">
        <v>616</v>
      </c>
      <c r="R5188" t="s">
        <v>57</v>
      </c>
      <c r="S5188">
        <v>5</v>
      </c>
      <c r="T5188">
        <v>653</v>
      </c>
      <c r="U5188" s="1">
        <v>40043</v>
      </c>
      <c r="V5188" t="s">
        <v>80</v>
      </c>
      <c r="W5188" t="s">
        <v>81</v>
      </c>
      <c r="X5188" t="s">
        <v>58</v>
      </c>
      <c r="Y5188">
        <v>23</v>
      </c>
      <c r="Z5188" t="s">
        <v>59</v>
      </c>
      <c r="AA5188" t="s">
        <v>59</v>
      </c>
      <c r="AB5188" t="s">
        <v>59</v>
      </c>
      <c r="AC5188" t="s">
        <v>59</v>
      </c>
      <c r="AD5188" t="s">
        <v>59</v>
      </c>
      <c r="AF5188" s="1">
        <v>40043</v>
      </c>
      <c r="AG5188" t="s">
        <v>8645</v>
      </c>
      <c r="AH5188" t="s">
        <v>8646</v>
      </c>
      <c r="AI5188" t="str">
        <f>"9170036"</f>
        <v>9170036</v>
      </c>
      <c r="AJ5188" t="s">
        <v>8911</v>
      </c>
      <c r="AK5188">
        <v>2810721466</v>
      </c>
      <c r="AL5188" t="s">
        <v>8912</v>
      </c>
      <c r="AM5188" t="s">
        <v>78</v>
      </c>
      <c r="AN5188" t="s">
        <v>78</v>
      </c>
      <c r="AO5188" t="s">
        <v>78</v>
      </c>
      <c r="AP5188" t="s">
        <v>8913</v>
      </c>
      <c r="AQ5188">
        <v>1</v>
      </c>
      <c r="AR5188" t="s">
        <v>80</v>
      </c>
      <c r="AS5188" t="s">
        <v>81</v>
      </c>
      <c r="AT5188" t="s">
        <v>58</v>
      </c>
      <c r="AU5188" t="s">
        <v>68</v>
      </c>
      <c r="AV5188" t="s">
        <v>69</v>
      </c>
      <c r="AW5188" s="1">
        <v>31356</v>
      </c>
      <c r="AX5188">
        <v>1</v>
      </c>
    </row>
    <row r="5189" spans="1:50">
      <c r="A5189">
        <v>554890</v>
      </c>
      <c r="B5189" t="str">
        <f>"031534817"</f>
        <v>031534817</v>
      </c>
      <c r="C5189" t="s">
        <v>105</v>
      </c>
      <c r="D5189" t="s">
        <v>9465</v>
      </c>
      <c r="E5189" t="s">
        <v>84</v>
      </c>
      <c r="F5189" t="s">
        <v>166</v>
      </c>
      <c r="G5189" t="s">
        <v>52</v>
      </c>
      <c r="H5189" t="str">
        <f>"ΣΚΑΛΑΝΙ ΣΚΑΛΑΝΙ "</f>
        <v xml:space="preserve">ΣΚΑΛΑΝΙ ΣΚΑΛΑΝΙ </v>
      </c>
      <c r="I5189">
        <v>71500</v>
      </c>
      <c r="J5189">
        <v>2810731682</v>
      </c>
      <c r="N5189" t="s">
        <v>615</v>
      </c>
      <c r="O5189" t="s">
        <v>616</v>
      </c>
      <c r="R5189" t="s">
        <v>57</v>
      </c>
      <c r="S5189">
        <v>16</v>
      </c>
      <c r="T5189">
        <v>200</v>
      </c>
      <c r="U5189" s="1">
        <v>31657</v>
      </c>
      <c r="V5189" t="s">
        <v>80</v>
      </c>
      <c r="W5189" t="s">
        <v>81</v>
      </c>
      <c r="X5189" t="s">
        <v>58</v>
      </c>
      <c r="Y5189">
        <v>21</v>
      </c>
      <c r="Z5189" t="s">
        <v>59</v>
      </c>
      <c r="AA5189" t="s">
        <v>59</v>
      </c>
      <c r="AB5189" t="s">
        <v>59</v>
      </c>
      <c r="AC5189" t="s">
        <v>59</v>
      </c>
      <c r="AD5189" t="s">
        <v>59</v>
      </c>
      <c r="AF5189" s="1">
        <v>31667</v>
      </c>
      <c r="AG5189" t="s">
        <v>8645</v>
      </c>
      <c r="AH5189" t="s">
        <v>8646</v>
      </c>
      <c r="AI5189" t="str">
        <f>"9170197"</f>
        <v>9170197</v>
      </c>
      <c r="AJ5189" t="s">
        <v>8989</v>
      </c>
      <c r="AK5189">
        <v>2810232577</v>
      </c>
      <c r="AL5189" t="s">
        <v>8990</v>
      </c>
      <c r="AM5189" t="s">
        <v>78</v>
      </c>
      <c r="AN5189" t="s">
        <v>78</v>
      </c>
      <c r="AO5189" t="s">
        <v>78</v>
      </c>
      <c r="AP5189" t="s">
        <v>163</v>
      </c>
      <c r="AQ5189">
        <v>1</v>
      </c>
      <c r="AR5189" t="s">
        <v>80</v>
      </c>
      <c r="AS5189" t="s">
        <v>81</v>
      </c>
      <c r="AT5189" t="s">
        <v>58</v>
      </c>
      <c r="AU5189" t="s">
        <v>68</v>
      </c>
      <c r="AV5189" t="s">
        <v>69</v>
      </c>
      <c r="AW5189" s="1">
        <v>21377</v>
      </c>
      <c r="AX5189">
        <v>1</v>
      </c>
    </row>
    <row r="5190" spans="1:50">
      <c r="A5190">
        <v>596409</v>
      </c>
      <c r="B5190" t="str">
        <f>"057951707"</f>
        <v>057951707</v>
      </c>
      <c r="C5190" t="s">
        <v>50</v>
      </c>
      <c r="D5190" t="s">
        <v>1195</v>
      </c>
      <c r="E5190" t="s">
        <v>52</v>
      </c>
      <c r="F5190" t="s">
        <v>760</v>
      </c>
      <c r="G5190" t="s">
        <v>103</v>
      </c>
      <c r="H5190" t="str">
        <f>"Α. ΚΑΣΤΡΙΝΑΚΗ 21 ΗΡΑΚΛΕΙΟ"</f>
        <v>Α. ΚΑΣΤΡΙΝΑΚΗ 21 ΗΡΑΚΛΕΙΟ</v>
      </c>
      <c r="I5190">
        <v>71306</v>
      </c>
      <c r="J5190">
        <v>2810331332</v>
      </c>
      <c r="K5190">
        <v>6983768870</v>
      </c>
      <c r="M5190" t="s">
        <v>9466</v>
      </c>
      <c r="N5190" t="s">
        <v>615</v>
      </c>
      <c r="O5190" t="s">
        <v>616</v>
      </c>
      <c r="R5190" t="s">
        <v>57</v>
      </c>
      <c r="S5190">
        <v>10</v>
      </c>
      <c r="T5190">
        <v>4</v>
      </c>
      <c r="U5190" s="1">
        <v>37266</v>
      </c>
      <c r="V5190" t="s">
        <v>80</v>
      </c>
      <c r="W5190" t="s">
        <v>81</v>
      </c>
      <c r="X5190" t="s">
        <v>58</v>
      </c>
      <c r="Y5190">
        <v>21</v>
      </c>
      <c r="Z5190" t="s">
        <v>59</v>
      </c>
      <c r="AA5190" t="s">
        <v>59</v>
      </c>
      <c r="AB5190" t="s">
        <v>59</v>
      </c>
      <c r="AC5190" t="s">
        <v>59</v>
      </c>
      <c r="AD5190" t="s">
        <v>59</v>
      </c>
      <c r="AF5190" s="1">
        <v>37277</v>
      </c>
      <c r="AG5190" t="s">
        <v>8645</v>
      </c>
      <c r="AH5190" t="s">
        <v>8646</v>
      </c>
      <c r="AI5190" t="str">
        <f>"9170546"</f>
        <v>9170546</v>
      </c>
      <c r="AJ5190" t="s">
        <v>8953</v>
      </c>
      <c r="AK5190">
        <v>2810261362</v>
      </c>
      <c r="AL5190" t="s">
        <v>8954</v>
      </c>
      <c r="AM5190" t="s">
        <v>78</v>
      </c>
      <c r="AN5190" t="s">
        <v>78</v>
      </c>
      <c r="AO5190" t="s">
        <v>78</v>
      </c>
      <c r="AP5190" t="s">
        <v>141</v>
      </c>
      <c r="AQ5190">
        <v>1</v>
      </c>
      <c r="AR5190" t="s">
        <v>80</v>
      </c>
      <c r="AS5190" t="s">
        <v>81</v>
      </c>
      <c r="AT5190" t="s">
        <v>58</v>
      </c>
      <c r="AU5190" t="s">
        <v>68</v>
      </c>
      <c r="AV5190" t="s">
        <v>69</v>
      </c>
      <c r="AW5190" s="1">
        <v>24899</v>
      </c>
      <c r="AX5190">
        <v>1</v>
      </c>
    </row>
    <row r="5191" spans="1:50">
      <c r="A5191">
        <v>584734</v>
      </c>
      <c r="B5191" t="str">
        <f>"100106100"</f>
        <v>100106100</v>
      </c>
      <c r="C5191" t="s">
        <v>50</v>
      </c>
      <c r="D5191" t="s">
        <v>9467</v>
      </c>
      <c r="E5191" t="s">
        <v>5911</v>
      </c>
      <c r="F5191" t="s">
        <v>84</v>
      </c>
      <c r="G5191" t="s">
        <v>112</v>
      </c>
      <c r="H5191" t="str">
        <f>"ΞΕΝΑΚΗ ΙΑΝΗ 21 ΗΡΑΚΛΕΙΟ"</f>
        <v>ΞΕΝΑΚΗ ΙΑΝΗ 21 ΗΡΑΚΛΕΙΟ</v>
      </c>
      <c r="J5191">
        <v>2810328376</v>
      </c>
      <c r="K5191">
        <v>6979280461</v>
      </c>
      <c r="L5191">
        <v>6988894055</v>
      </c>
      <c r="N5191" t="s">
        <v>615</v>
      </c>
      <c r="O5191" t="s">
        <v>616</v>
      </c>
      <c r="R5191" t="s">
        <v>57</v>
      </c>
      <c r="S5191">
        <v>12</v>
      </c>
      <c r="T5191">
        <v>165</v>
      </c>
      <c r="U5191" s="1">
        <v>36040</v>
      </c>
      <c r="V5191" t="s">
        <v>80</v>
      </c>
      <c r="W5191" t="s">
        <v>81</v>
      </c>
      <c r="X5191" t="s">
        <v>58</v>
      </c>
      <c r="Y5191">
        <v>21</v>
      </c>
      <c r="Z5191" t="s">
        <v>59</v>
      </c>
      <c r="AA5191" t="s">
        <v>59</v>
      </c>
      <c r="AB5191" t="s">
        <v>59</v>
      </c>
      <c r="AC5191" t="s">
        <v>59</v>
      </c>
      <c r="AD5191" t="s">
        <v>59</v>
      </c>
      <c r="AF5191" s="1">
        <v>36045</v>
      </c>
      <c r="AG5191" t="s">
        <v>8645</v>
      </c>
      <c r="AH5191" t="s">
        <v>8646</v>
      </c>
      <c r="AI5191" t="str">
        <f>"9170428"</f>
        <v>9170428</v>
      </c>
      <c r="AJ5191" t="s">
        <v>8983</v>
      </c>
      <c r="AK5191">
        <v>2810234768</v>
      </c>
      <c r="AL5191" t="s">
        <v>8984</v>
      </c>
      <c r="AM5191" t="s">
        <v>78</v>
      </c>
      <c r="AN5191" t="s">
        <v>78</v>
      </c>
      <c r="AO5191" t="s">
        <v>78</v>
      </c>
      <c r="AP5191" t="s">
        <v>79</v>
      </c>
      <c r="AQ5191">
        <v>1</v>
      </c>
      <c r="AR5191" t="s">
        <v>80</v>
      </c>
      <c r="AS5191" t="s">
        <v>81</v>
      </c>
      <c r="AT5191" t="s">
        <v>58</v>
      </c>
      <c r="AU5191" t="s">
        <v>68</v>
      </c>
      <c r="AV5191" t="s">
        <v>69</v>
      </c>
      <c r="AW5191" s="1">
        <v>24210</v>
      </c>
      <c r="AX5191">
        <v>1</v>
      </c>
    </row>
    <row r="5192" spans="1:50">
      <c r="B5192" t="str">
        <f>"144314192"</f>
        <v>144314192</v>
      </c>
      <c r="C5192" t="s">
        <v>105</v>
      </c>
      <c r="D5192" t="s">
        <v>9468</v>
      </c>
      <c r="E5192" t="s">
        <v>92</v>
      </c>
      <c r="F5192" t="s">
        <v>84</v>
      </c>
      <c r="G5192" t="s">
        <v>1355</v>
      </c>
      <c r="H5192" t="str">
        <f>"ΑΘΗΝΩΝ    14 ΗΡΑΚΛΕΙΟ"</f>
        <v>ΑΘΗΝΩΝ    14 ΗΡΑΚΛΕΙΟ</v>
      </c>
      <c r="I5192">
        <v>71409</v>
      </c>
      <c r="J5192">
        <v>2810210038</v>
      </c>
      <c r="K5192">
        <v>6942986177</v>
      </c>
      <c r="N5192" t="s">
        <v>615</v>
      </c>
      <c r="O5192" t="s">
        <v>616</v>
      </c>
      <c r="R5192" t="s">
        <v>159</v>
      </c>
      <c r="S5192">
        <v>3</v>
      </c>
      <c r="T5192" t="s">
        <v>8675</v>
      </c>
      <c r="U5192" s="1">
        <v>43348</v>
      </c>
      <c r="V5192" t="s">
        <v>80</v>
      </c>
      <c r="W5192" t="s">
        <v>81</v>
      </c>
      <c r="X5192" t="s">
        <v>58</v>
      </c>
      <c r="Y5192">
        <v>24</v>
      </c>
      <c r="Z5192" t="s">
        <v>59</v>
      </c>
      <c r="AA5192" t="s">
        <v>59</v>
      </c>
      <c r="AB5192" t="s">
        <v>59</v>
      </c>
      <c r="AC5192" t="s">
        <v>59</v>
      </c>
      <c r="AD5192" t="s">
        <v>59</v>
      </c>
      <c r="AF5192" s="1">
        <v>43348</v>
      </c>
      <c r="AG5192" t="s">
        <v>8645</v>
      </c>
      <c r="AH5192" t="s">
        <v>8646</v>
      </c>
      <c r="AI5192" t="str">
        <f>"9170431"</f>
        <v>9170431</v>
      </c>
      <c r="AJ5192" t="s">
        <v>8658</v>
      </c>
      <c r="AK5192">
        <v>2810250952</v>
      </c>
      <c r="AL5192" t="s">
        <v>8659</v>
      </c>
      <c r="AM5192" t="s">
        <v>78</v>
      </c>
      <c r="AN5192" t="s">
        <v>78</v>
      </c>
      <c r="AO5192" t="s">
        <v>78</v>
      </c>
      <c r="AP5192" t="s">
        <v>141</v>
      </c>
      <c r="AQ5192">
        <v>1</v>
      </c>
      <c r="AR5192" t="s">
        <v>80</v>
      </c>
      <c r="AS5192" t="s">
        <v>81</v>
      </c>
      <c r="AT5192" t="s">
        <v>58</v>
      </c>
      <c r="AU5192" t="s">
        <v>8673</v>
      </c>
      <c r="AV5192" t="s">
        <v>132</v>
      </c>
      <c r="AW5192" s="1">
        <v>31537</v>
      </c>
      <c r="AX5192">
        <v>1</v>
      </c>
    </row>
    <row r="5193" spans="1:50">
      <c r="B5193" t="str">
        <f>"053636009"</f>
        <v>053636009</v>
      </c>
      <c r="C5193" t="s">
        <v>50</v>
      </c>
      <c r="D5193" t="s">
        <v>9469</v>
      </c>
      <c r="E5193" t="s">
        <v>155</v>
      </c>
      <c r="F5193" t="s">
        <v>84</v>
      </c>
      <c r="G5193" t="s">
        <v>815</v>
      </c>
      <c r="H5193" t="str">
        <f>"ΝΕΣΤΟΥ 1 "</f>
        <v xml:space="preserve">ΝΕΣΤΟΥ 1 </v>
      </c>
      <c r="I5193">
        <v>57013</v>
      </c>
      <c r="J5193">
        <v>2310694057</v>
      </c>
      <c r="K5193">
        <v>6976776826</v>
      </c>
      <c r="N5193" t="s">
        <v>1525</v>
      </c>
      <c r="O5193" t="s">
        <v>1526</v>
      </c>
      <c r="R5193" t="s">
        <v>159</v>
      </c>
      <c r="S5193">
        <v>3</v>
      </c>
      <c r="T5193" t="s">
        <v>8670</v>
      </c>
      <c r="U5193" s="1">
        <v>43348</v>
      </c>
      <c r="V5193" t="s">
        <v>80</v>
      </c>
      <c r="W5193" t="s">
        <v>81</v>
      </c>
      <c r="X5193" t="s">
        <v>58</v>
      </c>
      <c r="Y5193">
        <v>25</v>
      </c>
      <c r="Z5193" t="s">
        <v>59</v>
      </c>
      <c r="AA5193" t="s">
        <v>59</v>
      </c>
      <c r="AB5193" t="s">
        <v>59</v>
      </c>
      <c r="AC5193" t="s">
        <v>59</v>
      </c>
      <c r="AD5193" t="s">
        <v>59</v>
      </c>
      <c r="AF5193" s="1">
        <v>43348</v>
      </c>
      <c r="AG5193" t="s">
        <v>8651</v>
      </c>
      <c r="AH5193" t="s">
        <v>8652</v>
      </c>
      <c r="AI5193" t="str">
        <f>"9170562"</f>
        <v>9170562</v>
      </c>
      <c r="AJ5193" t="s">
        <v>9470</v>
      </c>
      <c r="AK5193">
        <v>2810822781</v>
      </c>
      <c r="AL5193" t="s">
        <v>9471</v>
      </c>
      <c r="AM5193" t="s">
        <v>78</v>
      </c>
      <c r="AN5193" t="s">
        <v>129</v>
      </c>
      <c r="AO5193" t="s">
        <v>130</v>
      </c>
      <c r="AP5193" t="s">
        <v>130</v>
      </c>
      <c r="AQ5193">
        <v>1</v>
      </c>
      <c r="AR5193" t="s">
        <v>80</v>
      </c>
      <c r="AS5193" t="s">
        <v>81</v>
      </c>
      <c r="AT5193" t="s">
        <v>58</v>
      </c>
      <c r="AU5193" t="s">
        <v>8673</v>
      </c>
      <c r="AV5193" t="s">
        <v>132</v>
      </c>
      <c r="AW5193" s="1">
        <v>24550</v>
      </c>
      <c r="AX5193">
        <v>1</v>
      </c>
    </row>
    <row r="5194" spans="1:50">
      <c r="B5194" t="str">
        <f>"150442526"</f>
        <v>150442526</v>
      </c>
      <c r="C5194" t="s">
        <v>50</v>
      </c>
      <c r="D5194" t="s">
        <v>1198</v>
      </c>
      <c r="E5194" t="s">
        <v>396</v>
      </c>
      <c r="F5194" t="s">
        <v>166</v>
      </c>
      <c r="G5194" t="s">
        <v>280</v>
      </c>
      <c r="H5194" t="str">
        <f>" "</f>
        <v xml:space="preserve"> </v>
      </c>
      <c r="N5194" t="s">
        <v>615</v>
      </c>
      <c r="O5194" t="s">
        <v>616</v>
      </c>
      <c r="R5194" t="s">
        <v>121</v>
      </c>
      <c r="S5194">
        <v>1</v>
      </c>
      <c r="T5194" t="s">
        <v>8675</v>
      </c>
      <c r="U5194" s="1">
        <v>43348</v>
      </c>
      <c r="V5194" t="s">
        <v>80</v>
      </c>
      <c r="W5194" t="s">
        <v>81</v>
      </c>
      <c r="X5194" t="s">
        <v>58</v>
      </c>
      <c r="Y5194">
        <v>24</v>
      </c>
      <c r="Z5194" t="s">
        <v>59</v>
      </c>
      <c r="AA5194" t="s">
        <v>59</v>
      </c>
      <c r="AB5194" t="s">
        <v>59</v>
      </c>
      <c r="AD5194" t="s">
        <v>59</v>
      </c>
      <c r="AF5194" s="1">
        <v>43348</v>
      </c>
      <c r="AG5194" t="s">
        <v>8645</v>
      </c>
      <c r="AH5194" t="s">
        <v>8646</v>
      </c>
      <c r="AI5194" t="str">
        <f>"9170343"</f>
        <v>9170343</v>
      </c>
      <c r="AJ5194" t="s">
        <v>8743</v>
      </c>
      <c r="AK5194">
        <v>2810283970</v>
      </c>
      <c r="AL5194" t="s">
        <v>8744</v>
      </c>
      <c r="AM5194" t="s">
        <v>78</v>
      </c>
      <c r="AN5194" t="s">
        <v>78</v>
      </c>
      <c r="AO5194" t="s">
        <v>78</v>
      </c>
      <c r="AP5194" t="s">
        <v>79</v>
      </c>
      <c r="AQ5194">
        <v>1</v>
      </c>
      <c r="AR5194" t="s">
        <v>80</v>
      </c>
      <c r="AS5194" t="s">
        <v>81</v>
      </c>
      <c r="AT5194" t="s">
        <v>58</v>
      </c>
      <c r="AU5194" t="s">
        <v>8673</v>
      </c>
      <c r="AV5194" t="s">
        <v>132</v>
      </c>
      <c r="AW5194" s="1">
        <v>32694</v>
      </c>
      <c r="AX5194">
        <v>1</v>
      </c>
    </row>
    <row r="5195" spans="1:50">
      <c r="A5195">
        <v>570040</v>
      </c>
      <c r="B5195" t="str">
        <f>"118931082"</f>
        <v>118931082</v>
      </c>
      <c r="C5195" t="s">
        <v>50</v>
      </c>
      <c r="D5195" t="s">
        <v>1198</v>
      </c>
      <c r="E5195" t="s">
        <v>52</v>
      </c>
      <c r="F5195" t="s">
        <v>95</v>
      </c>
      <c r="G5195" t="s">
        <v>1277</v>
      </c>
      <c r="H5195" t="str">
        <f>"ΘΕΡΙΣΣΟΥ 129 ΗΡΑΚΛΕΙΟ"</f>
        <v>ΘΕΡΙΣΣΟΥ 129 ΗΡΑΚΛΕΙΟ</v>
      </c>
      <c r="I5195">
        <v>71305</v>
      </c>
      <c r="J5195">
        <v>2810256927</v>
      </c>
      <c r="N5195" t="s">
        <v>306</v>
      </c>
      <c r="O5195" t="s">
        <v>307</v>
      </c>
      <c r="R5195" t="s">
        <v>57</v>
      </c>
      <c r="S5195">
        <v>14</v>
      </c>
      <c r="T5195">
        <v>239</v>
      </c>
      <c r="U5195" s="1">
        <v>33969</v>
      </c>
      <c r="V5195" t="s">
        <v>80</v>
      </c>
      <c r="W5195" t="s">
        <v>81</v>
      </c>
      <c r="X5195" t="s">
        <v>58</v>
      </c>
      <c r="Y5195">
        <v>21</v>
      </c>
      <c r="Z5195" t="s">
        <v>59</v>
      </c>
      <c r="AA5195" t="s">
        <v>59</v>
      </c>
      <c r="AB5195" t="s">
        <v>59</v>
      </c>
      <c r="AC5195" t="s">
        <v>59</v>
      </c>
      <c r="AD5195" t="s">
        <v>59</v>
      </c>
      <c r="AF5195" s="1">
        <v>33977</v>
      </c>
      <c r="AG5195" t="s">
        <v>8645</v>
      </c>
      <c r="AH5195" t="s">
        <v>8646</v>
      </c>
      <c r="AI5195" t="str">
        <f>"9170425"</f>
        <v>9170425</v>
      </c>
      <c r="AJ5195" t="s">
        <v>9350</v>
      </c>
      <c r="AK5195">
        <v>2810250261</v>
      </c>
      <c r="AL5195" t="s">
        <v>9351</v>
      </c>
      <c r="AM5195" t="s">
        <v>78</v>
      </c>
      <c r="AN5195" t="s">
        <v>78</v>
      </c>
      <c r="AO5195" t="s">
        <v>78</v>
      </c>
      <c r="AP5195" t="s">
        <v>141</v>
      </c>
      <c r="AQ5195">
        <v>1</v>
      </c>
      <c r="AR5195" t="s">
        <v>80</v>
      </c>
      <c r="AS5195" t="s">
        <v>81</v>
      </c>
      <c r="AT5195" t="s">
        <v>58</v>
      </c>
      <c r="AU5195" t="s">
        <v>68</v>
      </c>
      <c r="AV5195" t="s">
        <v>69</v>
      </c>
      <c r="AW5195" s="1">
        <v>23021</v>
      </c>
      <c r="AX5195">
        <v>1</v>
      </c>
    </row>
    <row r="5196" spans="1:50">
      <c r="B5196" t="str">
        <f>"145968702"</f>
        <v>145968702</v>
      </c>
      <c r="C5196" t="s">
        <v>50</v>
      </c>
      <c r="D5196" t="s">
        <v>9472</v>
      </c>
      <c r="E5196" t="s">
        <v>9473</v>
      </c>
      <c r="F5196" t="s">
        <v>3049</v>
      </c>
      <c r="G5196" t="s">
        <v>73</v>
      </c>
      <c r="H5196" t="str">
        <f>"ΑΓΙΟΥ ΒΑΣΙΛΕΙΟΥ 32 "</f>
        <v xml:space="preserve">ΑΓΙΟΥ ΒΑΣΙΛΕΙΟΥ 32 </v>
      </c>
      <c r="I5196">
        <v>55133</v>
      </c>
      <c r="J5196">
        <v>2310433118</v>
      </c>
      <c r="K5196">
        <v>6948726784</v>
      </c>
      <c r="N5196" t="s">
        <v>8694</v>
      </c>
      <c r="O5196" t="s">
        <v>8695</v>
      </c>
      <c r="R5196" t="s">
        <v>159</v>
      </c>
      <c r="S5196">
        <v>3</v>
      </c>
      <c r="T5196" t="s">
        <v>8696</v>
      </c>
      <c r="U5196" s="1">
        <v>43348</v>
      </c>
      <c r="V5196" t="s">
        <v>80</v>
      </c>
      <c r="W5196" t="s">
        <v>81</v>
      </c>
      <c r="X5196" t="s">
        <v>58</v>
      </c>
      <c r="Y5196">
        <v>24</v>
      </c>
      <c r="Z5196" t="s">
        <v>59</v>
      </c>
      <c r="AA5196" t="s">
        <v>59</v>
      </c>
      <c r="AB5196" t="s">
        <v>59</v>
      </c>
      <c r="AC5196" t="s">
        <v>59</v>
      </c>
      <c r="AD5196" t="s">
        <v>59</v>
      </c>
      <c r="AF5196" s="1">
        <v>43348</v>
      </c>
      <c r="AG5196" t="s">
        <v>8645</v>
      </c>
      <c r="AH5196" t="s">
        <v>8697</v>
      </c>
      <c r="AI5196" t="str">
        <f>"9521043"</f>
        <v>9521043</v>
      </c>
      <c r="AJ5196" t="s">
        <v>9474</v>
      </c>
      <c r="AK5196">
        <v>2891023329</v>
      </c>
      <c r="AL5196" t="s">
        <v>9475</v>
      </c>
      <c r="AM5196" t="s">
        <v>78</v>
      </c>
      <c r="AN5196" t="s">
        <v>276</v>
      </c>
      <c r="AO5196" t="s">
        <v>490</v>
      </c>
      <c r="AP5196" t="s">
        <v>490</v>
      </c>
      <c r="AQ5196">
        <v>12</v>
      </c>
      <c r="AR5196" t="s">
        <v>80</v>
      </c>
      <c r="AS5196" t="s">
        <v>81</v>
      </c>
      <c r="AT5196" t="s">
        <v>58</v>
      </c>
      <c r="AU5196" t="s">
        <v>350</v>
      </c>
      <c r="AV5196" t="s">
        <v>132</v>
      </c>
      <c r="AW5196" s="1">
        <v>32328</v>
      </c>
      <c r="AX5196">
        <v>1</v>
      </c>
    </row>
    <row r="5197" spans="1:50">
      <c r="A5197">
        <v>571564</v>
      </c>
      <c r="B5197" t="str">
        <f>"036121514"</f>
        <v>036121514</v>
      </c>
      <c r="C5197" t="s">
        <v>50</v>
      </c>
      <c r="D5197" t="s">
        <v>9476</v>
      </c>
      <c r="E5197" t="s">
        <v>566</v>
      </c>
      <c r="F5197" t="s">
        <v>106</v>
      </c>
      <c r="G5197" t="s">
        <v>52</v>
      </c>
      <c r="H5197" t="str">
        <f>"ΓΙΟΛΔΑΣΗ 5 ΗΡΑΚΛΕΙΟ"</f>
        <v>ΓΙΟΛΔΑΣΗ 5 ΗΡΑΚΛΕΙΟ</v>
      </c>
      <c r="I5197">
        <v>71409</v>
      </c>
      <c r="J5197">
        <v>2810323233</v>
      </c>
      <c r="K5197">
        <v>6939111999</v>
      </c>
      <c r="M5197" t="s">
        <v>9477</v>
      </c>
      <c r="N5197" t="s">
        <v>1525</v>
      </c>
      <c r="O5197" t="s">
        <v>1526</v>
      </c>
      <c r="R5197" t="s">
        <v>57</v>
      </c>
      <c r="S5197">
        <v>14</v>
      </c>
      <c r="T5197">
        <v>138</v>
      </c>
      <c r="U5197" s="1">
        <v>34206</v>
      </c>
      <c r="V5197" t="s">
        <v>80</v>
      </c>
      <c r="W5197" t="s">
        <v>81</v>
      </c>
      <c r="X5197" t="s">
        <v>58</v>
      </c>
      <c r="Y5197">
        <v>25</v>
      </c>
      <c r="Z5197" t="s">
        <v>59</v>
      </c>
      <c r="AA5197" t="s">
        <v>59</v>
      </c>
      <c r="AB5197" t="s">
        <v>59</v>
      </c>
      <c r="AC5197" t="s">
        <v>59</v>
      </c>
      <c r="AD5197" t="s">
        <v>59</v>
      </c>
      <c r="AF5197" s="1">
        <v>34213</v>
      </c>
      <c r="AG5197" t="s">
        <v>8651</v>
      </c>
      <c r="AH5197" t="s">
        <v>8652</v>
      </c>
      <c r="AI5197" t="str">
        <f>"9170505"</f>
        <v>9170505</v>
      </c>
      <c r="AJ5197" t="s">
        <v>9478</v>
      </c>
      <c r="AK5197">
        <v>2810243082</v>
      </c>
      <c r="AL5197" t="s">
        <v>9479</v>
      </c>
      <c r="AM5197" t="s">
        <v>78</v>
      </c>
      <c r="AN5197" t="s">
        <v>78</v>
      </c>
      <c r="AO5197" t="s">
        <v>78</v>
      </c>
      <c r="AP5197" t="s">
        <v>213</v>
      </c>
      <c r="AQ5197">
        <v>1</v>
      </c>
      <c r="AR5197" t="s">
        <v>80</v>
      </c>
      <c r="AS5197" t="s">
        <v>81</v>
      </c>
      <c r="AT5197" t="s">
        <v>58</v>
      </c>
      <c r="AU5197" t="s">
        <v>68</v>
      </c>
      <c r="AV5197" t="s">
        <v>69</v>
      </c>
      <c r="AW5197" s="1">
        <v>24099</v>
      </c>
      <c r="AX5197">
        <v>1</v>
      </c>
    </row>
    <row r="5198" spans="1:50">
      <c r="A5198">
        <v>601230</v>
      </c>
      <c r="B5198" t="str">
        <f>"061245035"</f>
        <v>061245035</v>
      </c>
      <c r="C5198" t="s">
        <v>50</v>
      </c>
      <c r="D5198" t="s">
        <v>1206</v>
      </c>
      <c r="E5198" t="s">
        <v>237</v>
      </c>
      <c r="F5198" t="s">
        <v>72</v>
      </c>
      <c r="G5198" t="s">
        <v>215</v>
      </c>
      <c r="H5198" t="str">
        <f>"ΑΝΩΓΕΙΑ ΡΕΘΥΜΝΟ"</f>
        <v>ΑΝΩΓΕΙΑ ΡΕΘΥΜΝΟ</v>
      </c>
      <c r="J5198">
        <v>2834031138</v>
      </c>
      <c r="K5198">
        <v>6977264207</v>
      </c>
      <c r="N5198" t="s">
        <v>615</v>
      </c>
      <c r="O5198" t="s">
        <v>616</v>
      </c>
      <c r="R5198" t="s">
        <v>57</v>
      </c>
      <c r="S5198">
        <v>8</v>
      </c>
      <c r="T5198">
        <v>207</v>
      </c>
      <c r="U5198" s="1">
        <v>37866</v>
      </c>
      <c r="V5198" t="s">
        <v>80</v>
      </c>
      <c r="W5198" t="s">
        <v>81</v>
      </c>
      <c r="X5198" t="s">
        <v>58</v>
      </c>
      <c r="Y5198">
        <v>22</v>
      </c>
      <c r="Z5198" t="s">
        <v>59</v>
      </c>
      <c r="AA5198" t="s">
        <v>59</v>
      </c>
      <c r="AB5198" t="s">
        <v>59</v>
      </c>
      <c r="AC5198" t="s">
        <v>59</v>
      </c>
      <c r="AD5198" t="s">
        <v>59</v>
      </c>
      <c r="AF5198" s="1">
        <v>37866</v>
      </c>
      <c r="AG5198" t="s">
        <v>8645</v>
      </c>
      <c r="AH5198" t="s">
        <v>8646</v>
      </c>
      <c r="AI5198" t="str">
        <f>"9170560"</f>
        <v>9170560</v>
      </c>
      <c r="AJ5198" t="s">
        <v>9022</v>
      </c>
      <c r="AK5198">
        <v>2810821816</v>
      </c>
      <c r="AL5198" t="s">
        <v>9023</v>
      </c>
      <c r="AM5198" t="s">
        <v>78</v>
      </c>
      <c r="AN5198" t="s">
        <v>129</v>
      </c>
      <c r="AO5198" t="s">
        <v>130</v>
      </c>
      <c r="AP5198" t="s">
        <v>130</v>
      </c>
      <c r="AQ5198">
        <v>1</v>
      </c>
      <c r="AR5198" t="s">
        <v>80</v>
      </c>
      <c r="AS5198" t="s">
        <v>81</v>
      </c>
      <c r="AT5198" t="s">
        <v>58</v>
      </c>
      <c r="AU5198" t="s">
        <v>68</v>
      </c>
      <c r="AV5198" t="s">
        <v>69</v>
      </c>
      <c r="AW5198" s="1">
        <v>26694</v>
      </c>
      <c r="AX5198">
        <v>1</v>
      </c>
    </row>
    <row r="5199" spans="1:50">
      <c r="A5199">
        <v>701271</v>
      </c>
      <c r="B5199" t="str">
        <f>"131460305"</f>
        <v>131460305</v>
      </c>
      <c r="C5199" t="s">
        <v>50</v>
      </c>
      <c r="D5199" t="s">
        <v>9480</v>
      </c>
      <c r="E5199" t="s">
        <v>237</v>
      </c>
      <c r="F5199" t="s">
        <v>166</v>
      </c>
      <c r="G5199" t="s">
        <v>372</v>
      </c>
      <c r="H5199" t="str">
        <f>"ΑΝΩΓΕΙΑ ΡΕΘΥΜΝΟ"</f>
        <v>ΑΝΩΓΕΙΑ ΡΕΘΥΜΝΟ</v>
      </c>
      <c r="I5199">
        <v>74051</v>
      </c>
      <c r="J5199">
        <v>2834031057</v>
      </c>
      <c r="K5199">
        <v>6973746725</v>
      </c>
      <c r="N5199" t="s">
        <v>1525</v>
      </c>
      <c r="O5199" t="s">
        <v>1526</v>
      </c>
      <c r="R5199" t="s">
        <v>57</v>
      </c>
      <c r="S5199">
        <v>4</v>
      </c>
      <c r="T5199">
        <v>772</v>
      </c>
      <c r="U5199" s="1">
        <v>40413</v>
      </c>
      <c r="V5199" t="s">
        <v>80</v>
      </c>
      <c r="W5199" t="s">
        <v>81</v>
      </c>
      <c r="X5199" t="s">
        <v>58</v>
      </c>
      <c r="Y5199">
        <v>25</v>
      </c>
      <c r="Z5199" t="s">
        <v>59</v>
      </c>
      <c r="AA5199" t="s">
        <v>59</v>
      </c>
      <c r="AB5199" t="s">
        <v>59</v>
      </c>
      <c r="AC5199" t="s">
        <v>59</v>
      </c>
      <c r="AD5199" t="s">
        <v>59</v>
      </c>
      <c r="AF5199" s="1">
        <v>40413</v>
      </c>
      <c r="AG5199" t="s">
        <v>8651</v>
      </c>
      <c r="AH5199" t="s">
        <v>8652</v>
      </c>
      <c r="AI5199" t="str">
        <f>"9170395"</f>
        <v>9170395</v>
      </c>
      <c r="AJ5199" t="s">
        <v>9481</v>
      </c>
      <c r="AK5199">
        <v>2810722035</v>
      </c>
      <c r="AL5199" t="s">
        <v>9482</v>
      </c>
      <c r="AM5199" t="s">
        <v>78</v>
      </c>
      <c r="AN5199" t="s">
        <v>78</v>
      </c>
      <c r="AO5199" t="s">
        <v>185</v>
      </c>
      <c r="AP5199" t="s">
        <v>186</v>
      </c>
      <c r="AQ5199">
        <v>4</v>
      </c>
      <c r="AR5199" t="s">
        <v>80</v>
      </c>
      <c r="AS5199" t="s">
        <v>81</v>
      </c>
      <c r="AT5199" t="s">
        <v>58</v>
      </c>
      <c r="AU5199" t="s">
        <v>68</v>
      </c>
      <c r="AV5199" t="s">
        <v>69</v>
      </c>
      <c r="AW5199" s="1">
        <v>29953</v>
      </c>
      <c r="AX5199">
        <v>1</v>
      </c>
    </row>
    <row r="5200" spans="1:50">
      <c r="A5200">
        <v>568966</v>
      </c>
      <c r="B5200" t="str">
        <f>"036325770"</f>
        <v>036325770</v>
      </c>
      <c r="C5200" t="s">
        <v>50</v>
      </c>
      <c r="D5200" t="s">
        <v>1213</v>
      </c>
      <c r="E5200" t="s">
        <v>860</v>
      </c>
      <c r="F5200" t="s">
        <v>95</v>
      </c>
      <c r="G5200" t="s">
        <v>1277</v>
      </c>
      <c r="H5200" t="str">
        <f>"ΙΔΑΙΟΥ ΑΝΔΡΟΥ 6 ΗΡΑΚΛΕΙΟ"</f>
        <v>ΙΔΑΙΟΥ ΑΝΔΡΟΥ 6 ΗΡΑΚΛΕΙΟ</v>
      </c>
      <c r="I5200">
        <v>70400</v>
      </c>
      <c r="J5200">
        <v>2892022349</v>
      </c>
      <c r="N5200" t="s">
        <v>615</v>
      </c>
      <c r="O5200" t="s">
        <v>616</v>
      </c>
      <c r="R5200" t="s">
        <v>57</v>
      </c>
      <c r="S5200">
        <v>14</v>
      </c>
      <c r="T5200">
        <v>162</v>
      </c>
      <c r="U5200" s="1">
        <v>33844</v>
      </c>
      <c r="V5200" t="s">
        <v>80</v>
      </c>
      <c r="W5200" t="s">
        <v>81</v>
      </c>
      <c r="X5200" t="s">
        <v>58</v>
      </c>
      <c r="Y5200">
        <v>21</v>
      </c>
      <c r="Z5200" t="s">
        <v>59</v>
      </c>
      <c r="AA5200" t="s">
        <v>59</v>
      </c>
      <c r="AB5200" t="s">
        <v>59</v>
      </c>
      <c r="AC5200" t="s">
        <v>59</v>
      </c>
      <c r="AD5200" t="s">
        <v>59</v>
      </c>
      <c r="AF5200" s="1">
        <v>33848</v>
      </c>
      <c r="AG5200" t="s">
        <v>8645</v>
      </c>
      <c r="AH5200" t="s">
        <v>8646</v>
      </c>
      <c r="AI5200" t="str">
        <f>"9170295"</f>
        <v>9170295</v>
      </c>
      <c r="AJ5200" t="s">
        <v>9283</v>
      </c>
      <c r="AK5200">
        <v>2892042231</v>
      </c>
      <c r="AL5200" t="s">
        <v>9284</v>
      </c>
      <c r="AM5200" t="s">
        <v>78</v>
      </c>
      <c r="AN5200" t="s">
        <v>242</v>
      </c>
      <c r="AO5200" t="s">
        <v>243</v>
      </c>
      <c r="AP5200" t="s">
        <v>9285</v>
      </c>
      <c r="AQ5200">
        <v>18</v>
      </c>
      <c r="AR5200" t="s">
        <v>80</v>
      </c>
      <c r="AS5200" t="s">
        <v>81</v>
      </c>
      <c r="AT5200" t="s">
        <v>58</v>
      </c>
      <c r="AU5200" t="s">
        <v>68</v>
      </c>
      <c r="AV5200" t="s">
        <v>69</v>
      </c>
      <c r="AW5200" s="1">
        <v>24246</v>
      </c>
      <c r="AX5200">
        <v>1</v>
      </c>
    </row>
    <row r="5201" spans="1:50">
      <c r="A5201">
        <v>702200</v>
      </c>
      <c r="B5201" t="str">
        <f>"141366251"</f>
        <v>141366251</v>
      </c>
      <c r="C5201" t="s">
        <v>50</v>
      </c>
      <c r="D5201" t="s">
        <v>1213</v>
      </c>
      <c r="E5201" t="s">
        <v>341</v>
      </c>
      <c r="F5201" t="s">
        <v>377</v>
      </c>
      <c r="G5201" t="s">
        <v>52</v>
      </c>
      <c r="H5201" t="str">
        <f>"ΠΙΤΣΟΥΛΑΚΗ 7 ΗΡΑΚΛΕΙΟ"</f>
        <v>ΠΙΤΣΟΥΛΑΚΗ 7 ΗΡΑΚΛΕΙΟ</v>
      </c>
      <c r="I5201">
        <v>71305</v>
      </c>
      <c r="K5201">
        <v>6937119114</v>
      </c>
      <c r="N5201" t="s">
        <v>615</v>
      </c>
      <c r="O5201" t="s">
        <v>616</v>
      </c>
      <c r="R5201" t="s">
        <v>57</v>
      </c>
      <c r="S5201">
        <v>4</v>
      </c>
      <c r="T5201">
        <v>772</v>
      </c>
      <c r="U5201" s="1">
        <v>40413</v>
      </c>
      <c r="V5201" t="s">
        <v>80</v>
      </c>
      <c r="W5201" t="s">
        <v>81</v>
      </c>
      <c r="X5201" t="s">
        <v>58</v>
      </c>
      <c r="Y5201">
        <v>25</v>
      </c>
      <c r="Z5201" t="s">
        <v>59</v>
      </c>
      <c r="AA5201" t="s">
        <v>59</v>
      </c>
      <c r="AB5201" t="s">
        <v>59</v>
      </c>
      <c r="AC5201" t="s">
        <v>59</v>
      </c>
      <c r="AD5201" t="s">
        <v>59</v>
      </c>
      <c r="AF5201" s="1">
        <v>40413</v>
      </c>
      <c r="AG5201" t="s">
        <v>8645</v>
      </c>
      <c r="AH5201" t="s">
        <v>8676</v>
      </c>
      <c r="AI5201" t="str">
        <f>"9521628"</f>
        <v>9521628</v>
      </c>
      <c r="AJ5201" t="s">
        <v>9045</v>
      </c>
      <c r="AM5201" t="s">
        <v>78</v>
      </c>
      <c r="AN5201" t="s">
        <v>78</v>
      </c>
      <c r="AO5201" t="s">
        <v>286</v>
      </c>
      <c r="AP5201" t="s">
        <v>9046</v>
      </c>
      <c r="AR5201" t="s">
        <v>80</v>
      </c>
      <c r="AS5201" t="s">
        <v>81</v>
      </c>
      <c r="AT5201" t="s">
        <v>58</v>
      </c>
      <c r="AU5201" t="s">
        <v>68</v>
      </c>
      <c r="AV5201" t="s">
        <v>69</v>
      </c>
      <c r="AW5201" s="1">
        <v>31540</v>
      </c>
      <c r="AX5201">
        <v>1</v>
      </c>
    </row>
    <row r="5202" spans="1:50">
      <c r="A5202">
        <v>591640</v>
      </c>
      <c r="B5202" t="str">
        <f>"103844057"</f>
        <v>103844057</v>
      </c>
      <c r="C5202" t="s">
        <v>50</v>
      </c>
      <c r="D5202" t="s">
        <v>1213</v>
      </c>
      <c r="E5202" t="s">
        <v>255</v>
      </c>
      <c r="F5202" t="s">
        <v>166</v>
      </c>
      <c r="G5202" t="s">
        <v>52</v>
      </c>
      <c r="H5202" t="str">
        <f>"ΜΟΝΗΣ ΠΡΕΒΕΛΗΣ 122  ΗΡΑΚΛΕΙΟ"</f>
        <v>ΜΟΝΗΣ ΠΡΕΒΕΛΗΣ 122  ΗΡΑΚΛΕΙΟ</v>
      </c>
      <c r="J5202">
        <v>2810321888</v>
      </c>
      <c r="K5202">
        <v>6939102148</v>
      </c>
      <c r="N5202" t="s">
        <v>1525</v>
      </c>
      <c r="O5202" t="s">
        <v>1526</v>
      </c>
      <c r="R5202" t="s">
        <v>57</v>
      </c>
      <c r="S5202">
        <v>12</v>
      </c>
      <c r="T5202">
        <v>249</v>
      </c>
      <c r="U5202" s="1">
        <v>36769</v>
      </c>
      <c r="V5202" t="s">
        <v>80</v>
      </c>
      <c r="W5202" t="s">
        <v>81</v>
      </c>
      <c r="X5202" t="s">
        <v>58</v>
      </c>
      <c r="Y5202">
        <v>25</v>
      </c>
      <c r="Z5202" t="s">
        <v>59</v>
      </c>
      <c r="AA5202" t="s">
        <v>59</v>
      </c>
      <c r="AB5202" t="s">
        <v>59</v>
      </c>
      <c r="AC5202" t="s">
        <v>59</v>
      </c>
      <c r="AD5202" t="s">
        <v>59</v>
      </c>
      <c r="AF5202" s="1">
        <v>36770</v>
      </c>
      <c r="AG5202" t="s">
        <v>8651</v>
      </c>
      <c r="AH5202" t="s">
        <v>8652</v>
      </c>
      <c r="AI5202" t="str">
        <f>"9170530"</f>
        <v>9170530</v>
      </c>
      <c r="AJ5202" t="s">
        <v>8900</v>
      </c>
      <c r="AK5202">
        <v>2810238562</v>
      </c>
      <c r="AL5202" t="s">
        <v>8901</v>
      </c>
      <c r="AM5202" t="s">
        <v>78</v>
      </c>
      <c r="AN5202" t="s">
        <v>78</v>
      </c>
      <c r="AO5202" t="s">
        <v>78</v>
      </c>
      <c r="AP5202" t="s">
        <v>79</v>
      </c>
      <c r="AQ5202">
        <v>1</v>
      </c>
      <c r="AR5202" t="s">
        <v>80</v>
      </c>
      <c r="AS5202" t="s">
        <v>81</v>
      </c>
      <c r="AT5202" t="s">
        <v>58</v>
      </c>
      <c r="AU5202" t="s">
        <v>68</v>
      </c>
      <c r="AV5202" t="s">
        <v>69</v>
      </c>
      <c r="AW5202" s="1">
        <v>24334</v>
      </c>
      <c r="AX5202">
        <v>1</v>
      </c>
    </row>
    <row r="5203" spans="1:50">
      <c r="A5203">
        <v>572588</v>
      </c>
      <c r="B5203" t="str">
        <f>"103527758"</f>
        <v>103527758</v>
      </c>
      <c r="C5203" t="s">
        <v>50</v>
      </c>
      <c r="D5203" t="s">
        <v>1213</v>
      </c>
      <c r="E5203" t="s">
        <v>52</v>
      </c>
      <c r="F5203" t="s">
        <v>5386</v>
      </c>
      <c r="G5203" t="s">
        <v>250</v>
      </c>
      <c r="H5203" t="str">
        <f>"ΠΑΜΦΙΛΟΥ 51 ΗΡΑΚΛΕΙΟΥ"</f>
        <v>ΠΑΜΦΙΛΟΥ 51 ΗΡΑΚΛΕΙΟΥ</v>
      </c>
      <c r="I5203">
        <v>71410</v>
      </c>
      <c r="J5203">
        <v>2810257653</v>
      </c>
      <c r="K5203">
        <v>6976869178</v>
      </c>
      <c r="N5203" t="s">
        <v>176</v>
      </c>
      <c r="O5203" t="s">
        <v>177</v>
      </c>
      <c r="R5203" t="s">
        <v>57</v>
      </c>
      <c r="S5203">
        <v>16</v>
      </c>
      <c r="T5203">
        <v>154</v>
      </c>
      <c r="U5203" s="1">
        <v>34225</v>
      </c>
      <c r="V5203" t="s">
        <v>80</v>
      </c>
      <c r="W5203" t="s">
        <v>81</v>
      </c>
      <c r="X5203" t="s">
        <v>58</v>
      </c>
      <c r="Y5203">
        <v>21</v>
      </c>
      <c r="Z5203" t="s">
        <v>59</v>
      </c>
      <c r="AA5203" t="s">
        <v>59</v>
      </c>
      <c r="AB5203" t="s">
        <v>59</v>
      </c>
      <c r="AC5203" t="s">
        <v>59</v>
      </c>
      <c r="AD5203" t="s">
        <v>59</v>
      </c>
      <c r="AF5203" s="1">
        <v>34227</v>
      </c>
      <c r="AG5203" t="s">
        <v>8645</v>
      </c>
      <c r="AH5203" t="s">
        <v>8646</v>
      </c>
      <c r="AI5203" t="str">
        <f>"9170113"</f>
        <v>9170113</v>
      </c>
      <c r="AJ5203" t="s">
        <v>8846</v>
      </c>
      <c r="AK5203">
        <v>2810226174</v>
      </c>
      <c r="AL5203" t="s">
        <v>8847</v>
      </c>
      <c r="AM5203" t="s">
        <v>78</v>
      </c>
      <c r="AN5203" t="s">
        <v>78</v>
      </c>
      <c r="AO5203" t="s">
        <v>78</v>
      </c>
      <c r="AP5203" t="s">
        <v>79</v>
      </c>
      <c r="AQ5203">
        <v>1</v>
      </c>
      <c r="AR5203" t="s">
        <v>80</v>
      </c>
      <c r="AS5203" t="s">
        <v>81</v>
      </c>
      <c r="AT5203" t="s">
        <v>58</v>
      </c>
      <c r="AU5203" t="s">
        <v>68</v>
      </c>
      <c r="AV5203" t="s">
        <v>69</v>
      </c>
      <c r="AW5203" s="1">
        <v>23632</v>
      </c>
      <c r="AX5203">
        <v>1</v>
      </c>
    </row>
    <row r="5204" spans="1:50">
      <c r="B5204" t="str">
        <f>"045070821"</f>
        <v>045070821</v>
      </c>
      <c r="C5204" t="s">
        <v>50</v>
      </c>
      <c r="D5204" t="s">
        <v>1213</v>
      </c>
      <c r="E5204" t="s">
        <v>181</v>
      </c>
      <c r="F5204" t="s">
        <v>95</v>
      </c>
      <c r="H5204" t="str">
        <f>"ΚΑΛΛΙΠΟΛΕΩΣ 28 ΑΤΣΑΛΕΝΙΟ ΗΡΑΚΛΕΙΟΥ"</f>
        <v>ΚΑΛΛΙΠΟΛΕΩΣ 28 ΑΤΣΑΛΕΝΙΟ ΗΡΑΚΛΕΙΟΥ</v>
      </c>
      <c r="K5204">
        <v>6986143435</v>
      </c>
      <c r="N5204" t="s">
        <v>836</v>
      </c>
      <c r="O5204" t="s">
        <v>837</v>
      </c>
      <c r="R5204" t="s">
        <v>159</v>
      </c>
      <c r="S5204">
        <v>2</v>
      </c>
      <c r="T5204" t="s">
        <v>8675</v>
      </c>
      <c r="U5204" s="1">
        <v>43348</v>
      </c>
      <c r="V5204" t="s">
        <v>80</v>
      </c>
      <c r="W5204" t="s">
        <v>81</v>
      </c>
      <c r="X5204" t="s">
        <v>58</v>
      </c>
      <c r="Y5204">
        <v>24</v>
      </c>
      <c r="Z5204" t="s">
        <v>59</v>
      </c>
      <c r="AA5204" t="s">
        <v>59</v>
      </c>
      <c r="AB5204" t="s">
        <v>59</v>
      </c>
      <c r="AC5204" t="s">
        <v>59</v>
      </c>
      <c r="AD5204" t="s">
        <v>59</v>
      </c>
      <c r="AF5204" s="1">
        <v>43348</v>
      </c>
      <c r="AG5204" t="s">
        <v>8645</v>
      </c>
      <c r="AH5204" t="s">
        <v>8646</v>
      </c>
      <c r="AI5204" t="str">
        <f>"9170427"</f>
        <v>9170427</v>
      </c>
      <c r="AJ5204" t="s">
        <v>8817</v>
      </c>
      <c r="AK5204">
        <v>2810220998</v>
      </c>
      <c r="AL5204" t="s">
        <v>8818</v>
      </c>
      <c r="AM5204" t="s">
        <v>78</v>
      </c>
      <c r="AN5204" t="s">
        <v>78</v>
      </c>
      <c r="AO5204" t="s">
        <v>286</v>
      </c>
      <c r="AP5204" t="s">
        <v>286</v>
      </c>
      <c r="AQ5204">
        <v>1</v>
      </c>
      <c r="AR5204" t="s">
        <v>80</v>
      </c>
      <c r="AS5204" t="s">
        <v>81</v>
      </c>
      <c r="AT5204" t="s">
        <v>58</v>
      </c>
      <c r="AU5204" t="s">
        <v>8673</v>
      </c>
      <c r="AV5204" t="s">
        <v>132</v>
      </c>
      <c r="AW5204" s="1">
        <v>19392</v>
      </c>
      <c r="AX5204">
        <v>1</v>
      </c>
    </row>
    <row r="5205" spans="1:50">
      <c r="A5205">
        <v>582175</v>
      </c>
      <c r="B5205" t="str">
        <f>"039031502"</f>
        <v>039031502</v>
      </c>
      <c r="C5205" t="s">
        <v>105</v>
      </c>
      <c r="D5205" t="s">
        <v>1215</v>
      </c>
      <c r="E5205" t="s">
        <v>309</v>
      </c>
      <c r="F5205" t="s">
        <v>2027</v>
      </c>
      <c r="G5205" t="s">
        <v>52</v>
      </c>
      <c r="H5205" t="str">
        <f>"ΠΑΝΑΣΟΣ "</f>
        <v xml:space="preserve">ΠΑΝΑΣΟΣ </v>
      </c>
      <c r="I5205">
        <v>70003</v>
      </c>
      <c r="K5205">
        <v>6985962654</v>
      </c>
      <c r="M5205" t="s">
        <v>9483</v>
      </c>
      <c r="N5205" t="s">
        <v>615</v>
      </c>
      <c r="O5205" t="s">
        <v>616</v>
      </c>
      <c r="R5205" t="s">
        <v>57</v>
      </c>
      <c r="S5205">
        <v>13</v>
      </c>
      <c r="T5205">
        <v>179</v>
      </c>
      <c r="U5205" s="1">
        <v>35674</v>
      </c>
      <c r="V5205" t="s">
        <v>80</v>
      </c>
      <c r="W5205" t="s">
        <v>81</v>
      </c>
      <c r="X5205" t="s">
        <v>58</v>
      </c>
      <c r="Y5205">
        <v>21</v>
      </c>
      <c r="Z5205" t="s">
        <v>59</v>
      </c>
      <c r="AA5205" t="s">
        <v>59</v>
      </c>
      <c r="AB5205" t="s">
        <v>59</v>
      </c>
      <c r="AC5205" t="s">
        <v>59</v>
      </c>
      <c r="AD5205" t="s">
        <v>59</v>
      </c>
      <c r="AF5205" s="1">
        <v>35674</v>
      </c>
      <c r="AG5205" t="s">
        <v>8645</v>
      </c>
      <c r="AH5205" t="s">
        <v>8646</v>
      </c>
      <c r="AI5205" t="str">
        <f>"9170002"</f>
        <v>9170002</v>
      </c>
      <c r="AJ5205" t="s">
        <v>9368</v>
      </c>
      <c r="AK5205">
        <v>2894041207</v>
      </c>
      <c r="AL5205" t="s">
        <v>9369</v>
      </c>
      <c r="AM5205" t="s">
        <v>78</v>
      </c>
      <c r="AN5205" t="s">
        <v>405</v>
      </c>
      <c r="AO5205" t="s">
        <v>551</v>
      </c>
      <c r="AP5205" t="s">
        <v>552</v>
      </c>
      <c r="AQ5205">
        <v>21</v>
      </c>
      <c r="AR5205" t="s">
        <v>80</v>
      </c>
      <c r="AS5205" t="s">
        <v>81</v>
      </c>
      <c r="AT5205" t="s">
        <v>58</v>
      </c>
      <c r="AU5205" t="s">
        <v>68</v>
      </c>
      <c r="AV5205" t="s">
        <v>69</v>
      </c>
      <c r="AW5205" s="1">
        <v>21478</v>
      </c>
      <c r="AX5205">
        <v>1</v>
      </c>
    </row>
    <row r="5206" spans="1:50">
      <c r="A5206">
        <v>613251</v>
      </c>
      <c r="B5206" t="str">
        <f>"068062239"</f>
        <v>068062239</v>
      </c>
      <c r="C5206" t="s">
        <v>105</v>
      </c>
      <c r="D5206" t="s">
        <v>1215</v>
      </c>
      <c r="E5206" t="s">
        <v>383</v>
      </c>
      <c r="F5206" t="s">
        <v>989</v>
      </c>
      <c r="G5206" t="s">
        <v>314</v>
      </c>
      <c r="H5206" t="str">
        <f>"ΑΠΟΣΤΟΛΟΙ ΠΕΔΙΑΔΟΣ ΚΑΣΤΕΛΛΙ ΠΕΔΙΑΔΟΣ"</f>
        <v>ΑΠΟΣΤΟΛΟΙ ΠΕΔΙΑΔΟΣ ΚΑΣΤΕΛΛΙ ΠΕΔΙΑΔΟΣ</v>
      </c>
      <c r="I5206">
        <v>70006</v>
      </c>
      <c r="J5206">
        <v>2891031042</v>
      </c>
      <c r="K5206">
        <v>6972448458</v>
      </c>
      <c r="M5206" t="s">
        <v>9484</v>
      </c>
      <c r="N5206" t="s">
        <v>615</v>
      </c>
      <c r="O5206" t="s">
        <v>616</v>
      </c>
      <c r="R5206" t="s">
        <v>57</v>
      </c>
      <c r="S5206">
        <v>6</v>
      </c>
      <c r="T5206">
        <v>598</v>
      </c>
      <c r="U5206" s="1">
        <v>39310</v>
      </c>
      <c r="V5206" t="s">
        <v>80</v>
      </c>
      <c r="W5206" t="s">
        <v>81</v>
      </c>
      <c r="X5206" t="s">
        <v>58</v>
      </c>
      <c r="Y5206">
        <v>23</v>
      </c>
      <c r="Z5206" t="s">
        <v>59</v>
      </c>
      <c r="AA5206" t="s">
        <v>59</v>
      </c>
      <c r="AB5206" t="s">
        <v>59</v>
      </c>
      <c r="AC5206" t="s">
        <v>59</v>
      </c>
      <c r="AD5206" t="s">
        <v>59</v>
      </c>
      <c r="AF5206" s="1">
        <v>39328</v>
      </c>
      <c r="AG5206" t="s">
        <v>8645</v>
      </c>
      <c r="AH5206" t="s">
        <v>8646</v>
      </c>
      <c r="AI5206" t="str">
        <f>"9170228"</f>
        <v>9170228</v>
      </c>
      <c r="AJ5206" t="s">
        <v>8898</v>
      </c>
      <c r="AK5206">
        <v>2891041210</v>
      </c>
      <c r="AL5206" t="s">
        <v>8899</v>
      </c>
      <c r="AM5206" t="s">
        <v>78</v>
      </c>
      <c r="AN5206" t="s">
        <v>276</v>
      </c>
      <c r="AO5206" t="s">
        <v>1936</v>
      </c>
      <c r="AP5206" t="s">
        <v>1936</v>
      </c>
      <c r="AQ5206">
        <v>13</v>
      </c>
      <c r="AR5206" t="s">
        <v>80</v>
      </c>
      <c r="AS5206" t="s">
        <v>81</v>
      </c>
      <c r="AT5206" t="s">
        <v>58</v>
      </c>
      <c r="AU5206" t="s">
        <v>68</v>
      </c>
      <c r="AV5206" t="s">
        <v>69</v>
      </c>
      <c r="AW5206" s="1">
        <v>27856</v>
      </c>
      <c r="AX5206">
        <v>1</v>
      </c>
    </row>
    <row r="5207" spans="1:50">
      <c r="A5207">
        <v>601599</v>
      </c>
      <c r="B5207" t="str">
        <f>"110373466"</f>
        <v>110373466</v>
      </c>
      <c r="C5207" t="s">
        <v>105</v>
      </c>
      <c r="D5207" t="s">
        <v>9485</v>
      </c>
      <c r="E5207" t="s">
        <v>166</v>
      </c>
      <c r="F5207" t="s">
        <v>377</v>
      </c>
      <c r="G5207" t="s">
        <v>280</v>
      </c>
      <c r="H5207" t="str">
        <f>"ΕΚΤΕΛΕΣΘΕΝΤΩΝ ΟΜΗΡΩΝ 39Α ΣΗΤΕΙΑ"</f>
        <v>ΕΚΤΕΛΕΣΘΕΝΤΩΝ ΟΜΗΡΩΝ 39Α ΣΗΤΕΙΑ</v>
      </c>
      <c r="I5207">
        <v>72300</v>
      </c>
      <c r="J5207">
        <v>2843020414</v>
      </c>
      <c r="K5207">
        <v>6973262811</v>
      </c>
      <c r="L5207">
        <v>2843071606</v>
      </c>
      <c r="M5207" t="s">
        <v>9486</v>
      </c>
      <c r="N5207" t="s">
        <v>615</v>
      </c>
      <c r="O5207" t="s">
        <v>616</v>
      </c>
      <c r="R5207" t="s">
        <v>57</v>
      </c>
      <c r="S5207">
        <v>9</v>
      </c>
      <c r="T5207">
        <v>207</v>
      </c>
      <c r="U5207" s="1">
        <v>37866</v>
      </c>
      <c r="V5207" t="s">
        <v>80</v>
      </c>
      <c r="W5207" t="s">
        <v>81</v>
      </c>
      <c r="X5207" t="s">
        <v>58</v>
      </c>
      <c r="Y5207">
        <v>22</v>
      </c>
      <c r="Z5207" t="s">
        <v>59</v>
      </c>
      <c r="AA5207" t="s">
        <v>59</v>
      </c>
      <c r="AB5207" t="s">
        <v>59</v>
      </c>
      <c r="AC5207" t="s">
        <v>59</v>
      </c>
      <c r="AD5207" t="s">
        <v>59</v>
      </c>
      <c r="AF5207" s="1">
        <v>37866</v>
      </c>
      <c r="AG5207" t="s">
        <v>8645</v>
      </c>
      <c r="AH5207" t="s">
        <v>8646</v>
      </c>
      <c r="AI5207" t="str">
        <f>"9170431"</f>
        <v>9170431</v>
      </c>
      <c r="AJ5207" t="s">
        <v>8658</v>
      </c>
      <c r="AK5207">
        <v>2810250952</v>
      </c>
      <c r="AL5207" t="s">
        <v>8659</v>
      </c>
      <c r="AM5207" t="s">
        <v>78</v>
      </c>
      <c r="AN5207" t="s">
        <v>78</v>
      </c>
      <c r="AO5207" t="s">
        <v>78</v>
      </c>
      <c r="AP5207" t="s">
        <v>141</v>
      </c>
      <c r="AQ5207">
        <v>1</v>
      </c>
      <c r="AR5207" t="s">
        <v>80</v>
      </c>
      <c r="AS5207" t="s">
        <v>81</v>
      </c>
      <c r="AT5207" t="s">
        <v>58</v>
      </c>
      <c r="AU5207" t="s">
        <v>68</v>
      </c>
      <c r="AV5207" t="s">
        <v>69</v>
      </c>
      <c r="AW5207" s="1">
        <v>26131</v>
      </c>
      <c r="AX5207">
        <v>1</v>
      </c>
    </row>
    <row r="5208" spans="1:50">
      <c r="A5208">
        <v>577908</v>
      </c>
      <c r="B5208" t="str">
        <f>"034605840"</f>
        <v>034605840</v>
      </c>
      <c r="C5208" t="s">
        <v>105</v>
      </c>
      <c r="D5208" t="s">
        <v>9487</v>
      </c>
      <c r="E5208" t="s">
        <v>1679</v>
      </c>
      <c r="F5208" t="s">
        <v>72</v>
      </c>
      <c r="G5208" t="s">
        <v>83</v>
      </c>
      <c r="H5208" t="str">
        <f>" "</f>
        <v xml:space="preserve"> </v>
      </c>
      <c r="N5208" t="s">
        <v>615</v>
      </c>
      <c r="O5208" t="s">
        <v>616</v>
      </c>
      <c r="R5208" t="s">
        <v>57</v>
      </c>
      <c r="S5208">
        <v>13</v>
      </c>
      <c r="T5208">
        <v>165</v>
      </c>
      <c r="U5208" s="1">
        <v>35300</v>
      </c>
      <c r="V5208" t="s">
        <v>80</v>
      </c>
      <c r="W5208" t="s">
        <v>81</v>
      </c>
      <c r="X5208" t="s">
        <v>58</v>
      </c>
      <c r="Y5208">
        <v>21</v>
      </c>
      <c r="Z5208" t="s">
        <v>59</v>
      </c>
      <c r="AA5208" t="s">
        <v>59</v>
      </c>
      <c r="AB5208" t="s">
        <v>59</v>
      </c>
      <c r="AC5208" t="s">
        <v>59</v>
      </c>
      <c r="AD5208" t="s">
        <v>59</v>
      </c>
      <c r="AF5208" s="1">
        <v>35310</v>
      </c>
      <c r="AG5208" t="s">
        <v>8645</v>
      </c>
      <c r="AH5208" t="s">
        <v>8646</v>
      </c>
      <c r="AI5208" t="str">
        <f>"9170091"</f>
        <v>9170091</v>
      </c>
      <c r="AJ5208" t="s">
        <v>8764</v>
      </c>
      <c r="AK5208">
        <v>2810741381</v>
      </c>
      <c r="AL5208" t="s">
        <v>8765</v>
      </c>
      <c r="AM5208" t="s">
        <v>78</v>
      </c>
      <c r="AN5208" t="s">
        <v>424</v>
      </c>
      <c r="AO5208" t="s">
        <v>428</v>
      </c>
      <c r="AP5208" t="s">
        <v>8766</v>
      </c>
      <c r="AQ5208">
        <v>11</v>
      </c>
      <c r="AR5208" t="s">
        <v>80</v>
      </c>
      <c r="AS5208" t="s">
        <v>81</v>
      </c>
      <c r="AT5208" t="s">
        <v>58</v>
      </c>
      <c r="AU5208" t="s">
        <v>68</v>
      </c>
      <c r="AV5208" t="s">
        <v>69</v>
      </c>
      <c r="AW5208" s="1">
        <v>22478</v>
      </c>
      <c r="AX5208">
        <v>1</v>
      </c>
    </row>
    <row r="5209" spans="1:50">
      <c r="A5209">
        <v>570642</v>
      </c>
      <c r="B5209" t="str">
        <f>"036923180"</f>
        <v>036923180</v>
      </c>
      <c r="C5209" t="s">
        <v>50</v>
      </c>
      <c r="D5209" t="s">
        <v>9488</v>
      </c>
      <c r="E5209" t="s">
        <v>714</v>
      </c>
      <c r="F5209" t="s">
        <v>84</v>
      </c>
      <c r="G5209" t="s">
        <v>705</v>
      </c>
      <c r="H5209" t="str">
        <f>"ΜΠΕΛΙΒΑΣΑΚΗ 7 ΗΡΑΚΛΕΙΟ"</f>
        <v>ΜΠΕΛΙΒΑΣΑΚΗ 7 ΗΡΑΚΛΕΙΟ</v>
      </c>
      <c r="I5209">
        <v>70300</v>
      </c>
      <c r="K5209">
        <v>6977264960</v>
      </c>
      <c r="N5209" t="s">
        <v>615</v>
      </c>
      <c r="O5209" t="s">
        <v>616</v>
      </c>
      <c r="R5209" t="s">
        <v>57</v>
      </c>
      <c r="S5209">
        <v>13</v>
      </c>
      <c r="T5209">
        <v>138</v>
      </c>
      <c r="U5209" s="1">
        <v>34206</v>
      </c>
      <c r="V5209" t="s">
        <v>80</v>
      </c>
      <c r="W5209" t="s">
        <v>81</v>
      </c>
      <c r="X5209" t="s">
        <v>58</v>
      </c>
      <c r="Y5209">
        <v>21</v>
      </c>
      <c r="Z5209" t="s">
        <v>59</v>
      </c>
      <c r="AA5209" t="s">
        <v>59</v>
      </c>
      <c r="AB5209" t="s">
        <v>59</v>
      </c>
      <c r="AC5209" t="s">
        <v>59</v>
      </c>
      <c r="AD5209" t="s">
        <v>59</v>
      </c>
      <c r="AF5209" s="1">
        <v>34220</v>
      </c>
      <c r="AG5209" t="s">
        <v>8645</v>
      </c>
      <c r="AH5209" t="s">
        <v>8646</v>
      </c>
      <c r="AI5209" t="str">
        <f>"9170561"</f>
        <v>9170561</v>
      </c>
      <c r="AJ5209" t="s">
        <v>8708</v>
      </c>
      <c r="AK5209">
        <v>2891023609</v>
      </c>
      <c r="AL5209" t="s">
        <v>8709</v>
      </c>
      <c r="AM5209" t="s">
        <v>78</v>
      </c>
      <c r="AN5209" t="s">
        <v>276</v>
      </c>
      <c r="AO5209" t="s">
        <v>490</v>
      </c>
      <c r="AP5209" t="s">
        <v>490</v>
      </c>
      <c r="AQ5209">
        <v>12</v>
      </c>
      <c r="AR5209" t="s">
        <v>80</v>
      </c>
      <c r="AS5209" t="s">
        <v>81</v>
      </c>
      <c r="AT5209" t="s">
        <v>58</v>
      </c>
      <c r="AU5209" t="s">
        <v>68</v>
      </c>
      <c r="AV5209" t="s">
        <v>69</v>
      </c>
      <c r="AW5209" s="1">
        <v>24398</v>
      </c>
      <c r="AX5209">
        <v>1</v>
      </c>
    </row>
    <row r="5210" spans="1:50">
      <c r="A5210">
        <v>561255</v>
      </c>
      <c r="B5210" t="str">
        <f>"033856003"</f>
        <v>033856003</v>
      </c>
      <c r="C5210" t="s">
        <v>50</v>
      </c>
      <c r="D5210" t="s">
        <v>9489</v>
      </c>
      <c r="E5210" t="s">
        <v>545</v>
      </c>
      <c r="F5210" t="s">
        <v>106</v>
      </c>
      <c r="G5210" t="s">
        <v>52</v>
      </c>
      <c r="H5210" t="str">
        <f>"ΠΥΡΑΝΘΟΥ 4 ΗΡΑΚΛΕΙΟ"</f>
        <v>ΠΥΡΑΝΘΟΥ 4 ΗΡΑΚΛΕΙΟ</v>
      </c>
      <c r="I5210">
        <v>71305</v>
      </c>
      <c r="J5210">
        <v>2810260380</v>
      </c>
      <c r="K5210">
        <v>6944721118</v>
      </c>
      <c r="M5210" t="s">
        <v>9490</v>
      </c>
      <c r="N5210" t="s">
        <v>615</v>
      </c>
      <c r="O5210" t="s">
        <v>616</v>
      </c>
      <c r="R5210" t="s">
        <v>57</v>
      </c>
      <c r="S5210">
        <v>15</v>
      </c>
      <c r="T5210">
        <v>159</v>
      </c>
      <c r="U5210" s="1">
        <v>32385</v>
      </c>
      <c r="V5210" t="s">
        <v>80</v>
      </c>
      <c r="W5210" t="s">
        <v>81</v>
      </c>
      <c r="X5210" t="s">
        <v>58</v>
      </c>
      <c r="Y5210">
        <v>21</v>
      </c>
      <c r="Z5210" t="s">
        <v>59</v>
      </c>
      <c r="AA5210" t="s">
        <v>59</v>
      </c>
      <c r="AB5210" t="s">
        <v>59</v>
      </c>
      <c r="AC5210" t="s">
        <v>59</v>
      </c>
      <c r="AD5210" t="s">
        <v>59</v>
      </c>
      <c r="AF5210" s="1">
        <v>32387</v>
      </c>
      <c r="AG5210" t="s">
        <v>8645</v>
      </c>
      <c r="AH5210" t="s">
        <v>8646</v>
      </c>
      <c r="AI5210" t="str">
        <f>"9170546"</f>
        <v>9170546</v>
      </c>
      <c r="AJ5210" t="s">
        <v>8953</v>
      </c>
      <c r="AK5210">
        <v>2810261362</v>
      </c>
      <c r="AL5210" t="s">
        <v>8954</v>
      </c>
      <c r="AM5210" t="s">
        <v>78</v>
      </c>
      <c r="AN5210" t="s">
        <v>78</v>
      </c>
      <c r="AO5210" t="s">
        <v>78</v>
      </c>
      <c r="AP5210" t="s">
        <v>141</v>
      </c>
      <c r="AQ5210">
        <v>1</v>
      </c>
      <c r="AR5210" t="s">
        <v>80</v>
      </c>
      <c r="AS5210" t="s">
        <v>81</v>
      </c>
      <c r="AT5210" t="s">
        <v>58</v>
      </c>
      <c r="AU5210" t="s">
        <v>68</v>
      </c>
      <c r="AV5210" t="s">
        <v>69</v>
      </c>
      <c r="AW5210" s="1">
        <v>23810</v>
      </c>
      <c r="AX5210">
        <v>1</v>
      </c>
    </row>
    <row r="5211" spans="1:50">
      <c r="A5211">
        <v>580174</v>
      </c>
      <c r="B5211" t="str">
        <f>"038568020"</f>
        <v>038568020</v>
      </c>
      <c r="C5211" t="s">
        <v>50</v>
      </c>
      <c r="D5211" t="s">
        <v>1221</v>
      </c>
      <c r="E5211" t="s">
        <v>237</v>
      </c>
      <c r="F5211" t="s">
        <v>154</v>
      </c>
      <c r="G5211" t="s">
        <v>52</v>
      </c>
      <c r="H5211" t="str">
        <f>" "</f>
        <v xml:space="preserve"> </v>
      </c>
      <c r="N5211" t="s">
        <v>306</v>
      </c>
      <c r="O5211" t="s">
        <v>307</v>
      </c>
      <c r="R5211" t="s">
        <v>57</v>
      </c>
      <c r="S5211">
        <v>11</v>
      </c>
      <c r="T5211">
        <v>166</v>
      </c>
      <c r="U5211" s="1">
        <v>35300</v>
      </c>
      <c r="V5211" t="s">
        <v>80</v>
      </c>
      <c r="W5211" t="s">
        <v>81</v>
      </c>
      <c r="X5211" t="s">
        <v>58</v>
      </c>
      <c r="Y5211">
        <v>21</v>
      </c>
      <c r="Z5211" t="s">
        <v>59</v>
      </c>
      <c r="AA5211" t="s">
        <v>59</v>
      </c>
      <c r="AB5211" t="s">
        <v>59</v>
      </c>
      <c r="AC5211" t="s">
        <v>59</v>
      </c>
      <c r="AD5211" t="s">
        <v>59</v>
      </c>
      <c r="AF5211" s="1">
        <v>35310</v>
      </c>
      <c r="AG5211" t="s">
        <v>8645</v>
      </c>
      <c r="AH5211" t="s">
        <v>8646</v>
      </c>
      <c r="AI5211" t="str">
        <f>"9170255"</f>
        <v>9170255</v>
      </c>
      <c r="AJ5211" t="s">
        <v>8915</v>
      </c>
      <c r="AK5211">
        <v>2810220750</v>
      </c>
      <c r="AL5211" t="s">
        <v>8916</v>
      </c>
      <c r="AM5211" t="s">
        <v>78</v>
      </c>
      <c r="AN5211" t="s">
        <v>78</v>
      </c>
      <c r="AO5211" t="s">
        <v>78</v>
      </c>
      <c r="AP5211" t="s">
        <v>213</v>
      </c>
      <c r="AQ5211">
        <v>1</v>
      </c>
      <c r="AR5211" t="s">
        <v>80</v>
      </c>
      <c r="AS5211" t="s">
        <v>81</v>
      </c>
      <c r="AT5211" t="s">
        <v>58</v>
      </c>
      <c r="AU5211" t="s">
        <v>68</v>
      </c>
      <c r="AV5211" t="s">
        <v>69</v>
      </c>
      <c r="AW5211" s="1">
        <v>24327</v>
      </c>
      <c r="AX5211">
        <v>1</v>
      </c>
    </row>
    <row r="5212" spans="1:50">
      <c r="A5212">
        <v>604142</v>
      </c>
      <c r="B5212" t="str">
        <f>"110123686"</f>
        <v>110123686</v>
      </c>
      <c r="C5212" t="s">
        <v>50</v>
      </c>
      <c r="D5212" t="s">
        <v>1221</v>
      </c>
      <c r="E5212" t="s">
        <v>237</v>
      </c>
      <c r="F5212" t="s">
        <v>6844</v>
      </c>
      <c r="G5212" t="s">
        <v>143</v>
      </c>
      <c r="H5212" t="str">
        <f>"ΑΝΑΛΗΨΗ  ΧΕΡΣΟΝΗΣΟΥ"</f>
        <v>ΑΝΑΛΗΨΗ  ΧΕΡΣΟΝΗΣΟΥ</v>
      </c>
      <c r="I5212">
        <v>70014</v>
      </c>
      <c r="J5212">
        <v>2897024897</v>
      </c>
      <c r="K5212">
        <v>6942790849</v>
      </c>
      <c r="M5212" t="s">
        <v>9491</v>
      </c>
      <c r="N5212" t="s">
        <v>615</v>
      </c>
      <c r="O5212" t="s">
        <v>616</v>
      </c>
      <c r="R5212" t="s">
        <v>57</v>
      </c>
      <c r="S5212">
        <v>8</v>
      </c>
      <c r="T5212" t="s">
        <v>9492</v>
      </c>
      <c r="U5212" s="1">
        <v>38297</v>
      </c>
      <c r="V5212" t="s">
        <v>80</v>
      </c>
      <c r="W5212" t="s">
        <v>81</v>
      </c>
      <c r="X5212" t="s">
        <v>58</v>
      </c>
      <c r="Y5212">
        <v>22</v>
      </c>
      <c r="Z5212" t="s">
        <v>59</v>
      </c>
      <c r="AA5212" t="s">
        <v>59</v>
      </c>
      <c r="AB5212" t="s">
        <v>59</v>
      </c>
      <c r="AC5212" t="s">
        <v>59</v>
      </c>
      <c r="AD5212" t="s">
        <v>59</v>
      </c>
      <c r="AF5212" s="1">
        <v>38297</v>
      </c>
      <c r="AG5212" t="s">
        <v>8645</v>
      </c>
      <c r="AH5212" t="s">
        <v>8646</v>
      </c>
      <c r="AI5212" t="str">
        <f>"9521015"</f>
        <v>9521015</v>
      </c>
      <c r="AJ5212" t="s">
        <v>8927</v>
      </c>
      <c r="AK5212">
        <v>2897029138</v>
      </c>
      <c r="AL5212" t="s">
        <v>8928</v>
      </c>
      <c r="AM5212" t="s">
        <v>78</v>
      </c>
      <c r="AN5212" t="s">
        <v>219</v>
      </c>
      <c r="AO5212" t="s">
        <v>219</v>
      </c>
      <c r="AP5212" t="s">
        <v>220</v>
      </c>
      <c r="AQ5212">
        <v>8</v>
      </c>
      <c r="AR5212" t="s">
        <v>80</v>
      </c>
      <c r="AS5212" t="s">
        <v>81</v>
      </c>
      <c r="AT5212" t="s">
        <v>58</v>
      </c>
      <c r="AU5212" t="s">
        <v>68</v>
      </c>
      <c r="AV5212" t="s">
        <v>69</v>
      </c>
      <c r="AW5212" s="1">
        <v>27418</v>
      </c>
      <c r="AX5212">
        <v>1</v>
      </c>
    </row>
    <row r="5213" spans="1:50">
      <c r="A5213">
        <v>582498</v>
      </c>
      <c r="B5213" t="str">
        <f>"074856591"</f>
        <v>074856591</v>
      </c>
      <c r="C5213" t="s">
        <v>50</v>
      </c>
      <c r="D5213" t="s">
        <v>1221</v>
      </c>
      <c r="E5213" t="s">
        <v>476</v>
      </c>
      <c r="F5213" t="s">
        <v>95</v>
      </c>
      <c r="G5213" t="s">
        <v>237</v>
      </c>
      <c r="H5213" t="str">
        <f>" "</f>
        <v xml:space="preserve"> </v>
      </c>
      <c r="N5213" t="s">
        <v>615</v>
      </c>
      <c r="O5213" t="s">
        <v>616</v>
      </c>
      <c r="R5213" t="s">
        <v>57</v>
      </c>
      <c r="S5213">
        <v>11</v>
      </c>
      <c r="T5213">
        <v>179</v>
      </c>
      <c r="U5213" s="1">
        <v>35674</v>
      </c>
      <c r="V5213" t="s">
        <v>80</v>
      </c>
      <c r="W5213" t="s">
        <v>81</v>
      </c>
      <c r="X5213" t="s">
        <v>58</v>
      </c>
      <c r="Y5213">
        <v>21</v>
      </c>
      <c r="Z5213" t="s">
        <v>59</v>
      </c>
      <c r="AA5213" t="s">
        <v>59</v>
      </c>
      <c r="AB5213" t="s">
        <v>59</v>
      </c>
      <c r="AC5213" t="s">
        <v>59</v>
      </c>
      <c r="AD5213" t="s">
        <v>59</v>
      </c>
      <c r="AF5213" s="1">
        <v>35677</v>
      </c>
      <c r="AG5213" t="s">
        <v>8645</v>
      </c>
      <c r="AH5213" t="s">
        <v>8646</v>
      </c>
      <c r="AI5213" t="str">
        <f>"9170206"</f>
        <v>9170206</v>
      </c>
      <c r="AJ5213" t="s">
        <v>8972</v>
      </c>
      <c r="AK5213">
        <v>2810761137</v>
      </c>
      <c r="AL5213" t="s">
        <v>8973</v>
      </c>
      <c r="AM5213" t="s">
        <v>78</v>
      </c>
      <c r="AN5213" t="s">
        <v>219</v>
      </c>
      <c r="AO5213" t="s">
        <v>297</v>
      </c>
      <c r="AP5213" t="s">
        <v>8796</v>
      </c>
      <c r="AQ5213">
        <v>7</v>
      </c>
      <c r="AR5213" t="s">
        <v>80</v>
      </c>
      <c r="AS5213" t="s">
        <v>81</v>
      </c>
      <c r="AT5213" t="s">
        <v>58</v>
      </c>
      <c r="AU5213" t="s">
        <v>68</v>
      </c>
      <c r="AV5213" t="s">
        <v>69</v>
      </c>
      <c r="AW5213" s="1">
        <v>25154</v>
      </c>
      <c r="AX5213">
        <v>1</v>
      </c>
    </row>
    <row r="5214" spans="1:50">
      <c r="A5214">
        <v>613241</v>
      </c>
      <c r="B5214" t="str">
        <f>"131487772"</f>
        <v>131487772</v>
      </c>
      <c r="C5214" t="s">
        <v>50</v>
      </c>
      <c r="D5214" t="s">
        <v>1221</v>
      </c>
      <c r="E5214" t="s">
        <v>727</v>
      </c>
      <c r="F5214" t="s">
        <v>72</v>
      </c>
      <c r="G5214" t="s">
        <v>255</v>
      </c>
      <c r="H5214" t="str">
        <f>"ΟΔΗΓΗΤΡΙΑΣ 19 ΜΟΙΡΕΣ ΗΡΑΚΛΕΙΟΥ"</f>
        <v>ΟΔΗΓΗΤΡΙΑΣ 19 ΜΟΙΡΕΣ ΗΡΑΚΛΕΙΟΥ</v>
      </c>
      <c r="I5214">
        <v>70400</v>
      </c>
      <c r="J5214">
        <v>2892023396</v>
      </c>
      <c r="K5214">
        <v>6972376644</v>
      </c>
      <c r="M5214" t="s">
        <v>9493</v>
      </c>
      <c r="N5214" t="s">
        <v>615</v>
      </c>
      <c r="O5214" t="s">
        <v>616</v>
      </c>
      <c r="R5214" t="s">
        <v>57</v>
      </c>
      <c r="S5214">
        <v>6</v>
      </c>
      <c r="T5214">
        <v>598</v>
      </c>
      <c r="U5214" s="1">
        <v>39328</v>
      </c>
      <c r="V5214" t="s">
        <v>80</v>
      </c>
      <c r="W5214" t="s">
        <v>81</v>
      </c>
      <c r="X5214" t="s">
        <v>58</v>
      </c>
      <c r="Y5214">
        <v>23</v>
      </c>
      <c r="Z5214" t="s">
        <v>59</v>
      </c>
      <c r="AA5214" t="s">
        <v>59</v>
      </c>
      <c r="AB5214" t="s">
        <v>59</v>
      </c>
      <c r="AC5214" t="s">
        <v>59</v>
      </c>
      <c r="AD5214" t="s">
        <v>59</v>
      </c>
      <c r="AF5214" s="1">
        <v>39328</v>
      </c>
      <c r="AG5214" t="s">
        <v>8645</v>
      </c>
      <c r="AH5214" t="s">
        <v>8646</v>
      </c>
      <c r="AI5214" t="str">
        <f>"9170268"</f>
        <v>9170268</v>
      </c>
      <c r="AJ5214" t="s">
        <v>9301</v>
      </c>
      <c r="AK5214">
        <v>2892022710</v>
      </c>
      <c r="AL5214" t="s">
        <v>9302</v>
      </c>
      <c r="AM5214" t="s">
        <v>78</v>
      </c>
      <c r="AN5214" t="s">
        <v>242</v>
      </c>
      <c r="AO5214" t="s">
        <v>243</v>
      </c>
      <c r="AP5214" t="s">
        <v>243</v>
      </c>
      <c r="AQ5214">
        <v>20</v>
      </c>
      <c r="AR5214" t="s">
        <v>80</v>
      </c>
      <c r="AS5214" t="s">
        <v>81</v>
      </c>
      <c r="AT5214" t="s">
        <v>58</v>
      </c>
      <c r="AU5214" t="s">
        <v>68</v>
      </c>
      <c r="AV5214" t="s">
        <v>69</v>
      </c>
      <c r="AW5214" s="1">
        <v>30196</v>
      </c>
      <c r="AX5214">
        <v>1</v>
      </c>
    </row>
    <row r="5215" spans="1:50">
      <c r="A5215">
        <v>617253</v>
      </c>
      <c r="B5215" t="str">
        <f>"116669842"</f>
        <v>116669842</v>
      </c>
      <c r="C5215" t="s">
        <v>50</v>
      </c>
      <c r="D5215" t="s">
        <v>1221</v>
      </c>
      <c r="E5215" t="s">
        <v>263</v>
      </c>
      <c r="F5215" t="s">
        <v>154</v>
      </c>
      <c r="G5215" t="s">
        <v>83</v>
      </c>
      <c r="H5215" t="str">
        <f>"Ε. Μεταξάκη   4 Νέα  Αλικαρνασσός "</f>
        <v xml:space="preserve">Ε. Μεταξάκη   4 Νέα  Αλικαρνασσός </v>
      </c>
      <c r="I5215">
        <v>71601</v>
      </c>
      <c r="J5215">
        <v>2891031506</v>
      </c>
      <c r="K5215">
        <v>6973451735</v>
      </c>
      <c r="N5215" t="s">
        <v>615</v>
      </c>
      <c r="O5215" t="s">
        <v>616</v>
      </c>
      <c r="R5215" t="s">
        <v>57</v>
      </c>
      <c r="S5215">
        <v>6</v>
      </c>
      <c r="T5215">
        <v>774</v>
      </c>
      <c r="U5215" s="1">
        <v>39681</v>
      </c>
      <c r="V5215" t="s">
        <v>80</v>
      </c>
      <c r="W5215" t="s">
        <v>81</v>
      </c>
      <c r="X5215" t="s">
        <v>58</v>
      </c>
      <c r="Y5215">
        <v>23</v>
      </c>
      <c r="Z5215" t="s">
        <v>59</v>
      </c>
      <c r="AA5215" t="s">
        <v>59</v>
      </c>
      <c r="AB5215" t="s">
        <v>59</v>
      </c>
      <c r="AC5215" t="s">
        <v>59</v>
      </c>
      <c r="AD5215" t="s">
        <v>59</v>
      </c>
      <c r="AF5215" s="1">
        <v>39681</v>
      </c>
      <c r="AG5215" t="s">
        <v>8645</v>
      </c>
      <c r="AH5215" t="s">
        <v>8646</v>
      </c>
      <c r="AI5215" t="str">
        <f>"9170427"</f>
        <v>9170427</v>
      </c>
      <c r="AJ5215" t="s">
        <v>8817</v>
      </c>
      <c r="AK5215">
        <v>2810220998</v>
      </c>
      <c r="AL5215" t="s">
        <v>8818</v>
      </c>
      <c r="AM5215" t="s">
        <v>78</v>
      </c>
      <c r="AN5215" t="s">
        <v>78</v>
      </c>
      <c r="AO5215" t="s">
        <v>286</v>
      </c>
      <c r="AP5215" t="s">
        <v>286</v>
      </c>
      <c r="AQ5215">
        <v>1</v>
      </c>
      <c r="AR5215" t="s">
        <v>80</v>
      </c>
      <c r="AS5215" t="s">
        <v>81</v>
      </c>
      <c r="AT5215" t="s">
        <v>58</v>
      </c>
      <c r="AU5215" t="s">
        <v>68</v>
      </c>
      <c r="AV5215" t="s">
        <v>69</v>
      </c>
      <c r="AW5215" s="1">
        <v>30511</v>
      </c>
      <c r="AX5215">
        <v>1</v>
      </c>
    </row>
    <row r="5216" spans="1:50">
      <c r="A5216">
        <v>602295</v>
      </c>
      <c r="B5216" t="str">
        <f>"065416551"</f>
        <v>065416551</v>
      </c>
      <c r="C5216" t="s">
        <v>50</v>
      </c>
      <c r="D5216" t="s">
        <v>1221</v>
      </c>
      <c r="E5216" t="s">
        <v>143</v>
      </c>
      <c r="F5216" t="s">
        <v>99</v>
      </c>
      <c r="G5216" t="s">
        <v>96</v>
      </c>
      <c r="H5216" t="str">
        <f>"ΑΡΧ. ΕΥΓΕΝΙΟΥ &amp; ΟΙΚΟΝΟΜΙΔΗ 1 ΗΡΑΚΛΕΙΟΥ"</f>
        <v>ΑΡΧ. ΕΥΓΕΝΙΟΥ &amp; ΟΙΚΟΝΟΜΙΔΗ 1 ΗΡΑΚΛΕΙΟΥ</v>
      </c>
      <c r="J5216">
        <v>2106829411</v>
      </c>
      <c r="K5216">
        <v>6936979072</v>
      </c>
      <c r="N5216" t="s">
        <v>615</v>
      </c>
      <c r="O5216" t="s">
        <v>616</v>
      </c>
      <c r="R5216" t="s">
        <v>57</v>
      </c>
      <c r="S5216">
        <v>10</v>
      </c>
      <c r="T5216">
        <v>207</v>
      </c>
      <c r="U5216" s="1">
        <v>37502</v>
      </c>
      <c r="V5216" t="s">
        <v>80</v>
      </c>
      <c r="W5216" t="s">
        <v>81</v>
      </c>
      <c r="X5216" t="s">
        <v>58</v>
      </c>
      <c r="Y5216">
        <v>22</v>
      </c>
      <c r="Z5216" t="s">
        <v>59</v>
      </c>
      <c r="AA5216" t="s">
        <v>59</v>
      </c>
      <c r="AB5216" t="s">
        <v>59</v>
      </c>
      <c r="AC5216" t="s">
        <v>59</v>
      </c>
      <c r="AD5216" t="s">
        <v>59</v>
      </c>
      <c r="AF5216" s="1">
        <v>37866</v>
      </c>
      <c r="AG5216" t="s">
        <v>8645</v>
      </c>
      <c r="AH5216" t="s">
        <v>8646</v>
      </c>
      <c r="AI5216" t="str">
        <f>"9170034"</f>
        <v>9170034</v>
      </c>
      <c r="AJ5216" t="s">
        <v>9179</v>
      </c>
      <c r="AK5216">
        <v>2810841217</v>
      </c>
      <c r="AL5216" t="s">
        <v>9180</v>
      </c>
      <c r="AM5216" t="s">
        <v>78</v>
      </c>
      <c r="AN5216" t="s">
        <v>129</v>
      </c>
      <c r="AO5216" t="s">
        <v>130</v>
      </c>
      <c r="AP5216" t="s">
        <v>9181</v>
      </c>
      <c r="AQ5216">
        <v>2</v>
      </c>
      <c r="AR5216" t="s">
        <v>80</v>
      </c>
      <c r="AS5216" t="s">
        <v>81</v>
      </c>
      <c r="AT5216" t="s">
        <v>58</v>
      </c>
      <c r="AU5216" t="s">
        <v>68</v>
      </c>
      <c r="AV5216" t="s">
        <v>69</v>
      </c>
      <c r="AW5216" s="1">
        <v>28300</v>
      </c>
      <c r="AX5216">
        <v>1</v>
      </c>
    </row>
    <row r="5217" spans="1:50">
      <c r="B5217" t="str">
        <f>"124499707"</f>
        <v>124499707</v>
      </c>
      <c r="C5217" t="s">
        <v>50</v>
      </c>
      <c r="D5217" t="s">
        <v>1221</v>
      </c>
      <c r="E5217" t="s">
        <v>2845</v>
      </c>
      <c r="F5217" t="s">
        <v>989</v>
      </c>
      <c r="G5217" t="s">
        <v>255</v>
      </c>
      <c r="H5217" t="str">
        <f>"Π.ΓΑΒΒΑΛΑ 45 ΗΡΑΚΛΕΙΟ"</f>
        <v>Π.ΓΑΒΒΑΛΑ 45 ΗΡΑΚΛΕΙΟ</v>
      </c>
      <c r="I5217">
        <v>71409</v>
      </c>
      <c r="J5217">
        <v>2810232467</v>
      </c>
      <c r="K5217">
        <v>6942271557</v>
      </c>
      <c r="N5217" t="s">
        <v>1525</v>
      </c>
      <c r="O5217" t="s">
        <v>1526</v>
      </c>
      <c r="R5217" t="s">
        <v>159</v>
      </c>
      <c r="S5217">
        <v>1</v>
      </c>
      <c r="T5217" t="s">
        <v>8670</v>
      </c>
      <c r="U5217" s="1">
        <v>43348</v>
      </c>
      <c r="V5217" t="s">
        <v>80</v>
      </c>
      <c r="W5217" t="s">
        <v>81</v>
      </c>
      <c r="X5217" t="s">
        <v>58</v>
      </c>
      <c r="Y5217">
        <v>25</v>
      </c>
      <c r="Z5217" t="s">
        <v>59</v>
      </c>
      <c r="AA5217" t="s">
        <v>59</v>
      </c>
      <c r="AB5217" t="s">
        <v>59</v>
      </c>
      <c r="AC5217" t="s">
        <v>59</v>
      </c>
      <c r="AD5217" t="s">
        <v>59</v>
      </c>
      <c r="AF5217" s="1">
        <v>43348</v>
      </c>
      <c r="AG5217" t="s">
        <v>8651</v>
      </c>
      <c r="AH5217" t="s">
        <v>8652</v>
      </c>
      <c r="AI5217" t="str">
        <f>"9170434"</f>
        <v>9170434</v>
      </c>
      <c r="AJ5217" t="s">
        <v>9494</v>
      </c>
      <c r="AK5217">
        <v>2894051380</v>
      </c>
      <c r="AL5217" t="s">
        <v>9495</v>
      </c>
      <c r="AM5217" t="s">
        <v>78</v>
      </c>
      <c r="AN5217" t="s">
        <v>424</v>
      </c>
      <c r="AO5217" t="s">
        <v>428</v>
      </c>
      <c r="AP5217" t="s">
        <v>8876</v>
      </c>
      <c r="AQ5217">
        <v>9</v>
      </c>
      <c r="AR5217" t="s">
        <v>80</v>
      </c>
      <c r="AS5217" t="s">
        <v>81</v>
      </c>
      <c r="AT5217" t="s">
        <v>58</v>
      </c>
      <c r="AU5217" t="s">
        <v>8673</v>
      </c>
      <c r="AV5217" t="s">
        <v>132</v>
      </c>
      <c r="AW5217" s="1">
        <v>28744</v>
      </c>
      <c r="AX5217">
        <v>1</v>
      </c>
    </row>
    <row r="5218" spans="1:50">
      <c r="A5218">
        <v>585804</v>
      </c>
      <c r="B5218" t="str">
        <f>"036633728"</f>
        <v>036633728</v>
      </c>
      <c r="C5218" t="s">
        <v>50</v>
      </c>
      <c r="D5218" t="s">
        <v>1221</v>
      </c>
      <c r="E5218" t="s">
        <v>255</v>
      </c>
      <c r="F5218" t="s">
        <v>72</v>
      </c>
      <c r="G5218" t="s">
        <v>580</v>
      </c>
      <c r="H5218" t="str">
        <f>"ΔΡΑΜΟΥΝΤΑΝΗ 10 ΗΡΑΚΛΕΙΟ"</f>
        <v>ΔΡΑΜΟΥΝΤΑΝΗ 10 ΗΡΑΚΛΕΙΟ</v>
      </c>
      <c r="I5218">
        <v>71304</v>
      </c>
      <c r="J5218">
        <v>2810371135</v>
      </c>
      <c r="K5218">
        <v>6978648158</v>
      </c>
      <c r="M5218" t="s">
        <v>9496</v>
      </c>
      <c r="N5218" t="s">
        <v>615</v>
      </c>
      <c r="O5218" t="s">
        <v>616</v>
      </c>
      <c r="R5218" t="s">
        <v>57</v>
      </c>
      <c r="S5218">
        <v>11</v>
      </c>
      <c r="T5218">
        <v>165</v>
      </c>
      <c r="U5218" s="1">
        <v>36040</v>
      </c>
      <c r="V5218" t="s">
        <v>80</v>
      </c>
      <c r="W5218" t="s">
        <v>81</v>
      </c>
      <c r="X5218" t="s">
        <v>58</v>
      </c>
      <c r="Y5218">
        <v>21</v>
      </c>
      <c r="Z5218" t="s">
        <v>59</v>
      </c>
      <c r="AA5218" t="s">
        <v>59</v>
      </c>
      <c r="AB5218" t="s">
        <v>59</v>
      </c>
      <c r="AC5218" t="s">
        <v>59</v>
      </c>
      <c r="AD5218" t="s">
        <v>59</v>
      </c>
      <c r="AF5218" s="1">
        <v>36042</v>
      </c>
      <c r="AG5218" t="s">
        <v>8645</v>
      </c>
      <c r="AH5218" t="s">
        <v>8646</v>
      </c>
      <c r="AI5218" t="str">
        <f>"9170547"</f>
        <v>9170547</v>
      </c>
      <c r="AJ5218" t="s">
        <v>9175</v>
      </c>
      <c r="AK5218">
        <v>2810250886</v>
      </c>
      <c r="AL5218" t="s">
        <v>9176</v>
      </c>
      <c r="AM5218" t="s">
        <v>78</v>
      </c>
      <c r="AN5218" t="s">
        <v>78</v>
      </c>
      <c r="AO5218" t="s">
        <v>78</v>
      </c>
      <c r="AP5218" t="s">
        <v>141</v>
      </c>
      <c r="AQ5218">
        <v>1</v>
      </c>
      <c r="AR5218" t="s">
        <v>80</v>
      </c>
      <c r="AS5218" t="s">
        <v>81</v>
      </c>
      <c r="AT5218" t="s">
        <v>58</v>
      </c>
      <c r="AU5218" t="s">
        <v>68</v>
      </c>
      <c r="AV5218" t="s">
        <v>69</v>
      </c>
      <c r="AW5218" s="1">
        <v>24783</v>
      </c>
      <c r="AX5218">
        <v>1</v>
      </c>
    </row>
    <row r="5219" spans="1:50">
      <c r="A5219">
        <v>203024</v>
      </c>
      <c r="B5219" t="str">
        <f>"103522763"</f>
        <v>103522763</v>
      </c>
      <c r="C5219" t="s">
        <v>50</v>
      </c>
      <c r="D5219" t="s">
        <v>1221</v>
      </c>
      <c r="E5219" t="s">
        <v>1448</v>
      </c>
      <c r="F5219" t="s">
        <v>1229</v>
      </c>
      <c r="G5219" t="s">
        <v>237</v>
      </c>
      <c r="H5219" t="str">
        <f>"Δ. ΣΟΛΩΜΟΥ 11 ΗΡΑΚΛΕΙΟΥ"</f>
        <v>Δ. ΣΟΛΩΜΟΥ 11 ΗΡΑΚΛΕΙΟΥ</v>
      </c>
      <c r="I5219">
        <v>71306</v>
      </c>
      <c r="J5219">
        <v>2810230151</v>
      </c>
      <c r="K5219">
        <v>6932156313</v>
      </c>
      <c r="M5219" t="s">
        <v>9497</v>
      </c>
      <c r="N5219" t="s">
        <v>478</v>
      </c>
      <c r="O5219" t="s">
        <v>479</v>
      </c>
      <c r="R5219" t="s">
        <v>57</v>
      </c>
      <c r="S5219">
        <v>9</v>
      </c>
      <c r="T5219">
        <v>231</v>
      </c>
      <c r="U5219" s="1">
        <v>38230</v>
      </c>
      <c r="V5219" t="s">
        <v>80</v>
      </c>
      <c r="W5219" t="s">
        <v>81</v>
      </c>
      <c r="X5219" t="s">
        <v>58</v>
      </c>
      <c r="Y5219">
        <v>23</v>
      </c>
      <c r="Z5219" t="s">
        <v>59</v>
      </c>
      <c r="AA5219" t="s">
        <v>59</v>
      </c>
      <c r="AB5219" t="s">
        <v>59</v>
      </c>
      <c r="AC5219" t="s">
        <v>59</v>
      </c>
      <c r="AD5219" t="s">
        <v>59</v>
      </c>
      <c r="AF5219" s="1">
        <v>38232</v>
      </c>
      <c r="AG5219" t="s">
        <v>8645</v>
      </c>
      <c r="AH5219" t="s">
        <v>8646</v>
      </c>
      <c r="AI5219" t="str">
        <f>"9170425"</f>
        <v>9170425</v>
      </c>
      <c r="AJ5219" t="s">
        <v>9350</v>
      </c>
      <c r="AK5219">
        <v>2810250261</v>
      </c>
      <c r="AL5219" t="s">
        <v>9351</v>
      </c>
      <c r="AM5219" t="s">
        <v>78</v>
      </c>
      <c r="AN5219" t="s">
        <v>78</v>
      </c>
      <c r="AO5219" t="s">
        <v>78</v>
      </c>
      <c r="AP5219" t="s">
        <v>141</v>
      </c>
      <c r="AQ5219">
        <v>1</v>
      </c>
      <c r="AR5219" t="s">
        <v>80</v>
      </c>
      <c r="AS5219" t="s">
        <v>81</v>
      </c>
      <c r="AT5219" t="s">
        <v>58</v>
      </c>
      <c r="AU5219" t="s">
        <v>68</v>
      </c>
      <c r="AV5219" t="s">
        <v>69</v>
      </c>
      <c r="AW5219" s="1">
        <v>27610</v>
      </c>
      <c r="AX5219">
        <v>1</v>
      </c>
    </row>
    <row r="5220" spans="1:50">
      <c r="A5220">
        <v>622199</v>
      </c>
      <c r="B5220" t="str">
        <f>"053957223"</f>
        <v>053957223</v>
      </c>
      <c r="C5220" t="s">
        <v>50</v>
      </c>
      <c r="D5220" t="s">
        <v>1221</v>
      </c>
      <c r="E5220" t="s">
        <v>114</v>
      </c>
      <c r="F5220" t="s">
        <v>72</v>
      </c>
      <c r="G5220" t="s">
        <v>83</v>
      </c>
      <c r="H5220" t="str">
        <f>"ΠΕΤΡΟΚΕΦΑΛΙ ΗΡΑΚΛΕΙΟΥ ΚΡΗΤΗ ΗΡΑΚΛΕΙΟ"</f>
        <v>ΠΕΤΡΟΚΕΦΑΛΙ ΗΡΑΚΛΕΙΟΥ ΚΡΗΤΗ ΗΡΑΚΛΕΙΟ</v>
      </c>
      <c r="I5220">
        <v>70400</v>
      </c>
      <c r="J5220">
        <v>2892042330</v>
      </c>
      <c r="K5220">
        <v>6977266841</v>
      </c>
      <c r="N5220" t="s">
        <v>1525</v>
      </c>
      <c r="O5220" t="s">
        <v>1526</v>
      </c>
      <c r="R5220" t="s">
        <v>57</v>
      </c>
      <c r="S5220">
        <v>6</v>
      </c>
      <c r="T5220">
        <v>653</v>
      </c>
      <c r="U5220" s="1">
        <v>40043</v>
      </c>
      <c r="V5220" t="s">
        <v>80</v>
      </c>
      <c r="W5220" t="s">
        <v>81</v>
      </c>
      <c r="X5220" t="s">
        <v>58</v>
      </c>
      <c r="Y5220">
        <v>25</v>
      </c>
      <c r="Z5220" t="s">
        <v>59</v>
      </c>
      <c r="AA5220" t="s">
        <v>59</v>
      </c>
      <c r="AB5220" t="s">
        <v>59</v>
      </c>
      <c r="AC5220" t="s">
        <v>59</v>
      </c>
      <c r="AD5220" t="s">
        <v>59</v>
      </c>
      <c r="AF5220" s="1">
        <v>40043</v>
      </c>
      <c r="AG5220" t="s">
        <v>8651</v>
      </c>
      <c r="AH5220" t="s">
        <v>8652</v>
      </c>
      <c r="AI5220" t="str">
        <f>"9170266"</f>
        <v>9170266</v>
      </c>
      <c r="AJ5220" t="s">
        <v>9498</v>
      </c>
      <c r="AK5220">
        <v>2892023328</v>
      </c>
      <c r="AL5220" t="s">
        <v>9499</v>
      </c>
      <c r="AM5220" t="s">
        <v>78</v>
      </c>
      <c r="AN5220" t="s">
        <v>242</v>
      </c>
      <c r="AO5220" t="s">
        <v>243</v>
      </c>
      <c r="AP5220" t="s">
        <v>243</v>
      </c>
      <c r="AQ5220">
        <v>20</v>
      </c>
      <c r="AR5220" t="s">
        <v>80</v>
      </c>
      <c r="AS5220" t="s">
        <v>81</v>
      </c>
      <c r="AT5220" t="s">
        <v>58</v>
      </c>
      <c r="AU5220" t="s">
        <v>68</v>
      </c>
      <c r="AV5220" t="s">
        <v>69</v>
      </c>
      <c r="AW5220" s="1">
        <v>25171</v>
      </c>
      <c r="AX5220">
        <v>1</v>
      </c>
    </row>
    <row r="5221" spans="1:50">
      <c r="B5221" t="str">
        <f>"049091463"</f>
        <v>049091463</v>
      </c>
      <c r="C5221" t="s">
        <v>50</v>
      </c>
      <c r="D5221" t="s">
        <v>1221</v>
      </c>
      <c r="E5221" t="s">
        <v>109</v>
      </c>
      <c r="F5221" t="s">
        <v>166</v>
      </c>
      <c r="G5221" t="s">
        <v>143</v>
      </c>
      <c r="H5221" t="str">
        <f>"ΑΓ ΒΑΡΒΑΡΑΣ 47 ΠΑΛ ΦΑΛΗΡΟ"</f>
        <v>ΑΓ ΒΑΡΒΑΡΑΣ 47 ΠΑΛ ΦΑΛΗΡΟ</v>
      </c>
      <c r="I5221">
        <v>17563</v>
      </c>
      <c r="J5221">
        <v>2109827250</v>
      </c>
      <c r="K5221">
        <v>6977705623</v>
      </c>
      <c r="N5221" t="s">
        <v>306</v>
      </c>
      <c r="O5221" t="s">
        <v>307</v>
      </c>
      <c r="R5221" t="s">
        <v>159</v>
      </c>
      <c r="S5221">
        <v>4</v>
      </c>
      <c r="T5221" t="s">
        <v>8675</v>
      </c>
      <c r="U5221" s="1">
        <v>43348</v>
      </c>
      <c r="V5221" t="s">
        <v>80</v>
      </c>
      <c r="W5221" t="s">
        <v>81</v>
      </c>
      <c r="X5221" t="s">
        <v>58</v>
      </c>
      <c r="Y5221">
        <v>24</v>
      </c>
      <c r="Z5221" t="s">
        <v>59</v>
      </c>
      <c r="AA5221" t="s">
        <v>59</v>
      </c>
      <c r="AB5221" t="s">
        <v>59</v>
      </c>
      <c r="AC5221" t="s">
        <v>59</v>
      </c>
      <c r="AD5221" t="s">
        <v>59</v>
      </c>
      <c r="AF5221" s="1">
        <v>43348</v>
      </c>
      <c r="AG5221" t="s">
        <v>8645</v>
      </c>
      <c r="AH5221" t="s">
        <v>8646</v>
      </c>
      <c r="AI5221" t="str">
        <f>"9170339"</f>
        <v>9170339</v>
      </c>
      <c r="AJ5221" t="s">
        <v>9500</v>
      </c>
      <c r="AK5221">
        <v>2892051391</v>
      </c>
      <c r="AL5221" t="s">
        <v>9501</v>
      </c>
      <c r="AM5221" t="s">
        <v>78</v>
      </c>
      <c r="AN5221" t="s">
        <v>242</v>
      </c>
      <c r="AO5221" t="s">
        <v>349</v>
      </c>
      <c r="AP5221" t="s">
        <v>349</v>
      </c>
      <c r="AQ5221">
        <v>19</v>
      </c>
      <c r="AR5221" t="s">
        <v>80</v>
      </c>
      <c r="AS5221" t="s">
        <v>81</v>
      </c>
      <c r="AT5221" t="s">
        <v>58</v>
      </c>
      <c r="AU5221" t="s">
        <v>8673</v>
      </c>
      <c r="AV5221" t="s">
        <v>132</v>
      </c>
      <c r="AW5221" s="1">
        <v>29417</v>
      </c>
      <c r="AX5221">
        <v>1</v>
      </c>
    </row>
    <row r="5222" spans="1:50">
      <c r="A5222">
        <v>703486</v>
      </c>
      <c r="B5222" t="str">
        <f>"119691610"</f>
        <v>119691610</v>
      </c>
      <c r="C5222" t="s">
        <v>50</v>
      </c>
      <c r="D5222" t="s">
        <v>1221</v>
      </c>
      <c r="E5222" t="s">
        <v>52</v>
      </c>
      <c r="F5222" t="s">
        <v>95</v>
      </c>
      <c r="G5222" t="s">
        <v>237</v>
      </c>
      <c r="H5222" t="str">
        <f>"ΕΡΥΘΡΑΙΑΣ 59 ΗΡΑΚΛΕΙΟ"</f>
        <v>ΕΡΥΘΡΑΙΑΣ 59 ΗΡΑΚΛΕΙΟ</v>
      </c>
      <c r="I5222">
        <v>71409</v>
      </c>
      <c r="J5222">
        <v>2810326231</v>
      </c>
      <c r="K5222">
        <v>6932256946</v>
      </c>
      <c r="N5222" t="s">
        <v>1525</v>
      </c>
      <c r="O5222" t="s">
        <v>1526</v>
      </c>
      <c r="R5222" t="s">
        <v>57</v>
      </c>
      <c r="S5222">
        <v>4</v>
      </c>
      <c r="T5222">
        <v>925</v>
      </c>
      <c r="U5222" s="1">
        <v>41158</v>
      </c>
      <c r="V5222" t="s">
        <v>80</v>
      </c>
      <c r="W5222" t="s">
        <v>81</v>
      </c>
      <c r="X5222" t="s">
        <v>58</v>
      </c>
      <c r="Y5222">
        <v>25</v>
      </c>
      <c r="Z5222" t="s">
        <v>59</v>
      </c>
      <c r="AA5222" t="s">
        <v>59</v>
      </c>
      <c r="AB5222" t="s">
        <v>59</v>
      </c>
      <c r="AC5222" t="s">
        <v>59</v>
      </c>
      <c r="AD5222" t="s">
        <v>59</v>
      </c>
      <c r="AF5222" s="1">
        <v>41159</v>
      </c>
      <c r="AG5222" t="s">
        <v>8651</v>
      </c>
      <c r="AH5222" t="s">
        <v>8652</v>
      </c>
      <c r="AI5222" t="str">
        <f>"9170592"</f>
        <v>9170592</v>
      </c>
      <c r="AJ5222" t="s">
        <v>9502</v>
      </c>
      <c r="AK5222">
        <v>2810230907</v>
      </c>
      <c r="AL5222" t="s">
        <v>9503</v>
      </c>
      <c r="AM5222" t="s">
        <v>78</v>
      </c>
      <c r="AN5222" t="s">
        <v>78</v>
      </c>
      <c r="AO5222" t="s">
        <v>78</v>
      </c>
      <c r="AP5222" t="s">
        <v>9239</v>
      </c>
      <c r="AQ5222">
        <v>1</v>
      </c>
      <c r="AR5222" t="s">
        <v>80</v>
      </c>
      <c r="AS5222" t="s">
        <v>81</v>
      </c>
      <c r="AT5222" t="s">
        <v>58</v>
      </c>
      <c r="AU5222" t="s">
        <v>68</v>
      </c>
      <c r="AV5222" t="s">
        <v>69</v>
      </c>
      <c r="AW5222" s="1">
        <v>28878</v>
      </c>
      <c r="AX5222">
        <v>1</v>
      </c>
    </row>
    <row r="5223" spans="1:50">
      <c r="B5223" t="str">
        <f>"141365426"</f>
        <v>141365426</v>
      </c>
      <c r="C5223" t="s">
        <v>50</v>
      </c>
      <c r="D5223" t="s">
        <v>1221</v>
      </c>
      <c r="E5223" t="s">
        <v>52</v>
      </c>
      <c r="F5223" t="s">
        <v>95</v>
      </c>
      <c r="G5223" t="s">
        <v>237</v>
      </c>
      <c r="H5223" t="str">
        <f>"ΤΙΤΑΝΩΝ   05 ΗΡΑΚΛΕΙΟ ΚΡΗΤΗΣ"</f>
        <v>ΤΙΤΑΝΩΝ   05 ΗΡΑΚΛΕΙΟ ΚΡΗΤΗΣ</v>
      </c>
      <c r="I5223">
        <v>71409</v>
      </c>
      <c r="K5223">
        <v>6942968838</v>
      </c>
      <c r="M5223" t="s">
        <v>9504</v>
      </c>
      <c r="N5223" t="s">
        <v>615</v>
      </c>
      <c r="O5223" t="s">
        <v>616</v>
      </c>
      <c r="R5223" t="s">
        <v>159</v>
      </c>
      <c r="S5223">
        <v>1</v>
      </c>
      <c r="T5223" t="s">
        <v>8675</v>
      </c>
      <c r="U5223" s="1">
        <v>43348</v>
      </c>
      <c r="V5223" t="s">
        <v>80</v>
      </c>
      <c r="W5223" t="s">
        <v>81</v>
      </c>
      <c r="X5223" t="s">
        <v>58</v>
      </c>
      <c r="Y5223">
        <v>24</v>
      </c>
      <c r="Z5223" t="s">
        <v>59</v>
      </c>
      <c r="AA5223" t="s">
        <v>59</v>
      </c>
      <c r="AB5223" t="s">
        <v>59</v>
      </c>
      <c r="AD5223" t="s">
        <v>59</v>
      </c>
      <c r="AF5223" s="1">
        <v>43348</v>
      </c>
      <c r="AG5223" t="s">
        <v>8645</v>
      </c>
      <c r="AH5223" t="s">
        <v>8646</v>
      </c>
      <c r="AI5223" t="str">
        <f>"9170097"</f>
        <v>9170097</v>
      </c>
      <c r="AJ5223" t="s">
        <v>8826</v>
      </c>
      <c r="AK5223">
        <v>2810751807</v>
      </c>
      <c r="AL5223" t="s">
        <v>8827</v>
      </c>
      <c r="AM5223" t="s">
        <v>78</v>
      </c>
      <c r="AN5223" t="s">
        <v>424</v>
      </c>
      <c r="AO5223" t="s">
        <v>425</v>
      </c>
      <c r="AP5223" t="s">
        <v>425</v>
      </c>
      <c r="AQ5223">
        <v>11</v>
      </c>
      <c r="AR5223" t="s">
        <v>80</v>
      </c>
      <c r="AS5223" t="s">
        <v>81</v>
      </c>
      <c r="AT5223" t="s">
        <v>58</v>
      </c>
      <c r="AU5223" t="s">
        <v>8673</v>
      </c>
      <c r="AV5223" t="s">
        <v>132</v>
      </c>
      <c r="AW5223" s="1">
        <v>32601</v>
      </c>
      <c r="AX5223">
        <v>1</v>
      </c>
    </row>
    <row r="5224" spans="1:50">
      <c r="A5224">
        <v>602877</v>
      </c>
      <c r="B5224" t="str">
        <f>"068131599"</f>
        <v>068131599</v>
      </c>
      <c r="C5224" t="s">
        <v>50</v>
      </c>
      <c r="D5224" t="s">
        <v>1221</v>
      </c>
      <c r="E5224" t="s">
        <v>681</v>
      </c>
      <c r="F5224" t="s">
        <v>72</v>
      </c>
      <c r="G5224" t="s">
        <v>83</v>
      </c>
      <c r="H5224" t="str">
        <f>"ΑΓ. ΓΕΩΡΓΙΟΥ 1 ΗΡΑΚΛΕΙΟ"</f>
        <v>ΑΓ. ΓΕΩΡΓΙΟΥ 1 ΗΡΑΚΛΕΙΟ</v>
      </c>
      <c r="I5224">
        <v>70400</v>
      </c>
      <c r="J5224">
        <v>2892022334</v>
      </c>
      <c r="K5224">
        <v>6993895202</v>
      </c>
      <c r="N5224" t="s">
        <v>1525</v>
      </c>
      <c r="O5224" t="s">
        <v>1526</v>
      </c>
      <c r="R5224" t="s">
        <v>57</v>
      </c>
      <c r="S5224">
        <v>11</v>
      </c>
      <c r="T5224">
        <v>207</v>
      </c>
      <c r="U5224" s="1">
        <v>37866</v>
      </c>
      <c r="V5224" t="s">
        <v>80</v>
      </c>
      <c r="W5224" t="s">
        <v>81</v>
      </c>
      <c r="X5224" t="s">
        <v>58</v>
      </c>
      <c r="Y5224">
        <v>25</v>
      </c>
      <c r="Z5224" t="s">
        <v>59</v>
      </c>
      <c r="AA5224" t="s">
        <v>59</v>
      </c>
      <c r="AB5224" t="s">
        <v>59</v>
      </c>
      <c r="AC5224" t="s">
        <v>59</v>
      </c>
      <c r="AD5224" t="s">
        <v>59</v>
      </c>
      <c r="AF5224" s="1">
        <v>37866</v>
      </c>
      <c r="AG5224" t="s">
        <v>8651</v>
      </c>
      <c r="AH5224" t="s">
        <v>8652</v>
      </c>
      <c r="AI5224" t="str">
        <f>"9170266"</f>
        <v>9170266</v>
      </c>
      <c r="AJ5224" t="s">
        <v>9498</v>
      </c>
      <c r="AK5224">
        <v>2892023328</v>
      </c>
      <c r="AL5224" t="s">
        <v>9499</v>
      </c>
      <c r="AM5224" t="s">
        <v>78</v>
      </c>
      <c r="AN5224" t="s">
        <v>242</v>
      </c>
      <c r="AO5224" t="s">
        <v>243</v>
      </c>
      <c r="AP5224" t="s">
        <v>243</v>
      </c>
      <c r="AQ5224">
        <v>20</v>
      </c>
      <c r="AR5224" t="s">
        <v>80</v>
      </c>
      <c r="AS5224" t="s">
        <v>81</v>
      </c>
      <c r="AT5224" t="s">
        <v>58</v>
      </c>
      <c r="AU5224" t="s">
        <v>68</v>
      </c>
      <c r="AV5224" t="s">
        <v>69</v>
      </c>
      <c r="AW5224" s="1">
        <v>23929</v>
      </c>
      <c r="AX5224">
        <v>1</v>
      </c>
    </row>
    <row r="5225" spans="1:50">
      <c r="A5225">
        <v>591554</v>
      </c>
      <c r="B5225" t="str">
        <f>"072833729"</f>
        <v>072833729</v>
      </c>
      <c r="C5225" t="s">
        <v>50</v>
      </c>
      <c r="D5225" t="s">
        <v>1221</v>
      </c>
      <c r="E5225" t="s">
        <v>1068</v>
      </c>
      <c r="F5225" t="s">
        <v>166</v>
      </c>
      <c r="G5225" t="s">
        <v>52</v>
      </c>
      <c r="H5225" t="str">
        <f>"ΓΕΩΡΓΙΟΥ ΞΗΡΟΥΔΑΚΗ 8 ΗΡΑΚΛΕΙΟ"</f>
        <v>ΓΕΩΡΓΙΟΥ ΞΗΡΟΥΔΑΚΗ 8 ΗΡΑΚΛΕΙΟ</v>
      </c>
      <c r="I5225">
        <v>71409</v>
      </c>
      <c r="J5225">
        <v>2810237758</v>
      </c>
      <c r="K5225">
        <v>6974379114</v>
      </c>
      <c r="N5225" t="s">
        <v>615</v>
      </c>
      <c r="O5225" t="s">
        <v>616</v>
      </c>
      <c r="R5225" t="s">
        <v>57</v>
      </c>
      <c r="S5225">
        <v>10</v>
      </c>
      <c r="T5225">
        <v>249</v>
      </c>
      <c r="U5225" s="1">
        <v>36769</v>
      </c>
      <c r="V5225" t="s">
        <v>80</v>
      </c>
      <c r="W5225" t="s">
        <v>81</v>
      </c>
      <c r="X5225" t="s">
        <v>58</v>
      </c>
      <c r="Y5225">
        <v>21</v>
      </c>
      <c r="Z5225" t="s">
        <v>59</v>
      </c>
      <c r="AA5225" t="s">
        <v>59</v>
      </c>
      <c r="AB5225" t="s">
        <v>59</v>
      </c>
      <c r="AC5225" t="s">
        <v>59</v>
      </c>
      <c r="AD5225" t="s">
        <v>59</v>
      </c>
      <c r="AF5225" s="1">
        <v>36770</v>
      </c>
      <c r="AG5225" t="s">
        <v>8645</v>
      </c>
      <c r="AH5225" t="s">
        <v>8646</v>
      </c>
      <c r="AI5225" t="str">
        <f>"9170191"</f>
        <v>9170191</v>
      </c>
      <c r="AJ5225" t="s">
        <v>8667</v>
      </c>
      <c r="AK5225">
        <v>2810231459</v>
      </c>
      <c r="AL5225" t="s">
        <v>8668</v>
      </c>
      <c r="AM5225" t="s">
        <v>78</v>
      </c>
      <c r="AN5225" t="s">
        <v>78</v>
      </c>
      <c r="AO5225" t="s">
        <v>78</v>
      </c>
      <c r="AP5225" t="s">
        <v>163</v>
      </c>
      <c r="AQ5225">
        <v>1</v>
      </c>
      <c r="AR5225" t="s">
        <v>80</v>
      </c>
      <c r="AS5225" t="s">
        <v>81</v>
      </c>
      <c r="AT5225" t="s">
        <v>58</v>
      </c>
      <c r="AU5225" t="s">
        <v>68</v>
      </c>
      <c r="AV5225" t="s">
        <v>69</v>
      </c>
      <c r="AW5225" s="1">
        <v>25084</v>
      </c>
      <c r="AX5225">
        <v>1</v>
      </c>
    </row>
    <row r="5226" spans="1:50">
      <c r="A5226">
        <v>585368</v>
      </c>
      <c r="B5226" t="str">
        <f>"051677021"</f>
        <v>051677021</v>
      </c>
      <c r="C5226" t="s">
        <v>105</v>
      </c>
      <c r="D5226" t="s">
        <v>1232</v>
      </c>
      <c r="E5226" t="s">
        <v>95</v>
      </c>
      <c r="F5226" t="s">
        <v>166</v>
      </c>
      <c r="G5226" t="s">
        <v>52</v>
      </c>
      <c r="H5226" t="str">
        <f>"Δ. ΚΑΜΠΟΥΡΟΓΛΟΥ 19 ΑΘΗΝΑ"</f>
        <v>Δ. ΚΑΜΠΟΥΡΟΓΛΟΥ 19 ΑΘΗΝΑ</v>
      </c>
      <c r="J5226">
        <v>2110118763</v>
      </c>
      <c r="K5226">
        <v>6972247002</v>
      </c>
      <c r="N5226" t="s">
        <v>615</v>
      </c>
      <c r="O5226" t="s">
        <v>616</v>
      </c>
      <c r="R5226" t="s">
        <v>57</v>
      </c>
      <c r="S5226">
        <v>11</v>
      </c>
      <c r="T5226">
        <v>165</v>
      </c>
      <c r="U5226" s="1">
        <v>36040</v>
      </c>
      <c r="V5226" t="s">
        <v>80</v>
      </c>
      <c r="W5226" t="s">
        <v>81</v>
      </c>
      <c r="X5226" t="s">
        <v>58</v>
      </c>
      <c r="Y5226">
        <v>21</v>
      </c>
      <c r="Z5226" t="s">
        <v>59</v>
      </c>
      <c r="AA5226" t="s">
        <v>59</v>
      </c>
      <c r="AB5226" t="s">
        <v>59</v>
      </c>
      <c r="AC5226" t="s">
        <v>59</v>
      </c>
      <c r="AD5226" t="s">
        <v>59</v>
      </c>
      <c r="AF5226" s="1">
        <v>36041</v>
      </c>
      <c r="AG5226" t="s">
        <v>8645</v>
      </c>
      <c r="AH5226" t="s">
        <v>8646</v>
      </c>
      <c r="AI5226" t="str">
        <f>"9170115"</f>
        <v>9170115</v>
      </c>
      <c r="AJ5226" t="s">
        <v>8770</v>
      </c>
      <c r="AK5226">
        <v>2810231165</v>
      </c>
      <c r="AL5226" t="s">
        <v>8771</v>
      </c>
      <c r="AM5226" t="s">
        <v>78</v>
      </c>
      <c r="AN5226" t="s">
        <v>78</v>
      </c>
      <c r="AO5226" t="s">
        <v>78</v>
      </c>
      <c r="AP5226" t="s">
        <v>141</v>
      </c>
      <c r="AQ5226">
        <v>1</v>
      </c>
      <c r="AR5226" t="s">
        <v>80</v>
      </c>
      <c r="AS5226" t="s">
        <v>81</v>
      </c>
      <c r="AT5226" t="s">
        <v>58</v>
      </c>
      <c r="AU5226" t="s">
        <v>68</v>
      </c>
      <c r="AV5226" t="s">
        <v>2039</v>
      </c>
      <c r="AW5226" s="1">
        <v>24713</v>
      </c>
      <c r="AX5226">
        <v>1</v>
      </c>
    </row>
    <row r="5227" spans="1:50">
      <c r="A5227">
        <v>588669</v>
      </c>
      <c r="B5227" t="str">
        <f>"054559175"</f>
        <v>054559175</v>
      </c>
      <c r="C5227" t="s">
        <v>105</v>
      </c>
      <c r="D5227" t="s">
        <v>1232</v>
      </c>
      <c r="E5227" t="s">
        <v>95</v>
      </c>
      <c r="F5227" t="s">
        <v>166</v>
      </c>
      <c r="G5227" t="s">
        <v>513</v>
      </c>
      <c r="H5227" t="str">
        <f>"ΑΡΒΗΣ 8 ΗΡΑΚΛΕΙΟ"</f>
        <v>ΑΡΒΗΣ 8 ΗΡΑΚΛΕΙΟ</v>
      </c>
      <c r="I5227">
        <v>71305</v>
      </c>
      <c r="J5227">
        <v>2810319736</v>
      </c>
      <c r="K5227">
        <v>6932505754</v>
      </c>
      <c r="N5227" t="s">
        <v>615</v>
      </c>
      <c r="O5227" t="s">
        <v>616</v>
      </c>
      <c r="R5227" t="s">
        <v>57</v>
      </c>
      <c r="S5227">
        <v>10</v>
      </c>
      <c r="T5227">
        <v>176</v>
      </c>
      <c r="U5227" s="1">
        <v>36403</v>
      </c>
      <c r="V5227" t="s">
        <v>80</v>
      </c>
      <c r="W5227" t="s">
        <v>81</v>
      </c>
      <c r="X5227" t="s">
        <v>58</v>
      </c>
      <c r="Y5227">
        <v>21</v>
      </c>
      <c r="Z5227" t="s">
        <v>59</v>
      </c>
      <c r="AA5227" t="s">
        <v>59</v>
      </c>
      <c r="AB5227" t="s">
        <v>59</v>
      </c>
      <c r="AC5227" t="s">
        <v>59</v>
      </c>
      <c r="AD5227" t="s">
        <v>59</v>
      </c>
      <c r="AF5227" s="1">
        <v>36404</v>
      </c>
      <c r="AG5227" t="s">
        <v>8645</v>
      </c>
      <c r="AH5227" t="s">
        <v>8646</v>
      </c>
      <c r="AI5227" t="str">
        <f>"9170362"</f>
        <v>9170362</v>
      </c>
      <c r="AJ5227" t="s">
        <v>8681</v>
      </c>
      <c r="AK5227">
        <v>2810255261</v>
      </c>
      <c r="AL5227" t="s">
        <v>8682</v>
      </c>
      <c r="AM5227" t="s">
        <v>78</v>
      </c>
      <c r="AN5227" t="s">
        <v>78</v>
      </c>
      <c r="AO5227" t="s">
        <v>78</v>
      </c>
      <c r="AP5227" t="s">
        <v>141</v>
      </c>
      <c r="AQ5227">
        <v>1</v>
      </c>
      <c r="AR5227" t="s">
        <v>80</v>
      </c>
      <c r="AS5227" t="s">
        <v>81</v>
      </c>
      <c r="AT5227" t="s">
        <v>58</v>
      </c>
      <c r="AU5227" t="s">
        <v>68</v>
      </c>
      <c r="AV5227" t="s">
        <v>69</v>
      </c>
      <c r="AW5227" s="1">
        <v>24657</v>
      </c>
      <c r="AX5227">
        <v>1</v>
      </c>
    </row>
    <row r="5228" spans="1:50">
      <c r="A5228">
        <v>618207</v>
      </c>
      <c r="B5228" t="str">
        <f>"065822577"</f>
        <v>065822577</v>
      </c>
      <c r="C5228" t="s">
        <v>105</v>
      </c>
      <c r="D5228" t="s">
        <v>1232</v>
      </c>
      <c r="E5228" t="s">
        <v>95</v>
      </c>
      <c r="F5228" t="s">
        <v>311</v>
      </c>
      <c r="G5228" t="s">
        <v>4753</v>
      </c>
      <c r="H5228" t="str">
        <f>"ΜΗΡΙΟΝΗΣ 4 ΑΓΙΟΣ ΝΙΚΟΛΑΟΣ"</f>
        <v>ΜΗΡΙΟΝΗΣ 4 ΑΓΙΟΣ ΝΙΚΟΛΑΟΣ</v>
      </c>
      <c r="I5228">
        <v>72100</v>
      </c>
      <c r="J5228">
        <v>2841023833</v>
      </c>
      <c r="K5228">
        <v>6977299091</v>
      </c>
      <c r="N5228" t="s">
        <v>615</v>
      </c>
      <c r="O5228" t="s">
        <v>616</v>
      </c>
      <c r="R5228" t="s">
        <v>57</v>
      </c>
      <c r="S5228">
        <v>5</v>
      </c>
      <c r="T5228">
        <v>774</v>
      </c>
      <c r="U5228" s="1">
        <v>39680</v>
      </c>
      <c r="V5228" t="s">
        <v>80</v>
      </c>
      <c r="W5228" t="s">
        <v>81</v>
      </c>
      <c r="X5228" t="s">
        <v>58</v>
      </c>
      <c r="Y5228">
        <v>23</v>
      </c>
      <c r="Z5228" t="s">
        <v>59</v>
      </c>
      <c r="AA5228" t="s">
        <v>59</v>
      </c>
      <c r="AB5228" t="s">
        <v>59</v>
      </c>
      <c r="AC5228" t="s">
        <v>59</v>
      </c>
      <c r="AD5228" t="s">
        <v>59</v>
      </c>
      <c r="AF5228" s="1">
        <v>39681</v>
      </c>
      <c r="AG5228" t="s">
        <v>8645</v>
      </c>
      <c r="AH5228" t="s">
        <v>8646</v>
      </c>
      <c r="AI5228" t="str">
        <f>"9170244"</f>
        <v>9170244</v>
      </c>
      <c r="AJ5228" t="s">
        <v>8933</v>
      </c>
      <c r="AK5228">
        <v>2897061213</v>
      </c>
      <c r="AL5228" t="s">
        <v>8934</v>
      </c>
      <c r="AM5228" t="s">
        <v>78</v>
      </c>
      <c r="AN5228" t="s">
        <v>219</v>
      </c>
      <c r="AO5228" t="s">
        <v>527</v>
      </c>
      <c r="AP5228" t="s">
        <v>528</v>
      </c>
      <c r="AQ5228">
        <v>8</v>
      </c>
      <c r="AR5228" t="s">
        <v>80</v>
      </c>
      <c r="AS5228" t="s">
        <v>81</v>
      </c>
      <c r="AT5228" t="s">
        <v>58</v>
      </c>
      <c r="AU5228" t="s">
        <v>68</v>
      </c>
      <c r="AV5228" t="s">
        <v>69</v>
      </c>
      <c r="AW5228" s="1">
        <v>30567</v>
      </c>
      <c r="AX5228">
        <v>1</v>
      </c>
    </row>
    <row r="5229" spans="1:50">
      <c r="A5229">
        <v>598134</v>
      </c>
      <c r="B5229" t="str">
        <f>"057785798"</f>
        <v>057785798</v>
      </c>
      <c r="C5229" t="s">
        <v>105</v>
      </c>
      <c r="D5229" t="s">
        <v>1232</v>
      </c>
      <c r="E5229" t="s">
        <v>84</v>
      </c>
      <c r="F5229" t="s">
        <v>1070</v>
      </c>
      <c r="G5229" t="s">
        <v>52</v>
      </c>
      <c r="H5229" t="str">
        <f>"ΑΝΔΡΕΑ ΠΑΠΑΝΔΡΕΟΥ 54 ΗΡΑΚΛΕΙΟ"</f>
        <v>ΑΝΔΡΕΑ ΠΑΠΑΝΔΡΕΟΥ 54 ΗΡΑΚΛΕΙΟ</v>
      </c>
      <c r="I5229">
        <v>71414</v>
      </c>
      <c r="J5229">
        <v>2810315702</v>
      </c>
      <c r="K5229">
        <v>6977709211</v>
      </c>
      <c r="N5229" t="s">
        <v>615</v>
      </c>
      <c r="O5229" t="s">
        <v>616</v>
      </c>
      <c r="R5229" t="s">
        <v>57</v>
      </c>
      <c r="S5229">
        <v>9</v>
      </c>
      <c r="T5229">
        <v>195</v>
      </c>
      <c r="U5229" s="1">
        <v>37497</v>
      </c>
      <c r="V5229" t="s">
        <v>80</v>
      </c>
      <c r="W5229" t="s">
        <v>81</v>
      </c>
      <c r="X5229" t="s">
        <v>58</v>
      </c>
      <c r="Y5229">
        <v>22</v>
      </c>
      <c r="Z5229" t="s">
        <v>59</v>
      </c>
      <c r="AA5229" t="s">
        <v>59</v>
      </c>
      <c r="AB5229" t="s">
        <v>59</v>
      </c>
      <c r="AC5229" t="s">
        <v>59</v>
      </c>
      <c r="AD5229" t="s">
        <v>59</v>
      </c>
      <c r="AF5229" s="1">
        <v>37502</v>
      </c>
      <c r="AG5229" t="s">
        <v>8645</v>
      </c>
      <c r="AH5229" t="s">
        <v>8646</v>
      </c>
      <c r="AI5229" t="str">
        <f>"9170034"</f>
        <v>9170034</v>
      </c>
      <c r="AJ5229" t="s">
        <v>9179</v>
      </c>
      <c r="AK5229">
        <v>2810841217</v>
      </c>
      <c r="AL5229" t="s">
        <v>9180</v>
      </c>
      <c r="AM5229" t="s">
        <v>78</v>
      </c>
      <c r="AN5229" t="s">
        <v>129</v>
      </c>
      <c r="AO5229" t="s">
        <v>130</v>
      </c>
      <c r="AP5229" t="s">
        <v>9181</v>
      </c>
      <c r="AQ5229">
        <v>2</v>
      </c>
      <c r="AR5229" t="s">
        <v>80</v>
      </c>
      <c r="AS5229" t="s">
        <v>81</v>
      </c>
      <c r="AT5229" t="s">
        <v>58</v>
      </c>
      <c r="AU5229" t="s">
        <v>68</v>
      </c>
      <c r="AV5229" t="s">
        <v>69</v>
      </c>
      <c r="AW5229" s="1">
        <v>24537</v>
      </c>
      <c r="AX5229">
        <v>1</v>
      </c>
    </row>
    <row r="5230" spans="1:50">
      <c r="A5230">
        <v>565916</v>
      </c>
      <c r="B5230" t="str">
        <f>"035803712"</f>
        <v>035803712</v>
      </c>
      <c r="C5230" t="s">
        <v>105</v>
      </c>
      <c r="D5230" t="s">
        <v>1232</v>
      </c>
      <c r="E5230" t="s">
        <v>166</v>
      </c>
      <c r="F5230" t="s">
        <v>95</v>
      </c>
      <c r="G5230" t="s">
        <v>237</v>
      </c>
      <c r="H5230" t="str">
        <f>"ΠΕΛΕΓΡΗ 7 ΑΓΙΟΣ ΙΩΑΝΝΗΣ"</f>
        <v>ΠΕΛΕΓΡΗ 7 ΑΓΙΟΣ ΙΩΑΝΝΗΣ</v>
      </c>
      <c r="I5230">
        <v>71409</v>
      </c>
      <c r="J5230">
        <v>2810323600</v>
      </c>
      <c r="K5230">
        <v>6973682358</v>
      </c>
      <c r="N5230" t="s">
        <v>615</v>
      </c>
      <c r="O5230" t="s">
        <v>616</v>
      </c>
      <c r="R5230" t="s">
        <v>57</v>
      </c>
      <c r="S5230">
        <v>14</v>
      </c>
      <c r="T5230">
        <v>161</v>
      </c>
      <c r="U5230" s="1">
        <v>33119</v>
      </c>
      <c r="V5230" t="s">
        <v>80</v>
      </c>
      <c r="W5230" t="s">
        <v>81</v>
      </c>
      <c r="X5230" t="s">
        <v>58</v>
      </c>
      <c r="Y5230">
        <v>21</v>
      </c>
      <c r="Z5230" t="s">
        <v>59</v>
      </c>
      <c r="AA5230" t="s">
        <v>59</v>
      </c>
      <c r="AB5230" t="s">
        <v>59</v>
      </c>
      <c r="AC5230" t="s">
        <v>59</v>
      </c>
      <c r="AD5230" t="s">
        <v>59</v>
      </c>
      <c r="AF5230" s="1">
        <v>33121</v>
      </c>
      <c r="AG5230" t="s">
        <v>8645</v>
      </c>
      <c r="AH5230" t="s">
        <v>8646</v>
      </c>
      <c r="AI5230" t="str">
        <f>"9170534"</f>
        <v>9170534</v>
      </c>
      <c r="AJ5230" t="s">
        <v>8701</v>
      </c>
      <c r="AK5230">
        <v>2810323225</v>
      </c>
      <c r="AL5230" t="s">
        <v>8702</v>
      </c>
      <c r="AM5230" t="s">
        <v>78</v>
      </c>
      <c r="AN5230" t="s">
        <v>78</v>
      </c>
      <c r="AO5230" t="s">
        <v>78</v>
      </c>
      <c r="AP5230" t="s">
        <v>163</v>
      </c>
      <c r="AQ5230">
        <v>1</v>
      </c>
      <c r="AR5230" t="s">
        <v>80</v>
      </c>
      <c r="AS5230" t="s">
        <v>81</v>
      </c>
      <c r="AT5230" t="s">
        <v>58</v>
      </c>
      <c r="AU5230" t="s">
        <v>68</v>
      </c>
      <c r="AV5230" t="s">
        <v>69</v>
      </c>
      <c r="AW5230" s="1">
        <v>23887</v>
      </c>
      <c r="AX5230">
        <v>1</v>
      </c>
    </row>
    <row r="5231" spans="1:50">
      <c r="A5231">
        <v>609584</v>
      </c>
      <c r="B5231" t="str">
        <f>"103808661"</f>
        <v>103808661</v>
      </c>
      <c r="C5231" t="s">
        <v>50</v>
      </c>
      <c r="D5231" t="s">
        <v>9505</v>
      </c>
      <c r="E5231" t="s">
        <v>1179</v>
      </c>
      <c r="F5231" t="s">
        <v>995</v>
      </c>
      <c r="G5231" t="s">
        <v>112</v>
      </c>
      <c r="H5231" t="str">
        <f>"ΛΑΤΟΥΣ 5 ΔΕΙΛΙΝΑ ΗΡΑΚΛΕΙΟ"</f>
        <v>ΛΑΤΟΥΣ 5 ΔΕΙΛΙΝΑ ΗΡΑΚΛΕΙΟ</v>
      </c>
      <c r="I5231">
        <v>71304</v>
      </c>
      <c r="J5231">
        <v>2810313372</v>
      </c>
      <c r="K5231">
        <v>6974795820</v>
      </c>
      <c r="N5231" t="s">
        <v>615</v>
      </c>
      <c r="O5231" t="s">
        <v>616</v>
      </c>
      <c r="R5231" t="s">
        <v>57</v>
      </c>
      <c r="S5231">
        <v>7</v>
      </c>
      <c r="T5231">
        <v>221</v>
      </c>
      <c r="U5231" s="1">
        <v>38601</v>
      </c>
      <c r="V5231" t="s">
        <v>80</v>
      </c>
      <c r="W5231" t="s">
        <v>81</v>
      </c>
      <c r="X5231" t="s">
        <v>58</v>
      </c>
      <c r="Y5231">
        <v>22</v>
      </c>
      <c r="Z5231" t="s">
        <v>59</v>
      </c>
      <c r="AA5231" t="s">
        <v>59</v>
      </c>
      <c r="AB5231" t="s">
        <v>59</v>
      </c>
      <c r="AC5231" t="s">
        <v>59</v>
      </c>
      <c r="AD5231" t="s">
        <v>59</v>
      </c>
      <c r="AF5231" s="1">
        <v>38602</v>
      </c>
      <c r="AG5231" t="s">
        <v>8645</v>
      </c>
      <c r="AH5231" t="s">
        <v>8646</v>
      </c>
      <c r="AI5231" t="str">
        <f>"9170425"</f>
        <v>9170425</v>
      </c>
      <c r="AJ5231" t="s">
        <v>9350</v>
      </c>
      <c r="AK5231">
        <v>2810250261</v>
      </c>
      <c r="AL5231" t="s">
        <v>9351</v>
      </c>
      <c r="AM5231" t="s">
        <v>78</v>
      </c>
      <c r="AN5231" t="s">
        <v>78</v>
      </c>
      <c r="AO5231" t="s">
        <v>78</v>
      </c>
      <c r="AP5231" t="s">
        <v>141</v>
      </c>
      <c r="AQ5231">
        <v>1</v>
      </c>
      <c r="AR5231" t="s">
        <v>80</v>
      </c>
      <c r="AS5231" t="s">
        <v>81</v>
      </c>
      <c r="AT5231" t="s">
        <v>58</v>
      </c>
      <c r="AU5231" t="s">
        <v>68</v>
      </c>
      <c r="AV5231" t="s">
        <v>69</v>
      </c>
      <c r="AW5231" s="1">
        <v>29433</v>
      </c>
      <c r="AX5231">
        <v>1</v>
      </c>
    </row>
    <row r="5232" spans="1:50">
      <c r="B5232" t="str">
        <f>"137098034"</f>
        <v>137098034</v>
      </c>
      <c r="C5232" t="s">
        <v>50</v>
      </c>
      <c r="D5232" t="s">
        <v>9506</v>
      </c>
      <c r="E5232" t="s">
        <v>52</v>
      </c>
      <c r="F5232" t="s">
        <v>670</v>
      </c>
      <c r="G5232" t="s">
        <v>4269</v>
      </c>
      <c r="H5232" t="str">
        <f>"ΚΟΡΥΤΣΑΣ 6 ΒΕΡΟΙΑ"</f>
        <v>ΚΟΡΥΤΣΑΣ 6 ΒΕΡΟΙΑ</v>
      </c>
      <c r="I5232">
        <v>59100</v>
      </c>
      <c r="J5232">
        <v>2331060523</v>
      </c>
      <c r="K5232">
        <v>6978500448</v>
      </c>
      <c r="N5232" t="s">
        <v>615</v>
      </c>
      <c r="O5232" t="s">
        <v>616</v>
      </c>
      <c r="R5232" t="s">
        <v>159</v>
      </c>
      <c r="S5232">
        <v>5</v>
      </c>
      <c r="T5232" t="s">
        <v>8675</v>
      </c>
      <c r="U5232" s="1">
        <v>43348</v>
      </c>
      <c r="V5232" t="s">
        <v>80</v>
      </c>
      <c r="W5232" t="s">
        <v>81</v>
      </c>
      <c r="X5232" t="s">
        <v>58</v>
      </c>
      <c r="Y5232">
        <v>25</v>
      </c>
      <c r="Z5232" t="s">
        <v>59</v>
      </c>
      <c r="AA5232" t="s">
        <v>59</v>
      </c>
      <c r="AB5232" t="s">
        <v>59</v>
      </c>
      <c r="AC5232" t="s">
        <v>59</v>
      </c>
      <c r="AD5232" t="s">
        <v>59</v>
      </c>
      <c r="AF5232" s="1">
        <v>43348</v>
      </c>
      <c r="AG5232" t="s">
        <v>8645</v>
      </c>
      <c r="AH5232" t="s">
        <v>8676</v>
      </c>
      <c r="AI5232" t="str">
        <f>"9170274"</f>
        <v>9170274</v>
      </c>
      <c r="AJ5232" t="s">
        <v>9507</v>
      </c>
      <c r="AK5232">
        <v>2892097222</v>
      </c>
      <c r="AL5232" t="s">
        <v>9508</v>
      </c>
      <c r="AM5232" t="s">
        <v>78</v>
      </c>
      <c r="AN5232" t="s">
        <v>242</v>
      </c>
      <c r="AO5232" t="s">
        <v>243</v>
      </c>
      <c r="AP5232" t="s">
        <v>8831</v>
      </c>
      <c r="AQ5232">
        <v>16</v>
      </c>
      <c r="AR5232" t="s">
        <v>80</v>
      </c>
      <c r="AS5232" t="s">
        <v>81</v>
      </c>
      <c r="AT5232" t="s">
        <v>58</v>
      </c>
      <c r="AU5232" t="s">
        <v>8673</v>
      </c>
      <c r="AV5232" t="s">
        <v>132</v>
      </c>
      <c r="AW5232" s="1">
        <v>31981</v>
      </c>
      <c r="AX5232">
        <v>1</v>
      </c>
    </row>
    <row r="5233" spans="1:50">
      <c r="A5233">
        <v>577417</v>
      </c>
      <c r="B5233" t="str">
        <f>"044196051"</f>
        <v>044196051</v>
      </c>
      <c r="C5233" t="s">
        <v>105</v>
      </c>
      <c r="D5233" t="s">
        <v>9509</v>
      </c>
      <c r="E5233" t="s">
        <v>1229</v>
      </c>
      <c r="F5233" t="s">
        <v>53</v>
      </c>
      <c r="G5233" t="s">
        <v>143</v>
      </c>
      <c r="H5233" t="str">
        <f>"ΘΕΡΙΣΣΟΥ 44 ΗΡΑΚΛΕΙΟ"</f>
        <v>ΘΕΡΙΣΣΟΥ 44 ΗΡΑΚΛΕΙΟ</v>
      </c>
      <c r="I5233">
        <v>71304</v>
      </c>
      <c r="J5233">
        <v>2810315300</v>
      </c>
      <c r="K5233">
        <v>6977081617</v>
      </c>
      <c r="L5233">
        <v>2834041304</v>
      </c>
      <c r="M5233" t="s">
        <v>9510</v>
      </c>
      <c r="N5233" t="s">
        <v>176</v>
      </c>
      <c r="O5233" t="s">
        <v>177</v>
      </c>
      <c r="R5233" t="s">
        <v>57</v>
      </c>
      <c r="S5233">
        <v>13</v>
      </c>
      <c r="T5233">
        <v>184</v>
      </c>
      <c r="U5233" s="1">
        <v>34941</v>
      </c>
      <c r="V5233" t="s">
        <v>80</v>
      </c>
      <c r="W5233" t="s">
        <v>81</v>
      </c>
      <c r="X5233" t="s">
        <v>58</v>
      </c>
      <c r="Y5233">
        <v>21</v>
      </c>
      <c r="Z5233" t="s">
        <v>59</v>
      </c>
      <c r="AA5233" t="s">
        <v>59</v>
      </c>
      <c r="AB5233" t="s">
        <v>59</v>
      </c>
      <c r="AC5233" t="s">
        <v>59</v>
      </c>
      <c r="AD5233" t="s">
        <v>59</v>
      </c>
      <c r="AF5233" s="1">
        <v>34943</v>
      </c>
      <c r="AG5233" t="s">
        <v>8645</v>
      </c>
      <c r="AH5233" t="s">
        <v>8646</v>
      </c>
      <c r="AI5233" t="str">
        <f>"9170055"</f>
        <v>9170055</v>
      </c>
      <c r="AJ5233" t="s">
        <v>8836</v>
      </c>
      <c r="AK5233">
        <v>2810255097</v>
      </c>
      <c r="AL5233" t="s">
        <v>8837</v>
      </c>
      <c r="AM5233" t="s">
        <v>78</v>
      </c>
      <c r="AN5233" t="s">
        <v>78</v>
      </c>
      <c r="AO5233" t="s">
        <v>78</v>
      </c>
      <c r="AP5233" t="s">
        <v>141</v>
      </c>
      <c r="AQ5233">
        <v>1</v>
      </c>
      <c r="AR5233" t="s">
        <v>80</v>
      </c>
      <c r="AS5233" t="s">
        <v>81</v>
      </c>
      <c r="AT5233" t="s">
        <v>58</v>
      </c>
      <c r="AU5233" t="s">
        <v>68</v>
      </c>
      <c r="AV5233" t="s">
        <v>69</v>
      </c>
      <c r="AW5233" s="1">
        <v>24177</v>
      </c>
      <c r="AX5233">
        <v>1</v>
      </c>
    </row>
    <row r="5234" spans="1:50">
      <c r="B5234" t="str">
        <f>"159554215"</f>
        <v>159554215</v>
      </c>
      <c r="C5234" t="s">
        <v>50</v>
      </c>
      <c r="D5234" t="s">
        <v>9511</v>
      </c>
      <c r="E5234" t="s">
        <v>316</v>
      </c>
      <c r="F5234" t="s">
        <v>95</v>
      </c>
      <c r="G5234" t="s">
        <v>112</v>
      </c>
      <c r="H5234" t="str">
        <f>" "</f>
        <v xml:space="preserve"> </v>
      </c>
      <c r="K5234">
        <v>6942892260</v>
      </c>
      <c r="N5234" t="s">
        <v>615</v>
      </c>
      <c r="O5234" t="s">
        <v>616</v>
      </c>
      <c r="R5234" t="s">
        <v>159</v>
      </c>
      <c r="S5234">
        <v>1</v>
      </c>
      <c r="T5234" t="s">
        <v>8675</v>
      </c>
      <c r="U5234" s="1">
        <v>43348</v>
      </c>
      <c r="V5234" t="s">
        <v>80</v>
      </c>
      <c r="W5234" t="s">
        <v>81</v>
      </c>
      <c r="X5234" t="s">
        <v>58</v>
      </c>
      <c r="Y5234">
        <v>24</v>
      </c>
      <c r="Z5234" t="s">
        <v>59</v>
      </c>
      <c r="AA5234" t="s">
        <v>59</v>
      </c>
      <c r="AB5234" t="s">
        <v>59</v>
      </c>
      <c r="AD5234" t="s">
        <v>59</v>
      </c>
      <c r="AF5234" s="1">
        <v>43348</v>
      </c>
      <c r="AG5234" t="s">
        <v>8645</v>
      </c>
      <c r="AH5234" t="s">
        <v>8646</v>
      </c>
      <c r="AI5234" t="str">
        <f>"9170020"</f>
        <v>9170020</v>
      </c>
      <c r="AJ5234" t="s">
        <v>9244</v>
      </c>
      <c r="AK5234">
        <v>2810821476</v>
      </c>
      <c r="AL5234" t="s">
        <v>9245</v>
      </c>
      <c r="AM5234" t="s">
        <v>78</v>
      </c>
      <c r="AN5234" t="s">
        <v>129</v>
      </c>
      <c r="AO5234" t="s">
        <v>130</v>
      </c>
      <c r="AP5234" t="s">
        <v>9246</v>
      </c>
      <c r="AQ5234">
        <v>2</v>
      </c>
      <c r="AR5234" t="s">
        <v>80</v>
      </c>
      <c r="AS5234" t="s">
        <v>81</v>
      </c>
      <c r="AT5234" t="s">
        <v>58</v>
      </c>
      <c r="AU5234" t="s">
        <v>8673</v>
      </c>
      <c r="AV5234" t="s">
        <v>132</v>
      </c>
      <c r="AW5234" s="1">
        <v>32825</v>
      </c>
      <c r="AX5234">
        <v>1</v>
      </c>
    </row>
    <row r="5235" spans="1:50">
      <c r="A5235">
        <v>575549</v>
      </c>
      <c r="B5235" t="str">
        <f>"036325977"</f>
        <v>036325977</v>
      </c>
      <c r="C5235" t="s">
        <v>50</v>
      </c>
      <c r="D5235" t="s">
        <v>5908</v>
      </c>
      <c r="E5235" t="s">
        <v>755</v>
      </c>
      <c r="F5235" t="s">
        <v>383</v>
      </c>
      <c r="G5235" t="s">
        <v>96</v>
      </c>
      <c r="H5235" t="str">
        <f>"ΛΥΚΤΟΥ 38 ΗΡΑΚΛΕΙΟ"</f>
        <v>ΛΥΚΤΟΥ 38 ΗΡΑΚΛΕΙΟ</v>
      </c>
      <c r="I5235">
        <v>71500</v>
      </c>
      <c r="J5235">
        <v>2810542134</v>
      </c>
      <c r="K5235">
        <v>6978925280</v>
      </c>
      <c r="N5235" t="s">
        <v>615</v>
      </c>
      <c r="O5235" t="s">
        <v>616</v>
      </c>
      <c r="R5235" t="s">
        <v>57</v>
      </c>
      <c r="S5235">
        <v>13</v>
      </c>
      <c r="T5235">
        <v>184</v>
      </c>
      <c r="U5235" s="1">
        <v>34941</v>
      </c>
      <c r="V5235" t="s">
        <v>80</v>
      </c>
      <c r="W5235" t="s">
        <v>81</v>
      </c>
      <c r="X5235" t="s">
        <v>58</v>
      </c>
      <c r="Y5235">
        <v>21</v>
      </c>
      <c r="Z5235" t="s">
        <v>59</v>
      </c>
      <c r="AA5235" t="s">
        <v>59</v>
      </c>
      <c r="AB5235" t="s">
        <v>59</v>
      </c>
      <c r="AC5235" t="s">
        <v>59</v>
      </c>
      <c r="AD5235" t="s">
        <v>59</v>
      </c>
      <c r="AF5235" s="1">
        <v>34949</v>
      </c>
      <c r="AG5235" t="s">
        <v>8645</v>
      </c>
      <c r="AH5235" t="s">
        <v>8646</v>
      </c>
      <c r="AI5235" t="str">
        <f>"9170017"</f>
        <v>9170017</v>
      </c>
      <c r="AJ5235" t="s">
        <v>9114</v>
      </c>
      <c r="AK5235">
        <v>2810250746</v>
      </c>
      <c r="AL5235" t="s">
        <v>9115</v>
      </c>
      <c r="AM5235" t="s">
        <v>78</v>
      </c>
      <c r="AN5235" t="s">
        <v>129</v>
      </c>
      <c r="AO5235" t="s">
        <v>130</v>
      </c>
      <c r="AP5235" t="s">
        <v>130</v>
      </c>
      <c r="AQ5235">
        <v>1</v>
      </c>
      <c r="AR5235" t="s">
        <v>80</v>
      </c>
      <c r="AS5235" t="s">
        <v>81</v>
      </c>
      <c r="AT5235" t="s">
        <v>58</v>
      </c>
      <c r="AU5235" t="s">
        <v>68</v>
      </c>
      <c r="AV5235" t="s">
        <v>69</v>
      </c>
      <c r="AW5235" s="1">
        <v>24577</v>
      </c>
      <c r="AX5235">
        <v>1</v>
      </c>
    </row>
    <row r="5236" spans="1:50">
      <c r="A5236">
        <v>607355</v>
      </c>
      <c r="B5236" t="str">
        <f>"100081831"</f>
        <v>100081831</v>
      </c>
      <c r="C5236" t="s">
        <v>50</v>
      </c>
      <c r="D5236" t="s">
        <v>5908</v>
      </c>
      <c r="E5236" t="s">
        <v>188</v>
      </c>
      <c r="F5236" t="s">
        <v>72</v>
      </c>
      <c r="G5236" t="s">
        <v>396</v>
      </c>
      <c r="H5236" t="str">
        <f>"Καρίας 16 Ν. Αλικαρνασσού"</f>
        <v>Καρίας 16 Ν. Αλικαρνασσού</v>
      </c>
      <c r="I5236">
        <v>71601</v>
      </c>
      <c r="J5236">
        <v>2810331873</v>
      </c>
      <c r="K5236">
        <v>6946146895</v>
      </c>
      <c r="L5236">
        <v>2834022815</v>
      </c>
      <c r="M5236" t="s">
        <v>9512</v>
      </c>
      <c r="N5236" t="s">
        <v>615</v>
      </c>
      <c r="O5236" t="s">
        <v>616</v>
      </c>
      <c r="R5236" t="s">
        <v>57</v>
      </c>
      <c r="S5236">
        <v>7</v>
      </c>
      <c r="T5236">
        <v>217</v>
      </c>
      <c r="U5236" s="1">
        <v>38596</v>
      </c>
      <c r="V5236" t="s">
        <v>80</v>
      </c>
      <c r="W5236" t="s">
        <v>81</v>
      </c>
      <c r="X5236" t="s">
        <v>58</v>
      </c>
      <c r="Y5236">
        <v>23</v>
      </c>
      <c r="Z5236" t="s">
        <v>59</v>
      </c>
      <c r="AA5236" t="s">
        <v>59</v>
      </c>
      <c r="AB5236" t="s">
        <v>452</v>
      </c>
      <c r="AC5236" t="s">
        <v>59</v>
      </c>
      <c r="AD5236" t="s">
        <v>59</v>
      </c>
      <c r="AF5236" s="1">
        <v>38600</v>
      </c>
      <c r="AG5236" t="s">
        <v>8645</v>
      </c>
      <c r="AH5236" t="s">
        <v>8646</v>
      </c>
      <c r="AI5236" t="str">
        <f>"9170362"</f>
        <v>9170362</v>
      </c>
      <c r="AJ5236" t="s">
        <v>8681</v>
      </c>
      <c r="AK5236">
        <v>2810255261</v>
      </c>
      <c r="AL5236" t="s">
        <v>8682</v>
      </c>
      <c r="AM5236" t="s">
        <v>78</v>
      </c>
      <c r="AN5236" t="s">
        <v>78</v>
      </c>
      <c r="AO5236" t="s">
        <v>78</v>
      </c>
      <c r="AP5236" t="s">
        <v>141</v>
      </c>
      <c r="AQ5236">
        <v>1</v>
      </c>
      <c r="AR5236" t="s">
        <v>80</v>
      </c>
      <c r="AS5236" t="s">
        <v>81</v>
      </c>
      <c r="AT5236" t="s">
        <v>58</v>
      </c>
      <c r="AU5236" t="s">
        <v>68</v>
      </c>
      <c r="AV5236" t="s">
        <v>69</v>
      </c>
      <c r="AW5236" s="1">
        <v>29542</v>
      </c>
      <c r="AX5236">
        <v>1</v>
      </c>
    </row>
    <row r="5237" spans="1:50">
      <c r="B5237" t="str">
        <f>"140205598"</f>
        <v>140205598</v>
      </c>
      <c r="C5237" t="s">
        <v>50</v>
      </c>
      <c r="D5237" t="s">
        <v>9513</v>
      </c>
      <c r="E5237" t="s">
        <v>3150</v>
      </c>
      <c r="F5237" t="s">
        <v>106</v>
      </c>
      <c r="G5237" t="s">
        <v>52</v>
      </c>
      <c r="H5237" t="str">
        <f>"ΣΩΣΤΡΑΤΟΥ 7 "</f>
        <v xml:space="preserve">ΣΩΣΤΡΑΤΟΥ 7 </v>
      </c>
      <c r="I5237">
        <v>11743</v>
      </c>
      <c r="J5237">
        <v>2109232173</v>
      </c>
      <c r="K5237">
        <v>6973526384</v>
      </c>
      <c r="M5237" t="s">
        <v>9514</v>
      </c>
      <c r="N5237" t="s">
        <v>384</v>
      </c>
      <c r="O5237" t="s">
        <v>385</v>
      </c>
      <c r="R5237" t="s">
        <v>159</v>
      </c>
      <c r="S5237">
        <v>1</v>
      </c>
      <c r="T5237" t="s">
        <v>8675</v>
      </c>
      <c r="U5237" s="1">
        <v>43348</v>
      </c>
      <c r="V5237" t="s">
        <v>80</v>
      </c>
      <c r="W5237" t="s">
        <v>81</v>
      </c>
      <c r="X5237" t="s">
        <v>58</v>
      </c>
      <c r="Y5237">
        <v>24</v>
      </c>
      <c r="Z5237" t="s">
        <v>59</v>
      </c>
      <c r="AA5237" t="s">
        <v>59</v>
      </c>
      <c r="AB5237" t="s">
        <v>59</v>
      </c>
      <c r="AC5237" t="s">
        <v>59</v>
      </c>
      <c r="AD5237" t="s">
        <v>59</v>
      </c>
      <c r="AF5237" s="1">
        <v>43348</v>
      </c>
      <c r="AG5237" t="s">
        <v>8645</v>
      </c>
      <c r="AH5237" t="s">
        <v>8646</v>
      </c>
      <c r="AI5237" t="str">
        <f>"9170514"</f>
        <v>9170514</v>
      </c>
      <c r="AJ5237" t="s">
        <v>8801</v>
      </c>
      <c r="AK5237">
        <v>2810238666</v>
      </c>
      <c r="AL5237" t="s">
        <v>8802</v>
      </c>
      <c r="AM5237" t="s">
        <v>78</v>
      </c>
      <c r="AN5237" t="s">
        <v>78</v>
      </c>
      <c r="AO5237" t="s">
        <v>78</v>
      </c>
      <c r="AP5237" t="s">
        <v>163</v>
      </c>
      <c r="AQ5237">
        <v>1</v>
      </c>
      <c r="AR5237" t="s">
        <v>80</v>
      </c>
      <c r="AS5237" t="s">
        <v>81</v>
      </c>
      <c r="AT5237" t="s">
        <v>58</v>
      </c>
      <c r="AU5237" t="s">
        <v>8673</v>
      </c>
      <c r="AV5237" t="s">
        <v>132</v>
      </c>
      <c r="AW5237" s="1">
        <v>31288</v>
      </c>
      <c r="AX5237">
        <v>1</v>
      </c>
    </row>
    <row r="5238" spans="1:50">
      <c r="B5238" t="str">
        <f>"139969964"</f>
        <v>139969964</v>
      </c>
      <c r="C5238" t="s">
        <v>105</v>
      </c>
      <c r="D5238" t="s">
        <v>9515</v>
      </c>
      <c r="E5238" t="s">
        <v>2227</v>
      </c>
      <c r="F5238" t="s">
        <v>95</v>
      </c>
      <c r="G5238" t="s">
        <v>506</v>
      </c>
      <c r="H5238" t="str">
        <f>"ΚΕΣΣΙΔΗ 32 "</f>
        <v xml:space="preserve">ΚΕΣΣΙΔΗ 32 </v>
      </c>
      <c r="I5238">
        <v>57001</v>
      </c>
      <c r="J5238">
        <v>2310462793</v>
      </c>
      <c r="K5238">
        <v>6945262768</v>
      </c>
      <c r="N5238" t="s">
        <v>615</v>
      </c>
      <c r="O5238" t="s">
        <v>616</v>
      </c>
      <c r="R5238" t="s">
        <v>159</v>
      </c>
      <c r="S5238">
        <v>5</v>
      </c>
      <c r="T5238" t="s">
        <v>8675</v>
      </c>
      <c r="U5238" s="1">
        <v>43348</v>
      </c>
      <c r="V5238" t="s">
        <v>80</v>
      </c>
      <c r="W5238" t="s">
        <v>81</v>
      </c>
      <c r="X5238" t="s">
        <v>58</v>
      </c>
      <c r="Y5238">
        <v>24</v>
      </c>
      <c r="Z5238" t="s">
        <v>59</v>
      </c>
      <c r="AA5238" t="s">
        <v>59</v>
      </c>
      <c r="AB5238" t="s">
        <v>59</v>
      </c>
      <c r="AC5238" t="s">
        <v>59</v>
      </c>
      <c r="AD5238" t="s">
        <v>59</v>
      </c>
      <c r="AF5238" s="1">
        <v>43348</v>
      </c>
      <c r="AG5238" t="s">
        <v>8645</v>
      </c>
      <c r="AH5238" t="s">
        <v>8646</v>
      </c>
      <c r="AI5238" t="str">
        <f>"9170300"</f>
        <v>9170300</v>
      </c>
      <c r="AJ5238" t="s">
        <v>8905</v>
      </c>
      <c r="AK5238">
        <v>2892041219</v>
      </c>
      <c r="AL5238" t="s">
        <v>8906</v>
      </c>
      <c r="AM5238" t="s">
        <v>78</v>
      </c>
      <c r="AN5238" t="s">
        <v>242</v>
      </c>
      <c r="AO5238" t="s">
        <v>243</v>
      </c>
      <c r="AP5238" t="s">
        <v>244</v>
      </c>
      <c r="AQ5238">
        <v>18</v>
      </c>
      <c r="AR5238" t="s">
        <v>80</v>
      </c>
      <c r="AS5238" t="s">
        <v>81</v>
      </c>
      <c r="AT5238" t="s">
        <v>58</v>
      </c>
      <c r="AU5238" t="s">
        <v>8673</v>
      </c>
      <c r="AV5238" t="s">
        <v>132</v>
      </c>
      <c r="AW5238" s="1">
        <v>31715</v>
      </c>
      <c r="AX5238">
        <v>1</v>
      </c>
    </row>
    <row r="5239" spans="1:50">
      <c r="A5239">
        <v>618777</v>
      </c>
      <c r="B5239" t="str">
        <f>"133463929"</f>
        <v>133463929</v>
      </c>
      <c r="C5239" t="s">
        <v>50</v>
      </c>
      <c r="D5239" t="s">
        <v>9516</v>
      </c>
      <c r="E5239" t="s">
        <v>52</v>
      </c>
      <c r="F5239" t="s">
        <v>1559</v>
      </c>
      <c r="G5239" t="s">
        <v>9517</v>
      </c>
      <c r="H5239" t="str">
        <f>"ΔΑΓΚΛΗ 36 ΘΕΣΣΑΛΟΝΙΚΗ"</f>
        <v>ΔΑΓΚΛΗ 36 ΘΕΣΣΑΛΟΝΙΚΗ</v>
      </c>
      <c r="I5239">
        <v>55337</v>
      </c>
      <c r="J5239">
        <v>2310922610</v>
      </c>
      <c r="K5239">
        <v>6946994665</v>
      </c>
      <c r="M5239" t="s">
        <v>9518</v>
      </c>
      <c r="N5239" t="s">
        <v>615</v>
      </c>
      <c r="O5239" t="s">
        <v>616</v>
      </c>
      <c r="P5239" t="s">
        <v>176</v>
      </c>
      <c r="Q5239" t="s">
        <v>177</v>
      </c>
      <c r="R5239" t="s">
        <v>57</v>
      </c>
      <c r="S5239">
        <v>4</v>
      </c>
      <c r="T5239">
        <v>774</v>
      </c>
      <c r="U5239" s="1">
        <v>39680</v>
      </c>
      <c r="V5239" t="s">
        <v>80</v>
      </c>
      <c r="W5239" t="s">
        <v>81</v>
      </c>
      <c r="X5239" t="s">
        <v>58</v>
      </c>
      <c r="Y5239">
        <v>24</v>
      </c>
      <c r="Z5239" t="s">
        <v>59</v>
      </c>
      <c r="AA5239" t="s">
        <v>59</v>
      </c>
      <c r="AB5239" t="s">
        <v>59</v>
      </c>
      <c r="AC5239" t="s">
        <v>59</v>
      </c>
      <c r="AD5239" t="s">
        <v>59</v>
      </c>
      <c r="AF5239" s="1">
        <v>39681</v>
      </c>
      <c r="AG5239" t="s">
        <v>8645</v>
      </c>
      <c r="AH5239" t="s">
        <v>8646</v>
      </c>
      <c r="AI5239" t="str">
        <f>"9170002"</f>
        <v>9170002</v>
      </c>
      <c r="AJ5239" t="s">
        <v>9368</v>
      </c>
      <c r="AK5239">
        <v>2894041207</v>
      </c>
      <c r="AL5239" t="s">
        <v>9369</v>
      </c>
      <c r="AM5239" t="s">
        <v>78</v>
      </c>
      <c r="AN5239" t="s">
        <v>405</v>
      </c>
      <c r="AO5239" t="s">
        <v>551</v>
      </c>
      <c r="AP5239" t="s">
        <v>552</v>
      </c>
      <c r="AQ5239">
        <v>21</v>
      </c>
      <c r="AR5239" t="s">
        <v>80</v>
      </c>
      <c r="AS5239" t="s">
        <v>81</v>
      </c>
      <c r="AT5239" t="s">
        <v>58</v>
      </c>
      <c r="AU5239" t="s">
        <v>68</v>
      </c>
      <c r="AV5239" t="s">
        <v>69</v>
      </c>
      <c r="AW5239" s="1">
        <v>31177</v>
      </c>
      <c r="AX5239">
        <v>1</v>
      </c>
    </row>
    <row r="5240" spans="1:50">
      <c r="A5240">
        <v>219743</v>
      </c>
      <c r="B5240" t="str">
        <f>"065188410"</f>
        <v>065188410</v>
      </c>
      <c r="C5240" t="s">
        <v>50</v>
      </c>
      <c r="D5240" t="s">
        <v>9519</v>
      </c>
      <c r="E5240" t="s">
        <v>580</v>
      </c>
      <c r="F5240" t="s">
        <v>309</v>
      </c>
      <c r="G5240" t="s">
        <v>237</v>
      </c>
      <c r="H5240" t="str">
        <f>"ΜΠΑΦΡΑΣ &amp; ΣΠΑΡΤΙΑΤΟΥ(ΓΩΝΙΑ) ΓΙΑΝΝΙΤΣΑ"</f>
        <v>ΜΠΑΦΡΑΣ &amp; ΣΠΑΡΤΙΑΤΟΥ(ΓΩΝΙΑ) ΓΙΑΝΝΙΤΣΑ</v>
      </c>
      <c r="I5240">
        <v>58100</v>
      </c>
      <c r="J5240">
        <v>2382029236</v>
      </c>
      <c r="K5240">
        <v>6932730023</v>
      </c>
      <c r="N5240" t="s">
        <v>176</v>
      </c>
      <c r="O5240" t="s">
        <v>177</v>
      </c>
      <c r="R5240" t="s">
        <v>57</v>
      </c>
      <c r="S5240">
        <v>5</v>
      </c>
      <c r="T5240">
        <v>599</v>
      </c>
      <c r="U5240" s="1">
        <v>39310</v>
      </c>
      <c r="V5240" t="s">
        <v>80</v>
      </c>
      <c r="W5240" t="s">
        <v>81</v>
      </c>
      <c r="X5240" t="s">
        <v>58</v>
      </c>
      <c r="Y5240">
        <v>23</v>
      </c>
      <c r="Z5240" t="s">
        <v>59</v>
      </c>
      <c r="AA5240" t="s">
        <v>59</v>
      </c>
      <c r="AB5240" t="s">
        <v>59</v>
      </c>
      <c r="AC5240" t="s">
        <v>59</v>
      </c>
      <c r="AD5240" t="s">
        <v>59</v>
      </c>
      <c r="AF5240" s="1">
        <v>39328</v>
      </c>
      <c r="AG5240" t="s">
        <v>8645</v>
      </c>
      <c r="AH5240" t="s">
        <v>8646</v>
      </c>
      <c r="AI5240" t="str">
        <f>"9170017"</f>
        <v>9170017</v>
      </c>
      <c r="AJ5240" t="s">
        <v>9114</v>
      </c>
      <c r="AK5240">
        <v>2810250746</v>
      </c>
      <c r="AL5240" t="s">
        <v>9115</v>
      </c>
      <c r="AM5240" t="s">
        <v>78</v>
      </c>
      <c r="AN5240" t="s">
        <v>129</v>
      </c>
      <c r="AO5240" t="s">
        <v>130</v>
      </c>
      <c r="AP5240" t="s">
        <v>130</v>
      </c>
      <c r="AQ5240">
        <v>1</v>
      </c>
      <c r="AR5240" t="s">
        <v>80</v>
      </c>
      <c r="AS5240" t="s">
        <v>81</v>
      </c>
      <c r="AT5240" t="s">
        <v>58</v>
      </c>
      <c r="AU5240" t="s">
        <v>68</v>
      </c>
      <c r="AV5240" t="s">
        <v>69</v>
      </c>
      <c r="AW5240" s="1">
        <v>29595</v>
      </c>
      <c r="AX5240">
        <v>1</v>
      </c>
    </row>
    <row r="5241" spans="1:50">
      <c r="B5241" t="str">
        <f>"100731395"</f>
        <v>100731395</v>
      </c>
      <c r="C5241" t="s">
        <v>50</v>
      </c>
      <c r="D5241" t="s">
        <v>1245</v>
      </c>
      <c r="E5241" t="s">
        <v>155</v>
      </c>
      <c r="F5241" t="s">
        <v>202</v>
      </c>
      <c r="G5241" t="s">
        <v>9520</v>
      </c>
      <c r="H5241" t="str">
        <f>"ΤΕΡΜΑ ΑΡΓΟΝΑΥΤΩΝ ΤΡΙΚΑΛΑ"</f>
        <v>ΤΕΡΜΑ ΑΡΓΟΝΑΥΤΩΝ ΤΡΙΚΑΛΑ</v>
      </c>
      <c r="I5241">
        <v>42100</v>
      </c>
      <c r="K5241">
        <v>6994244080</v>
      </c>
      <c r="N5241" t="s">
        <v>176</v>
      </c>
      <c r="O5241" t="s">
        <v>177</v>
      </c>
      <c r="R5241" t="s">
        <v>159</v>
      </c>
      <c r="S5241">
        <v>3</v>
      </c>
      <c r="T5241" t="s">
        <v>8675</v>
      </c>
      <c r="U5241" s="1">
        <v>43348</v>
      </c>
      <c r="V5241" t="s">
        <v>80</v>
      </c>
      <c r="W5241" t="s">
        <v>81</v>
      </c>
      <c r="X5241" t="s">
        <v>58</v>
      </c>
      <c r="Y5241">
        <v>24</v>
      </c>
      <c r="Z5241" t="s">
        <v>59</v>
      </c>
      <c r="AA5241" t="s">
        <v>59</v>
      </c>
      <c r="AB5241" t="s">
        <v>59</v>
      </c>
      <c r="AC5241" t="s">
        <v>59</v>
      </c>
      <c r="AD5241" t="s">
        <v>59</v>
      </c>
      <c r="AF5241" s="1">
        <v>43348</v>
      </c>
      <c r="AG5241" t="s">
        <v>8645</v>
      </c>
      <c r="AH5241" t="s">
        <v>8646</v>
      </c>
      <c r="AI5241" t="str">
        <f>"9170263"</f>
        <v>9170263</v>
      </c>
      <c r="AJ5241" t="s">
        <v>8942</v>
      </c>
      <c r="AK5241">
        <v>2810346939</v>
      </c>
      <c r="AL5241" t="s">
        <v>8943</v>
      </c>
      <c r="AM5241" t="s">
        <v>78</v>
      </c>
      <c r="AN5241" t="s">
        <v>78</v>
      </c>
      <c r="AO5241" t="s">
        <v>286</v>
      </c>
      <c r="AP5241" t="s">
        <v>286</v>
      </c>
      <c r="AQ5241">
        <v>1</v>
      </c>
      <c r="AR5241" t="s">
        <v>80</v>
      </c>
      <c r="AS5241" t="s">
        <v>81</v>
      </c>
      <c r="AT5241" t="s">
        <v>58</v>
      </c>
      <c r="AU5241" t="s">
        <v>8673</v>
      </c>
      <c r="AV5241" t="s">
        <v>132</v>
      </c>
      <c r="AW5241" s="1">
        <v>24912</v>
      </c>
      <c r="AX5241">
        <v>1</v>
      </c>
    </row>
    <row r="5242" spans="1:50">
      <c r="B5242" t="str">
        <f>"154422487"</f>
        <v>154422487</v>
      </c>
      <c r="C5242" t="s">
        <v>50</v>
      </c>
      <c r="D5242" t="s">
        <v>9521</v>
      </c>
      <c r="E5242" t="s">
        <v>630</v>
      </c>
      <c r="F5242" t="s">
        <v>957</v>
      </c>
      <c r="G5242" t="s">
        <v>1443</v>
      </c>
      <c r="H5242" t="str">
        <f>" "</f>
        <v xml:space="preserve"> </v>
      </c>
      <c r="K5242">
        <v>6987895306</v>
      </c>
      <c r="N5242" t="s">
        <v>615</v>
      </c>
      <c r="O5242" t="s">
        <v>616</v>
      </c>
      <c r="R5242" t="s">
        <v>121</v>
      </c>
      <c r="S5242">
        <v>3</v>
      </c>
      <c r="T5242" t="s">
        <v>8675</v>
      </c>
      <c r="U5242" s="1">
        <v>43348</v>
      </c>
      <c r="V5242" t="s">
        <v>80</v>
      </c>
      <c r="W5242" t="s">
        <v>81</v>
      </c>
      <c r="X5242" t="s">
        <v>58</v>
      </c>
      <c r="Y5242">
        <v>24</v>
      </c>
      <c r="Z5242" t="s">
        <v>59</v>
      </c>
      <c r="AA5242" t="s">
        <v>59</v>
      </c>
      <c r="AB5242" t="s">
        <v>59</v>
      </c>
      <c r="AD5242" t="s">
        <v>59</v>
      </c>
      <c r="AF5242" s="1">
        <v>43348</v>
      </c>
      <c r="AG5242" t="s">
        <v>8645</v>
      </c>
      <c r="AH5242" t="s">
        <v>8646</v>
      </c>
      <c r="AI5242" t="str">
        <f>"9170257"</f>
        <v>9170257</v>
      </c>
      <c r="AJ5242" t="s">
        <v>8710</v>
      </c>
      <c r="AK5242">
        <v>2810245513</v>
      </c>
      <c r="AL5242" t="s">
        <v>8711</v>
      </c>
      <c r="AM5242" t="s">
        <v>78</v>
      </c>
      <c r="AN5242" t="s">
        <v>78</v>
      </c>
      <c r="AO5242" t="s">
        <v>78</v>
      </c>
      <c r="AP5242" t="s">
        <v>213</v>
      </c>
      <c r="AQ5242">
        <v>1</v>
      </c>
      <c r="AR5242" t="s">
        <v>80</v>
      </c>
      <c r="AS5242" t="s">
        <v>81</v>
      </c>
      <c r="AT5242" t="s">
        <v>58</v>
      </c>
      <c r="AU5242" t="s">
        <v>8673</v>
      </c>
      <c r="AV5242" t="s">
        <v>132</v>
      </c>
      <c r="AW5242" s="1">
        <v>32816</v>
      </c>
      <c r="AX5242">
        <v>1</v>
      </c>
    </row>
    <row r="5243" spans="1:50">
      <c r="A5243">
        <v>618898</v>
      </c>
      <c r="B5243" t="str">
        <f>"066992299"</f>
        <v>066992299</v>
      </c>
      <c r="C5243" t="s">
        <v>50</v>
      </c>
      <c r="D5243" t="s">
        <v>9522</v>
      </c>
      <c r="E5243" t="s">
        <v>372</v>
      </c>
      <c r="F5243" t="s">
        <v>450</v>
      </c>
      <c r="G5243" t="s">
        <v>6014</v>
      </c>
      <c r="H5243" t="str">
        <f>"1ο χιλ. Μοιρών-Γαλιάς ΜΟΙΡΕΣ"</f>
        <v>1ο χιλ. Μοιρών-Γαλιάς ΜΟΙΡΕΣ</v>
      </c>
      <c r="I5243">
        <v>70400</v>
      </c>
      <c r="J5243">
        <v>2892029015</v>
      </c>
      <c r="K5243">
        <v>6976435046</v>
      </c>
      <c r="N5243" t="s">
        <v>1525</v>
      </c>
      <c r="O5243" t="s">
        <v>1526</v>
      </c>
      <c r="R5243" t="s">
        <v>57</v>
      </c>
      <c r="S5243">
        <v>9</v>
      </c>
      <c r="T5243">
        <v>774</v>
      </c>
      <c r="U5243" s="1">
        <v>39680</v>
      </c>
      <c r="V5243" t="s">
        <v>80</v>
      </c>
      <c r="W5243" t="s">
        <v>81</v>
      </c>
      <c r="X5243" t="s">
        <v>58</v>
      </c>
      <c r="Y5243">
        <v>25</v>
      </c>
      <c r="Z5243" t="s">
        <v>59</v>
      </c>
      <c r="AA5243" t="s">
        <v>59</v>
      </c>
      <c r="AB5243" t="s">
        <v>59</v>
      </c>
      <c r="AC5243" t="s">
        <v>59</v>
      </c>
      <c r="AD5243" t="s">
        <v>59</v>
      </c>
      <c r="AF5243" s="1">
        <v>39681</v>
      </c>
      <c r="AG5243" t="s">
        <v>8651</v>
      </c>
      <c r="AH5243" t="s">
        <v>8652</v>
      </c>
      <c r="AI5243" t="str">
        <f>"9170281"</f>
        <v>9170281</v>
      </c>
      <c r="AJ5243" t="s">
        <v>9523</v>
      </c>
      <c r="AK5243">
        <v>2892023666</v>
      </c>
      <c r="AL5243" t="s">
        <v>9524</v>
      </c>
      <c r="AM5243" t="s">
        <v>78</v>
      </c>
      <c r="AN5243" t="s">
        <v>242</v>
      </c>
      <c r="AO5243" t="s">
        <v>243</v>
      </c>
      <c r="AP5243" t="s">
        <v>8940</v>
      </c>
      <c r="AQ5243">
        <v>20</v>
      </c>
      <c r="AR5243" t="s">
        <v>80</v>
      </c>
      <c r="AS5243" t="s">
        <v>81</v>
      </c>
      <c r="AT5243" t="s">
        <v>58</v>
      </c>
      <c r="AU5243" t="s">
        <v>68</v>
      </c>
      <c r="AV5243" t="s">
        <v>69</v>
      </c>
      <c r="AW5243" s="1">
        <v>25245</v>
      </c>
      <c r="AX5243">
        <v>1</v>
      </c>
    </row>
    <row r="5244" spans="1:50">
      <c r="A5244">
        <v>608567</v>
      </c>
      <c r="B5244" t="str">
        <f>"119262261"</f>
        <v>119262261</v>
      </c>
      <c r="C5244" t="s">
        <v>50</v>
      </c>
      <c r="D5244" t="s">
        <v>9525</v>
      </c>
      <c r="E5244" t="s">
        <v>396</v>
      </c>
      <c r="F5244" t="s">
        <v>383</v>
      </c>
      <c r="G5244" t="s">
        <v>1927</v>
      </c>
      <c r="H5244" t="str">
        <f>" "</f>
        <v xml:space="preserve"> </v>
      </c>
      <c r="J5244">
        <v>2103470605</v>
      </c>
      <c r="K5244">
        <v>6932140859</v>
      </c>
      <c r="N5244" t="s">
        <v>1525</v>
      </c>
      <c r="O5244" t="s">
        <v>1526</v>
      </c>
      <c r="R5244" t="s">
        <v>57</v>
      </c>
      <c r="S5244">
        <v>6</v>
      </c>
      <c r="T5244" t="s">
        <v>9361</v>
      </c>
      <c r="U5244" s="1">
        <v>38600</v>
      </c>
      <c r="V5244" t="s">
        <v>80</v>
      </c>
      <c r="W5244" t="s">
        <v>81</v>
      </c>
      <c r="X5244" t="s">
        <v>58</v>
      </c>
      <c r="Y5244">
        <v>25</v>
      </c>
      <c r="Z5244" t="s">
        <v>59</v>
      </c>
      <c r="AA5244" t="s">
        <v>59</v>
      </c>
      <c r="AB5244" t="s">
        <v>59</v>
      </c>
      <c r="AC5244" t="s">
        <v>59</v>
      </c>
      <c r="AD5244" t="s">
        <v>59</v>
      </c>
      <c r="AF5244" s="1">
        <v>38600</v>
      </c>
      <c r="AG5244" t="s">
        <v>8651</v>
      </c>
      <c r="AH5244" t="s">
        <v>8652</v>
      </c>
      <c r="AI5244" t="str">
        <f>"9170371"</f>
        <v>9170371</v>
      </c>
      <c r="AJ5244" t="s">
        <v>9526</v>
      </c>
      <c r="AK5244">
        <v>2891031438</v>
      </c>
      <c r="AL5244" t="s">
        <v>9527</v>
      </c>
      <c r="AM5244" t="s">
        <v>78</v>
      </c>
      <c r="AN5244" t="s">
        <v>276</v>
      </c>
      <c r="AO5244" t="s">
        <v>277</v>
      </c>
      <c r="AP5244" t="s">
        <v>277</v>
      </c>
      <c r="AQ5244">
        <v>13</v>
      </c>
      <c r="AR5244" t="s">
        <v>80</v>
      </c>
      <c r="AS5244" t="s">
        <v>81</v>
      </c>
      <c r="AT5244" t="s">
        <v>58</v>
      </c>
      <c r="AU5244" t="s">
        <v>68</v>
      </c>
      <c r="AV5244" t="s">
        <v>69</v>
      </c>
      <c r="AW5244" s="1">
        <v>29690</v>
      </c>
      <c r="AX5244">
        <v>1</v>
      </c>
    </row>
    <row r="5245" spans="1:50">
      <c r="A5245">
        <v>618378</v>
      </c>
      <c r="B5245" t="str">
        <f>"034639159"</f>
        <v>034639159</v>
      </c>
      <c r="C5245" t="s">
        <v>50</v>
      </c>
      <c r="D5245" t="s">
        <v>9528</v>
      </c>
      <c r="E5245" t="s">
        <v>9529</v>
      </c>
      <c r="F5245" t="s">
        <v>670</v>
      </c>
      <c r="G5245" t="s">
        <v>1179</v>
      </c>
      <c r="H5245" t="str">
        <f>"ΣΤΥΛΙΑΝΟΥ ΓΕΩΡΓΙΟΥ 3- ΗΡΑΚΛΕΙΟ ΗΡΑΚΛΕΙΟ"</f>
        <v>ΣΤΥΛΙΑΝΟΥ ΓΕΩΡΓΙΟΥ 3- ΗΡΑΚΛΕΙΟ ΗΡΑΚΛΕΙΟ</v>
      </c>
      <c r="I5245">
        <v>71305</v>
      </c>
      <c r="J5245">
        <v>2810360331</v>
      </c>
      <c r="K5245">
        <v>6939109529</v>
      </c>
      <c r="L5245">
        <v>2811758916</v>
      </c>
      <c r="N5245" t="s">
        <v>615</v>
      </c>
      <c r="O5245" t="s">
        <v>616</v>
      </c>
      <c r="R5245" t="s">
        <v>57</v>
      </c>
      <c r="S5245">
        <v>7</v>
      </c>
      <c r="T5245">
        <v>774</v>
      </c>
      <c r="U5245" s="1">
        <v>39680</v>
      </c>
      <c r="V5245" t="s">
        <v>80</v>
      </c>
      <c r="W5245" t="s">
        <v>81</v>
      </c>
      <c r="X5245" t="s">
        <v>58</v>
      </c>
      <c r="Y5245">
        <v>23</v>
      </c>
      <c r="Z5245" t="s">
        <v>59</v>
      </c>
      <c r="AA5245" t="s">
        <v>59</v>
      </c>
      <c r="AB5245" t="s">
        <v>59</v>
      </c>
      <c r="AC5245" t="s">
        <v>59</v>
      </c>
      <c r="AD5245" t="s">
        <v>59</v>
      </c>
      <c r="AF5245" s="1">
        <v>39681</v>
      </c>
      <c r="AG5245" t="s">
        <v>8645</v>
      </c>
      <c r="AH5245" t="s">
        <v>8646</v>
      </c>
      <c r="AI5245" t="str">
        <f>"9170061"</f>
        <v>9170061</v>
      </c>
      <c r="AJ5245" t="s">
        <v>8869</v>
      </c>
      <c r="AK5245">
        <v>2810791254</v>
      </c>
      <c r="AL5245" t="s">
        <v>8870</v>
      </c>
      <c r="AM5245" t="s">
        <v>78</v>
      </c>
      <c r="AN5245" t="s">
        <v>78</v>
      </c>
      <c r="AO5245" t="s">
        <v>78</v>
      </c>
      <c r="AP5245" t="s">
        <v>8871</v>
      </c>
      <c r="AQ5245">
        <v>3</v>
      </c>
      <c r="AR5245" t="s">
        <v>80</v>
      </c>
      <c r="AS5245" t="s">
        <v>81</v>
      </c>
      <c r="AT5245" t="s">
        <v>58</v>
      </c>
      <c r="AU5245" t="s">
        <v>68</v>
      </c>
      <c r="AV5245" t="s">
        <v>69</v>
      </c>
      <c r="AW5245" s="1">
        <v>30933</v>
      </c>
      <c r="AX5245">
        <v>1</v>
      </c>
    </row>
    <row r="5246" spans="1:50">
      <c r="A5246">
        <v>587110</v>
      </c>
      <c r="B5246" t="str">
        <f>"035141515"</f>
        <v>035141515</v>
      </c>
      <c r="C5246" t="s">
        <v>50</v>
      </c>
      <c r="D5246" t="s">
        <v>1251</v>
      </c>
      <c r="E5246" t="s">
        <v>237</v>
      </c>
      <c r="F5246" t="s">
        <v>166</v>
      </c>
      <c r="G5246" t="s">
        <v>52</v>
      </c>
      <c r="H5246" t="str">
        <f>"ΜΙΧΑΗΛ ΒΛΑΧΟΥ 9 ΜΑΣΤΑΜΠΑΣ ΗΡΑΚΛΕΙΟΥ"</f>
        <v>ΜΙΧΑΗΛ ΒΛΑΧΟΥ 9 ΜΑΣΤΑΜΠΑΣ ΗΡΑΚΛΕΙΟΥ</v>
      </c>
      <c r="I5246">
        <v>71305</v>
      </c>
      <c r="J5246">
        <v>2810210183</v>
      </c>
      <c r="K5246">
        <v>6979332018</v>
      </c>
      <c r="L5246">
        <v>6955101083</v>
      </c>
      <c r="M5246" t="s">
        <v>9530</v>
      </c>
      <c r="N5246" t="s">
        <v>1525</v>
      </c>
      <c r="O5246" t="s">
        <v>1526</v>
      </c>
      <c r="R5246" t="s">
        <v>57</v>
      </c>
      <c r="S5246">
        <v>10</v>
      </c>
      <c r="T5246">
        <v>165</v>
      </c>
      <c r="U5246" s="1">
        <v>36040</v>
      </c>
      <c r="V5246" t="s">
        <v>80</v>
      </c>
      <c r="W5246" t="s">
        <v>81</v>
      </c>
      <c r="X5246" t="s">
        <v>58</v>
      </c>
      <c r="Y5246">
        <v>25</v>
      </c>
      <c r="Z5246" t="s">
        <v>59</v>
      </c>
      <c r="AA5246" t="s">
        <v>59</v>
      </c>
      <c r="AB5246" t="s">
        <v>59</v>
      </c>
      <c r="AC5246" t="s">
        <v>59</v>
      </c>
      <c r="AD5246" t="s">
        <v>59</v>
      </c>
      <c r="AF5246" s="1">
        <v>36047</v>
      </c>
      <c r="AG5246" t="s">
        <v>8651</v>
      </c>
      <c r="AH5246" t="s">
        <v>8652</v>
      </c>
      <c r="AI5246" t="str">
        <f>"9170348"</f>
        <v>9170348</v>
      </c>
      <c r="AJ5246" t="s">
        <v>9025</v>
      </c>
      <c r="AK5246">
        <v>2810239435</v>
      </c>
      <c r="AL5246" t="s">
        <v>9026</v>
      </c>
      <c r="AM5246" t="s">
        <v>78</v>
      </c>
      <c r="AN5246" t="s">
        <v>78</v>
      </c>
      <c r="AO5246" t="s">
        <v>78</v>
      </c>
      <c r="AP5246" t="s">
        <v>163</v>
      </c>
      <c r="AQ5246">
        <v>1</v>
      </c>
      <c r="AR5246" t="s">
        <v>80</v>
      </c>
      <c r="AS5246" t="s">
        <v>81</v>
      </c>
      <c r="AT5246" t="s">
        <v>58</v>
      </c>
      <c r="AU5246" t="s">
        <v>68</v>
      </c>
      <c r="AV5246" t="s">
        <v>69</v>
      </c>
      <c r="AW5246" s="1">
        <v>23903</v>
      </c>
      <c r="AX5246">
        <v>1</v>
      </c>
    </row>
    <row r="5247" spans="1:50">
      <c r="B5247" t="str">
        <f>"135204718"</f>
        <v>135204718</v>
      </c>
      <c r="C5247" t="s">
        <v>50</v>
      </c>
      <c r="D5247" t="s">
        <v>1251</v>
      </c>
      <c r="E5247" t="s">
        <v>396</v>
      </c>
      <c r="F5247" t="s">
        <v>106</v>
      </c>
      <c r="G5247" t="s">
        <v>1281</v>
      </c>
      <c r="H5247" t="str">
        <f>"ΑΛΜΥΡΙΔΟΣ 65 "</f>
        <v xml:space="preserve">ΑΛΜΥΡΙΔΟΣ 65 </v>
      </c>
      <c r="I5247">
        <v>73100</v>
      </c>
      <c r="J5247">
        <v>2821058796</v>
      </c>
      <c r="K5247">
        <v>6997117642</v>
      </c>
      <c r="N5247" t="s">
        <v>1525</v>
      </c>
      <c r="O5247" t="s">
        <v>1526</v>
      </c>
      <c r="R5247" t="s">
        <v>159</v>
      </c>
      <c r="S5247">
        <v>3</v>
      </c>
      <c r="T5247" t="s">
        <v>8670</v>
      </c>
      <c r="U5247" s="1">
        <v>43348</v>
      </c>
      <c r="V5247" t="s">
        <v>80</v>
      </c>
      <c r="W5247" t="s">
        <v>81</v>
      </c>
      <c r="X5247" t="s">
        <v>58</v>
      </c>
      <c r="Y5247">
        <v>25</v>
      </c>
      <c r="Z5247" t="s">
        <v>59</v>
      </c>
      <c r="AA5247" t="s">
        <v>59</v>
      </c>
      <c r="AB5247" t="s">
        <v>59</v>
      </c>
      <c r="AC5247" t="s">
        <v>59</v>
      </c>
      <c r="AD5247" t="s">
        <v>59</v>
      </c>
      <c r="AF5247" s="1">
        <v>43348</v>
      </c>
      <c r="AG5247" t="s">
        <v>8651</v>
      </c>
      <c r="AH5247" t="s">
        <v>8652</v>
      </c>
      <c r="AI5247" t="str">
        <f>"9170397"</f>
        <v>9170397</v>
      </c>
      <c r="AJ5247" t="s">
        <v>8832</v>
      </c>
      <c r="AK5247">
        <v>2892022520</v>
      </c>
      <c r="AL5247" t="s">
        <v>8833</v>
      </c>
      <c r="AM5247" t="s">
        <v>78</v>
      </c>
      <c r="AN5247" t="s">
        <v>242</v>
      </c>
      <c r="AO5247" t="s">
        <v>243</v>
      </c>
      <c r="AP5247" t="s">
        <v>243</v>
      </c>
      <c r="AQ5247">
        <v>20</v>
      </c>
      <c r="AR5247" t="s">
        <v>80</v>
      </c>
      <c r="AS5247" t="s">
        <v>81</v>
      </c>
      <c r="AT5247" t="s">
        <v>58</v>
      </c>
      <c r="AU5247" t="s">
        <v>8673</v>
      </c>
      <c r="AV5247" t="s">
        <v>132</v>
      </c>
      <c r="AW5247" s="1">
        <v>30667</v>
      </c>
      <c r="AX5247">
        <v>1</v>
      </c>
    </row>
    <row r="5248" spans="1:50">
      <c r="B5248" t="str">
        <f>"133559560"</f>
        <v>133559560</v>
      </c>
      <c r="C5248" t="s">
        <v>50</v>
      </c>
      <c r="D5248" t="s">
        <v>1251</v>
      </c>
      <c r="E5248" t="s">
        <v>112</v>
      </c>
      <c r="F5248" t="s">
        <v>166</v>
      </c>
      <c r="G5248" t="s">
        <v>9531</v>
      </c>
      <c r="H5248" t="str">
        <f>"ΚΙΜΩΝΟΣ ΖΩΓΡΑΦΑΚΗ 5 ΗΡΑΚΛΕΙΟ ΚΡΗΤΗΣ"</f>
        <v>ΚΙΜΩΝΟΣ ΖΩΓΡΑΦΑΚΗ 5 ΗΡΑΚΛΕΙΟ ΚΡΗΤΗΣ</v>
      </c>
      <c r="J5248">
        <v>2891061440</v>
      </c>
      <c r="K5248">
        <v>6973274801</v>
      </c>
      <c r="N5248" t="s">
        <v>8694</v>
      </c>
      <c r="O5248" t="s">
        <v>8695</v>
      </c>
      <c r="R5248" t="s">
        <v>57</v>
      </c>
      <c r="S5248">
        <v>5</v>
      </c>
      <c r="T5248" t="s">
        <v>8696</v>
      </c>
      <c r="U5248" s="1">
        <v>43348</v>
      </c>
      <c r="V5248" t="s">
        <v>80</v>
      </c>
      <c r="W5248" t="s">
        <v>81</v>
      </c>
      <c r="X5248" t="s">
        <v>58</v>
      </c>
      <c r="Y5248">
        <v>24</v>
      </c>
      <c r="Z5248" t="s">
        <v>59</v>
      </c>
      <c r="AA5248" t="s">
        <v>59</v>
      </c>
      <c r="AB5248" t="s">
        <v>59</v>
      </c>
      <c r="AC5248" t="s">
        <v>59</v>
      </c>
      <c r="AD5248" t="s">
        <v>59</v>
      </c>
      <c r="AF5248" s="1">
        <v>43348</v>
      </c>
      <c r="AG5248" t="s">
        <v>8645</v>
      </c>
      <c r="AH5248" t="s">
        <v>8646</v>
      </c>
      <c r="AI5248" t="str">
        <f>"9170263"</f>
        <v>9170263</v>
      </c>
      <c r="AJ5248" t="s">
        <v>8942</v>
      </c>
      <c r="AK5248">
        <v>2810346939</v>
      </c>
      <c r="AL5248" t="s">
        <v>8943</v>
      </c>
      <c r="AM5248" t="s">
        <v>78</v>
      </c>
      <c r="AN5248" t="s">
        <v>78</v>
      </c>
      <c r="AO5248" t="s">
        <v>286</v>
      </c>
      <c r="AP5248" t="s">
        <v>286</v>
      </c>
      <c r="AQ5248">
        <v>1</v>
      </c>
      <c r="AR5248" t="s">
        <v>80</v>
      </c>
      <c r="AS5248" t="s">
        <v>81</v>
      </c>
      <c r="AT5248" t="s">
        <v>58</v>
      </c>
      <c r="AU5248" t="s">
        <v>350</v>
      </c>
      <c r="AV5248" t="s">
        <v>132</v>
      </c>
      <c r="AW5248" s="1">
        <v>30412</v>
      </c>
      <c r="AX5248">
        <v>1</v>
      </c>
    </row>
    <row r="5249" spans="1:50">
      <c r="B5249" t="str">
        <f>"133585109"</f>
        <v>133585109</v>
      </c>
      <c r="C5249" t="s">
        <v>50</v>
      </c>
      <c r="D5249" t="s">
        <v>1251</v>
      </c>
      <c r="E5249" t="s">
        <v>109</v>
      </c>
      <c r="F5249" t="s">
        <v>166</v>
      </c>
      <c r="G5249" t="s">
        <v>237</v>
      </c>
      <c r="H5249" t="str">
        <f>" "</f>
        <v xml:space="preserve"> </v>
      </c>
      <c r="N5249" t="s">
        <v>8694</v>
      </c>
      <c r="O5249" t="s">
        <v>8695</v>
      </c>
      <c r="R5249" t="s">
        <v>159</v>
      </c>
      <c r="S5249">
        <v>1</v>
      </c>
      <c r="T5249" t="s">
        <v>8696</v>
      </c>
      <c r="U5249" s="1">
        <v>43348</v>
      </c>
      <c r="V5249" t="s">
        <v>80</v>
      </c>
      <c r="W5249" t="s">
        <v>81</v>
      </c>
      <c r="X5249" t="s">
        <v>58</v>
      </c>
      <c r="Y5249">
        <v>24</v>
      </c>
      <c r="Z5249" t="s">
        <v>59</v>
      </c>
      <c r="AA5249" t="s">
        <v>59</v>
      </c>
      <c r="AB5249" t="s">
        <v>59</v>
      </c>
      <c r="AD5249" t="s">
        <v>59</v>
      </c>
      <c r="AF5249" s="1">
        <v>43348</v>
      </c>
      <c r="AG5249" t="s">
        <v>8645</v>
      </c>
      <c r="AH5249" t="s">
        <v>8646</v>
      </c>
      <c r="AI5249" t="str">
        <f>"9170132"</f>
        <v>9170132</v>
      </c>
      <c r="AJ5249" t="s">
        <v>9010</v>
      </c>
      <c r="AK5249">
        <v>2895022233</v>
      </c>
      <c r="AL5249" t="s">
        <v>9011</v>
      </c>
      <c r="AM5249" t="s">
        <v>78</v>
      </c>
      <c r="AN5249" t="s">
        <v>482</v>
      </c>
      <c r="AO5249" t="s">
        <v>482</v>
      </c>
      <c r="AP5249" t="s">
        <v>483</v>
      </c>
      <c r="AQ5249">
        <v>14</v>
      </c>
      <c r="AR5249" t="s">
        <v>80</v>
      </c>
      <c r="AS5249" t="s">
        <v>81</v>
      </c>
      <c r="AT5249" t="s">
        <v>58</v>
      </c>
      <c r="AU5249" t="s">
        <v>350</v>
      </c>
      <c r="AV5249" t="s">
        <v>132</v>
      </c>
      <c r="AW5249" s="1">
        <v>33949</v>
      </c>
      <c r="AX5249">
        <v>1</v>
      </c>
    </row>
    <row r="5250" spans="1:50">
      <c r="A5250">
        <v>618817</v>
      </c>
      <c r="B5250" t="str">
        <f>"103510174"</f>
        <v>103510174</v>
      </c>
      <c r="C5250" t="s">
        <v>50</v>
      </c>
      <c r="D5250" t="s">
        <v>1251</v>
      </c>
      <c r="E5250" t="s">
        <v>52</v>
      </c>
      <c r="F5250" t="s">
        <v>9532</v>
      </c>
      <c r="G5250" t="s">
        <v>237</v>
      </c>
      <c r="H5250" t="str">
        <f>"ΚΟΚΚΙΝΗ ΧΑΝΙ ΚΟΚΚΙΝΗ ΧΑΝΙ"</f>
        <v>ΚΟΚΚΙΝΗ ΧΑΝΙ ΚΟΚΚΙΝΗ ΧΑΝΙ</v>
      </c>
      <c r="I5250">
        <v>71500</v>
      </c>
      <c r="J5250">
        <v>2810761332</v>
      </c>
      <c r="K5250">
        <v>6932217058</v>
      </c>
      <c r="N5250" t="s">
        <v>615</v>
      </c>
      <c r="O5250" t="s">
        <v>616</v>
      </c>
      <c r="R5250" t="s">
        <v>57</v>
      </c>
      <c r="S5250">
        <v>5</v>
      </c>
      <c r="T5250">
        <v>774</v>
      </c>
      <c r="U5250" s="1">
        <v>39680</v>
      </c>
      <c r="V5250" t="s">
        <v>80</v>
      </c>
      <c r="W5250" t="s">
        <v>81</v>
      </c>
      <c r="X5250" t="s">
        <v>58</v>
      </c>
      <c r="Y5250">
        <v>23</v>
      </c>
      <c r="Z5250" t="s">
        <v>59</v>
      </c>
      <c r="AA5250" t="s">
        <v>59</v>
      </c>
      <c r="AB5250" t="s">
        <v>59</v>
      </c>
      <c r="AC5250" t="s">
        <v>59</v>
      </c>
      <c r="AD5250" t="s">
        <v>59</v>
      </c>
      <c r="AF5250" s="1">
        <v>39681</v>
      </c>
      <c r="AG5250" t="s">
        <v>8645</v>
      </c>
      <c r="AH5250" t="s">
        <v>8646</v>
      </c>
      <c r="AI5250" t="str">
        <f>"9170206"</f>
        <v>9170206</v>
      </c>
      <c r="AJ5250" t="s">
        <v>8972</v>
      </c>
      <c r="AK5250">
        <v>2810761137</v>
      </c>
      <c r="AL5250" t="s">
        <v>8973</v>
      </c>
      <c r="AM5250" t="s">
        <v>78</v>
      </c>
      <c r="AN5250" t="s">
        <v>219</v>
      </c>
      <c r="AO5250" t="s">
        <v>297</v>
      </c>
      <c r="AP5250" t="s">
        <v>8796</v>
      </c>
      <c r="AQ5250">
        <v>7</v>
      </c>
      <c r="AR5250" t="s">
        <v>80</v>
      </c>
      <c r="AS5250" t="s">
        <v>81</v>
      </c>
      <c r="AT5250" t="s">
        <v>58</v>
      </c>
      <c r="AU5250" t="s">
        <v>68</v>
      </c>
      <c r="AV5250" t="s">
        <v>69</v>
      </c>
      <c r="AW5250" s="1">
        <v>29478</v>
      </c>
      <c r="AX5250">
        <v>1</v>
      </c>
    </row>
    <row r="5251" spans="1:50">
      <c r="A5251">
        <v>617908</v>
      </c>
      <c r="B5251" t="str">
        <f>"114268971"</f>
        <v>114268971</v>
      </c>
      <c r="C5251" t="s">
        <v>105</v>
      </c>
      <c r="D5251" t="s">
        <v>1256</v>
      </c>
      <c r="E5251" t="s">
        <v>84</v>
      </c>
      <c r="F5251" t="s">
        <v>95</v>
      </c>
      <c r="G5251" t="s">
        <v>52</v>
      </c>
      <c r="H5251" t="str">
        <f>"ΛΑΡΙΣΑΣ 7 ΗΡΑΚΛΕΙΟ"</f>
        <v>ΛΑΡΙΣΑΣ 7 ΗΡΑΚΛΕΙΟ</v>
      </c>
      <c r="I5251">
        <v>71303</v>
      </c>
      <c r="J5251">
        <v>2811101971</v>
      </c>
      <c r="K5251">
        <v>6989980830</v>
      </c>
      <c r="N5251" t="s">
        <v>615</v>
      </c>
      <c r="O5251" t="s">
        <v>616</v>
      </c>
      <c r="R5251" t="s">
        <v>57</v>
      </c>
      <c r="S5251">
        <v>7</v>
      </c>
      <c r="T5251">
        <v>774</v>
      </c>
      <c r="U5251" s="1">
        <v>39680</v>
      </c>
      <c r="V5251" t="s">
        <v>80</v>
      </c>
      <c r="W5251" t="s">
        <v>81</v>
      </c>
      <c r="X5251" t="s">
        <v>58</v>
      </c>
      <c r="Y5251">
        <v>23</v>
      </c>
      <c r="Z5251" t="s">
        <v>59</v>
      </c>
      <c r="AA5251" t="s">
        <v>59</v>
      </c>
      <c r="AB5251" t="s">
        <v>59</v>
      </c>
      <c r="AC5251" t="s">
        <v>59</v>
      </c>
      <c r="AD5251" t="s">
        <v>59</v>
      </c>
      <c r="AF5251" s="1">
        <v>39681</v>
      </c>
      <c r="AG5251" t="s">
        <v>8645</v>
      </c>
      <c r="AH5251" t="s">
        <v>8646</v>
      </c>
      <c r="AI5251" t="str">
        <f>"9170515"</f>
        <v>9170515</v>
      </c>
      <c r="AJ5251" t="s">
        <v>8790</v>
      </c>
      <c r="AK5251">
        <v>2810254821</v>
      </c>
      <c r="AL5251" t="s">
        <v>8791</v>
      </c>
      <c r="AM5251" t="s">
        <v>78</v>
      </c>
      <c r="AN5251" t="s">
        <v>78</v>
      </c>
      <c r="AO5251" t="s">
        <v>78</v>
      </c>
      <c r="AP5251" t="s">
        <v>163</v>
      </c>
      <c r="AQ5251">
        <v>1</v>
      </c>
      <c r="AR5251" t="s">
        <v>80</v>
      </c>
      <c r="AS5251" t="s">
        <v>81</v>
      </c>
      <c r="AT5251" t="s">
        <v>58</v>
      </c>
      <c r="AU5251" t="s">
        <v>68</v>
      </c>
      <c r="AV5251" t="s">
        <v>69</v>
      </c>
      <c r="AW5251" s="1">
        <v>29101</v>
      </c>
      <c r="AX5251">
        <v>1</v>
      </c>
    </row>
    <row r="5252" spans="1:50">
      <c r="A5252">
        <v>564750</v>
      </c>
      <c r="B5252" t="str">
        <f>"035694712"</f>
        <v>035694712</v>
      </c>
      <c r="C5252" t="s">
        <v>105</v>
      </c>
      <c r="D5252" t="s">
        <v>1256</v>
      </c>
      <c r="E5252" t="s">
        <v>377</v>
      </c>
      <c r="F5252" t="s">
        <v>53</v>
      </c>
      <c r="G5252" t="s">
        <v>215</v>
      </c>
      <c r="H5252" t="str">
        <f>"ΜΥΡΤΙΑ ΠΕΔΙΑΔΟΣ ΜΥΡΤΙΑ"</f>
        <v>ΜΥΡΤΙΑ ΠΕΔΙΑΔΟΣ ΜΥΡΤΙΑ</v>
      </c>
      <c r="I5252">
        <v>70100</v>
      </c>
      <c r="J5252">
        <v>2810741198</v>
      </c>
      <c r="K5252">
        <v>6937207109</v>
      </c>
      <c r="N5252" t="s">
        <v>615</v>
      </c>
      <c r="O5252" t="s">
        <v>616</v>
      </c>
      <c r="P5252" t="s">
        <v>146</v>
      </c>
      <c r="Q5252" t="s">
        <v>147</v>
      </c>
      <c r="R5252" t="s">
        <v>57</v>
      </c>
      <c r="S5252">
        <v>14</v>
      </c>
      <c r="T5252">
        <v>161</v>
      </c>
      <c r="U5252" s="1">
        <v>33119</v>
      </c>
      <c r="V5252" t="s">
        <v>80</v>
      </c>
      <c r="W5252" t="s">
        <v>81</v>
      </c>
      <c r="X5252" t="s">
        <v>58</v>
      </c>
      <c r="Y5252">
        <v>21</v>
      </c>
      <c r="Z5252" t="s">
        <v>59</v>
      </c>
      <c r="AA5252" t="s">
        <v>59</v>
      </c>
      <c r="AB5252" t="s">
        <v>59</v>
      </c>
      <c r="AC5252" t="s">
        <v>59</v>
      </c>
      <c r="AD5252" t="s">
        <v>59</v>
      </c>
      <c r="AF5252" s="1">
        <v>33119</v>
      </c>
      <c r="AG5252" t="s">
        <v>8645</v>
      </c>
      <c r="AH5252" t="s">
        <v>8646</v>
      </c>
      <c r="AI5252" t="str">
        <f>"9170211"</f>
        <v>9170211</v>
      </c>
      <c r="AJ5252" t="s">
        <v>9533</v>
      </c>
      <c r="AK5252">
        <v>2810741283</v>
      </c>
      <c r="AL5252" t="s">
        <v>9534</v>
      </c>
      <c r="AM5252" t="s">
        <v>78</v>
      </c>
      <c r="AN5252" t="s">
        <v>424</v>
      </c>
      <c r="AO5252" t="s">
        <v>428</v>
      </c>
      <c r="AP5252" t="s">
        <v>9535</v>
      </c>
      <c r="AQ5252">
        <v>11</v>
      </c>
      <c r="AR5252" t="s">
        <v>80</v>
      </c>
      <c r="AS5252" t="s">
        <v>81</v>
      </c>
      <c r="AT5252" t="s">
        <v>58</v>
      </c>
      <c r="AU5252" t="s">
        <v>68</v>
      </c>
      <c r="AV5252" t="s">
        <v>69</v>
      </c>
      <c r="AW5252" s="1">
        <v>24214</v>
      </c>
      <c r="AX5252">
        <v>1</v>
      </c>
    </row>
    <row r="5253" spans="1:50">
      <c r="B5253" t="str">
        <f>"068155708"</f>
        <v>068155708</v>
      </c>
      <c r="C5253" t="s">
        <v>50</v>
      </c>
      <c r="D5253" t="s">
        <v>9536</v>
      </c>
      <c r="E5253" t="s">
        <v>4695</v>
      </c>
      <c r="F5253" t="s">
        <v>53</v>
      </c>
      <c r="G5253" t="s">
        <v>83</v>
      </c>
      <c r="H5253" t="str">
        <f>"ΑΘΑΝΑΣΙΟΥ ΔΙΑΚΟΥ 23 "</f>
        <v xml:space="preserve">ΑΘΑΝΑΣΙΟΥ ΔΙΑΚΟΥ 23 </v>
      </c>
      <c r="I5253">
        <v>68200</v>
      </c>
      <c r="J5253">
        <v>2552029534</v>
      </c>
      <c r="K5253">
        <v>6947377241</v>
      </c>
      <c r="N5253" t="s">
        <v>615</v>
      </c>
      <c r="O5253" t="s">
        <v>616</v>
      </c>
      <c r="R5253" t="s">
        <v>159</v>
      </c>
      <c r="S5253">
        <v>3</v>
      </c>
      <c r="T5253" t="s">
        <v>8675</v>
      </c>
      <c r="U5253" s="1">
        <v>43348</v>
      </c>
      <c r="V5253" t="s">
        <v>80</v>
      </c>
      <c r="W5253" t="s">
        <v>81</v>
      </c>
      <c r="X5253" t="s">
        <v>58</v>
      </c>
      <c r="Y5253">
        <v>24</v>
      </c>
      <c r="Z5253" t="s">
        <v>59</v>
      </c>
      <c r="AA5253" t="s">
        <v>59</v>
      </c>
      <c r="AB5253" t="s">
        <v>59</v>
      </c>
      <c r="AC5253" t="s">
        <v>59</v>
      </c>
      <c r="AD5253" t="s">
        <v>59</v>
      </c>
      <c r="AF5253" s="1">
        <v>43348</v>
      </c>
      <c r="AG5253" t="s">
        <v>8645</v>
      </c>
      <c r="AH5253" t="s">
        <v>8646</v>
      </c>
      <c r="AI5253" t="str">
        <f>"9170309"</f>
        <v>9170309</v>
      </c>
      <c r="AJ5253" t="s">
        <v>9079</v>
      </c>
      <c r="AK5253">
        <v>2893041265</v>
      </c>
      <c r="AL5253" t="s">
        <v>9080</v>
      </c>
      <c r="AM5253" t="s">
        <v>78</v>
      </c>
      <c r="AN5253" t="s">
        <v>405</v>
      </c>
      <c r="AO5253" t="s">
        <v>405</v>
      </c>
      <c r="AP5253" t="s">
        <v>2895</v>
      </c>
      <c r="AQ5253">
        <v>17</v>
      </c>
      <c r="AR5253" t="s">
        <v>80</v>
      </c>
      <c r="AS5253" t="s">
        <v>81</v>
      </c>
      <c r="AT5253" t="s">
        <v>58</v>
      </c>
      <c r="AU5253" t="s">
        <v>8673</v>
      </c>
      <c r="AV5253" t="s">
        <v>132</v>
      </c>
      <c r="AW5253" s="1">
        <v>31278</v>
      </c>
      <c r="AX5253">
        <v>1</v>
      </c>
    </row>
    <row r="5254" spans="1:50">
      <c r="A5254">
        <v>605281</v>
      </c>
      <c r="B5254" t="str">
        <f>"037454590"</f>
        <v>037454590</v>
      </c>
      <c r="C5254" t="s">
        <v>50</v>
      </c>
      <c r="D5254" t="s">
        <v>9537</v>
      </c>
      <c r="E5254" t="s">
        <v>687</v>
      </c>
      <c r="F5254" t="s">
        <v>99</v>
      </c>
      <c r="G5254" t="s">
        <v>143</v>
      </c>
      <c r="H5254" t="str">
        <f>"ΚΑΡΑΪΣΚΑΚΗ 6 ΤΡΙΑΝΔΡΙΑ"</f>
        <v>ΚΑΡΑΪΣΚΑΚΗ 6 ΤΡΙΑΝΔΡΙΑ</v>
      </c>
      <c r="J5254">
        <v>2310945029</v>
      </c>
      <c r="K5254">
        <v>6983238986</v>
      </c>
      <c r="L5254">
        <v>491726640984</v>
      </c>
      <c r="N5254" t="s">
        <v>615</v>
      </c>
      <c r="O5254" t="s">
        <v>616</v>
      </c>
      <c r="R5254" t="s">
        <v>57</v>
      </c>
      <c r="S5254">
        <v>7</v>
      </c>
      <c r="T5254">
        <v>231</v>
      </c>
      <c r="U5254" s="1">
        <v>38230</v>
      </c>
      <c r="V5254" t="s">
        <v>80</v>
      </c>
      <c r="W5254" t="s">
        <v>81</v>
      </c>
      <c r="X5254" t="s">
        <v>58</v>
      </c>
      <c r="Y5254">
        <v>22</v>
      </c>
      <c r="Z5254" t="s">
        <v>59</v>
      </c>
      <c r="AA5254" t="s">
        <v>59</v>
      </c>
      <c r="AB5254" t="s">
        <v>59</v>
      </c>
      <c r="AC5254" t="s">
        <v>59</v>
      </c>
      <c r="AD5254" t="s">
        <v>59</v>
      </c>
      <c r="AF5254" s="1">
        <v>38231</v>
      </c>
      <c r="AG5254" t="s">
        <v>8645</v>
      </c>
      <c r="AH5254" t="s">
        <v>8646</v>
      </c>
      <c r="AI5254" t="str">
        <f>"9170097"</f>
        <v>9170097</v>
      </c>
      <c r="AJ5254" t="s">
        <v>8826</v>
      </c>
      <c r="AK5254">
        <v>2810751807</v>
      </c>
      <c r="AL5254" t="s">
        <v>8827</v>
      </c>
      <c r="AM5254" t="s">
        <v>78</v>
      </c>
      <c r="AN5254" t="s">
        <v>424</v>
      </c>
      <c r="AO5254" t="s">
        <v>425</v>
      </c>
      <c r="AP5254" t="s">
        <v>425</v>
      </c>
      <c r="AQ5254">
        <v>11</v>
      </c>
      <c r="AR5254" t="s">
        <v>80</v>
      </c>
      <c r="AS5254" t="s">
        <v>81</v>
      </c>
      <c r="AT5254" t="s">
        <v>58</v>
      </c>
      <c r="AU5254" t="s">
        <v>68</v>
      </c>
      <c r="AV5254" t="s">
        <v>69</v>
      </c>
      <c r="AW5254" s="1">
        <v>24899</v>
      </c>
      <c r="AX5254">
        <v>1</v>
      </c>
    </row>
    <row r="5255" spans="1:50">
      <c r="A5255">
        <v>595458</v>
      </c>
      <c r="B5255" t="str">
        <f>"114575111"</f>
        <v>114575111</v>
      </c>
      <c r="C5255" t="s">
        <v>50</v>
      </c>
      <c r="D5255" t="s">
        <v>9538</v>
      </c>
      <c r="E5255" t="s">
        <v>52</v>
      </c>
      <c r="F5255" t="s">
        <v>581</v>
      </c>
      <c r="G5255" t="s">
        <v>215</v>
      </c>
      <c r="H5255" t="str">
        <f>"ΣΓΟΥΡΟΚΕΦΑΛΙ ΕΠΙΣΚΟΠΗΣ"</f>
        <v>ΣΓΟΥΡΟΚΕΦΑΛΙ ΕΠΙΣΚΟΠΗΣ</v>
      </c>
      <c r="I5255">
        <v>70008</v>
      </c>
      <c r="J5255">
        <v>2810771815</v>
      </c>
      <c r="K5255">
        <v>6947589614</v>
      </c>
      <c r="N5255" t="s">
        <v>1525</v>
      </c>
      <c r="O5255" t="s">
        <v>1526</v>
      </c>
      <c r="R5255" t="s">
        <v>57</v>
      </c>
      <c r="S5255">
        <v>8</v>
      </c>
      <c r="T5255">
        <v>218</v>
      </c>
      <c r="U5255" s="1">
        <v>37134</v>
      </c>
      <c r="V5255" t="s">
        <v>80</v>
      </c>
      <c r="W5255" t="s">
        <v>81</v>
      </c>
      <c r="X5255" t="s">
        <v>58</v>
      </c>
      <c r="Y5255">
        <v>25</v>
      </c>
      <c r="Z5255" t="s">
        <v>59</v>
      </c>
      <c r="AA5255" t="s">
        <v>59</v>
      </c>
      <c r="AB5255" t="s">
        <v>59</v>
      </c>
      <c r="AC5255" t="s">
        <v>59</v>
      </c>
      <c r="AD5255" t="s">
        <v>59</v>
      </c>
      <c r="AF5255" s="1">
        <v>37138</v>
      </c>
      <c r="AG5255" t="s">
        <v>8651</v>
      </c>
      <c r="AH5255" t="s">
        <v>8652</v>
      </c>
      <c r="AI5255" t="str">
        <f>"9170368"</f>
        <v>9170368</v>
      </c>
      <c r="AJ5255" t="s">
        <v>9539</v>
      </c>
      <c r="AK5255">
        <v>2810771998</v>
      </c>
      <c r="AL5255" t="s">
        <v>9540</v>
      </c>
      <c r="AM5255" t="s">
        <v>78</v>
      </c>
      <c r="AN5255" t="s">
        <v>219</v>
      </c>
      <c r="AO5255" t="s">
        <v>1437</v>
      </c>
      <c r="AP5255" t="s">
        <v>1437</v>
      </c>
      <c r="AQ5255">
        <v>7</v>
      </c>
      <c r="AR5255" t="s">
        <v>80</v>
      </c>
      <c r="AS5255" t="s">
        <v>81</v>
      </c>
      <c r="AT5255" t="s">
        <v>58</v>
      </c>
      <c r="AU5255" t="s">
        <v>68</v>
      </c>
      <c r="AV5255" t="s">
        <v>69</v>
      </c>
      <c r="AW5255" s="1">
        <v>25451</v>
      </c>
      <c r="AX5255">
        <v>1</v>
      </c>
    </row>
    <row r="5256" spans="1:50">
      <c r="A5256">
        <v>618322</v>
      </c>
      <c r="B5256" t="str">
        <f>"137450199"</f>
        <v>137450199</v>
      </c>
      <c r="C5256" t="s">
        <v>50</v>
      </c>
      <c r="D5256" t="s">
        <v>1260</v>
      </c>
      <c r="E5256" t="s">
        <v>237</v>
      </c>
      <c r="F5256" t="s">
        <v>3574</v>
      </c>
      <c r="G5256" t="s">
        <v>52</v>
      </c>
      <c r="H5256" t="str">
        <f>"ΘΡΑΚΗΣ 17 ΗΡΑΚΛΕΙΟ"</f>
        <v>ΘΡΑΚΗΣ 17 ΗΡΑΚΛΕΙΟ</v>
      </c>
      <c r="I5256">
        <v>71304</v>
      </c>
      <c r="J5256">
        <v>2810251497</v>
      </c>
      <c r="K5256">
        <v>6974235240</v>
      </c>
      <c r="N5256" t="s">
        <v>615</v>
      </c>
      <c r="O5256" t="s">
        <v>616</v>
      </c>
      <c r="R5256" t="s">
        <v>57</v>
      </c>
      <c r="S5256">
        <v>7</v>
      </c>
      <c r="T5256">
        <v>774</v>
      </c>
      <c r="U5256" s="1">
        <v>39680</v>
      </c>
      <c r="V5256" t="s">
        <v>80</v>
      </c>
      <c r="W5256" t="s">
        <v>81</v>
      </c>
      <c r="X5256" t="s">
        <v>58</v>
      </c>
      <c r="Y5256">
        <v>23</v>
      </c>
      <c r="Z5256" t="s">
        <v>59</v>
      </c>
      <c r="AA5256" t="s">
        <v>59</v>
      </c>
      <c r="AB5256" t="s">
        <v>59</v>
      </c>
      <c r="AC5256" t="s">
        <v>59</v>
      </c>
      <c r="AD5256" t="s">
        <v>59</v>
      </c>
      <c r="AF5256" s="1">
        <v>39681</v>
      </c>
      <c r="AG5256" t="s">
        <v>8645</v>
      </c>
      <c r="AH5256" t="s">
        <v>8646</v>
      </c>
      <c r="AI5256" t="str">
        <f>"9170426"</f>
        <v>9170426</v>
      </c>
      <c r="AJ5256" t="s">
        <v>9142</v>
      </c>
      <c r="AK5256">
        <v>2810222289</v>
      </c>
      <c r="AL5256" t="s">
        <v>9143</v>
      </c>
      <c r="AM5256" t="s">
        <v>78</v>
      </c>
      <c r="AN5256" t="s">
        <v>78</v>
      </c>
      <c r="AO5256" t="s">
        <v>78</v>
      </c>
      <c r="AP5256" t="s">
        <v>213</v>
      </c>
      <c r="AQ5256">
        <v>1</v>
      </c>
      <c r="AR5256" t="s">
        <v>80</v>
      </c>
      <c r="AS5256" t="s">
        <v>81</v>
      </c>
      <c r="AT5256" t="s">
        <v>58</v>
      </c>
      <c r="AU5256" t="s">
        <v>68</v>
      </c>
      <c r="AV5256" t="s">
        <v>69</v>
      </c>
      <c r="AW5256" s="1">
        <v>30774</v>
      </c>
      <c r="AX5256">
        <v>1</v>
      </c>
    </row>
    <row r="5257" spans="1:50">
      <c r="A5257">
        <v>597147</v>
      </c>
      <c r="B5257" t="str">
        <f>"103516572"</f>
        <v>103516572</v>
      </c>
      <c r="C5257" t="s">
        <v>50</v>
      </c>
      <c r="D5257" t="s">
        <v>1260</v>
      </c>
      <c r="E5257" t="s">
        <v>215</v>
      </c>
      <c r="F5257" t="s">
        <v>72</v>
      </c>
      <c r="G5257" t="s">
        <v>727</v>
      </c>
      <c r="H5257" t="str">
        <f>" "</f>
        <v xml:space="preserve"> </v>
      </c>
      <c r="N5257" t="s">
        <v>1525</v>
      </c>
      <c r="O5257" t="s">
        <v>1526</v>
      </c>
      <c r="R5257" t="s">
        <v>57</v>
      </c>
      <c r="S5257">
        <v>8</v>
      </c>
      <c r="T5257">
        <v>195</v>
      </c>
      <c r="U5257" s="1">
        <v>37497</v>
      </c>
      <c r="V5257" t="s">
        <v>80</v>
      </c>
      <c r="W5257" t="s">
        <v>81</v>
      </c>
      <c r="X5257" t="s">
        <v>58</v>
      </c>
      <c r="Y5257">
        <v>25</v>
      </c>
      <c r="Z5257" t="s">
        <v>59</v>
      </c>
      <c r="AA5257" t="s">
        <v>59</v>
      </c>
      <c r="AB5257" t="s">
        <v>59</v>
      </c>
      <c r="AC5257" t="s">
        <v>59</v>
      </c>
      <c r="AD5257" t="s">
        <v>59</v>
      </c>
      <c r="AF5257" s="1">
        <v>37501</v>
      </c>
      <c r="AG5257" t="s">
        <v>8651</v>
      </c>
      <c r="AH5257" t="s">
        <v>8652</v>
      </c>
      <c r="AI5257" t="str">
        <f>"9170509"</f>
        <v>9170509</v>
      </c>
      <c r="AJ5257" t="s">
        <v>9541</v>
      </c>
      <c r="AK5257">
        <v>2810324988</v>
      </c>
      <c r="AL5257" t="s">
        <v>9542</v>
      </c>
      <c r="AM5257" t="s">
        <v>78</v>
      </c>
      <c r="AN5257" t="s">
        <v>78</v>
      </c>
      <c r="AO5257" t="s">
        <v>78</v>
      </c>
      <c r="AP5257" t="s">
        <v>163</v>
      </c>
      <c r="AQ5257">
        <v>1</v>
      </c>
      <c r="AR5257" t="s">
        <v>80</v>
      </c>
      <c r="AS5257" t="s">
        <v>81</v>
      </c>
      <c r="AT5257" t="s">
        <v>58</v>
      </c>
      <c r="AU5257" t="s">
        <v>68</v>
      </c>
      <c r="AV5257" t="s">
        <v>69</v>
      </c>
      <c r="AW5257" s="1">
        <v>26931</v>
      </c>
      <c r="AX5257">
        <v>1</v>
      </c>
    </row>
    <row r="5258" spans="1:50">
      <c r="A5258">
        <v>618350</v>
      </c>
      <c r="B5258" t="str">
        <f>"118911046"</f>
        <v>118911046</v>
      </c>
      <c r="C5258" t="s">
        <v>50</v>
      </c>
      <c r="D5258" t="s">
        <v>4772</v>
      </c>
      <c r="E5258" t="s">
        <v>143</v>
      </c>
      <c r="F5258" t="s">
        <v>99</v>
      </c>
      <c r="G5258" t="s">
        <v>52</v>
      </c>
      <c r="H5258" t="str">
        <f>"ΜΙΧΑΗΛ ΑΡΧΑΓΓΕΛΟΥ 59- ΗΡΑΚΛΕΙΟ ΗΡΑΚΛΕΙΟ"</f>
        <v>ΜΙΧΑΗΛ ΑΡΧΑΓΓΕΛΟΥ 59- ΗΡΑΚΛΕΙΟ ΗΡΑΚΛΕΙΟ</v>
      </c>
      <c r="I5258">
        <v>71304</v>
      </c>
      <c r="J5258">
        <v>2810311553</v>
      </c>
      <c r="K5258">
        <v>6947076113</v>
      </c>
      <c r="N5258" t="s">
        <v>615</v>
      </c>
      <c r="O5258" t="s">
        <v>616</v>
      </c>
      <c r="R5258" t="s">
        <v>57</v>
      </c>
      <c r="S5258">
        <v>5</v>
      </c>
      <c r="T5258">
        <v>774</v>
      </c>
      <c r="U5258" s="1">
        <v>39680</v>
      </c>
      <c r="V5258" t="s">
        <v>80</v>
      </c>
      <c r="W5258" t="s">
        <v>81</v>
      </c>
      <c r="X5258" t="s">
        <v>58</v>
      </c>
      <c r="Y5258">
        <v>23</v>
      </c>
      <c r="Z5258" t="s">
        <v>59</v>
      </c>
      <c r="AA5258" t="s">
        <v>59</v>
      </c>
      <c r="AB5258" t="s">
        <v>59</v>
      </c>
      <c r="AC5258" t="s">
        <v>59</v>
      </c>
      <c r="AD5258" t="s">
        <v>59</v>
      </c>
      <c r="AF5258" s="1">
        <v>39681</v>
      </c>
      <c r="AG5258" t="s">
        <v>8645</v>
      </c>
      <c r="AH5258" t="s">
        <v>8646</v>
      </c>
      <c r="AI5258" t="str">
        <f>"9170058"</f>
        <v>9170058</v>
      </c>
      <c r="AJ5258" t="s">
        <v>8735</v>
      </c>
      <c r="AK5258">
        <v>2810252903</v>
      </c>
      <c r="AL5258" t="s">
        <v>8736</v>
      </c>
      <c r="AM5258" t="s">
        <v>78</v>
      </c>
      <c r="AN5258" t="s">
        <v>78</v>
      </c>
      <c r="AO5258" t="s">
        <v>78</v>
      </c>
      <c r="AP5258" t="s">
        <v>163</v>
      </c>
      <c r="AQ5258">
        <v>1</v>
      </c>
      <c r="AR5258" t="s">
        <v>80</v>
      </c>
      <c r="AS5258" t="s">
        <v>81</v>
      </c>
      <c r="AT5258" t="s">
        <v>58</v>
      </c>
      <c r="AU5258" t="s">
        <v>68</v>
      </c>
      <c r="AV5258" t="s">
        <v>69</v>
      </c>
      <c r="AW5258" s="1">
        <v>31004</v>
      </c>
      <c r="AX5258">
        <v>1</v>
      </c>
    </row>
    <row r="5259" spans="1:50">
      <c r="B5259" t="str">
        <f>"127038797"</f>
        <v>127038797</v>
      </c>
      <c r="C5259" t="s">
        <v>105</v>
      </c>
      <c r="D5259" t="s">
        <v>1269</v>
      </c>
      <c r="E5259" t="s">
        <v>53</v>
      </c>
      <c r="F5259" t="s">
        <v>450</v>
      </c>
      <c r="G5259" t="s">
        <v>367</v>
      </c>
      <c r="H5259" t="str">
        <f>"25ΗΣ ΜΑΡΤΙΟΥ 9 "</f>
        <v xml:space="preserve">25ΗΣ ΜΑΡΤΙΟΥ 9 </v>
      </c>
      <c r="I5259">
        <v>83100</v>
      </c>
      <c r="J5259">
        <v>2273023833</v>
      </c>
      <c r="K5259">
        <v>6976265237</v>
      </c>
      <c r="N5259" t="s">
        <v>615</v>
      </c>
      <c r="O5259" t="s">
        <v>616</v>
      </c>
      <c r="R5259" t="s">
        <v>159</v>
      </c>
      <c r="S5259">
        <v>3</v>
      </c>
      <c r="T5259" t="s">
        <v>8675</v>
      </c>
      <c r="U5259" s="1">
        <v>43348</v>
      </c>
      <c r="V5259" t="s">
        <v>80</v>
      </c>
      <c r="W5259" t="s">
        <v>81</v>
      </c>
      <c r="X5259" t="s">
        <v>58</v>
      </c>
      <c r="Y5259">
        <v>24</v>
      </c>
      <c r="Z5259" t="s">
        <v>59</v>
      </c>
      <c r="AA5259" t="s">
        <v>59</v>
      </c>
      <c r="AB5259" t="s">
        <v>59</v>
      </c>
      <c r="AC5259" t="s">
        <v>59</v>
      </c>
      <c r="AD5259" t="s">
        <v>59</v>
      </c>
      <c r="AF5259" s="1">
        <v>43348</v>
      </c>
      <c r="AG5259" t="s">
        <v>8645</v>
      </c>
      <c r="AH5259" t="s">
        <v>8646</v>
      </c>
      <c r="AI5259" t="str">
        <f>"9170211"</f>
        <v>9170211</v>
      </c>
      <c r="AJ5259" t="s">
        <v>9533</v>
      </c>
      <c r="AK5259">
        <v>2810741283</v>
      </c>
      <c r="AL5259" t="s">
        <v>9534</v>
      </c>
      <c r="AM5259" t="s">
        <v>78</v>
      </c>
      <c r="AN5259" t="s">
        <v>424</v>
      </c>
      <c r="AO5259" t="s">
        <v>428</v>
      </c>
      <c r="AP5259" t="s">
        <v>9535</v>
      </c>
      <c r="AQ5259">
        <v>11</v>
      </c>
      <c r="AR5259" t="s">
        <v>80</v>
      </c>
      <c r="AS5259" t="s">
        <v>81</v>
      </c>
      <c r="AT5259" t="s">
        <v>58</v>
      </c>
      <c r="AU5259" t="s">
        <v>8673</v>
      </c>
      <c r="AV5259" t="s">
        <v>132</v>
      </c>
      <c r="AW5259" s="1">
        <v>32164</v>
      </c>
      <c r="AX5259">
        <v>1</v>
      </c>
    </row>
    <row r="5260" spans="1:50">
      <c r="A5260">
        <v>700723</v>
      </c>
      <c r="B5260" t="str">
        <f>"138674330"</f>
        <v>138674330</v>
      </c>
      <c r="C5260" t="s">
        <v>105</v>
      </c>
      <c r="D5260" t="s">
        <v>9543</v>
      </c>
      <c r="E5260" t="s">
        <v>9544</v>
      </c>
      <c r="F5260" t="s">
        <v>53</v>
      </c>
      <c r="G5260" t="s">
        <v>9545</v>
      </c>
      <c r="H5260" t="str">
        <f>"ΘΕΡΙΣΣΟΥ 28 ΜΟΙΡΕΣ"</f>
        <v>ΘΕΡΙΣΣΟΥ 28 ΜΟΙΡΕΣ</v>
      </c>
      <c r="I5260">
        <v>70400</v>
      </c>
      <c r="J5260">
        <v>2892045543</v>
      </c>
      <c r="K5260">
        <v>6977967028</v>
      </c>
      <c r="L5260">
        <v>2634031805</v>
      </c>
      <c r="M5260" t="s">
        <v>9546</v>
      </c>
      <c r="N5260" t="s">
        <v>615</v>
      </c>
      <c r="O5260" t="s">
        <v>616</v>
      </c>
      <c r="R5260" t="s">
        <v>57</v>
      </c>
      <c r="S5260">
        <v>4</v>
      </c>
      <c r="T5260" t="s">
        <v>9547</v>
      </c>
      <c r="U5260" s="1">
        <v>40413</v>
      </c>
      <c r="V5260" t="s">
        <v>80</v>
      </c>
      <c r="W5260" t="s">
        <v>81</v>
      </c>
      <c r="X5260" t="s">
        <v>58</v>
      </c>
      <c r="Y5260">
        <v>24</v>
      </c>
      <c r="Z5260" t="s">
        <v>59</v>
      </c>
      <c r="AA5260" t="s">
        <v>59</v>
      </c>
      <c r="AB5260" t="s">
        <v>59</v>
      </c>
      <c r="AC5260" t="s">
        <v>59</v>
      </c>
      <c r="AD5260" t="s">
        <v>59</v>
      </c>
      <c r="AF5260" s="1">
        <v>40413</v>
      </c>
      <c r="AG5260" t="s">
        <v>8645</v>
      </c>
      <c r="AH5260" t="s">
        <v>8646</v>
      </c>
      <c r="AI5260" t="str">
        <f>"9170327"</f>
        <v>9170327</v>
      </c>
      <c r="AJ5260" t="s">
        <v>8963</v>
      </c>
      <c r="AK5260">
        <v>2892091234</v>
      </c>
      <c r="AL5260" t="s">
        <v>8964</v>
      </c>
      <c r="AM5260" t="s">
        <v>78</v>
      </c>
      <c r="AN5260" t="s">
        <v>242</v>
      </c>
      <c r="AO5260" t="s">
        <v>349</v>
      </c>
      <c r="AP5260" t="s">
        <v>8965</v>
      </c>
      <c r="AQ5260">
        <v>19</v>
      </c>
      <c r="AR5260" t="s">
        <v>80</v>
      </c>
      <c r="AS5260" t="s">
        <v>81</v>
      </c>
      <c r="AT5260" t="s">
        <v>58</v>
      </c>
      <c r="AU5260" t="s">
        <v>68</v>
      </c>
      <c r="AV5260" t="s">
        <v>69</v>
      </c>
      <c r="AW5260" s="1">
        <v>31339</v>
      </c>
      <c r="AX5260">
        <v>1</v>
      </c>
    </row>
    <row r="5261" spans="1:50">
      <c r="B5261" t="str">
        <f>"150487974"</f>
        <v>150487974</v>
      </c>
      <c r="C5261" t="s">
        <v>50</v>
      </c>
      <c r="D5261" t="s">
        <v>9548</v>
      </c>
      <c r="E5261" t="s">
        <v>54</v>
      </c>
      <c r="F5261" t="s">
        <v>1970</v>
      </c>
      <c r="G5261" t="s">
        <v>83</v>
      </c>
      <c r="H5261" t="str">
        <f>" "</f>
        <v xml:space="preserve"> </v>
      </c>
      <c r="N5261" t="s">
        <v>615</v>
      </c>
      <c r="O5261" t="s">
        <v>616</v>
      </c>
      <c r="R5261" t="s">
        <v>121</v>
      </c>
      <c r="S5261">
        <v>1</v>
      </c>
      <c r="T5261" t="s">
        <v>8675</v>
      </c>
      <c r="U5261" s="1">
        <v>43348</v>
      </c>
      <c r="V5261" t="s">
        <v>80</v>
      </c>
      <c r="W5261" t="s">
        <v>81</v>
      </c>
      <c r="X5261" t="s">
        <v>58</v>
      </c>
      <c r="Y5261">
        <v>24</v>
      </c>
      <c r="Z5261" t="s">
        <v>59</v>
      </c>
      <c r="AA5261" t="s">
        <v>59</v>
      </c>
      <c r="AB5261" t="s">
        <v>59</v>
      </c>
      <c r="AC5261" t="s">
        <v>59</v>
      </c>
      <c r="AD5261" t="s">
        <v>59</v>
      </c>
      <c r="AF5261" s="1">
        <v>43348</v>
      </c>
      <c r="AG5261" t="s">
        <v>8645</v>
      </c>
      <c r="AH5261" t="s">
        <v>8646</v>
      </c>
      <c r="AI5261" t="str">
        <f>"9170018"</f>
        <v>9170018</v>
      </c>
      <c r="AJ5261" t="s">
        <v>8924</v>
      </c>
      <c r="AK5261">
        <v>2810821217</v>
      </c>
      <c r="AL5261" t="s">
        <v>8925</v>
      </c>
      <c r="AM5261" t="s">
        <v>78</v>
      </c>
      <c r="AN5261" t="s">
        <v>129</v>
      </c>
      <c r="AO5261" t="s">
        <v>130</v>
      </c>
      <c r="AP5261" t="s">
        <v>130</v>
      </c>
      <c r="AQ5261">
        <v>1</v>
      </c>
      <c r="AR5261" t="s">
        <v>80</v>
      </c>
      <c r="AS5261" t="s">
        <v>81</v>
      </c>
      <c r="AT5261" t="s">
        <v>58</v>
      </c>
      <c r="AU5261" t="s">
        <v>8673</v>
      </c>
      <c r="AV5261" t="s">
        <v>132</v>
      </c>
      <c r="AW5261" s="1">
        <v>32634</v>
      </c>
      <c r="AX5261">
        <v>1</v>
      </c>
    </row>
    <row r="5262" spans="1:50">
      <c r="B5262" t="str">
        <f>"147210612"</f>
        <v>147210612</v>
      </c>
      <c r="C5262" t="s">
        <v>105</v>
      </c>
      <c r="D5262" t="s">
        <v>1280</v>
      </c>
      <c r="E5262" t="s">
        <v>84</v>
      </c>
      <c r="F5262" t="s">
        <v>900</v>
      </c>
      <c r="G5262" t="s">
        <v>372</v>
      </c>
      <c r="H5262" t="str">
        <f>" "</f>
        <v xml:space="preserve"> </v>
      </c>
      <c r="N5262" t="s">
        <v>8834</v>
      </c>
      <c r="O5262" t="s">
        <v>8695</v>
      </c>
      <c r="R5262" t="s">
        <v>121</v>
      </c>
      <c r="S5262">
        <v>3</v>
      </c>
      <c r="T5262" t="s">
        <v>8835</v>
      </c>
      <c r="U5262" s="1">
        <v>43348</v>
      </c>
      <c r="V5262" t="s">
        <v>80</v>
      </c>
      <c r="W5262" t="s">
        <v>81</v>
      </c>
      <c r="X5262" t="s">
        <v>58</v>
      </c>
      <c r="Y5262">
        <v>24</v>
      </c>
      <c r="Z5262" t="s">
        <v>59</v>
      </c>
      <c r="AA5262" t="s">
        <v>59</v>
      </c>
      <c r="AB5262" t="s">
        <v>59</v>
      </c>
      <c r="AD5262" t="s">
        <v>59</v>
      </c>
      <c r="AF5262" s="1">
        <v>43348</v>
      </c>
      <c r="AG5262" t="s">
        <v>8645</v>
      </c>
      <c r="AH5262" t="s">
        <v>8646</v>
      </c>
      <c r="AI5262" t="str">
        <f>"9170300"</f>
        <v>9170300</v>
      </c>
      <c r="AJ5262" t="s">
        <v>8905</v>
      </c>
      <c r="AK5262">
        <v>2892041219</v>
      </c>
      <c r="AL5262" t="s">
        <v>8906</v>
      </c>
      <c r="AM5262" t="s">
        <v>78</v>
      </c>
      <c r="AN5262" t="s">
        <v>242</v>
      </c>
      <c r="AO5262" t="s">
        <v>243</v>
      </c>
      <c r="AP5262" t="s">
        <v>244</v>
      </c>
      <c r="AQ5262">
        <v>18</v>
      </c>
      <c r="AR5262" t="s">
        <v>80</v>
      </c>
      <c r="AS5262" t="s">
        <v>81</v>
      </c>
      <c r="AT5262" t="s">
        <v>58</v>
      </c>
      <c r="AU5262" t="s">
        <v>131</v>
      </c>
      <c r="AV5262" t="s">
        <v>132</v>
      </c>
      <c r="AW5262" s="1">
        <v>33328</v>
      </c>
      <c r="AX5262">
        <v>1</v>
      </c>
    </row>
    <row r="5263" spans="1:50">
      <c r="B5263" t="str">
        <f>"125348337"</f>
        <v>125348337</v>
      </c>
      <c r="C5263" t="s">
        <v>50</v>
      </c>
      <c r="D5263" t="s">
        <v>1287</v>
      </c>
      <c r="E5263" t="s">
        <v>650</v>
      </c>
      <c r="F5263" t="s">
        <v>309</v>
      </c>
      <c r="G5263" t="s">
        <v>237</v>
      </c>
      <c r="H5263" t="str">
        <f>"ΠΑΡΓΗΣ 7 "</f>
        <v xml:space="preserve">ΠΑΡΓΗΣ 7 </v>
      </c>
      <c r="I5263">
        <v>48100</v>
      </c>
      <c r="J5263">
        <v>2682061358</v>
      </c>
      <c r="K5263">
        <v>6973532114</v>
      </c>
      <c r="N5263" t="s">
        <v>1525</v>
      </c>
      <c r="O5263" t="s">
        <v>1526</v>
      </c>
      <c r="R5263" t="s">
        <v>159</v>
      </c>
      <c r="S5263">
        <v>3</v>
      </c>
      <c r="T5263" t="s">
        <v>8670</v>
      </c>
      <c r="U5263" s="1">
        <v>43348</v>
      </c>
      <c r="V5263" t="s">
        <v>80</v>
      </c>
      <c r="W5263" t="s">
        <v>81</v>
      </c>
      <c r="X5263" t="s">
        <v>58</v>
      </c>
      <c r="Y5263">
        <v>25</v>
      </c>
      <c r="Z5263" t="s">
        <v>59</v>
      </c>
      <c r="AA5263" t="s">
        <v>59</v>
      </c>
      <c r="AB5263" t="s">
        <v>59</v>
      </c>
      <c r="AC5263" t="s">
        <v>59</v>
      </c>
      <c r="AD5263" t="s">
        <v>59</v>
      </c>
      <c r="AF5263" s="1">
        <v>43348</v>
      </c>
      <c r="AG5263" t="s">
        <v>8651</v>
      </c>
      <c r="AH5263" t="s">
        <v>8652</v>
      </c>
      <c r="AI5263" t="str">
        <f>"9170357"</f>
        <v>9170357</v>
      </c>
      <c r="AJ5263" t="s">
        <v>9323</v>
      </c>
      <c r="AK5263">
        <v>2894031009</v>
      </c>
      <c r="AL5263" t="s">
        <v>9324</v>
      </c>
      <c r="AM5263" t="s">
        <v>78</v>
      </c>
      <c r="AN5263" t="s">
        <v>242</v>
      </c>
      <c r="AO5263" t="s">
        <v>999</v>
      </c>
      <c r="AP5263" t="s">
        <v>999</v>
      </c>
      <c r="AQ5263">
        <v>21</v>
      </c>
      <c r="AR5263" t="s">
        <v>80</v>
      </c>
      <c r="AS5263" t="s">
        <v>81</v>
      </c>
      <c r="AT5263" t="s">
        <v>58</v>
      </c>
      <c r="AU5263" t="s">
        <v>8673</v>
      </c>
      <c r="AV5263" t="s">
        <v>132</v>
      </c>
      <c r="AW5263" s="1">
        <v>30453</v>
      </c>
      <c r="AX5263">
        <v>1</v>
      </c>
    </row>
    <row r="5264" spans="1:50">
      <c r="A5264">
        <v>595442</v>
      </c>
      <c r="B5264" t="str">
        <f>"064645583"</f>
        <v>064645583</v>
      </c>
      <c r="C5264" t="s">
        <v>50</v>
      </c>
      <c r="D5264" t="s">
        <v>9549</v>
      </c>
      <c r="E5264" t="s">
        <v>964</v>
      </c>
      <c r="F5264" t="s">
        <v>9550</v>
      </c>
      <c r="G5264" t="s">
        <v>238</v>
      </c>
      <c r="H5264" t="str">
        <f>" "</f>
        <v xml:space="preserve"> </v>
      </c>
      <c r="N5264" t="s">
        <v>1525</v>
      </c>
      <c r="O5264" t="s">
        <v>1526</v>
      </c>
      <c r="R5264" t="s">
        <v>57</v>
      </c>
      <c r="S5264">
        <v>8</v>
      </c>
      <c r="T5264">
        <v>218</v>
      </c>
      <c r="U5264" s="1">
        <v>37134</v>
      </c>
      <c r="V5264" t="s">
        <v>80</v>
      </c>
      <c r="W5264" t="s">
        <v>81</v>
      </c>
      <c r="X5264" t="s">
        <v>58</v>
      </c>
      <c r="Y5264">
        <v>25</v>
      </c>
      <c r="Z5264" t="s">
        <v>59</v>
      </c>
      <c r="AA5264" t="s">
        <v>59</v>
      </c>
      <c r="AB5264" t="s">
        <v>59</v>
      </c>
      <c r="AC5264" t="s">
        <v>59</v>
      </c>
      <c r="AD5264" t="s">
        <v>59</v>
      </c>
      <c r="AF5264" s="1">
        <v>37138</v>
      </c>
      <c r="AG5264" t="s">
        <v>8651</v>
      </c>
      <c r="AH5264" t="s">
        <v>8652</v>
      </c>
      <c r="AI5264" t="str">
        <f>"9170253"</f>
        <v>9170253</v>
      </c>
      <c r="AJ5264" t="s">
        <v>9551</v>
      </c>
      <c r="AK5264">
        <v>2810245816</v>
      </c>
      <c r="AL5264" t="s">
        <v>9552</v>
      </c>
      <c r="AM5264" t="s">
        <v>78</v>
      </c>
      <c r="AN5264" t="s">
        <v>78</v>
      </c>
      <c r="AO5264" t="s">
        <v>78</v>
      </c>
      <c r="AP5264" t="s">
        <v>213</v>
      </c>
      <c r="AQ5264">
        <v>1</v>
      </c>
      <c r="AR5264" t="s">
        <v>80</v>
      </c>
      <c r="AS5264" t="s">
        <v>81</v>
      </c>
      <c r="AT5264" t="s">
        <v>58</v>
      </c>
      <c r="AU5264" t="s">
        <v>68</v>
      </c>
      <c r="AV5264" t="s">
        <v>69</v>
      </c>
      <c r="AW5264" s="1">
        <v>27831</v>
      </c>
      <c r="AX5264">
        <v>1</v>
      </c>
    </row>
    <row r="5265" spans="1:50">
      <c r="A5265">
        <v>605724</v>
      </c>
      <c r="B5265" t="str">
        <f>"064058874"</f>
        <v>064058874</v>
      </c>
      <c r="C5265" t="s">
        <v>50</v>
      </c>
      <c r="D5265" t="s">
        <v>9553</v>
      </c>
      <c r="E5265" t="s">
        <v>83</v>
      </c>
      <c r="F5265" t="s">
        <v>166</v>
      </c>
      <c r="G5265" t="s">
        <v>263</v>
      </c>
      <c r="H5265" t="str">
        <f>"Μ. ΨΕΛΛΟΥ 12 ΗΡΑΚΛΕΙΟ"</f>
        <v>Μ. ΨΕΛΛΟΥ 12 ΗΡΑΚΛΕΙΟ</v>
      </c>
      <c r="I5265">
        <v>71307</v>
      </c>
      <c r="J5265">
        <v>2810322907</v>
      </c>
      <c r="K5265">
        <v>6944432436</v>
      </c>
      <c r="N5265" t="s">
        <v>615</v>
      </c>
      <c r="O5265" t="s">
        <v>616</v>
      </c>
      <c r="R5265" t="s">
        <v>57</v>
      </c>
      <c r="S5265">
        <v>8</v>
      </c>
      <c r="T5265">
        <v>231</v>
      </c>
      <c r="U5265" s="1">
        <v>38230</v>
      </c>
      <c r="V5265" t="s">
        <v>80</v>
      </c>
      <c r="W5265" t="s">
        <v>81</v>
      </c>
      <c r="X5265" t="s">
        <v>58</v>
      </c>
      <c r="Y5265">
        <v>23</v>
      </c>
      <c r="Z5265" t="s">
        <v>59</v>
      </c>
      <c r="AA5265" t="s">
        <v>59</v>
      </c>
      <c r="AB5265" t="s">
        <v>59</v>
      </c>
      <c r="AC5265" t="s">
        <v>59</v>
      </c>
      <c r="AD5265" t="s">
        <v>59</v>
      </c>
      <c r="AF5265" s="1">
        <v>38231</v>
      </c>
      <c r="AG5265" t="s">
        <v>8645</v>
      </c>
      <c r="AH5265" t="s">
        <v>8646</v>
      </c>
      <c r="AI5265" t="str">
        <f>"9170423"</f>
        <v>9170423</v>
      </c>
      <c r="AJ5265" t="s">
        <v>8808</v>
      </c>
      <c r="AK5265">
        <v>2810239612</v>
      </c>
      <c r="AL5265" t="s">
        <v>8809</v>
      </c>
      <c r="AM5265" t="s">
        <v>78</v>
      </c>
      <c r="AN5265" t="s">
        <v>78</v>
      </c>
      <c r="AO5265" t="s">
        <v>78</v>
      </c>
      <c r="AP5265" t="s">
        <v>163</v>
      </c>
      <c r="AQ5265">
        <v>1</v>
      </c>
      <c r="AR5265" t="s">
        <v>80</v>
      </c>
      <c r="AS5265" t="s">
        <v>81</v>
      </c>
      <c r="AT5265" t="s">
        <v>58</v>
      </c>
      <c r="AU5265" t="s">
        <v>68</v>
      </c>
      <c r="AV5265" t="s">
        <v>69</v>
      </c>
      <c r="AW5265" s="1">
        <v>28878</v>
      </c>
      <c r="AX5265">
        <v>1</v>
      </c>
    </row>
    <row r="5266" spans="1:50">
      <c r="A5266">
        <v>562674</v>
      </c>
      <c r="B5266" t="str">
        <f>"032894937"</f>
        <v>032894937</v>
      </c>
      <c r="C5266" t="s">
        <v>50</v>
      </c>
      <c r="D5266" t="s">
        <v>1292</v>
      </c>
      <c r="E5266" t="s">
        <v>263</v>
      </c>
      <c r="F5266" t="s">
        <v>581</v>
      </c>
      <c r="G5266" t="s">
        <v>52</v>
      </c>
      <c r="H5266" t="str">
        <f>"ΚΑΛΟΚΑΙΡΙΝΟΥ 110 ΗΡΑΚΛΕΙΟΥ"</f>
        <v>ΚΑΛΟΚΑΙΡΙΝΟΥ 110 ΗΡΑΚΛΕΙΟΥ</v>
      </c>
      <c r="I5266">
        <v>71202</v>
      </c>
      <c r="J5266">
        <v>2810244333</v>
      </c>
      <c r="K5266">
        <v>6989215415</v>
      </c>
      <c r="N5266" t="s">
        <v>615</v>
      </c>
      <c r="O5266" t="s">
        <v>616</v>
      </c>
      <c r="R5266" t="s">
        <v>57</v>
      </c>
      <c r="S5266">
        <v>15</v>
      </c>
      <c r="T5266">
        <v>187</v>
      </c>
      <c r="U5266" s="1">
        <v>32723</v>
      </c>
      <c r="V5266" t="s">
        <v>80</v>
      </c>
      <c r="W5266" t="s">
        <v>81</v>
      </c>
      <c r="X5266" t="s">
        <v>58</v>
      </c>
      <c r="Y5266">
        <v>21</v>
      </c>
      <c r="Z5266" t="s">
        <v>59</v>
      </c>
      <c r="AA5266" t="s">
        <v>59</v>
      </c>
      <c r="AB5266" t="s">
        <v>59</v>
      </c>
      <c r="AC5266" t="s">
        <v>59</v>
      </c>
      <c r="AD5266" t="s">
        <v>59</v>
      </c>
      <c r="AF5266" s="1">
        <v>32752</v>
      </c>
      <c r="AG5266" t="s">
        <v>8645</v>
      </c>
      <c r="AH5266" t="s">
        <v>8646</v>
      </c>
      <c r="AI5266" t="str">
        <f>"9170113"</f>
        <v>9170113</v>
      </c>
      <c r="AJ5266" t="s">
        <v>8846</v>
      </c>
      <c r="AK5266">
        <v>2810226174</v>
      </c>
      <c r="AL5266" t="s">
        <v>8847</v>
      </c>
      <c r="AM5266" t="s">
        <v>78</v>
      </c>
      <c r="AN5266" t="s">
        <v>78</v>
      </c>
      <c r="AO5266" t="s">
        <v>78</v>
      </c>
      <c r="AP5266" t="s">
        <v>79</v>
      </c>
      <c r="AQ5266">
        <v>1</v>
      </c>
      <c r="AR5266" t="s">
        <v>80</v>
      </c>
      <c r="AS5266" t="s">
        <v>81</v>
      </c>
      <c r="AT5266" t="s">
        <v>58</v>
      </c>
      <c r="AU5266" t="s">
        <v>68</v>
      </c>
      <c r="AV5266" t="s">
        <v>69</v>
      </c>
      <c r="AW5266" s="1">
        <v>23843</v>
      </c>
      <c r="AX5266">
        <v>1</v>
      </c>
    </row>
    <row r="5267" spans="1:50">
      <c r="A5267">
        <v>584316</v>
      </c>
      <c r="B5267" t="str">
        <f>"052483642"</f>
        <v>052483642</v>
      </c>
      <c r="C5267" t="s">
        <v>105</v>
      </c>
      <c r="D5267" t="s">
        <v>1293</v>
      </c>
      <c r="E5267" t="s">
        <v>72</v>
      </c>
      <c r="F5267" t="s">
        <v>7729</v>
      </c>
      <c r="G5267" t="s">
        <v>2977</v>
      </c>
      <c r="H5267" t="str">
        <f>"ΞΕΝΑΚΗ ΙΑΝΗ 21 ΗΡΑΚΛΕΙΟ"</f>
        <v>ΞΕΝΑΚΗ ΙΑΝΗ 21 ΗΡΑΚΛΕΙΟ</v>
      </c>
      <c r="I5267">
        <v>71410</v>
      </c>
      <c r="J5267">
        <v>2810328376</v>
      </c>
      <c r="K5267">
        <v>6988894055</v>
      </c>
      <c r="M5267" t="s">
        <v>9554</v>
      </c>
      <c r="N5267" t="s">
        <v>615</v>
      </c>
      <c r="O5267" t="s">
        <v>616</v>
      </c>
      <c r="R5267" t="s">
        <v>57</v>
      </c>
      <c r="S5267">
        <v>12</v>
      </c>
      <c r="T5267">
        <v>165</v>
      </c>
      <c r="U5267" s="1">
        <v>36040</v>
      </c>
      <c r="V5267" t="s">
        <v>80</v>
      </c>
      <c r="W5267" t="s">
        <v>81</v>
      </c>
      <c r="X5267" t="s">
        <v>58</v>
      </c>
      <c r="Y5267">
        <v>21</v>
      </c>
      <c r="Z5267" t="s">
        <v>59</v>
      </c>
      <c r="AA5267" t="s">
        <v>59</v>
      </c>
      <c r="AB5267" t="s">
        <v>59</v>
      </c>
      <c r="AC5267" t="s">
        <v>59</v>
      </c>
      <c r="AD5267" t="s">
        <v>59</v>
      </c>
      <c r="AF5267" s="1">
        <v>36045</v>
      </c>
      <c r="AG5267" t="s">
        <v>8645</v>
      </c>
      <c r="AH5267" t="s">
        <v>8646</v>
      </c>
      <c r="AI5267" t="str">
        <f>"9170514"</f>
        <v>9170514</v>
      </c>
      <c r="AJ5267" t="s">
        <v>8801</v>
      </c>
      <c r="AK5267">
        <v>2810238666</v>
      </c>
      <c r="AL5267" t="s">
        <v>8802</v>
      </c>
      <c r="AM5267" t="s">
        <v>78</v>
      </c>
      <c r="AN5267" t="s">
        <v>78</v>
      </c>
      <c r="AO5267" t="s">
        <v>78</v>
      </c>
      <c r="AP5267" t="s">
        <v>163</v>
      </c>
      <c r="AQ5267">
        <v>1</v>
      </c>
      <c r="AR5267" t="s">
        <v>80</v>
      </c>
      <c r="AS5267" t="s">
        <v>81</v>
      </c>
      <c r="AT5267" t="s">
        <v>58</v>
      </c>
      <c r="AU5267" t="s">
        <v>68</v>
      </c>
      <c r="AV5267" t="s">
        <v>69</v>
      </c>
      <c r="AW5267" s="1">
        <v>24435</v>
      </c>
      <c r="AX5267">
        <v>1</v>
      </c>
    </row>
    <row r="5268" spans="1:50">
      <c r="B5268" t="str">
        <f>"126268323"</f>
        <v>126268323</v>
      </c>
      <c r="C5268" t="s">
        <v>50</v>
      </c>
      <c r="D5268" t="s">
        <v>9555</v>
      </c>
      <c r="E5268" t="s">
        <v>114</v>
      </c>
      <c r="F5268" t="s">
        <v>920</v>
      </c>
      <c r="G5268" t="s">
        <v>83</v>
      </c>
      <c r="H5268" t="str">
        <f>"ΚΕΡΑΜΕΙΚΟΥ 107 "</f>
        <v xml:space="preserve">ΚΕΡΑΜΕΙΚΟΥ 107 </v>
      </c>
      <c r="I5268">
        <v>10435</v>
      </c>
      <c r="J5268">
        <v>2103475117</v>
      </c>
      <c r="K5268">
        <v>6944814045</v>
      </c>
      <c r="N5268" t="s">
        <v>337</v>
      </c>
      <c r="O5268" t="s">
        <v>338</v>
      </c>
      <c r="R5268" t="s">
        <v>159</v>
      </c>
      <c r="S5268">
        <v>3</v>
      </c>
      <c r="T5268" t="s">
        <v>8675</v>
      </c>
      <c r="U5268" s="1">
        <v>43348</v>
      </c>
      <c r="V5268" t="s">
        <v>80</v>
      </c>
      <c r="W5268" t="s">
        <v>81</v>
      </c>
      <c r="X5268" t="s">
        <v>58</v>
      </c>
      <c r="Y5268">
        <v>24</v>
      </c>
      <c r="Z5268" t="s">
        <v>59</v>
      </c>
      <c r="AA5268" t="s">
        <v>59</v>
      </c>
      <c r="AB5268" t="s">
        <v>59</v>
      </c>
      <c r="AC5268" t="s">
        <v>59</v>
      </c>
      <c r="AD5268" t="s">
        <v>59</v>
      </c>
      <c r="AF5268" s="1">
        <v>43348</v>
      </c>
      <c r="AG5268" t="s">
        <v>8645</v>
      </c>
      <c r="AH5268" t="s">
        <v>8646</v>
      </c>
      <c r="AI5268" t="str">
        <f>"9170018"</f>
        <v>9170018</v>
      </c>
      <c r="AJ5268" t="s">
        <v>8924</v>
      </c>
      <c r="AK5268">
        <v>2810821217</v>
      </c>
      <c r="AL5268" t="s">
        <v>8925</v>
      </c>
      <c r="AM5268" t="s">
        <v>78</v>
      </c>
      <c r="AN5268" t="s">
        <v>129</v>
      </c>
      <c r="AO5268" t="s">
        <v>130</v>
      </c>
      <c r="AP5268" t="s">
        <v>130</v>
      </c>
      <c r="AQ5268">
        <v>1</v>
      </c>
      <c r="AR5268" t="s">
        <v>80</v>
      </c>
      <c r="AS5268" t="s">
        <v>81</v>
      </c>
      <c r="AT5268" t="s">
        <v>58</v>
      </c>
      <c r="AU5268" t="s">
        <v>8673</v>
      </c>
      <c r="AV5268" t="s">
        <v>132</v>
      </c>
      <c r="AW5268" s="1">
        <v>30793</v>
      </c>
      <c r="AX5268">
        <v>1</v>
      </c>
    </row>
    <row r="5269" spans="1:50">
      <c r="A5269">
        <v>577281</v>
      </c>
      <c r="B5269" t="str">
        <f>"034751749"</f>
        <v>034751749</v>
      </c>
      <c r="C5269" t="s">
        <v>105</v>
      </c>
      <c r="D5269" t="s">
        <v>9556</v>
      </c>
      <c r="E5269" t="s">
        <v>1041</v>
      </c>
      <c r="F5269" t="s">
        <v>53</v>
      </c>
      <c r="G5269" t="s">
        <v>314</v>
      </c>
      <c r="H5269" t="str">
        <f>"ΜΑΚΕΔΟΝΙΑΣ 14 ΗΡΑΚΛΕΙΟ"</f>
        <v>ΜΑΚΕΔΟΝΙΑΣ 14 ΗΡΑΚΛΕΙΟ</v>
      </c>
      <c r="J5269">
        <v>2810321639</v>
      </c>
      <c r="K5269">
        <v>6944786140</v>
      </c>
      <c r="M5269" t="s">
        <v>9557</v>
      </c>
      <c r="N5269" t="s">
        <v>176</v>
      </c>
      <c r="O5269" t="s">
        <v>177</v>
      </c>
      <c r="R5269" t="s">
        <v>57</v>
      </c>
      <c r="S5269">
        <v>14</v>
      </c>
      <c r="T5269">
        <v>184</v>
      </c>
      <c r="U5269" s="1">
        <v>34929</v>
      </c>
      <c r="V5269" t="s">
        <v>80</v>
      </c>
      <c r="W5269" t="s">
        <v>81</v>
      </c>
      <c r="X5269" t="s">
        <v>58</v>
      </c>
      <c r="Y5269">
        <v>21</v>
      </c>
      <c r="Z5269" t="s">
        <v>59</v>
      </c>
      <c r="AA5269" t="s">
        <v>59</v>
      </c>
      <c r="AB5269" t="s">
        <v>59</v>
      </c>
      <c r="AC5269" t="s">
        <v>59</v>
      </c>
      <c r="AD5269" t="s">
        <v>59</v>
      </c>
      <c r="AF5269" s="1">
        <v>34943</v>
      </c>
      <c r="AG5269" t="s">
        <v>8645</v>
      </c>
      <c r="AH5269" t="s">
        <v>8646</v>
      </c>
      <c r="AI5269" t="str">
        <f>"9170192"</f>
        <v>9170192</v>
      </c>
      <c r="AJ5269" t="s">
        <v>8661</v>
      </c>
      <c r="AK5269">
        <v>2810231985</v>
      </c>
      <c r="AL5269" t="s">
        <v>8662</v>
      </c>
      <c r="AM5269" t="s">
        <v>78</v>
      </c>
      <c r="AN5269" t="s">
        <v>78</v>
      </c>
      <c r="AO5269" t="s">
        <v>78</v>
      </c>
      <c r="AP5269" t="s">
        <v>163</v>
      </c>
      <c r="AQ5269">
        <v>1</v>
      </c>
      <c r="AR5269" t="s">
        <v>80</v>
      </c>
      <c r="AS5269" t="s">
        <v>81</v>
      </c>
      <c r="AT5269" t="s">
        <v>58</v>
      </c>
      <c r="AU5269" t="s">
        <v>68</v>
      </c>
      <c r="AV5269" t="s">
        <v>69</v>
      </c>
      <c r="AW5269" s="1">
        <v>23323</v>
      </c>
      <c r="AX5269">
        <v>1</v>
      </c>
    </row>
    <row r="5270" spans="1:50">
      <c r="A5270">
        <v>584760</v>
      </c>
      <c r="B5270" t="str">
        <f>"051566660"</f>
        <v>051566660</v>
      </c>
      <c r="C5270" t="s">
        <v>50</v>
      </c>
      <c r="D5270" t="s">
        <v>9558</v>
      </c>
      <c r="E5270" t="s">
        <v>1078</v>
      </c>
      <c r="F5270" t="s">
        <v>315</v>
      </c>
      <c r="G5270" t="s">
        <v>316</v>
      </c>
      <c r="H5270" t="str">
        <f>"ΘΕΝΩΝ 6 ΗΡΑΚΛΕΙΟ"</f>
        <v>ΘΕΝΩΝ 6 ΗΡΑΚΛΕΙΟ</v>
      </c>
      <c r="I5270">
        <v>71305</v>
      </c>
      <c r="J5270">
        <v>2810315631</v>
      </c>
      <c r="K5270">
        <v>6945543224</v>
      </c>
      <c r="N5270" t="s">
        <v>615</v>
      </c>
      <c r="O5270" t="s">
        <v>616</v>
      </c>
      <c r="R5270" t="s">
        <v>57</v>
      </c>
      <c r="S5270">
        <v>12</v>
      </c>
      <c r="T5270">
        <v>165</v>
      </c>
      <c r="U5270" s="1">
        <v>36040</v>
      </c>
      <c r="V5270" t="s">
        <v>80</v>
      </c>
      <c r="W5270" t="s">
        <v>81</v>
      </c>
      <c r="X5270" t="s">
        <v>58</v>
      </c>
      <c r="Y5270">
        <v>21</v>
      </c>
      <c r="Z5270" t="s">
        <v>59</v>
      </c>
      <c r="AA5270" t="s">
        <v>59</v>
      </c>
      <c r="AB5270" t="s">
        <v>59</v>
      </c>
      <c r="AC5270" t="s">
        <v>59</v>
      </c>
      <c r="AD5270" t="s">
        <v>59</v>
      </c>
      <c r="AF5270" s="1">
        <v>36040</v>
      </c>
      <c r="AG5270" t="s">
        <v>8645</v>
      </c>
      <c r="AH5270" t="s">
        <v>8646</v>
      </c>
      <c r="AI5270" t="str">
        <f>"9170425"</f>
        <v>9170425</v>
      </c>
      <c r="AJ5270" t="s">
        <v>9350</v>
      </c>
      <c r="AK5270">
        <v>2810250261</v>
      </c>
      <c r="AL5270" t="s">
        <v>9351</v>
      </c>
      <c r="AM5270" t="s">
        <v>78</v>
      </c>
      <c r="AN5270" t="s">
        <v>78</v>
      </c>
      <c r="AO5270" t="s">
        <v>78</v>
      </c>
      <c r="AP5270" t="s">
        <v>141</v>
      </c>
      <c r="AQ5270">
        <v>1</v>
      </c>
      <c r="AR5270" t="s">
        <v>80</v>
      </c>
      <c r="AS5270" t="s">
        <v>81</v>
      </c>
      <c r="AT5270" t="s">
        <v>58</v>
      </c>
      <c r="AU5270" t="s">
        <v>68</v>
      </c>
      <c r="AV5270" t="s">
        <v>69</v>
      </c>
      <c r="AW5270" s="1">
        <v>23515</v>
      </c>
      <c r="AX5270">
        <v>1</v>
      </c>
    </row>
    <row r="5271" spans="1:50">
      <c r="A5271">
        <v>603193</v>
      </c>
      <c r="B5271" t="str">
        <f>"070368057"</f>
        <v>070368057</v>
      </c>
      <c r="C5271" t="s">
        <v>50</v>
      </c>
      <c r="D5271" t="s">
        <v>1295</v>
      </c>
      <c r="E5271" t="s">
        <v>566</v>
      </c>
      <c r="F5271" t="s">
        <v>166</v>
      </c>
      <c r="G5271" t="s">
        <v>112</v>
      </c>
      <c r="H5271" t="str">
        <f>"ΜΙΧΑΗΛ ΜΩΡΑΪΤΗ 3 ΗΡΑΚΛΕΙΟ"</f>
        <v>ΜΙΧΑΗΛ ΜΩΡΑΪΤΗ 3 ΗΡΑΚΛΕΙΟ</v>
      </c>
      <c r="I5271">
        <v>71601</v>
      </c>
      <c r="J5271">
        <v>2810224236</v>
      </c>
      <c r="K5271">
        <v>6977820215</v>
      </c>
      <c r="N5271" t="s">
        <v>1525</v>
      </c>
      <c r="O5271" t="s">
        <v>1526</v>
      </c>
      <c r="R5271" t="s">
        <v>57</v>
      </c>
      <c r="S5271">
        <v>7</v>
      </c>
      <c r="T5271" t="s">
        <v>9559</v>
      </c>
      <c r="U5271" s="1">
        <v>37866</v>
      </c>
      <c r="V5271" t="s">
        <v>80</v>
      </c>
      <c r="W5271" t="s">
        <v>81</v>
      </c>
      <c r="X5271" t="s">
        <v>58</v>
      </c>
      <c r="Y5271">
        <v>25</v>
      </c>
      <c r="Z5271" t="s">
        <v>59</v>
      </c>
      <c r="AA5271" t="s">
        <v>59</v>
      </c>
      <c r="AB5271" t="s">
        <v>59</v>
      </c>
      <c r="AC5271" t="s">
        <v>59</v>
      </c>
      <c r="AD5271" t="s">
        <v>59</v>
      </c>
      <c r="AF5271" s="1">
        <v>37866</v>
      </c>
      <c r="AG5271" t="s">
        <v>8651</v>
      </c>
      <c r="AH5271" t="s">
        <v>8652</v>
      </c>
      <c r="AI5271" t="str">
        <f>"9521369"</f>
        <v>9521369</v>
      </c>
      <c r="AJ5271" t="s">
        <v>9560</v>
      </c>
      <c r="AK5271">
        <v>2810222259</v>
      </c>
      <c r="AL5271" t="s">
        <v>9561</v>
      </c>
      <c r="AM5271" t="s">
        <v>78</v>
      </c>
      <c r="AN5271" t="s">
        <v>78</v>
      </c>
      <c r="AO5271" t="s">
        <v>286</v>
      </c>
      <c r="AP5271" t="s">
        <v>286</v>
      </c>
      <c r="AQ5271">
        <v>1</v>
      </c>
      <c r="AR5271" t="s">
        <v>80</v>
      </c>
      <c r="AS5271" t="s">
        <v>81</v>
      </c>
      <c r="AT5271" t="s">
        <v>58</v>
      </c>
      <c r="AU5271" t="s">
        <v>68</v>
      </c>
      <c r="AV5271" t="s">
        <v>69</v>
      </c>
      <c r="AW5271" s="1">
        <v>28621</v>
      </c>
      <c r="AX5271">
        <v>1</v>
      </c>
    </row>
    <row r="5272" spans="1:50">
      <c r="A5272">
        <v>553289</v>
      </c>
      <c r="B5272" t="str">
        <f>"110121540"</f>
        <v>110121540</v>
      </c>
      <c r="C5272" t="s">
        <v>50</v>
      </c>
      <c r="D5272" t="s">
        <v>9562</v>
      </c>
      <c r="E5272" t="s">
        <v>506</v>
      </c>
      <c r="F5272" t="s">
        <v>166</v>
      </c>
      <c r="G5272" t="s">
        <v>52</v>
      </c>
      <c r="H5272" t="str">
        <f>" "</f>
        <v xml:space="preserve"> </v>
      </c>
      <c r="N5272" t="s">
        <v>1525</v>
      </c>
      <c r="O5272" t="s">
        <v>1526</v>
      </c>
      <c r="R5272" t="s">
        <v>57</v>
      </c>
      <c r="S5272">
        <v>17</v>
      </c>
      <c r="T5272">
        <v>433</v>
      </c>
      <c r="U5272" s="1">
        <v>31044</v>
      </c>
      <c r="V5272" t="s">
        <v>80</v>
      </c>
      <c r="W5272" t="s">
        <v>81</v>
      </c>
      <c r="X5272" t="s">
        <v>58</v>
      </c>
      <c r="Y5272">
        <v>25</v>
      </c>
      <c r="Z5272" t="s">
        <v>59</v>
      </c>
      <c r="AA5272" t="s">
        <v>59</v>
      </c>
      <c r="AB5272" t="s">
        <v>59</v>
      </c>
      <c r="AC5272" t="s">
        <v>59</v>
      </c>
      <c r="AD5272" t="s">
        <v>59</v>
      </c>
      <c r="AF5272" s="1">
        <v>31051</v>
      </c>
      <c r="AG5272" t="s">
        <v>8651</v>
      </c>
      <c r="AH5272" t="s">
        <v>8652</v>
      </c>
      <c r="AI5272" t="str">
        <f>"9170252"</f>
        <v>9170252</v>
      </c>
      <c r="AJ5272" t="s">
        <v>9563</v>
      </c>
      <c r="AK5272">
        <v>2810220386</v>
      </c>
      <c r="AL5272" t="s">
        <v>9564</v>
      </c>
      <c r="AM5272" t="s">
        <v>78</v>
      </c>
      <c r="AN5272" t="s">
        <v>78</v>
      </c>
      <c r="AO5272" t="s">
        <v>78</v>
      </c>
      <c r="AP5272" t="s">
        <v>213</v>
      </c>
      <c r="AQ5272">
        <v>1</v>
      </c>
      <c r="AR5272" t="s">
        <v>80</v>
      </c>
      <c r="AS5272" t="s">
        <v>81</v>
      </c>
      <c r="AT5272" t="s">
        <v>58</v>
      </c>
      <c r="AU5272" t="s">
        <v>68</v>
      </c>
      <c r="AV5272" t="s">
        <v>69</v>
      </c>
      <c r="AW5272" s="1">
        <v>22827</v>
      </c>
      <c r="AX5272">
        <v>1</v>
      </c>
    </row>
    <row r="5273" spans="1:50">
      <c r="A5273">
        <v>591558</v>
      </c>
      <c r="B5273" t="str">
        <f>"065108032"</f>
        <v>065108032</v>
      </c>
      <c r="C5273" t="s">
        <v>50</v>
      </c>
      <c r="D5273" t="s">
        <v>1300</v>
      </c>
      <c r="E5273" t="s">
        <v>250</v>
      </c>
      <c r="F5273" t="s">
        <v>95</v>
      </c>
      <c r="G5273" t="s">
        <v>237</v>
      </c>
      <c r="H5273" t="str">
        <f>"ΛΥΣΙΣΤΡΑΤΗΣ 25 ΗΡΑΚΛΕΙΟ"</f>
        <v>ΛΥΣΙΣΤΡΑΤΗΣ 25 ΗΡΑΚΛΕΙΟ</v>
      </c>
      <c r="I5273">
        <v>71304</v>
      </c>
      <c r="J5273">
        <v>2810262590</v>
      </c>
      <c r="K5273">
        <v>6979444826</v>
      </c>
      <c r="N5273" t="s">
        <v>615</v>
      </c>
      <c r="O5273" t="s">
        <v>616</v>
      </c>
      <c r="R5273" t="s">
        <v>57</v>
      </c>
      <c r="S5273">
        <v>10</v>
      </c>
      <c r="T5273">
        <v>249</v>
      </c>
      <c r="U5273" s="1">
        <v>36769</v>
      </c>
      <c r="V5273" t="s">
        <v>80</v>
      </c>
      <c r="W5273" t="s">
        <v>81</v>
      </c>
      <c r="X5273" t="s">
        <v>58</v>
      </c>
      <c r="Y5273">
        <v>22</v>
      </c>
      <c r="Z5273" t="s">
        <v>59</v>
      </c>
      <c r="AA5273" t="s">
        <v>59</v>
      </c>
      <c r="AB5273" t="s">
        <v>59</v>
      </c>
      <c r="AC5273" t="s">
        <v>59</v>
      </c>
      <c r="AD5273" t="s">
        <v>59</v>
      </c>
      <c r="AF5273" s="1">
        <v>36770</v>
      </c>
      <c r="AG5273" t="s">
        <v>8645</v>
      </c>
      <c r="AH5273" t="s">
        <v>8646</v>
      </c>
      <c r="AI5273" t="str">
        <f>"9521092"</f>
        <v>9521092</v>
      </c>
      <c r="AJ5273" t="s">
        <v>9234</v>
      </c>
      <c r="AK5273">
        <v>2810313321</v>
      </c>
      <c r="AL5273" t="s">
        <v>9235</v>
      </c>
      <c r="AM5273" t="s">
        <v>78</v>
      </c>
      <c r="AN5273" t="s">
        <v>78</v>
      </c>
      <c r="AO5273" t="s">
        <v>78</v>
      </c>
      <c r="AP5273" t="s">
        <v>141</v>
      </c>
      <c r="AQ5273">
        <v>1</v>
      </c>
      <c r="AR5273" t="s">
        <v>80</v>
      </c>
      <c r="AS5273" t="s">
        <v>81</v>
      </c>
      <c r="AT5273" t="s">
        <v>58</v>
      </c>
      <c r="AU5273" t="s">
        <v>68</v>
      </c>
      <c r="AV5273" t="s">
        <v>69</v>
      </c>
      <c r="AW5273" s="1">
        <v>25543</v>
      </c>
      <c r="AX5273">
        <v>1</v>
      </c>
    </row>
    <row r="5274" spans="1:50">
      <c r="A5274">
        <v>596973</v>
      </c>
      <c r="B5274" t="str">
        <f>"053675428"</f>
        <v>053675428</v>
      </c>
      <c r="C5274" t="s">
        <v>50</v>
      </c>
      <c r="D5274" t="s">
        <v>1300</v>
      </c>
      <c r="E5274" t="s">
        <v>83</v>
      </c>
      <c r="F5274" t="s">
        <v>95</v>
      </c>
      <c r="G5274" t="s">
        <v>237</v>
      </c>
      <c r="H5274" t="str">
        <f>"ΛΥΣΙΣΤΡΑΤΗΣ 25 ΗΡΑΚΛΕΙΟ"</f>
        <v>ΛΥΣΙΣΤΡΑΤΗΣ 25 ΗΡΑΚΛΕΙΟ</v>
      </c>
      <c r="I5274">
        <v>71304</v>
      </c>
      <c r="J5274">
        <v>2810319457</v>
      </c>
      <c r="K5274">
        <v>6976171550</v>
      </c>
      <c r="N5274" t="s">
        <v>1525</v>
      </c>
      <c r="O5274" t="s">
        <v>1526</v>
      </c>
      <c r="R5274" t="s">
        <v>57</v>
      </c>
      <c r="S5274">
        <v>8</v>
      </c>
      <c r="T5274">
        <v>195</v>
      </c>
      <c r="U5274" s="1">
        <v>37497</v>
      </c>
      <c r="V5274" t="s">
        <v>80</v>
      </c>
      <c r="W5274" t="s">
        <v>81</v>
      </c>
      <c r="X5274" t="s">
        <v>58</v>
      </c>
      <c r="Y5274">
        <v>25</v>
      </c>
      <c r="Z5274" t="s">
        <v>59</v>
      </c>
      <c r="AA5274" t="s">
        <v>59</v>
      </c>
      <c r="AB5274" t="s">
        <v>59</v>
      </c>
      <c r="AC5274" t="s">
        <v>59</v>
      </c>
      <c r="AD5274" t="s">
        <v>59</v>
      </c>
      <c r="AF5274" s="1">
        <v>37508</v>
      </c>
      <c r="AG5274" t="s">
        <v>8651</v>
      </c>
      <c r="AH5274" t="s">
        <v>8652</v>
      </c>
      <c r="AI5274" t="str">
        <f>"9170106"</f>
        <v>9170106</v>
      </c>
      <c r="AJ5274" t="s">
        <v>9565</v>
      </c>
      <c r="AK5274">
        <v>2810341815</v>
      </c>
      <c r="AL5274" t="s">
        <v>9566</v>
      </c>
      <c r="AM5274" t="s">
        <v>78</v>
      </c>
      <c r="AN5274" t="s">
        <v>78</v>
      </c>
      <c r="AO5274" t="s">
        <v>78</v>
      </c>
      <c r="AP5274" t="s">
        <v>79</v>
      </c>
      <c r="AQ5274">
        <v>1</v>
      </c>
      <c r="AR5274" t="s">
        <v>80</v>
      </c>
      <c r="AS5274" t="s">
        <v>81</v>
      </c>
      <c r="AT5274" t="s">
        <v>58</v>
      </c>
      <c r="AU5274" t="s">
        <v>68</v>
      </c>
      <c r="AV5274" t="s">
        <v>69</v>
      </c>
      <c r="AW5274" s="1">
        <v>26152</v>
      </c>
      <c r="AX5274">
        <v>1</v>
      </c>
    </row>
    <row r="5275" spans="1:50">
      <c r="B5275" t="str">
        <f>"132983255"</f>
        <v>132983255</v>
      </c>
      <c r="C5275" t="s">
        <v>50</v>
      </c>
      <c r="D5275" t="s">
        <v>1300</v>
      </c>
      <c r="E5275" t="s">
        <v>255</v>
      </c>
      <c r="F5275" t="s">
        <v>166</v>
      </c>
      <c r="G5275" t="s">
        <v>801</v>
      </c>
      <c r="H5275" t="str">
        <f>"ΚΑΤΩ ΑΣΙΤΕΣ  ΑΓΙΟΣ ΜΥΡΩΝΑΣ"</f>
        <v>ΚΑΤΩ ΑΣΙΤΕΣ  ΑΓΙΟΣ ΜΥΡΩΝΑΣ</v>
      </c>
      <c r="I5275">
        <v>70013</v>
      </c>
      <c r="J5275">
        <v>2810861259</v>
      </c>
      <c r="K5275">
        <v>6974127572</v>
      </c>
      <c r="N5275" t="s">
        <v>1525</v>
      </c>
      <c r="O5275" t="s">
        <v>1526</v>
      </c>
      <c r="R5275" t="s">
        <v>159</v>
      </c>
      <c r="S5275">
        <v>4</v>
      </c>
      <c r="T5275" t="s">
        <v>8670</v>
      </c>
      <c r="U5275" s="1">
        <v>43348</v>
      </c>
      <c r="V5275" t="s">
        <v>80</v>
      </c>
      <c r="W5275" t="s">
        <v>81</v>
      </c>
      <c r="X5275" t="s">
        <v>58</v>
      </c>
      <c r="Y5275">
        <v>25</v>
      </c>
      <c r="Z5275" t="s">
        <v>59</v>
      </c>
      <c r="AA5275" t="s">
        <v>59</v>
      </c>
      <c r="AB5275" t="s">
        <v>59</v>
      </c>
      <c r="AC5275" t="s">
        <v>59</v>
      </c>
      <c r="AD5275" t="s">
        <v>59</v>
      </c>
      <c r="AF5275" s="1">
        <v>43348</v>
      </c>
      <c r="AG5275" t="s">
        <v>8651</v>
      </c>
      <c r="AH5275" t="s">
        <v>8652</v>
      </c>
      <c r="AI5275" t="str">
        <f>"9170473"</f>
        <v>9170473</v>
      </c>
      <c r="AJ5275" t="s">
        <v>9567</v>
      </c>
      <c r="AK5275">
        <v>2810812103</v>
      </c>
      <c r="AL5275" t="s">
        <v>9568</v>
      </c>
      <c r="AM5275" t="s">
        <v>78</v>
      </c>
      <c r="AN5275" t="s">
        <v>129</v>
      </c>
      <c r="AO5275" t="s">
        <v>130</v>
      </c>
      <c r="AP5275" t="s">
        <v>8867</v>
      </c>
      <c r="AQ5275">
        <v>2</v>
      </c>
      <c r="AR5275" t="s">
        <v>80</v>
      </c>
      <c r="AS5275" t="s">
        <v>81</v>
      </c>
      <c r="AT5275" t="s">
        <v>58</v>
      </c>
      <c r="AU5275" t="s">
        <v>8673</v>
      </c>
      <c r="AV5275" t="s">
        <v>132</v>
      </c>
      <c r="AW5275" s="1">
        <v>31006</v>
      </c>
      <c r="AX5275">
        <v>1</v>
      </c>
    </row>
    <row r="5276" spans="1:50">
      <c r="B5276" t="str">
        <f>"128318013"</f>
        <v>128318013</v>
      </c>
      <c r="C5276" t="s">
        <v>50</v>
      </c>
      <c r="D5276" t="s">
        <v>1300</v>
      </c>
      <c r="E5276" t="s">
        <v>255</v>
      </c>
      <c r="F5276" t="s">
        <v>166</v>
      </c>
      <c r="G5276" t="s">
        <v>250</v>
      </c>
      <c r="H5276" t="str">
        <f>"ΑΝΩ ΑΡΧΑΝΕΣ ΗΡΑΚΛΕΙΟ"</f>
        <v>ΑΝΩ ΑΡΧΑΝΕΣ ΗΡΑΚΛΕΙΟ</v>
      </c>
      <c r="I5276">
        <v>70100</v>
      </c>
      <c r="J5276">
        <v>2810752162</v>
      </c>
      <c r="K5276">
        <v>6973372666</v>
      </c>
      <c r="N5276" t="s">
        <v>615</v>
      </c>
      <c r="O5276" t="s">
        <v>616</v>
      </c>
      <c r="R5276" t="s">
        <v>159</v>
      </c>
      <c r="S5276">
        <v>5</v>
      </c>
      <c r="T5276" t="s">
        <v>8675</v>
      </c>
      <c r="U5276" s="1">
        <v>43348</v>
      </c>
      <c r="V5276" t="s">
        <v>80</v>
      </c>
      <c r="W5276" t="s">
        <v>81</v>
      </c>
      <c r="X5276" t="s">
        <v>58</v>
      </c>
      <c r="Y5276">
        <v>24</v>
      </c>
      <c r="Z5276" t="s">
        <v>59</v>
      </c>
      <c r="AA5276" t="s">
        <v>59</v>
      </c>
      <c r="AB5276" t="s">
        <v>59</v>
      </c>
      <c r="AC5276" t="s">
        <v>59</v>
      </c>
      <c r="AD5276" t="s">
        <v>59</v>
      </c>
      <c r="AF5276" s="1">
        <v>43348</v>
      </c>
      <c r="AG5276" t="s">
        <v>8645</v>
      </c>
      <c r="AH5276" t="s">
        <v>8646</v>
      </c>
      <c r="AI5276" t="str">
        <f>"9170211"</f>
        <v>9170211</v>
      </c>
      <c r="AJ5276" t="s">
        <v>9533</v>
      </c>
      <c r="AK5276">
        <v>2810741283</v>
      </c>
      <c r="AL5276" t="s">
        <v>9534</v>
      </c>
      <c r="AM5276" t="s">
        <v>78</v>
      </c>
      <c r="AN5276" t="s">
        <v>424</v>
      </c>
      <c r="AO5276" t="s">
        <v>428</v>
      </c>
      <c r="AP5276" t="s">
        <v>9535</v>
      </c>
      <c r="AQ5276">
        <v>11</v>
      </c>
      <c r="AR5276" t="s">
        <v>80</v>
      </c>
      <c r="AS5276" t="s">
        <v>81</v>
      </c>
      <c r="AT5276" t="s">
        <v>58</v>
      </c>
      <c r="AU5276" t="s">
        <v>8673</v>
      </c>
      <c r="AV5276" t="s">
        <v>132</v>
      </c>
      <c r="AW5276" s="1">
        <v>32115</v>
      </c>
      <c r="AX5276">
        <v>1</v>
      </c>
    </row>
    <row r="5277" spans="1:50">
      <c r="A5277">
        <v>559199</v>
      </c>
      <c r="B5277" t="str">
        <f>"031421602"</f>
        <v>031421602</v>
      </c>
      <c r="C5277" t="s">
        <v>50</v>
      </c>
      <c r="D5277" t="s">
        <v>1300</v>
      </c>
      <c r="E5277" t="s">
        <v>610</v>
      </c>
      <c r="F5277" t="s">
        <v>99</v>
      </c>
      <c r="G5277" t="s">
        <v>250</v>
      </c>
      <c r="H5277" t="str">
        <f>"Eμμ.Τζανέ 12 Κατσαμπάς"</f>
        <v>Eμμ.Τζανέ 12 Κατσαμπάς</v>
      </c>
      <c r="I5277">
        <v>71307</v>
      </c>
      <c r="J5277">
        <v>2810227122</v>
      </c>
      <c r="K5277">
        <v>6947435652</v>
      </c>
      <c r="M5277" t="s">
        <v>9569</v>
      </c>
      <c r="N5277" t="s">
        <v>615</v>
      </c>
      <c r="O5277" t="s">
        <v>616</v>
      </c>
      <c r="R5277" t="s">
        <v>57</v>
      </c>
      <c r="S5277">
        <v>15</v>
      </c>
      <c r="T5277">
        <v>168</v>
      </c>
      <c r="U5277" s="1">
        <v>32010</v>
      </c>
      <c r="V5277" t="s">
        <v>80</v>
      </c>
      <c r="W5277" t="s">
        <v>81</v>
      </c>
      <c r="X5277" t="s">
        <v>58</v>
      </c>
      <c r="Y5277">
        <v>21</v>
      </c>
      <c r="Z5277" t="s">
        <v>59</v>
      </c>
      <c r="AA5277" t="s">
        <v>59</v>
      </c>
      <c r="AB5277" t="s">
        <v>59</v>
      </c>
      <c r="AC5277" t="s">
        <v>59</v>
      </c>
      <c r="AD5277" t="s">
        <v>59</v>
      </c>
      <c r="AF5277" s="1">
        <v>32023</v>
      </c>
      <c r="AG5277" t="s">
        <v>8645</v>
      </c>
      <c r="AH5277" t="s">
        <v>8646</v>
      </c>
      <c r="AI5277" t="str">
        <f>"9170262"</f>
        <v>9170262</v>
      </c>
      <c r="AJ5277" t="s">
        <v>9224</v>
      </c>
      <c r="AK5277">
        <v>2810245912</v>
      </c>
      <c r="AL5277" t="s">
        <v>9225</v>
      </c>
      <c r="AM5277" t="s">
        <v>78</v>
      </c>
      <c r="AN5277" t="s">
        <v>78</v>
      </c>
      <c r="AO5277" t="s">
        <v>286</v>
      </c>
      <c r="AP5277" t="s">
        <v>286</v>
      </c>
      <c r="AQ5277">
        <v>1</v>
      </c>
      <c r="AR5277" t="s">
        <v>80</v>
      </c>
      <c r="AS5277" t="s">
        <v>81</v>
      </c>
      <c r="AT5277" t="s">
        <v>58</v>
      </c>
      <c r="AU5277" t="s">
        <v>68</v>
      </c>
      <c r="AV5277" t="s">
        <v>69</v>
      </c>
      <c r="AW5277" s="1">
        <v>24013</v>
      </c>
      <c r="AX5277">
        <v>1</v>
      </c>
    </row>
    <row r="5278" spans="1:50">
      <c r="A5278">
        <v>585811</v>
      </c>
      <c r="B5278" t="str">
        <f>"050928142"</f>
        <v>050928142</v>
      </c>
      <c r="C5278" t="s">
        <v>105</v>
      </c>
      <c r="D5278" t="s">
        <v>1303</v>
      </c>
      <c r="E5278" t="s">
        <v>106</v>
      </c>
      <c r="F5278" t="s">
        <v>84</v>
      </c>
      <c r="G5278" t="s">
        <v>411</v>
      </c>
      <c r="H5278" t="str">
        <f>"ΣΟΛΩΜΟΥ 11 ΗΡΑΚΛΕΙΟΥ"</f>
        <v>ΣΟΛΩΜΟΥ 11 ΗΡΑΚΛΕΙΟΥ</v>
      </c>
      <c r="I5278">
        <v>71306</v>
      </c>
      <c r="J5278">
        <v>2810235246</v>
      </c>
      <c r="K5278">
        <v>6974799532</v>
      </c>
      <c r="M5278" t="s">
        <v>9570</v>
      </c>
      <c r="N5278" t="s">
        <v>615</v>
      </c>
      <c r="O5278" t="s">
        <v>616</v>
      </c>
      <c r="R5278" t="s">
        <v>57</v>
      </c>
      <c r="S5278">
        <v>10</v>
      </c>
      <c r="T5278">
        <v>165</v>
      </c>
      <c r="U5278" s="1">
        <v>36040</v>
      </c>
      <c r="V5278" t="s">
        <v>80</v>
      </c>
      <c r="W5278" t="s">
        <v>81</v>
      </c>
      <c r="X5278" t="s">
        <v>58</v>
      </c>
      <c r="Y5278">
        <v>21</v>
      </c>
      <c r="Z5278" t="s">
        <v>59</v>
      </c>
      <c r="AA5278" t="s">
        <v>59</v>
      </c>
      <c r="AB5278" t="s">
        <v>59</v>
      </c>
      <c r="AC5278" t="s">
        <v>59</v>
      </c>
      <c r="AD5278" t="s">
        <v>59</v>
      </c>
      <c r="AF5278" s="1">
        <v>36042</v>
      </c>
      <c r="AG5278" t="s">
        <v>8645</v>
      </c>
      <c r="AH5278" t="s">
        <v>8646</v>
      </c>
      <c r="AI5278" t="str">
        <f>"9170345"</f>
        <v>9170345</v>
      </c>
      <c r="AJ5278" t="s">
        <v>9429</v>
      </c>
      <c r="AK5278">
        <v>2810289563</v>
      </c>
      <c r="AL5278" t="s">
        <v>9430</v>
      </c>
      <c r="AM5278" t="s">
        <v>78</v>
      </c>
      <c r="AN5278" t="s">
        <v>78</v>
      </c>
      <c r="AO5278" t="s">
        <v>78</v>
      </c>
      <c r="AP5278" t="s">
        <v>79</v>
      </c>
      <c r="AQ5278">
        <v>1</v>
      </c>
      <c r="AR5278" t="s">
        <v>80</v>
      </c>
      <c r="AS5278" t="s">
        <v>81</v>
      </c>
      <c r="AT5278" t="s">
        <v>58</v>
      </c>
      <c r="AU5278" t="s">
        <v>68</v>
      </c>
      <c r="AV5278" t="s">
        <v>69</v>
      </c>
      <c r="AW5278" s="1">
        <v>23472</v>
      </c>
      <c r="AX5278">
        <v>1</v>
      </c>
    </row>
    <row r="5279" spans="1:50">
      <c r="A5279">
        <v>606104</v>
      </c>
      <c r="B5279" t="str">
        <f>"070346108"</f>
        <v>070346108</v>
      </c>
      <c r="C5279" t="s">
        <v>50</v>
      </c>
      <c r="D5279" t="s">
        <v>1307</v>
      </c>
      <c r="E5279" t="s">
        <v>1440</v>
      </c>
      <c r="F5279" t="s">
        <v>1320</v>
      </c>
      <c r="G5279" t="s">
        <v>237</v>
      </c>
      <c r="H5279" t="str">
        <f>"Γ. ΨΥΧΑΡΗ 25 ΗΡΑΚΛΕΙΟ"</f>
        <v>Γ. ΨΥΧΑΡΗ 25 ΗΡΑΚΛΕΙΟ</v>
      </c>
      <c r="I5279">
        <v>71305</v>
      </c>
      <c r="J5279">
        <v>2810254109</v>
      </c>
      <c r="K5279">
        <v>6944537211</v>
      </c>
      <c r="N5279" t="s">
        <v>1525</v>
      </c>
      <c r="O5279" t="s">
        <v>1526</v>
      </c>
      <c r="R5279" t="s">
        <v>57</v>
      </c>
      <c r="S5279">
        <v>7</v>
      </c>
      <c r="T5279">
        <v>231</v>
      </c>
      <c r="U5279" s="1">
        <v>38230</v>
      </c>
      <c r="V5279" t="s">
        <v>80</v>
      </c>
      <c r="W5279" t="s">
        <v>81</v>
      </c>
      <c r="X5279" t="s">
        <v>58</v>
      </c>
      <c r="Y5279">
        <v>25</v>
      </c>
      <c r="Z5279" t="s">
        <v>59</v>
      </c>
      <c r="AA5279" t="s">
        <v>59</v>
      </c>
      <c r="AB5279" t="s">
        <v>59</v>
      </c>
      <c r="AC5279" t="s">
        <v>59</v>
      </c>
      <c r="AD5279" t="s">
        <v>59</v>
      </c>
      <c r="AF5279" s="1">
        <v>38231</v>
      </c>
      <c r="AG5279" t="s">
        <v>8651</v>
      </c>
      <c r="AH5279" t="s">
        <v>8652</v>
      </c>
      <c r="AI5279" t="str">
        <f>"9170099"</f>
        <v>9170099</v>
      </c>
      <c r="AJ5279" t="s">
        <v>9571</v>
      </c>
      <c r="AK5279">
        <v>2810288280</v>
      </c>
      <c r="AL5279" t="s">
        <v>9572</v>
      </c>
      <c r="AM5279" t="s">
        <v>78</v>
      </c>
      <c r="AN5279" t="s">
        <v>78</v>
      </c>
      <c r="AO5279" t="s">
        <v>78</v>
      </c>
      <c r="AP5279" t="s">
        <v>79</v>
      </c>
      <c r="AQ5279">
        <v>1</v>
      </c>
      <c r="AR5279" t="s">
        <v>80</v>
      </c>
      <c r="AS5279" t="s">
        <v>81</v>
      </c>
      <c r="AT5279" t="s">
        <v>58</v>
      </c>
      <c r="AU5279" t="s">
        <v>68</v>
      </c>
      <c r="AV5279" t="s">
        <v>69</v>
      </c>
      <c r="AW5279" s="1">
        <v>28713</v>
      </c>
      <c r="AX5279">
        <v>1</v>
      </c>
    </row>
    <row r="5280" spans="1:50">
      <c r="A5280">
        <v>618173</v>
      </c>
      <c r="B5280" t="str">
        <f>"129328004"</f>
        <v>129328004</v>
      </c>
      <c r="C5280" t="s">
        <v>50</v>
      </c>
      <c r="D5280" t="s">
        <v>1308</v>
      </c>
      <c r="E5280" t="s">
        <v>367</v>
      </c>
      <c r="F5280" t="s">
        <v>95</v>
      </c>
      <c r="G5280" t="s">
        <v>1068</v>
      </c>
      <c r="H5280" t="str">
        <f>"ΜΑΧΗ ΚΡΗΤΗΣ  ΜΟΙΡΕΣ -ΚΑΠΑΡΙΑΝΑ Ν.ΗΡΑΚΛΕΙΟΥ"</f>
        <v>ΜΑΧΗ ΚΡΗΤΗΣ  ΜΟΙΡΕΣ -ΚΑΠΑΡΙΑΝΑ Ν.ΗΡΑΚΛΕΙΟΥ</v>
      </c>
      <c r="I5280">
        <v>70400</v>
      </c>
      <c r="K5280">
        <v>6956103981</v>
      </c>
      <c r="M5280" t="s">
        <v>9573</v>
      </c>
      <c r="N5280" t="s">
        <v>615</v>
      </c>
      <c r="O5280" t="s">
        <v>616</v>
      </c>
      <c r="R5280" t="s">
        <v>57</v>
      </c>
      <c r="S5280">
        <v>5</v>
      </c>
      <c r="T5280">
        <v>774</v>
      </c>
      <c r="U5280" s="1">
        <v>39680</v>
      </c>
      <c r="V5280" t="s">
        <v>80</v>
      </c>
      <c r="W5280" t="s">
        <v>81</v>
      </c>
      <c r="X5280" t="s">
        <v>58</v>
      </c>
      <c r="Y5280">
        <v>23</v>
      </c>
      <c r="Z5280" t="s">
        <v>59</v>
      </c>
      <c r="AA5280" t="s">
        <v>59</v>
      </c>
      <c r="AB5280" t="s">
        <v>59</v>
      </c>
      <c r="AC5280" t="s">
        <v>59</v>
      </c>
      <c r="AD5280" t="s">
        <v>59</v>
      </c>
      <c r="AF5280" s="1">
        <v>39682</v>
      </c>
      <c r="AG5280" t="s">
        <v>8645</v>
      </c>
      <c r="AH5280" t="s">
        <v>8646</v>
      </c>
      <c r="AI5280" t="str">
        <f>"9170282"</f>
        <v>9170282</v>
      </c>
      <c r="AJ5280" t="s">
        <v>8938</v>
      </c>
      <c r="AK5280">
        <v>2892022120</v>
      </c>
      <c r="AL5280" t="s">
        <v>8939</v>
      </c>
      <c r="AM5280" t="s">
        <v>78</v>
      </c>
      <c r="AN5280" t="s">
        <v>242</v>
      </c>
      <c r="AO5280" t="s">
        <v>243</v>
      </c>
      <c r="AP5280" t="s">
        <v>8940</v>
      </c>
      <c r="AQ5280">
        <v>20</v>
      </c>
      <c r="AR5280" t="s">
        <v>80</v>
      </c>
      <c r="AS5280" t="s">
        <v>81</v>
      </c>
      <c r="AT5280" t="s">
        <v>58</v>
      </c>
      <c r="AU5280" t="s">
        <v>68</v>
      </c>
      <c r="AV5280" t="s">
        <v>69</v>
      </c>
      <c r="AW5280" s="1">
        <v>31052</v>
      </c>
      <c r="AX5280">
        <v>1</v>
      </c>
    </row>
    <row r="5281" spans="1:50">
      <c r="B5281" t="str">
        <f>"055184186"</f>
        <v>055184186</v>
      </c>
      <c r="C5281" t="s">
        <v>50</v>
      </c>
      <c r="D5281" t="s">
        <v>1308</v>
      </c>
      <c r="E5281" t="s">
        <v>630</v>
      </c>
      <c r="F5281" t="s">
        <v>309</v>
      </c>
      <c r="G5281" t="s">
        <v>382</v>
      </c>
      <c r="H5281" t="str">
        <f>"Γ. ΠΑΠΑΝΔΡΕΟΥ 5 ΘΕΣΣΑΛΟΝΙΚΗ"</f>
        <v>Γ. ΠΑΠΑΝΔΡΕΟΥ 5 ΘΕΣΣΑΛΟΝΙΚΗ</v>
      </c>
      <c r="I5281">
        <v>54645</v>
      </c>
      <c r="J5281">
        <v>2310524047</v>
      </c>
      <c r="K5281">
        <v>6944454598</v>
      </c>
      <c r="N5281" t="s">
        <v>306</v>
      </c>
      <c r="O5281" t="s">
        <v>307</v>
      </c>
      <c r="R5281" t="s">
        <v>159</v>
      </c>
      <c r="S5281">
        <v>2</v>
      </c>
      <c r="T5281" t="s">
        <v>8675</v>
      </c>
      <c r="U5281" s="1">
        <v>43348</v>
      </c>
      <c r="V5281" t="s">
        <v>80</v>
      </c>
      <c r="W5281" t="s">
        <v>81</v>
      </c>
      <c r="X5281" t="s">
        <v>58</v>
      </c>
      <c r="Y5281">
        <v>24</v>
      </c>
      <c r="Z5281" t="s">
        <v>59</v>
      </c>
      <c r="AA5281" t="s">
        <v>59</v>
      </c>
      <c r="AB5281" t="s">
        <v>59</v>
      </c>
      <c r="AC5281" t="s">
        <v>59</v>
      </c>
      <c r="AD5281" t="s">
        <v>59</v>
      </c>
      <c r="AF5281" s="1">
        <v>43348</v>
      </c>
      <c r="AG5281" t="s">
        <v>8645</v>
      </c>
      <c r="AH5281" t="s">
        <v>8646</v>
      </c>
      <c r="AI5281" t="str">
        <f>"9170270"</f>
        <v>9170270</v>
      </c>
      <c r="AJ5281" t="s">
        <v>9347</v>
      </c>
      <c r="AK5281">
        <v>2892031245</v>
      </c>
      <c r="AL5281" t="s">
        <v>9348</v>
      </c>
      <c r="AM5281" t="s">
        <v>78</v>
      </c>
      <c r="AN5281" t="s">
        <v>405</v>
      </c>
      <c r="AO5281" t="s">
        <v>405</v>
      </c>
      <c r="AP5281" t="s">
        <v>464</v>
      </c>
      <c r="AQ5281">
        <v>17</v>
      </c>
      <c r="AR5281" t="s">
        <v>80</v>
      </c>
      <c r="AS5281" t="s">
        <v>81</v>
      </c>
      <c r="AT5281" t="s">
        <v>58</v>
      </c>
      <c r="AU5281" t="s">
        <v>8673</v>
      </c>
      <c r="AV5281" t="s">
        <v>132</v>
      </c>
      <c r="AW5281" s="1">
        <v>23999</v>
      </c>
      <c r="AX5281">
        <v>1</v>
      </c>
    </row>
    <row r="5282" spans="1:50">
      <c r="B5282" t="str">
        <f>"162011705"</f>
        <v>162011705</v>
      </c>
      <c r="C5282" t="s">
        <v>105</v>
      </c>
      <c r="D5282" t="s">
        <v>9574</v>
      </c>
      <c r="E5282" t="s">
        <v>670</v>
      </c>
      <c r="F5282" t="s">
        <v>1229</v>
      </c>
      <c r="G5282" t="s">
        <v>372</v>
      </c>
      <c r="H5282" t="str">
        <f>" "</f>
        <v xml:space="preserve"> </v>
      </c>
      <c r="N5282" t="s">
        <v>683</v>
      </c>
      <c r="O5282" t="s">
        <v>684</v>
      </c>
      <c r="R5282" t="s">
        <v>121</v>
      </c>
      <c r="S5282">
        <v>1</v>
      </c>
      <c r="T5282" t="s">
        <v>8675</v>
      </c>
      <c r="U5282" s="1">
        <v>43348</v>
      </c>
      <c r="V5282" t="s">
        <v>80</v>
      </c>
      <c r="W5282" t="s">
        <v>81</v>
      </c>
      <c r="X5282" t="s">
        <v>58</v>
      </c>
      <c r="Y5282">
        <v>24</v>
      </c>
      <c r="Z5282" t="s">
        <v>59</v>
      </c>
      <c r="AD5282" t="s">
        <v>59</v>
      </c>
      <c r="AF5282" s="1">
        <v>43348</v>
      </c>
      <c r="AG5282" t="s">
        <v>8645</v>
      </c>
      <c r="AH5282" t="s">
        <v>8646</v>
      </c>
      <c r="AI5282" t="str">
        <f>"9170560"</f>
        <v>9170560</v>
      </c>
      <c r="AJ5282" t="s">
        <v>9022</v>
      </c>
      <c r="AK5282">
        <v>2810821816</v>
      </c>
      <c r="AL5282" t="s">
        <v>9023</v>
      </c>
      <c r="AM5282" t="s">
        <v>78</v>
      </c>
      <c r="AN5282" t="s">
        <v>129</v>
      </c>
      <c r="AO5282" t="s">
        <v>130</v>
      </c>
      <c r="AP5282" t="s">
        <v>130</v>
      </c>
      <c r="AQ5282">
        <v>1</v>
      </c>
      <c r="AR5282" t="s">
        <v>80</v>
      </c>
      <c r="AS5282" t="s">
        <v>81</v>
      </c>
      <c r="AT5282" t="s">
        <v>58</v>
      </c>
      <c r="AU5282" t="s">
        <v>8673</v>
      </c>
      <c r="AV5282" t="s">
        <v>132</v>
      </c>
      <c r="AW5282" s="1">
        <v>33211</v>
      </c>
      <c r="AX5282">
        <v>1</v>
      </c>
    </row>
    <row r="5283" spans="1:50">
      <c r="A5283">
        <v>582085</v>
      </c>
      <c r="B5283" t="str">
        <f>"103828499"</f>
        <v>103828499</v>
      </c>
      <c r="C5283" t="s">
        <v>50</v>
      </c>
      <c r="D5283" t="s">
        <v>9575</v>
      </c>
      <c r="E5283" t="s">
        <v>1204</v>
      </c>
      <c r="F5283" t="s">
        <v>383</v>
      </c>
      <c r="G5283" t="s">
        <v>155</v>
      </c>
      <c r="H5283" t="str">
        <f>" "</f>
        <v xml:space="preserve"> </v>
      </c>
      <c r="N5283" t="s">
        <v>615</v>
      </c>
      <c r="O5283" t="s">
        <v>616</v>
      </c>
      <c r="R5283" t="s">
        <v>57</v>
      </c>
      <c r="S5283">
        <v>12</v>
      </c>
      <c r="T5283">
        <v>179</v>
      </c>
      <c r="U5283" s="1">
        <v>35674</v>
      </c>
      <c r="V5283" t="s">
        <v>80</v>
      </c>
      <c r="W5283" t="s">
        <v>81</v>
      </c>
      <c r="X5283" t="s">
        <v>58</v>
      </c>
      <c r="Y5283">
        <v>21</v>
      </c>
      <c r="Z5283" t="s">
        <v>59</v>
      </c>
      <c r="AA5283" t="s">
        <v>59</v>
      </c>
      <c r="AB5283" t="s">
        <v>59</v>
      </c>
      <c r="AC5283" t="s">
        <v>59</v>
      </c>
      <c r="AD5283" t="s">
        <v>59</v>
      </c>
      <c r="AF5283" s="1">
        <v>35674</v>
      </c>
      <c r="AG5283" t="s">
        <v>8645</v>
      </c>
      <c r="AH5283" t="s">
        <v>8646</v>
      </c>
      <c r="AI5283" t="str">
        <f>"9170494"</f>
        <v>9170494</v>
      </c>
      <c r="AJ5283" t="s">
        <v>9125</v>
      </c>
      <c r="AK5283">
        <v>2810228361</v>
      </c>
      <c r="AL5283" t="s">
        <v>9126</v>
      </c>
      <c r="AM5283" t="s">
        <v>78</v>
      </c>
      <c r="AN5283" t="s">
        <v>78</v>
      </c>
      <c r="AO5283" t="s">
        <v>78</v>
      </c>
      <c r="AP5283" t="s">
        <v>79</v>
      </c>
      <c r="AQ5283">
        <v>1</v>
      </c>
      <c r="AR5283" t="s">
        <v>80</v>
      </c>
      <c r="AS5283" t="s">
        <v>81</v>
      </c>
      <c r="AT5283" t="s">
        <v>58</v>
      </c>
      <c r="AU5283" t="s">
        <v>68</v>
      </c>
      <c r="AV5283" t="s">
        <v>69</v>
      </c>
      <c r="AW5283" s="1">
        <v>24561</v>
      </c>
      <c r="AX5283">
        <v>1</v>
      </c>
    </row>
    <row r="5284" spans="1:50">
      <c r="A5284">
        <v>612574</v>
      </c>
      <c r="B5284" t="str">
        <f>"061404376"</f>
        <v>061404376</v>
      </c>
      <c r="C5284" t="s">
        <v>105</v>
      </c>
      <c r="D5284" t="s">
        <v>9576</v>
      </c>
      <c r="E5284" t="s">
        <v>72</v>
      </c>
      <c r="F5284" t="s">
        <v>154</v>
      </c>
      <c r="G5284" t="s">
        <v>250</v>
      </c>
      <c r="H5284" t="str">
        <f>"ΓΕΩΡΓΙΟΥ ΓΕΝΝΗΜΑΤΑ 36 ΗΡΑΚΛΕΙΟ"</f>
        <v>ΓΕΩΡΓΙΟΥ ΓΕΝΝΗΜΑΤΑ 36 ΗΡΑΚΛΕΙΟ</v>
      </c>
      <c r="I5284">
        <v>71305</v>
      </c>
      <c r="J5284">
        <v>2810254179</v>
      </c>
      <c r="K5284">
        <v>6944921436</v>
      </c>
      <c r="N5284" t="s">
        <v>176</v>
      </c>
      <c r="O5284" t="s">
        <v>177</v>
      </c>
      <c r="R5284" t="s">
        <v>57</v>
      </c>
      <c r="S5284">
        <v>8</v>
      </c>
      <c r="T5284">
        <v>234</v>
      </c>
      <c r="U5284" s="1">
        <v>38960</v>
      </c>
      <c r="V5284" t="s">
        <v>80</v>
      </c>
      <c r="W5284" t="s">
        <v>81</v>
      </c>
      <c r="X5284" t="s">
        <v>58</v>
      </c>
      <c r="Y5284">
        <v>22</v>
      </c>
      <c r="Z5284" t="s">
        <v>59</v>
      </c>
      <c r="AA5284" t="s">
        <v>59</v>
      </c>
      <c r="AB5284" t="s">
        <v>59</v>
      </c>
      <c r="AC5284" t="s">
        <v>59</v>
      </c>
      <c r="AD5284" t="s">
        <v>59</v>
      </c>
      <c r="AF5284" s="1">
        <v>38961</v>
      </c>
      <c r="AG5284" t="s">
        <v>8645</v>
      </c>
      <c r="AH5284" t="s">
        <v>8697</v>
      </c>
      <c r="AI5284" t="str">
        <f>"9170511"</f>
        <v>9170511</v>
      </c>
      <c r="AJ5284" t="s">
        <v>8698</v>
      </c>
      <c r="AK5284">
        <v>2810316275</v>
      </c>
      <c r="AL5284" t="s">
        <v>8699</v>
      </c>
      <c r="AM5284" t="s">
        <v>78</v>
      </c>
      <c r="AN5284" t="s">
        <v>78</v>
      </c>
      <c r="AO5284" t="s">
        <v>78</v>
      </c>
      <c r="AP5284" t="s">
        <v>141</v>
      </c>
      <c r="AQ5284">
        <v>1</v>
      </c>
      <c r="AR5284" t="s">
        <v>80</v>
      </c>
      <c r="AS5284" t="s">
        <v>81</v>
      </c>
      <c r="AT5284" t="s">
        <v>58</v>
      </c>
      <c r="AU5284" t="s">
        <v>68</v>
      </c>
      <c r="AV5284" t="s">
        <v>69</v>
      </c>
      <c r="AW5284" s="1">
        <v>26034</v>
      </c>
      <c r="AX5284">
        <v>1</v>
      </c>
    </row>
    <row r="5285" spans="1:50">
      <c r="A5285">
        <v>614479</v>
      </c>
      <c r="B5285" t="str">
        <f>"116669798"</f>
        <v>116669798</v>
      </c>
      <c r="C5285" t="s">
        <v>50</v>
      </c>
      <c r="D5285" t="s">
        <v>1323</v>
      </c>
      <c r="E5285" t="s">
        <v>83</v>
      </c>
      <c r="F5285" t="s">
        <v>53</v>
      </c>
      <c r="G5285" t="s">
        <v>263</v>
      </c>
      <c r="H5285" t="str">
        <f>"ΦΙΛΟΛΑΟΥ &amp; ΔΗΜΟΥΛΙΤΣΑ ΗΡΑΚΛΕΙΟ"</f>
        <v>ΦΙΛΟΛΑΟΥ &amp; ΔΗΜΟΥΛΙΤΣΑ ΗΡΑΚΛΕΙΟ</v>
      </c>
      <c r="I5285">
        <v>71307</v>
      </c>
      <c r="K5285">
        <v>6973452010</v>
      </c>
      <c r="M5285" t="s">
        <v>9577</v>
      </c>
      <c r="N5285" t="s">
        <v>615</v>
      </c>
      <c r="O5285" t="s">
        <v>616</v>
      </c>
      <c r="R5285" t="s">
        <v>57</v>
      </c>
      <c r="S5285">
        <v>6</v>
      </c>
      <c r="T5285">
        <v>598</v>
      </c>
      <c r="U5285" s="1">
        <v>39310</v>
      </c>
      <c r="V5285" t="s">
        <v>80</v>
      </c>
      <c r="W5285" t="s">
        <v>81</v>
      </c>
      <c r="X5285" t="s">
        <v>58</v>
      </c>
      <c r="Y5285">
        <v>23</v>
      </c>
      <c r="Z5285" t="s">
        <v>59</v>
      </c>
      <c r="AA5285" t="s">
        <v>59</v>
      </c>
      <c r="AB5285" t="s">
        <v>59</v>
      </c>
      <c r="AC5285" t="s">
        <v>59</v>
      </c>
      <c r="AD5285" t="s">
        <v>59</v>
      </c>
      <c r="AF5285" s="1">
        <v>39310</v>
      </c>
      <c r="AG5285" t="s">
        <v>8645</v>
      </c>
      <c r="AH5285" t="s">
        <v>8646</v>
      </c>
      <c r="AI5285" t="str">
        <f>"9170194"</f>
        <v>9170194</v>
      </c>
      <c r="AJ5285" t="s">
        <v>8768</v>
      </c>
      <c r="AK5285">
        <v>2810239611</v>
      </c>
      <c r="AL5285" t="s">
        <v>8769</v>
      </c>
      <c r="AM5285" t="s">
        <v>78</v>
      </c>
      <c r="AN5285" t="s">
        <v>78</v>
      </c>
      <c r="AO5285" t="s">
        <v>78</v>
      </c>
      <c r="AP5285" t="s">
        <v>213</v>
      </c>
      <c r="AQ5285">
        <v>1</v>
      </c>
      <c r="AR5285" t="s">
        <v>80</v>
      </c>
      <c r="AS5285" t="s">
        <v>81</v>
      </c>
      <c r="AT5285" t="s">
        <v>58</v>
      </c>
      <c r="AU5285" t="s">
        <v>68</v>
      </c>
      <c r="AV5285" t="s">
        <v>69</v>
      </c>
      <c r="AW5285" s="1">
        <v>30560</v>
      </c>
      <c r="AX5285">
        <v>1</v>
      </c>
    </row>
    <row r="5286" spans="1:50">
      <c r="A5286">
        <v>616273</v>
      </c>
      <c r="B5286" t="str">
        <f>"118948156"</f>
        <v>118948156</v>
      </c>
      <c r="C5286" t="s">
        <v>50</v>
      </c>
      <c r="D5286" t="s">
        <v>7179</v>
      </c>
      <c r="E5286" t="s">
        <v>52</v>
      </c>
      <c r="F5286" t="s">
        <v>95</v>
      </c>
      <c r="G5286" t="s">
        <v>263</v>
      </c>
      <c r="H5286" t="str">
        <f>" "</f>
        <v xml:space="preserve"> </v>
      </c>
      <c r="J5286">
        <v>2810287877</v>
      </c>
      <c r="K5286">
        <v>6932689887</v>
      </c>
      <c r="N5286" t="s">
        <v>1525</v>
      </c>
      <c r="O5286" t="s">
        <v>1526</v>
      </c>
      <c r="R5286" t="s">
        <v>57</v>
      </c>
      <c r="S5286">
        <v>7</v>
      </c>
      <c r="T5286">
        <v>660</v>
      </c>
      <c r="U5286" s="1">
        <v>39311</v>
      </c>
      <c r="V5286" t="s">
        <v>80</v>
      </c>
      <c r="W5286" t="s">
        <v>81</v>
      </c>
      <c r="X5286" t="s">
        <v>58</v>
      </c>
      <c r="Y5286">
        <v>25</v>
      </c>
      <c r="Z5286" t="s">
        <v>59</v>
      </c>
      <c r="AA5286" t="s">
        <v>59</v>
      </c>
      <c r="AB5286" t="s">
        <v>59</v>
      </c>
      <c r="AC5286" t="s">
        <v>59</v>
      </c>
      <c r="AD5286" t="s">
        <v>59</v>
      </c>
      <c r="AF5286" s="1">
        <v>39328</v>
      </c>
      <c r="AG5286" t="s">
        <v>8651</v>
      </c>
      <c r="AH5286" t="s">
        <v>8652</v>
      </c>
      <c r="AI5286" t="str">
        <f>"9170529"</f>
        <v>9170529</v>
      </c>
      <c r="AJ5286" t="s">
        <v>8656</v>
      </c>
      <c r="AK5286">
        <v>2810223699</v>
      </c>
      <c r="AL5286" t="s">
        <v>8657</v>
      </c>
      <c r="AM5286" t="s">
        <v>78</v>
      </c>
      <c r="AN5286" t="s">
        <v>78</v>
      </c>
      <c r="AO5286" t="s">
        <v>286</v>
      </c>
      <c r="AP5286" t="s">
        <v>286</v>
      </c>
      <c r="AQ5286">
        <v>1</v>
      </c>
      <c r="AR5286" t="s">
        <v>80</v>
      </c>
      <c r="AS5286" t="s">
        <v>81</v>
      </c>
      <c r="AT5286" t="s">
        <v>58</v>
      </c>
      <c r="AU5286" t="s">
        <v>68</v>
      </c>
      <c r="AV5286" t="s">
        <v>69</v>
      </c>
      <c r="AW5286" s="1">
        <v>30245</v>
      </c>
      <c r="AX5286">
        <v>1</v>
      </c>
    </row>
    <row r="5287" spans="1:50">
      <c r="A5287">
        <v>227572</v>
      </c>
      <c r="B5287" t="str">
        <f>"035496142"</f>
        <v>035496142</v>
      </c>
      <c r="C5287" t="s">
        <v>50</v>
      </c>
      <c r="D5287" t="s">
        <v>9578</v>
      </c>
      <c r="E5287" t="s">
        <v>155</v>
      </c>
      <c r="F5287" t="s">
        <v>72</v>
      </c>
      <c r="G5287" t="s">
        <v>52</v>
      </c>
      <c r="H5287" t="str">
        <f>"ΛΕΩΦ. ΔΗΜΟΚΡΑΤΙΑΣ 5 ΗΡΑΚΛΕΙΟ"</f>
        <v>ΛΕΩΦ. ΔΗΜΟΚΡΑΤΙΑΣ 5 ΗΡΑΚΛΕΙΟ</v>
      </c>
      <c r="I5287">
        <v>71306</v>
      </c>
      <c r="J5287">
        <v>2810229955</v>
      </c>
      <c r="K5287">
        <v>6945863302</v>
      </c>
      <c r="M5287" t="s">
        <v>9579</v>
      </c>
      <c r="N5287" t="s">
        <v>478</v>
      </c>
      <c r="O5287" t="s">
        <v>479</v>
      </c>
      <c r="R5287" t="s">
        <v>57</v>
      </c>
      <c r="S5287">
        <v>6</v>
      </c>
      <c r="T5287">
        <v>654</v>
      </c>
      <c r="U5287" s="1">
        <v>40043</v>
      </c>
      <c r="V5287" t="s">
        <v>80</v>
      </c>
      <c r="W5287" t="s">
        <v>81</v>
      </c>
      <c r="X5287" t="s">
        <v>58</v>
      </c>
      <c r="Y5287">
        <v>23</v>
      </c>
      <c r="Z5287" t="s">
        <v>59</v>
      </c>
      <c r="AA5287" t="s">
        <v>59</v>
      </c>
      <c r="AB5287" t="s">
        <v>59</v>
      </c>
      <c r="AC5287" t="s">
        <v>59</v>
      </c>
      <c r="AD5287" t="s">
        <v>59</v>
      </c>
      <c r="AF5287" s="1">
        <v>40044</v>
      </c>
      <c r="AG5287" t="s">
        <v>8645</v>
      </c>
      <c r="AH5287" t="s">
        <v>8646</v>
      </c>
      <c r="AI5287" t="str">
        <f>"9170219"</f>
        <v>9170219</v>
      </c>
      <c r="AJ5287" t="s">
        <v>8967</v>
      </c>
      <c r="AK5287">
        <v>2897041357</v>
      </c>
      <c r="AL5287" t="s">
        <v>8968</v>
      </c>
      <c r="AM5287" t="s">
        <v>78</v>
      </c>
      <c r="AN5287" t="s">
        <v>219</v>
      </c>
      <c r="AO5287" t="s">
        <v>297</v>
      </c>
      <c r="AP5287" t="s">
        <v>297</v>
      </c>
      <c r="AQ5287">
        <v>7</v>
      </c>
      <c r="AR5287" t="s">
        <v>80</v>
      </c>
      <c r="AS5287" t="s">
        <v>81</v>
      </c>
      <c r="AT5287" t="s">
        <v>58</v>
      </c>
      <c r="AU5287" t="s">
        <v>68</v>
      </c>
      <c r="AV5287" t="s">
        <v>69</v>
      </c>
      <c r="AW5287" s="1">
        <v>25085</v>
      </c>
      <c r="AX5287">
        <v>1</v>
      </c>
    </row>
    <row r="5288" spans="1:50">
      <c r="B5288" t="str">
        <f>"146225001"</f>
        <v>146225001</v>
      </c>
      <c r="C5288" t="s">
        <v>50</v>
      </c>
      <c r="D5288" t="s">
        <v>1327</v>
      </c>
      <c r="E5288" t="s">
        <v>9580</v>
      </c>
      <c r="F5288" t="s">
        <v>72</v>
      </c>
      <c r="G5288" t="s">
        <v>52</v>
      </c>
      <c r="H5288" t="str">
        <f>"ΘΗΣΕΩΣ 14 ΑΜΜΟΥΔΑΡΑ"</f>
        <v>ΘΗΣΕΩΣ 14 ΑΜΜΟΥΔΑΡΑ</v>
      </c>
      <c r="I5288">
        <v>71414</v>
      </c>
      <c r="J5288">
        <v>2810261184</v>
      </c>
      <c r="K5288">
        <v>6977241318</v>
      </c>
      <c r="N5288" t="s">
        <v>615</v>
      </c>
      <c r="O5288" t="s">
        <v>616</v>
      </c>
      <c r="R5288" t="s">
        <v>159</v>
      </c>
      <c r="S5288">
        <v>5</v>
      </c>
      <c r="T5288" t="s">
        <v>8675</v>
      </c>
      <c r="U5288" s="1">
        <v>43348</v>
      </c>
      <c r="V5288" t="s">
        <v>80</v>
      </c>
      <c r="W5288" t="s">
        <v>81</v>
      </c>
      <c r="X5288" t="s">
        <v>58</v>
      </c>
      <c r="Y5288">
        <v>24</v>
      </c>
      <c r="Z5288" t="s">
        <v>59</v>
      </c>
      <c r="AA5288" t="s">
        <v>59</v>
      </c>
      <c r="AB5288" t="s">
        <v>59</v>
      </c>
      <c r="AC5288" t="s">
        <v>59</v>
      </c>
      <c r="AD5288" t="s">
        <v>59</v>
      </c>
      <c r="AF5288" s="1">
        <v>43348</v>
      </c>
      <c r="AG5288" t="s">
        <v>8645</v>
      </c>
      <c r="AH5288" t="s">
        <v>8646</v>
      </c>
      <c r="AI5288" t="str">
        <f>"9170532"</f>
        <v>9170532</v>
      </c>
      <c r="AJ5288" t="s">
        <v>8945</v>
      </c>
      <c r="AK5288">
        <v>2810250330</v>
      </c>
      <c r="AL5288" t="s">
        <v>8946</v>
      </c>
      <c r="AM5288" t="s">
        <v>78</v>
      </c>
      <c r="AN5288" t="s">
        <v>78</v>
      </c>
      <c r="AO5288" t="s">
        <v>78</v>
      </c>
      <c r="AP5288" t="s">
        <v>141</v>
      </c>
      <c r="AQ5288">
        <v>1</v>
      </c>
      <c r="AR5288" t="s">
        <v>80</v>
      </c>
      <c r="AS5288" t="s">
        <v>81</v>
      </c>
      <c r="AT5288" t="s">
        <v>58</v>
      </c>
      <c r="AU5288" t="s">
        <v>8673</v>
      </c>
      <c r="AV5288" t="s">
        <v>132</v>
      </c>
      <c r="AW5288" s="1">
        <v>32027</v>
      </c>
      <c r="AX5288">
        <v>1</v>
      </c>
    </row>
    <row r="5289" spans="1:50">
      <c r="B5289" t="str">
        <f>"119677050"</f>
        <v>119677050</v>
      </c>
      <c r="C5289" t="s">
        <v>50</v>
      </c>
      <c r="D5289" t="s">
        <v>1327</v>
      </c>
      <c r="E5289" t="s">
        <v>460</v>
      </c>
      <c r="F5289" t="s">
        <v>72</v>
      </c>
      <c r="G5289" t="s">
        <v>600</v>
      </c>
      <c r="H5289" t="str">
        <f>"ΝΙΚΗΦΟΡΟΥ ΦΩΚΑ 40 ΗΡΑΚΛΕΙΟ"</f>
        <v>ΝΙΚΗΦΟΡΟΥ ΦΩΚΑ 40 ΗΡΑΚΛΕΙΟ</v>
      </c>
      <c r="I5289">
        <v>71500</v>
      </c>
      <c r="J5289">
        <v>2810325834</v>
      </c>
      <c r="K5289">
        <v>6946567388</v>
      </c>
      <c r="N5289" t="s">
        <v>1525</v>
      </c>
      <c r="O5289" t="s">
        <v>1526</v>
      </c>
      <c r="R5289" t="s">
        <v>159</v>
      </c>
      <c r="S5289">
        <v>3</v>
      </c>
      <c r="T5289" t="s">
        <v>8670</v>
      </c>
      <c r="U5289" s="1">
        <v>43348</v>
      </c>
      <c r="V5289" t="s">
        <v>80</v>
      </c>
      <c r="W5289" t="s">
        <v>81</v>
      </c>
      <c r="X5289" t="s">
        <v>58</v>
      </c>
      <c r="Y5289">
        <v>25</v>
      </c>
      <c r="Z5289" t="s">
        <v>59</v>
      </c>
      <c r="AA5289" t="s">
        <v>59</v>
      </c>
      <c r="AB5289" t="s">
        <v>59</v>
      </c>
      <c r="AC5289" t="s">
        <v>59</v>
      </c>
      <c r="AD5289" t="s">
        <v>59</v>
      </c>
      <c r="AF5289" s="1">
        <v>43348</v>
      </c>
      <c r="AG5289" t="s">
        <v>8651</v>
      </c>
      <c r="AH5289" t="s">
        <v>8652</v>
      </c>
      <c r="AI5289" t="str">
        <f>"9170417"</f>
        <v>9170417</v>
      </c>
      <c r="AJ5289" t="s">
        <v>8755</v>
      </c>
      <c r="AK5289">
        <v>2810752140</v>
      </c>
      <c r="AL5289" t="s">
        <v>8756</v>
      </c>
      <c r="AM5289" t="s">
        <v>78</v>
      </c>
      <c r="AN5289" t="s">
        <v>424</v>
      </c>
      <c r="AO5289" t="s">
        <v>425</v>
      </c>
      <c r="AP5289" t="s">
        <v>8757</v>
      </c>
      <c r="AQ5289">
        <v>11</v>
      </c>
      <c r="AR5289" t="s">
        <v>80</v>
      </c>
      <c r="AS5289" t="s">
        <v>81</v>
      </c>
      <c r="AT5289" t="s">
        <v>58</v>
      </c>
      <c r="AU5289" t="s">
        <v>8673</v>
      </c>
      <c r="AV5289" t="s">
        <v>132</v>
      </c>
      <c r="AW5289" s="1">
        <v>30827</v>
      </c>
      <c r="AX5289">
        <v>1</v>
      </c>
    </row>
    <row r="5290" spans="1:50">
      <c r="B5290" t="str">
        <f>"079871454"</f>
        <v>079871454</v>
      </c>
      <c r="C5290" t="s">
        <v>105</v>
      </c>
      <c r="D5290" t="s">
        <v>4785</v>
      </c>
      <c r="E5290" t="s">
        <v>72</v>
      </c>
      <c r="F5290" t="s">
        <v>377</v>
      </c>
      <c r="G5290" t="s">
        <v>1085</v>
      </c>
      <c r="H5290" t="str">
        <f>"ΚΑΠΟΔΙΣΤΡΙΟΥ 2 ΗΡΑΚΛΕΙΟ"</f>
        <v>ΚΑΠΟΔΙΣΤΡΙΟΥ 2 ΗΡΑΚΛΕΙΟ</v>
      </c>
      <c r="I5290">
        <v>71306</v>
      </c>
      <c r="J5290">
        <v>2810230711</v>
      </c>
      <c r="K5290">
        <v>6972623847</v>
      </c>
      <c r="N5290" t="s">
        <v>204</v>
      </c>
      <c r="O5290" t="s">
        <v>205</v>
      </c>
      <c r="R5290" t="s">
        <v>159</v>
      </c>
      <c r="S5290">
        <v>2</v>
      </c>
      <c r="T5290" t="s">
        <v>8675</v>
      </c>
      <c r="U5290" s="1">
        <v>43348</v>
      </c>
      <c r="V5290" t="s">
        <v>80</v>
      </c>
      <c r="W5290" t="s">
        <v>81</v>
      </c>
      <c r="X5290" t="s">
        <v>58</v>
      </c>
      <c r="Y5290">
        <v>24</v>
      </c>
      <c r="Z5290" t="s">
        <v>59</v>
      </c>
      <c r="AA5290" t="s">
        <v>59</v>
      </c>
      <c r="AB5290" t="s">
        <v>59</v>
      </c>
      <c r="AC5290" t="s">
        <v>59</v>
      </c>
      <c r="AD5290" t="s">
        <v>59</v>
      </c>
      <c r="AF5290" s="1">
        <v>43348</v>
      </c>
      <c r="AG5290" t="s">
        <v>8645</v>
      </c>
      <c r="AH5290" t="s">
        <v>8646</v>
      </c>
      <c r="AI5290" t="str">
        <f>"9170017"</f>
        <v>9170017</v>
      </c>
      <c r="AJ5290" t="s">
        <v>9114</v>
      </c>
      <c r="AK5290">
        <v>2810250746</v>
      </c>
      <c r="AL5290" t="s">
        <v>9115</v>
      </c>
      <c r="AM5290" t="s">
        <v>78</v>
      </c>
      <c r="AN5290" t="s">
        <v>129</v>
      </c>
      <c r="AO5290" t="s">
        <v>130</v>
      </c>
      <c r="AP5290" t="s">
        <v>130</v>
      </c>
      <c r="AQ5290">
        <v>1</v>
      </c>
      <c r="AR5290" t="s">
        <v>80</v>
      </c>
      <c r="AS5290" t="s">
        <v>81</v>
      </c>
      <c r="AT5290" t="s">
        <v>58</v>
      </c>
      <c r="AU5290" t="s">
        <v>8673</v>
      </c>
      <c r="AV5290" t="s">
        <v>132</v>
      </c>
      <c r="AW5290" s="1">
        <v>28739</v>
      </c>
      <c r="AX5290">
        <v>1</v>
      </c>
    </row>
    <row r="5291" spans="1:50">
      <c r="B5291" t="str">
        <f>"138963220"</f>
        <v>138963220</v>
      </c>
      <c r="C5291" t="s">
        <v>50</v>
      </c>
      <c r="D5291" t="s">
        <v>9581</v>
      </c>
      <c r="E5291" t="s">
        <v>73</v>
      </c>
      <c r="F5291" t="s">
        <v>106</v>
      </c>
      <c r="G5291" t="s">
        <v>143</v>
      </c>
      <c r="H5291" t="str">
        <f>"ΒΡΥΕΝΝΙΟΥ ΙΩΣΗΦ 33 "</f>
        <v xml:space="preserve">ΒΡΥΕΝΝΙΟΥ ΙΩΣΗΦ 33 </v>
      </c>
      <c r="I5291">
        <v>71409</v>
      </c>
      <c r="J5291">
        <v>2810233494</v>
      </c>
      <c r="K5291">
        <v>6986230270</v>
      </c>
      <c r="N5291" t="s">
        <v>615</v>
      </c>
      <c r="O5291" t="s">
        <v>616</v>
      </c>
      <c r="R5291" t="s">
        <v>159</v>
      </c>
      <c r="S5291">
        <v>2</v>
      </c>
      <c r="T5291" t="s">
        <v>8675</v>
      </c>
      <c r="U5291" s="1">
        <v>43348</v>
      </c>
      <c r="V5291" t="s">
        <v>80</v>
      </c>
      <c r="W5291" t="s">
        <v>81</v>
      </c>
      <c r="X5291" t="s">
        <v>58</v>
      </c>
      <c r="Y5291">
        <v>24</v>
      </c>
      <c r="Z5291" t="s">
        <v>59</v>
      </c>
      <c r="AA5291" t="s">
        <v>59</v>
      </c>
      <c r="AB5291" t="s">
        <v>59</v>
      </c>
      <c r="AC5291" t="s">
        <v>59</v>
      </c>
      <c r="AD5291" t="s">
        <v>59</v>
      </c>
      <c r="AF5291" s="1">
        <v>43348</v>
      </c>
      <c r="AG5291" t="s">
        <v>8645</v>
      </c>
      <c r="AH5291" t="s">
        <v>8646</v>
      </c>
      <c r="AI5291" t="str">
        <f>"9170002"</f>
        <v>9170002</v>
      </c>
      <c r="AJ5291" t="s">
        <v>9368</v>
      </c>
      <c r="AK5291">
        <v>2894041207</v>
      </c>
      <c r="AL5291" t="s">
        <v>9369</v>
      </c>
      <c r="AM5291" t="s">
        <v>78</v>
      </c>
      <c r="AN5291" t="s">
        <v>405</v>
      </c>
      <c r="AO5291" t="s">
        <v>551</v>
      </c>
      <c r="AP5291" t="s">
        <v>552</v>
      </c>
      <c r="AQ5291">
        <v>21</v>
      </c>
      <c r="AR5291" t="s">
        <v>80</v>
      </c>
      <c r="AS5291" t="s">
        <v>81</v>
      </c>
      <c r="AT5291" t="s">
        <v>58</v>
      </c>
      <c r="AU5291" t="s">
        <v>8673</v>
      </c>
      <c r="AV5291" t="s">
        <v>132</v>
      </c>
      <c r="AW5291" s="1">
        <v>32349</v>
      </c>
      <c r="AX5291">
        <v>1</v>
      </c>
    </row>
    <row r="5292" spans="1:50">
      <c r="A5292">
        <v>612870</v>
      </c>
      <c r="B5292" t="str">
        <f>"104161477"</f>
        <v>104161477</v>
      </c>
      <c r="C5292" t="s">
        <v>50</v>
      </c>
      <c r="D5292" t="s">
        <v>9582</v>
      </c>
      <c r="E5292" t="s">
        <v>155</v>
      </c>
      <c r="F5292" t="s">
        <v>9583</v>
      </c>
      <c r="G5292" t="s">
        <v>476</v>
      </c>
      <c r="H5292" t="str">
        <f>"ΒΛΥΚΑΔΑΣ ΚΑΤΩ ΓΟΥΒΕΣ"</f>
        <v>ΒΛΥΚΑΔΑΣ ΚΑΤΩ ΓΟΥΒΕΣ</v>
      </c>
      <c r="I5292">
        <v>70014</v>
      </c>
      <c r="J5292">
        <v>2897042033</v>
      </c>
      <c r="K5292">
        <v>6946448045</v>
      </c>
      <c r="M5292" t="s">
        <v>9584</v>
      </c>
      <c r="N5292" t="s">
        <v>306</v>
      </c>
      <c r="O5292" t="s">
        <v>307</v>
      </c>
      <c r="R5292" t="s">
        <v>57</v>
      </c>
      <c r="S5292">
        <v>5</v>
      </c>
      <c r="T5292">
        <v>298</v>
      </c>
      <c r="U5292" s="1">
        <v>38985</v>
      </c>
      <c r="V5292" t="s">
        <v>80</v>
      </c>
      <c r="W5292" t="s">
        <v>81</v>
      </c>
      <c r="X5292" t="s">
        <v>58</v>
      </c>
      <c r="Y5292">
        <v>23</v>
      </c>
      <c r="Z5292" t="s">
        <v>59</v>
      </c>
      <c r="AA5292" t="s">
        <v>59</v>
      </c>
      <c r="AB5292" t="s">
        <v>59</v>
      </c>
      <c r="AC5292" t="s">
        <v>59</v>
      </c>
      <c r="AD5292" t="s">
        <v>59</v>
      </c>
      <c r="AF5292" s="1">
        <v>39328</v>
      </c>
      <c r="AG5292" t="s">
        <v>8645</v>
      </c>
      <c r="AH5292" t="s">
        <v>8646</v>
      </c>
      <c r="AI5292" t="str">
        <f>"9170219"</f>
        <v>9170219</v>
      </c>
      <c r="AJ5292" t="s">
        <v>8967</v>
      </c>
      <c r="AK5292">
        <v>2897041357</v>
      </c>
      <c r="AL5292" t="s">
        <v>8968</v>
      </c>
      <c r="AM5292" t="s">
        <v>78</v>
      </c>
      <c r="AN5292" t="s">
        <v>219</v>
      </c>
      <c r="AO5292" t="s">
        <v>297</v>
      </c>
      <c r="AP5292" t="s">
        <v>297</v>
      </c>
      <c r="AQ5292">
        <v>7</v>
      </c>
      <c r="AR5292" t="s">
        <v>80</v>
      </c>
      <c r="AS5292" t="s">
        <v>81</v>
      </c>
      <c r="AT5292" t="s">
        <v>58</v>
      </c>
      <c r="AU5292" t="s">
        <v>68</v>
      </c>
      <c r="AV5292" t="s">
        <v>69</v>
      </c>
      <c r="AW5292" s="1">
        <v>29251</v>
      </c>
      <c r="AX5292">
        <v>1</v>
      </c>
    </row>
    <row r="5293" spans="1:50">
      <c r="A5293">
        <v>621732</v>
      </c>
      <c r="B5293" t="str">
        <f>"079936611"</f>
        <v>079936611</v>
      </c>
      <c r="C5293" t="s">
        <v>50</v>
      </c>
      <c r="D5293" t="s">
        <v>9585</v>
      </c>
      <c r="E5293" t="s">
        <v>9586</v>
      </c>
      <c r="F5293" t="s">
        <v>106</v>
      </c>
      <c r="G5293" t="s">
        <v>9587</v>
      </c>
      <c r="H5293" t="str">
        <f>"ΕΠΙΔΑΥΡΟΥ 18 ΗΡΑΚΛΕΙΟ"</f>
        <v>ΕΠΙΔΑΥΡΟΥ 18 ΗΡΑΚΛΕΙΟ</v>
      </c>
      <c r="I5293">
        <v>71409</v>
      </c>
      <c r="J5293">
        <v>2810234758</v>
      </c>
      <c r="K5293">
        <v>6976255293</v>
      </c>
      <c r="N5293" t="s">
        <v>615</v>
      </c>
      <c r="O5293" t="s">
        <v>616</v>
      </c>
      <c r="R5293" t="s">
        <v>57</v>
      </c>
      <c r="S5293">
        <v>6</v>
      </c>
      <c r="T5293">
        <v>653</v>
      </c>
      <c r="U5293" s="1">
        <v>40043</v>
      </c>
      <c r="V5293" t="s">
        <v>80</v>
      </c>
      <c r="W5293" t="s">
        <v>81</v>
      </c>
      <c r="X5293" t="s">
        <v>58</v>
      </c>
      <c r="Y5293">
        <v>23</v>
      </c>
      <c r="Z5293" t="s">
        <v>59</v>
      </c>
      <c r="AA5293" t="s">
        <v>59</v>
      </c>
      <c r="AB5293" t="s">
        <v>59</v>
      </c>
      <c r="AC5293" t="s">
        <v>59</v>
      </c>
      <c r="AD5293" t="s">
        <v>59</v>
      </c>
      <c r="AF5293" s="1">
        <v>40043</v>
      </c>
      <c r="AG5293" t="s">
        <v>8645</v>
      </c>
      <c r="AH5293" t="s">
        <v>8646</v>
      </c>
      <c r="AI5293" t="str">
        <f>"9170219"</f>
        <v>9170219</v>
      </c>
      <c r="AJ5293" t="s">
        <v>8967</v>
      </c>
      <c r="AK5293">
        <v>2897041357</v>
      </c>
      <c r="AL5293" t="s">
        <v>8968</v>
      </c>
      <c r="AM5293" t="s">
        <v>78</v>
      </c>
      <c r="AN5293" t="s">
        <v>219</v>
      </c>
      <c r="AO5293" t="s">
        <v>297</v>
      </c>
      <c r="AP5293" t="s">
        <v>297</v>
      </c>
      <c r="AQ5293">
        <v>7</v>
      </c>
      <c r="AR5293" t="s">
        <v>80</v>
      </c>
      <c r="AS5293" t="s">
        <v>81</v>
      </c>
      <c r="AT5293" t="s">
        <v>58</v>
      </c>
      <c r="AU5293" t="s">
        <v>68</v>
      </c>
      <c r="AV5293" t="s">
        <v>69</v>
      </c>
      <c r="AW5293" s="1">
        <v>31693</v>
      </c>
      <c r="AX5293">
        <v>1</v>
      </c>
    </row>
    <row r="5294" spans="1:50">
      <c r="A5294">
        <v>558355</v>
      </c>
      <c r="B5294" t="str">
        <f>"063532695"</f>
        <v>063532695</v>
      </c>
      <c r="C5294" t="s">
        <v>50</v>
      </c>
      <c r="D5294" t="s">
        <v>9588</v>
      </c>
      <c r="E5294" t="s">
        <v>215</v>
      </c>
      <c r="F5294" t="s">
        <v>84</v>
      </c>
      <c r="G5294" t="s">
        <v>563</v>
      </c>
      <c r="H5294" t="str">
        <f>"ΦΩΤΕΙΝΟΥ 14 ΗΡΑΚΛΕΙΟ"</f>
        <v>ΦΩΤΕΙΝΟΥ 14 ΗΡΑΚΛΕΙΟ</v>
      </c>
      <c r="I5294">
        <v>71410</v>
      </c>
      <c r="J5294">
        <v>2810237509</v>
      </c>
      <c r="K5294">
        <v>6979987913</v>
      </c>
      <c r="N5294" t="s">
        <v>615</v>
      </c>
      <c r="O5294" t="s">
        <v>616</v>
      </c>
      <c r="R5294" t="s">
        <v>57</v>
      </c>
      <c r="S5294">
        <v>15</v>
      </c>
      <c r="T5294">
        <v>168</v>
      </c>
      <c r="U5294" s="1">
        <v>32010</v>
      </c>
      <c r="V5294" t="s">
        <v>80</v>
      </c>
      <c r="W5294" t="s">
        <v>81</v>
      </c>
      <c r="X5294" t="s">
        <v>58</v>
      </c>
      <c r="Y5294">
        <v>21</v>
      </c>
      <c r="Z5294" t="s">
        <v>59</v>
      </c>
      <c r="AA5294" t="s">
        <v>59</v>
      </c>
      <c r="AB5294" t="s">
        <v>59</v>
      </c>
      <c r="AC5294" t="s">
        <v>59</v>
      </c>
      <c r="AD5294" t="s">
        <v>59</v>
      </c>
      <c r="AF5294" s="1">
        <v>32024</v>
      </c>
      <c r="AG5294" t="s">
        <v>8645</v>
      </c>
      <c r="AH5294" t="s">
        <v>8646</v>
      </c>
      <c r="AI5294" t="str">
        <f>"9170514"</f>
        <v>9170514</v>
      </c>
      <c r="AJ5294" t="s">
        <v>8801</v>
      </c>
      <c r="AK5294">
        <v>2810238666</v>
      </c>
      <c r="AL5294" t="s">
        <v>8802</v>
      </c>
      <c r="AM5294" t="s">
        <v>78</v>
      </c>
      <c r="AN5294" t="s">
        <v>78</v>
      </c>
      <c r="AO5294" t="s">
        <v>78</v>
      </c>
      <c r="AP5294" t="s">
        <v>163</v>
      </c>
      <c r="AQ5294">
        <v>1</v>
      </c>
      <c r="AR5294" t="s">
        <v>80</v>
      </c>
      <c r="AS5294" t="s">
        <v>81</v>
      </c>
      <c r="AT5294" t="s">
        <v>58</v>
      </c>
      <c r="AU5294" t="s">
        <v>68</v>
      </c>
      <c r="AV5294" t="s">
        <v>69</v>
      </c>
      <c r="AW5294" s="1">
        <v>23861</v>
      </c>
      <c r="AX5294">
        <v>1</v>
      </c>
    </row>
    <row r="5295" spans="1:50">
      <c r="B5295" t="str">
        <f>"123154800"</f>
        <v>123154800</v>
      </c>
      <c r="C5295" t="s">
        <v>50</v>
      </c>
      <c r="D5295" t="s">
        <v>9588</v>
      </c>
      <c r="E5295" t="s">
        <v>52</v>
      </c>
      <c r="F5295" t="s">
        <v>84</v>
      </c>
      <c r="G5295" t="s">
        <v>143</v>
      </c>
      <c r="H5295" t="str">
        <f>"Μ. ΜΕΡΚΟΥΡΗ 54 ΗΡΑΚΛΕΙΟ"</f>
        <v>Μ. ΜΕΡΚΟΥΡΗ 54 ΗΡΑΚΛΕΙΟ</v>
      </c>
      <c r="I5295">
        <v>71305</v>
      </c>
      <c r="J5295">
        <v>2810328306</v>
      </c>
      <c r="K5295">
        <v>6974307194</v>
      </c>
      <c r="N5295" t="s">
        <v>306</v>
      </c>
      <c r="O5295" t="s">
        <v>307</v>
      </c>
      <c r="R5295" t="s">
        <v>57</v>
      </c>
      <c r="S5295">
        <v>4</v>
      </c>
      <c r="T5295" t="s">
        <v>8675</v>
      </c>
      <c r="U5295" s="1">
        <v>43348</v>
      </c>
      <c r="V5295" t="s">
        <v>80</v>
      </c>
      <c r="W5295" t="s">
        <v>81</v>
      </c>
      <c r="X5295" t="s">
        <v>58</v>
      </c>
      <c r="Y5295">
        <v>24</v>
      </c>
      <c r="Z5295" t="s">
        <v>59</v>
      </c>
      <c r="AA5295" t="s">
        <v>59</v>
      </c>
      <c r="AB5295" t="s">
        <v>59</v>
      </c>
      <c r="AC5295" t="s">
        <v>59</v>
      </c>
      <c r="AD5295" t="s">
        <v>59</v>
      </c>
      <c r="AF5295" s="1">
        <v>43348</v>
      </c>
      <c r="AG5295" t="s">
        <v>8645</v>
      </c>
      <c r="AH5295" t="s">
        <v>8646</v>
      </c>
      <c r="AI5295" t="str">
        <f>"9170200"</f>
        <v>9170200</v>
      </c>
      <c r="AJ5295" t="s">
        <v>9589</v>
      </c>
      <c r="AK5295">
        <v>2810741264</v>
      </c>
      <c r="AL5295" t="s">
        <v>9590</v>
      </c>
      <c r="AM5295" t="s">
        <v>78</v>
      </c>
      <c r="AN5295" t="s">
        <v>424</v>
      </c>
      <c r="AO5295" t="s">
        <v>428</v>
      </c>
      <c r="AP5295" t="s">
        <v>9591</v>
      </c>
      <c r="AQ5295">
        <v>11</v>
      </c>
      <c r="AR5295" t="s">
        <v>80</v>
      </c>
      <c r="AS5295" t="s">
        <v>81</v>
      </c>
      <c r="AT5295" t="s">
        <v>58</v>
      </c>
      <c r="AU5295" t="s">
        <v>8673</v>
      </c>
      <c r="AV5295" t="s">
        <v>132</v>
      </c>
      <c r="AW5295" s="1">
        <v>30088</v>
      </c>
      <c r="AX5295">
        <v>1</v>
      </c>
    </row>
    <row r="5296" spans="1:50">
      <c r="B5296" t="str">
        <f>"062491244"</f>
        <v>062491244</v>
      </c>
      <c r="C5296" t="s">
        <v>105</v>
      </c>
      <c r="D5296" t="s">
        <v>9592</v>
      </c>
      <c r="E5296" t="s">
        <v>99</v>
      </c>
      <c r="F5296" t="s">
        <v>72</v>
      </c>
      <c r="G5296" t="s">
        <v>255</v>
      </c>
      <c r="H5296" t="str">
        <f>"Ι.ΠΟΛΥΞΙΓΚΗ 48 ΗΡΑΚΛΕΙΟ"</f>
        <v>Ι.ΠΟΛΥΞΙΓΚΗ 48 ΗΡΑΚΛΕΙΟ</v>
      </c>
      <c r="I5296">
        <v>71306</v>
      </c>
      <c r="J5296">
        <v>2815006910</v>
      </c>
      <c r="K5296">
        <v>6972846954</v>
      </c>
      <c r="N5296" t="s">
        <v>615</v>
      </c>
      <c r="O5296" t="s">
        <v>616</v>
      </c>
      <c r="R5296" t="s">
        <v>159</v>
      </c>
      <c r="S5296">
        <v>3</v>
      </c>
      <c r="T5296" t="s">
        <v>8675</v>
      </c>
      <c r="U5296" s="1">
        <v>43348</v>
      </c>
      <c r="V5296" t="s">
        <v>80</v>
      </c>
      <c r="W5296" t="s">
        <v>81</v>
      </c>
      <c r="X5296" t="s">
        <v>58</v>
      </c>
      <c r="Y5296">
        <v>25</v>
      </c>
      <c r="Z5296" t="s">
        <v>59</v>
      </c>
      <c r="AA5296" t="s">
        <v>59</v>
      </c>
      <c r="AB5296" t="s">
        <v>59</v>
      </c>
      <c r="AC5296" t="s">
        <v>59</v>
      </c>
      <c r="AD5296" t="s">
        <v>59</v>
      </c>
      <c r="AF5296" s="1">
        <v>43348</v>
      </c>
      <c r="AG5296" t="s">
        <v>8645</v>
      </c>
      <c r="AH5296" t="s">
        <v>8676</v>
      </c>
      <c r="AI5296" t="str">
        <f>"9170330"</f>
        <v>9170330</v>
      </c>
      <c r="AJ5296" t="s">
        <v>9035</v>
      </c>
      <c r="AK5296">
        <v>2892043274</v>
      </c>
      <c r="AL5296" t="s">
        <v>9036</v>
      </c>
      <c r="AM5296" t="s">
        <v>78</v>
      </c>
      <c r="AN5296" t="s">
        <v>242</v>
      </c>
      <c r="AO5296" t="s">
        <v>349</v>
      </c>
      <c r="AP5296" t="s">
        <v>9037</v>
      </c>
      <c r="AQ5296">
        <v>21</v>
      </c>
      <c r="AR5296" t="s">
        <v>80</v>
      </c>
      <c r="AS5296" t="s">
        <v>81</v>
      </c>
      <c r="AT5296" t="s">
        <v>58</v>
      </c>
      <c r="AU5296" t="s">
        <v>8673</v>
      </c>
      <c r="AV5296" t="s">
        <v>132</v>
      </c>
      <c r="AW5296" s="1">
        <v>28365</v>
      </c>
      <c r="AX5296">
        <v>1</v>
      </c>
    </row>
    <row r="5297" spans="1:50">
      <c r="A5297">
        <v>590926</v>
      </c>
      <c r="B5297" t="str">
        <f>"103528583"</f>
        <v>103528583</v>
      </c>
      <c r="C5297" t="s">
        <v>50</v>
      </c>
      <c r="D5297" t="s">
        <v>1331</v>
      </c>
      <c r="E5297" t="s">
        <v>964</v>
      </c>
      <c r="F5297" t="s">
        <v>106</v>
      </c>
      <c r="G5297" t="s">
        <v>237</v>
      </c>
      <c r="H5297" t="str">
        <f>"ΔΕΛΜΟΥΖΟΥ 4 ΗΡΑΚΛΕΙΟ"</f>
        <v>ΔΕΛΜΟΥΖΟΥ 4 ΗΡΑΚΛΕΙΟ</v>
      </c>
      <c r="I5297">
        <v>71500</v>
      </c>
      <c r="J5297">
        <v>2810213907</v>
      </c>
      <c r="K5297">
        <v>6975063116</v>
      </c>
      <c r="N5297" t="s">
        <v>615</v>
      </c>
      <c r="O5297" t="s">
        <v>616</v>
      </c>
      <c r="R5297" t="s">
        <v>57</v>
      </c>
      <c r="S5297">
        <v>10</v>
      </c>
      <c r="T5297">
        <v>249</v>
      </c>
      <c r="U5297" s="1">
        <v>36769</v>
      </c>
      <c r="V5297" t="s">
        <v>80</v>
      </c>
      <c r="W5297" t="s">
        <v>81</v>
      </c>
      <c r="X5297" t="s">
        <v>58</v>
      </c>
      <c r="Y5297">
        <v>21</v>
      </c>
      <c r="Z5297" t="s">
        <v>59</v>
      </c>
      <c r="AA5297" t="s">
        <v>59</v>
      </c>
      <c r="AB5297" t="s">
        <v>59</v>
      </c>
      <c r="AC5297" t="s">
        <v>59</v>
      </c>
      <c r="AD5297" t="s">
        <v>59</v>
      </c>
      <c r="AF5297" s="1">
        <v>36773</v>
      </c>
      <c r="AG5297" t="s">
        <v>8645</v>
      </c>
      <c r="AH5297" t="s">
        <v>8646</v>
      </c>
      <c r="AI5297" t="str">
        <f>"9170120"</f>
        <v>9170120</v>
      </c>
      <c r="AJ5297" t="s">
        <v>9237</v>
      </c>
      <c r="AK5297">
        <v>2810881577</v>
      </c>
      <c r="AL5297" t="s">
        <v>9238</v>
      </c>
      <c r="AM5297" t="s">
        <v>78</v>
      </c>
      <c r="AN5297" t="s">
        <v>78</v>
      </c>
      <c r="AO5297" t="s">
        <v>78</v>
      </c>
      <c r="AP5297" t="s">
        <v>9239</v>
      </c>
      <c r="AQ5297">
        <v>1</v>
      </c>
      <c r="AR5297" t="s">
        <v>80</v>
      </c>
      <c r="AS5297" t="s">
        <v>81</v>
      </c>
      <c r="AT5297" t="s">
        <v>58</v>
      </c>
      <c r="AU5297" t="s">
        <v>68</v>
      </c>
      <c r="AV5297" t="s">
        <v>69</v>
      </c>
      <c r="AW5297" s="1">
        <v>24765</v>
      </c>
      <c r="AX5297">
        <v>1</v>
      </c>
    </row>
    <row r="5298" spans="1:50">
      <c r="A5298">
        <v>618750</v>
      </c>
      <c r="B5298" t="str">
        <f>"118915414"</f>
        <v>118915414</v>
      </c>
      <c r="C5298" t="s">
        <v>50</v>
      </c>
      <c r="D5298" t="s">
        <v>1331</v>
      </c>
      <c r="E5298" t="s">
        <v>73</v>
      </c>
      <c r="F5298" t="s">
        <v>311</v>
      </c>
      <c r="G5298" t="s">
        <v>52</v>
      </c>
      <c r="H5298" t="str">
        <f>"62 ΜΑΡΤΥΡΩΝ 64 ΗΡΑΚΛΕΙΟ "</f>
        <v xml:space="preserve">62 ΜΑΡΤΥΡΩΝ 64 ΗΡΑΚΛΕΙΟ </v>
      </c>
      <c r="I5298">
        <v>71303</v>
      </c>
      <c r="J5298">
        <v>2810256068</v>
      </c>
      <c r="K5298">
        <v>6979246795</v>
      </c>
      <c r="N5298" t="s">
        <v>615</v>
      </c>
      <c r="O5298" t="s">
        <v>616</v>
      </c>
      <c r="R5298" t="s">
        <v>57</v>
      </c>
      <c r="S5298">
        <v>5</v>
      </c>
      <c r="T5298">
        <v>774</v>
      </c>
      <c r="U5298" s="1">
        <v>39680</v>
      </c>
      <c r="V5298" t="s">
        <v>80</v>
      </c>
      <c r="W5298" t="s">
        <v>81</v>
      </c>
      <c r="X5298" t="s">
        <v>58</v>
      </c>
      <c r="Y5298">
        <v>23</v>
      </c>
      <c r="Z5298" t="s">
        <v>59</v>
      </c>
      <c r="AA5298" t="s">
        <v>59</v>
      </c>
      <c r="AB5298" t="s">
        <v>59</v>
      </c>
      <c r="AC5298" t="s">
        <v>59</v>
      </c>
      <c r="AD5298" t="s">
        <v>59</v>
      </c>
      <c r="AF5298" s="1">
        <v>39681</v>
      </c>
      <c r="AG5298" t="s">
        <v>8645</v>
      </c>
      <c r="AH5298" t="s">
        <v>8646</v>
      </c>
      <c r="AI5298" t="str">
        <f>"9170424"</f>
        <v>9170424</v>
      </c>
      <c r="AJ5298" t="s">
        <v>8860</v>
      </c>
      <c r="AK5298">
        <v>2810254530</v>
      </c>
      <c r="AL5298" t="s">
        <v>8861</v>
      </c>
      <c r="AM5298" t="s">
        <v>78</v>
      </c>
      <c r="AN5298" t="s">
        <v>78</v>
      </c>
      <c r="AO5298" t="s">
        <v>78</v>
      </c>
      <c r="AP5298" t="s">
        <v>163</v>
      </c>
      <c r="AQ5298">
        <v>1</v>
      </c>
      <c r="AR5298" t="s">
        <v>80</v>
      </c>
      <c r="AS5298" t="s">
        <v>81</v>
      </c>
      <c r="AT5298" t="s">
        <v>58</v>
      </c>
      <c r="AU5298" t="s">
        <v>68</v>
      </c>
      <c r="AV5298" t="s">
        <v>69</v>
      </c>
      <c r="AW5298" s="1">
        <v>31290</v>
      </c>
      <c r="AX5298">
        <v>1</v>
      </c>
    </row>
    <row r="5299" spans="1:50">
      <c r="A5299">
        <v>622409</v>
      </c>
      <c r="B5299" t="str">
        <f>"123650950"</f>
        <v>123650950</v>
      </c>
      <c r="C5299" t="s">
        <v>50</v>
      </c>
      <c r="D5299" t="s">
        <v>1331</v>
      </c>
      <c r="E5299" t="s">
        <v>250</v>
      </c>
      <c r="F5299" t="s">
        <v>106</v>
      </c>
      <c r="G5299" t="s">
        <v>1019</v>
      </c>
      <c r="H5299" t="str">
        <f>"ΖΑΡΟ ΚΑΙΝΟΥΡΙΟΥ ΗΡΑΚΛΕΙΟΥ ΚΡΗΤΗΣ ΖΑΡΟΣ ΚΑΙΝΟΥΡΙΟΥ"</f>
        <v>ΖΑΡΟ ΚΑΙΝΟΥΡΙΟΥ ΗΡΑΚΛΕΙΟΥ ΚΡΗΤΗΣ ΖΑΡΟΣ ΚΑΙΝΟΥΡΙΟΥ</v>
      </c>
      <c r="I5299">
        <v>70002</v>
      </c>
      <c r="J5299">
        <v>2894031586</v>
      </c>
      <c r="K5299">
        <v>6984203735</v>
      </c>
      <c r="N5299" t="s">
        <v>1525</v>
      </c>
      <c r="O5299" t="s">
        <v>1526</v>
      </c>
      <c r="R5299" t="s">
        <v>57</v>
      </c>
      <c r="S5299">
        <v>5</v>
      </c>
      <c r="T5299">
        <v>653</v>
      </c>
      <c r="U5299" s="1">
        <v>40043</v>
      </c>
      <c r="V5299" t="s">
        <v>80</v>
      </c>
      <c r="W5299" t="s">
        <v>81</v>
      </c>
      <c r="X5299" t="s">
        <v>58</v>
      </c>
      <c r="Y5299">
        <v>25</v>
      </c>
      <c r="Z5299" t="s">
        <v>59</v>
      </c>
      <c r="AA5299" t="s">
        <v>59</v>
      </c>
      <c r="AB5299" t="s">
        <v>59</v>
      </c>
      <c r="AC5299" t="s">
        <v>59</v>
      </c>
      <c r="AD5299" t="s">
        <v>59</v>
      </c>
      <c r="AF5299" s="1">
        <v>40043</v>
      </c>
      <c r="AG5299" t="s">
        <v>8651</v>
      </c>
      <c r="AH5299" t="s">
        <v>8652</v>
      </c>
      <c r="AI5299" t="str">
        <f>"9170398"</f>
        <v>9170398</v>
      </c>
      <c r="AJ5299" t="s">
        <v>9593</v>
      </c>
      <c r="AK5299">
        <v>2892053478</v>
      </c>
      <c r="AL5299" t="s">
        <v>9594</v>
      </c>
      <c r="AM5299" t="s">
        <v>78</v>
      </c>
      <c r="AN5299" t="s">
        <v>242</v>
      </c>
      <c r="AO5299" t="s">
        <v>349</v>
      </c>
      <c r="AP5299" t="s">
        <v>349</v>
      </c>
      <c r="AQ5299">
        <v>19</v>
      </c>
      <c r="AR5299" t="s">
        <v>80</v>
      </c>
      <c r="AS5299" t="s">
        <v>81</v>
      </c>
      <c r="AT5299" t="s">
        <v>58</v>
      </c>
      <c r="AU5299" t="s">
        <v>68</v>
      </c>
      <c r="AV5299" t="s">
        <v>69</v>
      </c>
      <c r="AW5299" s="1">
        <v>30110</v>
      </c>
      <c r="AX5299">
        <v>1</v>
      </c>
    </row>
    <row r="5300" spans="1:50">
      <c r="B5300" t="str">
        <f>"055935306"</f>
        <v>055935306</v>
      </c>
      <c r="C5300" t="s">
        <v>50</v>
      </c>
      <c r="D5300" t="s">
        <v>1331</v>
      </c>
      <c r="E5300" t="s">
        <v>52</v>
      </c>
      <c r="F5300" t="s">
        <v>95</v>
      </c>
      <c r="G5300" t="s">
        <v>9595</v>
      </c>
      <c r="H5300" t="str">
        <f>"ΛΟΧΑΓΟΥ ΚΑΡΑΓΙΑΝΝΗ 11 ΗΡΑΚΛΕΙΟ"</f>
        <v>ΛΟΧΑΓΟΥ ΚΑΡΑΓΙΑΝΝΗ 11 ΗΡΑΚΛΕΙΟ</v>
      </c>
      <c r="I5300">
        <v>71306</v>
      </c>
      <c r="J5300">
        <v>2810284971</v>
      </c>
      <c r="K5300">
        <v>6936912605</v>
      </c>
      <c r="N5300" t="s">
        <v>478</v>
      </c>
      <c r="O5300" t="s">
        <v>479</v>
      </c>
      <c r="R5300" t="s">
        <v>159</v>
      </c>
      <c r="S5300">
        <v>4</v>
      </c>
      <c r="T5300" t="s">
        <v>8675</v>
      </c>
      <c r="U5300" s="1">
        <v>43348</v>
      </c>
      <c r="V5300" t="s">
        <v>80</v>
      </c>
      <c r="W5300" t="s">
        <v>81</v>
      </c>
      <c r="X5300" t="s">
        <v>58</v>
      </c>
      <c r="Y5300">
        <v>14</v>
      </c>
      <c r="Z5300" t="s">
        <v>59</v>
      </c>
      <c r="AA5300" t="s">
        <v>59</v>
      </c>
      <c r="AB5300" t="s">
        <v>59</v>
      </c>
      <c r="AC5300" t="s">
        <v>59</v>
      </c>
      <c r="AD5300" t="s">
        <v>59</v>
      </c>
      <c r="AF5300" s="1">
        <v>43348</v>
      </c>
      <c r="AG5300" t="s">
        <v>8645</v>
      </c>
      <c r="AH5300" t="s">
        <v>8646</v>
      </c>
      <c r="AI5300" t="str">
        <f>"9170319"</f>
        <v>9170319</v>
      </c>
      <c r="AJ5300" t="s">
        <v>9121</v>
      </c>
      <c r="AK5300">
        <v>2893022231</v>
      </c>
      <c r="AL5300" t="s">
        <v>9122</v>
      </c>
      <c r="AM5300" t="s">
        <v>78</v>
      </c>
      <c r="AN5300" t="s">
        <v>424</v>
      </c>
      <c r="AO5300" t="s">
        <v>577</v>
      </c>
      <c r="AP5300" t="s">
        <v>1668</v>
      </c>
      <c r="AQ5300">
        <v>10</v>
      </c>
      <c r="AR5300" t="s">
        <v>80</v>
      </c>
      <c r="AS5300" t="s">
        <v>81</v>
      </c>
      <c r="AT5300" t="s">
        <v>58</v>
      </c>
      <c r="AU5300" t="s">
        <v>8686</v>
      </c>
      <c r="AV5300" t="s">
        <v>132</v>
      </c>
      <c r="AW5300" s="1">
        <v>25423</v>
      </c>
      <c r="AX5300">
        <v>1</v>
      </c>
    </row>
    <row r="5301" spans="1:50">
      <c r="A5301">
        <v>608439</v>
      </c>
      <c r="B5301" t="str">
        <f>"056209736"</f>
        <v>056209736</v>
      </c>
      <c r="C5301" t="s">
        <v>50</v>
      </c>
      <c r="D5301" t="s">
        <v>1331</v>
      </c>
      <c r="E5301" t="s">
        <v>610</v>
      </c>
      <c r="F5301" t="s">
        <v>311</v>
      </c>
      <c r="G5301" t="s">
        <v>1764</v>
      </c>
      <c r="H5301" t="str">
        <f>"ΑΝΩ ΒΙΑΝΝΟΣ ΑΝΩ ΒΙΑΝΝΟΣ"</f>
        <v>ΑΝΩ ΒΙΑΝΝΟΣ ΑΝΩ ΒΙΑΝΝΟΣ</v>
      </c>
      <c r="I5301">
        <v>70004</v>
      </c>
      <c r="J5301">
        <v>2895022644</v>
      </c>
      <c r="K5301">
        <v>6945902314</v>
      </c>
      <c r="M5301" t="s">
        <v>9596</v>
      </c>
      <c r="N5301" t="s">
        <v>1525</v>
      </c>
      <c r="O5301" t="s">
        <v>1526</v>
      </c>
      <c r="R5301" t="s">
        <v>57</v>
      </c>
      <c r="S5301">
        <v>8</v>
      </c>
      <c r="T5301" t="s">
        <v>9361</v>
      </c>
      <c r="U5301" s="1">
        <v>38600</v>
      </c>
      <c r="V5301" t="s">
        <v>80</v>
      </c>
      <c r="W5301" t="s">
        <v>81</v>
      </c>
      <c r="X5301" t="s">
        <v>58</v>
      </c>
      <c r="Y5301">
        <v>25</v>
      </c>
      <c r="Z5301" t="s">
        <v>59</v>
      </c>
      <c r="AA5301" t="s">
        <v>59</v>
      </c>
      <c r="AB5301" t="s">
        <v>59</v>
      </c>
      <c r="AC5301" t="s">
        <v>59</v>
      </c>
      <c r="AD5301" t="s">
        <v>59</v>
      </c>
      <c r="AF5301" s="1">
        <v>38600</v>
      </c>
      <c r="AG5301" t="s">
        <v>8651</v>
      </c>
      <c r="AH5301" t="s">
        <v>8652</v>
      </c>
      <c r="AI5301" t="str">
        <f>"9170131"</f>
        <v>9170131</v>
      </c>
      <c r="AJ5301" t="s">
        <v>9597</v>
      </c>
      <c r="AK5301">
        <v>2895022644</v>
      </c>
      <c r="AL5301" t="s">
        <v>9596</v>
      </c>
      <c r="AM5301" t="s">
        <v>78</v>
      </c>
      <c r="AN5301" t="s">
        <v>482</v>
      </c>
      <c r="AO5301" t="s">
        <v>482</v>
      </c>
      <c r="AP5301" t="s">
        <v>483</v>
      </c>
      <c r="AQ5301">
        <v>14</v>
      </c>
      <c r="AR5301" t="s">
        <v>80</v>
      </c>
      <c r="AS5301" t="s">
        <v>81</v>
      </c>
      <c r="AT5301" t="s">
        <v>58</v>
      </c>
      <c r="AU5301" t="s">
        <v>68</v>
      </c>
      <c r="AV5301" t="s">
        <v>69</v>
      </c>
      <c r="AW5301" s="1">
        <v>24550</v>
      </c>
      <c r="AX5301">
        <v>1</v>
      </c>
    </row>
    <row r="5302" spans="1:50">
      <c r="A5302">
        <v>700797</v>
      </c>
      <c r="B5302" t="str">
        <f>"140552707"</f>
        <v>140552707</v>
      </c>
      <c r="C5302" t="s">
        <v>50</v>
      </c>
      <c r="D5302" t="s">
        <v>9598</v>
      </c>
      <c r="E5302" t="s">
        <v>52</v>
      </c>
      <c r="F5302" t="s">
        <v>72</v>
      </c>
      <c r="G5302" t="s">
        <v>191</v>
      </c>
      <c r="H5302" t="str">
        <f>"ΚΑΤΡΙΒΑΝΟΥ 6 ΔΑΦΝΗ ΑΤΙΚΗΣ"</f>
        <v>ΚΑΤΡΙΒΑΝΟΥ 6 ΔΑΦΝΗ ΑΤΙΚΗΣ</v>
      </c>
      <c r="I5302">
        <v>17235</v>
      </c>
      <c r="J5302">
        <v>2109731667</v>
      </c>
      <c r="K5302">
        <v>6983906686</v>
      </c>
      <c r="N5302" t="s">
        <v>1525</v>
      </c>
      <c r="O5302" t="s">
        <v>1526</v>
      </c>
      <c r="R5302" t="s">
        <v>57</v>
      </c>
      <c r="S5302">
        <v>4</v>
      </c>
      <c r="T5302">
        <v>772</v>
      </c>
      <c r="U5302" s="1">
        <v>40444</v>
      </c>
      <c r="V5302" t="s">
        <v>80</v>
      </c>
      <c r="W5302" t="s">
        <v>81</v>
      </c>
      <c r="X5302" t="s">
        <v>58</v>
      </c>
      <c r="Y5302">
        <v>25</v>
      </c>
      <c r="Z5302" t="s">
        <v>59</v>
      </c>
      <c r="AA5302" t="s">
        <v>59</v>
      </c>
      <c r="AB5302" t="s">
        <v>452</v>
      </c>
      <c r="AC5302" t="s">
        <v>59</v>
      </c>
      <c r="AD5302" t="s">
        <v>59</v>
      </c>
      <c r="AF5302" s="1">
        <v>40444</v>
      </c>
      <c r="AG5302" t="s">
        <v>8651</v>
      </c>
      <c r="AH5302" t="s">
        <v>8652</v>
      </c>
      <c r="AI5302" t="str">
        <f>"9170402"</f>
        <v>9170402</v>
      </c>
      <c r="AJ5302" t="s">
        <v>9599</v>
      </c>
      <c r="AK5302">
        <v>2894023373</v>
      </c>
      <c r="AL5302" t="s">
        <v>9600</v>
      </c>
      <c r="AM5302" t="s">
        <v>78</v>
      </c>
      <c r="AN5302" t="s">
        <v>405</v>
      </c>
      <c r="AO5302" t="s">
        <v>406</v>
      </c>
      <c r="AP5302" t="s">
        <v>8885</v>
      </c>
      <c r="AQ5302">
        <v>6</v>
      </c>
      <c r="AR5302" t="s">
        <v>80</v>
      </c>
      <c r="AS5302" t="s">
        <v>81</v>
      </c>
      <c r="AT5302" t="s">
        <v>58</v>
      </c>
      <c r="AU5302" t="s">
        <v>68</v>
      </c>
      <c r="AV5302" t="s">
        <v>69</v>
      </c>
      <c r="AW5302" s="1">
        <v>30971</v>
      </c>
      <c r="AX5302">
        <v>1</v>
      </c>
    </row>
    <row r="5303" spans="1:50">
      <c r="A5303">
        <v>622093</v>
      </c>
      <c r="B5303" t="str">
        <f>"123683248"</f>
        <v>123683248</v>
      </c>
      <c r="C5303" t="s">
        <v>105</v>
      </c>
      <c r="D5303" t="s">
        <v>9601</v>
      </c>
      <c r="E5303" t="s">
        <v>72</v>
      </c>
      <c r="F5303" t="s">
        <v>166</v>
      </c>
      <c r="G5303" t="s">
        <v>73</v>
      </c>
      <c r="H5303" t="str">
        <f>"ΜΗΤΡΟΠΟΛΗ ΔΗΜΟΥ ΓΟΡΤΥΝΑΣ ΜΗΤΡΟΠΟΛΗ ΔΗΜΟΥ ΓΟΡΤΥΝΑΣ"</f>
        <v>ΜΗΤΡΟΠΟΛΗ ΔΗΜΟΥ ΓΟΡΤΥΝΑΣ ΜΗΤΡΟΠΟΛΗ ΔΗΜΟΥ ΓΟΡΤΥΝΑΣ</v>
      </c>
      <c r="I5303">
        <v>70012</v>
      </c>
      <c r="J5303">
        <v>2892031440</v>
      </c>
      <c r="K5303">
        <v>6978140964</v>
      </c>
      <c r="N5303" t="s">
        <v>615</v>
      </c>
      <c r="O5303" t="s">
        <v>616</v>
      </c>
      <c r="R5303" t="s">
        <v>57</v>
      </c>
      <c r="S5303">
        <v>5</v>
      </c>
      <c r="T5303">
        <v>653</v>
      </c>
      <c r="U5303" s="1">
        <v>40043</v>
      </c>
      <c r="V5303" t="s">
        <v>80</v>
      </c>
      <c r="W5303" t="s">
        <v>81</v>
      </c>
      <c r="X5303" t="s">
        <v>58</v>
      </c>
      <c r="Y5303">
        <v>23</v>
      </c>
      <c r="Z5303" t="s">
        <v>59</v>
      </c>
      <c r="AA5303" t="s">
        <v>59</v>
      </c>
      <c r="AB5303" t="s">
        <v>59</v>
      </c>
      <c r="AC5303" t="s">
        <v>59</v>
      </c>
      <c r="AD5303" t="s">
        <v>59</v>
      </c>
      <c r="AF5303" s="1">
        <v>40043</v>
      </c>
      <c r="AG5303" t="s">
        <v>8645</v>
      </c>
      <c r="AH5303" t="s">
        <v>8646</v>
      </c>
      <c r="AI5303" t="str">
        <f>"9170270"</f>
        <v>9170270</v>
      </c>
      <c r="AJ5303" t="s">
        <v>9347</v>
      </c>
      <c r="AK5303">
        <v>2892031245</v>
      </c>
      <c r="AL5303" t="s">
        <v>9348</v>
      </c>
      <c r="AM5303" t="s">
        <v>78</v>
      </c>
      <c r="AN5303" t="s">
        <v>405</v>
      </c>
      <c r="AO5303" t="s">
        <v>405</v>
      </c>
      <c r="AP5303" t="s">
        <v>464</v>
      </c>
      <c r="AQ5303">
        <v>17</v>
      </c>
      <c r="AR5303" t="s">
        <v>80</v>
      </c>
      <c r="AS5303" t="s">
        <v>81</v>
      </c>
      <c r="AT5303" t="s">
        <v>58</v>
      </c>
      <c r="AU5303" t="s">
        <v>68</v>
      </c>
      <c r="AV5303" t="s">
        <v>69</v>
      </c>
      <c r="AW5303" s="1">
        <v>31036</v>
      </c>
      <c r="AX5303">
        <v>1</v>
      </c>
    </row>
    <row r="5304" spans="1:50">
      <c r="A5304">
        <v>597017</v>
      </c>
      <c r="B5304" t="str">
        <f>"073268617"</f>
        <v>073268617</v>
      </c>
      <c r="C5304" t="s">
        <v>50</v>
      </c>
      <c r="D5304" t="s">
        <v>1341</v>
      </c>
      <c r="E5304" t="s">
        <v>263</v>
      </c>
      <c r="F5304" t="s">
        <v>92</v>
      </c>
      <c r="G5304" t="s">
        <v>396</v>
      </c>
      <c r="H5304" t="str">
        <f>"ΗΡΑΚΛΗ 53 ΗΡΑΚΛΕΙΟ"</f>
        <v>ΗΡΑΚΛΗ 53 ΗΡΑΚΛΕΙΟ</v>
      </c>
      <c r="I5304">
        <v>71305</v>
      </c>
      <c r="J5304">
        <v>2810312594</v>
      </c>
      <c r="K5304">
        <v>6973682044</v>
      </c>
      <c r="N5304" t="s">
        <v>1525</v>
      </c>
      <c r="O5304" t="s">
        <v>1526</v>
      </c>
      <c r="R5304" t="s">
        <v>57</v>
      </c>
      <c r="S5304">
        <v>8</v>
      </c>
      <c r="T5304">
        <v>195</v>
      </c>
      <c r="U5304" s="1">
        <v>37497</v>
      </c>
      <c r="V5304" t="s">
        <v>80</v>
      </c>
      <c r="W5304" t="s">
        <v>81</v>
      </c>
      <c r="X5304" t="s">
        <v>58</v>
      </c>
      <c r="Y5304">
        <v>25</v>
      </c>
      <c r="Z5304" t="s">
        <v>59</v>
      </c>
      <c r="AA5304" t="s">
        <v>59</v>
      </c>
      <c r="AB5304" t="s">
        <v>59</v>
      </c>
      <c r="AC5304" t="s">
        <v>59</v>
      </c>
      <c r="AD5304" t="s">
        <v>59</v>
      </c>
      <c r="AF5304" s="1">
        <v>37501</v>
      </c>
      <c r="AG5304" t="s">
        <v>8651</v>
      </c>
      <c r="AH5304" t="s">
        <v>8652</v>
      </c>
      <c r="AI5304" t="str">
        <f>"9521246"</f>
        <v>9521246</v>
      </c>
      <c r="AJ5304" t="s">
        <v>9602</v>
      </c>
      <c r="AK5304">
        <v>2810311269</v>
      </c>
      <c r="AL5304" t="s">
        <v>9603</v>
      </c>
      <c r="AM5304" t="s">
        <v>78</v>
      </c>
      <c r="AN5304" t="s">
        <v>78</v>
      </c>
      <c r="AO5304" t="s">
        <v>78</v>
      </c>
      <c r="AP5304" t="s">
        <v>163</v>
      </c>
      <c r="AQ5304">
        <v>1</v>
      </c>
      <c r="AR5304" t="s">
        <v>80</v>
      </c>
      <c r="AS5304" t="s">
        <v>81</v>
      </c>
      <c r="AT5304" t="s">
        <v>58</v>
      </c>
      <c r="AU5304" t="s">
        <v>68</v>
      </c>
      <c r="AV5304" t="s">
        <v>69</v>
      </c>
      <c r="AW5304" s="1">
        <v>26035</v>
      </c>
      <c r="AX5304">
        <v>1</v>
      </c>
    </row>
    <row r="5305" spans="1:50">
      <c r="B5305" t="str">
        <f>"110725102"</f>
        <v>110725102</v>
      </c>
      <c r="C5305" t="s">
        <v>50</v>
      </c>
      <c r="D5305" t="s">
        <v>1341</v>
      </c>
      <c r="E5305" t="s">
        <v>215</v>
      </c>
      <c r="F5305" t="s">
        <v>9604</v>
      </c>
      <c r="G5305" t="s">
        <v>52</v>
      </c>
      <c r="H5305" t="str">
        <f>"ΑΠΤΕΡΩΝ 21 ΚΑΜΙΝΙΑ"</f>
        <v>ΑΠΤΕΡΩΝ 21 ΚΑΜΙΝΙΑ</v>
      </c>
      <c r="I5305">
        <v>71303</v>
      </c>
      <c r="J5305">
        <v>2810259360</v>
      </c>
      <c r="K5305">
        <v>6945593764</v>
      </c>
      <c r="N5305" t="s">
        <v>1525</v>
      </c>
      <c r="O5305" t="s">
        <v>1526</v>
      </c>
      <c r="R5305" t="s">
        <v>159</v>
      </c>
      <c r="S5305">
        <v>3</v>
      </c>
      <c r="T5305" t="s">
        <v>8670</v>
      </c>
      <c r="U5305" s="1">
        <v>43348</v>
      </c>
      <c r="V5305" t="s">
        <v>80</v>
      </c>
      <c r="W5305" t="s">
        <v>81</v>
      </c>
      <c r="X5305" t="s">
        <v>58</v>
      </c>
      <c r="Y5305">
        <v>25</v>
      </c>
      <c r="Z5305" t="s">
        <v>59</v>
      </c>
      <c r="AA5305" t="s">
        <v>59</v>
      </c>
      <c r="AB5305" t="s">
        <v>59</v>
      </c>
      <c r="AC5305" t="s">
        <v>59</v>
      </c>
      <c r="AD5305" t="s">
        <v>59</v>
      </c>
      <c r="AF5305" s="1">
        <v>43348</v>
      </c>
      <c r="AG5305" t="s">
        <v>8651</v>
      </c>
      <c r="AH5305" t="s">
        <v>8652</v>
      </c>
      <c r="AI5305" t="str">
        <f>"9170394"</f>
        <v>9170394</v>
      </c>
      <c r="AJ5305" t="s">
        <v>8891</v>
      </c>
      <c r="AK5305">
        <v>2894023548</v>
      </c>
      <c r="AL5305" t="s">
        <v>8892</v>
      </c>
      <c r="AM5305" t="s">
        <v>78</v>
      </c>
      <c r="AN5305" t="s">
        <v>405</v>
      </c>
      <c r="AO5305" t="s">
        <v>406</v>
      </c>
      <c r="AP5305" t="s">
        <v>8893</v>
      </c>
      <c r="AQ5305">
        <v>6</v>
      </c>
      <c r="AR5305" t="s">
        <v>80</v>
      </c>
      <c r="AS5305" t="s">
        <v>81</v>
      </c>
      <c r="AT5305" t="s">
        <v>58</v>
      </c>
      <c r="AU5305" t="s">
        <v>8673</v>
      </c>
      <c r="AV5305" t="s">
        <v>132</v>
      </c>
      <c r="AW5305" s="1">
        <v>30190</v>
      </c>
      <c r="AX5305">
        <v>1</v>
      </c>
    </row>
    <row r="5306" spans="1:50">
      <c r="A5306">
        <v>584109</v>
      </c>
      <c r="B5306" t="str">
        <f>"039456645"</f>
        <v>039456645</v>
      </c>
      <c r="C5306" t="s">
        <v>105</v>
      </c>
      <c r="D5306" t="s">
        <v>1344</v>
      </c>
      <c r="E5306" t="s">
        <v>72</v>
      </c>
      <c r="F5306" t="s">
        <v>95</v>
      </c>
      <c r="G5306" t="s">
        <v>473</v>
      </c>
      <c r="H5306" t="str">
        <f>"ΡΑΥΤΟΠΟΥΛΟΥ 17 ΗΡΑΚΛΕΙΟ"</f>
        <v>ΡΑΥΤΟΠΟΥΛΟΥ 17 ΗΡΑΚΛΕΙΟ</v>
      </c>
      <c r="I5306">
        <v>71305</v>
      </c>
      <c r="J5306">
        <v>2810235877</v>
      </c>
      <c r="K5306">
        <v>6973477342</v>
      </c>
      <c r="M5306" t="s">
        <v>9605</v>
      </c>
      <c r="N5306" t="s">
        <v>615</v>
      </c>
      <c r="O5306" t="s">
        <v>616</v>
      </c>
      <c r="R5306" t="s">
        <v>57</v>
      </c>
      <c r="S5306">
        <v>12</v>
      </c>
      <c r="T5306">
        <v>165</v>
      </c>
      <c r="U5306" s="1">
        <v>36040</v>
      </c>
      <c r="V5306" t="s">
        <v>80</v>
      </c>
      <c r="W5306" t="s">
        <v>81</v>
      </c>
      <c r="X5306" t="s">
        <v>58</v>
      </c>
      <c r="Y5306">
        <v>21</v>
      </c>
      <c r="Z5306" t="s">
        <v>59</v>
      </c>
      <c r="AA5306" t="s">
        <v>59</v>
      </c>
      <c r="AB5306" t="s">
        <v>59</v>
      </c>
      <c r="AC5306" t="s">
        <v>59</v>
      </c>
      <c r="AD5306" t="s">
        <v>59</v>
      </c>
      <c r="AF5306" s="1">
        <v>36040</v>
      </c>
      <c r="AG5306" t="s">
        <v>8645</v>
      </c>
      <c r="AH5306" t="s">
        <v>8646</v>
      </c>
      <c r="AI5306" t="str">
        <f>"9170190"</f>
        <v>9170190</v>
      </c>
      <c r="AJ5306" t="s">
        <v>8689</v>
      </c>
      <c r="AK5306">
        <v>2810232169</v>
      </c>
      <c r="AL5306" t="s">
        <v>8690</v>
      </c>
      <c r="AM5306" t="s">
        <v>78</v>
      </c>
      <c r="AN5306" t="s">
        <v>78</v>
      </c>
      <c r="AO5306" t="s">
        <v>78</v>
      </c>
      <c r="AP5306" t="s">
        <v>163</v>
      </c>
      <c r="AQ5306">
        <v>1</v>
      </c>
      <c r="AR5306" t="s">
        <v>80</v>
      </c>
      <c r="AS5306" t="s">
        <v>81</v>
      </c>
      <c r="AT5306" t="s">
        <v>58</v>
      </c>
      <c r="AU5306" t="s">
        <v>68</v>
      </c>
      <c r="AV5306" t="s">
        <v>69</v>
      </c>
      <c r="AW5306" s="1">
        <v>24125</v>
      </c>
      <c r="AX5306">
        <v>1</v>
      </c>
    </row>
    <row r="5307" spans="1:50">
      <c r="B5307" t="str">
        <f>"140938898"</f>
        <v>140938898</v>
      </c>
      <c r="C5307" t="s">
        <v>50</v>
      </c>
      <c r="D5307" t="s">
        <v>9606</v>
      </c>
      <c r="E5307" t="s">
        <v>1189</v>
      </c>
      <c r="F5307" t="s">
        <v>95</v>
      </c>
      <c r="G5307" t="s">
        <v>1458</v>
      </c>
      <c r="H5307" t="str">
        <f>" "</f>
        <v xml:space="preserve"> </v>
      </c>
      <c r="N5307" t="s">
        <v>683</v>
      </c>
      <c r="O5307" t="s">
        <v>684</v>
      </c>
      <c r="R5307" t="s">
        <v>121</v>
      </c>
      <c r="S5307">
        <v>1</v>
      </c>
      <c r="T5307" t="s">
        <v>8675</v>
      </c>
      <c r="U5307" s="1">
        <v>43348</v>
      </c>
      <c r="V5307" t="s">
        <v>80</v>
      </c>
      <c r="W5307" t="s">
        <v>81</v>
      </c>
      <c r="X5307" t="s">
        <v>58</v>
      </c>
      <c r="Y5307">
        <v>24</v>
      </c>
      <c r="Z5307" t="s">
        <v>59</v>
      </c>
      <c r="AA5307" t="s">
        <v>59</v>
      </c>
      <c r="AB5307" t="s">
        <v>59</v>
      </c>
      <c r="AD5307" t="s">
        <v>59</v>
      </c>
      <c r="AF5307" s="1">
        <v>43348</v>
      </c>
      <c r="AG5307" t="s">
        <v>8645</v>
      </c>
      <c r="AH5307" t="s">
        <v>8646</v>
      </c>
      <c r="AI5307" t="str">
        <f>"9170197"</f>
        <v>9170197</v>
      </c>
      <c r="AJ5307" t="s">
        <v>8989</v>
      </c>
      <c r="AK5307">
        <v>2810232577</v>
      </c>
      <c r="AL5307" t="s">
        <v>8990</v>
      </c>
      <c r="AM5307" t="s">
        <v>78</v>
      </c>
      <c r="AN5307" t="s">
        <v>78</v>
      </c>
      <c r="AO5307" t="s">
        <v>78</v>
      </c>
      <c r="AP5307" t="s">
        <v>163</v>
      </c>
      <c r="AQ5307">
        <v>1</v>
      </c>
      <c r="AR5307" t="s">
        <v>80</v>
      </c>
      <c r="AS5307" t="s">
        <v>81</v>
      </c>
      <c r="AT5307" t="s">
        <v>58</v>
      </c>
      <c r="AU5307" t="s">
        <v>8673</v>
      </c>
      <c r="AV5307" t="s">
        <v>132</v>
      </c>
      <c r="AW5307" s="1">
        <v>32944</v>
      </c>
      <c r="AX5307">
        <v>1</v>
      </c>
    </row>
    <row r="5308" spans="1:50">
      <c r="A5308">
        <v>582430</v>
      </c>
      <c r="B5308" t="str">
        <f>"059599520"</f>
        <v>059599520</v>
      </c>
      <c r="C5308" t="s">
        <v>105</v>
      </c>
      <c r="D5308" t="s">
        <v>9607</v>
      </c>
      <c r="E5308" t="s">
        <v>95</v>
      </c>
      <c r="F5308" t="s">
        <v>154</v>
      </c>
      <c r="G5308" t="s">
        <v>52</v>
      </c>
      <c r="H5308" t="str">
        <f>"ΗΓΟΥΜΕΝΟΥ ΓΑΒΡΙΗΛ 6 ΜΑΣΤΑΜΠΑΣ"</f>
        <v>ΗΓΟΥΜΕΝΟΥ ΓΑΒΡΙΗΛ 6 ΜΑΣΤΑΜΠΑΣ</v>
      </c>
      <c r="I5308">
        <v>71305</v>
      </c>
      <c r="K5308">
        <v>6978285186</v>
      </c>
      <c r="N5308" t="s">
        <v>615</v>
      </c>
      <c r="O5308" t="s">
        <v>616</v>
      </c>
      <c r="R5308" t="s">
        <v>57</v>
      </c>
      <c r="S5308">
        <v>11</v>
      </c>
      <c r="T5308">
        <v>179</v>
      </c>
      <c r="U5308" s="1">
        <v>35674</v>
      </c>
      <c r="V5308" t="s">
        <v>80</v>
      </c>
      <c r="W5308" t="s">
        <v>81</v>
      </c>
      <c r="X5308" t="s">
        <v>58</v>
      </c>
      <c r="Y5308">
        <v>21</v>
      </c>
      <c r="Z5308" t="s">
        <v>59</v>
      </c>
      <c r="AA5308" t="s">
        <v>59</v>
      </c>
      <c r="AB5308" t="s">
        <v>59</v>
      </c>
      <c r="AC5308" t="s">
        <v>59</v>
      </c>
      <c r="AD5308" t="s">
        <v>59</v>
      </c>
      <c r="AF5308" s="1">
        <v>35675</v>
      </c>
      <c r="AG5308" t="s">
        <v>8645</v>
      </c>
      <c r="AH5308" t="s">
        <v>8697</v>
      </c>
      <c r="AI5308" t="str">
        <f>"9170511"</f>
        <v>9170511</v>
      </c>
      <c r="AJ5308" t="s">
        <v>8698</v>
      </c>
      <c r="AK5308">
        <v>2810316275</v>
      </c>
      <c r="AL5308" t="s">
        <v>8699</v>
      </c>
      <c r="AM5308" t="s">
        <v>78</v>
      </c>
      <c r="AN5308" t="s">
        <v>78</v>
      </c>
      <c r="AO5308" t="s">
        <v>78</v>
      </c>
      <c r="AP5308" t="s">
        <v>141</v>
      </c>
      <c r="AQ5308">
        <v>1</v>
      </c>
      <c r="AR5308" t="s">
        <v>80</v>
      </c>
      <c r="AS5308" t="s">
        <v>81</v>
      </c>
      <c r="AT5308" t="s">
        <v>58</v>
      </c>
      <c r="AU5308" t="s">
        <v>68</v>
      </c>
      <c r="AV5308" t="s">
        <v>69</v>
      </c>
      <c r="AW5308" s="1">
        <v>25235</v>
      </c>
      <c r="AX5308">
        <v>1</v>
      </c>
    </row>
    <row r="5309" spans="1:50">
      <c r="A5309">
        <v>621241</v>
      </c>
      <c r="B5309" t="str">
        <f>"132329896"</f>
        <v>132329896</v>
      </c>
      <c r="C5309" t="s">
        <v>50</v>
      </c>
      <c r="D5309" t="s">
        <v>9608</v>
      </c>
      <c r="E5309" t="s">
        <v>52</v>
      </c>
      <c r="F5309" t="s">
        <v>53</v>
      </c>
      <c r="G5309" t="s">
        <v>134</v>
      </c>
      <c r="H5309" t="str">
        <f>"Μ. ΚΑΛΟΜΟΙΡΗ 19 ΗΡΑΚΛΕΙΟ"</f>
        <v>Μ. ΚΑΛΟΜΟΙΡΗ 19 ΗΡΑΚΛΕΙΟ</v>
      </c>
      <c r="I5309">
        <v>71409</v>
      </c>
      <c r="J5309">
        <v>2810239314</v>
      </c>
      <c r="K5309">
        <v>6942058892</v>
      </c>
      <c r="M5309" t="s">
        <v>9609</v>
      </c>
      <c r="N5309" t="s">
        <v>615</v>
      </c>
      <c r="O5309" t="s">
        <v>616</v>
      </c>
      <c r="R5309" t="s">
        <v>57</v>
      </c>
      <c r="S5309">
        <v>5</v>
      </c>
      <c r="T5309">
        <v>653</v>
      </c>
      <c r="U5309" s="1">
        <v>40043</v>
      </c>
      <c r="V5309" t="s">
        <v>80</v>
      </c>
      <c r="W5309" t="s">
        <v>81</v>
      </c>
      <c r="X5309" t="s">
        <v>58</v>
      </c>
      <c r="Y5309">
        <v>23</v>
      </c>
      <c r="Z5309" t="s">
        <v>59</v>
      </c>
      <c r="AA5309" t="s">
        <v>59</v>
      </c>
      <c r="AB5309" t="s">
        <v>59</v>
      </c>
      <c r="AC5309" t="s">
        <v>59</v>
      </c>
      <c r="AD5309" t="s">
        <v>59</v>
      </c>
      <c r="AF5309" s="1">
        <v>40044</v>
      </c>
      <c r="AG5309" t="s">
        <v>8645</v>
      </c>
      <c r="AH5309" t="s">
        <v>8646</v>
      </c>
      <c r="AI5309" t="str">
        <f>"9170109"</f>
        <v>9170109</v>
      </c>
      <c r="AJ5309" t="s">
        <v>9056</v>
      </c>
      <c r="AK5309">
        <v>2810212659</v>
      </c>
      <c r="AL5309" t="s">
        <v>9057</v>
      </c>
      <c r="AM5309" t="s">
        <v>78</v>
      </c>
      <c r="AN5309" t="s">
        <v>78</v>
      </c>
      <c r="AO5309" t="s">
        <v>78</v>
      </c>
      <c r="AP5309" t="s">
        <v>163</v>
      </c>
      <c r="AQ5309">
        <v>1</v>
      </c>
      <c r="AR5309" t="s">
        <v>80</v>
      </c>
      <c r="AS5309" t="s">
        <v>81</v>
      </c>
      <c r="AT5309" t="s">
        <v>58</v>
      </c>
      <c r="AU5309" t="s">
        <v>68</v>
      </c>
      <c r="AV5309" t="s">
        <v>69</v>
      </c>
      <c r="AW5309" s="1">
        <v>31259</v>
      </c>
      <c r="AX5309">
        <v>1</v>
      </c>
    </row>
    <row r="5310" spans="1:50">
      <c r="B5310" t="str">
        <f>"110713220"</f>
        <v>110713220</v>
      </c>
      <c r="C5310" t="s">
        <v>50</v>
      </c>
      <c r="D5310" t="s">
        <v>9610</v>
      </c>
      <c r="E5310" t="s">
        <v>600</v>
      </c>
      <c r="F5310" t="s">
        <v>1229</v>
      </c>
      <c r="G5310" t="s">
        <v>250</v>
      </c>
      <c r="H5310" t="str">
        <f>"ΑΓΙΑ ΒΑΡΒΑΡΑ ΜΟΝΟΦΑΤΣΙΟΥ ΗΡΑΚΛΕΙΟ ΚΡΗΤΗΣ"</f>
        <v>ΑΓΙΑ ΒΑΡΒΑΡΑ ΜΟΝΟΦΑΤΣΙΟΥ ΗΡΑΚΛΕΙΟ ΚΡΗΤΗΣ</v>
      </c>
      <c r="I5310">
        <v>70003</v>
      </c>
      <c r="J5310">
        <v>2894022751</v>
      </c>
      <c r="K5310">
        <v>6981472485</v>
      </c>
      <c r="M5310" t="s">
        <v>9611</v>
      </c>
      <c r="N5310" t="s">
        <v>615</v>
      </c>
      <c r="O5310" t="s">
        <v>616</v>
      </c>
      <c r="R5310" t="s">
        <v>159</v>
      </c>
      <c r="S5310">
        <v>3</v>
      </c>
      <c r="T5310" t="s">
        <v>8675</v>
      </c>
      <c r="U5310" s="1">
        <v>43348</v>
      </c>
      <c r="V5310" t="s">
        <v>80</v>
      </c>
      <c r="W5310" t="s">
        <v>81</v>
      </c>
      <c r="X5310" t="s">
        <v>58</v>
      </c>
      <c r="Y5310">
        <v>24</v>
      </c>
      <c r="Z5310" t="s">
        <v>59</v>
      </c>
      <c r="AA5310" t="s">
        <v>59</v>
      </c>
      <c r="AB5310" t="s">
        <v>59</v>
      </c>
      <c r="AD5310" t="s">
        <v>59</v>
      </c>
      <c r="AF5310" s="1">
        <v>43348</v>
      </c>
      <c r="AG5310" t="s">
        <v>8645</v>
      </c>
      <c r="AH5310" t="s">
        <v>8646</v>
      </c>
      <c r="AI5310" t="str">
        <f>"9170282"</f>
        <v>9170282</v>
      </c>
      <c r="AJ5310" t="s">
        <v>8938</v>
      </c>
      <c r="AK5310">
        <v>2892022120</v>
      </c>
      <c r="AL5310" t="s">
        <v>8939</v>
      </c>
      <c r="AM5310" t="s">
        <v>78</v>
      </c>
      <c r="AN5310" t="s">
        <v>242</v>
      </c>
      <c r="AO5310" t="s">
        <v>243</v>
      </c>
      <c r="AP5310" t="s">
        <v>8940</v>
      </c>
      <c r="AQ5310">
        <v>20</v>
      </c>
      <c r="AR5310" t="s">
        <v>80</v>
      </c>
      <c r="AS5310" t="s">
        <v>81</v>
      </c>
      <c r="AT5310" t="s">
        <v>58</v>
      </c>
      <c r="AU5310" t="s">
        <v>8673</v>
      </c>
      <c r="AV5310" t="s">
        <v>132</v>
      </c>
      <c r="AW5310" s="1">
        <v>32883</v>
      </c>
      <c r="AX5310">
        <v>1</v>
      </c>
    </row>
    <row r="5311" spans="1:50">
      <c r="A5311">
        <v>613193</v>
      </c>
      <c r="B5311" t="str">
        <f>"124477948"</f>
        <v>124477948</v>
      </c>
      <c r="C5311" t="s">
        <v>50</v>
      </c>
      <c r="D5311" t="s">
        <v>9610</v>
      </c>
      <c r="E5311" t="s">
        <v>1383</v>
      </c>
      <c r="F5311" t="s">
        <v>72</v>
      </c>
      <c r="G5311" t="s">
        <v>250</v>
      </c>
      <c r="H5311" t="str">
        <f>"ΑΝΩΓΕΙΑ ΑΝΩΓΕΙΑ ΡΕΘΥΜΝΟΥ"</f>
        <v>ΑΝΩΓΕΙΑ ΑΝΩΓΕΙΑ ΡΕΘΥΜΝΟΥ</v>
      </c>
      <c r="I5311">
        <v>74051</v>
      </c>
      <c r="J5311">
        <v>2834031524</v>
      </c>
      <c r="K5311">
        <v>6945827620</v>
      </c>
      <c r="M5311" t="s">
        <v>9612</v>
      </c>
      <c r="N5311" t="s">
        <v>615</v>
      </c>
      <c r="O5311" t="s">
        <v>616</v>
      </c>
      <c r="R5311" t="s">
        <v>57</v>
      </c>
      <c r="S5311">
        <v>6</v>
      </c>
      <c r="T5311">
        <v>598</v>
      </c>
      <c r="U5311" s="1">
        <v>39310</v>
      </c>
      <c r="V5311" t="s">
        <v>80</v>
      </c>
      <c r="W5311" t="s">
        <v>81</v>
      </c>
      <c r="X5311" t="s">
        <v>58</v>
      </c>
      <c r="Y5311">
        <v>23</v>
      </c>
      <c r="Z5311" t="s">
        <v>59</v>
      </c>
      <c r="AA5311" t="s">
        <v>59</v>
      </c>
      <c r="AB5311" t="s">
        <v>59</v>
      </c>
      <c r="AC5311" t="s">
        <v>59</v>
      </c>
      <c r="AD5311" t="s">
        <v>59</v>
      </c>
      <c r="AF5311" s="1">
        <v>39328</v>
      </c>
      <c r="AG5311" t="s">
        <v>8645</v>
      </c>
      <c r="AH5311" t="s">
        <v>8646</v>
      </c>
      <c r="AI5311" t="str">
        <f>"9170114"</f>
        <v>9170114</v>
      </c>
      <c r="AJ5311" t="s">
        <v>9613</v>
      </c>
      <c r="AK5311">
        <v>2810241054</v>
      </c>
      <c r="AL5311" t="s">
        <v>9614</v>
      </c>
      <c r="AM5311" t="s">
        <v>78</v>
      </c>
      <c r="AN5311" t="s">
        <v>78</v>
      </c>
      <c r="AO5311" t="s">
        <v>78</v>
      </c>
      <c r="AP5311" t="s">
        <v>79</v>
      </c>
      <c r="AQ5311">
        <v>1</v>
      </c>
      <c r="AR5311" t="s">
        <v>80</v>
      </c>
      <c r="AS5311" t="s">
        <v>81</v>
      </c>
      <c r="AT5311" t="s">
        <v>58</v>
      </c>
      <c r="AU5311" t="s">
        <v>68</v>
      </c>
      <c r="AV5311" t="s">
        <v>69</v>
      </c>
      <c r="AW5311" s="1">
        <v>30280</v>
      </c>
      <c r="AX5311">
        <v>1</v>
      </c>
    </row>
    <row r="5312" spans="1:50">
      <c r="A5312">
        <v>570652</v>
      </c>
      <c r="B5312" t="str">
        <f>"064244972"</f>
        <v>064244972</v>
      </c>
      <c r="C5312" t="s">
        <v>50</v>
      </c>
      <c r="D5312" t="s">
        <v>9610</v>
      </c>
      <c r="E5312" t="s">
        <v>83</v>
      </c>
      <c r="F5312" t="s">
        <v>693</v>
      </c>
      <c r="G5312" t="s">
        <v>2235</v>
      </c>
      <c r="H5312" t="str">
        <f>"ΑΡΙΣΤΕΙΔΗ ΖΑΦΕΙΡΙΔΟΥ 18 ΗΡΑΚΛΕΙΟ"</f>
        <v>ΑΡΙΣΤΕΙΔΗ ΖΑΦΕΙΡΙΔΟΥ 18 ΗΡΑΚΛΕΙΟ</v>
      </c>
      <c r="I5312">
        <v>71304</v>
      </c>
      <c r="J5312">
        <v>2810262226</v>
      </c>
      <c r="K5312">
        <v>6946477458</v>
      </c>
      <c r="N5312" t="s">
        <v>615</v>
      </c>
      <c r="O5312" t="s">
        <v>616</v>
      </c>
      <c r="R5312" t="s">
        <v>57</v>
      </c>
      <c r="S5312">
        <v>14</v>
      </c>
      <c r="T5312">
        <v>138</v>
      </c>
      <c r="U5312" s="1">
        <v>34206</v>
      </c>
      <c r="V5312" t="s">
        <v>80</v>
      </c>
      <c r="W5312" t="s">
        <v>81</v>
      </c>
      <c r="X5312" t="s">
        <v>58</v>
      </c>
      <c r="Y5312">
        <v>21</v>
      </c>
      <c r="Z5312" t="s">
        <v>59</v>
      </c>
      <c r="AA5312" t="s">
        <v>59</v>
      </c>
      <c r="AB5312" t="s">
        <v>59</v>
      </c>
      <c r="AC5312" t="s">
        <v>59</v>
      </c>
      <c r="AD5312" t="s">
        <v>59</v>
      </c>
      <c r="AF5312" s="1">
        <v>34213</v>
      </c>
      <c r="AG5312" t="s">
        <v>8645</v>
      </c>
      <c r="AH5312" t="s">
        <v>8646</v>
      </c>
      <c r="AI5312" t="str">
        <f>"9170532"</f>
        <v>9170532</v>
      </c>
      <c r="AJ5312" t="s">
        <v>8945</v>
      </c>
      <c r="AK5312">
        <v>2810250330</v>
      </c>
      <c r="AL5312" t="s">
        <v>8946</v>
      </c>
      <c r="AM5312" t="s">
        <v>78</v>
      </c>
      <c r="AN5312" t="s">
        <v>78</v>
      </c>
      <c r="AO5312" t="s">
        <v>78</v>
      </c>
      <c r="AP5312" t="s">
        <v>141</v>
      </c>
      <c r="AQ5312">
        <v>1</v>
      </c>
      <c r="AR5312" t="s">
        <v>80</v>
      </c>
      <c r="AS5312" t="s">
        <v>81</v>
      </c>
      <c r="AT5312" t="s">
        <v>58</v>
      </c>
      <c r="AU5312" t="s">
        <v>68</v>
      </c>
      <c r="AV5312" t="s">
        <v>69</v>
      </c>
      <c r="AW5312" s="1">
        <v>24129</v>
      </c>
      <c r="AX5312">
        <v>1</v>
      </c>
    </row>
    <row r="5313" spans="1:50">
      <c r="A5313">
        <v>582916</v>
      </c>
      <c r="B5313" t="str">
        <f>"078877762"</f>
        <v>078877762</v>
      </c>
      <c r="C5313" t="s">
        <v>50</v>
      </c>
      <c r="D5313" t="s">
        <v>9610</v>
      </c>
      <c r="E5313" t="s">
        <v>85</v>
      </c>
      <c r="F5313" t="s">
        <v>108</v>
      </c>
      <c r="G5313" t="s">
        <v>250</v>
      </c>
      <c r="H5313" t="str">
        <f>"ΑΓ. ΒΛΑΣΗΣ ΗΡΑΚΛΕΙΟ"</f>
        <v>ΑΓ. ΒΛΑΣΗΣ ΗΡΑΚΛΕΙΟ</v>
      </c>
      <c r="I5313">
        <v>71500</v>
      </c>
      <c r="J5313">
        <v>2810881854</v>
      </c>
      <c r="K5313">
        <v>6936934966</v>
      </c>
      <c r="N5313" t="s">
        <v>1525</v>
      </c>
      <c r="O5313" t="s">
        <v>1526</v>
      </c>
      <c r="R5313" t="s">
        <v>57</v>
      </c>
      <c r="S5313">
        <v>10</v>
      </c>
      <c r="T5313">
        <v>179</v>
      </c>
      <c r="U5313" s="1">
        <v>35674</v>
      </c>
      <c r="V5313" t="s">
        <v>80</v>
      </c>
      <c r="W5313" t="s">
        <v>81</v>
      </c>
      <c r="X5313" t="s">
        <v>58</v>
      </c>
      <c r="Y5313">
        <v>25</v>
      </c>
      <c r="Z5313" t="s">
        <v>59</v>
      </c>
      <c r="AA5313" t="s">
        <v>59</v>
      </c>
      <c r="AB5313" t="s">
        <v>59</v>
      </c>
      <c r="AC5313" t="s">
        <v>59</v>
      </c>
      <c r="AD5313" t="s">
        <v>59</v>
      </c>
      <c r="AF5313" s="1">
        <v>35677</v>
      </c>
      <c r="AG5313" t="s">
        <v>8651</v>
      </c>
      <c r="AH5313" t="s">
        <v>8652</v>
      </c>
      <c r="AI5313" t="str">
        <f>"9170592"</f>
        <v>9170592</v>
      </c>
      <c r="AJ5313" t="s">
        <v>9502</v>
      </c>
      <c r="AK5313">
        <v>2810230907</v>
      </c>
      <c r="AL5313" t="s">
        <v>9503</v>
      </c>
      <c r="AM5313" t="s">
        <v>78</v>
      </c>
      <c r="AN5313" t="s">
        <v>78</v>
      </c>
      <c r="AO5313" t="s">
        <v>78</v>
      </c>
      <c r="AP5313" t="s">
        <v>9239</v>
      </c>
      <c r="AQ5313">
        <v>1</v>
      </c>
      <c r="AR5313" t="s">
        <v>80</v>
      </c>
      <c r="AS5313" t="s">
        <v>81</v>
      </c>
      <c r="AT5313" t="s">
        <v>58</v>
      </c>
      <c r="AU5313" t="s">
        <v>68</v>
      </c>
      <c r="AV5313" t="s">
        <v>69</v>
      </c>
      <c r="AW5313" s="1">
        <v>22681</v>
      </c>
      <c r="AX5313">
        <v>1</v>
      </c>
    </row>
    <row r="5314" spans="1:50">
      <c r="A5314">
        <v>558971</v>
      </c>
      <c r="B5314" t="str">
        <f>"031478796"</f>
        <v>031478796</v>
      </c>
      <c r="C5314" t="s">
        <v>50</v>
      </c>
      <c r="D5314" t="s">
        <v>9615</v>
      </c>
      <c r="E5314" t="s">
        <v>54</v>
      </c>
      <c r="F5314" t="s">
        <v>99</v>
      </c>
      <c r="G5314" t="s">
        <v>316</v>
      </c>
      <c r="H5314" t="str">
        <f>"ΠΕΛΛΗΣ 40 ΗΡΑΚΛΕΙΟ"</f>
        <v>ΠΕΛΛΗΣ 40 ΗΡΑΚΛΕΙΟ</v>
      </c>
      <c r="I5314">
        <v>71307</v>
      </c>
      <c r="J5314">
        <v>2810762130</v>
      </c>
      <c r="K5314">
        <v>6944234864</v>
      </c>
      <c r="M5314" t="s">
        <v>9616</v>
      </c>
      <c r="N5314" t="s">
        <v>615</v>
      </c>
      <c r="O5314" t="s">
        <v>616</v>
      </c>
      <c r="R5314" t="s">
        <v>57</v>
      </c>
      <c r="S5314">
        <v>16</v>
      </c>
      <c r="T5314">
        <v>168</v>
      </c>
      <c r="U5314" s="1">
        <v>32010</v>
      </c>
      <c r="V5314" t="s">
        <v>80</v>
      </c>
      <c r="W5314" t="s">
        <v>81</v>
      </c>
      <c r="X5314" t="s">
        <v>58</v>
      </c>
      <c r="Y5314">
        <v>21</v>
      </c>
      <c r="Z5314" t="s">
        <v>59</v>
      </c>
      <c r="AA5314" t="s">
        <v>59</v>
      </c>
      <c r="AB5314" t="s">
        <v>59</v>
      </c>
      <c r="AC5314" t="s">
        <v>59</v>
      </c>
      <c r="AD5314" t="s">
        <v>59</v>
      </c>
      <c r="AF5314" s="1">
        <v>32021</v>
      </c>
      <c r="AG5314" t="s">
        <v>8645</v>
      </c>
      <c r="AH5314" t="s">
        <v>8646</v>
      </c>
      <c r="AI5314" t="str">
        <f>"9170205"</f>
        <v>9170205</v>
      </c>
      <c r="AJ5314" t="s">
        <v>8794</v>
      </c>
      <c r="AK5314">
        <v>2810762030</v>
      </c>
      <c r="AL5314" t="s">
        <v>8795</v>
      </c>
      <c r="AM5314" t="s">
        <v>78</v>
      </c>
      <c r="AN5314" t="s">
        <v>219</v>
      </c>
      <c r="AO5314" t="s">
        <v>297</v>
      </c>
      <c r="AP5314" t="s">
        <v>8796</v>
      </c>
      <c r="AQ5314">
        <v>7</v>
      </c>
      <c r="AR5314" t="s">
        <v>80</v>
      </c>
      <c r="AS5314" t="s">
        <v>81</v>
      </c>
      <c r="AT5314" t="s">
        <v>58</v>
      </c>
      <c r="AU5314" t="s">
        <v>68</v>
      </c>
      <c r="AV5314" t="s">
        <v>69</v>
      </c>
      <c r="AW5314" s="1">
        <v>23680</v>
      </c>
      <c r="AX5314">
        <v>1</v>
      </c>
    </row>
    <row r="5315" spans="1:50">
      <c r="A5315">
        <v>617374</v>
      </c>
      <c r="B5315" t="str">
        <f>"103835233"</f>
        <v>103835233</v>
      </c>
      <c r="C5315" t="s">
        <v>50</v>
      </c>
      <c r="D5315" t="s">
        <v>5940</v>
      </c>
      <c r="E5315" t="s">
        <v>52</v>
      </c>
      <c r="F5315" t="s">
        <v>564</v>
      </c>
      <c r="G5315" t="s">
        <v>255</v>
      </c>
      <c r="H5315" t="str">
        <f>"ΡΑΥΚΟΥ 33 ΗΡΑΚΛΕΙΟ"</f>
        <v>ΡΑΥΚΟΥ 33 ΗΡΑΚΛΕΙΟ</v>
      </c>
      <c r="I5315">
        <v>71304</v>
      </c>
      <c r="J5315">
        <v>2810256001</v>
      </c>
      <c r="K5315">
        <v>6977400388</v>
      </c>
      <c r="N5315" t="s">
        <v>615</v>
      </c>
      <c r="O5315" t="s">
        <v>616</v>
      </c>
      <c r="R5315" t="s">
        <v>57</v>
      </c>
      <c r="S5315">
        <v>6</v>
      </c>
      <c r="T5315">
        <v>774</v>
      </c>
      <c r="U5315" s="1">
        <v>39680</v>
      </c>
      <c r="V5315" t="s">
        <v>80</v>
      </c>
      <c r="W5315" t="s">
        <v>81</v>
      </c>
      <c r="X5315" t="s">
        <v>58</v>
      </c>
      <c r="Y5315">
        <v>23</v>
      </c>
      <c r="Z5315" t="s">
        <v>59</v>
      </c>
      <c r="AA5315" t="s">
        <v>59</v>
      </c>
      <c r="AB5315" t="s">
        <v>59</v>
      </c>
      <c r="AC5315" t="s">
        <v>59</v>
      </c>
      <c r="AD5315" t="s">
        <v>59</v>
      </c>
      <c r="AF5315" s="1">
        <v>39685</v>
      </c>
      <c r="AG5315" t="s">
        <v>8645</v>
      </c>
      <c r="AH5315" t="s">
        <v>8646</v>
      </c>
      <c r="AI5315" t="str">
        <f>"9521092"</f>
        <v>9521092</v>
      </c>
      <c r="AJ5315" t="s">
        <v>9234</v>
      </c>
      <c r="AK5315">
        <v>2810313321</v>
      </c>
      <c r="AL5315" t="s">
        <v>9235</v>
      </c>
      <c r="AM5315" t="s">
        <v>78</v>
      </c>
      <c r="AN5315" t="s">
        <v>78</v>
      </c>
      <c r="AO5315" t="s">
        <v>78</v>
      </c>
      <c r="AP5315" t="s">
        <v>141</v>
      </c>
      <c r="AQ5315">
        <v>1</v>
      </c>
      <c r="AR5315" t="s">
        <v>80</v>
      </c>
      <c r="AS5315" t="s">
        <v>81</v>
      </c>
      <c r="AT5315" t="s">
        <v>58</v>
      </c>
      <c r="AU5315" t="s">
        <v>68</v>
      </c>
      <c r="AV5315" t="s">
        <v>69</v>
      </c>
      <c r="AW5315" s="1">
        <v>29734</v>
      </c>
      <c r="AX5315">
        <v>1</v>
      </c>
    </row>
    <row r="5316" spans="1:50">
      <c r="A5316">
        <v>589842</v>
      </c>
      <c r="B5316" t="str">
        <f>"044195091"</f>
        <v>044195091</v>
      </c>
      <c r="C5316" t="s">
        <v>50</v>
      </c>
      <c r="D5316" t="s">
        <v>1354</v>
      </c>
      <c r="E5316" t="s">
        <v>1078</v>
      </c>
      <c r="F5316" t="s">
        <v>782</v>
      </c>
      <c r="G5316" t="s">
        <v>314</v>
      </c>
      <c r="H5316" t="str">
        <f>"ΣΗΦΗ ΒΛΑΣΤΟΥ 44 ΡΕΘΥΜΝΟ"</f>
        <v>ΣΗΦΗ ΒΛΑΣΤΟΥ 44 ΡΕΘΥΜΝΟ</v>
      </c>
      <c r="I5316">
        <v>74100</v>
      </c>
      <c r="J5316">
        <v>2831028372</v>
      </c>
      <c r="K5316">
        <v>6974739503</v>
      </c>
      <c r="N5316" t="s">
        <v>1525</v>
      </c>
      <c r="O5316" t="s">
        <v>1526</v>
      </c>
      <c r="R5316" t="s">
        <v>57</v>
      </c>
      <c r="S5316">
        <v>9</v>
      </c>
      <c r="T5316">
        <v>176</v>
      </c>
      <c r="U5316" s="1">
        <v>36403</v>
      </c>
      <c r="V5316" t="s">
        <v>80</v>
      </c>
      <c r="W5316" t="s">
        <v>81</v>
      </c>
      <c r="X5316" t="s">
        <v>58</v>
      </c>
      <c r="Y5316">
        <v>25</v>
      </c>
      <c r="Z5316" t="s">
        <v>59</v>
      </c>
      <c r="AA5316" t="s">
        <v>59</v>
      </c>
      <c r="AB5316" t="s">
        <v>59</v>
      </c>
      <c r="AC5316" t="s">
        <v>59</v>
      </c>
      <c r="AD5316" t="s">
        <v>59</v>
      </c>
      <c r="AF5316" s="1">
        <v>36404</v>
      </c>
      <c r="AG5316" t="s">
        <v>8651</v>
      </c>
      <c r="AH5316" t="s">
        <v>8652</v>
      </c>
      <c r="AI5316" t="str">
        <f>"9520696"</f>
        <v>9520696</v>
      </c>
      <c r="AJ5316" t="s">
        <v>9617</v>
      </c>
      <c r="AK5316">
        <v>2810311032</v>
      </c>
      <c r="AL5316" t="s">
        <v>9618</v>
      </c>
      <c r="AM5316" t="s">
        <v>78</v>
      </c>
      <c r="AN5316" t="s">
        <v>78</v>
      </c>
      <c r="AO5316" t="s">
        <v>78</v>
      </c>
      <c r="AP5316" t="s">
        <v>141</v>
      </c>
      <c r="AQ5316">
        <v>1</v>
      </c>
      <c r="AR5316" t="s">
        <v>80</v>
      </c>
      <c r="AS5316" t="s">
        <v>81</v>
      </c>
      <c r="AT5316" t="s">
        <v>58</v>
      </c>
      <c r="AU5316" t="s">
        <v>68</v>
      </c>
      <c r="AV5316" t="s">
        <v>69</v>
      </c>
      <c r="AW5316" s="1">
        <v>24778</v>
      </c>
      <c r="AX5316">
        <v>1</v>
      </c>
    </row>
    <row r="5317" spans="1:50">
      <c r="B5317" t="str">
        <f>"156453214"</f>
        <v>156453214</v>
      </c>
      <c r="C5317" t="s">
        <v>50</v>
      </c>
      <c r="D5317" t="s">
        <v>9619</v>
      </c>
      <c r="E5317" t="s">
        <v>9620</v>
      </c>
      <c r="F5317" t="s">
        <v>4730</v>
      </c>
      <c r="G5317" t="s">
        <v>174</v>
      </c>
      <c r="H5317" t="str">
        <f>" "</f>
        <v xml:space="preserve"> </v>
      </c>
      <c r="N5317" t="s">
        <v>615</v>
      </c>
      <c r="O5317" t="s">
        <v>616</v>
      </c>
      <c r="R5317" t="s">
        <v>159</v>
      </c>
      <c r="S5317">
        <v>3</v>
      </c>
      <c r="T5317" t="s">
        <v>9034</v>
      </c>
      <c r="U5317" s="1">
        <v>43377</v>
      </c>
      <c r="V5317" t="s">
        <v>80</v>
      </c>
      <c r="W5317" t="s">
        <v>81</v>
      </c>
      <c r="X5317" t="s">
        <v>58</v>
      </c>
      <c r="Y5317">
        <v>24</v>
      </c>
      <c r="Z5317" t="s">
        <v>59</v>
      </c>
      <c r="AA5317" t="s">
        <v>59</v>
      </c>
      <c r="AB5317" t="s">
        <v>59</v>
      </c>
      <c r="AD5317" t="s">
        <v>59</v>
      </c>
      <c r="AF5317" s="1">
        <v>43377</v>
      </c>
      <c r="AG5317" t="s">
        <v>8645</v>
      </c>
      <c r="AH5317" t="s">
        <v>8646</v>
      </c>
      <c r="AI5317" t="str">
        <f>"9170300"</f>
        <v>9170300</v>
      </c>
      <c r="AJ5317" t="s">
        <v>8905</v>
      </c>
      <c r="AK5317">
        <v>2892041219</v>
      </c>
      <c r="AL5317" t="s">
        <v>8906</v>
      </c>
      <c r="AM5317" t="s">
        <v>78</v>
      </c>
      <c r="AN5317" t="s">
        <v>242</v>
      </c>
      <c r="AO5317" t="s">
        <v>243</v>
      </c>
      <c r="AP5317" t="s">
        <v>244</v>
      </c>
      <c r="AQ5317">
        <v>18</v>
      </c>
      <c r="AR5317" t="s">
        <v>80</v>
      </c>
      <c r="AS5317" t="s">
        <v>81</v>
      </c>
      <c r="AT5317" t="s">
        <v>58</v>
      </c>
      <c r="AU5317" t="s">
        <v>8673</v>
      </c>
      <c r="AV5317" t="s">
        <v>132</v>
      </c>
      <c r="AW5317" s="1">
        <v>32884</v>
      </c>
      <c r="AX5317">
        <v>1</v>
      </c>
    </row>
    <row r="5318" spans="1:50">
      <c r="A5318">
        <v>578807</v>
      </c>
      <c r="B5318" t="str">
        <f>"064019559"</f>
        <v>064019559</v>
      </c>
      <c r="C5318" t="s">
        <v>50</v>
      </c>
      <c r="D5318" t="s">
        <v>1364</v>
      </c>
      <c r="E5318" t="s">
        <v>52</v>
      </c>
      <c r="F5318" t="s">
        <v>166</v>
      </c>
      <c r="G5318" t="s">
        <v>215</v>
      </c>
      <c r="H5318" t="str">
        <f>"Ιτάνου 39 Πατέλες"</f>
        <v>Ιτάνου 39 Πατέλες</v>
      </c>
      <c r="I5318">
        <v>71307</v>
      </c>
      <c r="J5318">
        <v>2810235800</v>
      </c>
      <c r="K5318">
        <v>6976096859</v>
      </c>
      <c r="M5318" t="s">
        <v>9621</v>
      </c>
      <c r="N5318" t="s">
        <v>615</v>
      </c>
      <c r="O5318" t="s">
        <v>616</v>
      </c>
      <c r="R5318" t="s">
        <v>57</v>
      </c>
      <c r="S5318">
        <v>13</v>
      </c>
      <c r="T5318">
        <v>165</v>
      </c>
      <c r="U5318" s="1">
        <v>35300</v>
      </c>
      <c r="V5318" t="s">
        <v>80</v>
      </c>
      <c r="W5318" t="s">
        <v>81</v>
      </c>
      <c r="X5318" t="s">
        <v>58</v>
      </c>
      <c r="Y5318">
        <v>21</v>
      </c>
      <c r="Z5318" t="s">
        <v>59</v>
      </c>
      <c r="AA5318" t="s">
        <v>59</v>
      </c>
      <c r="AB5318" t="s">
        <v>59</v>
      </c>
      <c r="AC5318" t="s">
        <v>59</v>
      </c>
      <c r="AD5318" t="s">
        <v>59</v>
      </c>
      <c r="AF5318" s="1">
        <v>35310</v>
      </c>
      <c r="AG5318" t="s">
        <v>8645</v>
      </c>
      <c r="AH5318" t="s">
        <v>8646</v>
      </c>
      <c r="AI5318" t="str">
        <f>"9170194"</f>
        <v>9170194</v>
      </c>
      <c r="AJ5318" t="s">
        <v>8768</v>
      </c>
      <c r="AK5318">
        <v>2810239611</v>
      </c>
      <c r="AL5318" t="s">
        <v>8769</v>
      </c>
      <c r="AM5318" t="s">
        <v>78</v>
      </c>
      <c r="AN5318" t="s">
        <v>78</v>
      </c>
      <c r="AO5318" t="s">
        <v>78</v>
      </c>
      <c r="AP5318" t="s">
        <v>213</v>
      </c>
      <c r="AQ5318">
        <v>1</v>
      </c>
      <c r="AR5318" t="s">
        <v>80</v>
      </c>
      <c r="AS5318" t="s">
        <v>81</v>
      </c>
      <c r="AT5318" t="s">
        <v>58</v>
      </c>
      <c r="AU5318" t="s">
        <v>68</v>
      </c>
      <c r="AV5318" t="s">
        <v>69</v>
      </c>
      <c r="AW5318" s="1">
        <v>22140</v>
      </c>
      <c r="AX5318">
        <v>1</v>
      </c>
    </row>
    <row r="5319" spans="1:50">
      <c r="B5319" t="str">
        <f>"140154430"</f>
        <v>140154430</v>
      </c>
      <c r="C5319" t="s">
        <v>50</v>
      </c>
      <c r="D5319" t="s">
        <v>9622</v>
      </c>
      <c r="E5319" t="s">
        <v>1418</v>
      </c>
      <c r="F5319" t="s">
        <v>309</v>
      </c>
      <c r="G5319" t="s">
        <v>181</v>
      </c>
      <c r="H5319" t="str">
        <f>"ΕΛΑΤΟΧΩΡΙ "</f>
        <v xml:space="preserve">ΕΛΑΤΟΧΩΡΙ </v>
      </c>
      <c r="I5319">
        <v>60100</v>
      </c>
      <c r="J5319">
        <v>2351082749</v>
      </c>
      <c r="K5319">
        <v>6946181969</v>
      </c>
      <c r="N5319" t="s">
        <v>1525</v>
      </c>
      <c r="O5319" t="s">
        <v>1526</v>
      </c>
      <c r="R5319" t="s">
        <v>159</v>
      </c>
      <c r="S5319">
        <v>2</v>
      </c>
      <c r="T5319" t="s">
        <v>8670</v>
      </c>
      <c r="U5319" s="1">
        <v>43348</v>
      </c>
      <c r="V5319" t="s">
        <v>80</v>
      </c>
      <c r="W5319" t="s">
        <v>81</v>
      </c>
      <c r="X5319" t="s">
        <v>58</v>
      </c>
      <c r="Y5319">
        <v>25</v>
      </c>
      <c r="Z5319" t="s">
        <v>59</v>
      </c>
      <c r="AA5319" t="s">
        <v>59</v>
      </c>
      <c r="AB5319" t="s">
        <v>59</v>
      </c>
      <c r="AC5319" t="s">
        <v>59</v>
      </c>
      <c r="AD5319" t="s">
        <v>59</v>
      </c>
      <c r="AF5319" s="1">
        <v>43348</v>
      </c>
      <c r="AG5319" t="s">
        <v>8651</v>
      </c>
      <c r="AH5319" t="s">
        <v>8652</v>
      </c>
      <c r="AI5319" t="str">
        <f>"9170477"</f>
        <v>9170477</v>
      </c>
      <c r="AJ5319" t="s">
        <v>9623</v>
      </c>
      <c r="AK5319">
        <v>2892091506</v>
      </c>
      <c r="AL5319" t="s">
        <v>9624</v>
      </c>
      <c r="AM5319" t="s">
        <v>78</v>
      </c>
      <c r="AN5319" t="s">
        <v>242</v>
      </c>
      <c r="AO5319" t="s">
        <v>349</v>
      </c>
      <c r="AP5319" t="s">
        <v>8965</v>
      </c>
      <c r="AQ5319">
        <v>19</v>
      </c>
      <c r="AR5319" t="s">
        <v>80</v>
      </c>
      <c r="AS5319" t="s">
        <v>81</v>
      </c>
      <c r="AT5319" t="s">
        <v>58</v>
      </c>
      <c r="AU5319" t="s">
        <v>8673</v>
      </c>
      <c r="AV5319" t="s">
        <v>132</v>
      </c>
      <c r="AW5319" s="1">
        <v>31396</v>
      </c>
      <c r="AX5319">
        <v>1</v>
      </c>
    </row>
    <row r="5320" spans="1:50">
      <c r="A5320">
        <v>700964</v>
      </c>
      <c r="B5320" t="str">
        <f>"116660571"</f>
        <v>116660571</v>
      </c>
      <c r="C5320" t="s">
        <v>50</v>
      </c>
      <c r="D5320" t="s">
        <v>9625</v>
      </c>
      <c r="E5320" t="s">
        <v>1078</v>
      </c>
      <c r="F5320" t="s">
        <v>106</v>
      </c>
      <c r="G5320" t="s">
        <v>181</v>
      </c>
      <c r="H5320" t="str">
        <f>"ΔΙΑΒΑΪΔΕ ΚΑΣΤΕΛΛΙ ΠΕΔΙΑΔΑΣ"</f>
        <v>ΔΙΑΒΑΪΔΕ ΚΑΣΤΕΛΛΙ ΠΕΔΙΑΔΑΣ</v>
      </c>
      <c r="I5320">
        <v>70006</v>
      </c>
      <c r="J5320">
        <v>2891031084</v>
      </c>
      <c r="K5320">
        <v>6945366782</v>
      </c>
      <c r="N5320" t="s">
        <v>615</v>
      </c>
      <c r="O5320" t="s">
        <v>616</v>
      </c>
      <c r="P5320" t="s">
        <v>146</v>
      </c>
      <c r="Q5320" t="s">
        <v>147</v>
      </c>
      <c r="R5320" t="s">
        <v>57</v>
      </c>
      <c r="S5320">
        <v>7</v>
      </c>
      <c r="T5320">
        <v>772</v>
      </c>
      <c r="U5320" s="1">
        <v>40413</v>
      </c>
      <c r="V5320" t="s">
        <v>80</v>
      </c>
      <c r="W5320" t="s">
        <v>81</v>
      </c>
      <c r="X5320" t="s">
        <v>58</v>
      </c>
      <c r="Y5320">
        <v>23</v>
      </c>
      <c r="Z5320" t="s">
        <v>59</v>
      </c>
      <c r="AA5320" t="s">
        <v>59</v>
      </c>
      <c r="AB5320" t="s">
        <v>59</v>
      </c>
      <c r="AC5320" t="s">
        <v>59</v>
      </c>
      <c r="AD5320" t="s">
        <v>59</v>
      </c>
      <c r="AF5320" s="1">
        <v>40413</v>
      </c>
      <c r="AG5320" t="s">
        <v>8645</v>
      </c>
      <c r="AH5320" t="s">
        <v>8646</v>
      </c>
      <c r="AI5320" t="str">
        <f>"9170235"</f>
        <v>9170235</v>
      </c>
      <c r="AJ5320" t="s">
        <v>8806</v>
      </c>
      <c r="AK5320">
        <v>2891031258</v>
      </c>
      <c r="AL5320" t="s">
        <v>8807</v>
      </c>
      <c r="AM5320" t="s">
        <v>78</v>
      </c>
      <c r="AN5320" t="s">
        <v>276</v>
      </c>
      <c r="AO5320" t="s">
        <v>277</v>
      </c>
      <c r="AP5320" t="s">
        <v>277</v>
      </c>
      <c r="AQ5320">
        <v>13</v>
      </c>
      <c r="AR5320" t="s">
        <v>80</v>
      </c>
      <c r="AS5320" t="s">
        <v>81</v>
      </c>
      <c r="AT5320" t="s">
        <v>58</v>
      </c>
      <c r="AU5320" t="s">
        <v>68</v>
      </c>
      <c r="AV5320" t="s">
        <v>69</v>
      </c>
      <c r="AW5320" s="1">
        <v>27612</v>
      </c>
      <c r="AX5320">
        <v>1</v>
      </c>
    </row>
    <row r="5321" spans="1:50">
      <c r="A5321">
        <v>588751</v>
      </c>
      <c r="B5321" t="str">
        <f>"070999562"</f>
        <v>070999562</v>
      </c>
      <c r="C5321" t="s">
        <v>50</v>
      </c>
      <c r="D5321" t="s">
        <v>9626</v>
      </c>
      <c r="E5321" t="s">
        <v>484</v>
      </c>
      <c r="F5321" t="s">
        <v>202</v>
      </c>
      <c r="G5321" t="s">
        <v>9627</v>
      </c>
      <c r="H5321" t="str">
        <f>"ΕΥΤΕΡΠΗΣ 29 ΗΡΑΚΛΕΙΟ"</f>
        <v>ΕΥΤΕΡΠΗΣ 29 ΗΡΑΚΛΕΙΟ</v>
      </c>
      <c r="I5321">
        <v>71409</v>
      </c>
      <c r="J5321">
        <v>2810237958</v>
      </c>
      <c r="K5321">
        <v>6979485494</v>
      </c>
      <c r="M5321" t="s">
        <v>9628</v>
      </c>
      <c r="N5321" t="s">
        <v>615</v>
      </c>
      <c r="O5321" t="s">
        <v>616</v>
      </c>
      <c r="R5321" t="s">
        <v>57</v>
      </c>
      <c r="S5321">
        <v>10</v>
      </c>
      <c r="T5321">
        <v>176</v>
      </c>
      <c r="U5321" s="1">
        <v>36403</v>
      </c>
      <c r="V5321" t="s">
        <v>80</v>
      </c>
      <c r="W5321" t="s">
        <v>81</v>
      </c>
      <c r="X5321" t="s">
        <v>58</v>
      </c>
      <c r="Y5321">
        <v>21</v>
      </c>
      <c r="Z5321" t="s">
        <v>59</v>
      </c>
      <c r="AA5321" t="s">
        <v>59</v>
      </c>
      <c r="AB5321" t="s">
        <v>59</v>
      </c>
      <c r="AC5321" t="s">
        <v>59</v>
      </c>
      <c r="AD5321" t="s">
        <v>59</v>
      </c>
      <c r="AF5321" s="1">
        <v>36404</v>
      </c>
      <c r="AG5321" t="s">
        <v>8645</v>
      </c>
      <c r="AH5321" t="s">
        <v>8646</v>
      </c>
      <c r="AI5321" t="str">
        <f>"9521093"</f>
        <v>9521093</v>
      </c>
      <c r="AJ5321" t="s">
        <v>9153</v>
      </c>
      <c r="AK5321">
        <v>2810322162</v>
      </c>
      <c r="AL5321" t="s">
        <v>9154</v>
      </c>
      <c r="AM5321" t="s">
        <v>78</v>
      </c>
      <c r="AN5321" t="s">
        <v>78</v>
      </c>
      <c r="AO5321" t="s">
        <v>78</v>
      </c>
      <c r="AP5321" t="s">
        <v>163</v>
      </c>
      <c r="AQ5321">
        <v>1</v>
      </c>
      <c r="AR5321" t="s">
        <v>80</v>
      </c>
      <c r="AS5321" t="s">
        <v>81</v>
      </c>
      <c r="AT5321" t="s">
        <v>58</v>
      </c>
      <c r="AU5321" t="s">
        <v>68</v>
      </c>
      <c r="AV5321" t="s">
        <v>69</v>
      </c>
      <c r="AW5321" s="1">
        <v>24390</v>
      </c>
      <c r="AX5321">
        <v>1</v>
      </c>
    </row>
    <row r="5322" spans="1:50">
      <c r="A5322">
        <v>619216</v>
      </c>
      <c r="B5322" t="str">
        <f>"035348680"</f>
        <v>035348680</v>
      </c>
      <c r="C5322" t="s">
        <v>50</v>
      </c>
      <c r="D5322" t="s">
        <v>1371</v>
      </c>
      <c r="E5322" t="s">
        <v>52</v>
      </c>
      <c r="F5322" t="s">
        <v>989</v>
      </c>
      <c r="G5322" t="s">
        <v>1355</v>
      </c>
      <c r="H5322" t="str">
        <f>"ΑΝΤ. ΚΑΣΤΡΙΝΑΚΗ 77 ΗΡΑΚΛΕΙΟ"</f>
        <v>ΑΝΤ. ΚΑΣΤΡΙΝΑΚΗ 77 ΗΡΑΚΛΕΙΟ</v>
      </c>
      <c r="I5322">
        <v>71305</v>
      </c>
      <c r="J5322">
        <v>2810239014</v>
      </c>
      <c r="K5322">
        <v>6945357770</v>
      </c>
      <c r="N5322" t="s">
        <v>1525</v>
      </c>
      <c r="O5322" t="s">
        <v>1526</v>
      </c>
      <c r="R5322" t="s">
        <v>57</v>
      </c>
      <c r="S5322">
        <v>5</v>
      </c>
      <c r="T5322">
        <v>774</v>
      </c>
      <c r="U5322" s="1">
        <v>39680</v>
      </c>
      <c r="V5322" t="s">
        <v>80</v>
      </c>
      <c r="W5322" t="s">
        <v>81</v>
      </c>
      <c r="X5322" t="s">
        <v>58</v>
      </c>
      <c r="Y5322">
        <v>25</v>
      </c>
      <c r="Z5322" t="s">
        <v>59</v>
      </c>
      <c r="AA5322" t="s">
        <v>59</v>
      </c>
      <c r="AB5322" t="s">
        <v>59</v>
      </c>
      <c r="AC5322" t="s">
        <v>59</v>
      </c>
      <c r="AD5322" t="s">
        <v>59</v>
      </c>
      <c r="AF5322" s="1">
        <v>39681</v>
      </c>
      <c r="AG5322" t="s">
        <v>8651</v>
      </c>
      <c r="AH5322" t="s">
        <v>8652</v>
      </c>
      <c r="AI5322" t="str">
        <f>"9170526"</f>
        <v>9170526</v>
      </c>
      <c r="AJ5322" t="s">
        <v>9112</v>
      </c>
      <c r="AK5322">
        <v>2810251986</v>
      </c>
      <c r="AL5322" t="s">
        <v>9113</v>
      </c>
      <c r="AM5322" t="s">
        <v>78</v>
      </c>
      <c r="AN5322" t="s">
        <v>78</v>
      </c>
      <c r="AO5322" t="s">
        <v>78</v>
      </c>
      <c r="AP5322" t="s">
        <v>141</v>
      </c>
      <c r="AQ5322">
        <v>1</v>
      </c>
      <c r="AR5322" t="s">
        <v>80</v>
      </c>
      <c r="AS5322" t="s">
        <v>81</v>
      </c>
      <c r="AT5322" t="s">
        <v>58</v>
      </c>
      <c r="AU5322" t="s">
        <v>68</v>
      </c>
      <c r="AV5322" t="s">
        <v>69</v>
      </c>
      <c r="AW5322" s="1">
        <v>25854</v>
      </c>
      <c r="AX5322">
        <v>1</v>
      </c>
    </row>
    <row r="5323" spans="1:50">
      <c r="A5323">
        <v>700776</v>
      </c>
      <c r="B5323" t="str">
        <f>"125281403"</f>
        <v>125281403</v>
      </c>
      <c r="C5323" t="s">
        <v>50</v>
      </c>
      <c r="D5323" t="s">
        <v>9629</v>
      </c>
      <c r="E5323" t="s">
        <v>326</v>
      </c>
      <c r="F5323" t="s">
        <v>53</v>
      </c>
      <c r="G5323" t="s">
        <v>9630</v>
      </c>
      <c r="H5323" t="str">
        <f>"ΕΡΓΑΤΙΚΕΣ ΚΑΤΟΙΚΙΕΣ 39Β ΣΗΤΕΙΑ"</f>
        <v>ΕΡΓΑΤΙΚΕΣ ΚΑΤΟΙΚΙΕΣ 39Β ΣΗΤΕΙΑ</v>
      </c>
      <c r="I5323">
        <v>72300</v>
      </c>
      <c r="J5323">
        <v>2843025057</v>
      </c>
      <c r="K5323">
        <v>6946136318</v>
      </c>
      <c r="M5323" t="s">
        <v>9631</v>
      </c>
      <c r="N5323" t="s">
        <v>615</v>
      </c>
      <c r="O5323" t="s">
        <v>616</v>
      </c>
      <c r="R5323" t="s">
        <v>57</v>
      </c>
      <c r="S5323">
        <v>4</v>
      </c>
      <c r="T5323">
        <v>772</v>
      </c>
      <c r="U5323" s="1">
        <v>40413</v>
      </c>
      <c r="V5323" t="s">
        <v>80</v>
      </c>
      <c r="W5323" t="s">
        <v>81</v>
      </c>
      <c r="X5323" t="s">
        <v>58</v>
      </c>
      <c r="Y5323">
        <v>24</v>
      </c>
      <c r="Z5323" t="s">
        <v>59</v>
      </c>
      <c r="AA5323" t="s">
        <v>59</v>
      </c>
      <c r="AB5323" t="s">
        <v>59</v>
      </c>
      <c r="AC5323" t="s">
        <v>59</v>
      </c>
      <c r="AD5323" t="s">
        <v>59</v>
      </c>
      <c r="AF5323" s="1">
        <v>40413</v>
      </c>
      <c r="AG5323" t="s">
        <v>8645</v>
      </c>
      <c r="AH5323" t="s">
        <v>8646</v>
      </c>
      <c r="AI5323" t="str">
        <f>"9521014"</f>
        <v>9521014</v>
      </c>
      <c r="AJ5323" t="s">
        <v>8974</v>
      </c>
      <c r="AK5323">
        <v>2897029611</v>
      </c>
      <c r="AL5323" t="s">
        <v>8975</v>
      </c>
      <c r="AM5323" t="s">
        <v>78</v>
      </c>
      <c r="AN5323" t="s">
        <v>219</v>
      </c>
      <c r="AO5323" t="s">
        <v>527</v>
      </c>
      <c r="AP5323" t="s">
        <v>527</v>
      </c>
      <c r="AQ5323">
        <v>8</v>
      </c>
      <c r="AR5323" t="s">
        <v>80</v>
      </c>
      <c r="AS5323" t="s">
        <v>81</v>
      </c>
      <c r="AT5323" t="s">
        <v>58</v>
      </c>
      <c r="AU5323" t="s">
        <v>68</v>
      </c>
      <c r="AV5323" t="s">
        <v>69</v>
      </c>
      <c r="AW5323" s="1">
        <v>31773</v>
      </c>
      <c r="AX5323">
        <v>1</v>
      </c>
    </row>
    <row r="5324" spans="1:50">
      <c r="A5324">
        <v>584310</v>
      </c>
      <c r="B5324" t="str">
        <f>"038586510"</f>
        <v>038586510</v>
      </c>
      <c r="C5324" t="s">
        <v>105</v>
      </c>
      <c r="D5324" t="s">
        <v>9632</v>
      </c>
      <c r="E5324" t="s">
        <v>84</v>
      </c>
      <c r="F5324" t="s">
        <v>166</v>
      </c>
      <c r="G5324" t="s">
        <v>3174</v>
      </c>
      <c r="H5324" t="str">
        <f>"ΙΩΑΝΝΗ ΧΡΟΝΑΚΗ 12 ΗΡΑΚΛΕΙΟ"</f>
        <v>ΙΩΑΝΝΗ ΧΡΟΝΑΚΗ 12 ΗΡΑΚΛΕΙΟ</v>
      </c>
      <c r="I5324">
        <v>71202</v>
      </c>
      <c r="J5324">
        <v>2810285194</v>
      </c>
      <c r="K5324">
        <v>6977552693</v>
      </c>
      <c r="N5324" t="s">
        <v>615</v>
      </c>
      <c r="O5324" t="s">
        <v>616</v>
      </c>
      <c r="R5324" t="s">
        <v>57</v>
      </c>
      <c r="S5324">
        <v>12</v>
      </c>
      <c r="T5324">
        <v>165</v>
      </c>
      <c r="U5324" s="1">
        <v>36040</v>
      </c>
      <c r="V5324" t="s">
        <v>80</v>
      </c>
      <c r="W5324" t="s">
        <v>81</v>
      </c>
      <c r="X5324" t="s">
        <v>58</v>
      </c>
      <c r="Y5324">
        <v>21</v>
      </c>
      <c r="Z5324" t="s">
        <v>59</v>
      </c>
      <c r="AA5324" t="s">
        <v>59</v>
      </c>
      <c r="AB5324" t="s">
        <v>59</v>
      </c>
      <c r="AC5324" t="s">
        <v>59</v>
      </c>
      <c r="AD5324" t="s">
        <v>59</v>
      </c>
      <c r="AF5324" s="1">
        <v>36041</v>
      </c>
      <c r="AG5324" t="s">
        <v>8645</v>
      </c>
      <c r="AH5324" t="s">
        <v>8646</v>
      </c>
      <c r="AI5324" t="str">
        <f>"9170113"</f>
        <v>9170113</v>
      </c>
      <c r="AJ5324" t="s">
        <v>8846</v>
      </c>
      <c r="AK5324">
        <v>2810226174</v>
      </c>
      <c r="AL5324" t="s">
        <v>8847</v>
      </c>
      <c r="AM5324" t="s">
        <v>78</v>
      </c>
      <c r="AN5324" t="s">
        <v>78</v>
      </c>
      <c r="AO5324" t="s">
        <v>78</v>
      </c>
      <c r="AP5324" t="s">
        <v>79</v>
      </c>
      <c r="AQ5324">
        <v>1</v>
      </c>
      <c r="AR5324" t="s">
        <v>80</v>
      </c>
      <c r="AS5324" t="s">
        <v>81</v>
      </c>
      <c r="AT5324" t="s">
        <v>58</v>
      </c>
      <c r="AU5324" t="s">
        <v>68</v>
      </c>
      <c r="AV5324" t="s">
        <v>69</v>
      </c>
      <c r="AW5324" s="1">
        <v>24178</v>
      </c>
      <c r="AX5324">
        <v>1</v>
      </c>
    </row>
    <row r="5325" spans="1:50">
      <c r="A5325">
        <v>559913</v>
      </c>
      <c r="B5325" t="str">
        <f>"131011561"</f>
        <v>131011561</v>
      </c>
      <c r="C5325" t="s">
        <v>50</v>
      </c>
      <c r="D5325" t="s">
        <v>7192</v>
      </c>
      <c r="E5325" t="s">
        <v>237</v>
      </c>
      <c r="F5325" t="s">
        <v>99</v>
      </c>
      <c r="G5325" t="s">
        <v>280</v>
      </c>
      <c r="H5325" t="str">
        <f>"ΑΡΤΕΜΙΔΟΣ 19 "</f>
        <v xml:space="preserve">ΑΡΤΕΜΙΔΟΣ 19 </v>
      </c>
      <c r="I5325">
        <v>71409</v>
      </c>
      <c r="K5325">
        <v>6945002855</v>
      </c>
      <c r="M5325" t="s">
        <v>9633</v>
      </c>
      <c r="N5325" t="s">
        <v>615</v>
      </c>
      <c r="O5325" t="s">
        <v>616</v>
      </c>
      <c r="R5325" t="s">
        <v>57</v>
      </c>
      <c r="S5325">
        <v>15</v>
      </c>
      <c r="T5325">
        <v>175</v>
      </c>
      <c r="U5325" s="1">
        <v>32020</v>
      </c>
      <c r="V5325" t="s">
        <v>80</v>
      </c>
      <c r="W5325" t="s">
        <v>81</v>
      </c>
      <c r="X5325" t="s">
        <v>58</v>
      </c>
      <c r="Y5325">
        <v>21</v>
      </c>
      <c r="Z5325" t="s">
        <v>59</v>
      </c>
      <c r="AA5325" t="s">
        <v>59</v>
      </c>
      <c r="AB5325" t="s">
        <v>59</v>
      </c>
      <c r="AC5325" t="s">
        <v>59</v>
      </c>
      <c r="AD5325" t="s">
        <v>59</v>
      </c>
      <c r="AF5325" s="1">
        <v>32023</v>
      </c>
      <c r="AG5325" t="s">
        <v>8645</v>
      </c>
      <c r="AH5325" t="s">
        <v>8646</v>
      </c>
      <c r="AI5325" t="str">
        <f>"9170196"</f>
        <v>9170196</v>
      </c>
      <c r="AJ5325" t="s">
        <v>9255</v>
      </c>
      <c r="AK5325">
        <v>2810283356</v>
      </c>
      <c r="AL5325" t="s">
        <v>9256</v>
      </c>
      <c r="AM5325" t="s">
        <v>78</v>
      </c>
      <c r="AN5325" t="s">
        <v>78</v>
      </c>
      <c r="AO5325" t="s">
        <v>78</v>
      </c>
      <c r="AP5325" t="s">
        <v>79</v>
      </c>
      <c r="AQ5325">
        <v>1</v>
      </c>
      <c r="AR5325" t="s">
        <v>80</v>
      </c>
      <c r="AS5325" t="s">
        <v>81</v>
      </c>
      <c r="AT5325" t="s">
        <v>58</v>
      </c>
      <c r="AU5325" t="s">
        <v>68</v>
      </c>
      <c r="AV5325" t="s">
        <v>69</v>
      </c>
      <c r="AW5325" s="1">
        <v>22794</v>
      </c>
      <c r="AX5325">
        <v>1</v>
      </c>
    </row>
    <row r="5326" spans="1:50">
      <c r="A5326">
        <v>618856</v>
      </c>
      <c r="B5326" t="str">
        <f>"132347670"</f>
        <v>132347670</v>
      </c>
      <c r="C5326" t="s">
        <v>50</v>
      </c>
      <c r="D5326" t="s">
        <v>1378</v>
      </c>
      <c r="E5326" t="s">
        <v>396</v>
      </c>
      <c r="F5326" t="s">
        <v>377</v>
      </c>
      <c r="G5326" t="s">
        <v>5469</v>
      </c>
      <c r="H5326" t="str">
        <f>"ΚΩΝΣΤΑΝΤΙΝΟΥ ΑΣΤΡΗΝΑΚΗ 49 ΗΡΑΚΛΕΙΟ"</f>
        <v>ΚΩΝΣΤΑΝΤΙΝΟΥ ΑΣΤΡΗΝΑΚΗ 49 ΗΡΑΚΛΕΙΟ</v>
      </c>
      <c r="I5326">
        <v>71307</v>
      </c>
      <c r="J5326">
        <v>2811752790</v>
      </c>
      <c r="K5326">
        <v>6978318390</v>
      </c>
      <c r="M5326" t="s">
        <v>9634</v>
      </c>
      <c r="N5326" t="s">
        <v>615</v>
      </c>
      <c r="O5326" t="s">
        <v>616</v>
      </c>
      <c r="R5326" t="s">
        <v>57</v>
      </c>
      <c r="S5326">
        <v>5</v>
      </c>
      <c r="T5326">
        <v>774</v>
      </c>
      <c r="U5326" s="1">
        <v>39680</v>
      </c>
      <c r="V5326" t="s">
        <v>80</v>
      </c>
      <c r="W5326" t="s">
        <v>81</v>
      </c>
      <c r="X5326" t="s">
        <v>58</v>
      </c>
      <c r="Y5326">
        <v>23</v>
      </c>
      <c r="Z5326" t="s">
        <v>59</v>
      </c>
      <c r="AA5326" t="s">
        <v>59</v>
      </c>
      <c r="AB5326" t="s">
        <v>59</v>
      </c>
      <c r="AC5326" t="s">
        <v>59</v>
      </c>
      <c r="AD5326" t="s">
        <v>59</v>
      </c>
      <c r="AF5326" s="1">
        <v>39681</v>
      </c>
      <c r="AG5326" t="s">
        <v>8645</v>
      </c>
      <c r="AH5326" t="s">
        <v>8646</v>
      </c>
      <c r="AI5326" t="str">
        <f>"9170426"</f>
        <v>9170426</v>
      </c>
      <c r="AJ5326" t="s">
        <v>9142</v>
      </c>
      <c r="AK5326">
        <v>2810222289</v>
      </c>
      <c r="AL5326" t="s">
        <v>9143</v>
      </c>
      <c r="AM5326" t="s">
        <v>78</v>
      </c>
      <c r="AN5326" t="s">
        <v>78</v>
      </c>
      <c r="AO5326" t="s">
        <v>78</v>
      </c>
      <c r="AP5326" t="s">
        <v>213</v>
      </c>
      <c r="AQ5326">
        <v>1</v>
      </c>
      <c r="AR5326" t="s">
        <v>80</v>
      </c>
      <c r="AS5326" t="s">
        <v>81</v>
      </c>
      <c r="AT5326" t="s">
        <v>58</v>
      </c>
      <c r="AU5326" t="s">
        <v>68</v>
      </c>
      <c r="AV5326" t="s">
        <v>69</v>
      </c>
      <c r="AW5326" s="1">
        <v>31437</v>
      </c>
      <c r="AX5326">
        <v>1</v>
      </c>
    </row>
    <row r="5327" spans="1:50">
      <c r="A5327">
        <v>616583</v>
      </c>
      <c r="B5327" t="str">
        <f>"132300043"</f>
        <v>132300043</v>
      </c>
      <c r="C5327" t="s">
        <v>50</v>
      </c>
      <c r="D5327" t="s">
        <v>1378</v>
      </c>
      <c r="E5327" t="s">
        <v>83</v>
      </c>
      <c r="F5327" t="s">
        <v>3954</v>
      </c>
      <c r="G5327" t="s">
        <v>314</v>
      </c>
      <c r="H5327" t="str">
        <f>"Μ. ΚΑΛΟΚΑΙΡΙΝΟΥ 6 ΗΡΑΚΛΕΙΟ"</f>
        <v>Μ. ΚΑΛΟΚΑΙΡΙΝΟΥ 6 ΗΡΑΚΛΕΙΟ</v>
      </c>
      <c r="I5327">
        <v>71307</v>
      </c>
      <c r="J5327">
        <v>2810235639</v>
      </c>
      <c r="K5327">
        <v>6974455244</v>
      </c>
      <c r="N5327" t="s">
        <v>1525</v>
      </c>
      <c r="O5327" t="s">
        <v>1526</v>
      </c>
      <c r="R5327" t="s">
        <v>57</v>
      </c>
      <c r="S5327">
        <v>5</v>
      </c>
      <c r="T5327">
        <v>660</v>
      </c>
      <c r="U5327" s="1">
        <v>39310</v>
      </c>
      <c r="V5327" t="s">
        <v>80</v>
      </c>
      <c r="W5327" t="s">
        <v>81</v>
      </c>
      <c r="X5327" t="s">
        <v>58</v>
      </c>
      <c r="Y5327">
        <v>25</v>
      </c>
      <c r="Z5327" t="s">
        <v>59</v>
      </c>
      <c r="AA5327" t="s">
        <v>59</v>
      </c>
      <c r="AB5327" t="s">
        <v>59</v>
      </c>
      <c r="AC5327" t="s">
        <v>59</v>
      </c>
      <c r="AD5327" t="s">
        <v>59</v>
      </c>
      <c r="AF5327" s="1">
        <v>39328</v>
      </c>
      <c r="AG5327" t="s">
        <v>8651</v>
      </c>
      <c r="AH5327" t="s">
        <v>8652</v>
      </c>
      <c r="AI5327" t="str">
        <f>"9170403"</f>
        <v>9170403</v>
      </c>
      <c r="AJ5327" t="s">
        <v>9635</v>
      </c>
      <c r="AK5327">
        <v>2810257487</v>
      </c>
      <c r="AL5327" t="s">
        <v>9636</v>
      </c>
      <c r="AM5327" t="s">
        <v>78</v>
      </c>
      <c r="AN5327" t="s">
        <v>78</v>
      </c>
      <c r="AO5327" t="s">
        <v>78</v>
      </c>
      <c r="AP5327" t="s">
        <v>79</v>
      </c>
      <c r="AQ5327">
        <v>1</v>
      </c>
      <c r="AR5327" t="s">
        <v>80</v>
      </c>
      <c r="AS5327" t="s">
        <v>81</v>
      </c>
      <c r="AT5327" t="s">
        <v>58</v>
      </c>
      <c r="AU5327" t="s">
        <v>68</v>
      </c>
      <c r="AV5327" t="s">
        <v>69</v>
      </c>
      <c r="AW5327" s="1">
        <v>28927</v>
      </c>
      <c r="AX5327">
        <v>1</v>
      </c>
    </row>
    <row r="5328" spans="1:50">
      <c r="B5328" t="str">
        <f>"128300359"</f>
        <v>128300359</v>
      </c>
      <c r="C5328" t="s">
        <v>50</v>
      </c>
      <c r="D5328" t="s">
        <v>1378</v>
      </c>
      <c r="E5328" t="s">
        <v>9637</v>
      </c>
      <c r="F5328" t="s">
        <v>95</v>
      </c>
      <c r="G5328" t="s">
        <v>52</v>
      </c>
      <c r="H5328" t="str">
        <f>"ΠΕΥΚΩΝ 4 ΗΡΑΚΛΕΙΟ"</f>
        <v>ΠΕΥΚΩΝ 4 ΗΡΑΚΛΕΙΟ</v>
      </c>
      <c r="I5328">
        <v>71409</v>
      </c>
      <c r="J5328">
        <v>2810320508</v>
      </c>
      <c r="K5328">
        <v>6972982168</v>
      </c>
      <c r="N5328" t="s">
        <v>615</v>
      </c>
      <c r="O5328" t="s">
        <v>616</v>
      </c>
      <c r="R5328" t="s">
        <v>159</v>
      </c>
      <c r="S5328">
        <v>3</v>
      </c>
      <c r="T5328" t="s">
        <v>8675</v>
      </c>
      <c r="U5328" s="1">
        <v>43348</v>
      </c>
      <c r="V5328" t="s">
        <v>80</v>
      </c>
      <c r="W5328" t="s">
        <v>81</v>
      </c>
      <c r="X5328" t="s">
        <v>58</v>
      </c>
      <c r="Y5328">
        <v>24</v>
      </c>
      <c r="Z5328" t="s">
        <v>59</v>
      </c>
      <c r="AA5328" t="s">
        <v>59</v>
      </c>
      <c r="AB5328" t="s">
        <v>59</v>
      </c>
      <c r="AC5328" t="s">
        <v>59</v>
      </c>
      <c r="AD5328" t="s">
        <v>59</v>
      </c>
      <c r="AF5328" s="1">
        <v>43348</v>
      </c>
      <c r="AG5328" t="s">
        <v>8645</v>
      </c>
      <c r="AH5328" t="s">
        <v>8646</v>
      </c>
      <c r="AI5328" t="str">
        <f>"9170041"</f>
        <v>9170041</v>
      </c>
      <c r="AJ5328" t="s">
        <v>9638</v>
      </c>
      <c r="AK5328">
        <v>2894022150</v>
      </c>
      <c r="AL5328" t="s">
        <v>9639</v>
      </c>
      <c r="AM5328" t="s">
        <v>78</v>
      </c>
      <c r="AN5328" t="s">
        <v>405</v>
      </c>
      <c r="AO5328" t="s">
        <v>406</v>
      </c>
      <c r="AP5328" t="s">
        <v>8893</v>
      </c>
      <c r="AQ5328">
        <v>6</v>
      </c>
      <c r="AR5328" t="s">
        <v>80</v>
      </c>
      <c r="AS5328" t="s">
        <v>81</v>
      </c>
      <c r="AT5328" t="s">
        <v>58</v>
      </c>
      <c r="AU5328" t="s">
        <v>8673</v>
      </c>
      <c r="AV5328" t="s">
        <v>132</v>
      </c>
      <c r="AW5328" s="1">
        <v>30524</v>
      </c>
      <c r="AX5328">
        <v>1</v>
      </c>
    </row>
    <row r="5329" spans="1:50">
      <c r="B5329" t="str">
        <f>"036634565"</f>
        <v>036634565</v>
      </c>
      <c r="C5329" t="s">
        <v>50</v>
      </c>
      <c r="D5329" t="s">
        <v>1378</v>
      </c>
      <c r="E5329" t="s">
        <v>54</v>
      </c>
      <c r="F5329" t="s">
        <v>53</v>
      </c>
      <c r="G5329" t="s">
        <v>255</v>
      </c>
      <c r="H5329" t="str">
        <f>"Ι. ΖΑΧΑΡΑΚΗ 3 "</f>
        <v xml:space="preserve">Ι. ΖΑΧΑΡΑΚΗ 3 </v>
      </c>
      <c r="I5329">
        <v>71307</v>
      </c>
      <c r="J5329">
        <v>2810325795</v>
      </c>
      <c r="K5329">
        <v>6976354203</v>
      </c>
      <c r="M5329" t="s">
        <v>9640</v>
      </c>
      <c r="N5329" t="s">
        <v>288</v>
      </c>
      <c r="O5329" t="s">
        <v>289</v>
      </c>
      <c r="R5329" t="s">
        <v>159</v>
      </c>
      <c r="S5329">
        <v>2</v>
      </c>
      <c r="T5329" t="s">
        <v>8675</v>
      </c>
      <c r="U5329" s="1">
        <v>43348</v>
      </c>
      <c r="V5329" t="s">
        <v>80</v>
      </c>
      <c r="W5329" t="s">
        <v>81</v>
      </c>
      <c r="X5329" t="s">
        <v>58</v>
      </c>
      <c r="Y5329">
        <v>14</v>
      </c>
      <c r="Z5329" t="s">
        <v>59</v>
      </c>
      <c r="AA5329" t="s">
        <v>59</v>
      </c>
      <c r="AB5329" t="s">
        <v>59</v>
      </c>
      <c r="AC5329" t="s">
        <v>59</v>
      </c>
      <c r="AD5329" t="s">
        <v>59</v>
      </c>
      <c r="AF5329" s="1">
        <v>43348</v>
      </c>
      <c r="AG5329" t="s">
        <v>8645</v>
      </c>
      <c r="AH5329" t="s">
        <v>8646</v>
      </c>
      <c r="AI5329" t="str">
        <f>"9170242"</f>
        <v>9170242</v>
      </c>
      <c r="AJ5329" t="s">
        <v>9314</v>
      </c>
      <c r="AK5329">
        <v>2897031254</v>
      </c>
      <c r="AL5329" t="s">
        <v>9315</v>
      </c>
      <c r="AM5329" t="s">
        <v>78</v>
      </c>
      <c r="AN5329" t="s">
        <v>219</v>
      </c>
      <c r="AO5329" t="s">
        <v>527</v>
      </c>
      <c r="AP5329" t="s">
        <v>527</v>
      </c>
      <c r="AQ5329">
        <v>8</v>
      </c>
      <c r="AR5329" t="s">
        <v>80</v>
      </c>
      <c r="AS5329" t="s">
        <v>81</v>
      </c>
      <c r="AT5329" t="s">
        <v>58</v>
      </c>
      <c r="AU5329" t="s">
        <v>8686</v>
      </c>
      <c r="AV5329" t="s">
        <v>132</v>
      </c>
      <c r="AW5329" s="1">
        <v>24277</v>
      </c>
      <c r="AX5329">
        <v>1</v>
      </c>
    </row>
    <row r="5330" spans="1:50">
      <c r="A5330">
        <v>614973</v>
      </c>
      <c r="B5330" t="str">
        <f>"128323324"</f>
        <v>128323324</v>
      </c>
      <c r="C5330" t="s">
        <v>50</v>
      </c>
      <c r="D5330" t="s">
        <v>1382</v>
      </c>
      <c r="E5330" t="s">
        <v>671</v>
      </c>
      <c r="F5330" t="s">
        <v>72</v>
      </c>
      <c r="G5330" t="s">
        <v>513</v>
      </c>
      <c r="H5330" t="str">
        <f>"ΤΕΜΠΟΝΕΡΑ 12 ΗΡΑΚΛΕΙΟ"</f>
        <v>ΤΕΜΠΟΝΕΡΑ 12 ΗΡΑΚΛΕΙΟ</v>
      </c>
      <c r="I5330">
        <v>71414</v>
      </c>
      <c r="J5330">
        <v>2810250016</v>
      </c>
      <c r="K5330">
        <v>6944465713</v>
      </c>
      <c r="M5330" t="s">
        <v>9641</v>
      </c>
      <c r="N5330" t="s">
        <v>615</v>
      </c>
      <c r="O5330" t="s">
        <v>616</v>
      </c>
      <c r="R5330" t="s">
        <v>57</v>
      </c>
      <c r="S5330">
        <v>6</v>
      </c>
      <c r="T5330">
        <v>598</v>
      </c>
      <c r="U5330" s="1">
        <v>39310</v>
      </c>
      <c r="V5330" t="s">
        <v>80</v>
      </c>
      <c r="W5330" t="s">
        <v>81</v>
      </c>
      <c r="X5330" t="s">
        <v>58</v>
      </c>
      <c r="Y5330">
        <v>23</v>
      </c>
      <c r="Z5330" t="s">
        <v>59</v>
      </c>
      <c r="AA5330" t="s">
        <v>59</v>
      </c>
      <c r="AB5330" t="s">
        <v>59</v>
      </c>
      <c r="AC5330" t="s">
        <v>59</v>
      </c>
      <c r="AD5330" t="s">
        <v>59</v>
      </c>
      <c r="AF5330" s="1">
        <v>39328</v>
      </c>
      <c r="AG5330" t="s">
        <v>8645</v>
      </c>
      <c r="AH5330" t="s">
        <v>8646</v>
      </c>
      <c r="AI5330" t="str">
        <f>"9170018"</f>
        <v>9170018</v>
      </c>
      <c r="AJ5330" t="s">
        <v>8924</v>
      </c>
      <c r="AK5330">
        <v>2810821217</v>
      </c>
      <c r="AL5330" t="s">
        <v>8925</v>
      </c>
      <c r="AM5330" t="s">
        <v>78</v>
      </c>
      <c r="AN5330" t="s">
        <v>129</v>
      </c>
      <c r="AO5330" t="s">
        <v>130</v>
      </c>
      <c r="AP5330" t="s">
        <v>130</v>
      </c>
      <c r="AQ5330">
        <v>1</v>
      </c>
      <c r="AR5330" t="s">
        <v>80</v>
      </c>
      <c r="AS5330" t="s">
        <v>81</v>
      </c>
      <c r="AT5330" t="s">
        <v>58</v>
      </c>
      <c r="AU5330" t="s">
        <v>68</v>
      </c>
      <c r="AV5330" t="s">
        <v>69</v>
      </c>
      <c r="AW5330" s="1">
        <v>30471</v>
      </c>
      <c r="AX5330">
        <v>1</v>
      </c>
    </row>
    <row r="5331" spans="1:50">
      <c r="A5331">
        <v>556492</v>
      </c>
      <c r="B5331" t="str">
        <f>"070367560"</f>
        <v>070367560</v>
      </c>
      <c r="C5331" t="s">
        <v>50</v>
      </c>
      <c r="D5331" t="s">
        <v>9642</v>
      </c>
      <c r="E5331" t="s">
        <v>191</v>
      </c>
      <c r="F5331" t="s">
        <v>900</v>
      </c>
      <c r="G5331" t="s">
        <v>83</v>
      </c>
      <c r="H5331" t="str">
        <f>" "</f>
        <v xml:space="preserve"> </v>
      </c>
      <c r="N5331" t="s">
        <v>1525</v>
      </c>
      <c r="O5331" t="s">
        <v>1526</v>
      </c>
      <c r="R5331" t="s">
        <v>57</v>
      </c>
      <c r="S5331">
        <v>16</v>
      </c>
      <c r="T5331">
        <v>200</v>
      </c>
      <c r="U5331" s="1">
        <v>31657</v>
      </c>
      <c r="V5331" t="s">
        <v>80</v>
      </c>
      <c r="W5331" t="s">
        <v>81</v>
      </c>
      <c r="X5331" t="s">
        <v>58</v>
      </c>
      <c r="Y5331">
        <v>25</v>
      </c>
      <c r="Z5331" t="s">
        <v>59</v>
      </c>
      <c r="AA5331" t="s">
        <v>59</v>
      </c>
      <c r="AB5331" t="s">
        <v>59</v>
      </c>
      <c r="AC5331" t="s">
        <v>59</v>
      </c>
      <c r="AD5331" t="s">
        <v>59</v>
      </c>
      <c r="AF5331" s="1">
        <v>31663</v>
      </c>
      <c r="AG5331" t="s">
        <v>8651</v>
      </c>
      <c r="AH5331" t="s">
        <v>8652</v>
      </c>
      <c r="AI5331" t="str">
        <f>"9170405"</f>
        <v>9170405</v>
      </c>
      <c r="AJ5331" t="s">
        <v>8948</v>
      </c>
      <c r="AK5331">
        <v>2810323644</v>
      </c>
      <c r="AL5331" t="s">
        <v>8949</v>
      </c>
      <c r="AM5331" t="s">
        <v>78</v>
      </c>
      <c r="AN5331" t="s">
        <v>78</v>
      </c>
      <c r="AO5331" t="s">
        <v>78</v>
      </c>
      <c r="AP5331" t="s">
        <v>213</v>
      </c>
      <c r="AQ5331">
        <v>1</v>
      </c>
      <c r="AR5331" t="s">
        <v>80</v>
      </c>
      <c r="AS5331" t="s">
        <v>81</v>
      </c>
      <c r="AT5331" t="s">
        <v>58</v>
      </c>
      <c r="AU5331" t="s">
        <v>68</v>
      </c>
      <c r="AV5331" t="s">
        <v>69</v>
      </c>
      <c r="AW5331" s="1">
        <v>22975</v>
      </c>
      <c r="AX5331">
        <v>1</v>
      </c>
    </row>
    <row r="5332" spans="1:50">
      <c r="B5332" t="str">
        <f>"143691786"</f>
        <v>143691786</v>
      </c>
      <c r="C5332" t="s">
        <v>50</v>
      </c>
      <c r="D5332" t="s">
        <v>1391</v>
      </c>
      <c r="E5332" t="s">
        <v>809</v>
      </c>
      <c r="F5332" t="s">
        <v>2023</v>
      </c>
      <c r="G5332" t="s">
        <v>237</v>
      </c>
      <c r="H5332" t="str">
        <f>"Μ. ΑΛΕΞΑΝΔΡΟΥ 75 ΙΩΑΝΝΙΝΑ"</f>
        <v>Μ. ΑΛΕΞΑΝΔΡΟΥ 75 ΙΩΑΝΝΙΝΑ</v>
      </c>
      <c r="I5332">
        <v>45333</v>
      </c>
      <c r="J5332">
        <v>2651034033</v>
      </c>
      <c r="K5332">
        <v>6974371225</v>
      </c>
      <c r="M5332" t="s">
        <v>9643</v>
      </c>
      <c r="N5332" t="s">
        <v>615</v>
      </c>
      <c r="O5332" t="s">
        <v>616</v>
      </c>
      <c r="R5332" t="s">
        <v>159</v>
      </c>
      <c r="S5332">
        <v>5</v>
      </c>
      <c r="T5332" t="s">
        <v>8675</v>
      </c>
      <c r="U5332" s="1">
        <v>43348</v>
      </c>
      <c r="V5332" t="s">
        <v>80</v>
      </c>
      <c r="W5332" t="s">
        <v>81</v>
      </c>
      <c r="X5332" t="s">
        <v>58</v>
      </c>
      <c r="Y5332">
        <v>24</v>
      </c>
      <c r="Z5332" t="s">
        <v>59</v>
      </c>
      <c r="AA5332" t="s">
        <v>59</v>
      </c>
      <c r="AB5332" t="s">
        <v>59</v>
      </c>
      <c r="AC5332" t="s">
        <v>59</v>
      </c>
      <c r="AD5332" t="s">
        <v>59</v>
      </c>
      <c r="AF5332" s="1">
        <v>43348</v>
      </c>
      <c r="AG5332" t="s">
        <v>8645</v>
      </c>
      <c r="AH5332" t="s">
        <v>8646</v>
      </c>
      <c r="AI5332" t="str">
        <f>"9170205"</f>
        <v>9170205</v>
      </c>
      <c r="AJ5332" t="s">
        <v>8794</v>
      </c>
      <c r="AK5332">
        <v>2810762030</v>
      </c>
      <c r="AL5332" t="s">
        <v>8795</v>
      </c>
      <c r="AM5332" t="s">
        <v>78</v>
      </c>
      <c r="AN5332" t="s">
        <v>219</v>
      </c>
      <c r="AO5332" t="s">
        <v>297</v>
      </c>
      <c r="AP5332" t="s">
        <v>8796</v>
      </c>
      <c r="AQ5332">
        <v>7</v>
      </c>
      <c r="AR5332" t="s">
        <v>80</v>
      </c>
      <c r="AS5332" t="s">
        <v>81</v>
      </c>
      <c r="AT5332" t="s">
        <v>58</v>
      </c>
      <c r="AU5332" t="s">
        <v>8673</v>
      </c>
      <c r="AV5332" t="s">
        <v>132</v>
      </c>
      <c r="AW5332" s="1">
        <v>31896</v>
      </c>
      <c r="AX5332">
        <v>1</v>
      </c>
    </row>
    <row r="5333" spans="1:50">
      <c r="A5333">
        <v>595133</v>
      </c>
      <c r="B5333" t="str">
        <f>"100070853"</f>
        <v>100070853</v>
      </c>
      <c r="C5333" t="s">
        <v>50</v>
      </c>
      <c r="D5333" t="s">
        <v>1391</v>
      </c>
      <c r="E5333" t="s">
        <v>54</v>
      </c>
      <c r="F5333" t="s">
        <v>154</v>
      </c>
      <c r="G5333" t="s">
        <v>52</v>
      </c>
      <c r="H5333" t="str">
        <f>"Λ.ΚΝΩΣΟΥ 14 ΗΡΑΚΛΕΙΟ"</f>
        <v>Λ.ΚΝΩΣΟΥ 14 ΗΡΑΚΛΕΙΟ</v>
      </c>
      <c r="I5333">
        <v>71306</v>
      </c>
      <c r="J5333">
        <v>2810281206</v>
      </c>
      <c r="K5333">
        <v>6946062128</v>
      </c>
      <c r="M5333" t="s">
        <v>9644</v>
      </c>
      <c r="N5333" t="s">
        <v>615</v>
      </c>
      <c r="O5333" t="s">
        <v>616</v>
      </c>
      <c r="R5333" t="s">
        <v>57</v>
      </c>
      <c r="S5333">
        <v>8</v>
      </c>
      <c r="T5333">
        <v>218</v>
      </c>
      <c r="U5333" s="1">
        <v>37134</v>
      </c>
      <c r="V5333" t="s">
        <v>80</v>
      </c>
      <c r="W5333" t="s">
        <v>81</v>
      </c>
      <c r="X5333" t="s">
        <v>58</v>
      </c>
      <c r="Y5333">
        <v>22</v>
      </c>
      <c r="Z5333" t="s">
        <v>59</v>
      </c>
      <c r="AA5333" t="s">
        <v>59</v>
      </c>
      <c r="AB5333" t="s">
        <v>59</v>
      </c>
      <c r="AC5333" t="s">
        <v>59</v>
      </c>
      <c r="AD5333" t="s">
        <v>59</v>
      </c>
      <c r="AF5333" s="1">
        <v>37138</v>
      </c>
      <c r="AG5333" t="s">
        <v>8645</v>
      </c>
      <c r="AH5333" t="s">
        <v>8646</v>
      </c>
      <c r="AI5333" t="str">
        <f>"9170345"</f>
        <v>9170345</v>
      </c>
      <c r="AJ5333" t="s">
        <v>9429</v>
      </c>
      <c r="AK5333">
        <v>2810289563</v>
      </c>
      <c r="AL5333" t="s">
        <v>9430</v>
      </c>
      <c r="AM5333" t="s">
        <v>78</v>
      </c>
      <c r="AN5333" t="s">
        <v>78</v>
      </c>
      <c r="AO5333" t="s">
        <v>78</v>
      </c>
      <c r="AP5333" t="s">
        <v>79</v>
      </c>
      <c r="AQ5333">
        <v>1</v>
      </c>
      <c r="AR5333" t="s">
        <v>80</v>
      </c>
      <c r="AS5333" t="s">
        <v>81</v>
      </c>
      <c r="AT5333" t="s">
        <v>58</v>
      </c>
      <c r="AU5333" t="s">
        <v>68</v>
      </c>
      <c r="AV5333" t="s">
        <v>69</v>
      </c>
      <c r="AW5333" s="1">
        <v>27793</v>
      </c>
      <c r="AX5333">
        <v>1</v>
      </c>
    </row>
    <row r="5334" spans="1:50">
      <c r="B5334" t="str">
        <f>"146464210"</f>
        <v>146464210</v>
      </c>
      <c r="C5334" t="s">
        <v>50</v>
      </c>
      <c r="D5334" t="s">
        <v>9645</v>
      </c>
      <c r="E5334" t="s">
        <v>9646</v>
      </c>
      <c r="F5334" t="s">
        <v>309</v>
      </c>
      <c r="G5334" t="s">
        <v>109</v>
      </c>
      <c r="H5334" t="str">
        <f>"ΓΛΗΝΟΥ 33 "</f>
        <v xml:space="preserve">ΓΛΗΝΟΥ 33 </v>
      </c>
      <c r="I5334">
        <v>54352</v>
      </c>
      <c r="J5334">
        <v>2310906871</v>
      </c>
      <c r="K5334">
        <v>6955460370</v>
      </c>
      <c r="N5334" t="s">
        <v>8694</v>
      </c>
      <c r="O5334" t="s">
        <v>8695</v>
      </c>
      <c r="R5334" t="s">
        <v>159</v>
      </c>
      <c r="S5334">
        <v>3</v>
      </c>
      <c r="T5334" t="s">
        <v>8696</v>
      </c>
      <c r="U5334" s="1">
        <v>43348</v>
      </c>
      <c r="V5334" t="s">
        <v>80</v>
      </c>
      <c r="W5334" t="s">
        <v>81</v>
      </c>
      <c r="X5334" t="s">
        <v>58</v>
      </c>
      <c r="Y5334">
        <v>24</v>
      </c>
      <c r="Z5334" t="s">
        <v>59</v>
      </c>
      <c r="AA5334" t="s">
        <v>59</v>
      </c>
      <c r="AB5334" t="s">
        <v>59</v>
      </c>
      <c r="AC5334" t="s">
        <v>59</v>
      </c>
      <c r="AD5334" t="s">
        <v>59</v>
      </c>
      <c r="AF5334" s="1">
        <v>43348</v>
      </c>
      <c r="AG5334" t="s">
        <v>8645</v>
      </c>
      <c r="AH5334" t="s">
        <v>8697</v>
      </c>
      <c r="AI5334" t="str">
        <f>"9170358"</f>
        <v>9170358</v>
      </c>
      <c r="AJ5334" t="s">
        <v>9378</v>
      </c>
      <c r="AK5334">
        <v>2810282028</v>
      </c>
      <c r="AL5334" t="s">
        <v>9379</v>
      </c>
      <c r="AM5334" t="s">
        <v>78</v>
      </c>
      <c r="AN5334" t="s">
        <v>78</v>
      </c>
      <c r="AO5334" t="s">
        <v>78</v>
      </c>
      <c r="AP5334" t="s">
        <v>141</v>
      </c>
      <c r="AQ5334">
        <v>1</v>
      </c>
      <c r="AR5334" t="s">
        <v>80</v>
      </c>
      <c r="AS5334" t="s">
        <v>81</v>
      </c>
      <c r="AT5334" t="s">
        <v>58</v>
      </c>
      <c r="AU5334" t="s">
        <v>350</v>
      </c>
      <c r="AV5334" t="s">
        <v>132</v>
      </c>
      <c r="AW5334" s="1">
        <v>32123</v>
      </c>
      <c r="AX5334">
        <v>1</v>
      </c>
    </row>
    <row r="5335" spans="1:50">
      <c r="B5335" t="str">
        <f>"133846314"</f>
        <v>133846314</v>
      </c>
      <c r="C5335" t="s">
        <v>50</v>
      </c>
      <c r="D5335" t="s">
        <v>9647</v>
      </c>
      <c r="E5335" t="s">
        <v>9648</v>
      </c>
      <c r="F5335" t="s">
        <v>564</v>
      </c>
      <c r="G5335" t="s">
        <v>181</v>
      </c>
      <c r="H5335" t="str">
        <f>"ΚΛΕΙΔΙ ΗΜΑΘΙΑΣ "</f>
        <v xml:space="preserve">ΚΛΕΙΔΙ ΗΜΑΘΙΑΣ </v>
      </c>
      <c r="I5335">
        <v>59032</v>
      </c>
      <c r="J5335">
        <v>2333071723</v>
      </c>
      <c r="K5335">
        <v>6986745099</v>
      </c>
      <c r="N5335" t="s">
        <v>615</v>
      </c>
      <c r="O5335" t="s">
        <v>616</v>
      </c>
      <c r="R5335" t="s">
        <v>159</v>
      </c>
      <c r="S5335">
        <v>5</v>
      </c>
      <c r="T5335" t="s">
        <v>8675</v>
      </c>
      <c r="U5335" s="1">
        <v>43348</v>
      </c>
      <c r="V5335" t="s">
        <v>80</v>
      </c>
      <c r="W5335" t="s">
        <v>81</v>
      </c>
      <c r="X5335" t="s">
        <v>58</v>
      </c>
      <c r="Y5335">
        <v>24</v>
      </c>
      <c r="Z5335" t="s">
        <v>59</v>
      </c>
      <c r="AA5335" t="s">
        <v>59</v>
      </c>
      <c r="AB5335" t="s">
        <v>59</v>
      </c>
      <c r="AC5335" t="s">
        <v>59</v>
      </c>
      <c r="AD5335" t="s">
        <v>59</v>
      </c>
      <c r="AF5335" s="1">
        <v>43348</v>
      </c>
      <c r="AG5335" t="s">
        <v>8645</v>
      </c>
      <c r="AH5335" t="s">
        <v>8646</v>
      </c>
      <c r="AI5335" t="str">
        <f>"9170002"</f>
        <v>9170002</v>
      </c>
      <c r="AJ5335" t="s">
        <v>9368</v>
      </c>
      <c r="AK5335">
        <v>2894041207</v>
      </c>
      <c r="AL5335" t="s">
        <v>9369</v>
      </c>
      <c r="AM5335" t="s">
        <v>78</v>
      </c>
      <c r="AN5335" t="s">
        <v>405</v>
      </c>
      <c r="AO5335" t="s">
        <v>551</v>
      </c>
      <c r="AP5335" t="s">
        <v>552</v>
      </c>
      <c r="AQ5335">
        <v>21</v>
      </c>
      <c r="AR5335" t="s">
        <v>80</v>
      </c>
      <c r="AS5335" t="s">
        <v>81</v>
      </c>
      <c r="AT5335" t="s">
        <v>58</v>
      </c>
      <c r="AU5335" t="s">
        <v>8673</v>
      </c>
      <c r="AV5335" t="s">
        <v>132</v>
      </c>
      <c r="AW5335" s="1">
        <v>31787</v>
      </c>
      <c r="AX5335">
        <v>1</v>
      </c>
    </row>
    <row r="5336" spans="1:50">
      <c r="A5336">
        <v>703319</v>
      </c>
      <c r="B5336" t="str">
        <f>"120996131"</f>
        <v>120996131</v>
      </c>
      <c r="C5336" t="s">
        <v>50</v>
      </c>
      <c r="D5336" t="s">
        <v>9649</v>
      </c>
      <c r="E5336" t="s">
        <v>237</v>
      </c>
      <c r="F5336" t="s">
        <v>315</v>
      </c>
      <c r="G5336" t="s">
        <v>396</v>
      </c>
      <c r="H5336" t="str">
        <f>"ΑΔΡΙΑΝΟΥΠΟΛΕΩΣ 18 ΑΘΗΝΑ"</f>
        <v>ΑΔΡΙΑΝΟΥΠΟΛΕΩΣ 18 ΑΘΗΝΑ</v>
      </c>
      <c r="I5336">
        <v>17237</v>
      </c>
      <c r="J5336">
        <v>2109968672</v>
      </c>
      <c r="K5336">
        <v>6946327592</v>
      </c>
      <c r="N5336" t="s">
        <v>306</v>
      </c>
      <c r="O5336" t="s">
        <v>307</v>
      </c>
      <c r="R5336" t="s">
        <v>57</v>
      </c>
      <c r="S5336">
        <v>4</v>
      </c>
      <c r="T5336">
        <v>588</v>
      </c>
      <c r="U5336" s="1">
        <v>40778</v>
      </c>
      <c r="V5336" t="s">
        <v>80</v>
      </c>
      <c r="W5336" t="s">
        <v>81</v>
      </c>
      <c r="X5336" t="s">
        <v>58</v>
      </c>
      <c r="Y5336">
        <v>24</v>
      </c>
      <c r="Z5336" t="s">
        <v>59</v>
      </c>
      <c r="AA5336" t="s">
        <v>59</v>
      </c>
      <c r="AB5336" t="s">
        <v>59</v>
      </c>
      <c r="AC5336" t="s">
        <v>59</v>
      </c>
      <c r="AD5336" t="s">
        <v>59</v>
      </c>
      <c r="AF5336" s="1">
        <v>40781</v>
      </c>
      <c r="AG5336" t="s">
        <v>8645</v>
      </c>
      <c r="AH5336" t="s">
        <v>8646</v>
      </c>
      <c r="AI5336" t="str">
        <f>"9170495"</f>
        <v>9170495</v>
      </c>
      <c r="AJ5336" t="s">
        <v>8838</v>
      </c>
      <c r="AK5336">
        <v>2892023325</v>
      </c>
      <c r="AL5336" t="s">
        <v>8839</v>
      </c>
      <c r="AM5336" t="s">
        <v>78</v>
      </c>
      <c r="AN5336" t="s">
        <v>242</v>
      </c>
      <c r="AO5336" t="s">
        <v>243</v>
      </c>
      <c r="AP5336" t="s">
        <v>243</v>
      </c>
      <c r="AQ5336">
        <v>20</v>
      </c>
      <c r="AR5336" t="s">
        <v>80</v>
      </c>
      <c r="AS5336" t="s">
        <v>81</v>
      </c>
      <c r="AT5336" t="s">
        <v>58</v>
      </c>
      <c r="AU5336" t="s">
        <v>68</v>
      </c>
      <c r="AV5336" t="s">
        <v>69</v>
      </c>
      <c r="AW5336" s="1">
        <v>29515</v>
      </c>
      <c r="AX5336">
        <v>1</v>
      </c>
    </row>
    <row r="5337" spans="1:50">
      <c r="A5337">
        <v>618327</v>
      </c>
      <c r="B5337" t="str">
        <f>"138958859"</f>
        <v>138958859</v>
      </c>
      <c r="C5337" t="s">
        <v>50</v>
      </c>
      <c r="D5337" t="s">
        <v>9650</v>
      </c>
      <c r="E5337" t="s">
        <v>1932</v>
      </c>
      <c r="F5337" t="s">
        <v>95</v>
      </c>
      <c r="G5337" t="s">
        <v>52</v>
      </c>
      <c r="H5337" t="str">
        <f>"ΞΗΡΟΥΔΑΚΗ 18 ΗΡΑΚΛΕΙΟ"</f>
        <v>ΞΗΡΟΥΔΑΚΗ 18 ΗΡΑΚΛΕΙΟ</v>
      </c>
      <c r="I5337">
        <v>71409</v>
      </c>
      <c r="J5337">
        <v>2810321527</v>
      </c>
      <c r="K5337">
        <v>6973336996</v>
      </c>
      <c r="M5337" t="s">
        <v>9651</v>
      </c>
      <c r="N5337" t="s">
        <v>615</v>
      </c>
      <c r="O5337" t="s">
        <v>616</v>
      </c>
      <c r="R5337" t="s">
        <v>57</v>
      </c>
      <c r="S5337">
        <v>5</v>
      </c>
      <c r="T5337">
        <v>774</v>
      </c>
      <c r="U5337" s="1">
        <v>39680</v>
      </c>
      <c r="V5337" t="s">
        <v>80</v>
      </c>
      <c r="W5337" t="s">
        <v>81</v>
      </c>
      <c r="X5337" t="s">
        <v>58</v>
      </c>
      <c r="Y5337">
        <v>23</v>
      </c>
      <c r="Z5337" t="s">
        <v>59</v>
      </c>
      <c r="AA5337" t="s">
        <v>59</v>
      </c>
      <c r="AB5337" t="s">
        <v>59</v>
      </c>
      <c r="AC5337" t="s">
        <v>59</v>
      </c>
      <c r="AD5337" t="s">
        <v>59</v>
      </c>
      <c r="AF5337" s="1">
        <v>39681</v>
      </c>
      <c r="AG5337" t="s">
        <v>8645</v>
      </c>
      <c r="AH5337" t="s">
        <v>8646</v>
      </c>
      <c r="AI5337" t="str">
        <f>"9170194"</f>
        <v>9170194</v>
      </c>
      <c r="AJ5337" t="s">
        <v>8768</v>
      </c>
      <c r="AK5337">
        <v>2810239611</v>
      </c>
      <c r="AL5337" t="s">
        <v>8769</v>
      </c>
      <c r="AM5337" t="s">
        <v>78</v>
      </c>
      <c r="AN5337" t="s">
        <v>78</v>
      </c>
      <c r="AO5337" t="s">
        <v>78</v>
      </c>
      <c r="AP5337" t="s">
        <v>213</v>
      </c>
      <c r="AQ5337">
        <v>1</v>
      </c>
      <c r="AR5337" t="s">
        <v>80</v>
      </c>
      <c r="AS5337" t="s">
        <v>81</v>
      </c>
      <c r="AT5337" t="s">
        <v>58</v>
      </c>
      <c r="AU5337" t="s">
        <v>68</v>
      </c>
      <c r="AV5337" t="s">
        <v>69</v>
      </c>
      <c r="AW5337" s="1">
        <v>31029</v>
      </c>
      <c r="AX5337">
        <v>1</v>
      </c>
    </row>
    <row r="5338" spans="1:50">
      <c r="B5338" t="str">
        <f>"143698081"</f>
        <v>143698081</v>
      </c>
      <c r="C5338" t="s">
        <v>105</v>
      </c>
      <c r="D5338" t="s">
        <v>9652</v>
      </c>
      <c r="E5338" t="s">
        <v>99</v>
      </c>
      <c r="F5338" t="s">
        <v>95</v>
      </c>
      <c r="G5338" t="s">
        <v>52</v>
      </c>
      <c r="H5338" t="str">
        <f>"ΞΥΡΟΥΔΑΚΗ 18 "</f>
        <v xml:space="preserve">ΞΥΡΟΥΔΑΚΗ 18 </v>
      </c>
      <c r="I5338">
        <v>71409</v>
      </c>
      <c r="J5338">
        <v>2810321527</v>
      </c>
      <c r="K5338">
        <v>6970806749</v>
      </c>
      <c r="N5338" t="s">
        <v>615</v>
      </c>
      <c r="O5338" t="s">
        <v>616</v>
      </c>
      <c r="R5338" t="s">
        <v>159</v>
      </c>
      <c r="S5338">
        <v>3</v>
      </c>
      <c r="T5338" t="s">
        <v>8675</v>
      </c>
      <c r="U5338" s="1">
        <v>43348</v>
      </c>
      <c r="V5338" t="s">
        <v>80</v>
      </c>
      <c r="W5338" t="s">
        <v>81</v>
      </c>
      <c r="X5338" t="s">
        <v>58</v>
      </c>
      <c r="Y5338">
        <v>24</v>
      </c>
      <c r="Z5338" t="s">
        <v>59</v>
      </c>
      <c r="AA5338" t="s">
        <v>59</v>
      </c>
      <c r="AB5338" t="s">
        <v>59</v>
      </c>
      <c r="AC5338" t="s">
        <v>59</v>
      </c>
      <c r="AD5338" t="s">
        <v>59</v>
      </c>
      <c r="AF5338" s="1">
        <v>43348</v>
      </c>
      <c r="AG5338" t="s">
        <v>8645</v>
      </c>
      <c r="AH5338" t="s">
        <v>8646</v>
      </c>
      <c r="AI5338" t="str">
        <f>"9170263"</f>
        <v>9170263</v>
      </c>
      <c r="AJ5338" t="s">
        <v>8942</v>
      </c>
      <c r="AK5338">
        <v>2810346939</v>
      </c>
      <c r="AL5338" t="s">
        <v>8943</v>
      </c>
      <c r="AM5338" t="s">
        <v>78</v>
      </c>
      <c r="AN5338" t="s">
        <v>78</v>
      </c>
      <c r="AO5338" t="s">
        <v>286</v>
      </c>
      <c r="AP5338" t="s">
        <v>286</v>
      </c>
      <c r="AQ5338">
        <v>1</v>
      </c>
      <c r="AR5338" t="s">
        <v>80</v>
      </c>
      <c r="AS5338" t="s">
        <v>81</v>
      </c>
      <c r="AT5338" t="s">
        <v>58</v>
      </c>
      <c r="AU5338" t="s">
        <v>8673</v>
      </c>
      <c r="AV5338" t="s">
        <v>132</v>
      </c>
      <c r="AW5338" s="1">
        <v>32509</v>
      </c>
      <c r="AX5338">
        <v>1</v>
      </c>
    </row>
    <row r="5339" spans="1:50">
      <c r="A5339">
        <v>580479</v>
      </c>
      <c r="B5339" t="str">
        <f>"046849989"</f>
        <v>046849989</v>
      </c>
      <c r="C5339" t="s">
        <v>105</v>
      </c>
      <c r="D5339" t="s">
        <v>9653</v>
      </c>
      <c r="E5339" t="s">
        <v>84</v>
      </c>
      <c r="F5339" t="s">
        <v>84</v>
      </c>
      <c r="G5339" t="s">
        <v>52</v>
      </c>
      <c r="H5339" t="str">
        <f>"Θειακάκη 2  Ηρακλειο"</f>
        <v>Θειακάκη 2  Ηρακλειο</v>
      </c>
      <c r="I5339">
        <v>71202</v>
      </c>
      <c r="K5339">
        <v>6975125555</v>
      </c>
      <c r="L5339">
        <v>19803398120</v>
      </c>
      <c r="M5339" t="s">
        <v>9654</v>
      </c>
      <c r="N5339" t="s">
        <v>337</v>
      </c>
      <c r="O5339" t="s">
        <v>338</v>
      </c>
      <c r="R5339" t="s">
        <v>57</v>
      </c>
      <c r="S5339">
        <v>11</v>
      </c>
      <c r="T5339">
        <v>65</v>
      </c>
      <c r="U5339" s="1">
        <v>35146</v>
      </c>
      <c r="V5339" t="s">
        <v>80</v>
      </c>
      <c r="W5339" t="s">
        <v>81</v>
      </c>
      <c r="X5339" t="s">
        <v>58</v>
      </c>
      <c r="Y5339">
        <v>21</v>
      </c>
      <c r="Z5339" t="s">
        <v>59</v>
      </c>
      <c r="AA5339" t="s">
        <v>59</v>
      </c>
      <c r="AB5339" t="s">
        <v>59</v>
      </c>
      <c r="AC5339" t="s">
        <v>59</v>
      </c>
      <c r="AD5339" t="s">
        <v>59</v>
      </c>
      <c r="AF5339" s="1">
        <v>35160</v>
      </c>
      <c r="AG5339" t="s">
        <v>8645</v>
      </c>
      <c r="AH5339" t="s">
        <v>8646</v>
      </c>
      <c r="AI5339" t="str">
        <f>"9170107"</f>
        <v>9170107</v>
      </c>
      <c r="AJ5339" t="s">
        <v>8798</v>
      </c>
      <c r="AK5339">
        <v>2810282405</v>
      </c>
      <c r="AL5339" t="s">
        <v>8799</v>
      </c>
      <c r="AM5339" t="s">
        <v>78</v>
      </c>
      <c r="AN5339" t="s">
        <v>78</v>
      </c>
      <c r="AO5339" t="s">
        <v>78</v>
      </c>
      <c r="AP5339" t="s">
        <v>79</v>
      </c>
      <c r="AQ5339">
        <v>1</v>
      </c>
      <c r="AR5339" t="s">
        <v>80</v>
      </c>
      <c r="AS5339" t="s">
        <v>81</v>
      </c>
      <c r="AT5339" t="s">
        <v>58</v>
      </c>
      <c r="AU5339" t="s">
        <v>68</v>
      </c>
      <c r="AV5339" t="s">
        <v>69</v>
      </c>
      <c r="AW5339" s="1">
        <v>26041</v>
      </c>
      <c r="AX5339">
        <v>1</v>
      </c>
    </row>
    <row r="5340" spans="1:50">
      <c r="A5340">
        <v>598253</v>
      </c>
      <c r="B5340" t="str">
        <f>"054838834"</f>
        <v>054838834</v>
      </c>
      <c r="C5340" t="s">
        <v>105</v>
      </c>
      <c r="D5340" t="s">
        <v>9653</v>
      </c>
      <c r="E5340" t="s">
        <v>166</v>
      </c>
      <c r="F5340" t="s">
        <v>9655</v>
      </c>
      <c r="G5340" t="s">
        <v>54</v>
      </c>
      <c r="H5340" t="str">
        <f>"ΕΛΕΘΕΡΙΟΥ ΒΕΝΙΖΕΛΟΥ 155 ΓΑΖΙ ΗΡΑΚΛΕΙΟΥ"</f>
        <v>ΕΛΕΘΕΡΙΟΥ ΒΕΝΙΖΕΛΟΥ 155 ΓΑΖΙ ΗΡΑΚΛΕΙΟΥ</v>
      </c>
      <c r="I5340">
        <v>71414</v>
      </c>
      <c r="J5340">
        <v>2810823543</v>
      </c>
      <c r="K5340">
        <v>6972305820</v>
      </c>
      <c r="N5340" t="s">
        <v>615</v>
      </c>
      <c r="O5340" t="s">
        <v>616</v>
      </c>
      <c r="R5340" t="s">
        <v>57</v>
      </c>
      <c r="S5340">
        <v>9</v>
      </c>
      <c r="T5340">
        <v>195</v>
      </c>
      <c r="U5340" s="1">
        <v>37497</v>
      </c>
      <c r="V5340" t="s">
        <v>80</v>
      </c>
      <c r="W5340" t="s">
        <v>81</v>
      </c>
      <c r="X5340" t="s">
        <v>58</v>
      </c>
      <c r="Y5340">
        <v>22</v>
      </c>
      <c r="Z5340" t="s">
        <v>59</v>
      </c>
      <c r="AA5340" t="s">
        <v>59</v>
      </c>
      <c r="AB5340" t="s">
        <v>59</v>
      </c>
      <c r="AC5340" t="s">
        <v>59</v>
      </c>
      <c r="AD5340" t="s">
        <v>59</v>
      </c>
      <c r="AF5340" s="1">
        <v>37501</v>
      </c>
      <c r="AG5340" t="s">
        <v>8645</v>
      </c>
      <c r="AH5340" t="s">
        <v>8646</v>
      </c>
      <c r="AI5340" t="str">
        <f>"9170034"</f>
        <v>9170034</v>
      </c>
      <c r="AJ5340" t="s">
        <v>9179</v>
      </c>
      <c r="AK5340">
        <v>2810841217</v>
      </c>
      <c r="AL5340" t="s">
        <v>9180</v>
      </c>
      <c r="AM5340" t="s">
        <v>78</v>
      </c>
      <c r="AN5340" t="s">
        <v>129</v>
      </c>
      <c r="AO5340" t="s">
        <v>130</v>
      </c>
      <c r="AP5340" t="s">
        <v>9181</v>
      </c>
      <c r="AQ5340">
        <v>2</v>
      </c>
      <c r="AR5340" t="s">
        <v>80</v>
      </c>
      <c r="AS5340" t="s">
        <v>81</v>
      </c>
      <c r="AT5340" t="s">
        <v>58</v>
      </c>
      <c r="AU5340" t="s">
        <v>68</v>
      </c>
      <c r="AV5340" t="s">
        <v>69</v>
      </c>
      <c r="AW5340" s="1">
        <v>24150</v>
      </c>
      <c r="AX5340">
        <v>1</v>
      </c>
    </row>
    <row r="5341" spans="1:50">
      <c r="B5341" t="str">
        <f>"074561008"</f>
        <v>074561008</v>
      </c>
      <c r="C5341" t="s">
        <v>50</v>
      </c>
      <c r="D5341" t="s">
        <v>9656</v>
      </c>
      <c r="E5341" t="s">
        <v>9342</v>
      </c>
      <c r="F5341" t="s">
        <v>95</v>
      </c>
      <c r="G5341" t="s">
        <v>52</v>
      </c>
      <c r="H5341" t="str">
        <f>"ΑΠ ΠΑΥΛΟΥ 1 "</f>
        <v xml:space="preserve">ΑΠ ΠΑΥΛΟΥ 1 </v>
      </c>
      <c r="I5341">
        <v>71201</v>
      </c>
      <c r="J5341">
        <v>2810288221</v>
      </c>
      <c r="K5341">
        <v>6945793590</v>
      </c>
      <c r="N5341" t="s">
        <v>306</v>
      </c>
      <c r="O5341" t="s">
        <v>307</v>
      </c>
      <c r="R5341" t="s">
        <v>159</v>
      </c>
      <c r="S5341">
        <v>3</v>
      </c>
      <c r="T5341" t="s">
        <v>9034</v>
      </c>
      <c r="U5341" s="1">
        <v>43377</v>
      </c>
      <c r="V5341" t="s">
        <v>80</v>
      </c>
      <c r="W5341" t="s">
        <v>81</v>
      </c>
      <c r="X5341" t="s">
        <v>58</v>
      </c>
      <c r="Y5341">
        <v>24</v>
      </c>
      <c r="Z5341" t="s">
        <v>59</v>
      </c>
      <c r="AA5341" t="s">
        <v>59</v>
      </c>
      <c r="AB5341" t="s">
        <v>59</v>
      </c>
      <c r="AC5341" t="s">
        <v>59</v>
      </c>
      <c r="AD5341" t="s">
        <v>59</v>
      </c>
      <c r="AF5341" s="1">
        <v>43377</v>
      </c>
      <c r="AI5341" t="str">
        <f>""</f>
        <v/>
      </c>
      <c r="AS5341" t="s">
        <v>81</v>
      </c>
      <c r="AT5341" t="s">
        <v>58</v>
      </c>
      <c r="AU5341" t="s">
        <v>8673</v>
      </c>
      <c r="AW5341" s="1">
        <v>28716</v>
      </c>
      <c r="AX5341">
        <v>1</v>
      </c>
    </row>
    <row r="5342" spans="1:50">
      <c r="A5342">
        <v>576551</v>
      </c>
      <c r="B5342" t="str">
        <f>"039214539"</f>
        <v>039214539</v>
      </c>
      <c r="C5342" t="s">
        <v>50</v>
      </c>
      <c r="D5342" t="s">
        <v>9656</v>
      </c>
      <c r="E5342" t="s">
        <v>2854</v>
      </c>
      <c r="F5342" t="s">
        <v>166</v>
      </c>
      <c r="G5342" t="s">
        <v>237</v>
      </c>
      <c r="H5342" t="str">
        <f>" "</f>
        <v xml:space="preserve"> </v>
      </c>
      <c r="K5342">
        <v>6985997479</v>
      </c>
      <c r="N5342" t="s">
        <v>176</v>
      </c>
      <c r="O5342" t="s">
        <v>177</v>
      </c>
      <c r="R5342" t="s">
        <v>57</v>
      </c>
      <c r="S5342">
        <v>17</v>
      </c>
      <c r="T5342">
        <v>184</v>
      </c>
      <c r="U5342" s="1">
        <v>34941</v>
      </c>
      <c r="V5342" t="s">
        <v>80</v>
      </c>
      <c r="W5342" t="s">
        <v>81</v>
      </c>
      <c r="X5342" t="s">
        <v>58</v>
      </c>
      <c r="Y5342">
        <v>21</v>
      </c>
      <c r="Z5342" t="s">
        <v>59</v>
      </c>
      <c r="AA5342" t="s">
        <v>59</v>
      </c>
      <c r="AB5342" t="s">
        <v>59</v>
      </c>
      <c r="AC5342" t="s">
        <v>59</v>
      </c>
      <c r="AD5342" t="s">
        <v>59</v>
      </c>
      <c r="AF5342" s="1">
        <v>34943</v>
      </c>
      <c r="AG5342" t="s">
        <v>8645</v>
      </c>
      <c r="AH5342" t="s">
        <v>8646</v>
      </c>
      <c r="AI5342" t="str">
        <f>"9170259"</f>
        <v>9170259</v>
      </c>
      <c r="AJ5342" t="s">
        <v>8784</v>
      </c>
      <c r="AK5342">
        <v>6994891960</v>
      </c>
      <c r="AL5342" t="s">
        <v>8785</v>
      </c>
      <c r="AM5342" t="s">
        <v>78</v>
      </c>
      <c r="AN5342" t="s">
        <v>78</v>
      </c>
      <c r="AO5342" t="s">
        <v>78</v>
      </c>
      <c r="AP5342" t="s">
        <v>213</v>
      </c>
      <c r="AQ5342">
        <v>1</v>
      </c>
      <c r="AR5342" t="s">
        <v>80</v>
      </c>
      <c r="AS5342" t="s">
        <v>81</v>
      </c>
      <c r="AT5342" t="s">
        <v>58</v>
      </c>
      <c r="AU5342" t="s">
        <v>68</v>
      </c>
      <c r="AV5342" t="s">
        <v>69</v>
      </c>
      <c r="AW5342" s="1">
        <v>23614</v>
      </c>
      <c r="AX5342">
        <v>1</v>
      </c>
    </row>
    <row r="5343" spans="1:50">
      <c r="B5343" t="str">
        <f>"146244802"</f>
        <v>146244802</v>
      </c>
      <c r="C5343" t="s">
        <v>50</v>
      </c>
      <c r="D5343" t="s">
        <v>9656</v>
      </c>
      <c r="E5343" t="s">
        <v>52</v>
      </c>
      <c r="F5343" t="s">
        <v>95</v>
      </c>
      <c r="G5343" t="s">
        <v>237</v>
      </c>
      <c r="H5343" t="str">
        <f>" "</f>
        <v xml:space="preserve"> </v>
      </c>
      <c r="N5343" t="s">
        <v>8834</v>
      </c>
      <c r="O5343" t="s">
        <v>8695</v>
      </c>
      <c r="R5343" t="s">
        <v>159</v>
      </c>
      <c r="S5343">
        <v>3</v>
      </c>
      <c r="T5343" t="s">
        <v>8835</v>
      </c>
      <c r="U5343" s="1">
        <v>43348</v>
      </c>
      <c r="V5343" t="s">
        <v>80</v>
      </c>
      <c r="W5343" t="s">
        <v>81</v>
      </c>
      <c r="X5343" t="s">
        <v>58</v>
      </c>
      <c r="Y5343">
        <v>24</v>
      </c>
      <c r="Z5343" t="s">
        <v>59</v>
      </c>
      <c r="AA5343" t="s">
        <v>59</v>
      </c>
      <c r="AB5343" t="s">
        <v>59</v>
      </c>
      <c r="AD5343" t="s">
        <v>59</v>
      </c>
      <c r="AF5343" s="1">
        <v>43348</v>
      </c>
      <c r="AG5343" t="s">
        <v>8645</v>
      </c>
      <c r="AH5343" t="s">
        <v>8646</v>
      </c>
      <c r="AI5343" t="str">
        <f>"9170018"</f>
        <v>9170018</v>
      </c>
      <c r="AJ5343" t="s">
        <v>8924</v>
      </c>
      <c r="AK5343">
        <v>2810821217</v>
      </c>
      <c r="AL5343" t="s">
        <v>8925</v>
      </c>
      <c r="AM5343" t="s">
        <v>78</v>
      </c>
      <c r="AN5343" t="s">
        <v>129</v>
      </c>
      <c r="AO5343" t="s">
        <v>130</v>
      </c>
      <c r="AP5343" t="s">
        <v>130</v>
      </c>
      <c r="AQ5343">
        <v>1</v>
      </c>
      <c r="AR5343" t="s">
        <v>80</v>
      </c>
      <c r="AS5343" t="s">
        <v>81</v>
      </c>
      <c r="AT5343" t="s">
        <v>58</v>
      </c>
      <c r="AU5343" t="s">
        <v>131</v>
      </c>
      <c r="AV5343" t="s">
        <v>132</v>
      </c>
      <c r="AW5343" s="1">
        <v>33269</v>
      </c>
      <c r="AX5343">
        <v>1</v>
      </c>
    </row>
    <row r="5344" spans="1:50">
      <c r="B5344" t="str">
        <f>"138963199"</f>
        <v>138963199</v>
      </c>
      <c r="C5344" t="s">
        <v>50</v>
      </c>
      <c r="D5344" t="s">
        <v>9657</v>
      </c>
      <c r="E5344" t="s">
        <v>250</v>
      </c>
      <c r="F5344" t="s">
        <v>72</v>
      </c>
      <c r="G5344" t="s">
        <v>658</v>
      </c>
      <c r="H5344" t="str">
        <f>"ΠΑΠΑΝΑΣΤΑΣΙΟΥ 35 "</f>
        <v xml:space="preserve">ΠΑΠΑΝΑΣΤΑΣΙΟΥ 35 </v>
      </c>
      <c r="I5344">
        <v>71306</v>
      </c>
      <c r="J5344">
        <v>2810238423</v>
      </c>
      <c r="K5344">
        <v>6976463002</v>
      </c>
      <c r="M5344" t="s">
        <v>9658</v>
      </c>
      <c r="N5344" t="s">
        <v>8694</v>
      </c>
      <c r="O5344" t="s">
        <v>8695</v>
      </c>
      <c r="R5344" t="s">
        <v>159</v>
      </c>
      <c r="S5344">
        <v>4</v>
      </c>
      <c r="T5344" t="s">
        <v>8696</v>
      </c>
      <c r="U5344" s="1">
        <v>43348</v>
      </c>
      <c r="V5344" t="s">
        <v>80</v>
      </c>
      <c r="W5344" t="s">
        <v>81</v>
      </c>
      <c r="X5344" t="s">
        <v>58</v>
      </c>
      <c r="Y5344">
        <v>24</v>
      </c>
      <c r="Z5344" t="s">
        <v>59</v>
      </c>
      <c r="AA5344" t="s">
        <v>59</v>
      </c>
      <c r="AB5344" t="s">
        <v>59</v>
      </c>
      <c r="AC5344" t="s">
        <v>59</v>
      </c>
      <c r="AD5344" t="s">
        <v>59</v>
      </c>
      <c r="AF5344" s="1">
        <v>43348</v>
      </c>
      <c r="AG5344" t="s">
        <v>8645</v>
      </c>
      <c r="AH5344" t="s">
        <v>8697</v>
      </c>
      <c r="AI5344" t="str">
        <f>"9170358"</f>
        <v>9170358</v>
      </c>
      <c r="AJ5344" t="s">
        <v>9378</v>
      </c>
      <c r="AK5344">
        <v>2810282028</v>
      </c>
      <c r="AL5344" t="s">
        <v>9379</v>
      </c>
      <c r="AM5344" t="s">
        <v>78</v>
      </c>
      <c r="AN5344" t="s">
        <v>78</v>
      </c>
      <c r="AO5344" t="s">
        <v>78</v>
      </c>
      <c r="AP5344" t="s">
        <v>141</v>
      </c>
      <c r="AQ5344">
        <v>1</v>
      </c>
      <c r="AR5344" t="s">
        <v>80</v>
      </c>
      <c r="AS5344" t="s">
        <v>81</v>
      </c>
      <c r="AT5344" t="s">
        <v>58</v>
      </c>
      <c r="AU5344" t="s">
        <v>350</v>
      </c>
      <c r="AV5344" t="s">
        <v>132</v>
      </c>
      <c r="AW5344" s="1">
        <v>31612</v>
      </c>
      <c r="AX5344">
        <v>1</v>
      </c>
    </row>
    <row r="5345" spans="1:50">
      <c r="A5345">
        <v>581916</v>
      </c>
      <c r="B5345" t="str">
        <f>"031479664"</f>
        <v>031479664</v>
      </c>
      <c r="C5345" t="s">
        <v>105</v>
      </c>
      <c r="D5345" t="s">
        <v>9659</v>
      </c>
      <c r="E5345" t="s">
        <v>95</v>
      </c>
      <c r="F5345" t="s">
        <v>154</v>
      </c>
      <c r="G5345" t="s">
        <v>112</v>
      </c>
      <c r="H5345" t="str">
        <f>"Αλίκης Βουγιουκλάκη  8  "</f>
        <v xml:space="preserve">Αλίκης Βουγιουκλάκη  8  </v>
      </c>
      <c r="I5345">
        <v>71409</v>
      </c>
      <c r="J5345">
        <v>2810210284</v>
      </c>
      <c r="K5345">
        <v>6976633375</v>
      </c>
      <c r="M5345" t="s">
        <v>9660</v>
      </c>
      <c r="N5345" t="s">
        <v>615</v>
      </c>
      <c r="O5345" t="s">
        <v>616</v>
      </c>
      <c r="R5345" t="s">
        <v>57</v>
      </c>
      <c r="S5345">
        <v>15</v>
      </c>
      <c r="T5345">
        <v>179</v>
      </c>
      <c r="U5345" s="1">
        <v>35674</v>
      </c>
      <c r="V5345" t="s">
        <v>80</v>
      </c>
      <c r="W5345" t="s">
        <v>81</v>
      </c>
      <c r="X5345" t="s">
        <v>58</v>
      </c>
      <c r="Y5345">
        <v>21</v>
      </c>
      <c r="Z5345" t="s">
        <v>59</v>
      </c>
      <c r="AA5345" t="s">
        <v>59</v>
      </c>
      <c r="AB5345" t="s">
        <v>59</v>
      </c>
      <c r="AC5345" t="s">
        <v>59</v>
      </c>
      <c r="AD5345" t="s">
        <v>59</v>
      </c>
      <c r="AF5345" s="1">
        <v>35675</v>
      </c>
      <c r="AG5345" t="s">
        <v>8645</v>
      </c>
      <c r="AH5345" t="s">
        <v>8646</v>
      </c>
      <c r="AI5345" t="str">
        <f>"9170263"</f>
        <v>9170263</v>
      </c>
      <c r="AJ5345" t="s">
        <v>8942</v>
      </c>
      <c r="AK5345">
        <v>2810346939</v>
      </c>
      <c r="AL5345" t="s">
        <v>8943</v>
      </c>
      <c r="AM5345" t="s">
        <v>78</v>
      </c>
      <c r="AN5345" t="s">
        <v>78</v>
      </c>
      <c r="AO5345" t="s">
        <v>286</v>
      </c>
      <c r="AP5345" t="s">
        <v>286</v>
      </c>
      <c r="AQ5345">
        <v>1</v>
      </c>
      <c r="AR5345" t="s">
        <v>80</v>
      </c>
      <c r="AS5345" t="s">
        <v>81</v>
      </c>
      <c r="AT5345" t="s">
        <v>58</v>
      </c>
      <c r="AU5345" t="s">
        <v>68</v>
      </c>
      <c r="AV5345" t="s">
        <v>69</v>
      </c>
      <c r="AW5345" s="1">
        <v>22311</v>
      </c>
      <c r="AX5345">
        <v>1</v>
      </c>
    </row>
    <row r="5346" spans="1:50">
      <c r="A5346">
        <v>588882</v>
      </c>
      <c r="B5346" t="str">
        <f>"054644437"</f>
        <v>054644437</v>
      </c>
      <c r="C5346" t="s">
        <v>105</v>
      </c>
      <c r="D5346" t="s">
        <v>9659</v>
      </c>
      <c r="E5346" t="s">
        <v>53</v>
      </c>
      <c r="F5346" t="s">
        <v>84</v>
      </c>
      <c r="G5346" t="s">
        <v>325</v>
      </c>
      <c r="H5346" t="str">
        <f>"ΑΝΑΓΕΝΝΗΣΕΩΣ 5-7 ΘΕΡΙΣΣΟΣ"</f>
        <v>ΑΝΑΓΕΝΝΗΣΕΩΣ 5-7 ΘΕΡΙΣΣΟΣ</v>
      </c>
      <c r="I5346">
        <v>71305</v>
      </c>
      <c r="K5346">
        <v>6946288552</v>
      </c>
      <c r="M5346" t="s">
        <v>9661</v>
      </c>
      <c r="N5346" t="s">
        <v>615</v>
      </c>
      <c r="O5346" t="s">
        <v>616</v>
      </c>
      <c r="R5346" t="s">
        <v>57</v>
      </c>
      <c r="S5346">
        <v>11</v>
      </c>
      <c r="T5346">
        <v>176</v>
      </c>
      <c r="U5346" s="1">
        <v>36403</v>
      </c>
      <c r="V5346" t="s">
        <v>80</v>
      </c>
      <c r="W5346" t="s">
        <v>81</v>
      </c>
      <c r="X5346" t="s">
        <v>58</v>
      </c>
      <c r="Y5346">
        <v>21</v>
      </c>
      <c r="Z5346" t="s">
        <v>59</v>
      </c>
      <c r="AA5346" t="s">
        <v>59</v>
      </c>
      <c r="AB5346" t="s">
        <v>59</v>
      </c>
      <c r="AC5346" t="s">
        <v>59</v>
      </c>
      <c r="AD5346" t="s">
        <v>59</v>
      </c>
      <c r="AF5346" s="1">
        <v>36404</v>
      </c>
      <c r="AG5346" t="s">
        <v>8645</v>
      </c>
      <c r="AH5346" t="s">
        <v>8646</v>
      </c>
      <c r="AI5346" t="str">
        <f>"9170196"</f>
        <v>9170196</v>
      </c>
      <c r="AJ5346" t="s">
        <v>9255</v>
      </c>
      <c r="AK5346">
        <v>2810283356</v>
      </c>
      <c r="AL5346" t="s">
        <v>9256</v>
      </c>
      <c r="AM5346" t="s">
        <v>78</v>
      </c>
      <c r="AN5346" t="s">
        <v>78</v>
      </c>
      <c r="AO5346" t="s">
        <v>78</v>
      </c>
      <c r="AP5346" t="s">
        <v>79</v>
      </c>
      <c r="AQ5346">
        <v>1</v>
      </c>
      <c r="AR5346" t="s">
        <v>80</v>
      </c>
      <c r="AS5346" t="s">
        <v>81</v>
      </c>
      <c r="AT5346" t="s">
        <v>58</v>
      </c>
      <c r="AU5346" t="s">
        <v>68</v>
      </c>
      <c r="AV5346" t="s">
        <v>69</v>
      </c>
      <c r="AW5346" s="1">
        <v>24689</v>
      </c>
      <c r="AX5346">
        <v>1</v>
      </c>
    </row>
    <row r="5347" spans="1:50">
      <c r="B5347" t="str">
        <f>"044433835"</f>
        <v>044433835</v>
      </c>
      <c r="C5347" t="s">
        <v>50</v>
      </c>
      <c r="D5347" t="s">
        <v>9662</v>
      </c>
      <c r="E5347" t="s">
        <v>83</v>
      </c>
      <c r="F5347" t="s">
        <v>920</v>
      </c>
      <c r="G5347" t="s">
        <v>563</v>
      </c>
      <c r="H5347" t="str">
        <f>"ΑΡΡΙΑΝΟΥ 19 ΠΑΓΚΡΑΤΙ"</f>
        <v>ΑΡΡΙΑΝΟΥ 19 ΠΑΓΚΡΑΤΙ</v>
      </c>
      <c r="I5347">
        <v>11635</v>
      </c>
      <c r="J5347">
        <v>2155052935</v>
      </c>
      <c r="K5347">
        <v>6937108546</v>
      </c>
      <c r="N5347" t="s">
        <v>683</v>
      </c>
      <c r="O5347" t="s">
        <v>684</v>
      </c>
      <c r="R5347" t="s">
        <v>121</v>
      </c>
      <c r="S5347">
        <v>1</v>
      </c>
      <c r="T5347" t="s">
        <v>8675</v>
      </c>
      <c r="U5347" s="1">
        <v>43348</v>
      </c>
      <c r="V5347" t="s">
        <v>80</v>
      </c>
      <c r="W5347" t="s">
        <v>81</v>
      </c>
      <c r="X5347" t="s">
        <v>58</v>
      </c>
      <c r="Y5347">
        <v>24</v>
      </c>
      <c r="Z5347" t="s">
        <v>59</v>
      </c>
      <c r="AA5347" t="s">
        <v>59</v>
      </c>
      <c r="AB5347" t="s">
        <v>59</v>
      </c>
      <c r="AD5347" t="s">
        <v>59</v>
      </c>
      <c r="AF5347" s="1">
        <v>43348</v>
      </c>
      <c r="AG5347" t="s">
        <v>8645</v>
      </c>
      <c r="AH5347" t="s">
        <v>8646</v>
      </c>
      <c r="AI5347" t="str">
        <f>"9170575"</f>
        <v>9170575</v>
      </c>
      <c r="AJ5347" t="s">
        <v>8748</v>
      </c>
      <c r="AK5347">
        <v>2810260772</v>
      </c>
      <c r="AL5347" t="s">
        <v>8749</v>
      </c>
      <c r="AM5347" t="s">
        <v>78</v>
      </c>
      <c r="AN5347" t="s">
        <v>78</v>
      </c>
      <c r="AO5347" t="s">
        <v>78</v>
      </c>
      <c r="AP5347" t="s">
        <v>141</v>
      </c>
      <c r="AQ5347">
        <v>1</v>
      </c>
      <c r="AR5347" t="s">
        <v>80</v>
      </c>
      <c r="AS5347" t="s">
        <v>81</v>
      </c>
      <c r="AT5347" t="s">
        <v>58</v>
      </c>
      <c r="AU5347" t="s">
        <v>8673</v>
      </c>
      <c r="AV5347" t="s">
        <v>132</v>
      </c>
      <c r="AW5347" s="1">
        <v>25204</v>
      </c>
      <c r="AX5347">
        <v>1</v>
      </c>
    </row>
    <row r="5348" spans="1:50">
      <c r="A5348">
        <v>571152</v>
      </c>
      <c r="B5348" t="str">
        <f>"044831259"</f>
        <v>044831259</v>
      </c>
      <c r="C5348" t="s">
        <v>105</v>
      </c>
      <c r="D5348" t="s">
        <v>9663</v>
      </c>
      <c r="E5348" t="s">
        <v>309</v>
      </c>
      <c r="F5348" t="s">
        <v>99</v>
      </c>
      <c r="G5348" t="s">
        <v>143</v>
      </c>
      <c r="H5348" t="str">
        <f>" "</f>
        <v xml:space="preserve"> </v>
      </c>
      <c r="N5348" t="s">
        <v>615</v>
      </c>
      <c r="O5348" t="s">
        <v>616</v>
      </c>
      <c r="R5348" t="s">
        <v>57</v>
      </c>
      <c r="S5348">
        <v>13</v>
      </c>
      <c r="T5348">
        <v>138</v>
      </c>
      <c r="U5348" s="1">
        <v>34206</v>
      </c>
      <c r="V5348" t="s">
        <v>80</v>
      </c>
      <c r="W5348" t="s">
        <v>81</v>
      </c>
      <c r="X5348" t="s">
        <v>58</v>
      </c>
      <c r="Y5348">
        <v>21</v>
      </c>
      <c r="Z5348" t="s">
        <v>59</v>
      </c>
      <c r="AA5348" t="s">
        <v>59</v>
      </c>
      <c r="AB5348" t="s">
        <v>59</v>
      </c>
      <c r="AC5348" t="s">
        <v>59</v>
      </c>
      <c r="AD5348" t="s">
        <v>59</v>
      </c>
      <c r="AF5348" s="1">
        <v>34213</v>
      </c>
      <c r="AG5348" t="s">
        <v>8645</v>
      </c>
      <c r="AH5348" t="s">
        <v>8646</v>
      </c>
      <c r="AI5348" t="str">
        <f>"9521014"</f>
        <v>9521014</v>
      </c>
      <c r="AJ5348" t="s">
        <v>8974</v>
      </c>
      <c r="AK5348">
        <v>2897029611</v>
      </c>
      <c r="AL5348" t="s">
        <v>8975</v>
      </c>
      <c r="AM5348" t="s">
        <v>78</v>
      </c>
      <c r="AN5348" t="s">
        <v>219</v>
      </c>
      <c r="AO5348" t="s">
        <v>527</v>
      </c>
      <c r="AP5348" t="s">
        <v>527</v>
      </c>
      <c r="AQ5348">
        <v>8</v>
      </c>
      <c r="AR5348" t="s">
        <v>80</v>
      </c>
      <c r="AS5348" t="s">
        <v>81</v>
      </c>
      <c r="AT5348" t="s">
        <v>58</v>
      </c>
      <c r="AU5348" t="s">
        <v>68</v>
      </c>
      <c r="AV5348" t="s">
        <v>69</v>
      </c>
      <c r="AW5348" s="1">
        <v>24054</v>
      </c>
      <c r="AX5348">
        <v>1</v>
      </c>
    </row>
    <row r="5349" spans="1:50">
      <c r="A5349">
        <v>605787</v>
      </c>
      <c r="B5349" t="str">
        <f>"119036301"</f>
        <v>119036301</v>
      </c>
      <c r="C5349" t="s">
        <v>50</v>
      </c>
      <c r="D5349" t="s">
        <v>9664</v>
      </c>
      <c r="E5349" t="s">
        <v>783</v>
      </c>
      <c r="F5349" t="s">
        <v>3483</v>
      </c>
      <c r="G5349" t="s">
        <v>155</v>
      </c>
      <c r="H5349" t="str">
        <f>"ΕΠΤΑΜΥΛΟΙ ΣΕΡΡΕΣ"</f>
        <v>ΕΠΤΑΜΥΛΟΙ ΣΕΡΡΕΣ</v>
      </c>
      <c r="I5349">
        <v>62100</v>
      </c>
      <c r="J5349">
        <v>2321065501</v>
      </c>
      <c r="K5349">
        <v>6944501014</v>
      </c>
      <c r="N5349" t="s">
        <v>615</v>
      </c>
      <c r="O5349" t="s">
        <v>616</v>
      </c>
      <c r="R5349" t="s">
        <v>57</v>
      </c>
      <c r="S5349">
        <v>7</v>
      </c>
      <c r="T5349">
        <v>231</v>
      </c>
      <c r="U5349" s="1">
        <v>38230</v>
      </c>
      <c r="V5349" t="s">
        <v>80</v>
      </c>
      <c r="W5349" t="s">
        <v>81</v>
      </c>
      <c r="X5349" t="s">
        <v>58</v>
      </c>
      <c r="Y5349">
        <v>22</v>
      </c>
      <c r="Z5349" t="s">
        <v>59</v>
      </c>
      <c r="AA5349" t="s">
        <v>59</v>
      </c>
      <c r="AB5349" t="s">
        <v>59</v>
      </c>
      <c r="AC5349" t="s">
        <v>59</v>
      </c>
      <c r="AD5349" t="s">
        <v>59</v>
      </c>
      <c r="AF5349" s="1">
        <v>38231</v>
      </c>
      <c r="AG5349" t="s">
        <v>8645</v>
      </c>
      <c r="AH5349" t="s">
        <v>8646</v>
      </c>
      <c r="AI5349" t="str">
        <f>"9170533"</f>
        <v>9170533</v>
      </c>
      <c r="AJ5349" t="s">
        <v>9091</v>
      </c>
      <c r="AK5349">
        <v>2810239434</v>
      </c>
      <c r="AL5349" t="s">
        <v>9092</v>
      </c>
      <c r="AM5349" t="s">
        <v>78</v>
      </c>
      <c r="AN5349" t="s">
        <v>78</v>
      </c>
      <c r="AO5349" t="s">
        <v>78</v>
      </c>
      <c r="AP5349" t="s">
        <v>163</v>
      </c>
      <c r="AQ5349">
        <v>1</v>
      </c>
      <c r="AR5349" t="s">
        <v>80</v>
      </c>
      <c r="AS5349" t="s">
        <v>81</v>
      </c>
      <c r="AT5349" t="s">
        <v>58</v>
      </c>
      <c r="AU5349" t="s">
        <v>68</v>
      </c>
      <c r="AV5349" t="s">
        <v>69</v>
      </c>
      <c r="AW5349" s="1">
        <v>28600</v>
      </c>
      <c r="AX5349">
        <v>1</v>
      </c>
    </row>
    <row r="5350" spans="1:50">
      <c r="B5350" t="str">
        <f>"105953811"</f>
        <v>105953811</v>
      </c>
      <c r="C5350" t="s">
        <v>50</v>
      </c>
      <c r="D5350" t="s">
        <v>9665</v>
      </c>
      <c r="E5350" t="s">
        <v>366</v>
      </c>
      <c r="F5350" t="s">
        <v>106</v>
      </c>
      <c r="G5350" t="s">
        <v>255</v>
      </c>
      <c r="H5350" t="str">
        <f>"ΜΑΖΑΡΑΚΗ 14 ΕΔΕΣΣΑ"</f>
        <v>ΜΑΖΑΡΑΚΗ 14 ΕΔΕΣΣΑ</v>
      </c>
      <c r="I5350">
        <v>58200</v>
      </c>
      <c r="J5350">
        <v>2381028939</v>
      </c>
      <c r="K5350">
        <v>6934369783</v>
      </c>
      <c r="N5350" t="s">
        <v>615</v>
      </c>
      <c r="O5350" t="s">
        <v>616</v>
      </c>
      <c r="R5350" t="s">
        <v>159</v>
      </c>
      <c r="S5350">
        <v>4</v>
      </c>
      <c r="T5350" t="s">
        <v>8675</v>
      </c>
      <c r="U5350" s="1">
        <v>43348</v>
      </c>
      <c r="V5350" t="s">
        <v>80</v>
      </c>
      <c r="W5350" t="s">
        <v>81</v>
      </c>
      <c r="X5350" t="s">
        <v>58</v>
      </c>
      <c r="Y5350">
        <v>24</v>
      </c>
      <c r="Z5350" t="s">
        <v>59</v>
      </c>
      <c r="AA5350" t="s">
        <v>59</v>
      </c>
      <c r="AB5350" t="s">
        <v>59</v>
      </c>
      <c r="AC5350" t="s">
        <v>59</v>
      </c>
      <c r="AD5350" t="s">
        <v>59</v>
      </c>
      <c r="AF5350" s="1">
        <v>43348</v>
      </c>
      <c r="AG5350" t="s">
        <v>8645</v>
      </c>
      <c r="AH5350" t="s">
        <v>8646</v>
      </c>
      <c r="AI5350" t="str">
        <f>"9170535"</f>
        <v>9170535</v>
      </c>
      <c r="AJ5350" t="s">
        <v>9330</v>
      </c>
      <c r="AK5350">
        <v>2810222629</v>
      </c>
      <c r="AL5350" t="s">
        <v>9331</v>
      </c>
      <c r="AM5350" t="s">
        <v>78</v>
      </c>
      <c r="AN5350" t="s">
        <v>78</v>
      </c>
      <c r="AO5350" t="s">
        <v>78</v>
      </c>
      <c r="AP5350" t="s">
        <v>213</v>
      </c>
      <c r="AQ5350">
        <v>1</v>
      </c>
      <c r="AR5350" t="s">
        <v>80</v>
      </c>
      <c r="AS5350" t="s">
        <v>81</v>
      </c>
      <c r="AT5350" t="s">
        <v>58</v>
      </c>
      <c r="AU5350" t="s">
        <v>8673</v>
      </c>
      <c r="AV5350" t="s">
        <v>132</v>
      </c>
      <c r="AW5350" s="1">
        <v>32354</v>
      </c>
      <c r="AX5350">
        <v>1</v>
      </c>
    </row>
    <row r="5351" spans="1:50">
      <c r="B5351" t="str">
        <f>"132466252"</f>
        <v>132466252</v>
      </c>
      <c r="C5351" t="s">
        <v>50</v>
      </c>
      <c r="D5351" t="s">
        <v>9666</v>
      </c>
      <c r="E5351" t="s">
        <v>9667</v>
      </c>
      <c r="F5351" t="s">
        <v>99</v>
      </c>
      <c r="G5351" t="s">
        <v>83</v>
      </c>
      <c r="H5351" t="str">
        <f>"ΚΕΡΑΣΟΥΝΤΟΣ 26 "</f>
        <v xml:space="preserve">ΚΕΡΑΣΟΥΝΤΟΣ 26 </v>
      </c>
      <c r="I5351">
        <v>68100</v>
      </c>
      <c r="J5351">
        <v>2551029787</v>
      </c>
      <c r="K5351">
        <v>6978552284</v>
      </c>
      <c r="N5351" t="s">
        <v>615</v>
      </c>
      <c r="O5351" t="s">
        <v>616</v>
      </c>
      <c r="R5351" t="s">
        <v>159</v>
      </c>
      <c r="S5351">
        <v>3</v>
      </c>
      <c r="T5351" t="s">
        <v>8675</v>
      </c>
      <c r="U5351" s="1">
        <v>43348</v>
      </c>
      <c r="V5351" t="s">
        <v>80</v>
      </c>
      <c r="W5351" t="s">
        <v>81</v>
      </c>
      <c r="X5351" t="s">
        <v>58</v>
      </c>
      <c r="Y5351">
        <v>24</v>
      </c>
      <c r="Z5351" t="s">
        <v>59</v>
      </c>
      <c r="AA5351" t="s">
        <v>59</v>
      </c>
      <c r="AB5351" t="s">
        <v>59</v>
      </c>
      <c r="AC5351" t="s">
        <v>59</v>
      </c>
      <c r="AD5351" t="s">
        <v>59</v>
      </c>
      <c r="AF5351" s="1">
        <v>43348</v>
      </c>
      <c r="AG5351" t="s">
        <v>8645</v>
      </c>
      <c r="AH5351" t="s">
        <v>8646</v>
      </c>
      <c r="AI5351" t="str">
        <f>"9170319"</f>
        <v>9170319</v>
      </c>
      <c r="AJ5351" t="s">
        <v>9121</v>
      </c>
      <c r="AK5351">
        <v>2893022231</v>
      </c>
      <c r="AL5351" t="s">
        <v>9122</v>
      </c>
      <c r="AM5351" t="s">
        <v>78</v>
      </c>
      <c r="AN5351" t="s">
        <v>424</v>
      </c>
      <c r="AO5351" t="s">
        <v>577</v>
      </c>
      <c r="AP5351" t="s">
        <v>1668</v>
      </c>
      <c r="AQ5351">
        <v>10</v>
      </c>
      <c r="AR5351" t="s">
        <v>80</v>
      </c>
      <c r="AS5351" t="s">
        <v>81</v>
      </c>
      <c r="AT5351" t="s">
        <v>58</v>
      </c>
      <c r="AU5351" t="s">
        <v>8673</v>
      </c>
      <c r="AV5351" t="s">
        <v>132</v>
      </c>
      <c r="AW5351" s="1">
        <v>32116</v>
      </c>
      <c r="AX5351">
        <v>1</v>
      </c>
    </row>
    <row r="5352" spans="1:50">
      <c r="A5352">
        <v>602197</v>
      </c>
      <c r="B5352" t="str">
        <f>"070366758"</f>
        <v>070366758</v>
      </c>
      <c r="C5352" t="s">
        <v>50</v>
      </c>
      <c r="D5352" t="s">
        <v>9668</v>
      </c>
      <c r="E5352" t="s">
        <v>9669</v>
      </c>
      <c r="F5352" t="s">
        <v>95</v>
      </c>
      <c r="G5352" t="s">
        <v>250</v>
      </c>
      <c r="H5352" t="str">
        <f>"ΕΜΜ.ΒΕΪΣΑΚΗ 24 ΗΡΑΚΛΕΙΟ"</f>
        <v>ΕΜΜ.ΒΕΪΣΑΚΗ 24 ΗΡΑΚΛΕΙΟ</v>
      </c>
      <c r="I5352">
        <v>71307</v>
      </c>
      <c r="J5352">
        <v>2810220439</v>
      </c>
      <c r="K5352">
        <v>6937013841</v>
      </c>
      <c r="M5352" t="s">
        <v>9670</v>
      </c>
      <c r="N5352" t="s">
        <v>615</v>
      </c>
      <c r="O5352" t="s">
        <v>616</v>
      </c>
      <c r="R5352" t="s">
        <v>57</v>
      </c>
      <c r="S5352">
        <v>9</v>
      </c>
      <c r="T5352">
        <v>207</v>
      </c>
      <c r="U5352" s="1">
        <v>37866</v>
      </c>
      <c r="V5352" t="s">
        <v>80</v>
      </c>
      <c r="W5352" t="s">
        <v>81</v>
      </c>
      <c r="X5352" t="s">
        <v>58</v>
      </c>
      <c r="Y5352">
        <v>22</v>
      </c>
      <c r="Z5352" t="s">
        <v>59</v>
      </c>
      <c r="AA5352" t="s">
        <v>59</v>
      </c>
      <c r="AB5352" t="s">
        <v>59</v>
      </c>
      <c r="AC5352" t="s">
        <v>59</v>
      </c>
      <c r="AD5352" t="s">
        <v>59</v>
      </c>
      <c r="AF5352" s="1">
        <v>37866</v>
      </c>
      <c r="AG5352" t="s">
        <v>8645</v>
      </c>
      <c r="AH5352" t="s">
        <v>8646</v>
      </c>
      <c r="AI5352" t="str">
        <f>"9170255"</f>
        <v>9170255</v>
      </c>
      <c r="AJ5352" t="s">
        <v>8915</v>
      </c>
      <c r="AK5352">
        <v>2810220750</v>
      </c>
      <c r="AL5352" t="s">
        <v>8916</v>
      </c>
      <c r="AM5352" t="s">
        <v>78</v>
      </c>
      <c r="AN5352" t="s">
        <v>78</v>
      </c>
      <c r="AO5352" t="s">
        <v>78</v>
      </c>
      <c r="AP5352" t="s">
        <v>213</v>
      </c>
      <c r="AQ5352">
        <v>1</v>
      </c>
      <c r="AR5352" t="s">
        <v>80</v>
      </c>
      <c r="AS5352" t="s">
        <v>81</v>
      </c>
      <c r="AT5352" t="s">
        <v>58</v>
      </c>
      <c r="AU5352" t="s">
        <v>68</v>
      </c>
      <c r="AV5352" t="s">
        <v>69</v>
      </c>
      <c r="AW5352" s="1">
        <v>29192</v>
      </c>
      <c r="AX5352">
        <v>1</v>
      </c>
    </row>
    <row r="5353" spans="1:50">
      <c r="B5353" t="str">
        <f>"076771806"</f>
        <v>076771806</v>
      </c>
      <c r="C5353" t="s">
        <v>105</v>
      </c>
      <c r="D5353" t="s">
        <v>9671</v>
      </c>
      <c r="E5353" t="s">
        <v>53</v>
      </c>
      <c r="F5353" t="s">
        <v>166</v>
      </c>
      <c r="G5353" t="s">
        <v>112</v>
      </c>
      <c r="H5353" t="str">
        <f>"ΖΕΡΒΟΝΙΚΟΛΑ 7 ΑΓ. ΙΩΑΝΝΗΣ ΗΡΑΚΛΕΙΟ"</f>
        <v>ΖΕΡΒΟΝΙΚΟΛΑ 7 ΑΓ. ΙΩΑΝΝΗΣ ΗΡΑΚΛΕΙΟ</v>
      </c>
      <c r="I5353">
        <v>71409</v>
      </c>
      <c r="J5353">
        <v>2810239983</v>
      </c>
      <c r="K5353">
        <v>6973453901</v>
      </c>
      <c r="N5353" t="s">
        <v>683</v>
      </c>
      <c r="O5353" t="s">
        <v>684</v>
      </c>
      <c r="R5353" t="s">
        <v>121</v>
      </c>
      <c r="S5353">
        <v>1</v>
      </c>
      <c r="T5353" t="s">
        <v>8675</v>
      </c>
      <c r="U5353" s="1">
        <v>43348</v>
      </c>
      <c r="V5353" t="s">
        <v>80</v>
      </c>
      <c r="W5353" t="s">
        <v>81</v>
      </c>
      <c r="X5353" t="s">
        <v>58</v>
      </c>
      <c r="Y5353">
        <v>24</v>
      </c>
      <c r="Z5353" t="s">
        <v>59</v>
      </c>
      <c r="AA5353" t="s">
        <v>59</v>
      </c>
      <c r="AB5353" t="s">
        <v>59</v>
      </c>
      <c r="AC5353" t="s">
        <v>59</v>
      </c>
      <c r="AD5353" t="s">
        <v>59</v>
      </c>
      <c r="AF5353" s="1">
        <v>43348</v>
      </c>
      <c r="AG5353" t="s">
        <v>8645</v>
      </c>
      <c r="AH5353" t="s">
        <v>8646</v>
      </c>
      <c r="AI5353" t="str">
        <f>"9170425"</f>
        <v>9170425</v>
      </c>
      <c r="AJ5353" t="s">
        <v>9350</v>
      </c>
      <c r="AK5353">
        <v>2810250261</v>
      </c>
      <c r="AL5353" t="s">
        <v>9351</v>
      </c>
      <c r="AM5353" t="s">
        <v>78</v>
      </c>
      <c r="AN5353" t="s">
        <v>78</v>
      </c>
      <c r="AO5353" t="s">
        <v>78</v>
      </c>
      <c r="AP5353" t="s">
        <v>141</v>
      </c>
      <c r="AQ5353">
        <v>1</v>
      </c>
      <c r="AR5353" t="s">
        <v>80</v>
      </c>
      <c r="AS5353" t="s">
        <v>81</v>
      </c>
      <c r="AT5353" t="s">
        <v>58</v>
      </c>
      <c r="AU5353" t="s">
        <v>8673</v>
      </c>
      <c r="AV5353" t="s">
        <v>132</v>
      </c>
      <c r="AW5353" s="1">
        <v>26394</v>
      </c>
      <c r="AX5353">
        <v>1</v>
      </c>
    </row>
    <row r="5354" spans="1:50">
      <c r="A5354">
        <v>700241</v>
      </c>
      <c r="B5354" t="str">
        <f>"133801462"</f>
        <v>133801462</v>
      </c>
      <c r="C5354" t="s">
        <v>50</v>
      </c>
      <c r="D5354" t="s">
        <v>9672</v>
      </c>
      <c r="E5354" t="s">
        <v>1108</v>
      </c>
      <c r="F5354" t="s">
        <v>383</v>
      </c>
      <c r="G5354" t="s">
        <v>188</v>
      </c>
      <c r="H5354" t="str">
        <f>"ΣΧΟΛΕΙΩΝ 66 ΗΜΑΘΙΑ"</f>
        <v>ΣΧΟΛΕΙΩΝ 66 ΗΜΑΘΙΑ</v>
      </c>
      <c r="I5354">
        <v>59300</v>
      </c>
      <c r="J5354">
        <v>2333025048</v>
      </c>
      <c r="K5354">
        <v>6973818659</v>
      </c>
      <c r="N5354" t="s">
        <v>1525</v>
      </c>
      <c r="O5354" t="s">
        <v>1526</v>
      </c>
      <c r="R5354" t="s">
        <v>57</v>
      </c>
      <c r="S5354">
        <v>4</v>
      </c>
      <c r="T5354">
        <v>772</v>
      </c>
      <c r="U5354" s="1">
        <v>40413</v>
      </c>
      <c r="V5354" t="s">
        <v>80</v>
      </c>
      <c r="W5354" t="s">
        <v>81</v>
      </c>
      <c r="X5354" t="s">
        <v>58</v>
      </c>
      <c r="Y5354">
        <v>25</v>
      </c>
      <c r="Z5354" t="s">
        <v>59</v>
      </c>
      <c r="AA5354" t="s">
        <v>59</v>
      </c>
      <c r="AB5354" t="s">
        <v>59</v>
      </c>
      <c r="AC5354" t="s">
        <v>59</v>
      </c>
      <c r="AD5354" t="s">
        <v>59</v>
      </c>
      <c r="AF5354" s="1">
        <v>40413</v>
      </c>
      <c r="AG5354" t="s">
        <v>8651</v>
      </c>
      <c r="AH5354" t="s">
        <v>8652</v>
      </c>
      <c r="AI5354" t="str">
        <f>"9170251"</f>
        <v>9170251</v>
      </c>
      <c r="AJ5354" t="s">
        <v>9673</v>
      </c>
      <c r="AK5354">
        <v>2810225132</v>
      </c>
      <c r="AL5354" t="s">
        <v>9674</v>
      </c>
      <c r="AM5354" t="s">
        <v>78</v>
      </c>
      <c r="AN5354" t="s">
        <v>78</v>
      </c>
      <c r="AO5354" t="s">
        <v>78</v>
      </c>
      <c r="AP5354" t="s">
        <v>213</v>
      </c>
      <c r="AQ5354">
        <v>1</v>
      </c>
      <c r="AR5354" t="s">
        <v>80</v>
      </c>
      <c r="AS5354" t="s">
        <v>81</v>
      </c>
      <c r="AT5354" t="s">
        <v>58</v>
      </c>
      <c r="AU5354" t="s">
        <v>68</v>
      </c>
      <c r="AV5354" t="s">
        <v>69</v>
      </c>
      <c r="AW5354" s="1">
        <v>29690</v>
      </c>
      <c r="AX5354">
        <v>1</v>
      </c>
    </row>
    <row r="5355" spans="1:50">
      <c r="B5355" t="str">
        <f>"149513968"</f>
        <v>149513968</v>
      </c>
      <c r="C5355" t="s">
        <v>50</v>
      </c>
      <c r="D5355" t="s">
        <v>9675</v>
      </c>
      <c r="E5355" t="s">
        <v>352</v>
      </c>
      <c r="F5355" t="s">
        <v>53</v>
      </c>
      <c r="G5355" t="s">
        <v>255</v>
      </c>
      <c r="H5355" t="str">
        <f>"Μυτιληνιοί Σάμος"</f>
        <v>Μυτιληνιοί Σάμος</v>
      </c>
      <c r="I5355">
        <v>83101</v>
      </c>
      <c r="J5355">
        <v>2273051110</v>
      </c>
      <c r="K5355">
        <v>6932635896</v>
      </c>
      <c r="M5355" t="s">
        <v>9676</v>
      </c>
      <c r="N5355" t="s">
        <v>8834</v>
      </c>
      <c r="O5355" t="s">
        <v>8695</v>
      </c>
      <c r="R5355" t="s">
        <v>159</v>
      </c>
      <c r="S5355">
        <v>4</v>
      </c>
      <c r="T5355" t="s">
        <v>8696</v>
      </c>
      <c r="U5355" s="1">
        <v>43348</v>
      </c>
      <c r="V5355" t="s">
        <v>80</v>
      </c>
      <c r="W5355" t="s">
        <v>81</v>
      </c>
      <c r="X5355" t="s">
        <v>58</v>
      </c>
      <c r="Y5355">
        <v>24</v>
      </c>
      <c r="Z5355" t="s">
        <v>59</v>
      </c>
      <c r="AA5355" t="s">
        <v>59</v>
      </c>
      <c r="AB5355" t="s">
        <v>59</v>
      </c>
      <c r="AC5355" t="s">
        <v>59</v>
      </c>
      <c r="AD5355" t="s">
        <v>59</v>
      </c>
      <c r="AF5355" s="1">
        <v>43348</v>
      </c>
      <c r="AG5355" t="s">
        <v>8645</v>
      </c>
      <c r="AH5355" t="s">
        <v>8646</v>
      </c>
      <c r="AI5355" t="str">
        <f>"9170270"</f>
        <v>9170270</v>
      </c>
      <c r="AJ5355" t="s">
        <v>9347</v>
      </c>
      <c r="AK5355">
        <v>2892031245</v>
      </c>
      <c r="AL5355" t="s">
        <v>9348</v>
      </c>
      <c r="AM5355" t="s">
        <v>78</v>
      </c>
      <c r="AN5355" t="s">
        <v>405</v>
      </c>
      <c r="AO5355" t="s">
        <v>405</v>
      </c>
      <c r="AP5355" t="s">
        <v>464</v>
      </c>
      <c r="AQ5355">
        <v>17</v>
      </c>
      <c r="AR5355" t="s">
        <v>80</v>
      </c>
      <c r="AS5355" t="s">
        <v>81</v>
      </c>
      <c r="AT5355" t="s">
        <v>58</v>
      </c>
      <c r="AU5355" t="s">
        <v>350</v>
      </c>
      <c r="AV5355" t="s">
        <v>132</v>
      </c>
      <c r="AW5355" s="1">
        <v>32359</v>
      </c>
      <c r="AX5355">
        <v>1</v>
      </c>
    </row>
    <row r="5356" spans="1:50">
      <c r="A5356">
        <v>612433</v>
      </c>
      <c r="B5356" t="str">
        <f>"045234499"</f>
        <v>045234499</v>
      </c>
      <c r="C5356" t="s">
        <v>50</v>
      </c>
      <c r="D5356" t="s">
        <v>9677</v>
      </c>
      <c r="E5356" t="s">
        <v>215</v>
      </c>
      <c r="F5356" t="s">
        <v>3246</v>
      </c>
      <c r="G5356" t="s">
        <v>155</v>
      </c>
      <c r="H5356" t="str">
        <f>"ΠΑΠΑΓΟΥ 101 ΘΕΣΣΑΛΟΝΙΚΗ"</f>
        <v>ΠΑΠΑΓΟΥ 101 ΘΕΣΣΑΛΟΝΙΚΗ</v>
      </c>
      <c r="I5356">
        <v>56224</v>
      </c>
      <c r="J5356">
        <v>2310642466</v>
      </c>
      <c r="K5356">
        <v>6936156685</v>
      </c>
      <c r="N5356" t="s">
        <v>176</v>
      </c>
      <c r="O5356" t="s">
        <v>177</v>
      </c>
      <c r="R5356" t="s">
        <v>57</v>
      </c>
      <c r="S5356">
        <v>8</v>
      </c>
      <c r="T5356">
        <v>234</v>
      </c>
      <c r="U5356" s="1">
        <v>38960</v>
      </c>
      <c r="V5356" t="s">
        <v>80</v>
      </c>
      <c r="W5356" t="s">
        <v>81</v>
      </c>
      <c r="X5356" t="s">
        <v>58</v>
      </c>
      <c r="Y5356">
        <v>22</v>
      </c>
      <c r="Z5356" t="s">
        <v>59</v>
      </c>
      <c r="AA5356" t="s">
        <v>59</v>
      </c>
      <c r="AB5356" t="s">
        <v>59</v>
      </c>
      <c r="AC5356" t="s">
        <v>59</v>
      </c>
      <c r="AD5356" t="s">
        <v>59</v>
      </c>
      <c r="AF5356" s="1">
        <v>38961</v>
      </c>
      <c r="AG5356" t="s">
        <v>8645</v>
      </c>
      <c r="AH5356" t="s">
        <v>8646</v>
      </c>
      <c r="AI5356" t="str">
        <f>"9170039"</f>
        <v>9170039</v>
      </c>
      <c r="AJ5356" t="s">
        <v>8804</v>
      </c>
      <c r="AK5356">
        <v>2894022231</v>
      </c>
      <c r="AL5356" t="s">
        <v>8805</v>
      </c>
      <c r="AM5356" t="s">
        <v>78</v>
      </c>
      <c r="AN5356" t="s">
        <v>405</v>
      </c>
      <c r="AO5356" t="s">
        <v>406</v>
      </c>
      <c r="AP5356" t="s">
        <v>406</v>
      </c>
      <c r="AQ5356">
        <v>6</v>
      </c>
      <c r="AR5356" t="s">
        <v>80</v>
      </c>
      <c r="AS5356" t="s">
        <v>81</v>
      </c>
      <c r="AT5356" t="s">
        <v>58</v>
      </c>
      <c r="AU5356" t="s">
        <v>68</v>
      </c>
      <c r="AV5356" t="s">
        <v>69</v>
      </c>
      <c r="AW5356" s="1">
        <v>24008</v>
      </c>
      <c r="AX5356">
        <v>1</v>
      </c>
    </row>
    <row r="5357" spans="1:50">
      <c r="A5357">
        <v>703346</v>
      </c>
      <c r="B5357" t="str">
        <f>"134818823"</f>
        <v>134818823</v>
      </c>
      <c r="C5357" t="s">
        <v>50</v>
      </c>
      <c r="D5357" t="s">
        <v>9678</v>
      </c>
      <c r="E5357" t="s">
        <v>109</v>
      </c>
      <c r="F5357" t="s">
        <v>989</v>
      </c>
      <c r="G5357" t="s">
        <v>671</v>
      </c>
      <c r="H5357" t="str">
        <f>"ΜΑΓΚΡΙΩΤΗ 2 ΓΙΑΝΝΙΤΣΑ"</f>
        <v>ΜΑΓΚΡΙΩΤΗ 2 ΓΙΑΝΝΙΤΣΑ</v>
      </c>
      <c r="I5357">
        <v>58100</v>
      </c>
      <c r="J5357">
        <v>2382024094</v>
      </c>
      <c r="K5357">
        <v>6946506874</v>
      </c>
      <c r="N5357" t="s">
        <v>615</v>
      </c>
      <c r="O5357" t="s">
        <v>616</v>
      </c>
      <c r="R5357" t="s">
        <v>57</v>
      </c>
      <c r="S5357">
        <v>4</v>
      </c>
      <c r="T5357">
        <v>588</v>
      </c>
      <c r="U5357" s="1">
        <v>40778</v>
      </c>
      <c r="V5357" t="s">
        <v>80</v>
      </c>
      <c r="W5357" t="s">
        <v>81</v>
      </c>
      <c r="X5357" t="s">
        <v>58</v>
      </c>
      <c r="Y5357">
        <v>25</v>
      </c>
      <c r="Z5357" t="s">
        <v>59</v>
      </c>
      <c r="AA5357" t="s">
        <v>59</v>
      </c>
      <c r="AB5357" t="s">
        <v>59</v>
      </c>
      <c r="AC5357" t="s">
        <v>59</v>
      </c>
      <c r="AD5357" t="s">
        <v>59</v>
      </c>
      <c r="AF5357" s="1">
        <v>40781</v>
      </c>
      <c r="AG5357" t="s">
        <v>8645</v>
      </c>
      <c r="AH5357" t="s">
        <v>8646</v>
      </c>
      <c r="AI5357" t="str">
        <f>"9170239"</f>
        <v>9170239</v>
      </c>
      <c r="AJ5357" t="s">
        <v>8814</v>
      </c>
      <c r="AK5357">
        <v>2897022076</v>
      </c>
      <c r="AL5357" t="s">
        <v>8815</v>
      </c>
      <c r="AM5357" t="s">
        <v>78</v>
      </c>
      <c r="AN5357" t="s">
        <v>219</v>
      </c>
      <c r="AO5357" t="s">
        <v>219</v>
      </c>
      <c r="AP5357" t="s">
        <v>220</v>
      </c>
      <c r="AQ5357">
        <v>8</v>
      </c>
      <c r="AR5357" t="s">
        <v>80</v>
      </c>
      <c r="AS5357" t="s">
        <v>81</v>
      </c>
      <c r="AT5357" t="s">
        <v>58</v>
      </c>
      <c r="AU5357" t="s">
        <v>68</v>
      </c>
      <c r="AV5357" t="s">
        <v>69</v>
      </c>
      <c r="AW5357" s="1">
        <v>31325</v>
      </c>
      <c r="AX5357">
        <v>1</v>
      </c>
    </row>
    <row r="5358" spans="1:50">
      <c r="B5358" t="str">
        <f>"103661150"</f>
        <v>103661150</v>
      </c>
      <c r="C5358" t="s">
        <v>50</v>
      </c>
      <c r="D5358" t="s">
        <v>1430</v>
      </c>
      <c r="E5358" t="s">
        <v>237</v>
      </c>
      <c r="F5358" t="s">
        <v>166</v>
      </c>
      <c r="G5358" t="s">
        <v>250</v>
      </c>
      <c r="H5358" t="str">
        <f>"ΩΚΕΑΝΟΥ 3 ΗΡΑΚΛΕΙΟ"</f>
        <v>ΩΚΕΑΝΟΥ 3 ΗΡΑΚΛΕΙΟ</v>
      </c>
      <c r="I5358">
        <v>71410</v>
      </c>
      <c r="J5358">
        <v>2810311485</v>
      </c>
      <c r="K5358">
        <v>6946468166</v>
      </c>
      <c r="N5358" t="s">
        <v>615</v>
      </c>
      <c r="O5358" t="s">
        <v>616</v>
      </c>
      <c r="R5358" t="s">
        <v>159</v>
      </c>
      <c r="S5358">
        <v>5</v>
      </c>
      <c r="T5358" t="s">
        <v>8675</v>
      </c>
      <c r="U5358" s="1">
        <v>43348</v>
      </c>
      <c r="V5358" t="s">
        <v>80</v>
      </c>
      <c r="W5358" t="s">
        <v>81</v>
      </c>
      <c r="X5358" t="s">
        <v>58</v>
      </c>
      <c r="Y5358">
        <v>24</v>
      </c>
      <c r="Z5358" t="s">
        <v>59</v>
      </c>
      <c r="AA5358" t="s">
        <v>59</v>
      </c>
      <c r="AB5358" t="s">
        <v>59</v>
      </c>
      <c r="AC5358" t="s">
        <v>59</v>
      </c>
      <c r="AD5358" t="s">
        <v>59</v>
      </c>
      <c r="AF5358" s="1">
        <v>43348</v>
      </c>
      <c r="AG5358" t="s">
        <v>8645</v>
      </c>
      <c r="AH5358" t="s">
        <v>8646</v>
      </c>
      <c r="AI5358" t="str">
        <f>"9170575"</f>
        <v>9170575</v>
      </c>
      <c r="AJ5358" t="s">
        <v>8748</v>
      </c>
      <c r="AK5358">
        <v>2810260772</v>
      </c>
      <c r="AL5358" t="s">
        <v>8749</v>
      </c>
      <c r="AM5358" t="s">
        <v>78</v>
      </c>
      <c r="AN5358" t="s">
        <v>78</v>
      </c>
      <c r="AO5358" t="s">
        <v>78</v>
      </c>
      <c r="AP5358" t="s">
        <v>141</v>
      </c>
      <c r="AQ5358">
        <v>1</v>
      </c>
      <c r="AR5358" t="s">
        <v>80</v>
      </c>
      <c r="AS5358" t="s">
        <v>81</v>
      </c>
      <c r="AT5358" t="s">
        <v>58</v>
      </c>
      <c r="AU5358" t="s">
        <v>8673</v>
      </c>
      <c r="AV5358" t="s">
        <v>132</v>
      </c>
      <c r="AW5358" s="1">
        <v>29197</v>
      </c>
      <c r="AX5358">
        <v>1</v>
      </c>
    </row>
    <row r="5359" spans="1:50">
      <c r="B5359" t="str">
        <f>"132997284"</f>
        <v>132997284</v>
      </c>
      <c r="C5359" t="s">
        <v>50</v>
      </c>
      <c r="D5359" t="s">
        <v>1430</v>
      </c>
      <c r="E5359" t="s">
        <v>73</v>
      </c>
      <c r="F5359" t="s">
        <v>95</v>
      </c>
      <c r="H5359" t="str">
        <f>" "</f>
        <v xml:space="preserve"> </v>
      </c>
      <c r="N5359" t="s">
        <v>1525</v>
      </c>
      <c r="O5359" t="s">
        <v>1526</v>
      </c>
      <c r="R5359" t="s">
        <v>159</v>
      </c>
      <c r="S5359">
        <v>2</v>
      </c>
      <c r="T5359" t="s">
        <v>8670</v>
      </c>
      <c r="U5359" s="1">
        <v>43348</v>
      </c>
      <c r="V5359" t="s">
        <v>80</v>
      </c>
      <c r="W5359" t="s">
        <v>81</v>
      </c>
      <c r="X5359" t="s">
        <v>58</v>
      </c>
      <c r="Y5359">
        <v>25</v>
      </c>
      <c r="Z5359" t="s">
        <v>59</v>
      </c>
      <c r="AA5359" t="s">
        <v>59</v>
      </c>
      <c r="AB5359" t="s">
        <v>59</v>
      </c>
      <c r="AC5359" t="s">
        <v>59</v>
      </c>
      <c r="AD5359" t="s">
        <v>59</v>
      </c>
      <c r="AF5359" s="1">
        <v>43348</v>
      </c>
      <c r="AG5359" t="s">
        <v>8651</v>
      </c>
      <c r="AH5359" t="s">
        <v>8652</v>
      </c>
      <c r="AI5359" t="str">
        <f>"9170051"</f>
        <v>9170051</v>
      </c>
      <c r="AJ5359" t="s">
        <v>9679</v>
      </c>
      <c r="AK5359">
        <v>2810262913</v>
      </c>
      <c r="AL5359" t="s">
        <v>9680</v>
      </c>
      <c r="AM5359" t="s">
        <v>78</v>
      </c>
      <c r="AN5359" t="s">
        <v>78</v>
      </c>
      <c r="AO5359" t="s">
        <v>78</v>
      </c>
      <c r="AP5359" t="s">
        <v>141</v>
      </c>
      <c r="AQ5359">
        <v>1</v>
      </c>
      <c r="AR5359" t="s">
        <v>80</v>
      </c>
      <c r="AS5359" t="s">
        <v>81</v>
      </c>
      <c r="AT5359" t="s">
        <v>58</v>
      </c>
      <c r="AU5359" t="s">
        <v>8673</v>
      </c>
      <c r="AV5359" t="s">
        <v>132</v>
      </c>
      <c r="AW5359" s="1">
        <v>29313</v>
      </c>
      <c r="AX5359">
        <v>1</v>
      </c>
    </row>
    <row r="5360" spans="1:50">
      <c r="A5360">
        <v>557238</v>
      </c>
      <c r="B5360" t="str">
        <f>"063610874"</f>
        <v>063610874</v>
      </c>
      <c r="C5360" t="s">
        <v>50</v>
      </c>
      <c r="D5360" t="s">
        <v>1430</v>
      </c>
      <c r="E5360" t="s">
        <v>250</v>
      </c>
      <c r="F5360" t="s">
        <v>1070</v>
      </c>
      <c r="G5360" t="s">
        <v>83</v>
      </c>
      <c r="H5360" t="str">
        <f>"ΒΑΡΝΗΣ 12 ΗΡΑΚΛΕΙΟ"</f>
        <v>ΒΑΡΝΗΣ 12 ΗΡΑΚΛΕΙΟ</v>
      </c>
      <c r="I5360">
        <v>71305</v>
      </c>
      <c r="J5360">
        <v>2810262287</v>
      </c>
      <c r="K5360">
        <v>6974049175</v>
      </c>
      <c r="N5360" t="s">
        <v>615</v>
      </c>
      <c r="O5360" t="s">
        <v>616</v>
      </c>
      <c r="P5360" t="s">
        <v>257</v>
      </c>
      <c r="Q5360" t="s">
        <v>258</v>
      </c>
      <c r="R5360" t="s">
        <v>57</v>
      </c>
      <c r="S5360">
        <v>16</v>
      </c>
      <c r="T5360">
        <v>168</v>
      </c>
      <c r="U5360" s="1">
        <v>32010</v>
      </c>
      <c r="V5360" t="s">
        <v>80</v>
      </c>
      <c r="W5360" t="s">
        <v>81</v>
      </c>
      <c r="X5360" t="s">
        <v>58</v>
      </c>
      <c r="Y5360">
        <v>21</v>
      </c>
      <c r="Z5360" t="s">
        <v>59</v>
      </c>
      <c r="AA5360" t="s">
        <v>59</v>
      </c>
      <c r="AB5360" t="s">
        <v>59</v>
      </c>
      <c r="AC5360" t="s">
        <v>59</v>
      </c>
      <c r="AD5360" t="s">
        <v>59</v>
      </c>
      <c r="AF5360" s="1">
        <v>32021</v>
      </c>
      <c r="AG5360" t="s">
        <v>8645</v>
      </c>
      <c r="AH5360" t="s">
        <v>8646</v>
      </c>
      <c r="AI5360" t="str">
        <f>"9170425"</f>
        <v>9170425</v>
      </c>
      <c r="AJ5360" t="s">
        <v>9350</v>
      </c>
      <c r="AK5360">
        <v>2810250261</v>
      </c>
      <c r="AL5360" t="s">
        <v>9351</v>
      </c>
      <c r="AM5360" t="s">
        <v>78</v>
      </c>
      <c r="AN5360" t="s">
        <v>78</v>
      </c>
      <c r="AO5360" t="s">
        <v>78</v>
      </c>
      <c r="AP5360" t="s">
        <v>141</v>
      </c>
      <c r="AQ5360">
        <v>1</v>
      </c>
      <c r="AR5360" t="s">
        <v>80</v>
      </c>
      <c r="AS5360" t="s">
        <v>81</v>
      </c>
      <c r="AT5360" t="s">
        <v>58</v>
      </c>
      <c r="AU5360" t="s">
        <v>68</v>
      </c>
      <c r="AV5360" t="s">
        <v>69</v>
      </c>
      <c r="AW5360" s="1">
        <v>21278</v>
      </c>
      <c r="AX5360">
        <v>1</v>
      </c>
    </row>
    <row r="5361" spans="1:50">
      <c r="A5361">
        <v>580543</v>
      </c>
      <c r="B5361" t="str">
        <f>"047277354"</f>
        <v>047277354</v>
      </c>
      <c r="C5361" t="s">
        <v>50</v>
      </c>
      <c r="D5361" t="s">
        <v>1430</v>
      </c>
      <c r="E5361" t="s">
        <v>215</v>
      </c>
      <c r="F5361" t="s">
        <v>95</v>
      </c>
      <c r="G5361" t="s">
        <v>96</v>
      </c>
      <c r="H5361" t="str">
        <f>"ΔΙΟΣ 7 ΗΡΑΚΛΕΙΟ"</f>
        <v>ΔΙΟΣ 7 ΗΡΑΚΛΕΙΟ</v>
      </c>
      <c r="I5361">
        <v>71305</v>
      </c>
      <c r="J5361">
        <v>2810323511</v>
      </c>
      <c r="K5361">
        <v>6977925870</v>
      </c>
      <c r="M5361" t="s">
        <v>9681</v>
      </c>
      <c r="N5361" t="s">
        <v>337</v>
      </c>
      <c r="O5361" t="s">
        <v>338</v>
      </c>
      <c r="R5361" t="s">
        <v>57</v>
      </c>
      <c r="S5361">
        <v>11</v>
      </c>
      <c r="T5361">
        <v>65</v>
      </c>
      <c r="U5361" s="1">
        <v>35146</v>
      </c>
      <c r="V5361" t="s">
        <v>80</v>
      </c>
      <c r="W5361" t="s">
        <v>81</v>
      </c>
      <c r="X5361" t="s">
        <v>58</v>
      </c>
      <c r="Y5361">
        <v>21</v>
      </c>
      <c r="Z5361" t="s">
        <v>59</v>
      </c>
      <c r="AA5361" t="s">
        <v>59</v>
      </c>
      <c r="AB5361" t="s">
        <v>59</v>
      </c>
      <c r="AC5361" t="s">
        <v>59</v>
      </c>
      <c r="AD5361" t="s">
        <v>59</v>
      </c>
      <c r="AF5361" s="1">
        <v>35160</v>
      </c>
      <c r="AG5361" t="s">
        <v>8645</v>
      </c>
      <c r="AH5361" t="s">
        <v>8646</v>
      </c>
      <c r="AI5361" t="str">
        <f>"9170343"</f>
        <v>9170343</v>
      </c>
      <c r="AJ5361" t="s">
        <v>8743</v>
      </c>
      <c r="AK5361">
        <v>2810283970</v>
      </c>
      <c r="AL5361" t="s">
        <v>8744</v>
      </c>
      <c r="AM5361" t="s">
        <v>78</v>
      </c>
      <c r="AN5361" t="s">
        <v>78</v>
      </c>
      <c r="AO5361" t="s">
        <v>78</v>
      </c>
      <c r="AP5361" t="s">
        <v>79</v>
      </c>
      <c r="AQ5361">
        <v>1</v>
      </c>
      <c r="AR5361" t="s">
        <v>80</v>
      </c>
      <c r="AS5361" t="s">
        <v>81</v>
      </c>
      <c r="AT5361" t="s">
        <v>58</v>
      </c>
      <c r="AU5361" t="s">
        <v>68</v>
      </c>
      <c r="AV5361" t="s">
        <v>69</v>
      </c>
      <c r="AW5361" s="1">
        <v>25787</v>
      </c>
      <c r="AX5361">
        <v>1</v>
      </c>
    </row>
    <row r="5362" spans="1:50">
      <c r="A5362">
        <v>597117</v>
      </c>
      <c r="B5362" t="str">
        <f>"074909240"</f>
        <v>074909240</v>
      </c>
      <c r="C5362" t="s">
        <v>50</v>
      </c>
      <c r="D5362" t="s">
        <v>1430</v>
      </c>
      <c r="E5362" t="s">
        <v>473</v>
      </c>
      <c r="F5362" t="s">
        <v>72</v>
      </c>
      <c r="G5362" t="s">
        <v>73</v>
      </c>
      <c r="H5362" t="str">
        <f>"ΑΡΓΥΡΟΚΑΣΤΡΟΥ 50 ΗΡΑΚΛΕΙΟ"</f>
        <v>ΑΡΓΥΡΟΚΑΣΤΡΟΥ 50 ΗΡΑΚΛΕΙΟ</v>
      </c>
      <c r="I5362">
        <v>71307</v>
      </c>
      <c r="J5362">
        <v>2810344379</v>
      </c>
      <c r="K5362">
        <v>6972826237</v>
      </c>
      <c r="N5362" t="s">
        <v>1525</v>
      </c>
      <c r="O5362" t="s">
        <v>1526</v>
      </c>
      <c r="R5362" t="s">
        <v>57</v>
      </c>
      <c r="S5362">
        <v>10</v>
      </c>
      <c r="T5362">
        <v>195</v>
      </c>
      <c r="U5362" s="1">
        <v>37497</v>
      </c>
      <c r="V5362" t="s">
        <v>80</v>
      </c>
      <c r="W5362" t="s">
        <v>81</v>
      </c>
      <c r="X5362" t="s">
        <v>58</v>
      </c>
      <c r="Y5362">
        <v>25</v>
      </c>
      <c r="Z5362" t="s">
        <v>59</v>
      </c>
      <c r="AA5362" t="s">
        <v>59</v>
      </c>
      <c r="AB5362" t="s">
        <v>59</v>
      </c>
      <c r="AC5362" t="s">
        <v>59</v>
      </c>
      <c r="AD5362" t="s">
        <v>59</v>
      </c>
      <c r="AF5362" s="1">
        <v>37501</v>
      </c>
      <c r="AG5362" t="s">
        <v>8651</v>
      </c>
      <c r="AH5362" t="s">
        <v>8652</v>
      </c>
      <c r="AI5362" t="str">
        <f>"9170541"</f>
        <v>9170541</v>
      </c>
      <c r="AJ5362" t="s">
        <v>9682</v>
      </c>
      <c r="AK5362">
        <v>2810333698</v>
      </c>
      <c r="AL5362" t="s">
        <v>9683</v>
      </c>
      <c r="AM5362" t="s">
        <v>78</v>
      </c>
      <c r="AN5362" t="s">
        <v>78</v>
      </c>
      <c r="AO5362" t="s">
        <v>286</v>
      </c>
      <c r="AP5362" t="s">
        <v>9046</v>
      </c>
      <c r="AQ5362">
        <v>1</v>
      </c>
      <c r="AR5362" t="s">
        <v>80</v>
      </c>
      <c r="AS5362" t="s">
        <v>81</v>
      </c>
      <c r="AT5362" t="s">
        <v>58</v>
      </c>
      <c r="AU5362" t="s">
        <v>68</v>
      </c>
      <c r="AV5362" t="s">
        <v>69</v>
      </c>
      <c r="AW5362" s="1">
        <v>25697</v>
      </c>
      <c r="AX5362">
        <v>1</v>
      </c>
    </row>
    <row r="5363" spans="1:50">
      <c r="A5363">
        <v>590476</v>
      </c>
      <c r="B5363" t="str">
        <f>"103843988"</f>
        <v>103843988</v>
      </c>
      <c r="C5363" t="s">
        <v>50</v>
      </c>
      <c r="D5363" t="s">
        <v>1430</v>
      </c>
      <c r="E5363" t="s">
        <v>5794</v>
      </c>
      <c r="F5363" t="s">
        <v>377</v>
      </c>
      <c r="G5363" t="s">
        <v>112</v>
      </c>
      <c r="H5363" t="str">
        <f>"ΕΠΙΔΑΥΡΟΥ 6 ΗΡΑΚΛΕΙΟ"</f>
        <v>ΕΠΙΔΑΥΡΟΥ 6 ΗΡΑΚΛΕΙΟ</v>
      </c>
      <c r="I5363">
        <v>71306</v>
      </c>
      <c r="J5363">
        <v>2810211817</v>
      </c>
      <c r="K5363">
        <v>6972129736</v>
      </c>
      <c r="N5363" t="s">
        <v>337</v>
      </c>
      <c r="O5363" t="s">
        <v>338</v>
      </c>
      <c r="R5363" t="s">
        <v>57</v>
      </c>
      <c r="S5363">
        <v>9</v>
      </c>
      <c r="T5363">
        <v>177</v>
      </c>
      <c r="U5363" s="1">
        <v>36403</v>
      </c>
      <c r="V5363" t="s">
        <v>80</v>
      </c>
      <c r="W5363" t="s">
        <v>81</v>
      </c>
      <c r="X5363" t="s">
        <v>58</v>
      </c>
      <c r="Y5363">
        <v>22</v>
      </c>
      <c r="Z5363" t="s">
        <v>59</v>
      </c>
      <c r="AA5363" t="s">
        <v>59</v>
      </c>
      <c r="AB5363" t="s">
        <v>59</v>
      </c>
      <c r="AC5363" t="s">
        <v>59</v>
      </c>
      <c r="AD5363" t="s">
        <v>59</v>
      </c>
      <c r="AF5363" s="1">
        <v>36409</v>
      </c>
      <c r="AG5363" t="s">
        <v>8645</v>
      </c>
      <c r="AH5363" t="s">
        <v>8646</v>
      </c>
      <c r="AI5363" t="str">
        <f>"9170257"</f>
        <v>9170257</v>
      </c>
      <c r="AJ5363" t="s">
        <v>8710</v>
      </c>
      <c r="AK5363">
        <v>2810245513</v>
      </c>
      <c r="AL5363" t="s">
        <v>8711</v>
      </c>
      <c r="AM5363" t="s">
        <v>78</v>
      </c>
      <c r="AN5363" t="s">
        <v>78</v>
      </c>
      <c r="AO5363" t="s">
        <v>78</v>
      </c>
      <c r="AP5363" t="s">
        <v>213</v>
      </c>
      <c r="AQ5363">
        <v>1</v>
      </c>
      <c r="AR5363" t="s">
        <v>80</v>
      </c>
      <c r="AS5363" t="s">
        <v>81</v>
      </c>
      <c r="AT5363" t="s">
        <v>58</v>
      </c>
      <c r="AU5363" t="s">
        <v>68</v>
      </c>
      <c r="AV5363" t="s">
        <v>69</v>
      </c>
      <c r="AW5363" s="1">
        <v>26641</v>
      </c>
      <c r="AX5363">
        <v>1</v>
      </c>
    </row>
    <row r="5364" spans="1:50">
      <c r="A5364">
        <v>611688</v>
      </c>
      <c r="B5364" t="str">
        <f>"066363329"</f>
        <v>066363329</v>
      </c>
      <c r="C5364" t="s">
        <v>50</v>
      </c>
      <c r="D5364" t="s">
        <v>1430</v>
      </c>
      <c r="E5364" t="s">
        <v>314</v>
      </c>
      <c r="F5364" t="s">
        <v>154</v>
      </c>
      <c r="G5364" t="s">
        <v>3150</v>
      </c>
      <c r="H5364" t="str">
        <f>"ΣΤΡΥΜΟΝΟΣ 11 ΗΡΑΚΛΕΙΟ"</f>
        <v>ΣΤΡΥΜΟΝΟΣ 11 ΗΡΑΚΛΕΙΟ</v>
      </c>
      <c r="I5364">
        <v>71304</v>
      </c>
      <c r="J5364">
        <v>2810372802</v>
      </c>
      <c r="K5364">
        <v>6974058555</v>
      </c>
      <c r="M5364" t="s">
        <v>9684</v>
      </c>
      <c r="N5364" t="s">
        <v>1525</v>
      </c>
      <c r="O5364" t="s">
        <v>1526</v>
      </c>
      <c r="R5364" t="s">
        <v>57</v>
      </c>
      <c r="S5364">
        <v>6</v>
      </c>
      <c r="T5364">
        <v>233</v>
      </c>
      <c r="U5364" s="1">
        <v>38960</v>
      </c>
      <c r="V5364" t="s">
        <v>80</v>
      </c>
      <c r="W5364" t="s">
        <v>81</v>
      </c>
      <c r="X5364" t="s">
        <v>58</v>
      </c>
      <c r="Y5364">
        <v>25</v>
      </c>
      <c r="Z5364" t="s">
        <v>59</v>
      </c>
      <c r="AA5364" t="s">
        <v>59</v>
      </c>
      <c r="AB5364" t="s">
        <v>59</v>
      </c>
      <c r="AC5364" t="s">
        <v>59</v>
      </c>
      <c r="AD5364" t="s">
        <v>59</v>
      </c>
      <c r="AF5364" s="1">
        <v>38961</v>
      </c>
      <c r="AG5364" t="s">
        <v>8651</v>
      </c>
      <c r="AH5364" t="s">
        <v>8652</v>
      </c>
      <c r="AI5364" t="str">
        <f>"9170410"</f>
        <v>9170410</v>
      </c>
      <c r="AJ5364" t="s">
        <v>8751</v>
      </c>
      <c r="AK5364">
        <v>2810251805</v>
      </c>
      <c r="AL5364" t="s">
        <v>8752</v>
      </c>
      <c r="AM5364" t="s">
        <v>78</v>
      </c>
      <c r="AN5364" t="s">
        <v>78</v>
      </c>
      <c r="AO5364" t="s">
        <v>78</v>
      </c>
      <c r="AP5364" t="s">
        <v>141</v>
      </c>
      <c r="AQ5364">
        <v>1</v>
      </c>
      <c r="AR5364" t="s">
        <v>80</v>
      </c>
      <c r="AS5364" t="s">
        <v>81</v>
      </c>
      <c r="AT5364" t="s">
        <v>58</v>
      </c>
      <c r="AU5364" t="s">
        <v>68</v>
      </c>
      <c r="AV5364" t="s">
        <v>69</v>
      </c>
      <c r="AW5364" s="1">
        <v>29533</v>
      </c>
      <c r="AX5364">
        <v>1</v>
      </c>
    </row>
    <row r="5365" spans="1:50">
      <c r="A5365">
        <v>574430</v>
      </c>
      <c r="B5365" t="str">
        <f>"103826746"</f>
        <v>103826746</v>
      </c>
      <c r="C5365" t="s">
        <v>50</v>
      </c>
      <c r="D5365" t="s">
        <v>1430</v>
      </c>
      <c r="E5365" t="s">
        <v>52</v>
      </c>
      <c r="F5365" t="s">
        <v>95</v>
      </c>
      <c r="G5365" t="s">
        <v>109</v>
      </c>
      <c r="H5365" t="str">
        <f>"ΠΑΡΟΔΟΣ ΠΑΤΡΑΜΑΝΗ-ΒΑΣΙΛΕΙΕΣ ΗΡΑΚΛΕΙΟ"</f>
        <v>ΠΑΡΟΔΟΣ ΠΑΤΡΑΜΑΝΗ-ΒΑΣΙΛΕΙΕΣ ΗΡΑΚΛΕΙΟ</v>
      </c>
      <c r="I5365">
        <v>71500</v>
      </c>
      <c r="K5365">
        <v>6972871963</v>
      </c>
      <c r="N5365" t="s">
        <v>1525</v>
      </c>
      <c r="O5365" t="s">
        <v>1526</v>
      </c>
      <c r="R5365" t="s">
        <v>57</v>
      </c>
      <c r="S5365">
        <v>13</v>
      </c>
      <c r="T5365">
        <v>160</v>
      </c>
      <c r="U5365" s="1">
        <v>34582</v>
      </c>
      <c r="V5365" t="s">
        <v>80</v>
      </c>
      <c r="W5365" t="s">
        <v>81</v>
      </c>
      <c r="X5365" t="s">
        <v>58</v>
      </c>
      <c r="Y5365">
        <v>25</v>
      </c>
      <c r="Z5365" t="s">
        <v>59</v>
      </c>
      <c r="AA5365" t="s">
        <v>59</v>
      </c>
      <c r="AB5365" t="s">
        <v>59</v>
      </c>
      <c r="AC5365" t="s">
        <v>59</v>
      </c>
      <c r="AD5365" t="s">
        <v>59</v>
      </c>
      <c r="AF5365" s="1">
        <v>34582</v>
      </c>
      <c r="AG5365" t="s">
        <v>8651</v>
      </c>
      <c r="AH5365" t="s">
        <v>8652</v>
      </c>
      <c r="AI5365" t="str">
        <f>"9521596"</f>
        <v>9521596</v>
      </c>
      <c r="AJ5365" t="s">
        <v>9685</v>
      </c>
      <c r="AK5365">
        <v>2810324977</v>
      </c>
      <c r="AL5365" t="s">
        <v>9686</v>
      </c>
      <c r="AM5365" t="s">
        <v>78</v>
      </c>
      <c r="AN5365" t="s">
        <v>78</v>
      </c>
      <c r="AO5365" t="s">
        <v>78</v>
      </c>
      <c r="AP5365" t="s">
        <v>163</v>
      </c>
      <c r="AQ5365">
        <v>1</v>
      </c>
      <c r="AR5365" t="s">
        <v>80</v>
      </c>
      <c r="AS5365" t="s">
        <v>81</v>
      </c>
      <c r="AT5365" t="s">
        <v>58</v>
      </c>
      <c r="AU5365" t="s">
        <v>68</v>
      </c>
      <c r="AV5365" t="s">
        <v>69</v>
      </c>
      <c r="AW5365" s="1">
        <v>23614</v>
      </c>
      <c r="AX5365">
        <v>1</v>
      </c>
    </row>
    <row r="5366" spans="1:50">
      <c r="A5366">
        <v>591144</v>
      </c>
      <c r="B5366" t="str">
        <f>"036324655"</f>
        <v>036324655</v>
      </c>
      <c r="C5366" t="s">
        <v>50</v>
      </c>
      <c r="D5366" t="s">
        <v>1430</v>
      </c>
      <c r="E5366" t="s">
        <v>52</v>
      </c>
      <c r="F5366" t="s">
        <v>72</v>
      </c>
      <c r="G5366" t="s">
        <v>237</v>
      </c>
      <c r="H5366" t="str">
        <f>"ΚΑΠΕΤΑΝ ΚΟΥΡΜΟΥΛΗ 28 ΗΡΑΚΛΕΙΟ"</f>
        <v>ΚΑΠΕΤΑΝ ΚΟΥΡΜΟΥΛΗ 28 ΗΡΑΚΛΕΙΟ</v>
      </c>
      <c r="I5366">
        <v>70400</v>
      </c>
      <c r="J5366">
        <v>2892024867</v>
      </c>
      <c r="K5366">
        <v>6941625191</v>
      </c>
      <c r="M5366" t="s">
        <v>9687</v>
      </c>
      <c r="N5366" t="s">
        <v>615</v>
      </c>
      <c r="O5366" t="s">
        <v>616</v>
      </c>
      <c r="R5366" t="s">
        <v>57</v>
      </c>
      <c r="S5366">
        <v>10</v>
      </c>
      <c r="T5366">
        <v>249</v>
      </c>
      <c r="U5366" s="1">
        <v>36769</v>
      </c>
      <c r="V5366" t="s">
        <v>80</v>
      </c>
      <c r="W5366" t="s">
        <v>81</v>
      </c>
      <c r="X5366" t="s">
        <v>58</v>
      </c>
      <c r="Y5366">
        <v>21</v>
      </c>
      <c r="Z5366" t="s">
        <v>59</v>
      </c>
      <c r="AA5366" t="s">
        <v>59</v>
      </c>
      <c r="AB5366" t="s">
        <v>59</v>
      </c>
      <c r="AC5366" t="s">
        <v>59</v>
      </c>
      <c r="AD5366" t="s">
        <v>59</v>
      </c>
      <c r="AF5366" s="1">
        <v>36770</v>
      </c>
      <c r="AG5366" t="s">
        <v>8645</v>
      </c>
      <c r="AH5366" t="s">
        <v>8646</v>
      </c>
      <c r="AI5366" t="str">
        <f>"9170327"</f>
        <v>9170327</v>
      </c>
      <c r="AJ5366" t="s">
        <v>8963</v>
      </c>
      <c r="AK5366">
        <v>2892091234</v>
      </c>
      <c r="AL5366" t="s">
        <v>8964</v>
      </c>
      <c r="AM5366" t="s">
        <v>78</v>
      </c>
      <c r="AN5366" t="s">
        <v>242</v>
      </c>
      <c r="AO5366" t="s">
        <v>349</v>
      </c>
      <c r="AP5366" t="s">
        <v>8965</v>
      </c>
      <c r="AQ5366">
        <v>19</v>
      </c>
      <c r="AR5366" t="s">
        <v>80</v>
      </c>
      <c r="AS5366" t="s">
        <v>81</v>
      </c>
      <c r="AT5366" t="s">
        <v>58</v>
      </c>
      <c r="AU5366" t="s">
        <v>68</v>
      </c>
      <c r="AV5366" t="s">
        <v>69</v>
      </c>
      <c r="AW5366" s="1">
        <v>25044</v>
      </c>
      <c r="AX5366">
        <v>1</v>
      </c>
    </row>
    <row r="5367" spans="1:50">
      <c r="A5367">
        <v>561436</v>
      </c>
      <c r="B5367" t="str">
        <f>"065140935"</f>
        <v>065140935</v>
      </c>
      <c r="C5367" t="s">
        <v>50</v>
      </c>
      <c r="D5367" t="s">
        <v>1430</v>
      </c>
      <c r="E5367" t="s">
        <v>52</v>
      </c>
      <c r="F5367" t="s">
        <v>9688</v>
      </c>
      <c r="G5367" t="s">
        <v>250</v>
      </c>
      <c r="H5367" t="str">
        <f>"ΕΟΚ 2 ΗΡΑΚΛΕΙΟ"</f>
        <v>ΕΟΚ 2 ΗΡΑΚΛΕΙΟ</v>
      </c>
      <c r="I5367">
        <v>71305</v>
      </c>
      <c r="J5367">
        <v>2810314148</v>
      </c>
      <c r="K5367">
        <v>6938000909</v>
      </c>
      <c r="N5367" t="s">
        <v>615</v>
      </c>
      <c r="O5367" t="s">
        <v>616</v>
      </c>
      <c r="R5367" t="s">
        <v>57</v>
      </c>
      <c r="S5367">
        <v>16</v>
      </c>
      <c r="T5367">
        <v>159</v>
      </c>
      <c r="U5367" s="1">
        <v>32385</v>
      </c>
      <c r="V5367" t="s">
        <v>80</v>
      </c>
      <c r="W5367" t="s">
        <v>81</v>
      </c>
      <c r="X5367" t="s">
        <v>58</v>
      </c>
      <c r="Y5367">
        <v>21</v>
      </c>
      <c r="Z5367" t="s">
        <v>59</v>
      </c>
      <c r="AA5367" t="s">
        <v>59</v>
      </c>
      <c r="AB5367" t="s">
        <v>59</v>
      </c>
      <c r="AC5367" t="s">
        <v>59</v>
      </c>
      <c r="AD5367" t="s">
        <v>59</v>
      </c>
      <c r="AF5367" s="1">
        <v>32388</v>
      </c>
      <c r="AG5367" t="s">
        <v>8645</v>
      </c>
      <c r="AH5367" t="s">
        <v>8646</v>
      </c>
      <c r="AI5367" t="str">
        <f>"9170058"</f>
        <v>9170058</v>
      </c>
      <c r="AJ5367" t="s">
        <v>8735</v>
      </c>
      <c r="AK5367">
        <v>2810252903</v>
      </c>
      <c r="AL5367" t="s">
        <v>8736</v>
      </c>
      <c r="AM5367" t="s">
        <v>78</v>
      </c>
      <c r="AN5367" t="s">
        <v>78</v>
      </c>
      <c r="AO5367" t="s">
        <v>78</v>
      </c>
      <c r="AP5367" t="s">
        <v>163</v>
      </c>
      <c r="AQ5367">
        <v>1</v>
      </c>
      <c r="AR5367" t="s">
        <v>80</v>
      </c>
      <c r="AS5367" t="s">
        <v>81</v>
      </c>
      <c r="AT5367" t="s">
        <v>58</v>
      </c>
      <c r="AU5367" t="s">
        <v>68</v>
      </c>
      <c r="AV5367" t="s">
        <v>69</v>
      </c>
      <c r="AW5367" s="1">
        <v>22665</v>
      </c>
      <c r="AX5367">
        <v>1</v>
      </c>
    </row>
    <row r="5368" spans="1:50">
      <c r="A5368">
        <v>601046</v>
      </c>
      <c r="B5368" t="str">
        <f>"046200678"</f>
        <v>046200678</v>
      </c>
      <c r="C5368" t="s">
        <v>50</v>
      </c>
      <c r="D5368" t="s">
        <v>1430</v>
      </c>
      <c r="E5368" t="s">
        <v>1440</v>
      </c>
      <c r="F5368" t="s">
        <v>106</v>
      </c>
      <c r="G5368" t="s">
        <v>52</v>
      </c>
      <c r="H5368" t="str">
        <f>"Γιολδάση 13 Μεσαμπελιές"</f>
        <v>Γιολδάση 13 Μεσαμπελιές</v>
      </c>
      <c r="J5368">
        <v>2810210310</v>
      </c>
      <c r="K5368">
        <v>6945995797</v>
      </c>
      <c r="M5368" t="s">
        <v>9689</v>
      </c>
      <c r="N5368" t="s">
        <v>615</v>
      </c>
      <c r="O5368" t="s">
        <v>616</v>
      </c>
      <c r="R5368" t="s">
        <v>57</v>
      </c>
      <c r="S5368">
        <v>8</v>
      </c>
      <c r="T5368">
        <v>207</v>
      </c>
      <c r="U5368" s="1">
        <v>37867</v>
      </c>
      <c r="V5368" t="s">
        <v>80</v>
      </c>
      <c r="W5368" t="s">
        <v>81</v>
      </c>
      <c r="X5368" t="s">
        <v>58</v>
      </c>
      <c r="Y5368">
        <v>22</v>
      </c>
      <c r="Z5368" t="s">
        <v>59</v>
      </c>
      <c r="AA5368" t="s">
        <v>59</v>
      </c>
      <c r="AB5368" t="s">
        <v>59</v>
      </c>
      <c r="AC5368" t="s">
        <v>59</v>
      </c>
      <c r="AD5368" t="s">
        <v>59</v>
      </c>
      <c r="AF5368" s="1">
        <v>37867</v>
      </c>
      <c r="AG5368" t="s">
        <v>8645</v>
      </c>
      <c r="AH5368" t="s">
        <v>8646</v>
      </c>
      <c r="AI5368" t="str">
        <f>"9170191"</f>
        <v>9170191</v>
      </c>
      <c r="AJ5368" t="s">
        <v>8667</v>
      </c>
      <c r="AK5368">
        <v>2810231459</v>
      </c>
      <c r="AL5368" t="s">
        <v>8668</v>
      </c>
      <c r="AM5368" t="s">
        <v>78</v>
      </c>
      <c r="AN5368" t="s">
        <v>78</v>
      </c>
      <c r="AO5368" t="s">
        <v>78</v>
      </c>
      <c r="AP5368" t="s">
        <v>163</v>
      </c>
      <c r="AQ5368">
        <v>1</v>
      </c>
      <c r="AR5368" t="s">
        <v>80</v>
      </c>
      <c r="AS5368" t="s">
        <v>81</v>
      </c>
      <c r="AT5368" t="s">
        <v>58</v>
      </c>
      <c r="AU5368" t="s">
        <v>68</v>
      </c>
      <c r="AV5368" t="s">
        <v>69</v>
      </c>
      <c r="AW5368" s="1">
        <v>26235</v>
      </c>
      <c r="AX5368">
        <v>1</v>
      </c>
    </row>
    <row r="5369" spans="1:50">
      <c r="A5369">
        <v>613288</v>
      </c>
      <c r="B5369" t="str">
        <f>"128323570"</f>
        <v>128323570</v>
      </c>
      <c r="C5369" t="s">
        <v>50</v>
      </c>
      <c r="D5369" t="s">
        <v>1430</v>
      </c>
      <c r="E5369" t="s">
        <v>54</v>
      </c>
      <c r="F5369" t="s">
        <v>166</v>
      </c>
      <c r="G5369" t="s">
        <v>73</v>
      </c>
      <c r="H5369" t="str">
        <f>"ΜΕΓ. ΒΡΥΣΗ ΜΟΝΟΦΑΤΣΙΟΥ ΗΡΑΚΛΕΙΟ"</f>
        <v>ΜΕΓ. ΒΡΥΣΗ ΜΟΝΟΦΑΤΣΙΟΥ ΗΡΑΚΛΕΙΟ</v>
      </c>
      <c r="I5369">
        <v>70003</v>
      </c>
      <c r="J5369">
        <v>2894023519</v>
      </c>
      <c r="K5369">
        <v>6980633895</v>
      </c>
      <c r="N5369" t="s">
        <v>615</v>
      </c>
      <c r="O5369" t="s">
        <v>616</v>
      </c>
      <c r="R5369" t="s">
        <v>57</v>
      </c>
      <c r="S5369">
        <v>6</v>
      </c>
      <c r="T5369">
        <v>598</v>
      </c>
      <c r="U5369" s="1">
        <v>39310</v>
      </c>
      <c r="V5369" t="s">
        <v>80</v>
      </c>
      <c r="W5369" t="s">
        <v>81</v>
      </c>
      <c r="X5369" t="s">
        <v>58</v>
      </c>
      <c r="Y5369">
        <v>23</v>
      </c>
      <c r="Z5369" t="s">
        <v>59</v>
      </c>
      <c r="AA5369" t="s">
        <v>59</v>
      </c>
      <c r="AB5369" t="s">
        <v>59</v>
      </c>
      <c r="AC5369" t="s">
        <v>59</v>
      </c>
      <c r="AD5369" t="s">
        <v>59</v>
      </c>
      <c r="AF5369" s="1">
        <v>39328</v>
      </c>
      <c r="AG5369" t="s">
        <v>8645</v>
      </c>
      <c r="AH5369" t="s">
        <v>8646</v>
      </c>
      <c r="AI5369" t="str">
        <f>"9170431"</f>
        <v>9170431</v>
      </c>
      <c r="AJ5369" t="s">
        <v>8658</v>
      </c>
      <c r="AK5369">
        <v>2810250952</v>
      </c>
      <c r="AL5369" t="s">
        <v>8659</v>
      </c>
      <c r="AM5369" t="s">
        <v>78</v>
      </c>
      <c r="AN5369" t="s">
        <v>78</v>
      </c>
      <c r="AO5369" t="s">
        <v>78</v>
      </c>
      <c r="AP5369" t="s">
        <v>141</v>
      </c>
      <c r="AQ5369">
        <v>1</v>
      </c>
      <c r="AR5369" t="s">
        <v>80</v>
      </c>
      <c r="AS5369" t="s">
        <v>81</v>
      </c>
      <c r="AT5369" t="s">
        <v>58</v>
      </c>
      <c r="AU5369" t="s">
        <v>68</v>
      </c>
      <c r="AV5369" t="s">
        <v>69</v>
      </c>
      <c r="AW5369" s="1">
        <v>30152</v>
      </c>
      <c r="AX5369">
        <v>1</v>
      </c>
    </row>
    <row r="5370" spans="1:50">
      <c r="B5370" t="str">
        <f>"155358133"</f>
        <v>155358133</v>
      </c>
      <c r="C5370" t="s">
        <v>50</v>
      </c>
      <c r="D5370" t="s">
        <v>9690</v>
      </c>
      <c r="E5370" t="s">
        <v>237</v>
      </c>
      <c r="F5370" t="s">
        <v>1679</v>
      </c>
      <c r="G5370" t="s">
        <v>143</v>
      </c>
      <c r="H5370" t="str">
        <f>" "</f>
        <v xml:space="preserve"> </v>
      </c>
      <c r="N5370" t="s">
        <v>615</v>
      </c>
      <c r="O5370" t="s">
        <v>616</v>
      </c>
      <c r="R5370" t="s">
        <v>121</v>
      </c>
      <c r="S5370">
        <v>1</v>
      </c>
      <c r="T5370" t="s">
        <v>8675</v>
      </c>
      <c r="U5370" s="1">
        <v>43348</v>
      </c>
      <c r="V5370" t="s">
        <v>80</v>
      </c>
      <c r="W5370" t="s">
        <v>81</v>
      </c>
      <c r="X5370" t="s">
        <v>58</v>
      </c>
      <c r="Y5370">
        <v>24</v>
      </c>
      <c r="Z5370" t="s">
        <v>59</v>
      </c>
      <c r="AA5370" t="s">
        <v>59</v>
      </c>
      <c r="AB5370" t="s">
        <v>59</v>
      </c>
      <c r="AD5370" t="s">
        <v>59</v>
      </c>
      <c r="AF5370" s="1">
        <v>43348</v>
      </c>
      <c r="AG5370" t="s">
        <v>8645</v>
      </c>
      <c r="AH5370" t="s">
        <v>8676</v>
      </c>
      <c r="AI5370" t="str">
        <f>"9170290"</f>
        <v>9170290</v>
      </c>
      <c r="AJ5370" t="s">
        <v>9691</v>
      </c>
      <c r="AK5370">
        <v>2892094350</v>
      </c>
      <c r="AL5370" t="s">
        <v>9692</v>
      </c>
      <c r="AM5370" t="s">
        <v>78</v>
      </c>
      <c r="AN5370" t="s">
        <v>405</v>
      </c>
      <c r="AO5370" t="s">
        <v>405</v>
      </c>
      <c r="AP5370" t="s">
        <v>9693</v>
      </c>
      <c r="AQ5370">
        <v>16</v>
      </c>
      <c r="AR5370" t="s">
        <v>80</v>
      </c>
      <c r="AS5370" t="s">
        <v>81</v>
      </c>
      <c r="AT5370" t="s">
        <v>58</v>
      </c>
      <c r="AU5370" t="s">
        <v>8673</v>
      </c>
      <c r="AV5370" t="s">
        <v>132</v>
      </c>
      <c r="AW5370" s="1">
        <v>32307</v>
      </c>
      <c r="AX5370">
        <v>1</v>
      </c>
    </row>
    <row r="5371" spans="1:50">
      <c r="A5371">
        <v>611032</v>
      </c>
      <c r="B5371" t="str">
        <f>"079670355"</f>
        <v>079670355</v>
      </c>
      <c r="C5371" t="s">
        <v>50</v>
      </c>
      <c r="D5371" t="s">
        <v>9690</v>
      </c>
      <c r="E5371" t="s">
        <v>2314</v>
      </c>
      <c r="F5371" t="s">
        <v>108</v>
      </c>
      <c r="G5371" t="s">
        <v>237</v>
      </c>
      <c r="H5371" t="str">
        <f>"ΜΗΝΑ ΔΗΜΑΚΗ 45 ΗΡΑΚΛΕΙΟ"</f>
        <v>ΜΗΝΑ ΔΗΜΑΚΗ 45 ΗΡΑΚΛΕΙΟ</v>
      </c>
      <c r="I5371">
        <v>71409</v>
      </c>
      <c r="J5371">
        <v>2810211851</v>
      </c>
      <c r="K5371">
        <v>6945700684</v>
      </c>
      <c r="M5371" t="s">
        <v>9694</v>
      </c>
      <c r="N5371" t="s">
        <v>615</v>
      </c>
      <c r="O5371" t="s">
        <v>616</v>
      </c>
      <c r="R5371" t="s">
        <v>57</v>
      </c>
      <c r="S5371">
        <v>9</v>
      </c>
      <c r="T5371">
        <v>233</v>
      </c>
      <c r="U5371" s="1">
        <v>38960</v>
      </c>
      <c r="V5371" t="s">
        <v>80</v>
      </c>
      <c r="W5371" t="s">
        <v>81</v>
      </c>
      <c r="X5371" t="s">
        <v>58</v>
      </c>
      <c r="Y5371">
        <v>22</v>
      </c>
      <c r="Z5371" t="s">
        <v>59</v>
      </c>
      <c r="AA5371" t="s">
        <v>59</v>
      </c>
      <c r="AB5371" t="s">
        <v>59</v>
      </c>
      <c r="AC5371" t="s">
        <v>59</v>
      </c>
      <c r="AD5371" t="s">
        <v>59</v>
      </c>
      <c r="AF5371" s="1">
        <v>38961</v>
      </c>
      <c r="AG5371" t="s">
        <v>8645</v>
      </c>
      <c r="AH5371" t="s">
        <v>8646</v>
      </c>
      <c r="AI5371" t="str">
        <f>"9170534"</f>
        <v>9170534</v>
      </c>
      <c r="AJ5371" t="s">
        <v>8701</v>
      </c>
      <c r="AK5371">
        <v>2810323225</v>
      </c>
      <c r="AL5371" t="s">
        <v>8702</v>
      </c>
      <c r="AM5371" t="s">
        <v>78</v>
      </c>
      <c r="AN5371" t="s">
        <v>78</v>
      </c>
      <c r="AO5371" t="s">
        <v>78</v>
      </c>
      <c r="AP5371" t="s">
        <v>163</v>
      </c>
      <c r="AQ5371">
        <v>1</v>
      </c>
      <c r="AR5371" t="s">
        <v>80</v>
      </c>
      <c r="AS5371" t="s">
        <v>81</v>
      </c>
      <c r="AT5371" t="s">
        <v>58</v>
      </c>
      <c r="AU5371" t="s">
        <v>68</v>
      </c>
      <c r="AV5371" t="s">
        <v>69</v>
      </c>
      <c r="AW5371" s="1">
        <v>29619</v>
      </c>
      <c r="AX5371">
        <v>1</v>
      </c>
    </row>
    <row r="5372" spans="1:50">
      <c r="B5372" t="str">
        <f>"147332603"</f>
        <v>147332603</v>
      </c>
      <c r="C5372" t="s">
        <v>50</v>
      </c>
      <c r="D5372" t="s">
        <v>9695</v>
      </c>
      <c r="E5372" t="s">
        <v>52</v>
      </c>
      <c r="F5372" t="s">
        <v>53</v>
      </c>
      <c r="G5372" t="s">
        <v>620</v>
      </c>
      <c r="H5372" t="str">
        <f>" "</f>
        <v xml:space="preserve"> </v>
      </c>
      <c r="K5372">
        <v>6974331748</v>
      </c>
      <c r="N5372" t="s">
        <v>615</v>
      </c>
      <c r="O5372" t="s">
        <v>616</v>
      </c>
      <c r="R5372" t="s">
        <v>121</v>
      </c>
      <c r="S5372">
        <v>1</v>
      </c>
      <c r="T5372" t="s">
        <v>8717</v>
      </c>
      <c r="U5372" s="1">
        <v>43348</v>
      </c>
      <c r="V5372" t="s">
        <v>80</v>
      </c>
      <c r="W5372" t="s">
        <v>81</v>
      </c>
      <c r="X5372" t="s">
        <v>58</v>
      </c>
      <c r="Y5372">
        <v>24</v>
      </c>
      <c r="Z5372" t="s">
        <v>59</v>
      </c>
      <c r="AA5372" t="s">
        <v>59</v>
      </c>
      <c r="AB5372" t="s">
        <v>59</v>
      </c>
      <c r="AD5372" t="s">
        <v>59</v>
      </c>
      <c r="AF5372" s="1">
        <v>43348</v>
      </c>
      <c r="AG5372" t="s">
        <v>8645</v>
      </c>
      <c r="AH5372" t="s">
        <v>8646</v>
      </c>
      <c r="AI5372" t="str">
        <f>"9170048"</f>
        <v>9170048</v>
      </c>
      <c r="AJ5372" t="s">
        <v>8977</v>
      </c>
      <c r="AK5372">
        <v>2810283303</v>
      </c>
      <c r="AL5372" t="s">
        <v>8978</v>
      </c>
      <c r="AM5372" t="s">
        <v>78</v>
      </c>
      <c r="AN5372" t="s">
        <v>78</v>
      </c>
      <c r="AO5372" t="s">
        <v>78</v>
      </c>
      <c r="AP5372" t="s">
        <v>79</v>
      </c>
      <c r="AQ5372">
        <v>1</v>
      </c>
      <c r="AR5372" t="s">
        <v>80</v>
      </c>
      <c r="AS5372" t="s">
        <v>81</v>
      </c>
      <c r="AT5372" t="s">
        <v>58</v>
      </c>
      <c r="AU5372" t="s">
        <v>8720</v>
      </c>
      <c r="AV5372" t="s">
        <v>132</v>
      </c>
      <c r="AW5372" s="1">
        <v>32675</v>
      </c>
      <c r="AX5372">
        <v>1</v>
      </c>
    </row>
    <row r="5373" spans="1:50">
      <c r="A5373">
        <v>554500</v>
      </c>
      <c r="B5373" t="str">
        <f>"031466693"</f>
        <v>031466693</v>
      </c>
      <c r="C5373" t="s">
        <v>105</v>
      </c>
      <c r="D5373" t="s">
        <v>9696</v>
      </c>
      <c r="E5373" t="s">
        <v>450</v>
      </c>
      <c r="F5373" t="s">
        <v>53</v>
      </c>
      <c r="G5373" t="s">
        <v>54</v>
      </c>
      <c r="H5373" t="str">
        <f>"Π. ΠΡΕΒΕΛΑΚΗ 8 ΓΑΖΙ"</f>
        <v>Π. ΠΡΕΒΕΛΑΚΗ 8 ΓΑΖΙ</v>
      </c>
      <c r="I5373">
        <v>71414</v>
      </c>
      <c r="K5373">
        <v>6979573190</v>
      </c>
      <c r="N5373" t="s">
        <v>615</v>
      </c>
      <c r="O5373" t="s">
        <v>616</v>
      </c>
      <c r="R5373" t="s">
        <v>57</v>
      </c>
      <c r="S5373">
        <v>16</v>
      </c>
      <c r="T5373">
        <v>200</v>
      </c>
      <c r="U5373" s="1">
        <v>31657</v>
      </c>
      <c r="V5373" t="s">
        <v>80</v>
      </c>
      <c r="W5373" t="s">
        <v>81</v>
      </c>
      <c r="X5373" t="s">
        <v>58</v>
      </c>
      <c r="Y5373">
        <v>21</v>
      </c>
      <c r="Z5373" t="s">
        <v>59</v>
      </c>
      <c r="AA5373" t="s">
        <v>59</v>
      </c>
      <c r="AB5373" t="s">
        <v>59</v>
      </c>
      <c r="AC5373" t="s">
        <v>59</v>
      </c>
      <c r="AD5373" t="s">
        <v>59</v>
      </c>
      <c r="AF5373" s="1">
        <v>31664</v>
      </c>
      <c r="AG5373" t="s">
        <v>8645</v>
      </c>
      <c r="AH5373" t="s">
        <v>8646</v>
      </c>
      <c r="AI5373" t="str">
        <f>"9170428"</f>
        <v>9170428</v>
      </c>
      <c r="AJ5373" t="s">
        <v>8983</v>
      </c>
      <c r="AK5373">
        <v>2810234768</v>
      </c>
      <c r="AL5373" t="s">
        <v>8984</v>
      </c>
      <c r="AM5373" t="s">
        <v>78</v>
      </c>
      <c r="AN5373" t="s">
        <v>78</v>
      </c>
      <c r="AO5373" t="s">
        <v>78</v>
      </c>
      <c r="AP5373" t="s">
        <v>79</v>
      </c>
      <c r="AQ5373">
        <v>1</v>
      </c>
      <c r="AR5373" t="s">
        <v>80</v>
      </c>
      <c r="AS5373" t="s">
        <v>81</v>
      </c>
      <c r="AT5373" t="s">
        <v>58</v>
      </c>
      <c r="AU5373" t="s">
        <v>68</v>
      </c>
      <c r="AV5373" t="s">
        <v>2039</v>
      </c>
      <c r="AW5373" s="1">
        <v>22784</v>
      </c>
      <c r="AX5373">
        <v>1</v>
      </c>
    </row>
    <row r="5374" spans="1:50">
      <c r="A5374">
        <v>614614</v>
      </c>
      <c r="B5374" t="str">
        <f>"138957920"</f>
        <v>138957920</v>
      </c>
      <c r="C5374" t="s">
        <v>50</v>
      </c>
      <c r="D5374" t="s">
        <v>9697</v>
      </c>
      <c r="E5374" t="s">
        <v>83</v>
      </c>
      <c r="F5374" t="s">
        <v>84</v>
      </c>
      <c r="G5374" t="s">
        <v>1752</v>
      </c>
      <c r="H5374" t="str">
        <f>"ΑΣΤΡΙΝΟΥ ΚΟΝΤΟΥ 13 ΗΡΑΚΛΕΙΟ"</f>
        <v>ΑΣΤΡΙΝΟΥ ΚΟΝΤΟΥ 13 ΗΡΑΚΛΕΙΟ</v>
      </c>
      <c r="I5374">
        <v>71303</v>
      </c>
      <c r="J5374">
        <v>2810372658</v>
      </c>
      <c r="K5374">
        <v>6947053990</v>
      </c>
      <c r="M5374" t="s">
        <v>9698</v>
      </c>
      <c r="N5374" t="s">
        <v>615</v>
      </c>
      <c r="O5374" t="s">
        <v>616</v>
      </c>
      <c r="R5374" t="s">
        <v>57</v>
      </c>
      <c r="S5374">
        <v>6</v>
      </c>
      <c r="T5374">
        <v>598</v>
      </c>
      <c r="U5374" s="1">
        <v>39328</v>
      </c>
      <c r="V5374" t="s">
        <v>80</v>
      </c>
      <c r="W5374" t="s">
        <v>81</v>
      </c>
      <c r="X5374" t="s">
        <v>58</v>
      </c>
      <c r="Y5374">
        <v>23</v>
      </c>
      <c r="Z5374" t="s">
        <v>59</v>
      </c>
      <c r="AA5374" t="s">
        <v>59</v>
      </c>
      <c r="AB5374" t="s">
        <v>59</v>
      </c>
      <c r="AC5374" t="s">
        <v>59</v>
      </c>
      <c r="AD5374" t="s">
        <v>59</v>
      </c>
      <c r="AF5374" s="1">
        <v>39328</v>
      </c>
      <c r="AG5374" t="s">
        <v>8645</v>
      </c>
      <c r="AH5374" t="s">
        <v>8646</v>
      </c>
      <c r="AI5374" t="str">
        <f>"9170426"</f>
        <v>9170426</v>
      </c>
      <c r="AJ5374" t="s">
        <v>9142</v>
      </c>
      <c r="AK5374">
        <v>2810222289</v>
      </c>
      <c r="AL5374" t="s">
        <v>9143</v>
      </c>
      <c r="AM5374" t="s">
        <v>78</v>
      </c>
      <c r="AN5374" t="s">
        <v>78</v>
      </c>
      <c r="AO5374" t="s">
        <v>78</v>
      </c>
      <c r="AP5374" t="s">
        <v>213</v>
      </c>
      <c r="AQ5374">
        <v>1</v>
      </c>
      <c r="AR5374" t="s">
        <v>80</v>
      </c>
      <c r="AS5374" t="s">
        <v>81</v>
      </c>
      <c r="AT5374" t="s">
        <v>58</v>
      </c>
      <c r="AU5374" t="s">
        <v>68</v>
      </c>
      <c r="AV5374" t="s">
        <v>69</v>
      </c>
      <c r="AW5374" s="1">
        <v>30512</v>
      </c>
      <c r="AX5374">
        <v>1</v>
      </c>
    </row>
    <row r="5375" spans="1:50">
      <c r="A5375">
        <v>598277</v>
      </c>
      <c r="B5375" t="str">
        <f>"104752738"</f>
        <v>104752738</v>
      </c>
      <c r="C5375" t="s">
        <v>50</v>
      </c>
      <c r="D5375" t="s">
        <v>9699</v>
      </c>
      <c r="E5375" t="s">
        <v>352</v>
      </c>
      <c r="F5375" t="s">
        <v>957</v>
      </c>
      <c r="G5375" t="s">
        <v>52</v>
      </c>
      <c r="H5375" t="str">
        <f>"ΕΛΕΥΘΕΡΙΟΥ ΒΕΝΙΖΕΛΟΥ 155 ΓΑΖΙ"</f>
        <v>ΕΛΕΥΘΕΡΙΟΥ ΒΕΝΙΖΕΛΟΥ 155 ΓΑΖΙ</v>
      </c>
      <c r="I5375">
        <v>71414</v>
      </c>
      <c r="J5375">
        <v>2810823543</v>
      </c>
      <c r="K5375">
        <v>6974109733</v>
      </c>
      <c r="N5375" t="s">
        <v>615</v>
      </c>
      <c r="O5375" t="s">
        <v>616</v>
      </c>
      <c r="R5375" t="s">
        <v>57</v>
      </c>
      <c r="S5375">
        <v>9</v>
      </c>
      <c r="T5375">
        <v>195</v>
      </c>
      <c r="U5375" s="1">
        <v>37497</v>
      </c>
      <c r="V5375" t="s">
        <v>80</v>
      </c>
      <c r="W5375" t="s">
        <v>81</v>
      </c>
      <c r="X5375" t="s">
        <v>58</v>
      </c>
      <c r="Y5375">
        <v>22</v>
      </c>
      <c r="Z5375" t="s">
        <v>59</v>
      </c>
      <c r="AA5375" t="s">
        <v>59</v>
      </c>
      <c r="AB5375" t="s">
        <v>59</v>
      </c>
      <c r="AC5375" t="s">
        <v>59</v>
      </c>
      <c r="AD5375" t="s">
        <v>59</v>
      </c>
      <c r="AF5375" s="1">
        <v>37503</v>
      </c>
      <c r="AG5375" t="s">
        <v>8645</v>
      </c>
      <c r="AH5375" t="s">
        <v>8646</v>
      </c>
      <c r="AI5375" t="str">
        <f>"9170560"</f>
        <v>9170560</v>
      </c>
      <c r="AJ5375" t="s">
        <v>9022</v>
      </c>
      <c r="AK5375">
        <v>2810821816</v>
      </c>
      <c r="AL5375" t="s">
        <v>9023</v>
      </c>
      <c r="AM5375" t="s">
        <v>78</v>
      </c>
      <c r="AN5375" t="s">
        <v>129</v>
      </c>
      <c r="AO5375" t="s">
        <v>130</v>
      </c>
      <c r="AP5375" t="s">
        <v>130</v>
      </c>
      <c r="AQ5375">
        <v>1</v>
      </c>
      <c r="AR5375" t="s">
        <v>80</v>
      </c>
      <c r="AS5375" t="s">
        <v>81</v>
      </c>
      <c r="AT5375" t="s">
        <v>58</v>
      </c>
      <c r="AU5375" t="s">
        <v>68</v>
      </c>
      <c r="AV5375" t="s">
        <v>69</v>
      </c>
      <c r="AW5375" s="1">
        <v>24515</v>
      </c>
      <c r="AX5375">
        <v>1</v>
      </c>
    </row>
    <row r="5376" spans="1:50">
      <c r="A5376">
        <v>620670</v>
      </c>
      <c r="B5376" t="str">
        <f>"132491783"</f>
        <v>132491783</v>
      </c>
      <c r="C5376" t="s">
        <v>50</v>
      </c>
      <c r="D5376" t="s">
        <v>9700</v>
      </c>
      <c r="E5376" t="s">
        <v>255</v>
      </c>
      <c r="F5376" t="s">
        <v>309</v>
      </c>
      <c r="G5376" t="s">
        <v>1155</v>
      </c>
      <c r="H5376" t="str">
        <f>"ΚΑΛΛΙΚΡΟΤΟΥ 10 ΔΡΑΜΑ"</f>
        <v>ΚΑΛΛΙΚΡΟΤΟΥ 10 ΔΡΑΜΑ</v>
      </c>
      <c r="I5376">
        <v>66100</v>
      </c>
      <c r="J5376">
        <v>2521022674</v>
      </c>
      <c r="K5376">
        <v>6936854976</v>
      </c>
      <c r="N5376" t="s">
        <v>615</v>
      </c>
      <c r="O5376" t="s">
        <v>616</v>
      </c>
      <c r="R5376" t="s">
        <v>57</v>
      </c>
      <c r="S5376">
        <v>5</v>
      </c>
      <c r="T5376">
        <v>653</v>
      </c>
      <c r="U5376" s="1">
        <v>40043</v>
      </c>
      <c r="V5376" t="s">
        <v>80</v>
      </c>
      <c r="W5376" t="s">
        <v>81</v>
      </c>
      <c r="X5376" t="s">
        <v>58</v>
      </c>
      <c r="Y5376">
        <v>23</v>
      </c>
      <c r="Z5376" t="s">
        <v>59</v>
      </c>
      <c r="AA5376" t="s">
        <v>59</v>
      </c>
      <c r="AB5376" t="s">
        <v>59</v>
      </c>
      <c r="AC5376" t="s">
        <v>59</v>
      </c>
      <c r="AD5376" t="s">
        <v>59</v>
      </c>
      <c r="AF5376" s="1">
        <v>40043</v>
      </c>
      <c r="AG5376" t="s">
        <v>8645</v>
      </c>
      <c r="AH5376" t="s">
        <v>8646</v>
      </c>
      <c r="AI5376" t="str">
        <f>"9170197"</f>
        <v>9170197</v>
      </c>
      <c r="AJ5376" t="s">
        <v>8989</v>
      </c>
      <c r="AK5376">
        <v>2810232577</v>
      </c>
      <c r="AL5376" t="s">
        <v>8990</v>
      </c>
      <c r="AM5376" t="s">
        <v>78</v>
      </c>
      <c r="AN5376" t="s">
        <v>78</v>
      </c>
      <c r="AO5376" t="s">
        <v>78</v>
      </c>
      <c r="AP5376" t="s">
        <v>163</v>
      </c>
      <c r="AQ5376">
        <v>1</v>
      </c>
      <c r="AR5376" t="s">
        <v>80</v>
      </c>
      <c r="AS5376" t="s">
        <v>81</v>
      </c>
      <c r="AT5376" t="s">
        <v>58</v>
      </c>
      <c r="AU5376" t="s">
        <v>68</v>
      </c>
      <c r="AV5376" t="s">
        <v>69</v>
      </c>
      <c r="AW5376" s="1">
        <v>30854</v>
      </c>
      <c r="AX5376">
        <v>1</v>
      </c>
    </row>
    <row r="5377" spans="1:50">
      <c r="A5377">
        <v>582097</v>
      </c>
      <c r="B5377" t="str">
        <f>"050188878"</f>
        <v>050188878</v>
      </c>
      <c r="C5377" t="s">
        <v>105</v>
      </c>
      <c r="D5377" t="s">
        <v>9701</v>
      </c>
      <c r="E5377" t="s">
        <v>92</v>
      </c>
      <c r="F5377" t="s">
        <v>5386</v>
      </c>
      <c r="G5377" t="s">
        <v>54</v>
      </c>
      <c r="H5377" t="str">
        <f>"Βήνης  4 Μεσαμπελιές - Ηράκλειον Κρήτης"</f>
        <v>Βήνης  4 Μεσαμπελιές - Ηράκλειον Κρήτης</v>
      </c>
      <c r="I5377">
        <v>71409</v>
      </c>
      <c r="J5377">
        <v>2810323459</v>
      </c>
      <c r="K5377">
        <v>6947589647</v>
      </c>
      <c r="N5377" t="s">
        <v>615</v>
      </c>
      <c r="O5377" t="s">
        <v>616</v>
      </c>
      <c r="R5377" t="s">
        <v>57</v>
      </c>
      <c r="S5377">
        <v>13</v>
      </c>
      <c r="T5377">
        <v>179</v>
      </c>
      <c r="U5377" s="1">
        <v>35674</v>
      </c>
      <c r="V5377" t="s">
        <v>80</v>
      </c>
      <c r="W5377" t="s">
        <v>81</v>
      </c>
      <c r="X5377" t="s">
        <v>58</v>
      </c>
      <c r="Y5377">
        <v>21</v>
      </c>
      <c r="Z5377" t="s">
        <v>59</v>
      </c>
      <c r="AA5377" t="s">
        <v>59</v>
      </c>
      <c r="AB5377" t="s">
        <v>59</v>
      </c>
      <c r="AC5377" t="s">
        <v>59</v>
      </c>
      <c r="AD5377" t="s">
        <v>59</v>
      </c>
      <c r="AF5377" s="1">
        <v>35674</v>
      </c>
      <c r="AG5377" t="s">
        <v>8645</v>
      </c>
      <c r="AH5377" t="s">
        <v>8646</v>
      </c>
      <c r="AI5377" t="str">
        <f>"9170427"</f>
        <v>9170427</v>
      </c>
      <c r="AJ5377" t="s">
        <v>8817</v>
      </c>
      <c r="AK5377">
        <v>2810220998</v>
      </c>
      <c r="AL5377" t="s">
        <v>8818</v>
      </c>
      <c r="AM5377" t="s">
        <v>78</v>
      </c>
      <c r="AN5377" t="s">
        <v>78</v>
      </c>
      <c r="AO5377" t="s">
        <v>286</v>
      </c>
      <c r="AP5377" t="s">
        <v>286</v>
      </c>
      <c r="AQ5377">
        <v>1</v>
      </c>
      <c r="AR5377" t="s">
        <v>80</v>
      </c>
      <c r="AS5377" t="s">
        <v>81</v>
      </c>
      <c r="AT5377" t="s">
        <v>58</v>
      </c>
      <c r="AU5377" t="s">
        <v>68</v>
      </c>
      <c r="AV5377" t="s">
        <v>69</v>
      </c>
      <c r="AW5377" s="1">
        <v>24058</v>
      </c>
      <c r="AX5377">
        <v>1</v>
      </c>
    </row>
    <row r="5378" spans="1:50">
      <c r="B5378" t="str">
        <f>"132310480"</f>
        <v>132310480</v>
      </c>
      <c r="C5378" t="s">
        <v>50</v>
      </c>
      <c r="D5378" t="s">
        <v>1447</v>
      </c>
      <c r="E5378" t="s">
        <v>9702</v>
      </c>
      <c r="F5378" t="s">
        <v>99</v>
      </c>
      <c r="G5378" t="s">
        <v>1644</v>
      </c>
      <c r="H5378" t="str">
        <f>"ΜΑΞΙΜΟΥ ΜΑΡΓΟΥΝΙΟΥ 21 "</f>
        <v xml:space="preserve">ΜΑΞΙΜΟΥ ΜΑΡΓΟΥΝΙΟΥ 21 </v>
      </c>
      <c r="I5378">
        <v>71306</v>
      </c>
      <c r="J5378">
        <v>6977776891</v>
      </c>
      <c r="K5378">
        <v>6946848486</v>
      </c>
      <c r="N5378" t="s">
        <v>615</v>
      </c>
      <c r="O5378" t="s">
        <v>616</v>
      </c>
      <c r="R5378" t="s">
        <v>159</v>
      </c>
      <c r="S5378">
        <v>6</v>
      </c>
      <c r="T5378" t="s">
        <v>8675</v>
      </c>
      <c r="U5378" s="1">
        <v>43348</v>
      </c>
      <c r="V5378" t="s">
        <v>80</v>
      </c>
      <c r="W5378" t="s">
        <v>81</v>
      </c>
      <c r="X5378" t="s">
        <v>58</v>
      </c>
      <c r="Y5378">
        <v>24</v>
      </c>
      <c r="Z5378" t="s">
        <v>59</v>
      </c>
      <c r="AA5378" t="s">
        <v>59</v>
      </c>
      <c r="AB5378" t="s">
        <v>59</v>
      </c>
      <c r="AC5378" t="s">
        <v>59</v>
      </c>
      <c r="AD5378" t="s">
        <v>59</v>
      </c>
      <c r="AF5378" s="1">
        <v>43348</v>
      </c>
      <c r="AG5378" t="s">
        <v>8645</v>
      </c>
      <c r="AH5378" t="s">
        <v>8646</v>
      </c>
      <c r="AI5378" t="str">
        <f>"9170428"</f>
        <v>9170428</v>
      </c>
      <c r="AJ5378" t="s">
        <v>8983</v>
      </c>
      <c r="AK5378">
        <v>2810234768</v>
      </c>
      <c r="AL5378" t="s">
        <v>8984</v>
      </c>
      <c r="AM5378" t="s">
        <v>78</v>
      </c>
      <c r="AN5378" t="s">
        <v>78</v>
      </c>
      <c r="AO5378" t="s">
        <v>78</v>
      </c>
      <c r="AP5378" t="s">
        <v>79</v>
      </c>
      <c r="AQ5378">
        <v>1</v>
      </c>
      <c r="AR5378" t="s">
        <v>80</v>
      </c>
      <c r="AS5378" t="s">
        <v>81</v>
      </c>
      <c r="AT5378" t="s">
        <v>58</v>
      </c>
      <c r="AU5378" t="s">
        <v>8673</v>
      </c>
      <c r="AV5378" t="s">
        <v>132</v>
      </c>
      <c r="AW5378" s="1">
        <v>31714</v>
      </c>
      <c r="AX5378">
        <v>1</v>
      </c>
    </row>
    <row r="5379" spans="1:50">
      <c r="A5379">
        <v>619756</v>
      </c>
      <c r="B5379" t="str">
        <f>"138991703"</f>
        <v>138991703</v>
      </c>
      <c r="C5379" t="s">
        <v>50</v>
      </c>
      <c r="D5379" t="s">
        <v>1447</v>
      </c>
      <c r="E5379" t="s">
        <v>52</v>
      </c>
      <c r="F5379" t="s">
        <v>377</v>
      </c>
      <c r="G5379" t="s">
        <v>1553</v>
      </c>
      <c r="H5379" t="str">
        <f>"ΜΩΡΑΙΤΗ 12 ΑΛΙΚΑΡΝΑΣΣΟΣ"</f>
        <v>ΜΩΡΑΙΤΗ 12 ΑΛΙΚΑΡΝΑΣΣΟΣ</v>
      </c>
      <c r="I5379">
        <v>71601</v>
      </c>
      <c r="J5379">
        <v>2810241975</v>
      </c>
      <c r="K5379">
        <v>6973762703</v>
      </c>
      <c r="L5379">
        <v>2810224037</v>
      </c>
      <c r="M5379" t="s">
        <v>9703</v>
      </c>
      <c r="N5379" t="s">
        <v>306</v>
      </c>
      <c r="O5379" t="s">
        <v>307</v>
      </c>
      <c r="R5379" t="s">
        <v>57</v>
      </c>
      <c r="S5379">
        <v>5</v>
      </c>
      <c r="T5379">
        <v>775</v>
      </c>
      <c r="U5379" s="1">
        <v>39680</v>
      </c>
      <c r="V5379" t="s">
        <v>80</v>
      </c>
      <c r="W5379" t="s">
        <v>81</v>
      </c>
      <c r="X5379" t="s">
        <v>58</v>
      </c>
      <c r="Y5379">
        <v>23</v>
      </c>
      <c r="Z5379" t="s">
        <v>59</v>
      </c>
      <c r="AA5379" t="s">
        <v>59</v>
      </c>
      <c r="AB5379" t="s">
        <v>59</v>
      </c>
      <c r="AC5379" t="s">
        <v>59</v>
      </c>
      <c r="AD5379" t="s">
        <v>59</v>
      </c>
      <c r="AF5379" s="1">
        <v>39681</v>
      </c>
      <c r="AG5379" t="s">
        <v>8645</v>
      </c>
      <c r="AH5379" t="s">
        <v>8646</v>
      </c>
      <c r="AI5379" t="str">
        <f>"9170431"</f>
        <v>9170431</v>
      </c>
      <c r="AJ5379" t="s">
        <v>8658</v>
      </c>
      <c r="AK5379">
        <v>2810250952</v>
      </c>
      <c r="AL5379" t="s">
        <v>8659</v>
      </c>
      <c r="AM5379" t="s">
        <v>78</v>
      </c>
      <c r="AN5379" t="s">
        <v>78</v>
      </c>
      <c r="AO5379" t="s">
        <v>78</v>
      </c>
      <c r="AP5379" t="s">
        <v>141</v>
      </c>
      <c r="AQ5379">
        <v>1</v>
      </c>
      <c r="AR5379" t="s">
        <v>80</v>
      </c>
      <c r="AS5379" t="s">
        <v>81</v>
      </c>
      <c r="AT5379" t="s">
        <v>58</v>
      </c>
      <c r="AU5379" t="s">
        <v>68</v>
      </c>
      <c r="AV5379" t="s">
        <v>69</v>
      </c>
      <c r="AW5379" s="1">
        <v>31029</v>
      </c>
      <c r="AX5379">
        <v>1</v>
      </c>
    </row>
    <row r="5380" spans="1:50">
      <c r="A5380">
        <v>594560</v>
      </c>
      <c r="B5380" t="str">
        <f>"100117358"</f>
        <v>100117358</v>
      </c>
      <c r="C5380" t="s">
        <v>50</v>
      </c>
      <c r="D5380" t="s">
        <v>1447</v>
      </c>
      <c r="E5380" t="s">
        <v>52</v>
      </c>
      <c r="F5380" t="s">
        <v>53</v>
      </c>
      <c r="G5380" t="s">
        <v>922</v>
      </c>
      <c r="H5380" t="str">
        <f>"ΓΟΥΡΝΕΣ ΗΡΑΚΛΕΙΟ"</f>
        <v>ΓΟΥΡΝΕΣ ΗΡΑΚΛΕΙΟ</v>
      </c>
      <c r="I5380">
        <v>71500</v>
      </c>
      <c r="J5380">
        <v>2810545529</v>
      </c>
      <c r="K5380">
        <v>6974491795</v>
      </c>
      <c r="M5380" t="s">
        <v>9704</v>
      </c>
      <c r="N5380" t="s">
        <v>615</v>
      </c>
      <c r="O5380" t="s">
        <v>616</v>
      </c>
      <c r="R5380" t="s">
        <v>57</v>
      </c>
      <c r="S5380">
        <v>8</v>
      </c>
      <c r="T5380">
        <v>218</v>
      </c>
      <c r="U5380" s="1">
        <v>37134</v>
      </c>
      <c r="V5380" t="s">
        <v>80</v>
      </c>
      <c r="W5380" t="s">
        <v>81</v>
      </c>
      <c r="X5380" t="s">
        <v>58</v>
      </c>
      <c r="Y5380">
        <v>22</v>
      </c>
      <c r="Z5380" t="s">
        <v>59</v>
      </c>
      <c r="AA5380" t="s">
        <v>59</v>
      </c>
      <c r="AB5380" t="s">
        <v>59</v>
      </c>
      <c r="AC5380" t="s">
        <v>59</v>
      </c>
      <c r="AD5380" t="s">
        <v>452</v>
      </c>
      <c r="AE5380" s="1">
        <v>43708</v>
      </c>
      <c r="AF5380" s="1">
        <v>37137</v>
      </c>
      <c r="AG5380" t="s">
        <v>8645</v>
      </c>
      <c r="AH5380" t="s">
        <v>8646</v>
      </c>
      <c r="AI5380" t="str">
        <f>"9170575"</f>
        <v>9170575</v>
      </c>
      <c r="AJ5380" t="s">
        <v>8748</v>
      </c>
      <c r="AK5380">
        <v>2810260772</v>
      </c>
      <c r="AL5380" t="s">
        <v>8749</v>
      </c>
      <c r="AM5380" t="s">
        <v>78</v>
      </c>
      <c r="AN5380" t="s">
        <v>78</v>
      </c>
      <c r="AO5380" t="s">
        <v>78</v>
      </c>
      <c r="AP5380" t="s">
        <v>141</v>
      </c>
      <c r="AQ5380">
        <v>1</v>
      </c>
      <c r="AR5380" t="s">
        <v>80</v>
      </c>
      <c r="AS5380" t="s">
        <v>81</v>
      </c>
      <c r="AT5380" t="s">
        <v>58</v>
      </c>
      <c r="AU5380" t="s">
        <v>68</v>
      </c>
      <c r="AV5380" t="s">
        <v>69</v>
      </c>
      <c r="AW5380" s="1">
        <v>28567</v>
      </c>
      <c r="AX5380">
        <v>1</v>
      </c>
    </row>
    <row r="5381" spans="1:50">
      <c r="A5381">
        <v>609439</v>
      </c>
      <c r="B5381" t="str">
        <f>"038567175"</f>
        <v>038567175</v>
      </c>
      <c r="C5381" t="s">
        <v>105</v>
      </c>
      <c r="D5381" t="s">
        <v>1453</v>
      </c>
      <c r="E5381" t="s">
        <v>3954</v>
      </c>
      <c r="F5381" t="s">
        <v>99</v>
      </c>
      <c r="G5381" t="s">
        <v>476</v>
      </c>
      <c r="H5381" t="str">
        <f>" "</f>
        <v xml:space="preserve"> </v>
      </c>
      <c r="J5381">
        <v>2893031654</v>
      </c>
      <c r="K5381">
        <v>6972824295</v>
      </c>
      <c r="N5381" t="s">
        <v>176</v>
      </c>
      <c r="O5381" t="s">
        <v>177</v>
      </c>
      <c r="R5381" t="s">
        <v>57</v>
      </c>
      <c r="S5381">
        <v>8</v>
      </c>
      <c r="T5381" t="s">
        <v>9705</v>
      </c>
      <c r="U5381" s="1">
        <v>38596</v>
      </c>
      <c r="V5381" t="s">
        <v>80</v>
      </c>
      <c r="W5381" t="s">
        <v>81</v>
      </c>
      <c r="X5381" t="s">
        <v>58</v>
      </c>
      <c r="Y5381">
        <v>22</v>
      </c>
      <c r="Z5381" t="s">
        <v>59</v>
      </c>
      <c r="AA5381" t="s">
        <v>59</v>
      </c>
      <c r="AB5381" t="s">
        <v>59</v>
      </c>
      <c r="AC5381" t="s">
        <v>59</v>
      </c>
      <c r="AD5381" t="s">
        <v>59</v>
      </c>
      <c r="AF5381" s="1">
        <v>38600</v>
      </c>
      <c r="AG5381" t="s">
        <v>8645</v>
      </c>
      <c r="AH5381" t="s">
        <v>8646</v>
      </c>
      <c r="AI5381" t="str">
        <f>"9170068"</f>
        <v>9170068</v>
      </c>
      <c r="AJ5381" t="s">
        <v>8773</v>
      </c>
      <c r="AK5381">
        <v>2893031217</v>
      </c>
      <c r="AL5381" t="s">
        <v>8774</v>
      </c>
      <c r="AM5381" t="s">
        <v>78</v>
      </c>
      <c r="AN5381" t="s">
        <v>405</v>
      </c>
      <c r="AO5381" t="s">
        <v>805</v>
      </c>
      <c r="AP5381" t="s">
        <v>806</v>
      </c>
      <c r="AQ5381">
        <v>15</v>
      </c>
      <c r="AR5381" t="s">
        <v>80</v>
      </c>
      <c r="AS5381" t="s">
        <v>81</v>
      </c>
      <c r="AT5381" t="s">
        <v>58</v>
      </c>
      <c r="AU5381" t="s">
        <v>68</v>
      </c>
      <c r="AV5381" t="s">
        <v>69</v>
      </c>
      <c r="AW5381" s="1">
        <v>22834</v>
      </c>
      <c r="AX5381">
        <v>1</v>
      </c>
    </row>
    <row r="5382" spans="1:50">
      <c r="B5382" t="str">
        <f>"059572310"</f>
        <v>059572310</v>
      </c>
      <c r="C5382" t="s">
        <v>105</v>
      </c>
      <c r="D5382" t="s">
        <v>9706</v>
      </c>
      <c r="E5382" t="s">
        <v>166</v>
      </c>
      <c r="F5382" t="s">
        <v>782</v>
      </c>
      <c r="G5382" t="s">
        <v>54</v>
      </c>
      <c r="H5382" t="str">
        <f>"ΕΛ ΒΕΝΙΖΕΛΟΥ 48 ΜΟΙΡΕΣ"</f>
        <v>ΕΛ ΒΕΝΙΖΕΛΟΥ 48 ΜΟΙΡΕΣ</v>
      </c>
      <c r="I5382">
        <v>70400</v>
      </c>
      <c r="J5382">
        <v>2892045686</v>
      </c>
      <c r="K5382">
        <v>6972691415</v>
      </c>
      <c r="N5382" t="s">
        <v>306</v>
      </c>
      <c r="O5382" t="s">
        <v>307</v>
      </c>
      <c r="R5382" t="s">
        <v>159</v>
      </c>
      <c r="S5382">
        <v>3</v>
      </c>
      <c r="T5382" t="s">
        <v>8675</v>
      </c>
      <c r="U5382" s="1">
        <v>43348</v>
      </c>
      <c r="V5382" t="s">
        <v>80</v>
      </c>
      <c r="W5382" t="s">
        <v>81</v>
      </c>
      <c r="X5382" t="s">
        <v>58</v>
      </c>
      <c r="Y5382">
        <v>24</v>
      </c>
      <c r="Z5382" t="s">
        <v>59</v>
      </c>
      <c r="AA5382" t="s">
        <v>59</v>
      </c>
      <c r="AB5382" t="s">
        <v>59</v>
      </c>
      <c r="AC5382" t="s">
        <v>59</v>
      </c>
      <c r="AD5382" t="s">
        <v>59</v>
      </c>
      <c r="AF5382" s="1">
        <v>43348</v>
      </c>
      <c r="AG5382" t="s">
        <v>8645</v>
      </c>
      <c r="AH5382" t="s">
        <v>8646</v>
      </c>
      <c r="AI5382" t="str">
        <f>"9170338"</f>
        <v>9170338</v>
      </c>
      <c r="AJ5382" t="s">
        <v>8849</v>
      </c>
      <c r="AK5382">
        <v>2892051377</v>
      </c>
      <c r="AL5382" t="s">
        <v>8850</v>
      </c>
      <c r="AM5382" t="s">
        <v>78</v>
      </c>
      <c r="AN5382" t="s">
        <v>242</v>
      </c>
      <c r="AO5382" t="s">
        <v>349</v>
      </c>
      <c r="AP5382" t="s">
        <v>349</v>
      </c>
      <c r="AQ5382">
        <v>19</v>
      </c>
      <c r="AR5382" t="s">
        <v>80</v>
      </c>
      <c r="AS5382" t="s">
        <v>81</v>
      </c>
      <c r="AT5382" t="s">
        <v>58</v>
      </c>
      <c r="AU5382" t="s">
        <v>8673</v>
      </c>
      <c r="AV5382" t="s">
        <v>132</v>
      </c>
      <c r="AW5382" s="1">
        <v>26811</v>
      </c>
      <c r="AX5382">
        <v>1</v>
      </c>
    </row>
    <row r="5383" spans="1:50">
      <c r="A5383">
        <v>564143</v>
      </c>
      <c r="B5383" t="str">
        <f>"030178600"</f>
        <v>030178600</v>
      </c>
      <c r="C5383" t="s">
        <v>50</v>
      </c>
      <c r="D5383" t="s">
        <v>1455</v>
      </c>
      <c r="E5383" t="s">
        <v>2031</v>
      </c>
      <c r="F5383" t="s">
        <v>99</v>
      </c>
      <c r="G5383" t="s">
        <v>1562</v>
      </c>
      <c r="H5383" t="str">
        <f>"ΒΑΣΙΛΕΙΕΣ ΗΡΑΚΛΕΙΟ"</f>
        <v>ΒΑΣΙΛΕΙΕΣ ΗΡΑΚΛΕΙΟ</v>
      </c>
      <c r="I5383">
        <v>71500</v>
      </c>
      <c r="J5383">
        <v>2810328791</v>
      </c>
      <c r="K5383">
        <v>6986004560</v>
      </c>
      <c r="N5383" t="s">
        <v>615</v>
      </c>
      <c r="O5383" t="s">
        <v>616</v>
      </c>
      <c r="R5383" t="s">
        <v>57</v>
      </c>
      <c r="S5383">
        <v>15</v>
      </c>
      <c r="T5383">
        <v>161</v>
      </c>
      <c r="U5383" s="1">
        <v>33119</v>
      </c>
      <c r="V5383" t="s">
        <v>80</v>
      </c>
      <c r="W5383" t="s">
        <v>81</v>
      </c>
      <c r="X5383" t="s">
        <v>58</v>
      </c>
      <c r="Y5383">
        <v>21</v>
      </c>
      <c r="Z5383" t="s">
        <v>59</v>
      </c>
      <c r="AA5383" t="s">
        <v>59</v>
      </c>
      <c r="AB5383" t="s">
        <v>59</v>
      </c>
      <c r="AC5383" t="s">
        <v>59</v>
      </c>
      <c r="AD5383" t="s">
        <v>59</v>
      </c>
      <c r="AF5383" s="1">
        <v>33119</v>
      </c>
      <c r="AG5383" t="s">
        <v>8645</v>
      </c>
      <c r="AH5383" t="s">
        <v>8646</v>
      </c>
      <c r="AI5383" t="str">
        <f>"9170120"</f>
        <v>9170120</v>
      </c>
      <c r="AJ5383" t="s">
        <v>9237</v>
      </c>
      <c r="AK5383">
        <v>2810881577</v>
      </c>
      <c r="AL5383" t="s">
        <v>9238</v>
      </c>
      <c r="AM5383" t="s">
        <v>78</v>
      </c>
      <c r="AN5383" t="s">
        <v>78</v>
      </c>
      <c r="AO5383" t="s">
        <v>78</v>
      </c>
      <c r="AP5383" t="s">
        <v>9239</v>
      </c>
      <c r="AQ5383">
        <v>1</v>
      </c>
      <c r="AR5383" t="s">
        <v>80</v>
      </c>
      <c r="AS5383" t="s">
        <v>81</v>
      </c>
      <c r="AT5383" t="s">
        <v>58</v>
      </c>
      <c r="AU5383" t="s">
        <v>68</v>
      </c>
      <c r="AV5383" t="s">
        <v>69</v>
      </c>
      <c r="AW5383" s="1">
        <v>24160</v>
      </c>
      <c r="AX5383">
        <v>1</v>
      </c>
    </row>
    <row r="5384" spans="1:50">
      <c r="A5384">
        <v>567906</v>
      </c>
      <c r="B5384" t="str">
        <f>"035047300"</f>
        <v>035047300</v>
      </c>
      <c r="C5384" t="s">
        <v>50</v>
      </c>
      <c r="D5384" t="s">
        <v>1455</v>
      </c>
      <c r="E5384" t="s">
        <v>181</v>
      </c>
      <c r="F5384" t="s">
        <v>99</v>
      </c>
      <c r="G5384" t="s">
        <v>1562</v>
      </c>
      <c r="H5384" t="str">
        <f>"ΔΕΛΜΟΥΖΟΥ 2 ΒΑΣΙΛΕΙΕΣ"</f>
        <v>ΔΕΛΜΟΥΖΟΥ 2 ΒΑΣΙΛΕΙΕΣ</v>
      </c>
      <c r="I5384">
        <v>71500</v>
      </c>
      <c r="J5384">
        <v>2810259489</v>
      </c>
      <c r="K5384">
        <v>6948038797</v>
      </c>
      <c r="N5384" t="s">
        <v>615</v>
      </c>
      <c r="O5384" t="s">
        <v>616</v>
      </c>
      <c r="R5384" t="s">
        <v>57</v>
      </c>
      <c r="S5384">
        <v>14</v>
      </c>
      <c r="T5384">
        <v>133</v>
      </c>
      <c r="U5384" s="1">
        <v>33456</v>
      </c>
      <c r="V5384" t="s">
        <v>80</v>
      </c>
      <c r="W5384" t="s">
        <v>81</v>
      </c>
      <c r="X5384" t="s">
        <v>58</v>
      </c>
      <c r="Y5384">
        <v>21</v>
      </c>
      <c r="Z5384" t="s">
        <v>59</v>
      </c>
      <c r="AA5384" t="s">
        <v>59</v>
      </c>
      <c r="AB5384" t="s">
        <v>59</v>
      </c>
      <c r="AC5384" t="s">
        <v>59</v>
      </c>
      <c r="AD5384" t="s">
        <v>59</v>
      </c>
      <c r="AF5384" s="1">
        <v>33484</v>
      </c>
      <c r="AG5384" t="s">
        <v>8645</v>
      </c>
      <c r="AH5384" t="s">
        <v>8646</v>
      </c>
      <c r="AI5384" t="str">
        <f>"9170120"</f>
        <v>9170120</v>
      </c>
      <c r="AJ5384" t="s">
        <v>9237</v>
      </c>
      <c r="AK5384">
        <v>2810881577</v>
      </c>
      <c r="AL5384" t="s">
        <v>9238</v>
      </c>
      <c r="AM5384" t="s">
        <v>78</v>
      </c>
      <c r="AN5384" t="s">
        <v>78</v>
      </c>
      <c r="AO5384" t="s">
        <v>78</v>
      </c>
      <c r="AP5384" t="s">
        <v>9239</v>
      </c>
      <c r="AQ5384">
        <v>1</v>
      </c>
      <c r="AR5384" t="s">
        <v>80</v>
      </c>
      <c r="AS5384" t="s">
        <v>81</v>
      </c>
      <c r="AT5384" t="s">
        <v>58</v>
      </c>
      <c r="AU5384" t="s">
        <v>68</v>
      </c>
      <c r="AV5384" t="s">
        <v>69</v>
      </c>
      <c r="AW5384" s="1">
        <v>23042</v>
      </c>
      <c r="AX5384">
        <v>1</v>
      </c>
    </row>
    <row r="5385" spans="1:50">
      <c r="B5385" t="str">
        <f>"144235256"</f>
        <v>144235256</v>
      </c>
      <c r="C5385" t="s">
        <v>50</v>
      </c>
      <c r="D5385" t="s">
        <v>9707</v>
      </c>
      <c r="E5385" t="s">
        <v>484</v>
      </c>
      <c r="F5385" t="s">
        <v>106</v>
      </c>
      <c r="G5385" t="s">
        <v>507</v>
      </c>
      <c r="H5385" t="str">
        <f>"ΕΠΙΔΑΥΡΟΥ 2 "</f>
        <v xml:space="preserve">ΕΠΙΔΑΥΡΟΥ 2 </v>
      </c>
      <c r="I5385">
        <v>66100</v>
      </c>
      <c r="J5385">
        <v>2521026392</v>
      </c>
      <c r="K5385">
        <v>6975674870</v>
      </c>
      <c r="N5385" t="s">
        <v>615</v>
      </c>
      <c r="O5385" t="s">
        <v>616</v>
      </c>
      <c r="R5385" t="s">
        <v>159</v>
      </c>
      <c r="S5385">
        <v>2</v>
      </c>
      <c r="T5385" t="s">
        <v>8675</v>
      </c>
      <c r="U5385" s="1">
        <v>43348</v>
      </c>
      <c r="V5385" t="s">
        <v>80</v>
      </c>
      <c r="W5385" t="s">
        <v>81</v>
      </c>
      <c r="X5385" t="s">
        <v>58</v>
      </c>
      <c r="Y5385">
        <v>24</v>
      </c>
      <c r="Z5385" t="s">
        <v>59</v>
      </c>
      <c r="AA5385" t="s">
        <v>59</v>
      </c>
      <c r="AB5385" t="s">
        <v>59</v>
      </c>
      <c r="AC5385" t="s">
        <v>59</v>
      </c>
      <c r="AD5385" t="s">
        <v>59</v>
      </c>
      <c r="AF5385" s="1">
        <v>43348</v>
      </c>
      <c r="AG5385" t="s">
        <v>8645</v>
      </c>
      <c r="AH5385" t="s">
        <v>8646</v>
      </c>
      <c r="AI5385" t="str">
        <f>"9170326"</f>
        <v>9170326</v>
      </c>
      <c r="AJ5385" t="s">
        <v>9708</v>
      </c>
      <c r="AK5385">
        <v>2893022213</v>
      </c>
      <c r="AL5385" t="s">
        <v>9709</v>
      </c>
      <c r="AM5385" t="s">
        <v>78</v>
      </c>
      <c r="AN5385" t="s">
        <v>424</v>
      </c>
      <c r="AO5385" t="s">
        <v>577</v>
      </c>
      <c r="AP5385" t="s">
        <v>578</v>
      </c>
      <c r="AQ5385">
        <v>10</v>
      </c>
      <c r="AR5385" t="s">
        <v>80</v>
      </c>
      <c r="AS5385" t="s">
        <v>81</v>
      </c>
      <c r="AT5385" t="s">
        <v>58</v>
      </c>
      <c r="AU5385" t="s">
        <v>8673</v>
      </c>
      <c r="AV5385" t="s">
        <v>132</v>
      </c>
      <c r="AW5385" s="1">
        <v>32558</v>
      </c>
      <c r="AX5385">
        <v>1</v>
      </c>
    </row>
    <row r="5386" spans="1:50">
      <c r="A5386">
        <v>620711</v>
      </c>
      <c r="B5386" t="str">
        <f>"137480561"</f>
        <v>137480561</v>
      </c>
      <c r="C5386" t="s">
        <v>50</v>
      </c>
      <c r="D5386" t="s">
        <v>9710</v>
      </c>
      <c r="E5386" t="s">
        <v>155</v>
      </c>
      <c r="F5386" t="s">
        <v>84</v>
      </c>
      <c r="G5386" t="s">
        <v>83</v>
      </c>
      <c r="H5386" t="str">
        <f>"ΝΕΣΤΩΡΟΣ 1 ΠΟΡΟΣ ΗΡΑΚΛΕΙΟΥ"</f>
        <v>ΝΕΣΤΩΡΟΣ 1 ΠΟΡΟΣ ΗΡΑΚΛΕΙΟΥ</v>
      </c>
      <c r="I5386">
        <v>71307</v>
      </c>
      <c r="J5386">
        <v>2810223128</v>
      </c>
      <c r="K5386">
        <v>6948544069</v>
      </c>
      <c r="M5386" t="s">
        <v>9711</v>
      </c>
      <c r="N5386" t="s">
        <v>615</v>
      </c>
      <c r="O5386" t="s">
        <v>616</v>
      </c>
      <c r="R5386" t="s">
        <v>57</v>
      </c>
      <c r="S5386">
        <v>5</v>
      </c>
      <c r="T5386">
        <v>653</v>
      </c>
      <c r="U5386" s="1">
        <v>40043</v>
      </c>
      <c r="V5386" t="s">
        <v>80</v>
      </c>
      <c r="W5386" t="s">
        <v>81</v>
      </c>
      <c r="X5386" t="s">
        <v>58</v>
      </c>
      <c r="Y5386">
        <v>23</v>
      </c>
      <c r="Z5386" t="s">
        <v>59</v>
      </c>
      <c r="AA5386" t="s">
        <v>59</v>
      </c>
      <c r="AB5386" t="s">
        <v>59</v>
      </c>
      <c r="AC5386" t="s">
        <v>59</v>
      </c>
      <c r="AD5386" t="s">
        <v>59</v>
      </c>
      <c r="AF5386" s="1">
        <v>40043</v>
      </c>
      <c r="AG5386" t="s">
        <v>8645</v>
      </c>
      <c r="AH5386" t="s">
        <v>8646</v>
      </c>
      <c r="AI5386" t="str">
        <f>"9170263"</f>
        <v>9170263</v>
      </c>
      <c r="AJ5386" t="s">
        <v>8942</v>
      </c>
      <c r="AK5386">
        <v>2810346939</v>
      </c>
      <c r="AL5386" t="s">
        <v>8943</v>
      </c>
      <c r="AM5386" t="s">
        <v>78</v>
      </c>
      <c r="AN5386" t="s">
        <v>78</v>
      </c>
      <c r="AO5386" t="s">
        <v>286</v>
      </c>
      <c r="AP5386" t="s">
        <v>286</v>
      </c>
      <c r="AQ5386">
        <v>1</v>
      </c>
      <c r="AR5386" t="s">
        <v>80</v>
      </c>
      <c r="AS5386" t="s">
        <v>81</v>
      </c>
      <c r="AT5386" t="s">
        <v>58</v>
      </c>
      <c r="AU5386" t="s">
        <v>68</v>
      </c>
      <c r="AV5386" t="s">
        <v>69</v>
      </c>
      <c r="AW5386" s="1">
        <v>31464</v>
      </c>
      <c r="AX5386">
        <v>1</v>
      </c>
    </row>
    <row r="5387" spans="1:50">
      <c r="A5387">
        <v>229500</v>
      </c>
      <c r="B5387" t="str">
        <f>"117177440"</f>
        <v>117177440</v>
      </c>
      <c r="C5387" t="s">
        <v>50</v>
      </c>
      <c r="D5387" t="s">
        <v>9712</v>
      </c>
      <c r="E5387" t="s">
        <v>109</v>
      </c>
      <c r="F5387" t="s">
        <v>95</v>
      </c>
      <c r="G5387" t="s">
        <v>1484</v>
      </c>
      <c r="H5387" t="str">
        <f>" "</f>
        <v xml:space="preserve"> </v>
      </c>
      <c r="J5387">
        <v>2815002505</v>
      </c>
      <c r="K5387">
        <v>6944619178</v>
      </c>
      <c r="N5387" t="s">
        <v>204</v>
      </c>
      <c r="O5387" t="s">
        <v>205</v>
      </c>
      <c r="R5387" t="s">
        <v>57</v>
      </c>
      <c r="S5387">
        <v>7</v>
      </c>
      <c r="T5387">
        <v>926</v>
      </c>
      <c r="U5387" s="1">
        <v>40130</v>
      </c>
      <c r="V5387" t="s">
        <v>80</v>
      </c>
      <c r="W5387" t="s">
        <v>81</v>
      </c>
      <c r="X5387" t="s">
        <v>58</v>
      </c>
      <c r="Y5387">
        <v>23</v>
      </c>
      <c r="Z5387" t="s">
        <v>59</v>
      </c>
      <c r="AA5387" t="s">
        <v>59</v>
      </c>
      <c r="AB5387" t="s">
        <v>59</v>
      </c>
      <c r="AC5387" t="s">
        <v>59</v>
      </c>
      <c r="AD5387" t="s">
        <v>59</v>
      </c>
      <c r="AF5387" s="1">
        <v>40135</v>
      </c>
      <c r="AG5387" t="s">
        <v>8645</v>
      </c>
      <c r="AH5387" t="s">
        <v>8646</v>
      </c>
      <c r="AI5387" t="str">
        <f>"9170532"</f>
        <v>9170532</v>
      </c>
      <c r="AJ5387" t="s">
        <v>8945</v>
      </c>
      <c r="AK5387">
        <v>2810250330</v>
      </c>
      <c r="AL5387" t="s">
        <v>8946</v>
      </c>
      <c r="AM5387" t="s">
        <v>78</v>
      </c>
      <c r="AN5387" t="s">
        <v>78</v>
      </c>
      <c r="AO5387" t="s">
        <v>78</v>
      </c>
      <c r="AP5387" t="s">
        <v>141</v>
      </c>
      <c r="AQ5387">
        <v>1</v>
      </c>
      <c r="AR5387" t="s">
        <v>80</v>
      </c>
      <c r="AS5387" t="s">
        <v>81</v>
      </c>
      <c r="AT5387" t="s">
        <v>58</v>
      </c>
      <c r="AU5387" t="s">
        <v>68</v>
      </c>
      <c r="AV5387" t="s">
        <v>69</v>
      </c>
      <c r="AW5387" s="1">
        <v>29977</v>
      </c>
      <c r="AX5387">
        <v>1</v>
      </c>
    </row>
    <row r="5388" spans="1:50">
      <c r="A5388">
        <v>593521</v>
      </c>
      <c r="B5388" t="str">
        <f>"065775848"</f>
        <v>065775848</v>
      </c>
      <c r="C5388" t="s">
        <v>50</v>
      </c>
      <c r="D5388" t="s">
        <v>7213</v>
      </c>
      <c r="E5388" t="s">
        <v>263</v>
      </c>
      <c r="F5388" t="s">
        <v>84</v>
      </c>
      <c r="G5388" t="s">
        <v>9713</v>
      </c>
      <c r="H5388" t="str">
        <f>"ΣΩΚΡΑΤΟΥΣ 97 ΛΑΡΙΣΑ"</f>
        <v>ΣΩΚΡΑΤΟΥΣ 97 ΛΑΡΙΣΑ</v>
      </c>
      <c r="I5388">
        <v>41337</v>
      </c>
      <c r="J5388">
        <v>2410551962</v>
      </c>
      <c r="K5388">
        <v>6973382918</v>
      </c>
      <c r="N5388" t="s">
        <v>615</v>
      </c>
      <c r="O5388" t="s">
        <v>616</v>
      </c>
      <c r="R5388" t="s">
        <v>57</v>
      </c>
      <c r="S5388">
        <v>10</v>
      </c>
      <c r="T5388">
        <v>218</v>
      </c>
      <c r="U5388" s="1">
        <v>37598</v>
      </c>
      <c r="V5388" t="s">
        <v>80</v>
      </c>
      <c r="W5388" t="s">
        <v>81</v>
      </c>
      <c r="X5388" t="s">
        <v>58</v>
      </c>
      <c r="Y5388">
        <v>22</v>
      </c>
      <c r="Z5388" t="s">
        <v>59</v>
      </c>
      <c r="AA5388" t="s">
        <v>59</v>
      </c>
      <c r="AB5388" t="s">
        <v>59</v>
      </c>
      <c r="AC5388" t="s">
        <v>59</v>
      </c>
      <c r="AD5388" t="s">
        <v>59</v>
      </c>
      <c r="AF5388" s="1">
        <v>37598</v>
      </c>
      <c r="AG5388" t="s">
        <v>8645</v>
      </c>
      <c r="AH5388" t="s">
        <v>8646</v>
      </c>
      <c r="AI5388" t="str">
        <f>"9170102"</f>
        <v>9170102</v>
      </c>
      <c r="AJ5388" t="s">
        <v>9019</v>
      </c>
      <c r="AK5388">
        <v>2810283938</v>
      </c>
      <c r="AL5388" t="s">
        <v>9020</v>
      </c>
      <c r="AM5388" t="s">
        <v>78</v>
      </c>
      <c r="AN5388" t="s">
        <v>78</v>
      </c>
      <c r="AO5388" t="s">
        <v>78</v>
      </c>
      <c r="AP5388" t="s">
        <v>79</v>
      </c>
      <c r="AQ5388">
        <v>1</v>
      </c>
      <c r="AR5388" t="s">
        <v>80</v>
      </c>
      <c r="AS5388" t="s">
        <v>81</v>
      </c>
      <c r="AT5388" t="s">
        <v>58</v>
      </c>
      <c r="AU5388" t="s">
        <v>68</v>
      </c>
      <c r="AV5388" t="s">
        <v>69</v>
      </c>
      <c r="AW5388" s="1">
        <v>27676</v>
      </c>
      <c r="AX5388">
        <v>1</v>
      </c>
    </row>
    <row r="5389" spans="1:50">
      <c r="B5389" t="str">
        <f>"157174769"</f>
        <v>157174769</v>
      </c>
      <c r="C5389" t="s">
        <v>50</v>
      </c>
      <c r="D5389" t="s">
        <v>9714</v>
      </c>
      <c r="E5389" t="s">
        <v>250</v>
      </c>
      <c r="F5389" t="s">
        <v>989</v>
      </c>
      <c r="G5389" t="s">
        <v>4729</v>
      </c>
      <c r="H5389" t="str">
        <f>"ΝΟΣΟΚΟΜΕΙΟΥ 17 ΠΤΟΛΕΜΑΪΔΑ"</f>
        <v>ΝΟΣΟΚΟΜΕΙΟΥ 17 ΠΤΟΛΕΜΑΪΔΑ</v>
      </c>
      <c r="I5389">
        <v>50200</v>
      </c>
      <c r="J5389">
        <v>2463025310</v>
      </c>
      <c r="K5389">
        <v>6974859590</v>
      </c>
      <c r="N5389" t="s">
        <v>615</v>
      </c>
      <c r="O5389" t="s">
        <v>616</v>
      </c>
      <c r="R5389" t="s">
        <v>159</v>
      </c>
      <c r="S5389">
        <v>3</v>
      </c>
      <c r="T5389" t="s">
        <v>8675</v>
      </c>
      <c r="U5389" s="1">
        <v>43348</v>
      </c>
      <c r="V5389" t="s">
        <v>80</v>
      </c>
      <c r="W5389" t="s">
        <v>81</v>
      </c>
      <c r="X5389" t="s">
        <v>58</v>
      </c>
      <c r="Y5389">
        <v>24</v>
      </c>
      <c r="Z5389" t="s">
        <v>59</v>
      </c>
      <c r="AA5389" t="s">
        <v>59</v>
      </c>
      <c r="AB5389" t="s">
        <v>59</v>
      </c>
      <c r="AC5389" t="s">
        <v>59</v>
      </c>
      <c r="AD5389" t="s">
        <v>59</v>
      </c>
      <c r="AF5389" s="1">
        <v>43348</v>
      </c>
      <c r="AG5389" t="s">
        <v>8645</v>
      </c>
      <c r="AH5389" t="s">
        <v>8646</v>
      </c>
      <c r="AI5389" t="str">
        <f>"9170326"</f>
        <v>9170326</v>
      </c>
      <c r="AJ5389" t="s">
        <v>9708</v>
      </c>
      <c r="AK5389">
        <v>2893022213</v>
      </c>
      <c r="AL5389" t="s">
        <v>9709</v>
      </c>
      <c r="AM5389" t="s">
        <v>78</v>
      </c>
      <c r="AN5389" t="s">
        <v>424</v>
      </c>
      <c r="AO5389" t="s">
        <v>577</v>
      </c>
      <c r="AP5389" t="s">
        <v>578</v>
      </c>
      <c r="AQ5389">
        <v>10</v>
      </c>
      <c r="AR5389" t="s">
        <v>80</v>
      </c>
      <c r="AS5389" t="s">
        <v>81</v>
      </c>
      <c r="AT5389" t="s">
        <v>58</v>
      </c>
      <c r="AU5389" t="s">
        <v>8673</v>
      </c>
      <c r="AV5389" t="s">
        <v>132</v>
      </c>
      <c r="AW5389" s="1">
        <v>32337</v>
      </c>
      <c r="AX5389">
        <v>1</v>
      </c>
    </row>
    <row r="5390" spans="1:50">
      <c r="A5390">
        <v>618862</v>
      </c>
      <c r="B5390" t="str">
        <f>"117923219"</f>
        <v>117923219</v>
      </c>
      <c r="C5390" t="s">
        <v>50</v>
      </c>
      <c r="D5390" t="s">
        <v>9715</v>
      </c>
      <c r="E5390" t="s">
        <v>620</v>
      </c>
      <c r="F5390" t="s">
        <v>309</v>
      </c>
      <c r="G5390" t="s">
        <v>742</v>
      </c>
      <c r="H5390" t="str">
        <f>"ΒΡΑΧΟΚΗΠΟΣ ΗΡΑΚΛΕΙΟ"</f>
        <v>ΒΡΑΧΟΚΗΠΟΣ ΗΡΑΚΛΕΙΟ</v>
      </c>
      <c r="I5390">
        <v>71500</v>
      </c>
      <c r="J5390">
        <v>2810761982</v>
      </c>
      <c r="K5390">
        <v>6946136158</v>
      </c>
      <c r="N5390" t="s">
        <v>615</v>
      </c>
      <c r="O5390" t="s">
        <v>616</v>
      </c>
      <c r="R5390" t="s">
        <v>57</v>
      </c>
      <c r="S5390">
        <v>8</v>
      </c>
      <c r="T5390">
        <v>774</v>
      </c>
      <c r="U5390" s="1">
        <v>39680</v>
      </c>
      <c r="V5390" t="s">
        <v>80</v>
      </c>
      <c r="W5390" t="s">
        <v>81</v>
      </c>
      <c r="X5390" t="s">
        <v>58</v>
      </c>
      <c r="Y5390">
        <v>23</v>
      </c>
      <c r="Z5390" t="s">
        <v>59</v>
      </c>
      <c r="AA5390" t="s">
        <v>59</v>
      </c>
      <c r="AB5390" t="s">
        <v>59</v>
      </c>
      <c r="AC5390" t="s">
        <v>59</v>
      </c>
      <c r="AD5390" t="s">
        <v>59</v>
      </c>
      <c r="AF5390" s="1">
        <v>39681</v>
      </c>
      <c r="AG5390" t="s">
        <v>8645</v>
      </c>
      <c r="AH5390" t="s">
        <v>8646</v>
      </c>
      <c r="AI5390" t="str">
        <f>"9170206"</f>
        <v>9170206</v>
      </c>
      <c r="AJ5390" t="s">
        <v>8972</v>
      </c>
      <c r="AK5390">
        <v>2810761137</v>
      </c>
      <c r="AL5390" t="s">
        <v>8973</v>
      </c>
      <c r="AM5390" t="s">
        <v>78</v>
      </c>
      <c r="AN5390" t="s">
        <v>219</v>
      </c>
      <c r="AO5390" t="s">
        <v>297</v>
      </c>
      <c r="AP5390" t="s">
        <v>8796</v>
      </c>
      <c r="AQ5390">
        <v>7</v>
      </c>
      <c r="AR5390" t="s">
        <v>80</v>
      </c>
      <c r="AS5390" t="s">
        <v>81</v>
      </c>
      <c r="AT5390" t="s">
        <v>58</v>
      </c>
      <c r="AU5390" t="s">
        <v>68</v>
      </c>
      <c r="AV5390" t="s">
        <v>69</v>
      </c>
      <c r="AW5390" s="1">
        <v>26535</v>
      </c>
      <c r="AX5390">
        <v>1</v>
      </c>
    </row>
    <row r="5391" spans="1:50">
      <c r="B5391" t="str">
        <f>"302414681"</f>
        <v>302414681</v>
      </c>
      <c r="C5391" t="s">
        <v>105</v>
      </c>
      <c r="D5391" t="s">
        <v>9716</v>
      </c>
      <c r="E5391" t="s">
        <v>1392</v>
      </c>
      <c r="F5391" t="s">
        <v>72</v>
      </c>
      <c r="G5391" t="s">
        <v>9717</v>
      </c>
      <c r="H5391" t="str">
        <f>" ΦΩΤΗ ΚΟΣΜΑ 22 ΑΛΕΞ/ΠΟΛΗ"</f>
        <v xml:space="preserve"> ΦΩΤΗ ΚΟΣΜΑ 22 ΑΛΕΞ/ΠΟΛΗ</v>
      </c>
      <c r="I5391">
        <v>68100</v>
      </c>
      <c r="J5391">
        <v>2551023926</v>
      </c>
      <c r="K5391">
        <v>6932386540</v>
      </c>
      <c r="M5391" t="s">
        <v>9718</v>
      </c>
      <c r="N5391" t="s">
        <v>176</v>
      </c>
      <c r="O5391" t="s">
        <v>177</v>
      </c>
      <c r="R5391" t="s">
        <v>57</v>
      </c>
      <c r="S5391">
        <v>5</v>
      </c>
      <c r="T5391" t="s">
        <v>8675</v>
      </c>
      <c r="U5391" s="1">
        <v>43348</v>
      </c>
      <c r="V5391" t="s">
        <v>80</v>
      </c>
      <c r="W5391" t="s">
        <v>81</v>
      </c>
      <c r="X5391" t="s">
        <v>58</v>
      </c>
      <c r="Y5391">
        <v>24</v>
      </c>
      <c r="Z5391" t="s">
        <v>59</v>
      </c>
      <c r="AA5391" t="s">
        <v>59</v>
      </c>
      <c r="AB5391" t="s">
        <v>59</v>
      </c>
      <c r="AC5391" t="s">
        <v>59</v>
      </c>
      <c r="AD5391" t="s">
        <v>59</v>
      </c>
      <c r="AF5391" s="1">
        <v>43348</v>
      </c>
      <c r="AG5391" t="s">
        <v>8645</v>
      </c>
      <c r="AH5391" t="s">
        <v>8646</v>
      </c>
      <c r="AI5391" t="str">
        <f>"9170228"</f>
        <v>9170228</v>
      </c>
      <c r="AJ5391" t="s">
        <v>8898</v>
      </c>
      <c r="AK5391">
        <v>2891041210</v>
      </c>
      <c r="AL5391" t="s">
        <v>8899</v>
      </c>
      <c r="AM5391" t="s">
        <v>78</v>
      </c>
      <c r="AN5391" t="s">
        <v>276</v>
      </c>
      <c r="AO5391" t="s">
        <v>1936</v>
      </c>
      <c r="AP5391" t="s">
        <v>1936</v>
      </c>
      <c r="AQ5391">
        <v>13</v>
      </c>
      <c r="AR5391" t="s">
        <v>80</v>
      </c>
      <c r="AS5391" t="s">
        <v>81</v>
      </c>
      <c r="AT5391" t="s">
        <v>58</v>
      </c>
      <c r="AU5391" t="s">
        <v>8673</v>
      </c>
      <c r="AV5391" t="s">
        <v>132</v>
      </c>
      <c r="AW5391" s="1">
        <v>28837</v>
      </c>
      <c r="AX5391">
        <v>1</v>
      </c>
    </row>
    <row r="5392" spans="1:50">
      <c r="A5392">
        <v>620728</v>
      </c>
      <c r="B5392" t="str">
        <f>"127320361"</f>
        <v>127320361</v>
      </c>
      <c r="C5392" t="s">
        <v>50</v>
      </c>
      <c r="D5392" t="s">
        <v>9719</v>
      </c>
      <c r="E5392" t="s">
        <v>9720</v>
      </c>
      <c r="F5392" t="s">
        <v>9721</v>
      </c>
      <c r="G5392" t="s">
        <v>1342</v>
      </c>
      <c r="H5392" t="str">
        <f>"ΘΕΟΦΙΛΟΥ 1 ΘΕΣΣΑΛΟΝΙΚΗ"</f>
        <v>ΘΕΟΦΙΛΟΥ 1 ΘΕΣΣΑΛΟΝΙΚΗ</v>
      </c>
      <c r="I5392">
        <v>56224</v>
      </c>
      <c r="J5392">
        <v>2310652784</v>
      </c>
      <c r="K5392">
        <v>6974644955</v>
      </c>
      <c r="L5392">
        <v>2811110015</v>
      </c>
      <c r="N5392" t="s">
        <v>615</v>
      </c>
      <c r="O5392" t="s">
        <v>616</v>
      </c>
      <c r="R5392" t="s">
        <v>57</v>
      </c>
      <c r="S5392">
        <v>5</v>
      </c>
      <c r="T5392">
        <v>653</v>
      </c>
      <c r="U5392" s="1">
        <v>40043</v>
      </c>
      <c r="V5392" t="s">
        <v>80</v>
      </c>
      <c r="W5392" t="s">
        <v>81</v>
      </c>
      <c r="X5392" t="s">
        <v>58</v>
      </c>
      <c r="Y5392">
        <v>23</v>
      </c>
      <c r="Z5392" t="s">
        <v>59</v>
      </c>
      <c r="AA5392" t="s">
        <v>59</v>
      </c>
      <c r="AB5392" t="s">
        <v>59</v>
      </c>
      <c r="AC5392" t="s">
        <v>59</v>
      </c>
      <c r="AD5392" t="s">
        <v>59</v>
      </c>
      <c r="AF5392" s="1">
        <v>40043</v>
      </c>
      <c r="AG5392" t="s">
        <v>8645</v>
      </c>
      <c r="AH5392" t="s">
        <v>8646</v>
      </c>
      <c r="AI5392" t="str">
        <f>"9170114"</f>
        <v>9170114</v>
      </c>
      <c r="AJ5392" t="s">
        <v>9613</v>
      </c>
      <c r="AK5392">
        <v>2810241054</v>
      </c>
      <c r="AL5392" t="s">
        <v>9614</v>
      </c>
      <c r="AM5392" t="s">
        <v>78</v>
      </c>
      <c r="AN5392" t="s">
        <v>78</v>
      </c>
      <c r="AO5392" t="s">
        <v>78</v>
      </c>
      <c r="AP5392" t="s">
        <v>79</v>
      </c>
      <c r="AQ5392">
        <v>1</v>
      </c>
      <c r="AR5392" t="s">
        <v>80</v>
      </c>
      <c r="AS5392" t="s">
        <v>81</v>
      </c>
      <c r="AT5392" t="s">
        <v>58</v>
      </c>
      <c r="AU5392" t="s">
        <v>68</v>
      </c>
      <c r="AV5392" t="s">
        <v>69</v>
      </c>
      <c r="AW5392" s="1">
        <v>30080</v>
      </c>
      <c r="AX5392">
        <v>1</v>
      </c>
    </row>
    <row r="5393" spans="1:50">
      <c r="B5393" t="str">
        <f>"138972288"</f>
        <v>138972288</v>
      </c>
      <c r="C5393" t="s">
        <v>50</v>
      </c>
      <c r="D5393" t="s">
        <v>9722</v>
      </c>
      <c r="E5393" t="s">
        <v>52</v>
      </c>
      <c r="F5393" t="s">
        <v>965</v>
      </c>
      <c r="G5393" t="s">
        <v>250</v>
      </c>
      <c r="H5393" t="str">
        <f>"ΗΛΕΙΑΣ 10 ΧΑΛΑΝΔΡΙ"</f>
        <v>ΗΛΕΙΑΣ 10 ΧΑΛΑΝΔΡΙ</v>
      </c>
      <c r="I5393">
        <v>15234</v>
      </c>
      <c r="J5393">
        <v>2114038554</v>
      </c>
      <c r="K5393">
        <v>6947601673</v>
      </c>
      <c r="N5393" t="s">
        <v>337</v>
      </c>
      <c r="O5393" t="s">
        <v>338</v>
      </c>
      <c r="R5393" t="s">
        <v>121</v>
      </c>
      <c r="S5393">
        <v>1</v>
      </c>
      <c r="T5393" t="s">
        <v>8675</v>
      </c>
      <c r="U5393" s="1">
        <v>43348</v>
      </c>
      <c r="V5393" t="s">
        <v>80</v>
      </c>
      <c r="W5393" t="s">
        <v>81</v>
      </c>
      <c r="X5393" t="s">
        <v>58</v>
      </c>
      <c r="Y5393">
        <v>24</v>
      </c>
      <c r="Z5393" t="s">
        <v>59</v>
      </c>
      <c r="AA5393" t="s">
        <v>59</v>
      </c>
      <c r="AB5393" t="s">
        <v>59</v>
      </c>
      <c r="AC5393" t="s">
        <v>59</v>
      </c>
      <c r="AD5393" t="s">
        <v>59</v>
      </c>
      <c r="AF5393" s="1">
        <v>43348</v>
      </c>
      <c r="AG5393" t="s">
        <v>8645</v>
      </c>
      <c r="AH5393" t="s">
        <v>8646</v>
      </c>
      <c r="AI5393" t="str">
        <f>"9170115"</f>
        <v>9170115</v>
      </c>
      <c r="AJ5393" t="s">
        <v>8770</v>
      </c>
      <c r="AK5393">
        <v>2810231165</v>
      </c>
      <c r="AL5393" t="s">
        <v>8771</v>
      </c>
      <c r="AM5393" t="s">
        <v>78</v>
      </c>
      <c r="AN5393" t="s">
        <v>78</v>
      </c>
      <c r="AO5393" t="s">
        <v>78</v>
      </c>
      <c r="AP5393" t="s">
        <v>141</v>
      </c>
      <c r="AQ5393">
        <v>1</v>
      </c>
      <c r="AR5393" t="s">
        <v>80</v>
      </c>
      <c r="AS5393" t="s">
        <v>81</v>
      </c>
      <c r="AT5393" t="s">
        <v>58</v>
      </c>
      <c r="AU5393" t="s">
        <v>8673</v>
      </c>
      <c r="AV5393" t="s">
        <v>132</v>
      </c>
      <c r="AW5393" s="1">
        <v>31722</v>
      </c>
      <c r="AX5393">
        <v>1</v>
      </c>
    </row>
    <row r="5394" spans="1:50">
      <c r="B5394" t="str">
        <f>"117389215"</f>
        <v>117389215</v>
      </c>
      <c r="C5394" t="s">
        <v>50</v>
      </c>
      <c r="D5394" t="s">
        <v>9723</v>
      </c>
      <c r="E5394" t="s">
        <v>1155</v>
      </c>
      <c r="F5394" t="s">
        <v>670</v>
      </c>
      <c r="G5394" t="s">
        <v>7450</v>
      </c>
      <c r="H5394" t="str">
        <f>"ΜΑΡΜΑΡΑ 1-5 ΝΕΑ ΙΩΝΙΑ"</f>
        <v>ΜΑΡΜΑΡΑ 1-5 ΝΕΑ ΙΩΝΙΑ</v>
      </c>
      <c r="I5394">
        <v>14231</v>
      </c>
      <c r="J5394">
        <v>2102795725</v>
      </c>
      <c r="K5394">
        <v>6973231347</v>
      </c>
      <c r="N5394" t="s">
        <v>306</v>
      </c>
      <c r="O5394" t="s">
        <v>307</v>
      </c>
      <c r="R5394" t="s">
        <v>159</v>
      </c>
      <c r="S5394">
        <v>2</v>
      </c>
      <c r="T5394" t="s">
        <v>8675</v>
      </c>
      <c r="U5394" s="1">
        <v>43348</v>
      </c>
      <c r="V5394" t="s">
        <v>80</v>
      </c>
      <c r="W5394" t="s">
        <v>81</v>
      </c>
      <c r="X5394" t="s">
        <v>58</v>
      </c>
      <c r="Y5394">
        <v>24</v>
      </c>
      <c r="Z5394" t="s">
        <v>59</v>
      </c>
      <c r="AA5394" t="s">
        <v>59</v>
      </c>
      <c r="AB5394" t="s">
        <v>59</v>
      </c>
      <c r="AC5394" t="s">
        <v>59</v>
      </c>
      <c r="AD5394" t="s">
        <v>59</v>
      </c>
      <c r="AF5394" s="1">
        <v>43348</v>
      </c>
      <c r="AG5394" t="s">
        <v>8645</v>
      </c>
      <c r="AH5394" t="s">
        <v>8646</v>
      </c>
      <c r="AI5394" t="str">
        <f>"9170536"</f>
        <v>9170536</v>
      </c>
      <c r="AJ5394" t="s">
        <v>8740</v>
      </c>
      <c r="AK5394">
        <v>2892051187</v>
      </c>
      <c r="AL5394" t="s">
        <v>8741</v>
      </c>
      <c r="AM5394" t="s">
        <v>78</v>
      </c>
      <c r="AN5394" t="s">
        <v>242</v>
      </c>
      <c r="AO5394" t="s">
        <v>349</v>
      </c>
      <c r="AP5394" t="s">
        <v>349</v>
      </c>
      <c r="AQ5394">
        <v>19</v>
      </c>
      <c r="AR5394" t="s">
        <v>80</v>
      </c>
      <c r="AS5394" t="s">
        <v>81</v>
      </c>
      <c r="AT5394" t="s">
        <v>58</v>
      </c>
      <c r="AU5394" t="s">
        <v>8673</v>
      </c>
      <c r="AV5394" t="s">
        <v>132</v>
      </c>
      <c r="AW5394" s="1">
        <v>30116</v>
      </c>
      <c r="AX5394">
        <v>1</v>
      </c>
    </row>
    <row r="5395" spans="1:50">
      <c r="A5395">
        <v>590627</v>
      </c>
      <c r="B5395" t="str">
        <f>"076981662"</f>
        <v>076981662</v>
      </c>
      <c r="C5395" t="s">
        <v>50</v>
      </c>
      <c r="D5395" t="s">
        <v>9724</v>
      </c>
      <c r="E5395" t="s">
        <v>215</v>
      </c>
      <c r="F5395" t="s">
        <v>53</v>
      </c>
      <c r="G5395" t="s">
        <v>7112</v>
      </c>
      <c r="H5395" t="str">
        <f>" Λοφούπολη"</f>
        <v xml:space="preserve"> Λοφούπολη</v>
      </c>
      <c r="J5395">
        <v>2810370619</v>
      </c>
      <c r="K5395">
        <v>6944584075</v>
      </c>
      <c r="M5395" t="s">
        <v>9725</v>
      </c>
      <c r="N5395" t="s">
        <v>1525</v>
      </c>
      <c r="O5395" t="s">
        <v>1526</v>
      </c>
      <c r="R5395" t="s">
        <v>57</v>
      </c>
      <c r="S5395">
        <v>9</v>
      </c>
      <c r="T5395">
        <v>176</v>
      </c>
      <c r="U5395" s="1">
        <v>36403</v>
      </c>
      <c r="V5395" t="s">
        <v>80</v>
      </c>
      <c r="W5395" t="s">
        <v>81</v>
      </c>
      <c r="X5395" t="s">
        <v>58</v>
      </c>
      <c r="Y5395">
        <v>25</v>
      </c>
      <c r="Z5395" t="s">
        <v>59</v>
      </c>
      <c r="AA5395" t="s">
        <v>59</v>
      </c>
      <c r="AB5395" t="s">
        <v>59</v>
      </c>
      <c r="AC5395" t="s">
        <v>59</v>
      </c>
      <c r="AD5395" t="s">
        <v>59</v>
      </c>
      <c r="AF5395" s="1">
        <v>36404</v>
      </c>
      <c r="AG5395" t="s">
        <v>8651</v>
      </c>
      <c r="AH5395" t="s">
        <v>8652</v>
      </c>
      <c r="AI5395" t="str">
        <f>"9170189"</f>
        <v>9170189</v>
      </c>
      <c r="AJ5395" t="s">
        <v>9726</v>
      </c>
      <c r="AK5395">
        <v>2810241270</v>
      </c>
      <c r="AL5395" t="s">
        <v>9727</v>
      </c>
      <c r="AM5395" t="s">
        <v>78</v>
      </c>
      <c r="AN5395" t="s">
        <v>78</v>
      </c>
      <c r="AO5395" t="s">
        <v>78</v>
      </c>
      <c r="AP5395" t="s">
        <v>79</v>
      </c>
      <c r="AQ5395">
        <v>1</v>
      </c>
      <c r="AR5395" t="s">
        <v>80</v>
      </c>
      <c r="AS5395" t="s">
        <v>81</v>
      </c>
      <c r="AT5395" t="s">
        <v>58</v>
      </c>
      <c r="AU5395" t="s">
        <v>68</v>
      </c>
      <c r="AV5395" t="s">
        <v>69</v>
      </c>
      <c r="AW5395" s="1">
        <v>26154</v>
      </c>
      <c r="AX5395">
        <v>1</v>
      </c>
    </row>
    <row r="5396" spans="1:50">
      <c r="A5396">
        <v>700750</v>
      </c>
      <c r="B5396" t="str">
        <f>"148646800"</f>
        <v>148646800</v>
      </c>
      <c r="C5396" t="s">
        <v>50</v>
      </c>
      <c r="D5396" t="s">
        <v>9728</v>
      </c>
      <c r="E5396" t="s">
        <v>842</v>
      </c>
      <c r="F5396" t="s">
        <v>53</v>
      </c>
      <c r="G5396" t="s">
        <v>73</v>
      </c>
      <c r="H5396" t="str">
        <f>"ΥΨΗΛΑΝΤΟΥ 21 ΜΕΝΕΜΕΝΗ"</f>
        <v>ΥΨΗΛΑΝΤΟΥ 21 ΜΕΝΕΜΕΝΗ</v>
      </c>
      <c r="I5396">
        <v>56122</v>
      </c>
      <c r="J5396">
        <v>2310756957</v>
      </c>
      <c r="K5396">
        <v>6970048567</v>
      </c>
      <c r="N5396" t="s">
        <v>615</v>
      </c>
      <c r="O5396" t="s">
        <v>616</v>
      </c>
      <c r="R5396" t="s">
        <v>57</v>
      </c>
      <c r="S5396">
        <v>4</v>
      </c>
      <c r="T5396">
        <v>772</v>
      </c>
      <c r="U5396" s="1">
        <v>40413</v>
      </c>
      <c r="V5396" t="s">
        <v>80</v>
      </c>
      <c r="W5396" t="s">
        <v>81</v>
      </c>
      <c r="X5396" t="s">
        <v>58</v>
      </c>
      <c r="Y5396">
        <v>24</v>
      </c>
      <c r="Z5396" t="s">
        <v>59</v>
      </c>
      <c r="AA5396" t="s">
        <v>59</v>
      </c>
      <c r="AB5396" t="s">
        <v>59</v>
      </c>
      <c r="AC5396" t="s">
        <v>59</v>
      </c>
      <c r="AD5396" t="s">
        <v>59</v>
      </c>
      <c r="AF5396" s="1">
        <v>40413</v>
      </c>
      <c r="AG5396" t="s">
        <v>8645</v>
      </c>
      <c r="AH5396" t="s">
        <v>8646</v>
      </c>
      <c r="AI5396" t="str">
        <f>"9170270"</f>
        <v>9170270</v>
      </c>
      <c r="AJ5396" t="s">
        <v>9347</v>
      </c>
      <c r="AK5396">
        <v>2892031245</v>
      </c>
      <c r="AL5396" t="s">
        <v>9348</v>
      </c>
      <c r="AM5396" t="s">
        <v>78</v>
      </c>
      <c r="AN5396" t="s">
        <v>405</v>
      </c>
      <c r="AO5396" t="s">
        <v>405</v>
      </c>
      <c r="AP5396" t="s">
        <v>464</v>
      </c>
      <c r="AQ5396">
        <v>17</v>
      </c>
      <c r="AR5396" t="s">
        <v>80</v>
      </c>
      <c r="AS5396" t="s">
        <v>81</v>
      </c>
      <c r="AT5396" t="s">
        <v>58</v>
      </c>
      <c r="AU5396" t="s">
        <v>68</v>
      </c>
      <c r="AV5396" t="s">
        <v>69</v>
      </c>
      <c r="AW5396" s="1">
        <v>31654</v>
      </c>
      <c r="AX5396">
        <v>1</v>
      </c>
    </row>
    <row r="5397" spans="1:50">
      <c r="A5397">
        <v>578150</v>
      </c>
      <c r="B5397" t="str">
        <f>"062669364"</f>
        <v>062669364</v>
      </c>
      <c r="C5397" t="s">
        <v>50</v>
      </c>
      <c r="D5397" t="s">
        <v>9729</v>
      </c>
      <c r="E5397" t="s">
        <v>83</v>
      </c>
      <c r="F5397" t="s">
        <v>108</v>
      </c>
      <c r="G5397" t="s">
        <v>237</v>
      </c>
      <c r="H5397" t="str">
        <f>"ΕΛΕΥΘΕΡΝΗΣ 47 ΗΡΑΚΛΕΙΟ"</f>
        <v>ΕΛΕΥΘΕΡΝΗΣ 47 ΗΡΑΚΛΕΙΟ</v>
      </c>
      <c r="I5397">
        <v>71303</v>
      </c>
      <c r="J5397">
        <v>2810314334</v>
      </c>
      <c r="K5397">
        <v>6979255821</v>
      </c>
      <c r="N5397" t="s">
        <v>615</v>
      </c>
      <c r="O5397" t="s">
        <v>616</v>
      </c>
      <c r="R5397" t="s">
        <v>57</v>
      </c>
      <c r="S5397">
        <v>13</v>
      </c>
      <c r="T5397">
        <v>165</v>
      </c>
      <c r="U5397" s="1">
        <v>35300</v>
      </c>
      <c r="V5397" t="s">
        <v>80</v>
      </c>
      <c r="W5397" t="s">
        <v>81</v>
      </c>
      <c r="X5397" t="s">
        <v>58</v>
      </c>
      <c r="Y5397">
        <v>21</v>
      </c>
      <c r="Z5397" t="s">
        <v>59</v>
      </c>
      <c r="AA5397" t="s">
        <v>59</v>
      </c>
      <c r="AB5397" t="s">
        <v>59</v>
      </c>
      <c r="AC5397" t="s">
        <v>59</v>
      </c>
      <c r="AD5397" t="s">
        <v>59</v>
      </c>
      <c r="AF5397" s="1">
        <v>35310</v>
      </c>
      <c r="AG5397" t="s">
        <v>8645</v>
      </c>
      <c r="AH5397" t="s">
        <v>8646</v>
      </c>
      <c r="AI5397" t="str">
        <f>"9170055"</f>
        <v>9170055</v>
      </c>
      <c r="AJ5397" t="s">
        <v>8836</v>
      </c>
      <c r="AK5397">
        <v>2810255097</v>
      </c>
      <c r="AL5397" t="s">
        <v>8837</v>
      </c>
      <c r="AM5397" t="s">
        <v>78</v>
      </c>
      <c r="AN5397" t="s">
        <v>78</v>
      </c>
      <c r="AO5397" t="s">
        <v>78</v>
      </c>
      <c r="AP5397" t="s">
        <v>141</v>
      </c>
      <c r="AQ5397">
        <v>1</v>
      </c>
      <c r="AR5397" t="s">
        <v>80</v>
      </c>
      <c r="AS5397" t="s">
        <v>81</v>
      </c>
      <c r="AT5397" t="s">
        <v>58</v>
      </c>
      <c r="AU5397" t="s">
        <v>68</v>
      </c>
      <c r="AV5397" t="s">
        <v>69</v>
      </c>
      <c r="AW5397" s="1">
        <v>24212</v>
      </c>
      <c r="AX5397">
        <v>1</v>
      </c>
    </row>
    <row r="5398" spans="1:50">
      <c r="A5398">
        <v>578228</v>
      </c>
      <c r="B5398" t="str">
        <f>"036320750"</f>
        <v>036320750</v>
      </c>
      <c r="C5398" t="s">
        <v>105</v>
      </c>
      <c r="D5398" t="s">
        <v>9730</v>
      </c>
      <c r="E5398" t="s">
        <v>92</v>
      </c>
      <c r="F5398" t="s">
        <v>53</v>
      </c>
      <c r="G5398" t="s">
        <v>1588</v>
      </c>
      <c r="H5398" t="str">
        <f>"ΕΛΕΥΘΕΡΝΗΣ 47 ΗΡΑΚΛΕΙΟ"</f>
        <v>ΕΛΕΥΘΕΡΝΗΣ 47 ΗΡΑΚΛΕΙΟ</v>
      </c>
      <c r="I5398">
        <v>71303</v>
      </c>
      <c r="J5398">
        <v>2810314334</v>
      </c>
      <c r="K5398">
        <v>6972055259</v>
      </c>
      <c r="N5398" t="s">
        <v>615</v>
      </c>
      <c r="O5398" t="s">
        <v>616</v>
      </c>
      <c r="R5398" t="s">
        <v>57</v>
      </c>
      <c r="S5398">
        <v>13</v>
      </c>
      <c r="T5398">
        <v>165</v>
      </c>
      <c r="U5398" s="1">
        <v>35300</v>
      </c>
      <c r="V5398" t="s">
        <v>80</v>
      </c>
      <c r="W5398" t="s">
        <v>81</v>
      </c>
      <c r="X5398" t="s">
        <v>58</v>
      </c>
      <c r="Y5398">
        <v>21</v>
      </c>
      <c r="Z5398" t="s">
        <v>59</v>
      </c>
      <c r="AA5398" t="s">
        <v>59</v>
      </c>
      <c r="AB5398" t="s">
        <v>59</v>
      </c>
      <c r="AC5398" t="s">
        <v>59</v>
      </c>
      <c r="AD5398" t="s">
        <v>59</v>
      </c>
      <c r="AF5398" s="1">
        <v>35310</v>
      </c>
      <c r="AG5398" t="s">
        <v>8645</v>
      </c>
      <c r="AH5398" t="s">
        <v>8646</v>
      </c>
      <c r="AI5398" t="str">
        <f>"9170055"</f>
        <v>9170055</v>
      </c>
      <c r="AJ5398" t="s">
        <v>8836</v>
      </c>
      <c r="AK5398">
        <v>2810255097</v>
      </c>
      <c r="AL5398" t="s">
        <v>8837</v>
      </c>
      <c r="AM5398" t="s">
        <v>78</v>
      </c>
      <c r="AN5398" t="s">
        <v>78</v>
      </c>
      <c r="AO5398" t="s">
        <v>78</v>
      </c>
      <c r="AP5398" t="s">
        <v>141</v>
      </c>
      <c r="AQ5398">
        <v>1</v>
      </c>
      <c r="AR5398" t="s">
        <v>80</v>
      </c>
      <c r="AS5398" t="s">
        <v>81</v>
      </c>
      <c r="AT5398" t="s">
        <v>58</v>
      </c>
      <c r="AU5398" t="s">
        <v>68</v>
      </c>
      <c r="AV5398" t="s">
        <v>69</v>
      </c>
      <c r="AW5398" s="1">
        <v>24322</v>
      </c>
      <c r="AX5398">
        <v>1</v>
      </c>
    </row>
    <row r="5399" spans="1:50">
      <c r="A5399">
        <v>620831</v>
      </c>
      <c r="B5399" t="str">
        <f>"132335079"</f>
        <v>132335079</v>
      </c>
      <c r="C5399" t="s">
        <v>50</v>
      </c>
      <c r="D5399" t="s">
        <v>9731</v>
      </c>
      <c r="E5399" t="s">
        <v>181</v>
      </c>
      <c r="F5399" t="s">
        <v>166</v>
      </c>
      <c r="G5399" t="s">
        <v>96</v>
      </c>
      <c r="H5399" t="str">
        <f>"ΜΙΝΩΟΣ ΚΑΛΟΚΑΙΡΙΝΟΥ 19 ΗΡΑΚΛΕΙΟ"</f>
        <v>ΜΙΝΩΟΣ ΚΑΛΟΚΑΙΡΙΝΟΥ 19 ΗΡΑΚΛΕΙΟ</v>
      </c>
      <c r="I5399">
        <v>71307</v>
      </c>
      <c r="J5399">
        <v>2810236657</v>
      </c>
      <c r="K5399">
        <v>6974534446</v>
      </c>
      <c r="M5399" t="s">
        <v>9732</v>
      </c>
      <c r="N5399" t="s">
        <v>615</v>
      </c>
      <c r="O5399" t="s">
        <v>616</v>
      </c>
      <c r="R5399" t="s">
        <v>57</v>
      </c>
      <c r="S5399">
        <v>5</v>
      </c>
      <c r="T5399">
        <v>653</v>
      </c>
      <c r="U5399" s="1">
        <v>40043</v>
      </c>
      <c r="V5399" t="s">
        <v>80</v>
      </c>
      <c r="W5399" t="s">
        <v>81</v>
      </c>
      <c r="X5399" t="s">
        <v>58</v>
      </c>
      <c r="Y5399">
        <v>23</v>
      </c>
      <c r="Z5399" t="s">
        <v>59</v>
      </c>
      <c r="AA5399" t="s">
        <v>59</v>
      </c>
      <c r="AB5399" t="s">
        <v>59</v>
      </c>
      <c r="AC5399" t="s">
        <v>59</v>
      </c>
      <c r="AD5399" t="s">
        <v>59</v>
      </c>
      <c r="AF5399" s="1">
        <v>40043</v>
      </c>
      <c r="AG5399" t="s">
        <v>8645</v>
      </c>
      <c r="AH5399" t="s">
        <v>8646</v>
      </c>
      <c r="AI5399" t="str">
        <f>"9170426"</f>
        <v>9170426</v>
      </c>
      <c r="AJ5399" t="s">
        <v>9142</v>
      </c>
      <c r="AK5399">
        <v>2810222289</v>
      </c>
      <c r="AL5399" t="s">
        <v>9143</v>
      </c>
      <c r="AM5399" t="s">
        <v>78</v>
      </c>
      <c r="AN5399" t="s">
        <v>78</v>
      </c>
      <c r="AO5399" t="s">
        <v>78</v>
      </c>
      <c r="AP5399" t="s">
        <v>213</v>
      </c>
      <c r="AQ5399">
        <v>1</v>
      </c>
      <c r="AR5399" t="s">
        <v>80</v>
      </c>
      <c r="AS5399" t="s">
        <v>81</v>
      </c>
      <c r="AT5399" t="s">
        <v>58</v>
      </c>
      <c r="AU5399" t="s">
        <v>68</v>
      </c>
      <c r="AV5399" t="s">
        <v>69</v>
      </c>
      <c r="AW5399" s="1">
        <v>31208</v>
      </c>
      <c r="AX5399">
        <v>1</v>
      </c>
    </row>
    <row r="5400" spans="1:50">
      <c r="A5400">
        <v>620642</v>
      </c>
      <c r="B5400" t="str">
        <f>"144555553"</f>
        <v>144555553</v>
      </c>
      <c r="C5400" t="s">
        <v>50</v>
      </c>
      <c r="D5400" t="s">
        <v>9733</v>
      </c>
      <c r="E5400" t="s">
        <v>5860</v>
      </c>
      <c r="F5400" t="s">
        <v>53</v>
      </c>
      <c r="G5400" t="s">
        <v>710</v>
      </c>
      <c r="H5400" t="str">
        <f>"ΠΕΡΙΚΛΕΟΥΣ 11 ΑΓΙΟΙ ΑΝΑΡΓΥΡΟΙ "</f>
        <v xml:space="preserve">ΠΕΡΙΚΛΕΟΥΣ 11 ΑΓΙΟΙ ΑΝΑΡΓΥΡΟΙ </v>
      </c>
      <c r="I5400">
        <v>13562</v>
      </c>
      <c r="J5400">
        <v>2102690781</v>
      </c>
      <c r="K5400">
        <v>6971800235</v>
      </c>
      <c r="M5400" t="s">
        <v>9734</v>
      </c>
      <c r="N5400" t="s">
        <v>615</v>
      </c>
      <c r="O5400" t="s">
        <v>616</v>
      </c>
      <c r="R5400" t="s">
        <v>57</v>
      </c>
      <c r="S5400">
        <v>5</v>
      </c>
      <c r="T5400">
        <v>653</v>
      </c>
      <c r="U5400" s="1">
        <v>40043</v>
      </c>
      <c r="V5400" t="s">
        <v>80</v>
      </c>
      <c r="W5400" t="s">
        <v>81</v>
      </c>
      <c r="X5400" t="s">
        <v>58</v>
      </c>
      <c r="Y5400">
        <v>23</v>
      </c>
      <c r="Z5400" t="s">
        <v>59</v>
      </c>
      <c r="AA5400" t="s">
        <v>59</v>
      </c>
      <c r="AB5400" t="s">
        <v>59</v>
      </c>
      <c r="AC5400" t="s">
        <v>59</v>
      </c>
      <c r="AD5400" t="s">
        <v>59</v>
      </c>
      <c r="AF5400" s="1">
        <v>40044</v>
      </c>
      <c r="AG5400" t="s">
        <v>8645</v>
      </c>
      <c r="AH5400" t="s">
        <v>8646</v>
      </c>
      <c r="AI5400" t="str">
        <f>"9170424"</f>
        <v>9170424</v>
      </c>
      <c r="AJ5400" t="s">
        <v>8860</v>
      </c>
      <c r="AK5400">
        <v>2810254530</v>
      </c>
      <c r="AL5400" t="s">
        <v>8861</v>
      </c>
      <c r="AM5400" t="s">
        <v>78</v>
      </c>
      <c r="AN5400" t="s">
        <v>78</v>
      </c>
      <c r="AO5400" t="s">
        <v>78</v>
      </c>
      <c r="AP5400" t="s">
        <v>163</v>
      </c>
      <c r="AQ5400">
        <v>1</v>
      </c>
      <c r="AR5400" t="s">
        <v>80</v>
      </c>
      <c r="AS5400" t="s">
        <v>81</v>
      </c>
      <c r="AT5400" t="s">
        <v>58</v>
      </c>
      <c r="AU5400" t="s">
        <v>68</v>
      </c>
      <c r="AV5400" t="s">
        <v>69</v>
      </c>
      <c r="AW5400" s="1">
        <v>30950</v>
      </c>
      <c r="AX5400">
        <v>1</v>
      </c>
    </row>
    <row r="5401" spans="1:50">
      <c r="A5401">
        <v>590402</v>
      </c>
      <c r="B5401" t="str">
        <f>"103838432"</f>
        <v>103838432</v>
      </c>
      <c r="C5401" t="s">
        <v>50</v>
      </c>
      <c r="D5401" t="s">
        <v>9735</v>
      </c>
      <c r="E5401" t="s">
        <v>2251</v>
      </c>
      <c r="F5401" t="s">
        <v>383</v>
      </c>
      <c r="G5401" t="s">
        <v>255</v>
      </c>
      <c r="H5401" t="str">
        <f>"ΚΟΚΚΙΝΗ ΧΑΝΙ "</f>
        <v xml:space="preserve">ΚΟΚΚΙΝΗ ΧΑΝΙ </v>
      </c>
      <c r="I5401">
        <v>71409</v>
      </c>
      <c r="K5401">
        <v>6975502093</v>
      </c>
      <c r="N5401" t="s">
        <v>337</v>
      </c>
      <c r="O5401" t="s">
        <v>338</v>
      </c>
      <c r="R5401" t="s">
        <v>57</v>
      </c>
      <c r="S5401">
        <v>9</v>
      </c>
      <c r="T5401">
        <v>177</v>
      </c>
      <c r="U5401" s="1">
        <v>36403</v>
      </c>
      <c r="V5401" t="s">
        <v>80</v>
      </c>
      <c r="W5401" t="s">
        <v>81</v>
      </c>
      <c r="X5401" t="s">
        <v>58</v>
      </c>
      <c r="Y5401">
        <v>22</v>
      </c>
      <c r="Z5401" t="s">
        <v>59</v>
      </c>
      <c r="AA5401" t="s">
        <v>59</v>
      </c>
      <c r="AB5401" t="s">
        <v>59</v>
      </c>
      <c r="AC5401" t="s">
        <v>59</v>
      </c>
      <c r="AD5401" t="s">
        <v>59</v>
      </c>
      <c r="AF5401" s="1">
        <v>36409</v>
      </c>
      <c r="AG5401" t="s">
        <v>8645</v>
      </c>
      <c r="AH5401" t="s">
        <v>8646</v>
      </c>
      <c r="AI5401" t="str">
        <f>"9170196"</f>
        <v>9170196</v>
      </c>
      <c r="AJ5401" t="s">
        <v>9255</v>
      </c>
      <c r="AK5401">
        <v>2810283356</v>
      </c>
      <c r="AL5401" t="s">
        <v>9256</v>
      </c>
      <c r="AM5401" t="s">
        <v>78</v>
      </c>
      <c r="AN5401" t="s">
        <v>78</v>
      </c>
      <c r="AO5401" t="s">
        <v>78</v>
      </c>
      <c r="AP5401" t="s">
        <v>79</v>
      </c>
      <c r="AQ5401">
        <v>1</v>
      </c>
      <c r="AR5401" t="s">
        <v>80</v>
      </c>
      <c r="AS5401" t="s">
        <v>81</v>
      </c>
      <c r="AT5401" t="s">
        <v>58</v>
      </c>
      <c r="AU5401" t="s">
        <v>68</v>
      </c>
      <c r="AV5401" t="s">
        <v>69</v>
      </c>
      <c r="AW5401" s="1">
        <v>25693</v>
      </c>
      <c r="AX5401">
        <v>1</v>
      </c>
    </row>
    <row r="5402" spans="1:50">
      <c r="A5402">
        <v>553230</v>
      </c>
      <c r="B5402" t="str">
        <f>"030170626"</f>
        <v>030170626</v>
      </c>
      <c r="C5402" t="s">
        <v>50</v>
      </c>
      <c r="D5402" t="s">
        <v>5973</v>
      </c>
      <c r="E5402" t="s">
        <v>52</v>
      </c>
      <c r="F5402" t="s">
        <v>95</v>
      </c>
      <c r="G5402" t="s">
        <v>1644</v>
      </c>
      <c r="H5402" t="str">
        <f>"ΜΙΛΤΙΑΔΟΥ 21 ΠΑΤΕΛΕΣ"</f>
        <v>ΜΙΛΤΙΑΔΟΥ 21 ΠΑΤΕΛΕΣ</v>
      </c>
      <c r="I5402">
        <v>71307</v>
      </c>
      <c r="J5402">
        <v>2810330245</v>
      </c>
      <c r="K5402">
        <v>6948290017</v>
      </c>
      <c r="N5402" t="s">
        <v>1525</v>
      </c>
      <c r="O5402" t="s">
        <v>1526</v>
      </c>
      <c r="R5402" t="s">
        <v>57</v>
      </c>
      <c r="S5402">
        <v>18</v>
      </c>
      <c r="T5402">
        <v>433</v>
      </c>
      <c r="U5402" s="1">
        <v>31044</v>
      </c>
      <c r="V5402" t="s">
        <v>80</v>
      </c>
      <c r="W5402" t="s">
        <v>81</v>
      </c>
      <c r="X5402" t="s">
        <v>58</v>
      </c>
      <c r="Y5402">
        <v>25</v>
      </c>
      <c r="Z5402" t="s">
        <v>59</v>
      </c>
      <c r="AA5402" t="s">
        <v>59</v>
      </c>
      <c r="AB5402" t="s">
        <v>59</v>
      </c>
      <c r="AC5402" t="s">
        <v>59</v>
      </c>
      <c r="AD5402" t="s">
        <v>59</v>
      </c>
      <c r="AF5402" s="1">
        <v>31056</v>
      </c>
      <c r="AG5402" t="s">
        <v>8651</v>
      </c>
      <c r="AH5402" t="s">
        <v>8652</v>
      </c>
      <c r="AI5402" t="str">
        <f>"9170251"</f>
        <v>9170251</v>
      </c>
      <c r="AJ5402" t="s">
        <v>9673</v>
      </c>
      <c r="AK5402">
        <v>2810225132</v>
      </c>
      <c r="AL5402" t="s">
        <v>9674</v>
      </c>
      <c r="AM5402" t="s">
        <v>78</v>
      </c>
      <c r="AN5402" t="s">
        <v>78</v>
      </c>
      <c r="AO5402" t="s">
        <v>78</v>
      </c>
      <c r="AP5402" t="s">
        <v>213</v>
      </c>
      <c r="AQ5402">
        <v>1</v>
      </c>
      <c r="AR5402" t="s">
        <v>80</v>
      </c>
      <c r="AS5402" t="s">
        <v>81</v>
      </c>
      <c r="AT5402" t="s">
        <v>58</v>
      </c>
      <c r="AU5402" t="s">
        <v>68</v>
      </c>
      <c r="AV5402" t="s">
        <v>69</v>
      </c>
      <c r="AW5402" s="1">
        <v>22780</v>
      </c>
      <c r="AX5402">
        <v>1</v>
      </c>
    </row>
    <row r="5403" spans="1:50">
      <c r="A5403">
        <v>616478</v>
      </c>
      <c r="B5403" t="str">
        <f>"131493822"</f>
        <v>131493822</v>
      </c>
      <c r="C5403" t="s">
        <v>50</v>
      </c>
      <c r="D5403" t="s">
        <v>5973</v>
      </c>
      <c r="E5403" t="s">
        <v>620</v>
      </c>
      <c r="F5403" t="s">
        <v>3574</v>
      </c>
      <c r="G5403" t="s">
        <v>9736</v>
      </c>
      <c r="H5403" t="str">
        <f>" "</f>
        <v xml:space="preserve"> </v>
      </c>
      <c r="J5403">
        <v>2831057175</v>
      </c>
      <c r="K5403">
        <v>6973882503</v>
      </c>
      <c r="N5403" t="s">
        <v>1525</v>
      </c>
      <c r="O5403" t="s">
        <v>1526</v>
      </c>
      <c r="R5403" t="s">
        <v>57</v>
      </c>
      <c r="S5403">
        <v>5</v>
      </c>
      <c r="T5403">
        <v>660</v>
      </c>
      <c r="U5403" s="1">
        <v>39311</v>
      </c>
      <c r="V5403" t="s">
        <v>80</v>
      </c>
      <c r="W5403" t="s">
        <v>81</v>
      </c>
      <c r="X5403" t="s">
        <v>58</v>
      </c>
      <c r="Y5403">
        <v>25</v>
      </c>
      <c r="Z5403" t="s">
        <v>59</v>
      </c>
      <c r="AA5403" t="s">
        <v>59</v>
      </c>
      <c r="AB5403" t="s">
        <v>59</v>
      </c>
      <c r="AC5403" t="s">
        <v>59</v>
      </c>
      <c r="AD5403" t="s">
        <v>59</v>
      </c>
      <c r="AF5403" s="1">
        <v>39328</v>
      </c>
      <c r="AG5403" t="s">
        <v>8651</v>
      </c>
      <c r="AH5403" t="s">
        <v>8652</v>
      </c>
      <c r="AI5403" t="str">
        <f>"9170602"</f>
        <v>9170602</v>
      </c>
      <c r="AJ5403" t="s">
        <v>9737</v>
      </c>
      <c r="AK5403">
        <v>2810881591</v>
      </c>
      <c r="AL5403" t="s">
        <v>9738</v>
      </c>
      <c r="AM5403" t="s">
        <v>78</v>
      </c>
      <c r="AN5403" t="s">
        <v>78</v>
      </c>
      <c r="AO5403" t="s">
        <v>78</v>
      </c>
      <c r="AP5403" t="s">
        <v>9239</v>
      </c>
      <c r="AQ5403">
        <v>5</v>
      </c>
      <c r="AR5403" t="s">
        <v>80</v>
      </c>
      <c r="AS5403" t="s">
        <v>81</v>
      </c>
      <c r="AT5403" t="s">
        <v>58</v>
      </c>
      <c r="AU5403" t="s">
        <v>68</v>
      </c>
      <c r="AV5403" t="s">
        <v>69</v>
      </c>
      <c r="AW5403" s="1">
        <v>30522</v>
      </c>
      <c r="AX5403">
        <v>1</v>
      </c>
    </row>
    <row r="5404" spans="1:50">
      <c r="B5404" t="str">
        <f>"062451768"</f>
        <v>062451768</v>
      </c>
      <c r="C5404" t="s">
        <v>105</v>
      </c>
      <c r="D5404" t="s">
        <v>202</v>
      </c>
      <c r="E5404" t="s">
        <v>53</v>
      </c>
      <c r="F5404" t="s">
        <v>1392</v>
      </c>
      <c r="G5404" t="s">
        <v>6128</v>
      </c>
      <c r="H5404" t="str">
        <f>"ΑΓ.ΠΑΡΑΣΚΕΥΗ ΛΕΣΒΟΥ"</f>
        <v>ΑΓ.ΠΑΡΑΣΚΕΥΗ ΛΕΣΒΟΥ</v>
      </c>
      <c r="I5404">
        <v>81102</v>
      </c>
      <c r="J5404">
        <v>2253031388</v>
      </c>
      <c r="K5404">
        <v>6981311531</v>
      </c>
      <c r="N5404" t="s">
        <v>176</v>
      </c>
      <c r="O5404" t="s">
        <v>177</v>
      </c>
      <c r="R5404" t="s">
        <v>159</v>
      </c>
      <c r="S5404">
        <v>3</v>
      </c>
      <c r="T5404" t="s">
        <v>8675</v>
      </c>
      <c r="U5404" s="1">
        <v>43348</v>
      </c>
      <c r="V5404" t="s">
        <v>80</v>
      </c>
      <c r="W5404" t="s">
        <v>81</v>
      </c>
      <c r="X5404" t="s">
        <v>58</v>
      </c>
      <c r="Y5404">
        <v>24</v>
      </c>
      <c r="Z5404" t="s">
        <v>59</v>
      </c>
      <c r="AA5404" t="s">
        <v>59</v>
      </c>
      <c r="AB5404" t="s">
        <v>59</v>
      </c>
      <c r="AC5404" t="s">
        <v>59</v>
      </c>
      <c r="AD5404" t="s">
        <v>59</v>
      </c>
      <c r="AF5404" s="1">
        <v>43348</v>
      </c>
      <c r="AG5404" t="s">
        <v>8645</v>
      </c>
      <c r="AH5404" t="s">
        <v>8646</v>
      </c>
      <c r="AI5404" t="str">
        <f>"9170061"</f>
        <v>9170061</v>
      </c>
      <c r="AJ5404" t="s">
        <v>8869</v>
      </c>
      <c r="AK5404">
        <v>2810791254</v>
      </c>
      <c r="AL5404" t="s">
        <v>8870</v>
      </c>
      <c r="AM5404" t="s">
        <v>78</v>
      </c>
      <c r="AN5404" t="s">
        <v>78</v>
      </c>
      <c r="AO5404" t="s">
        <v>78</v>
      </c>
      <c r="AP5404" t="s">
        <v>8871</v>
      </c>
      <c r="AQ5404">
        <v>3</v>
      </c>
      <c r="AR5404" t="s">
        <v>80</v>
      </c>
      <c r="AS5404" t="s">
        <v>81</v>
      </c>
      <c r="AT5404" t="s">
        <v>58</v>
      </c>
      <c r="AU5404" t="s">
        <v>8673</v>
      </c>
      <c r="AV5404" t="s">
        <v>132</v>
      </c>
      <c r="AW5404" s="1">
        <v>27080</v>
      </c>
      <c r="AX5404">
        <v>1</v>
      </c>
    </row>
    <row r="5405" spans="1:50">
      <c r="A5405">
        <v>593644</v>
      </c>
      <c r="B5405" t="str">
        <f>"104403262"</f>
        <v>104403262</v>
      </c>
      <c r="C5405" t="s">
        <v>50</v>
      </c>
      <c r="D5405" t="s">
        <v>1494</v>
      </c>
      <c r="E5405" t="s">
        <v>396</v>
      </c>
      <c r="F5405" t="s">
        <v>72</v>
      </c>
      <c r="G5405" t="s">
        <v>476</v>
      </c>
      <c r="H5405" t="str">
        <f>"ΑΠΟΣΤΟΛΟΥ ΠΑΥΛΟΥ 5 ΗΡΑΚΛΕΙΟ"</f>
        <v>ΑΠΟΣΤΟΛΟΥ ΠΑΥΛΟΥ 5 ΗΡΑΚΛΕΙΟ</v>
      </c>
      <c r="I5405">
        <v>71201</v>
      </c>
      <c r="J5405">
        <v>2810346842</v>
      </c>
      <c r="K5405">
        <v>6946842772</v>
      </c>
      <c r="N5405" t="s">
        <v>615</v>
      </c>
      <c r="O5405" t="s">
        <v>616</v>
      </c>
      <c r="R5405" t="s">
        <v>57</v>
      </c>
      <c r="S5405">
        <v>8</v>
      </c>
      <c r="T5405">
        <v>218</v>
      </c>
      <c r="U5405" s="1">
        <v>37134</v>
      </c>
      <c r="V5405" t="s">
        <v>80</v>
      </c>
      <c r="W5405" t="s">
        <v>81</v>
      </c>
      <c r="X5405" t="s">
        <v>58</v>
      </c>
      <c r="Y5405">
        <v>22</v>
      </c>
      <c r="Z5405" t="s">
        <v>59</v>
      </c>
      <c r="AA5405" t="s">
        <v>59</v>
      </c>
      <c r="AB5405" t="s">
        <v>59</v>
      </c>
      <c r="AC5405" t="s">
        <v>59</v>
      </c>
      <c r="AD5405" t="s">
        <v>59</v>
      </c>
      <c r="AF5405" s="1">
        <v>37138</v>
      </c>
      <c r="AG5405" t="s">
        <v>8645</v>
      </c>
      <c r="AH5405" t="s">
        <v>8646</v>
      </c>
      <c r="AI5405" t="str">
        <f>"9170018"</f>
        <v>9170018</v>
      </c>
      <c r="AJ5405" t="s">
        <v>8924</v>
      </c>
      <c r="AK5405">
        <v>2810821217</v>
      </c>
      <c r="AL5405" t="s">
        <v>8925</v>
      </c>
      <c r="AM5405" t="s">
        <v>78</v>
      </c>
      <c r="AN5405" t="s">
        <v>129</v>
      </c>
      <c r="AO5405" t="s">
        <v>130</v>
      </c>
      <c r="AP5405" t="s">
        <v>130</v>
      </c>
      <c r="AQ5405">
        <v>1</v>
      </c>
      <c r="AR5405" t="s">
        <v>80</v>
      </c>
      <c r="AS5405" t="s">
        <v>81</v>
      </c>
      <c r="AT5405" t="s">
        <v>58</v>
      </c>
      <c r="AU5405" t="s">
        <v>68</v>
      </c>
      <c r="AV5405" t="s">
        <v>69</v>
      </c>
      <c r="AW5405" s="1">
        <v>27474</v>
      </c>
      <c r="AX5405">
        <v>1</v>
      </c>
    </row>
    <row r="5406" spans="1:50">
      <c r="B5406" t="str">
        <f>"142410111"</f>
        <v>142410111</v>
      </c>
      <c r="C5406" t="s">
        <v>50</v>
      </c>
      <c r="D5406" t="s">
        <v>1494</v>
      </c>
      <c r="E5406" t="s">
        <v>181</v>
      </c>
      <c r="F5406" t="s">
        <v>84</v>
      </c>
      <c r="G5406" t="s">
        <v>484</v>
      </c>
      <c r="H5406" t="str">
        <f>"ΔΩΡΙΟ ΜΕΣΣΗΝΙΑ"</f>
        <v>ΔΩΡΙΟ ΜΕΣΣΗΝΙΑ</v>
      </c>
      <c r="I5406">
        <v>24011</v>
      </c>
      <c r="J5406">
        <v>2765031260</v>
      </c>
      <c r="K5406">
        <v>6973788421</v>
      </c>
      <c r="N5406" t="s">
        <v>615</v>
      </c>
      <c r="O5406" t="s">
        <v>616</v>
      </c>
      <c r="R5406" t="s">
        <v>159</v>
      </c>
      <c r="S5406">
        <v>3</v>
      </c>
      <c r="T5406" t="s">
        <v>8675</v>
      </c>
      <c r="U5406" s="1">
        <v>43348</v>
      </c>
      <c r="V5406" t="s">
        <v>80</v>
      </c>
      <c r="W5406" t="s">
        <v>81</v>
      </c>
      <c r="X5406" t="s">
        <v>58</v>
      </c>
      <c r="Y5406">
        <v>24</v>
      </c>
      <c r="Z5406" t="s">
        <v>59</v>
      </c>
      <c r="AA5406" t="s">
        <v>59</v>
      </c>
      <c r="AB5406" t="s">
        <v>59</v>
      </c>
      <c r="AD5406" t="s">
        <v>59</v>
      </c>
      <c r="AF5406" s="1">
        <v>43348</v>
      </c>
      <c r="AG5406" t="s">
        <v>8645</v>
      </c>
      <c r="AH5406" t="s">
        <v>8646</v>
      </c>
      <c r="AI5406" t="str">
        <f>"9170068"</f>
        <v>9170068</v>
      </c>
      <c r="AJ5406" t="s">
        <v>8773</v>
      </c>
      <c r="AK5406">
        <v>2893031217</v>
      </c>
      <c r="AL5406" t="s">
        <v>8774</v>
      </c>
      <c r="AM5406" t="s">
        <v>78</v>
      </c>
      <c r="AN5406" t="s">
        <v>405</v>
      </c>
      <c r="AO5406" t="s">
        <v>805</v>
      </c>
      <c r="AP5406" t="s">
        <v>806</v>
      </c>
      <c r="AQ5406">
        <v>15</v>
      </c>
      <c r="AR5406" t="s">
        <v>80</v>
      </c>
      <c r="AS5406" t="s">
        <v>81</v>
      </c>
      <c r="AT5406" t="s">
        <v>58</v>
      </c>
      <c r="AU5406" t="s">
        <v>8673</v>
      </c>
      <c r="AV5406" t="s">
        <v>132</v>
      </c>
      <c r="AW5406" s="1">
        <v>32541</v>
      </c>
      <c r="AX5406">
        <v>1</v>
      </c>
    </row>
    <row r="5407" spans="1:50">
      <c r="B5407" t="str">
        <f>"146007833"</f>
        <v>146007833</v>
      </c>
      <c r="C5407" t="s">
        <v>50</v>
      </c>
      <c r="D5407" t="s">
        <v>1494</v>
      </c>
      <c r="E5407" t="s">
        <v>181</v>
      </c>
      <c r="F5407" t="s">
        <v>99</v>
      </c>
      <c r="G5407" t="s">
        <v>114</v>
      </c>
      <c r="H5407" t="str">
        <f>"ΚΩΝΣΤΑΝΤΙΝΙΔΟΥ 12-14 "</f>
        <v xml:space="preserve">ΚΩΝΣΤΑΝΤΙΝΙΔΟΥ 12-14 </v>
      </c>
      <c r="I5407">
        <v>10445</v>
      </c>
      <c r="J5407">
        <v>2108316213</v>
      </c>
      <c r="K5407">
        <v>6970998915</v>
      </c>
      <c r="N5407" t="s">
        <v>1525</v>
      </c>
      <c r="O5407" t="s">
        <v>1526</v>
      </c>
      <c r="R5407" t="s">
        <v>159</v>
      </c>
      <c r="S5407">
        <v>2</v>
      </c>
      <c r="T5407" t="s">
        <v>8670</v>
      </c>
      <c r="U5407" s="1">
        <v>43348</v>
      </c>
      <c r="V5407" t="s">
        <v>80</v>
      </c>
      <c r="W5407" t="s">
        <v>81</v>
      </c>
      <c r="X5407" t="s">
        <v>58</v>
      </c>
      <c r="Y5407">
        <v>25</v>
      </c>
      <c r="Z5407" t="s">
        <v>59</v>
      </c>
      <c r="AA5407" t="s">
        <v>59</v>
      </c>
      <c r="AB5407" t="s">
        <v>59</v>
      </c>
      <c r="AC5407" t="s">
        <v>59</v>
      </c>
      <c r="AD5407" t="s">
        <v>59</v>
      </c>
      <c r="AF5407" s="1">
        <v>43348</v>
      </c>
      <c r="AG5407" t="s">
        <v>8651</v>
      </c>
      <c r="AH5407" t="s">
        <v>8652</v>
      </c>
      <c r="AI5407" t="str">
        <f>"9170347"</f>
        <v>9170347</v>
      </c>
      <c r="AJ5407" t="s">
        <v>9158</v>
      </c>
      <c r="AK5407">
        <v>2893031831</v>
      </c>
      <c r="AL5407" t="s">
        <v>9159</v>
      </c>
      <c r="AM5407" t="s">
        <v>78</v>
      </c>
      <c r="AN5407" t="s">
        <v>405</v>
      </c>
      <c r="AO5407" t="s">
        <v>805</v>
      </c>
      <c r="AP5407" t="s">
        <v>806</v>
      </c>
      <c r="AQ5407">
        <v>15</v>
      </c>
      <c r="AR5407" t="s">
        <v>80</v>
      </c>
      <c r="AS5407" t="s">
        <v>81</v>
      </c>
      <c r="AT5407" t="s">
        <v>58</v>
      </c>
      <c r="AU5407" t="s">
        <v>8673</v>
      </c>
      <c r="AV5407" t="s">
        <v>132</v>
      </c>
      <c r="AW5407" s="1">
        <v>31022</v>
      </c>
      <c r="AX5407">
        <v>1</v>
      </c>
    </row>
    <row r="5408" spans="1:50">
      <c r="A5408">
        <v>606742</v>
      </c>
      <c r="B5408" t="str">
        <f>"073783627"</f>
        <v>073783627</v>
      </c>
      <c r="C5408" t="s">
        <v>105</v>
      </c>
      <c r="D5408" t="s">
        <v>9739</v>
      </c>
      <c r="E5408" t="s">
        <v>99</v>
      </c>
      <c r="F5408" t="s">
        <v>95</v>
      </c>
      <c r="G5408" t="s">
        <v>52</v>
      </c>
      <c r="H5408" t="str">
        <f>"ΒΕΝΕΡΑΤΟ "</f>
        <v xml:space="preserve">ΒΕΝΕΡΑΤΟ </v>
      </c>
      <c r="I5408">
        <v>70011</v>
      </c>
      <c r="J5408">
        <v>2810319837</v>
      </c>
      <c r="K5408">
        <v>6947894188</v>
      </c>
      <c r="N5408" t="s">
        <v>74</v>
      </c>
      <c r="O5408" t="s">
        <v>75</v>
      </c>
      <c r="R5408" t="s">
        <v>57</v>
      </c>
      <c r="S5408">
        <v>10</v>
      </c>
      <c r="T5408">
        <v>163</v>
      </c>
      <c r="U5408" s="1">
        <v>37813</v>
      </c>
      <c r="V5408" t="s">
        <v>80</v>
      </c>
      <c r="W5408" t="s">
        <v>81</v>
      </c>
      <c r="X5408" t="s">
        <v>58</v>
      </c>
      <c r="Y5408">
        <v>22</v>
      </c>
      <c r="Z5408" t="s">
        <v>59</v>
      </c>
      <c r="AA5408" t="s">
        <v>59</v>
      </c>
      <c r="AB5408" t="s">
        <v>59</v>
      </c>
      <c r="AC5408" t="s">
        <v>59</v>
      </c>
      <c r="AD5408" t="s">
        <v>59</v>
      </c>
      <c r="AF5408" s="1">
        <v>37832</v>
      </c>
      <c r="AG5408" t="s">
        <v>8645</v>
      </c>
      <c r="AH5408" t="s">
        <v>8697</v>
      </c>
      <c r="AI5408" t="str">
        <f>"9170358"</f>
        <v>9170358</v>
      </c>
      <c r="AJ5408" t="s">
        <v>9378</v>
      </c>
      <c r="AK5408">
        <v>2810282028</v>
      </c>
      <c r="AL5408" t="s">
        <v>9379</v>
      </c>
      <c r="AM5408" t="s">
        <v>78</v>
      </c>
      <c r="AN5408" t="s">
        <v>78</v>
      </c>
      <c r="AO5408" t="s">
        <v>78</v>
      </c>
      <c r="AP5408" t="s">
        <v>141</v>
      </c>
      <c r="AQ5408">
        <v>1</v>
      </c>
      <c r="AR5408" t="s">
        <v>80</v>
      </c>
      <c r="AS5408" t="s">
        <v>81</v>
      </c>
      <c r="AT5408" t="s">
        <v>58</v>
      </c>
      <c r="AU5408" t="s">
        <v>68</v>
      </c>
      <c r="AV5408" t="s">
        <v>69</v>
      </c>
      <c r="AW5408" s="1">
        <v>24320</v>
      </c>
      <c r="AX5408">
        <v>1</v>
      </c>
    </row>
    <row r="5409" spans="1:50">
      <c r="B5409" t="str">
        <f>"103508191"</f>
        <v>103508191</v>
      </c>
      <c r="C5409" t="s">
        <v>50</v>
      </c>
      <c r="D5409" t="s">
        <v>9740</v>
      </c>
      <c r="E5409" t="s">
        <v>6415</v>
      </c>
      <c r="F5409" t="s">
        <v>9741</v>
      </c>
      <c r="G5409" t="s">
        <v>118</v>
      </c>
      <c r="H5409" t="str">
        <f>"ΠΑΛΑΙΟΚΑΠΑ 54 ΗΡΑΚΛΕΙΟ"</f>
        <v>ΠΑΛΑΙΟΚΑΠΑ 54 ΗΡΑΚΛΕΙΟ</v>
      </c>
      <c r="I5409">
        <v>71305</v>
      </c>
      <c r="J5409">
        <v>2810314156</v>
      </c>
      <c r="K5409">
        <v>6945406674</v>
      </c>
      <c r="N5409" t="s">
        <v>337</v>
      </c>
      <c r="O5409" t="s">
        <v>338</v>
      </c>
      <c r="R5409" t="s">
        <v>159</v>
      </c>
      <c r="S5409">
        <v>3</v>
      </c>
      <c r="T5409" t="s">
        <v>8675</v>
      </c>
      <c r="U5409" s="1">
        <v>43348</v>
      </c>
      <c r="V5409" t="s">
        <v>80</v>
      </c>
      <c r="W5409" t="s">
        <v>81</v>
      </c>
      <c r="X5409" t="s">
        <v>58</v>
      </c>
      <c r="Y5409">
        <v>24</v>
      </c>
      <c r="Z5409" t="s">
        <v>59</v>
      </c>
      <c r="AA5409" t="s">
        <v>59</v>
      </c>
      <c r="AB5409" t="s">
        <v>59</v>
      </c>
      <c r="AC5409" t="s">
        <v>59</v>
      </c>
      <c r="AD5409" t="s">
        <v>59</v>
      </c>
      <c r="AF5409" s="1">
        <v>43348</v>
      </c>
      <c r="AG5409" t="s">
        <v>8645</v>
      </c>
      <c r="AH5409" t="s">
        <v>8646</v>
      </c>
      <c r="AI5409" t="str">
        <f>"9170191"</f>
        <v>9170191</v>
      </c>
      <c r="AJ5409" t="s">
        <v>8667</v>
      </c>
      <c r="AK5409">
        <v>2810231459</v>
      </c>
      <c r="AL5409" t="s">
        <v>8668</v>
      </c>
      <c r="AM5409" t="s">
        <v>78</v>
      </c>
      <c r="AN5409" t="s">
        <v>78</v>
      </c>
      <c r="AO5409" t="s">
        <v>78</v>
      </c>
      <c r="AP5409" t="s">
        <v>163</v>
      </c>
      <c r="AQ5409">
        <v>1</v>
      </c>
      <c r="AR5409" t="s">
        <v>80</v>
      </c>
      <c r="AS5409" t="s">
        <v>81</v>
      </c>
      <c r="AT5409" t="s">
        <v>58</v>
      </c>
      <c r="AU5409" t="s">
        <v>8673</v>
      </c>
      <c r="AV5409" t="s">
        <v>132</v>
      </c>
      <c r="AW5409" s="1">
        <v>23928</v>
      </c>
      <c r="AX5409">
        <v>1</v>
      </c>
    </row>
    <row r="5410" spans="1:50">
      <c r="A5410">
        <v>596227</v>
      </c>
      <c r="B5410" t="str">
        <f>"079866721"</f>
        <v>079866721</v>
      </c>
      <c r="C5410" t="s">
        <v>50</v>
      </c>
      <c r="D5410" t="s">
        <v>7238</v>
      </c>
      <c r="E5410" t="s">
        <v>237</v>
      </c>
      <c r="F5410" t="s">
        <v>166</v>
      </c>
      <c r="G5410" t="s">
        <v>215</v>
      </c>
      <c r="H5410" t="str">
        <f>"ΠΑΤΣΙΔΕΣ ΑΡΧΑΝΩΝ Τ.Θ.19 ΗΡΑΚΛΕΙΟ"</f>
        <v>ΠΑΤΣΙΔΕΣ ΑΡΧΑΝΩΝ Τ.Θ.19 ΗΡΑΚΛΕΙΟ</v>
      </c>
      <c r="I5410">
        <v>70100</v>
      </c>
      <c r="J5410">
        <v>2810731454</v>
      </c>
      <c r="K5410">
        <v>6956129128</v>
      </c>
      <c r="N5410" t="s">
        <v>1525</v>
      </c>
      <c r="O5410" t="s">
        <v>1526</v>
      </c>
      <c r="R5410" t="s">
        <v>57</v>
      </c>
      <c r="S5410">
        <v>12</v>
      </c>
      <c r="T5410">
        <v>218</v>
      </c>
      <c r="U5410" s="1">
        <v>37134</v>
      </c>
      <c r="V5410" t="s">
        <v>80</v>
      </c>
      <c r="W5410" t="s">
        <v>81</v>
      </c>
      <c r="X5410" t="s">
        <v>58</v>
      </c>
      <c r="Y5410">
        <v>25</v>
      </c>
      <c r="Z5410" t="s">
        <v>59</v>
      </c>
      <c r="AA5410" t="s">
        <v>59</v>
      </c>
      <c r="AB5410" t="s">
        <v>59</v>
      </c>
      <c r="AC5410" t="s">
        <v>59</v>
      </c>
      <c r="AD5410" t="s">
        <v>59</v>
      </c>
      <c r="AF5410" s="1">
        <v>37144</v>
      </c>
      <c r="AG5410" t="s">
        <v>8651</v>
      </c>
      <c r="AH5410" t="s">
        <v>8652</v>
      </c>
      <c r="AI5410" t="str">
        <f>"9170096"</f>
        <v>9170096</v>
      </c>
      <c r="AJ5410" t="s">
        <v>9742</v>
      </c>
      <c r="AK5410">
        <v>2810751200</v>
      </c>
      <c r="AL5410" t="s">
        <v>9743</v>
      </c>
      <c r="AM5410" t="s">
        <v>78</v>
      </c>
      <c r="AN5410" t="s">
        <v>424</v>
      </c>
      <c r="AO5410" t="s">
        <v>425</v>
      </c>
      <c r="AP5410" t="s">
        <v>425</v>
      </c>
      <c r="AQ5410">
        <v>11</v>
      </c>
      <c r="AR5410" t="s">
        <v>80</v>
      </c>
      <c r="AS5410" t="s">
        <v>81</v>
      </c>
      <c r="AT5410" t="s">
        <v>58</v>
      </c>
      <c r="AU5410" t="s">
        <v>68</v>
      </c>
      <c r="AV5410" t="s">
        <v>69</v>
      </c>
      <c r="AW5410" s="1">
        <v>22544</v>
      </c>
      <c r="AX5410">
        <v>1</v>
      </c>
    </row>
    <row r="5411" spans="1:50">
      <c r="A5411">
        <v>594572</v>
      </c>
      <c r="B5411" t="str">
        <f>"073542371"</f>
        <v>073542371</v>
      </c>
      <c r="C5411" t="s">
        <v>50</v>
      </c>
      <c r="D5411" t="s">
        <v>9744</v>
      </c>
      <c r="E5411" t="s">
        <v>964</v>
      </c>
      <c r="F5411" t="s">
        <v>72</v>
      </c>
      <c r="G5411" t="s">
        <v>460</v>
      </c>
      <c r="H5411" t="str">
        <f>"ΑΠΟΣΤΟΛΟΙ ΠΕΔΙΑΔΟΣ "</f>
        <v xml:space="preserve">ΑΠΟΣΤΟΛΟΙ ΠΕΔΙΑΔΟΣ </v>
      </c>
      <c r="I5411">
        <v>70006</v>
      </c>
      <c r="N5411" t="s">
        <v>615</v>
      </c>
      <c r="O5411" t="s">
        <v>616</v>
      </c>
      <c r="R5411" t="s">
        <v>57</v>
      </c>
      <c r="S5411">
        <v>8</v>
      </c>
      <c r="T5411">
        <v>218</v>
      </c>
      <c r="U5411" s="1">
        <v>37134</v>
      </c>
      <c r="V5411" t="s">
        <v>80</v>
      </c>
      <c r="W5411" t="s">
        <v>81</v>
      </c>
      <c r="X5411" t="s">
        <v>58</v>
      </c>
      <c r="Y5411">
        <v>22</v>
      </c>
      <c r="Z5411" t="s">
        <v>59</v>
      </c>
      <c r="AA5411" t="s">
        <v>59</v>
      </c>
      <c r="AB5411" t="s">
        <v>59</v>
      </c>
      <c r="AC5411" t="s">
        <v>59</v>
      </c>
      <c r="AD5411" t="s">
        <v>59</v>
      </c>
      <c r="AF5411" s="1">
        <v>37140</v>
      </c>
      <c r="AG5411" t="s">
        <v>8645</v>
      </c>
      <c r="AH5411" t="s">
        <v>8646</v>
      </c>
      <c r="AI5411" t="str">
        <f>"9170228"</f>
        <v>9170228</v>
      </c>
      <c r="AJ5411" t="s">
        <v>8898</v>
      </c>
      <c r="AK5411">
        <v>2891041210</v>
      </c>
      <c r="AL5411" t="s">
        <v>8899</v>
      </c>
      <c r="AM5411" t="s">
        <v>78</v>
      </c>
      <c r="AN5411" t="s">
        <v>276</v>
      </c>
      <c r="AO5411" t="s">
        <v>1936</v>
      </c>
      <c r="AP5411" t="s">
        <v>1936</v>
      </c>
      <c r="AQ5411">
        <v>13</v>
      </c>
      <c r="AR5411" t="s">
        <v>80</v>
      </c>
      <c r="AS5411" t="s">
        <v>81</v>
      </c>
      <c r="AT5411" t="s">
        <v>58</v>
      </c>
      <c r="AU5411" t="s">
        <v>68</v>
      </c>
      <c r="AV5411" t="s">
        <v>69</v>
      </c>
      <c r="AW5411" s="1">
        <v>25796</v>
      </c>
      <c r="AX5411">
        <v>1</v>
      </c>
    </row>
    <row r="5412" spans="1:50">
      <c r="A5412">
        <v>616541</v>
      </c>
      <c r="B5412" t="str">
        <f>"120448728"</f>
        <v>120448728</v>
      </c>
      <c r="C5412" t="s">
        <v>50</v>
      </c>
      <c r="D5412" t="s">
        <v>9744</v>
      </c>
      <c r="E5412" t="s">
        <v>52</v>
      </c>
      <c r="F5412" t="s">
        <v>84</v>
      </c>
      <c r="G5412" t="s">
        <v>382</v>
      </c>
      <c r="H5412" t="str">
        <f>"ΠΡΟΜΗΘΕΩΣ 37 ΗΡΑΚΛΕΙΟ"</f>
        <v>ΠΡΟΜΗΘΕΩΣ 37 ΗΡΑΚΛΕΙΟ</v>
      </c>
      <c r="I5412">
        <v>71414</v>
      </c>
      <c r="J5412">
        <v>2421029350</v>
      </c>
      <c r="K5412">
        <v>6984881117</v>
      </c>
      <c r="N5412" t="s">
        <v>1525</v>
      </c>
      <c r="O5412" t="s">
        <v>1526</v>
      </c>
      <c r="R5412" t="s">
        <v>57</v>
      </c>
      <c r="S5412">
        <v>5</v>
      </c>
      <c r="T5412">
        <v>660</v>
      </c>
      <c r="U5412" s="1">
        <v>39311</v>
      </c>
      <c r="V5412" t="s">
        <v>80</v>
      </c>
      <c r="W5412" t="s">
        <v>81</v>
      </c>
      <c r="X5412" t="s">
        <v>58</v>
      </c>
      <c r="Y5412">
        <v>25</v>
      </c>
      <c r="Z5412" t="s">
        <v>59</v>
      </c>
      <c r="AA5412" t="s">
        <v>59</v>
      </c>
      <c r="AB5412" t="s">
        <v>59</v>
      </c>
      <c r="AC5412" t="s">
        <v>59</v>
      </c>
      <c r="AD5412" t="s">
        <v>59</v>
      </c>
      <c r="AF5412" s="1">
        <v>39328</v>
      </c>
      <c r="AG5412" t="s">
        <v>8651</v>
      </c>
      <c r="AH5412" t="s">
        <v>8652</v>
      </c>
      <c r="AI5412" t="str">
        <f>"9170473"</f>
        <v>9170473</v>
      </c>
      <c r="AJ5412" t="s">
        <v>9567</v>
      </c>
      <c r="AK5412">
        <v>2810812103</v>
      </c>
      <c r="AL5412" t="s">
        <v>9568</v>
      </c>
      <c r="AM5412" t="s">
        <v>78</v>
      </c>
      <c r="AN5412" t="s">
        <v>129</v>
      </c>
      <c r="AO5412" t="s">
        <v>130</v>
      </c>
      <c r="AP5412" t="s">
        <v>8867</v>
      </c>
      <c r="AQ5412">
        <v>2</v>
      </c>
      <c r="AR5412" t="s">
        <v>80</v>
      </c>
      <c r="AS5412" t="s">
        <v>81</v>
      </c>
      <c r="AT5412" t="s">
        <v>58</v>
      </c>
      <c r="AU5412" t="s">
        <v>68</v>
      </c>
      <c r="AV5412" t="s">
        <v>69</v>
      </c>
      <c r="AW5412" s="1">
        <v>29667</v>
      </c>
      <c r="AX5412">
        <v>1</v>
      </c>
    </row>
    <row r="5413" spans="1:50">
      <c r="B5413" t="str">
        <f>"140420907"</f>
        <v>140420907</v>
      </c>
      <c r="C5413" t="s">
        <v>105</v>
      </c>
      <c r="D5413" t="s">
        <v>9744</v>
      </c>
      <c r="E5413" t="s">
        <v>53</v>
      </c>
      <c r="F5413" t="s">
        <v>95</v>
      </c>
      <c r="G5413" t="s">
        <v>658</v>
      </c>
      <c r="H5413" t="str">
        <f>"ΝΙΚ. ΦΩΚΑ 27 ΙΕΡΑΠΕΤΡΑ"</f>
        <v>ΝΙΚ. ΦΩΚΑ 27 ΙΕΡΑΠΕΤΡΑ</v>
      </c>
      <c r="I5413">
        <v>72200</v>
      </c>
      <c r="J5413">
        <v>2410623404</v>
      </c>
      <c r="K5413">
        <v>6932324144</v>
      </c>
      <c r="M5413" t="s">
        <v>9745</v>
      </c>
      <c r="N5413" t="s">
        <v>615</v>
      </c>
      <c r="O5413" t="s">
        <v>616</v>
      </c>
      <c r="R5413" t="s">
        <v>159</v>
      </c>
      <c r="S5413">
        <v>2</v>
      </c>
      <c r="T5413" t="s">
        <v>8675</v>
      </c>
      <c r="U5413" s="1">
        <v>43348</v>
      </c>
      <c r="V5413" t="s">
        <v>80</v>
      </c>
      <c r="W5413" t="s">
        <v>81</v>
      </c>
      <c r="X5413" t="s">
        <v>58</v>
      </c>
      <c r="Y5413">
        <v>24</v>
      </c>
      <c r="Z5413" t="s">
        <v>59</v>
      </c>
      <c r="AA5413" t="s">
        <v>59</v>
      </c>
      <c r="AB5413" t="s">
        <v>59</v>
      </c>
      <c r="AC5413" t="s">
        <v>59</v>
      </c>
      <c r="AD5413" t="s">
        <v>59</v>
      </c>
      <c r="AF5413" s="1">
        <v>43348</v>
      </c>
      <c r="AG5413" t="s">
        <v>8645</v>
      </c>
      <c r="AH5413" t="s">
        <v>8646</v>
      </c>
      <c r="AI5413" t="str">
        <f>"9170326"</f>
        <v>9170326</v>
      </c>
      <c r="AJ5413" t="s">
        <v>9708</v>
      </c>
      <c r="AK5413">
        <v>2893022213</v>
      </c>
      <c r="AL5413" t="s">
        <v>9709</v>
      </c>
      <c r="AM5413" t="s">
        <v>78</v>
      </c>
      <c r="AN5413" t="s">
        <v>424</v>
      </c>
      <c r="AO5413" t="s">
        <v>577</v>
      </c>
      <c r="AP5413" t="s">
        <v>578</v>
      </c>
      <c r="AQ5413">
        <v>10</v>
      </c>
      <c r="AR5413" t="s">
        <v>80</v>
      </c>
      <c r="AS5413" t="s">
        <v>81</v>
      </c>
      <c r="AT5413" t="s">
        <v>58</v>
      </c>
      <c r="AU5413" t="s">
        <v>8673</v>
      </c>
      <c r="AV5413" t="s">
        <v>132</v>
      </c>
      <c r="AW5413" s="1">
        <v>31996</v>
      </c>
      <c r="AX5413">
        <v>1</v>
      </c>
    </row>
    <row r="5414" spans="1:50">
      <c r="B5414" t="str">
        <f>"147308363"</f>
        <v>147308363</v>
      </c>
      <c r="C5414" t="s">
        <v>50</v>
      </c>
      <c r="D5414" t="s">
        <v>5977</v>
      </c>
      <c r="E5414" t="s">
        <v>476</v>
      </c>
      <c r="F5414" t="s">
        <v>53</v>
      </c>
      <c r="G5414" t="s">
        <v>4663</v>
      </c>
      <c r="H5414" t="str">
        <f>"ΜΕΛΙΚΗ ΗΜΑΘΙΑΣ "</f>
        <v xml:space="preserve">ΜΕΛΙΚΗ ΗΜΑΘΙΑΣ </v>
      </c>
      <c r="I5414">
        <v>59031</v>
      </c>
      <c r="J5414">
        <v>2331081916</v>
      </c>
      <c r="K5414">
        <v>6980577727</v>
      </c>
      <c r="N5414" t="s">
        <v>615</v>
      </c>
      <c r="O5414" t="s">
        <v>616</v>
      </c>
      <c r="R5414" t="s">
        <v>159</v>
      </c>
      <c r="S5414">
        <v>4</v>
      </c>
      <c r="T5414" t="s">
        <v>8675</v>
      </c>
      <c r="U5414" s="1">
        <v>43348</v>
      </c>
      <c r="V5414" t="s">
        <v>80</v>
      </c>
      <c r="W5414" t="s">
        <v>81</v>
      </c>
      <c r="X5414" t="s">
        <v>58</v>
      </c>
      <c r="Y5414">
        <v>24</v>
      </c>
      <c r="Z5414" t="s">
        <v>59</v>
      </c>
      <c r="AA5414" t="s">
        <v>59</v>
      </c>
      <c r="AB5414" t="s">
        <v>59</v>
      </c>
      <c r="AC5414" t="s">
        <v>59</v>
      </c>
      <c r="AD5414" t="s">
        <v>59</v>
      </c>
      <c r="AF5414" s="1">
        <v>43348</v>
      </c>
      <c r="AG5414" t="s">
        <v>8645</v>
      </c>
      <c r="AH5414" t="s">
        <v>8646</v>
      </c>
      <c r="AI5414" t="str">
        <f>"9170009"</f>
        <v>9170009</v>
      </c>
      <c r="AJ5414" t="s">
        <v>8683</v>
      </c>
      <c r="AK5414">
        <v>2810861612</v>
      </c>
      <c r="AL5414" t="s">
        <v>8684</v>
      </c>
      <c r="AM5414" t="s">
        <v>78</v>
      </c>
      <c r="AN5414" t="s">
        <v>78</v>
      </c>
      <c r="AO5414" t="s">
        <v>185</v>
      </c>
      <c r="AP5414" t="s">
        <v>8685</v>
      </c>
      <c r="AQ5414">
        <v>4</v>
      </c>
      <c r="AR5414" t="s">
        <v>80</v>
      </c>
      <c r="AS5414" t="s">
        <v>81</v>
      </c>
      <c r="AT5414" t="s">
        <v>58</v>
      </c>
      <c r="AU5414" t="s">
        <v>8673</v>
      </c>
      <c r="AV5414" t="s">
        <v>132</v>
      </c>
      <c r="AW5414" s="1">
        <v>32421</v>
      </c>
      <c r="AX5414">
        <v>1</v>
      </c>
    </row>
    <row r="5415" spans="1:50">
      <c r="A5415">
        <v>588925</v>
      </c>
      <c r="B5415" t="str">
        <f>"036648256"</f>
        <v>036648256</v>
      </c>
      <c r="C5415" t="s">
        <v>50</v>
      </c>
      <c r="D5415" t="s">
        <v>5977</v>
      </c>
      <c r="E5415" t="s">
        <v>3518</v>
      </c>
      <c r="F5415" t="s">
        <v>95</v>
      </c>
      <c r="G5415" t="s">
        <v>1367</v>
      </c>
      <c r="H5415" t="str">
        <f>" "</f>
        <v xml:space="preserve"> </v>
      </c>
      <c r="N5415" t="s">
        <v>615</v>
      </c>
      <c r="O5415" t="s">
        <v>616</v>
      </c>
      <c r="R5415" t="s">
        <v>57</v>
      </c>
      <c r="S5415">
        <v>9</v>
      </c>
      <c r="T5415">
        <v>176</v>
      </c>
      <c r="U5415" s="1">
        <v>36403</v>
      </c>
      <c r="V5415" t="s">
        <v>80</v>
      </c>
      <c r="W5415" t="s">
        <v>81</v>
      </c>
      <c r="X5415" t="s">
        <v>58</v>
      </c>
      <c r="Y5415">
        <v>22</v>
      </c>
      <c r="Z5415" t="s">
        <v>59</v>
      </c>
      <c r="AA5415" t="s">
        <v>59</v>
      </c>
      <c r="AB5415" t="s">
        <v>59</v>
      </c>
      <c r="AC5415" t="s">
        <v>59</v>
      </c>
      <c r="AD5415" t="s">
        <v>59</v>
      </c>
      <c r="AF5415" s="1">
        <v>36404</v>
      </c>
      <c r="AG5415" t="s">
        <v>8645</v>
      </c>
      <c r="AH5415" t="s">
        <v>8646</v>
      </c>
      <c r="AI5415" t="str">
        <f>"9521091"</f>
        <v>9521091</v>
      </c>
      <c r="AJ5415" t="s">
        <v>8959</v>
      </c>
      <c r="AK5415">
        <v>2810370360</v>
      </c>
      <c r="AL5415" t="s">
        <v>8960</v>
      </c>
      <c r="AM5415" t="s">
        <v>78</v>
      </c>
      <c r="AN5415" t="s">
        <v>129</v>
      </c>
      <c r="AO5415" t="s">
        <v>130</v>
      </c>
      <c r="AP5415" t="s">
        <v>130</v>
      </c>
      <c r="AQ5415">
        <v>1</v>
      </c>
      <c r="AR5415" t="s">
        <v>80</v>
      </c>
      <c r="AS5415" t="s">
        <v>81</v>
      </c>
      <c r="AT5415" t="s">
        <v>58</v>
      </c>
      <c r="AU5415" t="s">
        <v>68</v>
      </c>
      <c r="AV5415" t="s">
        <v>69</v>
      </c>
      <c r="AW5415" s="1">
        <v>23170</v>
      </c>
      <c r="AX5415">
        <v>1</v>
      </c>
    </row>
    <row r="5416" spans="1:50">
      <c r="B5416" t="str">
        <f>"131613260"</f>
        <v>131613260</v>
      </c>
      <c r="C5416" t="s">
        <v>50</v>
      </c>
      <c r="D5416" t="s">
        <v>7251</v>
      </c>
      <c r="E5416" t="s">
        <v>263</v>
      </c>
      <c r="F5416" t="s">
        <v>315</v>
      </c>
      <c r="G5416" t="s">
        <v>340</v>
      </c>
      <c r="H5416" t="str">
        <f>" "</f>
        <v xml:space="preserve"> </v>
      </c>
      <c r="N5416" t="s">
        <v>8694</v>
      </c>
      <c r="O5416" t="s">
        <v>8695</v>
      </c>
      <c r="R5416" t="s">
        <v>159</v>
      </c>
      <c r="S5416">
        <v>4</v>
      </c>
      <c r="T5416" t="s">
        <v>8696</v>
      </c>
      <c r="U5416" s="1">
        <v>43348</v>
      </c>
      <c r="V5416" t="s">
        <v>80</v>
      </c>
      <c r="W5416" t="s">
        <v>81</v>
      </c>
      <c r="X5416" t="s">
        <v>58</v>
      </c>
      <c r="Y5416">
        <v>24</v>
      </c>
      <c r="Z5416" t="s">
        <v>59</v>
      </c>
      <c r="AA5416" t="s">
        <v>59</v>
      </c>
      <c r="AB5416" t="s">
        <v>59</v>
      </c>
      <c r="AC5416" t="s">
        <v>59</v>
      </c>
      <c r="AD5416" t="s">
        <v>59</v>
      </c>
      <c r="AF5416" s="1">
        <v>43348</v>
      </c>
      <c r="AG5416" t="s">
        <v>8645</v>
      </c>
      <c r="AH5416" t="s">
        <v>8697</v>
      </c>
      <c r="AI5416" t="str">
        <f>"9521043"</f>
        <v>9521043</v>
      </c>
      <c r="AJ5416" t="s">
        <v>9474</v>
      </c>
      <c r="AK5416">
        <v>2891023329</v>
      </c>
      <c r="AL5416" t="s">
        <v>9475</v>
      </c>
      <c r="AM5416" t="s">
        <v>78</v>
      </c>
      <c r="AN5416" t="s">
        <v>276</v>
      </c>
      <c r="AO5416" t="s">
        <v>490</v>
      </c>
      <c r="AP5416" t="s">
        <v>490</v>
      </c>
      <c r="AQ5416">
        <v>12</v>
      </c>
      <c r="AR5416" t="s">
        <v>80</v>
      </c>
      <c r="AS5416" t="s">
        <v>81</v>
      </c>
      <c r="AT5416" t="s">
        <v>58</v>
      </c>
      <c r="AU5416" t="s">
        <v>350</v>
      </c>
      <c r="AV5416" t="s">
        <v>132</v>
      </c>
      <c r="AW5416" s="1">
        <v>33592</v>
      </c>
      <c r="AX5416">
        <v>1</v>
      </c>
    </row>
    <row r="5417" spans="1:50">
      <c r="B5417" t="str">
        <f>"152587169"</f>
        <v>152587169</v>
      </c>
      <c r="C5417" t="s">
        <v>50</v>
      </c>
      <c r="D5417" t="s">
        <v>1529</v>
      </c>
      <c r="E5417" t="s">
        <v>964</v>
      </c>
      <c r="F5417" t="s">
        <v>309</v>
      </c>
      <c r="G5417" t="s">
        <v>9746</v>
      </c>
      <c r="H5417" t="str">
        <f>" "</f>
        <v xml:space="preserve"> </v>
      </c>
      <c r="N5417" t="s">
        <v>615</v>
      </c>
      <c r="O5417" t="s">
        <v>616</v>
      </c>
      <c r="R5417" t="s">
        <v>121</v>
      </c>
      <c r="S5417">
        <v>2</v>
      </c>
      <c r="T5417" t="s">
        <v>8675</v>
      </c>
      <c r="U5417" s="1">
        <v>43348</v>
      </c>
      <c r="V5417" t="s">
        <v>80</v>
      </c>
      <c r="W5417" t="s">
        <v>81</v>
      </c>
      <c r="X5417" t="s">
        <v>58</v>
      </c>
      <c r="Y5417">
        <v>25</v>
      </c>
      <c r="Z5417" t="s">
        <v>59</v>
      </c>
      <c r="AA5417" t="s">
        <v>59</v>
      </c>
      <c r="AB5417" t="s">
        <v>59</v>
      </c>
      <c r="AC5417" t="s">
        <v>59</v>
      </c>
      <c r="AD5417" t="s">
        <v>59</v>
      </c>
      <c r="AF5417" s="1">
        <v>43348</v>
      </c>
      <c r="AG5417" t="s">
        <v>8645</v>
      </c>
      <c r="AH5417" t="s">
        <v>8676</v>
      </c>
      <c r="AI5417" t="str">
        <f>"9170067"</f>
        <v>9170067</v>
      </c>
      <c r="AJ5417" t="s">
        <v>8878</v>
      </c>
      <c r="AK5417">
        <v>2893032007</v>
      </c>
      <c r="AL5417" t="s">
        <v>8879</v>
      </c>
      <c r="AM5417" t="s">
        <v>78</v>
      </c>
      <c r="AN5417" t="s">
        <v>405</v>
      </c>
      <c r="AO5417" t="s">
        <v>805</v>
      </c>
      <c r="AP5417" t="s">
        <v>8880</v>
      </c>
      <c r="AQ5417">
        <v>15</v>
      </c>
      <c r="AR5417" t="s">
        <v>80</v>
      </c>
      <c r="AS5417" t="s">
        <v>81</v>
      </c>
      <c r="AT5417" t="s">
        <v>58</v>
      </c>
      <c r="AU5417" t="s">
        <v>8673</v>
      </c>
      <c r="AV5417" t="s">
        <v>132</v>
      </c>
      <c r="AW5417" s="1">
        <v>32780</v>
      </c>
      <c r="AX5417">
        <v>1</v>
      </c>
    </row>
    <row r="5418" spans="1:50">
      <c r="A5418">
        <v>595528</v>
      </c>
      <c r="B5418" t="str">
        <f>"114584377"</f>
        <v>114584377</v>
      </c>
      <c r="C5418" t="s">
        <v>50</v>
      </c>
      <c r="D5418" t="s">
        <v>1532</v>
      </c>
      <c r="E5418" t="s">
        <v>155</v>
      </c>
      <c r="F5418" t="s">
        <v>53</v>
      </c>
      <c r="G5418" t="s">
        <v>52</v>
      </c>
      <c r="H5418" t="str">
        <f>"Παρθενίου Κελαϊδή 7 "</f>
        <v xml:space="preserve">Παρθενίου Κελαϊδή 7 </v>
      </c>
      <c r="J5418">
        <v>2810327161</v>
      </c>
      <c r="K5418">
        <v>6932119203</v>
      </c>
      <c r="M5418" t="s">
        <v>9747</v>
      </c>
      <c r="N5418" t="s">
        <v>1525</v>
      </c>
      <c r="O5418" t="s">
        <v>1526</v>
      </c>
      <c r="R5418" t="s">
        <v>57</v>
      </c>
      <c r="S5418">
        <v>10</v>
      </c>
      <c r="T5418">
        <v>218</v>
      </c>
      <c r="U5418" s="1">
        <v>37134</v>
      </c>
      <c r="V5418" t="s">
        <v>80</v>
      </c>
      <c r="W5418" t="s">
        <v>81</v>
      </c>
      <c r="X5418" t="s">
        <v>58</v>
      </c>
      <c r="Y5418">
        <v>25</v>
      </c>
      <c r="Z5418" t="s">
        <v>59</v>
      </c>
      <c r="AA5418" t="s">
        <v>59</v>
      </c>
      <c r="AB5418" t="s">
        <v>59</v>
      </c>
      <c r="AC5418" t="s">
        <v>59</v>
      </c>
      <c r="AD5418" t="s">
        <v>59</v>
      </c>
      <c r="AF5418" s="1">
        <v>37138</v>
      </c>
      <c r="AG5418" t="s">
        <v>8651</v>
      </c>
      <c r="AH5418" t="s">
        <v>8652</v>
      </c>
      <c r="AI5418" t="str">
        <f>"9170189"</f>
        <v>9170189</v>
      </c>
      <c r="AJ5418" t="s">
        <v>9726</v>
      </c>
      <c r="AK5418">
        <v>2810241270</v>
      </c>
      <c r="AL5418" t="s">
        <v>9727</v>
      </c>
      <c r="AM5418" t="s">
        <v>78</v>
      </c>
      <c r="AN5418" t="s">
        <v>78</v>
      </c>
      <c r="AO5418" t="s">
        <v>78</v>
      </c>
      <c r="AP5418" t="s">
        <v>79</v>
      </c>
      <c r="AQ5418">
        <v>1</v>
      </c>
      <c r="AR5418" t="s">
        <v>80</v>
      </c>
      <c r="AS5418" t="s">
        <v>81</v>
      </c>
      <c r="AT5418" t="s">
        <v>58</v>
      </c>
      <c r="AU5418" t="s">
        <v>68</v>
      </c>
      <c r="AV5418" t="s">
        <v>69</v>
      </c>
      <c r="AW5418" s="1">
        <v>27092</v>
      </c>
      <c r="AX5418">
        <v>1</v>
      </c>
    </row>
    <row r="5419" spans="1:50">
      <c r="B5419" t="str">
        <f>"147180690"</f>
        <v>147180690</v>
      </c>
      <c r="C5419" t="s">
        <v>50</v>
      </c>
      <c r="D5419" t="s">
        <v>9748</v>
      </c>
      <c r="E5419" t="s">
        <v>4801</v>
      </c>
      <c r="F5419" t="s">
        <v>2227</v>
      </c>
      <c r="G5419" t="s">
        <v>237</v>
      </c>
      <c r="H5419" t="str">
        <f>" "</f>
        <v xml:space="preserve"> </v>
      </c>
      <c r="N5419" t="s">
        <v>384</v>
      </c>
      <c r="O5419" t="s">
        <v>385</v>
      </c>
      <c r="R5419" t="s">
        <v>121</v>
      </c>
      <c r="S5419">
        <v>1</v>
      </c>
      <c r="T5419" t="s">
        <v>8675</v>
      </c>
      <c r="U5419" s="1">
        <v>43348</v>
      </c>
      <c r="V5419" t="s">
        <v>80</v>
      </c>
      <c r="W5419" t="s">
        <v>81</v>
      </c>
      <c r="X5419" t="s">
        <v>58</v>
      </c>
      <c r="Y5419">
        <v>24</v>
      </c>
      <c r="Z5419" t="s">
        <v>59</v>
      </c>
      <c r="AA5419" t="s">
        <v>59</v>
      </c>
      <c r="AB5419" t="s">
        <v>59</v>
      </c>
      <c r="AD5419" t="s">
        <v>59</v>
      </c>
      <c r="AF5419" s="1">
        <v>43348</v>
      </c>
      <c r="AG5419" t="s">
        <v>8645</v>
      </c>
      <c r="AH5419" t="s">
        <v>8646</v>
      </c>
      <c r="AI5419" t="str">
        <f>"9170338"</f>
        <v>9170338</v>
      </c>
      <c r="AJ5419" t="s">
        <v>8849</v>
      </c>
      <c r="AK5419">
        <v>2892051377</v>
      </c>
      <c r="AL5419" t="s">
        <v>8850</v>
      </c>
      <c r="AM5419" t="s">
        <v>78</v>
      </c>
      <c r="AN5419" t="s">
        <v>242</v>
      </c>
      <c r="AO5419" t="s">
        <v>349</v>
      </c>
      <c r="AP5419" t="s">
        <v>349</v>
      </c>
      <c r="AQ5419">
        <v>19</v>
      </c>
      <c r="AR5419" t="s">
        <v>80</v>
      </c>
      <c r="AS5419" t="s">
        <v>81</v>
      </c>
      <c r="AT5419" t="s">
        <v>58</v>
      </c>
      <c r="AU5419" t="s">
        <v>8673</v>
      </c>
      <c r="AV5419" t="s">
        <v>132</v>
      </c>
      <c r="AW5419" s="1">
        <v>32852</v>
      </c>
      <c r="AX5419">
        <v>1</v>
      </c>
    </row>
    <row r="5420" spans="1:50">
      <c r="B5420" t="str">
        <f>"110170939"</f>
        <v>110170939</v>
      </c>
      <c r="C5420" t="s">
        <v>50</v>
      </c>
      <c r="D5420" t="s">
        <v>9749</v>
      </c>
      <c r="E5420" t="s">
        <v>250</v>
      </c>
      <c r="F5420" t="s">
        <v>84</v>
      </c>
      <c r="G5420" t="s">
        <v>237</v>
      </c>
      <c r="H5420" t="str">
        <f>"ΑΡΜΕΝΟΠΟΥΛΟΥ 12 ΘΕΣΣΑΛΟΝΙΚΗ"</f>
        <v>ΑΡΜΕΝΟΠΟΥΛΟΥ 12 ΘΕΣΣΑΛΟΝΙΚΗ</v>
      </c>
      <c r="I5420">
        <v>56430</v>
      </c>
      <c r="J5420">
        <v>2310668731</v>
      </c>
      <c r="K5420">
        <v>6936835016</v>
      </c>
      <c r="N5420" t="s">
        <v>337</v>
      </c>
      <c r="O5420" t="s">
        <v>338</v>
      </c>
      <c r="R5420" t="s">
        <v>159</v>
      </c>
      <c r="S5420">
        <v>4</v>
      </c>
      <c r="T5420" t="s">
        <v>8675</v>
      </c>
      <c r="U5420" s="1">
        <v>43348</v>
      </c>
      <c r="V5420" t="s">
        <v>80</v>
      </c>
      <c r="W5420" t="s">
        <v>81</v>
      </c>
      <c r="X5420" t="s">
        <v>58</v>
      </c>
      <c r="Y5420">
        <v>24</v>
      </c>
      <c r="Z5420" t="s">
        <v>59</v>
      </c>
      <c r="AA5420" t="s">
        <v>59</v>
      </c>
      <c r="AB5420" t="s">
        <v>59</v>
      </c>
      <c r="AC5420" t="s">
        <v>59</v>
      </c>
      <c r="AD5420" t="s">
        <v>59</v>
      </c>
      <c r="AF5420" s="1">
        <v>43348</v>
      </c>
      <c r="AG5420" t="s">
        <v>8645</v>
      </c>
      <c r="AH5420" t="s">
        <v>8646</v>
      </c>
      <c r="AI5420" t="str">
        <f>"9170055"</f>
        <v>9170055</v>
      </c>
      <c r="AJ5420" t="s">
        <v>8836</v>
      </c>
      <c r="AK5420">
        <v>2810255097</v>
      </c>
      <c r="AL5420" t="s">
        <v>8837</v>
      </c>
      <c r="AM5420" t="s">
        <v>78</v>
      </c>
      <c r="AN5420" t="s">
        <v>78</v>
      </c>
      <c r="AO5420" t="s">
        <v>78</v>
      </c>
      <c r="AP5420" t="s">
        <v>141</v>
      </c>
      <c r="AQ5420">
        <v>1</v>
      </c>
      <c r="AR5420" t="s">
        <v>80</v>
      </c>
      <c r="AS5420" t="s">
        <v>81</v>
      </c>
      <c r="AT5420" t="s">
        <v>58</v>
      </c>
      <c r="AU5420" t="s">
        <v>8673</v>
      </c>
      <c r="AV5420" t="s">
        <v>132</v>
      </c>
      <c r="AW5420" s="1">
        <v>29438</v>
      </c>
      <c r="AX5420">
        <v>1</v>
      </c>
    </row>
    <row r="5421" spans="1:50">
      <c r="A5421">
        <v>562048</v>
      </c>
      <c r="B5421" t="str">
        <f>"035420786"</f>
        <v>035420786</v>
      </c>
      <c r="C5421" t="s">
        <v>105</v>
      </c>
      <c r="D5421" t="s">
        <v>9749</v>
      </c>
      <c r="E5421" t="s">
        <v>99</v>
      </c>
      <c r="F5421" t="s">
        <v>166</v>
      </c>
      <c r="G5421" t="s">
        <v>250</v>
      </c>
      <c r="H5421" t="str">
        <f>"Σταδίου   112 Ηρακλείου"</f>
        <v>Σταδίου   112 Ηρακλείου</v>
      </c>
      <c r="I5421">
        <v>71601</v>
      </c>
      <c r="J5421">
        <v>2810221258</v>
      </c>
      <c r="K5421">
        <v>6973704617</v>
      </c>
      <c r="M5421" t="s">
        <v>9750</v>
      </c>
      <c r="N5421" t="s">
        <v>615</v>
      </c>
      <c r="O5421" t="s">
        <v>616</v>
      </c>
      <c r="R5421" t="s">
        <v>57</v>
      </c>
      <c r="S5421">
        <v>17</v>
      </c>
      <c r="T5421">
        <v>187</v>
      </c>
      <c r="U5421" s="1">
        <v>32750</v>
      </c>
      <c r="V5421" t="s">
        <v>80</v>
      </c>
      <c r="W5421" t="s">
        <v>81</v>
      </c>
      <c r="X5421" t="s">
        <v>58</v>
      </c>
      <c r="Y5421">
        <v>21</v>
      </c>
      <c r="Z5421" t="s">
        <v>59</v>
      </c>
      <c r="AA5421" t="s">
        <v>59</v>
      </c>
      <c r="AB5421" t="s">
        <v>59</v>
      </c>
      <c r="AC5421" t="s">
        <v>59</v>
      </c>
      <c r="AD5421" t="s">
        <v>59</v>
      </c>
      <c r="AF5421" s="1">
        <v>32755</v>
      </c>
      <c r="AG5421" t="s">
        <v>8645</v>
      </c>
      <c r="AH5421" t="s">
        <v>8646</v>
      </c>
      <c r="AI5421" t="str">
        <f>"9170262"</f>
        <v>9170262</v>
      </c>
      <c r="AJ5421" t="s">
        <v>9224</v>
      </c>
      <c r="AK5421">
        <v>2810245912</v>
      </c>
      <c r="AL5421" t="s">
        <v>9225</v>
      </c>
      <c r="AM5421" t="s">
        <v>78</v>
      </c>
      <c r="AN5421" t="s">
        <v>78</v>
      </c>
      <c r="AO5421" t="s">
        <v>286</v>
      </c>
      <c r="AP5421" t="s">
        <v>286</v>
      </c>
      <c r="AQ5421">
        <v>1</v>
      </c>
      <c r="AR5421" t="s">
        <v>80</v>
      </c>
      <c r="AS5421" t="s">
        <v>81</v>
      </c>
      <c r="AT5421" t="s">
        <v>58</v>
      </c>
      <c r="AU5421" t="s">
        <v>68</v>
      </c>
      <c r="AV5421" t="s">
        <v>69</v>
      </c>
      <c r="AW5421" s="1">
        <v>23689</v>
      </c>
      <c r="AX5421">
        <v>1</v>
      </c>
    </row>
    <row r="5422" spans="1:50">
      <c r="A5422">
        <v>592552</v>
      </c>
      <c r="B5422" t="str">
        <f>"044806066"</f>
        <v>044806066</v>
      </c>
      <c r="C5422" t="s">
        <v>50</v>
      </c>
      <c r="D5422" t="s">
        <v>1534</v>
      </c>
      <c r="E5422" t="s">
        <v>83</v>
      </c>
      <c r="F5422" t="s">
        <v>95</v>
      </c>
      <c r="G5422" t="s">
        <v>553</v>
      </c>
      <c r="H5422" t="str">
        <f>"ΑΝΘΕΩΝ 1 ΒΟΥΤΕΣ ΗΡΑΚΛΕΙΟΥ"</f>
        <v>ΑΝΘΕΩΝ 1 ΒΟΥΤΕΣ ΗΡΑΚΛΕΙΟΥ</v>
      </c>
      <c r="I5422">
        <v>71500</v>
      </c>
      <c r="J5422">
        <v>2810542076</v>
      </c>
      <c r="K5422">
        <v>6948325046</v>
      </c>
      <c r="N5422" t="s">
        <v>176</v>
      </c>
      <c r="O5422" t="s">
        <v>177</v>
      </c>
      <c r="R5422" t="s">
        <v>57</v>
      </c>
      <c r="S5422">
        <v>9</v>
      </c>
      <c r="T5422">
        <v>250</v>
      </c>
      <c r="U5422" s="1">
        <v>36769</v>
      </c>
      <c r="V5422" t="s">
        <v>80</v>
      </c>
      <c r="W5422" t="s">
        <v>81</v>
      </c>
      <c r="X5422" t="s">
        <v>58</v>
      </c>
      <c r="Y5422">
        <v>22</v>
      </c>
      <c r="Z5422" t="s">
        <v>59</v>
      </c>
      <c r="AA5422" t="s">
        <v>59</v>
      </c>
      <c r="AB5422" t="s">
        <v>59</v>
      </c>
      <c r="AC5422" t="s">
        <v>59</v>
      </c>
      <c r="AD5422" t="s">
        <v>59</v>
      </c>
      <c r="AF5422" s="1">
        <v>36770</v>
      </c>
      <c r="AG5422" t="s">
        <v>8645</v>
      </c>
      <c r="AH5422" t="s">
        <v>8646</v>
      </c>
      <c r="AI5422" t="str">
        <f>"9170575"</f>
        <v>9170575</v>
      </c>
      <c r="AJ5422" t="s">
        <v>8748</v>
      </c>
      <c r="AK5422">
        <v>2810260772</v>
      </c>
      <c r="AL5422" t="s">
        <v>8749</v>
      </c>
      <c r="AM5422" t="s">
        <v>78</v>
      </c>
      <c r="AN5422" t="s">
        <v>78</v>
      </c>
      <c r="AO5422" t="s">
        <v>78</v>
      </c>
      <c r="AP5422" t="s">
        <v>141</v>
      </c>
      <c r="AQ5422">
        <v>1</v>
      </c>
      <c r="AR5422" t="s">
        <v>80</v>
      </c>
      <c r="AS5422" t="s">
        <v>81</v>
      </c>
      <c r="AT5422" t="s">
        <v>58</v>
      </c>
      <c r="AU5422" t="s">
        <v>68</v>
      </c>
      <c r="AV5422" t="s">
        <v>69</v>
      </c>
      <c r="AW5422" s="1">
        <v>25406</v>
      </c>
      <c r="AX5422">
        <v>1</v>
      </c>
    </row>
    <row r="5423" spans="1:50">
      <c r="A5423">
        <v>611846</v>
      </c>
      <c r="B5423" t="str">
        <f>"131492106"</f>
        <v>131492106</v>
      </c>
      <c r="C5423" t="s">
        <v>50</v>
      </c>
      <c r="D5423" t="s">
        <v>1534</v>
      </c>
      <c r="E5423" t="s">
        <v>681</v>
      </c>
      <c r="F5423" t="s">
        <v>95</v>
      </c>
      <c r="G5423" t="s">
        <v>52</v>
      </c>
      <c r="H5423" t="str">
        <f>"ΒΕΝΕΡΑΤΟ ΗΡΑΚΛΕΙΟ"</f>
        <v>ΒΕΝΕΡΑΤΟ ΗΡΑΚΛΕΙΟ</v>
      </c>
      <c r="I5423">
        <v>70011</v>
      </c>
      <c r="J5423">
        <v>2810791890</v>
      </c>
      <c r="K5423">
        <v>6947643013</v>
      </c>
      <c r="N5423" t="s">
        <v>1525</v>
      </c>
      <c r="O5423" t="s">
        <v>1526</v>
      </c>
      <c r="R5423" t="s">
        <v>57</v>
      </c>
      <c r="S5423">
        <v>6</v>
      </c>
      <c r="T5423">
        <v>233</v>
      </c>
      <c r="U5423" s="1">
        <v>38960</v>
      </c>
      <c r="V5423" t="s">
        <v>80</v>
      </c>
      <c r="W5423" t="s">
        <v>81</v>
      </c>
      <c r="X5423" t="s">
        <v>58</v>
      </c>
      <c r="Y5423">
        <v>25</v>
      </c>
      <c r="Z5423" t="s">
        <v>59</v>
      </c>
      <c r="AA5423" t="s">
        <v>59</v>
      </c>
      <c r="AB5423" t="s">
        <v>59</v>
      </c>
      <c r="AC5423" t="s">
        <v>59</v>
      </c>
      <c r="AD5423" t="s">
        <v>59</v>
      </c>
      <c r="AF5423" s="1">
        <v>38961</v>
      </c>
      <c r="AG5423" t="s">
        <v>8651</v>
      </c>
      <c r="AH5423" t="s">
        <v>8652</v>
      </c>
      <c r="AI5423" t="str">
        <f>"9170505"</f>
        <v>9170505</v>
      </c>
      <c r="AJ5423" t="s">
        <v>9478</v>
      </c>
      <c r="AK5423">
        <v>2810243082</v>
      </c>
      <c r="AL5423" t="s">
        <v>9479</v>
      </c>
      <c r="AM5423" t="s">
        <v>78</v>
      </c>
      <c r="AN5423" t="s">
        <v>78</v>
      </c>
      <c r="AO5423" t="s">
        <v>78</v>
      </c>
      <c r="AP5423" t="s">
        <v>213</v>
      </c>
      <c r="AQ5423">
        <v>1</v>
      </c>
      <c r="AR5423" t="s">
        <v>80</v>
      </c>
      <c r="AS5423" t="s">
        <v>81</v>
      </c>
      <c r="AT5423" t="s">
        <v>58</v>
      </c>
      <c r="AU5423" t="s">
        <v>68</v>
      </c>
      <c r="AV5423" t="s">
        <v>69</v>
      </c>
      <c r="AW5423" s="1">
        <v>29530</v>
      </c>
      <c r="AX5423">
        <v>1</v>
      </c>
    </row>
    <row r="5424" spans="1:50">
      <c r="B5424" t="str">
        <f>"121867828"</f>
        <v>121867828</v>
      </c>
      <c r="C5424" t="s">
        <v>105</v>
      </c>
      <c r="D5424" t="s">
        <v>9751</v>
      </c>
      <c r="E5424" t="s">
        <v>95</v>
      </c>
      <c r="F5424" t="s">
        <v>309</v>
      </c>
      <c r="G5424" t="s">
        <v>460</v>
      </c>
      <c r="H5424" t="str">
        <f>"ΒΟΥΛΓΑΡΟΚΤΟΝΟΥ 50 "</f>
        <v xml:space="preserve">ΒΟΥΛΓΑΡΟΚΤΟΝΟΥ 50 </v>
      </c>
      <c r="I5424">
        <v>65403</v>
      </c>
      <c r="J5424">
        <v>2510246103</v>
      </c>
      <c r="K5424">
        <v>6973786635</v>
      </c>
      <c r="N5424" t="s">
        <v>8694</v>
      </c>
      <c r="O5424" t="s">
        <v>8695</v>
      </c>
      <c r="R5424" t="s">
        <v>159</v>
      </c>
      <c r="S5424">
        <v>2</v>
      </c>
      <c r="T5424" t="s">
        <v>8696</v>
      </c>
      <c r="U5424" s="1">
        <v>43348</v>
      </c>
      <c r="V5424" t="s">
        <v>80</v>
      </c>
      <c r="W5424" t="s">
        <v>81</v>
      </c>
      <c r="X5424" t="s">
        <v>58</v>
      </c>
      <c r="Y5424">
        <v>24</v>
      </c>
      <c r="Z5424" t="s">
        <v>59</v>
      </c>
      <c r="AA5424" t="s">
        <v>59</v>
      </c>
      <c r="AB5424" t="s">
        <v>59</v>
      </c>
      <c r="AC5424" t="s">
        <v>59</v>
      </c>
      <c r="AD5424" t="s">
        <v>59</v>
      </c>
      <c r="AF5424" s="1">
        <v>43348</v>
      </c>
      <c r="AG5424" t="s">
        <v>8645</v>
      </c>
      <c r="AH5424" t="s">
        <v>8646</v>
      </c>
      <c r="AI5424" t="str">
        <f>"9170495"</f>
        <v>9170495</v>
      </c>
      <c r="AJ5424" t="s">
        <v>8838</v>
      </c>
      <c r="AK5424">
        <v>2892023325</v>
      </c>
      <c r="AL5424" t="s">
        <v>8839</v>
      </c>
      <c r="AM5424" t="s">
        <v>78</v>
      </c>
      <c r="AN5424" t="s">
        <v>242</v>
      </c>
      <c r="AO5424" t="s">
        <v>243</v>
      </c>
      <c r="AP5424" t="s">
        <v>243</v>
      </c>
      <c r="AQ5424">
        <v>20</v>
      </c>
      <c r="AR5424" t="s">
        <v>80</v>
      </c>
      <c r="AS5424" t="s">
        <v>81</v>
      </c>
      <c r="AT5424" t="s">
        <v>58</v>
      </c>
      <c r="AU5424" t="s">
        <v>350</v>
      </c>
      <c r="AV5424" t="s">
        <v>132</v>
      </c>
      <c r="AW5424" s="1">
        <v>31984</v>
      </c>
      <c r="AX5424">
        <v>1</v>
      </c>
    </row>
    <row r="5425" spans="1:50">
      <c r="B5425" t="str">
        <f>"144782934"</f>
        <v>144782934</v>
      </c>
      <c r="C5425" t="s">
        <v>50</v>
      </c>
      <c r="D5425" t="s">
        <v>9752</v>
      </c>
      <c r="E5425" t="s">
        <v>1355</v>
      </c>
      <c r="F5425" t="s">
        <v>72</v>
      </c>
      <c r="G5425" t="s">
        <v>964</v>
      </c>
      <c r="H5425" t="str">
        <f>"Π.ΡΑΛΛΗ 194 ΚΑΙ ΠΥΡΣΟΓΙΑΝΝΗ 1 "</f>
        <v xml:space="preserve">Π.ΡΑΛΛΗ 194 ΚΑΙ ΠΥΡΣΟΓΙΑΝΝΗ 1 </v>
      </c>
      <c r="I5425">
        <v>18454</v>
      </c>
      <c r="J5425">
        <v>2104963387</v>
      </c>
      <c r="K5425">
        <v>6977632374</v>
      </c>
      <c r="N5425" t="s">
        <v>1525</v>
      </c>
      <c r="O5425" t="s">
        <v>1526</v>
      </c>
      <c r="R5425" t="s">
        <v>159</v>
      </c>
      <c r="S5425">
        <v>3</v>
      </c>
      <c r="T5425" t="s">
        <v>8670</v>
      </c>
      <c r="U5425" s="1">
        <v>43348</v>
      </c>
      <c r="V5425" t="s">
        <v>80</v>
      </c>
      <c r="W5425" t="s">
        <v>81</v>
      </c>
      <c r="X5425" t="s">
        <v>58</v>
      </c>
      <c r="Y5425">
        <v>25</v>
      </c>
      <c r="Z5425" t="s">
        <v>59</v>
      </c>
      <c r="AA5425" t="s">
        <v>59</v>
      </c>
      <c r="AB5425" t="s">
        <v>59</v>
      </c>
      <c r="AC5425" t="s">
        <v>59</v>
      </c>
      <c r="AD5425" t="s">
        <v>59</v>
      </c>
      <c r="AF5425" s="1">
        <v>43348</v>
      </c>
      <c r="AG5425" t="s">
        <v>8651</v>
      </c>
      <c r="AH5425" t="s">
        <v>8652</v>
      </c>
      <c r="AI5425" t="str">
        <f>"9170466"</f>
        <v>9170466</v>
      </c>
      <c r="AJ5425" t="s">
        <v>9088</v>
      </c>
      <c r="AK5425">
        <v>2897022686</v>
      </c>
      <c r="AL5425" t="s">
        <v>9089</v>
      </c>
      <c r="AM5425" t="s">
        <v>78</v>
      </c>
      <c r="AN5425" t="s">
        <v>219</v>
      </c>
      <c r="AO5425" t="s">
        <v>219</v>
      </c>
      <c r="AP5425" t="s">
        <v>219</v>
      </c>
      <c r="AQ5425">
        <v>8</v>
      </c>
      <c r="AR5425" t="s">
        <v>80</v>
      </c>
      <c r="AS5425" t="s">
        <v>81</v>
      </c>
      <c r="AT5425" t="s">
        <v>58</v>
      </c>
      <c r="AU5425" t="s">
        <v>8673</v>
      </c>
      <c r="AV5425" t="s">
        <v>132</v>
      </c>
      <c r="AW5425" s="1">
        <v>31340</v>
      </c>
      <c r="AX5425">
        <v>1</v>
      </c>
    </row>
    <row r="5426" spans="1:50">
      <c r="B5426" t="str">
        <f>"155391314"</f>
        <v>155391314</v>
      </c>
      <c r="C5426" t="s">
        <v>50</v>
      </c>
      <c r="D5426" t="s">
        <v>9753</v>
      </c>
      <c r="E5426" t="s">
        <v>250</v>
      </c>
      <c r="F5426" t="s">
        <v>106</v>
      </c>
      <c r="G5426" t="s">
        <v>83</v>
      </c>
      <c r="H5426" t="str">
        <f>"Ανωγείων 33 "</f>
        <v xml:space="preserve">Ανωγείων 33 </v>
      </c>
      <c r="J5426">
        <v>2810370554</v>
      </c>
      <c r="K5426">
        <v>6979216730</v>
      </c>
      <c r="M5426" t="s">
        <v>9754</v>
      </c>
      <c r="N5426" t="s">
        <v>615</v>
      </c>
      <c r="O5426" t="s">
        <v>616</v>
      </c>
      <c r="R5426" t="s">
        <v>159</v>
      </c>
      <c r="S5426">
        <v>5</v>
      </c>
      <c r="T5426" t="s">
        <v>8675</v>
      </c>
      <c r="U5426" s="1">
        <v>43348</v>
      </c>
      <c r="V5426" t="s">
        <v>80</v>
      </c>
      <c r="W5426" t="s">
        <v>81</v>
      </c>
      <c r="X5426" t="s">
        <v>58</v>
      </c>
      <c r="Y5426">
        <v>24</v>
      </c>
      <c r="Z5426" t="s">
        <v>59</v>
      </c>
      <c r="AA5426" t="s">
        <v>59</v>
      </c>
      <c r="AB5426" t="s">
        <v>59</v>
      </c>
      <c r="AD5426" t="s">
        <v>59</v>
      </c>
      <c r="AF5426" s="1">
        <v>43348</v>
      </c>
      <c r="AG5426" t="s">
        <v>8645</v>
      </c>
      <c r="AH5426" t="s">
        <v>8646</v>
      </c>
      <c r="AI5426" t="str">
        <f>"9521092"</f>
        <v>9521092</v>
      </c>
      <c r="AJ5426" t="s">
        <v>9234</v>
      </c>
      <c r="AK5426">
        <v>2810313321</v>
      </c>
      <c r="AL5426" t="s">
        <v>9235</v>
      </c>
      <c r="AM5426" t="s">
        <v>78</v>
      </c>
      <c r="AN5426" t="s">
        <v>78</v>
      </c>
      <c r="AO5426" t="s">
        <v>78</v>
      </c>
      <c r="AP5426" t="s">
        <v>141</v>
      </c>
      <c r="AQ5426">
        <v>1</v>
      </c>
      <c r="AR5426" t="s">
        <v>80</v>
      </c>
      <c r="AS5426" t="s">
        <v>81</v>
      </c>
      <c r="AT5426" t="s">
        <v>58</v>
      </c>
      <c r="AU5426" t="s">
        <v>8673</v>
      </c>
      <c r="AV5426" t="s">
        <v>132</v>
      </c>
      <c r="AW5426" s="1">
        <v>32730</v>
      </c>
      <c r="AX5426">
        <v>1</v>
      </c>
    </row>
    <row r="5427" spans="1:50">
      <c r="B5427" t="str">
        <f>"114298127"</f>
        <v>114298127</v>
      </c>
      <c r="C5427" t="s">
        <v>105</v>
      </c>
      <c r="D5427" t="s">
        <v>1546</v>
      </c>
      <c r="E5427" t="s">
        <v>99</v>
      </c>
      <c r="F5427" t="s">
        <v>72</v>
      </c>
      <c r="G5427" t="s">
        <v>191</v>
      </c>
      <c r="H5427" t="str">
        <f>"ΚΑΤΩ ΑΣΙΤΕΣ ΑΓ.ΜΥΡΩΝΑΣ ΗΡΑΚΛΕΙΟ"</f>
        <v>ΚΑΤΩ ΑΣΙΤΕΣ ΑΓ.ΜΥΡΩΝΑΣ ΗΡΑΚΛΕΙΟ</v>
      </c>
      <c r="I5427">
        <v>70013</v>
      </c>
      <c r="J5427">
        <v>2810861226</v>
      </c>
      <c r="K5427">
        <v>6936264359</v>
      </c>
      <c r="N5427" t="s">
        <v>288</v>
      </c>
      <c r="O5427" t="s">
        <v>289</v>
      </c>
      <c r="R5427" t="s">
        <v>159</v>
      </c>
      <c r="S5427">
        <v>2</v>
      </c>
      <c r="T5427" t="s">
        <v>8675</v>
      </c>
      <c r="U5427" s="1">
        <v>43348</v>
      </c>
      <c r="V5427" t="s">
        <v>80</v>
      </c>
      <c r="W5427" t="s">
        <v>81</v>
      </c>
      <c r="X5427" t="s">
        <v>58</v>
      </c>
      <c r="Y5427">
        <v>14</v>
      </c>
      <c r="Z5427" t="s">
        <v>59</v>
      </c>
      <c r="AA5427" t="s">
        <v>59</v>
      </c>
      <c r="AB5427" t="s">
        <v>59</v>
      </c>
      <c r="AC5427" t="s">
        <v>59</v>
      </c>
      <c r="AD5427" t="s">
        <v>59</v>
      </c>
      <c r="AF5427" s="1">
        <v>43348</v>
      </c>
      <c r="AG5427" t="s">
        <v>8645</v>
      </c>
      <c r="AH5427" t="s">
        <v>8646</v>
      </c>
      <c r="AI5427" t="str">
        <f>"9170097"</f>
        <v>9170097</v>
      </c>
      <c r="AJ5427" t="s">
        <v>8826</v>
      </c>
      <c r="AK5427">
        <v>2810751807</v>
      </c>
      <c r="AL5427" t="s">
        <v>8827</v>
      </c>
      <c r="AM5427" t="s">
        <v>78</v>
      </c>
      <c r="AN5427" t="s">
        <v>424</v>
      </c>
      <c r="AO5427" t="s">
        <v>425</v>
      </c>
      <c r="AP5427" t="s">
        <v>425</v>
      </c>
      <c r="AQ5427">
        <v>11</v>
      </c>
      <c r="AR5427" t="s">
        <v>80</v>
      </c>
      <c r="AS5427" t="s">
        <v>81</v>
      </c>
      <c r="AT5427" t="s">
        <v>58</v>
      </c>
      <c r="AU5427" t="s">
        <v>8686</v>
      </c>
      <c r="AV5427" t="s">
        <v>132</v>
      </c>
      <c r="AW5427" s="1">
        <v>30513</v>
      </c>
      <c r="AX5427">
        <v>1</v>
      </c>
    </row>
    <row r="5428" spans="1:50">
      <c r="A5428">
        <v>562610</v>
      </c>
      <c r="B5428" t="str">
        <f>"035037306"</f>
        <v>035037306</v>
      </c>
      <c r="C5428" t="s">
        <v>105</v>
      </c>
      <c r="D5428" t="s">
        <v>1546</v>
      </c>
      <c r="E5428" t="s">
        <v>106</v>
      </c>
      <c r="F5428" t="s">
        <v>95</v>
      </c>
      <c r="G5428" t="s">
        <v>250</v>
      </c>
      <c r="H5428" t="str">
        <f>"ΑΝΩΓΕΙΩΝ 33-35 ΗΡΑΚΛΕΙΟ"</f>
        <v>ΑΝΩΓΕΙΩΝ 33-35 ΗΡΑΚΛΕΙΟ</v>
      </c>
      <c r="I5428">
        <v>71304</v>
      </c>
      <c r="J5428">
        <v>2810370554</v>
      </c>
      <c r="K5428">
        <v>6973018562</v>
      </c>
      <c r="M5428" t="s">
        <v>9755</v>
      </c>
      <c r="N5428" t="s">
        <v>615</v>
      </c>
      <c r="O5428" t="s">
        <v>616</v>
      </c>
      <c r="R5428" t="s">
        <v>57</v>
      </c>
      <c r="S5428">
        <v>14</v>
      </c>
      <c r="T5428">
        <v>187</v>
      </c>
      <c r="U5428" s="1">
        <v>32750</v>
      </c>
      <c r="V5428" t="s">
        <v>80</v>
      </c>
      <c r="W5428" t="s">
        <v>81</v>
      </c>
      <c r="X5428" t="s">
        <v>58</v>
      </c>
      <c r="Y5428">
        <v>21</v>
      </c>
      <c r="Z5428" t="s">
        <v>59</v>
      </c>
      <c r="AA5428" t="s">
        <v>59</v>
      </c>
      <c r="AB5428" t="s">
        <v>59</v>
      </c>
      <c r="AC5428" t="s">
        <v>59</v>
      </c>
      <c r="AD5428" t="s">
        <v>59</v>
      </c>
      <c r="AF5428" s="1">
        <v>32757</v>
      </c>
      <c r="AG5428" t="s">
        <v>8645</v>
      </c>
      <c r="AH5428" t="s">
        <v>8646</v>
      </c>
      <c r="AI5428" t="str">
        <f>"9521092"</f>
        <v>9521092</v>
      </c>
      <c r="AJ5428" t="s">
        <v>9234</v>
      </c>
      <c r="AK5428">
        <v>2810313321</v>
      </c>
      <c r="AL5428" t="s">
        <v>9235</v>
      </c>
      <c r="AM5428" t="s">
        <v>78</v>
      </c>
      <c r="AN5428" t="s">
        <v>78</v>
      </c>
      <c r="AO5428" t="s">
        <v>78</v>
      </c>
      <c r="AP5428" t="s">
        <v>141</v>
      </c>
      <c r="AQ5428">
        <v>1</v>
      </c>
      <c r="AR5428" t="s">
        <v>80</v>
      </c>
      <c r="AS5428" t="s">
        <v>81</v>
      </c>
      <c r="AT5428" t="s">
        <v>58</v>
      </c>
      <c r="AU5428" t="s">
        <v>68</v>
      </c>
      <c r="AV5428" t="s">
        <v>69</v>
      </c>
      <c r="AW5428" s="1">
        <v>23638</v>
      </c>
      <c r="AX5428">
        <v>1</v>
      </c>
    </row>
    <row r="5429" spans="1:50">
      <c r="A5429">
        <v>581395</v>
      </c>
      <c r="B5429" t="str">
        <f>"039597720"</f>
        <v>039597720</v>
      </c>
      <c r="C5429" t="s">
        <v>105</v>
      </c>
      <c r="D5429" t="s">
        <v>9756</v>
      </c>
      <c r="E5429" t="s">
        <v>670</v>
      </c>
      <c r="F5429" t="s">
        <v>72</v>
      </c>
      <c r="G5429" t="s">
        <v>181</v>
      </c>
      <c r="H5429" t="str">
        <f>"Μ.ΗΛΙΑΔΗ 14 "</f>
        <v xml:space="preserve">Μ.ΗΛΙΑΔΗ 14 </v>
      </c>
      <c r="I5429">
        <v>71309</v>
      </c>
      <c r="J5429">
        <v>2810325802</v>
      </c>
      <c r="K5429">
        <v>6981238638</v>
      </c>
      <c r="N5429" t="s">
        <v>615</v>
      </c>
      <c r="O5429" t="s">
        <v>616</v>
      </c>
      <c r="R5429" t="s">
        <v>57</v>
      </c>
      <c r="S5429">
        <v>13</v>
      </c>
      <c r="T5429">
        <v>179</v>
      </c>
      <c r="U5429" s="1">
        <v>35674</v>
      </c>
      <c r="V5429" t="s">
        <v>80</v>
      </c>
      <c r="W5429" t="s">
        <v>81</v>
      </c>
      <c r="X5429" t="s">
        <v>58</v>
      </c>
      <c r="Y5429">
        <v>21</v>
      </c>
      <c r="Z5429" t="s">
        <v>59</v>
      </c>
      <c r="AA5429" t="s">
        <v>59</v>
      </c>
      <c r="AB5429" t="s">
        <v>59</v>
      </c>
      <c r="AC5429" t="s">
        <v>59</v>
      </c>
      <c r="AD5429" t="s">
        <v>59</v>
      </c>
      <c r="AF5429" s="1">
        <v>35675</v>
      </c>
      <c r="AG5429" t="s">
        <v>8645</v>
      </c>
      <c r="AH5429" t="s">
        <v>8646</v>
      </c>
      <c r="AI5429" t="str">
        <f>"9170198"</f>
        <v>9170198</v>
      </c>
      <c r="AJ5429" t="s">
        <v>8665</v>
      </c>
      <c r="AK5429">
        <v>2810227379</v>
      </c>
      <c r="AL5429" t="s">
        <v>8666</v>
      </c>
      <c r="AM5429" t="s">
        <v>78</v>
      </c>
      <c r="AN5429" t="s">
        <v>78</v>
      </c>
      <c r="AO5429" t="s">
        <v>78</v>
      </c>
      <c r="AP5429" t="s">
        <v>79</v>
      </c>
      <c r="AQ5429">
        <v>1</v>
      </c>
      <c r="AR5429" t="s">
        <v>80</v>
      </c>
      <c r="AS5429" t="s">
        <v>81</v>
      </c>
      <c r="AT5429" t="s">
        <v>58</v>
      </c>
      <c r="AU5429" t="s">
        <v>68</v>
      </c>
      <c r="AV5429" t="s">
        <v>69</v>
      </c>
      <c r="AW5429" s="1">
        <v>22586</v>
      </c>
      <c r="AX5429">
        <v>1</v>
      </c>
    </row>
    <row r="5430" spans="1:50">
      <c r="B5430" t="str">
        <f>"120209940"</f>
        <v>120209940</v>
      </c>
      <c r="C5430" t="s">
        <v>50</v>
      </c>
      <c r="D5430" t="s">
        <v>9757</v>
      </c>
      <c r="E5430" t="s">
        <v>600</v>
      </c>
      <c r="F5430" t="s">
        <v>9758</v>
      </c>
      <c r="G5430" t="s">
        <v>9759</v>
      </c>
      <c r="H5430" t="str">
        <f>"ΠΕΤΡΩΦ "</f>
        <v xml:space="preserve">ΠΕΤΡΩΦ </v>
      </c>
      <c r="I5430">
        <v>73100</v>
      </c>
      <c r="J5430">
        <v>2821075586</v>
      </c>
      <c r="K5430">
        <v>6982806282</v>
      </c>
      <c r="N5430" t="s">
        <v>1525</v>
      </c>
      <c r="O5430" t="s">
        <v>1526</v>
      </c>
      <c r="R5430" t="s">
        <v>159</v>
      </c>
      <c r="S5430">
        <v>1</v>
      </c>
      <c r="T5430" t="s">
        <v>8670</v>
      </c>
      <c r="U5430" s="1">
        <v>43348</v>
      </c>
      <c r="V5430" t="s">
        <v>80</v>
      </c>
      <c r="W5430" t="s">
        <v>81</v>
      </c>
      <c r="X5430" t="s">
        <v>58</v>
      </c>
      <c r="Y5430">
        <v>25</v>
      </c>
      <c r="Z5430" t="s">
        <v>59</v>
      </c>
      <c r="AA5430" t="s">
        <v>59</v>
      </c>
      <c r="AB5430" t="s">
        <v>59</v>
      </c>
      <c r="AC5430" t="s">
        <v>59</v>
      </c>
      <c r="AD5430" t="s">
        <v>59</v>
      </c>
      <c r="AF5430" s="1">
        <v>43348</v>
      </c>
      <c r="AG5430" t="s">
        <v>8651</v>
      </c>
      <c r="AH5430" t="s">
        <v>8652</v>
      </c>
      <c r="AI5430" t="str">
        <f>"9170414"</f>
        <v>9170414</v>
      </c>
      <c r="AJ5430" t="s">
        <v>8811</v>
      </c>
      <c r="AK5430">
        <v>2810220080</v>
      </c>
      <c r="AL5430" t="s">
        <v>8812</v>
      </c>
      <c r="AM5430" t="s">
        <v>78</v>
      </c>
      <c r="AN5430" t="s">
        <v>78</v>
      </c>
      <c r="AO5430" t="s">
        <v>78</v>
      </c>
      <c r="AP5430" t="s">
        <v>213</v>
      </c>
      <c r="AQ5430">
        <v>1</v>
      </c>
      <c r="AR5430" t="s">
        <v>80</v>
      </c>
      <c r="AS5430" t="s">
        <v>81</v>
      </c>
      <c r="AT5430" t="s">
        <v>58</v>
      </c>
      <c r="AU5430" t="s">
        <v>8673</v>
      </c>
      <c r="AV5430" t="s">
        <v>132</v>
      </c>
      <c r="AW5430" s="1">
        <v>23892</v>
      </c>
      <c r="AX5430">
        <v>1</v>
      </c>
    </row>
    <row r="5431" spans="1:50">
      <c r="B5431" t="str">
        <f>"144010590"</f>
        <v>144010590</v>
      </c>
      <c r="C5431" t="s">
        <v>50</v>
      </c>
      <c r="D5431" t="s">
        <v>9760</v>
      </c>
      <c r="E5431" t="s">
        <v>650</v>
      </c>
      <c r="F5431" t="s">
        <v>72</v>
      </c>
      <c r="G5431" t="s">
        <v>263</v>
      </c>
      <c r="H5431" t="str">
        <f>"ΓΡΗΓΟΡΙΟΥ ΚΟΝΤΕΚΑΚΗ 9 "</f>
        <v xml:space="preserve">ΓΡΗΓΟΡΙΟΥ ΚΟΝΤΕΚΑΚΗ 9 </v>
      </c>
      <c r="I5431">
        <v>73134</v>
      </c>
      <c r="J5431">
        <v>2821044692</v>
      </c>
      <c r="K5431">
        <v>6936397407</v>
      </c>
      <c r="N5431" t="s">
        <v>615</v>
      </c>
      <c r="O5431" t="s">
        <v>616</v>
      </c>
      <c r="R5431" t="s">
        <v>159</v>
      </c>
      <c r="S5431">
        <v>3</v>
      </c>
      <c r="T5431" t="s">
        <v>8675</v>
      </c>
      <c r="U5431" s="1">
        <v>43348</v>
      </c>
      <c r="V5431" t="s">
        <v>80</v>
      </c>
      <c r="W5431" t="s">
        <v>81</v>
      </c>
      <c r="X5431" t="s">
        <v>58</v>
      </c>
      <c r="Y5431">
        <v>24</v>
      </c>
      <c r="Z5431" t="s">
        <v>59</v>
      </c>
      <c r="AA5431" t="s">
        <v>59</v>
      </c>
      <c r="AB5431" t="s">
        <v>59</v>
      </c>
      <c r="AC5431" t="s">
        <v>59</v>
      </c>
      <c r="AD5431" t="s">
        <v>59</v>
      </c>
      <c r="AF5431" s="1">
        <v>43348</v>
      </c>
      <c r="AG5431" t="s">
        <v>8645</v>
      </c>
      <c r="AH5431" t="s">
        <v>8646</v>
      </c>
      <c r="AI5431" t="str">
        <f>"9170224"</f>
        <v>9170224</v>
      </c>
      <c r="AJ5431" t="s">
        <v>9212</v>
      </c>
      <c r="AK5431">
        <v>2810771214</v>
      </c>
      <c r="AL5431" t="s">
        <v>9213</v>
      </c>
      <c r="AM5431" t="s">
        <v>78</v>
      </c>
      <c r="AN5431" t="s">
        <v>219</v>
      </c>
      <c r="AO5431" t="s">
        <v>1437</v>
      </c>
      <c r="AP5431" t="s">
        <v>1437</v>
      </c>
      <c r="AQ5431">
        <v>7</v>
      </c>
      <c r="AR5431" t="s">
        <v>80</v>
      </c>
      <c r="AS5431" t="s">
        <v>81</v>
      </c>
      <c r="AT5431" t="s">
        <v>58</v>
      </c>
      <c r="AU5431" t="s">
        <v>8673</v>
      </c>
      <c r="AV5431" t="s">
        <v>132</v>
      </c>
      <c r="AW5431" s="1">
        <v>31873</v>
      </c>
      <c r="AX5431">
        <v>1</v>
      </c>
    </row>
    <row r="5432" spans="1:50">
      <c r="A5432">
        <v>553300</v>
      </c>
      <c r="B5432" t="str">
        <f>"103830090"</f>
        <v>103830090</v>
      </c>
      <c r="C5432" t="s">
        <v>50</v>
      </c>
      <c r="D5432" t="s">
        <v>9760</v>
      </c>
      <c r="E5432" t="s">
        <v>181</v>
      </c>
      <c r="F5432" t="s">
        <v>154</v>
      </c>
      <c r="G5432" t="s">
        <v>396</v>
      </c>
      <c r="H5432" t="str">
        <f>"ΚΟΛΟΚΟΤΡΩΝΗ 12 ΑΓΙΑ ΜΑΡΙΝΑ ΓΑΖΙΟΥ"</f>
        <v>ΚΟΛΟΚΟΤΡΩΝΗ 12 ΑΓΙΑ ΜΑΡΙΝΑ ΓΑΖΙΟΥ</v>
      </c>
      <c r="I5432">
        <v>71414</v>
      </c>
      <c r="J5432">
        <v>2810823537</v>
      </c>
      <c r="K5432">
        <v>6944318387</v>
      </c>
      <c r="M5432" t="s">
        <v>9761</v>
      </c>
      <c r="N5432" t="s">
        <v>1525</v>
      </c>
      <c r="O5432" t="s">
        <v>1526</v>
      </c>
      <c r="R5432" t="s">
        <v>57</v>
      </c>
      <c r="S5432">
        <v>17</v>
      </c>
      <c r="T5432">
        <v>433</v>
      </c>
      <c r="U5432" s="1">
        <v>31044</v>
      </c>
      <c r="V5432" t="s">
        <v>80</v>
      </c>
      <c r="W5432" t="s">
        <v>81</v>
      </c>
      <c r="X5432" t="s">
        <v>58</v>
      </c>
      <c r="Y5432">
        <v>25</v>
      </c>
      <c r="Z5432" t="s">
        <v>59</v>
      </c>
      <c r="AA5432" t="s">
        <v>59</v>
      </c>
      <c r="AB5432" t="s">
        <v>59</v>
      </c>
      <c r="AC5432" t="s">
        <v>59</v>
      </c>
      <c r="AD5432" t="s">
        <v>59</v>
      </c>
      <c r="AF5432" s="1">
        <v>31054</v>
      </c>
      <c r="AG5432" t="s">
        <v>8651</v>
      </c>
      <c r="AH5432" t="s">
        <v>8652</v>
      </c>
      <c r="AI5432" t="str">
        <f>"9170591"</f>
        <v>9170591</v>
      </c>
      <c r="AJ5432" t="s">
        <v>9762</v>
      </c>
      <c r="AK5432">
        <v>2810263596</v>
      </c>
      <c r="AL5432" t="s">
        <v>9763</v>
      </c>
      <c r="AM5432" t="s">
        <v>78</v>
      </c>
      <c r="AN5432" t="s">
        <v>129</v>
      </c>
      <c r="AO5432" t="s">
        <v>130</v>
      </c>
      <c r="AP5432" t="s">
        <v>130</v>
      </c>
      <c r="AQ5432">
        <v>1</v>
      </c>
      <c r="AR5432" t="s">
        <v>80</v>
      </c>
      <c r="AS5432" t="s">
        <v>81</v>
      </c>
      <c r="AT5432" t="s">
        <v>58</v>
      </c>
      <c r="AU5432" t="s">
        <v>68</v>
      </c>
      <c r="AV5432" t="s">
        <v>69</v>
      </c>
      <c r="AW5432" s="1">
        <v>22960</v>
      </c>
      <c r="AX5432">
        <v>1</v>
      </c>
    </row>
    <row r="5433" spans="1:50">
      <c r="A5433">
        <v>565144</v>
      </c>
      <c r="B5433" t="str">
        <f>"042597834"</f>
        <v>042597834</v>
      </c>
      <c r="C5433" t="s">
        <v>50</v>
      </c>
      <c r="D5433" t="s">
        <v>9764</v>
      </c>
      <c r="E5433" t="s">
        <v>237</v>
      </c>
      <c r="F5433" t="s">
        <v>166</v>
      </c>
      <c r="G5433" t="s">
        <v>3174</v>
      </c>
      <c r="H5433" t="str">
        <f>"ΓΙΟΥΧΤΑ 16-18 ΚΗΠΟΥΠΟΛΗ"</f>
        <v>ΓΙΟΥΧΤΑ 16-18 ΚΗΠΟΥΠΟΛΗ</v>
      </c>
      <c r="I5433">
        <v>71307</v>
      </c>
      <c r="J5433">
        <v>2810236824</v>
      </c>
      <c r="K5433">
        <v>6978351497</v>
      </c>
      <c r="N5433" t="s">
        <v>615</v>
      </c>
      <c r="O5433" t="s">
        <v>616</v>
      </c>
      <c r="R5433" t="s">
        <v>57</v>
      </c>
      <c r="S5433">
        <v>14</v>
      </c>
      <c r="T5433">
        <v>161</v>
      </c>
      <c r="U5433" s="1">
        <v>33119</v>
      </c>
      <c r="V5433" t="s">
        <v>80</v>
      </c>
      <c r="W5433" t="s">
        <v>81</v>
      </c>
      <c r="X5433" t="s">
        <v>58</v>
      </c>
      <c r="Y5433">
        <v>21</v>
      </c>
      <c r="Z5433" t="s">
        <v>59</v>
      </c>
      <c r="AA5433" t="s">
        <v>59</v>
      </c>
      <c r="AB5433" t="s">
        <v>59</v>
      </c>
      <c r="AC5433" t="s">
        <v>59</v>
      </c>
      <c r="AD5433" t="s">
        <v>59</v>
      </c>
      <c r="AF5433" s="1">
        <v>33120</v>
      </c>
      <c r="AG5433" t="s">
        <v>8645</v>
      </c>
      <c r="AH5433" t="s">
        <v>8646</v>
      </c>
      <c r="AI5433" t="str">
        <f>"9170190"</f>
        <v>9170190</v>
      </c>
      <c r="AJ5433" t="s">
        <v>8689</v>
      </c>
      <c r="AK5433">
        <v>2810232169</v>
      </c>
      <c r="AL5433" t="s">
        <v>8690</v>
      </c>
      <c r="AM5433" t="s">
        <v>78</v>
      </c>
      <c r="AN5433" t="s">
        <v>78</v>
      </c>
      <c r="AO5433" t="s">
        <v>78</v>
      </c>
      <c r="AP5433" t="s">
        <v>163</v>
      </c>
      <c r="AQ5433">
        <v>1</v>
      </c>
      <c r="AR5433" t="s">
        <v>80</v>
      </c>
      <c r="AS5433" t="s">
        <v>81</v>
      </c>
      <c r="AT5433" t="s">
        <v>58</v>
      </c>
      <c r="AU5433" t="s">
        <v>68</v>
      </c>
      <c r="AV5433" t="s">
        <v>69</v>
      </c>
      <c r="AW5433" s="1">
        <v>24366</v>
      </c>
      <c r="AX5433">
        <v>1</v>
      </c>
    </row>
    <row r="5434" spans="1:50">
      <c r="A5434">
        <v>618710</v>
      </c>
      <c r="B5434" t="str">
        <f>"123665218"</f>
        <v>123665218</v>
      </c>
      <c r="C5434" t="s">
        <v>50</v>
      </c>
      <c r="D5434" t="s">
        <v>7265</v>
      </c>
      <c r="E5434" t="s">
        <v>250</v>
      </c>
      <c r="F5434" t="s">
        <v>84</v>
      </c>
      <c r="G5434" t="s">
        <v>52</v>
      </c>
      <c r="H5434" t="str">
        <f>"ΑΝΩ ΚΑΛΕΣΣΑ ΗΡΑΚΛΕΙΟ"</f>
        <v>ΑΝΩ ΚΑΛΕΣΣΑ ΗΡΑΚΛΕΙΟ</v>
      </c>
      <c r="I5434">
        <v>71500</v>
      </c>
      <c r="J5434">
        <v>2810824717</v>
      </c>
      <c r="K5434">
        <v>6974452353</v>
      </c>
      <c r="N5434" t="s">
        <v>615</v>
      </c>
      <c r="O5434" t="s">
        <v>616</v>
      </c>
      <c r="R5434" t="s">
        <v>57</v>
      </c>
      <c r="S5434">
        <v>5</v>
      </c>
      <c r="T5434">
        <v>774</v>
      </c>
      <c r="U5434" s="1">
        <v>39680</v>
      </c>
      <c r="V5434" t="s">
        <v>80</v>
      </c>
      <c r="W5434" t="s">
        <v>81</v>
      </c>
      <c r="X5434" t="s">
        <v>58</v>
      </c>
      <c r="Y5434">
        <v>23</v>
      </c>
      <c r="Z5434" t="s">
        <v>59</v>
      </c>
      <c r="AA5434" t="s">
        <v>59</v>
      </c>
      <c r="AB5434" t="s">
        <v>59</v>
      </c>
      <c r="AC5434" t="s">
        <v>59</v>
      </c>
      <c r="AD5434" t="s">
        <v>59</v>
      </c>
      <c r="AF5434" s="1">
        <v>39681</v>
      </c>
      <c r="AG5434" t="s">
        <v>8645</v>
      </c>
      <c r="AH5434" t="s">
        <v>8646</v>
      </c>
      <c r="AI5434" t="str">
        <f>"9170020"</f>
        <v>9170020</v>
      </c>
      <c r="AJ5434" t="s">
        <v>9244</v>
      </c>
      <c r="AK5434">
        <v>2810821476</v>
      </c>
      <c r="AL5434" t="s">
        <v>9245</v>
      </c>
      <c r="AM5434" t="s">
        <v>78</v>
      </c>
      <c r="AN5434" t="s">
        <v>129</v>
      </c>
      <c r="AO5434" t="s">
        <v>130</v>
      </c>
      <c r="AP5434" t="s">
        <v>9246</v>
      </c>
      <c r="AQ5434">
        <v>2</v>
      </c>
      <c r="AR5434" t="s">
        <v>80</v>
      </c>
      <c r="AS5434" t="s">
        <v>81</v>
      </c>
      <c r="AT5434" t="s">
        <v>58</v>
      </c>
      <c r="AU5434" t="s">
        <v>68</v>
      </c>
      <c r="AV5434" t="s">
        <v>69</v>
      </c>
      <c r="AW5434" s="1">
        <v>30880</v>
      </c>
      <c r="AX5434">
        <v>1</v>
      </c>
    </row>
    <row r="5435" spans="1:50">
      <c r="A5435">
        <v>598337</v>
      </c>
      <c r="B5435" t="str">
        <f>"053821196"</f>
        <v>053821196</v>
      </c>
      <c r="C5435" t="s">
        <v>50</v>
      </c>
      <c r="D5435" t="s">
        <v>7265</v>
      </c>
      <c r="E5435" t="s">
        <v>1078</v>
      </c>
      <c r="F5435" t="s">
        <v>4097</v>
      </c>
      <c r="G5435" t="s">
        <v>52</v>
      </c>
      <c r="H5435" t="str">
        <f>"ΑΓ. ΘΑΝΑΣΙΟΥ-ΑΘΩΝΙΤΟΥ  8 ΗΡΑΚΛΕΙΟ"</f>
        <v>ΑΓ. ΘΑΝΑΣΙΟΥ-ΑΘΩΝΙΤΟΥ  8 ΗΡΑΚΛΕΙΟ</v>
      </c>
      <c r="I5435">
        <v>71305</v>
      </c>
      <c r="J5435">
        <v>2810252770</v>
      </c>
      <c r="K5435">
        <v>6979342755</v>
      </c>
      <c r="N5435" t="s">
        <v>615</v>
      </c>
      <c r="O5435" t="s">
        <v>616</v>
      </c>
      <c r="R5435" t="s">
        <v>57</v>
      </c>
      <c r="S5435">
        <v>9</v>
      </c>
      <c r="T5435">
        <v>195</v>
      </c>
      <c r="U5435" s="1">
        <v>37497</v>
      </c>
      <c r="V5435" t="s">
        <v>80</v>
      </c>
      <c r="W5435" t="s">
        <v>81</v>
      </c>
      <c r="X5435" t="s">
        <v>58</v>
      </c>
      <c r="Y5435">
        <v>22</v>
      </c>
      <c r="Z5435" t="s">
        <v>59</v>
      </c>
      <c r="AA5435" t="s">
        <v>59</v>
      </c>
      <c r="AB5435" t="s">
        <v>59</v>
      </c>
      <c r="AC5435" t="s">
        <v>59</v>
      </c>
      <c r="AD5435" t="s">
        <v>59</v>
      </c>
      <c r="AF5435" s="1">
        <v>37501</v>
      </c>
      <c r="AG5435" t="s">
        <v>8645</v>
      </c>
      <c r="AH5435" t="s">
        <v>8646</v>
      </c>
      <c r="AI5435" t="str">
        <f>"9170036"</f>
        <v>9170036</v>
      </c>
      <c r="AJ5435" t="s">
        <v>8911</v>
      </c>
      <c r="AK5435">
        <v>2810721466</v>
      </c>
      <c r="AL5435" t="s">
        <v>8912</v>
      </c>
      <c r="AM5435" t="s">
        <v>78</v>
      </c>
      <c r="AN5435" t="s">
        <v>78</v>
      </c>
      <c r="AO5435" t="s">
        <v>78</v>
      </c>
      <c r="AP5435" t="s">
        <v>8913</v>
      </c>
      <c r="AQ5435">
        <v>1</v>
      </c>
      <c r="AR5435" t="s">
        <v>80</v>
      </c>
      <c r="AS5435" t="s">
        <v>81</v>
      </c>
      <c r="AT5435" t="s">
        <v>58</v>
      </c>
      <c r="AU5435" t="s">
        <v>68</v>
      </c>
      <c r="AV5435" t="s">
        <v>69</v>
      </c>
      <c r="AW5435" s="1">
        <v>25586</v>
      </c>
      <c r="AX5435">
        <v>1</v>
      </c>
    </row>
    <row r="5436" spans="1:50">
      <c r="A5436">
        <v>575244</v>
      </c>
      <c r="B5436" t="str">
        <f>"037126913"</f>
        <v>037126913</v>
      </c>
      <c r="C5436" t="s">
        <v>105</v>
      </c>
      <c r="D5436" t="s">
        <v>9765</v>
      </c>
      <c r="E5436" t="s">
        <v>154</v>
      </c>
      <c r="F5436" t="s">
        <v>166</v>
      </c>
      <c r="G5436" t="s">
        <v>52</v>
      </c>
      <c r="H5436" t="str">
        <f>"ΑΓ.ΑΘΑΝΑΣΙΟΥ ΑΘΩΝΙΤΟΥ 8 ΗΡΑΚΛΕΙΟ"</f>
        <v>ΑΓ.ΑΘΑΝΑΣΙΟΥ ΑΘΩΝΙΤΟΥ 8 ΗΡΑΚΛΕΙΟ</v>
      </c>
      <c r="I5436">
        <v>71305</v>
      </c>
      <c r="J5436">
        <v>2810370621</v>
      </c>
      <c r="K5436">
        <v>6936855310</v>
      </c>
      <c r="N5436" t="s">
        <v>615</v>
      </c>
      <c r="O5436" t="s">
        <v>616</v>
      </c>
      <c r="R5436" t="s">
        <v>57</v>
      </c>
      <c r="S5436">
        <v>13</v>
      </c>
      <c r="T5436">
        <v>184</v>
      </c>
      <c r="U5436" s="1">
        <v>34941</v>
      </c>
      <c r="V5436" t="s">
        <v>80</v>
      </c>
      <c r="W5436" t="s">
        <v>81</v>
      </c>
      <c r="X5436" t="s">
        <v>58</v>
      </c>
      <c r="Y5436">
        <v>21</v>
      </c>
      <c r="Z5436" t="s">
        <v>59</v>
      </c>
      <c r="AA5436" t="s">
        <v>59</v>
      </c>
      <c r="AB5436" t="s">
        <v>59</v>
      </c>
      <c r="AC5436" t="s">
        <v>59</v>
      </c>
      <c r="AD5436" t="s">
        <v>59</v>
      </c>
      <c r="AF5436" s="1">
        <v>34949</v>
      </c>
      <c r="AG5436" t="s">
        <v>8645</v>
      </c>
      <c r="AH5436" t="s">
        <v>8646</v>
      </c>
      <c r="AI5436" t="str">
        <f>"9170512"</f>
        <v>9170512</v>
      </c>
      <c r="AJ5436" t="s">
        <v>8986</v>
      </c>
      <c r="AK5436">
        <v>2810253082</v>
      </c>
      <c r="AL5436" t="s">
        <v>8987</v>
      </c>
      <c r="AM5436" t="s">
        <v>78</v>
      </c>
      <c r="AN5436" t="s">
        <v>78</v>
      </c>
      <c r="AO5436" t="s">
        <v>78</v>
      </c>
      <c r="AP5436" t="s">
        <v>141</v>
      </c>
      <c r="AQ5436">
        <v>1</v>
      </c>
      <c r="AR5436" t="s">
        <v>80</v>
      </c>
      <c r="AS5436" t="s">
        <v>81</v>
      </c>
      <c r="AT5436" t="s">
        <v>58</v>
      </c>
      <c r="AU5436" t="s">
        <v>68</v>
      </c>
      <c r="AV5436" t="s">
        <v>69</v>
      </c>
      <c r="AW5436" s="1">
        <v>24015</v>
      </c>
      <c r="AX5436">
        <v>1</v>
      </c>
    </row>
    <row r="5437" spans="1:50">
      <c r="B5437" t="str">
        <f>"131776871"</f>
        <v>131776871</v>
      </c>
      <c r="C5437" t="s">
        <v>50</v>
      </c>
      <c r="D5437" t="s">
        <v>9766</v>
      </c>
      <c r="E5437" t="s">
        <v>155</v>
      </c>
      <c r="F5437" t="s">
        <v>2002</v>
      </c>
      <c r="H5437" t="str">
        <f>" "</f>
        <v xml:space="preserve"> </v>
      </c>
      <c r="N5437" t="s">
        <v>384</v>
      </c>
      <c r="O5437" t="s">
        <v>385</v>
      </c>
      <c r="R5437" t="s">
        <v>121</v>
      </c>
      <c r="S5437">
        <v>1</v>
      </c>
      <c r="T5437" t="s">
        <v>8675</v>
      </c>
      <c r="U5437" s="1">
        <v>43348</v>
      </c>
      <c r="V5437" t="s">
        <v>80</v>
      </c>
      <c r="W5437" t="s">
        <v>81</v>
      </c>
      <c r="X5437" t="s">
        <v>58</v>
      </c>
      <c r="Y5437">
        <v>24</v>
      </c>
      <c r="Z5437" t="s">
        <v>59</v>
      </c>
      <c r="AA5437" t="s">
        <v>59</v>
      </c>
      <c r="AB5437" t="s">
        <v>59</v>
      </c>
      <c r="AC5437" t="s">
        <v>59</v>
      </c>
      <c r="AD5437" t="s">
        <v>59</v>
      </c>
      <c r="AF5437" s="1">
        <v>43348</v>
      </c>
      <c r="AG5437" t="s">
        <v>8645</v>
      </c>
      <c r="AH5437" t="s">
        <v>8646</v>
      </c>
      <c r="AI5437" t="str">
        <f>"9170494"</f>
        <v>9170494</v>
      </c>
      <c r="AJ5437" t="s">
        <v>9125</v>
      </c>
      <c r="AK5437">
        <v>2810228361</v>
      </c>
      <c r="AL5437" t="s">
        <v>9126</v>
      </c>
      <c r="AM5437" t="s">
        <v>78</v>
      </c>
      <c r="AN5437" t="s">
        <v>78</v>
      </c>
      <c r="AO5437" t="s">
        <v>78</v>
      </c>
      <c r="AP5437" t="s">
        <v>79</v>
      </c>
      <c r="AQ5437">
        <v>1</v>
      </c>
      <c r="AR5437" t="s">
        <v>80</v>
      </c>
      <c r="AS5437" t="s">
        <v>81</v>
      </c>
      <c r="AT5437" t="s">
        <v>58</v>
      </c>
      <c r="AU5437" t="s">
        <v>8673</v>
      </c>
      <c r="AV5437" t="s">
        <v>132</v>
      </c>
      <c r="AW5437" s="1">
        <v>31514</v>
      </c>
      <c r="AX5437">
        <v>1</v>
      </c>
    </row>
    <row r="5438" spans="1:50">
      <c r="B5438" t="str">
        <f>"119666415"</f>
        <v>119666415</v>
      </c>
      <c r="C5438" t="s">
        <v>50</v>
      </c>
      <c r="D5438" t="s">
        <v>9767</v>
      </c>
      <c r="E5438" t="s">
        <v>1484</v>
      </c>
      <c r="F5438" t="s">
        <v>383</v>
      </c>
      <c r="G5438" t="s">
        <v>964</v>
      </c>
      <c r="H5438" t="str">
        <f>"ΑΓΗΣΙΛΑΟΥ 8 "</f>
        <v xml:space="preserve">ΑΓΗΣΙΛΑΟΥ 8 </v>
      </c>
      <c r="I5438">
        <v>71307</v>
      </c>
      <c r="J5438">
        <v>2810228023</v>
      </c>
      <c r="K5438">
        <v>6978318237</v>
      </c>
      <c r="N5438" t="s">
        <v>1525</v>
      </c>
      <c r="O5438" t="s">
        <v>1526</v>
      </c>
      <c r="R5438" t="s">
        <v>159</v>
      </c>
      <c r="S5438">
        <v>3</v>
      </c>
      <c r="T5438" t="s">
        <v>8670</v>
      </c>
      <c r="U5438" s="1">
        <v>43348</v>
      </c>
      <c r="V5438" t="s">
        <v>80</v>
      </c>
      <c r="W5438" t="s">
        <v>81</v>
      </c>
      <c r="X5438" t="s">
        <v>58</v>
      </c>
      <c r="Y5438">
        <v>25</v>
      </c>
      <c r="Z5438" t="s">
        <v>59</v>
      </c>
      <c r="AA5438" t="s">
        <v>59</v>
      </c>
      <c r="AB5438" t="s">
        <v>59</v>
      </c>
      <c r="AC5438" t="s">
        <v>59</v>
      </c>
      <c r="AD5438" t="s">
        <v>59</v>
      </c>
      <c r="AF5438" s="1">
        <v>43348</v>
      </c>
      <c r="AG5438" t="s">
        <v>8651</v>
      </c>
      <c r="AH5438" t="s">
        <v>8652</v>
      </c>
      <c r="AI5438" t="str">
        <f>"9170505"</f>
        <v>9170505</v>
      </c>
      <c r="AJ5438" t="s">
        <v>9478</v>
      </c>
      <c r="AK5438">
        <v>2810243082</v>
      </c>
      <c r="AL5438" t="s">
        <v>9479</v>
      </c>
      <c r="AM5438" t="s">
        <v>78</v>
      </c>
      <c r="AN5438" t="s">
        <v>78</v>
      </c>
      <c r="AO5438" t="s">
        <v>78</v>
      </c>
      <c r="AP5438" t="s">
        <v>213</v>
      </c>
      <c r="AQ5438">
        <v>1</v>
      </c>
      <c r="AR5438" t="s">
        <v>80</v>
      </c>
      <c r="AS5438" t="s">
        <v>81</v>
      </c>
      <c r="AT5438" t="s">
        <v>58</v>
      </c>
      <c r="AU5438" t="s">
        <v>8673</v>
      </c>
      <c r="AV5438" t="s">
        <v>132</v>
      </c>
      <c r="AW5438" s="1">
        <v>25677</v>
      </c>
      <c r="AX5438">
        <v>1</v>
      </c>
    </row>
    <row r="5439" spans="1:50">
      <c r="B5439" t="str">
        <f>"141142810"</f>
        <v>141142810</v>
      </c>
      <c r="C5439" t="s">
        <v>50</v>
      </c>
      <c r="D5439" t="s">
        <v>9768</v>
      </c>
      <c r="E5439" t="s">
        <v>809</v>
      </c>
      <c r="F5439" t="s">
        <v>510</v>
      </c>
      <c r="G5439" t="s">
        <v>484</v>
      </c>
      <c r="H5439" t="str">
        <f>" "</f>
        <v xml:space="preserve"> </v>
      </c>
      <c r="N5439" t="s">
        <v>8834</v>
      </c>
      <c r="O5439" t="s">
        <v>8695</v>
      </c>
      <c r="R5439" t="s">
        <v>121</v>
      </c>
      <c r="S5439">
        <v>3</v>
      </c>
      <c r="T5439" t="s">
        <v>8835</v>
      </c>
      <c r="U5439" s="1">
        <v>43348</v>
      </c>
      <c r="V5439" t="s">
        <v>80</v>
      </c>
      <c r="W5439" t="s">
        <v>81</v>
      </c>
      <c r="X5439" t="s">
        <v>58</v>
      </c>
      <c r="Y5439">
        <v>24</v>
      </c>
      <c r="Z5439" t="s">
        <v>59</v>
      </c>
      <c r="AA5439" t="s">
        <v>59</v>
      </c>
      <c r="AB5439" t="s">
        <v>59</v>
      </c>
      <c r="AD5439" t="s">
        <v>59</v>
      </c>
      <c r="AF5439" s="1">
        <v>43348</v>
      </c>
      <c r="AG5439" t="s">
        <v>8645</v>
      </c>
      <c r="AH5439" t="s">
        <v>8646</v>
      </c>
      <c r="AI5439" t="str">
        <f>"9170534"</f>
        <v>9170534</v>
      </c>
      <c r="AJ5439" t="s">
        <v>8701</v>
      </c>
      <c r="AK5439">
        <v>2810323225</v>
      </c>
      <c r="AL5439" t="s">
        <v>8702</v>
      </c>
      <c r="AM5439" t="s">
        <v>78</v>
      </c>
      <c r="AN5439" t="s">
        <v>78</v>
      </c>
      <c r="AO5439" t="s">
        <v>78</v>
      </c>
      <c r="AP5439" t="s">
        <v>163</v>
      </c>
      <c r="AQ5439">
        <v>1</v>
      </c>
      <c r="AR5439" t="s">
        <v>80</v>
      </c>
      <c r="AS5439" t="s">
        <v>81</v>
      </c>
      <c r="AT5439" t="s">
        <v>58</v>
      </c>
      <c r="AU5439" t="s">
        <v>131</v>
      </c>
      <c r="AV5439" t="s">
        <v>132</v>
      </c>
      <c r="AW5439" s="1">
        <v>32177</v>
      </c>
      <c r="AX5439">
        <v>1</v>
      </c>
    </row>
    <row r="5440" spans="1:50">
      <c r="A5440">
        <v>205214</v>
      </c>
      <c r="B5440" t="str">
        <f>"049187983"</f>
        <v>049187983</v>
      </c>
      <c r="C5440" t="s">
        <v>105</v>
      </c>
      <c r="D5440" t="s">
        <v>4851</v>
      </c>
      <c r="E5440" t="s">
        <v>3049</v>
      </c>
      <c r="F5440" t="s">
        <v>84</v>
      </c>
      <c r="G5440" t="s">
        <v>263</v>
      </c>
      <c r="H5440" t="str">
        <f>"ΣΤΑΥΡΙΝΙΔΗ 22 ΗΡΑΚΛΕΙΟ"</f>
        <v>ΣΤΑΥΡΙΝΙΔΗ 22 ΗΡΑΚΛΕΙΟ</v>
      </c>
      <c r="I5440">
        <v>71409</v>
      </c>
      <c r="K5440">
        <v>6944456735</v>
      </c>
      <c r="M5440" t="s">
        <v>9769</v>
      </c>
      <c r="N5440" t="s">
        <v>204</v>
      </c>
      <c r="O5440" t="s">
        <v>205</v>
      </c>
      <c r="R5440" t="s">
        <v>57</v>
      </c>
      <c r="S5440">
        <v>9</v>
      </c>
      <c r="T5440">
        <v>231</v>
      </c>
      <c r="U5440" s="1">
        <v>38230</v>
      </c>
      <c r="V5440" t="s">
        <v>80</v>
      </c>
      <c r="W5440" t="s">
        <v>81</v>
      </c>
      <c r="X5440" t="s">
        <v>58</v>
      </c>
      <c r="Y5440">
        <v>22</v>
      </c>
      <c r="Z5440" t="s">
        <v>59</v>
      </c>
      <c r="AA5440" t="s">
        <v>59</v>
      </c>
      <c r="AB5440" t="s">
        <v>59</v>
      </c>
      <c r="AC5440" t="s">
        <v>59</v>
      </c>
      <c r="AD5440" t="s">
        <v>59</v>
      </c>
      <c r="AF5440" s="1">
        <v>38232</v>
      </c>
      <c r="AG5440" t="s">
        <v>8645</v>
      </c>
      <c r="AH5440" t="s">
        <v>8646</v>
      </c>
      <c r="AI5440" t="str">
        <f>"9170425"</f>
        <v>9170425</v>
      </c>
      <c r="AJ5440" t="s">
        <v>9350</v>
      </c>
      <c r="AK5440">
        <v>2810250261</v>
      </c>
      <c r="AL5440" t="s">
        <v>9351</v>
      </c>
      <c r="AM5440" t="s">
        <v>78</v>
      </c>
      <c r="AN5440" t="s">
        <v>78</v>
      </c>
      <c r="AO5440" t="s">
        <v>78</v>
      </c>
      <c r="AP5440" t="s">
        <v>141</v>
      </c>
      <c r="AQ5440">
        <v>1</v>
      </c>
      <c r="AR5440" t="s">
        <v>80</v>
      </c>
      <c r="AS5440" t="s">
        <v>81</v>
      </c>
      <c r="AT5440" t="s">
        <v>58</v>
      </c>
      <c r="AU5440" t="s">
        <v>68</v>
      </c>
      <c r="AV5440" t="s">
        <v>69</v>
      </c>
      <c r="AW5440" s="1">
        <v>27848</v>
      </c>
      <c r="AX5440">
        <v>1</v>
      </c>
    </row>
    <row r="5441" spans="1:50">
      <c r="A5441">
        <v>613990</v>
      </c>
      <c r="B5441" t="str">
        <f>"115805348"</f>
        <v>115805348</v>
      </c>
      <c r="C5441" t="s">
        <v>105</v>
      </c>
      <c r="D5441" t="s">
        <v>9770</v>
      </c>
      <c r="E5441" t="s">
        <v>72</v>
      </c>
      <c r="F5441" t="s">
        <v>53</v>
      </c>
      <c r="G5441" t="s">
        <v>755</v>
      </c>
      <c r="H5441" t="str">
        <f>"ΔΗΜΟΚΡΑΤΙΑΣ 28 ΠΤΟΛΕΜΑΪΔΑ"</f>
        <v>ΔΗΜΟΚΡΑΤΙΑΣ 28 ΠΤΟΛΕΜΑΪΔΑ</v>
      </c>
      <c r="I5441">
        <v>50200</v>
      </c>
      <c r="J5441">
        <v>2463026185</v>
      </c>
      <c r="K5441">
        <v>6947807683</v>
      </c>
      <c r="L5441">
        <v>2811107637</v>
      </c>
      <c r="M5441" t="s">
        <v>9771</v>
      </c>
      <c r="N5441" t="s">
        <v>615</v>
      </c>
      <c r="O5441" t="s">
        <v>616</v>
      </c>
      <c r="P5441" t="s">
        <v>2871</v>
      </c>
      <c r="Q5441" t="s">
        <v>2872</v>
      </c>
      <c r="R5441" t="s">
        <v>57</v>
      </c>
      <c r="S5441">
        <v>7</v>
      </c>
      <c r="T5441">
        <v>598</v>
      </c>
      <c r="U5441" s="1">
        <v>39310</v>
      </c>
      <c r="V5441" t="s">
        <v>80</v>
      </c>
      <c r="W5441" t="s">
        <v>81</v>
      </c>
      <c r="X5441" t="s">
        <v>58</v>
      </c>
      <c r="Y5441">
        <v>23</v>
      </c>
      <c r="Z5441" t="s">
        <v>59</v>
      </c>
      <c r="AA5441" t="s">
        <v>59</v>
      </c>
      <c r="AB5441" t="s">
        <v>59</v>
      </c>
      <c r="AC5441" t="s">
        <v>59</v>
      </c>
      <c r="AD5441" t="s">
        <v>59</v>
      </c>
      <c r="AF5441" s="1">
        <v>39328</v>
      </c>
      <c r="AG5441" t="s">
        <v>8645</v>
      </c>
      <c r="AH5441" t="s">
        <v>8646</v>
      </c>
      <c r="AI5441" t="str">
        <f>"9170560"</f>
        <v>9170560</v>
      </c>
      <c r="AJ5441" t="s">
        <v>9022</v>
      </c>
      <c r="AK5441">
        <v>2810821816</v>
      </c>
      <c r="AL5441" t="s">
        <v>9023</v>
      </c>
      <c r="AM5441" t="s">
        <v>78</v>
      </c>
      <c r="AN5441" t="s">
        <v>129</v>
      </c>
      <c r="AO5441" t="s">
        <v>130</v>
      </c>
      <c r="AP5441" t="s">
        <v>130</v>
      </c>
      <c r="AQ5441">
        <v>1</v>
      </c>
      <c r="AR5441" t="s">
        <v>80</v>
      </c>
      <c r="AS5441" t="s">
        <v>81</v>
      </c>
      <c r="AT5441" t="s">
        <v>58</v>
      </c>
      <c r="AU5441" t="s">
        <v>68</v>
      </c>
      <c r="AV5441" t="s">
        <v>69</v>
      </c>
      <c r="AW5441" s="1">
        <v>29792</v>
      </c>
      <c r="AX5441">
        <v>1</v>
      </c>
    </row>
    <row r="5442" spans="1:50">
      <c r="A5442">
        <v>565317</v>
      </c>
      <c r="B5442" t="str">
        <f>"035855604"</f>
        <v>035855604</v>
      </c>
      <c r="C5442" t="s">
        <v>105</v>
      </c>
      <c r="D5442" t="s">
        <v>9772</v>
      </c>
      <c r="E5442" t="s">
        <v>92</v>
      </c>
      <c r="F5442" t="s">
        <v>154</v>
      </c>
      <c r="G5442" t="s">
        <v>610</v>
      </c>
      <c r="H5442" t="str">
        <f>" "</f>
        <v xml:space="preserve"> </v>
      </c>
      <c r="K5442">
        <v>6978389948</v>
      </c>
      <c r="N5442" t="s">
        <v>615</v>
      </c>
      <c r="O5442" t="s">
        <v>616</v>
      </c>
      <c r="R5442" t="s">
        <v>57</v>
      </c>
      <c r="S5442">
        <v>14</v>
      </c>
      <c r="T5442">
        <v>161</v>
      </c>
      <c r="U5442" s="1">
        <v>33119</v>
      </c>
      <c r="V5442" t="s">
        <v>80</v>
      </c>
      <c r="W5442" t="s">
        <v>81</v>
      </c>
      <c r="X5442" t="s">
        <v>58</v>
      </c>
      <c r="Y5442">
        <v>21</v>
      </c>
      <c r="Z5442" t="s">
        <v>59</v>
      </c>
      <c r="AA5442" t="s">
        <v>59</v>
      </c>
      <c r="AB5442" t="s">
        <v>59</v>
      </c>
      <c r="AC5442" t="s">
        <v>59</v>
      </c>
      <c r="AD5442" t="s">
        <v>59</v>
      </c>
      <c r="AF5442" s="1">
        <v>33121</v>
      </c>
      <c r="AG5442" t="s">
        <v>8645</v>
      </c>
      <c r="AH5442" t="s">
        <v>8646</v>
      </c>
      <c r="AI5442" t="str">
        <f>"9170205"</f>
        <v>9170205</v>
      </c>
      <c r="AJ5442" t="s">
        <v>8794</v>
      </c>
      <c r="AK5442">
        <v>2810762030</v>
      </c>
      <c r="AL5442" t="s">
        <v>8795</v>
      </c>
      <c r="AM5442" t="s">
        <v>78</v>
      </c>
      <c r="AN5442" t="s">
        <v>219</v>
      </c>
      <c r="AO5442" t="s">
        <v>297</v>
      </c>
      <c r="AP5442" t="s">
        <v>8796</v>
      </c>
      <c r="AQ5442">
        <v>7</v>
      </c>
      <c r="AR5442" t="s">
        <v>80</v>
      </c>
      <c r="AS5442" t="s">
        <v>81</v>
      </c>
      <c r="AT5442" t="s">
        <v>58</v>
      </c>
      <c r="AU5442" t="s">
        <v>68</v>
      </c>
      <c r="AV5442" t="s">
        <v>69</v>
      </c>
      <c r="AW5442" s="1">
        <v>24347</v>
      </c>
      <c r="AX5442">
        <v>1</v>
      </c>
    </row>
    <row r="5443" spans="1:50">
      <c r="A5443">
        <v>586679</v>
      </c>
      <c r="B5443" t="str">
        <f>"055505681"</f>
        <v>055505681</v>
      </c>
      <c r="C5443" t="s">
        <v>50</v>
      </c>
      <c r="D5443" t="s">
        <v>9773</v>
      </c>
      <c r="E5443" t="s">
        <v>52</v>
      </c>
      <c r="F5443" t="s">
        <v>5386</v>
      </c>
      <c r="G5443" t="s">
        <v>250</v>
      </c>
      <c r="H5443" t="str">
        <f>"ΑΡΧΑΝΕΣ "</f>
        <v xml:space="preserve">ΑΡΧΑΝΕΣ </v>
      </c>
      <c r="I5443">
        <v>70100</v>
      </c>
      <c r="J5443">
        <v>2810752890</v>
      </c>
      <c r="K5443">
        <v>6972982253</v>
      </c>
      <c r="M5443" t="s">
        <v>9774</v>
      </c>
      <c r="N5443" t="s">
        <v>615</v>
      </c>
      <c r="O5443" t="s">
        <v>616</v>
      </c>
      <c r="R5443" t="s">
        <v>57</v>
      </c>
      <c r="S5443">
        <v>10</v>
      </c>
      <c r="T5443">
        <v>165</v>
      </c>
      <c r="U5443" s="1">
        <v>36040</v>
      </c>
      <c r="V5443" t="s">
        <v>80</v>
      </c>
      <c r="W5443" t="s">
        <v>81</v>
      </c>
      <c r="X5443" t="s">
        <v>58</v>
      </c>
      <c r="Y5443">
        <v>21</v>
      </c>
      <c r="Z5443" t="s">
        <v>59</v>
      </c>
      <c r="AA5443" t="s">
        <v>59</v>
      </c>
      <c r="AB5443" t="s">
        <v>59</v>
      </c>
      <c r="AC5443" t="s">
        <v>59</v>
      </c>
      <c r="AD5443" t="s">
        <v>59</v>
      </c>
      <c r="AF5443" s="1">
        <v>36045</v>
      </c>
      <c r="AG5443" t="s">
        <v>8645</v>
      </c>
      <c r="AH5443" t="s">
        <v>8646</v>
      </c>
      <c r="AI5443" t="str">
        <f>"9170200"</f>
        <v>9170200</v>
      </c>
      <c r="AJ5443" t="s">
        <v>9589</v>
      </c>
      <c r="AK5443">
        <v>2810741264</v>
      </c>
      <c r="AL5443" t="s">
        <v>9590</v>
      </c>
      <c r="AM5443" t="s">
        <v>78</v>
      </c>
      <c r="AN5443" t="s">
        <v>424</v>
      </c>
      <c r="AO5443" t="s">
        <v>428</v>
      </c>
      <c r="AP5443" t="s">
        <v>9591</v>
      </c>
      <c r="AQ5443">
        <v>11</v>
      </c>
      <c r="AR5443" t="s">
        <v>80</v>
      </c>
      <c r="AS5443" t="s">
        <v>81</v>
      </c>
      <c r="AT5443" t="s">
        <v>58</v>
      </c>
      <c r="AU5443" t="s">
        <v>68</v>
      </c>
      <c r="AV5443" t="s">
        <v>69</v>
      </c>
      <c r="AW5443" s="1">
        <v>25318</v>
      </c>
      <c r="AX5443">
        <v>1</v>
      </c>
    </row>
    <row r="5444" spans="1:50">
      <c r="A5444">
        <v>612058</v>
      </c>
      <c r="B5444" t="str">
        <f>"070995169"</f>
        <v>070995169</v>
      </c>
      <c r="C5444" t="s">
        <v>50</v>
      </c>
      <c r="D5444" t="s">
        <v>9773</v>
      </c>
      <c r="E5444" t="s">
        <v>52</v>
      </c>
      <c r="F5444" t="s">
        <v>7961</v>
      </c>
      <c r="G5444" t="s">
        <v>2208</v>
      </c>
      <c r="H5444" t="str">
        <f>"ΕΘΝΙΚΗΣ ΑΝΤΙΣΤΑΣΗΣ 143-ΒΑΣΙΛΕΙΕΣ ΗΡΑΚΛΕΙΟ"</f>
        <v>ΕΘΝΙΚΗΣ ΑΝΤΙΣΤΑΣΗΣ 143-ΒΑΣΙΛΕΙΕΣ ΗΡΑΚΛΕΙΟ</v>
      </c>
      <c r="I5444">
        <v>71500</v>
      </c>
      <c r="J5444">
        <v>2810323079</v>
      </c>
      <c r="K5444">
        <v>6944628645</v>
      </c>
      <c r="N5444" t="s">
        <v>306</v>
      </c>
      <c r="O5444" t="s">
        <v>307</v>
      </c>
      <c r="R5444" t="s">
        <v>57</v>
      </c>
      <c r="S5444">
        <v>7</v>
      </c>
      <c r="T5444">
        <v>234</v>
      </c>
      <c r="U5444" s="1">
        <v>38960</v>
      </c>
      <c r="V5444" t="s">
        <v>80</v>
      </c>
      <c r="W5444" t="s">
        <v>81</v>
      </c>
      <c r="X5444" t="s">
        <v>58</v>
      </c>
      <c r="Y5444">
        <v>23</v>
      </c>
      <c r="Z5444" t="s">
        <v>59</v>
      </c>
      <c r="AA5444" t="s">
        <v>59</v>
      </c>
      <c r="AB5444" t="s">
        <v>59</v>
      </c>
      <c r="AC5444" t="s">
        <v>59</v>
      </c>
      <c r="AD5444" t="s">
        <v>59</v>
      </c>
      <c r="AF5444" s="1">
        <v>38961</v>
      </c>
      <c r="AG5444" t="s">
        <v>8645</v>
      </c>
      <c r="AH5444" t="s">
        <v>8646</v>
      </c>
      <c r="AI5444" t="str">
        <f>"9170091"</f>
        <v>9170091</v>
      </c>
      <c r="AJ5444" t="s">
        <v>8764</v>
      </c>
      <c r="AK5444">
        <v>2810741381</v>
      </c>
      <c r="AL5444" t="s">
        <v>8765</v>
      </c>
      <c r="AM5444" t="s">
        <v>78</v>
      </c>
      <c r="AN5444" t="s">
        <v>424</v>
      </c>
      <c r="AO5444" t="s">
        <v>428</v>
      </c>
      <c r="AP5444" t="s">
        <v>8766</v>
      </c>
      <c r="AQ5444">
        <v>11</v>
      </c>
      <c r="AR5444" t="s">
        <v>80</v>
      </c>
      <c r="AS5444" t="s">
        <v>81</v>
      </c>
      <c r="AT5444" t="s">
        <v>58</v>
      </c>
      <c r="AU5444" t="s">
        <v>68</v>
      </c>
      <c r="AV5444" t="s">
        <v>69</v>
      </c>
      <c r="AW5444" s="1">
        <v>27877</v>
      </c>
      <c r="AX5444">
        <v>1</v>
      </c>
    </row>
    <row r="5445" spans="1:50">
      <c r="A5445">
        <v>581651</v>
      </c>
      <c r="B5445" t="str">
        <f>"034958240"</f>
        <v>034958240</v>
      </c>
      <c r="C5445" t="s">
        <v>50</v>
      </c>
      <c r="D5445" t="s">
        <v>9775</v>
      </c>
      <c r="E5445" t="s">
        <v>83</v>
      </c>
      <c r="F5445" t="s">
        <v>383</v>
      </c>
      <c r="G5445" t="s">
        <v>446</v>
      </c>
      <c r="H5445" t="str">
        <f>"ΠΑΤΕΛΑΡΟΥ 3 ΗΡΑΚΛΕΙΟ"</f>
        <v>ΠΑΤΕΛΑΡΟΥ 3 ΗΡΑΚΛΕΙΟ</v>
      </c>
      <c r="I5445">
        <v>71305</v>
      </c>
      <c r="J5445">
        <v>2810214162</v>
      </c>
      <c r="N5445" t="s">
        <v>615</v>
      </c>
      <c r="O5445" t="s">
        <v>616</v>
      </c>
      <c r="R5445" t="s">
        <v>57</v>
      </c>
      <c r="S5445">
        <v>10</v>
      </c>
      <c r="T5445">
        <v>179</v>
      </c>
      <c r="U5445" s="1">
        <v>35674</v>
      </c>
      <c r="V5445" t="s">
        <v>80</v>
      </c>
      <c r="W5445" t="s">
        <v>81</v>
      </c>
      <c r="X5445" t="s">
        <v>58</v>
      </c>
      <c r="Y5445">
        <v>21</v>
      </c>
      <c r="Z5445" t="s">
        <v>59</v>
      </c>
      <c r="AA5445" t="s">
        <v>59</v>
      </c>
      <c r="AB5445" t="s">
        <v>59</v>
      </c>
      <c r="AC5445" t="s">
        <v>59</v>
      </c>
      <c r="AD5445" t="s">
        <v>59</v>
      </c>
      <c r="AF5445" s="1">
        <v>35675</v>
      </c>
      <c r="AG5445" t="s">
        <v>8645</v>
      </c>
      <c r="AH5445" t="s">
        <v>8646</v>
      </c>
      <c r="AI5445" t="str">
        <f>"9170114"</f>
        <v>9170114</v>
      </c>
      <c r="AJ5445" t="s">
        <v>9613</v>
      </c>
      <c r="AK5445">
        <v>2810241054</v>
      </c>
      <c r="AL5445" t="s">
        <v>9614</v>
      </c>
      <c r="AM5445" t="s">
        <v>78</v>
      </c>
      <c r="AN5445" t="s">
        <v>78</v>
      </c>
      <c r="AO5445" t="s">
        <v>78</v>
      </c>
      <c r="AP5445" t="s">
        <v>79</v>
      </c>
      <c r="AQ5445">
        <v>1</v>
      </c>
      <c r="AR5445" t="s">
        <v>80</v>
      </c>
      <c r="AS5445" t="s">
        <v>81</v>
      </c>
      <c r="AT5445" t="s">
        <v>58</v>
      </c>
      <c r="AU5445" t="s">
        <v>68</v>
      </c>
      <c r="AV5445" t="s">
        <v>69</v>
      </c>
      <c r="AW5445" s="1">
        <v>23489</v>
      </c>
      <c r="AX5445">
        <v>1</v>
      </c>
    </row>
    <row r="5446" spans="1:50">
      <c r="A5446">
        <v>565981</v>
      </c>
      <c r="B5446" t="str">
        <f>"103265404"</f>
        <v>103265404</v>
      </c>
      <c r="C5446" t="s">
        <v>50</v>
      </c>
      <c r="D5446" t="s">
        <v>1568</v>
      </c>
      <c r="E5446" t="s">
        <v>755</v>
      </c>
      <c r="F5446" t="s">
        <v>84</v>
      </c>
      <c r="G5446" t="s">
        <v>96</v>
      </c>
      <c r="H5446" t="str">
        <f>"Ανθεμίου  21 Πόρος  Ηρακλείου"</f>
        <v>Ανθεμίου  21 Πόρος  Ηρακλείου</v>
      </c>
      <c r="I5446">
        <v>71306</v>
      </c>
      <c r="J5446">
        <v>2810281233</v>
      </c>
      <c r="K5446">
        <v>6936595150</v>
      </c>
      <c r="N5446" t="s">
        <v>615</v>
      </c>
      <c r="O5446" t="s">
        <v>616</v>
      </c>
      <c r="R5446" t="s">
        <v>57</v>
      </c>
      <c r="S5446">
        <v>14</v>
      </c>
      <c r="T5446">
        <v>161</v>
      </c>
      <c r="U5446" s="1">
        <v>33119</v>
      </c>
      <c r="V5446" t="s">
        <v>80</v>
      </c>
      <c r="W5446" t="s">
        <v>81</v>
      </c>
      <c r="X5446" t="s">
        <v>58</v>
      </c>
      <c r="Y5446">
        <v>21</v>
      </c>
      <c r="Z5446" t="s">
        <v>59</v>
      </c>
      <c r="AA5446" t="s">
        <v>59</v>
      </c>
      <c r="AB5446" t="s">
        <v>59</v>
      </c>
      <c r="AC5446" t="s">
        <v>59</v>
      </c>
      <c r="AD5446" t="s">
        <v>59</v>
      </c>
      <c r="AF5446" s="1">
        <v>33120</v>
      </c>
      <c r="AG5446" t="s">
        <v>8645</v>
      </c>
      <c r="AH5446" t="s">
        <v>8646</v>
      </c>
      <c r="AI5446" t="str">
        <f>"9170427"</f>
        <v>9170427</v>
      </c>
      <c r="AJ5446" t="s">
        <v>8817</v>
      </c>
      <c r="AK5446">
        <v>2810220998</v>
      </c>
      <c r="AL5446" t="s">
        <v>8818</v>
      </c>
      <c r="AM5446" t="s">
        <v>78</v>
      </c>
      <c r="AN5446" t="s">
        <v>78</v>
      </c>
      <c r="AO5446" t="s">
        <v>286</v>
      </c>
      <c r="AP5446" t="s">
        <v>286</v>
      </c>
      <c r="AQ5446">
        <v>1</v>
      </c>
      <c r="AR5446" t="s">
        <v>80</v>
      </c>
      <c r="AS5446" t="s">
        <v>81</v>
      </c>
      <c r="AT5446" t="s">
        <v>58</v>
      </c>
      <c r="AU5446" t="s">
        <v>68</v>
      </c>
      <c r="AV5446" t="s">
        <v>69</v>
      </c>
      <c r="AW5446" s="1">
        <v>21197</v>
      </c>
      <c r="AX5446">
        <v>1</v>
      </c>
    </row>
    <row r="5447" spans="1:50">
      <c r="B5447" t="str">
        <f>"065863824"</f>
        <v>065863824</v>
      </c>
      <c r="C5447" t="s">
        <v>50</v>
      </c>
      <c r="D5447" t="s">
        <v>1568</v>
      </c>
      <c r="E5447" t="s">
        <v>52</v>
      </c>
      <c r="F5447" t="s">
        <v>166</v>
      </c>
      <c r="G5447" t="s">
        <v>580</v>
      </c>
      <c r="H5447" t="str">
        <f>"ΑΡΙΣΤΕΙΔΟΥ ΗΡΑΚΛΕΙΟ"</f>
        <v>ΑΡΙΣΤΕΙΔΟΥ ΗΡΑΚΛΕΙΟ</v>
      </c>
      <c r="I5447">
        <v>71306</v>
      </c>
      <c r="J5447">
        <v>2810228974</v>
      </c>
      <c r="K5447">
        <v>6937273997</v>
      </c>
      <c r="N5447" t="s">
        <v>384</v>
      </c>
      <c r="O5447" t="s">
        <v>385</v>
      </c>
      <c r="R5447" t="s">
        <v>121</v>
      </c>
      <c r="S5447">
        <v>7</v>
      </c>
      <c r="T5447" t="s">
        <v>8675</v>
      </c>
      <c r="U5447" s="1">
        <v>43348</v>
      </c>
      <c r="V5447" t="s">
        <v>80</v>
      </c>
      <c r="W5447" t="s">
        <v>81</v>
      </c>
      <c r="X5447" t="s">
        <v>58</v>
      </c>
      <c r="Y5447">
        <v>24</v>
      </c>
      <c r="Z5447" t="s">
        <v>59</v>
      </c>
      <c r="AA5447" t="s">
        <v>59</v>
      </c>
      <c r="AB5447" t="s">
        <v>59</v>
      </c>
      <c r="AC5447" t="s">
        <v>59</v>
      </c>
      <c r="AD5447" t="s">
        <v>59</v>
      </c>
      <c r="AF5447" s="1">
        <v>43348</v>
      </c>
      <c r="AG5447" t="s">
        <v>8645</v>
      </c>
      <c r="AH5447" t="s">
        <v>8646</v>
      </c>
      <c r="AI5447" t="str">
        <f>"9170259"</f>
        <v>9170259</v>
      </c>
      <c r="AJ5447" t="s">
        <v>8784</v>
      </c>
      <c r="AK5447">
        <v>6994891960</v>
      </c>
      <c r="AL5447" t="s">
        <v>8785</v>
      </c>
      <c r="AM5447" t="s">
        <v>78</v>
      </c>
      <c r="AN5447" t="s">
        <v>78</v>
      </c>
      <c r="AO5447" t="s">
        <v>78</v>
      </c>
      <c r="AP5447" t="s">
        <v>213</v>
      </c>
      <c r="AQ5447">
        <v>1</v>
      </c>
      <c r="AR5447" t="s">
        <v>80</v>
      </c>
      <c r="AS5447" t="s">
        <v>81</v>
      </c>
      <c r="AT5447" t="s">
        <v>58</v>
      </c>
      <c r="AU5447" t="s">
        <v>8673</v>
      </c>
      <c r="AV5447" t="s">
        <v>132</v>
      </c>
      <c r="AW5447" s="1">
        <v>28666</v>
      </c>
      <c r="AX5447">
        <v>1</v>
      </c>
    </row>
    <row r="5448" spans="1:50">
      <c r="A5448">
        <v>614558</v>
      </c>
      <c r="B5448" t="str">
        <f>"137466241"</f>
        <v>137466241</v>
      </c>
      <c r="C5448" t="s">
        <v>50</v>
      </c>
      <c r="D5448" t="s">
        <v>9776</v>
      </c>
      <c r="E5448" t="s">
        <v>255</v>
      </c>
      <c r="F5448" t="s">
        <v>106</v>
      </c>
      <c r="G5448" t="s">
        <v>1355</v>
      </c>
      <c r="H5448" t="str">
        <f>"ΖΥΜΒΡΑΚΑΚΗ 2 ΡΕΘΥΜΝΟ"</f>
        <v>ΖΥΜΒΡΑΚΑΚΗ 2 ΡΕΘΥΜΝΟ</v>
      </c>
      <c r="I5448">
        <v>74100</v>
      </c>
      <c r="J5448">
        <v>2831024255</v>
      </c>
      <c r="K5448">
        <v>6941553030</v>
      </c>
      <c r="L5448">
        <v>2831024255</v>
      </c>
      <c r="M5448" t="s">
        <v>9777</v>
      </c>
      <c r="N5448" t="s">
        <v>615</v>
      </c>
      <c r="O5448" t="s">
        <v>616</v>
      </c>
      <c r="R5448" t="s">
        <v>57</v>
      </c>
      <c r="S5448">
        <v>7</v>
      </c>
      <c r="T5448">
        <v>598</v>
      </c>
      <c r="U5448" s="1">
        <v>39310</v>
      </c>
      <c r="V5448" t="s">
        <v>80</v>
      </c>
      <c r="W5448" t="s">
        <v>81</v>
      </c>
      <c r="X5448" t="s">
        <v>58</v>
      </c>
      <c r="Y5448">
        <v>23</v>
      </c>
      <c r="Z5448" t="s">
        <v>59</v>
      </c>
      <c r="AA5448" t="s">
        <v>59</v>
      </c>
      <c r="AB5448" t="s">
        <v>59</v>
      </c>
      <c r="AC5448" t="s">
        <v>59</v>
      </c>
      <c r="AD5448" t="s">
        <v>59</v>
      </c>
      <c r="AF5448" s="1">
        <v>39328</v>
      </c>
      <c r="AG5448" t="s">
        <v>8645</v>
      </c>
      <c r="AH5448" t="s">
        <v>8646</v>
      </c>
      <c r="AI5448" t="str">
        <f>"9170191"</f>
        <v>9170191</v>
      </c>
      <c r="AJ5448" t="s">
        <v>8667</v>
      </c>
      <c r="AK5448">
        <v>2810231459</v>
      </c>
      <c r="AL5448" t="s">
        <v>8668</v>
      </c>
      <c r="AM5448" t="s">
        <v>78</v>
      </c>
      <c r="AN5448" t="s">
        <v>78</v>
      </c>
      <c r="AO5448" t="s">
        <v>78</v>
      </c>
      <c r="AP5448" t="s">
        <v>163</v>
      </c>
      <c r="AQ5448">
        <v>1</v>
      </c>
      <c r="AR5448" t="s">
        <v>80</v>
      </c>
      <c r="AS5448" t="s">
        <v>81</v>
      </c>
      <c r="AT5448" t="s">
        <v>58</v>
      </c>
      <c r="AU5448" t="s">
        <v>68</v>
      </c>
      <c r="AV5448" t="s">
        <v>69</v>
      </c>
      <c r="AW5448" s="1">
        <v>31043</v>
      </c>
      <c r="AX5448">
        <v>1</v>
      </c>
    </row>
    <row r="5449" spans="1:50">
      <c r="A5449">
        <v>564228</v>
      </c>
      <c r="B5449" t="str">
        <f>"033379490"</f>
        <v>033379490</v>
      </c>
      <c r="C5449" t="s">
        <v>50</v>
      </c>
      <c r="D5449" t="s">
        <v>1575</v>
      </c>
      <c r="E5449" t="s">
        <v>52</v>
      </c>
      <c r="F5449" t="s">
        <v>72</v>
      </c>
      <c r="G5449" t="s">
        <v>83</v>
      </c>
      <c r="H5449" t="str">
        <f>"ΘΕΟΔΟΣΙΟΥ ΔΙΑΚΟΝΟΥ 10 ΗΡΑΚΛΕΙΟ"</f>
        <v>ΘΕΟΔΟΣΙΟΥ ΔΙΑΚΟΝΟΥ 10 ΗΡΑΚΛΕΙΟ</v>
      </c>
      <c r="I5449">
        <v>71305</v>
      </c>
      <c r="J5449">
        <v>2810259230</v>
      </c>
      <c r="K5449">
        <v>6977714973</v>
      </c>
      <c r="N5449" t="s">
        <v>615</v>
      </c>
      <c r="O5449" t="s">
        <v>616</v>
      </c>
      <c r="R5449" t="s">
        <v>57</v>
      </c>
      <c r="S5449">
        <v>19</v>
      </c>
      <c r="T5449">
        <v>161</v>
      </c>
      <c r="U5449" s="1">
        <v>33119</v>
      </c>
      <c r="V5449" t="s">
        <v>80</v>
      </c>
      <c r="W5449" t="s">
        <v>81</v>
      </c>
      <c r="X5449" t="s">
        <v>58</v>
      </c>
      <c r="Y5449">
        <v>21</v>
      </c>
      <c r="Z5449" t="s">
        <v>59</v>
      </c>
      <c r="AA5449" t="s">
        <v>59</v>
      </c>
      <c r="AB5449" t="s">
        <v>59</v>
      </c>
      <c r="AC5449" t="s">
        <v>59</v>
      </c>
      <c r="AD5449" t="s">
        <v>59</v>
      </c>
      <c r="AF5449" s="1">
        <v>33121</v>
      </c>
      <c r="AG5449" t="s">
        <v>8645</v>
      </c>
      <c r="AH5449" t="s">
        <v>8646</v>
      </c>
      <c r="AI5449" t="str">
        <f>"9170546"</f>
        <v>9170546</v>
      </c>
      <c r="AJ5449" t="s">
        <v>8953</v>
      </c>
      <c r="AK5449">
        <v>2810261362</v>
      </c>
      <c r="AL5449" t="s">
        <v>8954</v>
      </c>
      <c r="AM5449" t="s">
        <v>78</v>
      </c>
      <c r="AN5449" t="s">
        <v>78</v>
      </c>
      <c r="AO5449" t="s">
        <v>78</v>
      </c>
      <c r="AP5449" t="s">
        <v>141</v>
      </c>
      <c r="AQ5449">
        <v>1</v>
      </c>
      <c r="AR5449" t="s">
        <v>80</v>
      </c>
      <c r="AS5449" t="s">
        <v>81</v>
      </c>
      <c r="AT5449" t="s">
        <v>58</v>
      </c>
      <c r="AU5449" t="s">
        <v>68</v>
      </c>
      <c r="AV5449" t="s">
        <v>69</v>
      </c>
      <c r="AW5449" s="1">
        <v>24040</v>
      </c>
      <c r="AX5449">
        <v>1</v>
      </c>
    </row>
    <row r="5450" spans="1:50">
      <c r="A5450">
        <v>611750</v>
      </c>
      <c r="B5450" t="str">
        <f>"125944762"</f>
        <v>125944762</v>
      </c>
      <c r="C5450" t="s">
        <v>50</v>
      </c>
      <c r="D5450" t="s">
        <v>9778</v>
      </c>
      <c r="E5450" t="s">
        <v>326</v>
      </c>
      <c r="F5450" t="s">
        <v>95</v>
      </c>
      <c r="G5450" t="s">
        <v>3150</v>
      </c>
      <c r="H5450" t="str">
        <f>"ΑΝΔΡΕΑ ΠΑΠΑΝΔΡΕΟΥ 37 ΜΟΙΡΕΣ"</f>
        <v>ΑΝΔΡΕΑ ΠΑΠΑΝΔΡΕΟΥ 37 ΜΟΙΡΕΣ</v>
      </c>
      <c r="I5450">
        <v>70400</v>
      </c>
      <c r="J5450">
        <v>2892022503</v>
      </c>
      <c r="K5450">
        <v>6973164929</v>
      </c>
      <c r="N5450" t="s">
        <v>1525</v>
      </c>
      <c r="O5450" t="s">
        <v>1526</v>
      </c>
      <c r="R5450" t="s">
        <v>57</v>
      </c>
      <c r="S5450">
        <v>6</v>
      </c>
      <c r="T5450">
        <v>233</v>
      </c>
      <c r="U5450" s="1">
        <v>38960</v>
      </c>
      <c r="V5450" t="s">
        <v>80</v>
      </c>
      <c r="W5450" t="s">
        <v>81</v>
      </c>
      <c r="X5450" t="s">
        <v>58</v>
      </c>
      <c r="Y5450">
        <v>25</v>
      </c>
      <c r="Z5450" t="s">
        <v>59</v>
      </c>
      <c r="AA5450" t="s">
        <v>59</v>
      </c>
      <c r="AB5450" t="s">
        <v>59</v>
      </c>
      <c r="AC5450" t="s">
        <v>59</v>
      </c>
      <c r="AD5450" t="s">
        <v>59</v>
      </c>
      <c r="AF5450" s="1">
        <v>38961</v>
      </c>
      <c r="AG5450" t="s">
        <v>8651</v>
      </c>
      <c r="AH5450" t="s">
        <v>8652</v>
      </c>
      <c r="AI5450" t="str">
        <f>"9170552"</f>
        <v>9170552</v>
      </c>
      <c r="AJ5450" t="s">
        <v>9183</v>
      </c>
      <c r="AK5450">
        <v>2892025131</v>
      </c>
      <c r="AL5450" t="s">
        <v>9184</v>
      </c>
      <c r="AM5450" t="s">
        <v>78</v>
      </c>
      <c r="AN5450" t="s">
        <v>242</v>
      </c>
      <c r="AO5450" t="s">
        <v>243</v>
      </c>
      <c r="AP5450" t="s">
        <v>243</v>
      </c>
      <c r="AQ5450">
        <v>20</v>
      </c>
      <c r="AR5450" t="s">
        <v>80</v>
      </c>
      <c r="AS5450" t="s">
        <v>81</v>
      </c>
      <c r="AT5450" t="s">
        <v>58</v>
      </c>
      <c r="AU5450" t="s">
        <v>68</v>
      </c>
      <c r="AV5450" t="s">
        <v>69</v>
      </c>
      <c r="AW5450" s="1">
        <v>29499</v>
      </c>
      <c r="AX5450">
        <v>1</v>
      </c>
    </row>
    <row r="5451" spans="1:50">
      <c r="B5451" t="str">
        <f>"078610465"</f>
        <v>078610465</v>
      </c>
      <c r="C5451" t="s">
        <v>50</v>
      </c>
      <c r="D5451" t="s">
        <v>9779</v>
      </c>
      <c r="E5451" t="s">
        <v>476</v>
      </c>
      <c r="F5451" t="s">
        <v>84</v>
      </c>
      <c r="G5451" t="s">
        <v>237</v>
      </c>
      <c r="H5451" t="str">
        <f>"ΧΑΝΙΩΝ 27 "</f>
        <v xml:space="preserve">ΧΑΝΙΩΝ 27 </v>
      </c>
      <c r="I5451">
        <v>12351</v>
      </c>
      <c r="J5451">
        <v>2105450473</v>
      </c>
      <c r="K5451">
        <v>6938633449</v>
      </c>
      <c r="N5451" t="s">
        <v>8694</v>
      </c>
      <c r="O5451" t="s">
        <v>8695</v>
      </c>
      <c r="R5451" t="s">
        <v>159</v>
      </c>
      <c r="S5451">
        <v>3</v>
      </c>
      <c r="T5451" t="s">
        <v>8696</v>
      </c>
      <c r="U5451" s="1">
        <v>43348</v>
      </c>
      <c r="V5451" t="s">
        <v>80</v>
      </c>
      <c r="W5451" t="s">
        <v>81</v>
      </c>
      <c r="X5451" t="s">
        <v>58</v>
      </c>
      <c r="Y5451">
        <v>24</v>
      </c>
      <c r="Z5451" t="s">
        <v>59</v>
      </c>
      <c r="AA5451" t="s">
        <v>59</v>
      </c>
      <c r="AB5451" t="s">
        <v>59</v>
      </c>
      <c r="AC5451" t="s">
        <v>59</v>
      </c>
      <c r="AD5451" t="s">
        <v>59</v>
      </c>
      <c r="AF5451" s="1">
        <v>43348</v>
      </c>
      <c r="AG5451" t="s">
        <v>8645</v>
      </c>
      <c r="AH5451" t="s">
        <v>8697</v>
      </c>
      <c r="AI5451" t="str">
        <f>"9170372"</f>
        <v>9170372</v>
      </c>
      <c r="AJ5451" t="s">
        <v>9296</v>
      </c>
      <c r="AK5451">
        <v>2810281754</v>
      </c>
      <c r="AL5451" t="s">
        <v>9297</v>
      </c>
      <c r="AM5451" t="s">
        <v>78</v>
      </c>
      <c r="AN5451" t="s">
        <v>78</v>
      </c>
      <c r="AO5451" t="s">
        <v>78</v>
      </c>
      <c r="AP5451" t="s">
        <v>79</v>
      </c>
      <c r="AQ5451">
        <v>1</v>
      </c>
      <c r="AR5451" t="s">
        <v>80</v>
      </c>
      <c r="AS5451" t="s">
        <v>81</v>
      </c>
      <c r="AT5451" t="s">
        <v>58</v>
      </c>
      <c r="AU5451" t="s">
        <v>350</v>
      </c>
      <c r="AV5451" t="s">
        <v>132</v>
      </c>
      <c r="AW5451" s="1">
        <v>31129</v>
      </c>
      <c r="AX5451">
        <v>1</v>
      </c>
    </row>
    <row r="5452" spans="1:50">
      <c r="A5452">
        <v>573770</v>
      </c>
      <c r="B5452" t="str">
        <f>"064116231"</f>
        <v>064116231</v>
      </c>
      <c r="C5452" t="s">
        <v>50</v>
      </c>
      <c r="D5452" t="s">
        <v>9780</v>
      </c>
      <c r="E5452" t="s">
        <v>155</v>
      </c>
      <c r="F5452" t="s">
        <v>95</v>
      </c>
      <c r="G5452" t="s">
        <v>181</v>
      </c>
      <c r="H5452" t="str">
        <f>"Α.ΠΑΠΑΝΔΡΕΟΥ 130 ΗΡΑΚΛΕΙΟ"</f>
        <v>Α.ΠΑΠΑΝΔΡΕΟΥ 130 ΗΡΑΚΛΕΙΟ</v>
      </c>
      <c r="I5452">
        <v>71305</v>
      </c>
      <c r="J5452">
        <v>2810262988</v>
      </c>
      <c r="K5452">
        <v>6975696781</v>
      </c>
      <c r="N5452" t="s">
        <v>615</v>
      </c>
      <c r="O5452" t="s">
        <v>616</v>
      </c>
      <c r="R5452" t="s">
        <v>57</v>
      </c>
      <c r="S5452">
        <v>13</v>
      </c>
      <c r="T5452">
        <v>160</v>
      </c>
      <c r="U5452" s="1">
        <v>34582</v>
      </c>
      <c r="V5452" t="s">
        <v>80</v>
      </c>
      <c r="W5452" t="s">
        <v>81</v>
      </c>
      <c r="X5452" t="s">
        <v>58</v>
      </c>
      <c r="Y5452">
        <v>21</v>
      </c>
      <c r="Z5452" t="s">
        <v>59</v>
      </c>
      <c r="AA5452" t="s">
        <v>59</v>
      </c>
      <c r="AB5452" t="s">
        <v>59</v>
      </c>
      <c r="AC5452" t="s">
        <v>59</v>
      </c>
      <c r="AD5452" t="s">
        <v>59</v>
      </c>
      <c r="AF5452" s="1">
        <v>34582</v>
      </c>
      <c r="AG5452" t="s">
        <v>8645</v>
      </c>
      <c r="AH5452" t="s">
        <v>8646</v>
      </c>
      <c r="AI5452" t="str">
        <f>"9170494"</f>
        <v>9170494</v>
      </c>
      <c r="AJ5452" t="s">
        <v>9125</v>
      </c>
      <c r="AK5452">
        <v>2810228361</v>
      </c>
      <c r="AL5452" t="s">
        <v>9126</v>
      </c>
      <c r="AM5452" t="s">
        <v>78</v>
      </c>
      <c r="AN5452" t="s">
        <v>78</v>
      </c>
      <c r="AO5452" t="s">
        <v>78</v>
      </c>
      <c r="AP5452" t="s">
        <v>79</v>
      </c>
      <c r="AQ5452">
        <v>1</v>
      </c>
      <c r="AR5452" t="s">
        <v>80</v>
      </c>
      <c r="AS5452" t="s">
        <v>81</v>
      </c>
      <c r="AT5452" t="s">
        <v>58</v>
      </c>
      <c r="AU5452" t="s">
        <v>68</v>
      </c>
      <c r="AV5452" t="s">
        <v>69</v>
      </c>
      <c r="AW5452" s="1">
        <v>24482</v>
      </c>
      <c r="AX5452">
        <v>1</v>
      </c>
    </row>
    <row r="5453" spans="1:50">
      <c r="B5453" t="str">
        <f>"133536059"</f>
        <v>133536059</v>
      </c>
      <c r="C5453" t="s">
        <v>50</v>
      </c>
      <c r="D5453" t="s">
        <v>9781</v>
      </c>
      <c r="E5453" t="s">
        <v>9782</v>
      </c>
      <c r="F5453" t="s">
        <v>670</v>
      </c>
      <c r="G5453" t="s">
        <v>263</v>
      </c>
      <c r="H5453" t="str">
        <f>"ΜΙΚΡΑΣ ΑΣΙΑΣ 40-44 ΞΑΝΘΗ"</f>
        <v>ΜΙΚΡΑΣ ΑΣΙΑΣ 40-44 ΞΑΝΘΗ</v>
      </c>
      <c r="I5453">
        <v>67100</v>
      </c>
      <c r="J5453">
        <v>2541074218</v>
      </c>
      <c r="K5453">
        <v>6947285930</v>
      </c>
      <c r="N5453" t="s">
        <v>615</v>
      </c>
      <c r="O5453" t="s">
        <v>616</v>
      </c>
      <c r="R5453" t="s">
        <v>159</v>
      </c>
      <c r="S5453">
        <v>3</v>
      </c>
      <c r="T5453" t="s">
        <v>8675</v>
      </c>
      <c r="U5453" s="1">
        <v>43348</v>
      </c>
      <c r="V5453" t="s">
        <v>80</v>
      </c>
      <c r="W5453" t="s">
        <v>81</v>
      </c>
      <c r="X5453" t="s">
        <v>58</v>
      </c>
      <c r="Y5453">
        <v>24</v>
      </c>
      <c r="Z5453" t="s">
        <v>59</v>
      </c>
      <c r="AA5453" t="s">
        <v>59</v>
      </c>
      <c r="AB5453" t="s">
        <v>59</v>
      </c>
      <c r="AC5453" t="s">
        <v>59</v>
      </c>
      <c r="AD5453" t="s">
        <v>59</v>
      </c>
      <c r="AF5453" s="1">
        <v>43348</v>
      </c>
      <c r="AG5453" t="s">
        <v>8645</v>
      </c>
      <c r="AH5453" t="s">
        <v>8646</v>
      </c>
      <c r="AI5453" t="str">
        <f>"9170113"</f>
        <v>9170113</v>
      </c>
      <c r="AJ5453" t="s">
        <v>8846</v>
      </c>
      <c r="AK5453">
        <v>2810226174</v>
      </c>
      <c r="AL5453" t="s">
        <v>8847</v>
      </c>
      <c r="AM5453" t="s">
        <v>78</v>
      </c>
      <c r="AN5453" t="s">
        <v>78</v>
      </c>
      <c r="AO5453" t="s">
        <v>78</v>
      </c>
      <c r="AP5453" t="s">
        <v>79</v>
      </c>
      <c r="AQ5453">
        <v>1</v>
      </c>
      <c r="AR5453" t="s">
        <v>80</v>
      </c>
      <c r="AS5453" t="s">
        <v>81</v>
      </c>
      <c r="AT5453" t="s">
        <v>58</v>
      </c>
      <c r="AU5453" t="s">
        <v>8673</v>
      </c>
      <c r="AV5453" t="s">
        <v>132</v>
      </c>
      <c r="AW5453" s="1">
        <v>31552</v>
      </c>
      <c r="AX5453">
        <v>1</v>
      </c>
    </row>
    <row r="5454" spans="1:50">
      <c r="B5454" t="str">
        <f>"132870353"</f>
        <v>132870353</v>
      </c>
      <c r="C5454" t="s">
        <v>50</v>
      </c>
      <c r="D5454" t="s">
        <v>9783</v>
      </c>
      <c r="E5454" t="s">
        <v>1019</v>
      </c>
      <c r="F5454" t="s">
        <v>72</v>
      </c>
      <c r="G5454" t="s">
        <v>155</v>
      </c>
      <c r="H5454" t="str">
        <f>"Β ΠΑΡΟΔΟΣ ΔΗΜ. ΣΤΑΔΙΟΥ "</f>
        <v xml:space="preserve">Β ΠΑΡΟΔΟΣ ΔΗΜ. ΣΤΑΔΙΟΥ </v>
      </c>
      <c r="I5454">
        <v>60100</v>
      </c>
      <c r="J5454">
        <v>2351027306</v>
      </c>
      <c r="K5454">
        <v>6977283330</v>
      </c>
      <c r="N5454" t="s">
        <v>615</v>
      </c>
      <c r="O5454" t="s">
        <v>616</v>
      </c>
      <c r="R5454" t="s">
        <v>159</v>
      </c>
      <c r="S5454">
        <v>4</v>
      </c>
      <c r="T5454" t="s">
        <v>8675</v>
      </c>
      <c r="U5454" s="1">
        <v>43348</v>
      </c>
      <c r="V5454" t="s">
        <v>80</v>
      </c>
      <c r="W5454" t="s">
        <v>81</v>
      </c>
      <c r="X5454" t="s">
        <v>58</v>
      </c>
      <c r="Y5454">
        <v>24</v>
      </c>
      <c r="Z5454" t="s">
        <v>59</v>
      </c>
      <c r="AA5454" t="s">
        <v>59</v>
      </c>
      <c r="AB5454" t="s">
        <v>59</v>
      </c>
      <c r="AC5454" t="s">
        <v>59</v>
      </c>
      <c r="AD5454" t="s">
        <v>59</v>
      </c>
      <c r="AF5454" s="1">
        <v>43348</v>
      </c>
      <c r="AG5454" t="s">
        <v>8645</v>
      </c>
      <c r="AH5454" t="s">
        <v>8646</v>
      </c>
      <c r="AI5454" t="str">
        <f>"9170235"</f>
        <v>9170235</v>
      </c>
      <c r="AJ5454" t="s">
        <v>8806</v>
      </c>
      <c r="AK5454">
        <v>2891031258</v>
      </c>
      <c r="AL5454" t="s">
        <v>8807</v>
      </c>
      <c r="AM5454" t="s">
        <v>78</v>
      </c>
      <c r="AN5454" t="s">
        <v>276</v>
      </c>
      <c r="AO5454" t="s">
        <v>277</v>
      </c>
      <c r="AP5454" t="s">
        <v>277</v>
      </c>
      <c r="AQ5454">
        <v>13</v>
      </c>
      <c r="AR5454" t="s">
        <v>80</v>
      </c>
      <c r="AS5454" t="s">
        <v>81</v>
      </c>
      <c r="AT5454" t="s">
        <v>58</v>
      </c>
      <c r="AU5454" t="s">
        <v>8673</v>
      </c>
      <c r="AV5454" t="s">
        <v>132</v>
      </c>
      <c r="AW5454" s="1">
        <v>32345</v>
      </c>
      <c r="AX5454">
        <v>1</v>
      </c>
    </row>
    <row r="5455" spans="1:50">
      <c r="B5455" t="str">
        <f>"111660871"</f>
        <v>111660871</v>
      </c>
      <c r="C5455" t="s">
        <v>50</v>
      </c>
      <c r="D5455" t="s">
        <v>9784</v>
      </c>
      <c r="E5455" t="s">
        <v>83</v>
      </c>
      <c r="F5455" t="s">
        <v>53</v>
      </c>
      <c r="G5455" t="s">
        <v>52</v>
      </c>
      <c r="H5455" t="str">
        <f>" "</f>
        <v xml:space="preserve"> </v>
      </c>
      <c r="N5455" t="s">
        <v>683</v>
      </c>
      <c r="O5455" t="s">
        <v>684</v>
      </c>
      <c r="R5455" t="s">
        <v>121</v>
      </c>
      <c r="S5455">
        <v>1</v>
      </c>
      <c r="T5455" t="s">
        <v>8675</v>
      </c>
      <c r="U5455" s="1">
        <v>43348</v>
      </c>
      <c r="V5455" t="s">
        <v>80</v>
      </c>
      <c r="W5455" t="s">
        <v>81</v>
      </c>
      <c r="X5455" t="s">
        <v>58</v>
      </c>
      <c r="Y5455">
        <v>24</v>
      </c>
      <c r="Z5455" t="s">
        <v>59</v>
      </c>
      <c r="AA5455" t="s">
        <v>59</v>
      </c>
      <c r="AB5455" t="s">
        <v>59</v>
      </c>
      <c r="AD5455" t="s">
        <v>59</v>
      </c>
      <c r="AF5455" s="1">
        <v>43348</v>
      </c>
      <c r="AG5455" t="s">
        <v>8645</v>
      </c>
      <c r="AH5455" t="s">
        <v>8646</v>
      </c>
      <c r="AI5455" t="str">
        <f>"9170263"</f>
        <v>9170263</v>
      </c>
      <c r="AJ5455" t="s">
        <v>8942</v>
      </c>
      <c r="AK5455">
        <v>2810346939</v>
      </c>
      <c r="AL5455" t="s">
        <v>8943</v>
      </c>
      <c r="AM5455" t="s">
        <v>78</v>
      </c>
      <c r="AN5455" t="s">
        <v>78</v>
      </c>
      <c r="AO5455" t="s">
        <v>286</v>
      </c>
      <c r="AP5455" t="s">
        <v>286</v>
      </c>
      <c r="AQ5455">
        <v>1</v>
      </c>
      <c r="AR5455" t="s">
        <v>80</v>
      </c>
      <c r="AS5455" t="s">
        <v>81</v>
      </c>
      <c r="AT5455" t="s">
        <v>58</v>
      </c>
      <c r="AU5455" t="s">
        <v>8673</v>
      </c>
      <c r="AV5455" t="s">
        <v>132</v>
      </c>
      <c r="AW5455" s="1">
        <v>33789</v>
      </c>
      <c r="AX5455">
        <v>1</v>
      </c>
    </row>
    <row r="5456" spans="1:50">
      <c r="B5456" t="str">
        <f>"140464756"</f>
        <v>140464756</v>
      </c>
      <c r="C5456" t="s">
        <v>50</v>
      </c>
      <c r="D5456" t="s">
        <v>9785</v>
      </c>
      <c r="E5456" t="s">
        <v>3172</v>
      </c>
      <c r="F5456" t="s">
        <v>383</v>
      </c>
      <c r="G5456" t="s">
        <v>9786</v>
      </c>
      <c r="H5456" t="str">
        <f>"ΔΑΒΑΚΗ 1  ΚΑΛΟΧΩΡΙ"</f>
        <v>ΔΑΒΑΚΗ 1  ΚΑΛΟΧΩΡΙ</v>
      </c>
      <c r="I5456">
        <v>57009</v>
      </c>
      <c r="J5456">
        <v>2310751518</v>
      </c>
      <c r="K5456">
        <v>6947064985</v>
      </c>
      <c r="N5456" t="s">
        <v>615</v>
      </c>
      <c r="O5456" t="s">
        <v>616</v>
      </c>
      <c r="R5456" t="s">
        <v>159</v>
      </c>
      <c r="S5456">
        <v>3</v>
      </c>
      <c r="T5456" t="s">
        <v>8675</v>
      </c>
      <c r="U5456" s="1">
        <v>43348</v>
      </c>
      <c r="V5456" t="s">
        <v>80</v>
      </c>
      <c r="W5456" t="s">
        <v>81</v>
      </c>
      <c r="X5456" t="s">
        <v>58</v>
      </c>
      <c r="Y5456">
        <v>24</v>
      </c>
      <c r="Z5456" t="s">
        <v>59</v>
      </c>
      <c r="AA5456" t="s">
        <v>59</v>
      </c>
      <c r="AB5456" t="s">
        <v>59</v>
      </c>
      <c r="AC5456" t="s">
        <v>59</v>
      </c>
      <c r="AD5456" t="s">
        <v>59</v>
      </c>
      <c r="AF5456" s="1">
        <v>43348</v>
      </c>
      <c r="AG5456" t="s">
        <v>8645</v>
      </c>
      <c r="AH5456" t="s">
        <v>8646</v>
      </c>
      <c r="AI5456" t="str">
        <f>"9170027"</f>
        <v>9170027</v>
      </c>
      <c r="AJ5456" t="s">
        <v>8704</v>
      </c>
      <c r="AK5456">
        <v>2810711207</v>
      </c>
      <c r="AL5456" t="s">
        <v>8705</v>
      </c>
      <c r="AM5456" t="s">
        <v>78</v>
      </c>
      <c r="AN5456" t="s">
        <v>129</v>
      </c>
      <c r="AO5456" t="s">
        <v>597</v>
      </c>
      <c r="AP5456" t="s">
        <v>598</v>
      </c>
      <c r="AQ5456">
        <v>4</v>
      </c>
      <c r="AR5456" t="s">
        <v>80</v>
      </c>
      <c r="AS5456" t="s">
        <v>81</v>
      </c>
      <c r="AT5456" t="s">
        <v>58</v>
      </c>
      <c r="AU5456" t="s">
        <v>8673</v>
      </c>
      <c r="AV5456" t="s">
        <v>132</v>
      </c>
      <c r="AW5456" s="1">
        <v>31955</v>
      </c>
      <c r="AX5456">
        <v>1</v>
      </c>
    </row>
    <row r="5457" spans="1:50">
      <c r="A5457">
        <v>567599</v>
      </c>
      <c r="B5457" t="str">
        <f>"028283054"</f>
        <v>028283054</v>
      </c>
      <c r="C5457" t="s">
        <v>50</v>
      </c>
      <c r="D5457" t="s">
        <v>9787</v>
      </c>
      <c r="E5457" t="s">
        <v>9342</v>
      </c>
      <c r="F5457" t="s">
        <v>718</v>
      </c>
      <c r="G5457" t="s">
        <v>52</v>
      </c>
      <c r="H5457" t="str">
        <f>" "</f>
        <v xml:space="preserve"> </v>
      </c>
      <c r="N5457" t="s">
        <v>615</v>
      </c>
      <c r="O5457" t="s">
        <v>616</v>
      </c>
      <c r="R5457" t="s">
        <v>57</v>
      </c>
      <c r="S5457">
        <v>14</v>
      </c>
      <c r="T5457">
        <v>133</v>
      </c>
      <c r="U5457" s="1">
        <v>33456</v>
      </c>
      <c r="V5457" t="s">
        <v>80</v>
      </c>
      <c r="W5457" t="s">
        <v>81</v>
      </c>
      <c r="X5457" t="s">
        <v>58</v>
      </c>
      <c r="Y5457">
        <v>21</v>
      </c>
      <c r="Z5457" t="s">
        <v>59</v>
      </c>
      <c r="AA5457" t="s">
        <v>59</v>
      </c>
      <c r="AB5457" t="s">
        <v>59</v>
      </c>
      <c r="AC5457" t="s">
        <v>59</v>
      </c>
      <c r="AD5457" t="s">
        <v>59</v>
      </c>
      <c r="AF5457" s="1">
        <v>33485</v>
      </c>
      <c r="AG5457" t="s">
        <v>8645</v>
      </c>
      <c r="AH5457" t="s">
        <v>8646</v>
      </c>
      <c r="AI5457" t="str">
        <f>"9170198"</f>
        <v>9170198</v>
      </c>
      <c r="AJ5457" t="s">
        <v>8665</v>
      </c>
      <c r="AK5457">
        <v>2810227379</v>
      </c>
      <c r="AL5457" t="s">
        <v>8666</v>
      </c>
      <c r="AM5457" t="s">
        <v>78</v>
      </c>
      <c r="AN5457" t="s">
        <v>78</v>
      </c>
      <c r="AO5457" t="s">
        <v>78</v>
      </c>
      <c r="AP5457" t="s">
        <v>79</v>
      </c>
      <c r="AQ5457">
        <v>1</v>
      </c>
      <c r="AR5457" t="s">
        <v>80</v>
      </c>
      <c r="AS5457" t="s">
        <v>81</v>
      </c>
      <c r="AT5457" t="s">
        <v>58</v>
      </c>
      <c r="AU5457" t="s">
        <v>68</v>
      </c>
      <c r="AV5457" t="s">
        <v>69</v>
      </c>
      <c r="AW5457" s="1">
        <v>21546</v>
      </c>
      <c r="AX5457">
        <v>1</v>
      </c>
    </row>
    <row r="5458" spans="1:50">
      <c r="B5458" t="str">
        <f>"070997022"</f>
        <v>070997022</v>
      </c>
      <c r="C5458" t="s">
        <v>50</v>
      </c>
      <c r="D5458" t="s">
        <v>9788</v>
      </c>
      <c r="E5458" t="s">
        <v>181</v>
      </c>
      <c r="F5458" t="s">
        <v>95</v>
      </c>
      <c r="G5458" t="s">
        <v>250</v>
      </c>
      <c r="H5458" t="str">
        <f>"Κοντόχα 32 Αρχάνες"</f>
        <v>Κοντόχα 32 Αρχάνες</v>
      </c>
      <c r="I5458">
        <v>70100</v>
      </c>
      <c r="J5458">
        <v>2810752762</v>
      </c>
      <c r="K5458">
        <v>6942462070</v>
      </c>
      <c r="M5458" t="s">
        <v>9789</v>
      </c>
      <c r="N5458" t="s">
        <v>478</v>
      </c>
      <c r="O5458" t="s">
        <v>479</v>
      </c>
      <c r="R5458" t="s">
        <v>121</v>
      </c>
      <c r="S5458">
        <v>1</v>
      </c>
      <c r="T5458" t="s">
        <v>8675</v>
      </c>
      <c r="U5458" s="1">
        <v>43348</v>
      </c>
      <c r="V5458" t="s">
        <v>80</v>
      </c>
      <c r="W5458" t="s">
        <v>81</v>
      </c>
      <c r="X5458" t="s">
        <v>58</v>
      </c>
      <c r="Y5458">
        <v>14</v>
      </c>
      <c r="Z5458" t="s">
        <v>59</v>
      </c>
      <c r="AA5458" t="s">
        <v>59</v>
      </c>
      <c r="AB5458" t="s">
        <v>59</v>
      </c>
      <c r="AC5458" t="s">
        <v>59</v>
      </c>
      <c r="AD5458" t="s">
        <v>59</v>
      </c>
      <c r="AF5458" s="1">
        <v>43348</v>
      </c>
      <c r="AG5458" t="s">
        <v>8645</v>
      </c>
      <c r="AH5458" t="s">
        <v>8646</v>
      </c>
      <c r="AI5458" t="str">
        <f>"9170126"</f>
        <v>9170126</v>
      </c>
      <c r="AJ5458" t="s">
        <v>9041</v>
      </c>
      <c r="AK5458">
        <v>2810871213</v>
      </c>
      <c r="AL5458" t="s">
        <v>9042</v>
      </c>
      <c r="AM5458" t="s">
        <v>78</v>
      </c>
      <c r="AN5458" t="s">
        <v>78</v>
      </c>
      <c r="AO5458" t="s">
        <v>437</v>
      </c>
      <c r="AP5458" t="s">
        <v>438</v>
      </c>
      <c r="AQ5458">
        <v>5</v>
      </c>
      <c r="AR5458" t="s">
        <v>80</v>
      </c>
      <c r="AS5458" t="s">
        <v>81</v>
      </c>
      <c r="AT5458" t="s">
        <v>58</v>
      </c>
      <c r="AU5458" t="s">
        <v>8686</v>
      </c>
      <c r="AV5458" t="s">
        <v>132</v>
      </c>
      <c r="AW5458" s="1">
        <v>27643</v>
      </c>
      <c r="AX5458">
        <v>1</v>
      </c>
    </row>
    <row r="5459" spans="1:50">
      <c r="A5459">
        <v>597396</v>
      </c>
      <c r="B5459" t="str">
        <f>"114289616"</f>
        <v>114289616</v>
      </c>
      <c r="C5459" t="s">
        <v>105</v>
      </c>
      <c r="D5459" t="s">
        <v>1595</v>
      </c>
      <c r="E5459" t="s">
        <v>166</v>
      </c>
      <c r="F5459" t="s">
        <v>92</v>
      </c>
      <c r="G5459" t="s">
        <v>237</v>
      </c>
      <c r="H5459" t="str">
        <f>"ΜΥΣΤΡΑ 7 ΗΡΑΚΛΕΙΟ"</f>
        <v>ΜΥΣΤΡΑ 7 ΗΡΑΚΛΕΙΟ</v>
      </c>
      <c r="I5459">
        <v>71305</v>
      </c>
      <c r="J5459">
        <v>2810263145</v>
      </c>
      <c r="K5459">
        <v>6972240910</v>
      </c>
      <c r="L5459">
        <v>2810263145</v>
      </c>
      <c r="M5459" t="s">
        <v>2047</v>
      </c>
      <c r="N5459" t="s">
        <v>306</v>
      </c>
      <c r="O5459" t="s">
        <v>307</v>
      </c>
      <c r="R5459" t="s">
        <v>57</v>
      </c>
      <c r="S5459">
        <v>8</v>
      </c>
      <c r="T5459">
        <v>193</v>
      </c>
      <c r="U5459" s="1">
        <v>37497</v>
      </c>
      <c r="V5459" t="s">
        <v>80</v>
      </c>
      <c r="W5459" t="s">
        <v>81</v>
      </c>
      <c r="X5459" t="s">
        <v>58</v>
      </c>
      <c r="Y5459">
        <v>22</v>
      </c>
      <c r="Z5459" t="s">
        <v>59</v>
      </c>
      <c r="AA5459" t="s">
        <v>59</v>
      </c>
      <c r="AB5459" t="s">
        <v>59</v>
      </c>
      <c r="AC5459" t="s">
        <v>59</v>
      </c>
      <c r="AD5459" t="s">
        <v>59</v>
      </c>
      <c r="AF5459" s="1">
        <v>37501</v>
      </c>
      <c r="AG5459" t="s">
        <v>8645</v>
      </c>
      <c r="AH5459" t="s">
        <v>8646</v>
      </c>
      <c r="AI5459" t="str">
        <f>"9170512"</f>
        <v>9170512</v>
      </c>
      <c r="AJ5459" t="s">
        <v>8986</v>
      </c>
      <c r="AK5459">
        <v>2810253082</v>
      </c>
      <c r="AL5459" t="s">
        <v>8987</v>
      </c>
      <c r="AM5459" t="s">
        <v>78</v>
      </c>
      <c r="AN5459" t="s">
        <v>78</v>
      </c>
      <c r="AO5459" t="s">
        <v>78</v>
      </c>
      <c r="AP5459" t="s">
        <v>141</v>
      </c>
      <c r="AQ5459">
        <v>1</v>
      </c>
      <c r="AR5459" t="s">
        <v>80</v>
      </c>
      <c r="AS5459" t="s">
        <v>81</v>
      </c>
      <c r="AT5459" t="s">
        <v>58</v>
      </c>
      <c r="AU5459" t="s">
        <v>68</v>
      </c>
      <c r="AV5459" t="s">
        <v>69</v>
      </c>
      <c r="AW5459" s="1">
        <v>28181</v>
      </c>
      <c r="AX5459">
        <v>1</v>
      </c>
    </row>
    <row r="5460" spans="1:50">
      <c r="A5460">
        <v>616854</v>
      </c>
      <c r="B5460" t="str">
        <f>"066372904"</f>
        <v>066372904</v>
      </c>
      <c r="C5460" t="s">
        <v>105</v>
      </c>
      <c r="D5460" t="s">
        <v>1595</v>
      </c>
      <c r="E5460" t="s">
        <v>450</v>
      </c>
      <c r="F5460" t="s">
        <v>154</v>
      </c>
      <c r="G5460" t="s">
        <v>460</v>
      </c>
      <c r="H5460" t="str">
        <f>" "</f>
        <v xml:space="preserve"> </v>
      </c>
      <c r="J5460">
        <v>2810320500</v>
      </c>
      <c r="K5460">
        <v>6947128480</v>
      </c>
      <c r="N5460" t="s">
        <v>615</v>
      </c>
      <c r="O5460" t="s">
        <v>616</v>
      </c>
      <c r="R5460" t="s">
        <v>57</v>
      </c>
      <c r="S5460">
        <v>6</v>
      </c>
      <c r="T5460">
        <v>774</v>
      </c>
      <c r="U5460" s="1">
        <v>39680</v>
      </c>
      <c r="V5460" t="s">
        <v>80</v>
      </c>
      <c r="W5460" t="s">
        <v>81</v>
      </c>
      <c r="X5460" t="s">
        <v>58</v>
      </c>
      <c r="Y5460">
        <v>23</v>
      </c>
      <c r="Z5460" t="s">
        <v>59</v>
      </c>
      <c r="AA5460" t="s">
        <v>59</v>
      </c>
      <c r="AB5460" t="s">
        <v>59</v>
      </c>
      <c r="AC5460" t="s">
        <v>59</v>
      </c>
      <c r="AD5460" t="s">
        <v>59</v>
      </c>
      <c r="AF5460" s="1">
        <v>39681</v>
      </c>
      <c r="AG5460" t="s">
        <v>8645</v>
      </c>
      <c r="AH5460" t="s">
        <v>8646</v>
      </c>
      <c r="AI5460" t="str">
        <f>"9170206"</f>
        <v>9170206</v>
      </c>
      <c r="AJ5460" t="s">
        <v>8972</v>
      </c>
      <c r="AK5460">
        <v>2810761137</v>
      </c>
      <c r="AL5460" t="s">
        <v>8973</v>
      </c>
      <c r="AM5460" t="s">
        <v>78</v>
      </c>
      <c r="AN5460" t="s">
        <v>219</v>
      </c>
      <c r="AO5460" t="s">
        <v>297</v>
      </c>
      <c r="AP5460" t="s">
        <v>8796</v>
      </c>
      <c r="AQ5460">
        <v>7</v>
      </c>
      <c r="AR5460" t="s">
        <v>80</v>
      </c>
      <c r="AS5460" t="s">
        <v>81</v>
      </c>
      <c r="AT5460" t="s">
        <v>58</v>
      </c>
      <c r="AU5460" t="s">
        <v>68</v>
      </c>
      <c r="AV5460" t="s">
        <v>69</v>
      </c>
      <c r="AW5460" s="1">
        <v>30259</v>
      </c>
      <c r="AX5460">
        <v>1</v>
      </c>
    </row>
    <row r="5461" spans="1:50">
      <c r="B5461" t="str">
        <f>"114283034"</f>
        <v>114283034</v>
      </c>
      <c r="C5461" t="s">
        <v>50</v>
      </c>
      <c r="D5461" t="s">
        <v>9790</v>
      </c>
      <c r="E5461" t="s">
        <v>109</v>
      </c>
      <c r="F5461" t="s">
        <v>72</v>
      </c>
      <c r="G5461" t="s">
        <v>52</v>
      </c>
      <c r="H5461" t="str">
        <f>" ΗΡΑΚΛΕΙΟ"</f>
        <v xml:space="preserve"> ΗΡΑΚΛΕΙΟ</v>
      </c>
      <c r="K5461">
        <v>6974451303</v>
      </c>
      <c r="N5461" t="s">
        <v>615</v>
      </c>
      <c r="O5461" t="s">
        <v>616</v>
      </c>
      <c r="R5461" t="s">
        <v>121</v>
      </c>
      <c r="S5461">
        <v>1</v>
      </c>
      <c r="T5461" t="s">
        <v>8675</v>
      </c>
      <c r="U5461" s="1">
        <v>43348</v>
      </c>
      <c r="V5461" t="s">
        <v>80</v>
      </c>
      <c r="W5461" t="s">
        <v>81</v>
      </c>
      <c r="X5461" t="s">
        <v>58</v>
      </c>
      <c r="Y5461">
        <v>25</v>
      </c>
      <c r="Z5461" t="s">
        <v>59</v>
      </c>
      <c r="AA5461" t="s">
        <v>59</v>
      </c>
      <c r="AB5461" t="s">
        <v>59</v>
      </c>
      <c r="AC5461" t="s">
        <v>59</v>
      </c>
      <c r="AD5461" t="s">
        <v>59</v>
      </c>
      <c r="AF5461" s="1">
        <v>43348</v>
      </c>
      <c r="AG5461" t="s">
        <v>8645</v>
      </c>
      <c r="AH5461" t="s">
        <v>8646</v>
      </c>
      <c r="AI5461" t="str">
        <f>"9170235"</f>
        <v>9170235</v>
      </c>
      <c r="AJ5461" t="s">
        <v>8806</v>
      </c>
      <c r="AK5461">
        <v>2891031258</v>
      </c>
      <c r="AL5461" t="s">
        <v>8807</v>
      </c>
      <c r="AM5461" t="s">
        <v>78</v>
      </c>
      <c r="AN5461" t="s">
        <v>276</v>
      </c>
      <c r="AO5461" t="s">
        <v>277</v>
      </c>
      <c r="AP5461" t="s">
        <v>277</v>
      </c>
      <c r="AQ5461">
        <v>13</v>
      </c>
      <c r="AR5461" t="s">
        <v>80</v>
      </c>
      <c r="AS5461" t="s">
        <v>81</v>
      </c>
      <c r="AT5461" t="s">
        <v>58</v>
      </c>
      <c r="AU5461" t="s">
        <v>8673</v>
      </c>
      <c r="AV5461" t="s">
        <v>132</v>
      </c>
      <c r="AW5461" s="1">
        <v>29978</v>
      </c>
      <c r="AX5461">
        <v>1</v>
      </c>
    </row>
    <row r="5462" spans="1:50">
      <c r="B5462" t="str">
        <f>"132328330"</f>
        <v>132328330</v>
      </c>
      <c r="C5462" t="s">
        <v>50</v>
      </c>
      <c r="D5462" t="s">
        <v>9790</v>
      </c>
      <c r="E5462" t="s">
        <v>52</v>
      </c>
      <c r="F5462" t="s">
        <v>99</v>
      </c>
      <c r="G5462" t="s">
        <v>237</v>
      </c>
      <c r="H5462" t="str">
        <f>"ΑΝΤ. ΚΑΣΤΡΙΝΑΚΗ 30Α ΗΡΑΚΛΕΙΟ"</f>
        <v>ΑΝΤ. ΚΑΣΤΡΙΝΑΚΗ 30Α ΗΡΑΚΛΕΙΟ</v>
      </c>
      <c r="I5462">
        <v>71305</v>
      </c>
      <c r="J5462">
        <v>2810237829</v>
      </c>
      <c r="K5462">
        <v>6974790333</v>
      </c>
      <c r="N5462" t="s">
        <v>615</v>
      </c>
      <c r="O5462" t="s">
        <v>616</v>
      </c>
      <c r="R5462" t="s">
        <v>159</v>
      </c>
      <c r="S5462">
        <v>3</v>
      </c>
      <c r="T5462" t="s">
        <v>8675</v>
      </c>
      <c r="U5462" s="1">
        <v>43348</v>
      </c>
      <c r="V5462" t="s">
        <v>80</v>
      </c>
      <c r="W5462" t="s">
        <v>81</v>
      </c>
      <c r="X5462" t="s">
        <v>58</v>
      </c>
      <c r="Y5462">
        <v>24</v>
      </c>
      <c r="Z5462" t="s">
        <v>59</v>
      </c>
      <c r="AA5462" t="s">
        <v>59</v>
      </c>
      <c r="AB5462" t="s">
        <v>59</v>
      </c>
      <c r="AC5462" t="s">
        <v>59</v>
      </c>
      <c r="AD5462" t="s">
        <v>59</v>
      </c>
      <c r="AF5462" s="1">
        <v>43348</v>
      </c>
      <c r="AG5462" t="s">
        <v>8645</v>
      </c>
      <c r="AH5462" t="s">
        <v>8646</v>
      </c>
      <c r="AI5462" t="str">
        <f>"9170028"</f>
        <v>9170028</v>
      </c>
      <c r="AJ5462" t="s">
        <v>9791</v>
      </c>
      <c r="AK5462">
        <v>2810711204</v>
      </c>
      <c r="AL5462" t="s">
        <v>9792</v>
      </c>
      <c r="AM5462" t="s">
        <v>78</v>
      </c>
      <c r="AN5462" t="s">
        <v>129</v>
      </c>
      <c r="AO5462" t="s">
        <v>597</v>
      </c>
      <c r="AP5462" t="s">
        <v>598</v>
      </c>
      <c r="AQ5462">
        <v>4</v>
      </c>
      <c r="AR5462" t="s">
        <v>80</v>
      </c>
      <c r="AS5462" t="s">
        <v>81</v>
      </c>
      <c r="AT5462" t="s">
        <v>58</v>
      </c>
      <c r="AU5462" t="s">
        <v>8673</v>
      </c>
      <c r="AV5462" t="s">
        <v>132</v>
      </c>
      <c r="AW5462" s="1">
        <v>30135</v>
      </c>
      <c r="AX5462">
        <v>1</v>
      </c>
    </row>
    <row r="5463" spans="1:50">
      <c r="B5463" t="str">
        <f>"152367959"</f>
        <v>152367959</v>
      </c>
      <c r="C5463" t="s">
        <v>50</v>
      </c>
      <c r="D5463" t="s">
        <v>7275</v>
      </c>
      <c r="E5463" t="s">
        <v>109</v>
      </c>
      <c r="F5463" t="s">
        <v>99</v>
      </c>
      <c r="G5463" t="s">
        <v>620</v>
      </c>
      <c r="H5463" t="str">
        <f>"ΠΑΝΑΓΟΠΟΥΛΟΥ 11 "</f>
        <v xml:space="preserve">ΠΑΝΑΓΟΠΟΥΛΟΥ 11 </v>
      </c>
      <c r="I5463">
        <v>30100</v>
      </c>
      <c r="J5463">
        <v>2641052213</v>
      </c>
      <c r="K5463">
        <v>6931778444</v>
      </c>
      <c r="N5463" t="s">
        <v>615</v>
      </c>
      <c r="O5463" t="s">
        <v>616</v>
      </c>
      <c r="R5463" t="s">
        <v>159</v>
      </c>
      <c r="S5463">
        <v>3</v>
      </c>
      <c r="T5463" t="s">
        <v>8675</v>
      </c>
      <c r="U5463" s="1">
        <v>43348</v>
      </c>
      <c r="V5463" t="s">
        <v>80</v>
      </c>
      <c r="W5463" t="s">
        <v>81</v>
      </c>
      <c r="X5463" t="s">
        <v>58</v>
      </c>
      <c r="Y5463">
        <v>24</v>
      </c>
      <c r="Z5463" t="s">
        <v>59</v>
      </c>
      <c r="AA5463" t="s">
        <v>59</v>
      </c>
      <c r="AB5463" t="s">
        <v>59</v>
      </c>
      <c r="AC5463" t="s">
        <v>59</v>
      </c>
      <c r="AD5463" t="s">
        <v>59</v>
      </c>
      <c r="AF5463" s="1">
        <v>43348</v>
      </c>
      <c r="AG5463" t="s">
        <v>8645</v>
      </c>
      <c r="AH5463" t="s">
        <v>8646</v>
      </c>
      <c r="AI5463" t="str">
        <f>"9170495"</f>
        <v>9170495</v>
      </c>
      <c r="AJ5463" t="s">
        <v>8838</v>
      </c>
      <c r="AK5463">
        <v>2892023325</v>
      </c>
      <c r="AL5463" t="s">
        <v>8839</v>
      </c>
      <c r="AM5463" t="s">
        <v>78</v>
      </c>
      <c r="AN5463" t="s">
        <v>242</v>
      </c>
      <c r="AO5463" t="s">
        <v>243</v>
      </c>
      <c r="AP5463" t="s">
        <v>243</v>
      </c>
      <c r="AQ5463">
        <v>20</v>
      </c>
      <c r="AR5463" t="s">
        <v>80</v>
      </c>
      <c r="AS5463" t="s">
        <v>81</v>
      </c>
      <c r="AT5463" t="s">
        <v>58</v>
      </c>
      <c r="AU5463" t="s">
        <v>8673</v>
      </c>
      <c r="AV5463" t="s">
        <v>132</v>
      </c>
      <c r="AW5463" s="1">
        <v>32079</v>
      </c>
      <c r="AX5463">
        <v>1</v>
      </c>
    </row>
    <row r="5464" spans="1:50">
      <c r="A5464">
        <v>566174</v>
      </c>
      <c r="B5464" t="str">
        <f>"114298834"</f>
        <v>114298834</v>
      </c>
      <c r="C5464" t="s">
        <v>50</v>
      </c>
      <c r="D5464" t="s">
        <v>1605</v>
      </c>
      <c r="E5464" t="s">
        <v>1108</v>
      </c>
      <c r="F5464" t="s">
        <v>609</v>
      </c>
      <c r="G5464" t="s">
        <v>52</v>
      </c>
      <c r="H5464" t="str">
        <f>" "</f>
        <v xml:space="preserve"> </v>
      </c>
      <c r="J5464">
        <v>2810752636</v>
      </c>
      <c r="K5464">
        <v>6973045867</v>
      </c>
      <c r="N5464" t="s">
        <v>615</v>
      </c>
      <c r="O5464" t="s">
        <v>616</v>
      </c>
      <c r="R5464" t="s">
        <v>57</v>
      </c>
      <c r="S5464">
        <v>15</v>
      </c>
      <c r="T5464">
        <v>161</v>
      </c>
      <c r="U5464" s="1">
        <v>33119</v>
      </c>
      <c r="V5464" t="s">
        <v>80</v>
      </c>
      <c r="W5464" t="s">
        <v>81</v>
      </c>
      <c r="X5464" t="s">
        <v>58</v>
      </c>
      <c r="Y5464">
        <v>21</v>
      </c>
      <c r="Z5464" t="s">
        <v>59</v>
      </c>
      <c r="AA5464" t="s">
        <v>59</v>
      </c>
      <c r="AB5464" t="s">
        <v>59</v>
      </c>
      <c r="AC5464" t="s">
        <v>59</v>
      </c>
      <c r="AD5464" t="s">
        <v>59</v>
      </c>
      <c r="AF5464" s="1">
        <v>33121</v>
      </c>
      <c r="AG5464" t="s">
        <v>8645</v>
      </c>
      <c r="AH5464" t="s">
        <v>8646</v>
      </c>
      <c r="AI5464" t="str">
        <f>"9170549"</f>
        <v>9170549</v>
      </c>
      <c r="AJ5464" t="s">
        <v>8778</v>
      </c>
      <c r="AK5464">
        <v>2810751800</v>
      </c>
      <c r="AL5464" t="s">
        <v>8779</v>
      </c>
      <c r="AM5464" t="s">
        <v>78</v>
      </c>
      <c r="AN5464" t="s">
        <v>424</v>
      </c>
      <c r="AO5464" t="s">
        <v>425</v>
      </c>
      <c r="AP5464" t="s">
        <v>425</v>
      </c>
      <c r="AQ5464">
        <v>11</v>
      </c>
      <c r="AR5464" t="s">
        <v>80</v>
      </c>
      <c r="AS5464" t="s">
        <v>81</v>
      </c>
      <c r="AT5464" t="s">
        <v>58</v>
      </c>
      <c r="AU5464" t="s">
        <v>68</v>
      </c>
      <c r="AV5464" t="s">
        <v>69</v>
      </c>
      <c r="AW5464" s="1">
        <v>22984</v>
      </c>
      <c r="AX5464">
        <v>1</v>
      </c>
    </row>
    <row r="5465" spans="1:50">
      <c r="A5465">
        <v>210488</v>
      </c>
      <c r="B5465" t="str">
        <f>"110100476"</f>
        <v>110100476</v>
      </c>
      <c r="C5465" t="s">
        <v>50</v>
      </c>
      <c r="D5465" t="s">
        <v>1605</v>
      </c>
      <c r="E5465" t="s">
        <v>52</v>
      </c>
      <c r="F5465" t="s">
        <v>72</v>
      </c>
      <c r="G5465" t="s">
        <v>1277</v>
      </c>
      <c r="H5465" t="str">
        <f>"ΙΩΝΙΑΣ 114 "</f>
        <v xml:space="preserve">ΙΩΝΙΑΣ 114 </v>
      </c>
      <c r="I5465">
        <v>71306</v>
      </c>
      <c r="J5465">
        <v>2810236021</v>
      </c>
      <c r="K5465">
        <v>6977224104</v>
      </c>
      <c r="L5465">
        <v>2810233587</v>
      </c>
      <c r="M5465" t="s">
        <v>9793</v>
      </c>
      <c r="N5465" t="s">
        <v>306</v>
      </c>
      <c r="O5465" t="s">
        <v>307</v>
      </c>
      <c r="R5465" t="s">
        <v>57</v>
      </c>
      <c r="S5465">
        <v>6</v>
      </c>
      <c r="T5465">
        <v>249</v>
      </c>
      <c r="U5465" s="1">
        <v>38617</v>
      </c>
      <c r="V5465" t="s">
        <v>80</v>
      </c>
      <c r="W5465" t="s">
        <v>81</v>
      </c>
      <c r="X5465" t="s">
        <v>58</v>
      </c>
      <c r="Y5465">
        <v>23</v>
      </c>
      <c r="Z5465" t="s">
        <v>59</v>
      </c>
      <c r="AA5465" t="s">
        <v>59</v>
      </c>
      <c r="AB5465" t="s">
        <v>59</v>
      </c>
      <c r="AC5465" t="s">
        <v>59</v>
      </c>
      <c r="AD5465" t="s">
        <v>59</v>
      </c>
      <c r="AF5465" s="1">
        <v>38621</v>
      </c>
      <c r="AG5465" t="s">
        <v>8645</v>
      </c>
      <c r="AH5465" t="s">
        <v>8646</v>
      </c>
      <c r="AI5465" t="str">
        <f>"9170533"</f>
        <v>9170533</v>
      </c>
      <c r="AJ5465" t="s">
        <v>9091</v>
      </c>
      <c r="AK5465">
        <v>2810239434</v>
      </c>
      <c r="AL5465" t="s">
        <v>9092</v>
      </c>
      <c r="AM5465" t="s">
        <v>78</v>
      </c>
      <c r="AN5465" t="s">
        <v>78</v>
      </c>
      <c r="AO5465" t="s">
        <v>78</v>
      </c>
      <c r="AP5465" t="s">
        <v>163</v>
      </c>
      <c r="AQ5465">
        <v>1</v>
      </c>
      <c r="AR5465" t="s">
        <v>80</v>
      </c>
      <c r="AS5465" t="s">
        <v>81</v>
      </c>
      <c r="AT5465" t="s">
        <v>58</v>
      </c>
      <c r="AU5465" t="s">
        <v>68</v>
      </c>
      <c r="AV5465" t="s">
        <v>69</v>
      </c>
      <c r="AW5465" s="1">
        <v>30367</v>
      </c>
      <c r="AX5465">
        <v>1</v>
      </c>
    </row>
    <row r="5466" spans="1:50">
      <c r="A5466">
        <v>593260</v>
      </c>
      <c r="B5466" t="str">
        <f>"054117951"</f>
        <v>054117951</v>
      </c>
      <c r="C5466" t="s">
        <v>50</v>
      </c>
      <c r="D5466" t="s">
        <v>1609</v>
      </c>
      <c r="E5466" t="s">
        <v>52</v>
      </c>
      <c r="F5466" t="s">
        <v>84</v>
      </c>
      <c r="G5466" t="s">
        <v>1085</v>
      </c>
      <c r="H5466" t="str">
        <f>"ΑΧΕΠΑΝΣ 3 ΚΗΠΟΥΠΟΛΗ"</f>
        <v>ΑΧΕΠΑΝΣ 3 ΚΗΠΟΥΠΟΛΗ</v>
      </c>
      <c r="I5466">
        <v>71307</v>
      </c>
      <c r="J5466">
        <v>2810214336</v>
      </c>
      <c r="K5466">
        <v>6972460815</v>
      </c>
      <c r="N5466" t="s">
        <v>615</v>
      </c>
      <c r="O5466" t="s">
        <v>616</v>
      </c>
      <c r="R5466" t="s">
        <v>57</v>
      </c>
      <c r="S5466">
        <v>9</v>
      </c>
      <c r="T5466">
        <v>218</v>
      </c>
      <c r="U5466" s="1">
        <v>37137</v>
      </c>
      <c r="V5466" t="s">
        <v>80</v>
      </c>
      <c r="W5466" t="s">
        <v>81</v>
      </c>
      <c r="X5466" t="s">
        <v>58</v>
      </c>
      <c r="Y5466">
        <v>22</v>
      </c>
      <c r="Z5466" t="s">
        <v>59</v>
      </c>
      <c r="AA5466" t="s">
        <v>59</v>
      </c>
      <c r="AB5466" t="s">
        <v>59</v>
      </c>
      <c r="AC5466" t="s">
        <v>59</v>
      </c>
      <c r="AD5466" t="s">
        <v>59</v>
      </c>
      <c r="AF5466" s="1">
        <v>37137</v>
      </c>
      <c r="AG5466" t="s">
        <v>8645</v>
      </c>
      <c r="AH5466" t="s">
        <v>8646</v>
      </c>
      <c r="AI5466" t="str">
        <f>"9170423"</f>
        <v>9170423</v>
      </c>
      <c r="AJ5466" t="s">
        <v>8808</v>
      </c>
      <c r="AK5466">
        <v>2810239612</v>
      </c>
      <c r="AL5466" t="s">
        <v>8809</v>
      </c>
      <c r="AM5466" t="s">
        <v>78</v>
      </c>
      <c r="AN5466" t="s">
        <v>78</v>
      </c>
      <c r="AO5466" t="s">
        <v>78</v>
      </c>
      <c r="AP5466" t="s">
        <v>163</v>
      </c>
      <c r="AQ5466">
        <v>1</v>
      </c>
      <c r="AR5466" t="s">
        <v>80</v>
      </c>
      <c r="AS5466" t="s">
        <v>81</v>
      </c>
      <c r="AT5466" t="s">
        <v>58</v>
      </c>
      <c r="AU5466" t="s">
        <v>68</v>
      </c>
      <c r="AV5466" t="s">
        <v>69</v>
      </c>
      <c r="AW5466" s="1">
        <v>25399</v>
      </c>
      <c r="AX5466">
        <v>1</v>
      </c>
    </row>
    <row r="5467" spans="1:50">
      <c r="A5467">
        <v>603111</v>
      </c>
      <c r="B5467" t="str">
        <f>"065814725"</f>
        <v>065814725</v>
      </c>
      <c r="C5467" t="s">
        <v>50</v>
      </c>
      <c r="D5467" t="s">
        <v>1609</v>
      </c>
      <c r="E5467" t="s">
        <v>9293</v>
      </c>
      <c r="F5467" t="s">
        <v>311</v>
      </c>
      <c r="G5467" t="s">
        <v>620</v>
      </c>
      <c r="H5467" t="str">
        <f>"ΙΩΝΙΑΣ 24 ΗΡΑΚΛΕΙΟ"</f>
        <v>ΙΩΝΙΑΣ 24 ΗΡΑΚΛΕΙΟ</v>
      </c>
      <c r="I5467">
        <v>71305</v>
      </c>
      <c r="J5467">
        <v>2894031078</v>
      </c>
      <c r="K5467">
        <v>6973042548</v>
      </c>
      <c r="L5467">
        <v>2810342374</v>
      </c>
      <c r="M5467" t="s">
        <v>9794</v>
      </c>
      <c r="N5467" t="s">
        <v>1525</v>
      </c>
      <c r="O5467" t="s">
        <v>1526</v>
      </c>
      <c r="R5467" t="s">
        <v>57</v>
      </c>
      <c r="S5467">
        <v>7</v>
      </c>
      <c r="T5467">
        <v>207</v>
      </c>
      <c r="U5467" s="1">
        <v>37866</v>
      </c>
      <c r="V5467" t="s">
        <v>80</v>
      </c>
      <c r="W5467" t="s">
        <v>81</v>
      </c>
      <c r="X5467" t="s">
        <v>58</v>
      </c>
      <c r="Y5467">
        <v>25</v>
      </c>
      <c r="Z5467" t="s">
        <v>59</v>
      </c>
      <c r="AA5467" t="s">
        <v>59</v>
      </c>
      <c r="AB5467" t="s">
        <v>59</v>
      </c>
      <c r="AC5467" t="s">
        <v>59</v>
      </c>
      <c r="AD5467" t="s">
        <v>59</v>
      </c>
      <c r="AF5467" s="1">
        <v>37866</v>
      </c>
      <c r="AG5467" t="s">
        <v>8651</v>
      </c>
      <c r="AH5467" t="s">
        <v>8652</v>
      </c>
      <c r="AI5467" t="str">
        <f>"9170212"</f>
        <v>9170212</v>
      </c>
      <c r="AJ5467" t="s">
        <v>9795</v>
      </c>
      <c r="AK5467">
        <v>2810741283</v>
      </c>
      <c r="AM5467" t="s">
        <v>78</v>
      </c>
      <c r="AN5467" t="s">
        <v>424</v>
      </c>
      <c r="AO5467" t="s">
        <v>428</v>
      </c>
      <c r="AP5467" t="s">
        <v>9535</v>
      </c>
      <c r="AQ5467">
        <v>11</v>
      </c>
      <c r="AR5467" t="s">
        <v>80</v>
      </c>
      <c r="AS5467" t="s">
        <v>81</v>
      </c>
      <c r="AT5467" t="s">
        <v>58</v>
      </c>
      <c r="AU5467" t="s">
        <v>68</v>
      </c>
      <c r="AV5467" t="s">
        <v>69</v>
      </c>
      <c r="AW5467" s="1">
        <v>26763</v>
      </c>
      <c r="AX5467">
        <v>1</v>
      </c>
    </row>
    <row r="5468" spans="1:50">
      <c r="B5468" t="str">
        <f>"144026563"</f>
        <v>144026563</v>
      </c>
      <c r="C5468" t="s">
        <v>50</v>
      </c>
      <c r="D5468" t="s">
        <v>9796</v>
      </c>
      <c r="E5468" t="s">
        <v>9797</v>
      </c>
      <c r="F5468" t="s">
        <v>95</v>
      </c>
      <c r="G5468" t="s">
        <v>396</v>
      </c>
      <c r="H5468" t="str">
        <f>" "</f>
        <v xml:space="preserve"> </v>
      </c>
      <c r="N5468" t="s">
        <v>615</v>
      </c>
      <c r="O5468" t="s">
        <v>616</v>
      </c>
      <c r="R5468" t="s">
        <v>159</v>
      </c>
      <c r="S5468">
        <v>3</v>
      </c>
      <c r="T5468" t="s">
        <v>8675</v>
      </c>
      <c r="U5468" s="1">
        <v>43348</v>
      </c>
      <c r="V5468" t="s">
        <v>80</v>
      </c>
      <c r="W5468" t="s">
        <v>81</v>
      </c>
      <c r="X5468" t="s">
        <v>58</v>
      </c>
      <c r="Y5468">
        <v>24</v>
      </c>
      <c r="Z5468" t="s">
        <v>59</v>
      </c>
      <c r="AA5468" t="s">
        <v>59</v>
      </c>
      <c r="AB5468" t="s">
        <v>59</v>
      </c>
      <c r="AD5468" t="s">
        <v>59</v>
      </c>
      <c r="AF5468" s="1">
        <v>43348</v>
      </c>
      <c r="AG5468" t="s">
        <v>8645</v>
      </c>
      <c r="AH5468" t="s">
        <v>8646</v>
      </c>
      <c r="AI5468" t="str">
        <f>"9170536"</f>
        <v>9170536</v>
      </c>
      <c r="AJ5468" t="s">
        <v>8740</v>
      </c>
      <c r="AK5468">
        <v>2892051187</v>
      </c>
      <c r="AL5468" t="s">
        <v>8741</v>
      </c>
      <c r="AM5468" t="s">
        <v>78</v>
      </c>
      <c r="AN5468" t="s">
        <v>242</v>
      </c>
      <c r="AO5468" t="s">
        <v>349</v>
      </c>
      <c r="AP5468" t="s">
        <v>349</v>
      </c>
      <c r="AQ5468">
        <v>19</v>
      </c>
      <c r="AR5468" t="s">
        <v>80</v>
      </c>
      <c r="AS5468" t="s">
        <v>81</v>
      </c>
      <c r="AT5468" t="s">
        <v>58</v>
      </c>
      <c r="AU5468" t="s">
        <v>8673</v>
      </c>
      <c r="AV5468" t="s">
        <v>132</v>
      </c>
      <c r="AW5468" s="1">
        <v>32307</v>
      </c>
      <c r="AX5468">
        <v>1</v>
      </c>
    </row>
    <row r="5469" spans="1:50">
      <c r="A5469">
        <v>607401</v>
      </c>
      <c r="B5469" t="str">
        <f>"131462034"</f>
        <v>131462034</v>
      </c>
      <c r="C5469" t="s">
        <v>50</v>
      </c>
      <c r="D5469" t="s">
        <v>9796</v>
      </c>
      <c r="E5469" t="s">
        <v>1713</v>
      </c>
      <c r="F5469" t="s">
        <v>311</v>
      </c>
      <c r="G5469" t="s">
        <v>620</v>
      </c>
      <c r="H5469" t="str">
        <f>"ΙΩΝΙΑΣ 24 ΗΡΑΚΛΕΙΟ"</f>
        <v>ΙΩΝΙΑΣ 24 ΗΡΑΚΛΕΙΟ</v>
      </c>
      <c r="I5469">
        <v>71305</v>
      </c>
      <c r="J5469">
        <v>2815007218</v>
      </c>
      <c r="K5469">
        <v>6948055857</v>
      </c>
      <c r="M5469" t="s">
        <v>9798</v>
      </c>
      <c r="N5469" t="s">
        <v>615</v>
      </c>
      <c r="O5469" t="s">
        <v>616</v>
      </c>
      <c r="R5469" t="s">
        <v>57</v>
      </c>
      <c r="S5469">
        <v>9</v>
      </c>
      <c r="T5469" t="s">
        <v>9799</v>
      </c>
      <c r="U5469" s="1">
        <v>38596</v>
      </c>
      <c r="V5469" t="s">
        <v>80</v>
      </c>
      <c r="W5469" t="s">
        <v>81</v>
      </c>
      <c r="X5469" t="s">
        <v>58</v>
      </c>
      <c r="Y5469">
        <v>23</v>
      </c>
      <c r="Z5469" t="s">
        <v>59</v>
      </c>
      <c r="AA5469" t="s">
        <v>59</v>
      </c>
      <c r="AB5469" t="s">
        <v>59</v>
      </c>
      <c r="AC5469" t="s">
        <v>59</v>
      </c>
      <c r="AD5469" t="s">
        <v>59</v>
      </c>
      <c r="AF5469" s="1">
        <v>38602</v>
      </c>
      <c r="AG5469" t="s">
        <v>8645</v>
      </c>
      <c r="AH5469" t="s">
        <v>8646</v>
      </c>
      <c r="AI5469" t="str">
        <f>"9170512"</f>
        <v>9170512</v>
      </c>
      <c r="AJ5469" t="s">
        <v>8986</v>
      </c>
      <c r="AK5469">
        <v>2810253082</v>
      </c>
      <c r="AL5469" t="s">
        <v>8987</v>
      </c>
      <c r="AM5469" t="s">
        <v>78</v>
      </c>
      <c r="AN5469" t="s">
        <v>78</v>
      </c>
      <c r="AO5469" t="s">
        <v>78</v>
      </c>
      <c r="AP5469" t="s">
        <v>141</v>
      </c>
      <c r="AQ5469">
        <v>1</v>
      </c>
      <c r="AR5469" t="s">
        <v>80</v>
      </c>
      <c r="AS5469" t="s">
        <v>81</v>
      </c>
      <c r="AT5469" t="s">
        <v>58</v>
      </c>
      <c r="AU5469" t="s">
        <v>68</v>
      </c>
      <c r="AV5469" t="s">
        <v>2039</v>
      </c>
      <c r="AW5469" s="1">
        <v>28183</v>
      </c>
      <c r="AX5469">
        <v>1</v>
      </c>
    </row>
    <row r="5470" spans="1:50">
      <c r="A5470">
        <v>619776</v>
      </c>
      <c r="B5470" t="str">
        <f>"074856529"</f>
        <v>074856529</v>
      </c>
      <c r="C5470" t="s">
        <v>105</v>
      </c>
      <c r="D5470" t="s">
        <v>1612</v>
      </c>
      <c r="E5470" t="s">
        <v>920</v>
      </c>
      <c r="F5470" t="s">
        <v>166</v>
      </c>
      <c r="G5470" t="s">
        <v>396</v>
      </c>
      <c r="H5470" t="str">
        <f>" "</f>
        <v xml:space="preserve"> </v>
      </c>
      <c r="J5470">
        <v>2310434407</v>
      </c>
      <c r="K5470">
        <v>6942450067</v>
      </c>
      <c r="N5470" t="s">
        <v>176</v>
      </c>
      <c r="O5470" t="s">
        <v>177</v>
      </c>
      <c r="R5470" t="s">
        <v>57</v>
      </c>
      <c r="S5470">
        <v>7</v>
      </c>
      <c r="T5470">
        <v>775</v>
      </c>
      <c r="U5470" s="1">
        <v>39680</v>
      </c>
      <c r="V5470" t="s">
        <v>80</v>
      </c>
      <c r="W5470" t="s">
        <v>81</v>
      </c>
      <c r="X5470" t="s">
        <v>58</v>
      </c>
      <c r="Y5470">
        <v>22</v>
      </c>
      <c r="Z5470" t="s">
        <v>59</v>
      </c>
      <c r="AA5470" t="s">
        <v>59</v>
      </c>
      <c r="AB5470" t="s">
        <v>59</v>
      </c>
      <c r="AC5470" t="s">
        <v>59</v>
      </c>
      <c r="AD5470" t="s">
        <v>59</v>
      </c>
      <c r="AF5470" s="1">
        <v>39681</v>
      </c>
      <c r="AG5470" t="s">
        <v>8645</v>
      </c>
      <c r="AH5470" t="s">
        <v>8646</v>
      </c>
      <c r="AI5470" t="str">
        <f>"9170285"</f>
        <v>9170285</v>
      </c>
      <c r="AJ5470" t="s">
        <v>9186</v>
      </c>
      <c r="AK5470">
        <v>2894031223</v>
      </c>
      <c r="AL5470" t="s">
        <v>9187</v>
      </c>
      <c r="AM5470" t="s">
        <v>78</v>
      </c>
      <c r="AN5470" t="s">
        <v>242</v>
      </c>
      <c r="AO5470" t="s">
        <v>999</v>
      </c>
      <c r="AP5470" t="s">
        <v>999</v>
      </c>
      <c r="AQ5470">
        <v>21</v>
      </c>
      <c r="AR5470" t="s">
        <v>80</v>
      </c>
      <c r="AS5470" t="s">
        <v>81</v>
      </c>
      <c r="AT5470" t="s">
        <v>58</v>
      </c>
      <c r="AU5470" t="s">
        <v>68</v>
      </c>
      <c r="AV5470" t="s">
        <v>69</v>
      </c>
      <c r="AW5470" s="1">
        <v>26356</v>
      </c>
      <c r="AX5470">
        <v>1</v>
      </c>
    </row>
    <row r="5471" spans="1:50">
      <c r="B5471" t="str">
        <f>"125598732"</f>
        <v>125598732</v>
      </c>
      <c r="C5471" t="s">
        <v>50</v>
      </c>
      <c r="D5471" t="s">
        <v>9800</v>
      </c>
      <c r="E5471" t="s">
        <v>263</v>
      </c>
      <c r="F5471" t="s">
        <v>166</v>
      </c>
      <c r="G5471" t="s">
        <v>52</v>
      </c>
      <c r="H5471" t="str">
        <f>" "</f>
        <v xml:space="preserve"> </v>
      </c>
      <c r="N5471" t="s">
        <v>615</v>
      </c>
      <c r="O5471" t="s">
        <v>616</v>
      </c>
      <c r="R5471" t="s">
        <v>121</v>
      </c>
      <c r="S5471">
        <v>1</v>
      </c>
      <c r="T5471" t="s">
        <v>8675</v>
      </c>
      <c r="U5471" s="1">
        <v>43348</v>
      </c>
      <c r="V5471" t="s">
        <v>80</v>
      </c>
      <c r="W5471" t="s">
        <v>81</v>
      </c>
      <c r="X5471" t="s">
        <v>58</v>
      </c>
      <c r="Y5471">
        <v>24</v>
      </c>
      <c r="Z5471" t="s">
        <v>59</v>
      </c>
      <c r="AA5471" t="s">
        <v>59</v>
      </c>
      <c r="AB5471" t="s">
        <v>59</v>
      </c>
      <c r="AD5471" t="s">
        <v>59</v>
      </c>
      <c r="AF5471" s="1">
        <v>43348</v>
      </c>
      <c r="AG5471" t="s">
        <v>8645</v>
      </c>
      <c r="AH5471" t="s">
        <v>8646</v>
      </c>
      <c r="AI5471" t="str">
        <f>"9170336"</f>
        <v>9170336</v>
      </c>
      <c r="AJ5471" t="s">
        <v>9801</v>
      </c>
      <c r="AK5471">
        <v>2892045288</v>
      </c>
      <c r="AL5471" t="s">
        <v>9802</v>
      </c>
      <c r="AM5471" t="s">
        <v>78</v>
      </c>
      <c r="AN5471" t="s">
        <v>242</v>
      </c>
      <c r="AO5471" t="s">
        <v>349</v>
      </c>
      <c r="AP5471" t="s">
        <v>9803</v>
      </c>
      <c r="AQ5471">
        <v>18</v>
      </c>
      <c r="AR5471" t="s">
        <v>80</v>
      </c>
      <c r="AS5471" t="s">
        <v>81</v>
      </c>
      <c r="AT5471" t="s">
        <v>58</v>
      </c>
      <c r="AU5471" t="s">
        <v>8673</v>
      </c>
      <c r="AV5471" t="s">
        <v>132</v>
      </c>
      <c r="AW5471" s="1">
        <v>30514</v>
      </c>
      <c r="AX5471">
        <v>1</v>
      </c>
    </row>
    <row r="5472" spans="1:50">
      <c r="B5472" t="str">
        <f>"142676110"</f>
        <v>142676110</v>
      </c>
      <c r="C5472" t="s">
        <v>105</v>
      </c>
      <c r="D5472" t="s">
        <v>9804</v>
      </c>
      <c r="E5472" t="s">
        <v>95</v>
      </c>
      <c r="F5472" t="s">
        <v>99</v>
      </c>
      <c r="G5472" t="s">
        <v>255</v>
      </c>
      <c r="H5472" t="str">
        <f>"ΣΙΔΗΡΟΚΑΣΤΡΟΥ 13-15 "</f>
        <v xml:space="preserve">ΣΙΔΗΡΟΚΑΣΤΡΟΥ 13-15 </v>
      </c>
      <c r="I5472">
        <v>62124</v>
      </c>
      <c r="J5472">
        <v>2321027476</v>
      </c>
      <c r="K5472">
        <v>6944952059</v>
      </c>
      <c r="N5472" t="s">
        <v>615</v>
      </c>
      <c r="O5472" t="s">
        <v>616</v>
      </c>
      <c r="R5472" t="s">
        <v>159</v>
      </c>
      <c r="S5472">
        <v>3</v>
      </c>
      <c r="T5472" t="s">
        <v>8675</v>
      </c>
      <c r="U5472" s="1">
        <v>43348</v>
      </c>
      <c r="V5472" t="s">
        <v>80</v>
      </c>
      <c r="W5472" t="s">
        <v>81</v>
      </c>
      <c r="X5472" t="s">
        <v>58</v>
      </c>
      <c r="Y5472">
        <v>25</v>
      </c>
      <c r="Z5472" t="s">
        <v>59</v>
      </c>
      <c r="AA5472" t="s">
        <v>59</v>
      </c>
      <c r="AB5472" t="s">
        <v>59</v>
      </c>
      <c r="AC5472" t="s">
        <v>59</v>
      </c>
      <c r="AD5472" t="s">
        <v>59</v>
      </c>
      <c r="AF5472" s="1">
        <v>43348</v>
      </c>
      <c r="AG5472" t="s">
        <v>8645</v>
      </c>
      <c r="AH5472" t="s">
        <v>8676</v>
      </c>
      <c r="AI5472" t="str">
        <f>"9170325"</f>
        <v>9170325</v>
      </c>
      <c r="AJ5472" t="s">
        <v>9805</v>
      </c>
      <c r="AK5472">
        <v>2893031002</v>
      </c>
      <c r="AL5472" t="s">
        <v>9806</v>
      </c>
      <c r="AM5472" t="s">
        <v>78</v>
      </c>
      <c r="AN5472" t="s">
        <v>405</v>
      </c>
      <c r="AO5472" t="s">
        <v>805</v>
      </c>
      <c r="AP5472" t="s">
        <v>9807</v>
      </c>
      <c r="AQ5472">
        <v>15</v>
      </c>
      <c r="AR5472" t="s">
        <v>80</v>
      </c>
      <c r="AS5472" t="s">
        <v>81</v>
      </c>
      <c r="AT5472" t="s">
        <v>58</v>
      </c>
      <c r="AU5472" t="s">
        <v>8673</v>
      </c>
      <c r="AV5472" t="s">
        <v>132</v>
      </c>
      <c r="AW5472" s="1">
        <v>31876</v>
      </c>
      <c r="AX5472">
        <v>1</v>
      </c>
    </row>
    <row r="5473" spans="1:50">
      <c r="A5473">
        <v>601055</v>
      </c>
      <c r="B5473" t="str">
        <f>"059626076"</f>
        <v>059626076</v>
      </c>
      <c r="C5473" t="s">
        <v>50</v>
      </c>
      <c r="D5473" t="s">
        <v>9808</v>
      </c>
      <c r="E5473" t="s">
        <v>484</v>
      </c>
      <c r="F5473" t="s">
        <v>670</v>
      </c>
      <c r="G5473" t="s">
        <v>255</v>
      </c>
      <c r="H5473" t="str">
        <f>"ΔΥΟΒΟΥΝΙΩΤΗ 13 ΗΡΑΚΛΕΙΟ"</f>
        <v>ΔΥΟΒΟΥΝΙΩΤΗ 13 ΗΡΑΚΛΕΙΟ</v>
      </c>
      <c r="I5473">
        <v>71305</v>
      </c>
      <c r="J5473">
        <v>2815003151</v>
      </c>
      <c r="K5473">
        <v>6972836005</v>
      </c>
      <c r="N5473" t="s">
        <v>615</v>
      </c>
      <c r="O5473" t="s">
        <v>616</v>
      </c>
      <c r="R5473" t="s">
        <v>57</v>
      </c>
      <c r="S5473">
        <v>8</v>
      </c>
      <c r="T5473">
        <v>207</v>
      </c>
      <c r="U5473" s="1">
        <v>37501</v>
      </c>
      <c r="V5473" t="s">
        <v>80</v>
      </c>
      <c r="W5473" t="s">
        <v>81</v>
      </c>
      <c r="X5473" t="s">
        <v>58</v>
      </c>
      <c r="Y5473">
        <v>22</v>
      </c>
      <c r="Z5473" t="s">
        <v>59</v>
      </c>
      <c r="AA5473" t="s">
        <v>59</v>
      </c>
      <c r="AB5473" t="s">
        <v>59</v>
      </c>
      <c r="AC5473" t="s">
        <v>59</v>
      </c>
      <c r="AD5473" t="s">
        <v>59</v>
      </c>
      <c r="AF5473" s="1">
        <v>37866</v>
      </c>
      <c r="AG5473" t="s">
        <v>8645</v>
      </c>
      <c r="AH5473" t="s">
        <v>8646</v>
      </c>
      <c r="AI5473" t="str">
        <f>"9170028"</f>
        <v>9170028</v>
      </c>
      <c r="AJ5473" t="s">
        <v>9791</v>
      </c>
      <c r="AK5473">
        <v>2810711204</v>
      </c>
      <c r="AL5473" t="s">
        <v>9792</v>
      </c>
      <c r="AM5473" t="s">
        <v>78</v>
      </c>
      <c r="AN5473" t="s">
        <v>129</v>
      </c>
      <c r="AO5473" t="s">
        <v>597</v>
      </c>
      <c r="AP5473" t="s">
        <v>598</v>
      </c>
      <c r="AQ5473">
        <v>4</v>
      </c>
      <c r="AR5473" t="s">
        <v>80</v>
      </c>
      <c r="AS5473" t="s">
        <v>81</v>
      </c>
      <c r="AT5473" t="s">
        <v>58</v>
      </c>
      <c r="AU5473" t="s">
        <v>68</v>
      </c>
      <c r="AV5473" t="s">
        <v>2039</v>
      </c>
      <c r="AW5473" s="1">
        <v>26733</v>
      </c>
      <c r="AX5473">
        <v>1</v>
      </c>
    </row>
    <row r="5474" spans="1:50">
      <c r="B5474" t="str">
        <f>"068093517"</f>
        <v>068093517</v>
      </c>
      <c r="C5474" t="s">
        <v>50</v>
      </c>
      <c r="D5474" t="s">
        <v>9809</v>
      </c>
      <c r="E5474" t="s">
        <v>191</v>
      </c>
      <c r="F5474" t="s">
        <v>995</v>
      </c>
      <c r="G5474" t="s">
        <v>215</v>
      </c>
      <c r="H5474" t="str">
        <f>"ΜΗΤΡ.ΛΕΟΝΤΙΟΥ 4 "</f>
        <v xml:space="preserve">ΜΗΤΡ.ΛΕΟΝΤΙΟΥ 4 </v>
      </c>
      <c r="I5474">
        <v>50300</v>
      </c>
      <c r="J5474">
        <v>2465023154</v>
      </c>
      <c r="K5474">
        <v>6945071827</v>
      </c>
      <c r="N5474" t="s">
        <v>615</v>
      </c>
      <c r="O5474" t="s">
        <v>616</v>
      </c>
      <c r="R5474" t="s">
        <v>159</v>
      </c>
      <c r="S5474">
        <v>5</v>
      </c>
      <c r="T5474" t="s">
        <v>8675</v>
      </c>
      <c r="U5474" s="1">
        <v>43348</v>
      </c>
      <c r="V5474" t="s">
        <v>80</v>
      </c>
      <c r="W5474" t="s">
        <v>81</v>
      </c>
      <c r="X5474" t="s">
        <v>58</v>
      </c>
      <c r="Y5474">
        <v>24</v>
      </c>
      <c r="Z5474" t="s">
        <v>59</v>
      </c>
      <c r="AA5474" t="s">
        <v>59</v>
      </c>
      <c r="AB5474" t="s">
        <v>59</v>
      </c>
      <c r="AC5474" t="s">
        <v>59</v>
      </c>
      <c r="AD5474" t="s">
        <v>59</v>
      </c>
      <c r="AF5474" s="1">
        <v>43348</v>
      </c>
      <c r="AG5474" t="s">
        <v>8645</v>
      </c>
      <c r="AH5474" t="s">
        <v>8646</v>
      </c>
      <c r="AI5474" t="str">
        <f>"9170250"</f>
        <v>9170250</v>
      </c>
      <c r="AJ5474" t="s">
        <v>8823</v>
      </c>
      <c r="AK5474">
        <v>2897022005</v>
      </c>
      <c r="AL5474" t="s">
        <v>8824</v>
      </c>
      <c r="AM5474" t="s">
        <v>78</v>
      </c>
      <c r="AN5474" t="s">
        <v>219</v>
      </c>
      <c r="AO5474" t="s">
        <v>219</v>
      </c>
      <c r="AP5474" t="s">
        <v>219</v>
      </c>
      <c r="AQ5474">
        <v>8</v>
      </c>
      <c r="AR5474" t="s">
        <v>80</v>
      </c>
      <c r="AS5474" t="s">
        <v>81</v>
      </c>
      <c r="AT5474" t="s">
        <v>58</v>
      </c>
      <c r="AU5474" t="s">
        <v>8673</v>
      </c>
      <c r="AV5474" t="s">
        <v>132</v>
      </c>
      <c r="AW5474" s="1">
        <v>31987</v>
      </c>
      <c r="AX5474">
        <v>1</v>
      </c>
    </row>
    <row r="5475" spans="1:50">
      <c r="A5475">
        <v>598395</v>
      </c>
      <c r="B5475" t="str">
        <f>"055224521"</f>
        <v>055224521</v>
      </c>
      <c r="C5475" t="s">
        <v>105</v>
      </c>
      <c r="D5475" t="s">
        <v>9810</v>
      </c>
      <c r="E5475" t="s">
        <v>166</v>
      </c>
      <c r="F5475" t="s">
        <v>920</v>
      </c>
      <c r="G5475" t="s">
        <v>215</v>
      </c>
      <c r="H5475" t="str">
        <f>"Α. ΠΑΠΑΝΔΡΕΟΥ 25 ΗΡΑΚΛΕΙΟ"</f>
        <v>Α. ΠΑΠΑΝΔΡΕΟΥ 25 ΗΡΑΚΛΕΙΟ</v>
      </c>
      <c r="J5475">
        <v>2810243030</v>
      </c>
      <c r="K5475">
        <v>6937439024</v>
      </c>
      <c r="N5475" t="s">
        <v>615</v>
      </c>
      <c r="O5475" t="s">
        <v>616</v>
      </c>
      <c r="R5475" t="s">
        <v>57</v>
      </c>
      <c r="S5475">
        <v>9</v>
      </c>
      <c r="T5475">
        <v>195</v>
      </c>
      <c r="U5475" s="1">
        <v>37497</v>
      </c>
      <c r="V5475" t="s">
        <v>80</v>
      </c>
      <c r="W5475" t="s">
        <v>81</v>
      </c>
      <c r="X5475" t="s">
        <v>58</v>
      </c>
      <c r="Y5475">
        <v>22</v>
      </c>
      <c r="Z5475" t="s">
        <v>59</v>
      </c>
      <c r="AA5475" t="s">
        <v>59</v>
      </c>
      <c r="AB5475" t="s">
        <v>59</v>
      </c>
      <c r="AC5475" t="s">
        <v>59</v>
      </c>
      <c r="AD5475" t="s">
        <v>59</v>
      </c>
      <c r="AF5475" s="1">
        <v>37501</v>
      </c>
      <c r="AG5475" t="s">
        <v>8645</v>
      </c>
      <c r="AH5475" t="s">
        <v>8646</v>
      </c>
      <c r="AI5475" t="str">
        <f>"9170048"</f>
        <v>9170048</v>
      </c>
      <c r="AJ5475" t="s">
        <v>8977</v>
      </c>
      <c r="AK5475">
        <v>2810283303</v>
      </c>
      <c r="AL5475" t="s">
        <v>8978</v>
      </c>
      <c r="AM5475" t="s">
        <v>78</v>
      </c>
      <c r="AN5475" t="s">
        <v>78</v>
      </c>
      <c r="AO5475" t="s">
        <v>78</v>
      </c>
      <c r="AP5475" t="s">
        <v>79</v>
      </c>
      <c r="AQ5475">
        <v>1</v>
      </c>
      <c r="AR5475" t="s">
        <v>80</v>
      </c>
      <c r="AS5475" t="s">
        <v>81</v>
      </c>
      <c r="AT5475" t="s">
        <v>58</v>
      </c>
      <c r="AU5475" t="s">
        <v>68</v>
      </c>
      <c r="AV5475" t="s">
        <v>69</v>
      </c>
      <c r="AW5475" s="1">
        <v>24581</v>
      </c>
      <c r="AX5475">
        <v>1</v>
      </c>
    </row>
    <row r="5476" spans="1:50">
      <c r="B5476" t="str">
        <f>"137234153"</f>
        <v>137234153</v>
      </c>
      <c r="C5476" t="s">
        <v>50</v>
      </c>
      <c r="D5476" t="s">
        <v>1615</v>
      </c>
      <c r="E5476" t="s">
        <v>314</v>
      </c>
      <c r="F5476" t="s">
        <v>670</v>
      </c>
      <c r="G5476" t="s">
        <v>83</v>
      </c>
      <c r="H5476" t="str">
        <f>"ΤΡΩΩΝ 100 ΑΘΗΝΑ"</f>
        <v>ΤΡΩΩΝ 100 ΑΘΗΝΑ</v>
      </c>
      <c r="I5476">
        <v>11852</v>
      </c>
      <c r="J5476">
        <v>2110100447</v>
      </c>
      <c r="K5476">
        <v>6971834666</v>
      </c>
      <c r="N5476" t="s">
        <v>384</v>
      </c>
      <c r="O5476" t="s">
        <v>385</v>
      </c>
      <c r="R5476" t="s">
        <v>159</v>
      </c>
      <c r="S5476">
        <v>3</v>
      </c>
      <c r="T5476" t="s">
        <v>9034</v>
      </c>
      <c r="U5476" s="1">
        <v>43377</v>
      </c>
      <c r="V5476" t="s">
        <v>80</v>
      </c>
      <c r="W5476" t="s">
        <v>81</v>
      </c>
      <c r="X5476" t="s">
        <v>58</v>
      </c>
      <c r="Y5476">
        <v>14</v>
      </c>
      <c r="Z5476" t="s">
        <v>59</v>
      </c>
      <c r="AA5476" t="s">
        <v>59</v>
      </c>
      <c r="AB5476" t="s">
        <v>59</v>
      </c>
      <c r="AC5476" t="s">
        <v>59</v>
      </c>
      <c r="AD5476" t="s">
        <v>59</v>
      </c>
      <c r="AF5476" s="1">
        <v>43377</v>
      </c>
      <c r="AG5476" t="s">
        <v>8645</v>
      </c>
      <c r="AH5476" t="s">
        <v>8646</v>
      </c>
      <c r="AI5476" t="str">
        <f>"9170242"</f>
        <v>9170242</v>
      </c>
      <c r="AJ5476" t="s">
        <v>9314</v>
      </c>
      <c r="AK5476">
        <v>2897031254</v>
      </c>
      <c r="AL5476" t="s">
        <v>9315</v>
      </c>
      <c r="AM5476" t="s">
        <v>78</v>
      </c>
      <c r="AN5476" t="s">
        <v>219</v>
      </c>
      <c r="AO5476" t="s">
        <v>527</v>
      </c>
      <c r="AP5476" t="s">
        <v>527</v>
      </c>
      <c r="AQ5476">
        <v>8</v>
      </c>
      <c r="AR5476" t="s">
        <v>80</v>
      </c>
      <c r="AS5476" t="s">
        <v>81</v>
      </c>
      <c r="AT5476" t="s">
        <v>58</v>
      </c>
      <c r="AU5476" t="s">
        <v>8686</v>
      </c>
      <c r="AV5476" t="s">
        <v>132</v>
      </c>
      <c r="AW5476" s="1">
        <v>28422</v>
      </c>
      <c r="AX5476">
        <v>1</v>
      </c>
    </row>
    <row r="5477" spans="1:50">
      <c r="A5477">
        <v>564117</v>
      </c>
      <c r="B5477" t="str">
        <f>"037164272"</f>
        <v>037164272</v>
      </c>
      <c r="C5477" t="s">
        <v>50</v>
      </c>
      <c r="D5477" t="s">
        <v>9811</v>
      </c>
      <c r="E5477" t="s">
        <v>250</v>
      </c>
      <c r="F5477" t="s">
        <v>95</v>
      </c>
      <c r="G5477" t="s">
        <v>727</v>
      </c>
      <c r="H5477" t="str">
        <f>"ΦΙΛΟΛΑΟΥ 6 ΗΡΑΚΛΕΙΟΥ"</f>
        <v>ΦΙΛΟΛΑΟΥ 6 ΗΡΑΚΛΕΙΟΥ</v>
      </c>
      <c r="I5477">
        <v>71307</v>
      </c>
      <c r="J5477">
        <v>2810361992</v>
      </c>
      <c r="K5477">
        <v>6937163508</v>
      </c>
      <c r="M5477" t="s">
        <v>9812</v>
      </c>
      <c r="N5477" t="s">
        <v>615</v>
      </c>
      <c r="O5477" t="s">
        <v>616</v>
      </c>
      <c r="R5477" t="s">
        <v>57</v>
      </c>
      <c r="S5477">
        <v>14</v>
      </c>
      <c r="T5477">
        <v>161</v>
      </c>
      <c r="U5477" s="1">
        <v>33119</v>
      </c>
      <c r="V5477" t="s">
        <v>80</v>
      </c>
      <c r="W5477" t="s">
        <v>81</v>
      </c>
      <c r="X5477" t="s">
        <v>58</v>
      </c>
      <c r="Y5477">
        <v>21</v>
      </c>
      <c r="Z5477" t="s">
        <v>59</v>
      </c>
      <c r="AA5477" t="s">
        <v>59</v>
      </c>
      <c r="AB5477" t="s">
        <v>59</v>
      </c>
      <c r="AC5477" t="s">
        <v>59</v>
      </c>
      <c r="AD5477" t="s">
        <v>59</v>
      </c>
      <c r="AF5477" s="1">
        <v>33121</v>
      </c>
      <c r="AG5477" t="s">
        <v>8645</v>
      </c>
      <c r="AH5477" t="s">
        <v>8646</v>
      </c>
      <c r="AI5477" t="str">
        <f>"9170560"</f>
        <v>9170560</v>
      </c>
      <c r="AJ5477" t="s">
        <v>9022</v>
      </c>
      <c r="AK5477">
        <v>2810821816</v>
      </c>
      <c r="AL5477" t="s">
        <v>9023</v>
      </c>
      <c r="AM5477" t="s">
        <v>78</v>
      </c>
      <c r="AN5477" t="s">
        <v>129</v>
      </c>
      <c r="AO5477" t="s">
        <v>130</v>
      </c>
      <c r="AP5477" t="s">
        <v>130</v>
      </c>
      <c r="AQ5477">
        <v>1</v>
      </c>
      <c r="AR5477" t="s">
        <v>80</v>
      </c>
      <c r="AS5477" t="s">
        <v>81</v>
      </c>
      <c r="AT5477" t="s">
        <v>58</v>
      </c>
      <c r="AU5477" t="s">
        <v>68</v>
      </c>
      <c r="AV5477" t="s">
        <v>69</v>
      </c>
      <c r="AW5477" s="1">
        <v>23998</v>
      </c>
      <c r="AX5477">
        <v>1</v>
      </c>
    </row>
    <row r="5478" spans="1:50">
      <c r="B5478" t="str">
        <f>"123688686"</f>
        <v>123688686</v>
      </c>
      <c r="C5478" t="s">
        <v>50</v>
      </c>
      <c r="D5478" t="s">
        <v>1619</v>
      </c>
      <c r="E5478" t="s">
        <v>250</v>
      </c>
      <c r="F5478" t="s">
        <v>760</v>
      </c>
      <c r="G5478" t="s">
        <v>52</v>
      </c>
      <c r="H5478" t="str">
        <f>" "</f>
        <v xml:space="preserve"> </v>
      </c>
      <c r="N5478" t="s">
        <v>1525</v>
      </c>
      <c r="O5478" t="s">
        <v>1526</v>
      </c>
      <c r="R5478" t="s">
        <v>121</v>
      </c>
      <c r="S5478">
        <v>1</v>
      </c>
      <c r="T5478" t="s">
        <v>8670</v>
      </c>
      <c r="U5478" s="1">
        <v>43348</v>
      </c>
      <c r="V5478" t="s">
        <v>80</v>
      </c>
      <c r="W5478" t="s">
        <v>81</v>
      </c>
      <c r="X5478" t="s">
        <v>58</v>
      </c>
      <c r="Y5478">
        <v>25</v>
      </c>
      <c r="Z5478" t="s">
        <v>59</v>
      </c>
      <c r="AA5478" t="s">
        <v>59</v>
      </c>
      <c r="AB5478" t="s">
        <v>59</v>
      </c>
      <c r="AD5478" t="s">
        <v>59</v>
      </c>
      <c r="AF5478" s="1">
        <v>43348</v>
      </c>
      <c r="AG5478" t="s">
        <v>8651</v>
      </c>
      <c r="AH5478" t="s">
        <v>8652</v>
      </c>
      <c r="AI5478" t="str">
        <f>"9170553"</f>
        <v>9170553</v>
      </c>
      <c r="AJ5478" t="s">
        <v>9813</v>
      </c>
      <c r="AK5478">
        <v>2892023325</v>
      </c>
      <c r="AL5478" t="s">
        <v>9814</v>
      </c>
      <c r="AM5478" t="s">
        <v>78</v>
      </c>
      <c r="AN5478" t="s">
        <v>242</v>
      </c>
      <c r="AO5478" t="s">
        <v>243</v>
      </c>
      <c r="AP5478" t="s">
        <v>243</v>
      </c>
      <c r="AQ5478">
        <v>20</v>
      </c>
      <c r="AR5478" t="s">
        <v>80</v>
      </c>
      <c r="AS5478" t="s">
        <v>81</v>
      </c>
      <c r="AT5478" t="s">
        <v>58</v>
      </c>
      <c r="AU5478" t="s">
        <v>8673</v>
      </c>
      <c r="AV5478" t="s">
        <v>132</v>
      </c>
      <c r="AW5478" s="1">
        <v>31615</v>
      </c>
      <c r="AX5478">
        <v>1</v>
      </c>
    </row>
    <row r="5479" spans="1:50">
      <c r="B5479" t="str">
        <f>"137249719"</f>
        <v>137249719</v>
      </c>
      <c r="C5479" t="s">
        <v>50</v>
      </c>
      <c r="D5479" t="s">
        <v>9815</v>
      </c>
      <c r="E5479" t="s">
        <v>263</v>
      </c>
      <c r="F5479" t="s">
        <v>166</v>
      </c>
      <c r="G5479" t="s">
        <v>1644</v>
      </c>
      <c r="H5479" t="str">
        <f>" "</f>
        <v xml:space="preserve"> </v>
      </c>
      <c r="N5479" t="s">
        <v>1525</v>
      </c>
      <c r="O5479" t="s">
        <v>1526</v>
      </c>
      <c r="R5479" t="s">
        <v>121</v>
      </c>
      <c r="S5479">
        <v>1</v>
      </c>
      <c r="T5479" t="s">
        <v>8670</v>
      </c>
      <c r="U5479" s="1">
        <v>43348</v>
      </c>
      <c r="V5479" t="s">
        <v>80</v>
      </c>
      <c r="W5479" t="s">
        <v>81</v>
      </c>
      <c r="X5479" t="s">
        <v>58</v>
      </c>
      <c r="Y5479">
        <v>25</v>
      </c>
      <c r="Z5479" t="s">
        <v>59</v>
      </c>
      <c r="AA5479" t="s">
        <v>59</v>
      </c>
      <c r="AB5479" t="s">
        <v>59</v>
      </c>
      <c r="AD5479" t="s">
        <v>59</v>
      </c>
      <c r="AF5479" s="1">
        <v>43348</v>
      </c>
      <c r="AG5479" t="s">
        <v>8651</v>
      </c>
      <c r="AH5479" t="s">
        <v>8652</v>
      </c>
      <c r="AI5479" t="str">
        <f>"9170499"</f>
        <v>9170499</v>
      </c>
      <c r="AJ5479" t="s">
        <v>9816</v>
      </c>
      <c r="AK5479">
        <v>2810257978</v>
      </c>
      <c r="AL5479" t="s">
        <v>9817</v>
      </c>
      <c r="AM5479" t="s">
        <v>78</v>
      </c>
      <c r="AN5479" t="s">
        <v>78</v>
      </c>
      <c r="AO5479" t="s">
        <v>78</v>
      </c>
      <c r="AP5479" t="s">
        <v>79</v>
      </c>
      <c r="AQ5479">
        <v>1</v>
      </c>
      <c r="AR5479" t="s">
        <v>80</v>
      </c>
      <c r="AS5479" t="s">
        <v>81</v>
      </c>
      <c r="AT5479" t="s">
        <v>58</v>
      </c>
      <c r="AU5479" t="s">
        <v>8673</v>
      </c>
      <c r="AV5479" t="s">
        <v>132</v>
      </c>
      <c r="AW5479" s="1">
        <v>31025</v>
      </c>
      <c r="AX5479">
        <v>1</v>
      </c>
    </row>
    <row r="5480" spans="1:50">
      <c r="B5480" t="str">
        <f>"137248089"</f>
        <v>137248089</v>
      </c>
      <c r="C5480" t="s">
        <v>50</v>
      </c>
      <c r="D5480" t="s">
        <v>9818</v>
      </c>
      <c r="E5480" t="s">
        <v>191</v>
      </c>
      <c r="F5480" t="s">
        <v>95</v>
      </c>
      <c r="G5480" t="s">
        <v>52</v>
      </c>
      <c r="H5480" t="str">
        <f>"ΠΡΕΒΕΛΙΑΝΑ ΜΟΙΡΕΣ"</f>
        <v>ΠΡΕΒΕΛΙΑΝΑ ΜΟΙΡΕΣ</v>
      </c>
      <c r="I5480">
        <v>70003</v>
      </c>
      <c r="J5480">
        <v>2894023253</v>
      </c>
      <c r="K5480">
        <v>6939528296</v>
      </c>
      <c r="N5480" t="s">
        <v>615</v>
      </c>
      <c r="O5480" t="s">
        <v>616</v>
      </c>
      <c r="R5480" t="s">
        <v>159</v>
      </c>
      <c r="S5480">
        <v>3</v>
      </c>
      <c r="T5480" t="s">
        <v>8675</v>
      </c>
      <c r="U5480" s="1">
        <v>43348</v>
      </c>
      <c r="V5480" t="s">
        <v>80</v>
      </c>
      <c r="W5480" t="s">
        <v>81</v>
      </c>
      <c r="X5480" t="s">
        <v>58</v>
      </c>
      <c r="Y5480">
        <v>24</v>
      </c>
      <c r="Z5480" t="s">
        <v>59</v>
      </c>
      <c r="AA5480" t="s">
        <v>59</v>
      </c>
      <c r="AB5480" t="s">
        <v>59</v>
      </c>
      <c r="AC5480" t="s">
        <v>59</v>
      </c>
      <c r="AD5480" t="s">
        <v>59</v>
      </c>
      <c r="AF5480" s="1">
        <v>43348</v>
      </c>
      <c r="AG5480" t="s">
        <v>8645</v>
      </c>
      <c r="AH5480" t="s">
        <v>8646</v>
      </c>
      <c r="AI5480" t="str">
        <f>"9170191"</f>
        <v>9170191</v>
      </c>
      <c r="AJ5480" t="s">
        <v>8667</v>
      </c>
      <c r="AK5480">
        <v>2810231459</v>
      </c>
      <c r="AL5480" t="s">
        <v>8668</v>
      </c>
      <c r="AM5480" t="s">
        <v>78</v>
      </c>
      <c r="AN5480" t="s">
        <v>78</v>
      </c>
      <c r="AO5480" t="s">
        <v>78</v>
      </c>
      <c r="AP5480" t="s">
        <v>163</v>
      </c>
      <c r="AQ5480">
        <v>1</v>
      </c>
      <c r="AR5480" t="s">
        <v>80</v>
      </c>
      <c r="AS5480" t="s">
        <v>81</v>
      </c>
      <c r="AT5480" t="s">
        <v>58</v>
      </c>
      <c r="AU5480" t="s">
        <v>8673</v>
      </c>
      <c r="AV5480" t="s">
        <v>132</v>
      </c>
      <c r="AW5480" s="1">
        <v>31723</v>
      </c>
      <c r="AX5480">
        <v>1</v>
      </c>
    </row>
    <row r="5481" spans="1:50">
      <c r="A5481">
        <v>591913</v>
      </c>
      <c r="B5481" t="str">
        <f>"073558485"</f>
        <v>073558485</v>
      </c>
      <c r="C5481" t="s">
        <v>50</v>
      </c>
      <c r="D5481" t="s">
        <v>9819</v>
      </c>
      <c r="E5481" t="s">
        <v>191</v>
      </c>
      <c r="F5481" t="s">
        <v>72</v>
      </c>
      <c r="G5481" t="s">
        <v>250</v>
      </c>
      <c r="H5481" t="str">
        <f>"ΜΙΝΩΟΣ 13Α ΗΡΑΚΛΕΙΟ"</f>
        <v>ΜΙΝΩΟΣ 13Α ΗΡΑΚΛΕΙΟ</v>
      </c>
      <c r="I5481">
        <v>71303</v>
      </c>
      <c r="J5481">
        <v>2810259834</v>
      </c>
      <c r="K5481">
        <v>6946067266</v>
      </c>
      <c r="N5481" t="s">
        <v>1525</v>
      </c>
      <c r="O5481" t="s">
        <v>1526</v>
      </c>
      <c r="R5481" t="s">
        <v>57</v>
      </c>
      <c r="S5481">
        <v>11</v>
      </c>
      <c r="T5481">
        <v>249</v>
      </c>
      <c r="U5481" s="1">
        <v>36770</v>
      </c>
      <c r="V5481" t="s">
        <v>80</v>
      </c>
      <c r="W5481" t="s">
        <v>81</v>
      </c>
      <c r="X5481" t="s">
        <v>58</v>
      </c>
      <c r="Y5481">
        <v>25</v>
      </c>
      <c r="Z5481" t="s">
        <v>59</v>
      </c>
      <c r="AA5481" t="s">
        <v>59</v>
      </c>
      <c r="AB5481" t="s">
        <v>59</v>
      </c>
      <c r="AC5481" t="s">
        <v>59</v>
      </c>
      <c r="AD5481" t="s">
        <v>59</v>
      </c>
      <c r="AF5481" s="1">
        <v>36770</v>
      </c>
      <c r="AG5481" t="s">
        <v>8651</v>
      </c>
      <c r="AH5481" t="s">
        <v>8652</v>
      </c>
      <c r="AI5481" t="str">
        <f>"9170026"</f>
        <v>9170026</v>
      </c>
      <c r="AJ5481" t="s">
        <v>9820</v>
      </c>
      <c r="AK5481">
        <v>2810711205</v>
      </c>
      <c r="AL5481" t="s">
        <v>9821</v>
      </c>
      <c r="AM5481" t="s">
        <v>78</v>
      </c>
      <c r="AN5481" t="s">
        <v>129</v>
      </c>
      <c r="AO5481" t="s">
        <v>597</v>
      </c>
      <c r="AP5481" t="s">
        <v>598</v>
      </c>
      <c r="AQ5481">
        <v>4</v>
      </c>
      <c r="AR5481" t="s">
        <v>80</v>
      </c>
      <c r="AS5481" t="s">
        <v>81</v>
      </c>
      <c r="AT5481" t="s">
        <v>58</v>
      </c>
      <c r="AU5481" t="s">
        <v>68</v>
      </c>
      <c r="AV5481" t="s">
        <v>69</v>
      </c>
      <c r="AW5481" s="1">
        <v>26249</v>
      </c>
      <c r="AX5481">
        <v>1</v>
      </c>
    </row>
    <row r="5482" spans="1:50">
      <c r="A5482">
        <v>578834</v>
      </c>
      <c r="B5482" t="str">
        <f>"036671002"</f>
        <v>036671002</v>
      </c>
      <c r="C5482" t="s">
        <v>50</v>
      </c>
      <c r="D5482" t="s">
        <v>1623</v>
      </c>
      <c r="E5482" t="s">
        <v>1078</v>
      </c>
      <c r="F5482" t="s">
        <v>1070</v>
      </c>
      <c r="G5482" t="s">
        <v>52</v>
      </c>
      <c r="H5482" t="str">
        <f>" "</f>
        <v xml:space="preserve"> </v>
      </c>
      <c r="N5482" t="s">
        <v>615</v>
      </c>
      <c r="O5482" t="s">
        <v>616</v>
      </c>
      <c r="R5482" t="s">
        <v>57</v>
      </c>
      <c r="S5482">
        <v>13</v>
      </c>
      <c r="T5482">
        <v>165</v>
      </c>
      <c r="U5482" s="1">
        <v>35300</v>
      </c>
      <c r="V5482" t="s">
        <v>80</v>
      </c>
      <c r="W5482" t="s">
        <v>81</v>
      </c>
      <c r="X5482" t="s">
        <v>58</v>
      </c>
      <c r="Y5482">
        <v>21</v>
      </c>
      <c r="Z5482" t="s">
        <v>59</v>
      </c>
      <c r="AA5482" t="s">
        <v>59</v>
      </c>
      <c r="AB5482" t="s">
        <v>59</v>
      </c>
      <c r="AC5482" t="s">
        <v>59</v>
      </c>
      <c r="AD5482" t="s">
        <v>59</v>
      </c>
      <c r="AF5482" s="1">
        <v>35310</v>
      </c>
      <c r="AG5482" t="s">
        <v>8645</v>
      </c>
      <c r="AH5482" t="s">
        <v>8646</v>
      </c>
      <c r="AI5482" t="str">
        <f>"9170198"</f>
        <v>9170198</v>
      </c>
      <c r="AJ5482" t="s">
        <v>8665</v>
      </c>
      <c r="AK5482">
        <v>2810227379</v>
      </c>
      <c r="AL5482" t="s">
        <v>8666</v>
      </c>
      <c r="AM5482" t="s">
        <v>78</v>
      </c>
      <c r="AN5482" t="s">
        <v>78</v>
      </c>
      <c r="AO5482" t="s">
        <v>78</v>
      </c>
      <c r="AP5482" t="s">
        <v>79</v>
      </c>
      <c r="AQ5482">
        <v>1</v>
      </c>
      <c r="AR5482" t="s">
        <v>80</v>
      </c>
      <c r="AS5482" t="s">
        <v>81</v>
      </c>
      <c r="AT5482" t="s">
        <v>58</v>
      </c>
      <c r="AU5482" t="s">
        <v>68</v>
      </c>
      <c r="AV5482" t="s">
        <v>69</v>
      </c>
      <c r="AW5482" s="1">
        <v>24501</v>
      </c>
      <c r="AX5482">
        <v>1</v>
      </c>
    </row>
    <row r="5483" spans="1:50">
      <c r="B5483" t="str">
        <f>"143764550"</f>
        <v>143764550</v>
      </c>
      <c r="C5483" t="s">
        <v>50</v>
      </c>
      <c r="D5483" t="s">
        <v>9822</v>
      </c>
      <c r="E5483" t="s">
        <v>476</v>
      </c>
      <c r="F5483" t="s">
        <v>450</v>
      </c>
      <c r="G5483" t="s">
        <v>335</v>
      </c>
      <c r="H5483" t="str">
        <f>"ΑΝΔΡΕΟΠΟΥΛΟΥ 16Α "</f>
        <v xml:space="preserve">ΑΝΔΡΕΟΠΟΥΛΟΥ 16Α </v>
      </c>
      <c r="I5483">
        <v>54643</v>
      </c>
      <c r="J5483">
        <v>2310852427</v>
      </c>
      <c r="K5483">
        <v>6974803096</v>
      </c>
      <c r="N5483" t="s">
        <v>1525</v>
      </c>
      <c r="O5483" t="s">
        <v>1526</v>
      </c>
      <c r="R5483" t="s">
        <v>159</v>
      </c>
      <c r="S5483">
        <v>3</v>
      </c>
      <c r="T5483" t="s">
        <v>8670</v>
      </c>
      <c r="U5483" s="1">
        <v>43348</v>
      </c>
      <c r="V5483" t="s">
        <v>80</v>
      </c>
      <c r="W5483" t="s">
        <v>81</v>
      </c>
      <c r="X5483" t="s">
        <v>58</v>
      </c>
      <c r="Y5483">
        <v>25</v>
      </c>
      <c r="Z5483" t="s">
        <v>59</v>
      </c>
      <c r="AA5483" t="s">
        <v>59</v>
      </c>
      <c r="AB5483" t="s">
        <v>59</v>
      </c>
      <c r="AC5483" t="s">
        <v>59</v>
      </c>
      <c r="AD5483" t="s">
        <v>59</v>
      </c>
      <c r="AF5483" s="1">
        <v>43348</v>
      </c>
      <c r="AG5483" t="s">
        <v>8651</v>
      </c>
      <c r="AH5483" t="s">
        <v>8652</v>
      </c>
      <c r="AI5483" t="str">
        <f>"9170503"</f>
        <v>9170503</v>
      </c>
      <c r="AJ5483" t="s">
        <v>9823</v>
      </c>
      <c r="AK5483">
        <v>2892045288</v>
      </c>
      <c r="AL5483" t="s">
        <v>9824</v>
      </c>
      <c r="AM5483" t="s">
        <v>78</v>
      </c>
      <c r="AN5483" t="s">
        <v>242</v>
      </c>
      <c r="AO5483" t="s">
        <v>349</v>
      </c>
      <c r="AP5483" t="s">
        <v>9803</v>
      </c>
      <c r="AQ5483">
        <v>18</v>
      </c>
      <c r="AR5483" t="s">
        <v>80</v>
      </c>
      <c r="AS5483" t="s">
        <v>81</v>
      </c>
      <c r="AT5483" t="s">
        <v>58</v>
      </c>
      <c r="AU5483" t="s">
        <v>8673</v>
      </c>
      <c r="AV5483" t="s">
        <v>132</v>
      </c>
      <c r="AW5483" s="1">
        <v>29663</v>
      </c>
      <c r="AX5483">
        <v>1</v>
      </c>
    </row>
    <row r="5484" spans="1:50">
      <c r="A5484">
        <v>594380</v>
      </c>
      <c r="B5484" t="str">
        <f>"054147955"</f>
        <v>054147955</v>
      </c>
      <c r="C5484" t="s">
        <v>50</v>
      </c>
      <c r="D5484" t="s">
        <v>1625</v>
      </c>
      <c r="E5484" t="s">
        <v>52</v>
      </c>
      <c r="F5484" t="s">
        <v>377</v>
      </c>
      <c r="G5484" t="s">
        <v>255</v>
      </c>
      <c r="H5484" t="str">
        <f>"ΘΕΝΩΝ 84 ΝΕΟ ΣΤΑΔΙΟ ΗΡΑΚΛΕΙΟ"</f>
        <v>ΘΕΝΩΝ 84 ΝΕΟ ΣΤΑΔΙΟ ΗΡΑΚΛΕΙΟ</v>
      </c>
      <c r="I5484">
        <v>71305</v>
      </c>
      <c r="J5484">
        <v>2810528880</v>
      </c>
      <c r="K5484">
        <v>6943907005</v>
      </c>
      <c r="N5484" t="s">
        <v>615</v>
      </c>
      <c r="O5484" t="s">
        <v>616</v>
      </c>
      <c r="R5484" t="s">
        <v>57</v>
      </c>
      <c r="S5484">
        <v>9</v>
      </c>
      <c r="T5484">
        <v>218</v>
      </c>
      <c r="U5484" s="1">
        <v>37134</v>
      </c>
      <c r="V5484" t="s">
        <v>80</v>
      </c>
      <c r="W5484" t="s">
        <v>81</v>
      </c>
      <c r="X5484" t="s">
        <v>58</v>
      </c>
      <c r="Y5484">
        <v>22</v>
      </c>
      <c r="Z5484" t="s">
        <v>59</v>
      </c>
      <c r="AA5484" t="s">
        <v>59</v>
      </c>
      <c r="AB5484" t="s">
        <v>59</v>
      </c>
      <c r="AC5484" t="s">
        <v>59</v>
      </c>
      <c r="AD5484" t="s">
        <v>59</v>
      </c>
      <c r="AF5484" s="1">
        <v>37137</v>
      </c>
      <c r="AG5484" t="s">
        <v>8645</v>
      </c>
      <c r="AH5484" t="s">
        <v>8646</v>
      </c>
      <c r="AI5484" t="str">
        <f>"9170424"</f>
        <v>9170424</v>
      </c>
      <c r="AJ5484" t="s">
        <v>8860</v>
      </c>
      <c r="AK5484">
        <v>2810254530</v>
      </c>
      <c r="AL5484" t="s">
        <v>8861</v>
      </c>
      <c r="AM5484" t="s">
        <v>78</v>
      </c>
      <c r="AN5484" t="s">
        <v>78</v>
      </c>
      <c r="AO5484" t="s">
        <v>78</v>
      </c>
      <c r="AP5484" t="s">
        <v>163</v>
      </c>
      <c r="AQ5484">
        <v>1</v>
      </c>
      <c r="AR5484" t="s">
        <v>80</v>
      </c>
      <c r="AS5484" t="s">
        <v>81</v>
      </c>
      <c r="AT5484" t="s">
        <v>58</v>
      </c>
      <c r="AU5484" t="s">
        <v>68</v>
      </c>
      <c r="AV5484" t="s">
        <v>69</v>
      </c>
      <c r="AW5484" s="1">
        <v>25137</v>
      </c>
      <c r="AX5484">
        <v>1</v>
      </c>
    </row>
    <row r="5485" spans="1:50">
      <c r="A5485">
        <v>618172</v>
      </c>
      <c r="B5485" t="str">
        <f>"132477254"</f>
        <v>132477254</v>
      </c>
      <c r="C5485" t="s">
        <v>50</v>
      </c>
      <c r="D5485" t="s">
        <v>9825</v>
      </c>
      <c r="E5485" t="s">
        <v>476</v>
      </c>
      <c r="F5485" t="s">
        <v>230</v>
      </c>
      <c r="G5485" t="s">
        <v>714</v>
      </c>
      <c r="H5485" t="str">
        <f>"ΑΝΔΡΕΑ ΚΑΛΒΟΥ 18 ΔΡΑΜΑ"</f>
        <v>ΑΝΔΡΕΑ ΚΑΛΒΟΥ 18 ΔΡΑΜΑ</v>
      </c>
      <c r="I5485">
        <v>66100</v>
      </c>
      <c r="J5485">
        <v>2521025078</v>
      </c>
      <c r="K5485">
        <v>6932415830</v>
      </c>
      <c r="N5485" t="s">
        <v>615</v>
      </c>
      <c r="O5485" t="s">
        <v>616</v>
      </c>
      <c r="R5485" t="s">
        <v>57</v>
      </c>
      <c r="S5485">
        <v>5</v>
      </c>
      <c r="T5485">
        <v>774</v>
      </c>
      <c r="U5485" s="1">
        <v>39680</v>
      </c>
      <c r="V5485" t="s">
        <v>80</v>
      </c>
      <c r="W5485" t="s">
        <v>81</v>
      </c>
      <c r="X5485" t="s">
        <v>58</v>
      </c>
      <c r="Y5485">
        <v>23</v>
      </c>
      <c r="Z5485" t="s">
        <v>59</v>
      </c>
      <c r="AA5485" t="s">
        <v>59</v>
      </c>
      <c r="AB5485" t="s">
        <v>59</v>
      </c>
      <c r="AC5485" t="s">
        <v>59</v>
      </c>
      <c r="AD5485" t="s">
        <v>59</v>
      </c>
      <c r="AF5485" s="1">
        <v>39681</v>
      </c>
      <c r="AG5485" t="s">
        <v>8645</v>
      </c>
      <c r="AH5485" t="s">
        <v>8646</v>
      </c>
      <c r="AI5485" t="str">
        <f>"9170362"</f>
        <v>9170362</v>
      </c>
      <c r="AJ5485" t="s">
        <v>8681</v>
      </c>
      <c r="AK5485">
        <v>2810255261</v>
      </c>
      <c r="AL5485" t="s">
        <v>8682</v>
      </c>
      <c r="AM5485" t="s">
        <v>78</v>
      </c>
      <c r="AN5485" t="s">
        <v>78</v>
      </c>
      <c r="AO5485" t="s">
        <v>78</v>
      </c>
      <c r="AP5485" t="s">
        <v>141</v>
      </c>
      <c r="AQ5485">
        <v>1</v>
      </c>
      <c r="AR5485" t="s">
        <v>80</v>
      </c>
      <c r="AS5485" t="s">
        <v>81</v>
      </c>
      <c r="AT5485" t="s">
        <v>58</v>
      </c>
      <c r="AU5485" t="s">
        <v>68</v>
      </c>
      <c r="AV5485" t="s">
        <v>69</v>
      </c>
      <c r="AW5485" s="1">
        <v>30955</v>
      </c>
      <c r="AX5485">
        <v>1</v>
      </c>
    </row>
    <row r="5486" spans="1:50">
      <c r="A5486">
        <v>610119</v>
      </c>
      <c r="B5486" t="str">
        <f>"132990559"</f>
        <v>132990559</v>
      </c>
      <c r="C5486" t="s">
        <v>50</v>
      </c>
      <c r="D5486" t="s">
        <v>9826</v>
      </c>
      <c r="E5486" t="s">
        <v>83</v>
      </c>
      <c r="F5486" t="s">
        <v>166</v>
      </c>
      <c r="G5486" t="s">
        <v>237</v>
      </c>
      <c r="H5486" t="str">
        <f>"ΙΑΣΙΟΥ &amp; ΕΥΡΙΔΙΚΗΣ   ΗΡΑΚΛΕΙΟ"</f>
        <v>ΙΑΣΙΟΥ &amp; ΕΥΡΙΔΙΚΗΣ   ΗΡΑΚΛΕΙΟ</v>
      </c>
      <c r="I5486">
        <v>71304</v>
      </c>
      <c r="J5486">
        <v>2813010037</v>
      </c>
      <c r="K5486">
        <v>6936355726</v>
      </c>
      <c r="N5486" t="s">
        <v>615</v>
      </c>
      <c r="O5486" t="s">
        <v>616</v>
      </c>
      <c r="R5486" t="s">
        <v>57</v>
      </c>
      <c r="S5486">
        <v>7</v>
      </c>
      <c r="T5486">
        <v>233</v>
      </c>
      <c r="U5486" s="1">
        <v>38960</v>
      </c>
      <c r="V5486" t="s">
        <v>80</v>
      </c>
      <c r="W5486" t="s">
        <v>81</v>
      </c>
      <c r="X5486" t="s">
        <v>58</v>
      </c>
      <c r="Y5486">
        <v>23</v>
      </c>
      <c r="Z5486" t="s">
        <v>59</v>
      </c>
      <c r="AA5486" t="s">
        <v>59</v>
      </c>
      <c r="AB5486" t="s">
        <v>59</v>
      </c>
      <c r="AC5486" t="s">
        <v>59</v>
      </c>
      <c r="AD5486" t="s">
        <v>59</v>
      </c>
      <c r="AF5486" s="1">
        <v>38961</v>
      </c>
      <c r="AG5486" t="s">
        <v>8645</v>
      </c>
      <c r="AH5486" t="s">
        <v>8646</v>
      </c>
      <c r="AI5486" t="str">
        <f>"9170431"</f>
        <v>9170431</v>
      </c>
      <c r="AJ5486" t="s">
        <v>8658</v>
      </c>
      <c r="AK5486">
        <v>2810250952</v>
      </c>
      <c r="AL5486" t="s">
        <v>8659</v>
      </c>
      <c r="AM5486" t="s">
        <v>78</v>
      </c>
      <c r="AN5486" t="s">
        <v>78</v>
      </c>
      <c r="AO5486" t="s">
        <v>78</v>
      </c>
      <c r="AP5486" t="s">
        <v>141</v>
      </c>
      <c r="AQ5486">
        <v>1</v>
      </c>
      <c r="AR5486" t="s">
        <v>80</v>
      </c>
      <c r="AS5486" t="s">
        <v>81</v>
      </c>
      <c r="AT5486" t="s">
        <v>58</v>
      </c>
      <c r="AU5486" t="s">
        <v>68</v>
      </c>
      <c r="AV5486" t="s">
        <v>69</v>
      </c>
      <c r="AW5486" s="1">
        <v>29968</v>
      </c>
      <c r="AX5486">
        <v>1</v>
      </c>
    </row>
    <row r="5487" spans="1:50">
      <c r="A5487">
        <v>702362</v>
      </c>
      <c r="B5487" t="str">
        <f>"103822201"</f>
        <v>103822201</v>
      </c>
      <c r="C5487" t="s">
        <v>50</v>
      </c>
      <c r="D5487" t="s">
        <v>9827</v>
      </c>
      <c r="E5487" t="s">
        <v>237</v>
      </c>
      <c r="F5487" t="s">
        <v>106</v>
      </c>
      <c r="G5487" t="s">
        <v>155</v>
      </c>
      <c r="H5487" t="str">
        <f>"ΘΕΣΗ ΤΡΟΥΛΟΣ ΑΡΧΑΝΕΣ ΗΡΑΚΛΕΙΟΥ"</f>
        <v>ΘΕΣΗ ΤΡΟΥΛΟΣ ΑΡΧΑΝΕΣ ΗΡΑΚΛΕΙΟΥ</v>
      </c>
      <c r="I5487">
        <v>70100</v>
      </c>
      <c r="K5487">
        <v>6979728198</v>
      </c>
      <c r="M5487" t="s">
        <v>9828</v>
      </c>
      <c r="N5487" t="s">
        <v>615</v>
      </c>
      <c r="O5487" t="s">
        <v>616</v>
      </c>
      <c r="R5487" t="s">
        <v>57</v>
      </c>
      <c r="S5487">
        <v>4</v>
      </c>
      <c r="T5487">
        <v>772</v>
      </c>
      <c r="U5487" s="1">
        <v>40444</v>
      </c>
      <c r="V5487" t="s">
        <v>80</v>
      </c>
      <c r="W5487" t="s">
        <v>81</v>
      </c>
      <c r="X5487" t="s">
        <v>58</v>
      </c>
      <c r="Y5487">
        <v>24</v>
      </c>
      <c r="Z5487" t="s">
        <v>59</v>
      </c>
      <c r="AA5487" t="s">
        <v>59</v>
      </c>
      <c r="AB5487" t="s">
        <v>59</v>
      </c>
      <c r="AC5487" t="s">
        <v>59</v>
      </c>
      <c r="AD5487" t="s">
        <v>59</v>
      </c>
      <c r="AF5487" s="1">
        <v>40444</v>
      </c>
      <c r="AG5487" t="s">
        <v>8645</v>
      </c>
      <c r="AH5487" t="s">
        <v>8646</v>
      </c>
      <c r="AI5487" t="str">
        <f>"9170107"</f>
        <v>9170107</v>
      </c>
      <c r="AJ5487" t="s">
        <v>8798</v>
      </c>
      <c r="AK5487">
        <v>2810282405</v>
      </c>
      <c r="AL5487" t="s">
        <v>8799</v>
      </c>
      <c r="AM5487" t="s">
        <v>78</v>
      </c>
      <c r="AN5487" t="s">
        <v>78</v>
      </c>
      <c r="AO5487" t="s">
        <v>78</v>
      </c>
      <c r="AP5487" t="s">
        <v>79</v>
      </c>
      <c r="AQ5487">
        <v>1</v>
      </c>
      <c r="AR5487" t="s">
        <v>80</v>
      </c>
      <c r="AS5487" t="s">
        <v>81</v>
      </c>
      <c r="AT5487" t="s">
        <v>58</v>
      </c>
      <c r="AU5487" t="s">
        <v>68</v>
      </c>
      <c r="AV5487" t="s">
        <v>69</v>
      </c>
      <c r="AW5487" s="1">
        <v>30066</v>
      </c>
      <c r="AX5487">
        <v>1</v>
      </c>
    </row>
    <row r="5488" spans="1:50">
      <c r="B5488" t="str">
        <f>"132978374"</f>
        <v>132978374</v>
      </c>
      <c r="C5488" t="s">
        <v>50</v>
      </c>
      <c r="D5488" t="s">
        <v>9827</v>
      </c>
      <c r="E5488" t="s">
        <v>54</v>
      </c>
      <c r="F5488" t="s">
        <v>153</v>
      </c>
      <c r="G5488" t="s">
        <v>83</v>
      </c>
      <c r="H5488" t="str">
        <f>"ΑΠΟΛΛΟΔΩΡΟΥ 12 "</f>
        <v xml:space="preserve">ΑΠΟΛΛΟΔΩΡΟΥ 12 </v>
      </c>
      <c r="I5488">
        <v>71409</v>
      </c>
      <c r="J5488">
        <v>2810250053</v>
      </c>
      <c r="K5488">
        <v>6947426594</v>
      </c>
      <c r="N5488" t="s">
        <v>9829</v>
      </c>
      <c r="O5488" t="s">
        <v>9830</v>
      </c>
      <c r="R5488" t="s">
        <v>159</v>
      </c>
      <c r="S5488">
        <v>5</v>
      </c>
      <c r="T5488" t="s">
        <v>9831</v>
      </c>
      <c r="U5488" s="1">
        <v>43348</v>
      </c>
      <c r="V5488" t="s">
        <v>80</v>
      </c>
      <c r="W5488" t="s">
        <v>81</v>
      </c>
      <c r="X5488" t="s">
        <v>58</v>
      </c>
      <c r="Y5488">
        <v>25</v>
      </c>
      <c r="Z5488" t="s">
        <v>59</v>
      </c>
      <c r="AA5488" t="s">
        <v>59</v>
      </c>
      <c r="AB5488" t="s">
        <v>59</v>
      </c>
      <c r="AC5488" t="s">
        <v>59</v>
      </c>
      <c r="AD5488" t="s">
        <v>59</v>
      </c>
      <c r="AF5488" s="1">
        <v>43348</v>
      </c>
      <c r="AG5488" t="s">
        <v>60</v>
      </c>
      <c r="AH5488" t="s">
        <v>61</v>
      </c>
      <c r="AI5488" t="str">
        <f>"9000624"</f>
        <v>9000624</v>
      </c>
      <c r="AJ5488" t="s">
        <v>76</v>
      </c>
      <c r="AK5488">
        <v>2810215020</v>
      </c>
      <c r="AL5488" t="s">
        <v>77</v>
      </c>
      <c r="AM5488" t="s">
        <v>78</v>
      </c>
      <c r="AN5488" t="s">
        <v>78</v>
      </c>
      <c r="AO5488" t="s">
        <v>78</v>
      </c>
      <c r="AP5488" t="s">
        <v>79</v>
      </c>
      <c r="AR5488" t="s">
        <v>80</v>
      </c>
      <c r="AS5488" t="s">
        <v>81</v>
      </c>
      <c r="AT5488" t="s">
        <v>58</v>
      </c>
      <c r="AU5488" t="s">
        <v>350</v>
      </c>
      <c r="AV5488" t="s">
        <v>132</v>
      </c>
      <c r="AW5488" s="1">
        <v>31243</v>
      </c>
      <c r="AX5488">
        <v>0</v>
      </c>
    </row>
    <row r="5489" spans="1:50">
      <c r="A5489">
        <v>620757</v>
      </c>
      <c r="B5489" t="str">
        <f>"137455816"</f>
        <v>137455816</v>
      </c>
      <c r="C5489" t="s">
        <v>50</v>
      </c>
      <c r="D5489" t="s">
        <v>94</v>
      </c>
      <c r="E5489" t="s">
        <v>103</v>
      </c>
      <c r="F5489" t="s">
        <v>95</v>
      </c>
      <c r="G5489" t="s">
        <v>255</v>
      </c>
      <c r="H5489" t="str">
        <f>"ΤΥΜΠΑΚΙ ΤΥΜΠΑΚΙ ΗΡΑΚΛΕΙΟΥ"</f>
        <v>ΤΥΜΠΑΚΙ ΤΥΜΠΑΚΙ ΗΡΑΚΛΕΙΟΥ</v>
      </c>
      <c r="I5489">
        <v>70200</v>
      </c>
      <c r="J5489">
        <v>2892052767</v>
      </c>
      <c r="K5489">
        <v>6974352439</v>
      </c>
      <c r="N5489" t="s">
        <v>615</v>
      </c>
      <c r="O5489" t="s">
        <v>616</v>
      </c>
      <c r="R5489" t="s">
        <v>57</v>
      </c>
      <c r="S5489">
        <v>5</v>
      </c>
      <c r="T5489">
        <v>653</v>
      </c>
      <c r="U5489" s="1">
        <v>40043</v>
      </c>
      <c r="V5489" t="s">
        <v>80</v>
      </c>
      <c r="W5489" t="s">
        <v>81</v>
      </c>
      <c r="X5489" t="s">
        <v>58</v>
      </c>
      <c r="Y5489">
        <v>23</v>
      </c>
      <c r="Z5489" t="s">
        <v>59</v>
      </c>
      <c r="AA5489" t="s">
        <v>59</v>
      </c>
      <c r="AB5489" t="s">
        <v>59</v>
      </c>
      <c r="AC5489" t="s">
        <v>59</v>
      </c>
      <c r="AD5489" t="s">
        <v>59</v>
      </c>
      <c r="AF5489" s="1">
        <v>40043</v>
      </c>
      <c r="AG5489" t="s">
        <v>8645</v>
      </c>
      <c r="AH5489" t="s">
        <v>8676</v>
      </c>
      <c r="AI5489" t="str">
        <f>"9521628"</f>
        <v>9521628</v>
      </c>
      <c r="AJ5489" t="s">
        <v>9045</v>
      </c>
      <c r="AM5489" t="s">
        <v>78</v>
      </c>
      <c r="AN5489" t="s">
        <v>78</v>
      </c>
      <c r="AO5489" t="s">
        <v>286</v>
      </c>
      <c r="AP5489" t="s">
        <v>9046</v>
      </c>
      <c r="AR5489" t="s">
        <v>80</v>
      </c>
      <c r="AS5489" t="s">
        <v>81</v>
      </c>
      <c r="AT5489" t="s">
        <v>58</v>
      </c>
      <c r="AU5489" t="s">
        <v>68</v>
      </c>
      <c r="AV5489" t="s">
        <v>69</v>
      </c>
      <c r="AW5489" s="1">
        <v>31488</v>
      </c>
      <c r="AX5489">
        <v>1</v>
      </c>
    </row>
    <row r="5490" spans="1:50">
      <c r="A5490">
        <v>578469</v>
      </c>
      <c r="B5490" t="str">
        <f>"037793377"</f>
        <v>037793377</v>
      </c>
      <c r="C5490" t="s">
        <v>105</v>
      </c>
      <c r="D5490" t="s">
        <v>9832</v>
      </c>
      <c r="E5490" t="s">
        <v>72</v>
      </c>
      <c r="F5490" t="s">
        <v>53</v>
      </c>
      <c r="G5490" t="s">
        <v>52</v>
      </c>
      <c r="H5490" t="str">
        <f>"ΑΝΤΩΝΙΟΥ ΜΙΧΕΛΙΔΑΚΗ 48 ΜΑΛΙΑ ΗΡΑΚΛΕΙΟΥ "</f>
        <v xml:space="preserve">ΑΝΤΩΝΙΟΥ ΜΙΧΕΛΙΔΑΚΗ 48 ΜΑΛΙΑ ΗΡΑΚΛΕΙΟΥ </v>
      </c>
      <c r="I5490">
        <v>70007</v>
      </c>
      <c r="J5490">
        <v>2897033256</v>
      </c>
      <c r="K5490">
        <v>6985125440</v>
      </c>
      <c r="L5490">
        <v>2897033333</v>
      </c>
      <c r="M5490" t="s">
        <v>9833</v>
      </c>
      <c r="N5490" t="s">
        <v>615</v>
      </c>
      <c r="O5490" t="s">
        <v>616</v>
      </c>
      <c r="R5490" t="s">
        <v>57</v>
      </c>
      <c r="S5490">
        <v>14</v>
      </c>
      <c r="T5490">
        <v>165</v>
      </c>
      <c r="U5490" s="1">
        <v>35300</v>
      </c>
      <c r="V5490" t="s">
        <v>80</v>
      </c>
      <c r="W5490" t="s">
        <v>81</v>
      </c>
      <c r="X5490" t="s">
        <v>58</v>
      </c>
      <c r="Y5490">
        <v>21</v>
      </c>
      <c r="Z5490" t="s">
        <v>59</v>
      </c>
      <c r="AA5490" t="s">
        <v>59</v>
      </c>
      <c r="AB5490" t="s">
        <v>59</v>
      </c>
      <c r="AC5490" t="s">
        <v>59</v>
      </c>
      <c r="AD5490" t="s">
        <v>59</v>
      </c>
      <c r="AF5490" s="1">
        <v>35310</v>
      </c>
      <c r="AG5490" t="s">
        <v>8645</v>
      </c>
      <c r="AH5490" t="s">
        <v>8646</v>
      </c>
      <c r="AI5490" t="str">
        <f>"9521014"</f>
        <v>9521014</v>
      </c>
      <c r="AJ5490" t="s">
        <v>8974</v>
      </c>
      <c r="AK5490">
        <v>2897029611</v>
      </c>
      <c r="AL5490" t="s">
        <v>8975</v>
      </c>
      <c r="AM5490" t="s">
        <v>78</v>
      </c>
      <c r="AN5490" t="s">
        <v>219</v>
      </c>
      <c r="AO5490" t="s">
        <v>527</v>
      </c>
      <c r="AP5490" t="s">
        <v>527</v>
      </c>
      <c r="AQ5490">
        <v>8</v>
      </c>
      <c r="AR5490" t="s">
        <v>80</v>
      </c>
      <c r="AS5490" t="s">
        <v>81</v>
      </c>
      <c r="AT5490" t="s">
        <v>58</v>
      </c>
      <c r="AU5490" t="s">
        <v>68</v>
      </c>
      <c r="AV5490" t="s">
        <v>69</v>
      </c>
      <c r="AW5490" s="1">
        <v>23708</v>
      </c>
      <c r="AX5490">
        <v>1</v>
      </c>
    </row>
    <row r="5491" spans="1:50">
      <c r="A5491">
        <v>554360</v>
      </c>
      <c r="B5491" t="str">
        <f>"030921936"</f>
        <v>030921936</v>
      </c>
      <c r="C5491" t="s">
        <v>50</v>
      </c>
      <c r="D5491" t="s">
        <v>1627</v>
      </c>
      <c r="E5491" t="s">
        <v>215</v>
      </c>
      <c r="F5491" t="s">
        <v>1493</v>
      </c>
      <c r="G5491" t="s">
        <v>367</v>
      </c>
      <c r="H5491" t="str">
        <f>"ΠΙΤΣΙΔΙΑ ΗΡΑΚΛΕΙΟ"</f>
        <v>ΠΙΤΣΙΔΙΑ ΗΡΑΚΛΕΙΟ</v>
      </c>
      <c r="I5491">
        <v>70200</v>
      </c>
      <c r="K5491">
        <v>6946005587</v>
      </c>
      <c r="M5491" t="s">
        <v>9834</v>
      </c>
      <c r="N5491" t="s">
        <v>1525</v>
      </c>
      <c r="O5491" t="s">
        <v>1526</v>
      </c>
      <c r="R5491" t="s">
        <v>57</v>
      </c>
      <c r="S5491">
        <v>16</v>
      </c>
      <c r="T5491">
        <v>235</v>
      </c>
      <c r="U5491" s="1">
        <v>31289</v>
      </c>
      <c r="V5491" t="s">
        <v>80</v>
      </c>
      <c r="W5491" t="s">
        <v>81</v>
      </c>
      <c r="X5491" t="s">
        <v>58</v>
      </c>
      <c r="Y5491">
        <v>25</v>
      </c>
      <c r="Z5491" t="s">
        <v>59</v>
      </c>
      <c r="AA5491" t="s">
        <v>59</v>
      </c>
      <c r="AB5491" t="s">
        <v>59</v>
      </c>
      <c r="AC5491" t="s">
        <v>59</v>
      </c>
      <c r="AD5491" t="s">
        <v>59</v>
      </c>
      <c r="AF5491" s="1">
        <v>31300</v>
      </c>
      <c r="AG5491" t="s">
        <v>8651</v>
      </c>
      <c r="AH5491" t="s">
        <v>8652</v>
      </c>
      <c r="AI5491" t="str">
        <f>"9170503"</f>
        <v>9170503</v>
      </c>
      <c r="AJ5491" t="s">
        <v>9823</v>
      </c>
      <c r="AK5491">
        <v>2892045288</v>
      </c>
      <c r="AL5491" t="s">
        <v>9824</v>
      </c>
      <c r="AM5491" t="s">
        <v>78</v>
      </c>
      <c r="AN5491" t="s">
        <v>242</v>
      </c>
      <c r="AO5491" t="s">
        <v>349</v>
      </c>
      <c r="AP5491" t="s">
        <v>9803</v>
      </c>
      <c r="AQ5491">
        <v>18</v>
      </c>
      <c r="AR5491" t="s">
        <v>80</v>
      </c>
      <c r="AS5491" t="s">
        <v>81</v>
      </c>
      <c r="AT5491" t="s">
        <v>58</v>
      </c>
      <c r="AU5491" t="s">
        <v>68</v>
      </c>
      <c r="AV5491" t="s">
        <v>69</v>
      </c>
      <c r="AW5491" s="1">
        <v>23048</v>
      </c>
      <c r="AX5491">
        <v>1</v>
      </c>
    </row>
    <row r="5492" spans="1:50">
      <c r="A5492">
        <v>549947</v>
      </c>
      <c r="B5492" t="str">
        <f>"027932050"</f>
        <v>027932050</v>
      </c>
      <c r="C5492" t="s">
        <v>50</v>
      </c>
      <c r="D5492" t="s">
        <v>9835</v>
      </c>
      <c r="E5492" t="s">
        <v>1281</v>
      </c>
      <c r="F5492" t="s">
        <v>99</v>
      </c>
      <c r="G5492" t="s">
        <v>335</v>
      </c>
      <c r="H5492" t="str">
        <f>"ΣΚΥΡΟΥ 5 ΒΑΣΙΛΕΙΕΣ ΗΡΑΚΛΕΙΟΥ"</f>
        <v>ΣΚΥΡΟΥ 5 ΒΑΣΙΛΕΙΕΣ ΗΡΑΚΛΕΙΟΥ</v>
      </c>
      <c r="I5492">
        <v>71500</v>
      </c>
      <c r="J5492">
        <v>2810251023</v>
      </c>
      <c r="K5492">
        <v>6945976696</v>
      </c>
      <c r="N5492" t="s">
        <v>1525</v>
      </c>
      <c r="O5492" t="s">
        <v>1526</v>
      </c>
      <c r="R5492" t="s">
        <v>57</v>
      </c>
      <c r="S5492">
        <v>18</v>
      </c>
      <c r="T5492">
        <v>281</v>
      </c>
      <c r="U5492" s="1">
        <v>30558</v>
      </c>
      <c r="V5492" t="s">
        <v>80</v>
      </c>
      <c r="W5492" t="s">
        <v>81</v>
      </c>
      <c r="X5492" t="s">
        <v>58</v>
      </c>
      <c r="Y5492">
        <v>25</v>
      </c>
      <c r="Z5492" t="s">
        <v>59</v>
      </c>
      <c r="AA5492" t="s">
        <v>59</v>
      </c>
      <c r="AB5492" t="s">
        <v>59</v>
      </c>
      <c r="AC5492" t="s">
        <v>59</v>
      </c>
      <c r="AD5492" t="s">
        <v>59</v>
      </c>
      <c r="AF5492" s="1">
        <v>30574</v>
      </c>
      <c r="AG5492" t="s">
        <v>8651</v>
      </c>
      <c r="AH5492" t="s">
        <v>8652</v>
      </c>
      <c r="AI5492" t="str">
        <f>"9170592"</f>
        <v>9170592</v>
      </c>
      <c r="AJ5492" t="s">
        <v>9502</v>
      </c>
      <c r="AK5492">
        <v>2810230907</v>
      </c>
      <c r="AL5492" t="s">
        <v>9503</v>
      </c>
      <c r="AM5492" t="s">
        <v>78</v>
      </c>
      <c r="AN5492" t="s">
        <v>78</v>
      </c>
      <c r="AO5492" t="s">
        <v>78</v>
      </c>
      <c r="AP5492" t="s">
        <v>9239</v>
      </c>
      <c r="AQ5492">
        <v>1</v>
      </c>
      <c r="AR5492" t="s">
        <v>80</v>
      </c>
      <c r="AS5492" t="s">
        <v>81</v>
      </c>
      <c r="AT5492" t="s">
        <v>58</v>
      </c>
      <c r="AU5492" t="s">
        <v>68</v>
      </c>
      <c r="AV5492" t="s">
        <v>69</v>
      </c>
      <c r="AW5492" s="1">
        <v>22397</v>
      </c>
      <c r="AX5492">
        <v>1</v>
      </c>
    </row>
    <row r="5493" spans="1:50">
      <c r="A5493">
        <v>585793</v>
      </c>
      <c r="B5493" t="str">
        <f>"079659770"</f>
        <v>079659770</v>
      </c>
      <c r="C5493" t="s">
        <v>50</v>
      </c>
      <c r="D5493" t="s">
        <v>6000</v>
      </c>
      <c r="E5493" t="s">
        <v>52</v>
      </c>
      <c r="F5493" t="s">
        <v>459</v>
      </c>
      <c r="G5493" t="s">
        <v>366</v>
      </c>
      <c r="H5493" t="str">
        <f>"Λ. ΧΡΥΣΟΣΤΟΜΟΥ 32 ΗΡΑΚΛΕΙΟ"</f>
        <v>Λ. ΧΡΥΣΟΣΤΟΜΟΥ 32 ΗΡΑΚΛΕΙΟ</v>
      </c>
      <c r="I5493">
        <v>71306</v>
      </c>
      <c r="J5493">
        <v>2810220972</v>
      </c>
      <c r="K5493">
        <v>6992019031</v>
      </c>
      <c r="M5493" t="s">
        <v>9836</v>
      </c>
      <c r="N5493" t="s">
        <v>615</v>
      </c>
      <c r="O5493" t="s">
        <v>616</v>
      </c>
      <c r="R5493" t="s">
        <v>57</v>
      </c>
      <c r="S5493">
        <v>10</v>
      </c>
      <c r="T5493">
        <v>165</v>
      </c>
      <c r="U5493" s="1">
        <v>36040</v>
      </c>
      <c r="V5493" t="s">
        <v>80</v>
      </c>
      <c r="W5493" t="s">
        <v>81</v>
      </c>
      <c r="X5493" t="s">
        <v>58</v>
      </c>
      <c r="Y5493">
        <v>21</v>
      </c>
      <c r="Z5493" t="s">
        <v>59</v>
      </c>
      <c r="AA5493" t="s">
        <v>59</v>
      </c>
      <c r="AB5493" t="s">
        <v>59</v>
      </c>
      <c r="AC5493" t="s">
        <v>59</v>
      </c>
      <c r="AD5493" t="s">
        <v>59</v>
      </c>
      <c r="AF5493" s="1">
        <v>36045</v>
      </c>
      <c r="AG5493" t="s">
        <v>8645</v>
      </c>
      <c r="AH5493" t="s">
        <v>8646</v>
      </c>
      <c r="AI5493" t="str">
        <f>"9170056"</f>
        <v>9170056</v>
      </c>
      <c r="AJ5493" t="s">
        <v>9137</v>
      </c>
      <c r="AK5493">
        <v>2810253392</v>
      </c>
      <c r="AL5493" t="s">
        <v>9138</v>
      </c>
      <c r="AM5493" t="s">
        <v>78</v>
      </c>
      <c r="AN5493" t="s">
        <v>78</v>
      </c>
      <c r="AO5493" t="s">
        <v>78</v>
      </c>
      <c r="AP5493" t="s">
        <v>141</v>
      </c>
      <c r="AQ5493">
        <v>1</v>
      </c>
      <c r="AR5493" t="s">
        <v>80</v>
      </c>
      <c r="AS5493" t="s">
        <v>81</v>
      </c>
      <c r="AT5493" t="s">
        <v>58</v>
      </c>
      <c r="AU5493" t="s">
        <v>68</v>
      </c>
      <c r="AV5493" t="s">
        <v>69</v>
      </c>
      <c r="AW5493" s="1">
        <v>24301</v>
      </c>
      <c r="AX5493">
        <v>1</v>
      </c>
    </row>
    <row r="5494" spans="1:50">
      <c r="A5494">
        <v>554810</v>
      </c>
      <c r="B5494" t="str">
        <f>"031877224"</f>
        <v>031877224</v>
      </c>
      <c r="C5494" t="s">
        <v>105</v>
      </c>
      <c r="D5494" t="s">
        <v>1630</v>
      </c>
      <c r="E5494" t="s">
        <v>95</v>
      </c>
      <c r="F5494" t="s">
        <v>154</v>
      </c>
      <c r="G5494" t="s">
        <v>52</v>
      </c>
      <c r="H5494" t="str">
        <f>"ΚΑΣΤΕΛΛΙ ΠΕΔΙΑΔΟΣ ΚΑΣΤΕΛΛΙ ΠΕΔΙΑΔΟΣ"</f>
        <v>ΚΑΣΤΕΛΛΙ ΠΕΔΙΑΔΟΣ ΚΑΣΤΕΛΛΙ ΠΕΔΙΑΔΟΣ</v>
      </c>
      <c r="I5494">
        <v>70006</v>
      </c>
      <c r="J5494">
        <v>2891031058</v>
      </c>
      <c r="K5494">
        <v>6972817716</v>
      </c>
      <c r="N5494" t="s">
        <v>615</v>
      </c>
      <c r="O5494" t="s">
        <v>616</v>
      </c>
      <c r="R5494" t="s">
        <v>57</v>
      </c>
      <c r="S5494">
        <v>16</v>
      </c>
      <c r="T5494">
        <v>200</v>
      </c>
      <c r="U5494" s="1">
        <v>31657</v>
      </c>
      <c r="V5494" t="s">
        <v>80</v>
      </c>
      <c r="W5494" t="s">
        <v>81</v>
      </c>
      <c r="X5494" t="s">
        <v>58</v>
      </c>
      <c r="Y5494">
        <v>21</v>
      </c>
      <c r="Z5494" t="s">
        <v>59</v>
      </c>
      <c r="AA5494" t="s">
        <v>59</v>
      </c>
      <c r="AB5494" t="s">
        <v>59</v>
      </c>
      <c r="AC5494" t="s">
        <v>59</v>
      </c>
      <c r="AD5494" t="s">
        <v>59</v>
      </c>
      <c r="AF5494" s="1">
        <v>31666</v>
      </c>
      <c r="AG5494" t="s">
        <v>8645</v>
      </c>
      <c r="AH5494" t="s">
        <v>8646</v>
      </c>
      <c r="AI5494" t="str">
        <f>"9170235"</f>
        <v>9170235</v>
      </c>
      <c r="AJ5494" t="s">
        <v>8806</v>
      </c>
      <c r="AK5494">
        <v>2891031258</v>
      </c>
      <c r="AL5494" t="s">
        <v>8807</v>
      </c>
      <c r="AM5494" t="s">
        <v>78</v>
      </c>
      <c r="AN5494" t="s">
        <v>276</v>
      </c>
      <c r="AO5494" t="s">
        <v>277</v>
      </c>
      <c r="AP5494" t="s">
        <v>277</v>
      </c>
      <c r="AQ5494">
        <v>13</v>
      </c>
      <c r="AR5494" t="s">
        <v>80</v>
      </c>
      <c r="AS5494" t="s">
        <v>81</v>
      </c>
      <c r="AT5494" t="s">
        <v>58</v>
      </c>
      <c r="AU5494" t="s">
        <v>68</v>
      </c>
      <c r="AV5494" t="s">
        <v>69</v>
      </c>
      <c r="AW5494" s="1">
        <v>22968</v>
      </c>
      <c r="AX5494">
        <v>1</v>
      </c>
    </row>
    <row r="5495" spans="1:50">
      <c r="A5495">
        <v>571805</v>
      </c>
      <c r="B5495" t="str">
        <f>"032709933"</f>
        <v>032709933</v>
      </c>
      <c r="C5495" t="s">
        <v>105</v>
      </c>
      <c r="D5495" t="s">
        <v>1630</v>
      </c>
      <c r="E5495" t="s">
        <v>95</v>
      </c>
      <c r="F5495" t="s">
        <v>72</v>
      </c>
      <c r="G5495" t="s">
        <v>513</v>
      </c>
      <c r="H5495" t="str">
        <f>" "</f>
        <v xml:space="preserve"> </v>
      </c>
      <c r="N5495" t="s">
        <v>176</v>
      </c>
      <c r="O5495" t="s">
        <v>177</v>
      </c>
      <c r="R5495" t="s">
        <v>57</v>
      </c>
      <c r="S5495">
        <v>14</v>
      </c>
      <c r="T5495">
        <v>103</v>
      </c>
      <c r="U5495" s="1">
        <v>34213</v>
      </c>
      <c r="V5495" t="s">
        <v>80</v>
      </c>
      <c r="W5495" t="s">
        <v>81</v>
      </c>
      <c r="X5495" t="s">
        <v>58</v>
      </c>
      <c r="Y5495">
        <v>21</v>
      </c>
      <c r="Z5495" t="s">
        <v>59</v>
      </c>
      <c r="AA5495" t="s">
        <v>59</v>
      </c>
      <c r="AB5495" t="s">
        <v>59</v>
      </c>
      <c r="AC5495" t="s">
        <v>59</v>
      </c>
      <c r="AD5495" t="s">
        <v>59</v>
      </c>
      <c r="AF5495" s="1">
        <v>34213</v>
      </c>
      <c r="AG5495" t="s">
        <v>8645</v>
      </c>
      <c r="AH5495" t="s">
        <v>8646</v>
      </c>
      <c r="AI5495" t="str">
        <f>"9170516"</f>
        <v>9170516</v>
      </c>
      <c r="AJ5495" t="s">
        <v>8746</v>
      </c>
      <c r="AK5495">
        <v>2810236861</v>
      </c>
      <c r="AL5495" t="s">
        <v>8747</v>
      </c>
      <c r="AM5495" t="s">
        <v>78</v>
      </c>
      <c r="AN5495" t="s">
        <v>78</v>
      </c>
      <c r="AO5495" t="s">
        <v>78</v>
      </c>
      <c r="AP5495" t="s">
        <v>163</v>
      </c>
      <c r="AQ5495">
        <v>1</v>
      </c>
      <c r="AR5495" t="s">
        <v>80</v>
      </c>
      <c r="AS5495" t="s">
        <v>81</v>
      </c>
      <c r="AT5495" t="s">
        <v>58</v>
      </c>
      <c r="AU5495" t="s">
        <v>68</v>
      </c>
      <c r="AV5495" t="s">
        <v>69</v>
      </c>
      <c r="AW5495" s="1">
        <v>23132</v>
      </c>
      <c r="AX5495">
        <v>1</v>
      </c>
    </row>
    <row r="5496" spans="1:50">
      <c r="A5496">
        <v>612534</v>
      </c>
      <c r="B5496" t="str">
        <f>"039518480"</f>
        <v>039518480</v>
      </c>
      <c r="C5496" t="s">
        <v>50</v>
      </c>
      <c r="D5496" t="s">
        <v>9837</v>
      </c>
      <c r="E5496" t="s">
        <v>255</v>
      </c>
      <c r="F5496" t="s">
        <v>1023</v>
      </c>
      <c r="G5496" t="s">
        <v>188</v>
      </c>
      <c r="H5496" t="str">
        <f>"ΛΕΩΝΙΔΟΥ 17 "</f>
        <v xml:space="preserve">ΛΕΩΝΙΔΟΥ 17 </v>
      </c>
      <c r="J5496">
        <v>2810301413</v>
      </c>
      <c r="K5496">
        <v>6977731232</v>
      </c>
      <c r="M5496" t="s">
        <v>9838</v>
      </c>
      <c r="N5496" t="s">
        <v>176</v>
      </c>
      <c r="O5496" t="s">
        <v>177</v>
      </c>
      <c r="R5496" t="s">
        <v>57</v>
      </c>
      <c r="S5496">
        <v>10</v>
      </c>
      <c r="T5496">
        <v>234</v>
      </c>
      <c r="U5496" s="1">
        <v>38960</v>
      </c>
      <c r="V5496" t="s">
        <v>80</v>
      </c>
      <c r="W5496" t="s">
        <v>81</v>
      </c>
      <c r="X5496" t="s">
        <v>58</v>
      </c>
      <c r="Y5496">
        <v>22</v>
      </c>
      <c r="Z5496" t="s">
        <v>59</v>
      </c>
      <c r="AA5496" t="s">
        <v>59</v>
      </c>
      <c r="AB5496" t="s">
        <v>59</v>
      </c>
      <c r="AC5496" t="s">
        <v>59</v>
      </c>
      <c r="AD5496" t="s">
        <v>59</v>
      </c>
      <c r="AF5496" s="1">
        <v>38961</v>
      </c>
      <c r="AG5496" t="s">
        <v>8645</v>
      </c>
      <c r="AH5496" t="s">
        <v>8646</v>
      </c>
      <c r="AI5496" t="str">
        <f>"9170254"</f>
        <v>9170254</v>
      </c>
      <c r="AJ5496" t="s">
        <v>9839</v>
      </c>
      <c r="AK5496">
        <v>2810245069</v>
      </c>
      <c r="AL5496" t="s">
        <v>9840</v>
      </c>
      <c r="AM5496" t="s">
        <v>78</v>
      </c>
      <c r="AN5496" t="s">
        <v>78</v>
      </c>
      <c r="AO5496" t="s">
        <v>78</v>
      </c>
      <c r="AP5496" t="s">
        <v>213</v>
      </c>
      <c r="AQ5496">
        <v>1</v>
      </c>
      <c r="AR5496" t="s">
        <v>80</v>
      </c>
      <c r="AS5496" t="s">
        <v>81</v>
      </c>
      <c r="AT5496" t="s">
        <v>58</v>
      </c>
      <c r="AU5496" t="s">
        <v>68</v>
      </c>
      <c r="AV5496" t="s">
        <v>69</v>
      </c>
      <c r="AW5496" s="1">
        <v>24226</v>
      </c>
      <c r="AX5496">
        <v>1</v>
      </c>
    </row>
    <row r="5497" spans="1:50">
      <c r="A5497">
        <v>613185</v>
      </c>
      <c r="B5497" t="str">
        <f>"137456388"</f>
        <v>137456388</v>
      </c>
      <c r="C5497" t="s">
        <v>50</v>
      </c>
      <c r="D5497" t="s">
        <v>4879</v>
      </c>
      <c r="E5497" t="s">
        <v>52</v>
      </c>
      <c r="F5497" t="s">
        <v>670</v>
      </c>
      <c r="G5497" t="s">
        <v>73</v>
      </c>
      <c r="H5497" t="str">
        <f>"ΑΝΑΣΤΑΣΕΩΣ 12 ΗΡΑΚΛΕΙΟ"</f>
        <v>ΑΝΑΣΤΑΣΕΩΣ 12 ΗΡΑΚΛΕΙΟ</v>
      </c>
      <c r="I5497">
        <v>71307</v>
      </c>
      <c r="J5497">
        <v>2810245719</v>
      </c>
      <c r="K5497">
        <v>6946788506</v>
      </c>
      <c r="N5497" t="s">
        <v>615</v>
      </c>
      <c r="O5497" t="s">
        <v>616</v>
      </c>
      <c r="R5497" t="s">
        <v>57</v>
      </c>
      <c r="S5497">
        <v>6</v>
      </c>
      <c r="T5497">
        <v>598</v>
      </c>
      <c r="U5497" s="1">
        <v>39310</v>
      </c>
      <c r="V5497" t="s">
        <v>80</v>
      </c>
      <c r="W5497" t="s">
        <v>81</v>
      </c>
      <c r="X5497" t="s">
        <v>58</v>
      </c>
      <c r="Y5497">
        <v>23</v>
      </c>
      <c r="Z5497" t="s">
        <v>59</v>
      </c>
      <c r="AA5497" t="s">
        <v>59</v>
      </c>
      <c r="AB5497" t="s">
        <v>59</v>
      </c>
      <c r="AC5497" t="s">
        <v>59</v>
      </c>
      <c r="AD5497" t="s">
        <v>59</v>
      </c>
      <c r="AF5497" s="1">
        <v>39328</v>
      </c>
      <c r="AG5497" t="s">
        <v>8645</v>
      </c>
      <c r="AH5497" t="s">
        <v>8646</v>
      </c>
      <c r="AI5497" t="str">
        <f>"9170197"</f>
        <v>9170197</v>
      </c>
      <c r="AJ5497" t="s">
        <v>8989</v>
      </c>
      <c r="AK5497">
        <v>2810232577</v>
      </c>
      <c r="AL5497" t="s">
        <v>8990</v>
      </c>
      <c r="AM5497" t="s">
        <v>78</v>
      </c>
      <c r="AN5497" t="s">
        <v>78</v>
      </c>
      <c r="AO5497" t="s">
        <v>78</v>
      </c>
      <c r="AP5497" t="s">
        <v>163</v>
      </c>
      <c r="AQ5497">
        <v>1</v>
      </c>
      <c r="AR5497" t="s">
        <v>80</v>
      </c>
      <c r="AS5497" t="s">
        <v>81</v>
      </c>
      <c r="AT5497" t="s">
        <v>58</v>
      </c>
      <c r="AU5497" t="s">
        <v>68</v>
      </c>
      <c r="AV5497" t="s">
        <v>69</v>
      </c>
      <c r="AW5497" s="1">
        <v>30271</v>
      </c>
      <c r="AX5497">
        <v>1</v>
      </c>
    </row>
    <row r="5498" spans="1:50">
      <c r="A5498">
        <v>615253</v>
      </c>
      <c r="B5498" t="str">
        <f>"070345498"</f>
        <v>070345498</v>
      </c>
      <c r="C5498" t="s">
        <v>50</v>
      </c>
      <c r="D5498" t="s">
        <v>4879</v>
      </c>
      <c r="E5498" t="s">
        <v>484</v>
      </c>
      <c r="F5498" t="s">
        <v>670</v>
      </c>
      <c r="G5498" t="s">
        <v>73</v>
      </c>
      <c r="H5498" t="str">
        <f>" "</f>
        <v xml:space="preserve"> </v>
      </c>
      <c r="J5498">
        <v>2810261061</v>
      </c>
      <c r="K5498">
        <v>6977861152</v>
      </c>
      <c r="N5498" t="s">
        <v>1525</v>
      </c>
      <c r="O5498" t="s">
        <v>1526</v>
      </c>
      <c r="R5498" t="s">
        <v>57</v>
      </c>
      <c r="S5498">
        <v>8</v>
      </c>
      <c r="T5498">
        <v>598</v>
      </c>
      <c r="U5498" s="1">
        <v>39310</v>
      </c>
      <c r="V5498" t="s">
        <v>80</v>
      </c>
      <c r="W5498" t="s">
        <v>81</v>
      </c>
      <c r="X5498" t="s">
        <v>58</v>
      </c>
      <c r="Y5498">
        <v>25</v>
      </c>
      <c r="Z5498" t="s">
        <v>59</v>
      </c>
      <c r="AA5498" t="s">
        <v>59</v>
      </c>
      <c r="AB5498" t="s">
        <v>59</v>
      </c>
      <c r="AC5498" t="s">
        <v>59</v>
      </c>
      <c r="AD5498" t="s">
        <v>59</v>
      </c>
      <c r="AF5498" s="1">
        <v>39328</v>
      </c>
      <c r="AG5498" t="s">
        <v>60</v>
      </c>
      <c r="AH5498" t="s">
        <v>61</v>
      </c>
      <c r="AI5498" t="str">
        <f>"9000624"</f>
        <v>9000624</v>
      </c>
      <c r="AJ5498" t="s">
        <v>76</v>
      </c>
      <c r="AK5498">
        <v>2810215020</v>
      </c>
      <c r="AL5498" t="s">
        <v>77</v>
      </c>
      <c r="AM5498" t="s">
        <v>78</v>
      </c>
      <c r="AN5498" t="s">
        <v>78</v>
      </c>
      <c r="AO5498" t="s">
        <v>78</v>
      </c>
      <c r="AP5498" t="s">
        <v>79</v>
      </c>
      <c r="AR5498" t="s">
        <v>80</v>
      </c>
      <c r="AS5498" t="s">
        <v>81</v>
      </c>
      <c r="AT5498" t="s">
        <v>58</v>
      </c>
      <c r="AU5498" t="s">
        <v>68</v>
      </c>
      <c r="AV5498" t="s">
        <v>69</v>
      </c>
      <c r="AW5498" s="1">
        <v>28257</v>
      </c>
      <c r="AX5498">
        <v>0</v>
      </c>
    </row>
    <row r="5499" spans="1:50">
      <c r="A5499">
        <v>549690</v>
      </c>
      <c r="B5499" t="str">
        <f>"028661973"</f>
        <v>028661973</v>
      </c>
      <c r="C5499" t="s">
        <v>50</v>
      </c>
      <c r="D5499" t="s">
        <v>1634</v>
      </c>
      <c r="E5499" t="s">
        <v>250</v>
      </c>
      <c r="F5499" t="s">
        <v>72</v>
      </c>
      <c r="G5499" t="s">
        <v>411</v>
      </c>
      <c r="H5499" t="str">
        <f>"ΕΜΜ. ΚΡΑΝΙΩΤΑΚΗ 3 ΗΡΑΚΛΕΙΟ"</f>
        <v>ΕΜΜ. ΚΡΑΝΙΩΤΑΚΗ 3 ΗΡΑΚΛΕΙΟ</v>
      </c>
      <c r="I5499">
        <v>71304</v>
      </c>
      <c r="J5499">
        <v>2810317802</v>
      </c>
      <c r="K5499">
        <v>6944222088</v>
      </c>
      <c r="N5499" t="s">
        <v>615</v>
      </c>
      <c r="O5499" t="s">
        <v>616</v>
      </c>
      <c r="R5499" t="s">
        <v>57</v>
      </c>
      <c r="S5499">
        <v>17</v>
      </c>
      <c r="T5499">
        <v>281</v>
      </c>
      <c r="U5499" s="1">
        <v>30558</v>
      </c>
      <c r="V5499" t="s">
        <v>80</v>
      </c>
      <c r="W5499" t="s">
        <v>81</v>
      </c>
      <c r="X5499" t="s">
        <v>58</v>
      </c>
      <c r="Y5499">
        <v>21</v>
      </c>
      <c r="Z5499" t="s">
        <v>59</v>
      </c>
      <c r="AA5499" t="s">
        <v>59</v>
      </c>
      <c r="AB5499" t="s">
        <v>59</v>
      </c>
      <c r="AC5499" t="s">
        <v>59</v>
      </c>
      <c r="AD5499" t="s">
        <v>59</v>
      </c>
      <c r="AF5499" s="1">
        <v>30588</v>
      </c>
      <c r="AG5499" t="s">
        <v>8645</v>
      </c>
      <c r="AH5499" t="s">
        <v>8697</v>
      </c>
      <c r="AI5499" t="str">
        <f>"9170372"</f>
        <v>9170372</v>
      </c>
      <c r="AJ5499" t="s">
        <v>9296</v>
      </c>
      <c r="AK5499">
        <v>2810281754</v>
      </c>
      <c r="AL5499" t="s">
        <v>9297</v>
      </c>
      <c r="AM5499" t="s">
        <v>78</v>
      </c>
      <c r="AN5499" t="s">
        <v>78</v>
      </c>
      <c r="AO5499" t="s">
        <v>78</v>
      </c>
      <c r="AP5499" t="s">
        <v>79</v>
      </c>
      <c r="AQ5499">
        <v>1</v>
      </c>
      <c r="AR5499" t="s">
        <v>80</v>
      </c>
      <c r="AS5499" t="s">
        <v>81</v>
      </c>
      <c r="AT5499" t="s">
        <v>58</v>
      </c>
      <c r="AU5499" t="s">
        <v>68</v>
      </c>
      <c r="AV5499" t="s">
        <v>69</v>
      </c>
      <c r="AW5499" s="1">
        <v>21472</v>
      </c>
      <c r="AX5499">
        <v>1</v>
      </c>
    </row>
    <row r="5500" spans="1:50">
      <c r="A5500">
        <v>602901</v>
      </c>
      <c r="B5500" t="str">
        <f>"063213383"</f>
        <v>063213383</v>
      </c>
      <c r="C5500" t="s">
        <v>50</v>
      </c>
      <c r="D5500" t="s">
        <v>1634</v>
      </c>
      <c r="E5500" t="s">
        <v>473</v>
      </c>
      <c r="F5500" t="s">
        <v>5974</v>
      </c>
      <c r="G5500" t="s">
        <v>314</v>
      </c>
      <c r="H5500" t="str">
        <f>"ΜΑΤΘΑΙΑΚΗ 67 ΗΡΑΚΛΕΙΟ"</f>
        <v>ΜΑΤΘΑΙΑΚΗ 67 ΗΡΑΚΛΕΙΟ</v>
      </c>
      <c r="I5500">
        <v>71305</v>
      </c>
      <c r="J5500">
        <v>2810319859</v>
      </c>
      <c r="K5500">
        <v>6979097251</v>
      </c>
      <c r="M5500" t="s">
        <v>9841</v>
      </c>
      <c r="N5500" t="s">
        <v>1525</v>
      </c>
      <c r="O5500" t="s">
        <v>1526</v>
      </c>
      <c r="R5500" t="s">
        <v>57</v>
      </c>
      <c r="S5500">
        <v>11</v>
      </c>
      <c r="T5500">
        <v>207</v>
      </c>
      <c r="U5500" s="1">
        <v>37866</v>
      </c>
      <c r="V5500" t="s">
        <v>80</v>
      </c>
      <c r="W5500" t="s">
        <v>81</v>
      </c>
      <c r="X5500" t="s">
        <v>58</v>
      </c>
      <c r="Y5500">
        <v>25</v>
      </c>
      <c r="Z5500" t="s">
        <v>59</v>
      </c>
      <c r="AA5500" t="s">
        <v>59</v>
      </c>
      <c r="AB5500" t="s">
        <v>59</v>
      </c>
      <c r="AC5500" t="s">
        <v>59</v>
      </c>
      <c r="AD5500" t="s">
        <v>59</v>
      </c>
      <c r="AF5500" s="1">
        <v>37866</v>
      </c>
      <c r="AG5500" t="s">
        <v>8651</v>
      </c>
      <c r="AH5500" t="s">
        <v>8652</v>
      </c>
      <c r="AI5500" t="str">
        <f>"9170583"</f>
        <v>9170583</v>
      </c>
      <c r="AJ5500" t="s">
        <v>9842</v>
      </c>
      <c r="AK5500">
        <v>2810261765</v>
      </c>
      <c r="AL5500" t="s">
        <v>9843</v>
      </c>
      <c r="AM5500" t="s">
        <v>78</v>
      </c>
      <c r="AN5500" t="s">
        <v>78</v>
      </c>
      <c r="AO5500" t="s">
        <v>78</v>
      </c>
      <c r="AP5500" t="s">
        <v>141</v>
      </c>
      <c r="AQ5500">
        <v>1</v>
      </c>
      <c r="AR5500" t="s">
        <v>80</v>
      </c>
      <c r="AS5500" t="s">
        <v>81</v>
      </c>
      <c r="AT5500" t="s">
        <v>58</v>
      </c>
      <c r="AU5500" t="s">
        <v>68</v>
      </c>
      <c r="AV5500" t="s">
        <v>69</v>
      </c>
      <c r="AW5500" s="1">
        <v>23517</v>
      </c>
      <c r="AX5500">
        <v>1</v>
      </c>
    </row>
    <row r="5501" spans="1:50">
      <c r="A5501">
        <v>618870</v>
      </c>
      <c r="B5501" t="str">
        <f>"138955335"</f>
        <v>138955335</v>
      </c>
      <c r="C5501" t="s">
        <v>50</v>
      </c>
      <c r="D5501" t="s">
        <v>1634</v>
      </c>
      <c r="E5501" t="s">
        <v>52</v>
      </c>
      <c r="F5501" t="s">
        <v>989</v>
      </c>
      <c r="G5501" t="s">
        <v>9844</v>
      </c>
      <c r="H5501" t="str">
        <f>"ΕΡΥΘΡΑΙΑΣ 113 ΗΡΑΚΛΕΙΟ"</f>
        <v>ΕΡΥΘΡΑΙΑΣ 113 ΗΡΑΚΛΕΙΟ</v>
      </c>
      <c r="I5501">
        <v>71409</v>
      </c>
      <c r="J5501">
        <v>2810326115</v>
      </c>
      <c r="K5501">
        <v>6978818241</v>
      </c>
      <c r="M5501" t="s">
        <v>9845</v>
      </c>
      <c r="N5501" t="s">
        <v>615</v>
      </c>
      <c r="O5501" t="s">
        <v>616</v>
      </c>
      <c r="R5501" t="s">
        <v>57</v>
      </c>
      <c r="S5501">
        <v>7</v>
      </c>
      <c r="T5501">
        <v>774</v>
      </c>
      <c r="U5501" s="1">
        <v>39680</v>
      </c>
      <c r="V5501" t="s">
        <v>80</v>
      </c>
      <c r="W5501" t="s">
        <v>81</v>
      </c>
      <c r="X5501" t="s">
        <v>58</v>
      </c>
      <c r="Y5501">
        <v>23</v>
      </c>
      <c r="Z5501" t="s">
        <v>59</v>
      </c>
      <c r="AA5501" t="s">
        <v>59</v>
      </c>
      <c r="AB5501" t="s">
        <v>59</v>
      </c>
      <c r="AC5501" t="s">
        <v>59</v>
      </c>
      <c r="AD5501" t="s">
        <v>59</v>
      </c>
      <c r="AF5501" s="1">
        <v>39681</v>
      </c>
      <c r="AG5501" t="s">
        <v>8645</v>
      </c>
      <c r="AH5501" t="s">
        <v>8646</v>
      </c>
      <c r="AI5501" t="str">
        <f>"9170535"</f>
        <v>9170535</v>
      </c>
      <c r="AJ5501" t="s">
        <v>9330</v>
      </c>
      <c r="AK5501">
        <v>2810222629</v>
      </c>
      <c r="AL5501" t="s">
        <v>9331</v>
      </c>
      <c r="AM5501" t="s">
        <v>78</v>
      </c>
      <c r="AN5501" t="s">
        <v>78</v>
      </c>
      <c r="AO5501" t="s">
        <v>78</v>
      </c>
      <c r="AP5501" t="s">
        <v>213</v>
      </c>
      <c r="AQ5501">
        <v>1</v>
      </c>
      <c r="AR5501" t="s">
        <v>80</v>
      </c>
      <c r="AS5501" t="s">
        <v>81</v>
      </c>
      <c r="AT5501" t="s">
        <v>58</v>
      </c>
      <c r="AU5501" t="s">
        <v>68</v>
      </c>
      <c r="AV5501" t="s">
        <v>69</v>
      </c>
      <c r="AW5501" s="1">
        <v>31454</v>
      </c>
      <c r="AX5501">
        <v>1</v>
      </c>
    </row>
    <row r="5502" spans="1:50">
      <c r="A5502">
        <v>562994</v>
      </c>
      <c r="B5502" t="str">
        <f>"068140387"</f>
        <v>068140387</v>
      </c>
      <c r="C5502" t="s">
        <v>50</v>
      </c>
      <c r="D5502" t="s">
        <v>1634</v>
      </c>
      <c r="E5502" t="s">
        <v>9846</v>
      </c>
      <c r="F5502" t="s">
        <v>72</v>
      </c>
      <c r="G5502" t="s">
        <v>340</v>
      </c>
      <c r="H5502" t="str">
        <f>" Τυμπάκι"</f>
        <v xml:space="preserve"> Τυμπάκι</v>
      </c>
      <c r="I5502">
        <v>70200</v>
      </c>
      <c r="N5502" t="s">
        <v>615</v>
      </c>
      <c r="O5502" t="s">
        <v>616</v>
      </c>
      <c r="R5502" t="s">
        <v>57</v>
      </c>
      <c r="S5502">
        <v>14</v>
      </c>
      <c r="T5502">
        <v>187</v>
      </c>
      <c r="U5502" s="1">
        <v>32750</v>
      </c>
      <c r="V5502" t="s">
        <v>80</v>
      </c>
      <c r="W5502" t="s">
        <v>81</v>
      </c>
      <c r="X5502" t="s">
        <v>58</v>
      </c>
      <c r="Y5502">
        <v>21</v>
      </c>
      <c r="Z5502" t="s">
        <v>59</v>
      </c>
      <c r="AA5502" t="s">
        <v>59</v>
      </c>
      <c r="AB5502" t="s">
        <v>59</v>
      </c>
      <c r="AC5502" t="s">
        <v>59</v>
      </c>
      <c r="AD5502" t="s">
        <v>59</v>
      </c>
      <c r="AF5502" s="1">
        <v>32756</v>
      </c>
      <c r="AG5502" t="s">
        <v>8645</v>
      </c>
      <c r="AH5502" t="s">
        <v>8646</v>
      </c>
      <c r="AI5502" t="str">
        <f>"9170338"</f>
        <v>9170338</v>
      </c>
      <c r="AJ5502" t="s">
        <v>8849</v>
      </c>
      <c r="AK5502">
        <v>2892051377</v>
      </c>
      <c r="AL5502" t="s">
        <v>8850</v>
      </c>
      <c r="AM5502" t="s">
        <v>78</v>
      </c>
      <c r="AN5502" t="s">
        <v>242</v>
      </c>
      <c r="AO5502" t="s">
        <v>349</v>
      </c>
      <c r="AP5502" t="s">
        <v>349</v>
      </c>
      <c r="AQ5502">
        <v>19</v>
      </c>
      <c r="AR5502" t="s">
        <v>80</v>
      </c>
      <c r="AS5502" t="s">
        <v>81</v>
      </c>
      <c r="AT5502" t="s">
        <v>58</v>
      </c>
      <c r="AU5502" t="s">
        <v>68</v>
      </c>
      <c r="AV5502" t="s">
        <v>69</v>
      </c>
      <c r="AW5502" s="1">
        <v>23881</v>
      </c>
      <c r="AX5502">
        <v>1</v>
      </c>
    </row>
    <row r="5503" spans="1:50">
      <c r="A5503">
        <v>551802</v>
      </c>
      <c r="B5503" t="str">
        <f>"027770264"</f>
        <v>027770264</v>
      </c>
      <c r="C5503" t="s">
        <v>105</v>
      </c>
      <c r="D5503" t="s">
        <v>1635</v>
      </c>
      <c r="E5503" t="s">
        <v>166</v>
      </c>
      <c r="F5503" t="s">
        <v>108</v>
      </c>
      <c r="G5503" t="s">
        <v>314</v>
      </c>
      <c r="H5503" t="str">
        <f>"ΘΕΟΔΟΣΙΟΥ ΜΑΤΘΑΙΑΚΗ 67 ΗΡΑΚΛΕΙΟ ΗΡΑΚΛΕΙΟ"</f>
        <v>ΘΕΟΔΟΣΙΟΥ ΜΑΤΘΑΙΑΚΗ 67 ΗΡΑΚΛΕΙΟ ΗΡΑΚΛΕΙΟ</v>
      </c>
      <c r="I5503">
        <v>71305</v>
      </c>
      <c r="J5503">
        <v>2810262293</v>
      </c>
      <c r="K5503">
        <v>6977416945</v>
      </c>
      <c r="M5503" t="s">
        <v>9847</v>
      </c>
      <c r="N5503" t="s">
        <v>615</v>
      </c>
      <c r="O5503" t="s">
        <v>616</v>
      </c>
      <c r="R5503" t="s">
        <v>57</v>
      </c>
      <c r="S5503">
        <v>17</v>
      </c>
      <c r="T5503">
        <v>271</v>
      </c>
      <c r="U5503" s="1">
        <v>30923</v>
      </c>
      <c r="V5503" t="s">
        <v>80</v>
      </c>
      <c r="W5503" t="s">
        <v>81</v>
      </c>
      <c r="X5503" t="s">
        <v>58</v>
      </c>
      <c r="Y5503">
        <v>21</v>
      </c>
      <c r="Z5503" t="s">
        <v>59</v>
      </c>
      <c r="AA5503" t="s">
        <v>59</v>
      </c>
      <c r="AB5503" t="s">
        <v>59</v>
      </c>
      <c r="AC5503" t="s">
        <v>59</v>
      </c>
      <c r="AD5503" t="s">
        <v>59</v>
      </c>
      <c r="AF5503" s="1">
        <v>30928</v>
      </c>
      <c r="AG5503" t="s">
        <v>8645</v>
      </c>
      <c r="AH5503" t="s">
        <v>8646</v>
      </c>
      <c r="AI5503" t="str">
        <f>"9170115"</f>
        <v>9170115</v>
      </c>
      <c r="AJ5503" t="s">
        <v>8770</v>
      </c>
      <c r="AK5503">
        <v>2810231165</v>
      </c>
      <c r="AL5503" t="s">
        <v>8771</v>
      </c>
      <c r="AM5503" t="s">
        <v>78</v>
      </c>
      <c r="AN5503" t="s">
        <v>78</v>
      </c>
      <c r="AO5503" t="s">
        <v>78</v>
      </c>
      <c r="AP5503" t="s">
        <v>141</v>
      </c>
      <c r="AQ5503">
        <v>1</v>
      </c>
      <c r="AR5503" t="s">
        <v>80</v>
      </c>
      <c r="AS5503" t="s">
        <v>81</v>
      </c>
      <c r="AT5503" t="s">
        <v>58</v>
      </c>
      <c r="AU5503" t="s">
        <v>68</v>
      </c>
      <c r="AV5503" t="s">
        <v>69</v>
      </c>
      <c r="AW5503" s="1">
        <v>22360</v>
      </c>
      <c r="AX5503">
        <v>1</v>
      </c>
    </row>
    <row r="5504" spans="1:50">
      <c r="A5504">
        <v>616095</v>
      </c>
      <c r="B5504" t="str">
        <f>"062974254"</f>
        <v>062974254</v>
      </c>
      <c r="C5504" t="s">
        <v>105</v>
      </c>
      <c r="D5504" t="s">
        <v>1635</v>
      </c>
      <c r="E5504" t="s">
        <v>311</v>
      </c>
      <c r="F5504" t="s">
        <v>760</v>
      </c>
      <c r="G5504" t="s">
        <v>54</v>
      </c>
      <c r="H5504" t="str">
        <f>"ΠΥΡΓΟΣ ΠΥΡΓΟΣ "</f>
        <v xml:space="preserve">ΠΥΡΓΟΣ ΠΥΡΓΟΣ </v>
      </c>
      <c r="I5504">
        <v>70010</v>
      </c>
      <c r="J5504">
        <v>2893023338</v>
      </c>
      <c r="K5504">
        <v>6974796528</v>
      </c>
      <c r="N5504" t="s">
        <v>176</v>
      </c>
      <c r="O5504" t="s">
        <v>177</v>
      </c>
      <c r="R5504" t="s">
        <v>57</v>
      </c>
      <c r="S5504">
        <v>7</v>
      </c>
      <c r="T5504">
        <v>600</v>
      </c>
      <c r="U5504" s="1">
        <v>39310</v>
      </c>
      <c r="V5504" t="s">
        <v>80</v>
      </c>
      <c r="W5504" t="s">
        <v>81</v>
      </c>
      <c r="X5504" t="s">
        <v>58</v>
      </c>
      <c r="Y5504">
        <v>22</v>
      </c>
      <c r="Z5504" t="s">
        <v>59</v>
      </c>
      <c r="AA5504" t="s">
        <v>59</v>
      </c>
      <c r="AB5504" t="s">
        <v>59</v>
      </c>
      <c r="AC5504" t="s">
        <v>59</v>
      </c>
      <c r="AD5504" t="s">
        <v>59</v>
      </c>
      <c r="AF5504" s="1">
        <v>39328</v>
      </c>
      <c r="AG5504" t="s">
        <v>8645</v>
      </c>
      <c r="AH5504" t="s">
        <v>8646</v>
      </c>
      <c r="AI5504" t="str">
        <f>"9170319"</f>
        <v>9170319</v>
      </c>
      <c r="AJ5504" t="s">
        <v>9121</v>
      </c>
      <c r="AK5504">
        <v>2893022231</v>
      </c>
      <c r="AL5504" t="s">
        <v>9122</v>
      </c>
      <c r="AM5504" t="s">
        <v>78</v>
      </c>
      <c r="AN5504" t="s">
        <v>424</v>
      </c>
      <c r="AO5504" t="s">
        <v>577</v>
      </c>
      <c r="AP5504" t="s">
        <v>1668</v>
      </c>
      <c r="AQ5504">
        <v>10</v>
      </c>
      <c r="AR5504" t="s">
        <v>80</v>
      </c>
      <c r="AS5504" t="s">
        <v>81</v>
      </c>
      <c r="AT5504" t="s">
        <v>58</v>
      </c>
      <c r="AU5504" t="s">
        <v>68</v>
      </c>
      <c r="AV5504" t="s">
        <v>69</v>
      </c>
      <c r="AW5504" s="1">
        <v>26671</v>
      </c>
      <c r="AX5504">
        <v>1</v>
      </c>
    </row>
    <row r="5505" spans="1:50">
      <c r="A5505">
        <v>593897</v>
      </c>
      <c r="B5505" t="str">
        <f>"076932852"</f>
        <v>076932852</v>
      </c>
      <c r="C5505" t="s">
        <v>50</v>
      </c>
      <c r="D5505" t="s">
        <v>1640</v>
      </c>
      <c r="E5505" t="s">
        <v>83</v>
      </c>
      <c r="F5505" t="s">
        <v>95</v>
      </c>
      <c r="G5505" t="s">
        <v>707</v>
      </c>
      <c r="H5505" t="str">
        <f>"ΛΕΒΗΝΟΥ 17 ΘΕΡΙΣΣΟΣ ΗΡΑΚΛΕΙΟΥ"</f>
        <v>ΛΕΒΗΝΟΥ 17 ΘΕΡΙΣΣΟΣ ΗΡΑΚΛΕΙΟΥ</v>
      </c>
      <c r="I5505">
        <v>71304</v>
      </c>
      <c r="J5505">
        <v>2810316568</v>
      </c>
      <c r="L5505">
        <v>6949640444</v>
      </c>
      <c r="M5505" t="s">
        <v>9848</v>
      </c>
      <c r="N5505" t="s">
        <v>615</v>
      </c>
      <c r="O5505" t="s">
        <v>616</v>
      </c>
      <c r="R5505" t="s">
        <v>57</v>
      </c>
      <c r="S5505">
        <v>9</v>
      </c>
      <c r="T5505">
        <v>218</v>
      </c>
      <c r="U5505" s="1">
        <v>37134</v>
      </c>
      <c r="V5505" t="s">
        <v>80</v>
      </c>
      <c r="W5505" t="s">
        <v>81</v>
      </c>
      <c r="X5505" t="s">
        <v>58</v>
      </c>
      <c r="Y5505">
        <v>22</v>
      </c>
      <c r="Z5505" t="s">
        <v>59</v>
      </c>
      <c r="AA5505" t="s">
        <v>59</v>
      </c>
      <c r="AB5505" t="s">
        <v>59</v>
      </c>
      <c r="AC5505" t="s">
        <v>59</v>
      </c>
      <c r="AD5505" t="s">
        <v>59</v>
      </c>
      <c r="AF5505" s="1">
        <v>37137</v>
      </c>
      <c r="AG5505" t="s">
        <v>8645</v>
      </c>
      <c r="AH5505" t="s">
        <v>8646</v>
      </c>
      <c r="AI5505" t="str">
        <f>"9170056"</f>
        <v>9170056</v>
      </c>
      <c r="AJ5505" t="s">
        <v>9137</v>
      </c>
      <c r="AK5505">
        <v>2810253392</v>
      </c>
      <c r="AL5505" t="s">
        <v>9138</v>
      </c>
      <c r="AM5505" t="s">
        <v>78</v>
      </c>
      <c r="AN5505" t="s">
        <v>78</v>
      </c>
      <c r="AO5505" t="s">
        <v>78</v>
      </c>
      <c r="AP5505" t="s">
        <v>141</v>
      </c>
      <c r="AQ5505">
        <v>1</v>
      </c>
      <c r="AR5505" t="s">
        <v>80</v>
      </c>
      <c r="AS5505" t="s">
        <v>81</v>
      </c>
      <c r="AT5505" t="s">
        <v>58</v>
      </c>
      <c r="AU5505" t="s">
        <v>68</v>
      </c>
      <c r="AV5505" t="s">
        <v>2039</v>
      </c>
      <c r="AW5505" s="1">
        <v>25815</v>
      </c>
      <c r="AX5505">
        <v>1</v>
      </c>
    </row>
    <row r="5506" spans="1:50">
      <c r="A5506">
        <v>700116</v>
      </c>
      <c r="B5506" t="str">
        <f>"132493069"</f>
        <v>132493069</v>
      </c>
      <c r="C5506" t="s">
        <v>105</v>
      </c>
      <c r="D5506" t="s">
        <v>9849</v>
      </c>
      <c r="E5506" t="s">
        <v>1761</v>
      </c>
      <c r="F5506" t="s">
        <v>99</v>
      </c>
      <c r="G5506" t="s">
        <v>237</v>
      </c>
      <c r="H5506" t="str">
        <f>"ΙΕΡΟΛΟΧΙΤΩΝ 6 ΣΕΡΡΕΣ"</f>
        <v>ΙΕΡΟΛΟΧΙΤΩΝ 6 ΣΕΡΡΕΣ</v>
      </c>
      <c r="I5506">
        <v>62125</v>
      </c>
      <c r="J5506">
        <v>2324041740</v>
      </c>
      <c r="K5506">
        <v>6973655295</v>
      </c>
      <c r="N5506" t="s">
        <v>615</v>
      </c>
      <c r="O5506" t="s">
        <v>616</v>
      </c>
      <c r="R5506" t="s">
        <v>57</v>
      </c>
      <c r="S5506">
        <v>4</v>
      </c>
      <c r="T5506" t="s">
        <v>6506</v>
      </c>
      <c r="U5506" s="1">
        <v>40413</v>
      </c>
      <c r="V5506" t="s">
        <v>80</v>
      </c>
      <c r="W5506" t="s">
        <v>81</v>
      </c>
      <c r="X5506" t="s">
        <v>58</v>
      </c>
      <c r="Y5506">
        <v>24</v>
      </c>
      <c r="Z5506" t="s">
        <v>59</v>
      </c>
      <c r="AA5506" t="s">
        <v>59</v>
      </c>
      <c r="AB5506" t="s">
        <v>59</v>
      </c>
      <c r="AC5506" t="s">
        <v>59</v>
      </c>
      <c r="AD5506" t="s">
        <v>59</v>
      </c>
      <c r="AF5506" s="1">
        <v>40413</v>
      </c>
      <c r="AG5506" t="s">
        <v>8645</v>
      </c>
      <c r="AH5506" t="s">
        <v>8646</v>
      </c>
      <c r="AI5506" t="str">
        <f>"9170254"</f>
        <v>9170254</v>
      </c>
      <c r="AJ5506" t="s">
        <v>9839</v>
      </c>
      <c r="AK5506">
        <v>2810245069</v>
      </c>
      <c r="AL5506" t="s">
        <v>9840</v>
      </c>
      <c r="AM5506" t="s">
        <v>78</v>
      </c>
      <c r="AN5506" t="s">
        <v>78</v>
      </c>
      <c r="AO5506" t="s">
        <v>78</v>
      </c>
      <c r="AP5506" t="s">
        <v>213</v>
      </c>
      <c r="AQ5506">
        <v>1</v>
      </c>
      <c r="AR5506" t="s">
        <v>80</v>
      </c>
      <c r="AS5506" t="s">
        <v>81</v>
      </c>
      <c r="AT5506" t="s">
        <v>58</v>
      </c>
      <c r="AU5506" t="s">
        <v>68</v>
      </c>
      <c r="AV5506" t="s">
        <v>69</v>
      </c>
      <c r="AW5506" s="1">
        <v>31447</v>
      </c>
      <c r="AX5506">
        <v>1</v>
      </c>
    </row>
    <row r="5507" spans="1:50">
      <c r="A5507">
        <v>602907</v>
      </c>
      <c r="B5507" t="str">
        <f>"079544234"</f>
        <v>079544234</v>
      </c>
      <c r="C5507" t="s">
        <v>50</v>
      </c>
      <c r="D5507" t="s">
        <v>1643</v>
      </c>
      <c r="E5507" t="s">
        <v>52</v>
      </c>
      <c r="F5507" t="s">
        <v>72</v>
      </c>
      <c r="G5507" t="s">
        <v>143</v>
      </c>
      <c r="H5507" t="str">
        <f>"ΕΠΙΔΑΥΡΟΥ 23 ΗΡΑΚΛΕΙΟ"</f>
        <v>ΕΠΙΔΑΥΡΟΥ 23 ΗΡΑΚΛΕΙΟ</v>
      </c>
      <c r="I5507">
        <v>71409</v>
      </c>
      <c r="J5507">
        <v>2810324804</v>
      </c>
      <c r="N5507" t="s">
        <v>1525</v>
      </c>
      <c r="O5507" t="s">
        <v>1526</v>
      </c>
      <c r="R5507" t="s">
        <v>57</v>
      </c>
      <c r="S5507">
        <v>10</v>
      </c>
      <c r="T5507">
        <v>207</v>
      </c>
      <c r="U5507" s="1">
        <v>37866</v>
      </c>
      <c r="V5507" t="s">
        <v>80</v>
      </c>
      <c r="W5507" t="s">
        <v>81</v>
      </c>
      <c r="X5507" t="s">
        <v>58</v>
      </c>
      <c r="Y5507">
        <v>25</v>
      </c>
      <c r="Z5507" t="s">
        <v>59</v>
      </c>
      <c r="AA5507" t="s">
        <v>59</v>
      </c>
      <c r="AB5507" t="s">
        <v>59</v>
      </c>
      <c r="AC5507" t="s">
        <v>59</v>
      </c>
      <c r="AD5507" t="s">
        <v>59</v>
      </c>
      <c r="AF5507" s="1">
        <v>37866</v>
      </c>
      <c r="AG5507" t="s">
        <v>8651</v>
      </c>
      <c r="AH5507" t="s">
        <v>8652</v>
      </c>
      <c r="AI5507" t="str">
        <f>"9170556"</f>
        <v>9170556</v>
      </c>
      <c r="AJ5507" t="s">
        <v>9850</v>
      </c>
      <c r="AK5507">
        <v>2810239763</v>
      </c>
      <c r="AL5507" t="s">
        <v>9851</v>
      </c>
      <c r="AM5507" t="s">
        <v>78</v>
      </c>
      <c r="AN5507" t="s">
        <v>78</v>
      </c>
      <c r="AO5507" t="s">
        <v>78</v>
      </c>
      <c r="AP5507" t="s">
        <v>163</v>
      </c>
      <c r="AQ5507">
        <v>1</v>
      </c>
      <c r="AR5507" t="s">
        <v>80</v>
      </c>
      <c r="AS5507" t="s">
        <v>81</v>
      </c>
      <c r="AT5507" t="s">
        <v>58</v>
      </c>
      <c r="AU5507" t="s">
        <v>68</v>
      </c>
      <c r="AV5507" t="s">
        <v>69</v>
      </c>
      <c r="AW5507" s="1">
        <v>23411</v>
      </c>
      <c r="AX5507">
        <v>1</v>
      </c>
    </row>
    <row r="5508" spans="1:50">
      <c r="B5508" t="str">
        <f>"150948629"</f>
        <v>150948629</v>
      </c>
      <c r="C5508" t="s">
        <v>50</v>
      </c>
      <c r="D5508" t="s">
        <v>1643</v>
      </c>
      <c r="E5508" t="s">
        <v>9852</v>
      </c>
      <c r="F5508" t="s">
        <v>106</v>
      </c>
      <c r="G5508" t="s">
        <v>3666</v>
      </c>
      <c r="H5508" t="str">
        <f>" "</f>
        <v xml:space="preserve"> </v>
      </c>
      <c r="N5508" t="s">
        <v>683</v>
      </c>
      <c r="O5508" t="s">
        <v>684</v>
      </c>
      <c r="R5508" t="s">
        <v>121</v>
      </c>
      <c r="S5508">
        <v>1</v>
      </c>
      <c r="T5508" t="s">
        <v>8675</v>
      </c>
      <c r="U5508" s="1">
        <v>43348</v>
      </c>
      <c r="V5508" t="s">
        <v>80</v>
      </c>
      <c r="W5508" t="s">
        <v>81</v>
      </c>
      <c r="X5508" t="s">
        <v>58</v>
      </c>
      <c r="Y5508">
        <v>24</v>
      </c>
      <c r="Z5508" t="s">
        <v>59</v>
      </c>
      <c r="AD5508" t="s">
        <v>59</v>
      </c>
      <c r="AF5508" s="1">
        <v>43348</v>
      </c>
      <c r="AG5508" t="s">
        <v>8645</v>
      </c>
      <c r="AH5508" t="s">
        <v>8646</v>
      </c>
      <c r="AI5508" t="str">
        <f>"9170058"</f>
        <v>9170058</v>
      </c>
      <c r="AJ5508" t="s">
        <v>8735</v>
      </c>
      <c r="AK5508">
        <v>2810252903</v>
      </c>
      <c r="AL5508" t="s">
        <v>8736</v>
      </c>
      <c r="AM5508" t="s">
        <v>78</v>
      </c>
      <c r="AN5508" t="s">
        <v>78</v>
      </c>
      <c r="AO5508" t="s">
        <v>78</v>
      </c>
      <c r="AP5508" t="s">
        <v>163</v>
      </c>
      <c r="AQ5508">
        <v>1</v>
      </c>
      <c r="AR5508" t="s">
        <v>80</v>
      </c>
      <c r="AS5508" t="s">
        <v>81</v>
      </c>
      <c r="AT5508" t="s">
        <v>58</v>
      </c>
      <c r="AU5508" t="s">
        <v>8673</v>
      </c>
      <c r="AV5508" t="s">
        <v>132</v>
      </c>
      <c r="AW5508" s="1">
        <v>33604</v>
      </c>
      <c r="AX5508">
        <v>1</v>
      </c>
    </row>
    <row r="5509" spans="1:50">
      <c r="A5509">
        <v>579093</v>
      </c>
      <c r="B5509" t="str">
        <f>"035498264"</f>
        <v>035498264</v>
      </c>
      <c r="C5509" t="s">
        <v>105</v>
      </c>
      <c r="D5509" t="s">
        <v>1645</v>
      </c>
      <c r="E5509" t="s">
        <v>166</v>
      </c>
      <c r="F5509" t="s">
        <v>95</v>
      </c>
      <c r="G5509" t="s">
        <v>263</v>
      </c>
      <c r="H5509" t="str">
        <f>"ΘΕΜΟΥ ΚΟΡΝΑΡΟΥ 12-14 ΗΡΑΚΛΕΙΟ"</f>
        <v>ΘΕΜΟΥ ΚΟΡΝΑΡΟΥ 12-14 ΗΡΑΚΛΕΙΟ</v>
      </c>
      <c r="I5509">
        <v>71306</v>
      </c>
      <c r="K5509">
        <v>6944276432</v>
      </c>
      <c r="N5509" t="s">
        <v>615</v>
      </c>
      <c r="O5509" t="s">
        <v>616</v>
      </c>
      <c r="R5509" t="s">
        <v>57</v>
      </c>
      <c r="S5509">
        <v>13</v>
      </c>
      <c r="T5509">
        <v>165</v>
      </c>
      <c r="U5509" s="1">
        <v>35300</v>
      </c>
      <c r="V5509" t="s">
        <v>80</v>
      </c>
      <c r="W5509" t="s">
        <v>81</v>
      </c>
      <c r="X5509" t="s">
        <v>58</v>
      </c>
      <c r="Y5509">
        <v>21</v>
      </c>
      <c r="Z5509" t="s">
        <v>59</v>
      </c>
      <c r="AA5509" t="s">
        <v>59</v>
      </c>
      <c r="AB5509" t="s">
        <v>59</v>
      </c>
      <c r="AC5509" t="s">
        <v>59</v>
      </c>
      <c r="AD5509" t="s">
        <v>59</v>
      </c>
      <c r="AF5509" s="1">
        <v>35313</v>
      </c>
      <c r="AG5509" t="s">
        <v>8645</v>
      </c>
      <c r="AH5509" t="s">
        <v>8646</v>
      </c>
      <c r="AI5509" t="str">
        <f>"9170512"</f>
        <v>9170512</v>
      </c>
      <c r="AJ5509" t="s">
        <v>8986</v>
      </c>
      <c r="AK5509">
        <v>2810253082</v>
      </c>
      <c r="AL5509" t="s">
        <v>8987</v>
      </c>
      <c r="AM5509" t="s">
        <v>78</v>
      </c>
      <c r="AN5509" t="s">
        <v>78</v>
      </c>
      <c r="AO5509" t="s">
        <v>78</v>
      </c>
      <c r="AP5509" t="s">
        <v>141</v>
      </c>
      <c r="AQ5509">
        <v>1</v>
      </c>
      <c r="AR5509" t="s">
        <v>80</v>
      </c>
      <c r="AS5509" t="s">
        <v>81</v>
      </c>
      <c r="AT5509" t="s">
        <v>58</v>
      </c>
      <c r="AU5509" t="s">
        <v>68</v>
      </c>
      <c r="AV5509" t="s">
        <v>69</v>
      </c>
      <c r="AW5509" s="1">
        <v>22069</v>
      </c>
      <c r="AX5509">
        <v>1</v>
      </c>
    </row>
    <row r="5510" spans="1:50">
      <c r="A5510">
        <v>603052</v>
      </c>
      <c r="B5510" t="str">
        <f>"061503956"</f>
        <v>061503956</v>
      </c>
      <c r="C5510" t="s">
        <v>50</v>
      </c>
      <c r="D5510" t="s">
        <v>7298</v>
      </c>
      <c r="E5510" t="s">
        <v>2672</v>
      </c>
      <c r="F5510" t="s">
        <v>106</v>
      </c>
      <c r="G5510" t="s">
        <v>950</v>
      </c>
      <c r="H5510" t="str">
        <f>"Αστρίτσι Αρκαλοχώρι"</f>
        <v>Αστρίτσι Αρκαλοχώρι</v>
      </c>
      <c r="I5510">
        <v>70300</v>
      </c>
      <c r="J5510">
        <v>2813017141</v>
      </c>
      <c r="K5510">
        <v>6979157850</v>
      </c>
      <c r="M5510" t="s">
        <v>9853</v>
      </c>
      <c r="N5510" t="s">
        <v>1525</v>
      </c>
      <c r="O5510" t="s">
        <v>1526</v>
      </c>
      <c r="R5510" t="s">
        <v>57</v>
      </c>
      <c r="S5510">
        <v>9</v>
      </c>
      <c r="T5510">
        <v>207</v>
      </c>
      <c r="U5510" s="1">
        <v>37866</v>
      </c>
      <c r="V5510" t="s">
        <v>80</v>
      </c>
      <c r="W5510" t="s">
        <v>81</v>
      </c>
      <c r="X5510" t="s">
        <v>58</v>
      </c>
      <c r="Y5510">
        <v>25</v>
      </c>
      <c r="Z5510" t="s">
        <v>59</v>
      </c>
      <c r="AA5510" t="s">
        <v>59</v>
      </c>
      <c r="AB5510" t="s">
        <v>59</v>
      </c>
      <c r="AC5510" t="s">
        <v>59</v>
      </c>
      <c r="AD5510" t="s">
        <v>59</v>
      </c>
      <c r="AF5510" s="1">
        <v>37866</v>
      </c>
      <c r="AG5510" t="s">
        <v>8651</v>
      </c>
      <c r="AH5510" t="s">
        <v>8652</v>
      </c>
      <c r="AI5510" t="str">
        <f>"9170571"</f>
        <v>9170571</v>
      </c>
      <c r="AJ5510" t="s">
        <v>9854</v>
      </c>
      <c r="AK5510">
        <v>2891023446</v>
      </c>
      <c r="AL5510" t="s">
        <v>9855</v>
      </c>
      <c r="AM5510" t="s">
        <v>78</v>
      </c>
      <c r="AN5510" t="s">
        <v>276</v>
      </c>
      <c r="AO5510" t="s">
        <v>490</v>
      </c>
      <c r="AP5510" t="s">
        <v>490</v>
      </c>
      <c r="AQ5510">
        <v>12</v>
      </c>
      <c r="AR5510" t="s">
        <v>80</v>
      </c>
      <c r="AS5510" t="s">
        <v>81</v>
      </c>
      <c r="AT5510" t="s">
        <v>58</v>
      </c>
      <c r="AU5510" t="s">
        <v>68</v>
      </c>
      <c r="AV5510" t="s">
        <v>69</v>
      </c>
      <c r="AW5510" s="1">
        <v>27249</v>
      </c>
      <c r="AX5510">
        <v>1</v>
      </c>
    </row>
    <row r="5511" spans="1:50">
      <c r="A5511">
        <v>598415</v>
      </c>
      <c r="B5511" t="str">
        <f>"055470142"</f>
        <v>055470142</v>
      </c>
      <c r="C5511" t="s">
        <v>50</v>
      </c>
      <c r="D5511" t="s">
        <v>9856</v>
      </c>
      <c r="E5511" t="s">
        <v>112</v>
      </c>
      <c r="F5511" t="s">
        <v>4097</v>
      </c>
      <c r="G5511" t="s">
        <v>9857</v>
      </c>
      <c r="H5511" t="str">
        <f>"ΔΟΞΑΡΑ 8 ΑΝΩ ΠΑΤΗΣΙΑ"</f>
        <v>ΔΟΞΑΡΑ 8 ΑΝΩ ΠΑΤΗΣΙΑ</v>
      </c>
      <c r="I5511">
        <v>11143</v>
      </c>
      <c r="J5511">
        <v>2102514254</v>
      </c>
      <c r="K5511">
        <v>6972091934</v>
      </c>
      <c r="M5511" t="s">
        <v>9858</v>
      </c>
      <c r="N5511" t="s">
        <v>615</v>
      </c>
      <c r="O5511" t="s">
        <v>616</v>
      </c>
      <c r="R5511" t="s">
        <v>57</v>
      </c>
      <c r="S5511">
        <v>9</v>
      </c>
      <c r="T5511">
        <v>195</v>
      </c>
      <c r="U5511" s="1">
        <v>37497</v>
      </c>
      <c r="V5511" t="s">
        <v>80</v>
      </c>
      <c r="W5511" t="s">
        <v>81</v>
      </c>
      <c r="X5511" t="s">
        <v>58</v>
      </c>
      <c r="Y5511">
        <v>22</v>
      </c>
      <c r="Z5511" t="s">
        <v>59</v>
      </c>
      <c r="AA5511" t="s">
        <v>59</v>
      </c>
      <c r="AB5511" t="s">
        <v>59</v>
      </c>
      <c r="AC5511" t="s">
        <v>59</v>
      </c>
      <c r="AD5511" t="s">
        <v>59</v>
      </c>
      <c r="AF5511" s="1">
        <v>37503</v>
      </c>
      <c r="AG5511" t="s">
        <v>8645</v>
      </c>
      <c r="AH5511" t="s">
        <v>8646</v>
      </c>
      <c r="AI5511" t="str">
        <f>"9170525"</f>
        <v>9170525</v>
      </c>
      <c r="AJ5511" t="s">
        <v>8853</v>
      </c>
      <c r="AK5511">
        <v>2810256547</v>
      </c>
      <c r="AL5511" t="s">
        <v>8854</v>
      </c>
      <c r="AM5511" t="s">
        <v>78</v>
      </c>
      <c r="AN5511" t="s">
        <v>78</v>
      </c>
      <c r="AO5511" t="s">
        <v>78</v>
      </c>
      <c r="AP5511" t="s">
        <v>141</v>
      </c>
      <c r="AQ5511">
        <v>1</v>
      </c>
      <c r="AR5511" t="s">
        <v>80</v>
      </c>
      <c r="AS5511" t="s">
        <v>81</v>
      </c>
      <c r="AT5511" t="s">
        <v>58</v>
      </c>
      <c r="AU5511" t="s">
        <v>68</v>
      </c>
      <c r="AV5511" t="s">
        <v>69</v>
      </c>
      <c r="AW5511" s="1">
        <v>25245</v>
      </c>
      <c r="AX5511">
        <v>1</v>
      </c>
    </row>
    <row r="5512" spans="1:50">
      <c r="B5512" t="str">
        <f>"063031667"</f>
        <v>063031667</v>
      </c>
      <c r="C5512" t="s">
        <v>50</v>
      </c>
      <c r="D5512" t="s">
        <v>9856</v>
      </c>
      <c r="E5512" t="s">
        <v>255</v>
      </c>
      <c r="F5512" t="s">
        <v>154</v>
      </c>
      <c r="G5512" t="s">
        <v>83</v>
      </c>
      <c r="H5512" t="str">
        <f>" "</f>
        <v xml:space="preserve"> </v>
      </c>
      <c r="N5512" t="s">
        <v>1525</v>
      </c>
      <c r="O5512" t="s">
        <v>1526</v>
      </c>
      <c r="R5512" t="s">
        <v>159</v>
      </c>
      <c r="S5512">
        <v>1</v>
      </c>
      <c r="T5512" t="s">
        <v>8670</v>
      </c>
      <c r="U5512" s="1">
        <v>43348</v>
      </c>
      <c r="V5512" t="s">
        <v>80</v>
      </c>
      <c r="W5512" t="s">
        <v>81</v>
      </c>
      <c r="X5512" t="s">
        <v>58</v>
      </c>
      <c r="Y5512">
        <v>25</v>
      </c>
      <c r="Z5512" t="s">
        <v>59</v>
      </c>
      <c r="AA5512" t="s">
        <v>59</v>
      </c>
      <c r="AB5512" t="s">
        <v>59</v>
      </c>
      <c r="AD5512" t="s">
        <v>59</v>
      </c>
      <c r="AF5512" s="1">
        <v>43348</v>
      </c>
      <c r="AG5512" t="s">
        <v>8651</v>
      </c>
      <c r="AH5512" t="s">
        <v>8652</v>
      </c>
      <c r="AI5512" t="str">
        <f>"9170588"</f>
        <v>9170588</v>
      </c>
      <c r="AJ5512" t="s">
        <v>9859</v>
      </c>
      <c r="AK5512">
        <v>2810320601</v>
      </c>
      <c r="AL5512" t="s">
        <v>9860</v>
      </c>
      <c r="AM5512" t="s">
        <v>78</v>
      </c>
      <c r="AN5512" t="s">
        <v>78</v>
      </c>
      <c r="AO5512" t="s">
        <v>78</v>
      </c>
      <c r="AP5512" t="s">
        <v>213</v>
      </c>
      <c r="AQ5512">
        <v>1</v>
      </c>
      <c r="AR5512" t="s">
        <v>80</v>
      </c>
      <c r="AS5512" t="s">
        <v>81</v>
      </c>
      <c r="AT5512" t="s">
        <v>58</v>
      </c>
      <c r="AU5512" t="s">
        <v>8673</v>
      </c>
      <c r="AV5512" t="s">
        <v>132</v>
      </c>
      <c r="AW5512" s="1">
        <v>27021</v>
      </c>
      <c r="AX5512">
        <v>1</v>
      </c>
    </row>
    <row r="5513" spans="1:50">
      <c r="A5513">
        <v>701701</v>
      </c>
      <c r="B5513" t="str">
        <f>"133473609"</f>
        <v>133473609</v>
      </c>
      <c r="C5513" t="s">
        <v>50</v>
      </c>
      <c r="D5513" t="s">
        <v>9861</v>
      </c>
      <c r="E5513" t="s">
        <v>52</v>
      </c>
      <c r="F5513" t="s">
        <v>84</v>
      </c>
      <c r="G5513" t="s">
        <v>181</v>
      </c>
      <c r="H5513" t="str">
        <f>"ΚΕΡΑΣΟΥΝΤΟΣ 6 ΘΕΣΣΑΛΟΝΙΚΗ"</f>
        <v>ΚΕΡΑΣΟΥΝΤΟΣ 6 ΘΕΣΣΑΛΟΝΙΚΗ</v>
      </c>
      <c r="I5513">
        <v>55131</v>
      </c>
      <c r="J5513">
        <v>2814001393</v>
      </c>
      <c r="K5513">
        <v>6937677350</v>
      </c>
      <c r="M5513" t="s">
        <v>9862</v>
      </c>
      <c r="N5513" t="s">
        <v>615</v>
      </c>
      <c r="O5513" t="s">
        <v>616</v>
      </c>
      <c r="R5513" t="s">
        <v>57</v>
      </c>
      <c r="S5513">
        <v>6</v>
      </c>
      <c r="T5513">
        <v>772</v>
      </c>
      <c r="U5513" s="1">
        <v>40413</v>
      </c>
      <c r="V5513" t="s">
        <v>80</v>
      </c>
      <c r="W5513" t="s">
        <v>81</v>
      </c>
      <c r="X5513" t="s">
        <v>58</v>
      </c>
      <c r="Y5513">
        <v>24</v>
      </c>
      <c r="Z5513" t="s">
        <v>59</v>
      </c>
      <c r="AA5513" t="s">
        <v>59</v>
      </c>
      <c r="AB5513" t="s">
        <v>59</v>
      </c>
      <c r="AC5513" t="s">
        <v>59</v>
      </c>
      <c r="AD5513" t="s">
        <v>59</v>
      </c>
      <c r="AF5513" s="1">
        <v>40413</v>
      </c>
      <c r="AG5513" t="s">
        <v>8645</v>
      </c>
      <c r="AH5513" t="s">
        <v>8646</v>
      </c>
      <c r="AI5513" t="str">
        <f>"9170068"</f>
        <v>9170068</v>
      </c>
      <c r="AJ5513" t="s">
        <v>8773</v>
      </c>
      <c r="AK5513">
        <v>2893031217</v>
      </c>
      <c r="AL5513" t="s">
        <v>8774</v>
      </c>
      <c r="AM5513" t="s">
        <v>78</v>
      </c>
      <c r="AN5513" t="s">
        <v>405</v>
      </c>
      <c r="AO5513" t="s">
        <v>805</v>
      </c>
      <c r="AP5513" t="s">
        <v>806</v>
      </c>
      <c r="AQ5513">
        <v>15</v>
      </c>
      <c r="AR5513" t="s">
        <v>80</v>
      </c>
      <c r="AS5513" t="s">
        <v>81</v>
      </c>
      <c r="AT5513" t="s">
        <v>58</v>
      </c>
      <c r="AU5513" t="s">
        <v>68</v>
      </c>
      <c r="AV5513" t="s">
        <v>69</v>
      </c>
      <c r="AW5513" s="1">
        <v>31574</v>
      </c>
      <c r="AX5513">
        <v>1</v>
      </c>
    </row>
    <row r="5514" spans="1:50">
      <c r="A5514">
        <v>566795</v>
      </c>
      <c r="B5514" t="str">
        <f>"110117213"</f>
        <v>110117213</v>
      </c>
      <c r="C5514" t="s">
        <v>50</v>
      </c>
      <c r="D5514" t="s">
        <v>9863</v>
      </c>
      <c r="E5514" t="s">
        <v>73</v>
      </c>
      <c r="F5514" t="s">
        <v>202</v>
      </c>
      <c r="G5514" t="s">
        <v>52</v>
      </c>
      <c r="H5514" t="str">
        <f>" "</f>
        <v xml:space="preserve"> </v>
      </c>
      <c r="N5514" t="s">
        <v>615</v>
      </c>
      <c r="O5514" t="s">
        <v>616</v>
      </c>
      <c r="R5514" t="s">
        <v>57</v>
      </c>
      <c r="S5514">
        <v>14</v>
      </c>
      <c r="T5514">
        <v>4</v>
      </c>
      <c r="U5514" s="1">
        <v>33254</v>
      </c>
      <c r="V5514" t="s">
        <v>80</v>
      </c>
      <c r="W5514" t="s">
        <v>81</v>
      </c>
      <c r="X5514" t="s">
        <v>58</v>
      </c>
      <c r="Y5514">
        <v>21</v>
      </c>
      <c r="Z5514" t="s">
        <v>59</v>
      </c>
      <c r="AA5514" t="s">
        <v>59</v>
      </c>
      <c r="AB5514" t="s">
        <v>59</v>
      </c>
      <c r="AC5514" t="s">
        <v>59</v>
      </c>
      <c r="AD5514" t="s">
        <v>59</v>
      </c>
      <c r="AF5514" s="1">
        <v>33294</v>
      </c>
      <c r="AG5514" t="s">
        <v>8645</v>
      </c>
      <c r="AH5514" t="s">
        <v>8646</v>
      </c>
      <c r="AI5514" t="str">
        <f>"9170531"</f>
        <v>9170531</v>
      </c>
      <c r="AJ5514" t="s">
        <v>8980</v>
      </c>
      <c r="AK5514">
        <v>2810229104</v>
      </c>
      <c r="AL5514" t="s">
        <v>8981</v>
      </c>
      <c r="AM5514" t="s">
        <v>78</v>
      </c>
      <c r="AN5514" t="s">
        <v>78</v>
      </c>
      <c r="AO5514" t="s">
        <v>78</v>
      </c>
      <c r="AP5514" t="s">
        <v>79</v>
      </c>
      <c r="AQ5514">
        <v>1</v>
      </c>
      <c r="AR5514" t="s">
        <v>80</v>
      </c>
      <c r="AS5514" t="s">
        <v>81</v>
      </c>
      <c r="AT5514" t="s">
        <v>58</v>
      </c>
      <c r="AU5514" t="s">
        <v>68</v>
      </c>
      <c r="AV5514" t="s">
        <v>69</v>
      </c>
      <c r="AW5514" s="1">
        <v>24171</v>
      </c>
      <c r="AX5514">
        <v>1</v>
      </c>
    </row>
    <row r="5515" spans="1:50">
      <c r="B5515" t="str">
        <f>"127123586"</f>
        <v>127123586</v>
      </c>
      <c r="C5515" t="s">
        <v>50</v>
      </c>
      <c r="D5515" t="s">
        <v>9864</v>
      </c>
      <c r="E5515" t="s">
        <v>188</v>
      </c>
      <c r="F5515" t="s">
        <v>72</v>
      </c>
      <c r="G5515" t="s">
        <v>52</v>
      </c>
      <c r="H5515" t="str">
        <f>"ΤΑΓΜΑΤΑΡΧΗ ΒΟΛΑΝΗ 4 "</f>
        <v xml:space="preserve">ΤΑΓΜΑΤΑΡΧΗ ΒΟΛΑΝΗ 4 </v>
      </c>
      <c r="I5515">
        <v>62100</v>
      </c>
      <c r="J5515">
        <v>2321067649</v>
      </c>
      <c r="K5515">
        <v>6973476131</v>
      </c>
      <c r="N5515" t="s">
        <v>1525</v>
      </c>
      <c r="O5515" t="s">
        <v>1526</v>
      </c>
      <c r="R5515" t="s">
        <v>159</v>
      </c>
      <c r="S5515">
        <v>3</v>
      </c>
      <c r="T5515" t="s">
        <v>8670</v>
      </c>
      <c r="U5515" s="1">
        <v>43348</v>
      </c>
      <c r="V5515" t="s">
        <v>80</v>
      </c>
      <c r="W5515" t="s">
        <v>81</v>
      </c>
      <c r="X5515" t="s">
        <v>58</v>
      </c>
      <c r="Y5515">
        <v>25</v>
      </c>
      <c r="Z5515" t="s">
        <v>59</v>
      </c>
      <c r="AA5515" t="s">
        <v>59</v>
      </c>
      <c r="AB5515" t="s">
        <v>59</v>
      </c>
      <c r="AC5515" t="s">
        <v>59</v>
      </c>
      <c r="AD5515" t="s">
        <v>59</v>
      </c>
      <c r="AF5515" s="1">
        <v>43348</v>
      </c>
      <c r="AG5515" t="s">
        <v>8651</v>
      </c>
      <c r="AH5515" t="s">
        <v>8652</v>
      </c>
      <c r="AI5515" t="str">
        <f>"9170562"</f>
        <v>9170562</v>
      </c>
      <c r="AJ5515" t="s">
        <v>9470</v>
      </c>
      <c r="AK5515">
        <v>2810822781</v>
      </c>
      <c r="AL5515" t="s">
        <v>9471</v>
      </c>
      <c r="AM5515" t="s">
        <v>78</v>
      </c>
      <c r="AN5515" t="s">
        <v>129</v>
      </c>
      <c r="AO5515" t="s">
        <v>130</v>
      </c>
      <c r="AP5515" t="s">
        <v>130</v>
      </c>
      <c r="AQ5515">
        <v>1</v>
      </c>
      <c r="AR5515" t="s">
        <v>80</v>
      </c>
      <c r="AS5515" t="s">
        <v>81</v>
      </c>
      <c r="AT5515" t="s">
        <v>58</v>
      </c>
      <c r="AU5515" t="s">
        <v>8673</v>
      </c>
      <c r="AV5515" t="s">
        <v>132</v>
      </c>
      <c r="AW5515" s="1">
        <v>29784</v>
      </c>
      <c r="AX5515">
        <v>1</v>
      </c>
    </row>
    <row r="5516" spans="1:50">
      <c r="B5516" t="str">
        <f>"075457412"</f>
        <v>075457412</v>
      </c>
      <c r="C5516" t="s">
        <v>105</v>
      </c>
      <c r="D5516" t="s">
        <v>9865</v>
      </c>
      <c r="E5516" t="s">
        <v>154</v>
      </c>
      <c r="F5516" t="s">
        <v>989</v>
      </c>
      <c r="G5516" t="s">
        <v>6531</v>
      </c>
      <c r="H5516" t="str">
        <f>"Ν.ΚΑΡΑΠΑΠΑ 6 ΑΓΡΙΝΙΟ"</f>
        <v>Ν.ΚΑΡΑΠΑΠΑ 6 ΑΓΡΙΝΙΟ</v>
      </c>
      <c r="I5516">
        <v>30100</v>
      </c>
      <c r="J5516">
        <v>2641055032</v>
      </c>
      <c r="K5516">
        <v>6932251450</v>
      </c>
      <c r="N5516" t="s">
        <v>176</v>
      </c>
      <c r="O5516" t="s">
        <v>177</v>
      </c>
      <c r="R5516" t="s">
        <v>57</v>
      </c>
      <c r="S5516">
        <v>4</v>
      </c>
      <c r="T5516" t="s">
        <v>8675</v>
      </c>
      <c r="U5516" s="1">
        <v>43348</v>
      </c>
      <c r="V5516" t="s">
        <v>80</v>
      </c>
      <c r="W5516" t="s">
        <v>81</v>
      </c>
      <c r="X5516" t="s">
        <v>58</v>
      </c>
      <c r="Y5516">
        <v>24</v>
      </c>
      <c r="Z5516" t="s">
        <v>59</v>
      </c>
      <c r="AA5516" t="s">
        <v>59</v>
      </c>
      <c r="AB5516" t="s">
        <v>59</v>
      </c>
      <c r="AC5516" t="s">
        <v>59</v>
      </c>
      <c r="AD5516" t="s">
        <v>59</v>
      </c>
      <c r="AF5516" s="1">
        <v>43348</v>
      </c>
      <c r="AG5516" t="s">
        <v>8645</v>
      </c>
      <c r="AH5516" t="s">
        <v>8646</v>
      </c>
      <c r="AI5516" t="str">
        <f>"9170043"</f>
        <v>9170043</v>
      </c>
      <c r="AJ5516" t="s">
        <v>8883</v>
      </c>
      <c r="AK5516">
        <v>2894022075</v>
      </c>
      <c r="AL5516" t="s">
        <v>8884</v>
      </c>
      <c r="AM5516" t="s">
        <v>78</v>
      </c>
      <c r="AN5516" t="s">
        <v>405</v>
      </c>
      <c r="AO5516" t="s">
        <v>406</v>
      </c>
      <c r="AP5516" t="s">
        <v>8885</v>
      </c>
      <c r="AQ5516">
        <v>6</v>
      </c>
      <c r="AR5516" t="s">
        <v>80</v>
      </c>
      <c r="AS5516" t="s">
        <v>81</v>
      </c>
      <c r="AT5516" t="s">
        <v>58</v>
      </c>
      <c r="AU5516" t="s">
        <v>8673</v>
      </c>
      <c r="AV5516" t="s">
        <v>132</v>
      </c>
      <c r="AW5516" s="1">
        <v>26365</v>
      </c>
      <c r="AX5516">
        <v>1</v>
      </c>
    </row>
    <row r="5517" spans="1:50">
      <c r="A5517">
        <v>567840</v>
      </c>
      <c r="B5517" t="str">
        <f>"064572771"</f>
        <v>064572771</v>
      </c>
      <c r="C5517" t="s">
        <v>50</v>
      </c>
      <c r="D5517" t="s">
        <v>9866</v>
      </c>
      <c r="E5517" t="s">
        <v>155</v>
      </c>
      <c r="F5517" t="s">
        <v>383</v>
      </c>
      <c r="G5517" t="s">
        <v>630</v>
      </c>
      <c r="H5517" t="str">
        <f>" "</f>
        <v xml:space="preserve"> </v>
      </c>
      <c r="N5517" t="s">
        <v>1525</v>
      </c>
      <c r="O5517" t="s">
        <v>1526</v>
      </c>
      <c r="R5517" t="s">
        <v>57</v>
      </c>
      <c r="S5517">
        <v>14</v>
      </c>
      <c r="T5517">
        <v>133</v>
      </c>
      <c r="U5517" s="1">
        <v>33456</v>
      </c>
      <c r="V5517" t="s">
        <v>80</v>
      </c>
      <c r="W5517" t="s">
        <v>81</v>
      </c>
      <c r="X5517" t="s">
        <v>58</v>
      </c>
      <c r="Y5517">
        <v>25</v>
      </c>
      <c r="Z5517" t="s">
        <v>59</v>
      </c>
      <c r="AA5517" t="s">
        <v>59</v>
      </c>
      <c r="AB5517" t="s">
        <v>59</v>
      </c>
      <c r="AC5517" t="s">
        <v>59</v>
      </c>
      <c r="AD5517" t="s">
        <v>59</v>
      </c>
      <c r="AF5517" s="1">
        <v>33485</v>
      </c>
      <c r="AG5517" t="s">
        <v>8651</v>
      </c>
      <c r="AH5517" t="s">
        <v>8652</v>
      </c>
      <c r="AI5517" t="str">
        <f>"9521369"</f>
        <v>9521369</v>
      </c>
      <c r="AJ5517" t="s">
        <v>9560</v>
      </c>
      <c r="AK5517">
        <v>2810222259</v>
      </c>
      <c r="AL5517" t="s">
        <v>9561</v>
      </c>
      <c r="AM5517" t="s">
        <v>78</v>
      </c>
      <c r="AN5517" t="s">
        <v>78</v>
      </c>
      <c r="AO5517" t="s">
        <v>286</v>
      </c>
      <c r="AP5517" t="s">
        <v>286</v>
      </c>
      <c r="AQ5517">
        <v>1</v>
      </c>
      <c r="AR5517" t="s">
        <v>80</v>
      </c>
      <c r="AS5517" t="s">
        <v>81</v>
      </c>
      <c r="AT5517" t="s">
        <v>58</v>
      </c>
      <c r="AU5517" t="s">
        <v>68</v>
      </c>
      <c r="AV5517" t="s">
        <v>69</v>
      </c>
      <c r="AW5517" s="1">
        <v>23412</v>
      </c>
      <c r="AX5517">
        <v>1</v>
      </c>
    </row>
    <row r="5518" spans="1:50">
      <c r="B5518" t="str">
        <f>"142675266"</f>
        <v>142675266</v>
      </c>
      <c r="C5518" t="s">
        <v>50</v>
      </c>
      <c r="D5518" t="s">
        <v>9866</v>
      </c>
      <c r="E5518" t="s">
        <v>340</v>
      </c>
      <c r="F5518" t="s">
        <v>84</v>
      </c>
      <c r="G5518" t="s">
        <v>1204</v>
      </c>
      <c r="H5518" t="str">
        <f>" "</f>
        <v xml:space="preserve"> </v>
      </c>
      <c r="N5518" t="s">
        <v>8834</v>
      </c>
      <c r="O5518" t="s">
        <v>8695</v>
      </c>
      <c r="R5518" t="s">
        <v>121</v>
      </c>
      <c r="S5518">
        <v>3</v>
      </c>
      <c r="T5518" t="s">
        <v>8835</v>
      </c>
      <c r="U5518" s="1">
        <v>43348</v>
      </c>
      <c r="V5518" t="s">
        <v>80</v>
      </c>
      <c r="W5518" t="s">
        <v>81</v>
      </c>
      <c r="X5518" t="s">
        <v>58</v>
      </c>
      <c r="Y5518">
        <v>24</v>
      </c>
      <c r="Z5518" t="s">
        <v>59</v>
      </c>
      <c r="AA5518" t="s">
        <v>59</v>
      </c>
      <c r="AB5518" t="s">
        <v>59</v>
      </c>
      <c r="AD5518" t="s">
        <v>59</v>
      </c>
      <c r="AF5518" s="1">
        <v>43348</v>
      </c>
      <c r="AG5518" t="s">
        <v>8645</v>
      </c>
      <c r="AH5518" t="s">
        <v>8646</v>
      </c>
      <c r="AI5518" t="str">
        <f>"9170126"</f>
        <v>9170126</v>
      </c>
      <c r="AJ5518" t="s">
        <v>9041</v>
      </c>
      <c r="AK5518">
        <v>2810871213</v>
      </c>
      <c r="AL5518" t="s">
        <v>9042</v>
      </c>
      <c r="AM5518" t="s">
        <v>78</v>
      </c>
      <c r="AN5518" t="s">
        <v>78</v>
      </c>
      <c r="AO5518" t="s">
        <v>437</v>
      </c>
      <c r="AP5518" t="s">
        <v>438</v>
      </c>
      <c r="AQ5518">
        <v>5</v>
      </c>
      <c r="AR5518" t="s">
        <v>80</v>
      </c>
      <c r="AS5518" t="s">
        <v>81</v>
      </c>
      <c r="AT5518" t="s">
        <v>58</v>
      </c>
      <c r="AU5518" t="s">
        <v>131</v>
      </c>
      <c r="AV5518" t="s">
        <v>132</v>
      </c>
      <c r="AW5518" s="1">
        <v>32632</v>
      </c>
      <c r="AX5518">
        <v>1</v>
      </c>
    </row>
    <row r="5519" spans="1:50">
      <c r="A5519">
        <v>581338</v>
      </c>
      <c r="B5519" t="str">
        <f>"031454031"</f>
        <v>031454031</v>
      </c>
      <c r="C5519" t="s">
        <v>105</v>
      </c>
      <c r="D5519" t="s">
        <v>9867</v>
      </c>
      <c r="E5519" t="s">
        <v>53</v>
      </c>
      <c r="F5519" t="s">
        <v>99</v>
      </c>
      <c r="G5519" t="s">
        <v>52</v>
      </c>
      <c r="H5519" t="str">
        <f>"ΒΑΡΝΗΣ 13 ΗΡΑΚΛΕΙΟ"</f>
        <v>ΒΑΡΝΗΣ 13 ΗΡΑΚΛΕΙΟ</v>
      </c>
      <c r="I5519">
        <v>71305</v>
      </c>
      <c r="J5519">
        <v>2810261198</v>
      </c>
      <c r="K5519">
        <v>6930473370</v>
      </c>
      <c r="M5519" t="s">
        <v>9868</v>
      </c>
      <c r="N5519" t="s">
        <v>615</v>
      </c>
      <c r="O5519" t="s">
        <v>616</v>
      </c>
      <c r="R5519" t="s">
        <v>57</v>
      </c>
      <c r="S5519">
        <v>12</v>
      </c>
      <c r="T5519">
        <v>179</v>
      </c>
      <c r="U5519" s="1">
        <v>35674</v>
      </c>
      <c r="V5519" t="s">
        <v>80</v>
      </c>
      <c r="W5519" t="s">
        <v>81</v>
      </c>
      <c r="X5519" t="s">
        <v>58</v>
      </c>
      <c r="Y5519">
        <v>21</v>
      </c>
      <c r="Z5519" t="s">
        <v>59</v>
      </c>
      <c r="AA5519" t="s">
        <v>59</v>
      </c>
      <c r="AB5519" t="s">
        <v>59</v>
      </c>
      <c r="AC5519" t="s">
        <v>59</v>
      </c>
      <c r="AD5519" t="s">
        <v>59</v>
      </c>
      <c r="AF5519" s="1">
        <v>35674</v>
      </c>
      <c r="AG5519" t="s">
        <v>8645</v>
      </c>
      <c r="AH5519" t="s">
        <v>8646</v>
      </c>
      <c r="AI5519" t="str">
        <f>"9170546"</f>
        <v>9170546</v>
      </c>
      <c r="AJ5519" t="s">
        <v>8953</v>
      </c>
      <c r="AK5519">
        <v>2810261362</v>
      </c>
      <c r="AL5519" t="s">
        <v>8954</v>
      </c>
      <c r="AM5519" t="s">
        <v>78</v>
      </c>
      <c r="AN5519" t="s">
        <v>78</v>
      </c>
      <c r="AO5519" t="s">
        <v>78</v>
      </c>
      <c r="AP5519" t="s">
        <v>141</v>
      </c>
      <c r="AQ5519">
        <v>1</v>
      </c>
      <c r="AR5519" t="s">
        <v>80</v>
      </c>
      <c r="AS5519" t="s">
        <v>81</v>
      </c>
      <c r="AT5519" t="s">
        <v>58</v>
      </c>
      <c r="AU5519" t="s">
        <v>68</v>
      </c>
      <c r="AV5519" t="s">
        <v>69</v>
      </c>
      <c r="AW5519" s="1">
        <v>21562</v>
      </c>
      <c r="AX5519">
        <v>1</v>
      </c>
    </row>
    <row r="5520" spans="1:50">
      <c r="A5520">
        <v>620856</v>
      </c>
      <c r="B5520" t="str">
        <f>"132979611"</f>
        <v>132979611</v>
      </c>
      <c r="C5520" t="s">
        <v>50</v>
      </c>
      <c r="D5520" t="s">
        <v>1669</v>
      </c>
      <c r="E5520" t="s">
        <v>476</v>
      </c>
      <c r="F5520" t="s">
        <v>84</v>
      </c>
      <c r="G5520" t="s">
        <v>1562</v>
      </c>
      <c r="H5520" t="str">
        <f>"ΜΙΝΩΟΣ 144 ΗΡΑΚΛΕΙΟ"</f>
        <v>ΜΙΝΩΟΣ 144 ΗΡΑΚΛΕΙΟ</v>
      </c>
      <c r="I5520">
        <v>71305</v>
      </c>
      <c r="J5520">
        <v>2810319105</v>
      </c>
      <c r="K5520">
        <v>6945153525</v>
      </c>
      <c r="N5520" t="s">
        <v>615</v>
      </c>
      <c r="O5520" t="s">
        <v>616</v>
      </c>
      <c r="R5520" t="s">
        <v>57</v>
      </c>
      <c r="S5520">
        <v>5</v>
      </c>
      <c r="T5520">
        <v>653</v>
      </c>
      <c r="U5520" s="1">
        <v>40043</v>
      </c>
      <c r="V5520" t="s">
        <v>80</v>
      </c>
      <c r="W5520" t="s">
        <v>81</v>
      </c>
      <c r="X5520" t="s">
        <v>58</v>
      </c>
      <c r="Y5520">
        <v>23</v>
      </c>
      <c r="Z5520" t="s">
        <v>59</v>
      </c>
      <c r="AA5520" t="s">
        <v>59</v>
      </c>
      <c r="AB5520" t="s">
        <v>59</v>
      </c>
      <c r="AC5520" t="s">
        <v>59</v>
      </c>
      <c r="AD5520" t="s">
        <v>59</v>
      </c>
      <c r="AF5520" s="1">
        <v>40057</v>
      </c>
      <c r="AG5520" t="s">
        <v>8645</v>
      </c>
      <c r="AH5520" t="s">
        <v>8646</v>
      </c>
      <c r="AI5520" t="str">
        <f>"9170424"</f>
        <v>9170424</v>
      </c>
      <c r="AJ5520" t="s">
        <v>8860</v>
      </c>
      <c r="AK5520">
        <v>2810254530</v>
      </c>
      <c r="AL5520" t="s">
        <v>8861</v>
      </c>
      <c r="AM5520" t="s">
        <v>78</v>
      </c>
      <c r="AN5520" t="s">
        <v>78</v>
      </c>
      <c r="AO5520" t="s">
        <v>78</v>
      </c>
      <c r="AP5520" t="s">
        <v>163</v>
      </c>
      <c r="AQ5520">
        <v>1</v>
      </c>
      <c r="AR5520" t="s">
        <v>80</v>
      </c>
      <c r="AS5520" t="s">
        <v>81</v>
      </c>
      <c r="AT5520" t="s">
        <v>58</v>
      </c>
      <c r="AU5520" t="s">
        <v>68</v>
      </c>
      <c r="AV5520" t="s">
        <v>69</v>
      </c>
      <c r="AW5520" s="1">
        <v>31199</v>
      </c>
      <c r="AX5520">
        <v>1</v>
      </c>
    </row>
    <row r="5521" spans="1:50">
      <c r="A5521">
        <v>616798</v>
      </c>
      <c r="B5521" t="str">
        <f>"068068324"</f>
        <v>068068324</v>
      </c>
      <c r="C5521" t="s">
        <v>105</v>
      </c>
      <c r="D5521" t="s">
        <v>1671</v>
      </c>
      <c r="E5521" t="s">
        <v>106</v>
      </c>
      <c r="F5521" t="s">
        <v>95</v>
      </c>
      <c r="G5521" t="s">
        <v>1644</v>
      </c>
      <c r="H5521" t="str">
        <f>"ΣΜΑΡΙ ΠΕΔΙΑΔΟΣ ΜΙΝΩΑ ΠΕΔΙΑΔΟΣ"</f>
        <v>ΣΜΑΡΙ ΠΕΔΙΑΔΟΣ ΜΙΝΩΑ ΠΕΔΙΑΔΟΣ</v>
      </c>
      <c r="I5521">
        <v>70006</v>
      </c>
      <c r="J5521">
        <v>2891031140</v>
      </c>
      <c r="K5521">
        <v>6946405502</v>
      </c>
      <c r="N5521" t="s">
        <v>615</v>
      </c>
      <c r="O5521" t="s">
        <v>616</v>
      </c>
      <c r="R5521" t="s">
        <v>57</v>
      </c>
      <c r="S5521">
        <v>6</v>
      </c>
      <c r="T5521">
        <v>774</v>
      </c>
      <c r="U5521" s="1">
        <v>39680</v>
      </c>
      <c r="V5521" t="s">
        <v>80</v>
      </c>
      <c r="W5521" t="s">
        <v>81</v>
      </c>
      <c r="X5521" t="s">
        <v>58</v>
      </c>
      <c r="Y5521">
        <v>23</v>
      </c>
      <c r="Z5521" t="s">
        <v>59</v>
      </c>
      <c r="AA5521" t="s">
        <v>59</v>
      </c>
      <c r="AB5521" t="s">
        <v>59</v>
      </c>
      <c r="AC5521" t="s">
        <v>59</v>
      </c>
      <c r="AD5521" t="s">
        <v>59</v>
      </c>
      <c r="AF5521" s="1">
        <v>39681</v>
      </c>
      <c r="AG5521" t="s">
        <v>8645</v>
      </c>
      <c r="AH5521" t="s">
        <v>8646</v>
      </c>
      <c r="AI5521" t="str">
        <f>"9170235"</f>
        <v>9170235</v>
      </c>
      <c r="AJ5521" t="s">
        <v>8806</v>
      </c>
      <c r="AK5521">
        <v>2891031258</v>
      </c>
      <c r="AL5521" t="s">
        <v>8807</v>
      </c>
      <c r="AM5521" t="s">
        <v>78</v>
      </c>
      <c r="AN5521" t="s">
        <v>276</v>
      </c>
      <c r="AO5521" t="s">
        <v>277</v>
      </c>
      <c r="AP5521" t="s">
        <v>277</v>
      </c>
      <c r="AQ5521">
        <v>13</v>
      </c>
      <c r="AR5521" t="s">
        <v>80</v>
      </c>
      <c r="AS5521" t="s">
        <v>81</v>
      </c>
      <c r="AT5521" t="s">
        <v>58</v>
      </c>
      <c r="AU5521" t="s">
        <v>68</v>
      </c>
      <c r="AV5521" t="s">
        <v>69</v>
      </c>
      <c r="AW5521" s="1">
        <v>28093</v>
      </c>
      <c r="AX5521">
        <v>1</v>
      </c>
    </row>
    <row r="5522" spans="1:50">
      <c r="A5522">
        <v>621707</v>
      </c>
      <c r="B5522" t="str">
        <f>"136232961"</f>
        <v>136232961</v>
      </c>
      <c r="C5522" t="s">
        <v>50</v>
      </c>
      <c r="D5522" t="s">
        <v>9869</v>
      </c>
      <c r="E5522" t="s">
        <v>2297</v>
      </c>
      <c r="F5522" t="s">
        <v>949</v>
      </c>
      <c r="G5522" t="s">
        <v>1179</v>
      </c>
      <c r="H5522" t="str">
        <f>"ΛΕΥΚΟΧΩΡΙ ΑΡΚΑΛΟΧΩΡΙ"</f>
        <v>ΛΕΥΚΟΧΩΡΙ ΑΡΚΑΛΟΧΩΡΙ</v>
      </c>
      <c r="I5522">
        <v>70300</v>
      </c>
      <c r="K5522">
        <v>6946271893</v>
      </c>
      <c r="N5522" t="s">
        <v>615</v>
      </c>
      <c r="O5522" t="s">
        <v>616</v>
      </c>
      <c r="R5522" t="s">
        <v>57</v>
      </c>
      <c r="S5522">
        <v>4</v>
      </c>
      <c r="T5522">
        <v>653</v>
      </c>
      <c r="U5522" s="1">
        <v>40043</v>
      </c>
      <c r="V5522" t="s">
        <v>80</v>
      </c>
      <c r="W5522" t="s">
        <v>81</v>
      </c>
      <c r="X5522" t="s">
        <v>58</v>
      </c>
      <c r="Y5522">
        <v>23</v>
      </c>
      <c r="Z5522" t="s">
        <v>59</v>
      </c>
      <c r="AA5522" t="s">
        <v>59</v>
      </c>
      <c r="AB5522" t="s">
        <v>59</v>
      </c>
      <c r="AC5522" t="s">
        <v>59</v>
      </c>
      <c r="AD5522" t="s">
        <v>59</v>
      </c>
      <c r="AF5522" s="1">
        <v>40057</v>
      </c>
      <c r="AG5522" t="s">
        <v>8645</v>
      </c>
      <c r="AH5522" t="s">
        <v>8646</v>
      </c>
      <c r="AI5522" t="str">
        <f>"9170247"</f>
        <v>9170247</v>
      </c>
      <c r="AJ5522" t="s">
        <v>9196</v>
      </c>
      <c r="AK5522">
        <v>2810731278</v>
      </c>
      <c r="AL5522" t="s">
        <v>9197</v>
      </c>
      <c r="AM5522" t="s">
        <v>78</v>
      </c>
      <c r="AN5522" t="s">
        <v>78</v>
      </c>
      <c r="AO5522" t="s">
        <v>78</v>
      </c>
      <c r="AP5522" t="s">
        <v>9198</v>
      </c>
      <c r="AQ5522">
        <v>11</v>
      </c>
      <c r="AR5522" t="s">
        <v>80</v>
      </c>
      <c r="AS5522" t="s">
        <v>81</v>
      </c>
      <c r="AT5522" t="s">
        <v>58</v>
      </c>
      <c r="AU5522" t="s">
        <v>68</v>
      </c>
      <c r="AV5522" t="s">
        <v>69</v>
      </c>
      <c r="AW5522" s="1">
        <v>31583</v>
      </c>
      <c r="AX5522">
        <v>1</v>
      </c>
    </row>
    <row r="5523" spans="1:50">
      <c r="B5523" t="str">
        <f>"137456260"</f>
        <v>137456260</v>
      </c>
      <c r="C5523" t="s">
        <v>50</v>
      </c>
      <c r="D5523" t="s">
        <v>1674</v>
      </c>
      <c r="E5523" t="s">
        <v>255</v>
      </c>
      <c r="F5523" t="s">
        <v>95</v>
      </c>
      <c r="G5523" t="s">
        <v>191</v>
      </c>
      <c r="H5523" t="str">
        <f>"ΑΓΙΟΥ ΓΕΩΡΓΙΟΥ 58 ΚΑΙΝΟΥΡΙΟΥ ΗΡΑΚΛΕΙΟΥ ΚΡΗΤΗΣ  "</f>
        <v xml:space="preserve">ΑΓΙΟΥ ΓΕΩΡΓΙΟΥ 58 ΚΑΙΝΟΥΡΙΟΥ ΗΡΑΚΛΕΙΟΥ ΚΡΗΤΗΣ  </v>
      </c>
      <c r="I5523">
        <v>70400</v>
      </c>
      <c r="J5523">
        <v>2892023165</v>
      </c>
      <c r="K5523">
        <v>6977787776</v>
      </c>
      <c r="N5523" t="s">
        <v>1525</v>
      </c>
      <c r="O5523" t="s">
        <v>1526</v>
      </c>
      <c r="R5523" t="s">
        <v>159</v>
      </c>
      <c r="S5523">
        <v>4</v>
      </c>
      <c r="T5523" t="s">
        <v>8670</v>
      </c>
      <c r="U5523" s="1">
        <v>43348</v>
      </c>
      <c r="V5523" t="s">
        <v>80</v>
      </c>
      <c r="W5523" t="s">
        <v>81</v>
      </c>
      <c r="X5523" t="s">
        <v>58</v>
      </c>
      <c r="Y5523">
        <v>25</v>
      </c>
      <c r="Z5523" t="s">
        <v>59</v>
      </c>
      <c r="AA5523" t="s">
        <v>59</v>
      </c>
      <c r="AB5523" t="s">
        <v>59</v>
      </c>
      <c r="AC5523" t="s">
        <v>59</v>
      </c>
      <c r="AD5523" t="s">
        <v>59</v>
      </c>
      <c r="AF5523" s="1">
        <v>43348</v>
      </c>
      <c r="AG5523" t="s">
        <v>8651</v>
      </c>
      <c r="AH5523" t="s">
        <v>8652</v>
      </c>
      <c r="AI5523" t="str">
        <f>"9170553"</f>
        <v>9170553</v>
      </c>
      <c r="AJ5523" t="s">
        <v>9813</v>
      </c>
      <c r="AK5523">
        <v>2892023325</v>
      </c>
      <c r="AL5523" t="s">
        <v>9814</v>
      </c>
      <c r="AM5523" t="s">
        <v>78</v>
      </c>
      <c r="AN5523" t="s">
        <v>242</v>
      </c>
      <c r="AO5523" t="s">
        <v>243</v>
      </c>
      <c r="AP5523" t="s">
        <v>243</v>
      </c>
      <c r="AQ5523">
        <v>20</v>
      </c>
      <c r="AR5523" t="s">
        <v>80</v>
      </c>
      <c r="AS5523" t="s">
        <v>81</v>
      </c>
      <c r="AT5523" t="s">
        <v>58</v>
      </c>
      <c r="AU5523" t="s">
        <v>8673</v>
      </c>
      <c r="AV5523" t="s">
        <v>132</v>
      </c>
      <c r="AW5523" s="1">
        <v>30324</v>
      </c>
      <c r="AX5523">
        <v>1</v>
      </c>
    </row>
    <row r="5524" spans="1:50">
      <c r="A5524">
        <v>605292</v>
      </c>
      <c r="B5524" t="str">
        <f>"123676915"</f>
        <v>123676915</v>
      </c>
      <c r="C5524" t="s">
        <v>50</v>
      </c>
      <c r="D5524" t="s">
        <v>1674</v>
      </c>
      <c r="E5524" t="s">
        <v>52</v>
      </c>
      <c r="F5524" t="s">
        <v>95</v>
      </c>
      <c r="G5524" t="s">
        <v>191</v>
      </c>
      <c r="H5524" t="str">
        <f>"ΑΓ. ΓΕΩΡΓΙΟΥ 58 ΜΟΙΡΕΣ ΗΡΑΚΛΕΙΟΥ"</f>
        <v>ΑΓ. ΓΕΩΡΓΙΟΥ 58 ΜΟΙΡΕΣ ΗΡΑΚΛΕΙΟΥ</v>
      </c>
      <c r="I5524">
        <v>70400</v>
      </c>
      <c r="J5524">
        <v>2892023165</v>
      </c>
      <c r="K5524">
        <v>6978150497</v>
      </c>
      <c r="M5524" t="s">
        <v>9870</v>
      </c>
      <c r="N5524" t="s">
        <v>615</v>
      </c>
      <c r="O5524" t="s">
        <v>616</v>
      </c>
      <c r="R5524" t="s">
        <v>57</v>
      </c>
      <c r="S5524">
        <v>7</v>
      </c>
      <c r="T5524">
        <v>231</v>
      </c>
      <c r="U5524" s="1">
        <v>38230</v>
      </c>
      <c r="V5524" t="s">
        <v>80</v>
      </c>
      <c r="W5524" t="s">
        <v>81</v>
      </c>
      <c r="X5524" t="s">
        <v>58</v>
      </c>
      <c r="Y5524">
        <v>22</v>
      </c>
      <c r="Z5524" t="s">
        <v>59</v>
      </c>
      <c r="AA5524" t="s">
        <v>59</v>
      </c>
      <c r="AB5524" t="s">
        <v>59</v>
      </c>
      <c r="AC5524" t="s">
        <v>59</v>
      </c>
      <c r="AD5524" t="s">
        <v>59</v>
      </c>
      <c r="AF5524" s="1">
        <v>38231</v>
      </c>
      <c r="AG5524" t="s">
        <v>8645</v>
      </c>
      <c r="AH5524" t="s">
        <v>8646</v>
      </c>
      <c r="AI5524" t="str">
        <f>"9170267"</f>
        <v>9170267</v>
      </c>
      <c r="AJ5524" t="s">
        <v>8840</v>
      </c>
      <c r="AK5524">
        <v>2892022320</v>
      </c>
      <c r="AL5524" t="s">
        <v>8841</v>
      </c>
      <c r="AM5524" t="s">
        <v>78</v>
      </c>
      <c r="AN5524" t="s">
        <v>242</v>
      </c>
      <c r="AO5524" t="s">
        <v>243</v>
      </c>
      <c r="AP5524" t="s">
        <v>243</v>
      </c>
      <c r="AQ5524">
        <v>20</v>
      </c>
      <c r="AR5524" t="s">
        <v>80</v>
      </c>
      <c r="AS5524" t="s">
        <v>81</v>
      </c>
      <c r="AT5524" t="s">
        <v>58</v>
      </c>
      <c r="AU5524" t="s">
        <v>68</v>
      </c>
      <c r="AV5524" t="s">
        <v>69</v>
      </c>
      <c r="AW5524" s="1">
        <v>29777</v>
      </c>
      <c r="AX5524">
        <v>1</v>
      </c>
    </row>
    <row r="5525" spans="1:50">
      <c r="A5525">
        <v>557204</v>
      </c>
      <c r="B5525" t="str">
        <f>"027932073"</f>
        <v>027932073</v>
      </c>
      <c r="C5525" t="s">
        <v>50</v>
      </c>
      <c r="D5525" t="s">
        <v>9871</v>
      </c>
      <c r="E5525" t="s">
        <v>52</v>
      </c>
      <c r="F5525" t="s">
        <v>6844</v>
      </c>
      <c r="G5525" t="s">
        <v>54</v>
      </c>
      <c r="H5525" t="str">
        <f>"ΔΕΛΜΟΥΖΟΥ 19 ΗΡΑΚΛΕΙΟ"</f>
        <v>ΔΕΛΜΟΥΖΟΥ 19 ΗΡΑΚΛΕΙΟ</v>
      </c>
      <c r="I5525">
        <v>71500</v>
      </c>
      <c r="J5525">
        <v>2810213949</v>
      </c>
      <c r="K5525">
        <v>6946742341</v>
      </c>
      <c r="N5525" t="s">
        <v>615</v>
      </c>
      <c r="O5525" t="s">
        <v>616</v>
      </c>
      <c r="P5525" t="s">
        <v>74</v>
      </c>
      <c r="Q5525" t="s">
        <v>75</v>
      </c>
      <c r="R5525" t="s">
        <v>57</v>
      </c>
      <c r="S5525">
        <v>16</v>
      </c>
      <c r="T5525">
        <v>168</v>
      </c>
      <c r="U5525" s="1">
        <v>32010</v>
      </c>
      <c r="V5525" t="s">
        <v>80</v>
      </c>
      <c r="W5525" t="s">
        <v>81</v>
      </c>
      <c r="X5525" t="s">
        <v>58</v>
      </c>
      <c r="Y5525">
        <v>21</v>
      </c>
      <c r="Z5525" t="s">
        <v>59</v>
      </c>
      <c r="AA5525" t="s">
        <v>59</v>
      </c>
      <c r="AB5525" t="s">
        <v>59</v>
      </c>
      <c r="AC5525" t="s">
        <v>59</v>
      </c>
      <c r="AD5525" t="s">
        <v>59</v>
      </c>
      <c r="AF5525" s="1">
        <v>32023</v>
      </c>
      <c r="AG5525" t="s">
        <v>8645</v>
      </c>
      <c r="AH5525" t="s">
        <v>8646</v>
      </c>
      <c r="AI5525" t="str">
        <f>"9170192"</f>
        <v>9170192</v>
      </c>
      <c r="AJ5525" t="s">
        <v>8661</v>
      </c>
      <c r="AK5525">
        <v>2810231985</v>
      </c>
      <c r="AL5525" t="s">
        <v>8662</v>
      </c>
      <c r="AM5525" t="s">
        <v>78</v>
      </c>
      <c r="AN5525" t="s">
        <v>78</v>
      </c>
      <c r="AO5525" t="s">
        <v>78</v>
      </c>
      <c r="AP5525" t="s">
        <v>163</v>
      </c>
      <c r="AQ5525">
        <v>1</v>
      </c>
      <c r="AR5525" t="s">
        <v>80</v>
      </c>
      <c r="AS5525" t="s">
        <v>81</v>
      </c>
      <c r="AT5525" t="s">
        <v>58</v>
      </c>
      <c r="AU5525" t="s">
        <v>68</v>
      </c>
      <c r="AV5525" t="s">
        <v>2039</v>
      </c>
      <c r="AW5525" s="1">
        <v>21998</v>
      </c>
      <c r="AX5525">
        <v>1</v>
      </c>
    </row>
    <row r="5526" spans="1:50">
      <c r="B5526" t="str">
        <f>"152158824"</f>
        <v>152158824</v>
      </c>
      <c r="C5526" t="s">
        <v>50</v>
      </c>
      <c r="D5526" t="s">
        <v>9872</v>
      </c>
      <c r="E5526" t="s">
        <v>237</v>
      </c>
      <c r="F5526" t="s">
        <v>304</v>
      </c>
      <c r="H5526" t="str">
        <f>"ΛΥΚΑΣΤΟΥ 34 ΠΟΡΟΣ ΗΡΑΚΛΕΙΟΥ"</f>
        <v>ΛΥΚΑΣΤΟΥ 34 ΠΟΡΟΣ ΗΡΑΚΛΕΙΟΥ</v>
      </c>
      <c r="K5526">
        <v>6978868861</v>
      </c>
      <c r="N5526" t="s">
        <v>683</v>
      </c>
      <c r="O5526" t="s">
        <v>684</v>
      </c>
      <c r="R5526" t="s">
        <v>159</v>
      </c>
      <c r="S5526">
        <v>1</v>
      </c>
      <c r="T5526" t="s">
        <v>8675</v>
      </c>
      <c r="U5526" s="1">
        <v>43348</v>
      </c>
      <c r="V5526" t="s">
        <v>80</v>
      </c>
      <c r="W5526" t="s">
        <v>81</v>
      </c>
      <c r="X5526" t="s">
        <v>58</v>
      </c>
      <c r="Y5526">
        <v>24</v>
      </c>
      <c r="Z5526" t="s">
        <v>59</v>
      </c>
      <c r="AA5526" t="s">
        <v>59</v>
      </c>
      <c r="AB5526" t="s">
        <v>59</v>
      </c>
      <c r="AC5526" t="s">
        <v>59</v>
      </c>
      <c r="AD5526" t="s">
        <v>59</v>
      </c>
      <c r="AF5526" s="1">
        <v>43348</v>
      </c>
      <c r="AG5526" t="s">
        <v>8645</v>
      </c>
      <c r="AH5526" t="s">
        <v>8646</v>
      </c>
      <c r="AI5526" t="str">
        <f>"9170054"</f>
        <v>9170054</v>
      </c>
      <c r="AJ5526" t="s">
        <v>9106</v>
      </c>
      <c r="AK5526">
        <v>2810254527</v>
      </c>
      <c r="AL5526" t="s">
        <v>9107</v>
      </c>
      <c r="AM5526" t="s">
        <v>78</v>
      </c>
      <c r="AN5526" t="s">
        <v>78</v>
      </c>
      <c r="AO5526" t="s">
        <v>78</v>
      </c>
      <c r="AP5526" t="s">
        <v>163</v>
      </c>
      <c r="AQ5526">
        <v>1</v>
      </c>
      <c r="AR5526" t="s">
        <v>80</v>
      </c>
      <c r="AS5526" t="s">
        <v>81</v>
      </c>
      <c r="AT5526" t="s">
        <v>58</v>
      </c>
      <c r="AU5526" t="s">
        <v>8673</v>
      </c>
      <c r="AV5526" t="s">
        <v>132</v>
      </c>
      <c r="AW5526" s="1">
        <v>32388</v>
      </c>
      <c r="AX5526">
        <v>1</v>
      </c>
    </row>
    <row r="5527" spans="1:50">
      <c r="A5527">
        <v>618930</v>
      </c>
      <c r="B5527" t="str">
        <f>"103510113"</f>
        <v>103510113</v>
      </c>
      <c r="C5527" t="s">
        <v>50</v>
      </c>
      <c r="D5527" t="s">
        <v>9872</v>
      </c>
      <c r="E5527" t="s">
        <v>237</v>
      </c>
      <c r="F5527" t="s">
        <v>1328</v>
      </c>
      <c r="G5527" t="s">
        <v>860</v>
      </c>
      <c r="H5527" t="str">
        <f>"Ι.Θ. ΚΑΚΡΙΔΗ 26 ΗΡΑΚΛΕΙΟ"</f>
        <v>Ι.Θ. ΚΑΚΡΙΔΗ 26 ΗΡΑΚΛΕΙΟ</v>
      </c>
      <c r="I5527">
        <v>71409</v>
      </c>
      <c r="J5527">
        <v>2810230687</v>
      </c>
      <c r="K5527">
        <v>6977196732</v>
      </c>
      <c r="N5527" t="s">
        <v>1525</v>
      </c>
      <c r="O5527" t="s">
        <v>1526</v>
      </c>
      <c r="R5527" t="s">
        <v>57</v>
      </c>
      <c r="S5527">
        <v>6</v>
      </c>
      <c r="T5527">
        <v>774</v>
      </c>
      <c r="U5527" s="1">
        <v>39680</v>
      </c>
      <c r="V5527" t="s">
        <v>80</v>
      </c>
      <c r="W5527" t="s">
        <v>81</v>
      </c>
      <c r="X5527" t="s">
        <v>58</v>
      </c>
      <c r="Y5527">
        <v>25</v>
      </c>
      <c r="Z5527" t="s">
        <v>59</v>
      </c>
      <c r="AA5527" t="s">
        <v>59</v>
      </c>
      <c r="AB5527" t="s">
        <v>59</v>
      </c>
      <c r="AC5527" t="s">
        <v>59</v>
      </c>
      <c r="AD5527" t="s">
        <v>59</v>
      </c>
      <c r="AF5527" s="1">
        <v>39681</v>
      </c>
      <c r="AG5527" t="s">
        <v>8651</v>
      </c>
      <c r="AH5527" t="s">
        <v>8652</v>
      </c>
      <c r="AI5527" t="str">
        <f>"9170509"</f>
        <v>9170509</v>
      </c>
      <c r="AJ5527" t="s">
        <v>9541</v>
      </c>
      <c r="AK5527">
        <v>2810324988</v>
      </c>
      <c r="AL5527" t="s">
        <v>9542</v>
      </c>
      <c r="AM5527" t="s">
        <v>78</v>
      </c>
      <c r="AN5527" t="s">
        <v>78</v>
      </c>
      <c r="AO5527" t="s">
        <v>78</v>
      </c>
      <c r="AP5527" t="s">
        <v>163</v>
      </c>
      <c r="AQ5527">
        <v>1</v>
      </c>
      <c r="AR5527" t="s">
        <v>80</v>
      </c>
      <c r="AS5527" t="s">
        <v>81</v>
      </c>
      <c r="AT5527" t="s">
        <v>58</v>
      </c>
      <c r="AU5527" t="s">
        <v>68</v>
      </c>
      <c r="AV5527" t="s">
        <v>69</v>
      </c>
      <c r="AW5527" s="1">
        <v>28433</v>
      </c>
      <c r="AX5527">
        <v>1</v>
      </c>
    </row>
    <row r="5528" spans="1:50">
      <c r="A5528">
        <v>607856</v>
      </c>
      <c r="B5528" t="str">
        <f>"064112361"</f>
        <v>064112361</v>
      </c>
      <c r="C5528" t="s">
        <v>50</v>
      </c>
      <c r="D5528" t="s">
        <v>9872</v>
      </c>
      <c r="E5528" t="s">
        <v>109</v>
      </c>
      <c r="F5528" t="s">
        <v>1679</v>
      </c>
      <c r="G5528" t="s">
        <v>83</v>
      </c>
      <c r="H5528" t="str">
        <f>"Μ. ΒΛΑΣΤΟΥ 17 ΗΡΑΚΛΕΙΟ"</f>
        <v>Μ. ΒΛΑΣΤΟΥ 17 ΗΡΑΚΛΕΙΟ</v>
      </c>
      <c r="I5528">
        <v>71410</v>
      </c>
      <c r="J5528">
        <v>2810312839</v>
      </c>
      <c r="K5528">
        <v>6977507701</v>
      </c>
      <c r="N5528" t="s">
        <v>615</v>
      </c>
      <c r="O5528" t="s">
        <v>616</v>
      </c>
      <c r="R5528" t="s">
        <v>57</v>
      </c>
      <c r="S5528">
        <v>12</v>
      </c>
      <c r="T5528">
        <v>217</v>
      </c>
      <c r="U5528" s="1">
        <v>38596</v>
      </c>
      <c r="V5528" t="s">
        <v>80</v>
      </c>
      <c r="W5528" t="s">
        <v>81</v>
      </c>
      <c r="X5528" t="s">
        <v>58</v>
      </c>
      <c r="Y5528">
        <v>23</v>
      </c>
      <c r="Z5528" t="s">
        <v>59</v>
      </c>
      <c r="AA5528" t="s">
        <v>59</v>
      </c>
      <c r="AB5528" t="s">
        <v>59</v>
      </c>
      <c r="AC5528" t="s">
        <v>59</v>
      </c>
      <c r="AD5528" t="s">
        <v>59</v>
      </c>
      <c r="AF5528" s="1">
        <v>38600</v>
      </c>
      <c r="AG5528" t="s">
        <v>8645</v>
      </c>
      <c r="AH5528" t="s">
        <v>8646</v>
      </c>
      <c r="AI5528" t="str">
        <f>"9170575"</f>
        <v>9170575</v>
      </c>
      <c r="AJ5528" t="s">
        <v>8748</v>
      </c>
      <c r="AK5528">
        <v>2810260772</v>
      </c>
      <c r="AL5528" t="s">
        <v>8749</v>
      </c>
      <c r="AM5528" t="s">
        <v>78</v>
      </c>
      <c r="AN5528" t="s">
        <v>78</v>
      </c>
      <c r="AO5528" t="s">
        <v>78</v>
      </c>
      <c r="AP5528" t="s">
        <v>141</v>
      </c>
      <c r="AQ5528">
        <v>1</v>
      </c>
      <c r="AR5528" t="s">
        <v>80</v>
      </c>
      <c r="AS5528" t="s">
        <v>81</v>
      </c>
      <c r="AT5528" t="s">
        <v>58</v>
      </c>
      <c r="AU5528" t="s">
        <v>68</v>
      </c>
      <c r="AV5528" t="s">
        <v>69</v>
      </c>
      <c r="AW5528" s="1">
        <v>24812</v>
      </c>
      <c r="AX5528">
        <v>1</v>
      </c>
    </row>
    <row r="5529" spans="1:50">
      <c r="A5529">
        <v>586592</v>
      </c>
      <c r="B5529" t="str">
        <f>"063920157"</f>
        <v>063920157</v>
      </c>
      <c r="C5529" t="s">
        <v>50</v>
      </c>
      <c r="D5529" t="s">
        <v>9873</v>
      </c>
      <c r="E5529" t="s">
        <v>52</v>
      </c>
      <c r="F5529" t="s">
        <v>72</v>
      </c>
      <c r="G5529" t="s">
        <v>181</v>
      </c>
      <c r="H5529" t="str">
        <f>"ΚΥΡΑ ΤΗΣ ΡΩ 38 ΚΗΠΟΥΠΟΛΗ ΗΡΑΚΛΙΕΙΟ"</f>
        <v>ΚΥΡΑ ΤΗΣ ΡΩ 38 ΚΗΠΟΥΠΟΛΗ ΗΡΑΚΛΙΕΙΟ</v>
      </c>
      <c r="I5529">
        <v>71307</v>
      </c>
      <c r="J5529">
        <v>2810234408</v>
      </c>
      <c r="K5529">
        <v>6972033013</v>
      </c>
      <c r="N5529" t="s">
        <v>615</v>
      </c>
      <c r="O5529" t="s">
        <v>616</v>
      </c>
      <c r="R5529" t="s">
        <v>57</v>
      </c>
      <c r="S5529">
        <v>10</v>
      </c>
      <c r="T5529">
        <v>165</v>
      </c>
      <c r="U5529" s="1">
        <v>36040</v>
      </c>
      <c r="V5529" t="s">
        <v>80</v>
      </c>
      <c r="W5529" t="s">
        <v>81</v>
      </c>
      <c r="X5529" t="s">
        <v>58</v>
      </c>
      <c r="Y5529">
        <v>21</v>
      </c>
      <c r="Z5529" t="s">
        <v>59</v>
      </c>
      <c r="AA5529" t="s">
        <v>59</v>
      </c>
      <c r="AB5529" t="s">
        <v>59</v>
      </c>
      <c r="AC5529" t="s">
        <v>59</v>
      </c>
      <c r="AD5529" t="s">
        <v>59</v>
      </c>
      <c r="AF5529" s="1">
        <v>36041</v>
      </c>
      <c r="AG5529" t="s">
        <v>8645</v>
      </c>
      <c r="AH5529" t="s">
        <v>8646</v>
      </c>
      <c r="AI5529" t="str">
        <f>"9170423"</f>
        <v>9170423</v>
      </c>
      <c r="AJ5529" t="s">
        <v>8808</v>
      </c>
      <c r="AK5529">
        <v>2810239612</v>
      </c>
      <c r="AL5529" t="s">
        <v>8809</v>
      </c>
      <c r="AM5529" t="s">
        <v>78</v>
      </c>
      <c r="AN5529" t="s">
        <v>78</v>
      </c>
      <c r="AO5529" t="s">
        <v>78</v>
      </c>
      <c r="AP5529" t="s">
        <v>163</v>
      </c>
      <c r="AQ5529">
        <v>1</v>
      </c>
      <c r="AR5529" t="s">
        <v>80</v>
      </c>
      <c r="AS5529" t="s">
        <v>81</v>
      </c>
      <c r="AT5529" t="s">
        <v>58</v>
      </c>
      <c r="AU5529" t="s">
        <v>68</v>
      </c>
      <c r="AV5529" t="s">
        <v>69</v>
      </c>
      <c r="AW5529" s="1">
        <v>24663</v>
      </c>
      <c r="AX5529">
        <v>1</v>
      </c>
    </row>
    <row r="5530" spans="1:50">
      <c r="A5530">
        <v>596202</v>
      </c>
      <c r="B5530" t="str">
        <f>"033828225"</f>
        <v>033828225</v>
      </c>
      <c r="C5530" t="s">
        <v>50</v>
      </c>
      <c r="D5530" t="s">
        <v>1691</v>
      </c>
      <c r="E5530" t="s">
        <v>237</v>
      </c>
      <c r="F5530" t="s">
        <v>72</v>
      </c>
      <c r="G5530" t="s">
        <v>52</v>
      </c>
      <c r="H5530" t="str">
        <f>"ΑΓΙΑ ΒΑΡΒΑΡΑ ΑΓΙΑ ΒΑΡΒΑΡΑ ΗΡΑΚΛΕΙΟΥ"</f>
        <v>ΑΓΙΑ ΒΑΡΒΑΡΑ ΑΓΙΑ ΒΑΡΒΑΡΑ ΗΡΑΚΛΕΙΟΥ</v>
      </c>
      <c r="I5530">
        <v>70003</v>
      </c>
      <c r="J5530">
        <v>2894023444</v>
      </c>
      <c r="K5530">
        <v>6975844328</v>
      </c>
      <c r="N5530" t="s">
        <v>1525</v>
      </c>
      <c r="O5530" t="s">
        <v>1526</v>
      </c>
      <c r="R5530" t="s">
        <v>57</v>
      </c>
      <c r="S5530">
        <v>11</v>
      </c>
      <c r="T5530">
        <v>218</v>
      </c>
      <c r="U5530" s="1">
        <v>37134</v>
      </c>
      <c r="V5530" t="s">
        <v>80</v>
      </c>
      <c r="W5530" t="s">
        <v>81</v>
      </c>
      <c r="X5530" t="s">
        <v>58</v>
      </c>
      <c r="Y5530">
        <v>25</v>
      </c>
      <c r="Z5530" t="s">
        <v>59</v>
      </c>
      <c r="AA5530" t="s">
        <v>59</v>
      </c>
      <c r="AB5530" t="s">
        <v>59</v>
      </c>
      <c r="AC5530" t="s">
        <v>59</v>
      </c>
      <c r="AD5530" t="s">
        <v>59</v>
      </c>
      <c r="AF5530" s="1">
        <v>37140</v>
      </c>
      <c r="AG5530" t="s">
        <v>8651</v>
      </c>
      <c r="AH5530" t="s">
        <v>8652</v>
      </c>
      <c r="AI5530" t="str">
        <f>"9170040"</f>
        <v>9170040</v>
      </c>
      <c r="AJ5530" t="s">
        <v>8961</v>
      </c>
      <c r="AK5530">
        <v>2894023512</v>
      </c>
      <c r="AL5530" t="s">
        <v>8962</v>
      </c>
      <c r="AM5530" t="s">
        <v>78</v>
      </c>
      <c r="AN5530" t="s">
        <v>405</v>
      </c>
      <c r="AO5530" t="s">
        <v>406</v>
      </c>
      <c r="AP5530" t="s">
        <v>406</v>
      </c>
      <c r="AQ5530">
        <v>6</v>
      </c>
      <c r="AR5530" t="s">
        <v>80</v>
      </c>
      <c r="AS5530" t="s">
        <v>81</v>
      </c>
      <c r="AT5530" t="s">
        <v>58</v>
      </c>
      <c r="AU5530" t="s">
        <v>68</v>
      </c>
      <c r="AV5530" t="s">
        <v>69</v>
      </c>
      <c r="AW5530" s="1">
        <v>24181</v>
      </c>
      <c r="AX5530">
        <v>1</v>
      </c>
    </row>
    <row r="5531" spans="1:50">
      <c r="B5531" t="str">
        <f>"157277899"</f>
        <v>157277899</v>
      </c>
      <c r="C5531" t="s">
        <v>50</v>
      </c>
      <c r="D5531" t="s">
        <v>1691</v>
      </c>
      <c r="E5531" t="s">
        <v>83</v>
      </c>
      <c r="F5531" t="s">
        <v>95</v>
      </c>
      <c r="G5531" t="s">
        <v>237</v>
      </c>
      <c r="H5531" t="str">
        <f>" "</f>
        <v xml:space="preserve"> </v>
      </c>
      <c r="N5531" t="s">
        <v>615</v>
      </c>
      <c r="O5531" t="s">
        <v>616</v>
      </c>
      <c r="R5531" t="s">
        <v>121</v>
      </c>
      <c r="S5531">
        <v>1</v>
      </c>
      <c r="T5531" t="s">
        <v>8675</v>
      </c>
      <c r="U5531" s="1">
        <v>43348</v>
      </c>
      <c r="V5531" t="s">
        <v>80</v>
      </c>
      <c r="W5531" t="s">
        <v>81</v>
      </c>
      <c r="X5531" t="s">
        <v>58</v>
      </c>
      <c r="Y5531">
        <v>24</v>
      </c>
      <c r="Z5531" t="s">
        <v>59</v>
      </c>
      <c r="AA5531" t="s">
        <v>59</v>
      </c>
      <c r="AB5531" t="s">
        <v>59</v>
      </c>
      <c r="AD5531" t="s">
        <v>59</v>
      </c>
      <c r="AF5531" s="1">
        <v>43348</v>
      </c>
      <c r="AG5531" t="s">
        <v>8645</v>
      </c>
      <c r="AH5531" t="s">
        <v>8646</v>
      </c>
      <c r="AI5531" t="str">
        <f>"9521015"</f>
        <v>9521015</v>
      </c>
      <c r="AJ5531" t="s">
        <v>8927</v>
      </c>
      <c r="AK5531">
        <v>2897029138</v>
      </c>
      <c r="AL5531" t="s">
        <v>8928</v>
      </c>
      <c r="AM5531" t="s">
        <v>78</v>
      </c>
      <c r="AN5531" t="s">
        <v>219</v>
      </c>
      <c r="AO5531" t="s">
        <v>219</v>
      </c>
      <c r="AP5531" t="s">
        <v>220</v>
      </c>
      <c r="AQ5531">
        <v>8</v>
      </c>
      <c r="AR5531" t="s">
        <v>80</v>
      </c>
      <c r="AS5531" t="s">
        <v>81</v>
      </c>
      <c r="AT5531" t="s">
        <v>58</v>
      </c>
      <c r="AU5531" t="s">
        <v>8673</v>
      </c>
      <c r="AV5531" t="s">
        <v>132</v>
      </c>
      <c r="AW5531" s="1">
        <v>32903</v>
      </c>
      <c r="AX5531">
        <v>1</v>
      </c>
    </row>
    <row r="5532" spans="1:50">
      <c r="A5532">
        <v>595995</v>
      </c>
      <c r="B5532" t="str">
        <f>"059164406"</f>
        <v>059164406</v>
      </c>
      <c r="C5532" t="s">
        <v>50</v>
      </c>
      <c r="D5532" t="s">
        <v>1691</v>
      </c>
      <c r="E5532" t="s">
        <v>892</v>
      </c>
      <c r="F5532" t="s">
        <v>84</v>
      </c>
      <c r="G5532" t="s">
        <v>188</v>
      </c>
      <c r="H5532" t="str">
        <f>"ΤΗΝΟΥ 6 ΗΡΑΚΛΕΙΟ"</f>
        <v>ΤΗΝΟΥ 6 ΗΡΑΚΛΕΙΟ</v>
      </c>
      <c r="I5532">
        <v>71304</v>
      </c>
      <c r="J5532">
        <v>2810255962</v>
      </c>
      <c r="K5532">
        <v>6946347139</v>
      </c>
      <c r="N5532" t="s">
        <v>615</v>
      </c>
      <c r="O5532" t="s">
        <v>616</v>
      </c>
      <c r="R5532" t="s">
        <v>57</v>
      </c>
      <c r="S5532">
        <v>10</v>
      </c>
      <c r="T5532">
        <v>218</v>
      </c>
      <c r="U5532" s="1">
        <v>37134</v>
      </c>
      <c r="V5532" t="s">
        <v>80</v>
      </c>
      <c r="W5532" t="s">
        <v>81</v>
      </c>
      <c r="X5532" t="s">
        <v>58</v>
      </c>
      <c r="Y5532">
        <v>22</v>
      </c>
      <c r="Z5532" t="s">
        <v>59</v>
      </c>
      <c r="AA5532" t="s">
        <v>59</v>
      </c>
      <c r="AB5532" t="s">
        <v>59</v>
      </c>
      <c r="AC5532" t="s">
        <v>59</v>
      </c>
      <c r="AD5532" t="s">
        <v>59</v>
      </c>
      <c r="AF5532" s="1">
        <v>37137</v>
      </c>
      <c r="AG5532" t="s">
        <v>8645</v>
      </c>
      <c r="AH5532" t="s">
        <v>8646</v>
      </c>
      <c r="AI5532" t="str">
        <f>"9170054"</f>
        <v>9170054</v>
      </c>
      <c r="AJ5532" t="s">
        <v>9106</v>
      </c>
      <c r="AK5532">
        <v>2810254527</v>
      </c>
      <c r="AL5532" t="s">
        <v>9107</v>
      </c>
      <c r="AM5532" t="s">
        <v>78</v>
      </c>
      <c r="AN5532" t="s">
        <v>78</v>
      </c>
      <c r="AO5532" t="s">
        <v>78</v>
      </c>
      <c r="AP5532" t="s">
        <v>163</v>
      </c>
      <c r="AQ5532">
        <v>1</v>
      </c>
      <c r="AR5532" t="s">
        <v>80</v>
      </c>
      <c r="AS5532" t="s">
        <v>81</v>
      </c>
      <c r="AT5532" t="s">
        <v>58</v>
      </c>
      <c r="AU5532" t="s">
        <v>68</v>
      </c>
      <c r="AV5532" t="s">
        <v>69</v>
      </c>
      <c r="AW5532" s="1">
        <v>25165</v>
      </c>
      <c r="AX5532">
        <v>1</v>
      </c>
    </row>
    <row r="5533" spans="1:50">
      <c r="A5533">
        <v>618758</v>
      </c>
      <c r="B5533" t="str">
        <f>"137215243"</f>
        <v>137215243</v>
      </c>
      <c r="C5533" t="s">
        <v>50</v>
      </c>
      <c r="D5533" t="s">
        <v>1691</v>
      </c>
      <c r="E5533" t="s">
        <v>9874</v>
      </c>
      <c r="F5533" t="s">
        <v>95</v>
      </c>
      <c r="G5533" t="s">
        <v>52</v>
      </c>
      <c r="H5533" t="str">
        <f>"ΕΘΝΙΚΗΣ ΑΝΤΙΣΤΑΣΕΩΣ 29 ΗΡΑΚΛΕΙΟΥ"</f>
        <v>ΕΘΝΙΚΗΣ ΑΝΤΙΣΤΑΣΕΩΣ 29 ΗΡΑΚΛΕΙΟΥ</v>
      </c>
      <c r="I5533">
        <v>71414</v>
      </c>
      <c r="J5533">
        <v>2810822631</v>
      </c>
      <c r="K5533">
        <v>6977197728</v>
      </c>
      <c r="M5533" t="s">
        <v>9875</v>
      </c>
      <c r="N5533" t="s">
        <v>615</v>
      </c>
      <c r="O5533" t="s">
        <v>616</v>
      </c>
      <c r="R5533" t="s">
        <v>57</v>
      </c>
      <c r="S5533">
        <v>5</v>
      </c>
      <c r="T5533">
        <v>774</v>
      </c>
      <c r="U5533" s="1">
        <v>39680</v>
      </c>
      <c r="V5533" t="s">
        <v>80</v>
      </c>
      <c r="W5533" t="s">
        <v>81</v>
      </c>
      <c r="X5533" t="s">
        <v>58</v>
      </c>
      <c r="Y5533">
        <v>23</v>
      </c>
      <c r="Z5533" t="s">
        <v>59</v>
      </c>
      <c r="AA5533" t="s">
        <v>59</v>
      </c>
      <c r="AB5533" t="s">
        <v>59</v>
      </c>
      <c r="AC5533" t="s">
        <v>59</v>
      </c>
      <c r="AD5533" t="s">
        <v>59</v>
      </c>
      <c r="AF5533" s="1">
        <v>39681</v>
      </c>
      <c r="AG5533" t="s">
        <v>8645</v>
      </c>
      <c r="AH5533" t="s">
        <v>8646</v>
      </c>
      <c r="AI5533" t="str">
        <f>"9170059"</f>
        <v>9170059</v>
      </c>
      <c r="AJ5533" t="s">
        <v>9161</v>
      </c>
      <c r="AK5533">
        <v>2810791244</v>
      </c>
      <c r="AL5533" t="s">
        <v>9162</v>
      </c>
      <c r="AM5533" t="s">
        <v>78</v>
      </c>
      <c r="AN5533" t="s">
        <v>78</v>
      </c>
      <c r="AO5533" t="s">
        <v>195</v>
      </c>
      <c r="AP5533" t="s">
        <v>196</v>
      </c>
      <c r="AQ5533">
        <v>3</v>
      </c>
      <c r="AR5533" t="s">
        <v>80</v>
      </c>
      <c r="AS5533" t="s">
        <v>81</v>
      </c>
      <c r="AT5533" t="s">
        <v>58</v>
      </c>
      <c r="AU5533" t="s">
        <v>68</v>
      </c>
      <c r="AV5533" t="s">
        <v>69</v>
      </c>
      <c r="AW5533" s="1">
        <v>31327</v>
      </c>
      <c r="AX5533">
        <v>1</v>
      </c>
    </row>
    <row r="5534" spans="1:50">
      <c r="A5534">
        <v>615691</v>
      </c>
      <c r="B5534" t="str">
        <f>"070347688"</f>
        <v>070347688</v>
      </c>
      <c r="C5534" t="s">
        <v>50</v>
      </c>
      <c r="D5534" t="s">
        <v>1691</v>
      </c>
      <c r="E5534" t="s">
        <v>541</v>
      </c>
      <c r="F5534" t="s">
        <v>920</v>
      </c>
      <c r="G5534" t="s">
        <v>83</v>
      </c>
      <c r="H5534" t="str">
        <f>"ΑΓΙΑ ΒΑΡΒΑΡΑ ΗΡΑΚΛΕΙΟ"</f>
        <v>ΑΓΙΑ ΒΑΡΒΑΡΑ ΗΡΑΚΛΕΙΟ</v>
      </c>
      <c r="I5534">
        <v>70003</v>
      </c>
      <c r="J5534">
        <v>2894022644</v>
      </c>
      <c r="K5534">
        <v>6977647212</v>
      </c>
      <c r="L5534">
        <v>2810260384</v>
      </c>
      <c r="N5534" t="s">
        <v>306</v>
      </c>
      <c r="O5534" t="s">
        <v>307</v>
      </c>
      <c r="R5534" t="s">
        <v>57</v>
      </c>
      <c r="S5534">
        <v>6</v>
      </c>
      <c r="T5534">
        <v>600</v>
      </c>
      <c r="U5534" s="1">
        <v>39310</v>
      </c>
      <c r="V5534" t="s">
        <v>80</v>
      </c>
      <c r="W5534" t="s">
        <v>81</v>
      </c>
      <c r="X5534" t="s">
        <v>58</v>
      </c>
      <c r="Y5534">
        <v>23</v>
      </c>
      <c r="Z5534" t="s">
        <v>59</v>
      </c>
      <c r="AA5534" t="s">
        <v>59</v>
      </c>
      <c r="AB5534" t="s">
        <v>59</v>
      </c>
      <c r="AC5534" t="s">
        <v>59</v>
      </c>
      <c r="AD5534" t="s">
        <v>59</v>
      </c>
      <c r="AF5534" s="1">
        <v>39328</v>
      </c>
      <c r="AG5534" t="s">
        <v>8645</v>
      </c>
      <c r="AH5534" t="s">
        <v>8646</v>
      </c>
      <c r="AI5534" t="str">
        <f>"9521091"</f>
        <v>9521091</v>
      </c>
      <c r="AJ5534" t="s">
        <v>8959</v>
      </c>
      <c r="AK5534">
        <v>2810370360</v>
      </c>
      <c r="AL5534" t="s">
        <v>8960</v>
      </c>
      <c r="AM5534" t="s">
        <v>78</v>
      </c>
      <c r="AN5534" t="s">
        <v>129</v>
      </c>
      <c r="AO5534" t="s">
        <v>130</v>
      </c>
      <c r="AP5534" t="s">
        <v>130</v>
      </c>
      <c r="AQ5534">
        <v>1</v>
      </c>
      <c r="AR5534" t="s">
        <v>80</v>
      </c>
      <c r="AS5534" t="s">
        <v>81</v>
      </c>
      <c r="AT5534" t="s">
        <v>58</v>
      </c>
      <c r="AU5534" t="s">
        <v>68</v>
      </c>
      <c r="AV5534" t="s">
        <v>69</v>
      </c>
      <c r="AW5534" s="1">
        <v>28516</v>
      </c>
      <c r="AX5534">
        <v>1</v>
      </c>
    </row>
    <row r="5535" spans="1:50">
      <c r="A5535">
        <v>606244</v>
      </c>
      <c r="B5535" t="str">
        <f>"123661662"</f>
        <v>123661662</v>
      </c>
      <c r="C5535" t="s">
        <v>50</v>
      </c>
      <c r="D5535" t="s">
        <v>1693</v>
      </c>
      <c r="E5535" t="s">
        <v>237</v>
      </c>
      <c r="F5535" t="s">
        <v>53</v>
      </c>
      <c r="G5535" t="s">
        <v>255</v>
      </c>
      <c r="H5535" t="str">
        <f>"ΣΒΑΪΤΣΕΡ 33 &amp; ΘΕΤΙΔΟΣ ΗΡΑΚΛΕΙΟ"</f>
        <v>ΣΒΑΪΤΣΕΡ 33 &amp; ΘΕΤΙΔΟΣ ΗΡΑΚΛΕΙΟ</v>
      </c>
      <c r="I5535">
        <v>71303</v>
      </c>
      <c r="J5535">
        <v>2892031040</v>
      </c>
      <c r="K5535">
        <v>6974736044</v>
      </c>
      <c r="L5535">
        <v>2815004944</v>
      </c>
      <c r="N5535" t="s">
        <v>1525</v>
      </c>
      <c r="O5535" t="s">
        <v>1526</v>
      </c>
      <c r="R5535" t="s">
        <v>57</v>
      </c>
      <c r="S5535">
        <v>7</v>
      </c>
      <c r="T5535">
        <v>231</v>
      </c>
      <c r="U5535" s="1">
        <v>38231</v>
      </c>
      <c r="V5535" t="s">
        <v>80</v>
      </c>
      <c r="W5535" t="s">
        <v>81</v>
      </c>
      <c r="X5535" t="s">
        <v>58</v>
      </c>
      <c r="Y5535">
        <v>25</v>
      </c>
      <c r="Z5535" t="s">
        <v>59</v>
      </c>
      <c r="AA5535" t="s">
        <v>59</v>
      </c>
      <c r="AB5535" t="s">
        <v>59</v>
      </c>
      <c r="AC5535" t="s">
        <v>59</v>
      </c>
      <c r="AD5535" t="s">
        <v>59</v>
      </c>
      <c r="AF5535" s="1">
        <v>38231</v>
      </c>
      <c r="AG5535" t="s">
        <v>8651</v>
      </c>
      <c r="AH5535" t="s">
        <v>8652</v>
      </c>
      <c r="AI5535" t="str">
        <f>"9170591"</f>
        <v>9170591</v>
      </c>
      <c r="AJ5535" t="s">
        <v>9762</v>
      </c>
      <c r="AK5535">
        <v>2810263596</v>
      </c>
      <c r="AL5535" t="s">
        <v>9763</v>
      </c>
      <c r="AM5535" t="s">
        <v>78</v>
      </c>
      <c r="AN5535" t="s">
        <v>129</v>
      </c>
      <c r="AO5535" t="s">
        <v>130</v>
      </c>
      <c r="AP5535" t="s">
        <v>130</v>
      </c>
      <c r="AQ5535">
        <v>1</v>
      </c>
      <c r="AR5535" t="s">
        <v>80</v>
      </c>
      <c r="AS5535" t="s">
        <v>81</v>
      </c>
      <c r="AT5535" t="s">
        <v>58</v>
      </c>
      <c r="AU5535" t="s">
        <v>68</v>
      </c>
      <c r="AV5535" t="s">
        <v>69</v>
      </c>
      <c r="AW5535" s="1">
        <v>29200</v>
      </c>
      <c r="AX5535">
        <v>1</v>
      </c>
    </row>
    <row r="5536" spans="1:50">
      <c r="A5536">
        <v>581753</v>
      </c>
      <c r="B5536" t="str">
        <f>"064123547"</f>
        <v>064123547</v>
      </c>
      <c r="C5536" t="s">
        <v>50</v>
      </c>
      <c r="D5536" t="s">
        <v>1693</v>
      </c>
      <c r="E5536" t="s">
        <v>255</v>
      </c>
      <c r="F5536" t="s">
        <v>72</v>
      </c>
      <c r="G5536" t="s">
        <v>83</v>
      </c>
      <c r="H5536" t="str">
        <f>"ΠΑΡΟΔΟΣ ΦΑΙΣΤΟΥ 19-21 ΗΡΑΚΛΕΙΟ"</f>
        <v>ΠΑΡΟΔΟΣ ΦΑΙΣΤΟΥ 19-21 ΗΡΑΚΛΕΙΟ</v>
      </c>
      <c r="I5536">
        <v>71409</v>
      </c>
      <c r="J5536">
        <v>2810323965</v>
      </c>
      <c r="K5536">
        <v>6974907672</v>
      </c>
      <c r="M5536" t="s">
        <v>9876</v>
      </c>
      <c r="N5536" t="s">
        <v>615</v>
      </c>
      <c r="O5536" t="s">
        <v>616</v>
      </c>
      <c r="R5536" t="s">
        <v>57</v>
      </c>
      <c r="S5536">
        <v>12</v>
      </c>
      <c r="T5536">
        <v>179</v>
      </c>
      <c r="U5536" s="1">
        <v>35674</v>
      </c>
      <c r="V5536" t="s">
        <v>80</v>
      </c>
      <c r="W5536" t="s">
        <v>81</v>
      </c>
      <c r="X5536" t="s">
        <v>58</v>
      </c>
      <c r="Y5536">
        <v>21</v>
      </c>
      <c r="Z5536" t="s">
        <v>59</v>
      </c>
      <c r="AA5536" t="s">
        <v>59</v>
      </c>
      <c r="AB5536" t="s">
        <v>59</v>
      </c>
      <c r="AC5536" t="s">
        <v>59</v>
      </c>
      <c r="AD5536" t="s">
        <v>59</v>
      </c>
      <c r="AF5536" s="1">
        <v>35675</v>
      </c>
      <c r="AG5536" t="s">
        <v>8645</v>
      </c>
      <c r="AH5536" t="s">
        <v>8646</v>
      </c>
      <c r="AI5536" t="str">
        <f>"9170191"</f>
        <v>9170191</v>
      </c>
      <c r="AJ5536" t="s">
        <v>8667</v>
      </c>
      <c r="AK5536">
        <v>2810231459</v>
      </c>
      <c r="AL5536" t="s">
        <v>8668</v>
      </c>
      <c r="AM5536" t="s">
        <v>78</v>
      </c>
      <c r="AN5536" t="s">
        <v>78</v>
      </c>
      <c r="AO5536" t="s">
        <v>78</v>
      </c>
      <c r="AP5536" t="s">
        <v>163</v>
      </c>
      <c r="AQ5536">
        <v>1</v>
      </c>
      <c r="AR5536" t="s">
        <v>80</v>
      </c>
      <c r="AS5536" t="s">
        <v>81</v>
      </c>
      <c r="AT5536" t="s">
        <v>58</v>
      </c>
      <c r="AU5536" t="s">
        <v>68</v>
      </c>
      <c r="AV5536" t="s">
        <v>2039</v>
      </c>
      <c r="AW5536" s="1">
        <v>24635</v>
      </c>
      <c r="AX5536">
        <v>1</v>
      </c>
    </row>
    <row r="5537" spans="1:50">
      <c r="A5537">
        <v>702084</v>
      </c>
      <c r="B5537" t="str">
        <f>"123687296"</f>
        <v>123687296</v>
      </c>
      <c r="C5537" t="s">
        <v>50</v>
      </c>
      <c r="D5537" t="s">
        <v>1693</v>
      </c>
      <c r="E5537" t="s">
        <v>255</v>
      </c>
      <c r="F5537" t="s">
        <v>53</v>
      </c>
      <c r="G5537" t="s">
        <v>2251</v>
      </c>
      <c r="H5537" t="str">
        <f>"ΓΟΡΓΙΑ 1 ΗΡΑΚΛΕΙΟ"</f>
        <v>ΓΟΡΓΙΑ 1 ΗΡΑΚΛΕΙΟ</v>
      </c>
      <c r="I5537">
        <v>71409</v>
      </c>
      <c r="J5537">
        <v>2810361149</v>
      </c>
      <c r="K5537">
        <v>6972856221</v>
      </c>
      <c r="M5537" t="s">
        <v>9877</v>
      </c>
      <c r="N5537" t="s">
        <v>615</v>
      </c>
      <c r="O5537" t="s">
        <v>616</v>
      </c>
      <c r="R5537" t="s">
        <v>57</v>
      </c>
      <c r="S5537">
        <v>4</v>
      </c>
      <c r="T5537">
        <v>772</v>
      </c>
      <c r="U5537" s="1">
        <v>40413</v>
      </c>
      <c r="V5537" t="s">
        <v>80</v>
      </c>
      <c r="W5537" t="s">
        <v>81</v>
      </c>
      <c r="X5537" t="s">
        <v>58</v>
      </c>
      <c r="Y5537">
        <v>24</v>
      </c>
      <c r="Z5537" t="s">
        <v>59</v>
      </c>
      <c r="AA5537" t="s">
        <v>59</v>
      </c>
      <c r="AB5537" t="s">
        <v>59</v>
      </c>
      <c r="AC5537" t="s">
        <v>59</v>
      </c>
      <c r="AD5537" t="s">
        <v>59</v>
      </c>
      <c r="AF5537" s="1">
        <v>40413</v>
      </c>
      <c r="AG5537" t="s">
        <v>8645</v>
      </c>
      <c r="AH5537" t="s">
        <v>8646</v>
      </c>
      <c r="AI5537" t="str">
        <f>"9170423"</f>
        <v>9170423</v>
      </c>
      <c r="AJ5537" t="s">
        <v>8808</v>
      </c>
      <c r="AK5537">
        <v>2810239612</v>
      </c>
      <c r="AL5537" t="s">
        <v>8809</v>
      </c>
      <c r="AM5537" t="s">
        <v>78</v>
      </c>
      <c r="AN5537" t="s">
        <v>78</v>
      </c>
      <c r="AO5537" t="s">
        <v>78</v>
      </c>
      <c r="AP5537" t="s">
        <v>163</v>
      </c>
      <c r="AQ5537">
        <v>1</v>
      </c>
      <c r="AR5537" t="s">
        <v>80</v>
      </c>
      <c r="AS5537" t="s">
        <v>81</v>
      </c>
      <c r="AT5537" t="s">
        <v>58</v>
      </c>
      <c r="AU5537" t="s">
        <v>68</v>
      </c>
      <c r="AV5537" t="s">
        <v>69</v>
      </c>
      <c r="AW5537" s="1">
        <v>31858</v>
      </c>
      <c r="AX5537">
        <v>1</v>
      </c>
    </row>
    <row r="5538" spans="1:50">
      <c r="B5538" t="str">
        <f>"118844029"</f>
        <v>118844029</v>
      </c>
      <c r="C5538" t="s">
        <v>50</v>
      </c>
      <c r="D5538" t="s">
        <v>1693</v>
      </c>
      <c r="E5538" t="s">
        <v>255</v>
      </c>
      <c r="F5538" t="s">
        <v>53</v>
      </c>
      <c r="G5538" t="s">
        <v>109</v>
      </c>
      <c r="H5538" t="str">
        <f>"ΚΥΚΝΟΥ 15-ΠΑΛΑΙΟ ΨΥΧΙΚΟ ΑΘΗΝΑ"</f>
        <v>ΚΥΚΝΟΥ 15-ΠΑΛΑΙΟ ΨΥΧΙΚΟ ΑΘΗΝΑ</v>
      </c>
      <c r="I5538">
        <v>15452</v>
      </c>
      <c r="J5538">
        <v>2106743272</v>
      </c>
      <c r="K5538">
        <v>6973527725</v>
      </c>
      <c r="N5538" t="s">
        <v>384</v>
      </c>
      <c r="O5538" t="s">
        <v>385</v>
      </c>
      <c r="R5538" t="s">
        <v>159</v>
      </c>
      <c r="S5538">
        <v>4</v>
      </c>
      <c r="T5538" t="s">
        <v>8675</v>
      </c>
      <c r="U5538" s="1">
        <v>43348</v>
      </c>
      <c r="V5538" t="s">
        <v>80</v>
      </c>
      <c r="W5538" t="s">
        <v>81</v>
      </c>
      <c r="X5538" t="s">
        <v>58</v>
      </c>
      <c r="Y5538">
        <v>24</v>
      </c>
      <c r="Z5538" t="s">
        <v>59</v>
      </c>
      <c r="AA5538" t="s">
        <v>59</v>
      </c>
      <c r="AB5538" t="s">
        <v>59</v>
      </c>
      <c r="AC5538" t="s">
        <v>59</v>
      </c>
      <c r="AD5538" t="s">
        <v>59</v>
      </c>
      <c r="AF5538" s="1">
        <v>43348</v>
      </c>
      <c r="AG5538" t="s">
        <v>8645</v>
      </c>
      <c r="AH5538" t="s">
        <v>8646</v>
      </c>
      <c r="AI5538" t="str">
        <f>"9170515"</f>
        <v>9170515</v>
      </c>
      <c r="AJ5538" t="s">
        <v>8790</v>
      </c>
      <c r="AK5538">
        <v>2810254821</v>
      </c>
      <c r="AL5538" t="s">
        <v>8791</v>
      </c>
      <c r="AM5538" t="s">
        <v>78</v>
      </c>
      <c r="AN5538" t="s">
        <v>78</v>
      </c>
      <c r="AO5538" t="s">
        <v>78</v>
      </c>
      <c r="AP5538" t="s">
        <v>163</v>
      </c>
      <c r="AQ5538">
        <v>1</v>
      </c>
      <c r="AR5538" t="s">
        <v>80</v>
      </c>
      <c r="AS5538" t="s">
        <v>81</v>
      </c>
      <c r="AT5538" t="s">
        <v>58</v>
      </c>
      <c r="AU5538" t="s">
        <v>8673</v>
      </c>
      <c r="AV5538" t="s">
        <v>132</v>
      </c>
      <c r="AW5538" s="1">
        <v>28930</v>
      </c>
      <c r="AX5538">
        <v>1</v>
      </c>
    </row>
    <row r="5539" spans="1:50">
      <c r="B5539" t="str">
        <f>"147204200"</f>
        <v>147204200</v>
      </c>
      <c r="C5539" t="s">
        <v>50</v>
      </c>
      <c r="D5539" t="s">
        <v>1693</v>
      </c>
      <c r="E5539" t="s">
        <v>52</v>
      </c>
      <c r="F5539" t="s">
        <v>9878</v>
      </c>
      <c r="G5539" t="s">
        <v>513</v>
      </c>
      <c r="H5539" t="str">
        <f>"Θεοτοκοπούλου 11 Μοίρες"</f>
        <v>Θεοτοκοπούλου 11 Μοίρες</v>
      </c>
      <c r="I5539">
        <v>70400</v>
      </c>
      <c r="J5539">
        <v>2892022302</v>
      </c>
      <c r="K5539">
        <v>6981480023</v>
      </c>
      <c r="M5539" t="s">
        <v>9879</v>
      </c>
      <c r="N5539" t="s">
        <v>8694</v>
      </c>
      <c r="O5539" t="s">
        <v>8695</v>
      </c>
      <c r="R5539" t="s">
        <v>159</v>
      </c>
      <c r="S5539">
        <v>1</v>
      </c>
      <c r="T5539" t="s">
        <v>8835</v>
      </c>
      <c r="U5539" s="1">
        <v>43348</v>
      </c>
      <c r="V5539" t="s">
        <v>80</v>
      </c>
      <c r="W5539" t="s">
        <v>81</v>
      </c>
      <c r="X5539" t="s">
        <v>58</v>
      </c>
      <c r="Y5539">
        <v>24</v>
      </c>
      <c r="Z5539" t="s">
        <v>59</v>
      </c>
      <c r="AA5539" t="s">
        <v>59</v>
      </c>
      <c r="AB5539" t="s">
        <v>59</v>
      </c>
      <c r="AC5539" t="s">
        <v>59</v>
      </c>
      <c r="AD5539" t="s">
        <v>59</v>
      </c>
      <c r="AF5539" s="1">
        <v>43348</v>
      </c>
      <c r="AG5539" t="s">
        <v>8645</v>
      </c>
      <c r="AH5539" t="s">
        <v>8646</v>
      </c>
      <c r="AI5539" t="str">
        <f>"9170270"</f>
        <v>9170270</v>
      </c>
      <c r="AJ5539" t="s">
        <v>9347</v>
      </c>
      <c r="AK5539">
        <v>2892031245</v>
      </c>
      <c r="AL5539" t="s">
        <v>9348</v>
      </c>
      <c r="AM5539" t="s">
        <v>78</v>
      </c>
      <c r="AN5539" t="s">
        <v>405</v>
      </c>
      <c r="AO5539" t="s">
        <v>405</v>
      </c>
      <c r="AP5539" t="s">
        <v>464</v>
      </c>
      <c r="AQ5539">
        <v>17</v>
      </c>
      <c r="AR5539" t="s">
        <v>80</v>
      </c>
      <c r="AS5539" t="s">
        <v>81</v>
      </c>
      <c r="AT5539" t="s">
        <v>58</v>
      </c>
      <c r="AU5539" t="s">
        <v>131</v>
      </c>
      <c r="AV5539" t="s">
        <v>132</v>
      </c>
      <c r="AW5539" s="1">
        <v>33296</v>
      </c>
      <c r="AX5539">
        <v>1</v>
      </c>
    </row>
    <row r="5540" spans="1:50">
      <c r="A5540">
        <v>621642</v>
      </c>
      <c r="B5540" t="str">
        <f>"110629280"</f>
        <v>110629280</v>
      </c>
      <c r="C5540" t="s">
        <v>50</v>
      </c>
      <c r="D5540" t="s">
        <v>9880</v>
      </c>
      <c r="E5540" t="s">
        <v>9881</v>
      </c>
      <c r="F5540" t="s">
        <v>1328</v>
      </c>
      <c r="G5540" t="s">
        <v>340</v>
      </c>
      <c r="H5540" t="str">
        <f>"ΟΘΟΣ ΟΘΟΣ"</f>
        <v>ΟΘΟΣ ΟΘΟΣ</v>
      </c>
      <c r="I5540">
        <v>85700</v>
      </c>
      <c r="J5540">
        <v>2245031089</v>
      </c>
      <c r="K5540">
        <v>6978615896</v>
      </c>
      <c r="N5540" t="s">
        <v>615</v>
      </c>
      <c r="O5540" t="s">
        <v>616</v>
      </c>
      <c r="R5540" t="s">
        <v>57</v>
      </c>
      <c r="S5540">
        <v>4</v>
      </c>
      <c r="T5540">
        <v>653</v>
      </c>
      <c r="U5540" s="1">
        <v>40043</v>
      </c>
      <c r="V5540" t="s">
        <v>80</v>
      </c>
      <c r="W5540" t="s">
        <v>81</v>
      </c>
      <c r="X5540" t="s">
        <v>58</v>
      </c>
      <c r="Y5540">
        <v>24</v>
      </c>
      <c r="Z5540" t="s">
        <v>59</v>
      </c>
      <c r="AA5540" t="s">
        <v>59</v>
      </c>
      <c r="AB5540" t="s">
        <v>59</v>
      </c>
      <c r="AC5540" t="s">
        <v>59</v>
      </c>
      <c r="AD5540" t="s">
        <v>59</v>
      </c>
      <c r="AF5540" s="1">
        <v>40046</v>
      </c>
      <c r="AG5540" t="s">
        <v>8645</v>
      </c>
      <c r="AH5540" t="s">
        <v>8646</v>
      </c>
      <c r="AI5540" t="str">
        <f>"9170244"</f>
        <v>9170244</v>
      </c>
      <c r="AJ5540" t="s">
        <v>8933</v>
      </c>
      <c r="AK5540">
        <v>2897061213</v>
      </c>
      <c r="AL5540" t="s">
        <v>8934</v>
      </c>
      <c r="AM5540" t="s">
        <v>78</v>
      </c>
      <c r="AN5540" t="s">
        <v>219</v>
      </c>
      <c r="AO5540" t="s">
        <v>527</v>
      </c>
      <c r="AP5540" t="s">
        <v>528</v>
      </c>
      <c r="AQ5540">
        <v>8</v>
      </c>
      <c r="AR5540" t="s">
        <v>80</v>
      </c>
      <c r="AS5540" t="s">
        <v>81</v>
      </c>
      <c r="AT5540" t="s">
        <v>58</v>
      </c>
      <c r="AU5540" t="s">
        <v>68</v>
      </c>
      <c r="AV5540" t="s">
        <v>69</v>
      </c>
      <c r="AW5540" s="1">
        <v>31121</v>
      </c>
      <c r="AX5540">
        <v>1</v>
      </c>
    </row>
    <row r="5541" spans="1:50">
      <c r="A5541">
        <v>606797</v>
      </c>
      <c r="B5541" t="str">
        <f>"036732442"</f>
        <v>036732442</v>
      </c>
      <c r="C5541" t="s">
        <v>50</v>
      </c>
      <c r="D5541" t="s">
        <v>9882</v>
      </c>
      <c r="E5541" t="s">
        <v>83</v>
      </c>
      <c r="F5541" t="s">
        <v>1523</v>
      </c>
      <c r="G5541" t="s">
        <v>237</v>
      </c>
      <c r="H5541" t="str">
        <f>"ΘΕΟΦΑΝΟΥΣ 13 ΜΑΣΤΑΜΠΑΣ"</f>
        <v>ΘΕΟΦΑΝΟΥΣ 13 ΜΑΣΤΑΜΠΑΣ</v>
      </c>
      <c r="I5541">
        <v>71305</v>
      </c>
      <c r="K5541">
        <v>6993999039</v>
      </c>
      <c r="L5541">
        <v>2810213733</v>
      </c>
      <c r="N5541" t="s">
        <v>55</v>
      </c>
      <c r="O5541" t="s">
        <v>56</v>
      </c>
      <c r="R5541" t="s">
        <v>57</v>
      </c>
      <c r="S5541">
        <v>12</v>
      </c>
      <c r="T5541">
        <v>201</v>
      </c>
      <c r="U5541" s="1">
        <v>37503</v>
      </c>
      <c r="V5541" t="s">
        <v>80</v>
      </c>
      <c r="W5541" t="s">
        <v>81</v>
      </c>
      <c r="X5541" t="s">
        <v>58</v>
      </c>
      <c r="Y5541">
        <v>22</v>
      </c>
      <c r="Z5541" t="s">
        <v>59</v>
      </c>
      <c r="AA5541" t="s">
        <v>59</v>
      </c>
      <c r="AB5541" t="s">
        <v>59</v>
      </c>
      <c r="AC5541" t="s">
        <v>59</v>
      </c>
      <c r="AD5541" t="s">
        <v>59</v>
      </c>
      <c r="AF5541" s="1">
        <v>37508</v>
      </c>
      <c r="AG5541" t="s">
        <v>8645</v>
      </c>
      <c r="AH5541" t="s">
        <v>8697</v>
      </c>
      <c r="AI5541" t="str">
        <f>"9170511"</f>
        <v>9170511</v>
      </c>
      <c r="AJ5541" t="s">
        <v>8698</v>
      </c>
      <c r="AK5541">
        <v>2810316275</v>
      </c>
      <c r="AL5541" t="s">
        <v>8699</v>
      </c>
      <c r="AM5541" t="s">
        <v>78</v>
      </c>
      <c r="AN5541" t="s">
        <v>78</v>
      </c>
      <c r="AO5541" t="s">
        <v>78</v>
      </c>
      <c r="AP5541" t="s">
        <v>141</v>
      </c>
      <c r="AQ5541">
        <v>1</v>
      </c>
      <c r="AR5541" t="s">
        <v>80</v>
      </c>
      <c r="AS5541" t="s">
        <v>81</v>
      </c>
      <c r="AT5541" t="s">
        <v>58</v>
      </c>
      <c r="AU5541" t="s">
        <v>68</v>
      </c>
      <c r="AV5541" t="s">
        <v>69</v>
      </c>
      <c r="AW5541" s="1">
        <v>24583</v>
      </c>
      <c r="AX5541">
        <v>1</v>
      </c>
    </row>
    <row r="5542" spans="1:50">
      <c r="A5542">
        <v>601052</v>
      </c>
      <c r="B5542" t="str">
        <f>"066317466"</f>
        <v>066317466</v>
      </c>
      <c r="C5542" t="s">
        <v>105</v>
      </c>
      <c r="D5542" t="s">
        <v>9883</v>
      </c>
      <c r="E5542" t="s">
        <v>84</v>
      </c>
      <c r="F5542" t="s">
        <v>95</v>
      </c>
      <c r="G5542" t="s">
        <v>620</v>
      </c>
      <c r="H5542" t="str">
        <f>"ΓΙΟΥΧΤΑ 1Β ΗΡΑΚΛΕΙΟ"</f>
        <v>ΓΙΟΥΧΤΑ 1Β ΗΡΑΚΛΕΙΟ</v>
      </c>
      <c r="I5542">
        <v>71307</v>
      </c>
      <c r="J5542">
        <v>2810235193</v>
      </c>
      <c r="K5542">
        <v>6936787209</v>
      </c>
      <c r="N5542" t="s">
        <v>615</v>
      </c>
      <c r="O5542" t="s">
        <v>616</v>
      </c>
      <c r="R5542" t="s">
        <v>57</v>
      </c>
      <c r="S5542">
        <v>8</v>
      </c>
      <c r="T5542">
        <v>207</v>
      </c>
      <c r="U5542" s="1">
        <v>37866</v>
      </c>
      <c r="V5542" t="s">
        <v>80</v>
      </c>
      <c r="W5542" t="s">
        <v>81</v>
      </c>
      <c r="X5542" t="s">
        <v>58</v>
      </c>
      <c r="Y5542">
        <v>22</v>
      </c>
      <c r="Z5542" t="s">
        <v>59</v>
      </c>
      <c r="AA5542" t="s">
        <v>59</v>
      </c>
      <c r="AB5542" t="s">
        <v>59</v>
      </c>
      <c r="AC5542" t="s">
        <v>59</v>
      </c>
      <c r="AD5542" t="s">
        <v>59</v>
      </c>
      <c r="AF5542" s="1">
        <v>37866</v>
      </c>
      <c r="AG5542" t="s">
        <v>8645</v>
      </c>
      <c r="AH5542" t="s">
        <v>8646</v>
      </c>
      <c r="AI5542" t="str">
        <f>"9170560"</f>
        <v>9170560</v>
      </c>
      <c r="AJ5542" t="s">
        <v>9022</v>
      </c>
      <c r="AK5542">
        <v>2810821816</v>
      </c>
      <c r="AL5542" t="s">
        <v>9023</v>
      </c>
      <c r="AM5542" t="s">
        <v>78</v>
      </c>
      <c r="AN5542" t="s">
        <v>129</v>
      </c>
      <c r="AO5542" t="s">
        <v>130</v>
      </c>
      <c r="AP5542" t="s">
        <v>130</v>
      </c>
      <c r="AQ5542">
        <v>1</v>
      </c>
      <c r="AR5542" t="s">
        <v>80</v>
      </c>
      <c r="AS5542" t="s">
        <v>81</v>
      </c>
      <c r="AT5542" t="s">
        <v>58</v>
      </c>
      <c r="AU5542" t="s">
        <v>68</v>
      </c>
      <c r="AV5542" t="s">
        <v>69</v>
      </c>
      <c r="AW5542" s="1">
        <v>25879</v>
      </c>
      <c r="AX5542">
        <v>1</v>
      </c>
    </row>
    <row r="5543" spans="1:50">
      <c r="A5543">
        <v>607110</v>
      </c>
      <c r="B5543" t="str">
        <f>"064553812"</f>
        <v>064553812</v>
      </c>
      <c r="C5543" t="s">
        <v>50</v>
      </c>
      <c r="D5543" t="s">
        <v>1699</v>
      </c>
      <c r="E5543" t="s">
        <v>52</v>
      </c>
      <c r="F5543" t="s">
        <v>95</v>
      </c>
      <c r="G5543" t="s">
        <v>83</v>
      </c>
      <c r="H5543" t="str">
        <f>"Μ. ΣΚΛΑΒΟΥ 22  ΗΡΑΚΛΕΙΟ "</f>
        <v xml:space="preserve">Μ. ΣΚΛΑΒΟΥ 22  ΗΡΑΚΛΕΙΟ </v>
      </c>
      <c r="I5543">
        <v>71304</v>
      </c>
      <c r="J5543">
        <v>2810318659</v>
      </c>
      <c r="K5543">
        <v>6936063489</v>
      </c>
      <c r="N5543" t="s">
        <v>615</v>
      </c>
      <c r="O5543" t="s">
        <v>616</v>
      </c>
      <c r="R5543" t="s">
        <v>57</v>
      </c>
      <c r="S5543">
        <v>7</v>
      </c>
      <c r="T5543">
        <v>217</v>
      </c>
      <c r="U5543" s="1">
        <v>38596</v>
      </c>
      <c r="V5543" t="s">
        <v>80</v>
      </c>
      <c r="W5543" t="s">
        <v>81</v>
      </c>
      <c r="X5543" t="s">
        <v>58</v>
      </c>
      <c r="Y5543">
        <v>22</v>
      </c>
      <c r="Z5543" t="s">
        <v>59</v>
      </c>
      <c r="AA5543" t="s">
        <v>59</v>
      </c>
      <c r="AB5543" t="s">
        <v>59</v>
      </c>
      <c r="AC5543" t="s">
        <v>59</v>
      </c>
      <c r="AD5543" t="s">
        <v>59</v>
      </c>
      <c r="AF5543" s="1">
        <v>38600</v>
      </c>
      <c r="AG5543" t="s">
        <v>8645</v>
      </c>
      <c r="AH5543" t="s">
        <v>8646</v>
      </c>
      <c r="AI5543" t="str">
        <f>"9521091"</f>
        <v>9521091</v>
      </c>
      <c r="AJ5543" t="s">
        <v>8959</v>
      </c>
      <c r="AK5543">
        <v>2810370360</v>
      </c>
      <c r="AL5543" t="s">
        <v>8960</v>
      </c>
      <c r="AM5543" t="s">
        <v>78</v>
      </c>
      <c r="AN5543" t="s">
        <v>129</v>
      </c>
      <c r="AO5543" t="s">
        <v>130</v>
      </c>
      <c r="AP5543" t="s">
        <v>130</v>
      </c>
      <c r="AQ5543">
        <v>1</v>
      </c>
      <c r="AR5543" t="s">
        <v>80</v>
      </c>
      <c r="AS5543" t="s">
        <v>81</v>
      </c>
      <c r="AT5543" t="s">
        <v>58</v>
      </c>
      <c r="AU5543" t="s">
        <v>68</v>
      </c>
      <c r="AV5543" t="s">
        <v>69</v>
      </c>
      <c r="AW5543" s="1">
        <v>27034</v>
      </c>
      <c r="AX5543">
        <v>1</v>
      </c>
    </row>
    <row r="5544" spans="1:50">
      <c r="A5544">
        <v>572326</v>
      </c>
      <c r="B5544" t="str">
        <f>"038838060"</f>
        <v>038838060</v>
      </c>
      <c r="C5544" t="s">
        <v>50</v>
      </c>
      <c r="D5544" t="s">
        <v>1699</v>
      </c>
      <c r="E5544" t="s">
        <v>3706</v>
      </c>
      <c r="F5544" t="s">
        <v>95</v>
      </c>
      <c r="G5544" t="s">
        <v>1912</v>
      </c>
      <c r="H5544" t="str">
        <f>" "</f>
        <v xml:space="preserve"> </v>
      </c>
      <c r="N5544" t="s">
        <v>306</v>
      </c>
      <c r="O5544" t="s">
        <v>307</v>
      </c>
      <c r="R5544" t="s">
        <v>57</v>
      </c>
      <c r="S5544">
        <v>13</v>
      </c>
      <c r="T5544">
        <v>154</v>
      </c>
      <c r="U5544" s="1">
        <v>34225</v>
      </c>
      <c r="V5544" t="s">
        <v>80</v>
      </c>
      <c r="W5544" t="s">
        <v>81</v>
      </c>
      <c r="X5544" t="s">
        <v>58</v>
      </c>
      <c r="Y5544">
        <v>21</v>
      </c>
      <c r="Z5544" t="s">
        <v>59</v>
      </c>
      <c r="AA5544" t="s">
        <v>59</v>
      </c>
      <c r="AB5544" t="s">
        <v>59</v>
      </c>
      <c r="AC5544" t="s">
        <v>59</v>
      </c>
      <c r="AD5544" t="s">
        <v>59</v>
      </c>
      <c r="AF5544" s="1">
        <v>34226</v>
      </c>
      <c r="AG5544" t="s">
        <v>8645</v>
      </c>
      <c r="AH5544" t="s">
        <v>8646</v>
      </c>
      <c r="AI5544" t="str">
        <f>"9170494"</f>
        <v>9170494</v>
      </c>
      <c r="AJ5544" t="s">
        <v>9125</v>
      </c>
      <c r="AK5544">
        <v>2810228361</v>
      </c>
      <c r="AL5544" t="s">
        <v>9126</v>
      </c>
      <c r="AM5544" t="s">
        <v>78</v>
      </c>
      <c r="AN5544" t="s">
        <v>78</v>
      </c>
      <c r="AO5544" t="s">
        <v>78</v>
      </c>
      <c r="AP5544" t="s">
        <v>79</v>
      </c>
      <c r="AQ5544">
        <v>1</v>
      </c>
      <c r="AR5544" t="s">
        <v>80</v>
      </c>
      <c r="AS5544" t="s">
        <v>81</v>
      </c>
      <c r="AT5544" t="s">
        <v>58</v>
      </c>
      <c r="AU5544" t="s">
        <v>68</v>
      </c>
      <c r="AV5544" t="s">
        <v>69</v>
      </c>
      <c r="AW5544" s="1">
        <v>24011</v>
      </c>
      <c r="AX5544">
        <v>1</v>
      </c>
    </row>
    <row r="5545" spans="1:50">
      <c r="A5545">
        <v>553391</v>
      </c>
      <c r="B5545" t="str">
        <f>"028113213"</f>
        <v>028113213</v>
      </c>
      <c r="C5545" t="s">
        <v>105</v>
      </c>
      <c r="D5545" t="s">
        <v>1897</v>
      </c>
      <c r="E5545" t="s">
        <v>95</v>
      </c>
      <c r="F5545" t="s">
        <v>9884</v>
      </c>
      <c r="G5545" t="s">
        <v>54</v>
      </c>
      <c r="H5545" t="str">
        <f>"Γ. ΑΜΑΡΓΙΑΝΝΑΚΗ 15 ΗΡΑΚΛΕΙΟ"</f>
        <v>Γ. ΑΜΑΡΓΙΑΝΝΑΚΗ 15 ΗΡΑΚΛΕΙΟ</v>
      </c>
      <c r="I5545">
        <v>71409</v>
      </c>
      <c r="K5545">
        <v>6974041703</v>
      </c>
      <c r="N5545" t="s">
        <v>615</v>
      </c>
      <c r="O5545" t="s">
        <v>616</v>
      </c>
      <c r="R5545" t="s">
        <v>57</v>
      </c>
      <c r="S5545">
        <v>17</v>
      </c>
      <c r="T5545">
        <v>393</v>
      </c>
      <c r="U5545" s="1">
        <v>30655</v>
      </c>
      <c r="V5545" t="s">
        <v>80</v>
      </c>
      <c r="W5545" t="s">
        <v>81</v>
      </c>
      <c r="X5545" t="s">
        <v>58</v>
      </c>
      <c r="Y5545">
        <v>21</v>
      </c>
      <c r="Z5545" t="s">
        <v>59</v>
      </c>
      <c r="AA5545" t="s">
        <v>59</v>
      </c>
      <c r="AB5545" t="s">
        <v>59</v>
      </c>
      <c r="AC5545" t="s">
        <v>59</v>
      </c>
      <c r="AD5545" t="s">
        <v>59</v>
      </c>
      <c r="AF5545" s="1">
        <v>30666</v>
      </c>
      <c r="AG5545" t="s">
        <v>8645</v>
      </c>
      <c r="AH5545" t="s">
        <v>8646</v>
      </c>
      <c r="AI5545" t="str">
        <f>"9170102"</f>
        <v>9170102</v>
      </c>
      <c r="AJ5545" t="s">
        <v>9019</v>
      </c>
      <c r="AK5545">
        <v>2810283938</v>
      </c>
      <c r="AL5545" t="s">
        <v>9020</v>
      </c>
      <c r="AM5545" t="s">
        <v>78</v>
      </c>
      <c r="AN5545" t="s">
        <v>78</v>
      </c>
      <c r="AO5545" t="s">
        <v>78</v>
      </c>
      <c r="AP5545" t="s">
        <v>79</v>
      </c>
      <c r="AQ5545">
        <v>1</v>
      </c>
      <c r="AR5545" t="s">
        <v>80</v>
      </c>
      <c r="AS5545" t="s">
        <v>81</v>
      </c>
      <c r="AT5545" t="s">
        <v>58</v>
      </c>
      <c r="AU5545" t="s">
        <v>68</v>
      </c>
      <c r="AV5545" t="s">
        <v>69</v>
      </c>
      <c r="AW5545" s="1">
        <v>21803</v>
      </c>
      <c r="AX5545">
        <v>1</v>
      </c>
    </row>
    <row r="5546" spans="1:50">
      <c r="B5546" t="str">
        <f>"116672373"</f>
        <v>116672373</v>
      </c>
      <c r="C5546" t="s">
        <v>50</v>
      </c>
      <c r="D5546" t="s">
        <v>9885</v>
      </c>
      <c r="E5546" t="s">
        <v>52</v>
      </c>
      <c r="F5546" t="s">
        <v>315</v>
      </c>
      <c r="G5546" t="s">
        <v>860</v>
      </c>
      <c r="H5546" t="str">
        <f>"ΑΡΝΑΙΑ  ΑΡΝΑΙΑΣ"</f>
        <v>ΑΡΝΑΙΑ  ΑΡΝΑΙΑΣ</v>
      </c>
      <c r="I5546">
        <v>63074</v>
      </c>
      <c r="K5546">
        <v>6980320108</v>
      </c>
      <c r="N5546" t="s">
        <v>8694</v>
      </c>
      <c r="O5546" t="s">
        <v>8695</v>
      </c>
      <c r="R5546" t="s">
        <v>159</v>
      </c>
      <c r="S5546">
        <v>1</v>
      </c>
      <c r="T5546" t="s">
        <v>8696</v>
      </c>
      <c r="U5546" s="1">
        <v>43348</v>
      </c>
      <c r="V5546" t="s">
        <v>80</v>
      </c>
      <c r="W5546" t="s">
        <v>81</v>
      </c>
      <c r="X5546" t="s">
        <v>58</v>
      </c>
      <c r="Y5546">
        <v>24</v>
      </c>
      <c r="Z5546" t="s">
        <v>59</v>
      </c>
      <c r="AA5546" t="s">
        <v>59</v>
      </c>
      <c r="AB5546" t="s">
        <v>59</v>
      </c>
      <c r="AD5546" t="s">
        <v>59</v>
      </c>
      <c r="AF5546" s="1">
        <v>43348</v>
      </c>
      <c r="AG5546" t="s">
        <v>8645</v>
      </c>
      <c r="AH5546" t="s">
        <v>8646</v>
      </c>
      <c r="AI5546" t="str">
        <f>"9170068"</f>
        <v>9170068</v>
      </c>
      <c r="AJ5546" t="s">
        <v>8773</v>
      </c>
      <c r="AK5546">
        <v>2893031217</v>
      </c>
      <c r="AL5546" t="s">
        <v>8774</v>
      </c>
      <c r="AM5546" t="s">
        <v>78</v>
      </c>
      <c r="AN5546" t="s">
        <v>405</v>
      </c>
      <c r="AO5546" t="s">
        <v>805</v>
      </c>
      <c r="AP5546" t="s">
        <v>806</v>
      </c>
      <c r="AQ5546">
        <v>15</v>
      </c>
      <c r="AR5546" t="s">
        <v>80</v>
      </c>
      <c r="AS5546" t="s">
        <v>81</v>
      </c>
      <c r="AT5546" t="s">
        <v>58</v>
      </c>
      <c r="AU5546" t="s">
        <v>350</v>
      </c>
      <c r="AV5546" t="s">
        <v>132</v>
      </c>
      <c r="AW5546" s="1">
        <v>33771</v>
      </c>
      <c r="AX5546">
        <v>1</v>
      </c>
    </row>
    <row r="5547" spans="1:50">
      <c r="A5547">
        <v>591045</v>
      </c>
      <c r="B5547" t="str">
        <f>"064571239"</f>
        <v>064571239</v>
      </c>
      <c r="C5547" t="s">
        <v>50</v>
      </c>
      <c r="D5547" t="s">
        <v>9886</v>
      </c>
      <c r="E5547" t="s">
        <v>620</v>
      </c>
      <c r="F5547" t="s">
        <v>72</v>
      </c>
      <c r="G5547" t="s">
        <v>396</v>
      </c>
      <c r="H5547" t="str">
        <f>" "</f>
        <v xml:space="preserve"> </v>
      </c>
      <c r="N5547" t="s">
        <v>615</v>
      </c>
      <c r="O5547" t="s">
        <v>616</v>
      </c>
      <c r="R5547" t="s">
        <v>57</v>
      </c>
      <c r="S5547">
        <v>11</v>
      </c>
      <c r="T5547">
        <v>249</v>
      </c>
      <c r="U5547" s="1">
        <v>36769</v>
      </c>
      <c r="V5547" t="s">
        <v>80</v>
      </c>
      <c r="W5547" t="s">
        <v>81</v>
      </c>
      <c r="X5547" t="s">
        <v>58</v>
      </c>
      <c r="Y5547">
        <v>22</v>
      </c>
      <c r="Z5547" t="s">
        <v>59</v>
      </c>
      <c r="AA5547" t="s">
        <v>59</v>
      </c>
      <c r="AB5547" t="s">
        <v>59</v>
      </c>
      <c r="AC5547" t="s">
        <v>59</v>
      </c>
      <c r="AD5547" t="s">
        <v>59</v>
      </c>
      <c r="AF5547" s="1">
        <v>36770</v>
      </c>
      <c r="AG5547" t="s">
        <v>8645</v>
      </c>
      <c r="AH5547" t="s">
        <v>8646</v>
      </c>
      <c r="AI5547" t="str">
        <f>"9170206"</f>
        <v>9170206</v>
      </c>
      <c r="AJ5547" t="s">
        <v>8972</v>
      </c>
      <c r="AK5547">
        <v>2810761137</v>
      </c>
      <c r="AL5547" t="s">
        <v>8973</v>
      </c>
      <c r="AM5547" t="s">
        <v>78</v>
      </c>
      <c r="AN5547" t="s">
        <v>219</v>
      </c>
      <c r="AO5547" t="s">
        <v>297</v>
      </c>
      <c r="AP5547" t="s">
        <v>8796</v>
      </c>
      <c r="AQ5547">
        <v>7</v>
      </c>
      <c r="AR5547" t="s">
        <v>80</v>
      </c>
      <c r="AS5547" t="s">
        <v>81</v>
      </c>
      <c r="AT5547" t="s">
        <v>58</v>
      </c>
      <c r="AU5547" t="s">
        <v>68</v>
      </c>
      <c r="AV5547" t="s">
        <v>69</v>
      </c>
      <c r="AW5547" s="1">
        <v>23759</v>
      </c>
      <c r="AX5547">
        <v>1</v>
      </c>
    </row>
    <row r="5548" spans="1:50">
      <c r="B5548" t="str">
        <f>"138997559"</f>
        <v>138997559</v>
      </c>
      <c r="C5548" t="s">
        <v>50</v>
      </c>
      <c r="D5548" t="s">
        <v>9887</v>
      </c>
      <c r="E5548" t="s">
        <v>237</v>
      </c>
      <c r="F5548" t="s">
        <v>99</v>
      </c>
      <c r="G5548" t="s">
        <v>52</v>
      </c>
      <c r="H5548" t="str">
        <f>" "</f>
        <v xml:space="preserve"> </v>
      </c>
      <c r="K5548">
        <v>6951734038</v>
      </c>
      <c r="N5548" t="s">
        <v>8834</v>
      </c>
      <c r="O5548" t="s">
        <v>8695</v>
      </c>
      <c r="R5548" t="s">
        <v>159</v>
      </c>
      <c r="S5548">
        <v>3</v>
      </c>
      <c r="T5548" t="s">
        <v>8696</v>
      </c>
      <c r="U5548" s="1">
        <v>43348</v>
      </c>
      <c r="V5548" t="s">
        <v>80</v>
      </c>
      <c r="W5548" t="s">
        <v>81</v>
      </c>
      <c r="X5548" t="s">
        <v>58</v>
      </c>
      <c r="Y5548">
        <v>24</v>
      </c>
      <c r="Z5548" t="s">
        <v>59</v>
      </c>
      <c r="AA5548" t="s">
        <v>59</v>
      </c>
      <c r="AB5548" t="s">
        <v>59</v>
      </c>
      <c r="AD5548" t="s">
        <v>59</v>
      </c>
      <c r="AF5548" s="1">
        <v>43348</v>
      </c>
      <c r="AG5548" t="s">
        <v>8645</v>
      </c>
      <c r="AH5548" t="s">
        <v>8646</v>
      </c>
      <c r="AI5548" t="str">
        <f>"9170536"</f>
        <v>9170536</v>
      </c>
      <c r="AJ5548" t="s">
        <v>8740</v>
      </c>
      <c r="AK5548">
        <v>2892051187</v>
      </c>
      <c r="AL5548" t="s">
        <v>8741</v>
      </c>
      <c r="AM5548" t="s">
        <v>78</v>
      </c>
      <c r="AN5548" t="s">
        <v>242</v>
      </c>
      <c r="AO5548" t="s">
        <v>349</v>
      </c>
      <c r="AP5548" t="s">
        <v>349</v>
      </c>
      <c r="AQ5548">
        <v>19</v>
      </c>
      <c r="AR5548" t="s">
        <v>80</v>
      </c>
      <c r="AS5548" t="s">
        <v>81</v>
      </c>
      <c r="AT5548" t="s">
        <v>58</v>
      </c>
      <c r="AU5548" t="s">
        <v>350</v>
      </c>
      <c r="AV5548" t="s">
        <v>132</v>
      </c>
      <c r="AW5548" s="1">
        <v>33146</v>
      </c>
      <c r="AX5548">
        <v>1</v>
      </c>
    </row>
    <row r="5549" spans="1:50">
      <c r="A5549">
        <v>593882</v>
      </c>
      <c r="B5549" t="str">
        <f>"073210352"</f>
        <v>073210352</v>
      </c>
      <c r="C5549" t="s">
        <v>50</v>
      </c>
      <c r="D5549" t="s">
        <v>9888</v>
      </c>
      <c r="E5549" t="s">
        <v>630</v>
      </c>
      <c r="F5549" t="s">
        <v>9889</v>
      </c>
      <c r="G5549" t="s">
        <v>3249</v>
      </c>
      <c r="H5549" t="str">
        <f>" "</f>
        <v xml:space="preserve"> </v>
      </c>
      <c r="N5549" t="s">
        <v>615</v>
      </c>
      <c r="O5549" t="s">
        <v>616</v>
      </c>
      <c r="R5549" t="s">
        <v>57</v>
      </c>
      <c r="S5549">
        <v>8</v>
      </c>
      <c r="T5549">
        <v>218</v>
      </c>
      <c r="U5549" s="1">
        <v>37134</v>
      </c>
      <c r="V5549" t="s">
        <v>80</v>
      </c>
      <c r="W5549" t="s">
        <v>81</v>
      </c>
      <c r="X5549" t="s">
        <v>58</v>
      </c>
      <c r="Y5549">
        <v>22</v>
      </c>
      <c r="Z5549" t="s">
        <v>59</v>
      </c>
      <c r="AA5549" t="s">
        <v>59</v>
      </c>
      <c r="AB5549" t="s">
        <v>59</v>
      </c>
      <c r="AC5549" t="s">
        <v>59</v>
      </c>
      <c r="AD5549" t="s">
        <v>59</v>
      </c>
      <c r="AF5549" s="1">
        <v>37139</v>
      </c>
      <c r="AG5549" t="s">
        <v>8645</v>
      </c>
      <c r="AH5549" t="s">
        <v>8646</v>
      </c>
      <c r="AI5549" t="str">
        <f>"9170549"</f>
        <v>9170549</v>
      </c>
      <c r="AJ5549" t="s">
        <v>8778</v>
      </c>
      <c r="AK5549">
        <v>2810751800</v>
      </c>
      <c r="AL5549" t="s">
        <v>8779</v>
      </c>
      <c r="AM5549" t="s">
        <v>78</v>
      </c>
      <c r="AN5549" t="s">
        <v>424</v>
      </c>
      <c r="AO5549" t="s">
        <v>425</v>
      </c>
      <c r="AP5549" t="s">
        <v>425</v>
      </c>
      <c r="AQ5549">
        <v>11</v>
      </c>
      <c r="AR5549" t="s">
        <v>80</v>
      </c>
      <c r="AS5549" t="s">
        <v>81</v>
      </c>
      <c r="AT5549" t="s">
        <v>58</v>
      </c>
      <c r="AU5549" t="s">
        <v>68</v>
      </c>
      <c r="AV5549" t="s">
        <v>69</v>
      </c>
      <c r="AW5549" s="1">
        <v>26070</v>
      </c>
      <c r="AX5549">
        <v>1</v>
      </c>
    </row>
    <row r="5550" spans="1:50">
      <c r="B5550" t="str">
        <f>"142375141"</f>
        <v>142375141</v>
      </c>
      <c r="C5550" t="s">
        <v>50</v>
      </c>
      <c r="D5550" t="s">
        <v>9890</v>
      </c>
      <c r="E5550" t="s">
        <v>9891</v>
      </c>
      <c r="F5550" t="s">
        <v>84</v>
      </c>
      <c r="G5550" t="s">
        <v>83</v>
      </c>
      <c r="H5550" t="str">
        <f>"ΟΘΩΝΟΣ    13 "</f>
        <v xml:space="preserve">ΟΘΩΝΟΣ    13 </v>
      </c>
      <c r="I5550">
        <v>35100</v>
      </c>
      <c r="J5550">
        <v>2231028137</v>
      </c>
      <c r="K5550">
        <v>6976767482</v>
      </c>
      <c r="N5550" t="s">
        <v>615</v>
      </c>
      <c r="O5550" t="s">
        <v>616</v>
      </c>
      <c r="R5550" t="s">
        <v>159</v>
      </c>
      <c r="S5550">
        <v>3</v>
      </c>
      <c r="T5550" t="s">
        <v>8675</v>
      </c>
      <c r="U5550" s="1">
        <v>43348</v>
      </c>
      <c r="V5550" t="s">
        <v>80</v>
      </c>
      <c r="W5550" t="s">
        <v>81</v>
      </c>
      <c r="X5550" t="s">
        <v>58</v>
      </c>
      <c r="Y5550">
        <v>24</v>
      </c>
      <c r="Z5550" t="s">
        <v>59</v>
      </c>
      <c r="AA5550" t="s">
        <v>59</v>
      </c>
      <c r="AB5550" t="s">
        <v>59</v>
      </c>
      <c r="AC5550" t="s">
        <v>59</v>
      </c>
      <c r="AD5550" t="s">
        <v>59</v>
      </c>
      <c r="AF5550" s="1">
        <v>43348</v>
      </c>
      <c r="AG5550" t="s">
        <v>8645</v>
      </c>
      <c r="AH5550" t="s">
        <v>8676</v>
      </c>
      <c r="AI5550" t="str">
        <f>"9170284"</f>
        <v>9170284</v>
      </c>
      <c r="AJ5550" t="s">
        <v>9444</v>
      </c>
      <c r="AK5550">
        <v>2892031320</v>
      </c>
      <c r="AL5550" t="s">
        <v>9445</v>
      </c>
      <c r="AM5550" t="s">
        <v>78</v>
      </c>
      <c r="AN5550" t="s">
        <v>405</v>
      </c>
      <c r="AO5550" t="s">
        <v>405</v>
      </c>
      <c r="AP5550" t="s">
        <v>9446</v>
      </c>
      <c r="AQ5550">
        <v>17</v>
      </c>
      <c r="AR5550" t="s">
        <v>80</v>
      </c>
      <c r="AS5550" t="s">
        <v>81</v>
      </c>
      <c r="AT5550" t="s">
        <v>58</v>
      </c>
      <c r="AU5550" t="s">
        <v>8673</v>
      </c>
      <c r="AV5550" t="s">
        <v>132</v>
      </c>
      <c r="AW5550" s="1">
        <v>32105</v>
      </c>
      <c r="AX5550">
        <v>1</v>
      </c>
    </row>
    <row r="5551" spans="1:50">
      <c r="A5551">
        <v>704250</v>
      </c>
      <c r="B5551" t="str">
        <f>"064574844"</f>
        <v>064574844</v>
      </c>
      <c r="C5551" t="s">
        <v>50</v>
      </c>
      <c r="D5551" t="s">
        <v>1709</v>
      </c>
      <c r="E5551" t="s">
        <v>9892</v>
      </c>
      <c r="F5551" t="s">
        <v>72</v>
      </c>
      <c r="G5551" t="s">
        <v>1189</v>
      </c>
      <c r="H5551" t="str">
        <f>" "</f>
        <v xml:space="preserve"> </v>
      </c>
      <c r="J5551">
        <v>2811758526</v>
      </c>
      <c r="K5551">
        <v>6907368880</v>
      </c>
      <c r="N5551" t="s">
        <v>306</v>
      </c>
      <c r="O5551" t="s">
        <v>307</v>
      </c>
      <c r="R5551" t="s">
        <v>121</v>
      </c>
      <c r="S5551">
        <v>5</v>
      </c>
      <c r="T5551">
        <v>796</v>
      </c>
      <c r="U5551" s="1">
        <v>42968</v>
      </c>
      <c r="V5551" t="s">
        <v>80</v>
      </c>
      <c r="W5551" t="s">
        <v>81</v>
      </c>
      <c r="X5551" t="s">
        <v>58</v>
      </c>
      <c r="Y5551">
        <v>23</v>
      </c>
      <c r="Z5551" t="s">
        <v>59</v>
      </c>
      <c r="AA5551" t="s">
        <v>59</v>
      </c>
      <c r="AB5551" t="s">
        <v>452</v>
      </c>
      <c r="AC5551" t="s">
        <v>59</v>
      </c>
      <c r="AD5551" t="s">
        <v>59</v>
      </c>
      <c r="AF5551" s="1">
        <v>42971</v>
      </c>
      <c r="AG5551" t="s">
        <v>8645</v>
      </c>
      <c r="AH5551" t="s">
        <v>8646</v>
      </c>
      <c r="AI5551" t="str">
        <f>"9170222"</f>
        <v>9170222</v>
      </c>
      <c r="AJ5551" t="s">
        <v>9404</v>
      </c>
      <c r="AK5551">
        <v>2810781325</v>
      </c>
      <c r="AL5551" t="s">
        <v>9405</v>
      </c>
      <c r="AM5551" t="s">
        <v>78</v>
      </c>
      <c r="AN5551" t="s">
        <v>219</v>
      </c>
      <c r="AO5551" t="s">
        <v>297</v>
      </c>
      <c r="AP5551" t="s">
        <v>9406</v>
      </c>
      <c r="AQ5551">
        <v>7</v>
      </c>
      <c r="AR5551" t="s">
        <v>80</v>
      </c>
      <c r="AS5551" t="s">
        <v>81</v>
      </c>
      <c r="AT5551" t="s">
        <v>58</v>
      </c>
      <c r="AU5551" t="s">
        <v>68</v>
      </c>
      <c r="AV5551" t="s">
        <v>69</v>
      </c>
      <c r="AW5551" s="1">
        <v>27847</v>
      </c>
      <c r="AX5551">
        <v>1</v>
      </c>
    </row>
    <row r="5552" spans="1:50">
      <c r="A5552">
        <v>570471</v>
      </c>
      <c r="B5552" t="str">
        <f>"051752455"</f>
        <v>051752455</v>
      </c>
      <c r="C5552" t="s">
        <v>50</v>
      </c>
      <c r="D5552" t="s">
        <v>9893</v>
      </c>
      <c r="E5552" t="s">
        <v>73</v>
      </c>
      <c r="F5552" t="s">
        <v>5386</v>
      </c>
      <c r="G5552" t="s">
        <v>143</v>
      </c>
      <c r="H5552" t="str">
        <f>"ΣΤΕΦΑΝΟΓΙΑΝΝΗ 36Α  ΗΡΑΚΛΕΙΟ"</f>
        <v>ΣΤΕΦΑΝΟΓΙΑΝΝΗ 36Α  ΗΡΑΚΛΕΙΟ</v>
      </c>
      <c r="I5552">
        <v>71414</v>
      </c>
      <c r="J5552">
        <v>2810315270</v>
      </c>
      <c r="K5552">
        <v>6973313459</v>
      </c>
      <c r="N5552" t="s">
        <v>615</v>
      </c>
      <c r="O5552" t="s">
        <v>616</v>
      </c>
      <c r="R5552" t="s">
        <v>57</v>
      </c>
      <c r="S5552">
        <v>14</v>
      </c>
      <c r="T5552">
        <v>138</v>
      </c>
      <c r="U5552" s="1">
        <v>34206</v>
      </c>
      <c r="V5552" t="s">
        <v>80</v>
      </c>
      <c r="W5552" t="s">
        <v>81</v>
      </c>
      <c r="X5552" t="s">
        <v>58</v>
      </c>
      <c r="Y5552">
        <v>21</v>
      </c>
      <c r="Z5552" t="s">
        <v>59</v>
      </c>
      <c r="AA5552" t="s">
        <v>59</v>
      </c>
      <c r="AB5552" t="s">
        <v>59</v>
      </c>
      <c r="AC5552" t="s">
        <v>59</v>
      </c>
      <c r="AD5552" t="s">
        <v>59</v>
      </c>
      <c r="AF5552" s="1">
        <v>34213</v>
      </c>
      <c r="AG5552" t="s">
        <v>8645</v>
      </c>
      <c r="AH5552" t="s">
        <v>8646</v>
      </c>
      <c r="AI5552" t="str">
        <f>"9170107"</f>
        <v>9170107</v>
      </c>
      <c r="AJ5552" t="s">
        <v>8798</v>
      </c>
      <c r="AK5552">
        <v>2810282405</v>
      </c>
      <c r="AL5552" t="s">
        <v>8799</v>
      </c>
      <c r="AM5552" t="s">
        <v>78</v>
      </c>
      <c r="AN5552" t="s">
        <v>78</v>
      </c>
      <c r="AO5552" t="s">
        <v>78</v>
      </c>
      <c r="AP5552" t="s">
        <v>79</v>
      </c>
      <c r="AQ5552">
        <v>1</v>
      </c>
      <c r="AR5552" t="s">
        <v>80</v>
      </c>
      <c r="AS5552" t="s">
        <v>81</v>
      </c>
      <c r="AT5552" t="s">
        <v>58</v>
      </c>
      <c r="AU5552" t="s">
        <v>68</v>
      </c>
      <c r="AV5552" t="s">
        <v>2039</v>
      </c>
      <c r="AW5552" s="1">
        <v>24170</v>
      </c>
      <c r="AX5552">
        <v>1</v>
      </c>
    </row>
    <row r="5553" spans="1:50">
      <c r="A5553">
        <v>582473</v>
      </c>
      <c r="B5553" t="str">
        <f>"038146147"</f>
        <v>038146147</v>
      </c>
      <c r="C5553" t="s">
        <v>50</v>
      </c>
      <c r="D5553" t="s">
        <v>1715</v>
      </c>
      <c r="E5553" t="s">
        <v>341</v>
      </c>
      <c r="F5553" t="s">
        <v>1716</v>
      </c>
      <c r="G5553" t="s">
        <v>52</v>
      </c>
      <c r="H5553" t="str">
        <f>"ΒΡΑΧΟΚΗΠΟΣ - Τ.Θ. 172 ΚΟΚΚΙΝΗ ΧΑΝΙ"</f>
        <v>ΒΡΑΧΟΚΗΠΟΣ - Τ.Θ. 172 ΚΟΚΚΙΝΗ ΧΑΝΙ</v>
      </c>
      <c r="I5553">
        <v>71500</v>
      </c>
      <c r="J5553">
        <v>2810762580</v>
      </c>
      <c r="K5553">
        <v>6936060405</v>
      </c>
      <c r="M5553" t="s">
        <v>9894</v>
      </c>
      <c r="N5553" t="s">
        <v>615</v>
      </c>
      <c r="O5553" t="s">
        <v>616</v>
      </c>
      <c r="R5553" t="s">
        <v>57</v>
      </c>
      <c r="S5553">
        <v>11</v>
      </c>
      <c r="T5553">
        <v>179</v>
      </c>
      <c r="U5553" s="1">
        <v>35674</v>
      </c>
      <c r="V5553" t="s">
        <v>80</v>
      </c>
      <c r="W5553" t="s">
        <v>81</v>
      </c>
      <c r="X5553" t="s">
        <v>58</v>
      </c>
      <c r="Y5553">
        <v>21</v>
      </c>
      <c r="Z5553" t="s">
        <v>59</v>
      </c>
      <c r="AA5553" t="s">
        <v>59</v>
      </c>
      <c r="AB5553" t="s">
        <v>59</v>
      </c>
      <c r="AC5553" t="s">
        <v>59</v>
      </c>
      <c r="AD5553" t="s">
        <v>59</v>
      </c>
      <c r="AF5553" s="1">
        <v>35675</v>
      </c>
      <c r="AG5553" t="s">
        <v>8645</v>
      </c>
      <c r="AH5553" t="s">
        <v>8646</v>
      </c>
      <c r="AI5553" t="str">
        <f>"9170206"</f>
        <v>9170206</v>
      </c>
      <c r="AJ5553" t="s">
        <v>8972</v>
      </c>
      <c r="AK5553">
        <v>2810761137</v>
      </c>
      <c r="AL5553" t="s">
        <v>8973</v>
      </c>
      <c r="AM5553" t="s">
        <v>78</v>
      </c>
      <c r="AN5553" t="s">
        <v>219</v>
      </c>
      <c r="AO5553" t="s">
        <v>297</v>
      </c>
      <c r="AP5553" t="s">
        <v>8796</v>
      </c>
      <c r="AQ5553">
        <v>7</v>
      </c>
      <c r="AR5553" t="s">
        <v>80</v>
      </c>
      <c r="AS5553" t="s">
        <v>81</v>
      </c>
      <c r="AT5553" t="s">
        <v>58</v>
      </c>
      <c r="AU5553" t="s">
        <v>68</v>
      </c>
      <c r="AV5553" t="s">
        <v>2039</v>
      </c>
      <c r="AW5553" s="1">
        <v>24823</v>
      </c>
      <c r="AX5553">
        <v>1</v>
      </c>
    </row>
    <row r="5554" spans="1:50">
      <c r="B5554" t="str">
        <f>"103680335"</f>
        <v>103680335</v>
      </c>
      <c r="C5554" t="s">
        <v>50</v>
      </c>
      <c r="D5554" t="s">
        <v>1715</v>
      </c>
      <c r="E5554" t="s">
        <v>7771</v>
      </c>
      <c r="F5554" t="s">
        <v>1716</v>
      </c>
      <c r="G5554" t="s">
        <v>9895</v>
      </c>
      <c r="H5554" t="str">
        <f>"ΔΕΛΦΩΝ  ΑΡΚΑΛΟΧΩΡΙ"</f>
        <v>ΔΕΛΦΩΝ  ΑΡΚΑΛΟΧΩΡΙ</v>
      </c>
      <c r="I5554">
        <v>70300</v>
      </c>
      <c r="J5554">
        <v>2891022149</v>
      </c>
      <c r="K5554">
        <v>6973664500</v>
      </c>
      <c r="N5554" t="s">
        <v>683</v>
      </c>
      <c r="O5554" t="s">
        <v>684</v>
      </c>
      <c r="R5554" t="s">
        <v>57</v>
      </c>
      <c r="S5554">
        <v>4</v>
      </c>
      <c r="T5554" t="s">
        <v>8675</v>
      </c>
      <c r="U5554" s="1">
        <v>43348</v>
      </c>
      <c r="V5554" t="s">
        <v>80</v>
      </c>
      <c r="W5554" t="s">
        <v>81</v>
      </c>
      <c r="X5554" t="s">
        <v>58</v>
      </c>
      <c r="Y5554">
        <v>24</v>
      </c>
      <c r="Z5554" t="s">
        <v>59</v>
      </c>
      <c r="AA5554" t="s">
        <v>59</v>
      </c>
      <c r="AB5554" t="s">
        <v>59</v>
      </c>
      <c r="AC5554" t="s">
        <v>59</v>
      </c>
      <c r="AD5554" t="s">
        <v>59</v>
      </c>
      <c r="AF5554" s="1">
        <v>43348</v>
      </c>
      <c r="AG5554" t="s">
        <v>8645</v>
      </c>
      <c r="AH5554" t="s">
        <v>8646</v>
      </c>
      <c r="AI5554" t="str">
        <f>"9170561"</f>
        <v>9170561</v>
      </c>
      <c r="AJ5554" t="s">
        <v>8708</v>
      </c>
      <c r="AK5554">
        <v>2891023609</v>
      </c>
      <c r="AL5554" t="s">
        <v>8709</v>
      </c>
      <c r="AM5554" t="s">
        <v>78</v>
      </c>
      <c r="AN5554" t="s">
        <v>276</v>
      </c>
      <c r="AO5554" t="s">
        <v>490</v>
      </c>
      <c r="AP5554" t="s">
        <v>490</v>
      </c>
      <c r="AQ5554">
        <v>12</v>
      </c>
      <c r="AR5554" t="s">
        <v>80</v>
      </c>
      <c r="AS5554" t="s">
        <v>81</v>
      </c>
      <c r="AT5554" t="s">
        <v>58</v>
      </c>
      <c r="AU5554" t="s">
        <v>8673</v>
      </c>
      <c r="AV5554" t="s">
        <v>132</v>
      </c>
      <c r="AW5554" s="1">
        <v>29221</v>
      </c>
      <c r="AX5554">
        <v>1</v>
      </c>
    </row>
    <row r="5555" spans="1:50">
      <c r="B5555" t="str">
        <f>"074170034"</f>
        <v>074170034</v>
      </c>
      <c r="C5555" t="s">
        <v>50</v>
      </c>
      <c r="D5555" t="s">
        <v>9896</v>
      </c>
      <c r="E5555" t="s">
        <v>238</v>
      </c>
      <c r="F5555" t="s">
        <v>8507</v>
      </c>
      <c r="G5555" t="s">
        <v>5038</v>
      </c>
      <c r="H5555" t="str">
        <f>"ΠΛ. ΚΑΝΕΛ. ΔΕΛΗΓΙΑΝΝΗ 21 ΤΡΙΠΟΛΗ"</f>
        <v>ΠΛ. ΚΑΝΕΛ. ΔΕΛΗΓΙΑΝΝΗ 21 ΤΡΙΠΟΛΗ</v>
      </c>
      <c r="I5555">
        <v>22100</v>
      </c>
      <c r="J5555">
        <v>2710241545</v>
      </c>
      <c r="K5555">
        <v>6945439544</v>
      </c>
      <c r="N5555" t="s">
        <v>176</v>
      </c>
      <c r="O5555" t="s">
        <v>177</v>
      </c>
      <c r="R5555" t="s">
        <v>159</v>
      </c>
      <c r="S5555">
        <v>4</v>
      </c>
      <c r="T5555" t="s">
        <v>8675</v>
      </c>
      <c r="U5555" s="1">
        <v>43348</v>
      </c>
      <c r="V5555" t="s">
        <v>80</v>
      </c>
      <c r="W5555" t="s">
        <v>81</v>
      </c>
      <c r="X5555" t="s">
        <v>58</v>
      </c>
      <c r="Y5555">
        <v>24</v>
      </c>
      <c r="Z5555" t="s">
        <v>59</v>
      </c>
      <c r="AA5555" t="s">
        <v>59</v>
      </c>
      <c r="AB5555" t="s">
        <v>59</v>
      </c>
      <c r="AC5555" t="s">
        <v>59</v>
      </c>
      <c r="AD5555" t="s">
        <v>59</v>
      </c>
      <c r="AF5555" s="1">
        <v>43348</v>
      </c>
      <c r="AG5555" t="s">
        <v>8645</v>
      </c>
      <c r="AH5555" t="s">
        <v>8646</v>
      </c>
      <c r="AI5555" t="str">
        <f>"9521412"</f>
        <v>9521412</v>
      </c>
      <c r="AJ5555" t="s">
        <v>8787</v>
      </c>
      <c r="AK5555">
        <v>2897025680</v>
      </c>
      <c r="AL5555" t="s">
        <v>8788</v>
      </c>
      <c r="AM5555" t="s">
        <v>78</v>
      </c>
      <c r="AN5555" t="s">
        <v>219</v>
      </c>
      <c r="AO5555" t="s">
        <v>219</v>
      </c>
      <c r="AP5555" t="s">
        <v>219</v>
      </c>
      <c r="AQ5555">
        <v>8</v>
      </c>
      <c r="AR5555" t="s">
        <v>80</v>
      </c>
      <c r="AS5555" t="s">
        <v>81</v>
      </c>
      <c r="AT5555" t="s">
        <v>58</v>
      </c>
      <c r="AU5555" t="s">
        <v>8673</v>
      </c>
      <c r="AV5555" t="s">
        <v>132</v>
      </c>
      <c r="AW5555" s="1">
        <v>28222</v>
      </c>
      <c r="AX5555">
        <v>1</v>
      </c>
    </row>
    <row r="5556" spans="1:50">
      <c r="A5556">
        <v>573695</v>
      </c>
      <c r="B5556" t="str">
        <f>"066365777"</f>
        <v>066365777</v>
      </c>
      <c r="C5556" t="s">
        <v>50</v>
      </c>
      <c r="D5556" t="s">
        <v>9897</v>
      </c>
      <c r="E5556" t="s">
        <v>52</v>
      </c>
      <c r="F5556" t="s">
        <v>230</v>
      </c>
      <c r="G5556" t="s">
        <v>250</v>
      </c>
      <c r="H5556" t="str">
        <f>"30 ΜΑΡΤΥΡΩΝ ΔΑΜΑΣΤΙΑΝΩΝ ΗΡΑΚΛΕΙΟ"</f>
        <v>30 ΜΑΡΤΥΡΩΝ ΔΑΜΑΣΤΙΑΝΩΝ ΗΡΑΚΛΕΙΟ</v>
      </c>
      <c r="J5556">
        <v>2810260358</v>
      </c>
      <c r="N5556" t="s">
        <v>615</v>
      </c>
      <c r="O5556" t="s">
        <v>616</v>
      </c>
      <c r="R5556" t="s">
        <v>57</v>
      </c>
      <c r="S5556">
        <v>13</v>
      </c>
      <c r="T5556">
        <v>160</v>
      </c>
      <c r="U5556" s="1">
        <v>34582</v>
      </c>
      <c r="V5556" t="s">
        <v>80</v>
      </c>
      <c r="W5556" t="s">
        <v>81</v>
      </c>
      <c r="X5556" t="s">
        <v>58</v>
      </c>
      <c r="Y5556">
        <v>21</v>
      </c>
      <c r="Z5556" t="s">
        <v>59</v>
      </c>
      <c r="AA5556" t="s">
        <v>59</v>
      </c>
      <c r="AB5556" t="s">
        <v>59</v>
      </c>
      <c r="AC5556" t="s">
        <v>59</v>
      </c>
      <c r="AD5556" t="s">
        <v>59</v>
      </c>
      <c r="AF5556" s="1">
        <v>34582</v>
      </c>
      <c r="AG5556" t="s">
        <v>8645</v>
      </c>
      <c r="AH5556" t="s">
        <v>8646</v>
      </c>
      <c r="AI5556" t="str">
        <f>"9170055"</f>
        <v>9170055</v>
      </c>
      <c r="AJ5556" t="s">
        <v>8836</v>
      </c>
      <c r="AK5556">
        <v>2810255097</v>
      </c>
      <c r="AL5556" t="s">
        <v>8837</v>
      </c>
      <c r="AM5556" t="s">
        <v>78</v>
      </c>
      <c r="AN5556" t="s">
        <v>78</v>
      </c>
      <c r="AO5556" t="s">
        <v>78</v>
      </c>
      <c r="AP5556" t="s">
        <v>141</v>
      </c>
      <c r="AQ5556">
        <v>1</v>
      </c>
      <c r="AR5556" t="s">
        <v>80</v>
      </c>
      <c r="AS5556" t="s">
        <v>81</v>
      </c>
      <c r="AT5556" t="s">
        <v>58</v>
      </c>
      <c r="AU5556" t="s">
        <v>68</v>
      </c>
      <c r="AV5556" t="s">
        <v>69</v>
      </c>
      <c r="AW5556" s="1">
        <v>24476</v>
      </c>
      <c r="AX5556">
        <v>1</v>
      </c>
    </row>
    <row r="5557" spans="1:50">
      <c r="B5557" t="str">
        <f>"134171980"</f>
        <v>134171980</v>
      </c>
      <c r="C5557" t="s">
        <v>50</v>
      </c>
      <c r="D5557" t="s">
        <v>9898</v>
      </c>
      <c r="E5557" t="s">
        <v>964</v>
      </c>
      <c r="F5557" t="s">
        <v>84</v>
      </c>
      <c r="G5557" t="s">
        <v>255</v>
      </c>
      <c r="H5557" t="str">
        <f>"ΕΡΜΗ 35 ΗΡΑΚΛΕΙΟ"</f>
        <v>ΕΡΜΗ 35 ΗΡΑΚΛΕΙΟ</v>
      </c>
      <c r="I5557">
        <v>71305</v>
      </c>
      <c r="J5557">
        <v>2810235634</v>
      </c>
      <c r="K5557">
        <v>6946950506</v>
      </c>
      <c r="N5557" t="s">
        <v>8694</v>
      </c>
      <c r="O5557" t="s">
        <v>8695</v>
      </c>
      <c r="R5557" t="s">
        <v>57</v>
      </c>
      <c r="S5557">
        <v>5</v>
      </c>
      <c r="T5557" t="s">
        <v>8696</v>
      </c>
      <c r="U5557" s="1">
        <v>43348</v>
      </c>
      <c r="V5557" t="s">
        <v>80</v>
      </c>
      <c r="W5557" t="s">
        <v>81</v>
      </c>
      <c r="X5557" t="s">
        <v>58</v>
      </c>
      <c r="Y5557">
        <v>23</v>
      </c>
      <c r="Z5557" t="s">
        <v>59</v>
      </c>
      <c r="AA5557" t="s">
        <v>59</v>
      </c>
      <c r="AB5557" t="s">
        <v>59</v>
      </c>
      <c r="AC5557" t="s">
        <v>59</v>
      </c>
      <c r="AD5557" t="s">
        <v>59</v>
      </c>
      <c r="AF5557" s="1">
        <v>43348</v>
      </c>
      <c r="AG5557" t="s">
        <v>8645</v>
      </c>
      <c r="AH5557" t="s">
        <v>8646</v>
      </c>
      <c r="AI5557" t="str">
        <f>"9170520"</f>
        <v>9170520</v>
      </c>
      <c r="AJ5557" t="s">
        <v>8738</v>
      </c>
      <c r="AK5557">
        <v>2810281317</v>
      </c>
      <c r="AL5557" t="s">
        <v>8739</v>
      </c>
      <c r="AM5557" t="s">
        <v>78</v>
      </c>
      <c r="AN5557" t="s">
        <v>78</v>
      </c>
      <c r="AO5557" t="s">
        <v>286</v>
      </c>
      <c r="AP5557" t="s">
        <v>286</v>
      </c>
      <c r="AQ5557">
        <v>1</v>
      </c>
      <c r="AR5557" t="s">
        <v>80</v>
      </c>
      <c r="AS5557" t="s">
        <v>81</v>
      </c>
      <c r="AT5557" t="s">
        <v>58</v>
      </c>
      <c r="AU5557" t="s">
        <v>350</v>
      </c>
      <c r="AV5557" t="s">
        <v>132</v>
      </c>
      <c r="AW5557" s="1">
        <v>30132</v>
      </c>
      <c r="AX5557">
        <v>1</v>
      </c>
    </row>
    <row r="5558" spans="1:50">
      <c r="A5558">
        <v>618191</v>
      </c>
      <c r="B5558" t="str">
        <f>"103680372"</f>
        <v>103680372</v>
      </c>
      <c r="C5558" t="s">
        <v>50</v>
      </c>
      <c r="D5558" t="s">
        <v>1719</v>
      </c>
      <c r="E5558" t="s">
        <v>143</v>
      </c>
      <c r="F5558" t="s">
        <v>383</v>
      </c>
      <c r="G5558" t="s">
        <v>237</v>
      </c>
      <c r="H5558" t="str">
        <f>"ΑΠ. ΨΩΜΑΔΑΚΗ 10 ΗΡΑΚΛΕΙΟ"</f>
        <v>ΑΠ. ΨΩΜΑΔΑΚΗ 10 ΗΡΑΚΛΕΙΟ</v>
      </c>
      <c r="I5558">
        <v>70400</v>
      </c>
      <c r="J5558">
        <v>2892023807</v>
      </c>
      <c r="K5558">
        <v>6946697682</v>
      </c>
      <c r="N5558" t="s">
        <v>615</v>
      </c>
      <c r="O5558" t="s">
        <v>616</v>
      </c>
      <c r="R5558" t="s">
        <v>57</v>
      </c>
      <c r="S5558">
        <v>5</v>
      </c>
      <c r="T5558">
        <v>774</v>
      </c>
      <c r="U5558" s="1">
        <v>39680</v>
      </c>
      <c r="V5558" t="s">
        <v>80</v>
      </c>
      <c r="W5558" t="s">
        <v>81</v>
      </c>
      <c r="X5558" t="s">
        <v>58</v>
      </c>
      <c r="Y5558">
        <v>23</v>
      </c>
      <c r="Z5558" t="s">
        <v>59</v>
      </c>
      <c r="AA5558" t="s">
        <v>59</v>
      </c>
      <c r="AB5558" t="s">
        <v>59</v>
      </c>
      <c r="AC5558" t="s">
        <v>59</v>
      </c>
      <c r="AD5558" t="s">
        <v>59</v>
      </c>
      <c r="AF5558" s="1">
        <v>39681</v>
      </c>
      <c r="AG5558" t="s">
        <v>8645</v>
      </c>
      <c r="AH5558" t="s">
        <v>8646</v>
      </c>
      <c r="AI5558" t="str">
        <f>"9170282"</f>
        <v>9170282</v>
      </c>
      <c r="AJ5558" t="s">
        <v>8938</v>
      </c>
      <c r="AK5558">
        <v>2892022120</v>
      </c>
      <c r="AL5558" t="s">
        <v>8939</v>
      </c>
      <c r="AM5558" t="s">
        <v>78</v>
      </c>
      <c r="AN5558" t="s">
        <v>242</v>
      </c>
      <c r="AO5558" t="s">
        <v>243</v>
      </c>
      <c r="AP5558" t="s">
        <v>8940</v>
      </c>
      <c r="AQ5558">
        <v>20</v>
      </c>
      <c r="AR5558" t="s">
        <v>80</v>
      </c>
      <c r="AS5558" t="s">
        <v>81</v>
      </c>
      <c r="AT5558" t="s">
        <v>58</v>
      </c>
      <c r="AU5558" t="s">
        <v>68</v>
      </c>
      <c r="AV5558" t="s">
        <v>69</v>
      </c>
      <c r="AW5558" s="1">
        <v>29659</v>
      </c>
      <c r="AX5558">
        <v>1</v>
      </c>
    </row>
    <row r="5559" spans="1:50">
      <c r="B5559" t="str">
        <f>"075485078"</f>
        <v>075485078</v>
      </c>
      <c r="C5559" t="s">
        <v>105</v>
      </c>
      <c r="D5559" t="s">
        <v>9899</v>
      </c>
      <c r="E5559" t="s">
        <v>166</v>
      </c>
      <c r="F5559" t="s">
        <v>383</v>
      </c>
      <c r="G5559" t="s">
        <v>83</v>
      </c>
      <c r="H5559" t="str">
        <f>"Ι ΚΟΝΔΥΛΑΚΗ 16 ΙΕΡΑΠΕΤΡΑ"</f>
        <v>Ι ΚΟΝΔΥΛΑΚΗ 16 ΙΕΡΑΠΕΤΡΑ</v>
      </c>
      <c r="I5559">
        <v>72200</v>
      </c>
      <c r="J5559">
        <v>2842089057</v>
      </c>
      <c r="K5559">
        <v>6945201949</v>
      </c>
      <c r="N5559" t="s">
        <v>176</v>
      </c>
      <c r="O5559" t="s">
        <v>177</v>
      </c>
      <c r="R5559" t="s">
        <v>159</v>
      </c>
      <c r="S5559">
        <v>3</v>
      </c>
      <c r="T5559" t="s">
        <v>8675</v>
      </c>
      <c r="U5559" s="1">
        <v>43348</v>
      </c>
      <c r="V5559" t="s">
        <v>80</v>
      </c>
      <c r="W5559" t="s">
        <v>81</v>
      </c>
      <c r="X5559" t="s">
        <v>58</v>
      </c>
      <c r="Y5559">
        <v>24</v>
      </c>
      <c r="Z5559" t="s">
        <v>59</v>
      </c>
      <c r="AA5559" t="s">
        <v>59</v>
      </c>
      <c r="AB5559" t="s">
        <v>59</v>
      </c>
      <c r="AC5559" t="s">
        <v>59</v>
      </c>
      <c r="AD5559" t="s">
        <v>59</v>
      </c>
      <c r="AF5559" s="1">
        <v>43348</v>
      </c>
      <c r="AG5559" t="s">
        <v>8645</v>
      </c>
      <c r="AH5559" t="s">
        <v>8646</v>
      </c>
      <c r="AI5559" t="str">
        <f>"9170132"</f>
        <v>9170132</v>
      </c>
      <c r="AJ5559" t="s">
        <v>9010</v>
      </c>
      <c r="AK5559">
        <v>2895022233</v>
      </c>
      <c r="AL5559" t="s">
        <v>9011</v>
      </c>
      <c r="AM5559" t="s">
        <v>78</v>
      </c>
      <c r="AN5559" t="s">
        <v>482</v>
      </c>
      <c r="AO5559" t="s">
        <v>482</v>
      </c>
      <c r="AP5559" t="s">
        <v>483</v>
      </c>
      <c r="AQ5559">
        <v>14</v>
      </c>
      <c r="AR5559" t="s">
        <v>80</v>
      </c>
      <c r="AS5559" t="s">
        <v>81</v>
      </c>
      <c r="AT5559" t="s">
        <v>58</v>
      </c>
      <c r="AU5559" t="s">
        <v>8673</v>
      </c>
      <c r="AV5559" t="s">
        <v>132</v>
      </c>
      <c r="AW5559" s="1">
        <v>26794</v>
      </c>
      <c r="AX5559">
        <v>1</v>
      </c>
    </row>
    <row r="5560" spans="1:50">
      <c r="A5560">
        <v>564246</v>
      </c>
      <c r="B5560" t="str">
        <f>"036797213"</f>
        <v>036797213</v>
      </c>
      <c r="C5560" t="s">
        <v>105</v>
      </c>
      <c r="D5560" t="s">
        <v>9900</v>
      </c>
      <c r="E5560" t="s">
        <v>53</v>
      </c>
      <c r="F5560" t="s">
        <v>95</v>
      </c>
      <c r="G5560" t="s">
        <v>255</v>
      </c>
      <c r="H5560" t="str">
        <f>"Β. ΚΑΤΣΑΝΕΒΑΚΗ 18 ΧΑΝΙΑ"</f>
        <v>Β. ΚΑΤΣΑΝΕΒΑΚΗ 18 ΧΑΝΙΑ</v>
      </c>
      <c r="I5560">
        <v>73133</v>
      </c>
      <c r="J5560">
        <v>2821054181</v>
      </c>
      <c r="K5560">
        <v>6973508598</v>
      </c>
      <c r="N5560" t="s">
        <v>615</v>
      </c>
      <c r="O5560" t="s">
        <v>616</v>
      </c>
      <c r="R5560" t="s">
        <v>57</v>
      </c>
      <c r="S5560">
        <v>14</v>
      </c>
      <c r="T5560">
        <v>161</v>
      </c>
      <c r="U5560" s="1">
        <v>33119</v>
      </c>
      <c r="V5560" t="s">
        <v>80</v>
      </c>
      <c r="W5560" t="s">
        <v>81</v>
      </c>
      <c r="X5560" t="s">
        <v>58</v>
      </c>
      <c r="Y5560">
        <v>21</v>
      </c>
      <c r="Z5560" t="s">
        <v>59</v>
      </c>
      <c r="AA5560" t="s">
        <v>59</v>
      </c>
      <c r="AB5560" t="s">
        <v>59</v>
      </c>
      <c r="AC5560" t="s">
        <v>59</v>
      </c>
      <c r="AD5560" t="s">
        <v>59</v>
      </c>
      <c r="AF5560" s="1">
        <v>33119</v>
      </c>
      <c r="AG5560" t="s">
        <v>8645</v>
      </c>
      <c r="AH5560" t="s">
        <v>8646</v>
      </c>
      <c r="AI5560" t="str">
        <f>"9521411"</f>
        <v>9521411</v>
      </c>
      <c r="AJ5560" t="s">
        <v>9007</v>
      </c>
      <c r="AK5560">
        <v>2810824954</v>
      </c>
      <c r="AL5560" t="s">
        <v>9008</v>
      </c>
      <c r="AM5560" t="s">
        <v>78</v>
      </c>
      <c r="AN5560" t="s">
        <v>129</v>
      </c>
      <c r="AO5560" t="s">
        <v>130</v>
      </c>
      <c r="AP5560" t="s">
        <v>130</v>
      </c>
      <c r="AQ5560">
        <v>1</v>
      </c>
      <c r="AR5560" t="s">
        <v>80</v>
      </c>
      <c r="AS5560" t="s">
        <v>81</v>
      </c>
      <c r="AT5560" t="s">
        <v>58</v>
      </c>
      <c r="AU5560" t="s">
        <v>68</v>
      </c>
      <c r="AV5560" t="s">
        <v>69</v>
      </c>
      <c r="AW5560" s="1">
        <v>22549</v>
      </c>
      <c r="AX5560">
        <v>1</v>
      </c>
    </row>
    <row r="5561" spans="1:50">
      <c r="A5561">
        <v>567541</v>
      </c>
      <c r="B5561" t="str">
        <f>"034434049"</f>
        <v>034434049</v>
      </c>
      <c r="C5561" t="s">
        <v>105</v>
      </c>
      <c r="D5561" t="s">
        <v>1726</v>
      </c>
      <c r="E5561" t="s">
        <v>2933</v>
      </c>
      <c r="F5561" t="s">
        <v>2227</v>
      </c>
      <c r="G5561" t="s">
        <v>52</v>
      </c>
      <c r="H5561" t="str">
        <f>" "</f>
        <v xml:space="preserve"> </v>
      </c>
      <c r="N5561" t="s">
        <v>615</v>
      </c>
      <c r="O5561" t="s">
        <v>616</v>
      </c>
      <c r="R5561" t="s">
        <v>57</v>
      </c>
      <c r="S5561">
        <v>15</v>
      </c>
      <c r="T5561">
        <v>133</v>
      </c>
      <c r="U5561" s="1">
        <v>33456</v>
      </c>
      <c r="V5561" t="s">
        <v>80</v>
      </c>
      <c r="W5561" t="s">
        <v>81</v>
      </c>
      <c r="X5561" t="s">
        <v>58</v>
      </c>
      <c r="Y5561">
        <v>21</v>
      </c>
      <c r="Z5561" t="s">
        <v>59</v>
      </c>
      <c r="AA5561" t="s">
        <v>59</v>
      </c>
      <c r="AB5561" t="s">
        <v>59</v>
      </c>
      <c r="AC5561" t="s">
        <v>59</v>
      </c>
      <c r="AD5561" t="s">
        <v>59</v>
      </c>
      <c r="AF5561" s="1">
        <v>33485</v>
      </c>
      <c r="AG5561" t="s">
        <v>8645</v>
      </c>
      <c r="AH5561" t="s">
        <v>8646</v>
      </c>
      <c r="AI5561" t="str">
        <f>"9170086"</f>
        <v>9170086</v>
      </c>
      <c r="AJ5561" t="s">
        <v>9319</v>
      </c>
      <c r="AK5561">
        <v>2893051257</v>
      </c>
      <c r="AL5561" t="s">
        <v>9320</v>
      </c>
      <c r="AM5561" t="s">
        <v>78</v>
      </c>
      <c r="AN5561" t="s">
        <v>424</v>
      </c>
      <c r="AO5561" t="s">
        <v>577</v>
      </c>
      <c r="AP5561" t="s">
        <v>723</v>
      </c>
      <c r="AQ5561">
        <v>9</v>
      </c>
      <c r="AR5561" t="s">
        <v>80</v>
      </c>
      <c r="AS5561" t="s">
        <v>81</v>
      </c>
      <c r="AT5561" t="s">
        <v>58</v>
      </c>
      <c r="AU5561" t="s">
        <v>68</v>
      </c>
      <c r="AV5561" t="s">
        <v>69</v>
      </c>
      <c r="AW5561" s="1">
        <v>20031</v>
      </c>
      <c r="AX5561">
        <v>1</v>
      </c>
    </row>
    <row r="5562" spans="1:50">
      <c r="A5562">
        <v>619750</v>
      </c>
      <c r="B5562" t="str">
        <f>"120559582"</f>
        <v>120559582</v>
      </c>
      <c r="C5562" t="s">
        <v>50</v>
      </c>
      <c r="D5562" t="s">
        <v>1729</v>
      </c>
      <c r="E5562" t="s">
        <v>1068</v>
      </c>
      <c r="F5562" t="s">
        <v>474</v>
      </c>
      <c r="G5562" t="s">
        <v>476</v>
      </c>
      <c r="H5562" t="str">
        <f>"ΝΙΚ. ΦΩΚΑ 13 ΗΡΑΚΛΕΙΟ"</f>
        <v>ΝΙΚ. ΦΩΚΑ 13 ΗΡΑΚΛΕΙΟ</v>
      </c>
      <c r="I5562">
        <v>71601</v>
      </c>
      <c r="J5562">
        <v>2810762271</v>
      </c>
      <c r="K5562">
        <v>6974819187</v>
      </c>
      <c r="M5562" t="s">
        <v>9901</v>
      </c>
      <c r="N5562" t="s">
        <v>306</v>
      </c>
      <c r="O5562" t="s">
        <v>307</v>
      </c>
      <c r="R5562" t="s">
        <v>57</v>
      </c>
      <c r="S5562">
        <v>5</v>
      </c>
      <c r="T5562">
        <v>775</v>
      </c>
      <c r="U5562" s="1">
        <v>39680</v>
      </c>
      <c r="V5562" t="s">
        <v>80</v>
      </c>
      <c r="W5562" t="s">
        <v>81</v>
      </c>
      <c r="X5562" t="s">
        <v>58</v>
      </c>
      <c r="Y5562">
        <v>23</v>
      </c>
      <c r="Z5562" t="s">
        <v>59</v>
      </c>
      <c r="AA5562" t="s">
        <v>59</v>
      </c>
      <c r="AB5562" t="s">
        <v>59</v>
      </c>
      <c r="AC5562" t="s">
        <v>59</v>
      </c>
      <c r="AD5562" t="s">
        <v>59</v>
      </c>
      <c r="AF5562" s="1">
        <v>39681</v>
      </c>
      <c r="AG5562" t="s">
        <v>8645</v>
      </c>
      <c r="AH5562" t="s">
        <v>8646</v>
      </c>
      <c r="AI5562" t="str">
        <f>"9170206"</f>
        <v>9170206</v>
      </c>
      <c r="AJ5562" t="s">
        <v>8972</v>
      </c>
      <c r="AK5562">
        <v>2810761137</v>
      </c>
      <c r="AL5562" t="s">
        <v>8973</v>
      </c>
      <c r="AM5562" t="s">
        <v>78</v>
      </c>
      <c r="AN5562" t="s">
        <v>219</v>
      </c>
      <c r="AO5562" t="s">
        <v>297</v>
      </c>
      <c r="AP5562" t="s">
        <v>8796</v>
      </c>
      <c r="AQ5562">
        <v>7</v>
      </c>
      <c r="AR5562" t="s">
        <v>80</v>
      </c>
      <c r="AS5562" t="s">
        <v>81</v>
      </c>
      <c r="AT5562" t="s">
        <v>58</v>
      </c>
      <c r="AU5562" t="s">
        <v>68</v>
      </c>
      <c r="AV5562" t="s">
        <v>69</v>
      </c>
      <c r="AW5562" s="1">
        <v>29482</v>
      </c>
      <c r="AX5562">
        <v>1</v>
      </c>
    </row>
    <row r="5563" spans="1:50">
      <c r="A5563">
        <v>598445</v>
      </c>
      <c r="B5563" t="str">
        <f>"073786469"</f>
        <v>073786469</v>
      </c>
      <c r="C5563" t="s">
        <v>50</v>
      </c>
      <c r="D5563" t="s">
        <v>1729</v>
      </c>
      <c r="E5563" t="s">
        <v>181</v>
      </c>
      <c r="F5563" t="s">
        <v>72</v>
      </c>
      <c r="G5563" t="s">
        <v>112</v>
      </c>
      <c r="H5563" t="str">
        <f>" "</f>
        <v xml:space="preserve"> </v>
      </c>
      <c r="J5563">
        <v>2810325064</v>
      </c>
      <c r="K5563">
        <v>6945476976</v>
      </c>
      <c r="N5563" t="s">
        <v>1525</v>
      </c>
      <c r="O5563" t="s">
        <v>1526</v>
      </c>
      <c r="R5563" t="s">
        <v>57</v>
      </c>
      <c r="S5563">
        <v>8</v>
      </c>
      <c r="T5563">
        <v>195</v>
      </c>
      <c r="U5563" s="1">
        <v>37497</v>
      </c>
      <c r="V5563" t="s">
        <v>80</v>
      </c>
      <c r="W5563" t="s">
        <v>81</v>
      </c>
      <c r="X5563" t="s">
        <v>58</v>
      </c>
      <c r="Y5563">
        <v>25</v>
      </c>
      <c r="Z5563" t="s">
        <v>59</v>
      </c>
      <c r="AA5563" t="s">
        <v>59</v>
      </c>
      <c r="AB5563" t="s">
        <v>59</v>
      </c>
      <c r="AC5563" t="s">
        <v>59</v>
      </c>
      <c r="AD5563" t="s">
        <v>59</v>
      </c>
      <c r="AF5563" s="1">
        <v>37503</v>
      </c>
      <c r="AG5563" t="s">
        <v>8651</v>
      </c>
      <c r="AH5563" t="s">
        <v>8652</v>
      </c>
      <c r="AI5563" t="str">
        <f>"9170186"</f>
        <v>9170186</v>
      </c>
      <c r="AJ5563" t="s">
        <v>9902</v>
      </c>
      <c r="AK5563">
        <v>2810211547</v>
      </c>
      <c r="AL5563" t="s">
        <v>9903</v>
      </c>
      <c r="AM5563" t="s">
        <v>78</v>
      </c>
      <c r="AN5563" t="s">
        <v>78</v>
      </c>
      <c r="AO5563" t="s">
        <v>78</v>
      </c>
      <c r="AP5563" t="s">
        <v>213</v>
      </c>
      <c r="AQ5563">
        <v>1</v>
      </c>
      <c r="AR5563" t="s">
        <v>80</v>
      </c>
      <c r="AS5563" t="s">
        <v>81</v>
      </c>
      <c r="AT5563" t="s">
        <v>58</v>
      </c>
      <c r="AU5563" t="s">
        <v>68</v>
      </c>
      <c r="AV5563" t="s">
        <v>69</v>
      </c>
      <c r="AW5563" s="1">
        <v>25814</v>
      </c>
      <c r="AX5563">
        <v>1</v>
      </c>
    </row>
    <row r="5564" spans="1:50">
      <c r="A5564">
        <v>562783</v>
      </c>
      <c r="B5564" t="str">
        <f>"030269884"</f>
        <v>030269884</v>
      </c>
      <c r="C5564" t="s">
        <v>105</v>
      </c>
      <c r="D5564" t="s">
        <v>1730</v>
      </c>
      <c r="E5564" t="s">
        <v>408</v>
      </c>
      <c r="F5564" t="s">
        <v>782</v>
      </c>
      <c r="G5564" t="s">
        <v>9904</v>
      </c>
      <c r="H5564" t="str">
        <f>"ΑΛΕΞ. ΠΑΝΑΓΟΥΛΗ 4 ΑΡΧΑΝΕΣ"</f>
        <v>ΑΛΕΞ. ΠΑΝΑΓΟΥΛΗ 4 ΑΡΧΑΝΕΣ</v>
      </c>
      <c r="I5564">
        <v>70100</v>
      </c>
      <c r="J5564">
        <v>2810751190</v>
      </c>
      <c r="K5564">
        <v>6936964142</v>
      </c>
      <c r="L5564">
        <v>2810751807</v>
      </c>
      <c r="M5564" t="s">
        <v>9905</v>
      </c>
      <c r="N5564" t="s">
        <v>615</v>
      </c>
      <c r="O5564" t="s">
        <v>616</v>
      </c>
      <c r="R5564" t="s">
        <v>57</v>
      </c>
      <c r="S5564">
        <v>18</v>
      </c>
      <c r="T5564">
        <v>187</v>
      </c>
      <c r="U5564" s="1">
        <v>32750</v>
      </c>
      <c r="V5564" t="s">
        <v>80</v>
      </c>
      <c r="W5564" t="s">
        <v>81</v>
      </c>
      <c r="X5564" t="s">
        <v>58</v>
      </c>
      <c r="Y5564">
        <v>21</v>
      </c>
      <c r="Z5564" t="s">
        <v>59</v>
      </c>
      <c r="AA5564" t="s">
        <v>59</v>
      </c>
      <c r="AB5564" t="s">
        <v>59</v>
      </c>
      <c r="AC5564" t="s">
        <v>59</v>
      </c>
      <c r="AD5564" t="s">
        <v>59</v>
      </c>
      <c r="AF5564" s="1">
        <v>32755</v>
      </c>
      <c r="AG5564" t="s">
        <v>8645</v>
      </c>
      <c r="AH5564" t="s">
        <v>8646</v>
      </c>
      <c r="AI5564" t="str">
        <f>"9170097"</f>
        <v>9170097</v>
      </c>
      <c r="AJ5564" t="s">
        <v>8826</v>
      </c>
      <c r="AK5564">
        <v>2810751807</v>
      </c>
      <c r="AL5564" t="s">
        <v>8827</v>
      </c>
      <c r="AM5564" t="s">
        <v>78</v>
      </c>
      <c r="AN5564" t="s">
        <v>424</v>
      </c>
      <c r="AO5564" t="s">
        <v>425</v>
      </c>
      <c r="AP5564" t="s">
        <v>425</v>
      </c>
      <c r="AQ5564">
        <v>11</v>
      </c>
      <c r="AR5564" t="s">
        <v>80</v>
      </c>
      <c r="AS5564" t="s">
        <v>81</v>
      </c>
      <c r="AT5564" t="s">
        <v>58</v>
      </c>
      <c r="AU5564" t="s">
        <v>68</v>
      </c>
      <c r="AV5564" t="s">
        <v>69</v>
      </c>
      <c r="AW5564" s="1">
        <v>21664</v>
      </c>
      <c r="AX5564">
        <v>1</v>
      </c>
    </row>
    <row r="5565" spans="1:50">
      <c r="A5565">
        <v>211484</v>
      </c>
      <c r="B5565" t="str">
        <f>"110502686"</f>
        <v>110502686</v>
      </c>
      <c r="C5565" t="s">
        <v>50</v>
      </c>
      <c r="D5565" t="s">
        <v>6016</v>
      </c>
      <c r="E5565" t="s">
        <v>83</v>
      </c>
      <c r="F5565" t="s">
        <v>99</v>
      </c>
      <c r="G5565" t="s">
        <v>484</v>
      </c>
      <c r="H5565" t="str">
        <f>" "</f>
        <v xml:space="preserve"> </v>
      </c>
      <c r="J5565">
        <v>2810312094</v>
      </c>
      <c r="K5565">
        <v>6945526511</v>
      </c>
      <c r="N5565" t="s">
        <v>204</v>
      </c>
      <c r="O5565" t="s">
        <v>205</v>
      </c>
      <c r="R5565" t="s">
        <v>57</v>
      </c>
      <c r="S5565">
        <v>6</v>
      </c>
      <c r="T5565" t="s">
        <v>9906</v>
      </c>
      <c r="U5565" s="1">
        <v>38681</v>
      </c>
      <c r="V5565" t="s">
        <v>80</v>
      </c>
      <c r="W5565" t="s">
        <v>81</v>
      </c>
      <c r="X5565" t="s">
        <v>58</v>
      </c>
      <c r="Y5565">
        <v>23</v>
      </c>
      <c r="Z5565" t="s">
        <v>59</v>
      </c>
      <c r="AA5565" t="s">
        <v>59</v>
      </c>
      <c r="AB5565" t="s">
        <v>59</v>
      </c>
      <c r="AC5565" t="s">
        <v>59</v>
      </c>
      <c r="AD5565" t="s">
        <v>59</v>
      </c>
      <c r="AF5565" s="1">
        <v>38685</v>
      </c>
      <c r="AG5565" t="s">
        <v>8645</v>
      </c>
      <c r="AH5565" t="s">
        <v>8646</v>
      </c>
      <c r="AI5565" t="str">
        <f>"9170533"</f>
        <v>9170533</v>
      </c>
      <c r="AJ5565" t="s">
        <v>9091</v>
      </c>
      <c r="AK5565">
        <v>2810239434</v>
      </c>
      <c r="AL5565" t="s">
        <v>9092</v>
      </c>
      <c r="AM5565" t="s">
        <v>78</v>
      </c>
      <c r="AN5565" t="s">
        <v>78</v>
      </c>
      <c r="AO5565" t="s">
        <v>78</v>
      </c>
      <c r="AP5565" t="s">
        <v>163</v>
      </c>
      <c r="AQ5565">
        <v>1</v>
      </c>
      <c r="AR5565" t="s">
        <v>80</v>
      </c>
      <c r="AS5565" t="s">
        <v>81</v>
      </c>
      <c r="AT5565" t="s">
        <v>58</v>
      </c>
      <c r="AU5565" t="s">
        <v>68</v>
      </c>
      <c r="AV5565" t="s">
        <v>69</v>
      </c>
      <c r="AW5565" s="1">
        <v>29306</v>
      </c>
      <c r="AX5565">
        <v>1</v>
      </c>
    </row>
    <row r="5566" spans="1:50">
      <c r="A5566">
        <v>606445</v>
      </c>
      <c r="B5566" t="str">
        <f>"103541636"</f>
        <v>103541636</v>
      </c>
      <c r="C5566" t="s">
        <v>50</v>
      </c>
      <c r="D5566" t="s">
        <v>9907</v>
      </c>
      <c r="E5566" t="s">
        <v>372</v>
      </c>
      <c r="F5566" t="s">
        <v>95</v>
      </c>
      <c r="G5566" t="s">
        <v>73</v>
      </c>
      <c r="H5566" t="str">
        <f>" "</f>
        <v xml:space="preserve"> </v>
      </c>
      <c r="J5566">
        <v>2810320880</v>
      </c>
      <c r="K5566">
        <v>6946722450</v>
      </c>
      <c r="N5566" t="s">
        <v>1525</v>
      </c>
      <c r="O5566" t="s">
        <v>1526</v>
      </c>
      <c r="R5566" t="s">
        <v>57</v>
      </c>
      <c r="S5566">
        <v>10</v>
      </c>
      <c r="T5566">
        <v>231</v>
      </c>
      <c r="U5566" s="1">
        <v>38231</v>
      </c>
      <c r="V5566" t="s">
        <v>80</v>
      </c>
      <c r="W5566" t="s">
        <v>81</v>
      </c>
      <c r="X5566" t="s">
        <v>58</v>
      </c>
      <c r="Y5566">
        <v>25</v>
      </c>
      <c r="Z5566" t="s">
        <v>59</v>
      </c>
      <c r="AA5566" t="s">
        <v>59</v>
      </c>
      <c r="AB5566" t="s">
        <v>59</v>
      </c>
      <c r="AC5566" t="s">
        <v>59</v>
      </c>
      <c r="AD5566" t="s">
        <v>59</v>
      </c>
      <c r="AF5566" s="1">
        <v>38231</v>
      </c>
      <c r="AG5566" t="s">
        <v>8651</v>
      </c>
      <c r="AH5566" t="s">
        <v>8652</v>
      </c>
      <c r="AI5566" t="str">
        <f>"9520920"</f>
        <v>9520920</v>
      </c>
      <c r="AJ5566" t="s">
        <v>9908</v>
      </c>
      <c r="AK5566">
        <v>2810322441</v>
      </c>
      <c r="AL5566" t="s">
        <v>9909</v>
      </c>
      <c r="AM5566" t="s">
        <v>78</v>
      </c>
      <c r="AN5566" t="s">
        <v>78</v>
      </c>
      <c r="AO5566" t="s">
        <v>78</v>
      </c>
      <c r="AP5566" t="s">
        <v>163</v>
      </c>
      <c r="AQ5566">
        <v>1</v>
      </c>
      <c r="AR5566" t="s">
        <v>80</v>
      </c>
      <c r="AS5566" t="s">
        <v>81</v>
      </c>
      <c r="AT5566" t="s">
        <v>58</v>
      </c>
      <c r="AU5566" t="s">
        <v>68</v>
      </c>
      <c r="AV5566" t="s">
        <v>69</v>
      </c>
      <c r="AW5566" s="1">
        <v>24685</v>
      </c>
      <c r="AX5566">
        <v>1</v>
      </c>
    </row>
    <row r="5567" spans="1:50">
      <c r="B5567" t="str">
        <f>"132981458"</f>
        <v>132981458</v>
      </c>
      <c r="C5567" t="s">
        <v>50</v>
      </c>
      <c r="D5567" t="s">
        <v>9910</v>
      </c>
      <c r="E5567" t="s">
        <v>476</v>
      </c>
      <c r="F5567" t="s">
        <v>3954</v>
      </c>
      <c r="G5567" t="s">
        <v>143</v>
      </c>
      <c r="H5567" t="str">
        <f>"ΑΡΧΑΝΕΣ ΗΡΑΚΛΕΙΟΥ "</f>
        <v xml:space="preserve">ΑΡΧΑΝΕΣ ΗΡΑΚΛΕΙΟΥ </v>
      </c>
      <c r="I5567">
        <v>70100</v>
      </c>
      <c r="J5567">
        <v>2810751846</v>
      </c>
      <c r="K5567">
        <v>6945418585</v>
      </c>
      <c r="L5567">
        <v>2810255357</v>
      </c>
      <c r="N5567" t="s">
        <v>1525</v>
      </c>
      <c r="O5567" t="s">
        <v>1526</v>
      </c>
      <c r="R5567" t="s">
        <v>159</v>
      </c>
      <c r="S5567">
        <v>4</v>
      </c>
      <c r="T5567" t="s">
        <v>8670</v>
      </c>
      <c r="U5567" s="1">
        <v>43348</v>
      </c>
      <c r="V5567" t="s">
        <v>80</v>
      </c>
      <c r="W5567" t="s">
        <v>81</v>
      </c>
      <c r="X5567" t="s">
        <v>58</v>
      </c>
      <c r="Y5567">
        <v>25</v>
      </c>
      <c r="Z5567" t="s">
        <v>59</v>
      </c>
      <c r="AA5567" t="s">
        <v>59</v>
      </c>
      <c r="AB5567" t="s">
        <v>59</v>
      </c>
      <c r="AC5567" t="s">
        <v>59</v>
      </c>
      <c r="AD5567" t="s">
        <v>59</v>
      </c>
      <c r="AF5567" s="1">
        <v>43348</v>
      </c>
      <c r="AG5567" t="s">
        <v>8651</v>
      </c>
      <c r="AH5567" t="s">
        <v>8652</v>
      </c>
      <c r="AI5567" t="str">
        <f>"9170051"</f>
        <v>9170051</v>
      </c>
      <c r="AJ5567" t="s">
        <v>9679</v>
      </c>
      <c r="AK5567">
        <v>2810262913</v>
      </c>
      <c r="AL5567" t="s">
        <v>9680</v>
      </c>
      <c r="AM5567" t="s">
        <v>78</v>
      </c>
      <c r="AN5567" t="s">
        <v>78</v>
      </c>
      <c r="AO5567" t="s">
        <v>78</v>
      </c>
      <c r="AP5567" t="s">
        <v>141</v>
      </c>
      <c r="AQ5567">
        <v>1</v>
      </c>
      <c r="AR5567" t="s">
        <v>80</v>
      </c>
      <c r="AS5567" t="s">
        <v>81</v>
      </c>
      <c r="AT5567" t="s">
        <v>58</v>
      </c>
      <c r="AU5567" t="s">
        <v>8673</v>
      </c>
      <c r="AV5567" t="s">
        <v>132</v>
      </c>
      <c r="AW5567" s="1">
        <v>29763</v>
      </c>
      <c r="AX5567">
        <v>1</v>
      </c>
    </row>
    <row r="5568" spans="1:50">
      <c r="A5568">
        <v>592085</v>
      </c>
      <c r="B5568" t="str">
        <f>"053772394"</f>
        <v>053772394</v>
      </c>
      <c r="C5568" t="s">
        <v>50</v>
      </c>
      <c r="D5568" t="s">
        <v>9911</v>
      </c>
      <c r="E5568" t="s">
        <v>659</v>
      </c>
      <c r="F5568" t="s">
        <v>166</v>
      </c>
      <c r="G5568" t="s">
        <v>255</v>
      </c>
      <c r="H5568" t="str">
        <f>"Γ. ΓΕΝΝΗΜΑΤΑ 32 ΗΡΑΚΛΕΙΟ"</f>
        <v>Γ. ΓΕΝΝΗΜΑΤΑ 32 ΗΡΑΚΛΕΙΟ</v>
      </c>
      <c r="I5568">
        <v>71305</v>
      </c>
      <c r="J5568">
        <v>2810311277</v>
      </c>
      <c r="K5568">
        <v>6979780732</v>
      </c>
      <c r="N5568" t="s">
        <v>1525</v>
      </c>
      <c r="O5568" t="s">
        <v>1526</v>
      </c>
      <c r="R5568" t="s">
        <v>57</v>
      </c>
      <c r="S5568">
        <v>9</v>
      </c>
      <c r="T5568">
        <v>249</v>
      </c>
      <c r="U5568" s="1">
        <v>36769</v>
      </c>
      <c r="V5568" t="s">
        <v>80</v>
      </c>
      <c r="W5568" t="s">
        <v>81</v>
      </c>
      <c r="X5568" t="s">
        <v>58</v>
      </c>
      <c r="Y5568">
        <v>25</v>
      </c>
      <c r="Z5568" t="s">
        <v>59</v>
      </c>
      <c r="AA5568" t="s">
        <v>59</v>
      </c>
      <c r="AB5568" t="s">
        <v>59</v>
      </c>
      <c r="AC5568" t="s">
        <v>59</v>
      </c>
      <c r="AD5568" t="s">
        <v>59</v>
      </c>
      <c r="AF5568" s="1">
        <v>36770</v>
      </c>
      <c r="AG5568" t="s">
        <v>8651</v>
      </c>
      <c r="AH5568" t="s">
        <v>8652</v>
      </c>
      <c r="AI5568" t="str">
        <f>"9170583"</f>
        <v>9170583</v>
      </c>
      <c r="AJ5568" t="s">
        <v>9842</v>
      </c>
      <c r="AK5568">
        <v>2810261765</v>
      </c>
      <c r="AL5568" t="s">
        <v>9843</v>
      </c>
      <c r="AM5568" t="s">
        <v>78</v>
      </c>
      <c r="AN5568" t="s">
        <v>78</v>
      </c>
      <c r="AO5568" t="s">
        <v>78</v>
      </c>
      <c r="AP5568" t="s">
        <v>141</v>
      </c>
      <c r="AQ5568">
        <v>1</v>
      </c>
      <c r="AR5568" t="s">
        <v>80</v>
      </c>
      <c r="AS5568" t="s">
        <v>81</v>
      </c>
      <c r="AT5568" t="s">
        <v>58</v>
      </c>
      <c r="AU5568" t="s">
        <v>68</v>
      </c>
      <c r="AV5568" t="s">
        <v>69</v>
      </c>
      <c r="AW5568" s="1">
        <v>25268</v>
      </c>
      <c r="AX5568">
        <v>1</v>
      </c>
    </row>
    <row r="5569" spans="1:50">
      <c r="A5569">
        <v>581337</v>
      </c>
      <c r="B5569" t="str">
        <f>"039345797"</f>
        <v>039345797</v>
      </c>
      <c r="C5569" t="s">
        <v>50</v>
      </c>
      <c r="D5569" t="s">
        <v>9912</v>
      </c>
      <c r="E5569" t="s">
        <v>366</v>
      </c>
      <c r="F5569" t="s">
        <v>72</v>
      </c>
      <c r="G5569" t="s">
        <v>155</v>
      </c>
      <c r="H5569" t="str">
        <f>"ΑΝΩΓΕΙΩΝ 56 ΗΡΑΚΛΕΙΟ"</f>
        <v>ΑΝΩΓΕΙΩΝ 56 ΗΡΑΚΛΕΙΟ</v>
      </c>
      <c r="I5569">
        <v>71304</v>
      </c>
      <c r="J5569">
        <v>2810315656</v>
      </c>
      <c r="K5569">
        <v>6946570981</v>
      </c>
      <c r="N5569" t="s">
        <v>615</v>
      </c>
      <c r="O5569" t="s">
        <v>616</v>
      </c>
      <c r="R5569" t="s">
        <v>57</v>
      </c>
      <c r="S5569">
        <v>12</v>
      </c>
      <c r="T5569">
        <v>179</v>
      </c>
      <c r="U5569" s="1">
        <v>28369</v>
      </c>
      <c r="V5569" t="s">
        <v>80</v>
      </c>
      <c r="W5569" t="s">
        <v>81</v>
      </c>
      <c r="X5569" t="s">
        <v>58</v>
      </c>
      <c r="Y5569">
        <v>21</v>
      </c>
      <c r="Z5569" t="s">
        <v>59</v>
      </c>
      <c r="AA5569" t="s">
        <v>59</v>
      </c>
      <c r="AB5569" t="s">
        <v>59</v>
      </c>
      <c r="AC5569" t="s">
        <v>59</v>
      </c>
      <c r="AD5569" t="s">
        <v>59</v>
      </c>
      <c r="AF5569" s="1">
        <v>35674</v>
      </c>
      <c r="AG5569" t="s">
        <v>8645</v>
      </c>
      <c r="AH5569" t="s">
        <v>8646</v>
      </c>
      <c r="AI5569" t="str">
        <f>"9170057"</f>
        <v>9170057</v>
      </c>
      <c r="AJ5569" t="s">
        <v>8929</v>
      </c>
      <c r="AK5569">
        <v>2810251505</v>
      </c>
      <c r="AL5569" t="s">
        <v>8930</v>
      </c>
      <c r="AM5569" t="s">
        <v>78</v>
      </c>
      <c r="AN5569" t="s">
        <v>78</v>
      </c>
      <c r="AO5569" t="s">
        <v>78</v>
      </c>
      <c r="AP5569" t="s">
        <v>141</v>
      </c>
      <c r="AQ5569">
        <v>1</v>
      </c>
      <c r="AR5569" t="s">
        <v>80</v>
      </c>
      <c r="AS5569" t="s">
        <v>81</v>
      </c>
      <c r="AT5569" t="s">
        <v>58</v>
      </c>
      <c r="AU5569" t="s">
        <v>68</v>
      </c>
      <c r="AV5569" t="s">
        <v>69</v>
      </c>
      <c r="AW5569" s="1">
        <v>24109</v>
      </c>
      <c r="AX5569">
        <v>1</v>
      </c>
    </row>
    <row r="5570" spans="1:50">
      <c r="B5570" t="str">
        <f>"108893354"</f>
        <v>108893354</v>
      </c>
      <c r="C5570" t="s">
        <v>50</v>
      </c>
      <c r="D5570" t="s">
        <v>9913</v>
      </c>
      <c r="E5570" t="s">
        <v>3666</v>
      </c>
      <c r="F5570" t="s">
        <v>670</v>
      </c>
      <c r="G5570" t="s">
        <v>155</v>
      </c>
      <c r="H5570" t="str">
        <f>" "</f>
        <v xml:space="preserve"> </v>
      </c>
      <c r="N5570" t="s">
        <v>8834</v>
      </c>
      <c r="O5570" t="s">
        <v>8695</v>
      </c>
      <c r="R5570" t="s">
        <v>121</v>
      </c>
      <c r="S5570">
        <v>3</v>
      </c>
      <c r="T5570" t="s">
        <v>8835</v>
      </c>
      <c r="U5570" s="1">
        <v>43348</v>
      </c>
      <c r="V5570" t="s">
        <v>80</v>
      </c>
      <c r="W5570" t="s">
        <v>81</v>
      </c>
      <c r="X5570" t="s">
        <v>58</v>
      </c>
      <c r="Y5570">
        <v>24</v>
      </c>
      <c r="Z5570" t="s">
        <v>59</v>
      </c>
      <c r="AA5570" t="s">
        <v>59</v>
      </c>
      <c r="AB5570" t="s">
        <v>59</v>
      </c>
      <c r="AD5570" t="s">
        <v>59</v>
      </c>
      <c r="AF5570" s="1">
        <v>43348</v>
      </c>
      <c r="AG5570" t="s">
        <v>8645</v>
      </c>
      <c r="AH5570" t="s">
        <v>8646</v>
      </c>
      <c r="AI5570" t="str">
        <f>"9170219"</f>
        <v>9170219</v>
      </c>
      <c r="AJ5570" t="s">
        <v>8967</v>
      </c>
      <c r="AK5570">
        <v>2897041357</v>
      </c>
      <c r="AL5570" t="s">
        <v>8968</v>
      </c>
      <c r="AM5570" t="s">
        <v>78</v>
      </c>
      <c r="AN5570" t="s">
        <v>219</v>
      </c>
      <c r="AO5570" t="s">
        <v>297</v>
      </c>
      <c r="AP5570" t="s">
        <v>297</v>
      </c>
      <c r="AQ5570">
        <v>7</v>
      </c>
      <c r="AR5570" t="s">
        <v>80</v>
      </c>
      <c r="AS5570" t="s">
        <v>81</v>
      </c>
      <c r="AT5570" t="s">
        <v>58</v>
      </c>
      <c r="AU5570" t="s">
        <v>131</v>
      </c>
      <c r="AV5570" t="s">
        <v>132</v>
      </c>
      <c r="AW5570" s="1">
        <v>33219</v>
      </c>
      <c r="AX5570">
        <v>1</v>
      </c>
    </row>
    <row r="5571" spans="1:50">
      <c r="B5571" t="str">
        <f>"151064047"</f>
        <v>151064047</v>
      </c>
      <c r="C5571" t="s">
        <v>50</v>
      </c>
      <c r="D5571" t="s">
        <v>9914</v>
      </c>
      <c r="E5571" t="s">
        <v>181</v>
      </c>
      <c r="F5571" t="s">
        <v>9915</v>
      </c>
      <c r="G5571" t="s">
        <v>705</v>
      </c>
      <c r="H5571" t="str">
        <f>" "</f>
        <v xml:space="preserve"> </v>
      </c>
      <c r="J5571">
        <v>2651024568</v>
      </c>
      <c r="K5571">
        <v>6983456905</v>
      </c>
      <c r="N5571" t="s">
        <v>615</v>
      </c>
      <c r="O5571" t="s">
        <v>616</v>
      </c>
      <c r="R5571" t="s">
        <v>121</v>
      </c>
      <c r="S5571">
        <v>3</v>
      </c>
      <c r="T5571" t="s">
        <v>8675</v>
      </c>
      <c r="U5571" s="1">
        <v>43348</v>
      </c>
      <c r="V5571" t="s">
        <v>80</v>
      </c>
      <c r="W5571" t="s">
        <v>81</v>
      </c>
      <c r="X5571" t="s">
        <v>58</v>
      </c>
      <c r="Y5571">
        <v>25</v>
      </c>
      <c r="Z5571" t="s">
        <v>59</v>
      </c>
      <c r="AA5571" t="s">
        <v>59</v>
      </c>
      <c r="AB5571" t="s">
        <v>59</v>
      </c>
      <c r="AC5571" t="s">
        <v>59</v>
      </c>
      <c r="AD5571" t="s">
        <v>59</v>
      </c>
      <c r="AF5571" s="1">
        <v>43348</v>
      </c>
      <c r="AG5571" t="s">
        <v>8645</v>
      </c>
      <c r="AH5571" t="s">
        <v>8676</v>
      </c>
      <c r="AI5571" t="str">
        <f>"9170067"</f>
        <v>9170067</v>
      </c>
      <c r="AJ5571" t="s">
        <v>8878</v>
      </c>
      <c r="AK5571">
        <v>2893032007</v>
      </c>
      <c r="AL5571" t="s">
        <v>8879</v>
      </c>
      <c r="AM5571" t="s">
        <v>78</v>
      </c>
      <c r="AN5571" t="s">
        <v>405</v>
      </c>
      <c r="AO5571" t="s">
        <v>805</v>
      </c>
      <c r="AP5571" t="s">
        <v>8880</v>
      </c>
      <c r="AQ5571">
        <v>15</v>
      </c>
      <c r="AR5571" t="s">
        <v>80</v>
      </c>
      <c r="AS5571" t="s">
        <v>81</v>
      </c>
      <c r="AT5571" t="s">
        <v>58</v>
      </c>
      <c r="AU5571" t="s">
        <v>8673</v>
      </c>
      <c r="AV5571" t="s">
        <v>132</v>
      </c>
      <c r="AW5571" s="1">
        <v>32700</v>
      </c>
      <c r="AX5571">
        <v>1</v>
      </c>
    </row>
    <row r="5572" spans="1:50">
      <c r="A5572">
        <v>614950</v>
      </c>
      <c r="B5572" t="str">
        <f>"119767134"</f>
        <v>119767134</v>
      </c>
      <c r="C5572" t="s">
        <v>105</v>
      </c>
      <c r="D5572" t="s">
        <v>9916</v>
      </c>
      <c r="E5572" t="s">
        <v>154</v>
      </c>
      <c r="F5572" t="s">
        <v>936</v>
      </c>
      <c r="G5572" t="s">
        <v>52</v>
      </c>
      <c r="H5572" t="str">
        <f>"ΗΠΕΙΡΟΥ 8 ΠΥΛΑΙΑ ΘΕΣΣΑΛΟΝΙΚΗΣ"</f>
        <v>ΗΠΕΙΡΟΥ 8 ΠΥΛΑΙΑ ΘΕΣΣΑΛΟΝΙΚΗΣ</v>
      </c>
      <c r="I5572">
        <v>55535</v>
      </c>
      <c r="J5572">
        <v>2310322185</v>
      </c>
      <c r="K5572">
        <v>6948571153</v>
      </c>
      <c r="M5572" t="s">
        <v>9917</v>
      </c>
      <c r="N5572" t="s">
        <v>615</v>
      </c>
      <c r="O5572" t="s">
        <v>616</v>
      </c>
      <c r="R5572" t="s">
        <v>57</v>
      </c>
      <c r="S5572">
        <v>6</v>
      </c>
      <c r="T5572">
        <v>598</v>
      </c>
      <c r="U5572" s="1">
        <v>39310</v>
      </c>
      <c r="V5572" t="s">
        <v>80</v>
      </c>
      <c r="W5572" t="s">
        <v>81</v>
      </c>
      <c r="X5572" t="s">
        <v>58</v>
      </c>
      <c r="Y5572">
        <v>23</v>
      </c>
      <c r="Z5572" t="s">
        <v>59</v>
      </c>
      <c r="AA5572" t="s">
        <v>59</v>
      </c>
      <c r="AB5572" t="s">
        <v>59</v>
      </c>
      <c r="AC5572" t="s">
        <v>59</v>
      </c>
      <c r="AD5572" t="s">
        <v>59</v>
      </c>
      <c r="AF5572" s="1">
        <v>39328</v>
      </c>
      <c r="AG5572" t="s">
        <v>8645</v>
      </c>
      <c r="AH5572" t="s">
        <v>8646</v>
      </c>
      <c r="AI5572" t="str">
        <f>"9170043"</f>
        <v>9170043</v>
      </c>
      <c r="AJ5572" t="s">
        <v>8883</v>
      </c>
      <c r="AK5572">
        <v>2894022075</v>
      </c>
      <c r="AL5572" t="s">
        <v>8884</v>
      </c>
      <c r="AM5572" t="s">
        <v>78</v>
      </c>
      <c r="AN5572" t="s">
        <v>405</v>
      </c>
      <c r="AO5572" t="s">
        <v>406</v>
      </c>
      <c r="AP5572" t="s">
        <v>8885</v>
      </c>
      <c r="AQ5572">
        <v>6</v>
      </c>
      <c r="AR5572" t="s">
        <v>80</v>
      </c>
      <c r="AS5572" t="s">
        <v>81</v>
      </c>
      <c r="AT5572" t="s">
        <v>58</v>
      </c>
      <c r="AU5572" t="s">
        <v>68</v>
      </c>
      <c r="AV5572" t="s">
        <v>69</v>
      </c>
      <c r="AW5572" s="1">
        <v>30132</v>
      </c>
      <c r="AX5572">
        <v>1</v>
      </c>
    </row>
    <row r="5573" spans="1:50">
      <c r="A5573">
        <v>562845</v>
      </c>
      <c r="B5573" t="str">
        <f>"064582475"</f>
        <v>064582475</v>
      </c>
      <c r="C5573" t="s">
        <v>50</v>
      </c>
      <c r="D5573" t="s">
        <v>9918</v>
      </c>
      <c r="E5573" t="s">
        <v>476</v>
      </c>
      <c r="F5573" t="s">
        <v>95</v>
      </c>
      <c r="G5573" t="s">
        <v>3706</v>
      </c>
      <c r="H5573" t="str">
        <f>" "</f>
        <v xml:space="preserve"> </v>
      </c>
      <c r="K5573">
        <v>6987252202</v>
      </c>
      <c r="N5573" t="s">
        <v>615</v>
      </c>
      <c r="O5573" t="s">
        <v>616</v>
      </c>
      <c r="R5573" t="s">
        <v>57</v>
      </c>
      <c r="S5573">
        <v>15</v>
      </c>
      <c r="T5573">
        <v>187</v>
      </c>
      <c r="U5573" s="1">
        <v>32750</v>
      </c>
      <c r="V5573" t="s">
        <v>80</v>
      </c>
      <c r="W5573" t="s">
        <v>81</v>
      </c>
      <c r="X5573" t="s">
        <v>58</v>
      </c>
      <c r="Y5573">
        <v>21</v>
      </c>
      <c r="Z5573" t="s">
        <v>59</v>
      </c>
      <c r="AA5573" t="s">
        <v>59</v>
      </c>
      <c r="AB5573" t="s">
        <v>59</v>
      </c>
      <c r="AC5573" t="s">
        <v>59</v>
      </c>
      <c r="AD5573" t="s">
        <v>59</v>
      </c>
      <c r="AF5573" s="1">
        <v>32752</v>
      </c>
      <c r="AG5573" t="s">
        <v>8645</v>
      </c>
      <c r="AH5573" t="s">
        <v>8646</v>
      </c>
      <c r="AI5573" t="str">
        <f>"9170264"</f>
        <v>9170264</v>
      </c>
      <c r="AJ5573" t="s">
        <v>8718</v>
      </c>
      <c r="AK5573">
        <v>2810332030</v>
      </c>
      <c r="AL5573" t="s">
        <v>8719</v>
      </c>
      <c r="AM5573" t="s">
        <v>78</v>
      </c>
      <c r="AN5573" t="s">
        <v>78</v>
      </c>
      <c r="AO5573" t="s">
        <v>286</v>
      </c>
      <c r="AP5573" t="s">
        <v>286</v>
      </c>
      <c r="AQ5573">
        <v>1</v>
      </c>
      <c r="AR5573" t="s">
        <v>80</v>
      </c>
      <c r="AS5573" t="s">
        <v>81</v>
      </c>
      <c r="AT5573" t="s">
        <v>58</v>
      </c>
      <c r="AU5573" t="s">
        <v>68</v>
      </c>
      <c r="AV5573" t="s">
        <v>69</v>
      </c>
      <c r="AW5573" s="1">
        <v>23103</v>
      </c>
      <c r="AX5573">
        <v>1</v>
      </c>
    </row>
    <row r="5574" spans="1:50">
      <c r="A5574">
        <v>591396</v>
      </c>
      <c r="B5574" t="str">
        <f>"039662902"</f>
        <v>039662902</v>
      </c>
      <c r="C5574" t="s">
        <v>50</v>
      </c>
      <c r="D5574" t="s">
        <v>7318</v>
      </c>
      <c r="E5574" t="s">
        <v>155</v>
      </c>
      <c r="F5574" t="s">
        <v>92</v>
      </c>
      <c r="G5574" t="s">
        <v>3174</v>
      </c>
      <c r="H5574" t="str">
        <f>"ΕΛΛΗΣΠΟΝΤΟΥ 25  ΗΡΑΚΛΕΙΟ "</f>
        <v xml:space="preserve">ΕΛΛΗΣΠΟΝΤΟΥ 25  ΗΡΑΚΛΕΙΟ </v>
      </c>
      <c r="I5574">
        <v>71307</v>
      </c>
      <c r="J5574">
        <v>2810212205</v>
      </c>
      <c r="K5574">
        <v>6973328228</v>
      </c>
      <c r="N5574" t="s">
        <v>615</v>
      </c>
      <c r="O5574" t="s">
        <v>616</v>
      </c>
      <c r="R5574" t="s">
        <v>57</v>
      </c>
      <c r="S5574">
        <v>9</v>
      </c>
      <c r="T5574">
        <v>249</v>
      </c>
      <c r="U5574" s="1">
        <v>36769</v>
      </c>
      <c r="V5574" t="s">
        <v>80</v>
      </c>
      <c r="W5574" t="s">
        <v>81</v>
      </c>
      <c r="X5574" t="s">
        <v>58</v>
      </c>
      <c r="Y5574">
        <v>22</v>
      </c>
      <c r="Z5574" t="s">
        <v>59</v>
      </c>
      <c r="AA5574" t="s">
        <v>59</v>
      </c>
      <c r="AB5574" t="s">
        <v>59</v>
      </c>
      <c r="AC5574" t="s">
        <v>59</v>
      </c>
      <c r="AD5574" t="s">
        <v>59</v>
      </c>
      <c r="AF5574" s="1">
        <v>36770</v>
      </c>
      <c r="AG5574" t="s">
        <v>8645</v>
      </c>
      <c r="AH5574" t="s">
        <v>8646</v>
      </c>
      <c r="AI5574" t="str">
        <f>"9170115"</f>
        <v>9170115</v>
      </c>
      <c r="AJ5574" t="s">
        <v>8770</v>
      </c>
      <c r="AK5574">
        <v>2810231165</v>
      </c>
      <c r="AL5574" t="s">
        <v>8771</v>
      </c>
      <c r="AM5574" t="s">
        <v>78</v>
      </c>
      <c r="AN5574" t="s">
        <v>78</v>
      </c>
      <c r="AO5574" t="s">
        <v>78</v>
      </c>
      <c r="AP5574" t="s">
        <v>141</v>
      </c>
      <c r="AQ5574">
        <v>1</v>
      </c>
      <c r="AR5574" t="s">
        <v>80</v>
      </c>
      <c r="AS5574" t="s">
        <v>81</v>
      </c>
      <c r="AT5574" t="s">
        <v>58</v>
      </c>
      <c r="AU5574" t="s">
        <v>68</v>
      </c>
      <c r="AV5574" t="s">
        <v>69</v>
      </c>
      <c r="AW5574" s="1">
        <v>25070</v>
      </c>
      <c r="AX5574">
        <v>1</v>
      </c>
    </row>
    <row r="5575" spans="1:50">
      <c r="A5575">
        <v>604291</v>
      </c>
      <c r="B5575" t="str">
        <f>"118928409"</f>
        <v>118928409</v>
      </c>
      <c r="C5575" t="s">
        <v>50</v>
      </c>
      <c r="D5575" t="s">
        <v>9919</v>
      </c>
      <c r="E5575" t="s">
        <v>250</v>
      </c>
      <c r="F5575" t="s">
        <v>53</v>
      </c>
      <c r="G5575" t="s">
        <v>440</v>
      </c>
      <c r="H5575" t="str">
        <f>"ΑΜΑΖΟΝΩΝ 3 ΗΡΑΚΛΕΙΟ"</f>
        <v>ΑΜΑΖΟΝΩΝ 3 ΗΡΑΚΛΕΙΟ</v>
      </c>
      <c r="I5575">
        <v>71303</v>
      </c>
      <c r="J5575">
        <v>2810257919</v>
      </c>
      <c r="N5575" t="s">
        <v>615</v>
      </c>
      <c r="O5575" t="s">
        <v>616</v>
      </c>
      <c r="R5575" t="s">
        <v>57</v>
      </c>
      <c r="S5575">
        <v>8</v>
      </c>
      <c r="T5575">
        <v>231</v>
      </c>
      <c r="U5575" s="1">
        <v>38230</v>
      </c>
      <c r="V5575" t="s">
        <v>80</v>
      </c>
      <c r="W5575" t="s">
        <v>81</v>
      </c>
      <c r="X5575" t="s">
        <v>58</v>
      </c>
      <c r="Y5575">
        <v>22</v>
      </c>
      <c r="Z5575" t="s">
        <v>59</v>
      </c>
      <c r="AA5575" t="s">
        <v>59</v>
      </c>
      <c r="AB5575" t="s">
        <v>59</v>
      </c>
      <c r="AC5575" t="s">
        <v>59</v>
      </c>
      <c r="AD5575" t="s">
        <v>59</v>
      </c>
      <c r="AF5575" s="1">
        <v>38231</v>
      </c>
      <c r="AG5575" t="s">
        <v>8645</v>
      </c>
      <c r="AH5575" t="s">
        <v>8646</v>
      </c>
      <c r="AI5575" t="str">
        <f>"9170362"</f>
        <v>9170362</v>
      </c>
      <c r="AJ5575" t="s">
        <v>8681</v>
      </c>
      <c r="AK5575">
        <v>2810255261</v>
      </c>
      <c r="AL5575" t="s">
        <v>8682</v>
      </c>
      <c r="AM5575" t="s">
        <v>78</v>
      </c>
      <c r="AN5575" t="s">
        <v>78</v>
      </c>
      <c r="AO5575" t="s">
        <v>78</v>
      </c>
      <c r="AP5575" t="s">
        <v>141</v>
      </c>
      <c r="AQ5575">
        <v>1</v>
      </c>
      <c r="AR5575" t="s">
        <v>80</v>
      </c>
      <c r="AS5575" t="s">
        <v>81</v>
      </c>
      <c r="AT5575" t="s">
        <v>58</v>
      </c>
      <c r="AU5575" t="s">
        <v>68</v>
      </c>
      <c r="AV5575" t="s">
        <v>69</v>
      </c>
      <c r="AW5575" s="1">
        <v>27860</v>
      </c>
      <c r="AX5575">
        <v>1</v>
      </c>
    </row>
    <row r="5576" spans="1:50">
      <c r="B5576" t="str">
        <f>"062967392"</f>
        <v>062967392</v>
      </c>
      <c r="C5576" t="s">
        <v>50</v>
      </c>
      <c r="D5576" t="s">
        <v>4903</v>
      </c>
      <c r="E5576" t="s">
        <v>263</v>
      </c>
      <c r="F5576" t="s">
        <v>53</v>
      </c>
      <c r="G5576" t="s">
        <v>934</v>
      </c>
      <c r="H5576" t="str">
        <f>"ΔΙΑΜΑΝΤΗ 62 "</f>
        <v xml:space="preserve">ΔΙΑΜΑΝΤΗ 62 </v>
      </c>
      <c r="I5576">
        <v>30100</v>
      </c>
      <c r="J5576">
        <v>2641059228</v>
      </c>
      <c r="K5576">
        <v>6948103390</v>
      </c>
      <c r="N5576" t="s">
        <v>615</v>
      </c>
      <c r="O5576" t="s">
        <v>616</v>
      </c>
      <c r="R5576" t="s">
        <v>159</v>
      </c>
      <c r="S5576">
        <v>4</v>
      </c>
      <c r="T5576" t="s">
        <v>8675</v>
      </c>
      <c r="U5576" s="1">
        <v>43348</v>
      </c>
      <c r="V5576" t="s">
        <v>80</v>
      </c>
      <c r="W5576" t="s">
        <v>81</v>
      </c>
      <c r="X5576" t="s">
        <v>58</v>
      </c>
      <c r="Y5576">
        <v>24</v>
      </c>
      <c r="Z5576" t="s">
        <v>59</v>
      </c>
      <c r="AA5576" t="s">
        <v>59</v>
      </c>
      <c r="AB5576" t="s">
        <v>59</v>
      </c>
      <c r="AC5576" t="s">
        <v>59</v>
      </c>
      <c r="AD5576" t="s">
        <v>59</v>
      </c>
      <c r="AF5576" s="1">
        <v>43348</v>
      </c>
      <c r="AG5576" t="s">
        <v>8645</v>
      </c>
      <c r="AH5576" t="s">
        <v>8646</v>
      </c>
      <c r="AI5576" t="str">
        <f>"9521015"</f>
        <v>9521015</v>
      </c>
      <c r="AJ5576" t="s">
        <v>8927</v>
      </c>
      <c r="AK5576">
        <v>2897029138</v>
      </c>
      <c r="AL5576" t="s">
        <v>8928</v>
      </c>
      <c r="AM5576" t="s">
        <v>78</v>
      </c>
      <c r="AN5576" t="s">
        <v>219</v>
      </c>
      <c r="AO5576" t="s">
        <v>219</v>
      </c>
      <c r="AP5576" t="s">
        <v>220</v>
      </c>
      <c r="AQ5576">
        <v>8</v>
      </c>
      <c r="AR5576" t="s">
        <v>80</v>
      </c>
      <c r="AS5576" t="s">
        <v>81</v>
      </c>
      <c r="AT5576" t="s">
        <v>58</v>
      </c>
      <c r="AU5576" t="s">
        <v>8673</v>
      </c>
      <c r="AV5576" t="s">
        <v>132</v>
      </c>
      <c r="AW5576" s="1">
        <v>31834</v>
      </c>
      <c r="AX5576">
        <v>1</v>
      </c>
    </row>
    <row r="5577" spans="1:50">
      <c r="A5577">
        <v>572828</v>
      </c>
      <c r="B5577" t="str">
        <f>"053934511"</f>
        <v>053934511</v>
      </c>
      <c r="C5577" t="s">
        <v>50</v>
      </c>
      <c r="D5577" t="s">
        <v>4903</v>
      </c>
      <c r="E5577" t="s">
        <v>215</v>
      </c>
      <c r="F5577" t="s">
        <v>53</v>
      </c>
      <c r="G5577" t="s">
        <v>372</v>
      </c>
      <c r="H5577" t="str">
        <f>"ΑΝΘΕΩΝ 9 ΗΡΑΚΛΕΙΟ"</f>
        <v>ΑΝΘΕΩΝ 9 ΗΡΑΚΛΕΙΟ</v>
      </c>
      <c r="I5577">
        <v>71409</v>
      </c>
      <c r="J5577">
        <v>2810321999</v>
      </c>
      <c r="K5577">
        <v>6945294031</v>
      </c>
      <c r="M5577" t="s">
        <v>9920</v>
      </c>
      <c r="N5577" t="s">
        <v>337</v>
      </c>
      <c r="O5577" t="s">
        <v>338</v>
      </c>
      <c r="R5577" t="s">
        <v>57</v>
      </c>
      <c r="S5577">
        <v>12</v>
      </c>
      <c r="T5577">
        <v>154</v>
      </c>
      <c r="U5577" s="1">
        <v>34225</v>
      </c>
      <c r="V5577" t="s">
        <v>80</v>
      </c>
      <c r="W5577" t="s">
        <v>81</v>
      </c>
      <c r="X5577" t="s">
        <v>58</v>
      </c>
      <c r="Y5577">
        <v>21</v>
      </c>
      <c r="Z5577" t="s">
        <v>59</v>
      </c>
      <c r="AA5577" t="s">
        <v>59</v>
      </c>
      <c r="AB5577" t="s">
        <v>59</v>
      </c>
      <c r="AC5577" t="s">
        <v>59</v>
      </c>
      <c r="AD5577" t="s">
        <v>59</v>
      </c>
      <c r="AF5577" s="1">
        <v>34227</v>
      </c>
      <c r="AG5577" t="s">
        <v>8645</v>
      </c>
      <c r="AH5577" t="s">
        <v>8646</v>
      </c>
      <c r="AI5577" t="str">
        <f>"9170547"</f>
        <v>9170547</v>
      </c>
      <c r="AJ5577" t="s">
        <v>9175</v>
      </c>
      <c r="AK5577">
        <v>2810250886</v>
      </c>
      <c r="AL5577" t="s">
        <v>9176</v>
      </c>
      <c r="AM5577" t="s">
        <v>78</v>
      </c>
      <c r="AN5577" t="s">
        <v>78</v>
      </c>
      <c r="AO5577" t="s">
        <v>78</v>
      </c>
      <c r="AP5577" t="s">
        <v>141</v>
      </c>
      <c r="AQ5577">
        <v>1</v>
      </c>
      <c r="AR5577" t="s">
        <v>80</v>
      </c>
      <c r="AS5577" t="s">
        <v>81</v>
      </c>
      <c r="AT5577" t="s">
        <v>58</v>
      </c>
      <c r="AU5577" t="s">
        <v>68</v>
      </c>
      <c r="AV5577" t="s">
        <v>69</v>
      </c>
      <c r="AW5577" s="1">
        <v>25602</v>
      </c>
      <c r="AX5577">
        <v>1</v>
      </c>
    </row>
    <row r="5578" spans="1:50">
      <c r="A5578">
        <v>558851</v>
      </c>
      <c r="B5578" t="str">
        <f>"070345867"</f>
        <v>070345867</v>
      </c>
      <c r="C5578" t="s">
        <v>50</v>
      </c>
      <c r="D5578" t="s">
        <v>4903</v>
      </c>
      <c r="E5578" t="s">
        <v>934</v>
      </c>
      <c r="F5578" t="s">
        <v>72</v>
      </c>
      <c r="G5578" t="s">
        <v>155</v>
      </c>
      <c r="H5578" t="str">
        <f>"ΛΙΣΣΟΥ 7 ΗΡΑΚΛΕΙΟ"</f>
        <v>ΛΙΣΣΟΥ 7 ΗΡΑΚΛΕΙΟ</v>
      </c>
      <c r="I5578">
        <v>71304</v>
      </c>
      <c r="J5578">
        <v>2810310855</v>
      </c>
      <c r="N5578" t="s">
        <v>615</v>
      </c>
      <c r="O5578" t="s">
        <v>616</v>
      </c>
      <c r="R5578" t="s">
        <v>57</v>
      </c>
      <c r="S5578">
        <v>16</v>
      </c>
      <c r="T5578">
        <v>168</v>
      </c>
      <c r="U5578" s="1">
        <v>32010</v>
      </c>
      <c r="V5578" t="s">
        <v>80</v>
      </c>
      <c r="W5578" t="s">
        <v>81</v>
      </c>
      <c r="X5578" t="s">
        <v>58</v>
      </c>
      <c r="Y5578">
        <v>21</v>
      </c>
      <c r="Z5578" t="s">
        <v>59</v>
      </c>
      <c r="AA5578" t="s">
        <v>59</v>
      </c>
      <c r="AB5578" t="s">
        <v>59</v>
      </c>
      <c r="AC5578" t="s">
        <v>59</v>
      </c>
      <c r="AD5578" t="s">
        <v>59</v>
      </c>
      <c r="AF5578" s="1">
        <v>32021</v>
      </c>
      <c r="AG5578" t="s">
        <v>8645</v>
      </c>
      <c r="AH5578" t="s">
        <v>8646</v>
      </c>
      <c r="AI5578" t="str">
        <f>"9170424"</f>
        <v>9170424</v>
      </c>
      <c r="AJ5578" t="s">
        <v>8860</v>
      </c>
      <c r="AK5578">
        <v>2810254530</v>
      </c>
      <c r="AL5578" t="s">
        <v>8861</v>
      </c>
      <c r="AM5578" t="s">
        <v>78</v>
      </c>
      <c r="AN5578" t="s">
        <v>78</v>
      </c>
      <c r="AO5578" t="s">
        <v>78</v>
      </c>
      <c r="AP5578" t="s">
        <v>163</v>
      </c>
      <c r="AQ5578">
        <v>1</v>
      </c>
      <c r="AR5578" t="s">
        <v>80</v>
      </c>
      <c r="AS5578" t="s">
        <v>81</v>
      </c>
      <c r="AT5578" t="s">
        <v>58</v>
      </c>
      <c r="AU5578" t="s">
        <v>68</v>
      </c>
      <c r="AV5578" t="s">
        <v>69</v>
      </c>
      <c r="AW5578" s="1">
        <v>22266</v>
      </c>
      <c r="AX5578">
        <v>1</v>
      </c>
    </row>
    <row r="5579" spans="1:50">
      <c r="A5579">
        <v>578335</v>
      </c>
      <c r="B5579" t="str">
        <f>"034259685"</f>
        <v>034259685</v>
      </c>
      <c r="C5579" t="s">
        <v>50</v>
      </c>
      <c r="D5579" t="s">
        <v>4903</v>
      </c>
      <c r="E5579" t="s">
        <v>9921</v>
      </c>
      <c r="F5579" t="s">
        <v>995</v>
      </c>
      <c r="G5579" t="s">
        <v>250</v>
      </c>
      <c r="H5579" t="str">
        <f>" "</f>
        <v xml:space="preserve"> </v>
      </c>
      <c r="N5579" t="s">
        <v>615</v>
      </c>
      <c r="O5579" t="s">
        <v>616</v>
      </c>
      <c r="R5579" t="s">
        <v>57</v>
      </c>
      <c r="S5579">
        <v>14</v>
      </c>
      <c r="T5579">
        <v>165</v>
      </c>
      <c r="U5579" s="1">
        <v>35300</v>
      </c>
      <c r="V5579" t="s">
        <v>80</v>
      </c>
      <c r="W5579" t="s">
        <v>81</v>
      </c>
      <c r="X5579" t="s">
        <v>58</v>
      </c>
      <c r="Y5579">
        <v>21</v>
      </c>
      <c r="Z5579" t="s">
        <v>59</v>
      </c>
      <c r="AA5579" t="s">
        <v>59</v>
      </c>
      <c r="AB5579" t="s">
        <v>59</v>
      </c>
      <c r="AC5579" t="s">
        <v>59</v>
      </c>
      <c r="AD5579" t="s">
        <v>59</v>
      </c>
      <c r="AF5579" s="1">
        <v>35310</v>
      </c>
      <c r="AG5579" t="s">
        <v>8645</v>
      </c>
      <c r="AH5579" t="s">
        <v>8646</v>
      </c>
      <c r="AI5579" t="str">
        <f>"9170191"</f>
        <v>9170191</v>
      </c>
      <c r="AJ5579" t="s">
        <v>8667</v>
      </c>
      <c r="AK5579">
        <v>2810231459</v>
      </c>
      <c r="AL5579" t="s">
        <v>8668</v>
      </c>
      <c r="AM5579" t="s">
        <v>78</v>
      </c>
      <c r="AN5579" t="s">
        <v>78</v>
      </c>
      <c r="AO5579" t="s">
        <v>78</v>
      </c>
      <c r="AP5579" t="s">
        <v>163</v>
      </c>
      <c r="AQ5579">
        <v>1</v>
      </c>
      <c r="AR5579" t="s">
        <v>80</v>
      </c>
      <c r="AS5579" t="s">
        <v>81</v>
      </c>
      <c r="AT5579" t="s">
        <v>58</v>
      </c>
      <c r="AU5579" t="s">
        <v>68</v>
      </c>
      <c r="AV5579" t="s">
        <v>69</v>
      </c>
      <c r="AW5579" s="1">
        <v>24076</v>
      </c>
      <c r="AX5579">
        <v>1</v>
      </c>
    </row>
    <row r="5580" spans="1:50">
      <c r="A5580">
        <v>593878</v>
      </c>
      <c r="B5580" t="str">
        <f>"114567610"</f>
        <v>114567610</v>
      </c>
      <c r="C5580" t="s">
        <v>50</v>
      </c>
      <c r="D5580" t="s">
        <v>4903</v>
      </c>
      <c r="E5580" t="s">
        <v>181</v>
      </c>
      <c r="F5580" t="s">
        <v>309</v>
      </c>
      <c r="G5580" t="s">
        <v>4006</v>
      </c>
      <c r="H5580" t="str">
        <f>" "</f>
        <v xml:space="preserve"> </v>
      </c>
      <c r="N5580" t="s">
        <v>615</v>
      </c>
      <c r="O5580" t="s">
        <v>616</v>
      </c>
      <c r="R5580" t="s">
        <v>57</v>
      </c>
      <c r="S5580">
        <v>8</v>
      </c>
      <c r="T5580">
        <v>218</v>
      </c>
      <c r="U5580" s="1">
        <v>37134</v>
      </c>
      <c r="V5580" t="s">
        <v>80</v>
      </c>
      <c r="W5580" t="s">
        <v>81</v>
      </c>
      <c r="X5580" t="s">
        <v>58</v>
      </c>
      <c r="Y5580">
        <v>22</v>
      </c>
      <c r="Z5580" t="s">
        <v>59</v>
      </c>
      <c r="AA5580" t="s">
        <v>59</v>
      </c>
      <c r="AB5580" t="s">
        <v>59</v>
      </c>
      <c r="AC5580" t="s">
        <v>59</v>
      </c>
      <c r="AD5580" t="s">
        <v>59</v>
      </c>
      <c r="AF5580" s="1">
        <v>37137</v>
      </c>
      <c r="AG5580" t="s">
        <v>8645</v>
      </c>
      <c r="AH5580" t="s">
        <v>8646</v>
      </c>
      <c r="AI5580" t="str">
        <f>"9170102"</f>
        <v>9170102</v>
      </c>
      <c r="AJ5580" t="s">
        <v>9019</v>
      </c>
      <c r="AK5580">
        <v>2810283938</v>
      </c>
      <c r="AL5580" t="s">
        <v>9020</v>
      </c>
      <c r="AM5580" t="s">
        <v>78</v>
      </c>
      <c r="AN5580" t="s">
        <v>78</v>
      </c>
      <c r="AO5580" t="s">
        <v>78</v>
      </c>
      <c r="AP5580" t="s">
        <v>79</v>
      </c>
      <c r="AQ5580">
        <v>1</v>
      </c>
      <c r="AR5580" t="s">
        <v>80</v>
      </c>
      <c r="AS5580" t="s">
        <v>81</v>
      </c>
      <c r="AT5580" t="s">
        <v>58</v>
      </c>
      <c r="AU5580" t="s">
        <v>68</v>
      </c>
      <c r="AV5580" t="s">
        <v>69</v>
      </c>
      <c r="AW5580" s="1">
        <v>28462</v>
      </c>
      <c r="AX5580">
        <v>1</v>
      </c>
    </row>
    <row r="5581" spans="1:50">
      <c r="A5581">
        <v>205702</v>
      </c>
      <c r="B5581" t="str">
        <f>"070348716"</f>
        <v>070348716</v>
      </c>
      <c r="C5581" t="s">
        <v>105</v>
      </c>
      <c r="D5581" t="s">
        <v>1742</v>
      </c>
      <c r="E5581" t="s">
        <v>304</v>
      </c>
      <c r="F5581" t="s">
        <v>154</v>
      </c>
      <c r="G5581" t="s">
        <v>250</v>
      </c>
      <c r="H5581" t="str">
        <f>"ΑΧΑΙΩΝ 1 ΗΡΑΚΛΕΙΟ"</f>
        <v>ΑΧΑΙΩΝ 1 ΗΡΑΚΛΕΙΟ</v>
      </c>
      <c r="I5581">
        <v>71303</v>
      </c>
      <c r="J5581">
        <v>2810251938</v>
      </c>
      <c r="K5581">
        <v>6974125059</v>
      </c>
      <c r="L5581">
        <v>2810262624</v>
      </c>
      <c r="N5581" t="s">
        <v>204</v>
      </c>
      <c r="O5581" t="s">
        <v>205</v>
      </c>
      <c r="R5581" t="s">
        <v>57</v>
      </c>
      <c r="S5581">
        <v>7</v>
      </c>
      <c r="T5581">
        <v>231</v>
      </c>
      <c r="U5581" s="1">
        <v>38230</v>
      </c>
      <c r="V5581" t="s">
        <v>80</v>
      </c>
      <c r="W5581" t="s">
        <v>81</v>
      </c>
      <c r="X5581" t="s">
        <v>58</v>
      </c>
      <c r="Y5581">
        <v>23</v>
      </c>
      <c r="Z5581" t="s">
        <v>59</v>
      </c>
      <c r="AA5581" t="s">
        <v>59</v>
      </c>
      <c r="AB5581" t="s">
        <v>59</v>
      </c>
      <c r="AC5581" t="s">
        <v>59</v>
      </c>
      <c r="AD5581" t="s">
        <v>59</v>
      </c>
      <c r="AF5581" s="1">
        <v>38236</v>
      </c>
      <c r="AG5581" t="s">
        <v>8645</v>
      </c>
      <c r="AH5581" t="s">
        <v>8646</v>
      </c>
      <c r="AI5581" t="str">
        <f>"9170257"</f>
        <v>9170257</v>
      </c>
      <c r="AJ5581" t="s">
        <v>8710</v>
      </c>
      <c r="AK5581">
        <v>2810245513</v>
      </c>
      <c r="AL5581" t="s">
        <v>8711</v>
      </c>
      <c r="AM5581" t="s">
        <v>78</v>
      </c>
      <c r="AN5581" t="s">
        <v>78</v>
      </c>
      <c r="AO5581" t="s">
        <v>78</v>
      </c>
      <c r="AP5581" t="s">
        <v>213</v>
      </c>
      <c r="AQ5581">
        <v>1</v>
      </c>
      <c r="AR5581" t="s">
        <v>80</v>
      </c>
      <c r="AS5581" t="s">
        <v>81</v>
      </c>
      <c r="AT5581" t="s">
        <v>58</v>
      </c>
      <c r="AU5581" t="s">
        <v>68</v>
      </c>
      <c r="AV5581" t="s">
        <v>69</v>
      </c>
      <c r="AW5581" s="1">
        <v>27615</v>
      </c>
      <c r="AX5581">
        <v>1</v>
      </c>
    </row>
    <row r="5582" spans="1:50">
      <c r="A5582">
        <v>702090</v>
      </c>
      <c r="B5582" t="str">
        <f>"139430516"</f>
        <v>139430516</v>
      </c>
      <c r="C5582" t="s">
        <v>50</v>
      </c>
      <c r="D5582" t="s">
        <v>9922</v>
      </c>
      <c r="E5582" t="s">
        <v>396</v>
      </c>
      <c r="F5582" t="s">
        <v>84</v>
      </c>
      <c r="G5582" t="s">
        <v>263</v>
      </c>
      <c r="H5582" t="str">
        <f>"ΚΛΕΙΟΥΣ 2 ΔΡΑΜΑ"</f>
        <v>ΚΛΕΙΟΥΣ 2 ΔΡΑΜΑ</v>
      </c>
      <c r="I5582">
        <v>66100</v>
      </c>
      <c r="J5582">
        <v>2521030482</v>
      </c>
      <c r="K5582">
        <v>6976188464</v>
      </c>
      <c r="M5582" t="s">
        <v>9923</v>
      </c>
      <c r="N5582" t="s">
        <v>615</v>
      </c>
      <c r="O5582" t="s">
        <v>616</v>
      </c>
      <c r="R5582" t="s">
        <v>57</v>
      </c>
      <c r="S5582">
        <v>4</v>
      </c>
      <c r="T5582">
        <v>772</v>
      </c>
      <c r="U5582" s="1">
        <v>40413</v>
      </c>
      <c r="V5582" t="s">
        <v>80</v>
      </c>
      <c r="W5582" t="s">
        <v>81</v>
      </c>
      <c r="X5582" t="s">
        <v>58</v>
      </c>
      <c r="Y5582">
        <v>24</v>
      </c>
      <c r="Z5582" t="s">
        <v>59</v>
      </c>
      <c r="AA5582" t="s">
        <v>59</v>
      </c>
      <c r="AB5582" t="s">
        <v>59</v>
      </c>
      <c r="AC5582" t="s">
        <v>59</v>
      </c>
      <c r="AD5582" t="s">
        <v>59</v>
      </c>
      <c r="AF5582" s="1">
        <v>40414</v>
      </c>
      <c r="AG5582" t="s">
        <v>8645</v>
      </c>
      <c r="AH5582" t="s">
        <v>8646</v>
      </c>
      <c r="AI5582" t="str">
        <f>"9170242"</f>
        <v>9170242</v>
      </c>
      <c r="AJ5582" t="s">
        <v>9314</v>
      </c>
      <c r="AK5582">
        <v>2897031254</v>
      </c>
      <c r="AL5582" t="s">
        <v>9315</v>
      </c>
      <c r="AM5582" t="s">
        <v>78</v>
      </c>
      <c r="AN5582" t="s">
        <v>219</v>
      </c>
      <c r="AO5582" t="s">
        <v>527</v>
      </c>
      <c r="AP5582" t="s">
        <v>527</v>
      </c>
      <c r="AQ5582">
        <v>8</v>
      </c>
      <c r="AR5582" t="s">
        <v>80</v>
      </c>
      <c r="AS5582" t="s">
        <v>81</v>
      </c>
      <c r="AT5582" t="s">
        <v>58</v>
      </c>
      <c r="AU5582" t="s">
        <v>68</v>
      </c>
      <c r="AV5582" t="s">
        <v>69</v>
      </c>
      <c r="AW5582" s="1">
        <v>31756</v>
      </c>
      <c r="AX5582">
        <v>1</v>
      </c>
    </row>
    <row r="5583" spans="1:50">
      <c r="B5583" t="str">
        <f>"140439815"</f>
        <v>140439815</v>
      </c>
      <c r="C5583" t="s">
        <v>50</v>
      </c>
      <c r="D5583" t="s">
        <v>9924</v>
      </c>
      <c r="E5583" t="s">
        <v>237</v>
      </c>
      <c r="F5583" t="s">
        <v>95</v>
      </c>
      <c r="G5583" t="s">
        <v>1001</v>
      </c>
      <c r="H5583" t="str">
        <f>"ΓΑΛΗΝΟΥ 2 "</f>
        <v xml:space="preserve">ΓΑΛΗΝΟΥ 2 </v>
      </c>
      <c r="I5583">
        <v>41222</v>
      </c>
      <c r="J5583">
        <v>2410256644</v>
      </c>
      <c r="K5583">
        <v>6983729215</v>
      </c>
      <c r="N5583" t="s">
        <v>615</v>
      </c>
      <c r="O5583" t="s">
        <v>616</v>
      </c>
      <c r="R5583" t="s">
        <v>121</v>
      </c>
      <c r="S5583">
        <v>1</v>
      </c>
      <c r="T5583" t="s">
        <v>8717</v>
      </c>
      <c r="U5583" s="1">
        <v>43348</v>
      </c>
      <c r="V5583" t="s">
        <v>80</v>
      </c>
      <c r="W5583" t="s">
        <v>81</v>
      </c>
      <c r="X5583" t="s">
        <v>58</v>
      </c>
      <c r="Y5583">
        <v>24</v>
      </c>
      <c r="Z5583" t="s">
        <v>59</v>
      </c>
      <c r="AA5583" t="s">
        <v>59</v>
      </c>
      <c r="AB5583" t="s">
        <v>59</v>
      </c>
      <c r="AC5583" t="s">
        <v>59</v>
      </c>
      <c r="AD5583" t="s">
        <v>59</v>
      </c>
      <c r="AF5583" s="1">
        <v>43348</v>
      </c>
      <c r="AG5583" t="s">
        <v>8645</v>
      </c>
      <c r="AH5583" t="s">
        <v>8646</v>
      </c>
      <c r="AI5583" t="str">
        <f>"9170239"</f>
        <v>9170239</v>
      </c>
      <c r="AJ5583" t="s">
        <v>8814</v>
      </c>
      <c r="AK5583">
        <v>2897022076</v>
      </c>
      <c r="AL5583" t="s">
        <v>8815</v>
      </c>
      <c r="AM5583" t="s">
        <v>78</v>
      </c>
      <c r="AN5583" t="s">
        <v>219</v>
      </c>
      <c r="AO5583" t="s">
        <v>219</v>
      </c>
      <c r="AP5583" t="s">
        <v>220</v>
      </c>
      <c r="AQ5583">
        <v>8</v>
      </c>
      <c r="AR5583" t="s">
        <v>80</v>
      </c>
      <c r="AS5583" t="s">
        <v>81</v>
      </c>
      <c r="AT5583" t="s">
        <v>58</v>
      </c>
      <c r="AU5583" t="s">
        <v>8720</v>
      </c>
      <c r="AV5583" t="s">
        <v>132</v>
      </c>
      <c r="AW5583" s="1">
        <v>32368</v>
      </c>
      <c r="AX5583">
        <v>1</v>
      </c>
    </row>
    <row r="5584" spans="1:50">
      <c r="B5584" t="str">
        <f>"150911777"</f>
        <v>150911777</v>
      </c>
      <c r="C5584" t="s">
        <v>50</v>
      </c>
      <c r="D5584" t="s">
        <v>9925</v>
      </c>
      <c r="E5584" t="s">
        <v>155</v>
      </c>
      <c r="F5584" t="s">
        <v>99</v>
      </c>
      <c r="G5584" t="s">
        <v>5142</v>
      </c>
      <c r="H5584" t="str">
        <f>"ΦΩΚΩΝ 30 "</f>
        <v xml:space="preserve">ΦΩΚΩΝ 30 </v>
      </c>
      <c r="K5584">
        <v>6976853366</v>
      </c>
      <c r="N5584" t="s">
        <v>8834</v>
      </c>
      <c r="O5584" t="s">
        <v>8695</v>
      </c>
      <c r="R5584" t="s">
        <v>159</v>
      </c>
      <c r="S5584">
        <v>3</v>
      </c>
      <c r="T5584" t="s">
        <v>8835</v>
      </c>
      <c r="U5584" s="1">
        <v>43348</v>
      </c>
      <c r="V5584" t="s">
        <v>80</v>
      </c>
      <c r="W5584" t="s">
        <v>81</v>
      </c>
      <c r="X5584" t="s">
        <v>58</v>
      </c>
      <c r="Y5584">
        <v>24</v>
      </c>
      <c r="Z5584" t="s">
        <v>59</v>
      </c>
      <c r="AA5584" t="s">
        <v>59</v>
      </c>
      <c r="AB5584" t="s">
        <v>59</v>
      </c>
      <c r="AD5584" t="s">
        <v>59</v>
      </c>
      <c r="AF5584" s="1">
        <v>43348</v>
      </c>
      <c r="AG5584" t="s">
        <v>8645</v>
      </c>
      <c r="AH5584" t="s">
        <v>8646</v>
      </c>
      <c r="AI5584" t="str">
        <f>"9170197"</f>
        <v>9170197</v>
      </c>
      <c r="AJ5584" t="s">
        <v>8989</v>
      </c>
      <c r="AK5584">
        <v>2810232577</v>
      </c>
      <c r="AL5584" t="s">
        <v>8990</v>
      </c>
      <c r="AM5584" t="s">
        <v>78</v>
      </c>
      <c r="AN5584" t="s">
        <v>78</v>
      </c>
      <c r="AO5584" t="s">
        <v>78</v>
      </c>
      <c r="AP5584" t="s">
        <v>163</v>
      </c>
      <c r="AQ5584">
        <v>1</v>
      </c>
      <c r="AR5584" t="s">
        <v>80</v>
      </c>
      <c r="AS5584" t="s">
        <v>81</v>
      </c>
      <c r="AT5584" t="s">
        <v>58</v>
      </c>
      <c r="AU5584" t="s">
        <v>131</v>
      </c>
      <c r="AV5584" t="s">
        <v>132</v>
      </c>
      <c r="AW5584" s="1">
        <v>32903</v>
      </c>
      <c r="AX5584">
        <v>1</v>
      </c>
    </row>
    <row r="5585" spans="1:50">
      <c r="B5585" t="str">
        <f>"132473126"</f>
        <v>132473126</v>
      </c>
      <c r="C5585" t="s">
        <v>50</v>
      </c>
      <c r="D5585" t="s">
        <v>9926</v>
      </c>
      <c r="E5585" t="s">
        <v>5078</v>
      </c>
      <c r="F5585" t="s">
        <v>84</v>
      </c>
      <c r="G5585" t="s">
        <v>3739</v>
      </c>
      <c r="H5585" t="str">
        <f>"Δ/Δ ΟΛΥΜΠΙΑΔΑΣ "</f>
        <v xml:space="preserve">Δ/Δ ΟΛΥΜΠΙΑΔΑΣ </v>
      </c>
      <c r="I5585">
        <v>53200</v>
      </c>
      <c r="J5585">
        <v>2463075211</v>
      </c>
      <c r="K5585">
        <v>6973656633</v>
      </c>
      <c r="N5585" t="s">
        <v>1525</v>
      </c>
      <c r="O5585" t="s">
        <v>1526</v>
      </c>
      <c r="R5585" t="s">
        <v>159</v>
      </c>
      <c r="S5585">
        <v>3</v>
      </c>
      <c r="T5585" t="s">
        <v>8670</v>
      </c>
      <c r="U5585" s="1">
        <v>43348</v>
      </c>
      <c r="V5585" t="s">
        <v>80</v>
      </c>
      <c r="W5585" t="s">
        <v>81</v>
      </c>
      <c r="X5585" t="s">
        <v>58</v>
      </c>
      <c r="Y5585">
        <v>25</v>
      </c>
      <c r="Z5585" t="s">
        <v>59</v>
      </c>
      <c r="AA5585" t="s">
        <v>59</v>
      </c>
      <c r="AB5585" t="s">
        <v>59</v>
      </c>
      <c r="AC5585" t="s">
        <v>59</v>
      </c>
      <c r="AD5585" t="s">
        <v>59</v>
      </c>
      <c r="AF5585" s="1">
        <v>43348</v>
      </c>
      <c r="AG5585" t="s">
        <v>8651</v>
      </c>
      <c r="AH5585" t="s">
        <v>8652</v>
      </c>
      <c r="AI5585" t="str">
        <f>"9170040"</f>
        <v>9170040</v>
      </c>
      <c r="AJ5585" t="s">
        <v>8961</v>
      </c>
      <c r="AK5585">
        <v>2894023512</v>
      </c>
      <c r="AL5585" t="s">
        <v>8962</v>
      </c>
      <c r="AM5585" t="s">
        <v>78</v>
      </c>
      <c r="AN5585" t="s">
        <v>405</v>
      </c>
      <c r="AO5585" t="s">
        <v>406</v>
      </c>
      <c r="AP5585" t="s">
        <v>406</v>
      </c>
      <c r="AQ5585">
        <v>6</v>
      </c>
      <c r="AR5585" t="s">
        <v>80</v>
      </c>
      <c r="AS5585" t="s">
        <v>81</v>
      </c>
      <c r="AT5585" t="s">
        <v>58</v>
      </c>
      <c r="AU5585" t="s">
        <v>8673</v>
      </c>
      <c r="AV5585" t="s">
        <v>132</v>
      </c>
      <c r="AW5585" s="1">
        <v>30473</v>
      </c>
      <c r="AX5585">
        <v>1</v>
      </c>
    </row>
    <row r="5586" spans="1:50">
      <c r="B5586" t="str">
        <f>"132300854"</f>
        <v>132300854</v>
      </c>
      <c r="C5586" t="s">
        <v>105</v>
      </c>
      <c r="D5586" t="s">
        <v>9927</v>
      </c>
      <c r="E5586" t="s">
        <v>99</v>
      </c>
      <c r="F5586" t="s">
        <v>166</v>
      </c>
      <c r="G5586" t="s">
        <v>506</v>
      </c>
      <c r="H5586" t="str">
        <f>"Α.ΠΑΠΑΝΔΡΕΟΥ 79 ΗΡΑΚΛΕΙΟ"</f>
        <v>Α.ΠΑΠΑΝΔΡΕΟΥ 79 ΗΡΑΚΛΕΙΟ</v>
      </c>
      <c r="I5586">
        <v>71305</v>
      </c>
      <c r="J5586">
        <v>2810236285</v>
      </c>
      <c r="K5586">
        <v>6936910157</v>
      </c>
      <c r="N5586" t="s">
        <v>615</v>
      </c>
      <c r="O5586" t="s">
        <v>616</v>
      </c>
      <c r="R5586" t="s">
        <v>159</v>
      </c>
      <c r="S5586">
        <v>3</v>
      </c>
      <c r="T5586" t="s">
        <v>8675</v>
      </c>
      <c r="U5586" s="1">
        <v>43348</v>
      </c>
      <c r="V5586" t="s">
        <v>80</v>
      </c>
      <c r="W5586" t="s">
        <v>81</v>
      </c>
      <c r="X5586" t="s">
        <v>58</v>
      </c>
      <c r="Y5586">
        <v>24</v>
      </c>
      <c r="Z5586" t="s">
        <v>59</v>
      </c>
      <c r="AA5586" t="s">
        <v>59</v>
      </c>
      <c r="AB5586" t="s">
        <v>59</v>
      </c>
      <c r="AC5586" t="s">
        <v>59</v>
      </c>
      <c r="AD5586" t="s">
        <v>59</v>
      </c>
      <c r="AF5586" s="1">
        <v>43348</v>
      </c>
      <c r="AG5586" t="s">
        <v>8645</v>
      </c>
      <c r="AH5586" t="s">
        <v>8646</v>
      </c>
      <c r="AI5586" t="str">
        <f>"9170536"</f>
        <v>9170536</v>
      </c>
      <c r="AJ5586" t="s">
        <v>8740</v>
      </c>
      <c r="AK5586">
        <v>2892051187</v>
      </c>
      <c r="AL5586" t="s">
        <v>8741</v>
      </c>
      <c r="AM5586" t="s">
        <v>78</v>
      </c>
      <c r="AN5586" t="s">
        <v>242</v>
      </c>
      <c r="AO5586" t="s">
        <v>349</v>
      </c>
      <c r="AP5586" t="s">
        <v>349</v>
      </c>
      <c r="AQ5586">
        <v>19</v>
      </c>
      <c r="AR5586" t="s">
        <v>80</v>
      </c>
      <c r="AS5586" t="s">
        <v>81</v>
      </c>
      <c r="AT5586" t="s">
        <v>58</v>
      </c>
      <c r="AU5586" t="s">
        <v>8673</v>
      </c>
      <c r="AV5586" t="s">
        <v>132</v>
      </c>
      <c r="AW5586" s="1">
        <v>31920</v>
      </c>
      <c r="AX5586">
        <v>1</v>
      </c>
    </row>
    <row r="5587" spans="1:50">
      <c r="A5587">
        <v>579001</v>
      </c>
      <c r="B5587" t="str">
        <f>"063258898"</f>
        <v>063258898</v>
      </c>
      <c r="C5587" t="s">
        <v>50</v>
      </c>
      <c r="D5587" t="s">
        <v>1763</v>
      </c>
      <c r="E5587" t="s">
        <v>83</v>
      </c>
      <c r="F5587" t="s">
        <v>84</v>
      </c>
      <c r="G5587" t="s">
        <v>250</v>
      </c>
      <c r="H5587" t="str">
        <f>"Ποσειδώνος 52 Πόρος"</f>
        <v>Ποσειδώνος 52 Πόρος</v>
      </c>
      <c r="I5587">
        <v>71307</v>
      </c>
      <c r="J5587">
        <v>2810244646</v>
      </c>
      <c r="K5587">
        <v>6976303324</v>
      </c>
      <c r="M5587" t="s">
        <v>9928</v>
      </c>
      <c r="N5587" t="s">
        <v>615</v>
      </c>
      <c r="O5587" t="s">
        <v>616</v>
      </c>
      <c r="R5587" t="s">
        <v>57</v>
      </c>
      <c r="S5587">
        <v>13</v>
      </c>
      <c r="T5587">
        <v>165</v>
      </c>
      <c r="U5587" s="1">
        <v>35300</v>
      </c>
      <c r="V5587" t="s">
        <v>80</v>
      </c>
      <c r="W5587" t="s">
        <v>81</v>
      </c>
      <c r="X5587" t="s">
        <v>58</v>
      </c>
      <c r="Y5587">
        <v>21</v>
      </c>
      <c r="Z5587" t="s">
        <v>59</v>
      </c>
      <c r="AA5587" t="s">
        <v>59</v>
      </c>
      <c r="AB5587" t="s">
        <v>59</v>
      </c>
      <c r="AC5587" t="s">
        <v>59</v>
      </c>
      <c r="AD5587" t="s">
        <v>59</v>
      </c>
      <c r="AF5587" s="1">
        <v>35310</v>
      </c>
      <c r="AG5587" t="s">
        <v>8645</v>
      </c>
      <c r="AH5587" t="s">
        <v>8646</v>
      </c>
      <c r="AI5587" t="str">
        <f>"9170259"</f>
        <v>9170259</v>
      </c>
      <c r="AJ5587" t="s">
        <v>8784</v>
      </c>
      <c r="AK5587">
        <v>6994891960</v>
      </c>
      <c r="AL5587" t="s">
        <v>8785</v>
      </c>
      <c r="AM5587" t="s">
        <v>78</v>
      </c>
      <c r="AN5587" t="s">
        <v>78</v>
      </c>
      <c r="AO5587" t="s">
        <v>78</v>
      </c>
      <c r="AP5587" t="s">
        <v>213</v>
      </c>
      <c r="AQ5587">
        <v>1</v>
      </c>
      <c r="AR5587" t="s">
        <v>80</v>
      </c>
      <c r="AS5587" t="s">
        <v>81</v>
      </c>
      <c r="AT5587" t="s">
        <v>58</v>
      </c>
      <c r="AU5587" t="s">
        <v>68</v>
      </c>
      <c r="AV5587" t="s">
        <v>69</v>
      </c>
      <c r="AW5587" s="1">
        <v>20819</v>
      </c>
      <c r="AX5587">
        <v>1</v>
      </c>
    </row>
    <row r="5588" spans="1:50">
      <c r="A5588">
        <v>620017</v>
      </c>
      <c r="B5588" t="str">
        <f>"066998520"</f>
        <v>066998520</v>
      </c>
      <c r="C5588" t="s">
        <v>50</v>
      </c>
      <c r="D5588" t="s">
        <v>9929</v>
      </c>
      <c r="E5588" t="s">
        <v>255</v>
      </c>
      <c r="F5588" t="s">
        <v>108</v>
      </c>
      <c r="G5588" t="s">
        <v>340</v>
      </c>
      <c r="H5588" t="str">
        <f>"ΒΟΡΕΙΝΟ ΑΡΙΔΑΙΑΣ ΑΡΙΔΑΙΑ"</f>
        <v>ΒΟΡΕΙΝΟ ΑΡΙΔΑΙΑΣ ΑΡΙΔΑΙΑ</v>
      </c>
      <c r="I5588">
        <v>58400</v>
      </c>
      <c r="J5588">
        <v>2384071037</v>
      </c>
      <c r="K5588">
        <v>6945768057</v>
      </c>
      <c r="L5588">
        <v>6986262737</v>
      </c>
      <c r="M5588" t="s">
        <v>9930</v>
      </c>
      <c r="N5588" t="s">
        <v>176</v>
      </c>
      <c r="O5588" t="s">
        <v>177</v>
      </c>
      <c r="R5588" t="s">
        <v>57</v>
      </c>
      <c r="S5588">
        <v>6</v>
      </c>
      <c r="T5588">
        <v>775</v>
      </c>
      <c r="U5588" s="1">
        <v>39680</v>
      </c>
      <c r="V5588" t="s">
        <v>80</v>
      </c>
      <c r="W5588" t="s">
        <v>81</v>
      </c>
      <c r="X5588" t="s">
        <v>58</v>
      </c>
      <c r="Y5588">
        <v>23</v>
      </c>
      <c r="Z5588" t="s">
        <v>59</v>
      </c>
      <c r="AA5588" t="s">
        <v>59</v>
      </c>
      <c r="AB5588" t="s">
        <v>59</v>
      </c>
      <c r="AC5588" t="s">
        <v>59</v>
      </c>
      <c r="AD5588" t="s">
        <v>59</v>
      </c>
      <c r="AF5588" s="1">
        <v>39681</v>
      </c>
      <c r="AG5588" t="s">
        <v>8645</v>
      </c>
      <c r="AH5588" t="s">
        <v>8646</v>
      </c>
      <c r="AI5588" t="str">
        <f>"9521093"</f>
        <v>9521093</v>
      </c>
      <c r="AJ5588" t="s">
        <v>9153</v>
      </c>
      <c r="AK5588">
        <v>2810322162</v>
      </c>
      <c r="AL5588" t="s">
        <v>9154</v>
      </c>
      <c r="AM5588" t="s">
        <v>78</v>
      </c>
      <c r="AN5588" t="s">
        <v>78</v>
      </c>
      <c r="AO5588" t="s">
        <v>78</v>
      </c>
      <c r="AP5588" t="s">
        <v>163</v>
      </c>
      <c r="AQ5588">
        <v>1</v>
      </c>
      <c r="AR5588" t="s">
        <v>80</v>
      </c>
      <c r="AS5588" t="s">
        <v>81</v>
      </c>
      <c r="AT5588" t="s">
        <v>58</v>
      </c>
      <c r="AU5588" t="s">
        <v>68</v>
      </c>
      <c r="AV5588" t="s">
        <v>69</v>
      </c>
      <c r="AW5588" s="1">
        <v>26354</v>
      </c>
      <c r="AX5588">
        <v>1</v>
      </c>
    </row>
    <row r="5589" spans="1:50">
      <c r="B5589" t="str">
        <f>"139000067"</f>
        <v>139000067</v>
      </c>
      <c r="C5589" t="s">
        <v>105</v>
      </c>
      <c r="D5589" t="s">
        <v>9931</v>
      </c>
      <c r="E5589" t="s">
        <v>95</v>
      </c>
      <c r="F5589" t="s">
        <v>670</v>
      </c>
      <c r="G5589" t="s">
        <v>263</v>
      </c>
      <c r="H5589" t="str">
        <f>" "</f>
        <v xml:space="preserve"> </v>
      </c>
      <c r="N5589" t="s">
        <v>683</v>
      </c>
      <c r="O5589" t="s">
        <v>684</v>
      </c>
      <c r="R5589" t="s">
        <v>121</v>
      </c>
      <c r="S5589">
        <v>1</v>
      </c>
      <c r="T5589" t="s">
        <v>8675</v>
      </c>
      <c r="U5589" s="1">
        <v>43348</v>
      </c>
      <c r="V5589" t="s">
        <v>80</v>
      </c>
      <c r="W5589" t="s">
        <v>81</v>
      </c>
      <c r="X5589" t="s">
        <v>58</v>
      </c>
      <c r="Y5589">
        <v>24</v>
      </c>
      <c r="Z5589" t="s">
        <v>59</v>
      </c>
      <c r="AD5589" t="s">
        <v>59</v>
      </c>
      <c r="AF5589" s="1">
        <v>43348</v>
      </c>
      <c r="AG5589" t="s">
        <v>8645</v>
      </c>
      <c r="AH5589" t="s">
        <v>8646</v>
      </c>
      <c r="AI5589" t="str">
        <f>"9170338"</f>
        <v>9170338</v>
      </c>
      <c r="AJ5589" t="s">
        <v>8849</v>
      </c>
      <c r="AK5589">
        <v>2892051377</v>
      </c>
      <c r="AL5589" t="s">
        <v>8850</v>
      </c>
      <c r="AM5589" t="s">
        <v>78</v>
      </c>
      <c r="AN5589" t="s">
        <v>242</v>
      </c>
      <c r="AO5589" t="s">
        <v>349</v>
      </c>
      <c r="AP5589" t="s">
        <v>349</v>
      </c>
      <c r="AQ5589">
        <v>19</v>
      </c>
      <c r="AR5589" t="s">
        <v>80</v>
      </c>
      <c r="AS5589" t="s">
        <v>81</v>
      </c>
      <c r="AT5589" t="s">
        <v>58</v>
      </c>
      <c r="AU5589" t="s">
        <v>8673</v>
      </c>
      <c r="AV5589" t="s">
        <v>132</v>
      </c>
      <c r="AW5589" s="1">
        <v>34104</v>
      </c>
      <c r="AX5589">
        <v>1</v>
      </c>
    </row>
    <row r="5590" spans="1:50">
      <c r="A5590">
        <v>570659</v>
      </c>
      <c r="B5590" t="str">
        <f>"036069210"</f>
        <v>036069210</v>
      </c>
      <c r="C5590" t="s">
        <v>50</v>
      </c>
      <c r="D5590" t="s">
        <v>9932</v>
      </c>
      <c r="E5590" t="s">
        <v>9933</v>
      </c>
      <c r="F5590" t="s">
        <v>84</v>
      </c>
      <c r="G5590" t="s">
        <v>5626</v>
      </c>
      <c r="H5590" t="str">
        <f>"ΒΕΡΓΙΝΑΣ 6 ΗΡΑΚΛΕΙΟ"</f>
        <v>ΒΕΡΓΙΝΑΣ 6 ΗΡΑΚΛΕΙΟ</v>
      </c>
      <c r="I5590">
        <v>71410</v>
      </c>
      <c r="J5590">
        <v>2810256467</v>
      </c>
      <c r="K5590">
        <v>6970357100</v>
      </c>
      <c r="N5590" t="s">
        <v>615</v>
      </c>
      <c r="O5590" t="s">
        <v>616</v>
      </c>
      <c r="R5590" t="s">
        <v>57</v>
      </c>
      <c r="S5590">
        <v>13</v>
      </c>
      <c r="T5590" t="s">
        <v>9934</v>
      </c>
      <c r="U5590" s="1">
        <v>34206</v>
      </c>
      <c r="V5590" t="s">
        <v>80</v>
      </c>
      <c r="W5590" t="s">
        <v>81</v>
      </c>
      <c r="X5590" t="s">
        <v>58</v>
      </c>
      <c r="Y5590">
        <v>21</v>
      </c>
      <c r="Z5590" t="s">
        <v>59</v>
      </c>
      <c r="AA5590" t="s">
        <v>59</v>
      </c>
      <c r="AB5590" t="s">
        <v>59</v>
      </c>
      <c r="AC5590" t="s">
        <v>59</v>
      </c>
      <c r="AD5590" t="s">
        <v>59</v>
      </c>
      <c r="AF5590" s="1">
        <v>34213</v>
      </c>
      <c r="AG5590" t="s">
        <v>8645</v>
      </c>
      <c r="AH5590" t="s">
        <v>8646</v>
      </c>
      <c r="AI5590" t="str">
        <f>"9170580"</f>
        <v>9170580</v>
      </c>
      <c r="AJ5590" t="s">
        <v>9076</v>
      </c>
      <c r="AK5590">
        <v>2810542809</v>
      </c>
      <c r="AL5590" t="s">
        <v>9077</v>
      </c>
      <c r="AM5590" t="s">
        <v>78</v>
      </c>
      <c r="AN5590" t="s">
        <v>78</v>
      </c>
      <c r="AO5590" t="s">
        <v>78</v>
      </c>
      <c r="AP5590" t="s">
        <v>9053</v>
      </c>
      <c r="AQ5590">
        <v>1</v>
      </c>
      <c r="AR5590" t="s">
        <v>80</v>
      </c>
      <c r="AS5590" t="s">
        <v>81</v>
      </c>
      <c r="AT5590" t="s">
        <v>58</v>
      </c>
      <c r="AU5590" t="s">
        <v>68</v>
      </c>
      <c r="AV5590" t="s">
        <v>69</v>
      </c>
      <c r="AW5590" s="1">
        <v>24360</v>
      </c>
      <c r="AX5590">
        <v>1</v>
      </c>
    </row>
    <row r="5591" spans="1:50">
      <c r="B5591" t="str">
        <f>"159221027"</f>
        <v>159221027</v>
      </c>
      <c r="C5591" t="s">
        <v>50</v>
      </c>
      <c r="D5591" t="s">
        <v>9935</v>
      </c>
      <c r="E5591" t="s">
        <v>237</v>
      </c>
      <c r="F5591" t="s">
        <v>670</v>
      </c>
      <c r="G5591" t="s">
        <v>610</v>
      </c>
      <c r="H5591" t="str">
        <f>" "</f>
        <v xml:space="preserve"> </v>
      </c>
      <c r="N5591" t="s">
        <v>683</v>
      </c>
      <c r="O5591" t="s">
        <v>684</v>
      </c>
      <c r="R5591" t="s">
        <v>121</v>
      </c>
      <c r="S5591">
        <v>1</v>
      </c>
      <c r="T5591" t="s">
        <v>8675</v>
      </c>
      <c r="U5591" s="1">
        <v>43348</v>
      </c>
      <c r="V5591" t="s">
        <v>80</v>
      </c>
      <c r="W5591" t="s">
        <v>81</v>
      </c>
      <c r="X5591" t="s">
        <v>58</v>
      </c>
      <c r="Y5591">
        <v>24</v>
      </c>
      <c r="Z5591" t="s">
        <v>59</v>
      </c>
      <c r="AD5591" t="s">
        <v>59</v>
      </c>
      <c r="AF5591" s="1">
        <v>43348</v>
      </c>
      <c r="AG5591" t="s">
        <v>8645</v>
      </c>
      <c r="AH5591" t="s">
        <v>8646</v>
      </c>
      <c r="AI5591" t="str">
        <f>"9170250"</f>
        <v>9170250</v>
      </c>
      <c r="AJ5591" t="s">
        <v>8823</v>
      </c>
      <c r="AK5591">
        <v>2897022005</v>
      </c>
      <c r="AL5591" t="s">
        <v>8824</v>
      </c>
      <c r="AM5591" t="s">
        <v>78</v>
      </c>
      <c r="AN5591" t="s">
        <v>219</v>
      </c>
      <c r="AO5591" t="s">
        <v>219</v>
      </c>
      <c r="AP5591" t="s">
        <v>219</v>
      </c>
      <c r="AQ5591">
        <v>8</v>
      </c>
      <c r="AR5591" t="s">
        <v>80</v>
      </c>
      <c r="AS5591" t="s">
        <v>81</v>
      </c>
      <c r="AT5591" t="s">
        <v>58</v>
      </c>
      <c r="AU5591" t="s">
        <v>8673</v>
      </c>
      <c r="AV5591" t="s">
        <v>132</v>
      </c>
      <c r="AW5591" s="1">
        <v>34205</v>
      </c>
      <c r="AX5591">
        <v>1</v>
      </c>
    </row>
    <row r="5592" spans="1:50">
      <c r="A5592">
        <v>616444</v>
      </c>
      <c r="B5592" t="str">
        <f>"129091696"</f>
        <v>129091696</v>
      </c>
      <c r="C5592" t="s">
        <v>50</v>
      </c>
      <c r="D5592" t="s">
        <v>1774</v>
      </c>
      <c r="E5592" t="s">
        <v>1067</v>
      </c>
      <c r="F5592" t="s">
        <v>760</v>
      </c>
      <c r="G5592" t="s">
        <v>83</v>
      </c>
      <c r="H5592" t="str">
        <f>"ΑΓ.ΛΑΥΡΑΣ 19 ΗΡΑΚΛΕΙΟ"</f>
        <v>ΑΓ.ΛΑΥΡΑΣ 19 ΗΡΑΚΛΕΙΟ</v>
      </c>
      <c r="I5592">
        <v>71307</v>
      </c>
      <c r="J5592">
        <v>2813010600</v>
      </c>
      <c r="K5592">
        <v>6977793117</v>
      </c>
      <c r="L5592">
        <v>2298053803</v>
      </c>
      <c r="M5592" t="s">
        <v>9936</v>
      </c>
      <c r="N5592" t="s">
        <v>1525</v>
      </c>
      <c r="O5592" t="s">
        <v>1526</v>
      </c>
      <c r="R5592" t="s">
        <v>57</v>
      </c>
      <c r="S5592">
        <v>5</v>
      </c>
      <c r="T5592" t="s">
        <v>9937</v>
      </c>
      <c r="U5592" s="1">
        <v>39311</v>
      </c>
      <c r="V5592" t="s">
        <v>80</v>
      </c>
      <c r="W5592" t="s">
        <v>81</v>
      </c>
      <c r="X5592" t="s">
        <v>58</v>
      </c>
      <c r="Y5592">
        <v>25</v>
      </c>
      <c r="Z5592" t="s">
        <v>59</v>
      </c>
      <c r="AA5592" t="s">
        <v>59</v>
      </c>
      <c r="AB5592" t="s">
        <v>59</v>
      </c>
      <c r="AC5592" t="s">
        <v>59</v>
      </c>
      <c r="AD5592" t="s">
        <v>59</v>
      </c>
      <c r="AF5592" s="1">
        <v>39328</v>
      </c>
      <c r="AG5592" t="s">
        <v>8651</v>
      </c>
      <c r="AH5592" t="s">
        <v>8652</v>
      </c>
      <c r="AI5592" t="str">
        <f>"9170186"</f>
        <v>9170186</v>
      </c>
      <c r="AJ5592" t="s">
        <v>9902</v>
      </c>
      <c r="AK5592">
        <v>2810211547</v>
      </c>
      <c r="AL5592" t="s">
        <v>9903</v>
      </c>
      <c r="AM5592" t="s">
        <v>78</v>
      </c>
      <c r="AN5592" t="s">
        <v>78</v>
      </c>
      <c r="AO5592" t="s">
        <v>78</v>
      </c>
      <c r="AP5592" t="s">
        <v>213</v>
      </c>
      <c r="AQ5592">
        <v>1</v>
      </c>
      <c r="AR5592" t="s">
        <v>80</v>
      </c>
      <c r="AS5592" t="s">
        <v>81</v>
      </c>
      <c r="AT5592" t="s">
        <v>58</v>
      </c>
      <c r="AU5592" t="s">
        <v>68</v>
      </c>
      <c r="AV5592" t="s">
        <v>69</v>
      </c>
      <c r="AW5592" s="1">
        <v>29120</v>
      </c>
      <c r="AX5592">
        <v>1</v>
      </c>
    </row>
    <row r="5593" spans="1:50">
      <c r="B5593" t="str">
        <f>"123154928"</f>
        <v>123154928</v>
      </c>
      <c r="C5593" t="s">
        <v>105</v>
      </c>
      <c r="D5593" t="s">
        <v>9938</v>
      </c>
      <c r="E5593" t="s">
        <v>1062</v>
      </c>
      <c r="F5593" t="s">
        <v>1841</v>
      </c>
      <c r="G5593" t="s">
        <v>52</v>
      </c>
      <c r="H5593" t="str">
        <f>"ΘΑΛΕΙΑΣ 4 ΗΡΑΚΛΕΙΟ"</f>
        <v>ΘΑΛΕΙΑΣ 4 ΗΡΑΚΛΕΙΟ</v>
      </c>
      <c r="I5593">
        <v>71409</v>
      </c>
      <c r="J5593">
        <v>2810230287</v>
      </c>
      <c r="K5593">
        <v>6945541630</v>
      </c>
      <c r="N5593" t="s">
        <v>8694</v>
      </c>
      <c r="O5593" t="s">
        <v>8695</v>
      </c>
      <c r="R5593" t="s">
        <v>159</v>
      </c>
      <c r="S5593">
        <v>4</v>
      </c>
      <c r="T5593" t="s">
        <v>8696</v>
      </c>
      <c r="U5593" s="1">
        <v>43348</v>
      </c>
      <c r="V5593" t="s">
        <v>80</v>
      </c>
      <c r="W5593" t="s">
        <v>81</v>
      </c>
      <c r="X5593" t="s">
        <v>58</v>
      </c>
      <c r="Y5593">
        <v>24</v>
      </c>
      <c r="Z5593" t="s">
        <v>59</v>
      </c>
      <c r="AA5593" t="s">
        <v>59</v>
      </c>
      <c r="AB5593" t="s">
        <v>59</v>
      </c>
      <c r="AC5593" t="s">
        <v>59</v>
      </c>
      <c r="AD5593" t="s">
        <v>59</v>
      </c>
      <c r="AF5593" s="1">
        <v>43348</v>
      </c>
      <c r="AG5593" t="s">
        <v>8645</v>
      </c>
      <c r="AH5593" t="s">
        <v>8646</v>
      </c>
      <c r="AI5593" t="str">
        <f>"9170262"</f>
        <v>9170262</v>
      </c>
      <c r="AJ5593" t="s">
        <v>9224</v>
      </c>
      <c r="AK5593">
        <v>2810245912</v>
      </c>
      <c r="AL5593" t="s">
        <v>9225</v>
      </c>
      <c r="AM5593" t="s">
        <v>78</v>
      </c>
      <c r="AN5593" t="s">
        <v>78</v>
      </c>
      <c r="AO5593" t="s">
        <v>286</v>
      </c>
      <c r="AP5593" t="s">
        <v>286</v>
      </c>
      <c r="AQ5593">
        <v>1</v>
      </c>
      <c r="AR5593" t="s">
        <v>80</v>
      </c>
      <c r="AS5593" t="s">
        <v>81</v>
      </c>
      <c r="AT5593" t="s">
        <v>58</v>
      </c>
      <c r="AU5593" t="s">
        <v>350</v>
      </c>
      <c r="AV5593" t="s">
        <v>132</v>
      </c>
      <c r="AW5593" s="1">
        <v>30186</v>
      </c>
      <c r="AX5593">
        <v>1</v>
      </c>
    </row>
    <row r="5594" spans="1:50">
      <c r="A5594">
        <v>579231</v>
      </c>
      <c r="B5594" t="str">
        <f>"035992280"</f>
        <v>035992280</v>
      </c>
      <c r="C5594" t="s">
        <v>50</v>
      </c>
      <c r="D5594" t="s">
        <v>9939</v>
      </c>
      <c r="E5594" t="s">
        <v>52</v>
      </c>
      <c r="F5594" t="s">
        <v>8970</v>
      </c>
      <c r="G5594" t="s">
        <v>263</v>
      </c>
      <c r="H5594" t="str">
        <f>"ΟΔ. ΑΝΔΡΟΥΤΣΟΥ 11 ΗΡΑΚΛΕΙΟ"</f>
        <v>ΟΔ. ΑΝΔΡΟΥΤΣΟΥ 11 ΗΡΑΚΛΕΙΟ</v>
      </c>
      <c r="I5594">
        <v>71304</v>
      </c>
      <c r="J5594">
        <v>2810316096</v>
      </c>
      <c r="K5594">
        <v>6937957299</v>
      </c>
      <c r="M5594" t="s">
        <v>9940</v>
      </c>
      <c r="N5594" t="s">
        <v>615</v>
      </c>
      <c r="O5594" t="s">
        <v>616</v>
      </c>
      <c r="R5594" t="s">
        <v>57</v>
      </c>
      <c r="S5594">
        <v>13</v>
      </c>
      <c r="T5594">
        <v>165</v>
      </c>
      <c r="U5594" s="1">
        <v>35300</v>
      </c>
      <c r="V5594" t="s">
        <v>80</v>
      </c>
      <c r="W5594" t="s">
        <v>81</v>
      </c>
      <c r="X5594" t="s">
        <v>58</v>
      </c>
      <c r="Y5594">
        <v>21</v>
      </c>
      <c r="Z5594" t="s">
        <v>59</v>
      </c>
      <c r="AA5594" t="s">
        <v>59</v>
      </c>
      <c r="AB5594" t="s">
        <v>59</v>
      </c>
      <c r="AC5594" t="s">
        <v>59</v>
      </c>
      <c r="AD5594" t="s">
        <v>59</v>
      </c>
      <c r="AF5594" s="1">
        <v>35313</v>
      </c>
      <c r="AG5594" t="s">
        <v>8645</v>
      </c>
      <c r="AH5594" t="s">
        <v>8646</v>
      </c>
      <c r="AI5594" t="str">
        <f>"9170515"</f>
        <v>9170515</v>
      </c>
      <c r="AJ5594" t="s">
        <v>8790</v>
      </c>
      <c r="AK5594">
        <v>2810254821</v>
      </c>
      <c r="AL5594" t="s">
        <v>8791</v>
      </c>
      <c r="AM5594" t="s">
        <v>78</v>
      </c>
      <c r="AN5594" t="s">
        <v>78</v>
      </c>
      <c r="AO5594" t="s">
        <v>78</v>
      </c>
      <c r="AP5594" t="s">
        <v>163</v>
      </c>
      <c r="AQ5594">
        <v>1</v>
      </c>
      <c r="AR5594" t="s">
        <v>80</v>
      </c>
      <c r="AS5594" t="s">
        <v>81</v>
      </c>
      <c r="AT5594" t="s">
        <v>58</v>
      </c>
      <c r="AU5594" t="s">
        <v>68</v>
      </c>
      <c r="AV5594" t="s">
        <v>2039</v>
      </c>
      <c r="AW5594" s="1">
        <v>24396</v>
      </c>
      <c r="AX5594">
        <v>1</v>
      </c>
    </row>
    <row r="5595" spans="1:50">
      <c r="A5595">
        <v>614609</v>
      </c>
      <c r="B5595" t="str">
        <f>"070991240"</f>
        <v>070991240</v>
      </c>
      <c r="C5595" t="s">
        <v>50</v>
      </c>
      <c r="D5595" t="s">
        <v>9941</v>
      </c>
      <c r="E5595" t="s">
        <v>103</v>
      </c>
      <c r="F5595" t="s">
        <v>166</v>
      </c>
      <c r="G5595" t="s">
        <v>263</v>
      </c>
      <c r="H5595" t="str">
        <f>"ΠΡΩΤΑΓΟΡΑ 12 ΗΡΑΚΛΕΙΟ"</f>
        <v>ΠΡΩΤΑΓΟΡΑ 12 ΗΡΑΚΛΕΙΟ</v>
      </c>
      <c r="I5595">
        <v>71410</v>
      </c>
      <c r="J5595">
        <v>2810528809</v>
      </c>
      <c r="K5595">
        <v>6973532297</v>
      </c>
      <c r="M5595" t="s">
        <v>9942</v>
      </c>
      <c r="N5595" t="s">
        <v>615</v>
      </c>
      <c r="O5595" t="s">
        <v>616</v>
      </c>
      <c r="R5595" t="s">
        <v>57</v>
      </c>
      <c r="S5595">
        <v>8</v>
      </c>
      <c r="T5595">
        <v>598</v>
      </c>
      <c r="U5595" s="1">
        <v>39328</v>
      </c>
      <c r="V5595" t="s">
        <v>80</v>
      </c>
      <c r="W5595" t="s">
        <v>81</v>
      </c>
      <c r="X5595" t="s">
        <v>58</v>
      </c>
      <c r="Y5595">
        <v>23</v>
      </c>
      <c r="Z5595" t="s">
        <v>59</v>
      </c>
      <c r="AA5595" t="s">
        <v>59</v>
      </c>
      <c r="AB5595" t="s">
        <v>59</v>
      </c>
      <c r="AC5595" t="s">
        <v>59</v>
      </c>
      <c r="AD5595" t="s">
        <v>59</v>
      </c>
      <c r="AF5595" s="1">
        <v>39328</v>
      </c>
      <c r="AG5595" t="s">
        <v>8645</v>
      </c>
      <c r="AH5595" t="s">
        <v>8646</v>
      </c>
      <c r="AI5595" t="str">
        <f>"9521093"</f>
        <v>9521093</v>
      </c>
      <c r="AJ5595" t="s">
        <v>9153</v>
      </c>
      <c r="AK5595">
        <v>2810322162</v>
      </c>
      <c r="AL5595" t="s">
        <v>9154</v>
      </c>
      <c r="AM5595" t="s">
        <v>78</v>
      </c>
      <c r="AN5595" t="s">
        <v>78</v>
      </c>
      <c r="AO5595" t="s">
        <v>78</v>
      </c>
      <c r="AP5595" t="s">
        <v>163</v>
      </c>
      <c r="AQ5595">
        <v>1</v>
      </c>
      <c r="AR5595" t="s">
        <v>80</v>
      </c>
      <c r="AS5595" t="s">
        <v>81</v>
      </c>
      <c r="AT5595" t="s">
        <v>58</v>
      </c>
      <c r="AU5595" t="s">
        <v>68</v>
      </c>
      <c r="AV5595" t="s">
        <v>2039</v>
      </c>
      <c r="AW5595" s="1">
        <v>30467</v>
      </c>
      <c r="AX5595">
        <v>1</v>
      </c>
    </row>
    <row r="5596" spans="1:50">
      <c r="A5596">
        <v>567953</v>
      </c>
      <c r="B5596" t="str">
        <f>"032602632"</f>
        <v>032602632</v>
      </c>
      <c r="C5596" t="s">
        <v>50</v>
      </c>
      <c r="D5596" t="s">
        <v>4916</v>
      </c>
      <c r="E5596" t="s">
        <v>73</v>
      </c>
      <c r="F5596" t="s">
        <v>4730</v>
      </c>
      <c r="G5596" t="s">
        <v>610</v>
      </c>
      <c r="H5596" t="str">
        <f>" "</f>
        <v xml:space="preserve"> </v>
      </c>
      <c r="N5596" t="s">
        <v>615</v>
      </c>
      <c r="O5596" t="s">
        <v>616</v>
      </c>
      <c r="R5596" t="s">
        <v>57</v>
      </c>
      <c r="S5596">
        <v>14</v>
      </c>
      <c r="T5596">
        <v>133</v>
      </c>
      <c r="U5596" s="1">
        <v>33456</v>
      </c>
      <c r="V5596" t="s">
        <v>80</v>
      </c>
      <c r="W5596" t="s">
        <v>81</v>
      </c>
      <c r="X5596" t="s">
        <v>58</v>
      </c>
      <c r="Y5596">
        <v>21</v>
      </c>
      <c r="Z5596" t="s">
        <v>59</v>
      </c>
      <c r="AA5596" t="s">
        <v>59</v>
      </c>
      <c r="AB5596" t="s">
        <v>59</v>
      </c>
      <c r="AC5596" t="s">
        <v>59</v>
      </c>
      <c r="AD5596" t="s">
        <v>59</v>
      </c>
      <c r="AF5596" s="1">
        <v>33483</v>
      </c>
      <c r="AG5596" t="s">
        <v>8645</v>
      </c>
      <c r="AH5596" t="s">
        <v>8646</v>
      </c>
      <c r="AI5596" t="str">
        <f>"9170345"</f>
        <v>9170345</v>
      </c>
      <c r="AJ5596" t="s">
        <v>9429</v>
      </c>
      <c r="AK5596">
        <v>2810289563</v>
      </c>
      <c r="AL5596" t="s">
        <v>9430</v>
      </c>
      <c r="AM5596" t="s">
        <v>78</v>
      </c>
      <c r="AN5596" t="s">
        <v>78</v>
      </c>
      <c r="AO5596" t="s">
        <v>78</v>
      </c>
      <c r="AP5596" t="s">
        <v>79</v>
      </c>
      <c r="AQ5596">
        <v>1</v>
      </c>
      <c r="AR5596" t="s">
        <v>80</v>
      </c>
      <c r="AS5596" t="s">
        <v>81</v>
      </c>
      <c r="AT5596" t="s">
        <v>58</v>
      </c>
      <c r="AU5596" t="s">
        <v>68</v>
      </c>
      <c r="AV5596" t="s">
        <v>69</v>
      </c>
      <c r="AW5596" s="1">
        <v>23944</v>
      </c>
      <c r="AX5596">
        <v>1</v>
      </c>
    </row>
    <row r="5597" spans="1:50">
      <c r="A5597">
        <v>594604</v>
      </c>
      <c r="B5597" t="str">
        <f>"066375734"</f>
        <v>066375734</v>
      </c>
      <c r="C5597" t="s">
        <v>50</v>
      </c>
      <c r="D5597" t="s">
        <v>9943</v>
      </c>
      <c r="E5597" t="s">
        <v>52</v>
      </c>
      <c r="F5597" t="s">
        <v>84</v>
      </c>
      <c r="G5597" t="s">
        <v>109</v>
      </c>
      <c r="H5597" t="str">
        <f>"ΖΕΡΒΟΥΔΑΚΗ 1 ΗΡΑΚΛΕΙΟ"</f>
        <v>ΖΕΡΒΟΥΔΑΚΗ 1 ΗΡΑΚΛΕΙΟ</v>
      </c>
      <c r="I5597">
        <v>71306</v>
      </c>
      <c r="J5597">
        <v>2810281962</v>
      </c>
      <c r="K5597">
        <v>6939538970</v>
      </c>
      <c r="N5597" t="s">
        <v>615</v>
      </c>
      <c r="O5597" t="s">
        <v>616</v>
      </c>
      <c r="R5597" t="s">
        <v>57</v>
      </c>
      <c r="S5597">
        <v>10</v>
      </c>
      <c r="T5597">
        <v>218</v>
      </c>
      <c r="U5597" s="1">
        <v>37134</v>
      </c>
      <c r="V5597" t="s">
        <v>80</v>
      </c>
      <c r="W5597" t="s">
        <v>81</v>
      </c>
      <c r="X5597" t="s">
        <v>58</v>
      </c>
      <c r="Y5597">
        <v>22</v>
      </c>
      <c r="Z5597" t="s">
        <v>59</v>
      </c>
      <c r="AA5597" t="s">
        <v>59</v>
      </c>
      <c r="AB5597" t="s">
        <v>59</v>
      </c>
      <c r="AC5597" t="s">
        <v>59</v>
      </c>
      <c r="AD5597" t="s">
        <v>59</v>
      </c>
      <c r="AF5597" s="1">
        <v>37137</v>
      </c>
      <c r="AG5597" t="s">
        <v>8645</v>
      </c>
      <c r="AH5597" t="s">
        <v>8646</v>
      </c>
      <c r="AI5597" t="str">
        <f>"9170109"</f>
        <v>9170109</v>
      </c>
      <c r="AJ5597" t="s">
        <v>9056</v>
      </c>
      <c r="AK5597">
        <v>2810212659</v>
      </c>
      <c r="AL5597" t="s">
        <v>9057</v>
      </c>
      <c r="AM5597" t="s">
        <v>78</v>
      </c>
      <c r="AN5597" t="s">
        <v>78</v>
      </c>
      <c r="AO5597" t="s">
        <v>78</v>
      </c>
      <c r="AP5597" t="s">
        <v>163</v>
      </c>
      <c r="AQ5597">
        <v>1</v>
      </c>
      <c r="AR5597" t="s">
        <v>80</v>
      </c>
      <c r="AS5597" t="s">
        <v>81</v>
      </c>
      <c r="AT5597" t="s">
        <v>58</v>
      </c>
      <c r="AU5597" t="s">
        <v>68</v>
      </c>
      <c r="AV5597" t="s">
        <v>69</v>
      </c>
      <c r="AW5597" s="1">
        <v>24902</v>
      </c>
      <c r="AX5597">
        <v>1</v>
      </c>
    </row>
    <row r="5598" spans="1:50">
      <c r="B5598" t="str">
        <f>"126768422"</f>
        <v>126768422</v>
      </c>
      <c r="C5598" t="s">
        <v>50</v>
      </c>
      <c r="D5598" t="s">
        <v>9944</v>
      </c>
      <c r="E5598" t="s">
        <v>109</v>
      </c>
      <c r="F5598" t="s">
        <v>99</v>
      </c>
      <c r="G5598" t="s">
        <v>1078</v>
      </c>
      <c r="H5598" t="str">
        <f>"ΑΛ. ΠΑΠΑΝΑΣΤΑΣΙΟΥ 97 "</f>
        <v xml:space="preserve">ΑΛ. ΠΑΠΑΝΑΣΤΑΣΙΟΥ 97 </v>
      </c>
      <c r="I5598">
        <v>54453</v>
      </c>
      <c r="J5598">
        <v>2310945483</v>
      </c>
      <c r="K5598">
        <v>6984080733</v>
      </c>
      <c r="N5598" t="s">
        <v>1525</v>
      </c>
      <c r="O5598" t="s">
        <v>1526</v>
      </c>
      <c r="R5598" t="s">
        <v>159</v>
      </c>
      <c r="S5598">
        <v>2</v>
      </c>
      <c r="T5598" t="s">
        <v>8670</v>
      </c>
      <c r="U5598" s="1">
        <v>43348</v>
      </c>
      <c r="V5598" t="s">
        <v>80</v>
      </c>
      <c r="W5598" t="s">
        <v>81</v>
      </c>
      <c r="X5598" t="s">
        <v>58</v>
      </c>
      <c r="Y5598">
        <v>25</v>
      </c>
      <c r="Z5598" t="s">
        <v>59</v>
      </c>
      <c r="AA5598" t="s">
        <v>59</v>
      </c>
      <c r="AB5598" t="s">
        <v>59</v>
      </c>
      <c r="AC5598" t="s">
        <v>59</v>
      </c>
      <c r="AD5598" t="s">
        <v>59</v>
      </c>
      <c r="AF5598" s="1">
        <v>43348</v>
      </c>
      <c r="AG5598" t="s">
        <v>8651</v>
      </c>
      <c r="AH5598" t="s">
        <v>8652</v>
      </c>
      <c r="AI5598" t="str">
        <f>"9170047"</f>
        <v>9170047</v>
      </c>
      <c r="AJ5598" t="s">
        <v>9945</v>
      </c>
      <c r="AK5598">
        <v>2810289645</v>
      </c>
      <c r="AL5598" t="s">
        <v>9946</v>
      </c>
      <c r="AM5598" t="s">
        <v>78</v>
      </c>
      <c r="AN5598" t="s">
        <v>78</v>
      </c>
      <c r="AO5598" t="s">
        <v>78</v>
      </c>
      <c r="AP5598" t="s">
        <v>79</v>
      </c>
      <c r="AQ5598">
        <v>1</v>
      </c>
      <c r="AR5598" t="s">
        <v>80</v>
      </c>
      <c r="AS5598" t="s">
        <v>81</v>
      </c>
      <c r="AT5598" t="s">
        <v>58</v>
      </c>
      <c r="AU5598" t="s">
        <v>8673</v>
      </c>
      <c r="AV5598" t="s">
        <v>132</v>
      </c>
      <c r="AW5598" s="1">
        <v>24252</v>
      </c>
      <c r="AX5598">
        <v>1</v>
      </c>
    </row>
    <row r="5599" spans="1:50">
      <c r="B5599" t="str">
        <f>"159921394"</f>
        <v>159921394</v>
      </c>
      <c r="C5599" t="s">
        <v>50</v>
      </c>
      <c r="D5599" t="s">
        <v>6030</v>
      </c>
      <c r="E5599" t="s">
        <v>9947</v>
      </c>
      <c r="F5599" t="s">
        <v>72</v>
      </c>
      <c r="G5599" t="s">
        <v>1792</v>
      </c>
      <c r="H5599" t="str">
        <f>" "</f>
        <v xml:space="preserve"> </v>
      </c>
      <c r="N5599" t="s">
        <v>8694</v>
      </c>
      <c r="O5599" t="s">
        <v>8695</v>
      </c>
      <c r="R5599" t="s">
        <v>121</v>
      </c>
      <c r="S5599">
        <v>1</v>
      </c>
      <c r="T5599" t="s">
        <v>8835</v>
      </c>
      <c r="U5599" s="1">
        <v>43348</v>
      </c>
      <c r="V5599" t="s">
        <v>80</v>
      </c>
      <c r="W5599" t="s">
        <v>81</v>
      </c>
      <c r="X5599" t="s">
        <v>58</v>
      </c>
      <c r="Y5599">
        <v>24</v>
      </c>
      <c r="Z5599" t="s">
        <v>59</v>
      </c>
      <c r="AA5599" t="s">
        <v>59</v>
      </c>
      <c r="AB5599" t="s">
        <v>59</v>
      </c>
      <c r="AD5599" t="s">
        <v>59</v>
      </c>
      <c r="AF5599" s="1">
        <v>43348</v>
      </c>
      <c r="AG5599" t="s">
        <v>8645</v>
      </c>
      <c r="AH5599" t="s">
        <v>8646</v>
      </c>
      <c r="AI5599" t="str">
        <f>"9170343"</f>
        <v>9170343</v>
      </c>
      <c r="AJ5599" t="s">
        <v>8743</v>
      </c>
      <c r="AK5599">
        <v>2810283970</v>
      </c>
      <c r="AL5599" t="s">
        <v>8744</v>
      </c>
      <c r="AM5599" t="s">
        <v>78</v>
      </c>
      <c r="AN5599" t="s">
        <v>78</v>
      </c>
      <c r="AO5599" t="s">
        <v>78</v>
      </c>
      <c r="AP5599" t="s">
        <v>79</v>
      </c>
      <c r="AQ5599">
        <v>1</v>
      </c>
      <c r="AR5599" t="s">
        <v>80</v>
      </c>
      <c r="AS5599" t="s">
        <v>81</v>
      </c>
      <c r="AT5599" t="s">
        <v>58</v>
      </c>
      <c r="AU5599" t="s">
        <v>131</v>
      </c>
      <c r="AV5599" t="s">
        <v>132</v>
      </c>
      <c r="AW5599" s="1">
        <v>34356</v>
      </c>
      <c r="AX5599">
        <v>1</v>
      </c>
    </row>
    <row r="5600" spans="1:50">
      <c r="A5600">
        <v>605770</v>
      </c>
      <c r="B5600" t="str">
        <f>"118905377"</f>
        <v>118905377</v>
      </c>
      <c r="C5600" t="s">
        <v>50</v>
      </c>
      <c r="D5600" t="s">
        <v>9948</v>
      </c>
      <c r="E5600" t="s">
        <v>809</v>
      </c>
      <c r="F5600" t="s">
        <v>760</v>
      </c>
      <c r="G5600" t="s">
        <v>476</v>
      </c>
      <c r="H5600" t="str">
        <f>"ΜΕΓΑΛΗ ΒΡΥΣΗ ΗΡΑΚΛΕΙΟ"</f>
        <v>ΜΕΓΑΛΗ ΒΡΥΣΗ ΗΡΑΚΛΕΙΟ</v>
      </c>
      <c r="I5600">
        <v>70003</v>
      </c>
      <c r="J5600">
        <v>2894022601</v>
      </c>
      <c r="K5600">
        <v>6979923041</v>
      </c>
      <c r="N5600" t="s">
        <v>615</v>
      </c>
      <c r="O5600" t="s">
        <v>616</v>
      </c>
      <c r="R5600" t="s">
        <v>57</v>
      </c>
      <c r="S5600">
        <v>7</v>
      </c>
      <c r="T5600">
        <v>231</v>
      </c>
      <c r="U5600" s="1">
        <v>38230</v>
      </c>
      <c r="V5600" t="s">
        <v>80</v>
      </c>
      <c r="W5600" t="s">
        <v>81</v>
      </c>
      <c r="X5600" t="s">
        <v>58</v>
      </c>
      <c r="Y5600">
        <v>22</v>
      </c>
      <c r="Z5600" t="s">
        <v>59</v>
      </c>
      <c r="AA5600" t="s">
        <v>59</v>
      </c>
      <c r="AB5600" t="s">
        <v>59</v>
      </c>
      <c r="AC5600" t="s">
        <v>59</v>
      </c>
      <c r="AD5600" t="s">
        <v>59</v>
      </c>
      <c r="AF5600" s="1">
        <v>38231</v>
      </c>
      <c r="AG5600" t="s">
        <v>8645</v>
      </c>
      <c r="AH5600" t="s">
        <v>8646</v>
      </c>
      <c r="AI5600" t="str">
        <f>"9170018"</f>
        <v>9170018</v>
      </c>
      <c r="AJ5600" t="s">
        <v>8924</v>
      </c>
      <c r="AK5600">
        <v>2810821217</v>
      </c>
      <c r="AL5600" t="s">
        <v>8925</v>
      </c>
      <c r="AM5600" t="s">
        <v>78</v>
      </c>
      <c r="AN5600" t="s">
        <v>129</v>
      </c>
      <c r="AO5600" t="s">
        <v>130</v>
      </c>
      <c r="AP5600" t="s">
        <v>130</v>
      </c>
      <c r="AQ5600">
        <v>1</v>
      </c>
      <c r="AR5600" t="s">
        <v>80</v>
      </c>
      <c r="AS5600" t="s">
        <v>81</v>
      </c>
      <c r="AT5600" t="s">
        <v>58</v>
      </c>
      <c r="AU5600" t="s">
        <v>68</v>
      </c>
      <c r="AV5600" t="s">
        <v>69</v>
      </c>
      <c r="AW5600" s="1">
        <v>29172</v>
      </c>
      <c r="AX5600">
        <v>1</v>
      </c>
    </row>
    <row r="5601" spans="1:50">
      <c r="A5601">
        <v>614723</v>
      </c>
      <c r="B5601" t="str">
        <f>"118905389"</f>
        <v>118905389</v>
      </c>
      <c r="C5601" t="s">
        <v>50</v>
      </c>
      <c r="D5601" t="s">
        <v>9948</v>
      </c>
      <c r="E5601" t="s">
        <v>52</v>
      </c>
      <c r="F5601" t="s">
        <v>760</v>
      </c>
      <c r="G5601" t="s">
        <v>476</v>
      </c>
      <c r="H5601" t="str">
        <f>"ΒΡΑΧΟΚΗΠΟΣ- ΒΑΘΕΙΑΝΟΣ ΚΑΜΠΟΣ ΗΡΑΚΛΕΙΟ"</f>
        <v>ΒΡΑΧΟΚΗΠΟΣ- ΒΑΘΕΙΑΝΟΣ ΚΑΜΠΟΣ ΗΡΑΚΛΕΙΟ</v>
      </c>
      <c r="I5601">
        <v>71500</v>
      </c>
      <c r="J5601">
        <v>2894022601</v>
      </c>
      <c r="K5601">
        <v>6982970543</v>
      </c>
      <c r="M5601" t="s">
        <v>9949</v>
      </c>
      <c r="N5601" t="s">
        <v>615</v>
      </c>
      <c r="O5601" t="s">
        <v>616</v>
      </c>
      <c r="R5601" t="s">
        <v>57</v>
      </c>
      <c r="S5601">
        <v>4</v>
      </c>
      <c r="T5601">
        <v>598</v>
      </c>
      <c r="U5601" s="1">
        <v>39310</v>
      </c>
      <c r="V5601" t="s">
        <v>80</v>
      </c>
      <c r="W5601" t="s">
        <v>81</v>
      </c>
      <c r="X5601" t="s">
        <v>58</v>
      </c>
      <c r="Y5601">
        <v>24</v>
      </c>
      <c r="Z5601" t="s">
        <v>59</v>
      </c>
      <c r="AA5601" t="s">
        <v>59</v>
      </c>
      <c r="AB5601" t="s">
        <v>59</v>
      </c>
      <c r="AC5601" t="s">
        <v>59</v>
      </c>
      <c r="AD5601" t="s">
        <v>59</v>
      </c>
      <c r="AF5601" s="1">
        <v>39329</v>
      </c>
      <c r="AG5601" t="s">
        <v>8645</v>
      </c>
      <c r="AH5601" t="s">
        <v>8646</v>
      </c>
      <c r="AI5601" t="str">
        <f>"9170205"</f>
        <v>9170205</v>
      </c>
      <c r="AJ5601" t="s">
        <v>8794</v>
      </c>
      <c r="AK5601">
        <v>2810762030</v>
      </c>
      <c r="AL5601" t="s">
        <v>8795</v>
      </c>
      <c r="AM5601" t="s">
        <v>78</v>
      </c>
      <c r="AN5601" t="s">
        <v>219</v>
      </c>
      <c r="AO5601" t="s">
        <v>297</v>
      </c>
      <c r="AP5601" t="s">
        <v>8796</v>
      </c>
      <c r="AQ5601">
        <v>7</v>
      </c>
      <c r="AR5601" t="s">
        <v>80</v>
      </c>
      <c r="AS5601" t="s">
        <v>81</v>
      </c>
      <c r="AT5601" t="s">
        <v>58</v>
      </c>
      <c r="AU5601" t="s">
        <v>68</v>
      </c>
      <c r="AV5601" t="s">
        <v>69</v>
      </c>
      <c r="AW5601" s="1">
        <v>30935</v>
      </c>
      <c r="AX5601">
        <v>1</v>
      </c>
    </row>
    <row r="5602" spans="1:50">
      <c r="A5602">
        <v>613233</v>
      </c>
      <c r="B5602" t="str">
        <f>"138956227"</f>
        <v>138956227</v>
      </c>
      <c r="C5602" t="s">
        <v>50</v>
      </c>
      <c r="D5602" t="s">
        <v>9950</v>
      </c>
      <c r="E5602" t="s">
        <v>181</v>
      </c>
      <c r="F5602" t="s">
        <v>760</v>
      </c>
      <c r="G5602" t="s">
        <v>237</v>
      </c>
      <c r="H5602" t="str">
        <f>"ΚΡΑΠΗΣ 8  ΠΟΡΟΣ-ΗΡΑΚΛΕΙΟ"</f>
        <v>ΚΡΑΠΗΣ 8  ΠΟΡΟΣ-ΗΡΑΚΛΕΙΟ</v>
      </c>
      <c r="I5602">
        <v>71307</v>
      </c>
      <c r="J5602">
        <v>2810240346</v>
      </c>
      <c r="K5602">
        <v>6938165632</v>
      </c>
      <c r="L5602">
        <v>2810762171</v>
      </c>
      <c r="M5602" t="s">
        <v>9951</v>
      </c>
      <c r="N5602" t="s">
        <v>615</v>
      </c>
      <c r="O5602" t="s">
        <v>616</v>
      </c>
      <c r="R5602" t="s">
        <v>57</v>
      </c>
      <c r="S5602">
        <v>6</v>
      </c>
      <c r="T5602">
        <v>598</v>
      </c>
      <c r="U5602" s="1">
        <v>39310</v>
      </c>
      <c r="V5602" t="s">
        <v>80</v>
      </c>
      <c r="W5602" t="s">
        <v>81</v>
      </c>
      <c r="X5602" t="s">
        <v>58</v>
      </c>
      <c r="Y5602">
        <v>23</v>
      </c>
      <c r="Z5602" t="s">
        <v>59</v>
      </c>
      <c r="AA5602" t="s">
        <v>59</v>
      </c>
      <c r="AB5602" t="s">
        <v>59</v>
      </c>
      <c r="AC5602" t="s">
        <v>59</v>
      </c>
      <c r="AD5602" t="s">
        <v>59</v>
      </c>
      <c r="AF5602" s="1">
        <v>39328</v>
      </c>
      <c r="AG5602" t="s">
        <v>8645</v>
      </c>
      <c r="AH5602" t="s">
        <v>8646</v>
      </c>
      <c r="AI5602" t="str">
        <f>"9170255"</f>
        <v>9170255</v>
      </c>
      <c r="AJ5602" t="s">
        <v>8915</v>
      </c>
      <c r="AK5602">
        <v>2810220750</v>
      </c>
      <c r="AL5602" t="s">
        <v>8916</v>
      </c>
      <c r="AM5602" t="s">
        <v>78</v>
      </c>
      <c r="AN5602" t="s">
        <v>78</v>
      </c>
      <c r="AO5602" t="s">
        <v>78</v>
      </c>
      <c r="AP5602" t="s">
        <v>213</v>
      </c>
      <c r="AQ5602">
        <v>1</v>
      </c>
      <c r="AR5602" t="s">
        <v>80</v>
      </c>
      <c r="AS5602" t="s">
        <v>81</v>
      </c>
      <c r="AT5602" t="s">
        <v>58</v>
      </c>
      <c r="AU5602" t="s">
        <v>68</v>
      </c>
      <c r="AV5602" t="s">
        <v>69</v>
      </c>
      <c r="AW5602" s="1">
        <v>30188</v>
      </c>
      <c r="AX5602">
        <v>1</v>
      </c>
    </row>
    <row r="5603" spans="1:50">
      <c r="B5603" t="str">
        <f>"125315724"</f>
        <v>125315724</v>
      </c>
      <c r="C5603" t="s">
        <v>50</v>
      </c>
      <c r="D5603" t="s">
        <v>1789</v>
      </c>
      <c r="E5603" t="s">
        <v>181</v>
      </c>
      <c r="F5603" t="s">
        <v>581</v>
      </c>
      <c r="G5603" t="s">
        <v>460</v>
      </c>
      <c r="H5603" t="str">
        <f>"ΓΡ. ΛΑΜΠΡΑΚΗ 10 "</f>
        <v xml:space="preserve">ΓΡ. ΛΑΜΠΡΑΚΗ 10 </v>
      </c>
      <c r="I5603">
        <v>48100</v>
      </c>
      <c r="J5603">
        <v>2682022344</v>
      </c>
      <c r="K5603">
        <v>6949983818</v>
      </c>
      <c r="N5603" t="s">
        <v>615</v>
      </c>
      <c r="O5603" t="s">
        <v>616</v>
      </c>
      <c r="R5603" t="s">
        <v>159</v>
      </c>
      <c r="S5603">
        <v>5</v>
      </c>
      <c r="T5603" t="s">
        <v>8675</v>
      </c>
      <c r="U5603" s="1">
        <v>43348</v>
      </c>
      <c r="V5603" t="s">
        <v>80</v>
      </c>
      <c r="W5603" t="s">
        <v>81</v>
      </c>
      <c r="X5603" t="s">
        <v>58</v>
      </c>
      <c r="Y5603">
        <v>24</v>
      </c>
      <c r="Z5603" t="s">
        <v>59</v>
      </c>
      <c r="AA5603" t="s">
        <v>59</v>
      </c>
      <c r="AB5603" t="s">
        <v>59</v>
      </c>
      <c r="AC5603" t="s">
        <v>59</v>
      </c>
      <c r="AD5603" t="s">
        <v>59</v>
      </c>
      <c r="AF5603" s="1">
        <v>43348</v>
      </c>
      <c r="AG5603" t="s">
        <v>8645</v>
      </c>
      <c r="AH5603" t="s">
        <v>8646</v>
      </c>
      <c r="AI5603" t="str">
        <f>"9170205"</f>
        <v>9170205</v>
      </c>
      <c r="AJ5603" t="s">
        <v>8794</v>
      </c>
      <c r="AK5603">
        <v>2810762030</v>
      </c>
      <c r="AL5603" t="s">
        <v>8795</v>
      </c>
      <c r="AM5603" t="s">
        <v>78</v>
      </c>
      <c r="AN5603" t="s">
        <v>219</v>
      </c>
      <c r="AO5603" t="s">
        <v>297</v>
      </c>
      <c r="AP5603" t="s">
        <v>8796</v>
      </c>
      <c r="AQ5603">
        <v>7</v>
      </c>
      <c r="AR5603" t="s">
        <v>80</v>
      </c>
      <c r="AS5603" t="s">
        <v>81</v>
      </c>
      <c r="AT5603" t="s">
        <v>58</v>
      </c>
      <c r="AU5603" t="s">
        <v>8673</v>
      </c>
      <c r="AV5603" t="s">
        <v>132</v>
      </c>
      <c r="AW5603" s="1">
        <v>32222</v>
      </c>
      <c r="AX5603">
        <v>1</v>
      </c>
    </row>
    <row r="5604" spans="1:50">
      <c r="A5604">
        <v>565459</v>
      </c>
      <c r="B5604" t="str">
        <f>"036456295"</f>
        <v>036456295</v>
      </c>
      <c r="C5604" t="s">
        <v>105</v>
      </c>
      <c r="D5604" t="s">
        <v>9952</v>
      </c>
      <c r="E5604" t="s">
        <v>53</v>
      </c>
      <c r="F5604" t="s">
        <v>108</v>
      </c>
      <c r="G5604" t="s">
        <v>143</v>
      </c>
      <c r="H5604" t="str">
        <f>"ΙΠΠΟΚΡΑΤΟΥΣ 3 ΦΟΡΤΕΤΣΑ-ΗΡΑΚΛΕΙΟ"</f>
        <v>ΙΠΠΟΚΡΑΤΟΥΣ 3 ΦΟΡΤΕΤΣΑ-ΗΡΑΚΛΕΙΟ</v>
      </c>
      <c r="I5604">
        <v>71409</v>
      </c>
      <c r="J5604">
        <v>2810323679</v>
      </c>
      <c r="K5604">
        <v>6977920657</v>
      </c>
      <c r="M5604" t="s">
        <v>9953</v>
      </c>
      <c r="N5604" t="s">
        <v>615</v>
      </c>
      <c r="O5604" t="s">
        <v>616</v>
      </c>
      <c r="R5604" t="s">
        <v>57</v>
      </c>
      <c r="S5604">
        <v>16</v>
      </c>
      <c r="T5604">
        <v>163</v>
      </c>
      <c r="U5604" s="1">
        <v>33119</v>
      </c>
      <c r="V5604" t="s">
        <v>80</v>
      </c>
      <c r="W5604" t="s">
        <v>81</v>
      </c>
      <c r="X5604" t="s">
        <v>58</v>
      </c>
      <c r="Y5604">
        <v>21</v>
      </c>
      <c r="Z5604" t="s">
        <v>59</v>
      </c>
      <c r="AA5604" t="s">
        <v>59</v>
      </c>
      <c r="AB5604" t="s">
        <v>59</v>
      </c>
      <c r="AC5604" t="s">
        <v>59</v>
      </c>
      <c r="AD5604" t="s">
        <v>59</v>
      </c>
      <c r="AF5604" s="1">
        <v>33121</v>
      </c>
      <c r="AG5604" t="s">
        <v>8645</v>
      </c>
      <c r="AH5604" t="s">
        <v>8646</v>
      </c>
      <c r="AI5604" t="str">
        <f>"9170494"</f>
        <v>9170494</v>
      </c>
      <c r="AJ5604" t="s">
        <v>9125</v>
      </c>
      <c r="AK5604">
        <v>2810228361</v>
      </c>
      <c r="AL5604" t="s">
        <v>9126</v>
      </c>
      <c r="AM5604" t="s">
        <v>78</v>
      </c>
      <c r="AN5604" t="s">
        <v>78</v>
      </c>
      <c r="AO5604" t="s">
        <v>78</v>
      </c>
      <c r="AP5604" t="s">
        <v>79</v>
      </c>
      <c r="AQ5604">
        <v>1</v>
      </c>
      <c r="AR5604" t="s">
        <v>80</v>
      </c>
      <c r="AS5604" t="s">
        <v>81</v>
      </c>
      <c r="AT5604" t="s">
        <v>58</v>
      </c>
      <c r="AU5604" t="s">
        <v>68</v>
      </c>
      <c r="AV5604" t="s">
        <v>69</v>
      </c>
      <c r="AW5604" s="1">
        <v>24263</v>
      </c>
      <c r="AX5604">
        <v>1</v>
      </c>
    </row>
    <row r="5605" spans="1:50">
      <c r="A5605">
        <v>703844</v>
      </c>
      <c r="B5605" t="str">
        <f>"072745416"</f>
        <v>072745416</v>
      </c>
      <c r="C5605" t="s">
        <v>50</v>
      </c>
      <c r="D5605" t="s">
        <v>9954</v>
      </c>
      <c r="E5605" t="s">
        <v>237</v>
      </c>
      <c r="F5605" t="s">
        <v>304</v>
      </c>
      <c r="G5605" t="s">
        <v>6093</v>
      </c>
      <c r="H5605" t="str">
        <f>"ΓΑΛΑΝΗ 27 "</f>
        <v xml:space="preserve">ΓΑΛΑΝΗ 27 </v>
      </c>
      <c r="I5605">
        <v>41335</v>
      </c>
      <c r="J5605">
        <v>2410285344</v>
      </c>
      <c r="K5605">
        <v>6974299462</v>
      </c>
      <c r="N5605" t="s">
        <v>1525</v>
      </c>
      <c r="O5605" t="s">
        <v>1526</v>
      </c>
      <c r="R5605" t="s">
        <v>57</v>
      </c>
      <c r="S5605">
        <v>4</v>
      </c>
      <c r="T5605">
        <v>224</v>
      </c>
      <c r="U5605" s="1">
        <v>41695</v>
      </c>
      <c r="V5605" t="s">
        <v>80</v>
      </c>
      <c r="W5605" t="s">
        <v>81</v>
      </c>
      <c r="X5605" t="s">
        <v>58</v>
      </c>
      <c r="Y5605">
        <v>25</v>
      </c>
      <c r="Z5605" t="s">
        <v>59</v>
      </c>
      <c r="AA5605" t="s">
        <v>59</v>
      </c>
      <c r="AB5605" t="s">
        <v>59</v>
      </c>
      <c r="AC5605" t="s">
        <v>59</v>
      </c>
      <c r="AD5605" t="s">
        <v>59</v>
      </c>
      <c r="AF5605" s="1">
        <v>41695</v>
      </c>
      <c r="AG5605" t="s">
        <v>8651</v>
      </c>
      <c r="AH5605" t="s">
        <v>8652</v>
      </c>
      <c r="AI5605" t="str">
        <f>"9170464"</f>
        <v>9170464</v>
      </c>
      <c r="AJ5605" t="s">
        <v>9955</v>
      </c>
      <c r="AK5605">
        <v>2897042950</v>
      </c>
      <c r="AL5605" t="s">
        <v>9956</v>
      </c>
      <c r="AM5605" t="s">
        <v>78</v>
      </c>
      <c r="AN5605" t="s">
        <v>219</v>
      </c>
      <c r="AO5605" t="s">
        <v>297</v>
      </c>
      <c r="AP5605" t="s">
        <v>297</v>
      </c>
      <c r="AQ5605">
        <v>7</v>
      </c>
      <c r="AR5605" t="s">
        <v>80</v>
      </c>
      <c r="AS5605" t="s">
        <v>81</v>
      </c>
      <c r="AT5605" t="s">
        <v>58</v>
      </c>
      <c r="AU5605" t="s">
        <v>68</v>
      </c>
      <c r="AV5605" t="s">
        <v>69</v>
      </c>
      <c r="AW5605" s="1">
        <v>24838</v>
      </c>
      <c r="AX5605">
        <v>1</v>
      </c>
    </row>
    <row r="5606" spans="1:50">
      <c r="B5606" t="str">
        <f>"120611481"</f>
        <v>120611481</v>
      </c>
      <c r="C5606" t="s">
        <v>50</v>
      </c>
      <c r="D5606" t="s">
        <v>9957</v>
      </c>
      <c r="E5606" t="s">
        <v>52</v>
      </c>
      <c r="F5606" t="s">
        <v>95</v>
      </c>
      <c r="G5606" t="s">
        <v>83</v>
      </c>
      <c r="H5606" t="str">
        <f>"ΚΑΝΑΡΗ 1 ΘΕΣΣΑΛΟΝΙΚΗ"</f>
        <v>ΚΑΝΑΡΗ 1 ΘΕΣΣΑΛΟΝΙΚΗ</v>
      </c>
      <c r="I5606">
        <v>55438</v>
      </c>
      <c r="J5606">
        <v>2313008759</v>
      </c>
      <c r="K5606">
        <v>6976237929</v>
      </c>
      <c r="N5606" t="s">
        <v>204</v>
      </c>
      <c r="O5606" t="s">
        <v>205</v>
      </c>
      <c r="R5606" t="s">
        <v>159</v>
      </c>
      <c r="S5606">
        <v>4</v>
      </c>
      <c r="T5606" t="s">
        <v>8675</v>
      </c>
      <c r="U5606" s="1">
        <v>43348</v>
      </c>
      <c r="V5606" t="s">
        <v>80</v>
      </c>
      <c r="W5606" t="s">
        <v>81</v>
      </c>
      <c r="X5606" t="s">
        <v>58</v>
      </c>
      <c r="Y5606">
        <v>24</v>
      </c>
      <c r="Z5606" t="s">
        <v>59</v>
      </c>
      <c r="AA5606" t="s">
        <v>59</v>
      </c>
      <c r="AB5606" t="s">
        <v>59</v>
      </c>
      <c r="AC5606" t="s">
        <v>59</v>
      </c>
      <c r="AD5606" t="s">
        <v>59</v>
      </c>
      <c r="AF5606" s="1">
        <v>43348</v>
      </c>
      <c r="AG5606" t="s">
        <v>8645</v>
      </c>
      <c r="AH5606" t="s">
        <v>8646</v>
      </c>
      <c r="AI5606" t="str">
        <f>"9170343"</f>
        <v>9170343</v>
      </c>
      <c r="AJ5606" t="s">
        <v>8743</v>
      </c>
      <c r="AK5606">
        <v>2810283970</v>
      </c>
      <c r="AL5606" t="s">
        <v>8744</v>
      </c>
      <c r="AM5606" t="s">
        <v>78</v>
      </c>
      <c r="AN5606" t="s">
        <v>78</v>
      </c>
      <c r="AO5606" t="s">
        <v>78</v>
      </c>
      <c r="AP5606" t="s">
        <v>79</v>
      </c>
      <c r="AQ5606">
        <v>1</v>
      </c>
      <c r="AR5606" t="s">
        <v>80</v>
      </c>
      <c r="AS5606" t="s">
        <v>81</v>
      </c>
      <c r="AT5606" t="s">
        <v>58</v>
      </c>
      <c r="AU5606" t="s">
        <v>8673</v>
      </c>
      <c r="AV5606" t="s">
        <v>132</v>
      </c>
      <c r="AW5606" s="1">
        <v>29250</v>
      </c>
      <c r="AX5606">
        <v>1</v>
      </c>
    </row>
    <row r="5607" spans="1:50">
      <c r="A5607">
        <v>559225</v>
      </c>
      <c r="B5607" t="str">
        <f>"104903766"</f>
        <v>104903766</v>
      </c>
      <c r="C5607" t="s">
        <v>50</v>
      </c>
      <c r="D5607" t="s">
        <v>9958</v>
      </c>
      <c r="E5607" t="s">
        <v>52</v>
      </c>
      <c r="F5607" t="s">
        <v>72</v>
      </c>
      <c r="G5607" t="s">
        <v>934</v>
      </c>
      <c r="H5607" t="str">
        <f>"ΑΝΤΙΓΟΝΗΣ 8 ΗΡΑΚΛΕΙΟ"</f>
        <v>ΑΝΤΙΓΟΝΗΣ 8 ΗΡΑΚΛΕΙΟ</v>
      </c>
      <c r="I5607">
        <v>71304</v>
      </c>
      <c r="J5607">
        <v>2810310851</v>
      </c>
      <c r="K5607">
        <v>6972332491</v>
      </c>
      <c r="N5607" t="s">
        <v>615</v>
      </c>
      <c r="O5607" t="s">
        <v>616</v>
      </c>
      <c r="R5607" t="s">
        <v>57</v>
      </c>
      <c r="S5607">
        <v>16</v>
      </c>
      <c r="T5607">
        <v>168</v>
      </c>
      <c r="U5607" s="1">
        <v>32010</v>
      </c>
      <c r="V5607" t="s">
        <v>80</v>
      </c>
      <c r="W5607" t="s">
        <v>81</v>
      </c>
      <c r="X5607" t="s">
        <v>58</v>
      </c>
      <c r="Y5607">
        <v>21</v>
      </c>
      <c r="Z5607" t="s">
        <v>59</v>
      </c>
      <c r="AA5607" t="s">
        <v>59</v>
      </c>
      <c r="AB5607" t="s">
        <v>59</v>
      </c>
      <c r="AC5607" t="s">
        <v>59</v>
      </c>
      <c r="AD5607" t="s">
        <v>59</v>
      </c>
      <c r="AF5607" s="1">
        <v>32021</v>
      </c>
      <c r="AG5607" t="s">
        <v>8645</v>
      </c>
      <c r="AH5607" t="s">
        <v>8646</v>
      </c>
      <c r="AI5607" t="str">
        <f>"9170424"</f>
        <v>9170424</v>
      </c>
      <c r="AJ5607" t="s">
        <v>8860</v>
      </c>
      <c r="AK5607">
        <v>2810254530</v>
      </c>
      <c r="AL5607" t="s">
        <v>8861</v>
      </c>
      <c r="AM5607" t="s">
        <v>78</v>
      </c>
      <c r="AN5607" t="s">
        <v>78</v>
      </c>
      <c r="AO5607" t="s">
        <v>78</v>
      </c>
      <c r="AP5607" t="s">
        <v>163</v>
      </c>
      <c r="AQ5607">
        <v>1</v>
      </c>
      <c r="AR5607" t="s">
        <v>80</v>
      </c>
      <c r="AS5607" t="s">
        <v>81</v>
      </c>
      <c r="AT5607" t="s">
        <v>58</v>
      </c>
      <c r="AU5607" t="s">
        <v>68</v>
      </c>
      <c r="AV5607" t="s">
        <v>69</v>
      </c>
      <c r="AW5607" s="1">
        <v>23529</v>
      </c>
      <c r="AX5607">
        <v>1</v>
      </c>
    </row>
    <row r="5608" spans="1:50">
      <c r="B5608" t="str">
        <f>"147205398"</f>
        <v>147205398</v>
      </c>
      <c r="C5608" t="s">
        <v>50</v>
      </c>
      <c r="D5608" t="s">
        <v>9958</v>
      </c>
      <c r="E5608" t="s">
        <v>188</v>
      </c>
      <c r="F5608" t="s">
        <v>72</v>
      </c>
      <c r="G5608" t="s">
        <v>934</v>
      </c>
      <c r="H5608" t="str">
        <f>" "</f>
        <v xml:space="preserve"> </v>
      </c>
      <c r="N5608" t="s">
        <v>615</v>
      </c>
      <c r="O5608" t="s">
        <v>616</v>
      </c>
      <c r="R5608" t="s">
        <v>159</v>
      </c>
      <c r="S5608">
        <v>3</v>
      </c>
      <c r="T5608" t="s">
        <v>8675</v>
      </c>
      <c r="U5608" s="1">
        <v>43348</v>
      </c>
      <c r="V5608" t="s">
        <v>80</v>
      </c>
      <c r="W5608" t="s">
        <v>81</v>
      </c>
      <c r="X5608" t="s">
        <v>58</v>
      </c>
      <c r="Y5608">
        <v>24</v>
      </c>
      <c r="Z5608" t="s">
        <v>59</v>
      </c>
      <c r="AA5608" t="s">
        <v>59</v>
      </c>
      <c r="AB5608" t="s">
        <v>59</v>
      </c>
      <c r="AD5608" t="s">
        <v>59</v>
      </c>
      <c r="AF5608" s="1">
        <v>43348</v>
      </c>
      <c r="AG5608" t="s">
        <v>8645</v>
      </c>
      <c r="AH5608" t="s">
        <v>8646</v>
      </c>
      <c r="AI5608" t="str">
        <f>"9170516"</f>
        <v>9170516</v>
      </c>
      <c r="AJ5608" t="s">
        <v>8746</v>
      </c>
      <c r="AK5608">
        <v>2810236861</v>
      </c>
      <c r="AL5608" t="s">
        <v>8747</v>
      </c>
      <c r="AM5608" t="s">
        <v>78</v>
      </c>
      <c r="AN5608" t="s">
        <v>78</v>
      </c>
      <c r="AO5608" t="s">
        <v>78</v>
      </c>
      <c r="AP5608" t="s">
        <v>163</v>
      </c>
      <c r="AQ5608">
        <v>1</v>
      </c>
      <c r="AR5608" t="s">
        <v>80</v>
      </c>
      <c r="AS5608" t="s">
        <v>81</v>
      </c>
      <c r="AT5608" t="s">
        <v>58</v>
      </c>
      <c r="AU5608" t="s">
        <v>8673</v>
      </c>
      <c r="AV5608" t="s">
        <v>132</v>
      </c>
      <c r="AW5608" s="1">
        <v>32916</v>
      </c>
      <c r="AX5608">
        <v>1</v>
      </c>
    </row>
    <row r="5609" spans="1:50">
      <c r="A5609">
        <v>601047</v>
      </c>
      <c r="B5609" t="str">
        <f>"074094309"</f>
        <v>074094309</v>
      </c>
      <c r="C5609" t="s">
        <v>50</v>
      </c>
      <c r="D5609" t="s">
        <v>9959</v>
      </c>
      <c r="E5609" t="s">
        <v>52</v>
      </c>
      <c r="F5609" t="s">
        <v>99</v>
      </c>
      <c r="G5609" t="s">
        <v>250</v>
      </c>
      <c r="H5609" t="str">
        <f>" "</f>
        <v xml:space="preserve"> </v>
      </c>
      <c r="J5609">
        <v>2897042909</v>
      </c>
      <c r="K5609">
        <v>6973703845</v>
      </c>
      <c r="N5609" t="s">
        <v>615</v>
      </c>
      <c r="O5609" t="s">
        <v>616</v>
      </c>
      <c r="R5609" t="s">
        <v>57</v>
      </c>
      <c r="S5609">
        <v>8</v>
      </c>
      <c r="T5609">
        <v>207</v>
      </c>
      <c r="U5609" s="1">
        <v>37866</v>
      </c>
      <c r="V5609" t="s">
        <v>80</v>
      </c>
      <c r="W5609" t="s">
        <v>81</v>
      </c>
      <c r="X5609" t="s">
        <v>58</v>
      </c>
      <c r="Y5609">
        <v>22</v>
      </c>
      <c r="Z5609" t="s">
        <v>59</v>
      </c>
      <c r="AA5609" t="s">
        <v>59</v>
      </c>
      <c r="AB5609" t="s">
        <v>59</v>
      </c>
      <c r="AC5609" t="s">
        <v>59</v>
      </c>
      <c r="AD5609" t="s">
        <v>59</v>
      </c>
      <c r="AF5609" s="1">
        <v>37866</v>
      </c>
      <c r="AG5609" t="s">
        <v>8645</v>
      </c>
      <c r="AH5609" t="s">
        <v>8646</v>
      </c>
      <c r="AI5609" t="str">
        <f>"9170219"</f>
        <v>9170219</v>
      </c>
      <c r="AJ5609" t="s">
        <v>8967</v>
      </c>
      <c r="AK5609">
        <v>2897041357</v>
      </c>
      <c r="AL5609" t="s">
        <v>8968</v>
      </c>
      <c r="AM5609" t="s">
        <v>78</v>
      </c>
      <c r="AN5609" t="s">
        <v>219</v>
      </c>
      <c r="AO5609" t="s">
        <v>297</v>
      </c>
      <c r="AP5609" t="s">
        <v>297</v>
      </c>
      <c r="AQ5609">
        <v>7</v>
      </c>
      <c r="AR5609" t="s">
        <v>80</v>
      </c>
      <c r="AS5609" t="s">
        <v>81</v>
      </c>
      <c r="AT5609" t="s">
        <v>58</v>
      </c>
      <c r="AU5609" t="s">
        <v>68</v>
      </c>
      <c r="AV5609" t="s">
        <v>69</v>
      </c>
      <c r="AW5609" s="1">
        <v>25707</v>
      </c>
      <c r="AX5609">
        <v>1</v>
      </c>
    </row>
    <row r="5610" spans="1:50">
      <c r="B5610" t="str">
        <f>"117272086"</f>
        <v>117272086</v>
      </c>
      <c r="C5610" t="s">
        <v>105</v>
      </c>
      <c r="D5610" t="s">
        <v>9960</v>
      </c>
      <c r="E5610" t="s">
        <v>459</v>
      </c>
      <c r="F5610" t="s">
        <v>670</v>
      </c>
      <c r="G5610" t="s">
        <v>566</v>
      </c>
      <c r="H5610" t="str">
        <f>" "</f>
        <v xml:space="preserve"> </v>
      </c>
      <c r="N5610" t="s">
        <v>8834</v>
      </c>
      <c r="O5610" t="s">
        <v>8695</v>
      </c>
      <c r="R5610" t="s">
        <v>159</v>
      </c>
      <c r="S5610">
        <v>3</v>
      </c>
      <c r="T5610" t="s">
        <v>8696</v>
      </c>
      <c r="U5610" s="1">
        <v>43348</v>
      </c>
      <c r="V5610" t="s">
        <v>80</v>
      </c>
      <c r="W5610" t="s">
        <v>81</v>
      </c>
      <c r="X5610" t="s">
        <v>58</v>
      </c>
      <c r="Y5610">
        <v>24</v>
      </c>
      <c r="Z5610" t="s">
        <v>59</v>
      </c>
      <c r="AA5610" t="s">
        <v>59</v>
      </c>
      <c r="AB5610" t="s">
        <v>59</v>
      </c>
      <c r="AD5610" t="s">
        <v>59</v>
      </c>
      <c r="AF5610" s="1">
        <v>43348</v>
      </c>
      <c r="AG5610" t="s">
        <v>8645</v>
      </c>
      <c r="AH5610" t="s">
        <v>8646</v>
      </c>
      <c r="AI5610" t="str">
        <f>"9170338"</f>
        <v>9170338</v>
      </c>
      <c r="AJ5610" t="s">
        <v>8849</v>
      </c>
      <c r="AK5610">
        <v>2892051377</v>
      </c>
      <c r="AL5610" t="s">
        <v>8850</v>
      </c>
      <c r="AM5610" t="s">
        <v>78</v>
      </c>
      <c r="AN5610" t="s">
        <v>242</v>
      </c>
      <c r="AO5610" t="s">
        <v>349</v>
      </c>
      <c r="AP5610" t="s">
        <v>349</v>
      </c>
      <c r="AQ5610">
        <v>19</v>
      </c>
      <c r="AR5610" t="s">
        <v>80</v>
      </c>
      <c r="AS5610" t="s">
        <v>81</v>
      </c>
      <c r="AT5610" t="s">
        <v>58</v>
      </c>
      <c r="AU5610" t="s">
        <v>350</v>
      </c>
      <c r="AV5610" t="s">
        <v>132</v>
      </c>
      <c r="AW5610" s="1">
        <v>33122</v>
      </c>
      <c r="AX5610">
        <v>1</v>
      </c>
    </row>
    <row r="5611" spans="1:50">
      <c r="A5611">
        <v>618765</v>
      </c>
      <c r="B5611" t="str">
        <f>"136314014"</f>
        <v>136314014</v>
      </c>
      <c r="C5611" t="s">
        <v>50</v>
      </c>
      <c r="D5611" t="s">
        <v>9961</v>
      </c>
      <c r="E5611" t="s">
        <v>109</v>
      </c>
      <c r="F5611" t="s">
        <v>95</v>
      </c>
      <c r="G5611" t="s">
        <v>263</v>
      </c>
      <c r="H5611" t="str">
        <f>"ΑΜΥΝΤΑ 7 ΣΕΡΡΕΣ"</f>
        <v>ΑΜΥΝΤΑ 7 ΣΕΡΡΕΣ</v>
      </c>
      <c r="I5611">
        <v>62100</v>
      </c>
      <c r="J5611">
        <v>2321022778</v>
      </c>
      <c r="K5611">
        <v>6936159918</v>
      </c>
      <c r="N5611" t="s">
        <v>615</v>
      </c>
      <c r="O5611" t="s">
        <v>616</v>
      </c>
      <c r="R5611" t="s">
        <v>57</v>
      </c>
      <c r="S5611">
        <v>5</v>
      </c>
      <c r="T5611">
        <v>774</v>
      </c>
      <c r="U5611" s="1">
        <v>39680</v>
      </c>
      <c r="V5611" t="s">
        <v>80</v>
      </c>
      <c r="W5611" t="s">
        <v>81</v>
      </c>
      <c r="X5611" t="s">
        <v>58</v>
      </c>
      <c r="Y5611">
        <v>23</v>
      </c>
      <c r="Z5611" t="s">
        <v>59</v>
      </c>
      <c r="AA5611" t="s">
        <v>59</v>
      </c>
      <c r="AB5611" t="s">
        <v>59</v>
      </c>
      <c r="AC5611" t="s">
        <v>59</v>
      </c>
      <c r="AD5611" t="s">
        <v>59</v>
      </c>
      <c r="AF5611" s="1">
        <v>39685</v>
      </c>
      <c r="AG5611" t="s">
        <v>8645</v>
      </c>
      <c r="AH5611" t="s">
        <v>8646</v>
      </c>
      <c r="AI5611" t="str">
        <f>"9170336"</f>
        <v>9170336</v>
      </c>
      <c r="AJ5611" t="s">
        <v>9801</v>
      </c>
      <c r="AK5611">
        <v>2892045288</v>
      </c>
      <c r="AL5611" t="s">
        <v>9802</v>
      </c>
      <c r="AM5611" t="s">
        <v>78</v>
      </c>
      <c r="AN5611" t="s">
        <v>242</v>
      </c>
      <c r="AO5611" t="s">
        <v>349</v>
      </c>
      <c r="AP5611" t="s">
        <v>9803</v>
      </c>
      <c r="AQ5611">
        <v>18</v>
      </c>
      <c r="AR5611" t="s">
        <v>80</v>
      </c>
      <c r="AS5611" t="s">
        <v>81</v>
      </c>
      <c r="AT5611" t="s">
        <v>58</v>
      </c>
      <c r="AU5611" t="s">
        <v>68</v>
      </c>
      <c r="AV5611" t="s">
        <v>69</v>
      </c>
      <c r="AW5611" s="1">
        <v>31299</v>
      </c>
      <c r="AX5611">
        <v>1</v>
      </c>
    </row>
    <row r="5612" spans="1:50">
      <c r="B5612" t="str">
        <f>"126487138"</f>
        <v>126487138</v>
      </c>
      <c r="C5612" t="s">
        <v>50</v>
      </c>
      <c r="D5612" t="s">
        <v>9962</v>
      </c>
      <c r="E5612" t="s">
        <v>3632</v>
      </c>
      <c r="F5612" t="s">
        <v>920</v>
      </c>
      <c r="G5612" t="s">
        <v>6093</v>
      </c>
      <c r="H5612" t="str">
        <f>"ΚΑΒΑΛΑΣ 8 ΗΡΑΚΛΕΙΟ"</f>
        <v>ΚΑΒΑΛΑΣ 8 ΗΡΑΚΛΕΙΟ</v>
      </c>
      <c r="I5612">
        <v>71307</v>
      </c>
      <c r="K5612">
        <v>6947940823</v>
      </c>
      <c r="M5612" t="s">
        <v>9963</v>
      </c>
      <c r="N5612" t="s">
        <v>1525</v>
      </c>
      <c r="O5612" t="s">
        <v>1526</v>
      </c>
      <c r="R5612" t="s">
        <v>159</v>
      </c>
      <c r="S5612">
        <v>4</v>
      </c>
      <c r="T5612" t="s">
        <v>8670</v>
      </c>
      <c r="U5612" s="1">
        <v>43348</v>
      </c>
      <c r="V5612" t="s">
        <v>80</v>
      </c>
      <c r="W5612" t="s">
        <v>81</v>
      </c>
      <c r="X5612" t="s">
        <v>58</v>
      </c>
      <c r="Y5612">
        <v>25</v>
      </c>
      <c r="Z5612" t="s">
        <v>59</v>
      </c>
      <c r="AA5612" t="s">
        <v>59</v>
      </c>
      <c r="AB5612" t="s">
        <v>59</v>
      </c>
      <c r="AC5612" t="s">
        <v>59</v>
      </c>
      <c r="AD5612" t="s">
        <v>59</v>
      </c>
      <c r="AF5612" s="1">
        <v>43348</v>
      </c>
      <c r="AG5612" t="s">
        <v>8651</v>
      </c>
      <c r="AH5612" t="s">
        <v>8652</v>
      </c>
      <c r="AI5612" t="str">
        <f>"9170438"</f>
        <v>9170438</v>
      </c>
      <c r="AJ5612" t="s">
        <v>9964</v>
      </c>
      <c r="AK5612">
        <v>2893031095</v>
      </c>
      <c r="AL5612" t="s">
        <v>9965</v>
      </c>
      <c r="AM5612" t="s">
        <v>78</v>
      </c>
      <c r="AN5612" t="s">
        <v>405</v>
      </c>
      <c r="AO5612" t="s">
        <v>805</v>
      </c>
      <c r="AP5612" t="s">
        <v>8880</v>
      </c>
      <c r="AQ5612">
        <v>15</v>
      </c>
      <c r="AR5612" t="s">
        <v>80</v>
      </c>
      <c r="AS5612" t="s">
        <v>81</v>
      </c>
      <c r="AT5612" t="s">
        <v>58</v>
      </c>
      <c r="AU5612" t="s">
        <v>8673</v>
      </c>
      <c r="AV5612" t="s">
        <v>132</v>
      </c>
      <c r="AW5612" s="1">
        <v>30550</v>
      </c>
      <c r="AX5612">
        <v>1</v>
      </c>
    </row>
    <row r="5613" spans="1:50">
      <c r="B5613" t="str">
        <f>"137096759"</f>
        <v>137096759</v>
      </c>
      <c r="C5613" t="s">
        <v>105</v>
      </c>
      <c r="D5613" t="s">
        <v>9966</v>
      </c>
      <c r="E5613" t="s">
        <v>95</v>
      </c>
      <c r="F5613" t="s">
        <v>99</v>
      </c>
      <c r="G5613" t="s">
        <v>155</v>
      </c>
      <c r="H5613" t="str">
        <f>"ΚΑΡΑΪΣΚΑΚΗ 11 "</f>
        <v xml:space="preserve">ΚΑΡΑΪΣΚΑΚΗ 11 </v>
      </c>
      <c r="I5613">
        <v>59031</v>
      </c>
      <c r="J5613">
        <v>2331082195</v>
      </c>
      <c r="K5613">
        <v>6988074261</v>
      </c>
      <c r="N5613" t="s">
        <v>615</v>
      </c>
      <c r="O5613" t="s">
        <v>616</v>
      </c>
      <c r="R5613" t="s">
        <v>159</v>
      </c>
      <c r="S5613">
        <v>3</v>
      </c>
      <c r="T5613" t="s">
        <v>8675</v>
      </c>
      <c r="U5613" s="1">
        <v>43348</v>
      </c>
      <c r="V5613" t="s">
        <v>80</v>
      </c>
      <c r="W5613" t="s">
        <v>81</v>
      </c>
      <c r="X5613" t="s">
        <v>58</v>
      </c>
      <c r="Y5613">
        <v>24</v>
      </c>
      <c r="Z5613" t="s">
        <v>59</v>
      </c>
      <c r="AA5613" t="s">
        <v>59</v>
      </c>
      <c r="AB5613" t="s">
        <v>59</v>
      </c>
      <c r="AC5613" t="s">
        <v>59</v>
      </c>
      <c r="AD5613" t="s">
        <v>59</v>
      </c>
      <c r="AF5613" s="1">
        <v>43348</v>
      </c>
      <c r="AG5613" t="s">
        <v>8645</v>
      </c>
      <c r="AH5613" t="s">
        <v>8646</v>
      </c>
      <c r="AI5613" t="str">
        <f>"9170300"</f>
        <v>9170300</v>
      </c>
      <c r="AJ5613" t="s">
        <v>8905</v>
      </c>
      <c r="AK5613">
        <v>2892041219</v>
      </c>
      <c r="AL5613" t="s">
        <v>8906</v>
      </c>
      <c r="AM5613" t="s">
        <v>78</v>
      </c>
      <c r="AN5613" t="s">
        <v>242</v>
      </c>
      <c r="AO5613" t="s">
        <v>243</v>
      </c>
      <c r="AP5613" t="s">
        <v>244</v>
      </c>
      <c r="AQ5613">
        <v>18</v>
      </c>
      <c r="AR5613" t="s">
        <v>80</v>
      </c>
      <c r="AS5613" t="s">
        <v>81</v>
      </c>
      <c r="AT5613" t="s">
        <v>58</v>
      </c>
      <c r="AU5613" t="s">
        <v>8673</v>
      </c>
      <c r="AV5613" t="s">
        <v>132</v>
      </c>
      <c r="AW5613" s="1">
        <v>32112</v>
      </c>
      <c r="AX5613">
        <v>1</v>
      </c>
    </row>
    <row r="5614" spans="1:50">
      <c r="A5614">
        <v>621325</v>
      </c>
      <c r="B5614" t="str">
        <f>"145139764"</f>
        <v>145139764</v>
      </c>
      <c r="C5614" t="s">
        <v>50</v>
      </c>
      <c r="D5614" t="s">
        <v>9967</v>
      </c>
      <c r="E5614" t="s">
        <v>52</v>
      </c>
      <c r="F5614" t="s">
        <v>166</v>
      </c>
      <c r="G5614" t="s">
        <v>73</v>
      </c>
      <c r="H5614" t="str">
        <f>"ΣΟΡΒΟΛΟΥ 13 ΗΡΑΚΛΕΙΟ"</f>
        <v>ΣΟΡΒΟΛΟΥ 13 ΗΡΑΚΛΕΙΟ</v>
      </c>
      <c r="I5614">
        <v>71305</v>
      </c>
      <c r="J5614">
        <v>2810233339</v>
      </c>
      <c r="K5614">
        <v>6936727755</v>
      </c>
      <c r="N5614" t="s">
        <v>615</v>
      </c>
      <c r="O5614" t="s">
        <v>616</v>
      </c>
      <c r="R5614" t="s">
        <v>57</v>
      </c>
      <c r="S5614">
        <v>6</v>
      </c>
      <c r="T5614">
        <v>653</v>
      </c>
      <c r="U5614" s="1">
        <v>40043</v>
      </c>
      <c r="V5614" t="s">
        <v>80</v>
      </c>
      <c r="W5614" t="s">
        <v>81</v>
      </c>
      <c r="X5614" t="s">
        <v>58</v>
      </c>
      <c r="Y5614">
        <v>24</v>
      </c>
      <c r="Z5614" t="s">
        <v>59</v>
      </c>
      <c r="AA5614" t="s">
        <v>59</v>
      </c>
      <c r="AB5614" t="s">
        <v>59</v>
      </c>
      <c r="AC5614" t="s">
        <v>59</v>
      </c>
      <c r="AD5614" t="s">
        <v>59</v>
      </c>
      <c r="AF5614" s="1">
        <v>40043</v>
      </c>
      <c r="AG5614" t="s">
        <v>8645</v>
      </c>
      <c r="AH5614" t="s">
        <v>8646</v>
      </c>
      <c r="AI5614" t="str">
        <f>"9521092"</f>
        <v>9521092</v>
      </c>
      <c r="AJ5614" t="s">
        <v>9234</v>
      </c>
      <c r="AK5614">
        <v>2810313321</v>
      </c>
      <c r="AL5614" t="s">
        <v>9235</v>
      </c>
      <c r="AM5614" t="s">
        <v>78</v>
      </c>
      <c r="AN5614" t="s">
        <v>78</v>
      </c>
      <c r="AO5614" t="s">
        <v>78</v>
      </c>
      <c r="AP5614" t="s">
        <v>141</v>
      </c>
      <c r="AQ5614">
        <v>1</v>
      </c>
      <c r="AR5614" t="s">
        <v>80</v>
      </c>
      <c r="AS5614" t="s">
        <v>81</v>
      </c>
      <c r="AT5614" t="s">
        <v>58</v>
      </c>
      <c r="AU5614" t="s">
        <v>68</v>
      </c>
      <c r="AV5614" t="s">
        <v>69</v>
      </c>
      <c r="AW5614" s="1">
        <v>31774</v>
      </c>
      <c r="AX5614">
        <v>1</v>
      </c>
    </row>
    <row r="5615" spans="1:50">
      <c r="A5615">
        <v>620130</v>
      </c>
      <c r="B5615" t="str">
        <f>"068633587"</f>
        <v>068633587</v>
      </c>
      <c r="C5615" t="s">
        <v>50</v>
      </c>
      <c r="D5615" t="s">
        <v>9968</v>
      </c>
      <c r="E5615" t="s">
        <v>73</v>
      </c>
      <c r="F5615" t="s">
        <v>53</v>
      </c>
      <c r="G5615" t="s">
        <v>396</v>
      </c>
      <c r="H5615" t="str">
        <f>"ΠΡΙΓΚΗΠΟΥ 22 ΝΕΑ ΦΙΛΑΔΕΛΦΕΙΑ"</f>
        <v>ΠΡΙΓΚΗΠΟΥ 22 ΝΕΑ ΦΙΛΑΔΕΛΦΕΙΑ</v>
      </c>
      <c r="I5615">
        <v>14341</v>
      </c>
      <c r="J5615">
        <v>2102583571</v>
      </c>
      <c r="K5615">
        <v>6937270739</v>
      </c>
      <c r="N5615" t="s">
        <v>1525</v>
      </c>
      <c r="O5615" t="s">
        <v>1526</v>
      </c>
      <c r="R5615" t="s">
        <v>57</v>
      </c>
      <c r="S5615">
        <v>5</v>
      </c>
      <c r="T5615">
        <v>794</v>
      </c>
      <c r="U5615" s="1">
        <v>39680</v>
      </c>
      <c r="V5615" t="s">
        <v>80</v>
      </c>
      <c r="W5615" t="s">
        <v>81</v>
      </c>
      <c r="X5615" t="s">
        <v>58</v>
      </c>
      <c r="Y5615">
        <v>25</v>
      </c>
      <c r="Z5615" t="s">
        <v>59</v>
      </c>
      <c r="AA5615" t="s">
        <v>59</v>
      </c>
      <c r="AB5615" t="s">
        <v>59</v>
      </c>
      <c r="AC5615" t="s">
        <v>59</v>
      </c>
      <c r="AD5615" t="s">
        <v>59</v>
      </c>
      <c r="AF5615" s="1">
        <v>39692</v>
      </c>
      <c r="AG5615" t="s">
        <v>8651</v>
      </c>
      <c r="AH5615" t="s">
        <v>8652</v>
      </c>
      <c r="AI5615" t="str">
        <f>"9170420"</f>
        <v>9170420</v>
      </c>
      <c r="AJ5615" t="s">
        <v>9969</v>
      </c>
      <c r="AK5615">
        <v>2892042820</v>
      </c>
      <c r="AL5615" t="s">
        <v>9970</v>
      </c>
      <c r="AM5615" t="s">
        <v>78</v>
      </c>
      <c r="AN5615" t="s">
        <v>242</v>
      </c>
      <c r="AO5615" t="s">
        <v>243</v>
      </c>
      <c r="AP5615" t="s">
        <v>9285</v>
      </c>
      <c r="AQ5615">
        <v>18</v>
      </c>
      <c r="AR5615" t="s">
        <v>80</v>
      </c>
      <c r="AS5615" t="s">
        <v>81</v>
      </c>
      <c r="AT5615" t="s">
        <v>58</v>
      </c>
      <c r="AU5615" t="s">
        <v>68</v>
      </c>
      <c r="AV5615" t="s">
        <v>69</v>
      </c>
      <c r="AW5615" s="1">
        <v>28377</v>
      </c>
      <c r="AX5615">
        <v>1</v>
      </c>
    </row>
    <row r="5616" spans="1:50">
      <c r="A5616">
        <v>621923</v>
      </c>
      <c r="B5616" t="str">
        <f>"134222093"</f>
        <v>134222093</v>
      </c>
      <c r="C5616" t="s">
        <v>50</v>
      </c>
      <c r="D5616" t="s">
        <v>9971</v>
      </c>
      <c r="E5616" t="s">
        <v>191</v>
      </c>
      <c r="F5616" t="s">
        <v>581</v>
      </c>
      <c r="G5616" t="s">
        <v>714</v>
      </c>
      <c r="H5616" t="str">
        <f>"ΜΗΤΡΟΠΟΛΗ ΚΑΡΔΙΤΣΑΣ ΚΑΡΔΙΤΣΑ"</f>
        <v>ΜΗΤΡΟΠΟΛΗ ΚΑΡΔΙΤΣΑΣ ΚΑΡΔΙΤΣΑ</v>
      </c>
      <c r="I5616">
        <v>43100</v>
      </c>
      <c r="J5616">
        <v>2441055256</v>
      </c>
      <c r="K5616">
        <v>6974425237</v>
      </c>
      <c r="M5616" t="s">
        <v>9972</v>
      </c>
      <c r="N5616" t="s">
        <v>615</v>
      </c>
      <c r="O5616" t="s">
        <v>616</v>
      </c>
      <c r="R5616" t="s">
        <v>57</v>
      </c>
      <c r="S5616">
        <v>5</v>
      </c>
      <c r="T5616">
        <v>653</v>
      </c>
      <c r="U5616" s="1">
        <v>40043</v>
      </c>
      <c r="V5616" t="s">
        <v>80</v>
      </c>
      <c r="W5616" t="s">
        <v>81</v>
      </c>
      <c r="X5616" t="s">
        <v>58</v>
      </c>
      <c r="Y5616">
        <v>23</v>
      </c>
      <c r="Z5616" t="s">
        <v>59</v>
      </c>
      <c r="AA5616" t="s">
        <v>59</v>
      </c>
      <c r="AB5616" t="s">
        <v>59</v>
      </c>
      <c r="AC5616" t="s">
        <v>59</v>
      </c>
      <c r="AD5616" t="s">
        <v>59</v>
      </c>
      <c r="AF5616" s="1">
        <v>40044</v>
      </c>
      <c r="AG5616" t="s">
        <v>8645</v>
      </c>
      <c r="AH5616" t="s">
        <v>8646</v>
      </c>
      <c r="AI5616" t="str">
        <f>"9521015"</f>
        <v>9521015</v>
      </c>
      <c r="AJ5616" t="s">
        <v>8927</v>
      </c>
      <c r="AK5616">
        <v>2897029138</v>
      </c>
      <c r="AL5616" t="s">
        <v>8928</v>
      </c>
      <c r="AM5616" t="s">
        <v>78</v>
      </c>
      <c r="AN5616" t="s">
        <v>219</v>
      </c>
      <c r="AO5616" t="s">
        <v>219</v>
      </c>
      <c r="AP5616" t="s">
        <v>220</v>
      </c>
      <c r="AQ5616">
        <v>8</v>
      </c>
      <c r="AR5616" t="s">
        <v>80</v>
      </c>
      <c r="AS5616" t="s">
        <v>81</v>
      </c>
      <c r="AT5616" t="s">
        <v>58</v>
      </c>
      <c r="AU5616" t="s">
        <v>68</v>
      </c>
      <c r="AV5616" t="s">
        <v>69</v>
      </c>
      <c r="AW5616" s="1">
        <v>31290</v>
      </c>
      <c r="AX5616">
        <v>1</v>
      </c>
    </row>
    <row r="5617" spans="1:50">
      <c r="B5617" t="str">
        <f>"076186955"</f>
        <v>076186955</v>
      </c>
      <c r="C5617" t="s">
        <v>50</v>
      </c>
      <c r="D5617" t="s">
        <v>9973</v>
      </c>
      <c r="E5617" t="s">
        <v>237</v>
      </c>
      <c r="F5617" t="s">
        <v>309</v>
      </c>
      <c r="G5617" t="s">
        <v>1277</v>
      </c>
      <c r="H5617" t="str">
        <f>" "</f>
        <v xml:space="preserve"> </v>
      </c>
      <c r="K5617">
        <v>6945177498</v>
      </c>
      <c r="N5617" t="s">
        <v>1525</v>
      </c>
      <c r="O5617" t="s">
        <v>1526</v>
      </c>
      <c r="R5617" t="s">
        <v>121</v>
      </c>
      <c r="S5617">
        <v>1</v>
      </c>
      <c r="T5617" t="s">
        <v>8670</v>
      </c>
      <c r="U5617" s="1">
        <v>43348</v>
      </c>
      <c r="V5617" t="s">
        <v>80</v>
      </c>
      <c r="W5617" t="s">
        <v>81</v>
      </c>
      <c r="X5617" t="s">
        <v>58</v>
      </c>
      <c r="Y5617">
        <v>25</v>
      </c>
      <c r="Z5617" t="s">
        <v>59</v>
      </c>
      <c r="AA5617" t="s">
        <v>59</v>
      </c>
      <c r="AB5617" t="s">
        <v>59</v>
      </c>
      <c r="AD5617" t="s">
        <v>59</v>
      </c>
      <c r="AF5617" s="1">
        <v>43348</v>
      </c>
      <c r="AG5617" t="s">
        <v>8651</v>
      </c>
      <c r="AH5617" t="s">
        <v>8652</v>
      </c>
      <c r="AI5617" t="str">
        <f>"9170543"</f>
        <v>9170543</v>
      </c>
      <c r="AJ5617" t="s">
        <v>9974</v>
      </c>
      <c r="AK5617">
        <v>2897032585</v>
      </c>
      <c r="AL5617" t="s">
        <v>9975</v>
      </c>
      <c r="AM5617" t="s">
        <v>78</v>
      </c>
      <c r="AN5617" t="s">
        <v>219</v>
      </c>
      <c r="AO5617" t="s">
        <v>527</v>
      </c>
      <c r="AP5617" t="s">
        <v>527</v>
      </c>
      <c r="AQ5617">
        <v>8</v>
      </c>
      <c r="AR5617" t="s">
        <v>80</v>
      </c>
      <c r="AS5617" t="s">
        <v>81</v>
      </c>
      <c r="AT5617" t="s">
        <v>58</v>
      </c>
      <c r="AU5617" t="s">
        <v>8673</v>
      </c>
      <c r="AV5617" t="s">
        <v>132</v>
      </c>
      <c r="AW5617" s="1">
        <v>28866</v>
      </c>
      <c r="AX5617">
        <v>1</v>
      </c>
    </row>
    <row r="5618" spans="1:50">
      <c r="A5618">
        <v>603192</v>
      </c>
      <c r="B5618" t="str">
        <f>"114281839"</f>
        <v>114281839</v>
      </c>
      <c r="C5618" t="s">
        <v>50</v>
      </c>
      <c r="D5618" t="s">
        <v>1807</v>
      </c>
      <c r="E5618" t="s">
        <v>52</v>
      </c>
      <c r="F5618" t="s">
        <v>95</v>
      </c>
      <c r="G5618" t="s">
        <v>96</v>
      </c>
      <c r="H5618" t="str">
        <f>"ΕΛΛΗΣΠΟΝΤΟΥ 14 ΗΡΑΚΛΕΙΟ"</f>
        <v>ΕΛΛΗΣΠΟΝΤΟΥ 14 ΗΡΑΚΛΕΙΟ</v>
      </c>
      <c r="I5618">
        <v>71307</v>
      </c>
      <c r="J5618">
        <v>2810239766</v>
      </c>
      <c r="K5618">
        <v>6973727808</v>
      </c>
      <c r="N5618" t="s">
        <v>1525</v>
      </c>
      <c r="O5618" t="s">
        <v>1526</v>
      </c>
      <c r="R5618" t="s">
        <v>57</v>
      </c>
      <c r="S5618">
        <v>7</v>
      </c>
      <c r="T5618">
        <v>207</v>
      </c>
      <c r="U5618" s="1">
        <v>37502</v>
      </c>
      <c r="V5618" t="s">
        <v>80</v>
      </c>
      <c r="W5618" t="s">
        <v>81</v>
      </c>
      <c r="X5618" t="s">
        <v>58</v>
      </c>
      <c r="Y5618">
        <v>25</v>
      </c>
      <c r="Z5618" t="s">
        <v>59</v>
      </c>
      <c r="AA5618" t="s">
        <v>59</v>
      </c>
      <c r="AB5618" t="s">
        <v>59</v>
      </c>
      <c r="AC5618" t="s">
        <v>59</v>
      </c>
      <c r="AD5618" t="s">
        <v>59</v>
      </c>
      <c r="AF5618" s="1">
        <v>37866</v>
      </c>
      <c r="AG5618" t="s">
        <v>8651</v>
      </c>
      <c r="AH5618" t="s">
        <v>8652</v>
      </c>
      <c r="AI5618" t="str">
        <f>"9170416"</f>
        <v>9170416</v>
      </c>
      <c r="AJ5618" t="s">
        <v>8903</v>
      </c>
      <c r="AK5618">
        <v>2810224704</v>
      </c>
      <c r="AL5618" t="s">
        <v>8904</v>
      </c>
      <c r="AM5618" t="s">
        <v>78</v>
      </c>
      <c r="AN5618" t="s">
        <v>78</v>
      </c>
      <c r="AO5618" t="s">
        <v>78</v>
      </c>
      <c r="AP5618" t="s">
        <v>213</v>
      </c>
      <c r="AQ5618">
        <v>1</v>
      </c>
      <c r="AR5618" t="s">
        <v>80</v>
      </c>
      <c r="AS5618" t="s">
        <v>81</v>
      </c>
      <c r="AT5618" t="s">
        <v>58</v>
      </c>
      <c r="AU5618" t="s">
        <v>68</v>
      </c>
      <c r="AV5618" t="s">
        <v>69</v>
      </c>
      <c r="AW5618" s="1">
        <v>28536</v>
      </c>
      <c r="AX5618">
        <v>1</v>
      </c>
    </row>
    <row r="5619" spans="1:50">
      <c r="A5619">
        <v>588887</v>
      </c>
      <c r="B5619" t="str">
        <f>"038181205"</f>
        <v>038181205</v>
      </c>
      <c r="C5619" t="s">
        <v>105</v>
      </c>
      <c r="D5619" t="s">
        <v>1810</v>
      </c>
      <c r="E5619" t="s">
        <v>92</v>
      </c>
      <c r="F5619" t="s">
        <v>304</v>
      </c>
      <c r="G5619" t="s">
        <v>52</v>
      </c>
      <c r="H5619" t="str">
        <f>"ΟΜΗΡΟΥ 26 ΗΡΑΚΛΕΙΟ"</f>
        <v>ΟΜΗΡΟΥ 26 ΗΡΑΚΛΕΙΟ</v>
      </c>
      <c r="I5619">
        <v>71306</v>
      </c>
      <c r="K5619">
        <v>6945839969</v>
      </c>
      <c r="N5619" t="s">
        <v>615</v>
      </c>
      <c r="O5619" t="s">
        <v>616</v>
      </c>
      <c r="R5619" t="s">
        <v>57</v>
      </c>
      <c r="S5619">
        <v>11</v>
      </c>
      <c r="T5619">
        <v>176</v>
      </c>
      <c r="U5619" s="1">
        <v>36403</v>
      </c>
      <c r="V5619" t="s">
        <v>80</v>
      </c>
      <c r="W5619" t="s">
        <v>81</v>
      </c>
      <c r="X5619" t="s">
        <v>58</v>
      </c>
      <c r="Y5619">
        <v>21</v>
      </c>
      <c r="Z5619" t="s">
        <v>59</v>
      </c>
      <c r="AA5619" t="s">
        <v>59</v>
      </c>
      <c r="AB5619" t="s">
        <v>59</v>
      </c>
      <c r="AC5619" t="s">
        <v>59</v>
      </c>
      <c r="AD5619" t="s">
        <v>59</v>
      </c>
      <c r="AF5619" s="1">
        <v>36404</v>
      </c>
      <c r="AG5619" t="s">
        <v>8645</v>
      </c>
      <c r="AH5619" t="s">
        <v>8646</v>
      </c>
      <c r="AI5619" t="str">
        <f>"9170102"</f>
        <v>9170102</v>
      </c>
      <c r="AJ5619" t="s">
        <v>9019</v>
      </c>
      <c r="AK5619">
        <v>2810283938</v>
      </c>
      <c r="AL5619" t="s">
        <v>9020</v>
      </c>
      <c r="AM5619" t="s">
        <v>78</v>
      </c>
      <c r="AN5619" t="s">
        <v>78</v>
      </c>
      <c r="AO5619" t="s">
        <v>78</v>
      </c>
      <c r="AP5619" t="s">
        <v>79</v>
      </c>
      <c r="AQ5619">
        <v>1</v>
      </c>
      <c r="AR5619" t="s">
        <v>80</v>
      </c>
      <c r="AS5619" t="s">
        <v>81</v>
      </c>
      <c r="AT5619" t="s">
        <v>58</v>
      </c>
      <c r="AU5619" t="s">
        <v>68</v>
      </c>
      <c r="AV5619" t="s">
        <v>69</v>
      </c>
      <c r="AW5619" s="1">
        <v>23429</v>
      </c>
      <c r="AX5619">
        <v>1</v>
      </c>
    </row>
    <row r="5620" spans="1:50">
      <c r="B5620" t="str">
        <f>"147343513"</f>
        <v>147343513</v>
      </c>
      <c r="C5620" t="s">
        <v>50</v>
      </c>
      <c r="D5620" t="s">
        <v>9976</v>
      </c>
      <c r="E5620" t="s">
        <v>809</v>
      </c>
      <c r="F5620" t="s">
        <v>95</v>
      </c>
      <c r="G5620" t="s">
        <v>237</v>
      </c>
      <c r="H5620" t="str">
        <f>" "</f>
        <v xml:space="preserve"> </v>
      </c>
      <c r="N5620" t="s">
        <v>615</v>
      </c>
      <c r="O5620" t="s">
        <v>616</v>
      </c>
      <c r="R5620" t="s">
        <v>159</v>
      </c>
      <c r="S5620">
        <v>2</v>
      </c>
      <c r="T5620" t="s">
        <v>8675</v>
      </c>
      <c r="U5620" s="1">
        <v>43348</v>
      </c>
      <c r="V5620" t="s">
        <v>80</v>
      </c>
      <c r="W5620" t="s">
        <v>81</v>
      </c>
      <c r="X5620" t="s">
        <v>58</v>
      </c>
      <c r="Y5620">
        <v>24</v>
      </c>
      <c r="Z5620" t="s">
        <v>59</v>
      </c>
      <c r="AA5620" t="s">
        <v>59</v>
      </c>
      <c r="AB5620" t="s">
        <v>59</v>
      </c>
      <c r="AD5620" t="s">
        <v>59</v>
      </c>
      <c r="AF5620" s="1">
        <v>43348</v>
      </c>
      <c r="AG5620" t="s">
        <v>8645</v>
      </c>
      <c r="AH5620" t="s">
        <v>8646</v>
      </c>
      <c r="AI5620" t="str">
        <f>"9170285"</f>
        <v>9170285</v>
      </c>
      <c r="AJ5620" t="s">
        <v>9186</v>
      </c>
      <c r="AK5620">
        <v>2894031223</v>
      </c>
      <c r="AL5620" t="s">
        <v>9187</v>
      </c>
      <c r="AM5620" t="s">
        <v>78</v>
      </c>
      <c r="AN5620" t="s">
        <v>242</v>
      </c>
      <c r="AO5620" t="s">
        <v>999</v>
      </c>
      <c r="AP5620" t="s">
        <v>999</v>
      </c>
      <c r="AQ5620">
        <v>21</v>
      </c>
      <c r="AR5620" t="s">
        <v>80</v>
      </c>
      <c r="AS5620" t="s">
        <v>81</v>
      </c>
      <c r="AT5620" t="s">
        <v>58</v>
      </c>
      <c r="AU5620" t="s">
        <v>8673</v>
      </c>
      <c r="AV5620" t="s">
        <v>132</v>
      </c>
      <c r="AW5620" s="1">
        <v>33491</v>
      </c>
      <c r="AX5620">
        <v>1</v>
      </c>
    </row>
    <row r="5621" spans="1:50">
      <c r="B5621" t="str">
        <f>"075942362"</f>
        <v>075942362</v>
      </c>
      <c r="C5621" t="s">
        <v>50</v>
      </c>
      <c r="D5621" t="s">
        <v>9977</v>
      </c>
      <c r="E5621" t="s">
        <v>155</v>
      </c>
      <c r="F5621" t="s">
        <v>95</v>
      </c>
      <c r="G5621" t="s">
        <v>742</v>
      </c>
      <c r="H5621" t="str">
        <f>"ΑΘΗΝΑΓΟΡΑ 13 ΘΕΣΣΑΛΟΝΙΚΗ"</f>
        <v>ΑΘΗΝΑΓΟΡΑ 13 ΘΕΣΣΑΛΟΝΙΚΗ</v>
      </c>
      <c r="I5621">
        <v>54352</v>
      </c>
      <c r="J5621">
        <v>2310912932</v>
      </c>
      <c r="K5621">
        <v>6944912476</v>
      </c>
      <c r="N5621" t="s">
        <v>1525</v>
      </c>
      <c r="O5621" t="s">
        <v>1526</v>
      </c>
      <c r="R5621" t="s">
        <v>159</v>
      </c>
      <c r="S5621">
        <v>3</v>
      </c>
      <c r="T5621" t="s">
        <v>8670</v>
      </c>
      <c r="U5621" s="1">
        <v>43348</v>
      </c>
      <c r="V5621" t="s">
        <v>80</v>
      </c>
      <c r="W5621" t="s">
        <v>81</v>
      </c>
      <c r="X5621" t="s">
        <v>58</v>
      </c>
      <c r="Y5621">
        <v>25</v>
      </c>
      <c r="Z5621" t="s">
        <v>59</v>
      </c>
      <c r="AA5621" t="s">
        <v>59</v>
      </c>
      <c r="AB5621" t="s">
        <v>59</v>
      </c>
      <c r="AC5621" t="s">
        <v>59</v>
      </c>
      <c r="AD5621" t="s">
        <v>59</v>
      </c>
      <c r="AF5621" s="1">
        <v>43348</v>
      </c>
      <c r="AG5621" t="s">
        <v>8651</v>
      </c>
      <c r="AH5621" t="s">
        <v>8652</v>
      </c>
      <c r="AI5621" t="str">
        <f>"9170526"</f>
        <v>9170526</v>
      </c>
      <c r="AJ5621" t="s">
        <v>9112</v>
      </c>
      <c r="AK5621">
        <v>2810251986</v>
      </c>
      <c r="AL5621" t="s">
        <v>9113</v>
      </c>
      <c r="AM5621" t="s">
        <v>78</v>
      </c>
      <c r="AN5621" t="s">
        <v>78</v>
      </c>
      <c r="AO5621" t="s">
        <v>78</v>
      </c>
      <c r="AP5621" t="s">
        <v>141</v>
      </c>
      <c r="AQ5621">
        <v>1</v>
      </c>
      <c r="AR5621" t="s">
        <v>80</v>
      </c>
      <c r="AS5621" t="s">
        <v>81</v>
      </c>
      <c r="AT5621" t="s">
        <v>58</v>
      </c>
      <c r="AU5621" t="s">
        <v>8673</v>
      </c>
      <c r="AV5621" t="s">
        <v>132</v>
      </c>
      <c r="AW5621" s="1">
        <v>26964</v>
      </c>
      <c r="AX5621">
        <v>1</v>
      </c>
    </row>
    <row r="5622" spans="1:50">
      <c r="A5622">
        <v>579772</v>
      </c>
      <c r="B5622" t="str">
        <f>"030852951"</f>
        <v>030852951</v>
      </c>
      <c r="C5622" t="s">
        <v>50</v>
      </c>
      <c r="D5622" t="s">
        <v>9978</v>
      </c>
      <c r="E5622" t="s">
        <v>250</v>
      </c>
      <c r="F5622" t="s">
        <v>95</v>
      </c>
      <c r="G5622" t="s">
        <v>237</v>
      </c>
      <c r="H5622" t="str">
        <f>"ΕΘΝΙΚΗΣ ΑΝΤΙΣΤΑΣΕΩΣ 160 ΗΡΑΚΛΕΙΟ"</f>
        <v>ΕΘΝΙΚΗΣ ΑΝΤΙΣΤΑΣΕΩΣ 160 ΗΡΑΚΛΕΙΟ</v>
      </c>
      <c r="I5622">
        <v>71306</v>
      </c>
      <c r="J5622">
        <v>2810221203</v>
      </c>
      <c r="K5622">
        <v>6948275116</v>
      </c>
      <c r="N5622" t="s">
        <v>615</v>
      </c>
      <c r="O5622" t="s">
        <v>616</v>
      </c>
      <c r="R5622" t="s">
        <v>57</v>
      </c>
      <c r="S5622">
        <v>11</v>
      </c>
      <c r="T5622">
        <v>165</v>
      </c>
      <c r="U5622" s="1">
        <v>35300</v>
      </c>
      <c r="V5622" t="s">
        <v>80</v>
      </c>
      <c r="W5622" t="s">
        <v>81</v>
      </c>
      <c r="X5622" t="s">
        <v>58</v>
      </c>
      <c r="Y5622">
        <v>21</v>
      </c>
      <c r="Z5622" t="s">
        <v>59</v>
      </c>
      <c r="AA5622" t="s">
        <v>59</v>
      </c>
      <c r="AB5622" t="s">
        <v>59</v>
      </c>
      <c r="AC5622" t="s">
        <v>59</v>
      </c>
      <c r="AD5622" t="s">
        <v>59</v>
      </c>
      <c r="AF5622" s="1">
        <v>35313</v>
      </c>
      <c r="AG5622" t="s">
        <v>8645</v>
      </c>
      <c r="AH5622" t="s">
        <v>8646</v>
      </c>
      <c r="AI5622" t="str">
        <f>"9170531"</f>
        <v>9170531</v>
      </c>
      <c r="AJ5622" t="s">
        <v>8980</v>
      </c>
      <c r="AK5622">
        <v>2810229104</v>
      </c>
      <c r="AL5622" t="s">
        <v>8981</v>
      </c>
      <c r="AM5622" t="s">
        <v>78</v>
      </c>
      <c r="AN5622" t="s">
        <v>78</v>
      </c>
      <c r="AO5622" t="s">
        <v>78</v>
      </c>
      <c r="AP5622" t="s">
        <v>79</v>
      </c>
      <c r="AQ5622">
        <v>1</v>
      </c>
      <c r="AR5622" t="s">
        <v>80</v>
      </c>
      <c r="AS5622" t="s">
        <v>81</v>
      </c>
      <c r="AT5622" t="s">
        <v>58</v>
      </c>
      <c r="AU5622" t="s">
        <v>68</v>
      </c>
      <c r="AV5622" t="s">
        <v>69</v>
      </c>
      <c r="AW5622" s="1">
        <v>24877</v>
      </c>
      <c r="AX5622">
        <v>1</v>
      </c>
    </row>
    <row r="5623" spans="1:50">
      <c r="A5623">
        <v>618608</v>
      </c>
      <c r="B5623" t="str">
        <f>"131499470"</f>
        <v>131499470</v>
      </c>
      <c r="C5623" t="s">
        <v>105</v>
      </c>
      <c r="D5623" t="s">
        <v>9979</v>
      </c>
      <c r="E5623" t="s">
        <v>670</v>
      </c>
      <c r="F5623" t="s">
        <v>99</v>
      </c>
      <c r="G5623" t="s">
        <v>52</v>
      </c>
      <c r="H5623" t="str">
        <f>"ΑΡΚΑΛΟΧΩΡΙ ΑΡΚΑΛΟΧΩΡΙ ΗΡΑΚΛΕΙΟΥ"</f>
        <v>ΑΡΚΑΛΟΧΩΡΙ ΑΡΚΑΛΟΧΩΡΙ ΗΡΑΚΛΕΙΟΥ</v>
      </c>
      <c r="I5623">
        <v>70300</v>
      </c>
      <c r="J5623">
        <v>2891023530</v>
      </c>
      <c r="K5623">
        <v>6976081271</v>
      </c>
      <c r="M5623" t="s">
        <v>9980</v>
      </c>
      <c r="N5623" t="s">
        <v>615</v>
      </c>
      <c r="O5623" t="s">
        <v>616</v>
      </c>
      <c r="R5623" t="s">
        <v>57</v>
      </c>
      <c r="S5623">
        <v>5</v>
      </c>
      <c r="T5623">
        <v>774</v>
      </c>
      <c r="U5623" s="1">
        <v>39680</v>
      </c>
      <c r="V5623" t="s">
        <v>80</v>
      </c>
      <c r="W5623" t="s">
        <v>81</v>
      </c>
      <c r="X5623" t="s">
        <v>58</v>
      </c>
      <c r="Y5623">
        <v>23</v>
      </c>
      <c r="Z5623" t="s">
        <v>59</v>
      </c>
      <c r="AA5623" t="s">
        <v>59</v>
      </c>
      <c r="AB5623" t="s">
        <v>59</v>
      </c>
      <c r="AC5623" t="s">
        <v>59</v>
      </c>
      <c r="AD5623" t="s">
        <v>59</v>
      </c>
      <c r="AF5623" s="1">
        <v>39681</v>
      </c>
      <c r="AG5623" t="s">
        <v>8645</v>
      </c>
      <c r="AH5623" t="s">
        <v>8646</v>
      </c>
      <c r="AI5623" t="str">
        <f>"9170144"</f>
        <v>9170144</v>
      </c>
      <c r="AJ5623" t="s">
        <v>8729</v>
      </c>
      <c r="AK5623">
        <v>2891022244</v>
      </c>
      <c r="AL5623" t="s">
        <v>8730</v>
      </c>
      <c r="AM5623" t="s">
        <v>78</v>
      </c>
      <c r="AN5623" t="s">
        <v>276</v>
      </c>
      <c r="AO5623" t="s">
        <v>490</v>
      </c>
      <c r="AP5623" t="s">
        <v>490</v>
      </c>
      <c r="AQ5623">
        <v>12</v>
      </c>
      <c r="AR5623" t="s">
        <v>80</v>
      </c>
      <c r="AS5623" t="s">
        <v>81</v>
      </c>
      <c r="AT5623" t="s">
        <v>58</v>
      </c>
      <c r="AU5623" t="s">
        <v>68</v>
      </c>
      <c r="AV5623" t="s">
        <v>69</v>
      </c>
      <c r="AW5623" s="1">
        <v>30512</v>
      </c>
      <c r="AX5623">
        <v>1</v>
      </c>
    </row>
    <row r="5624" spans="1:50">
      <c r="A5624">
        <v>556434</v>
      </c>
      <c r="B5624" t="str">
        <f>"118910246"</f>
        <v>118910246</v>
      </c>
      <c r="C5624" t="s">
        <v>50</v>
      </c>
      <c r="D5624" t="s">
        <v>9981</v>
      </c>
      <c r="E5624" t="s">
        <v>476</v>
      </c>
      <c r="F5624" t="s">
        <v>95</v>
      </c>
      <c r="G5624" t="s">
        <v>83</v>
      </c>
      <c r="H5624" t="str">
        <f>"ΔΑΜΑΣΚΗΝΟΥ 45 ΗΡΑΚΛΕΙΟ"</f>
        <v>ΔΑΜΑΣΚΗΝΟΥ 45 ΗΡΑΚΛΕΙΟ</v>
      </c>
      <c r="I5624">
        <v>71305</v>
      </c>
      <c r="J5624">
        <v>2810261589</v>
      </c>
      <c r="K5624">
        <v>6947587205</v>
      </c>
      <c r="M5624" t="s">
        <v>9982</v>
      </c>
      <c r="N5624" t="s">
        <v>1525</v>
      </c>
      <c r="O5624" t="s">
        <v>1526</v>
      </c>
      <c r="R5624" t="s">
        <v>57</v>
      </c>
      <c r="S5624">
        <v>16</v>
      </c>
      <c r="T5624">
        <v>200</v>
      </c>
      <c r="U5624" s="1">
        <v>31657</v>
      </c>
      <c r="V5624" t="s">
        <v>80</v>
      </c>
      <c r="W5624" t="s">
        <v>81</v>
      </c>
      <c r="X5624" t="s">
        <v>58</v>
      </c>
      <c r="Y5624">
        <v>25</v>
      </c>
      <c r="Z5624" t="s">
        <v>59</v>
      </c>
      <c r="AA5624" t="s">
        <v>59</v>
      </c>
      <c r="AB5624" t="s">
        <v>59</v>
      </c>
      <c r="AC5624" t="s">
        <v>59</v>
      </c>
      <c r="AD5624" t="s">
        <v>59</v>
      </c>
      <c r="AF5624" s="1">
        <v>31660</v>
      </c>
      <c r="AG5624" t="s">
        <v>8651</v>
      </c>
      <c r="AH5624" t="s">
        <v>8652</v>
      </c>
      <c r="AI5624" t="str">
        <f>"9170351"</f>
        <v>9170351</v>
      </c>
      <c r="AJ5624" t="s">
        <v>9983</v>
      </c>
      <c r="AK5624">
        <v>2810262817</v>
      </c>
      <c r="AL5624" t="s">
        <v>9984</v>
      </c>
      <c r="AM5624" t="s">
        <v>78</v>
      </c>
      <c r="AN5624" t="s">
        <v>78</v>
      </c>
      <c r="AO5624" t="s">
        <v>78</v>
      </c>
      <c r="AP5624" t="s">
        <v>141</v>
      </c>
      <c r="AQ5624">
        <v>1</v>
      </c>
      <c r="AR5624" t="s">
        <v>80</v>
      </c>
      <c r="AS5624" t="s">
        <v>81</v>
      </c>
      <c r="AT5624" t="s">
        <v>58</v>
      </c>
      <c r="AU5624" t="s">
        <v>68</v>
      </c>
      <c r="AV5624" t="s">
        <v>69</v>
      </c>
      <c r="AW5624" s="1">
        <v>23068</v>
      </c>
      <c r="AX5624">
        <v>1</v>
      </c>
    </row>
    <row r="5625" spans="1:50">
      <c r="A5625">
        <v>602847</v>
      </c>
      <c r="B5625" t="str">
        <f>"114265004"</f>
        <v>114265004</v>
      </c>
      <c r="C5625" t="s">
        <v>50</v>
      </c>
      <c r="D5625" t="s">
        <v>9985</v>
      </c>
      <c r="E5625" t="s">
        <v>563</v>
      </c>
      <c r="F5625" t="s">
        <v>9655</v>
      </c>
      <c r="G5625" t="s">
        <v>671</v>
      </c>
      <c r="H5625" t="str">
        <f>"ΖΑΡΟΥ 2-ΑΓΑΚΟΥ ΜΕΤΟΧΙ ΗΡΑΚΛΕΙΟ"</f>
        <v>ΖΑΡΟΥ 2-ΑΓΑΚΟΥ ΜΕΤΟΧΙ ΗΡΑΚΛΕΙΟ</v>
      </c>
      <c r="I5625">
        <v>71500</v>
      </c>
      <c r="J5625">
        <v>2810543529</v>
      </c>
      <c r="K5625">
        <v>6983695144</v>
      </c>
      <c r="N5625" t="s">
        <v>1525</v>
      </c>
      <c r="O5625" t="s">
        <v>1526</v>
      </c>
      <c r="R5625" t="s">
        <v>57</v>
      </c>
      <c r="S5625">
        <v>11</v>
      </c>
      <c r="T5625">
        <v>207</v>
      </c>
      <c r="U5625" s="1">
        <v>37866</v>
      </c>
      <c r="V5625" t="s">
        <v>80</v>
      </c>
      <c r="W5625" t="s">
        <v>81</v>
      </c>
      <c r="X5625" t="s">
        <v>58</v>
      </c>
      <c r="Y5625">
        <v>25</v>
      </c>
      <c r="Z5625" t="s">
        <v>59</v>
      </c>
      <c r="AA5625" t="s">
        <v>59</v>
      </c>
      <c r="AB5625" t="s">
        <v>59</v>
      </c>
      <c r="AC5625" t="s">
        <v>59</v>
      </c>
      <c r="AD5625" t="s">
        <v>59</v>
      </c>
      <c r="AF5625" s="1">
        <v>37866</v>
      </c>
      <c r="AG5625" t="s">
        <v>8651</v>
      </c>
      <c r="AH5625" t="s">
        <v>8652</v>
      </c>
      <c r="AI5625" t="str">
        <f>"9521443"</f>
        <v>9521443</v>
      </c>
      <c r="AJ5625" t="s">
        <v>9986</v>
      </c>
      <c r="AK5625">
        <v>2810528607</v>
      </c>
      <c r="AL5625" t="s">
        <v>9987</v>
      </c>
      <c r="AM5625" t="s">
        <v>78</v>
      </c>
      <c r="AN5625" t="s">
        <v>78</v>
      </c>
      <c r="AO5625" t="s">
        <v>78</v>
      </c>
      <c r="AP5625" t="s">
        <v>141</v>
      </c>
      <c r="AQ5625">
        <v>1</v>
      </c>
      <c r="AR5625" t="s">
        <v>80</v>
      </c>
      <c r="AS5625" t="s">
        <v>81</v>
      </c>
      <c r="AT5625" t="s">
        <v>58</v>
      </c>
      <c r="AU5625" t="s">
        <v>68</v>
      </c>
      <c r="AV5625" t="s">
        <v>69</v>
      </c>
      <c r="AW5625" s="1">
        <v>23980</v>
      </c>
      <c r="AX5625">
        <v>1</v>
      </c>
    </row>
    <row r="5626" spans="1:50">
      <c r="B5626" t="str">
        <f>"144316867"</f>
        <v>144316867</v>
      </c>
      <c r="C5626" t="s">
        <v>50</v>
      </c>
      <c r="D5626" t="s">
        <v>1815</v>
      </c>
      <c r="E5626" t="s">
        <v>52</v>
      </c>
      <c r="F5626" t="s">
        <v>166</v>
      </c>
      <c r="G5626" t="s">
        <v>1068</v>
      </c>
      <c r="H5626" t="str">
        <f>"ΛΕΥΚΑΔΟΣ 8 ΜΕΣΑ ΚΑΤΣΑΜΠΑΣ,ΗΡΑΚΛΕΙΟ"</f>
        <v>ΛΕΥΚΑΔΟΣ 8 ΜΕΣΑ ΚΑΤΣΑΜΠΑΣ,ΗΡΑΚΛΕΙΟ</v>
      </c>
      <c r="I5626">
        <v>71409</v>
      </c>
      <c r="J5626">
        <v>2810240460</v>
      </c>
      <c r="K5626">
        <v>6972712661</v>
      </c>
      <c r="N5626" t="s">
        <v>615</v>
      </c>
      <c r="O5626" t="s">
        <v>616</v>
      </c>
      <c r="R5626" t="s">
        <v>159</v>
      </c>
      <c r="S5626">
        <v>5</v>
      </c>
      <c r="T5626" t="s">
        <v>8675</v>
      </c>
      <c r="U5626" s="1">
        <v>43348</v>
      </c>
      <c r="V5626" t="s">
        <v>80</v>
      </c>
      <c r="W5626" t="s">
        <v>81</v>
      </c>
      <c r="X5626" t="s">
        <v>58</v>
      </c>
      <c r="Y5626">
        <v>24</v>
      </c>
      <c r="Z5626" t="s">
        <v>59</v>
      </c>
      <c r="AA5626" t="s">
        <v>59</v>
      </c>
      <c r="AB5626" t="s">
        <v>59</v>
      </c>
      <c r="AC5626" t="s">
        <v>59</v>
      </c>
      <c r="AD5626" t="s">
        <v>59</v>
      </c>
      <c r="AF5626" s="1">
        <v>43348</v>
      </c>
      <c r="AG5626" t="s">
        <v>8645</v>
      </c>
      <c r="AH5626" t="s">
        <v>8646</v>
      </c>
      <c r="AI5626" t="str">
        <f>"9170263"</f>
        <v>9170263</v>
      </c>
      <c r="AJ5626" t="s">
        <v>8942</v>
      </c>
      <c r="AK5626">
        <v>2810346939</v>
      </c>
      <c r="AL5626" t="s">
        <v>8943</v>
      </c>
      <c r="AM5626" t="s">
        <v>78</v>
      </c>
      <c r="AN5626" t="s">
        <v>78</v>
      </c>
      <c r="AO5626" t="s">
        <v>286</v>
      </c>
      <c r="AP5626" t="s">
        <v>286</v>
      </c>
      <c r="AQ5626">
        <v>1</v>
      </c>
      <c r="AR5626" t="s">
        <v>80</v>
      </c>
      <c r="AS5626" t="s">
        <v>81</v>
      </c>
      <c r="AT5626" t="s">
        <v>58</v>
      </c>
      <c r="AU5626" t="s">
        <v>8673</v>
      </c>
      <c r="AV5626" t="s">
        <v>132</v>
      </c>
      <c r="AW5626" s="1">
        <v>31895</v>
      </c>
      <c r="AX5626">
        <v>1</v>
      </c>
    </row>
    <row r="5627" spans="1:50">
      <c r="A5627">
        <v>598541</v>
      </c>
      <c r="B5627" t="str">
        <f>"038567765"</f>
        <v>038567765</v>
      </c>
      <c r="C5627" t="s">
        <v>105</v>
      </c>
      <c r="D5627" t="s">
        <v>9988</v>
      </c>
      <c r="E5627" t="s">
        <v>311</v>
      </c>
      <c r="F5627" t="s">
        <v>99</v>
      </c>
      <c r="G5627" t="s">
        <v>52</v>
      </c>
      <c r="H5627" t="str">
        <f>"ΑΝΤΩΝΙΟΥ ΚΑΣΤΡΙΝΑΚΗ 22 ΗΡΑΚΛΕΙΟ"</f>
        <v>ΑΝΤΩΝΙΟΥ ΚΑΣΤΡΙΝΑΚΗ 22 ΗΡΑΚΛΕΙΟ</v>
      </c>
      <c r="I5627">
        <v>71305</v>
      </c>
      <c r="J5627">
        <v>2810213073</v>
      </c>
      <c r="K5627">
        <v>6974065413</v>
      </c>
      <c r="L5627">
        <v>2810213073</v>
      </c>
      <c r="M5627" t="s">
        <v>9989</v>
      </c>
      <c r="N5627" t="s">
        <v>615</v>
      </c>
      <c r="O5627" t="s">
        <v>616</v>
      </c>
      <c r="R5627" t="s">
        <v>57</v>
      </c>
      <c r="S5627">
        <v>9</v>
      </c>
      <c r="T5627">
        <v>195</v>
      </c>
      <c r="U5627" s="1">
        <v>37497</v>
      </c>
      <c r="V5627" t="s">
        <v>80</v>
      </c>
      <c r="W5627" t="s">
        <v>81</v>
      </c>
      <c r="X5627" t="s">
        <v>58</v>
      </c>
      <c r="Y5627">
        <v>22</v>
      </c>
      <c r="Z5627" t="s">
        <v>59</v>
      </c>
      <c r="AA5627" t="s">
        <v>59</v>
      </c>
      <c r="AB5627" t="s">
        <v>59</v>
      </c>
      <c r="AC5627" t="s">
        <v>59</v>
      </c>
      <c r="AD5627" t="s">
        <v>59</v>
      </c>
      <c r="AF5627" s="1">
        <v>37501</v>
      </c>
      <c r="AG5627" t="s">
        <v>8645</v>
      </c>
      <c r="AH5627" t="s">
        <v>8646</v>
      </c>
      <c r="AI5627" t="str">
        <f>"9170343"</f>
        <v>9170343</v>
      </c>
      <c r="AJ5627" t="s">
        <v>8743</v>
      </c>
      <c r="AK5627">
        <v>2810283970</v>
      </c>
      <c r="AL5627" t="s">
        <v>8744</v>
      </c>
      <c r="AM5627" t="s">
        <v>78</v>
      </c>
      <c r="AN5627" t="s">
        <v>78</v>
      </c>
      <c r="AO5627" t="s">
        <v>78</v>
      </c>
      <c r="AP5627" t="s">
        <v>79</v>
      </c>
      <c r="AQ5627">
        <v>1</v>
      </c>
      <c r="AR5627" t="s">
        <v>80</v>
      </c>
      <c r="AS5627" t="s">
        <v>81</v>
      </c>
      <c r="AT5627" t="s">
        <v>58</v>
      </c>
      <c r="AU5627" t="s">
        <v>68</v>
      </c>
      <c r="AV5627" t="s">
        <v>69</v>
      </c>
      <c r="AW5627" s="1">
        <v>23654</v>
      </c>
      <c r="AX5627">
        <v>1</v>
      </c>
    </row>
    <row r="5628" spans="1:50">
      <c r="B5628" t="str">
        <f>"119689035"</f>
        <v>119689035</v>
      </c>
      <c r="C5628" t="s">
        <v>50</v>
      </c>
      <c r="D5628" t="s">
        <v>9990</v>
      </c>
      <c r="E5628" t="s">
        <v>396</v>
      </c>
      <c r="F5628" t="s">
        <v>166</v>
      </c>
      <c r="G5628" t="s">
        <v>109</v>
      </c>
      <c r="H5628" t="str">
        <f>"5Η ΠΑΡΟΔΟΣ ΕΡΜΗ 5 ΗΡΑΚΛΕΙΟ"</f>
        <v>5Η ΠΑΡΟΔΟΣ ΕΡΜΗ 5 ΗΡΑΚΛΕΙΟ</v>
      </c>
      <c r="I5628">
        <v>71409</v>
      </c>
      <c r="J5628">
        <v>2810326869</v>
      </c>
      <c r="K5628">
        <v>6949446849</v>
      </c>
      <c r="M5628" t="s">
        <v>9991</v>
      </c>
      <c r="N5628" t="s">
        <v>306</v>
      </c>
      <c r="O5628" t="s">
        <v>307</v>
      </c>
      <c r="R5628" t="s">
        <v>159</v>
      </c>
      <c r="S5628">
        <v>3</v>
      </c>
      <c r="T5628" t="s">
        <v>8675</v>
      </c>
      <c r="U5628" s="1">
        <v>43348</v>
      </c>
      <c r="V5628" t="s">
        <v>80</v>
      </c>
      <c r="W5628" t="s">
        <v>81</v>
      </c>
      <c r="X5628" t="s">
        <v>58</v>
      </c>
      <c r="Y5628">
        <v>24</v>
      </c>
      <c r="Z5628" t="s">
        <v>59</v>
      </c>
      <c r="AA5628" t="s">
        <v>59</v>
      </c>
      <c r="AB5628" t="s">
        <v>59</v>
      </c>
      <c r="AC5628" t="s">
        <v>59</v>
      </c>
      <c r="AD5628" t="s">
        <v>59</v>
      </c>
      <c r="AF5628" s="1">
        <v>43348</v>
      </c>
      <c r="AG5628" t="s">
        <v>8645</v>
      </c>
      <c r="AH5628" t="s">
        <v>8646</v>
      </c>
      <c r="AI5628" t="str">
        <f>"9170028"</f>
        <v>9170028</v>
      </c>
      <c r="AJ5628" t="s">
        <v>9791</v>
      </c>
      <c r="AK5628">
        <v>2810711204</v>
      </c>
      <c r="AL5628" t="s">
        <v>9792</v>
      </c>
      <c r="AM5628" t="s">
        <v>78</v>
      </c>
      <c r="AN5628" t="s">
        <v>129</v>
      </c>
      <c r="AO5628" t="s">
        <v>597</v>
      </c>
      <c r="AP5628" t="s">
        <v>598</v>
      </c>
      <c r="AQ5628">
        <v>4</v>
      </c>
      <c r="AR5628" t="s">
        <v>80</v>
      </c>
      <c r="AS5628" t="s">
        <v>81</v>
      </c>
      <c r="AT5628" t="s">
        <v>58</v>
      </c>
      <c r="AU5628" t="s">
        <v>8673</v>
      </c>
      <c r="AV5628" t="s">
        <v>132</v>
      </c>
      <c r="AW5628" s="1">
        <v>30503</v>
      </c>
      <c r="AX5628">
        <v>1</v>
      </c>
    </row>
    <row r="5629" spans="1:50">
      <c r="A5629">
        <v>587031</v>
      </c>
      <c r="B5629" t="str">
        <f>"036387574"</f>
        <v>036387574</v>
      </c>
      <c r="C5629" t="s">
        <v>50</v>
      </c>
      <c r="D5629" t="s">
        <v>9990</v>
      </c>
      <c r="E5629" t="s">
        <v>52</v>
      </c>
      <c r="F5629" t="s">
        <v>72</v>
      </c>
      <c r="G5629" t="s">
        <v>237</v>
      </c>
      <c r="H5629" t="str">
        <f>"ΚΟΡΙΝΘΟΥ 1Α ΗΛΙΟΥΠΟΛΗ ΗΡΑΚΛΕΙΟΥ"</f>
        <v>ΚΟΡΙΝΘΟΥ 1Α ΗΛΙΟΥΠΟΛΗ ΗΡΑΚΛΕΙΟΥ</v>
      </c>
      <c r="J5629">
        <v>2810238265</v>
      </c>
      <c r="N5629" t="s">
        <v>1525</v>
      </c>
      <c r="O5629" t="s">
        <v>1526</v>
      </c>
      <c r="R5629" t="s">
        <v>57</v>
      </c>
      <c r="S5629">
        <v>12</v>
      </c>
      <c r="T5629">
        <v>165</v>
      </c>
      <c r="U5629" s="1">
        <v>36040</v>
      </c>
      <c r="V5629" t="s">
        <v>80</v>
      </c>
      <c r="W5629" t="s">
        <v>81</v>
      </c>
      <c r="X5629" t="s">
        <v>58</v>
      </c>
      <c r="Y5629">
        <v>25</v>
      </c>
      <c r="Z5629" t="s">
        <v>59</v>
      </c>
      <c r="AA5629" t="s">
        <v>59</v>
      </c>
      <c r="AB5629" t="s">
        <v>59</v>
      </c>
      <c r="AC5629" t="s">
        <v>59</v>
      </c>
      <c r="AD5629" t="s">
        <v>59</v>
      </c>
      <c r="AF5629" s="1">
        <v>36042</v>
      </c>
      <c r="AG5629" t="s">
        <v>8651</v>
      </c>
      <c r="AH5629" t="s">
        <v>8652</v>
      </c>
      <c r="AI5629" t="str">
        <f>"9170103"</f>
        <v>9170103</v>
      </c>
      <c r="AJ5629" t="s">
        <v>9992</v>
      </c>
      <c r="AK5629">
        <v>2810233184</v>
      </c>
      <c r="AL5629" t="s">
        <v>9993</v>
      </c>
      <c r="AM5629" t="s">
        <v>78</v>
      </c>
      <c r="AN5629" t="s">
        <v>78</v>
      </c>
      <c r="AO5629" t="s">
        <v>78</v>
      </c>
      <c r="AP5629" t="s">
        <v>79</v>
      </c>
      <c r="AQ5629">
        <v>1</v>
      </c>
      <c r="AR5629" t="s">
        <v>80</v>
      </c>
      <c r="AS5629" t="s">
        <v>81</v>
      </c>
      <c r="AT5629" t="s">
        <v>58</v>
      </c>
      <c r="AU5629" t="s">
        <v>68</v>
      </c>
      <c r="AV5629" t="s">
        <v>69</v>
      </c>
      <c r="AW5629" s="1">
        <v>23283</v>
      </c>
      <c r="AX5629">
        <v>1</v>
      </c>
    </row>
    <row r="5630" spans="1:50">
      <c r="A5630">
        <v>593660</v>
      </c>
      <c r="B5630" t="str">
        <f>"100105777"</f>
        <v>100105777</v>
      </c>
      <c r="C5630" t="s">
        <v>105</v>
      </c>
      <c r="D5630" t="s">
        <v>1821</v>
      </c>
      <c r="E5630" t="s">
        <v>9994</v>
      </c>
      <c r="F5630" t="s">
        <v>72</v>
      </c>
      <c r="G5630" t="s">
        <v>1155</v>
      </c>
      <c r="H5630" t="str">
        <f>"ΠΥΡΓΟΣ ΜΟΝΟΦΑΤΣΙΟΥ ΗΡΑΚΛΕΙΟ ΚΡΗΤΗΣ"</f>
        <v>ΠΥΡΓΟΣ ΜΟΝΟΦΑΤΣΙΟΥ ΗΡΑΚΛΕΙΟ ΚΡΗΤΗΣ</v>
      </c>
      <c r="I5630">
        <v>70010</v>
      </c>
      <c r="J5630">
        <v>2893022549</v>
      </c>
      <c r="K5630">
        <v>6972607160</v>
      </c>
      <c r="M5630" t="s">
        <v>9995</v>
      </c>
      <c r="N5630" t="s">
        <v>615</v>
      </c>
      <c r="O5630" t="s">
        <v>616</v>
      </c>
      <c r="R5630" t="s">
        <v>57</v>
      </c>
      <c r="S5630">
        <v>8</v>
      </c>
      <c r="T5630">
        <v>218</v>
      </c>
      <c r="U5630" s="1">
        <v>37134</v>
      </c>
      <c r="V5630" t="s">
        <v>80</v>
      </c>
      <c r="W5630" t="s">
        <v>81</v>
      </c>
      <c r="X5630" t="s">
        <v>58</v>
      </c>
      <c r="Y5630">
        <v>22</v>
      </c>
      <c r="Z5630" t="s">
        <v>59</v>
      </c>
      <c r="AA5630" t="s">
        <v>59</v>
      </c>
      <c r="AB5630" t="s">
        <v>59</v>
      </c>
      <c r="AC5630" t="s">
        <v>59</v>
      </c>
      <c r="AD5630" t="s">
        <v>59</v>
      </c>
      <c r="AF5630" s="1">
        <v>37137</v>
      </c>
      <c r="AG5630" t="s">
        <v>8645</v>
      </c>
      <c r="AH5630" t="s">
        <v>8646</v>
      </c>
      <c r="AI5630" t="str">
        <f>"9170247"</f>
        <v>9170247</v>
      </c>
      <c r="AJ5630" t="s">
        <v>9196</v>
      </c>
      <c r="AK5630">
        <v>2810731278</v>
      </c>
      <c r="AL5630" t="s">
        <v>9197</v>
      </c>
      <c r="AM5630" t="s">
        <v>78</v>
      </c>
      <c r="AN5630" t="s">
        <v>78</v>
      </c>
      <c r="AO5630" t="s">
        <v>78</v>
      </c>
      <c r="AP5630" t="s">
        <v>9198</v>
      </c>
      <c r="AQ5630">
        <v>11</v>
      </c>
      <c r="AR5630" t="s">
        <v>80</v>
      </c>
      <c r="AS5630" t="s">
        <v>81</v>
      </c>
      <c r="AT5630" t="s">
        <v>58</v>
      </c>
      <c r="AU5630" t="s">
        <v>68</v>
      </c>
      <c r="AV5630" t="s">
        <v>69</v>
      </c>
      <c r="AW5630" s="1">
        <v>26936</v>
      </c>
      <c r="AX5630">
        <v>1</v>
      </c>
    </row>
    <row r="5631" spans="1:50">
      <c r="A5631">
        <v>575422</v>
      </c>
      <c r="B5631" t="str">
        <f>"103260193"</f>
        <v>103260193</v>
      </c>
      <c r="C5631" t="s">
        <v>50</v>
      </c>
      <c r="D5631" t="s">
        <v>9996</v>
      </c>
      <c r="E5631" t="s">
        <v>237</v>
      </c>
      <c r="F5631" t="s">
        <v>84</v>
      </c>
      <c r="G5631" t="s">
        <v>143</v>
      </c>
      <c r="H5631" t="str">
        <f>"ΜΑΓΝΗΣΙΑΣ 22 ΗΡΑΚΛΕΙΟ"</f>
        <v>ΜΑΓΝΗΣΙΑΣ 22 ΗΡΑΚΛΕΙΟ</v>
      </c>
      <c r="I5631">
        <v>71305</v>
      </c>
      <c r="J5631">
        <v>2810258419</v>
      </c>
      <c r="K5631">
        <v>6973596645</v>
      </c>
      <c r="N5631" t="s">
        <v>615</v>
      </c>
      <c r="O5631" t="s">
        <v>616</v>
      </c>
      <c r="R5631" t="s">
        <v>57</v>
      </c>
      <c r="S5631">
        <v>13</v>
      </c>
      <c r="T5631">
        <v>184</v>
      </c>
      <c r="U5631" s="1">
        <v>34941</v>
      </c>
      <c r="V5631" t="s">
        <v>80</v>
      </c>
      <c r="W5631" t="s">
        <v>81</v>
      </c>
      <c r="X5631" t="s">
        <v>58</v>
      </c>
      <c r="Y5631">
        <v>21</v>
      </c>
      <c r="Z5631" t="s">
        <v>59</v>
      </c>
      <c r="AA5631" t="s">
        <v>59</v>
      </c>
      <c r="AB5631" t="s">
        <v>59</v>
      </c>
      <c r="AC5631" t="s">
        <v>59</v>
      </c>
      <c r="AD5631" t="s">
        <v>59</v>
      </c>
      <c r="AF5631" s="1">
        <v>34943</v>
      </c>
      <c r="AG5631" t="s">
        <v>8645</v>
      </c>
      <c r="AH5631" t="s">
        <v>8646</v>
      </c>
      <c r="AI5631" t="str">
        <f>"9170058"</f>
        <v>9170058</v>
      </c>
      <c r="AJ5631" t="s">
        <v>8735</v>
      </c>
      <c r="AK5631">
        <v>2810252903</v>
      </c>
      <c r="AL5631" t="s">
        <v>8736</v>
      </c>
      <c r="AM5631" t="s">
        <v>78</v>
      </c>
      <c r="AN5631" t="s">
        <v>78</v>
      </c>
      <c r="AO5631" t="s">
        <v>78</v>
      </c>
      <c r="AP5631" t="s">
        <v>163</v>
      </c>
      <c r="AQ5631">
        <v>1</v>
      </c>
      <c r="AR5631" t="s">
        <v>80</v>
      </c>
      <c r="AS5631" t="s">
        <v>81</v>
      </c>
      <c r="AT5631" t="s">
        <v>58</v>
      </c>
      <c r="AU5631" t="s">
        <v>68</v>
      </c>
      <c r="AV5631" t="s">
        <v>69</v>
      </c>
      <c r="AW5631" s="1">
        <v>23446</v>
      </c>
      <c r="AX5631">
        <v>1</v>
      </c>
    </row>
    <row r="5632" spans="1:50">
      <c r="A5632">
        <v>567243</v>
      </c>
      <c r="B5632" t="str">
        <f>"037780622"</f>
        <v>037780622</v>
      </c>
      <c r="C5632" t="s">
        <v>105</v>
      </c>
      <c r="D5632" t="s">
        <v>9997</v>
      </c>
      <c r="E5632" t="s">
        <v>95</v>
      </c>
      <c r="F5632" t="s">
        <v>166</v>
      </c>
      <c r="G5632" t="s">
        <v>1235</v>
      </c>
      <c r="H5632" t="str">
        <f>"ΠΡΑΚΤΙΚΙΔΟΥ 36 ΗΡΑΚΛΕΙΟ"</f>
        <v>ΠΡΑΚΤΙΚΙΔΟΥ 36 ΗΡΑΚΛΕΙΟ</v>
      </c>
      <c r="I5632">
        <v>71306</v>
      </c>
      <c r="J5632">
        <v>2810239554</v>
      </c>
      <c r="K5632">
        <v>6976111108</v>
      </c>
      <c r="M5632" t="s">
        <v>9998</v>
      </c>
      <c r="N5632" t="s">
        <v>615</v>
      </c>
      <c r="O5632" t="s">
        <v>616</v>
      </c>
      <c r="R5632" t="s">
        <v>57</v>
      </c>
      <c r="S5632">
        <v>15</v>
      </c>
      <c r="T5632">
        <v>133</v>
      </c>
      <c r="U5632" s="1">
        <v>33456</v>
      </c>
      <c r="V5632" t="s">
        <v>80</v>
      </c>
      <c r="W5632" t="s">
        <v>81</v>
      </c>
      <c r="X5632" t="s">
        <v>58</v>
      </c>
      <c r="Y5632">
        <v>21</v>
      </c>
      <c r="Z5632" t="s">
        <v>59</v>
      </c>
      <c r="AA5632" t="s">
        <v>59</v>
      </c>
      <c r="AB5632" t="s">
        <v>59</v>
      </c>
      <c r="AC5632" t="s">
        <v>59</v>
      </c>
      <c r="AD5632" t="s">
        <v>59</v>
      </c>
      <c r="AF5632" s="1">
        <v>33483</v>
      </c>
      <c r="AG5632" t="s">
        <v>8645</v>
      </c>
      <c r="AH5632" t="s">
        <v>8646</v>
      </c>
      <c r="AI5632" t="str">
        <f>"9170058"</f>
        <v>9170058</v>
      </c>
      <c r="AJ5632" t="s">
        <v>8735</v>
      </c>
      <c r="AK5632">
        <v>2810252903</v>
      </c>
      <c r="AL5632" t="s">
        <v>8736</v>
      </c>
      <c r="AM5632" t="s">
        <v>78</v>
      </c>
      <c r="AN5632" t="s">
        <v>78</v>
      </c>
      <c r="AO5632" t="s">
        <v>78</v>
      </c>
      <c r="AP5632" t="s">
        <v>163</v>
      </c>
      <c r="AQ5632">
        <v>1</v>
      </c>
      <c r="AR5632" t="s">
        <v>80</v>
      </c>
      <c r="AS5632" t="s">
        <v>81</v>
      </c>
      <c r="AT5632" t="s">
        <v>58</v>
      </c>
      <c r="AU5632" t="s">
        <v>68</v>
      </c>
      <c r="AV5632" t="s">
        <v>2039</v>
      </c>
      <c r="AW5632" s="1">
        <v>20840</v>
      </c>
      <c r="AX5632">
        <v>1</v>
      </c>
    </row>
    <row r="5633" spans="1:50">
      <c r="B5633" t="str">
        <f>"156501173"</f>
        <v>156501173</v>
      </c>
      <c r="C5633" t="s">
        <v>50</v>
      </c>
      <c r="D5633" t="s">
        <v>9999</v>
      </c>
      <c r="E5633" t="s">
        <v>237</v>
      </c>
      <c r="F5633" t="s">
        <v>95</v>
      </c>
      <c r="G5633" t="s">
        <v>4695</v>
      </c>
      <c r="H5633" t="str">
        <f>" "</f>
        <v xml:space="preserve"> </v>
      </c>
      <c r="N5633" t="s">
        <v>8834</v>
      </c>
      <c r="O5633" t="s">
        <v>8695</v>
      </c>
      <c r="R5633" t="s">
        <v>121</v>
      </c>
      <c r="S5633">
        <v>3</v>
      </c>
      <c r="T5633" t="s">
        <v>8835</v>
      </c>
      <c r="U5633" s="1">
        <v>43348</v>
      </c>
      <c r="V5633" t="s">
        <v>80</v>
      </c>
      <c r="W5633" t="s">
        <v>81</v>
      </c>
      <c r="X5633" t="s">
        <v>58</v>
      </c>
      <c r="Y5633">
        <v>24</v>
      </c>
      <c r="Z5633" t="s">
        <v>59</v>
      </c>
      <c r="AA5633" t="s">
        <v>59</v>
      </c>
      <c r="AB5633" t="s">
        <v>59</v>
      </c>
      <c r="AD5633" t="s">
        <v>59</v>
      </c>
      <c r="AF5633" s="1">
        <v>43348</v>
      </c>
      <c r="AG5633" t="s">
        <v>8645</v>
      </c>
      <c r="AH5633" t="s">
        <v>8646</v>
      </c>
      <c r="AI5633" t="str">
        <f>"9170027"</f>
        <v>9170027</v>
      </c>
      <c r="AJ5633" t="s">
        <v>8704</v>
      </c>
      <c r="AK5633">
        <v>2810711207</v>
      </c>
      <c r="AL5633" t="s">
        <v>8705</v>
      </c>
      <c r="AM5633" t="s">
        <v>78</v>
      </c>
      <c r="AN5633" t="s">
        <v>129</v>
      </c>
      <c r="AO5633" t="s">
        <v>597</v>
      </c>
      <c r="AP5633" t="s">
        <v>598</v>
      </c>
      <c r="AQ5633">
        <v>4</v>
      </c>
      <c r="AR5633" t="s">
        <v>80</v>
      </c>
      <c r="AS5633" t="s">
        <v>81</v>
      </c>
      <c r="AT5633" t="s">
        <v>58</v>
      </c>
      <c r="AU5633" t="s">
        <v>131</v>
      </c>
      <c r="AV5633" t="s">
        <v>132</v>
      </c>
      <c r="AW5633" s="1">
        <v>33223</v>
      </c>
      <c r="AX5633">
        <v>1</v>
      </c>
    </row>
    <row r="5634" spans="1:50">
      <c r="B5634" t="str">
        <f>"109214415"</f>
        <v>109214415</v>
      </c>
      <c r="C5634" t="s">
        <v>50</v>
      </c>
      <c r="D5634" t="s">
        <v>10000</v>
      </c>
      <c r="E5634" t="s">
        <v>215</v>
      </c>
      <c r="F5634" t="s">
        <v>1357</v>
      </c>
      <c r="G5634" t="s">
        <v>3739</v>
      </c>
      <c r="H5634" t="str">
        <f>"ΠΙΣΩ ΜΕΡΟΣ ΚΟΡΘΙΟΥ ΑΝΔΡΟΥ ΑΝΔΡΟΣ"</f>
        <v>ΠΙΣΩ ΜΕΡΟΣ ΚΟΡΘΙΟΥ ΑΝΔΡΟΥ ΑΝΔΡΟΣ</v>
      </c>
      <c r="I5634">
        <v>84502</v>
      </c>
      <c r="K5634">
        <v>6945355200</v>
      </c>
      <c r="N5634" t="s">
        <v>204</v>
      </c>
      <c r="O5634" t="s">
        <v>205</v>
      </c>
      <c r="R5634" t="s">
        <v>159</v>
      </c>
      <c r="S5634">
        <v>4</v>
      </c>
      <c r="T5634" t="s">
        <v>8675</v>
      </c>
      <c r="U5634" s="1">
        <v>43348</v>
      </c>
      <c r="V5634" t="s">
        <v>80</v>
      </c>
      <c r="W5634" t="s">
        <v>81</v>
      </c>
      <c r="X5634" t="s">
        <v>58</v>
      </c>
      <c r="Y5634">
        <v>24</v>
      </c>
      <c r="Z5634" t="s">
        <v>59</v>
      </c>
      <c r="AA5634" t="s">
        <v>59</v>
      </c>
      <c r="AB5634" t="s">
        <v>59</v>
      </c>
      <c r="AC5634" t="s">
        <v>59</v>
      </c>
      <c r="AD5634" t="s">
        <v>59</v>
      </c>
      <c r="AF5634" s="1">
        <v>43348</v>
      </c>
      <c r="AG5634" t="s">
        <v>8645</v>
      </c>
      <c r="AH5634" t="s">
        <v>8646</v>
      </c>
      <c r="AI5634" t="str">
        <f>"9170431"</f>
        <v>9170431</v>
      </c>
      <c r="AJ5634" t="s">
        <v>8658</v>
      </c>
      <c r="AK5634">
        <v>2810250952</v>
      </c>
      <c r="AL5634" t="s">
        <v>8659</v>
      </c>
      <c r="AM5634" t="s">
        <v>78</v>
      </c>
      <c r="AN5634" t="s">
        <v>78</v>
      </c>
      <c r="AO5634" t="s">
        <v>78</v>
      </c>
      <c r="AP5634" t="s">
        <v>141</v>
      </c>
      <c r="AQ5634">
        <v>1</v>
      </c>
      <c r="AR5634" t="s">
        <v>80</v>
      </c>
      <c r="AS5634" t="s">
        <v>81</v>
      </c>
      <c r="AT5634" t="s">
        <v>58</v>
      </c>
      <c r="AU5634" t="s">
        <v>8673</v>
      </c>
      <c r="AV5634" t="s">
        <v>132</v>
      </c>
      <c r="AW5634" s="1">
        <v>29193</v>
      </c>
      <c r="AX5634">
        <v>1</v>
      </c>
    </row>
    <row r="5635" spans="1:50">
      <c r="B5635" t="str">
        <f>"125592475"</f>
        <v>125592475</v>
      </c>
      <c r="C5635" t="s">
        <v>50</v>
      </c>
      <c r="D5635" t="s">
        <v>10001</v>
      </c>
      <c r="E5635" t="s">
        <v>460</v>
      </c>
      <c r="F5635" t="s">
        <v>95</v>
      </c>
      <c r="G5635" t="s">
        <v>255</v>
      </c>
      <c r="H5635" t="str">
        <f>"Μ. ΠΑΥΛΑΚΗ 17 "</f>
        <v xml:space="preserve">Μ. ΠΑΥΛΑΚΗ 17 </v>
      </c>
      <c r="I5635">
        <v>71305</v>
      </c>
      <c r="J5635">
        <v>2810236452</v>
      </c>
      <c r="K5635">
        <v>6937802250</v>
      </c>
      <c r="N5635" t="s">
        <v>8694</v>
      </c>
      <c r="O5635" t="s">
        <v>8695</v>
      </c>
      <c r="R5635" t="s">
        <v>159</v>
      </c>
      <c r="S5635">
        <v>4</v>
      </c>
      <c r="T5635" t="s">
        <v>8696</v>
      </c>
      <c r="U5635" s="1">
        <v>43348</v>
      </c>
      <c r="V5635" t="s">
        <v>80</v>
      </c>
      <c r="W5635" t="s">
        <v>81</v>
      </c>
      <c r="X5635" t="s">
        <v>58</v>
      </c>
      <c r="Y5635">
        <v>24</v>
      </c>
      <c r="Z5635" t="s">
        <v>59</v>
      </c>
      <c r="AA5635" t="s">
        <v>59</v>
      </c>
      <c r="AB5635" t="s">
        <v>59</v>
      </c>
      <c r="AC5635" t="s">
        <v>59</v>
      </c>
      <c r="AD5635" t="s">
        <v>59</v>
      </c>
      <c r="AF5635" s="1">
        <v>43348</v>
      </c>
      <c r="AG5635" t="s">
        <v>8645</v>
      </c>
      <c r="AH5635" t="s">
        <v>8697</v>
      </c>
      <c r="AI5635" t="str">
        <f>"9170358"</f>
        <v>9170358</v>
      </c>
      <c r="AJ5635" t="s">
        <v>9378</v>
      </c>
      <c r="AK5635">
        <v>2810282028</v>
      </c>
      <c r="AL5635" t="s">
        <v>9379</v>
      </c>
      <c r="AM5635" t="s">
        <v>78</v>
      </c>
      <c r="AN5635" t="s">
        <v>78</v>
      </c>
      <c r="AO5635" t="s">
        <v>78</v>
      </c>
      <c r="AP5635" t="s">
        <v>141</v>
      </c>
      <c r="AQ5635">
        <v>1</v>
      </c>
      <c r="AR5635" t="s">
        <v>80</v>
      </c>
      <c r="AS5635" t="s">
        <v>81</v>
      </c>
      <c r="AT5635" t="s">
        <v>58</v>
      </c>
      <c r="AU5635" t="s">
        <v>350</v>
      </c>
      <c r="AV5635" t="s">
        <v>132</v>
      </c>
      <c r="AW5635" s="1">
        <v>31546</v>
      </c>
      <c r="AX5635">
        <v>1</v>
      </c>
    </row>
    <row r="5636" spans="1:50">
      <c r="A5636">
        <v>587196</v>
      </c>
      <c r="B5636" t="str">
        <f>"072816340"</f>
        <v>072816340</v>
      </c>
      <c r="C5636" t="s">
        <v>50</v>
      </c>
      <c r="D5636" t="s">
        <v>10002</v>
      </c>
      <c r="E5636" t="s">
        <v>513</v>
      </c>
      <c r="F5636" t="s">
        <v>383</v>
      </c>
      <c r="G5636" t="s">
        <v>10003</v>
      </c>
      <c r="H5636" t="str">
        <f>" "</f>
        <v xml:space="preserve"> </v>
      </c>
      <c r="N5636" t="s">
        <v>1525</v>
      </c>
      <c r="O5636" t="s">
        <v>1526</v>
      </c>
      <c r="R5636" t="s">
        <v>57</v>
      </c>
      <c r="S5636">
        <v>11</v>
      </c>
      <c r="T5636">
        <v>165</v>
      </c>
      <c r="U5636" s="1">
        <v>36040</v>
      </c>
      <c r="V5636" t="s">
        <v>80</v>
      </c>
      <c r="W5636" t="s">
        <v>81</v>
      </c>
      <c r="X5636" t="s">
        <v>58</v>
      </c>
      <c r="Y5636">
        <v>25</v>
      </c>
      <c r="Z5636" t="s">
        <v>59</v>
      </c>
      <c r="AA5636" t="s">
        <v>59</v>
      </c>
      <c r="AB5636" t="s">
        <v>59</v>
      </c>
      <c r="AC5636" t="s">
        <v>59</v>
      </c>
      <c r="AD5636" t="s">
        <v>59</v>
      </c>
      <c r="AF5636" s="1">
        <v>36040</v>
      </c>
      <c r="AG5636" t="s">
        <v>8651</v>
      </c>
      <c r="AH5636" t="s">
        <v>8652</v>
      </c>
      <c r="AI5636" t="str">
        <f>"9170131"</f>
        <v>9170131</v>
      </c>
      <c r="AJ5636" t="s">
        <v>9597</v>
      </c>
      <c r="AK5636">
        <v>2895022644</v>
      </c>
      <c r="AL5636" t="s">
        <v>9596</v>
      </c>
      <c r="AM5636" t="s">
        <v>78</v>
      </c>
      <c r="AN5636" t="s">
        <v>482</v>
      </c>
      <c r="AO5636" t="s">
        <v>482</v>
      </c>
      <c r="AP5636" t="s">
        <v>483</v>
      </c>
      <c r="AQ5636">
        <v>14</v>
      </c>
      <c r="AR5636" t="s">
        <v>80</v>
      </c>
      <c r="AS5636" t="s">
        <v>81</v>
      </c>
      <c r="AT5636" t="s">
        <v>58</v>
      </c>
      <c r="AU5636" t="s">
        <v>68</v>
      </c>
      <c r="AV5636" t="s">
        <v>69</v>
      </c>
      <c r="AW5636" s="1">
        <v>24332</v>
      </c>
      <c r="AX5636">
        <v>1</v>
      </c>
    </row>
    <row r="5637" spans="1:50">
      <c r="A5637">
        <v>575458</v>
      </c>
      <c r="B5637" t="str">
        <f>"036148077"</f>
        <v>036148077</v>
      </c>
      <c r="C5637" t="s">
        <v>50</v>
      </c>
      <c r="D5637" t="s">
        <v>10004</v>
      </c>
      <c r="E5637" t="s">
        <v>250</v>
      </c>
      <c r="F5637" t="s">
        <v>72</v>
      </c>
      <c r="G5637" t="s">
        <v>52</v>
      </c>
      <c r="H5637" t="str">
        <f>"ΑΡΒΗΣ 7 ΗΡΑΚΛΕΙΟ"</f>
        <v>ΑΡΒΗΣ 7 ΗΡΑΚΛΕΙΟ</v>
      </c>
      <c r="I5637">
        <v>71305</v>
      </c>
      <c r="J5637">
        <v>2810254708</v>
      </c>
      <c r="K5637">
        <v>6977597674</v>
      </c>
      <c r="M5637" t="s">
        <v>10005</v>
      </c>
      <c r="N5637" t="s">
        <v>615</v>
      </c>
      <c r="O5637" t="s">
        <v>616</v>
      </c>
      <c r="R5637" t="s">
        <v>57</v>
      </c>
      <c r="S5637">
        <v>13</v>
      </c>
      <c r="T5637">
        <v>184</v>
      </c>
      <c r="U5637" s="1">
        <v>34941</v>
      </c>
      <c r="V5637" t="s">
        <v>80</v>
      </c>
      <c r="W5637" t="s">
        <v>81</v>
      </c>
      <c r="X5637" t="s">
        <v>58</v>
      </c>
      <c r="Y5637">
        <v>21</v>
      </c>
      <c r="Z5637" t="s">
        <v>59</v>
      </c>
      <c r="AA5637" t="s">
        <v>59</v>
      </c>
      <c r="AB5637" t="s">
        <v>59</v>
      </c>
      <c r="AC5637" t="s">
        <v>59</v>
      </c>
      <c r="AD5637" t="s">
        <v>59</v>
      </c>
      <c r="AF5637" s="1">
        <v>34943</v>
      </c>
      <c r="AG5637" t="s">
        <v>8645</v>
      </c>
      <c r="AH5637" t="s">
        <v>8646</v>
      </c>
      <c r="AI5637" t="str">
        <f>"9170056"</f>
        <v>9170056</v>
      </c>
      <c r="AJ5637" t="s">
        <v>9137</v>
      </c>
      <c r="AK5637">
        <v>2810253392</v>
      </c>
      <c r="AL5637" t="s">
        <v>9138</v>
      </c>
      <c r="AM5637" t="s">
        <v>78</v>
      </c>
      <c r="AN5637" t="s">
        <v>78</v>
      </c>
      <c r="AO5637" t="s">
        <v>78</v>
      </c>
      <c r="AP5637" t="s">
        <v>141</v>
      </c>
      <c r="AQ5637">
        <v>1</v>
      </c>
      <c r="AR5637" t="s">
        <v>80</v>
      </c>
      <c r="AS5637" t="s">
        <v>81</v>
      </c>
      <c r="AT5637" t="s">
        <v>58</v>
      </c>
      <c r="AU5637" t="s">
        <v>68</v>
      </c>
      <c r="AV5637" t="s">
        <v>69</v>
      </c>
      <c r="AW5637" s="1">
        <v>24473</v>
      </c>
      <c r="AX5637">
        <v>1</v>
      </c>
    </row>
    <row r="5638" spans="1:50">
      <c r="B5638" t="str">
        <f>"048017241"</f>
        <v>048017241</v>
      </c>
      <c r="C5638" t="s">
        <v>50</v>
      </c>
      <c r="D5638" t="s">
        <v>10004</v>
      </c>
      <c r="E5638" t="s">
        <v>809</v>
      </c>
      <c r="F5638" t="s">
        <v>166</v>
      </c>
      <c r="G5638" t="s">
        <v>964</v>
      </c>
      <c r="H5638" t="str">
        <f>" "</f>
        <v xml:space="preserve"> </v>
      </c>
      <c r="N5638" t="s">
        <v>615</v>
      </c>
      <c r="O5638" t="s">
        <v>616</v>
      </c>
      <c r="R5638" t="s">
        <v>159</v>
      </c>
      <c r="S5638">
        <v>1</v>
      </c>
      <c r="T5638" t="s">
        <v>8675</v>
      </c>
      <c r="U5638" s="1">
        <v>43348</v>
      </c>
      <c r="V5638" t="s">
        <v>80</v>
      </c>
      <c r="W5638" t="s">
        <v>81</v>
      </c>
      <c r="X5638" t="s">
        <v>58</v>
      </c>
      <c r="Y5638">
        <v>24</v>
      </c>
      <c r="Z5638" t="s">
        <v>59</v>
      </c>
      <c r="AA5638" t="s">
        <v>59</v>
      </c>
      <c r="AB5638" t="s">
        <v>59</v>
      </c>
      <c r="AD5638" t="s">
        <v>59</v>
      </c>
      <c r="AF5638" s="1">
        <v>43348</v>
      </c>
      <c r="AG5638" t="s">
        <v>8645</v>
      </c>
      <c r="AH5638" t="s">
        <v>8646</v>
      </c>
      <c r="AI5638" t="str">
        <f>"9170580"</f>
        <v>9170580</v>
      </c>
      <c r="AJ5638" t="s">
        <v>9076</v>
      </c>
      <c r="AK5638">
        <v>2810542809</v>
      </c>
      <c r="AL5638" t="s">
        <v>9077</v>
      </c>
      <c r="AM5638" t="s">
        <v>78</v>
      </c>
      <c r="AN5638" t="s">
        <v>78</v>
      </c>
      <c r="AO5638" t="s">
        <v>78</v>
      </c>
      <c r="AP5638" t="s">
        <v>9053</v>
      </c>
      <c r="AQ5638">
        <v>1</v>
      </c>
      <c r="AR5638" t="s">
        <v>80</v>
      </c>
      <c r="AS5638" t="s">
        <v>81</v>
      </c>
      <c r="AT5638" t="s">
        <v>58</v>
      </c>
      <c r="AU5638" t="s">
        <v>8673</v>
      </c>
      <c r="AV5638" t="s">
        <v>132</v>
      </c>
      <c r="AW5638" s="1">
        <v>26868</v>
      </c>
      <c r="AX5638">
        <v>1</v>
      </c>
    </row>
    <row r="5639" spans="1:50">
      <c r="A5639">
        <v>605431</v>
      </c>
      <c r="B5639" t="str">
        <f>"074549185"</f>
        <v>074549185</v>
      </c>
      <c r="C5639" t="s">
        <v>50</v>
      </c>
      <c r="D5639" t="s">
        <v>10004</v>
      </c>
      <c r="E5639" t="s">
        <v>188</v>
      </c>
      <c r="F5639" t="s">
        <v>166</v>
      </c>
      <c r="G5639" t="s">
        <v>964</v>
      </c>
      <c r="H5639" t="str">
        <f>" "</f>
        <v xml:space="preserve"> </v>
      </c>
      <c r="J5639">
        <v>2810871051</v>
      </c>
      <c r="K5639">
        <v>6979753206</v>
      </c>
      <c r="N5639" t="s">
        <v>615</v>
      </c>
      <c r="O5639" t="s">
        <v>616</v>
      </c>
      <c r="R5639" t="s">
        <v>57</v>
      </c>
      <c r="S5639">
        <v>11</v>
      </c>
      <c r="T5639">
        <v>231</v>
      </c>
      <c r="U5639" s="1">
        <v>38230</v>
      </c>
      <c r="V5639" t="s">
        <v>80</v>
      </c>
      <c r="W5639" t="s">
        <v>81</v>
      </c>
      <c r="X5639" t="s">
        <v>58</v>
      </c>
      <c r="Y5639">
        <v>22</v>
      </c>
      <c r="Z5639" t="s">
        <v>59</v>
      </c>
      <c r="AA5639" t="s">
        <v>59</v>
      </c>
      <c r="AB5639" t="s">
        <v>59</v>
      </c>
      <c r="AC5639" t="s">
        <v>59</v>
      </c>
      <c r="AD5639" t="s">
        <v>59</v>
      </c>
      <c r="AF5639" s="1">
        <v>38231</v>
      </c>
      <c r="AG5639" t="s">
        <v>8645</v>
      </c>
      <c r="AH5639" t="s">
        <v>8646</v>
      </c>
      <c r="AI5639" t="str">
        <f>"9170091"</f>
        <v>9170091</v>
      </c>
      <c r="AJ5639" t="s">
        <v>8764</v>
      </c>
      <c r="AK5639">
        <v>2810741381</v>
      </c>
      <c r="AL5639" t="s">
        <v>8765</v>
      </c>
      <c r="AM5639" t="s">
        <v>78</v>
      </c>
      <c r="AN5639" t="s">
        <v>424</v>
      </c>
      <c r="AO5639" t="s">
        <v>428</v>
      </c>
      <c r="AP5639" t="s">
        <v>8766</v>
      </c>
      <c r="AQ5639">
        <v>11</v>
      </c>
      <c r="AR5639" t="s">
        <v>80</v>
      </c>
      <c r="AS5639" t="s">
        <v>81</v>
      </c>
      <c r="AT5639" t="s">
        <v>58</v>
      </c>
      <c r="AU5639" t="s">
        <v>68</v>
      </c>
      <c r="AV5639" t="s">
        <v>69</v>
      </c>
      <c r="AW5639" s="1">
        <v>26438</v>
      </c>
      <c r="AX5639">
        <v>1</v>
      </c>
    </row>
    <row r="5640" spans="1:50">
      <c r="A5640">
        <v>580173</v>
      </c>
      <c r="B5640" t="str">
        <f>"062154203"</f>
        <v>062154203</v>
      </c>
      <c r="C5640" t="s">
        <v>50</v>
      </c>
      <c r="D5640" t="s">
        <v>10006</v>
      </c>
      <c r="E5640" t="s">
        <v>52</v>
      </c>
      <c r="F5640" t="s">
        <v>53</v>
      </c>
      <c r="G5640" t="s">
        <v>255</v>
      </c>
      <c r="H5640" t="str">
        <f>" "</f>
        <v xml:space="preserve"> </v>
      </c>
      <c r="N5640" t="s">
        <v>306</v>
      </c>
      <c r="O5640" t="s">
        <v>307</v>
      </c>
      <c r="R5640" t="s">
        <v>57</v>
      </c>
      <c r="S5640">
        <v>11</v>
      </c>
      <c r="T5640">
        <v>166</v>
      </c>
      <c r="U5640" s="1">
        <v>35300</v>
      </c>
      <c r="V5640" t="s">
        <v>80</v>
      </c>
      <c r="W5640" t="s">
        <v>81</v>
      </c>
      <c r="X5640" t="s">
        <v>58</v>
      </c>
      <c r="Y5640">
        <v>21</v>
      </c>
      <c r="Z5640" t="s">
        <v>59</v>
      </c>
      <c r="AA5640" t="s">
        <v>59</v>
      </c>
      <c r="AB5640" t="s">
        <v>59</v>
      </c>
      <c r="AC5640" t="s">
        <v>59</v>
      </c>
      <c r="AD5640" t="s">
        <v>59</v>
      </c>
      <c r="AF5640" s="1">
        <v>35310</v>
      </c>
      <c r="AG5640" t="s">
        <v>8645</v>
      </c>
      <c r="AH5640" t="s">
        <v>8646</v>
      </c>
      <c r="AI5640" t="str">
        <f>"9170257"</f>
        <v>9170257</v>
      </c>
      <c r="AJ5640" t="s">
        <v>8710</v>
      </c>
      <c r="AK5640">
        <v>2810245513</v>
      </c>
      <c r="AL5640" t="s">
        <v>8711</v>
      </c>
      <c r="AM5640" t="s">
        <v>78</v>
      </c>
      <c r="AN5640" t="s">
        <v>78</v>
      </c>
      <c r="AO5640" t="s">
        <v>78</v>
      </c>
      <c r="AP5640" t="s">
        <v>213</v>
      </c>
      <c r="AQ5640">
        <v>1</v>
      </c>
      <c r="AR5640" t="s">
        <v>80</v>
      </c>
      <c r="AS5640" t="s">
        <v>81</v>
      </c>
      <c r="AT5640" t="s">
        <v>58</v>
      </c>
      <c r="AU5640" t="s">
        <v>68</v>
      </c>
      <c r="AV5640" t="s">
        <v>69</v>
      </c>
      <c r="AW5640" s="1">
        <v>25276</v>
      </c>
      <c r="AX5640">
        <v>1</v>
      </c>
    </row>
    <row r="5641" spans="1:50">
      <c r="A5641">
        <v>552964</v>
      </c>
      <c r="B5641" t="str">
        <f>"063194641"</f>
        <v>063194641</v>
      </c>
      <c r="C5641" t="s">
        <v>50</v>
      </c>
      <c r="D5641" t="s">
        <v>10006</v>
      </c>
      <c r="E5641" t="s">
        <v>96</v>
      </c>
      <c r="F5641" t="s">
        <v>72</v>
      </c>
      <c r="G5641" t="s">
        <v>52</v>
      </c>
      <c r="H5641" t="str">
        <f>" "</f>
        <v xml:space="preserve"> </v>
      </c>
      <c r="N5641" t="s">
        <v>615</v>
      </c>
      <c r="O5641" t="s">
        <v>616</v>
      </c>
      <c r="R5641" t="s">
        <v>57</v>
      </c>
      <c r="S5641">
        <v>17</v>
      </c>
      <c r="T5641">
        <v>433</v>
      </c>
      <c r="U5641" s="1">
        <v>31044</v>
      </c>
      <c r="V5641" t="s">
        <v>80</v>
      </c>
      <c r="W5641" t="s">
        <v>81</v>
      </c>
      <c r="X5641" t="s">
        <v>58</v>
      </c>
      <c r="Y5641">
        <v>21</v>
      </c>
      <c r="Z5641" t="s">
        <v>59</v>
      </c>
      <c r="AA5641" t="s">
        <v>59</v>
      </c>
      <c r="AB5641" t="s">
        <v>59</v>
      </c>
      <c r="AC5641" t="s">
        <v>59</v>
      </c>
      <c r="AD5641" t="s">
        <v>59</v>
      </c>
      <c r="AF5641" s="1">
        <v>31058</v>
      </c>
      <c r="AG5641" t="s">
        <v>8645</v>
      </c>
      <c r="AH5641" t="s">
        <v>8646</v>
      </c>
      <c r="AI5641" t="str">
        <f>"9170535"</f>
        <v>9170535</v>
      </c>
      <c r="AJ5641" t="s">
        <v>9330</v>
      </c>
      <c r="AK5641">
        <v>2810222629</v>
      </c>
      <c r="AL5641" t="s">
        <v>9331</v>
      </c>
      <c r="AM5641" t="s">
        <v>78</v>
      </c>
      <c r="AN5641" t="s">
        <v>78</v>
      </c>
      <c r="AO5641" t="s">
        <v>78</v>
      </c>
      <c r="AP5641" t="s">
        <v>213</v>
      </c>
      <c r="AQ5641">
        <v>1</v>
      </c>
      <c r="AR5641" t="s">
        <v>80</v>
      </c>
      <c r="AS5641" t="s">
        <v>81</v>
      </c>
      <c r="AT5641" t="s">
        <v>58</v>
      </c>
      <c r="AU5641" t="s">
        <v>68</v>
      </c>
      <c r="AV5641" t="s">
        <v>69</v>
      </c>
      <c r="AW5641" s="1">
        <v>22969</v>
      </c>
      <c r="AX5641">
        <v>1</v>
      </c>
    </row>
    <row r="5642" spans="1:50">
      <c r="A5642">
        <v>607919</v>
      </c>
      <c r="B5642" t="str">
        <f>"137455540"</f>
        <v>137455540</v>
      </c>
      <c r="C5642" t="s">
        <v>50</v>
      </c>
      <c r="D5642" t="s">
        <v>1834</v>
      </c>
      <c r="E5642" t="s">
        <v>73</v>
      </c>
      <c r="F5642" t="s">
        <v>84</v>
      </c>
      <c r="G5642" t="s">
        <v>52</v>
      </c>
      <c r="H5642" t="str">
        <f>" "</f>
        <v xml:space="preserve"> </v>
      </c>
      <c r="J5642">
        <v>2810244736</v>
      </c>
      <c r="K5642">
        <v>6972684068</v>
      </c>
      <c r="N5642" t="s">
        <v>615</v>
      </c>
      <c r="O5642" t="s">
        <v>616</v>
      </c>
      <c r="R5642" t="s">
        <v>57</v>
      </c>
      <c r="S5642">
        <v>6</v>
      </c>
      <c r="T5642">
        <v>217</v>
      </c>
      <c r="U5642" s="1">
        <v>38596</v>
      </c>
      <c r="V5642" t="s">
        <v>80</v>
      </c>
      <c r="W5642" t="s">
        <v>81</v>
      </c>
      <c r="X5642" t="s">
        <v>58</v>
      </c>
      <c r="Y5642">
        <v>23</v>
      </c>
      <c r="Z5642" t="s">
        <v>59</v>
      </c>
      <c r="AA5642" t="s">
        <v>59</v>
      </c>
      <c r="AB5642" t="s">
        <v>59</v>
      </c>
      <c r="AC5642" t="s">
        <v>59</v>
      </c>
      <c r="AD5642" t="s">
        <v>59</v>
      </c>
      <c r="AF5642" s="1">
        <v>38600</v>
      </c>
      <c r="AG5642" t="s">
        <v>8645</v>
      </c>
      <c r="AH5642" t="s">
        <v>8646</v>
      </c>
      <c r="AI5642" t="str">
        <f>"9170242"</f>
        <v>9170242</v>
      </c>
      <c r="AJ5642" t="s">
        <v>9314</v>
      </c>
      <c r="AK5642">
        <v>2897031254</v>
      </c>
      <c r="AL5642" t="s">
        <v>9315</v>
      </c>
      <c r="AM5642" t="s">
        <v>78</v>
      </c>
      <c r="AN5642" t="s">
        <v>219</v>
      </c>
      <c r="AO5642" t="s">
        <v>527</v>
      </c>
      <c r="AP5642" t="s">
        <v>527</v>
      </c>
      <c r="AQ5642">
        <v>8</v>
      </c>
      <c r="AR5642" t="s">
        <v>80</v>
      </c>
      <c r="AS5642" t="s">
        <v>81</v>
      </c>
      <c r="AT5642" t="s">
        <v>58</v>
      </c>
      <c r="AU5642" t="s">
        <v>68</v>
      </c>
      <c r="AV5642" t="s">
        <v>69</v>
      </c>
      <c r="AW5642" s="1">
        <v>30241</v>
      </c>
      <c r="AX5642">
        <v>1</v>
      </c>
    </row>
    <row r="5643" spans="1:50">
      <c r="A5643">
        <v>578777</v>
      </c>
      <c r="B5643" t="str">
        <f>"064712606"</f>
        <v>064712606</v>
      </c>
      <c r="C5643" t="s">
        <v>50</v>
      </c>
      <c r="D5643" t="s">
        <v>1834</v>
      </c>
      <c r="E5643" t="s">
        <v>255</v>
      </c>
      <c r="F5643" t="s">
        <v>311</v>
      </c>
      <c r="G5643" t="s">
        <v>52</v>
      </c>
      <c r="H5643" t="str">
        <f>"Κομνηνών 19 Πόρος"</f>
        <v>Κομνηνών 19 Πόρος</v>
      </c>
      <c r="I5643">
        <v>71307</v>
      </c>
      <c r="J5643">
        <v>2810332978</v>
      </c>
      <c r="K5643">
        <v>6985918807</v>
      </c>
      <c r="M5643" t="s">
        <v>10007</v>
      </c>
      <c r="N5643" t="s">
        <v>615</v>
      </c>
      <c r="O5643" t="s">
        <v>616</v>
      </c>
      <c r="R5643" t="s">
        <v>57</v>
      </c>
      <c r="S5643">
        <v>11</v>
      </c>
      <c r="T5643">
        <v>165</v>
      </c>
      <c r="U5643" s="1">
        <v>35300</v>
      </c>
      <c r="V5643" t="s">
        <v>80</v>
      </c>
      <c r="W5643" t="s">
        <v>81</v>
      </c>
      <c r="X5643" t="s">
        <v>58</v>
      </c>
      <c r="Y5643">
        <v>21</v>
      </c>
      <c r="Z5643" t="s">
        <v>59</v>
      </c>
      <c r="AA5643" t="s">
        <v>59</v>
      </c>
      <c r="AB5643" t="s">
        <v>59</v>
      </c>
      <c r="AC5643" t="s">
        <v>59</v>
      </c>
      <c r="AD5643" t="s">
        <v>59</v>
      </c>
      <c r="AF5643" s="1">
        <v>35310</v>
      </c>
      <c r="AG5643" t="s">
        <v>8645</v>
      </c>
      <c r="AH5643" t="s">
        <v>8646</v>
      </c>
      <c r="AI5643" t="str">
        <f>"9170259"</f>
        <v>9170259</v>
      </c>
      <c r="AJ5643" t="s">
        <v>8784</v>
      </c>
      <c r="AK5643">
        <v>6994891960</v>
      </c>
      <c r="AL5643" t="s">
        <v>8785</v>
      </c>
      <c r="AM5643" t="s">
        <v>78</v>
      </c>
      <c r="AN5643" t="s">
        <v>78</v>
      </c>
      <c r="AO5643" t="s">
        <v>78</v>
      </c>
      <c r="AP5643" t="s">
        <v>213</v>
      </c>
      <c r="AQ5643">
        <v>1</v>
      </c>
      <c r="AR5643" t="s">
        <v>80</v>
      </c>
      <c r="AS5643" t="s">
        <v>81</v>
      </c>
      <c r="AT5643" t="s">
        <v>58</v>
      </c>
      <c r="AU5643" t="s">
        <v>68</v>
      </c>
      <c r="AV5643" t="s">
        <v>69</v>
      </c>
      <c r="AW5643" s="1">
        <v>24864</v>
      </c>
      <c r="AX5643">
        <v>1</v>
      </c>
    </row>
    <row r="5644" spans="1:50">
      <c r="A5644">
        <v>617256</v>
      </c>
      <c r="B5644" t="str">
        <f>"137475680"</f>
        <v>137475680</v>
      </c>
      <c r="C5644" t="s">
        <v>50</v>
      </c>
      <c r="D5644" t="s">
        <v>1834</v>
      </c>
      <c r="E5644" t="s">
        <v>10008</v>
      </c>
      <c r="F5644" t="s">
        <v>450</v>
      </c>
      <c r="G5644" t="s">
        <v>263</v>
      </c>
      <c r="H5644" t="str">
        <f>"ΔΙΟΝΥΣΙΟΥ ΦΡΑΓΚΙΑΔΑΚΗ 75 ΗΡΑΚΛΕΙΟ"</f>
        <v>ΔΙΟΝΥΣΙΟΥ ΦΡΑΓΚΙΑΔΑΚΗ 75 ΗΡΑΚΛΕΙΟ</v>
      </c>
      <c r="I5644">
        <v>71304</v>
      </c>
      <c r="J5644">
        <v>2810252775</v>
      </c>
      <c r="K5644">
        <v>6974430474</v>
      </c>
      <c r="M5644" t="s">
        <v>10009</v>
      </c>
      <c r="N5644" t="s">
        <v>615</v>
      </c>
      <c r="O5644" t="s">
        <v>616</v>
      </c>
      <c r="R5644" t="s">
        <v>57</v>
      </c>
      <c r="S5644">
        <v>6</v>
      </c>
      <c r="T5644">
        <v>774</v>
      </c>
      <c r="U5644" s="1">
        <v>39680</v>
      </c>
      <c r="V5644" t="s">
        <v>80</v>
      </c>
      <c r="W5644" t="s">
        <v>81</v>
      </c>
      <c r="X5644" t="s">
        <v>58</v>
      </c>
      <c r="Y5644">
        <v>23</v>
      </c>
      <c r="Z5644" t="s">
        <v>59</v>
      </c>
      <c r="AA5644" t="s">
        <v>59</v>
      </c>
      <c r="AB5644" t="s">
        <v>59</v>
      </c>
      <c r="AC5644" t="s">
        <v>59</v>
      </c>
      <c r="AD5644" t="s">
        <v>59</v>
      </c>
      <c r="AF5644" s="1">
        <v>39681</v>
      </c>
      <c r="AG5644" t="s">
        <v>8645</v>
      </c>
      <c r="AH5644" t="s">
        <v>8646</v>
      </c>
      <c r="AI5644" t="str">
        <f>"9170531"</f>
        <v>9170531</v>
      </c>
      <c r="AJ5644" t="s">
        <v>8980</v>
      </c>
      <c r="AK5644">
        <v>2810229104</v>
      </c>
      <c r="AL5644" t="s">
        <v>8981</v>
      </c>
      <c r="AM5644" t="s">
        <v>78</v>
      </c>
      <c r="AN5644" t="s">
        <v>78</v>
      </c>
      <c r="AO5644" t="s">
        <v>78</v>
      </c>
      <c r="AP5644" t="s">
        <v>79</v>
      </c>
      <c r="AQ5644">
        <v>1</v>
      </c>
      <c r="AR5644" t="s">
        <v>80</v>
      </c>
      <c r="AS5644" t="s">
        <v>81</v>
      </c>
      <c r="AT5644" t="s">
        <v>58</v>
      </c>
      <c r="AU5644" t="s">
        <v>68</v>
      </c>
      <c r="AV5644" t="s">
        <v>69</v>
      </c>
      <c r="AW5644" s="1">
        <v>30002</v>
      </c>
      <c r="AX5644">
        <v>1</v>
      </c>
    </row>
    <row r="5645" spans="1:50">
      <c r="B5645" t="str">
        <f>"128803565"</f>
        <v>128803565</v>
      </c>
      <c r="C5645" t="s">
        <v>50</v>
      </c>
      <c r="D5645" t="s">
        <v>10010</v>
      </c>
      <c r="E5645" t="s">
        <v>52</v>
      </c>
      <c r="F5645" t="s">
        <v>693</v>
      </c>
      <c r="G5645" t="s">
        <v>181</v>
      </c>
      <c r="H5645" t="str">
        <f>"ΑΓΧΙΑΛΟΥ 9 ΑΘΗΝΑ"</f>
        <v>ΑΓΧΙΑΛΟΥ 9 ΑΘΗΝΑ</v>
      </c>
      <c r="I5645">
        <v>10443</v>
      </c>
      <c r="J5645">
        <v>2105146117</v>
      </c>
      <c r="K5645">
        <v>6973092242</v>
      </c>
      <c r="N5645" t="s">
        <v>337</v>
      </c>
      <c r="O5645" t="s">
        <v>338</v>
      </c>
      <c r="R5645" t="s">
        <v>159</v>
      </c>
      <c r="S5645">
        <v>3</v>
      </c>
      <c r="T5645" t="s">
        <v>8675</v>
      </c>
      <c r="U5645" s="1">
        <v>43348</v>
      </c>
      <c r="V5645" t="s">
        <v>80</v>
      </c>
      <c r="W5645" t="s">
        <v>81</v>
      </c>
      <c r="X5645" t="s">
        <v>58</v>
      </c>
      <c r="Y5645">
        <v>24</v>
      </c>
      <c r="Z5645" t="s">
        <v>59</v>
      </c>
      <c r="AA5645" t="s">
        <v>59</v>
      </c>
      <c r="AB5645" t="s">
        <v>59</v>
      </c>
      <c r="AC5645" t="s">
        <v>59</v>
      </c>
      <c r="AD5645" t="s">
        <v>59</v>
      </c>
      <c r="AF5645" s="1">
        <v>43348</v>
      </c>
      <c r="AG5645" t="s">
        <v>8645</v>
      </c>
      <c r="AH5645" t="s">
        <v>8646</v>
      </c>
      <c r="AI5645" t="str">
        <f>"9170319"</f>
        <v>9170319</v>
      </c>
      <c r="AJ5645" t="s">
        <v>9121</v>
      </c>
      <c r="AK5645">
        <v>2893022231</v>
      </c>
      <c r="AL5645" t="s">
        <v>9122</v>
      </c>
      <c r="AM5645" t="s">
        <v>78</v>
      </c>
      <c r="AN5645" t="s">
        <v>424</v>
      </c>
      <c r="AO5645" t="s">
        <v>577</v>
      </c>
      <c r="AP5645" t="s">
        <v>1668</v>
      </c>
      <c r="AQ5645">
        <v>10</v>
      </c>
      <c r="AR5645" t="s">
        <v>80</v>
      </c>
      <c r="AS5645" t="s">
        <v>81</v>
      </c>
      <c r="AT5645" t="s">
        <v>58</v>
      </c>
      <c r="AU5645" t="s">
        <v>8673</v>
      </c>
      <c r="AV5645" t="s">
        <v>132</v>
      </c>
      <c r="AW5645" s="1">
        <v>30188</v>
      </c>
      <c r="AX5645">
        <v>1</v>
      </c>
    </row>
    <row r="5646" spans="1:50">
      <c r="B5646" t="str">
        <f>"137325075"</f>
        <v>137325075</v>
      </c>
      <c r="C5646" t="s">
        <v>50</v>
      </c>
      <c r="D5646" t="s">
        <v>10011</v>
      </c>
      <c r="E5646" t="s">
        <v>476</v>
      </c>
      <c r="F5646" t="s">
        <v>900</v>
      </c>
      <c r="G5646" t="s">
        <v>6196</v>
      </c>
      <c r="H5646" t="str">
        <f>"ΙΠΠΟΔΡΟΜΙΟΥ 77 "</f>
        <v xml:space="preserve">ΙΠΠΟΔΡΟΜΙΟΥ 77 </v>
      </c>
      <c r="I5646">
        <v>54351</v>
      </c>
      <c r="J5646">
        <v>2310919028</v>
      </c>
      <c r="K5646">
        <v>6936155682</v>
      </c>
      <c r="N5646" t="s">
        <v>8694</v>
      </c>
      <c r="O5646" t="s">
        <v>8695</v>
      </c>
      <c r="R5646" t="s">
        <v>159</v>
      </c>
      <c r="S5646">
        <v>2</v>
      </c>
      <c r="T5646" t="s">
        <v>8696</v>
      </c>
      <c r="U5646" s="1">
        <v>43348</v>
      </c>
      <c r="V5646" t="s">
        <v>80</v>
      </c>
      <c r="W5646" t="s">
        <v>81</v>
      </c>
      <c r="X5646" t="s">
        <v>58</v>
      </c>
      <c r="Y5646">
        <v>24</v>
      </c>
      <c r="Z5646" t="s">
        <v>59</v>
      </c>
      <c r="AA5646" t="s">
        <v>59</v>
      </c>
      <c r="AB5646" t="s">
        <v>59</v>
      </c>
      <c r="AC5646" t="s">
        <v>59</v>
      </c>
      <c r="AD5646" t="s">
        <v>59</v>
      </c>
      <c r="AF5646" s="1">
        <v>43348</v>
      </c>
      <c r="AG5646" t="s">
        <v>8645</v>
      </c>
      <c r="AH5646" t="s">
        <v>8646</v>
      </c>
      <c r="AI5646" t="str">
        <f>"9170034"</f>
        <v>9170034</v>
      </c>
      <c r="AJ5646" t="s">
        <v>9179</v>
      </c>
      <c r="AK5646">
        <v>2810841217</v>
      </c>
      <c r="AL5646" t="s">
        <v>9180</v>
      </c>
      <c r="AM5646" t="s">
        <v>78</v>
      </c>
      <c r="AN5646" t="s">
        <v>129</v>
      </c>
      <c r="AO5646" t="s">
        <v>130</v>
      </c>
      <c r="AP5646" t="s">
        <v>9181</v>
      </c>
      <c r="AQ5646">
        <v>2</v>
      </c>
      <c r="AR5646" t="s">
        <v>80</v>
      </c>
      <c r="AS5646" t="s">
        <v>81</v>
      </c>
      <c r="AT5646" t="s">
        <v>58</v>
      </c>
      <c r="AU5646" t="s">
        <v>350</v>
      </c>
      <c r="AV5646" t="s">
        <v>132</v>
      </c>
      <c r="AW5646" s="1">
        <v>31327</v>
      </c>
      <c r="AX5646">
        <v>1</v>
      </c>
    </row>
    <row r="5647" spans="1:50">
      <c r="A5647">
        <v>590320</v>
      </c>
      <c r="B5647" t="str">
        <f>"046317309"</f>
        <v>046317309</v>
      </c>
      <c r="C5647" t="s">
        <v>50</v>
      </c>
      <c r="D5647" t="s">
        <v>1840</v>
      </c>
      <c r="E5647" t="s">
        <v>237</v>
      </c>
      <c r="F5647" t="s">
        <v>154</v>
      </c>
      <c r="G5647" t="s">
        <v>83</v>
      </c>
      <c r="H5647" t="str">
        <f>"ΑΝΩ ΓΟΥΒΕΣ ΗΡΑΚΛΕΙΟ"</f>
        <v>ΑΝΩ ΓΟΥΒΕΣ ΗΡΑΚΛΕΙΟ</v>
      </c>
      <c r="J5647">
        <v>2897042946</v>
      </c>
      <c r="K5647">
        <v>6945318893</v>
      </c>
      <c r="N5647" t="s">
        <v>337</v>
      </c>
      <c r="O5647" t="s">
        <v>338</v>
      </c>
      <c r="R5647" t="s">
        <v>57</v>
      </c>
      <c r="S5647">
        <v>9</v>
      </c>
      <c r="T5647">
        <v>177</v>
      </c>
      <c r="U5647" s="1">
        <v>36403</v>
      </c>
      <c r="V5647" t="s">
        <v>80</v>
      </c>
      <c r="W5647" t="s">
        <v>81</v>
      </c>
      <c r="X5647" t="s">
        <v>58</v>
      </c>
      <c r="Y5647">
        <v>22</v>
      </c>
      <c r="Z5647" t="s">
        <v>59</v>
      </c>
      <c r="AA5647" t="s">
        <v>59</v>
      </c>
      <c r="AB5647" t="s">
        <v>59</v>
      </c>
      <c r="AC5647" t="s">
        <v>59</v>
      </c>
      <c r="AD5647" t="s">
        <v>59</v>
      </c>
      <c r="AF5647" s="1">
        <v>36405</v>
      </c>
      <c r="AG5647" t="s">
        <v>8645</v>
      </c>
      <c r="AH5647" t="s">
        <v>8646</v>
      </c>
      <c r="AI5647" t="str">
        <f>"9170423"</f>
        <v>9170423</v>
      </c>
      <c r="AJ5647" t="s">
        <v>8808</v>
      </c>
      <c r="AK5647">
        <v>2810239612</v>
      </c>
      <c r="AL5647" t="s">
        <v>8809</v>
      </c>
      <c r="AM5647" t="s">
        <v>78</v>
      </c>
      <c r="AN5647" t="s">
        <v>78</v>
      </c>
      <c r="AO5647" t="s">
        <v>78</v>
      </c>
      <c r="AP5647" t="s">
        <v>163</v>
      </c>
      <c r="AQ5647">
        <v>1</v>
      </c>
      <c r="AR5647" t="s">
        <v>80</v>
      </c>
      <c r="AS5647" t="s">
        <v>81</v>
      </c>
      <c r="AT5647" t="s">
        <v>58</v>
      </c>
      <c r="AU5647" t="s">
        <v>68</v>
      </c>
      <c r="AV5647" t="s">
        <v>69</v>
      </c>
      <c r="AW5647" s="1">
        <v>27055</v>
      </c>
      <c r="AX5647">
        <v>1</v>
      </c>
    </row>
    <row r="5648" spans="1:50">
      <c r="A5648">
        <v>582131</v>
      </c>
      <c r="B5648" t="str">
        <f>"065200579"</f>
        <v>065200579</v>
      </c>
      <c r="C5648" t="s">
        <v>50</v>
      </c>
      <c r="D5648" t="s">
        <v>10012</v>
      </c>
      <c r="E5648" t="s">
        <v>2024</v>
      </c>
      <c r="F5648" t="s">
        <v>10013</v>
      </c>
      <c r="G5648" t="s">
        <v>83</v>
      </c>
      <c r="H5648" t="str">
        <f>"ΕΤΕΟΚΡΗΤΩΝ 10 ΗΡΑΚΛΕΙΟ"</f>
        <v>ΕΤΕΟΚΡΗΤΩΝ 10 ΗΡΑΚΛΕΙΟ</v>
      </c>
      <c r="J5648">
        <v>2810259210</v>
      </c>
      <c r="K5648">
        <v>6976401840</v>
      </c>
      <c r="N5648" t="s">
        <v>615</v>
      </c>
      <c r="O5648" t="s">
        <v>616</v>
      </c>
      <c r="R5648" t="s">
        <v>57</v>
      </c>
      <c r="S5648">
        <v>13</v>
      </c>
      <c r="T5648">
        <v>179</v>
      </c>
      <c r="U5648" s="1">
        <v>35674</v>
      </c>
      <c r="V5648" t="s">
        <v>80</v>
      </c>
      <c r="W5648" t="s">
        <v>81</v>
      </c>
      <c r="X5648" t="s">
        <v>58</v>
      </c>
      <c r="Y5648">
        <v>21</v>
      </c>
      <c r="Z5648" t="s">
        <v>59</v>
      </c>
      <c r="AA5648" t="s">
        <v>59</v>
      </c>
      <c r="AB5648" t="s">
        <v>59</v>
      </c>
      <c r="AC5648" t="s">
        <v>59</v>
      </c>
      <c r="AD5648" t="s">
        <v>59</v>
      </c>
      <c r="AF5648" s="1">
        <v>35674</v>
      </c>
      <c r="AG5648" t="s">
        <v>8645</v>
      </c>
      <c r="AH5648" t="s">
        <v>8646</v>
      </c>
      <c r="AI5648" t="str">
        <f>"9170532"</f>
        <v>9170532</v>
      </c>
      <c r="AJ5648" t="s">
        <v>8945</v>
      </c>
      <c r="AK5648">
        <v>2810250330</v>
      </c>
      <c r="AL5648" t="s">
        <v>8946</v>
      </c>
      <c r="AM5648" t="s">
        <v>78</v>
      </c>
      <c r="AN5648" t="s">
        <v>78</v>
      </c>
      <c r="AO5648" t="s">
        <v>78</v>
      </c>
      <c r="AP5648" t="s">
        <v>141</v>
      </c>
      <c r="AQ5648">
        <v>1</v>
      </c>
      <c r="AR5648" t="s">
        <v>80</v>
      </c>
      <c r="AS5648" t="s">
        <v>81</v>
      </c>
      <c r="AT5648" t="s">
        <v>58</v>
      </c>
      <c r="AU5648" t="s">
        <v>68</v>
      </c>
      <c r="AV5648" t="s">
        <v>69</v>
      </c>
      <c r="AW5648" s="1">
        <v>23028</v>
      </c>
      <c r="AX5648">
        <v>1</v>
      </c>
    </row>
    <row r="5649" spans="1:50">
      <c r="A5649">
        <v>558997</v>
      </c>
      <c r="B5649" t="str">
        <f>"034146052"</f>
        <v>034146052</v>
      </c>
      <c r="C5649" t="s">
        <v>50</v>
      </c>
      <c r="D5649" t="s">
        <v>1843</v>
      </c>
      <c r="E5649" t="s">
        <v>52</v>
      </c>
      <c r="F5649" t="s">
        <v>920</v>
      </c>
      <c r="G5649" t="s">
        <v>83</v>
      </c>
      <c r="H5649" t="str">
        <f>"ΠΟΛΥΧΡΟΝΑΚΗ 1 ΠΕΤΡΑΚΟΓΙΩΡΓΗ 9 ΗΡΑΚΛΕΙΟ"</f>
        <v>ΠΟΛΥΧΡΟΝΑΚΗ 1 ΠΕΤΡΑΚΟΓΙΩΡΓΗ 9 ΗΡΑΚΛΕΙΟ</v>
      </c>
      <c r="I5649">
        <v>71305</v>
      </c>
      <c r="J5649">
        <v>2810313383</v>
      </c>
      <c r="K5649">
        <v>6932378632</v>
      </c>
      <c r="N5649" t="s">
        <v>615</v>
      </c>
      <c r="O5649" t="s">
        <v>616</v>
      </c>
      <c r="R5649" t="s">
        <v>57</v>
      </c>
      <c r="S5649">
        <v>16</v>
      </c>
      <c r="T5649">
        <v>168</v>
      </c>
      <c r="U5649" s="1">
        <v>32010</v>
      </c>
      <c r="V5649" t="s">
        <v>80</v>
      </c>
      <c r="W5649" t="s">
        <v>81</v>
      </c>
      <c r="X5649" t="s">
        <v>58</v>
      </c>
      <c r="Y5649">
        <v>21</v>
      </c>
      <c r="Z5649" t="s">
        <v>59</v>
      </c>
      <c r="AA5649" t="s">
        <v>59</v>
      </c>
      <c r="AB5649" t="s">
        <v>59</v>
      </c>
      <c r="AC5649" t="s">
        <v>59</v>
      </c>
      <c r="AD5649" t="s">
        <v>59</v>
      </c>
      <c r="AF5649" s="1">
        <v>32023</v>
      </c>
      <c r="AG5649" t="s">
        <v>8645</v>
      </c>
      <c r="AH5649" t="s">
        <v>8646</v>
      </c>
      <c r="AI5649" t="str">
        <f>"9170058"</f>
        <v>9170058</v>
      </c>
      <c r="AJ5649" t="s">
        <v>8735</v>
      </c>
      <c r="AK5649">
        <v>2810252903</v>
      </c>
      <c r="AL5649" t="s">
        <v>8736</v>
      </c>
      <c r="AM5649" t="s">
        <v>78</v>
      </c>
      <c r="AN5649" t="s">
        <v>78</v>
      </c>
      <c r="AO5649" t="s">
        <v>78</v>
      </c>
      <c r="AP5649" t="s">
        <v>163</v>
      </c>
      <c r="AQ5649">
        <v>1</v>
      </c>
      <c r="AR5649" t="s">
        <v>80</v>
      </c>
      <c r="AS5649" t="s">
        <v>81</v>
      </c>
      <c r="AT5649" t="s">
        <v>58</v>
      </c>
      <c r="AU5649" t="s">
        <v>68</v>
      </c>
      <c r="AV5649" t="s">
        <v>69</v>
      </c>
      <c r="AW5649" s="1">
        <v>24064</v>
      </c>
      <c r="AX5649">
        <v>1</v>
      </c>
    </row>
    <row r="5650" spans="1:50">
      <c r="A5650">
        <v>621606</v>
      </c>
      <c r="B5650" t="str">
        <f>"103815977"</f>
        <v>103815977</v>
      </c>
      <c r="C5650" t="s">
        <v>50</v>
      </c>
      <c r="D5650" t="s">
        <v>10014</v>
      </c>
      <c r="E5650" t="s">
        <v>52</v>
      </c>
      <c r="F5650" t="s">
        <v>95</v>
      </c>
      <c r="G5650" t="s">
        <v>396</v>
      </c>
      <c r="H5650" t="str">
        <f>"ΠΑΝΤΑΝΑΣΣΑ 10 ΓΑΖΙ ΗΡΑΚΛΕΙΟΥ"</f>
        <v>ΠΑΝΤΑΝΑΣΣΑ 10 ΓΑΖΙ ΗΡΑΚΛΕΙΟΥ</v>
      </c>
      <c r="I5650">
        <v>71500</v>
      </c>
      <c r="J5650">
        <v>2810821210</v>
      </c>
      <c r="K5650">
        <v>6976430572</v>
      </c>
      <c r="L5650">
        <v>6936095885</v>
      </c>
      <c r="M5650" t="s">
        <v>10015</v>
      </c>
      <c r="N5650" t="s">
        <v>615</v>
      </c>
      <c r="O5650" t="s">
        <v>616</v>
      </c>
      <c r="R5650" t="s">
        <v>57</v>
      </c>
      <c r="S5650">
        <v>8</v>
      </c>
      <c r="T5650">
        <v>653</v>
      </c>
      <c r="U5650" s="1">
        <v>40043</v>
      </c>
      <c r="V5650" t="s">
        <v>80</v>
      </c>
      <c r="W5650" t="s">
        <v>81</v>
      </c>
      <c r="X5650" t="s">
        <v>58</v>
      </c>
      <c r="Y5650">
        <v>23</v>
      </c>
      <c r="Z5650" t="s">
        <v>59</v>
      </c>
      <c r="AA5650" t="s">
        <v>59</v>
      </c>
      <c r="AB5650" t="s">
        <v>59</v>
      </c>
      <c r="AC5650" t="s">
        <v>59</v>
      </c>
      <c r="AD5650" t="s">
        <v>59</v>
      </c>
      <c r="AF5650" s="1">
        <v>40043</v>
      </c>
      <c r="AG5650" t="s">
        <v>8645</v>
      </c>
      <c r="AH5650" t="s">
        <v>8646</v>
      </c>
      <c r="AI5650" t="str">
        <f>"9170018"</f>
        <v>9170018</v>
      </c>
      <c r="AJ5650" t="s">
        <v>8924</v>
      </c>
      <c r="AK5650">
        <v>2810821217</v>
      </c>
      <c r="AL5650" t="s">
        <v>8925</v>
      </c>
      <c r="AM5650" t="s">
        <v>78</v>
      </c>
      <c r="AN5650" t="s">
        <v>129</v>
      </c>
      <c r="AO5650" t="s">
        <v>130</v>
      </c>
      <c r="AP5650" t="s">
        <v>130</v>
      </c>
      <c r="AQ5650">
        <v>1</v>
      </c>
      <c r="AR5650" t="s">
        <v>80</v>
      </c>
      <c r="AS5650" t="s">
        <v>81</v>
      </c>
      <c r="AT5650" t="s">
        <v>58</v>
      </c>
      <c r="AU5650" t="s">
        <v>68</v>
      </c>
      <c r="AV5650" t="s">
        <v>69</v>
      </c>
      <c r="AW5650" s="1">
        <v>27891</v>
      </c>
      <c r="AX5650">
        <v>1</v>
      </c>
    </row>
    <row r="5651" spans="1:50">
      <c r="A5651">
        <v>557045</v>
      </c>
      <c r="B5651" t="str">
        <f>"065101160"</f>
        <v>065101160</v>
      </c>
      <c r="C5651" t="s">
        <v>50</v>
      </c>
      <c r="D5651" t="s">
        <v>10014</v>
      </c>
      <c r="E5651" t="s">
        <v>54</v>
      </c>
      <c r="F5651" t="s">
        <v>106</v>
      </c>
      <c r="G5651" t="s">
        <v>5422</v>
      </c>
      <c r="H5651" t="str">
        <f>"ΧΑΝΔΑΚΟΣ 52 ΗΡΑΚΛΕΙΟ"</f>
        <v>ΧΑΝΔΑΚΟΣ 52 ΗΡΑΚΛΕΙΟ</v>
      </c>
      <c r="I5651">
        <v>71202</v>
      </c>
      <c r="J5651">
        <v>2810288797</v>
      </c>
      <c r="K5651">
        <v>6976680435</v>
      </c>
      <c r="M5651" t="s">
        <v>10016</v>
      </c>
      <c r="N5651" t="s">
        <v>615</v>
      </c>
      <c r="O5651" t="s">
        <v>616</v>
      </c>
      <c r="R5651" t="s">
        <v>57</v>
      </c>
      <c r="S5651">
        <v>16</v>
      </c>
      <c r="T5651">
        <v>168</v>
      </c>
      <c r="U5651" s="1">
        <v>32010</v>
      </c>
      <c r="V5651" t="s">
        <v>80</v>
      </c>
      <c r="W5651" t="s">
        <v>81</v>
      </c>
      <c r="X5651" t="s">
        <v>58</v>
      </c>
      <c r="Y5651">
        <v>21</v>
      </c>
      <c r="Z5651" t="s">
        <v>59</v>
      </c>
      <c r="AA5651" t="s">
        <v>59</v>
      </c>
      <c r="AB5651" t="s">
        <v>59</v>
      </c>
      <c r="AC5651" t="s">
        <v>59</v>
      </c>
      <c r="AD5651" t="s">
        <v>59</v>
      </c>
      <c r="AF5651" s="1">
        <v>32021</v>
      </c>
      <c r="AG5651" t="s">
        <v>8645</v>
      </c>
      <c r="AH5651" t="s">
        <v>8646</v>
      </c>
      <c r="AI5651" t="str">
        <f>"9170113"</f>
        <v>9170113</v>
      </c>
      <c r="AJ5651" t="s">
        <v>8846</v>
      </c>
      <c r="AK5651">
        <v>2810226174</v>
      </c>
      <c r="AL5651" t="s">
        <v>8847</v>
      </c>
      <c r="AM5651" t="s">
        <v>78</v>
      </c>
      <c r="AN5651" t="s">
        <v>78</v>
      </c>
      <c r="AO5651" t="s">
        <v>78</v>
      </c>
      <c r="AP5651" t="s">
        <v>79</v>
      </c>
      <c r="AQ5651">
        <v>1</v>
      </c>
      <c r="AR5651" t="s">
        <v>80</v>
      </c>
      <c r="AS5651" t="s">
        <v>81</v>
      </c>
      <c r="AT5651" t="s">
        <v>58</v>
      </c>
      <c r="AU5651" t="s">
        <v>68</v>
      </c>
      <c r="AV5651" t="s">
        <v>69</v>
      </c>
      <c r="AW5651" s="1">
        <v>22149</v>
      </c>
      <c r="AX5651">
        <v>1</v>
      </c>
    </row>
    <row r="5652" spans="1:50">
      <c r="A5652">
        <v>229509</v>
      </c>
      <c r="B5652" t="str">
        <f>"076381183"</f>
        <v>076381183</v>
      </c>
      <c r="C5652" t="s">
        <v>105</v>
      </c>
      <c r="D5652" t="s">
        <v>1847</v>
      </c>
      <c r="E5652" t="s">
        <v>166</v>
      </c>
      <c r="F5652" t="s">
        <v>782</v>
      </c>
      <c r="G5652" t="s">
        <v>181</v>
      </c>
      <c r="H5652" t="str">
        <f>"ΓΑΖΙ - ΝΙΚΗΣ 3 ΗΡΑΚΛΕΙΟ"</f>
        <v>ΓΑΖΙ - ΝΙΚΗΣ 3 ΗΡΑΚΛΕΙΟ</v>
      </c>
      <c r="I5652">
        <v>71414</v>
      </c>
      <c r="J5652">
        <v>2810370829</v>
      </c>
      <c r="K5652">
        <v>6947006394</v>
      </c>
      <c r="N5652" t="s">
        <v>204</v>
      </c>
      <c r="O5652" t="s">
        <v>205</v>
      </c>
      <c r="P5652" t="s">
        <v>232</v>
      </c>
      <c r="Q5652" t="s">
        <v>233</v>
      </c>
      <c r="R5652" t="s">
        <v>57</v>
      </c>
      <c r="S5652">
        <v>5</v>
      </c>
      <c r="T5652" t="s">
        <v>10017</v>
      </c>
      <c r="U5652" s="1">
        <v>40135</v>
      </c>
      <c r="V5652" t="s">
        <v>80</v>
      </c>
      <c r="W5652" t="s">
        <v>81</v>
      </c>
      <c r="X5652" t="s">
        <v>58</v>
      </c>
      <c r="Y5652">
        <v>23</v>
      </c>
      <c r="Z5652" t="s">
        <v>59</v>
      </c>
      <c r="AA5652" t="s">
        <v>59</v>
      </c>
      <c r="AB5652" t="s">
        <v>59</v>
      </c>
      <c r="AC5652" t="s">
        <v>59</v>
      </c>
      <c r="AD5652" t="s">
        <v>59</v>
      </c>
      <c r="AF5652" s="1">
        <v>40135</v>
      </c>
      <c r="AG5652" t="s">
        <v>8645</v>
      </c>
      <c r="AH5652" t="s">
        <v>8646</v>
      </c>
      <c r="AI5652" t="str">
        <f>"9170018"</f>
        <v>9170018</v>
      </c>
      <c r="AJ5652" t="s">
        <v>8924</v>
      </c>
      <c r="AK5652">
        <v>2810821217</v>
      </c>
      <c r="AL5652" t="s">
        <v>8925</v>
      </c>
      <c r="AM5652" t="s">
        <v>78</v>
      </c>
      <c r="AN5652" t="s">
        <v>129</v>
      </c>
      <c r="AO5652" t="s">
        <v>130</v>
      </c>
      <c r="AP5652" t="s">
        <v>130</v>
      </c>
      <c r="AQ5652">
        <v>1</v>
      </c>
      <c r="AR5652" t="s">
        <v>80</v>
      </c>
      <c r="AS5652" t="s">
        <v>81</v>
      </c>
      <c r="AT5652" t="s">
        <v>58</v>
      </c>
      <c r="AU5652" t="s">
        <v>68</v>
      </c>
      <c r="AV5652" t="s">
        <v>69</v>
      </c>
      <c r="AW5652" s="1">
        <v>25319</v>
      </c>
      <c r="AX5652">
        <v>1</v>
      </c>
    </row>
    <row r="5653" spans="1:50">
      <c r="A5653">
        <v>580362</v>
      </c>
      <c r="B5653" t="str">
        <f>"031099876"</f>
        <v>031099876</v>
      </c>
      <c r="C5653" t="s">
        <v>105</v>
      </c>
      <c r="D5653" t="s">
        <v>10018</v>
      </c>
      <c r="E5653" t="s">
        <v>84</v>
      </c>
      <c r="F5653" t="s">
        <v>670</v>
      </c>
      <c r="G5653" t="s">
        <v>52</v>
      </c>
      <c r="H5653" t="str">
        <f>"Μ.ΑΡΧΑΓΓΕΛΟΥ 41 ΗΡΑΚΛΕΙΟ"</f>
        <v>Μ.ΑΡΧΑΓΓΕΛΟΥ 41 ΗΡΑΚΛΕΙΟ</v>
      </c>
      <c r="I5653">
        <v>71304</v>
      </c>
      <c r="J5653">
        <v>2810259441</v>
      </c>
      <c r="K5653">
        <v>6937017714</v>
      </c>
      <c r="N5653" t="s">
        <v>176</v>
      </c>
      <c r="O5653" t="s">
        <v>177</v>
      </c>
      <c r="R5653" t="s">
        <v>57</v>
      </c>
      <c r="S5653">
        <v>12</v>
      </c>
      <c r="T5653">
        <v>166</v>
      </c>
      <c r="U5653" s="1">
        <v>35300</v>
      </c>
      <c r="V5653" t="s">
        <v>80</v>
      </c>
      <c r="W5653" t="s">
        <v>81</v>
      </c>
      <c r="X5653" t="s">
        <v>58</v>
      </c>
      <c r="Y5653">
        <v>21</v>
      </c>
      <c r="Z5653" t="s">
        <v>59</v>
      </c>
      <c r="AA5653" t="s">
        <v>59</v>
      </c>
      <c r="AB5653" t="s">
        <v>59</v>
      </c>
      <c r="AC5653" t="s">
        <v>59</v>
      </c>
      <c r="AD5653" t="s">
        <v>59</v>
      </c>
      <c r="AF5653" s="1">
        <v>35310</v>
      </c>
      <c r="AG5653" t="s">
        <v>8645</v>
      </c>
      <c r="AH5653" t="s">
        <v>8646</v>
      </c>
      <c r="AI5653" t="str">
        <f>"9170424"</f>
        <v>9170424</v>
      </c>
      <c r="AJ5653" t="s">
        <v>8860</v>
      </c>
      <c r="AK5653">
        <v>2810254530</v>
      </c>
      <c r="AL5653" t="s">
        <v>8861</v>
      </c>
      <c r="AM5653" t="s">
        <v>78</v>
      </c>
      <c r="AN5653" t="s">
        <v>78</v>
      </c>
      <c r="AO5653" t="s">
        <v>78</v>
      </c>
      <c r="AP5653" t="s">
        <v>163</v>
      </c>
      <c r="AQ5653">
        <v>1</v>
      </c>
      <c r="AR5653" t="s">
        <v>80</v>
      </c>
      <c r="AS5653" t="s">
        <v>81</v>
      </c>
      <c r="AT5653" t="s">
        <v>58</v>
      </c>
      <c r="AU5653" t="s">
        <v>68</v>
      </c>
      <c r="AV5653" t="s">
        <v>69</v>
      </c>
      <c r="AW5653" s="1">
        <v>24420</v>
      </c>
      <c r="AX5653">
        <v>1</v>
      </c>
    </row>
    <row r="5654" spans="1:50">
      <c r="B5654" t="str">
        <f>"059871309"</f>
        <v>059871309</v>
      </c>
      <c r="C5654" t="s">
        <v>50</v>
      </c>
      <c r="D5654" t="s">
        <v>10019</v>
      </c>
      <c r="E5654" t="s">
        <v>10020</v>
      </c>
      <c r="F5654" t="s">
        <v>510</v>
      </c>
      <c r="H5654" t="str">
        <f>"ΜΗΔΕΙΑΣ 26 ΠΕΡΑΙΑ"</f>
        <v>ΜΗΔΕΙΑΣ 26 ΠΕΡΑΙΑ</v>
      </c>
      <c r="M5654" t="s">
        <v>10021</v>
      </c>
      <c r="N5654" t="s">
        <v>683</v>
      </c>
      <c r="O5654" t="s">
        <v>684</v>
      </c>
      <c r="R5654" t="s">
        <v>159</v>
      </c>
      <c r="S5654">
        <v>1</v>
      </c>
      <c r="T5654" t="s">
        <v>8675</v>
      </c>
      <c r="U5654" s="1">
        <v>43348</v>
      </c>
      <c r="V5654" t="s">
        <v>80</v>
      </c>
      <c r="W5654" t="s">
        <v>81</v>
      </c>
      <c r="X5654" t="s">
        <v>58</v>
      </c>
      <c r="Y5654">
        <v>24</v>
      </c>
      <c r="Z5654" t="s">
        <v>59</v>
      </c>
      <c r="AA5654" t="s">
        <v>59</v>
      </c>
      <c r="AB5654" t="s">
        <v>59</v>
      </c>
      <c r="AC5654" t="s">
        <v>59</v>
      </c>
      <c r="AD5654" t="s">
        <v>59</v>
      </c>
      <c r="AF5654" s="1">
        <v>43348</v>
      </c>
      <c r="AG5654" t="s">
        <v>8645</v>
      </c>
      <c r="AH5654" t="s">
        <v>8646</v>
      </c>
      <c r="AI5654" t="str">
        <f>"9170268"</f>
        <v>9170268</v>
      </c>
      <c r="AJ5654" t="s">
        <v>9301</v>
      </c>
      <c r="AK5654">
        <v>2892022710</v>
      </c>
      <c r="AL5654" t="s">
        <v>9302</v>
      </c>
      <c r="AM5654" t="s">
        <v>78</v>
      </c>
      <c r="AN5654" t="s">
        <v>242</v>
      </c>
      <c r="AO5654" t="s">
        <v>243</v>
      </c>
      <c r="AP5654" t="s">
        <v>243</v>
      </c>
      <c r="AQ5654">
        <v>20</v>
      </c>
      <c r="AR5654" t="s">
        <v>80</v>
      </c>
      <c r="AS5654" t="s">
        <v>81</v>
      </c>
      <c r="AT5654" t="s">
        <v>58</v>
      </c>
      <c r="AU5654" t="s">
        <v>8673</v>
      </c>
      <c r="AV5654" t="s">
        <v>132</v>
      </c>
      <c r="AW5654" s="1">
        <v>26817</v>
      </c>
      <c r="AX5654">
        <v>1</v>
      </c>
    </row>
    <row r="5655" spans="1:50">
      <c r="A5655">
        <v>607354</v>
      </c>
      <c r="B5655" t="str">
        <f>"110114223"</f>
        <v>110114223</v>
      </c>
      <c r="C5655" t="s">
        <v>50</v>
      </c>
      <c r="D5655" t="s">
        <v>1852</v>
      </c>
      <c r="E5655" t="s">
        <v>396</v>
      </c>
      <c r="F5655" t="s">
        <v>459</v>
      </c>
      <c r="G5655" t="s">
        <v>237</v>
      </c>
      <c r="H5655" t="str">
        <f>"ΡΑΥΤΟΠΟΥΛΟΥ 27 ΗΡΑΚΛΕΙΟ"</f>
        <v>ΡΑΥΤΟΠΟΥΛΟΥ 27 ΗΡΑΚΛΕΙΟ</v>
      </c>
      <c r="I5655">
        <v>71305</v>
      </c>
      <c r="J5655">
        <v>2810233610</v>
      </c>
      <c r="K5655">
        <v>6973048894</v>
      </c>
      <c r="N5655" t="s">
        <v>615</v>
      </c>
      <c r="O5655" t="s">
        <v>616</v>
      </c>
      <c r="R5655" t="s">
        <v>57</v>
      </c>
      <c r="S5655">
        <v>7</v>
      </c>
      <c r="T5655">
        <v>217</v>
      </c>
      <c r="U5655" s="1">
        <v>38596</v>
      </c>
      <c r="V5655" t="s">
        <v>80</v>
      </c>
      <c r="W5655" t="s">
        <v>81</v>
      </c>
      <c r="X5655" t="s">
        <v>58</v>
      </c>
      <c r="Y5655">
        <v>23</v>
      </c>
      <c r="Z5655" t="s">
        <v>59</v>
      </c>
      <c r="AA5655" t="s">
        <v>59</v>
      </c>
      <c r="AB5655" t="s">
        <v>59</v>
      </c>
      <c r="AC5655" t="s">
        <v>59</v>
      </c>
      <c r="AD5655" t="s">
        <v>59</v>
      </c>
      <c r="AF5655" s="1">
        <v>38600</v>
      </c>
      <c r="AG5655" t="s">
        <v>8645</v>
      </c>
      <c r="AH5655" t="s">
        <v>8646</v>
      </c>
      <c r="AI5655" t="str">
        <f>"9170115"</f>
        <v>9170115</v>
      </c>
      <c r="AJ5655" t="s">
        <v>8770</v>
      </c>
      <c r="AK5655">
        <v>2810231165</v>
      </c>
      <c r="AL5655" t="s">
        <v>8771</v>
      </c>
      <c r="AM5655" t="s">
        <v>78</v>
      </c>
      <c r="AN5655" t="s">
        <v>78</v>
      </c>
      <c r="AO5655" t="s">
        <v>78</v>
      </c>
      <c r="AP5655" t="s">
        <v>141</v>
      </c>
      <c r="AQ5655">
        <v>1</v>
      </c>
      <c r="AR5655" t="s">
        <v>80</v>
      </c>
      <c r="AS5655" t="s">
        <v>81</v>
      </c>
      <c r="AT5655" t="s">
        <v>58</v>
      </c>
      <c r="AU5655" t="s">
        <v>68</v>
      </c>
      <c r="AV5655" t="s">
        <v>69</v>
      </c>
      <c r="AW5655" s="1">
        <v>29850</v>
      </c>
      <c r="AX5655">
        <v>1</v>
      </c>
    </row>
    <row r="5656" spans="1:50">
      <c r="A5656">
        <v>450925</v>
      </c>
      <c r="B5656" t="str">
        <f>"036771639"</f>
        <v>036771639</v>
      </c>
      <c r="C5656" t="s">
        <v>50</v>
      </c>
      <c r="D5656" t="s">
        <v>1858</v>
      </c>
      <c r="E5656" t="s">
        <v>255</v>
      </c>
      <c r="F5656" t="s">
        <v>99</v>
      </c>
      <c r="G5656" t="s">
        <v>52</v>
      </c>
      <c r="H5656" t="str">
        <f>"ΠΕΝΤΑΜΟΔΙ ΗΡΑΚΛΕΙΟ"</f>
        <v>ΠΕΝΤΑΜΟΔΙ ΗΡΑΚΛΕΙΟ</v>
      </c>
      <c r="I5656">
        <v>70013</v>
      </c>
      <c r="J5656">
        <v>2810721091</v>
      </c>
      <c r="K5656">
        <v>6945953891</v>
      </c>
      <c r="N5656" t="s">
        <v>615</v>
      </c>
      <c r="O5656" t="s">
        <v>616</v>
      </c>
      <c r="R5656" t="s">
        <v>57</v>
      </c>
      <c r="S5656">
        <v>15</v>
      </c>
      <c r="T5656" t="s">
        <v>10022</v>
      </c>
      <c r="U5656" s="1">
        <v>32828</v>
      </c>
      <c r="V5656" t="s">
        <v>80</v>
      </c>
      <c r="W5656" t="s">
        <v>81</v>
      </c>
      <c r="X5656" t="s">
        <v>58</v>
      </c>
      <c r="Y5656">
        <v>21</v>
      </c>
      <c r="Z5656" t="s">
        <v>59</v>
      </c>
      <c r="AA5656" t="s">
        <v>59</v>
      </c>
      <c r="AB5656" t="s">
        <v>59</v>
      </c>
      <c r="AC5656" t="s">
        <v>59</v>
      </c>
      <c r="AD5656" t="s">
        <v>59</v>
      </c>
      <c r="AF5656" s="1">
        <v>36185</v>
      </c>
      <c r="AG5656" t="s">
        <v>8645</v>
      </c>
      <c r="AH5656" t="s">
        <v>8646</v>
      </c>
      <c r="AI5656" t="str">
        <f>"9521093"</f>
        <v>9521093</v>
      </c>
      <c r="AJ5656" t="s">
        <v>9153</v>
      </c>
      <c r="AK5656">
        <v>2810322162</v>
      </c>
      <c r="AL5656" t="s">
        <v>9154</v>
      </c>
      <c r="AM5656" t="s">
        <v>78</v>
      </c>
      <c r="AN5656" t="s">
        <v>78</v>
      </c>
      <c r="AO5656" t="s">
        <v>78</v>
      </c>
      <c r="AP5656" t="s">
        <v>163</v>
      </c>
      <c r="AQ5656">
        <v>1</v>
      </c>
      <c r="AR5656" t="s">
        <v>80</v>
      </c>
      <c r="AS5656" t="s">
        <v>81</v>
      </c>
      <c r="AT5656" t="s">
        <v>58</v>
      </c>
      <c r="AU5656" t="s">
        <v>68</v>
      </c>
      <c r="AV5656" t="s">
        <v>69</v>
      </c>
      <c r="AW5656" s="1">
        <v>23713</v>
      </c>
      <c r="AX5656">
        <v>1</v>
      </c>
    </row>
    <row r="5657" spans="1:50">
      <c r="A5657">
        <v>592314</v>
      </c>
      <c r="B5657" t="str">
        <f>"075890613"</f>
        <v>075890613</v>
      </c>
      <c r="C5657" t="s">
        <v>50</v>
      </c>
      <c r="D5657" t="s">
        <v>1858</v>
      </c>
      <c r="E5657" t="s">
        <v>52</v>
      </c>
      <c r="F5657" t="s">
        <v>95</v>
      </c>
      <c r="G5657" t="s">
        <v>103</v>
      </c>
      <c r="H5657" t="str">
        <f>"ΧΕΡΣΟΝΗΣΟΣ ΧΕΡΣΟΝΗΣΟΣ ΗΡΑΚΛΕΙΟΥ"</f>
        <v>ΧΕΡΣΟΝΗΣΟΣ ΧΕΡΣΟΝΗΣΟΣ ΗΡΑΚΛΕΙΟΥ</v>
      </c>
      <c r="I5657">
        <v>70014</v>
      </c>
      <c r="J5657">
        <v>2897024273</v>
      </c>
      <c r="K5657">
        <v>6932909737</v>
      </c>
      <c r="M5657" t="s">
        <v>10023</v>
      </c>
      <c r="N5657" t="s">
        <v>1525</v>
      </c>
      <c r="O5657" t="s">
        <v>1526</v>
      </c>
      <c r="R5657" t="s">
        <v>57</v>
      </c>
      <c r="S5657">
        <v>9</v>
      </c>
      <c r="T5657">
        <v>249</v>
      </c>
      <c r="U5657" s="1">
        <v>36769</v>
      </c>
      <c r="V5657" t="s">
        <v>80</v>
      </c>
      <c r="W5657" t="s">
        <v>81</v>
      </c>
      <c r="X5657" t="s">
        <v>58</v>
      </c>
      <c r="Y5657">
        <v>25</v>
      </c>
      <c r="Z5657" t="s">
        <v>59</v>
      </c>
      <c r="AA5657" t="s">
        <v>59</v>
      </c>
      <c r="AB5657" t="s">
        <v>59</v>
      </c>
      <c r="AC5657" t="s">
        <v>59</v>
      </c>
      <c r="AD5657" t="s">
        <v>59</v>
      </c>
      <c r="AF5657" s="1">
        <v>36773</v>
      </c>
      <c r="AG5657" t="s">
        <v>8651</v>
      </c>
      <c r="AH5657" t="s">
        <v>8652</v>
      </c>
      <c r="AI5657" t="str">
        <f>"9170460"</f>
        <v>9170460</v>
      </c>
      <c r="AJ5657" t="s">
        <v>10024</v>
      </c>
      <c r="AK5657">
        <v>2897022010</v>
      </c>
      <c r="AL5657" t="s">
        <v>10025</v>
      </c>
      <c r="AM5657" t="s">
        <v>78</v>
      </c>
      <c r="AN5657" t="s">
        <v>219</v>
      </c>
      <c r="AO5657" t="s">
        <v>219</v>
      </c>
      <c r="AP5657" t="s">
        <v>220</v>
      </c>
      <c r="AQ5657">
        <v>8</v>
      </c>
      <c r="AR5657" t="s">
        <v>80</v>
      </c>
      <c r="AS5657" t="s">
        <v>81</v>
      </c>
      <c r="AT5657" t="s">
        <v>58</v>
      </c>
      <c r="AU5657" t="s">
        <v>68</v>
      </c>
      <c r="AV5657" t="s">
        <v>69</v>
      </c>
      <c r="AW5657" s="1">
        <v>26515</v>
      </c>
      <c r="AX5657">
        <v>1</v>
      </c>
    </row>
    <row r="5658" spans="1:50">
      <c r="B5658" t="str">
        <f>"104908159"</f>
        <v>104908159</v>
      </c>
      <c r="C5658" t="s">
        <v>50</v>
      </c>
      <c r="D5658" t="s">
        <v>1858</v>
      </c>
      <c r="E5658" t="s">
        <v>52</v>
      </c>
      <c r="F5658" t="s">
        <v>311</v>
      </c>
      <c r="G5658" t="s">
        <v>83</v>
      </c>
      <c r="H5658" t="str">
        <f>" "</f>
        <v xml:space="preserve"> </v>
      </c>
      <c r="K5658">
        <v>6977591614</v>
      </c>
      <c r="N5658" t="s">
        <v>683</v>
      </c>
      <c r="O5658" t="s">
        <v>684</v>
      </c>
      <c r="R5658" t="s">
        <v>159</v>
      </c>
      <c r="S5658">
        <v>2</v>
      </c>
      <c r="T5658" t="s">
        <v>8675</v>
      </c>
      <c r="U5658" s="1">
        <v>43348</v>
      </c>
      <c r="V5658" t="s">
        <v>80</v>
      </c>
      <c r="W5658" t="s">
        <v>81</v>
      </c>
      <c r="X5658" t="s">
        <v>58</v>
      </c>
      <c r="Y5658">
        <v>24</v>
      </c>
      <c r="Z5658" t="s">
        <v>59</v>
      </c>
      <c r="AA5658" t="s">
        <v>59</v>
      </c>
      <c r="AB5658" t="s">
        <v>59</v>
      </c>
      <c r="AC5658" t="s">
        <v>59</v>
      </c>
      <c r="AD5658" t="s">
        <v>59</v>
      </c>
      <c r="AF5658" s="1">
        <v>43348</v>
      </c>
      <c r="AG5658" t="s">
        <v>8645</v>
      </c>
      <c r="AH5658" t="s">
        <v>8646</v>
      </c>
      <c r="AI5658" t="str">
        <f>"9170535"</f>
        <v>9170535</v>
      </c>
      <c r="AJ5658" t="s">
        <v>9330</v>
      </c>
      <c r="AK5658">
        <v>2810222629</v>
      </c>
      <c r="AL5658" t="s">
        <v>9331</v>
      </c>
      <c r="AM5658" t="s">
        <v>78</v>
      </c>
      <c r="AN5658" t="s">
        <v>78</v>
      </c>
      <c r="AO5658" t="s">
        <v>78</v>
      </c>
      <c r="AP5658" t="s">
        <v>213</v>
      </c>
      <c r="AQ5658">
        <v>1</v>
      </c>
      <c r="AR5658" t="s">
        <v>80</v>
      </c>
      <c r="AS5658" t="s">
        <v>81</v>
      </c>
      <c r="AT5658" t="s">
        <v>58</v>
      </c>
      <c r="AU5658" t="s">
        <v>8673</v>
      </c>
      <c r="AV5658" t="s">
        <v>132</v>
      </c>
      <c r="AW5658" s="1">
        <v>29470</v>
      </c>
      <c r="AX5658">
        <v>1</v>
      </c>
    </row>
    <row r="5659" spans="1:50">
      <c r="A5659">
        <v>559191</v>
      </c>
      <c r="B5659" t="str">
        <f>"030270754"</f>
        <v>030270754</v>
      </c>
      <c r="C5659" t="s">
        <v>105</v>
      </c>
      <c r="D5659" t="s">
        <v>1860</v>
      </c>
      <c r="E5659" t="s">
        <v>95</v>
      </c>
      <c r="F5659" t="s">
        <v>108</v>
      </c>
      <c r="G5659" t="s">
        <v>650</v>
      </c>
      <c r="H5659" t="str">
        <f>"ΒΑΡΝΑΛΗ 2 ΗΡΑΚΛΕΙΟ"</f>
        <v>ΒΑΡΝΑΛΗ 2 ΗΡΑΚΛΕΙΟ</v>
      </c>
      <c r="I5659">
        <v>71305</v>
      </c>
      <c r="J5659">
        <v>2810259051</v>
      </c>
      <c r="N5659" t="s">
        <v>615</v>
      </c>
      <c r="O5659" t="s">
        <v>616</v>
      </c>
      <c r="R5659" t="s">
        <v>57</v>
      </c>
      <c r="S5659">
        <v>16</v>
      </c>
      <c r="T5659">
        <v>168</v>
      </c>
      <c r="U5659" s="1">
        <v>32010</v>
      </c>
      <c r="V5659" t="s">
        <v>80</v>
      </c>
      <c r="W5659" t="s">
        <v>81</v>
      </c>
      <c r="X5659" t="s">
        <v>58</v>
      </c>
      <c r="Y5659">
        <v>21</v>
      </c>
      <c r="Z5659" t="s">
        <v>59</v>
      </c>
      <c r="AA5659" t="s">
        <v>59</v>
      </c>
      <c r="AB5659" t="s">
        <v>59</v>
      </c>
      <c r="AC5659" t="s">
        <v>59</v>
      </c>
      <c r="AD5659" t="s">
        <v>59</v>
      </c>
      <c r="AF5659" s="1">
        <v>32021</v>
      </c>
      <c r="AG5659" t="s">
        <v>8645</v>
      </c>
      <c r="AH5659" t="s">
        <v>8646</v>
      </c>
      <c r="AI5659" t="str">
        <f>"9170058"</f>
        <v>9170058</v>
      </c>
      <c r="AJ5659" t="s">
        <v>8735</v>
      </c>
      <c r="AK5659">
        <v>2810252903</v>
      </c>
      <c r="AL5659" t="s">
        <v>8736</v>
      </c>
      <c r="AM5659" t="s">
        <v>78</v>
      </c>
      <c r="AN5659" t="s">
        <v>78</v>
      </c>
      <c r="AO5659" t="s">
        <v>78</v>
      </c>
      <c r="AP5659" t="s">
        <v>163</v>
      </c>
      <c r="AQ5659">
        <v>1</v>
      </c>
      <c r="AR5659" t="s">
        <v>80</v>
      </c>
      <c r="AS5659" t="s">
        <v>81</v>
      </c>
      <c r="AT5659" t="s">
        <v>58</v>
      </c>
      <c r="AU5659" t="s">
        <v>68</v>
      </c>
      <c r="AV5659" t="s">
        <v>69</v>
      </c>
      <c r="AW5659" s="1">
        <v>21315</v>
      </c>
      <c r="AX5659">
        <v>1</v>
      </c>
    </row>
    <row r="5660" spans="1:50">
      <c r="A5660">
        <v>617573</v>
      </c>
      <c r="B5660" t="str">
        <f>"118948144"</f>
        <v>118948144</v>
      </c>
      <c r="C5660" t="s">
        <v>105</v>
      </c>
      <c r="D5660" t="s">
        <v>1860</v>
      </c>
      <c r="E5660" t="s">
        <v>166</v>
      </c>
      <c r="F5660" t="s">
        <v>95</v>
      </c>
      <c r="G5660" t="s">
        <v>112</v>
      </c>
      <c r="H5660" t="str">
        <f>"ΓΙΑΜΠΟΥΔΑΚΗ 8 ΗΡΑΚΛΕΙΟ"</f>
        <v>ΓΙΑΜΠΟΥΔΑΚΗ 8 ΗΡΑΚΛΕΙΟ</v>
      </c>
      <c r="I5660">
        <v>71414</v>
      </c>
      <c r="J5660">
        <v>2815009681</v>
      </c>
      <c r="K5660">
        <v>6973021913</v>
      </c>
      <c r="M5660" t="s">
        <v>10026</v>
      </c>
      <c r="N5660" t="s">
        <v>615</v>
      </c>
      <c r="O5660" t="s">
        <v>616</v>
      </c>
      <c r="R5660" t="s">
        <v>57</v>
      </c>
      <c r="S5660">
        <v>5</v>
      </c>
      <c r="T5660">
        <v>774</v>
      </c>
      <c r="U5660" s="1">
        <v>39680</v>
      </c>
      <c r="V5660" t="s">
        <v>80</v>
      </c>
      <c r="W5660" t="s">
        <v>81</v>
      </c>
      <c r="X5660" t="s">
        <v>58</v>
      </c>
      <c r="Y5660">
        <v>23</v>
      </c>
      <c r="Z5660" t="s">
        <v>59</v>
      </c>
      <c r="AA5660" t="s">
        <v>59</v>
      </c>
      <c r="AB5660" t="s">
        <v>59</v>
      </c>
      <c r="AC5660" t="s">
        <v>59</v>
      </c>
      <c r="AD5660" t="s">
        <v>59</v>
      </c>
      <c r="AF5660" s="1">
        <v>39681</v>
      </c>
      <c r="AG5660" t="s">
        <v>8645</v>
      </c>
      <c r="AH5660" t="s">
        <v>8646</v>
      </c>
      <c r="AI5660" t="str">
        <f>"9170109"</f>
        <v>9170109</v>
      </c>
      <c r="AJ5660" t="s">
        <v>9056</v>
      </c>
      <c r="AK5660">
        <v>2810212659</v>
      </c>
      <c r="AL5660" t="s">
        <v>9057</v>
      </c>
      <c r="AM5660" t="s">
        <v>78</v>
      </c>
      <c r="AN5660" t="s">
        <v>78</v>
      </c>
      <c r="AO5660" t="s">
        <v>78</v>
      </c>
      <c r="AP5660" t="s">
        <v>163</v>
      </c>
      <c r="AQ5660">
        <v>1</v>
      </c>
      <c r="AR5660" t="s">
        <v>80</v>
      </c>
      <c r="AS5660" t="s">
        <v>81</v>
      </c>
      <c r="AT5660" t="s">
        <v>58</v>
      </c>
      <c r="AU5660" t="s">
        <v>68</v>
      </c>
      <c r="AV5660" t="s">
        <v>69</v>
      </c>
      <c r="AW5660" s="1">
        <v>30642</v>
      </c>
      <c r="AX5660">
        <v>1</v>
      </c>
    </row>
    <row r="5661" spans="1:50">
      <c r="A5661">
        <v>610553</v>
      </c>
      <c r="B5661" t="str">
        <f>"110733220"</f>
        <v>110733220</v>
      </c>
      <c r="C5661" t="s">
        <v>105</v>
      </c>
      <c r="D5661" t="s">
        <v>10027</v>
      </c>
      <c r="E5661" t="s">
        <v>166</v>
      </c>
      <c r="F5661" t="s">
        <v>106</v>
      </c>
      <c r="G5661" t="s">
        <v>52</v>
      </c>
      <c r="H5661" t="str">
        <f>"ΣΙΒΑΣ ΔΗΜΟΣ ΦΑΙΣΤΟΥ"</f>
        <v>ΣΙΒΑΣ ΔΗΜΟΣ ΦΑΙΣΤΟΥ</v>
      </c>
      <c r="I5661">
        <v>70200</v>
      </c>
      <c r="J5661">
        <v>2892042004</v>
      </c>
      <c r="K5661">
        <v>6936999719</v>
      </c>
      <c r="N5661" t="s">
        <v>615</v>
      </c>
      <c r="O5661" t="s">
        <v>616</v>
      </c>
      <c r="R5661" t="s">
        <v>57</v>
      </c>
      <c r="S5661">
        <v>6</v>
      </c>
      <c r="T5661">
        <v>233</v>
      </c>
      <c r="U5661" s="1">
        <v>38960</v>
      </c>
      <c r="V5661" t="s">
        <v>80</v>
      </c>
      <c r="W5661" t="s">
        <v>81</v>
      </c>
      <c r="X5661" t="s">
        <v>58</v>
      </c>
      <c r="Y5661">
        <v>23</v>
      </c>
      <c r="Z5661" t="s">
        <v>59</v>
      </c>
      <c r="AA5661" t="s">
        <v>59</v>
      </c>
      <c r="AB5661" t="s">
        <v>59</v>
      </c>
      <c r="AC5661" t="s">
        <v>59</v>
      </c>
      <c r="AD5661" t="s">
        <v>59</v>
      </c>
      <c r="AF5661" s="1">
        <v>38961</v>
      </c>
      <c r="AG5661" t="s">
        <v>8645</v>
      </c>
      <c r="AH5661" t="s">
        <v>8646</v>
      </c>
      <c r="AI5661" t="str">
        <f>"9170267"</f>
        <v>9170267</v>
      </c>
      <c r="AJ5661" t="s">
        <v>8840</v>
      </c>
      <c r="AK5661">
        <v>2892022320</v>
      </c>
      <c r="AL5661" t="s">
        <v>8841</v>
      </c>
      <c r="AM5661" t="s">
        <v>78</v>
      </c>
      <c r="AN5661" t="s">
        <v>242</v>
      </c>
      <c r="AO5661" t="s">
        <v>243</v>
      </c>
      <c r="AP5661" t="s">
        <v>243</v>
      </c>
      <c r="AQ5661">
        <v>20</v>
      </c>
      <c r="AR5661" t="s">
        <v>80</v>
      </c>
      <c r="AS5661" t="s">
        <v>81</v>
      </c>
      <c r="AT5661" t="s">
        <v>58</v>
      </c>
      <c r="AU5661" t="s">
        <v>68</v>
      </c>
      <c r="AV5661" t="s">
        <v>69</v>
      </c>
      <c r="AW5661" s="1">
        <v>29448</v>
      </c>
      <c r="AX5661">
        <v>1</v>
      </c>
    </row>
    <row r="5662" spans="1:50">
      <c r="A5662">
        <v>608000</v>
      </c>
      <c r="B5662" t="str">
        <f>"101203756"</f>
        <v>101203756</v>
      </c>
      <c r="C5662" t="s">
        <v>50</v>
      </c>
      <c r="D5662" t="s">
        <v>10028</v>
      </c>
      <c r="E5662" t="s">
        <v>314</v>
      </c>
      <c r="F5662" t="s">
        <v>2933</v>
      </c>
      <c r="G5662" t="s">
        <v>630</v>
      </c>
      <c r="H5662" t="str">
        <f>"ΝΙΚ.ΛΥΤΡΑ 7 "</f>
        <v xml:space="preserve">ΝΙΚ.ΛΥΤΡΑ 7 </v>
      </c>
      <c r="I5662">
        <v>71306</v>
      </c>
      <c r="J5662">
        <v>2237022075</v>
      </c>
      <c r="K5662">
        <v>6972858958</v>
      </c>
      <c r="L5662">
        <v>2810235987</v>
      </c>
      <c r="N5662" t="s">
        <v>1525</v>
      </c>
      <c r="O5662" t="s">
        <v>1526</v>
      </c>
      <c r="R5662" t="s">
        <v>57</v>
      </c>
      <c r="S5662">
        <v>7</v>
      </c>
      <c r="T5662">
        <v>217</v>
      </c>
      <c r="U5662" s="1">
        <v>38596</v>
      </c>
      <c r="V5662" t="s">
        <v>80</v>
      </c>
      <c r="W5662" t="s">
        <v>81</v>
      </c>
      <c r="X5662" t="s">
        <v>58</v>
      </c>
      <c r="Y5662">
        <v>25</v>
      </c>
      <c r="Z5662" t="s">
        <v>59</v>
      </c>
      <c r="AA5662" t="s">
        <v>59</v>
      </c>
      <c r="AB5662" t="s">
        <v>59</v>
      </c>
      <c r="AC5662" t="s">
        <v>59</v>
      </c>
      <c r="AD5662" t="s">
        <v>59</v>
      </c>
      <c r="AF5662" s="1">
        <v>38600</v>
      </c>
      <c r="AG5662" t="s">
        <v>8651</v>
      </c>
      <c r="AH5662" t="s">
        <v>8652</v>
      </c>
      <c r="AI5662" t="str">
        <f>"9170105"</f>
        <v>9170105</v>
      </c>
      <c r="AJ5662" t="s">
        <v>10029</v>
      </c>
      <c r="AK5662">
        <v>2810234712</v>
      </c>
      <c r="AL5662" t="s">
        <v>10030</v>
      </c>
      <c r="AM5662" t="s">
        <v>78</v>
      </c>
      <c r="AN5662" t="s">
        <v>78</v>
      </c>
      <c r="AO5662" t="s">
        <v>78</v>
      </c>
      <c r="AP5662" t="s">
        <v>213</v>
      </c>
      <c r="AQ5662">
        <v>1</v>
      </c>
      <c r="AR5662" t="s">
        <v>80</v>
      </c>
      <c r="AS5662" t="s">
        <v>81</v>
      </c>
      <c r="AT5662" t="s">
        <v>58</v>
      </c>
      <c r="AU5662" t="s">
        <v>68</v>
      </c>
      <c r="AV5662" t="s">
        <v>69</v>
      </c>
      <c r="AW5662" s="1">
        <v>28084</v>
      </c>
      <c r="AX5662">
        <v>1</v>
      </c>
    </row>
    <row r="5663" spans="1:50">
      <c r="A5663">
        <v>578517</v>
      </c>
      <c r="B5663" t="str">
        <f>"064214200"</f>
        <v>064214200</v>
      </c>
      <c r="C5663" t="s">
        <v>50</v>
      </c>
      <c r="D5663" t="s">
        <v>10031</v>
      </c>
      <c r="E5663" t="s">
        <v>237</v>
      </c>
      <c r="F5663" t="s">
        <v>154</v>
      </c>
      <c r="G5663" t="s">
        <v>188</v>
      </c>
      <c r="H5663" t="str">
        <f>"ΙΣΙΔΩΡΟΥ 3 ΗΡΑΚΛΕΙΟ"</f>
        <v>ΙΣΙΔΩΡΟΥ 3 ΗΡΑΚΛΕΙΟ</v>
      </c>
      <c r="I5663">
        <v>71306</v>
      </c>
      <c r="J5663">
        <v>2810280187</v>
      </c>
      <c r="K5663">
        <v>6976404965</v>
      </c>
      <c r="N5663" t="s">
        <v>615</v>
      </c>
      <c r="O5663" t="s">
        <v>616</v>
      </c>
      <c r="R5663" t="s">
        <v>57</v>
      </c>
      <c r="S5663">
        <v>13</v>
      </c>
      <c r="T5663">
        <v>165</v>
      </c>
      <c r="U5663" s="1">
        <v>35300</v>
      </c>
      <c r="V5663" t="s">
        <v>80</v>
      </c>
      <c r="W5663" t="s">
        <v>81</v>
      </c>
      <c r="X5663" t="s">
        <v>58</v>
      </c>
      <c r="Y5663">
        <v>21</v>
      </c>
      <c r="Z5663" t="s">
        <v>59</v>
      </c>
      <c r="AA5663" t="s">
        <v>59</v>
      </c>
      <c r="AB5663" t="s">
        <v>59</v>
      </c>
      <c r="AC5663" t="s">
        <v>59</v>
      </c>
      <c r="AD5663" t="s">
        <v>59</v>
      </c>
      <c r="AF5663" s="1">
        <v>35310</v>
      </c>
      <c r="AG5663" t="s">
        <v>8645</v>
      </c>
      <c r="AH5663" t="s">
        <v>8646</v>
      </c>
      <c r="AI5663" t="str">
        <f>"9170113"</f>
        <v>9170113</v>
      </c>
      <c r="AJ5663" t="s">
        <v>8846</v>
      </c>
      <c r="AK5663">
        <v>2810226174</v>
      </c>
      <c r="AL5663" t="s">
        <v>8847</v>
      </c>
      <c r="AM5663" t="s">
        <v>78</v>
      </c>
      <c r="AN5663" t="s">
        <v>78</v>
      </c>
      <c r="AO5663" t="s">
        <v>78</v>
      </c>
      <c r="AP5663" t="s">
        <v>79</v>
      </c>
      <c r="AQ5663">
        <v>1</v>
      </c>
      <c r="AR5663" t="s">
        <v>80</v>
      </c>
      <c r="AS5663" t="s">
        <v>81</v>
      </c>
      <c r="AT5663" t="s">
        <v>58</v>
      </c>
      <c r="AU5663" t="s">
        <v>68</v>
      </c>
      <c r="AV5663" t="s">
        <v>69</v>
      </c>
      <c r="AW5663" s="1">
        <v>23205</v>
      </c>
      <c r="AX5663">
        <v>1</v>
      </c>
    </row>
    <row r="5664" spans="1:50">
      <c r="A5664">
        <v>223922</v>
      </c>
      <c r="B5664" t="str">
        <f>"103826003"</f>
        <v>103826003</v>
      </c>
      <c r="C5664" t="s">
        <v>50</v>
      </c>
      <c r="D5664" t="s">
        <v>10032</v>
      </c>
      <c r="E5664" t="s">
        <v>964</v>
      </c>
      <c r="F5664" t="s">
        <v>106</v>
      </c>
      <c r="G5664" t="s">
        <v>52</v>
      </c>
      <c r="H5664" t="str">
        <f>"ΘΕΜΟΥ ΚΟΡΝΑΡΟΥ 12 - 14 ΗΡΑΚΛΕΙΟ"</f>
        <v>ΘΕΜΟΥ ΚΟΡΝΑΡΟΥ 12 - 14 ΗΡΑΚΛΕΙΟ</v>
      </c>
      <c r="I5664">
        <v>71306</v>
      </c>
      <c r="J5664">
        <v>2810323997</v>
      </c>
      <c r="K5664">
        <v>6974353020</v>
      </c>
      <c r="L5664">
        <v>2810327242</v>
      </c>
      <c r="N5664" t="s">
        <v>478</v>
      </c>
      <c r="O5664" t="s">
        <v>479</v>
      </c>
      <c r="R5664" t="s">
        <v>57</v>
      </c>
      <c r="S5664">
        <v>7</v>
      </c>
      <c r="T5664">
        <v>775</v>
      </c>
      <c r="U5664" s="1">
        <v>39680</v>
      </c>
      <c r="V5664" t="s">
        <v>80</v>
      </c>
      <c r="W5664" t="s">
        <v>81</v>
      </c>
      <c r="X5664" t="s">
        <v>58</v>
      </c>
      <c r="Y5664">
        <v>23</v>
      </c>
      <c r="Z5664" t="s">
        <v>59</v>
      </c>
      <c r="AA5664" t="s">
        <v>59</v>
      </c>
      <c r="AB5664" t="s">
        <v>59</v>
      </c>
      <c r="AC5664" t="s">
        <v>59</v>
      </c>
      <c r="AD5664" t="s">
        <v>59</v>
      </c>
      <c r="AF5664" s="1">
        <v>39682</v>
      </c>
      <c r="AG5664" t="s">
        <v>8645</v>
      </c>
      <c r="AH5664" t="s">
        <v>8646</v>
      </c>
      <c r="AI5664" t="str">
        <f>"9170532"</f>
        <v>9170532</v>
      </c>
      <c r="AJ5664" t="s">
        <v>8945</v>
      </c>
      <c r="AK5664">
        <v>2810250330</v>
      </c>
      <c r="AL5664" t="s">
        <v>8946</v>
      </c>
      <c r="AM5664" t="s">
        <v>78</v>
      </c>
      <c r="AN5664" t="s">
        <v>78</v>
      </c>
      <c r="AO5664" t="s">
        <v>78</v>
      </c>
      <c r="AP5664" t="s">
        <v>141</v>
      </c>
      <c r="AQ5664">
        <v>1</v>
      </c>
      <c r="AR5664" t="s">
        <v>80</v>
      </c>
      <c r="AS5664" t="s">
        <v>81</v>
      </c>
      <c r="AT5664" t="s">
        <v>58</v>
      </c>
      <c r="AU5664" t="s">
        <v>68</v>
      </c>
      <c r="AV5664" t="s">
        <v>69</v>
      </c>
      <c r="AW5664" s="1">
        <v>29199</v>
      </c>
      <c r="AX5664">
        <v>1</v>
      </c>
    </row>
    <row r="5665" spans="1:50">
      <c r="A5665">
        <v>554363</v>
      </c>
      <c r="B5665" t="str">
        <f>"028715642"</f>
        <v>028715642</v>
      </c>
      <c r="C5665" t="s">
        <v>50</v>
      </c>
      <c r="D5665" t="s">
        <v>10032</v>
      </c>
      <c r="E5665" t="s">
        <v>52</v>
      </c>
      <c r="F5665" t="s">
        <v>72</v>
      </c>
      <c r="G5665" t="s">
        <v>215</v>
      </c>
      <c r="H5665" t="str">
        <f>"ΕΛΕΥΘΕΡΙΟΥ ΒΕΝΙΖΕΛΟΥ ΚΑΤΩ ΓΟΥΒΕΣ"</f>
        <v>ΕΛΕΥΘΕΡΙΟΥ ΒΕΝΙΖΕΛΟΥ ΚΑΤΩ ΓΟΥΒΕΣ</v>
      </c>
      <c r="I5665">
        <v>70014</v>
      </c>
      <c r="J5665">
        <v>2897041013</v>
      </c>
      <c r="K5665">
        <v>6972027247</v>
      </c>
      <c r="M5665" t="s">
        <v>10033</v>
      </c>
      <c r="N5665" t="s">
        <v>1525</v>
      </c>
      <c r="O5665" t="s">
        <v>1526</v>
      </c>
      <c r="R5665" t="s">
        <v>57</v>
      </c>
      <c r="S5665">
        <v>17</v>
      </c>
      <c r="T5665">
        <v>235</v>
      </c>
      <c r="U5665" s="1">
        <v>31289</v>
      </c>
      <c r="V5665" t="s">
        <v>80</v>
      </c>
      <c r="W5665" t="s">
        <v>81</v>
      </c>
      <c r="X5665" t="s">
        <v>58</v>
      </c>
      <c r="Y5665">
        <v>25</v>
      </c>
      <c r="Z5665" t="s">
        <v>59</v>
      </c>
      <c r="AA5665" t="s">
        <v>59</v>
      </c>
      <c r="AB5665" t="s">
        <v>59</v>
      </c>
      <c r="AC5665" t="s">
        <v>59</v>
      </c>
      <c r="AD5665" t="s">
        <v>59</v>
      </c>
      <c r="AF5665" s="1">
        <v>31299</v>
      </c>
      <c r="AG5665" t="s">
        <v>8651</v>
      </c>
      <c r="AH5665" t="s">
        <v>8652</v>
      </c>
      <c r="AI5665" t="str">
        <f>"9170396"</f>
        <v>9170396</v>
      </c>
      <c r="AJ5665" t="s">
        <v>10034</v>
      </c>
      <c r="AK5665">
        <v>2810240478</v>
      </c>
      <c r="AL5665" t="s">
        <v>10035</v>
      </c>
      <c r="AM5665" t="s">
        <v>78</v>
      </c>
      <c r="AN5665" t="s">
        <v>78</v>
      </c>
      <c r="AO5665" t="s">
        <v>286</v>
      </c>
      <c r="AP5665" t="s">
        <v>286</v>
      </c>
      <c r="AQ5665">
        <v>1</v>
      </c>
      <c r="AR5665" t="s">
        <v>80</v>
      </c>
      <c r="AS5665" t="s">
        <v>81</v>
      </c>
      <c r="AT5665" t="s">
        <v>58</v>
      </c>
      <c r="AU5665" t="s">
        <v>68</v>
      </c>
      <c r="AV5665" t="s">
        <v>69</v>
      </c>
      <c r="AW5665" s="1">
        <v>22194</v>
      </c>
      <c r="AX5665">
        <v>1</v>
      </c>
    </row>
    <row r="5666" spans="1:50">
      <c r="A5666">
        <v>623016</v>
      </c>
      <c r="B5666" t="str">
        <f>"125563209"</f>
        <v>125563209</v>
      </c>
      <c r="C5666" t="s">
        <v>50</v>
      </c>
      <c r="D5666" t="s">
        <v>10032</v>
      </c>
      <c r="E5666" t="s">
        <v>191</v>
      </c>
      <c r="F5666" t="s">
        <v>154</v>
      </c>
      <c r="G5666" t="s">
        <v>341</v>
      </c>
      <c r="H5666" t="str">
        <f>"ΙΓΝΑΤΙΟΥ 3 ΗΡΑΚΛΕΙΟ"</f>
        <v>ΙΓΝΑΤΙΟΥ 3 ΗΡΑΚΛΕΙΟ</v>
      </c>
      <c r="I5666">
        <v>71410</v>
      </c>
      <c r="J5666">
        <v>2810320529</v>
      </c>
      <c r="K5666">
        <v>6942290540</v>
      </c>
      <c r="N5666" t="s">
        <v>306</v>
      </c>
      <c r="O5666" t="s">
        <v>307</v>
      </c>
      <c r="R5666" t="s">
        <v>57</v>
      </c>
      <c r="S5666">
        <v>5</v>
      </c>
      <c r="T5666">
        <v>720</v>
      </c>
      <c r="U5666" s="1">
        <v>40059</v>
      </c>
      <c r="V5666" t="s">
        <v>80</v>
      </c>
      <c r="W5666" t="s">
        <v>81</v>
      </c>
      <c r="X5666" t="s">
        <v>58</v>
      </c>
      <c r="Y5666">
        <v>23</v>
      </c>
      <c r="Z5666" t="s">
        <v>59</v>
      </c>
      <c r="AA5666" t="s">
        <v>59</v>
      </c>
      <c r="AB5666" t="s">
        <v>59</v>
      </c>
      <c r="AC5666" t="s">
        <v>59</v>
      </c>
      <c r="AD5666" t="s">
        <v>59</v>
      </c>
      <c r="AF5666" s="1">
        <v>40063</v>
      </c>
      <c r="AG5666" t="s">
        <v>8645</v>
      </c>
      <c r="AH5666" t="s">
        <v>8646</v>
      </c>
      <c r="AI5666" t="str">
        <f>"9170120"</f>
        <v>9170120</v>
      </c>
      <c r="AJ5666" t="s">
        <v>9237</v>
      </c>
      <c r="AK5666">
        <v>2810881577</v>
      </c>
      <c r="AL5666" t="s">
        <v>9238</v>
      </c>
      <c r="AM5666" t="s">
        <v>78</v>
      </c>
      <c r="AN5666" t="s">
        <v>78</v>
      </c>
      <c r="AO5666" t="s">
        <v>78</v>
      </c>
      <c r="AP5666" t="s">
        <v>9239</v>
      </c>
      <c r="AQ5666">
        <v>1</v>
      </c>
      <c r="AR5666" t="s">
        <v>80</v>
      </c>
      <c r="AS5666" t="s">
        <v>81</v>
      </c>
      <c r="AT5666" t="s">
        <v>58</v>
      </c>
      <c r="AU5666" t="s">
        <v>68</v>
      </c>
      <c r="AV5666" t="s">
        <v>69</v>
      </c>
      <c r="AW5666" s="1">
        <v>28940</v>
      </c>
      <c r="AX5666">
        <v>1</v>
      </c>
    </row>
    <row r="5667" spans="1:50">
      <c r="B5667" t="str">
        <f>"141359155"</f>
        <v>141359155</v>
      </c>
      <c r="C5667" t="s">
        <v>105</v>
      </c>
      <c r="D5667" t="s">
        <v>1865</v>
      </c>
      <c r="E5667" t="s">
        <v>95</v>
      </c>
      <c r="F5667" t="s">
        <v>377</v>
      </c>
      <c r="G5667" t="s">
        <v>52</v>
      </c>
      <c r="H5667" t="str">
        <f>"ΓΚΕΡΟΛΑ 10 ΗΡΑΚΛΕΙΟ ΚΡΗΤΗΣ"</f>
        <v>ΓΚΕΡΟΛΑ 10 ΗΡΑΚΛΕΙΟ ΚΡΗΤΗΣ</v>
      </c>
      <c r="I5667">
        <v>71201</v>
      </c>
      <c r="J5667">
        <v>2810280749</v>
      </c>
      <c r="K5667">
        <v>6932421523</v>
      </c>
      <c r="N5667" t="s">
        <v>8694</v>
      </c>
      <c r="O5667" t="s">
        <v>8695</v>
      </c>
      <c r="R5667" t="s">
        <v>159</v>
      </c>
      <c r="S5667">
        <v>5</v>
      </c>
      <c r="T5667" t="s">
        <v>8835</v>
      </c>
      <c r="U5667" s="1">
        <v>43348</v>
      </c>
      <c r="V5667" t="s">
        <v>80</v>
      </c>
      <c r="W5667" t="s">
        <v>81</v>
      </c>
      <c r="X5667" t="s">
        <v>58</v>
      </c>
      <c r="Y5667">
        <v>24</v>
      </c>
      <c r="Z5667" t="s">
        <v>59</v>
      </c>
      <c r="AA5667" t="s">
        <v>59</v>
      </c>
      <c r="AB5667" t="s">
        <v>59</v>
      </c>
      <c r="AC5667" t="s">
        <v>59</v>
      </c>
      <c r="AD5667" t="s">
        <v>59</v>
      </c>
      <c r="AF5667" s="1">
        <v>43348</v>
      </c>
      <c r="AG5667" t="s">
        <v>8645</v>
      </c>
      <c r="AH5667" t="s">
        <v>8646</v>
      </c>
      <c r="AI5667" t="str">
        <f>"9170196"</f>
        <v>9170196</v>
      </c>
      <c r="AJ5667" t="s">
        <v>9255</v>
      </c>
      <c r="AK5667">
        <v>2810283356</v>
      </c>
      <c r="AL5667" t="s">
        <v>9256</v>
      </c>
      <c r="AM5667" t="s">
        <v>78</v>
      </c>
      <c r="AN5667" t="s">
        <v>78</v>
      </c>
      <c r="AO5667" t="s">
        <v>78</v>
      </c>
      <c r="AP5667" t="s">
        <v>79</v>
      </c>
      <c r="AQ5667">
        <v>1</v>
      </c>
      <c r="AR5667" t="s">
        <v>80</v>
      </c>
      <c r="AS5667" t="s">
        <v>81</v>
      </c>
      <c r="AT5667" t="s">
        <v>58</v>
      </c>
      <c r="AU5667" t="s">
        <v>131</v>
      </c>
      <c r="AV5667" t="s">
        <v>132</v>
      </c>
      <c r="AW5667" s="1">
        <v>30759</v>
      </c>
      <c r="AX5667">
        <v>1</v>
      </c>
    </row>
    <row r="5668" spans="1:50">
      <c r="A5668">
        <v>609704</v>
      </c>
      <c r="B5668" t="str">
        <f>"103806890"</f>
        <v>103806890</v>
      </c>
      <c r="C5668" t="s">
        <v>105</v>
      </c>
      <c r="D5668" t="s">
        <v>1865</v>
      </c>
      <c r="E5668" t="s">
        <v>99</v>
      </c>
      <c r="F5668" t="s">
        <v>95</v>
      </c>
      <c r="G5668" t="s">
        <v>314</v>
      </c>
      <c r="H5668" t="str">
        <f>"ΚΑΜΠΙΤΑΚΗ 25 ΗΡΑΚΛΕΙΟ"</f>
        <v>ΚΑΜΠΙΤΑΚΗ 25 ΗΡΑΚΛΕΙΟ</v>
      </c>
      <c r="I5668">
        <v>71409</v>
      </c>
      <c r="J5668">
        <v>2810280166</v>
      </c>
      <c r="K5668">
        <v>6944827185</v>
      </c>
      <c r="N5668" t="s">
        <v>176</v>
      </c>
      <c r="O5668" t="s">
        <v>177</v>
      </c>
      <c r="R5668" t="s">
        <v>57</v>
      </c>
      <c r="S5668">
        <v>6</v>
      </c>
      <c r="T5668">
        <v>225</v>
      </c>
      <c r="U5668" s="1">
        <v>38604</v>
      </c>
      <c r="V5668" t="s">
        <v>80</v>
      </c>
      <c r="W5668" t="s">
        <v>81</v>
      </c>
      <c r="X5668" t="s">
        <v>58</v>
      </c>
      <c r="Y5668">
        <v>23</v>
      </c>
      <c r="Z5668" t="s">
        <v>59</v>
      </c>
      <c r="AA5668" t="s">
        <v>59</v>
      </c>
      <c r="AB5668" t="s">
        <v>59</v>
      </c>
      <c r="AC5668" t="s">
        <v>59</v>
      </c>
      <c r="AD5668" t="s">
        <v>59</v>
      </c>
      <c r="AF5668" s="1">
        <v>38607</v>
      </c>
      <c r="AG5668" t="s">
        <v>8645</v>
      </c>
      <c r="AH5668" t="s">
        <v>8646</v>
      </c>
      <c r="AI5668" t="str">
        <f>"9170426"</f>
        <v>9170426</v>
      </c>
      <c r="AJ5668" t="s">
        <v>9142</v>
      </c>
      <c r="AK5668">
        <v>2810222289</v>
      </c>
      <c r="AL5668" t="s">
        <v>9143</v>
      </c>
      <c r="AM5668" t="s">
        <v>78</v>
      </c>
      <c r="AN5668" t="s">
        <v>78</v>
      </c>
      <c r="AO5668" t="s">
        <v>78</v>
      </c>
      <c r="AP5668" t="s">
        <v>213</v>
      </c>
      <c r="AQ5668">
        <v>1</v>
      </c>
      <c r="AR5668" t="s">
        <v>80</v>
      </c>
      <c r="AS5668" t="s">
        <v>81</v>
      </c>
      <c r="AT5668" t="s">
        <v>58</v>
      </c>
      <c r="AU5668" t="s">
        <v>68</v>
      </c>
      <c r="AV5668" t="s">
        <v>69</v>
      </c>
      <c r="AW5668" s="1">
        <v>29149</v>
      </c>
      <c r="AX5668">
        <v>1</v>
      </c>
    </row>
    <row r="5669" spans="1:50">
      <c r="A5669">
        <v>601356</v>
      </c>
      <c r="B5669" t="str">
        <f>"064117553"</f>
        <v>064117553</v>
      </c>
      <c r="C5669" t="s">
        <v>50</v>
      </c>
      <c r="D5669" t="s">
        <v>1871</v>
      </c>
      <c r="E5669" t="s">
        <v>52</v>
      </c>
      <c r="F5669" t="s">
        <v>72</v>
      </c>
      <c r="G5669" t="s">
        <v>650</v>
      </c>
      <c r="H5669" t="str">
        <f>"ΒΡΑΧΟΚΗΠΟΣ-Τ.Θ.176 "</f>
        <v xml:space="preserve">ΒΡΑΧΟΚΗΠΟΣ-Τ.Θ.176 </v>
      </c>
      <c r="I5669">
        <v>71500</v>
      </c>
      <c r="J5669">
        <v>2810762446</v>
      </c>
      <c r="K5669">
        <v>6946858006</v>
      </c>
      <c r="M5669" t="s">
        <v>10036</v>
      </c>
      <c r="N5669" t="s">
        <v>615</v>
      </c>
      <c r="O5669" t="s">
        <v>616</v>
      </c>
      <c r="R5669" t="s">
        <v>57</v>
      </c>
      <c r="S5669">
        <v>8</v>
      </c>
      <c r="T5669">
        <v>207</v>
      </c>
      <c r="U5669" s="1">
        <v>37866</v>
      </c>
      <c r="V5669" t="s">
        <v>80</v>
      </c>
      <c r="W5669" t="s">
        <v>81</v>
      </c>
      <c r="X5669" t="s">
        <v>58</v>
      </c>
      <c r="Y5669">
        <v>22</v>
      </c>
      <c r="Z5669" t="s">
        <v>59</v>
      </c>
      <c r="AA5669" t="s">
        <v>59</v>
      </c>
      <c r="AB5669" t="s">
        <v>59</v>
      </c>
      <c r="AC5669" t="s">
        <v>59</v>
      </c>
      <c r="AD5669" t="s">
        <v>59</v>
      </c>
      <c r="AF5669" s="1">
        <v>37866</v>
      </c>
      <c r="AG5669" t="s">
        <v>8645</v>
      </c>
      <c r="AH5669" t="s">
        <v>8646</v>
      </c>
      <c r="AI5669" t="str">
        <f>"9170520"</f>
        <v>9170520</v>
      </c>
      <c r="AJ5669" t="s">
        <v>8738</v>
      </c>
      <c r="AK5669">
        <v>2810281317</v>
      </c>
      <c r="AL5669" t="s">
        <v>8739</v>
      </c>
      <c r="AM5669" t="s">
        <v>78</v>
      </c>
      <c r="AN5669" t="s">
        <v>78</v>
      </c>
      <c r="AO5669" t="s">
        <v>286</v>
      </c>
      <c r="AP5669" t="s">
        <v>286</v>
      </c>
      <c r="AQ5669">
        <v>1</v>
      </c>
      <c r="AR5669" t="s">
        <v>80</v>
      </c>
      <c r="AS5669" t="s">
        <v>81</v>
      </c>
      <c r="AT5669" t="s">
        <v>58</v>
      </c>
      <c r="AU5669" t="s">
        <v>68</v>
      </c>
      <c r="AV5669" t="s">
        <v>69</v>
      </c>
      <c r="AW5669" s="1">
        <v>27166</v>
      </c>
      <c r="AX5669">
        <v>1</v>
      </c>
    </row>
    <row r="5670" spans="1:50">
      <c r="A5670">
        <v>556300</v>
      </c>
      <c r="B5670" t="str">
        <f>"027465718"</f>
        <v>027465718</v>
      </c>
      <c r="C5670" t="s">
        <v>105</v>
      </c>
      <c r="D5670" t="s">
        <v>6045</v>
      </c>
      <c r="E5670" t="s">
        <v>154</v>
      </c>
      <c r="F5670" t="s">
        <v>166</v>
      </c>
      <c r="G5670" t="s">
        <v>215</v>
      </c>
      <c r="H5670" t="str">
        <f>"ΕΡΓΑΝΗΣ 33 ΗΡΑΚΛΕΙΟ"</f>
        <v>ΕΡΓΑΝΗΣ 33 ΗΡΑΚΛΕΙΟ</v>
      </c>
      <c r="I5670">
        <v>71303</v>
      </c>
      <c r="J5670">
        <v>2810250684</v>
      </c>
      <c r="K5670">
        <v>6945951223</v>
      </c>
      <c r="M5670" t="s">
        <v>10037</v>
      </c>
      <c r="N5670" t="s">
        <v>615</v>
      </c>
      <c r="O5670" t="s">
        <v>616</v>
      </c>
      <c r="R5670" t="s">
        <v>57</v>
      </c>
      <c r="S5670">
        <v>18</v>
      </c>
      <c r="T5670">
        <v>200</v>
      </c>
      <c r="U5670" s="1">
        <v>31657</v>
      </c>
      <c r="V5670" t="s">
        <v>80</v>
      </c>
      <c r="W5670" t="s">
        <v>81</v>
      </c>
      <c r="X5670" t="s">
        <v>58</v>
      </c>
      <c r="Y5670">
        <v>21</v>
      </c>
      <c r="Z5670" t="s">
        <v>59</v>
      </c>
      <c r="AA5670" t="s">
        <v>59</v>
      </c>
      <c r="AB5670" t="s">
        <v>59</v>
      </c>
      <c r="AC5670" t="s">
        <v>59</v>
      </c>
      <c r="AD5670" t="s">
        <v>59</v>
      </c>
      <c r="AF5670" s="1">
        <v>31666</v>
      </c>
      <c r="AG5670" t="s">
        <v>8645</v>
      </c>
      <c r="AH5670" t="s">
        <v>8646</v>
      </c>
      <c r="AI5670" t="str">
        <f>"9170515"</f>
        <v>9170515</v>
      </c>
      <c r="AJ5670" t="s">
        <v>8790</v>
      </c>
      <c r="AK5670">
        <v>2810254821</v>
      </c>
      <c r="AL5670" t="s">
        <v>8791</v>
      </c>
      <c r="AM5670" t="s">
        <v>78</v>
      </c>
      <c r="AN5670" t="s">
        <v>78</v>
      </c>
      <c r="AO5670" t="s">
        <v>78</v>
      </c>
      <c r="AP5670" t="s">
        <v>163</v>
      </c>
      <c r="AQ5670">
        <v>1</v>
      </c>
      <c r="AR5670" t="s">
        <v>80</v>
      </c>
      <c r="AS5670" t="s">
        <v>81</v>
      </c>
      <c r="AT5670" t="s">
        <v>58</v>
      </c>
      <c r="AU5670" t="s">
        <v>68</v>
      </c>
      <c r="AV5670" t="s">
        <v>69</v>
      </c>
      <c r="AW5670" s="1">
        <v>23033</v>
      </c>
      <c r="AX5670">
        <v>1</v>
      </c>
    </row>
    <row r="5671" spans="1:50">
      <c r="A5671">
        <v>580178</v>
      </c>
      <c r="B5671" t="str">
        <f>"039406200"</f>
        <v>039406200</v>
      </c>
      <c r="C5671" t="s">
        <v>50</v>
      </c>
      <c r="D5671" t="s">
        <v>10038</v>
      </c>
      <c r="E5671" t="s">
        <v>237</v>
      </c>
      <c r="F5671" t="s">
        <v>95</v>
      </c>
      <c r="G5671" t="s">
        <v>783</v>
      </c>
      <c r="H5671" t="str">
        <f>"ΒΟΥΤΕΣ ΗΡΑΚΛΕΙΟΥ ΒΟΥΤΕΣ ΗΡΑΚΛΕΙΟΥ"</f>
        <v>ΒΟΥΤΕΣ ΗΡΑΚΛΕΙΟΥ ΒΟΥΤΕΣ ΗΡΑΚΛΕΙΟΥ</v>
      </c>
      <c r="I5671">
        <v>70013</v>
      </c>
      <c r="J5671">
        <v>2810721896</v>
      </c>
      <c r="K5671">
        <v>6939061504</v>
      </c>
      <c r="N5671" t="s">
        <v>306</v>
      </c>
      <c r="O5671" t="s">
        <v>307</v>
      </c>
      <c r="R5671" t="s">
        <v>57</v>
      </c>
      <c r="S5671">
        <v>11</v>
      </c>
      <c r="T5671">
        <v>166</v>
      </c>
      <c r="U5671" s="1">
        <v>35300</v>
      </c>
      <c r="V5671" t="s">
        <v>80</v>
      </c>
      <c r="W5671" t="s">
        <v>81</v>
      </c>
      <c r="X5671" t="s">
        <v>58</v>
      </c>
      <c r="Y5671">
        <v>21</v>
      </c>
      <c r="Z5671" t="s">
        <v>59</v>
      </c>
      <c r="AA5671" t="s">
        <v>59</v>
      </c>
      <c r="AB5671" t="s">
        <v>59</v>
      </c>
      <c r="AC5671" t="s">
        <v>59</v>
      </c>
      <c r="AD5671" t="s">
        <v>59</v>
      </c>
      <c r="AF5671" s="1">
        <v>35310</v>
      </c>
      <c r="AG5671" t="s">
        <v>8645</v>
      </c>
      <c r="AH5671" t="s">
        <v>8646</v>
      </c>
      <c r="AI5671" t="str">
        <f>"9170580"</f>
        <v>9170580</v>
      </c>
      <c r="AJ5671" t="s">
        <v>9076</v>
      </c>
      <c r="AK5671">
        <v>2810542809</v>
      </c>
      <c r="AL5671" t="s">
        <v>9077</v>
      </c>
      <c r="AM5671" t="s">
        <v>78</v>
      </c>
      <c r="AN5671" t="s">
        <v>78</v>
      </c>
      <c r="AO5671" t="s">
        <v>78</v>
      </c>
      <c r="AP5671" t="s">
        <v>9053</v>
      </c>
      <c r="AQ5671">
        <v>1</v>
      </c>
      <c r="AR5671" t="s">
        <v>80</v>
      </c>
      <c r="AS5671" t="s">
        <v>81</v>
      </c>
      <c r="AT5671" t="s">
        <v>58</v>
      </c>
      <c r="AU5671" t="s">
        <v>68</v>
      </c>
      <c r="AV5671" t="s">
        <v>69</v>
      </c>
      <c r="AW5671" s="1">
        <v>25187</v>
      </c>
      <c r="AX5671">
        <v>1</v>
      </c>
    </row>
    <row r="5672" spans="1:50">
      <c r="A5672">
        <v>603277</v>
      </c>
      <c r="B5672" t="str">
        <f>"072606846"</f>
        <v>072606846</v>
      </c>
      <c r="C5672" t="s">
        <v>50</v>
      </c>
      <c r="D5672" t="s">
        <v>10039</v>
      </c>
      <c r="E5672" t="s">
        <v>681</v>
      </c>
      <c r="F5672" t="s">
        <v>166</v>
      </c>
      <c r="G5672" t="s">
        <v>255</v>
      </c>
      <c r="H5672" t="str">
        <f>"ΜΕΛΕΤΙΟΥ ΠΗΓΑ 60 ΗΡΑΚΛΕΙΟ"</f>
        <v>ΜΕΛΕΤΙΟΥ ΠΗΓΑ 60 ΗΡΑΚΛΕΙΟ</v>
      </c>
      <c r="I5672">
        <v>71306</v>
      </c>
      <c r="J5672">
        <v>2810212761</v>
      </c>
      <c r="K5672">
        <v>6936851352</v>
      </c>
      <c r="N5672" t="s">
        <v>1525</v>
      </c>
      <c r="O5672" t="s">
        <v>1526</v>
      </c>
      <c r="R5672" t="s">
        <v>57</v>
      </c>
      <c r="S5672">
        <v>7</v>
      </c>
      <c r="T5672">
        <v>207</v>
      </c>
      <c r="U5672" s="1">
        <v>37866</v>
      </c>
      <c r="V5672" t="s">
        <v>80</v>
      </c>
      <c r="W5672" t="s">
        <v>81</v>
      </c>
      <c r="X5672" t="s">
        <v>58</v>
      </c>
      <c r="Y5672">
        <v>25</v>
      </c>
      <c r="Z5672" t="s">
        <v>59</v>
      </c>
      <c r="AA5672" t="s">
        <v>59</v>
      </c>
      <c r="AB5672" t="s">
        <v>59</v>
      </c>
      <c r="AC5672" t="s">
        <v>59</v>
      </c>
      <c r="AD5672" t="s">
        <v>59</v>
      </c>
      <c r="AF5672" s="1">
        <v>37866</v>
      </c>
      <c r="AG5672" t="s">
        <v>8651</v>
      </c>
      <c r="AH5672" t="s">
        <v>8652</v>
      </c>
      <c r="AI5672" t="str">
        <f>"9521246"</f>
        <v>9521246</v>
      </c>
      <c r="AJ5672" t="s">
        <v>9602</v>
      </c>
      <c r="AK5672">
        <v>2810311269</v>
      </c>
      <c r="AL5672" t="s">
        <v>9603</v>
      </c>
      <c r="AM5672" t="s">
        <v>78</v>
      </c>
      <c r="AN5672" t="s">
        <v>78</v>
      </c>
      <c r="AO5672" t="s">
        <v>78</v>
      </c>
      <c r="AP5672" t="s">
        <v>163</v>
      </c>
      <c r="AQ5672">
        <v>1</v>
      </c>
      <c r="AR5672" t="s">
        <v>80</v>
      </c>
      <c r="AS5672" t="s">
        <v>81</v>
      </c>
      <c r="AT5672" t="s">
        <v>58</v>
      </c>
      <c r="AU5672" t="s">
        <v>68</v>
      </c>
      <c r="AV5672" t="s">
        <v>69</v>
      </c>
      <c r="AW5672" s="1">
        <v>26445</v>
      </c>
      <c r="AX5672">
        <v>1</v>
      </c>
    </row>
    <row r="5673" spans="1:50">
      <c r="A5673">
        <v>593031</v>
      </c>
      <c r="B5673" t="str">
        <f>"075527824"</f>
        <v>075527824</v>
      </c>
      <c r="C5673" t="s">
        <v>50</v>
      </c>
      <c r="D5673" t="s">
        <v>10040</v>
      </c>
      <c r="E5673" t="s">
        <v>181</v>
      </c>
      <c r="F5673" t="s">
        <v>106</v>
      </c>
      <c r="G5673" t="s">
        <v>114</v>
      </c>
      <c r="H5673" t="str">
        <f>"ΜΙΧΑΗΛ ΒΛΑΧΟΥ 12 ΗΡΑΚΛΕΙΟ"</f>
        <v>ΜΙΧΑΗΛ ΒΛΑΧΟΥ 12 ΗΡΑΚΛΕΙΟ</v>
      </c>
      <c r="I5673">
        <v>71305</v>
      </c>
      <c r="K5673">
        <v>6933192987</v>
      </c>
      <c r="N5673" t="s">
        <v>615</v>
      </c>
      <c r="O5673" t="s">
        <v>616</v>
      </c>
      <c r="R5673" t="s">
        <v>57</v>
      </c>
      <c r="S5673">
        <v>9</v>
      </c>
      <c r="T5673">
        <v>218</v>
      </c>
      <c r="U5673" s="1">
        <v>37134</v>
      </c>
      <c r="V5673" t="s">
        <v>80</v>
      </c>
      <c r="W5673" t="s">
        <v>81</v>
      </c>
      <c r="X5673" t="s">
        <v>58</v>
      </c>
      <c r="Y5673">
        <v>22</v>
      </c>
      <c r="Z5673" t="s">
        <v>59</v>
      </c>
      <c r="AA5673" t="s">
        <v>59</v>
      </c>
      <c r="AB5673" t="s">
        <v>59</v>
      </c>
      <c r="AC5673" t="s">
        <v>59</v>
      </c>
      <c r="AD5673" t="s">
        <v>59</v>
      </c>
      <c r="AF5673" s="1">
        <v>37144</v>
      </c>
      <c r="AG5673" t="s">
        <v>8645</v>
      </c>
      <c r="AH5673" t="s">
        <v>8646</v>
      </c>
      <c r="AI5673" t="str">
        <f>"9170048"</f>
        <v>9170048</v>
      </c>
      <c r="AJ5673" t="s">
        <v>8977</v>
      </c>
      <c r="AK5673">
        <v>2810283303</v>
      </c>
      <c r="AL5673" t="s">
        <v>8978</v>
      </c>
      <c r="AM5673" t="s">
        <v>78</v>
      </c>
      <c r="AN5673" t="s">
        <v>78</v>
      </c>
      <c r="AO5673" t="s">
        <v>78</v>
      </c>
      <c r="AP5673" t="s">
        <v>79</v>
      </c>
      <c r="AQ5673">
        <v>1</v>
      </c>
      <c r="AR5673" t="s">
        <v>80</v>
      </c>
      <c r="AS5673" t="s">
        <v>81</v>
      </c>
      <c r="AT5673" t="s">
        <v>58</v>
      </c>
      <c r="AU5673" t="s">
        <v>68</v>
      </c>
      <c r="AV5673" t="s">
        <v>69</v>
      </c>
      <c r="AW5673" s="1">
        <v>26380</v>
      </c>
      <c r="AX5673">
        <v>1</v>
      </c>
    </row>
    <row r="5674" spans="1:50">
      <c r="B5674" t="str">
        <f>"144542601"</f>
        <v>144542601</v>
      </c>
      <c r="C5674" t="s">
        <v>50</v>
      </c>
      <c r="D5674" t="s">
        <v>10041</v>
      </c>
      <c r="E5674" t="s">
        <v>5556</v>
      </c>
      <c r="F5674" t="s">
        <v>377</v>
      </c>
      <c r="G5674" t="s">
        <v>460</v>
      </c>
      <c r="H5674" t="str">
        <f>"ΑΛΕΞΑΝΔΡΟΥ ΠΑΠΑΓΟΥ 21 "</f>
        <v xml:space="preserve">ΑΛΕΞΑΝΔΡΟΥ ΠΑΠΑΓΟΥ 21 </v>
      </c>
      <c r="I5674">
        <v>60063</v>
      </c>
      <c r="J5674">
        <v>2352031982</v>
      </c>
      <c r="K5674">
        <v>6981511781</v>
      </c>
      <c r="N5674" t="s">
        <v>615</v>
      </c>
      <c r="O5674" t="s">
        <v>616</v>
      </c>
      <c r="R5674" t="s">
        <v>159</v>
      </c>
      <c r="S5674">
        <v>4</v>
      </c>
      <c r="T5674" t="s">
        <v>8675</v>
      </c>
      <c r="U5674" s="1">
        <v>43348</v>
      </c>
      <c r="V5674" t="s">
        <v>80</v>
      </c>
      <c r="W5674" t="s">
        <v>81</v>
      </c>
      <c r="X5674" t="s">
        <v>58</v>
      </c>
      <c r="Y5674">
        <v>24</v>
      </c>
      <c r="Z5674" t="s">
        <v>59</v>
      </c>
      <c r="AA5674" t="s">
        <v>59</v>
      </c>
      <c r="AB5674" t="s">
        <v>59</v>
      </c>
      <c r="AC5674" t="s">
        <v>59</v>
      </c>
      <c r="AD5674" t="s">
        <v>59</v>
      </c>
      <c r="AF5674" s="1">
        <v>43348</v>
      </c>
      <c r="AG5674" t="s">
        <v>8645</v>
      </c>
      <c r="AH5674" t="s">
        <v>8646</v>
      </c>
      <c r="AI5674" t="str">
        <f>"9170039"</f>
        <v>9170039</v>
      </c>
      <c r="AJ5674" t="s">
        <v>8804</v>
      </c>
      <c r="AK5674">
        <v>2894022231</v>
      </c>
      <c r="AL5674" t="s">
        <v>8805</v>
      </c>
      <c r="AM5674" t="s">
        <v>78</v>
      </c>
      <c r="AN5674" t="s">
        <v>405</v>
      </c>
      <c r="AO5674" t="s">
        <v>406</v>
      </c>
      <c r="AP5674" t="s">
        <v>406</v>
      </c>
      <c r="AQ5674">
        <v>6</v>
      </c>
      <c r="AR5674" t="s">
        <v>80</v>
      </c>
      <c r="AS5674" t="s">
        <v>81</v>
      </c>
      <c r="AT5674" t="s">
        <v>58</v>
      </c>
      <c r="AU5674" t="s">
        <v>8673</v>
      </c>
      <c r="AV5674" t="s">
        <v>132</v>
      </c>
      <c r="AW5674" s="1">
        <v>31632</v>
      </c>
      <c r="AX5674">
        <v>1</v>
      </c>
    </row>
    <row r="5675" spans="1:50">
      <c r="A5675">
        <v>584831</v>
      </c>
      <c r="B5675" t="str">
        <f>"052316053"</f>
        <v>052316053</v>
      </c>
      <c r="C5675" t="s">
        <v>50</v>
      </c>
      <c r="D5675" t="s">
        <v>10042</v>
      </c>
      <c r="E5675" t="s">
        <v>255</v>
      </c>
      <c r="F5675" t="s">
        <v>631</v>
      </c>
      <c r="G5675" t="s">
        <v>237</v>
      </c>
      <c r="H5675" t="str">
        <f>"ΠΛΑΤΑΝΟΣ ΚΑΙΝΟΥΡΓΙΟΥ ΗΡΑΚΛΕΙΟ"</f>
        <v>ΠΛΑΤΑΝΟΣ ΚΑΙΝΟΥΡΓΙΟΥ ΗΡΑΚΛΕΙΟ</v>
      </c>
      <c r="I5675">
        <v>70012</v>
      </c>
      <c r="J5675">
        <v>2892071182</v>
      </c>
      <c r="K5675">
        <v>6974230046</v>
      </c>
      <c r="M5675" t="s">
        <v>10043</v>
      </c>
      <c r="N5675" t="s">
        <v>615</v>
      </c>
      <c r="O5675" t="s">
        <v>616</v>
      </c>
      <c r="R5675" t="s">
        <v>57</v>
      </c>
      <c r="S5675">
        <v>12</v>
      </c>
      <c r="T5675">
        <v>165</v>
      </c>
      <c r="U5675" s="1">
        <v>36040</v>
      </c>
      <c r="V5675" t="s">
        <v>80</v>
      </c>
      <c r="W5675" t="s">
        <v>81</v>
      </c>
      <c r="X5675" t="s">
        <v>58</v>
      </c>
      <c r="Y5675">
        <v>21</v>
      </c>
      <c r="Z5675" t="s">
        <v>59</v>
      </c>
      <c r="AA5675" t="s">
        <v>59</v>
      </c>
      <c r="AB5675" t="s">
        <v>59</v>
      </c>
      <c r="AC5675" t="s">
        <v>59</v>
      </c>
      <c r="AD5675" t="s">
        <v>59</v>
      </c>
      <c r="AF5675" s="1">
        <v>36040</v>
      </c>
      <c r="AG5675" t="s">
        <v>8645</v>
      </c>
      <c r="AH5675" t="s">
        <v>8646</v>
      </c>
      <c r="AI5675" t="str">
        <f>"9170309"</f>
        <v>9170309</v>
      </c>
      <c r="AJ5675" t="s">
        <v>9079</v>
      </c>
      <c r="AK5675">
        <v>2893041265</v>
      </c>
      <c r="AL5675" t="s">
        <v>9080</v>
      </c>
      <c r="AM5675" t="s">
        <v>78</v>
      </c>
      <c r="AN5675" t="s">
        <v>405</v>
      </c>
      <c r="AO5675" t="s">
        <v>405</v>
      </c>
      <c r="AP5675" t="s">
        <v>2895</v>
      </c>
      <c r="AQ5675">
        <v>17</v>
      </c>
      <c r="AR5675" t="s">
        <v>80</v>
      </c>
      <c r="AS5675" t="s">
        <v>81</v>
      </c>
      <c r="AT5675" t="s">
        <v>58</v>
      </c>
      <c r="AU5675" t="s">
        <v>68</v>
      </c>
      <c r="AV5675" t="s">
        <v>69</v>
      </c>
      <c r="AW5675" s="1">
        <v>23921</v>
      </c>
      <c r="AX5675">
        <v>1</v>
      </c>
    </row>
    <row r="5676" spans="1:50">
      <c r="B5676" t="str">
        <f>"116670171"</f>
        <v>116670171</v>
      </c>
      <c r="C5676" t="s">
        <v>50</v>
      </c>
      <c r="D5676" t="s">
        <v>1878</v>
      </c>
      <c r="E5676" t="s">
        <v>143</v>
      </c>
      <c r="F5676" t="s">
        <v>72</v>
      </c>
      <c r="G5676" t="s">
        <v>263</v>
      </c>
      <c r="H5676" t="str">
        <f>"ΚΛΕΟΒΟΥΛΟΥ 21 "</f>
        <v xml:space="preserve">ΚΛΕΟΒΟΥΛΟΥ 21 </v>
      </c>
      <c r="I5676">
        <v>11744</v>
      </c>
      <c r="J5676">
        <v>2891031323</v>
      </c>
      <c r="K5676">
        <v>6936090493</v>
      </c>
      <c r="N5676" t="s">
        <v>683</v>
      </c>
      <c r="O5676" t="s">
        <v>684</v>
      </c>
      <c r="R5676" t="s">
        <v>159</v>
      </c>
      <c r="S5676">
        <v>3</v>
      </c>
      <c r="T5676" t="s">
        <v>8675</v>
      </c>
      <c r="U5676" s="1">
        <v>43348</v>
      </c>
      <c r="V5676" t="s">
        <v>80</v>
      </c>
      <c r="W5676" t="s">
        <v>81</v>
      </c>
      <c r="X5676" t="s">
        <v>58</v>
      </c>
      <c r="Y5676">
        <v>24</v>
      </c>
      <c r="Z5676" t="s">
        <v>59</v>
      </c>
      <c r="AA5676" t="s">
        <v>59</v>
      </c>
      <c r="AB5676" t="s">
        <v>59</v>
      </c>
      <c r="AC5676" t="s">
        <v>59</v>
      </c>
      <c r="AD5676" t="s">
        <v>59</v>
      </c>
      <c r="AF5676" s="1">
        <v>43348</v>
      </c>
      <c r="AG5676" t="s">
        <v>8645</v>
      </c>
      <c r="AH5676" t="s">
        <v>8646</v>
      </c>
      <c r="AI5676" t="str">
        <f>"9170423"</f>
        <v>9170423</v>
      </c>
      <c r="AJ5676" t="s">
        <v>8808</v>
      </c>
      <c r="AK5676">
        <v>2810239612</v>
      </c>
      <c r="AL5676" t="s">
        <v>8809</v>
      </c>
      <c r="AM5676" t="s">
        <v>78</v>
      </c>
      <c r="AN5676" t="s">
        <v>78</v>
      </c>
      <c r="AO5676" t="s">
        <v>78</v>
      </c>
      <c r="AP5676" t="s">
        <v>163</v>
      </c>
      <c r="AQ5676">
        <v>1</v>
      </c>
      <c r="AR5676" t="s">
        <v>80</v>
      </c>
      <c r="AS5676" t="s">
        <v>81</v>
      </c>
      <c r="AT5676" t="s">
        <v>58</v>
      </c>
      <c r="AU5676" t="s">
        <v>8673</v>
      </c>
      <c r="AV5676" t="s">
        <v>132</v>
      </c>
      <c r="AW5676" s="1">
        <v>29587</v>
      </c>
      <c r="AX5676">
        <v>1</v>
      </c>
    </row>
    <row r="5677" spans="1:50">
      <c r="A5677">
        <v>582151</v>
      </c>
      <c r="B5677" t="str">
        <f>"128323115"</f>
        <v>128323115</v>
      </c>
      <c r="C5677" t="s">
        <v>50</v>
      </c>
      <c r="D5677" t="s">
        <v>10044</v>
      </c>
      <c r="E5677" t="s">
        <v>964</v>
      </c>
      <c r="F5677" t="s">
        <v>3104</v>
      </c>
      <c r="G5677" t="s">
        <v>73</v>
      </c>
      <c r="H5677" t="str">
        <f>"ΙΕΡΟΣΟΛΥΜΙΤΗ 10 ΗΡΑΚΛΕΙΟ"</f>
        <v>ΙΕΡΟΣΟΛΥΜΙΤΗ 10 ΗΡΑΚΛΕΙΟ</v>
      </c>
      <c r="I5677">
        <v>71500</v>
      </c>
      <c r="J5677">
        <v>2817718793</v>
      </c>
      <c r="K5677">
        <v>6984127721</v>
      </c>
      <c r="M5677" t="s">
        <v>10045</v>
      </c>
      <c r="N5677" t="s">
        <v>615</v>
      </c>
      <c r="O5677" t="s">
        <v>616</v>
      </c>
      <c r="R5677" t="s">
        <v>57</v>
      </c>
      <c r="S5677">
        <v>11</v>
      </c>
      <c r="T5677">
        <v>179</v>
      </c>
      <c r="U5677" s="1">
        <v>35674</v>
      </c>
      <c r="V5677" t="s">
        <v>80</v>
      </c>
      <c r="W5677" t="s">
        <v>81</v>
      </c>
      <c r="X5677" t="s">
        <v>58</v>
      </c>
      <c r="Y5677">
        <v>21</v>
      </c>
      <c r="Z5677" t="s">
        <v>59</v>
      </c>
      <c r="AA5677" t="s">
        <v>59</v>
      </c>
      <c r="AB5677" t="s">
        <v>59</v>
      </c>
      <c r="AC5677" t="s">
        <v>59</v>
      </c>
      <c r="AD5677" t="s">
        <v>59</v>
      </c>
      <c r="AF5677" s="1">
        <v>35676</v>
      </c>
      <c r="AG5677" t="s">
        <v>8645</v>
      </c>
      <c r="AH5677" t="s">
        <v>8646</v>
      </c>
      <c r="AI5677" t="str">
        <f>"9170198"</f>
        <v>9170198</v>
      </c>
      <c r="AJ5677" t="s">
        <v>8665</v>
      </c>
      <c r="AK5677">
        <v>2810227379</v>
      </c>
      <c r="AL5677" t="s">
        <v>8666</v>
      </c>
      <c r="AM5677" t="s">
        <v>78</v>
      </c>
      <c r="AN5677" t="s">
        <v>78</v>
      </c>
      <c r="AO5677" t="s">
        <v>78</v>
      </c>
      <c r="AP5677" t="s">
        <v>79</v>
      </c>
      <c r="AQ5677">
        <v>1</v>
      </c>
      <c r="AR5677" t="s">
        <v>80</v>
      </c>
      <c r="AS5677" t="s">
        <v>81</v>
      </c>
      <c r="AT5677" t="s">
        <v>58</v>
      </c>
      <c r="AU5677" t="s">
        <v>68</v>
      </c>
      <c r="AV5677" t="s">
        <v>69</v>
      </c>
      <c r="AW5677" s="1">
        <v>24764</v>
      </c>
      <c r="AX5677">
        <v>1</v>
      </c>
    </row>
    <row r="5678" spans="1:50">
      <c r="A5678">
        <v>559179</v>
      </c>
      <c r="B5678" t="str">
        <f>"079975728"</f>
        <v>079975728</v>
      </c>
      <c r="C5678" t="s">
        <v>50</v>
      </c>
      <c r="D5678" t="s">
        <v>10046</v>
      </c>
      <c r="E5678" t="s">
        <v>372</v>
      </c>
      <c r="F5678" t="s">
        <v>459</v>
      </c>
      <c r="G5678" t="s">
        <v>801</v>
      </c>
      <c r="H5678" t="str">
        <f>"ΛΥΣΙΜΑΧΟΥ ΚΑΛΟΚΑΙΡΙΝΟΥ 12 ΗΡΑΚΛΕΙΟ"</f>
        <v>ΛΥΣΙΜΑΧΟΥ ΚΑΛΟΚΑΙΡΙΝΟΥ 12 ΗΡΑΚΛΕΙΟ</v>
      </c>
      <c r="I5678">
        <v>71202</v>
      </c>
      <c r="J5678">
        <v>2810226514</v>
      </c>
      <c r="K5678">
        <v>6945751356</v>
      </c>
      <c r="M5678" t="s">
        <v>10047</v>
      </c>
      <c r="N5678" t="s">
        <v>615</v>
      </c>
      <c r="O5678" t="s">
        <v>616</v>
      </c>
      <c r="R5678" t="s">
        <v>57</v>
      </c>
      <c r="S5678">
        <v>15</v>
      </c>
      <c r="T5678">
        <v>168</v>
      </c>
      <c r="U5678" s="1">
        <v>32010</v>
      </c>
      <c r="V5678" t="s">
        <v>80</v>
      </c>
      <c r="W5678" t="s">
        <v>81</v>
      </c>
      <c r="X5678" t="s">
        <v>58</v>
      </c>
      <c r="Y5678">
        <v>21</v>
      </c>
      <c r="Z5678" t="s">
        <v>59</v>
      </c>
      <c r="AA5678" t="s">
        <v>59</v>
      </c>
      <c r="AB5678" t="s">
        <v>59</v>
      </c>
      <c r="AC5678" t="s">
        <v>59</v>
      </c>
      <c r="AD5678" t="s">
        <v>59</v>
      </c>
      <c r="AF5678" s="1">
        <v>32022</v>
      </c>
      <c r="AG5678" t="s">
        <v>8645</v>
      </c>
      <c r="AH5678" t="s">
        <v>8646</v>
      </c>
      <c r="AI5678" t="str">
        <f>"9170113"</f>
        <v>9170113</v>
      </c>
      <c r="AJ5678" t="s">
        <v>8846</v>
      </c>
      <c r="AK5678">
        <v>2810226174</v>
      </c>
      <c r="AL5678" t="s">
        <v>8847</v>
      </c>
      <c r="AM5678" t="s">
        <v>78</v>
      </c>
      <c r="AN5678" t="s">
        <v>78</v>
      </c>
      <c r="AO5678" t="s">
        <v>78</v>
      </c>
      <c r="AP5678" t="s">
        <v>79</v>
      </c>
      <c r="AQ5678">
        <v>1</v>
      </c>
      <c r="AR5678" t="s">
        <v>80</v>
      </c>
      <c r="AS5678" t="s">
        <v>81</v>
      </c>
      <c r="AT5678" t="s">
        <v>58</v>
      </c>
      <c r="AU5678" t="s">
        <v>68</v>
      </c>
      <c r="AV5678" t="s">
        <v>69</v>
      </c>
      <c r="AW5678" s="1">
        <v>23898</v>
      </c>
      <c r="AX5678">
        <v>1</v>
      </c>
    </row>
    <row r="5679" spans="1:50">
      <c r="B5679" t="str">
        <f>"125282227"</f>
        <v>125282227</v>
      </c>
      <c r="C5679" t="s">
        <v>50</v>
      </c>
      <c r="D5679" t="s">
        <v>10048</v>
      </c>
      <c r="E5679" t="s">
        <v>255</v>
      </c>
      <c r="F5679" t="s">
        <v>72</v>
      </c>
      <c r="G5679" t="s">
        <v>3739</v>
      </c>
      <c r="H5679" t="str">
        <f>"ΓΚΕΛΑ 49 ΣΗΤΕΙΑ"</f>
        <v>ΓΚΕΛΑ 49 ΣΗΤΕΙΑ</v>
      </c>
      <c r="I5679">
        <v>72300</v>
      </c>
      <c r="J5679">
        <v>2843024688</v>
      </c>
      <c r="K5679">
        <v>6978776022</v>
      </c>
      <c r="M5679" t="s">
        <v>10049</v>
      </c>
      <c r="N5679" t="s">
        <v>615</v>
      </c>
      <c r="O5679" t="s">
        <v>616</v>
      </c>
      <c r="R5679" t="s">
        <v>159</v>
      </c>
      <c r="S5679">
        <v>6</v>
      </c>
      <c r="T5679" t="s">
        <v>8675</v>
      </c>
      <c r="U5679" s="1">
        <v>43348</v>
      </c>
      <c r="V5679" t="s">
        <v>80</v>
      </c>
      <c r="W5679" t="s">
        <v>81</v>
      </c>
      <c r="X5679" t="s">
        <v>58</v>
      </c>
      <c r="Y5679">
        <v>24</v>
      </c>
      <c r="Z5679" t="s">
        <v>59</v>
      </c>
      <c r="AA5679" t="s">
        <v>59</v>
      </c>
      <c r="AB5679" t="s">
        <v>59</v>
      </c>
      <c r="AC5679" t="s">
        <v>59</v>
      </c>
      <c r="AD5679" t="s">
        <v>59</v>
      </c>
      <c r="AF5679" s="1">
        <v>43348</v>
      </c>
      <c r="AG5679" t="s">
        <v>8645</v>
      </c>
      <c r="AH5679" t="s">
        <v>8646</v>
      </c>
      <c r="AI5679" t="str">
        <f>"9170515"</f>
        <v>9170515</v>
      </c>
      <c r="AJ5679" t="s">
        <v>8790</v>
      </c>
      <c r="AK5679">
        <v>2810254821</v>
      </c>
      <c r="AL5679" t="s">
        <v>8791</v>
      </c>
      <c r="AM5679" t="s">
        <v>78</v>
      </c>
      <c r="AN5679" t="s">
        <v>78</v>
      </c>
      <c r="AO5679" t="s">
        <v>78</v>
      </c>
      <c r="AP5679" t="s">
        <v>163</v>
      </c>
      <c r="AQ5679">
        <v>1</v>
      </c>
      <c r="AR5679" t="s">
        <v>80</v>
      </c>
      <c r="AS5679" t="s">
        <v>81</v>
      </c>
      <c r="AT5679" t="s">
        <v>58</v>
      </c>
      <c r="AU5679" t="s">
        <v>8673</v>
      </c>
      <c r="AV5679" t="s">
        <v>132</v>
      </c>
      <c r="AW5679" s="1">
        <v>31454</v>
      </c>
      <c r="AX5679">
        <v>1</v>
      </c>
    </row>
    <row r="5680" spans="1:50">
      <c r="A5680">
        <v>608703</v>
      </c>
      <c r="B5680" t="str">
        <f>"066835128"</f>
        <v>066835128</v>
      </c>
      <c r="C5680" t="s">
        <v>50</v>
      </c>
      <c r="D5680" t="s">
        <v>10050</v>
      </c>
      <c r="E5680" t="s">
        <v>3467</v>
      </c>
      <c r="F5680" t="s">
        <v>1136</v>
      </c>
      <c r="G5680" t="s">
        <v>255</v>
      </c>
      <c r="H5680" t="str">
        <f>"ΡΟΥΜΕΛΙΩΤΑΚΗ 7 ΛΕΝΤΑΡΙΑΝΑ"</f>
        <v>ΡΟΥΜΕΛΙΩΤΑΚΗ 7 ΛΕΝΤΑΡΙΑΝΑ</v>
      </c>
      <c r="I5680">
        <v>73100</v>
      </c>
      <c r="J5680">
        <v>2821400570</v>
      </c>
      <c r="K5680">
        <v>6977338749</v>
      </c>
      <c r="M5680" t="s">
        <v>10051</v>
      </c>
      <c r="N5680" t="s">
        <v>1525</v>
      </c>
      <c r="O5680" t="s">
        <v>1526</v>
      </c>
      <c r="R5680" t="s">
        <v>57</v>
      </c>
      <c r="S5680">
        <v>6</v>
      </c>
      <c r="T5680">
        <v>217</v>
      </c>
      <c r="U5680" s="1">
        <v>38596</v>
      </c>
      <c r="V5680" t="s">
        <v>80</v>
      </c>
      <c r="W5680" t="s">
        <v>81</v>
      </c>
      <c r="X5680" t="s">
        <v>58</v>
      </c>
      <c r="Y5680">
        <v>25</v>
      </c>
      <c r="Z5680" t="s">
        <v>59</v>
      </c>
      <c r="AA5680" t="s">
        <v>59</v>
      </c>
      <c r="AB5680" t="s">
        <v>59</v>
      </c>
      <c r="AC5680" t="s">
        <v>59</v>
      </c>
      <c r="AD5680" t="s">
        <v>59</v>
      </c>
      <c r="AF5680" s="1">
        <v>38601</v>
      </c>
      <c r="AG5680" t="s">
        <v>8651</v>
      </c>
      <c r="AH5680" t="s">
        <v>8652</v>
      </c>
      <c r="AI5680" t="str">
        <f>"9170509"</f>
        <v>9170509</v>
      </c>
      <c r="AJ5680" t="s">
        <v>9541</v>
      </c>
      <c r="AK5680">
        <v>2810324988</v>
      </c>
      <c r="AL5680" t="s">
        <v>9542</v>
      </c>
      <c r="AM5680" t="s">
        <v>78</v>
      </c>
      <c r="AN5680" t="s">
        <v>78</v>
      </c>
      <c r="AO5680" t="s">
        <v>78</v>
      </c>
      <c r="AP5680" t="s">
        <v>163</v>
      </c>
      <c r="AQ5680">
        <v>1</v>
      </c>
      <c r="AR5680" t="s">
        <v>80</v>
      </c>
      <c r="AS5680" t="s">
        <v>81</v>
      </c>
      <c r="AT5680" t="s">
        <v>58</v>
      </c>
      <c r="AU5680" t="s">
        <v>68</v>
      </c>
      <c r="AV5680" t="s">
        <v>69</v>
      </c>
      <c r="AW5680" s="1">
        <v>27478</v>
      </c>
      <c r="AX5680">
        <v>1</v>
      </c>
    </row>
    <row r="5681" spans="1:50">
      <c r="A5681">
        <v>607094</v>
      </c>
      <c r="B5681" t="str">
        <f>"114569509"</f>
        <v>114569509</v>
      </c>
      <c r="C5681" t="s">
        <v>50</v>
      </c>
      <c r="D5681" t="s">
        <v>10052</v>
      </c>
      <c r="E5681" t="s">
        <v>83</v>
      </c>
      <c r="F5681" t="s">
        <v>230</v>
      </c>
      <c r="G5681" t="s">
        <v>52</v>
      </c>
      <c r="H5681" t="str">
        <f>"ΝΕΦΕΛΗΣ 12  ΗΡΑΚΛΕΙΟ"</f>
        <v>ΝΕΦΕΛΗΣ 12  ΗΡΑΚΛΕΙΟ</v>
      </c>
      <c r="I5681">
        <v>71409</v>
      </c>
      <c r="J5681">
        <v>2815004892</v>
      </c>
      <c r="K5681">
        <v>6979006937</v>
      </c>
      <c r="N5681" t="s">
        <v>615</v>
      </c>
      <c r="O5681" t="s">
        <v>616</v>
      </c>
      <c r="R5681" t="s">
        <v>57</v>
      </c>
      <c r="S5681">
        <v>7</v>
      </c>
      <c r="T5681">
        <v>217</v>
      </c>
      <c r="U5681" s="1">
        <v>38596</v>
      </c>
      <c r="V5681" t="s">
        <v>80</v>
      </c>
      <c r="W5681" t="s">
        <v>81</v>
      </c>
      <c r="X5681" t="s">
        <v>58</v>
      </c>
      <c r="Y5681">
        <v>22</v>
      </c>
      <c r="Z5681" t="s">
        <v>59</v>
      </c>
      <c r="AA5681" t="s">
        <v>59</v>
      </c>
      <c r="AB5681" t="s">
        <v>59</v>
      </c>
      <c r="AC5681" t="s">
        <v>59</v>
      </c>
      <c r="AD5681" t="s">
        <v>59</v>
      </c>
      <c r="AF5681" s="1">
        <v>38600</v>
      </c>
      <c r="AG5681" t="s">
        <v>8645</v>
      </c>
      <c r="AH5681" t="s">
        <v>8646</v>
      </c>
      <c r="AI5681" t="str">
        <f>"9170120"</f>
        <v>9170120</v>
      </c>
      <c r="AJ5681" t="s">
        <v>9237</v>
      </c>
      <c r="AK5681">
        <v>2810881577</v>
      </c>
      <c r="AL5681" t="s">
        <v>9238</v>
      </c>
      <c r="AM5681" t="s">
        <v>78</v>
      </c>
      <c r="AN5681" t="s">
        <v>78</v>
      </c>
      <c r="AO5681" t="s">
        <v>78</v>
      </c>
      <c r="AP5681" t="s">
        <v>9239</v>
      </c>
      <c r="AQ5681">
        <v>1</v>
      </c>
      <c r="AR5681" t="s">
        <v>80</v>
      </c>
      <c r="AS5681" t="s">
        <v>81</v>
      </c>
      <c r="AT5681" t="s">
        <v>58</v>
      </c>
      <c r="AU5681" t="s">
        <v>68</v>
      </c>
      <c r="AV5681" t="s">
        <v>69</v>
      </c>
      <c r="AW5681" s="1">
        <v>28775</v>
      </c>
      <c r="AX5681">
        <v>1</v>
      </c>
    </row>
    <row r="5682" spans="1:50">
      <c r="A5682">
        <v>559260</v>
      </c>
      <c r="B5682" t="str">
        <f>"026661640"</f>
        <v>026661640</v>
      </c>
      <c r="C5682" t="s">
        <v>105</v>
      </c>
      <c r="D5682" t="s">
        <v>1889</v>
      </c>
      <c r="E5682" t="s">
        <v>95</v>
      </c>
      <c r="F5682" t="s">
        <v>1890</v>
      </c>
      <c r="G5682" t="s">
        <v>215</v>
      </c>
      <c r="H5682" t="str">
        <f>"ΤΥΡΤΑΙΟΥ  &amp; ΜΙΝΩΟΣ 29 ΗΡΑΚΛΕΙΟ"</f>
        <v>ΤΥΡΤΑΙΟΥ  &amp; ΜΙΝΩΟΣ 29 ΗΡΑΚΛΕΙΟ</v>
      </c>
      <c r="I5682">
        <v>71304</v>
      </c>
      <c r="J5682">
        <v>2810259451</v>
      </c>
      <c r="K5682">
        <v>6976678093</v>
      </c>
      <c r="N5682" t="s">
        <v>615</v>
      </c>
      <c r="O5682" t="s">
        <v>616</v>
      </c>
      <c r="R5682" t="s">
        <v>57</v>
      </c>
      <c r="S5682">
        <v>15</v>
      </c>
      <c r="T5682" t="s">
        <v>10053</v>
      </c>
      <c r="U5682" s="1">
        <v>32024</v>
      </c>
      <c r="V5682" t="s">
        <v>80</v>
      </c>
      <c r="W5682" t="s">
        <v>81</v>
      </c>
      <c r="X5682" t="s">
        <v>58</v>
      </c>
      <c r="Y5682">
        <v>21</v>
      </c>
      <c r="Z5682" t="s">
        <v>59</v>
      </c>
      <c r="AA5682" t="s">
        <v>59</v>
      </c>
      <c r="AB5682" t="s">
        <v>59</v>
      </c>
      <c r="AC5682" t="s">
        <v>59</v>
      </c>
      <c r="AD5682" t="s">
        <v>59</v>
      </c>
      <c r="AF5682" s="1">
        <v>32024</v>
      </c>
      <c r="AG5682" t="s">
        <v>8645</v>
      </c>
      <c r="AH5682" t="s">
        <v>8646</v>
      </c>
      <c r="AI5682" t="str">
        <f>"9170362"</f>
        <v>9170362</v>
      </c>
      <c r="AJ5682" t="s">
        <v>8681</v>
      </c>
      <c r="AK5682">
        <v>2810255261</v>
      </c>
      <c r="AL5682" t="s">
        <v>8682</v>
      </c>
      <c r="AM5682" t="s">
        <v>78</v>
      </c>
      <c r="AN5682" t="s">
        <v>78</v>
      </c>
      <c r="AO5682" t="s">
        <v>78</v>
      </c>
      <c r="AP5682" t="s">
        <v>141</v>
      </c>
      <c r="AQ5682">
        <v>1</v>
      </c>
      <c r="AR5682" t="s">
        <v>80</v>
      </c>
      <c r="AS5682" t="s">
        <v>81</v>
      </c>
      <c r="AT5682" t="s">
        <v>58</v>
      </c>
      <c r="AU5682" t="s">
        <v>68</v>
      </c>
      <c r="AV5682" t="s">
        <v>69</v>
      </c>
      <c r="AW5682" s="1">
        <v>23597</v>
      </c>
      <c r="AX5682">
        <v>1</v>
      </c>
    </row>
    <row r="5683" spans="1:50">
      <c r="A5683">
        <v>612537</v>
      </c>
      <c r="B5683" t="str">
        <f>"045548532"</f>
        <v>045548532</v>
      </c>
      <c r="C5683" t="s">
        <v>105</v>
      </c>
      <c r="D5683" t="s">
        <v>10054</v>
      </c>
      <c r="E5683" t="s">
        <v>72</v>
      </c>
      <c r="F5683" t="s">
        <v>53</v>
      </c>
      <c r="G5683" t="s">
        <v>52</v>
      </c>
      <c r="H5683" t="str">
        <f>"ΛΟΦΟΣ ΛΕΙΒΑΔΑΣ  ΑΓ.ΜΥΡΩΝΑΣ ΗΡΑΚΛΕΙΟΥ"</f>
        <v>ΛΟΦΟΣ ΛΕΙΒΑΔΑΣ  ΑΓ.ΜΥΡΩΝΑΣ ΗΡΑΚΛΕΙΟΥ</v>
      </c>
      <c r="I5683">
        <v>70013</v>
      </c>
      <c r="J5683">
        <v>2810542711</v>
      </c>
      <c r="K5683">
        <v>6947891964</v>
      </c>
      <c r="M5683" t="s">
        <v>10055</v>
      </c>
      <c r="N5683" t="s">
        <v>176</v>
      </c>
      <c r="O5683" t="s">
        <v>177</v>
      </c>
      <c r="R5683" t="s">
        <v>57</v>
      </c>
      <c r="S5683">
        <v>8</v>
      </c>
      <c r="T5683">
        <v>234</v>
      </c>
      <c r="U5683" s="1">
        <v>38960</v>
      </c>
      <c r="V5683" t="s">
        <v>80</v>
      </c>
      <c r="W5683" t="s">
        <v>81</v>
      </c>
      <c r="X5683" t="s">
        <v>58</v>
      </c>
      <c r="Y5683">
        <v>22</v>
      </c>
      <c r="Z5683" t="s">
        <v>59</v>
      </c>
      <c r="AA5683" t="s">
        <v>59</v>
      </c>
      <c r="AB5683" t="s">
        <v>59</v>
      </c>
      <c r="AC5683" t="s">
        <v>59</v>
      </c>
      <c r="AD5683" t="s">
        <v>59</v>
      </c>
      <c r="AF5683" s="1">
        <v>38961</v>
      </c>
      <c r="AG5683" t="s">
        <v>8645</v>
      </c>
      <c r="AH5683" t="s">
        <v>8646</v>
      </c>
      <c r="AI5683" t="str">
        <f>"9521092"</f>
        <v>9521092</v>
      </c>
      <c r="AJ5683" t="s">
        <v>9234</v>
      </c>
      <c r="AK5683">
        <v>2810313321</v>
      </c>
      <c r="AL5683" t="s">
        <v>9235</v>
      </c>
      <c r="AM5683" t="s">
        <v>78</v>
      </c>
      <c r="AN5683" t="s">
        <v>78</v>
      </c>
      <c r="AO5683" t="s">
        <v>78</v>
      </c>
      <c r="AP5683" t="s">
        <v>141</v>
      </c>
      <c r="AQ5683">
        <v>1</v>
      </c>
      <c r="AR5683" t="s">
        <v>80</v>
      </c>
      <c r="AS5683" t="s">
        <v>81</v>
      </c>
      <c r="AT5683" t="s">
        <v>58</v>
      </c>
      <c r="AU5683" t="s">
        <v>68</v>
      </c>
      <c r="AV5683" t="s">
        <v>69</v>
      </c>
      <c r="AW5683" s="1">
        <v>24495</v>
      </c>
      <c r="AX5683">
        <v>1</v>
      </c>
    </row>
    <row r="5684" spans="1:50">
      <c r="A5684">
        <v>607364</v>
      </c>
      <c r="B5684" t="str">
        <f>"125583571"</f>
        <v>125583571</v>
      </c>
      <c r="C5684" t="s">
        <v>50</v>
      </c>
      <c r="D5684" t="s">
        <v>10056</v>
      </c>
      <c r="E5684" t="s">
        <v>659</v>
      </c>
      <c r="F5684" t="s">
        <v>99</v>
      </c>
      <c r="G5684" t="s">
        <v>964</v>
      </c>
      <c r="H5684" t="str">
        <f>" "</f>
        <v xml:space="preserve"> </v>
      </c>
      <c r="J5684">
        <v>2810380082</v>
      </c>
      <c r="K5684">
        <v>6945443541</v>
      </c>
      <c r="N5684" t="s">
        <v>615</v>
      </c>
      <c r="O5684" t="s">
        <v>616</v>
      </c>
      <c r="R5684" t="s">
        <v>57</v>
      </c>
      <c r="S5684">
        <v>7</v>
      </c>
      <c r="T5684">
        <v>217</v>
      </c>
      <c r="U5684" s="1">
        <v>38596</v>
      </c>
      <c r="V5684" t="s">
        <v>80</v>
      </c>
      <c r="W5684" t="s">
        <v>81</v>
      </c>
      <c r="X5684" t="s">
        <v>58</v>
      </c>
      <c r="Y5684">
        <v>23</v>
      </c>
      <c r="Z5684" t="s">
        <v>59</v>
      </c>
      <c r="AA5684" t="s">
        <v>59</v>
      </c>
      <c r="AB5684" t="s">
        <v>59</v>
      </c>
      <c r="AC5684" t="s">
        <v>59</v>
      </c>
      <c r="AD5684" t="s">
        <v>59</v>
      </c>
      <c r="AF5684" s="1">
        <v>38600</v>
      </c>
      <c r="AG5684" t="s">
        <v>8645</v>
      </c>
      <c r="AH5684" t="s">
        <v>8646</v>
      </c>
      <c r="AI5684" t="str">
        <f>"9170519"</f>
        <v>9170519</v>
      </c>
      <c r="AJ5684" t="s">
        <v>8647</v>
      </c>
      <c r="AK5684">
        <v>2810244075</v>
      </c>
      <c r="AL5684" t="s">
        <v>8648</v>
      </c>
      <c r="AM5684" t="s">
        <v>78</v>
      </c>
      <c r="AN5684" t="s">
        <v>78</v>
      </c>
      <c r="AO5684" t="s">
        <v>78</v>
      </c>
      <c r="AP5684" t="s">
        <v>213</v>
      </c>
      <c r="AQ5684">
        <v>1</v>
      </c>
      <c r="AR5684" t="s">
        <v>80</v>
      </c>
      <c r="AS5684" t="s">
        <v>81</v>
      </c>
      <c r="AT5684" t="s">
        <v>58</v>
      </c>
      <c r="AU5684" t="s">
        <v>68</v>
      </c>
      <c r="AV5684" t="s">
        <v>69</v>
      </c>
      <c r="AW5684" s="1">
        <v>29606</v>
      </c>
      <c r="AX5684">
        <v>1</v>
      </c>
    </row>
    <row r="5685" spans="1:50">
      <c r="B5685" t="str">
        <f>"105455060"</f>
        <v>105455060</v>
      </c>
      <c r="C5685" t="s">
        <v>105</v>
      </c>
      <c r="D5685" t="s">
        <v>10057</v>
      </c>
      <c r="E5685" t="s">
        <v>309</v>
      </c>
      <c r="F5685" t="s">
        <v>377</v>
      </c>
      <c r="G5685" t="s">
        <v>714</v>
      </c>
      <c r="H5685" t="str">
        <f>"ΧΑΤΖΗΑΡΓΥΡΗ 68 "</f>
        <v xml:space="preserve">ΧΑΤΖΗΑΡΓΥΡΗ 68 </v>
      </c>
      <c r="I5685">
        <v>38333</v>
      </c>
      <c r="J5685">
        <v>2421026861</v>
      </c>
      <c r="K5685">
        <v>6979300867</v>
      </c>
      <c r="N5685" t="s">
        <v>615</v>
      </c>
      <c r="O5685" t="s">
        <v>616</v>
      </c>
      <c r="R5685" t="s">
        <v>159</v>
      </c>
      <c r="S5685">
        <v>3</v>
      </c>
      <c r="T5685" t="s">
        <v>8675</v>
      </c>
      <c r="U5685" s="1">
        <v>43348</v>
      </c>
      <c r="V5685" t="s">
        <v>80</v>
      </c>
      <c r="W5685" t="s">
        <v>81</v>
      </c>
      <c r="X5685" t="s">
        <v>58</v>
      </c>
      <c r="Y5685">
        <v>24</v>
      </c>
      <c r="Z5685" t="s">
        <v>59</v>
      </c>
      <c r="AA5685" t="s">
        <v>59</v>
      </c>
      <c r="AB5685" t="s">
        <v>59</v>
      </c>
      <c r="AC5685" t="s">
        <v>59</v>
      </c>
      <c r="AD5685" t="s">
        <v>59</v>
      </c>
      <c r="AF5685" s="1">
        <v>43348</v>
      </c>
      <c r="AG5685" t="s">
        <v>8645</v>
      </c>
      <c r="AH5685" t="s">
        <v>8646</v>
      </c>
      <c r="AI5685" t="str">
        <f>"9170205"</f>
        <v>9170205</v>
      </c>
      <c r="AJ5685" t="s">
        <v>8794</v>
      </c>
      <c r="AK5685">
        <v>2810762030</v>
      </c>
      <c r="AL5685" t="s">
        <v>8795</v>
      </c>
      <c r="AM5685" t="s">
        <v>78</v>
      </c>
      <c r="AN5685" t="s">
        <v>219</v>
      </c>
      <c r="AO5685" t="s">
        <v>297</v>
      </c>
      <c r="AP5685" t="s">
        <v>8796</v>
      </c>
      <c r="AQ5685">
        <v>7</v>
      </c>
      <c r="AR5685" t="s">
        <v>80</v>
      </c>
      <c r="AS5685" t="s">
        <v>81</v>
      </c>
      <c r="AT5685" t="s">
        <v>58</v>
      </c>
      <c r="AU5685" t="s">
        <v>8673</v>
      </c>
      <c r="AV5685" t="s">
        <v>132</v>
      </c>
      <c r="AW5685" s="1">
        <v>31616</v>
      </c>
      <c r="AX5685">
        <v>1</v>
      </c>
    </row>
    <row r="5686" spans="1:50">
      <c r="B5686" t="str">
        <f>"141221431"</f>
        <v>141221431</v>
      </c>
      <c r="C5686" t="s">
        <v>105</v>
      </c>
      <c r="D5686" t="s">
        <v>10058</v>
      </c>
      <c r="E5686" t="s">
        <v>95</v>
      </c>
      <c r="F5686" t="s">
        <v>782</v>
      </c>
      <c r="G5686" t="s">
        <v>10059</v>
      </c>
      <c r="H5686" t="str">
        <f>"Ι. ΓΕΡΑΣΙΜΙΔΗ 10 "</f>
        <v xml:space="preserve">Ι. ΓΕΡΑΣΙΜΙΔΗ 10 </v>
      </c>
      <c r="I5686">
        <v>71410</v>
      </c>
      <c r="J5686">
        <v>2810253947</v>
      </c>
      <c r="K5686">
        <v>6959777814</v>
      </c>
      <c r="N5686" t="s">
        <v>615</v>
      </c>
      <c r="O5686" t="s">
        <v>616</v>
      </c>
      <c r="R5686" t="s">
        <v>159</v>
      </c>
      <c r="S5686">
        <v>3</v>
      </c>
      <c r="T5686" t="s">
        <v>8675</v>
      </c>
      <c r="U5686" s="1">
        <v>43348</v>
      </c>
      <c r="V5686" t="s">
        <v>80</v>
      </c>
      <c r="W5686" t="s">
        <v>81</v>
      </c>
      <c r="X5686" t="s">
        <v>58</v>
      </c>
      <c r="Y5686">
        <v>24</v>
      </c>
      <c r="Z5686" t="s">
        <v>59</v>
      </c>
      <c r="AA5686" t="s">
        <v>59</v>
      </c>
      <c r="AB5686" t="s">
        <v>59</v>
      </c>
      <c r="AC5686" t="s">
        <v>59</v>
      </c>
      <c r="AD5686" t="s">
        <v>59</v>
      </c>
      <c r="AF5686" s="1">
        <v>43348</v>
      </c>
      <c r="AG5686" t="s">
        <v>8645</v>
      </c>
      <c r="AH5686" t="s">
        <v>8646</v>
      </c>
      <c r="AI5686" t="str">
        <f>"9170235"</f>
        <v>9170235</v>
      </c>
      <c r="AJ5686" t="s">
        <v>8806</v>
      </c>
      <c r="AK5686">
        <v>2891031258</v>
      </c>
      <c r="AL5686" t="s">
        <v>8807</v>
      </c>
      <c r="AM5686" t="s">
        <v>78</v>
      </c>
      <c r="AN5686" t="s">
        <v>276</v>
      </c>
      <c r="AO5686" t="s">
        <v>277</v>
      </c>
      <c r="AP5686" t="s">
        <v>277</v>
      </c>
      <c r="AQ5686">
        <v>13</v>
      </c>
      <c r="AR5686" t="s">
        <v>80</v>
      </c>
      <c r="AS5686" t="s">
        <v>81</v>
      </c>
      <c r="AT5686" t="s">
        <v>58</v>
      </c>
      <c r="AU5686" t="s">
        <v>8673</v>
      </c>
      <c r="AV5686" t="s">
        <v>132</v>
      </c>
      <c r="AW5686" s="1">
        <v>31965</v>
      </c>
      <c r="AX5686">
        <v>1</v>
      </c>
    </row>
    <row r="5687" spans="1:50">
      <c r="B5687" t="str">
        <f>"144343913"</f>
        <v>144343913</v>
      </c>
      <c r="C5687" t="s">
        <v>50</v>
      </c>
      <c r="D5687" t="s">
        <v>1903</v>
      </c>
      <c r="E5687" t="s">
        <v>263</v>
      </c>
      <c r="F5687" t="s">
        <v>7216</v>
      </c>
      <c r="G5687" t="s">
        <v>250</v>
      </c>
      <c r="H5687" t="str">
        <f>" "</f>
        <v xml:space="preserve"> </v>
      </c>
      <c r="N5687" t="s">
        <v>615</v>
      </c>
      <c r="O5687" t="s">
        <v>616</v>
      </c>
      <c r="R5687" t="s">
        <v>159</v>
      </c>
      <c r="S5687">
        <v>1</v>
      </c>
      <c r="T5687" t="s">
        <v>8675</v>
      </c>
      <c r="U5687" s="1">
        <v>43348</v>
      </c>
      <c r="V5687" t="s">
        <v>80</v>
      </c>
      <c r="W5687" t="s">
        <v>81</v>
      </c>
      <c r="X5687" t="s">
        <v>58</v>
      </c>
      <c r="Y5687">
        <v>24</v>
      </c>
      <c r="Z5687" t="s">
        <v>59</v>
      </c>
      <c r="AA5687" t="s">
        <v>59</v>
      </c>
      <c r="AB5687" t="s">
        <v>59</v>
      </c>
      <c r="AD5687" t="s">
        <v>59</v>
      </c>
      <c r="AF5687" s="1">
        <v>43348</v>
      </c>
      <c r="AG5687" t="s">
        <v>8645</v>
      </c>
      <c r="AH5687" t="s">
        <v>8646</v>
      </c>
      <c r="AI5687" t="str">
        <f>"9170006"</f>
        <v>9170006</v>
      </c>
      <c r="AJ5687" t="s">
        <v>10060</v>
      </c>
      <c r="AK5687">
        <v>2810721207</v>
      </c>
      <c r="AL5687" t="s">
        <v>10061</v>
      </c>
      <c r="AM5687" t="s">
        <v>78</v>
      </c>
      <c r="AN5687" t="s">
        <v>78</v>
      </c>
      <c r="AO5687" t="s">
        <v>185</v>
      </c>
      <c r="AP5687" t="s">
        <v>186</v>
      </c>
      <c r="AQ5687">
        <v>4</v>
      </c>
      <c r="AR5687" t="s">
        <v>80</v>
      </c>
      <c r="AS5687" t="s">
        <v>81</v>
      </c>
      <c r="AT5687" t="s">
        <v>58</v>
      </c>
      <c r="AU5687" t="s">
        <v>8673</v>
      </c>
      <c r="AV5687" t="s">
        <v>132</v>
      </c>
      <c r="AW5687" s="1">
        <v>32666</v>
      </c>
      <c r="AX5687">
        <v>1</v>
      </c>
    </row>
    <row r="5688" spans="1:50">
      <c r="B5688" t="str">
        <f>"115954599"</f>
        <v>115954599</v>
      </c>
      <c r="C5688" t="s">
        <v>105</v>
      </c>
      <c r="D5688" t="s">
        <v>10062</v>
      </c>
      <c r="E5688" t="s">
        <v>99</v>
      </c>
      <c r="F5688" t="s">
        <v>383</v>
      </c>
      <c r="G5688" t="s">
        <v>1001</v>
      </c>
      <c r="H5688" t="str">
        <f>"Ι. ΜΕΛΛΑ 119 ΛΕΥΚΑΔΑ"</f>
        <v>Ι. ΜΕΛΛΑ 119 ΛΕΥΚΑΔΑ</v>
      </c>
      <c r="I5688">
        <v>31100</v>
      </c>
      <c r="J5688">
        <v>2645022595</v>
      </c>
      <c r="K5688">
        <v>6976701563</v>
      </c>
      <c r="N5688" t="s">
        <v>176</v>
      </c>
      <c r="O5688" t="s">
        <v>177</v>
      </c>
      <c r="R5688" t="s">
        <v>159</v>
      </c>
      <c r="S5688">
        <v>3</v>
      </c>
      <c r="T5688" t="s">
        <v>8675</v>
      </c>
      <c r="U5688" s="1">
        <v>43348</v>
      </c>
      <c r="V5688" t="s">
        <v>80</v>
      </c>
      <c r="W5688" t="s">
        <v>81</v>
      </c>
      <c r="X5688" t="s">
        <v>58</v>
      </c>
      <c r="Y5688">
        <v>24</v>
      </c>
      <c r="Z5688" t="s">
        <v>59</v>
      </c>
      <c r="AA5688" t="s">
        <v>59</v>
      </c>
      <c r="AB5688" t="s">
        <v>59</v>
      </c>
      <c r="AC5688" t="s">
        <v>59</v>
      </c>
      <c r="AD5688" t="s">
        <v>59</v>
      </c>
      <c r="AF5688" s="1">
        <v>43348</v>
      </c>
      <c r="AG5688" t="s">
        <v>8645</v>
      </c>
      <c r="AH5688" t="s">
        <v>8646</v>
      </c>
      <c r="AI5688" t="str">
        <f>"9170247"</f>
        <v>9170247</v>
      </c>
      <c r="AJ5688" t="s">
        <v>9196</v>
      </c>
      <c r="AK5688">
        <v>2810731278</v>
      </c>
      <c r="AL5688" t="s">
        <v>9197</v>
      </c>
      <c r="AM5688" t="s">
        <v>78</v>
      </c>
      <c r="AN5688" t="s">
        <v>78</v>
      </c>
      <c r="AO5688" t="s">
        <v>78</v>
      </c>
      <c r="AP5688" t="s">
        <v>9198</v>
      </c>
      <c r="AQ5688">
        <v>11</v>
      </c>
      <c r="AR5688" t="s">
        <v>80</v>
      </c>
      <c r="AS5688" t="s">
        <v>81</v>
      </c>
      <c r="AT5688" t="s">
        <v>58</v>
      </c>
      <c r="AU5688" t="s">
        <v>8673</v>
      </c>
      <c r="AV5688" t="s">
        <v>132</v>
      </c>
      <c r="AW5688" s="1">
        <v>24058</v>
      </c>
      <c r="AX5688">
        <v>1</v>
      </c>
    </row>
    <row r="5689" spans="1:50">
      <c r="A5689">
        <v>612486</v>
      </c>
      <c r="B5689" t="str">
        <f>"076675197"</f>
        <v>076675197</v>
      </c>
      <c r="C5689" t="s">
        <v>105</v>
      </c>
      <c r="D5689" t="s">
        <v>10063</v>
      </c>
      <c r="E5689" t="s">
        <v>2227</v>
      </c>
      <c r="F5689" t="s">
        <v>936</v>
      </c>
      <c r="G5689" t="s">
        <v>9520</v>
      </c>
      <c r="H5689" t="str">
        <f>"ΑΣΚΛΗΠΙΟΥ 23 ΠΟΛΥΓΥΡΟΣ"</f>
        <v>ΑΣΚΛΗΠΙΟΥ 23 ΠΟΛΥΓΥΡΟΣ</v>
      </c>
      <c r="I5689">
        <v>63100</v>
      </c>
      <c r="J5689">
        <v>2371110034</v>
      </c>
      <c r="K5689">
        <v>6944181855</v>
      </c>
      <c r="M5689" t="s">
        <v>10064</v>
      </c>
      <c r="N5689" t="s">
        <v>176</v>
      </c>
      <c r="O5689" t="s">
        <v>177</v>
      </c>
      <c r="R5689" t="s">
        <v>57</v>
      </c>
      <c r="S5689">
        <v>7</v>
      </c>
      <c r="T5689">
        <v>234</v>
      </c>
      <c r="U5689" s="1">
        <v>38960</v>
      </c>
      <c r="V5689" t="s">
        <v>80</v>
      </c>
      <c r="W5689" t="s">
        <v>81</v>
      </c>
      <c r="X5689" t="s">
        <v>58</v>
      </c>
      <c r="Y5689">
        <v>22</v>
      </c>
      <c r="Z5689" t="s">
        <v>59</v>
      </c>
      <c r="AA5689" t="s">
        <v>59</v>
      </c>
      <c r="AB5689" t="s">
        <v>59</v>
      </c>
      <c r="AC5689" t="s">
        <v>59</v>
      </c>
      <c r="AD5689" t="s">
        <v>59</v>
      </c>
      <c r="AF5689" s="1">
        <v>38961</v>
      </c>
      <c r="AG5689" t="s">
        <v>8645</v>
      </c>
      <c r="AH5689" t="s">
        <v>8646</v>
      </c>
      <c r="AI5689" t="str">
        <f>"9170339"</f>
        <v>9170339</v>
      </c>
      <c r="AJ5689" t="s">
        <v>9500</v>
      </c>
      <c r="AK5689">
        <v>2892051391</v>
      </c>
      <c r="AL5689" t="s">
        <v>9501</v>
      </c>
      <c r="AM5689" t="s">
        <v>78</v>
      </c>
      <c r="AN5689" t="s">
        <v>242</v>
      </c>
      <c r="AO5689" t="s">
        <v>349</v>
      </c>
      <c r="AP5689" t="s">
        <v>349</v>
      </c>
      <c r="AQ5689">
        <v>19</v>
      </c>
      <c r="AR5689" t="s">
        <v>80</v>
      </c>
      <c r="AS5689" t="s">
        <v>81</v>
      </c>
      <c r="AT5689" t="s">
        <v>58</v>
      </c>
      <c r="AU5689" t="s">
        <v>68</v>
      </c>
      <c r="AV5689" t="s">
        <v>69</v>
      </c>
      <c r="AW5689" s="1">
        <v>26162</v>
      </c>
      <c r="AX5689">
        <v>1</v>
      </c>
    </row>
    <row r="5690" spans="1:50">
      <c r="B5690" t="str">
        <f>"152365874"</f>
        <v>152365874</v>
      </c>
      <c r="C5690" t="s">
        <v>50</v>
      </c>
      <c r="D5690" t="s">
        <v>10065</v>
      </c>
      <c r="E5690" t="s">
        <v>52</v>
      </c>
      <c r="F5690" t="s">
        <v>106</v>
      </c>
      <c r="G5690" t="s">
        <v>372</v>
      </c>
      <c r="H5690" t="str">
        <f>" "</f>
        <v xml:space="preserve"> </v>
      </c>
      <c r="N5690" t="s">
        <v>10066</v>
      </c>
      <c r="O5690" t="s">
        <v>9830</v>
      </c>
      <c r="R5690" t="s">
        <v>159</v>
      </c>
      <c r="S5690">
        <v>1</v>
      </c>
      <c r="T5690" t="s">
        <v>8835</v>
      </c>
      <c r="U5690" s="1">
        <v>43348</v>
      </c>
      <c r="V5690" t="s">
        <v>80</v>
      </c>
      <c r="W5690" t="s">
        <v>81</v>
      </c>
      <c r="X5690" t="s">
        <v>58</v>
      </c>
      <c r="Y5690">
        <v>25</v>
      </c>
      <c r="Z5690" t="s">
        <v>59</v>
      </c>
      <c r="AA5690" t="s">
        <v>59</v>
      </c>
      <c r="AB5690" t="s">
        <v>59</v>
      </c>
      <c r="AC5690" t="s">
        <v>59</v>
      </c>
      <c r="AD5690" t="s">
        <v>59</v>
      </c>
      <c r="AF5690" s="1">
        <v>43348</v>
      </c>
      <c r="AG5690" t="s">
        <v>8651</v>
      </c>
      <c r="AH5690" t="s">
        <v>8652</v>
      </c>
      <c r="AI5690" t="str">
        <f>"9170201"</f>
        <v>9170201</v>
      </c>
      <c r="AJ5690" t="s">
        <v>10067</v>
      </c>
      <c r="AK5690">
        <v>2810741564</v>
      </c>
      <c r="AL5690" t="s">
        <v>10068</v>
      </c>
      <c r="AM5690" t="s">
        <v>78</v>
      </c>
      <c r="AN5690" t="s">
        <v>424</v>
      </c>
      <c r="AO5690" t="s">
        <v>428</v>
      </c>
      <c r="AP5690" t="s">
        <v>9591</v>
      </c>
      <c r="AQ5690">
        <v>11</v>
      </c>
      <c r="AR5690" t="s">
        <v>80</v>
      </c>
      <c r="AS5690" t="s">
        <v>81</v>
      </c>
      <c r="AT5690" t="s">
        <v>58</v>
      </c>
      <c r="AU5690" t="s">
        <v>131</v>
      </c>
      <c r="AV5690" t="s">
        <v>132</v>
      </c>
      <c r="AW5690" s="1">
        <v>33783</v>
      </c>
      <c r="AX5690">
        <v>1</v>
      </c>
    </row>
    <row r="5691" spans="1:50">
      <c r="A5691">
        <v>621231</v>
      </c>
      <c r="B5691" t="str">
        <f>"037489238"</f>
        <v>037489238</v>
      </c>
      <c r="C5691" t="s">
        <v>50</v>
      </c>
      <c r="D5691" t="s">
        <v>10065</v>
      </c>
      <c r="E5691" t="s">
        <v>52</v>
      </c>
      <c r="F5691" t="s">
        <v>450</v>
      </c>
      <c r="G5691" t="s">
        <v>238</v>
      </c>
      <c r="H5691" t="str">
        <f>"ΟΥΛΟΦ ΠΑΛΜΕ 221 ΚΑΙ ΕΥΤΕΡΠΗΣ ΗΡΑΚΛΕΙΟ"</f>
        <v>ΟΥΛΟΦ ΠΑΛΜΕ 221 ΚΑΙ ΕΥΤΕΡΠΗΣ ΗΡΑΚΛΕΙΟ</v>
      </c>
      <c r="I5691">
        <v>71410</v>
      </c>
      <c r="K5691">
        <v>6945049405</v>
      </c>
      <c r="M5691" t="s">
        <v>10069</v>
      </c>
      <c r="N5691" t="s">
        <v>615</v>
      </c>
      <c r="O5691" t="s">
        <v>616</v>
      </c>
      <c r="R5691" t="s">
        <v>57</v>
      </c>
      <c r="S5691">
        <v>7</v>
      </c>
      <c r="T5691">
        <v>653</v>
      </c>
      <c r="U5691" s="1">
        <v>40043</v>
      </c>
      <c r="V5691" t="s">
        <v>80</v>
      </c>
      <c r="W5691" t="s">
        <v>81</v>
      </c>
      <c r="X5691" t="s">
        <v>58</v>
      </c>
      <c r="Y5691">
        <v>23</v>
      </c>
      <c r="Z5691" t="s">
        <v>59</v>
      </c>
      <c r="AA5691" t="s">
        <v>59</v>
      </c>
      <c r="AB5691" t="s">
        <v>59</v>
      </c>
      <c r="AC5691" t="s">
        <v>59</v>
      </c>
      <c r="AD5691" t="s">
        <v>59</v>
      </c>
      <c r="AF5691" s="1">
        <v>40043</v>
      </c>
      <c r="AG5691" t="s">
        <v>8645</v>
      </c>
      <c r="AH5691" t="s">
        <v>8646</v>
      </c>
      <c r="AI5691" t="str">
        <f>"9170061"</f>
        <v>9170061</v>
      </c>
      <c r="AJ5691" t="s">
        <v>8869</v>
      </c>
      <c r="AK5691">
        <v>2810791254</v>
      </c>
      <c r="AL5691" t="s">
        <v>8870</v>
      </c>
      <c r="AM5691" t="s">
        <v>78</v>
      </c>
      <c r="AN5691" t="s">
        <v>78</v>
      </c>
      <c r="AO5691" t="s">
        <v>78</v>
      </c>
      <c r="AP5691" t="s">
        <v>8871</v>
      </c>
      <c r="AQ5691">
        <v>3</v>
      </c>
      <c r="AR5691" t="s">
        <v>80</v>
      </c>
      <c r="AS5691" t="s">
        <v>81</v>
      </c>
      <c r="AT5691" t="s">
        <v>58</v>
      </c>
      <c r="AU5691" t="s">
        <v>68</v>
      </c>
      <c r="AV5691" t="s">
        <v>69</v>
      </c>
      <c r="AW5691" s="1">
        <v>31034</v>
      </c>
      <c r="AX5691">
        <v>1</v>
      </c>
    </row>
    <row r="5692" spans="1:50">
      <c r="A5692">
        <v>219469</v>
      </c>
      <c r="B5692" t="str">
        <f>"066370660"</f>
        <v>066370660</v>
      </c>
      <c r="C5692" t="s">
        <v>50</v>
      </c>
      <c r="D5692" t="s">
        <v>10070</v>
      </c>
      <c r="E5692" t="s">
        <v>52</v>
      </c>
      <c r="F5692" t="s">
        <v>166</v>
      </c>
      <c r="G5692" t="s">
        <v>4289</v>
      </c>
      <c r="H5692" t="str">
        <f>" "</f>
        <v xml:space="preserve"> </v>
      </c>
      <c r="J5692">
        <v>2810241094</v>
      </c>
      <c r="K5692">
        <v>6977807260</v>
      </c>
      <c r="N5692" t="s">
        <v>288</v>
      </c>
      <c r="O5692" t="s">
        <v>289</v>
      </c>
      <c r="R5692" t="s">
        <v>57</v>
      </c>
      <c r="S5692">
        <v>9</v>
      </c>
      <c r="T5692">
        <v>599</v>
      </c>
      <c r="U5692" s="1">
        <v>39310</v>
      </c>
      <c r="V5692" t="s">
        <v>80</v>
      </c>
      <c r="W5692" t="s">
        <v>81</v>
      </c>
      <c r="X5692" t="s">
        <v>58</v>
      </c>
      <c r="Y5692">
        <v>23</v>
      </c>
      <c r="Z5692" t="s">
        <v>59</v>
      </c>
      <c r="AA5692" t="s">
        <v>59</v>
      </c>
      <c r="AB5692" t="s">
        <v>59</v>
      </c>
      <c r="AC5692" t="s">
        <v>59</v>
      </c>
      <c r="AD5692" t="s">
        <v>59</v>
      </c>
      <c r="AF5692" s="1">
        <v>39328</v>
      </c>
      <c r="AG5692" t="s">
        <v>8645</v>
      </c>
      <c r="AH5692" t="s">
        <v>8646</v>
      </c>
      <c r="AI5692" t="str">
        <f>"9170494"</f>
        <v>9170494</v>
      </c>
      <c r="AJ5692" t="s">
        <v>9125</v>
      </c>
      <c r="AK5692">
        <v>2810228361</v>
      </c>
      <c r="AL5692" t="s">
        <v>9126</v>
      </c>
      <c r="AM5692" t="s">
        <v>78</v>
      </c>
      <c r="AN5692" t="s">
        <v>78</v>
      </c>
      <c r="AO5692" t="s">
        <v>78</v>
      </c>
      <c r="AP5692" t="s">
        <v>79</v>
      </c>
      <c r="AQ5692">
        <v>1</v>
      </c>
      <c r="AR5692" t="s">
        <v>80</v>
      </c>
      <c r="AS5692" t="s">
        <v>81</v>
      </c>
      <c r="AT5692" t="s">
        <v>58</v>
      </c>
      <c r="AU5692" t="s">
        <v>68</v>
      </c>
      <c r="AV5692" t="s">
        <v>69</v>
      </c>
      <c r="AW5692" s="1">
        <v>28760</v>
      </c>
      <c r="AX5692">
        <v>1</v>
      </c>
    </row>
    <row r="5693" spans="1:50">
      <c r="B5693" t="str">
        <f>"134159272"</f>
        <v>134159272</v>
      </c>
      <c r="C5693" t="s">
        <v>50</v>
      </c>
      <c r="D5693" t="s">
        <v>10071</v>
      </c>
      <c r="E5693" t="s">
        <v>801</v>
      </c>
      <c r="F5693" t="s">
        <v>670</v>
      </c>
      <c r="G5693" t="s">
        <v>52</v>
      </c>
      <c r="H5693" t="str">
        <f>"ΒΑΡΝΟΥΝΤΟΣ 59 ΦΛΩΡΙΝΑ"</f>
        <v>ΒΑΡΝΟΥΝΤΟΣ 59 ΦΛΩΡΙΝΑ</v>
      </c>
      <c r="I5693">
        <v>53100</v>
      </c>
      <c r="J5693">
        <v>2385024933</v>
      </c>
      <c r="K5693">
        <v>6932740515</v>
      </c>
      <c r="N5693" t="s">
        <v>1525</v>
      </c>
      <c r="O5693" t="s">
        <v>1526</v>
      </c>
      <c r="R5693" t="s">
        <v>159</v>
      </c>
      <c r="S5693">
        <v>2</v>
      </c>
      <c r="T5693" t="s">
        <v>8670</v>
      </c>
      <c r="U5693" s="1">
        <v>43348</v>
      </c>
      <c r="V5693" t="s">
        <v>80</v>
      </c>
      <c r="W5693" t="s">
        <v>81</v>
      </c>
      <c r="X5693" t="s">
        <v>58</v>
      </c>
      <c r="Y5693">
        <v>25</v>
      </c>
      <c r="Z5693" t="s">
        <v>59</v>
      </c>
      <c r="AA5693" t="s">
        <v>59</v>
      </c>
      <c r="AB5693" t="s">
        <v>59</v>
      </c>
      <c r="AC5693" t="s">
        <v>59</v>
      </c>
      <c r="AD5693" t="s">
        <v>59</v>
      </c>
      <c r="AF5693" s="1">
        <v>43348</v>
      </c>
      <c r="AG5693" t="s">
        <v>8651</v>
      </c>
      <c r="AH5693" t="s">
        <v>8652</v>
      </c>
      <c r="AI5693" t="str">
        <f>"9170574"</f>
        <v>9170574</v>
      </c>
      <c r="AJ5693" t="s">
        <v>10072</v>
      </c>
      <c r="AK5693">
        <v>2895051525</v>
      </c>
      <c r="AL5693" t="s">
        <v>10073</v>
      </c>
      <c r="AM5693" t="s">
        <v>78</v>
      </c>
      <c r="AN5693" t="s">
        <v>482</v>
      </c>
      <c r="AO5693" t="s">
        <v>482</v>
      </c>
      <c r="AP5693" t="s">
        <v>10074</v>
      </c>
      <c r="AQ5693">
        <v>14</v>
      </c>
      <c r="AR5693" t="s">
        <v>80</v>
      </c>
      <c r="AS5693" t="s">
        <v>81</v>
      </c>
      <c r="AT5693" t="s">
        <v>58</v>
      </c>
      <c r="AU5693" t="s">
        <v>8673</v>
      </c>
      <c r="AV5693" t="s">
        <v>132</v>
      </c>
      <c r="AW5693" s="1">
        <v>30199</v>
      </c>
      <c r="AX5693">
        <v>1</v>
      </c>
    </row>
    <row r="5694" spans="1:50">
      <c r="B5694" t="str">
        <f>"132474749"</f>
        <v>132474749</v>
      </c>
      <c r="C5694" t="s">
        <v>105</v>
      </c>
      <c r="D5694" t="s">
        <v>10075</v>
      </c>
      <c r="E5694" t="s">
        <v>99</v>
      </c>
      <c r="F5694" t="s">
        <v>10076</v>
      </c>
      <c r="G5694" t="s">
        <v>143</v>
      </c>
      <c r="H5694" t="str">
        <f>"ΚΙΚΟΝΩΝ 48 "</f>
        <v xml:space="preserve">ΚΙΚΟΝΩΝ 48 </v>
      </c>
      <c r="I5694">
        <v>68100</v>
      </c>
      <c r="J5694">
        <v>2551025639</v>
      </c>
      <c r="K5694">
        <v>6944760457</v>
      </c>
      <c r="N5694" t="s">
        <v>615</v>
      </c>
      <c r="O5694" t="s">
        <v>616</v>
      </c>
      <c r="R5694" t="s">
        <v>159</v>
      </c>
      <c r="S5694">
        <v>3</v>
      </c>
      <c r="T5694" t="s">
        <v>8675</v>
      </c>
      <c r="U5694" s="1">
        <v>43348</v>
      </c>
      <c r="V5694" t="s">
        <v>80</v>
      </c>
      <c r="W5694" t="s">
        <v>81</v>
      </c>
      <c r="X5694" t="s">
        <v>58</v>
      </c>
      <c r="Y5694">
        <v>24</v>
      </c>
      <c r="Z5694" t="s">
        <v>59</v>
      </c>
      <c r="AA5694" t="s">
        <v>59</v>
      </c>
      <c r="AB5694" t="s">
        <v>59</v>
      </c>
      <c r="AC5694" t="s">
        <v>59</v>
      </c>
      <c r="AD5694" t="s">
        <v>59</v>
      </c>
      <c r="AF5694" s="1">
        <v>43348</v>
      </c>
      <c r="AG5694" t="s">
        <v>8645</v>
      </c>
      <c r="AH5694" t="s">
        <v>8646</v>
      </c>
      <c r="AI5694" t="str">
        <f>"9170534"</f>
        <v>9170534</v>
      </c>
      <c r="AJ5694" t="s">
        <v>8701</v>
      </c>
      <c r="AK5694">
        <v>2810323225</v>
      </c>
      <c r="AL5694" t="s">
        <v>8702</v>
      </c>
      <c r="AM5694" t="s">
        <v>78</v>
      </c>
      <c r="AN5694" t="s">
        <v>78</v>
      </c>
      <c r="AO5694" t="s">
        <v>78</v>
      </c>
      <c r="AP5694" t="s">
        <v>163</v>
      </c>
      <c r="AQ5694">
        <v>1</v>
      </c>
      <c r="AR5694" t="s">
        <v>80</v>
      </c>
      <c r="AS5694" t="s">
        <v>81</v>
      </c>
      <c r="AT5694" t="s">
        <v>58</v>
      </c>
      <c r="AU5694" t="s">
        <v>8673</v>
      </c>
      <c r="AV5694" t="s">
        <v>132</v>
      </c>
      <c r="AW5694" s="1">
        <v>31309</v>
      </c>
      <c r="AX5694">
        <v>1</v>
      </c>
    </row>
    <row r="5695" spans="1:50">
      <c r="A5695">
        <v>585194</v>
      </c>
      <c r="B5695" t="str">
        <f>"039700148"</f>
        <v>039700148</v>
      </c>
      <c r="C5695" t="s">
        <v>105</v>
      </c>
      <c r="D5695" t="s">
        <v>10077</v>
      </c>
      <c r="E5695" t="s">
        <v>106</v>
      </c>
      <c r="F5695" t="s">
        <v>108</v>
      </c>
      <c r="G5695" t="s">
        <v>1189</v>
      </c>
      <c r="H5695" t="str">
        <f>"ΣΓΟΥΡΟΚΕΦΑΛΙ ΠΕΔΙΑΔΟΣ "</f>
        <v xml:space="preserve">ΣΓΟΥΡΟΚΕΦΑΛΙ ΠΕΔΙΑΔΟΣ </v>
      </c>
      <c r="I5695">
        <v>70008</v>
      </c>
      <c r="J5695">
        <v>2810771651</v>
      </c>
      <c r="N5695" t="s">
        <v>615</v>
      </c>
      <c r="O5695" t="s">
        <v>616</v>
      </c>
      <c r="R5695" t="s">
        <v>57</v>
      </c>
      <c r="S5695">
        <v>11</v>
      </c>
      <c r="T5695">
        <v>165</v>
      </c>
      <c r="U5695" s="1">
        <v>36040</v>
      </c>
      <c r="V5695" t="s">
        <v>80</v>
      </c>
      <c r="W5695" t="s">
        <v>81</v>
      </c>
      <c r="X5695" t="s">
        <v>58</v>
      </c>
      <c r="Y5695">
        <v>21</v>
      </c>
      <c r="Z5695" t="s">
        <v>59</v>
      </c>
      <c r="AA5695" t="s">
        <v>59</v>
      </c>
      <c r="AB5695" t="s">
        <v>59</v>
      </c>
      <c r="AC5695" t="s">
        <v>59</v>
      </c>
      <c r="AD5695" t="s">
        <v>59</v>
      </c>
      <c r="AF5695" s="1">
        <v>36040</v>
      </c>
      <c r="AG5695" t="s">
        <v>8645</v>
      </c>
      <c r="AH5695" t="s">
        <v>8646</v>
      </c>
      <c r="AI5695" t="str">
        <f>"9170206"</f>
        <v>9170206</v>
      </c>
      <c r="AJ5695" t="s">
        <v>8972</v>
      </c>
      <c r="AK5695">
        <v>2810761137</v>
      </c>
      <c r="AL5695" t="s">
        <v>8973</v>
      </c>
      <c r="AM5695" t="s">
        <v>78</v>
      </c>
      <c r="AN5695" t="s">
        <v>219</v>
      </c>
      <c r="AO5695" t="s">
        <v>297</v>
      </c>
      <c r="AP5695" t="s">
        <v>8796</v>
      </c>
      <c r="AQ5695">
        <v>7</v>
      </c>
      <c r="AR5695" t="s">
        <v>80</v>
      </c>
      <c r="AS5695" t="s">
        <v>81</v>
      </c>
      <c r="AT5695" t="s">
        <v>58</v>
      </c>
      <c r="AU5695" t="s">
        <v>68</v>
      </c>
      <c r="AV5695" t="s">
        <v>69</v>
      </c>
      <c r="AW5695" s="1">
        <v>24427</v>
      </c>
      <c r="AX5695">
        <v>1</v>
      </c>
    </row>
    <row r="5696" spans="1:50">
      <c r="A5696">
        <v>598577</v>
      </c>
      <c r="B5696" t="str">
        <f>"119673500"</f>
        <v>119673500</v>
      </c>
      <c r="C5696" t="s">
        <v>50</v>
      </c>
      <c r="D5696" t="s">
        <v>7379</v>
      </c>
      <c r="E5696" t="s">
        <v>188</v>
      </c>
      <c r="F5696" t="s">
        <v>920</v>
      </c>
      <c r="G5696" t="s">
        <v>83</v>
      </c>
      <c r="H5696" t="str">
        <f>"ΛΑΠΠΑΣ 16 ΗΡΑΚΛΕΙΟ"</f>
        <v>ΛΑΠΠΑΣ 16 ΗΡΑΚΛΕΙΟ</v>
      </c>
      <c r="I5696">
        <v>71305</v>
      </c>
      <c r="J5696">
        <v>2810372643</v>
      </c>
      <c r="K5696">
        <v>6932392151</v>
      </c>
      <c r="L5696">
        <v>2810325059</v>
      </c>
      <c r="N5696" t="s">
        <v>615</v>
      </c>
      <c r="O5696" t="s">
        <v>616</v>
      </c>
      <c r="R5696" t="s">
        <v>57</v>
      </c>
      <c r="S5696">
        <v>9</v>
      </c>
      <c r="T5696">
        <v>195</v>
      </c>
      <c r="U5696" s="1">
        <v>37497</v>
      </c>
      <c r="V5696" t="s">
        <v>80</v>
      </c>
      <c r="W5696" t="s">
        <v>81</v>
      </c>
      <c r="X5696" t="s">
        <v>58</v>
      </c>
      <c r="Y5696">
        <v>22</v>
      </c>
      <c r="Z5696" t="s">
        <v>59</v>
      </c>
      <c r="AA5696" t="s">
        <v>59</v>
      </c>
      <c r="AB5696" t="s">
        <v>59</v>
      </c>
      <c r="AC5696" t="s">
        <v>59</v>
      </c>
      <c r="AD5696" t="s">
        <v>59</v>
      </c>
      <c r="AF5696" s="1">
        <v>37501</v>
      </c>
      <c r="AG5696" t="s">
        <v>8645</v>
      </c>
      <c r="AH5696" t="s">
        <v>8646</v>
      </c>
      <c r="AI5696" t="str">
        <f>"9170512"</f>
        <v>9170512</v>
      </c>
      <c r="AJ5696" t="s">
        <v>8986</v>
      </c>
      <c r="AK5696">
        <v>2810253082</v>
      </c>
      <c r="AL5696" t="s">
        <v>8987</v>
      </c>
      <c r="AM5696" t="s">
        <v>78</v>
      </c>
      <c r="AN5696" t="s">
        <v>78</v>
      </c>
      <c r="AO5696" t="s">
        <v>78</v>
      </c>
      <c r="AP5696" t="s">
        <v>141</v>
      </c>
      <c r="AQ5696">
        <v>1</v>
      </c>
      <c r="AR5696" t="s">
        <v>80</v>
      </c>
      <c r="AS5696" t="s">
        <v>81</v>
      </c>
      <c r="AT5696" t="s">
        <v>58</v>
      </c>
      <c r="AU5696" t="s">
        <v>68</v>
      </c>
      <c r="AV5696" t="s">
        <v>69</v>
      </c>
      <c r="AW5696" s="1">
        <v>24085</v>
      </c>
      <c r="AX5696">
        <v>1</v>
      </c>
    </row>
    <row r="5697" spans="1:50">
      <c r="B5697" t="str">
        <f>"136698693"</f>
        <v>136698693</v>
      </c>
      <c r="C5697" t="s">
        <v>50</v>
      </c>
      <c r="D5697" t="s">
        <v>10078</v>
      </c>
      <c r="E5697" t="s">
        <v>83</v>
      </c>
      <c r="F5697" t="s">
        <v>95</v>
      </c>
      <c r="G5697" t="s">
        <v>714</v>
      </c>
      <c r="H5697" t="str">
        <f>"ΑΓ. ΓΕΩΡΓΙΟΥ  19 "</f>
        <v xml:space="preserve">ΑΓ. ΓΕΩΡΓΙΟΥ  19 </v>
      </c>
      <c r="I5697">
        <v>48100</v>
      </c>
      <c r="J5697">
        <v>2682021268</v>
      </c>
      <c r="K5697">
        <v>6981108731</v>
      </c>
      <c r="N5697" t="s">
        <v>615</v>
      </c>
      <c r="O5697" t="s">
        <v>616</v>
      </c>
      <c r="R5697" t="s">
        <v>159</v>
      </c>
      <c r="S5697">
        <v>5</v>
      </c>
      <c r="T5697" t="s">
        <v>8675</v>
      </c>
      <c r="U5697" s="1">
        <v>43348</v>
      </c>
      <c r="V5697" t="s">
        <v>80</v>
      </c>
      <c r="W5697" t="s">
        <v>81</v>
      </c>
      <c r="X5697" t="s">
        <v>58</v>
      </c>
      <c r="Y5697">
        <v>24</v>
      </c>
      <c r="Z5697" t="s">
        <v>59</v>
      </c>
      <c r="AA5697" t="s">
        <v>59</v>
      </c>
      <c r="AB5697" t="s">
        <v>59</v>
      </c>
      <c r="AC5697" t="s">
        <v>59</v>
      </c>
      <c r="AD5697" t="s">
        <v>59</v>
      </c>
      <c r="AF5697" s="1">
        <v>43348</v>
      </c>
      <c r="AG5697" t="s">
        <v>8645</v>
      </c>
      <c r="AH5697" t="s">
        <v>8646</v>
      </c>
      <c r="AI5697" t="str">
        <f>"9170068"</f>
        <v>9170068</v>
      </c>
      <c r="AJ5697" t="s">
        <v>8773</v>
      </c>
      <c r="AK5697">
        <v>2893031217</v>
      </c>
      <c r="AL5697" t="s">
        <v>8774</v>
      </c>
      <c r="AM5697" t="s">
        <v>78</v>
      </c>
      <c r="AN5697" t="s">
        <v>405</v>
      </c>
      <c r="AO5697" t="s">
        <v>805</v>
      </c>
      <c r="AP5697" t="s">
        <v>806</v>
      </c>
      <c r="AQ5697">
        <v>15</v>
      </c>
      <c r="AR5697" t="s">
        <v>80</v>
      </c>
      <c r="AS5697" t="s">
        <v>81</v>
      </c>
      <c r="AT5697" t="s">
        <v>58</v>
      </c>
      <c r="AU5697" t="s">
        <v>8673</v>
      </c>
      <c r="AV5697" t="s">
        <v>132</v>
      </c>
      <c r="AW5697" s="1">
        <v>32471</v>
      </c>
      <c r="AX5697">
        <v>1</v>
      </c>
    </row>
    <row r="5698" spans="1:50">
      <c r="B5698" t="str">
        <f>"073237837"</f>
        <v>073237837</v>
      </c>
      <c r="C5698" t="s">
        <v>50</v>
      </c>
      <c r="D5698" t="s">
        <v>1923</v>
      </c>
      <c r="E5698" t="s">
        <v>1562</v>
      </c>
      <c r="F5698" t="s">
        <v>106</v>
      </c>
      <c r="G5698" t="s">
        <v>1179</v>
      </c>
      <c r="H5698" t="str">
        <f>"ΗΡΑΚΛΕΟΥΣ 18 ΚΑΛΛΙΘΕΑ"</f>
        <v>ΗΡΑΚΛΕΟΥΣ 18 ΚΑΛΛΙΘΕΑ</v>
      </c>
      <c r="I5698">
        <v>17671</v>
      </c>
      <c r="J5698">
        <v>2109518809</v>
      </c>
      <c r="K5698">
        <v>6946237456</v>
      </c>
      <c r="M5698" t="s">
        <v>10079</v>
      </c>
      <c r="N5698" t="s">
        <v>615</v>
      </c>
      <c r="O5698" t="s">
        <v>616</v>
      </c>
      <c r="R5698" t="s">
        <v>121</v>
      </c>
      <c r="S5698">
        <v>1</v>
      </c>
      <c r="T5698" t="s">
        <v>8717</v>
      </c>
      <c r="U5698" s="1">
        <v>43348</v>
      </c>
      <c r="V5698" t="s">
        <v>80</v>
      </c>
      <c r="W5698" t="s">
        <v>81</v>
      </c>
      <c r="X5698" t="s">
        <v>58</v>
      </c>
      <c r="Y5698">
        <v>24</v>
      </c>
      <c r="Z5698" t="s">
        <v>59</v>
      </c>
      <c r="AA5698" t="s">
        <v>59</v>
      </c>
      <c r="AB5698" t="s">
        <v>59</v>
      </c>
      <c r="AD5698" t="s">
        <v>59</v>
      </c>
      <c r="AF5698" s="1">
        <v>43348</v>
      </c>
      <c r="AG5698" t="s">
        <v>8645</v>
      </c>
      <c r="AH5698" t="s">
        <v>8646</v>
      </c>
      <c r="AI5698" t="str">
        <f>"9170338"</f>
        <v>9170338</v>
      </c>
      <c r="AJ5698" t="s">
        <v>8849</v>
      </c>
      <c r="AK5698">
        <v>2892051377</v>
      </c>
      <c r="AL5698" t="s">
        <v>8850</v>
      </c>
      <c r="AM5698" t="s">
        <v>78</v>
      </c>
      <c r="AN5698" t="s">
        <v>242</v>
      </c>
      <c r="AO5698" t="s">
        <v>349</v>
      </c>
      <c r="AP5698" t="s">
        <v>349</v>
      </c>
      <c r="AQ5698">
        <v>19</v>
      </c>
      <c r="AR5698" t="s">
        <v>80</v>
      </c>
      <c r="AS5698" t="s">
        <v>81</v>
      </c>
      <c r="AT5698" t="s">
        <v>58</v>
      </c>
      <c r="AU5698" t="s">
        <v>8720</v>
      </c>
      <c r="AV5698" t="s">
        <v>132</v>
      </c>
      <c r="AW5698" s="1">
        <v>24572</v>
      </c>
      <c r="AX5698">
        <v>1</v>
      </c>
    </row>
    <row r="5699" spans="1:50">
      <c r="A5699">
        <v>575946</v>
      </c>
      <c r="B5699" t="str">
        <f>"048004165"</f>
        <v>048004165</v>
      </c>
      <c r="C5699" t="s">
        <v>50</v>
      </c>
      <c r="D5699" t="s">
        <v>10080</v>
      </c>
      <c r="E5699" t="s">
        <v>845</v>
      </c>
      <c r="F5699" t="s">
        <v>585</v>
      </c>
      <c r="G5699" t="s">
        <v>755</v>
      </c>
      <c r="H5699" t="str">
        <f>" "</f>
        <v xml:space="preserve"> </v>
      </c>
      <c r="J5699">
        <v>2810322113</v>
      </c>
      <c r="K5699">
        <v>6948069057</v>
      </c>
      <c r="N5699" t="s">
        <v>615</v>
      </c>
      <c r="O5699" t="s">
        <v>616</v>
      </c>
      <c r="R5699" t="s">
        <v>57</v>
      </c>
      <c r="S5699">
        <v>11</v>
      </c>
      <c r="T5699">
        <v>184</v>
      </c>
      <c r="U5699" s="1">
        <v>34941</v>
      </c>
      <c r="V5699" t="s">
        <v>80</v>
      </c>
      <c r="W5699" t="s">
        <v>81</v>
      </c>
      <c r="X5699" t="s">
        <v>58</v>
      </c>
      <c r="Y5699">
        <v>21</v>
      </c>
      <c r="Z5699" t="s">
        <v>59</v>
      </c>
      <c r="AA5699" t="s">
        <v>59</v>
      </c>
      <c r="AB5699" t="s">
        <v>59</v>
      </c>
      <c r="AC5699" t="s">
        <v>59</v>
      </c>
      <c r="AD5699" t="s">
        <v>59</v>
      </c>
      <c r="AF5699" s="1">
        <v>34949</v>
      </c>
      <c r="AG5699" t="s">
        <v>8645</v>
      </c>
      <c r="AH5699" t="s">
        <v>8646</v>
      </c>
      <c r="AI5699" t="str">
        <f>"9170516"</f>
        <v>9170516</v>
      </c>
      <c r="AJ5699" t="s">
        <v>8746</v>
      </c>
      <c r="AK5699">
        <v>2810236861</v>
      </c>
      <c r="AL5699" t="s">
        <v>8747</v>
      </c>
      <c r="AM5699" t="s">
        <v>78</v>
      </c>
      <c r="AN5699" t="s">
        <v>78</v>
      </c>
      <c r="AO5699" t="s">
        <v>78</v>
      </c>
      <c r="AP5699" t="s">
        <v>163</v>
      </c>
      <c r="AQ5699">
        <v>1</v>
      </c>
      <c r="AR5699" t="s">
        <v>80</v>
      </c>
      <c r="AS5699" t="s">
        <v>81</v>
      </c>
      <c r="AT5699" t="s">
        <v>58</v>
      </c>
      <c r="AU5699" t="s">
        <v>68</v>
      </c>
      <c r="AV5699" t="s">
        <v>69</v>
      </c>
      <c r="AW5699" s="1">
        <v>24334</v>
      </c>
      <c r="AX5699">
        <v>1</v>
      </c>
    </row>
    <row r="5700" spans="1:50">
      <c r="A5700">
        <v>611545</v>
      </c>
      <c r="B5700" t="str">
        <f>"055369144"</f>
        <v>055369144</v>
      </c>
      <c r="C5700" t="s">
        <v>50</v>
      </c>
      <c r="D5700" t="s">
        <v>10080</v>
      </c>
      <c r="E5700" t="s">
        <v>52</v>
      </c>
      <c r="F5700" t="s">
        <v>1679</v>
      </c>
      <c r="G5700" t="s">
        <v>96</v>
      </c>
      <c r="H5700" t="str">
        <f>"Γ.ΓΕΝΝΗΜΑΤΑ 24 ΓΑΖΙ"</f>
        <v>Γ.ΓΕΝΝΗΜΑΤΑ 24 ΓΑΖΙ</v>
      </c>
      <c r="I5700">
        <v>71414</v>
      </c>
      <c r="J5700">
        <v>2811111305</v>
      </c>
      <c r="K5700">
        <v>6985070310</v>
      </c>
      <c r="N5700" t="s">
        <v>1525</v>
      </c>
      <c r="O5700" t="s">
        <v>1526</v>
      </c>
      <c r="R5700" t="s">
        <v>57</v>
      </c>
      <c r="S5700">
        <v>6</v>
      </c>
      <c r="T5700">
        <v>233</v>
      </c>
      <c r="U5700" s="1">
        <v>38960</v>
      </c>
      <c r="V5700" t="s">
        <v>80</v>
      </c>
      <c r="W5700" t="s">
        <v>81</v>
      </c>
      <c r="X5700" t="s">
        <v>58</v>
      </c>
      <c r="Y5700">
        <v>25</v>
      </c>
      <c r="Z5700" t="s">
        <v>59</v>
      </c>
      <c r="AA5700" t="s">
        <v>59</v>
      </c>
      <c r="AB5700" t="s">
        <v>59</v>
      </c>
      <c r="AC5700" t="s">
        <v>59</v>
      </c>
      <c r="AD5700" t="s">
        <v>59</v>
      </c>
      <c r="AF5700" s="1">
        <v>38961</v>
      </c>
      <c r="AG5700" t="s">
        <v>8651</v>
      </c>
      <c r="AH5700" t="s">
        <v>8652</v>
      </c>
      <c r="AI5700" t="str">
        <f>"9170457"</f>
        <v>9170457</v>
      </c>
      <c r="AJ5700" t="s">
        <v>10081</v>
      </c>
      <c r="AK5700">
        <v>2810823321</v>
      </c>
      <c r="AL5700" t="s">
        <v>10082</v>
      </c>
      <c r="AM5700" t="s">
        <v>78</v>
      </c>
      <c r="AN5700" t="s">
        <v>129</v>
      </c>
      <c r="AO5700" t="s">
        <v>130</v>
      </c>
      <c r="AP5700" t="s">
        <v>130</v>
      </c>
      <c r="AQ5700">
        <v>1</v>
      </c>
      <c r="AR5700" t="s">
        <v>80</v>
      </c>
      <c r="AS5700" t="s">
        <v>81</v>
      </c>
      <c r="AT5700" t="s">
        <v>58</v>
      </c>
      <c r="AU5700" t="s">
        <v>68</v>
      </c>
      <c r="AV5700" t="s">
        <v>69</v>
      </c>
      <c r="AW5700" s="1">
        <v>25817</v>
      </c>
      <c r="AX5700">
        <v>1</v>
      </c>
    </row>
    <row r="5701" spans="1:50">
      <c r="B5701" t="str">
        <f>"136258294"</f>
        <v>136258294</v>
      </c>
      <c r="C5701" t="s">
        <v>105</v>
      </c>
      <c r="D5701" t="s">
        <v>10083</v>
      </c>
      <c r="E5701" t="s">
        <v>106</v>
      </c>
      <c r="F5701" t="s">
        <v>166</v>
      </c>
      <c r="G5701" t="s">
        <v>215</v>
      </c>
      <c r="H5701" t="str">
        <f>"Ν ΚΑΖΑΖΗ 15 ΘΕΣΣΑΛΟΝΙΚΗ"</f>
        <v>Ν ΚΑΖΑΖΗ 15 ΘΕΣΣΑΛΟΝΙΚΗ</v>
      </c>
      <c r="I5701">
        <v>55133</v>
      </c>
      <c r="J5701">
        <v>2310431376</v>
      </c>
      <c r="K5701">
        <v>6942493353</v>
      </c>
      <c r="N5701" t="s">
        <v>204</v>
      </c>
      <c r="O5701" t="s">
        <v>205</v>
      </c>
      <c r="R5701" t="s">
        <v>159</v>
      </c>
      <c r="S5701">
        <v>5</v>
      </c>
      <c r="T5701" t="s">
        <v>8675</v>
      </c>
      <c r="U5701" s="1">
        <v>43348</v>
      </c>
      <c r="V5701" t="s">
        <v>80</v>
      </c>
      <c r="W5701" t="s">
        <v>81</v>
      </c>
      <c r="X5701" t="s">
        <v>58</v>
      </c>
      <c r="Y5701">
        <v>24</v>
      </c>
      <c r="Z5701" t="s">
        <v>59</v>
      </c>
      <c r="AA5701" t="s">
        <v>59</v>
      </c>
      <c r="AB5701" t="s">
        <v>59</v>
      </c>
      <c r="AC5701" t="s">
        <v>59</v>
      </c>
      <c r="AD5701" t="s">
        <v>59</v>
      </c>
      <c r="AF5701" s="1">
        <v>43348</v>
      </c>
      <c r="AG5701" t="s">
        <v>8645</v>
      </c>
      <c r="AH5701" t="s">
        <v>8646</v>
      </c>
      <c r="AI5701" t="str">
        <f>"9170068"</f>
        <v>9170068</v>
      </c>
      <c r="AJ5701" t="s">
        <v>8773</v>
      </c>
      <c r="AK5701">
        <v>2893031217</v>
      </c>
      <c r="AL5701" t="s">
        <v>8774</v>
      </c>
      <c r="AM5701" t="s">
        <v>78</v>
      </c>
      <c r="AN5701" t="s">
        <v>405</v>
      </c>
      <c r="AO5701" t="s">
        <v>805</v>
      </c>
      <c r="AP5701" t="s">
        <v>806</v>
      </c>
      <c r="AQ5701">
        <v>15</v>
      </c>
      <c r="AR5701" t="s">
        <v>80</v>
      </c>
      <c r="AS5701" t="s">
        <v>81</v>
      </c>
      <c r="AT5701" t="s">
        <v>58</v>
      </c>
      <c r="AU5701" t="s">
        <v>8673</v>
      </c>
      <c r="AV5701" t="s">
        <v>132</v>
      </c>
      <c r="AW5701" s="1">
        <v>28385</v>
      </c>
      <c r="AX5701">
        <v>1</v>
      </c>
    </row>
    <row r="5702" spans="1:50">
      <c r="A5702">
        <v>618424</v>
      </c>
      <c r="B5702" t="str">
        <f>"125592660"</f>
        <v>125592660</v>
      </c>
      <c r="C5702" t="s">
        <v>50</v>
      </c>
      <c r="D5702" t="s">
        <v>1937</v>
      </c>
      <c r="E5702" t="s">
        <v>237</v>
      </c>
      <c r="F5702" t="s">
        <v>377</v>
      </c>
      <c r="G5702" t="s">
        <v>52</v>
      </c>
      <c r="H5702" t="str">
        <f>"ΚΑΛΛΟΝΗ ΗΡΑΚΛΕΙΟ"</f>
        <v>ΚΑΛΛΟΝΗ ΗΡΑΚΛΕΙΟ</v>
      </c>
      <c r="I5702">
        <v>70100</v>
      </c>
      <c r="J5702">
        <v>2810741073</v>
      </c>
      <c r="K5702">
        <v>6942441970</v>
      </c>
      <c r="N5702" t="s">
        <v>615</v>
      </c>
      <c r="O5702" t="s">
        <v>616</v>
      </c>
      <c r="R5702" t="s">
        <v>57</v>
      </c>
      <c r="S5702">
        <v>5</v>
      </c>
      <c r="T5702">
        <v>774</v>
      </c>
      <c r="U5702" s="1">
        <v>39680</v>
      </c>
      <c r="V5702" t="s">
        <v>80</v>
      </c>
      <c r="W5702" t="s">
        <v>81</v>
      </c>
      <c r="X5702" t="s">
        <v>58</v>
      </c>
      <c r="Y5702">
        <v>23</v>
      </c>
      <c r="Z5702" t="s">
        <v>59</v>
      </c>
      <c r="AA5702" t="s">
        <v>59</v>
      </c>
      <c r="AB5702" t="s">
        <v>59</v>
      </c>
      <c r="AC5702" t="s">
        <v>59</v>
      </c>
      <c r="AD5702" t="s">
        <v>59</v>
      </c>
      <c r="AF5702" s="1">
        <v>39681</v>
      </c>
      <c r="AG5702" t="s">
        <v>8645</v>
      </c>
      <c r="AH5702" t="s">
        <v>8646</v>
      </c>
      <c r="AI5702" t="str">
        <f>"9170224"</f>
        <v>9170224</v>
      </c>
      <c r="AJ5702" t="s">
        <v>9212</v>
      </c>
      <c r="AK5702">
        <v>2810771214</v>
      </c>
      <c r="AL5702" t="s">
        <v>9213</v>
      </c>
      <c r="AM5702" t="s">
        <v>78</v>
      </c>
      <c r="AN5702" t="s">
        <v>219</v>
      </c>
      <c r="AO5702" t="s">
        <v>1437</v>
      </c>
      <c r="AP5702" t="s">
        <v>1437</v>
      </c>
      <c r="AQ5702">
        <v>7</v>
      </c>
      <c r="AR5702" t="s">
        <v>80</v>
      </c>
      <c r="AS5702" t="s">
        <v>81</v>
      </c>
      <c r="AT5702" t="s">
        <v>58</v>
      </c>
      <c r="AU5702" t="s">
        <v>68</v>
      </c>
      <c r="AV5702" t="s">
        <v>69</v>
      </c>
      <c r="AW5702" s="1">
        <v>31009</v>
      </c>
      <c r="AX5702">
        <v>1</v>
      </c>
    </row>
    <row r="5703" spans="1:50">
      <c r="A5703">
        <v>701976</v>
      </c>
      <c r="B5703" t="str">
        <f>"104939530"</f>
        <v>104939530</v>
      </c>
      <c r="C5703" t="s">
        <v>105</v>
      </c>
      <c r="D5703" t="s">
        <v>10084</v>
      </c>
      <c r="E5703" t="s">
        <v>106</v>
      </c>
      <c r="F5703" t="s">
        <v>311</v>
      </c>
      <c r="G5703" t="s">
        <v>52</v>
      </c>
      <c r="H5703" t="str">
        <f>"ΣΙΒΑΣ ΦΑΙΣΤΟΥ"</f>
        <v>ΣΙΒΑΣ ΦΑΙΣΤΟΥ</v>
      </c>
      <c r="I5703">
        <v>70200</v>
      </c>
      <c r="J5703">
        <v>2892042248</v>
      </c>
      <c r="K5703">
        <v>6938160167</v>
      </c>
      <c r="N5703" t="s">
        <v>615</v>
      </c>
      <c r="O5703" t="s">
        <v>616</v>
      </c>
      <c r="R5703" t="s">
        <v>57</v>
      </c>
      <c r="S5703">
        <v>5</v>
      </c>
      <c r="T5703" t="s">
        <v>10085</v>
      </c>
      <c r="U5703" s="1">
        <v>40413</v>
      </c>
      <c r="V5703" t="s">
        <v>80</v>
      </c>
      <c r="W5703" t="s">
        <v>81</v>
      </c>
      <c r="X5703" t="s">
        <v>58</v>
      </c>
      <c r="Y5703">
        <v>25</v>
      </c>
      <c r="Z5703" t="s">
        <v>59</v>
      </c>
      <c r="AA5703" t="s">
        <v>59</v>
      </c>
      <c r="AB5703" t="s">
        <v>59</v>
      </c>
      <c r="AC5703" t="s">
        <v>59</v>
      </c>
      <c r="AD5703" t="s">
        <v>59</v>
      </c>
      <c r="AF5703" s="1">
        <v>40413</v>
      </c>
      <c r="AG5703" t="s">
        <v>8645</v>
      </c>
      <c r="AH5703" t="s">
        <v>8676</v>
      </c>
      <c r="AI5703" t="str">
        <f>"9170307"</f>
        <v>9170307</v>
      </c>
      <c r="AJ5703" t="s">
        <v>10086</v>
      </c>
      <c r="AK5703">
        <v>2892042000</v>
      </c>
      <c r="AL5703" t="s">
        <v>10087</v>
      </c>
      <c r="AM5703" t="s">
        <v>78</v>
      </c>
      <c r="AN5703" t="s">
        <v>242</v>
      </c>
      <c r="AO5703" t="s">
        <v>349</v>
      </c>
      <c r="AP5703" t="s">
        <v>10088</v>
      </c>
      <c r="AQ5703">
        <v>18</v>
      </c>
      <c r="AR5703" t="s">
        <v>80</v>
      </c>
      <c r="AS5703" t="s">
        <v>81</v>
      </c>
      <c r="AT5703" t="s">
        <v>58</v>
      </c>
      <c r="AU5703" t="s">
        <v>68</v>
      </c>
      <c r="AV5703" t="s">
        <v>69</v>
      </c>
      <c r="AW5703" s="1">
        <v>31219</v>
      </c>
      <c r="AX5703">
        <v>1</v>
      </c>
    </row>
    <row r="5704" spans="1:50">
      <c r="B5704" t="str">
        <f>"144212765"</f>
        <v>144212765</v>
      </c>
      <c r="C5704" t="s">
        <v>105</v>
      </c>
      <c r="D5704" t="s">
        <v>10089</v>
      </c>
      <c r="E5704" t="s">
        <v>2933</v>
      </c>
      <c r="F5704" t="s">
        <v>609</v>
      </c>
      <c r="G5704" t="s">
        <v>181</v>
      </c>
      <c r="H5704" t="str">
        <f>"ΔΗΜΟΚΡΕΙΤΟΥ 2Β ΔΡΑΜΑ"</f>
        <v>ΔΗΜΟΚΡΕΙΤΟΥ 2Β ΔΡΑΜΑ</v>
      </c>
      <c r="I5704">
        <v>66100</v>
      </c>
      <c r="J5704">
        <v>2521047725</v>
      </c>
      <c r="K5704">
        <v>6945259175</v>
      </c>
      <c r="N5704" t="s">
        <v>615</v>
      </c>
      <c r="O5704" t="s">
        <v>616</v>
      </c>
      <c r="R5704" t="s">
        <v>159</v>
      </c>
      <c r="S5704">
        <v>5</v>
      </c>
      <c r="T5704" t="s">
        <v>8675</v>
      </c>
      <c r="U5704" s="1">
        <v>43348</v>
      </c>
      <c r="V5704" t="s">
        <v>80</v>
      </c>
      <c r="W5704" t="s">
        <v>81</v>
      </c>
      <c r="X5704" t="s">
        <v>58</v>
      </c>
      <c r="Y5704">
        <v>24</v>
      </c>
      <c r="Z5704" t="s">
        <v>59</v>
      </c>
      <c r="AA5704" t="s">
        <v>59</v>
      </c>
      <c r="AB5704" t="s">
        <v>59</v>
      </c>
      <c r="AC5704" t="s">
        <v>59</v>
      </c>
      <c r="AD5704" t="s">
        <v>59</v>
      </c>
      <c r="AF5704" s="1">
        <v>43348</v>
      </c>
      <c r="AG5704" t="s">
        <v>8645</v>
      </c>
      <c r="AH5704" t="s">
        <v>8646</v>
      </c>
      <c r="AI5704" t="str">
        <f>"9170144"</f>
        <v>9170144</v>
      </c>
      <c r="AJ5704" t="s">
        <v>8729</v>
      </c>
      <c r="AK5704">
        <v>2891022244</v>
      </c>
      <c r="AL5704" t="s">
        <v>8730</v>
      </c>
      <c r="AM5704" t="s">
        <v>78</v>
      </c>
      <c r="AN5704" t="s">
        <v>276</v>
      </c>
      <c r="AO5704" t="s">
        <v>490</v>
      </c>
      <c r="AP5704" t="s">
        <v>490</v>
      </c>
      <c r="AQ5704">
        <v>12</v>
      </c>
      <c r="AR5704" t="s">
        <v>80</v>
      </c>
      <c r="AS5704" t="s">
        <v>81</v>
      </c>
      <c r="AT5704" t="s">
        <v>58</v>
      </c>
      <c r="AU5704" t="s">
        <v>8673</v>
      </c>
      <c r="AV5704" t="s">
        <v>132</v>
      </c>
      <c r="AW5704" s="1">
        <v>31886</v>
      </c>
      <c r="AX5704">
        <v>1</v>
      </c>
    </row>
    <row r="5705" spans="1:50">
      <c r="B5705" t="str">
        <f>"110873135"</f>
        <v>110873135</v>
      </c>
      <c r="C5705" t="s">
        <v>50</v>
      </c>
      <c r="D5705" t="s">
        <v>10090</v>
      </c>
      <c r="E5705" t="s">
        <v>83</v>
      </c>
      <c r="F5705" t="s">
        <v>459</v>
      </c>
      <c r="G5705" t="s">
        <v>52</v>
      </c>
      <c r="H5705" t="str">
        <f>"ΚΟΡΑΚΑ ΚΑΙ ΟΔΗΓΗΤΡΙΑΣ ΓΩΝΙΑ ΜΟΙΡΕΣ ΗΡΑΚΛΕΙΟ ΚΡΗΤΗΣ"</f>
        <v>ΚΟΡΑΚΑ ΚΑΙ ΟΔΗΓΗΤΡΙΑΣ ΓΩΝΙΑ ΜΟΙΡΕΣ ΗΡΑΚΛΕΙΟ ΚΡΗΤΗΣ</v>
      </c>
      <c r="I5705">
        <v>70400</v>
      </c>
      <c r="J5705">
        <v>2892025140</v>
      </c>
      <c r="K5705">
        <v>6974102848</v>
      </c>
      <c r="N5705" t="s">
        <v>1525</v>
      </c>
      <c r="O5705" t="s">
        <v>1526</v>
      </c>
      <c r="R5705" t="s">
        <v>159</v>
      </c>
      <c r="S5705">
        <v>4</v>
      </c>
      <c r="T5705" t="s">
        <v>8670</v>
      </c>
      <c r="U5705" s="1">
        <v>43348</v>
      </c>
      <c r="V5705" t="s">
        <v>80</v>
      </c>
      <c r="W5705" t="s">
        <v>81</v>
      </c>
      <c r="X5705" t="s">
        <v>58</v>
      </c>
      <c r="Y5705">
        <v>25</v>
      </c>
      <c r="Z5705" t="s">
        <v>59</v>
      </c>
      <c r="AA5705" t="s">
        <v>59</v>
      </c>
      <c r="AB5705" t="s">
        <v>59</v>
      </c>
      <c r="AC5705" t="s">
        <v>59</v>
      </c>
      <c r="AD5705" t="s">
        <v>59</v>
      </c>
      <c r="AF5705" s="1">
        <v>43348</v>
      </c>
      <c r="AG5705" t="s">
        <v>8651</v>
      </c>
      <c r="AH5705" t="s">
        <v>8652</v>
      </c>
      <c r="AI5705" t="str">
        <f>"9170479"</f>
        <v>9170479</v>
      </c>
      <c r="AJ5705" t="s">
        <v>10091</v>
      </c>
      <c r="AK5705">
        <v>2892031060</v>
      </c>
      <c r="AL5705" t="s">
        <v>10092</v>
      </c>
      <c r="AM5705" t="s">
        <v>78</v>
      </c>
      <c r="AN5705" t="s">
        <v>405</v>
      </c>
      <c r="AO5705" t="s">
        <v>405</v>
      </c>
      <c r="AP5705" t="s">
        <v>9446</v>
      </c>
      <c r="AQ5705">
        <v>17</v>
      </c>
      <c r="AR5705" t="s">
        <v>80</v>
      </c>
      <c r="AS5705" t="s">
        <v>81</v>
      </c>
      <c r="AT5705" t="s">
        <v>58</v>
      </c>
      <c r="AU5705" t="s">
        <v>8673</v>
      </c>
      <c r="AV5705" t="s">
        <v>132</v>
      </c>
      <c r="AW5705" s="1">
        <v>30240</v>
      </c>
      <c r="AX5705">
        <v>1</v>
      </c>
    </row>
    <row r="5706" spans="1:50">
      <c r="B5706" t="str">
        <f>"118938335"</f>
        <v>118938335</v>
      </c>
      <c r="C5706" t="s">
        <v>50</v>
      </c>
      <c r="D5706" t="s">
        <v>10090</v>
      </c>
      <c r="E5706" t="s">
        <v>52</v>
      </c>
      <c r="F5706" t="s">
        <v>166</v>
      </c>
      <c r="G5706" t="s">
        <v>10093</v>
      </c>
      <c r="H5706" t="str">
        <f>"ΡΟΛΕΝ 19 "</f>
        <v xml:space="preserve">ΡΟΛΕΝ 19 </v>
      </c>
      <c r="I5706">
        <v>71305</v>
      </c>
      <c r="J5706">
        <v>2810288370</v>
      </c>
      <c r="K5706">
        <v>6972496916</v>
      </c>
      <c r="N5706" t="s">
        <v>615</v>
      </c>
      <c r="O5706" t="s">
        <v>616</v>
      </c>
      <c r="R5706" t="s">
        <v>159</v>
      </c>
      <c r="S5706">
        <v>6</v>
      </c>
      <c r="T5706" t="s">
        <v>8675</v>
      </c>
      <c r="U5706" s="1">
        <v>43348</v>
      </c>
      <c r="V5706" t="s">
        <v>80</v>
      </c>
      <c r="W5706" t="s">
        <v>81</v>
      </c>
      <c r="X5706" t="s">
        <v>58</v>
      </c>
      <c r="Y5706">
        <v>25</v>
      </c>
      <c r="Z5706" t="s">
        <v>59</v>
      </c>
      <c r="AA5706" t="s">
        <v>59</v>
      </c>
      <c r="AB5706" t="s">
        <v>59</v>
      </c>
      <c r="AC5706" t="s">
        <v>59</v>
      </c>
      <c r="AD5706" t="s">
        <v>59</v>
      </c>
      <c r="AF5706" s="1">
        <v>43348</v>
      </c>
      <c r="AG5706" t="s">
        <v>8645</v>
      </c>
      <c r="AH5706" t="s">
        <v>8676</v>
      </c>
      <c r="AI5706" t="str">
        <f>"9170173"</f>
        <v>9170173</v>
      </c>
      <c r="AJ5706" t="s">
        <v>10094</v>
      </c>
      <c r="AK5706">
        <v>2895041441</v>
      </c>
      <c r="AL5706" t="s">
        <v>10095</v>
      </c>
      <c r="AM5706" t="s">
        <v>78</v>
      </c>
      <c r="AN5706" t="s">
        <v>482</v>
      </c>
      <c r="AO5706" t="s">
        <v>482</v>
      </c>
      <c r="AP5706" t="s">
        <v>10096</v>
      </c>
      <c r="AQ5706">
        <v>12</v>
      </c>
      <c r="AR5706" t="s">
        <v>80</v>
      </c>
      <c r="AS5706" t="s">
        <v>81</v>
      </c>
      <c r="AT5706" t="s">
        <v>58</v>
      </c>
      <c r="AU5706" t="s">
        <v>8673</v>
      </c>
      <c r="AV5706" t="s">
        <v>132</v>
      </c>
      <c r="AW5706" s="1">
        <v>28923</v>
      </c>
      <c r="AX5706">
        <v>1</v>
      </c>
    </row>
    <row r="5707" spans="1:50">
      <c r="A5707">
        <v>613536</v>
      </c>
      <c r="B5707" t="str">
        <f>"116666932"</f>
        <v>116666932</v>
      </c>
      <c r="C5707" t="s">
        <v>50</v>
      </c>
      <c r="D5707" t="s">
        <v>1942</v>
      </c>
      <c r="E5707" t="s">
        <v>237</v>
      </c>
      <c r="F5707" t="s">
        <v>106</v>
      </c>
      <c r="G5707" t="s">
        <v>2248</v>
      </c>
      <c r="H5707" t="str">
        <f>" "</f>
        <v xml:space="preserve"> </v>
      </c>
      <c r="J5707">
        <v>2246045328</v>
      </c>
      <c r="K5707">
        <v>6945137959</v>
      </c>
      <c r="N5707" t="s">
        <v>615</v>
      </c>
      <c r="O5707" t="s">
        <v>616</v>
      </c>
      <c r="R5707" t="s">
        <v>57</v>
      </c>
      <c r="S5707">
        <v>6</v>
      </c>
      <c r="T5707">
        <v>598</v>
      </c>
      <c r="U5707" s="1">
        <v>39310</v>
      </c>
      <c r="V5707" t="s">
        <v>80</v>
      </c>
      <c r="W5707" t="s">
        <v>81</v>
      </c>
      <c r="X5707" t="s">
        <v>58</v>
      </c>
      <c r="Y5707">
        <v>23</v>
      </c>
      <c r="Z5707" t="s">
        <v>59</v>
      </c>
      <c r="AA5707" t="s">
        <v>59</v>
      </c>
      <c r="AB5707" t="s">
        <v>59</v>
      </c>
      <c r="AC5707" t="s">
        <v>59</v>
      </c>
      <c r="AD5707" t="s">
        <v>59</v>
      </c>
      <c r="AF5707" s="1">
        <v>39310</v>
      </c>
      <c r="AG5707" t="s">
        <v>8645</v>
      </c>
      <c r="AH5707" t="s">
        <v>8646</v>
      </c>
      <c r="AI5707" t="str">
        <f>"9170228"</f>
        <v>9170228</v>
      </c>
      <c r="AJ5707" t="s">
        <v>8898</v>
      </c>
      <c r="AK5707">
        <v>2891041210</v>
      </c>
      <c r="AL5707" t="s">
        <v>8899</v>
      </c>
      <c r="AM5707" t="s">
        <v>78</v>
      </c>
      <c r="AN5707" t="s">
        <v>276</v>
      </c>
      <c r="AO5707" t="s">
        <v>1936</v>
      </c>
      <c r="AP5707" t="s">
        <v>1936</v>
      </c>
      <c r="AQ5707">
        <v>13</v>
      </c>
      <c r="AR5707" t="s">
        <v>80</v>
      </c>
      <c r="AS5707" t="s">
        <v>81</v>
      </c>
      <c r="AT5707" t="s">
        <v>58</v>
      </c>
      <c r="AU5707" t="s">
        <v>68</v>
      </c>
      <c r="AV5707" t="s">
        <v>69</v>
      </c>
      <c r="AW5707" s="1">
        <v>29682</v>
      </c>
      <c r="AX5707">
        <v>1</v>
      </c>
    </row>
    <row r="5708" spans="1:50">
      <c r="A5708">
        <v>562054</v>
      </c>
      <c r="B5708" t="str">
        <f>"110108185"</f>
        <v>110108185</v>
      </c>
      <c r="C5708" t="s">
        <v>50</v>
      </c>
      <c r="D5708" t="s">
        <v>10097</v>
      </c>
      <c r="E5708" t="s">
        <v>250</v>
      </c>
      <c r="F5708" t="s">
        <v>95</v>
      </c>
      <c r="G5708" t="s">
        <v>191</v>
      </c>
      <c r="H5708" t="str">
        <f>" "</f>
        <v xml:space="preserve"> </v>
      </c>
      <c r="N5708" t="s">
        <v>615</v>
      </c>
      <c r="O5708" t="s">
        <v>616</v>
      </c>
      <c r="R5708" t="s">
        <v>57</v>
      </c>
      <c r="S5708">
        <v>16</v>
      </c>
      <c r="T5708">
        <v>187</v>
      </c>
      <c r="U5708" s="1">
        <v>32750</v>
      </c>
      <c r="V5708" t="s">
        <v>80</v>
      </c>
      <c r="W5708" t="s">
        <v>81</v>
      </c>
      <c r="X5708" t="s">
        <v>58</v>
      </c>
      <c r="Y5708">
        <v>21</v>
      </c>
      <c r="Z5708" t="s">
        <v>59</v>
      </c>
      <c r="AA5708" t="s">
        <v>59</v>
      </c>
      <c r="AB5708" t="s">
        <v>59</v>
      </c>
      <c r="AC5708" t="s">
        <v>59</v>
      </c>
      <c r="AD5708" t="s">
        <v>59</v>
      </c>
      <c r="AF5708" s="1">
        <v>32757</v>
      </c>
      <c r="AG5708" t="s">
        <v>8645</v>
      </c>
      <c r="AH5708" t="s">
        <v>8646</v>
      </c>
      <c r="AI5708" t="str">
        <f>"9170198"</f>
        <v>9170198</v>
      </c>
      <c r="AJ5708" t="s">
        <v>8665</v>
      </c>
      <c r="AK5708">
        <v>2810227379</v>
      </c>
      <c r="AL5708" t="s">
        <v>8666</v>
      </c>
      <c r="AM5708" t="s">
        <v>78</v>
      </c>
      <c r="AN5708" t="s">
        <v>78</v>
      </c>
      <c r="AO5708" t="s">
        <v>78</v>
      </c>
      <c r="AP5708" t="s">
        <v>79</v>
      </c>
      <c r="AQ5708">
        <v>1</v>
      </c>
      <c r="AR5708" t="s">
        <v>80</v>
      </c>
      <c r="AS5708" t="s">
        <v>81</v>
      </c>
      <c r="AT5708" t="s">
        <v>58</v>
      </c>
      <c r="AU5708" t="s">
        <v>68</v>
      </c>
      <c r="AV5708" t="s">
        <v>69</v>
      </c>
      <c r="AW5708" s="1">
        <v>20588</v>
      </c>
      <c r="AX5708">
        <v>1</v>
      </c>
    </row>
    <row r="5709" spans="1:50">
      <c r="A5709">
        <v>584300</v>
      </c>
      <c r="B5709" t="str">
        <f>"039588040"</f>
        <v>039588040</v>
      </c>
      <c r="C5709" t="s">
        <v>50</v>
      </c>
      <c r="D5709" t="s">
        <v>10098</v>
      </c>
      <c r="E5709" t="s">
        <v>112</v>
      </c>
      <c r="F5709" t="s">
        <v>3499</v>
      </c>
      <c r="G5709" t="s">
        <v>143</v>
      </c>
      <c r="H5709" t="str">
        <f>"ΜΝΗΣΙΚΛΗ 30 ΗΡΑΚΛΕΙΟ"</f>
        <v>ΜΝΗΣΙΚΛΗ 30 ΗΡΑΚΛΕΙΟ</v>
      </c>
      <c r="I5709">
        <v>71305</v>
      </c>
      <c r="J5709">
        <v>2810316016</v>
      </c>
      <c r="N5709" t="s">
        <v>615</v>
      </c>
      <c r="O5709" t="s">
        <v>616</v>
      </c>
      <c r="R5709" t="s">
        <v>57</v>
      </c>
      <c r="S5709">
        <v>12</v>
      </c>
      <c r="T5709">
        <v>165</v>
      </c>
      <c r="U5709" s="1">
        <v>36040</v>
      </c>
      <c r="V5709" t="s">
        <v>80</v>
      </c>
      <c r="W5709" t="s">
        <v>81</v>
      </c>
      <c r="X5709" t="s">
        <v>58</v>
      </c>
      <c r="Y5709">
        <v>21</v>
      </c>
      <c r="Z5709" t="s">
        <v>59</v>
      </c>
      <c r="AA5709" t="s">
        <v>59</v>
      </c>
      <c r="AB5709" t="s">
        <v>59</v>
      </c>
      <c r="AC5709" t="s">
        <v>59</v>
      </c>
      <c r="AD5709" t="s">
        <v>59</v>
      </c>
      <c r="AF5709" s="1">
        <v>36042</v>
      </c>
      <c r="AG5709" t="s">
        <v>8645</v>
      </c>
      <c r="AH5709" t="s">
        <v>8646</v>
      </c>
      <c r="AI5709" t="str">
        <f>"9170428"</f>
        <v>9170428</v>
      </c>
      <c r="AJ5709" t="s">
        <v>8983</v>
      </c>
      <c r="AK5709">
        <v>2810234768</v>
      </c>
      <c r="AL5709" t="s">
        <v>8984</v>
      </c>
      <c r="AM5709" t="s">
        <v>78</v>
      </c>
      <c r="AN5709" t="s">
        <v>78</v>
      </c>
      <c r="AO5709" t="s">
        <v>78</v>
      </c>
      <c r="AP5709" t="s">
        <v>79</v>
      </c>
      <c r="AQ5709">
        <v>1</v>
      </c>
      <c r="AR5709" t="s">
        <v>80</v>
      </c>
      <c r="AS5709" t="s">
        <v>81</v>
      </c>
      <c r="AT5709" t="s">
        <v>58</v>
      </c>
      <c r="AU5709" t="s">
        <v>68</v>
      </c>
      <c r="AV5709" t="s">
        <v>69</v>
      </c>
      <c r="AW5709" s="1">
        <v>24569</v>
      </c>
      <c r="AX5709">
        <v>1</v>
      </c>
    </row>
    <row r="5710" spans="1:50">
      <c r="A5710">
        <v>601905</v>
      </c>
      <c r="B5710" t="str">
        <f>"066988483"</f>
        <v>066988483</v>
      </c>
      <c r="C5710" t="s">
        <v>50</v>
      </c>
      <c r="D5710" t="s">
        <v>10099</v>
      </c>
      <c r="E5710" t="s">
        <v>809</v>
      </c>
      <c r="F5710" t="s">
        <v>95</v>
      </c>
      <c r="G5710" t="s">
        <v>476</v>
      </c>
      <c r="H5710" t="str">
        <f>"ΜΕΤΑΞΟΧΩΡΙΟΥ 2 ΗΡΑΚΛΕΙΟ"</f>
        <v>ΜΕΤΑΞΟΧΩΡΙΟΥ 2 ΗΡΑΚΛΕΙΟ</v>
      </c>
      <c r="I5710">
        <v>71304</v>
      </c>
      <c r="K5710">
        <v>6974794508</v>
      </c>
      <c r="N5710" t="s">
        <v>615</v>
      </c>
      <c r="O5710" t="s">
        <v>616</v>
      </c>
      <c r="R5710" t="s">
        <v>57</v>
      </c>
      <c r="S5710">
        <v>7</v>
      </c>
      <c r="T5710">
        <v>207</v>
      </c>
      <c r="U5710" s="1">
        <v>37866</v>
      </c>
      <c r="V5710" t="s">
        <v>80</v>
      </c>
      <c r="W5710" t="s">
        <v>81</v>
      </c>
      <c r="X5710" t="s">
        <v>58</v>
      </c>
      <c r="Y5710">
        <v>22</v>
      </c>
      <c r="Z5710" t="s">
        <v>59</v>
      </c>
      <c r="AA5710" t="s">
        <v>59</v>
      </c>
      <c r="AB5710" t="s">
        <v>59</v>
      </c>
      <c r="AC5710" t="s">
        <v>59</v>
      </c>
      <c r="AD5710" t="s">
        <v>59</v>
      </c>
      <c r="AF5710" s="1">
        <v>37868</v>
      </c>
      <c r="AG5710" t="s">
        <v>8645</v>
      </c>
      <c r="AH5710" t="s">
        <v>8646</v>
      </c>
      <c r="AI5710" t="str">
        <f>"9170254"</f>
        <v>9170254</v>
      </c>
      <c r="AJ5710" t="s">
        <v>9839</v>
      </c>
      <c r="AK5710">
        <v>2810245069</v>
      </c>
      <c r="AL5710" t="s">
        <v>9840</v>
      </c>
      <c r="AM5710" t="s">
        <v>78</v>
      </c>
      <c r="AN5710" t="s">
        <v>78</v>
      </c>
      <c r="AO5710" t="s">
        <v>78</v>
      </c>
      <c r="AP5710" t="s">
        <v>213</v>
      </c>
      <c r="AQ5710">
        <v>1</v>
      </c>
      <c r="AR5710" t="s">
        <v>80</v>
      </c>
      <c r="AS5710" t="s">
        <v>81</v>
      </c>
      <c r="AT5710" t="s">
        <v>58</v>
      </c>
      <c r="AU5710" t="s">
        <v>68</v>
      </c>
      <c r="AV5710" t="s">
        <v>69</v>
      </c>
      <c r="AW5710" s="1">
        <v>29578</v>
      </c>
      <c r="AX5710">
        <v>1</v>
      </c>
    </row>
    <row r="5711" spans="1:50">
      <c r="B5711" t="str">
        <f>"140074570"</f>
        <v>140074570</v>
      </c>
      <c r="C5711" t="s">
        <v>50</v>
      </c>
      <c r="D5711" t="s">
        <v>10100</v>
      </c>
      <c r="E5711" t="s">
        <v>1186</v>
      </c>
      <c r="F5711" t="s">
        <v>900</v>
      </c>
      <c r="G5711" t="s">
        <v>143</v>
      </c>
      <c r="H5711" t="str">
        <f>"ΠΑΥΛΟΥ ΜΕΛΑ 65 "</f>
        <v xml:space="preserve">ΠΑΥΛΟΥ ΜΕΛΑ 65 </v>
      </c>
      <c r="I5711">
        <v>50100</v>
      </c>
      <c r="J5711">
        <v>2461024457</v>
      </c>
      <c r="K5711">
        <v>6956945014</v>
      </c>
      <c r="N5711" t="s">
        <v>615</v>
      </c>
      <c r="O5711" t="s">
        <v>616</v>
      </c>
      <c r="R5711" t="s">
        <v>159</v>
      </c>
      <c r="S5711">
        <v>3</v>
      </c>
      <c r="T5711" t="s">
        <v>8675</v>
      </c>
      <c r="U5711" s="1">
        <v>43348</v>
      </c>
      <c r="V5711" t="s">
        <v>80</v>
      </c>
      <c r="W5711" t="s">
        <v>81</v>
      </c>
      <c r="X5711" t="s">
        <v>58</v>
      </c>
      <c r="Y5711">
        <v>24</v>
      </c>
      <c r="Z5711" t="s">
        <v>59</v>
      </c>
      <c r="AA5711" t="s">
        <v>59</v>
      </c>
      <c r="AB5711" t="s">
        <v>59</v>
      </c>
      <c r="AC5711" t="s">
        <v>59</v>
      </c>
      <c r="AD5711" t="s">
        <v>59</v>
      </c>
      <c r="AF5711" s="1">
        <v>43348</v>
      </c>
      <c r="AG5711" t="s">
        <v>8645</v>
      </c>
      <c r="AH5711" t="s">
        <v>8646</v>
      </c>
      <c r="AI5711" t="str">
        <f>"9170039"</f>
        <v>9170039</v>
      </c>
      <c r="AJ5711" t="s">
        <v>8804</v>
      </c>
      <c r="AK5711">
        <v>2894022231</v>
      </c>
      <c r="AL5711" t="s">
        <v>8805</v>
      </c>
      <c r="AM5711" t="s">
        <v>78</v>
      </c>
      <c r="AN5711" t="s">
        <v>405</v>
      </c>
      <c r="AO5711" t="s">
        <v>406</v>
      </c>
      <c r="AP5711" t="s">
        <v>406</v>
      </c>
      <c r="AQ5711">
        <v>6</v>
      </c>
      <c r="AR5711" t="s">
        <v>80</v>
      </c>
      <c r="AS5711" t="s">
        <v>81</v>
      </c>
      <c r="AT5711" t="s">
        <v>58</v>
      </c>
      <c r="AU5711" t="s">
        <v>8673</v>
      </c>
      <c r="AV5711" t="s">
        <v>132</v>
      </c>
      <c r="AW5711" s="1">
        <v>32178</v>
      </c>
      <c r="AX5711">
        <v>1</v>
      </c>
    </row>
    <row r="5712" spans="1:50">
      <c r="A5712">
        <v>618201</v>
      </c>
      <c r="B5712" t="str">
        <f>"125645450"</f>
        <v>125645450</v>
      </c>
      <c r="C5712" t="s">
        <v>50</v>
      </c>
      <c r="D5712" t="s">
        <v>10101</v>
      </c>
      <c r="E5712" t="s">
        <v>155</v>
      </c>
      <c r="F5712" t="s">
        <v>95</v>
      </c>
      <c r="G5712" t="s">
        <v>2945</v>
      </c>
      <c r="H5712" t="str">
        <f>"Φ.ΚΑΖΑΚΟΥ 34 ΜΑΪΣΤΡΟΣ-ΑΛΕΞ/ΠΟΛΗ"</f>
        <v>Φ.ΚΑΖΑΚΟΥ 34 ΜΑΪΣΤΡΟΣ-ΑΛΕΞ/ΠΟΛΗ</v>
      </c>
      <c r="I5712">
        <v>68100</v>
      </c>
      <c r="J5712">
        <v>2892023860</v>
      </c>
      <c r="K5712">
        <v>6972691422</v>
      </c>
      <c r="L5712">
        <v>6972691422</v>
      </c>
      <c r="M5712" t="s">
        <v>10102</v>
      </c>
      <c r="N5712" t="s">
        <v>615</v>
      </c>
      <c r="O5712" t="s">
        <v>616</v>
      </c>
      <c r="R5712" t="s">
        <v>57</v>
      </c>
      <c r="S5712">
        <v>5</v>
      </c>
      <c r="T5712">
        <v>774</v>
      </c>
      <c r="U5712" s="1">
        <v>39680</v>
      </c>
      <c r="V5712" t="s">
        <v>80</v>
      </c>
      <c r="W5712" t="s">
        <v>81</v>
      </c>
      <c r="X5712" t="s">
        <v>58</v>
      </c>
      <c r="Y5712">
        <v>23</v>
      </c>
      <c r="Z5712" t="s">
        <v>59</v>
      </c>
      <c r="AA5712" t="s">
        <v>59</v>
      </c>
      <c r="AB5712" t="s">
        <v>59</v>
      </c>
      <c r="AC5712" t="s">
        <v>59</v>
      </c>
      <c r="AD5712" t="s">
        <v>59</v>
      </c>
      <c r="AF5712" s="1">
        <v>39681</v>
      </c>
      <c r="AG5712" t="s">
        <v>8645</v>
      </c>
      <c r="AH5712" t="s">
        <v>8646</v>
      </c>
      <c r="AI5712" t="str">
        <f>"9170267"</f>
        <v>9170267</v>
      </c>
      <c r="AJ5712" t="s">
        <v>8840</v>
      </c>
      <c r="AK5712">
        <v>2892022320</v>
      </c>
      <c r="AL5712" t="s">
        <v>8841</v>
      </c>
      <c r="AM5712" t="s">
        <v>78</v>
      </c>
      <c r="AN5712" t="s">
        <v>242</v>
      </c>
      <c r="AO5712" t="s">
        <v>243</v>
      </c>
      <c r="AP5712" t="s">
        <v>243</v>
      </c>
      <c r="AQ5712">
        <v>20</v>
      </c>
      <c r="AR5712" t="s">
        <v>80</v>
      </c>
      <c r="AS5712" t="s">
        <v>81</v>
      </c>
      <c r="AT5712" t="s">
        <v>58</v>
      </c>
      <c r="AU5712" t="s">
        <v>68</v>
      </c>
      <c r="AV5712" t="s">
        <v>69</v>
      </c>
      <c r="AW5712" s="1">
        <v>30953</v>
      </c>
      <c r="AX5712">
        <v>1</v>
      </c>
    </row>
    <row r="5713" spans="1:50">
      <c r="A5713">
        <v>591855</v>
      </c>
      <c r="B5713" t="str">
        <f>"062520987"</f>
        <v>062520987</v>
      </c>
      <c r="C5713" t="s">
        <v>50</v>
      </c>
      <c r="D5713" t="s">
        <v>10103</v>
      </c>
      <c r="E5713" t="s">
        <v>52</v>
      </c>
      <c r="F5713" t="s">
        <v>99</v>
      </c>
      <c r="G5713" t="s">
        <v>566</v>
      </c>
      <c r="H5713" t="str">
        <f>"ΜΑΓΝΗΣΙΑΣ 6 ΗΡΑΚΛΕΙΟ"</f>
        <v>ΜΑΓΝΗΣΙΑΣ 6 ΗΡΑΚΛΕΙΟ</v>
      </c>
      <c r="I5713">
        <v>71305</v>
      </c>
      <c r="J5713">
        <v>2810312583</v>
      </c>
      <c r="K5713">
        <v>6944190711</v>
      </c>
      <c r="M5713" t="s">
        <v>10104</v>
      </c>
      <c r="N5713" t="s">
        <v>1525</v>
      </c>
      <c r="O5713" t="s">
        <v>1526</v>
      </c>
      <c r="R5713" t="s">
        <v>57</v>
      </c>
      <c r="S5713">
        <v>12</v>
      </c>
      <c r="T5713">
        <v>249</v>
      </c>
      <c r="U5713" s="1">
        <v>36769</v>
      </c>
      <c r="V5713" t="s">
        <v>80</v>
      </c>
      <c r="W5713" t="s">
        <v>81</v>
      </c>
      <c r="X5713" t="s">
        <v>58</v>
      </c>
      <c r="Y5713">
        <v>25</v>
      </c>
      <c r="Z5713" t="s">
        <v>59</v>
      </c>
      <c r="AA5713" t="s">
        <v>59</v>
      </c>
      <c r="AB5713" t="s">
        <v>59</v>
      </c>
      <c r="AC5713" t="s">
        <v>59</v>
      </c>
      <c r="AD5713" t="s">
        <v>59</v>
      </c>
      <c r="AF5713" s="1">
        <v>36770</v>
      </c>
      <c r="AG5713" t="s">
        <v>8651</v>
      </c>
      <c r="AH5713" t="s">
        <v>8652</v>
      </c>
      <c r="AI5713" t="str">
        <f>"9521246"</f>
        <v>9521246</v>
      </c>
      <c r="AJ5713" t="s">
        <v>9602</v>
      </c>
      <c r="AK5713">
        <v>2810311269</v>
      </c>
      <c r="AL5713" t="s">
        <v>9603</v>
      </c>
      <c r="AM5713" t="s">
        <v>78</v>
      </c>
      <c r="AN5713" t="s">
        <v>78</v>
      </c>
      <c r="AO5713" t="s">
        <v>78</v>
      </c>
      <c r="AP5713" t="s">
        <v>163</v>
      </c>
      <c r="AQ5713">
        <v>1</v>
      </c>
      <c r="AR5713" t="s">
        <v>80</v>
      </c>
      <c r="AS5713" t="s">
        <v>81</v>
      </c>
      <c r="AT5713" t="s">
        <v>58</v>
      </c>
      <c r="AU5713" t="s">
        <v>68</v>
      </c>
      <c r="AV5713" t="s">
        <v>69</v>
      </c>
      <c r="AW5713" s="1">
        <v>24736</v>
      </c>
      <c r="AX5713">
        <v>1</v>
      </c>
    </row>
    <row r="5714" spans="1:50">
      <c r="A5714">
        <v>612668</v>
      </c>
      <c r="B5714" t="str">
        <f>"045837839"</f>
        <v>045837839</v>
      </c>
      <c r="C5714" t="s">
        <v>105</v>
      </c>
      <c r="D5714" t="s">
        <v>1952</v>
      </c>
      <c r="E5714" t="s">
        <v>106</v>
      </c>
      <c r="F5714" t="s">
        <v>53</v>
      </c>
      <c r="G5714" t="s">
        <v>845</v>
      </c>
      <c r="H5714" t="str">
        <f>"ΠΙΤΣΙΔΙΑ ΗΡΑΚΛΕΙΟ"</f>
        <v>ΠΙΤΣΙΔΙΑ ΗΡΑΚΛΕΙΟ</v>
      </c>
      <c r="I5714">
        <v>70200</v>
      </c>
      <c r="J5714">
        <v>2892022327</v>
      </c>
      <c r="K5714">
        <v>6936169707</v>
      </c>
      <c r="L5714">
        <v>2892045014</v>
      </c>
      <c r="N5714" t="s">
        <v>176</v>
      </c>
      <c r="O5714" t="s">
        <v>177</v>
      </c>
      <c r="R5714" t="s">
        <v>57</v>
      </c>
      <c r="S5714">
        <v>8</v>
      </c>
      <c r="T5714">
        <v>234</v>
      </c>
      <c r="U5714" s="1">
        <v>38960</v>
      </c>
      <c r="V5714" t="s">
        <v>80</v>
      </c>
      <c r="W5714" t="s">
        <v>81</v>
      </c>
      <c r="X5714" t="s">
        <v>58</v>
      </c>
      <c r="Y5714">
        <v>22</v>
      </c>
      <c r="Z5714" t="s">
        <v>59</v>
      </c>
      <c r="AA5714" t="s">
        <v>59</v>
      </c>
      <c r="AB5714" t="s">
        <v>59</v>
      </c>
      <c r="AC5714" t="s">
        <v>59</v>
      </c>
      <c r="AD5714" t="s">
        <v>59</v>
      </c>
      <c r="AF5714" s="1">
        <v>38961</v>
      </c>
      <c r="AG5714" t="s">
        <v>8645</v>
      </c>
      <c r="AH5714" t="s">
        <v>8646</v>
      </c>
      <c r="AI5714" t="str">
        <f>"9170270"</f>
        <v>9170270</v>
      </c>
      <c r="AJ5714" t="s">
        <v>9347</v>
      </c>
      <c r="AK5714">
        <v>2892031245</v>
      </c>
      <c r="AL5714" t="s">
        <v>9348</v>
      </c>
      <c r="AM5714" t="s">
        <v>78</v>
      </c>
      <c r="AN5714" t="s">
        <v>405</v>
      </c>
      <c r="AO5714" t="s">
        <v>405</v>
      </c>
      <c r="AP5714" t="s">
        <v>464</v>
      </c>
      <c r="AQ5714">
        <v>17</v>
      </c>
      <c r="AR5714" t="s">
        <v>80</v>
      </c>
      <c r="AS5714" t="s">
        <v>81</v>
      </c>
      <c r="AT5714" t="s">
        <v>58</v>
      </c>
      <c r="AU5714" t="s">
        <v>68</v>
      </c>
      <c r="AV5714" t="s">
        <v>69</v>
      </c>
      <c r="AW5714" s="1">
        <v>25046</v>
      </c>
      <c r="AX5714">
        <v>1</v>
      </c>
    </row>
    <row r="5715" spans="1:50">
      <c r="A5715">
        <v>588398</v>
      </c>
      <c r="B5715" t="str">
        <f>"050949623"</f>
        <v>050949623</v>
      </c>
      <c r="C5715" t="s">
        <v>105</v>
      </c>
      <c r="D5715" t="s">
        <v>10105</v>
      </c>
      <c r="E5715" t="s">
        <v>1023</v>
      </c>
      <c r="F5715" t="s">
        <v>84</v>
      </c>
      <c r="G5715" t="s">
        <v>755</v>
      </c>
      <c r="H5715" t="str">
        <f>"ΕΥΣΤΡΑΤΙΟΥ ΦΩΤΑΚΗ 14 ΗΡΑΚΛΕΙΟ"</f>
        <v>ΕΥΣΤΡΑΤΙΟΥ ΦΩΤΑΚΗ 14 ΗΡΑΚΛΕΙΟ</v>
      </c>
      <c r="I5715">
        <v>71409</v>
      </c>
      <c r="J5715">
        <v>2810213995</v>
      </c>
      <c r="K5715">
        <v>6944758511</v>
      </c>
      <c r="N5715" t="s">
        <v>615</v>
      </c>
      <c r="O5715" t="s">
        <v>616</v>
      </c>
      <c r="R5715" t="s">
        <v>57</v>
      </c>
      <c r="S5715">
        <v>9</v>
      </c>
      <c r="T5715">
        <v>176</v>
      </c>
      <c r="U5715" s="1">
        <v>36403</v>
      </c>
      <c r="V5715" t="s">
        <v>80</v>
      </c>
      <c r="W5715" t="s">
        <v>81</v>
      </c>
      <c r="X5715" t="s">
        <v>58</v>
      </c>
      <c r="Y5715">
        <v>22</v>
      </c>
      <c r="Z5715" t="s">
        <v>59</v>
      </c>
      <c r="AA5715" t="s">
        <v>59</v>
      </c>
      <c r="AB5715" t="s">
        <v>59</v>
      </c>
      <c r="AC5715" t="s">
        <v>59</v>
      </c>
      <c r="AD5715" t="s">
        <v>59</v>
      </c>
      <c r="AF5715" s="1">
        <v>36405</v>
      </c>
      <c r="AG5715" t="s">
        <v>8645</v>
      </c>
      <c r="AH5715" t="s">
        <v>8646</v>
      </c>
      <c r="AI5715" t="str">
        <f>"9170428"</f>
        <v>9170428</v>
      </c>
      <c r="AJ5715" t="s">
        <v>8983</v>
      </c>
      <c r="AK5715">
        <v>2810234768</v>
      </c>
      <c r="AL5715" t="s">
        <v>8984</v>
      </c>
      <c r="AM5715" t="s">
        <v>78</v>
      </c>
      <c r="AN5715" t="s">
        <v>78</v>
      </c>
      <c r="AO5715" t="s">
        <v>78</v>
      </c>
      <c r="AP5715" t="s">
        <v>79</v>
      </c>
      <c r="AQ5715">
        <v>1</v>
      </c>
      <c r="AR5715" t="s">
        <v>80</v>
      </c>
      <c r="AS5715" t="s">
        <v>81</v>
      </c>
      <c r="AT5715" t="s">
        <v>58</v>
      </c>
      <c r="AU5715" t="s">
        <v>68</v>
      </c>
      <c r="AV5715" t="s">
        <v>69</v>
      </c>
      <c r="AW5715" s="1">
        <v>24785</v>
      </c>
      <c r="AX5715">
        <v>1</v>
      </c>
    </row>
    <row r="5716" spans="1:50">
      <c r="B5716" t="str">
        <f>"104944238"</f>
        <v>104944238</v>
      </c>
      <c r="C5716" t="s">
        <v>50</v>
      </c>
      <c r="D5716" t="s">
        <v>10106</v>
      </c>
      <c r="E5716" t="s">
        <v>10107</v>
      </c>
      <c r="F5716" t="s">
        <v>95</v>
      </c>
      <c r="G5716" t="s">
        <v>237</v>
      </c>
      <c r="H5716" t="str">
        <f>"ΤΥΜΠΑΚΙ ΗΡΑΚΛΕΙΟΥ "</f>
        <v xml:space="preserve">ΤΥΜΠΑΚΙ ΗΡΑΚΛΕΙΟΥ </v>
      </c>
      <c r="I5716">
        <v>70200</v>
      </c>
      <c r="J5716">
        <v>2892051909</v>
      </c>
      <c r="K5716">
        <v>6972899690</v>
      </c>
      <c r="N5716" t="s">
        <v>615</v>
      </c>
      <c r="O5716" t="s">
        <v>616</v>
      </c>
      <c r="R5716" t="s">
        <v>159</v>
      </c>
      <c r="S5716">
        <v>2</v>
      </c>
      <c r="T5716" t="s">
        <v>8675</v>
      </c>
      <c r="U5716" s="1">
        <v>43348</v>
      </c>
      <c r="V5716" t="s">
        <v>80</v>
      </c>
      <c r="W5716" t="s">
        <v>81</v>
      </c>
      <c r="X5716" t="s">
        <v>58</v>
      </c>
      <c r="Y5716">
        <v>24</v>
      </c>
      <c r="Z5716" t="s">
        <v>59</v>
      </c>
      <c r="AA5716" t="s">
        <v>59</v>
      </c>
      <c r="AB5716" t="s">
        <v>59</v>
      </c>
      <c r="AC5716" t="s">
        <v>59</v>
      </c>
      <c r="AD5716" t="s">
        <v>59</v>
      </c>
      <c r="AF5716" s="1">
        <v>43348</v>
      </c>
      <c r="AG5716" t="s">
        <v>8645</v>
      </c>
      <c r="AH5716" t="s">
        <v>8646</v>
      </c>
      <c r="AI5716" t="str">
        <f>"9170339"</f>
        <v>9170339</v>
      </c>
      <c r="AJ5716" t="s">
        <v>9500</v>
      </c>
      <c r="AK5716">
        <v>2892051391</v>
      </c>
      <c r="AL5716" t="s">
        <v>9501</v>
      </c>
      <c r="AM5716" t="s">
        <v>78</v>
      </c>
      <c r="AN5716" t="s">
        <v>242</v>
      </c>
      <c r="AO5716" t="s">
        <v>349</v>
      </c>
      <c r="AP5716" t="s">
        <v>349</v>
      </c>
      <c r="AQ5716">
        <v>19</v>
      </c>
      <c r="AR5716" t="s">
        <v>80</v>
      </c>
      <c r="AS5716" t="s">
        <v>81</v>
      </c>
      <c r="AT5716" t="s">
        <v>58</v>
      </c>
      <c r="AU5716" t="s">
        <v>8673</v>
      </c>
      <c r="AV5716" t="s">
        <v>132</v>
      </c>
      <c r="AW5716" s="1">
        <v>32463</v>
      </c>
      <c r="AX5716">
        <v>1</v>
      </c>
    </row>
    <row r="5717" spans="1:50">
      <c r="B5717" t="str">
        <f>"151487806"</f>
        <v>151487806</v>
      </c>
      <c r="C5717" t="s">
        <v>50</v>
      </c>
      <c r="D5717" t="s">
        <v>10108</v>
      </c>
      <c r="E5717" t="s">
        <v>114</v>
      </c>
      <c r="F5717" t="s">
        <v>72</v>
      </c>
      <c r="G5717" t="s">
        <v>352</v>
      </c>
      <c r="H5717" t="str">
        <f>" "</f>
        <v xml:space="preserve"> </v>
      </c>
      <c r="K5717">
        <v>6970658172</v>
      </c>
      <c r="N5717" t="s">
        <v>8694</v>
      </c>
      <c r="O5717" t="s">
        <v>8695</v>
      </c>
      <c r="R5717" t="s">
        <v>159</v>
      </c>
      <c r="S5717">
        <v>3</v>
      </c>
      <c r="T5717" t="s">
        <v>8696</v>
      </c>
      <c r="U5717" s="1">
        <v>43348</v>
      </c>
      <c r="V5717" t="s">
        <v>80</v>
      </c>
      <c r="W5717" t="s">
        <v>81</v>
      </c>
      <c r="X5717" t="s">
        <v>58</v>
      </c>
      <c r="Y5717">
        <v>24</v>
      </c>
      <c r="Z5717" t="s">
        <v>59</v>
      </c>
      <c r="AA5717" t="s">
        <v>59</v>
      </c>
      <c r="AB5717" t="s">
        <v>59</v>
      </c>
      <c r="AD5717" t="s">
        <v>59</v>
      </c>
      <c r="AF5717" s="1">
        <v>43348</v>
      </c>
      <c r="AG5717" t="s">
        <v>8645</v>
      </c>
      <c r="AH5717" t="s">
        <v>8646</v>
      </c>
      <c r="AI5717" t="str">
        <f>"9170532"</f>
        <v>9170532</v>
      </c>
      <c r="AJ5717" t="s">
        <v>8945</v>
      </c>
      <c r="AK5717">
        <v>2810250330</v>
      </c>
      <c r="AL5717" t="s">
        <v>8946</v>
      </c>
      <c r="AM5717" t="s">
        <v>78</v>
      </c>
      <c r="AN5717" t="s">
        <v>78</v>
      </c>
      <c r="AO5717" t="s">
        <v>78</v>
      </c>
      <c r="AP5717" t="s">
        <v>141</v>
      </c>
      <c r="AQ5717">
        <v>1</v>
      </c>
      <c r="AR5717" t="s">
        <v>80</v>
      </c>
      <c r="AS5717" t="s">
        <v>81</v>
      </c>
      <c r="AT5717" t="s">
        <v>58</v>
      </c>
      <c r="AU5717" t="s">
        <v>350</v>
      </c>
      <c r="AV5717" t="s">
        <v>132</v>
      </c>
      <c r="AW5717" s="1">
        <v>33881</v>
      </c>
      <c r="AX5717">
        <v>1</v>
      </c>
    </row>
    <row r="5718" spans="1:50">
      <c r="B5718" t="str">
        <f>"148618885"</f>
        <v>148618885</v>
      </c>
      <c r="C5718" t="s">
        <v>50</v>
      </c>
      <c r="D5718" t="s">
        <v>10109</v>
      </c>
      <c r="E5718" t="s">
        <v>10110</v>
      </c>
      <c r="F5718" t="s">
        <v>383</v>
      </c>
      <c r="G5718" t="s">
        <v>155</v>
      </c>
      <c r="H5718" t="str">
        <f>"ΜΕΓ. ΑΛΕΞΑΝΔΡΟΥ 19 ΑΜΠΕΛΟΚΗΠΟΙ ΘΕΣΣΑΛΟΝΙΚΗΣ"</f>
        <v>ΜΕΓ. ΑΛΕΞΑΝΔΡΟΥ 19 ΑΜΠΕΛΟΚΗΠΟΙ ΘΕΣΣΑΛΟΝΙΚΗΣ</v>
      </c>
      <c r="I5718">
        <v>56121</v>
      </c>
      <c r="J5718">
        <v>2310721008</v>
      </c>
      <c r="K5718">
        <v>6945730053</v>
      </c>
      <c r="N5718" t="s">
        <v>615</v>
      </c>
      <c r="O5718" t="s">
        <v>616</v>
      </c>
      <c r="R5718" t="s">
        <v>159</v>
      </c>
      <c r="S5718">
        <v>2</v>
      </c>
      <c r="T5718" t="s">
        <v>8675</v>
      </c>
      <c r="U5718" s="1">
        <v>43348</v>
      </c>
      <c r="V5718" t="s">
        <v>80</v>
      </c>
      <c r="W5718" t="s">
        <v>81</v>
      </c>
      <c r="X5718" t="s">
        <v>58</v>
      </c>
      <c r="Y5718">
        <v>25</v>
      </c>
      <c r="Z5718" t="s">
        <v>59</v>
      </c>
      <c r="AA5718" t="s">
        <v>59</v>
      </c>
      <c r="AB5718" t="s">
        <v>59</v>
      </c>
      <c r="AC5718" t="s">
        <v>59</v>
      </c>
      <c r="AD5718" t="s">
        <v>59</v>
      </c>
      <c r="AF5718" s="1">
        <v>43348</v>
      </c>
      <c r="AG5718" t="s">
        <v>8645</v>
      </c>
      <c r="AH5718" t="s">
        <v>8676</v>
      </c>
      <c r="AI5718" t="str">
        <f>"9170123"</f>
        <v>9170123</v>
      </c>
      <c r="AJ5718" t="s">
        <v>10111</v>
      </c>
      <c r="AK5718">
        <v>2810871160</v>
      </c>
      <c r="AL5718" t="s">
        <v>10112</v>
      </c>
      <c r="AM5718" t="s">
        <v>78</v>
      </c>
      <c r="AN5718" t="s">
        <v>78</v>
      </c>
      <c r="AO5718" t="s">
        <v>437</v>
      </c>
      <c r="AP5718" t="s">
        <v>10113</v>
      </c>
      <c r="AQ5718">
        <v>5</v>
      </c>
      <c r="AR5718" t="s">
        <v>80</v>
      </c>
      <c r="AS5718" t="s">
        <v>81</v>
      </c>
      <c r="AT5718" t="s">
        <v>58</v>
      </c>
      <c r="AU5718" t="s">
        <v>8673</v>
      </c>
      <c r="AV5718" t="s">
        <v>132</v>
      </c>
      <c r="AW5718" s="1">
        <v>32492</v>
      </c>
      <c r="AX5718">
        <v>1</v>
      </c>
    </row>
    <row r="5719" spans="1:50">
      <c r="B5719" t="str">
        <f>"134570179"</f>
        <v>134570179</v>
      </c>
      <c r="C5719" t="s">
        <v>105</v>
      </c>
      <c r="D5719" t="s">
        <v>10114</v>
      </c>
      <c r="E5719" t="s">
        <v>99</v>
      </c>
      <c r="F5719" t="s">
        <v>989</v>
      </c>
      <c r="G5719" t="s">
        <v>1694</v>
      </c>
      <c r="H5719" t="str">
        <f>"ΠΑΡ. ΡΑΙΔΕΣΤΟΥ 46 "</f>
        <v xml:space="preserve">ΠΑΡ. ΡΑΙΔΕΣΤΟΥ 46 </v>
      </c>
      <c r="I5719">
        <v>66100</v>
      </c>
      <c r="J5719">
        <v>2521020425</v>
      </c>
      <c r="K5719">
        <v>6976443502</v>
      </c>
      <c r="N5719" t="s">
        <v>8694</v>
      </c>
      <c r="O5719" t="s">
        <v>8695</v>
      </c>
      <c r="R5719" t="s">
        <v>159</v>
      </c>
      <c r="S5719">
        <v>3</v>
      </c>
      <c r="T5719" t="s">
        <v>8696</v>
      </c>
      <c r="U5719" s="1">
        <v>43348</v>
      </c>
      <c r="V5719" t="s">
        <v>80</v>
      </c>
      <c r="W5719" t="s">
        <v>81</v>
      </c>
      <c r="X5719" t="s">
        <v>58</v>
      </c>
      <c r="Y5719">
        <v>24</v>
      </c>
      <c r="Z5719" t="s">
        <v>59</v>
      </c>
      <c r="AA5719" t="s">
        <v>59</v>
      </c>
      <c r="AB5719" t="s">
        <v>59</v>
      </c>
      <c r="AC5719" t="s">
        <v>59</v>
      </c>
      <c r="AD5719" t="s">
        <v>59</v>
      </c>
      <c r="AF5719" s="1">
        <v>43348</v>
      </c>
      <c r="AG5719" t="s">
        <v>8645</v>
      </c>
      <c r="AH5719" t="s">
        <v>8697</v>
      </c>
      <c r="AI5719" t="str">
        <f>"9170511"</f>
        <v>9170511</v>
      </c>
      <c r="AJ5719" t="s">
        <v>8698</v>
      </c>
      <c r="AK5719">
        <v>2810316275</v>
      </c>
      <c r="AL5719" t="s">
        <v>8699</v>
      </c>
      <c r="AM5719" t="s">
        <v>78</v>
      </c>
      <c r="AN5719" t="s">
        <v>78</v>
      </c>
      <c r="AO5719" t="s">
        <v>78</v>
      </c>
      <c r="AP5719" t="s">
        <v>141</v>
      </c>
      <c r="AQ5719">
        <v>1</v>
      </c>
      <c r="AR5719" t="s">
        <v>80</v>
      </c>
      <c r="AS5719" t="s">
        <v>81</v>
      </c>
      <c r="AT5719" t="s">
        <v>58</v>
      </c>
      <c r="AU5719" t="s">
        <v>350</v>
      </c>
      <c r="AV5719" t="s">
        <v>132</v>
      </c>
      <c r="AW5719" s="1">
        <v>32007</v>
      </c>
      <c r="AX5719">
        <v>1</v>
      </c>
    </row>
    <row r="5720" spans="1:50">
      <c r="B5720" t="str">
        <f>"154721137"</f>
        <v>154721137</v>
      </c>
      <c r="C5720" t="s">
        <v>50</v>
      </c>
      <c r="D5720" t="s">
        <v>10115</v>
      </c>
      <c r="E5720" t="s">
        <v>221</v>
      </c>
      <c r="F5720" t="s">
        <v>95</v>
      </c>
      <c r="G5720" t="s">
        <v>396</v>
      </c>
      <c r="H5720" t="str">
        <f>" "</f>
        <v xml:space="preserve"> </v>
      </c>
      <c r="K5720">
        <v>6978140066</v>
      </c>
      <c r="M5720" t="s">
        <v>10116</v>
      </c>
      <c r="N5720" t="s">
        <v>8834</v>
      </c>
      <c r="O5720" t="s">
        <v>8695</v>
      </c>
      <c r="R5720" t="s">
        <v>159</v>
      </c>
      <c r="S5720">
        <v>3</v>
      </c>
      <c r="T5720" t="s">
        <v>8835</v>
      </c>
      <c r="U5720" s="1">
        <v>43348</v>
      </c>
      <c r="V5720" t="s">
        <v>80</v>
      </c>
      <c r="W5720" t="s">
        <v>81</v>
      </c>
      <c r="X5720" t="s">
        <v>58</v>
      </c>
      <c r="Y5720">
        <v>24</v>
      </c>
      <c r="Z5720" t="s">
        <v>59</v>
      </c>
      <c r="AA5720" t="s">
        <v>59</v>
      </c>
      <c r="AB5720" t="s">
        <v>59</v>
      </c>
      <c r="AD5720" t="s">
        <v>59</v>
      </c>
      <c r="AF5720" s="1">
        <v>43348</v>
      </c>
      <c r="AG5720" t="s">
        <v>8645</v>
      </c>
      <c r="AH5720" t="s">
        <v>8646</v>
      </c>
      <c r="AI5720" t="str">
        <f>"9170423"</f>
        <v>9170423</v>
      </c>
      <c r="AJ5720" t="s">
        <v>8808</v>
      </c>
      <c r="AK5720">
        <v>2810239612</v>
      </c>
      <c r="AL5720" t="s">
        <v>8809</v>
      </c>
      <c r="AM5720" t="s">
        <v>78</v>
      </c>
      <c r="AN5720" t="s">
        <v>78</v>
      </c>
      <c r="AO5720" t="s">
        <v>78</v>
      </c>
      <c r="AP5720" t="s">
        <v>163</v>
      </c>
      <c r="AQ5720">
        <v>1</v>
      </c>
      <c r="AR5720" t="s">
        <v>80</v>
      </c>
      <c r="AS5720" t="s">
        <v>81</v>
      </c>
      <c r="AT5720" t="s">
        <v>58</v>
      </c>
      <c r="AU5720" t="s">
        <v>131</v>
      </c>
      <c r="AV5720" t="s">
        <v>132</v>
      </c>
      <c r="AW5720" s="1">
        <v>33148</v>
      </c>
      <c r="AX5720">
        <v>1</v>
      </c>
    </row>
    <row r="5721" spans="1:50">
      <c r="A5721">
        <v>702704</v>
      </c>
      <c r="B5721" t="str">
        <f>"114571308"</f>
        <v>114571308</v>
      </c>
      <c r="C5721" t="s">
        <v>50</v>
      </c>
      <c r="D5721" t="s">
        <v>10117</v>
      </c>
      <c r="E5721" t="s">
        <v>255</v>
      </c>
      <c r="F5721" t="s">
        <v>153</v>
      </c>
      <c r="G5721" t="s">
        <v>1179</v>
      </c>
      <c r="H5721" t="str">
        <f>"ΦΟΥΣΤΑΛΙΕΡΗ 7 ΗΡΑΚΛΕΙΟ"</f>
        <v>ΦΟΥΣΤΑΛΙΕΡΗ 7 ΗΡΑΚΛΕΙΟ</v>
      </c>
      <c r="I5721">
        <v>71409</v>
      </c>
      <c r="J5721">
        <v>2810210947</v>
      </c>
      <c r="K5721">
        <v>6946413541</v>
      </c>
      <c r="M5721" t="s">
        <v>10118</v>
      </c>
      <c r="N5721" t="s">
        <v>1525</v>
      </c>
      <c r="O5721" t="s">
        <v>1526</v>
      </c>
      <c r="R5721" t="s">
        <v>57</v>
      </c>
      <c r="S5721">
        <v>5</v>
      </c>
      <c r="T5721">
        <v>772</v>
      </c>
      <c r="U5721" s="1">
        <v>40413</v>
      </c>
      <c r="V5721" t="s">
        <v>80</v>
      </c>
      <c r="W5721" t="s">
        <v>81</v>
      </c>
      <c r="X5721" t="s">
        <v>58</v>
      </c>
      <c r="Y5721">
        <v>25</v>
      </c>
      <c r="Z5721" t="s">
        <v>59</v>
      </c>
      <c r="AA5721" t="s">
        <v>59</v>
      </c>
      <c r="AB5721" t="s">
        <v>59</v>
      </c>
      <c r="AC5721" t="s">
        <v>59</v>
      </c>
      <c r="AD5721" t="s">
        <v>59</v>
      </c>
      <c r="AF5721" s="1">
        <v>40413</v>
      </c>
      <c r="AG5721" t="s">
        <v>8651</v>
      </c>
      <c r="AH5721" t="s">
        <v>8652</v>
      </c>
      <c r="AI5721" t="str">
        <f>"9170563"</f>
        <v>9170563</v>
      </c>
      <c r="AJ5721" t="s">
        <v>10119</v>
      </c>
      <c r="AK5721">
        <v>2810211027</v>
      </c>
      <c r="AL5721" t="s">
        <v>10120</v>
      </c>
      <c r="AM5721" t="s">
        <v>78</v>
      </c>
      <c r="AN5721" t="s">
        <v>78</v>
      </c>
      <c r="AO5721" t="s">
        <v>78</v>
      </c>
      <c r="AP5721" t="s">
        <v>79</v>
      </c>
      <c r="AQ5721">
        <v>1</v>
      </c>
      <c r="AR5721" t="s">
        <v>80</v>
      </c>
      <c r="AS5721" t="s">
        <v>81</v>
      </c>
      <c r="AT5721" t="s">
        <v>58</v>
      </c>
      <c r="AU5721" t="s">
        <v>68</v>
      </c>
      <c r="AV5721" t="s">
        <v>69</v>
      </c>
      <c r="AW5721" s="1">
        <v>30143</v>
      </c>
      <c r="AX5721">
        <v>1</v>
      </c>
    </row>
    <row r="5722" spans="1:50">
      <c r="A5722">
        <v>592362</v>
      </c>
      <c r="B5722" t="str">
        <f>"026467610"</f>
        <v>026467610</v>
      </c>
      <c r="C5722" t="s">
        <v>50</v>
      </c>
      <c r="D5722" t="s">
        <v>10121</v>
      </c>
      <c r="E5722" t="s">
        <v>10122</v>
      </c>
      <c r="F5722" t="s">
        <v>72</v>
      </c>
      <c r="G5722" t="s">
        <v>181</v>
      </c>
      <c r="H5722" t="str">
        <f>"X.Παπαδάκη 87 "</f>
        <v xml:space="preserve">X.Παπαδάκη 87 </v>
      </c>
      <c r="I5722">
        <v>71409</v>
      </c>
      <c r="J5722">
        <v>2810210145</v>
      </c>
      <c r="K5722">
        <v>6975950969</v>
      </c>
      <c r="M5722" t="s">
        <v>10123</v>
      </c>
      <c r="N5722" t="s">
        <v>306</v>
      </c>
      <c r="O5722" t="s">
        <v>307</v>
      </c>
      <c r="R5722" t="s">
        <v>57</v>
      </c>
      <c r="S5722">
        <v>9</v>
      </c>
      <c r="T5722">
        <v>251</v>
      </c>
      <c r="U5722" s="1">
        <v>36769</v>
      </c>
      <c r="V5722" t="s">
        <v>80</v>
      </c>
      <c r="W5722" t="s">
        <v>81</v>
      </c>
      <c r="X5722" t="s">
        <v>58</v>
      </c>
      <c r="Y5722">
        <v>22</v>
      </c>
      <c r="Z5722" t="s">
        <v>59</v>
      </c>
      <c r="AA5722" t="s">
        <v>59</v>
      </c>
      <c r="AB5722" t="s">
        <v>59</v>
      </c>
      <c r="AC5722" t="s">
        <v>59</v>
      </c>
      <c r="AD5722" t="s">
        <v>59</v>
      </c>
      <c r="AF5722" s="1">
        <v>36770</v>
      </c>
      <c r="AG5722" t="s">
        <v>8645</v>
      </c>
      <c r="AH5722" t="s">
        <v>8646</v>
      </c>
      <c r="AI5722" t="str">
        <f>"9170254"</f>
        <v>9170254</v>
      </c>
      <c r="AJ5722" t="s">
        <v>9839</v>
      </c>
      <c r="AK5722">
        <v>2810245069</v>
      </c>
      <c r="AL5722" t="s">
        <v>9840</v>
      </c>
      <c r="AM5722" t="s">
        <v>78</v>
      </c>
      <c r="AN5722" t="s">
        <v>78</v>
      </c>
      <c r="AO5722" t="s">
        <v>78</v>
      </c>
      <c r="AP5722" t="s">
        <v>213</v>
      </c>
      <c r="AQ5722">
        <v>1</v>
      </c>
      <c r="AR5722" t="s">
        <v>80</v>
      </c>
      <c r="AS5722" t="s">
        <v>81</v>
      </c>
      <c r="AT5722" t="s">
        <v>58</v>
      </c>
      <c r="AU5722" t="s">
        <v>68</v>
      </c>
      <c r="AV5722" t="s">
        <v>69</v>
      </c>
      <c r="AW5722" s="1">
        <v>22501</v>
      </c>
      <c r="AX5722">
        <v>1</v>
      </c>
    </row>
    <row r="5723" spans="1:50">
      <c r="A5723">
        <v>611550</v>
      </c>
      <c r="B5723" t="str">
        <f>"110720630"</f>
        <v>110720630</v>
      </c>
      <c r="C5723" t="s">
        <v>50</v>
      </c>
      <c r="D5723" t="s">
        <v>10124</v>
      </c>
      <c r="E5723" t="s">
        <v>714</v>
      </c>
      <c r="F5723" t="s">
        <v>84</v>
      </c>
      <c r="G5723" t="s">
        <v>52</v>
      </c>
      <c r="H5723" t="str">
        <f>"ΓΕΩΡΓΙΟΥ ΚΑΡΑΒΕΛΑΚΗ 144 ΒΕΝΕΡΑΤΟ"</f>
        <v>ΓΕΩΡΓΙΟΥ ΚΑΡΑΒΕΛΑΚΗ 144 ΒΕΝΕΡΑΤΟ</v>
      </c>
      <c r="I5723">
        <v>70003</v>
      </c>
      <c r="J5723">
        <v>2810791493</v>
      </c>
      <c r="K5723">
        <v>6974399640</v>
      </c>
      <c r="M5723" t="s">
        <v>10125</v>
      </c>
      <c r="N5723" t="s">
        <v>1525</v>
      </c>
      <c r="O5723" t="s">
        <v>1526</v>
      </c>
      <c r="R5723" t="s">
        <v>57</v>
      </c>
      <c r="S5723">
        <v>6</v>
      </c>
      <c r="T5723">
        <v>233</v>
      </c>
      <c r="U5723" s="1">
        <v>38960</v>
      </c>
      <c r="V5723" t="s">
        <v>80</v>
      </c>
      <c r="W5723" t="s">
        <v>81</v>
      </c>
      <c r="X5723" t="s">
        <v>58</v>
      </c>
      <c r="Y5723">
        <v>25</v>
      </c>
      <c r="Z5723" t="s">
        <v>59</v>
      </c>
      <c r="AA5723" t="s">
        <v>59</v>
      </c>
      <c r="AB5723" t="s">
        <v>59</v>
      </c>
      <c r="AC5723" t="s">
        <v>59</v>
      </c>
      <c r="AD5723" t="s">
        <v>59</v>
      </c>
      <c r="AF5723" s="1">
        <v>38961</v>
      </c>
      <c r="AG5723" t="s">
        <v>8651</v>
      </c>
      <c r="AH5723" t="s">
        <v>8652</v>
      </c>
      <c r="AI5723" t="str">
        <f>"9170366"</f>
        <v>9170366</v>
      </c>
      <c r="AJ5723" t="s">
        <v>10126</v>
      </c>
      <c r="AK5723">
        <v>2810791740</v>
      </c>
      <c r="AL5723" t="s">
        <v>10127</v>
      </c>
      <c r="AM5723" t="s">
        <v>78</v>
      </c>
      <c r="AN5723" t="s">
        <v>78</v>
      </c>
      <c r="AO5723" t="s">
        <v>195</v>
      </c>
      <c r="AP5723" t="s">
        <v>196</v>
      </c>
      <c r="AQ5723">
        <v>3</v>
      </c>
      <c r="AR5723" t="s">
        <v>80</v>
      </c>
      <c r="AS5723" t="s">
        <v>81</v>
      </c>
      <c r="AT5723" t="s">
        <v>58</v>
      </c>
      <c r="AU5723" t="s">
        <v>68</v>
      </c>
      <c r="AV5723" t="s">
        <v>69</v>
      </c>
      <c r="AW5723" s="1">
        <v>29079</v>
      </c>
      <c r="AX5723">
        <v>1</v>
      </c>
    </row>
    <row r="5724" spans="1:50">
      <c r="A5724">
        <v>563941</v>
      </c>
      <c r="B5724" t="str">
        <f>"032849849"</f>
        <v>032849849</v>
      </c>
      <c r="C5724" t="s">
        <v>50</v>
      </c>
      <c r="D5724" t="s">
        <v>10124</v>
      </c>
      <c r="E5724" t="s">
        <v>52</v>
      </c>
      <c r="F5724" t="s">
        <v>383</v>
      </c>
      <c r="G5724" t="s">
        <v>255</v>
      </c>
      <c r="H5724" t="str">
        <f>"ΒΟΣΠΟΡΟΥ 6 ΗΡΑΚΛΕΙΟ"</f>
        <v>ΒΟΣΠΟΡΟΥ 6 ΗΡΑΚΛΕΙΟ</v>
      </c>
      <c r="I5724">
        <v>71202</v>
      </c>
      <c r="J5724">
        <v>2810285683</v>
      </c>
      <c r="K5724">
        <v>6972858685</v>
      </c>
      <c r="M5724" t="s">
        <v>10128</v>
      </c>
      <c r="N5724" t="s">
        <v>615</v>
      </c>
      <c r="O5724" t="s">
        <v>616</v>
      </c>
      <c r="R5724" t="s">
        <v>57</v>
      </c>
      <c r="S5724">
        <v>15</v>
      </c>
      <c r="T5724" t="s">
        <v>6389</v>
      </c>
      <c r="U5724" s="1">
        <v>33119</v>
      </c>
      <c r="V5724" t="s">
        <v>80</v>
      </c>
      <c r="W5724" t="s">
        <v>81</v>
      </c>
      <c r="X5724" t="s">
        <v>58</v>
      </c>
      <c r="Y5724">
        <v>21</v>
      </c>
      <c r="Z5724" t="s">
        <v>59</v>
      </c>
      <c r="AA5724" t="s">
        <v>59</v>
      </c>
      <c r="AB5724" t="s">
        <v>59</v>
      </c>
      <c r="AC5724" t="s">
        <v>59</v>
      </c>
      <c r="AD5724" t="s">
        <v>59</v>
      </c>
      <c r="AF5724" s="1">
        <v>33119</v>
      </c>
      <c r="AG5724" t="s">
        <v>8645</v>
      </c>
      <c r="AH5724" t="s">
        <v>8646</v>
      </c>
      <c r="AI5724" t="str">
        <f>"9170048"</f>
        <v>9170048</v>
      </c>
      <c r="AJ5724" t="s">
        <v>8977</v>
      </c>
      <c r="AK5724">
        <v>2810283303</v>
      </c>
      <c r="AL5724" t="s">
        <v>8978</v>
      </c>
      <c r="AM5724" t="s">
        <v>78</v>
      </c>
      <c r="AN5724" t="s">
        <v>78</v>
      </c>
      <c r="AO5724" t="s">
        <v>78</v>
      </c>
      <c r="AP5724" t="s">
        <v>79</v>
      </c>
      <c r="AQ5724">
        <v>1</v>
      </c>
      <c r="AR5724" t="s">
        <v>80</v>
      </c>
      <c r="AS5724" t="s">
        <v>81</v>
      </c>
      <c r="AT5724" t="s">
        <v>58</v>
      </c>
      <c r="AU5724" t="s">
        <v>68</v>
      </c>
      <c r="AV5724" t="s">
        <v>69</v>
      </c>
      <c r="AW5724" s="1">
        <v>24081</v>
      </c>
      <c r="AX5724">
        <v>1</v>
      </c>
    </row>
    <row r="5725" spans="1:50">
      <c r="A5725">
        <v>619529</v>
      </c>
      <c r="B5725" t="str">
        <f>"110720641"</f>
        <v>110720641</v>
      </c>
      <c r="C5725" t="s">
        <v>50</v>
      </c>
      <c r="D5725" t="s">
        <v>10124</v>
      </c>
      <c r="E5725" t="s">
        <v>1068</v>
      </c>
      <c r="F5725" t="s">
        <v>84</v>
      </c>
      <c r="G5725" t="s">
        <v>52</v>
      </c>
      <c r="H5725" t="str">
        <f>"ΑΡΙΣΤΟΤΕΛΟΥΣ 16 ΓΑΖΙ ΗΡΑΚΛΕΙΟΥ"</f>
        <v>ΑΡΙΣΤΟΤΕΛΟΥΣ 16 ΓΑΖΙ ΗΡΑΚΛΕΙΟΥ</v>
      </c>
      <c r="I5725">
        <v>71414</v>
      </c>
      <c r="J5725">
        <v>2810824936</v>
      </c>
      <c r="K5725">
        <v>6972119487</v>
      </c>
      <c r="M5725" t="s">
        <v>10129</v>
      </c>
      <c r="N5725" t="s">
        <v>1525</v>
      </c>
      <c r="O5725" t="s">
        <v>1526</v>
      </c>
      <c r="R5725" t="s">
        <v>57</v>
      </c>
      <c r="S5725">
        <v>5</v>
      </c>
      <c r="T5725">
        <v>774</v>
      </c>
      <c r="U5725" s="1">
        <v>39680</v>
      </c>
      <c r="V5725" t="s">
        <v>80</v>
      </c>
      <c r="W5725" t="s">
        <v>81</v>
      </c>
      <c r="X5725" t="s">
        <v>58</v>
      </c>
      <c r="Y5725">
        <v>25</v>
      </c>
      <c r="Z5725" t="s">
        <v>59</v>
      </c>
      <c r="AA5725" t="s">
        <v>59</v>
      </c>
      <c r="AB5725" t="s">
        <v>59</v>
      </c>
      <c r="AC5725" t="s">
        <v>59</v>
      </c>
      <c r="AD5725" t="s">
        <v>59</v>
      </c>
      <c r="AF5725" s="1">
        <v>39681</v>
      </c>
      <c r="AG5725" t="s">
        <v>8651</v>
      </c>
      <c r="AH5725" t="s">
        <v>8652</v>
      </c>
      <c r="AI5725" t="str">
        <f>"9170586"</f>
        <v>9170586</v>
      </c>
      <c r="AJ5725" t="s">
        <v>10130</v>
      </c>
      <c r="AK5725">
        <v>2810823321</v>
      </c>
      <c r="AL5725" t="s">
        <v>10131</v>
      </c>
      <c r="AM5725" t="s">
        <v>78</v>
      </c>
      <c r="AN5725" t="s">
        <v>129</v>
      </c>
      <c r="AO5725" t="s">
        <v>130</v>
      </c>
      <c r="AP5725" t="s">
        <v>130</v>
      </c>
      <c r="AQ5725">
        <v>1</v>
      </c>
      <c r="AR5725" t="s">
        <v>80</v>
      </c>
      <c r="AS5725" t="s">
        <v>81</v>
      </c>
      <c r="AT5725" t="s">
        <v>58</v>
      </c>
      <c r="AU5725" t="s">
        <v>68</v>
      </c>
      <c r="AV5725" t="s">
        <v>69</v>
      </c>
      <c r="AW5725" s="1">
        <v>30669</v>
      </c>
      <c r="AX5725">
        <v>1</v>
      </c>
    </row>
    <row r="5726" spans="1:50">
      <c r="A5726">
        <v>579685</v>
      </c>
      <c r="B5726" t="str">
        <f>"052961484"</f>
        <v>052961484</v>
      </c>
      <c r="C5726" t="s">
        <v>50</v>
      </c>
      <c r="D5726" t="s">
        <v>1968</v>
      </c>
      <c r="E5726" t="s">
        <v>52</v>
      </c>
      <c r="F5726" t="s">
        <v>377</v>
      </c>
      <c r="G5726" t="s">
        <v>5432</v>
      </c>
      <c r="H5726" t="str">
        <f>" "</f>
        <v xml:space="preserve"> </v>
      </c>
      <c r="N5726" t="s">
        <v>615</v>
      </c>
      <c r="O5726" t="s">
        <v>616</v>
      </c>
      <c r="R5726" t="s">
        <v>57</v>
      </c>
      <c r="S5726">
        <v>13</v>
      </c>
      <c r="T5726">
        <v>165</v>
      </c>
      <c r="U5726" s="1">
        <v>35300</v>
      </c>
      <c r="V5726" t="s">
        <v>80</v>
      </c>
      <c r="W5726" t="s">
        <v>81</v>
      </c>
      <c r="X5726" t="s">
        <v>58</v>
      </c>
      <c r="Y5726">
        <v>21</v>
      </c>
      <c r="Z5726" t="s">
        <v>59</v>
      </c>
      <c r="AA5726" t="s">
        <v>59</v>
      </c>
      <c r="AB5726" t="s">
        <v>59</v>
      </c>
      <c r="AC5726" t="s">
        <v>59</v>
      </c>
      <c r="AD5726" t="s">
        <v>59</v>
      </c>
      <c r="AF5726" s="1">
        <v>35300</v>
      </c>
      <c r="AG5726" t="s">
        <v>60</v>
      </c>
      <c r="AH5726" t="s">
        <v>61</v>
      </c>
      <c r="AI5726" t="str">
        <f>"9000624"</f>
        <v>9000624</v>
      </c>
      <c r="AJ5726" t="s">
        <v>76</v>
      </c>
      <c r="AK5726">
        <v>2810215020</v>
      </c>
      <c r="AL5726" t="s">
        <v>77</v>
      </c>
      <c r="AM5726" t="s">
        <v>78</v>
      </c>
      <c r="AN5726" t="s">
        <v>78</v>
      </c>
      <c r="AO5726" t="s">
        <v>78</v>
      </c>
      <c r="AP5726" t="s">
        <v>79</v>
      </c>
      <c r="AR5726" t="s">
        <v>80</v>
      </c>
      <c r="AS5726" t="s">
        <v>81</v>
      </c>
      <c r="AT5726" t="s">
        <v>58</v>
      </c>
      <c r="AU5726" t="s">
        <v>68</v>
      </c>
      <c r="AV5726" t="s">
        <v>69</v>
      </c>
      <c r="AW5726" s="1">
        <v>24283</v>
      </c>
      <c r="AX5726">
        <v>0</v>
      </c>
    </row>
    <row r="5727" spans="1:50">
      <c r="A5727">
        <v>605475</v>
      </c>
      <c r="B5727" t="str">
        <f>"114297038"</f>
        <v>114297038</v>
      </c>
      <c r="C5727" t="s">
        <v>50</v>
      </c>
      <c r="D5727" t="s">
        <v>10132</v>
      </c>
      <c r="E5727" t="s">
        <v>1694</v>
      </c>
      <c r="F5727" t="s">
        <v>10133</v>
      </c>
      <c r="G5727" t="s">
        <v>5820</v>
      </c>
      <c r="H5727" t="str">
        <f>"ΚΑΛΥΔΩΝΑ 1  ΗΡΑΚΛΕΙΟ"</f>
        <v>ΚΑΛΥΔΩΝΑ 1  ΗΡΑΚΛΕΙΟ</v>
      </c>
      <c r="I5727">
        <v>71409</v>
      </c>
      <c r="J5727">
        <v>2810326659</v>
      </c>
      <c r="K5727">
        <v>6977621025</v>
      </c>
      <c r="N5727" t="s">
        <v>615</v>
      </c>
      <c r="O5727" t="s">
        <v>616</v>
      </c>
      <c r="R5727" t="s">
        <v>57</v>
      </c>
      <c r="S5727">
        <v>8</v>
      </c>
      <c r="T5727">
        <v>231</v>
      </c>
      <c r="U5727" s="1">
        <v>38230</v>
      </c>
      <c r="V5727" t="s">
        <v>80</v>
      </c>
      <c r="W5727" t="s">
        <v>81</v>
      </c>
      <c r="X5727" t="s">
        <v>58</v>
      </c>
      <c r="Y5727">
        <v>22</v>
      </c>
      <c r="Z5727" t="s">
        <v>59</v>
      </c>
      <c r="AA5727" t="s">
        <v>59</v>
      </c>
      <c r="AB5727" t="s">
        <v>59</v>
      </c>
      <c r="AC5727" t="s">
        <v>59</v>
      </c>
      <c r="AD5727" t="s">
        <v>59</v>
      </c>
      <c r="AF5727" s="1">
        <v>38231</v>
      </c>
      <c r="AG5727" t="s">
        <v>8645</v>
      </c>
      <c r="AH5727" t="s">
        <v>8646</v>
      </c>
      <c r="AI5727" t="str">
        <f>"9170120"</f>
        <v>9170120</v>
      </c>
      <c r="AJ5727" t="s">
        <v>9237</v>
      </c>
      <c r="AK5727">
        <v>2810881577</v>
      </c>
      <c r="AL5727" t="s">
        <v>9238</v>
      </c>
      <c r="AM5727" t="s">
        <v>78</v>
      </c>
      <c r="AN5727" t="s">
        <v>78</v>
      </c>
      <c r="AO5727" t="s">
        <v>78</v>
      </c>
      <c r="AP5727" t="s">
        <v>9239</v>
      </c>
      <c r="AQ5727">
        <v>1</v>
      </c>
      <c r="AR5727" t="s">
        <v>80</v>
      </c>
      <c r="AS5727" t="s">
        <v>81</v>
      </c>
      <c r="AT5727" t="s">
        <v>58</v>
      </c>
      <c r="AU5727" t="s">
        <v>68</v>
      </c>
      <c r="AV5727" t="s">
        <v>69</v>
      </c>
      <c r="AW5727" s="1">
        <v>27862</v>
      </c>
      <c r="AX5727">
        <v>1</v>
      </c>
    </row>
    <row r="5728" spans="1:50">
      <c r="A5728">
        <v>605470</v>
      </c>
      <c r="B5728" t="str">
        <f>"078988806"</f>
        <v>078988806</v>
      </c>
      <c r="C5728" t="s">
        <v>105</v>
      </c>
      <c r="D5728" t="s">
        <v>10134</v>
      </c>
      <c r="E5728" t="s">
        <v>166</v>
      </c>
      <c r="F5728" t="s">
        <v>99</v>
      </c>
      <c r="G5728" t="s">
        <v>1074</v>
      </c>
      <c r="H5728" t="str">
        <f>"ΑΓ.ΓΕΩΡΓΙΟΣ ΟΡΟΠΕΔΙΟ ΛΑΣΙΘΙΟΥ"</f>
        <v>ΑΓ.ΓΕΩΡΓΙΟΣ ΟΡΟΠΕΔΙΟ ΛΑΣΙΘΙΟΥ</v>
      </c>
      <c r="I5728">
        <v>72052</v>
      </c>
      <c r="J5728">
        <v>2897021497</v>
      </c>
      <c r="K5728">
        <v>6932015677</v>
      </c>
      <c r="M5728" t="s">
        <v>10135</v>
      </c>
      <c r="N5728" t="s">
        <v>615</v>
      </c>
      <c r="O5728" t="s">
        <v>616</v>
      </c>
      <c r="R5728" t="s">
        <v>57</v>
      </c>
      <c r="S5728">
        <v>8</v>
      </c>
      <c r="T5728">
        <v>231</v>
      </c>
      <c r="U5728" s="1">
        <v>38230</v>
      </c>
      <c r="V5728" t="s">
        <v>80</v>
      </c>
      <c r="W5728" t="s">
        <v>81</v>
      </c>
      <c r="X5728" t="s">
        <v>58</v>
      </c>
      <c r="Y5728">
        <v>23</v>
      </c>
      <c r="Z5728" t="s">
        <v>59</v>
      </c>
      <c r="AA5728" t="s">
        <v>59</v>
      </c>
      <c r="AB5728" t="s">
        <v>59</v>
      </c>
      <c r="AC5728" t="s">
        <v>59</v>
      </c>
      <c r="AD5728" t="s">
        <v>59</v>
      </c>
      <c r="AF5728" s="1">
        <v>38231</v>
      </c>
      <c r="AG5728" t="s">
        <v>8645</v>
      </c>
      <c r="AH5728" t="s">
        <v>8646</v>
      </c>
      <c r="AI5728" t="str">
        <f>"9170206"</f>
        <v>9170206</v>
      </c>
      <c r="AJ5728" t="s">
        <v>8972</v>
      </c>
      <c r="AK5728">
        <v>2810761137</v>
      </c>
      <c r="AL5728" t="s">
        <v>8973</v>
      </c>
      <c r="AM5728" t="s">
        <v>78</v>
      </c>
      <c r="AN5728" t="s">
        <v>219</v>
      </c>
      <c r="AO5728" t="s">
        <v>297</v>
      </c>
      <c r="AP5728" t="s">
        <v>8796</v>
      </c>
      <c r="AQ5728">
        <v>7</v>
      </c>
      <c r="AR5728" t="s">
        <v>80</v>
      </c>
      <c r="AS5728" t="s">
        <v>81</v>
      </c>
      <c r="AT5728" t="s">
        <v>58</v>
      </c>
      <c r="AU5728" t="s">
        <v>68</v>
      </c>
      <c r="AV5728" t="s">
        <v>69</v>
      </c>
      <c r="AW5728" s="1">
        <v>26363</v>
      </c>
      <c r="AX5728">
        <v>1</v>
      </c>
    </row>
    <row r="5729" spans="1:50">
      <c r="A5729">
        <v>581764</v>
      </c>
      <c r="B5729" t="str">
        <f>"064574555"</f>
        <v>064574555</v>
      </c>
      <c r="C5729" t="s">
        <v>50</v>
      </c>
      <c r="D5729" t="s">
        <v>10136</v>
      </c>
      <c r="E5729" t="s">
        <v>396</v>
      </c>
      <c r="F5729" t="s">
        <v>72</v>
      </c>
      <c r="G5729" t="s">
        <v>83</v>
      </c>
      <c r="H5729" t="str">
        <f>"ΙΠΠΟΔΑΜΟΥ 3  ΑΓ. ΑΙΚΑΤΕΡΙΝΗ"</f>
        <v>ΙΠΠΟΔΑΜΟΥ 3  ΑΓ. ΑΙΚΑΤΕΡΙΝΗ</v>
      </c>
      <c r="I5729">
        <v>71307</v>
      </c>
      <c r="J5729">
        <v>2810212943</v>
      </c>
      <c r="K5729">
        <v>6973970008</v>
      </c>
      <c r="N5729" t="s">
        <v>615</v>
      </c>
      <c r="O5729" t="s">
        <v>616</v>
      </c>
      <c r="R5729" t="s">
        <v>57</v>
      </c>
      <c r="S5729">
        <v>12</v>
      </c>
      <c r="T5729">
        <v>179</v>
      </c>
      <c r="U5729" s="1">
        <v>35674</v>
      </c>
      <c r="V5729" t="s">
        <v>80</v>
      </c>
      <c r="W5729" t="s">
        <v>81</v>
      </c>
      <c r="X5729" t="s">
        <v>58</v>
      </c>
      <c r="Y5729">
        <v>21</v>
      </c>
      <c r="Z5729" t="s">
        <v>59</v>
      </c>
      <c r="AA5729" t="s">
        <v>59</v>
      </c>
      <c r="AB5729" t="s">
        <v>59</v>
      </c>
      <c r="AC5729" t="s">
        <v>59</v>
      </c>
      <c r="AD5729" t="s">
        <v>59</v>
      </c>
      <c r="AF5729" s="1">
        <v>35676</v>
      </c>
      <c r="AG5729" t="s">
        <v>8645</v>
      </c>
      <c r="AH5729" t="s">
        <v>8646</v>
      </c>
      <c r="AI5729" t="str">
        <f>"9170423"</f>
        <v>9170423</v>
      </c>
      <c r="AJ5729" t="s">
        <v>8808</v>
      </c>
      <c r="AK5729">
        <v>2810239612</v>
      </c>
      <c r="AL5729" t="s">
        <v>8809</v>
      </c>
      <c r="AM5729" t="s">
        <v>78</v>
      </c>
      <c r="AN5729" t="s">
        <v>78</v>
      </c>
      <c r="AO5729" t="s">
        <v>78</v>
      </c>
      <c r="AP5729" t="s">
        <v>163</v>
      </c>
      <c r="AQ5729">
        <v>1</v>
      </c>
      <c r="AR5729" t="s">
        <v>80</v>
      </c>
      <c r="AS5729" t="s">
        <v>81</v>
      </c>
      <c r="AT5729" t="s">
        <v>58</v>
      </c>
      <c r="AU5729" t="s">
        <v>68</v>
      </c>
      <c r="AV5729" t="s">
        <v>69</v>
      </c>
      <c r="AW5729" s="1">
        <v>24045</v>
      </c>
      <c r="AX5729">
        <v>1</v>
      </c>
    </row>
    <row r="5730" spans="1:50">
      <c r="B5730" t="str">
        <f>"134177714"</f>
        <v>134177714</v>
      </c>
      <c r="C5730" t="s">
        <v>50</v>
      </c>
      <c r="D5730" t="s">
        <v>10137</v>
      </c>
      <c r="E5730" t="s">
        <v>507</v>
      </c>
      <c r="F5730" t="s">
        <v>84</v>
      </c>
      <c r="G5730" t="s">
        <v>52</v>
      </c>
      <c r="H5730" t="str">
        <f>"ΟΙΚΟΝΟΜΟΥ 28 "</f>
        <v xml:space="preserve">ΟΙΚΟΝΟΜΟΥ 28 </v>
      </c>
      <c r="I5730">
        <v>38334</v>
      </c>
      <c r="J5730">
        <v>2421080376</v>
      </c>
      <c r="K5730">
        <v>6976371130</v>
      </c>
      <c r="N5730" t="s">
        <v>615</v>
      </c>
      <c r="O5730" t="s">
        <v>616</v>
      </c>
      <c r="R5730" t="s">
        <v>159</v>
      </c>
      <c r="S5730">
        <v>2</v>
      </c>
      <c r="T5730" t="s">
        <v>8675</v>
      </c>
      <c r="U5730" s="1">
        <v>43348</v>
      </c>
      <c r="V5730" t="s">
        <v>80</v>
      </c>
      <c r="W5730" t="s">
        <v>81</v>
      </c>
      <c r="X5730" t="s">
        <v>58</v>
      </c>
      <c r="Y5730">
        <v>24</v>
      </c>
      <c r="Z5730" t="s">
        <v>59</v>
      </c>
      <c r="AA5730" t="s">
        <v>59</v>
      </c>
      <c r="AB5730" t="s">
        <v>59</v>
      </c>
      <c r="AC5730" t="s">
        <v>59</v>
      </c>
      <c r="AD5730" t="s">
        <v>59</v>
      </c>
      <c r="AF5730" s="1">
        <v>43348</v>
      </c>
      <c r="AG5730" t="s">
        <v>8645</v>
      </c>
      <c r="AH5730" t="s">
        <v>8646</v>
      </c>
      <c r="AI5730" t="str">
        <f>"9170034"</f>
        <v>9170034</v>
      </c>
      <c r="AJ5730" t="s">
        <v>9179</v>
      </c>
      <c r="AK5730">
        <v>2810841217</v>
      </c>
      <c r="AL5730" t="s">
        <v>9180</v>
      </c>
      <c r="AM5730" t="s">
        <v>78</v>
      </c>
      <c r="AN5730" t="s">
        <v>129</v>
      </c>
      <c r="AO5730" t="s">
        <v>130</v>
      </c>
      <c r="AP5730" t="s">
        <v>9181</v>
      </c>
      <c r="AQ5730">
        <v>2</v>
      </c>
      <c r="AR5730" t="s">
        <v>80</v>
      </c>
      <c r="AS5730" t="s">
        <v>81</v>
      </c>
      <c r="AT5730" t="s">
        <v>58</v>
      </c>
      <c r="AU5730" t="s">
        <v>8673</v>
      </c>
      <c r="AV5730" t="s">
        <v>132</v>
      </c>
      <c r="AW5730" s="1">
        <v>32134</v>
      </c>
      <c r="AX5730">
        <v>1</v>
      </c>
    </row>
    <row r="5731" spans="1:50">
      <c r="A5731">
        <v>614881</v>
      </c>
      <c r="B5731" t="str">
        <f>"136808315"</f>
        <v>136808315</v>
      </c>
      <c r="C5731" t="s">
        <v>50</v>
      </c>
      <c r="D5731" t="s">
        <v>10138</v>
      </c>
      <c r="E5731" t="s">
        <v>96</v>
      </c>
      <c r="F5731" t="s">
        <v>95</v>
      </c>
      <c r="G5731" t="s">
        <v>52</v>
      </c>
      <c r="H5731" t="str">
        <f>"ΦΩΤΗ ΑΪΔΙΝΛΗ 29Α ΗΡΑΚΛΕΙΟ"</f>
        <v>ΦΩΤΗ ΑΪΔΙΝΛΗ 29Α ΗΡΑΚΛΕΙΟ</v>
      </c>
      <c r="I5731">
        <v>71304</v>
      </c>
      <c r="J5731">
        <v>2810791765</v>
      </c>
      <c r="K5731">
        <v>6942210234</v>
      </c>
      <c r="L5731">
        <v>2815100952</v>
      </c>
      <c r="M5731" t="s">
        <v>10139</v>
      </c>
      <c r="N5731" t="s">
        <v>615</v>
      </c>
      <c r="O5731" t="s">
        <v>616</v>
      </c>
      <c r="P5731" t="s">
        <v>204</v>
      </c>
      <c r="Q5731" t="s">
        <v>205</v>
      </c>
      <c r="R5731" t="s">
        <v>57</v>
      </c>
      <c r="S5731">
        <v>6</v>
      </c>
      <c r="T5731">
        <v>598</v>
      </c>
      <c r="U5731" s="1">
        <v>39310</v>
      </c>
      <c r="V5731" t="s">
        <v>80</v>
      </c>
      <c r="W5731" t="s">
        <v>81</v>
      </c>
      <c r="X5731" t="s">
        <v>58</v>
      </c>
      <c r="Y5731">
        <v>23</v>
      </c>
      <c r="Z5731" t="s">
        <v>59</v>
      </c>
      <c r="AA5731" t="s">
        <v>59</v>
      </c>
      <c r="AB5731" t="s">
        <v>59</v>
      </c>
      <c r="AC5731" t="s">
        <v>59</v>
      </c>
      <c r="AD5731" t="s">
        <v>59</v>
      </c>
      <c r="AF5731" s="1">
        <v>39328</v>
      </c>
      <c r="AG5731" t="s">
        <v>8645</v>
      </c>
      <c r="AH5731" t="s">
        <v>8646</v>
      </c>
      <c r="AI5731" t="str">
        <f>"9170059"</f>
        <v>9170059</v>
      </c>
      <c r="AJ5731" t="s">
        <v>9161</v>
      </c>
      <c r="AK5731">
        <v>2810791244</v>
      </c>
      <c r="AL5731" t="s">
        <v>9162</v>
      </c>
      <c r="AM5731" t="s">
        <v>78</v>
      </c>
      <c r="AN5731" t="s">
        <v>78</v>
      </c>
      <c r="AO5731" t="s">
        <v>195</v>
      </c>
      <c r="AP5731" t="s">
        <v>196</v>
      </c>
      <c r="AQ5731">
        <v>3</v>
      </c>
      <c r="AR5731" t="s">
        <v>80</v>
      </c>
      <c r="AS5731" t="s">
        <v>81</v>
      </c>
      <c r="AT5731" t="s">
        <v>58</v>
      </c>
      <c r="AU5731" t="s">
        <v>68</v>
      </c>
      <c r="AV5731" t="s">
        <v>69</v>
      </c>
      <c r="AW5731" s="1">
        <v>30595</v>
      </c>
      <c r="AX5731">
        <v>1</v>
      </c>
    </row>
    <row r="5732" spans="1:50">
      <c r="A5732">
        <v>557150</v>
      </c>
      <c r="B5732" t="str">
        <f>"031326727"</f>
        <v>031326727</v>
      </c>
      <c r="C5732" t="s">
        <v>105</v>
      </c>
      <c r="D5732" t="s">
        <v>10140</v>
      </c>
      <c r="E5732" t="s">
        <v>459</v>
      </c>
      <c r="F5732" t="s">
        <v>377</v>
      </c>
      <c r="G5732" t="s">
        <v>112</v>
      </c>
      <c r="H5732" t="str">
        <f>" "</f>
        <v xml:space="preserve"> </v>
      </c>
      <c r="N5732" t="s">
        <v>615</v>
      </c>
      <c r="O5732" t="s">
        <v>616</v>
      </c>
      <c r="R5732" t="s">
        <v>57</v>
      </c>
      <c r="S5732">
        <v>19</v>
      </c>
      <c r="T5732">
        <v>168</v>
      </c>
      <c r="U5732" s="1">
        <v>32010</v>
      </c>
      <c r="V5732" t="s">
        <v>80</v>
      </c>
      <c r="W5732" t="s">
        <v>81</v>
      </c>
      <c r="X5732" t="s">
        <v>58</v>
      </c>
      <c r="Y5732">
        <v>21</v>
      </c>
      <c r="Z5732" t="s">
        <v>59</v>
      </c>
      <c r="AA5732" t="s">
        <v>59</v>
      </c>
      <c r="AB5732" t="s">
        <v>59</v>
      </c>
      <c r="AC5732" t="s">
        <v>59</v>
      </c>
      <c r="AD5732" t="s">
        <v>59</v>
      </c>
      <c r="AF5732" s="1">
        <v>32023</v>
      </c>
      <c r="AG5732" t="s">
        <v>8645</v>
      </c>
      <c r="AH5732" t="s">
        <v>8646</v>
      </c>
      <c r="AI5732" t="str">
        <f>"9170017"</f>
        <v>9170017</v>
      </c>
      <c r="AJ5732" t="s">
        <v>9114</v>
      </c>
      <c r="AK5732">
        <v>2810250746</v>
      </c>
      <c r="AL5732" t="s">
        <v>9115</v>
      </c>
      <c r="AM5732" t="s">
        <v>78</v>
      </c>
      <c r="AN5732" t="s">
        <v>129</v>
      </c>
      <c r="AO5732" t="s">
        <v>130</v>
      </c>
      <c r="AP5732" t="s">
        <v>130</v>
      </c>
      <c r="AQ5732">
        <v>1</v>
      </c>
      <c r="AR5732" t="s">
        <v>80</v>
      </c>
      <c r="AS5732" t="s">
        <v>81</v>
      </c>
      <c r="AT5732" t="s">
        <v>58</v>
      </c>
      <c r="AU5732" t="s">
        <v>68</v>
      </c>
      <c r="AV5732" t="s">
        <v>69</v>
      </c>
      <c r="AW5732" s="1">
        <v>23296</v>
      </c>
      <c r="AX5732">
        <v>1</v>
      </c>
    </row>
    <row r="5733" spans="1:50">
      <c r="A5733">
        <v>592597</v>
      </c>
      <c r="B5733" t="str">
        <f>"054534132"</f>
        <v>054534132</v>
      </c>
      <c r="C5733" t="s">
        <v>105</v>
      </c>
      <c r="D5733" t="s">
        <v>10140</v>
      </c>
      <c r="E5733" t="s">
        <v>166</v>
      </c>
      <c r="F5733" t="s">
        <v>95</v>
      </c>
      <c r="G5733" t="s">
        <v>54</v>
      </c>
      <c r="H5733" t="str">
        <f>"Μιχ.Αρχαγγέλου 42 Θέρισσος"</f>
        <v>Μιχ.Αρχαγγέλου 42 Θέρισσος</v>
      </c>
      <c r="I5733">
        <v>71304</v>
      </c>
      <c r="J5733">
        <v>2810312480</v>
      </c>
      <c r="K5733">
        <v>6976060249</v>
      </c>
      <c r="M5733" t="s">
        <v>10141</v>
      </c>
      <c r="N5733" t="s">
        <v>176</v>
      </c>
      <c r="O5733" t="s">
        <v>177</v>
      </c>
      <c r="R5733" t="s">
        <v>57</v>
      </c>
      <c r="S5733">
        <v>9</v>
      </c>
      <c r="T5733" t="s">
        <v>10142</v>
      </c>
      <c r="U5733" s="1">
        <v>36770</v>
      </c>
      <c r="V5733" t="s">
        <v>80</v>
      </c>
      <c r="W5733" t="s">
        <v>81</v>
      </c>
      <c r="X5733" t="s">
        <v>58</v>
      </c>
      <c r="Y5733">
        <v>22</v>
      </c>
      <c r="Z5733" t="s">
        <v>59</v>
      </c>
      <c r="AA5733" t="s">
        <v>59</v>
      </c>
      <c r="AB5733" t="s">
        <v>59</v>
      </c>
      <c r="AC5733" t="s">
        <v>59</v>
      </c>
      <c r="AD5733" t="s">
        <v>59</v>
      </c>
      <c r="AF5733" s="1">
        <v>36770</v>
      </c>
      <c r="AG5733" t="s">
        <v>8645</v>
      </c>
      <c r="AH5733" t="s">
        <v>8646</v>
      </c>
      <c r="AI5733" t="str">
        <f>"9170262"</f>
        <v>9170262</v>
      </c>
      <c r="AJ5733" t="s">
        <v>9224</v>
      </c>
      <c r="AK5733">
        <v>2810245912</v>
      </c>
      <c r="AL5733" t="s">
        <v>9225</v>
      </c>
      <c r="AM5733" t="s">
        <v>78</v>
      </c>
      <c r="AN5733" t="s">
        <v>78</v>
      </c>
      <c r="AO5733" t="s">
        <v>286</v>
      </c>
      <c r="AP5733" t="s">
        <v>286</v>
      </c>
      <c r="AQ5733">
        <v>1</v>
      </c>
      <c r="AR5733" t="s">
        <v>80</v>
      </c>
      <c r="AS5733" t="s">
        <v>81</v>
      </c>
      <c r="AT5733" t="s">
        <v>58</v>
      </c>
      <c r="AU5733" t="s">
        <v>68</v>
      </c>
      <c r="AV5733" t="s">
        <v>69</v>
      </c>
      <c r="AW5733" s="1">
        <v>24738</v>
      </c>
      <c r="AX5733">
        <v>1</v>
      </c>
    </row>
    <row r="5734" spans="1:50">
      <c r="B5734" t="str">
        <f>"125484870"</f>
        <v>125484870</v>
      </c>
      <c r="C5734" t="s">
        <v>50</v>
      </c>
      <c r="D5734" t="s">
        <v>10143</v>
      </c>
      <c r="E5734" t="s">
        <v>83</v>
      </c>
      <c r="F5734" t="s">
        <v>383</v>
      </c>
      <c r="H5734" t="str">
        <f>" "</f>
        <v xml:space="preserve"> </v>
      </c>
      <c r="N5734" t="s">
        <v>337</v>
      </c>
      <c r="O5734" t="s">
        <v>338</v>
      </c>
      <c r="R5734" t="s">
        <v>121</v>
      </c>
      <c r="S5734">
        <v>1</v>
      </c>
      <c r="T5734" t="s">
        <v>8675</v>
      </c>
      <c r="U5734" s="1">
        <v>43348</v>
      </c>
      <c r="V5734" t="s">
        <v>80</v>
      </c>
      <c r="W5734" t="s">
        <v>81</v>
      </c>
      <c r="X5734" t="s">
        <v>58</v>
      </c>
      <c r="Y5734">
        <v>24</v>
      </c>
      <c r="Z5734" t="s">
        <v>59</v>
      </c>
      <c r="AA5734" t="s">
        <v>59</v>
      </c>
      <c r="AB5734" t="s">
        <v>59</v>
      </c>
      <c r="AC5734" t="s">
        <v>59</v>
      </c>
      <c r="AD5734" t="s">
        <v>59</v>
      </c>
      <c r="AF5734" s="1">
        <v>43348</v>
      </c>
      <c r="AG5734" t="s">
        <v>8645</v>
      </c>
      <c r="AH5734" t="s">
        <v>8646</v>
      </c>
      <c r="AI5734" t="str">
        <f>"9170338"</f>
        <v>9170338</v>
      </c>
      <c r="AJ5734" t="s">
        <v>8849</v>
      </c>
      <c r="AK5734">
        <v>2892051377</v>
      </c>
      <c r="AL5734" t="s">
        <v>8850</v>
      </c>
      <c r="AM5734" t="s">
        <v>78</v>
      </c>
      <c r="AN5734" t="s">
        <v>242</v>
      </c>
      <c r="AO5734" t="s">
        <v>349</v>
      </c>
      <c r="AP5734" t="s">
        <v>349</v>
      </c>
      <c r="AQ5734">
        <v>19</v>
      </c>
      <c r="AR5734" t="s">
        <v>80</v>
      </c>
      <c r="AS5734" t="s">
        <v>81</v>
      </c>
      <c r="AT5734" t="s">
        <v>58</v>
      </c>
      <c r="AU5734" t="s">
        <v>8673</v>
      </c>
      <c r="AV5734" t="s">
        <v>132</v>
      </c>
      <c r="AW5734" s="1">
        <v>30732</v>
      </c>
      <c r="AX5734">
        <v>1</v>
      </c>
    </row>
    <row r="5735" spans="1:50">
      <c r="A5735">
        <v>227943</v>
      </c>
      <c r="B5735" t="str">
        <f>"046173229"</f>
        <v>046173229</v>
      </c>
      <c r="C5735" t="s">
        <v>50</v>
      </c>
      <c r="D5735" t="s">
        <v>10144</v>
      </c>
      <c r="E5735" t="s">
        <v>52</v>
      </c>
      <c r="F5735" t="s">
        <v>95</v>
      </c>
      <c r="G5735" t="s">
        <v>83</v>
      </c>
      <c r="H5735" t="str">
        <f>"Μ. ΠΑΡΛΑΜΑ 4 ΜΑΛΙΑ"</f>
        <v>Μ. ΠΑΡΛΑΜΑ 4 ΜΑΛΙΑ</v>
      </c>
      <c r="I5735">
        <v>70007</v>
      </c>
      <c r="J5735">
        <v>2897033284</v>
      </c>
      <c r="K5735">
        <v>6970251856</v>
      </c>
      <c r="M5735" t="s">
        <v>10145</v>
      </c>
      <c r="N5735" t="s">
        <v>176</v>
      </c>
      <c r="O5735" t="s">
        <v>177</v>
      </c>
      <c r="R5735" t="s">
        <v>57</v>
      </c>
      <c r="S5735">
        <v>7</v>
      </c>
      <c r="T5735">
        <v>654</v>
      </c>
      <c r="U5735" s="1">
        <v>40043</v>
      </c>
      <c r="V5735" t="s">
        <v>80</v>
      </c>
      <c r="W5735" t="s">
        <v>81</v>
      </c>
      <c r="X5735" t="s">
        <v>58</v>
      </c>
      <c r="Y5735">
        <v>23</v>
      </c>
      <c r="Z5735" t="s">
        <v>59</v>
      </c>
      <c r="AA5735" t="s">
        <v>59</v>
      </c>
      <c r="AB5735" t="s">
        <v>59</v>
      </c>
      <c r="AC5735" t="s">
        <v>59</v>
      </c>
      <c r="AD5735" t="s">
        <v>59</v>
      </c>
      <c r="AF5735" s="1">
        <v>40045</v>
      </c>
      <c r="AG5735" t="s">
        <v>8645</v>
      </c>
      <c r="AH5735" t="s">
        <v>8646</v>
      </c>
      <c r="AI5735" t="str">
        <f>"9170239"</f>
        <v>9170239</v>
      </c>
      <c r="AJ5735" t="s">
        <v>8814</v>
      </c>
      <c r="AK5735">
        <v>2897022076</v>
      </c>
      <c r="AL5735" t="s">
        <v>8815</v>
      </c>
      <c r="AM5735" t="s">
        <v>78</v>
      </c>
      <c r="AN5735" t="s">
        <v>219</v>
      </c>
      <c r="AO5735" t="s">
        <v>219</v>
      </c>
      <c r="AP5735" t="s">
        <v>220</v>
      </c>
      <c r="AQ5735">
        <v>8</v>
      </c>
      <c r="AR5735" t="s">
        <v>80</v>
      </c>
      <c r="AS5735" t="s">
        <v>81</v>
      </c>
      <c r="AT5735" t="s">
        <v>58</v>
      </c>
      <c r="AU5735" t="s">
        <v>68</v>
      </c>
      <c r="AV5735" t="s">
        <v>69</v>
      </c>
      <c r="AW5735" s="1">
        <v>24108</v>
      </c>
      <c r="AX5735">
        <v>1</v>
      </c>
    </row>
    <row r="5736" spans="1:50">
      <c r="A5736">
        <v>620045</v>
      </c>
      <c r="B5736" t="str">
        <f>"077706281"</f>
        <v>077706281</v>
      </c>
      <c r="C5736" t="s">
        <v>50</v>
      </c>
      <c r="D5736" t="s">
        <v>10146</v>
      </c>
      <c r="E5736" t="s">
        <v>460</v>
      </c>
      <c r="F5736" t="s">
        <v>108</v>
      </c>
      <c r="G5736" t="s">
        <v>237</v>
      </c>
      <c r="H5736" t="str">
        <f>"ΧΟΥΔΕΤΣΙ ΠΕΔΙΑΔΟΣ ΗΡΑΚΛΕΙΟΥ"</f>
        <v>ΧΟΥΔΕΤΣΙ ΠΕΔΙΑΔΟΣ ΗΡΑΚΛΕΙΟΥ</v>
      </c>
      <c r="I5736">
        <v>70100</v>
      </c>
      <c r="J5736">
        <v>2810237344</v>
      </c>
      <c r="K5736">
        <v>6937100337</v>
      </c>
      <c r="N5736" t="s">
        <v>176</v>
      </c>
      <c r="O5736" t="s">
        <v>177</v>
      </c>
      <c r="R5736" t="s">
        <v>57</v>
      </c>
      <c r="S5736">
        <v>6</v>
      </c>
      <c r="T5736">
        <v>775</v>
      </c>
      <c r="U5736" s="1">
        <v>39680</v>
      </c>
      <c r="V5736" t="s">
        <v>80</v>
      </c>
      <c r="W5736" t="s">
        <v>81</v>
      </c>
      <c r="X5736" t="s">
        <v>58</v>
      </c>
      <c r="Y5736">
        <v>23</v>
      </c>
      <c r="Z5736" t="s">
        <v>59</v>
      </c>
      <c r="AA5736" t="s">
        <v>59</v>
      </c>
      <c r="AB5736" t="s">
        <v>59</v>
      </c>
      <c r="AC5736" t="s">
        <v>59</v>
      </c>
      <c r="AD5736" t="s">
        <v>59</v>
      </c>
      <c r="AF5736" s="1">
        <v>39681</v>
      </c>
      <c r="AG5736" t="s">
        <v>8645</v>
      </c>
      <c r="AH5736" t="s">
        <v>8646</v>
      </c>
      <c r="AI5736" t="str">
        <f>"9170126"</f>
        <v>9170126</v>
      </c>
      <c r="AJ5736" t="s">
        <v>9041</v>
      </c>
      <c r="AK5736">
        <v>2810871213</v>
      </c>
      <c r="AL5736" t="s">
        <v>9042</v>
      </c>
      <c r="AM5736" t="s">
        <v>78</v>
      </c>
      <c r="AN5736" t="s">
        <v>78</v>
      </c>
      <c r="AO5736" t="s">
        <v>437</v>
      </c>
      <c r="AP5736" t="s">
        <v>438</v>
      </c>
      <c r="AQ5736">
        <v>5</v>
      </c>
      <c r="AR5736" t="s">
        <v>80</v>
      </c>
      <c r="AS5736" t="s">
        <v>81</v>
      </c>
      <c r="AT5736" t="s">
        <v>58</v>
      </c>
      <c r="AU5736" t="s">
        <v>68</v>
      </c>
      <c r="AV5736" t="s">
        <v>69</v>
      </c>
      <c r="AW5736" s="1">
        <v>26229</v>
      </c>
      <c r="AX5736">
        <v>1</v>
      </c>
    </row>
    <row r="5737" spans="1:50">
      <c r="A5737">
        <v>571531</v>
      </c>
      <c r="B5737" t="str">
        <f>"034785913"</f>
        <v>034785913</v>
      </c>
      <c r="C5737" t="s">
        <v>50</v>
      </c>
      <c r="D5737" t="s">
        <v>10147</v>
      </c>
      <c r="E5737" t="s">
        <v>755</v>
      </c>
      <c r="F5737" t="s">
        <v>166</v>
      </c>
      <c r="G5737" t="s">
        <v>10148</v>
      </c>
      <c r="H5737" t="str">
        <f>"ΘΕΜΟΥ ΚΟΡΝΑΡΟΥ 13 ΗΡΑΚΛΕΙΟ"</f>
        <v>ΘΕΜΟΥ ΚΟΡΝΑΡΟΥ 13 ΗΡΑΚΛΕΙΟ</v>
      </c>
      <c r="I5737">
        <v>71306</v>
      </c>
      <c r="J5737">
        <v>2810213460</v>
      </c>
      <c r="K5737">
        <v>6936151303</v>
      </c>
      <c r="N5737" t="s">
        <v>1525</v>
      </c>
      <c r="O5737" t="s">
        <v>1526</v>
      </c>
      <c r="R5737" t="s">
        <v>57</v>
      </c>
      <c r="S5737">
        <v>14</v>
      </c>
      <c r="T5737">
        <v>138</v>
      </c>
      <c r="U5737" s="1">
        <v>34206</v>
      </c>
      <c r="V5737" t="s">
        <v>80</v>
      </c>
      <c r="W5737" t="s">
        <v>81</v>
      </c>
      <c r="X5737" t="s">
        <v>58</v>
      </c>
      <c r="Y5737">
        <v>25</v>
      </c>
      <c r="Z5737" t="s">
        <v>59</v>
      </c>
      <c r="AA5737" t="s">
        <v>59</v>
      </c>
      <c r="AB5737" t="s">
        <v>59</v>
      </c>
      <c r="AC5737" t="s">
        <v>59</v>
      </c>
      <c r="AD5737" t="s">
        <v>59</v>
      </c>
      <c r="AF5737" s="1">
        <v>34213</v>
      </c>
      <c r="AG5737" t="s">
        <v>8651</v>
      </c>
      <c r="AH5737" t="s">
        <v>8652</v>
      </c>
      <c r="AI5737" t="str">
        <f>"9170188"</f>
        <v>9170188</v>
      </c>
      <c r="AJ5737" t="s">
        <v>10149</v>
      </c>
      <c r="AK5737">
        <v>2810212635</v>
      </c>
      <c r="AL5737" t="s">
        <v>10150</v>
      </c>
      <c r="AM5737" t="s">
        <v>78</v>
      </c>
      <c r="AN5737" t="s">
        <v>78</v>
      </c>
      <c r="AO5737" t="s">
        <v>78</v>
      </c>
      <c r="AP5737" t="s">
        <v>79</v>
      </c>
      <c r="AQ5737">
        <v>1</v>
      </c>
      <c r="AR5737" t="s">
        <v>80</v>
      </c>
      <c r="AS5737" t="s">
        <v>81</v>
      </c>
      <c r="AT5737" t="s">
        <v>58</v>
      </c>
      <c r="AU5737" t="s">
        <v>68</v>
      </c>
      <c r="AV5737" t="s">
        <v>69</v>
      </c>
      <c r="AW5737" s="1">
        <v>24118</v>
      </c>
      <c r="AX5737">
        <v>1</v>
      </c>
    </row>
    <row r="5738" spans="1:50">
      <c r="B5738" t="str">
        <f>"069300430"</f>
        <v>069300430</v>
      </c>
      <c r="C5738" t="s">
        <v>50</v>
      </c>
      <c r="D5738" t="s">
        <v>10151</v>
      </c>
      <c r="E5738" t="s">
        <v>1207</v>
      </c>
      <c r="F5738" t="s">
        <v>106</v>
      </c>
      <c r="G5738" t="s">
        <v>6093</v>
      </c>
      <c r="H5738" t="str">
        <f>" "</f>
        <v xml:space="preserve"> </v>
      </c>
      <c r="N5738" t="s">
        <v>1525</v>
      </c>
      <c r="O5738" t="s">
        <v>1526</v>
      </c>
      <c r="R5738" t="s">
        <v>159</v>
      </c>
      <c r="S5738">
        <v>2</v>
      </c>
      <c r="T5738" t="s">
        <v>8670</v>
      </c>
      <c r="U5738" s="1">
        <v>43348</v>
      </c>
      <c r="V5738" t="s">
        <v>80</v>
      </c>
      <c r="W5738" t="s">
        <v>81</v>
      </c>
      <c r="X5738" t="s">
        <v>58</v>
      </c>
      <c r="Y5738">
        <v>25</v>
      </c>
      <c r="Z5738" t="s">
        <v>59</v>
      </c>
      <c r="AA5738" t="s">
        <v>59</v>
      </c>
      <c r="AB5738" t="s">
        <v>59</v>
      </c>
      <c r="AD5738" t="s">
        <v>59</v>
      </c>
      <c r="AF5738" s="1">
        <v>43348</v>
      </c>
      <c r="AG5738" t="s">
        <v>8651</v>
      </c>
      <c r="AH5738" t="s">
        <v>8652</v>
      </c>
      <c r="AI5738" t="str">
        <f>"9170337"</f>
        <v>9170337</v>
      </c>
      <c r="AJ5738" t="s">
        <v>10152</v>
      </c>
      <c r="AK5738">
        <v>2892053029</v>
      </c>
      <c r="AL5738" t="s">
        <v>10153</v>
      </c>
      <c r="AM5738" t="s">
        <v>78</v>
      </c>
      <c r="AN5738" t="s">
        <v>242</v>
      </c>
      <c r="AO5738" t="s">
        <v>349</v>
      </c>
      <c r="AP5738" t="s">
        <v>349</v>
      </c>
      <c r="AQ5738">
        <v>19</v>
      </c>
      <c r="AR5738" t="s">
        <v>80</v>
      </c>
      <c r="AS5738" t="s">
        <v>81</v>
      </c>
      <c r="AT5738" t="s">
        <v>58</v>
      </c>
      <c r="AU5738" t="s">
        <v>8673</v>
      </c>
      <c r="AV5738" t="s">
        <v>132</v>
      </c>
      <c r="AW5738" s="1">
        <v>25715</v>
      </c>
      <c r="AX5738">
        <v>1</v>
      </c>
    </row>
    <row r="5739" spans="1:50">
      <c r="A5739">
        <v>579144</v>
      </c>
      <c r="B5739" t="str">
        <f>"035292760"</f>
        <v>035292760</v>
      </c>
      <c r="C5739" t="s">
        <v>50</v>
      </c>
      <c r="D5739" t="s">
        <v>10154</v>
      </c>
      <c r="E5739" t="s">
        <v>83</v>
      </c>
      <c r="F5739" t="s">
        <v>53</v>
      </c>
      <c r="G5739" t="s">
        <v>52</v>
      </c>
      <c r="H5739" t="str">
        <f>" "</f>
        <v xml:space="preserve"> </v>
      </c>
      <c r="N5739" t="s">
        <v>615</v>
      </c>
      <c r="O5739" t="s">
        <v>616</v>
      </c>
      <c r="R5739" t="s">
        <v>57</v>
      </c>
      <c r="S5739">
        <v>13</v>
      </c>
      <c r="T5739">
        <v>165</v>
      </c>
      <c r="U5739" s="1">
        <v>35300</v>
      </c>
      <c r="V5739" t="s">
        <v>80</v>
      </c>
      <c r="W5739" t="s">
        <v>81</v>
      </c>
      <c r="X5739" t="s">
        <v>58</v>
      </c>
      <c r="Y5739">
        <v>21</v>
      </c>
      <c r="Z5739" t="s">
        <v>59</v>
      </c>
      <c r="AA5739" t="s">
        <v>59</v>
      </c>
      <c r="AB5739" t="s">
        <v>59</v>
      </c>
      <c r="AC5739" t="s">
        <v>59</v>
      </c>
      <c r="AD5739" t="s">
        <v>59</v>
      </c>
      <c r="AF5739" s="1">
        <v>35313</v>
      </c>
      <c r="AG5739" t="s">
        <v>8645</v>
      </c>
      <c r="AH5739" t="s">
        <v>8646</v>
      </c>
      <c r="AI5739" t="str">
        <f>"9170255"</f>
        <v>9170255</v>
      </c>
      <c r="AJ5739" t="s">
        <v>8915</v>
      </c>
      <c r="AK5739">
        <v>2810220750</v>
      </c>
      <c r="AL5739" t="s">
        <v>8916</v>
      </c>
      <c r="AM5739" t="s">
        <v>78</v>
      </c>
      <c r="AN5739" t="s">
        <v>78</v>
      </c>
      <c r="AO5739" t="s">
        <v>78</v>
      </c>
      <c r="AP5739" t="s">
        <v>213</v>
      </c>
      <c r="AQ5739">
        <v>1</v>
      </c>
      <c r="AR5739" t="s">
        <v>80</v>
      </c>
      <c r="AS5739" t="s">
        <v>81</v>
      </c>
      <c r="AT5739" t="s">
        <v>58</v>
      </c>
      <c r="AU5739" t="s">
        <v>68</v>
      </c>
      <c r="AV5739" t="s">
        <v>69</v>
      </c>
      <c r="AW5739" s="1">
        <v>24533</v>
      </c>
      <c r="AX5739">
        <v>1</v>
      </c>
    </row>
    <row r="5740" spans="1:50">
      <c r="A5740">
        <v>701462</v>
      </c>
      <c r="B5740" t="str">
        <f>"123692800"</f>
        <v>123692800</v>
      </c>
      <c r="C5740" t="s">
        <v>50</v>
      </c>
      <c r="D5740" t="s">
        <v>1985</v>
      </c>
      <c r="E5740" t="s">
        <v>255</v>
      </c>
      <c r="F5740" t="s">
        <v>408</v>
      </c>
      <c r="G5740" t="s">
        <v>73</v>
      </c>
      <c r="H5740" t="str">
        <f>"ΘΕΡΙΣΟΥ 38 ΜΟΙΡΕΣ"</f>
        <v>ΘΕΡΙΣΟΥ 38 ΜΟΙΡΕΣ</v>
      </c>
      <c r="I5740">
        <v>70400</v>
      </c>
      <c r="J5740">
        <v>2892022039</v>
      </c>
      <c r="K5740">
        <v>6970379323</v>
      </c>
      <c r="M5740" t="s">
        <v>10155</v>
      </c>
      <c r="N5740" t="s">
        <v>615</v>
      </c>
      <c r="O5740" t="s">
        <v>616</v>
      </c>
      <c r="R5740" t="s">
        <v>57</v>
      </c>
      <c r="S5740">
        <v>4</v>
      </c>
      <c r="T5740">
        <v>772</v>
      </c>
      <c r="U5740" s="1">
        <v>40413</v>
      </c>
      <c r="V5740" t="s">
        <v>80</v>
      </c>
      <c r="W5740" t="s">
        <v>81</v>
      </c>
      <c r="X5740" t="s">
        <v>58</v>
      </c>
      <c r="Y5740">
        <v>24</v>
      </c>
      <c r="Z5740" t="s">
        <v>59</v>
      </c>
      <c r="AA5740" t="s">
        <v>59</v>
      </c>
      <c r="AB5740" t="s">
        <v>59</v>
      </c>
      <c r="AC5740" t="s">
        <v>59</v>
      </c>
      <c r="AD5740" t="s">
        <v>59</v>
      </c>
      <c r="AF5740" s="1">
        <v>40413</v>
      </c>
      <c r="AG5740" t="s">
        <v>8645</v>
      </c>
      <c r="AH5740" t="s">
        <v>8646</v>
      </c>
      <c r="AI5740" t="str">
        <f>"9170295"</f>
        <v>9170295</v>
      </c>
      <c r="AJ5740" t="s">
        <v>9283</v>
      </c>
      <c r="AK5740">
        <v>2892042231</v>
      </c>
      <c r="AL5740" t="s">
        <v>9284</v>
      </c>
      <c r="AM5740" t="s">
        <v>78</v>
      </c>
      <c r="AN5740" t="s">
        <v>242</v>
      </c>
      <c r="AO5740" t="s">
        <v>243</v>
      </c>
      <c r="AP5740" t="s">
        <v>9285</v>
      </c>
      <c r="AQ5740">
        <v>18</v>
      </c>
      <c r="AR5740" t="s">
        <v>80</v>
      </c>
      <c r="AS5740" t="s">
        <v>81</v>
      </c>
      <c r="AT5740" t="s">
        <v>58</v>
      </c>
      <c r="AU5740" t="s">
        <v>68</v>
      </c>
      <c r="AV5740" t="s">
        <v>69</v>
      </c>
      <c r="AW5740" s="1">
        <v>31603</v>
      </c>
      <c r="AX5740">
        <v>1</v>
      </c>
    </row>
    <row r="5741" spans="1:50">
      <c r="B5741" t="str">
        <f>"159204530"</f>
        <v>159204530</v>
      </c>
      <c r="C5741" t="s">
        <v>50</v>
      </c>
      <c r="D5741" t="s">
        <v>10156</v>
      </c>
      <c r="E5741" t="s">
        <v>52</v>
      </c>
      <c r="F5741" t="s">
        <v>920</v>
      </c>
      <c r="G5741" t="s">
        <v>237</v>
      </c>
      <c r="H5741" t="str">
        <f>" "</f>
        <v xml:space="preserve"> </v>
      </c>
      <c r="N5741" t="s">
        <v>615</v>
      </c>
      <c r="O5741" t="s">
        <v>616</v>
      </c>
      <c r="R5741" t="s">
        <v>159</v>
      </c>
      <c r="S5741">
        <v>1</v>
      </c>
      <c r="T5741" t="s">
        <v>8675</v>
      </c>
      <c r="U5741" s="1">
        <v>43348</v>
      </c>
      <c r="V5741" t="s">
        <v>80</v>
      </c>
      <c r="W5741" t="s">
        <v>81</v>
      </c>
      <c r="X5741" t="s">
        <v>58</v>
      </c>
      <c r="Y5741">
        <v>24</v>
      </c>
      <c r="Z5741" t="s">
        <v>59</v>
      </c>
      <c r="AA5741" t="s">
        <v>59</v>
      </c>
      <c r="AB5741" t="s">
        <v>59</v>
      </c>
      <c r="AD5741" t="s">
        <v>59</v>
      </c>
      <c r="AF5741" s="1">
        <v>43348</v>
      </c>
      <c r="AG5741" t="s">
        <v>8645</v>
      </c>
      <c r="AH5741" t="s">
        <v>8646</v>
      </c>
      <c r="AI5741" t="str">
        <f>"9170250"</f>
        <v>9170250</v>
      </c>
      <c r="AJ5741" t="s">
        <v>8823</v>
      </c>
      <c r="AK5741">
        <v>2897022005</v>
      </c>
      <c r="AL5741" t="s">
        <v>8824</v>
      </c>
      <c r="AM5741" t="s">
        <v>78</v>
      </c>
      <c r="AN5741" t="s">
        <v>219</v>
      </c>
      <c r="AO5741" t="s">
        <v>219</v>
      </c>
      <c r="AP5741" t="s">
        <v>219</v>
      </c>
      <c r="AQ5741">
        <v>8</v>
      </c>
      <c r="AR5741" t="s">
        <v>80</v>
      </c>
      <c r="AS5741" t="s">
        <v>81</v>
      </c>
      <c r="AT5741" t="s">
        <v>58</v>
      </c>
      <c r="AU5741" t="s">
        <v>8673</v>
      </c>
      <c r="AV5741" t="s">
        <v>132</v>
      </c>
      <c r="AW5741" s="1">
        <v>33959</v>
      </c>
      <c r="AX5741">
        <v>1</v>
      </c>
    </row>
    <row r="5742" spans="1:50">
      <c r="A5742">
        <v>617307</v>
      </c>
      <c r="B5742" t="str">
        <f>"110725568"</f>
        <v>110725568</v>
      </c>
      <c r="C5742" t="s">
        <v>50</v>
      </c>
      <c r="D5742" t="s">
        <v>1987</v>
      </c>
      <c r="E5742" t="s">
        <v>52</v>
      </c>
      <c r="F5742" t="s">
        <v>166</v>
      </c>
      <c r="G5742" t="s">
        <v>809</v>
      </c>
      <c r="H5742" t="str">
        <f>"ΑΡΕΤΗΣ 3 ΓΑΖΙ"</f>
        <v>ΑΡΕΤΗΣ 3 ΓΑΖΙ</v>
      </c>
      <c r="I5742">
        <v>71414</v>
      </c>
      <c r="J5742">
        <v>2810823212</v>
      </c>
      <c r="K5742">
        <v>6974121064</v>
      </c>
      <c r="N5742" t="s">
        <v>615</v>
      </c>
      <c r="O5742" t="s">
        <v>616</v>
      </c>
      <c r="R5742" t="s">
        <v>57</v>
      </c>
      <c r="S5742">
        <v>6</v>
      </c>
      <c r="T5742">
        <v>774</v>
      </c>
      <c r="U5742" s="1">
        <v>39680</v>
      </c>
      <c r="V5742" t="s">
        <v>80</v>
      </c>
      <c r="W5742" t="s">
        <v>81</v>
      </c>
      <c r="X5742" t="s">
        <v>58</v>
      </c>
      <c r="Y5742">
        <v>23</v>
      </c>
      <c r="Z5742" t="s">
        <v>59</v>
      </c>
      <c r="AA5742" t="s">
        <v>59</v>
      </c>
      <c r="AB5742" t="s">
        <v>59</v>
      </c>
      <c r="AC5742" t="s">
        <v>59</v>
      </c>
      <c r="AD5742" t="s">
        <v>59</v>
      </c>
      <c r="AF5742" s="1">
        <v>39681</v>
      </c>
      <c r="AG5742" t="s">
        <v>8645</v>
      </c>
      <c r="AH5742" t="s">
        <v>8646</v>
      </c>
      <c r="AI5742" t="str">
        <f>"9170018"</f>
        <v>9170018</v>
      </c>
      <c r="AJ5742" t="s">
        <v>8924</v>
      </c>
      <c r="AK5742">
        <v>2810821217</v>
      </c>
      <c r="AL5742" t="s">
        <v>8925</v>
      </c>
      <c r="AM5742" t="s">
        <v>78</v>
      </c>
      <c r="AN5742" t="s">
        <v>129</v>
      </c>
      <c r="AO5742" t="s">
        <v>130</v>
      </c>
      <c r="AP5742" t="s">
        <v>130</v>
      </c>
      <c r="AQ5742">
        <v>1</v>
      </c>
      <c r="AR5742" t="s">
        <v>80</v>
      </c>
      <c r="AS5742" t="s">
        <v>81</v>
      </c>
      <c r="AT5742" t="s">
        <v>58</v>
      </c>
      <c r="AU5742" t="s">
        <v>68</v>
      </c>
      <c r="AV5742" t="s">
        <v>69</v>
      </c>
      <c r="AW5742" s="1">
        <v>30601</v>
      </c>
      <c r="AX5742">
        <v>1</v>
      </c>
    </row>
    <row r="5743" spans="1:50">
      <c r="A5743">
        <v>603763</v>
      </c>
      <c r="B5743" t="str">
        <f>"062402055"</f>
        <v>062402055</v>
      </c>
      <c r="C5743" t="s">
        <v>50</v>
      </c>
      <c r="D5743" t="s">
        <v>1987</v>
      </c>
      <c r="E5743" t="s">
        <v>681</v>
      </c>
      <c r="F5743" t="s">
        <v>72</v>
      </c>
      <c r="G5743" t="s">
        <v>83</v>
      </c>
      <c r="H5743" t="str">
        <f>"ΠΕΝΤΑΜΥΔΙ ΑΓΙΟΣ ΜΥΡΩΝΑΣ"</f>
        <v>ΠΕΝΤΑΜΥΔΙ ΑΓΙΟΣ ΜΥΡΩΝΑΣ</v>
      </c>
      <c r="I5743">
        <v>70013</v>
      </c>
      <c r="J5743">
        <v>2810722004</v>
      </c>
      <c r="K5743">
        <v>6976873001</v>
      </c>
      <c r="N5743" t="s">
        <v>74</v>
      </c>
      <c r="O5743" t="s">
        <v>75</v>
      </c>
      <c r="R5743" t="s">
        <v>57</v>
      </c>
      <c r="S5743">
        <v>10</v>
      </c>
      <c r="T5743" t="s">
        <v>10157</v>
      </c>
      <c r="U5743" s="1">
        <v>37813</v>
      </c>
      <c r="V5743" t="s">
        <v>80</v>
      </c>
      <c r="W5743" t="s">
        <v>81</v>
      </c>
      <c r="X5743" t="s">
        <v>58</v>
      </c>
      <c r="Y5743">
        <v>21</v>
      </c>
      <c r="Z5743" t="s">
        <v>59</v>
      </c>
      <c r="AA5743" t="s">
        <v>59</v>
      </c>
      <c r="AB5743" t="s">
        <v>59</v>
      </c>
      <c r="AC5743" t="s">
        <v>59</v>
      </c>
      <c r="AD5743" t="s">
        <v>59</v>
      </c>
      <c r="AF5743" s="1">
        <v>37844</v>
      </c>
      <c r="AG5743" t="s">
        <v>8645</v>
      </c>
      <c r="AH5743" t="s">
        <v>8697</v>
      </c>
      <c r="AI5743" t="str">
        <f>"9170511"</f>
        <v>9170511</v>
      </c>
      <c r="AJ5743" t="s">
        <v>8698</v>
      </c>
      <c r="AK5743">
        <v>2810316275</v>
      </c>
      <c r="AL5743" t="s">
        <v>8699</v>
      </c>
      <c r="AM5743" t="s">
        <v>78</v>
      </c>
      <c r="AN5743" t="s">
        <v>78</v>
      </c>
      <c r="AO5743" t="s">
        <v>78</v>
      </c>
      <c r="AP5743" t="s">
        <v>141</v>
      </c>
      <c r="AQ5743">
        <v>1</v>
      </c>
      <c r="AR5743" t="s">
        <v>80</v>
      </c>
      <c r="AS5743" t="s">
        <v>81</v>
      </c>
      <c r="AT5743" t="s">
        <v>58</v>
      </c>
      <c r="AU5743" t="s">
        <v>68</v>
      </c>
      <c r="AV5743" t="s">
        <v>69</v>
      </c>
      <c r="AW5743" s="1">
        <v>26213</v>
      </c>
      <c r="AX5743">
        <v>1</v>
      </c>
    </row>
    <row r="5744" spans="1:50">
      <c r="A5744">
        <v>553680</v>
      </c>
      <c r="B5744" t="str">
        <f>"030218301"</f>
        <v>030218301</v>
      </c>
      <c r="C5744" t="s">
        <v>105</v>
      </c>
      <c r="D5744" t="s">
        <v>1999</v>
      </c>
      <c r="E5744" t="s">
        <v>72</v>
      </c>
      <c r="F5744" t="s">
        <v>166</v>
      </c>
      <c r="G5744" t="s">
        <v>109</v>
      </c>
      <c r="H5744" t="str">
        <f>"Θ. Παπαοικονόμου 5 Ν. Αλικαρνασσού"</f>
        <v>Θ. Παπαοικονόμου 5 Ν. Αλικαρνασσού</v>
      </c>
      <c r="I5744">
        <v>71601</v>
      </c>
      <c r="J5744">
        <v>2810241066</v>
      </c>
      <c r="K5744">
        <v>6972341173</v>
      </c>
      <c r="N5744" t="s">
        <v>615</v>
      </c>
      <c r="O5744" t="s">
        <v>616</v>
      </c>
      <c r="R5744" t="s">
        <v>57</v>
      </c>
      <c r="S5744">
        <v>16</v>
      </c>
      <c r="T5744">
        <v>235</v>
      </c>
      <c r="U5744" s="1">
        <v>31289</v>
      </c>
      <c r="V5744" t="s">
        <v>80</v>
      </c>
      <c r="W5744" t="s">
        <v>81</v>
      </c>
      <c r="X5744" t="s">
        <v>58</v>
      </c>
      <c r="Y5744">
        <v>21</v>
      </c>
      <c r="Z5744" t="s">
        <v>59</v>
      </c>
      <c r="AA5744" t="s">
        <v>59</v>
      </c>
      <c r="AB5744" t="s">
        <v>59</v>
      </c>
      <c r="AC5744" t="s">
        <v>59</v>
      </c>
      <c r="AD5744" t="s">
        <v>59</v>
      </c>
      <c r="AF5744" s="1">
        <v>31299</v>
      </c>
      <c r="AG5744" t="s">
        <v>8645</v>
      </c>
      <c r="AH5744" t="s">
        <v>8646</v>
      </c>
      <c r="AI5744" t="str">
        <f>"9170262"</f>
        <v>9170262</v>
      </c>
      <c r="AJ5744" t="s">
        <v>9224</v>
      </c>
      <c r="AK5744">
        <v>2810245912</v>
      </c>
      <c r="AL5744" t="s">
        <v>9225</v>
      </c>
      <c r="AM5744" t="s">
        <v>78</v>
      </c>
      <c r="AN5744" t="s">
        <v>78</v>
      </c>
      <c r="AO5744" t="s">
        <v>286</v>
      </c>
      <c r="AP5744" t="s">
        <v>286</v>
      </c>
      <c r="AQ5744">
        <v>1</v>
      </c>
      <c r="AR5744" t="s">
        <v>80</v>
      </c>
      <c r="AS5744" t="s">
        <v>81</v>
      </c>
      <c r="AT5744" t="s">
        <v>58</v>
      </c>
      <c r="AU5744" t="s">
        <v>68</v>
      </c>
      <c r="AV5744" t="s">
        <v>69</v>
      </c>
      <c r="AW5744" s="1">
        <v>22782</v>
      </c>
      <c r="AX5744">
        <v>1</v>
      </c>
    </row>
    <row r="5745" spans="1:50">
      <c r="A5745">
        <v>598629</v>
      </c>
      <c r="B5745" t="str">
        <f>"053081560"</f>
        <v>053081560</v>
      </c>
      <c r="C5745" t="s">
        <v>105</v>
      </c>
      <c r="D5745" t="s">
        <v>10158</v>
      </c>
      <c r="E5745" t="s">
        <v>95</v>
      </c>
      <c r="F5745" t="s">
        <v>383</v>
      </c>
      <c r="G5745" t="s">
        <v>221</v>
      </c>
      <c r="H5745" t="str">
        <f>"ΒΑΛΕΣΤΡΑ 94 ΗΡΑΚΛΕΙΟ"</f>
        <v>ΒΑΛΕΣΤΡΑ 94 ΗΡΑΚΛΕΙΟ</v>
      </c>
      <c r="I5745">
        <v>71202</v>
      </c>
      <c r="J5745">
        <v>2810824946</v>
      </c>
      <c r="K5745">
        <v>6946053541</v>
      </c>
      <c r="N5745" t="s">
        <v>615</v>
      </c>
      <c r="O5745" t="s">
        <v>616</v>
      </c>
      <c r="R5745" t="s">
        <v>57</v>
      </c>
      <c r="S5745">
        <v>9</v>
      </c>
      <c r="T5745">
        <v>195</v>
      </c>
      <c r="U5745" s="1">
        <v>33818</v>
      </c>
      <c r="V5745" t="s">
        <v>80</v>
      </c>
      <c r="W5745" t="s">
        <v>81</v>
      </c>
      <c r="X5745" t="s">
        <v>58</v>
      </c>
      <c r="Y5745">
        <v>22</v>
      </c>
      <c r="Z5745" t="s">
        <v>59</v>
      </c>
      <c r="AA5745" t="s">
        <v>59</v>
      </c>
      <c r="AB5745" t="s">
        <v>59</v>
      </c>
      <c r="AC5745" t="s">
        <v>59</v>
      </c>
      <c r="AD5745" t="s">
        <v>59</v>
      </c>
      <c r="AF5745" s="1">
        <v>37502</v>
      </c>
      <c r="AG5745" t="s">
        <v>8645</v>
      </c>
      <c r="AH5745" t="s">
        <v>8646</v>
      </c>
      <c r="AI5745" t="str">
        <f>"9170018"</f>
        <v>9170018</v>
      </c>
      <c r="AJ5745" t="s">
        <v>8924</v>
      </c>
      <c r="AK5745">
        <v>2810821217</v>
      </c>
      <c r="AL5745" t="s">
        <v>8925</v>
      </c>
      <c r="AM5745" t="s">
        <v>78</v>
      </c>
      <c r="AN5745" t="s">
        <v>129</v>
      </c>
      <c r="AO5745" t="s">
        <v>130</v>
      </c>
      <c r="AP5745" t="s">
        <v>130</v>
      </c>
      <c r="AQ5745">
        <v>1</v>
      </c>
      <c r="AR5745" t="s">
        <v>80</v>
      </c>
      <c r="AS5745" t="s">
        <v>81</v>
      </c>
      <c r="AT5745" t="s">
        <v>58</v>
      </c>
      <c r="AU5745" t="s">
        <v>68</v>
      </c>
      <c r="AV5745" t="s">
        <v>69</v>
      </c>
      <c r="AW5745" s="1">
        <v>23245</v>
      </c>
      <c r="AX5745">
        <v>1</v>
      </c>
    </row>
    <row r="5746" spans="1:50">
      <c r="A5746">
        <v>619600</v>
      </c>
      <c r="B5746" t="str">
        <f>"119686611"</f>
        <v>119686611</v>
      </c>
      <c r="C5746" t="s">
        <v>50</v>
      </c>
      <c r="D5746" t="s">
        <v>10159</v>
      </c>
      <c r="E5746" t="s">
        <v>1078</v>
      </c>
      <c r="F5746" t="s">
        <v>106</v>
      </c>
      <c r="G5746" t="s">
        <v>54</v>
      </c>
      <c r="H5746" t="str">
        <f>"ΑΓΙΑΣ ΦΩΤΕΙΝΗΣ  Τ.Θ.735 Ν. ΑΛΙΚ/ΣΟΣ"</f>
        <v>ΑΓΙΑΣ ΦΩΤΕΙΝΗΣ  Τ.Θ.735 Ν. ΑΛΙΚ/ΣΟΣ</v>
      </c>
      <c r="I5746">
        <v>71500</v>
      </c>
      <c r="J5746">
        <v>2810381283</v>
      </c>
      <c r="K5746">
        <v>6946400884</v>
      </c>
      <c r="N5746" t="s">
        <v>1525</v>
      </c>
      <c r="O5746" t="s">
        <v>1526</v>
      </c>
      <c r="R5746" t="s">
        <v>57</v>
      </c>
      <c r="S5746">
        <v>5</v>
      </c>
      <c r="T5746">
        <v>774</v>
      </c>
      <c r="U5746" s="1">
        <v>39680</v>
      </c>
      <c r="V5746" t="s">
        <v>80</v>
      </c>
      <c r="W5746" t="s">
        <v>81</v>
      </c>
      <c r="X5746" t="s">
        <v>58</v>
      </c>
      <c r="Y5746">
        <v>25</v>
      </c>
      <c r="Z5746" t="s">
        <v>59</v>
      </c>
      <c r="AA5746" t="s">
        <v>59</v>
      </c>
      <c r="AB5746" t="s">
        <v>59</v>
      </c>
      <c r="AC5746" t="s">
        <v>59</v>
      </c>
      <c r="AD5746" t="s">
        <v>59</v>
      </c>
      <c r="AF5746" s="1">
        <v>39681</v>
      </c>
      <c r="AG5746" t="s">
        <v>8651</v>
      </c>
      <c r="AH5746" t="s">
        <v>8652</v>
      </c>
      <c r="AI5746" t="str">
        <f>"9170367"</f>
        <v>9170367</v>
      </c>
      <c r="AJ5746" t="s">
        <v>9070</v>
      </c>
      <c r="AK5746">
        <v>2810244550</v>
      </c>
      <c r="AL5746" t="s">
        <v>9071</v>
      </c>
      <c r="AM5746" t="s">
        <v>78</v>
      </c>
      <c r="AN5746" t="s">
        <v>78</v>
      </c>
      <c r="AO5746" t="s">
        <v>286</v>
      </c>
      <c r="AP5746" t="s">
        <v>286</v>
      </c>
      <c r="AQ5746">
        <v>1</v>
      </c>
      <c r="AR5746" t="s">
        <v>80</v>
      </c>
      <c r="AS5746" t="s">
        <v>81</v>
      </c>
      <c r="AT5746" t="s">
        <v>58</v>
      </c>
      <c r="AU5746" t="s">
        <v>68</v>
      </c>
      <c r="AV5746" t="s">
        <v>69</v>
      </c>
      <c r="AW5746" s="1">
        <v>30504</v>
      </c>
      <c r="AX5746">
        <v>1</v>
      </c>
    </row>
    <row r="5747" spans="1:50">
      <c r="A5747">
        <v>613159</v>
      </c>
      <c r="B5747" t="str">
        <f>"131483853"</f>
        <v>131483853</v>
      </c>
      <c r="C5747" t="s">
        <v>105</v>
      </c>
      <c r="D5747" t="s">
        <v>10160</v>
      </c>
      <c r="E5747" t="s">
        <v>166</v>
      </c>
      <c r="F5747" t="s">
        <v>106</v>
      </c>
      <c r="G5747" t="s">
        <v>52</v>
      </c>
      <c r="H5747" t="str">
        <f>"ΠΡΟΜΗΘΕΑ 17 ΗΡΑΚΛΕΙΟ"</f>
        <v>ΠΡΟΜΗΘΕΑ 17 ΗΡΑΚΛΕΙΟ</v>
      </c>
      <c r="I5747">
        <v>71500</v>
      </c>
      <c r="J5747">
        <v>2810851394</v>
      </c>
      <c r="K5747">
        <v>6977005045</v>
      </c>
      <c r="M5747" t="s">
        <v>10161</v>
      </c>
      <c r="N5747" t="s">
        <v>615</v>
      </c>
      <c r="O5747" t="s">
        <v>616</v>
      </c>
      <c r="R5747" t="s">
        <v>57</v>
      </c>
      <c r="S5747">
        <v>8</v>
      </c>
      <c r="T5747">
        <v>598</v>
      </c>
      <c r="U5747" s="1">
        <v>39310</v>
      </c>
      <c r="V5747" t="s">
        <v>80</v>
      </c>
      <c r="W5747" t="s">
        <v>81</v>
      </c>
      <c r="X5747" t="s">
        <v>58</v>
      </c>
      <c r="Y5747">
        <v>23</v>
      </c>
      <c r="Z5747" t="s">
        <v>59</v>
      </c>
      <c r="AA5747" t="s">
        <v>59</v>
      </c>
      <c r="AB5747" t="s">
        <v>59</v>
      </c>
      <c r="AC5747" t="s">
        <v>59</v>
      </c>
      <c r="AD5747" t="s">
        <v>59</v>
      </c>
      <c r="AF5747" s="1">
        <v>39328</v>
      </c>
      <c r="AG5747" t="s">
        <v>8645</v>
      </c>
      <c r="AH5747" t="s">
        <v>8646</v>
      </c>
      <c r="AI5747" t="str">
        <f>"9170494"</f>
        <v>9170494</v>
      </c>
      <c r="AJ5747" t="s">
        <v>9125</v>
      </c>
      <c r="AK5747">
        <v>2810228361</v>
      </c>
      <c r="AL5747" t="s">
        <v>9126</v>
      </c>
      <c r="AM5747" t="s">
        <v>78</v>
      </c>
      <c r="AN5747" t="s">
        <v>78</v>
      </c>
      <c r="AO5747" t="s">
        <v>78</v>
      </c>
      <c r="AP5747" t="s">
        <v>79</v>
      </c>
      <c r="AQ5747">
        <v>1</v>
      </c>
      <c r="AR5747" t="s">
        <v>80</v>
      </c>
      <c r="AS5747" t="s">
        <v>81</v>
      </c>
      <c r="AT5747" t="s">
        <v>58</v>
      </c>
      <c r="AU5747" t="s">
        <v>68</v>
      </c>
      <c r="AV5747" t="s">
        <v>2039</v>
      </c>
      <c r="AW5747" s="1">
        <v>29443</v>
      </c>
      <c r="AX5747">
        <v>1</v>
      </c>
    </row>
    <row r="5748" spans="1:50">
      <c r="A5748">
        <v>617926</v>
      </c>
      <c r="B5748" t="str">
        <f>"119656305"</f>
        <v>119656305</v>
      </c>
      <c r="C5748" t="s">
        <v>50</v>
      </c>
      <c r="D5748" t="s">
        <v>2015</v>
      </c>
      <c r="E5748" t="s">
        <v>103</v>
      </c>
      <c r="F5748" t="s">
        <v>72</v>
      </c>
      <c r="G5748" t="s">
        <v>215</v>
      </c>
      <c r="H5748" t="str">
        <f>"ΚΑΤΩ ΓΟΥΒΕΣ ΚΑΤΩ ΓΟΥΒΕΣ"</f>
        <v>ΚΑΤΩ ΓΟΥΒΕΣ ΚΑΤΩ ΓΟΥΒΕΣ</v>
      </c>
      <c r="I5748">
        <v>70014</v>
      </c>
      <c r="J5748">
        <v>2897041816</v>
      </c>
      <c r="K5748">
        <v>6972407678</v>
      </c>
      <c r="M5748" t="s">
        <v>10162</v>
      </c>
      <c r="N5748" t="s">
        <v>615</v>
      </c>
      <c r="O5748" t="s">
        <v>616</v>
      </c>
      <c r="R5748" t="s">
        <v>57</v>
      </c>
      <c r="S5748">
        <v>5</v>
      </c>
      <c r="T5748">
        <v>774</v>
      </c>
      <c r="U5748" s="1">
        <v>39680</v>
      </c>
      <c r="V5748" t="s">
        <v>80</v>
      </c>
      <c r="W5748" t="s">
        <v>81</v>
      </c>
      <c r="X5748" t="s">
        <v>58</v>
      </c>
      <c r="Y5748">
        <v>23</v>
      </c>
      <c r="Z5748" t="s">
        <v>59</v>
      </c>
      <c r="AA5748" t="s">
        <v>59</v>
      </c>
      <c r="AB5748" t="s">
        <v>59</v>
      </c>
      <c r="AC5748" t="s">
        <v>59</v>
      </c>
      <c r="AD5748" t="s">
        <v>59</v>
      </c>
      <c r="AF5748" s="1">
        <v>39680</v>
      </c>
      <c r="AG5748" t="s">
        <v>8645</v>
      </c>
      <c r="AH5748" t="s">
        <v>8646</v>
      </c>
      <c r="AI5748" t="str">
        <f>"9170222"</f>
        <v>9170222</v>
      </c>
      <c r="AJ5748" t="s">
        <v>9404</v>
      </c>
      <c r="AK5748">
        <v>2810781325</v>
      </c>
      <c r="AL5748" t="s">
        <v>9405</v>
      </c>
      <c r="AM5748" t="s">
        <v>78</v>
      </c>
      <c r="AN5748" t="s">
        <v>219</v>
      </c>
      <c r="AO5748" t="s">
        <v>297</v>
      </c>
      <c r="AP5748" t="s">
        <v>9406</v>
      </c>
      <c r="AQ5748">
        <v>7</v>
      </c>
      <c r="AR5748" t="s">
        <v>80</v>
      </c>
      <c r="AS5748" t="s">
        <v>81</v>
      </c>
      <c r="AT5748" t="s">
        <v>58</v>
      </c>
      <c r="AU5748" t="s">
        <v>68</v>
      </c>
      <c r="AV5748" t="s">
        <v>69</v>
      </c>
      <c r="AW5748" s="1">
        <v>28664</v>
      </c>
      <c r="AX5748">
        <v>1</v>
      </c>
    </row>
    <row r="5749" spans="1:50">
      <c r="A5749">
        <v>554271</v>
      </c>
      <c r="B5749" t="str">
        <f>"065136946"</f>
        <v>065136946</v>
      </c>
      <c r="C5749" t="s">
        <v>50</v>
      </c>
      <c r="D5749" t="s">
        <v>2015</v>
      </c>
      <c r="E5749" t="s">
        <v>103</v>
      </c>
      <c r="F5749" t="s">
        <v>111</v>
      </c>
      <c r="G5749" t="s">
        <v>250</v>
      </c>
      <c r="H5749" t="str">
        <f>"ΣΟΡΒΟΛΟΥ 21 ΗΡΑΚΛΕΙΟ"</f>
        <v>ΣΟΡΒΟΛΟΥ 21 ΗΡΑΚΛΕΙΟ</v>
      </c>
      <c r="I5749">
        <v>71305</v>
      </c>
      <c r="J5749">
        <v>2810212653</v>
      </c>
      <c r="K5749">
        <v>6944254779</v>
      </c>
      <c r="N5749" t="s">
        <v>1525</v>
      </c>
      <c r="O5749" t="s">
        <v>1526</v>
      </c>
      <c r="R5749" t="s">
        <v>57</v>
      </c>
      <c r="S5749">
        <v>17</v>
      </c>
      <c r="T5749">
        <v>235</v>
      </c>
      <c r="U5749" s="1">
        <v>31289</v>
      </c>
      <c r="V5749" t="s">
        <v>80</v>
      </c>
      <c r="W5749" t="s">
        <v>81</v>
      </c>
      <c r="X5749" t="s">
        <v>58</v>
      </c>
      <c r="Y5749">
        <v>25</v>
      </c>
      <c r="Z5749" t="s">
        <v>59</v>
      </c>
      <c r="AA5749" t="s">
        <v>59</v>
      </c>
      <c r="AB5749" t="s">
        <v>59</v>
      </c>
      <c r="AC5749" t="s">
        <v>59</v>
      </c>
      <c r="AD5749" t="s">
        <v>59</v>
      </c>
      <c r="AF5749" s="1">
        <v>31299</v>
      </c>
      <c r="AG5749" t="s">
        <v>8651</v>
      </c>
      <c r="AH5749" t="s">
        <v>8652</v>
      </c>
      <c r="AI5749" t="str">
        <f>"9521246"</f>
        <v>9521246</v>
      </c>
      <c r="AJ5749" t="s">
        <v>9602</v>
      </c>
      <c r="AK5749">
        <v>2810311269</v>
      </c>
      <c r="AL5749" t="s">
        <v>9603</v>
      </c>
      <c r="AM5749" t="s">
        <v>78</v>
      </c>
      <c r="AN5749" t="s">
        <v>78</v>
      </c>
      <c r="AO5749" t="s">
        <v>78</v>
      </c>
      <c r="AP5749" t="s">
        <v>163</v>
      </c>
      <c r="AQ5749">
        <v>1</v>
      </c>
      <c r="AR5749" t="s">
        <v>80</v>
      </c>
      <c r="AS5749" t="s">
        <v>81</v>
      </c>
      <c r="AT5749" t="s">
        <v>58</v>
      </c>
      <c r="AU5749" t="s">
        <v>68</v>
      </c>
      <c r="AV5749" t="s">
        <v>69</v>
      </c>
      <c r="AW5749" s="1">
        <v>23082</v>
      </c>
      <c r="AX5749">
        <v>1</v>
      </c>
    </row>
    <row r="5750" spans="1:50">
      <c r="A5750">
        <v>598633</v>
      </c>
      <c r="B5750" t="str">
        <f>"054035644"</f>
        <v>054035644</v>
      </c>
      <c r="C5750" t="s">
        <v>50</v>
      </c>
      <c r="D5750" t="s">
        <v>2015</v>
      </c>
      <c r="E5750" t="s">
        <v>96</v>
      </c>
      <c r="F5750" t="s">
        <v>99</v>
      </c>
      <c r="G5750" t="s">
        <v>250</v>
      </c>
      <c r="H5750" t="str">
        <f>"ΣΙΚΥΩΝΟΣ 26 ΗΡΑΚΛΕΙΟ"</f>
        <v>ΣΙΚΥΩΝΟΣ 26 ΗΡΑΚΛΕΙΟ</v>
      </c>
      <c r="I5750">
        <v>71409</v>
      </c>
      <c r="J5750">
        <v>2810320961</v>
      </c>
      <c r="K5750">
        <v>6976900291</v>
      </c>
      <c r="L5750">
        <v>2810320961</v>
      </c>
      <c r="N5750" t="s">
        <v>615</v>
      </c>
      <c r="O5750" t="s">
        <v>616</v>
      </c>
      <c r="R5750" t="s">
        <v>57</v>
      </c>
      <c r="S5750">
        <v>9</v>
      </c>
      <c r="T5750">
        <v>195</v>
      </c>
      <c r="U5750" s="1">
        <v>37497</v>
      </c>
      <c r="V5750" t="s">
        <v>80</v>
      </c>
      <c r="W5750" t="s">
        <v>81</v>
      </c>
      <c r="X5750" t="s">
        <v>58</v>
      </c>
      <c r="Y5750">
        <v>22</v>
      </c>
      <c r="Z5750" t="s">
        <v>59</v>
      </c>
      <c r="AA5750" t="s">
        <v>59</v>
      </c>
      <c r="AB5750" t="s">
        <v>59</v>
      </c>
      <c r="AC5750" t="s">
        <v>59</v>
      </c>
      <c r="AD5750" t="s">
        <v>59</v>
      </c>
      <c r="AF5750" s="1">
        <v>37501</v>
      </c>
      <c r="AG5750" t="s">
        <v>8645</v>
      </c>
      <c r="AH5750" t="s">
        <v>8646</v>
      </c>
      <c r="AI5750" t="str">
        <f>"9170533"</f>
        <v>9170533</v>
      </c>
      <c r="AJ5750" t="s">
        <v>9091</v>
      </c>
      <c r="AK5750">
        <v>2810239434</v>
      </c>
      <c r="AL5750" t="s">
        <v>9092</v>
      </c>
      <c r="AM5750" t="s">
        <v>78</v>
      </c>
      <c r="AN5750" t="s">
        <v>78</v>
      </c>
      <c r="AO5750" t="s">
        <v>78</v>
      </c>
      <c r="AP5750" t="s">
        <v>163</v>
      </c>
      <c r="AQ5750">
        <v>1</v>
      </c>
      <c r="AR5750" t="s">
        <v>80</v>
      </c>
      <c r="AS5750" t="s">
        <v>81</v>
      </c>
      <c r="AT5750" t="s">
        <v>58</v>
      </c>
      <c r="AU5750" t="s">
        <v>68</v>
      </c>
      <c r="AV5750" t="s">
        <v>69</v>
      </c>
      <c r="AW5750" s="1">
        <v>25391</v>
      </c>
      <c r="AX5750">
        <v>1</v>
      </c>
    </row>
    <row r="5751" spans="1:50">
      <c r="A5751">
        <v>615027</v>
      </c>
      <c r="B5751" t="str">
        <f>"130221112"</f>
        <v>130221112</v>
      </c>
      <c r="C5751" t="s">
        <v>105</v>
      </c>
      <c r="D5751" t="s">
        <v>2018</v>
      </c>
      <c r="E5751" t="s">
        <v>84</v>
      </c>
      <c r="F5751" t="s">
        <v>377</v>
      </c>
      <c r="G5751" t="s">
        <v>238</v>
      </c>
      <c r="H5751" t="str">
        <f>" "</f>
        <v xml:space="preserve"> </v>
      </c>
      <c r="J5751">
        <v>2106523573</v>
      </c>
      <c r="K5751">
        <v>6932332304</v>
      </c>
      <c r="N5751" t="s">
        <v>615</v>
      </c>
      <c r="O5751" t="s">
        <v>616</v>
      </c>
      <c r="R5751" t="s">
        <v>57</v>
      </c>
      <c r="S5751">
        <v>6</v>
      </c>
      <c r="T5751">
        <v>598</v>
      </c>
      <c r="U5751" s="1">
        <v>39310</v>
      </c>
      <c r="V5751" t="s">
        <v>80</v>
      </c>
      <c r="W5751" t="s">
        <v>81</v>
      </c>
      <c r="X5751" t="s">
        <v>58</v>
      </c>
      <c r="Y5751">
        <v>23</v>
      </c>
      <c r="Z5751" t="s">
        <v>59</v>
      </c>
      <c r="AA5751" t="s">
        <v>59</v>
      </c>
      <c r="AB5751" t="s">
        <v>59</v>
      </c>
      <c r="AC5751" t="s">
        <v>59</v>
      </c>
      <c r="AD5751" t="s">
        <v>59</v>
      </c>
      <c r="AF5751" s="1">
        <v>39328</v>
      </c>
      <c r="AG5751" t="s">
        <v>8645</v>
      </c>
      <c r="AH5751" t="s">
        <v>8646</v>
      </c>
      <c r="AI5751" t="str">
        <f>"9170250"</f>
        <v>9170250</v>
      </c>
      <c r="AJ5751" t="s">
        <v>8823</v>
      </c>
      <c r="AK5751">
        <v>2897022005</v>
      </c>
      <c r="AL5751" t="s">
        <v>8824</v>
      </c>
      <c r="AM5751" t="s">
        <v>78</v>
      </c>
      <c r="AN5751" t="s">
        <v>219</v>
      </c>
      <c r="AO5751" t="s">
        <v>219</v>
      </c>
      <c r="AP5751" t="s">
        <v>219</v>
      </c>
      <c r="AQ5751">
        <v>8</v>
      </c>
      <c r="AR5751" t="s">
        <v>80</v>
      </c>
      <c r="AS5751" t="s">
        <v>81</v>
      </c>
      <c r="AT5751" t="s">
        <v>58</v>
      </c>
      <c r="AU5751" t="s">
        <v>68</v>
      </c>
      <c r="AV5751" t="s">
        <v>69</v>
      </c>
      <c r="AW5751" s="1">
        <v>29901</v>
      </c>
      <c r="AX5751">
        <v>1</v>
      </c>
    </row>
    <row r="5752" spans="1:50">
      <c r="A5752">
        <v>602568</v>
      </c>
      <c r="B5752" t="str">
        <f>"061695901"</f>
        <v>061695901</v>
      </c>
      <c r="C5752" t="s">
        <v>50</v>
      </c>
      <c r="D5752" t="s">
        <v>6076</v>
      </c>
      <c r="E5752" t="s">
        <v>964</v>
      </c>
      <c r="F5752" t="s">
        <v>2847</v>
      </c>
      <c r="G5752" t="s">
        <v>1001</v>
      </c>
      <c r="H5752" t="str">
        <f>"ΔΙΚΤΥΝΑΣ 4 ΓΑΖΙ ΗΡΑΚΛΕΙΟΥ"</f>
        <v>ΔΙΚΤΥΝΑΣ 4 ΓΑΖΙ ΗΡΑΚΛΕΙΟΥ</v>
      </c>
      <c r="I5752">
        <v>71414</v>
      </c>
      <c r="J5752">
        <v>2810325234</v>
      </c>
      <c r="K5752">
        <v>6944888740</v>
      </c>
      <c r="M5752" t="s">
        <v>10163</v>
      </c>
      <c r="N5752" t="s">
        <v>615</v>
      </c>
      <c r="O5752" t="s">
        <v>616</v>
      </c>
      <c r="R5752" t="s">
        <v>57</v>
      </c>
      <c r="S5752">
        <v>8</v>
      </c>
      <c r="T5752">
        <v>207</v>
      </c>
      <c r="U5752" s="1">
        <v>37866</v>
      </c>
      <c r="V5752" t="s">
        <v>80</v>
      </c>
      <c r="W5752" t="s">
        <v>81</v>
      </c>
      <c r="X5752" t="s">
        <v>58</v>
      </c>
      <c r="Y5752">
        <v>22</v>
      </c>
      <c r="Z5752" t="s">
        <v>59</v>
      </c>
      <c r="AA5752" t="s">
        <v>59</v>
      </c>
      <c r="AB5752" t="s">
        <v>59</v>
      </c>
      <c r="AC5752" t="s">
        <v>59</v>
      </c>
      <c r="AD5752" t="s">
        <v>59</v>
      </c>
      <c r="AF5752" s="1">
        <v>37866</v>
      </c>
      <c r="AG5752" t="s">
        <v>8645</v>
      </c>
      <c r="AH5752" t="s">
        <v>8646</v>
      </c>
      <c r="AI5752" t="str">
        <f>"9170362"</f>
        <v>9170362</v>
      </c>
      <c r="AJ5752" t="s">
        <v>8681</v>
      </c>
      <c r="AK5752">
        <v>2810255261</v>
      </c>
      <c r="AL5752" t="s">
        <v>8682</v>
      </c>
      <c r="AM5752" t="s">
        <v>78</v>
      </c>
      <c r="AN5752" t="s">
        <v>78</v>
      </c>
      <c r="AO5752" t="s">
        <v>78</v>
      </c>
      <c r="AP5752" t="s">
        <v>141</v>
      </c>
      <c r="AQ5752">
        <v>1</v>
      </c>
      <c r="AR5752" t="s">
        <v>80</v>
      </c>
      <c r="AS5752" t="s">
        <v>81</v>
      </c>
      <c r="AT5752" t="s">
        <v>58</v>
      </c>
      <c r="AU5752" t="s">
        <v>68</v>
      </c>
      <c r="AV5752" t="s">
        <v>2039</v>
      </c>
      <c r="AW5752" s="1">
        <v>25866</v>
      </c>
      <c r="AX5752">
        <v>1</v>
      </c>
    </row>
    <row r="5753" spans="1:50">
      <c r="A5753">
        <v>619702</v>
      </c>
      <c r="B5753" t="str">
        <f>"119687017"</f>
        <v>119687017</v>
      </c>
      <c r="C5753" t="s">
        <v>50</v>
      </c>
      <c r="D5753" t="s">
        <v>6076</v>
      </c>
      <c r="E5753" t="s">
        <v>83</v>
      </c>
      <c r="F5753" t="s">
        <v>99</v>
      </c>
      <c r="G5753" t="s">
        <v>143</v>
      </c>
      <c r="H5753" t="str">
        <f>" "</f>
        <v xml:space="preserve"> </v>
      </c>
      <c r="J5753">
        <v>2810238647</v>
      </c>
      <c r="K5753">
        <v>6977040089</v>
      </c>
      <c r="N5753" t="s">
        <v>306</v>
      </c>
      <c r="O5753" t="s">
        <v>307</v>
      </c>
      <c r="R5753" t="s">
        <v>57</v>
      </c>
      <c r="S5753">
        <v>6</v>
      </c>
      <c r="T5753">
        <v>775</v>
      </c>
      <c r="U5753" s="1">
        <v>39680</v>
      </c>
      <c r="V5753" t="s">
        <v>80</v>
      </c>
      <c r="W5753" t="s">
        <v>81</v>
      </c>
      <c r="X5753" t="s">
        <v>58</v>
      </c>
      <c r="Y5753">
        <v>23</v>
      </c>
      <c r="Z5753" t="s">
        <v>59</v>
      </c>
      <c r="AA5753" t="s">
        <v>59</v>
      </c>
      <c r="AB5753" t="s">
        <v>59</v>
      </c>
      <c r="AC5753" t="s">
        <v>59</v>
      </c>
      <c r="AD5753" t="s">
        <v>59</v>
      </c>
      <c r="AF5753" s="1">
        <v>39681</v>
      </c>
      <c r="AG5753" t="s">
        <v>8645</v>
      </c>
      <c r="AH5753" t="s">
        <v>8646</v>
      </c>
      <c r="AI5753" t="str">
        <f>"9170534"</f>
        <v>9170534</v>
      </c>
      <c r="AJ5753" t="s">
        <v>8701</v>
      </c>
      <c r="AK5753">
        <v>2810323225</v>
      </c>
      <c r="AL5753" t="s">
        <v>8702</v>
      </c>
      <c r="AM5753" t="s">
        <v>78</v>
      </c>
      <c r="AN5753" t="s">
        <v>78</v>
      </c>
      <c r="AO5753" t="s">
        <v>78</v>
      </c>
      <c r="AP5753" t="s">
        <v>163</v>
      </c>
      <c r="AQ5753">
        <v>1</v>
      </c>
      <c r="AR5753" t="s">
        <v>80</v>
      </c>
      <c r="AS5753" t="s">
        <v>81</v>
      </c>
      <c r="AT5753" t="s">
        <v>58</v>
      </c>
      <c r="AU5753" t="s">
        <v>68</v>
      </c>
      <c r="AV5753" t="s">
        <v>69</v>
      </c>
      <c r="AW5753" s="1">
        <v>29919</v>
      </c>
      <c r="AX5753">
        <v>1</v>
      </c>
    </row>
    <row r="5754" spans="1:50">
      <c r="B5754" t="str">
        <f>"067995091"</f>
        <v>067995091</v>
      </c>
      <c r="C5754" t="s">
        <v>50</v>
      </c>
      <c r="D5754" t="s">
        <v>10164</v>
      </c>
      <c r="E5754" t="s">
        <v>73</v>
      </c>
      <c r="F5754" t="s">
        <v>84</v>
      </c>
      <c r="G5754" t="s">
        <v>112</v>
      </c>
      <c r="H5754" t="str">
        <f>"ΜΗΤΡ. ΑΠΟΣΤΟΛΟΥ 11 "</f>
        <v xml:space="preserve">ΜΗΤΡ. ΑΠΟΣΤΟΛΟΥ 11 </v>
      </c>
      <c r="I5754">
        <v>62124</v>
      </c>
      <c r="J5754">
        <v>2321053702</v>
      </c>
      <c r="K5754">
        <v>6973426017</v>
      </c>
      <c r="N5754" t="s">
        <v>478</v>
      </c>
      <c r="O5754" t="s">
        <v>479</v>
      </c>
      <c r="R5754" t="s">
        <v>159</v>
      </c>
      <c r="S5754">
        <v>1</v>
      </c>
      <c r="T5754" t="s">
        <v>8675</v>
      </c>
      <c r="U5754" s="1">
        <v>43348</v>
      </c>
      <c r="V5754" t="s">
        <v>80</v>
      </c>
      <c r="W5754" t="s">
        <v>81</v>
      </c>
      <c r="X5754" t="s">
        <v>58</v>
      </c>
      <c r="Y5754">
        <v>14</v>
      </c>
      <c r="Z5754" t="s">
        <v>59</v>
      </c>
      <c r="AA5754" t="s">
        <v>59</v>
      </c>
      <c r="AB5754" t="s">
        <v>59</v>
      </c>
      <c r="AC5754" t="s">
        <v>59</v>
      </c>
      <c r="AD5754" t="s">
        <v>59</v>
      </c>
      <c r="AF5754" s="1">
        <v>43348</v>
      </c>
      <c r="AG5754" t="s">
        <v>8645</v>
      </c>
      <c r="AH5754" t="s">
        <v>8646</v>
      </c>
      <c r="AI5754" t="str">
        <f>"9170017"</f>
        <v>9170017</v>
      </c>
      <c r="AJ5754" t="s">
        <v>9114</v>
      </c>
      <c r="AK5754">
        <v>2810250746</v>
      </c>
      <c r="AL5754" t="s">
        <v>9115</v>
      </c>
      <c r="AM5754" t="s">
        <v>78</v>
      </c>
      <c r="AN5754" t="s">
        <v>129</v>
      </c>
      <c r="AO5754" t="s">
        <v>130</v>
      </c>
      <c r="AP5754" t="s">
        <v>130</v>
      </c>
      <c r="AQ5754">
        <v>1</v>
      </c>
      <c r="AR5754" t="s">
        <v>80</v>
      </c>
      <c r="AS5754" t="s">
        <v>81</v>
      </c>
      <c r="AT5754" t="s">
        <v>58</v>
      </c>
      <c r="AU5754" t="s">
        <v>8686</v>
      </c>
      <c r="AV5754" t="s">
        <v>132</v>
      </c>
      <c r="AW5754" s="1">
        <v>24783</v>
      </c>
      <c r="AX5754">
        <v>1</v>
      </c>
    </row>
    <row r="5755" spans="1:50">
      <c r="B5755" t="str">
        <f>"144341920"</f>
        <v>144341920</v>
      </c>
      <c r="C5755" t="s">
        <v>50</v>
      </c>
      <c r="D5755" t="s">
        <v>10165</v>
      </c>
      <c r="E5755" t="s">
        <v>221</v>
      </c>
      <c r="F5755" t="s">
        <v>95</v>
      </c>
      <c r="G5755" t="s">
        <v>263</v>
      </c>
      <c r="H5755" t="str">
        <f>"ΤΕΡΨΙΧΟΡΗΣ 17 ΗΡΑΚΛΕΙΟ"</f>
        <v>ΤΕΡΨΙΧΟΡΗΣ 17 ΗΡΑΚΛΕΙΟ</v>
      </c>
      <c r="I5755">
        <v>71409</v>
      </c>
      <c r="J5755">
        <v>2810323337</v>
      </c>
      <c r="K5755">
        <v>6947329763</v>
      </c>
      <c r="N5755" t="s">
        <v>615</v>
      </c>
      <c r="O5755" t="s">
        <v>616</v>
      </c>
      <c r="R5755" t="s">
        <v>159</v>
      </c>
      <c r="S5755">
        <v>3</v>
      </c>
      <c r="T5755" t="s">
        <v>8675</v>
      </c>
      <c r="U5755" s="1">
        <v>43348</v>
      </c>
      <c r="V5755" t="s">
        <v>80</v>
      </c>
      <c r="W5755" t="s">
        <v>81</v>
      </c>
      <c r="X5755" t="s">
        <v>58</v>
      </c>
      <c r="Y5755">
        <v>24</v>
      </c>
      <c r="Z5755" t="s">
        <v>59</v>
      </c>
      <c r="AA5755" t="s">
        <v>59</v>
      </c>
      <c r="AB5755" t="s">
        <v>59</v>
      </c>
      <c r="AC5755" t="s">
        <v>59</v>
      </c>
      <c r="AD5755" t="s">
        <v>59</v>
      </c>
      <c r="AF5755" s="1">
        <v>43348</v>
      </c>
      <c r="AG5755" t="s">
        <v>8645</v>
      </c>
      <c r="AH5755" t="s">
        <v>8646</v>
      </c>
      <c r="AI5755" t="str">
        <f>"9170255"</f>
        <v>9170255</v>
      </c>
      <c r="AJ5755" t="s">
        <v>8915</v>
      </c>
      <c r="AK5755">
        <v>2810220750</v>
      </c>
      <c r="AL5755" t="s">
        <v>8916</v>
      </c>
      <c r="AM5755" t="s">
        <v>78</v>
      </c>
      <c r="AN5755" t="s">
        <v>78</v>
      </c>
      <c r="AO5755" t="s">
        <v>78</v>
      </c>
      <c r="AP5755" t="s">
        <v>213</v>
      </c>
      <c r="AQ5755">
        <v>1</v>
      </c>
      <c r="AR5755" t="s">
        <v>80</v>
      </c>
      <c r="AS5755" t="s">
        <v>81</v>
      </c>
      <c r="AT5755" t="s">
        <v>58</v>
      </c>
      <c r="AU5755" t="s">
        <v>8673</v>
      </c>
      <c r="AV5755" t="s">
        <v>132</v>
      </c>
      <c r="AW5755" s="1">
        <v>32171</v>
      </c>
      <c r="AX5755">
        <v>1</v>
      </c>
    </row>
    <row r="5756" spans="1:50">
      <c r="A5756">
        <v>578607</v>
      </c>
      <c r="B5756" t="str">
        <f>"036922471"</f>
        <v>036922471</v>
      </c>
      <c r="C5756" t="s">
        <v>105</v>
      </c>
      <c r="D5756" t="s">
        <v>10166</v>
      </c>
      <c r="E5756" t="s">
        <v>459</v>
      </c>
      <c r="F5756" t="s">
        <v>72</v>
      </c>
      <c r="G5756" t="s">
        <v>83</v>
      </c>
      <c r="H5756" t="str">
        <f>"ΧΑΡ. ΔΑΣΚΑΛΑΚΗ 5 ΗΡΑΚΛΕΙΟ"</f>
        <v>ΧΑΡ. ΔΑΣΚΑΛΑΚΗ 5 ΗΡΑΚΛΕΙΟ</v>
      </c>
      <c r="I5756">
        <v>70300</v>
      </c>
      <c r="J5756">
        <v>2891022973</v>
      </c>
      <c r="N5756" t="s">
        <v>615</v>
      </c>
      <c r="O5756" t="s">
        <v>616</v>
      </c>
      <c r="R5756" t="s">
        <v>57</v>
      </c>
      <c r="S5756">
        <v>13</v>
      </c>
      <c r="T5756">
        <v>165</v>
      </c>
      <c r="U5756" s="1">
        <v>35300</v>
      </c>
      <c r="V5756" t="s">
        <v>80</v>
      </c>
      <c r="W5756" t="s">
        <v>81</v>
      </c>
      <c r="X5756" t="s">
        <v>58</v>
      </c>
      <c r="Y5756">
        <v>21</v>
      </c>
      <c r="Z5756" t="s">
        <v>59</v>
      </c>
      <c r="AA5756" t="s">
        <v>59</v>
      </c>
      <c r="AB5756" t="s">
        <v>59</v>
      </c>
      <c r="AC5756" t="s">
        <v>59</v>
      </c>
      <c r="AD5756" t="s">
        <v>59</v>
      </c>
      <c r="AF5756" s="1">
        <v>35310</v>
      </c>
      <c r="AG5756" t="s">
        <v>8645</v>
      </c>
      <c r="AH5756" t="s">
        <v>8646</v>
      </c>
      <c r="AI5756" t="str">
        <f>"9170561"</f>
        <v>9170561</v>
      </c>
      <c r="AJ5756" t="s">
        <v>8708</v>
      </c>
      <c r="AK5756">
        <v>2891023609</v>
      </c>
      <c r="AL5756" t="s">
        <v>8709</v>
      </c>
      <c r="AM5756" t="s">
        <v>78</v>
      </c>
      <c r="AN5756" t="s">
        <v>276</v>
      </c>
      <c r="AO5756" t="s">
        <v>490</v>
      </c>
      <c r="AP5756" t="s">
        <v>490</v>
      </c>
      <c r="AQ5756">
        <v>12</v>
      </c>
      <c r="AR5756" t="s">
        <v>80</v>
      </c>
      <c r="AS5756" t="s">
        <v>81</v>
      </c>
      <c r="AT5756" t="s">
        <v>58</v>
      </c>
      <c r="AU5756" t="s">
        <v>68</v>
      </c>
      <c r="AV5756" t="s">
        <v>69</v>
      </c>
      <c r="AW5756" s="1">
        <v>24582</v>
      </c>
      <c r="AX5756">
        <v>1</v>
      </c>
    </row>
    <row r="5757" spans="1:50">
      <c r="A5757">
        <v>547647</v>
      </c>
      <c r="B5757" t="str">
        <f>"030269964"</f>
        <v>030269964</v>
      </c>
      <c r="C5757" t="s">
        <v>50</v>
      </c>
      <c r="D5757" t="s">
        <v>10167</v>
      </c>
      <c r="E5757" t="s">
        <v>801</v>
      </c>
      <c r="F5757" t="s">
        <v>99</v>
      </c>
      <c r="G5757" t="s">
        <v>52</v>
      </c>
      <c r="H5757" t="str">
        <f>"ΚΟΝΔΥΛΑΚΗ 17 ΗΡΑΚΛΕΙΟ"</f>
        <v>ΚΟΝΔΥΛΑΚΗ 17 ΗΡΑΚΛΕΙΟ</v>
      </c>
      <c r="I5757">
        <v>71304</v>
      </c>
      <c r="J5757">
        <v>2810263252</v>
      </c>
      <c r="K5757">
        <v>6976240924</v>
      </c>
      <c r="N5757" t="s">
        <v>1525</v>
      </c>
      <c r="O5757" t="s">
        <v>1526</v>
      </c>
      <c r="R5757" t="s">
        <v>57</v>
      </c>
      <c r="S5757">
        <v>18</v>
      </c>
      <c r="T5757">
        <v>293</v>
      </c>
      <c r="U5757" s="1">
        <v>30218</v>
      </c>
      <c r="V5757" t="s">
        <v>80</v>
      </c>
      <c r="W5757" t="s">
        <v>81</v>
      </c>
      <c r="X5757" t="s">
        <v>58</v>
      </c>
      <c r="Y5757">
        <v>25</v>
      </c>
      <c r="Z5757" t="s">
        <v>59</v>
      </c>
      <c r="AA5757" t="s">
        <v>59</v>
      </c>
      <c r="AB5757" t="s">
        <v>59</v>
      </c>
      <c r="AC5757" t="s">
        <v>59</v>
      </c>
      <c r="AD5757" t="s">
        <v>59</v>
      </c>
      <c r="AF5757" s="1">
        <v>30223</v>
      </c>
      <c r="AG5757" t="s">
        <v>8651</v>
      </c>
      <c r="AH5757" t="s">
        <v>8652</v>
      </c>
      <c r="AI5757" t="str">
        <f>"9170600"</f>
        <v>9170600</v>
      </c>
      <c r="AJ5757" t="s">
        <v>10168</v>
      </c>
      <c r="AK5757">
        <v>2810250956</v>
      </c>
      <c r="AL5757" t="s">
        <v>10169</v>
      </c>
      <c r="AM5757" t="s">
        <v>78</v>
      </c>
      <c r="AN5757" t="s">
        <v>78</v>
      </c>
      <c r="AO5757" t="s">
        <v>78</v>
      </c>
      <c r="AP5757" t="s">
        <v>141</v>
      </c>
      <c r="AQ5757">
        <v>1</v>
      </c>
      <c r="AR5757" t="s">
        <v>80</v>
      </c>
      <c r="AS5757" t="s">
        <v>81</v>
      </c>
      <c r="AT5757" t="s">
        <v>58</v>
      </c>
      <c r="AU5757" t="s">
        <v>68</v>
      </c>
      <c r="AV5757" t="s">
        <v>69</v>
      </c>
      <c r="AW5757" s="1">
        <v>21644</v>
      </c>
      <c r="AX5757">
        <v>1</v>
      </c>
    </row>
    <row r="5758" spans="1:50">
      <c r="B5758" t="str">
        <f>"116304160"</f>
        <v>116304160</v>
      </c>
      <c r="C5758" t="s">
        <v>105</v>
      </c>
      <c r="D5758" t="s">
        <v>10170</v>
      </c>
      <c r="E5758" t="s">
        <v>581</v>
      </c>
      <c r="F5758" t="s">
        <v>900</v>
      </c>
      <c r="G5758" t="s">
        <v>181</v>
      </c>
      <c r="H5758" t="str">
        <f>"ΜΕΛΠΟΜΕΝΗΣ  15 ΝΕΑ ΑΛΙΚΑΡΝΑΣΣΟΣ "</f>
        <v xml:space="preserve">ΜΕΛΠΟΜΕΝΗΣ  15 ΝΕΑ ΑΛΙΚΑΡΝΑΣΣΟΣ </v>
      </c>
      <c r="I5758">
        <v>71601</v>
      </c>
      <c r="J5758">
        <v>2810383028</v>
      </c>
      <c r="K5758">
        <v>6937013985</v>
      </c>
      <c r="L5758">
        <v>2510839278</v>
      </c>
      <c r="M5758" t="s">
        <v>10171</v>
      </c>
      <c r="N5758" t="s">
        <v>204</v>
      </c>
      <c r="O5758" t="s">
        <v>205</v>
      </c>
      <c r="R5758" t="s">
        <v>159</v>
      </c>
      <c r="S5758">
        <v>6</v>
      </c>
      <c r="T5758" t="s">
        <v>8675</v>
      </c>
      <c r="U5758" s="1">
        <v>43348</v>
      </c>
      <c r="V5758" t="s">
        <v>80</v>
      </c>
      <c r="W5758" t="s">
        <v>81</v>
      </c>
      <c r="X5758" t="s">
        <v>58</v>
      </c>
      <c r="Y5758">
        <v>24</v>
      </c>
      <c r="Z5758" t="s">
        <v>59</v>
      </c>
      <c r="AA5758" t="s">
        <v>59</v>
      </c>
      <c r="AB5758" t="s">
        <v>59</v>
      </c>
      <c r="AC5758" t="s">
        <v>59</v>
      </c>
      <c r="AD5758" t="s">
        <v>59</v>
      </c>
      <c r="AF5758" s="1">
        <v>43348</v>
      </c>
      <c r="AG5758" t="s">
        <v>8645</v>
      </c>
      <c r="AH5758" t="s">
        <v>8646</v>
      </c>
      <c r="AI5758" t="str">
        <f>"9170263"</f>
        <v>9170263</v>
      </c>
      <c r="AJ5758" t="s">
        <v>8942</v>
      </c>
      <c r="AK5758">
        <v>2810346939</v>
      </c>
      <c r="AL5758" t="s">
        <v>8943</v>
      </c>
      <c r="AM5758" t="s">
        <v>78</v>
      </c>
      <c r="AN5758" t="s">
        <v>78</v>
      </c>
      <c r="AO5758" t="s">
        <v>286</v>
      </c>
      <c r="AP5758" t="s">
        <v>286</v>
      </c>
      <c r="AQ5758">
        <v>1</v>
      </c>
      <c r="AR5758" t="s">
        <v>80</v>
      </c>
      <c r="AS5758" t="s">
        <v>81</v>
      </c>
      <c r="AT5758" t="s">
        <v>58</v>
      </c>
      <c r="AU5758" t="s">
        <v>8673</v>
      </c>
      <c r="AV5758" t="s">
        <v>132</v>
      </c>
      <c r="AW5758" s="1">
        <v>30217</v>
      </c>
      <c r="AX5758">
        <v>1</v>
      </c>
    </row>
    <row r="5759" spans="1:50">
      <c r="A5759">
        <v>701730</v>
      </c>
      <c r="B5759" t="str">
        <f>"105978750"</f>
        <v>105978750</v>
      </c>
      <c r="C5759" t="s">
        <v>50</v>
      </c>
      <c r="D5759" t="s">
        <v>10172</v>
      </c>
      <c r="E5759" t="s">
        <v>658</v>
      </c>
      <c r="F5759" t="s">
        <v>53</v>
      </c>
      <c r="G5759" t="s">
        <v>52</v>
      </c>
      <c r="H5759" t="str">
        <f>"Δ.ΠΕΤΡΙΤΣΗ 24 ΕΔΕΣΣΑ"</f>
        <v>Δ.ΠΕΤΡΙΤΣΗ 24 ΕΔΕΣΣΑ</v>
      </c>
      <c r="I5759">
        <v>58200</v>
      </c>
      <c r="J5759">
        <v>2381028362</v>
      </c>
      <c r="K5759">
        <v>6974460433</v>
      </c>
      <c r="N5759" t="s">
        <v>615</v>
      </c>
      <c r="O5759" t="s">
        <v>616</v>
      </c>
      <c r="R5759" t="s">
        <v>57</v>
      </c>
      <c r="S5759">
        <v>4</v>
      </c>
      <c r="T5759" t="s">
        <v>10173</v>
      </c>
      <c r="U5759" s="1">
        <v>40413</v>
      </c>
      <c r="V5759" t="s">
        <v>80</v>
      </c>
      <c r="W5759" t="s">
        <v>81</v>
      </c>
      <c r="X5759" t="s">
        <v>58</v>
      </c>
      <c r="Y5759">
        <v>24</v>
      </c>
      <c r="Z5759" t="s">
        <v>59</v>
      </c>
      <c r="AA5759" t="s">
        <v>59</v>
      </c>
      <c r="AB5759" t="s">
        <v>59</v>
      </c>
      <c r="AC5759" t="s">
        <v>59</v>
      </c>
      <c r="AD5759" t="s">
        <v>59</v>
      </c>
      <c r="AF5759" s="1">
        <v>40413</v>
      </c>
      <c r="AG5759" t="s">
        <v>8645</v>
      </c>
      <c r="AH5759" t="s">
        <v>8646</v>
      </c>
      <c r="AI5759" t="str">
        <f>"9170037"</f>
        <v>9170037</v>
      </c>
      <c r="AJ5759" t="s">
        <v>9215</v>
      </c>
      <c r="AK5759">
        <v>2810831208</v>
      </c>
      <c r="AL5759" t="s">
        <v>9216</v>
      </c>
      <c r="AM5759" t="s">
        <v>78</v>
      </c>
      <c r="AN5759" t="s">
        <v>129</v>
      </c>
      <c r="AO5759" t="s">
        <v>267</v>
      </c>
      <c r="AP5759" t="s">
        <v>267</v>
      </c>
      <c r="AQ5759">
        <v>2</v>
      </c>
      <c r="AR5759" t="s">
        <v>80</v>
      </c>
      <c r="AS5759" t="s">
        <v>81</v>
      </c>
      <c r="AT5759" t="s">
        <v>58</v>
      </c>
      <c r="AU5759" t="s">
        <v>68</v>
      </c>
      <c r="AV5759" t="s">
        <v>69</v>
      </c>
      <c r="AW5759" s="1">
        <v>31521</v>
      </c>
      <c r="AX5759">
        <v>1</v>
      </c>
    </row>
    <row r="5760" spans="1:50">
      <c r="A5760">
        <v>605957</v>
      </c>
      <c r="B5760" t="str">
        <f>"064121900"</f>
        <v>064121900</v>
      </c>
      <c r="C5760" t="s">
        <v>50</v>
      </c>
      <c r="D5760" t="s">
        <v>10174</v>
      </c>
      <c r="E5760" t="s">
        <v>143</v>
      </c>
      <c r="F5760" t="s">
        <v>315</v>
      </c>
      <c r="G5760" t="s">
        <v>255</v>
      </c>
      <c r="H5760" t="str">
        <f>"ΥΔΡΑΣ 2 ΗΡΑΚΛΕΙΟ"</f>
        <v>ΥΔΡΑΣ 2 ΗΡΑΚΛΕΙΟ</v>
      </c>
      <c r="I5760">
        <v>71304</v>
      </c>
      <c r="J5760">
        <v>2810262592</v>
      </c>
      <c r="K5760">
        <v>6947405888</v>
      </c>
      <c r="N5760" t="s">
        <v>1525</v>
      </c>
      <c r="O5760" t="s">
        <v>1526</v>
      </c>
      <c r="R5760" t="s">
        <v>57</v>
      </c>
      <c r="S5760">
        <v>7</v>
      </c>
      <c r="T5760">
        <v>231</v>
      </c>
      <c r="U5760" s="1">
        <v>38230</v>
      </c>
      <c r="V5760" t="s">
        <v>80</v>
      </c>
      <c r="W5760" t="s">
        <v>81</v>
      </c>
      <c r="X5760" t="s">
        <v>58</v>
      </c>
      <c r="Y5760">
        <v>25</v>
      </c>
      <c r="Z5760" t="s">
        <v>59</v>
      </c>
      <c r="AA5760" t="s">
        <v>59</v>
      </c>
      <c r="AB5760" t="s">
        <v>59</v>
      </c>
      <c r="AC5760" t="s">
        <v>59</v>
      </c>
      <c r="AD5760" t="s">
        <v>59</v>
      </c>
      <c r="AF5760" s="1">
        <v>38236</v>
      </c>
      <c r="AG5760" t="s">
        <v>8651</v>
      </c>
      <c r="AH5760" t="s">
        <v>8652</v>
      </c>
      <c r="AI5760" t="str">
        <f>"9170409"</f>
        <v>9170409</v>
      </c>
      <c r="AJ5760" t="s">
        <v>10175</v>
      </c>
      <c r="AK5760">
        <v>2810261766</v>
      </c>
      <c r="AL5760" t="s">
        <v>10176</v>
      </c>
      <c r="AM5760" t="s">
        <v>78</v>
      </c>
      <c r="AN5760" t="s">
        <v>78</v>
      </c>
      <c r="AO5760" t="s">
        <v>78</v>
      </c>
      <c r="AP5760" t="s">
        <v>141</v>
      </c>
      <c r="AQ5760">
        <v>1</v>
      </c>
      <c r="AR5760" t="s">
        <v>80</v>
      </c>
      <c r="AS5760" t="s">
        <v>81</v>
      </c>
      <c r="AT5760" t="s">
        <v>58</v>
      </c>
      <c r="AU5760" t="s">
        <v>68</v>
      </c>
      <c r="AV5760" t="s">
        <v>69</v>
      </c>
      <c r="AW5760" s="1">
        <v>23189</v>
      </c>
      <c r="AX5760">
        <v>1</v>
      </c>
    </row>
    <row r="5761" spans="1:50">
      <c r="A5761">
        <v>614607</v>
      </c>
      <c r="B5761" t="str">
        <f>"129942378"</f>
        <v>129942378</v>
      </c>
      <c r="C5761" t="s">
        <v>50</v>
      </c>
      <c r="D5761" t="s">
        <v>10177</v>
      </c>
      <c r="E5761" t="s">
        <v>2977</v>
      </c>
      <c r="F5761" t="s">
        <v>95</v>
      </c>
      <c r="G5761" t="s">
        <v>237</v>
      </c>
      <c r="H5761" t="str">
        <f>"ΒΟΥΛΓΑΡΟΚΤΟΝΟΥ 13 ΚΑΛΑΜΑΤΑ"</f>
        <v>ΒΟΥΛΓΑΡΟΚΤΟΝΟΥ 13 ΚΑΛΑΜΑΤΑ</v>
      </c>
      <c r="I5761">
        <v>24100</v>
      </c>
      <c r="J5761">
        <v>2721080145</v>
      </c>
      <c r="K5761">
        <v>6972438097</v>
      </c>
      <c r="N5761" t="s">
        <v>615</v>
      </c>
      <c r="O5761" t="s">
        <v>616</v>
      </c>
      <c r="R5761" t="s">
        <v>57</v>
      </c>
      <c r="S5761">
        <v>6</v>
      </c>
      <c r="T5761">
        <v>598</v>
      </c>
      <c r="U5761" s="1">
        <v>39310</v>
      </c>
      <c r="V5761" t="s">
        <v>80</v>
      </c>
      <c r="W5761" t="s">
        <v>81</v>
      </c>
      <c r="X5761" t="s">
        <v>58</v>
      </c>
      <c r="Y5761">
        <v>23</v>
      </c>
      <c r="Z5761" t="s">
        <v>59</v>
      </c>
      <c r="AA5761" t="s">
        <v>59</v>
      </c>
      <c r="AB5761" t="s">
        <v>59</v>
      </c>
      <c r="AC5761" t="s">
        <v>59</v>
      </c>
      <c r="AD5761" t="s">
        <v>59</v>
      </c>
      <c r="AF5761" s="1">
        <v>39328</v>
      </c>
      <c r="AG5761" t="s">
        <v>8645</v>
      </c>
      <c r="AH5761" t="s">
        <v>8646</v>
      </c>
      <c r="AI5761" t="str">
        <f>"9170535"</f>
        <v>9170535</v>
      </c>
      <c r="AJ5761" t="s">
        <v>9330</v>
      </c>
      <c r="AK5761">
        <v>2810222629</v>
      </c>
      <c r="AL5761" t="s">
        <v>9331</v>
      </c>
      <c r="AM5761" t="s">
        <v>78</v>
      </c>
      <c r="AN5761" t="s">
        <v>78</v>
      </c>
      <c r="AO5761" t="s">
        <v>78</v>
      </c>
      <c r="AP5761" t="s">
        <v>213</v>
      </c>
      <c r="AQ5761">
        <v>1</v>
      </c>
      <c r="AR5761" t="s">
        <v>80</v>
      </c>
      <c r="AS5761" t="s">
        <v>81</v>
      </c>
      <c r="AT5761" t="s">
        <v>58</v>
      </c>
      <c r="AU5761" t="s">
        <v>68</v>
      </c>
      <c r="AV5761" t="s">
        <v>69</v>
      </c>
      <c r="AW5761" s="1">
        <v>30818</v>
      </c>
      <c r="AX5761">
        <v>1</v>
      </c>
    </row>
    <row r="5762" spans="1:50">
      <c r="A5762">
        <v>563045</v>
      </c>
      <c r="B5762" t="str">
        <f>"068132062"</f>
        <v>068132062</v>
      </c>
      <c r="C5762" t="s">
        <v>50</v>
      </c>
      <c r="D5762" t="s">
        <v>10178</v>
      </c>
      <c r="E5762" t="s">
        <v>237</v>
      </c>
      <c r="F5762" t="s">
        <v>95</v>
      </c>
      <c r="G5762" t="s">
        <v>181</v>
      </c>
      <c r="H5762" t="str">
        <f>"ΖΑΡΟΣ ΗΡΑΚΛΕΙΟ"</f>
        <v>ΖΑΡΟΣ ΗΡΑΚΛΕΙΟ</v>
      </c>
      <c r="J5762">
        <v>2894031537</v>
      </c>
      <c r="N5762" t="s">
        <v>615</v>
      </c>
      <c r="O5762" t="s">
        <v>616</v>
      </c>
      <c r="R5762" t="s">
        <v>57</v>
      </c>
      <c r="S5762">
        <v>15</v>
      </c>
      <c r="T5762">
        <v>187</v>
      </c>
      <c r="U5762" s="1">
        <v>32750</v>
      </c>
      <c r="V5762" t="s">
        <v>80</v>
      </c>
      <c r="W5762" t="s">
        <v>81</v>
      </c>
      <c r="X5762" t="s">
        <v>58</v>
      </c>
      <c r="Y5762">
        <v>21</v>
      </c>
      <c r="Z5762" t="s">
        <v>59</v>
      </c>
      <c r="AA5762" t="s">
        <v>59</v>
      </c>
      <c r="AB5762" t="s">
        <v>59</v>
      </c>
      <c r="AC5762" t="s">
        <v>59</v>
      </c>
      <c r="AD5762" t="s">
        <v>59</v>
      </c>
      <c r="AF5762" s="1">
        <v>32757</v>
      </c>
      <c r="AG5762" t="s">
        <v>8645</v>
      </c>
      <c r="AH5762" t="s">
        <v>8646</v>
      </c>
      <c r="AI5762" t="str">
        <f>"9170285"</f>
        <v>9170285</v>
      </c>
      <c r="AJ5762" t="s">
        <v>9186</v>
      </c>
      <c r="AK5762">
        <v>2894031223</v>
      </c>
      <c r="AL5762" t="s">
        <v>9187</v>
      </c>
      <c r="AM5762" t="s">
        <v>78</v>
      </c>
      <c r="AN5762" t="s">
        <v>242</v>
      </c>
      <c r="AO5762" t="s">
        <v>999</v>
      </c>
      <c r="AP5762" t="s">
        <v>999</v>
      </c>
      <c r="AQ5762">
        <v>21</v>
      </c>
      <c r="AR5762" t="s">
        <v>80</v>
      </c>
      <c r="AS5762" t="s">
        <v>81</v>
      </c>
      <c r="AT5762" t="s">
        <v>58</v>
      </c>
      <c r="AU5762" t="s">
        <v>68</v>
      </c>
      <c r="AV5762" t="s">
        <v>69</v>
      </c>
      <c r="AW5762" s="1">
        <v>21245</v>
      </c>
      <c r="AX5762">
        <v>1</v>
      </c>
    </row>
    <row r="5763" spans="1:50">
      <c r="A5763">
        <v>215493</v>
      </c>
      <c r="B5763" t="str">
        <f>"066833147"</f>
        <v>066833147</v>
      </c>
      <c r="C5763" t="s">
        <v>50</v>
      </c>
      <c r="D5763" t="s">
        <v>7442</v>
      </c>
      <c r="E5763" t="s">
        <v>10179</v>
      </c>
      <c r="F5763" t="s">
        <v>72</v>
      </c>
      <c r="G5763" t="s">
        <v>250</v>
      </c>
      <c r="H5763" t="str">
        <f>"Οικονομάκη Γ 6 Γιοφυρο"</f>
        <v>Οικονομάκη Γ 6 Γιοφυρο</v>
      </c>
      <c r="I5763">
        <v>71204</v>
      </c>
      <c r="J5763">
        <v>2810261508</v>
      </c>
      <c r="K5763">
        <v>6942445923</v>
      </c>
      <c r="M5763" t="s">
        <v>10180</v>
      </c>
      <c r="N5763" t="s">
        <v>204</v>
      </c>
      <c r="O5763" t="s">
        <v>205</v>
      </c>
      <c r="R5763" t="s">
        <v>57</v>
      </c>
      <c r="S5763">
        <v>6</v>
      </c>
      <c r="T5763">
        <v>231</v>
      </c>
      <c r="U5763" s="1">
        <v>38960</v>
      </c>
      <c r="V5763" t="s">
        <v>80</v>
      </c>
      <c r="W5763" t="s">
        <v>81</v>
      </c>
      <c r="X5763" t="s">
        <v>58</v>
      </c>
      <c r="Y5763">
        <v>23</v>
      </c>
      <c r="Z5763" t="s">
        <v>59</v>
      </c>
      <c r="AA5763" t="s">
        <v>59</v>
      </c>
      <c r="AB5763" t="s">
        <v>59</v>
      </c>
      <c r="AC5763" t="s">
        <v>59</v>
      </c>
      <c r="AD5763" t="s">
        <v>59</v>
      </c>
      <c r="AF5763" s="1">
        <v>38961</v>
      </c>
      <c r="AG5763" t="s">
        <v>8645</v>
      </c>
      <c r="AH5763" t="s">
        <v>8646</v>
      </c>
      <c r="AI5763" t="str">
        <f>"9170362"</f>
        <v>9170362</v>
      </c>
      <c r="AJ5763" t="s">
        <v>8681</v>
      </c>
      <c r="AK5763">
        <v>2810255261</v>
      </c>
      <c r="AL5763" t="s">
        <v>8682</v>
      </c>
      <c r="AM5763" t="s">
        <v>78</v>
      </c>
      <c r="AN5763" t="s">
        <v>78</v>
      </c>
      <c r="AO5763" t="s">
        <v>78</v>
      </c>
      <c r="AP5763" t="s">
        <v>141</v>
      </c>
      <c r="AQ5763">
        <v>1</v>
      </c>
      <c r="AR5763" t="s">
        <v>80</v>
      </c>
      <c r="AS5763" t="s">
        <v>81</v>
      </c>
      <c r="AT5763" t="s">
        <v>58</v>
      </c>
      <c r="AU5763" t="s">
        <v>68</v>
      </c>
      <c r="AV5763" t="s">
        <v>69</v>
      </c>
      <c r="AW5763" s="1">
        <v>28733</v>
      </c>
      <c r="AX5763">
        <v>1</v>
      </c>
    </row>
    <row r="5764" spans="1:50">
      <c r="A5764">
        <v>570957</v>
      </c>
      <c r="B5764" t="str">
        <f>"114595110"</f>
        <v>114595110</v>
      </c>
      <c r="C5764" t="s">
        <v>50</v>
      </c>
      <c r="D5764" t="s">
        <v>7442</v>
      </c>
      <c r="E5764" t="s">
        <v>1001</v>
      </c>
      <c r="F5764" t="s">
        <v>304</v>
      </c>
      <c r="G5764" t="s">
        <v>83</v>
      </c>
      <c r="H5764" t="str">
        <f>"ΒΛΑΧΕΡΝΩΝ 3 ΗΡΑΚΛΕΙΟ"</f>
        <v>ΒΛΑΧΕΡΝΩΝ 3 ΗΡΑΚΛΕΙΟ</v>
      </c>
      <c r="I5764">
        <v>71304</v>
      </c>
      <c r="J5764">
        <v>2810255814</v>
      </c>
      <c r="K5764">
        <v>6976651286</v>
      </c>
      <c r="N5764" t="s">
        <v>615</v>
      </c>
      <c r="O5764" t="s">
        <v>616</v>
      </c>
      <c r="R5764" t="s">
        <v>57</v>
      </c>
      <c r="S5764">
        <v>14</v>
      </c>
      <c r="T5764">
        <v>138</v>
      </c>
      <c r="U5764" s="1">
        <v>34206</v>
      </c>
      <c r="V5764" t="s">
        <v>80</v>
      </c>
      <c r="W5764" t="s">
        <v>81</v>
      </c>
      <c r="X5764" t="s">
        <v>58</v>
      </c>
      <c r="Y5764">
        <v>21</v>
      </c>
      <c r="Z5764" t="s">
        <v>59</v>
      </c>
      <c r="AA5764" t="s">
        <v>59</v>
      </c>
      <c r="AB5764" t="s">
        <v>59</v>
      </c>
      <c r="AC5764" t="s">
        <v>59</v>
      </c>
      <c r="AD5764" t="s">
        <v>59</v>
      </c>
      <c r="AF5764" s="1">
        <v>34213</v>
      </c>
      <c r="AG5764" t="s">
        <v>8645</v>
      </c>
      <c r="AH5764" t="s">
        <v>8646</v>
      </c>
      <c r="AI5764" t="str">
        <f>"9521092"</f>
        <v>9521092</v>
      </c>
      <c r="AJ5764" t="s">
        <v>9234</v>
      </c>
      <c r="AK5764">
        <v>2810313321</v>
      </c>
      <c r="AL5764" t="s">
        <v>9235</v>
      </c>
      <c r="AM5764" t="s">
        <v>78</v>
      </c>
      <c r="AN5764" t="s">
        <v>78</v>
      </c>
      <c r="AO5764" t="s">
        <v>78</v>
      </c>
      <c r="AP5764" t="s">
        <v>141</v>
      </c>
      <c r="AQ5764">
        <v>1</v>
      </c>
      <c r="AR5764" t="s">
        <v>80</v>
      </c>
      <c r="AS5764" t="s">
        <v>81</v>
      </c>
      <c r="AT5764" t="s">
        <v>58</v>
      </c>
      <c r="AU5764" t="s">
        <v>68</v>
      </c>
      <c r="AV5764" t="s">
        <v>69</v>
      </c>
      <c r="AW5764" s="1">
        <v>24201</v>
      </c>
      <c r="AX5764">
        <v>1</v>
      </c>
    </row>
    <row r="5765" spans="1:50">
      <c r="A5765">
        <v>591614</v>
      </c>
      <c r="B5765" t="str">
        <f>"047863632"</f>
        <v>047863632</v>
      </c>
      <c r="C5765" t="s">
        <v>50</v>
      </c>
      <c r="D5765" t="s">
        <v>10181</v>
      </c>
      <c r="E5765" t="s">
        <v>52</v>
      </c>
      <c r="F5765" t="s">
        <v>108</v>
      </c>
      <c r="G5765" t="s">
        <v>1120</v>
      </c>
      <c r="H5765" t="str">
        <f>"ΠΑΠΑΓΙΑΝΝΗ ΣΚΟΥΛΑ 38 ΓΑΖΙ"</f>
        <v>ΠΑΠΑΓΙΑΝΝΗ ΣΚΟΥΛΑ 38 ΓΑΖΙ</v>
      </c>
      <c r="I5765">
        <v>71414</v>
      </c>
      <c r="J5765">
        <v>2810313532</v>
      </c>
      <c r="K5765">
        <v>6942066967</v>
      </c>
      <c r="N5765" t="s">
        <v>1525</v>
      </c>
      <c r="O5765" t="s">
        <v>1526</v>
      </c>
      <c r="R5765" t="s">
        <v>57</v>
      </c>
      <c r="S5765">
        <v>15</v>
      </c>
      <c r="T5765">
        <v>249</v>
      </c>
      <c r="U5765" s="1">
        <v>36769</v>
      </c>
      <c r="V5765" t="s">
        <v>80</v>
      </c>
      <c r="W5765" t="s">
        <v>81</v>
      </c>
      <c r="X5765" t="s">
        <v>58</v>
      </c>
      <c r="Y5765">
        <v>25</v>
      </c>
      <c r="Z5765" t="s">
        <v>59</v>
      </c>
      <c r="AA5765" t="s">
        <v>59</v>
      </c>
      <c r="AB5765" t="s">
        <v>59</v>
      </c>
      <c r="AC5765" t="s">
        <v>59</v>
      </c>
      <c r="AD5765" t="s">
        <v>59</v>
      </c>
      <c r="AF5765" s="1">
        <v>36770</v>
      </c>
      <c r="AG5765" t="s">
        <v>8651</v>
      </c>
      <c r="AH5765" t="s">
        <v>8652</v>
      </c>
      <c r="AI5765" t="str">
        <f>"9170586"</f>
        <v>9170586</v>
      </c>
      <c r="AJ5765" t="s">
        <v>10130</v>
      </c>
      <c r="AK5765">
        <v>2810823321</v>
      </c>
      <c r="AL5765" t="s">
        <v>10131</v>
      </c>
      <c r="AM5765" t="s">
        <v>78</v>
      </c>
      <c r="AN5765" t="s">
        <v>129</v>
      </c>
      <c r="AO5765" t="s">
        <v>130</v>
      </c>
      <c r="AP5765" t="s">
        <v>130</v>
      </c>
      <c r="AQ5765">
        <v>1</v>
      </c>
      <c r="AR5765" t="s">
        <v>80</v>
      </c>
      <c r="AS5765" t="s">
        <v>81</v>
      </c>
      <c r="AT5765" t="s">
        <v>58</v>
      </c>
      <c r="AU5765" t="s">
        <v>68</v>
      </c>
      <c r="AV5765" t="s">
        <v>69</v>
      </c>
      <c r="AW5765" s="1">
        <v>22918</v>
      </c>
      <c r="AX5765">
        <v>1</v>
      </c>
    </row>
    <row r="5766" spans="1:50">
      <c r="B5766" t="str">
        <f>"133576150"</f>
        <v>133576150</v>
      </c>
      <c r="C5766" t="s">
        <v>50</v>
      </c>
      <c r="D5766" t="s">
        <v>2062</v>
      </c>
      <c r="E5766" t="s">
        <v>1189</v>
      </c>
      <c r="F5766" t="s">
        <v>72</v>
      </c>
      <c r="G5766" t="s">
        <v>476</v>
      </c>
      <c r="H5766" t="str">
        <f>"ΑΝΩ ΒΙΑΝΝΟΣ "</f>
        <v xml:space="preserve">ΑΝΩ ΒΙΑΝΝΟΣ </v>
      </c>
      <c r="I5766">
        <v>70004</v>
      </c>
      <c r="J5766">
        <v>2895022411</v>
      </c>
      <c r="K5766">
        <v>6979501552</v>
      </c>
      <c r="N5766" t="s">
        <v>615</v>
      </c>
      <c r="O5766" t="s">
        <v>616</v>
      </c>
      <c r="R5766" t="s">
        <v>159</v>
      </c>
      <c r="S5766">
        <v>4</v>
      </c>
      <c r="T5766" t="s">
        <v>8675</v>
      </c>
      <c r="U5766" s="1">
        <v>43348</v>
      </c>
      <c r="V5766" t="s">
        <v>80</v>
      </c>
      <c r="W5766" t="s">
        <v>81</v>
      </c>
      <c r="X5766" t="s">
        <v>58</v>
      </c>
      <c r="Y5766">
        <v>24</v>
      </c>
      <c r="Z5766" t="s">
        <v>59</v>
      </c>
      <c r="AA5766" t="s">
        <v>59</v>
      </c>
      <c r="AB5766" t="s">
        <v>59</v>
      </c>
      <c r="AC5766" t="s">
        <v>59</v>
      </c>
      <c r="AD5766" t="s">
        <v>59</v>
      </c>
      <c r="AF5766" s="1">
        <v>43348</v>
      </c>
      <c r="AG5766" t="s">
        <v>8645</v>
      </c>
      <c r="AH5766" t="s">
        <v>8646</v>
      </c>
      <c r="AI5766" t="str">
        <f>"9170132"</f>
        <v>9170132</v>
      </c>
      <c r="AJ5766" t="s">
        <v>9010</v>
      </c>
      <c r="AK5766">
        <v>2895022233</v>
      </c>
      <c r="AL5766" t="s">
        <v>9011</v>
      </c>
      <c r="AM5766" t="s">
        <v>78</v>
      </c>
      <c r="AN5766" t="s">
        <v>482</v>
      </c>
      <c r="AO5766" t="s">
        <v>482</v>
      </c>
      <c r="AP5766" t="s">
        <v>483</v>
      </c>
      <c r="AQ5766">
        <v>14</v>
      </c>
      <c r="AR5766" t="s">
        <v>80</v>
      </c>
      <c r="AS5766" t="s">
        <v>81</v>
      </c>
      <c r="AT5766" t="s">
        <v>58</v>
      </c>
      <c r="AU5766" t="s">
        <v>8673</v>
      </c>
      <c r="AV5766" t="s">
        <v>132</v>
      </c>
      <c r="AW5766" s="1">
        <v>32394</v>
      </c>
      <c r="AX5766">
        <v>1</v>
      </c>
    </row>
    <row r="5767" spans="1:50">
      <c r="A5767">
        <v>614732</v>
      </c>
      <c r="B5767" t="str">
        <f>"141352443"</f>
        <v>141352443</v>
      </c>
      <c r="C5767" t="s">
        <v>50</v>
      </c>
      <c r="D5767" t="s">
        <v>4958</v>
      </c>
      <c r="E5767" t="s">
        <v>1189</v>
      </c>
      <c r="F5767" t="s">
        <v>72</v>
      </c>
      <c r="G5767" t="s">
        <v>52</v>
      </c>
      <c r="H5767" t="str">
        <f>" "</f>
        <v xml:space="preserve"> </v>
      </c>
      <c r="J5767">
        <v>2810743313</v>
      </c>
      <c r="K5767">
        <v>6945234326</v>
      </c>
      <c r="N5767" t="s">
        <v>615</v>
      </c>
      <c r="O5767" t="s">
        <v>616</v>
      </c>
      <c r="R5767" t="s">
        <v>57</v>
      </c>
      <c r="S5767">
        <v>5</v>
      </c>
      <c r="T5767">
        <v>598</v>
      </c>
      <c r="U5767" s="1">
        <v>39310</v>
      </c>
      <c r="V5767" t="s">
        <v>80</v>
      </c>
      <c r="W5767" t="s">
        <v>81</v>
      </c>
      <c r="X5767" t="s">
        <v>58</v>
      </c>
      <c r="Y5767">
        <v>23</v>
      </c>
      <c r="Z5767" t="s">
        <v>59</v>
      </c>
      <c r="AA5767" t="s">
        <v>59</v>
      </c>
      <c r="AB5767" t="s">
        <v>59</v>
      </c>
      <c r="AC5767" t="s">
        <v>59</v>
      </c>
      <c r="AD5767" t="s">
        <v>59</v>
      </c>
      <c r="AF5767" s="1">
        <v>39329</v>
      </c>
      <c r="AG5767" t="s">
        <v>8645</v>
      </c>
      <c r="AH5767" t="s">
        <v>8676</v>
      </c>
      <c r="AI5767" t="str">
        <f>"9170095"</f>
        <v>9170095</v>
      </c>
      <c r="AJ5767" t="s">
        <v>8918</v>
      </c>
      <c r="AK5767">
        <v>2810741397</v>
      </c>
      <c r="AL5767" t="s">
        <v>8919</v>
      </c>
      <c r="AM5767" t="s">
        <v>78</v>
      </c>
      <c r="AN5767" t="s">
        <v>424</v>
      </c>
      <c r="AO5767" t="s">
        <v>428</v>
      </c>
      <c r="AP5767" t="s">
        <v>8920</v>
      </c>
      <c r="AQ5767">
        <v>11</v>
      </c>
      <c r="AR5767" t="s">
        <v>80</v>
      </c>
      <c r="AS5767" t="s">
        <v>81</v>
      </c>
      <c r="AT5767" t="s">
        <v>58</v>
      </c>
      <c r="AU5767" t="s">
        <v>68</v>
      </c>
      <c r="AV5767" t="s">
        <v>69</v>
      </c>
      <c r="AW5767" s="1">
        <v>30861</v>
      </c>
      <c r="AX5767">
        <v>1</v>
      </c>
    </row>
    <row r="5768" spans="1:50">
      <c r="A5768">
        <v>553499</v>
      </c>
      <c r="B5768" t="str">
        <f>"030800653"</f>
        <v>030800653</v>
      </c>
      <c r="C5768" t="s">
        <v>105</v>
      </c>
      <c r="D5768" t="s">
        <v>10182</v>
      </c>
      <c r="E5768" t="s">
        <v>166</v>
      </c>
      <c r="F5768" t="s">
        <v>99</v>
      </c>
      <c r="G5768" t="s">
        <v>250</v>
      </c>
      <c r="H5768" t="str">
        <f>"ΠΛΑΤΩΝΟΣ 7 ΝΕΑ ΑΛΙΚΑΡΝΑΣΣΟΣ"</f>
        <v>ΠΛΑΤΩΝΟΣ 7 ΝΕΑ ΑΛΙΚΑΡΝΑΣΣΟΣ</v>
      </c>
      <c r="I5768">
        <v>71601</v>
      </c>
      <c r="J5768">
        <v>2810240114</v>
      </c>
      <c r="K5768">
        <v>6976432418</v>
      </c>
      <c r="N5768" t="s">
        <v>615</v>
      </c>
      <c r="O5768" t="s">
        <v>616</v>
      </c>
      <c r="R5768" t="s">
        <v>57</v>
      </c>
      <c r="S5768">
        <v>16</v>
      </c>
      <c r="T5768">
        <v>235</v>
      </c>
      <c r="U5768" s="1">
        <v>31289</v>
      </c>
      <c r="V5768" t="s">
        <v>80</v>
      </c>
      <c r="W5768" t="s">
        <v>81</v>
      </c>
      <c r="X5768" t="s">
        <v>58</v>
      </c>
      <c r="Y5768">
        <v>21</v>
      </c>
      <c r="Z5768" t="s">
        <v>59</v>
      </c>
      <c r="AA5768" t="s">
        <v>59</v>
      </c>
      <c r="AB5768" t="s">
        <v>59</v>
      </c>
      <c r="AC5768" t="s">
        <v>59</v>
      </c>
      <c r="AD5768" t="s">
        <v>59</v>
      </c>
      <c r="AF5768" s="1">
        <v>31296</v>
      </c>
      <c r="AG5768" t="s">
        <v>8645</v>
      </c>
      <c r="AH5768" t="s">
        <v>8646</v>
      </c>
      <c r="AI5768" t="str">
        <f>"9170264"</f>
        <v>9170264</v>
      </c>
      <c r="AJ5768" t="s">
        <v>8718</v>
      </c>
      <c r="AK5768">
        <v>2810332030</v>
      </c>
      <c r="AL5768" t="s">
        <v>8719</v>
      </c>
      <c r="AM5768" t="s">
        <v>78</v>
      </c>
      <c r="AN5768" t="s">
        <v>78</v>
      </c>
      <c r="AO5768" t="s">
        <v>286</v>
      </c>
      <c r="AP5768" t="s">
        <v>286</v>
      </c>
      <c r="AQ5768">
        <v>1</v>
      </c>
      <c r="AR5768" t="s">
        <v>80</v>
      </c>
      <c r="AS5768" t="s">
        <v>81</v>
      </c>
      <c r="AT5768" t="s">
        <v>58</v>
      </c>
      <c r="AU5768" t="s">
        <v>68</v>
      </c>
      <c r="AV5768" t="s">
        <v>69</v>
      </c>
      <c r="AW5768" s="1">
        <v>22387</v>
      </c>
      <c r="AX5768">
        <v>1</v>
      </c>
    </row>
    <row r="5769" spans="1:50">
      <c r="A5769">
        <v>622367</v>
      </c>
      <c r="B5769" t="str">
        <f>"030170755"</f>
        <v>030170755</v>
      </c>
      <c r="C5769" t="s">
        <v>50</v>
      </c>
      <c r="D5769" t="s">
        <v>6083</v>
      </c>
      <c r="E5769" t="s">
        <v>367</v>
      </c>
      <c r="F5769" t="s">
        <v>670</v>
      </c>
      <c r="G5769" t="s">
        <v>610</v>
      </c>
      <c r="H5769" t="str">
        <f>"ΠΑΤΡ.ΓΡΗΓΟΡΙΟΥ Ε 49 ΗΡΑΚΛΕΙΟ"</f>
        <v>ΠΑΤΡ.ΓΡΗΓΟΡΙΟΥ Ε 49 ΗΡΑΚΛΕΙΟ</v>
      </c>
      <c r="I5769">
        <v>71305</v>
      </c>
      <c r="J5769">
        <v>2815004685</v>
      </c>
      <c r="K5769">
        <v>6945352260</v>
      </c>
      <c r="M5769" t="s">
        <v>10183</v>
      </c>
      <c r="N5769" t="s">
        <v>1525</v>
      </c>
      <c r="O5769" t="s">
        <v>1526</v>
      </c>
      <c r="R5769" t="s">
        <v>57</v>
      </c>
      <c r="S5769">
        <v>7</v>
      </c>
      <c r="T5769">
        <v>653</v>
      </c>
      <c r="U5769" s="1">
        <v>40043</v>
      </c>
      <c r="V5769" t="s">
        <v>80</v>
      </c>
      <c r="W5769" t="s">
        <v>81</v>
      </c>
      <c r="X5769" t="s">
        <v>58</v>
      </c>
      <c r="Y5769">
        <v>25</v>
      </c>
      <c r="Z5769" t="s">
        <v>59</v>
      </c>
      <c r="AA5769" t="s">
        <v>59</v>
      </c>
      <c r="AB5769" t="s">
        <v>59</v>
      </c>
      <c r="AC5769" t="s">
        <v>59</v>
      </c>
      <c r="AD5769" t="s">
        <v>59</v>
      </c>
      <c r="AF5769" s="1">
        <v>40057</v>
      </c>
      <c r="AG5769" t="s">
        <v>8651</v>
      </c>
      <c r="AH5769" t="s">
        <v>8652</v>
      </c>
      <c r="AI5769" t="str">
        <f>"9170451"</f>
        <v>9170451</v>
      </c>
      <c r="AJ5769" t="s">
        <v>10184</v>
      </c>
      <c r="AK5769">
        <v>2810260690</v>
      </c>
      <c r="AL5769" t="s">
        <v>10185</v>
      </c>
      <c r="AM5769" t="s">
        <v>78</v>
      </c>
      <c r="AN5769" t="s">
        <v>78</v>
      </c>
      <c r="AO5769" t="s">
        <v>78</v>
      </c>
      <c r="AP5769" t="s">
        <v>79</v>
      </c>
      <c r="AQ5769">
        <v>1</v>
      </c>
      <c r="AR5769" t="s">
        <v>80</v>
      </c>
      <c r="AS5769" t="s">
        <v>81</v>
      </c>
      <c r="AT5769" t="s">
        <v>58</v>
      </c>
      <c r="AU5769" t="s">
        <v>68</v>
      </c>
      <c r="AV5769" t="s">
        <v>69</v>
      </c>
      <c r="AW5769" s="1">
        <v>22822</v>
      </c>
      <c r="AX5769">
        <v>1</v>
      </c>
    </row>
    <row r="5770" spans="1:50">
      <c r="A5770">
        <v>193826</v>
      </c>
      <c r="B5770" t="str">
        <f>"103712478"</f>
        <v>103712478</v>
      </c>
      <c r="C5770" t="s">
        <v>50</v>
      </c>
      <c r="D5770" t="s">
        <v>10186</v>
      </c>
      <c r="E5770" t="s">
        <v>1345</v>
      </c>
      <c r="F5770" t="s">
        <v>1041</v>
      </c>
      <c r="G5770" t="s">
        <v>4715</v>
      </c>
      <c r="H5770" t="str">
        <f>" "</f>
        <v xml:space="preserve"> </v>
      </c>
      <c r="J5770">
        <v>2462084612</v>
      </c>
      <c r="K5770">
        <v>6977617568</v>
      </c>
      <c r="N5770" t="s">
        <v>478</v>
      </c>
      <c r="O5770" t="s">
        <v>479</v>
      </c>
      <c r="R5770" t="s">
        <v>57</v>
      </c>
      <c r="S5770">
        <v>10</v>
      </c>
      <c r="T5770">
        <v>193</v>
      </c>
      <c r="U5770" s="1">
        <v>37497</v>
      </c>
      <c r="V5770" t="s">
        <v>80</v>
      </c>
      <c r="W5770" t="s">
        <v>81</v>
      </c>
      <c r="X5770" t="s">
        <v>58</v>
      </c>
      <c r="Y5770">
        <v>21</v>
      </c>
      <c r="Z5770" t="s">
        <v>59</v>
      </c>
      <c r="AA5770" t="s">
        <v>59</v>
      </c>
      <c r="AB5770" t="s">
        <v>59</v>
      </c>
      <c r="AC5770" t="s">
        <v>59</v>
      </c>
      <c r="AD5770" t="s">
        <v>59</v>
      </c>
      <c r="AF5770" s="1">
        <v>37501</v>
      </c>
      <c r="AG5770" t="s">
        <v>8645</v>
      </c>
      <c r="AH5770" t="s">
        <v>8646</v>
      </c>
      <c r="AI5770" t="str">
        <f>"9170560"</f>
        <v>9170560</v>
      </c>
      <c r="AJ5770" t="s">
        <v>9022</v>
      </c>
      <c r="AK5770">
        <v>2810821816</v>
      </c>
      <c r="AL5770" t="s">
        <v>9023</v>
      </c>
      <c r="AM5770" t="s">
        <v>78</v>
      </c>
      <c r="AN5770" t="s">
        <v>129</v>
      </c>
      <c r="AO5770" t="s">
        <v>130</v>
      </c>
      <c r="AP5770" t="s">
        <v>130</v>
      </c>
      <c r="AQ5770">
        <v>1</v>
      </c>
      <c r="AR5770" t="s">
        <v>80</v>
      </c>
      <c r="AS5770" t="s">
        <v>81</v>
      </c>
      <c r="AT5770" t="s">
        <v>58</v>
      </c>
      <c r="AU5770" t="s">
        <v>68</v>
      </c>
      <c r="AV5770" t="s">
        <v>69</v>
      </c>
      <c r="AW5770" s="1">
        <v>23435</v>
      </c>
      <c r="AX5770">
        <v>1</v>
      </c>
    </row>
    <row r="5771" spans="1:50">
      <c r="A5771">
        <v>598672</v>
      </c>
      <c r="B5771" t="str">
        <f>"072939014"</f>
        <v>072939014</v>
      </c>
      <c r="C5771" t="s">
        <v>105</v>
      </c>
      <c r="D5771" t="s">
        <v>10187</v>
      </c>
      <c r="E5771" t="s">
        <v>1392</v>
      </c>
      <c r="F5771" t="s">
        <v>84</v>
      </c>
      <c r="G5771" t="s">
        <v>473</v>
      </c>
      <c r="H5771" t="str">
        <f>"ΡΑΥΤΟΠΟΥΛΟΥ 15  ΗΡΑΚΛΕΙΟ"</f>
        <v>ΡΑΥΤΟΠΟΥΛΟΥ 15  ΗΡΑΚΛΕΙΟ</v>
      </c>
      <c r="J5771">
        <v>2810210958</v>
      </c>
      <c r="K5771">
        <v>6946561547</v>
      </c>
      <c r="N5771" t="s">
        <v>615</v>
      </c>
      <c r="O5771" t="s">
        <v>616</v>
      </c>
      <c r="R5771" t="s">
        <v>57</v>
      </c>
      <c r="S5771">
        <v>9</v>
      </c>
      <c r="T5771">
        <v>195</v>
      </c>
      <c r="U5771" s="1">
        <v>37497</v>
      </c>
      <c r="V5771" t="s">
        <v>80</v>
      </c>
      <c r="W5771" t="s">
        <v>81</v>
      </c>
      <c r="X5771" t="s">
        <v>58</v>
      </c>
      <c r="Y5771">
        <v>22</v>
      </c>
      <c r="Z5771" t="s">
        <v>59</v>
      </c>
      <c r="AA5771" t="s">
        <v>59</v>
      </c>
      <c r="AB5771" t="s">
        <v>59</v>
      </c>
      <c r="AC5771" t="s">
        <v>59</v>
      </c>
      <c r="AD5771" t="s">
        <v>59</v>
      </c>
      <c r="AF5771" s="1">
        <v>37501</v>
      </c>
      <c r="AG5771" t="s">
        <v>8645</v>
      </c>
      <c r="AH5771" t="s">
        <v>8646</v>
      </c>
      <c r="AI5771" t="str">
        <f>"9170532"</f>
        <v>9170532</v>
      </c>
      <c r="AJ5771" t="s">
        <v>8945</v>
      </c>
      <c r="AK5771">
        <v>2810250330</v>
      </c>
      <c r="AL5771" t="s">
        <v>8946</v>
      </c>
      <c r="AM5771" t="s">
        <v>78</v>
      </c>
      <c r="AN5771" t="s">
        <v>78</v>
      </c>
      <c r="AO5771" t="s">
        <v>78</v>
      </c>
      <c r="AP5771" t="s">
        <v>141</v>
      </c>
      <c r="AQ5771">
        <v>1</v>
      </c>
      <c r="AR5771" t="s">
        <v>80</v>
      </c>
      <c r="AS5771" t="s">
        <v>81</v>
      </c>
      <c r="AT5771" t="s">
        <v>58</v>
      </c>
      <c r="AU5771" t="s">
        <v>68</v>
      </c>
      <c r="AV5771" t="s">
        <v>69</v>
      </c>
      <c r="AW5771" s="1">
        <v>23829</v>
      </c>
      <c r="AX5771">
        <v>1</v>
      </c>
    </row>
    <row r="5772" spans="1:50">
      <c r="A5772">
        <v>592863</v>
      </c>
      <c r="B5772" t="str">
        <f>"052074582"</f>
        <v>052074582</v>
      </c>
      <c r="C5772" t="s">
        <v>50</v>
      </c>
      <c r="D5772" t="s">
        <v>10188</v>
      </c>
      <c r="E5772" t="s">
        <v>237</v>
      </c>
      <c r="F5772" t="s">
        <v>95</v>
      </c>
      <c r="G5772" t="s">
        <v>250</v>
      </c>
      <c r="H5772" t="str">
        <f>"ΤΗΝΟΥ 4   ΗΡΑΚΛΕΙΟ"</f>
        <v>ΤΗΝΟΥ 4   ΗΡΑΚΛΕΙΟ</v>
      </c>
      <c r="I5772">
        <v>71304</v>
      </c>
      <c r="J5772">
        <v>2810262792</v>
      </c>
      <c r="K5772">
        <v>6977861122</v>
      </c>
      <c r="M5772" t="s">
        <v>10189</v>
      </c>
      <c r="N5772" t="s">
        <v>615</v>
      </c>
      <c r="O5772" t="s">
        <v>616</v>
      </c>
      <c r="R5772" t="s">
        <v>57</v>
      </c>
      <c r="S5772">
        <v>9</v>
      </c>
      <c r="T5772">
        <v>218</v>
      </c>
      <c r="U5772" s="1">
        <v>37134</v>
      </c>
      <c r="V5772" t="s">
        <v>80</v>
      </c>
      <c r="W5772" t="s">
        <v>81</v>
      </c>
      <c r="X5772" t="s">
        <v>58</v>
      </c>
      <c r="Y5772">
        <v>22</v>
      </c>
      <c r="Z5772" t="s">
        <v>59</v>
      </c>
      <c r="AA5772" t="s">
        <v>59</v>
      </c>
      <c r="AB5772" t="s">
        <v>59</v>
      </c>
      <c r="AC5772" t="s">
        <v>59</v>
      </c>
      <c r="AD5772" t="s">
        <v>59</v>
      </c>
      <c r="AF5772" s="1">
        <v>37138</v>
      </c>
      <c r="AG5772" t="s">
        <v>8645</v>
      </c>
      <c r="AH5772" t="s">
        <v>8646</v>
      </c>
      <c r="AI5772" t="str">
        <f>"9170056"</f>
        <v>9170056</v>
      </c>
      <c r="AJ5772" t="s">
        <v>9137</v>
      </c>
      <c r="AK5772">
        <v>2810253392</v>
      </c>
      <c r="AL5772" t="s">
        <v>9138</v>
      </c>
      <c r="AM5772" t="s">
        <v>78</v>
      </c>
      <c r="AN5772" t="s">
        <v>78</v>
      </c>
      <c r="AO5772" t="s">
        <v>78</v>
      </c>
      <c r="AP5772" t="s">
        <v>141</v>
      </c>
      <c r="AQ5772">
        <v>1</v>
      </c>
      <c r="AR5772" t="s">
        <v>80</v>
      </c>
      <c r="AS5772" t="s">
        <v>81</v>
      </c>
      <c r="AT5772" t="s">
        <v>58</v>
      </c>
      <c r="AU5772" t="s">
        <v>68</v>
      </c>
      <c r="AV5772" t="s">
        <v>69</v>
      </c>
      <c r="AW5772" s="1">
        <v>24823</v>
      </c>
      <c r="AX5772">
        <v>1</v>
      </c>
    </row>
    <row r="5773" spans="1:50">
      <c r="A5773">
        <v>574615</v>
      </c>
      <c r="B5773" t="str">
        <f>"038724658"</f>
        <v>038724658</v>
      </c>
      <c r="C5773" t="s">
        <v>50</v>
      </c>
      <c r="D5773" t="s">
        <v>10188</v>
      </c>
      <c r="E5773" t="s">
        <v>52</v>
      </c>
      <c r="F5773" t="s">
        <v>154</v>
      </c>
      <c r="G5773" t="s">
        <v>476</v>
      </c>
      <c r="H5773" t="str">
        <f>"ΘΕΝΩΝ 14 ΗΡΑΚΛΕΙΟ"</f>
        <v>ΘΕΝΩΝ 14 ΗΡΑΚΛΕΙΟ</v>
      </c>
      <c r="I5773">
        <v>71305</v>
      </c>
      <c r="J5773">
        <v>2810319879</v>
      </c>
      <c r="K5773">
        <v>6946964305</v>
      </c>
      <c r="N5773" t="s">
        <v>306</v>
      </c>
      <c r="O5773" t="s">
        <v>307</v>
      </c>
      <c r="R5773" t="s">
        <v>57</v>
      </c>
      <c r="S5773">
        <v>12</v>
      </c>
      <c r="T5773">
        <v>158</v>
      </c>
      <c r="U5773" s="1">
        <v>34577</v>
      </c>
      <c r="V5773" t="s">
        <v>80</v>
      </c>
      <c r="W5773" t="s">
        <v>81</v>
      </c>
      <c r="X5773" t="s">
        <v>58</v>
      </c>
      <c r="Y5773">
        <v>21</v>
      </c>
      <c r="Z5773" t="s">
        <v>59</v>
      </c>
      <c r="AA5773" t="s">
        <v>59</v>
      </c>
      <c r="AB5773" t="s">
        <v>59</v>
      </c>
      <c r="AC5773" t="s">
        <v>59</v>
      </c>
      <c r="AD5773" t="s">
        <v>59</v>
      </c>
      <c r="AF5773" s="1">
        <v>34582</v>
      </c>
      <c r="AG5773" t="s">
        <v>8645</v>
      </c>
      <c r="AH5773" t="s">
        <v>8646</v>
      </c>
      <c r="AI5773" t="str">
        <f>"9170515"</f>
        <v>9170515</v>
      </c>
      <c r="AJ5773" t="s">
        <v>8790</v>
      </c>
      <c r="AK5773">
        <v>2810254821</v>
      </c>
      <c r="AL5773" t="s">
        <v>8791</v>
      </c>
      <c r="AM5773" t="s">
        <v>78</v>
      </c>
      <c r="AN5773" t="s">
        <v>78</v>
      </c>
      <c r="AO5773" t="s">
        <v>78</v>
      </c>
      <c r="AP5773" t="s">
        <v>163</v>
      </c>
      <c r="AQ5773">
        <v>1</v>
      </c>
      <c r="AR5773" t="s">
        <v>80</v>
      </c>
      <c r="AS5773" t="s">
        <v>81</v>
      </c>
      <c r="AT5773" t="s">
        <v>58</v>
      </c>
      <c r="AU5773" t="s">
        <v>68</v>
      </c>
      <c r="AV5773" t="s">
        <v>69</v>
      </c>
      <c r="AW5773" s="1">
        <v>24819</v>
      </c>
      <c r="AX5773">
        <v>1</v>
      </c>
    </row>
    <row r="5774" spans="1:50">
      <c r="B5774" t="str">
        <f>"145199306"</f>
        <v>145199306</v>
      </c>
      <c r="C5774" t="s">
        <v>50</v>
      </c>
      <c r="D5774" t="s">
        <v>10190</v>
      </c>
      <c r="E5774" t="s">
        <v>714</v>
      </c>
      <c r="F5774" t="s">
        <v>72</v>
      </c>
      <c r="G5774" t="s">
        <v>367</v>
      </c>
      <c r="H5774" t="str">
        <f>" "</f>
        <v xml:space="preserve"> </v>
      </c>
      <c r="N5774" t="s">
        <v>615</v>
      </c>
      <c r="O5774" t="s">
        <v>616</v>
      </c>
      <c r="R5774" t="s">
        <v>159</v>
      </c>
      <c r="S5774">
        <v>1</v>
      </c>
      <c r="T5774" t="s">
        <v>8675</v>
      </c>
      <c r="U5774" s="1">
        <v>43348</v>
      </c>
      <c r="V5774" t="s">
        <v>80</v>
      </c>
      <c r="W5774" t="s">
        <v>81</v>
      </c>
      <c r="X5774" t="s">
        <v>58</v>
      </c>
      <c r="Y5774">
        <v>24</v>
      </c>
      <c r="Z5774" t="s">
        <v>59</v>
      </c>
      <c r="AA5774" t="s">
        <v>59</v>
      </c>
      <c r="AB5774" t="s">
        <v>59</v>
      </c>
      <c r="AD5774" t="s">
        <v>59</v>
      </c>
      <c r="AF5774" s="1">
        <v>43348</v>
      </c>
      <c r="AG5774" t="s">
        <v>8645</v>
      </c>
      <c r="AH5774" t="s">
        <v>8646</v>
      </c>
      <c r="AI5774" t="str">
        <f>"9170268"</f>
        <v>9170268</v>
      </c>
      <c r="AJ5774" t="s">
        <v>9301</v>
      </c>
      <c r="AK5774">
        <v>2892022710</v>
      </c>
      <c r="AL5774" t="s">
        <v>9302</v>
      </c>
      <c r="AM5774" t="s">
        <v>78</v>
      </c>
      <c r="AN5774" t="s">
        <v>242</v>
      </c>
      <c r="AO5774" t="s">
        <v>243</v>
      </c>
      <c r="AP5774" t="s">
        <v>243</v>
      </c>
      <c r="AQ5774">
        <v>20</v>
      </c>
      <c r="AR5774" t="s">
        <v>80</v>
      </c>
      <c r="AS5774" t="s">
        <v>81</v>
      </c>
      <c r="AT5774" t="s">
        <v>58</v>
      </c>
      <c r="AU5774" t="s">
        <v>8673</v>
      </c>
      <c r="AV5774" t="s">
        <v>132</v>
      </c>
      <c r="AW5774" s="1">
        <v>32234</v>
      </c>
      <c r="AX5774">
        <v>1</v>
      </c>
    </row>
    <row r="5775" spans="1:50">
      <c r="A5775">
        <v>616526</v>
      </c>
      <c r="B5775" t="str">
        <f>"115997890"</f>
        <v>115997890</v>
      </c>
      <c r="C5775" t="s">
        <v>50</v>
      </c>
      <c r="D5775" t="s">
        <v>10191</v>
      </c>
      <c r="E5775" t="s">
        <v>10192</v>
      </c>
      <c r="F5775" t="s">
        <v>95</v>
      </c>
      <c r="G5775" t="s">
        <v>372</v>
      </c>
      <c r="H5775" t="str">
        <f>"ΖΑΡΟΣ ΗΡΑΚΛΕΙΟΥ"</f>
        <v>ΖΑΡΟΣ ΗΡΑΚΛΕΙΟΥ</v>
      </c>
      <c r="I5775">
        <v>70002</v>
      </c>
      <c r="J5775">
        <v>2894031902</v>
      </c>
      <c r="K5775">
        <v>6937364404</v>
      </c>
      <c r="M5775" t="s">
        <v>10193</v>
      </c>
      <c r="N5775" t="s">
        <v>1525</v>
      </c>
      <c r="O5775" t="s">
        <v>1526</v>
      </c>
      <c r="R5775" t="s">
        <v>57</v>
      </c>
      <c r="S5775">
        <v>5</v>
      </c>
      <c r="T5775">
        <v>660</v>
      </c>
      <c r="U5775" s="1">
        <v>39311</v>
      </c>
      <c r="V5775" t="s">
        <v>80</v>
      </c>
      <c r="W5775" t="s">
        <v>81</v>
      </c>
      <c r="X5775" t="s">
        <v>58</v>
      </c>
      <c r="Y5775">
        <v>25</v>
      </c>
      <c r="Z5775" t="s">
        <v>59</v>
      </c>
      <c r="AA5775" t="s">
        <v>59</v>
      </c>
      <c r="AB5775" t="s">
        <v>59</v>
      </c>
      <c r="AC5775" t="s">
        <v>59</v>
      </c>
      <c r="AD5775" t="s">
        <v>59</v>
      </c>
      <c r="AF5775" s="1">
        <v>39330</v>
      </c>
      <c r="AG5775" t="s">
        <v>8651</v>
      </c>
      <c r="AH5775" t="s">
        <v>8652</v>
      </c>
      <c r="AI5775" t="str">
        <f>"9170357"</f>
        <v>9170357</v>
      </c>
      <c r="AJ5775" t="s">
        <v>9323</v>
      </c>
      <c r="AK5775">
        <v>2894031009</v>
      </c>
      <c r="AL5775" t="s">
        <v>9324</v>
      </c>
      <c r="AM5775" t="s">
        <v>78</v>
      </c>
      <c r="AN5775" t="s">
        <v>242</v>
      </c>
      <c r="AO5775" t="s">
        <v>999</v>
      </c>
      <c r="AP5775" t="s">
        <v>999</v>
      </c>
      <c r="AQ5775">
        <v>21</v>
      </c>
      <c r="AR5775" t="s">
        <v>80</v>
      </c>
      <c r="AS5775" t="s">
        <v>81</v>
      </c>
      <c r="AT5775" t="s">
        <v>58</v>
      </c>
      <c r="AU5775" t="s">
        <v>68</v>
      </c>
      <c r="AV5775" t="s">
        <v>69</v>
      </c>
      <c r="AW5775" s="1">
        <v>30588</v>
      </c>
      <c r="AX5775">
        <v>1</v>
      </c>
    </row>
    <row r="5776" spans="1:50">
      <c r="B5776" t="str">
        <f>"150251838"</f>
        <v>150251838</v>
      </c>
      <c r="C5776" t="s">
        <v>50</v>
      </c>
      <c r="D5776" t="s">
        <v>10191</v>
      </c>
      <c r="E5776" t="s">
        <v>620</v>
      </c>
      <c r="F5776" t="s">
        <v>450</v>
      </c>
      <c r="G5776" t="s">
        <v>52</v>
      </c>
      <c r="H5776" t="str">
        <f>" "</f>
        <v xml:space="preserve"> </v>
      </c>
      <c r="K5776">
        <v>6976679298</v>
      </c>
      <c r="N5776" t="s">
        <v>615</v>
      </c>
      <c r="O5776" t="s">
        <v>616</v>
      </c>
      <c r="R5776" t="s">
        <v>121</v>
      </c>
      <c r="S5776">
        <v>1</v>
      </c>
      <c r="T5776" t="s">
        <v>8717</v>
      </c>
      <c r="U5776" s="1">
        <v>43348</v>
      </c>
      <c r="V5776" t="s">
        <v>80</v>
      </c>
      <c r="W5776" t="s">
        <v>81</v>
      </c>
      <c r="X5776" t="s">
        <v>58</v>
      </c>
      <c r="Y5776">
        <v>24</v>
      </c>
      <c r="Z5776" t="s">
        <v>59</v>
      </c>
      <c r="AA5776" t="s">
        <v>59</v>
      </c>
      <c r="AB5776" t="s">
        <v>59</v>
      </c>
      <c r="AD5776" t="s">
        <v>59</v>
      </c>
      <c r="AF5776" s="1">
        <v>43348</v>
      </c>
      <c r="AG5776" t="s">
        <v>8645</v>
      </c>
      <c r="AH5776" t="s">
        <v>8646</v>
      </c>
      <c r="AI5776" t="str">
        <f>"9170254"</f>
        <v>9170254</v>
      </c>
      <c r="AJ5776" t="s">
        <v>9839</v>
      </c>
      <c r="AK5776">
        <v>2810245069</v>
      </c>
      <c r="AL5776" t="s">
        <v>9840</v>
      </c>
      <c r="AM5776" t="s">
        <v>78</v>
      </c>
      <c r="AN5776" t="s">
        <v>78</v>
      </c>
      <c r="AO5776" t="s">
        <v>78</v>
      </c>
      <c r="AP5776" t="s">
        <v>213</v>
      </c>
      <c r="AQ5776">
        <v>1</v>
      </c>
      <c r="AR5776" t="s">
        <v>80</v>
      </c>
      <c r="AS5776" t="s">
        <v>81</v>
      </c>
      <c r="AT5776" t="s">
        <v>58</v>
      </c>
      <c r="AU5776" t="s">
        <v>8720</v>
      </c>
      <c r="AV5776" t="s">
        <v>132</v>
      </c>
      <c r="AW5776" s="1">
        <v>32824</v>
      </c>
      <c r="AX5776">
        <v>1</v>
      </c>
    </row>
    <row r="5777" spans="1:50">
      <c r="B5777" t="str">
        <f>"121153727"</f>
        <v>121153727</v>
      </c>
      <c r="C5777" t="s">
        <v>50</v>
      </c>
      <c r="D5777" t="s">
        <v>10194</v>
      </c>
      <c r="E5777" t="s">
        <v>1510</v>
      </c>
      <c r="F5777" t="s">
        <v>154</v>
      </c>
      <c r="G5777" t="s">
        <v>83</v>
      </c>
      <c r="H5777" t="str">
        <f>"ΚΑΤΑΛΑΓΑΡΗ ΗΡΑΚΛΕΙΟ"</f>
        <v>ΚΑΤΑΛΑΓΑΡΗ ΗΡΑΚΛΕΙΟ</v>
      </c>
      <c r="I5777">
        <v>70100</v>
      </c>
      <c r="J5777">
        <v>2108993887</v>
      </c>
      <c r="K5777">
        <v>6973803063</v>
      </c>
      <c r="N5777" t="s">
        <v>478</v>
      </c>
      <c r="O5777" t="s">
        <v>479</v>
      </c>
      <c r="R5777" t="s">
        <v>121</v>
      </c>
      <c r="S5777">
        <v>1</v>
      </c>
      <c r="T5777" t="s">
        <v>8675</v>
      </c>
      <c r="U5777" s="1">
        <v>43348</v>
      </c>
      <c r="V5777" t="s">
        <v>80</v>
      </c>
      <c r="W5777" t="s">
        <v>81</v>
      </c>
      <c r="X5777" t="s">
        <v>58</v>
      </c>
      <c r="Y5777">
        <v>14</v>
      </c>
      <c r="Z5777" t="s">
        <v>59</v>
      </c>
      <c r="AA5777" t="s">
        <v>59</v>
      </c>
      <c r="AB5777" t="s">
        <v>59</v>
      </c>
      <c r="AC5777" t="s">
        <v>59</v>
      </c>
      <c r="AD5777" t="s">
        <v>59</v>
      </c>
      <c r="AF5777" s="1">
        <v>43348</v>
      </c>
      <c r="AG5777" t="s">
        <v>8645</v>
      </c>
      <c r="AH5777" t="s">
        <v>8646</v>
      </c>
      <c r="AI5777" t="str">
        <f>"9170132"</f>
        <v>9170132</v>
      </c>
      <c r="AJ5777" t="s">
        <v>9010</v>
      </c>
      <c r="AK5777">
        <v>2895022233</v>
      </c>
      <c r="AL5777" t="s">
        <v>9011</v>
      </c>
      <c r="AM5777" t="s">
        <v>78</v>
      </c>
      <c r="AN5777" t="s">
        <v>482</v>
      </c>
      <c r="AO5777" t="s">
        <v>482</v>
      </c>
      <c r="AP5777" t="s">
        <v>483</v>
      </c>
      <c r="AQ5777">
        <v>14</v>
      </c>
      <c r="AR5777" t="s">
        <v>80</v>
      </c>
      <c r="AS5777" t="s">
        <v>81</v>
      </c>
      <c r="AT5777" t="s">
        <v>58</v>
      </c>
      <c r="AU5777" t="s">
        <v>8686</v>
      </c>
      <c r="AV5777" t="s">
        <v>132</v>
      </c>
      <c r="AW5777" s="1">
        <v>27437</v>
      </c>
      <c r="AX5777">
        <v>1</v>
      </c>
    </row>
    <row r="5778" spans="1:50">
      <c r="B5778" t="str">
        <f>"134299190"</f>
        <v>134299190</v>
      </c>
      <c r="C5778" t="s">
        <v>105</v>
      </c>
      <c r="D5778" t="s">
        <v>10195</v>
      </c>
      <c r="E5778" t="s">
        <v>95</v>
      </c>
      <c r="F5778" t="s">
        <v>108</v>
      </c>
      <c r="G5778" t="s">
        <v>237</v>
      </c>
      <c r="H5778" t="str">
        <f>" "</f>
        <v xml:space="preserve"> </v>
      </c>
      <c r="K5778">
        <v>6945329359</v>
      </c>
      <c r="N5778" t="s">
        <v>683</v>
      </c>
      <c r="O5778" t="s">
        <v>684</v>
      </c>
      <c r="R5778" t="s">
        <v>159</v>
      </c>
      <c r="S5778">
        <v>1</v>
      </c>
      <c r="T5778" t="s">
        <v>8675</v>
      </c>
      <c r="U5778" s="1">
        <v>43348</v>
      </c>
      <c r="V5778" t="s">
        <v>80</v>
      </c>
      <c r="W5778" t="s">
        <v>81</v>
      </c>
      <c r="X5778" t="s">
        <v>58</v>
      </c>
      <c r="Y5778">
        <v>24</v>
      </c>
      <c r="Z5778" t="s">
        <v>59</v>
      </c>
      <c r="AA5778" t="s">
        <v>59</v>
      </c>
      <c r="AB5778" t="s">
        <v>59</v>
      </c>
      <c r="AD5778" t="s">
        <v>59</v>
      </c>
      <c r="AF5778" s="1">
        <v>43348</v>
      </c>
      <c r="AG5778" t="s">
        <v>8645</v>
      </c>
      <c r="AH5778" t="s">
        <v>8646</v>
      </c>
      <c r="AI5778" t="str">
        <f>"9170055"</f>
        <v>9170055</v>
      </c>
      <c r="AJ5778" t="s">
        <v>8836</v>
      </c>
      <c r="AK5778">
        <v>2810255097</v>
      </c>
      <c r="AL5778" t="s">
        <v>8837</v>
      </c>
      <c r="AM5778" t="s">
        <v>78</v>
      </c>
      <c r="AN5778" t="s">
        <v>78</v>
      </c>
      <c r="AO5778" t="s">
        <v>78</v>
      </c>
      <c r="AP5778" t="s">
        <v>141</v>
      </c>
      <c r="AQ5778">
        <v>1</v>
      </c>
      <c r="AR5778" t="s">
        <v>80</v>
      </c>
      <c r="AS5778" t="s">
        <v>81</v>
      </c>
      <c r="AT5778" t="s">
        <v>58</v>
      </c>
      <c r="AU5778" t="s">
        <v>8673</v>
      </c>
      <c r="AV5778" t="s">
        <v>132</v>
      </c>
      <c r="AW5778" s="1">
        <v>31186</v>
      </c>
      <c r="AX5778">
        <v>1</v>
      </c>
    </row>
    <row r="5779" spans="1:50">
      <c r="A5779">
        <v>591737</v>
      </c>
      <c r="B5779" t="str">
        <f>"064213750"</f>
        <v>064213750</v>
      </c>
      <c r="C5779" t="s">
        <v>50</v>
      </c>
      <c r="D5779" t="s">
        <v>10196</v>
      </c>
      <c r="E5779" t="s">
        <v>250</v>
      </c>
      <c r="F5779" t="s">
        <v>108</v>
      </c>
      <c r="G5779" t="s">
        <v>181</v>
      </c>
      <c r="H5779" t="str">
        <f>" "</f>
        <v xml:space="preserve"> </v>
      </c>
      <c r="N5779" t="s">
        <v>1525</v>
      </c>
      <c r="O5779" t="s">
        <v>1526</v>
      </c>
      <c r="R5779" t="s">
        <v>57</v>
      </c>
      <c r="S5779">
        <v>11</v>
      </c>
      <c r="T5779">
        <v>249</v>
      </c>
      <c r="U5779" s="1">
        <v>36769</v>
      </c>
      <c r="V5779" t="s">
        <v>80</v>
      </c>
      <c r="W5779" t="s">
        <v>81</v>
      </c>
      <c r="X5779" t="s">
        <v>58</v>
      </c>
      <c r="Y5779">
        <v>25</v>
      </c>
      <c r="Z5779" t="s">
        <v>59</v>
      </c>
      <c r="AA5779" t="s">
        <v>59</v>
      </c>
      <c r="AB5779" t="s">
        <v>59</v>
      </c>
      <c r="AC5779" t="s">
        <v>59</v>
      </c>
      <c r="AD5779" t="s">
        <v>59</v>
      </c>
      <c r="AF5779" s="1">
        <v>36770</v>
      </c>
      <c r="AG5779" t="s">
        <v>8651</v>
      </c>
      <c r="AH5779" t="s">
        <v>8652</v>
      </c>
      <c r="AI5779" t="str">
        <f>"9170587"</f>
        <v>9170587</v>
      </c>
      <c r="AJ5779" t="s">
        <v>10197</v>
      </c>
      <c r="AK5779">
        <v>2810212554</v>
      </c>
      <c r="AL5779" t="s">
        <v>10198</v>
      </c>
      <c r="AM5779" t="s">
        <v>78</v>
      </c>
      <c r="AN5779" t="s">
        <v>78</v>
      </c>
      <c r="AO5779" t="s">
        <v>78</v>
      </c>
      <c r="AP5779" t="s">
        <v>163</v>
      </c>
      <c r="AQ5779">
        <v>1</v>
      </c>
      <c r="AR5779" t="s">
        <v>80</v>
      </c>
      <c r="AS5779" t="s">
        <v>81</v>
      </c>
      <c r="AT5779" t="s">
        <v>58</v>
      </c>
      <c r="AU5779" t="s">
        <v>68</v>
      </c>
      <c r="AV5779" t="s">
        <v>69</v>
      </c>
      <c r="AW5779" s="1">
        <v>23080</v>
      </c>
      <c r="AX5779">
        <v>1</v>
      </c>
    </row>
    <row r="5780" spans="1:50">
      <c r="B5780" t="str">
        <f>"133484570"</f>
        <v>133484570</v>
      </c>
      <c r="C5780" t="s">
        <v>50</v>
      </c>
      <c r="D5780" t="s">
        <v>10196</v>
      </c>
      <c r="E5780" t="s">
        <v>8548</v>
      </c>
      <c r="F5780" t="s">
        <v>949</v>
      </c>
      <c r="G5780" t="s">
        <v>52</v>
      </c>
      <c r="H5780" t="str">
        <f>"ΖΑΚΑ  26 "</f>
        <v xml:space="preserve">ΖΑΚΑ  26 </v>
      </c>
      <c r="I5780">
        <v>56727</v>
      </c>
      <c r="J5780">
        <v>2841024928</v>
      </c>
      <c r="K5780">
        <v>6973217769</v>
      </c>
      <c r="N5780" t="s">
        <v>8694</v>
      </c>
      <c r="O5780" t="s">
        <v>8695</v>
      </c>
      <c r="R5780" t="s">
        <v>159</v>
      </c>
      <c r="S5780">
        <v>3</v>
      </c>
      <c r="T5780" t="s">
        <v>8696</v>
      </c>
      <c r="U5780" s="1">
        <v>43348</v>
      </c>
      <c r="V5780" t="s">
        <v>80</v>
      </c>
      <c r="W5780" t="s">
        <v>81</v>
      </c>
      <c r="X5780" t="s">
        <v>58</v>
      </c>
      <c r="Y5780">
        <v>24</v>
      </c>
      <c r="Z5780" t="s">
        <v>59</v>
      </c>
      <c r="AA5780" t="s">
        <v>59</v>
      </c>
      <c r="AB5780" t="s">
        <v>59</v>
      </c>
      <c r="AC5780" t="s">
        <v>59</v>
      </c>
      <c r="AD5780" t="s">
        <v>59</v>
      </c>
      <c r="AF5780" s="1">
        <v>43348</v>
      </c>
      <c r="AG5780" t="s">
        <v>8645</v>
      </c>
      <c r="AH5780" t="s">
        <v>8697</v>
      </c>
      <c r="AI5780" t="str">
        <f>"9170358"</f>
        <v>9170358</v>
      </c>
      <c r="AJ5780" t="s">
        <v>9378</v>
      </c>
      <c r="AK5780">
        <v>2810282028</v>
      </c>
      <c r="AL5780" t="s">
        <v>9379</v>
      </c>
      <c r="AM5780" t="s">
        <v>78</v>
      </c>
      <c r="AN5780" t="s">
        <v>78</v>
      </c>
      <c r="AO5780" t="s">
        <v>78</v>
      </c>
      <c r="AP5780" t="s">
        <v>141</v>
      </c>
      <c r="AQ5780">
        <v>1</v>
      </c>
      <c r="AR5780" t="s">
        <v>80</v>
      </c>
      <c r="AS5780" t="s">
        <v>81</v>
      </c>
      <c r="AT5780" t="s">
        <v>58</v>
      </c>
      <c r="AU5780" t="s">
        <v>350</v>
      </c>
      <c r="AV5780" t="s">
        <v>132</v>
      </c>
      <c r="AW5780" s="1">
        <v>31290</v>
      </c>
      <c r="AX5780">
        <v>1</v>
      </c>
    </row>
    <row r="5781" spans="1:50">
      <c r="B5781" t="str">
        <f>"070958844"</f>
        <v>070958844</v>
      </c>
      <c r="C5781" t="s">
        <v>50</v>
      </c>
      <c r="D5781" t="s">
        <v>10196</v>
      </c>
      <c r="E5781" t="s">
        <v>801</v>
      </c>
      <c r="F5781" t="s">
        <v>95</v>
      </c>
      <c r="G5781" t="s">
        <v>52</v>
      </c>
      <c r="H5781" t="str">
        <f>"ΕΥΑΝΘΗΣ Τ.Θ. 84 ΠΡΑΣΣΑ"</f>
        <v>ΕΥΑΝΘΗΣ Τ.Θ. 84 ΠΡΑΣΣΑ</v>
      </c>
      <c r="I5781">
        <v>71500</v>
      </c>
      <c r="J5781">
        <v>2810383005</v>
      </c>
      <c r="K5781">
        <v>6978485471</v>
      </c>
      <c r="M5781" t="s">
        <v>10199</v>
      </c>
      <c r="N5781" t="s">
        <v>615</v>
      </c>
      <c r="O5781" t="s">
        <v>616</v>
      </c>
      <c r="R5781" t="s">
        <v>159</v>
      </c>
      <c r="S5781">
        <v>3</v>
      </c>
      <c r="T5781" t="s">
        <v>8675</v>
      </c>
      <c r="U5781" s="1">
        <v>43348</v>
      </c>
      <c r="V5781" t="s">
        <v>80</v>
      </c>
      <c r="W5781" t="s">
        <v>81</v>
      </c>
      <c r="X5781" t="s">
        <v>58</v>
      </c>
      <c r="Y5781">
        <v>24</v>
      </c>
      <c r="Z5781" t="s">
        <v>59</v>
      </c>
      <c r="AA5781" t="s">
        <v>59</v>
      </c>
      <c r="AB5781" t="s">
        <v>59</v>
      </c>
      <c r="AC5781" t="s">
        <v>59</v>
      </c>
      <c r="AD5781" t="s">
        <v>59</v>
      </c>
      <c r="AF5781" s="1">
        <v>43348</v>
      </c>
      <c r="AG5781" t="s">
        <v>8645</v>
      </c>
      <c r="AH5781" t="s">
        <v>8646</v>
      </c>
      <c r="AI5781" t="str">
        <f>"9170219"</f>
        <v>9170219</v>
      </c>
      <c r="AJ5781" t="s">
        <v>8967</v>
      </c>
      <c r="AK5781">
        <v>2897041357</v>
      </c>
      <c r="AL5781" t="s">
        <v>8968</v>
      </c>
      <c r="AM5781" t="s">
        <v>78</v>
      </c>
      <c r="AN5781" t="s">
        <v>219</v>
      </c>
      <c r="AO5781" t="s">
        <v>297</v>
      </c>
      <c r="AP5781" t="s">
        <v>297</v>
      </c>
      <c r="AQ5781">
        <v>7</v>
      </c>
      <c r="AR5781" t="s">
        <v>80</v>
      </c>
      <c r="AS5781" t="s">
        <v>81</v>
      </c>
      <c r="AT5781" t="s">
        <v>58</v>
      </c>
      <c r="AU5781" t="s">
        <v>8673</v>
      </c>
      <c r="AV5781" t="s">
        <v>132</v>
      </c>
      <c r="AW5781" s="1">
        <v>29302</v>
      </c>
      <c r="AX5781">
        <v>1</v>
      </c>
    </row>
    <row r="5782" spans="1:50">
      <c r="B5782" t="str">
        <f>"070305360"</f>
        <v>070305360</v>
      </c>
      <c r="C5782" t="s">
        <v>50</v>
      </c>
      <c r="D5782" t="s">
        <v>2092</v>
      </c>
      <c r="E5782" t="s">
        <v>181</v>
      </c>
      <c r="F5782" t="s">
        <v>106</v>
      </c>
      <c r="G5782" t="s">
        <v>10200</v>
      </c>
      <c r="H5782" t="str">
        <f>" "</f>
        <v xml:space="preserve"> </v>
      </c>
      <c r="N5782" t="s">
        <v>1525</v>
      </c>
      <c r="O5782" t="s">
        <v>1526</v>
      </c>
      <c r="R5782" t="s">
        <v>121</v>
      </c>
      <c r="S5782">
        <v>1</v>
      </c>
      <c r="T5782" t="s">
        <v>8670</v>
      </c>
      <c r="U5782" s="1">
        <v>43348</v>
      </c>
      <c r="V5782" t="s">
        <v>80</v>
      </c>
      <c r="W5782" t="s">
        <v>81</v>
      </c>
      <c r="X5782" t="s">
        <v>58</v>
      </c>
      <c r="Y5782">
        <v>25</v>
      </c>
      <c r="Z5782" t="s">
        <v>59</v>
      </c>
      <c r="AA5782" t="s">
        <v>59</v>
      </c>
      <c r="AB5782" t="s">
        <v>59</v>
      </c>
      <c r="AD5782" t="s">
        <v>59</v>
      </c>
      <c r="AF5782" s="1">
        <v>43348</v>
      </c>
      <c r="AG5782" t="s">
        <v>8651</v>
      </c>
      <c r="AH5782" t="s">
        <v>8652</v>
      </c>
      <c r="AI5782" t="str">
        <f>"9170127"</f>
        <v>9170127</v>
      </c>
      <c r="AJ5782" t="s">
        <v>10201</v>
      </c>
      <c r="AK5782">
        <v>2810871640</v>
      </c>
      <c r="AL5782" t="s">
        <v>10202</v>
      </c>
      <c r="AM5782" t="s">
        <v>78</v>
      </c>
      <c r="AN5782" t="s">
        <v>78</v>
      </c>
      <c r="AO5782" t="s">
        <v>437</v>
      </c>
      <c r="AP5782" t="s">
        <v>438</v>
      </c>
      <c r="AQ5782">
        <v>5</v>
      </c>
      <c r="AR5782" t="s">
        <v>80</v>
      </c>
      <c r="AS5782" t="s">
        <v>81</v>
      </c>
      <c r="AT5782" t="s">
        <v>58</v>
      </c>
      <c r="AU5782" t="s">
        <v>8673</v>
      </c>
      <c r="AV5782" t="s">
        <v>132</v>
      </c>
      <c r="AW5782" s="1">
        <v>26897</v>
      </c>
      <c r="AX5782">
        <v>1</v>
      </c>
    </row>
    <row r="5783" spans="1:50">
      <c r="A5783">
        <v>703405</v>
      </c>
      <c r="B5783" t="str">
        <f>"132993285"</f>
        <v>132993285</v>
      </c>
      <c r="C5783" t="s">
        <v>105</v>
      </c>
      <c r="D5783" t="s">
        <v>2094</v>
      </c>
      <c r="E5783" t="s">
        <v>154</v>
      </c>
      <c r="F5783" t="s">
        <v>95</v>
      </c>
      <c r="G5783" t="s">
        <v>52</v>
      </c>
      <c r="H5783" t="str">
        <f>"ΚΟΔΡΙΚΤΩΝΟΣ 35 "</f>
        <v xml:space="preserve">ΚΟΔΡΙΚΤΩΝΟΣ 35 </v>
      </c>
      <c r="I5783">
        <v>10434</v>
      </c>
      <c r="J5783">
        <v>2110101362</v>
      </c>
      <c r="K5783">
        <v>6932068512</v>
      </c>
      <c r="N5783" t="s">
        <v>683</v>
      </c>
      <c r="O5783" t="s">
        <v>684</v>
      </c>
      <c r="R5783" t="s">
        <v>57</v>
      </c>
      <c r="S5783">
        <v>5</v>
      </c>
      <c r="T5783">
        <v>588</v>
      </c>
      <c r="U5783" s="1">
        <v>40778</v>
      </c>
      <c r="V5783" t="s">
        <v>80</v>
      </c>
      <c r="W5783" t="s">
        <v>81</v>
      </c>
      <c r="X5783" t="s">
        <v>58</v>
      </c>
      <c r="Y5783">
        <v>24</v>
      </c>
      <c r="Z5783" t="s">
        <v>59</v>
      </c>
      <c r="AA5783" t="s">
        <v>59</v>
      </c>
      <c r="AB5783" t="s">
        <v>59</v>
      </c>
      <c r="AC5783" t="s">
        <v>59</v>
      </c>
      <c r="AD5783" t="s">
        <v>59</v>
      </c>
      <c r="AF5783" s="1">
        <v>40780</v>
      </c>
      <c r="AG5783" t="s">
        <v>8645</v>
      </c>
      <c r="AH5783" t="s">
        <v>8646</v>
      </c>
      <c r="AI5783" t="str">
        <f>"9170580"</f>
        <v>9170580</v>
      </c>
      <c r="AJ5783" t="s">
        <v>9076</v>
      </c>
      <c r="AK5783">
        <v>2810542809</v>
      </c>
      <c r="AL5783" t="s">
        <v>9077</v>
      </c>
      <c r="AM5783" t="s">
        <v>78</v>
      </c>
      <c r="AN5783" t="s">
        <v>78</v>
      </c>
      <c r="AO5783" t="s">
        <v>78</v>
      </c>
      <c r="AP5783" t="s">
        <v>9053</v>
      </c>
      <c r="AQ5783">
        <v>1</v>
      </c>
      <c r="AR5783" t="s">
        <v>80</v>
      </c>
      <c r="AS5783" t="s">
        <v>81</v>
      </c>
      <c r="AT5783" t="s">
        <v>58</v>
      </c>
      <c r="AU5783" t="s">
        <v>68</v>
      </c>
      <c r="AV5783" t="s">
        <v>69</v>
      </c>
      <c r="AW5783" s="1">
        <v>28786</v>
      </c>
      <c r="AX5783">
        <v>1</v>
      </c>
    </row>
    <row r="5784" spans="1:50">
      <c r="B5784" t="str">
        <f>"072735908"</f>
        <v>072735908</v>
      </c>
      <c r="C5784" t="s">
        <v>50</v>
      </c>
      <c r="D5784" t="s">
        <v>10203</v>
      </c>
      <c r="E5784" t="s">
        <v>3666</v>
      </c>
      <c r="F5784" t="s">
        <v>900</v>
      </c>
      <c r="G5784" t="s">
        <v>1114</v>
      </c>
      <c r="H5784" t="str">
        <f>"ΣΤΑΥΡΟΥ ΝΙΩΤΗ 5 ΗΡΑΚΛΕΙΟ"</f>
        <v>ΣΤΑΥΡΟΥ ΝΙΩΤΗ 5 ΗΡΑΚΛΕΙΟ</v>
      </c>
      <c r="I5784">
        <v>71306</v>
      </c>
      <c r="J5784">
        <v>2810239117</v>
      </c>
      <c r="K5784">
        <v>6945919780</v>
      </c>
      <c r="N5784" t="s">
        <v>1525</v>
      </c>
      <c r="O5784" t="s">
        <v>1526</v>
      </c>
      <c r="R5784" t="s">
        <v>159</v>
      </c>
      <c r="S5784">
        <v>5</v>
      </c>
      <c r="T5784" t="s">
        <v>8670</v>
      </c>
      <c r="U5784" s="1">
        <v>43348</v>
      </c>
      <c r="V5784" t="s">
        <v>80</v>
      </c>
      <c r="W5784" t="s">
        <v>81</v>
      </c>
      <c r="X5784" t="s">
        <v>58</v>
      </c>
      <c r="Y5784">
        <v>25</v>
      </c>
      <c r="Z5784" t="s">
        <v>59</v>
      </c>
      <c r="AA5784" t="s">
        <v>59</v>
      </c>
      <c r="AB5784" t="s">
        <v>59</v>
      </c>
      <c r="AC5784" t="s">
        <v>59</v>
      </c>
      <c r="AD5784" t="s">
        <v>59</v>
      </c>
      <c r="AF5784" s="1">
        <v>43348</v>
      </c>
      <c r="AG5784" t="s">
        <v>8651</v>
      </c>
      <c r="AH5784" t="s">
        <v>8652</v>
      </c>
      <c r="AI5784" t="str">
        <f>"9170402"</f>
        <v>9170402</v>
      </c>
      <c r="AJ5784" t="s">
        <v>9599</v>
      </c>
      <c r="AK5784">
        <v>2894023373</v>
      </c>
      <c r="AL5784" t="s">
        <v>9600</v>
      </c>
      <c r="AM5784" t="s">
        <v>78</v>
      </c>
      <c r="AN5784" t="s">
        <v>405</v>
      </c>
      <c r="AO5784" t="s">
        <v>406</v>
      </c>
      <c r="AP5784" t="s">
        <v>8885</v>
      </c>
      <c r="AQ5784">
        <v>6</v>
      </c>
      <c r="AR5784" t="s">
        <v>80</v>
      </c>
      <c r="AS5784" t="s">
        <v>81</v>
      </c>
      <c r="AT5784" t="s">
        <v>58</v>
      </c>
      <c r="AU5784" t="s">
        <v>8673</v>
      </c>
      <c r="AV5784" t="s">
        <v>132</v>
      </c>
      <c r="AW5784" s="1">
        <v>25934</v>
      </c>
      <c r="AX5784">
        <v>1</v>
      </c>
    </row>
    <row r="5785" spans="1:50">
      <c r="B5785" t="str">
        <f>"129179006"</f>
        <v>129179006</v>
      </c>
      <c r="C5785" t="s">
        <v>50</v>
      </c>
      <c r="D5785" t="s">
        <v>10204</v>
      </c>
      <c r="E5785" t="s">
        <v>382</v>
      </c>
      <c r="F5785" t="s">
        <v>72</v>
      </c>
      <c r="G5785" t="s">
        <v>610</v>
      </c>
      <c r="H5785" t="str">
        <f>"Μ. ΑΛΕΞΑΝΔΡΟΥ 57 ΚΡΥΑ ΒΡΥΣΗ"</f>
        <v>Μ. ΑΛΕΞΑΝΔΡΟΥ 57 ΚΡΥΑ ΒΡΥΣΗ</v>
      </c>
      <c r="I5785">
        <v>58300</v>
      </c>
      <c r="J5785">
        <v>2382061382</v>
      </c>
      <c r="K5785">
        <v>6939403575</v>
      </c>
      <c r="N5785" t="s">
        <v>615</v>
      </c>
      <c r="O5785" t="s">
        <v>616</v>
      </c>
      <c r="R5785" t="s">
        <v>159</v>
      </c>
      <c r="S5785">
        <v>3</v>
      </c>
      <c r="T5785" t="s">
        <v>8675</v>
      </c>
      <c r="U5785" s="1">
        <v>43348</v>
      </c>
      <c r="V5785" t="s">
        <v>80</v>
      </c>
      <c r="W5785" t="s">
        <v>81</v>
      </c>
      <c r="X5785" t="s">
        <v>58</v>
      </c>
      <c r="Y5785">
        <v>24</v>
      </c>
      <c r="Z5785" t="s">
        <v>59</v>
      </c>
      <c r="AA5785" t="s">
        <v>59</v>
      </c>
      <c r="AB5785" t="s">
        <v>59</v>
      </c>
      <c r="AC5785" t="s">
        <v>59</v>
      </c>
      <c r="AD5785" t="s">
        <v>59</v>
      </c>
      <c r="AF5785" s="1">
        <v>43348</v>
      </c>
      <c r="AG5785" t="s">
        <v>8645</v>
      </c>
      <c r="AH5785" t="s">
        <v>8646</v>
      </c>
      <c r="AI5785" t="str">
        <f>"9170267"</f>
        <v>9170267</v>
      </c>
      <c r="AJ5785" t="s">
        <v>8840</v>
      </c>
      <c r="AK5785">
        <v>2892022320</v>
      </c>
      <c r="AL5785" t="s">
        <v>8841</v>
      </c>
      <c r="AM5785" t="s">
        <v>78</v>
      </c>
      <c r="AN5785" t="s">
        <v>242</v>
      </c>
      <c r="AO5785" t="s">
        <v>243</v>
      </c>
      <c r="AP5785" t="s">
        <v>243</v>
      </c>
      <c r="AQ5785">
        <v>20</v>
      </c>
      <c r="AR5785" t="s">
        <v>80</v>
      </c>
      <c r="AS5785" t="s">
        <v>81</v>
      </c>
      <c r="AT5785" t="s">
        <v>58</v>
      </c>
      <c r="AU5785" t="s">
        <v>8673</v>
      </c>
      <c r="AV5785" t="s">
        <v>132</v>
      </c>
      <c r="AW5785" s="1">
        <v>26173</v>
      </c>
      <c r="AX5785">
        <v>1</v>
      </c>
    </row>
    <row r="5786" spans="1:50">
      <c r="A5786">
        <v>587272</v>
      </c>
      <c r="B5786" t="str">
        <f>"037610307"</f>
        <v>037610307</v>
      </c>
      <c r="C5786" t="s">
        <v>50</v>
      </c>
      <c r="D5786" t="s">
        <v>10205</v>
      </c>
      <c r="E5786" t="s">
        <v>52</v>
      </c>
      <c r="F5786" t="s">
        <v>53</v>
      </c>
      <c r="G5786" t="s">
        <v>237</v>
      </c>
      <c r="H5786" t="str">
        <f>" "</f>
        <v xml:space="preserve"> </v>
      </c>
      <c r="N5786" t="s">
        <v>1525</v>
      </c>
      <c r="O5786" t="s">
        <v>1526</v>
      </c>
      <c r="R5786" t="s">
        <v>57</v>
      </c>
      <c r="S5786">
        <v>11</v>
      </c>
      <c r="T5786">
        <v>165</v>
      </c>
      <c r="U5786" s="1">
        <v>36040</v>
      </c>
      <c r="V5786" t="s">
        <v>80</v>
      </c>
      <c r="W5786" t="s">
        <v>81</v>
      </c>
      <c r="X5786" t="s">
        <v>58</v>
      </c>
      <c r="Y5786">
        <v>25</v>
      </c>
      <c r="Z5786" t="s">
        <v>59</v>
      </c>
      <c r="AA5786" t="s">
        <v>59</v>
      </c>
      <c r="AB5786" t="s">
        <v>59</v>
      </c>
      <c r="AC5786" t="s">
        <v>59</v>
      </c>
      <c r="AD5786" t="s">
        <v>59</v>
      </c>
      <c r="AF5786" s="1">
        <v>36040</v>
      </c>
      <c r="AG5786" t="s">
        <v>8651</v>
      </c>
      <c r="AH5786" t="s">
        <v>8652</v>
      </c>
      <c r="AI5786" t="str">
        <f>"9170390"</f>
        <v>9170390</v>
      </c>
      <c r="AJ5786" t="s">
        <v>10206</v>
      </c>
      <c r="AK5786">
        <v>2810238601</v>
      </c>
      <c r="AL5786" t="s">
        <v>10207</v>
      </c>
      <c r="AM5786" t="s">
        <v>78</v>
      </c>
      <c r="AN5786" t="s">
        <v>78</v>
      </c>
      <c r="AO5786" t="s">
        <v>78</v>
      </c>
      <c r="AP5786" t="s">
        <v>213</v>
      </c>
      <c r="AQ5786">
        <v>1</v>
      </c>
      <c r="AR5786" t="s">
        <v>80</v>
      </c>
      <c r="AS5786" t="s">
        <v>81</v>
      </c>
      <c r="AT5786" t="s">
        <v>58</v>
      </c>
      <c r="AU5786" t="s">
        <v>68</v>
      </c>
      <c r="AV5786" t="s">
        <v>69</v>
      </c>
      <c r="AW5786" s="1">
        <v>24135</v>
      </c>
      <c r="AX5786">
        <v>1</v>
      </c>
    </row>
    <row r="5787" spans="1:50">
      <c r="A5787">
        <v>582065</v>
      </c>
      <c r="B5787" t="str">
        <f>"038871112"</f>
        <v>038871112</v>
      </c>
      <c r="C5787" t="s">
        <v>105</v>
      </c>
      <c r="D5787" t="s">
        <v>10208</v>
      </c>
      <c r="E5787" t="s">
        <v>1330</v>
      </c>
      <c r="F5787" t="s">
        <v>383</v>
      </c>
      <c r="G5787" t="s">
        <v>1204</v>
      </c>
      <c r="H5787" t="str">
        <f>"ΑΝΘΕΩΝ 20  ΗΡΑΚΛΕΙΟ"</f>
        <v>ΑΝΘΕΩΝ 20  ΗΡΑΚΛΕΙΟ</v>
      </c>
      <c r="I5787">
        <v>71409</v>
      </c>
      <c r="J5787">
        <v>2810343800</v>
      </c>
      <c r="K5787">
        <v>6932848101</v>
      </c>
      <c r="M5787" t="s">
        <v>10209</v>
      </c>
      <c r="N5787" t="s">
        <v>615</v>
      </c>
      <c r="O5787" t="s">
        <v>616</v>
      </c>
      <c r="R5787" t="s">
        <v>57</v>
      </c>
      <c r="S5787">
        <v>12</v>
      </c>
      <c r="T5787">
        <v>179</v>
      </c>
      <c r="U5787" s="1">
        <v>35674</v>
      </c>
      <c r="V5787" t="s">
        <v>80</v>
      </c>
      <c r="W5787" t="s">
        <v>81</v>
      </c>
      <c r="X5787" t="s">
        <v>58</v>
      </c>
      <c r="Y5787">
        <v>25</v>
      </c>
      <c r="Z5787" t="s">
        <v>59</v>
      </c>
      <c r="AA5787" t="s">
        <v>59</v>
      </c>
      <c r="AB5787" t="s">
        <v>59</v>
      </c>
      <c r="AC5787" t="s">
        <v>59</v>
      </c>
      <c r="AD5787" t="s">
        <v>59</v>
      </c>
      <c r="AF5787" s="1">
        <v>35677</v>
      </c>
      <c r="AG5787" t="s">
        <v>8645</v>
      </c>
      <c r="AH5787" t="s">
        <v>8646</v>
      </c>
      <c r="AI5787" t="str">
        <f>"9170006"</f>
        <v>9170006</v>
      </c>
      <c r="AJ5787" t="s">
        <v>10060</v>
      </c>
      <c r="AK5787">
        <v>2810721207</v>
      </c>
      <c r="AL5787" t="s">
        <v>10061</v>
      </c>
      <c r="AM5787" t="s">
        <v>78</v>
      </c>
      <c r="AN5787" t="s">
        <v>78</v>
      </c>
      <c r="AO5787" t="s">
        <v>185</v>
      </c>
      <c r="AP5787" t="s">
        <v>186</v>
      </c>
      <c r="AQ5787">
        <v>4</v>
      </c>
      <c r="AR5787" t="s">
        <v>80</v>
      </c>
      <c r="AS5787" t="s">
        <v>81</v>
      </c>
      <c r="AT5787" t="s">
        <v>58</v>
      </c>
      <c r="AU5787" t="s">
        <v>68</v>
      </c>
      <c r="AV5787" t="s">
        <v>69</v>
      </c>
      <c r="AW5787" s="1">
        <v>23388</v>
      </c>
      <c r="AX5787">
        <v>1</v>
      </c>
    </row>
    <row r="5788" spans="1:50">
      <c r="A5788">
        <v>573978</v>
      </c>
      <c r="B5788" t="str">
        <f>"110736509"</f>
        <v>110736509</v>
      </c>
      <c r="C5788" t="s">
        <v>50</v>
      </c>
      <c r="D5788" t="s">
        <v>10210</v>
      </c>
      <c r="E5788" t="s">
        <v>801</v>
      </c>
      <c r="F5788" t="s">
        <v>72</v>
      </c>
      <c r="G5788" t="s">
        <v>314</v>
      </c>
      <c r="H5788" t="str">
        <f>"Β΄ΠΑΡΟΔΟΣ ΜΕΛΠΟΜΕΝΗΣ 19 ΗΡΑΚΛΕΙΟ"</f>
        <v>Β΄ΠΑΡΟΔΟΣ ΜΕΛΠΟΜΕΝΗΣ 19 ΗΡΑΚΛΕΙΟ</v>
      </c>
      <c r="I5788">
        <v>71404</v>
      </c>
      <c r="J5788">
        <v>2810316978</v>
      </c>
      <c r="N5788" t="s">
        <v>615</v>
      </c>
      <c r="O5788" t="s">
        <v>616</v>
      </c>
      <c r="R5788" t="s">
        <v>57</v>
      </c>
      <c r="S5788">
        <v>12</v>
      </c>
      <c r="T5788">
        <v>160</v>
      </c>
      <c r="U5788" s="1">
        <v>34582</v>
      </c>
      <c r="V5788" t="s">
        <v>80</v>
      </c>
      <c r="W5788" t="s">
        <v>81</v>
      </c>
      <c r="X5788" t="s">
        <v>58</v>
      </c>
      <c r="Y5788">
        <v>21</v>
      </c>
      <c r="Z5788" t="s">
        <v>59</v>
      </c>
      <c r="AA5788" t="s">
        <v>59</v>
      </c>
      <c r="AB5788" t="s">
        <v>59</v>
      </c>
      <c r="AC5788" t="s">
        <v>59</v>
      </c>
      <c r="AD5788" t="s">
        <v>59</v>
      </c>
      <c r="AF5788" s="1">
        <v>34582</v>
      </c>
      <c r="AG5788" t="s">
        <v>8645</v>
      </c>
      <c r="AH5788" t="s">
        <v>8646</v>
      </c>
      <c r="AI5788" t="str">
        <f>"9170057"</f>
        <v>9170057</v>
      </c>
      <c r="AJ5788" t="s">
        <v>8929</v>
      </c>
      <c r="AK5788">
        <v>2810251505</v>
      </c>
      <c r="AL5788" t="s">
        <v>8930</v>
      </c>
      <c r="AM5788" t="s">
        <v>78</v>
      </c>
      <c r="AN5788" t="s">
        <v>78</v>
      </c>
      <c r="AO5788" t="s">
        <v>78</v>
      </c>
      <c r="AP5788" t="s">
        <v>141</v>
      </c>
      <c r="AQ5788">
        <v>1</v>
      </c>
      <c r="AR5788" t="s">
        <v>80</v>
      </c>
      <c r="AS5788" t="s">
        <v>81</v>
      </c>
      <c r="AT5788" t="s">
        <v>58</v>
      </c>
      <c r="AU5788" t="s">
        <v>68</v>
      </c>
      <c r="AV5788" t="s">
        <v>69</v>
      </c>
      <c r="AW5788" s="1">
        <v>24541</v>
      </c>
      <c r="AX5788">
        <v>1</v>
      </c>
    </row>
    <row r="5789" spans="1:50">
      <c r="B5789" t="str">
        <f>"145514323"</f>
        <v>145514323</v>
      </c>
      <c r="C5789" t="s">
        <v>105</v>
      </c>
      <c r="D5789" t="s">
        <v>10211</v>
      </c>
      <c r="E5789" t="s">
        <v>920</v>
      </c>
      <c r="F5789" t="s">
        <v>3499</v>
      </c>
      <c r="G5789" t="s">
        <v>83</v>
      </c>
      <c r="H5789" t="str">
        <f>"ΜΙΚΡΑΣ ΑΣΙΑΣ 44 ΚΑΒΑΛΑ-ΚΗΠΟΥΠΟΛΗ"</f>
        <v>ΜΙΚΡΑΣ ΑΣΙΑΣ 44 ΚΑΒΑΛΑ-ΚΗΠΟΥΠΟΛΗ</v>
      </c>
      <c r="I5789">
        <v>69100</v>
      </c>
      <c r="J5789">
        <v>2510250796</v>
      </c>
      <c r="K5789">
        <v>6948572099</v>
      </c>
      <c r="L5789">
        <v>694858715</v>
      </c>
      <c r="M5789" t="s">
        <v>10212</v>
      </c>
      <c r="N5789" t="s">
        <v>337</v>
      </c>
      <c r="O5789" t="s">
        <v>338</v>
      </c>
      <c r="R5789" t="s">
        <v>121</v>
      </c>
      <c r="S5789">
        <v>1</v>
      </c>
      <c r="T5789" t="s">
        <v>8675</v>
      </c>
      <c r="U5789" s="1">
        <v>43348</v>
      </c>
      <c r="V5789" t="s">
        <v>80</v>
      </c>
      <c r="W5789" t="s">
        <v>81</v>
      </c>
      <c r="X5789" t="s">
        <v>58</v>
      </c>
      <c r="Y5789">
        <v>24</v>
      </c>
      <c r="Z5789" t="s">
        <v>59</v>
      </c>
      <c r="AA5789" t="s">
        <v>59</v>
      </c>
      <c r="AB5789" t="s">
        <v>59</v>
      </c>
      <c r="AC5789" t="s">
        <v>59</v>
      </c>
      <c r="AD5789" t="s">
        <v>59</v>
      </c>
      <c r="AF5789" s="1">
        <v>43348</v>
      </c>
      <c r="AG5789" t="s">
        <v>8645</v>
      </c>
      <c r="AH5789" t="s">
        <v>8646</v>
      </c>
      <c r="AI5789" t="str">
        <f>"9521091"</f>
        <v>9521091</v>
      </c>
      <c r="AJ5789" t="s">
        <v>8959</v>
      </c>
      <c r="AK5789">
        <v>2810370360</v>
      </c>
      <c r="AL5789" t="s">
        <v>8960</v>
      </c>
      <c r="AM5789" t="s">
        <v>78</v>
      </c>
      <c r="AN5789" t="s">
        <v>129</v>
      </c>
      <c r="AO5789" t="s">
        <v>130</v>
      </c>
      <c r="AP5789" t="s">
        <v>130</v>
      </c>
      <c r="AQ5789">
        <v>1</v>
      </c>
      <c r="AR5789" t="s">
        <v>80</v>
      </c>
      <c r="AS5789" t="s">
        <v>81</v>
      </c>
      <c r="AT5789" t="s">
        <v>58</v>
      </c>
      <c r="AU5789" t="s">
        <v>8673</v>
      </c>
      <c r="AV5789" t="s">
        <v>132</v>
      </c>
      <c r="AW5789" s="1">
        <v>32100</v>
      </c>
      <c r="AX5789">
        <v>1</v>
      </c>
    </row>
    <row r="5790" spans="1:50">
      <c r="A5790">
        <v>565663</v>
      </c>
      <c r="B5790" t="str">
        <f>"103828555"</f>
        <v>103828555</v>
      </c>
      <c r="C5790" t="s">
        <v>50</v>
      </c>
      <c r="D5790" t="s">
        <v>7463</v>
      </c>
      <c r="E5790" t="s">
        <v>83</v>
      </c>
      <c r="F5790" t="s">
        <v>760</v>
      </c>
      <c r="G5790" t="s">
        <v>314</v>
      </c>
      <c r="H5790" t="str">
        <f>"ΣΟΡΒΟΛΟΥ 12 ΗΡΑΚΛΕΙΟ"</f>
        <v>ΣΟΡΒΟΛΟΥ 12 ΗΡΑΚΛΕΙΟ</v>
      </c>
      <c r="I5790">
        <v>71305</v>
      </c>
      <c r="J5790">
        <v>2810213426</v>
      </c>
      <c r="K5790">
        <v>6945990889</v>
      </c>
      <c r="M5790" t="s">
        <v>10213</v>
      </c>
      <c r="N5790" t="s">
        <v>615</v>
      </c>
      <c r="O5790" t="s">
        <v>616</v>
      </c>
      <c r="R5790" t="s">
        <v>57</v>
      </c>
      <c r="S5790">
        <v>15</v>
      </c>
      <c r="T5790">
        <v>161</v>
      </c>
      <c r="U5790" s="1">
        <v>33119</v>
      </c>
      <c r="V5790" t="s">
        <v>80</v>
      </c>
      <c r="W5790" t="s">
        <v>81</v>
      </c>
      <c r="X5790" t="s">
        <v>58</v>
      </c>
      <c r="Y5790">
        <v>21</v>
      </c>
      <c r="Z5790" t="s">
        <v>59</v>
      </c>
      <c r="AA5790" t="s">
        <v>59</v>
      </c>
      <c r="AB5790" t="s">
        <v>59</v>
      </c>
      <c r="AC5790" t="s">
        <v>59</v>
      </c>
      <c r="AD5790" t="s">
        <v>59</v>
      </c>
      <c r="AF5790" s="1">
        <v>33121</v>
      </c>
      <c r="AG5790" t="s">
        <v>8645</v>
      </c>
      <c r="AH5790" t="s">
        <v>8646</v>
      </c>
      <c r="AI5790" t="str">
        <f>"9170343"</f>
        <v>9170343</v>
      </c>
      <c r="AJ5790" t="s">
        <v>8743</v>
      </c>
      <c r="AK5790">
        <v>2810283970</v>
      </c>
      <c r="AL5790" t="s">
        <v>8744</v>
      </c>
      <c r="AM5790" t="s">
        <v>78</v>
      </c>
      <c r="AN5790" t="s">
        <v>78</v>
      </c>
      <c r="AO5790" t="s">
        <v>78</v>
      </c>
      <c r="AP5790" t="s">
        <v>79</v>
      </c>
      <c r="AQ5790">
        <v>1</v>
      </c>
      <c r="AR5790" t="s">
        <v>80</v>
      </c>
      <c r="AS5790" t="s">
        <v>81</v>
      </c>
      <c r="AT5790" t="s">
        <v>58</v>
      </c>
      <c r="AU5790" t="s">
        <v>68</v>
      </c>
      <c r="AV5790" t="s">
        <v>69</v>
      </c>
      <c r="AW5790" s="1">
        <v>23656</v>
      </c>
      <c r="AX5790">
        <v>1</v>
      </c>
    </row>
    <row r="5791" spans="1:50">
      <c r="A5791">
        <v>620028</v>
      </c>
      <c r="B5791" t="str">
        <f>"072766553"</f>
        <v>072766553</v>
      </c>
      <c r="C5791" t="s">
        <v>105</v>
      </c>
      <c r="D5791" t="s">
        <v>10214</v>
      </c>
      <c r="E5791" t="s">
        <v>72</v>
      </c>
      <c r="F5791" t="s">
        <v>2933</v>
      </c>
      <c r="G5791" t="s">
        <v>263</v>
      </c>
      <c r="H5791" t="str">
        <f>"ΑΥΛΩΝΟΣ 20 ΗΡΑΚΛΕΙΟ"</f>
        <v>ΑΥΛΩΝΟΣ 20 ΗΡΑΚΛΕΙΟ</v>
      </c>
      <c r="I5791">
        <v>62002</v>
      </c>
      <c r="J5791">
        <v>2810315110</v>
      </c>
      <c r="K5791">
        <v>6973682352</v>
      </c>
      <c r="N5791" t="s">
        <v>176</v>
      </c>
      <c r="O5791" t="s">
        <v>177</v>
      </c>
      <c r="R5791" t="s">
        <v>57</v>
      </c>
      <c r="S5791">
        <v>6</v>
      </c>
      <c r="T5791">
        <v>775</v>
      </c>
      <c r="U5791" s="1">
        <v>39680</v>
      </c>
      <c r="V5791" t="s">
        <v>80</v>
      </c>
      <c r="W5791" t="s">
        <v>81</v>
      </c>
      <c r="X5791" t="s">
        <v>58</v>
      </c>
      <c r="Y5791">
        <v>23</v>
      </c>
      <c r="Z5791" t="s">
        <v>59</v>
      </c>
      <c r="AA5791" t="s">
        <v>59</v>
      </c>
      <c r="AB5791" t="s">
        <v>59</v>
      </c>
      <c r="AC5791" t="s">
        <v>59</v>
      </c>
      <c r="AD5791" t="s">
        <v>59</v>
      </c>
      <c r="AF5791" s="1">
        <v>39681</v>
      </c>
      <c r="AG5791" t="s">
        <v>8645</v>
      </c>
      <c r="AH5791" t="s">
        <v>8646</v>
      </c>
      <c r="AI5791" t="str">
        <f>"9170244"</f>
        <v>9170244</v>
      </c>
      <c r="AJ5791" t="s">
        <v>8933</v>
      </c>
      <c r="AK5791">
        <v>2897061213</v>
      </c>
      <c r="AL5791" t="s">
        <v>8934</v>
      </c>
      <c r="AM5791" t="s">
        <v>78</v>
      </c>
      <c r="AN5791" t="s">
        <v>219</v>
      </c>
      <c r="AO5791" t="s">
        <v>527</v>
      </c>
      <c r="AP5791" t="s">
        <v>528</v>
      </c>
      <c r="AQ5791">
        <v>8</v>
      </c>
      <c r="AR5791" t="s">
        <v>80</v>
      </c>
      <c r="AS5791" t="s">
        <v>81</v>
      </c>
      <c r="AT5791" t="s">
        <v>58</v>
      </c>
      <c r="AU5791" t="s">
        <v>68</v>
      </c>
      <c r="AV5791" t="s">
        <v>69</v>
      </c>
      <c r="AW5791" s="1">
        <v>24880</v>
      </c>
      <c r="AX5791">
        <v>1</v>
      </c>
    </row>
    <row r="5792" spans="1:50">
      <c r="B5792" t="str">
        <f>"066861331"</f>
        <v>066861331</v>
      </c>
      <c r="C5792" t="s">
        <v>105</v>
      </c>
      <c r="D5792" t="s">
        <v>10215</v>
      </c>
      <c r="E5792" t="s">
        <v>450</v>
      </c>
      <c r="F5792" t="s">
        <v>154</v>
      </c>
      <c r="G5792" t="s">
        <v>52</v>
      </c>
      <c r="H5792" t="str">
        <f>"ΦΙΛΟΜΟΥΖΗ - ΜΟΥΣΙΑ 5 "</f>
        <v xml:space="preserve">ΦΙΛΟΜΟΥΖΗ - ΜΟΥΣΙΑ 5 </v>
      </c>
      <c r="I5792">
        <v>81100</v>
      </c>
      <c r="J5792">
        <v>2251023334</v>
      </c>
      <c r="K5792">
        <v>6993580405</v>
      </c>
      <c r="N5792" t="s">
        <v>615</v>
      </c>
      <c r="O5792" t="s">
        <v>616</v>
      </c>
      <c r="R5792" t="s">
        <v>159</v>
      </c>
      <c r="S5792">
        <v>5</v>
      </c>
      <c r="T5792" t="s">
        <v>8675</v>
      </c>
      <c r="U5792" s="1">
        <v>43348</v>
      </c>
      <c r="V5792" t="s">
        <v>80</v>
      </c>
      <c r="W5792" t="s">
        <v>81</v>
      </c>
      <c r="X5792" t="s">
        <v>58</v>
      </c>
      <c r="Y5792">
        <v>24</v>
      </c>
      <c r="Z5792" t="s">
        <v>59</v>
      </c>
      <c r="AA5792" t="s">
        <v>59</v>
      </c>
      <c r="AB5792" t="s">
        <v>59</v>
      </c>
      <c r="AC5792" t="s">
        <v>59</v>
      </c>
      <c r="AD5792" t="s">
        <v>59</v>
      </c>
      <c r="AF5792" s="1">
        <v>43348</v>
      </c>
      <c r="AG5792" t="s">
        <v>8645</v>
      </c>
      <c r="AH5792" t="s">
        <v>8646</v>
      </c>
      <c r="AI5792" t="str">
        <f>"9170561"</f>
        <v>9170561</v>
      </c>
      <c r="AJ5792" t="s">
        <v>8708</v>
      </c>
      <c r="AK5792">
        <v>2891023609</v>
      </c>
      <c r="AL5792" t="s">
        <v>8709</v>
      </c>
      <c r="AM5792" t="s">
        <v>78</v>
      </c>
      <c r="AN5792" t="s">
        <v>276</v>
      </c>
      <c r="AO5792" t="s">
        <v>490</v>
      </c>
      <c r="AP5792" t="s">
        <v>490</v>
      </c>
      <c r="AQ5792">
        <v>12</v>
      </c>
      <c r="AR5792" t="s">
        <v>80</v>
      </c>
      <c r="AS5792" t="s">
        <v>81</v>
      </c>
      <c r="AT5792" t="s">
        <v>58</v>
      </c>
      <c r="AU5792" t="s">
        <v>8673</v>
      </c>
      <c r="AV5792" t="s">
        <v>132</v>
      </c>
      <c r="AW5792" s="1">
        <v>31556</v>
      </c>
      <c r="AX5792">
        <v>1</v>
      </c>
    </row>
    <row r="5793" spans="1:50">
      <c r="A5793">
        <v>229265</v>
      </c>
      <c r="B5793" t="str">
        <f>"103152680"</f>
        <v>103152680</v>
      </c>
      <c r="C5793" t="s">
        <v>50</v>
      </c>
      <c r="D5793" t="s">
        <v>10216</v>
      </c>
      <c r="E5793" t="s">
        <v>83</v>
      </c>
      <c r="F5793" t="s">
        <v>3574</v>
      </c>
      <c r="G5793" t="s">
        <v>237</v>
      </c>
      <c r="H5793" t="str">
        <f>"ΜΟΥΣΣΩΝ 46-48  ΠΕΙΡΑΙΑΣ"</f>
        <v>ΜΟΥΣΣΩΝ 46-48  ΠΕΙΡΑΙΑΣ</v>
      </c>
      <c r="I5793">
        <v>18534</v>
      </c>
      <c r="J5793">
        <v>2104172966</v>
      </c>
      <c r="K5793">
        <v>6946410516</v>
      </c>
      <c r="N5793" t="s">
        <v>683</v>
      </c>
      <c r="O5793" t="s">
        <v>684</v>
      </c>
      <c r="R5793" t="s">
        <v>57</v>
      </c>
      <c r="S5793">
        <v>4</v>
      </c>
      <c r="T5793">
        <v>792</v>
      </c>
      <c r="U5793" s="1">
        <v>40081</v>
      </c>
      <c r="V5793" t="s">
        <v>80</v>
      </c>
      <c r="W5793" t="s">
        <v>81</v>
      </c>
      <c r="X5793" t="s">
        <v>58</v>
      </c>
      <c r="Y5793">
        <v>24</v>
      </c>
      <c r="Z5793" t="s">
        <v>59</v>
      </c>
      <c r="AA5793" t="s">
        <v>59</v>
      </c>
      <c r="AB5793" t="s">
        <v>59</v>
      </c>
      <c r="AC5793" t="s">
        <v>59</v>
      </c>
      <c r="AD5793" t="s">
        <v>59</v>
      </c>
      <c r="AF5793" s="1">
        <v>40081</v>
      </c>
      <c r="AG5793" t="s">
        <v>8645</v>
      </c>
      <c r="AH5793" t="s">
        <v>8646</v>
      </c>
      <c r="AI5793" t="str">
        <f>"9170517"</f>
        <v>9170517</v>
      </c>
      <c r="AJ5793" t="s">
        <v>9248</v>
      </c>
      <c r="AK5793">
        <v>2810238757</v>
      </c>
      <c r="AL5793" t="s">
        <v>9249</v>
      </c>
      <c r="AM5793" t="s">
        <v>78</v>
      </c>
      <c r="AN5793" t="s">
        <v>78</v>
      </c>
      <c r="AO5793" t="s">
        <v>78</v>
      </c>
      <c r="AP5793" t="s">
        <v>163</v>
      </c>
      <c r="AQ5793">
        <v>1</v>
      </c>
      <c r="AR5793" t="s">
        <v>80</v>
      </c>
      <c r="AS5793" t="s">
        <v>81</v>
      </c>
      <c r="AT5793" t="s">
        <v>58</v>
      </c>
      <c r="AU5793" t="s">
        <v>68</v>
      </c>
      <c r="AV5793" t="s">
        <v>69</v>
      </c>
      <c r="AW5793" s="1">
        <v>27817</v>
      </c>
      <c r="AX5793">
        <v>1</v>
      </c>
    </row>
    <row r="5794" spans="1:50">
      <c r="A5794">
        <v>566230</v>
      </c>
      <c r="B5794" t="str">
        <f>"034942683"</f>
        <v>034942683</v>
      </c>
      <c r="C5794" t="s">
        <v>50</v>
      </c>
      <c r="D5794" t="s">
        <v>10217</v>
      </c>
      <c r="E5794" t="s">
        <v>600</v>
      </c>
      <c r="F5794" t="s">
        <v>383</v>
      </c>
      <c r="G5794" t="s">
        <v>340</v>
      </c>
      <c r="H5794" t="str">
        <f>"ΣΜΥΡΝΗΣ 18 ΓΑΖΙ ΗΡΑΚΛΕΙΟΥ"</f>
        <v>ΣΜΥΡΝΗΣ 18 ΓΑΖΙ ΗΡΑΚΛΕΙΟΥ</v>
      </c>
      <c r="I5794">
        <v>71414</v>
      </c>
      <c r="J5794">
        <v>2810542569</v>
      </c>
      <c r="K5794">
        <v>6976371389</v>
      </c>
      <c r="N5794" t="s">
        <v>615</v>
      </c>
      <c r="O5794" t="s">
        <v>616</v>
      </c>
      <c r="R5794" t="s">
        <v>57</v>
      </c>
      <c r="S5794">
        <v>15</v>
      </c>
      <c r="T5794">
        <v>161</v>
      </c>
      <c r="U5794" s="1">
        <v>33119</v>
      </c>
      <c r="V5794" t="s">
        <v>80</v>
      </c>
      <c r="W5794" t="s">
        <v>81</v>
      </c>
      <c r="X5794" t="s">
        <v>58</v>
      </c>
      <c r="Y5794">
        <v>21</v>
      </c>
      <c r="Z5794" t="s">
        <v>59</v>
      </c>
      <c r="AA5794" t="s">
        <v>59</v>
      </c>
      <c r="AB5794" t="s">
        <v>59</v>
      </c>
      <c r="AC5794" t="s">
        <v>59</v>
      </c>
      <c r="AD5794" t="s">
        <v>59</v>
      </c>
      <c r="AF5794" s="1">
        <v>33121</v>
      </c>
      <c r="AG5794" t="s">
        <v>8645</v>
      </c>
      <c r="AH5794" t="s">
        <v>8646</v>
      </c>
      <c r="AI5794" t="str">
        <f>"9170018"</f>
        <v>9170018</v>
      </c>
      <c r="AJ5794" t="s">
        <v>8924</v>
      </c>
      <c r="AK5794">
        <v>2810821217</v>
      </c>
      <c r="AL5794" t="s">
        <v>8925</v>
      </c>
      <c r="AM5794" t="s">
        <v>78</v>
      </c>
      <c r="AN5794" t="s">
        <v>129</v>
      </c>
      <c r="AO5794" t="s">
        <v>130</v>
      </c>
      <c r="AP5794" t="s">
        <v>130</v>
      </c>
      <c r="AQ5794">
        <v>1</v>
      </c>
      <c r="AR5794" t="s">
        <v>80</v>
      </c>
      <c r="AS5794" t="s">
        <v>81</v>
      </c>
      <c r="AT5794" t="s">
        <v>58</v>
      </c>
      <c r="AU5794" t="s">
        <v>68</v>
      </c>
      <c r="AV5794" t="s">
        <v>69</v>
      </c>
      <c r="AW5794" s="1">
        <v>24165</v>
      </c>
      <c r="AX5794">
        <v>1</v>
      </c>
    </row>
    <row r="5795" spans="1:50">
      <c r="B5795" t="str">
        <f>"114268657"</f>
        <v>114268657</v>
      </c>
      <c r="C5795" t="s">
        <v>50</v>
      </c>
      <c r="D5795" t="s">
        <v>10218</v>
      </c>
      <c r="E5795" t="s">
        <v>10219</v>
      </c>
      <c r="F5795" t="s">
        <v>1023</v>
      </c>
      <c r="G5795" t="s">
        <v>52</v>
      </c>
      <c r="H5795" t="str">
        <f>"ΑΡΕΤΗΣ ΝΙΩΤΗ 14 ΗΡΑΚΛΕΙΟ"</f>
        <v>ΑΡΕΤΗΣ ΝΙΩΤΗ 14 ΗΡΑΚΛΕΙΟ</v>
      </c>
      <c r="I5795">
        <v>71202</v>
      </c>
      <c r="J5795">
        <v>2810285418</v>
      </c>
      <c r="K5795">
        <v>6987207568</v>
      </c>
      <c r="M5795" t="s">
        <v>10220</v>
      </c>
      <c r="N5795" t="s">
        <v>384</v>
      </c>
      <c r="O5795" t="s">
        <v>385</v>
      </c>
      <c r="R5795" t="s">
        <v>159</v>
      </c>
      <c r="S5795">
        <v>6</v>
      </c>
      <c r="T5795" t="s">
        <v>8675</v>
      </c>
      <c r="U5795" s="1">
        <v>43348</v>
      </c>
      <c r="V5795" t="s">
        <v>80</v>
      </c>
      <c r="W5795" t="s">
        <v>81</v>
      </c>
      <c r="X5795" t="s">
        <v>58</v>
      </c>
      <c r="Y5795">
        <v>24</v>
      </c>
      <c r="Z5795" t="s">
        <v>59</v>
      </c>
      <c r="AA5795" t="s">
        <v>59</v>
      </c>
      <c r="AB5795" t="s">
        <v>59</v>
      </c>
      <c r="AC5795" t="s">
        <v>59</v>
      </c>
      <c r="AD5795" t="s">
        <v>59</v>
      </c>
      <c r="AF5795" s="1">
        <v>43348</v>
      </c>
      <c r="AG5795" t="s">
        <v>8645</v>
      </c>
      <c r="AH5795" t="s">
        <v>8646</v>
      </c>
      <c r="AI5795" t="str">
        <f>"9170547"</f>
        <v>9170547</v>
      </c>
      <c r="AJ5795" t="s">
        <v>9175</v>
      </c>
      <c r="AK5795">
        <v>2810250886</v>
      </c>
      <c r="AL5795" t="s">
        <v>9176</v>
      </c>
      <c r="AM5795" t="s">
        <v>78</v>
      </c>
      <c r="AN5795" t="s">
        <v>78</v>
      </c>
      <c r="AO5795" t="s">
        <v>78</v>
      </c>
      <c r="AP5795" t="s">
        <v>141</v>
      </c>
      <c r="AQ5795">
        <v>1</v>
      </c>
      <c r="AR5795" t="s">
        <v>80</v>
      </c>
      <c r="AS5795" t="s">
        <v>81</v>
      </c>
      <c r="AT5795" t="s">
        <v>58</v>
      </c>
      <c r="AU5795" t="s">
        <v>8673</v>
      </c>
      <c r="AV5795" t="s">
        <v>132</v>
      </c>
      <c r="AW5795" s="1">
        <v>30932</v>
      </c>
      <c r="AX5795">
        <v>1</v>
      </c>
    </row>
    <row r="5796" spans="1:50">
      <c r="A5796">
        <v>580745</v>
      </c>
      <c r="B5796" t="str">
        <f>"073267160"</f>
        <v>073267160</v>
      </c>
      <c r="C5796" t="s">
        <v>105</v>
      </c>
      <c r="D5796" t="s">
        <v>10221</v>
      </c>
      <c r="E5796" t="s">
        <v>311</v>
      </c>
      <c r="F5796" t="s">
        <v>95</v>
      </c>
      <c r="G5796" t="s">
        <v>10222</v>
      </c>
      <c r="H5796" t="str">
        <f>"ΤΗΝΟΥ 5  ΓΑΖΙ ΗΡΑΚΛΕΙΟΥ"</f>
        <v>ΤΗΝΟΥ 5  ΓΑΖΙ ΗΡΑΚΛΕΙΟΥ</v>
      </c>
      <c r="I5796">
        <v>71414</v>
      </c>
      <c r="J5796">
        <v>2810823486</v>
      </c>
      <c r="K5796">
        <v>6932237424</v>
      </c>
      <c r="N5796" t="s">
        <v>615</v>
      </c>
      <c r="O5796" t="s">
        <v>616</v>
      </c>
      <c r="R5796" t="s">
        <v>57</v>
      </c>
      <c r="S5796">
        <v>12</v>
      </c>
      <c r="T5796">
        <v>179</v>
      </c>
      <c r="U5796" s="1">
        <v>35674</v>
      </c>
      <c r="V5796" t="s">
        <v>80</v>
      </c>
      <c r="W5796" t="s">
        <v>81</v>
      </c>
      <c r="X5796" t="s">
        <v>58</v>
      </c>
      <c r="Y5796">
        <v>21</v>
      </c>
      <c r="Z5796" t="s">
        <v>59</v>
      </c>
      <c r="AA5796" t="s">
        <v>59</v>
      </c>
      <c r="AB5796" t="s">
        <v>59</v>
      </c>
      <c r="AC5796" t="s">
        <v>59</v>
      </c>
      <c r="AD5796" t="s">
        <v>59</v>
      </c>
      <c r="AF5796" s="1">
        <v>35674</v>
      </c>
      <c r="AG5796" t="s">
        <v>8645</v>
      </c>
      <c r="AH5796" t="s">
        <v>8646</v>
      </c>
      <c r="AI5796" t="str">
        <f>"9521411"</f>
        <v>9521411</v>
      </c>
      <c r="AJ5796" t="s">
        <v>9007</v>
      </c>
      <c r="AK5796">
        <v>2810824954</v>
      </c>
      <c r="AL5796" t="s">
        <v>9008</v>
      </c>
      <c r="AM5796" t="s">
        <v>78</v>
      </c>
      <c r="AN5796" t="s">
        <v>129</v>
      </c>
      <c r="AO5796" t="s">
        <v>130</v>
      </c>
      <c r="AP5796" t="s">
        <v>130</v>
      </c>
      <c r="AQ5796">
        <v>1</v>
      </c>
      <c r="AR5796" t="s">
        <v>80</v>
      </c>
      <c r="AS5796" t="s">
        <v>81</v>
      </c>
      <c r="AT5796" t="s">
        <v>58</v>
      </c>
      <c r="AU5796" t="s">
        <v>68</v>
      </c>
      <c r="AV5796" t="s">
        <v>69</v>
      </c>
      <c r="AW5796" s="1">
        <v>24893</v>
      </c>
      <c r="AX5796">
        <v>1</v>
      </c>
    </row>
    <row r="5797" spans="1:50">
      <c r="A5797">
        <v>568494</v>
      </c>
      <c r="B5797" t="str">
        <f>"032721589"</f>
        <v>032721589</v>
      </c>
      <c r="C5797" t="s">
        <v>50</v>
      </c>
      <c r="D5797" t="s">
        <v>10223</v>
      </c>
      <c r="E5797" t="s">
        <v>250</v>
      </c>
      <c r="F5797" t="s">
        <v>166</v>
      </c>
      <c r="G5797" t="s">
        <v>52</v>
      </c>
      <c r="H5797" t="str">
        <f>"ΠΑΝΤΕΛΑΡΟΥ 3 ΗΡΑΚΛΕΙΟ"</f>
        <v>ΠΑΝΤΕΛΑΡΟΥ 3 ΗΡΑΚΛΕΙΟ</v>
      </c>
      <c r="I5797">
        <v>71305</v>
      </c>
      <c r="J5797">
        <v>2810321124</v>
      </c>
      <c r="K5797">
        <v>6944969712</v>
      </c>
      <c r="M5797" t="s">
        <v>10224</v>
      </c>
      <c r="N5797" t="s">
        <v>615</v>
      </c>
      <c r="O5797" t="s">
        <v>616</v>
      </c>
      <c r="R5797" t="s">
        <v>57</v>
      </c>
      <c r="S5797">
        <v>14</v>
      </c>
      <c r="T5797">
        <v>162</v>
      </c>
      <c r="U5797" s="1">
        <v>33844</v>
      </c>
      <c r="V5797" t="s">
        <v>80</v>
      </c>
      <c r="W5797" t="s">
        <v>81</v>
      </c>
      <c r="X5797" t="s">
        <v>58</v>
      </c>
      <c r="Y5797">
        <v>21</v>
      </c>
      <c r="Z5797" t="s">
        <v>59</v>
      </c>
      <c r="AA5797" t="s">
        <v>59</v>
      </c>
      <c r="AB5797" t="s">
        <v>59</v>
      </c>
      <c r="AC5797" t="s">
        <v>59</v>
      </c>
      <c r="AD5797" t="s">
        <v>59</v>
      </c>
      <c r="AF5797" s="1">
        <v>33849</v>
      </c>
      <c r="AG5797" t="s">
        <v>8645</v>
      </c>
      <c r="AH5797" t="s">
        <v>8646</v>
      </c>
      <c r="AI5797" t="str">
        <f>"9170254"</f>
        <v>9170254</v>
      </c>
      <c r="AJ5797" t="s">
        <v>9839</v>
      </c>
      <c r="AK5797">
        <v>2810245069</v>
      </c>
      <c r="AL5797" t="s">
        <v>9840</v>
      </c>
      <c r="AM5797" t="s">
        <v>78</v>
      </c>
      <c r="AN5797" t="s">
        <v>78</v>
      </c>
      <c r="AO5797" t="s">
        <v>78</v>
      </c>
      <c r="AP5797" t="s">
        <v>213</v>
      </c>
      <c r="AQ5797">
        <v>1</v>
      </c>
      <c r="AR5797" t="s">
        <v>80</v>
      </c>
      <c r="AS5797" t="s">
        <v>81</v>
      </c>
      <c r="AT5797" t="s">
        <v>58</v>
      </c>
      <c r="AU5797" t="s">
        <v>68</v>
      </c>
      <c r="AV5797" t="s">
        <v>69</v>
      </c>
      <c r="AW5797" s="1">
        <v>24108</v>
      </c>
      <c r="AX5797">
        <v>1</v>
      </c>
    </row>
    <row r="5798" spans="1:50">
      <c r="A5798">
        <v>617318</v>
      </c>
      <c r="B5798" t="str">
        <f>"114578647"</f>
        <v>114578647</v>
      </c>
      <c r="C5798" t="s">
        <v>50</v>
      </c>
      <c r="D5798" t="s">
        <v>10225</v>
      </c>
      <c r="E5798" t="s">
        <v>83</v>
      </c>
      <c r="F5798" t="s">
        <v>99</v>
      </c>
      <c r="G5798" t="s">
        <v>563</v>
      </c>
      <c r="H5798" t="str">
        <f>"ΑΝΔ. ΜΗΛΙΩΤΗ 88 ΗΡΑΚΛΕΙΟ"</f>
        <v>ΑΝΔ. ΜΗΛΙΩΤΗ 88 ΗΡΑΚΛΕΙΟ</v>
      </c>
      <c r="I5798">
        <v>71306</v>
      </c>
      <c r="K5798">
        <v>6974370889</v>
      </c>
      <c r="M5798" t="s">
        <v>10226</v>
      </c>
      <c r="N5798" t="s">
        <v>615</v>
      </c>
      <c r="O5798" t="s">
        <v>616</v>
      </c>
      <c r="R5798" t="s">
        <v>57</v>
      </c>
      <c r="S5798">
        <v>6</v>
      </c>
      <c r="T5798">
        <v>774</v>
      </c>
      <c r="U5798" s="1">
        <v>39680</v>
      </c>
      <c r="V5798" t="s">
        <v>80</v>
      </c>
      <c r="W5798" t="s">
        <v>81</v>
      </c>
      <c r="X5798" t="s">
        <v>58</v>
      </c>
      <c r="Y5798">
        <v>23</v>
      </c>
      <c r="Z5798" t="s">
        <v>59</v>
      </c>
      <c r="AA5798" t="s">
        <v>59</v>
      </c>
      <c r="AB5798" t="s">
        <v>59</v>
      </c>
      <c r="AC5798" t="s">
        <v>59</v>
      </c>
      <c r="AD5798" t="s">
        <v>59</v>
      </c>
      <c r="AF5798" s="1">
        <v>39681</v>
      </c>
      <c r="AG5798" t="s">
        <v>8645</v>
      </c>
      <c r="AH5798" t="s">
        <v>8646</v>
      </c>
      <c r="AI5798" t="str">
        <f>"9170254"</f>
        <v>9170254</v>
      </c>
      <c r="AJ5798" t="s">
        <v>9839</v>
      </c>
      <c r="AK5798">
        <v>2810245069</v>
      </c>
      <c r="AL5798" t="s">
        <v>9840</v>
      </c>
      <c r="AM5798" t="s">
        <v>78</v>
      </c>
      <c r="AN5798" t="s">
        <v>78</v>
      </c>
      <c r="AO5798" t="s">
        <v>78</v>
      </c>
      <c r="AP5798" t="s">
        <v>213</v>
      </c>
      <c r="AQ5798">
        <v>1</v>
      </c>
      <c r="AR5798" t="s">
        <v>80</v>
      </c>
      <c r="AS5798" t="s">
        <v>81</v>
      </c>
      <c r="AT5798" t="s">
        <v>58</v>
      </c>
      <c r="AU5798" t="s">
        <v>68</v>
      </c>
      <c r="AV5798" t="s">
        <v>69</v>
      </c>
      <c r="AW5798" s="1">
        <v>30409</v>
      </c>
      <c r="AX5798">
        <v>1</v>
      </c>
    </row>
    <row r="5799" spans="1:50">
      <c r="A5799">
        <v>586115</v>
      </c>
      <c r="B5799" t="str">
        <f>"058648279"</f>
        <v>058648279</v>
      </c>
      <c r="C5799" t="s">
        <v>50</v>
      </c>
      <c r="D5799" t="s">
        <v>10227</v>
      </c>
      <c r="E5799" t="s">
        <v>3477</v>
      </c>
      <c r="F5799" t="s">
        <v>166</v>
      </c>
      <c r="G5799" t="s">
        <v>181</v>
      </c>
      <c r="H5799" t="str">
        <f>"ΑΡΤΑΚΙΝΑΣ 11 ΗΡΑΚΛΕΙΟ"</f>
        <v>ΑΡΤΑΚΙΝΑΣ 11 ΗΡΑΚΛΕΙΟ</v>
      </c>
      <c r="J5799">
        <v>2810326453</v>
      </c>
      <c r="K5799">
        <v>6972623019</v>
      </c>
      <c r="N5799" t="s">
        <v>615</v>
      </c>
      <c r="O5799" t="s">
        <v>616</v>
      </c>
      <c r="R5799" t="s">
        <v>57</v>
      </c>
      <c r="S5799">
        <v>11</v>
      </c>
      <c r="T5799">
        <v>165</v>
      </c>
      <c r="U5799" s="1">
        <v>36040</v>
      </c>
      <c r="V5799" t="s">
        <v>80</v>
      </c>
      <c r="W5799" t="s">
        <v>81</v>
      </c>
      <c r="X5799" t="s">
        <v>58</v>
      </c>
      <c r="Y5799">
        <v>21</v>
      </c>
      <c r="Z5799" t="s">
        <v>59</v>
      </c>
      <c r="AA5799" t="s">
        <v>59</v>
      </c>
      <c r="AB5799" t="s">
        <v>59</v>
      </c>
      <c r="AC5799" t="s">
        <v>59</v>
      </c>
      <c r="AD5799" t="s">
        <v>59</v>
      </c>
      <c r="AF5799" s="1">
        <v>36048</v>
      </c>
      <c r="AG5799" t="s">
        <v>8645</v>
      </c>
      <c r="AH5799" t="s">
        <v>8646</v>
      </c>
      <c r="AI5799" t="str">
        <f>"9170517"</f>
        <v>9170517</v>
      </c>
      <c r="AJ5799" t="s">
        <v>9248</v>
      </c>
      <c r="AK5799">
        <v>2810238757</v>
      </c>
      <c r="AL5799" t="s">
        <v>9249</v>
      </c>
      <c r="AM5799" t="s">
        <v>78</v>
      </c>
      <c r="AN5799" t="s">
        <v>78</v>
      </c>
      <c r="AO5799" t="s">
        <v>78</v>
      </c>
      <c r="AP5799" t="s">
        <v>163</v>
      </c>
      <c r="AQ5799">
        <v>1</v>
      </c>
      <c r="AR5799" t="s">
        <v>80</v>
      </c>
      <c r="AS5799" t="s">
        <v>81</v>
      </c>
      <c r="AT5799" t="s">
        <v>58</v>
      </c>
      <c r="AU5799" t="s">
        <v>68</v>
      </c>
      <c r="AV5799" t="s">
        <v>69</v>
      </c>
      <c r="AW5799" s="1">
        <v>23898</v>
      </c>
      <c r="AX5799">
        <v>1</v>
      </c>
    </row>
    <row r="5800" spans="1:50">
      <c r="B5800" t="str">
        <f>"147443260"</f>
        <v>147443260</v>
      </c>
      <c r="C5800" t="s">
        <v>50</v>
      </c>
      <c r="D5800" t="s">
        <v>10228</v>
      </c>
      <c r="E5800" t="s">
        <v>620</v>
      </c>
      <c r="F5800" t="s">
        <v>1841</v>
      </c>
      <c r="G5800" t="s">
        <v>10229</v>
      </c>
      <c r="H5800" t="str">
        <f>"ΑΠ. ΣΑΜΑΝΙΔΗ 10 "</f>
        <v xml:space="preserve">ΑΠ. ΣΑΜΑΝΙΔΗ 10 </v>
      </c>
      <c r="I5800">
        <v>55236</v>
      </c>
      <c r="J5800">
        <v>2310331346</v>
      </c>
      <c r="K5800">
        <v>6942541663</v>
      </c>
      <c r="N5800" t="s">
        <v>615</v>
      </c>
      <c r="O5800" t="s">
        <v>616</v>
      </c>
      <c r="R5800" t="s">
        <v>159</v>
      </c>
      <c r="S5800">
        <v>3</v>
      </c>
      <c r="T5800" t="s">
        <v>8675</v>
      </c>
      <c r="U5800" s="1">
        <v>43348</v>
      </c>
      <c r="V5800" t="s">
        <v>80</v>
      </c>
      <c r="W5800" t="s">
        <v>81</v>
      </c>
      <c r="X5800" t="s">
        <v>58</v>
      </c>
      <c r="Y5800">
        <v>24</v>
      </c>
      <c r="Z5800" t="s">
        <v>59</v>
      </c>
      <c r="AA5800" t="s">
        <v>59</v>
      </c>
      <c r="AB5800" t="s">
        <v>59</v>
      </c>
      <c r="AC5800" t="s">
        <v>59</v>
      </c>
      <c r="AD5800" t="s">
        <v>59</v>
      </c>
      <c r="AF5800" s="1">
        <v>43348</v>
      </c>
      <c r="AG5800" t="s">
        <v>8645</v>
      </c>
      <c r="AH5800" t="s">
        <v>8646</v>
      </c>
      <c r="AI5800" t="str">
        <f>"9170431"</f>
        <v>9170431</v>
      </c>
      <c r="AJ5800" t="s">
        <v>8658</v>
      </c>
      <c r="AK5800">
        <v>2810250952</v>
      </c>
      <c r="AL5800" t="s">
        <v>8659</v>
      </c>
      <c r="AM5800" t="s">
        <v>78</v>
      </c>
      <c r="AN5800" t="s">
        <v>78</v>
      </c>
      <c r="AO5800" t="s">
        <v>78</v>
      </c>
      <c r="AP5800" t="s">
        <v>141</v>
      </c>
      <c r="AQ5800">
        <v>1</v>
      </c>
      <c r="AR5800" t="s">
        <v>80</v>
      </c>
      <c r="AS5800" t="s">
        <v>81</v>
      </c>
      <c r="AT5800" t="s">
        <v>58</v>
      </c>
      <c r="AU5800" t="s">
        <v>8673</v>
      </c>
      <c r="AV5800" t="s">
        <v>132</v>
      </c>
      <c r="AW5800" s="1">
        <v>30297</v>
      </c>
      <c r="AX5800">
        <v>1</v>
      </c>
    </row>
    <row r="5801" spans="1:50">
      <c r="B5801" t="str">
        <f>"128335255"</f>
        <v>128335255</v>
      </c>
      <c r="C5801" t="s">
        <v>50</v>
      </c>
      <c r="D5801" t="s">
        <v>10230</v>
      </c>
      <c r="E5801" t="s">
        <v>1068</v>
      </c>
      <c r="F5801" t="s">
        <v>95</v>
      </c>
      <c r="G5801" t="s">
        <v>484</v>
      </c>
      <c r="H5801" t="str">
        <f>" "</f>
        <v xml:space="preserve"> </v>
      </c>
      <c r="N5801" t="s">
        <v>176</v>
      </c>
      <c r="O5801" t="s">
        <v>177</v>
      </c>
      <c r="R5801" t="s">
        <v>159</v>
      </c>
      <c r="S5801">
        <v>2</v>
      </c>
      <c r="T5801" t="s">
        <v>8675</v>
      </c>
      <c r="U5801" s="1">
        <v>43348</v>
      </c>
      <c r="V5801" t="s">
        <v>80</v>
      </c>
      <c r="W5801" t="s">
        <v>81</v>
      </c>
      <c r="X5801" t="s">
        <v>58</v>
      </c>
      <c r="Y5801">
        <v>24</v>
      </c>
      <c r="Z5801" t="s">
        <v>59</v>
      </c>
      <c r="AA5801" t="s">
        <v>59</v>
      </c>
      <c r="AB5801" t="s">
        <v>59</v>
      </c>
      <c r="AC5801" t="s">
        <v>59</v>
      </c>
      <c r="AD5801" t="s">
        <v>59</v>
      </c>
      <c r="AF5801" s="1">
        <v>43348</v>
      </c>
      <c r="AG5801" t="s">
        <v>8645</v>
      </c>
      <c r="AH5801" t="s">
        <v>8646</v>
      </c>
      <c r="AI5801" t="str">
        <f>"9521411"</f>
        <v>9521411</v>
      </c>
      <c r="AJ5801" t="s">
        <v>9007</v>
      </c>
      <c r="AK5801">
        <v>2810824954</v>
      </c>
      <c r="AL5801" t="s">
        <v>9008</v>
      </c>
      <c r="AM5801" t="s">
        <v>78</v>
      </c>
      <c r="AN5801" t="s">
        <v>129</v>
      </c>
      <c r="AO5801" t="s">
        <v>130</v>
      </c>
      <c r="AP5801" t="s">
        <v>130</v>
      </c>
      <c r="AQ5801">
        <v>1</v>
      </c>
      <c r="AR5801" t="s">
        <v>80</v>
      </c>
      <c r="AS5801" t="s">
        <v>81</v>
      </c>
      <c r="AT5801" t="s">
        <v>58</v>
      </c>
      <c r="AU5801" t="s">
        <v>8673</v>
      </c>
      <c r="AV5801" t="s">
        <v>132</v>
      </c>
      <c r="AW5801" s="1">
        <v>29056</v>
      </c>
      <c r="AX5801">
        <v>1</v>
      </c>
    </row>
    <row r="5802" spans="1:50">
      <c r="A5802">
        <v>573956</v>
      </c>
      <c r="B5802" t="str">
        <f>"039382768"</f>
        <v>039382768</v>
      </c>
      <c r="C5802" t="s">
        <v>105</v>
      </c>
      <c r="D5802" t="s">
        <v>10231</v>
      </c>
      <c r="E5802" t="s">
        <v>166</v>
      </c>
      <c r="F5802" t="s">
        <v>72</v>
      </c>
      <c r="G5802" t="s">
        <v>52</v>
      </c>
      <c r="H5802" t="str">
        <f>"ΛΥΤΤΟΥ 10 ΗΡΑΚΛΕΙΟ"</f>
        <v>ΛΥΤΤΟΥ 10 ΗΡΑΚΛΕΙΟ</v>
      </c>
      <c r="I5802">
        <v>71304</v>
      </c>
      <c r="J5802">
        <v>2810310651</v>
      </c>
      <c r="K5802">
        <v>6977097761</v>
      </c>
      <c r="M5802" t="s">
        <v>10232</v>
      </c>
      <c r="N5802" t="s">
        <v>615</v>
      </c>
      <c r="O5802" t="s">
        <v>616</v>
      </c>
      <c r="R5802" t="s">
        <v>57</v>
      </c>
      <c r="S5802">
        <v>13</v>
      </c>
      <c r="T5802">
        <v>160</v>
      </c>
      <c r="U5802" s="1">
        <v>34582</v>
      </c>
      <c r="V5802" t="s">
        <v>80</v>
      </c>
      <c r="W5802" t="s">
        <v>81</v>
      </c>
      <c r="X5802" t="s">
        <v>58</v>
      </c>
      <c r="Y5802">
        <v>21</v>
      </c>
      <c r="Z5802" t="s">
        <v>59</v>
      </c>
      <c r="AA5802" t="s">
        <v>59</v>
      </c>
      <c r="AB5802" t="s">
        <v>59</v>
      </c>
      <c r="AC5802" t="s">
        <v>59</v>
      </c>
      <c r="AD5802" t="s">
        <v>59</v>
      </c>
      <c r="AF5802" s="1">
        <v>34582</v>
      </c>
      <c r="AG5802" t="s">
        <v>8645</v>
      </c>
      <c r="AH5802" t="s">
        <v>8646</v>
      </c>
      <c r="AI5802" t="str">
        <f>"9170055"</f>
        <v>9170055</v>
      </c>
      <c r="AJ5802" t="s">
        <v>8836</v>
      </c>
      <c r="AK5802">
        <v>2810255097</v>
      </c>
      <c r="AL5802" t="s">
        <v>8837</v>
      </c>
      <c r="AM5802" t="s">
        <v>78</v>
      </c>
      <c r="AN5802" t="s">
        <v>78</v>
      </c>
      <c r="AO5802" t="s">
        <v>78</v>
      </c>
      <c r="AP5802" t="s">
        <v>141</v>
      </c>
      <c r="AQ5802">
        <v>1</v>
      </c>
      <c r="AR5802" t="s">
        <v>80</v>
      </c>
      <c r="AS5802" t="s">
        <v>81</v>
      </c>
      <c r="AT5802" t="s">
        <v>58</v>
      </c>
      <c r="AU5802" t="s">
        <v>68</v>
      </c>
      <c r="AV5802" t="s">
        <v>69</v>
      </c>
      <c r="AW5802" s="1">
        <v>24544</v>
      </c>
      <c r="AX5802">
        <v>1</v>
      </c>
    </row>
    <row r="5803" spans="1:50">
      <c r="B5803" t="str">
        <f>"141221191"</f>
        <v>141221191</v>
      </c>
      <c r="C5803" t="s">
        <v>50</v>
      </c>
      <c r="D5803" t="s">
        <v>10233</v>
      </c>
      <c r="E5803" t="s">
        <v>221</v>
      </c>
      <c r="F5803" t="s">
        <v>383</v>
      </c>
      <c r="G5803" t="s">
        <v>96</v>
      </c>
      <c r="H5803" t="str">
        <f>"Γ.ΚΩΝΣΤΑΝΤΙΝΙΔΗ 7 "</f>
        <v xml:space="preserve">Γ.ΚΩΝΣΤΑΝΤΙΝΙΔΗ 7 </v>
      </c>
      <c r="I5803">
        <v>54640</v>
      </c>
      <c r="J5803">
        <v>2310824578</v>
      </c>
      <c r="K5803">
        <v>6981648046</v>
      </c>
      <c r="N5803" t="s">
        <v>1525</v>
      </c>
      <c r="O5803" t="s">
        <v>1526</v>
      </c>
      <c r="R5803" t="s">
        <v>159</v>
      </c>
      <c r="S5803">
        <v>2</v>
      </c>
      <c r="T5803" t="s">
        <v>8670</v>
      </c>
      <c r="U5803" s="1">
        <v>43348</v>
      </c>
      <c r="V5803" t="s">
        <v>80</v>
      </c>
      <c r="W5803" t="s">
        <v>81</v>
      </c>
      <c r="X5803" t="s">
        <v>58</v>
      </c>
      <c r="Y5803">
        <v>25</v>
      </c>
      <c r="Z5803" t="s">
        <v>59</v>
      </c>
      <c r="AA5803" t="s">
        <v>59</v>
      </c>
      <c r="AB5803" t="s">
        <v>59</v>
      </c>
      <c r="AC5803" t="s">
        <v>59</v>
      </c>
      <c r="AD5803" t="s">
        <v>59</v>
      </c>
      <c r="AF5803" s="1">
        <v>43348</v>
      </c>
      <c r="AG5803" t="s">
        <v>8651</v>
      </c>
      <c r="AH5803" t="s">
        <v>8652</v>
      </c>
      <c r="AI5803" t="str">
        <f>"9170576"</f>
        <v>9170576</v>
      </c>
      <c r="AJ5803" t="s">
        <v>8858</v>
      </c>
      <c r="AK5803">
        <v>2810240001</v>
      </c>
      <c r="AL5803" t="s">
        <v>8859</v>
      </c>
      <c r="AM5803" t="s">
        <v>78</v>
      </c>
      <c r="AN5803" t="s">
        <v>78</v>
      </c>
      <c r="AO5803" t="s">
        <v>286</v>
      </c>
      <c r="AP5803" t="s">
        <v>286</v>
      </c>
      <c r="AQ5803">
        <v>1</v>
      </c>
      <c r="AR5803" t="s">
        <v>80</v>
      </c>
      <c r="AS5803" t="s">
        <v>81</v>
      </c>
      <c r="AT5803" t="s">
        <v>58</v>
      </c>
      <c r="AU5803" t="s">
        <v>8673</v>
      </c>
      <c r="AV5803" t="s">
        <v>132</v>
      </c>
      <c r="AW5803" s="1">
        <v>30975</v>
      </c>
      <c r="AX5803">
        <v>1</v>
      </c>
    </row>
    <row r="5804" spans="1:50">
      <c r="A5804">
        <v>190367</v>
      </c>
      <c r="B5804" t="str">
        <f>"070951542"</f>
        <v>070951542</v>
      </c>
      <c r="C5804" t="s">
        <v>50</v>
      </c>
      <c r="D5804" t="s">
        <v>10234</v>
      </c>
      <c r="E5804" t="s">
        <v>1074</v>
      </c>
      <c r="F5804" t="s">
        <v>154</v>
      </c>
      <c r="G5804" t="s">
        <v>2127</v>
      </c>
      <c r="H5804" t="str">
        <f>"ΣΚΑΛΑΝΙ "</f>
        <v xml:space="preserve">ΣΚΑΛΑΝΙ </v>
      </c>
      <c r="I5804">
        <v>71500</v>
      </c>
      <c r="J5804">
        <v>2810731417</v>
      </c>
      <c r="K5804">
        <v>6976800639</v>
      </c>
      <c r="N5804" t="s">
        <v>306</v>
      </c>
      <c r="O5804" t="s">
        <v>307</v>
      </c>
      <c r="R5804" t="s">
        <v>57</v>
      </c>
      <c r="S5804">
        <v>8</v>
      </c>
      <c r="T5804">
        <v>219</v>
      </c>
      <c r="U5804" s="1">
        <v>37134</v>
      </c>
      <c r="V5804" t="s">
        <v>80</v>
      </c>
      <c r="W5804" t="s">
        <v>81</v>
      </c>
      <c r="X5804" t="s">
        <v>58</v>
      </c>
      <c r="Y5804">
        <v>22</v>
      </c>
      <c r="Z5804" t="s">
        <v>59</v>
      </c>
      <c r="AA5804" t="s">
        <v>59</v>
      </c>
      <c r="AB5804" t="s">
        <v>59</v>
      </c>
      <c r="AC5804" t="s">
        <v>59</v>
      </c>
      <c r="AD5804" t="s">
        <v>59</v>
      </c>
      <c r="AF5804" s="1">
        <v>37137</v>
      </c>
      <c r="AG5804" t="s">
        <v>8645</v>
      </c>
      <c r="AH5804" t="s">
        <v>8646</v>
      </c>
      <c r="AI5804" t="str">
        <f>"9170058"</f>
        <v>9170058</v>
      </c>
      <c r="AJ5804" t="s">
        <v>8735</v>
      </c>
      <c r="AK5804">
        <v>2810252903</v>
      </c>
      <c r="AL5804" t="s">
        <v>8736</v>
      </c>
      <c r="AM5804" t="s">
        <v>78</v>
      </c>
      <c r="AN5804" t="s">
        <v>78</v>
      </c>
      <c r="AO5804" t="s">
        <v>78</v>
      </c>
      <c r="AP5804" t="s">
        <v>163</v>
      </c>
      <c r="AQ5804">
        <v>1</v>
      </c>
      <c r="AR5804" t="s">
        <v>80</v>
      </c>
      <c r="AS5804" t="s">
        <v>81</v>
      </c>
      <c r="AT5804" t="s">
        <v>58</v>
      </c>
      <c r="AU5804" t="s">
        <v>68</v>
      </c>
      <c r="AV5804" t="s">
        <v>69</v>
      </c>
      <c r="AW5804" s="1">
        <v>28383</v>
      </c>
      <c r="AX5804">
        <v>1</v>
      </c>
    </row>
    <row r="5805" spans="1:50">
      <c r="B5805" t="str">
        <f>"151552995"</f>
        <v>151552995</v>
      </c>
      <c r="C5805" t="s">
        <v>105</v>
      </c>
      <c r="D5805" t="s">
        <v>10235</v>
      </c>
      <c r="E5805" t="s">
        <v>3987</v>
      </c>
      <c r="F5805" t="s">
        <v>670</v>
      </c>
      <c r="H5805" t="str">
        <f>" "</f>
        <v xml:space="preserve"> </v>
      </c>
      <c r="N5805" t="s">
        <v>615</v>
      </c>
      <c r="O5805" t="s">
        <v>616</v>
      </c>
      <c r="R5805" t="s">
        <v>159</v>
      </c>
      <c r="S5805">
        <v>1</v>
      </c>
      <c r="T5805" t="s">
        <v>8675</v>
      </c>
      <c r="U5805" s="1">
        <v>43348</v>
      </c>
      <c r="V5805" t="s">
        <v>80</v>
      </c>
      <c r="W5805" t="s">
        <v>81</v>
      </c>
      <c r="X5805" t="s">
        <v>58</v>
      </c>
      <c r="Y5805">
        <v>24</v>
      </c>
      <c r="Z5805" t="s">
        <v>59</v>
      </c>
      <c r="AA5805" t="s">
        <v>59</v>
      </c>
      <c r="AB5805" t="s">
        <v>59</v>
      </c>
      <c r="AC5805" t="s">
        <v>59</v>
      </c>
      <c r="AD5805" t="s">
        <v>59</v>
      </c>
      <c r="AF5805" s="1">
        <v>43348</v>
      </c>
      <c r="AG5805" t="s">
        <v>8645</v>
      </c>
      <c r="AH5805" t="s">
        <v>8646</v>
      </c>
      <c r="AI5805" t="str">
        <f>"9170079"</f>
        <v>9170079</v>
      </c>
      <c r="AJ5805" t="s">
        <v>8874</v>
      </c>
      <c r="AK5805">
        <v>2894051292</v>
      </c>
      <c r="AL5805" t="s">
        <v>8875</v>
      </c>
      <c r="AM5805" t="s">
        <v>78</v>
      </c>
      <c r="AN5805" t="s">
        <v>424</v>
      </c>
      <c r="AO5805" t="s">
        <v>428</v>
      </c>
      <c r="AP5805" t="s">
        <v>8876</v>
      </c>
      <c r="AQ5805">
        <v>9</v>
      </c>
      <c r="AR5805" t="s">
        <v>80</v>
      </c>
      <c r="AS5805" t="s">
        <v>81</v>
      </c>
      <c r="AT5805" t="s">
        <v>58</v>
      </c>
      <c r="AU5805" t="s">
        <v>8673</v>
      </c>
      <c r="AV5805" t="s">
        <v>132</v>
      </c>
      <c r="AW5805" s="1">
        <v>32479</v>
      </c>
      <c r="AX5805">
        <v>1</v>
      </c>
    </row>
    <row r="5806" spans="1:50">
      <c r="A5806">
        <v>203056</v>
      </c>
      <c r="B5806" t="str">
        <f>"044407264"</f>
        <v>044407264</v>
      </c>
      <c r="C5806" t="s">
        <v>50</v>
      </c>
      <c r="D5806" t="s">
        <v>10236</v>
      </c>
      <c r="E5806" t="s">
        <v>1155</v>
      </c>
      <c r="F5806" t="s">
        <v>920</v>
      </c>
      <c r="G5806" t="s">
        <v>52</v>
      </c>
      <c r="H5806" t="str">
        <f>"Ν. ΑΡΩΝΗ 14 ΒΥΡΩΝΑΣ"</f>
        <v>Ν. ΑΡΩΝΗ 14 ΒΥΡΩΝΑΣ</v>
      </c>
      <c r="I5806">
        <v>16231</v>
      </c>
      <c r="J5806">
        <v>2107659751</v>
      </c>
      <c r="K5806">
        <v>6944151147</v>
      </c>
      <c r="N5806" t="s">
        <v>478</v>
      </c>
      <c r="O5806" t="s">
        <v>479</v>
      </c>
      <c r="R5806" t="s">
        <v>57</v>
      </c>
      <c r="S5806">
        <v>9</v>
      </c>
      <c r="T5806">
        <v>231</v>
      </c>
      <c r="U5806" s="1">
        <v>38230</v>
      </c>
      <c r="V5806" t="s">
        <v>80</v>
      </c>
      <c r="W5806" t="s">
        <v>81</v>
      </c>
      <c r="X5806" t="s">
        <v>58</v>
      </c>
      <c r="Y5806">
        <v>22</v>
      </c>
      <c r="Z5806" t="s">
        <v>59</v>
      </c>
      <c r="AA5806" t="s">
        <v>59</v>
      </c>
      <c r="AB5806" t="s">
        <v>59</v>
      </c>
      <c r="AC5806" t="s">
        <v>59</v>
      </c>
      <c r="AD5806" t="s">
        <v>59</v>
      </c>
      <c r="AF5806" s="1">
        <v>38232</v>
      </c>
      <c r="AG5806" t="s">
        <v>8645</v>
      </c>
      <c r="AH5806" t="s">
        <v>8646</v>
      </c>
      <c r="AI5806" t="str">
        <f>"9170534"</f>
        <v>9170534</v>
      </c>
      <c r="AJ5806" t="s">
        <v>8701</v>
      </c>
      <c r="AK5806">
        <v>2810323225</v>
      </c>
      <c r="AL5806" t="s">
        <v>8702</v>
      </c>
      <c r="AM5806" t="s">
        <v>78</v>
      </c>
      <c r="AN5806" t="s">
        <v>78</v>
      </c>
      <c r="AO5806" t="s">
        <v>78</v>
      </c>
      <c r="AP5806" t="s">
        <v>163</v>
      </c>
      <c r="AQ5806">
        <v>1</v>
      </c>
      <c r="AR5806" t="s">
        <v>80</v>
      </c>
      <c r="AS5806" t="s">
        <v>81</v>
      </c>
      <c r="AT5806" t="s">
        <v>58</v>
      </c>
      <c r="AU5806" t="s">
        <v>68</v>
      </c>
      <c r="AV5806" t="s">
        <v>69</v>
      </c>
      <c r="AW5806" s="1">
        <v>24050</v>
      </c>
      <c r="AX5806">
        <v>1</v>
      </c>
    </row>
    <row r="5807" spans="1:50">
      <c r="A5807">
        <v>605619</v>
      </c>
      <c r="B5807" t="str">
        <f>"120019983"</f>
        <v>120019983</v>
      </c>
      <c r="C5807" t="s">
        <v>50</v>
      </c>
      <c r="D5807" t="s">
        <v>2120</v>
      </c>
      <c r="E5807" t="s">
        <v>1085</v>
      </c>
      <c r="F5807" t="s">
        <v>10237</v>
      </c>
      <c r="G5807" t="s">
        <v>845</v>
      </c>
      <c r="H5807" t="str">
        <f>"ΜΕΛΙΝΑΣ ΜΕΡΚΟΥΡΗ 54  ΗΡΑΚΛΕΙΟ"</f>
        <v>ΜΕΛΙΝΑΣ ΜΕΡΚΟΥΡΗ 54  ΗΡΑΚΛΕΙΟ</v>
      </c>
      <c r="I5807">
        <v>71305</v>
      </c>
      <c r="J5807">
        <v>2815009320</v>
      </c>
      <c r="K5807">
        <v>6977591212</v>
      </c>
      <c r="M5807" t="s">
        <v>10238</v>
      </c>
      <c r="N5807" t="s">
        <v>615</v>
      </c>
      <c r="O5807" t="s">
        <v>616</v>
      </c>
      <c r="R5807" t="s">
        <v>57</v>
      </c>
      <c r="S5807">
        <v>9</v>
      </c>
      <c r="T5807">
        <v>231</v>
      </c>
      <c r="U5807" s="1">
        <v>38230</v>
      </c>
      <c r="V5807" t="s">
        <v>80</v>
      </c>
      <c r="W5807" t="s">
        <v>81</v>
      </c>
      <c r="X5807" t="s">
        <v>58</v>
      </c>
      <c r="Y5807">
        <v>22</v>
      </c>
      <c r="Z5807" t="s">
        <v>59</v>
      </c>
      <c r="AA5807" t="s">
        <v>59</v>
      </c>
      <c r="AB5807" t="s">
        <v>59</v>
      </c>
      <c r="AC5807" t="s">
        <v>59</v>
      </c>
      <c r="AD5807" t="s">
        <v>59</v>
      </c>
      <c r="AF5807" s="1">
        <v>38232</v>
      </c>
      <c r="AG5807" t="s">
        <v>8645</v>
      </c>
      <c r="AH5807" t="s">
        <v>8646</v>
      </c>
      <c r="AI5807" t="str">
        <f>"9170055"</f>
        <v>9170055</v>
      </c>
      <c r="AJ5807" t="s">
        <v>8836</v>
      </c>
      <c r="AK5807">
        <v>2810255097</v>
      </c>
      <c r="AL5807" t="s">
        <v>8837</v>
      </c>
      <c r="AM5807" t="s">
        <v>78</v>
      </c>
      <c r="AN5807" t="s">
        <v>78</v>
      </c>
      <c r="AO5807" t="s">
        <v>78</v>
      </c>
      <c r="AP5807" t="s">
        <v>141</v>
      </c>
      <c r="AQ5807">
        <v>1</v>
      </c>
      <c r="AR5807" t="s">
        <v>80</v>
      </c>
      <c r="AS5807" t="s">
        <v>81</v>
      </c>
      <c r="AT5807" t="s">
        <v>58</v>
      </c>
      <c r="AU5807" t="s">
        <v>68</v>
      </c>
      <c r="AV5807" t="s">
        <v>2039</v>
      </c>
      <c r="AW5807" s="1">
        <v>29101</v>
      </c>
      <c r="AX5807">
        <v>1</v>
      </c>
    </row>
    <row r="5808" spans="1:50">
      <c r="B5808" t="str">
        <f>"100071106"</f>
        <v>100071106</v>
      </c>
      <c r="C5808" t="s">
        <v>50</v>
      </c>
      <c r="D5808" t="s">
        <v>10239</v>
      </c>
      <c r="E5808" t="s">
        <v>513</v>
      </c>
      <c r="F5808" t="s">
        <v>95</v>
      </c>
      <c r="G5808" t="s">
        <v>52</v>
      </c>
      <c r="H5808" t="str">
        <f>"ΑΓΗΣΙΛΑΟΥ 10 ΚΑΤΣΑΜΠΑΣ"</f>
        <v>ΑΓΗΣΙΛΑΟΥ 10 ΚΑΤΣΑΜΠΑΣ</v>
      </c>
      <c r="I5808">
        <v>71307</v>
      </c>
      <c r="J5808">
        <v>2810229500</v>
      </c>
      <c r="K5808">
        <v>6977482698</v>
      </c>
      <c r="N5808" t="s">
        <v>1525</v>
      </c>
      <c r="O5808" t="s">
        <v>1526</v>
      </c>
      <c r="R5808" t="s">
        <v>159</v>
      </c>
      <c r="S5808">
        <v>4</v>
      </c>
      <c r="T5808" t="s">
        <v>8670</v>
      </c>
      <c r="U5808" s="1">
        <v>43348</v>
      </c>
      <c r="V5808" t="s">
        <v>80</v>
      </c>
      <c r="W5808" t="s">
        <v>81</v>
      </c>
      <c r="X5808" t="s">
        <v>58</v>
      </c>
      <c r="Y5808">
        <v>25</v>
      </c>
      <c r="Z5808" t="s">
        <v>59</v>
      </c>
      <c r="AA5808" t="s">
        <v>59</v>
      </c>
      <c r="AB5808" t="s">
        <v>59</v>
      </c>
      <c r="AC5808" t="s">
        <v>59</v>
      </c>
      <c r="AD5808" t="s">
        <v>59</v>
      </c>
      <c r="AF5808" s="1">
        <v>43348</v>
      </c>
      <c r="AG5808" t="s">
        <v>8651</v>
      </c>
      <c r="AH5808" t="s">
        <v>8652</v>
      </c>
      <c r="AI5808" t="str">
        <f>"9170405"</f>
        <v>9170405</v>
      </c>
      <c r="AJ5808" t="s">
        <v>8948</v>
      </c>
      <c r="AK5808">
        <v>2810323644</v>
      </c>
      <c r="AL5808" t="s">
        <v>8949</v>
      </c>
      <c r="AM5808" t="s">
        <v>78</v>
      </c>
      <c r="AN5808" t="s">
        <v>78</v>
      </c>
      <c r="AO5808" t="s">
        <v>78</v>
      </c>
      <c r="AP5808" t="s">
        <v>213</v>
      </c>
      <c r="AQ5808">
        <v>1</v>
      </c>
      <c r="AR5808" t="s">
        <v>80</v>
      </c>
      <c r="AS5808" t="s">
        <v>81</v>
      </c>
      <c r="AT5808" t="s">
        <v>58</v>
      </c>
      <c r="AU5808" t="s">
        <v>8673</v>
      </c>
      <c r="AV5808" t="s">
        <v>132</v>
      </c>
      <c r="AW5808" s="1">
        <v>27955</v>
      </c>
      <c r="AX5808">
        <v>1</v>
      </c>
    </row>
    <row r="5809" spans="1:50">
      <c r="B5809" t="str">
        <f>"051380380"</f>
        <v>051380380</v>
      </c>
      <c r="C5809" t="s">
        <v>105</v>
      </c>
      <c r="D5809" t="s">
        <v>10240</v>
      </c>
      <c r="E5809" t="s">
        <v>2649</v>
      </c>
      <c r="F5809" t="s">
        <v>920</v>
      </c>
      <c r="G5809" t="s">
        <v>1440</v>
      </c>
      <c r="H5809" t="str">
        <f>"ΚΑΣΤΑΛΙΑΣ 1 ΗΡΑΚΛΕΙΟ"</f>
        <v>ΚΑΣΤΑΛΙΑΣ 1 ΗΡΑΚΛΕΙΟ</v>
      </c>
      <c r="I5809">
        <v>71409</v>
      </c>
      <c r="J5809">
        <v>2810211080</v>
      </c>
      <c r="K5809">
        <v>6977473944</v>
      </c>
      <c r="N5809" t="s">
        <v>615</v>
      </c>
      <c r="O5809" t="s">
        <v>616</v>
      </c>
      <c r="R5809" t="s">
        <v>159</v>
      </c>
      <c r="S5809">
        <v>6</v>
      </c>
      <c r="T5809" t="s">
        <v>8675</v>
      </c>
      <c r="U5809" s="1">
        <v>43348</v>
      </c>
      <c r="V5809" t="s">
        <v>80</v>
      </c>
      <c r="W5809" t="s">
        <v>81</v>
      </c>
      <c r="X5809" t="s">
        <v>58</v>
      </c>
      <c r="Y5809">
        <v>24</v>
      </c>
      <c r="Z5809" t="s">
        <v>59</v>
      </c>
      <c r="AA5809" t="s">
        <v>59</v>
      </c>
      <c r="AB5809" t="s">
        <v>59</v>
      </c>
      <c r="AC5809" t="s">
        <v>59</v>
      </c>
      <c r="AD5809" t="s">
        <v>59</v>
      </c>
      <c r="AF5809" s="1">
        <v>43348</v>
      </c>
      <c r="AG5809" t="s">
        <v>8645</v>
      </c>
      <c r="AH5809" t="s">
        <v>8646</v>
      </c>
      <c r="AI5809" t="str">
        <f>"9170427"</f>
        <v>9170427</v>
      </c>
      <c r="AJ5809" t="s">
        <v>8817</v>
      </c>
      <c r="AK5809">
        <v>2810220998</v>
      </c>
      <c r="AL5809" t="s">
        <v>8818</v>
      </c>
      <c r="AM5809" t="s">
        <v>78</v>
      </c>
      <c r="AN5809" t="s">
        <v>78</v>
      </c>
      <c r="AO5809" t="s">
        <v>286</v>
      </c>
      <c r="AP5809" t="s">
        <v>286</v>
      </c>
      <c r="AQ5809">
        <v>1</v>
      </c>
      <c r="AR5809" t="s">
        <v>80</v>
      </c>
      <c r="AS5809" t="s">
        <v>81</v>
      </c>
      <c r="AT5809" t="s">
        <v>58</v>
      </c>
      <c r="AU5809" t="s">
        <v>8673</v>
      </c>
      <c r="AV5809" t="s">
        <v>132</v>
      </c>
      <c r="AW5809" s="1">
        <v>27140</v>
      </c>
      <c r="AX5809">
        <v>1</v>
      </c>
    </row>
    <row r="5810" spans="1:50">
      <c r="A5810">
        <v>590349</v>
      </c>
      <c r="B5810" t="str">
        <f>"061969535"</f>
        <v>061969535</v>
      </c>
      <c r="C5810" t="s">
        <v>50</v>
      </c>
      <c r="D5810" t="s">
        <v>10241</v>
      </c>
      <c r="E5810" t="s">
        <v>6179</v>
      </c>
      <c r="F5810" t="s">
        <v>383</v>
      </c>
      <c r="G5810" t="s">
        <v>2031</v>
      </c>
      <c r="H5810" t="str">
        <f>"ΥΠΟΛ.ΕΜΜ.ΖΑΧΑΡΙΟΥΔΑΚΗ 13 ΗΡΑΚΛΕΙΟ"</f>
        <v>ΥΠΟΛ.ΕΜΜ.ΖΑΧΑΡΙΟΥΔΑΚΗ 13 ΗΡΑΚΛΕΙΟ</v>
      </c>
      <c r="I5810">
        <v>71305</v>
      </c>
      <c r="J5810">
        <v>2810234558</v>
      </c>
      <c r="K5810">
        <v>6972020634</v>
      </c>
      <c r="N5810" t="s">
        <v>337</v>
      </c>
      <c r="O5810" t="s">
        <v>338</v>
      </c>
      <c r="R5810" t="s">
        <v>57</v>
      </c>
      <c r="S5810">
        <v>9</v>
      </c>
      <c r="T5810">
        <v>177</v>
      </c>
      <c r="U5810" s="1">
        <v>36403</v>
      </c>
      <c r="V5810" t="s">
        <v>80</v>
      </c>
      <c r="W5810" t="s">
        <v>81</v>
      </c>
      <c r="X5810" t="s">
        <v>58</v>
      </c>
      <c r="Y5810">
        <v>22</v>
      </c>
      <c r="Z5810" t="s">
        <v>59</v>
      </c>
      <c r="AA5810" t="s">
        <v>59</v>
      </c>
      <c r="AB5810" t="s">
        <v>59</v>
      </c>
      <c r="AC5810" t="s">
        <v>59</v>
      </c>
      <c r="AD5810" t="s">
        <v>59</v>
      </c>
      <c r="AF5810" s="1">
        <v>36405</v>
      </c>
      <c r="AG5810" t="s">
        <v>8645</v>
      </c>
      <c r="AH5810" t="s">
        <v>8646</v>
      </c>
      <c r="AI5810" t="str">
        <f>"9170058"</f>
        <v>9170058</v>
      </c>
      <c r="AJ5810" t="s">
        <v>8735</v>
      </c>
      <c r="AK5810">
        <v>2810252903</v>
      </c>
      <c r="AL5810" t="s">
        <v>8736</v>
      </c>
      <c r="AM5810" t="s">
        <v>78</v>
      </c>
      <c r="AN5810" t="s">
        <v>78</v>
      </c>
      <c r="AO5810" t="s">
        <v>78</v>
      </c>
      <c r="AP5810" t="s">
        <v>163</v>
      </c>
      <c r="AQ5810">
        <v>1</v>
      </c>
      <c r="AR5810" t="s">
        <v>80</v>
      </c>
      <c r="AS5810" t="s">
        <v>81</v>
      </c>
      <c r="AT5810" t="s">
        <v>58</v>
      </c>
      <c r="AU5810" t="s">
        <v>68</v>
      </c>
      <c r="AV5810" t="s">
        <v>69</v>
      </c>
      <c r="AW5810" s="1">
        <v>26875</v>
      </c>
      <c r="AX5810">
        <v>1</v>
      </c>
    </row>
    <row r="5811" spans="1:50">
      <c r="B5811" t="str">
        <f>"142663857"</f>
        <v>142663857</v>
      </c>
      <c r="C5811" t="s">
        <v>50</v>
      </c>
      <c r="D5811" t="s">
        <v>10242</v>
      </c>
      <c r="E5811" t="s">
        <v>109</v>
      </c>
      <c r="F5811" t="s">
        <v>631</v>
      </c>
      <c r="G5811" t="s">
        <v>460</v>
      </c>
      <c r="H5811" t="str">
        <f>"ΚΑΡΑΙΣΚΑΚΗ 62 "</f>
        <v xml:space="preserve">ΚΑΡΑΙΣΚΑΚΗ 62 </v>
      </c>
      <c r="I5811">
        <v>62100</v>
      </c>
      <c r="J5811">
        <v>2321042582</v>
      </c>
      <c r="K5811">
        <v>6979650609</v>
      </c>
      <c r="N5811" t="s">
        <v>615</v>
      </c>
      <c r="O5811" t="s">
        <v>616</v>
      </c>
      <c r="R5811" t="s">
        <v>159</v>
      </c>
      <c r="S5811">
        <v>3</v>
      </c>
      <c r="T5811" t="s">
        <v>8675</v>
      </c>
      <c r="U5811" s="1">
        <v>43348</v>
      </c>
      <c r="V5811" t="s">
        <v>80</v>
      </c>
      <c r="W5811" t="s">
        <v>81</v>
      </c>
      <c r="X5811" t="s">
        <v>58</v>
      </c>
      <c r="Y5811">
        <v>24</v>
      </c>
      <c r="Z5811" t="s">
        <v>59</v>
      </c>
      <c r="AA5811" t="s">
        <v>59</v>
      </c>
      <c r="AB5811" t="s">
        <v>59</v>
      </c>
      <c r="AC5811" t="s">
        <v>59</v>
      </c>
      <c r="AD5811" t="s">
        <v>59</v>
      </c>
      <c r="AF5811" s="1">
        <v>43348</v>
      </c>
      <c r="AG5811" t="s">
        <v>8645</v>
      </c>
      <c r="AH5811" t="s">
        <v>8646</v>
      </c>
      <c r="AI5811" t="str">
        <f>"9170263"</f>
        <v>9170263</v>
      </c>
      <c r="AJ5811" t="s">
        <v>8942</v>
      </c>
      <c r="AK5811">
        <v>2810346939</v>
      </c>
      <c r="AL5811" t="s">
        <v>8943</v>
      </c>
      <c r="AM5811" t="s">
        <v>78</v>
      </c>
      <c r="AN5811" t="s">
        <v>78</v>
      </c>
      <c r="AO5811" t="s">
        <v>286</v>
      </c>
      <c r="AP5811" t="s">
        <v>286</v>
      </c>
      <c r="AQ5811">
        <v>1</v>
      </c>
      <c r="AR5811" t="s">
        <v>80</v>
      </c>
      <c r="AS5811" t="s">
        <v>81</v>
      </c>
      <c r="AT5811" t="s">
        <v>58</v>
      </c>
      <c r="AU5811" t="s">
        <v>8673</v>
      </c>
      <c r="AV5811" t="s">
        <v>132</v>
      </c>
      <c r="AW5811" s="1">
        <v>32149</v>
      </c>
      <c r="AX5811">
        <v>1</v>
      </c>
    </row>
    <row r="5812" spans="1:50">
      <c r="A5812">
        <v>614654</v>
      </c>
      <c r="B5812" t="str">
        <f>"043886758"</f>
        <v>043886758</v>
      </c>
      <c r="C5812" t="s">
        <v>50</v>
      </c>
      <c r="D5812" t="s">
        <v>2130</v>
      </c>
      <c r="E5812" t="s">
        <v>96</v>
      </c>
      <c r="F5812" t="s">
        <v>99</v>
      </c>
      <c r="G5812" t="s">
        <v>2248</v>
      </c>
      <c r="H5812" t="str">
        <f>"Ανθέων 76 Μεσαμπελιές"</f>
        <v>Ανθέων 76 Μεσαμπελιές</v>
      </c>
      <c r="I5812">
        <v>71409</v>
      </c>
      <c r="J5812">
        <v>2810210211</v>
      </c>
      <c r="K5812">
        <v>6973586413</v>
      </c>
      <c r="M5812" t="s">
        <v>10243</v>
      </c>
      <c r="N5812" t="s">
        <v>615</v>
      </c>
      <c r="O5812" t="s">
        <v>616</v>
      </c>
      <c r="R5812" t="s">
        <v>57</v>
      </c>
      <c r="S5812">
        <v>13</v>
      </c>
      <c r="T5812">
        <v>598</v>
      </c>
      <c r="U5812" s="1">
        <v>39310</v>
      </c>
      <c r="V5812" t="s">
        <v>80</v>
      </c>
      <c r="W5812" t="s">
        <v>81</v>
      </c>
      <c r="X5812" t="s">
        <v>58</v>
      </c>
      <c r="Y5812">
        <v>21</v>
      </c>
      <c r="Z5812" t="s">
        <v>59</v>
      </c>
      <c r="AA5812" t="s">
        <v>59</v>
      </c>
      <c r="AB5812" t="s">
        <v>59</v>
      </c>
      <c r="AC5812" t="s">
        <v>59</v>
      </c>
      <c r="AD5812" t="s">
        <v>59</v>
      </c>
      <c r="AF5812" s="1">
        <v>39328</v>
      </c>
      <c r="AG5812" t="s">
        <v>8645</v>
      </c>
      <c r="AH5812" t="s">
        <v>8646</v>
      </c>
      <c r="AI5812" t="str">
        <f>"9170192"</f>
        <v>9170192</v>
      </c>
      <c r="AJ5812" t="s">
        <v>8661</v>
      </c>
      <c r="AK5812">
        <v>2810231985</v>
      </c>
      <c r="AL5812" t="s">
        <v>8662</v>
      </c>
      <c r="AM5812" t="s">
        <v>78</v>
      </c>
      <c r="AN5812" t="s">
        <v>78</v>
      </c>
      <c r="AO5812" t="s">
        <v>78</v>
      </c>
      <c r="AP5812" t="s">
        <v>163</v>
      </c>
      <c r="AQ5812">
        <v>1</v>
      </c>
      <c r="AR5812" t="s">
        <v>80</v>
      </c>
      <c r="AS5812" t="s">
        <v>81</v>
      </c>
      <c r="AT5812" t="s">
        <v>58</v>
      </c>
      <c r="AU5812" t="s">
        <v>68</v>
      </c>
      <c r="AV5812" t="s">
        <v>69</v>
      </c>
      <c r="AW5812" s="1">
        <v>24145</v>
      </c>
      <c r="AX5812">
        <v>1</v>
      </c>
    </row>
    <row r="5813" spans="1:50">
      <c r="B5813" t="str">
        <f>"103788123"</f>
        <v>103788123</v>
      </c>
      <c r="C5813" t="s">
        <v>50</v>
      </c>
      <c r="D5813" t="s">
        <v>10244</v>
      </c>
      <c r="E5813" t="s">
        <v>143</v>
      </c>
      <c r="F5813" t="s">
        <v>670</v>
      </c>
      <c r="G5813" t="s">
        <v>9520</v>
      </c>
      <c r="H5813" t="str">
        <f>"ΠΑΛΑΜΗΔΙΟΥ 15 ΙΛΙΟΝ"</f>
        <v>ΠΑΛΑΜΗΔΙΟΥ 15 ΙΛΙΟΝ</v>
      </c>
      <c r="I5813">
        <v>13121</v>
      </c>
      <c r="J5813">
        <v>2105751398</v>
      </c>
      <c r="K5813">
        <v>6972037368</v>
      </c>
      <c r="N5813" t="s">
        <v>306</v>
      </c>
      <c r="O5813" t="s">
        <v>307</v>
      </c>
      <c r="R5813" t="s">
        <v>159</v>
      </c>
      <c r="S5813">
        <v>3</v>
      </c>
      <c r="T5813" t="s">
        <v>8675</v>
      </c>
      <c r="U5813" s="1">
        <v>43348</v>
      </c>
      <c r="V5813" t="s">
        <v>80</v>
      </c>
      <c r="W5813" t="s">
        <v>81</v>
      </c>
      <c r="X5813" t="s">
        <v>58</v>
      </c>
      <c r="Y5813">
        <v>24</v>
      </c>
      <c r="Z5813" t="s">
        <v>59</v>
      </c>
      <c r="AA5813" t="s">
        <v>59</v>
      </c>
      <c r="AB5813" t="s">
        <v>59</v>
      </c>
      <c r="AC5813" t="s">
        <v>59</v>
      </c>
      <c r="AD5813" t="s">
        <v>59</v>
      </c>
      <c r="AF5813" s="1">
        <v>43348</v>
      </c>
      <c r="AG5813" t="s">
        <v>8645</v>
      </c>
      <c r="AH5813" t="s">
        <v>8646</v>
      </c>
      <c r="AI5813" t="str">
        <f>"9170319"</f>
        <v>9170319</v>
      </c>
      <c r="AJ5813" t="s">
        <v>9121</v>
      </c>
      <c r="AK5813">
        <v>2893022231</v>
      </c>
      <c r="AL5813" t="s">
        <v>9122</v>
      </c>
      <c r="AM5813" t="s">
        <v>78</v>
      </c>
      <c r="AN5813" t="s">
        <v>424</v>
      </c>
      <c r="AO5813" t="s">
        <v>577</v>
      </c>
      <c r="AP5813" t="s">
        <v>1668</v>
      </c>
      <c r="AQ5813">
        <v>10</v>
      </c>
      <c r="AR5813" t="s">
        <v>80</v>
      </c>
      <c r="AS5813" t="s">
        <v>81</v>
      </c>
      <c r="AT5813" t="s">
        <v>58</v>
      </c>
      <c r="AU5813" t="s">
        <v>8673</v>
      </c>
      <c r="AV5813" t="s">
        <v>132</v>
      </c>
      <c r="AW5813" s="1">
        <v>29810</v>
      </c>
      <c r="AX5813">
        <v>1</v>
      </c>
    </row>
    <row r="5814" spans="1:50">
      <c r="A5814">
        <v>617176</v>
      </c>
      <c r="B5814" t="str">
        <f>"138957918"</f>
        <v>138957918</v>
      </c>
      <c r="C5814" t="s">
        <v>50</v>
      </c>
      <c r="D5814" t="s">
        <v>10245</v>
      </c>
      <c r="E5814" t="s">
        <v>143</v>
      </c>
      <c r="F5814" t="s">
        <v>53</v>
      </c>
      <c r="G5814" t="s">
        <v>215</v>
      </c>
      <c r="H5814" t="str">
        <f>"Φιλολάου 9 Αγ.Αικατερίνη"</f>
        <v>Φιλολάου 9 Αγ.Αικατερίνη</v>
      </c>
      <c r="I5814">
        <v>71307</v>
      </c>
      <c r="J5814">
        <v>2811755920</v>
      </c>
      <c r="K5814">
        <v>6972016496</v>
      </c>
      <c r="N5814" t="s">
        <v>615</v>
      </c>
      <c r="O5814" t="s">
        <v>616</v>
      </c>
      <c r="R5814" t="s">
        <v>57</v>
      </c>
      <c r="S5814">
        <v>6</v>
      </c>
      <c r="T5814">
        <v>774</v>
      </c>
      <c r="U5814" s="1">
        <v>39680</v>
      </c>
      <c r="V5814" t="s">
        <v>80</v>
      </c>
      <c r="W5814" t="s">
        <v>81</v>
      </c>
      <c r="X5814" t="s">
        <v>58</v>
      </c>
      <c r="Y5814">
        <v>23</v>
      </c>
      <c r="Z5814" t="s">
        <v>59</v>
      </c>
      <c r="AA5814" t="s">
        <v>59</v>
      </c>
      <c r="AB5814" t="s">
        <v>59</v>
      </c>
      <c r="AC5814" t="s">
        <v>59</v>
      </c>
      <c r="AD5814" t="s">
        <v>59</v>
      </c>
      <c r="AF5814" s="1">
        <v>39681</v>
      </c>
      <c r="AG5814" t="s">
        <v>8645</v>
      </c>
      <c r="AH5814" t="s">
        <v>8646</v>
      </c>
      <c r="AI5814" t="str">
        <f>"9170259"</f>
        <v>9170259</v>
      </c>
      <c r="AJ5814" t="s">
        <v>8784</v>
      </c>
      <c r="AK5814">
        <v>6994891960</v>
      </c>
      <c r="AL5814" t="s">
        <v>8785</v>
      </c>
      <c r="AM5814" t="s">
        <v>78</v>
      </c>
      <c r="AN5814" t="s">
        <v>78</v>
      </c>
      <c r="AO5814" t="s">
        <v>78</v>
      </c>
      <c r="AP5814" t="s">
        <v>213</v>
      </c>
      <c r="AQ5814">
        <v>1</v>
      </c>
      <c r="AR5814" t="s">
        <v>80</v>
      </c>
      <c r="AS5814" t="s">
        <v>81</v>
      </c>
      <c r="AT5814" t="s">
        <v>58</v>
      </c>
      <c r="AU5814" t="s">
        <v>68</v>
      </c>
      <c r="AV5814" t="s">
        <v>69</v>
      </c>
      <c r="AW5814" s="1">
        <v>30533</v>
      </c>
      <c r="AX5814">
        <v>1</v>
      </c>
    </row>
    <row r="5815" spans="1:50">
      <c r="A5815">
        <v>562257</v>
      </c>
      <c r="B5815" t="str">
        <f>"031323798"</f>
        <v>031323798</v>
      </c>
      <c r="C5815" t="s">
        <v>50</v>
      </c>
      <c r="D5815" t="s">
        <v>10245</v>
      </c>
      <c r="E5815" t="s">
        <v>460</v>
      </c>
      <c r="F5815" t="s">
        <v>95</v>
      </c>
      <c r="G5815" t="s">
        <v>52</v>
      </c>
      <c r="H5815" t="str">
        <f>"ΣΟΥΜΕΡΛΗ 20 ΗΡΑΚΛΕΙΟ"</f>
        <v>ΣΟΥΜΕΡΛΗ 20 ΗΡΑΚΛΕΙΟ</v>
      </c>
      <c r="I5815">
        <v>71201</v>
      </c>
      <c r="J5815">
        <v>2810286098</v>
      </c>
      <c r="K5815">
        <v>6979025507</v>
      </c>
      <c r="N5815" t="s">
        <v>615</v>
      </c>
      <c r="O5815" t="s">
        <v>616</v>
      </c>
      <c r="R5815" t="s">
        <v>57</v>
      </c>
      <c r="S5815">
        <v>16</v>
      </c>
      <c r="T5815">
        <v>187</v>
      </c>
      <c r="U5815" s="1">
        <v>32750</v>
      </c>
      <c r="V5815" t="s">
        <v>80</v>
      </c>
      <c r="W5815" t="s">
        <v>81</v>
      </c>
      <c r="X5815" t="s">
        <v>58</v>
      </c>
      <c r="Y5815">
        <v>21</v>
      </c>
      <c r="Z5815" t="s">
        <v>59</v>
      </c>
      <c r="AA5815" t="s">
        <v>59</v>
      </c>
      <c r="AB5815" t="s">
        <v>59</v>
      </c>
      <c r="AC5815" t="s">
        <v>59</v>
      </c>
      <c r="AD5815" t="s">
        <v>59</v>
      </c>
      <c r="AF5815" s="1">
        <v>32757</v>
      </c>
      <c r="AG5815" t="s">
        <v>8645</v>
      </c>
      <c r="AH5815" t="s">
        <v>8646</v>
      </c>
      <c r="AI5815" t="str">
        <f>"9170196"</f>
        <v>9170196</v>
      </c>
      <c r="AJ5815" t="s">
        <v>9255</v>
      </c>
      <c r="AK5815">
        <v>2810283356</v>
      </c>
      <c r="AL5815" t="s">
        <v>9256</v>
      </c>
      <c r="AM5815" t="s">
        <v>78</v>
      </c>
      <c r="AN5815" t="s">
        <v>78</v>
      </c>
      <c r="AO5815" t="s">
        <v>78</v>
      </c>
      <c r="AP5815" t="s">
        <v>79</v>
      </c>
      <c r="AQ5815">
        <v>1</v>
      </c>
      <c r="AR5815" t="s">
        <v>80</v>
      </c>
      <c r="AS5815" t="s">
        <v>81</v>
      </c>
      <c r="AT5815" t="s">
        <v>58</v>
      </c>
      <c r="AU5815" t="s">
        <v>68</v>
      </c>
      <c r="AV5815" t="s">
        <v>69</v>
      </c>
      <c r="AW5815" s="1">
        <v>24063</v>
      </c>
      <c r="AX5815">
        <v>1</v>
      </c>
    </row>
    <row r="5816" spans="1:50">
      <c r="A5816">
        <v>592964</v>
      </c>
      <c r="B5816" t="str">
        <f>"068145499"</f>
        <v>068145499</v>
      </c>
      <c r="C5816" t="s">
        <v>50</v>
      </c>
      <c r="D5816" t="s">
        <v>4978</v>
      </c>
      <c r="E5816" t="s">
        <v>476</v>
      </c>
      <c r="F5816" t="s">
        <v>72</v>
      </c>
      <c r="G5816" t="s">
        <v>964</v>
      </c>
      <c r="H5816" t="str">
        <f>" "</f>
        <v xml:space="preserve"> </v>
      </c>
      <c r="N5816" t="s">
        <v>615</v>
      </c>
      <c r="O5816" t="s">
        <v>616</v>
      </c>
      <c r="R5816" t="s">
        <v>57</v>
      </c>
      <c r="S5816">
        <v>8</v>
      </c>
      <c r="T5816">
        <v>218</v>
      </c>
      <c r="U5816" s="1">
        <v>37134</v>
      </c>
      <c r="V5816" t="s">
        <v>80</v>
      </c>
      <c r="W5816" t="s">
        <v>81</v>
      </c>
      <c r="X5816" t="s">
        <v>58</v>
      </c>
      <c r="Y5816">
        <v>22</v>
      </c>
      <c r="Z5816" t="s">
        <v>59</v>
      </c>
      <c r="AA5816" t="s">
        <v>59</v>
      </c>
      <c r="AB5816" t="s">
        <v>59</v>
      </c>
      <c r="AC5816" t="s">
        <v>59</v>
      </c>
      <c r="AD5816" t="s">
        <v>59</v>
      </c>
      <c r="AF5816" s="1">
        <v>37137</v>
      </c>
      <c r="AG5816" t="s">
        <v>8645</v>
      </c>
      <c r="AH5816" t="s">
        <v>8646</v>
      </c>
      <c r="AI5816" t="str">
        <f>"9170516"</f>
        <v>9170516</v>
      </c>
      <c r="AJ5816" t="s">
        <v>8746</v>
      </c>
      <c r="AK5816">
        <v>2810236861</v>
      </c>
      <c r="AL5816" t="s">
        <v>8747</v>
      </c>
      <c r="AM5816" t="s">
        <v>78</v>
      </c>
      <c r="AN5816" t="s">
        <v>78</v>
      </c>
      <c r="AO5816" t="s">
        <v>78</v>
      </c>
      <c r="AP5816" t="s">
        <v>163</v>
      </c>
      <c r="AQ5816">
        <v>1</v>
      </c>
      <c r="AR5816" t="s">
        <v>80</v>
      </c>
      <c r="AS5816" t="s">
        <v>81</v>
      </c>
      <c r="AT5816" t="s">
        <v>58</v>
      </c>
      <c r="AU5816" t="s">
        <v>68</v>
      </c>
      <c r="AV5816" t="s">
        <v>69</v>
      </c>
      <c r="AW5816" s="1">
        <v>27822</v>
      </c>
      <c r="AX5816">
        <v>1</v>
      </c>
    </row>
    <row r="5817" spans="1:50">
      <c r="A5817">
        <v>620753</v>
      </c>
      <c r="B5817" t="str">
        <f>"137248876"</f>
        <v>137248876</v>
      </c>
      <c r="C5817" t="s">
        <v>50</v>
      </c>
      <c r="D5817" t="s">
        <v>10246</v>
      </c>
      <c r="E5817" t="s">
        <v>181</v>
      </c>
      <c r="F5817" t="s">
        <v>84</v>
      </c>
      <c r="G5817" t="s">
        <v>215</v>
      </c>
      <c r="H5817" t="str">
        <f>"ΦΙΛΙΠΠΟΥ 1 ΠΟΛΙΧΝΗ"</f>
        <v>ΦΙΛΙΠΠΟΥ 1 ΠΟΛΙΧΝΗ</v>
      </c>
      <c r="K5817">
        <v>6975909169</v>
      </c>
      <c r="M5817" t="s">
        <v>10247</v>
      </c>
      <c r="N5817" t="s">
        <v>615</v>
      </c>
      <c r="O5817" t="s">
        <v>616</v>
      </c>
      <c r="R5817" t="s">
        <v>57</v>
      </c>
      <c r="S5817">
        <v>5</v>
      </c>
      <c r="T5817">
        <v>653</v>
      </c>
      <c r="U5817" s="1">
        <v>40043</v>
      </c>
      <c r="V5817" t="s">
        <v>80</v>
      </c>
      <c r="W5817" t="s">
        <v>81</v>
      </c>
      <c r="X5817" t="s">
        <v>58</v>
      </c>
      <c r="Y5817">
        <v>23</v>
      </c>
      <c r="Z5817" t="s">
        <v>59</v>
      </c>
      <c r="AA5817" t="s">
        <v>59</v>
      </c>
      <c r="AB5817" t="s">
        <v>59</v>
      </c>
      <c r="AC5817" t="s">
        <v>59</v>
      </c>
      <c r="AD5817" t="s">
        <v>59</v>
      </c>
      <c r="AF5817" s="1">
        <v>40043</v>
      </c>
      <c r="AG5817" t="s">
        <v>8645</v>
      </c>
      <c r="AH5817" t="s">
        <v>8646</v>
      </c>
      <c r="AI5817" t="str">
        <f>"9170424"</f>
        <v>9170424</v>
      </c>
      <c r="AJ5817" t="s">
        <v>8860</v>
      </c>
      <c r="AK5817">
        <v>2810254530</v>
      </c>
      <c r="AL5817" t="s">
        <v>8861</v>
      </c>
      <c r="AM5817" t="s">
        <v>78</v>
      </c>
      <c r="AN5817" t="s">
        <v>78</v>
      </c>
      <c r="AO5817" t="s">
        <v>78</v>
      </c>
      <c r="AP5817" t="s">
        <v>163</v>
      </c>
      <c r="AQ5817">
        <v>1</v>
      </c>
      <c r="AR5817" t="s">
        <v>80</v>
      </c>
      <c r="AS5817" t="s">
        <v>81</v>
      </c>
      <c r="AT5817" t="s">
        <v>58</v>
      </c>
      <c r="AU5817" t="s">
        <v>68</v>
      </c>
      <c r="AV5817" t="s">
        <v>69</v>
      </c>
      <c r="AW5817" s="1">
        <v>31310</v>
      </c>
      <c r="AX5817">
        <v>1</v>
      </c>
    </row>
    <row r="5818" spans="1:50">
      <c r="A5818">
        <v>563497</v>
      </c>
      <c r="B5818" t="str">
        <f>"033379187"</f>
        <v>033379187</v>
      </c>
      <c r="C5818" t="s">
        <v>50</v>
      </c>
      <c r="D5818" t="s">
        <v>10248</v>
      </c>
      <c r="E5818" t="s">
        <v>52</v>
      </c>
      <c r="F5818" t="s">
        <v>53</v>
      </c>
      <c r="G5818" t="s">
        <v>237</v>
      </c>
      <c r="H5818" t="str">
        <f>"ΑΝΑΓΕΝΝΗΣΕΩΣ 31  ΗΡΑΚΛΕΙΟ "</f>
        <v xml:space="preserve">ΑΝΑΓΕΝΝΗΣΕΩΣ 31  ΗΡΑΚΛΕΙΟ </v>
      </c>
      <c r="I5818">
        <v>71305</v>
      </c>
      <c r="J5818">
        <v>2810262773</v>
      </c>
      <c r="K5818">
        <v>6939080333</v>
      </c>
      <c r="N5818" t="s">
        <v>615</v>
      </c>
      <c r="O5818" t="s">
        <v>616</v>
      </c>
      <c r="R5818" t="s">
        <v>57</v>
      </c>
      <c r="S5818">
        <v>15</v>
      </c>
      <c r="T5818">
        <v>194</v>
      </c>
      <c r="U5818" s="1">
        <v>32762</v>
      </c>
      <c r="V5818" t="s">
        <v>80</v>
      </c>
      <c r="W5818" t="s">
        <v>81</v>
      </c>
      <c r="X5818" t="s">
        <v>58</v>
      </c>
      <c r="Y5818">
        <v>21</v>
      </c>
      <c r="Z5818" t="s">
        <v>59</v>
      </c>
      <c r="AA5818" t="s">
        <v>59</v>
      </c>
      <c r="AB5818" t="s">
        <v>59</v>
      </c>
      <c r="AC5818" t="s">
        <v>59</v>
      </c>
      <c r="AD5818" t="s">
        <v>59</v>
      </c>
      <c r="AF5818" s="1">
        <v>32763</v>
      </c>
      <c r="AG5818" t="s">
        <v>8645</v>
      </c>
      <c r="AH5818" t="s">
        <v>8646</v>
      </c>
      <c r="AI5818" t="str">
        <f>"9170512"</f>
        <v>9170512</v>
      </c>
      <c r="AJ5818" t="s">
        <v>8986</v>
      </c>
      <c r="AK5818">
        <v>2810253082</v>
      </c>
      <c r="AL5818" t="s">
        <v>8987</v>
      </c>
      <c r="AM5818" t="s">
        <v>78</v>
      </c>
      <c r="AN5818" t="s">
        <v>78</v>
      </c>
      <c r="AO5818" t="s">
        <v>78</v>
      </c>
      <c r="AP5818" t="s">
        <v>141</v>
      </c>
      <c r="AQ5818">
        <v>1</v>
      </c>
      <c r="AR5818" t="s">
        <v>80</v>
      </c>
      <c r="AS5818" t="s">
        <v>81</v>
      </c>
      <c r="AT5818" t="s">
        <v>58</v>
      </c>
      <c r="AU5818" t="s">
        <v>68</v>
      </c>
      <c r="AV5818" t="s">
        <v>69</v>
      </c>
      <c r="AW5818" s="1">
        <v>22138</v>
      </c>
      <c r="AX5818">
        <v>1</v>
      </c>
    </row>
    <row r="5819" spans="1:50">
      <c r="A5819">
        <v>701411</v>
      </c>
      <c r="B5819" t="str">
        <f>"103501687"</f>
        <v>103501687</v>
      </c>
      <c r="C5819" t="s">
        <v>50</v>
      </c>
      <c r="D5819" t="s">
        <v>10249</v>
      </c>
      <c r="E5819" t="s">
        <v>52</v>
      </c>
      <c r="F5819" t="s">
        <v>975</v>
      </c>
      <c r="G5819" t="s">
        <v>250</v>
      </c>
      <c r="H5819" t="str">
        <f>"ΑΘ. ΔΙΑΚΟΥ 19 ΗΡΑΚΛΕΙΟ"</f>
        <v>ΑΘ. ΔΙΑΚΟΥ 19 ΗΡΑΚΛΕΙΟ</v>
      </c>
      <c r="I5819">
        <v>71306</v>
      </c>
      <c r="J5819">
        <v>2810282467</v>
      </c>
      <c r="K5819">
        <v>6942015768</v>
      </c>
      <c r="M5819" t="s">
        <v>10250</v>
      </c>
      <c r="N5819" t="s">
        <v>615</v>
      </c>
      <c r="O5819" t="s">
        <v>616</v>
      </c>
      <c r="R5819" t="s">
        <v>57</v>
      </c>
      <c r="S5819">
        <v>4</v>
      </c>
      <c r="T5819">
        <v>772</v>
      </c>
      <c r="U5819" s="1">
        <v>40413</v>
      </c>
      <c r="V5819" t="s">
        <v>80</v>
      </c>
      <c r="W5819" t="s">
        <v>81</v>
      </c>
      <c r="X5819" t="s">
        <v>58</v>
      </c>
      <c r="Y5819">
        <v>24</v>
      </c>
      <c r="Z5819" t="s">
        <v>59</v>
      </c>
      <c r="AA5819" t="s">
        <v>59</v>
      </c>
      <c r="AB5819" t="s">
        <v>452</v>
      </c>
      <c r="AC5819" t="s">
        <v>59</v>
      </c>
      <c r="AD5819" t="s">
        <v>59</v>
      </c>
      <c r="AF5819" s="1">
        <v>40413</v>
      </c>
      <c r="AG5819" t="s">
        <v>8645</v>
      </c>
      <c r="AH5819" t="s">
        <v>8646</v>
      </c>
      <c r="AI5819" t="str">
        <f>"9170114"</f>
        <v>9170114</v>
      </c>
      <c r="AJ5819" t="s">
        <v>9613</v>
      </c>
      <c r="AK5819">
        <v>2810241054</v>
      </c>
      <c r="AL5819" t="s">
        <v>9614</v>
      </c>
      <c r="AM5819" t="s">
        <v>78</v>
      </c>
      <c r="AN5819" t="s">
        <v>78</v>
      </c>
      <c r="AO5819" t="s">
        <v>78</v>
      </c>
      <c r="AP5819" t="s">
        <v>79</v>
      </c>
      <c r="AQ5819">
        <v>1</v>
      </c>
      <c r="AR5819" t="s">
        <v>80</v>
      </c>
      <c r="AS5819" t="s">
        <v>81</v>
      </c>
      <c r="AT5819" t="s">
        <v>58</v>
      </c>
      <c r="AU5819" t="s">
        <v>68</v>
      </c>
      <c r="AV5819" t="s">
        <v>69</v>
      </c>
      <c r="AW5819" s="1">
        <v>29726</v>
      </c>
      <c r="AX5819">
        <v>1</v>
      </c>
    </row>
    <row r="5820" spans="1:50">
      <c r="A5820">
        <v>551667</v>
      </c>
      <c r="B5820" t="str">
        <f>"030493593"</f>
        <v>030493593</v>
      </c>
      <c r="C5820" t="s">
        <v>105</v>
      </c>
      <c r="D5820" t="s">
        <v>10251</v>
      </c>
      <c r="E5820" t="s">
        <v>95</v>
      </c>
      <c r="F5820" t="s">
        <v>154</v>
      </c>
      <c r="G5820" t="s">
        <v>83</v>
      </c>
      <c r="H5820" t="str">
        <f>" "</f>
        <v xml:space="preserve"> </v>
      </c>
      <c r="N5820" t="s">
        <v>615</v>
      </c>
      <c r="O5820" t="s">
        <v>616</v>
      </c>
      <c r="R5820" t="s">
        <v>57</v>
      </c>
      <c r="S5820">
        <v>17</v>
      </c>
      <c r="T5820">
        <v>271</v>
      </c>
      <c r="U5820" s="1">
        <v>30923</v>
      </c>
      <c r="V5820" t="s">
        <v>80</v>
      </c>
      <c r="W5820" t="s">
        <v>81</v>
      </c>
      <c r="X5820" t="s">
        <v>58</v>
      </c>
      <c r="Y5820">
        <v>21</v>
      </c>
      <c r="Z5820" t="s">
        <v>59</v>
      </c>
      <c r="AA5820" t="s">
        <v>59</v>
      </c>
      <c r="AB5820" t="s">
        <v>59</v>
      </c>
      <c r="AC5820" t="s">
        <v>59</v>
      </c>
      <c r="AD5820" t="s">
        <v>59</v>
      </c>
      <c r="AF5820" s="1">
        <v>30932</v>
      </c>
      <c r="AG5820" t="s">
        <v>8645</v>
      </c>
      <c r="AH5820" t="s">
        <v>8646</v>
      </c>
      <c r="AI5820" t="str">
        <f>"9170097"</f>
        <v>9170097</v>
      </c>
      <c r="AJ5820" t="s">
        <v>8826</v>
      </c>
      <c r="AK5820">
        <v>2810751807</v>
      </c>
      <c r="AL5820" t="s">
        <v>8827</v>
      </c>
      <c r="AM5820" t="s">
        <v>78</v>
      </c>
      <c r="AN5820" t="s">
        <v>424</v>
      </c>
      <c r="AO5820" t="s">
        <v>425</v>
      </c>
      <c r="AP5820" t="s">
        <v>425</v>
      </c>
      <c r="AQ5820">
        <v>11</v>
      </c>
      <c r="AR5820" t="s">
        <v>80</v>
      </c>
      <c r="AS5820" t="s">
        <v>81</v>
      </c>
      <c r="AT5820" t="s">
        <v>58</v>
      </c>
      <c r="AU5820" t="s">
        <v>68</v>
      </c>
      <c r="AV5820" t="s">
        <v>69</v>
      </c>
      <c r="AW5820" s="1">
        <v>22517</v>
      </c>
      <c r="AX5820">
        <v>1</v>
      </c>
    </row>
    <row r="5821" spans="1:50">
      <c r="B5821" t="str">
        <f>"146213548"</f>
        <v>146213548</v>
      </c>
      <c r="C5821" t="s">
        <v>50</v>
      </c>
      <c r="D5821" t="s">
        <v>7490</v>
      </c>
      <c r="E5821" t="s">
        <v>250</v>
      </c>
      <c r="F5821" t="s">
        <v>53</v>
      </c>
      <c r="G5821" t="s">
        <v>52</v>
      </c>
      <c r="H5821" t="str">
        <f>"ΕΛΕΥΘΕΡΙΟΥ ΜΕΤΑΞΑΚΗ 9  ΝΕΑ ΑΛΙΚΑΡΝΑΣΣΟΣ ΗΡΑΚΛΕΙΟΥ"</f>
        <v>ΕΛΕΥΘΕΡΙΟΥ ΜΕΤΑΞΑΚΗ 9  ΝΕΑ ΑΛΙΚΑΡΝΑΣΣΟΣ ΗΡΑΚΛΕΙΟΥ</v>
      </c>
      <c r="I5821">
        <v>71601</v>
      </c>
      <c r="J5821">
        <v>2810226559</v>
      </c>
      <c r="K5821">
        <v>6936392287</v>
      </c>
      <c r="M5821" t="s">
        <v>10252</v>
      </c>
      <c r="N5821" t="s">
        <v>615</v>
      </c>
      <c r="O5821" t="s">
        <v>616</v>
      </c>
      <c r="R5821" t="s">
        <v>159</v>
      </c>
      <c r="S5821">
        <v>3</v>
      </c>
      <c r="T5821" t="s">
        <v>8675</v>
      </c>
      <c r="U5821" s="1">
        <v>43348</v>
      </c>
      <c r="V5821" t="s">
        <v>80</v>
      </c>
      <c r="W5821" t="s">
        <v>81</v>
      </c>
      <c r="X5821" t="s">
        <v>58</v>
      </c>
      <c r="Y5821">
        <v>24</v>
      </c>
      <c r="Z5821" t="s">
        <v>59</v>
      </c>
      <c r="AA5821" t="s">
        <v>59</v>
      </c>
      <c r="AB5821" t="s">
        <v>59</v>
      </c>
      <c r="AC5821" t="s">
        <v>59</v>
      </c>
      <c r="AD5821" t="s">
        <v>59</v>
      </c>
      <c r="AF5821" s="1">
        <v>43348</v>
      </c>
      <c r="AG5821" t="s">
        <v>8645</v>
      </c>
      <c r="AH5821" t="s">
        <v>8646</v>
      </c>
      <c r="AI5821" t="str">
        <f>"9170262"</f>
        <v>9170262</v>
      </c>
      <c r="AJ5821" t="s">
        <v>9224</v>
      </c>
      <c r="AK5821">
        <v>2810245912</v>
      </c>
      <c r="AL5821" t="s">
        <v>9225</v>
      </c>
      <c r="AM5821" t="s">
        <v>78</v>
      </c>
      <c r="AN5821" t="s">
        <v>78</v>
      </c>
      <c r="AO5821" t="s">
        <v>286</v>
      </c>
      <c r="AP5821" t="s">
        <v>286</v>
      </c>
      <c r="AQ5821">
        <v>1</v>
      </c>
      <c r="AR5821" t="s">
        <v>80</v>
      </c>
      <c r="AS5821" t="s">
        <v>81</v>
      </c>
      <c r="AT5821" t="s">
        <v>58</v>
      </c>
      <c r="AU5821" t="s">
        <v>8673</v>
      </c>
      <c r="AV5821" t="s">
        <v>132</v>
      </c>
      <c r="AW5821" s="1">
        <v>32056</v>
      </c>
      <c r="AX5821">
        <v>1</v>
      </c>
    </row>
    <row r="5822" spans="1:50">
      <c r="B5822" t="str">
        <f>"142369343"</f>
        <v>142369343</v>
      </c>
      <c r="C5822" t="s">
        <v>50</v>
      </c>
      <c r="D5822" t="s">
        <v>10253</v>
      </c>
      <c r="E5822" t="s">
        <v>54</v>
      </c>
      <c r="F5822" t="s">
        <v>459</v>
      </c>
      <c r="G5822" t="s">
        <v>809</v>
      </c>
      <c r="H5822" t="str">
        <f>"Μ.ΚΑΤΡΑΚΗ- ΣΠ.ΠΕΤΡΟΠΟΥΛΟΥ "</f>
        <v xml:space="preserve">Μ.ΚΑΤΡΑΚΗ- ΣΠ.ΠΕΤΡΟΠΟΥΛΟΥ </v>
      </c>
      <c r="I5822">
        <v>35100</v>
      </c>
      <c r="J5822">
        <v>2231039350</v>
      </c>
      <c r="K5822">
        <v>6947941017</v>
      </c>
      <c r="N5822" t="s">
        <v>615</v>
      </c>
      <c r="O5822" t="s">
        <v>616</v>
      </c>
      <c r="R5822" t="s">
        <v>159</v>
      </c>
      <c r="S5822">
        <v>2</v>
      </c>
      <c r="T5822" t="s">
        <v>8675</v>
      </c>
      <c r="U5822" s="1">
        <v>43348</v>
      </c>
      <c r="V5822" t="s">
        <v>80</v>
      </c>
      <c r="W5822" t="s">
        <v>81</v>
      </c>
      <c r="X5822" t="s">
        <v>58</v>
      </c>
      <c r="Y5822">
        <v>24</v>
      </c>
      <c r="Z5822" t="s">
        <v>59</v>
      </c>
      <c r="AA5822" t="s">
        <v>59</v>
      </c>
      <c r="AB5822" t="s">
        <v>59</v>
      </c>
      <c r="AC5822" t="s">
        <v>59</v>
      </c>
      <c r="AD5822" t="s">
        <v>59</v>
      </c>
      <c r="AF5822" s="1">
        <v>43348</v>
      </c>
      <c r="AG5822" t="s">
        <v>8645</v>
      </c>
      <c r="AH5822" t="s">
        <v>8646</v>
      </c>
      <c r="AI5822" t="str">
        <f>"9170079"</f>
        <v>9170079</v>
      </c>
      <c r="AJ5822" t="s">
        <v>8874</v>
      </c>
      <c r="AK5822">
        <v>2894051292</v>
      </c>
      <c r="AL5822" t="s">
        <v>8875</v>
      </c>
      <c r="AM5822" t="s">
        <v>78</v>
      </c>
      <c r="AN5822" t="s">
        <v>424</v>
      </c>
      <c r="AO5822" t="s">
        <v>428</v>
      </c>
      <c r="AP5822" t="s">
        <v>8876</v>
      </c>
      <c r="AQ5822">
        <v>9</v>
      </c>
      <c r="AR5822" t="s">
        <v>80</v>
      </c>
      <c r="AS5822" t="s">
        <v>81</v>
      </c>
      <c r="AT5822" t="s">
        <v>58</v>
      </c>
      <c r="AU5822" t="s">
        <v>8673</v>
      </c>
      <c r="AV5822" t="s">
        <v>132</v>
      </c>
      <c r="AW5822" s="1">
        <v>32355</v>
      </c>
      <c r="AX5822">
        <v>1</v>
      </c>
    </row>
    <row r="5823" spans="1:50">
      <c r="A5823">
        <v>618704</v>
      </c>
      <c r="B5823" t="str">
        <f>"062578130"</f>
        <v>062578130</v>
      </c>
      <c r="C5823" t="s">
        <v>105</v>
      </c>
      <c r="D5823" t="s">
        <v>10254</v>
      </c>
      <c r="E5823" t="s">
        <v>1229</v>
      </c>
      <c r="F5823" t="s">
        <v>166</v>
      </c>
      <c r="G5823" t="s">
        <v>54</v>
      </c>
      <c r="H5823" t="str">
        <f>"ΒΡΑΧΟΚΗΠΟΣ ΚΟΚΚΙΝΗ ΧΑΝΙ "</f>
        <v xml:space="preserve">ΒΡΑΧΟΚΗΠΟΣ ΚΟΚΚΙΝΗ ΧΑΝΙ </v>
      </c>
      <c r="I5823">
        <v>71500</v>
      </c>
      <c r="J5823">
        <v>2810762487</v>
      </c>
      <c r="K5823">
        <v>6974035659</v>
      </c>
      <c r="N5823" t="s">
        <v>615</v>
      </c>
      <c r="O5823" t="s">
        <v>616</v>
      </c>
      <c r="R5823" t="s">
        <v>57</v>
      </c>
      <c r="S5823">
        <v>5</v>
      </c>
      <c r="T5823">
        <v>774</v>
      </c>
      <c r="U5823" s="1">
        <v>39680</v>
      </c>
      <c r="V5823" t="s">
        <v>80</v>
      </c>
      <c r="W5823" t="s">
        <v>81</v>
      </c>
      <c r="X5823" t="s">
        <v>58</v>
      </c>
      <c r="Y5823">
        <v>23</v>
      </c>
      <c r="Z5823" t="s">
        <v>59</v>
      </c>
      <c r="AA5823" t="s">
        <v>59</v>
      </c>
      <c r="AB5823" t="s">
        <v>59</v>
      </c>
      <c r="AC5823" t="s">
        <v>59</v>
      </c>
      <c r="AD5823" t="s">
        <v>59</v>
      </c>
      <c r="AF5823" s="1">
        <v>39681</v>
      </c>
      <c r="AG5823" t="s">
        <v>8645</v>
      </c>
      <c r="AH5823" t="s">
        <v>8646</v>
      </c>
      <c r="AI5823" t="str">
        <f>"9170206"</f>
        <v>9170206</v>
      </c>
      <c r="AJ5823" t="s">
        <v>8972</v>
      </c>
      <c r="AK5823">
        <v>2810761137</v>
      </c>
      <c r="AL5823" t="s">
        <v>8973</v>
      </c>
      <c r="AM5823" t="s">
        <v>78</v>
      </c>
      <c r="AN5823" t="s">
        <v>219</v>
      </c>
      <c r="AO5823" t="s">
        <v>297</v>
      </c>
      <c r="AP5823" t="s">
        <v>8796</v>
      </c>
      <c r="AQ5823">
        <v>7</v>
      </c>
      <c r="AR5823" t="s">
        <v>80</v>
      </c>
      <c r="AS5823" t="s">
        <v>81</v>
      </c>
      <c r="AT5823" t="s">
        <v>58</v>
      </c>
      <c r="AU5823" t="s">
        <v>68</v>
      </c>
      <c r="AV5823" t="s">
        <v>69</v>
      </c>
      <c r="AW5823" s="1">
        <v>30651</v>
      </c>
      <c r="AX5823">
        <v>1</v>
      </c>
    </row>
    <row r="5824" spans="1:50">
      <c r="A5824">
        <v>622750</v>
      </c>
      <c r="B5824" t="str">
        <f>"147517498"</f>
        <v>147517498</v>
      </c>
      <c r="C5824" t="s">
        <v>50</v>
      </c>
      <c r="D5824" t="s">
        <v>10255</v>
      </c>
      <c r="E5824" t="s">
        <v>73</v>
      </c>
      <c r="F5824" t="s">
        <v>72</v>
      </c>
      <c r="G5824" t="s">
        <v>5201</v>
      </c>
      <c r="H5824" t="str">
        <f>"ΒΡΑΣΤΑΜΑ ΧΑΛΚΙΔΙΚΗΣ "</f>
        <v xml:space="preserve">ΒΡΑΣΤΑΜΑ ΧΑΛΚΙΔΙΚΗΣ </v>
      </c>
      <c r="K5824">
        <v>6944666022</v>
      </c>
      <c r="N5824" t="s">
        <v>1525</v>
      </c>
      <c r="O5824" t="s">
        <v>1526</v>
      </c>
      <c r="R5824" t="s">
        <v>57</v>
      </c>
      <c r="S5824">
        <v>4</v>
      </c>
      <c r="T5824">
        <v>653</v>
      </c>
      <c r="U5824" s="1">
        <v>40043</v>
      </c>
      <c r="V5824" t="s">
        <v>80</v>
      </c>
      <c r="W5824" t="s">
        <v>81</v>
      </c>
      <c r="X5824" t="s">
        <v>58</v>
      </c>
      <c r="Y5824">
        <v>25</v>
      </c>
      <c r="Z5824" t="s">
        <v>59</v>
      </c>
      <c r="AA5824" t="s">
        <v>59</v>
      </c>
      <c r="AB5824" t="s">
        <v>59</v>
      </c>
      <c r="AC5824" t="s">
        <v>59</v>
      </c>
      <c r="AD5824" t="s">
        <v>59</v>
      </c>
      <c r="AF5824" s="1">
        <v>40044</v>
      </c>
      <c r="AG5824" t="s">
        <v>8651</v>
      </c>
      <c r="AH5824" t="s">
        <v>8652</v>
      </c>
      <c r="AI5824" t="str">
        <f>"9170410"</f>
        <v>9170410</v>
      </c>
      <c r="AJ5824" t="s">
        <v>8751</v>
      </c>
      <c r="AK5824">
        <v>2810251805</v>
      </c>
      <c r="AL5824" t="s">
        <v>8752</v>
      </c>
      <c r="AM5824" t="s">
        <v>78</v>
      </c>
      <c r="AN5824" t="s">
        <v>78</v>
      </c>
      <c r="AO5824" t="s">
        <v>78</v>
      </c>
      <c r="AP5824" t="s">
        <v>141</v>
      </c>
      <c r="AQ5824">
        <v>1</v>
      </c>
      <c r="AR5824" t="s">
        <v>80</v>
      </c>
      <c r="AS5824" t="s">
        <v>81</v>
      </c>
      <c r="AT5824" t="s">
        <v>58</v>
      </c>
      <c r="AU5824" t="s">
        <v>68</v>
      </c>
      <c r="AV5824" t="s">
        <v>69</v>
      </c>
      <c r="AW5824" s="1">
        <v>31580</v>
      </c>
      <c r="AX5824">
        <v>1</v>
      </c>
    </row>
    <row r="5825" spans="1:50">
      <c r="A5825">
        <v>613843</v>
      </c>
      <c r="B5825" t="str">
        <f>"056612712"</f>
        <v>056612712</v>
      </c>
      <c r="C5825" t="s">
        <v>50</v>
      </c>
      <c r="D5825" t="s">
        <v>10256</v>
      </c>
      <c r="E5825" t="s">
        <v>143</v>
      </c>
      <c r="F5825" t="s">
        <v>53</v>
      </c>
      <c r="G5825" t="s">
        <v>52</v>
      </c>
      <c r="H5825" t="str">
        <f>"ΕΥΡΩΠΗΣ 47 ΧΕΡΣΟΝΗΣΟΣ"</f>
        <v>ΕΥΡΩΠΗΣ 47 ΧΕΡΣΟΝΗΣΟΣ</v>
      </c>
      <c r="I5825">
        <v>70014</v>
      </c>
      <c r="J5825">
        <v>2897029259</v>
      </c>
      <c r="K5825">
        <v>6973755682</v>
      </c>
      <c r="N5825" t="s">
        <v>615</v>
      </c>
      <c r="O5825" t="s">
        <v>616</v>
      </c>
      <c r="R5825" t="s">
        <v>57</v>
      </c>
      <c r="S5825">
        <v>5</v>
      </c>
      <c r="T5825">
        <v>598</v>
      </c>
      <c r="U5825" s="1">
        <v>39328</v>
      </c>
      <c r="V5825" t="s">
        <v>80</v>
      </c>
      <c r="W5825" t="s">
        <v>81</v>
      </c>
      <c r="X5825" t="s">
        <v>58</v>
      </c>
      <c r="Y5825">
        <v>23</v>
      </c>
      <c r="Z5825" t="s">
        <v>59</v>
      </c>
      <c r="AA5825" t="s">
        <v>59</v>
      </c>
      <c r="AB5825" t="s">
        <v>59</v>
      </c>
      <c r="AC5825" t="s">
        <v>59</v>
      </c>
      <c r="AD5825" t="s">
        <v>59</v>
      </c>
      <c r="AF5825" s="1">
        <v>39328</v>
      </c>
      <c r="AG5825" t="s">
        <v>8645</v>
      </c>
      <c r="AH5825" t="s">
        <v>8646</v>
      </c>
      <c r="AI5825" t="str">
        <f>"9521014"</f>
        <v>9521014</v>
      </c>
      <c r="AJ5825" t="s">
        <v>8974</v>
      </c>
      <c r="AK5825">
        <v>2897029611</v>
      </c>
      <c r="AL5825" t="s">
        <v>8975</v>
      </c>
      <c r="AM5825" t="s">
        <v>78</v>
      </c>
      <c r="AN5825" t="s">
        <v>219</v>
      </c>
      <c r="AO5825" t="s">
        <v>527</v>
      </c>
      <c r="AP5825" t="s">
        <v>527</v>
      </c>
      <c r="AQ5825">
        <v>8</v>
      </c>
      <c r="AR5825" t="s">
        <v>80</v>
      </c>
      <c r="AS5825" t="s">
        <v>81</v>
      </c>
      <c r="AT5825" t="s">
        <v>58</v>
      </c>
      <c r="AU5825" t="s">
        <v>68</v>
      </c>
      <c r="AV5825" t="s">
        <v>69</v>
      </c>
      <c r="AW5825" s="1">
        <v>25922</v>
      </c>
      <c r="AX5825">
        <v>1</v>
      </c>
    </row>
    <row r="5826" spans="1:50">
      <c r="B5826" t="str">
        <f>"073225795"</f>
        <v>073225795</v>
      </c>
      <c r="C5826" t="s">
        <v>50</v>
      </c>
      <c r="D5826" t="s">
        <v>10256</v>
      </c>
      <c r="E5826" t="s">
        <v>877</v>
      </c>
      <c r="F5826" t="s">
        <v>166</v>
      </c>
      <c r="G5826" t="s">
        <v>620</v>
      </c>
      <c r="H5826" t="str">
        <f>" "</f>
        <v xml:space="preserve"> </v>
      </c>
      <c r="N5826" t="s">
        <v>683</v>
      </c>
      <c r="O5826" t="s">
        <v>684</v>
      </c>
      <c r="R5826" t="s">
        <v>121</v>
      </c>
      <c r="S5826">
        <v>1</v>
      </c>
      <c r="T5826" t="s">
        <v>8675</v>
      </c>
      <c r="U5826" s="1">
        <v>43348</v>
      </c>
      <c r="V5826" t="s">
        <v>80</v>
      </c>
      <c r="W5826" t="s">
        <v>81</v>
      </c>
      <c r="X5826" t="s">
        <v>58</v>
      </c>
      <c r="Y5826">
        <v>24</v>
      </c>
      <c r="Z5826" t="s">
        <v>59</v>
      </c>
      <c r="AA5826" t="s">
        <v>59</v>
      </c>
      <c r="AB5826" t="s">
        <v>59</v>
      </c>
      <c r="AD5826" t="s">
        <v>59</v>
      </c>
      <c r="AF5826" s="1">
        <v>43348</v>
      </c>
      <c r="AG5826" t="s">
        <v>8645</v>
      </c>
      <c r="AH5826" t="s">
        <v>8646</v>
      </c>
      <c r="AI5826" t="str">
        <f>"9170427"</f>
        <v>9170427</v>
      </c>
      <c r="AJ5826" t="s">
        <v>8817</v>
      </c>
      <c r="AK5826">
        <v>2810220998</v>
      </c>
      <c r="AL5826" t="s">
        <v>8818</v>
      </c>
      <c r="AM5826" t="s">
        <v>78</v>
      </c>
      <c r="AN5826" t="s">
        <v>78</v>
      </c>
      <c r="AO5826" t="s">
        <v>286</v>
      </c>
      <c r="AP5826" t="s">
        <v>286</v>
      </c>
      <c r="AQ5826">
        <v>1</v>
      </c>
      <c r="AR5826" t="s">
        <v>80</v>
      </c>
      <c r="AS5826" t="s">
        <v>81</v>
      </c>
      <c r="AT5826" t="s">
        <v>58</v>
      </c>
      <c r="AU5826" t="s">
        <v>8673</v>
      </c>
      <c r="AV5826" t="s">
        <v>132</v>
      </c>
      <c r="AW5826" s="1">
        <v>27026</v>
      </c>
      <c r="AX5826">
        <v>1</v>
      </c>
    </row>
    <row r="5827" spans="1:50">
      <c r="A5827">
        <v>616235</v>
      </c>
      <c r="B5827" t="str">
        <f>"065931327"</f>
        <v>065931327</v>
      </c>
      <c r="C5827" t="s">
        <v>50</v>
      </c>
      <c r="D5827" t="s">
        <v>4985</v>
      </c>
      <c r="E5827" t="s">
        <v>52</v>
      </c>
      <c r="F5827" t="s">
        <v>166</v>
      </c>
      <c r="G5827" t="s">
        <v>96</v>
      </c>
      <c r="H5827" t="str">
        <f>" "</f>
        <v xml:space="preserve"> </v>
      </c>
      <c r="J5827">
        <v>2810221521</v>
      </c>
      <c r="K5827">
        <v>6948386308</v>
      </c>
      <c r="N5827" t="s">
        <v>1525</v>
      </c>
      <c r="O5827" t="s">
        <v>1526</v>
      </c>
      <c r="R5827" t="s">
        <v>57</v>
      </c>
      <c r="S5827">
        <v>7</v>
      </c>
      <c r="T5827">
        <v>660</v>
      </c>
      <c r="U5827" s="1">
        <v>39311</v>
      </c>
      <c r="V5827" t="s">
        <v>80</v>
      </c>
      <c r="W5827" t="s">
        <v>81</v>
      </c>
      <c r="X5827" t="s">
        <v>58</v>
      </c>
      <c r="Y5827">
        <v>25</v>
      </c>
      <c r="Z5827" t="s">
        <v>59</v>
      </c>
      <c r="AA5827" t="s">
        <v>59</v>
      </c>
      <c r="AB5827" t="s">
        <v>59</v>
      </c>
      <c r="AC5827" t="s">
        <v>59</v>
      </c>
      <c r="AD5827" t="s">
        <v>59</v>
      </c>
      <c r="AF5827" s="1">
        <v>39328</v>
      </c>
      <c r="AG5827" t="s">
        <v>8651</v>
      </c>
      <c r="AH5827" t="s">
        <v>8652</v>
      </c>
      <c r="AI5827" t="str">
        <f>"9170529"</f>
        <v>9170529</v>
      </c>
      <c r="AJ5827" t="s">
        <v>8656</v>
      </c>
      <c r="AK5827">
        <v>2810223699</v>
      </c>
      <c r="AL5827" t="s">
        <v>8657</v>
      </c>
      <c r="AM5827" t="s">
        <v>78</v>
      </c>
      <c r="AN5827" t="s">
        <v>78</v>
      </c>
      <c r="AO5827" t="s">
        <v>286</v>
      </c>
      <c r="AP5827" t="s">
        <v>286</v>
      </c>
      <c r="AQ5827">
        <v>1</v>
      </c>
      <c r="AR5827" t="s">
        <v>80</v>
      </c>
      <c r="AS5827" t="s">
        <v>81</v>
      </c>
      <c r="AT5827" t="s">
        <v>58</v>
      </c>
      <c r="AU5827" t="s">
        <v>68</v>
      </c>
      <c r="AV5827" t="s">
        <v>69</v>
      </c>
      <c r="AW5827" s="1">
        <v>29221</v>
      </c>
      <c r="AX5827">
        <v>1</v>
      </c>
    </row>
    <row r="5828" spans="1:50">
      <c r="A5828">
        <v>609187</v>
      </c>
      <c r="B5828" t="str">
        <f>"105612198"</f>
        <v>105612198</v>
      </c>
      <c r="C5828" t="s">
        <v>50</v>
      </c>
      <c r="D5828" t="s">
        <v>2148</v>
      </c>
      <c r="E5828" t="s">
        <v>10257</v>
      </c>
      <c r="F5828" t="s">
        <v>10258</v>
      </c>
      <c r="G5828" t="s">
        <v>964</v>
      </c>
      <c r="H5828" t="str">
        <f>"ΕΘΝΙΚΗΣ ΑΝΤΙΣΤΑΣΕΩΣ 25  ΗΡΑΚΛΕΙΟ"</f>
        <v>ΕΘΝΙΚΗΣ ΑΝΤΙΣΤΑΣΕΩΣ 25  ΗΡΑΚΛΕΙΟ</v>
      </c>
      <c r="I5828">
        <v>71306</v>
      </c>
      <c r="J5828">
        <v>2810327009</v>
      </c>
      <c r="K5828">
        <v>6977969814</v>
      </c>
      <c r="N5828" t="s">
        <v>306</v>
      </c>
      <c r="O5828" t="s">
        <v>307</v>
      </c>
      <c r="R5828" t="s">
        <v>57</v>
      </c>
      <c r="S5828">
        <v>8</v>
      </c>
      <c r="T5828">
        <v>218</v>
      </c>
      <c r="U5828" s="1">
        <v>38596</v>
      </c>
      <c r="V5828" t="s">
        <v>80</v>
      </c>
      <c r="W5828" t="s">
        <v>81</v>
      </c>
      <c r="X5828" t="s">
        <v>58</v>
      </c>
      <c r="Y5828">
        <v>22</v>
      </c>
      <c r="Z5828" t="s">
        <v>59</v>
      </c>
      <c r="AA5828" t="s">
        <v>59</v>
      </c>
      <c r="AB5828" t="s">
        <v>59</v>
      </c>
      <c r="AC5828" t="s">
        <v>59</v>
      </c>
      <c r="AD5828" t="s">
        <v>59</v>
      </c>
      <c r="AF5828" s="1">
        <v>38600</v>
      </c>
      <c r="AG5828" t="s">
        <v>8645</v>
      </c>
      <c r="AH5828" t="s">
        <v>8646</v>
      </c>
      <c r="AI5828" t="str">
        <f>"9170519"</f>
        <v>9170519</v>
      </c>
      <c r="AJ5828" t="s">
        <v>8647</v>
      </c>
      <c r="AK5828">
        <v>2810244075</v>
      </c>
      <c r="AL5828" t="s">
        <v>8648</v>
      </c>
      <c r="AM5828" t="s">
        <v>78</v>
      </c>
      <c r="AN5828" t="s">
        <v>78</v>
      </c>
      <c r="AO5828" t="s">
        <v>78</v>
      </c>
      <c r="AP5828" t="s">
        <v>213</v>
      </c>
      <c r="AQ5828">
        <v>1</v>
      </c>
      <c r="AR5828" t="s">
        <v>80</v>
      </c>
      <c r="AS5828" t="s">
        <v>81</v>
      </c>
      <c r="AT5828" t="s">
        <v>58</v>
      </c>
      <c r="AU5828" t="s">
        <v>68</v>
      </c>
      <c r="AV5828" t="s">
        <v>69</v>
      </c>
      <c r="AW5828" s="1">
        <v>27513</v>
      </c>
      <c r="AX5828">
        <v>1</v>
      </c>
    </row>
    <row r="5829" spans="1:50">
      <c r="A5829">
        <v>581124</v>
      </c>
      <c r="B5829" t="str">
        <f>"063537168"</f>
        <v>063537168</v>
      </c>
      <c r="C5829" t="s">
        <v>50</v>
      </c>
      <c r="D5829" t="s">
        <v>2150</v>
      </c>
      <c r="E5829" t="s">
        <v>476</v>
      </c>
      <c r="F5829" t="s">
        <v>53</v>
      </c>
      <c r="G5829" t="s">
        <v>109</v>
      </c>
      <c r="H5829" t="str">
        <f>"ΠΑΛΜΕΤΗ 12  ΓΑΖΙ "</f>
        <v xml:space="preserve">ΠΑΛΜΕΤΗ 12  ΓΑΖΙ </v>
      </c>
      <c r="I5829">
        <v>71414</v>
      </c>
      <c r="J5829">
        <v>2815100934</v>
      </c>
      <c r="K5829">
        <v>6981952892</v>
      </c>
      <c r="M5829" t="s">
        <v>10259</v>
      </c>
      <c r="N5829" t="s">
        <v>615</v>
      </c>
      <c r="O5829" t="s">
        <v>616</v>
      </c>
      <c r="R5829" t="s">
        <v>57</v>
      </c>
      <c r="S5829">
        <v>13</v>
      </c>
      <c r="T5829">
        <v>179</v>
      </c>
      <c r="U5829" s="1">
        <v>35674</v>
      </c>
      <c r="V5829" t="s">
        <v>80</v>
      </c>
      <c r="W5829" t="s">
        <v>81</v>
      </c>
      <c r="X5829" t="s">
        <v>58</v>
      </c>
      <c r="Y5829">
        <v>21</v>
      </c>
      <c r="Z5829" t="s">
        <v>59</v>
      </c>
      <c r="AA5829" t="s">
        <v>59</v>
      </c>
      <c r="AB5829" t="s">
        <v>59</v>
      </c>
      <c r="AC5829" t="s">
        <v>59</v>
      </c>
      <c r="AD5829" t="s">
        <v>59</v>
      </c>
      <c r="AF5829" s="1">
        <v>35675</v>
      </c>
      <c r="AG5829" t="s">
        <v>8645</v>
      </c>
      <c r="AH5829" t="s">
        <v>8646</v>
      </c>
      <c r="AI5829" t="str">
        <f>"9170525"</f>
        <v>9170525</v>
      </c>
      <c r="AJ5829" t="s">
        <v>8853</v>
      </c>
      <c r="AK5829">
        <v>2810256547</v>
      </c>
      <c r="AL5829" t="s">
        <v>8854</v>
      </c>
      <c r="AM5829" t="s">
        <v>78</v>
      </c>
      <c r="AN5829" t="s">
        <v>78</v>
      </c>
      <c r="AO5829" t="s">
        <v>78</v>
      </c>
      <c r="AP5829" t="s">
        <v>141</v>
      </c>
      <c r="AQ5829">
        <v>1</v>
      </c>
      <c r="AR5829" t="s">
        <v>80</v>
      </c>
      <c r="AS5829" t="s">
        <v>81</v>
      </c>
      <c r="AT5829" t="s">
        <v>58</v>
      </c>
      <c r="AU5829" t="s">
        <v>68</v>
      </c>
      <c r="AV5829" t="s">
        <v>69</v>
      </c>
      <c r="AW5829" s="1">
        <v>24480</v>
      </c>
      <c r="AX5829">
        <v>1</v>
      </c>
    </row>
    <row r="5830" spans="1:50">
      <c r="B5830" t="str">
        <f>"132957700"</f>
        <v>132957700</v>
      </c>
      <c r="C5830" t="s">
        <v>105</v>
      </c>
      <c r="D5830" t="s">
        <v>2151</v>
      </c>
      <c r="E5830" t="s">
        <v>166</v>
      </c>
      <c r="F5830" t="s">
        <v>53</v>
      </c>
      <c r="G5830" t="s">
        <v>52</v>
      </c>
      <c r="H5830" t="str">
        <f>"ΟΥΛ. ΠΑΛΜΕ 108 ΗΡΑΚΛΕΙΟ"</f>
        <v>ΟΥΛ. ΠΑΛΜΕ 108 ΗΡΑΚΛΕΙΟ</v>
      </c>
      <c r="I5830">
        <v>71410</v>
      </c>
      <c r="J5830">
        <v>2810326331</v>
      </c>
      <c r="K5830">
        <v>6973802275</v>
      </c>
      <c r="N5830" t="s">
        <v>204</v>
      </c>
      <c r="O5830" t="s">
        <v>205</v>
      </c>
      <c r="R5830" t="s">
        <v>159</v>
      </c>
      <c r="S5830">
        <v>5</v>
      </c>
      <c r="T5830" t="s">
        <v>8675</v>
      </c>
      <c r="U5830" s="1">
        <v>43348</v>
      </c>
      <c r="V5830" t="s">
        <v>80</v>
      </c>
      <c r="W5830" t="s">
        <v>81</v>
      </c>
      <c r="X5830" t="s">
        <v>58</v>
      </c>
      <c r="Y5830">
        <v>24</v>
      </c>
      <c r="Z5830" t="s">
        <v>59</v>
      </c>
      <c r="AA5830" t="s">
        <v>59</v>
      </c>
      <c r="AB5830" t="s">
        <v>59</v>
      </c>
      <c r="AC5830" t="s">
        <v>59</v>
      </c>
      <c r="AD5830" t="s">
        <v>59</v>
      </c>
      <c r="AF5830" s="1">
        <v>43348</v>
      </c>
      <c r="AG5830" t="s">
        <v>8645</v>
      </c>
      <c r="AH5830" t="s">
        <v>8646</v>
      </c>
      <c r="AI5830" t="str">
        <f>"9170267"</f>
        <v>9170267</v>
      </c>
      <c r="AJ5830" t="s">
        <v>8840</v>
      </c>
      <c r="AK5830">
        <v>2892022320</v>
      </c>
      <c r="AL5830" t="s">
        <v>8841</v>
      </c>
      <c r="AM5830" t="s">
        <v>78</v>
      </c>
      <c r="AN5830" t="s">
        <v>242</v>
      </c>
      <c r="AO5830" t="s">
        <v>243</v>
      </c>
      <c r="AP5830" t="s">
        <v>243</v>
      </c>
      <c r="AQ5830">
        <v>20</v>
      </c>
      <c r="AR5830" t="s">
        <v>80</v>
      </c>
      <c r="AS5830" t="s">
        <v>81</v>
      </c>
      <c r="AT5830" t="s">
        <v>58</v>
      </c>
      <c r="AU5830" t="s">
        <v>8673</v>
      </c>
      <c r="AV5830" t="s">
        <v>132</v>
      </c>
      <c r="AW5830" s="1">
        <v>31048</v>
      </c>
      <c r="AX5830">
        <v>1</v>
      </c>
    </row>
    <row r="5831" spans="1:50">
      <c r="B5831" t="str">
        <f>"131277166"</f>
        <v>131277166</v>
      </c>
      <c r="C5831" t="s">
        <v>50</v>
      </c>
      <c r="D5831" t="s">
        <v>10260</v>
      </c>
      <c r="E5831" t="s">
        <v>255</v>
      </c>
      <c r="F5831" t="s">
        <v>377</v>
      </c>
      <c r="G5831" t="s">
        <v>460</v>
      </c>
      <c r="H5831" t="str">
        <f>" "</f>
        <v xml:space="preserve"> </v>
      </c>
      <c r="N5831" t="s">
        <v>615</v>
      </c>
      <c r="O5831" t="s">
        <v>616</v>
      </c>
      <c r="R5831" t="s">
        <v>159</v>
      </c>
      <c r="S5831">
        <v>1</v>
      </c>
      <c r="T5831" t="s">
        <v>8675</v>
      </c>
      <c r="U5831" s="1">
        <v>43348</v>
      </c>
      <c r="V5831" t="s">
        <v>80</v>
      </c>
      <c r="W5831" t="s">
        <v>81</v>
      </c>
      <c r="X5831" t="s">
        <v>58</v>
      </c>
      <c r="Y5831">
        <v>24</v>
      </c>
      <c r="Z5831" t="s">
        <v>59</v>
      </c>
      <c r="AA5831" t="s">
        <v>59</v>
      </c>
      <c r="AB5831" t="s">
        <v>59</v>
      </c>
      <c r="AC5831" t="s">
        <v>59</v>
      </c>
      <c r="AD5831" t="s">
        <v>59</v>
      </c>
      <c r="AF5831" s="1">
        <v>43348</v>
      </c>
      <c r="AG5831" t="s">
        <v>8645</v>
      </c>
      <c r="AH5831" t="s">
        <v>8646</v>
      </c>
      <c r="AI5831" t="str">
        <f>"9170191"</f>
        <v>9170191</v>
      </c>
      <c r="AJ5831" t="s">
        <v>8667</v>
      </c>
      <c r="AK5831">
        <v>2810231459</v>
      </c>
      <c r="AL5831" t="s">
        <v>8668</v>
      </c>
      <c r="AM5831" t="s">
        <v>78</v>
      </c>
      <c r="AN5831" t="s">
        <v>78</v>
      </c>
      <c r="AO5831" t="s">
        <v>78</v>
      </c>
      <c r="AP5831" t="s">
        <v>163</v>
      </c>
      <c r="AQ5831">
        <v>1</v>
      </c>
      <c r="AR5831" t="s">
        <v>80</v>
      </c>
      <c r="AS5831" t="s">
        <v>81</v>
      </c>
      <c r="AT5831" t="s">
        <v>58</v>
      </c>
      <c r="AU5831" t="s">
        <v>8673</v>
      </c>
      <c r="AV5831" t="s">
        <v>132</v>
      </c>
      <c r="AW5831" s="1">
        <v>31070</v>
      </c>
      <c r="AX5831">
        <v>1</v>
      </c>
    </row>
    <row r="5832" spans="1:50">
      <c r="A5832">
        <v>561396</v>
      </c>
      <c r="B5832" t="str">
        <f>"035173586"</f>
        <v>035173586</v>
      </c>
      <c r="C5832" t="s">
        <v>50</v>
      </c>
      <c r="D5832" t="s">
        <v>10261</v>
      </c>
      <c r="E5832" t="s">
        <v>10262</v>
      </c>
      <c r="F5832" t="s">
        <v>84</v>
      </c>
      <c r="G5832" t="s">
        <v>155</v>
      </c>
      <c r="H5832" t="str">
        <f>" "</f>
        <v xml:space="preserve"> </v>
      </c>
      <c r="N5832" t="s">
        <v>615</v>
      </c>
      <c r="O5832" t="s">
        <v>616</v>
      </c>
      <c r="R5832" t="s">
        <v>57</v>
      </c>
      <c r="S5832">
        <v>17</v>
      </c>
      <c r="T5832">
        <v>159</v>
      </c>
      <c r="U5832" s="1">
        <v>32385</v>
      </c>
      <c r="V5832" t="s">
        <v>80</v>
      </c>
      <c r="W5832" t="s">
        <v>81</v>
      </c>
      <c r="X5832" t="s">
        <v>58</v>
      </c>
      <c r="Y5832">
        <v>21</v>
      </c>
      <c r="Z5832" t="s">
        <v>59</v>
      </c>
      <c r="AA5832" t="s">
        <v>59</v>
      </c>
      <c r="AB5832" t="s">
        <v>59</v>
      </c>
      <c r="AC5832" t="s">
        <v>59</v>
      </c>
      <c r="AD5832" t="s">
        <v>59</v>
      </c>
      <c r="AF5832" s="1">
        <v>32387</v>
      </c>
      <c r="AG5832" t="s">
        <v>8645</v>
      </c>
      <c r="AH5832" t="s">
        <v>8646</v>
      </c>
      <c r="AI5832" t="str">
        <f>"9170262"</f>
        <v>9170262</v>
      </c>
      <c r="AJ5832" t="s">
        <v>9224</v>
      </c>
      <c r="AK5832">
        <v>2810245912</v>
      </c>
      <c r="AL5832" t="s">
        <v>9225</v>
      </c>
      <c r="AM5832" t="s">
        <v>78</v>
      </c>
      <c r="AN5832" t="s">
        <v>78</v>
      </c>
      <c r="AO5832" t="s">
        <v>286</v>
      </c>
      <c r="AP5832" t="s">
        <v>286</v>
      </c>
      <c r="AQ5832">
        <v>1</v>
      </c>
      <c r="AR5832" t="s">
        <v>80</v>
      </c>
      <c r="AS5832" t="s">
        <v>81</v>
      </c>
      <c r="AT5832" t="s">
        <v>58</v>
      </c>
      <c r="AU5832" t="s">
        <v>68</v>
      </c>
      <c r="AV5832" t="s">
        <v>69</v>
      </c>
      <c r="AW5832" s="1">
        <v>23874</v>
      </c>
      <c r="AX5832">
        <v>1</v>
      </c>
    </row>
    <row r="5833" spans="1:50">
      <c r="B5833" t="str">
        <f>"137747192"</f>
        <v>137747192</v>
      </c>
      <c r="C5833" t="s">
        <v>105</v>
      </c>
      <c r="D5833" t="s">
        <v>10263</v>
      </c>
      <c r="E5833" t="s">
        <v>670</v>
      </c>
      <c r="F5833" t="s">
        <v>450</v>
      </c>
      <c r="G5833" t="s">
        <v>181</v>
      </c>
      <c r="H5833" t="str">
        <f>"Α ΠΑΡΟΔΟΣ ΚΑΥΚΑΣΟΥ 6 "</f>
        <v xml:space="preserve">Α ΠΑΡΟΔΟΣ ΚΑΥΚΑΣΟΥ 6 </v>
      </c>
      <c r="I5833">
        <v>53100</v>
      </c>
      <c r="J5833">
        <v>2385025797</v>
      </c>
      <c r="K5833">
        <v>6979814240</v>
      </c>
      <c r="N5833" t="s">
        <v>615</v>
      </c>
      <c r="O5833" t="s">
        <v>616</v>
      </c>
      <c r="R5833" t="s">
        <v>159</v>
      </c>
      <c r="S5833">
        <v>4</v>
      </c>
      <c r="T5833" t="s">
        <v>8675</v>
      </c>
      <c r="U5833" s="1">
        <v>43348</v>
      </c>
      <c r="V5833" t="s">
        <v>80</v>
      </c>
      <c r="W5833" t="s">
        <v>81</v>
      </c>
      <c r="X5833" t="s">
        <v>58</v>
      </c>
      <c r="Y5833">
        <v>24</v>
      </c>
      <c r="Z5833" t="s">
        <v>59</v>
      </c>
      <c r="AA5833" t="s">
        <v>59</v>
      </c>
      <c r="AB5833" t="s">
        <v>59</v>
      </c>
      <c r="AC5833" t="s">
        <v>59</v>
      </c>
      <c r="AD5833" t="s">
        <v>59</v>
      </c>
      <c r="AF5833" s="1">
        <v>43348</v>
      </c>
      <c r="AG5833" t="s">
        <v>8645</v>
      </c>
      <c r="AH5833" t="s">
        <v>8646</v>
      </c>
      <c r="AI5833" t="str">
        <f>"9170144"</f>
        <v>9170144</v>
      </c>
      <c r="AJ5833" t="s">
        <v>8729</v>
      </c>
      <c r="AK5833">
        <v>2891022244</v>
      </c>
      <c r="AL5833" t="s">
        <v>8730</v>
      </c>
      <c r="AM5833" t="s">
        <v>78</v>
      </c>
      <c r="AN5833" t="s">
        <v>276</v>
      </c>
      <c r="AO5833" t="s">
        <v>490</v>
      </c>
      <c r="AP5833" t="s">
        <v>490</v>
      </c>
      <c r="AQ5833">
        <v>12</v>
      </c>
      <c r="AR5833" t="s">
        <v>80</v>
      </c>
      <c r="AS5833" t="s">
        <v>81</v>
      </c>
      <c r="AT5833" t="s">
        <v>58</v>
      </c>
      <c r="AU5833" t="s">
        <v>8673</v>
      </c>
      <c r="AV5833" t="s">
        <v>132</v>
      </c>
      <c r="AW5833" s="1">
        <v>32185</v>
      </c>
      <c r="AX5833">
        <v>1</v>
      </c>
    </row>
    <row r="5834" spans="1:50">
      <c r="A5834">
        <v>224976</v>
      </c>
      <c r="B5834" t="str">
        <f>"070346700"</f>
        <v>070346700</v>
      </c>
      <c r="C5834" t="s">
        <v>50</v>
      </c>
      <c r="D5834" t="s">
        <v>2156</v>
      </c>
      <c r="E5834" t="s">
        <v>143</v>
      </c>
      <c r="F5834" t="s">
        <v>154</v>
      </c>
      <c r="G5834" t="s">
        <v>250</v>
      </c>
      <c r="H5834" t="str">
        <f>"ΦΕΙΔΙΟΥ 16 ΗΡΑΚΛΕΙΟ"</f>
        <v>ΦΕΙΔΙΟΥ 16 ΗΡΑΚΛΕΙΟ</v>
      </c>
      <c r="I5834">
        <v>71409</v>
      </c>
      <c r="J5834">
        <v>2810320877</v>
      </c>
      <c r="K5834">
        <v>6944632959</v>
      </c>
      <c r="M5834" t="s">
        <v>10264</v>
      </c>
      <c r="N5834" t="s">
        <v>176</v>
      </c>
      <c r="O5834" t="s">
        <v>177</v>
      </c>
      <c r="R5834" t="s">
        <v>57</v>
      </c>
      <c r="S5834">
        <v>6</v>
      </c>
      <c r="T5834">
        <v>775</v>
      </c>
      <c r="U5834" s="1">
        <v>39680</v>
      </c>
      <c r="V5834" t="s">
        <v>80</v>
      </c>
      <c r="W5834" t="s">
        <v>81</v>
      </c>
      <c r="X5834" t="s">
        <v>58</v>
      </c>
      <c r="Y5834">
        <v>23</v>
      </c>
      <c r="Z5834" t="s">
        <v>59</v>
      </c>
      <c r="AA5834" t="s">
        <v>59</v>
      </c>
      <c r="AB5834" t="s">
        <v>59</v>
      </c>
      <c r="AC5834" t="s">
        <v>59</v>
      </c>
      <c r="AD5834" t="s">
        <v>59</v>
      </c>
      <c r="AF5834" s="1">
        <v>39685</v>
      </c>
      <c r="AG5834" t="s">
        <v>8645</v>
      </c>
      <c r="AH5834" t="s">
        <v>8646</v>
      </c>
      <c r="AI5834" t="str">
        <f>"9170097"</f>
        <v>9170097</v>
      </c>
      <c r="AJ5834" t="s">
        <v>8826</v>
      </c>
      <c r="AK5834">
        <v>2810751807</v>
      </c>
      <c r="AL5834" t="s">
        <v>8827</v>
      </c>
      <c r="AM5834" t="s">
        <v>78</v>
      </c>
      <c r="AN5834" t="s">
        <v>424</v>
      </c>
      <c r="AO5834" t="s">
        <v>425</v>
      </c>
      <c r="AP5834" t="s">
        <v>425</v>
      </c>
      <c r="AQ5834">
        <v>11</v>
      </c>
      <c r="AR5834" t="s">
        <v>80</v>
      </c>
      <c r="AS5834" t="s">
        <v>81</v>
      </c>
      <c r="AT5834" t="s">
        <v>58</v>
      </c>
      <c r="AU5834" t="s">
        <v>68</v>
      </c>
      <c r="AV5834" t="s">
        <v>69</v>
      </c>
      <c r="AW5834" s="1">
        <v>28315</v>
      </c>
      <c r="AX5834">
        <v>1</v>
      </c>
    </row>
    <row r="5835" spans="1:50">
      <c r="A5835">
        <v>575707</v>
      </c>
      <c r="B5835" t="str">
        <f>"052173209"</f>
        <v>052173209</v>
      </c>
      <c r="C5835" t="s">
        <v>50</v>
      </c>
      <c r="D5835" t="s">
        <v>2156</v>
      </c>
      <c r="E5835" t="s">
        <v>250</v>
      </c>
      <c r="F5835" t="s">
        <v>166</v>
      </c>
      <c r="G5835" t="s">
        <v>382</v>
      </c>
      <c r="H5835" t="str">
        <f>" "</f>
        <v xml:space="preserve"> </v>
      </c>
      <c r="N5835" t="s">
        <v>615</v>
      </c>
      <c r="O5835" t="s">
        <v>616</v>
      </c>
      <c r="R5835" t="s">
        <v>57</v>
      </c>
      <c r="S5835">
        <v>13</v>
      </c>
      <c r="T5835">
        <v>184</v>
      </c>
      <c r="U5835" s="1">
        <v>34943</v>
      </c>
      <c r="V5835" t="s">
        <v>80</v>
      </c>
      <c r="W5835" t="s">
        <v>81</v>
      </c>
      <c r="X5835" t="s">
        <v>58</v>
      </c>
      <c r="Y5835">
        <v>21</v>
      </c>
      <c r="Z5835" t="s">
        <v>59</v>
      </c>
      <c r="AA5835" t="s">
        <v>59</v>
      </c>
      <c r="AB5835" t="s">
        <v>59</v>
      </c>
      <c r="AC5835" t="s">
        <v>59</v>
      </c>
      <c r="AD5835" t="s">
        <v>59</v>
      </c>
      <c r="AF5835" s="1">
        <v>34949</v>
      </c>
      <c r="AG5835" t="s">
        <v>8645</v>
      </c>
      <c r="AH5835" t="s">
        <v>8646</v>
      </c>
      <c r="AI5835" t="str">
        <f>"9170339"</f>
        <v>9170339</v>
      </c>
      <c r="AJ5835" t="s">
        <v>9500</v>
      </c>
      <c r="AK5835">
        <v>2892051391</v>
      </c>
      <c r="AL5835" t="s">
        <v>9501</v>
      </c>
      <c r="AM5835" t="s">
        <v>78</v>
      </c>
      <c r="AN5835" t="s">
        <v>242</v>
      </c>
      <c r="AO5835" t="s">
        <v>349</v>
      </c>
      <c r="AP5835" t="s">
        <v>349</v>
      </c>
      <c r="AQ5835">
        <v>19</v>
      </c>
      <c r="AR5835" t="s">
        <v>80</v>
      </c>
      <c r="AS5835" t="s">
        <v>81</v>
      </c>
      <c r="AT5835" t="s">
        <v>58</v>
      </c>
      <c r="AU5835" t="s">
        <v>68</v>
      </c>
      <c r="AV5835" t="s">
        <v>69</v>
      </c>
      <c r="AW5835" s="1">
        <v>24771</v>
      </c>
      <c r="AX5835">
        <v>1</v>
      </c>
    </row>
    <row r="5836" spans="1:50">
      <c r="A5836">
        <v>622736</v>
      </c>
      <c r="B5836" t="str">
        <f>"137456444"</f>
        <v>137456444</v>
      </c>
      <c r="C5836" t="s">
        <v>50</v>
      </c>
      <c r="D5836" t="s">
        <v>2156</v>
      </c>
      <c r="E5836" t="s">
        <v>109</v>
      </c>
      <c r="F5836" t="s">
        <v>311</v>
      </c>
      <c r="G5836" t="s">
        <v>372</v>
      </c>
      <c r="H5836" t="str">
        <f>" "</f>
        <v xml:space="preserve"> </v>
      </c>
      <c r="N5836" t="s">
        <v>1525</v>
      </c>
      <c r="O5836" t="s">
        <v>1526</v>
      </c>
      <c r="R5836" t="s">
        <v>57</v>
      </c>
      <c r="S5836">
        <v>4</v>
      </c>
      <c r="T5836">
        <v>653</v>
      </c>
      <c r="U5836" s="1">
        <v>40043</v>
      </c>
      <c r="V5836" t="s">
        <v>80</v>
      </c>
      <c r="W5836" t="s">
        <v>81</v>
      </c>
      <c r="X5836" t="s">
        <v>58</v>
      </c>
      <c r="Y5836">
        <v>25</v>
      </c>
      <c r="Z5836" t="s">
        <v>59</v>
      </c>
      <c r="AA5836" t="s">
        <v>59</v>
      </c>
      <c r="AB5836" t="s">
        <v>59</v>
      </c>
      <c r="AC5836" t="s">
        <v>59</v>
      </c>
      <c r="AD5836" t="s">
        <v>59</v>
      </c>
      <c r="AF5836" s="1">
        <v>40043</v>
      </c>
      <c r="AG5836" t="s">
        <v>8651</v>
      </c>
      <c r="AH5836" t="s">
        <v>8652</v>
      </c>
      <c r="AI5836" t="str">
        <f>"9170364"</f>
        <v>9170364</v>
      </c>
      <c r="AJ5836" t="s">
        <v>9338</v>
      </c>
      <c r="AK5836">
        <v>2810741562</v>
      </c>
      <c r="AL5836" t="s">
        <v>9339</v>
      </c>
      <c r="AM5836" t="s">
        <v>78</v>
      </c>
      <c r="AN5836" t="s">
        <v>424</v>
      </c>
      <c r="AO5836" t="s">
        <v>428</v>
      </c>
      <c r="AP5836" t="s">
        <v>8920</v>
      </c>
      <c r="AQ5836">
        <v>11</v>
      </c>
      <c r="AR5836" t="s">
        <v>80</v>
      </c>
      <c r="AS5836" t="s">
        <v>81</v>
      </c>
      <c r="AT5836" t="s">
        <v>58</v>
      </c>
      <c r="AU5836" t="s">
        <v>68</v>
      </c>
      <c r="AV5836" t="s">
        <v>69</v>
      </c>
      <c r="AW5836" s="1">
        <v>30546</v>
      </c>
      <c r="AX5836">
        <v>1</v>
      </c>
    </row>
    <row r="5837" spans="1:50">
      <c r="A5837">
        <v>601355</v>
      </c>
      <c r="B5837" t="str">
        <f>"110744939"</f>
        <v>110744939</v>
      </c>
      <c r="C5837" t="s">
        <v>50</v>
      </c>
      <c r="D5837" t="s">
        <v>2156</v>
      </c>
      <c r="E5837" t="s">
        <v>52</v>
      </c>
      <c r="F5837" t="s">
        <v>383</v>
      </c>
      <c r="G5837" t="s">
        <v>73</v>
      </c>
      <c r="H5837" t="str">
        <f>"ΣΟΚΑΡΑΣ ΣΟΚΑΡΑΣ ΗΡΑΚΛΕΙΟΥ"</f>
        <v>ΣΟΚΑΡΑΣ ΣΟΚΑΡΑΣ ΗΡΑΚΛΕΙΟΥ</v>
      </c>
      <c r="I5837">
        <v>70016</v>
      </c>
      <c r="J5837">
        <v>2810314807</v>
      </c>
      <c r="K5837">
        <v>6974111792</v>
      </c>
      <c r="N5837" t="s">
        <v>615</v>
      </c>
      <c r="O5837" t="s">
        <v>616</v>
      </c>
      <c r="R5837" t="s">
        <v>57</v>
      </c>
      <c r="S5837">
        <v>8</v>
      </c>
      <c r="T5837">
        <v>207</v>
      </c>
      <c r="U5837" s="1">
        <v>37502</v>
      </c>
      <c r="V5837" t="s">
        <v>80</v>
      </c>
      <c r="W5837" t="s">
        <v>81</v>
      </c>
      <c r="X5837" t="s">
        <v>58</v>
      </c>
      <c r="Y5837">
        <v>22</v>
      </c>
      <c r="Z5837" t="s">
        <v>59</v>
      </c>
      <c r="AA5837" t="s">
        <v>59</v>
      </c>
      <c r="AB5837" t="s">
        <v>59</v>
      </c>
      <c r="AC5837" t="s">
        <v>59</v>
      </c>
      <c r="AD5837" t="s">
        <v>59</v>
      </c>
      <c r="AF5837" s="1">
        <v>37866</v>
      </c>
      <c r="AG5837" t="s">
        <v>8645</v>
      </c>
      <c r="AH5837" t="s">
        <v>8646</v>
      </c>
      <c r="AI5837" t="str">
        <f>"9170259"</f>
        <v>9170259</v>
      </c>
      <c r="AJ5837" t="s">
        <v>8784</v>
      </c>
      <c r="AK5837">
        <v>6994891960</v>
      </c>
      <c r="AL5837" t="s">
        <v>8785</v>
      </c>
      <c r="AM5837" t="s">
        <v>78</v>
      </c>
      <c r="AN5837" t="s">
        <v>78</v>
      </c>
      <c r="AO5837" t="s">
        <v>78</v>
      </c>
      <c r="AP5837" t="s">
        <v>213</v>
      </c>
      <c r="AQ5837">
        <v>1</v>
      </c>
      <c r="AR5837" t="s">
        <v>80</v>
      </c>
      <c r="AS5837" t="s">
        <v>81</v>
      </c>
      <c r="AT5837" t="s">
        <v>58</v>
      </c>
      <c r="AU5837" t="s">
        <v>68</v>
      </c>
      <c r="AV5837" t="s">
        <v>69</v>
      </c>
      <c r="AW5837" s="1">
        <v>27470</v>
      </c>
      <c r="AX5837">
        <v>1</v>
      </c>
    </row>
    <row r="5838" spans="1:50">
      <c r="A5838">
        <v>219479</v>
      </c>
      <c r="B5838" t="str">
        <f>"068148637"</f>
        <v>068148637</v>
      </c>
      <c r="C5838" t="s">
        <v>50</v>
      </c>
      <c r="D5838" t="s">
        <v>2156</v>
      </c>
      <c r="E5838" t="s">
        <v>52</v>
      </c>
      <c r="F5838" t="s">
        <v>166</v>
      </c>
      <c r="G5838" t="s">
        <v>382</v>
      </c>
      <c r="H5838" t="str">
        <f>"ΗΛΕΙΑΣ 28 ΗΑΡΑΚΛΕΙΟ"</f>
        <v>ΗΛΕΙΑΣ 28 ΗΑΡΑΚΛΕΙΟ</v>
      </c>
      <c r="I5838">
        <v>71303</v>
      </c>
      <c r="J5838">
        <v>2810263558</v>
      </c>
      <c r="K5838">
        <v>6947771989</v>
      </c>
      <c r="L5838">
        <v>2810319179</v>
      </c>
      <c r="N5838" t="s">
        <v>288</v>
      </c>
      <c r="O5838" t="s">
        <v>289</v>
      </c>
      <c r="R5838" t="s">
        <v>57</v>
      </c>
      <c r="S5838">
        <v>9</v>
      </c>
      <c r="T5838">
        <v>599</v>
      </c>
      <c r="U5838" s="1">
        <v>39310</v>
      </c>
      <c r="V5838" t="s">
        <v>80</v>
      </c>
      <c r="W5838" t="s">
        <v>81</v>
      </c>
      <c r="X5838" t="s">
        <v>58</v>
      </c>
      <c r="Y5838">
        <v>22</v>
      </c>
      <c r="Z5838" t="s">
        <v>59</v>
      </c>
      <c r="AA5838" t="s">
        <v>59</v>
      </c>
      <c r="AB5838" t="s">
        <v>59</v>
      </c>
      <c r="AC5838" t="s">
        <v>59</v>
      </c>
      <c r="AD5838" t="s">
        <v>59</v>
      </c>
      <c r="AF5838" s="1">
        <v>39329</v>
      </c>
      <c r="AG5838" t="s">
        <v>8645</v>
      </c>
      <c r="AH5838" t="s">
        <v>8646</v>
      </c>
      <c r="AI5838" t="str">
        <f>"9170532"</f>
        <v>9170532</v>
      </c>
      <c r="AJ5838" t="s">
        <v>8945</v>
      </c>
      <c r="AK5838">
        <v>2810250330</v>
      </c>
      <c r="AL5838" t="s">
        <v>8946</v>
      </c>
      <c r="AM5838" t="s">
        <v>78</v>
      </c>
      <c r="AN5838" t="s">
        <v>78</v>
      </c>
      <c r="AO5838" t="s">
        <v>78</v>
      </c>
      <c r="AP5838" t="s">
        <v>141</v>
      </c>
      <c r="AQ5838">
        <v>1</v>
      </c>
      <c r="AR5838" t="s">
        <v>80</v>
      </c>
      <c r="AS5838" t="s">
        <v>81</v>
      </c>
      <c r="AT5838" t="s">
        <v>58</v>
      </c>
      <c r="AU5838" t="s">
        <v>68</v>
      </c>
      <c r="AV5838" t="s">
        <v>69</v>
      </c>
      <c r="AW5838" s="1">
        <v>28118</v>
      </c>
      <c r="AX5838">
        <v>1</v>
      </c>
    </row>
    <row r="5839" spans="1:50">
      <c r="A5839">
        <v>603160</v>
      </c>
      <c r="B5839" t="str">
        <f>"110148158"</f>
        <v>110148158</v>
      </c>
      <c r="C5839" t="s">
        <v>50</v>
      </c>
      <c r="D5839" t="s">
        <v>2156</v>
      </c>
      <c r="E5839" t="s">
        <v>52</v>
      </c>
      <c r="F5839" t="s">
        <v>72</v>
      </c>
      <c r="G5839" t="s">
        <v>1176</v>
      </c>
      <c r="H5839" t="str">
        <f>"Μ.ΠΡΕΒΕΛΗ 61 ΗΡΑΚΛΕΙΟ"</f>
        <v>Μ.ΠΡΕΒΕΛΗ 61 ΗΡΑΚΛΕΙΟ</v>
      </c>
      <c r="I5839">
        <v>71306</v>
      </c>
      <c r="J5839">
        <v>2810241630</v>
      </c>
      <c r="K5839">
        <v>6972880648</v>
      </c>
      <c r="N5839" t="s">
        <v>1525</v>
      </c>
      <c r="O5839" t="s">
        <v>1526</v>
      </c>
      <c r="R5839" t="s">
        <v>57</v>
      </c>
      <c r="S5839">
        <v>7</v>
      </c>
      <c r="T5839">
        <v>207</v>
      </c>
      <c r="U5839" s="1">
        <v>37866</v>
      </c>
      <c r="V5839" t="s">
        <v>80</v>
      </c>
      <c r="W5839" t="s">
        <v>81</v>
      </c>
      <c r="X5839" t="s">
        <v>58</v>
      </c>
      <c r="Y5839">
        <v>25</v>
      </c>
      <c r="Z5839" t="s">
        <v>59</v>
      </c>
      <c r="AA5839" t="s">
        <v>59</v>
      </c>
      <c r="AB5839" t="s">
        <v>59</v>
      </c>
      <c r="AC5839" t="s">
        <v>59</v>
      </c>
      <c r="AD5839" t="s">
        <v>59</v>
      </c>
      <c r="AF5839" s="1">
        <v>37866</v>
      </c>
      <c r="AG5839" t="s">
        <v>8651</v>
      </c>
      <c r="AH5839" t="s">
        <v>8652</v>
      </c>
      <c r="AI5839" t="str">
        <f>"9170189"</f>
        <v>9170189</v>
      </c>
      <c r="AJ5839" t="s">
        <v>9726</v>
      </c>
      <c r="AK5839">
        <v>2810241270</v>
      </c>
      <c r="AL5839" t="s">
        <v>9727</v>
      </c>
      <c r="AM5839" t="s">
        <v>78</v>
      </c>
      <c r="AN5839" t="s">
        <v>78</v>
      </c>
      <c r="AO5839" t="s">
        <v>78</v>
      </c>
      <c r="AP5839" t="s">
        <v>79</v>
      </c>
      <c r="AQ5839">
        <v>1</v>
      </c>
      <c r="AR5839" t="s">
        <v>80</v>
      </c>
      <c r="AS5839" t="s">
        <v>81</v>
      </c>
      <c r="AT5839" t="s">
        <v>58</v>
      </c>
      <c r="AU5839" t="s">
        <v>68</v>
      </c>
      <c r="AV5839" t="s">
        <v>69</v>
      </c>
      <c r="AW5839" s="1">
        <v>28776</v>
      </c>
      <c r="AX5839">
        <v>1</v>
      </c>
    </row>
    <row r="5840" spans="1:50">
      <c r="A5840">
        <v>564225</v>
      </c>
      <c r="B5840" t="str">
        <f>"035164080"</f>
        <v>035164080</v>
      </c>
      <c r="C5840" t="s">
        <v>105</v>
      </c>
      <c r="D5840" t="s">
        <v>10265</v>
      </c>
      <c r="E5840" t="s">
        <v>95</v>
      </c>
      <c r="F5840" t="s">
        <v>106</v>
      </c>
      <c r="G5840" t="s">
        <v>566</v>
      </c>
      <c r="H5840" t="str">
        <f>"¶ρβη Ηρακλειου"</f>
        <v>¶ρβη Ηρακλειου</v>
      </c>
      <c r="I5840">
        <v>70004</v>
      </c>
      <c r="J5840">
        <v>2895071256</v>
      </c>
      <c r="K5840">
        <v>6947820929</v>
      </c>
      <c r="M5840" t="s">
        <v>10266</v>
      </c>
      <c r="N5840" t="s">
        <v>615</v>
      </c>
      <c r="O5840" t="s">
        <v>616</v>
      </c>
      <c r="R5840" t="s">
        <v>57</v>
      </c>
      <c r="S5840">
        <v>15</v>
      </c>
      <c r="T5840">
        <v>161</v>
      </c>
      <c r="U5840" s="1">
        <v>33119</v>
      </c>
      <c r="V5840" t="s">
        <v>80</v>
      </c>
      <c r="W5840" t="s">
        <v>81</v>
      </c>
      <c r="X5840" t="s">
        <v>58</v>
      </c>
      <c r="Y5840">
        <v>21</v>
      </c>
      <c r="Z5840" t="s">
        <v>59</v>
      </c>
      <c r="AA5840" t="s">
        <v>59</v>
      </c>
      <c r="AB5840" t="s">
        <v>59</v>
      </c>
      <c r="AC5840" t="s">
        <v>59</v>
      </c>
      <c r="AD5840" t="s">
        <v>59</v>
      </c>
      <c r="AF5840" s="1">
        <v>33121</v>
      </c>
      <c r="AG5840" t="s">
        <v>8645</v>
      </c>
      <c r="AH5840" t="s">
        <v>8646</v>
      </c>
      <c r="AI5840" t="str">
        <f>"9170130"</f>
        <v>9170130</v>
      </c>
      <c r="AJ5840" t="s">
        <v>10267</v>
      </c>
      <c r="AK5840">
        <v>2895071251</v>
      </c>
      <c r="AL5840" t="s">
        <v>10268</v>
      </c>
      <c r="AM5840" t="s">
        <v>78</v>
      </c>
      <c r="AN5840" t="s">
        <v>482</v>
      </c>
      <c r="AO5840" t="s">
        <v>482</v>
      </c>
      <c r="AP5840" t="s">
        <v>9002</v>
      </c>
      <c r="AQ5840">
        <v>14</v>
      </c>
      <c r="AR5840" t="s">
        <v>80</v>
      </c>
      <c r="AS5840" t="s">
        <v>81</v>
      </c>
      <c r="AT5840" t="s">
        <v>58</v>
      </c>
      <c r="AU5840" t="s">
        <v>68</v>
      </c>
      <c r="AV5840" t="s">
        <v>69</v>
      </c>
      <c r="AW5840" s="1">
        <v>23647</v>
      </c>
      <c r="AX5840">
        <v>1</v>
      </c>
    </row>
    <row r="5841" spans="1:50">
      <c r="B5841" t="str">
        <f>"132342789"</f>
        <v>132342789</v>
      </c>
      <c r="C5841" t="s">
        <v>105</v>
      </c>
      <c r="D5841" t="s">
        <v>10265</v>
      </c>
      <c r="E5841" t="s">
        <v>92</v>
      </c>
      <c r="F5841" t="s">
        <v>84</v>
      </c>
      <c r="G5841" t="s">
        <v>314</v>
      </c>
      <c r="H5841" t="str">
        <f>" "</f>
        <v xml:space="preserve"> </v>
      </c>
      <c r="K5841">
        <v>6986955025</v>
      </c>
      <c r="N5841" t="s">
        <v>8694</v>
      </c>
      <c r="O5841" t="s">
        <v>8695</v>
      </c>
      <c r="R5841" t="s">
        <v>159</v>
      </c>
      <c r="S5841">
        <v>1</v>
      </c>
      <c r="T5841" t="s">
        <v>8696</v>
      </c>
      <c r="U5841" s="1">
        <v>43348</v>
      </c>
      <c r="V5841" t="s">
        <v>80</v>
      </c>
      <c r="W5841" t="s">
        <v>81</v>
      </c>
      <c r="X5841" t="s">
        <v>58</v>
      </c>
      <c r="Y5841">
        <v>24</v>
      </c>
      <c r="Z5841" t="s">
        <v>59</v>
      </c>
      <c r="AA5841" t="s">
        <v>59</v>
      </c>
      <c r="AB5841" t="s">
        <v>59</v>
      </c>
      <c r="AD5841" t="s">
        <v>59</v>
      </c>
      <c r="AF5841" s="1">
        <v>43348</v>
      </c>
      <c r="AG5841" t="s">
        <v>8645</v>
      </c>
      <c r="AH5841" t="s">
        <v>8676</v>
      </c>
      <c r="AI5841" t="str">
        <f>"9170279"</f>
        <v>9170279</v>
      </c>
      <c r="AJ5841" t="s">
        <v>9327</v>
      </c>
      <c r="AK5841">
        <v>2894031022</v>
      </c>
      <c r="AL5841" t="s">
        <v>9328</v>
      </c>
      <c r="AM5841" t="s">
        <v>78</v>
      </c>
      <c r="AN5841" t="s">
        <v>242</v>
      </c>
      <c r="AO5841" t="s">
        <v>999</v>
      </c>
      <c r="AP5841" t="s">
        <v>9222</v>
      </c>
      <c r="AQ5841">
        <v>21</v>
      </c>
      <c r="AR5841" t="s">
        <v>80</v>
      </c>
      <c r="AS5841" t="s">
        <v>81</v>
      </c>
      <c r="AT5841" t="s">
        <v>58</v>
      </c>
      <c r="AU5841" t="s">
        <v>350</v>
      </c>
      <c r="AV5841" t="s">
        <v>132</v>
      </c>
      <c r="AW5841" s="1">
        <v>33394</v>
      </c>
      <c r="AX5841">
        <v>1</v>
      </c>
    </row>
    <row r="5842" spans="1:50">
      <c r="B5842" t="str">
        <f>"079618854"</f>
        <v>079618854</v>
      </c>
      <c r="C5842" t="s">
        <v>50</v>
      </c>
      <c r="D5842" t="s">
        <v>10269</v>
      </c>
      <c r="E5842" t="s">
        <v>52</v>
      </c>
      <c r="F5842" t="s">
        <v>72</v>
      </c>
      <c r="G5842" t="s">
        <v>1644</v>
      </c>
      <c r="H5842" t="str">
        <f>"ΚΛΕΑΝΘΗΣ 87 ΦΙΛΟΘΕΗ ΗΡΑΚΛΕΙΟΥ"</f>
        <v>ΚΛΕΑΝΘΗΣ 87 ΦΙΛΟΘΕΗ ΗΡΑΚΛΕΙΟΥ</v>
      </c>
      <c r="I5842">
        <v>71409</v>
      </c>
      <c r="J5842">
        <v>2810233674</v>
      </c>
      <c r="K5842">
        <v>6945240447</v>
      </c>
      <c r="N5842" t="s">
        <v>1525</v>
      </c>
      <c r="O5842" t="s">
        <v>1526</v>
      </c>
      <c r="R5842" t="s">
        <v>159</v>
      </c>
      <c r="S5842">
        <v>3</v>
      </c>
      <c r="T5842" t="s">
        <v>8670</v>
      </c>
      <c r="U5842" s="1">
        <v>43348</v>
      </c>
      <c r="V5842" t="s">
        <v>80</v>
      </c>
      <c r="W5842" t="s">
        <v>81</v>
      </c>
      <c r="X5842" t="s">
        <v>58</v>
      </c>
      <c r="Y5842">
        <v>25</v>
      </c>
      <c r="Z5842" t="s">
        <v>59</v>
      </c>
      <c r="AA5842" t="s">
        <v>59</v>
      </c>
      <c r="AB5842" t="s">
        <v>59</v>
      </c>
      <c r="AC5842" t="s">
        <v>59</v>
      </c>
      <c r="AD5842" t="s">
        <v>59</v>
      </c>
      <c r="AF5842" s="1">
        <v>43348</v>
      </c>
      <c r="AG5842" t="s">
        <v>8651</v>
      </c>
      <c r="AH5842" t="s">
        <v>8652</v>
      </c>
      <c r="AI5842" t="str">
        <f>"9170462"</f>
        <v>9170462</v>
      </c>
      <c r="AJ5842" t="s">
        <v>10270</v>
      </c>
      <c r="AK5842">
        <v>2810781040</v>
      </c>
      <c r="AL5842" t="s">
        <v>10271</v>
      </c>
      <c r="AM5842" t="s">
        <v>78</v>
      </c>
      <c r="AN5842" t="s">
        <v>219</v>
      </c>
      <c r="AO5842" t="s">
        <v>297</v>
      </c>
      <c r="AP5842" t="s">
        <v>9406</v>
      </c>
      <c r="AQ5842">
        <v>7</v>
      </c>
      <c r="AR5842" t="s">
        <v>80</v>
      </c>
      <c r="AS5842" t="s">
        <v>81</v>
      </c>
      <c r="AT5842" t="s">
        <v>58</v>
      </c>
      <c r="AU5842" t="s">
        <v>8673</v>
      </c>
      <c r="AV5842" t="s">
        <v>132</v>
      </c>
      <c r="AW5842" s="1">
        <v>30210</v>
      </c>
      <c r="AX5842">
        <v>1</v>
      </c>
    </row>
    <row r="5843" spans="1:50">
      <c r="A5843">
        <v>616398</v>
      </c>
      <c r="B5843" t="str">
        <f>"109109234"</f>
        <v>109109234</v>
      </c>
      <c r="C5843" t="s">
        <v>50</v>
      </c>
      <c r="D5843" t="s">
        <v>2164</v>
      </c>
      <c r="E5843" t="s">
        <v>191</v>
      </c>
      <c r="F5843" t="s">
        <v>949</v>
      </c>
      <c r="G5843" t="s">
        <v>237</v>
      </c>
      <c r="H5843" t="str">
        <f>"ΘΡΑΨΑΝΟ "</f>
        <v xml:space="preserve">ΘΡΑΨΑΝΟ </v>
      </c>
      <c r="I5843">
        <v>70006</v>
      </c>
      <c r="J5843">
        <v>2891041323</v>
      </c>
      <c r="K5843">
        <v>6947822498</v>
      </c>
      <c r="L5843">
        <v>6972306197</v>
      </c>
      <c r="N5843" t="s">
        <v>1525</v>
      </c>
      <c r="O5843" t="s">
        <v>1526</v>
      </c>
      <c r="R5843" t="s">
        <v>57</v>
      </c>
      <c r="S5843">
        <v>5</v>
      </c>
      <c r="T5843">
        <v>660</v>
      </c>
      <c r="U5843" s="1">
        <v>39311</v>
      </c>
      <c r="V5843" t="s">
        <v>80</v>
      </c>
      <c r="W5843" t="s">
        <v>81</v>
      </c>
      <c r="X5843" t="s">
        <v>58</v>
      </c>
      <c r="Y5843">
        <v>25</v>
      </c>
      <c r="Z5843" t="s">
        <v>59</v>
      </c>
      <c r="AA5843" t="s">
        <v>59</v>
      </c>
      <c r="AB5843" t="s">
        <v>59</v>
      </c>
      <c r="AC5843" t="s">
        <v>59</v>
      </c>
      <c r="AD5843" t="s">
        <v>59</v>
      </c>
      <c r="AF5843" s="1">
        <v>39330</v>
      </c>
      <c r="AG5843" t="s">
        <v>8651</v>
      </c>
      <c r="AH5843" t="s">
        <v>8652</v>
      </c>
      <c r="AI5843" t="str">
        <f>"9170229"</f>
        <v>9170229</v>
      </c>
      <c r="AJ5843" t="s">
        <v>9209</v>
      </c>
      <c r="AK5843">
        <v>2891041639</v>
      </c>
      <c r="AL5843" t="s">
        <v>9210</v>
      </c>
      <c r="AM5843" t="s">
        <v>78</v>
      </c>
      <c r="AN5843" t="s">
        <v>276</v>
      </c>
      <c r="AO5843" t="s">
        <v>1936</v>
      </c>
      <c r="AP5843" t="s">
        <v>1936</v>
      </c>
      <c r="AQ5843">
        <v>13</v>
      </c>
      <c r="AR5843" t="s">
        <v>80</v>
      </c>
      <c r="AS5843" t="s">
        <v>81</v>
      </c>
      <c r="AT5843" t="s">
        <v>58</v>
      </c>
      <c r="AU5843" t="s">
        <v>68</v>
      </c>
      <c r="AV5843" t="s">
        <v>69</v>
      </c>
      <c r="AW5843" s="1">
        <v>28813</v>
      </c>
      <c r="AX5843">
        <v>1</v>
      </c>
    </row>
    <row r="5844" spans="1:50">
      <c r="B5844" t="str">
        <f>"125558906"</f>
        <v>125558906</v>
      </c>
      <c r="C5844" t="s">
        <v>50</v>
      </c>
      <c r="D5844" t="s">
        <v>6109</v>
      </c>
      <c r="E5844" t="s">
        <v>112</v>
      </c>
      <c r="F5844" t="s">
        <v>95</v>
      </c>
      <c r="G5844" t="s">
        <v>250</v>
      </c>
      <c r="H5844" t="str">
        <f>"ΕΜΜ. ΞΑΝΘΟΥ 15 ΗΡΑΚΛΕΙΟ"</f>
        <v>ΕΜΜ. ΞΑΝΘΟΥ 15 ΗΡΑΚΛΕΙΟ</v>
      </c>
      <c r="I5844">
        <v>71307</v>
      </c>
      <c r="J5844">
        <v>2810240880</v>
      </c>
      <c r="K5844">
        <v>6948364784</v>
      </c>
      <c r="N5844" t="s">
        <v>204</v>
      </c>
      <c r="O5844" t="s">
        <v>205</v>
      </c>
      <c r="R5844" t="s">
        <v>159</v>
      </c>
      <c r="S5844">
        <v>4</v>
      </c>
      <c r="T5844" t="s">
        <v>8675</v>
      </c>
      <c r="U5844" s="1">
        <v>43348</v>
      </c>
      <c r="V5844" t="s">
        <v>80</v>
      </c>
      <c r="W5844" t="s">
        <v>81</v>
      </c>
      <c r="X5844" t="s">
        <v>58</v>
      </c>
      <c r="Y5844">
        <v>24</v>
      </c>
      <c r="Z5844" t="s">
        <v>59</v>
      </c>
      <c r="AA5844" t="s">
        <v>59</v>
      </c>
      <c r="AB5844" t="s">
        <v>59</v>
      </c>
      <c r="AC5844" t="s">
        <v>59</v>
      </c>
      <c r="AD5844" t="s">
        <v>59</v>
      </c>
      <c r="AF5844" s="1">
        <v>43348</v>
      </c>
      <c r="AG5844" t="s">
        <v>8645</v>
      </c>
      <c r="AH5844" t="s">
        <v>8646</v>
      </c>
      <c r="AI5844" t="str">
        <f>"9170115"</f>
        <v>9170115</v>
      </c>
      <c r="AJ5844" t="s">
        <v>8770</v>
      </c>
      <c r="AK5844">
        <v>2810231165</v>
      </c>
      <c r="AL5844" t="s">
        <v>8771</v>
      </c>
      <c r="AM5844" t="s">
        <v>78</v>
      </c>
      <c r="AN5844" t="s">
        <v>78</v>
      </c>
      <c r="AO5844" t="s">
        <v>78</v>
      </c>
      <c r="AP5844" t="s">
        <v>141</v>
      </c>
      <c r="AQ5844">
        <v>1</v>
      </c>
      <c r="AR5844" t="s">
        <v>80</v>
      </c>
      <c r="AS5844" t="s">
        <v>81</v>
      </c>
      <c r="AT5844" t="s">
        <v>58</v>
      </c>
      <c r="AU5844" t="s">
        <v>8673</v>
      </c>
      <c r="AV5844" t="s">
        <v>132</v>
      </c>
      <c r="AW5844" s="1">
        <v>29117</v>
      </c>
      <c r="AX5844">
        <v>1</v>
      </c>
    </row>
    <row r="5845" spans="1:50">
      <c r="A5845">
        <v>571541</v>
      </c>
      <c r="B5845" t="str">
        <f>"064576710"</f>
        <v>064576710</v>
      </c>
      <c r="C5845" t="s">
        <v>50</v>
      </c>
      <c r="D5845" t="s">
        <v>6109</v>
      </c>
      <c r="E5845" t="s">
        <v>134</v>
      </c>
      <c r="F5845" t="s">
        <v>95</v>
      </c>
      <c r="G5845" t="s">
        <v>237</v>
      </c>
      <c r="H5845" t="str">
        <f>"ΟΔΥΣΣΕΩΣ 1Α ΠΟΡΟΣ"</f>
        <v>ΟΔΥΣΣΕΩΣ 1Α ΠΟΡΟΣ</v>
      </c>
      <c r="I5845">
        <v>71307</v>
      </c>
      <c r="J5845">
        <v>2810223447</v>
      </c>
      <c r="K5845">
        <v>6976659253</v>
      </c>
      <c r="M5845" t="s">
        <v>10272</v>
      </c>
      <c r="N5845" t="s">
        <v>1525</v>
      </c>
      <c r="O5845" t="s">
        <v>1526</v>
      </c>
      <c r="R5845" t="s">
        <v>57</v>
      </c>
      <c r="S5845">
        <v>15</v>
      </c>
      <c r="T5845">
        <v>138</v>
      </c>
      <c r="U5845" s="1">
        <v>34206</v>
      </c>
      <c r="V5845" t="s">
        <v>80</v>
      </c>
      <c r="W5845" t="s">
        <v>81</v>
      </c>
      <c r="X5845" t="s">
        <v>58</v>
      </c>
      <c r="Y5845">
        <v>25</v>
      </c>
      <c r="Z5845" t="s">
        <v>59</v>
      </c>
      <c r="AA5845" t="s">
        <v>59</v>
      </c>
      <c r="AB5845" t="s">
        <v>59</v>
      </c>
      <c r="AC5845" t="s">
        <v>59</v>
      </c>
      <c r="AD5845" t="s">
        <v>59</v>
      </c>
      <c r="AF5845" s="1">
        <v>34213</v>
      </c>
      <c r="AG5845" t="s">
        <v>8651</v>
      </c>
      <c r="AH5845" t="s">
        <v>8652</v>
      </c>
      <c r="AI5845" t="str">
        <f>"9170110"</f>
        <v>9170110</v>
      </c>
      <c r="AJ5845" t="s">
        <v>10273</v>
      </c>
      <c r="AK5845">
        <v>2810282944</v>
      </c>
      <c r="AL5845" t="s">
        <v>10274</v>
      </c>
      <c r="AM5845" t="s">
        <v>78</v>
      </c>
      <c r="AN5845" t="s">
        <v>78</v>
      </c>
      <c r="AO5845" t="s">
        <v>78</v>
      </c>
      <c r="AP5845" t="s">
        <v>79</v>
      </c>
      <c r="AQ5845">
        <v>1</v>
      </c>
      <c r="AR5845" t="s">
        <v>80</v>
      </c>
      <c r="AS5845" t="s">
        <v>81</v>
      </c>
      <c r="AT5845" t="s">
        <v>58</v>
      </c>
      <c r="AU5845" t="s">
        <v>68</v>
      </c>
      <c r="AV5845" t="s">
        <v>69</v>
      </c>
      <c r="AW5845" s="1">
        <v>20761</v>
      </c>
      <c r="AX5845">
        <v>1</v>
      </c>
    </row>
    <row r="5846" spans="1:50">
      <c r="A5846">
        <v>581289</v>
      </c>
      <c r="B5846" t="str">
        <f>"048033867"</f>
        <v>048033867</v>
      </c>
      <c r="C5846" t="s">
        <v>50</v>
      </c>
      <c r="D5846" t="s">
        <v>6109</v>
      </c>
      <c r="E5846" t="s">
        <v>801</v>
      </c>
      <c r="F5846" t="s">
        <v>1093</v>
      </c>
      <c r="G5846" t="s">
        <v>73</v>
      </c>
      <c r="H5846" t="str">
        <f>"ΠΑΝΕΠΙΣΤΗΜΙΟΥ 127 ΛΟΦΟΣ ΛΕΙΒΑΔΑΣ"</f>
        <v>ΠΑΝΕΠΙΣΤΗΜΙΟΥ 127 ΛΟΦΟΣ ΛΕΙΒΑΔΑΣ</v>
      </c>
      <c r="I5846">
        <v>70013</v>
      </c>
      <c r="J5846">
        <v>2810262897</v>
      </c>
      <c r="K5846">
        <v>6938744243</v>
      </c>
      <c r="N5846" t="s">
        <v>615</v>
      </c>
      <c r="O5846" t="s">
        <v>616</v>
      </c>
      <c r="R5846" t="s">
        <v>57</v>
      </c>
      <c r="S5846">
        <v>12</v>
      </c>
      <c r="T5846">
        <v>179</v>
      </c>
      <c r="U5846" s="1">
        <v>35674</v>
      </c>
      <c r="V5846" t="s">
        <v>80</v>
      </c>
      <c r="W5846" t="s">
        <v>81</v>
      </c>
      <c r="X5846" t="s">
        <v>58</v>
      </c>
      <c r="Y5846">
        <v>21</v>
      </c>
      <c r="Z5846" t="s">
        <v>59</v>
      </c>
      <c r="AA5846" t="s">
        <v>59</v>
      </c>
      <c r="AB5846" t="s">
        <v>59</v>
      </c>
      <c r="AC5846" t="s">
        <v>59</v>
      </c>
      <c r="AD5846" t="s">
        <v>59</v>
      </c>
      <c r="AF5846" s="1">
        <v>35678</v>
      </c>
      <c r="AG5846" t="s">
        <v>8645</v>
      </c>
      <c r="AH5846" t="s">
        <v>8646</v>
      </c>
      <c r="AI5846" t="str">
        <f>"9170580"</f>
        <v>9170580</v>
      </c>
      <c r="AJ5846" t="s">
        <v>9076</v>
      </c>
      <c r="AK5846">
        <v>2810542809</v>
      </c>
      <c r="AL5846" t="s">
        <v>9077</v>
      </c>
      <c r="AM5846" t="s">
        <v>78</v>
      </c>
      <c r="AN5846" t="s">
        <v>78</v>
      </c>
      <c r="AO5846" t="s">
        <v>78</v>
      </c>
      <c r="AP5846" t="s">
        <v>9053</v>
      </c>
      <c r="AQ5846">
        <v>1</v>
      </c>
      <c r="AR5846" t="s">
        <v>80</v>
      </c>
      <c r="AS5846" t="s">
        <v>81</v>
      </c>
      <c r="AT5846" t="s">
        <v>58</v>
      </c>
      <c r="AU5846" t="s">
        <v>68</v>
      </c>
      <c r="AV5846" t="s">
        <v>69</v>
      </c>
      <c r="AW5846" s="1">
        <v>23882</v>
      </c>
      <c r="AX5846">
        <v>1</v>
      </c>
    </row>
    <row r="5847" spans="1:50">
      <c r="A5847">
        <v>620525</v>
      </c>
      <c r="B5847" t="str">
        <f>"132967464"</f>
        <v>132967464</v>
      </c>
      <c r="C5847" t="s">
        <v>50</v>
      </c>
      <c r="D5847" t="s">
        <v>6109</v>
      </c>
      <c r="E5847" t="s">
        <v>620</v>
      </c>
      <c r="F5847" t="s">
        <v>84</v>
      </c>
      <c r="G5847" t="s">
        <v>1068</v>
      </c>
      <c r="H5847" t="str">
        <f>"ΙΕΡΑΠΥΤΝΗΣ 9 ΗΡΑΚΛΕΙΟ"</f>
        <v>ΙΕΡΑΠΥΤΝΗΣ 9 ΗΡΑΚΛΕΙΟ</v>
      </c>
      <c r="I5847">
        <v>71410</v>
      </c>
      <c r="J5847">
        <v>2810253948</v>
      </c>
      <c r="K5847">
        <v>6932428205</v>
      </c>
      <c r="N5847" t="s">
        <v>615</v>
      </c>
      <c r="O5847" t="s">
        <v>616</v>
      </c>
      <c r="R5847" t="s">
        <v>57</v>
      </c>
      <c r="S5847">
        <v>5</v>
      </c>
      <c r="T5847">
        <v>653</v>
      </c>
      <c r="U5847" s="1">
        <v>40043</v>
      </c>
      <c r="V5847" t="s">
        <v>80</v>
      </c>
      <c r="W5847" t="s">
        <v>81</v>
      </c>
      <c r="X5847" t="s">
        <v>58</v>
      </c>
      <c r="Y5847">
        <v>23</v>
      </c>
      <c r="Z5847" t="s">
        <v>59</v>
      </c>
      <c r="AA5847" t="s">
        <v>59</v>
      </c>
      <c r="AB5847" t="s">
        <v>59</v>
      </c>
      <c r="AC5847" t="s">
        <v>59</v>
      </c>
      <c r="AD5847" t="s">
        <v>59</v>
      </c>
      <c r="AF5847" s="1">
        <v>40043</v>
      </c>
      <c r="AG5847" t="s">
        <v>8645</v>
      </c>
      <c r="AH5847" t="s">
        <v>8646</v>
      </c>
      <c r="AI5847" t="str">
        <f>"9170515"</f>
        <v>9170515</v>
      </c>
      <c r="AJ5847" t="s">
        <v>8790</v>
      </c>
      <c r="AK5847">
        <v>2810254821</v>
      </c>
      <c r="AL5847" t="s">
        <v>8791</v>
      </c>
      <c r="AM5847" t="s">
        <v>78</v>
      </c>
      <c r="AN5847" t="s">
        <v>78</v>
      </c>
      <c r="AO5847" t="s">
        <v>78</v>
      </c>
      <c r="AP5847" t="s">
        <v>163</v>
      </c>
      <c r="AQ5847">
        <v>1</v>
      </c>
      <c r="AR5847" t="s">
        <v>80</v>
      </c>
      <c r="AS5847" t="s">
        <v>81</v>
      </c>
      <c r="AT5847" t="s">
        <v>58</v>
      </c>
      <c r="AU5847" t="s">
        <v>68</v>
      </c>
      <c r="AV5847" t="s">
        <v>69</v>
      </c>
      <c r="AW5847" s="1">
        <v>30843</v>
      </c>
      <c r="AX5847">
        <v>1</v>
      </c>
    </row>
    <row r="5848" spans="1:50">
      <c r="B5848" t="str">
        <f>"115520202"</f>
        <v>115520202</v>
      </c>
      <c r="C5848" t="s">
        <v>50</v>
      </c>
      <c r="D5848" t="s">
        <v>10275</v>
      </c>
      <c r="E5848" t="s">
        <v>96</v>
      </c>
      <c r="F5848" t="s">
        <v>383</v>
      </c>
      <c r="G5848" t="s">
        <v>52</v>
      </c>
      <c r="H5848" t="str">
        <f>"ΠΛ. ΑΓ. ΓΕΩΡΓΙΟΥ 3 ΠΕΡΙΣΤΕΡΙ"</f>
        <v>ΠΛ. ΑΓ. ΓΕΩΡΓΙΟΥ 3 ΠΕΡΙΣΤΕΡΙ</v>
      </c>
      <c r="I5848">
        <v>12137</v>
      </c>
      <c r="J5848">
        <v>2105716257</v>
      </c>
      <c r="K5848">
        <v>6974301447</v>
      </c>
      <c r="N5848" t="s">
        <v>615</v>
      </c>
      <c r="O5848" t="s">
        <v>616</v>
      </c>
      <c r="R5848" t="s">
        <v>159</v>
      </c>
      <c r="S5848">
        <v>3</v>
      </c>
      <c r="T5848" t="s">
        <v>8675</v>
      </c>
      <c r="U5848" s="1">
        <v>43348</v>
      </c>
      <c r="V5848" t="s">
        <v>80</v>
      </c>
      <c r="W5848" t="s">
        <v>81</v>
      </c>
      <c r="X5848" t="s">
        <v>58</v>
      </c>
      <c r="Y5848">
        <v>24</v>
      </c>
      <c r="Z5848" t="s">
        <v>59</v>
      </c>
      <c r="AA5848" t="s">
        <v>59</v>
      </c>
      <c r="AB5848" t="s">
        <v>59</v>
      </c>
      <c r="AC5848" t="s">
        <v>59</v>
      </c>
      <c r="AD5848" t="s">
        <v>59</v>
      </c>
      <c r="AF5848" s="1">
        <v>43348</v>
      </c>
      <c r="AG5848" t="s">
        <v>8645</v>
      </c>
      <c r="AH5848" t="s">
        <v>8676</v>
      </c>
      <c r="AI5848" t="str">
        <f>"9170095"</f>
        <v>9170095</v>
      </c>
      <c r="AJ5848" t="s">
        <v>8918</v>
      </c>
      <c r="AK5848">
        <v>2810741397</v>
      </c>
      <c r="AL5848" t="s">
        <v>8919</v>
      </c>
      <c r="AM5848" t="s">
        <v>78</v>
      </c>
      <c r="AN5848" t="s">
        <v>424</v>
      </c>
      <c r="AO5848" t="s">
        <v>428</v>
      </c>
      <c r="AP5848" t="s">
        <v>8920</v>
      </c>
      <c r="AQ5848">
        <v>11</v>
      </c>
      <c r="AR5848" t="s">
        <v>80</v>
      </c>
      <c r="AS5848" t="s">
        <v>81</v>
      </c>
      <c r="AT5848" t="s">
        <v>58</v>
      </c>
      <c r="AU5848" t="s">
        <v>8673</v>
      </c>
      <c r="AV5848" t="s">
        <v>132</v>
      </c>
      <c r="AW5848" s="1">
        <v>29807</v>
      </c>
      <c r="AX5848">
        <v>1</v>
      </c>
    </row>
    <row r="5849" spans="1:50">
      <c r="B5849" t="str">
        <f>"144325170"</f>
        <v>144325170</v>
      </c>
      <c r="C5849" t="s">
        <v>50</v>
      </c>
      <c r="D5849" t="s">
        <v>10276</v>
      </c>
      <c r="E5849" t="s">
        <v>372</v>
      </c>
      <c r="F5849" t="s">
        <v>84</v>
      </c>
      <c r="G5849" t="s">
        <v>215</v>
      </c>
      <c r="H5849" t="str">
        <f>" "</f>
        <v xml:space="preserve"> </v>
      </c>
      <c r="K5849">
        <v>6976573175</v>
      </c>
      <c r="M5849" t="s">
        <v>10277</v>
      </c>
      <c r="N5849" t="s">
        <v>384</v>
      </c>
      <c r="O5849" t="s">
        <v>385</v>
      </c>
      <c r="R5849" t="s">
        <v>121</v>
      </c>
      <c r="S5849">
        <v>1</v>
      </c>
      <c r="T5849" t="s">
        <v>8675</v>
      </c>
      <c r="U5849" s="1">
        <v>43348</v>
      </c>
      <c r="V5849" t="s">
        <v>80</v>
      </c>
      <c r="W5849" t="s">
        <v>81</v>
      </c>
      <c r="X5849" t="s">
        <v>58</v>
      </c>
      <c r="Y5849">
        <v>24</v>
      </c>
      <c r="Z5849" t="s">
        <v>59</v>
      </c>
      <c r="AA5849" t="s">
        <v>59</v>
      </c>
      <c r="AB5849" t="s">
        <v>59</v>
      </c>
      <c r="AC5849" t="s">
        <v>59</v>
      </c>
      <c r="AD5849" t="s">
        <v>59</v>
      </c>
      <c r="AF5849" s="1">
        <v>43348</v>
      </c>
      <c r="AG5849" t="s">
        <v>8645</v>
      </c>
      <c r="AH5849" t="s">
        <v>8646</v>
      </c>
      <c r="AI5849" t="str">
        <f>"9170268"</f>
        <v>9170268</v>
      </c>
      <c r="AJ5849" t="s">
        <v>9301</v>
      </c>
      <c r="AK5849">
        <v>2892022710</v>
      </c>
      <c r="AL5849" t="s">
        <v>9302</v>
      </c>
      <c r="AM5849" t="s">
        <v>78</v>
      </c>
      <c r="AN5849" t="s">
        <v>242</v>
      </c>
      <c r="AO5849" t="s">
        <v>243</v>
      </c>
      <c r="AP5849" t="s">
        <v>243</v>
      </c>
      <c r="AQ5849">
        <v>20</v>
      </c>
      <c r="AR5849" t="s">
        <v>80</v>
      </c>
      <c r="AS5849" t="s">
        <v>81</v>
      </c>
      <c r="AT5849" t="s">
        <v>58</v>
      </c>
      <c r="AU5849" t="s">
        <v>8673</v>
      </c>
      <c r="AV5849" t="s">
        <v>132</v>
      </c>
      <c r="AW5849" s="1">
        <v>32350</v>
      </c>
      <c r="AX5849">
        <v>1</v>
      </c>
    </row>
    <row r="5850" spans="1:50">
      <c r="A5850">
        <v>614640</v>
      </c>
      <c r="B5850" t="str">
        <f>"132349176"</f>
        <v>132349176</v>
      </c>
      <c r="C5850" t="s">
        <v>50</v>
      </c>
      <c r="D5850" t="s">
        <v>10278</v>
      </c>
      <c r="E5850" t="s">
        <v>513</v>
      </c>
      <c r="F5850" t="s">
        <v>166</v>
      </c>
      <c r="G5850" t="s">
        <v>237</v>
      </c>
      <c r="H5850" t="str">
        <f>"ΙΕΡΟΛΟΧΙΤΩΝ 148 ΗΡΑΚΛΕΙΟ"</f>
        <v>ΙΕΡΟΛΟΧΙΤΩΝ 148 ΗΡΑΚΛΕΙΟ</v>
      </c>
      <c r="I5850">
        <v>71305</v>
      </c>
      <c r="J5850">
        <v>2810212924</v>
      </c>
      <c r="K5850">
        <v>6972518519</v>
      </c>
      <c r="M5850" t="s">
        <v>10279</v>
      </c>
      <c r="N5850" t="s">
        <v>615</v>
      </c>
      <c r="O5850" t="s">
        <v>616</v>
      </c>
      <c r="R5850" t="s">
        <v>57</v>
      </c>
      <c r="S5850">
        <v>5</v>
      </c>
      <c r="T5850">
        <v>598</v>
      </c>
      <c r="U5850" s="1">
        <v>39310</v>
      </c>
      <c r="V5850" t="s">
        <v>80</v>
      </c>
      <c r="W5850" t="s">
        <v>81</v>
      </c>
      <c r="X5850" t="s">
        <v>58</v>
      </c>
      <c r="Y5850">
        <v>23</v>
      </c>
      <c r="Z5850" t="s">
        <v>59</v>
      </c>
      <c r="AA5850" t="s">
        <v>59</v>
      </c>
      <c r="AB5850" t="s">
        <v>59</v>
      </c>
      <c r="AC5850" t="s">
        <v>59</v>
      </c>
      <c r="AD5850" t="s">
        <v>59</v>
      </c>
      <c r="AF5850" s="1">
        <v>39328</v>
      </c>
      <c r="AG5850" t="s">
        <v>8645</v>
      </c>
      <c r="AH5850" t="s">
        <v>8646</v>
      </c>
      <c r="AI5850" t="str">
        <f>"9170239"</f>
        <v>9170239</v>
      </c>
      <c r="AJ5850" t="s">
        <v>8814</v>
      </c>
      <c r="AK5850">
        <v>2897022076</v>
      </c>
      <c r="AL5850" t="s">
        <v>8815</v>
      </c>
      <c r="AM5850" t="s">
        <v>78</v>
      </c>
      <c r="AN5850" t="s">
        <v>219</v>
      </c>
      <c r="AO5850" t="s">
        <v>219</v>
      </c>
      <c r="AP5850" t="s">
        <v>220</v>
      </c>
      <c r="AQ5850">
        <v>8</v>
      </c>
      <c r="AR5850" t="s">
        <v>80</v>
      </c>
      <c r="AS5850" t="s">
        <v>81</v>
      </c>
      <c r="AT5850" t="s">
        <v>58</v>
      </c>
      <c r="AU5850" t="s">
        <v>68</v>
      </c>
      <c r="AV5850" t="s">
        <v>69</v>
      </c>
      <c r="AW5850" s="1">
        <v>31049</v>
      </c>
      <c r="AX5850">
        <v>1</v>
      </c>
    </row>
    <row r="5851" spans="1:50">
      <c r="A5851">
        <v>703431</v>
      </c>
      <c r="B5851" t="str">
        <f>"032785352"</f>
        <v>032785352</v>
      </c>
      <c r="C5851" t="s">
        <v>105</v>
      </c>
      <c r="D5851" t="s">
        <v>10280</v>
      </c>
      <c r="E5851" t="s">
        <v>108</v>
      </c>
      <c r="F5851" t="s">
        <v>166</v>
      </c>
      <c r="G5851" t="s">
        <v>83</v>
      </c>
      <c r="H5851" t="str">
        <f>"Λ. 62 ΜΑΡΤΥΡΩΝ 387 ΗΡΑΚΛΕΙΟ"</f>
        <v>Λ. 62 ΜΑΡΤΥΡΩΝ 387 ΗΡΑΚΛΕΙΟ</v>
      </c>
      <c r="I5851">
        <v>71304</v>
      </c>
      <c r="J5851">
        <v>2810317380</v>
      </c>
      <c r="K5851">
        <v>6977045352</v>
      </c>
      <c r="N5851" t="s">
        <v>615</v>
      </c>
      <c r="O5851" t="s">
        <v>616</v>
      </c>
      <c r="R5851" t="s">
        <v>57</v>
      </c>
      <c r="S5851">
        <v>10</v>
      </c>
      <c r="T5851">
        <v>588</v>
      </c>
      <c r="U5851" s="1">
        <v>40778</v>
      </c>
      <c r="V5851" t="s">
        <v>80</v>
      </c>
      <c r="W5851" t="s">
        <v>81</v>
      </c>
      <c r="X5851" t="s">
        <v>58</v>
      </c>
      <c r="Y5851">
        <v>21</v>
      </c>
      <c r="Z5851" t="s">
        <v>59</v>
      </c>
      <c r="AA5851" t="s">
        <v>59</v>
      </c>
      <c r="AB5851" t="s">
        <v>59</v>
      </c>
      <c r="AC5851" t="s">
        <v>59</v>
      </c>
      <c r="AD5851" t="s">
        <v>59</v>
      </c>
      <c r="AF5851" s="1">
        <v>40781</v>
      </c>
      <c r="AG5851" t="s">
        <v>8645</v>
      </c>
      <c r="AH5851" t="s">
        <v>8646</v>
      </c>
      <c r="AI5851" t="str">
        <f>"9170059"</f>
        <v>9170059</v>
      </c>
      <c r="AJ5851" t="s">
        <v>9161</v>
      </c>
      <c r="AK5851">
        <v>2810791244</v>
      </c>
      <c r="AL5851" t="s">
        <v>9162</v>
      </c>
      <c r="AM5851" t="s">
        <v>78</v>
      </c>
      <c r="AN5851" t="s">
        <v>78</v>
      </c>
      <c r="AO5851" t="s">
        <v>195</v>
      </c>
      <c r="AP5851" t="s">
        <v>196</v>
      </c>
      <c r="AQ5851">
        <v>3</v>
      </c>
      <c r="AR5851" t="s">
        <v>80</v>
      </c>
      <c r="AS5851" t="s">
        <v>81</v>
      </c>
      <c r="AT5851" t="s">
        <v>58</v>
      </c>
      <c r="AU5851" t="s">
        <v>68</v>
      </c>
      <c r="AV5851" t="s">
        <v>69</v>
      </c>
      <c r="AW5851" s="1">
        <v>23764</v>
      </c>
      <c r="AX5851">
        <v>1</v>
      </c>
    </row>
    <row r="5852" spans="1:50">
      <c r="B5852" t="str">
        <f>"103532824"</f>
        <v>103532824</v>
      </c>
      <c r="C5852" t="s">
        <v>50</v>
      </c>
      <c r="D5852" t="s">
        <v>10281</v>
      </c>
      <c r="E5852" t="s">
        <v>600</v>
      </c>
      <c r="F5852" t="s">
        <v>84</v>
      </c>
      <c r="G5852" t="s">
        <v>6196</v>
      </c>
      <c r="H5852" t="str">
        <f>"Λ. ΚΝΩΣΣΟΥ 256  "</f>
        <v xml:space="preserve">Λ. ΚΝΩΣΣΟΥ 256  </v>
      </c>
      <c r="I5852">
        <v>71409</v>
      </c>
      <c r="J5852">
        <v>2810237224</v>
      </c>
      <c r="K5852">
        <v>6977201268</v>
      </c>
      <c r="N5852" t="s">
        <v>1525</v>
      </c>
      <c r="O5852" t="s">
        <v>1526</v>
      </c>
      <c r="R5852" t="s">
        <v>159</v>
      </c>
      <c r="S5852">
        <v>4</v>
      </c>
      <c r="T5852" t="s">
        <v>8670</v>
      </c>
      <c r="U5852" s="1">
        <v>43348</v>
      </c>
      <c r="V5852" t="s">
        <v>80</v>
      </c>
      <c r="W5852" t="s">
        <v>81</v>
      </c>
      <c r="X5852" t="s">
        <v>58</v>
      </c>
      <c r="Y5852">
        <v>25</v>
      </c>
      <c r="Z5852" t="s">
        <v>59</v>
      </c>
      <c r="AA5852" t="s">
        <v>59</v>
      </c>
      <c r="AB5852" t="s">
        <v>59</v>
      </c>
      <c r="AC5852" t="s">
        <v>59</v>
      </c>
      <c r="AD5852" t="s">
        <v>59</v>
      </c>
      <c r="AF5852" s="1">
        <v>43348</v>
      </c>
      <c r="AG5852" t="s">
        <v>8651</v>
      </c>
      <c r="AH5852" t="s">
        <v>8652</v>
      </c>
      <c r="AI5852" t="str">
        <f>"9170541"</f>
        <v>9170541</v>
      </c>
      <c r="AJ5852" t="s">
        <v>9682</v>
      </c>
      <c r="AK5852">
        <v>2810333698</v>
      </c>
      <c r="AL5852" t="s">
        <v>9683</v>
      </c>
      <c r="AM5852" t="s">
        <v>78</v>
      </c>
      <c r="AN5852" t="s">
        <v>78</v>
      </c>
      <c r="AO5852" t="s">
        <v>286</v>
      </c>
      <c r="AP5852" t="s">
        <v>9046</v>
      </c>
      <c r="AQ5852">
        <v>1</v>
      </c>
      <c r="AR5852" t="s">
        <v>80</v>
      </c>
      <c r="AS5852" t="s">
        <v>81</v>
      </c>
      <c r="AT5852" t="s">
        <v>58</v>
      </c>
      <c r="AU5852" t="s">
        <v>8673</v>
      </c>
      <c r="AV5852" t="s">
        <v>132</v>
      </c>
      <c r="AW5852" s="1">
        <v>30416</v>
      </c>
      <c r="AX5852">
        <v>1</v>
      </c>
    </row>
    <row r="5853" spans="1:50">
      <c r="B5853" t="str">
        <f>"133612350"</f>
        <v>133612350</v>
      </c>
      <c r="C5853" t="s">
        <v>50</v>
      </c>
      <c r="D5853" t="s">
        <v>10282</v>
      </c>
      <c r="E5853" t="s">
        <v>10283</v>
      </c>
      <c r="F5853" t="s">
        <v>95</v>
      </c>
      <c r="H5853" t="str">
        <f>" "</f>
        <v xml:space="preserve"> </v>
      </c>
      <c r="N5853" t="s">
        <v>1525</v>
      </c>
      <c r="O5853" t="s">
        <v>1526</v>
      </c>
      <c r="R5853" t="s">
        <v>159</v>
      </c>
      <c r="S5853">
        <v>3</v>
      </c>
      <c r="T5853" t="s">
        <v>8670</v>
      </c>
      <c r="U5853" s="1">
        <v>43348</v>
      </c>
      <c r="V5853" t="s">
        <v>80</v>
      </c>
      <c r="W5853" t="s">
        <v>81</v>
      </c>
      <c r="X5853" t="s">
        <v>58</v>
      </c>
      <c r="Y5853">
        <v>25</v>
      </c>
      <c r="Z5853" t="s">
        <v>59</v>
      </c>
      <c r="AA5853" t="s">
        <v>59</v>
      </c>
      <c r="AB5853" t="s">
        <v>59</v>
      </c>
      <c r="AC5853" t="s">
        <v>59</v>
      </c>
      <c r="AD5853" t="s">
        <v>59</v>
      </c>
      <c r="AF5853" s="1">
        <v>43348</v>
      </c>
      <c r="AG5853" t="s">
        <v>8651</v>
      </c>
      <c r="AH5853" t="s">
        <v>8652</v>
      </c>
      <c r="AI5853" t="str">
        <f>"9170446"</f>
        <v>9170446</v>
      </c>
      <c r="AJ5853" t="s">
        <v>10284</v>
      </c>
      <c r="AK5853">
        <v>2810771820</v>
      </c>
      <c r="AL5853" t="s">
        <v>10285</v>
      </c>
      <c r="AM5853" t="s">
        <v>78</v>
      </c>
      <c r="AN5853" t="s">
        <v>219</v>
      </c>
      <c r="AO5853" t="s">
        <v>1437</v>
      </c>
      <c r="AP5853" t="s">
        <v>10286</v>
      </c>
      <c r="AQ5853">
        <v>7</v>
      </c>
      <c r="AR5853" t="s">
        <v>80</v>
      </c>
      <c r="AS5853" t="s">
        <v>81</v>
      </c>
      <c r="AT5853" t="s">
        <v>58</v>
      </c>
      <c r="AU5853" t="s">
        <v>8673</v>
      </c>
      <c r="AV5853" t="s">
        <v>132</v>
      </c>
      <c r="AW5853" s="1">
        <v>30522</v>
      </c>
      <c r="AX5853">
        <v>1</v>
      </c>
    </row>
    <row r="5854" spans="1:50">
      <c r="A5854">
        <v>621136</v>
      </c>
      <c r="B5854" t="str">
        <f>"138968804"</f>
        <v>138968804</v>
      </c>
      <c r="C5854" t="s">
        <v>50</v>
      </c>
      <c r="D5854" t="s">
        <v>10287</v>
      </c>
      <c r="E5854" t="s">
        <v>237</v>
      </c>
      <c r="F5854" t="s">
        <v>10288</v>
      </c>
      <c r="G5854" t="s">
        <v>52</v>
      </c>
      <c r="H5854" t="str">
        <f>"ΠΑΠΑΠΕΤΡΟΥ ΓΑΒΑΛΑ 78 ΗΡΑΚΛΕΙΟ"</f>
        <v>ΠΑΠΑΠΕΤΡΟΥ ΓΑΒΑΛΑ 78 ΗΡΑΚΛΕΙΟ</v>
      </c>
      <c r="I5854">
        <v>71409</v>
      </c>
      <c r="J5854">
        <v>2810232245</v>
      </c>
      <c r="K5854">
        <v>6946763624</v>
      </c>
      <c r="N5854" t="s">
        <v>615</v>
      </c>
      <c r="O5854" t="s">
        <v>616</v>
      </c>
      <c r="P5854" t="s">
        <v>146</v>
      </c>
      <c r="Q5854" t="s">
        <v>147</v>
      </c>
      <c r="R5854" t="s">
        <v>57</v>
      </c>
      <c r="S5854">
        <v>6</v>
      </c>
      <c r="T5854">
        <v>653</v>
      </c>
      <c r="U5854" s="1">
        <v>40043</v>
      </c>
      <c r="V5854" t="s">
        <v>80</v>
      </c>
      <c r="W5854" t="s">
        <v>81</v>
      </c>
      <c r="X5854" t="s">
        <v>58</v>
      </c>
      <c r="Y5854">
        <v>23</v>
      </c>
      <c r="Z5854" t="s">
        <v>59</v>
      </c>
      <c r="AA5854" t="s">
        <v>59</v>
      </c>
      <c r="AB5854" t="s">
        <v>59</v>
      </c>
      <c r="AC5854" t="s">
        <v>59</v>
      </c>
      <c r="AD5854" t="s">
        <v>59</v>
      </c>
      <c r="AF5854" s="1">
        <v>40043</v>
      </c>
      <c r="AG5854" t="s">
        <v>8645</v>
      </c>
      <c r="AH5854" t="s">
        <v>8646</v>
      </c>
      <c r="AI5854" t="str">
        <f>"9170547"</f>
        <v>9170547</v>
      </c>
      <c r="AJ5854" t="s">
        <v>9175</v>
      </c>
      <c r="AK5854">
        <v>2810250886</v>
      </c>
      <c r="AL5854" t="s">
        <v>9176</v>
      </c>
      <c r="AM5854" t="s">
        <v>78</v>
      </c>
      <c r="AN5854" t="s">
        <v>78</v>
      </c>
      <c r="AO5854" t="s">
        <v>78</v>
      </c>
      <c r="AP5854" t="s">
        <v>141</v>
      </c>
      <c r="AQ5854">
        <v>1</v>
      </c>
      <c r="AR5854" t="s">
        <v>80</v>
      </c>
      <c r="AS5854" t="s">
        <v>81</v>
      </c>
      <c r="AT5854" t="s">
        <v>58</v>
      </c>
      <c r="AU5854" t="s">
        <v>68</v>
      </c>
      <c r="AV5854" t="s">
        <v>69</v>
      </c>
      <c r="AW5854" s="1">
        <v>31520</v>
      </c>
      <c r="AX5854">
        <v>1</v>
      </c>
    </row>
    <row r="5855" spans="1:50">
      <c r="A5855">
        <v>617337</v>
      </c>
      <c r="B5855" t="str">
        <f>"125578014"</f>
        <v>125578014</v>
      </c>
      <c r="C5855" t="s">
        <v>105</v>
      </c>
      <c r="D5855" t="s">
        <v>10289</v>
      </c>
      <c r="E5855" t="s">
        <v>95</v>
      </c>
      <c r="F5855" t="s">
        <v>10288</v>
      </c>
      <c r="G5855" t="s">
        <v>52</v>
      </c>
      <c r="H5855" t="str">
        <f>"ΠΑΠΑΠΕΤΡΟΥ ΓΑΒΑΛΑ 78 ΗΡΑΚΛΕΙΟ"</f>
        <v>ΠΑΠΑΠΕΤΡΟΥ ΓΑΒΑΛΑ 78 ΗΡΑΚΛΕΙΟ</v>
      </c>
      <c r="I5855">
        <v>71409</v>
      </c>
      <c r="J5855">
        <v>2810232245</v>
      </c>
      <c r="K5855">
        <v>6947314472</v>
      </c>
      <c r="M5855" t="s">
        <v>10290</v>
      </c>
      <c r="N5855" t="s">
        <v>615</v>
      </c>
      <c r="O5855" t="s">
        <v>616</v>
      </c>
      <c r="R5855" t="s">
        <v>57</v>
      </c>
      <c r="S5855">
        <v>8</v>
      </c>
      <c r="T5855">
        <v>774</v>
      </c>
      <c r="U5855" s="1">
        <v>39680</v>
      </c>
      <c r="V5855" t="s">
        <v>80</v>
      </c>
      <c r="W5855" t="s">
        <v>81</v>
      </c>
      <c r="X5855" t="s">
        <v>58</v>
      </c>
      <c r="Y5855">
        <v>23</v>
      </c>
      <c r="Z5855" t="s">
        <v>59</v>
      </c>
      <c r="AA5855" t="s">
        <v>59</v>
      </c>
      <c r="AB5855" t="s">
        <v>59</v>
      </c>
      <c r="AC5855" t="s">
        <v>59</v>
      </c>
      <c r="AD5855" t="s">
        <v>59</v>
      </c>
      <c r="AF5855" s="1">
        <v>39681</v>
      </c>
      <c r="AG5855" t="s">
        <v>8645</v>
      </c>
      <c r="AH5855" t="s">
        <v>8646</v>
      </c>
      <c r="AI5855" t="str">
        <f>"9170546"</f>
        <v>9170546</v>
      </c>
      <c r="AJ5855" t="s">
        <v>8953</v>
      </c>
      <c r="AK5855">
        <v>2810261362</v>
      </c>
      <c r="AL5855" t="s">
        <v>8954</v>
      </c>
      <c r="AM5855" t="s">
        <v>78</v>
      </c>
      <c r="AN5855" t="s">
        <v>78</v>
      </c>
      <c r="AO5855" t="s">
        <v>78</v>
      </c>
      <c r="AP5855" t="s">
        <v>141</v>
      </c>
      <c r="AQ5855">
        <v>1</v>
      </c>
      <c r="AR5855" t="s">
        <v>80</v>
      </c>
      <c r="AS5855" t="s">
        <v>81</v>
      </c>
      <c r="AT5855" t="s">
        <v>58</v>
      </c>
      <c r="AU5855" t="s">
        <v>68</v>
      </c>
      <c r="AV5855" t="s">
        <v>69</v>
      </c>
      <c r="AW5855" s="1">
        <v>30270</v>
      </c>
      <c r="AX5855">
        <v>1</v>
      </c>
    </row>
    <row r="5856" spans="1:50">
      <c r="A5856">
        <v>555479</v>
      </c>
      <c r="B5856" t="str">
        <f>"064485417"</f>
        <v>064485417</v>
      </c>
      <c r="C5856" t="s">
        <v>50</v>
      </c>
      <c r="D5856" t="s">
        <v>10291</v>
      </c>
      <c r="E5856" t="s">
        <v>54</v>
      </c>
      <c r="F5856" t="s">
        <v>72</v>
      </c>
      <c r="G5856" t="s">
        <v>52</v>
      </c>
      <c r="H5856" t="str">
        <f>" "</f>
        <v xml:space="preserve"> </v>
      </c>
      <c r="K5856">
        <v>6977583538</v>
      </c>
      <c r="N5856" t="s">
        <v>615</v>
      </c>
      <c r="O5856" t="s">
        <v>616</v>
      </c>
      <c r="R5856" t="s">
        <v>57</v>
      </c>
      <c r="S5856">
        <v>19</v>
      </c>
      <c r="T5856">
        <v>200</v>
      </c>
      <c r="U5856" s="1">
        <v>31657</v>
      </c>
      <c r="V5856" t="s">
        <v>80</v>
      </c>
      <c r="W5856" t="s">
        <v>81</v>
      </c>
      <c r="X5856" t="s">
        <v>58</v>
      </c>
      <c r="Y5856">
        <v>21</v>
      </c>
      <c r="Z5856" t="s">
        <v>59</v>
      </c>
      <c r="AA5856" t="s">
        <v>59</v>
      </c>
      <c r="AB5856" t="s">
        <v>59</v>
      </c>
      <c r="AC5856" t="s">
        <v>59</v>
      </c>
      <c r="AD5856" t="s">
        <v>59</v>
      </c>
      <c r="AF5856" s="1">
        <v>31665</v>
      </c>
      <c r="AG5856" t="s">
        <v>8645</v>
      </c>
      <c r="AH5856" t="s">
        <v>8646</v>
      </c>
      <c r="AI5856" t="str">
        <f>"9170517"</f>
        <v>9170517</v>
      </c>
      <c r="AJ5856" t="s">
        <v>9248</v>
      </c>
      <c r="AK5856">
        <v>2810238757</v>
      </c>
      <c r="AL5856" t="s">
        <v>9249</v>
      </c>
      <c r="AM5856" t="s">
        <v>78</v>
      </c>
      <c r="AN5856" t="s">
        <v>78</v>
      </c>
      <c r="AO5856" t="s">
        <v>78</v>
      </c>
      <c r="AP5856" t="s">
        <v>163</v>
      </c>
      <c r="AQ5856">
        <v>1</v>
      </c>
      <c r="AR5856" t="s">
        <v>80</v>
      </c>
      <c r="AS5856" t="s">
        <v>81</v>
      </c>
      <c r="AT5856" t="s">
        <v>58</v>
      </c>
      <c r="AU5856" t="s">
        <v>68</v>
      </c>
      <c r="AV5856" t="s">
        <v>69</v>
      </c>
      <c r="AW5856" s="1">
        <v>23281</v>
      </c>
      <c r="AX5856">
        <v>1</v>
      </c>
    </row>
    <row r="5857" spans="1:50">
      <c r="B5857" t="str">
        <f>"132957225"</f>
        <v>132957225</v>
      </c>
      <c r="C5857" t="s">
        <v>50</v>
      </c>
      <c r="D5857" t="s">
        <v>2170</v>
      </c>
      <c r="E5857" t="s">
        <v>83</v>
      </c>
      <c r="F5857" t="s">
        <v>95</v>
      </c>
      <c r="G5857" t="s">
        <v>52</v>
      </c>
      <c r="H5857" t="str">
        <f>"ΜΑΣΤΡΑΧΑ 9 ΗΡΑΚΛΕΙΟ"</f>
        <v>ΜΑΣΤΡΑΧΑ 9 ΗΡΑΚΛΕΙΟ</v>
      </c>
      <c r="I5857">
        <v>71202</v>
      </c>
      <c r="J5857">
        <v>2810283742</v>
      </c>
      <c r="K5857">
        <v>6934646435</v>
      </c>
      <c r="N5857" t="s">
        <v>306</v>
      </c>
      <c r="O5857" t="s">
        <v>307</v>
      </c>
      <c r="R5857" t="s">
        <v>159</v>
      </c>
      <c r="S5857">
        <v>4</v>
      </c>
      <c r="T5857" t="s">
        <v>9034</v>
      </c>
      <c r="U5857" s="1">
        <v>43377</v>
      </c>
      <c r="V5857" t="s">
        <v>80</v>
      </c>
      <c r="W5857" t="s">
        <v>81</v>
      </c>
      <c r="X5857" t="s">
        <v>58</v>
      </c>
      <c r="Y5857">
        <v>14</v>
      </c>
      <c r="Z5857" t="s">
        <v>59</v>
      </c>
      <c r="AA5857" t="s">
        <v>59</v>
      </c>
      <c r="AB5857" t="s">
        <v>59</v>
      </c>
      <c r="AC5857" t="s">
        <v>59</v>
      </c>
      <c r="AD5857" t="s">
        <v>59</v>
      </c>
      <c r="AF5857" s="1">
        <v>43377</v>
      </c>
      <c r="AG5857" t="s">
        <v>8645</v>
      </c>
      <c r="AH5857" t="s">
        <v>8646</v>
      </c>
      <c r="AI5857" t="str">
        <f>"9170282"</f>
        <v>9170282</v>
      </c>
      <c r="AJ5857" t="s">
        <v>8938</v>
      </c>
      <c r="AK5857">
        <v>2892022120</v>
      </c>
      <c r="AL5857" t="s">
        <v>8939</v>
      </c>
      <c r="AM5857" t="s">
        <v>78</v>
      </c>
      <c r="AN5857" t="s">
        <v>242</v>
      </c>
      <c r="AO5857" t="s">
        <v>243</v>
      </c>
      <c r="AP5857" t="s">
        <v>8940</v>
      </c>
      <c r="AQ5857">
        <v>20</v>
      </c>
      <c r="AR5857" t="s">
        <v>80</v>
      </c>
      <c r="AS5857" t="s">
        <v>81</v>
      </c>
      <c r="AT5857" t="s">
        <v>58</v>
      </c>
      <c r="AU5857" t="s">
        <v>8686</v>
      </c>
      <c r="AV5857" t="s">
        <v>132</v>
      </c>
      <c r="AW5857" s="1">
        <v>30699</v>
      </c>
      <c r="AX5857">
        <v>1</v>
      </c>
    </row>
    <row r="5858" spans="1:50">
      <c r="A5858">
        <v>605492</v>
      </c>
      <c r="B5858" t="str">
        <f>"070364962"</f>
        <v>070364962</v>
      </c>
      <c r="C5858" t="s">
        <v>50</v>
      </c>
      <c r="D5858" t="s">
        <v>2170</v>
      </c>
      <c r="E5858" t="s">
        <v>52</v>
      </c>
      <c r="F5858" t="s">
        <v>95</v>
      </c>
      <c r="G5858" t="s">
        <v>250</v>
      </c>
      <c r="H5858" t="str">
        <f>"ΕΘΝΟΜΑΡΤΥΡΩΝ 23 ΗΡΑΚΛΕΙΟ"</f>
        <v>ΕΘΝΟΜΑΡΤΥΡΩΝ 23 ΗΡΑΚΛΕΙΟ</v>
      </c>
      <c r="J5858">
        <v>2813010267</v>
      </c>
      <c r="K5858">
        <v>6906945045</v>
      </c>
      <c r="M5858" t="s">
        <v>10292</v>
      </c>
      <c r="N5858" t="s">
        <v>615</v>
      </c>
      <c r="O5858" t="s">
        <v>616</v>
      </c>
      <c r="R5858" t="s">
        <v>57</v>
      </c>
      <c r="S5858">
        <v>7</v>
      </c>
      <c r="T5858">
        <v>231</v>
      </c>
      <c r="U5858" s="1">
        <v>38230</v>
      </c>
      <c r="V5858" t="s">
        <v>80</v>
      </c>
      <c r="W5858" t="s">
        <v>81</v>
      </c>
      <c r="X5858" t="s">
        <v>58</v>
      </c>
      <c r="Y5858">
        <v>22</v>
      </c>
      <c r="Z5858" t="s">
        <v>59</v>
      </c>
      <c r="AA5858" t="s">
        <v>59</v>
      </c>
      <c r="AB5858" t="s">
        <v>59</v>
      </c>
      <c r="AC5858" t="s">
        <v>59</v>
      </c>
      <c r="AD5858" t="s">
        <v>59</v>
      </c>
      <c r="AF5858" s="1">
        <v>38231</v>
      </c>
      <c r="AG5858" t="s">
        <v>8645</v>
      </c>
      <c r="AH5858" t="s">
        <v>8646</v>
      </c>
      <c r="AI5858" t="str">
        <f>"9170192"</f>
        <v>9170192</v>
      </c>
      <c r="AJ5858" t="s">
        <v>8661</v>
      </c>
      <c r="AK5858">
        <v>2810231985</v>
      </c>
      <c r="AL5858" t="s">
        <v>8662</v>
      </c>
      <c r="AM5858" t="s">
        <v>78</v>
      </c>
      <c r="AN5858" t="s">
        <v>78</v>
      </c>
      <c r="AO5858" t="s">
        <v>78</v>
      </c>
      <c r="AP5858" t="s">
        <v>163</v>
      </c>
      <c r="AQ5858">
        <v>1</v>
      </c>
      <c r="AR5858" t="s">
        <v>80</v>
      </c>
      <c r="AS5858" t="s">
        <v>81</v>
      </c>
      <c r="AT5858" t="s">
        <v>58</v>
      </c>
      <c r="AU5858" t="s">
        <v>68</v>
      </c>
      <c r="AV5858" t="s">
        <v>69</v>
      </c>
      <c r="AW5858" s="1">
        <v>27989</v>
      </c>
      <c r="AX5858">
        <v>1</v>
      </c>
    </row>
    <row r="5859" spans="1:50">
      <c r="A5859">
        <v>597156</v>
      </c>
      <c r="B5859" t="str">
        <f>"063595590"</f>
        <v>063595590</v>
      </c>
      <c r="C5859" t="s">
        <v>50</v>
      </c>
      <c r="D5859" t="s">
        <v>2170</v>
      </c>
      <c r="E5859" t="s">
        <v>52</v>
      </c>
      <c r="F5859" t="s">
        <v>72</v>
      </c>
      <c r="G5859" t="s">
        <v>1001</v>
      </c>
      <c r="H5859" t="str">
        <f>"ΕΜΜΑΝΟΥΗΛ ΜΑΝΤΑΛΕΝΑΚΗ 7 ΗΡΑΚΛΕΙΟ"</f>
        <v>ΕΜΜΑΝΟΥΗΛ ΜΑΝΤΑΛΕΝΑΚΗ 7 ΗΡΑΚΛΕΙΟ</v>
      </c>
      <c r="I5859">
        <v>71305</v>
      </c>
      <c r="J5859">
        <v>2810261929</v>
      </c>
      <c r="K5859">
        <v>6932739316</v>
      </c>
      <c r="N5859" t="s">
        <v>1525</v>
      </c>
      <c r="O5859" t="s">
        <v>1526</v>
      </c>
      <c r="R5859" t="s">
        <v>57</v>
      </c>
      <c r="S5859">
        <v>9</v>
      </c>
      <c r="T5859">
        <v>195</v>
      </c>
      <c r="U5859" s="1">
        <v>37497</v>
      </c>
      <c r="V5859" t="s">
        <v>80</v>
      </c>
      <c r="W5859" t="s">
        <v>81</v>
      </c>
      <c r="X5859" t="s">
        <v>58</v>
      </c>
      <c r="Y5859">
        <v>25</v>
      </c>
      <c r="Z5859" t="s">
        <v>59</v>
      </c>
      <c r="AA5859" t="s">
        <v>59</v>
      </c>
      <c r="AB5859" t="s">
        <v>59</v>
      </c>
      <c r="AC5859" t="s">
        <v>59</v>
      </c>
      <c r="AD5859" t="s">
        <v>59</v>
      </c>
      <c r="AF5859" s="1">
        <v>37502</v>
      </c>
      <c r="AG5859" t="s">
        <v>8651</v>
      </c>
      <c r="AH5859" t="s">
        <v>8652</v>
      </c>
      <c r="AI5859" t="str">
        <f>"9170506"</f>
        <v>9170506</v>
      </c>
      <c r="AJ5859" t="s">
        <v>8758</v>
      </c>
      <c r="AK5859">
        <v>2810312448</v>
      </c>
      <c r="AL5859" t="s">
        <v>8759</v>
      </c>
      <c r="AM5859" t="s">
        <v>78</v>
      </c>
      <c r="AN5859" t="s">
        <v>78</v>
      </c>
      <c r="AO5859" t="s">
        <v>78</v>
      </c>
      <c r="AP5859" t="s">
        <v>141</v>
      </c>
      <c r="AQ5859">
        <v>1</v>
      </c>
      <c r="AR5859" t="s">
        <v>80</v>
      </c>
      <c r="AS5859" t="s">
        <v>81</v>
      </c>
      <c r="AT5859" t="s">
        <v>58</v>
      </c>
      <c r="AU5859" t="s">
        <v>68</v>
      </c>
      <c r="AV5859" t="s">
        <v>69</v>
      </c>
      <c r="AW5859" s="1">
        <v>27246</v>
      </c>
      <c r="AX5859">
        <v>1</v>
      </c>
    </row>
    <row r="5860" spans="1:50">
      <c r="B5860" t="str">
        <f>"150439571"</f>
        <v>150439571</v>
      </c>
      <c r="C5860" t="s">
        <v>50</v>
      </c>
      <c r="D5860" t="s">
        <v>2170</v>
      </c>
      <c r="E5860" t="s">
        <v>54</v>
      </c>
      <c r="F5860" t="s">
        <v>95</v>
      </c>
      <c r="G5860" t="s">
        <v>52</v>
      </c>
      <c r="H5860" t="str">
        <f>"ΜΑΣΤΡΑΧΑ 9 ΗΡΑΚΛΕΙΟ"</f>
        <v>ΜΑΣΤΡΑΧΑ 9 ΗΡΑΚΛΕΙΟ</v>
      </c>
      <c r="I5860">
        <v>71202</v>
      </c>
      <c r="J5860">
        <v>2810283742</v>
      </c>
      <c r="K5860">
        <v>6947744796</v>
      </c>
      <c r="N5860" t="s">
        <v>615</v>
      </c>
      <c r="O5860" t="s">
        <v>616</v>
      </c>
      <c r="R5860" t="s">
        <v>159</v>
      </c>
      <c r="S5860">
        <v>2</v>
      </c>
      <c r="T5860" t="s">
        <v>8675</v>
      </c>
      <c r="U5860" s="1">
        <v>43348</v>
      </c>
      <c r="V5860" t="s">
        <v>80</v>
      </c>
      <c r="W5860" t="s">
        <v>81</v>
      </c>
      <c r="X5860" t="s">
        <v>58</v>
      </c>
      <c r="Y5860">
        <v>24</v>
      </c>
      <c r="Z5860" t="s">
        <v>59</v>
      </c>
      <c r="AA5860" t="s">
        <v>59</v>
      </c>
      <c r="AB5860" t="s">
        <v>59</v>
      </c>
      <c r="AC5860" t="s">
        <v>59</v>
      </c>
      <c r="AD5860" t="s">
        <v>59</v>
      </c>
      <c r="AF5860" s="1">
        <v>43348</v>
      </c>
      <c r="AG5860" t="s">
        <v>8645</v>
      </c>
      <c r="AH5860" t="s">
        <v>8646</v>
      </c>
      <c r="AI5860" t="str">
        <f>"9170132"</f>
        <v>9170132</v>
      </c>
      <c r="AJ5860" t="s">
        <v>9010</v>
      </c>
      <c r="AK5860">
        <v>2895022233</v>
      </c>
      <c r="AL5860" t="s">
        <v>9011</v>
      </c>
      <c r="AM5860" t="s">
        <v>78</v>
      </c>
      <c r="AN5860" t="s">
        <v>482</v>
      </c>
      <c r="AO5860" t="s">
        <v>482</v>
      </c>
      <c r="AP5860" t="s">
        <v>483</v>
      </c>
      <c r="AQ5860">
        <v>14</v>
      </c>
      <c r="AR5860" t="s">
        <v>80</v>
      </c>
      <c r="AS5860" t="s">
        <v>81</v>
      </c>
      <c r="AT5860" t="s">
        <v>58</v>
      </c>
      <c r="AU5860" t="s">
        <v>8673</v>
      </c>
      <c r="AV5860" t="s">
        <v>132</v>
      </c>
      <c r="AW5860" s="1">
        <v>32577</v>
      </c>
      <c r="AX5860">
        <v>1</v>
      </c>
    </row>
    <row r="5861" spans="1:50">
      <c r="A5861">
        <v>573906</v>
      </c>
      <c r="B5861" t="str">
        <f>"031323530"</f>
        <v>031323530</v>
      </c>
      <c r="C5861" t="s">
        <v>105</v>
      </c>
      <c r="D5861" t="s">
        <v>2172</v>
      </c>
      <c r="E5861" t="s">
        <v>166</v>
      </c>
      <c r="F5861" t="s">
        <v>95</v>
      </c>
      <c r="G5861" t="s">
        <v>1367</v>
      </c>
      <c r="H5861" t="str">
        <f>" "</f>
        <v xml:space="preserve"> </v>
      </c>
      <c r="K5861">
        <v>6973317066</v>
      </c>
      <c r="N5861" t="s">
        <v>615</v>
      </c>
      <c r="O5861" t="s">
        <v>616</v>
      </c>
      <c r="R5861" t="s">
        <v>57</v>
      </c>
      <c r="S5861">
        <v>12</v>
      </c>
      <c r="T5861">
        <v>160</v>
      </c>
      <c r="U5861" s="1">
        <v>34582</v>
      </c>
      <c r="V5861" t="s">
        <v>80</v>
      </c>
      <c r="W5861" t="s">
        <v>81</v>
      </c>
      <c r="X5861" t="s">
        <v>58</v>
      </c>
      <c r="Y5861">
        <v>25</v>
      </c>
      <c r="Z5861" t="s">
        <v>59</v>
      </c>
      <c r="AA5861" t="s">
        <v>59</v>
      </c>
      <c r="AB5861" t="s">
        <v>59</v>
      </c>
      <c r="AC5861" t="s">
        <v>59</v>
      </c>
      <c r="AD5861" t="s">
        <v>59</v>
      </c>
      <c r="AF5861" s="1">
        <v>34759</v>
      </c>
      <c r="AG5861" t="s">
        <v>8645</v>
      </c>
      <c r="AH5861" t="s">
        <v>8697</v>
      </c>
      <c r="AI5861" t="str">
        <f>"9170566"</f>
        <v>9170566</v>
      </c>
      <c r="AJ5861" t="s">
        <v>10293</v>
      </c>
      <c r="AK5861">
        <v>2810230139</v>
      </c>
      <c r="AL5861" t="s">
        <v>10294</v>
      </c>
      <c r="AM5861" t="s">
        <v>78</v>
      </c>
      <c r="AN5861" t="s">
        <v>78</v>
      </c>
      <c r="AO5861" t="s">
        <v>78</v>
      </c>
      <c r="AP5861" t="s">
        <v>163</v>
      </c>
      <c r="AQ5861">
        <v>1</v>
      </c>
      <c r="AR5861" t="s">
        <v>80</v>
      </c>
      <c r="AS5861" t="s">
        <v>81</v>
      </c>
      <c r="AT5861" t="s">
        <v>58</v>
      </c>
      <c r="AU5861" t="s">
        <v>68</v>
      </c>
      <c r="AV5861" t="s">
        <v>69</v>
      </c>
      <c r="AW5861" s="1">
        <v>24475</v>
      </c>
      <c r="AX5861">
        <v>1</v>
      </c>
    </row>
    <row r="5862" spans="1:50">
      <c r="A5862">
        <v>614976</v>
      </c>
      <c r="B5862" t="str">
        <f>"132488152"</f>
        <v>132488152</v>
      </c>
      <c r="C5862" t="s">
        <v>50</v>
      </c>
      <c r="D5862" t="s">
        <v>10295</v>
      </c>
      <c r="E5862" t="s">
        <v>7450</v>
      </c>
      <c r="F5862" t="s">
        <v>72</v>
      </c>
      <c r="G5862" t="s">
        <v>714</v>
      </c>
      <c r="H5862" t="str">
        <f>"ΛΥΚΟΥΡΓΟΥ 10  ΚΑΡΔΙΤΣΑ"</f>
        <v>ΛΥΚΟΥΡΓΟΥ 10  ΚΑΡΔΙΤΣΑ</v>
      </c>
      <c r="I5862">
        <v>43100</v>
      </c>
      <c r="J5862">
        <v>2441028131</v>
      </c>
      <c r="K5862">
        <v>6974928865</v>
      </c>
      <c r="L5862">
        <v>2811102159</v>
      </c>
      <c r="M5862" t="s">
        <v>10296</v>
      </c>
      <c r="N5862" t="s">
        <v>615</v>
      </c>
      <c r="O5862" t="s">
        <v>616</v>
      </c>
      <c r="R5862" t="s">
        <v>57</v>
      </c>
      <c r="S5862">
        <v>6</v>
      </c>
      <c r="T5862">
        <v>598</v>
      </c>
      <c r="U5862" s="1">
        <v>39310</v>
      </c>
      <c r="V5862" t="s">
        <v>80</v>
      </c>
      <c r="W5862" t="s">
        <v>81</v>
      </c>
      <c r="X5862" t="s">
        <v>58</v>
      </c>
      <c r="Y5862">
        <v>23</v>
      </c>
      <c r="Z5862" t="s">
        <v>59</v>
      </c>
      <c r="AA5862" t="s">
        <v>59</v>
      </c>
      <c r="AB5862" t="s">
        <v>59</v>
      </c>
      <c r="AC5862" t="s">
        <v>59</v>
      </c>
      <c r="AD5862" t="s">
        <v>59</v>
      </c>
      <c r="AF5862" s="1">
        <v>39328</v>
      </c>
      <c r="AG5862" t="s">
        <v>8645</v>
      </c>
      <c r="AH5862" t="s">
        <v>8646</v>
      </c>
      <c r="AI5862" t="str">
        <f>"9521411"</f>
        <v>9521411</v>
      </c>
      <c r="AJ5862" t="s">
        <v>9007</v>
      </c>
      <c r="AK5862">
        <v>2810824954</v>
      </c>
      <c r="AL5862" t="s">
        <v>9008</v>
      </c>
      <c r="AM5862" t="s">
        <v>78</v>
      </c>
      <c r="AN5862" t="s">
        <v>129</v>
      </c>
      <c r="AO5862" t="s">
        <v>130</v>
      </c>
      <c r="AP5862" t="s">
        <v>130</v>
      </c>
      <c r="AQ5862">
        <v>1</v>
      </c>
      <c r="AR5862" t="s">
        <v>80</v>
      </c>
      <c r="AS5862" t="s">
        <v>81</v>
      </c>
      <c r="AT5862" t="s">
        <v>58</v>
      </c>
      <c r="AU5862" t="s">
        <v>68</v>
      </c>
      <c r="AV5862" t="s">
        <v>69</v>
      </c>
      <c r="AW5862" s="1">
        <v>30660</v>
      </c>
      <c r="AX5862">
        <v>1</v>
      </c>
    </row>
    <row r="5863" spans="1:50">
      <c r="B5863" t="str">
        <f>"151268290"</f>
        <v>151268290</v>
      </c>
      <c r="C5863" t="s">
        <v>50</v>
      </c>
      <c r="D5863" t="s">
        <v>10297</v>
      </c>
      <c r="E5863" t="s">
        <v>809</v>
      </c>
      <c r="F5863" t="s">
        <v>72</v>
      </c>
      <c r="G5863" t="s">
        <v>109</v>
      </c>
      <c r="H5863" t="str">
        <f>"ΑΓΙΕΣ ΠΑΡΑΣΚΙΕΣ "</f>
        <v xml:space="preserve">ΑΓΙΕΣ ΠΑΡΑΣΚΙΕΣ </v>
      </c>
      <c r="I5863">
        <v>70100</v>
      </c>
      <c r="K5863">
        <v>6940657564</v>
      </c>
      <c r="N5863" t="s">
        <v>683</v>
      </c>
      <c r="O5863" t="s">
        <v>684</v>
      </c>
      <c r="R5863" t="s">
        <v>159</v>
      </c>
      <c r="S5863">
        <v>1</v>
      </c>
      <c r="T5863" t="s">
        <v>8675</v>
      </c>
      <c r="U5863" s="1">
        <v>43348</v>
      </c>
      <c r="V5863" t="s">
        <v>80</v>
      </c>
      <c r="W5863" t="s">
        <v>81</v>
      </c>
      <c r="X5863" t="s">
        <v>58</v>
      </c>
      <c r="Y5863">
        <v>24</v>
      </c>
      <c r="Z5863" t="s">
        <v>59</v>
      </c>
      <c r="AA5863" t="s">
        <v>59</v>
      </c>
      <c r="AB5863" t="s">
        <v>59</v>
      </c>
      <c r="AD5863" t="s">
        <v>59</v>
      </c>
      <c r="AF5863" s="1">
        <v>43348</v>
      </c>
      <c r="AG5863" t="s">
        <v>8645</v>
      </c>
      <c r="AH5863" t="s">
        <v>8646</v>
      </c>
      <c r="AI5863" t="str">
        <f>"9170194"</f>
        <v>9170194</v>
      </c>
      <c r="AJ5863" t="s">
        <v>8768</v>
      </c>
      <c r="AK5863">
        <v>2810239611</v>
      </c>
      <c r="AL5863" t="s">
        <v>8769</v>
      </c>
      <c r="AM5863" t="s">
        <v>78</v>
      </c>
      <c r="AN5863" t="s">
        <v>78</v>
      </c>
      <c r="AO5863" t="s">
        <v>78</v>
      </c>
      <c r="AP5863" t="s">
        <v>213</v>
      </c>
      <c r="AQ5863">
        <v>1</v>
      </c>
      <c r="AR5863" t="s">
        <v>80</v>
      </c>
      <c r="AS5863" t="s">
        <v>81</v>
      </c>
      <c r="AT5863" t="s">
        <v>58</v>
      </c>
      <c r="AU5863" t="s">
        <v>8673</v>
      </c>
      <c r="AV5863" t="s">
        <v>132</v>
      </c>
      <c r="AW5863" s="1">
        <v>32283</v>
      </c>
      <c r="AX5863">
        <v>1</v>
      </c>
    </row>
    <row r="5864" spans="1:50">
      <c r="A5864">
        <v>606611</v>
      </c>
      <c r="B5864" t="str">
        <f>"114279900"</f>
        <v>114279900</v>
      </c>
      <c r="C5864" t="s">
        <v>50</v>
      </c>
      <c r="D5864" t="s">
        <v>2176</v>
      </c>
      <c r="E5864" t="s">
        <v>52</v>
      </c>
      <c r="F5864" t="s">
        <v>450</v>
      </c>
      <c r="G5864" t="s">
        <v>54</v>
      </c>
      <c r="H5864" t="str">
        <f>"62 ΜΑΡΤΥΡΩΝ 387 ΗΡΑΚΛΕΙΟ"</f>
        <v>62 ΜΑΡΤΥΡΩΝ 387 ΗΡΑΚΛΕΙΟ</v>
      </c>
      <c r="I5864">
        <v>71304</v>
      </c>
      <c r="J5864">
        <v>2810317380</v>
      </c>
      <c r="K5864">
        <v>6978196501</v>
      </c>
      <c r="N5864" t="s">
        <v>176</v>
      </c>
      <c r="O5864" t="s">
        <v>177</v>
      </c>
      <c r="R5864" t="s">
        <v>57</v>
      </c>
      <c r="S5864">
        <v>9</v>
      </c>
      <c r="T5864">
        <v>231</v>
      </c>
      <c r="U5864" s="1">
        <v>38230</v>
      </c>
      <c r="V5864" t="s">
        <v>80</v>
      </c>
      <c r="W5864" t="s">
        <v>81</v>
      </c>
      <c r="X5864" t="s">
        <v>58</v>
      </c>
      <c r="Y5864">
        <v>22</v>
      </c>
      <c r="Z5864" t="s">
        <v>59</v>
      </c>
      <c r="AA5864" t="s">
        <v>59</v>
      </c>
      <c r="AB5864" t="s">
        <v>59</v>
      </c>
      <c r="AC5864" t="s">
        <v>59</v>
      </c>
      <c r="AD5864" t="s">
        <v>59</v>
      </c>
      <c r="AF5864" s="1">
        <v>38231</v>
      </c>
      <c r="AG5864" t="s">
        <v>8645</v>
      </c>
      <c r="AH5864" t="s">
        <v>8646</v>
      </c>
      <c r="AI5864" t="str">
        <f>"9170431"</f>
        <v>9170431</v>
      </c>
      <c r="AJ5864" t="s">
        <v>8658</v>
      </c>
      <c r="AK5864">
        <v>2810250952</v>
      </c>
      <c r="AL5864" t="s">
        <v>8659</v>
      </c>
      <c r="AM5864" t="s">
        <v>78</v>
      </c>
      <c r="AN5864" t="s">
        <v>78</v>
      </c>
      <c r="AO5864" t="s">
        <v>78</v>
      </c>
      <c r="AP5864" t="s">
        <v>141</v>
      </c>
      <c r="AQ5864">
        <v>1</v>
      </c>
      <c r="AR5864" t="s">
        <v>80</v>
      </c>
      <c r="AS5864" t="s">
        <v>81</v>
      </c>
      <c r="AT5864" t="s">
        <v>58</v>
      </c>
      <c r="AU5864" t="s">
        <v>68</v>
      </c>
      <c r="AV5864" t="s">
        <v>69</v>
      </c>
      <c r="AW5864" s="1">
        <v>24398</v>
      </c>
      <c r="AX5864">
        <v>1</v>
      </c>
    </row>
    <row r="5865" spans="1:50">
      <c r="A5865">
        <v>612579</v>
      </c>
      <c r="B5865" t="str">
        <f>"061969793"</f>
        <v>061969793</v>
      </c>
      <c r="C5865" t="s">
        <v>50</v>
      </c>
      <c r="D5865" t="s">
        <v>2182</v>
      </c>
      <c r="E5865" t="s">
        <v>255</v>
      </c>
      <c r="F5865" t="s">
        <v>99</v>
      </c>
      <c r="G5865" t="s">
        <v>96</v>
      </c>
      <c r="H5865" t="str">
        <f>"ΜΙΝΩΟΣ 39 ΗΡΑΚΛΕΙΟ"</f>
        <v>ΜΙΝΩΟΣ 39 ΗΡΑΚΛΕΙΟ</v>
      </c>
      <c r="I5865">
        <v>71303</v>
      </c>
      <c r="J5865">
        <v>2810259602</v>
      </c>
      <c r="K5865">
        <v>6977082619</v>
      </c>
      <c r="M5865" t="s">
        <v>10298</v>
      </c>
      <c r="N5865" t="s">
        <v>176</v>
      </c>
      <c r="O5865" t="s">
        <v>177</v>
      </c>
      <c r="R5865" t="s">
        <v>57</v>
      </c>
      <c r="S5865">
        <v>9</v>
      </c>
      <c r="T5865">
        <v>234</v>
      </c>
      <c r="U5865" s="1">
        <v>38960</v>
      </c>
      <c r="V5865" t="s">
        <v>80</v>
      </c>
      <c r="W5865" t="s">
        <v>81</v>
      </c>
      <c r="X5865" t="s">
        <v>58</v>
      </c>
      <c r="Y5865">
        <v>22</v>
      </c>
      <c r="Z5865" t="s">
        <v>59</v>
      </c>
      <c r="AA5865" t="s">
        <v>59</v>
      </c>
      <c r="AB5865" t="s">
        <v>59</v>
      </c>
      <c r="AC5865" t="s">
        <v>59</v>
      </c>
      <c r="AD5865" t="s">
        <v>59</v>
      </c>
      <c r="AF5865" s="1">
        <v>38961</v>
      </c>
      <c r="AG5865" t="s">
        <v>8645</v>
      </c>
      <c r="AH5865" t="s">
        <v>8646</v>
      </c>
      <c r="AI5865" t="str">
        <f>"9170059"</f>
        <v>9170059</v>
      </c>
      <c r="AJ5865" t="s">
        <v>9161</v>
      </c>
      <c r="AK5865">
        <v>2810791244</v>
      </c>
      <c r="AL5865" t="s">
        <v>9162</v>
      </c>
      <c r="AM5865" t="s">
        <v>78</v>
      </c>
      <c r="AN5865" t="s">
        <v>78</v>
      </c>
      <c r="AO5865" t="s">
        <v>195</v>
      </c>
      <c r="AP5865" t="s">
        <v>196</v>
      </c>
      <c r="AQ5865">
        <v>3</v>
      </c>
      <c r="AR5865" t="s">
        <v>80</v>
      </c>
      <c r="AS5865" t="s">
        <v>81</v>
      </c>
      <c r="AT5865" t="s">
        <v>58</v>
      </c>
      <c r="AU5865" t="s">
        <v>68</v>
      </c>
      <c r="AV5865" t="s">
        <v>69</v>
      </c>
      <c r="AW5865" s="1">
        <v>26396</v>
      </c>
      <c r="AX5865">
        <v>1</v>
      </c>
    </row>
    <row r="5866" spans="1:50">
      <c r="A5866">
        <v>603115</v>
      </c>
      <c r="B5866" t="str">
        <f>"120857260"</f>
        <v>120857260</v>
      </c>
      <c r="C5866" t="s">
        <v>50</v>
      </c>
      <c r="D5866" t="s">
        <v>7537</v>
      </c>
      <c r="E5866" t="s">
        <v>650</v>
      </c>
      <c r="F5866" t="s">
        <v>309</v>
      </c>
      <c r="G5866" t="s">
        <v>143</v>
      </c>
      <c r="H5866" t="str">
        <f>"ΓΙΟΥΧΤΑ -  ΒΑΣΙΛΕΙΕΣ ΒΑΣΙΛΕΙΕΣ"</f>
        <v>ΓΙΟΥΧΤΑ -  ΒΑΣΙΛΕΙΕΣ ΒΑΣΙΛΕΙΕΣ</v>
      </c>
      <c r="I5866">
        <v>71500</v>
      </c>
      <c r="J5866">
        <v>2817701900</v>
      </c>
      <c r="K5866">
        <v>6974709151</v>
      </c>
      <c r="N5866" t="s">
        <v>1525</v>
      </c>
      <c r="O5866" t="s">
        <v>1526</v>
      </c>
      <c r="R5866" t="s">
        <v>57</v>
      </c>
      <c r="S5866">
        <v>9</v>
      </c>
      <c r="T5866">
        <v>207</v>
      </c>
      <c r="U5866" s="1">
        <v>37866</v>
      </c>
      <c r="V5866" t="s">
        <v>80</v>
      </c>
      <c r="W5866" t="s">
        <v>81</v>
      </c>
      <c r="X5866" t="s">
        <v>58</v>
      </c>
      <c r="Y5866">
        <v>25</v>
      </c>
      <c r="Z5866" t="s">
        <v>59</v>
      </c>
      <c r="AA5866" t="s">
        <v>59</v>
      </c>
      <c r="AB5866" t="s">
        <v>59</v>
      </c>
      <c r="AC5866" t="s">
        <v>59</v>
      </c>
      <c r="AD5866" t="s">
        <v>59</v>
      </c>
      <c r="AF5866" s="1">
        <v>37866</v>
      </c>
      <c r="AG5866" t="s">
        <v>8651</v>
      </c>
      <c r="AH5866" t="s">
        <v>8652</v>
      </c>
      <c r="AI5866" t="str">
        <f>"9170449"</f>
        <v>9170449</v>
      </c>
      <c r="AJ5866" t="s">
        <v>10299</v>
      </c>
      <c r="AK5866">
        <v>2810262915</v>
      </c>
      <c r="AL5866" t="s">
        <v>10300</v>
      </c>
      <c r="AM5866" t="s">
        <v>78</v>
      </c>
      <c r="AN5866" t="s">
        <v>78</v>
      </c>
      <c r="AO5866" t="s">
        <v>78</v>
      </c>
      <c r="AP5866" t="s">
        <v>141</v>
      </c>
      <c r="AQ5866">
        <v>1</v>
      </c>
      <c r="AR5866" t="s">
        <v>80</v>
      </c>
      <c r="AS5866" t="s">
        <v>81</v>
      </c>
      <c r="AT5866" t="s">
        <v>58</v>
      </c>
      <c r="AU5866" t="s">
        <v>68</v>
      </c>
      <c r="AV5866" t="s">
        <v>69</v>
      </c>
      <c r="AW5866" s="1">
        <v>29078</v>
      </c>
      <c r="AX5866">
        <v>1</v>
      </c>
    </row>
    <row r="5867" spans="1:50">
      <c r="B5867" t="str">
        <f>"067503537"</f>
        <v>067503537</v>
      </c>
      <c r="C5867" t="s">
        <v>105</v>
      </c>
      <c r="D5867" t="s">
        <v>2183</v>
      </c>
      <c r="E5867" t="s">
        <v>1651</v>
      </c>
      <c r="F5867" t="s">
        <v>1357</v>
      </c>
      <c r="G5867" t="s">
        <v>73</v>
      </c>
      <c r="H5867" t="str">
        <f>"Ανδρέα Παπανδρέου 305 Αμμουδάρα"</f>
        <v>Ανδρέα Παπανδρέου 305 Αμμουδάρα</v>
      </c>
      <c r="J5867">
        <v>2661056262</v>
      </c>
      <c r="K5867">
        <v>6940649974</v>
      </c>
      <c r="N5867" t="s">
        <v>337</v>
      </c>
      <c r="O5867" t="s">
        <v>338</v>
      </c>
      <c r="R5867" t="s">
        <v>159</v>
      </c>
      <c r="S5867">
        <v>3</v>
      </c>
      <c r="T5867" t="s">
        <v>8675</v>
      </c>
      <c r="U5867" s="1">
        <v>43348</v>
      </c>
      <c r="V5867" t="s">
        <v>80</v>
      </c>
      <c r="W5867" t="s">
        <v>81</v>
      </c>
      <c r="X5867" t="s">
        <v>58</v>
      </c>
      <c r="Y5867">
        <v>24</v>
      </c>
      <c r="Z5867" t="s">
        <v>59</v>
      </c>
      <c r="AA5867" t="s">
        <v>59</v>
      </c>
      <c r="AB5867" t="s">
        <v>59</v>
      </c>
      <c r="AC5867" t="s">
        <v>59</v>
      </c>
      <c r="AD5867" t="s">
        <v>59</v>
      </c>
      <c r="AF5867" s="1">
        <v>43348</v>
      </c>
      <c r="AG5867" t="s">
        <v>8645</v>
      </c>
      <c r="AH5867" t="s">
        <v>8646</v>
      </c>
      <c r="AI5867" t="str">
        <f>"9170264"</f>
        <v>9170264</v>
      </c>
      <c r="AJ5867" t="s">
        <v>8718</v>
      </c>
      <c r="AK5867">
        <v>2810332030</v>
      </c>
      <c r="AL5867" t="s">
        <v>8719</v>
      </c>
      <c r="AM5867" t="s">
        <v>78</v>
      </c>
      <c r="AN5867" t="s">
        <v>78</v>
      </c>
      <c r="AO5867" t="s">
        <v>286</v>
      </c>
      <c r="AP5867" t="s">
        <v>286</v>
      </c>
      <c r="AQ5867">
        <v>1</v>
      </c>
      <c r="AR5867" t="s">
        <v>80</v>
      </c>
      <c r="AS5867" t="s">
        <v>81</v>
      </c>
      <c r="AT5867" t="s">
        <v>58</v>
      </c>
      <c r="AU5867" t="s">
        <v>8673</v>
      </c>
      <c r="AV5867" t="s">
        <v>132</v>
      </c>
      <c r="AW5867" s="1">
        <v>30883</v>
      </c>
      <c r="AX5867">
        <v>1</v>
      </c>
    </row>
    <row r="5868" spans="1:50">
      <c r="A5868">
        <v>561128</v>
      </c>
      <c r="B5868" t="str">
        <f>"048296618"</f>
        <v>048296618</v>
      </c>
      <c r="C5868" t="s">
        <v>50</v>
      </c>
      <c r="D5868" t="s">
        <v>2187</v>
      </c>
      <c r="E5868" t="s">
        <v>513</v>
      </c>
      <c r="F5868" t="s">
        <v>3574</v>
      </c>
      <c r="G5868" t="s">
        <v>237</v>
      </c>
      <c r="H5868" t="str">
        <f>"ΙΣΟΤΗΤΑΣ 8 ΗΡΑΚΛΕΙΟ"</f>
        <v>ΙΣΟΤΗΤΑΣ 8 ΗΡΑΚΛΕΙΟ</v>
      </c>
      <c r="I5868">
        <v>71306</v>
      </c>
      <c r="J5868">
        <v>2810320457</v>
      </c>
      <c r="K5868">
        <v>6975851810</v>
      </c>
      <c r="M5868" t="s">
        <v>10301</v>
      </c>
      <c r="N5868" t="s">
        <v>615</v>
      </c>
      <c r="O5868" t="s">
        <v>616</v>
      </c>
      <c r="R5868" t="s">
        <v>57</v>
      </c>
      <c r="S5868">
        <v>16</v>
      </c>
      <c r="T5868">
        <v>159</v>
      </c>
      <c r="U5868" s="1">
        <v>32385</v>
      </c>
      <c r="V5868" t="s">
        <v>80</v>
      </c>
      <c r="W5868" t="s">
        <v>81</v>
      </c>
      <c r="X5868" t="s">
        <v>58</v>
      </c>
      <c r="Y5868">
        <v>21</v>
      </c>
      <c r="Z5868" t="s">
        <v>59</v>
      </c>
      <c r="AA5868" t="s">
        <v>59</v>
      </c>
      <c r="AB5868" t="s">
        <v>59</v>
      </c>
      <c r="AC5868" t="s">
        <v>59</v>
      </c>
      <c r="AD5868" t="s">
        <v>59</v>
      </c>
      <c r="AF5868" s="1">
        <v>32391</v>
      </c>
      <c r="AG5868" t="s">
        <v>8645</v>
      </c>
      <c r="AH5868" t="s">
        <v>8646</v>
      </c>
      <c r="AI5868" t="str">
        <f>"9170428"</f>
        <v>9170428</v>
      </c>
      <c r="AJ5868" t="s">
        <v>8983</v>
      </c>
      <c r="AK5868">
        <v>2810234768</v>
      </c>
      <c r="AL5868" t="s">
        <v>8984</v>
      </c>
      <c r="AM5868" t="s">
        <v>78</v>
      </c>
      <c r="AN5868" t="s">
        <v>78</v>
      </c>
      <c r="AO5868" t="s">
        <v>78</v>
      </c>
      <c r="AP5868" t="s">
        <v>79</v>
      </c>
      <c r="AQ5868">
        <v>1</v>
      </c>
      <c r="AR5868" t="s">
        <v>80</v>
      </c>
      <c r="AS5868" t="s">
        <v>81</v>
      </c>
      <c r="AT5868" t="s">
        <v>58</v>
      </c>
      <c r="AU5868" t="s">
        <v>68</v>
      </c>
      <c r="AV5868" t="s">
        <v>69</v>
      </c>
      <c r="AW5868" s="1">
        <v>21727</v>
      </c>
      <c r="AX5868">
        <v>1</v>
      </c>
    </row>
    <row r="5869" spans="1:50">
      <c r="A5869">
        <v>593943</v>
      </c>
      <c r="B5869" t="str">
        <f>"056410040"</f>
        <v>056410040</v>
      </c>
      <c r="C5869" t="s">
        <v>50</v>
      </c>
      <c r="D5869" t="s">
        <v>2187</v>
      </c>
      <c r="E5869" t="s">
        <v>52</v>
      </c>
      <c r="F5869" t="s">
        <v>72</v>
      </c>
      <c r="G5869" t="s">
        <v>1179</v>
      </c>
      <c r="H5869" t="str">
        <f>" "</f>
        <v xml:space="preserve"> </v>
      </c>
      <c r="N5869" t="s">
        <v>615</v>
      </c>
      <c r="O5869" t="s">
        <v>616</v>
      </c>
      <c r="R5869" t="s">
        <v>57</v>
      </c>
      <c r="S5869">
        <v>8</v>
      </c>
      <c r="T5869">
        <v>218</v>
      </c>
      <c r="U5869" s="1">
        <v>37134</v>
      </c>
      <c r="V5869" t="s">
        <v>80</v>
      </c>
      <c r="W5869" t="s">
        <v>81</v>
      </c>
      <c r="X5869" t="s">
        <v>58</v>
      </c>
      <c r="Y5869">
        <v>22</v>
      </c>
      <c r="Z5869" t="s">
        <v>59</v>
      </c>
      <c r="AA5869" t="s">
        <v>59</v>
      </c>
      <c r="AB5869" t="s">
        <v>59</v>
      </c>
      <c r="AC5869" t="s">
        <v>59</v>
      </c>
      <c r="AD5869" t="s">
        <v>59</v>
      </c>
      <c r="AF5869" s="1">
        <v>37139</v>
      </c>
      <c r="AG5869" t="s">
        <v>8645</v>
      </c>
      <c r="AH5869" t="s">
        <v>8646</v>
      </c>
      <c r="AI5869" t="str">
        <f>"9170219"</f>
        <v>9170219</v>
      </c>
      <c r="AJ5869" t="s">
        <v>8967</v>
      </c>
      <c r="AK5869">
        <v>2897041357</v>
      </c>
      <c r="AL5869" t="s">
        <v>8968</v>
      </c>
      <c r="AM5869" t="s">
        <v>78</v>
      </c>
      <c r="AN5869" t="s">
        <v>219</v>
      </c>
      <c r="AO5869" t="s">
        <v>297</v>
      </c>
      <c r="AP5869" t="s">
        <v>297</v>
      </c>
      <c r="AQ5869">
        <v>7</v>
      </c>
      <c r="AR5869" t="s">
        <v>80</v>
      </c>
      <c r="AS5869" t="s">
        <v>81</v>
      </c>
      <c r="AT5869" t="s">
        <v>58</v>
      </c>
      <c r="AU5869" t="s">
        <v>68</v>
      </c>
      <c r="AV5869" t="s">
        <v>69</v>
      </c>
      <c r="AW5869" s="1">
        <v>25817</v>
      </c>
      <c r="AX5869">
        <v>1</v>
      </c>
    </row>
    <row r="5870" spans="1:50">
      <c r="A5870">
        <v>602610</v>
      </c>
      <c r="B5870" t="str">
        <f>"101225134"</f>
        <v>101225134</v>
      </c>
      <c r="C5870" t="s">
        <v>50</v>
      </c>
      <c r="D5870" t="s">
        <v>10302</v>
      </c>
      <c r="E5870" t="s">
        <v>3159</v>
      </c>
      <c r="F5870" t="s">
        <v>760</v>
      </c>
      <c r="G5870" t="s">
        <v>52</v>
      </c>
      <c r="H5870" t="str">
        <f>" "</f>
        <v xml:space="preserve"> </v>
      </c>
      <c r="J5870">
        <v>2810318716</v>
      </c>
      <c r="K5870">
        <v>6947260432</v>
      </c>
      <c r="N5870" t="s">
        <v>615</v>
      </c>
      <c r="O5870" t="s">
        <v>616</v>
      </c>
      <c r="R5870" t="s">
        <v>57</v>
      </c>
      <c r="S5870">
        <v>7</v>
      </c>
      <c r="T5870">
        <v>207</v>
      </c>
      <c r="U5870" s="1">
        <v>37866</v>
      </c>
      <c r="V5870" t="s">
        <v>80</v>
      </c>
      <c r="W5870" t="s">
        <v>81</v>
      </c>
      <c r="X5870" t="s">
        <v>58</v>
      </c>
      <c r="Y5870">
        <v>22</v>
      </c>
      <c r="Z5870" t="s">
        <v>59</v>
      </c>
      <c r="AA5870" t="s">
        <v>59</v>
      </c>
      <c r="AB5870" t="s">
        <v>59</v>
      </c>
      <c r="AC5870" t="s">
        <v>59</v>
      </c>
      <c r="AD5870" t="s">
        <v>59</v>
      </c>
      <c r="AF5870" s="1">
        <v>37866</v>
      </c>
      <c r="AG5870" t="s">
        <v>8645</v>
      </c>
      <c r="AH5870" t="s">
        <v>8646</v>
      </c>
      <c r="AI5870" t="str">
        <f>"9170057"</f>
        <v>9170057</v>
      </c>
      <c r="AJ5870" t="s">
        <v>8929</v>
      </c>
      <c r="AK5870">
        <v>2810251505</v>
      </c>
      <c r="AL5870" t="s">
        <v>8930</v>
      </c>
      <c r="AM5870" t="s">
        <v>78</v>
      </c>
      <c r="AN5870" t="s">
        <v>78</v>
      </c>
      <c r="AO5870" t="s">
        <v>78</v>
      </c>
      <c r="AP5870" t="s">
        <v>141</v>
      </c>
      <c r="AQ5870">
        <v>1</v>
      </c>
      <c r="AR5870" t="s">
        <v>80</v>
      </c>
      <c r="AS5870" t="s">
        <v>81</v>
      </c>
      <c r="AT5870" t="s">
        <v>58</v>
      </c>
      <c r="AU5870" t="s">
        <v>68</v>
      </c>
      <c r="AV5870" t="s">
        <v>69</v>
      </c>
      <c r="AW5870" s="1">
        <v>29257</v>
      </c>
      <c r="AX5870">
        <v>1</v>
      </c>
    </row>
    <row r="5871" spans="1:50">
      <c r="A5871">
        <v>219483</v>
      </c>
      <c r="B5871" t="str">
        <f>"110121355"</f>
        <v>110121355</v>
      </c>
      <c r="C5871" t="s">
        <v>50</v>
      </c>
      <c r="D5871" t="s">
        <v>10302</v>
      </c>
      <c r="E5871" t="s">
        <v>181</v>
      </c>
      <c r="F5871" t="s">
        <v>95</v>
      </c>
      <c r="G5871" t="s">
        <v>83</v>
      </c>
      <c r="H5871" t="str">
        <f>"Κομοτηνής 3 Αγ. Ιωάννης Κνωσού"</f>
        <v>Κομοτηνής 3 Αγ. Ιωάννης Κνωσού</v>
      </c>
      <c r="I5871">
        <v>71409</v>
      </c>
      <c r="J5871">
        <v>2810210327</v>
      </c>
      <c r="K5871">
        <v>6951230227</v>
      </c>
      <c r="M5871" t="s">
        <v>10303</v>
      </c>
      <c r="N5871" t="s">
        <v>288</v>
      </c>
      <c r="O5871" t="s">
        <v>289</v>
      </c>
      <c r="R5871" t="s">
        <v>57</v>
      </c>
      <c r="S5871">
        <v>7</v>
      </c>
      <c r="T5871">
        <v>599</v>
      </c>
      <c r="U5871" s="1">
        <v>39310</v>
      </c>
      <c r="V5871" t="s">
        <v>80</v>
      </c>
      <c r="W5871" t="s">
        <v>81</v>
      </c>
      <c r="X5871" t="s">
        <v>58</v>
      </c>
      <c r="Y5871">
        <v>22</v>
      </c>
      <c r="Z5871" t="s">
        <v>59</v>
      </c>
      <c r="AA5871" t="s">
        <v>59</v>
      </c>
      <c r="AB5871" t="s">
        <v>59</v>
      </c>
      <c r="AC5871" t="s">
        <v>59</v>
      </c>
      <c r="AD5871" t="s">
        <v>59</v>
      </c>
      <c r="AF5871" s="1">
        <v>39328</v>
      </c>
      <c r="AG5871" t="s">
        <v>8645</v>
      </c>
      <c r="AH5871" t="s">
        <v>8646</v>
      </c>
      <c r="AI5871" t="str">
        <f>"9521093"</f>
        <v>9521093</v>
      </c>
      <c r="AJ5871" t="s">
        <v>9153</v>
      </c>
      <c r="AK5871">
        <v>2810322162</v>
      </c>
      <c r="AL5871" t="s">
        <v>9154</v>
      </c>
      <c r="AM5871" t="s">
        <v>78</v>
      </c>
      <c r="AN5871" t="s">
        <v>78</v>
      </c>
      <c r="AO5871" t="s">
        <v>78</v>
      </c>
      <c r="AP5871" t="s">
        <v>163</v>
      </c>
      <c r="AQ5871">
        <v>1</v>
      </c>
      <c r="AR5871" t="s">
        <v>80</v>
      </c>
      <c r="AS5871" t="s">
        <v>81</v>
      </c>
      <c r="AT5871" t="s">
        <v>58</v>
      </c>
      <c r="AU5871" t="s">
        <v>68</v>
      </c>
      <c r="AV5871" t="s">
        <v>69</v>
      </c>
      <c r="AW5871" s="1">
        <v>28022</v>
      </c>
      <c r="AX5871">
        <v>1</v>
      </c>
    </row>
    <row r="5872" spans="1:50">
      <c r="A5872">
        <v>571801</v>
      </c>
      <c r="B5872" t="str">
        <f>"053853201"</f>
        <v>053853201</v>
      </c>
      <c r="C5872" t="s">
        <v>50</v>
      </c>
      <c r="D5872" t="s">
        <v>2193</v>
      </c>
      <c r="E5872" t="s">
        <v>484</v>
      </c>
      <c r="F5872" t="s">
        <v>995</v>
      </c>
      <c r="G5872" t="s">
        <v>52</v>
      </c>
      <c r="H5872" t="str">
        <f>" "</f>
        <v xml:space="preserve"> </v>
      </c>
      <c r="N5872" t="s">
        <v>176</v>
      </c>
      <c r="O5872" t="s">
        <v>177</v>
      </c>
      <c r="R5872" t="s">
        <v>57</v>
      </c>
      <c r="S5872">
        <v>14</v>
      </c>
      <c r="T5872" t="s">
        <v>10304</v>
      </c>
      <c r="U5872" s="1">
        <v>34213</v>
      </c>
      <c r="V5872" t="s">
        <v>80</v>
      </c>
      <c r="W5872" t="s">
        <v>81</v>
      </c>
      <c r="X5872" t="s">
        <v>58</v>
      </c>
      <c r="Y5872">
        <v>21</v>
      </c>
      <c r="Z5872" t="s">
        <v>59</v>
      </c>
      <c r="AA5872" t="s">
        <v>59</v>
      </c>
      <c r="AB5872" t="s">
        <v>59</v>
      </c>
      <c r="AC5872" t="s">
        <v>59</v>
      </c>
      <c r="AD5872" t="s">
        <v>59</v>
      </c>
      <c r="AF5872" s="1">
        <v>34213</v>
      </c>
      <c r="AG5872" t="s">
        <v>8645</v>
      </c>
      <c r="AH5872" t="s">
        <v>8646</v>
      </c>
      <c r="AI5872" t="str">
        <f>"9170200"</f>
        <v>9170200</v>
      </c>
      <c r="AJ5872" t="s">
        <v>9589</v>
      </c>
      <c r="AK5872">
        <v>2810741264</v>
      </c>
      <c r="AL5872" t="s">
        <v>9590</v>
      </c>
      <c r="AM5872" t="s">
        <v>78</v>
      </c>
      <c r="AN5872" t="s">
        <v>424</v>
      </c>
      <c r="AO5872" t="s">
        <v>428</v>
      </c>
      <c r="AP5872" t="s">
        <v>9591</v>
      </c>
      <c r="AQ5872">
        <v>11</v>
      </c>
      <c r="AR5872" t="s">
        <v>80</v>
      </c>
      <c r="AS5872" t="s">
        <v>81</v>
      </c>
      <c r="AT5872" t="s">
        <v>58</v>
      </c>
      <c r="AU5872" t="s">
        <v>68</v>
      </c>
      <c r="AV5872" t="s">
        <v>69</v>
      </c>
      <c r="AW5872" s="1">
        <v>23132</v>
      </c>
      <c r="AX5872">
        <v>1</v>
      </c>
    </row>
    <row r="5873" spans="1:50">
      <c r="B5873" t="str">
        <f>"115161803"</f>
        <v>115161803</v>
      </c>
      <c r="C5873" t="s">
        <v>105</v>
      </c>
      <c r="D5873" t="s">
        <v>10305</v>
      </c>
      <c r="E5873" t="s">
        <v>10306</v>
      </c>
      <c r="F5873" t="s">
        <v>377</v>
      </c>
      <c r="G5873" t="s">
        <v>255</v>
      </c>
      <c r="H5873" t="str">
        <f>"ΜΑΥΡΟΚΟΡΔΑΤΟΥ 64 "</f>
        <v xml:space="preserve">ΜΑΥΡΟΚΟΡΔΑΤΟΥ 64 </v>
      </c>
      <c r="I5873">
        <v>42100</v>
      </c>
      <c r="J5873">
        <v>2431031711</v>
      </c>
      <c r="K5873">
        <v>6972312393</v>
      </c>
      <c r="N5873" t="s">
        <v>337</v>
      </c>
      <c r="O5873" t="s">
        <v>338</v>
      </c>
      <c r="R5873" t="s">
        <v>121</v>
      </c>
      <c r="S5873">
        <v>3</v>
      </c>
      <c r="T5873" t="s">
        <v>8675</v>
      </c>
      <c r="U5873" s="1">
        <v>43348</v>
      </c>
      <c r="V5873" t="s">
        <v>80</v>
      </c>
      <c r="W5873" t="s">
        <v>81</v>
      </c>
      <c r="X5873" t="s">
        <v>58</v>
      </c>
      <c r="Y5873">
        <v>24</v>
      </c>
      <c r="Z5873" t="s">
        <v>59</v>
      </c>
      <c r="AA5873" t="s">
        <v>59</v>
      </c>
      <c r="AB5873" t="s">
        <v>59</v>
      </c>
      <c r="AC5873" t="s">
        <v>59</v>
      </c>
      <c r="AD5873" t="s">
        <v>59</v>
      </c>
      <c r="AF5873" s="1">
        <v>43348</v>
      </c>
      <c r="AG5873" t="s">
        <v>8645</v>
      </c>
      <c r="AH5873" t="s">
        <v>8646</v>
      </c>
      <c r="AI5873" t="str">
        <f>"9170205"</f>
        <v>9170205</v>
      </c>
      <c r="AJ5873" t="s">
        <v>8794</v>
      </c>
      <c r="AK5873">
        <v>2810762030</v>
      </c>
      <c r="AL5873" t="s">
        <v>8795</v>
      </c>
      <c r="AM5873" t="s">
        <v>78</v>
      </c>
      <c r="AN5873" t="s">
        <v>219</v>
      </c>
      <c r="AO5873" t="s">
        <v>297</v>
      </c>
      <c r="AP5873" t="s">
        <v>8796</v>
      </c>
      <c r="AQ5873">
        <v>7</v>
      </c>
      <c r="AR5873" t="s">
        <v>80</v>
      </c>
      <c r="AS5873" t="s">
        <v>81</v>
      </c>
      <c r="AT5873" t="s">
        <v>58</v>
      </c>
      <c r="AU5873" t="s">
        <v>8673</v>
      </c>
      <c r="AV5873" t="s">
        <v>132</v>
      </c>
      <c r="AW5873" s="1">
        <v>30948</v>
      </c>
      <c r="AX5873">
        <v>1</v>
      </c>
    </row>
    <row r="5874" spans="1:50">
      <c r="A5874">
        <v>607999</v>
      </c>
      <c r="B5874" t="str">
        <f>"103537579"</f>
        <v>103537579</v>
      </c>
      <c r="C5874" t="s">
        <v>50</v>
      </c>
      <c r="D5874" t="s">
        <v>10307</v>
      </c>
      <c r="E5874" t="s">
        <v>687</v>
      </c>
      <c r="F5874" t="s">
        <v>53</v>
      </c>
      <c r="G5874" t="s">
        <v>52</v>
      </c>
      <c r="H5874" t="str">
        <f>" "</f>
        <v xml:space="preserve"> </v>
      </c>
      <c r="J5874">
        <v>2891032472</v>
      </c>
      <c r="K5874">
        <v>6973796504</v>
      </c>
      <c r="N5874" t="s">
        <v>1525</v>
      </c>
      <c r="O5874" t="s">
        <v>1526</v>
      </c>
      <c r="R5874" t="s">
        <v>57</v>
      </c>
      <c r="S5874">
        <v>7</v>
      </c>
      <c r="T5874">
        <v>217</v>
      </c>
      <c r="U5874" s="1">
        <v>38596</v>
      </c>
      <c r="V5874" t="s">
        <v>80</v>
      </c>
      <c r="W5874" t="s">
        <v>81</v>
      </c>
      <c r="X5874" t="s">
        <v>58</v>
      </c>
      <c r="Y5874">
        <v>25</v>
      </c>
      <c r="Z5874" t="s">
        <v>59</v>
      </c>
      <c r="AA5874" t="s">
        <v>59</v>
      </c>
      <c r="AB5874" t="s">
        <v>59</v>
      </c>
      <c r="AC5874" t="s">
        <v>59</v>
      </c>
      <c r="AD5874" t="s">
        <v>59</v>
      </c>
      <c r="AF5874" s="1">
        <v>38602</v>
      </c>
      <c r="AG5874" t="s">
        <v>8651</v>
      </c>
      <c r="AH5874" t="s">
        <v>8652</v>
      </c>
      <c r="AI5874" t="str">
        <f>"9170371"</f>
        <v>9170371</v>
      </c>
      <c r="AJ5874" t="s">
        <v>9526</v>
      </c>
      <c r="AK5874">
        <v>2891031438</v>
      </c>
      <c r="AL5874" t="s">
        <v>9527</v>
      </c>
      <c r="AM5874" t="s">
        <v>78</v>
      </c>
      <c r="AN5874" t="s">
        <v>276</v>
      </c>
      <c r="AO5874" t="s">
        <v>277</v>
      </c>
      <c r="AP5874" t="s">
        <v>277</v>
      </c>
      <c r="AQ5874">
        <v>13</v>
      </c>
      <c r="AR5874" t="s">
        <v>80</v>
      </c>
      <c r="AS5874" t="s">
        <v>81</v>
      </c>
      <c r="AT5874" t="s">
        <v>58</v>
      </c>
      <c r="AU5874" t="s">
        <v>68</v>
      </c>
      <c r="AV5874" t="s">
        <v>69</v>
      </c>
      <c r="AW5874" s="1">
        <v>27429</v>
      </c>
      <c r="AX5874">
        <v>1</v>
      </c>
    </row>
    <row r="5875" spans="1:50">
      <c r="B5875" t="str">
        <f>"064191243"</f>
        <v>064191243</v>
      </c>
      <c r="C5875" t="s">
        <v>50</v>
      </c>
      <c r="D5875" t="s">
        <v>97</v>
      </c>
      <c r="E5875" t="s">
        <v>600</v>
      </c>
      <c r="F5875" t="s">
        <v>2320</v>
      </c>
      <c r="G5875" t="s">
        <v>215</v>
      </c>
      <c r="H5875" t="str">
        <f>"ΚΛΕΑΝΘΗ &amp; ΑΛΚΙΒΙΑΔΗ 1 ΗΡΑΚΛΕΙΟ"</f>
        <v>ΚΛΕΑΝΘΗ &amp; ΑΛΚΙΒΙΑΔΗ 1 ΗΡΑΚΛΕΙΟ</v>
      </c>
      <c r="I5875">
        <v>71307</v>
      </c>
      <c r="J5875">
        <v>2810213031</v>
      </c>
      <c r="K5875">
        <v>6979551688</v>
      </c>
      <c r="N5875" t="s">
        <v>615</v>
      </c>
      <c r="O5875" t="s">
        <v>616</v>
      </c>
      <c r="R5875" t="s">
        <v>159</v>
      </c>
      <c r="S5875">
        <v>6</v>
      </c>
      <c r="T5875" t="s">
        <v>8675</v>
      </c>
      <c r="U5875" s="1">
        <v>43348</v>
      </c>
      <c r="V5875" t="s">
        <v>80</v>
      </c>
      <c r="W5875" t="s">
        <v>81</v>
      </c>
      <c r="X5875" t="s">
        <v>58</v>
      </c>
      <c r="Y5875">
        <v>24</v>
      </c>
      <c r="Z5875" t="s">
        <v>59</v>
      </c>
      <c r="AA5875" t="s">
        <v>59</v>
      </c>
      <c r="AB5875" t="s">
        <v>59</v>
      </c>
      <c r="AC5875" t="s">
        <v>59</v>
      </c>
      <c r="AD5875" t="s">
        <v>59</v>
      </c>
      <c r="AF5875" s="1">
        <v>43348</v>
      </c>
      <c r="AG5875" t="s">
        <v>8645</v>
      </c>
      <c r="AH5875" t="s">
        <v>8646</v>
      </c>
      <c r="AI5875" t="str">
        <f>"9170244"</f>
        <v>9170244</v>
      </c>
      <c r="AJ5875" t="s">
        <v>8933</v>
      </c>
      <c r="AK5875">
        <v>2897061213</v>
      </c>
      <c r="AL5875" t="s">
        <v>8934</v>
      </c>
      <c r="AM5875" t="s">
        <v>78</v>
      </c>
      <c r="AN5875" t="s">
        <v>219</v>
      </c>
      <c r="AO5875" t="s">
        <v>527</v>
      </c>
      <c r="AP5875" t="s">
        <v>528</v>
      </c>
      <c r="AQ5875">
        <v>8</v>
      </c>
      <c r="AR5875" t="s">
        <v>80</v>
      </c>
      <c r="AS5875" t="s">
        <v>81</v>
      </c>
      <c r="AT5875" t="s">
        <v>58</v>
      </c>
      <c r="AU5875" t="s">
        <v>8673</v>
      </c>
      <c r="AV5875" t="s">
        <v>132</v>
      </c>
      <c r="AW5875" s="1">
        <v>31835</v>
      </c>
      <c r="AX5875">
        <v>1</v>
      </c>
    </row>
    <row r="5876" spans="1:50">
      <c r="A5876">
        <v>603282</v>
      </c>
      <c r="B5876" t="str">
        <f>"103825196"</f>
        <v>103825196</v>
      </c>
      <c r="C5876" t="s">
        <v>50</v>
      </c>
      <c r="D5876" t="s">
        <v>97</v>
      </c>
      <c r="E5876" t="s">
        <v>83</v>
      </c>
      <c r="F5876" t="s">
        <v>106</v>
      </c>
      <c r="G5876" t="s">
        <v>54</v>
      </c>
      <c r="H5876" t="str">
        <f>"ΓΕΡΟΠΟΤΑΜΟΥ 20 ΗΡΑΚΛΕΙΟ"</f>
        <v>ΓΕΡΟΠΟΤΑΜΟΥ 20 ΗΡΑΚΛΕΙΟ</v>
      </c>
      <c r="I5876">
        <v>71304</v>
      </c>
      <c r="J5876">
        <v>2810262376</v>
      </c>
      <c r="K5876">
        <v>6942917007</v>
      </c>
      <c r="N5876" t="s">
        <v>1525</v>
      </c>
      <c r="O5876" t="s">
        <v>1526</v>
      </c>
      <c r="R5876" t="s">
        <v>57</v>
      </c>
      <c r="S5876">
        <v>8</v>
      </c>
      <c r="T5876" t="s">
        <v>9559</v>
      </c>
      <c r="U5876" s="1">
        <v>37866</v>
      </c>
      <c r="V5876" t="s">
        <v>80</v>
      </c>
      <c r="W5876" t="s">
        <v>81</v>
      </c>
      <c r="X5876" t="s">
        <v>58</v>
      </c>
      <c r="Y5876">
        <v>25</v>
      </c>
      <c r="Z5876" t="s">
        <v>59</v>
      </c>
      <c r="AA5876" t="s">
        <v>59</v>
      </c>
      <c r="AB5876" t="s">
        <v>59</v>
      </c>
      <c r="AC5876" t="s">
        <v>59</v>
      </c>
      <c r="AD5876" t="s">
        <v>59</v>
      </c>
      <c r="AF5876" s="1">
        <v>37868</v>
      </c>
      <c r="AG5876" t="s">
        <v>8651</v>
      </c>
      <c r="AH5876" t="s">
        <v>8652</v>
      </c>
      <c r="AI5876" t="str">
        <f>"9170537"</f>
        <v>9170537</v>
      </c>
      <c r="AJ5876" t="s">
        <v>10308</v>
      </c>
      <c r="AK5876">
        <v>2810262801</v>
      </c>
      <c r="AL5876" t="s">
        <v>10309</v>
      </c>
      <c r="AM5876" t="s">
        <v>78</v>
      </c>
      <c r="AN5876" t="s">
        <v>78</v>
      </c>
      <c r="AO5876" t="s">
        <v>78</v>
      </c>
      <c r="AP5876" t="s">
        <v>141</v>
      </c>
      <c r="AQ5876">
        <v>1</v>
      </c>
      <c r="AR5876" t="s">
        <v>80</v>
      </c>
      <c r="AS5876" t="s">
        <v>81</v>
      </c>
      <c r="AT5876" t="s">
        <v>58</v>
      </c>
      <c r="AU5876" t="s">
        <v>68</v>
      </c>
      <c r="AV5876" t="s">
        <v>69</v>
      </c>
      <c r="AW5876" s="1">
        <v>27775</v>
      </c>
      <c r="AX5876">
        <v>1</v>
      </c>
    </row>
    <row r="5877" spans="1:50">
      <c r="B5877" t="str">
        <f>"144320832"</f>
        <v>144320832</v>
      </c>
      <c r="C5877" t="s">
        <v>50</v>
      </c>
      <c r="D5877" t="s">
        <v>97</v>
      </c>
      <c r="E5877" t="s">
        <v>52</v>
      </c>
      <c r="F5877" t="s">
        <v>106</v>
      </c>
      <c r="G5877" t="s">
        <v>255</v>
      </c>
      <c r="H5877" t="str">
        <f>"ΠΑΥΛΟΥ ΜΕΛΑ 31 "</f>
        <v xml:space="preserve">ΠΑΥΛΟΥ ΜΕΛΑ 31 </v>
      </c>
      <c r="I5877">
        <v>85100</v>
      </c>
      <c r="J5877">
        <v>2810212461</v>
      </c>
      <c r="K5877">
        <v>6937520676</v>
      </c>
      <c r="N5877" t="s">
        <v>1525</v>
      </c>
      <c r="O5877" t="s">
        <v>1526</v>
      </c>
      <c r="R5877" t="s">
        <v>159</v>
      </c>
      <c r="S5877">
        <v>5</v>
      </c>
      <c r="T5877" t="s">
        <v>8670</v>
      </c>
      <c r="U5877" s="1">
        <v>43348</v>
      </c>
      <c r="V5877" t="s">
        <v>80</v>
      </c>
      <c r="W5877" t="s">
        <v>81</v>
      </c>
      <c r="X5877" t="s">
        <v>58</v>
      </c>
      <c r="Y5877">
        <v>25</v>
      </c>
      <c r="Z5877" t="s">
        <v>59</v>
      </c>
      <c r="AA5877" t="s">
        <v>59</v>
      </c>
      <c r="AB5877" t="s">
        <v>59</v>
      </c>
      <c r="AC5877" t="s">
        <v>59</v>
      </c>
      <c r="AD5877" t="s">
        <v>59</v>
      </c>
      <c r="AF5877" s="1">
        <v>43348</v>
      </c>
      <c r="AG5877" t="s">
        <v>8651</v>
      </c>
      <c r="AH5877" t="s">
        <v>8652</v>
      </c>
      <c r="AI5877" t="str">
        <f>"9170588"</f>
        <v>9170588</v>
      </c>
      <c r="AJ5877" t="s">
        <v>9859</v>
      </c>
      <c r="AK5877">
        <v>2810320601</v>
      </c>
      <c r="AL5877" t="s">
        <v>9860</v>
      </c>
      <c r="AM5877" t="s">
        <v>78</v>
      </c>
      <c r="AN5877" t="s">
        <v>78</v>
      </c>
      <c r="AO5877" t="s">
        <v>78</v>
      </c>
      <c r="AP5877" t="s">
        <v>213</v>
      </c>
      <c r="AQ5877">
        <v>1</v>
      </c>
      <c r="AR5877" t="s">
        <v>80</v>
      </c>
      <c r="AS5877" t="s">
        <v>81</v>
      </c>
      <c r="AT5877" t="s">
        <v>58</v>
      </c>
      <c r="AU5877" t="s">
        <v>8673</v>
      </c>
      <c r="AV5877" t="s">
        <v>132</v>
      </c>
      <c r="AW5877" s="1">
        <v>30299</v>
      </c>
      <c r="AX5877">
        <v>1</v>
      </c>
    </row>
    <row r="5878" spans="1:50">
      <c r="A5878">
        <v>563875</v>
      </c>
      <c r="B5878" t="str">
        <f>"079917960"</f>
        <v>079917960</v>
      </c>
      <c r="C5878" t="s">
        <v>50</v>
      </c>
      <c r="D5878" t="s">
        <v>97</v>
      </c>
      <c r="E5878" t="s">
        <v>181</v>
      </c>
      <c r="F5878" t="s">
        <v>760</v>
      </c>
      <c r="G5878" t="s">
        <v>2370</v>
      </c>
      <c r="H5878" t="str">
        <f>"ΠΡΑΚΤΙΚΙΔΟΥ 29  ΗΡΑΚΛΕΙΟ "</f>
        <v xml:space="preserve">ΠΡΑΚΤΙΚΙΔΟΥ 29  ΗΡΑΚΛΕΙΟ </v>
      </c>
      <c r="I5878">
        <v>71306</v>
      </c>
      <c r="J5878">
        <v>2810211958</v>
      </c>
      <c r="K5878">
        <v>6943631658</v>
      </c>
      <c r="M5878" t="s">
        <v>10310</v>
      </c>
      <c r="N5878" t="s">
        <v>615</v>
      </c>
      <c r="O5878" t="s">
        <v>616</v>
      </c>
      <c r="R5878" t="s">
        <v>57</v>
      </c>
      <c r="S5878">
        <v>14</v>
      </c>
      <c r="T5878">
        <v>161</v>
      </c>
      <c r="U5878" s="1">
        <v>33146</v>
      </c>
      <c r="V5878" t="s">
        <v>80</v>
      </c>
      <c r="W5878" t="s">
        <v>81</v>
      </c>
      <c r="X5878" t="s">
        <v>58</v>
      </c>
      <c r="Y5878">
        <v>21</v>
      </c>
      <c r="Z5878" t="s">
        <v>59</v>
      </c>
      <c r="AA5878" t="s">
        <v>59</v>
      </c>
      <c r="AB5878" t="s">
        <v>59</v>
      </c>
      <c r="AC5878" t="s">
        <v>59</v>
      </c>
      <c r="AD5878" t="s">
        <v>59</v>
      </c>
      <c r="AF5878" s="1">
        <v>33146</v>
      </c>
      <c r="AG5878" t="s">
        <v>8645</v>
      </c>
      <c r="AH5878" t="s">
        <v>8646</v>
      </c>
      <c r="AI5878" t="str">
        <f>"9170109"</f>
        <v>9170109</v>
      </c>
      <c r="AJ5878" t="s">
        <v>9056</v>
      </c>
      <c r="AK5878">
        <v>2810212659</v>
      </c>
      <c r="AL5878" t="s">
        <v>9057</v>
      </c>
      <c r="AM5878" t="s">
        <v>78</v>
      </c>
      <c r="AN5878" t="s">
        <v>78</v>
      </c>
      <c r="AO5878" t="s">
        <v>78</v>
      </c>
      <c r="AP5878" t="s">
        <v>163</v>
      </c>
      <c r="AQ5878">
        <v>1</v>
      </c>
      <c r="AR5878" t="s">
        <v>80</v>
      </c>
      <c r="AS5878" t="s">
        <v>81</v>
      </c>
      <c r="AT5878" t="s">
        <v>58</v>
      </c>
      <c r="AU5878" t="s">
        <v>68</v>
      </c>
      <c r="AV5878" t="s">
        <v>69</v>
      </c>
      <c r="AW5878" s="1">
        <v>23649</v>
      </c>
      <c r="AX5878">
        <v>1</v>
      </c>
    </row>
    <row r="5879" spans="1:50">
      <c r="A5879">
        <v>611012</v>
      </c>
      <c r="B5879" t="str">
        <f>"132951104"</f>
        <v>132951104</v>
      </c>
      <c r="C5879" t="s">
        <v>50</v>
      </c>
      <c r="D5879" t="s">
        <v>97</v>
      </c>
      <c r="E5879" t="s">
        <v>10311</v>
      </c>
      <c r="F5879" t="s">
        <v>95</v>
      </c>
      <c r="G5879" t="s">
        <v>10312</v>
      </c>
      <c r="H5879" t="str">
        <f>"ΠΟΛΕΜΗ 5 ΗΡΑΚΛΕΙΟ"</f>
        <v>ΠΟΛΕΜΗ 5 ΗΡΑΚΛΕΙΟ</v>
      </c>
      <c r="I5879">
        <v>71409</v>
      </c>
      <c r="J5879">
        <v>2810234854</v>
      </c>
      <c r="K5879">
        <v>6981313279</v>
      </c>
      <c r="N5879" t="s">
        <v>615</v>
      </c>
      <c r="O5879" t="s">
        <v>616</v>
      </c>
      <c r="R5879" t="s">
        <v>57</v>
      </c>
      <c r="S5879">
        <v>6</v>
      </c>
      <c r="T5879">
        <v>233</v>
      </c>
      <c r="U5879" s="1">
        <v>38960</v>
      </c>
      <c r="V5879" t="s">
        <v>80</v>
      </c>
      <c r="W5879" t="s">
        <v>81</v>
      </c>
      <c r="X5879" t="s">
        <v>58</v>
      </c>
      <c r="Y5879">
        <v>23</v>
      </c>
      <c r="Z5879" t="s">
        <v>59</v>
      </c>
      <c r="AA5879" t="s">
        <v>59</v>
      </c>
      <c r="AB5879" t="s">
        <v>59</v>
      </c>
      <c r="AC5879" t="s">
        <v>59</v>
      </c>
      <c r="AD5879" t="s">
        <v>59</v>
      </c>
      <c r="AF5879" s="1">
        <v>38961</v>
      </c>
      <c r="AG5879" t="s">
        <v>8645</v>
      </c>
      <c r="AH5879" t="s">
        <v>8646</v>
      </c>
      <c r="AI5879" t="str">
        <f>"9170494"</f>
        <v>9170494</v>
      </c>
      <c r="AJ5879" t="s">
        <v>9125</v>
      </c>
      <c r="AK5879">
        <v>2810228361</v>
      </c>
      <c r="AL5879" t="s">
        <v>9126</v>
      </c>
      <c r="AM5879" t="s">
        <v>78</v>
      </c>
      <c r="AN5879" t="s">
        <v>78</v>
      </c>
      <c r="AO5879" t="s">
        <v>78</v>
      </c>
      <c r="AP5879" t="s">
        <v>79</v>
      </c>
      <c r="AQ5879">
        <v>1</v>
      </c>
      <c r="AR5879" t="s">
        <v>80</v>
      </c>
      <c r="AS5879" t="s">
        <v>81</v>
      </c>
      <c r="AT5879" t="s">
        <v>58</v>
      </c>
      <c r="AU5879" t="s">
        <v>68</v>
      </c>
      <c r="AV5879" t="s">
        <v>69</v>
      </c>
      <c r="AW5879" s="1">
        <v>29419</v>
      </c>
      <c r="AX5879">
        <v>1</v>
      </c>
    </row>
    <row r="5880" spans="1:50">
      <c r="A5880">
        <v>596990</v>
      </c>
      <c r="B5880" t="str">
        <f>"103829472"</f>
        <v>103829472</v>
      </c>
      <c r="C5880" t="s">
        <v>50</v>
      </c>
      <c r="D5880" t="s">
        <v>10313</v>
      </c>
      <c r="E5880" t="s">
        <v>83</v>
      </c>
      <c r="F5880" t="s">
        <v>95</v>
      </c>
      <c r="G5880" t="s">
        <v>699</v>
      </c>
      <c r="H5880" t="str">
        <f>"ΣΤΕΝΗΜΑΧΟΥ 30 ΗΡΑΚΛΕΙΟ"</f>
        <v>ΣΤΕΝΗΜΑΧΟΥ 30 ΗΡΑΚΛΕΙΟ</v>
      </c>
      <c r="I5880">
        <v>71305</v>
      </c>
      <c r="J5880">
        <v>2810263698</v>
      </c>
      <c r="K5880">
        <v>6949603381</v>
      </c>
      <c r="N5880" t="s">
        <v>1525</v>
      </c>
      <c r="O5880" t="s">
        <v>1526</v>
      </c>
      <c r="R5880" t="s">
        <v>57</v>
      </c>
      <c r="S5880">
        <v>9</v>
      </c>
      <c r="T5880">
        <v>195</v>
      </c>
      <c r="U5880" s="1">
        <v>37497</v>
      </c>
      <c r="V5880" t="s">
        <v>80</v>
      </c>
      <c r="W5880" t="s">
        <v>81</v>
      </c>
      <c r="X5880" t="s">
        <v>58</v>
      </c>
      <c r="Y5880">
        <v>25</v>
      </c>
      <c r="Z5880" t="s">
        <v>59</v>
      </c>
      <c r="AA5880" t="s">
        <v>59</v>
      </c>
      <c r="AB5880" t="s">
        <v>59</v>
      </c>
      <c r="AC5880" t="s">
        <v>59</v>
      </c>
      <c r="AD5880" t="s">
        <v>59</v>
      </c>
      <c r="AF5880" s="1">
        <v>37502</v>
      </c>
      <c r="AG5880" t="s">
        <v>8651</v>
      </c>
      <c r="AH5880" t="s">
        <v>8652</v>
      </c>
      <c r="AI5880" t="str">
        <f>"9170498"</f>
        <v>9170498</v>
      </c>
      <c r="AJ5880" t="s">
        <v>10314</v>
      </c>
      <c r="AK5880">
        <v>2810315220</v>
      </c>
      <c r="AL5880" t="s">
        <v>10315</v>
      </c>
      <c r="AM5880" t="s">
        <v>78</v>
      </c>
      <c r="AN5880" t="s">
        <v>78</v>
      </c>
      <c r="AO5880" t="s">
        <v>78</v>
      </c>
      <c r="AP5880" t="s">
        <v>79</v>
      </c>
      <c r="AQ5880">
        <v>1</v>
      </c>
      <c r="AR5880" t="s">
        <v>80</v>
      </c>
      <c r="AS5880" t="s">
        <v>81</v>
      </c>
      <c r="AT5880" t="s">
        <v>58</v>
      </c>
      <c r="AU5880" t="s">
        <v>68</v>
      </c>
      <c r="AV5880" t="s">
        <v>69</v>
      </c>
      <c r="AW5880" s="1">
        <v>27101</v>
      </c>
      <c r="AX5880">
        <v>1</v>
      </c>
    </row>
    <row r="5881" spans="1:50">
      <c r="A5881">
        <v>587789</v>
      </c>
      <c r="B5881" t="str">
        <f>"079258205"</f>
        <v>079258205</v>
      </c>
      <c r="C5881" t="s">
        <v>50</v>
      </c>
      <c r="D5881" t="s">
        <v>10316</v>
      </c>
      <c r="E5881" t="s">
        <v>507</v>
      </c>
      <c r="F5881" t="s">
        <v>53</v>
      </c>
      <c r="G5881" t="s">
        <v>2205</v>
      </c>
      <c r="H5881" t="str">
        <f>"Λ. ΠΕΤΡΑΚΗ 29 ΗΡΑΚΛΕΙΟ"</f>
        <v>Λ. ΠΕΤΡΑΚΗ 29 ΗΡΑΚΛΕΙΟ</v>
      </c>
      <c r="I5881">
        <v>71305</v>
      </c>
      <c r="J5881">
        <v>2810320789</v>
      </c>
      <c r="K5881">
        <v>6932662972</v>
      </c>
      <c r="M5881" t="s">
        <v>10317</v>
      </c>
      <c r="N5881" t="s">
        <v>306</v>
      </c>
      <c r="O5881" t="s">
        <v>307</v>
      </c>
      <c r="R5881" t="s">
        <v>57</v>
      </c>
      <c r="S5881">
        <v>11</v>
      </c>
      <c r="T5881" t="s">
        <v>10318</v>
      </c>
      <c r="U5881" s="1">
        <v>36160</v>
      </c>
      <c r="V5881" t="s">
        <v>80</v>
      </c>
      <c r="W5881" t="s">
        <v>81</v>
      </c>
      <c r="X5881" t="s">
        <v>58</v>
      </c>
      <c r="Y5881">
        <v>21</v>
      </c>
      <c r="Z5881" t="s">
        <v>59</v>
      </c>
      <c r="AA5881" t="s">
        <v>59</v>
      </c>
      <c r="AB5881" t="s">
        <v>59</v>
      </c>
      <c r="AC5881" t="s">
        <v>59</v>
      </c>
      <c r="AD5881" t="s">
        <v>59</v>
      </c>
      <c r="AF5881" s="1">
        <v>36182</v>
      </c>
      <c r="AG5881" t="s">
        <v>8645</v>
      </c>
      <c r="AH5881" t="s">
        <v>8646</v>
      </c>
      <c r="AI5881" t="str">
        <f>"9170056"</f>
        <v>9170056</v>
      </c>
      <c r="AJ5881" t="s">
        <v>9137</v>
      </c>
      <c r="AK5881">
        <v>2810253392</v>
      </c>
      <c r="AL5881" t="s">
        <v>9138</v>
      </c>
      <c r="AM5881" t="s">
        <v>78</v>
      </c>
      <c r="AN5881" t="s">
        <v>78</v>
      </c>
      <c r="AO5881" t="s">
        <v>78</v>
      </c>
      <c r="AP5881" t="s">
        <v>141</v>
      </c>
      <c r="AQ5881">
        <v>1</v>
      </c>
      <c r="AR5881" t="s">
        <v>80</v>
      </c>
      <c r="AS5881" t="s">
        <v>81</v>
      </c>
      <c r="AT5881" t="s">
        <v>58</v>
      </c>
      <c r="AU5881" t="s">
        <v>68</v>
      </c>
      <c r="AV5881" t="s">
        <v>69</v>
      </c>
      <c r="AW5881" s="1">
        <v>26540</v>
      </c>
      <c r="AX5881">
        <v>1</v>
      </c>
    </row>
    <row r="5882" spans="1:50">
      <c r="B5882" t="str">
        <f>"125564612"</f>
        <v>125564612</v>
      </c>
      <c r="C5882" t="s">
        <v>50</v>
      </c>
      <c r="D5882" t="s">
        <v>10319</v>
      </c>
      <c r="E5882" t="s">
        <v>52</v>
      </c>
      <c r="F5882" t="s">
        <v>166</v>
      </c>
      <c r="G5882" t="s">
        <v>1078</v>
      </c>
      <c r="H5882" t="str">
        <f>"ΑΛΚΥΟΝΗΣ 11 Αγ. Ιωάννης Κνωσού"</f>
        <v>ΑΛΚΥΟΝΗΣ 11 Αγ. Ιωάννης Κνωσού</v>
      </c>
      <c r="I5882">
        <v>71409</v>
      </c>
      <c r="J5882">
        <v>2815201919</v>
      </c>
      <c r="K5882">
        <v>6936996071</v>
      </c>
      <c r="M5882" t="s">
        <v>10320</v>
      </c>
      <c r="N5882" t="s">
        <v>615</v>
      </c>
      <c r="O5882" t="s">
        <v>616</v>
      </c>
      <c r="R5882" t="s">
        <v>159</v>
      </c>
      <c r="S5882">
        <v>2</v>
      </c>
      <c r="T5882" t="s">
        <v>8675</v>
      </c>
      <c r="U5882" s="1">
        <v>43348</v>
      </c>
      <c r="V5882" t="s">
        <v>80</v>
      </c>
      <c r="W5882" t="s">
        <v>81</v>
      </c>
      <c r="X5882" t="s">
        <v>58</v>
      </c>
      <c r="Y5882">
        <v>24</v>
      </c>
      <c r="Z5882" t="s">
        <v>59</v>
      </c>
      <c r="AA5882" t="s">
        <v>59</v>
      </c>
      <c r="AB5882" t="s">
        <v>59</v>
      </c>
      <c r="AC5882" t="s">
        <v>59</v>
      </c>
      <c r="AD5882" t="s">
        <v>59</v>
      </c>
      <c r="AF5882" s="1">
        <v>43348</v>
      </c>
      <c r="AG5882" t="s">
        <v>8645</v>
      </c>
      <c r="AH5882" t="s">
        <v>8646</v>
      </c>
      <c r="AI5882" t="str">
        <f>"9170262"</f>
        <v>9170262</v>
      </c>
      <c r="AJ5882" t="s">
        <v>9224</v>
      </c>
      <c r="AK5882">
        <v>2810245912</v>
      </c>
      <c r="AL5882" t="s">
        <v>9225</v>
      </c>
      <c r="AM5882" t="s">
        <v>78</v>
      </c>
      <c r="AN5882" t="s">
        <v>78</v>
      </c>
      <c r="AO5882" t="s">
        <v>286</v>
      </c>
      <c r="AP5882" t="s">
        <v>286</v>
      </c>
      <c r="AQ5882">
        <v>1</v>
      </c>
      <c r="AR5882" t="s">
        <v>80</v>
      </c>
      <c r="AS5882" t="s">
        <v>81</v>
      </c>
      <c r="AT5882" t="s">
        <v>58</v>
      </c>
      <c r="AU5882" t="s">
        <v>8673</v>
      </c>
      <c r="AV5882" t="s">
        <v>132</v>
      </c>
      <c r="AW5882" s="1">
        <v>28950</v>
      </c>
      <c r="AX5882">
        <v>1</v>
      </c>
    </row>
    <row r="5883" spans="1:50">
      <c r="A5883">
        <v>209108</v>
      </c>
      <c r="B5883" t="str">
        <f>"073933019"</f>
        <v>073933019</v>
      </c>
      <c r="C5883" t="s">
        <v>50</v>
      </c>
      <c r="D5883" t="s">
        <v>10319</v>
      </c>
      <c r="E5883" t="s">
        <v>52</v>
      </c>
      <c r="F5883" t="s">
        <v>166</v>
      </c>
      <c r="G5883" t="s">
        <v>1694</v>
      </c>
      <c r="H5883" t="str">
        <f>"ΑΝΘΕΩΝ 91 ΗΡΑΚΛΕΙΟ"</f>
        <v>ΑΝΘΕΩΝ 91 ΗΡΑΚΛΕΙΟ</v>
      </c>
      <c r="I5883">
        <v>71409</v>
      </c>
      <c r="J5883">
        <v>2810230469</v>
      </c>
      <c r="K5883">
        <v>6937700991</v>
      </c>
      <c r="M5883" t="s">
        <v>10321</v>
      </c>
      <c r="N5883" t="s">
        <v>204</v>
      </c>
      <c r="O5883" t="s">
        <v>205</v>
      </c>
      <c r="R5883" t="s">
        <v>57</v>
      </c>
      <c r="S5883">
        <v>8</v>
      </c>
      <c r="T5883">
        <v>218</v>
      </c>
      <c r="U5883" s="1">
        <v>38596</v>
      </c>
      <c r="V5883" t="s">
        <v>80</v>
      </c>
      <c r="W5883" t="s">
        <v>81</v>
      </c>
      <c r="X5883" t="s">
        <v>58</v>
      </c>
      <c r="Y5883">
        <v>22</v>
      </c>
      <c r="Z5883" t="s">
        <v>59</v>
      </c>
      <c r="AA5883" t="s">
        <v>59</v>
      </c>
      <c r="AB5883" t="s">
        <v>59</v>
      </c>
      <c r="AC5883" t="s">
        <v>59</v>
      </c>
      <c r="AD5883" t="s">
        <v>59</v>
      </c>
      <c r="AF5883" s="1">
        <v>38600</v>
      </c>
      <c r="AG5883" t="s">
        <v>8645</v>
      </c>
      <c r="AH5883" t="s">
        <v>8646</v>
      </c>
      <c r="AI5883" t="str">
        <f>"9170517"</f>
        <v>9170517</v>
      </c>
      <c r="AJ5883" t="s">
        <v>9248</v>
      </c>
      <c r="AK5883">
        <v>2810238757</v>
      </c>
      <c r="AL5883" t="s">
        <v>9249</v>
      </c>
      <c r="AM5883" t="s">
        <v>78</v>
      </c>
      <c r="AN5883" t="s">
        <v>78</v>
      </c>
      <c r="AO5883" t="s">
        <v>78</v>
      </c>
      <c r="AP5883" t="s">
        <v>163</v>
      </c>
      <c r="AQ5883">
        <v>1</v>
      </c>
      <c r="AR5883" t="s">
        <v>80</v>
      </c>
      <c r="AS5883" t="s">
        <v>81</v>
      </c>
      <c r="AT5883" t="s">
        <v>58</v>
      </c>
      <c r="AU5883" t="s">
        <v>68</v>
      </c>
      <c r="AV5883" t="s">
        <v>69</v>
      </c>
      <c r="AW5883" s="1">
        <v>26080</v>
      </c>
      <c r="AX5883">
        <v>1</v>
      </c>
    </row>
    <row r="5884" spans="1:50">
      <c r="A5884">
        <v>701406</v>
      </c>
      <c r="B5884" t="str">
        <f>"137457000"</f>
        <v>137457000</v>
      </c>
      <c r="C5884" t="s">
        <v>50</v>
      </c>
      <c r="D5884" t="s">
        <v>6111</v>
      </c>
      <c r="E5884" t="s">
        <v>513</v>
      </c>
      <c r="F5884" t="s">
        <v>72</v>
      </c>
      <c r="G5884" t="s">
        <v>52</v>
      </c>
      <c r="H5884" t="str">
        <f>"ΛΟΧΡΙΑ ΑΜΑΡΙΟΥ "</f>
        <v xml:space="preserve">ΛΟΧΡΙΑ ΑΜΑΡΙΟΥ </v>
      </c>
      <c r="I5884">
        <v>74061</v>
      </c>
      <c r="J5884">
        <v>2833031390</v>
      </c>
      <c r="K5884">
        <v>6977697110</v>
      </c>
      <c r="M5884" t="s">
        <v>10322</v>
      </c>
      <c r="N5884" t="s">
        <v>615</v>
      </c>
      <c r="O5884" t="s">
        <v>616</v>
      </c>
      <c r="R5884" t="s">
        <v>57</v>
      </c>
      <c r="S5884">
        <v>4</v>
      </c>
      <c r="T5884">
        <v>772</v>
      </c>
      <c r="U5884" s="1">
        <v>40413</v>
      </c>
      <c r="V5884" t="s">
        <v>80</v>
      </c>
      <c r="W5884" t="s">
        <v>81</v>
      </c>
      <c r="X5884" t="s">
        <v>58</v>
      </c>
      <c r="Y5884">
        <v>24</v>
      </c>
      <c r="Z5884" t="s">
        <v>59</v>
      </c>
      <c r="AA5884" t="s">
        <v>59</v>
      </c>
      <c r="AB5884" t="s">
        <v>59</v>
      </c>
      <c r="AC5884" t="s">
        <v>59</v>
      </c>
      <c r="AD5884" t="s">
        <v>59</v>
      </c>
      <c r="AF5884" s="1">
        <v>40413</v>
      </c>
      <c r="AG5884" t="s">
        <v>8645</v>
      </c>
      <c r="AH5884" t="s">
        <v>8646</v>
      </c>
      <c r="AI5884" t="str">
        <f>"9170126"</f>
        <v>9170126</v>
      </c>
      <c r="AJ5884" t="s">
        <v>9041</v>
      </c>
      <c r="AK5884">
        <v>2810871213</v>
      </c>
      <c r="AL5884" t="s">
        <v>9042</v>
      </c>
      <c r="AM5884" t="s">
        <v>78</v>
      </c>
      <c r="AN5884" t="s">
        <v>78</v>
      </c>
      <c r="AO5884" t="s">
        <v>437</v>
      </c>
      <c r="AP5884" t="s">
        <v>438</v>
      </c>
      <c r="AQ5884">
        <v>5</v>
      </c>
      <c r="AR5884" t="s">
        <v>80</v>
      </c>
      <c r="AS5884" t="s">
        <v>81</v>
      </c>
      <c r="AT5884" t="s">
        <v>58</v>
      </c>
      <c r="AU5884" t="s">
        <v>68</v>
      </c>
      <c r="AV5884" t="s">
        <v>69</v>
      </c>
      <c r="AW5884" s="1">
        <v>31387</v>
      </c>
      <c r="AX5884">
        <v>1</v>
      </c>
    </row>
    <row r="5885" spans="1:50">
      <c r="A5885">
        <v>576146</v>
      </c>
      <c r="B5885" t="str">
        <f>"034600277"</f>
        <v>034600277</v>
      </c>
      <c r="C5885" t="s">
        <v>50</v>
      </c>
      <c r="D5885" t="s">
        <v>2210</v>
      </c>
      <c r="E5885" t="s">
        <v>237</v>
      </c>
      <c r="F5885" t="s">
        <v>995</v>
      </c>
      <c r="G5885" t="s">
        <v>109</v>
      </c>
      <c r="H5885" t="str">
        <f>"ΗΦΑΙΣΤΟΥ Κ ΑΜΑΖΟΝΩΝ ΗΡΑΚΛΕΙΟ"</f>
        <v>ΗΦΑΙΣΤΟΥ Κ ΑΜΑΖΟΝΩΝ ΗΡΑΚΛΕΙΟ</v>
      </c>
      <c r="I5885">
        <v>71303</v>
      </c>
      <c r="J5885">
        <v>2810255698</v>
      </c>
      <c r="K5885">
        <v>6977785691</v>
      </c>
      <c r="N5885" t="s">
        <v>1525</v>
      </c>
      <c r="O5885" t="s">
        <v>1526</v>
      </c>
      <c r="R5885" t="s">
        <v>57</v>
      </c>
      <c r="S5885">
        <v>13</v>
      </c>
      <c r="T5885">
        <v>184</v>
      </c>
      <c r="U5885" s="1">
        <v>34941</v>
      </c>
      <c r="V5885" t="s">
        <v>80</v>
      </c>
      <c r="W5885" t="s">
        <v>81</v>
      </c>
      <c r="X5885" t="s">
        <v>58</v>
      </c>
      <c r="Y5885">
        <v>25</v>
      </c>
      <c r="Z5885" t="s">
        <v>59</v>
      </c>
      <c r="AA5885" t="s">
        <v>59</v>
      </c>
      <c r="AB5885" t="s">
        <v>59</v>
      </c>
      <c r="AC5885" t="s">
        <v>59</v>
      </c>
      <c r="AD5885" t="s">
        <v>59</v>
      </c>
      <c r="AF5885" s="1">
        <v>34943</v>
      </c>
      <c r="AG5885" t="s">
        <v>8651</v>
      </c>
      <c r="AH5885" t="s">
        <v>8652</v>
      </c>
      <c r="AI5885" t="str">
        <f>"9170104"</f>
        <v>9170104</v>
      </c>
      <c r="AJ5885" t="s">
        <v>10323</v>
      </c>
      <c r="AK5885">
        <v>2810222334</v>
      </c>
      <c r="AL5885" t="s">
        <v>10324</v>
      </c>
      <c r="AM5885" t="s">
        <v>78</v>
      </c>
      <c r="AN5885" t="s">
        <v>78</v>
      </c>
      <c r="AO5885" t="s">
        <v>78</v>
      </c>
      <c r="AP5885" t="s">
        <v>213</v>
      </c>
      <c r="AQ5885">
        <v>1</v>
      </c>
      <c r="AR5885" t="s">
        <v>80</v>
      </c>
      <c r="AS5885" t="s">
        <v>81</v>
      </c>
      <c r="AT5885" t="s">
        <v>58</v>
      </c>
      <c r="AU5885" t="s">
        <v>68</v>
      </c>
      <c r="AV5885" t="s">
        <v>69</v>
      </c>
      <c r="AW5885" s="1">
        <v>23429</v>
      </c>
      <c r="AX5885">
        <v>1</v>
      </c>
    </row>
    <row r="5886" spans="1:50">
      <c r="A5886">
        <v>566059</v>
      </c>
      <c r="B5886" t="str">
        <f>"064121505"</f>
        <v>064121505</v>
      </c>
      <c r="C5886" t="s">
        <v>50</v>
      </c>
      <c r="D5886" t="s">
        <v>2210</v>
      </c>
      <c r="E5886" t="s">
        <v>52</v>
      </c>
      <c r="F5886" t="s">
        <v>920</v>
      </c>
      <c r="G5886" t="s">
        <v>263</v>
      </c>
      <c r="H5886" t="str">
        <f>"ΕΥΜΑΘΙΟΥ 31 ΗΡΑΚΛΕΙΟ"</f>
        <v>ΕΥΜΑΘΙΟΥ 31 ΗΡΑΚΛΕΙΟ</v>
      </c>
      <c r="J5886">
        <v>2810237328</v>
      </c>
      <c r="N5886" t="s">
        <v>615</v>
      </c>
      <c r="O5886" t="s">
        <v>616</v>
      </c>
      <c r="R5886" t="s">
        <v>57</v>
      </c>
      <c r="S5886">
        <v>15</v>
      </c>
      <c r="T5886">
        <v>161</v>
      </c>
      <c r="U5886" s="1">
        <v>33119</v>
      </c>
      <c r="V5886" t="s">
        <v>80</v>
      </c>
      <c r="W5886" t="s">
        <v>81</v>
      </c>
      <c r="X5886" t="s">
        <v>58</v>
      </c>
      <c r="Y5886">
        <v>21</v>
      </c>
      <c r="Z5886" t="s">
        <v>59</v>
      </c>
      <c r="AA5886" t="s">
        <v>59</v>
      </c>
      <c r="AB5886" t="s">
        <v>59</v>
      </c>
      <c r="AC5886" t="s">
        <v>59</v>
      </c>
      <c r="AD5886" t="s">
        <v>59</v>
      </c>
      <c r="AF5886" s="1">
        <v>33120</v>
      </c>
      <c r="AG5886" t="s">
        <v>8645</v>
      </c>
      <c r="AH5886" t="s">
        <v>8646</v>
      </c>
      <c r="AI5886" t="str">
        <f>"9170115"</f>
        <v>9170115</v>
      </c>
      <c r="AJ5886" t="s">
        <v>8770</v>
      </c>
      <c r="AK5886">
        <v>2810231165</v>
      </c>
      <c r="AL5886" t="s">
        <v>8771</v>
      </c>
      <c r="AM5886" t="s">
        <v>78</v>
      </c>
      <c r="AN5886" t="s">
        <v>78</v>
      </c>
      <c r="AO5886" t="s">
        <v>78</v>
      </c>
      <c r="AP5886" t="s">
        <v>141</v>
      </c>
      <c r="AQ5886">
        <v>1</v>
      </c>
      <c r="AR5886" t="s">
        <v>80</v>
      </c>
      <c r="AS5886" t="s">
        <v>81</v>
      </c>
      <c r="AT5886" t="s">
        <v>58</v>
      </c>
      <c r="AU5886" t="s">
        <v>68</v>
      </c>
      <c r="AV5886" t="s">
        <v>69</v>
      </c>
      <c r="AW5886" s="1">
        <v>22982</v>
      </c>
      <c r="AX5886">
        <v>1</v>
      </c>
    </row>
    <row r="5887" spans="1:50">
      <c r="A5887">
        <v>570774</v>
      </c>
      <c r="B5887" t="str">
        <f>"042713561"</f>
        <v>042713561</v>
      </c>
      <c r="C5887" t="s">
        <v>50</v>
      </c>
      <c r="D5887" t="s">
        <v>2210</v>
      </c>
      <c r="E5887" t="s">
        <v>1155</v>
      </c>
      <c r="F5887" t="s">
        <v>111</v>
      </c>
      <c r="G5887" t="s">
        <v>255</v>
      </c>
      <c r="H5887" t="str">
        <f>"ΔΙΑΒΑΤΗ 8 ΗΡΑΚΛΕΙΟΥ"</f>
        <v>ΔΙΑΒΑΤΗ 8 ΗΡΑΚΛΕΙΟΥ</v>
      </c>
      <c r="I5887">
        <v>71409</v>
      </c>
      <c r="J5887">
        <v>2810321005</v>
      </c>
      <c r="K5887">
        <v>6974316539</v>
      </c>
      <c r="N5887" t="s">
        <v>615</v>
      </c>
      <c r="O5887" t="s">
        <v>616</v>
      </c>
      <c r="R5887" t="s">
        <v>57</v>
      </c>
      <c r="S5887">
        <v>14</v>
      </c>
      <c r="T5887">
        <v>138</v>
      </c>
      <c r="U5887" s="1">
        <v>34206</v>
      </c>
      <c r="V5887" t="s">
        <v>80</v>
      </c>
      <c r="W5887" t="s">
        <v>81</v>
      </c>
      <c r="X5887" t="s">
        <v>58</v>
      </c>
      <c r="Y5887">
        <v>21</v>
      </c>
      <c r="Z5887" t="s">
        <v>59</v>
      </c>
      <c r="AA5887" t="s">
        <v>59</v>
      </c>
      <c r="AB5887" t="s">
        <v>59</v>
      </c>
      <c r="AC5887" t="s">
        <v>59</v>
      </c>
      <c r="AD5887" t="s">
        <v>59</v>
      </c>
      <c r="AF5887" s="1">
        <v>34213</v>
      </c>
      <c r="AG5887" t="s">
        <v>8645</v>
      </c>
      <c r="AH5887" t="s">
        <v>8646</v>
      </c>
      <c r="AI5887" t="str">
        <f>"9170190"</f>
        <v>9170190</v>
      </c>
      <c r="AJ5887" t="s">
        <v>8689</v>
      </c>
      <c r="AK5887">
        <v>2810232169</v>
      </c>
      <c r="AL5887" t="s">
        <v>8690</v>
      </c>
      <c r="AM5887" t="s">
        <v>78</v>
      </c>
      <c r="AN5887" t="s">
        <v>78</v>
      </c>
      <c r="AO5887" t="s">
        <v>78</v>
      </c>
      <c r="AP5887" t="s">
        <v>163</v>
      </c>
      <c r="AQ5887">
        <v>1</v>
      </c>
      <c r="AR5887" t="s">
        <v>80</v>
      </c>
      <c r="AS5887" t="s">
        <v>81</v>
      </c>
      <c r="AT5887" t="s">
        <v>58</v>
      </c>
      <c r="AU5887" t="s">
        <v>68</v>
      </c>
      <c r="AV5887" t="s">
        <v>2039</v>
      </c>
      <c r="AW5887" s="1">
        <v>23554</v>
      </c>
      <c r="AX5887">
        <v>1</v>
      </c>
    </row>
    <row r="5888" spans="1:50">
      <c r="B5888" t="str">
        <f>"064020313"</f>
        <v>064020313</v>
      </c>
      <c r="C5888" t="s">
        <v>50</v>
      </c>
      <c r="D5888" t="s">
        <v>2210</v>
      </c>
      <c r="E5888" t="s">
        <v>10325</v>
      </c>
      <c r="F5888" t="s">
        <v>1328</v>
      </c>
      <c r="G5888" t="s">
        <v>52</v>
      </c>
      <c r="H5888" t="str">
        <f>"ΓΙΑΝΝΟΥΛΗ ΧΑΛΕΠΑ 9 "</f>
        <v xml:space="preserve">ΓΙΑΝΝΟΥΛΗ ΧΑΛΕΠΑ 9 </v>
      </c>
      <c r="I5888">
        <v>71306</v>
      </c>
      <c r="J5888">
        <v>2810235108</v>
      </c>
      <c r="K5888">
        <v>6942964493</v>
      </c>
      <c r="N5888" t="s">
        <v>1525</v>
      </c>
      <c r="O5888" t="s">
        <v>1526</v>
      </c>
      <c r="R5888" t="s">
        <v>159</v>
      </c>
      <c r="S5888">
        <v>5</v>
      </c>
      <c r="T5888" t="s">
        <v>8670</v>
      </c>
      <c r="U5888" s="1">
        <v>43348</v>
      </c>
      <c r="V5888" t="s">
        <v>80</v>
      </c>
      <c r="W5888" t="s">
        <v>81</v>
      </c>
      <c r="X5888" t="s">
        <v>58</v>
      </c>
      <c r="Y5888">
        <v>25</v>
      </c>
      <c r="Z5888" t="s">
        <v>59</v>
      </c>
      <c r="AA5888" t="s">
        <v>59</v>
      </c>
      <c r="AB5888" t="s">
        <v>59</v>
      </c>
      <c r="AC5888" t="s">
        <v>59</v>
      </c>
      <c r="AD5888" t="s">
        <v>59</v>
      </c>
      <c r="AF5888" s="1">
        <v>43348</v>
      </c>
      <c r="AG5888" t="s">
        <v>8651</v>
      </c>
      <c r="AH5888" t="s">
        <v>8652</v>
      </c>
      <c r="AI5888" t="str">
        <f>"9170422"</f>
        <v>9170422</v>
      </c>
      <c r="AJ5888" t="s">
        <v>8829</v>
      </c>
      <c r="AK5888">
        <v>2892097222</v>
      </c>
      <c r="AL5888" t="s">
        <v>8830</v>
      </c>
      <c r="AM5888" t="s">
        <v>78</v>
      </c>
      <c r="AN5888" t="s">
        <v>242</v>
      </c>
      <c r="AO5888" t="s">
        <v>243</v>
      </c>
      <c r="AP5888" t="s">
        <v>8831</v>
      </c>
      <c r="AQ5888">
        <v>16</v>
      </c>
      <c r="AR5888" t="s">
        <v>80</v>
      </c>
      <c r="AS5888" t="s">
        <v>81</v>
      </c>
      <c r="AT5888" t="s">
        <v>58</v>
      </c>
      <c r="AU5888" t="s">
        <v>8673</v>
      </c>
      <c r="AV5888" t="s">
        <v>132</v>
      </c>
      <c r="AW5888" s="1">
        <v>30797</v>
      </c>
      <c r="AX5888">
        <v>1</v>
      </c>
    </row>
    <row r="5889" spans="1:50">
      <c r="B5889" t="str">
        <f>"118810247"</f>
        <v>118810247</v>
      </c>
      <c r="C5889" t="s">
        <v>50</v>
      </c>
      <c r="D5889" t="s">
        <v>2210</v>
      </c>
      <c r="E5889" t="s">
        <v>54</v>
      </c>
      <c r="F5889" t="s">
        <v>2320</v>
      </c>
      <c r="G5889" t="s">
        <v>52</v>
      </c>
      <c r="H5889" t="str">
        <f>"ΝΙΚ.ΚΑΜΠΙΤΑΚΗ 23 ΑΓ.ΙΩΑΝΝΗΣ ΗΡΑΚΛΕΙΟ"</f>
        <v>ΝΙΚ.ΚΑΜΠΙΤΑΚΗ 23 ΑΓ.ΙΩΑΝΝΗΣ ΗΡΑΚΛΕΙΟ</v>
      </c>
      <c r="I5889">
        <v>71500</v>
      </c>
      <c r="J5889">
        <v>2811102595</v>
      </c>
      <c r="K5889">
        <v>6972708990</v>
      </c>
      <c r="N5889" t="s">
        <v>288</v>
      </c>
      <c r="O5889" t="s">
        <v>289</v>
      </c>
      <c r="R5889" t="s">
        <v>121</v>
      </c>
      <c r="S5889">
        <v>2</v>
      </c>
      <c r="T5889" t="s">
        <v>8675</v>
      </c>
      <c r="U5889" s="1">
        <v>43348</v>
      </c>
      <c r="V5889" t="s">
        <v>80</v>
      </c>
      <c r="W5889" t="s">
        <v>81</v>
      </c>
      <c r="X5889" t="s">
        <v>58</v>
      </c>
      <c r="Y5889">
        <v>14</v>
      </c>
      <c r="Z5889" t="s">
        <v>59</v>
      </c>
      <c r="AA5889" t="s">
        <v>59</v>
      </c>
      <c r="AB5889" t="s">
        <v>59</v>
      </c>
      <c r="AC5889" t="s">
        <v>59</v>
      </c>
      <c r="AD5889" t="s">
        <v>59</v>
      </c>
      <c r="AF5889" s="1">
        <v>43348</v>
      </c>
      <c r="AG5889" t="s">
        <v>8645</v>
      </c>
      <c r="AH5889" t="s">
        <v>8646</v>
      </c>
      <c r="AI5889" t="str">
        <f>"9170534"</f>
        <v>9170534</v>
      </c>
      <c r="AJ5889" t="s">
        <v>8701</v>
      </c>
      <c r="AK5889">
        <v>2810323225</v>
      </c>
      <c r="AL5889" t="s">
        <v>8702</v>
      </c>
      <c r="AM5889" t="s">
        <v>78</v>
      </c>
      <c r="AN5889" t="s">
        <v>78</v>
      </c>
      <c r="AO5889" t="s">
        <v>78</v>
      </c>
      <c r="AP5889" t="s">
        <v>163</v>
      </c>
      <c r="AQ5889">
        <v>1</v>
      </c>
      <c r="AR5889" t="s">
        <v>80</v>
      </c>
      <c r="AS5889" t="s">
        <v>81</v>
      </c>
      <c r="AT5889" t="s">
        <v>58</v>
      </c>
      <c r="AU5889" t="s">
        <v>8686</v>
      </c>
      <c r="AV5889" t="s">
        <v>132</v>
      </c>
      <c r="AW5889" s="1">
        <v>28630</v>
      </c>
      <c r="AX5889">
        <v>1</v>
      </c>
    </row>
    <row r="5890" spans="1:50">
      <c r="A5890">
        <v>565485</v>
      </c>
      <c r="B5890" t="str">
        <f>"036491501"</f>
        <v>036491501</v>
      </c>
      <c r="C5890" t="s">
        <v>50</v>
      </c>
      <c r="D5890" t="s">
        <v>2210</v>
      </c>
      <c r="E5890" t="s">
        <v>2672</v>
      </c>
      <c r="F5890" t="s">
        <v>920</v>
      </c>
      <c r="G5890" t="s">
        <v>83</v>
      </c>
      <c r="H5890" t="str">
        <f>"ΟΜΗΡΟΥ 26 ΗΡΑΚΛΕΙΟ"</f>
        <v>ΟΜΗΡΟΥ 26 ΗΡΑΚΛΕΙΟ</v>
      </c>
      <c r="I5890">
        <v>71306</v>
      </c>
      <c r="J5890">
        <v>2810210488</v>
      </c>
      <c r="K5890">
        <v>6977709382</v>
      </c>
      <c r="M5890" t="s">
        <v>10326</v>
      </c>
      <c r="N5890" t="s">
        <v>615</v>
      </c>
      <c r="O5890" t="s">
        <v>616</v>
      </c>
      <c r="R5890" t="s">
        <v>57</v>
      </c>
      <c r="S5890">
        <v>14</v>
      </c>
      <c r="T5890">
        <v>161</v>
      </c>
      <c r="U5890" s="1">
        <v>33119</v>
      </c>
      <c r="V5890" t="s">
        <v>80</v>
      </c>
      <c r="W5890" t="s">
        <v>81</v>
      </c>
      <c r="X5890" t="s">
        <v>58</v>
      </c>
      <c r="Y5890">
        <v>21</v>
      </c>
      <c r="Z5890" t="s">
        <v>59</v>
      </c>
      <c r="AA5890" t="s">
        <v>59</v>
      </c>
      <c r="AB5890" t="s">
        <v>59</v>
      </c>
      <c r="AC5890" t="s">
        <v>59</v>
      </c>
      <c r="AD5890" t="s">
        <v>59</v>
      </c>
      <c r="AF5890" s="1">
        <v>33121</v>
      </c>
      <c r="AG5890" t="s">
        <v>8645</v>
      </c>
      <c r="AH5890" t="s">
        <v>8646</v>
      </c>
      <c r="AI5890" t="str">
        <f>"9170048"</f>
        <v>9170048</v>
      </c>
      <c r="AJ5890" t="s">
        <v>8977</v>
      </c>
      <c r="AK5890">
        <v>2810283303</v>
      </c>
      <c r="AL5890" t="s">
        <v>8978</v>
      </c>
      <c r="AM5890" t="s">
        <v>78</v>
      </c>
      <c r="AN5890" t="s">
        <v>78</v>
      </c>
      <c r="AO5890" t="s">
        <v>78</v>
      </c>
      <c r="AP5890" t="s">
        <v>79</v>
      </c>
      <c r="AQ5890">
        <v>1</v>
      </c>
      <c r="AR5890" t="s">
        <v>80</v>
      </c>
      <c r="AS5890" t="s">
        <v>81</v>
      </c>
      <c r="AT5890" t="s">
        <v>58</v>
      </c>
      <c r="AU5890" t="s">
        <v>68</v>
      </c>
      <c r="AV5890" t="s">
        <v>69</v>
      </c>
      <c r="AW5890" s="1">
        <v>24415</v>
      </c>
      <c r="AX5890">
        <v>1</v>
      </c>
    </row>
    <row r="5891" spans="1:50">
      <c r="A5891">
        <v>621865</v>
      </c>
      <c r="B5891" t="str">
        <f>"107334510"</f>
        <v>107334510</v>
      </c>
      <c r="C5891" t="s">
        <v>50</v>
      </c>
      <c r="D5891" t="s">
        <v>2216</v>
      </c>
      <c r="E5891" t="s">
        <v>250</v>
      </c>
      <c r="F5891" t="s">
        <v>2933</v>
      </c>
      <c r="G5891" t="s">
        <v>440</v>
      </c>
      <c r="H5891" t="str">
        <f>"ΡΕΝΙΕΡΗ 38 ΗΡΑΚΛΕΙΟ"</f>
        <v>ΡΕΝΙΕΡΗ 38 ΗΡΑΚΛΕΙΟ</v>
      </c>
      <c r="I5891">
        <v>71201</v>
      </c>
      <c r="J5891">
        <v>2284023023</v>
      </c>
      <c r="K5891">
        <v>6937137294</v>
      </c>
      <c r="N5891" t="s">
        <v>615</v>
      </c>
      <c r="O5891" t="s">
        <v>616</v>
      </c>
      <c r="R5891" t="s">
        <v>57</v>
      </c>
      <c r="S5891">
        <v>5</v>
      </c>
      <c r="T5891">
        <v>653</v>
      </c>
      <c r="U5891" s="1">
        <v>40043</v>
      </c>
      <c r="V5891" t="s">
        <v>80</v>
      </c>
      <c r="W5891" t="s">
        <v>81</v>
      </c>
      <c r="X5891" t="s">
        <v>58</v>
      </c>
      <c r="Y5891">
        <v>23</v>
      </c>
      <c r="Z5891" t="s">
        <v>59</v>
      </c>
      <c r="AA5891" t="s">
        <v>59</v>
      </c>
      <c r="AB5891" t="s">
        <v>59</v>
      </c>
      <c r="AC5891" t="s">
        <v>59</v>
      </c>
      <c r="AD5891" t="s">
        <v>59</v>
      </c>
      <c r="AF5891" s="1">
        <v>40043</v>
      </c>
      <c r="AG5891" t="s">
        <v>8645</v>
      </c>
      <c r="AH5891" t="s">
        <v>8646</v>
      </c>
      <c r="AI5891" t="str">
        <f>"9170235"</f>
        <v>9170235</v>
      </c>
      <c r="AJ5891" t="s">
        <v>8806</v>
      </c>
      <c r="AK5891">
        <v>2891031258</v>
      </c>
      <c r="AL5891" t="s">
        <v>8807</v>
      </c>
      <c r="AM5891" t="s">
        <v>78</v>
      </c>
      <c r="AN5891" t="s">
        <v>276</v>
      </c>
      <c r="AO5891" t="s">
        <v>277</v>
      </c>
      <c r="AP5891" t="s">
        <v>277</v>
      </c>
      <c r="AQ5891">
        <v>13</v>
      </c>
      <c r="AR5891" t="s">
        <v>80</v>
      </c>
      <c r="AS5891" t="s">
        <v>81</v>
      </c>
      <c r="AT5891" t="s">
        <v>58</v>
      </c>
      <c r="AU5891" t="s">
        <v>68</v>
      </c>
      <c r="AV5891" t="s">
        <v>69</v>
      </c>
      <c r="AW5891" s="1">
        <v>31213</v>
      </c>
      <c r="AX5891">
        <v>1</v>
      </c>
    </row>
    <row r="5892" spans="1:50">
      <c r="B5892" t="str">
        <f>"141240617"</f>
        <v>141240617</v>
      </c>
      <c r="C5892" t="s">
        <v>50</v>
      </c>
      <c r="D5892" t="s">
        <v>10327</v>
      </c>
      <c r="E5892" t="s">
        <v>52</v>
      </c>
      <c r="F5892" t="s">
        <v>309</v>
      </c>
      <c r="G5892" t="s">
        <v>314</v>
      </c>
      <c r="H5892" t="str">
        <f>"ΓΡ.ΛΑΜΠΡΑΚΗ 72 ΘΕΣΣΑΛΟΝΙΚΗ"</f>
        <v>ΓΡ.ΛΑΜΠΡΑΚΗ 72 ΘΕΣΣΑΛΟΝΙΚΗ</v>
      </c>
      <c r="I5892">
        <v>54638</v>
      </c>
      <c r="J5892">
        <v>2310929121</v>
      </c>
      <c r="K5892">
        <v>6957898823</v>
      </c>
      <c r="N5892" t="s">
        <v>615</v>
      </c>
      <c r="O5892" t="s">
        <v>616</v>
      </c>
      <c r="R5892" t="s">
        <v>159</v>
      </c>
      <c r="S5892">
        <v>2</v>
      </c>
      <c r="T5892" t="s">
        <v>8675</v>
      </c>
      <c r="U5892" s="1">
        <v>43348</v>
      </c>
      <c r="V5892" t="s">
        <v>80</v>
      </c>
      <c r="W5892" t="s">
        <v>81</v>
      </c>
      <c r="X5892" t="s">
        <v>58</v>
      </c>
      <c r="Y5892">
        <v>24</v>
      </c>
      <c r="Z5892" t="s">
        <v>59</v>
      </c>
      <c r="AA5892" t="s">
        <v>59</v>
      </c>
      <c r="AB5892" t="s">
        <v>59</v>
      </c>
      <c r="AC5892" t="s">
        <v>59</v>
      </c>
      <c r="AD5892" t="s">
        <v>59</v>
      </c>
      <c r="AF5892" s="1">
        <v>43348</v>
      </c>
      <c r="AG5892" t="s">
        <v>8645</v>
      </c>
      <c r="AH5892" t="s">
        <v>8646</v>
      </c>
      <c r="AI5892" t="str">
        <f>"9170309"</f>
        <v>9170309</v>
      </c>
      <c r="AJ5892" t="s">
        <v>9079</v>
      </c>
      <c r="AK5892">
        <v>2893041265</v>
      </c>
      <c r="AL5892" t="s">
        <v>9080</v>
      </c>
      <c r="AM5892" t="s">
        <v>78</v>
      </c>
      <c r="AN5892" t="s">
        <v>405</v>
      </c>
      <c r="AO5892" t="s">
        <v>405</v>
      </c>
      <c r="AP5892" t="s">
        <v>2895</v>
      </c>
      <c r="AQ5892">
        <v>17</v>
      </c>
      <c r="AR5892" t="s">
        <v>80</v>
      </c>
      <c r="AS5892" t="s">
        <v>81</v>
      </c>
      <c r="AT5892" t="s">
        <v>58</v>
      </c>
      <c r="AU5892" t="s">
        <v>8673</v>
      </c>
      <c r="AV5892" t="s">
        <v>132</v>
      </c>
      <c r="AW5892" s="1">
        <v>32255</v>
      </c>
      <c r="AX5892">
        <v>1</v>
      </c>
    </row>
    <row r="5893" spans="1:50">
      <c r="B5893" t="str">
        <f>"103529531"</f>
        <v>103529531</v>
      </c>
      <c r="C5893" t="s">
        <v>50</v>
      </c>
      <c r="D5893" t="s">
        <v>2224</v>
      </c>
      <c r="E5893" t="s">
        <v>237</v>
      </c>
      <c r="F5893" t="s">
        <v>72</v>
      </c>
      <c r="G5893" t="s">
        <v>215</v>
      </c>
      <c r="H5893" t="str">
        <f>" "</f>
        <v xml:space="preserve"> </v>
      </c>
      <c r="N5893" t="s">
        <v>1525</v>
      </c>
      <c r="O5893" t="s">
        <v>1526</v>
      </c>
      <c r="R5893" t="s">
        <v>121</v>
      </c>
      <c r="S5893">
        <v>6</v>
      </c>
      <c r="T5893" t="s">
        <v>8670</v>
      </c>
      <c r="U5893" s="1">
        <v>43348</v>
      </c>
      <c r="V5893" t="s">
        <v>80</v>
      </c>
      <c r="W5893" t="s">
        <v>81</v>
      </c>
      <c r="X5893" t="s">
        <v>58</v>
      </c>
      <c r="Y5893">
        <v>25</v>
      </c>
      <c r="Z5893" t="s">
        <v>59</v>
      </c>
      <c r="AA5893" t="s">
        <v>59</v>
      </c>
      <c r="AB5893" t="s">
        <v>59</v>
      </c>
      <c r="AD5893" t="s">
        <v>59</v>
      </c>
      <c r="AF5893" s="1">
        <v>43348</v>
      </c>
      <c r="AG5893" t="s">
        <v>8651</v>
      </c>
      <c r="AH5893" t="s">
        <v>8652</v>
      </c>
      <c r="AI5893" t="str">
        <f>"9170603"</f>
        <v>9170603</v>
      </c>
      <c r="AJ5893" t="s">
        <v>10328</v>
      </c>
      <c r="AK5893">
        <v>2810542177</v>
      </c>
      <c r="AL5893" t="s">
        <v>10329</v>
      </c>
      <c r="AM5893" t="s">
        <v>78</v>
      </c>
      <c r="AN5893" t="s">
        <v>78</v>
      </c>
      <c r="AO5893" t="s">
        <v>78</v>
      </c>
      <c r="AP5893" t="s">
        <v>9053</v>
      </c>
      <c r="AQ5893">
        <v>1</v>
      </c>
      <c r="AR5893" t="s">
        <v>80</v>
      </c>
      <c r="AS5893" t="s">
        <v>81</v>
      </c>
      <c r="AT5893" t="s">
        <v>58</v>
      </c>
      <c r="AU5893" t="s">
        <v>8673</v>
      </c>
      <c r="AV5893" t="s">
        <v>132</v>
      </c>
      <c r="AW5893" s="1">
        <v>26774</v>
      </c>
      <c r="AX5893">
        <v>1</v>
      </c>
    </row>
    <row r="5894" spans="1:50">
      <c r="A5894">
        <v>618114</v>
      </c>
      <c r="B5894" t="str">
        <f>"137207894"</f>
        <v>137207894</v>
      </c>
      <c r="C5894" t="s">
        <v>50</v>
      </c>
      <c r="D5894" t="s">
        <v>2224</v>
      </c>
      <c r="E5894" t="s">
        <v>52</v>
      </c>
      <c r="F5894" t="s">
        <v>2227</v>
      </c>
      <c r="G5894" t="s">
        <v>181</v>
      </c>
      <c r="H5894" t="str">
        <f>"ΟΥΛΑΦ ΠΑΛΜΕ 187 ΗΡΑΚΛΕΙΟ"</f>
        <v>ΟΥΛΑΦ ΠΑΛΜΕ 187 ΗΡΑΚΛΕΙΟ</v>
      </c>
      <c r="I5894">
        <v>71410</v>
      </c>
      <c r="J5894">
        <v>2810239053</v>
      </c>
      <c r="K5894">
        <v>6988919204</v>
      </c>
      <c r="N5894" t="s">
        <v>615</v>
      </c>
      <c r="O5894" t="s">
        <v>616</v>
      </c>
      <c r="R5894" t="s">
        <v>57</v>
      </c>
      <c r="S5894">
        <v>5</v>
      </c>
      <c r="T5894">
        <v>774</v>
      </c>
      <c r="U5894" s="1">
        <v>39680</v>
      </c>
      <c r="V5894" t="s">
        <v>80</v>
      </c>
      <c r="W5894" t="s">
        <v>81</v>
      </c>
      <c r="X5894" t="s">
        <v>58</v>
      </c>
      <c r="Y5894">
        <v>23</v>
      </c>
      <c r="Z5894" t="s">
        <v>59</v>
      </c>
      <c r="AA5894" t="s">
        <v>59</v>
      </c>
      <c r="AB5894" t="s">
        <v>59</v>
      </c>
      <c r="AC5894" t="s">
        <v>59</v>
      </c>
      <c r="AD5894" t="s">
        <v>59</v>
      </c>
      <c r="AF5894" s="1">
        <v>39681</v>
      </c>
      <c r="AG5894" t="s">
        <v>8645</v>
      </c>
      <c r="AH5894" t="s">
        <v>8646</v>
      </c>
      <c r="AI5894" t="str">
        <f>"9170197"</f>
        <v>9170197</v>
      </c>
      <c r="AJ5894" t="s">
        <v>8989</v>
      </c>
      <c r="AK5894">
        <v>2810232577</v>
      </c>
      <c r="AL5894" t="s">
        <v>8990</v>
      </c>
      <c r="AM5894" t="s">
        <v>78</v>
      </c>
      <c r="AN5894" t="s">
        <v>78</v>
      </c>
      <c r="AO5894" t="s">
        <v>78</v>
      </c>
      <c r="AP5894" t="s">
        <v>163</v>
      </c>
      <c r="AQ5894">
        <v>1</v>
      </c>
      <c r="AR5894" t="s">
        <v>80</v>
      </c>
      <c r="AS5894" t="s">
        <v>81</v>
      </c>
      <c r="AT5894" t="s">
        <v>58</v>
      </c>
      <c r="AU5894" t="s">
        <v>68</v>
      </c>
      <c r="AV5894" t="s">
        <v>69</v>
      </c>
      <c r="AW5894" s="1">
        <v>29373</v>
      </c>
      <c r="AX5894">
        <v>1</v>
      </c>
    </row>
    <row r="5895" spans="1:50">
      <c r="A5895">
        <v>597445</v>
      </c>
      <c r="B5895" t="str">
        <f>"110121400"</f>
        <v>110121400</v>
      </c>
      <c r="C5895" t="s">
        <v>105</v>
      </c>
      <c r="D5895" t="s">
        <v>2226</v>
      </c>
      <c r="E5895" t="s">
        <v>760</v>
      </c>
      <c r="F5895" t="s">
        <v>95</v>
      </c>
      <c r="G5895" t="s">
        <v>237</v>
      </c>
      <c r="H5895" t="str">
        <f>"ΜΑΚΕΔΟΝΙΑΣ  1 ΗΡΑΚΛΕΙΟΝ"</f>
        <v>ΜΑΚΕΔΟΝΙΑΣ  1 ΗΡΑΚΛΕΙΟΝ</v>
      </c>
      <c r="I5895">
        <v>71307</v>
      </c>
      <c r="J5895">
        <v>2810229559</v>
      </c>
      <c r="K5895">
        <v>6974667984</v>
      </c>
      <c r="M5895" t="s">
        <v>10330</v>
      </c>
      <c r="N5895" t="s">
        <v>306</v>
      </c>
      <c r="O5895" t="s">
        <v>307</v>
      </c>
      <c r="R5895" t="s">
        <v>57</v>
      </c>
      <c r="S5895">
        <v>8</v>
      </c>
      <c r="T5895">
        <v>193</v>
      </c>
      <c r="U5895" s="1">
        <v>37497</v>
      </c>
      <c r="V5895" t="s">
        <v>80</v>
      </c>
      <c r="W5895" t="s">
        <v>81</v>
      </c>
      <c r="X5895" t="s">
        <v>58</v>
      </c>
      <c r="Y5895">
        <v>22</v>
      </c>
      <c r="Z5895" t="s">
        <v>59</v>
      </c>
      <c r="AA5895" t="s">
        <v>59</v>
      </c>
      <c r="AB5895" t="s">
        <v>59</v>
      </c>
      <c r="AC5895" t="s">
        <v>59</v>
      </c>
      <c r="AD5895" t="s">
        <v>59</v>
      </c>
      <c r="AF5895" s="1">
        <v>37501</v>
      </c>
      <c r="AG5895" t="s">
        <v>8645</v>
      </c>
      <c r="AH5895" t="s">
        <v>8646</v>
      </c>
      <c r="AI5895" t="str">
        <f>"9170427"</f>
        <v>9170427</v>
      </c>
      <c r="AJ5895" t="s">
        <v>8817</v>
      </c>
      <c r="AK5895">
        <v>2810220998</v>
      </c>
      <c r="AL5895" t="s">
        <v>8818</v>
      </c>
      <c r="AM5895" t="s">
        <v>78</v>
      </c>
      <c r="AN5895" t="s">
        <v>78</v>
      </c>
      <c r="AO5895" t="s">
        <v>286</v>
      </c>
      <c r="AP5895" t="s">
        <v>286</v>
      </c>
      <c r="AQ5895">
        <v>1</v>
      </c>
      <c r="AR5895" t="s">
        <v>80</v>
      </c>
      <c r="AS5895" t="s">
        <v>81</v>
      </c>
      <c r="AT5895" t="s">
        <v>58</v>
      </c>
      <c r="AU5895" t="s">
        <v>68</v>
      </c>
      <c r="AV5895" t="s">
        <v>69</v>
      </c>
      <c r="AW5895" s="1">
        <v>26845</v>
      </c>
      <c r="AX5895">
        <v>1</v>
      </c>
    </row>
    <row r="5896" spans="1:50">
      <c r="A5896">
        <v>610087</v>
      </c>
      <c r="B5896" t="str">
        <f>"038631430"</f>
        <v>038631430</v>
      </c>
      <c r="C5896" t="s">
        <v>105</v>
      </c>
      <c r="D5896" t="s">
        <v>2226</v>
      </c>
      <c r="E5896" t="s">
        <v>760</v>
      </c>
      <c r="F5896" t="s">
        <v>72</v>
      </c>
      <c r="G5896" t="s">
        <v>215</v>
      </c>
      <c r="H5896" t="str">
        <f>" "</f>
        <v xml:space="preserve"> </v>
      </c>
      <c r="J5896">
        <v>2810285773</v>
      </c>
      <c r="K5896">
        <v>6942983255</v>
      </c>
      <c r="N5896" t="s">
        <v>615</v>
      </c>
      <c r="O5896" t="s">
        <v>616</v>
      </c>
      <c r="R5896" t="s">
        <v>57</v>
      </c>
      <c r="S5896">
        <v>7</v>
      </c>
      <c r="T5896">
        <v>233</v>
      </c>
      <c r="U5896" s="1">
        <v>38960</v>
      </c>
      <c r="V5896" t="s">
        <v>80</v>
      </c>
      <c r="W5896" t="s">
        <v>81</v>
      </c>
      <c r="X5896" t="s">
        <v>58</v>
      </c>
      <c r="Y5896">
        <v>23</v>
      </c>
      <c r="Z5896" t="s">
        <v>59</v>
      </c>
      <c r="AA5896" t="s">
        <v>59</v>
      </c>
      <c r="AB5896" t="s">
        <v>59</v>
      </c>
      <c r="AC5896" t="s">
        <v>59</v>
      </c>
      <c r="AD5896" t="s">
        <v>59</v>
      </c>
      <c r="AF5896" s="1">
        <v>38961</v>
      </c>
      <c r="AG5896" t="s">
        <v>8645</v>
      </c>
      <c r="AH5896" t="s">
        <v>8646</v>
      </c>
      <c r="AI5896" t="str">
        <f>"9170057"</f>
        <v>9170057</v>
      </c>
      <c r="AJ5896" t="s">
        <v>8929</v>
      </c>
      <c r="AK5896">
        <v>2810251505</v>
      </c>
      <c r="AL5896" t="s">
        <v>8930</v>
      </c>
      <c r="AM5896" t="s">
        <v>78</v>
      </c>
      <c r="AN5896" t="s">
        <v>78</v>
      </c>
      <c r="AO5896" t="s">
        <v>78</v>
      </c>
      <c r="AP5896" t="s">
        <v>141</v>
      </c>
      <c r="AQ5896">
        <v>1</v>
      </c>
      <c r="AR5896" t="s">
        <v>80</v>
      </c>
      <c r="AS5896" t="s">
        <v>81</v>
      </c>
      <c r="AT5896" t="s">
        <v>58</v>
      </c>
      <c r="AU5896" t="s">
        <v>68</v>
      </c>
      <c r="AV5896" t="s">
        <v>69</v>
      </c>
      <c r="AW5896" s="1">
        <v>23083</v>
      </c>
      <c r="AX5896">
        <v>1</v>
      </c>
    </row>
    <row r="5897" spans="1:50">
      <c r="A5897">
        <v>557243</v>
      </c>
      <c r="B5897" t="str">
        <f>"033070577"</f>
        <v>033070577</v>
      </c>
      <c r="C5897" t="s">
        <v>105</v>
      </c>
      <c r="D5897" t="s">
        <v>10331</v>
      </c>
      <c r="E5897" t="s">
        <v>166</v>
      </c>
      <c r="F5897" t="s">
        <v>900</v>
      </c>
      <c r="G5897" t="s">
        <v>1114</v>
      </c>
      <c r="H5897" t="str">
        <f>"ΕΡΜΟΥ 7 ΑΜΜΟΥΔΑΡΑ ΓΑΖΙΟΥ "</f>
        <v xml:space="preserve">ΕΡΜΟΥ 7 ΑΜΜΟΥΔΑΡΑ ΓΑΖΙΟΥ </v>
      </c>
      <c r="I5897">
        <v>71414</v>
      </c>
      <c r="J5897">
        <v>2810258633</v>
      </c>
      <c r="K5897">
        <v>6976114609</v>
      </c>
      <c r="N5897" t="s">
        <v>615</v>
      </c>
      <c r="O5897" t="s">
        <v>616</v>
      </c>
      <c r="R5897" t="s">
        <v>57</v>
      </c>
      <c r="S5897">
        <v>16</v>
      </c>
      <c r="T5897">
        <v>168</v>
      </c>
      <c r="U5897" s="1">
        <v>32010</v>
      </c>
      <c r="V5897" t="s">
        <v>80</v>
      </c>
      <c r="W5897" t="s">
        <v>81</v>
      </c>
      <c r="X5897" t="s">
        <v>58</v>
      </c>
      <c r="Y5897">
        <v>21</v>
      </c>
      <c r="Z5897" t="s">
        <v>59</v>
      </c>
      <c r="AA5897" t="s">
        <v>59</v>
      </c>
      <c r="AB5897" t="s">
        <v>59</v>
      </c>
      <c r="AC5897" t="s">
        <v>59</v>
      </c>
      <c r="AD5897" t="s">
        <v>59</v>
      </c>
      <c r="AF5897" s="1">
        <v>32022</v>
      </c>
      <c r="AG5897" t="s">
        <v>8645</v>
      </c>
      <c r="AH5897" t="s">
        <v>8646</v>
      </c>
      <c r="AI5897" t="str">
        <f>"9170017"</f>
        <v>9170017</v>
      </c>
      <c r="AJ5897" t="s">
        <v>9114</v>
      </c>
      <c r="AK5897">
        <v>2810250746</v>
      </c>
      <c r="AL5897" t="s">
        <v>9115</v>
      </c>
      <c r="AM5897" t="s">
        <v>78</v>
      </c>
      <c r="AN5897" t="s">
        <v>129</v>
      </c>
      <c r="AO5897" t="s">
        <v>130</v>
      </c>
      <c r="AP5897" t="s">
        <v>130</v>
      </c>
      <c r="AQ5897">
        <v>1</v>
      </c>
      <c r="AR5897" t="s">
        <v>80</v>
      </c>
      <c r="AS5897" t="s">
        <v>81</v>
      </c>
      <c r="AT5897" t="s">
        <v>58</v>
      </c>
      <c r="AU5897" t="s">
        <v>68</v>
      </c>
      <c r="AV5897" t="s">
        <v>69</v>
      </c>
      <c r="AW5897" s="1">
        <v>22924</v>
      </c>
      <c r="AX5897">
        <v>1</v>
      </c>
    </row>
    <row r="5898" spans="1:50">
      <c r="A5898">
        <v>583987</v>
      </c>
      <c r="B5898" t="str">
        <f>"103526946"</f>
        <v>103526946</v>
      </c>
      <c r="C5898" t="s">
        <v>50</v>
      </c>
      <c r="D5898" t="s">
        <v>10332</v>
      </c>
      <c r="E5898" t="s">
        <v>507</v>
      </c>
      <c r="F5898" t="s">
        <v>670</v>
      </c>
      <c r="G5898" t="s">
        <v>237</v>
      </c>
      <c r="H5898" t="str">
        <f>"ΙΦΙΓΕΝΕΙΑΣ ΣΚΑΛΑΝΙ"</f>
        <v>ΙΦΙΓΕΝΕΙΑΣ ΣΚΑΛΑΝΙ</v>
      </c>
      <c r="J5898">
        <v>2810731919</v>
      </c>
      <c r="N5898" t="s">
        <v>615</v>
      </c>
      <c r="O5898" t="s">
        <v>616</v>
      </c>
      <c r="R5898" t="s">
        <v>57</v>
      </c>
      <c r="S5898">
        <v>12</v>
      </c>
      <c r="T5898">
        <v>165</v>
      </c>
      <c r="U5898" s="1">
        <v>36040</v>
      </c>
      <c r="V5898" t="s">
        <v>80</v>
      </c>
      <c r="W5898" t="s">
        <v>81</v>
      </c>
      <c r="X5898" t="s">
        <v>58</v>
      </c>
      <c r="Y5898">
        <v>21</v>
      </c>
      <c r="Z5898" t="s">
        <v>59</v>
      </c>
      <c r="AA5898" t="s">
        <v>59</v>
      </c>
      <c r="AB5898" t="s">
        <v>59</v>
      </c>
      <c r="AC5898" t="s">
        <v>59</v>
      </c>
      <c r="AD5898" t="s">
        <v>59</v>
      </c>
      <c r="AF5898" s="1">
        <v>36045</v>
      </c>
      <c r="AG5898" t="s">
        <v>8645</v>
      </c>
      <c r="AH5898" t="s">
        <v>8646</v>
      </c>
      <c r="AI5898" t="str">
        <f>"9170102"</f>
        <v>9170102</v>
      </c>
      <c r="AJ5898" t="s">
        <v>9019</v>
      </c>
      <c r="AK5898">
        <v>2810283938</v>
      </c>
      <c r="AL5898" t="s">
        <v>9020</v>
      </c>
      <c r="AM5898" t="s">
        <v>78</v>
      </c>
      <c r="AN5898" t="s">
        <v>78</v>
      </c>
      <c r="AO5898" t="s">
        <v>78</v>
      </c>
      <c r="AP5898" t="s">
        <v>79</v>
      </c>
      <c r="AQ5898">
        <v>1</v>
      </c>
      <c r="AR5898" t="s">
        <v>80</v>
      </c>
      <c r="AS5898" t="s">
        <v>81</v>
      </c>
      <c r="AT5898" t="s">
        <v>58</v>
      </c>
      <c r="AU5898" t="s">
        <v>68</v>
      </c>
      <c r="AV5898" t="s">
        <v>69</v>
      </c>
      <c r="AW5898" s="1">
        <v>21602</v>
      </c>
      <c r="AX5898">
        <v>1</v>
      </c>
    </row>
    <row r="5899" spans="1:50">
      <c r="A5899">
        <v>617252</v>
      </c>
      <c r="B5899" t="str">
        <f>"131476179"</f>
        <v>131476179</v>
      </c>
      <c r="C5899" t="s">
        <v>50</v>
      </c>
      <c r="D5899" t="s">
        <v>2232</v>
      </c>
      <c r="E5899" t="s">
        <v>1114</v>
      </c>
      <c r="F5899" t="s">
        <v>154</v>
      </c>
      <c r="G5899" t="s">
        <v>566</v>
      </c>
      <c r="H5899" t="str">
        <f>"ΓΑΛΙΑ ΜΟΙΡΕΣ"</f>
        <v>ΓΑΛΙΑ ΜΟΙΡΕΣ</v>
      </c>
      <c r="I5899">
        <v>70400</v>
      </c>
      <c r="J5899">
        <v>2892023343</v>
      </c>
      <c r="K5899">
        <v>6944964134</v>
      </c>
      <c r="N5899" t="s">
        <v>615</v>
      </c>
      <c r="O5899" t="s">
        <v>616</v>
      </c>
      <c r="R5899" t="s">
        <v>57</v>
      </c>
      <c r="S5899">
        <v>6</v>
      </c>
      <c r="T5899">
        <v>774</v>
      </c>
      <c r="U5899" s="1">
        <v>39680</v>
      </c>
      <c r="V5899" t="s">
        <v>80</v>
      </c>
      <c r="W5899" t="s">
        <v>81</v>
      </c>
      <c r="X5899" t="s">
        <v>58</v>
      </c>
      <c r="Y5899">
        <v>23</v>
      </c>
      <c r="Z5899" t="s">
        <v>59</v>
      </c>
      <c r="AA5899" t="s">
        <v>59</v>
      </c>
      <c r="AB5899" t="s">
        <v>59</v>
      </c>
      <c r="AC5899" t="s">
        <v>59</v>
      </c>
      <c r="AD5899" t="s">
        <v>59</v>
      </c>
      <c r="AF5899" s="1">
        <v>39682</v>
      </c>
      <c r="AG5899" t="s">
        <v>8645</v>
      </c>
      <c r="AH5899" t="s">
        <v>8646</v>
      </c>
      <c r="AI5899" t="str">
        <f>"9170268"</f>
        <v>9170268</v>
      </c>
      <c r="AJ5899" t="s">
        <v>9301</v>
      </c>
      <c r="AK5899">
        <v>2892022710</v>
      </c>
      <c r="AL5899" t="s">
        <v>9302</v>
      </c>
      <c r="AM5899" t="s">
        <v>78</v>
      </c>
      <c r="AN5899" t="s">
        <v>242</v>
      </c>
      <c r="AO5899" t="s">
        <v>243</v>
      </c>
      <c r="AP5899" t="s">
        <v>243</v>
      </c>
      <c r="AQ5899">
        <v>20</v>
      </c>
      <c r="AR5899" t="s">
        <v>80</v>
      </c>
      <c r="AS5899" t="s">
        <v>81</v>
      </c>
      <c r="AT5899" t="s">
        <v>58</v>
      </c>
      <c r="AU5899" t="s">
        <v>68</v>
      </c>
      <c r="AV5899" t="s">
        <v>69</v>
      </c>
      <c r="AW5899" s="1">
        <v>30496</v>
      </c>
      <c r="AX5899">
        <v>1</v>
      </c>
    </row>
    <row r="5900" spans="1:50">
      <c r="B5900" t="str">
        <f>"132345718"</f>
        <v>132345718</v>
      </c>
      <c r="C5900" t="s">
        <v>50</v>
      </c>
      <c r="D5900" t="s">
        <v>2232</v>
      </c>
      <c r="E5900" t="s">
        <v>215</v>
      </c>
      <c r="F5900" t="s">
        <v>99</v>
      </c>
      <c r="G5900" t="s">
        <v>52</v>
      </c>
      <c r="H5900" t="str">
        <f>"Γ. ΚΟΥΕΡΙΝΗ 3 "</f>
        <v xml:space="preserve">Γ. ΚΟΥΕΡΙΝΗ 3 </v>
      </c>
      <c r="I5900">
        <v>71307</v>
      </c>
      <c r="J5900">
        <v>2813007752</v>
      </c>
      <c r="K5900">
        <v>6947266131</v>
      </c>
      <c r="M5900" t="s">
        <v>10333</v>
      </c>
      <c r="N5900" t="s">
        <v>1525</v>
      </c>
      <c r="O5900" t="s">
        <v>1526</v>
      </c>
      <c r="R5900" t="s">
        <v>159</v>
      </c>
      <c r="S5900">
        <v>2</v>
      </c>
      <c r="T5900" t="s">
        <v>8670</v>
      </c>
      <c r="U5900" s="1">
        <v>43348</v>
      </c>
      <c r="V5900" t="s">
        <v>80</v>
      </c>
      <c r="W5900" t="s">
        <v>81</v>
      </c>
      <c r="X5900" t="s">
        <v>58</v>
      </c>
      <c r="Y5900">
        <v>25</v>
      </c>
      <c r="Z5900" t="s">
        <v>59</v>
      </c>
      <c r="AA5900" t="s">
        <v>59</v>
      </c>
      <c r="AB5900" t="s">
        <v>59</v>
      </c>
      <c r="AC5900" t="s">
        <v>59</v>
      </c>
      <c r="AD5900" t="s">
        <v>59</v>
      </c>
      <c r="AF5900" s="1">
        <v>43348</v>
      </c>
      <c r="AG5900" t="s">
        <v>8651</v>
      </c>
      <c r="AH5900" t="s">
        <v>8652</v>
      </c>
      <c r="AI5900" t="str">
        <f>"9170585"</f>
        <v>9170585</v>
      </c>
      <c r="AJ5900" t="s">
        <v>9051</v>
      </c>
      <c r="AK5900">
        <v>2810542736</v>
      </c>
      <c r="AL5900" t="s">
        <v>9052</v>
      </c>
      <c r="AM5900" t="s">
        <v>78</v>
      </c>
      <c r="AN5900" t="s">
        <v>78</v>
      </c>
      <c r="AO5900" t="s">
        <v>78</v>
      </c>
      <c r="AP5900" t="s">
        <v>9053</v>
      </c>
      <c r="AQ5900">
        <v>1</v>
      </c>
      <c r="AR5900" t="s">
        <v>80</v>
      </c>
      <c r="AS5900" t="s">
        <v>81</v>
      </c>
      <c r="AT5900" t="s">
        <v>58</v>
      </c>
      <c r="AU5900" t="s">
        <v>8673</v>
      </c>
      <c r="AV5900" t="s">
        <v>132</v>
      </c>
      <c r="AW5900" s="1">
        <v>31149</v>
      </c>
      <c r="AX5900">
        <v>1</v>
      </c>
    </row>
    <row r="5901" spans="1:50">
      <c r="A5901">
        <v>618157</v>
      </c>
      <c r="B5901" t="str">
        <f>"132304670"</f>
        <v>132304670</v>
      </c>
      <c r="C5901" t="s">
        <v>50</v>
      </c>
      <c r="D5901" t="s">
        <v>2232</v>
      </c>
      <c r="E5901" t="s">
        <v>181</v>
      </c>
      <c r="F5901" t="s">
        <v>2227</v>
      </c>
      <c r="G5901" t="s">
        <v>52</v>
      </c>
      <c r="H5901" t="str">
        <f>"ΚΕΡΑΜΟΥ 11 ΝΕΑ ΑΛΙΚΑΡΝΑΣΣΟΥ "</f>
        <v xml:space="preserve">ΚΕΡΑΜΟΥ 11 ΝΕΑ ΑΛΙΚΑΡΝΑΣΣΟΥ </v>
      </c>
      <c r="I5901">
        <v>71601</v>
      </c>
      <c r="J5901">
        <v>2811758387</v>
      </c>
      <c r="K5901">
        <v>6974829092</v>
      </c>
      <c r="N5901" t="s">
        <v>615</v>
      </c>
      <c r="O5901" t="s">
        <v>616</v>
      </c>
      <c r="R5901" t="s">
        <v>57</v>
      </c>
      <c r="S5901">
        <v>5</v>
      </c>
      <c r="T5901">
        <v>774</v>
      </c>
      <c r="U5901" s="1">
        <v>39680</v>
      </c>
      <c r="V5901" t="s">
        <v>80</v>
      </c>
      <c r="W5901" t="s">
        <v>81</v>
      </c>
      <c r="X5901" t="s">
        <v>58</v>
      </c>
      <c r="Y5901">
        <v>25</v>
      </c>
      <c r="Z5901" t="s">
        <v>59</v>
      </c>
      <c r="AA5901" t="s">
        <v>59</v>
      </c>
      <c r="AB5901" t="s">
        <v>59</v>
      </c>
      <c r="AC5901" t="s">
        <v>59</v>
      </c>
      <c r="AD5901" t="s">
        <v>59</v>
      </c>
      <c r="AF5901" s="1">
        <v>39681</v>
      </c>
      <c r="AG5901" t="s">
        <v>8645</v>
      </c>
      <c r="AH5901" t="s">
        <v>8676</v>
      </c>
      <c r="AI5901" t="str">
        <f>"9521628"</f>
        <v>9521628</v>
      </c>
      <c r="AJ5901" t="s">
        <v>9045</v>
      </c>
      <c r="AM5901" t="s">
        <v>78</v>
      </c>
      <c r="AN5901" t="s">
        <v>78</v>
      </c>
      <c r="AO5901" t="s">
        <v>286</v>
      </c>
      <c r="AP5901" t="s">
        <v>9046</v>
      </c>
      <c r="AR5901" t="s">
        <v>80</v>
      </c>
      <c r="AS5901" t="s">
        <v>81</v>
      </c>
      <c r="AT5901" t="s">
        <v>58</v>
      </c>
      <c r="AU5901" t="s">
        <v>68</v>
      </c>
      <c r="AV5901" t="s">
        <v>69</v>
      </c>
      <c r="AW5901" s="1">
        <v>30475</v>
      </c>
      <c r="AX5901">
        <v>1</v>
      </c>
    </row>
    <row r="5902" spans="1:50">
      <c r="B5902" t="str">
        <f>"138960660"</f>
        <v>138960660</v>
      </c>
      <c r="C5902" t="s">
        <v>50</v>
      </c>
      <c r="D5902" t="s">
        <v>2232</v>
      </c>
      <c r="E5902" t="s">
        <v>7030</v>
      </c>
      <c r="F5902" t="s">
        <v>2227</v>
      </c>
      <c r="G5902" t="s">
        <v>52</v>
      </c>
      <c r="H5902" t="str">
        <f>" "</f>
        <v xml:space="preserve"> </v>
      </c>
      <c r="N5902" t="s">
        <v>1525</v>
      </c>
      <c r="O5902" t="s">
        <v>1526</v>
      </c>
      <c r="R5902" t="s">
        <v>121</v>
      </c>
      <c r="S5902">
        <v>1</v>
      </c>
      <c r="T5902" t="s">
        <v>8670</v>
      </c>
      <c r="U5902" s="1">
        <v>43348</v>
      </c>
      <c r="V5902" t="s">
        <v>80</v>
      </c>
      <c r="W5902" t="s">
        <v>81</v>
      </c>
      <c r="X5902" t="s">
        <v>58</v>
      </c>
      <c r="Y5902">
        <v>25</v>
      </c>
      <c r="Z5902" t="s">
        <v>59</v>
      </c>
      <c r="AA5902" t="s">
        <v>59</v>
      </c>
      <c r="AB5902" t="s">
        <v>59</v>
      </c>
      <c r="AD5902" t="s">
        <v>59</v>
      </c>
      <c r="AF5902" s="1">
        <v>43348</v>
      </c>
      <c r="AG5902" t="s">
        <v>8651</v>
      </c>
      <c r="AH5902" t="s">
        <v>8652</v>
      </c>
      <c r="AI5902" t="str">
        <f>"9170050"</f>
        <v>9170050</v>
      </c>
      <c r="AJ5902" t="s">
        <v>10334</v>
      </c>
      <c r="AK5902">
        <v>2810250935</v>
      </c>
      <c r="AL5902" t="s">
        <v>10335</v>
      </c>
      <c r="AM5902" t="s">
        <v>78</v>
      </c>
      <c r="AN5902" t="s">
        <v>78</v>
      </c>
      <c r="AO5902" t="s">
        <v>78</v>
      </c>
      <c r="AP5902" t="s">
        <v>141</v>
      </c>
      <c r="AQ5902">
        <v>1</v>
      </c>
      <c r="AR5902" t="s">
        <v>80</v>
      </c>
      <c r="AS5902" t="s">
        <v>81</v>
      </c>
      <c r="AT5902" t="s">
        <v>58</v>
      </c>
      <c r="AU5902" t="s">
        <v>8673</v>
      </c>
      <c r="AV5902" t="s">
        <v>132</v>
      </c>
      <c r="AW5902" s="1">
        <v>31204</v>
      </c>
      <c r="AX5902">
        <v>1</v>
      </c>
    </row>
    <row r="5903" spans="1:50">
      <c r="A5903">
        <v>612570</v>
      </c>
      <c r="B5903" t="str">
        <f>"038720242"</f>
        <v>038720242</v>
      </c>
      <c r="C5903" t="s">
        <v>105</v>
      </c>
      <c r="D5903" t="s">
        <v>2237</v>
      </c>
      <c r="E5903" t="s">
        <v>99</v>
      </c>
      <c r="F5903" t="s">
        <v>5386</v>
      </c>
      <c r="G5903" t="s">
        <v>964</v>
      </c>
      <c r="H5903" t="str">
        <f>"ΜΕΑΝΔΡΟΥ 31 ΗΡΑΚΛΕΙΟ"</f>
        <v>ΜΕΑΝΔΡΟΥ 31 ΗΡΑΚΛΕΙΟ</v>
      </c>
      <c r="I5903">
        <v>71305</v>
      </c>
      <c r="J5903">
        <v>2810323441</v>
      </c>
      <c r="K5903">
        <v>6932281515</v>
      </c>
      <c r="N5903" t="s">
        <v>176</v>
      </c>
      <c r="O5903" t="s">
        <v>177</v>
      </c>
      <c r="R5903" t="s">
        <v>57</v>
      </c>
      <c r="S5903">
        <v>8</v>
      </c>
      <c r="T5903">
        <v>234</v>
      </c>
      <c r="U5903" s="1">
        <v>38960</v>
      </c>
      <c r="V5903" t="s">
        <v>80</v>
      </c>
      <c r="W5903" t="s">
        <v>81</v>
      </c>
      <c r="X5903" t="s">
        <v>58</v>
      </c>
      <c r="Y5903">
        <v>22</v>
      </c>
      <c r="Z5903" t="s">
        <v>59</v>
      </c>
      <c r="AA5903" t="s">
        <v>59</v>
      </c>
      <c r="AB5903" t="s">
        <v>59</v>
      </c>
      <c r="AC5903" t="s">
        <v>59</v>
      </c>
      <c r="AD5903" t="s">
        <v>59</v>
      </c>
      <c r="AF5903" s="1">
        <v>38961</v>
      </c>
      <c r="AG5903" t="s">
        <v>8645</v>
      </c>
      <c r="AH5903" t="s">
        <v>8646</v>
      </c>
      <c r="AI5903" t="str">
        <f>"9170531"</f>
        <v>9170531</v>
      </c>
      <c r="AJ5903" t="s">
        <v>8980</v>
      </c>
      <c r="AK5903">
        <v>2810229104</v>
      </c>
      <c r="AL5903" t="s">
        <v>8981</v>
      </c>
      <c r="AM5903" t="s">
        <v>78</v>
      </c>
      <c r="AN5903" t="s">
        <v>78</v>
      </c>
      <c r="AO5903" t="s">
        <v>78</v>
      </c>
      <c r="AP5903" t="s">
        <v>79</v>
      </c>
      <c r="AQ5903">
        <v>1</v>
      </c>
      <c r="AR5903" t="s">
        <v>80</v>
      </c>
      <c r="AS5903" t="s">
        <v>81</v>
      </c>
      <c r="AT5903" t="s">
        <v>58</v>
      </c>
      <c r="AU5903" t="s">
        <v>68</v>
      </c>
      <c r="AV5903" t="s">
        <v>69</v>
      </c>
      <c r="AW5903" s="1">
        <v>25133</v>
      </c>
      <c r="AX5903">
        <v>1</v>
      </c>
    </row>
    <row r="5904" spans="1:50">
      <c r="B5904" t="str">
        <f>"146177650"</f>
        <v>146177650</v>
      </c>
      <c r="C5904" t="s">
        <v>50</v>
      </c>
      <c r="D5904" t="s">
        <v>10336</v>
      </c>
      <c r="E5904" t="s">
        <v>10337</v>
      </c>
      <c r="F5904" t="s">
        <v>1585</v>
      </c>
      <c r="G5904" t="s">
        <v>580</v>
      </c>
      <c r="H5904" t="str">
        <f>"ΘΕΟΔΩΡΟΥ ΔΟΥΚΑ 20 "</f>
        <v xml:space="preserve">ΘΕΟΔΩΡΟΥ ΔΟΥΚΑ 20 </v>
      </c>
      <c r="I5904">
        <v>67100</v>
      </c>
      <c r="J5904">
        <v>2541067440</v>
      </c>
      <c r="K5904">
        <v>6974261798</v>
      </c>
      <c r="N5904" t="s">
        <v>615</v>
      </c>
      <c r="O5904" t="s">
        <v>616</v>
      </c>
      <c r="R5904" t="s">
        <v>159</v>
      </c>
      <c r="S5904">
        <v>1</v>
      </c>
      <c r="T5904" t="s">
        <v>8675</v>
      </c>
      <c r="U5904" s="1">
        <v>43348</v>
      </c>
      <c r="V5904" t="s">
        <v>80</v>
      </c>
      <c r="W5904" t="s">
        <v>81</v>
      </c>
      <c r="X5904" t="s">
        <v>58</v>
      </c>
      <c r="Y5904">
        <v>24</v>
      </c>
      <c r="Z5904" t="s">
        <v>59</v>
      </c>
      <c r="AA5904" t="s">
        <v>59</v>
      </c>
      <c r="AB5904" t="s">
        <v>59</v>
      </c>
      <c r="AC5904" t="s">
        <v>59</v>
      </c>
      <c r="AD5904" t="s">
        <v>59</v>
      </c>
      <c r="AF5904" s="1">
        <v>43348</v>
      </c>
      <c r="AG5904" t="s">
        <v>8645</v>
      </c>
      <c r="AH5904" t="s">
        <v>8646</v>
      </c>
      <c r="AI5904" t="str">
        <f>"9170549"</f>
        <v>9170549</v>
      </c>
      <c r="AJ5904" t="s">
        <v>8778</v>
      </c>
      <c r="AK5904">
        <v>2810751800</v>
      </c>
      <c r="AL5904" t="s">
        <v>8779</v>
      </c>
      <c r="AM5904" t="s">
        <v>78</v>
      </c>
      <c r="AN5904" t="s">
        <v>424</v>
      </c>
      <c r="AO5904" t="s">
        <v>425</v>
      </c>
      <c r="AP5904" t="s">
        <v>425</v>
      </c>
      <c r="AQ5904">
        <v>11</v>
      </c>
      <c r="AR5904" t="s">
        <v>80</v>
      </c>
      <c r="AS5904" t="s">
        <v>81</v>
      </c>
      <c r="AT5904" t="s">
        <v>58</v>
      </c>
      <c r="AU5904" t="s">
        <v>8673</v>
      </c>
      <c r="AV5904" t="s">
        <v>132</v>
      </c>
      <c r="AW5904" s="1">
        <v>32550</v>
      </c>
      <c r="AX5904">
        <v>1</v>
      </c>
    </row>
    <row r="5905" spans="1:50">
      <c r="A5905">
        <v>614168</v>
      </c>
      <c r="B5905" t="str">
        <f>"065931235"</f>
        <v>065931235</v>
      </c>
      <c r="C5905" t="s">
        <v>50</v>
      </c>
      <c r="D5905" t="s">
        <v>6115</v>
      </c>
      <c r="E5905" t="s">
        <v>52</v>
      </c>
      <c r="F5905" t="s">
        <v>72</v>
      </c>
      <c r="G5905" t="s">
        <v>83</v>
      </c>
      <c r="H5905" t="str">
        <f>"ΠΤΟΛΕΜΑΙΩΝ 3 ΗΡΑΚΛΕΙΟ ΚΡΗΤΗΣ"</f>
        <v>ΠΤΟΛΕΜΑΙΩΝ 3 ΗΡΑΚΛΕΙΟ ΚΡΗΤΗΣ</v>
      </c>
      <c r="I5905">
        <v>71409</v>
      </c>
      <c r="J5905">
        <v>2810360305</v>
      </c>
      <c r="K5905">
        <v>6976606812</v>
      </c>
      <c r="N5905" t="s">
        <v>615</v>
      </c>
      <c r="O5905" t="s">
        <v>616</v>
      </c>
      <c r="R5905" t="s">
        <v>57</v>
      </c>
      <c r="S5905">
        <v>8</v>
      </c>
      <c r="T5905">
        <v>598</v>
      </c>
      <c r="U5905" s="1">
        <v>39310</v>
      </c>
      <c r="V5905" t="s">
        <v>80</v>
      </c>
      <c r="W5905" t="s">
        <v>81</v>
      </c>
      <c r="X5905" t="s">
        <v>58</v>
      </c>
      <c r="Y5905">
        <v>23</v>
      </c>
      <c r="Z5905" t="s">
        <v>59</v>
      </c>
      <c r="AA5905" t="s">
        <v>59</v>
      </c>
      <c r="AB5905" t="s">
        <v>59</v>
      </c>
      <c r="AC5905" t="s">
        <v>59</v>
      </c>
      <c r="AD5905" t="s">
        <v>59</v>
      </c>
      <c r="AF5905" s="1">
        <v>39328</v>
      </c>
      <c r="AG5905" t="s">
        <v>8645</v>
      </c>
      <c r="AH5905" t="s">
        <v>8646</v>
      </c>
      <c r="AI5905" t="str">
        <f>"9170534"</f>
        <v>9170534</v>
      </c>
      <c r="AJ5905" t="s">
        <v>8701</v>
      </c>
      <c r="AK5905">
        <v>2810323225</v>
      </c>
      <c r="AL5905" t="s">
        <v>8702</v>
      </c>
      <c r="AM5905" t="s">
        <v>78</v>
      </c>
      <c r="AN5905" t="s">
        <v>78</v>
      </c>
      <c r="AO5905" t="s">
        <v>78</v>
      </c>
      <c r="AP5905" t="s">
        <v>163</v>
      </c>
      <c r="AQ5905">
        <v>1</v>
      </c>
      <c r="AR5905" t="s">
        <v>80</v>
      </c>
      <c r="AS5905" t="s">
        <v>81</v>
      </c>
      <c r="AT5905" t="s">
        <v>58</v>
      </c>
      <c r="AU5905" t="s">
        <v>68</v>
      </c>
      <c r="AV5905" t="s">
        <v>69</v>
      </c>
      <c r="AW5905" s="1">
        <v>28809</v>
      </c>
      <c r="AX5905">
        <v>1</v>
      </c>
    </row>
    <row r="5906" spans="1:50">
      <c r="B5906" t="str">
        <f>"044072472"</f>
        <v>044072472</v>
      </c>
      <c r="C5906" t="s">
        <v>50</v>
      </c>
      <c r="D5906" t="s">
        <v>7550</v>
      </c>
      <c r="E5906" t="s">
        <v>155</v>
      </c>
      <c r="F5906" t="s">
        <v>670</v>
      </c>
      <c r="G5906" t="s">
        <v>215</v>
      </c>
      <c r="H5906" t="str">
        <f>"ΣΟΥΝΙΟΥ  6 ΜΕΣΑΜΠΕΛΙΕΣ ΗΡΑΚΛΕΙΟ"</f>
        <v>ΣΟΥΝΙΟΥ  6 ΜΕΣΑΜΠΕΛΙΕΣ ΗΡΑΚΛΕΙΟ</v>
      </c>
      <c r="I5906">
        <v>71409</v>
      </c>
      <c r="J5906">
        <v>2815007717</v>
      </c>
      <c r="K5906">
        <v>6976424644</v>
      </c>
      <c r="N5906" t="s">
        <v>176</v>
      </c>
      <c r="O5906" t="s">
        <v>177</v>
      </c>
      <c r="R5906" t="s">
        <v>57</v>
      </c>
      <c r="S5906">
        <v>5</v>
      </c>
      <c r="T5906" t="s">
        <v>8675</v>
      </c>
      <c r="U5906" s="1">
        <v>43348</v>
      </c>
      <c r="V5906" t="s">
        <v>80</v>
      </c>
      <c r="W5906" t="s">
        <v>81</v>
      </c>
      <c r="X5906" t="s">
        <v>58</v>
      </c>
      <c r="Y5906">
        <v>23</v>
      </c>
      <c r="Z5906" t="s">
        <v>59</v>
      </c>
      <c r="AA5906" t="s">
        <v>59</v>
      </c>
      <c r="AB5906" t="s">
        <v>59</v>
      </c>
      <c r="AC5906" t="s">
        <v>59</v>
      </c>
      <c r="AD5906" t="s">
        <v>59</v>
      </c>
      <c r="AF5906" s="1">
        <v>43348</v>
      </c>
      <c r="AG5906" t="s">
        <v>8645</v>
      </c>
      <c r="AH5906" t="s">
        <v>8646</v>
      </c>
      <c r="AI5906" t="str">
        <f>"9170191"</f>
        <v>9170191</v>
      </c>
      <c r="AJ5906" t="s">
        <v>8667</v>
      </c>
      <c r="AK5906">
        <v>2810231459</v>
      </c>
      <c r="AL5906" t="s">
        <v>8668</v>
      </c>
      <c r="AM5906" t="s">
        <v>78</v>
      </c>
      <c r="AN5906" t="s">
        <v>78</v>
      </c>
      <c r="AO5906" t="s">
        <v>78</v>
      </c>
      <c r="AP5906" t="s">
        <v>163</v>
      </c>
      <c r="AQ5906">
        <v>1</v>
      </c>
      <c r="AR5906" t="s">
        <v>80</v>
      </c>
      <c r="AS5906" t="s">
        <v>81</v>
      </c>
      <c r="AT5906" t="s">
        <v>58</v>
      </c>
      <c r="AU5906" t="s">
        <v>8673</v>
      </c>
      <c r="AV5906" t="s">
        <v>132</v>
      </c>
      <c r="AW5906" s="1">
        <v>25063</v>
      </c>
      <c r="AX5906">
        <v>1</v>
      </c>
    </row>
    <row r="5907" spans="1:50">
      <c r="A5907">
        <v>557543</v>
      </c>
      <c r="B5907" t="str">
        <f>"065127520"</f>
        <v>065127520</v>
      </c>
      <c r="C5907" t="s">
        <v>50</v>
      </c>
      <c r="D5907" t="s">
        <v>10338</v>
      </c>
      <c r="E5907" t="s">
        <v>545</v>
      </c>
      <c r="F5907" t="s">
        <v>95</v>
      </c>
      <c r="G5907" t="s">
        <v>188</v>
      </c>
      <c r="H5907" t="str">
        <f>"ΠΑΛΑΙΟΚΑΠΑ 54 ΗΡΑΚΛΕΙΟ"</f>
        <v>ΠΑΛΑΙΟΚΑΠΑ 54 ΗΡΑΚΛΕΙΟ</v>
      </c>
      <c r="I5907">
        <v>71305</v>
      </c>
      <c r="K5907">
        <v>6906950591</v>
      </c>
      <c r="L5907">
        <v>6977223561</v>
      </c>
      <c r="N5907" t="s">
        <v>615</v>
      </c>
      <c r="O5907" t="s">
        <v>616</v>
      </c>
      <c r="R5907" t="s">
        <v>57</v>
      </c>
      <c r="S5907">
        <v>16</v>
      </c>
      <c r="T5907">
        <v>168</v>
      </c>
      <c r="U5907" s="1">
        <v>32010</v>
      </c>
      <c r="V5907" t="s">
        <v>80</v>
      </c>
      <c r="W5907" t="s">
        <v>81</v>
      </c>
      <c r="X5907" t="s">
        <v>58</v>
      </c>
      <c r="Y5907">
        <v>21</v>
      </c>
      <c r="Z5907" t="s">
        <v>59</v>
      </c>
      <c r="AA5907" t="s">
        <v>59</v>
      </c>
      <c r="AB5907" t="s">
        <v>59</v>
      </c>
      <c r="AC5907" t="s">
        <v>59</v>
      </c>
      <c r="AD5907" t="s">
        <v>59</v>
      </c>
      <c r="AF5907" s="1">
        <v>32023</v>
      </c>
      <c r="AG5907" t="s">
        <v>8645</v>
      </c>
      <c r="AH5907" t="s">
        <v>8646</v>
      </c>
      <c r="AI5907" t="str">
        <f>"9170114"</f>
        <v>9170114</v>
      </c>
      <c r="AJ5907" t="s">
        <v>9613</v>
      </c>
      <c r="AK5907">
        <v>2810241054</v>
      </c>
      <c r="AL5907" t="s">
        <v>9614</v>
      </c>
      <c r="AM5907" t="s">
        <v>78</v>
      </c>
      <c r="AN5907" t="s">
        <v>78</v>
      </c>
      <c r="AO5907" t="s">
        <v>78</v>
      </c>
      <c r="AP5907" t="s">
        <v>79</v>
      </c>
      <c r="AQ5907">
        <v>1</v>
      </c>
      <c r="AR5907" t="s">
        <v>80</v>
      </c>
      <c r="AS5907" t="s">
        <v>81</v>
      </c>
      <c r="AT5907" t="s">
        <v>58</v>
      </c>
      <c r="AU5907" t="s">
        <v>68</v>
      </c>
      <c r="AV5907" t="s">
        <v>69</v>
      </c>
      <c r="AW5907" s="1">
        <v>23151</v>
      </c>
      <c r="AX5907">
        <v>1</v>
      </c>
    </row>
    <row r="5908" spans="1:50">
      <c r="A5908">
        <v>702600</v>
      </c>
      <c r="B5908" t="str">
        <f>"114277783"</f>
        <v>114277783</v>
      </c>
      <c r="C5908" t="s">
        <v>50</v>
      </c>
      <c r="D5908" t="s">
        <v>10339</v>
      </c>
      <c r="E5908" t="s">
        <v>755</v>
      </c>
      <c r="F5908" t="s">
        <v>99</v>
      </c>
      <c r="G5908" t="s">
        <v>52</v>
      </c>
      <c r="H5908" t="str">
        <f>"ΙΕΡΟΛΟΧΙΤΩΝ 97 ΗΡΑΚΛΕΙΟ"</f>
        <v>ΙΕΡΟΛΟΧΙΤΩΝ 97 ΗΡΑΚΛΕΙΟ</v>
      </c>
      <c r="I5908">
        <v>71305</v>
      </c>
      <c r="J5908">
        <v>2810322693</v>
      </c>
      <c r="K5908">
        <v>6947815746</v>
      </c>
      <c r="M5908" t="s">
        <v>10340</v>
      </c>
      <c r="N5908" t="s">
        <v>1525</v>
      </c>
      <c r="O5908" t="s">
        <v>1526</v>
      </c>
      <c r="R5908" t="s">
        <v>57</v>
      </c>
      <c r="S5908">
        <v>6</v>
      </c>
      <c r="T5908">
        <v>772</v>
      </c>
      <c r="U5908" s="1">
        <v>40413</v>
      </c>
      <c r="V5908" t="s">
        <v>80</v>
      </c>
      <c r="W5908" t="s">
        <v>81</v>
      </c>
      <c r="X5908" t="s">
        <v>58</v>
      </c>
      <c r="Y5908">
        <v>25</v>
      </c>
      <c r="Z5908" t="s">
        <v>59</v>
      </c>
      <c r="AA5908" t="s">
        <v>59</v>
      </c>
      <c r="AB5908" t="s">
        <v>59</v>
      </c>
      <c r="AC5908" t="s">
        <v>59</v>
      </c>
      <c r="AD5908" t="s">
        <v>59</v>
      </c>
      <c r="AF5908" s="1">
        <v>40413</v>
      </c>
      <c r="AG5908" t="s">
        <v>8651</v>
      </c>
      <c r="AH5908" t="s">
        <v>8652</v>
      </c>
      <c r="AI5908" t="str">
        <f>"9170353"</f>
        <v>9170353</v>
      </c>
      <c r="AJ5908" t="s">
        <v>9119</v>
      </c>
      <c r="AK5908">
        <v>2810861585</v>
      </c>
      <c r="AL5908" t="s">
        <v>9120</v>
      </c>
      <c r="AM5908" t="s">
        <v>78</v>
      </c>
      <c r="AN5908" t="s">
        <v>78</v>
      </c>
      <c r="AO5908" t="s">
        <v>185</v>
      </c>
      <c r="AP5908" t="s">
        <v>8685</v>
      </c>
      <c r="AQ5908">
        <v>4</v>
      </c>
      <c r="AR5908" t="s">
        <v>80</v>
      </c>
      <c r="AS5908" t="s">
        <v>81</v>
      </c>
      <c r="AT5908" t="s">
        <v>58</v>
      </c>
      <c r="AU5908" t="s">
        <v>68</v>
      </c>
      <c r="AV5908" t="s">
        <v>69</v>
      </c>
      <c r="AW5908" s="1">
        <v>28384</v>
      </c>
      <c r="AX5908">
        <v>1</v>
      </c>
    </row>
    <row r="5909" spans="1:50">
      <c r="B5909" t="str">
        <f>"118910547"</f>
        <v>118910547</v>
      </c>
      <c r="C5909" t="s">
        <v>50</v>
      </c>
      <c r="D5909" t="s">
        <v>2250</v>
      </c>
      <c r="E5909" t="s">
        <v>280</v>
      </c>
      <c r="F5909" t="s">
        <v>95</v>
      </c>
      <c r="G5909" t="s">
        <v>255</v>
      </c>
      <c r="H5909" t="str">
        <f>"ΚΑΡΥΩΤΑΚΗ 10 ΓΑΖΙ"</f>
        <v>ΚΑΡΥΩΤΑΚΗ 10 ΓΑΖΙ</v>
      </c>
      <c r="I5909">
        <v>71414</v>
      </c>
      <c r="J5909">
        <v>2810310493</v>
      </c>
      <c r="K5909">
        <v>6972225338</v>
      </c>
      <c r="M5909" t="s">
        <v>10341</v>
      </c>
      <c r="N5909" t="s">
        <v>615</v>
      </c>
      <c r="O5909" t="s">
        <v>616</v>
      </c>
      <c r="R5909" t="s">
        <v>159</v>
      </c>
      <c r="S5909">
        <v>3</v>
      </c>
      <c r="T5909" t="s">
        <v>8675</v>
      </c>
      <c r="U5909" s="1">
        <v>43348</v>
      </c>
      <c r="V5909" t="s">
        <v>80</v>
      </c>
      <c r="W5909" t="s">
        <v>81</v>
      </c>
      <c r="X5909" t="s">
        <v>58</v>
      </c>
      <c r="Y5909">
        <v>24</v>
      </c>
      <c r="Z5909" t="s">
        <v>59</v>
      </c>
      <c r="AA5909" t="s">
        <v>59</v>
      </c>
      <c r="AB5909" t="s">
        <v>59</v>
      </c>
      <c r="AC5909" t="s">
        <v>59</v>
      </c>
      <c r="AD5909" t="s">
        <v>59</v>
      </c>
      <c r="AF5909" s="1">
        <v>43348</v>
      </c>
      <c r="AG5909" t="s">
        <v>8645</v>
      </c>
      <c r="AH5909" t="s">
        <v>8646</v>
      </c>
      <c r="AI5909" t="str">
        <f>"9170017"</f>
        <v>9170017</v>
      </c>
      <c r="AJ5909" t="s">
        <v>9114</v>
      </c>
      <c r="AK5909">
        <v>2810250746</v>
      </c>
      <c r="AL5909" t="s">
        <v>9115</v>
      </c>
      <c r="AM5909" t="s">
        <v>78</v>
      </c>
      <c r="AN5909" t="s">
        <v>129</v>
      </c>
      <c r="AO5909" t="s">
        <v>130</v>
      </c>
      <c r="AP5909" t="s">
        <v>130</v>
      </c>
      <c r="AQ5909">
        <v>1</v>
      </c>
      <c r="AR5909" t="s">
        <v>80</v>
      </c>
      <c r="AS5909" t="s">
        <v>81</v>
      </c>
      <c r="AT5909" t="s">
        <v>58</v>
      </c>
      <c r="AU5909" t="s">
        <v>8673</v>
      </c>
      <c r="AV5909" t="s">
        <v>132</v>
      </c>
      <c r="AW5909" s="1">
        <v>30467</v>
      </c>
      <c r="AX5909">
        <v>1</v>
      </c>
    </row>
    <row r="5910" spans="1:50">
      <c r="A5910">
        <v>554338</v>
      </c>
      <c r="B5910" t="str">
        <f>"048054193"</f>
        <v>048054193</v>
      </c>
      <c r="C5910" t="s">
        <v>50</v>
      </c>
      <c r="D5910" t="s">
        <v>2250</v>
      </c>
      <c r="E5910" t="s">
        <v>52</v>
      </c>
      <c r="F5910" t="s">
        <v>72</v>
      </c>
      <c r="G5910" t="s">
        <v>280</v>
      </c>
      <c r="H5910" t="str">
        <f>"ΒΡΙΤΟΜΑΡΤΙΔΟΣ 12 ΗΡΑΚΛΕΙΟ"</f>
        <v>ΒΡΙΤΟΜΑΡΤΙΔΟΣ 12 ΗΡΑΚΛΕΙΟ</v>
      </c>
      <c r="I5910">
        <v>71307</v>
      </c>
      <c r="J5910">
        <v>2810230404</v>
      </c>
      <c r="K5910">
        <v>6973319959</v>
      </c>
      <c r="N5910" t="s">
        <v>1525</v>
      </c>
      <c r="O5910" t="s">
        <v>1526</v>
      </c>
      <c r="R5910" t="s">
        <v>57</v>
      </c>
      <c r="S5910">
        <v>17</v>
      </c>
      <c r="T5910">
        <v>235</v>
      </c>
      <c r="U5910" s="1">
        <v>31289</v>
      </c>
      <c r="V5910" t="s">
        <v>80</v>
      </c>
      <c r="W5910" t="s">
        <v>81</v>
      </c>
      <c r="X5910" t="s">
        <v>58</v>
      </c>
      <c r="Y5910">
        <v>25</v>
      </c>
      <c r="Z5910" t="s">
        <v>59</v>
      </c>
      <c r="AA5910" t="s">
        <v>59</v>
      </c>
      <c r="AB5910" t="s">
        <v>59</v>
      </c>
      <c r="AC5910" t="s">
        <v>59</v>
      </c>
      <c r="AD5910" t="s">
        <v>59</v>
      </c>
      <c r="AF5910" s="1">
        <v>31299</v>
      </c>
      <c r="AG5910" t="s">
        <v>8651</v>
      </c>
      <c r="AH5910" t="s">
        <v>8652</v>
      </c>
      <c r="AI5910" t="str">
        <f>"9170188"</f>
        <v>9170188</v>
      </c>
      <c r="AJ5910" t="s">
        <v>10149</v>
      </c>
      <c r="AK5910">
        <v>2810212635</v>
      </c>
      <c r="AL5910" t="s">
        <v>10150</v>
      </c>
      <c r="AM5910" t="s">
        <v>78</v>
      </c>
      <c r="AN5910" t="s">
        <v>78</v>
      </c>
      <c r="AO5910" t="s">
        <v>78</v>
      </c>
      <c r="AP5910" t="s">
        <v>79</v>
      </c>
      <c r="AQ5910">
        <v>1</v>
      </c>
      <c r="AR5910" t="s">
        <v>80</v>
      </c>
      <c r="AS5910" t="s">
        <v>81</v>
      </c>
      <c r="AT5910" t="s">
        <v>58</v>
      </c>
      <c r="AU5910" t="s">
        <v>68</v>
      </c>
      <c r="AV5910" t="s">
        <v>69</v>
      </c>
      <c r="AW5910" s="1">
        <v>22052</v>
      </c>
      <c r="AX5910">
        <v>1</v>
      </c>
    </row>
    <row r="5911" spans="1:50">
      <c r="A5911">
        <v>618713</v>
      </c>
      <c r="B5911" t="str">
        <f>"131475503"</f>
        <v>131475503</v>
      </c>
      <c r="C5911" t="s">
        <v>105</v>
      </c>
      <c r="D5911" t="s">
        <v>2252</v>
      </c>
      <c r="E5911" t="s">
        <v>53</v>
      </c>
      <c r="F5911" t="s">
        <v>383</v>
      </c>
      <c r="G5911" t="s">
        <v>237</v>
      </c>
      <c r="H5911" t="str">
        <f>"Ι.Μ. ΘΥΜΙΑΝΗΣ ΑΤΣΙΠΟΠΟΥΛΟΥ"</f>
        <v>Ι.Μ. ΘΥΜΙΑΝΗΣ ΑΤΣΙΠΟΠΟΥΛΟΥ</v>
      </c>
      <c r="I5911">
        <v>74100</v>
      </c>
      <c r="J5911">
        <v>2893041057</v>
      </c>
      <c r="K5911">
        <v>6977922361</v>
      </c>
      <c r="M5911" t="s">
        <v>10342</v>
      </c>
      <c r="N5911" t="s">
        <v>615</v>
      </c>
      <c r="O5911" t="s">
        <v>616</v>
      </c>
      <c r="R5911" t="s">
        <v>57</v>
      </c>
      <c r="S5911">
        <v>5</v>
      </c>
      <c r="T5911">
        <v>774</v>
      </c>
      <c r="U5911" s="1">
        <v>39680</v>
      </c>
      <c r="V5911" t="s">
        <v>80</v>
      </c>
      <c r="W5911" t="s">
        <v>81</v>
      </c>
      <c r="X5911" t="s">
        <v>58</v>
      </c>
      <c r="Y5911">
        <v>23</v>
      </c>
      <c r="Z5911" t="s">
        <v>59</v>
      </c>
      <c r="AA5911" t="s">
        <v>59</v>
      </c>
      <c r="AB5911" t="s">
        <v>59</v>
      </c>
      <c r="AC5911" t="s">
        <v>59</v>
      </c>
      <c r="AD5911" t="s">
        <v>59</v>
      </c>
      <c r="AF5911" s="1">
        <v>39681</v>
      </c>
      <c r="AG5911" t="s">
        <v>8645</v>
      </c>
      <c r="AH5911" t="s">
        <v>8646</v>
      </c>
      <c r="AI5911" t="str">
        <f>"9170091"</f>
        <v>9170091</v>
      </c>
      <c r="AJ5911" t="s">
        <v>8764</v>
      </c>
      <c r="AK5911">
        <v>2810741381</v>
      </c>
      <c r="AL5911" t="s">
        <v>8765</v>
      </c>
      <c r="AM5911" t="s">
        <v>78</v>
      </c>
      <c r="AN5911" t="s">
        <v>424</v>
      </c>
      <c r="AO5911" t="s">
        <v>428</v>
      </c>
      <c r="AP5911" t="s">
        <v>8766</v>
      </c>
      <c r="AQ5911">
        <v>11</v>
      </c>
      <c r="AR5911" t="s">
        <v>80</v>
      </c>
      <c r="AS5911" t="s">
        <v>81</v>
      </c>
      <c r="AT5911" t="s">
        <v>58</v>
      </c>
      <c r="AU5911" t="s">
        <v>68</v>
      </c>
      <c r="AV5911" t="s">
        <v>69</v>
      </c>
      <c r="AW5911" s="1">
        <v>31031</v>
      </c>
      <c r="AX5911">
        <v>1</v>
      </c>
    </row>
    <row r="5912" spans="1:50">
      <c r="B5912" t="str">
        <f>"150893036"</f>
        <v>150893036</v>
      </c>
      <c r="C5912" t="s">
        <v>105</v>
      </c>
      <c r="D5912" t="s">
        <v>10343</v>
      </c>
      <c r="E5912" t="s">
        <v>315</v>
      </c>
      <c r="F5912" t="s">
        <v>450</v>
      </c>
      <c r="G5912" t="s">
        <v>155</v>
      </c>
      <c r="H5912" t="str">
        <f>"ΑΓ. ΣΠΥΡΙΔΩΝΟΣ  8 "</f>
        <v xml:space="preserve">ΑΓ. ΣΠΥΡΙΔΩΝΟΣ  8 </v>
      </c>
      <c r="I5912">
        <v>30002</v>
      </c>
      <c r="J5912">
        <v>2643023703</v>
      </c>
      <c r="K5912">
        <v>6982922639</v>
      </c>
      <c r="N5912" t="s">
        <v>615</v>
      </c>
      <c r="O5912" t="s">
        <v>616</v>
      </c>
      <c r="R5912" t="s">
        <v>159</v>
      </c>
      <c r="S5912">
        <v>3</v>
      </c>
      <c r="T5912" t="s">
        <v>8675</v>
      </c>
      <c r="U5912" s="1">
        <v>43348</v>
      </c>
      <c r="V5912" t="s">
        <v>80</v>
      </c>
      <c r="W5912" t="s">
        <v>81</v>
      </c>
      <c r="X5912" t="s">
        <v>58</v>
      </c>
      <c r="Y5912">
        <v>24</v>
      </c>
      <c r="Z5912" t="s">
        <v>59</v>
      </c>
      <c r="AA5912" t="s">
        <v>59</v>
      </c>
      <c r="AB5912" t="s">
        <v>59</v>
      </c>
      <c r="AC5912" t="s">
        <v>59</v>
      </c>
      <c r="AD5912" t="s">
        <v>59</v>
      </c>
      <c r="AF5912" s="1">
        <v>43348</v>
      </c>
      <c r="AG5912" t="s">
        <v>8645</v>
      </c>
      <c r="AH5912" t="s">
        <v>8646</v>
      </c>
      <c r="AI5912" t="str">
        <f>"9170268"</f>
        <v>9170268</v>
      </c>
      <c r="AJ5912" t="s">
        <v>9301</v>
      </c>
      <c r="AK5912">
        <v>2892022710</v>
      </c>
      <c r="AL5912" t="s">
        <v>9302</v>
      </c>
      <c r="AM5912" t="s">
        <v>78</v>
      </c>
      <c r="AN5912" t="s">
        <v>242</v>
      </c>
      <c r="AO5912" t="s">
        <v>243</v>
      </c>
      <c r="AP5912" t="s">
        <v>243</v>
      </c>
      <c r="AQ5912">
        <v>20</v>
      </c>
      <c r="AR5912" t="s">
        <v>80</v>
      </c>
      <c r="AS5912" t="s">
        <v>81</v>
      </c>
      <c r="AT5912" t="s">
        <v>58</v>
      </c>
      <c r="AU5912" t="s">
        <v>8673</v>
      </c>
      <c r="AV5912" t="s">
        <v>132</v>
      </c>
      <c r="AW5912" s="1">
        <v>32067</v>
      </c>
      <c r="AX5912">
        <v>1</v>
      </c>
    </row>
    <row r="5913" spans="1:50">
      <c r="B5913" t="str">
        <f>"045708175"</f>
        <v>045708175</v>
      </c>
      <c r="C5913" t="s">
        <v>105</v>
      </c>
      <c r="D5913" t="s">
        <v>10344</v>
      </c>
      <c r="E5913" t="s">
        <v>99</v>
      </c>
      <c r="F5913" t="s">
        <v>383</v>
      </c>
      <c r="G5913" t="s">
        <v>255</v>
      </c>
      <c r="H5913" t="str">
        <f>"ΠΑΡΓΙΝΟΣΚΑΛΑΣ 27Β ΛΕΥΚΑΔΙΤΙΚΑ"</f>
        <v>ΠΑΡΓΙΝΟΣΚΑΛΑΣ 27Β ΛΕΥΚΑΔΙΤΙΚΑ</v>
      </c>
      <c r="I5913">
        <v>48100</v>
      </c>
      <c r="J5913">
        <v>2682300912</v>
      </c>
      <c r="K5913">
        <v>6947819514</v>
      </c>
      <c r="N5913" t="s">
        <v>176</v>
      </c>
      <c r="O5913" t="s">
        <v>177</v>
      </c>
      <c r="R5913" t="s">
        <v>159</v>
      </c>
      <c r="S5913">
        <v>2</v>
      </c>
      <c r="T5913" t="s">
        <v>8675</v>
      </c>
      <c r="U5913" s="1">
        <v>43348</v>
      </c>
      <c r="V5913" t="s">
        <v>80</v>
      </c>
      <c r="W5913" t="s">
        <v>81</v>
      </c>
      <c r="X5913" t="s">
        <v>58</v>
      </c>
      <c r="Y5913">
        <v>24</v>
      </c>
      <c r="Z5913" t="s">
        <v>59</v>
      </c>
      <c r="AA5913" t="s">
        <v>59</v>
      </c>
      <c r="AB5913" t="s">
        <v>59</v>
      </c>
      <c r="AC5913" t="s">
        <v>59</v>
      </c>
      <c r="AD5913" t="s">
        <v>59</v>
      </c>
      <c r="AF5913" s="1">
        <v>43348</v>
      </c>
      <c r="AG5913" t="s">
        <v>8645</v>
      </c>
      <c r="AH5913" t="s">
        <v>8646</v>
      </c>
      <c r="AI5913" t="str">
        <f>"9170097"</f>
        <v>9170097</v>
      </c>
      <c r="AJ5913" t="s">
        <v>8826</v>
      </c>
      <c r="AK5913">
        <v>2810751807</v>
      </c>
      <c r="AL5913" t="s">
        <v>8827</v>
      </c>
      <c r="AM5913" t="s">
        <v>78</v>
      </c>
      <c r="AN5913" t="s">
        <v>424</v>
      </c>
      <c r="AO5913" t="s">
        <v>425</v>
      </c>
      <c r="AP5913" t="s">
        <v>425</v>
      </c>
      <c r="AQ5913">
        <v>11</v>
      </c>
      <c r="AR5913" t="s">
        <v>80</v>
      </c>
      <c r="AS5913" t="s">
        <v>81</v>
      </c>
      <c r="AT5913" t="s">
        <v>58</v>
      </c>
      <c r="AU5913" t="s">
        <v>8673</v>
      </c>
      <c r="AV5913" t="s">
        <v>132</v>
      </c>
      <c r="AW5913" s="1">
        <v>24606</v>
      </c>
      <c r="AX5913">
        <v>1</v>
      </c>
    </row>
    <row r="5914" spans="1:50">
      <c r="B5914" t="str">
        <f>"144475854"</f>
        <v>144475854</v>
      </c>
      <c r="C5914" t="s">
        <v>105</v>
      </c>
      <c r="D5914" t="s">
        <v>10345</v>
      </c>
      <c r="E5914" t="s">
        <v>760</v>
      </c>
      <c r="F5914" t="s">
        <v>53</v>
      </c>
      <c r="H5914" t="str">
        <f>" "</f>
        <v xml:space="preserve"> </v>
      </c>
      <c r="N5914" t="s">
        <v>8834</v>
      </c>
      <c r="O5914" t="s">
        <v>8695</v>
      </c>
      <c r="R5914" t="s">
        <v>159</v>
      </c>
      <c r="S5914">
        <v>4</v>
      </c>
      <c r="T5914" t="s">
        <v>8835</v>
      </c>
      <c r="U5914" s="1">
        <v>43348</v>
      </c>
      <c r="V5914" t="s">
        <v>80</v>
      </c>
      <c r="W5914" t="s">
        <v>81</v>
      </c>
      <c r="X5914" t="s">
        <v>58</v>
      </c>
      <c r="Y5914">
        <v>24</v>
      </c>
      <c r="Z5914" t="s">
        <v>59</v>
      </c>
      <c r="AA5914" t="s">
        <v>59</v>
      </c>
      <c r="AB5914" t="s">
        <v>59</v>
      </c>
      <c r="AC5914" t="s">
        <v>59</v>
      </c>
      <c r="AD5914" t="s">
        <v>59</v>
      </c>
      <c r="AF5914" s="1">
        <v>43348</v>
      </c>
      <c r="AG5914" t="s">
        <v>8645</v>
      </c>
      <c r="AH5914" t="s">
        <v>8646</v>
      </c>
      <c r="AI5914" t="str">
        <f>"9170259"</f>
        <v>9170259</v>
      </c>
      <c r="AJ5914" t="s">
        <v>8784</v>
      </c>
      <c r="AK5914">
        <v>6994891960</v>
      </c>
      <c r="AL5914" t="s">
        <v>8785</v>
      </c>
      <c r="AM5914" t="s">
        <v>78</v>
      </c>
      <c r="AN5914" t="s">
        <v>78</v>
      </c>
      <c r="AO5914" t="s">
        <v>78</v>
      </c>
      <c r="AP5914" t="s">
        <v>213</v>
      </c>
      <c r="AQ5914">
        <v>1</v>
      </c>
      <c r="AR5914" t="s">
        <v>80</v>
      </c>
      <c r="AS5914" t="s">
        <v>81</v>
      </c>
      <c r="AT5914" t="s">
        <v>58</v>
      </c>
      <c r="AU5914" t="s">
        <v>131</v>
      </c>
      <c r="AV5914" t="s">
        <v>132</v>
      </c>
      <c r="AW5914" s="1">
        <v>32272</v>
      </c>
      <c r="AX5914">
        <v>1</v>
      </c>
    </row>
    <row r="5915" spans="1:50">
      <c r="B5915" t="str">
        <f>"138133026"</f>
        <v>138133026</v>
      </c>
      <c r="C5915" t="s">
        <v>50</v>
      </c>
      <c r="D5915" t="s">
        <v>2254</v>
      </c>
      <c r="E5915" t="s">
        <v>964</v>
      </c>
      <c r="F5915" t="s">
        <v>564</v>
      </c>
      <c r="G5915" t="s">
        <v>8772</v>
      </c>
      <c r="H5915" t="str">
        <f>"ΕΜΠΟΡΙΟ "</f>
        <v xml:space="preserve">ΕΜΠΟΡΙΟ </v>
      </c>
      <c r="I5915">
        <v>50005</v>
      </c>
      <c r="J5915">
        <v>2463061148</v>
      </c>
      <c r="K5915">
        <v>6974753539</v>
      </c>
      <c r="N5915" t="s">
        <v>615</v>
      </c>
      <c r="O5915" t="s">
        <v>616</v>
      </c>
      <c r="R5915" t="s">
        <v>159</v>
      </c>
      <c r="S5915">
        <v>3</v>
      </c>
      <c r="T5915" t="s">
        <v>8675</v>
      </c>
      <c r="U5915" s="1">
        <v>43348</v>
      </c>
      <c r="V5915" t="s">
        <v>80</v>
      </c>
      <c r="W5915" t="s">
        <v>81</v>
      </c>
      <c r="X5915" t="s">
        <v>58</v>
      </c>
      <c r="Y5915">
        <v>24</v>
      </c>
      <c r="Z5915" t="s">
        <v>59</v>
      </c>
      <c r="AA5915" t="s">
        <v>59</v>
      </c>
      <c r="AB5915" t="s">
        <v>59</v>
      </c>
      <c r="AC5915" t="s">
        <v>59</v>
      </c>
      <c r="AD5915" t="s">
        <v>59</v>
      </c>
      <c r="AF5915" s="1">
        <v>43348</v>
      </c>
      <c r="AG5915" t="s">
        <v>8645</v>
      </c>
      <c r="AH5915" t="s">
        <v>8646</v>
      </c>
      <c r="AI5915" t="str">
        <f>"9170068"</f>
        <v>9170068</v>
      </c>
      <c r="AJ5915" t="s">
        <v>8773</v>
      </c>
      <c r="AK5915">
        <v>2893031217</v>
      </c>
      <c r="AL5915" t="s">
        <v>8774</v>
      </c>
      <c r="AM5915" t="s">
        <v>78</v>
      </c>
      <c r="AN5915" t="s">
        <v>405</v>
      </c>
      <c r="AO5915" t="s">
        <v>805</v>
      </c>
      <c r="AP5915" t="s">
        <v>806</v>
      </c>
      <c r="AQ5915">
        <v>15</v>
      </c>
      <c r="AR5915" t="s">
        <v>80</v>
      </c>
      <c r="AS5915" t="s">
        <v>81</v>
      </c>
      <c r="AT5915" t="s">
        <v>58</v>
      </c>
      <c r="AU5915" t="s">
        <v>8673</v>
      </c>
      <c r="AV5915" t="s">
        <v>132</v>
      </c>
      <c r="AW5915" s="1">
        <v>32169</v>
      </c>
      <c r="AX5915">
        <v>1</v>
      </c>
    </row>
    <row r="5916" spans="1:50">
      <c r="A5916">
        <v>615057</v>
      </c>
      <c r="B5916" t="str">
        <f>"101168018"</f>
        <v>101168018</v>
      </c>
      <c r="C5916" t="s">
        <v>50</v>
      </c>
      <c r="D5916" t="s">
        <v>2254</v>
      </c>
      <c r="E5916" t="s">
        <v>4361</v>
      </c>
      <c r="F5916" t="s">
        <v>108</v>
      </c>
      <c r="G5916" t="s">
        <v>181</v>
      </c>
      <c r="H5916" t="str">
        <f>"ΑΝΘΕΩΝ 84 ΗΡΑΚΛΕΙΟ "</f>
        <v xml:space="preserve">ΑΝΘΕΩΝ 84 ΗΡΑΚΛΕΙΟ </v>
      </c>
      <c r="I5916">
        <v>12131</v>
      </c>
      <c r="J5916">
        <v>2811753436</v>
      </c>
      <c r="K5916">
        <v>6947690358</v>
      </c>
      <c r="M5916" t="s">
        <v>10346</v>
      </c>
      <c r="N5916" t="s">
        <v>615</v>
      </c>
      <c r="O5916" t="s">
        <v>616</v>
      </c>
      <c r="R5916" t="s">
        <v>57</v>
      </c>
      <c r="S5916">
        <v>7</v>
      </c>
      <c r="T5916">
        <v>598</v>
      </c>
      <c r="U5916" s="1">
        <v>39310</v>
      </c>
      <c r="V5916" t="s">
        <v>80</v>
      </c>
      <c r="W5916" t="s">
        <v>81</v>
      </c>
      <c r="X5916" t="s">
        <v>58</v>
      </c>
      <c r="Y5916">
        <v>23</v>
      </c>
      <c r="Z5916" t="s">
        <v>59</v>
      </c>
      <c r="AA5916" t="s">
        <v>59</v>
      </c>
      <c r="AB5916" t="s">
        <v>59</v>
      </c>
      <c r="AC5916" t="s">
        <v>59</v>
      </c>
      <c r="AD5916" t="s">
        <v>59</v>
      </c>
      <c r="AF5916" s="1">
        <v>39328</v>
      </c>
      <c r="AG5916" t="s">
        <v>8645</v>
      </c>
      <c r="AH5916" t="s">
        <v>8646</v>
      </c>
      <c r="AI5916" t="str">
        <f>"9170533"</f>
        <v>9170533</v>
      </c>
      <c r="AJ5916" t="s">
        <v>9091</v>
      </c>
      <c r="AK5916">
        <v>2810239434</v>
      </c>
      <c r="AL5916" t="s">
        <v>9092</v>
      </c>
      <c r="AM5916" t="s">
        <v>78</v>
      </c>
      <c r="AN5916" t="s">
        <v>78</v>
      </c>
      <c r="AO5916" t="s">
        <v>78</v>
      </c>
      <c r="AP5916" t="s">
        <v>163</v>
      </c>
      <c r="AQ5916">
        <v>1</v>
      </c>
      <c r="AR5916" t="s">
        <v>80</v>
      </c>
      <c r="AS5916" t="s">
        <v>81</v>
      </c>
      <c r="AT5916" t="s">
        <v>58</v>
      </c>
      <c r="AU5916" t="s">
        <v>68</v>
      </c>
      <c r="AV5916" t="s">
        <v>69</v>
      </c>
      <c r="AW5916" s="1">
        <v>27666</v>
      </c>
      <c r="AX5916">
        <v>1</v>
      </c>
    </row>
    <row r="5917" spans="1:50">
      <c r="B5917" t="str">
        <f>"103804140"</f>
        <v>103804140</v>
      </c>
      <c r="C5917" t="s">
        <v>50</v>
      </c>
      <c r="D5917" t="s">
        <v>2257</v>
      </c>
      <c r="E5917" t="s">
        <v>83</v>
      </c>
      <c r="F5917" t="s">
        <v>95</v>
      </c>
      <c r="G5917" t="s">
        <v>892</v>
      </c>
      <c r="H5917" t="str">
        <f>"ΛΕΒΗΝΟΥ 43 "</f>
        <v xml:space="preserve">ΛΕΒΗΝΟΥ 43 </v>
      </c>
      <c r="I5917">
        <v>71304</v>
      </c>
      <c r="J5917">
        <v>2810311640</v>
      </c>
      <c r="K5917">
        <v>6949197120</v>
      </c>
      <c r="N5917" t="s">
        <v>9829</v>
      </c>
      <c r="O5917" t="s">
        <v>9830</v>
      </c>
      <c r="R5917" t="s">
        <v>159</v>
      </c>
      <c r="S5917">
        <v>5</v>
      </c>
      <c r="T5917" t="s">
        <v>8696</v>
      </c>
      <c r="U5917" s="1">
        <v>43348</v>
      </c>
      <c r="V5917" t="s">
        <v>80</v>
      </c>
      <c r="W5917" t="s">
        <v>81</v>
      </c>
      <c r="X5917" t="s">
        <v>58</v>
      </c>
      <c r="Y5917">
        <v>25</v>
      </c>
      <c r="Z5917" t="s">
        <v>59</v>
      </c>
      <c r="AA5917" t="s">
        <v>59</v>
      </c>
      <c r="AB5917" t="s">
        <v>59</v>
      </c>
      <c r="AC5917" t="s">
        <v>59</v>
      </c>
      <c r="AD5917" t="s">
        <v>59</v>
      </c>
      <c r="AF5917" s="1">
        <v>43348</v>
      </c>
      <c r="AG5917" t="s">
        <v>8651</v>
      </c>
      <c r="AH5917" t="s">
        <v>9015</v>
      </c>
      <c r="AI5917" t="str">
        <f>"9521068"</f>
        <v>9521068</v>
      </c>
      <c r="AJ5917" t="s">
        <v>10347</v>
      </c>
      <c r="AK5917">
        <v>2892041052</v>
      </c>
      <c r="AL5917" t="s">
        <v>10348</v>
      </c>
      <c r="AM5917" t="s">
        <v>78</v>
      </c>
      <c r="AN5917" t="s">
        <v>242</v>
      </c>
      <c r="AO5917" t="s">
        <v>243</v>
      </c>
      <c r="AP5917" t="s">
        <v>244</v>
      </c>
      <c r="AQ5917">
        <v>20</v>
      </c>
      <c r="AR5917" t="s">
        <v>80</v>
      </c>
      <c r="AS5917" t="s">
        <v>81</v>
      </c>
      <c r="AT5917" t="s">
        <v>58</v>
      </c>
      <c r="AU5917" t="s">
        <v>350</v>
      </c>
      <c r="AV5917" t="s">
        <v>132</v>
      </c>
      <c r="AW5917" s="1">
        <v>29111</v>
      </c>
      <c r="AX5917">
        <v>1</v>
      </c>
    </row>
    <row r="5918" spans="1:50">
      <c r="B5918" t="str">
        <f>"116668685"</f>
        <v>116668685</v>
      </c>
      <c r="C5918" t="s">
        <v>50</v>
      </c>
      <c r="D5918" t="s">
        <v>2257</v>
      </c>
      <c r="E5918" t="s">
        <v>109</v>
      </c>
      <c r="F5918" t="s">
        <v>53</v>
      </c>
      <c r="G5918" t="s">
        <v>52</v>
      </c>
      <c r="H5918" t="str">
        <f>"ΛΥΣΙΣΤΡΑΤΗΣ 6Δ ΝΕΟΣ ΚΟΣΜΟΣ"</f>
        <v>ΛΥΣΙΣΤΡΑΤΗΣ 6Δ ΝΕΟΣ ΚΟΣΜΟΣ</v>
      </c>
      <c r="I5918">
        <v>71304</v>
      </c>
      <c r="J5918">
        <v>2100000000</v>
      </c>
      <c r="K5918">
        <v>6974304940</v>
      </c>
      <c r="N5918" t="s">
        <v>337</v>
      </c>
      <c r="O5918" t="s">
        <v>338</v>
      </c>
      <c r="R5918" t="s">
        <v>159</v>
      </c>
      <c r="S5918">
        <v>3</v>
      </c>
      <c r="T5918" t="s">
        <v>8675</v>
      </c>
      <c r="U5918" s="1">
        <v>43348</v>
      </c>
      <c r="V5918" t="s">
        <v>80</v>
      </c>
      <c r="W5918" t="s">
        <v>81</v>
      </c>
      <c r="X5918" t="s">
        <v>58</v>
      </c>
      <c r="Y5918">
        <v>24</v>
      </c>
      <c r="Z5918" t="s">
        <v>59</v>
      </c>
      <c r="AA5918" t="s">
        <v>59</v>
      </c>
      <c r="AB5918" t="s">
        <v>59</v>
      </c>
      <c r="AC5918" t="s">
        <v>59</v>
      </c>
      <c r="AD5918" t="s">
        <v>59</v>
      </c>
      <c r="AF5918" s="1">
        <v>43348</v>
      </c>
      <c r="AG5918" t="s">
        <v>8645</v>
      </c>
      <c r="AH5918" t="s">
        <v>8646</v>
      </c>
      <c r="AI5918" t="str">
        <f>"9170532"</f>
        <v>9170532</v>
      </c>
      <c r="AJ5918" t="s">
        <v>8945</v>
      </c>
      <c r="AK5918">
        <v>2810250330</v>
      </c>
      <c r="AL5918" t="s">
        <v>8946</v>
      </c>
      <c r="AM5918" t="s">
        <v>78</v>
      </c>
      <c r="AN5918" t="s">
        <v>78</v>
      </c>
      <c r="AO5918" t="s">
        <v>78</v>
      </c>
      <c r="AP5918" t="s">
        <v>141</v>
      </c>
      <c r="AQ5918">
        <v>1</v>
      </c>
      <c r="AR5918" t="s">
        <v>80</v>
      </c>
      <c r="AS5918" t="s">
        <v>81</v>
      </c>
      <c r="AT5918" t="s">
        <v>58</v>
      </c>
      <c r="AU5918" t="s">
        <v>8673</v>
      </c>
      <c r="AV5918" t="s">
        <v>132</v>
      </c>
      <c r="AW5918" s="1">
        <v>30367</v>
      </c>
      <c r="AX5918">
        <v>1</v>
      </c>
    </row>
    <row r="5919" spans="1:50">
      <c r="A5919">
        <v>616971</v>
      </c>
      <c r="B5919" t="str">
        <f>"068065936"</f>
        <v>068065936</v>
      </c>
      <c r="C5919" t="s">
        <v>50</v>
      </c>
      <c r="D5919" t="s">
        <v>2257</v>
      </c>
      <c r="E5919" t="s">
        <v>10349</v>
      </c>
      <c r="F5919" t="s">
        <v>53</v>
      </c>
      <c r="G5919" t="s">
        <v>52</v>
      </c>
      <c r="H5919" t="str">
        <f>"ΛΥΣΙΣΤΡΑΤΗ 6Δ ΗΡΑΚΛΕΙΟ"</f>
        <v>ΛΥΣΙΣΤΡΑΤΗ 6Δ ΗΡΑΚΛΕΙΟ</v>
      </c>
      <c r="I5919">
        <v>71304</v>
      </c>
      <c r="J5919">
        <v>2810260822</v>
      </c>
      <c r="K5919">
        <v>6974304372</v>
      </c>
      <c r="N5919" t="s">
        <v>615</v>
      </c>
      <c r="O5919" t="s">
        <v>616</v>
      </c>
      <c r="R5919" t="s">
        <v>57</v>
      </c>
      <c r="S5919">
        <v>6</v>
      </c>
      <c r="T5919">
        <v>774</v>
      </c>
      <c r="U5919" s="1">
        <v>39680</v>
      </c>
      <c r="V5919" t="s">
        <v>80</v>
      </c>
      <c r="W5919" t="s">
        <v>81</v>
      </c>
      <c r="X5919" t="s">
        <v>58</v>
      </c>
      <c r="Y5919">
        <v>23</v>
      </c>
      <c r="Z5919" t="s">
        <v>59</v>
      </c>
      <c r="AA5919" t="s">
        <v>59</v>
      </c>
      <c r="AB5919" t="s">
        <v>59</v>
      </c>
      <c r="AC5919" t="s">
        <v>59</v>
      </c>
      <c r="AD5919" t="s">
        <v>59</v>
      </c>
      <c r="AF5919" s="1">
        <v>39681</v>
      </c>
      <c r="AG5919" t="s">
        <v>8645</v>
      </c>
      <c r="AH5919" t="s">
        <v>8646</v>
      </c>
      <c r="AI5919" t="str">
        <f>"9170018"</f>
        <v>9170018</v>
      </c>
      <c r="AJ5919" t="s">
        <v>8924</v>
      </c>
      <c r="AK5919">
        <v>2810821217</v>
      </c>
      <c r="AL5919" t="s">
        <v>8925</v>
      </c>
      <c r="AM5919" t="s">
        <v>78</v>
      </c>
      <c r="AN5919" t="s">
        <v>129</v>
      </c>
      <c r="AO5919" t="s">
        <v>130</v>
      </c>
      <c r="AP5919" t="s">
        <v>130</v>
      </c>
      <c r="AQ5919">
        <v>1</v>
      </c>
      <c r="AR5919" t="s">
        <v>80</v>
      </c>
      <c r="AS5919" t="s">
        <v>81</v>
      </c>
      <c r="AT5919" t="s">
        <v>58</v>
      </c>
      <c r="AU5919" t="s">
        <v>68</v>
      </c>
      <c r="AV5919" t="s">
        <v>69</v>
      </c>
      <c r="AW5919" s="1">
        <v>29908</v>
      </c>
      <c r="AX5919">
        <v>1</v>
      </c>
    </row>
    <row r="5920" spans="1:50">
      <c r="A5920">
        <v>618438</v>
      </c>
      <c r="B5920" t="str">
        <f>"138991684"</f>
        <v>138991684</v>
      </c>
      <c r="C5920" t="s">
        <v>50</v>
      </c>
      <c r="D5920" t="s">
        <v>2257</v>
      </c>
      <c r="E5920" t="s">
        <v>54</v>
      </c>
      <c r="F5920" t="s">
        <v>95</v>
      </c>
      <c r="G5920" t="s">
        <v>237</v>
      </c>
      <c r="H5920" t="str">
        <f>"62 ΜΑΡΤΥΡΩΝ 91 ΗΡΑΚΛΕΙΟ"</f>
        <v>62 ΜΑΡΤΥΡΩΝ 91 ΗΡΑΚΛΕΙΟ</v>
      </c>
      <c r="I5920">
        <v>71303</v>
      </c>
      <c r="J5920">
        <v>2810381155</v>
      </c>
      <c r="K5920">
        <v>6976559980</v>
      </c>
      <c r="N5920" t="s">
        <v>615</v>
      </c>
      <c r="O5920" t="s">
        <v>616</v>
      </c>
      <c r="R5920" t="s">
        <v>57</v>
      </c>
      <c r="S5920">
        <v>5</v>
      </c>
      <c r="T5920">
        <v>774</v>
      </c>
      <c r="U5920" s="1">
        <v>39680</v>
      </c>
      <c r="V5920" t="s">
        <v>80</v>
      </c>
      <c r="W5920" t="s">
        <v>81</v>
      </c>
      <c r="X5920" t="s">
        <v>58</v>
      </c>
      <c r="Y5920">
        <v>23</v>
      </c>
      <c r="Z5920" t="s">
        <v>59</v>
      </c>
      <c r="AA5920" t="s">
        <v>59</v>
      </c>
      <c r="AB5920" t="s">
        <v>59</v>
      </c>
      <c r="AC5920" t="s">
        <v>59</v>
      </c>
      <c r="AD5920" t="s">
        <v>59</v>
      </c>
      <c r="AF5920" s="1">
        <v>39681</v>
      </c>
      <c r="AG5920" t="s">
        <v>8645</v>
      </c>
      <c r="AH5920" t="s">
        <v>8646</v>
      </c>
      <c r="AI5920" t="str">
        <f>"9170254"</f>
        <v>9170254</v>
      </c>
      <c r="AJ5920" t="s">
        <v>9839</v>
      </c>
      <c r="AK5920">
        <v>2810245069</v>
      </c>
      <c r="AL5920" t="s">
        <v>9840</v>
      </c>
      <c r="AM5920" t="s">
        <v>78</v>
      </c>
      <c r="AN5920" t="s">
        <v>78</v>
      </c>
      <c r="AO5920" t="s">
        <v>78</v>
      </c>
      <c r="AP5920" t="s">
        <v>213</v>
      </c>
      <c r="AQ5920">
        <v>1</v>
      </c>
      <c r="AR5920" t="s">
        <v>80</v>
      </c>
      <c r="AS5920" t="s">
        <v>81</v>
      </c>
      <c r="AT5920" t="s">
        <v>58</v>
      </c>
      <c r="AU5920" t="s">
        <v>68</v>
      </c>
      <c r="AV5920" t="s">
        <v>69</v>
      </c>
      <c r="AW5920" s="1">
        <v>30833</v>
      </c>
      <c r="AX5920">
        <v>1</v>
      </c>
    </row>
    <row r="5921" spans="1:50">
      <c r="A5921">
        <v>704096</v>
      </c>
      <c r="B5921" t="str">
        <f>"104921760"</f>
        <v>104921760</v>
      </c>
      <c r="C5921" t="s">
        <v>50</v>
      </c>
      <c r="D5921" t="s">
        <v>10350</v>
      </c>
      <c r="E5921" t="s">
        <v>255</v>
      </c>
      <c r="F5921" t="s">
        <v>53</v>
      </c>
      <c r="G5921" t="s">
        <v>10351</v>
      </c>
      <c r="H5921" t="str">
        <f>"ΣΚΟΠΕΛΟΥ 6  ΑΘΗΝΑ - ΧΟΛΑΡΓΟΣ"</f>
        <v>ΣΚΟΠΕΛΟΥ 6  ΑΘΗΝΑ - ΧΟΛΑΡΓΟΣ</v>
      </c>
      <c r="I5921">
        <v>15562</v>
      </c>
      <c r="J5921">
        <v>2106535649</v>
      </c>
      <c r="K5921">
        <v>6948890177</v>
      </c>
      <c r="N5921" t="s">
        <v>288</v>
      </c>
      <c r="O5921" t="s">
        <v>289</v>
      </c>
      <c r="R5921" t="s">
        <v>57</v>
      </c>
      <c r="S5921">
        <v>1</v>
      </c>
      <c r="T5921">
        <v>1350</v>
      </c>
      <c r="U5921" s="1">
        <v>42732</v>
      </c>
      <c r="V5921" t="s">
        <v>80</v>
      </c>
      <c r="W5921" t="s">
        <v>81</v>
      </c>
      <c r="X5921" t="s">
        <v>58</v>
      </c>
      <c r="Y5921">
        <v>24</v>
      </c>
      <c r="Z5921" t="s">
        <v>59</v>
      </c>
      <c r="AA5921" t="s">
        <v>59</v>
      </c>
      <c r="AB5921" t="s">
        <v>59</v>
      </c>
      <c r="AC5921" t="s">
        <v>59</v>
      </c>
      <c r="AD5921" t="s">
        <v>59</v>
      </c>
      <c r="AF5921" s="1">
        <v>42734</v>
      </c>
      <c r="AG5921" t="s">
        <v>8645</v>
      </c>
      <c r="AH5921" t="s">
        <v>8646</v>
      </c>
      <c r="AI5921" t="str">
        <f>"9170057"</f>
        <v>9170057</v>
      </c>
      <c r="AJ5921" t="s">
        <v>8929</v>
      </c>
      <c r="AK5921">
        <v>2810251505</v>
      </c>
      <c r="AL5921" t="s">
        <v>8930</v>
      </c>
      <c r="AM5921" t="s">
        <v>78</v>
      </c>
      <c r="AN5921" t="s">
        <v>78</v>
      </c>
      <c r="AO5921" t="s">
        <v>78</v>
      </c>
      <c r="AP5921" t="s">
        <v>141</v>
      </c>
      <c r="AQ5921">
        <v>1</v>
      </c>
      <c r="AR5921" t="s">
        <v>80</v>
      </c>
      <c r="AS5921" t="s">
        <v>81</v>
      </c>
      <c r="AT5921" t="s">
        <v>58</v>
      </c>
      <c r="AU5921" t="s">
        <v>68</v>
      </c>
      <c r="AV5921" t="s">
        <v>69</v>
      </c>
      <c r="AW5921" s="1">
        <v>28226</v>
      </c>
      <c r="AX5921">
        <v>1</v>
      </c>
    </row>
    <row r="5922" spans="1:50">
      <c r="B5922" t="str">
        <f>"160409795"</f>
        <v>160409795</v>
      </c>
      <c r="C5922" t="s">
        <v>50</v>
      </c>
      <c r="D5922" t="s">
        <v>10352</v>
      </c>
      <c r="E5922" t="s">
        <v>10353</v>
      </c>
      <c r="F5922" t="s">
        <v>72</v>
      </c>
      <c r="G5922" t="s">
        <v>83</v>
      </c>
      <c r="H5922" t="str">
        <f>"ΤΡΙΑΝΤΑΦΥΛΛΟΥ 22 ΑΓΡΙΑ ΒΟΛΟΥ"</f>
        <v>ΤΡΙΑΝΤΑΦΥΛΛΟΥ 22 ΑΓΡΙΑ ΒΟΛΟΥ</v>
      </c>
      <c r="I5922">
        <v>37300</v>
      </c>
      <c r="J5922">
        <v>2428091033</v>
      </c>
      <c r="K5922">
        <v>6980962446</v>
      </c>
      <c r="M5922" t="s">
        <v>10354</v>
      </c>
      <c r="N5922" t="s">
        <v>8694</v>
      </c>
      <c r="O5922" t="s">
        <v>8695</v>
      </c>
      <c r="R5922" t="s">
        <v>159</v>
      </c>
      <c r="S5922">
        <v>2</v>
      </c>
      <c r="T5922" t="s">
        <v>8696</v>
      </c>
      <c r="U5922" s="1">
        <v>43348</v>
      </c>
      <c r="V5922" t="s">
        <v>80</v>
      </c>
      <c r="W5922" t="s">
        <v>81</v>
      </c>
      <c r="X5922" t="s">
        <v>58</v>
      </c>
      <c r="Y5922">
        <v>24</v>
      </c>
      <c r="Z5922" t="s">
        <v>59</v>
      </c>
      <c r="AA5922" t="s">
        <v>59</v>
      </c>
      <c r="AB5922" t="s">
        <v>59</v>
      </c>
      <c r="AC5922" t="s">
        <v>59</v>
      </c>
      <c r="AD5922" t="s">
        <v>59</v>
      </c>
      <c r="AF5922" s="1">
        <v>43348</v>
      </c>
      <c r="AG5922" t="s">
        <v>8645</v>
      </c>
      <c r="AH5922" t="s">
        <v>8646</v>
      </c>
      <c r="AI5922" t="str">
        <f>"9170580"</f>
        <v>9170580</v>
      </c>
      <c r="AJ5922" t="s">
        <v>9076</v>
      </c>
      <c r="AK5922">
        <v>2810542809</v>
      </c>
      <c r="AL5922" t="s">
        <v>9077</v>
      </c>
      <c r="AM5922" t="s">
        <v>78</v>
      </c>
      <c r="AN5922" t="s">
        <v>78</v>
      </c>
      <c r="AO5922" t="s">
        <v>78</v>
      </c>
      <c r="AP5922" t="s">
        <v>9053</v>
      </c>
      <c r="AQ5922">
        <v>1</v>
      </c>
      <c r="AR5922" t="s">
        <v>80</v>
      </c>
      <c r="AS5922" t="s">
        <v>81</v>
      </c>
      <c r="AT5922" t="s">
        <v>58</v>
      </c>
      <c r="AU5922" t="s">
        <v>350</v>
      </c>
      <c r="AV5922" t="s">
        <v>132</v>
      </c>
      <c r="AW5922" s="1">
        <v>33445</v>
      </c>
      <c r="AX5922">
        <v>1</v>
      </c>
    </row>
    <row r="5923" spans="1:50">
      <c r="A5923">
        <v>605469</v>
      </c>
      <c r="B5923" t="str">
        <f>"074445126"</f>
        <v>074445126</v>
      </c>
      <c r="C5923" t="s">
        <v>105</v>
      </c>
      <c r="D5923" t="s">
        <v>10355</v>
      </c>
      <c r="E5923" t="s">
        <v>496</v>
      </c>
      <c r="F5923" t="s">
        <v>154</v>
      </c>
      <c r="G5923" t="s">
        <v>367</v>
      </c>
      <c r="H5923" t="str">
        <f>"ΑΚΡΙΤΑ 11 ΚΑΛΑΜΑΤΑ"</f>
        <v>ΑΚΡΙΤΑ 11 ΚΑΛΑΜΑΤΑ</v>
      </c>
      <c r="I5923">
        <v>24100</v>
      </c>
      <c r="J5923">
        <v>2721091636</v>
      </c>
      <c r="K5923">
        <v>6972832392</v>
      </c>
      <c r="N5923" t="s">
        <v>615</v>
      </c>
      <c r="O5923" t="s">
        <v>616</v>
      </c>
      <c r="R5923" t="s">
        <v>57</v>
      </c>
      <c r="S5923">
        <v>7</v>
      </c>
      <c r="T5923">
        <v>231</v>
      </c>
      <c r="U5923" s="1">
        <v>38231</v>
      </c>
      <c r="V5923" t="s">
        <v>80</v>
      </c>
      <c r="W5923" t="s">
        <v>81</v>
      </c>
      <c r="X5923" t="s">
        <v>58</v>
      </c>
      <c r="Y5923">
        <v>22</v>
      </c>
      <c r="Z5923" t="s">
        <v>59</v>
      </c>
      <c r="AA5923" t="s">
        <v>59</v>
      </c>
      <c r="AB5923" t="s">
        <v>59</v>
      </c>
      <c r="AC5923" t="s">
        <v>59</v>
      </c>
      <c r="AD5923" t="s">
        <v>59</v>
      </c>
      <c r="AF5923" s="1">
        <v>38231</v>
      </c>
      <c r="AG5923" t="s">
        <v>8645</v>
      </c>
      <c r="AH5923" t="s">
        <v>8646</v>
      </c>
      <c r="AI5923" t="str">
        <f>"9170514"</f>
        <v>9170514</v>
      </c>
      <c r="AJ5923" t="s">
        <v>8801</v>
      </c>
      <c r="AK5923">
        <v>2810238666</v>
      </c>
      <c r="AL5923" t="s">
        <v>8802</v>
      </c>
      <c r="AM5923" t="s">
        <v>78</v>
      </c>
      <c r="AN5923" t="s">
        <v>78</v>
      </c>
      <c r="AO5923" t="s">
        <v>78</v>
      </c>
      <c r="AP5923" t="s">
        <v>163</v>
      </c>
      <c r="AQ5923">
        <v>1</v>
      </c>
      <c r="AR5923" t="s">
        <v>80</v>
      </c>
      <c r="AS5923" t="s">
        <v>81</v>
      </c>
      <c r="AT5923" t="s">
        <v>58</v>
      </c>
      <c r="AU5923" t="s">
        <v>68</v>
      </c>
      <c r="AV5923" t="s">
        <v>69</v>
      </c>
      <c r="AW5923" s="1">
        <v>27790</v>
      </c>
      <c r="AX5923">
        <v>1</v>
      </c>
    </row>
    <row r="5924" spans="1:50">
      <c r="A5924">
        <v>701329</v>
      </c>
      <c r="B5924" t="str">
        <f>"129097688"</f>
        <v>129097688</v>
      </c>
      <c r="C5924" t="s">
        <v>105</v>
      </c>
      <c r="D5924" t="s">
        <v>10356</v>
      </c>
      <c r="E5924" t="s">
        <v>304</v>
      </c>
      <c r="F5924" t="s">
        <v>99</v>
      </c>
      <c r="G5924" t="s">
        <v>54</v>
      </c>
      <c r="H5924" t="str">
        <f>"Φ.ΠΑΠΑΔΑ 7 ΦΛΩΡΙΝΑ"</f>
        <v>Φ.ΠΑΠΑΔΑ 7 ΦΛΩΡΙΝΑ</v>
      </c>
      <c r="I5924">
        <v>53100</v>
      </c>
      <c r="J5924">
        <v>2385029851</v>
      </c>
      <c r="K5924">
        <v>6942493337</v>
      </c>
      <c r="M5924" t="s">
        <v>10357</v>
      </c>
      <c r="N5924" t="s">
        <v>615</v>
      </c>
      <c r="O5924" t="s">
        <v>616</v>
      </c>
      <c r="R5924" t="s">
        <v>57</v>
      </c>
      <c r="S5924">
        <v>6</v>
      </c>
      <c r="T5924">
        <v>772</v>
      </c>
      <c r="U5924" s="1">
        <v>40413</v>
      </c>
      <c r="V5924" t="s">
        <v>80</v>
      </c>
      <c r="W5924" t="s">
        <v>81</v>
      </c>
      <c r="X5924" t="s">
        <v>58</v>
      </c>
      <c r="Y5924">
        <v>24</v>
      </c>
      <c r="Z5924" t="s">
        <v>59</v>
      </c>
      <c r="AA5924" t="s">
        <v>59</v>
      </c>
      <c r="AB5924" t="s">
        <v>59</v>
      </c>
      <c r="AC5924" t="s">
        <v>59</v>
      </c>
      <c r="AD5924" t="s">
        <v>59</v>
      </c>
      <c r="AF5924" s="1">
        <v>40413</v>
      </c>
      <c r="AG5924" t="s">
        <v>8645</v>
      </c>
      <c r="AH5924" t="s">
        <v>8646</v>
      </c>
      <c r="AI5924" t="str">
        <f>"9170309"</f>
        <v>9170309</v>
      </c>
      <c r="AJ5924" t="s">
        <v>9079</v>
      </c>
      <c r="AK5924">
        <v>2893041265</v>
      </c>
      <c r="AL5924" t="s">
        <v>9080</v>
      </c>
      <c r="AM5924" t="s">
        <v>78</v>
      </c>
      <c r="AN5924" t="s">
        <v>405</v>
      </c>
      <c r="AO5924" t="s">
        <v>405</v>
      </c>
      <c r="AP5924" t="s">
        <v>2895</v>
      </c>
      <c r="AQ5924">
        <v>17</v>
      </c>
      <c r="AR5924" t="s">
        <v>80</v>
      </c>
      <c r="AS5924" t="s">
        <v>81</v>
      </c>
      <c r="AT5924" t="s">
        <v>58</v>
      </c>
      <c r="AU5924" t="s">
        <v>68</v>
      </c>
      <c r="AV5924" t="s">
        <v>69</v>
      </c>
      <c r="AW5924" s="1">
        <v>31311</v>
      </c>
      <c r="AX5924">
        <v>1</v>
      </c>
    </row>
    <row r="5925" spans="1:50">
      <c r="B5925" t="str">
        <f>"139538562"</f>
        <v>139538562</v>
      </c>
      <c r="C5925" t="s">
        <v>50</v>
      </c>
      <c r="D5925" t="s">
        <v>10358</v>
      </c>
      <c r="E5925" t="s">
        <v>263</v>
      </c>
      <c r="F5925" t="s">
        <v>1679</v>
      </c>
      <c r="G5925" t="s">
        <v>1186</v>
      </c>
      <c r="H5925" t="str">
        <f>" "</f>
        <v xml:space="preserve"> </v>
      </c>
      <c r="N5925" t="s">
        <v>8834</v>
      </c>
      <c r="O5925" t="s">
        <v>8695</v>
      </c>
      <c r="R5925" t="s">
        <v>159</v>
      </c>
      <c r="S5925">
        <v>3</v>
      </c>
      <c r="T5925" t="s">
        <v>8835</v>
      </c>
      <c r="U5925" s="1">
        <v>43348</v>
      </c>
      <c r="V5925" t="s">
        <v>80</v>
      </c>
      <c r="W5925" t="s">
        <v>81</v>
      </c>
      <c r="X5925" t="s">
        <v>58</v>
      </c>
      <c r="Y5925">
        <v>24</v>
      </c>
      <c r="Z5925" t="s">
        <v>59</v>
      </c>
      <c r="AA5925" t="s">
        <v>59</v>
      </c>
      <c r="AB5925" t="s">
        <v>59</v>
      </c>
      <c r="AD5925" t="s">
        <v>59</v>
      </c>
      <c r="AF5925" s="1">
        <v>43348</v>
      </c>
      <c r="AG5925" t="s">
        <v>8645</v>
      </c>
      <c r="AH5925" t="s">
        <v>8646</v>
      </c>
      <c r="AI5925" t="str">
        <f>"9170580"</f>
        <v>9170580</v>
      </c>
      <c r="AJ5925" t="s">
        <v>9076</v>
      </c>
      <c r="AK5925">
        <v>2810542809</v>
      </c>
      <c r="AL5925" t="s">
        <v>9077</v>
      </c>
      <c r="AM5925" t="s">
        <v>78</v>
      </c>
      <c r="AN5925" t="s">
        <v>78</v>
      </c>
      <c r="AO5925" t="s">
        <v>78</v>
      </c>
      <c r="AP5925" t="s">
        <v>9053</v>
      </c>
      <c r="AQ5925">
        <v>1</v>
      </c>
      <c r="AR5925" t="s">
        <v>80</v>
      </c>
      <c r="AS5925" t="s">
        <v>81</v>
      </c>
      <c r="AT5925" t="s">
        <v>58</v>
      </c>
      <c r="AU5925" t="s">
        <v>131</v>
      </c>
      <c r="AV5925" t="s">
        <v>132</v>
      </c>
      <c r="AW5925" s="1">
        <v>32829</v>
      </c>
      <c r="AX5925">
        <v>1</v>
      </c>
    </row>
    <row r="5926" spans="1:50">
      <c r="B5926" t="str">
        <f>"138686051"</f>
        <v>138686051</v>
      </c>
      <c r="C5926" t="s">
        <v>50</v>
      </c>
      <c r="D5926" t="s">
        <v>10359</v>
      </c>
      <c r="E5926" t="s">
        <v>507</v>
      </c>
      <c r="F5926" t="s">
        <v>383</v>
      </c>
      <c r="G5926" t="s">
        <v>83</v>
      </c>
      <c r="H5926" t="str">
        <f>"ΤΑΝΑΓΡΑΣ 5 "</f>
        <v xml:space="preserve">ΤΑΝΑΓΡΑΣ 5 </v>
      </c>
      <c r="I5926">
        <v>26334</v>
      </c>
      <c r="J5926">
        <v>2610336620</v>
      </c>
      <c r="K5926">
        <v>6988726661</v>
      </c>
      <c r="N5926" t="s">
        <v>615</v>
      </c>
      <c r="O5926" t="s">
        <v>616</v>
      </c>
      <c r="R5926" t="s">
        <v>159</v>
      </c>
      <c r="S5926">
        <v>3</v>
      </c>
      <c r="T5926" t="s">
        <v>8675</v>
      </c>
      <c r="U5926" s="1">
        <v>43348</v>
      </c>
      <c r="V5926" t="s">
        <v>80</v>
      </c>
      <c r="W5926" t="s">
        <v>81</v>
      </c>
      <c r="X5926" t="s">
        <v>58</v>
      </c>
      <c r="Y5926">
        <v>24</v>
      </c>
      <c r="Z5926" t="s">
        <v>59</v>
      </c>
      <c r="AA5926" t="s">
        <v>59</v>
      </c>
      <c r="AB5926" t="s">
        <v>59</v>
      </c>
      <c r="AC5926" t="s">
        <v>59</v>
      </c>
      <c r="AD5926" t="s">
        <v>59</v>
      </c>
      <c r="AF5926" s="1">
        <v>43348</v>
      </c>
      <c r="AG5926" t="s">
        <v>8645</v>
      </c>
      <c r="AH5926" t="s">
        <v>8646</v>
      </c>
      <c r="AI5926" t="str">
        <f>"9170270"</f>
        <v>9170270</v>
      </c>
      <c r="AJ5926" t="s">
        <v>9347</v>
      </c>
      <c r="AK5926">
        <v>2892031245</v>
      </c>
      <c r="AL5926" t="s">
        <v>9348</v>
      </c>
      <c r="AM5926" t="s">
        <v>78</v>
      </c>
      <c r="AN5926" t="s">
        <v>405</v>
      </c>
      <c r="AO5926" t="s">
        <v>405</v>
      </c>
      <c r="AP5926" t="s">
        <v>464</v>
      </c>
      <c r="AQ5926">
        <v>17</v>
      </c>
      <c r="AR5926" t="s">
        <v>80</v>
      </c>
      <c r="AS5926" t="s">
        <v>81</v>
      </c>
      <c r="AT5926" t="s">
        <v>58</v>
      </c>
      <c r="AU5926" t="s">
        <v>8673</v>
      </c>
      <c r="AV5926" t="s">
        <v>132</v>
      </c>
      <c r="AW5926" s="1">
        <v>32147</v>
      </c>
      <c r="AX5926">
        <v>1</v>
      </c>
    </row>
    <row r="5927" spans="1:50">
      <c r="B5927" t="str">
        <f>"074202663"</f>
        <v>074202663</v>
      </c>
      <c r="C5927" t="s">
        <v>50</v>
      </c>
      <c r="D5927" t="s">
        <v>10360</v>
      </c>
      <c r="E5927" t="s">
        <v>367</v>
      </c>
      <c r="F5927" t="s">
        <v>510</v>
      </c>
      <c r="G5927" t="s">
        <v>600</v>
      </c>
      <c r="H5927" t="str">
        <f>"ΝΕΟΧΩΡΙ  ΠΑΡΑΜΥΘΙΑ ΘΕΣΠΡΩΤΙΑΣ"</f>
        <v>ΝΕΟΧΩΡΙ  ΠΑΡΑΜΥΘΙΑ ΘΕΣΠΡΩΤΙΑΣ</v>
      </c>
      <c r="I5927">
        <v>46200</v>
      </c>
      <c r="J5927">
        <v>2666031117</v>
      </c>
      <c r="K5927">
        <v>6977070608</v>
      </c>
      <c r="N5927" t="s">
        <v>1525</v>
      </c>
      <c r="O5927" t="s">
        <v>1526</v>
      </c>
      <c r="R5927" t="s">
        <v>57</v>
      </c>
      <c r="S5927">
        <v>4</v>
      </c>
      <c r="T5927" t="s">
        <v>8670</v>
      </c>
      <c r="U5927" s="1">
        <v>43348</v>
      </c>
      <c r="V5927" t="s">
        <v>80</v>
      </c>
      <c r="W5927" t="s">
        <v>81</v>
      </c>
      <c r="X5927" t="s">
        <v>58</v>
      </c>
      <c r="Y5927">
        <v>25</v>
      </c>
      <c r="Z5927" t="s">
        <v>59</v>
      </c>
      <c r="AA5927" t="s">
        <v>59</v>
      </c>
      <c r="AB5927" t="s">
        <v>59</v>
      </c>
      <c r="AC5927" t="s">
        <v>59</v>
      </c>
      <c r="AD5927" t="s">
        <v>59</v>
      </c>
      <c r="AF5927" s="1">
        <v>43348</v>
      </c>
      <c r="AG5927" t="s">
        <v>8651</v>
      </c>
      <c r="AH5927" t="s">
        <v>8652</v>
      </c>
      <c r="AI5927" t="str">
        <f>"9170366"</f>
        <v>9170366</v>
      </c>
      <c r="AJ5927" t="s">
        <v>10126</v>
      </c>
      <c r="AK5927">
        <v>2810791740</v>
      </c>
      <c r="AL5927" t="s">
        <v>10127</v>
      </c>
      <c r="AM5927" t="s">
        <v>78</v>
      </c>
      <c r="AN5927" t="s">
        <v>78</v>
      </c>
      <c r="AO5927" t="s">
        <v>195</v>
      </c>
      <c r="AP5927" t="s">
        <v>196</v>
      </c>
      <c r="AQ5927">
        <v>3</v>
      </c>
      <c r="AR5927" t="s">
        <v>80</v>
      </c>
      <c r="AS5927" t="s">
        <v>81</v>
      </c>
      <c r="AT5927" t="s">
        <v>58</v>
      </c>
      <c r="AU5927" t="s">
        <v>8673</v>
      </c>
      <c r="AV5927" t="s">
        <v>132</v>
      </c>
      <c r="AW5927" s="1">
        <v>25691</v>
      </c>
      <c r="AX5927">
        <v>1</v>
      </c>
    </row>
    <row r="5928" spans="1:50">
      <c r="A5928">
        <v>602334</v>
      </c>
      <c r="B5928" t="str">
        <f>"124453834"</f>
        <v>124453834</v>
      </c>
      <c r="C5928" t="s">
        <v>50</v>
      </c>
      <c r="D5928" t="s">
        <v>6130</v>
      </c>
      <c r="E5928" t="s">
        <v>188</v>
      </c>
      <c r="F5928" t="s">
        <v>10361</v>
      </c>
      <c r="G5928" t="s">
        <v>382</v>
      </c>
      <c r="H5928" t="str">
        <f>"ΠΑΝΕΠΙΣΤΗΜΙΟΥ 284 ΣΤΑΥΡΑΚΙΑ ΗΡΑΚΛΕΙΟΥ"</f>
        <v>ΠΑΝΕΠΙΣΤΗΜΙΟΥ 284 ΣΤΑΥΡΑΚΙΑ ΗΡΑΚΛΕΙΟΥ</v>
      </c>
      <c r="I5928">
        <v>71500</v>
      </c>
      <c r="J5928">
        <v>2810721743</v>
      </c>
      <c r="K5928">
        <v>6972294309</v>
      </c>
      <c r="M5928" t="s">
        <v>10362</v>
      </c>
      <c r="N5928" t="s">
        <v>615</v>
      </c>
      <c r="O5928" t="s">
        <v>616</v>
      </c>
      <c r="R5928" t="s">
        <v>57</v>
      </c>
      <c r="S5928">
        <v>9</v>
      </c>
      <c r="T5928">
        <v>207</v>
      </c>
      <c r="U5928" s="1">
        <v>37866</v>
      </c>
      <c r="V5928" t="s">
        <v>80</v>
      </c>
      <c r="W5928" t="s">
        <v>81</v>
      </c>
      <c r="X5928" t="s">
        <v>58</v>
      </c>
      <c r="Y5928">
        <v>22</v>
      </c>
      <c r="Z5928" t="s">
        <v>59</v>
      </c>
      <c r="AA5928" t="s">
        <v>59</v>
      </c>
      <c r="AB5928" t="s">
        <v>59</v>
      </c>
      <c r="AC5928" t="s">
        <v>59</v>
      </c>
      <c r="AD5928" t="s">
        <v>59</v>
      </c>
      <c r="AF5928" s="1">
        <v>37866</v>
      </c>
      <c r="AG5928" t="s">
        <v>8645</v>
      </c>
      <c r="AH5928" t="s">
        <v>8646</v>
      </c>
      <c r="AI5928" t="str">
        <f>"9170580"</f>
        <v>9170580</v>
      </c>
      <c r="AJ5928" t="s">
        <v>9076</v>
      </c>
      <c r="AK5928">
        <v>2810542809</v>
      </c>
      <c r="AL5928" t="s">
        <v>9077</v>
      </c>
      <c r="AM5928" t="s">
        <v>78</v>
      </c>
      <c r="AN5928" t="s">
        <v>78</v>
      </c>
      <c r="AO5928" t="s">
        <v>78</v>
      </c>
      <c r="AP5928" t="s">
        <v>9053</v>
      </c>
      <c r="AQ5928">
        <v>1</v>
      </c>
      <c r="AR5928" t="s">
        <v>80</v>
      </c>
      <c r="AS5928" t="s">
        <v>81</v>
      </c>
      <c r="AT5928" t="s">
        <v>58</v>
      </c>
      <c r="AU5928" t="s">
        <v>68</v>
      </c>
      <c r="AV5928" t="s">
        <v>69</v>
      </c>
      <c r="AW5928" s="1">
        <v>29425</v>
      </c>
      <c r="AX5928">
        <v>1</v>
      </c>
    </row>
    <row r="5929" spans="1:50">
      <c r="A5929">
        <v>703723</v>
      </c>
      <c r="B5929" t="str">
        <f>"144549061"</f>
        <v>144549061</v>
      </c>
      <c r="C5929" t="s">
        <v>50</v>
      </c>
      <c r="D5929" t="s">
        <v>10363</v>
      </c>
      <c r="E5929" t="s">
        <v>237</v>
      </c>
      <c r="F5929" t="s">
        <v>154</v>
      </c>
      <c r="G5929" t="s">
        <v>238</v>
      </c>
      <c r="H5929" t="str">
        <f>"ΑΡΧΕΛΑΟΥ 6 "</f>
        <v xml:space="preserve">ΑΡΧΕΛΑΟΥ 6 </v>
      </c>
      <c r="I5929">
        <v>60200</v>
      </c>
      <c r="J5929">
        <v>2352084183</v>
      </c>
      <c r="K5929">
        <v>6947815986</v>
      </c>
      <c r="N5929" t="s">
        <v>615</v>
      </c>
      <c r="O5929" t="s">
        <v>616</v>
      </c>
      <c r="R5929" t="s">
        <v>57</v>
      </c>
      <c r="S5929">
        <v>4</v>
      </c>
      <c r="T5929">
        <v>224</v>
      </c>
      <c r="U5929" s="1">
        <v>41695</v>
      </c>
      <c r="V5929" t="s">
        <v>80</v>
      </c>
      <c r="W5929" t="s">
        <v>81</v>
      </c>
      <c r="X5929" t="s">
        <v>58</v>
      </c>
      <c r="Y5929">
        <v>24</v>
      </c>
      <c r="Z5929" t="s">
        <v>59</v>
      </c>
      <c r="AA5929" t="s">
        <v>59</v>
      </c>
      <c r="AB5929" t="s">
        <v>59</v>
      </c>
      <c r="AC5929" t="s">
        <v>59</v>
      </c>
      <c r="AD5929" t="s">
        <v>59</v>
      </c>
      <c r="AF5929" s="1">
        <v>41695</v>
      </c>
      <c r="AG5929" t="s">
        <v>8645</v>
      </c>
      <c r="AH5929" t="s">
        <v>8646</v>
      </c>
      <c r="AI5929" t="str">
        <f>"9170580"</f>
        <v>9170580</v>
      </c>
      <c r="AJ5929" t="s">
        <v>9076</v>
      </c>
      <c r="AK5929">
        <v>2810542809</v>
      </c>
      <c r="AL5929" t="s">
        <v>9077</v>
      </c>
      <c r="AM5929" t="s">
        <v>78</v>
      </c>
      <c r="AN5929" t="s">
        <v>78</v>
      </c>
      <c r="AO5929" t="s">
        <v>78</v>
      </c>
      <c r="AP5929" t="s">
        <v>9053</v>
      </c>
      <c r="AQ5929">
        <v>1</v>
      </c>
      <c r="AR5929" t="s">
        <v>80</v>
      </c>
      <c r="AS5929" t="s">
        <v>81</v>
      </c>
      <c r="AT5929" t="s">
        <v>58</v>
      </c>
      <c r="AU5929" t="s">
        <v>68</v>
      </c>
      <c r="AV5929" t="s">
        <v>69</v>
      </c>
      <c r="AW5929" s="1">
        <v>31413</v>
      </c>
      <c r="AX5929">
        <v>1</v>
      </c>
    </row>
    <row r="5930" spans="1:50">
      <c r="A5930">
        <v>703734</v>
      </c>
      <c r="B5930" t="str">
        <f>"144549050"</f>
        <v>144549050</v>
      </c>
      <c r="C5930" t="s">
        <v>50</v>
      </c>
      <c r="D5930" t="s">
        <v>10363</v>
      </c>
      <c r="E5930" t="s">
        <v>372</v>
      </c>
      <c r="F5930" t="s">
        <v>154</v>
      </c>
      <c r="G5930" t="s">
        <v>238</v>
      </c>
      <c r="H5930" t="str">
        <f>"ΑΡΧΕΛΑΟΥ 6 "</f>
        <v xml:space="preserve">ΑΡΧΕΛΑΟΥ 6 </v>
      </c>
      <c r="I5930">
        <v>60200</v>
      </c>
      <c r="J5930">
        <v>2352084183</v>
      </c>
      <c r="K5930">
        <v>6947829671</v>
      </c>
      <c r="N5930" t="s">
        <v>615</v>
      </c>
      <c r="O5930" t="s">
        <v>616</v>
      </c>
      <c r="R5930" t="s">
        <v>57</v>
      </c>
      <c r="S5930">
        <v>4</v>
      </c>
      <c r="T5930">
        <v>224</v>
      </c>
      <c r="U5930" s="1">
        <v>41695</v>
      </c>
      <c r="V5930" t="s">
        <v>80</v>
      </c>
      <c r="W5930" t="s">
        <v>81</v>
      </c>
      <c r="X5930" t="s">
        <v>58</v>
      </c>
      <c r="Y5930">
        <v>24</v>
      </c>
      <c r="Z5930" t="s">
        <v>59</v>
      </c>
      <c r="AA5930" t="s">
        <v>59</v>
      </c>
      <c r="AB5930" t="s">
        <v>59</v>
      </c>
      <c r="AC5930" t="s">
        <v>59</v>
      </c>
      <c r="AD5930" t="s">
        <v>59</v>
      </c>
      <c r="AF5930" s="1">
        <v>41702</v>
      </c>
      <c r="AG5930" t="s">
        <v>8645</v>
      </c>
      <c r="AH5930" t="s">
        <v>8646</v>
      </c>
      <c r="AI5930" t="str">
        <f>"9170018"</f>
        <v>9170018</v>
      </c>
      <c r="AJ5930" t="s">
        <v>8924</v>
      </c>
      <c r="AK5930">
        <v>2810821217</v>
      </c>
      <c r="AL5930" t="s">
        <v>8925</v>
      </c>
      <c r="AM5930" t="s">
        <v>78</v>
      </c>
      <c r="AN5930" t="s">
        <v>129</v>
      </c>
      <c r="AO5930" t="s">
        <v>130</v>
      </c>
      <c r="AP5930" t="s">
        <v>130</v>
      </c>
      <c r="AQ5930">
        <v>1</v>
      </c>
      <c r="AR5930" t="s">
        <v>80</v>
      </c>
      <c r="AS5930" t="s">
        <v>81</v>
      </c>
      <c r="AT5930" t="s">
        <v>58</v>
      </c>
      <c r="AU5930" t="s">
        <v>68</v>
      </c>
      <c r="AV5930" t="s">
        <v>69</v>
      </c>
      <c r="AW5930" s="1">
        <v>31413</v>
      </c>
      <c r="AX5930">
        <v>1</v>
      </c>
    </row>
    <row r="5931" spans="1:50">
      <c r="B5931" t="str">
        <f>"145169191"</f>
        <v>145169191</v>
      </c>
      <c r="C5931" t="s">
        <v>50</v>
      </c>
      <c r="D5931" t="s">
        <v>10364</v>
      </c>
      <c r="E5931" t="s">
        <v>109</v>
      </c>
      <c r="F5931" t="s">
        <v>459</v>
      </c>
      <c r="G5931" t="s">
        <v>934</v>
      </c>
      <c r="H5931" t="str">
        <f>"ΘΥΑΜΟΣ ΒΑΛΤΟΥ "</f>
        <v xml:space="preserve">ΘΥΑΜΟΣ ΒΑΛΤΟΥ </v>
      </c>
      <c r="I5931">
        <v>30017</v>
      </c>
      <c r="J5931">
        <v>2647041359</v>
      </c>
      <c r="K5931">
        <v>6949811772</v>
      </c>
      <c r="N5931" t="s">
        <v>615</v>
      </c>
      <c r="O5931" t="s">
        <v>616</v>
      </c>
      <c r="R5931" t="s">
        <v>159</v>
      </c>
      <c r="S5931">
        <v>2</v>
      </c>
      <c r="T5931" t="s">
        <v>8675</v>
      </c>
      <c r="U5931" s="1">
        <v>43348</v>
      </c>
      <c r="V5931" t="s">
        <v>80</v>
      </c>
      <c r="W5931" t="s">
        <v>81</v>
      </c>
      <c r="X5931" t="s">
        <v>58</v>
      </c>
      <c r="Y5931">
        <v>24</v>
      </c>
      <c r="Z5931" t="s">
        <v>59</v>
      </c>
      <c r="AA5931" t="s">
        <v>59</v>
      </c>
      <c r="AB5931" t="s">
        <v>59</v>
      </c>
      <c r="AC5931" t="s">
        <v>59</v>
      </c>
      <c r="AD5931" t="s">
        <v>59</v>
      </c>
      <c r="AF5931" s="1">
        <v>43348</v>
      </c>
      <c r="AG5931" t="s">
        <v>8645</v>
      </c>
      <c r="AH5931" t="s">
        <v>8646</v>
      </c>
      <c r="AI5931" t="str">
        <f>"9170547"</f>
        <v>9170547</v>
      </c>
      <c r="AJ5931" t="s">
        <v>9175</v>
      </c>
      <c r="AK5931">
        <v>2810250886</v>
      </c>
      <c r="AL5931" t="s">
        <v>9176</v>
      </c>
      <c r="AM5931" t="s">
        <v>78</v>
      </c>
      <c r="AN5931" t="s">
        <v>78</v>
      </c>
      <c r="AO5931" t="s">
        <v>78</v>
      </c>
      <c r="AP5931" t="s">
        <v>141</v>
      </c>
      <c r="AQ5931">
        <v>1</v>
      </c>
      <c r="AR5931" t="s">
        <v>80</v>
      </c>
      <c r="AS5931" t="s">
        <v>81</v>
      </c>
      <c r="AT5931" t="s">
        <v>58</v>
      </c>
      <c r="AU5931" t="s">
        <v>8673</v>
      </c>
      <c r="AV5931" t="s">
        <v>132</v>
      </c>
      <c r="AW5931" s="1">
        <v>32548</v>
      </c>
      <c r="AX5931">
        <v>1</v>
      </c>
    </row>
    <row r="5932" spans="1:50">
      <c r="A5932">
        <v>608117</v>
      </c>
      <c r="B5932" t="str">
        <f>"103263447"</f>
        <v>103263447</v>
      </c>
      <c r="C5932" t="s">
        <v>50</v>
      </c>
      <c r="D5932" t="s">
        <v>2269</v>
      </c>
      <c r="E5932" t="s">
        <v>255</v>
      </c>
      <c r="F5932" t="s">
        <v>53</v>
      </c>
      <c r="G5932" t="s">
        <v>52</v>
      </c>
      <c r="H5932" t="str">
        <f>" "</f>
        <v xml:space="preserve"> </v>
      </c>
      <c r="J5932">
        <v>2897031146</v>
      </c>
      <c r="K5932">
        <v>6974653589</v>
      </c>
      <c r="N5932" t="s">
        <v>1525</v>
      </c>
      <c r="O5932" t="s">
        <v>1526</v>
      </c>
      <c r="R5932" t="s">
        <v>57</v>
      </c>
      <c r="S5932">
        <v>9</v>
      </c>
      <c r="T5932">
        <v>217</v>
      </c>
      <c r="U5932" s="1">
        <v>38600</v>
      </c>
      <c r="V5932" t="s">
        <v>80</v>
      </c>
      <c r="W5932" t="s">
        <v>81</v>
      </c>
      <c r="X5932" t="s">
        <v>58</v>
      </c>
      <c r="Y5932">
        <v>25</v>
      </c>
      <c r="Z5932" t="s">
        <v>59</v>
      </c>
      <c r="AA5932" t="s">
        <v>59</v>
      </c>
      <c r="AB5932" t="s">
        <v>59</v>
      </c>
      <c r="AC5932" t="s">
        <v>59</v>
      </c>
      <c r="AD5932" t="s">
        <v>59</v>
      </c>
      <c r="AF5932" s="1">
        <v>38600</v>
      </c>
      <c r="AG5932" t="s">
        <v>8651</v>
      </c>
      <c r="AH5932" t="s">
        <v>8652</v>
      </c>
      <c r="AI5932" t="str">
        <f>"9170355"</f>
        <v>9170355</v>
      </c>
      <c r="AJ5932" t="s">
        <v>10365</v>
      </c>
      <c r="AK5932">
        <v>2897061031</v>
      </c>
      <c r="AL5932" t="s">
        <v>10366</v>
      </c>
      <c r="AM5932" t="s">
        <v>78</v>
      </c>
      <c r="AN5932" t="s">
        <v>219</v>
      </c>
      <c r="AO5932" t="s">
        <v>527</v>
      </c>
      <c r="AP5932" t="s">
        <v>528</v>
      </c>
      <c r="AQ5932">
        <v>8</v>
      </c>
      <c r="AR5932" t="s">
        <v>80</v>
      </c>
      <c r="AS5932" t="s">
        <v>81</v>
      </c>
      <c r="AT5932" t="s">
        <v>58</v>
      </c>
      <c r="AU5932" t="s">
        <v>68</v>
      </c>
      <c r="AV5932" t="s">
        <v>69</v>
      </c>
      <c r="AW5932" s="1">
        <v>24486</v>
      </c>
      <c r="AX5932">
        <v>1</v>
      </c>
    </row>
    <row r="5933" spans="1:50">
      <c r="A5933">
        <v>609144</v>
      </c>
      <c r="B5933" t="str">
        <f>"103523030"</f>
        <v>103523030</v>
      </c>
      <c r="C5933" t="s">
        <v>50</v>
      </c>
      <c r="D5933" t="s">
        <v>2271</v>
      </c>
      <c r="E5933" t="s">
        <v>52</v>
      </c>
      <c r="F5933" t="s">
        <v>166</v>
      </c>
      <c r="G5933" t="s">
        <v>255</v>
      </c>
      <c r="H5933" t="str">
        <f>"ΕΘΝΙΚΗΣ ΑΝΤΙΣΤΑΣΕΩΣ 64 ΗΡΑΚΛΕΙΟ"</f>
        <v>ΕΘΝΙΚΗΣ ΑΝΤΙΣΤΑΣΕΩΣ 64 ΗΡΑΚΛΕΙΟ</v>
      </c>
      <c r="I5933">
        <v>71306</v>
      </c>
      <c r="J5933">
        <v>2810322294</v>
      </c>
      <c r="K5933">
        <v>6974406449</v>
      </c>
      <c r="N5933" t="s">
        <v>306</v>
      </c>
      <c r="O5933" t="s">
        <v>307</v>
      </c>
      <c r="R5933" t="s">
        <v>57</v>
      </c>
      <c r="S5933">
        <v>8</v>
      </c>
      <c r="T5933">
        <v>218</v>
      </c>
      <c r="U5933" s="1">
        <v>38596</v>
      </c>
      <c r="V5933" t="s">
        <v>80</v>
      </c>
      <c r="W5933" t="s">
        <v>81</v>
      </c>
      <c r="X5933" t="s">
        <v>58</v>
      </c>
      <c r="Y5933">
        <v>22</v>
      </c>
      <c r="Z5933" t="s">
        <v>59</v>
      </c>
      <c r="AA5933" t="s">
        <v>59</v>
      </c>
      <c r="AB5933" t="s">
        <v>59</v>
      </c>
      <c r="AC5933" t="s">
        <v>59</v>
      </c>
      <c r="AD5933" t="s">
        <v>59</v>
      </c>
      <c r="AF5933" s="1">
        <v>38600</v>
      </c>
      <c r="AG5933" t="s">
        <v>8645</v>
      </c>
      <c r="AH5933" t="s">
        <v>8646</v>
      </c>
      <c r="AI5933" t="str">
        <f>"9170345"</f>
        <v>9170345</v>
      </c>
      <c r="AJ5933" t="s">
        <v>9429</v>
      </c>
      <c r="AK5933">
        <v>2810289563</v>
      </c>
      <c r="AL5933" t="s">
        <v>9430</v>
      </c>
      <c r="AM5933" t="s">
        <v>78</v>
      </c>
      <c r="AN5933" t="s">
        <v>78</v>
      </c>
      <c r="AO5933" t="s">
        <v>78</v>
      </c>
      <c r="AP5933" t="s">
        <v>79</v>
      </c>
      <c r="AQ5933">
        <v>1</v>
      </c>
      <c r="AR5933" t="s">
        <v>80</v>
      </c>
      <c r="AS5933" t="s">
        <v>81</v>
      </c>
      <c r="AT5933" t="s">
        <v>58</v>
      </c>
      <c r="AU5933" t="s">
        <v>68</v>
      </c>
      <c r="AV5933" t="s">
        <v>69</v>
      </c>
      <c r="AW5933" s="1">
        <v>28145</v>
      </c>
      <c r="AX5933">
        <v>1</v>
      </c>
    </row>
    <row r="5934" spans="1:50">
      <c r="A5934">
        <v>619286</v>
      </c>
      <c r="B5934" t="str">
        <f>"110730984"</f>
        <v>110730984</v>
      </c>
      <c r="C5934" t="s">
        <v>50</v>
      </c>
      <c r="D5934" t="s">
        <v>10367</v>
      </c>
      <c r="E5934" t="s">
        <v>221</v>
      </c>
      <c r="F5934" t="s">
        <v>99</v>
      </c>
      <c r="G5934" t="s">
        <v>250</v>
      </c>
      <c r="H5934" t="str">
        <f>"ΜΙΝΩΤΑΥΡΟΥ 6 ΑΜΜΟΥΔΑΡΑ"</f>
        <v>ΜΙΝΩΤΑΥΡΟΥ 6 ΑΜΜΟΥΔΑΡΑ</v>
      </c>
      <c r="I5934">
        <v>71414</v>
      </c>
      <c r="J5934">
        <v>2810528034</v>
      </c>
      <c r="K5934">
        <v>6944538942</v>
      </c>
      <c r="N5934" t="s">
        <v>1525</v>
      </c>
      <c r="O5934" t="s">
        <v>1526</v>
      </c>
      <c r="R5934" t="s">
        <v>57</v>
      </c>
      <c r="S5934">
        <v>5</v>
      </c>
      <c r="T5934">
        <v>774</v>
      </c>
      <c r="U5934" s="1">
        <v>39680</v>
      </c>
      <c r="V5934" t="s">
        <v>80</v>
      </c>
      <c r="W5934" t="s">
        <v>81</v>
      </c>
      <c r="X5934" t="s">
        <v>58</v>
      </c>
      <c r="Y5934">
        <v>25</v>
      </c>
      <c r="Z5934" t="s">
        <v>59</v>
      </c>
      <c r="AA5934" t="s">
        <v>59</v>
      </c>
      <c r="AB5934" t="s">
        <v>59</v>
      </c>
      <c r="AC5934" t="s">
        <v>59</v>
      </c>
      <c r="AD5934" t="s">
        <v>59</v>
      </c>
      <c r="AF5934" s="1">
        <v>39681</v>
      </c>
      <c r="AG5934" t="s">
        <v>8651</v>
      </c>
      <c r="AH5934" t="s">
        <v>8652</v>
      </c>
      <c r="AI5934" t="str">
        <f>"9170526"</f>
        <v>9170526</v>
      </c>
      <c r="AJ5934" t="s">
        <v>9112</v>
      </c>
      <c r="AK5934">
        <v>2810251986</v>
      </c>
      <c r="AL5934" t="s">
        <v>9113</v>
      </c>
      <c r="AM5934" t="s">
        <v>78</v>
      </c>
      <c r="AN5934" t="s">
        <v>78</v>
      </c>
      <c r="AO5934" t="s">
        <v>78</v>
      </c>
      <c r="AP5934" t="s">
        <v>141</v>
      </c>
      <c r="AQ5934">
        <v>1</v>
      </c>
      <c r="AR5934" t="s">
        <v>80</v>
      </c>
      <c r="AS5934" t="s">
        <v>81</v>
      </c>
      <c r="AT5934" t="s">
        <v>58</v>
      </c>
      <c r="AU5934" t="s">
        <v>68</v>
      </c>
      <c r="AV5934" t="s">
        <v>69</v>
      </c>
      <c r="AW5934" s="1">
        <v>28613</v>
      </c>
      <c r="AX5934">
        <v>1</v>
      </c>
    </row>
    <row r="5935" spans="1:50">
      <c r="A5935">
        <v>587858</v>
      </c>
      <c r="B5935" t="str">
        <f>"061900612"</f>
        <v>061900612</v>
      </c>
      <c r="C5935" t="s">
        <v>105</v>
      </c>
      <c r="D5935" t="s">
        <v>2277</v>
      </c>
      <c r="E5935" t="s">
        <v>166</v>
      </c>
      <c r="F5935" t="s">
        <v>1336</v>
      </c>
      <c r="G5935" t="s">
        <v>52</v>
      </c>
      <c r="H5935" t="str">
        <f>" "</f>
        <v xml:space="preserve"> </v>
      </c>
      <c r="N5935" t="s">
        <v>615</v>
      </c>
      <c r="O5935" t="s">
        <v>616</v>
      </c>
      <c r="R5935" t="s">
        <v>57</v>
      </c>
      <c r="S5935">
        <v>9</v>
      </c>
      <c r="T5935">
        <v>250</v>
      </c>
      <c r="U5935" s="1">
        <v>36160</v>
      </c>
      <c r="V5935" t="s">
        <v>80</v>
      </c>
      <c r="W5935" t="s">
        <v>81</v>
      </c>
      <c r="X5935" t="s">
        <v>58</v>
      </c>
      <c r="Y5935">
        <v>21</v>
      </c>
      <c r="Z5935" t="s">
        <v>59</v>
      </c>
      <c r="AA5935" t="s">
        <v>59</v>
      </c>
      <c r="AB5935" t="s">
        <v>59</v>
      </c>
      <c r="AC5935" t="s">
        <v>59</v>
      </c>
      <c r="AD5935" t="s">
        <v>59</v>
      </c>
      <c r="AF5935" s="1">
        <v>36182</v>
      </c>
      <c r="AG5935" t="s">
        <v>60</v>
      </c>
      <c r="AH5935" t="s">
        <v>453</v>
      </c>
      <c r="AI5935" t="str">
        <f>"9917101"</f>
        <v>9917101</v>
      </c>
      <c r="AJ5935" t="s">
        <v>81</v>
      </c>
      <c r="AK5935">
        <v>2810529300</v>
      </c>
      <c r="AL5935" t="s">
        <v>9173</v>
      </c>
      <c r="AM5935" t="s">
        <v>78</v>
      </c>
      <c r="AN5935" t="s">
        <v>78</v>
      </c>
      <c r="AO5935" t="s">
        <v>78</v>
      </c>
      <c r="AP5935" t="s">
        <v>79</v>
      </c>
      <c r="AS5935" t="s">
        <v>81</v>
      </c>
      <c r="AT5935" t="s">
        <v>58</v>
      </c>
      <c r="AU5935" t="s">
        <v>68</v>
      </c>
      <c r="AV5935" t="s">
        <v>4047</v>
      </c>
      <c r="AW5935" s="1">
        <v>24520</v>
      </c>
      <c r="AX5935">
        <v>1</v>
      </c>
    </row>
    <row r="5936" spans="1:50">
      <c r="A5936">
        <v>594555</v>
      </c>
      <c r="B5936" t="str">
        <f>"054131552"</f>
        <v>054131552</v>
      </c>
      <c r="C5936" t="s">
        <v>105</v>
      </c>
      <c r="D5936" t="s">
        <v>2277</v>
      </c>
      <c r="E5936" t="s">
        <v>496</v>
      </c>
      <c r="F5936" t="s">
        <v>95</v>
      </c>
      <c r="G5936" t="s">
        <v>52</v>
      </c>
      <c r="H5936" t="str">
        <f>"ΕΥΝΙΚΙΑΝΟΥ 5 ΗΡΑΚΛΕΙΟ"</f>
        <v>ΕΥΝΙΚΙΑΝΟΥ 5 ΗΡΑΚΛΕΙΟ</v>
      </c>
      <c r="I5936">
        <v>71410</v>
      </c>
      <c r="J5936">
        <v>2810318166</v>
      </c>
      <c r="K5936">
        <v>6977057030</v>
      </c>
      <c r="N5936" t="s">
        <v>615</v>
      </c>
      <c r="O5936" t="s">
        <v>616</v>
      </c>
      <c r="R5936" t="s">
        <v>57</v>
      </c>
      <c r="S5936">
        <v>9</v>
      </c>
      <c r="T5936">
        <v>218</v>
      </c>
      <c r="U5936" s="1">
        <v>37134</v>
      </c>
      <c r="V5936" t="s">
        <v>80</v>
      </c>
      <c r="W5936" t="s">
        <v>81</v>
      </c>
      <c r="X5936" t="s">
        <v>58</v>
      </c>
      <c r="Y5936">
        <v>22</v>
      </c>
      <c r="Z5936" t="s">
        <v>59</v>
      </c>
      <c r="AA5936" t="s">
        <v>59</v>
      </c>
      <c r="AB5936" t="s">
        <v>59</v>
      </c>
      <c r="AC5936" t="s">
        <v>59</v>
      </c>
      <c r="AD5936" t="s">
        <v>59</v>
      </c>
      <c r="AF5936" s="1">
        <v>37137</v>
      </c>
      <c r="AG5936" t="s">
        <v>8645</v>
      </c>
      <c r="AH5936" t="s">
        <v>8646</v>
      </c>
      <c r="AI5936" t="str">
        <f>"9170431"</f>
        <v>9170431</v>
      </c>
      <c r="AJ5936" t="s">
        <v>8658</v>
      </c>
      <c r="AK5936">
        <v>2810250952</v>
      </c>
      <c r="AL5936" t="s">
        <v>8659</v>
      </c>
      <c r="AM5936" t="s">
        <v>78</v>
      </c>
      <c r="AN5936" t="s">
        <v>78</v>
      </c>
      <c r="AO5936" t="s">
        <v>78</v>
      </c>
      <c r="AP5936" t="s">
        <v>141</v>
      </c>
      <c r="AQ5936">
        <v>1</v>
      </c>
      <c r="AR5936" t="s">
        <v>80</v>
      </c>
      <c r="AS5936" t="s">
        <v>81</v>
      </c>
      <c r="AT5936" t="s">
        <v>58</v>
      </c>
      <c r="AU5936" t="s">
        <v>68</v>
      </c>
      <c r="AV5936" t="s">
        <v>69</v>
      </c>
      <c r="AW5936" s="1">
        <v>24952</v>
      </c>
      <c r="AX5936">
        <v>1</v>
      </c>
    </row>
    <row r="5937" spans="1:50">
      <c r="A5937">
        <v>613253</v>
      </c>
      <c r="B5937" t="str">
        <f>"064265992"</f>
        <v>064265992</v>
      </c>
      <c r="C5937" t="s">
        <v>50</v>
      </c>
      <c r="D5937" t="s">
        <v>10368</v>
      </c>
      <c r="E5937" t="s">
        <v>10369</v>
      </c>
      <c r="F5937" t="s">
        <v>450</v>
      </c>
      <c r="G5937" t="s">
        <v>1207</v>
      </c>
      <c r="H5937" t="str">
        <f>"ΣΟΥΚΑΤΖΙΔΗ 10  ΗΡΑΚΛΕΙΟ "</f>
        <v xml:space="preserve">ΣΟΥΚΑΤΖΙΔΗ 10  ΗΡΑΚΛΕΙΟ </v>
      </c>
      <c r="I5937">
        <v>71305</v>
      </c>
      <c r="J5937">
        <v>2810212974</v>
      </c>
      <c r="K5937">
        <v>6977378034</v>
      </c>
      <c r="N5937" t="s">
        <v>615</v>
      </c>
      <c r="O5937" t="s">
        <v>616</v>
      </c>
      <c r="R5937" t="s">
        <v>57</v>
      </c>
      <c r="S5937">
        <v>6</v>
      </c>
      <c r="T5937">
        <v>598</v>
      </c>
      <c r="U5937" s="1">
        <v>39310</v>
      </c>
      <c r="V5937" t="s">
        <v>80</v>
      </c>
      <c r="W5937" t="s">
        <v>81</v>
      </c>
      <c r="X5937" t="s">
        <v>58</v>
      </c>
      <c r="Y5937">
        <v>23</v>
      </c>
      <c r="Z5937" t="s">
        <v>59</v>
      </c>
      <c r="AA5937" t="s">
        <v>59</v>
      </c>
      <c r="AB5937" t="s">
        <v>59</v>
      </c>
      <c r="AC5937" t="s">
        <v>59</v>
      </c>
      <c r="AD5937" t="s">
        <v>59</v>
      </c>
      <c r="AF5937" s="1">
        <v>39328</v>
      </c>
      <c r="AG5937" t="s">
        <v>8645</v>
      </c>
      <c r="AH5937" t="s">
        <v>8646</v>
      </c>
      <c r="AI5937" t="str">
        <f>"9170343"</f>
        <v>9170343</v>
      </c>
      <c r="AJ5937" t="s">
        <v>8743</v>
      </c>
      <c r="AK5937">
        <v>2810283970</v>
      </c>
      <c r="AL5937" t="s">
        <v>8744</v>
      </c>
      <c r="AM5937" t="s">
        <v>78</v>
      </c>
      <c r="AN5937" t="s">
        <v>78</v>
      </c>
      <c r="AO5937" t="s">
        <v>78</v>
      </c>
      <c r="AP5937" t="s">
        <v>79</v>
      </c>
      <c r="AQ5937">
        <v>1</v>
      </c>
      <c r="AR5937" t="s">
        <v>80</v>
      </c>
      <c r="AS5937" t="s">
        <v>81</v>
      </c>
      <c r="AT5937" t="s">
        <v>58</v>
      </c>
      <c r="AU5937" t="s">
        <v>68</v>
      </c>
      <c r="AV5937" t="s">
        <v>69</v>
      </c>
      <c r="AW5937" s="1">
        <v>30103</v>
      </c>
      <c r="AX5937">
        <v>1</v>
      </c>
    </row>
    <row r="5938" spans="1:50">
      <c r="A5938">
        <v>611403</v>
      </c>
      <c r="B5938" t="str">
        <f>"071134042"</f>
        <v>071134042</v>
      </c>
      <c r="C5938" t="s">
        <v>50</v>
      </c>
      <c r="D5938" t="s">
        <v>10370</v>
      </c>
      <c r="E5938" t="s">
        <v>845</v>
      </c>
      <c r="F5938" t="s">
        <v>4071</v>
      </c>
      <c r="G5938" t="s">
        <v>109</v>
      </c>
      <c r="H5938" t="str">
        <f>"ΤΡΟΙΑΣ 14 ΗΡΑΚΛΕΙΟ"</f>
        <v>ΤΡΟΙΑΣ 14 ΗΡΑΚΛΕΙΟ</v>
      </c>
      <c r="I5938">
        <v>71303</v>
      </c>
      <c r="J5938">
        <v>2810262826</v>
      </c>
      <c r="K5938">
        <v>6972128384</v>
      </c>
      <c r="M5938" t="s">
        <v>10371</v>
      </c>
      <c r="N5938" t="s">
        <v>1525</v>
      </c>
      <c r="O5938" t="s">
        <v>1526</v>
      </c>
      <c r="R5938" t="s">
        <v>57</v>
      </c>
      <c r="S5938">
        <v>7</v>
      </c>
      <c r="T5938">
        <v>233</v>
      </c>
      <c r="U5938" s="1">
        <v>38960</v>
      </c>
      <c r="V5938" t="s">
        <v>80</v>
      </c>
      <c r="W5938" t="s">
        <v>81</v>
      </c>
      <c r="X5938" t="s">
        <v>58</v>
      </c>
      <c r="Y5938">
        <v>25</v>
      </c>
      <c r="Z5938" t="s">
        <v>59</v>
      </c>
      <c r="AA5938" t="s">
        <v>59</v>
      </c>
      <c r="AB5938" t="s">
        <v>59</v>
      </c>
      <c r="AC5938" t="s">
        <v>59</v>
      </c>
      <c r="AD5938" t="s">
        <v>59</v>
      </c>
      <c r="AF5938" s="1">
        <v>38961</v>
      </c>
      <c r="AG5938" t="s">
        <v>8651</v>
      </c>
      <c r="AH5938" t="s">
        <v>8652</v>
      </c>
      <c r="AI5938" t="str">
        <f>"9170409"</f>
        <v>9170409</v>
      </c>
      <c r="AJ5938" t="s">
        <v>10175</v>
      </c>
      <c r="AK5938">
        <v>2810261766</v>
      </c>
      <c r="AL5938" t="s">
        <v>10176</v>
      </c>
      <c r="AM5938" t="s">
        <v>78</v>
      </c>
      <c r="AN5938" t="s">
        <v>78</v>
      </c>
      <c r="AO5938" t="s">
        <v>78</v>
      </c>
      <c r="AP5938" t="s">
        <v>141</v>
      </c>
      <c r="AQ5938">
        <v>1</v>
      </c>
      <c r="AR5938" t="s">
        <v>80</v>
      </c>
      <c r="AS5938" t="s">
        <v>81</v>
      </c>
      <c r="AT5938" t="s">
        <v>58</v>
      </c>
      <c r="AU5938" t="s">
        <v>68</v>
      </c>
      <c r="AV5938" t="s">
        <v>69</v>
      </c>
      <c r="AW5938" s="1">
        <v>25970</v>
      </c>
      <c r="AX5938">
        <v>1</v>
      </c>
    </row>
    <row r="5939" spans="1:50">
      <c r="B5939" t="str">
        <f>"135035200"</f>
        <v>135035200</v>
      </c>
      <c r="C5939" t="s">
        <v>50</v>
      </c>
      <c r="D5939" t="s">
        <v>2282</v>
      </c>
      <c r="E5939" t="s">
        <v>396</v>
      </c>
      <c r="F5939" t="s">
        <v>10372</v>
      </c>
      <c r="G5939" t="s">
        <v>52</v>
      </c>
      <c r="H5939" t="str">
        <f>"ΙΩΑΝΝΙΝΩΝ 19 "</f>
        <v xml:space="preserve">ΙΩΑΝΝΙΝΩΝ 19 </v>
      </c>
      <c r="I5939">
        <v>58200</v>
      </c>
      <c r="J5939">
        <v>2381025821</v>
      </c>
      <c r="K5939">
        <v>6972606977</v>
      </c>
      <c r="M5939" t="s">
        <v>10373</v>
      </c>
      <c r="N5939" t="s">
        <v>615</v>
      </c>
      <c r="O5939" t="s">
        <v>616</v>
      </c>
      <c r="R5939" t="s">
        <v>159</v>
      </c>
      <c r="S5939">
        <v>5</v>
      </c>
      <c r="T5939" t="s">
        <v>8675</v>
      </c>
      <c r="U5939" s="1">
        <v>43348</v>
      </c>
      <c r="V5939" t="s">
        <v>80</v>
      </c>
      <c r="W5939" t="s">
        <v>81</v>
      </c>
      <c r="X5939" t="s">
        <v>58</v>
      </c>
      <c r="Y5939">
        <v>24</v>
      </c>
      <c r="Z5939" t="s">
        <v>59</v>
      </c>
      <c r="AA5939" t="s">
        <v>59</v>
      </c>
      <c r="AB5939" t="s">
        <v>59</v>
      </c>
      <c r="AC5939" t="s">
        <v>59</v>
      </c>
      <c r="AD5939" t="s">
        <v>59</v>
      </c>
      <c r="AF5939" s="1">
        <v>43348</v>
      </c>
      <c r="AG5939" t="s">
        <v>8645</v>
      </c>
      <c r="AH5939" t="s">
        <v>8646</v>
      </c>
      <c r="AI5939" t="str">
        <f>"9170059"</f>
        <v>9170059</v>
      </c>
      <c r="AJ5939" t="s">
        <v>9161</v>
      </c>
      <c r="AK5939">
        <v>2810791244</v>
      </c>
      <c r="AL5939" t="s">
        <v>9162</v>
      </c>
      <c r="AM5939" t="s">
        <v>78</v>
      </c>
      <c r="AN5939" t="s">
        <v>78</v>
      </c>
      <c r="AO5939" t="s">
        <v>195</v>
      </c>
      <c r="AP5939" t="s">
        <v>196</v>
      </c>
      <c r="AQ5939">
        <v>3</v>
      </c>
      <c r="AR5939" t="s">
        <v>80</v>
      </c>
      <c r="AS5939" t="s">
        <v>81</v>
      </c>
      <c r="AT5939" t="s">
        <v>58</v>
      </c>
      <c r="AU5939" t="s">
        <v>8673</v>
      </c>
      <c r="AV5939" t="s">
        <v>132</v>
      </c>
      <c r="AW5939" s="1">
        <v>32072</v>
      </c>
      <c r="AX5939">
        <v>1</v>
      </c>
    </row>
    <row r="5940" spans="1:50">
      <c r="B5940" t="str">
        <f>"141434319"</f>
        <v>141434319</v>
      </c>
      <c r="C5940" t="s">
        <v>50</v>
      </c>
      <c r="D5940" t="s">
        <v>10374</v>
      </c>
      <c r="E5940" t="s">
        <v>476</v>
      </c>
      <c r="F5940" t="s">
        <v>794</v>
      </c>
      <c r="G5940" t="s">
        <v>1114</v>
      </c>
      <c r="H5940" t="str">
        <f>"ΚΑΡΑΟΛΗ 20-ΝΤΑΗΛΑΚΗ "</f>
        <v xml:space="preserve">ΚΑΡΑΟΛΗ 20-ΝΤΑΗΛΑΚΗ </v>
      </c>
      <c r="I5940">
        <v>52100</v>
      </c>
      <c r="J5940">
        <v>2467081036</v>
      </c>
      <c r="K5940">
        <v>6978822141</v>
      </c>
      <c r="N5940" t="s">
        <v>615</v>
      </c>
      <c r="O5940" t="s">
        <v>616</v>
      </c>
      <c r="R5940" t="s">
        <v>159</v>
      </c>
      <c r="S5940">
        <v>5</v>
      </c>
      <c r="T5940" t="s">
        <v>8675</v>
      </c>
      <c r="U5940" s="1">
        <v>43348</v>
      </c>
      <c r="V5940" t="s">
        <v>80</v>
      </c>
      <c r="W5940" t="s">
        <v>81</v>
      </c>
      <c r="X5940" t="s">
        <v>58</v>
      </c>
      <c r="Y5940">
        <v>24</v>
      </c>
      <c r="Z5940" t="s">
        <v>59</v>
      </c>
      <c r="AA5940" t="s">
        <v>59</v>
      </c>
      <c r="AB5940" t="s">
        <v>59</v>
      </c>
      <c r="AC5940" t="s">
        <v>59</v>
      </c>
      <c r="AD5940" t="s">
        <v>59</v>
      </c>
      <c r="AF5940" s="1">
        <v>43348</v>
      </c>
      <c r="AG5940" t="s">
        <v>8645</v>
      </c>
      <c r="AH5940" t="s">
        <v>8646</v>
      </c>
      <c r="AI5940" t="str">
        <f>"9170228"</f>
        <v>9170228</v>
      </c>
      <c r="AJ5940" t="s">
        <v>8898</v>
      </c>
      <c r="AK5940">
        <v>2891041210</v>
      </c>
      <c r="AL5940" t="s">
        <v>8899</v>
      </c>
      <c r="AM5940" t="s">
        <v>78</v>
      </c>
      <c r="AN5940" t="s">
        <v>276</v>
      </c>
      <c r="AO5940" t="s">
        <v>1936</v>
      </c>
      <c r="AP5940" t="s">
        <v>1936</v>
      </c>
      <c r="AQ5940">
        <v>13</v>
      </c>
      <c r="AR5940" t="s">
        <v>80</v>
      </c>
      <c r="AS5940" t="s">
        <v>81</v>
      </c>
      <c r="AT5940" t="s">
        <v>58</v>
      </c>
      <c r="AU5940" t="s">
        <v>8673</v>
      </c>
      <c r="AV5940" t="s">
        <v>132</v>
      </c>
      <c r="AW5940" s="1">
        <v>31974</v>
      </c>
      <c r="AX5940">
        <v>1</v>
      </c>
    </row>
    <row r="5941" spans="1:50">
      <c r="B5941" t="str">
        <f>"139536280"</f>
        <v>139536280</v>
      </c>
      <c r="C5941" t="s">
        <v>50</v>
      </c>
      <c r="D5941" t="s">
        <v>10375</v>
      </c>
      <c r="E5941" t="s">
        <v>52</v>
      </c>
      <c r="F5941" t="s">
        <v>95</v>
      </c>
      <c r="G5941" t="s">
        <v>73</v>
      </c>
      <c r="H5941" t="str">
        <f>" "</f>
        <v xml:space="preserve"> </v>
      </c>
      <c r="N5941" t="s">
        <v>615</v>
      </c>
      <c r="O5941" t="s">
        <v>616</v>
      </c>
      <c r="R5941" t="s">
        <v>159</v>
      </c>
      <c r="S5941">
        <v>1</v>
      </c>
      <c r="T5941" t="s">
        <v>8675</v>
      </c>
      <c r="U5941" s="1">
        <v>43348</v>
      </c>
      <c r="V5941" t="s">
        <v>80</v>
      </c>
      <c r="W5941" t="s">
        <v>81</v>
      </c>
      <c r="X5941" t="s">
        <v>58</v>
      </c>
      <c r="Y5941">
        <v>24</v>
      </c>
      <c r="Z5941" t="s">
        <v>59</v>
      </c>
      <c r="AA5941" t="s">
        <v>59</v>
      </c>
      <c r="AB5941" t="s">
        <v>59</v>
      </c>
      <c r="AC5941" t="s">
        <v>59</v>
      </c>
      <c r="AD5941" t="s">
        <v>59</v>
      </c>
      <c r="AF5941" s="1">
        <v>43348</v>
      </c>
      <c r="AG5941" t="s">
        <v>8645</v>
      </c>
      <c r="AH5941" t="s">
        <v>8646</v>
      </c>
      <c r="AI5941" t="str">
        <f>"9170285"</f>
        <v>9170285</v>
      </c>
      <c r="AJ5941" t="s">
        <v>9186</v>
      </c>
      <c r="AK5941">
        <v>2894031223</v>
      </c>
      <c r="AL5941" t="s">
        <v>9187</v>
      </c>
      <c r="AM5941" t="s">
        <v>78</v>
      </c>
      <c r="AN5941" t="s">
        <v>242</v>
      </c>
      <c r="AO5941" t="s">
        <v>999</v>
      </c>
      <c r="AP5941" t="s">
        <v>999</v>
      </c>
      <c r="AQ5941">
        <v>21</v>
      </c>
      <c r="AR5941" t="s">
        <v>80</v>
      </c>
      <c r="AS5941" t="s">
        <v>81</v>
      </c>
      <c r="AT5941" t="s">
        <v>58</v>
      </c>
      <c r="AU5941" t="s">
        <v>8673</v>
      </c>
      <c r="AV5941" t="s">
        <v>132</v>
      </c>
      <c r="AW5941" s="1">
        <v>32799</v>
      </c>
      <c r="AX5941">
        <v>1</v>
      </c>
    </row>
    <row r="5942" spans="1:50">
      <c r="B5942" t="str">
        <f>"077770402"</f>
        <v>077770402</v>
      </c>
      <c r="C5942" t="s">
        <v>50</v>
      </c>
      <c r="D5942" t="s">
        <v>10376</v>
      </c>
      <c r="E5942" t="s">
        <v>1355</v>
      </c>
      <c r="F5942" t="s">
        <v>383</v>
      </c>
      <c r="G5942" t="s">
        <v>263</v>
      </c>
      <c r="H5942" t="str">
        <f>"ΡΗΓΑ ΦΕΡΑΙΟΥ 44 "</f>
        <v xml:space="preserve">ΡΗΓΑ ΦΕΡΑΙΟΥ 44 </v>
      </c>
      <c r="I5942">
        <v>66100</v>
      </c>
      <c r="J5942">
        <v>2521034456</v>
      </c>
      <c r="K5942">
        <v>6976435950</v>
      </c>
      <c r="N5942" t="s">
        <v>615</v>
      </c>
      <c r="O5942" t="s">
        <v>616</v>
      </c>
      <c r="R5942" t="s">
        <v>159</v>
      </c>
      <c r="S5942">
        <v>4</v>
      </c>
      <c r="T5942" t="s">
        <v>8675</v>
      </c>
      <c r="U5942" s="1">
        <v>43348</v>
      </c>
      <c r="V5942" t="s">
        <v>80</v>
      </c>
      <c r="W5942" t="s">
        <v>81</v>
      </c>
      <c r="X5942" t="s">
        <v>58</v>
      </c>
      <c r="Y5942">
        <v>24</v>
      </c>
      <c r="Z5942" t="s">
        <v>59</v>
      </c>
      <c r="AA5942" t="s">
        <v>59</v>
      </c>
      <c r="AB5942" t="s">
        <v>59</v>
      </c>
      <c r="AC5942" t="s">
        <v>59</v>
      </c>
      <c r="AD5942" t="s">
        <v>59</v>
      </c>
      <c r="AF5942" s="1">
        <v>43348</v>
      </c>
      <c r="AG5942" t="s">
        <v>8645</v>
      </c>
      <c r="AH5942" t="s">
        <v>8646</v>
      </c>
      <c r="AI5942" t="str">
        <f>"9170580"</f>
        <v>9170580</v>
      </c>
      <c r="AJ5942" t="s">
        <v>9076</v>
      </c>
      <c r="AK5942">
        <v>2810542809</v>
      </c>
      <c r="AL5942" t="s">
        <v>9077</v>
      </c>
      <c r="AM5942" t="s">
        <v>78</v>
      </c>
      <c r="AN5942" t="s">
        <v>78</v>
      </c>
      <c r="AO5942" t="s">
        <v>78</v>
      </c>
      <c r="AP5942" t="s">
        <v>9053</v>
      </c>
      <c r="AQ5942">
        <v>1</v>
      </c>
      <c r="AR5942" t="s">
        <v>80</v>
      </c>
      <c r="AS5942" t="s">
        <v>81</v>
      </c>
      <c r="AT5942" t="s">
        <v>58</v>
      </c>
      <c r="AU5942" t="s">
        <v>8673</v>
      </c>
      <c r="AV5942" t="s">
        <v>132</v>
      </c>
      <c r="AW5942" s="1">
        <v>32458</v>
      </c>
      <c r="AX5942">
        <v>1</v>
      </c>
    </row>
    <row r="5943" spans="1:50">
      <c r="A5943">
        <v>601049</v>
      </c>
      <c r="B5943" t="str">
        <f>"068055212"</f>
        <v>068055212</v>
      </c>
      <c r="C5943" t="s">
        <v>50</v>
      </c>
      <c r="D5943" t="s">
        <v>6142</v>
      </c>
      <c r="E5943" t="s">
        <v>250</v>
      </c>
      <c r="F5943" t="s">
        <v>4097</v>
      </c>
      <c r="G5943" t="s">
        <v>1068</v>
      </c>
      <c r="H5943" t="str">
        <f>"ΠΕΤΡΟΜΠΕΗ ΜΑΥΡΟΜΙΧΑΛΗ 6 ΗΡΑΚΛΕΙΟ"</f>
        <v>ΠΕΤΡΟΜΠΕΗ ΜΑΥΡΟΜΙΧΑΛΗ 6 ΗΡΑΚΛΕΙΟ</v>
      </c>
      <c r="I5943">
        <v>71305</v>
      </c>
      <c r="J5943">
        <v>2810263029</v>
      </c>
      <c r="K5943">
        <v>6945461615</v>
      </c>
      <c r="N5943" t="s">
        <v>615</v>
      </c>
      <c r="O5943" t="s">
        <v>616</v>
      </c>
      <c r="R5943" t="s">
        <v>57</v>
      </c>
      <c r="S5943">
        <v>8</v>
      </c>
      <c r="T5943">
        <v>207</v>
      </c>
      <c r="U5943" s="1">
        <v>37866</v>
      </c>
      <c r="V5943" t="s">
        <v>80</v>
      </c>
      <c r="W5943" t="s">
        <v>81</v>
      </c>
      <c r="X5943" t="s">
        <v>58</v>
      </c>
      <c r="Y5943">
        <v>22</v>
      </c>
      <c r="Z5943" t="s">
        <v>59</v>
      </c>
      <c r="AA5943" t="s">
        <v>59</v>
      </c>
      <c r="AB5943" t="s">
        <v>59</v>
      </c>
      <c r="AC5943" t="s">
        <v>59</v>
      </c>
      <c r="AD5943" t="s">
        <v>59</v>
      </c>
      <c r="AF5943" s="1">
        <v>37866</v>
      </c>
      <c r="AG5943" t="s">
        <v>8645</v>
      </c>
      <c r="AH5943" t="s">
        <v>8646</v>
      </c>
      <c r="AI5943" t="str">
        <f>"9170058"</f>
        <v>9170058</v>
      </c>
      <c r="AJ5943" t="s">
        <v>8735</v>
      </c>
      <c r="AK5943">
        <v>2810252903</v>
      </c>
      <c r="AL5943" t="s">
        <v>8736</v>
      </c>
      <c r="AM5943" t="s">
        <v>78</v>
      </c>
      <c r="AN5943" t="s">
        <v>78</v>
      </c>
      <c r="AO5943" t="s">
        <v>78</v>
      </c>
      <c r="AP5943" t="s">
        <v>163</v>
      </c>
      <c r="AQ5943">
        <v>1</v>
      </c>
      <c r="AR5943" t="s">
        <v>80</v>
      </c>
      <c r="AS5943" t="s">
        <v>81</v>
      </c>
      <c r="AT5943" t="s">
        <v>58</v>
      </c>
      <c r="AU5943" t="s">
        <v>68</v>
      </c>
      <c r="AV5943" t="s">
        <v>69</v>
      </c>
      <c r="AW5943" s="1">
        <v>25308</v>
      </c>
      <c r="AX5943">
        <v>1</v>
      </c>
    </row>
    <row r="5944" spans="1:50">
      <c r="A5944">
        <v>606007</v>
      </c>
      <c r="B5944" t="str">
        <f>"072811276"</f>
        <v>072811276</v>
      </c>
      <c r="C5944" t="s">
        <v>50</v>
      </c>
      <c r="D5944" t="s">
        <v>6142</v>
      </c>
      <c r="E5944" t="s">
        <v>845</v>
      </c>
      <c r="F5944" t="s">
        <v>760</v>
      </c>
      <c r="G5944" t="s">
        <v>250</v>
      </c>
      <c r="H5944" t="str">
        <f>"ΜΑΙΑΝΔΡΟΥ 3 ΗΡΑΚΛΕΙΟ"</f>
        <v>ΜΑΙΑΝΔΡΟΥ 3 ΗΡΑΚΛΕΙΟ</v>
      </c>
      <c r="I5944">
        <v>71305</v>
      </c>
      <c r="J5944">
        <v>2810286139</v>
      </c>
      <c r="K5944">
        <v>6974812168</v>
      </c>
      <c r="N5944" t="s">
        <v>1525</v>
      </c>
      <c r="O5944" t="s">
        <v>1526</v>
      </c>
      <c r="R5944" t="s">
        <v>57</v>
      </c>
      <c r="S5944">
        <v>10</v>
      </c>
      <c r="T5944">
        <v>231</v>
      </c>
      <c r="U5944" s="1">
        <v>38230</v>
      </c>
      <c r="V5944" t="s">
        <v>80</v>
      </c>
      <c r="W5944" t="s">
        <v>81</v>
      </c>
      <c r="X5944" t="s">
        <v>58</v>
      </c>
      <c r="Y5944">
        <v>25</v>
      </c>
      <c r="Z5944" t="s">
        <v>59</v>
      </c>
      <c r="AA5944" t="s">
        <v>59</v>
      </c>
      <c r="AB5944" t="s">
        <v>59</v>
      </c>
      <c r="AC5944" t="s">
        <v>59</v>
      </c>
      <c r="AD5944" t="s">
        <v>59</v>
      </c>
      <c r="AF5944" s="1">
        <v>38231</v>
      </c>
      <c r="AG5944" t="s">
        <v>8651</v>
      </c>
      <c r="AH5944" t="s">
        <v>8652</v>
      </c>
      <c r="AI5944" t="str">
        <f>"9170110"</f>
        <v>9170110</v>
      </c>
      <c r="AJ5944" t="s">
        <v>10273</v>
      </c>
      <c r="AK5944">
        <v>2810282944</v>
      </c>
      <c r="AL5944" t="s">
        <v>10274</v>
      </c>
      <c r="AM5944" t="s">
        <v>78</v>
      </c>
      <c r="AN5944" t="s">
        <v>78</v>
      </c>
      <c r="AO5944" t="s">
        <v>78</v>
      </c>
      <c r="AP5944" t="s">
        <v>79</v>
      </c>
      <c r="AQ5944">
        <v>1</v>
      </c>
      <c r="AR5944" t="s">
        <v>80</v>
      </c>
      <c r="AS5944" t="s">
        <v>81</v>
      </c>
      <c r="AT5944" t="s">
        <v>58</v>
      </c>
      <c r="AU5944" t="s">
        <v>68</v>
      </c>
      <c r="AV5944" t="s">
        <v>69</v>
      </c>
      <c r="AW5944" s="1">
        <v>23088</v>
      </c>
      <c r="AX5944">
        <v>1</v>
      </c>
    </row>
    <row r="5945" spans="1:50">
      <c r="A5945">
        <v>581804</v>
      </c>
      <c r="B5945" t="str">
        <f>"103519224"</f>
        <v>103519224</v>
      </c>
      <c r="C5945" t="s">
        <v>50</v>
      </c>
      <c r="D5945" t="s">
        <v>6142</v>
      </c>
      <c r="E5945" t="s">
        <v>314</v>
      </c>
      <c r="F5945" t="s">
        <v>84</v>
      </c>
      <c r="G5945" t="s">
        <v>52</v>
      </c>
      <c r="H5945" t="str">
        <f>"Σγουροκεφάλι "</f>
        <v xml:space="preserve">Σγουροκεφάλι </v>
      </c>
      <c r="I5945">
        <v>70008</v>
      </c>
      <c r="J5945">
        <v>2810771651</v>
      </c>
      <c r="N5945" t="s">
        <v>615</v>
      </c>
      <c r="O5945" t="s">
        <v>616</v>
      </c>
      <c r="R5945" t="s">
        <v>57</v>
      </c>
      <c r="S5945">
        <v>12</v>
      </c>
      <c r="T5945">
        <v>179</v>
      </c>
      <c r="U5945" s="1">
        <v>35674</v>
      </c>
      <c r="V5945" t="s">
        <v>80</v>
      </c>
      <c r="W5945" t="s">
        <v>81</v>
      </c>
      <c r="X5945" t="s">
        <v>58</v>
      </c>
      <c r="Y5945">
        <v>21</v>
      </c>
      <c r="Z5945" t="s">
        <v>59</v>
      </c>
      <c r="AA5945" t="s">
        <v>59</v>
      </c>
      <c r="AB5945" t="s">
        <v>59</v>
      </c>
      <c r="AC5945" t="s">
        <v>59</v>
      </c>
      <c r="AD5945" t="s">
        <v>59</v>
      </c>
      <c r="AF5945" s="1">
        <v>35674</v>
      </c>
      <c r="AG5945" t="s">
        <v>8645</v>
      </c>
      <c r="AH5945" t="s">
        <v>8646</v>
      </c>
      <c r="AI5945" t="str">
        <f>"9170224"</f>
        <v>9170224</v>
      </c>
      <c r="AJ5945" t="s">
        <v>9212</v>
      </c>
      <c r="AK5945">
        <v>2810771214</v>
      </c>
      <c r="AL5945" t="s">
        <v>9213</v>
      </c>
      <c r="AM5945" t="s">
        <v>78</v>
      </c>
      <c r="AN5945" t="s">
        <v>219</v>
      </c>
      <c r="AO5945" t="s">
        <v>1437</v>
      </c>
      <c r="AP5945" t="s">
        <v>1437</v>
      </c>
      <c r="AQ5945">
        <v>7</v>
      </c>
      <c r="AR5945" t="s">
        <v>80</v>
      </c>
      <c r="AS5945" t="s">
        <v>81</v>
      </c>
      <c r="AT5945" t="s">
        <v>58</v>
      </c>
      <c r="AU5945" t="s">
        <v>68</v>
      </c>
      <c r="AV5945" t="s">
        <v>69</v>
      </c>
      <c r="AW5945" s="1">
        <v>24388</v>
      </c>
      <c r="AX5945">
        <v>1</v>
      </c>
    </row>
    <row r="5946" spans="1:50">
      <c r="B5946" t="str">
        <f>"149150655"</f>
        <v>149150655</v>
      </c>
      <c r="C5946" t="s">
        <v>50</v>
      </c>
      <c r="D5946" t="s">
        <v>6142</v>
      </c>
      <c r="E5946" t="s">
        <v>809</v>
      </c>
      <c r="F5946" t="s">
        <v>95</v>
      </c>
      <c r="G5946" t="s">
        <v>215</v>
      </c>
      <c r="H5946" t="str">
        <f>"ΚΑΝΑΡΗ 61 ΠΕΤΡΟΥΠΟΛΗ ΑΤΤΙΚΗΣ"</f>
        <v>ΚΑΝΑΡΗ 61 ΠΕΤΡΟΥΠΟΛΗ ΑΤΤΙΚΗΣ</v>
      </c>
      <c r="I5946">
        <v>13231</v>
      </c>
      <c r="J5946">
        <v>2105024152</v>
      </c>
      <c r="K5946">
        <v>6977602836</v>
      </c>
      <c r="N5946" t="s">
        <v>8694</v>
      </c>
      <c r="O5946" t="s">
        <v>8695</v>
      </c>
      <c r="R5946" t="s">
        <v>57</v>
      </c>
      <c r="S5946">
        <v>4</v>
      </c>
      <c r="T5946" t="s">
        <v>8696</v>
      </c>
      <c r="U5946" s="1">
        <v>43348</v>
      </c>
      <c r="V5946" t="s">
        <v>80</v>
      </c>
      <c r="W5946" t="s">
        <v>81</v>
      </c>
      <c r="X5946" t="s">
        <v>58</v>
      </c>
      <c r="Y5946">
        <v>24</v>
      </c>
      <c r="Z5946" t="s">
        <v>59</v>
      </c>
      <c r="AA5946" t="s">
        <v>59</v>
      </c>
      <c r="AB5946" t="s">
        <v>59</v>
      </c>
      <c r="AC5946" t="s">
        <v>59</v>
      </c>
      <c r="AD5946" t="s">
        <v>59</v>
      </c>
      <c r="AF5946" s="1">
        <v>43348</v>
      </c>
      <c r="AG5946" t="s">
        <v>8645</v>
      </c>
      <c r="AH5946" t="s">
        <v>8697</v>
      </c>
      <c r="AI5946" t="str">
        <f>"9170511"</f>
        <v>9170511</v>
      </c>
      <c r="AJ5946" t="s">
        <v>8698</v>
      </c>
      <c r="AK5946">
        <v>2810316275</v>
      </c>
      <c r="AL5946" t="s">
        <v>8699</v>
      </c>
      <c r="AM5946" t="s">
        <v>78</v>
      </c>
      <c r="AN5946" t="s">
        <v>78</v>
      </c>
      <c r="AO5946" t="s">
        <v>78</v>
      </c>
      <c r="AP5946" t="s">
        <v>141</v>
      </c>
      <c r="AQ5946">
        <v>1</v>
      </c>
      <c r="AR5946" t="s">
        <v>80</v>
      </c>
      <c r="AS5946" t="s">
        <v>81</v>
      </c>
      <c r="AT5946" t="s">
        <v>58</v>
      </c>
      <c r="AU5946" t="s">
        <v>350</v>
      </c>
      <c r="AV5946" t="s">
        <v>132</v>
      </c>
      <c r="AW5946" s="1">
        <v>31483</v>
      </c>
      <c r="AX5946">
        <v>1</v>
      </c>
    </row>
    <row r="5947" spans="1:50">
      <c r="A5947">
        <v>589746</v>
      </c>
      <c r="B5947" t="str">
        <f>"037002351"</f>
        <v>037002351</v>
      </c>
      <c r="C5947" t="s">
        <v>50</v>
      </c>
      <c r="D5947" t="s">
        <v>6142</v>
      </c>
      <c r="E5947" t="s">
        <v>707</v>
      </c>
      <c r="F5947" t="s">
        <v>99</v>
      </c>
      <c r="G5947" t="s">
        <v>610</v>
      </c>
      <c r="H5947" t="str">
        <f>" "</f>
        <v xml:space="preserve"> </v>
      </c>
      <c r="N5947" t="s">
        <v>1525</v>
      </c>
      <c r="O5947" t="s">
        <v>1526</v>
      </c>
      <c r="R5947" t="s">
        <v>57</v>
      </c>
      <c r="S5947">
        <v>12</v>
      </c>
      <c r="T5947">
        <v>176</v>
      </c>
      <c r="U5947" s="1">
        <v>36403</v>
      </c>
      <c r="V5947" t="s">
        <v>80</v>
      </c>
      <c r="W5947" t="s">
        <v>81</v>
      </c>
      <c r="X5947" t="s">
        <v>58</v>
      </c>
      <c r="Y5947">
        <v>25</v>
      </c>
      <c r="Z5947" t="s">
        <v>59</v>
      </c>
      <c r="AA5947" t="s">
        <v>59</v>
      </c>
      <c r="AB5947" t="s">
        <v>59</v>
      </c>
      <c r="AC5947" t="s">
        <v>59</v>
      </c>
      <c r="AD5947" t="s">
        <v>59</v>
      </c>
      <c r="AF5947" s="1">
        <v>36404</v>
      </c>
      <c r="AG5947" t="s">
        <v>8651</v>
      </c>
      <c r="AH5947" t="s">
        <v>8652</v>
      </c>
      <c r="AI5947" t="str">
        <f>"9170416"</f>
        <v>9170416</v>
      </c>
      <c r="AJ5947" t="s">
        <v>8903</v>
      </c>
      <c r="AK5947">
        <v>2810224704</v>
      </c>
      <c r="AL5947" t="s">
        <v>8904</v>
      </c>
      <c r="AM5947" t="s">
        <v>78</v>
      </c>
      <c r="AN5947" t="s">
        <v>78</v>
      </c>
      <c r="AO5947" t="s">
        <v>78</v>
      </c>
      <c r="AP5947" t="s">
        <v>213</v>
      </c>
      <c r="AQ5947">
        <v>1</v>
      </c>
      <c r="AR5947" t="s">
        <v>80</v>
      </c>
      <c r="AS5947" t="s">
        <v>81</v>
      </c>
      <c r="AT5947" t="s">
        <v>58</v>
      </c>
      <c r="AU5947" t="s">
        <v>68</v>
      </c>
      <c r="AV5947" t="s">
        <v>69</v>
      </c>
      <c r="AW5947" s="1">
        <v>24256</v>
      </c>
      <c r="AX5947">
        <v>1</v>
      </c>
    </row>
    <row r="5948" spans="1:50">
      <c r="B5948" t="str">
        <f>"136118826"</f>
        <v>136118826</v>
      </c>
      <c r="C5948" t="s">
        <v>50</v>
      </c>
      <c r="D5948" t="s">
        <v>6142</v>
      </c>
      <c r="E5948" t="s">
        <v>801</v>
      </c>
      <c r="F5948" t="s">
        <v>1328</v>
      </c>
      <c r="G5948" t="s">
        <v>237</v>
      </c>
      <c r="H5948" t="str">
        <f>"Λ. ΙΩΝΙΑΣ 219 "</f>
        <v xml:space="preserve">Λ. ΙΩΝΙΑΣ 219 </v>
      </c>
      <c r="I5948">
        <v>71306</v>
      </c>
      <c r="J5948">
        <v>2810211109</v>
      </c>
      <c r="K5948">
        <v>6947446400</v>
      </c>
      <c r="N5948" t="s">
        <v>1525</v>
      </c>
      <c r="O5948" t="s">
        <v>1526</v>
      </c>
      <c r="R5948" t="s">
        <v>159</v>
      </c>
      <c r="S5948">
        <v>4</v>
      </c>
      <c r="T5948" t="s">
        <v>8670</v>
      </c>
      <c r="U5948" s="1">
        <v>43348</v>
      </c>
      <c r="V5948" t="s">
        <v>80</v>
      </c>
      <c r="W5948" t="s">
        <v>81</v>
      </c>
      <c r="X5948" t="s">
        <v>58</v>
      </c>
      <c r="Y5948">
        <v>25</v>
      </c>
      <c r="Z5948" t="s">
        <v>59</v>
      </c>
      <c r="AA5948" t="s">
        <v>59</v>
      </c>
      <c r="AB5948" t="s">
        <v>59</v>
      </c>
      <c r="AC5948" t="s">
        <v>59</v>
      </c>
      <c r="AD5948" t="s">
        <v>59</v>
      </c>
      <c r="AF5948" s="1">
        <v>43348</v>
      </c>
      <c r="AG5948" t="s">
        <v>8651</v>
      </c>
      <c r="AH5948" t="s">
        <v>8652</v>
      </c>
      <c r="AI5948" t="str">
        <f>"9170593"</f>
        <v>9170593</v>
      </c>
      <c r="AJ5948" t="s">
        <v>10377</v>
      </c>
      <c r="AK5948">
        <v>2810824942</v>
      </c>
      <c r="AL5948" t="s">
        <v>10378</v>
      </c>
      <c r="AM5948" t="s">
        <v>78</v>
      </c>
      <c r="AN5948" t="s">
        <v>129</v>
      </c>
      <c r="AO5948" t="s">
        <v>130</v>
      </c>
      <c r="AP5948" t="s">
        <v>130</v>
      </c>
      <c r="AQ5948">
        <v>2</v>
      </c>
      <c r="AR5948" t="s">
        <v>80</v>
      </c>
      <c r="AS5948" t="s">
        <v>81</v>
      </c>
      <c r="AT5948" t="s">
        <v>58</v>
      </c>
      <c r="AU5948" t="s">
        <v>8673</v>
      </c>
      <c r="AV5948" t="s">
        <v>132</v>
      </c>
      <c r="AW5948" s="1">
        <v>29630</v>
      </c>
      <c r="AX5948">
        <v>1</v>
      </c>
    </row>
    <row r="5949" spans="1:50">
      <c r="A5949">
        <v>610226</v>
      </c>
      <c r="B5949" t="str">
        <f>"118918914"</f>
        <v>118918914</v>
      </c>
      <c r="C5949" t="s">
        <v>50</v>
      </c>
      <c r="D5949" t="s">
        <v>6142</v>
      </c>
      <c r="E5949" t="s">
        <v>10379</v>
      </c>
      <c r="F5949" t="s">
        <v>166</v>
      </c>
      <c r="G5949" t="s">
        <v>52</v>
      </c>
      <c r="H5949" t="str">
        <f>"ΟΡΑΚΙΩΝ  &amp; ΑΡΧΙΜΗΔΟΥΣ ΝΕΑ  ΑΛΙΚΑΡΝΑΣΣΟΣ"</f>
        <v>ΟΡΑΚΙΩΝ  &amp; ΑΡΧΙΜΗΔΟΥΣ ΝΕΑ  ΑΛΙΚΑΡΝΑΣΣΟΣ</v>
      </c>
      <c r="I5949">
        <v>71601</v>
      </c>
      <c r="J5949">
        <v>2810221515</v>
      </c>
      <c r="K5949">
        <v>6944446965</v>
      </c>
      <c r="N5949" t="s">
        <v>615</v>
      </c>
      <c r="O5949" t="s">
        <v>616</v>
      </c>
      <c r="R5949" t="s">
        <v>57</v>
      </c>
      <c r="S5949">
        <v>7</v>
      </c>
      <c r="T5949">
        <v>233</v>
      </c>
      <c r="U5949" s="1">
        <v>38960</v>
      </c>
      <c r="V5949" t="s">
        <v>80</v>
      </c>
      <c r="W5949" t="s">
        <v>81</v>
      </c>
      <c r="X5949" t="s">
        <v>58</v>
      </c>
      <c r="Y5949">
        <v>23</v>
      </c>
      <c r="Z5949" t="s">
        <v>59</v>
      </c>
      <c r="AA5949" t="s">
        <v>59</v>
      </c>
      <c r="AB5949" t="s">
        <v>59</v>
      </c>
      <c r="AC5949" t="s">
        <v>59</v>
      </c>
      <c r="AD5949" t="s">
        <v>59</v>
      </c>
      <c r="AF5949" s="1">
        <v>38961</v>
      </c>
      <c r="AG5949" t="s">
        <v>8645</v>
      </c>
      <c r="AH5949" t="s">
        <v>8646</v>
      </c>
      <c r="AI5949" t="str">
        <f>"9170427"</f>
        <v>9170427</v>
      </c>
      <c r="AJ5949" t="s">
        <v>8817</v>
      </c>
      <c r="AK5949">
        <v>2810220998</v>
      </c>
      <c r="AL5949" t="s">
        <v>8818</v>
      </c>
      <c r="AM5949" t="s">
        <v>78</v>
      </c>
      <c r="AN5949" t="s">
        <v>78</v>
      </c>
      <c r="AO5949" t="s">
        <v>286</v>
      </c>
      <c r="AP5949" t="s">
        <v>286</v>
      </c>
      <c r="AQ5949">
        <v>1</v>
      </c>
      <c r="AR5949" t="s">
        <v>80</v>
      </c>
      <c r="AS5949" t="s">
        <v>81</v>
      </c>
      <c r="AT5949" t="s">
        <v>58</v>
      </c>
      <c r="AU5949" t="s">
        <v>68</v>
      </c>
      <c r="AV5949" t="s">
        <v>69</v>
      </c>
      <c r="AW5949" s="1">
        <v>29430</v>
      </c>
      <c r="AX5949">
        <v>1</v>
      </c>
    </row>
    <row r="5950" spans="1:50">
      <c r="A5950">
        <v>602052</v>
      </c>
      <c r="B5950" t="str">
        <f>"074818285"</f>
        <v>074818285</v>
      </c>
      <c r="C5950" t="s">
        <v>105</v>
      </c>
      <c r="D5950" t="s">
        <v>2285</v>
      </c>
      <c r="E5950" t="s">
        <v>166</v>
      </c>
      <c r="F5950" t="s">
        <v>450</v>
      </c>
      <c r="G5950" t="s">
        <v>112</v>
      </c>
      <c r="H5950" t="str">
        <f>"ΑΤΡΕΙΔΩΝ 18 ΗΡΑΚΛΕΙΟ"</f>
        <v>ΑΤΡΕΙΔΩΝ 18 ΗΡΑΚΛΕΙΟ</v>
      </c>
      <c r="I5950">
        <v>71305</v>
      </c>
      <c r="J5950">
        <v>2810319667</v>
      </c>
      <c r="K5950">
        <v>6942437443</v>
      </c>
      <c r="M5950" t="s">
        <v>10380</v>
      </c>
      <c r="N5950" t="s">
        <v>615</v>
      </c>
      <c r="O5950" t="s">
        <v>616</v>
      </c>
      <c r="P5950" t="s">
        <v>146</v>
      </c>
      <c r="Q5950" t="s">
        <v>147</v>
      </c>
      <c r="R5950" t="s">
        <v>57</v>
      </c>
      <c r="S5950">
        <v>12</v>
      </c>
      <c r="T5950">
        <v>207</v>
      </c>
      <c r="U5950" s="1">
        <v>37866</v>
      </c>
      <c r="V5950" t="s">
        <v>80</v>
      </c>
      <c r="W5950" t="s">
        <v>81</v>
      </c>
      <c r="X5950" t="s">
        <v>58</v>
      </c>
      <c r="Y5950">
        <v>22</v>
      </c>
      <c r="Z5950" t="s">
        <v>59</v>
      </c>
      <c r="AA5950" t="s">
        <v>59</v>
      </c>
      <c r="AB5950" t="s">
        <v>59</v>
      </c>
      <c r="AC5950" t="s">
        <v>59</v>
      </c>
      <c r="AD5950" t="s">
        <v>59</v>
      </c>
      <c r="AF5950" s="1">
        <v>37866</v>
      </c>
      <c r="AG5950" t="s">
        <v>8645</v>
      </c>
      <c r="AH5950" t="s">
        <v>8646</v>
      </c>
      <c r="AI5950" t="str">
        <f>"9170425"</f>
        <v>9170425</v>
      </c>
      <c r="AJ5950" t="s">
        <v>9350</v>
      </c>
      <c r="AK5950">
        <v>2810250261</v>
      </c>
      <c r="AL5950" t="s">
        <v>9351</v>
      </c>
      <c r="AM5950" t="s">
        <v>78</v>
      </c>
      <c r="AN5950" t="s">
        <v>78</v>
      </c>
      <c r="AO5950" t="s">
        <v>78</v>
      </c>
      <c r="AP5950" t="s">
        <v>141</v>
      </c>
      <c r="AQ5950">
        <v>1</v>
      </c>
      <c r="AR5950" t="s">
        <v>80</v>
      </c>
      <c r="AS5950" t="s">
        <v>81</v>
      </c>
      <c r="AT5950" t="s">
        <v>58</v>
      </c>
      <c r="AU5950" t="s">
        <v>68</v>
      </c>
      <c r="AV5950" t="s">
        <v>69</v>
      </c>
      <c r="AW5950" s="1">
        <v>25975</v>
      </c>
      <c r="AX5950">
        <v>1</v>
      </c>
    </row>
    <row r="5951" spans="1:50">
      <c r="A5951">
        <v>568909</v>
      </c>
      <c r="B5951" t="str">
        <f>"034596211"</f>
        <v>034596211</v>
      </c>
      <c r="C5951" t="s">
        <v>105</v>
      </c>
      <c r="D5951" t="s">
        <v>2285</v>
      </c>
      <c r="E5951" t="s">
        <v>72</v>
      </c>
      <c r="F5951" t="s">
        <v>53</v>
      </c>
      <c r="G5951" t="s">
        <v>263</v>
      </c>
      <c r="H5951" t="str">
        <f>"ΑΡΚΑΛΟΧΩΡΙ ΗΡΑΚΛΕΙΟ"</f>
        <v>ΑΡΚΑΛΟΧΩΡΙ ΗΡΑΚΛΕΙΟ</v>
      </c>
      <c r="K5951">
        <v>6972496811</v>
      </c>
      <c r="N5951" t="s">
        <v>615</v>
      </c>
      <c r="O5951" t="s">
        <v>616</v>
      </c>
      <c r="R5951" t="s">
        <v>57</v>
      </c>
      <c r="S5951">
        <v>14</v>
      </c>
      <c r="T5951">
        <v>162</v>
      </c>
      <c r="U5951" s="1">
        <v>33844</v>
      </c>
      <c r="V5951" t="s">
        <v>80</v>
      </c>
      <c r="W5951" t="s">
        <v>81</v>
      </c>
      <c r="X5951" t="s">
        <v>58</v>
      </c>
      <c r="Y5951">
        <v>21</v>
      </c>
      <c r="Z5951" t="s">
        <v>59</v>
      </c>
      <c r="AA5951" t="s">
        <v>59</v>
      </c>
      <c r="AB5951" t="s">
        <v>59</v>
      </c>
      <c r="AC5951" t="s">
        <v>59</v>
      </c>
      <c r="AD5951" t="s">
        <v>59</v>
      </c>
      <c r="AF5951" s="1">
        <v>33848</v>
      </c>
      <c r="AG5951" t="s">
        <v>8645</v>
      </c>
      <c r="AH5951" t="s">
        <v>8646</v>
      </c>
      <c r="AI5951" t="str">
        <f>"9170144"</f>
        <v>9170144</v>
      </c>
      <c r="AJ5951" t="s">
        <v>8729</v>
      </c>
      <c r="AK5951">
        <v>2891022244</v>
      </c>
      <c r="AL5951" t="s">
        <v>8730</v>
      </c>
      <c r="AM5951" t="s">
        <v>78</v>
      </c>
      <c r="AN5951" t="s">
        <v>276</v>
      </c>
      <c r="AO5951" t="s">
        <v>490</v>
      </c>
      <c r="AP5951" t="s">
        <v>490</v>
      </c>
      <c r="AQ5951">
        <v>12</v>
      </c>
      <c r="AR5951" t="s">
        <v>80</v>
      </c>
      <c r="AS5951" t="s">
        <v>81</v>
      </c>
      <c r="AT5951" t="s">
        <v>58</v>
      </c>
      <c r="AU5951" t="s">
        <v>68</v>
      </c>
      <c r="AV5951" t="s">
        <v>69</v>
      </c>
      <c r="AW5951" s="1">
        <v>23512</v>
      </c>
      <c r="AX5951">
        <v>1</v>
      </c>
    </row>
    <row r="5952" spans="1:50">
      <c r="A5952">
        <v>598865</v>
      </c>
      <c r="B5952" t="str">
        <f>"068055200"</f>
        <v>068055200</v>
      </c>
      <c r="C5952" t="s">
        <v>105</v>
      </c>
      <c r="D5952" t="s">
        <v>2285</v>
      </c>
      <c r="E5952" t="s">
        <v>53</v>
      </c>
      <c r="F5952" t="s">
        <v>4097</v>
      </c>
      <c r="G5952" t="s">
        <v>1068</v>
      </c>
      <c r="H5952" t="str">
        <f>"ΜΥΣΤΡΑ 42 ΗΡΑΚΛΕΙΟ"</f>
        <v>ΜΥΣΤΡΑ 42 ΗΡΑΚΛΕΙΟ</v>
      </c>
      <c r="I5952">
        <v>71305</v>
      </c>
      <c r="J5952">
        <v>2810823884</v>
      </c>
      <c r="K5952">
        <v>6947423792</v>
      </c>
      <c r="N5952" t="s">
        <v>615</v>
      </c>
      <c r="O5952" t="s">
        <v>616</v>
      </c>
      <c r="R5952" t="s">
        <v>57</v>
      </c>
      <c r="S5952">
        <v>9</v>
      </c>
      <c r="T5952">
        <v>195</v>
      </c>
      <c r="U5952" s="1">
        <v>37497</v>
      </c>
      <c r="V5952" t="s">
        <v>80</v>
      </c>
      <c r="W5952" t="s">
        <v>81</v>
      </c>
      <c r="X5952" t="s">
        <v>58</v>
      </c>
      <c r="Y5952">
        <v>22</v>
      </c>
      <c r="Z5952" t="s">
        <v>59</v>
      </c>
      <c r="AA5952" t="s">
        <v>59</v>
      </c>
      <c r="AB5952" t="s">
        <v>59</v>
      </c>
      <c r="AC5952" t="s">
        <v>59</v>
      </c>
      <c r="AD5952" t="s">
        <v>59</v>
      </c>
      <c r="AF5952" s="1">
        <v>37501</v>
      </c>
      <c r="AG5952" t="s">
        <v>8645</v>
      </c>
      <c r="AH5952" t="s">
        <v>8646</v>
      </c>
      <c r="AI5952" t="str">
        <f>"9170197"</f>
        <v>9170197</v>
      </c>
      <c r="AJ5952" t="s">
        <v>8989</v>
      </c>
      <c r="AK5952">
        <v>2810232577</v>
      </c>
      <c r="AL5952" t="s">
        <v>8990</v>
      </c>
      <c r="AM5952" t="s">
        <v>78</v>
      </c>
      <c r="AN5952" t="s">
        <v>78</v>
      </c>
      <c r="AO5952" t="s">
        <v>78</v>
      </c>
      <c r="AP5952" t="s">
        <v>163</v>
      </c>
      <c r="AQ5952">
        <v>1</v>
      </c>
      <c r="AR5952" t="s">
        <v>80</v>
      </c>
      <c r="AS5952" t="s">
        <v>81</v>
      </c>
      <c r="AT5952" t="s">
        <v>58</v>
      </c>
      <c r="AU5952" t="s">
        <v>68</v>
      </c>
      <c r="AV5952" t="s">
        <v>69</v>
      </c>
      <c r="AW5952" s="1">
        <v>25308</v>
      </c>
      <c r="AX5952">
        <v>1</v>
      </c>
    </row>
    <row r="5953" spans="1:50">
      <c r="B5953" t="str">
        <f>"140061039"</f>
        <v>140061039</v>
      </c>
      <c r="C5953" t="s">
        <v>50</v>
      </c>
      <c r="D5953" t="s">
        <v>10381</v>
      </c>
      <c r="E5953" t="s">
        <v>372</v>
      </c>
      <c r="F5953" t="s">
        <v>1493</v>
      </c>
      <c r="G5953" t="s">
        <v>10382</v>
      </c>
      <c r="H5953" t="str">
        <f>"ΙΠΠΟΚΡΑΤΟΥΣ 5 "</f>
        <v xml:space="preserve">ΙΠΠΟΚΡΑΤΟΥΣ 5 </v>
      </c>
      <c r="I5953">
        <v>50100</v>
      </c>
      <c r="J5953">
        <v>2461024504</v>
      </c>
      <c r="K5953">
        <v>6982249947</v>
      </c>
      <c r="N5953" t="s">
        <v>615</v>
      </c>
      <c r="O5953" t="s">
        <v>616</v>
      </c>
      <c r="R5953" t="s">
        <v>159</v>
      </c>
      <c r="S5953">
        <v>3</v>
      </c>
      <c r="T5953" t="s">
        <v>8675</v>
      </c>
      <c r="U5953" s="1">
        <v>43348</v>
      </c>
      <c r="V5953" t="s">
        <v>80</v>
      </c>
      <c r="W5953" t="s">
        <v>81</v>
      </c>
      <c r="X5953" t="s">
        <v>58</v>
      </c>
      <c r="Y5953">
        <v>24</v>
      </c>
      <c r="Z5953" t="s">
        <v>59</v>
      </c>
      <c r="AA5953" t="s">
        <v>59</v>
      </c>
      <c r="AB5953" t="s">
        <v>59</v>
      </c>
      <c r="AC5953" t="s">
        <v>59</v>
      </c>
      <c r="AD5953" t="s">
        <v>59</v>
      </c>
      <c r="AF5953" s="1">
        <v>43348</v>
      </c>
      <c r="AG5953" t="s">
        <v>8645</v>
      </c>
      <c r="AH5953" t="s">
        <v>8646</v>
      </c>
      <c r="AI5953" t="str">
        <f>"9170205"</f>
        <v>9170205</v>
      </c>
      <c r="AJ5953" t="s">
        <v>8794</v>
      </c>
      <c r="AK5953">
        <v>2810762030</v>
      </c>
      <c r="AL5953" t="s">
        <v>8795</v>
      </c>
      <c r="AM5953" t="s">
        <v>78</v>
      </c>
      <c r="AN5953" t="s">
        <v>219</v>
      </c>
      <c r="AO5953" t="s">
        <v>297</v>
      </c>
      <c r="AP5953" t="s">
        <v>8796</v>
      </c>
      <c r="AQ5953">
        <v>7</v>
      </c>
      <c r="AR5953" t="s">
        <v>80</v>
      </c>
      <c r="AS5953" t="s">
        <v>81</v>
      </c>
      <c r="AT5953" t="s">
        <v>58</v>
      </c>
      <c r="AU5953" t="s">
        <v>8673</v>
      </c>
      <c r="AV5953" t="s">
        <v>132</v>
      </c>
      <c r="AW5953" s="1">
        <v>31884</v>
      </c>
      <c r="AX5953">
        <v>1</v>
      </c>
    </row>
    <row r="5954" spans="1:50">
      <c r="A5954">
        <v>617317</v>
      </c>
      <c r="B5954" t="str">
        <f>"114561794"</f>
        <v>114561794</v>
      </c>
      <c r="C5954" t="s">
        <v>105</v>
      </c>
      <c r="D5954" t="s">
        <v>10383</v>
      </c>
      <c r="E5954" t="s">
        <v>1868</v>
      </c>
      <c r="F5954" t="s">
        <v>106</v>
      </c>
      <c r="G5954" t="s">
        <v>2208</v>
      </c>
      <c r="H5954" t="str">
        <f>"ΔΑΣΚΑΛΟΓΙΑΝΝΗ 2 ΒΡΑΧΟΚΗΠΟΣ - ΚΟΚΚΙΝΗ ΧΑΝΙ "</f>
        <v xml:space="preserve">ΔΑΣΚΑΛΟΓΙΑΝΝΗ 2 ΒΡΑΧΟΚΗΠΟΣ - ΚΟΚΚΙΝΗ ΧΑΝΙ </v>
      </c>
      <c r="I5954">
        <v>71500</v>
      </c>
      <c r="J5954">
        <v>2810390913</v>
      </c>
      <c r="K5954">
        <v>6972495042</v>
      </c>
      <c r="M5954" t="s">
        <v>10384</v>
      </c>
      <c r="N5954" t="s">
        <v>615</v>
      </c>
      <c r="O5954" t="s">
        <v>616</v>
      </c>
      <c r="R5954" t="s">
        <v>57</v>
      </c>
      <c r="S5954">
        <v>8</v>
      </c>
      <c r="T5954">
        <v>774</v>
      </c>
      <c r="U5954" s="1">
        <v>39680</v>
      </c>
      <c r="V5954" t="s">
        <v>80</v>
      </c>
      <c r="W5954" t="s">
        <v>81</v>
      </c>
      <c r="X5954" t="s">
        <v>58</v>
      </c>
      <c r="Y5954">
        <v>23</v>
      </c>
      <c r="Z5954" t="s">
        <v>59</v>
      </c>
      <c r="AA5954" t="s">
        <v>59</v>
      </c>
      <c r="AB5954" t="s">
        <v>59</v>
      </c>
      <c r="AC5954" t="s">
        <v>59</v>
      </c>
      <c r="AD5954" t="s">
        <v>59</v>
      </c>
      <c r="AF5954" s="1">
        <v>39681</v>
      </c>
      <c r="AG5954" t="s">
        <v>8645</v>
      </c>
      <c r="AH5954" t="s">
        <v>8646</v>
      </c>
      <c r="AI5954" t="str">
        <f>"9170020"</f>
        <v>9170020</v>
      </c>
      <c r="AJ5954" t="s">
        <v>9244</v>
      </c>
      <c r="AK5954">
        <v>2810821476</v>
      </c>
      <c r="AL5954" t="s">
        <v>9245</v>
      </c>
      <c r="AM5954" t="s">
        <v>78</v>
      </c>
      <c r="AN5954" t="s">
        <v>129</v>
      </c>
      <c r="AO5954" t="s">
        <v>130</v>
      </c>
      <c r="AP5954" t="s">
        <v>9246</v>
      </c>
      <c r="AQ5954">
        <v>2</v>
      </c>
      <c r="AR5954" t="s">
        <v>80</v>
      </c>
      <c r="AS5954" t="s">
        <v>81</v>
      </c>
      <c r="AT5954" t="s">
        <v>58</v>
      </c>
      <c r="AU5954" t="s">
        <v>68</v>
      </c>
      <c r="AV5954" t="s">
        <v>69</v>
      </c>
      <c r="AW5954" s="1">
        <v>30095</v>
      </c>
      <c r="AX5954">
        <v>1</v>
      </c>
    </row>
    <row r="5955" spans="1:50">
      <c r="A5955">
        <v>605682</v>
      </c>
      <c r="B5955" t="str">
        <f>"118772030"</f>
        <v>118772030</v>
      </c>
      <c r="C5955" t="s">
        <v>50</v>
      </c>
      <c r="D5955" t="s">
        <v>10385</v>
      </c>
      <c r="E5955" t="s">
        <v>8559</v>
      </c>
      <c r="F5955" t="s">
        <v>760</v>
      </c>
      <c r="G5955" t="s">
        <v>476</v>
      </c>
      <c r="H5955" t="str">
        <f>"ΠΙΤΣΙΔΙΑ ΤΥΜΠΑΚΙΟΥ"</f>
        <v>ΠΙΤΣΙΔΙΑ ΤΥΜΠΑΚΙΟΥ</v>
      </c>
      <c r="I5955">
        <v>70200</v>
      </c>
      <c r="J5955">
        <v>2892045014</v>
      </c>
      <c r="K5955">
        <v>6936152118</v>
      </c>
      <c r="N5955" t="s">
        <v>615</v>
      </c>
      <c r="O5955" t="s">
        <v>616</v>
      </c>
      <c r="R5955" t="s">
        <v>57</v>
      </c>
      <c r="S5955">
        <v>7</v>
      </c>
      <c r="T5955">
        <v>231</v>
      </c>
      <c r="U5955" s="1">
        <v>38230</v>
      </c>
      <c r="V5955" t="s">
        <v>80</v>
      </c>
      <c r="W5955" t="s">
        <v>81</v>
      </c>
      <c r="X5955" t="s">
        <v>58</v>
      </c>
      <c r="Y5955">
        <v>22</v>
      </c>
      <c r="Z5955" t="s">
        <v>59</v>
      </c>
      <c r="AA5955" t="s">
        <v>59</v>
      </c>
      <c r="AB5955" t="s">
        <v>59</v>
      </c>
      <c r="AC5955" t="s">
        <v>59</v>
      </c>
      <c r="AD5955" t="s">
        <v>59</v>
      </c>
      <c r="AF5955" s="1">
        <v>38231</v>
      </c>
      <c r="AG5955" t="s">
        <v>8645</v>
      </c>
      <c r="AH5955" t="s">
        <v>8646</v>
      </c>
      <c r="AI5955" t="str">
        <f>"9170268"</f>
        <v>9170268</v>
      </c>
      <c r="AJ5955" t="s">
        <v>9301</v>
      </c>
      <c r="AK5955">
        <v>2892022710</v>
      </c>
      <c r="AL5955" t="s">
        <v>9302</v>
      </c>
      <c r="AM5955" t="s">
        <v>78</v>
      </c>
      <c r="AN5955" t="s">
        <v>242</v>
      </c>
      <c r="AO5955" t="s">
        <v>243</v>
      </c>
      <c r="AP5955" t="s">
        <v>243</v>
      </c>
      <c r="AQ5955">
        <v>20</v>
      </c>
      <c r="AR5955" t="s">
        <v>80</v>
      </c>
      <c r="AS5955" t="s">
        <v>81</v>
      </c>
      <c r="AT5955" t="s">
        <v>58</v>
      </c>
      <c r="AU5955" t="s">
        <v>68</v>
      </c>
      <c r="AV5955" t="s">
        <v>69</v>
      </c>
      <c r="AW5955" s="1">
        <v>29242</v>
      </c>
      <c r="AX5955">
        <v>1</v>
      </c>
    </row>
    <row r="5956" spans="1:50">
      <c r="B5956" t="str">
        <f>"136876754"</f>
        <v>136876754</v>
      </c>
      <c r="C5956" t="s">
        <v>105</v>
      </c>
      <c r="D5956" t="s">
        <v>2294</v>
      </c>
      <c r="E5956" t="s">
        <v>84</v>
      </c>
      <c r="F5956" t="s">
        <v>383</v>
      </c>
      <c r="G5956" t="s">
        <v>83</v>
      </c>
      <c r="H5956" t="str">
        <f>" "</f>
        <v xml:space="preserve"> </v>
      </c>
      <c r="N5956" t="s">
        <v>683</v>
      </c>
      <c r="O5956" t="s">
        <v>684</v>
      </c>
      <c r="R5956" t="s">
        <v>121</v>
      </c>
      <c r="S5956">
        <v>3</v>
      </c>
      <c r="T5956" t="s">
        <v>8675</v>
      </c>
      <c r="U5956" s="1">
        <v>43348</v>
      </c>
      <c r="V5956" t="s">
        <v>80</v>
      </c>
      <c r="W5956" t="s">
        <v>81</v>
      </c>
      <c r="X5956" t="s">
        <v>58</v>
      </c>
      <c r="Y5956">
        <v>24</v>
      </c>
      <c r="Z5956" t="s">
        <v>59</v>
      </c>
      <c r="AA5956" t="s">
        <v>59</v>
      </c>
      <c r="AB5956" t="s">
        <v>59</v>
      </c>
      <c r="AD5956" t="s">
        <v>59</v>
      </c>
      <c r="AF5956" s="1">
        <v>43348</v>
      </c>
      <c r="AG5956" t="s">
        <v>8645</v>
      </c>
      <c r="AH5956" t="s">
        <v>8646</v>
      </c>
      <c r="AI5956" t="str">
        <f>"9170191"</f>
        <v>9170191</v>
      </c>
      <c r="AJ5956" t="s">
        <v>8667</v>
      </c>
      <c r="AK5956">
        <v>2810231459</v>
      </c>
      <c r="AL5956" t="s">
        <v>8668</v>
      </c>
      <c r="AM5956" t="s">
        <v>78</v>
      </c>
      <c r="AN5956" t="s">
        <v>78</v>
      </c>
      <c r="AO5956" t="s">
        <v>78</v>
      </c>
      <c r="AP5956" t="s">
        <v>163</v>
      </c>
      <c r="AQ5956">
        <v>1</v>
      </c>
      <c r="AR5956" t="s">
        <v>80</v>
      </c>
      <c r="AS5956" t="s">
        <v>81</v>
      </c>
      <c r="AT5956" t="s">
        <v>58</v>
      </c>
      <c r="AU5956" t="s">
        <v>8673</v>
      </c>
      <c r="AV5956" t="s">
        <v>132</v>
      </c>
      <c r="AW5956" s="1">
        <v>29540</v>
      </c>
      <c r="AX5956">
        <v>1</v>
      </c>
    </row>
    <row r="5957" spans="1:50">
      <c r="A5957">
        <v>199943</v>
      </c>
      <c r="B5957" t="str">
        <f>"076110278"</f>
        <v>076110278</v>
      </c>
      <c r="C5957" t="s">
        <v>50</v>
      </c>
      <c r="D5957" t="s">
        <v>2296</v>
      </c>
      <c r="E5957" t="s">
        <v>255</v>
      </c>
      <c r="F5957" t="s">
        <v>315</v>
      </c>
      <c r="G5957" t="s">
        <v>2297</v>
      </c>
      <c r="H5957" t="str">
        <f>"ΒΡΥΤΟΜΑΡΤΙΔΟΣ 10  ΑΓΙΑ ΑΙΚΑΤΕΡΙΝΗ ΗΡΑΚΛΕΙΟ"</f>
        <v>ΒΡΥΤΟΜΑΡΤΙΔΟΣ 10  ΑΓΙΑ ΑΙΚΑΤΕΡΙΝΗ ΗΡΑΚΛΕΙΟ</v>
      </c>
      <c r="I5957">
        <v>71307</v>
      </c>
      <c r="J5957">
        <v>2810239027</v>
      </c>
      <c r="K5957">
        <v>6972534668</v>
      </c>
      <c r="M5957" t="s">
        <v>10386</v>
      </c>
      <c r="N5957" t="s">
        <v>204</v>
      </c>
      <c r="O5957" t="s">
        <v>205</v>
      </c>
      <c r="R5957" t="s">
        <v>57</v>
      </c>
      <c r="S5957">
        <v>8</v>
      </c>
      <c r="T5957">
        <v>206</v>
      </c>
      <c r="U5957" s="1">
        <v>37866</v>
      </c>
      <c r="V5957" t="s">
        <v>80</v>
      </c>
      <c r="W5957" t="s">
        <v>81</v>
      </c>
      <c r="X5957" t="s">
        <v>58</v>
      </c>
      <c r="Y5957">
        <v>22</v>
      </c>
      <c r="Z5957" t="s">
        <v>59</v>
      </c>
      <c r="AA5957" t="s">
        <v>59</v>
      </c>
      <c r="AB5957" t="s">
        <v>59</v>
      </c>
      <c r="AC5957" t="s">
        <v>59</v>
      </c>
      <c r="AD5957" t="s">
        <v>59</v>
      </c>
      <c r="AF5957" s="1">
        <v>37866</v>
      </c>
      <c r="AG5957" t="s">
        <v>8645</v>
      </c>
      <c r="AH5957" t="s">
        <v>8646</v>
      </c>
      <c r="AI5957" t="str">
        <f>"9170560"</f>
        <v>9170560</v>
      </c>
      <c r="AJ5957" t="s">
        <v>9022</v>
      </c>
      <c r="AK5957">
        <v>2810821816</v>
      </c>
      <c r="AL5957" t="s">
        <v>9023</v>
      </c>
      <c r="AM5957" t="s">
        <v>78</v>
      </c>
      <c r="AN5957" t="s">
        <v>129</v>
      </c>
      <c r="AO5957" t="s">
        <v>130</v>
      </c>
      <c r="AP5957" t="s">
        <v>130</v>
      </c>
      <c r="AQ5957">
        <v>1</v>
      </c>
      <c r="AR5957" t="s">
        <v>80</v>
      </c>
      <c r="AS5957" t="s">
        <v>81</v>
      </c>
      <c r="AT5957" t="s">
        <v>58</v>
      </c>
      <c r="AU5957" t="s">
        <v>68</v>
      </c>
      <c r="AV5957" t="s">
        <v>69</v>
      </c>
      <c r="AW5957" s="1">
        <v>25584</v>
      </c>
      <c r="AX5957">
        <v>1</v>
      </c>
    </row>
    <row r="5958" spans="1:50">
      <c r="A5958">
        <v>580459</v>
      </c>
      <c r="B5958" t="str">
        <f>"042494544"</f>
        <v>042494544</v>
      </c>
      <c r="C5958" t="s">
        <v>50</v>
      </c>
      <c r="D5958" t="s">
        <v>10387</v>
      </c>
      <c r="E5958" t="s">
        <v>681</v>
      </c>
      <c r="F5958" t="s">
        <v>304</v>
      </c>
      <c r="G5958" t="s">
        <v>1644</v>
      </c>
      <c r="H5958" t="str">
        <f>"ΦΑΙΣΤΟΥ 34 ΗΡΑΚΛΕΙΟ"</f>
        <v>ΦΑΙΣΤΟΥ 34 ΗΡΑΚΛΕΙΟ</v>
      </c>
      <c r="I5958">
        <v>71409</v>
      </c>
      <c r="J5958">
        <v>2811101195</v>
      </c>
      <c r="K5958">
        <v>6941474783</v>
      </c>
      <c r="M5958" t="s">
        <v>10388</v>
      </c>
      <c r="N5958" t="s">
        <v>337</v>
      </c>
      <c r="O5958" t="s">
        <v>338</v>
      </c>
      <c r="R5958" t="s">
        <v>57</v>
      </c>
      <c r="S5958">
        <v>10</v>
      </c>
      <c r="T5958">
        <v>65</v>
      </c>
      <c r="U5958" s="1">
        <v>35146</v>
      </c>
      <c r="V5958" t="s">
        <v>80</v>
      </c>
      <c r="W5958" t="s">
        <v>81</v>
      </c>
      <c r="X5958" t="s">
        <v>58</v>
      </c>
      <c r="Y5958">
        <v>21</v>
      </c>
      <c r="Z5958" t="s">
        <v>59</v>
      </c>
      <c r="AA5958" t="s">
        <v>59</v>
      </c>
      <c r="AB5958" t="s">
        <v>59</v>
      </c>
      <c r="AC5958" t="s">
        <v>59</v>
      </c>
      <c r="AD5958" t="s">
        <v>59</v>
      </c>
      <c r="AF5958" s="1">
        <v>35160</v>
      </c>
      <c r="AG5958" t="s">
        <v>8645</v>
      </c>
      <c r="AH5958" t="s">
        <v>8646</v>
      </c>
      <c r="AI5958" t="str">
        <f>"9170262"</f>
        <v>9170262</v>
      </c>
      <c r="AJ5958" t="s">
        <v>9224</v>
      </c>
      <c r="AK5958">
        <v>2810245912</v>
      </c>
      <c r="AL5958" t="s">
        <v>9225</v>
      </c>
      <c r="AM5958" t="s">
        <v>78</v>
      </c>
      <c r="AN5958" t="s">
        <v>78</v>
      </c>
      <c r="AO5958" t="s">
        <v>286</v>
      </c>
      <c r="AP5958" t="s">
        <v>286</v>
      </c>
      <c r="AQ5958">
        <v>1</v>
      </c>
      <c r="AR5958" t="s">
        <v>80</v>
      </c>
      <c r="AS5958" t="s">
        <v>81</v>
      </c>
      <c r="AT5958" t="s">
        <v>58</v>
      </c>
      <c r="AU5958" t="s">
        <v>68</v>
      </c>
      <c r="AV5958" t="s">
        <v>69</v>
      </c>
      <c r="AW5958" s="1">
        <v>25237</v>
      </c>
      <c r="AX5958">
        <v>1</v>
      </c>
    </row>
    <row r="5959" spans="1:50">
      <c r="A5959">
        <v>598876</v>
      </c>
      <c r="B5959" t="str">
        <f>"100050436"</f>
        <v>100050436</v>
      </c>
      <c r="C5959" t="s">
        <v>50</v>
      </c>
      <c r="D5959" t="s">
        <v>10389</v>
      </c>
      <c r="E5959" t="s">
        <v>83</v>
      </c>
      <c r="F5959" t="s">
        <v>95</v>
      </c>
      <c r="G5959" t="s">
        <v>237</v>
      </c>
      <c r="H5959" t="str">
        <f>"Α. ΕΜΠΕΙΡΙΚΟΥ 15 ΗΡΑΚΛΕΙΟ"</f>
        <v>Α. ΕΜΠΕΙΡΙΚΟΥ 15 ΗΡΑΚΛΕΙΟ</v>
      </c>
      <c r="I5959">
        <v>71304</v>
      </c>
      <c r="J5959">
        <v>2810721585</v>
      </c>
      <c r="K5959">
        <v>6949350626</v>
      </c>
      <c r="N5959" t="s">
        <v>1525</v>
      </c>
      <c r="O5959" t="s">
        <v>1526</v>
      </c>
      <c r="R5959" t="s">
        <v>57</v>
      </c>
      <c r="S5959">
        <v>10</v>
      </c>
      <c r="T5959">
        <v>195</v>
      </c>
      <c r="U5959" s="1">
        <v>37497</v>
      </c>
      <c r="V5959" t="s">
        <v>80</v>
      </c>
      <c r="W5959" t="s">
        <v>81</v>
      </c>
      <c r="X5959" t="s">
        <v>58</v>
      </c>
      <c r="Y5959">
        <v>25</v>
      </c>
      <c r="Z5959" t="s">
        <v>59</v>
      </c>
      <c r="AA5959" t="s">
        <v>59</v>
      </c>
      <c r="AB5959" t="s">
        <v>59</v>
      </c>
      <c r="AC5959" t="s">
        <v>59</v>
      </c>
      <c r="AD5959" t="s">
        <v>59</v>
      </c>
      <c r="AF5959" s="1">
        <v>37502</v>
      </c>
      <c r="AG5959" t="s">
        <v>8651</v>
      </c>
      <c r="AH5959" t="s">
        <v>8652</v>
      </c>
      <c r="AI5959" t="str">
        <f>"9170474"</f>
        <v>9170474</v>
      </c>
      <c r="AJ5959" t="s">
        <v>10390</v>
      </c>
      <c r="AK5959">
        <v>2810721509</v>
      </c>
      <c r="AL5959" t="s">
        <v>10391</v>
      </c>
      <c r="AM5959" t="s">
        <v>78</v>
      </c>
      <c r="AN5959" t="s">
        <v>78</v>
      </c>
      <c r="AO5959" t="s">
        <v>78</v>
      </c>
      <c r="AP5959" t="s">
        <v>9053</v>
      </c>
      <c r="AQ5959">
        <v>1</v>
      </c>
      <c r="AR5959" t="s">
        <v>80</v>
      </c>
      <c r="AS5959" t="s">
        <v>81</v>
      </c>
      <c r="AT5959" t="s">
        <v>58</v>
      </c>
      <c r="AU5959" t="s">
        <v>68</v>
      </c>
      <c r="AV5959" t="s">
        <v>69</v>
      </c>
      <c r="AW5959" s="1">
        <v>24359</v>
      </c>
      <c r="AX5959">
        <v>1</v>
      </c>
    </row>
    <row r="5960" spans="1:50">
      <c r="B5960" t="str">
        <f>"147449147"</f>
        <v>147449147</v>
      </c>
      <c r="C5960" t="s">
        <v>50</v>
      </c>
      <c r="D5960" t="s">
        <v>2300</v>
      </c>
      <c r="E5960" t="s">
        <v>801</v>
      </c>
      <c r="F5960" t="s">
        <v>99</v>
      </c>
      <c r="G5960" t="s">
        <v>10392</v>
      </c>
      <c r="H5960" t="str">
        <f>" "</f>
        <v xml:space="preserve"> </v>
      </c>
      <c r="N5960" t="s">
        <v>683</v>
      </c>
      <c r="O5960" t="s">
        <v>684</v>
      </c>
      <c r="R5960" t="s">
        <v>121</v>
      </c>
      <c r="S5960">
        <v>1</v>
      </c>
      <c r="T5960" t="s">
        <v>8675</v>
      </c>
      <c r="U5960" s="1">
        <v>43348</v>
      </c>
      <c r="V5960" t="s">
        <v>80</v>
      </c>
      <c r="W5960" t="s">
        <v>81</v>
      </c>
      <c r="X5960" t="s">
        <v>58</v>
      </c>
      <c r="Y5960">
        <v>24</v>
      </c>
      <c r="Z5960" t="s">
        <v>59</v>
      </c>
      <c r="AA5960" t="s">
        <v>59</v>
      </c>
      <c r="AB5960" t="s">
        <v>59</v>
      </c>
      <c r="AD5960" t="s">
        <v>59</v>
      </c>
      <c r="AF5960" s="1">
        <v>43348</v>
      </c>
      <c r="AG5960" t="s">
        <v>8645</v>
      </c>
      <c r="AH5960" t="s">
        <v>8646</v>
      </c>
      <c r="AI5960" t="str">
        <f>"9170270"</f>
        <v>9170270</v>
      </c>
      <c r="AJ5960" t="s">
        <v>9347</v>
      </c>
      <c r="AK5960">
        <v>2892031245</v>
      </c>
      <c r="AL5960" t="s">
        <v>9348</v>
      </c>
      <c r="AM5960" t="s">
        <v>78</v>
      </c>
      <c r="AN5960" t="s">
        <v>405</v>
      </c>
      <c r="AO5960" t="s">
        <v>405</v>
      </c>
      <c r="AP5960" t="s">
        <v>464</v>
      </c>
      <c r="AQ5960">
        <v>17</v>
      </c>
      <c r="AR5960" t="s">
        <v>80</v>
      </c>
      <c r="AS5960" t="s">
        <v>81</v>
      </c>
      <c r="AT5960" t="s">
        <v>58</v>
      </c>
      <c r="AU5960" t="s">
        <v>8673</v>
      </c>
      <c r="AV5960" t="s">
        <v>132</v>
      </c>
      <c r="AW5960" s="1">
        <v>33258</v>
      </c>
      <c r="AX5960">
        <v>1</v>
      </c>
    </row>
    <row r="5961" spans="1:50">
      <c r="A5961">
        <v>553291</v>
      </c>
      <c r="B5961" t="str">
        <f>"030217851"</f>
        <v>030217851</v>
      </c>
      <c r="C5961" t="s">
        <v>50</v>
      </c>
      <c r="D5961" t="s">
        <v>2303</v>
      </c>
      <c r="E5961" t="s">
        <v>52</v>
      </c>
      <c r="F5961" t="s">
        <v>95</v>
      </c>
      <c r="G5961" t="s">
        <v>658</v>
      </c>
      <c r="H5961" t="str">
        <f>"ΑΣΤΕΡΟΥΣΙΩΝ 37 ΗΡΑΚΛΕΙΟ"</f>
        <v>ΑΣΤΕΡΟΥΣΙΩΝ 37 ΗΡΑΚΛΕΙΟ</v>
      </c>
      <c r="I5961">
        <v>71305</v>
      </c>
      <c r="J5961">
        <v>2810312095</v>
      </c>
      <c r="K5961">
        <v>6977400791</v>
      </c>
      <c r="N5961" t="s">
        <v>1525</v>
      </c>
      <c r="O5961" t="s">
        <v>1526</v>
      </c>
      <c r="R5961" t="s">
        <v>57</v>
      </c>
      <c r="S5961">
        <v>17</v>
      </c>
      <c r="T5961">
        <v>433</v>
      </c>
      <c r="U5961" s="1">
        <v>31044</v>
      </c>
      <c r="V5961" t="s">
        <v>80</v>
      </c>
      <c r="W5961" t="s">
        <v>81</v>
      </c>
      <c r="X5961" t="s">
        <v>58</v>
      </c>
      <c r="Y5961">
        <v>25</v>
      </c>
      <c r="Z5961" t="s">
        <v>59</v>
      </c>
      <c r="AA5961" t="s">
        <v>59</v>
      </c>
      <c r="AB5961" t="s">
        <v>59</v>
      </c>
      <c r="AC5961" t="s">
        <v>59</v>
      </c>
      <c r="AD5961" t="s">
        <v>59</v>
      </c>
      <c r="AF5961" s="1">
        <v>31051</v>
      </c>
      <c r="AG5961" t="s">
        <v>8651</v>
      </c>
      <c r="AH5961" t="s">
        <v>8652</v>
      </c>
      <c r="AI5961" t="str">
        <f>"9170400"</f>
        <v>9170400</v>
      </c>
      <c r="AJ5961" t="s">
        <v>8895</v>
      </c>
      <c r="AK5961">
        <v>2810312158</v>
      </c>
      <c r="AL5961" t="s">
        <v>8896</v>
      </c>
      <c r="AM5961" t="s">
        <v>78</v>
      </c>
      <c r="AN5961" t="s">
        <v>78</v>
      </c>
      <c r="AO5961" t="s">
        <v>78</v>
      </c>
      <c r="AP5961" t="s">
        <v>79</v>
      </c>
      <c r="AQ5961">
        <v>1</v>
      </c>
      <c r="AR5961" t="s">
        <v>80</v>
      </c>
      <c r="AS5961" t="s">
        <v>81</v>
      </c>
      <c r="AT5961" t="s">
        <v>58</v>
      </c>
      <c r="AU5961" t="s">
        <v>68</v>
      </c>
      <c r="AV5961" t="s">
        <v>69</v>
      </c>
      <c r="AW5961" s="1">
        <v>22968</v>
      </c>
      <c r="AX5961">
        <v>1</v>
      </c>
    </row>
    <row r="5962" spans="1:50">
      <c r="B5962" t="str">
        <f>"136462860"</f>
        <v>136462860</v>
      </c>
      <c r="C5962" t="s">
        <v>50</v>
      </c>
      <c r="D5962" t="s">
        <v>10393</v>
      </c>
      <c r="E5962" t="s">
        <v>1281</v>
      </c>
      <c r="F5962" t="s">
        <v>99</v>
      </c>
      <c r="G5962" t="s">
        <v>316</v>
      </c>
      <c r="H5962" t="str">
        <f>"ΠΥΡΓΟΣ ΜΟΝΟΦΑΤΣΙΟΥ "</f>
        <v xml:space="preserve">ΠΥΡΓΟΣ ΜΟΝΟΦΑΤΣΙΟΥ </v>
      </c>
      <c r="I5962">
        <v>70010</v>
      </c>
      <c r="J5962">
        <v>2254031168</v>
      </c>
      <c r="K5962">
        <v>6979230609</v>
      </c>
      <c r="N5962" t="s">
        <v>1525</v>
      </c>
      <c r="O5962" t="s">
        <v>1526</v>
      </c>
      <c r="R5962" t="s">
        <v>159</v>
      </c>
      <c r="S5962">
        <v>4</v>
      </c>
      <c r="T5962" t="s">
        <v>8670</v>
      </c>
      <c r="U5962" s="1">
        <v>43348</v>
      </c>
      <c r="V5962" t="s">
        <v>80</v>
      </c>
      <c r="W5962" t="s">
        <v>81</v>
      </c>
      <c r="X5962" t="s">
        <v>58</v>
      </c>
      <c r="Y5962">
        <v>25</v>
      </c>
      <c r="Z5962" t="s">
        <v>59</v>
      </c>
      <c r="AA5962" t="s">
        <v>59</v>
      </c>
      <c r="AB5962" t="s">
        <v>59</v>
      </c>
      <c r="AC5962" t="s">
        <v>59</v>
      </c>
      <c r="AD5962" t="s">
        <v>59</v>
      </c>
      <c r="AF5962" s="1">
        <v>43348</v>
      </c>
      <c r="AG5962" t="s">
        <v>8651</v>
      </c>
      <c r="AH5962" t="s">
        <v>8652</v>
      </c>
      <c r="AI5962" t="str">
        <f>"9170318"</f>
        <v>9170318</v>
      </c>
      <c r="AJ5962" t="s">
        <v>8888</v>
      </c>
      <c r="AK5962">
        <v>2893023231</v>
      </c>
      <c r="AL5962" t="s">
        <v>8889</v>
      </c>
      <c r="AM5962" t="s">
        <v>78</v>
      </c>
      <c r="AN5962" t="s">
        <v>424</v>
      </c>
      <c r="AO5962" t="s">
        <v>577</v>
      </c>
      <c r="AP5962" t="s">
        <v>1668</v>
      </c>
      <c r="AQ5962">
        <v>10</v>
      </c>
      <c r="AR5962" t="s">
        <v>80</v>
      </c>
      <c r="AS5962" t="s">
        <v>81</v>
      </c>
      <c r="AT5962" t="s">
        <v>58</v>
      </c>
      <c r="AU5962" t="s">
        <v>8673</v>
      </c>
      <c r="AV5962" t="s">
        <v>132</v>
      </c>
      <c r="AW5962" s="1">
        <v>30726</v>
      </c>
      <c r="AX5962">
        <v>1</v>
      </c>
    </row>
    <row r="5963" spans="1:50">
      <c r="A5963">
        <v>229097</v>
      </c>
      <c r="B5963" t="str">
        <f>"062962544"</f>
        <v>062962544</v>
      </c>
      <c r="C5963" t="s">
        <v>50</v>
      </c>
      <c r="D5963" t="s">
        <v>10394</v>
      </c>
      <c r="E5963" t="s">
        <v>52</v>
      </c>
      <c r="F5963" t="s">
        <v>202</v>
      </c>
      <c r="G5963" t="s">
        <v>620</v>
      </c>
      <c r="H5963" t="str">
        <f>"ΑΘΑΝΑΣΙΟΥ ΜΟΥΣΗ 15 ΗΡΑΚΛΕΙΟ"</f>
        <v>ΑΘΑΝΑΣΙΟΥ ΜΟΥΣΗ 15 ΗΡΑΚΛΕΙΟ</v>
      </c>
      <c r="I5963">
        <v>71409</v>
      </c>
      <c r="J5963">
        <v>2810761491</v>
      </c>
      <c r="K5963">
        <v>6944680393</v>
      </c>
      <c r="L5963">
        <v>2815006334</v>
      </c>
      <c r="N5963" t="s">
        <v>306</v>
      </c>
      <c r="O5963" t="s">
        <v>307</v>
      </c>
      <c r="R5963" t="s">
        <v>57</v>
      </c>
      <c r="S5963">
        <v>5</v>
      </c>
      <c r="T5963">
        <v>720</v>
      </c>
      <c r="U5963" s="1">
        <v>40059</v>
      </c>
      <c r="V5963" t="s">
        <v>80</v>
      </c>
      <c r="W5963" t="s">
        <v>81</v>
      </c>
      <c r="X5963" t="s">
        <v>58</v>
      </c>
      <c r="Y5963">
        <v>23</v>
      </c>
      <c r="Z5963" t="s">
        <v>59</v>
      </c>
      <c r="AA5963" t="s">
        <v>59</v>
      </c>
      <c r="AB5963" t="s">
        <v>59</v>
      </c>
      <c r="AC5963" t="s">
        <v>59</v>
      </c>
      <c r="AD5963" t="s">
        <v>59</v>
      </c>
      <c r="AF5963" s="1">
        <v>40064</v>
      </c>
      <c r="AG5963" t="s">
        <v>8645</v>
      </c>
      <c r="AH5963" t="s">
        <v>8676</v>
      </c>
      <c r="AI5963" t="str">
        <f>"9521628"</f>
        <v>9521628</v>
      </c>
      <c r="AJ5963" t="s">
        <v>9045</v>
      </c>
      <c r="AM5963" t="s">
        <v>78</v>
      </c>
      <c r="AN5963" t="s">
        <v>78</v>
      </c>
      <c r="AO5963" t="s">
        <v>286</v>
      </c>
      <c r="AP5963" t="s">
        <v>9046</v>
      </c>
      <c r="AR5963" t="s">
        <v>80</v>
      </c>
      <c r="AS5963" t="s">
        <v>81</v>
      </c>
      <c r="AT5963" t="s">
        <v>58</v>
      </c>
      <c r="AU5963" t="s">
        <v>68</v>
      </c>
      <c r="AV5963" t="s">
        <v>69</v>
      </c>
      <c r="AW5963" s="1">
        <v>28542</v>
      </c>
      <c r="AX5963">
        <v>1</v>
      </c>
    </row>
    <row r="5964" spans="1:50">
      <c r="B5964" t="str">
        <f>"103519144"</f>
        <v>103519144</v>
      </c>
      <c r="C5964" t="s">
        <v>50</v>
      </c>
      <c r="D5964" t="s">
        <v>6144</v>
      </c>
      <c r="E5964" t="s">
        <v>52</v>
      </c>
      <c r="F5964" t="s">
        <v>166</v>
      </c>
      <c r="G5964" t="s">
        <v>83</v>
      </c>
      <c r="H5964" t="str">
        <f>"ΤΕΡΨΙΧΟΡΗΣ 9 ΗΡΑΚΛΕΙΟ"</f>
        <v>ΤΕΡΨΙΧΟΡΗΣ 9 ΗΡΑΚΛΕΙΟ</v>
      </c>
      <c r="I5964">
        <v>71409</v>
      </c>
      <c r="J5964">
        <v>2810237143</v>
      </c>
      <c r="K5964">
        <v>6974872049</v>
      </c>
      <c r="N5964" t="s">
        <v>1525</v>
      </c>
      <c r="O5964" t="s">
        <v>1526</v>
      </c>
      <c r="R5964" t="s">
        <v>159</v>
      </c>
      <c r="S5964">
        <v>4</v>
      </c>
      <c r="T5964" t="s">
        <v>8670</v>
      </c>
      <c r="U5964" s="1">
        <v>43348</v>
      </c>
      <c r="V5964" t="s">
        <v>80</v>
      </c>
      <c r="W5964" t="s">
        <v>81</v>
      </c>
      <c r="X5964" t="s">
        <v>58</v>
      </c>
      <c r="Y5964">
        <v>25</v>
      </c>
      <c r="Z5964" t="s">
        <v>59</v>
      </c>
      <c r="AA5964" t="s">
        <v>59</v>
      </c>
      <c r="AB5964" t="s">
        <v>59</v>
      </c>
      <c r="AC5964" t="s">
        <v>59</v>
      </c>
      <c r="AD5964" t="s">
        <v>59</v>
      </c>
      <c r="AF5964" s="1">
        <v>43348</v>
      </c>
      <c r="AG5964" t="s">
        <v>8651</v>
      </c>
      <c r="AH5964" t="s">
        <v>8652</v>
      </c>
      <c r="AI5964" t="str">
        <f>"9170443"</f>
        <v>9170443</v>
      </c>
      <c r="AJ5964" t="s">
        <v>10395</v>
      </c>
      <c r="AK5964">
        <v>2810731370</v>
      </c>
      <c r="AL5964" t="s">
        <v>10396</v>
      </c>
      <c r="AM5964" t="s">
        <v>78</v>
      </c>
      <c r="AN5964" t="s">
        <v>78</v>
      </c>
      <c r="AO5964" t="s">
        <v>78</v>
      </c>
      <c r="AP5964" t="s">
        <v>9198</v>
      </c>
      <c r="AQ5964">
        <v>11</v>
      </c>
      <c r="AR5964" t="s">
        <v>80</v>
      </c>
      <c r="AS5964" t="s">
        <v>81</v>
      </c>
      <c r="AT5964" t="s">
        <v>58</v>
      </c>
      <c r="AU5964" t="s">
        <v>8673</v>
      </c>
      <c r="AV5964" t="s">
        <v>132</v>
      </c>
      <c r="AW5964" s="1">
        <v>29314</v>
      </c>
      <c r="AX5964">
        <v>1</v>
      </c>
    </row>
    <row r="5965" spans="1:50">
      <c r="A5965">
        <v>614254</v>
      </c>
      <c r="B5965" t="str">
        <f>"138248247"</f>
        <v>138248247</v>
      </c>
      <c r="C5965" t="s">
        <v>50</v>
      </c>
      <c r="D5965" t="s">
        <v>10397</v>
      </c>
      <c r="E5965" t="s">
        <v>263</v>
      </c>
      <c r="F5965" t="s">
        <v>99</v>
      </c>
      <c r="G5965" t="s">
        <v>372</v>
      </c>
      <c r="H5965" t="str">
        <f>"ΑΘ. ΑΘΩΝΙΤΟΥ 1Α ΗΡΑΚΛΕΙΟ"</f>
        <v>ΑΘ. ΑΘΩΝΙΤΟΥ 1Α ΗΡΑΚΛΕΙΟ</v>
      </c>
      <c r="I5965">
        <v>71305</v>
      </c>
      <c r="J5965">
        <v>2810528702</v>
      </c>
      <c r="K5965">
        <v>6938273166</v>
      </c>
      <c r="M5965" t="s">
        <v>10398</v>
      </c>
      <c r="N5965" t="s">
        <v>615</v>
      </c>
      <c r="O5965" t="s">
        <v>616</v>
      </c>
      <c r="R5965" t="s">
        <v>57</v>
      </c>
      <c r="S5965">
        <v>6</v>
      </c>
      <c r="T5965">
        <v>598</v>
      </c>
      <c r="U5965" s="1">
        <v>39310</v>
      </c>
      <c r="V5965" t="s">
        <v>80</v>
      </c>
      <c r="W5965" t="s">
        <v>81</v>
      </c>
      <c r="X5965" t="s">
        <v>58</v>
      </c>
      <c r="Y5965">
        <v>23</v>
      </c>
      <c r="Z5965" t="s">
        <v>59</v>
      </c>
      <c r="AA5965" t="s">
        <v>59</v>
      </c>
      <c r="AB5965" t="s">
        <v>59</v>
      </c>
      <c r="AC5965" t="s">
        <v>59</v>
      </c>
      <c r="AD5965" t="s">
        <v>59</v>
      </c>
      <c r="AF5965" s="1">
        <v>39328</v>
      </c>
      <c r="AG5965" t="s">
        <v>8645</v>
      </c>
      <c r="AH5965" t="s">
        <v>8646</v>
      </c>
      <c r="AI5965" t="str">
        <f>"9170109"</f>
        <v>9170109</v>
      </c>
      <c r="AJ5965" t="s">
        <v>9056</v>
      </c>
      <c r="AK5965">
        <v>2810212659</v>
      </c>
      <c r="AL5965" t="s">
        <v>9057</v>
      </c>
      <c r="AM5965" t="s">
        <v>78</v>
      </c>
      <c r="AN5965" t="s">
        <v>78</v>
      </c>
      <c r="AO5965" t="s">
        <v>78</v>
      </c>
      <c r="AP5965" t="s">
        <v>163</v>
      </c>
      <c r="AQ5965">
        <v>1</v>
      </c>
      <c r="AR5965" t="s">
        <v>80</v>
      </c>
      <c r="AS5965" t="s">
        <v>81</v>
      </c>
      <c r="AT5965" t="s">
        <v>58</v>
      </c>
      <c r="AU5965" t="s">
        <v>68</v>
      </c>
      <c r="AV5965" t="s">
        <v>69</v>
      </c>
      <c r="AW5965" s="1">
        <v>30639</v>
      </c>
      <c r="AX5965">
        <v>1</v>
      </c>
    </row>
    <row r="5966" spans="1:50">
      <c r="A5966">
        <v>570937</v>
      </c>
      <c r="B5966" t="str">
        <f>"041289551"</f>
        <v>041289551</v>
      </c>
      <c r="C5966" t="s">
        <v>50</v>
      </c>
      <c r="D5966" t="s">
        <v>2321</v>
      </c>
      <c r="E5966" t="s">
        <v>215</v>
      </c>
      <c r="F5966" t="s">
        <v>106</v>
      </c>
      <c r="G5966" t="s">
        <v>52</v>
      </c>
      <c r="H5966" t="str">
        <f>"ΓΛΥΚΟΠΟΥΛΟΥ 1 ΗΡΑΚΛΕΙΟ"</f>
        <v>ΓΛΥΚΟΠΟΥΛΟΥ 1 ΗΡΑΚΛΕΙΟ</v>
      </c>
      <c r="I5966">
        <v>71307</v>
      </c>
      <c r="J5966">
        <v>2810230630</v>
      </c>
      <c r="K5966">
        <v>6946331987</v>
      </c>
      <c r="M5966" t="s">
        <v>10399</v>
      </c>
      <c r="N5966" t="s">
        <v>615</v>
      </c>
      <c r="O5966" t="s">
        <v>616</v>
      </c>
      <c r="R5966" t="s">
        <v>57</v>
      </c>
      <c r="S5966">
        <v>13</v>
      </c>
      <c r="T5966">
        <v>138</v>
      </c>
      <c r="U5966" s="1">
        <v>34206</v>
      </c>
      <c r="V5966" t="s">
        <v>80</v>
      </c>
      <c r="W5966" t="s">
        <v>81</v>
      </c>
      <c r="X5966" t="s">
        <v>58</v>
      </c>
      <c r="Y5966">
        <v>21</v>
      </c>
      <c r="Z5966" t="s">
        <v>59</v>
      </c>
      <c r="AA5966" t="s">
        <v>59</v>
      </c>
      <c r="AB5966" t="s">
        <v>59</v>
      </c>
      <c r="AC5966" t="s">
        <v>59</v>
      </c>
      <c r="AD5966" t="s">
        <v>59</v>
      </c>
      <c r="AF5966" s="1">
        <v>34213</v>
      </c>
      <c r="AG5966" t="s">
        <v>8645</v>
      </c>
      <c r="AH5966" t="s">
        <v>8646</v>
      </c>
      <c r="AI5966" t="str">
        <f>"9170114"</f>
        <v>9170114</v>
      </c>
      <c r="AJ5966" t="s">
        <v>9613</v>
      </c>
      <c r="AK5966">
        <v>2810241054</v>
      </c>
      <c r="AL5966" t="s">
        <v>9614</v>
      </c>
      <c r="AM5966" t="s">
        <v>78</v>
      </c>
      <c r="AN5966" t="s">
        <v>78</v>
      </c>
      <c r="AO5966" t="s">
        <v>78</v>
      </c>
      <c r="AP5966" t="s">
        <v>79</v>
      </c>
      <c r="AQ5966">
        <v>1</v>
      </c>
      <c r="AR5966" t="s">
        <v>80</v>
      </c>
      <c r="AS5966" t="s">
        <v>81</v>
      </c>
      <c r="AT5966" t="s">
        <v>58</v>
      </c>
      <c r="AU5966" t="s">
        <v>68</v>
      </c>
      <c r="AV5966" t="s">
        <v>69</v>
      </c>
      <c r="AW5966" s="1">
        <v>20730</v>
      </c>
      <c r="AX5966">
        <v>1</v>
      </c>
    </row>
    <row r="5967" spans="1:50">
      <c r="A5967">
        <v>578253</v>
      </c>
      <c r="B5967" t="str">
        <f>"065101577"</f>
        <v>065101577</v>
      </c>
      <c r="C5967" t="s">
        <v>50</v>
      </c>
      <c r="D5967" t="s">
        <v>10400</v>
      </c>
      <c r="E5967" t="s">
        <v>237</v>
      </c>
      <c r="F5967" t="s">
        <v>53</v>
      </c>
      <c r="G5967" t="s">
        <v>215</v>
      </c>
      <c r="H5967" t="str">
        <f>" "</f>
        <v xml:space="preserve"> </v>
      </c>
      <c r="N5967" t="s">
        <v>615</v>
      </c>
      <c r="O5967" t="s">
        <v>616</v>
      </c>
      <c r="R5967" t="s">
        <v>57</v>
      </c>
      <c r="S5967">
        <v>11</v>
      </c>
      <c r="T5967">
        <v>165</v>
      </c>
      <c r="U5967" s="1">
        <v>35300</v>
      </c>
      <c r="V5967" t="s">
        <v>80</v>
      </c>
      <c r="W5967" t="s">
        <v>81</v>
      </c>
      <c r="X5967" t="s">
        <v>58</v>
      </c>
      <c r="Y5967">
        <v>21</v>
      </c>
      <c r="Z5967" t="s">
        <v>59</v>
      </c>
      <c r="AA5967" t="s">
        <v>59</v>
      </c>
      <c r="AB5967" t="s">
        <v>59</v>
      </c>
      <c r="AC5967" t="s">
        <v>59</v>
      </c>
      <c r="AD5967" t="s">
        <v>59</v>
      </c>
      <c r="AF5967" s="1">
        <v>35311</v>
      </c>
      <c r="AG5967" t="s">
        <v>8645</v>
      </c>
      <c r="AH5967" t="s">
        <v>8646</v>
      </c>
      <c r="AI5967" t="str">
        <f>"9170549"</f>
        <v>9170549</v>
      </c>
      <c r="AJ5967" t="s">
        <v>8778</v>
      </c>
      <c r="AK5967">
        <v>2810751800</v>
      </c>
      <c r="AL5967" t="s">
        <v>8779</v>
      </c>
      <c r="AM5967" t="s">
        <v>78</v>
      </c>
      <c r="AN5967" t="s">
        <v>424</v>
      </c>
      <c r="AO5967" t="s">
        <v>425</v>
      </c>
      <c r="AP5967" t="s">
        <v>425</v>
      </c>
      <c r="AQ5967">
        <v>11</v>
      </c>
      <c r="AR5967" t="s">
        <v>80</v>
      </c>
      <c r="AS5967" t="s">
        <v>81</v>
      </c>
      <c r="AT5967" t="s">
        <v>58</v>
      </c>
      <c r="AU5967" t="s">
        <v>68</v>
      </c>
      <c r="AV5967" t="s">
        <v>69</v>
      </c>
      <c r="AW5967" s="1">
        <v>24917</v>
      </c>
      <c r="AX5967">
        <v>1</v>
      </c>
    </row>
    <row r="5968" spans="1:50">
      <c r="A5968">
        <v>608586</v>
      </c>
      <c r="B5968" t="str">
        <f>"079030364"</f>
        <v>079030364</v>
      </c>
      <c r="C5968" t="s">
        <v>50</v>
      </c>
      <c r="D5968" t="s">
        <v>10401</v>
      </c>
      <c r="E5968" t="s">
        <v>1306</v>
      </c>
      <c r="F5968" t="s">
        <v>106</v>
      </c>
      <c r="G5968" t="s">
        <v>476</v>
      </c>
      <c r="H5968" t="str">
        <f>"ΠΑΤΕΛΑΡΟΥ 2   ΗΡΑΚΛΕΙΟ"</f>
        <v>ΠΑΤΕΛΑΡΟΥ 2   ΗΡΑΚΛΕΙΟ</v>
      </c>
      <c r="I5968">
        <v>71305</v>
      </c>
      <c r="J5968">
        <v>2810213425</v>
      </c>
      <c r="K5968">
        <v>6973033116</v>
      </c>
      <c r="N5968" t="s">
        <v>1525</v>
      </c>
      <c r="O5968" t="s">
        <v>1526</v>
      </c>
      <c r="R5968" t="s">
        <v>57</v>
      </c>
      <c r="S5968">
        <v>9</v>
      </c>
      <c r="T5968">
        <v>217</v>
      </c>
      <c r="U5968" s="1">
        <v>38596</v>
      </c>
      <c r="V5968" t="s">
        <v>80</v>
      </c>
      <c r="W5968" t="s">
        <v>81</v>
      </c>
      <c r="X5968" t="s">
        <v>58</v>
      </c>
      <c r="Y5968">
        <v>25</v>
      </c>
      <c r="Z5968" t="s">
        <v>59</v>
      </c>
      <c r="AA5968" t="s">
        <v>59</v>
      </c>
      <c r="AB5968" t="s">
        <v>59</v>
      </c>
      <c r="AC5968" t="s">
        <v>59</v>
      </c>
      <c r="AD5968" t="s">
        <v>59</v>
      </c>
      <c r="AF5968" s="1">
        <v>38601</v>
      </c>
      <c r="AG5968" t="s">
        <v>8651</v>
      </c>
      <c r="AH5968" t="s">
        <v>8652</v>
      </c>
      <c r="AI5968" t="str">
        <f>"9170400"</f>
        <v>9170400</v>
      </c>
      <c r="AJ5968" t="s">
        <v>8895</v>
      </c>
      <c r="AK5968">
        <v>2810312158</v>
      </c>
      <c r="AL5968" t="s">
        <v>8896</v>
      </c>
      <c r="AM5968" t="s">
        <v>78</v>
      </c>
      <c r="AN5968" t="s">
        <v>78</v>
      </c>
      <c r="AO5968" t="s">
        <v>78</v>
      </c>
      <c r="AP5968" t="s">
        <v>79</v>
      </c>
      <c r="AQ5968">
        <v>1</v>
      </c>
      <c r="AR5968" t="s">
        <v>80</v>
      </c>
      <c r="AS5968" t="s">
        <v>81</v>
      </c>
      <c r="AT5968" t="s">
        <v>58</v>
      </c>
      <c r="AU5968" t="s">
        <v>68</v>
      </c>
      <c r="AV5968" t="s">
        <v>69</v>
      </c>
      <c r="AW5968" s="1">
        <v>26555</v>
      </c>
      <c r="AX5968">
        <v>1</v>
      </c>
    </row>
    <row r="5969" spans="1:50">
      <c r="A5969">
        <v>557975</v>
      </c>
      <c r="B5969" t="str">
        <f>"030217875"</f>
        <v>030217875</v>
      </c>
      <c r="C5969" t="s">
        <v>50</v>
      </c>
      <c r="D5969" t="s">
        <v>10402</v>
      </c>
      <c r="E5969" t="s">
        <v>255</v>
      </c>
      <c r="F5969" t="s">
        <v>99</v>
      </c>
      <c r="G5969" t="s">
        <v>1644</v>
      </c>
      <c r="H5969" t="str">
        <f>"ΣΤΕΦΑΝΟΓΙΑΝΝΗ 45  ΓΑΖΙ ΗΡΑΚΛΕΙΟΥ"</f>
        <v>ΣΤΕΦΑΝΟΓΙΑΝΝΗ 45  ΓΑΖΙ ΗΡΑΚΛΕΙΟΥ</v>
      </c>
      <c r="I5969">
        <v>71414</v>
      </c>
      <c r="J5969">
        <v>2810255716</v>
      </c>
      <c r="K5969">
        <v>6979467169</v>
      </c>
      <c r="N5969" t="s">
        <v>615</v>
      </c>
      <c r="O5969" t="s">
        <v>616</v>
      </c>
      <c r="R5969" t="s">
        <v>57</v>
      </c>
      <c r="S5969">
        <v>16</v>
      </c>
      <c r="T5969">
        <v>168</v>
      </c>
      <c r="U5969" s="1">
        <v>32010</v>
      </c>
      <c r="V5969" t="s">
        <v>80</v>
      </c>
      <c r="W5969" t="s">
        <v>81</v>
      </c>
      <c r="X5969" t="s">
        <v>58</v>
      </c>
      <c r="Y5969">
        <v>21</v>
      </c>
      <c r="Z5969" t="s">
        <v>59</v>
      </c>
      <c r="AA5969" t="s">
        <v>59</v>
      </c>
      <c r="AB5969" t="s">
        <v>59</v>
      </c>
      <c r="AC5969" t="s">
        <v>59</v>
      </c>
      <c r="AD5969" t="s">
        <v>59</v>
      </c>
      <c r="AF5969" s="1">
        <v>32022</v>
      </c>
      <c r="AG5969" t="s">
        <v>8645</v>
      </c>
      <c r="AH5969" t="s">
        <v>8646</v>
      </c>
      <c r="AI5969" t="str">
        <f>"9170431"</f>
        <v>9170431</v>
      </c>
      <c r="AJ5969" t="s">
        <v>8658</v>
      </c>
      <c r="AK5969">
        <v>2810250952</v>
      </c>
      <c r="AL5969" t="s">
        <v>8659</v>
      </c>
      <c r="AM5969" t="s">
        <v>78</v>
      </c>
      <c r="AN5969" t="s">
        <v>78</v>
      </c>
      <c r="AO5969" t="s">
        <v>78</v>
      </c>
      <c r="AP5969" t="s">
        <v>141</v>
      </c>
      <c r="AQ5969">
        <v>1</v>
      </c>
      <c r="AR5969" t="s">
        <v>80</v>
      </c>
      <c r="AS5969" t="s">
        <v>81</v>
      </c>
      <c r="AT5969" t="s">
        <v>58</v>
      </c>
      <c r="AU5969" t="s">
        <v>68</v>
      </c>
      <c r="AV5969" t="s">
        <v>69</v>
      </c>
      <c r="AW5969" s="1">
        <v>21677</v>
      </c>
      <c r="AX5969">
        <v>1</v>
      </c>
    </row>
    <row r="5970" spans="1:50">
      <c r="A5970">
        <v>597241</v>
      </c>
      <c r="B5970" t="str">
        <f>"061899909"</f>
        <v>061899909</v>
      </c>
      <c r="C5970" t="s">
        <v>50</v>
      </c>
      <c r="D5970" t="s">
        <v>2327</v>
      </c>
      <c r="E5970" t="s">
        <v>255</v>
      </c>
      <c r="F5970" t="s">
        <v>53</v>
      </c>
      <c r="G5970" t="s">
        <v>181</v>
      </c>
      <c r="H5970" t="str">
        <f>"Μαλικούτη 20 Μοίρες"</f>
        <v>Μαλικούτη 20 Μοίρες</v>
      </c>
      <c r="I5970">
        <v>70400</v>
      </c>
      <c r="J5970">
        <v>2892029028</v>
      </c>
      <c r="K5970">
        <v>6976570810</v>
      </c>
      <c r="L5970">
        <v>2894031335</v>
      </c>
      <c r="M5970" t="s">
        <v>10403</v>
      </c>
      <c r="N5970" t="s">
        <v>1525</v>
      </c>
      <c r="O5970" t="s">
        <v>1526</v>
      </c>
      <c r="R5970" t="s">
        <v>57</v>
      </c>
      <c r="S5970">
        <v>8</v>
      </c>
      <c r="T5970">
        <v>195</v>
      </c>
      <c r="U5970" s="1">
        <v>37497</v>
      </c>
      <c r="V5970" t="s">
        <v>80</v>
      </c>
      <c r="W5970" t="s">
        <v>81</v>
      </c>
      <c r="X5970" t="s">
        <v>58</v>
      </c>
      <c r="Y5970">
        <v>25</v>
      </c>
      <c r="Z5970" t="s">
        <v>59</v>
      </c>
      <c r="AA5970" t="s">
        <v>59</v>
      </c>
      <c r="AB5970" t="s">
        <v>59</v>
      </c>
      <c r="AC5970" t="s">
        <v>59</v>
      </c>
      <c r="AD5970" t="s">
        <v>59</v>
      </c>
      <c r="AF5970" s="1">
        <v>37508</v>
      </c>
      <c r="AG5970" t="s">
        <v>8651</v>
      </c>
      <c r="AH5970" t="s">
        <v>8652</v>
      </c>
      <c r="AI5970" t="str">
        <f>"9170299"</f>
        <v>9170299</v>
      </c>
      <c r="AJ5970" t="s">
        <v>8956</v>
      </c>
      <c r="AK5970">
        <v>2892041219</v>
      </c>
      <c r="AL5970" t="s">
        <v>8957</v>
      </c>
      <c r="AM5970" t="s">
        <v>78</v>
      </c>
      <c r="AN5970" t="s">
        <v>242</v>
      </c>
      <c r="AO5970" t="s">
        <v>243</v>
      </c>
      <c r="AP5970" t="s">
        <v>244</v>
      </c>
      <c r="AQ5970">
        <v>18</v>
      </c>
      <c r="AR5970" t="s">
        <v>80</v>
      </c>
      <c r="AS5970" t="s">
        <v>81</v>
      </c>
      <c r="AT5970" t="s">
        <v>58</v>
      </c>
      <c r="AU5970" t="s">
        <v>68</v>
      </c>
      <c r="AV5970" t="s">
        <v>69</v>
      </c>
      <c r="AW5970" s="1">
        <v>27413</v>
      </c>
      <c r="AX5970">
        <v>1</v>
      </c>
    </row>
    <row r="5971" spans="1:50">
      <c r="A5971">
        <v>579887</v>
      </c>
      <c r="B5971" t="str">
        <f>"039826777"</f>
        <v>039826777</v>
      </c>
      <c r="C5971" t="s">
        <v>50</v>
      </c>
      <c r="D5971" t="s">
        <v>2327</v>
      </c>
      <c r="E5971" t="s">
        <v>52</v>
      </c>
      <c r="F5971" t="s">
        <v>309</v>
      </c>
      <c r="G5971" t="s">
        <v>1189</v>
      </c>
      <c r="H5971" t="str">
        <f>"ΤΣΙΡΙΝΤΑΝΗΔΩΝ 38 ΗΡΑΚΛΕΙΟ"</f>
        <v>ΤΣΙΡΙΝΤΑΝΗΔΩΝ 38 ΗΡΑΚΛΕΙΟ</v>
      </c>
      <c r="I5971">
        <v>71201</v>
      </c>
      <c r="J5971">
        <v>2810289509</v>
      </c>
      <c r="K5971">
        <v>6946312556</v>
      </c>
      <c r="N5971" t="s">
        <v>1525</v>
      </c>
      <c r="O5971" t="s">
        <v>1526</v>
      </c>
      <c r="R5971" t="s">
        <v>57</v>
      </c>
      <c r="S5971">
        <v>13</v>
      </c>
      <c r="T5971">
        <v>165</v>
      </c>
      <c r="U5971" s="1">
        <v>35300</v>
      </c>
      <c r="V5971" t="s">
        <v>80</v>
      </c>
      <c r="W5971" t="s">
        <v>81</v>
      </c>
      <c r="X5971" t="s">
        <v>58</v>
      </c>
      <c r="Y5971">
        <v>25</v>
      </c>
      <c r="Z5971" t="s">
        <v>59</v>
      </c>
      <c r="AA5971" t="s">
        <v>59</v>
      </c>
      <c r="AB5971" t="s">
        <v>59</v>
      </c>
      <c r="AC5971" t="s">
        <v>59</v>
      </c>
      <c r="AD5971" t="s">
        <v>59</v>
      </c>
      <c r="AF5971" s="1">
        <v>35310</v>
      </c>
      <c r="AG5971" t="s">
        <v>8651</v>
      </c>
      <c r="AH5971" t="s">
        <v>8652</v>
      </c>
      <c r="AI5971" t="str">
        <f>"9170593"</f>
        <v>9170593</v>
      </c>
      <c r="AJ5971" t="s">
        <v>10377</v>
      </c>
      <c r="AK5971">
        <v>2810824942</v>
      </c>
      <c r="AL5971" t="s">
        <v>10378</v>
      </c>
      <c r="AM5971" t="s">
        <v>78</v>
      </c>
      <c r="AN5971" t="s">
        <v>129</v>
      </c>
      <c r="AO5971" t="s">
        <v>130</v>
      </c>
      <c r="AP5971" t="s">
        <v>130</v>
      </c>
      <c r="AQ5971">
        <v>2</v>
      </c>
      <c r="AR5971" t="s">
        <v>80</v>
      </c>
      <c r="AS5971" t="s">
        <v>81</v>
      </c>
      <c r="AT5971" t="s">
        <v>58</v>
      </c>
      <c r="AU5971" t="s">
        <v>68</v>
      </c>
      <c r="AV5971" t="s">
        <v>69</v>
      </c>
      <c r="AW5971" s="1">
        <v>20721</v>
      </c>
      <c r="AX5971">
        <v>1</v>
      </c>
    </row>
    <row r="5972" spans="1:50">
      <c r="A5972">
        <v>607832</v>
      </c>
      <c r="B5972" t="str">
        <f>"137214800"</f>
        <v>137214800</v>
      </c>
      <c r="C5972" t="s">
        <v>50</v>
      </c>
      <c r="D5972" t="s">
        <v>2327</v>
      </c>
      <c r="E5972" t="s">
        <v>541</v>
      </c>
      <c r="F5972" t="s">
        <v>95</v>
      </c>
      <c r="G5972" t="s">
        <v>215</v>
      </c>
      <c r="H5972" t="str">
        <f>"ΧΡΙΣΤΟΔ. ΣΜΠΩΚΟΥ 14 ΗΡΑΚΛΕΙΟ"</f>
        <v>ΧΡΙΣΤΟΔ. ΣΜΠΩΚΟΥ 14 ΗΡΑΚΛΕΙΟ</v>
      </c>
      <c r="I5972">
        <v>71410</v>
      </c>
      <c r="J5972">
        <v>2810310907</v>
      </c>
      <c r="K5972">
        <v>6972376848</v>
      </c>
      <c r="N5972" t="s">
        <v>615</v>
      </c>
      <c r="O5972" t="s">
        <v>616</v>
      </c>
      <c r="R5972" t="s">
        <v>57</v>
      </c>
      <c r="S5972">
        <v>6</v>
      </c>
      <c r="T5972">
        <v>217</v>
      </c>
      <c r="U5972" s="1">
        <v>38602</v>
      </c>
      <c r="V5972" t="s">
        <v>80</v>
      </c>
      <c r="W5972" t="s">
        <v>81</v>
      </c>
      <c r="X5972" t="s">
        <v>58</v>
      </c>
      <c r="Y5972">
        <v>23</v>
      </c>
      <c r="Z5972" t="s">
        <v>59</v>
      </c>
      <c r="AA5972" t="s">
        <v>59</v>
      </c>
      <c r="AB5972" t="s">
        <v>59</v>
      </c>
      <c r="AC5972" t="s">
        <v>59</v>
      </c>
      <c r="AD5972" t="s">
        <v>59</v>
      </c>
      <c r="AF5972" s="1">
        <v>38602</v>
      </c>
      <c r="AG5972" t="s">
        <v>8645</v>
      </c>
      <c r="AH5972" t="s">
        <v>8646</v>
      </c>
      <c r="AI5972" t="str">
        <f>"9170515"</f>
        <v>9170515</v>
      </c>
      <c r="AJ5972" t="s">
        <v>8790</v>
      </c>
      <c r="AK5972">
        <v>2810254821</v>
      </c>
      <c r="AL5972" t="s">
        <v>8791</v>
      </c>
      <c r="AM5972" t="s">
        <v>78</v>
      </c>
      <c r="AN5972" t="s">
        <v>78</v>
      </c>
      <c r="AO5972" t="s">
        <v>78</v>
      </c>
      <c r="AP5972" t="s">
        <v>163</v>
      </c>
      <c r="AQ5972">
        <v>1</v>
      </c>
      <c r="AR5972" t="s">
        <v>80</v>
      </c>
      <c r="AS5972" t="s">
        <v>81</v>
      </c>
      <c r="AT5972" t="s">
        <v>58</v>
      </c>
      <c r="AU5972" t="s">
        <v>68</v>
      </c>
      <c r="AV5972" t="s">
        <v>69</v>
      </c>
      <c r="AW5972" s="1">
        <v>29313</v>
      </c>
      <c r="AX5972">
        <v>1</v>
      </c>
    </row>
    <row r="5973" spans="1:50">
      <c r="A5973">
        <v>598888</v>
      </c>
      <c r="B5973" t="str">
        <f>"035990470"</f>
        <v>035990470</v>
      </c>
      <c r="C5973" t="s">
        <v>50</v>
      </c>
      <c r="D5973" t="s">
        <v>2334</v>
      </c>
      <c r="E5973" t="s">
        <v>263</v>
      </c>
      <c r="F5973" t="s">
        <v>1493</v>
      </c>
      <c r="G5973" t="s">
        <v>83</v>
      </c>
      <c r="H5973" t="str">
        <f>"ΠΑΠΑΔΙΑΜΑΝΤΗ 25  ΑΓΙΑ ΜΑΡΙΝΑ  ΗΡΑΚΛΕΙΟΥ"</f>
        <v>ΠΑΠΑΔΙΑΜΑΝΤΗ 25  ΑΓΙΑ ΜΑΡΙΝΑ  ΗΡΑΚΛΕΙΟΥ</v>
      </c>
      <c r="I5973">
        <v>71414</v>
      </c>
      <c r="J5973">
        <v>2810317662</v>
      </c>
      <c r="N5973" t="s">
        <v>1525</v>
      </c>
      <c r="O5973" t="s">
        <v>1526</v>
      </c>
      <c r="R5973" t="s">
        <v>57</v>
      </c>
      <c r="S5973">
        <v>12</v>
      </c>
      <c r="T5973" t="s">
        <v>8688</v>
      </c>
      <c r="U5973" s="1">
        <v>37497</v>
      </c>
      <c r="V5973" t="s">
        <v>80</v>
      </c>
      <c r="W5973" t="s">
        <v>81</v>
      </c>
      <c r="X5973" t="s">
        <v>58</v>
      </c>
      <c r="Y5973">
        <v>25</v>
      </c>
      <c r="Z5973" t="s">
        <v>59</v>
      </c>
      <c r="AA5973" t="s">
        <v>59</v>
      </c>
      <c r="AB5973" t="s">
        <v>59</v>
      </c>
      <c r="AC5973" t="s">
        <v>59</v>
      </c>
      <c r="AD5973" t="s">
        <v>59</v>
      </c>
      <c r="AF5973" s="1">
        <v>37502</v>
      </c>
      <c r="AG5973" t="s">
        <v>8651</v>
      </c>
      <c r="AH5973" t="s">
        <v>8652</v>
      </c>
      <c r="AI5973" t="str">
        <f>"9170603"</f>
        <v>9170603</v>
      </c>
      <c r="AJ5973" t="s">
        <v>10328</v>
      </c>
      <c r="AK5973">
        <v>2810542177</v>
      </c>
      <c r="AL5973" t="s">
        <v>10329</v>
      </c>
      <c r="AM5973" t="s">
        <v>78</v>
      </c>
      <c r="AN5973" t="s">
        <v>78</v>
      </c>
      <c r="AO5973" t="s">
        <v>78</v>
      </c>
      <c r="AP5973" t="s">
        <v>9053</v>
      </c>
      <c r="AQ5973">
        <v>1</v>
      </c>
      <c r="AR5973" t="s">
        <v>80</v>
      </c>
      <c r="AS5973" t="s">
        <v>81</v>
      </c>
      <c r="AT5973" t="s">
        <v>58</v>
      </c>
      <c r="AU5973" t="s">
        <v>68</v>
      </c>
      <c r="AV5973" t="s">
        <v>69</v>
      </c>
      <c r="AW5973" s="1">
        <v>22418</v>
      </c>
      <c r="AX5973">
        <v>1</v>
      </c>
    </row>
    <row r="5974" spans="1:50">
      <c r="A5974">
        <v>618751</v>
      </c>
      <c r="B5974" t="str">
        <f>"104935414"</f>
        <v>104935414</v>
      </c>
      <c r="C5974" t="s">
        <v>50</v>
      </c>
      <c r="D5974" t="s">
        <v>2334</v>
      </c>
      <c r="E5974" t="s">
        <v>52</v>
      </c>
      <c r="F5974" t="s">
        <v>166</v>
      </c>
      <c r="G5974" t="s">
        <v>237</v>
      </c>
      <c r="H5974" t="str">
        <f>"ΑΓΙΟΙ ΔΕΚΑ "</f>
        <v xml:space="preserve">ΑΓΙΟΙ ΔΕΚΑ </v>
      </c>
      <c r="J5974">
        <v>2892031785</v>
      </c>
      <c r="N5974" t="s">
        <v>615</v>
      </c>
      <c r="O5974" t="s">
        <v>616</v>
      </c>
      <c r="R5974" t="s">
        <v>57</v>
      </c>
      <c r="S5974">
        <v>5</v>
      </c>
      <c r="T5974">
        <v>774</v>
      </c>
      <c r="U5974" s="1">
        <v>39680</v>
      </c>
      <c r="V5974" t="s">
        <v>80</v>
      </c>
      <c r="W5974" t="s">
        <v>81</v>
      </c>
      <c r="X5974" t="s">
        <v>58</v>
      </c>
      <c r="Y5974">
        <v>23</v>
      </c>
      <c r="Z5974" t="s">
        <v>59</v>
      </c>
      <c r="AA5974" t="s">
        <v>59</v>
      </c>
      <c r="AB5974" t="s">
        <v>59</v>
      </c>
      <c r="AC5974" t="s">
        <v>59</v>
      </c>
      <c r="AD5974" t="s">
        <v>59</v>
      </c>
      <c r="AF5974" s="1">
        <v>39681</v>
      </c>
      <c r="AG5974" t="s">
        <v>8645</v>
      </c>
      <c r="AH5974" t="s">
        <v>8646</v>
      </c>
      <c r="AI5974" t="str">
        <f>"9170270"</f>
        <v>9170270</v>
      </c>
      <c r="AJ5974" t="s">
        <v>9347</v>
      </c>
      <c r="AK5974">
        <v>2892031245</v>
      </c>
      <c r="AL5974" t="s">
        <v>9348</v>
      </c>
      <c r="AM5974" t="s">
        <v>78</v>
      </c>
      <c r="AN5974" t="s">
        <v>405</v>
      </c>
      <c r="AO5974" t="s">
        <v>405</v>
      </c>
      <c r="AP5974" t="s">
        <v>464</v>
      </c>
      <c r="AQ5974">
        <v>17</v>
      </c>
      <c r="AR5974" t="s">
        <v>80</v>
      </c>
      <c r="AS5974" t="s">
        <v>81</v>
      </c>
      <c r="AT5974" t="s">
        <v>58</v>
      </c>
      <c r="AU5974" t="s">
        <v>68</v>
      </c>
      <c r="AV5974" t="s">
        <v>69</v>
      </c>
      <c r="AW5974" s="1">
        <v>30984</v>
      </c>
      <c r="AX5974">
        <v>1</v>
      </c>
    </row>
    <row r="5975" spans="1:50">
      <c r="B5975" t="str">
        <f>"104935426"</f>
        <v>104935426</v>
      </c>
      <c r="C5975" t="s">
        <v>50</v>
      </c>
      <c r="D5975" t="s">
        <v>2334</v>
      </c>
      <c r="E5975" t="s">
        <v>54</v>
      </c>
      <c r="F5975" t="s">
        <v>166</v>
      </c>
      <c r="G5975" t="s">
        <v>237</v>
      </c>
      <c r="H5975" t="str">
        <f>" "</f>
        <v xml:space="preserve"> </v>
      </c>
      <c r="N5975" t="s">
        <v>615</v>
      </c>
      <c r="O5975" t="s">
        <v>616</v>
      </c>
      <c r="R5975" t="s">
        <v>121</v>
      </c>
      <c r="S5975">
        <v>1</v>
      </c>
      <c r="T5975" t="s">
        <v>8675</v>
      </c>
      <c r="U5975" s="1">
        <v>43348</v>
      </c>
      <c r="V5975" t="s">
        <v>80</v>
      </c>
      <c r="W5975" t="s">
        <v>81</v>
      </c>
      <c r="X5975" t="s">
        <v>58</v>
      </c>
      <c r="Y5975">
        <v>24</v>
      </c>
      <c r="Z5975" t="s">
        <v>59</v>
      </c>
      <c r="AA5975" t="s">
        <v>59</v>
      </c>
      <c r="AB5975" t="s">
        <v>59</v>
      </c>
      <c r="AD5975" t="s">
        <v>59</v>
      </c>
      <c r="AF5975" s="1">
        <v>43348</v>
      </c>
      <c r="AG5975" t="s">
        <v>8645</v>
      </c>
      <c r="AH5975" t="s">
        <v>8646</v>
      </c>
      <c r="AI5975" t="str">
        <f>"9170327"</f>
        <v>9170327</v>
      </c>
      <c r="AJ5975" t="s">
        <v>8963</v>
      </c>
      <c r="AK5975">
        <v>2892091234</v>
      </c>
      <c r="AL5975" t="s">
        <v>8964</v>
      </c>
      <c r="AM5975" t="s">
        <v>78</v>
      </c>
      <c r="AN5975" t="s">
        <v>242</v>
      </c>
      <c r="AO5975" t="s">
        <v>349</v>
      </c>
      <c r="AP5975" t="s">
        <v>8965</v>
      </c>
      <c r="AQ5975">
        <v>19</v>
      </c>
      <c r="AR5975" t="s">
        <v>80</v>
      </c>
      <c r="AS5975" t="s">
        <v>81</v>
      </c>
      <c r="AT5975" t="s">
        <v>58</v>
      </c>
      <c r="AU5975" t="s">
        <v>8673</v>
      </c>
      <c r="AV5975" t="s">
        <v>132</v>
      </c>
      <c r="AW5975" s="1">
        <v>32689</v>
      </c>
      <c r="AX5975">
        <v>1</v>
      </c>
    </row>
    <row r="5976" spans="1:50">
      <c r="A5976">
        <v>198868</v>
      </c>
      <c r="B5976" t="str">
        <f>"103541507"</f>
        <v>103541507</v>
      </c>
      <c r="C5976" t="s">
        <v>50</v>
      </c>
      <c r="D5976" t="s">
        <v>10404</v>
      </c>
      <c r="E5976" t="s">
        <v>10405</v>
      </c>
      <c r="F5976" t="s">
        <v>72</v>
      </c>
      <c r="G5976" t="s">
        <v>73</v>
      </c>
      <c r="H5976" t="str">
        <f>" "</f>
        <v xml:space="preserve"> </v>
      </c>
      <c r="J5976">
        <v>2810320621</v>
      </c>
      <c r="K5976">
        <v>6946312803</v>
      </c>
      <c r="N5976" t="s">
        <v>683</v>
      </c>
      <c r="O5976" t="s">
        <v>684</v>
      </c>
      <c r="R5976" t="s">
        <v>57</v>
      </c>
      <c r="S5976">
        <v>8</v>
      </c>
      <c r="T5976">
        <v>206</v>
      </c>
      <c r="U5976" s="1">
        <v>37866</v>
      </c>
      <c r="V5976" t="s">
        <v>80</v>
      </c>
      <c r="W5976" t="s">
        <v>81</v>
      </c>
      <c r="X5976" t="s">
        <v>58</v>
      </c>
      <c r="Y5976">
        <v>22</v>
      </c>
      <c r="Z5976" t="s">
        <v>59</v>
      </c>
      <c r="AA5976" t="s">
        <v>59</v>
      </c>
      <c r="AB5976" t="s">
        <v>59</v>
      </c>
      <c r="AC5976" t="s">
        <v>59</v>
      </c>
      <c r="AD5976" t="s">
        <v>59</v>
      </c>
      <c r="AF5976" s="1">
        <v>37866</v>
      </c>
      <c r="AG5976" t="s">
        <v>8645</v>
      </c>
      <c r="AH5976" t="s">
        <v>8646</v>
      </c>
      <c r="AI5976" t="str">
        <f>"9170058"</f>
        <v>9170058</v>
      </c>
      <c r="AJ5976" t="s">
        <v>8735</v>
      </c>
      <c r="AK5976">
        <v>2810252903</v>
      </c>
      <c r="AL5976" t="s">
        <v>8736</v>
      </c>
      <c r="AM5976" t="s">
        <v>78</v>
      </c>
      <c r="AN5976" t="s">
        <v>78</v>
      </c>
      <c r="AO5976" t="s">
        <v>78</v>
      </c>
      <c r="AP5976" t="s">
        <v>163</v>
      </c>
      <c r="AQ5976">
        <v>1</v>
      </c>
      <c r="AR5976" t="s">
        <v>80</v>
      </c>
      <c r="AS5976" t="s">
        <v>81</v>
      </c>
      <c r="AT5976" t="s">
        <v>58</v>
      </c>
      <c r="AU5976" t="s">
        <v>68</v>
      </c>
      <c r="AV5976" t="s">
        <v>69</v>
      </c>
      <c r="AW5976" s="1">
        <v>27828</v>
      </c>
      <c r="AX5976">
        <v>1</v>
      </c>
    </row>
    <row r="5977" spans="1:50">
      <c r="B5977" t="str">
        <f>"129252540"</f>
        <v>129252540</v>
      </c>
      <c r="C5977" t="s">
        <v>50</v>
      </c>
      <c r="D5977" t="s">
        <v>10406</v>
      </c>
      <c r="E5977" t="s">
        <v>707</v>
      </c>
      <c r="F5977" t="s">
        <v>631</v>
      </c>
      <c r="G5977" t="s">
        <v>83</v>
      </c>
      <c r="H5977" t="str">
        <f>" "</f>
        <v xml:space="preserve"> </v>
      </c>
      <c r="N5977" t="s">
        <v>615</v>
      </c>
      <c r="O5977" t="s">
        <v>616</v>
      </c>
      <c r="R5977" t="s">
        <v>121</v>
      </c>
      <c r="S5977">
        <v>3</v>
      </c>
      <c r="T5977" t="s">
        <v>8717</v>
      </c>
      <c r="U5977" s="1">
        <v>43348</v>
      </c>
      <c r="V5977" t="s">
        <v>80</v>
      </c>
      <c r="W5977" t="s">
        <v>81</v>
      </c>
      <c r="X5977" t="s">
        <v>58</v>
      </c>
      <c r="Y5977">
        <v>24</v>
      </c>
      <c r="Z5977" t="s">
        <v>59</v>
      </c>
      <c r="AA5977" t="s">
        <v>59</v>
      </c>
      <c r="AB5977" t="s">
        <v>59</v>
      </c>
      <c r="AD5977" t="s">
        <v>59</v>
      </c>
      <c r="AF5977" s="1">
        <v>43348</v>
      </c>
      <c r="AG5977" t="s">
        <v>8645</v>
      </c>
      <c r="AH5977" t="s">
        <v>8646</v>
      </c>
      <c r="AI5977" t="str">
        <f>"9170427"</f>
        <v>9170427</v>
      </c>
      <c r="AJ5977" t="s">
        <v>8817</v>
      </c>
      <c r="AK5977">
        <v>2810220998</v>
      </c>
      <c r="AL5977" t="s">
        <v>8818</v>
      </c>
      <c r="AM5977" t="s">
        <v>78</v>
      </c>
      <c r="AN5977" t="s">
        <v>78</v>
      </c>
      <c r="AO5977" t="s">
        <v>286</v>
      </c>
      <c r="AP5977" t="s">
        <v>286</v>
      </c>
      <c r="AQ5977">
        <v>1</v>
      </c>
      <c r="AR5977" t="s">
        <v>80</v>
      </c>
      <c r="AS5977" t="s">
        <v>81</v>
      </c>
      <c r="AT5977" t="s">
        <v>58</v>
      </c>
      <c r="AU5977" t="s">
        <v>8720</v>
      </c>
      <c r="AV5977" t="s">
        <v>132</v>
      </c>
      <c r="AW5977" s="1">
        <v>32934</v>
      </c>
      <c r="AX5977">
        <v>1</v>
      </c>
    </row>
    <row r="5978" spans="1:50">
      <c r="A5978">
        <v>596299</v>
      </c>
      <c r="B5978" t="str">
        <f>"100869083"</f>
        <v>100869083</v>
      </c>
      <c r="C5978" t="s">
        <v>50</v>
      </c>
      <c r="D5978" t="s">
        <v>10407</v>
      </c>
      <c r="E5978" t="s">
        <v>699</v>
      </c>
      <c r="F5978" t="s">
        <v>1316</v>
      </c>
      <c r="G5978" t="s">
        <v>366</v>
      </c>
      <c r="H5978" t="str">
        <f>"ΗΡΟΔΟΤΟΥ 58 ΣΕΡΡΕΣ"</f>
        <v>ΗΡΟΔΟΤΟΥ 58 ΣΕΡΡΕΣ</v>
      </c>
      <c r="I5978">
        <v>62125</v>
      </c>
      <c r="J5978">
        <v>2321085440</v>
      </c>
      <c r="K5978">
        <v>6978944344</v>
      </c>
      <c r="M5978" t="s">
        <v>10408</v>
      </c>
      <c r="N5978" t="s">
        <v>176</v>
      </c>
      <c r="O5978" t="s">
        <v>177</v>
      </c>
      <c r="R5978" t="s">
        <v>57</v>
      </c>
      <c r="S5978">
        <v>14</v>
      </c>
      <c r="T5978">
        <v>219</v>
      </c>
      <c r="U5978" s="1">
        <v>37134</v>
      </c>
      <c r="V5978" t="s">
        <v>80</v>
      </c>
      <c r="W5978" t="s">
        <v>81</v>
      </c>
      <c r="X5978" t="s">
        <v>58</v>
      </c>
      <c r="Y5978">
        <v>22</v>
      </c>
      <c r="Z5978" t="s">
        <v>59</v>
      </c>
      <c r="AA5978" t="s">
        <v>59</v>
      </c>
      <c r="AB5978" t="s">
        <v>59</v>
      </c>
      <c r="AC5978" t="s">
        <v>59</v>
      </c>
      <c r="AD5978" t="s">
        <v>452</v>
      </c>
      <c r="AE5978" s="1">
        <v>43708</v>
      </c>
      <c r="AF5978" s="1">
        <v>37138</v>
      </c>
      <c r="AG5978" t="s">
        <v>8645</v>
      </c>
      <c r="AH5978" t="s">
        <v>8646</v>
      </c>
      <c r="AI5978" t="str">
        <f>"9170250"</f>
        <v>9170250</v>
      </c>
      <c r="AJ5978" t="s">
        <v>8823</v>
      </c>
      <c r="AK5978">
        <v>2897022005</v>
      </c>
      <c r="AL5978" t="s">
        <v>8824</v>
      </c>
      <c r="AM5978" t="s">
        <v>78</v>
      </c>
      <c r="AN5978" t="s">
        <v>219</v>
      </c>
      <c r="AO5978" t="s">
        <v>219</v>
      </c>
      <c r="AP5978" t="s">
        <v>219</v>
      </c>
      <c r="AQ5978">
        <v>8</v>
      </c>
      <c r="AR5978" t="s">
        <v>80</v>
      </c>
      <c r="AS5978" t="s">
        <v>81</v>
      </c>
      <c r="AT5978" t="s">
        <v>58</v>
      </c>
      <c r="AU5978" t="s">
        <v>68</v>
      </c>
      <c r="AV5978" t="s">
        <v>69</v>
      </c>
      <c r="AW5978" s="1">
        <v>24838</v>
      </c>
      <c r="AX5978">
        <v>1</v>
      </c>
    </row>
    <row r="5979" spans="1:50">
      <c r="B5979" t="str">
        <f>"128087476"</f>
        <v>128087476</v>
      </c>
      <c r="C5979" t="s">
        <v>50</v>
      </c>
      <c r="D5979" t="s">
        <v>10409</v>
      </c>
      <c r="E5979" t="s">
        <v>83</v>
      </c>
      <c r="F5979" t="s">
        <v>450</v>
      </c>
      <c r="G5979" t="s">
        <v>6093</v>
      </c>
      <c r="H5979" t="str">
        <f>"ΚΩΝ. ΠΑΛΑΙΟΛΟΓΟΥ 46 ΘΕΣΣΑΛΟΝΙΚΗ"</f>
        <v>ΚΩΝ. ΠΑΛΑΙΟΛΟΓΟΥ 46 ΘΕΣΣΑΛΟΝΙΚΗ</v>
      </c>
      <c r="I5979">
        <v>55535</v>
      </c>
      <c r="J5979">
        <v>2310312134</v>
      </c>
      <c r="K5979">
        <v>6942486207</v>
      </c>
      <c r="M5979" t="s">
        <v>10410</v>
      </c>
      <c r="N5979" t="s">
        <v>8694</v>
      </c>
      <c r="O5979" t="s">
        <v>8695</v>
      </c>
      <c r="R5979" t="s">
        <v>57</v>
      </c>
      <c r="S5979">
        <v>6</v>
      </c>
      <c r="T5979" t="s">
        <v>8696</v>
      </c>
      <c r="U5979" s="1">
        <v>43348</v>
      </c>
      <c r="V5979" t="s">
        <v>80</v>
      </c>
      <c r="W5979" t="s">
        <v>81</v>
      </c>
      <c r="X5979" t="s">
        <v>58</v>
      </c>
      <c r="Y5979">
        <v>23</v>
      </c>
      <c r="Z5979" t="s">
        <v>59</v>
      </c>
      <c r="AA5979" t="s">
        <v>59</v>
      </c>
      <c r="AB5979" t="s">
        <v>59</v>
      </c>
      <c r="AC5979" t="s">
        <v>59</v>
      </c>
      <c r="AD5979" t="s">
        <v>59</v>
      </c>
      <c r="AF5979" s="1">
        <v>43348</v>
      </c>
      <c r="AG5979" t="s">
        <v>8645</v>
      </c>
      <c r="AH5979" t="s">
        <v>8646</v>
      </c>
      <c r="AI5979" t="str">
        <f>"9170017"</f>
        <v>9170017</v>
      </c>
      <c r="AJ5979" t="s">
        <v>9114</v>
      </c>
      <c r="AK5979">
        <v>2810250746</v>
      </c>
      <c r="AL5979" t="s">
        <v>9115</v>
      </c>
      <c r="AM5979" t="s">
        <v>78</v>
      </c>
      <c r="AN5979" t="s">
        <v>129</v>
      </c>
      <c r="AO5979" t="s">
        <v>130</v>
      </c>
      <c r="AP5979" t="s">
        <v>130</v>
      </c>
      <c r="AQ5979">
        <v>1</v>
      </c>
      <c r="AR5979" t="s">
        <v>80</v>
      </c>
      <c r="AS5979" t="s">
        <v>81</v>
      </c>
      <c r="AT5979" t="s">
        <v>58</v>
      </c>
      <c r="AU5979" t="s">
        <v>350</v>
      </c>
      <c r="AV5979" t="s">
        <v>132</v>
      </c>
      <c r="AW5979" s="1">
        <v>29169</v>
      </c>
      <c r="AX5979">
        <v>1</v>
      </c>
    </row>
    <row r="5980" spans="1:50">
      <c r="A5980">
        <v>568432</v>
      </c>
      <c r="B5980" t="str">
        <f>"036315751"</f>
        <v>036315751</v>
      </c>
      <c r="C5980" t="s">
        <v>105</v>
      </c>
      <c r="D5980" t="s">
        <v>10411</v>
      </c>
      <c r="E5980" t="s">
        <v>53</v>
      </c>
      <c r="F5980" t="s">
        <v>84</v>
      </c>
      <c r="G5980" t="s">
        <v>396</v>
      </c>
      <c r="H5980" t="str">
        <f>"ΑΡΧ. ΕΥΓΕΝΙΟΥ &amp; ΟΙΚΟΝΟΜΙΔΗ 1 ΗΡΑΚΛΕΙΟ"</f>
        <v>ΑΡΧ. ΕΥΓΕΝΙΟΥ &amp; ΟΙΚΟΝΟΜΙΔΗ 1 ΗΡΑΚΛΕΙΟ</v>
      </c>
      <c r="I5980">
        <v>71409</v>
      </c>
      <c r="J5980">
        <v>2810256467</v>
      </c>
      <c r="K5980">
        <v>6974213368</v>
      </c>
      <c r="N5980" t="s">
        <v>615</v>
      </c>
      <c r="O5980" t="s">
        <v>616</v>
      </c>
      <c r="R5980" t="s">
        <v>57</v>
      </c>
      <c r="S5980">
        <v>14</v>
      </c>
      <c r="T5980">
        <v>162</v>
      </c>
      <c r="U5980" s="1">
        <v>33848</v>
      </c>
      <c r="V5980" t="s">
        <v>80</v>
      </c>
      <c r="W5980" t="s">
        <v>81</v>
      </c>
      <c r="X5980" t="s">
        <v>58</v>
      </c>
      <c r="Y5980">
        <v>21</v>
      </c>
      <c r="Z5980" t="s">
        <v>59</v>
      </c>
      <c r="AA5980" t="s">
        <v>59</v>
      </c>
      <c r="AB5980" t="s">
        <v>59</v>
      </c>
      <c r="AC5980" t="s">
        <v>59</v>
      </c>
      <c r="AD5980" t="s">
        <v>59</v>
      </c>
      <c r="AF5980" s="1">
        <v>33848</v>
      </c>
      <c r="AG5980" t="s">
        <v>8645</v>
      </c>
      <c r="AH5980" t="s">
        <v>8646</v>
      </c>
      <c r="AI5980" t="str">
        <f>"9170575"</f>
        <v>9170575</v>
      </c>
      <c r="AJ5980" t="s">
        <v>8748</v>
      </c>
      <c r="AK5980">
        <v>2810260772</v>
      </c>
      <c r="AL5980" t="s">
        <v>8749</v>
      </c>
      <c r="AM5980" t="s">
        <v>78</v>
      </c>
      <c r="AN5980" t="s">
        <v>78</v>
      </c>
      <c r="AO5980" t="s">
        <v>78</v>
      </c>
      <c r="AP5980" t="s">
        <v>141</v>
      </c>
      <c r="AQ5980">
        <v>1</v>
      </c>
      <c r="AR5980" t="s">
        <v>80</v>
      </c>
      <c r="AS5980" t="s">
        <v>81</v>
      </c>
      <c r="AT5980" t="s">
        <v>58</v>
      </c>
      <c r="AU5980" t="s">
        <v>68</v>
      </c>
      <c r="AV5980" t="s">
        <v>69</v>
      </c>
      <c r="AW5980" s="1">
        <v>23542</v>
      </c>
      <c r="AX5980">
        <v>1</v>
      </c>
    </row>
    <row r="5981" spans="1:50">
      <c r="B5981" t="str">
        <f>"136329156"</f>
        <v>136329156</v>
      </c>
      <c r="C5981" t="s">
        <v>105</v>
      </c>
      <c r="D5981" t="s">
        <v>10412</v>
      </c>
      <c r="E5981" t="s">
        <v>99</v>
      </c>
      <c r="F5981" t="s">
        <v>84</v>
      </c>
      <c r="G5981" t="s">
        <v>396</v>
      </c>
      <c r="H5981" t="str">
        <f>"Π.ΚΑΝΑΚΗ 3 "</f>
        <v xml:space="preserve">Π.ΚΑΝΑΚΗ 3 </v>
      </c>
      <c r="I5981">
        <v>62100</v>
      </c>
      <c r="J5981">
        <v>2321047186</v>
      </c>
      <c r="K5981">
        <v>6977705560</v>
      </c>
      <c r="N5981" t="s">
        <v>615</v>
      </c>
      <c r="O5981" t="s">
        <v>616</v>
      </c>
      <c r="R5981" t="s">
        <v>159</v>
      </c>
      <c r="S5981">
        <v>3</v>
      </c>
      <c r="T5981" t="s">
        <v>8675</v>
      </c>
      <c r="U5981" s="1">
        <v>43348</v>
      </c>
      <c r="V5981" t="s">
        <v>80</v>
      </c>
      <c r="W5981" t="s">
        <v>81</v>
      </c>
      <c r="X5981" t="s">
        <v>58</v>
      </c>
      <c r="Y5981">
        <v>24</v>
      </c>
      <c r="Z5981" t="s">
        <v>59</v>
      </c>
      <c r="AA5981" t="s">
        <v>59</v>
      </c>
      <c r="AB5981" t="s">
        <v>59</v>
      </c>
      <c r="AC5981" t="s">
        <v>59</v>
      </c>
      <c r="AD5981" t="s">
        <v>59</v>
      </c>
      <c r="AF5981" s="1">
        <v>43348</v>
      </c>
      <c r="AG5981" t="s">
        <v>8645</v>
      </c>
      <c r="AH5981" t="s">
        <v>8646</v>
      </c>
      <c r="AI5981" t="str">
        <f>"9170242"</f>
        <v>9170242</v>
      </c>
      <c r="AJ5981" t="s">
        <v>9314</v>
      </c>
      <c r="AK5981">
        <v>2897031254</v>
      </c>
      <c r="AL5981" t="s">
        <v>9315</v>
      </c>
      <c r="AM5981" t="s">
        <v>78</v>
      </c>
      <c r="AN5981" t="s">
        <v>219</v>
      </c>
      <c r="AO5981" t="s">
        <v>527</v>
      </c>
      <c r="AP5981" t="s">
        <v>527</v>
      </c>
      <c r="AQ5981">
        <v>8</v>
      </c>
      <c r="AR5981" t="s">
        <v>80</v>
      </c>
      <c r="AS5981" t="s">
        <v>81</v>
      </c>
      <c r="AT5981" t="s">
        <v>58</v>
      </c>
      <c r="AU5981" t="s">
        <v>8673</v>
      </c>
      <c r="AV5981" t="s">
        <v>132</v>
      </c>
      <c r="AW5981" s="1">
        <v>31653</v>
      </c>
      <c r="AX5981">
        <v>1</v>
      </c>
    </row>
    <row r="5982" spans="1:50">
      <c r="A5982">
        <v>620080</v>
      </c>
      <c r="B5982" t="str">
        <f>"118966217"</f>
        <v>118966217</v>
      </c>
      <c r="C5982" t="s">
        <v>50</v>
      </c>
      <c r="D5982" t="s">
        <v>10413</v>
      </c>
      <c r="E5982" t="s">
        <v>174</v>
      </c>
      <c r="F5982" t="s">
        <v>474</v>
      </c>
      <c r="G5982" t="s">
        <v>507</v>
      </c>
      <c r="H5982" t="str">
        <f>"Μ.ΠΡΕΒΕΛΗΣ 99 ΗΡΑΚΛΕΙΟ"</f>
        <v>Μ.ΠΡΕΒΕΛΗΣ 99 ΗΡΑΚΛΕΙΟ</v>
      </c>
      <c r="I5982">
        <v>71306</v>
      </c>
      <c r="J5982">
        <v>2815004309</v>
      </c>
      <c r="K5982">
        <v>6934170023</v>
      </c>
      <c r="L5982">
        <v>2815004309</v>
      </c>
      <c r="M5982" t="s">
        <v>10414</v>
      </c>
      <c r="N5982" t="s">
        <v>1525</v>
      </c>
      <c r="O5982" t="s">
        <v>1526</v>
      </c>
      <c r="R5982" t="s">
        <v>57</v>
      </c>
      <c r="S5982">
        <v>7</v>
      </c>
      <c r="T5982">
        <v>794</v>
      </c>
      <c r="U5982" s="1">
        <v>39680</v>
      </c>
      <c r="V5982" t="s">
        <v>80</v>
      </c>
      <c r="W5982" t="s">
        <v>81</v>
      </c>
      <c r="X5982" t="s">
        <v>58</v>
      </c>
      <c r="Y5982">
        <v>25</v>
      </c>
      <c r="Z5982" t="s">
        <v>59</v>
      </c>
      <c r="AA5982" t="s">
        <v>59</v>
      </c>
      <c r="AB5982" t="s">
        <v>59</v>
      </c>
      <c r="AC5982" t="s">
        <v>59</v>
      </c>
      <c r="AD5982" t="s">
        <v>59</v>
      </c>
      <c r="AF5982" s="1">
        <v>39689</v>
      </c>
      <c r="AG5982" t="s">
        <v>8651</v>
      </c>
      <c r="AH5982" t="s">
        <v>8652</v>
      </c>
      <c r="AI5982" t="str">
        <f>"9170349"</f>
        <v>9170349</v>
      </c>
      <c r="AJ5982" t="s">
        <v>9108</v>
      </c>
      <c r="AK5982">
        <v>2810282893</v>
      </c>
      <c r="AL5982" t="s">
        <v>9109</v>
      </c>
      <c r="AM5982" t="s">
        <v>78</v>
      </c>
      <c r="AN5982" t="s">
        <v>78</v>
      </c>
      <c r="AO5982" t="s">
        <v>78</v>
      </c>
      <c r="AP5982" t="s">
        <v>79</v>
      </c>
      <c r="AQ5982">
        <v>1</v>
      </c>
      <c r="AR5982" t="s">
        <v>80</v>
      </c>
      <c r="AS5982" t="s">
        <v>81</v>
      </c>
      <c r="AT5982" t="s">
        <v>58</v>
      </c>
      <c r="AU5982" t="s">
        <v>68</v>
      </c>
      <c r="AV5982" t="s">
        <v>69</v>
      </c>
      <c r="AW5982" s="1">
        <v>28985</v>
      </c>
      <c r="AX5982">
        <v>1</v>
      </c>
    </row>
    <row r="5983" spans="1:50">
      <c r="A5983">
        <v>618377</v>
      </c>
      <c r="B5983" t="str">
        <f>"120727902"</f>
        <v>120727902</v>
      </c>
      <c r="C5983" t="s">
        <v>50</v>
      </c>
      <c r="D5983" t="s">
        <v>10415</v>
      </c>
      <c r="E5983" t="s">
        <v>707</v>
      </c>
      <c r="F5983" t="s">
        <v>95</v>
      </c>
      <c r="G5983" t="s">
        <v>10416</v>
      </c>
      <c r="H5983" t="str">
        <f>"ΠΟΣΕΙΔΩΝΟΣ 12 ΛΙΤΟΧΩΡΟ ΠΙΕΡΙΑΣ"</f>
        <v>ΠΟΣΕΙΔΩΝΟΣ 12 ΛΙΤΟΧΩΡΟ ΠΙΕΡΙΑΣ</v>
      </c>
      <c r="I5983">
        <v>60200</v>
      </c>
      <c r="J5983">
        <v>2352083835</v>
      </c>
      <c r="K5983">
        <v>6941511100</v>
      </c>
      <c r="L5983">
        <v>6980955847</v>
      </c>
      <c r="M5983" t="s">
        <v>10417</v>
      </c>
      <c r="N5983" t="s">
        <v>615</v>
      </c>
      <c r="O5983" t="s">
        <v>616</v>
      </c>
      <c r="R5983" t="s">
        <v>57</v>
      </c>
      <c r="S5983">
        <v>5</v>
      </c>
      <c r="T5983">
        <v>774</v>
      </c>
      <c r="U5983" s="1">
        <v>39680</v>
      </c>
      <c r="V5983" t="s">
        <v>80</v>
      </c>
      <c r="W5983" t="s">
        <v>81</v>
      </c>
      <c r="X5983" t="s">
        <v>58</v>
      </c>
      <c r="Y5983">
        <v>23</v>
      </c>
      <c r="Z5983" t="s">
        <v>59</v>
      </c>
      <c r="AA5983" t="s">
        <v>59</v>
      </c>
      <c r="AB5983" t="s">
        <v>59</v>
      </c>
      <c r="AC5983" t="s">
        <v>59</v>
      </c>
      <c r="AD5983" t="s">
        <v>59</v>
      </c>
      <c r="AF5983" s="1">
        <v>39681</v>
      </c>
      <c r="AG5983" t="s">
        <v>8645</v>
      </c>
      <c r="AH5983" t="s">
        <v>8646</v>
      </c>
      <c r="AI5983" t="str">
        <f>"9170043"</f>
        <v>9170043</v>
      </c>
      <c r="AJ5983" t="s">
        <v>8883</v>
      </c>
      <c r="AK5983">
        <v>2894022075</v>
      </c>
      <c r="AL5983" t="s">
        <v>8884</v>
      </c>
      <c r="AM5983" t="s">
        <v>78</v>
      </c>
      <c r="AN5983" t="s">
        <v>405</v>
      </c>
      <c r="AO5983" t="s">
        <v>406</v>
      </c>
      <c r="AP5983" t="s">
        <v>8885</v>
      </c>
      <c r="AQ5983">
        <v>6</v>
      </c>
      <c r="AR5983" t="s">
        <v>80</v>
      </c>
      <c r="AS5983" t="s">
        <v>81</v>
      </c>
      <c r="AT5983" t="s">
        <v>58</v>
      </c>
      <c r="AU5983" t="s">
        <v>68</v>
      </c>
      <c r="AV5983" t="s">
        <v>69</v>
      </c>
      <c r="AW5983" s="1">
        <v>25514</v>
      </c>
      <c r="AX5983">
        <v>1</v>
      </c>
    </row>
    <row r="5984" spans="1:50">
      <c r="A5984">
        <v>613238</v>
      </c>
      <c r="B5984" t="str">
        <f>"128325890"</f>
        <v>128325890</v>
      </c>
      <c r="C5984" t="s">
        <v>50</v>
      </c>
      <c r="D5984" t="s">
        <v>10418</v>
      </c>
      <c r="E5984" t="s">
        <v>96</v>
      </c>
      <c r="F5984" t="s">
        <v>53</v>
      </c>
      <c r="G5984" t="s">
        <v>181</v>
      </c>
      <c r="H5984" t="str">
        <f>"ΒΟΙΩΤΙΑΣ 31 ΗΡΑΚΛΕΙΟ"</f>
        <v>ΒΟΙΩΤΙΑΣ 31 ΗΡΑΚΛΕΙΟ</v>
      </c>
      <c r="J5984">
        <v>2810256257</v>
      </c>
      <c r="K5984">
        <v>6972655255</v>
      </c>
      <c r="M5984" t="s">
        <v>10419</v>
      </c>
      <c r="N5984" t="s">
        <v>615</v>
      </c>
      <c r="O5984" t="s">
        <v>616</v>
      </c>
      <c r="R5984" t="s">
        <v>57</v>
      </c>
      <c r="S5984">
        <v>6</v>
      </c>
      <c r="T5984">
        <v>598</v>
      </c>
      <c r="U5984" s="1">
        <v>39328</v>
      </c>
      <c r="V5984" t="s">
        <v>80</v>
      </c>
      <c r="W5984" t="s">
        <v>81</v>
      </c>
      <c r="X5984" t="s">
        <v>58</v>
      </c>
      <c r="Y5984">
        <v>23</v>
      </c>
      <c r="Z5984" t="s">
        <v>59</v>
      </c>
      <c r="AA5984" t="s">
        <v>59</v>
      </c>
      <c r="AB5984" t="s">
        <v>59</v>
      </c>
      <c r="AC5984" t="s">
        <v>59</v>
      </c>
      <c r="AD5984" t="s">
        <v>59</v>
      </c>
      <c r="AF5984" s="1">
        <v>39328</v>
      </c>
      <c r="AG5984" t="s">
        <v>8645</v>
      </c>
      <c r="AH5984" t="s">
        <v>8646</v>
      </c>
      <c r="AI5984" t="str">
        <f>"9170525"</f>
        <v>9170525</v>
      </c>
      <c r="AJ5984" t="s">
        <v>8853</v>
      </c>
      <c r="AK5984">
        <v>2810256547</v>
      </c>
      <c r="AL5984" t="s">
        <v>8854</v>
      </c>
      <c r="AM5984" t="s">
        <v>78</v>
      </c>
      <c r="AN5984" t="s">
        <v>78</v>
      </c>
      <c r="AO5984" t="s">
        <v>78</v>
      </c>
      <c r="AP5984" t="s">
        <v>141</v>
      </c>
      <c r="AQ5984">
        <v>1</v>
      </c>
      <c r="AR5984" t="s">
        <v>80</v>
      </c>
      <c r="AS5984" t="s">
        <v>81</v>
      </c>
      <c r="AT5984" t="s">
        <v>58</v>
      </c>
      <c r="AU5984" t="s">
        <v>68</v>
      </c>
      <c r="AV5984" t="s">
        <v>69</v>
      </c>
      <c r="AW5984" s="1">
        <v>30109</v>
      </c>
      <c r="AX5984">
        <v>1</v>
      </c>
    </row>
    <row r="5985" spans="1:50">
      <c r="A5985">
        <v>704080</v>
      </c>
      <c r="B5985" t="str">
        <f>"079375422"</f>
        <v>079375422</v>
      </c>
      <c r="C5985" t="s">
        <v>50</v>
      </c>
      <c r="D5985" t="s">
        <v>10420</v>
      </c>
      <c r="E5985" t="s">
        <v>783</v>
      </c>
      <c r="F5985" t="s">
        <v>670</v>
      </c>
      <c r="G5985" t="s">
        <v>396</v>
      </c>
      <c r="H5985" t="str">
        <f>"ΑΜΥΓΔΑΛΙΕΣ ΑΜΥΓΔΑΛΙΕΣ ΓΡΕΒΕΝΩΝ"</f>
        <v>ΑΜΥΓΔΑΛΙΕΣ ΑΜΥΓΔΑΛΙΕΣ ΓΡΕΒΕΝΩΝ</v>
      </c>
      <c r="I5985">
        <v>51100</v>
      </c>
      <c r="J5985">
        <v>2462088254</v>
      </c>
      <c r="K5985">
        <v>6972317283</v>
      </c>
      <c r="N5985" t="s">
        <v>306</v>
      </c>
      <c r="O5985" t="s">
        <v>307</v>
      </c>
      <c r="R5985" t="s">
        <v>57</v>
      </c>
      <c r="S5985">
        <v>2</v>
      </c>
      <c r="T5985">
        <v>1350</v>
      </c>
      <c r="U5985" s="1">
        <v>42732</v>
      </c>
      <c r="V5985" t="s">
        <v>80</v>
      </c>
      <c r="W5985" t="s">
        <v>81</v>
      </c>
      <c r="X5985" t="s">
        <v>58</v>
      </c>
      <c r="Y5985">
        <v>24</v>
      </c>
      <c r="Z5985" t="s">
        <v>59</v>
      </c>
      <c r="AA5985" t="s">
        <v>59</v>
      </c>
      <c r="AB5985" t="s">
        <v>59</v>
      </c>
      <c r="AC5985" t="s">
        <v>59</v>
      </c>
      <c r="AD5985" t="s">
        <v>59</v>
      </c>
      <c r="AF5985" s="1">
        <v>42734</v>
      </c>
      <c r="AG5985" t="s">
        <v>8645</v>
      </c>
      <c r="AH5985" t="s">
        <v>8646</v>
      </c>
      <c r="AI5985" t="str">
        <f>"9170018"</f>
        <v>9170018</v>
      </c>
      <c r="AJ5985" t="s">
        <v>8924</v>
      </c>
      <c r="AK5985">
        <v>2810821217</v>
      </c>
      <c r="AL5985" t="s">
        <v>8925</v>
      </c>
      <c r="AM5985" t="s">
        <v>78</v>
      </c>
      <c r="AN5985" t="s">
        <v>129</v>
      </c>
      <c r="AO5985" t="s">
        <v>130</v>
      </c>
      <c r="AP5985" t="s">
        <v>130</v>
      </c>
      <c r="AQ5985">
        <v>1</v>
      </c>
      <c r="AR5985" t="s">
        <v>80</v>
      </c>
      <c r="AS5985" t="s">
        <v>81</v>
      </c>
      <c r="AT5985" t="s">
        <v>58</v>
      </c>
      <c r="AU5985" t="s">
        <v>68</v>
      </c>
      <c r="AV5985" t="s">
        <v>69</v>
      </c>
      <c r="AW5985" s="1">
        <v>25934</v>
      </c>
      <c r="AX5985">
        <v>1</v>
      </c>
    </row>
    <row r="5986" spans="1:50">
      <c r="A5986">
        <v>596899</v>
      </c>
      <c r="B5986" t="str">
        <f>"103513059"</f>
        <v>103513059</v>
      </c>
      <c r="C5986" t="s">
        <v>50</v>
      </c>
      <c r="D5986" t="s">
        <v>10421</v>
      </c>
      <c r="E5986" t="s">
        <v>181</v>
      </c>
      <c r="F5986" t="s">
        <v>450</v>
      </c>
      <c r="G5986" t="s">
        <v>52</v>
      </c>
      <c r="H5986" t="str">
        <f>" "</f>
        <v xml:space="preserve"> </v>
      </c>
      <c r="N5986" t="s">
        <v>1525</v>
      </c>
      <c r="O5986" t="s">
        <v>1526</v>
      </c>
      <c r="R5986" t="s">
        <v>57</v>
      </c>
      <c r="S5986">
        <v>8</v>
      </c>
      <c r="T5986">
        <v>195</v>
      </c>
      <c r="U5986" s="1">
        <v>37497</v>
      </c>
      <c r="V5986" t="s">
        <v>80</v>
      </c>
      <c r="W5986" t="s">
        <v>81</v>
      </c>
      <c r="X5986" t="s">
        <v>58</v>
      </c>
      <c r="Y5986">
        <v>25</v>
      </c>
      <c r="Z5986" t="s">
        <v>59</v>
      </c>
      <c r="AA5986" t="s">
        <v>59</v>
      </c>
      <c r="AB5986" t="s">
        <v>59</v>
      </c>
      <c r="AC5986" t="s">
        <v>59</v>
      </c>
      <c r="AD5986" t="s">
        <v>59</v>
      </c>
      <c r="AF5986" s="1">
        <v>37501</v>
      </c>
      <c r="AG5986" t="s">
        <v>8651</v>
      </c>
      <c r="AH5986" t="s">
        <v>8652</v>
      </c>
      <c r="AI5986" t="str">
        <f>"9170596"</f>
        <v>9170596</v>
      </c>
      <c r="AJ5986" t="s">
        <v>10422</v>
      </c>
      <c r="AK5986">
        <v>2810341285</v>
      </c>
      <c r="AL5986" t="s">
        <v>10423</v>
      </c>
      <c r="AM5986" t="s">
        <v>78</v>
      </c>
      <c r="AN5986" t="s">
        <v>78</v>
      </c>
      <c r="AO5986" t="s">
        <v>286</v>
      </c>
      <c r="AP5986" t="s">
        <v>286</v>
      </c>
      <c r="AQ5986">
        <v>1</v>
      </c>
      <c r="AR5986" t="s">
        <v>80</v>
      </c>
      <c r="AS5986" t="s">
        <v>81</v>
      </c>
      <c r="AT5986" t="s">
        <v>58</v>
      </c>
      <c r="AU5986" t="s">
        <v>68</v>
      </c>
      <c r="AV5986" t="s">
        <v>69</v>
      </c>
      <c r="AW5986" s="1">
        <v>27769</v>
      </c>
      <c r="AX5986">
        <v>1</v>
      </c>
    </row>
    <row r="5987" spans="1:50">
      <c r="B5987" t="str">
        <f>"147310715"</f>
        <v>147310715</v>
      </c>
      <c r="C5987" t="s">
        <v>50</v>
      </c>
      <c r="D5987" t="s">
        <v>5047</v>
      </c>
      <c r="E5987" t="s">
        <v>10424</v>
      </c>
      <c r="F5987" t="s">
        <v>377</v>
      </c>
      <c r="G5987" t="s">
        <v>8287</v>
      </c>
      <c r="H5987" t="str">
        <f>"ΑΡΡΙΑΝΟΥ 9 "</f>
        <v xml:space="preserve">ΑΡΡΙΑΝΟΥ 9 </v>
      </c>
      <c r="I5987">
        <v>53100</v>
      </c>
      <c r="J5987">
        <v>2385028775</v>
      </c>
      <c r="K5987">
        <v>6984865804</v>
      </c>
      <c r="N5987" t="s">
        <v>615</v>
      </c>
      <c r="O5987" t="s">
        <v>616</v>
      </c>
      <c r="R5987" t="s">
        <v>159</v>
      </c>
      <c r="S5987">
        <v>5</v>
      </c>
      <c r="T5987" t="s">
        <v>8675</v>
      </c>
      <c r="U5987" s="1">
        <v>43348</v>
      </c>
      <c r="V5987" t="s">
        <v>80</v>
      </c>
      <c r="W5987" t="s">
        <v>81</v>
      </c>
      <c r="X5987" t="s">
        <v>58</v>
      </c>
      <c r="Y5987">
        <v>24</v>
      </c>
      <c r="Z5987" t="s">
        <v>59</v>
      </c>
      <c r="AA5987" t="s">
        <v>59</v>
      </c>
      <c r="AB5987" t="s">
        <v>59</v>
      </c>
      <c r="AC5987" t="s">
        <v>59</v>
      </c>
      <c r="AD5987" t="s">
        <v>59</v>
      </c>
      <c r="AF5987" s="1">
        <v>43348</v>
      </c>
      <c r="AG5987" t="s">
        <v>8645</v>
      </c>
      <c r="AH5987" t="s">
        <v>8646</v>
      </c>
      <c r="AI5987" t="str">
        <f>"9170235"</f>
        <v>9170235</v>
      </c>
      <c r="AJ5987" t="s">
        <v>8806</v>
      </c>
      <c r="AK5987">
        <v>2891031258</v>
      </c>
      <c r="AL5987" t="s">
        <v>8807</v>
      </c>
      <c r="AM5987" t="s">
        <v>78</v>
      </c>
      <c r="AN5987" t="s">
        <v>276</v>
      </c>
      <c r="AO5987" t="s">
        <v>277</v>
      </c>
      <c r="AP5987" t="s">
        <v>277</v>
      </c>
      <c r="AQ5987">
        <v>13</v>
      </c>
      <c r="AR5987" t="s">
        <v>80</v>
      </c>
      <c r="AS5987" t="s">
        <v>81</v>
      </c>
      <c r="AT5987" t="s">
        <v>58</v>
      </c>
      <c r="AU5987" t="s">
        <v>8673</v>
      </c>
      <c r="AV5987" t="s">
        <v>132</v>
      </c>
      <c r="AW5987" s="1">
        <v>32398</v>
      </c>
      <c r="AX5987">
        <v>1</v>
      </c>
    </row>
    <row r="5988" spans="1:50">
      <c r="A5988">
        <v>592661</v>
      </c>
      <c r="B5988" t="str">
        <f>"046536395"</f>
        <v>046536395</v>
      </c>
      <c r="C5988" t="s">
        <v>105</v>
      </c>
      <c r="D5988" t="s">
        <v>10425</v>
      </c>
      <c r="E5988" t="s">
        <v>383</v>
      </c>
      <c r="F5988" t="s">
        <v>106</v>
      </c>
      <c r="G5988" t="s">
        <v>250</v>
      </c>
      <c r="H5988" t="str">
        <f>"ΓΕΡΟΠΟΤΑΜΟΥ 9 ΗΡΑΚΛΕΙΟ"</f>
        <v>ΓΕΡΟΠΟΤΑΜΟΥ 9 ΗΡΑΚΛΕΙΟ</v>
      </c>
      <c r="I5988">
        <v>71304</v>
      </c>
      <c r="J5988">
        <v>2810263496</v>
      </c>
      <c r="K5988">
        <v>6945540541</v>
      </c>
      <c r="M5988" t="s">
        <v>10426</v>
      </c>
      <c r="N5988" t="s">
        <v>176</v>
      </c>
      <c r="O5988" t="s">
        <v>177</v>
      </c>
      <c r="R5988" t="s">
        <v>57</v>
      </c>
      <c r="S5988">
        <v>9</v>
      </c>
      <c r="T5988">
        <v>250</v>
      </c>
      <c r="U5988" s="1">
        <v>36769</v>
      </c>
      <c r="V5988" t="s">
        <v>80</v>
      </c>
      <c r="W5988" t="s">
        <v>81</v>
      </c>
      <c r="X5988" t="s">
        <v>58</v>
      </c>
      <c r="Y5988">
        <v>22</v>
      </c>
      <c r="Z5988" t="s">
        <v>59</v>
      </c>
      <c r="AA5988" t="s">
        <v>59</v>
      </c>
      <c r="AB5988" t="s">
        <v>59</v>
      </c>
      <c r="AC5988" t="s">
        <v>59</v>
      </c>
      <c r="AD5988" t="s">
        <v>59</v>
      </c>
      <c r="AF5988" s="1">
        <v>36774</v>
      </c>
      <c r="AG5988" t="s">
        <v>8645</v>
      </c>
      <c r="AH5988" t="s">
        <v>8646</v>
      </c>
      <c r="AI5988" t="str">
        <f>"9170109"</f>
        <v>9170109</v>
      </c>
      <c r="AJ5988" t="s">
        <v>9056</v>
      </c>
      <c r="AK5988">
        <v>2810212659</v>
      </c>
      <c r="AL5988" t="s">
        <v>9057</v>
      </c>
      <c r="AM5988" t="s">
        <v>78</v>
      </c>
      <c r="AN5988" t="s">
        <v>78</v>
      </c>
      <c r="AO5988" t="s">
        <v>78</v>
      </c>
      <c r="AP5988" t="s">
        <v>163</v>
      </c>
      <c r="AQ5988">
        <v>1</v>
      </c>
      <c r="AR5988" t="s">
        <v>80</v>
      </c>
      <c r="AS5988" t="s">
        <v>81</v>
      </c>
      <c r="AT5988" t="s">
        <v>58</v>
      </c>
      <c r="AU5988" t="s">
        <v>68</v>
      </c>
      <c r="AV5988" t="s">
        <v>69</v>
      </c>
      <c r="AW5988" s="1">
        <v>26126</v>
      </c>
      <c r="AX5988">
        <v>1</v>
      </c>
    </row>
    <row r="5989" spans="1:50">
      <c r="B5989" t="str">
        <f>"144223990"</f>
        <v>144223990</v>
      </c>
      <c r="C5989" t="s">
        <v>105</v>
      </c>
      <c r="D5989" t="s">
        <v>10427</v>
      </c>
      <c r="E5989" t="s">
        <v>315</v>
      </c>
      <c r="F5989" t="s">
        <v>383</v>
      </c>
      <c r="G5989" t="s">
        <v>314</v>
      </c>
      <c r="H5989" t="str">
        <f>"ΜΙΚΡΟΧΩΡΙ "</f>
        <v xml:space="preserve">ΜΙΚΡΟΧΩΡΙ </v>
      </c>
      <c r="I5989">
        <v>66100</v>
      </c>
      <c r="J5989">
        <v>2521083627</v>
      </c>
      <c r="K5989">
        <v>6970805619</v>
      </c>
      <c r="N5989" t="s">
        <v>615</v>
      </c>
      <c r="O5989" t="s">
        <v>616</v>
      </c>
      <c r="R5989" t="s">
        <v>159</v>
      </c>
      <c r="S5989">
        <v>3</v>
      </c>
      <c r="T5989" t="s">
        <v>8675</v>
      </c>
      <c r="U5989" s="1">
        <v>43348</v>
      </c>
      <c r="V5989" t="s">
        <v>80</v>
      </c>
      <c r="W5989" t="s">
        <v>81</v>
      </c>
      <c r="X5989" t="s">
        <v>58</v>
      </c>
      <c r="Y5989">
        <v>24</v>
      </c>
      <c r="Z5989" t="s">
        <v>59</v>
      </c>
      <c r="AA5989" t="s">
        <v>59</v>
      </c>
      <c r="AB5989" t="s">
        <v>59</v>
      </c>
      <c r="AC5989" t="s">
        <v>59</v>
      </c>
      <c r="AD5989" t="s">
        <v>59</v>
      </c>
      <c r="AF5989" s="1">
        <v>43348</v>
      </c>
      <c r="AG5989" t="s">
        <v>8645</v>
      </c>
      <c r="AH5989" t="s">
        <v>8646</v>
      </c>
      <c r="AI5989" t="str">
        <f>"9170039"</f>
        <v>9170039</v>
      </c>
      <c r="AJ5989" t="s">
        <v>8804</v>
      </c>
      <c r="AK5989">
        <v>2894022231</v>
      </c>
      <c r="AL5989" t="s">
        <v>8805</v>
      </c>
      <c r="AM5989" t="s">
        <v>78</v>
      </c>
      <c r="AN5989" t="s">
        <v>405</v>
      </c>
      <c r="AO5989" t="s">
        <v>406</v>
      </c>
      <c r="AP5989" t="s">
        <v>406</v>
      </c>
      <c r="AQ5989">
        <v>6</v>
      </c>
      <c r="AR5989" t="s">
        <v>80</v>
      </c>
      <c r="AS5989" t="s">
        <v>81</v>
      </c>
      <c r="AT5989" t="s">
        <v>58</v>
      </c>
      <c r="AU5989" t="s">
        <v>8673</v>
      </c>
      <c r="AV5989" t="s">
        <v>132</v>
      </c>
      <c r="AW5989" s="1">
        <v>32169</v>
      </c>
      <c r="AX5989">
        <v>1</v>
      </c>
    </row>
    <row r="5990" spans="1:50">
      <c r="A5990">
        <v>590250</v>
      </c>
      <c r="B5990" t="str">
        <f>"035588731"</f>
        <v>035588731</v>
      </c>
      <c r="C5990" t="s">
        <v>105</v>
      </c>
      <c r="D5990" t="s">
        <v>10428</v>
      </c>
      <c r="E5990" t="s">
        <v>309</v>
      </c>
      <c r="F5990" t="s">
        <v>99</v>
      </c>
      <c r="G5990" t="s">
        <v>52</v>
      </c>
      <c r="H5990" t="str">
        <f>" "</f>
        <v xml:space="preserve"> </v>
      </c>
      <c r="N5990" t="s">
        <v>176</v>
      </c>
      <c r="O5990" t="s">
        <v>177</v>
      </c>
      <c r="R5990" t="s">
        <v>57</v>
      </c>
      <c r="S5990">
        <v>12</v>
      </c>
      <c r="T5990">
        <v>177</v>
      </c>
      <c r="U5990" s="1">
        <v>36403</v>
      </c>
      <c r="V5990" t="s">
        <v>80</v>
      </c>
      <c r="W5990" t="s">
        <v>81</v>
      </c>
      <c r="X5990" t="s">
        <v>58</v>
      </c>
      <c r="Y5990">
        <v>22</v>
      </c>
      <c r="Z5990" t="s">
        <v>59</v>
      </c>
      <c r="AA5990" t="s">
        <v>59</v>
      </c>
      <c r="AB5990" t="s">
        <v>59</v>
      </c>
      <c r="AC5990" t="s">
        <v>59</v>
      </c>
      <c r="AD5990" t="s">
        <v>59</v>
      </c>
      <c r="AF5990" s="1">
        <v>36404</v>
      </c>
      <c r="AG5990" t="s">
        <v>8645</v>
      </c>
      <c r="AH5990" t="s">
        <v>8646</v>
      </c>
      <c r="AI5990" t="str">
        <f>"9170242"</f>
        <v>9170242</v>
      </c>
      <c r="AJ5990" t="s">
        <v>9314</v>
      </c>
      <c r="AK5990">
        <v>2897031254</v>
      </c>
      <c r="AL5990" t="s">
        <v>9315</v>
      </c>
      <c r="AM5990" t="s">
        <v>78</v>
      </c>
      <c r="AN5990" t="s">
        <v>219</v>
      </c>
      <c r="AO5990" t="s">
        <v>527</v>
      </c>
      <c r="AP5990" t="s">
        <v>527</v>
      </c>
      <c r="AQ5990">
        <v>8</v>
      </c>
      <c r="AR5990" t="s">
        <v>80</v>
      </c>
      <c r="AS5990" t="s">
        <v>81</v>
      </c>
      <c r="AT5990" t="s">
        <v>58</v>
      </c>
      <c r="AU5990" t="s">
        <v>68</v>
      </c>
      <c r="AV5990" t="s">
        <v>69</v>
      </c>
      <c r="AW5990" s="1">
        <v>22452</v>
      </c>
      <c r="AX5990">
        <v>1</v>
      </c>
    </row>
    <row r="5991" spans="1:50">
      <c r="A5991">
        <v>622231</v>
      </c>
      <c r="B5991" t="str">
        <f>"118938821"</f>
        <v>118938821</v>
      </c>
      <c r="C5991" t="s">
        <v>50</v>
      </c>
      <c r="D5991" t="s">
        <v>2353</v>
      </c>
      <c r="E5991" t="s">
        <v>112</v>
      </c>
      <c r="F5991" t="s">
        <v>1330</v>
      </c>
      <c r="G5991" t="s">
        <v>255</v>
      </c>
      <c r="H5991" t="str">
        <f>"ΚΙΡΚΗΣ 39 ΗΡΑΚΛΕΙΟ"</f>
        <v>ΚΙΡΚΗΣ 39 ΗΡΑΚΛΕΙΟ</v>
      </c>
      <c r="I5991">
        <v>71304</v>
      </c>
      <c r="J5991">
        <v>2810251846</v>
      </c>
      <c r="K5991">
        <v>6978263505</v>
      </c>
      <c r="N5991" t="s">
        <v>1525</v>
      </c>
      <c r="O5991" t="s">
        <v>1526</v>
      </c>
      <c r="R5991" t="s">
        <v>57</v>
      </c>
      <c r="S5991">
        <v>5</v>
      </c>
      <c r="T5991">
        <v>653</v>
      </c>
      <c r="U5991" s="1">
        <v>40043</v>
      </c>
      <c r="V5991" t="s">
        <v>80</v>
      </c>
      <c r="W5991" t="s">
        <v>81</v>
      </c>
      <c r="X5991" t="s">
        <v>58</v>
      </c>
      <c r="Y5991">
        <v>25</v>
      </c>
      <c r="Z5991" t="s">
        <v>59</v>
      </c>
      <c r="AA5991" t="s">
        <v>59</v>
      </c>
      <c r="AB5991" t="s">
        <v>59</v>
      </c>
      <c r="AC5991" t="s">
        <v>59</v>
      </c>
      <c r="AD5991" t="s">
        <v>59</v>
      </c>
      <c r="AF5991" s="1">
        <v>40057</v>
      </c>
      <c r="AG5991" t="s">
        <v>8651</v>
      </c>
      <c r="AH5991" t="s">
        <v>8652</v>
      </c>
      <c r="AI5991" t="str">
        <f>"9521595"</f>
        <v>9521595</v>
      </c>
      <c r="AJ5991" t="s">
        <v>10429</v>
      </c>
      <c r="AK5991">
        <v>2810251986</v>
      </c>
      <c r="AL5991" t="s">
        <v>10430</v>
      </c>
      <c r="AM5991" t="s">
        <v>78</v>
      </c>
      <c r="AN5991" t="s">
        <v>78</v>
      </c>
      <c r="AO5991" t="s">
        <v>78</v>
      </c>
      <c r="AP5991" t="s">
        <v>141</v>
      </c>
      <c r="AQ5991">
        <v>1</v>
      </c>
      <c r="AR5991" t="s">
        <v>80</v>
      </c>
      <c r="AS5991" t="s">
        <v>81</v>
      </c>
      <c r="AT5991" t="s">
        <v>58</v>
      </c>
      <c r="AU5991" t="s">
        <v>68</v>
      </c>
      <c r="AV5991" t="s">
        <v>69</v>
      </c>
      <c r="AW5991" s="1">
        <v>26620</v>
      </c>
      <c r="AX5991">
        <v>1</v>
      </c>
    </row>
    <row r="5992" spans="1:50">
      <c r="A5992">
        <v>581707</v>
      </c>
      <c r="B5992" t="str">
        <f>"037384601"</f>
        <v>037384601</v>
      </c>
      <c r="C5992" t="s">
        <v>105</v>
      </c>
      <c r="D5992" t="s">
        <v>10431</v>
      </c>
      <c r="E5992" t="s">
        <v>383</v>
      </c>
      <c r="F5992" t="s">
        <v>95</v>
      </c>
      <c r="G5992" t="s">
        <v>112</v>
      </c>
      <c r="H5992" t="str">
        <f>"ΜΕΝΕΛΑΟΥ ΛΟΥΝΤΕΜΗ 28 ΓΑΖΙ ΗΡΑΚΛΕΙΟΥ"</f>
        <v>ΜΕΝΕΛΑΟΥ ΛΟΥΝΤΕΜΗ 28 ΓΑΖΙ ΗΡΑΚΛΕΙΟΥ</v>
      </c>
      <c r="I5992">
        <v>71414</v>
      </c>
      <c r="J5992">
        <v>2814000467</v>
      </c>
      <c r="K5992">
        <v>6937442158</v>
      </c>
      <c r="N5992" t="s">
        <v>615</v>
      </c>
      <c r="O5992" t="s">
        <v>616</v>
      </c>
      <c r="R5992" t="s">
        <v>57</v>
      </c>
      <c r="S5992">
        <v>12</v>
      </c>
      <c r="T5992">
        <v>179</v>
      </c>
      <c r="U5992" s="1">
        <v>35674</v>
      </c>
      <c r="V5992" t="s">
        <v>80</v>
      </c>
      <c r="W5992" t="s">
        <v>81</v>
      </c>
      <c r="X5992" t="s">
        <v>58</v>
      </c>
      <c r="Y5992">
        <v>21</v>
      </c>
      <c r="Z5992" t="s">
        <v>59</v>
      </c>
      <c r="AA5992" t="s">
        <v>59</v>
      </c>
      <c r="AB5992" t="s">
        <v>59</v>
      </c>
      <c r="AC5992" t="s">
        <v>59</v>
      </c>
      <c r="AD5992" t="s">
        <v>59</v>
      </c>
      <c r="AF5992" s="1">
        <v>35675</v>
      </c>
      <c r="AG5992" t="s">
        <v>8645</v>
      </c>
      <c r="AH5992" t="s">
        <v>8646</v>
      </c>
      <c r="AI5992" t="str">
        <f>"9521091"</f>
        <v>9521091</v>
      </c>
      <c r="AJ5992" t="s">
        <v>8959</v>
      </c>
      <c r="AK5992">
        <v>2810370360</v>
      </c>
      <c r="AL5992" t="s">
        <v>8960</v>
      </c>
      <c r="AM5992" t="s">
        <v>78</v>
      </c>
      <c r="AN5992" t="s">
        <v>129</v>
      </c>
      <c r="AO5992" t="s">
        <v>130</v>
      </c>
      <c r="AP5992" t="s">
        <v>130</v>
      </c>
      <c r="AQ5992">
        <v>1</v>
      </c>
      <c r="AR5992" t="s">
        <v>80</v>
      </c>
      <c r="AS5992" t="s">
        <v>81</v>
      </c>
      <c r="AT5992" t="s">
        <v>58</v>
      </c>
      <c r="AU5992" t="s">
        <v>68</v>
      </c>
      <c r="AV5992" t="s">
        <v>69</v>
      </c>
      <c r="AW5992" s="1">
        <v>24446</v>
      </c>
      <c r="AX5992">
        <v>1</v>
      </c>
    </row>
    <row r="5993" spans="1:50">
      <c r="B5993" t="str">
        <f>"049624813"</f>
        <v>049624813</v>
      </c>
      <c r="C5993" t="s">
        <v>50</v>
      </c>
      <c r="D5993" t="s">
        <v>10432</v>
      </c>
      <c r="E5993" t="s">
        <v>181</v>
      </c>
      <c r="F5993" t="s">
        <v>72</v>
      </c>
      <c r="G5993" t="s">
        <v>460</v>
      </c>
      <c r="H5993" t="str">
        <f>"ΧΑΡΙΛ. ΤΡΙΚΟΥΠΗ 13 "</f>
        <v xml:space="preserve">ΧΑΡΙΛ. ΤΡΙΚΟΥΠΗ 13 </v>
      </c>
      <c r="I5993">
        <v>74100</v>
      </c>
      <c r="J5993">
        <v>2831053856</v>
      </c>
      <c r="K5993">
        <v>6977733900</v>
      </c>
      <c r="N5993" t="s">
        <v>9829</v>
      </c>
      <c r="O5993" t="s">
        <v>9830</v>
      </c>
      <c r="R5993" t="s">
        <v>159</v>
      </c>
      <c r="S5993">
        <v>5</v>
      </c>
      <c r="T5993" t="s">
        <v>8696</v>
      </c>
      <c r="U5993" s="1">
        <v>43348</v>
      </c>
      <c r="V5993" t="s">
        <v>80</v>
      </c>
      <c r="W5993" t="s">
        <v>81</v>
      </c>
      <c r="X5993" t="s">
        <v>58</v>
      </c>
      <c r="Y5993">
        <v>25</v>
      </c>
      <c r="Z5993" t="s">
        <v>59</v>
      </c>
      <c r="AA5993" t="s">
        <v>59</v>
      </c>
      <c r="AB5993" t="s">
        <v>59</v>
      </c>
      <c r="AC5993" t="s">
        <v>59</v>
      </c>
      <c r="AD5993" t="s">
        <v>59</v>
      </c>
      <c r="AF5993" s="1">
        <v>43348</v>
      </c>
      <c r="AG5993" t="s">
        <v>8651</v>
      </c>
      <c r="AH5993" t="s">
        <v>9015</v>
      </c>
      <c r="AI5993" t="str">
        <f>"9170527"</f>
        <v>9170527</v>
      </c>
      <c r="AJ5993" t="s">
        <v>9016</v>
      </c>
      <c r="AK5993">
        <v>2810282486</v>
      </c>
      <c r="AL5993" t="s">
        <v>9017</v>
      </c>
      <c r="AM5993" t="s">
        <v>78</v>
      </c>
      <c r="AN5993" t="s">
        <v>78</v>
      </c>
      <c r="AO5993" t="s">
        <v>78</v>
      </c>
      <c r="AP5993" t="s">
        <v>79</v>
      </c>
      <c r="AQ5993">
        <v>1</v>
      </c>
      <c r="AR5993" t="s">
        <v>80</v>
      </c>
      <c r="AS5993" t="s">
        <v>81</v>
      </c>
      <c r="AT5993" t="s">
        <v>58</v>
      </c>
      <c r="AU5993" t="s">
        <v>350</v>
      </c>
      <c r="AV5993" t="s">
        <v>132</v>
      </c>
      <c r="AW5993" s="1">
        <v>29573</v>
      </c>
      <c r="AX5993">
        <v>1</v>
      </c>
    </row>
    <row r="5994" spans="1:50">
      <c r="A5994">
        <v>588021</v>
      </c>
      <c r="B5994" t="str">
        <f>"064213320"</f>
        <v>064213320</v>
      </c>
      <c r="C5994" t="s">
        <v>50</v>
      </c>
      <c r="D5994" t="s">
        <v>2359</v>
      </c>
      <c r="E5994" t="s">
        <v>52</v>
      </c>
      <c r="F5994" t="s">
        <v>166</v>
      </c>
      <c r="G5994" t="s">
        <v>755</v>
      </c>
      <c r="H5994" t="str">
        <f>" ΚΟΚΚΙΝΗ ΧΑΝΙ"</f>
        <v xml:space="preserve"> ΚΟΚΚΙΝΗ ΧΑΝΙ</v>
      </c>
      <c r="I5994">
        <v>71500</v>
      </c>
      <c r="J5994">
        <v>2810762151</v>
      </c>
      <c r="K5994">
        <v>6972892085</v>
      </c>
      <c r="N5994" t="s">
        <v>1525</v>
      </c>
      <c r="O5994" t="s">
        <v>1526</v>
      </c>
      <c r="R5994" t="s">
        <v>57</v>
      </c>
      <c r="S5994">
        <v>9</v>
      </c>
      <c r="T5994">
        <v>250</v>
      </c>
      <c r="U5994" s="1">
        <v>36160</v>
      </c>
      <c r="V5994" t="s">
        <v>80</v>
      </c>
      <c r="W5994" t="s">
        <v>81</v>
      </c>
      <c r="X5994" t="s">
        <v>58</v>
      </c>
      <c r="Y5994">
        <v>25</v>
      </c>
      <c r="Z5994" t="s">
        <v>59</v>
      </c>
      <c r="AA5994" t="s">
        <v>59</v>
      </c>
      <c r="AB5994" t="s">
        <v>59</v>
      </c>
      <c r="AC5994" t="s">
        <v>59</v>
      </c>
      <c r="AD5994" t="s">
        <v>59</v>
      </c>
      <c r="AF5994" s="1">
        <v>36174</v>
      </c>
      <c r="AG5994" t="s">
        <v>8651</v>
      </c>
      <c r="AH5994" t="s">
        <v>8652</v>
      </c>
      <c r="AI5994" t="str">
        <f>"9170500"</f>
        <v>9170500</v>
      </c>
      <c r="AJ5994" t="s">
        <v>10433</v>
      </c>
      <c r="AK5994">
        <v>2810332170</v>
      </c>
      <c r="AL5994" t="s">
        <v>10434</v>
      </c>
      <c r="AM5994" t="s">
        <v>78</v>
      </c>
      <c r="AN5994" t="s">
        <v>219</v>
      </c>
      <c r="AO5994" t="s">
        <v>297</v>
      </c>
      <c r="AP5994" t="s">
        <v>8796</v>
      </c>
      <c r="AQ5994">
        <v>7</v>
      </c>
      <c r="AR5994" t="s">
        <v>80</v>
      </c>
      <c r="AS5994" t="s">
        <v>81</v>
      </c>
      <c r="AT5994" t="s">
        <v>58</v>
      </c>
      <c r="AU5994" t="s">
        <v>68</v>
      </c>
      <c r="AV5994" t="s">
        <v>69</v>
      </c>
      <c r="AW5994" s="1">
        <v>27010</v>
      </c>
      <c r="AX5994">
        <v>1</v>
      </c>
    </row>
    <row r="5995" spans="1:50">
      <c r="B5995" t="str">
        <f>"138966779"</f>
        <v>138966779</v>
      </c>
      <c r="C5995" t="s">
        <v>50</v>
      </c>
      <c r="D5995" t="s">
        <v>10435</v>
      </c>
      <c r="E5995" t="s">
        <v>610</v>
      </c>
      <c r="F5995" t="s">
        <v>304</v>
      </c>
      <c r="H5995" t="str">
        <f>" "</f>
        <v xml:space="preserve"> </v>
      </c>
      <c r="N5995" t="s">
        <v>1525</v>
      </c>
      <c r="O5995" t="s">
        <v>1526</v>
      </c>
      <c r="R5995" t="s">
        <v>121</v>
      </c>
      <c r="S5995">
        <v>3</v>
      </c>
      <c r="T5995" t="s">
        <v>8670</v>
      </c>
      <c r="U5995" s="1">
        <v>43348</v>
      </c>
      <c r="V5995" t="s">
        <v>80</v>
      </c>
      <c r="W5995" t="s">
        <v>81</v>
      </c>
      <c r="X5995" t="s">
        <v>58</v>
      </c>
      <c r="Y5995">
        <v>25</v>
      </c>
      <c r="Z5995" t="s">
        <v>59</v>
      </c>
      <c r="AA5995" t="s">
        <v>59</v>
      </c>
      <c r="AB5995" t="s">
        <v>59</v>
      </c>
      <c r="AD5995" t="s">
        <v>59</v>
      </c>
      <c r="AF5995" s="1">
        <v>43348</v>
      </c>
      <c r="AG5995" t="s">
        <v>8651</v>
      </c>
      <c r="AH5995" t="s">
        <v>8652</v>
      </c>
      <c r="AI5995" t="str">
        <f>"9170299"</f>
        <v>9170299</v>
      </c>
      <c r="AJ5995" t="s">
        <v>8956</v>
      </c>
      <c r="AK5995">
        <v>2892041219</v>
      </c>
      <c r="AL5995" t="s">
        <v>8957</v>
      </c>
      <c r="AM5995" t="s">
        <v>78</v>
      </c>
      <c r="AN5995" t="s">
        <v>242</v>
      </c>
      <c r="AO5995" t="s">
        <v>243</v>
      </c>
      <c r="AP5995" t="s">
        <v>244</v>
      </c>
      <c r="AQ5995">
        <v>18</v>
      </c>
      <c r="AR5995" t="s">
        <v>80</v>
      </c>
      <c r="AS5995" t="s">
        <v>81</v>
      </c>
      <c r="AT5995" t="s">
        <v>58</v>
      </c>
      <c r="AU5995" t="s">
        <v>8673</v>
      </c>
      <c r="AV5995" t="s">
        <v>132</v>
      </c>
      <c r="AW5995" s="1">
        <v>30818</v>
      </c>
      <c r="AX5995">
        <v>1</v>
      </c>
    </row>
    <row r="5996" spans="1:50">
      <c r="A5996">
        <v>589827</v>
      </c>
      <c r="B5996" t="str">
        <f>"039476367"</f>
        <v>039476367</v>
      </c>
      <c r="C5996" t="s">
        <v>50</v>
      </c>
      <c r="D5996" t="s">
        <v>10436</v>
      </c>
      <c r="E5996" t="s">
        <v>10437</v>
      </c>
      <c r="F5996" t="s">
        <v>53</v>
      </c>
      <c r="G5996" t="s">
        <v>52</v>
      </c>
      <c r="H5996" t="str">
        <f>" "</f>
        <v xml:space="preserve"> </v>
      </c>
      <c r="N5996" t="s">
        <v>1525</v>
      </c>
      <c r="O5996" t="s">
        <v>1526</v>
      </c>
      <c r="R5996" t="s">
        <v>57</v>
      </c>
      <c r="S5996">
        <v>11</v>
      </c>
      <c r="T5996">
        <v>176</v>
      </c>
      <c r="U5996" s="1">
        <v>36403</v>
      </c>
      <c r="V5996" t="s">
        <v>80</v>
      </c>
      <c r="W5996" t="s">
        <v>81</v>
      </c>
      <c r="X5996" t="s">
        <v>58</v>
      </c>
      <c r="Y5996">
        <v>25</v>
      </c>
      <c r="Z5996" t="s">
        <v>59</v>
      </c>
      <c r="AA5996" t="s">
        <v>59</v>
      </c>
      <c r="AB5996" t="s">
        <v>59</v>
      </c>
      <c r="AC5996" t="s">
        <v>59</v>
      </c>
      <c r="AD5996" t="s">
        <v>59</v>
      </c>
      <c r="AF5996" s="1">
        <v>36405</v>
      </c>
      <c r="AG5996" t="s">
        <v>8651</v>
      </c>
      <c r="AH5996" t="s">
        <v>8652</v>
      </c>
      <c r="AI5996" t="str">
        <f>"9170261"</f>
        <v>9170261</v>
      </c>
      <c r="AJ5996" t="s">
        <v>9290</v>
      </c>
      <c r="AK5996">
        <v>2810228697</v>
      </c>
      <c r="AL5996" t="s">
        <v>9291</v>
      </c>
      <c r="AM5996" t="s">
        <v>78</v>
      </c>
      <c r="AN5996" t="s">
        <v>78</v>
      </c>
      <c r="AO5996" t="s">
        <v>286</v>
      </c>
      <c r="AP5996" t="s">
        <v>286</v>
      </c>
      <c r="AQ5996">
        <v>1</v>
      </c>
      <c r="AR5996" t="s">
        <v>80</v>
      </c>
      <c r="AS5996" t="s">
        <v>81</v>
      </c>
      <c r="AT5996" t="s">
        <v>58</v>
      </c>
      <c r="AU5996" t="s">
        <v>68</v>
      </c>
      <c r="AV5996" t="s">
        <v>69</v>
      </c>
      <c r="AW5996" s="1">
        <v>23665</v>
      </c>
      <c r="AX5996">
        <v>1</v>
      </c>
    </row>
    <row r="5997" spans="1:50">
      <c r="A5997">
        <v>592718</v>
      </c>
      <c r="B5997" t="str">
        <f>"061330069"</f>
        <v>061330069</v>
      </c>
      <c r="C5997" t="s">
        <v>50</v>
      </c>
      <c r="D5997" t="s">
        <v>2361</v>
      </c>
      <c r="E5997" t="s">
        <v>237</v>
      </c>
      <c r="F5997" t="s">
        <v>72</v>
      </c>
      <c r="G5997" t="s">
        <v>52</v>
      </c>
      <c r="H5997" t="str">
        <f>"ΜΝΗΣΙΚΛΗ 45   ΗΡΑΚΛΕΙΟ"</f>
        <v>ΜΝΗΣΙΚΛΗ 45   ΗΡΑΚΛΕΙΟ</v>
      </c>
      <c r="I5997">
        <v>71305</v>
      </c>
      <c r="J5997">
        <v>2810311436</v>
      </c>
      <c r="K5997">
        <v>6977286686</v>
      </c>
      <c r="M5997" t="s">
        <v>10438</v>
      </c>
      <c r="N5997" t="s">
        <v>615</v>
      </c>
      <c r="O5997" t="s">
        <v>616</v>
      </c>
      <c r="R5997" t="s">
        <v>57</v>
      </c>
      <c r="S5997">
        <v>10</v>
      </c>
      <c r="T5997">
        <v>218</v>
      </c>
      <c r="U5997" s="1">
        <v>37134</v>
      </c>
      <c r="V5997" t="s">
        <v>80</v>
      </c>
      <c r="W5997" t="s">
        <v>81</v>
      </c>
      <c r="X5997" t="s">
        <v>58</v>
      </c>
      <c r="Y5997">
        <v>22</v>
      </c>
      <c r="Z5997" t="s">
        <v>59</v>
      </c>
      <c r="AA5997" t="s">
        <v>59</v>
      </c>
      <c r="AB5997" t="s">
        <v>59</v>
      </c>
      <c r="AC5997" t="s">
        <v>59</v>
      </c>
      <c r="AD5997" t="s">
        <v>59</v>
      </c>
      <c r="AF5997" s="1">
        <v>37137</v>
      </c>
      <c r="AG5997" t="s">
        <v>8645</v>
      </c>
      <c r="AH5997" t="s">
        <v>8646</v>
      </c>
      <c r="AI5997" t="str">
        <f>"9170109"</f>
        <v>9170109</v>
      </c>
      <c r="AJ5997" t="s">
        <v>9056</v>
      </c>
      <c r="AK5997">
        <v>2810212659</v>
      </c>
      <c r="AL5997" t="s">
        <v>9057</v>
      </c>
      <c r="AM5997" t="s">
        <v>78</v>
      </c>
      <c r="AN5997" t="s">
        <v>78</v>
      </c>
      <c r="AO5997" t="s">
        <v>78</v>
      </c>
      <c r="AP5997" t="s">
        <v>163</v>
      </c>
      <c r="AQ5997">
        <v>1</v>
      </c>
      <c r="AR5997" t="s">
        <v>80</v>
      </c>
      <c r="AS5997" t="s">
        <v>81</v>
      </c>
      <c r="AT5997" t="s">
        <v>58</v>
      </c>
      <c r="AU5997" t="s">
        <v>68</v>
      </c>
      <c r="AV5997" t="s">
        <v>69</v>
      </c>
      <c r="AW5997" s="1">
        <v>26554</v>
      </c>
      <c r="AX5997">
        <v>1</v>
      </c>
    </row>
    <row r="5998" spans="1:50">
      <c r="A5998">
        <v>612993</v>
      </c>
      <c r="B5998" t="str">
        <f>"054090473"</f>
        <v>054090473</v>
      </c>
      <c r="C5998" t="s">
        <v>50</v>
      </c>
      <c r="D5998" t="s">
        <v>6155</v>
      </c>
      <c r="E5998" t="s">
        <v>10439</v>
      </c>
      <c r="F5998" t="s">
        <v>202</v>
      </c>
      <c r="G5998" t="s">
        <v>10440</v>
      </c>
      <c r="H5998" t="str">
        <f>"ΣΟΛΩΝΟΣ 35 ΗΡΑΚΛΕΙΟ"</f>
        <v>ΣΟΛΩΝΟΣ 35 ΗΡΑΚΛΕΙΟ</v>
      </c>
      <c r="I5998">
        <v>71307</v>
      </c>
      <c r="J5998">
        <v>2810237329</v>
      </c>
      <c r="K5998">
        <v>6945370329</v>
      </c>
      <c r="N5998" t="s">
        <v>615</v>
      </c>
      <c r="O5998" t="s">
        <v>616</v>
      </c>
      <c r="R5998" t="s">
        <v>57</v>
      </c>
      <c r="S5998">
        <v>6</v>
      </c>
      <c r="T5998">
        <v>598</v>
      </c>
      <c r="U5998" s="1">
        <v>39310</v>
      </c>
      <c r="V5998" t="s">
        <v>80</v>
      </c>
      <c r="W5998" t="s">
        <v>81</v>
      </c>
      <c r="X5998" t="s">
        <v>58</v>
      </c>
      <c r="Y5998">
        <v>23</v>
      </c>
      <c r="Z5998" t="s">
        <v>59</v>
      </c>
      <c r="AA5998" t="s">
        <v>59</v>
      </c>
      <c r="AB5998" t="s">
        <v>59</v>
      </c>
      <c r="AC5998" t="s">
        <v>59</v>
      </c>
      <c r="AD5998" t="s">
        <v>59</v>
      </c>
      <c r="AF5998" s="1">
        <v>39328</v>
      </c>
      <c r="AG5998" t="s">
        <v>8645</v>
      </c>
      <c r="AH5998" t="s">
        <v>8646</v>
      </c>
      <c r="AI5998" t="str">
        <f>"9170255"</f>
        <v>9170255</v>
      </c>
      <c r="AJ5998" t="s">
        <v>8915</v>
      </c>
      <c r="AK5998">
        <v>2810220750</v>
      </c>
      <c r="AL5998" t="s">
        <v>8916</v>
      </c>
      <c r="AM5998" t="s">
        <v>78</v>
      </c>
      <c r="AN5998" t="s">
        <v>78</v>
      </c>
      <c r="AO5998" t="s">
        <v>78</v>
      </c>
      <c r="AP5998" t="s">
        <v>213</v>
      </c>
      <c r="AQ5998">
        <v>1</v>
      </c>
      <c r="AR5998" t="s">
        <v>80</v>
      </c>
      <c r="AS5998" t="s">
        <v>81</v>
      </c>
      <c r="AT5998" t="s">
        <v>58</v>
      </c>
      <c r="AU5998" t="s">
        <v>68</v>
      </c>
      <c r="AV5998" t="s">
        <v>69</v>
      </c>
      <c r="AW5998" s="1">
        <v>24717</v>
      </c>
      <c r="AX5998">
        <v>1</v>
      </c>
    </row>
    <row r="5999" spans="1:50">
      <c r="A5999">
        <v>607135</v>
      </c>
      <c r="B5999" t="str">
        <f>"079767048"</f>
        <v>079767048</v>
      </c>
      <c r="C5999" t="s">
        <v>50</v>
      </c>
      <c r="D5999" t="s">
        <v>6155</v>
      </c>
      <c r="E5999" t="s">
        <v>52</v>
      </c>
      <c r="F5999" t="s">
        <v>900</v>
      </c>
      <c r="G5999" t="s">
        <v>83</v>
      </c>
      <c r="H5999" t="str">
        <f>"ΕΦΤΑΛΙΩΤΗ 2 ΗΡΑΚΛΕΙΟ"</f>
        <v>ΕΦΤΑΛΙΩΤΗ 2 ΗΡΑΚΛΕΙΟ</v>
      </c>
      <c r="I5999">
        <v>71303</v>
      </c>
      <c r="J5999">
        <v>2810255383</v>
      </c>
      <c r="K5999">
        <v>6946757171</v>
      </c>
      <c r="N5999" t="s">
        <v>615</v>
      </c>
      <c r="O5999" t="s">
        <v>616</v>
      </c>
      <c r="R5999" t="s">
        <v>57</v>
      </c>
      <c r="S5999">
        <v>7</v>
      </c>
      <c r="T5999" t="s">
        <v>10441</v>
      </c>
      <c r="U5999" s="1">
        <v>38596</v>
      </c>
      <c r="V5999" t="s">
        <v>80</v>
      </c>
      <c r="W5999" t="s">
        <v>81</v>
      </c>
      <c r="X5999" t="s">
        <v>58</v>
      </c>
      <c r="Y5999">
        <v>22</v>
      </c>
      <c r="Z5999" t="s">
        <v>59</v>
      </c>
      <c r="AA5999" t="s">
        <v>59</v>
      </c>
      <c r="AB5999" t="s">
        <v>59</v>
      </c>
      <c r="AC5999" t="s">
        <v>59</v>
      </c>
      <c r="AD5999" t="s">
        <v>59</v>
      </c>
      <c r="AF5999" s="1">
        <v>38600</v>
      </c>
      <c r="AG5999" t="s">
        <v>8645</v>
      </c>
      <c r="AH5999" t="s">
        <v>8646</v>
      </c>
      <c r="AI5999" t="str">
        <f>"9170108"</f>
        <v>9170108</v>
      </c>
      <c r="AJ5999" t="s">
        <v>8863</v>
      </c>
      <c r="AK5999">
        <v>2810232111</v>
      </c>
      <c r="AL5999" t="s">
        <v>8864</v>
      </c>
      <c r="AM5999" t="s">
        <v>78</v>
      </c>
      <c r="AN5999" t="s">
        <v>78</v>
      </c>
      <c r="AO5999" t="s">
        <v>78</v>
      </c>
      <c r="AP5999" t="s">
        <v>163</v>
      </c>
      <c r="AQ5999">
        <v>1</v>
      </c>
      <c r="AR5999" t="s">
        <v>80</v>
      </c>
      <c r="AS5999" t="s">
        <v>81</v>
      </c>
      <c r="AT5999" t="s">
        <v>58</v>
      </c>
      <c r="AU5999" t="s">
        <v>68</v>
      </c>
      <c r="AV5999" t="s">
        <v>69</v>
      </c>
      <c r="AW5999" s="1">
        <v>28896</v>
      </c>
      <c r="AX5999">
        <v>1</v>
      </c>
    </row>
    <row r="6000" spans="1:50">
      <c r="B6000" t="str">
        <f>"125884411"</f>
        <v>125884411</v>
      </c>
      <c r="C6000" t="s">
        <v>50</v>
      </c>
      <c r="D6000" t="s">
        <v>6155</v>
      </c>
      <c r="E6000" t="s">
        <v>52</v>
      </c>
      <c r="F6000" t="s">
        <v>311</v>
      </c>
      <c r="G6000" t="s">
        <v>904</v>
      </c>
      <c r="H6000" t="str">
        <f>"ΑΓ. ΣΟΦΙΑΣ 22-34 "</f>
        <v xml:space="preserve">ΑΓ. ΣΟΦΙΑΣ 22-34 </v>
      </c>
      <c r="I6000">
        <v>16232</v>
      </c>
      <c r="J6000">
        <v>2107667466</v>
      </c>
      <c r="K6000">
        <v>6932342766</v>
      </c>
      <c r="N6000" t="s">
        <v>1525</v>
      </c>
      <c r="O6000" t="s">
        <v>1526</v>
      </c>
      <c r="R6000" t="s">
        <v>159</v>
      </c>
      <c r="S6000">
        <v>4</v>
      </c>
      <c r="T6000" t="s">
        <v>8670</v>
      </c>
      <c r="U6000" s="1">
        <v>43348</v>
      </c>
      <c r="V6000" t="s">
        <v>80</v>
      </c>
      <c r="W6000" t="s">
        <v>81</v>
      </c>
      <c r="X6000" t="s">
        <v>58</v>
      </c>
      <c r="Y6000">
        <v>25</v>
      </c>
      <c r="Z6000" t="s">
        <v>59</v>
      </c>
      <c r="AA6000" t="s">
        <v>59</v>
      </c>
      <c r="AB6000" t="s">
        <v>59</v>
      </c>
      <c r="AC6000" t="s">
        <v>59</v>
      </c>
      <c r="AD6000" t="s">
        <v>59</v>
      </c>
      <c r="AF6000" s="1">
        <v>43348</v>
      </c>
      <c r="AG6000" t="s">
        <v>8651</v>
      </c>
      <c r="AH6000" t="s">
        <v>8652</v>
      </c>
      <c r="AI6000" t="str">
        <f>"9170352"</f>
        <v>9170352</v>
      </c>
      <c r="AJ6000" t="s">
        <v>10442</v>
      </c>
      <c r="AK6000">
        <v>2810831204</v>
      </c>
      <c r="AL6000" t="s">
        <v>10443</v>
      </c>
      <c r="AM6000" t="s">
        <v>78</v>
      </c>
      <c r="AN6000" t="s">
        <v>129</v>
      </c>
      <c r="AO6000" t="s">
        <v>267</v>
      </c>
      <c r="AP6000" t="s">
        <v>267</v>
      </c>
      <c r="AQ6000">
        <v>2</v>
      </c>
      <c r="AR6000" t="s">
        <v>80</v>
      </c>
      <c r="AS6000" t="s">
        <v>81</v>
      </c>
      <c r="AT6000" t="s">
        <v>58</v>
      </c>
      <c r="AU6000" t="s">
        <v>8673</v>
      </c>
      <c r="AV6000" t="s">
        <v>132</v>
      </c>
      <c r="AW6000" s="1">
        <v>30752</v>
      </c>
      <c r="AX6000">
        <v>1</v>
      </c>
    </row>
    <row r="6001" spans="1:50">
      <c r="A6001">
        <v>558584</v>
      </c>
      <c r="B6001" t="str">
        <f>"031698351"</f>
        <v>031698351</v>
      </c>
      <c r="C6001" t="s">
        <v>50</v>
      </c>
      <c r="D6001" t="s">
        <v>2369</v>
      </c>
      <c r="E6001" t="s">
        <v>155</v>
      </c>
      <c r="F6001" t="s">
        <v>95</v>
      </c>
      <c r="G6001" t="s">
        <v>109</v>
      </c>
      <c r="H6001" t="str">
        <f>"ΑΝΔΡΕΟΥ ΔΗΜΗΤΡΙΟΥ 130 ΞΑΝΘΗ"</f>
        <v>ΑΝΔΡΕΟΥ ΔΗΜΗΤΡΙΟΥ 130 ΞΑΝΘΗ</v>
      </c>
      <c r="I6001">
        <v>67100</v>
      </c>
      <c r="K6001">
        <v>6984156596</v>
      </c>
      <c r="L6001">
        <v>2541084472</v>
      </c>
      <c r="N6001" t="s">
        <v>615</v>
      </c>
      <c r="O6001" t="s">
        <v>616</v>
      </c>
      <c r="R6001" t="s">
        <v>57</v>
      </c>
      <c r="S6001">
        <v>15</v>
      </c>
      <c r="T6001">
        <v>168</v>
      </c>
      <c r="U6001" s="1">
        <v>32010</v>
      </c>
      <c r="V6001" t="s">
        <v>80</v>
      </c>
      <c r="W6001" t="s">
        <v>81</v>
      </c>
      <c r="X6001" t="s">
        <v>58</v>
      </c>
      <c r="Y6001">
        <v>21</v>
      </c>
      <c r="Z6001" t="s">
        <v>59</v>
      </c>
      <c r="AA6001" t="s">
        <v>59</v>
      </c>
      <c r="AB6001" t="s">
        <v>59</v>
      </c>
      <c r="AC6001" t="s">
        <v>59</v>
      </c>
      <c r="AD6001" t="s">
        <v>59</v>
      </c>
      <c r="AF6001" s="1">
        <v>32021</v>
      </c>
      <c r="AG6001" t="s">
        <v>8645</v>
      </c>
      <c r="AH6001" t="s">
        <v>8646</v>
      </c>
      <c r="AI6001" t="str">
        <f>"9170224"</f>
        <v>9170224</v>
      </c>
      <c r="AJ6001" t="s">
        <v>9212</v>
      </c>
      <c r="AK6001">
        <v>2810771214</v>
      </c>
      <c r="AL6001" t="s">
        <v>9213</v>
      </c>
      <c r="AM6001" t="s">
        <v>78</v>
      </c>
      <c r="AN6001" t="s">
        <v>219</v>
      </c>
      <c r="AO6001" t="s">
        <v>1437</v>
      </c>
      <c r="AP6001" t="s">
        <v>1437</v>
      </c>
      <c r="AQ6001">
        <v>7</v>
      </c>
      <c r="AR6001" t="s">
        <v>80</v>
      </c>
      <c r="AS6001" t="s">
        <v>81</v>
      </c>
      <c r="AT6001" t="s">
        <v>58</v>
      </c>
      <c r="AU6001" t="s">
        <v>68</v>
      </c>
      <c r="AV6001" t="s">
        <v>69</v>
      </c>
      <c r="AW6001" s="1">
        <v>23493</v>
      </c>
      <c r="AX6001">
        <v>1</v>
      </c>
    </row>
    <row r="6002" spans="1:50">
      <c r="B6002" t="str">
        <f>"122565222"</f>
        <v>122565222</v>
      </c>
      <c r="C6002" t="s">
        <v>50</v>
      </c>
      <c r="D6002" t="s">
        <v>10444</v>
      </c>
      <c r="E6002" t="s">
        <v>809</v>
      </c>
      <c r="F6002" t="s">
        <v>99</v>
      </c>
      <c r="G6002" t="s">
        <v>3666</v>
      </c>
      <c r="H6002" t="str">
        <f>"ΚΕΡΚΥΡΑΣ 76 ΑΘΗΝΑ"</f>
        <v>ΚΕΡΚΥΡΑΣ 76 ΑΘΗΝΑ</v>
      </c>
      <c r="I6002">
        <v>11363</v>
      </c>
      <c r="J6002">
        <v>2108836678</v>
      </c>
      <c r="K6002">
        <v>6946330411</v>
      </c>
      <c r="N6002" t="s">
        <v>1525</v>
      </c>
      <c r="O6002" t="s">
        <v>1526</v>
      </c>
      <c r="R6002" t="s">
        <v>57</v>
      </c>
      <c r="S6002">
        <v>4</v>
      </c>
      <c r="T6002" t="s">
        <v>8670</v>
      </c>
      <c r="U6002" s="1">
        <v>43348</v>
      </c>
      <c r="V6002" t="s">
        <v>80</v>
      </c>
      <c r="W6002" t="s">
        <v>81</v>
      </c>
      <c r="X6002" t="s">
        <v>58</v>
      </c>
      <c r="Y6002">
        <v>25</v>
      </c>
      <c r="Z6002" t="s">
        <v>59</v>
      </c>
      <c r="AA6002" t="s">
        <v>59</v>
      </c>
      <c r="AB6002" t="s">
        <v>59</v>
      </c>
      <c r="AC6002" t="s">
        <v>59</v>
      </c>
      <c r="AD6002" t="s">
        <v>59</v>
      </c>
      <c r="AF6002" s="1">
        <v>43348</v>
      </c>
      <c r="AG6002" t="s">
        <v>8651</v>
      </c>
      <c r="AH6002" t="s">
        <v>8652</v>
      </c>
      <c r="AI6002" t="str">
        <f>"9170315"</f>
        <v>9170315</v>
      </c>
      <c r="AJ6002" t="s">
        <v>10445</v>
      </c>
      <c r="AK6002">
        <v>2893022742</v>
      </c>
      <c r="AL6002" t="s">
        <v>10446</v>
      </c>
      <c r="AM6002" t="s">
        <v>78</v>
      </c>
      <c r="AN6002" t="s">
        <v>424</v>
      </c>
      <c r="AO6002" t="s">
        <v>577</v>
      </c>
      <c r="AP6002" t="s">
        <v>10447</v>
      </c>
      <c r="AQ6002">
        <v>10</v>
      </c>
      <c r="AR6002" t="s">
        <v>80</v>
      </c>
      <c r="AS6002" t="s">
        <v>81</v>
      </c>
      <c r="AT6002" t="s">
        <v>58</v>
      </c>
      <c r="AU6002" t="s">
        <v>8673</v>
      </c>
      <c r="AV6002" t="s">
        <v>132</v>
      </c>
      <c r="AW6002" s="1">
        <v>30354</v>
      </c>
      <c r="AX6002">
        <v>1</v>
      </c>
    </row>
    <row r="6003" spans="1:50">
      <c r="B6003" t="str">
        <f>"132306428"</f>
        <v>132306428</v>
      </c>
      <c r="C6003" t="s">
        <v>50</v>
      </c>
      <c r="D6003" t="s">
        <v>2372</v>
      </c>
      <c r="E6003" t="s">
        <v>250</v>
      </c>
      <c r="F6003" t="s">
        <v>72</v>
      </c>
      <c r="G6003" t="s">
        <v>143</v>
      </c>
      <c r="H6003" t="str">
        <f>"ΑΣΚΛΗΠΙΟΥ 72 "</f>
        <v xml:space="preserve">ΑΣΚΛΗΠΙΟΥ 72 </v>
      </c>
      <c r="I6003">
        <v>18543</v>
      </c>
      <c r="J6003">
        <v>2810232564</v>
      </c>
      <c r="K6003">
        <v>6942640806</v>
      </c>
      <c r="N6003" t="s">
        <v>384</v>
      </c>
      <c r="O6003" t="s">
        <v>385</v>
      </c>
      <c r="R6003" t="s">
        <v>159</v>
      </c>
      <c r="S6003">
        <v>2</v>
      </c>
      <c r="T6003" t="s">
        <v>8675</v>
      </c>
      <c r="U6003" s="1">
        <v>43348</v>
      </c>
      <c r="V6003" t="s">
        <v>80</v>
      </c>
      <c r="W6003" t="s">
        <v>81</v>
      </c>
      <c r="X6003" t="s">
        <v>58</v>
      </c>
      <c r="Y6003">
        <v>24</v>
      </c>
      <c r="Z6003" t="s">
        <v>59</v>
      </c>
      <c r="AA6003" t="s">
        <v>59</v>
      </c>
      <c r="AB6003" t="s">
        <v>59</v>
      </c>
      <c r="AC6003" t="s">
        <v>59</v>
      </c>
      <c r="AD6003" t="s">
        <v>59</v>
      </c>
      <c r="AF6003" s="1">
        <v>43348</v>
      </c>
      <c r="AG6003" t="s">
        <v>8645</v>
      </c>
      <c r="AH6003" t="s">
        <v>8646</v>
      </c>
      <c r="AI6003" t="str">
        <f>"9170191"</f>
        <v>9170191</v>
      </c>
      <c r="AJ6003" t="s">
        <v>8667</v>
      </c>
      <c r="AK6003">
        <v>2810231459</v>
      </c>
      <c r="AL6003" t="s">
        <v>8668</v>
      </c>
      <c r="AM6003" t="s">
        <v>78</v>
      </c>
      <c r="AN6003" t="s">
        <v>78</v>
      </c>
      <c r="AO6003" t="s">
        <v>78</v>
      </c>
      <c r="AP6003" t="s">
        <v>163</v>
      </c>
      <c r="AQ6003">
        <v>1</v>
      </c>
      <c r="AR6003" t="s">
        <v>80</v>
      </c>
      <c r="AS6003" t="s">
        <v>81</v>
      </c>
      <c r="AT6003" t="s">
        <v>58</v>
      </c>
      <c r="AU6003" t="s">
        <v>8673</v>
      </c>
      <c r="AV6003" t="s">
        <v>132</v>
      </c>
      <c r="AW6003" s="1">
        <v>31311</v>
      </c>
      <c r="AX6003">
        <v>1</v>
      </c>
    </row>
    <row r="6004" spans="1:50">
      <c r="B6004" t="str">
        <f>"115631854"</f>
        <v>115631854</v>
      </c>
      <c r="C6004" t="s">
        <v>50</v>
      </c>
      <c r="D6004" t="s">
        <v>10448</v>
      </c>
      <c r="E6004" t="s">
        <v>620</v>
      </c>
      <c r="F6004" t="s">
        <v>900</v>
      </c>
      <c r="G6004" t="s">
        <v>83</v>
      </c>
      <c r="H6004" t="str">
        <f>" "</f>
        <v xml:space="preserve"> </v>
      </c>
      <c r="N6004" t="s">
        <v>683</v>
      </c>
      <c r="O6004" t="s">
        <v>684</v>
      </c>
      <c r="R6004" t="s">
        <v>121</v>
      </c>
      <c r="S6004">
        <v>1</v>
      </c>
      <c r="T6004" t="s">
        <v>8675</v>
      </c>
      <c r="U6004" s="1">
        <v>43348</v>
      </c>
      <c r="V6004" t="s">
        <v>80</v>
      </c>
      <c r="W6004" t="s">
        <v>81</v>
      </c>
      <c r="X6004" t="s">
        <v>58</v>
      </c>
      <c r="Y6004">
        <v>24</v>
      </c>
      <c r="Z6004" t="s">
        <v>59</v>
      </c>
      <c r="AA6004" t="s">
        <v>59</v>
      </c>
      <c r="AB6004" t="s">
        <v>59</v>
      </c>
      <c r="AD6004" t="s">
        <v>59</v>
      </c>
      <c r="AF6004" s="1">
        <v>43348</v>
      </c>
      <c r="AG6004" t="s">
        <v>8645</v>
      </c>
      <c r="AH6004" t="s">
        <v>8646</v>
      </c>
      <c r="AI6004" t="str">
        <f>"9170525"</f>
        <v>9170525</v>
      </c>
      <c r="AJ6004" t="s">
        <v>8853</v>
      </c>
      <c r="AK6004">
        <v>2810256547</v>
      </c>
      <c r="AL6004" t="s">
        <v>8854</v>
      </c>
      <c r="AM6004" t="s">
        <v>78</v>
      </c>
      <c r="AN6004" t="s">
        <v>78</v>
      </c>
      <c r="AO6004" t="s">
        <v>78</v>
      </c>
      <c r="AP6004" t="s">
        <v>141</v>
      </c>
      <c r="AQ6004">
        <v>1</v>
      </c>
      <c r="AR6004" t="s">
        <v>80</v>
      </c>
      <c r="AS6004" t="s">
        <v>81</v>
      </c>
      <c r="AT6004" t="s">
        <v>58</v>
      </c>
      <c r="AU6004" t="s">
        <v>8673</v>
      </c>
      <c r="AV6004" t="s">
        <v>132</v>
      </c>
      <c r="AW6004" s="1">
        <v>28682</v>
      </c>
      <c r="AX6004">
        <v>1</v>
      </c>
    </row>
    <row r="6005" spans="1:50">
      <c r="A6005">
        <v>589210</v>
      </c>
      <c r="B6005" t="str">
        <f>"064228308"</f>
        <v>064228308</v>
      </c>
      <c r="C6005" t="s">
        <v>50</v>
      </c>
      <c r="D6005" t="s">
        <v>2376</v>
      </c>
      <c r="E6005" t="s">
        <v>181</v>
      </c>
      <c r="F6005" t="s">
        <v>2227</v>
      </c>
      <c r="G6005" t="s">
        <v>52</v>
      </c>
      <c r="H6005" t="str">
        <f>"ΠΑΝΤΖΕΛΙΟΥ 5 ΗΡΑΚΛΕΙΟ"</f>
        <v>ΠΑΝΤΖΕΛΙΟΥ 5 ΗΡΑΚΛΕΙΟ</v>
      </c>
      <c r="I6005">
        <v>71305</v>
      </c>
      <c r="J6005">
        <v>2810262087</v>
      </c>
      <c r="N6005" t="s">
        <v>615</v>
      </c>
      <c r="O6005" t="s">
        <v>616</v>
      </c>
      <c r="R6005" t="s">
        <v>57</v>
      </c>
      <c r="S6005">
        <v>11</v>
      </c>
      <c r="T6005">
        <v>176</v>
      </c>
      <c r="U6005" s="1">
        <v>36403</v>
      </c>
      <c r="V6005" t="s">
        <v>80</v>
      </c>
      <c r="W6005" t="s">
        <v>81</v>
      </c>
      <c r="X6005" t="s">
        <v>58</v>
      </c>
      <c r="Y6005">
        <v>21</v>
      </c>
      <c r="Z6005" t="s">
        <v>59</v>
      </c>
      <c r="AA6005" t="s">
        <v>59</v>
      </c>
      <c r="AB6005" t="s">
        <v>59</v>
      </c>
      <c r="AC6005" t="s">
        <v>59</v>
      </c>
      <c r="AD6005" t="s">
        <v>59</v>
      </c>
      <c r="AF6005" s="1">
        <v>36404</v>
      </c>
      <c r="AG6005" t="s">
        <v>8645</v>
      </c>
      <c r="AH6005" t="s">
        <v>8646</v>
      </c>
      <c r="AI6005" t="str">
        <f>"9521092"</f>
        <v>9521092</v>
      </c>
      <c r="AJ6005" t="s">
        <v>9234</v>
      </c>
      <c r="AK6005">
        <v>2810313321</v>
      </c>
      <c r="AL6005" t="s">
        <v>9235</v>
      </c>
      <c r="AM6005" t="s">
        <v>78</v>
      </c>
      <c r="AN6005" t="s">
        <v>78</v>
      </c>
      <c r="AO6005" t="s">
        <v>78</v>
      </c>
      <c r="AP6005" t="s">
        <v>141</v>
      </c>
      <c r="AQ6005">
        <v>1</v>
      </c>
      <c r="AR6005" t="s">
        <v>80</v>
      </c>
      <c r="AS6005" t="s">
        <v>81</v>
      </c>
      <c r="AT6005" t="s">
        <v>58</v>
      </c>
      <c r="AU6005" t="s">
        <v>68</v>
      </c>
      <c r="AV6005" t="s">
        <v>69</v>
      </c>
      <c r="AW6005" s="1">
        <v>24928</v>
      </c>
      <c r="AX6005">
        <v>1</v>
      </c>
    </row>
    <row r="6006" spans="1:50">
      <c r="A6006">
        <v>613216</v>
      </c>
      <c r="B6006" t="str">
        <f>"110712120"</f>
        <v>110712120</v>
      </c>
      <c r="C6006" t="s">
        <v>50</v>
      </c>
      <c r="D6006" t="s">
        <v>10449</v>
      </c>
      <c r="E6006" t="s">
        <v>255</v>
      </c>
      <c r="F6006" t="s">
        <v>760</v>
      </c>
      <c r="G6006" t="s">
        <v>52</v>
      </c>
      <c r="H6006" t="str">
        <f>"ΠΟΣΕΙΔΩΝΟΣ 15 ΓΑΖΙ"</f>
        <v>ΠΟΣΕΙΔΩΝΟΣ 15 ΓΑΖΙ</v>
      </c>
      <c r="I6006">
        <v>71414</v>
      </c>
      <c r="J6006">
        <v>2810319661</v>
      </c>
      <c r="K6006">
        <v>6972339387</v>
      </c>
      <c r="N6006" t="s">
        <v>615</v>
      </c>
      <c r="O6006" t="s">
        <v>616</v>
      </c>
      <c r="R6006" t="s">
        <v>57</v>
      </c>
      <c r="S6006">
        <v>10</v>
      </c>
      <c r="T6006">
        <v>598</v>
      </c>
      <c r="U6006" s="1">
        <v>39310</v>
      </c>
      <c r="V6006" t="s">
        <v>80</v>
      </c>
      <c r="W6006" t="s">
        <v>81</v>
      </c>
      <c r="X6006" t="s">
        <v>58</v>
      </c>
      <c r="Y6006">
        <v>23</v>
      </c>
      <c r="Z6006" t="s">
        <v>59</v>
      </c>
      <c r="AA6006" t="s">
        <v>59</v>
      </c>
      <c r="AB6006" t="s">
        <v>59</v>
      </c>
      <c r="AC6006" t="s">
        <v>59</v>
      </c>
      <c r="AD6006" t="s">
        <v>59</v>
      </c>
      <c r="AF6006" s="1">
        <v>39328</v>
      </c>
      <c r="AG6006" t="s">
        <v>8645</v>
      </c>
      <c r="AH6006" t="s">
        <v>8646</v>
      </c>
      <c r="AI6006" t="str">
        <f>"9170362"</f>
        <v>9170362</v>
      </c>
      <c r="AJ6006" t="s">
        <v>8681</v>
      </c>
      <c r="AK6006">
        <v>2810255261</v>
      </c>
      <c r="AL6006" t="s">
        <v>8682</v>
      </c>
      <c r="AM6006" t="s">
        <v>78</v>
      </c>
      <c r="AN6006" t="s">
        <v>78</v>
      </c>
      <c r="AO6006" t="s">
        <v>78</v>
      </c>
      <c r="AP6006" t="s">
        <v>141</v>
      </c>
      <c r="AQ6006">
        <v>1</v>
      </c>
      <c r="AR6006" t="s">
        <v>80</v>
      </c>
      <c r="AS6006" t="s">
        <v>81</v>
      </c>
      <c r="AT6006" t="s">
        <v>58</v>
      </c>
      <c r="AU6006" t="s">
        <v>68</v>
      </c>
      <c r="AV6006" t="s">
        <v>69</v>
      </c>
      <c r="AW6006" s="1">
        <v>27045</v>
      </c>
      <c r="AX6006">
        <v>1</v>
      </c>
    </row>
    <row r="6007" spans="1:50">
      <c r="A6007">
        <v>216117</v>
      </c>
      <c r="B6007" t="str">
        <f>"100126750"</f>
        <v>100126750</v>
      </c>
      <c r="C6007" t="s">
        <v>50</v>
      </c>
      <c r="D6007" t="s">
        <v>10450</v>
      </c>
      <c r="E6007" t="s">
        <v>473</v>
      </c>
      <c r="F6007" t="s">
        <v>95</v>
      </c>
      <c r="G6007" t="s">
        <v>215</v>
      </c>
      <c r="H6007" t="str">
        <f>"Αναγεννήσεως 17 Ν. Αλικαρνασσού"</f>
        <v>Αναγεννήσεως 17 Ν. Αλικαρνασσού</v>
      </c>
      <c r="I6007">
        <v>71601</v>
      </c>
      <c r="J6007">
        <v>2811756443</v>
      </c>
      <c r="K6007">
        <v>6972539134</v>
      </c>
      <c r="M6007" t="s">
        <v>10451</v>
      </c>
      <c r="N6007" t="s">
        <v>615</v>
      </c>
      <c r="O6007" t="s">
        <v>616</v>
      </c>
      <c r="R6007" t="s">
        <v>57</v>
      </c>
      <c r="S6007">
        <v>6</v>
      </c>
      <c r="T6007">
        <v>232</v>
      </c>
      <c r="U6007" s="1">
        <v>38960</v>
      </c>
      <c r="V6007" t="s">
        <v>80</v>
      </c>
      <c r="W6007" t="s">
        <v>81</v>
      </c>
      <c r="X6007" t="s">
        <v>58</v>
      </c>
      <c r="Y6007">
        <v>23</v>
      </c>
      <c r="Z6007" t="s">
        <v>59</v>
      </c>
      <c r="AA6007" t="s">
        <v>59</v>
      </c>
      <c r="AB6007" t="s">
        <v>59</v>
      </c>
      <c r="AC6007" t="s">
        <v>59</v>
      </c>
      <c r="AD6007" t="s">
        <v>59</v>
      </c>
      <c r="AF6007" s="1">
        <v>38964</v>
      </c>
      <c r="AG6007" t="s">
        <v>8645</v>
      </c>
      <c r="AH6007" t="s">
        <v>8646</v>
      </c>
      <c r="AI6007" t="str">
        <f>"9170262"</f>
        <v>9170262</v>
      </c>
      <c r="AJ6007" t="s">
        <v>9224</v>
      </c>
      <c r="AK6007">
        <v>2810245912</v>
      </c>
      <c r="AL6007" t="s">
        <v>9225</v>
      </c>
      <c r="AM6007" t="s">
        <v>78</v>
      </c>
      <c r="AN6007" t="s">
        <v>78</v>
      </c>
      <c r="AO6007" t="s">
        <v>286</v>
      </c>
      <c r="AP6007" t="s">
        <v>286</v>
      </c>
      <c r="AQ6007">
        <v>1</v>
      </c>
      <c r="AR6007" t="s">
        <v>80</v>
      </c>
      <c r="AS6007" t="s">
        <v>81</v>
      </c>
      <c r="AT6007" t="s">
        <v>58</v>
      </c>
      <c r="AU6007" t="s">
        <v>68</v>
      </c>
      <c r="AV6007" t="s">
        <v>69</v>
      </c>
      <c r="AW6007" s="1">
        <v>30237</v>
      </c>
      <c r="AX6007">
        <v>1</v>
      </c>
    </row>
    <row r="6008" spans="1:50">
      <c r="A6008">
        <v>622726</v>
      </c>
      <c r="B6008" t="str">
        <f>"132965735"</f>
        <v>132965735</v>
      </c>
      <c r="C6008" t="s">
        <v>50</v>
      </c>
      <c r="D6008" t="s">
        <v>2383</v>
      </c>
      <c r="E6008" t="s">
        <v>83</v>
      </c>
      <c r="F6008" t="s">
        <v>84</v>
      </c>
      <c r="G6008" t="s">
        <v>263</v>
      </c>
      <c r="H6008" t="str">
        <f>"Ι.ΑΘΗΤΑΚΗ    28 ΗΡΑΚΛΕΙΟ"</f>
        <v>Ι.ΑΘΗΤΑΚΗ    28 ΗΡΑΚΛΕΙΟ</v>
      </c>
      <c r="I6008">
        <v>71410</v>
      </c>
      <c r="J6008">
        <v>2810370525</v>
      </c>
      <c r="K6008">
        <v>6934898304</v>
      </c>
      <c r="N6008" t="s">
        <v>1525</v>
      </c>
      <c r="O6008" t="s">
        <v>1526</v>
      </c>
      <c r="R6008" t="s">
        <v>57</v>
      </c>
      <c r="S6008">
        <v>4</v>
      </c>
      <c r="T6008">
        <v>653</v>
      </c>
      <c r="U6008" s="1">
        <v>40043</v>
      </c>
      <c r="V6008" t="s">
        <v>80</v>
      </c>
      <c r="W6008" t="s">
        <v>81</v>
      </c>
      <c r="X6008" t="s">
        <v>58</v>
      </c>
      <c r="Y6008">
        <v>25</v>
      </c>
      <c r="Z6008" t="s">
        <v>59</v>
      </c>
      <c r="AA6008" t="s">
        <v>59</v>
      </c>
      <c r="AB6008" t="s">
        <v>59</v>
      </c>
      <c r="AC6008" t="s">
        <v>59</v>
      </c>
      <c r="AD6008" t="s">
        <v>59</v>
      </c>
      <c r="AF6008" s="1">
        <v>40057</v>
      </c>
      <c r="AG6008" t="s">
        <v>8651</v>
      </c>
      <c r="AH6008" t="s">
        <v>8652</v>
      </c>
      <c r="AI6008" t="str">
        <f>"9170569"</f>
        <v>9170569</v>
      </c>
      <c r="AJ6008" t="s">
        <v>10452</v>
      </c>
      <c r="AK6008">
        <v>2810310767</v>
      </c>
      <c r="AL6008" t="s">
        <v>10453</v>
      </c>
      <c r="AM6008" t="s">
        <v>78</v>
      </c>
      <c r="AN6008" t="s">
        <v>78</v>
      </c>
      <c r="AO6008" t="s">
        <v>78</v>
      </c>
      <c r="AP6008" t="s">
        <v>141</v>
      </c>
      <c r="AQ6008">
        <v>1</v>
      </c>
      <c r="AR6008" t="s">
        <v>80</v>
      </c>
      <c r="AS6008" t="s">
        <v>81</v>
      </c>
      <c r="AT6008" t="s">
        <v>58</v>
      </c>
      <c r="AU6008" t="s">
        <v>68</v>
      </c>
      <c r="AV6008" t="s">
        <v>69</v>
      </c>
      <c r="AW6008" s="1">
        <v>29120</v>
      </c>
      <c r="AX6008">
        <v>1</v>
      </c>
    </row>
    <row r="6009" spans="1:50">
      <c r="A6009">
        <v>581061</v>
      </c>
      <c r="B6009" t="str">
        <f>"051586633"</f>
        <v>051586633</v>
      </c>
      <c r="C6009" t="s">
        <v>50</v>
      </c>
      <c r="D6009" t="s">
        <v>2383</v>
      </c>
      <c r="E6009" t="s">
        <v>255</v>
      </c>
      <c r="F6009" t="s">
        <v>95</v>
      </c>
      <c r="G6009" t="s">
        <v>1108</v>
      </c>
      <c r="H6009" t="str">
        <f>"ΗΛΙΟΥ 11 ΗΡΑΚΛΕΙΟ"</f>
        <v>ΗΛΙΟΥ 11 ΗΡΑΚΛΕΙΟ</v>
      </c>
      <c r="I6009">
        <v>71414</v>
      </c>
      <c r="J6009">
        <v>2810822387</v>
      </c>
      <c r="K6009">
        <v>6973942028</v>
      </c>
      <c r="N6009" t="s">
        <v>615</v>
      </c>
      <c r="O6009" t="s">
        <v>616</v>
      </c>
      <c r="R6009" t="s">
        <v>57</v>
      </c>
      <c r="S6009">
        <v>13</v>
      </c>
      <c r="T6009">
        <v>179</v>
      </c>
      <c r="U6009" s="1">
        <v>35674</v>
      </c>
      <c r="V6009" t="s">
        <v>80</v>
      </c>
      <c r="W6009" t="s">
        <v>81</v>
      </c>
      <c r="X6009" t="s">
        <v>58</v>
      </c>
      <c r="Y6009">
        <v>21</v>
      </c>
      <c r="Z6009" t="s">
        <v>59</v>
      </c>
      <c r="AA6009" t="s">
        <v>59</v>
      </c>
      <c r="AB6009" t="s">
        <v>59</v>
      </c>
      <c r="AC6009" t="s">
        <v>59</v>
      </c>
      <c r="AD6009" t="s">
        <v>59</v>
      </c>
      <c r="AF6009" s="1">
        <v>35675</v>
      </c>
      <c r="AG6009" t="s">
        <v>8645</v>
      </c>
      <c r="AH6009" t="s">
        <v>8646</v>
      </c>
      <c r="AI6009" t="str">
        <f>"9170018"</f>
        <v>9170018</v>
      </c>
      <c r="AJ6009" t="s">
        <v>8924</v>
      </c>
      <c r="AK6009">
        <v>2810821217</v>
      </c>
      <c r="AL6009" t="s">
        <v>8925</v>
      </c>
      <c r="AM6009" t="s">
        <v>78</v>
      </c>
      <c r="AN6009" t="s">
        <v>129</v>
      </c>
      <c r="AO6009" t="s">
        <v>130</v>
      </c>
      <c r="AP6009" t="s">
        <v>130</v>
      </c>
      <c r="AQ6009">
        <v>1</v>
      </c>
      <c r="AR6009" t="s">
        <v>80</v>
      </c>
      <c r="AS6009" t="s">
        <v>81</v>
      </c>
      <c r="AT6009" t="s">
        <v>58</v>
      </c>
      <c r="AU6009" t="s">
        <v>68</v>
      </c>
      <c r="AV6009" t="s">
        <v>2039</v>
      </c>
      <c r="AW6009" s="1">
        <v>24520</v>
      </c>
      <c r="AX6009">
        <v>1</v>
      </c>
    </row>
    <row r="6010" spans="1:50">
      <c r="A6010">
        <v>605458</v>
      </c>
      <c r="B6010" t="str">
        <f>"078304185"</f>
        <v>078304185</v>
      </c>
      <c r="C6010" t="s">
        <v>50</v>
      </c>
      <c r="D6010" t="s">
        <v>2383</v>
      </c>
      <c r="E6010" t="s">
        <v>52</v>
      </c>
      <c r="F6010" t="s">
        <v>95</v>
      </c>
      <c r="G6010" t="s">
        <v>1019</v>
      </c>
      <c r="H6010" t="str">
        <f>"ΡΕΠΟΥΛΗ 4 ΗΡΑΚΛΕΙΟ"</f>
        <v>ΡΕΠΟΥΛΗ 4 ΗΡΑΚΛΕΙΟ</v>
      </c>
      <c r="I6010">
        <v>71304</v>
      </c>
      <c r="J6010">
        <v>2810256987</v>
      </c>
      <c r="K6010">
        <v>6975875308</v>
      </c>
      <c r="N6010" t="s">
        <v>615</v>
      </c>
      <c r="O6010" t="s">
        <v>616</v>
      </c>
      <c r="R6010" t="s">
        <v>57</v>
      </c>
      <c r="S6010">
        <v>9</v>
      </c>
      <c r="T6010">
        <v>231</v>
      </c>
      <c r="U6010" s="1">
        <v>38230</v>
      </c>
      <c r="V6010" t="s">
        <v>80</v>
      </c>
      <c r="W6010" t="s">
        <v>81</v>
      </c>
      <c r="X6010" t="s">
        <v>58</v>
      </c>
      <c r="Y6010">
        <v>22</v>
      </c>
      <c r="Z6010" t="s">
        <v>59</v>
      </c>
      <c r="AA6010" t="s">
        <v>59</v>
      </c>
      <c r="AB6010" t="s">
        <v>59</v>
      </c>
      <c r="AC6010" t="s">
        <v>59</v>
      </c>
      <c r="AD6010" t="s">
        <v>59</v>
      </c>
      <c r="AF6010" s="1">
        <v>38231</v>
      </c>
      <c r="AG6010" t="s">
        <v>8645</v>
      </c>
      <c r="AH6010" t="s">
        <v>8646</v>
      </c>
      <c r="AI6010" t="str">
        <f>"9170575"</f>
        <v>9170575</v>
      </c>
      <c r="AJ6010" t="s">
        <v>8748</v>
      </c>
      <c r="AK6010">
        <v>2810260772</v>
      </c>
      <c r="AL6010" t="s">
        <v>8749</v>
      </c>
      <c r="AM6010" t="s">
        <v>78</v>
      </c>
      <c r="AN6010" t="s">
        <v>78</v>
      </c>
      <c r="AO6010" t="s">
        <v>78</v>
      </c>
      <c r="AP6010" t="s">
        <v>141</v>
      </c>
      <c r="AQ6010">
        <v>1</v>
      </c>
      <c r="AR6010" t="s">
        <v>80</v>
      </c>
      <c r="AS6010" t="s">
        <v>81</v>
      </c>
      <c r="AT6010" t="s">
        <v>58</v>
      </c>
      <c r="AU6010" t="s">
        <v>68</v>
      </c>
      <c r="AV6010" t="s">
        <v>69</v>
      </c>
      <c r="AW6010" s="1">
        <v>27854</v>
      </c>
      <c r="AX6010">
        <v>1</v>
      </c>
    </row>
    <row r="6011" spans="1:50">
      <c r="A6011">
        <v>597111</v>
      </c>
      <c r="B6011" t="str">
        <f>"061740520"</f>
        <v>061740520</v>
      </c>
      <c r="C6011" t="s">
        <v>50</v>
      </c>
      <c r="D6011" t="s">
        <v>10454</v>
      </c>
      <c r="E6011" t="s">
        <v>1157</v>
      </c>
      <c r="F6011" t="s">
        <v>72</v>
      </c>
      <c r="G6011" t="s">
        <v>2127</v>
      </c>
      <c r="H6011" t="str">
        <f>"ΙΩΑΝΝΗ ΔΙΑΚΙΔΗ 254 ΠΕΡΙΒΟΛΑ ΠΑΤΡΩΝ"</f>
        <v>ΙΩΑΝΝΗ ΔΙΑΚΙΔΗ 254 ΠΕΡΙΒΟΛΑ ΠΑΤΡΩΝ</v>
      </c>
      <c r="I6011">
        <v>26335</v>
      </c>
      <c r="K6011">
        <v>6971543856</v>
      </c>
      <c r="N6011" t="s">
        <v>1525</v>
      </c>
      <c r="O6011" t="s">
        <v>1526</v>
      </c>
      <c r="R6011" t="s">
        <v>57</v>
      </c>
      <c r="S6011">
        <v>9</v>
      </c>
      <c r="T6011">
        <v>195</v>
      </c>
      <c r="U6011" s="1">
        <v>37497</v>
      </c>
      <c r="V6011" t="s">
        <v>80</v>
      </c>
      <c r="W6011" t="s">
        <v>81</v>
      </c>
      <c r="X6011" t="s">
        <v>58</v>
      </c>
      <c r="Y6011">
        <v>25</v>
      </c>
      <c r="Z6011" t="s">
        <v>59</v>
      </c>
      <c r="AA6011" t="s">
        <v>59</v>
      </c>
      <c r="AB6011" t="s">
        <v>59</v>
      </c>
      <c r="AC6011" t="s">
        <v>59</v>
      </c>
      <c r="AD6011" t="s">
        <v>59</v>
      </c>
      <c r="AF6011" s="1">
        <v>37501</v>
      </c>
      <c r="AG6011" t="s">
        <v>8651</v>
      </c>
      <c r="AH6011" t="s">
        <v>8652</v>
      </c>
      <c r="AI6011" t="str">
        <f>"9170522"</f>
        <v>9170522</v>
      </c>
      <c r="AJ6011" t="s">
        <v>10455</v>
      </c>
      <c r="AK6011">
        <v>2810211038</v>
      </c>
      <c r="AL6011" t="s">
        <v>10456</v>
      </c>
      <c r="AM6011" t="s">
        <v>78</v>
      </c>
      <c r="AN6011" t="s">
        <v>78</v>
      </c>
      <c r="AO6011" t="s">
        <v>78</v>
      </c>
      <c r="AP6011" t="s">
        <v>163</v>
      </c>
      <c r="AQ6011">
        <v>1</v>
      </c>
      <c r="AR6011" t="s">
        <v>80</v>
      </c>
      <c r="AS6011" t="s">
        <v>81</v>
      </c>
      <c r="AT6011" t="s">
        <v>58</v>
      </c>
      <c r="AU6011" t="s">
        <v>68</v>
      </c>
      <c r="AV6011" t="s">
        <v>69</v>
      </c>
      <c r="AW6011" s="1">
        <v>26136</v>
      </c>
      <c r="AX6011">
        <v>1</v>
      </c>
    </row>
    <row r="6012" spans="1:50">
      <c r="B6012" t="str">
        <f>"110902541"</f>
        <v>110902541</v>
      </c>
      <c r="C6012" t="s">
        <v>50</v>
      </c>
      <c r="D6012" t="s">
        <v>10457</v>
      </c>
      <c r="E6012" t="s">
        <v>263</v>
      </c>
      <c r="F6012" t="s">
        <v>95</v>
      </c>
      <c r="G6012" t="s">
        <v>1553</v>
      </c>
      <c r="H6012" t="str">
        <f>"- ΛΙΒΑΝΑΤΕΣ"</f>
        <v>- ΛΙΒΑΝΑΤΕΣ</v>
      </c>
      <c r="I6012">
        <v>35007</v>
      </c>
      <c r="J6012">
        <v>2233031091</v>
      </c>
      <c r="K6012">
        <v>6974434672</v>
      </c>
      <c r="N6012" t="s">
        <v>176</v>
      </c>
      <c r="O6012" t="s">
        <v>177</v>
      </c>
      <c r="R6012" t="s">
        <v>159</v>
      </c>
      <c r="S6012">
        <v>3</v>
      </c>
      <c r="T6012" t="s">
        <v>8675</v>
      </c>
      <c r="U6012" s="1">
        <v>43348</v>
      </c>
      <c r="V6012" t="s">
        <v>80</v>
      </c>
      <c r="W6012" t="s">
        <v>81</v>
      </c>
      <c r="X6012" t="s">
        <v>58</v>
      </c>
      <c r="Y6012">
        <v>24</v>
      </c>
      <c r="Z6012" t="s">
        <v>59</v>
      </c>
      <c r="AA6012" t="s">
        <v>59</v>
      </c>
      <c r="AB6012" t="s">
        <v>59</v>
      </c>
      <c r="AC6012" t="s">
        <v>59</v>
      </c>
      <c r="AD6012" t="s">
        <v>59</v>
      </c>
      <c r="AF6012" s="1">
        <v>43348</v>
      </c>
      <c r="AG6012" t="s">
        <v>8645</v>
      </c>
      <c r="AH6012" t="s">
        <v>8646</v>
      </c>
      <c r="AI6012" t="str">
        <f>"9170431"</f>
        <v>9170431</v>
      </c>
      <c r="AJ6012" t="s">
        <v>8658</v>
      </c>
      <c r="AK6012">
        <v>2810250952</v>
      </c>
      <c r="AL6012" t="s">
        <v>8659</v>
      </c>
      <c r="AM6012" t="s">
        <v>78</v>
      </c>
      <c r="AN6012" t="s">
        <v>78</v>
      </c>
      <c r="AO6012" t="s">
        <v>78</v>
      </c>
      <c r="AP6012" t="s">
        <v>141</v>
      </c>
      <c r="AQ6012">
        <v>1</v>
      </c>
      <c r="AR6012" t="s">
        <v>80</v>
      </c>
      <c r="AS6012" t="s">
        <v>81</v>
      </c>
      <c r="AT6012" t="s">
        <v>58</v>
      </c>
      <c r="AU6012" t="s">
        <v>8673</v>
      </c>
      <c r="AV6012" t="s">
        <v>132</v>
      </c>
      <c r="AW6012" s="1">
        <v>26675</v>
      </c>
      <c r="AX6012">
        <v>1</v>
      </c>
    </row>
    <row r="6013" spans="1:50">
      <c r="A6013">
        <v>588060</v>
      </c>
      <c r="B6013" t="str">
        <f>"054165499"</f>
        <v>054165499</v>
      </c>
      <c r="C6013" t="s">
        <v>50</v>
      </c>
      <c r="D6013" t="s">
        <v>10457</v>
      </c>
      <c r="E6013" t="s">
        <v>109</v>
      </c>
      <c r="F6013" t="s">
        <v>92</v>
      </c>
      <c r="G6013" t="s">
        <v>1694</v>
      </c>
      <c r="H6013" t="str">
        <f>"Ν. ΣΟΥΚΑΤΖΙΔΗ 14 ΗΡΑΚΛΕΙΟ"</f>
        <v>Ν. ΣΟΥΚΑΤΖΙΔΗ 14 ΗΡΑΚΛΕΙΟ</v>
      </c>
      <c r="I6013">
        <v>71305</v>
      </c>
      <c r="J6013">
        <v>2810315490</v>
      </c>
      <c r="K6013">
        <v>6974007230</v>
      </c>
      <c r="N6013" t="s">
        <v>1525</v>
      </c>
      <c r="O6013" t="s">
        <v>1526</v>
      </c>
      <c r="R6013" t="s">
        <v>57</v>
      </c>
      <c r="S6013">
        <v>9</v>
      </c>
      <c r="T6013">
        <v>250</v>
      </c>
      <c r="U6013" s="1">
        <v>36160</v>
      </c>
      <c r="V6013" t="s">
        <v>80</v>
      </c>
      <c r="W6013" t="s">
        <v>81</v>
      </c>
      <c r="X6013" t="s">
        <v>58</v>
      </c>
      <c r="Y6013">
        <v>25</v>
      </c>
      <c r="Z6013" t="s">
        <v>59</v>
      </c>
      <c r="AA6013" t="s">
        <v>59</v>
      </c>
      <c r="AB6013" t="s">
        <v>59</v>
      </c>
      <c r="AC6013" t="s">
        <v>59</v>
      </c>
      <c r="AD6013" t="s">
        <v>59</v>
      </c>
      <c r="AF6013" s="1">
        <v>36171</v>
      </c>
      <c r="AG6013" t="s">
        <v>8651</v>
      </c>
      <c r="AH6013" t="s">
        <v>8652</v>
      </c>
      <c r="AI6013" t="str">
        <f>"9170507"</f>
        <v>9170507</v>
      </c>
      <c r="AJ6013" t="s">
        <v>9081</v>
      </c>
      <c r="AK6013">
        <v>2810236132</v>
      </c>
      <c r="AL6013" t="s">
        <v>9082</v>
      </c>
      <c r="AM6013" t="s">
        <v>78</v>
      </c>
      <c r="AN6013" t="s">
        <v>78</v>
      </c>
      <c r="AO6013" t="s">
        <v>78</v>
      </c>
      <c r="AP6013" t="s">
        <v>79</v>
      </c>
      <c r="AQ6013">
        <v>1</v>
      </c>
      <c r="AR6013" t="s">
        <v>80</v>
      </c>
      <c r="AS6013" t="s">
        <v>81</v>
      </c>
      <c r="AT6013" t="s">
        <v>58</v>
      </c>
      <c r="AU6013" t="s">
        <v>68</v>
      </c>
      <c r="AV6013" t="s">
        <v>69</v>
      </c>
      <c r="AW6013" s="1">
        <v>26179</v>
      </c>
      <c r="AX6013">
        <v>1</v>
      </c>
    </row>
    <row r="6014" spans="1:50">
      <c r="A6014">
        <v>609692</v>
      </c>
      <c r="B6014" t="str">
        <f>"038482493"</f>
        <v>038482493</v>
      </c>
      <c r="C6014" t="s">
        <v>50</v>
      </c>
      <c r="D6014" t="s">
        <v>10458</v>
      </c>
      <c r="E6014" t="s">
        <v>255</v>
      </c>
      <c r="F6014" t="s">
        <v>309</v>
      </c>
      <c r="G6014" t="s">
        <v>10459</v>
      </c>
      <c r="H6014" t="str">
        <f>"ΒΟΣΠΟΡΟΥ 7, ΑΝΑΤΟΛΗ ΙΩΑΝΝΙΝΑ"</f>
        <v>ΒΟΣΠΟΡΟΥ 7, ΑΝΑΤΟΛΗ ΙΩΑΝΝΙΝΑ</v>
      </c>
      <c r="I6014">
        <v>45221</v>
      </c>
      <c r="J6014">
        <v>2651003660</v>
      </c>
      <c r="K6014">
        <v>6942239231</v>
      </c>
      <c r="N6014" t="s">
        <v>176</v>
      </c>
      <c r="O6014" t="s">
        <v>177</v>
      </c>
      <c r="R6014" t="s">
        <v>57</v>
      </c>
      <c r="S6014">
        <v>9</v>
      </c>
      <c r="T6014" t="s">
        <v>10460</v>
      </c>
      <c r="U6014" s="1">
        <v>38604</v>
      </c>
      <c r="V6014" t="s">
        <v>80</v>
      </c>
      <c r="W6014" t="s">
        <v>81</v>
      </c>
      <c r="X6014" t="s">
        <v>58</v>
      </c>
      <c r="Y6014">
        <v>22</v>
      </c>
      <c r="Z6014" t="s">
        <v>59</v>
      </c>
      <c r="AA6014" t="s">
        <v>59</v>
      </c>
      <c r="AB6014" t="s">
        <v>59</v>
      </c>
      <c r="AC6014" t="s">
        <v>59</v>
      </c>
      <c r="AD6014" t="s">
        <v>59</v>
      </c>
      <c r="AF6014" s="1">
        <v>38608</v>
      </c>
      <c r="AG6014" t="s">
        <v>8645</v>
      </c>
      <c r="AH6014" t="s">
        <v>8646</v>
      </c>
      <c r="AI6014" t="str">
        <f>"9170194"</f>
        <v>9170194</v>
      </c>
      <c r="AJ6014" t="s">
        <v>8768</v>
      </c>
      <c r="AK6014">
        <v>2810239611</v>
      </c>
      <c r="AL6014" t="s">
        <v>8769</v>
      </c>
      <c r="AM6014" t="s">
        <v>78</v>
      </c>
      <c r="AN6014" t="s">
        <v>78</v>
      </c>
      <c r="AO6014" t="s">
        <v>78</v>
      </c>
      <c r="AP6014" t="s">
        <v>213</v>
      </c>
      <c r="AQ6014">
        <v>1</v>
      </c>
      <c r="AR6014" t="s">
        <v>80</v>
      </c>
      <c r="AS6014" t="s">
        <v>81</v>
      </c>
      <c r="AT6014" t="s">
        <v>58</v>
      </c>
      <c r="AU6014" t="s">
        <v>68</v>
      </c>
      <c r="AV6014" t="s">
        <v>69</v>
      </c>
      <c r="AW6014" s="1">
        <v>24165</v>
      </c>
      <c r="AX6014">
        <v>1</v>
      </c>
    </row>
    <row r="6015" spans="1:50">
      <c r="A6015">
        <v>174447</v>
      </c>
      <c r="B6015" t="str">
        <f>"038779043"</f>
        <v>038779043</v>
      </c>
      <c r="C6015" t="s">
        <v>50</v>
      </c>
      <c r="D6015" t="s">
        <v>2385</v>
      </c>
      <c r="E6015" t="s">
        <v>513</v>
      </c>
      <c r="F6015" t="s">
        <v>53</v>
      </c>
      <c r="G6015" t="s">
        <v>52</v>
      </c>
      <c r="H6015" t="str">
        <f>" "</f>
        <v xml:space="preserve"> </v>
      </c>
      <c r="N6015" t="s">
        <v>615</v>
      </c>
      <c r="O6015" t="s">
        <v>616</v>
      </c>
      <c r="R6015" t="s">
        <v>57</v>
      </c>
      <c r="S6015">
        <v>12</v>
      </c>
      <c r="T6015">
        <v>166</v>
      </c>
      <c r="U6015" s="1">
        <v>35300</v>
      </c>
      <c r="V6015" t="s">
        <v>80</v>
      </c>
      <c r="W6015" t="s">
        <v>81</v>
      </c>
      <c r="X6015" t="s">
        <v>58</v>
      </c>
      <c r="Y6015">
        <v>21</v>
      </c>
      <c r="Z6015" t="s">
        <v>59</v>
      </c>
      <c r="AA6015" t="s">
        <v>59</v>
      </c>
      <c r="AB6015" t="s">
        <v>59</v>
      </c>
      <c r="AC6015" t="s">
        <v>59</v>
      </c>
      <c r="AD6015" t="s">
        <v>59</v>
      </c>
      <c r="AF6015" s="1">
        <v>35310</v>
      </c>
      <c r="AG6015" t="s">
        <v>8645</v>
      </c>
      <c r="AH6015" t="s">
        <v>8646</v>
      </c>
      <c r="AI6015" t="str">
        <f>"9170097"</f>
        <v>9170097</v>
      </c>
      <c r="AJ6015" t="s">
        <v>8826</v>
      </c>
      <c r="AK6015">
        <v>2810751807</v>
      </c>
      <c r="AL6015" t="s">
        <v>8827</v>
      </c>
      <c r="AM6015" t="s">
        <v>78</v>
      </c>
      <c r="AN6015" t="s">
        <v>424</v>
      </c>
      <c r="AO6015" t="s">
        <v>425</v>
      </c>
      <c r="AP6015" t="s">
        <v>425</v>
      </c>
      <c r="AQ6015">
        <v>11</v>
      </c>
      <c r="AR6015" t="s">
        <v>80</v>
      </c>
      <c r="AS6015" t="s">
        <v>81</v>
      </c>
      <c r="AT6015" t="s">
        <v>58</v>
      </c>
      <c r="AU6015" t="s">
        <v>68</v>
      </c>
      <c r="AV6015" t="s">
        <v>69</v>
      </c>
      <c r="AW6015" s="1">
        <v>23089</v>
      </c>
      <c r="AX6015">
        <v>1</v>
      </c>
    </row>
    <row r="6016" spans="1:50">
      <c r="A6016">
        <v>598936</v>
      </c>
      <c r="B6016" t="str">
        <f>"027572500"</f>
        <v>027572500</v>
      </c>
      <c r="C6016" t="s">
        <v>50</v>
      </c>
      <c r="D6016" t="s">
        <v>2385</v>
      </c>
      <c r="E6016" t="s">
        <v>545</v>
      </c>
      <c r="F6016" t="s">
        <v>72</v>
      </c>
      <c r="G6016" t="s">
        <v>314</v>
      </c>
      <c r="H6016" t="str">
        <f>"ΘΑΛΗΤΑ 2 ΚΕΝΤΡΟ ΗΡΑΚΛΕΙΟΥ"</f>
        <v>ΘΑΛΗΤΑ 2 ΚΕΝΤΡΟ ΗΡΑΚΛΕΙΟΥ</v>
      </c>
      <c r="I6016">
        <v>71202</v>
      </c>
      <c r="J6016">
        <v>2810346837</v>
      </c>
      <c r="K6016">
        <v>6942794108</v>
      </c>
      <c r="N6016" t="s">
        <v>615</v>
      </c>
      <c r="O6016" t="s">
        <v>616</v>
      </c>
      <c r="R6016" t="s">
        <v>57</v>
      </c>
      <c r="S6016">
        <v>10</v>
      </c>
      <c r="T6016">
        <v>195</v>
      </c>
      <c r="U6016" s="1">
        <v>37511</v>
      </c>
      <c r="V6016" t="s">
        <v>80</v>
      </c>
      <c r="W6016" t="s">
        <v>81</v>
      </c>
      <c r="X6016" t="s">
        <v>58</v>
      </c>
      <c r="Y6016">
        <v>22</v>
      </c>
      <c r="Z6016" t="s">
        <v>59</v>
      </c>
      <c r="AA6016" t="s">
        <v>59</v>
      </c>
      <c r="AB6016" t="s">
        <v>59</v>
      </c>
      <c r="AC6016" t="s">
        <v>59</v>
      </c>
      <c r="AD6016" t="s">
        <v>59</v>
      </c>
      <c r="AF6016" s="1">
        <v>37511</v>
      </c>
      <c r="AG6016" t="s">
        <v>8645</v>
      </c>
      <c r="AH6016" t="s">
        <v>8646</v>
      </c>
      <c r="AI6016" t="str">
        <f>"9170431"</f>
        <v>9170431</v>
      </c>
      <c r="AJ6016" t="s">
        <v>8658</v>
      </c>
      <c r="AK6016">
        <v>2810250952</v>
      </c>
      <c r="AL6016" t="s">
        <v>8659</v>
      </c>
      <c r="AM6016" t="s">
        <v>78</v>
      </c>
      <c r="AN6016" t="s">
        <v>78</v>
      </c>
      <c r="AO6016" t="s">
        <v>78</v>
      </c>
      <c r="AP6016" t="s">
        <v>141</v>
      </c>
      <c r="AQ6016">
        <v>1</v>
      </c>
      <c r="AR6016" t="s">
        <v>80</v>
      </c>
      <c r="AS6016" t="s">
        <v>81</v>
      </c>
      <c r="AT6016" t="s">
        <v>58</v>
      </c>
      <c r="AU6016" t="s">
        <v>68</v>
      </c>
      <c r="AV6016" t="s">
        <v>69</v>
      </c>
      <c r="AW6016" s="1">
        <v>26577</v>
      </c>
      <c r="AX6016">
        <v>1</v>
      </c>
    </row>
    <row r="6017" spans="1:50">
      <c r="A6017">
        <v>566286</v>
      </c>
      <c r="B6017" t="str">
        <f>"040035043"</f>
        <v>040035043</v>
      </c>
      <c r="C6017" t="s">
        <v>50</v>
      </c>
      <c r="D6017" t="s">
        <v>2385</v>
      </c>
      <c r="E6017" t="s">
        <v>52</v>
      </c>
      <c r="F6017" t="s">
        <v>53</v>
      </c>
      <c r="G6017" t="s">
        <v>367</v>
      </c>
      <c r="H6017" t="str">
        <f>" "</f>
        <v xml:space="preserve"> </v>
      </c>
      <c r="N6017" t="s">
        <v>615</v>
      </c>
      <c r="O6017" t="s">
        <v>616</v>
      </c>
      <c r="R6017" t="s">
        <v>57</v>
      </c>
      <c r="S6017">
        <v>14</v>
      </c>
      <c r="T6017">
        <v>161</v>
      </c>
      <c r="U6017" s="1">
        <v>33119</v>
      </c>
      <c r="V6017" t="s">
        <v>80</v>
      </c>
      <c r="W6017" t="s">
        <v>81</v>
      </c>
      <c r="X6017" t="s">
        <v>58</v>
      </c>
      <c r="Y6017">
        <v>21</v>
      </c>
      <c r="Z6017" t="s">
        <v>59</v>
      </c>
      <c r="AA6017" t="s">
        <v>59</v>
      </c>
      <c r="AB6017" t="s">
        <v>59</v>
      </c>
      <c r="AC6017" t="s">
        <v>59</v>
      </c>
      <c r="AD6017" t="s">
        <v>59</v>
      </c>
      <c r="AF6017" s="1">
        <v>33121</v>
      </c>
      <c r="AG6017" t="s">
        <v>8645</v>
      </c>
      <c r="AH6017" t="s">
        <v>8646</v>
      </c>
      <c r="AI6017" t="str">
        <f>"9170191"</f>
        <v>9170191</v>
      </c>
      <c r="AJ6017" t="s">
        <v>8667</v>
      </c>
      <c r="AK6017">
        <v>2810231459</v>
      </c>
      <c r="AL6017" t="s">
        <v>8668</v>
      </c>
      <c r="AM6017" t="s">
        <v>78</v>
      </c>
      <c r="AN6017" t="s">
        <v>78</v>
      </c>
      <c r="AO6017" t="s">
        <v>78</v>
      </c>
      <c r="AP6017" t="s">
        <v>163</v>
      </c>
      <c r="AQ6017">
        <v>1</v>
      </c>
      <c r="AR6017" t="s">
        <v>80</v>
      </c>
      <c r="AS6017" t="s">
        <v>81</v>
      </c>
      <c r="AT6017" t="s">
        <v>58</v>
      </c>
      <c r="AU6017" t="s">
        <v>68</v>
      </c>
      <c r="AV6017" t="s">
        <v>69</v>
      </c>
      <c r="AW6017" s="1">
        <v>22678</v>
      </c>
      <c r="AX6017">
        <v>1</v>
      </c>
    </row>
    <row r="6018" spans="1:50">
      <c r="A6018">
        <v>604062</v>
      </c>
      <c r="B6018" t="str">
        <f>"103537278"</f>
        <v>103537278</v>
      </c>
      <c r="C6018" t="s">
        <v>50</v>
      </c>
      <c r="D6018" t="s">
        <v>10461</v>
      </c>
      <c r="E6018" t="s">
        <v>52</v>
      </c>
      <c r="F6018" t="s">
        <v>72</v>
      </c>
      <c r="G6018" t="s">
        <v>215</v>
      </c>
      <c r="H6018" t="str">
        <f>"ΣΚΛΑΒΟΚΑΜΠΟΥ 59  ΗΡΑΚΛΕΙΟ"</f>
        <v>ΣΚΛΑΒΟΚΑΜΠΟΥ 59  ΗΡΑΚΛΕΙΟ</v>
      </c>
      <c r="I6018">
        <v>71306</v>
      </c>
      <c r="J6018">
        <v>2810361353</v>
      </c>
      <c r="K6018">
        <v>6946522447</v>
      </c>
      <c r="M6018" t="s">
        <v>10462</v>
      </c>
      <c r="N6018" t="s">
        <v>615</v>
      </c>
      <c r="O6018" t="s">
        <v>616</v>
      </c>
      <c r="R6018" t="s">
        <v>57</v>
      </c>
      <c r="S6018">
        <v>8</v>
      </c>
      <c r="T6018">
        <v>231</v>
      </c>
      <c r="U6018" s="1">
        <v>38230</v>
      </c>
      <c r="V6018" t="s">
        <v>80</v>
      </c>
      <c r="W6018" t="s">
        <v>81</v>
      </c>
      <c r="X6018" t="s">
        <v>58</v>
      </c>
      <c r="Y6018">
        <v>22</v>
      </c>
      <c r="Z6018" t="s">
        <v>59</v>
      </c>
      <c r="AA6018" t="s">
        <v>59</v>
      </c>
      <c r="AB6018" t="s">
        <v>59</v>
      </c>
      <c r="AC6018" t="s">
        <v>59</v>
      </c>
      <c r="AD6018" t="s">
        <v>59</v>
      </c>
      <c r="AF6018" s="1">
        <v>38231</v>
      </c>
      <c r="AG6018" t="s">
        <v>8645</v>
      </c>
      <c r="AH6018" t="s">
        <v>8646</v>
      </c>
      <c r="AI6018" t="str">
        <f>"9170516"</f>
        <v>9170516</v>
      </c>
      <c r="AJ6018" t="s">
        <v>8746</v>
      </c>
      <c r="AK6018">
        <v>2810236861</v>
      </c>
      <c r="AL6018" t="s">
        <v>8747</v>
      </c>
      <c r="AM6018" t="s">
        <v>78</v>
      </c>
      <c r="AN6018" t="s">
        <v>78</v>
      </c>
      <c r="AO6018" t="s">
        <v>78</v>
      </c>
      <c r="AP6018" t="s">
        <v>163</v>
      </c>
      <c r="AQ6018">
        <v>1</v>
      </c>
      <c r="AR6018" t="s">
        <v>80</v>
      </c>
      <c r="AS6018" t="s">
        <v>81</v>
      </c>
      <c r="AT6018" t="s">
        <v>58</v>
      </c>
      <c r="AU6018" t="s">
        <v>68</v>
      </c>
      <c r="AV6018" t="s">
        <v>69</v>
      </c>
      <c r="AW6018" s="1">
        <v>27673</v>
      </c>
      <c r="AX6018">
        <v>1</v>
      </c>
    </row>
    <row r="6019" spans="1:50">
      <c r="A6019">
        <v>565720</v>
      </c>
      <c r="B6019" t="str">
        <f>"068064638"</f>
        <v>068064638</v>
      </c>
      <c r="C6019" t="s">
        <v>50</v>
      </c>
      <c r="D6019" t="s">
        <v>10463</v>
      </c>
      <c r="E6019" t="s">
        <v>54</v>
      </c>
      <c r="F6019" t="s">
        <v>53</v>
      </c>
      <c r="G6019" t="s">
        <v>263</v>
      </c>
      <c r="H6019" t="str">
        <f>" "</f>
        <v xml:space="preserve"> </v>
      </c>
      <c r="N6019" t="s">
        <v>615</v>
      </c>
      <c r="O6019" t="s">
        <v>616</v>
      </c>
      <c r="R6019" t="s">
        <v>57</v>
      </c>
      <c r="S6019">
        <v>15</v>
      </c>
      <c r="T6019">
        <v>161</v>
      </c>
      <c r="U6019" s="1">
        <v>33119</v>
      </c>
      <c r="V6019" t="s">
        <v>80</v>
      </c>
      <c r="W6019" t="s">
        <v>81</v>
      </c>
      <c r="X6019" t="s">
        <v>58</v>
      </c>
      <c r="Y6019">
        <v>21</v>
      </c>
      <c r="Z6019" t="s">
        <v>59</v>
      </c>
      <c r="AA6019" t="s">
        <v>59</v>
      </c>
      <c r="AB6019" t="s">
        <v>59</v>
      </c>
      <c r="AC6019" t="s">
        <v>59</v>
      </c>
      <c r="AD6019" t="s">
        <v>59</v>
      </c>
      <c r="AF6019" s="1">
        <v>33121</v>
      </c>
      <c r="AG6019" t="s">
        <v>8645</v>
      </c>
      <c r="AH6019" t="s">
        <v>8646</v>
      </c>
      <c r="AI6019" t="str">
        <f>"9170228"</f>
        <v>9170228</v>
      </c>
      <c r="AJ6019" t="s">
        <v>8898</v>
      </c>
      <c r="AK6019">
        <v>2891041210</v>
      </c>
      <c r="AL6019" t="s">
        <v>8899</v>
      </c>
      <c r="AM6019" t="s">
        <v>78</v>
      </c>
      <c r="AN6019" t="s">
        <v>276</v>
      </c>
      <c r="AO6019" t="s">
        <v>1936</v>
      </c>
      <c r="AP6019" t="s">
        <v>1936</v>
      </c>
      <c r="AQ6019">
        <v>13</v>
      </c>
      <c r="AR6019" t="s">
        <v>80</v>
      </c>
      <c r="AS6019" t="s">
        <v>81</v>
      </c>
      <c r="AT6019" t="s">
        <v>58</v>
      </c>
      <c r="AU6019" t="s">
        <v>68</v>
      </c>
      <c r="AV6019" t="s">
        <v>69</v>
      </c>
      <c r="AW6019" s="1">
        <v>24111</v>
      </c>
      <c r="AX6019">
        <v>1</v>
      </c>
    </row>
    <row r="6020" spans="1:50">
      <c r="A6020">
        <v>582720</v>
      </c>
      <c r="B6020" t="str">
        <f>"055861097"</f>
        <v>055861097</v>
      </c>
      <c r="C6020" t="s">
        <v>50</v>
      </c>
      <c r="D6020" t="s">
        <v>10464</v>
      </c>
      <c r="E6020" t="s">
        <v>681</v>
      </c>
      <c r="F6020" t="s">
        <v>474</v>
      </c>
      <c r="G6020" t="s">
        <v>237</v>
      </c>
      <c r="H6020" t="str">
        <f>"ΜΙΧΑΗΛ ΠΑΥΛΑΚΗ 43 "</f>
        <v xml:space="preserve">ΜΙΧΑΗΛ ΠΑΥΛΑΚΗ 43 </v>
      </c>
      <c r="I6020">
        <v>71305</v>
      </c>
      <c r="K6020">
        <v>6939201300</v>
      </c>
      <c r="N6020" t="s">
        <v>615</v>
      </c>
      <c r="O6020" t="s">
        <v>616</v>
      </c>
      <c r="R6020" t="s">
        <v>57</v>
      </c>
      <c r="S6020">
        <v>10</v>
      </c>
      <c r="T6020">
        <v>179</v>
      </c>
      <c r="U6020" s="1">
        <v>35674</v>
      </c>
      <c r="V6020" t="s">
        <v>80</v>
      </c>
      <c r="W6020" t="s">
        <v>81</v>
      </c>
      <c r="X6020" t="s">
        <v>58</v>
      </c>
      <c r="Y6020">
        <v>21</v>
      </c>
      <c r="Z6020" t="s">
        <v>59</v>
      </c>
      <c r="AA6020" t="s">
        <v>59</v>
      </c>
      <c r="AB6020" t="s">
        <v>59</v>
      </c>
      <c r="AC6020" t="s">
        <v>59</v>
      </c>
      <c r="AD6020" t="s">
        <v>59</v>
      </c>
      <c r="AF6020" s="1">
        <v>35675</v>
      </c>
      <c r="AG6020" t="s">
        <v>8645</v>
      </c>
      <c r="AH6020" t="s">
        <v>8646</v>
      </c>
      <c r="AI6020" t="str">
        <f>"9170196"</f>
        <v>9170196</v>
      </c>
      <c r="AJ6020" t="s">
        <v>9255</v>
      </c>
      <c r="AK6020">
        <v>2810283356</v>
      </c>
      <c r="AL6020" t="s">
        <v>9256</v>
      </c>
      <c r="AM6020" t="s">
        <v>78</v>
      </c>
      <c r="AN6020" t="s">
        <v>78</v>
      </c>
      <c r="AO6020" t="s">
        <v>78</v>
      </c>
      <c r="AP6020" t="s">
        <v>79</v>
      </c>
      <c r="AQ6020">
        <v>1</v>
      </c>
      <c r="AR6020" t="s">
        <v>80</v>
      </c>
      <c r="AS6020" t="s">
        <v>81</v>
      </c>
      <c r="AT6020" t="s">
        <v>58</v>
      </c>
      <c r="AU6020" t="s">
        <v>68</v>
      </c>
      <c r="AV6020" t="s">
        <v>69</v>
      </c>
      <c r="AW6020" s="1">
        <v>24587</v>
      </c>
      <c r="AX6020">
        <v>1</v>
      </c>
    </row>
    <row r="6021" spans="1:50">
      <c r="A6021">
        <v>550511</v>
      </c>
      <c r="B6021" t="str">
        <f>"047892154"</f>
        <v>047892154</v>
      </c>
      <c r="C6021" t="s">
        <v>50</v>
      </c>
      <c r="D6021" t="s">
        <v>10465</v>
      </c>
      <c r="E6021" t="s">
        <v>1189</v>
      </c>
      <c r="F6021" t="s">
        <v>920</v>
      </c>
      <c r="G6021" t="s">
        <v>83</v>
      </c>
      <c r="H6021" t="str">
        <f>"Κ. ΠΑΛΑΜΑ2 ΑΡΚΑΛΟΧΩΡΙ"</f>
        <v>Κ. ΠΑΛΑΜΑ2 ΑΡΚΑΛΟΧΩΡΙ</v>
      </c>
      <c r="I6021">
        <v>70300</v>
      </c>
      <c r="N6021" t="s">
        <v>615</v>
      </c>
      <c r="O6021" t="s">
        <v>616</v>
      </c>
      <c r="R6021" t="s">
        <v>57</v>
      </c>
      <c r="S6021">
        <v>18</v>
      </c>
      <c r="T6021">
        <v>393</v>
      </c>
      <c r="U6021" s="1">
        <v>30655</v>
      </c>
      <c r="V6021" t="s">
        <v>80</v>
      </c>
      <c r="W6021" t="s">
        <v>81</v>
      </c>
      <c r="X6021" t="s">
        <v>58</v>
      </c>
      <c r="Y6021">
        <v>21</v>
      </c>
      <c r="Z6021" t="s">
        <v>59</v>
      </c>
      <c r="AA6021" t="s">
        <v>59</v>
      </c>
      <c r="AB6021" t="s">
        <v>59</v>
      </c>
      <c r="AC6021" t="s">
        <v>59</v>
      </c>
      <c r="AD6021" t="s">
        <v>59</v>
      </c>
      <c r="AF6021" s="1">
        <v>30665</v>
      </c>
      <c r="AG6021" t="s">
        <v>8645</v>
      </c>
      <c r="AH6021" t="s">
        <v>8646</v>
      </c>
      <c r="AI6021" t="str">
        <f>"9170144"</f>
        <v>9170144</v>
      </c>
      <c r="AJ6021" t="s">
        <v>8729</v>
      </c>
      <c r="AK6021">
        <v>2891022244</v>
      </c>
      <c r="AL6021" t="s">
        <v>8730</v>
      </c>
      <c r="AM6021" t="s">
        <v>78</v>
      </c>
      <c r="AN6021" t="s">
        <v>276</v>
      </c>
      <c r="AO6021" t="s">
        <v>490</v>
      </c>
      <c r="AP6021" t="s">
        <v>490</v>
      </c>
      <c r="AQ6021">
        <v>12</v>
      </c>
      <c r="AR6021" t="s">
        <v>80</v>
      </c>
      <c r="AS6021" t="s">
        <v>81</v>
      </c>
      <c r="AT6021" t="s">
        <v>58</v>
      </c>
      <c r="AU6021" t="s">
        <v>68</v>
      </c>
      <c r="AV6021" t="s">
        <v>69</v>
      </c>
      <c r="AW6021" s="1">
        <v>22282</v>
      </c>
      <c r="AX6021">
        <v>1</v>
      </c>
    </row>
    <row r="6022" spans="1:50">
      <c r="B6022" t="str">
        <f>"159242766"</f>
        <v>159242766</v>
      </c>
      <c r="C6022" t="s">
        <v>50</v>
      </c>
      <c r="D6022" t="s">
        <v>2393</v>
      </c>
      <c r="E6022" t="s">
        <v>545</v>
      </c>
      <c r="F6022" t="s">
        <v>106</v>
      </c>
      <c r="G6022" t="s">
        <v>314</v>
      </c>
      <c r="H6022" t="str">
        <f>" "</f>
        <v xml:space="preserve"> </v>
      </c>
      <c r="N6022" t="s">
        <v>683</v>
      </c>
      <c r="O6022" t="s">
        <v>684</v>
      </c>
      <c r="R6022" t="s">
        <v>121</v>
      </c>
      <c r="S6022">
        <v>1</v>
      </c>
      <c r="T6022" t="s">
        <v>8675</v>
      </c>
      <c r="U6022" s="1">
        <v>43348</v>
      </c>
      <c r="V6022" t="s">
        <v>80</v>
      </c>
      <c r="W6022" t="s">
        <v>81</v>
      </c>
      <c r="X6022" t="s">
        <v>58</v>
      </c>
      <c r="Y6022">
        <v>24</v>
      </c>
      <c r="Z6022" t="s">
        <v>59</v>
      </c>
      <c r="AA6022" t="s">
        <v>59</v>
      </c>
      <c r="AB6022" t="s">
        <v>59</v>
      </c>
      <c r="AD6022" t="s">
        <v>59</v>
      </c>
      <c r="AF6022" s="1">
        <v>43348</v>
      </c>
      <c r="AG6022" t="s">
        <v>8645</v>
      </c>
      <c r="AH6022" t="s">
        <v>8646</v>
      </c>
      <c r="AI6022" t="str">
        <f>"9170512"</f>
        <v>9170512</v>
      </c>
      <c r="AJ6022" t="s">
        <v>8986</v>
      </c>
      <c r="AK6022">
        <v>2810253082</v>
      </c>
      <c r="AL6022" t="s">
        <v>8987</v>
      </c>
      <c r="AM6022" t="s">
        <v>78</v>
      </c>
      <c r="AN6022" t="s">
        <v>78</v>
      </c>
      <c r="AO6022" t="s">
        <v>78</v>
      </c>
      <c r="AP6022" t="s">
        <v>141</v>
      </c>
      <c r="AQ6022">
        <v>1</v>
      </c>
      <c r="AR6022" t="s">
        <v>80</v>
      </c>
      <c r="AS6022" t="s">
        <v>81</v>
      </c>
      <c r="AT6022" t="s">
        <v>58</v>
      </c>
      <c r="AU6022" t="s">
        <v>8673</v>
      </c>
      <c r="AV6022" t="s">
        <v>132</v>
      </c>
      <c r="AW6022" s="1">
        <v>34515</v>
      </c>
      <c r="AX6022">
        <v>1</v>
      </c>
    </row>
    <row r="6023" spans="1:50">
      <c r="A6023">
        <v>704003</v>
      </c>
      <c r="B6023" t="str">
        <f>"133480103"</f>
        <v>133480103</v>
      </c>
      <c r="C6023" t="s">
        <v>50</v>
      </c>
      <c r="D6023" t="s">
        <v>10466</v>
      </c>
      <c r="E6023" t="s">
        <v>52</v>
      </c>
      <c r="F6023" t="s">
        <v>631</v>
      </c>
      <c r="G6023" t="s">
        <v>1440</v>
      </c>
      <c r="H6023" t="str">
        <f>"ΠΕΛΙΑΣ 3 "</f>
        <v xml:space="preserve">ΠΕΛΙΑΣ 3 </v>
      </c>
      <c r="I6023">
        <v>54453</v>
      </c>
      <c r="J6023">
        <v>2310931713</v>
      </c>
      <c r="K6023">
        <v>6976530755</v>
      </c>
      <c r="N6023" t="s">
        <v>1525</v>
      </c>
      <c r="O6023" t="s">
        <v>1526</v>
      </c>
      <c r="R6023" t="s">
        <v>57</v>
      </c>
      <c r="S6023">
        <v>4</v>
      </c>
      <c r="T6023">
        <v>1350</v>
      </c>
      <c r="U6023" s="1">
        <v>42732</v>
      </c>
      <c r="V6023" t="s">
        <v>80</v>
      </c>
      <c r="W6023" t="s">
        <v>81</v>
      </c>
      <c r="X6023" t="s">
        <v>58</v>
      </c>
      <c r="Y6023">
        <v>25</v>
      </c>
      <c r="Z6023" t="s">
        <v>59</v>
      </c>
      <c r="AA6023" t="s">
        <v>59</v>
      </c>
      <c r="AB6023" t="s">
        <v>59</v>
      </c>
      <c r="AC6023" t="s">
        <v>59</v>
      </c>
      <c r="AD6023" t="s">
        <v>59</v>
      </c>
      <c r="AF6023" s="1">
        <v>42734</v>
      </c>
      <c r="AG6023" t="s">
        <v>8651</v>
      </c>
      <c r="AH6023" t="s">
        <v>8652</v>
      </c>
      <c r="AI6023" t="str">
        <f>"9170493"</f>
        <v>9170493</v>
      </c>
      <c r="AJ6023" t="s">
        <v>10467</v>
      </c>
      <c r="AK6023">
        <v>2893031002</v>
      </c>
      <c r="AL6023" t="s">
        <v>10468</v>
      </c>
      <c r="AM6023" t="s">
        <v>78</v>
      </c>
      <c r="AN6023" t="s">
        <v>405</v>
      </c>
      <c r="AO6023" t="s">
        <v>805</v>
      </c>
      <c r="AP6023" t="s">
        <v>9807</v>
      </c>
      <c r="AQ6023">
        <v>15</v>
      </c>
      <c r="AR6023" t="s">
        <v>80</v>
      </c>
      <c r="AS6023" t="s">
        <v>81</v>
      </c>
      <c r="AT6023" t="s">
        <v>58</v>
      </c>
      <c r="AU6023" t="s">
        <v>68</v>
      </c>
      <c r="AV6023" t="s">
        <v>69</v>
      </c>
      <c r="AW6023" s="1">
        <v>31469</v>
      </c>
      <c r="AX6023">
        <v>1</v>
      </c>
    </row>
    <row r="6024" spans="1:50">
      <c r="B6024" t="str">
        <f>"123650684"</f>
        <v>123650684</v>
      </c>
      <c r="C6024" t="s">
        <v>50</v>
      </c>
      <c r="D6024" t="s">
        <v>10469</v>
      </c>
      <c r="E6024" t="s">
        <v>860</v>
      </c>
      <c r="F6024" t="s">
        <v>95</v>
      </c>
      <c r="G6024" t="s">
        <v>1120</v>
      </c>
      <c r="H6024" t="str">
        <f>"Μ.ΟΔΗΓΗΤΡΙΑΣ "</f>
        <v xml:space="preserve">Μ.ΟΔΗΓΗΤΡΙΑΣ </v>
      </c>
      <c r="I6024">
        <v>70400</v>
      </c>
      <c r="J6024">
        <v>2892023962</v>
      </c>
      <c r="K6024">
        <v>6943605731</v>
      </c>
      <c r="N6024" t="s">
        <v>1525</v>
      </c>
      <c r="O6024" t="s">
        <v>1526</v>
      </c>
      <c r="R6024" t="s">
        <v>159</v>
      </c>
      <c r="S6024">
        <v>3</v>
      </c>
      <c r="T6024" t="s">
        <v>8670</v>
      </c>
      <c r="U6024" s="1">
        <v>43348</v>
      </c>
      <c r="V6024" t="s">
        <v>80</v>
      </c>
      <c r="W6024" t="s">
        <v>81</v>
      </c>
      <c r="X6024" t="s">
        <v>58</v>
      </c>
      <c r="Y6024">
        <v>25</v>
      </c>
      <c r="Z6024" t="s">
        <v>59</v>
      </c>
      <c r="AA6024" t="s">
        <v>59</v>
      </c>
      <c r="AB6024" t="s">
        <v>59</v>
      </c>
      <c r="AC6024" t="s">
        <v>59</v>
      </c>
      <c r="AD6024" t="s">
        <v>59</v>
      </c>
      <c r="AF6024" s="1">
        <v>43348</v>
      </c>
      <c r="AG6024" t="s">
        <v>8651</v>
      </c>
      <c r="AH6024" t="s">
        <v>8652</v>
      </c>
      <c r="AI6024" t="str">
        <f>"9170399"</f>
        <v>9170399</v>
      </c>
      <c r="AJ6024" t="s">
        <v>9401</v>
      </c>
      <c r="AK6024">
        <v>2892031806</v>
      </c>
      <c r="AL6024" t="s">
        <v>9402</v>
      </c>
      <c r="AM6024" t="s">
        <v>78</v>
      </c>
      <c r="AN6024" t="s">
        <v>405</v>
      </c>
      <c r="AO6024" t="s">
        <v>405</v>
      </c>
      <c r="AP6024" t="s">
        <v>464</v>
      </c>
      <c r="AQ6024">
        <v>17</v>
      </c>
      <c r="AR6024" t="s">
        <v>80</v>
      </c>
      <c r="AS6024" t="s">
        <v>81</v>
      </c>
      <c r="AT6024" t="s">
        <v>58</v>
      </c>
      <c r="AU6024" t="s">
        <v>8673</v>
      </c>
      <c r="AV6024" t="s">
        <v>132</v>
      </c>
      <c r="AW6024" s="1">
        <v>30994</v>
      </c>
      <c r="AX6024">
        <v>1</v>
      </c>
    </row>
    <row r="6025" spans="1:50">
      <c r="B6025" t="str">
        <f>"158707841"</f>
        <v>158707841</v>
      </c>
      <c r="C6025" t="s">
        <v>50</v>
      </c>
      <c r="D6025" t="s">
        <v>10470</v>
      </c>
      <c r="E6025" t="s">
        <v>263</v>
      </c>
      <c r="F6025" t="s">
        <v>72</v>
      </c>
      <c r="G6025" t="s">
        <v>215</v>
      </c>
      <c r="H6025" t="str">
        <f>"Ευαγγέλου Χατζάκη 67 ¶γιος Ιωάννης Κνωσού"</f>
        <v>Ευαγγέλου Χατζάκη 67 ¶γιος Ιωάννης Κνωσού</v>
      </c>
      <c r="I6025">
        <v>71409</v>
      </c>
      <c r="K6025">
        <v>6986069817</v>
      </c>
      <c r="M6025" t="s">
        <v>10471</v>
      </c>
      <c r="N6025" t="s">
        <v>8694</v>
      </c>
      <c r="O6025" t="s">
        <v>8695</v>
      </c>
      <c r="R6025" t="s">
        <v>159</v>
      </c>
      <c r="S6025">
        <v>1</v>
      </c>
      <c r="T6025" t="s">
        <v>8696</v>
      </c>
      <c r="U6025" s="1">
        <v>43348</v>
      </c>
      <c r="V6025" t="s">
        <v>80</v>
      </c>
      <c r="W6025" t="s">
        <v>81</v>
      </c>
      <c r="X6025" t="s">
        <v>58</v>
      </c>
      <c r="Y6025">
        <v>24</v>
      </c>
      <c r="Z6025" t="s">
        <v>59</v>
      </c>
      <c r="AA6025" t="s">
        <v>59</v>
      </c>
      <c r="AB6025" t="s">
        <v>59</v>
      </c>
      <c r="AC6025" t="s">
        <v>59</v>
      </c>
      <c r="AD6025" t="s">
        <v>59</v>
      </c>
      <c r="AF6025" s="1">
        <v>43348</v>
      </c>
      <c r="AG6025" t="s">
        <v>8645</v>
      </c>
      <c r="AH6025" t="s">
        <v>8646</v>
      </c>
      <c r="AI6025" t="str">
        <f>"9170514"</f>
        <v>9170514</v>
      </c>
      <c r="AJ6025" t="s">
        <v>8801</v>
      </c>
      <c r="AK6025">
        <v>2810238666</v>
      </c>
      <c r="AL6025" t="s">
        <v>8802</v>
      </c>
      <c r="AM6025" t="s">
        <v>78</v>
      </c>
      <c r="AN6025" t="s">
        <v>78</v>
      </c>
      <c r="AO6025" t="s">
        <v>78</v>
      </c>
      <c r="AP6025" t="s">
        <v>163</v>
      </c>
      <c r="AQ6025">
        <v>1</v>
      </c>
      <c r="AR6025" t="s">
        <v>80</v>
      </c>
      <c r="AS6025" t="s">
        <v>81</v>
      </c>
      <c r="AT6025" t="s">
        <v>58</v>
      </c>
      <c r="AU6025" t="s">
        <v>350</v>
      </c>
      <c r="AV6025" t="s">
        <v>132</v>
      </c>
      <c r="AW6025" s="1">
        <v>33812</v>
      </c>
      <c r="AX6025">
        <v>1</v>
      </c>
    </row>
    <row r="6026" spans="1:50">
      <c r="A6026">
        <v>611937</v>
      </c>
      <c r="B6026" t="str">
        <f>"124493543"</f>
        <v>124493543</v>
      </c>
      <c r="C6026" t="s">
        <v>50</v>
      </c>
      <c r="D6026" t="s">
        <v>10472</v>
      </c>
      <c r="E6026" t="s">
        <v>191</v>
      </c>
      <c r="F6026" t="s">
        <v>92</v>
      </c>
      <c r="G6026" t="s">
        <v>1210</v>
      </c>
      <c r="H6026" t="str">
        <f>"ΣΓΟΥΡΟΚΕΦΑΛΙ ΠΕΔΙΑΔΟΣ "</f>
        <v xml:space="preserve">ΣΓΟΥΡΟΚΕΦΑΛΙ ΠΕΔΙΑΔΟΣ </v>
      </c>
      <c r="J6026">
        <v>2810256845</v>
      </c>
      <c r="K6026">
        <v>6972424276</v>
      </c>
      <c r="M6026" t="s">
        <v>10473</v>
      </c>
      <c r="N6026" t="s">
        <v>1525</v>
      </c>
      <c r="O6026" t="s">
        <v>1526</v>
      </c>
      <c r="R6026" t="s">
        <v>57</v>
      </c>
      <c r="S6026">
        <v>6</v>
      </c>
      <c r="T6026">
        <v>233</v>
      </c>
      <c r="U6026" s="1">
        <v>38960</v>
      </c>
      <c r="V6026" t="s">
        <v>80</v>
      </c>
      <c r="W6026" t="s">
        <v>81</v>
      </c>
      <c r="X6026" t="s">
        <v>58</v>
      </c>
      <c r="Y6026">
        <v>25</v>
      </c>
      <c r="Z6026" t="s">
        <v>59</v>
      </c>
      <c r="AA6026" t="s">
        <v>59</v>
      </c>
      <c r="AB6026" t="s">
        <v>59</v>
      </c>
      <c r="AC6026" t="s">
        <v>59</v>
      </c>
      <c r="AD6026" t="s">
        <v>59</v>
      </c>
      <c r="AF6026" s="1">
        <v>38961</v>
      </c>
      <c r="AG6026" t="s">
        <v>8651</v>
      </c>
      <c r="AH6026" t="s">
        <v>8652</v>
      </c>
      <c r="AI6026" t="str">
        <f>"9170462"</f>
        <v>9170462</v>
      </c>
      <c r="AJ6026" t="s">
        <v>10270</v>
      </c>
      <c r="AK6026">
        <v>2810781040</v>
      </c>
      <c r="AL6026" t="s">
        <v>10271</v>
      </c>
      <c r="AM6026" t="s">
        <v>78</v>
      </c>
      <c r="AN6026" t="s">
        <v>219</v>
      </c>
      <c r="AO6026" t="s">
        <v>297</v>
      </c>
      <c r="AP6026" t="s">
        <v>9406</v>
      </c>
      <c r="AQ6026">
        <v>7</v>
      </c>
      <c r="AR6026" t="s">
        <v>80</v>
      </c>
      <c r="AS6026" t="s">
        <v>81</v>
      </c>
      <c r="AT6026" t="s">
        <v>58</v>
      </c>
      <c r="AU6026" t="s">
        <v>68</v>
      </c>
      <c r="AV6026" t="s">
        <v>69</v>
      </c>
      <c r="AW6026" s="1">
        <v>29375</v>
      </c>
      <c r="AX6026">
        <v>1</v>
      </c>
    </row>
    <row r="6027" spans="1:50">
      <c r="B6027" t="str">
        <f>"116221330"</f>
        <v>116221330</v>
      </c>
      <c r="C6027" t="s">
        <v>50</v>
      </c>
      <c r="D6027" t="s">
        <v>10474</v>
      </c>
      <c r="E6027" t="s">
        <v>513</v>
      </c>
      <c r="F6027" t="s">
        <v>309</v>
      </c>
      <c r="G6027" t="s">
        <v>237</v>
      </c>
      <c r="H6027" t="str">
        <f>"ΖΩΟΔΟΧΟΥ ΠΗΓΗΣ 11 "</f>
        <v xml:space="preserve">ΖΩΟΔΟΧΟΥ ΠΗΓΗΣ 11 </v>
      </c>
      <c r="I6027">
        <v>26331</v>
      </c>
      <c r="J6027">
        <v>2610224085</v>
      </c>
      <c r="K6027">
        <v>6972987949</v>
      </c>
      <c r="N6027" t="s">
        <v>1525</v>
      </c>
      <c r="O6027" t="s">
        <v>1526</v>
      </c>
      <c r="R6027" t="s">
        <v>159</v>
      </c>
      <c r="S6027">
        <v>4</v>
      </c>
      <c r="T6027" t="s">
        <v>8670</v>
      </c>
      <c r="U6027" s="1">
        <v>43348</v>
      </c>
      <c r="V6027" t="s">
        <v>80</v>
      </c>
      <c r="W6027" t="s">
        <v>81</v>
      </c>
      <c r="X6027" t="s">
        <v>58</v>
      </c>
      <c r="Y6027">
        <v>25</v>
      </c>
      <c r="Z6027" t="s">
        <v>59</v>
      </c>
      <c r="AA6027" t="s">
        <v>59</v>
      </c>
      <c r="AB6027" t="s">
        <v>59</v>
      </c>
      <c r="AC6027" t="s">
        <v>59</v>
      </c>
      <c r="AD6027" t="s">
        <v>59</v>
      </c>
      <c r="AF6027" s="1">
        <v>43348</v>
      </c>
      <c r="AG6027" t="s">
        <v>8651</v>
      </c>
      <c r="AH6027" t="s">
        <v>8652</v>
      </c>
      <c r="AI6027" t="str">
        <f>"9170366"</f>
        <v>9170366</v>
      </c>
      <c r="AJ6027" t="s">
        <v>10126</v>
      </c>
      <c r="AK6027">
        <v>2810791740</v>
      </c>
      <c r="AL6027" t="s">
        <v>10127</v>
      </c>
      <c r="AM6027" t="s">
        <v>78</v>
      </c>
      <c r="AN6027" t="s">
        <v>78</v>
      </c>
      <c r="AO6027" t="s">
        <v>195</v>
      </c>
      <c r="AP6027" t="s">
        <v>196</v>
      </c>
      <c r="AQ6027">
        <v>3</v>
      </c>
      <c r="AR6027" t="s">
        <v>80</v>
      </c>
      <c r="AS6027" t="s">
        <v>81</v>
      </c>
      <c r="AT6027" t="s">
        <v>58</v>
      </c>
      <c r="AU6027" t="s">
        <v>8673</v>
      </c>
      <c r="AV6027" t="s">
        <v>132</v>
      </c>
      <c r="AW6027" s="1">
        <v>30364</v>
      </c>
      <c r="AX6027">
        <v>1</v>
      </c>
    </row>
    <row r="6028" spans="1:50">
      <c r="A6028">
        <v>621790</v>
      </c>
      <c r="B6028" t="str">
        <f>"065295367"</f>
        <v>065295367</v>
      </c>
      <c r="C6028" t="s">
        <v>105</v>
      </c>
      <c r="D6028" t="s">
        <v>10475</v>
      </c>
      <c r="E6028" t="s">
        <v>95</v>
      </c>
      <c r="F6028" t="s">
        <v>99</v>
      </c>
      <c r="G6028" t="s">
        <v>727</v>
      </c>
      <c r="H6028" t="str">
        <f>"ΡΟΔΩΝ  4 ΗΡΑΚΛΕΙΟ"</f>
        <v>ΡΟΔΩΝ  4 ΗΡΑΚΛΕΙΟ</v>
      </c>
      <c r="I6028">
        <v>71306</v>
      </c>
      <c r="J6028">
        <v>2811102917</v>
      </c>
      <c r="K6028">
        <v>6972083058</v>
      </c>
      <c r="M6028" t="s">
        <v>10476</v>
      </c>
      <c r="N6028" t="s">
        <v>615</v>
      </c>
      <c r="O6028" t="s">
        <v>616</v>
      </c>
      <c r="R6028" t="s">
        <v>57</v>
      </c>
      <c r="S6028">
        <v>4</v>
      </c>
      <c r="T6028">
        <v>653</v>
      </c>
      <c r="U6028" s="1">
        <v>40043</v>
      </c>
      <c r="V6028" t="s">
        <v>80</v>
      </c>
      <c r="W6028" t="s">
        <v>81</v>
      </c>
      <c r="X6028" t="s">
        <v>58</v>
      </c>
      <c r="Y6028">
        <v>23</v>
      </c>
      <c r="Z6028" t="s">
        <v>59</v>
      </c>
      <c r="AA6028" t="s">
        <v>59</v>
      </c>
      <c r="AB6028" t="s">
        <v>59</v>
      </c>
      <c r="AC6028" t="s">
        <v>59</v>
      </c>
      <c r="AD6028" t="s">
        <v>59</v>
      </c>
      <c r="AF6028" s="1">
        <v>40043</v>
      </c>
      <c r="AG6028" t="s">
        <v>8645</v>
      </c>
      <c r="AH6028" t="s">
        <v>8646</v>
      </c>
      <c r="AI6028" t="str">
        <f>"9170494"</f>
        <v>9170494</v>
      </c>
      <c r="AJ6028" t="s">
        <v>9125</v>
      </c>
      <c r="AK6028">
        <v>2810228361</v>
      </c>
      <c r="AL6028" t="s">
        <v>9126</v>
      </c>
      <c r="AM6028" t="s">
        <v>78</v>
      </c>
      <c r="AN6028" t="s">
        <v>78</v>
      </c>
      <c r="AO6028" t="s">
        <v>78</v>
      </c>
      <c r="AP6028" t="s">
        <v>79</v>
      </c>
      <c r="AQ6028">
        <v>1</v>
      </c>
      <c r="AR6028" t="s">
        <v>80</v>
      </c>
      <c r="AS6028" t="s">
        <v>81</v>
      </c>
      <c r="AT6028" t="s">
        <v>58</v>
      </c>
      <c r="AU6028" t="s">
        <v>68</v>
      </c>
      <c r="AV6028" t="s">
        <v>69</v>
      </c>
      <c r="AW6028" s="1">
        <v>29590</v>
      </c>
      <c r="AX6028">
        <v>1</v>
      </c>
    </row>
    <row r="6029" spans="1:50">
      <c r="A6029">
        <v>605877</v>
      </c>
      <c r="B6029" t="str">
        <f>"119688063"</f>
        <v>119688063</v>
      </c>
      <c r="C6029" t="s">
        <v>50</v>
      </c>
      <c r="D6029" t="s">
        <v>5057</v>
      </c>
      <c r="E6029" t="s">
        <v>83</v>
      </c>
      <c r="F6029" t="s">
        <v>4071</v>
      </c>
      <c r="G6029" t="s">
        <v>727</v>
      </c>
      <c r="H6029" t="str">
        <f>"ΝΙΚ.ΞΥΛΟΥΡΗ 17 ΗΡΑΚΛΕΙΟ"</f>
        <v>ΝΙΚ.ΞΥΛΟΥΡΗ 17 ΗΡΑΚΛΕΙΟ</v>
      </c>
      <c r="I6029">
        <v>71307</v>
      </c>
      <c r="J6029">
        <v>2810229795</v>
      </c>
      <c r="K6029">
        <v>6955464444</v>
      </c>
      <c r="N6029" t="s">
        <v>615</v>
      </c>
      <c r="O6029" t="s">
        <v>616</v>
      </c>
      <c r="R6029" t="s">
        <v>57</v>
      </c>
      <c r="S6029">
        <v>7</v>
      </c>
      <c r="T6029">
        <v>231</v>
      </c>
      <c r="U6029" s="1">
        <v>38230</v>
      </c>
      <c r="V6029" t="s">
        <v>80</v>
      </c>
      <c r="W6029" t="s">
        <v>81</v>
      </c>
      <c r="X6029" t="s">
        <v>58</v>
      </c>
      <c r="Y6029">
        <v>22</v>
      </c>
      <c r="Z6029" t="s">
        <v>59</v>
      </c>
      <c r="AA6029" t="s">
        <v>59</v>
      </c>
      <c r="AB6029" t="s">
        <v>59</v>
      </c>
      <c r="AC6029" t="s">
        <v>59</v>
      </c>
      <c r="AD6029" t="s">
        <v>59</v>
      </c>
      <c r="AF6029" s="1">
        <v>38232</v>
      </c>
      <c r="AG6029" t="s">
        <v>8645</v>
      </c>
      <c r="AH6029" t="s">
        <v>8646</v>
      </c>
      <c r="AI6029" t="str">
        <f>"9170423"</f>
        <v>9170423</v>
      </c>
      <c r="AJ6029" t="s">
        <v>8808</v>
      </c>
      <c r="AK6029">
        <v>2810239612</v>
      </c>
      <c r="AL6029" t="s">
        <v>8809</v>
      </c>
      <c r="AM6029" t="s">
        <v>78</v>
      </c>
      <c r="AN6029" t="s">
        <v>78</v>
      </c>
      <c r="AO6029" t="s">
        <v>78</v>
      </c>
      <c r="AP6029" t="s">
        <v>163</v>
      </c>
      <c r="AQ6029">
        <v>1</v>
      </c>
      <c r="AR6029" t="s">
        <v>80</v>
      </c>
      <c r="AS6029" t="s">
        <v>81</v>
      </c>
      <c r="AT6029" t="s">
        <v>58</v>
      </c>
      <c r="AU6029" t="s">
        <v>68</v>
      </c>
      <c r="AV6029" t="s">
        <v>69</v>
      </c>
      <c r="AW6029" s="1">
        <v>29238</v>
      </c>
      <c r="AX6029">
        <v>1</v>
      </c>
    </row>
    <row r="6030" spans="1:50">
      <c r="A6030">
        <v>618867</v>
      </c>
      <c r="B6030" t="str">
        <f>"137213631"</f>
        <v>137213631</v>
      </c>
      <c r="C6030" t="s">
        <v>50</v>
      </c>
      <c r="D6030" t="s">
        <v>2404</v>
      </c>
      <c r="E6030" t="s">
        <v>964</v>
      </c>
      <c r="F6030" t="s">
        <v>95</v>
      </c>
      <c r="G6030" t="s">
        <v>83</v>
      </c>
      <c r="H6030" t="str">
        <f>"Γ.ΓΕΝΝΗΜΑΤΑ 35 ΗΡΑΚΛΕΙΟ"</f>
        <v>Γ.ΓΕΝΝΗΜΑΤΑ 35 ΗΡΑΚΛΕΙΟ</v>
      </c>
      <c r="I6030">
        <v>71305</v>
      </c>
      <c r="J6030">
        <v>2810262854</v>
      </c>
      <c r="K6030">
        <v>6947630278</v>
      </c>
      <c r="N6030" t="s">
        <v>615</v>
      </c>
      <c r="O6030" t="s">
        <v>616</v>
      </c>
      <c r="R6030" t="s">
        <v>57</v>
      </c>
      <c r="S6030">
        <v>5</v>
      </c>
      <c r="T6030">
        <v>774</v>
      </c>
      <c r="U6030" s="1">
        <v>39680</v>
      </c>
      <c r="V6030" t="s">
        <v>80</v>
      </c>
      <c r="W6030" t="s">
        <v>81</v>
      </c>
      <c r="X6030" t="s">
        <v>58</v>
      </c>
      <c r="Y6030">
        <v>23</v>
      </c>
      <c r="Z6030" t="s">
        <v>59</v>
      </c>
      <c r="AA6030" t="s">
        <v>59</v>
      </c>
      <c r="AB6030" t="s">
        <v>59</v>
      </c>
      <c r="AC6030" t="s">
        <v>59</v>
      </c>
      <c r="AD6030" t="s">
        <v>59</v>
      </c>
      <c r="AF6030" s="1">
        <v>39681</v>
      </c>
      <c r="AG6030" t="s">
        <v>8645</v>
      </c>
      <c r="AH6030" t="s">
        <v>8646</v>
      </c>
      <c r="AI6030" t="str">
        <f>"9170039"</f>
        <v>9170039</v>
      </c>
      <c r="AJ6030" t="s">
        <v>8804</v>
      </c>
      <c r="AK6030">
        <v>2894022231</v>
      </c>
      <c r="AL6030" t="s">
        <v>8805</v>
      </c>
      <c r="AM6030" t="s">
        <v>78</v>
      </c>
      <c r="AN6030" t="s">
        <v>405</v>
      </c>
      <c r="AO6030" t="s">
        <v>406</v>
      </c>
      <c r="AP6030" t="s">
        <v>406</v>
      </c>
      <c r="AQ6030">
        <v>6</v>
      </c>
      <c r="AR6030" t="s">
        <v>80</v>
      </c>
      <c r="AS6030" t="s">
        <v>81</v>
      </c>
      <c r="AT6030" t="s">
        <v>58</v>
      </c>
      <c r="AU6030" t="s">
        <v>68</v>
      </c>
      <c r="AV6030" t="s">
        <v>69</v>
      </c>
      <c r="AW6030" s="1">
        <v>31154</v>
      </c>
      <c r="AX6030">
        <v>1</v>
      </c>
    </row>
    <row r="6031" spans="1:50">
      <c r="A6031">
        <v>604611</v>
      </c>
      <c r="B6031" t="str">
        <f>"118916700"</f>
        <v>118916700</v>
      </c>
      <c r="C6031" t="s">
        <v>50</v>
      </c>
      <c r="D6031" t="s">
        <v>2404</v>
      </c>
      <c r="E6031" t="s">
        <v>1355</v>
      </c>
      <c r="F6031" t="s">
        <v>1414</v>
      </c>
      <c r="G6031" t="s">
        <v>52</v>
      </c>
      <c r="H6031" t="str">
        <f>"ΧΑΡΩΝΙΤΗ 34 ΓΑΖΙ"</f>
        <v>ΧΑΡΩΝΙΤΗ 34 ΓΑΖΙ</v>
      </c>
      <c r="I6031">
        <v>71414</v>
      </c>
      <c r="J6031">
        <v>2810318428</v>
      </c>
      <c r="K6031">
        <v>6934338523</v>
      </c>
      <c r="N6031" t="s">
        <v>615</v>
      </c>
      <c r="O6031" t="s">
        <v>616</v>
      </c>
      <c r="R6031" t="s">
        <v>57</v>
      </c>
      <c r="S6031">
        <v>14</v>
      </c>
      <c r="T6031">
        <v>231</v>
      </c>
      <c r="U6031" s="1">
        <v>38230</v>
      </c>
      <c r="V6031" t="s">
        <v>80</v>
      </c>
      <c r="W6031" t="s">
        <v>81</v>
      </c>
      <c r="X6031" t="s">
        <v>58</v>
      </c>
      <c r="Y6031">
        <v>22</v>
      </c>
      <c r="Z6031" t="s">
        <v>59</v>
      </c>
      <c r="AA6031" t="s">
        <v>59</v>
      </c>
      <c r="AB6031" t="s">
        <v>59</v>
      </c>
      <c r="AC6031" t="s">
        <v>59</v>
      </c>
      <c r="AD6031" t="s">
        <v>59</v>
      </c>
      <c r="AF6031" s="1">
        <v>38231</v>
      </c>
      <c r="AG6031" t="s">
        <v>8645</v>
      </c>
      <c r="AH6031" t="s">
        <v>8646</v>
      </c>
      <c r="AI6031" t="str">
        <f>"9521091"</f>
        <v>9521091</v>
      </c>
      <c r="AJ6031" t="s">
        <v>8959</v>
      </c>
      <c r="AK6031">
        <v>2810370360</v>
      </c>
      <c r="AL6031" t="s">
        <v>8960</v>
      </c>
      <c r="AM6031" t="s">
        <v>78</v>
      </c>
      <c r="AN6031" t="s">
        <v>129</v>
      </c>
      <c r="AO6031" t="s">
        <v>130</v>
      </c>
      <c r="AP6031" t="s">
        <v>130</v>
      </c>
      <c r="AQ6031">
        <v>1</v>
      </c>
      <c r="AR6031" t="s">
        <v>80</v>
      </c>
      <c r="AS6031" t="s">
        <v>81</v>
      </c>
      <c r="AT6031" t="s">
        <v>58</v>
      </c>
      <c r="AU6031" t="s">
        <v>68</v>
      </c>
      <c r="AV6031" t="s">
        <v>69</v>
      </c>
      <c r="AW6031" s="1">
        <v>24148</v>
      </c>
      <c r="AX6031">
        <v>1</v>
      </c>
    </row>
    <row r="6032" spans="1:50">
      <c r="B6032" t="str">
        <f>"132344838"</f>
        <v>132344838</v>
      </c>
      <c r="C6032" t="s">
        <v>50</v>
      </c>
      <c r="D6032" t="s">
        <v>2404</v>
      </c>
      <c r="E6032" t="s">
        <v>263</v>
      </c>
      <c r="F6032" t="s">
        <v>99</v>
      </c>
      <c r="G6032" t="s">
        <v>964</v>
      </c>
      <c r="H6032" t="str">
        <f>" "</f>
        <v xml:space="preserve"> </v>
      </c>
      <c r="N6032" t="s">
        <v>1525</v>
      </c>
      <c r="O6032" t="s">
        <v>1526</v>
      </c>
      <c r="R6032" t="s">
        <v>121</v>
      </c>
      <c r="S6032">
        <v>1</v>
      </c>
      <c r="T6032" t="s">
        <v>8670</v>
      </c>
      <c r="U6032" s="1">
        <v>43348</v>
      </c>
      <c r="V6032" t="s">
        <v>80</v>
      </c>
      <c r="W6032" t="s">
        <v>81</v>
      </c>
      <c r="X6032" t="s">
        <v>58</v>
      </c>
      <c r="Y6032">
        <v>25</v>
      </c>
      <c r="Z6032" t="s">
        <v>59</v>
      </c>
      <c r="AD6032" t="s">
        <v>59</v>
      </c>
      <c r="AF6032" s="1">
        <v>43348</v>
      </c>
      <c r="AG6032" t="s">
        <v>8651</v>
      </c>
      <c r="AH6032" t="s">
        <v>8652</v>
      </c>
      <c r="AI6032" t="str">
        <f>"9170096"</f>
        <v>9170096</v>
      </c>
      <c r="AJ6032" t="s">
        <v>9742</v>
      </c>
      <c r="AK6032">
        <v>2810751200</v>
      </c>
      <c r="AL6032" t="s">
        <v>9743</v>
      </c>
      <c r="AM6032" t="s">
        <v>78</v>
      </c>
      <c r="AN6032" t="s">
        <v>424</v>
      </c>
      <c r="AO6032" t="s">
        <v>425</v>
      </c>
      <c r="AP6032" t="s">
        <v>425</v>
      </c>
      <c r="AQ6032">
        <v>11</v>
      </c>
      <c r="AR6032" t="s">
        <v>80</v>
      </c>
      <c r="AS6032" t="s">
        <v>81</v>
      </c>
      <c r="AT6032" t="s">
        <v>58</v>
      </c>
      <c r="AU6032" t="s">
        <v>8673</v>
      </c>
      <c r="AV6032" t="s">
        <v>132</v>
      </c>
      <c r="AW6032" s="1">
        <v>30201</v>
      </c>
      <c r="AX6032">
        <v>1</v>
      </c>
    </row>
    <row r="6033" spans="1:50">
      <c r="A6033">
        <v>614796</v>
      </c>
      <c r="B6033" t="str">
        <f>"139109706"</f>
        <v>139109706</v>
      </c>
      <c r="C6033" t="s">
        <v>50</v>
      </c>
      <c r="D6033" t="s">
        <v>2404</v>
      </c>
      <c r="E6033" t="s">
        <v>366</v>
      </c>
      <c r="F6033" t="s">
        <v>95</v>
      </c>
      <c r="G6033" t="s">
        <v>396</v>
      </c>
      <c r="H6033" t="str">
        <f>"ΚΑΤΩ ΚΑΛΕΣΣΑ, ΓΑΖΙ ΗΡΑΚΛΕΙΟ"</f>
        <v>ΚΑΤΩ ΚΑΛΕΣΣΑ, ΓΑΖΙ ΗΡΑΚΛΕΙΟ</v>
      </c>
      <c r="I6033">
        <v>71500</v>
      </c>
      <c r="J6033">
        <v>2810824298</v>
      </c>
      <c r="K6033">
        <v>6972297437</v>
      </c>
      <c r="M6033" t="s">
        <v>10477</v>
      </c>
      <c r="N6033" t="s">
        <v>615</v>
      </c>
      <c r="O6033" t="s">
        <v>616</v>
      </c>
      <c r="R6033" t="s">
        <v>57</v>
      </c>
      <c r="S6033">
        <v>6</v>
      </c>
      <c r="T6033">
        <v>598</v>
      </c>
      <c r="U6033" s="1">
        <v>39310</v>
      </c>
      <c r="V6033" t="s">
        <v>80</v>
      </c>
      <c r="W6033" t="s">
        <v>81</v>
      </c>
      <c r="X6033" t="s">
        <v>58</v>
      </c>
      <c r="Y6033">
        <v>23</v>
      </c>
      <c r="Z6033" t="s">
        <v>59</v>
      </c>
      <c r="AA6033" t="s">
        <v>59</v>
      </c>
      <c r="AB6033" t="s">
        <v>59</v>
      </c>
      <c r="AC6033" t="s">
        <v>59</v>
      </c>
      <c r="AD6033" t="s">
        <v>59</v>
      </c>
      <c r="AF6033" s="1">
        <v>39328</v>
      </c>
      <c r="AG6033" t="s">
        <v>8645</v>
      </c>
      <c r="AH6033" t="s">
        <v>8646</v>
      </c>
      <c r="AI6033" t="str">
        <f>"9170020"</f>
        <v>9170020</v>
      </c>
      <c r="AJ6033" t="s">
        <v>9244</v>
      </c>
      <c r="AK6033">
        <v>2810821476</v>
      </c>
      <c r="AL6033" t="s">
        <v>9245</v>
      </c>
      <c r="AM6033" t="s">
        <v>78</v>
      </c>
      <c r="AN6033" t="s">
        <v>129</v>
      </c>
      <c r="AO6033" t="s">
        <v>130</v>
      </c>
      <c r="AP6033" t="s">
        <v>9246</v>
      </c>
      <c r="AQ6033">
        <v>2</v>
      </c>
      <c r="AR6033" t="s">
        <v>80</v>
      </c>
      <c r="AS6033" t="s">
        <v>81</v>
      </c>
      <c r="AT6033" t="s">
        <v>58</v>
      </c>
      <c r="AU6033" t="s">
        <v>68</v>
      </c>
      <c r="AV6033" t="s">
        <v>69</v>
      </c>
      <c r="AW6033" s="1">
        <v>31110</v>
      </c>
      <c r="AX6033">
        <v>1</v>
      </c>
    </row>
    <row r="6034" spans="1:50">
      <c r="A6034">
        <v>579003</v>
      </c>
      <c r="B6034" t="str">
        <f>"029131775"</f>
        <v>029131775</v>
      </c>
      <c r="C6034" t="s">
        <v>50</v>
      </c>
      <c r="D6034" t="s">
        <v>2404</v>
      </c>
      <c r="E6034" t="s">
        <v>215</v>
      </c>
      <c r="F6034" t="s">
        <v>5896</v>
      </c>
      <c r="G6034" t="s">
        <v>727</v>
      </c>
      <c r="H6034" t="str">
        <f>"ΠΕΡΙΟΧΗ ΓΛΥΜΑΤΑ ΑΓ.ΝΙΚΟΛΑΟΣ"</f>
        <v>ΠΕΡΙΟΧΗ ΓΛΥΜΑΤΑ ΑΓ.ΝΙΚΟΛΑΟΣ</v>
      </c>
      <c r="I6034">
        <v>72100</v>
      </c>
      <c r="J6034">
        <v>2841023749</v>
      </c>
      <c r="K6034">
        <v>6976304697</v>
      </c>
      <c r="M6034" t="s">
        <v>10478</v>
      </c>
      <c r="N6034" t="s">
        <v>615</v>
      </c>
      <c r="O6034" t="s">
        <v>616</v>
      </c>
      <c r="R6034" t="s">
        <v>57</v>
      </c>
      <c r="S6034">
        <v>12</v>
      </c>
      <c r="T6034">
        <v>165</v>
      </c>
      <c r="U6034" s="1">
        <v>35300</v>
      </c>
      <c r="V6034" t="s">
        <v>80</v>
      </c>
      <c r="W6034" t="s">
        <v>81</v>
      </c>
      <c r="X6034" t="s">
        <v>58</v>
      </c>
      <c r="Y6034">
        <v>21</v>
      </c>
      <c r="Z6034" t="s">
        <v>59</v>
      </c>
      <c r="AA6034" t="s">
        <v>59</v>
      </c>
      <c r="AB6034" t="s">
        <v>59</v>
      </c>
      <c r="AC6034" t="s">
        <v>59</v>
      </c>
      <c r="AD6034" t="s">
        <v>59</v>
      </c>
      <c r="AF6034" s="1">
        <v>35312</v>
      </c>
      <c r="AG6034" t="s">
        <v>8645</v>
      </c>
      <c r="AH6034" t="s">
        <v>8646</v>
      </c>
      <c r="AI6034" t="str">
        <f>"9170257"</f>
        <v>9170257</v>
      </c>
      <c r="AJ6034" t="s">
        <v>8710</v>
      </c>
      <c r="AK6034">
        <v>2810245513</v>
      </c>
      <c r="AL6034" t="s">
        <v>8711</v>
      </c>
      <c r="AM6034" t="s">
        <v>78</v>
      </c>
      <c r="AN6034" t="s">
        <v>78</v>
      </c>
      <c r="AO6034" t="s">
        <v>78</v>
      </c>
      <c r="AP6034" t="s">
        <v>213</v>
      </c>
      <c r="AQ6034">
        <v>1</v>
      </c>
      <c r="AR6034" t="s">
        <v>80</v>
      </c>
      <c r="AS6034" t="s">
        <v>81</v>
      </c>
      <c r="AT6034" t="s">
        <v>58</v>
      </c>
      <c r="AU6034" t="s">
        <v>68</v>
      </c>
      <c r="AV6034" t="s">
        <v>69</v>
      </c>
      <c r="AW6034" s="1">
        <v>22713</v>
      </c>
      <c r="AX6034">
        <v>1</v>
      </c>
    </row>
    <row r="6035" spans="1:50">
      <c r="A6035">
        <v>595714</v>
      </c>
      <c r="B6035" t="str">
        <f>"103658212"</f>
        <v>103658212</v>
      </c>
      <c r="C6035" t="s">
        <v>50</v>
      </c>
      <c r="D6035" t="s">
        <v>2404</v>
      </c>
      <c r="E6035" t="s">
        <v>52</v>
      </c>
      <c r="F6035" t="s">
        <v>166</v>
      </c>
      <c r="G6035" t="s">
        <v>1361</v>
      </c>
      <c r="H6035" t="str">
        <f>"Λ. ΚΟΚΚΚΙΝΟΥ ΠΥΡΓΟΥ ΤΥΜΠΑΚΙΟΥ"</f>
        <v>Λ. ΚΟΚΚΚΙΝΟΥ ΠΥΡΓΟΥ ΤΥΜΠΑΚΙΟΥ</v>
      </c>
      <c r="I6035">
        <v>70200</v>
      </c>
      <c r="J6035">
        <v>2892053413</v>
      </c>
      <c r="K6035">
        <v>6948009374</v>
      </c>
      <c r="N6035" t="s">
        <v>1525</v>
      </c>
      <c r="O6035" t="s">
        <v>1526</v>
      </c>
      <c r="R6035" t="s">
        <v>57</v>
      </c>
      <c r="S6035">
        <v>9</v>
      </c>
      <c r="T6035">
        <v>218</v>
      </c>
      <c r="U6035" s="1">
        <v>37134</v>
      </c>
      <c r="V6035" t="s">
        <v>80</v>
      </c>
      <c r="W6035" t="s">
        <v>81</v>
      </c>
      <c r="X6035" t="s">
        <v>58</v>
      </c>
      <c r="Y6035">
        <v>25</v>
      </c>
      <c r="Z6035" t="s">
        <v>59</v>
      </c>
      <c r="AA6035" t="s">
        <v>59</v>
      </c>
      <c r="AB6035" t="s">
        <v>59</v>
      </c>
      <c r="AC6035" t="s">
        <v>59</v>
      </c>
      <c r="AD6035" t="s">
        <v>59</v>
      </c>
      <c r="AF6035" s="1">
        <v>37141</v>
      </c>
      <c r="AG6035" t="s">
        <v>8651</v>
      </c>
      <c r="AH6035" t="s">
        <v>8652</v>
      </c>
      <c r="AI6035" t="str">
        <f>"9170337"</f>
        <v>9170337</v>
      </c>
      <c r="AJ6035" t="s">
        <v>10152</v>
      </c>
      <c r="AK6035">
        <v>2892053029</v>
      </c>
      <c r="AL6035" t="s">
        <v>10153</v>
      </c>
      <c r="AM6035" t="s">
        <v>78</v>
      </c>
      <c r="AN6035" t="s">
        <v>242</v>
      </c>
      <c r="AO6035" t="s">
        <v>349</v>
      </c>
      <c r="AP6035" t="s">
        <v>349</v>
      </c>
      <c r="AQ6035">
        <v>19</v>
      </c>
      <c r="AR6035" t="s">
        <v>80</v>
      </c>
      <c r="AS6035" t="s">
        <v>81</v>
      </c>
      <c r="AT6035" t="s">
        <v>58</v>
      </c>
      <c r="AU6035" t="s">
        <v>68</v>
      </c>
      <c r="AV6035" t="s">
        <v>69</v>
      </c>
      <c r="AW6035" s="1">
        <v>24706</v>
      </c>
      <c r="AX6035">
        <v>1</v>
      </c>
    </row>
    <row r="6036" spans="1:50">
      <c r="A6036">
        <v>607251</v>
      </c>
      <c r="B6036" t="str">
        <f>"132312202"</f>
        <v>132312202</v>
      </c>
      <c r="C6036" t="s">
        <v>50</v>
      </c>
      <c r="D6036" t="s">
        <v>2404</v>
      </c>
      <c r="E6036" t="s">
        <v>52</v>
      </c>
      <c r="F6036" t="s">
        <v>72</v>
      </c>
      <c r="G6036" t="s">
        <v>181</v>
      </c>
      <c r="H6036" t="str">
        <f>"ΦΩΤΕΙΝΟΥ 20 ΗΡΑΚΛΕΙΟ"</f>
        <v>ΦΩΤΕΙΝΟΥ 20 ΗΡΑΚΛΕΙΟ</v>
      </c>
      <c r="I6036">
        <v>71410</v>
      </c>
      <c r="K6036">
        <v>6945435493</v>
      </c>
      <c r="M6036" t="s">
        <v>10479</v>
      </c>
      <c r="N6036" t="s">
        <v>615</v>
      </c>
      <c r="O6036" t="s">
        <v>616</v>
      </c>
      <c r="R6036" t="s">
        <v>57</v>
      </c>
      <c r="S6036">
        <v>7</v>
      </c>
      <c r="T6036">
        <v>217</v>
      </c>
      <c r="U6036" s="1">
        <v>38596</v>
      </c>
      <c r="V6036" t="s">
        <v>80</v>
      </c>
      <c r="W6036" t="s">
        <v>81</v>
      </c>
      <c r="X6036" t="s">
        <v>58</v>
      </c>
      <c r="Y6036">
        <v>22</v>
      </c>
      <c r="Z6036" t="s">
        <v>59</v>
      </c>
      <c r="AA6036" t="s">
        <v>59</v>
      </c>
      <c r="AB6036" t="s">
        <v>59</v>
      </c>
      <c r="AC6036" t="s">
        <v>59</v>
      </c>
      <c r="AD6036" t="s">
        <v>59</v>
      </c>
      <c r="AF6036" s="1">
        <v>38600</v>
      </c>
      <c r="AG6036" t="s">
        <v>8645</v>
      </c>
      <c r="AH6036" t="s">
        <v>8646</v>
      </c>
      <c r="AI6036" t="str">
        <f>"9170428"</f>
        <v>9170428</v>
      </c>
      <c r="AJ6036" t="s">
        <v>8983</v>
      </c>
      <c r="AK6036">
        <v>2810234768</v>
      </c>
      <c r="AL6036" t="s">
        <v>8984</v>
      </c>
      <c r="AM6036" t="s">
        <v>78</v>
      </c>
      <c r="AN6036" t="s">
        <v>78</v>
      </c>
      <c r="AO6036" t="s">
        <v>78</v>
      </c>
      <c r="AP6036" t="s">
        <v>79</v>
      </c>
      <c r="AQ6036">
        <v>1</v>
      </c>
      <c r="AR6036" t="s">
        <v>80</v>
      </c>
      <c r="AS6036" t="s">
        <v>81</v>
      </c>
      <c r="AT6036" t="s">
        <v>58</v>
      </c>
      <c r="AU6036" t="s">
        <v>68</v>
      </c>
      <c r="AV6036" t="s">
        <v>69</v>
      </c>
      <c r="AW6036" s="1">
        <v>29113</v>
      </c>
      <c r="AX6036">
        <v>1</v>
      </c>
    </row>
    <row r="6037" spans="1:50">
      <c r="A6037">
        <v>621714</v>
      </c>
      <c r="B6037" t="str">
        <f>"144330862"</f>
        <v>144330862</v>
      </c>
      <c r="C6037" t="s">
        <v>50</v>
      </c>
      <c r="D6037" t="s">
        <v>2404</v>
      </c>
      <c r="E6037" t="s">
        <v>4836</v>
      </c>
      <c r="F6037" t="s">
        <v>95</v>
      </c>
      <c r="G6037" t="s">
        <v>215</v>
      </c>
      <c r="H6037" t="str">
        <f>"ΑΝΔΡΕΑ ΡΙΤΣΟΥ 6 ΗΡΑΚΛΕΙΟ"</f>
        <v>ΑΝΔΡΕΑ ΡΙΤΣΟΥ 6 ΗΡΑΚΛΕΙΟ</v>
      </c>
      <c r="I6037">
        <v>71409</v>
      </c>
      <c r="J6037">
        <v>2810212697</v>
      </c>
      <c r="K6037">
        <v>6948604204</v>
      </c>
      <c r="N6037" t="s">
        <v>615</v>
      </c>
      <c r="O6037" t="s">
        <v>616</v>
      </c>
      <c r="R6037" t="s">
        <v>57</v>
      </c>
      <c r="S6037">
        <v>6</v>
      </c>
      <c r="T6037">
        <v>653</v>
      </c>
      <c r="U6037" s="1">
        <v>40043</v>
      </c>
      <c r="V6037" t="s">
        <v>80</v>
      </c>
      <c r="W6037" t="s">
        <v>81</v>
      </c>
      <c r="X6037" t="s">
        <v>58</v>
      </c>
      <c r="Y6037">
        <v>23</v>
      </c>
      <c r="Z6037" t="s">
        <v>59</v>
      </c>
      <c r="AA6037" t="s">
        <v>59</v>
      </c>
      <c r="AB6037" t="s">
        <v>59</v>
      </c>
      <c r="AC6037" t="s">
        <v>59</v>
      </c>
      <c r="AD6037" t="s">
        <v>59</v>
      </c>
      <c r="AF6037" s="1">
        <v>40043</v>
      </c>
      <c r="AG6037" t="s">
        <v>8645</v>
      </c>
      <c r="AH6037" t="s">
        <v>8646</v>
      </c>
      <c r="AI6037" t="str">
        <f>"9170012"</f>
        <v>9170012</v>
      </c>
      <c r="AJ6037" t="s">
        <v>8865</v>
      </c>
      <c r="AK6037">
        <v>2810811304</v>
      </c>
      <c r="AL6037" t="s">
        <v>8866</v>
      </c>
      <c r="AM6037" t="s">
        <v>78</v>
      </c>
      <c r="AN6037" t="s">
        <v>129</v>
      </c>
      <c r="AO6037" t="s">
        <v>130</v>
      </c>
      <c r="AP6037" t="s">
        <v>8867</v>
      </c>
      <c r="AQ6037">
        <v>2</v>
      </c>
      <c r="AR6037" t="s">
        <v>80</v>
      </c>
      <c r="AS6037" t="s">
        <v>81</v>
      </c>
      <c r="AT6037" t="s">
        <v>58</v>
      </c>
      <c r="AU6037" t="s">
        <v>68</v>
      </c>
      <c r="AV6037" t="s">
        <v>69</v>
      </c>
      <c r="AW6037" s="1">
        <v>31637</v>
      </c>
      <c r="AX6037">
        <v>1</v>
      </c>
    </row>
    <row r="6038" spans="1:50">
      <c r="A6038">
        <v>601233</v>
      </c>
      <c r="B6038" t="str">
        <f>"104910837"</f>
        <v>104910837</v>
      </c>
      <c r="C6038" t="s">
        <v>105</v>
      </c>
      <c r="D6038" t="s">
        <v>2411</v>
      </c>
      <c r="E6038" t="s">
        <v>154</v>
      </c>
      <c r="F6038" t="s">
        <v>95</v>
      </c>
      <c r="G6038" t="s">
        <v>52</v>
      </c>
      <c r="H6038" t="str">
        <f>"ΘΕΟΤΟΚΟΠΟΥΛΟΥ 77 ΗΡΑΚΛΕΙΟ"</f>
        <v>ΘΕΟΤΟΚΟΠΟΥΛΟΥ 77 ΗΡΑΚΛΕΙΟ</v>
      </c>
      <c r="I6038">
        <v>70400</v>
      </c>
      <c r="J6038">
        <v>2892091318</v>
      </c>
      <c r="K6038">
        <v>6937351090</v>
      </c>
      <c r="N6038" t="s">
        <v>615</v>
      </c>
      <c r="O6038" t="s">
        <v>616</v>
      </c>
      <c r="R6038" t="s">
        <v>57</v>
      </c>
      <c r="S6038">
        <v>8</v>
      </c>
      <c r="T6038">
        <v>207</v>
      </c>
      <c r="U6038" s="1">
        <v>37866</v>
      </c>
      <c r="V6038" t="s">
        <v>80</v>
      </c>
      <c r="W6038" t="s">
        <v>81</v>
      </c>
      <c r="X6038" t="s">
        <v>58</v>
      </c>
      <c r="Y6038">
        <v>22</v>
      </c>
      <c r="Z6038" t="s">
        <v>59</v>
      </c>
      <c r="AA6038" t="s">
        <v>59</v>
      </c>
      <c r="AB6038" t="s">
        <v>59</v>
      </c>
      <c r="AC6038" t="s">
        <v>59</v>
      </c>
      <c r="AD6038" t="s">
        <v>59</v>
      </c>
      <c r="AF6038" s="1">
        <v>37866</v>
      </c>
      <c r="AG6038" t="s">
        <v>8645</v>
      </c>
      <c r="AH6038" t="s">
        <v>8646</v>
      </c>
      <c r="AI6038" t="str">
        <f>"9170267"</f>
        <v>9170267</v>
      </c>
      <c r="AJ6038" t="s">
        <v>8840</v>
      </c>
      <c r="AK6038">
        <v>2892022320</v>
      </c>
      <c r="AL6038" t="s">
        <v>8841</v>
      </c>
      <c r="AM6038" t="s">
        <v>78</v>
      </c>
      <c r="AN6038" t="s">
        <v>242</v>
      </c>
      <c r="AO6038" t="s">
        <v>243</v>
      </c>
      <c r="AP6038" t="s">
        <v>243</v>
      </c>
      <c r="AQ6038">
        <v>20</v>
      </c>
      <c r="AR6038" t="s">
        <v>80</v>
      </c>
      <c r="AS6038" t="s">
        <v>81</v>
      </c>
      <c r="AT6038" t="s">
        <v>58</v>
      </c>
      <c r="AU6038" t="s">
        <v>68</v>
      </c>
      <c r="AV6038" t="s">
        <v>69</v>
      </c>
      <c r="AW6038" s="1">
        <v>26777</v>
      </c>
      <c r="AX6038">
        <v>1</v>
      </c>
    </row>
    <row r="6039" spans="1:50">
      <c r="A6039">
        <v>585776</v>
      </c>
      <c r="B6039" t="str">
        <f>"044019452"</f>
        <v>044019452</v>
      </c>
      <c r="C6039" t="s">
        <v>105</v>
      </c>
      <c r="D6039" t="s">
        <v>2411</v>
      </c>
      <c r="E6039" t="s">
        <v>95</v>
      </c>
      <c r="F6039" t="s">
        <v>53</v>
      </c>
      <c r="G6039" t="s">
        <v>5556</v>
      </c>
      <c r="H6039" t="str">
        <f>"ΣΙΒΑΣ ΠΥΡΓ/ΣΗΣ ΤΥΜΠΑΚΙ"</f>
        <v>ΣΙΒΑΣ ΠΥΡΓ/ΣΗΣ ΤΥΜΠΑΚΙ</v>
      </c>
      <c r="I6039">
        <v>70200</v>
      </c>
      <c r="J6039">
        <v>2892042337</v>
      </c>
      <c r="K6039">
        <v>6977230651</v>
      </c>
      <c r="N6039" t="s">
        <v>615</v>
      </c>
      <c r="O6039" t="s">
        <v>616</v>
      </c>
      <c r="R6039" t="s">
        <v>57</v>
      </c>
      <c r="S6039">
        <v>11</v>
      </c>
      <c r="T6039" t="s">
        <v>10480</v>
      </c>
      <c r="U6039" s="1">
        <v>36045</v>
      </c>
      <c r="V6039" t="s">
        <v>80</v>
      </c>
      <c r="W6039" t="s">
        <v>81</v>
      </c>
      <c r="X6039" t="s">
        <v>58</v>
      </c>
      <c r="Y6039">
        <v>21</v>
      </c>
      <c r="Z6039" t="s">
        <v>59</v>
      </c>
      <c r="AA6039" t="s">
        <v>59</v>
      </c>
      <c r="AB6039" t="s">
        <v>59</v>
      </c>
      <c r="AC6039" t="s">
        <v>59</v>
      </c>
      <c r="AD6039" t="s">
        <v>59</v>
      </c>
      <c r="AF6039" s="1">
        <v>36045</v>
      </c>
      <c r="AG6039" t="s">
        <v>8645</v>
      </c>
      <c r="AH6039" t="s">
        <v>8646</v>
      </c>
      <c r="AI6039" t="str">
        <f>"9170425"</f>
        <v>9170425</v>
      </c>
      <c r="AJ6039" t="s">
        <v>9350</v>
      </c>
      <c r="AK6039">
        <v>2810250261</v>
      </c>
      <c r="AL6039" t="s">
        <v>9351</v>
      </c>
      <c r="AM6039" t="s">
        <v>78</v>
      </c>
      <c r="AN6039" t="s">
        <v>78</v>
      </c>
      <c r="AO6039" t="s">
        <v>78</v>
      </c>
      <c r="AP6039" t="s">
        <v>141</v>
      </c>
      <c r="AQ6039">
        <v>1</v>
      </c>
      <c r="AR6039" t="s">
        <v>80</v>
      </c>
      <c r="AS6039" t="s">
        <v>81</v>
      </c>
      <c r="AT6039" t="s">
        <v>58</v>
      </c>
      <c r="AU6039" t="s">
        <v>68</v>
      </c>
      <c r="AV6039" t="s">
        <v>69</v>
      </c>
      <c r="AW6039" s="1">
        <v>24837</v>
      </c>
      <c r="AX6039">
        <v>1</v>
      </c>
    </row>
    <row r="6040" spans="1:50">
      <c r="A6040">
        <v>581221</v>
      </c>
      <c r="B6040" t="str">
        <f>"038912621"</f>
        <v>038912621</v>
      </c>
      <c r="C6040" t="s">
        <v>105</v>
      </c>
      <c r="D6040" t="s">
        <v>2411</v>
      </c>
      <c r="E6040" t="s">
        <v>72</v>
      </c>
      <c r="F6040" t="s">
        <v>95</v>
      </c>
      <c r="G6040" t="s">
        <v>215</v>
      </c>
      <c r="H6040" t="str">
        <f>" "</f>
        <v xml:space="preserve"> </v>
      </c>
      <c r="N6040" t="s">
        <v>615</v>
      </c>
      <c r="O6040" t="s">
        <v>616</v>
      </c>
      <c r="R6040" t="s">
        <v>57</v>
      </c>
      <c r="S6040">
        <v>15</v>
      </c>
      <c r="T6040" t="s">
        <v>10481</v>
      </c>
      <c r="U6040" s="1">
        <v>35677</v>
      </c>
      <c r="V6040" t="s">
        <v>80</v>
      </c>
      <c r="W6040" t="s">
        <v>81</v>
      </c>
      <c r="X6040" t="s">
        <v>58</v>
      </c>
      <c r="Y6040">
        <v>21</v>
      </c>
      <c r="Z6040" t="s">
        <v>59</v>
      </c>
      <c r="AA6040" t="s">
        <v>59</v>
      </c>
      <c r="AB6040" t="s">
        <v>59</v>
      </c>
      <c r="AC6040" t="s">
        <v>59</v>
      </c>
      <c r="AD6040" t="s">
        <v>59</v>
      </c>
      <c r="AF6040" s="1">
        <v>35677</v>
      </c>
      <c r="AG6040" t="s">
        <v>8645</v>
      </c>
      <c r="AH6040" t="s">
        <v>8646</v>
      </c>
      <c r="AI6040" t="str">
        <f>"9170338"</f>
        <v>9170338</v>
      </c>
      <c r="AJ6040" t="s">
        <v>8849</v>
      </c>
      <c r="AK6040">
        <v>2892051377</v>
      </c>
      <c r="AL6040" t="s">
        <v>8850</v>
      </c>
      <c r="AM6040" t="s">
        <v>78</v>
      </c>
      <c r="AN6040" t="s">
        <v>242</v>
      </c>
      <c r="AO6040" t="s">
        <v>349</v>
      </c>
      <c r="AP6040" t="s">
        <v>349</v>
      </c>
      <c r="AQ6040">
        <v>19</v>
      </c>
      <c r="AR6040" t="s">
        <v>80</v>
      </c>
      <c r="AS6040" t="s">
        <v>81</v>
      </c>
      <c r="AT6040" t="s">
        <v>58</v>
      </c>
      <c r="AU6040" t="s">
        <v>68</v>
      </c>
      <c r="AV6040" t="s">
        <v>69</v>
      </c>
      <c r="AW6040" s="1">
        <v>22915</v>
      </c>
      <c r="AX6040">
        <v>1</v>
      </c>
    </row>
    <row r="6041" spans="1:50">
      <c r="A6041">
        <v>615398</v>
      </c>
      <c r="B6041" t="str">
        <f>"064091858"</f>
        <v>064091858</v>
      </c>
      <c r="C6041" t="s">
        <v>50</v>
      </c>
      <c r="D6041" t="s">
        <v>10482</v>
      </c>
      <c r="E6041" t="s">
        <v>52</v>
      </c>
      <c r="F6041" t="s">
        <v>377</v>
      </c>
      <c r="G6041" t="s">
        <v>334</v>
      </c>
      <c r="H6041" t="str">
        <f>"ΠΑΠΑΠΕΤΡΟΥ ΓΑΒΑΛΑ 44Α ΗΡΑΚΛΕΙΟ"</f>
        <v>ΠΑΠΑΠΕΤΡΟΥ ΓΑΒΑΛΑ 44Α ΗΡΑΚΛΕΙΟ</v>
      </c>
      <c r="I6041">
        <v>71409</v>
      </c>
      <c r="J6041">
        <v>2810211201</v>
      </c>
      <c r="K6041">
        <v>6932969380</v>
      </c>
      <c r="N6041" t="s">
        <v>1525</v>
      </c>
      <c r="O6041" t="s">
        <v>1526</v>
      </c>
      <c r="R6041" t="s">
        <v>57</v>
      </c>
      <c r="S6041">
        <v>6</v>
      </c>
      <c r="T6041">
        <v>598</v>
      </c>
      <c r="U6041" s="1">
        <v>39310</v>
      </c>
      <c r="V6041" t="s">
        <v>80</v>
      </c>
      <c r="W6041" t="s">
        <v>81</v>
      </c>
      <c r="X6041" t="s">
        <v>58</v>
      </c>
      <c r="Y6041">
        <v>25</v>
      </c>
      <c r="Z6041" t="s">
        <v>59</v>
      </c>
      <c r="AA6041" t="s">
        <v>59</v>
      </c>
      <c r="AB6041" t="s">
        <v>59</v>
      </c>
      <c r="AC6041" t="s">
        <v>59</v>
      </c>
      <c r="AD6041" t="s">
        <v>59</v>
      </c>
      <c r="AF6041" s="1">
        <v>39328</v>
      </c>
      <c r="AG6041" t="s">
        <v>8651</v>
      </c>
      <c r="AH6041" t="s">
        <v>8652</v>
      </c>
      <c r="AI6041" t="str">
        <f>"9170508"</f>
        <v>9170508</v>
      </c>
      <c r="AJ6041" t="s">
        <v>9073</v>
      </c>
      <c r="AK6041">
        <v>2810212076</v>
      </c>
      <c r="AL6041" t="s">
        <v>9074</v>
      </c>
      <c r="AM6041" t="s">
        <v>78</v>
      </c>
      <c r="AN6041" t="s">
        <v>78</v>
      </c>
      <c r="AO6041" t="s">
        <v>78</v>
      </c>
      <c r="AP6041" t="s">
        <v>163</v>
      </c>
      <c r="AQ6041">
        <v>1</v>
      </c>
      <c r="AR6041" t="s">
        <v>80</v>
      </c>
      <c r="AS6041" t="s">
        <v>81</v>
      </c>
      <c r="AT6041" t="s">
        <v>58</v>
      </c>
      <c r="AU6041" t="s">
        <v>68</v>
      </c>
      <c r="AV6041" t="s">
        <v>69</v>
      </c>
      <c r="AW6041" s="1">
        <v>26866</v>
      </c>
      <c r="AX6041">
        <v>1</v>
      </c>
    </row>
    <row r="6042" spans="1:50">
      <c r="B6042" t="str">
        <f>"110109262"</f>
        <v>110109262</v>
      </c>
      <c r="C6042" t="s">
        <v>105</v>
      </c>
      <c r="D6042" t="s">
        <v>10483</v>
      </c>
      <c r="E6042" t="s">
        <v>99</v>
      </c>
      <c r="F6042" t="s">
        <v>154</v>
      </c>
      <c r="G6042" t="s">
        <v>255</v>
      </c>
      <c r="H6042" t="str">
        <f>"ΕΠΙΣΚΟΠΗ ΕΠΙΣΚΟΠΗ"</f>
        <v>ΕΠΙΣΚΟΠΗ ΕΠΙΣΚΟΠΗ</v>
      </c>
      <c r="I6042">
        <v>70008</v>
      </c>
      <c r="J6042">
        <v>2810771053</v>
      </c>
      <c r="K6042">
        <v>6946501739</v>
      </c>
      <c r="N6042" t="s">
        <v>10484</v>
      </c>
      <c r="O6042" t="s">
        <v>10485</v>
      </c>
      <c r="R6042" t="s">
        <v>159</v>
      </c>
      <c r="S6042">
        <v>4</v>
      </c>
      <c r="T6042" t="s">
        <v>8696</v>
      </c>
      <c r="U6042" s="1">
        <v>43348</v>
      </c>
      <c r="V6042" t="s">
        <v>80</v>
      </c>
      <c r="W6042" t="s">
        <v>81</v>
      </c>
      <c r="X6042" t="s">
        <v>58</v>
      </c>
      <c r="Y6042">
        <v>24</v>
      </c>
      <c r="Z6042" t="s">
        <v>59</v>
      </c>
      <c r="AA6042" t="s">
        <v>59</v>
      </c>
      <c r="AB6042" t="s">
        <v>59</v>
      </c>
      <c r="AC6042" t="s">
        <v>59</v>
      </c>
      <c r="AD6042" t="s">
        <v>59</v>
      </c>
      <c r="AF6042" s="1">
        <v>43348</v>
      </c>
      <c r="AG6042" t="s">
        <v>8645</v>
      </c>
      <c r="AH6042" t="s">
        <v>8697</v>
      </c>
      <c r="AI6042" t="str">
        <f>"9170358"</f>
        <v>9170358</v>
      </c>
      <c r="AJ6042" t="s">
        <v>9378</v>
      </c>
      <c r="AK6042">
        <v>2810282028</v>
      </c>
      <c r="AL6042" t="s">
        <v>9379</v>
      </c>
      <c r="AM6042" t="s">
        <v>78</v>
      </c>
      <c r="AN6042" t="s">
        <v>78</v>
      </c>
      <c r="AO6042" t="s">
        <v>78</v>
      </c>
      <c r="AP6042" t="s">
        <v>141</v>
      </c>
      <c r="AQ6042">
        <v>1</v>
      </c>
      <c r="AR6042" t="s">
        <v>80</v>
      </c>
      <c r="AS6042" t="s">
        <v>81</v>
      </c>
      <c r="AT6042" t="s">
        <v>58</v>
      </c>
      <c r="AU6042" t="s">
        <v>350</v>
      </c>
      <c r="AV6042" t="s">
        <v>132</v>
      </c>
      <c r="AW6042" s="1">
        <v>29906</v>
      </c>
      <c r="AX6042">
        <v>1</v>
      </c>
    </row>
    <row r="6043" spans="1:50">
      <c r="A6043">
        <v>571110</v>
      </c>
      <c r="B6043" t="str">
        <f>"036320275"</f>
        <v>036320275</v>
      </c>
      <c r="C6043" t="s">
        <v>105</v>
      </c>
      <c r="D6043" t="s">
        <v>2414</v>
      </c>
      <c r="E6043" t="s">
        <v>53</v>
      </c>
      <c r="F6043" t="s">
        <v>108</v>
      </c>
      <c r="G6043" t="s">
        <v>372</v>
      </c>
      <c r="H6043" t="str">
        <f>"ΑΣΙΑΣ 4 ΗΡΑΚΛΕΙΟ"</f>
        <v>ΑΣΙΑΣ 4 ΗΡΑΚΛΕΙΟ</v>
      </c>
      <c r="I6043">
        <v>71305</v>
      </c>
      <c r="J6043">
        <v>2810210767</v>
      </c>
      <c r="K6043">
        <v>6937106701</v>
      </c>
      <c r="N6043" t="s">
        <v>615</v>
      </c>
      <c r="O6043" t="s">
        <v>616</v>
      </c>
      <c r="R6043" t="s">
        <v>57</v>
      </c>
      <c r="S6043">
        <v>14</v>
      </c>
      <c r="T6043">
        <v>138</v>
      </c>
      <c r="U6043" s="1">
        <v>34212</v>
      </c>
      <c r="V6043" t="s">
        <v>80</v>
      </c>
      <c r="W6043" t="s">
        <v>81</v>
      </c>
      <c r="X6043" t="s">
        <v>58</v>
      </c>
      <c r="Y6043">
        <v>21</v>
      </c>
      <c r="Z6043" t="s">
        <v>59</v>
      </c>
      <c r="AA6043" t="s">
        <v>59</v>
      </c>
      <c r="AB6043" t="s">
        <v>59</v>
      </c>
      <c r="AC6043" t="s">
        <v>59</v>
      </c>
      <c r="AD6043" t="s">
        <v>59</v>
      </c>
      <c r="AF6043" s="1">
        <v>34213</v>
      </c>
      <c r="AG6043" t="s">
        <v>8645</v>
      </c>
      <c r="AH6043" t="s">
        <v>8646</v>
      </c>
      <c r="AI6043" t="str">
        <f>"9170037"</f>
        <v>9170037</v>
      </c>
      <c r="AJ6043" t="s">
        <v>9215</v>
      </c>
      <c r="AK6043">
        <v>2810831208</v>
      </c>
      <c r="AL6043" t="s">
        <v>9216</v>
      </c>
      <c r="AM6043" t="s">
        <v>78</v>
      </c>
      <c r="AN6043" t="s">
        <v>129</v>
      </c>
      <c r="AO6043" t="s">
        <v>267</v>
      </c>
      <c r="AP6043" t="s">
        <v>267</v>
      </c>
      <c r="AQ6043">
        <v>2</v>
      </c>
      <c r="AR6043" t="s">
        <v>80</v>
      </c>
      <c r="AS6043" t="s">
        <v>81</v>
      </c>
      <c r="AT6043" t="s">
        <v>58</v>
      </c>
      <c r="AU6043" t="s">
        <v>68</v>
      </c>
      <c r="AV6043" t="s">
        <v>69</v>
      </c>
      <c r="AW6043" s="1">
        <v>23453</v>
      </c>
      <c r="AX6043">
        <v>1</v>
      </c>
    </row>
    <row r="6044" spans="1:50">
      <c r="A6044">
        <v>590703</v>
      </c>
      <c r="B6044" t="str">
        <f>"038778544"</f>
        <v>038778544</v>
      </c>
      <c r="C6044" t="s">
        <v>50</v>
      </c>
      <c r="D6044" t="s">
        <v>2416</v>
      </c>
      <c r="E6044" t="s">
        <v>10486</v>
      </c>
      <c r="F6044" t="s">
        <v>95</v>
      </c>
      <c r="G6044" t="s">
        <v>10487</v>
      </c>
      <c r="H6044" t="str">
        <f>"ΣΤΡΑΤ. ΒΑΣΣΟΥ 12 ΗΡΑΚΛΕΙΟ"</f>
        <v>ΣΤΡΑΤ. ΒΑΣΣΟΥ 12 ΗΡΑΚΛΕΙΟ</v>
      </c>
      <c r="I6044">
        <v>71201</v>
      </c>
      <c r="K6044">
        <v>6973185652</v>
      </c>
      <c r="N6044" t="s">
        <v>337</v>
      </c>
      <c r="O6044" t="s">
        <v>338</v>
      </c>
      <c r="R6044" t="s">
        <v>57</v>
      </c>
      <c r="S6044">
        <v>14</v>
      </c>
      <c r="T6044">
        <v>161</v>
      </c>
      <c r="U6044" s="1">
        <v>33119</v>
      </c>
      <c r="V6044" t="s">
        <v>80</v>
      </c>
      <c r="W6044" t="s">
        <v>81</v>
      </c>
      <c r="X6044" t="s">
        <v>58</v>
      </c>
      <c r="Y6044">
        <v>21</v>
      </c>
      <c r="Z6044" t="s">
        <v>59</v>
      </c>
      <c r="AA6044" t="s">
        <v>59</v>
      </c>
      <c r="AB6044" t="s">
        <v>59</v>
      </c>
      <c r="AC6044" t="s">
        <v>59</v>
      </c>
      <c r="AD6044" t="s">
        <v>59</v>
      </c>
      <c r="AF6044" s="1">
        <v>33121</v>
      </c>
      <c r="AG6044" t="s">
        <v>8645</v>
      </c>
      <c r="AH6044" t="s">
        <v>8646</v>
      </c>
      <c r="AI6044" t="str">
        <f>"9170102"</f>
        <v>9170102</v>
      </c>
      <c r="AJ6044" t="s">
        <v>9019</v>
      </c>
      <c r="AK6044">
        <v>2810283938</v>
      </c>
      <c r="AL6044" t="s">
        <v>9020</v>
      </c>
      <c r="AM6044" t="s">
        <v>78</v>
      </c>
      <c r="AN6044" t="s">
        <v>78</v>
      </c>
      <c r="AO6044" t="s">
        <v>78</v>
      </c>
      <c r="AP6044" t="s">
        <v>79</v>
      </c>
      <c r="AQ6044">
        <v>1</v>
      </c>
      <c r="AR6044" t="s">
        <v>80</v>
      </c>
      <c r="AS6044" t="s">
        <v>81</v>
      </c>
      <c r="AT6044" t="s">
        <v>58</v>
      </c>
      <c r="AU6044" t="s">
        <v>68</v>
      </c>
      <c r="AV6044" t="s">
        <v>69</v>
      </c>
      <c r="AW6044" s="1">
        <v>25173</v>
      </c>
      <c r="AX6044">
        <v>1</v>
      </c>
    </row>
    <row r="6045" spans="1:50">
      <c r="A6045">
        <v>450917</v>
      </c>
      <c r="B6045" t="str">
        <f>"038778913"</f>
        <v>038778913</v>
      </c>
      <c r="C6045" t="s">
        <v>50</v>
      </c>
      <c r="D6045" t="s">
        <v>2416</v>
      </c>
      <c r="E6045" t="s">
        <v>263</v>
      </c>
      <c r="F6045" t="s">
        <v>309</v>
      </c>
      <c r="G6045" t="s">
        <v>255</v>
      </c>
      <c r="H6045" t="str">
        <f>"ΘΗΒΑΣ 4 ΗΡΑΚΛΕΙΟ"</f>
        <v>ΘΗΒΑΣ 4 ΗΡΑΚΛΕΙΟ</v>
      </c>
      <c r="I6045">
        <v>71409</v>
      </c>
      <c r="J6045">
        <v>2810323255</v>
      </c>
      <c r="K6045">
        <v>6972818655</v>
      </c>
      <c r="M6045" t="s">
        <v>10488</v>
      </c>
      <c r="N6045" t="s">
        <v>1525</v>
      </c>
      <c r="O6045" t="s">
        <v>1526</v>
      </c>
      <c r="R6045" t="s">
        <v>57</v>
      </c>
      <c r="S6045">
        <v>14</v>
      </c>
      <c r="T6045">
        <v>133</v>
      </c>
      <c r="U6045" s="1">
        <v>36342</v>
      </c>
      <c r="V6045" t="s">
        <v>80</v>
      </c>
      <c r="W6045" t="s">
        <v>81</v>
      </c>
      <c r="X6045" t="s">
        <v>58</v>
      </c>
      <c r="Y6045">
        <v>25</v>
      </c>
      <c r="Z6045" t="s">
        <v>59</v>
      </c>
      <c r="AA6045" t="s">
        <v>59</v>
      </c>
      <c r="AB6045" t="s">
        <v>59</v>
      </c>
      <c r="AC6045" t="s">
        <v>59</v>
      </c>
      <c r="AD6045" t="s">
        <v>59</v>
      </c>
      <c r="AF6045" s="1">
        <v>36342</v>
      </c>
      <c r="AG6045" t="s">
        <v>8651</v>
      </c>
      <c r="AH6045" t="s">
        <v>8652</v>
      </c>
      <c r="AI6045" t="str">
        <f>"9520695"</f>
        <v>9520695</v>
      </c>
      <c r="AJ6045" t="s">
        <v>8842</v>
      </c>
      <c r="AK6045">
        <v>2810235506</v>
      </c>
      <c r="AL6045" t="s">
        <v>8843</v>
      </c>
      <c r="AM6045" t="s">
        <v>78</v>
      </c>
      <c r="AN6045" t="s">
        <v>78</v>
      </c>
      <c r="AO6045" t="s">
        <v>78</v>
      </c>
      <c r="AP6045" t="s">
        <v>163</v>
      </c>
      <c r="AQ6045">
        <v>1</v>
      </c>
      <c r="AR6045" t="s">
        <v>80</v>
      </c>
      <c r="AS6045" t="s">
        <v>81</v>
      </c>
      <c r="AT6045" t="s">
        <v>58</v>
      </c>
      <c r="AU6045" t="s">
        <v>68</v>
      </c>
      <c r="AV6045" t="s">
        <v>69</v>
      </c>
      <c r="AW6045" s="1">
        <v>24916</v>
      </c>
      <c r="AX6045">
        <v>1</v>
      </c>
    </row>
    <row r="6046" spans="1:50">
      <c r="A6046">
        <v>579119</v>
      </c>
      <c r="B6046" t="str">
        <f>"032552095"</f>
        <v>032552095</v>
      </c>
      <c r="C6046" t="s">
        <v>50</v>
      </c>
      <c r="D6046" t="s">
        <v>2416</v>
      </c>
      <c r="E6046" t="s">
        <v>215</v>
      </c>
      <c r="F6046" t="s">
        <v>72</v>
      </c>
      <c r="G6046" t="s">
        <v>250</v>
      </c>
      <c r="H6046" t="str">
        <f>" "</f>
        <v xml:space="preserve"> </v>
      </c>
      <c r="N6046" t="s">
        <v>615</v>
      </c>
      <c r="O6046" t="s">
        <v>616</v>
      </c>
      <c r="R6046" t="s">
        <v>57</v>
      </c>
      <c r="S6046">
        <v>13</v>
      </c>
      <c r="T6046">
        <v>165</v>
      </c>
      <c r="U6046" s="1">
        <v>35300</v>
      </c>
      <c r="V6046" t="s">
        <v>80</v>
      </c>
      <c r="W6046" t="s">
        <v>81</v>
      </c>
      <c r="X6046" t="s">
        <v>58</v>
      </c>
      <c r="Y6046">
        <v>21</v>
      </c>
      <c r="Z6046" t="s">
        <v>59</v>
      </c>
      <c r="AA6046" t="s">
        <v>59</v>
      </c>
      <c r="AB6046" t="s">
        <v>59</v>
      </c>
      <c r="AC6046" t="s">
        <v>59</v>
      </c>
      <c r="AD6046" t="s">
        <v>59</v>
      </c>
      <c r="AF6046" s="1">
        <v>35313</v>
      </c>
      <c r="AG6046" t="s">
        <v>8645</v>
      </c>
      <c r="AH6046" t="s">
        <v>8646</v>
      </c>
      <c r="AI6046" t="str">
        <f>"9170198"</f>
        <v>9170198</v>
      </c>
      <c r="AJ6046" t="s">
        <v>8665</v>
      </c>
      <c r="AK6046">
        <v>2810227379</v>
      </c>
      <c r="AL6046" t="s">
        <v>8666</v>
      </c>
      <c r="AM6046" t="s">
        <v>78</v>
      </c>
      <c r="AN6046" t="s">
        <v>78</v>
      </c>
      <c r="AO6046" t="s">
        <v>78</v>
      </c>
      <c r="AP6046" t="s">
        <v>79</v>
      </c>
      <c r="AQ6046">
        <v>1</v>
      </c>
      <c r="AR6046" t="s">
        <v>80</v>
      </c>
      <c r="AS6046" t="s">
        <v>81</v>
      </c>
      <c r="AT6046" t="s">
        <v>58</v>
      </c>
      <c r="AU6046" t="s">
        <v>68</v>
      </c>
      <c r="AV6046" t="s">
        <v>69</v>
      </c>
      <c r="AW6046" s="1">
        <v>24824</v>
      </c>
      <c r="AX6046">
        <v>1</v>
      </c>
    </row>
    <row r="6047" spans="1:50">
      <c r="A6047">
        <v>701672</v>
      </c>
      <c r="B6047" t="str">
        <f>"137476793"</f>
        <v>137476793</v>
      </c>
      <c r="C6047" t="s">
        <v>105</v>
      </c>
      <c r="D6047" t="s">
        <v>2421</v>
      </c>
      <c r="E6047" t="s">
        <v>95</v>
      </c>
      <c r="F6047" t="s">
        <v>53</v>
      </c>
      <c r="G6047" t="s">
        <v>103</v>
      </c>
      <c r="H6047" t="str">
        <f>"Δ. ΜΠΟΥΡΛΑΚΗ 21 ΗΡΑΚΛΕΙΟ"</f>
        <v>Δ. ΜΠΟΥΡΛΑΚΗ 21 ΗΡΑΚΛΕΙΟ</v>
      </c>
      <c r="I6047">
        <v>71409</v>
      </c>
      <c r="J6047">
        <v>2810236859</v>
      </c>
      <c r="K6047">
        <v>6932708450</v>
      </c>
      <c r="M6047" t="s">
        <v>10489</v>
      </c>
      <c r="N6047" t="s">
        <v>615</v>
      </c>
      <c r="O6047" t="s">
        <v>616</v>
      </c>
      <c r="R6047" t="s">
        <v>57</v>
      </c>
      <c r="S6047">
        <v>6</v>
      </c>
      <c r="T6047">
        <v>772</v>
      </c>
      <c r="U6047" s="1">
        <v>40413</v>
      </c>
      <c r="V6047" t="s">
        <v>80</v>
      </c>
      <c r="W6047" t="s">
        <v>81</v>
      </c>
      <c r="X6047" t="s">
        <v>58</v>
      </c>
      <c r="Y6047">
        <v>24</v>
      </c>
      <c r="Z6047" t="s">
        <v>59</v>
      </c>
      <c r="AA6047" t="s">
        <v>59</v>
      </c>
      <c r="AB6047" t="s">
        <v>59</v>
      </c>
      <c r="AC6047" t="s">
        <v>59</v>
      </c>
      <c r="AD6047" t="s">
        <v>59</v>
      </c>
      <c r="AF6047" s="1">
        <v>40413</v>
      </c>
      <c r="AG6047" t="s">
        <v>8645</v>
      </c>
      <c r="AH6047" t="s">
        <v>8646</v>
      </c>
      <c r="AI6047" t="str">
        <f>"9170264"</f>
        <v>9170264</v>
      </c>
      <c r="AJ6047" t="s">
        <v>8718</v>
      </c>
      <c r="AK6047">
        <v>2810332030</v>
      </c>
      <c r="AL6047" t="s">
        <v>8719</v>
      </c>
      <c r="AM6047" t="s">
        <v>78</v>
      </c>
      <c r="AN6047" t="s">
        <v>78</v>
      </c>
      <c r="AO6047" t="s">
        <v>286</v>
      </c>
      <c r="AP6047" t="s">
        <v>286</v>
      </c>
      <c r="AQ6047">
        <v>1</v>
      </c>
      <c r="AR6047" t="s">
        <v>80</v>
      </c>
      <c r="AS6047" t="s">
        <v>81</v>
      </c>
      <c r="AT6047" t="s">
        <v>58</v>
      </c>
      <c r="AU6047" t="s">
        <v>68</v>
      </c>
      <c r="AV6047" t="s">
        <v>69</v>
      </c>
      <c r="AW6047" s="1">
        <v>31458</v>
      </c>
      <c r="AX6047">
        <v>1</v>
      </c>
    </row>
    <row r="6048" spans="1:50">
      <c r="A6048">
        <v>584335</v>
      </c>
      <c r="B6048" t="str">
        <f>"038802014"</f>
        <v>038802014</v>
      </c>
      <c r="C6048" t="s">
        <v>105</v>
      </c>
      <c r="D6048" t="s">
        <v>2421</v>
      </c>
      <c r="E6048" t="s">
        <v>72</v>
      </c>
      <c r="F6048" t="s">
        <v>311</v>
      </c>
      <c r="G6048" t="s">
        <v>191</v>
      </c>
      <c r="H6048" t="str">
        <f>"Θ. ΜΑΤΘΑΙΑΚΗ 6 ΗΡΑΚΛΕΙΟ"</f>
        <v>Θ. ΜΑΤΘΑΙΑΚΗ 6 ΗΡΑΚΛΕΙΟ</v>
      </c>
      <c r="I6048">
        <v>71305</v>
      </c>
      <c r="J6048">
        <v>2810259633</v>
      </c>
      <c r="K6048">
        <v>6944225735</v>
      </c>
      <c r="N6048" t="s">
        <v>615</v>
      </c>
      <c r="O6048" t="s">
        <v>616</v>
      </c>
      <c r="R6048" t="s">
        <v>57</v>
      </c>
      <c r="S6048">
        <v>12</v>
      </c>
      <c r="T6048">
        <v>165</v>
      </c>
      <c r="U6048" s="1">
        <v>36040</v>
      </c>
      <c r="V6048" t="s">
        <v>80</v>
      </c>
      <c r="W6048" t="s">
        <v>81</v>
      </c>
      <c r="X6048" t="s">
        <v>58</v>
      </c>
      <c r="Y6048">
        <v>21</v>
      </c>
      <c r="Z6048" t="s">
        <v>59</v>
      </c>
      <c r="AA6048" t="s">
        <v>59</v>
      </c>
      <c r="AB6048" t="s">
        <v>59</v>
      </c>
      <c r="AC6048" t="s">
        <v>59</v>
      </c>
      <c r="AD6048" t="s">
        <v>59</v>
      </c>
      <c r="AF6048" s="1">
        <v>36045</v>
      </c>
      <c r="AG6048" t="s">
        <v>8645</v>
      </c>
      <c r="AH6048" t="s">
        <v>8646</v>
      </c>
      <c r="AI6048" t="str">
        <f>"9170431"</f>
        <v>9170431</v>
      </c>
      <c r="AJ6048" t="s">
        <v>8658</v>
      </c>
      <c r="AK6048">
        <v>2810250952</v>
      </c>
      <c r="AL6048" t="s">
        <v>8659</v>
      </c>
      <c r="AM6048" t="s">
        <v>78</v>
      </c>
      <c r="AN6048" t="s">
        <v>78</v>
      </c>
      <c r="AO6048" t="s">
        <v>78</v>
      </c>
      <c r="AP6048" t="s">
        <v>141</v>
      </c>
      <c r="AQ6048">
        <v>1</v>
      </c>
      <c r="AR6048" t="s">
        <v>80</v>
      </c>
      <c r="AS6048" t="s">
        <v>81</v>
      </c>
      <c r="AT6048" t="s">
        <v>58</v>
      </c>
      <c r="AU6048" t="s">
        <v>68</v>
      </c>
      <c r="AV6048" t="s">
        <v>69</v>
      </c>
      <c r="AW6048" s="1">
        <v>24214</v>
      </c>
      <c r="AX6048">
        <v>1</v>
      </c>
    </row>
    <row r="6049" spans="1:50">
      <c r="B6049" t="str">
        <f>"150105104"</f>
        <v>150105104</v>
      </c>
      <c r="C6049" t="s">
        <v>105</v>
      </c>
      <c r="D6049" t="s">
        <v>10490</v>
      </c>
      <c r="E6049" t="s">
        <v>84</v>
      </c>
      <c r="F6049" t="s">
        <v>53</v>
      </c>
      <c r="G6049" t="s">
        <v>174</v>
      </c>
      <c r="H6049" t="str">
        <f>" "</f>
        <v xml:space="preserve"> </v>
      </c>
      <c r="N6049" t="s">
        <v>8834</v>
      </c>
      <c r="O6049" t="s">
        <v>8695</v>
      </c>
      <c r="R6049" t="s">
        <v>121</v>
      </c>
      <c r="S6049">
        <v>3</v>
      </c>
      <c r="T6049" t="s">
        <v>8835</v>
      </c>
      <c r="U6049" s="1">
        <v>43348</v>
      </c>
      <c r="V6049" t="s">
        <v>80</v>
      </c>
      <c r="W6049" t="s">
        <v>81</v>
      </c>
      <c r="X6049" t="s">
        <v>58</v>
      </c>
      <c r="Y6049">
        <v>24</v>
      </c>
      <c r="Z6049" t="s">
        <v>59</v>
      </c>
      <c r="AA6049" t="s">
        <v>59</v>
      </c>
      <c r="AB6049" t="s">
        <v>59</v>
      </c>
      <c r="AD6049" t="s">
        <v>59</v>
      </c>
      <c r="AF6049" s="1">
        <v>43348</v>
      </c>
      <c r="AG6049" t="s">
        <v>8645</v>
      </c>
      <c r="AH6049" t="s">
        <v>8646</v>
      </c>
      <c r="AI6049" t="str">
        <f>"9170262"</f>
        <v>9170262</v>
      </c>
      <c r="AJ6049" t="s">
        <v>9224</v>
      </c>
      <c r="AK6049">
        <v>2810245912</v>
      </c>
      <c r="AL6049" t="s">
        <v>9225</v>
      </c>
      <c r="AM6049" t="s">
        <v>78</v>
      </c>
      <c r="AN6049" t="s">
        <v>78</v>
      </c>
      <c r="AO6049" t="s">
        <v>286</v>
      </c>
      <c r="AP6049" t="s">
        <v>286</v>
      </c>
      <c r="AQ6049">
        <v>1</v>
      </c>
      <c r="AR6049" t="s">
        <v>80</v>
      </c>
      <c r="AS6049" t="s">
        <v>81</v>
      </c>
      <c r="AT6049" t="s">
        <v>58</v>
      </c>
      <c r="AU6049" t="s">
        <v>131</v>
      </c>
      <c r="AV6049" t="s">
        <v>132</v>
      </c>
      <c r="AW6049" s="1">
        <v>32786</v>
      </c>
      <c r="AX6049">
        <v>1</v>
      </c>
    </row>
    <row r="6050" spans="1:50">
      <c r="A6050">
        <v>605327</v>
      </c>
      <c r="B6050" t="str">
        <f>"061373647"</f>
        <v>061373647</v>
      </c>
      <c r="C6050" t="s">
        <v>50</v>
      </c>
      <c r="D6050" t="s">
        <v>10491</v>
      </c>
      <c r="E6050" t="s">
        <v>83</v>
      </c>
      <c r="F6050" t="s">
        <v>166</v>
      </c>
      <c r="G6050" t="s">
        <v>96</v>
      </c>
      <c r="H6050" t="str">
        <f>"ΕΡΥΘΡΑΙΑΣ 194Α ΗΡΑΚΛΕΙΟ"</f>
        <v>ΕΡΥΘΡΑΙΑΣ 194Α ΗΡΑΚΛΕΙΟ</v>
      </c>
      <c r="I6050">
        <v>71409</v>
      </c>
      <c r="J6050">
        <v>2813010960</v>
      </c>
      <c r="K6050">
        <v>6941401382</v>
      </c>
      <c r="N6050" t="s">
        <v>615</v>
      </c>
      <c r="O6050" t="s">
        <v>616</v>
      </c>
      <c r="R6050" t="s">
        <v>57</v>
      </c>
      <c r="S6050">
        <v>7</v>
      </c>
      <c r="T6050">
        <v>231</v>
      </c>
      <c r="U6050" s="1">
        <v>38230</v>
      </c>
      <c r="V6050" t="s">
        <v>80</v>
      </c>
      <c r="W6050" t="s">
        <v>81</v>
      </c>
      <c r="X6050" t="s">
        <v>58</v>
      </c>
      <c r="Y6050">
        <v>22</v>
      </c>
      <c r="Z6050" t="s">
        <v>59</v>
      </c>
      <c r="AA6050" t="s">
        <v>59</v>
      </c>
      <c r="AB6050" t="s">
        <v>59</v>
      </c>
      <c r="AC6050" t="s">
        <v>59</v>
      </c>
      <c r="AD6050" t="s">
        <v>59</v>
      </c>
      <c r="AF6050" s="1">
        <v>38232</v>
      </c>
      <c r="AG6050" t="s">
        <v>8645</v>
      </c>
      <c r="AH6050" t="s">
        <v>8646</v>
      </c>
      <c r="AI6050" t="str">
        <f>"9170516"</f>
        <v>9170516</v>
      </c>
      <c r="AJ6050" t="s">
        <v>8746</v>
      </c>
      <c r="AK6050">
        <v>2810236861</v>
      </c>
      <c r="AL6050" t="s">
        <v>8747</v>
      </c>
      <c r="AM6050" t="s">
        <v>78</v>
      </c>
      <c r="AN6050" t="s">
        <v>78</v>
      </c>
      <c r="AO6050" t="s">
        <v>78</v>
      </c>
      <c r="AP6050" t="s">
        <v>163</v>
      </c>
      <c r="AQ6050">
        <v>1</v>
      </c>
      <c r="AR6050" t="s">
        <v>80</v>
      </c>
      <c r="AS6050" t="s">
        <v>81</v>
      </c>
      <c r="AT6050" t="s">
        <v>58</v>
      </c>
      <c r="AU6050" t="s">
        <v>68</v>
      </c>
      <c r="AV6050" t="s">
        <v>69</v>
      </c>
      <c r="AW6050" s="1">
        <v>25990</v>
      </c>
      <c r="AX6050">
        <v>1</v>
      </c>
    </row>
    <row r="6051" spans="1:50">
      <c r="A6051">
        <v>621680</v>
      </c>
      <c r="B6051" t="str">
        <f>"068063316"</f>
        <v>068063316</v>
      </c>
      <c r="C6051" t="s">
        <v>105</v>
      </c>
      <c r="D6051" t="s">
        <v>2425</v>
      </c>
      <c r="E6051" t="s">
        <v>166</v>
      </c>
      <c r="F6051" t="s">
        <v>9532</v>
      </c>
      <c r="G6051" t="s">
        <v>52</v>
      </c>
      <c r="H6051" t="str">
        <f>"ΓΕΡΑΚΙ ΚΑΣΤΕΛΙΟΥ"</f>
        <v>ΓΕΡΑΚΙ ΚΑΣΤΕΛΙΟΥ</v>
      </c>
      <c r="I6051">
        <v>70006</v>
      </c>
      <c r="J6051">
        <v>2891051427</v>
      </c>
      <c r="K6051">
        <v>6972836700</v>
      </c>
      <c r="N6051" t="s">
        <v>615</v>
      </c>
      <c r="O6051" t="s">
        <v>616</v>
      </c>
      <c r="R6051" t="s">
        <v>57</v>
      </c>
      <c r="S6051">
        <v>5</v>
      </c>
      <c r="T6051">
        <v>653</v>
      </c>
      <c r="U6051" s="1">
        <v>40043</v>
      </c>
      <c r="V6051" t="s">
        <v>80</v>
      </c>
      <c r="W6051" t="s">
        <v>81</v>
      </c>
      <c r="X6051" t="s">
        <v>58</v>
      </c>
      <c r="Y6051">
        <v>25</v>
      </c>
      <c r="Z6051" t="s">
        <v>59</v>
      </c>
      <c r="AA6051" t="s">
        <v>59</v>
      </c>
      <c r="AB6051" t="s">
        <v>59</v>
      </c>
      <c r="AC6051" t="s">
        <v>59</v>
      </c>
      <c r="AD6051" t="s">
        <v>59</v>
      </c>
      <c r="AF6051" s="1">
        <v>40043</v>
      </c>
      <c r="AG6051" t="s">
        <v>8645</v>
      </c>
      <c r="AH6051" t="s">
        <v>8676</v>
      </c>
      <c r="AI6051" t="str">
        <f>"9521628"</f>
        <v>9521628</v>
      </c>
      <c r="AJ6051" t="s">
        <v>9045</v>
      </c>
      <c r="AM6051" t="s">
        <v>78</v>
      </c>
      <c r="AN6051" t="s">
        <v>78</v>
      </c>
      <c r="AO6051" t="s">
        <v>286</v>
      </c>
      <c r="AP6051" t="s">
        <v>9046</v>
      </c>
      <c r="AR6051" t="s">
        <v>80</v>
      </c>
      <c r="AS6051" t="s">
        <v>81</v>
      </c>
      <c r="AT6051" t="s">
        <v>58</v>
      </c>
      <c r="AU6051" t="s">
        <v>68</v>
      </c>
      <c r="AV6051" t="s">
        <v>69</v>
      </c>
      <c r="AW6051" s="1">
        <v>30784</v>
      </c>
      <c r="AX6051">
        <v>1</v>
      </c>
    </row>
    <row r="6052" spans="1:50">
      <c r="B6052" t="str">
        <f>"125804716"</f>
        <v>125804716</v>
      </c>
      <c r="C6052" t="s">
        <v>50</v>
      </c>
      <c r="D6052" t="s">
        <v>10492</v>
      </c>
      <c r="E6052" t="s">
        <v>964</v>
      </c>
      <c r="F6052" t="s">
        <v>309</v>
      </c>
      <c r="G6052" t="s">
        <v>1443</v>
      </c>
      <c r="H6052" t="str">
        <f>"ΔΩΔΩΝΗΣ 15 ΑΧΑΪΑ"</f>
        <v>ΔΩΔΩΝΗΣ 15 ΑΧΑΪΑ</v>
      </c>
      <c r="I6052">
        <v>26334</v>
      </c>
      <c r="J6052">
        <v>2610320464</v>
      </c>
      <c r="K6052">
        <v>6945657500</v>
      </c>
      <c r="M6052" t="s">
        <v>10493</v>
      </c>
      <c r="N6052" t="s">
        <v>1525</v>
      </c>
      <c r="O6052" t="s">
        <v>1526</v>
      </c>
      <c r="R6052" t="s">
        <v>159</v>
      </c>
      <c r="S6052">
        <v>3</v>
      </c>
      <c r="T6052" t="s">
        <v>8670</v>
      </c>
      <c r="U6052" s="1">
        <v>43348</v>
      </c>
      <c r="V6052" t="s">
        <v>80</v>
      </c>
      <c r="W6052" t="s">
        <v>81</v>
      </c>
      <c r="X6052" t="s">
        <v>58</v>
      </c>
      <c r="Y6052">
        <v>25</v>
      </c>
      <c r="Z6052" t="s">
        <v>59</v>
      </c>
      <c r="AA6052" t="s">
        <v>59</v>
      </c>
      <c r="AB6052" t="s">
        <v>59</v>
      </c>
      <c r="AC6052" t="s">
        <v>59</v>
      </c>
      <c r="AD6052" t="s">
        <v>59</v>
      </c>
      <c r="AF6052" s="1">
        <v>43348</v>
      </c>
      <c r="AG6052" t="s">
        <v>8651</v>
      </c>
      <c r="AH6052" t="s">
        <v>8652</v>
      </c>
      <c r="AI6052" t="str">
        <f>"9170303"</f>
        <v>9170303</v>
      </c>
      <c r="AJ6052" t="s">
        <v>8760</v>
      </c>
      <c r="AK6052">
        <v>2892043385</v>
      </c>
      <c r="AL6052" t="s">
        <v>8761</v>
      </c>
      <c r="AM6052" t="s">
        <v>78</v>
      </c>
      <c r="AN6052" t="s">
        <v>242</v>
      </c>
      <c r="AO6052" t="s">
        <v>243</v>
      </c>
      <c r="AP6052" t="s">
        <v>8762</v>
      </c>
      <c r="AQ6052">
        <v>19</v>
      </c>
      <c r="AR6052" t="s">
        <v>80</v>
      </c>
      <c r="AS6052" t="s">
        <v>81</v>
      </c>
      <c r="AT6052" t="s">
        <v>58</v>
      </c>
      <c r="AU6052" t="s">
        <v>8673</v>
      </c>
      <c r="AV6052" t="s">
        <v>132</v>
      </c>
      <c r="AW6052" s="1">
        <v>28555</v>
      </c>
      <c r="AX6052">
        <v>1</v>
      </c>
    </row>
    <row r="6053" spans="1:50">
      <c r="A6053">
        <v>610770</v>
      </c>
      <c r="B6053" t="str">
        <f>"123159764"</f>
        <v>123159764</v>
      </c>
      <c r="C6053" t="s">
        <v>50</v>
      </c>
      <c r="D6053" t="s">
        <v>2428</v>
      </c>
      <c r="E6053" t="s">
        <v>545</v>
      </c>
      <c r="F6053" t="s">
        <v>1328</v>
      </c>
      <c r="G6053" t="s">
        <v>255</v>
      </c>
      <c r="H6053" t="str">
        <f>"Μ. ΤΡΙΑΝΤΑΦΥΛΛΙΔΗ 8 ΗΡΑΚΛΕΙΟ"</f>
        <v>Μ. ΤΡΙΑΝΤΑΦΥΛΛΙΔΗ 8 ΗΡΑΚΛΕΙΟ</v>
      </c>
      <c r="I6053">
        <v>71305</v>
      </c>
      <c r="J6053">
        <v>2810211479</v>
      </c>
      <c r="K6053">
        <v>6973305253</v>
      </c>
      <c r="M6053" t="s">
        <v>10494</v>
      </c>
      <c r="N6053" t="s">
        <v>615</v>
      </c>
      <c r="O6053" t="s">
        <v>616</v>
      </c>
      <c r="R6053" t="s">
        <v>57</v>
      </c>
      <c r="S6053">
        <v>6</v>
      </c>
      <c r="T6053">
        <v>233</v>
      </c>
      <c r="U6053" s="1">
        <v>38960</v>
      </c>
      <c r="V6053" t="s">
        <v>80</v>
      </c>
      <c r="W6053" t="s">
        <v>81</v>
      </c>
      <c r="X6053" t="s">
        <v>58</v>
      </c>
      <c r="Y6053">
        <v>23</v>
      </c>
      <c r="Z6053" t="s">
        <v>59</v>
      </c>
      <c r="AA6053" t="s">
        <v>59</v>
      </c>
      <c r="AB6053" t="s">
        <v>59</v>
      </c>
      <c r="AC6053" t="s">
        <v>59</v>
      </c>
      <c r="AD6053" t="s">
        <v>59</v>
      </c>
      <c r="AF6053" s="1">
        <v>38961</v>
      </c>
      <c r="AG6053" t="s">
        <v>8645</v>
      </c>
      <c r="AH6053" t="s">
        <v>8646</v>
      </c>
      <c r="AI6053" t="str">
        <f>"9170345"</f>
        <v>9170345</v>
      </c>
      <c r="AJ6053" t="s">
        <v>9429</v>
      </c>
      <c r="AK6053">
        <v>2810289563</v>
      </c>
      <c r="AL6053" t="s">
        <v>9430</v>
      </c>
      <c r="AM6053" t="s">
        <v>78</v>
      </c>
      <c r="AN6053" t="s">
        <v>78</v>
      </c>
      <c r="AO6053" t="s">
        <v>78</v>
      </c>
      <c r="AP6053" t="s">
        <v>79</v>
      </c>
      <c r="AQ6053">
        <v>1</v>
      </c>
      <c r="AR6053" t="s">
        <v>80</v>
      </c>
      <c r="AS6053" t="s">
        <v>81</v>
      </c>
      <c r="AT6053" t="s">
        <v>58</v>
      </c>
      <c r="AU6053" t="s">
        <v>68</v>
      </c>
      <c r="AV6053" t="s">
        <v>69</v>
      </c>
      <c r="AW6053" s="1">
        <v>30152</v>
      </c>
      <c r="AX6053">
        <v>1</v>
      </c>
    </row>
    <row r="6054" spans="1:50">
      <c r="B6054" t="str">
        <f>"152361630"</f>
        <v>152361630</v>
      </c>
      <c r="C6054" t="s">
        <v>50</v>
      </c>
      <c r="D6054" t="s">
        <v>10495</v>
      </c>
      <c r="E6054" t="s">
        <v>83</v>
      </c>
      <c r="F6054" t="s">
        <v>72</v>
      </c>
      <c r="G6054" t="s">
        <v>610</v>
      </c>
      <c r="H6054" t="str">
        <f>" "</f>
        <v xml:space="preserve"> </v>
      </c>
      <c r="N6054" t="s">
        <v>615</v>
      </c>
      <c r="O6054" t="s">
        <v>616</v>
      </c>
      <c r="R6054" t="s">
        <v>121</v>
      </c>
      <c r="S6054">
        <v>3</v>
      </c>
      <c r="T6054" t="s">
        <v>8675</v>
      </c>
      <c r="U6054" s="1">
        <v>43348</v>
      </c>
      <c r="V6054" t="s">
        <v>80</v>
      </c>
      <c r="W6054" t="s">
        <v>81</v>
      </c>
      <c r="X6054" t="s">
        <v>58</v>
      </c>
      <c r="Y6054">
        <v>24</v>
      </c>
      <c r="Z6054" t="s">
        <v>59</v>
      </c>
      <c r="AA6054" t="s">
        <v>59</v>
      </c>
      <c r="AB6054" t="s">
        <v>59</v>
      </c>
      <c r="AD6054" t="s">
        <v>59</v>
      </c>
      <c r="AF6054" s="1">
        <v>43348</v>
      </c>
      <c r="AG6054" t="s">
        <v>8645</v>
      </c>
      <c r="AH6054" t="s">
        <v>8646</v>
      </c>
      <c r="AI6054" t="str">
        <f>"9170259"</f>
        <v>9170259</v>
      </c>
      <c r="AJ6054" t="s">
        <v>8784</v>
      </c>
      <c r="AK6054">
        <v>6994891960</v>
      </c>
      <c r="AL6054" t="s">
        <v>8785</v>
      </c>
      <c r="AM6054" t="s">
        <v>78</v>
      </c>
      <c r="AN6054" t="s">
        <v>78</v>
      </c>
      <c r="AO6054" t="s">
        <v>78</v>
      </c>
      <c r="AP6054" t="s">
        <v>213</v>
      </c>
      <c r="AQ6054">
        <v>1</v>
      </c>
      <c r="AR6054" t="s">
        <v>80</v>
      </c>
      <c r="AS6054" t="s">
        <v>81</v>
      </c>
      <c r="AT6054" t="s">
        <v>58</v>
      </c>
      <c r="AU6054" t="s">
        <v>8673</v>
      </c>
      <c r="AV6054" t="s">
        <v>132</v>
      </c>
      <c r="AW6054" s="1">
        <v>32972</v>
      </c>
      <c r="AX6054">
        <v>1</v>
      </c>
    </row>
    <row r="6055" spans="1:50">
      <c r="A6055">
        <v>609807</v>
      </c>
      <c r="B6055" t="str">
        <f>"132330023"</f>
        <v>132330023</v>
      </c>
      <c r="C6055" t="s">
        <v>50</v>
      </c>
      <c r="D6055" t="s">
        <v>2444</v>
      </c>
      <c r="E6055" t="s">
        <v>215</v>
      </c>
      <c r="F6055" t="s">
        <v>321</v>
      </c>
      <c r="G6055" t="s">
        <v>52</v>
      </c>
      <c r="H6055" t="str">
        <f>"ΜΑΥΣΩΛΟΥ 268 ΗΡΑΚΛΕΙΟ"</f>
        <v>ΜΑΥΣΩΛΟΥ 268 ΗΡΑΚΛΕΙΟ</v>
      </c>
      <c r="I6055">
        <v>71601</v>
      </c>
      <c r="J6055">
        <v>2810241359</v>
      </c>
      <c r="K6055">
        <v>6944780172</v>
      </c>
      <c r="M6055" t="s">
        <v>10496</v>
      </c>
      <c r="N6055" t="s">
        <v>306</v>
      </c>
      <c r="O6055" t="s">
        <v>307</v>
      </c>
      <c r="R6055" t="s">
        <v>57</v>
      </c>
      <c r="S6055">
        <v>6</v>
      </c>
      <c r="T6055">
        <v>249</v>
      </c>
      <c r="U6055" s="1">
        <v>38618</v>
      </c>
      <c r="V6055" t="s">
        <v>80</v>
      </c>
      <c r="W6055" t="s">
        <v>81</v>
      </c>
      <c r="X6055" t="s">
        <v>58</v>
      </c>
      <c r="Y6055">
        <v>23</v>
      </c>
      <c r="Z6055" t="s">
        <v>59</v>
      </c>
      <c r="AA6055" t="s">
        <v>59</v>
      </c>
      <c r="AB6055" t="s">
        <v>59</v>
      </c>
      <c r="AC6055" t="s">
        <v>59</v>
      </c>
      <c r="AD6055" t="s">
        <v>59</v>
      </c>
      <c r="AF6055" s="1">
        <v>38618</v>
      </c>
      <c r="AG6055" t="s">
        <v>8645</v>
      </c>
      <c r="AH6055" t="s">
        <v>8646</v>
      </c>
      <c r="AI6055" t="str">
        <f>"9170426"</f>
        <v>9170426</v>
      </c>
      <c r="AJ6055" t="s">
        <v>9142</v>
      </c>
      <c r="AK6055">
        <v>2810222289</v>
      </c>
      <c r="AL6055" t="s">
        <v>9143</v>
      </c>
      <c r="AM6055" t="s">
        <v>78</v>
      </c>
      <c r="AN6055" t="s">
        <v>78</v>
      </c>
      <c r="AO6055" t="s">
        <v>78</v>
      </c>
      <c r="AP6055" t="s">
        <v>213</v>
      </c>
      <c r="AQ6055">
        <v>1</v>
      </c>
      <c r="AR6055" t="s">
        <v>80</v>
      </c>
      <c r="AS6055" t="s">
        <v>81</v>
      </c>
      <c r="AT6055" t="s">
        <v>58</v>
      </c>
      <c r="AU6055" t="s">
        <v>68</v>
      </c>
      <c r="AV6055" t="s">
        <v>69</v>
      </c>
      <c r="AW6055" s="1">
        <v>29707</v>
      </c>
      <c r="AX6055">
        <v>1</v>
      </c>
    </row>
    <row r="6056" spans="1:50">
      <c r="A6056">
        <v>616058</v>
      </c>
      <c r="B6056" t="str">
        <f>"058447365"</f>
        <v>058447365</v>
      </c>
      <c r="C6056" t="s">
        <v>50</v>
      </c>
      <c r="D6056" t="s">
        <v>10497</v>
      </c>
      <c r="E6056" t="s">
        <v>52</v>
      </c>
      <c r="F6056" t="s">
        <v>95</v>
      </c>
      <c r="G6056" t="s">
        <v>255</v>
      </c>
      <c r="H6056" t="str">
        <f>" ΗΡΑΚΛΕΙΟ"</f>
        <v xml:space="preserve"> ΗΡΑΚΛΕΙΟ</v>
      </c>
      <c r="I6056">
        <v>70400</v>
      </c>
      <c r="J6056">
        <v>2892023865</v>
      </c>
      <c r="K6056">
        <v>6934039883</v>
      </c>
      <c r="N6056" t="s">
        <v>176</v>
      </c>
      <c r="O6056" t="s">
        <v>177</v>
      </c>
      <c r="R6056" t="s">
        <v>57</v>
      </c>
      <c r="S6056">
        <v>7</v>
      </c>
      <c r="T6056">
        <v>600</v>
      </c>
      <c r="U6056" s="1">
        <v>39310</v>
      </c>
      <c r="V6056" t="s">
        <v>80</v>
      </c>
      <c r="W6056" t="s">
        <v>81</v>
      </c>
      <c r="X6056" t="s">
        <v>58</v>
      </c>
      <c r="Y6056">
        <v>22</v>
      </c>
      <c r="Z6056" t="s">
        <v>59</v>
      </c>
      <c r="AA6056" t="s">
        <v>59</v>
      </c>
      <c r="AB6056" t="s">
        <v>59</v>
      </c>
      <c r="AC6056" t="s">
        <v>59</v>
      </c>
      <c r="AD6056" t="s">
        <v>59</v>
      </c>
      <c r="AF6056" s="1">
        <v>39328</v>
      </c>
      <c r="AG6056" t="s">
        <v>8645</v>
      </c>
      <c r="AH6056" t="s">
        <v>8646</v>
      </c>
      <c r="AI6056" t="str">
        <f>"9170267"</f>
        <v>9170267</v>
      </c>
      <c r="AJ6056" t="s">
        <v>8840</v>
      </c>
      <c r="AK6056">
        <v>2892022320</v>
      </c>
      <c r="AL6056" t="s">
        <v>8841</v>
      </c>
      <c r="AM6056" t="s">
        <v>78</v>
      </c>
      <c r="AN6056" t="s">
        <v>242</v>
      </c>
      <c r="AO6056" t="s">
        <v>243</v>
      </c>
      <c r="AP6056" t="s">
        <v>243</v>
      </c>
      <c r="AQ6056">
        <v>20</v>
      </c>
      <c r="AR6056" t="s">
        <v>80</v>
      </c>
      <c r="AS6056" t="s">
        <v>81</v>
      </c>
      <c r="AT6056" t="s">
        <v>58</v>
      </c>
      <c r="AU6056" t="s">
        <v>68</v>
      </c>
      <c r="AV6056" t="s">
        <v>69</v>
      </c>
      <c r="AW6056" s="1">
        <v>25950</v>
      </c>
      <c r="AX6056">
        <v>1</v>
      </c>
    </row>
    <row r="6057" spans="1:50">
      <c r="B6057" t="str">
        <f>"109731001"</f>
        <v>109731001</v>
      </c>
      <c r="C6057" t="s">
        <v>105</v>
      </c>
      <c r="D6057" t="s">
        <v>10498</v>
      </c>
      <c r="E6057" t="s">
        <v>53</v>
      </c>
      <c r="F6057" t="s">
        <v>95</v>
      </c>
      <c r="G6057" t="s">
        <v>181</v>
      </c>
      <c r="H6057" t="str">
        <f>"ΑΓΙΟΥ ΑΡΤΕΜΙΟΥ 11 ΑΘΗΝΑ"</f>
        <v>ΑΓΙΟΥ ΑΡΤΕΜΙΟΥ 11 ΑΘΗΝΑ</v>
      </c>
      <c r="I6057">
        <v>11632</v>
      </c>
      <c r="J6057">
        <v>2107019121</v>
      </c>
      <c r="K6057">
        <v>6973331049</v>
      </c>
      <c r="N6057" t="s">
        <v>176</v>
      </c>
      <c r="O6057" t="s">
        <v>177</v>
      </c>
      <c r="R6057" t="s">
        <v>159</v>
      </c>
      <c r="S6057">
        <v>4</v>
      </c>
      <c r="T6057" t="s">
        <v>8675</v>
      </c>
      <c r="U6057" s="1">
        <v>43348</v>
      </c>
      <c r="V6057" t="s">
        <v>80</v>
      </c>
      <c r="W6057" t="s">
        <v>81</v>
      </c>
      <c r="X6057" t="s">
        <v>58</v>
      </c>
      <c r="Y6057">
        <v>24</v>
      </c>
      <c r="Z6057" t="s">
        <v>59</v>
      </c>
      <c r="AA6057" t="s">
        <v>59</v>
      </c>
      <c r="AB6057" t="s">
        <v>59</v>
      </c>
      <c r="AC6057" t="s">
        <v>59</v>
      </c>
      <c r="AD6057" t="s">
        <v>59</v>
      </c>
      <c r="AF6057" s="1">
        <v>43348</v>
      </c>
      <c r="AG6057" t="s">
        <v>8645</v>
      </c>
      <c r="AH6057" t="s">
        <v>8646</v>
      </c>
      <c r="AI6057" t="str">
        <f>"9170561"</f>
        <v>9170561</v>
      </c>
      <c r="AJ6057" t="s">
        <v>8708</v>
      </c>
      <c r="AK6057">
        <v>2891023609</v>
      </c>
      <c r="AL6057" t="s">
        <v>8709</v>
      </c>
      <c r="AM6057" t="s">
        <v>78</v>
      </c>
      <c r="AN6057" t="s">
        <v>276</v>
      </c>
      <c r="AO6057" t="s">
        <v>490</v>
      </c>
      <c r="AP6057" t="s">
        <v>490</v>
      </c>
      <c r="AQ6057">
        <v>12</v>
      </c>
      <c r="AR6057" t="s">
        <v>80</v>
      </c>
      <c r="AS6057" t="s">
        <v>81</v>
      </c>
      <c r="AT6057" t="s">
        <v>58</v>
      </c>
      <c r="AU6057" t="s">
        <v>8673</v>
      </c>
      <c r="AV6057" t="s">
        <v>132</v>
      </c>
      <c r="AW6057" s="1">
        <v>27191</v>
      </c>
      <c r="AX6057">
        <v>1</v>
      </c>
    </row>
    <row r="6058" spans="1:50">
      <c r="B6058" t="str">
        <f>"153152461"</f>
        <v>153152461</v>
      </c>
      <c r="C6058" t="s">
        <v>50</v>
      </c>
      <c r="D6058" t="s">
        <v>10499</v>
      </c>
      <c r="E6058" t="s">
        <v>10500</v>
      </c>
      <c r="F6058" t="s">
        <v>72</v>
      </c>
      <c r="G6058" t="s">
        <v>396</v>
      </c>
      <c r="H6058" t="str">
        <f>"ΕΘΝΙΚΗΣ ΑΝΤΙΣΤΑΣΕΩΣ 23 "</f>
        <v xml:space="preserve">ΕΘΝΙΚΗΣ ΑΝΤΙΣΤΑΣΕΩΣ 23 </v>
      </c>
      <c r="I6058">
        <v>33100</v>
      </c>
      <c r="J6058">
        <v>2265029385</v>
      </c>
      <c r="K6058">
        <v>6982815742</v>
      </c>
      <c r="N6058" t="s">
        <v>615</v>
      </c>
      <c r="O6058" t="s">
        <v>616</v>
      </c>
      <c r="R6058" t="s">
        <v>159</v>
      </c>
      <c r="S6058">
        <v>3</v>
      </c>
      <c r="T6058" t="s">
        <v>8675</v>
      </c>
      <c r="U6058" s="1">
        <v>43348</v>
      </c>
      <c r="V6058" t="s">
        <v>80</v>
      </c>
      <c r="W6058" t="s">
        <v>81</v>
      </c>
      <c r="X6058" t="s">
        <v>58</v>
      </c>
      <c r="Y6058">
        <v>24</v>
      </c>
      <c r="Z6058" t="s">
        <v>59</v>
      </c>
      <c r="AA6058" t="s">
        <v>59</v>
      </c>
      <c r="AB6058" t="s">
        <v>59</v>
      </c>
      <c r="AC6058" t="s">
        <v>59</v>
      </c>
      <c r="AD6058" t="s">
        <v>59</v>
      </c>
      <c r="AF6058" s="1">
        <v>43348</v>
      </c>
      <c r="AG6058" t="s">
        <v>8645</v>
      </c>
      <c r="AH6058" t="s">
        <v>8646</v>
      </c>
      <c r="AI6058" t="str">
        <f>"9170068"</f>
        <v>9170068</v>
      </c>
      <c r="AJ6058" t="s">
        <v>8773</v>
      </c>
      <c r="AK6058">
        <v>2893031217</v>
      </c>
      <c r="AL6058" t="s">
        <v>8774</v>
      </c>
      <c r="AM6058" t="s">
        <v>78</v>
      </c>
      <c r="AN6058" t="s">
        <v>405</v>
      </c>
      <c r="AO6058" t="s">
        <v>805</v>
      </c>
      <c r="AP6058" t="s">
        <v>806</v>
      </c>
      <c r="AQ6058">
        <v>15</v>
      </c>
      <c r="AR6058" t="s">
        <v>80</v>
      </c>
      <c r="AS6058" t="s">
        <v>81</v>
      </c>
      <c r="AT6058" t="s">
        <v>58</v>
      </c>
      <c r="AU6058" t="s">
        <v>8673</v>
      </c>
      <c r="AV6058" t="s">
        <v>132</v>
      </c>
      <c r="AW6058" s="1">
        <v>32437</v>
      </c>
      <c r="AX6058">
        <v>1</v>
      </c>
    </row>
    <row r="6059" spans="1:50">
      <c r="A6059">
        <v>227995</v>
      </c>
      <c r="B6059" t="str">
        <f>"065143311"</f>
        <v>065143311</v>
      </c>
      <c r="C6059" t="s">
        <v>50</v>
      </c>
      <c r="D6059" t="s">
        <v>10501</v>
      </c>
      <c r="E6059" t="s">
        <v>476</v>
      </c>
      <c r="F6059" t="s">
        <v>72</v>
      </c>
      <c r="G6059" t="s">
        <v>10502</v>
      </c>
      <c r="H6059" t="str">
        <f>"Μ. ΚΟΥΤΑΒΟΥ 8 ΚΟΜΟΤΗΝΗ"</f>
        <v>Μ. ΚΟΥΤΑΒΟΥ 8 ΚΟΜΟΤΗΝΗ</v>
      </c>
      <c r="I6059">
        <v>69100</v>
      </c>
      <c r="K6059">
        <v>6946467411</v>
      </c>
      <c r="N6059" t="s">
        <v>176</v>
      </c>
      <c r="O6059" t="s">
        <v>177</v>
      </c>
      <c r="R6059" t="s">
        <v>57</v>
      </c>
      <c r="S6059">
        <v>6</v>
      </c>
      <c r="T6059">
        <v>654</v>
      </c>
      <c r="U6059" s="1">
        <v>40043</v>
      </c>
      <c r="V6059" t="s">
        <v>80</v>
      </c>
      <c r="W6059" t="s">
        <v>81</v>
      </c>
      <c r="X6059" t="s">
        <v>58</v>
      </c>
      <c r="Y6059">
        <v>23</v>
      </c>
      <c r="Z6059" t="s">
        <v>59</v>
      </c>
      <c r="AA6059" t="s">
        <v>59</v>
      </c>
      <c r="AB6059" t="s">
        <v>59</v>
      </c>
      <c r="AC6059" t="s">
        <v>59</v>
      </c>
      <c r="AD6059" t="s">
        <v>59</v>
      </c>
      <c r="AF6059" s="1">
        <v>40057</v>
      </c>
      <c r="AG6059" t="s">
        <v>8645</v>
      </c>
      <c r="AH6059" t="s">
        <v>8646</v>
      </c>
      <c r="AI6059" t="str">
        <f>"9170205"</f>
        <v>9170205</v>
      </c>
      <c r="AJ6059" t="s">
        <v>8794</v>
      </c>
      <c r="AK6059">
        <v>2810762030</v>
      </c>
      <c r="AL6059" t="s">
        <v>8795</v>
      </c>
      <c r="AM6059" t="s">
        <v>78</v>
      </c>
      <c r="AN6059" t="s">
        <v>219</v>
      </c>
      <c r="AO6059" t="s">
        <v>297</v>
      </c>
      <c r="AP6059" t="s">
        <v>8796</v>
      </c>
      <c r="AQ6059">
        <v>7</v>
      </c>
      <c r="AR6059" t="s">
        <v>80</v>
      </c>
      <c r="AS6059" t="s">
        <v>81</v>
      </c>
      <c r="AT6059" t="s">
        <v>58</v>
      </c>
      <c r="AU6059" t="s">
        <v>68</v>
      </c>
      <c r="AV6059" t="s">
        <v>69</v>
      </c>
      <c r="AW6059" s="1">
        <v>27036</v>
      </c>
      <c r="AX6059">
        <v>1</v>
      </c>
    </row>
    <row r="6060" spans="1:50">
      <c r="A6060">
        <v>589849</v>
      </c>
      <c r="B6060" t="str">
        <f>"036982664"</f>
        <v>036982664</v>
      </c>
      <c r="C6060" t="s">
        <v>50</v>
      </c>
      <c r="D6060" t="s">
        <v>10503</v>
      </c>
      <c r="E6060" t="s">
        <v>396</v>
      </c>
      <c r="F6060" t="s">
        <v>53</v>
      </c>
      <c r="G6060" t="s">
        <v>263</v>
      </c>
      <c r="H6060" t="str">
        <f>" "</f>
        <v xml:space="preserve"> </v>
      </c>
      <c r="N6060" t="s">
        <v>1525</v>
      </c>
      <c r="O6060" t="s">
        <v>1526</v>
      </c>
      <c r="P6060" t="s">
        <v>74</v>
      </c>
      <c r="Q6060" t="s">
        <v>75</v>
      </c>
      <c r="R6060" t="s">
        <v>57</v>
      </c>
      <c r="S6060">
        <v>11</v>
      </c>
      <c r="T6060">
        <v>176</v>
      </c>
      <c r="U6060" s="1">
        <v>36403</v>
      </c>
      <c r="V6060" t="s">
        <v>80</v>
      </c>
      <c r="W6060" t="s">
        <v>81</v>
      </c>
      <c r="X6060" t="s">
        <v>58</v>
      </c>
      <c r="Y6060">
        <v>25</v>
      </c>
      <c r="Z6060" t="s">
        <v>59</v>
      </c>
      <c r="AA6060" t="s">
        <v>59</v>
      </c>
      <c r="AB6060" t="s">
        <v>59</v>
      </c>
      <c r="AC6060" t="s">
        <v>59</v>
      </c>
      <c r="AD6060" t="s">
        <v>59</v>
      </c>
      <c r="AF6060" s="1">
        <v>36404</v>
      </c>
      <c r="AG6060" t="s">
        <v>60</v>
      </c>
      <c r="AH6060" t="s">
        <v>61</v>
      </c>
      <c r="AI6060" t="str">
        <f>"9000624"</f>
        <v>9000624</v>
      </c>
      <c r="AJ6060" t="s">
        <v>76</v>
      </c>
      <c r="AK6060">
        <v>2810215020</v>
      </c>
      <c r="AL6060" t="s">
        <v>77</v>
      </c>
      <c r="AM6060" t="s">
        <v>78</v>
      </c>
      <c r="AN6060" t="s">
        <v>78</v>
      </c>
      <c r="AO6060" t="s">
        <v>78</v>
      </c>
      <c r="AP6060" t="s">
        <v>79</v>
      </c>
      <c r="AR6060" t="s">
        <v>80</v>
      </c>
      <c r="AS6060" t="s">
        <v>81</v>
      </c>
      <c r="AT6060" t="s">
        <v>58</v>
      </c>
      <c r="AU6060" t="s">
        <v>68</v>
      </c>
      <c r="AV6060" t="s">
        <v>69</v>
      </c>
      <c r="AW6060" s="1">
        <v>24779</v>
      </c>
      <c r="AX6060">
        <v>0</v>
      </c>
    </row>
    <row r="6061" spans="1:50">
      <c r="A6061">
        <v>594701</v>
      </c>
      <c r="B6061" t="str">
        <f>"110116775"</f>
        <v>110116775</v>
      </c>
      <c r="C6061" t="s">
        <v>50</v>
      </c>
      <c r="D6061" t="s">
        <v>10503</v>
      </c>
      <c r="E6061" t="s">
        <v>52</v>
      </c>
      <c r="F6061" t="s">
        <v>53</v>
      </c>
      <c r="G6061" t="s">
        <v>263</v>
      </c>
      <c r="H6061" t="str">
        <f>" "</f>
        <v xml:space="preserve"> </v>
      </c>
      <c r="N6061" t="s">
        <v>615</v>
      </c>
      <c r="O6061" t="s">
        <v>616</v>
      </c>
      <c r="R6061" t="s">
        <v>57</v>
      </c>
      <c r="S6061">
        <v>8</v>
      </c>
      <c r="T6061">
        <v>218</v>
      </c>
      <c r="U6061" s="1">
        <v>37134</v>
      </c>
      <c r="V6061" t="s">
        <v>80</v>
      </c>
      <c r="W6061" t="s">
        <v>81</v>
      </c>
      <c r="X6061" t="s">
        <v>58</v>
      </c>
      <c r="Y6061">
        <v>25</v>
      </c>
      <c r="Z6061" t="s">
        <v>59</v>
      </c>
      <c r="AA6061" t="s">
        <v>59</v>
      </c>
      <c r="AB6061" t="s">
        <v>59</v>
      </c>
      <c r="AC6061" t="s">
        <v>59</v>
      </c>
      <c r="AD6061" t="s">
        <v>59</v>
      </c>
      <c r="AF6061" s="1">
        <v>37141</v>
      </c>
      <c r="AG6061" t="s">
        <v>8645</v>
      </c>
      <c r="AH6061" t="s">
        <v>8676</v>
      </c>
      <c r="AI6061" t="str">
        <f>"9170246"</f>
        <v>9170246</v>
      </c>
      <c r="AJ6061" t="s">
        <v>10504</v>
      </c>
      <c r="AK6061">
        <v>2810771304</v>
      </c>
      <c r="AL6061" t="s">
        <v>10505</v>
      </c>
      <c r="AM6061" t="s">
        <v>78</v>
      </c>
      <c r="AN6061" t="s">
        <v>219</v>
      </c>
      <c r="AO6061" t="s">
        <v>1437</v>
      </c>
      <c r="AP6061" t="s">
        <v>10286</v>
      </c>
      <c r="AQ6061">
        <v>7</v>
      </c>
      <c r="AR6061" t="s">
        <v>80</v>
      </c>
      <c r="AS6061" t="s">
        <v>81</v>
      </c>
      <c r="AT6061" t="s">
        <v>58</v>
      </c>
      <c r="AU6061" t="s">
        <v>68</v>
      </c>
      <c r="AV6061" t="s">
        <v>69</v>
      </c>
      <c r="AW6061" s="1">
        <v>27549</v>
      </c>
      <c r="AX6061">
        <v>1</v>
      </c>
    </row>
    <row r="6062" spans="1:50">
      <c r="B6062" t="str">
        <f>"067036586"</f>
        <v>067036586</v>
      </c>
      <c r="C6062" t="s">
        <v>105</v>
      </c>
      <c r="D6062" t="s">
        <v>10506</v>
      </c>
      <c r="E6062" t="s">
        <v>558</v>
      </c>
      <c r="F6062" t="s">
        <v>99</v>
      </c>
      <c r="G6062" t="s">
        <v>4602</v>
      </c>
      <c r="H6062" t="str">
        <f>"ΝΕΪΓΥ 46 ΑΘΗΝΑ"</f>
        <v>ΝΕΪΓΥ 46 ΑΘΗΝΑ</v>
      </c>
      <c r="I6062">
        <v>11143</v>
      </c>
      <c r="J6062">
        <v>2102521867</v>
      </c>
      <c r="K6062">
        <v>6936948280</v>
      </c>
      <c r="N6062" t="s">
        <v>176</v>
      </c>
      <c r="O6062" t="s">
        <v>177</v>
      </c>
      <c r="R6062" t="s">
        <v>57</v>
      </c>
      <c r="S6062">
        <v>4</v>
      </c>
      <c r="T6062" t="s">
        <v>8675</v>
      </c>
      <c r="U6062" s="1">
        <v>43348</v>
      </c>
      <c r="V6062" t="s">
        <v>80</v>
      </c>
      <c r="W6062" t="s">
        <v>81</v>
      </c>
      <c r="X6062" t="s">
        <v>58</v>
      </c>
      <c r="Y6062">
        <v>24</v>
      </c>
      <c r="Z6062" t="s">
        <v>59</v>
      </c>
      <c r="AA6062" t="s">
        <v>59</v>
      </c>
      <c r="AB6062" t="s">
        <v>59</v>
      </c>
      <c r="AC6062" t="s">
        <v>59</v>
      </c>
      <c r="AD6062" t="s">
        <v>59</v>
      </c>
      <c r="AF6062" s="1">
        <v>43348</v>
      </c>
      <c r="AG6062" t="s">
        <v>8645</v>
      </c>
      <c r="AH6062" t="s">
        <v>8646</v>
      </c>
      <c r="AI6062" t="str">
        <f>"9521015"</f>
        <v>9521015</v>
      </c>
      <c r="AJ6062" t="s">
        <v>8927</v>
      </c>
      <c r="AK6062">
        <v>2897029138</v>
      </c>
      <c r="AL6062" t="s">
        <v>8928</v>
      </c>
      <c r="AM6062" t="s">
        <v>78</v>
      </c>
      <c r="AN6062" t="s">
        <v>219</v>
      </c>
      <c r="AO6062" t="s">
        <v>219</v>
      </c>
      <c r="AP6062" t="s">
        <v>220</v>
      </c>
      <c r="AQ6062">
        <v>8</v>
      </c>
      <c r="AR6062" t="s">
        <v>80</v>
      </c>
      <c r="AS6062" t="s">
        <v>81</v>
      </c>
      <c r="AT6062" t="s">
        <v>58</v>
      </c>
      <c r="AU6062" t="s">
        <v>8673</v>
      </c>
      <c r="AV6062" t="s">
        <v>132</v>
      </c>
      <c r="AW6062" s="1">
        <v>26140</v>
      </c>
      <c r="AX6062">
        <v>1</v>
      </c>
    </row>
    <row r="6063" spans="1:50">
      <c r="B6063" t="str">
        <f>"137460746"</f>
        <v>137460746</v>
      </c>
      <c r="C6063" t="s">
        <v>50</v>
      </c>
      <c r="D6063" t="s">
        <v>6176</v>
      </c>
      <c r="E6063" t="s">
        <v>6179</v>
      </c>
      <c r="F6063" t="s">
        <v>315</v>
      </c>
      <c r="G6063" t="s">
        <v>255</v>
      </c>
      <c r="H6063" t="str">
        <f>"Κ. ΓΕΡΑΚΑΡΗ 2 "</f>
        <v xml:space="preserve">Κ. ΓΕΡΑΚΑΡΗ 2 </v>
      </c>
      <c r="I6063">
        <v>74100</v>
      </c>
      <c r="J6063">
        <v>2831032198</v>
      </c>
      <c r="K6063">
        <v>6982192223</v>
      </c>
      <c r="N6063" t="s">
        <v>1525</v>
      </c>
      <c r="O6063" t="s">
        <v>1526</v>
      </c>
      <c r="R6063" t="s">
        <v>159</v>
      </c>
      <c r="S6063">
        <v>2</v>
      </c>
      <c r="T6063" t="s">
        <v>8670</v>
      </c>
      <c r="U6063" s="1">
        <v>43348</v>
      </c>
      <c r="V6063" t="s">
        <v>80</v>
      </c>
      <c r="W6063" t="s">
        <v>81</v>
      </c>
      <c r="X6063" t="s">
        <v>58</v>
      </c>
      <c r="Y6063">
        <v>25</v>
      </c>
      <c r="Z6063" t="s">
        <v>59</v>
      </c>
      <c r="AA6063" t="s">
        <v>59</v>
      </c>
      <c r="AB6063" t="s">
        <v>59</v>
      </c>
      <c r="AC6063" t="s">
        <v>59</v>
      </c>
      <c r="AD6063" t="s">
        <v>59</v>
      </c>
      <c r="AF6063" s="1">
        <v>43348</v>
      </c>
      <c r="AG6063" t="s">
        <v>8651</v>
      </c>
      <c r="AH6063" t="s">
        <v>8652</v>
      </c>
      <c r="AI6063" t="str">
        <f>"9170398"</f>
        <v>9170398</v>
      </c>
      <c r="AJ6063" t="s">
        <v>9593</v>
      </c>
      <c r="AK6063">
        <v>2892053478</v>
      </c>
      <c r="AL6063" t="s">
        <v>9594</v>
      </c>
      <c r="AM6063" t="s">
        <v>78</v>
      </c>
      <c r="AN6063" t="s">
        <v>242</v>
      </c>
      <c r="AO6063" t="s">
        <v>349</v>
      </c>
      <c r="AP6063" t="s">
        <v>349</v>
      </c>
      <c r="AQ6063">
        <v>19</v>
      </c>
      <c r="AR6063" t="s">
        <v>80</v>
      </c>
      <c r="AS6063" t="s">
        <v>81</v>
      </c>
      <c r="AT6063" t="s">
        <v>58</v>
      </c>
      <c r="AU6063" t="s">
        <v>8673</v>
      </c>
      <c r="AV6063" t="s">
        <v>132</v>
      </c>
      <c r="AW6063" s="1">
        <v>31293</v>
      </c>
      <c r="AX6063">
        <v>1</v>
      </c>
    </row>
    <row r="6064" spans="1:50">
      <c r="A6064">
        <v>559936</v>
      </c>
      <c r="B6064" t="str">
        <f>"103806944"</f>
        <v>103806944</v>
      </c>
      <c r="C6064" t="s">
        <v>50</v>
      </c>
      <c r="D6064" t="s">
        <v>10507</v>
      </c>
      <c r="E6064" t="s">
        <v>109</v>
      </c>
      <c r="F6064" t="s">
        <v>166</v>
      </c>
      <c r="G6064" t="s">
        <v>263</v>
      </c>
      <c r="H6064" t="str">
        <f>"ΚΡΟΥΣΩΝΑΣ ΚΡΟΥΣΩΝΑΣ ΗΡΑΚΛΕΙΟΥ"</f>
        <v>ΚΡΟΥΣΩΝΑΣ ΚΡΟΥΣΩΝΑΣ ΗΡΑΚΛΕΙΟΥ</v>
      </c>
      <c r="I6064">
        <v>70001</v>
      </c>
      <c r="J6064">
        <v>2810711655</v>
      </c>
      <c r="K6064">
        <v>6942484350</v>
      </c>
      <c r="M6064" t="s">
        <v>10508</v>
      </c>
      <c r="N6064" t="s">
        <v>1525</v>
      </c>
      <c r="O6064" t="s">
        <v>1526</v>
      </c>
      <c r="R6064" t="s">
        <v>57</v>
      </c>
      <c r="S6064">
        <v>16</v>
      </c>
      <c r="T6064">
        <v>175</v>
      </c>
      <c r="U6064" s="1">
        <v>32020</v>
      </c>
      <c r="V6064" t="s">
        <v>80</v>
      </c>
      <c r="W6064" t="s">
        <v>81</v>
      </c>
      <c r="X6064" t="s">
        <v>58</v>
      </c>
      <c r="Y6064">
        <v>25</v>
      </c>
      <c r="Z6064" t="s">
        <v>59</v>
      </c>
      <c r="AA6064" t="s">
        <v>59</v>
      </c>
      <c r="AB6064" t="s">
        <v>59</v>
      </c>
      <c r="AC6064" t="s">
        <v>59</v>
      </c>
      <c r="AD6064" t="s">
        <v>59</v>
      </c>
      <c r="AF6064" s="1">
        <v>32021</v>
      </c>
      <c r="AG6064" t="s">
        <v>8651</v>
      </c>
      <c r="AH6064" t="s">
        <v>8652</v>
      </c>
      <c r="AI6064" t="str">
        <f>"9170453"</f>
        <v>9170453</v>
      </c>
      <c r="AJ6064" t="s">
        <v>10509</v>
      </c>
      <c r="AK6064">
        <v>2810711205</v>
      </c>
      <c r="AL6064" t="s">
        <v>10510</v>
      </c>
      <c r="AM6064" t="s">
        <v>78</v>
      </c>
      <c r="AN6064" t="s">
        <v>129</v>
      </c>
      <c r="AO6064" t="s">
        <v>597</v>
      </c>
      <c r="AP6064" t="s">
        <v>598</v>
      </c>
      <c r="AQ6064">
        <v>4</v>
      </c>
      <c r="AR6064" t="s">
        <v>80</v>
      </c>
      <c r="AS6064" t="s">
        <v>81</v>
      </c>
      <c r="AT6064" t="s">
        <v>58</v>
      </c>
      <c r="AU6064" t="s">
        <v>68</v>
      </c>
      <c r="AV6064" t="s">
        <v>69</v>
      </c>
      <c r="AW6064" s="1">
        <v>22745</v>
      </c>
      <c r="AX6064">
        <v>1</v>
      </c>
    </row>
    <row r="6065" spans="1:50">
      <c r="B6065" t="str">
        <f>"142180522"</f>
        <v>142180522</v>
      </c>
      <c r="C6065" t="s">
        <v>50</v>
      </c>
      <c r="D6065" t="s">
        <v>10511</v>
      </c>
      <c r="E6065" t="s">
        <v>215</v>
      </c>
      <c r="F6065" t="s">
        <v>99</v>
      </c>
      <c r="G6065" t="s">
        <v>52</v>
      </c>
      <c r="H6065" t="str">
        <f>"ΨΑΡΩΝ 5 "</f>
        <v xml:space="preserve">ΨΑΡΩΝ 5 </v>
      </c>
      <c r="I6065">
        <v>47100</v>
      </c>
      <c r="J6065">
        <v>2681075070</v>
      </c>
      <c r="K6065">
        <v>6973270045</v>
      </c>
      <c r="N6065" t="s">
        <v>615</v>
      </c>
      <c r="O6065" t="s">
        <v>616</v>
      </c>
      <c r="R6065" t="s">
        <v>159</v>
      </c>
      <c r="S6065">
        <v>3</v>
      </c>
      <c r="T6065" t="s">
        <v>8675</v>
      </c>
      <c r="U6065" s="1">
        <v>43348</v>
      </c>
      <c r="V6065" t="s">
        <v>80</v>
      </c>
      <c r="W6065" t="s">
        <v>81</v>
      </c>
      <c r="X6065" t="s">
        <v>58</v>
      </c>
      <c r="Y6065">
        <v>24</v>
      </c>
      <c r="Z6065" t="s">
        <v>59</v>
      </c>
      <c r="AA6065" t="s">
        <v>59</v>
      </c>
      <c r="AB6065" t="s">
        <v>59</v>
      </c>
      <c r="AC6065" t="s">
        <v>59</v>
      </c>
      <c r="AD6065" t="s">
        <v>59</v>
      </c>
      <c r="AF6065" s="1">
        <v>43348</v>
      </c>
      <c r="AG6065" t="s">
        <v>8645</v>
      </c>
      <c r="AH6065" t="s">
        <v>8646</v>
      </c>
      <c r="AI6065" t="str">
        <f>"9170068"</f>
        <v>9170068</v>
      </c>
      <c r="AJ6065" t="s">
        <v>8773</v>
      </c>
      <c r="AK6065">
        <v>2893031217</v>
      </c>
      <c r="AL6065" t="s">
        <v>8774</v>
      </c>
      <c r="AM6065" t="s">
        <v>78</v>
      </c>
      <c r="AN6065" t="s">
        <v>405</v>
      </c>
      <c r="AO6065" t="s">
        <v>805</v>
      </c>
      <c r="AP6065" t="s">
        <v>806</v>
      </c>
      <c r="AQ6065">
        <v>15</v>
      </c>
      <c r="AR6065" t="s">
        <v>80</v>
      </c>
      <c r="AS6065" t="s">
        <v>81</v>
      </c>
      <c r="AT6065" t="s">
        <v>58</v>
      </c>
      <c r="AU6065" t="s">
        <v>8673</v>
      </c>
      <c r="AV6065" t="s">
        <v>132</v>
      </c>
      <c r="AW6065" s="1">
        <v>32188</v>
      </c>
      <c r="AX6065">
        <v>1</v>
      </c>
    </row>
    <row r="6066" spans="1:50">
      <c r="A6066">
        <v>593142</v>
      </c>
      <c r="B6066" t="str">
        <f>"055329890"</f>
        <v>055329890</v>
      </c>
      <c r="C6066" t="s">
        <v>105</v>
      </c>
      <c r="D6066" t="s">
        <v>10512</v>
      </c>
      <c r="E6066" t="s">
        <v>989</v>
      </c>
      <c r="F6066" t="s">
        <v>106</v>
      </c>
      <c r="G6066" t="s">
        <v>237</v>
      </c>
      <c r="H6066" t="str">
        <f>"Κ. ΚΑΛΕΣΣΑ ΗΡΑΚΛΕΙΟ"</f>
        <v>Κ. ΚΑΛΕΣΣΑ ΗΡΑΚΛΕΙΟ</v>
      </c>
      <c r="J6066">
        <v>2810824468</v>
      </c>
      <c r="K6066">
        <v>6938574052</v>
      </c>
      <c r="N6066" t="s">
        <v>615</v>
      </c>
      <c r="O6066" t="s">
        <v>616</v>
      </c>
      <c r="R6066" t="s">
        <v>57</v>
      </c>
      <c r="S6066">
        <v>9</v>
      </c>
      <c r="T6066">
        <v>218</v>
      </c>
      <c r="U6066" s="1">
        <v>37134</v>
      </c>
      <c r="V6066" t="s">
        <v>80</v>
      </c>
      <c r="W6066" t="s">
        <v>81</v>
      </c>
      <c r="X6066" t="s">
        <v>58</v>
      </c>
      <c r="Y6066">
        <v>22</v>
      </c>
      <c r="Z6066" t="s">
        <v>59</v>
      </c>
      <c r="AA6066" t="s">
        <v>59</v>
      </c>
      <c r="AB6066" t="s">
        <v>59</v>
      </c>
      <c r="AC6066" t="s">
        <v>59</v>
      </c>
      <c r="AD6066" t="s">
        <v>59</v>
      </c>
      <c r="AF6066" s="1">
        <v>37137</v>
      </c>
      <c r="AG6066" t="s">
        <v>8645</v>
      </c>
      <c r="AH6066" t="s">
        <v>8646</v>
      </c>
      <c r="AI6066" t="str">
        <f>"9170525"</f>
        <v>9170525</v>
      </c>
      <c r="AJ6066" t="s">
        <v>8853</v>
      </c>
      <c r="AK6066">
        <v>2810256547</v>
      </c>
      <c r="AL6066" t="s">
        <v>8854</v>
      </c>
      <c r="AM6066" t="s">
        <v>78</v>
      </c>
      <c r="AN6066" t="s">
        <v>78</v>
      </c>
      <c r="AO6066" t="s">
        <v>78</v>
      </c>
      <c r="AP6066" t="s">
        <v>141</v>
      </c>
      <c r="AQ6066">
        <v>1</v>
      </c>
      <c r="AR6066" t="s">
        <v>80</v>
      </c>
      <c r="AS6066" t="s">
        <v>81</v>
      </c>
      <c r="AT6066" t="s">
        <v>58</v>
      </c>
      <c r="AU6066" t="s">
        <v>68</v>
      </c>
      <c r="AV6066" t="s">
        <v>69</v>
      </c>
      <c r="AW6066" s="1">
        <v>24602</v>
      </c>
      <c r="AX6066">
        <v>1</v>
      </c>
    </row>
    <row r="6067" spans="1:50">
      <c r="A6067">
        <v>573842</v>
      </c>
      <c r="B6067" t="str">
        <f>"039613262"</f>
        <v>039613262</v>
      </c>
      <c r="C6067" t="s">
        <v>50</v>
      </c>
      <c r="D6067" t="s">
        <v>2454</v>
      </c>
      <c r="E6067" t="s">
        <v>250</v>
      </c>
      <c r="F6067" t="s">
        <v>166</v>
      </c>
      <c r="G6067" t="s">
        <v>1155</v>
      </c>
      <c r="H6067" t="str">
        <f>"ΙΩΑΝΝΗ ΟΙΚΟΝΟΜΑΚΗ 16 ΗΡΑΚΛΕΙΟ"</f>
        <v>ΙΩΑΝΝΗ ΟΙΚΟΝΟΜΑΚΗ 16 ΗΡΑΚΛΕΙΟ</v>
      </c>
      <c r="I6067">
        <v>71304</v>
      </c>
      <c r="J6067">
        <v>2810312734</v>
      </c>
      <c r="K6067">
        <v>6976485833</v>
      </c>
      <c r="N6067" t="s">
        <v>615</v>
      </c>
      <c r="O6067" t="s">
        <v>616</v>
      </c>
      <c r="R6067" t="s">
        <v>57</v>
      </c>
      <c r="S6067">
        <v>13</v>
      </c>
      <c r="T6067">
        <v>160</v>
      </c>
      <c r="U6067" s="1">
        <v>34582</v>
      </c>
      <c r="V6067" t="s">
        <v>80</v>
      </c>
      <c r="W6067" t="s">
        <v>81</v>
      </c>
      <c r="X6067" t="s">
        <v>58</v>
      </c>
      <c r="Y6067">
        <v>21</v>
      </c>
      <c r="Z6067" t="s">
        <v>59</v>
      </c>
      <c r="AA6067" t="s">
        <v>59</v>
      </c>
      <c r="AB6067" t="s">
        <v>59</v>
      </c>
      <c r="AC6067" t="s">
        <v>59</v>
      </c>
      <c r="AD6067" t="s">
        <v>59</v>
      </c>
      <c r="AF6067" s="1">
        <v>34582</v>
      </c>
      <c r="AG6067" t="s">
        <v>8645</v>
      </c>
      <c r="AH6067" t="s">
        <v>8646</v>
      </c>
      <c r="AI6067" t="str">
        <f>"9170560"</f>
        <v>9170560</v>
      </c>
      <c r="AJ6067" t="s">
        <v>9022</v>
      </c>
      <c r="AK6067">
        <v>2810821816</v>
      </c>
      <c r="AL6067" t="s">
        <v>9023</v>
      </c>
      <c r="AM6067" t="s">
        <v>78</v>
      </c>
      <c r="AN6067" t="s">
        <v>129</v>
      </c>
      <c r="AO6067" t="s">
        <v>130</v>
      </c>
      <c r="AP6067" t="s">
        <v>130</v>
      </c>
      <c r="AQ6067">
        <v>1</v>
      </c>
      <c r="AR6067" t="s">
        <v>80</v>
      </c>
      <c r="AS6067" t="s">
        <v>81</v>
      </c>
      <c r="AT6067" t="s">
        <v>58</v>
      </c>
      <c r="AU6067" t="s">
        <v>68</v>
      </c>
      <c r="AV6067" t="s">
        <v>69</v>
      </c>
      <c r="AW6067" s="1">
        <v>24523</v>
      </c>
      <c r="AX6067">
        <v>1</v>
      </c>
    </row>
    <row r="6068" spans="1:50">
      <c r="A6068">
        <v>607356</v>
      </c>
      <c r="B6068" t="str">
        <f>"123657568"</f>
        <v>123657568</v>
      </c>
      <c r="C6068" t="s">
        <v>50</v>
      </c>
      <c r="D6068" t="s">
        <v>2454</v>
      </c>
      <c r="E6068" t="s">
        <v>250</v>
      </c>
      <c r="F6068" t="s">
        <v>166</v>
      </c>
      <c r="G6068" t="s">
        <v>237</v>
      </c>
      <c r="H6068" t="str">
        <f>" "</f>
        <v xml:space="preserve"> </v>
      </c>
      <c r="J6068">
        <v>2892031141</v>
      </c>
      <c r="K6068">
        <v>6977643284</v>
      </c>
      <c r="N6068" t="s">
        <v>615</v>
      </c>
      <c r="O6068" t="s">
        <v>616</v>
      </c>
      <c r="R6068" t="s">
        <v>57</v>
      </c>
      <c r="S6068">
        <v>7</v>
      </c>
      <c r="T6068">
        <v>217</v>
      </c>
      <c r="U6068" s="1">
        <v>38596</v>
      </c>
      <c r="V6068" t="s">
        <v>80</v>
      </c>
      <c r="W6068" t="s">
        <v>81</v>
      </c>
      <c r="X6068" t="s">
        <v>58</v>
      </c>
      <c r="Y6068">
        <v>23</v>
      </c>
      <c r="Z6068" t="s">
        <v>59</v>
      </c>
      <c r="AA6068" t="s">
        <v>59</v>
      </c>
      <c r="AB6068" t="s">
        <v>59</v>
      </c>
      <c r="AC6068" t="s">
        <v>59</v>
      </c>
      <c r="AD6068" t="s">
        <v>59</v>
      </c>
      <c r="AF6068" s="1">
        <v>38600</v>
      </c>
      <c r="AG6068" t="s">
        <v>8645</v>
      </c>
      <c r="AH6068" t="s">
        <v>8646</v>
      </c>
      <c r="AI6068" t="str">
        <f>"9170270"</f>
        <v>9170270</v>
      </c>
      <c r="AJ6068" t="s">
        <v>9347</v>
      </c>
      <c r="AK6068">
        <v>2892031245</v>
      </c>
      <c r="AL6068" t="s">
        <v>9348</v>
      </c>
      <c r="AM6068" t="s">
        <v>78</v>
      </c>
      <c r="AN6068" t="s">
        <v>405</v>
      </c>
      <c r="AO6068" t="s">
        <v>405</v>
      </c>
      <c r="AP6068" t="s">
        <v>464</v>
      </c>
      <c r="AQ6068">
        <v>17</v>
      </c>
      <c r="AR6068" t="s">
        <v>80</v>
      </c>
      <c r="AS6068" t="s">
        <v>81</v>
      </c>
      <c r="AT6068" t="s">
        <v>58</v>
      </c>
      <c r="AU6068" t="s">
        <v>68</v>
      </c>
      <c r="AV6068" t="s">
        <v>69</v>
      </c>
      <c r="AW6068" s="1">
        <v>29075</v>
      </c>
      <c r="AX6068">
        <v>1</v>
      </c>
    </row>
    <row r="6069" spans="1:50">
      <c r="A6069">
        <v>592818</v>
      </c>
      <c r="B6069" t="str">
        <f>"056308578"</f>
        <v>056308578</v>
      </c>
      <c r="C6069" t="s">
        <v>50</v>
      </c>
      <c r="D6069" t="s">
        <v>2454</v>
      </c>
      <c r="E6069" t="s">
        <v>255</v>
      </c>
      <c r="F6069" t="s">
        <v>72</v>
      </c>
      <c r="G6069" t="s">
        <v>237</v>
      </c>
      <c r="H6069" t="str">
        <f>"ΘΕΡΙΣΣΟΥ 61   ΗΡΑΚΛΕΙΟ"</f>
        <v>ΘΕΡΙΣΣΟΥ 61   ΗΡΑΚΛΕΙΟ</v>
      </c>
      <c r="I6069">
        <v>71305</v>
      </c>
      <c r="J6069">
        <v>2810256130</v>
      </c>
      <c r="K6069">
        <v>6977071441</v>
      </c>
      <c r="N6069" t="s">
        <v>615</v>
      </c>
      <c r="O6069" t="s">
        <v>616</v>
      </c>
      <c r="R6069" t="s">
        <v>57</v>
      </c>
      <c r="S6069">
        <v>11</v>
      </c>
      <c r="T6069">
        <v>218</v>
      </c>
      <c r="U6069" s="1">
        <v>37134</v>
      </c>
      <c r="V6069" t="s">
        <v>80</v>
      </c>
      <c r="W6069" t="s">
        <v>81</v>
      </c>
      <c r="X6069" t="s">
        <v>58</v>
      </c>
      <c r="Y6069">
        <v>22</v>
      </c>
      <c r="Z6069" t="s">
        <v>59</v>
      </c>
      <c r="AA6069" t="s">
        <v>59</v>
      </c>
      <c r="AB6069" t="s">
        <v>59</v>
      </c>
      <c r="AC6069" t="s">
        <v>59</v>
      </c>
      <c r="AD6069" t="s">
        <v>59</v>
      </c>
      <c r="AF6069" s="1">
        <v>37137</v>
      </c>
      <c r="AG6069" t="s">
        <v>8645</v>
      </c>
      <c r="AH6069" t="s">
        <v>8646</v>
      </c>
      <c r="AI6069" t="str">
        <f>"9170115"</f>
        <v>9170115</v>
      </c>
      <c r="AJ6069" t="s">
        <v>8770</v>
      </c>
      <c r="AK6069">
        <v>2810231165</v>
      </c>
      <c r="AL6069" t="s">
        <v>8771</v>
      </c>
      <c r="AM6069" t="s">
        <v>78</v>
      </c>
      <c r="AN6069" t="s">
        <v>78</v>
      </c>
      <c r="AO6069" t="s">
        <v>78</v>
      </c>
      <c r="AP6069" t="s">
        <v>141</v>
      </c>
      <c r="AQ6069">
        <v>1</v>
      </c>
      <c r="AR6069" t="s">
        <v>80</v>
      </c>
      <c r="AS6069" t="s">
        <v>81</v>
      </c>
      <c r="AT6069" t="s">
        <v>58</v>
      </c>
      <c r="AU6069" t="s">
        <v>68</v>
      </c>
      <c r="AV6069" t="s">
        <v>69</v>
      </c>
      <c r="AW6069" s="1">
        <v>27071</v>
      </c>
      <c r="AX6069">
        <v>1</v>
      </c>
    </row>
    <row r="6070" spans="1:50">
      <c r="A6070">
        <v>567723</v>
      </c>
      <c r="B6070" t="str">
        <f>"034629406"</f>
        <v>034629406</v>
      </c>
      <c r="C6070" t="s">
        <v>50</v>
      </c>
      <c r="D6070" t="s">
        <v>2454</v>
      </c>
      <c r="E6070" t="s">
        <v>215</v>
      </c>
      <c r="F6070" t="s">
        <v>408</v>
      </c>
      <c r="G6070" t="s">
        <v>96</v>
      </c>
      <c r="H6070" t="str">
        <f>"ΛΕΥΚΩΝ ΟΡΕΩΝ 8 ΗΡΑΚΛΕΙΟ"</f>
        <v>ΛΕΥΚΩΝ ΟΡΕΩΝ 8 ΗΡΑΚΛΕΙΟ</v>
      </c>
      <c r="I6070">
        <v>71304</v>
      </c>
      <c r="J6070">
        <v>2810312813</v>
      </c>
      <c r="K6070">
        <v>6978792081</v>
      </c>
      <c r="N6070" t="s">
        <v>615</v>
      </c>
      <c r="O6070" t="s">
        <v>616</v>
      </c>
      <c r="R6070" t="s">
        <v>57</v>
      </c>
      <c r="S6070">
        <v>14</v>
      </c>
      <c r="T6070">
        <v>133</v>
      </c>
      <c r="U6070" s="1">
        <v>33456</v>
      </c>
      <c r="V6070" t="s">
        <v>80</v>
      </c>
      <c r="W6070" t="s">
        <v>81</v>
      </c>
      <c r="X6070" t="s">
        <v>58</v>
      </c>
      <c r="Y6070">
        <v>21</v>
      </c>
      <c r="Z6070" t="s">
        <v>59</v>
      </c>
      <c r="AA6070" t="s">
        <v>59</v>
      </c>
      <c r="AB6070" t="s">
        <v>59</v>
      </c>
      <c r="AC6070" t="s">
        <v>59</v>
      </c>
      <c r="AD6070" t="s">
        <v>59</v>
      </c>
      <c r="AF6070" s="1">
        <v>33485</v>
      </c>
      <c r="AG6070" t="s">
        <v>8645</v>
      </c>
      <c r="AH6070" t="s">
        <v>8646</v>
      </c>
      <c r="AI6070" t="str">
        <f>"9170515"</f>
        <v>9170515</v>
      </c>
      <c r="AJ6070" t="s">
        <v>8790</v>
      </c>
      <c r="AK6070">
        <v>2810254821</v>
      </c>
      <c r="AL6070" t="s">
        <v>8791</v>
      </c>
      <c r="AM6070" t="s">
        <v>78</v>
      </c>
      <c r="AN6070" t="s">
        <v>78</v>
      </c>
      <c r="AO6070" t="s">
        <v>78</v>
      </c>
      <c r="AP6070" t="s">
        <v>163</v>
      </c>
      <c r="AQ6070">
        <v>1</v>
      </c>
      <c r="AR6070" t="s">
        <v>80</v>
      </c>
      <c r="AS6070" t="s">
        <v>81</v>
      </c>
      <c r="AT6070" t="s">
        <v>58</v>
      </c>
      <c r="AU6070" t="s">
        <v>68</v>
      </c>
      <c r="AV6070" t="s">
        <v>69</v>
      </c>
      <c r="AW6070" s="1">
        <v>24121</v>
      </c>
      <c r="AX6070">
        <v>1</v>
      </c>
    </row>
    <row r="6071" spans="1:50">
      <c r="A6071">
        <v>613178</v>
      </c>
      <c r="B6071" t="str">
        <f>"132989327"</f>
        <v>132989327</v>
      </c>
      <c r="C6071" t="s">
        <v>50</v>
      </c>
      <c r="D6071" t="s">
        <v>2454</v>
      </c>
      <c r="E6071" t="s">
        <v>1068</v>
      </c>
      <c r="F6071" t="s">
        <v>2320</v>
      </c>
      <c r="G6071" t="s">
        <v>255</v>
      </c>
      <c r="H6071" t="str">
        <f>"ΠΟΛΥΔΟΥΡΗ ΜΑΡΙΑ 5 ΗΡΑΚΛΕΙΟ"</f>
        <v>ΠΟΛΥΔΟΥΡΗ ΜΑΡΙΑ 5 ΗΡΑΚΛΕΙΟ</v>
      </c>
      <c r="I6071">
        <v>71303</v>
      </c>
      <c r="J6071">
        <v>2810257955</v>
      </c>
      <c r="K6071">
        <v>6947213043</v>
      </c>
      <c r="N6071" t="s">
        <v>615</v>
      </c>
      <c r="O6071" t="s">
        <v>616</v>
      </c>
      <c r="R6071" t="s">
        <v>57</v>
      </c>
      <c r="S6071">
        <v>6</v>
      </c>
      <c r="T6071">
        <v>598</v>
      </c>
      <c r="U6071" s="1">
        <v>39328</v>
      </c>
      <c r="V6071" t="s">
        <v>80</v>
      </c>
      <c r="W6071" t="s">
        <v>81</v>
      </c>
      <c r="X6071" t="s">
        <v>58</v>
      </c>
      <c r="Y6071">
        <v>23</v>
      </c>
      <c r="Z6071" t="s">
        <v>59</v>
      </c>
      <c r="AA6071" t="s">
        <v>59</v>
      </c>
      <c r="AB6071" t="s">
        <v>59</v>
      </c>
      <c r="AC6071" t="s">
        <v>59</v>
      </c>
      <c r="AD6071" t="s">
        <v>59</v>
      </c>
      <c r="AF6071" s="1">
        <v>39328</v>
      </c>
      <c r="AG6071" t="s">
        <v>8645</v>
      </c>
      <c r="AH6071" t="s">
        <v>8646</v>
      </c>
      <c r="AI6071" t="str">
        <f>"9521411"</f>
        <v>9521411</v>
      </c>
      <c r="AJ6071" t="s">
        <v>9007</v>
      </c>
      <c r="AK6071">
        <v>2810824954</v>
      </c>
      <c r="AL6071" t="s">
        <v>9008</v>
      </c>
      <c r="AM6071" t="s">
        <v>78</v>
      </c>
      <c r="AN6071" t="s">
        <v>129</v>
      </c>
      <c r="AO6071" t="s">
        <v>130</v>
      </c>
      <c r="AP6071" t="s">
        <v>130</v>
      </c>
      <c r="AQ6071">
        <v>1</v>
      </c>
      <c r="AR6071" t="s">
        <v>80</v>
      </c>
      <c r="AS6071" t="s">
        <v>81</v>
      </c>
      <c r="AT6071" t="s">
        <v>58</v>
      </c>
      <c r="AU6071" t="s">
        <v>68</v>
      </c>
      <c r="AV6071" t="s">
        <v>69</v>
      </c>
      <c r="AW6071" s="1">
        <v>30132</v>
      </c>
      <c r="AX6071">
        <v>1</v>
      </c>
    </row>
    <row r="6072" spans="1:50">
      <c r="A6072">
        <v>567699</v>
      </c>
      <c r="B6072" t="str">
        <f>"065137248"</f>
        <v>065137248</v>
      </c>
      <c r="C6072" t="s">
        <v>50</v>
      </c>
      <c r="D6072" t="s">
        <v>2454</v>
      </c>
      <c r="E6072" t="s">
        <v>801</v>
      </c>
      <c r="F6072" t="s">
        <v>106</v>
      </c>
      <c r="G6072" t="s">
        <v>658</v>
      </c>
      <c r="H6072" t="str">
        <f>"ΑΠΟΛΛΩΝΙΑΣ 15 ΗΡΑΚΛΕΙΟ"</f>
        <v>ΑΠΟΛΛΩΝΙΑΣ 15 ΗΡΑΚΛΕΙΟ</v>
      </c>
      <c r="I6072">
        <v>71303</v>
      </c>
      <c r="J6072">
        <v>2810310882</v>
      </c>
      <c r="K6072">
        <v>6950097519</v>
      </c>
      <c r="N6072" t="s">
        <v>615</v>
      </c>
      <c r="O6072" t="s">
        <v>616</v>
      </c>
      <c r="R6072" t="s">
        <v>57</v>
      </c>
      <c r="S6072">
        <v>14</v>
      </c>
      <c r="T6072">
        <v>133</v>
      </c>
      <c r="U6072" s="1">
        <v>33456</v>
      </c>
      <c r="V6072" t="s">
        <v>80</v>
      </c>
      <c r="W6072" t="s">
        <v>81</v>
      </c>
      <c r="X6072" t="s">
        <v>58</v>
      </c>
      <c r="Y6072">
        <v>21</v>
      </c>
      <c r="Z6072" t="s">
        <v>59</v>
      </c>
      <c r="AA6072" t="s">
        <v>59</v>
      </c>
      <c r="AB6072" t="s">
        <v>59</v>
      </c>
      <c r="AC6072" t="s">
        <v>59</v>
      </c>
      <c r="AD6072" t="s">
        <v>59</v>
      </c>
      <c r="AF6072" s="1">
        <v>33486</v>
      </c>
      <c r="AG6072" t="s">
        <v>8645</v>
      </c>
      <c r="AH6072" t="s">
        <v>8646</v>
      </c>
      <c r="AI6072" t="str">
        <f>"9170107"</f>
        <v>9170107</v>
      </c>
      <c r="AJ6072" t="s">
        <v>8798</v>
      </c>
      <c r="AK6072">
        <v>2810282405</v>
      </c>
      <c r="AL6072" t="s">
        <v>8799</v>
      </c>
      <c r="AM6072" t="s">
        <v>78</v>
      </c>
      <c r="AN6072" t="s">
        <v>78</v>
      </c>
      <c r="AO6072" t="s">
        <v>78</v>
      </c>
      <c r="AP6072" t="s">
        <v>79</v>
      </c>
      <c r="AQ6072">
        <v>1</v>
      </c>
      <c r="AR6072" t="s">
        <v>80</v>
      </c>
      <c r="AS6072" t="s">
        <v>81</v>
      </c>
      <c r="AT6072" t="s">
        <v>58</v>
      </c>
      <c r="AU6072" t="s">
        <v>68</v>
      </c>
      <c r="AV6072" t="s">
        <v>69</v>
      </c>
      <c r="AW6072" s="1">
        <v>24251</v>
      </c>
      <c r="AX6072">
        <v>1</v>
      </c>
    </row>
    <row r="6073" spans="1:50">
      <c r="A6073">
        <v>219799</v>
      </c>
      <c r="B6073" t="str">
        <f>"076291614"</f>
        <v>076291614</v>
      </c>
      <c r="C6073" t="s">
        <v>50</v>
      </c>
      <c r="D6073" t="s">
        <v>10513</v>
      </c>
      <c r="E6073" t="s">
        <v>476</v>
      </c>
      <c r="F6073" t="s">
        <v>84</v>
      </c>
      <c r="G6073" t="s">
        <v>52</v>
      </c>
      <c r="H6073" t="str">
        <f>"ΑΓ.ΚΩΝΣΤΑΝΤΙΝΟΥ 115 ΘΕΣΣΑΛΟΝΙΚΗ"</f>
        <v>ΑΓ.ΚΩΝΣΤΑΝΤΙΝΟΥ 115 ΘΕΣΣΑΛΟΝΙΚΗ</v>
      </c>
      <c r="I6073">
        <v>56224</v>
      </c>
      <c r="K6073">
        <v>6944327173</v>
      </c>
      <c r="M6073" t="s">
        <v>10514</v>
      </c>
      <c r="N6073" t="s">
        <v>176</v>
      </c>
      <c r="O6073" t="s">
        <v>177</v>
      </c>
      <c r="R6073" t="s">
        <v>57</v>
      </c>
      <c r="S6073">
        <v>8</v>
      </c>
      <c r="T6073">
        <v>599</v>
      </c>
      <c r="U6073" s="1">
        <v>39310</v>
      </c>
      <c r="V6073" t="s">
        <v>80</v>
      </c>
      <c r="W6073" t="s">
        <v>81</v>
      </c>
      <c r="X6073" t="s">
        <v>58</v>
      </c>
      <c r="Y6073">
        <v>22</v>
      </c>
      <c r="Z6073" t="s">
        <v>59</v>
      </c>
      <c r="AA6073" t="s">
        <v>59</v>
      </c>
      <c r="AB6073" t="s">
        <v>59</v>
      </c>
      <c r="AC6073" t="s">
        <v>59</v>
      </c>
      <c r="AD6073" t="s">
        <v>59</v>
      </c>
      <c r="AF6073" s="1">
        <v>39328</v>
      </c>
      <c r="AG6073" t="s">
        <v>8645</v>
      </c>
      <c r="AH6073" t="s">
        <v>8646</v>
      </c>
      <c r="AI6073" t="str">
        <f>"9170219"</f>
        <v>9170219</v>
      </c>
      <c r="AJ6073" t="s">
        <v>8967</v>
      </c>
      <c r="AK6073">
        <v>2897041357</v>
      </c>
      <c r="AL6073" t="s">
        <v>8968</v>
      </c>
      <c r="AM6073" t="s">
        <v>78</v>
      </c>
      <c r="AN6073" t="s">
        <v>219</v>
      </c>
      <c r="AO6073" t="s">
        <v>297</v>
      </c>
      <c r="AP6073" t="s">
        <v>297</v>
      </c>
      <c r="AQ6073">
        <v>7</v>
      </c>
      <c r="AR6073" t="s">
        <v>80</v>
      </c>
      <c r="AS6073" t="s">
        <v>81</v>
      </c>
      <c r="AT6073" t="s">
        <v>58</v>
      </c>
      <c r="AU6073" t="s">
        <v>68</v>
      </c>
      <c r="AV6073" t="s">
        <v>69</v>
      </c>
      <c r="AW6073" s="1">
        <v>26030</v>
      </c>
      <c r="AX6073">
        <v>1</v>
      </c>
    </row>
    <row r="6074" spans="1:50">
      <c r="A6074">
        <v>587374</v>
      </c>
      <c r="B6074" t="str">
        <f>"055861294"</f>
        <v>055861294</v>
      </c>
      <c r="C6074" t="s">
        <v>50</v>
      </c>
      <c r="D6074" t="s">
        <v>5066</v>
      </c>
      <c r="E6074" t="s">
        <v>83</v>
      </c>
      <c r="F6074" t="s">
        <v>95</v>
      </c>
      <c r="G6074" t="s">
        <v>237</v>
      </c>
      <c r="H6074" t="str">
        <f>"ΚΡΙΝΩΝ 13 ΜΕΣΑΜΠΕΛΙΕΣ ΗΡΑΚΛΕΙΟΥ"</f>
        <v>ΚΡΙΝΩΝ 13 ΜΕΣΑΜΠΕΛΙΕΣ ΗΡΑΚΛΕΙΟΥ</v>
      </c>
      <c r="I6074">
        <v>71409</v>
      </c>
      <c r="J6074">
        <v>2810360291</v>
      </c>
      <c r="K6074">
        <v>6932209070</v>
      </c>
      <c r="N6074" t="s">
        <v>306</v>
      </c>
      <c r="O6074" t="s">
        <v>307</v>
      </c>
      <c r="R6074" t="s">
        <v>57</v>
      </c>
      <c r="S6074">
        <v>12</v>
      </c>
      <c r="T6074">
        <v>164</v>
      </c>
      <c r="U6074" s="1">
        <v>36040</v>
      </c>
      <c r="V6074" t="s">
        <v>80</v>
      </c>
      <c r="W6074" t="s">
        <v>81</v>
      </c>
      <c r="X6074" t="s">
        <v>58</v>
      </c>
      <c r="Y6074">
        <v>21</v>
      </c>
      <c r="Z6074" t="s">
        <v>59</v>
      </c>
      <c r="AA6074" t="s">
        <v>59</v>
      </c>
      <c r="AB6074" t="s">
        <v>59</v>
      </c>
      <c r="AC6074" t="s">
        <v>59</v>
      </c>
      <c r="AD6074" t="s">
        <v>59</v>
      </c>
      <c r="AF6074" s="1">
        <v>36042</v>
      </c>
      <c r="AG6074" t="s">
        <v>8645</v>
      </c>
      <c r="AH6074" t="s">
        <v>8646</v>
      </c>
      <c r="AI6074" t="str">
        <f>"9170190"</f>
        <v>9170190</v>
      </c>
      <c r="AJ6074" t="s">
        <v>8689</v>
      </c>
      <c r="AK6074">
        <v>2810232169</v>
      </c>
      <c r="AL6074" t="s">
        <v>8690</v>
      </c>
      <c r="AM6074" t="s">
        <v>78</v>
      </c>
      <c r="AN6074" t="s">
        <v>78</v>
      </c>
      <c r="AO6074" t="s">
        <v>78</v>
      </c>
      <c r="AP6074" t="s">
        <v>163</v>
      </c>
      <c r="AQ6074">
        <v>1</v>
      </c>
      <c r="AR6074" t="s">
        <v>80</v>
      </c>
      <c r="AS6074" t="s">
        <v>81</v>
      </c>
      <c r="AT6074" t="s">
        <v>58</v>
      </c>
      <c r="AU6074" t="s">
        <v>68</v>
      </c>
      <c r="AV6074" t="s">
        <v>69</v>
      </c>
      <c r="AW6074" s="1">
        <v>25114</v>
      </c>
      <c r="AX6074">
        <v>1</v>
      </c>
    </row>
    <row r="6075" spans="1:50">
      <c r="A6075">
        <v>596968</v>
      </c>
      <c r="B6075" t="str">
        <f>"064354189"</f>
        <v>064354189</v>
      </c>
      <c r="C6075" t="s">
        <v>50</v>
      </c>
      <c r="D6075" t="s">
        <v>10515</v>
      </c>
      <c r="E6075" t="s">
        <v>83</v>
      </c>
      <c r="F6075" t="s">
        <v>631</v>
      </c>
      <c r="G6075" t="s">
        <v>54</v>
      </c>
      <c r="H6075" t="str">
        <f>"ΟΝΙΘΕ 9 ΗΡΑΚΛΕΙΟ"</f>
        <v>ΟΝΙΘΕ 9 ΗΡΑΚΛΕΙΟ</v>
      </c>
      <c r="I6075">
        <v>71305</v>
      </c>
      <c r="J6075">
        <v>2810315940</v>
      </c>
      <c r="K6075">
        <v>6939306311</v>
      </c>
      <c r="M6075" t="s">
        <v>9817</v>
      </c>
      <c r="N6075" t="s">
        <v>1525</v>
      </c>
      <c r="O6075" t="s">
        <v>1526</v>
      </c>
      <c r="R6075" t="s">
        <v>57</v>
      </c>
      <c r="S6075">
        <v>10</v>
      </c>
      <c r="T6075">
        <v>195</v>
      </c>
      <c r="U6075" s="1">
        <v>37497</v>
      </c>
      <c r="V6075" t="s">
        <v>80</v>
      </c>
      <c r="W6075" t="s">
        <v>81</v>
      </c>
      <c r="X6075" t="s">
        <v>58</v>
      </c>
      <c r="Y6075">
        <v>25</v>
      </c>
      <c r="Z6075" t="s">
        <v>59</v>
      </c>
      <c r="AA6075" t="s">
        <v>59</v>
      </c>
      <c r="AB6075" t="s">
        <v>59</v>
      </c>
      <c r="AC6075" t="s">
        <v>59</v>
      </c>
      <c r="AD6075" t="s">
        <v>59</v>
      </c>
      <c r="AF6075" s="1">
        <v>37501</v>
      </c>
      <c r="AG6075" t="s">
        <v>8651</v>
      </c>
      <c r="AH6075" t="s">
        <v>8652</v>
      </c>
      <c r="AI6075" t="str">
        <f>"9170499"</f>
        <v>9170499</v>
      </c>
      <c r="AJ6075" t="s">
        <v>9816</v>
      </c>
      <c r="AK6075">
        <v>2810257978</v>
      </c>
      <c r="AL6075" t="s">
        <v>9817</v>
      </c>
      <c r="AM6075" t="s">
        <v>78</v>
      </c>
      <c r="AN6075" t="s">
        <v>78</v>
      </c>
      <c r="AO6075" t="s">
        <v>78</v>
      </c>
      <c r="AP6075" t="s">
        <v>79</v>
      </c>
      <c r="AQ6075">
        <v>1</v>
      </c>
      <c r="AR6075" t="s">
        <v>80</v>
      </c>
      <c r="AS6075" t="s">
        <v>81</v>
      </c>
      <c r="AT6075" t="s">
        <v>58</v>
      </c>
      <c r="AU6075" t="s">
        <v>68</v>
      </c>
      <c r="AV6075" t="s">
        <v>69</v>
      </c>
      <c r="AW6075" s="1">
        <v>23422</v>
      </c>
      <c r="AX6075">
        <v>1</v>
      </c>
    </row>
    <row r="6076" spans="1:50">
      <c r="B6076" t="str">
        <f>"148538210"</f>
        <v>148538210</v>
      </c>
      <c r="C6076" t="s">
        <v>50</v>
      </c>
      <c r="D6076" t="s">
        <v>10516</v>
      </c>
      <c r="E6076" t="s">
        <v>83</v>
      </c>
      <c r="F6076" t="s">
        <v>95</v>
      </c>
      <c r="G6076" t="s">
        <v>2205</v>
      </c>
      <c r="H6076" t="str">
        <f>"ΑΙΟΛΟΥ 12 ΠΥΛΑΙΩΤΙΚΑ"</f>
        <v>ΑΙΟΛΟΥ 12 ΠΥΛΑΙΩΤΙΚΑ</v>
      </c>
      <c r="I6076">
        <v>54250</v>
      </c>
      <c r="J6076">
        <v>2310318879</v>
      </c>
      <c r="K6076">
        <v>6979912758</v>
      </c>
      <c r="M6076" t="s">
        <v>10517</v>
      </c>
      <c r="N6076" t="s">
        <v>615</v>
      </c>
      <c r="O6076" t="s">
        <v>616</v>
      </c>
      <c r="R6076" t="s">
        <v>159</v>
      </c>
      <c r="S6076">
        <v>2</v>
      </c>
      <c r="T6076" t="s">
        <v>8675</v>
      </c>
      <c r="U6076" s="1">
        <v>43348</v>
      </c>
      <c r="V6076" t="s">
        <v>80</v>
      </c>
      <c r="W6076" t="s">
        <v>81</v>
      </c>
      <c r="X6076" t="s">
        <v>58</v>
      </c>
      <c r="Y6076">
        <v>24</v>
      </c>
      <c r="Z6076" t="s">
        <v>59</v>
      </c>
      <c r="AA6076" t="s">
        <v>59</v>
      </c>
      <c r="AB6076" t="s">
        <v>59</v>
      </c>
      <c r="AC6076" t="s">
        <v>59</v>
      </c>
      <c r="AD6076" t="s">
        <v>59</v>
      </c>
      <c r="AF6076" s="1">
        <v>43348</v>
      </c>
      <c r="AG6076" t="s">
        <v>8645</v>
      </c>
      <c r="AH6076" t="s">
        <v>8646</v>
      </c>
      <c r="AI6076" t="str">
        <f>"9170056"</f>
        <v>9170056</v>
      </c>
      <c r="AJ6076" t="s">
        <v>9137</v>
      </c>
      <c r="AK6076">
        <v>2810253392</v>
      </c>
      <c r="AL6076" t="s">
        <v>9138</v>
      </c>
      <c r="AM6076" t="s">
        <v>78</v>
      </c>
      <c r="AN6076" t="s">
        <v>78</v>
      </c>
      <c r="AO6076" t="s">
        <v>78</v>
      </c>
      <c r="AP6076" t="s">
        <v>141</v>
      </c>
      <c r="AQ6076">
        <v>1</v>
      </c>
      <c r="AR6076" t="s">
        <v>80</v>
      </c>
      <c r="AS6076" t="s">
        <v>81</v>
      </c>
      <c r="AT6076" t="s">
        <v>58</v>
      </c>
      <c r="AU6076" t="s">
        <v>8673</v>
      </c>
      <c r="AV6076" t="s">
        <v>132</v>
      </c>
      <c r="AW6076" s="1">
        <v>32555</v>
      </c>
      <c r="AX6076">
        <v>1</v>
      </c>
    </row>
    <row r="6077" spans="1:50">
      <c r="A6077">
        <v>560909</v>
      </c>
      <c r="B6077" t="str">
        <f>"029073398"</f>
        <v>029073398</v>
      </c>
      <c r="C6077" t="s">
        <v>50</v>
      </c>
      <c r="D6077" t="s">
        <v>2487</v>
      </c>
      <c r="E6077" t="s">
        <v>143</v>
      </c>
      <c r="F6077" t="s">
        <v>99</v>
      </c>
      <c r="G6077" t="s">
        <v>52</v>
      </c>
      <c r="H6077" t="str">
        <f>"ΑΣΤΕΡΟΥΣΙΩΝ 4 ΗΡΑΚΛΕΙΟ"</f>
        <v>ΑΣΤΕΡΟΥΣΙΩΝ 4 ΗΡΑΚΛΕΙΟ</v>
      </c>
      <c r="I6077">
        <v>71305</v>
      </c>
      <c r="J6077">
        <v>2810259028</v>
      </c>
      <c r="K6077">
        <v>6976887105</v>
      </c>
      <c r="N6077" t="s">
        <v>615</v>
      </c>
      <c r="O6077" t="s">
        <v>616</v>
      </c>
      <c r="R6077" t="s">
        <v>57</v>
      </c>
      <c r="S6077">
        <v>16</v>
      </c>
      <c r="T6077">
        <v>159</v>
      </c>
      <c r="U6077" s="1">
        <v>32385</v>
      </c>
      <c r="V6077" t="s">
        <v>80</v>
      </c>
      <c r="W6077" t="s">
        <v>81</v>
      </c>
      <c r="X6077" t="s">
        <v>58</v>
      </c>
      <c r="Y6077">
        <v>21</v>
      </c>
      <c r="Z6077" t="s">
        <v>59</v>
      </c>
      <c r="AA6077" t="s">
        <v>59</v>
      </c>
      <c r="AB6077" t="s">
        <v>59</v>
      </c>
      <c r="AC6077" t="s">
        <v>59</v>
      </c>
      <c r="AD6077" t="s">
        <v>59</v>
      </c>
      <c r="AF6077" s="1">
        <v>32391</v>
      </c>
      <c r="AG6077" t="s">
        <v>8645</v>
      </c>
      <c r="AH6077" t="s">
        <v>8646</v>
      </c>
      <c r="AI6077" t="str">
        <f>"9170056"</f>
        <v>9170056</v>
      </c>
      <c r="AJ6077" t="s">
        <v>9137</v>
      </c>
      <c r="AK6077">
        <v>2810253392</v>
      </c>
      <c r="AL6077" t="s">
        <v>9138</v>
      </c>
      <c r="AM6077" t="s">
        <v>78</v>
      </c>
      <c r="AN6077" t="s">
        <v>78</v>
      </c>
      <c r="AO6077" t="s">
        <v>78</v>
      </c>
      <c r="AP6077" t="s">
        <v>141</v>
      </c>
      <c r="AQ6077">
        <v>1</v>
      </c>
      <c r="AR6077" t="s">
        <v>80</v>
      </c>
      <c r="AS6077" t="s">
        <v>81</v>
      </c>
      <c r="AT6077" t="s">
        <v>58</v>
      </c>
      <c r="AU6077" t="s">
        <v>68</v>
      </c>
      <c r="AV6077" t="s">
        <v>69</v>
      </c>
      <c r="AW6077" s="1">
        <v>23461</v>
      </c>
      <c r="AX6077">
        <v>1</v>
      </c>
    </row>
    <row r="6078" spans="1:50">
      <c r="A6078">
        <v>572152</v>
      </c>
      <c r="B6078" t="str">
        <f>"037962626"</f>
        <v>037962626</v>
      </c>
      <c r="C6078" t="s">
        <v>50</v>
      </c>
      <c r="D6078" t="s">
        <v>2487</v>
      </c>
      <c r="E6078" t="s">
        <v>250</v>
      </c>
      <c r="F6078" t="s">
        <v>95</v>
      </c>
      <c r="G6078" t="s">
        <v>255</v>
      </c>
      <c r="H6078" t="str">
        <f>"ΛΕΒΗΝΟΥ 17 ΘΕΡΙΣΣΟΣ ΗΡΑΚΛΕΙΟΥ"</f>
        <v>ΛΕΒΗΝΟΥ 17 ΘΕΡΙΣΣΟΣ ΗΡΑΚΛΕΙΟΥ</v>
      </c>
      <c r="I6078">
        <v>71304</v>
      </c>
      <c r="J6078">
        <v>2810310945</v>
      </c>
      <c r="K6078">
        <v>6977228696</v>
      </c>
      <c r="N6078" t="s">
        <v>306</v>
      </c>
      <c r="O6078" t="s">
        <v>307</v>
      </c>
      <c r="R6078" t="s">
        <v>57</v>
      </c>
      <c r="S6078">
        <v>13</v>
      </c>
      <c r="T6078">
        <v>154</v>
      </c>
      <c r="U6078" s="1">
        <v>34225</v>
      </c>
      <c r="V6078" t="s">
        <v>80</v>
      </c>
      <c r="W6078" t="s">
        <v>81</v>
      </c>
      <c r="X6078" t="s">
        <v>58</v>
      </c>
      <c r="Y6078">
        <v>21</v>
      </c>
      <c r="Z6078" t="s">
        <v>59</v>
      </c>
      <c r="AA6078" t="s">
        <v>59</v>
      </c>
      <c r="AB6078" t="s">
        <v>59</v>
      </c>
      <c r="AC6078" t="s">
        <v>59</v>
      </c>
      <c r="AD6078" t="s">
        <v>59</v>
      </c>
      <c r="AF6078" s="1">
        <v>34226</v>
      </c>
      <c r="AG6078" t="s">
        <v>8645</v>
      </c>
      <c r="AH6078" t="s">
        <v>8646</v>
      </c>
      <c r="AI6078" t="str">
        <f>"9170362"</f>
        <v>9170362</v>
      </c>
      <c r="AJ6078" t="s">
        <v>8681</v>
      </c>
      <c r="AK6078">
        <v>2810255261</v>
      </c>
      <c r="AL6078" t="s">
        <v>8682</v>
      </c>
      <c r="AM6078" t="s">
        <v>78</v>
      </c>
      <c r="AN6078" t="s">
        <v>78</v>
      </c>
      <c r="AO6078" t="s">
        <v>78</v>
      </c>
      <c r="AP6078" t="s">
        <v>141</v>
      </c>
      <c r="AQ6078">
        <v>1</v>
      </c>
      <c r="AR6078" t="s">
        <v>80</v>
      </c>
      <c r="AS6078" t="s">
        <v>81</v>
      </c>
      <c r="AT6078" t="s">
        <v>58</v>
      </c>
      <c r="AU6078" t="s">
        <v>68</v>
      </c>
      <c r="AV6078" t="s">
        <v>69</v>
      </c>
      <c r="AW6078" s="1">
        <v>24150</v>
      </c>
      <c r="AX6078">
        <v>1</v>
      </c>
    </row>
    <row r="6079" spans="1:50">
      <c r="A6079">
        <v>613242</v>
      </c>
      <c r="B6079" t="str">
        <f>"119683749"</f>
        <v>119683749</v>
      </c>
      <c r="C6079" t="s">
        <v>50</v>
      </c>
      <c r="D6079" t="s">
        <v>2487</v>
      </c>
      <c r="E6079" t="s">
        <v>507</v>
      </c>
      <c r="F6079" t="s">
        <v>154</v>
      </c>
      <c r="G6079" t="s">
        <v>52</v>
      </c>
      <c r="H6079" t="str">
        <f>"ΙΟΚΑΣΤΗΣ 3 ΗΡΑΚΛΕΙΟ"</f>
        <v>ΙΟΚΑΣΤΗΣ 3 ΗΡΑΚΛΕΙΟ</v>
      </c>
      <c r="I6079">
        <v>71409</v>
      </c>
      <c r="J6079">
        <v>2810731833</v>
      </c>
      <c r="K6079">
        <v>6973386893</v>
      </c>
      <c r="N6079" t="s">
        <v>615</v>
      </c>
      <c r="O6079" t="s">
        <v>616</v>
      </c>
      <c r="R6079" t="s">
        <v>57</v>
      </c>
      <c r="S6079">
        <v>6</v>
      </c>
      <c r="T6079">
        <v>598</v>
      </c>
      <c r="U6079" s="1">
        <v>39703</v>
      </c>
      <c r="V6079" t="s">
        <v>80</v>
      </c>
      <c r="W6079" t="s">
        <v>81</v>
      </c>
      <c r="X6079" t="s">
        <v>58</v>
      </c>
      <c r="Y6079">
        <v>23</v>
      </c>
      <c r="Z6079" t="s">
        <v>59</v>
      </c>
      <c r="AA6079" t="s">
        <v>59</v>
      </c>
      <c r="AB6079" t="s">
        <v>59</v>
      </c>
      <c r="AC6079" t="s">
        <v>59</v>
      </c>
      <c r="AD6079" t="s">
        <v>59</v>
      </c>
      <c r="AF6079" s="1">
        <v>39703</v>
      </c>
      <c r="AG6079" t="s">
        <v>8645</v>
      </c>
      <c r="AH6079" t="s">
        <v>8646</v>
      </c>
      <c r="AI6079" t="str">
        <f>"9170426"</f>
        <v>9170426</v>
      </c>
      <c r="AJ6079" t="s">
        <v>9142</v>
      </c>
      <c r="AK6079">
        <v>2810222289</v>
      </c>
      <c r="AL6079" t="s">
        <v>9143</v>
      </c>
      <c r="AM6079" t="s">
        <v>78</v>
      </c>
      <c r="AN6079" t="s">
        <v>78</v>
      </c>
      <c r="AO6079" t="s">
        <v>78</v>
      </c>
      <c r="AP6079" t="s">
        <v>213</v>
      </c>
      <c r="AQ6079">
        <v>1</v>
      </c>
      <c r="AR6079" t="s">
        <v>80</v>
      </c>
      <c r="AS6079" t="s">
        <v>81</v>
      </c>
      <c r="AT6079" t="s">
        <v>58</v>
      </c>
      <c r="AU6079" t="s">
        <v>68</v>
      </c>
      <c r="AV6079" t="s">
        <v>69</v>
      </c>
      <c r="AW6079" s="1">
        <v>30406</v>
      </c>
      <c r="AX6079">
        <v>1</v>
      </c>
    </row>
    <row r="6080" spans="1:50">
      <c r="A6080">
        <v>585275</v>
      </c>
      <c r="B6080" t="str">
        <f>"064692707"</f>
        <v>064692707</v>
      </c>
      <c r="C6080" t="s">
        <v>50</v>
      </c>
      <c r="D6080" t="s">
        <v>2489</v>
      </c>
      <c r="E6080" t="s">
        <v>52</v>
      </c>
      <c r="F6080" t="s">
        <v>53</v>
      </c>
      <c r="G6080" t="s">
        <v>250</v>
      </c>
      <c r="H6080" t="str">
        <f>"ΜΕΛΕΤΙΟΥ ΠΗΓΑ 52 ΗΡΑΚΛΕΙΟ"</f>
        <v>ΜΕΛΕΤΙΟΥ ΠΗΓΑ 52 ΗΡΑΚΛΕΙΟ</v>
      </c>
      <c r="I6080">
        <v>71306</v>
      </c>
      <c r="J6080">
        <v>2810325258</v>
      </c>
      <c r="N6080" t="s">
        <v>615</v>
      </c>
      <c r="O6080" t="s">
        <v>616</v>
      </c>
      <c r="R6080" t="s">
        <v>57</v>
      </c>
      <c r="S6080">
        <v>11</v>
      </c>
      <c r="T6080">
        <v>165</v>
      </c>
      <c r="U6080" s="1">
        <v>36040</v>
      </c>
      <c r="V6080" t="s">
        <v>80</v>
      </c>
      <c r="W6080" t="s">
        <v>81</v>
      </c>
      <c r="X6080" t="s">
        <v>58</v>
      </c>
      <c r="Y6080">
        <v>21</v>
      </c>
      <c r="Z6080" t="s">
        <v>59</v>
      </c>
      <c r="AA6080" t="s">
        <v>59</v>
      </c>
      <c r="AB6080" t="s">
        <v>59</v>
      </c>
      <c r="AC6080" t="s">
        <v>59</v>
      </c>
      <c r="AD6080" t="s">
        <v>59</v>
      </c>
      <c r="AF6080" s="1">
        <v>36040</v>
      </c>
      <c r="AG6080" t="s">
        <v>8645</v>
      </c>
      <c r="AH6080" t="s">
        <v>8646</v>
      </c>
      <c r="AI6080" t="str">
        <f>"9170190"</f>
        <v>9170190</v>
      </c>
      <c r="AJ6080" t="s">
        <v>8689</v>
      </c>
      <c r="AK6080">
        <v>2810232169</v>
      </c>
      <c r="AL6080" t="s">
        <v>8690</v>
      </c>
      <c r="AM6080" t="s">
        <v>78</v>
      </c>
      <c r="AN6080" t="s">
        <v>78</v>
      </c>
      <c r="AO6080" t="s">
        <v>78</v>
      </c>
      <c r="AP6080" t="s">
        <v>163</v>
      </c>
      <c r="AQ6080">
        <v>1</v>
      </c>
      <c r="AR6080" t="s">
        <v>80</v>
      </c>
      <c r="AS6080" t="s">
        <v>81</v>
      </c>
      <c r="AT6080" t="s">
        <v>58</v>
      </c>
      <c r="AU6080" t="s">
        <v>68</v>
      </c>
      <c r="AV6080" t="s">
        <v>69</v>
      </c>
      <c r="AW6080" s="1">
        <v>24154</v>
      </c>
      <c r="AX6080">
        <v>1</v>
      </c>
    </row>
    <row r="6081" spans="1:50">
      <c r="A6081">
        <v>600833</v>
      </c>
      <c r="B6081" t="str">
        <f>"301950511"</f>
        <v>301950511</v>
      </c>
      <c r="C6081" t="s">
        <v>50</v>
      </c>
      <c r="D6081" t="s">
        <v>6189</v>
      </c>
      <c r="E6081" t="s">
        <v>237</v>
      </c>
      <c r="F6081" t="s">
        <v>166</v>
      </c>
      <c r="G6081" t="s">
        <v>52</v>
      </c>
      <c r="H6081" t="str">
        <f>" "</f>
        <v xml:space="preserve"> </v>
      </c>
      <c r="J6081">
        <v>2841071272</v>
      </c>
      <c r="K6081">
        <v>6977308338</v>
      </c>
      <c r="N6081" t="s">
        <v>615</v>
      </c>
      <c r="O6081" t="s">
        <v>616</v>
      </c>
      <c r="R6081" t="s">
        <v>57</v>
      </c>
      <c r="S6081">
        <v>8</v>
      </c>
      <c r="T6081">
        <v>207</v>
      </c>
      <c r="U6081" s="1">
        <v>37866</v>
      </c>
      <c r="V6081" t="s">
        <v>80</v>
      </c>
      <c r="W6081" t="s">
        <v>81</v>
      </c>
      <c r="X6081" t="s">
        <v>58</v>
      </c>
      <c r="Y6081">
        <v>22</v>
      </c>
      <c r="Z6081" t="s">
        <v>59</v>
      </c>
      <c r="AA6081" t="s">
        <v>59</v>
      </c>
      <c r="AB6081" t="s">
        <v>59</v>
      </c>
      <c r="AC6081" t="s">
        <v>59</v>
      </c>
      <c r="AD6081" t="s">
        <v>59</v>
      </c>
      <c r="AF6081" s="1">
        <v>37866</v>
      </c>
      <c r="AG6081" t="s">
        <v>8645</v>
      </c>
      <c r="AH6081" t="s">
        <v>8646</v>
      </c>
      <c r="AI6081" t="str">
        <f>"9521014"</f>
        <v>9521014</v>
      </c>
      <c r="AJ6081" t="s">
        <v>8974</v>
      </c>
      <c r="AK6081">
        <v>2897029611</v>
      </c>
      <c r="AL6081" t="s">
        <v>8975</v>
      </c>
      <c r="AM6081" t="s">
        <v>78</v>
      </c>
      <c r="AN6081" t="s">
        <v>219</v>
      </c>
      <c r="AO6081" t="s">
        <v>527</v>
      </c>
      <c r="AP6081" t="s">
        <v>527</v>
      </c>
      <c r="AQ6081">
        <v>8</v>
      </c>
      <c r="AR6081" t="s">
        <v>80</v>
      </c>
      <c r="AS6081" t="s">
        <v>81</v>
      </c>
      <c r="AT6081" t="s">
        <v>58</v>
      </c>
      <c r="AU6081" t="s">
        <v>68</v>
      </c>
      <c r="AV6081" t="s">
        <v>69</v>
      </c>
      <c r="AW6081" s="1">
        <v>27003</v>
      </c>
      <c r="AX6081">
        <v>1</v>
      </c>
    </row>
    <row r="6082" spans="1:50">
      <c r="B6082" t="str">
        <f>"110729647"</f>
        <v>110729647</v>
      </c>
      <c r="C6082" t="s">
        <v>50</v>
      </c>
      <c r="D6082" t="s">
        <v>10518</v>
      </c>
      <c r="E6082" t="s">
        <v>215</v>
      </c>
      <c r="F6082" t="s">
        <v>166</v>
      </c>
      <c r="G6082" t="s">
        <v>83</v>
      </c>
      <c r="H6082" t="str">
        <f>"ΣΟΦΟΚΛΕΟΥΣ 18 ΗΡΑΚΛΕΙΟ"</f>
        <v>ΣΟΦΟΚΛΕΟΥΣ 18 ΗΡΑΚΛΕΙΟ</v>
      </c>
      <c r="I6082">
        <v>71306</v>
      </c>
      <c r="J6082">
        <v>2894051232</v>
      </c>
      <c r="K6082">
        <v>6974874339</v>
      </c>
      <c r="N6082" t="s">
        <v>384</v>
      </c>
      <c r="O6082" t="s">
        <v>385</v>
      </c>
      <c r="R6082" t="s">
        <v>159</v>
      </c>
      <c r="S6082">
        <v>3</v>
      </c>
      <c r="T6082" t="s">
        <v>8675</v>
      </c>
      <c r="U6082" s="1">
        <v>43348</v>
      </c>
      <c r="V6082" t="s">
        <v>80</v>
      </c>
      <c r="W6082" t="s">
        <v>81</v>
      </c>
      <c r="X6082" t="s">
        <v>58</v>
      </c>
      <c r="Y6082">
        <v>24</v>
      </c>
      <c r="Z6082" t="s">
        <v>59</v>
      </c>
      <c r="AA6082" t="s">
        <v>59</v>
      </c>
      <c r="AB6082" t="s">
        <v>59</v>
      </c>
      <c r="AC6082" t="s">
        <v>59</v>
      </c>
      <c r="AD6082" t="s">
        <v>59</v>
      </c>
      <c r="AF6082" s="1">
        <v>43348</v>
      </c>
      <c r="AG6082" t="s">
        <v>8645</v>
      </c>
      <c r="AH6082" t="s">
        <v>8646</v>
      </c>
      <c r="AI6082" t="str">
        <f>"9170058"</f>
        <v>9170058</v>
      </c>
      <c r="AJ6082" t="s">
        <v>8735</v>
      </c>
      <c r="AK6082">
        <v>2810252903</v>
      </c>
      <c r="AL6082" t="s">
        <v>8736</v>
      </c>
      <c r="AM6082" t="s">
        <v>78</v>
      </c>
      <c r="AN6082" t="s">
        <v>78</v>
      </c>
      <c r="AO6082" t="s">
        <v>78</v>
      </c>
      <c r="AP6082" t="s">
        <v>163</v>
      </c>
      <c r="AQ6082">
        <v>1</v>
      </c>
      <c r="AR6082" t="s">
        <v>80</v>
      </c>
      <c r="AS6082" t="s">
        <v>81</v>
      </c>
      <c r="AT6082" t="s">
        <v>58</v>
      </c>
      <c r="AU6082" t="s">
        <v>8673</v>
      </c>
      <c r="AV6082" t="s">
        <v>132</v>
      </c>
      <c r="AW6082" s="1">
        <v>31219</v>
      </c>
      <c r="AX6082">
        <v>1</v>
      </c>
    </row>
    <row r="6083" spans="1:50">
      <c r="A6083">
        <v>610159</v>
      </c>
      <c r="B6083" t="str">
        <f>"101540515"</f>
        <v>101540515</v>
      </c>
      <c r="C6083" t="s">
        <v>50</v>
      </c>
      <c r="D6083" t="s">
        <v>10519</v>
      </c>
      <c r="E6083" t="s">
        <v>2205</v>
      </c>
      <c r="F6083" t="s">
        <v>377</v>
      </c>
      <c r="G6083" t="s">
        <v>809</v>
      </c>
      <c r="H6083" t="str">
        <f>"ΣΥΛΗΒΡΙΑΣ 49  ΚΑΒΑΛΑ "</f>
        <v xml:space="preserve">ΣΥΛΗΒΡΙΑΣ 49  ΚΑΒΑΛΑ </v>
      </c>
      <c r="I6083">
        <v>65403</v>
      </c>
      <c r="J6083">
        <v>2510241772</v>
      </c>
      <c r="K6083">
        <v>6944970166</v>
      </c>
      <c r="M6083" t="s">
        <v>10520</v>
      </c>
      <c r="N6083" t="s">
        <v>615</v>
      </c>
      <c r="O6083" t="s">
        <v>616</v>
      </c>
      <c r="R6083" t="s">
        <v>57</v>
      </c>
      <c r="S6083">
        <v>7</v>
      </c>
      <c r="T6083">
        <v>233</v>
      </c>
      <c r="U6083" s="1">
        <v>38960</v>
      </c>
      <c r="V6083" t="s">
        <v>80</v>
      </c>
      <c r="W6083" t="s">
        <v>81</v>
      </c>
      <c r="X6083" t="s">
        <v>58</v>
      </c>
      <c r="Y6083">
        <v>23</v>
      </c>
      <c r="Z6083" t="s">
        <v>59</v>
      </c>
      <c r="AA6083" t="s">
        <v>59</v>
      </c>
      <c r="AB6083" t="s">
        <v>59</v>
      </c>
      <c r="AC6083" t="s">
        <v>59</v>
      </c>
      <c r="AD6083" t="s">
        <v>59</v>
      </c>
      <c r="AF6083" s="1">
        <v>38961</v>
      </c>
      <c r="AG6083" t="s">
        <v>8645</v>
      </c>
      <c r="AH6083" t="s">
        <v>8646</v>
      </c>
      <c r="AI6083" t="str">
        <f>"9170027"</f>
        <v>9170027</v>
      </c>
      <c r="AJ6083" t="s">
        <v>8704</v>
      </c>
      <c r="AK6083">
        <v>2810711207</v>
      </c>
      <c r="AL6083" t="s">
        <v>8705</v>
      </c>
      <c r="AM6083" t="s">
        <v>78</v>
      </c>
      <c r="AN6083" t="s">
        <v>129</v>
      </c>
      <c r="AO6083" t="s">
        <v>597</v>
      </c>
      <c r="AP6083" t="s">
        <v>598</v>
      </c>
      <c r="AQ6083">
        <v>4</v>
      </c>
      <c r="AR6083" t="s">
        <v>80</v>
      </c>
      <c r="AS6083" t="s">
        <v>81</v>
      </c>
      <c r="AT6083" t="s">
        <v>58</v>
      </c>
      <c r="AU6083" t="s">
        <v>68</v>
      </c>
      <c r="AV6083" t="s">
        <v>69</v>
      </c>
      <c r="AW6083" s="1">
        <v>27600</v>
      </c>
      <c r="AX6083">
        <v>1</v>
      </c>
    </row>
    <row r="6084" spans="1:50">
      <c r="A6084">
        <v>613252</v>
      </c>
      <c r="B6084" t="str">
        <f>"132984891"</f>
        <v>132984891</v>
      </c>
      <c r="C6084" t="s">
        <v>50</v>
      </c>
      <c r="D6084" t="s">
        <v>2500</v>
      </c>
      <c r="E6084" t="s">
        <v>4251</v>
      </c>
      <c r="F6084" t="s">
        <v>377</v>
      </c>
      <c r="G6084" t="s">
        <v>52</v>
      </c>
      <c r="H6084" t="str">
        <f>"ΚΡΗΣΙΛΑ  11 ΠΑΓΚΡΑΤΙ ΑΘΗΝΑ"</f>
        <v>ΚΡΗΣΙΛΑ  11 ΠΑΓΚΡΑΤΙ ΑΘΗΝΑ</v>
      </c>
      <c r="J6084">
        <v>2107561288</v>
      </c>
      <c r="K6084">
        <v>6946879545</v>
      </c>
      <c r="N6084" t="s">
        <v>615</v>
      </c>
      <c r="O6084" t="s">
        <v>616</v>
      </c>
      <c r="R6084" t="s">
        <v>57</v>
      </c>
      <c r="S6084">
        <v>8</v>
      </c>
      <c r="T6084">
        <v>598</v>
      </c>
      <c r="U6084" s="1">
        <v>39310</v>
      </c>
      <c r="V6084" t="s">
        <v>80</v>
      </c>
      <c r="W6084" t="s">
        <v>81</v>
      </c>
      <c r="X6084" t="s">
        <v>58</v>
      </c>
      <c r="Y6084">
        <v>23</v>
      </c>
      <c r="Z6084" t="s">
        <v>59</v>
      </c>
      <c r="AA6084" t="s">
        <v>59</v>
      </c>
      <c r="AB6084" t="s">
        <v>59</v>
      </c>
      <c r="AC6084" t="s">
        <v>59</v>
      </c>
      <c r="AD6084" t="s">
        <v>59</v>
      </c>
      <c r="AF6084" s="1">
        <v>39328</v>
      </c>
      <c r="AG6084" t="s">
        <v>8645</v>
      </c>
      <c r="AH6084" t="s">
        <v>8646</v>
      </c>
      <c r="AI6084" t="str">
        <f>"9521411"</f>
        <v>9521411</v>
      </c>
      <c r="AJ6084" t="s">
        <v>9007</v>
      </c>
      <c r="AK6084">
        <v>2810824954</v>
      </c>
      <c r="AL6084" t="s">
        <v>9008</v>
      </c>
      <c r="AM6084" t="s">
        <v>78</v>
      </c>
      <c r="AN6084" t="s">
        <v>129</v>
      </c>
      <c r="AO6084" t="s">
        <v>130</v>
      </c>
      <c r="AP6084" t="s">
        <v>130</v>
      </c>
      <c r="AQ6084">
        <v>1</v>
      </c>
      <c r="AR6084" t="s">
        <v>80</v>
      </c>
      <c r="AS6084" t="s">
        <v>81</v>
      </c>
      <c r="AT6084" t="s">
        <v>58</v>
      </c>
      <c r="AU6084" t="s">
        <v>68</v>
      </c>
      <c r="AV6084" t="s">
        <v>69</v>
      </c>
      <c r="AW6084" s="1">
        <v>30334</v>
      </c>
      <c r="AX6084">
        <v>1</v>
      </c>
    </row>
    <row r="6085" spans="1:50">
      <c r="A6085">
        <v>606801</v>
      </c>
      <c r="B6085" t="str">
        <f>"114276694"</f>
        <v>114276694</v>
      </c>
      <c r="C6085" t="s">
        <v>50</v>
      </c>
      <c r="D6085" t="s">
        <v>5070</v>
      </c>
      <c r="E6085" t="s">
        <v>964</v>
      </c>
      <c r="F6085" t="s">
        <v>106</v>
      </c>
      <c r="G6085" t="s">
        <v>109</v>
      </c>
      <c r="H6085" t="str">
        <f>"ΓΕΡΟΥΛΑΝΟΥ 16 "</f>
        <v xml:space="preserve">ΓΕΡΟΥΛΑΝΟΥ 16 </v>
      </c>
      <c r="I6085">
        <v>71409</v>
      </c>
      <c r="J6085">
        <v>2810210989</v>
      </c>
      <c r="K6085">
        <v>6936973466</v>
      </c>
      <c r="N6085" t="s">
        <v>100</v>
      </c>
      <c r="O6085" t="s">
        <v>101</v>
      </c>
      <c r="R6085" t="s">
        <v>57</v>
      </c>
      <c r="S6085">
        <v>7</v>
      </c>
      <c r="T6085">
        <v>120</v>
      </c>
      <c r="U6085" s="1">
        <v>37770</v>
      </c>
      <c r="V6085" t="s">
        <v>80</v>
      </c>
      <c r="W6085" t="s">
        <v>81</v>
      </c>
      <c r="X6085" t="s">
        <v>58</v>
      </c>
      <c r="Y6085">
        <v>22</v>
      </c>
      <c r="Z6085" t="s">
        <v>59</v>
      </c>
      <c r="AA6085" t="s">
        <v>59</v>
      </c>
      <c r="AB6085" t="s">
        <v>59</v>
      </c>
      <c r="AC6085" t="s">
        <v>59</v>
      </c>
      <c r="AD6085" t="s">
        <v>59</v>
      </c>
      <c r="AF6085" s="1">
        <v>37791</v>
      </c>
      <c r="AG6085" t="s">
        <v>8645</v>
      </c>
      <c r="AH6085" t="s">
        <v>8697</v>
      </c>
      <c r="AI6085" t="str">
        <f>"9170358"</f>
        <v>9170358</v>
      </c>
      <c r="AJ6085" t="s">
        <v>9378</v>
      </c>
      <c r="AK6085">
        <v>2810282028</v>
      </c>
      <c r="AL6085" t="s">
        <v>9379</v>
      </c>
      <c r="AM6085" t="s">
        <v>78</v>
      </c>
      <c r="AN6085" t="s">
        <v>78</v>
      </c>
      <c r="AO6085" t="s">
        <v>78</v>
      </c>
      <c r="AP6085" t="s">
        <v>141</v>
      </c>
      <c r="AQ6085">
        <v>1</v>
      </c>
      <c r="AR6085" t="s">
        <v>80</v>
      </c>
      <c r="AS6085" t="s">
        <v>81</v>
      </c>
      <c r="AT6085" t="s">
        <v>58</v>
      </c>
      <c r="AU6085" t="s">
        <v>68</v>
      </c>
      <c r="AV6085" t="s">
        <v>69</v>
      </c>
      <c r="AW6085" s="1">
        <v>27961</v>
      </c>
      <c r="AX6085">
        <v>1</v>
      </c>
    </row>
    <row r="6086" spans="1:50">
      <c r="A6086">
        <v>593059</v>
      </c>
      <c r="B6086" t="str">
        <f>"056370454"</f>
        <v>056370454</v>
      </c>
      <c r="C6086" t="s">
        <v>50</v>
      </c>
      <c r="D6086" t="s">
        <v>5070</v>
      </c>
      <c r="E6086" t="s">
        <v>237</v>
      </c>
      <c r="F6086" t="s">
        <v>10521</v>
      </c>
      <c r="G6086" t="s">
        <v>114</v>
      </c>
      <c r="H6086" t="str">
        <f>" "</f>
        <v xml:space="preserve"> </v>
      </c>
      <c r="N6086" t="s">
        <v>615</v>
      </c>
      <c r="O6086" t="s">
        <v>616</v>
      </c>
      <c r="R6086" t="s">
        <v>57</v>
      </c>
      <c r="S6086">
        <v>8</v>
      </c>
      <c r="T6086">
        <v>218</v>
      </c>
      <c r="U6086" s="1">
        <v>37134</v>
      </c>
      <c r="V6086" t="s">
        <v>80</v>
      </c>
      <c r="W6086" t="s">
        <v>81</v>
      </c>
      <c r="X6086" t="s">
        <v>58</v>
      </c>
      <c r="Y6086">
        <v>22</v>
      </c>
      <c r="Z6086" t="s">
        <v>59</v>
      </c>
      <c r="AA6086" t="s">
        <v>59</v>
      </c>
      <c r="AB6086" t="s">
        <v>59</v>
      </c>
      <c r="AC6086" t="s">
        <v>59</v>
      </c>
      <c r="AD6086" t="s">
        <v>59</v>
      </c>
      <c r="AF6086" s="1">
        <v>37137</v>
      </c>
      <c r="AG6086" t="s">
        <v>8645</v>
      </c>
      <c r="AH6086" t="s">
        <v>8646</v>
      </c>
      <c r="AI6086" t="str">
        <f>"9170242"</f>
        <v>9170242</v>
      </c>
      <c r="AJ6086" t="s">
        <v>9314</v>
      </c>
      <c r="AK6086">
        <v>2897031254</v>
      </c>
      <c r="AL6086" t="s">
        <v>9315</v>
      </c>
      <c r="AM6086" t="s">
        <v>78</v>
      </c>
      <c r="AN6086" t="s">
        <v>219</v>
      </c>
      <c r="AO6086" t="s">
        <v>527</v>
      </c>
      <c r="AP6086" t="s">
        <v>527</v>
      </c>
      <c r="AQ6086">
        <v>8</v>
      </c>
      <c r="AR6086" t="s">
        <v>80</v>
      </c>
      <c r="AS6086" t="s">
        <v>81</v>
      </c>
      <c r="AT6086" t="s">
        <v>58</v>
      </c>
      <c r="AU6086" t="s">
        <v>68</v>
      </c>
      <c r="AV6086" t="s">
        <v>69</v>
      </c>
      <c r="AW6086" s="1">
        <v>26959</v>
      </c>
      <c r="AX6086">
        <v>1</v>
      </c>
    </row>
    <row r="6087" spans="1:50">
      <c r="A6087">
        <v>610116</v>
      </c>
      <c r="B6087" t="str">
        <f>"063951921"</f>
        <v>063951921</v>
      </c>
      <c r="C6087" t="s">
        <v>50</v>
      </c>
      <c r="D6087" t="s">
        <v>5070</v>
      </c>
      <c r="E6087" t="s">
        <v>250</v>
      </c>
      <c r="F6087" t="s">
        <v>72</v>
      </c>
      <c r="G6087" t="s">
        <v>181</v>
      </c>
      <c r="H6087" t="str">
        <f>"ΠΡΟΦ. ΗΛΙΑ 1 ΙΕΡΙΣΣΟΣ"</f>
        <v>ΠΡΟΦ. ΗΛΙΑ 1 ΙΕΡΙΣΣΟΣ</v>
      </c>
      <c r="I6087">
        <v>63075</v>
      </c>
      <c r="J6087">
        <v>2377110135</v>
      </c>
      <c r="K6087">
        <v>6977211526</v>
      </c>
      <c r="M6087" t="s">
        <v>10522</v>
      </c>
      <c r="N6087" t="s">
        <v>615</v>
      </c>
      <c r="O6087" t="s">
        <v>616</v>
      </c>
      <c r="R6087" t="s">
        <v>57</v>
      </c>
      <c r="S6087">
        <v>9</v>
      </c>
      <c r="T6087">
        <v>233</v>
      </c>
      <c r="U6087" s="1">
        <v>38960</v>
      </c>
      <c r="V6087" t="s">
        <v>80</v>
      </c>
      <c r="W6087" t="s">
        <v>81</v>
      </c>
      <c r="X6087" t="s">
        <v>58</v>
      </c>
      <c r="Y6087">
        <v>23</v>
      </c>
      <c r="Z6087" t="s">
        <v>59</v>
      </c>
      <c r="AA6087" t="s">
        <v>59</v>
      </c>
      <c r="AB6087" t="s">
        <v>59</v>
      </c>
      <c r="AC6087" t="s">
        <v>59</v>
      </c>
      <c r="AD6087" t="s">
        <v>59</v>
      </c>
      <c r="AF6087" s="1">
        <v>38961</v>
      </c>
      <c r="AG6087" t="s">
        <v>8645</v>
      </c>
      <c r="AH6087" t="s">
        <v>8646</v>
      </c>
      <c r="AI6087" t="str">
        <f>"9170319"</f>
        <v>9170319</v>
      </c>
      <c r="AJ6087" t="s">
        <v>9121</v>
      </c>
      <c r="AK6087">
        <v>2893022231</v>
      </c>
      <c r="AL6087" t="s">
        <v>9122</v>
      </c>
      <c r="AM6087" t="s">
        <v>78</v>
      </c>
      <c r="AN6087" t="s">
        <v>424</v>
      </c>
      <c r="AO6087" t="s">
        <v>577</v>
      </c>
      <c r="AP6087" t="s">
        <v>1668</v>
      </c>
      <c r="AQ6087">
        <v>10</v>
      </c>
      <c r="AR6087" t="s">
        <v>80</v>
      </c>
      <c r="AS6087" t="s">
        <v>81</v>
      </c>
      <c r="AT6087" t="s">
        <v>58</v>
      </c>
      <c r="AU6087" t="s">
        <v>68</v>
      </c>
      <c r="AV6087" t="s">
        <v>69</v>
      </c>
      <c r="AW6087" s="1">
        <v>29505</v>
      </c>
      <c r="AX6087">
        <v>1</v>
      </c>
    </row>
    <row r="6088" spans="1:50">
      <c r="B6088" t="str">
        <f>"076720100"</f>
        <v>076720100</v>
      </c>
      <c r="C6088" t="s">
        <v>50</v>
      </c>
      <c r="D6088" t="s">
        <v>5070</v>
      </c>
      <c r="E6088" t="s">
        <v>109</v>
      </c>
      <c r="F6088" t="s">
        <v>99</v>
      </c>
      <c r="G6088" t="s">
        <v>250</v>
      </c>
      <c r="H6088" t="str">
        <f>"ΣΚΕΠΕΤΖΗ 18 "</f>
        <v xml:space="preserve">ΣΚΕΠΕΤΖΗ 18 </v>
      </c>
      <c r="I6088">
        <v>71307</v>
      </c>
      <c r="J6088">
        <v>2810323610</v>
      </c>
      <c r="K6088">
        <v>6979097210</v>
      </c>
      <c r="N6088" t="s">
        <v>1525</v>
      </c>
      <c r="O6088" t="s">
        <v>1526</v>
      </c>
      <c r="R6088" t="s">
        <v>159</v>
      </c>
      <c r="S6088">
        <v>2</v>
      </c>
      <c r="T6088" t="s">
        <v>8670</v>
      </c>
      <c r="U6088" s="1">
        <v>43348</v>
      </c>
      <c r="V6088" t="s">
        <v>80</v>
      </c>
      <c r="W6088" t="s">
        <v>81</v>
      </c>
      <c r="X6088" t="s">
        <v>58</v>
      </c>
      <c r="Y6088">
        <v>25</v>
      </c>
      <c r="Z6088" t="s">
        <v>59</v>
      </c>
      <c r="AA6088" t="s">
        <v>59</v>
      </c>
      <c r="AB6088" t="s">
        <v>59</v>
      </c>
      <c r="AC6088" t="s">
        <v>59</v>
      </c>
      <c r="AD6088" t="s">
        <v>59</v>
      </c>
      <c r="AF6088" s="1">
        <v>43348</v>
      </c>
      <c r="AG6088" t="s">
        <v>8651</v>
      </c>
      <c r="AH6088" t="s">
        <v>8652</v>
      </c>
      <c r="AI6088" t="str">
        <f>"9170500"</f>
        <v>9170500</v>
      </c>
      <c r="AJ6088" t="s">
        <v>10433</v>
      </c>
      <c r="AK6088">
        <v>2810332170</v>
      </c>
      <c r="AL6088" t="s">
        <v>10434</v>
      </c>
      <c r="AM6088" t="s">
        <v>78</v>
      </c>
      <c r="AN6088" t="s">
        <v>219</v>
      </c>
      <c r="AO6088" t="s">
        <v>297</v>
      </c>
      <c r="AP6088" t="s">
        <v>8796</v>
      </c>
      <c r="AQ6088">
        <v>7</v>
      </c>
      <c r="AR6088" t="s">
        <v>80</v>
      </c>
      <c r="AS6088" t="s">
        <v>81</v>
      </c>
      <c r="AT6088" t="s">
        <v>58</v>
      </c>
      <c r="AU6088" t="s">
        <v>8673</v>
      </c>
      <c r="AV6088" t="s">
        <v>132</v>
      </c>
      <c r="AW6088" s="1">
        <v>26136</v>
      </c>
      <c r="AX6088">
        <v>1</v>
      </c>
    </row>
    <row r="6089" spans="1:50">
      <c r="A6089">
        <v>571614</v>
      </c>
      <c r="B6089" t="str">
        <f>"031324144"</f>
        <v>031324144</v>
      </c>
      <c r="C6089" t="s">
        <v>50</v>
      </c>
      <c r="D6089" t="s">
        <v>5070</v>
      </c>
      <c r="E6089" t="s">
        <v>181</v>
      </c>
      <c r="F6089" t="s">
        <v>72</v>
      </c>
      <c r="G6089" t="s">
        <v>1078</v>
      </c>
      <c r="H6089" t="str">
        <f>"ΤΡΙΠΟΛΕΩΣ 17 ΗΡΑΚΛΕΙΟ"</f>
        <v>ΤΡΙΠΟΛΕΩΣ 17 ΗΡΑΚΛΕΙΟ</v>
      </c>
      <c r="I6089">
        <v>71306</v>
      </c>
      <c r="J6089">
        <v>2810239315</v>
      </c>
      <c r="K6089">
        <v>6974043733</v>
      </c>
      <c r="N6089" t="s">
        <v>1525</v>
      </c>
      <c r="O6089" t="s">
        <v>1526</v>
      </c>
      <c r="R6089" t="s">
        <v>57</v>
      </c>
      <c r="S6089">
        <v>13</v>
      </c>
      <c r="T6089">
        <v>138</v>
      </c>
      <c r="U6089" s="1">
        <v>34213</v>
      </c>
      <c r="V6089" t="s">
        <v>80</v>
      </c>
      <c r="W6089" t="s">
        <v>81</v>
      </c>
      <c r="X6089" t="s">
        <v>58</v>
      </c>
      <c r="Y6089">
        <v>25</v>
      </c>
      <c r="Z6089" t="s">
        <v>59</v>
      </c>
      <c r="AA6089" t="s">
        <v>59</v>
      </c>
      <c r="AB6089" t="s">
        <v>59</v>
      </c>
      <c r="AC6089" t="s">
        <v>59</v>
      </c>
      <c r="AD6089" t="s">
        <v>59</v>
      </c>
      <c r="AF6089" s="1">
        <v>34213</v>
      </c>
      <c r="AG6089" t="s">
        <v>8651</v>
      </c>
      <c r="AH6089" t="s">
        <v>8652</v>
      </c>
      <c r="AI6089" t="str">
        <f>"9520695"</f>
        <v>9520695</v>
      </c>
      <c r="AJ6089" t="s">
        <v>8842</v>
      </c>
      <c r="AK6089">
        <v>2810235506</v>
      </c>
      <c r="AL6089" t="s">
        <v>8843</v>
      </c>
      <c r="AM6089" t="s">
        <v>78</v>
      </c>
      <c r="AN6089" t="s">
        <v>78</v>
      </c>
      <c r="AO6089" t="s">
        <v>78</v>
      </c>
      <c r="AP6089" t="s">
        <v>163</v>
      </c>
      <c r="AQ6089">
        <v>1</v>
      </c>
      <c r="AR6089" t="s">
        <v>80</v>
      </c>
      <c r="AS6089" t="s">
        <v>81</v>
      </c>
      <c r="AT6089" t="s">
        <v>58</v>
      </c>
      <c r="AU6089" t="s">
        <v>68</v>
      </c>
      <c r="AV6089" t="s">
        <v>69</v>
      </c>
      <c r="AW6089" s="1">
        <v>23255</v>
      </c>
      <c r="AX6089">
        <v>1</v>
      </c>
    </row>
    <row r="6090" spans="1:50">
      <c r="B6090" t="str">
        <f>"103807560"</f>
        <v>103807560</v>
      </c>
      <c r="C6090" t="s">
        <v>50</v>
      </c>
      <c r="D6090" t="s">
        <v>5070</v>
      </c>
      <c r="E6090" t="s">
        <v>96</v>
      </c>
      <c r="F6090" t="s">
        <v>383</v>
      </c>
      <c r="G6090" t="s">
        <v>83</v>
      </c>
      <c r="H6090" t="str">
        <f>"ΦΟΥΡΤΟΥΝΑΤΟΥ 26 ΗΡΑΚΛΕΙΟ"</f>
        <v>ΦΟΥΡΤΟΥΝΑΤΟΥ 26 ΗΡΑΚΛΕΙΟ</v>
      </c>
      <c r="I6090">
        <v>71303</v>
      </c>
      <c r="J6090">
        <v>2810255398</v>
      </c>
      <c r="K6090">
        <v>6977703528</v>
      </c>
      <c r="N6090" t="s">
        <v>615</v>
      </c>
      <c r="O6090" t="s">
        <v>616</v>
      </c>
      <c r="R6090" t="s">
        <v>159</v>
      </c>
      <c r="S6090">
        <v>3</v>
      </c>
      <c r="T6090" t="s">
        <v>8675</v>
      </c>
      <c r="U6090" s="1">
        <v>43348</v>
      </c>
      <c r="V6090" t="s">
        <v>80</v>
      </c>
      <c r="W6090" t="s">
        <v>81</v>
      </c>
      <c r="X6090" t="s">
        <v>58</v>
      </c>
      <c r="Y6090">
        <v>24</v>
      </c>
      <c r="Z6090" t="s">
        <v>59</v>
      </c>
      <c r="AA6090" t="s">
        <v>59</v>
      </c>
      <c r="AB6090" t="s">
        <v>59</v>
      </c>
      <c r="AC6090" t="s">
        <v>59</v>
      </c>
      <c r="AD6090" t="s">
        <v>59</v>
      </c>
      <c r="AF6090" s="1">
        <v>43348</v>
      </c>
      <c r="AG6090" t="s">
        <v>8645</v>
      </c>
      <c r="AH6090" t="s">
        <v>10523</v>
      </c>
      <c r="AI6090" t="str">
        <f>"9521476"</f>
        <v>9521476</v>
      </c>
      <c r="AJ6090" t="s">
        <v>10524</v>
      </c>
      <c r="AK6090">
        <v>2810301780</v>
      </c>
      <c r="AL6090" t="s">
        <v>10525</v>
      </c>
      <c r="AM6090" t="s">
        <v>78</v>
      </c>
      <c r="AN6090" t="s">
        <v>78</v>
      </c>
      <c r="AO6090" t="s">
        <v>78</v>
      </c>
      <c r="AP6090" t="s">
        <v>79</v>
      </c>
      <c r="AQ6090">
        <v>1</v>
      </c>
      <c r="AR6090" t="s">
        <v>80</v>
      </c>
      <c r="AS6090" t="s">
        <v>81</v>
      </c>
      <c r="AT6090" t="s">
        <v>58</v>
      </c>
      <c r="AU6090" t="s">
        <v>8673</v>
      </c>
      <c r="AV6090" t="s">
        <v>132</v>
      </c>
      <c r="AW6090" s="1">
        <v>28543</v>
      </c>
      <c r="AX6090">
        <v>1</v>
      </c>
    </row>
    <row r="6091" spans="1:50">
      <c r="A6091">
        <v>614785</v>
      </c>
      <c r="B6091" t="str">
        <f>"123158927"</f>
        <v>123158927</v>
      </c>
      <c r="C6091" t="s">
        <v>105</v>
      </c>
      <c r="D6091" t="s">
        <v>2507</v>
      </c>
      <c r="E6091" t="s">
        <v>95</v>
      </c>
      <c r="F6091" t="s">
        <v>72</v>
      </c>
      <c r="G6091" t="s">
        <v>10526</v>
      </c>
      <c r="H6091" t="str">
        <f>"ΑΝΘΕΩΝ 78   ΗΡΑΚΛΕΙΟ"</f>
        <v>ΑΝΘΕΩΝ 78   ΗΡΑΚΛΕΙΟ</v>
      </c>
      <c r="I6091">
        <v>71409</v>
      </c>
      <c r="J6091">
        <v>2810238324</v>
      </c>
      <c r="K6091">
        <v>6942691015</v>
      </c>
      <c r="N6091" t="s">
        <v>615</v>
      </c>
      <c r="O6091" t="s">
        <v>616</v>
      </c>
      <c r="R6091" t="s">
        <v>57</v>
      </c>
      <c r="S6091">
        <v>5</v>
      </c>
      <c r="T6091">
        <v>598</v>
      </c>
      <c r="U6091" s="1">
        <v>39310</v>
      </c>
      <c r="V6091" t="s">
        <v>80</v>
      </c>
      <c r="W6091" t="s">
        <v>81</v>
      </c>
      <c r="X6091" t="s">
        <v>58</v>
      </c>
      <c r="Y6091">
        <v>23</v>
      </c>
      <c r="Z6091" t="s">
        <v>59</v>
      </c>
      <c r="AA6091" t="s">
        <v>59</v>
      </c>
      <c r="AB6091" t="s">
        <v>59</v>
      </c>
      <c r="AC6091" t="s">
        <v>59</v>
      </c>
      <c r="AD6091" t="s">
        <v>59</v>
      </c>
      <c r="AF6091" s="1">
        <v>39328</v>
      </c>
      <c r="AG6091" t="s">
        <v>8645</v>
      </c>
      <c r="AH6091" t="s">
        <v>8646</v>
      </c>
      <c r="AI6091" t="str">
        <f>"9170017"</f>
        <v>9170017</v>
      </c>
      <c r="AJ6091" t="s">
        <v>9114</v>
      </c>
      <c r="AK6091">
        <v>2810250746</v>
      </c>
      <c r="AL6091" t="s">
        <v>9115</v>
      </c>
      <c r="AM6091" t="s">
        <v>78</v>
      </c>
      <c r="AN6091" t="s">
        <v>129</v>
      </c>
      <c r="AO6091" t="s">
        <v>130</v>
      </c>
      <c r="AP6091" t="s">
        <v>130</v>
      </c>
      <c r="AQ6091">
        <v>1</v>
      </c>
      <c r="AR6091" t="s">
        <v>80</v>
      </c>
      <c r="AS6091" t="s">
        <v>81</v>
      </c>
      <c r="AT6091" t="s">
        <v>58</v>
      </c>
      <c r="AU6091" t="s">
        <v>68</v>
      </c>
      <c r="AV6091" t="s">
        <v>69</v>
      </c>
      <c r="AW6091" s="1">
        <v>30754</v>
      </c>
      <c r="AX6091">
        <v>1</v>
      </c>
    </row>
    <row r="6092" spans="1:50">
      <c r="A6092">
        <v>561600</v>
      </c>
      <c r="B6092" t="str">
        <f>"035346730"</f>
        <v>035346730</v>
      </c>
      <c r="C6092" t="s">
        <v>105</v>
      </c>
      <c r="D6092" t="s">
        <v>2507</v>
      </c>
      <c r="E6092" t="s">
        <v>510</v>
      </c>
      <c r="F6092" t="s">
        <v>95</v>
      </c>
      <c r="G6092" t="s">
        <v>143</v>
      </c>
      <c r="H6092" t="str">
        <f>"ΑΝΑΞΑΓΟΡΑ 1 ΝΕΑ ΑΛΙΚΑΡΝΑΣΣΟΣ"</f>
        <v>ΑΝΑΞΑΓΟΡΑ 1 ΝΕΑ ΑΛΙΚΑΡΝΑΣΣΟΣ</v>
      </c>
      <c r="I6092">
        <v>71601</v>
      </c>
      <c r="K6092">
        <v>6973240680</v>
      </c>
      <c r="N6092" t="s">
        <v>615</v>
      </c>
      <c r="O6092" t="s">
        <v>616</v>
      </c>
      <c r="R6092" t="s">
        <v>57</v>
      </c>
      <c r="S6092">
        <v>15</v>
      </c>
      <c r="T6092">
        <v>159</v>
      </c>
      <c r="U6092" s="1">
        <v>32385</v>
      </c>
      <c r="V6092" t="s">
        <v>80</v>
      </c>
      <c r="W6092" t="s">
        <v>81</v>
      </c>
      <c r="X6092" t="s">
        <v>58</v>
      </c>
      <c r="Y6092">
        <v>21</v>
      </c>
      <c r="Z6092" t="s">
        <v>59</v>
      </c>
      <c r="AA6092" t="s">
        <v>59</v>
      </c>
      <c r="AB6092" t="s">
        <v>59</v>
      </c>
      <c r="AC6092" t="s">
        <v>59</v>
      </c>
      <c r="AD6092" t="s">
        <v>59</v>
      </c>
      <c r="AF6092" s="1">
        <v>32388</v>
      </c>
      <c r="AG6092" t="s">
        <v>8645</v>
      </c>
      <c r="AH6092" t="s">
        <v>8646</v>
      </c>
      <c r="AI6092" t="str">
        <f>"9170262"</f>
        <v>9170262</v>
      </c>
      <c r="AJ6092" t="s">
        <v>9224</v>
      </c>
      <c r="AK6092">
        <v>2810245912</v>
      </c>
      <c r="AL6092" t="s">
        <v>9225</v>
      </c>
      <c r="AM6092" t="s">
        <v>78</v>
      </c>
      <c r="AN6092" t="s">
        <v>78</v>
      </c>
      <c r="AO6092" t="s">
        <v>286</v>
      </c>
      <c r="AP6092" t="s">
        <v>286</v>
      </c>
      <c r="AQ6092">
        <v>1</v>
      </c>
      <c r="AR6092" t="s">
        <v>80</v>
      </c>
      <c r="AS6092" t="s">
        <v>81</v>
      </c>
      <c r="AT6092" t="s">
        <v>58</v>
      </c>
      <c r="AU6092" t="s">
        <v>68</v>
      </c>
      <c r="AV6092" t="s">
        <v>2039</v>
      </c>
      <c r="AW6092" s="1">
        <v>22380</v>
      </c>
      <c r="AX6092">
        <v>1</v>
      </c>
    </row>
    <row r="6093" spans="1:50">
      <c r="A6093">
        <v>593302</v>
      </c>
      <c r="B6093" t="str">
        <f>"065788360"</f>
        <v>065788360</v>
      </c>
      <c r="C6093" t="s">
        <v>50</v>
      </c>
      <c r="D6093" t="s">
        <v>10527</v>
      </c>
      <c r="E6093" t="s">
        <v>143</v>
      </c>
      <c r="F6093" t="s">
        <v>92</v>
      </c>
      <c r="G6093" t="s">
        <v>1443</v>
      </c>
      <c r="H6093" t="str">
        <f>"ΕΥΑΝΘΟΥΣ 9 ΗΡΑΚΛΕΙΟ"</f>
        <v>ΕΥΑΝΘΟΥΣ 9 ΗΡΑΚΛΕΙΟ</v>
      </c>
      <c r="I6093">
        <v>71305</v>
      </c>
      <c r="J6093">
        <v>2810257161</v>
      </c>
      <c r="K6093">
        <v>6976243431</v>
      </c>
      <c r="N6093" t="s">
        <v>615</v>
      </c>
      <c r="O6093" t="s">
        <v>616</v>
      </c>
      <c r="R6093" t="s">
        <v>57</v>
      </c>
      <c r="S6093">
        <v>8</v>
      </c>
      <c r="T6093">
        <v>218</v>
      </c>
      <c r="U6093" s="1">
        <v>37134</v>
      </c>
      <c r="V6093" t="s">
        <v>80</v>
      </c>
      <c r="W6093" t="s">
        <v>81</v>
      </c>
      <c r="X6093" t="s">
        <v>58</v>
      </c>
      <c r="Y6093">
        <v>22</v>
      </c>
      <c r="Z6093" t="s">
        <v>59</v>
      </c>
      <c r="AA6093" t="s">
        <v>59</v>
      </c>
      <c r="AB6093" t="s">
        <v>59</v>
      </c>
      <c r="AC6093" t="s">
        <v>59</v>
      </c>
      <c r="AD6093" t="s">
        <v>59</v>
      </c>
      <c r="AF6093" s="1">
        <v>37137</v>
      </c>
      <c r="AG6093" t="s">
        <v>8645</v>
      </c>
      <c r="AH6093" t="s">
        <v>8646</v>
      </c>
      <c r="AI6093" t="str">
        <f>"9170006"</f>
        <v>9170006</v>
      </c>
      <c r="AJ6093" t="s">
        <v>10060</v>
      </c>
      <c r="AK6093">
        <v>2810721207</v>
      </c>
      <c r="AL6093" t="s">
        <v>10061</v>
      </c>
      <c r="AM6093" t="s">
        <v>78</v>
      </c>
      <c r="AN6093" t="s">
        <v>78</v>
      </c>
      <c r="AO6093" t="s">
        <v>185</v>
      </c>
      <c r="AP6093" t="s">
        <v>186</v>
      </c>
      <c r="AQ6093">
        <v>4</v>
      </c>
      <c r="AR6093" t="s">
        <v>80</v>
      </c>
      <c r="AS6093" t="s">
        <v>81</v>
      </c>
      <c r="AT6093" t="s">
        <v>58</v>
      </c>
      <c r="AU6093" t="s">
        <v>68</v>
      </c>
      <c r="AV6093" t="s">
        <v>69</v>
      </c>
      <c r="AW6093" s="1">
        <v>26428</v>
      </c>
      <c r="AX6093">
        <v>1</v>
      </c>
    </row>
    <row r="6094" spans="1:50">
      <c r="A6094">
        <v>583732</v>
      </c>
      <c r="B6094" t="str">
        <f>"036424482"</f>
        <v>036424482</v>
      </c>
      <c r="C6094" t="s">
        <v>50</v>
      </c>
      <c r="D6094" t="s">
        <v>10528</v>
      </c>
      <c r="E6094" t="s">
        <v>255</v>
      </c>
      <c r="F6094" t="s">
        <v>166</v>
      </c>
      <c r="G6094" t="s">
        <v>905</v>
      </c>
      <c r="H6094" t="str">
        <f>"ΜΥΣΤΡΑ 27 ΗΡΑΚΛΕΙΟ"</f>
        <v>ΜΥΣΤΡΑ 27 ΗΡΑΚΛΕΙΟ</v>
      </c>
      <c r="I6094">
        <v>71305</v>
      </c>
      <c r="J6094">
        <v>2810259182</v>
      </c>
      <c r="K6094">
        <v>6977080843</v>
      </c>
      <c r="N6094" t="s">
        <v>615</v>
      </c>
      <c r="O6094" t="s">
        <v>616</v>
      </c>
      <c r="R6094" t="s">
        <v>57</v>
      </c>
      <c r="S6094">
        <v>14</v>
      </c>
      <c r="T6094">
        <v>165</v>
      </c>
      <c r="U6094" s="1">
        <v>36040</v>
      </c>
      <c r="V6094" t="s">
        <v>80</v>
      </c>
      <c r="W6094" t="s">
        <v>81</v>
      </c>
      <c r="X6094" t="s">
        <v>58</v>
      </c>
      <c r="Y6094">
        <v>21</v>
      </c>
      <c r="Z6094" t="s">
        <v>59</v>
      </c>
      <c r="AA6094" t="s">
        <v>59</v>
      </c>
      <c r="AB6094" t="s">
        <v>59</v>
      </c>
      <c r="AC6094" t="s">
        <v>59</v>
      </c>
      <c r="AD6094" t="s">
        <v>59</v>
      </c>
      <c r="AF6094" s="1">
        <v>36045</v>
      </c>
      <c r="AG6094" t="s">
        <v>8645</v>
      </c>
      <c r="AH6094" t="s">
        <v>8646</v>
      </c>
      <c r="AI6094" t="str">
        <f>"9521091"</f>
        <v>9521091</v>
      </c>
      <c r="AJ6094" t="s">
        <v>8959</v>
      </c>
      <c r="AK6094">
        <v>2810370360</v>
      </c>
      <c r="AL6094" t="s">
        <v>8960</v>
      </c>
      <c r="AM6094" t="s">
        <v>78</v>
      </c>
      <c r="AN6094" t="s">
        <v>129</v>
      </c>
      <c r="AO6094" t="s">
        <v>130</v>
      </c>
      <c r="AP6094" t="s">
        <v>130</v>
      </c>
      <c r="AQ6094">
        <v>1</v>
      </c>
      <c r="AR6094" t="s">
        <v>80</v>
      </c>
      <c r="AS6094" t="s">
        <v>81</v>
      </c>
      <c r="AT6094" t="s">
        <v>58</v>
      </c>
      <c r="AU6094" t="s">
        <v>68</v>
      </c>
      <c r="AV6094" t="s">
        <v>69</v>
      </c>
      <c r="AW6094" s="1">
        <v>22470</v>
      </c>
      <c r="AX6094">
        <v>1</v>
      </c>
    </row>
    <row r="6095" spans="1:50">
      <c r="A6095">
        <v>604168</v>
      </c>
      <c r="B6095" t="str">
        <f>"066535722"</f>
        <v>066535722</v>
      </c>
      <c r="C6095" t="s">
        <v>50</v>
      </c>
      <c r="D6095" t="s">
        <v>10529</v>
      </c>
      <c r="E6095" t="s">
        <v>460</v>
      </c>
      <c r="F6095" t="s">
        <v>99</v>
      </c>
      <c r="G6095" t="s">
        <v>238</v>
      </c>
      <c r="H6095" t="str">
        <f>"Ε. ΖΑΧΑΡΙΟΥΔΑΚΗ 12 ΗΡΑΚΛΕΙΟ"</f>
        <v>Ε. ΖΑΧΑΡΙΟΥΔΑΚΗ 12 ΗΡΑΚΛΕΙΟ</v>
      </c>
      <c r="I6095">
        <v>71305</v>
      </c>
      <c r="J6095">
        <v>2810261370</v>
      </c>
      <c r="K6095">
        <v>6932834249</v>
      </c>
      <c r="M6095" t="s">
        <v>10530</v>
      </c>
      <c r="N6095" t="s">
        <v>615</v>
      </c>
      <c r="O6095" t="s">
        <v>616</v>
      </c>
      <c r="R6095" t="s">
        <v>57</v>
      </c>
      <c r="S6095">
        <v>8</v>
      </c>
      <c r="T6095">
        <v>231</v>
      </c>
      <c r="U6095" s="1">
        <v>38230</v>
      </c>
      <c r="V6095" t="s">
        <v>80</v>
      </c>
      <c r="W6095" t="s">
        <v>81</v>
      </c>
      <c r="X6095" t="s">
        <v>58</v>
      </c>
      <c r="Y6095">
        <v>22</v>
      </c>
      <c r="Z6095" t="s">
        <v>59</v>
      </c>
      <c r="AA6095" t="s">
        <v>59</v>
      </c>
      <c r="AB6095" t="s">
        <v>59</v>
      </c>
      <c r="AC6095" t="s">
        <v>59</v>
      </c>
      <c r="AD6095" t="s">
        <v>59</v>
      </c>
      <c r="AF6095" s="1">
        <v>38231</v>
      </c>
      <c r="AG6095" t="s">
        <v>8645</v>
      </c>
      <c r="AH6095" t="s">
        <v>8646</v>
      </c>
      <c r="AI6095" t="str">
        <f>"9170343"</f>
        <v>9170343</v>
      </c>
      <c r="AJ6095" t="s">
        <v>8743</v>
      </c>
      <c r="AK6095">
        <v>2810283970</v>
      </c>
      <c r="AL6095" t="s">
        <v>8744</v>
      </c>
      <c r="AM6095" t="s">
        <v>78</v>
      </c>
      <c r="AN6095" t="s">
        <v>78</v>
      </c>
      <c r="AO6095" t="s">
        <v>78</v>
      </c>
      <c r="AP6095" t="s">
        <v>79</v>
      </c>
      <c r="AQ6095">
        <v>1</v>
      </c>
      <c r="AR6095" t="s">
        <v>80</v>
      </c>
      <c r="AS6095" t="s">
        <v>81</v>
      </c>
      <c r="AT6095" t="s">
        <v>58</v>
      </c>
      <c r="AU6095" t="s">
        <v>68</v>
      </c>
      <c r="AV6095" t="s">
        <v>69</v>
      </c>
      <c r="AW6095" s="1">
        <v>27294</v>
      </c>
      <c r="AX6095">
        <v>1</v>
      </c>
    </row>
    <row r="6096" spans="1:50">
      <c r="A6096">
        <v>168551</v>
      </c>
      <c r="B6096" t="str">
        <f>"045548648"</f>
        <v>045548648</v>
      </c>
      <c r="C6096" t="s">
        <v>105</v>
      </c>
      <c r="D6096" t="s">
        <v>6193</v>
      </c>
      <c r="E6096" t="s">
        <v>1330</v>
      </c>
      <c r="F6096" t="s">
        <v>72</v>
      </c>
      <c r="G6096" t="s">
        <v>52</v>
      </c>
      <c r="H6096" t="str">
        <f>" "</f>
        <v xml:space="preserve"> </v>
      </c>
      <c r="N6096" t="s">
        <v>683</v>
      </c>
      <c r="O6096" t="s">
        <v>684</v>
      </c>
      <c r="R6096" t="s">
        <v>57</v>
      </c>
      <c r="S6096">
        <v>12</v>
      </c>
      <c r="T6096">
        <v>159</v>
      </c>
      <c r="U6096" s="1">
        <v>34582</v>
      </c>
      <c r="V6096" t="s">
        <v>80</v>
      </c>
      <c r="W6096" t="s">
        <v>81</v>
      </c>
      <c r="X6096" t="s">
        <v>58</v>
      </c>
      <c r="Y6096">
        <v>21</v>
      </c>
      <c r="Z6096" t="s">
        <v>59</v>
      </c>
      <c r="AA6096" t="s">
        <v>59</v>
      </c>
      <c r="AB6096" t="s">
        <v>59</v>
      </c>
      <c r="AC6096" t="s">
        <v>59</v>
      </c>
      <c r="AD6096" t="s">
        <v>59</v>
      </c>
      <c r="AF6096" s="1">
        <v>34583</v>
      </c>
      <c r="AG6096" t="s">
        <v>8645</v>
      </c>
      <c r="AH6096" t="s">
        <v>8646</v>
      </c>
      <c r="AI6096" t="str">
        <f>"9170018"</f>
        <v>9170018</v>
      </c>
      <c r="AJ6096" t="s">
        <v>8924</v>
      </c>
      <c r="AK6096">
        <v>2810821217</v>
      </c>
      <c r="AL6096" t="s">
        <v>8925</v>
      </c>
      <c r="AM6096" t="s">
        <v>78</v>
      </c>
      <c r="AN6096" t="s">
        <v>129</v>
      </c>
      <c r="AO6096" t="s">
        <v>130</v>
      </c>
      <c r="AP6096" t="s">
        <v>130</v>
      </c>
      <c r="AQ6096">
        <v>1</v>
      </c>
      <c r="AR6096" t="s">
        <v>80</v>
      </c>
      <c r="AS6096" t="s">
        <v>81</v>
      </c>
      <c r="AT6096" t="s">
        <v>58</v>
      </c>
      <c r="AU6096" t="s">
        <v>68</v>
      </c>
      <c r="AV6096" t="s">
        <v>69</v>
      </c>
      <c r="AW6096" s="1">
        <v>23146</v>
      </c>
      <c r="AX6096">
        <v>1</v>
      </c>
    </row>
    <row r="6097" spans="1:50">
      <c r="A6097">
        <v>599001</v>
      </c>
      <c r="B6097" t="str">
        <f>"102942446"</f>
        <v>102942446</v>
      </c>
      <c r="C6097" t="s">
        <v>50</v>
      </c>
      <c r="D6097" t="s">
        <v>10531</v>
      </c>
      <c r="E6097" t="s">
        <v>188</v>
      </c>
      <c r="F6097" t="s">
        <v>53</v>
      </c>
      <c r="G6097" t="s">
        <v>83</v>
      </c>
      <c r="H6097" t="str">
        <f>"ΜΑΚΑΝΔΡΟΥ 10 ΗΡΑΚΛΕΙΟ"</f>
        <v>ΜΑΚΑΝΔΡΟΥ 10 ΗΡΑΚΛΕΙΟ</v>
      </c>
      <c r="I6097">
        <v>71305</v>
      </c>
      <c r="J6097">
        <v>2810371020</v>
      </c>
      <c r="K6097">
        <v>6936065051</v>
      </c>
      <c r="N6097" t="s">
        <v>615</v>
      </c>
      <c r="O6097" t="s">
        <v>616</v>
      </c>
      <c r="R6097" t="s">
        <v>57</v>
      </c>
      <c r="S6097">
        <v>9</v>
      </c>
      <c r="T6097">
        <v>195</v>
      </c>
      <c r="U6097" s="1">
        <v>37497</v>
      </c>
      <c r="V6097" t="s">
        <v>80</v>
      </c>
      <c r="W6097" t="s">
        <v>81</v>
      </c>
      <c r="X6097" t="s">
        <v>58</v>
      </c>
      <c r="Y6097">
        <v>22</v>
      </c>
      <c r="Z6097" t="s">
        <v>59</v>
      </c>
      <c r="AA6097" t="s">
        <v>59</v>
      </c>
      <c r="AB6097" t="s">
        <v>59</v>
      </c>
      <c r="AC6097" t="s">
        <v>59</v>
      </c>
      <c r="AD6097" t="s">
        <v>59</v>
      </c>
      <c r="AF6097" s="1">
        <v>37502</v>
      </c>
      <c r="AG6097" t="s">
        <v>8645</v>
      </c>
      <c r="AH6097" t="s">
        <v>8646</v>
      </c>
      <c r="AI6097" t="str">
        <f>"9170057"</f>
        <v>9170057</v>
      </c>
      <c r="AJ6097" t="s">
        <v>8929</v>
      </c>
      <c r="AK6097">
        <v>2810251505</v>
      </c>
      <c r="AL6097" t="s">
        <v>8930</v>
      </c>
      <c r="AM6097" t="s">
        <v>78</v>
      </c>
      <c r="AN6097" t="s">
        <v>78</v>
      </c>
      <c r="AO6097" t="s">
        <v>78</v>
      </c>
      <c r="AP6097" t="s">
        <v>141</v>
      </c>
      <c r="AQ6097">
        <v>1</v>
      </c>
      <c r="AR6097" t="s">
        <v>80</v>
      </c>
      <c r="AS6097" t="s">
        <v>81</v>
      </c>
      <c r="AT6097" t="s">
        <v>58</v>
      </c>
      <c r="AU6097" t="s">
        <v>68</v>
      </c>
      <c r="AV6097" t="s">
        <v>69</v>
      </c>
      <c r="AW6097" s="1">
        <v>24477</v>
      </c>
      <c r="AX6097">
        <v>1</v>
      </c>
    </row>
    <row r="6098" spans="1:50">
      <c r="B6098" t="str">
        <f>"144464968"</f>
        <v>144464968</v>
      </c>
      <c r="C6098" t="s">
        <v>50</v>
      </c>
      <c r="D6098" t="s">
        <v>10532</v>
      </c>
      <c r="E6098" t="s">
        <v>155</v>
      </c>
      <c r="F6098" t="s">
        <v>6844</v>
      </c>
      <c r="H6098" t="str">
        <f>" "</f>
        <v xml:space="preserve"> </v>
      </c>
      <c r="N6098" t="s">
        <v>1525</v>
      </c>
      <c r="O6098" t="s">
        <v>1526</v>
      </c>
      <c r="R6098" t="s">
        <v>159</v>
      </c>
      <c r="S6098">
        <v>2</v>
      </c>
      <c r="T6098" t="s">
        <v>8670</v>
      </c>
      <c r="U6098" s="1">
        <v>43348</v>
      </c>
      <c r="V6098" t="s">
        <v>80</v>
      </c>
      <c r="W6098" t="s">
        <v>81</v>
      </c>
      <c r="X6098" t="s">
        <v>58</v>
      </c>
      <c r="Y6098">
        <v>25</v>
      </c>
      <c r="Z6098" t="s">
        <v>59</v>
      </c>
      <c r="AA6098" t="s">
        <v>59</v>
      </c>
      <c r="AB6098" t="s">
        <v>59</v>
      </c>
      <c r="AC6098" t="s">
        <v>59</v>
      </c>
      <c r="AD6098" t="s">
        <v>59</v>
      </c>
      <c r="AF6098" s="1">
        <v>43348</v>
      </c>
      <c r="AG6098" t="s">
        <v>8651</v>
      </c>
      <c r="AH6098" t="s">
        <v>8652</v>
      </c>
      <c r="AI6098" t="str">
        <f>"9170266"</f>
        <v>9170266</v>
      </c>
      <c r="AJ6098" t="s">
        <v>9498</v>
      </c>
      <c r="AK6098">
        <v>2892023328</v>
      </c>
      <c r="AL6098" t="s">
        <v>9499</v>
      </c>
      <c r="AM6098" t="s">
        <v>78</v>
      </c>
      <c r="AN6098" t="s">
        <v>242</v>
      </c>
      <c r="AO6098" t="s">
        <v>243</v>
      </c>
      <c r="AP6098" t="s">
        <v>243</v>
      </c>
      <c r="AQ6098">
        <v>20</v>
      </c>
      <c r="AR6098" t="s">
        <v>80</v>
      </c>
      <c r="AS6098" t="s">
        <v>81</v>
      </c>
      <c r="AT6098" t="s">
        <v>58</v>
      </c>
      <c r="AU6098" t="s">
        <v>8673</v>
      </c>
      <c r="AV6098" t="s">
        <v>132</v>
      </c>
      <c r="AW6098" s="1">
        <v>30537</v>
      </c>
      <c r="AX6098">
        <v>1</v>
      </c>
    </row>
    <row r="6099" spans="1:50">
      <c r="B6099" t="str">
        <f>"140509188"</f>
        <v>140509188</v>
      </c>
      <c r="C6099" t="s">
        <v>50</v>
      </c>
      <c r="D6099" t="s">
        <v>10533</v>
      </c>
      <c r="E6099" t="s">
        <v>316</v>
      </c>
      <c r="F6099" t="s">
        <v>309</v>
      </c>
      <c r="G6099" t="s">
        <v>1755</v>
      </c>
      <c r="H6099" t="str">
        <f>" "</f>
        <v xml:space="preserve"> </v>
      </c>
      <c r="N6099" t="s">
        <v>1525</v>
      </c>
      <c r="O6099" t="s">
        <v>1526</v>
      </c>
      <c r="R6099" t="s">
        <v>159</v>
      </c>
      <c r="S6099">
        <v>3</v>
      </c>
      <c r="T6099" t="s">
        <v>8670</v>
      </c>
      <c r="U6099" s="1">
        <v>43348</v>
      </c>
      <c r="V6099" t="s">
        <v>80</v>
      </c>
      <c r="W6099" t="s">
        <v>81</v>
      </c>
      <c r="X6099" t="s">
        <v>58</v>
      </c>
      <c r="Y6099">
        <v>25</v>
      </c>
      <c r="Z6099" t="s">
        <v>59</v>
      </c>
      <c r="AA6099" t="s">
        <v>59</v>
      </c>
      <c r="AB6099" t="s">
        <v>59</v>
      </c>
      <c r="AC6099" t="s">
        <v>59</v>
      </c>
      <c r="AD6099" t="s">
        <v>59</v>
      </c>
      <c r="AF6099" s="1">
        <v>43348</v>
      </c>
      <c r="AG6099" t="s">
        <v>8651</v>
      </c>
      <c r="AH6099" t="s">
        <v>8652</v>
      </c>
      <c r="AI6099" t="str">
        <f>"9170389"</f>
        <v>9170389</v>
      </c>
      <c r="AJ6099" t="s">
        <v>9013</v>
      </c>
      <c r="AK6099">
        <v>2891023312</v>
      </c>
      <c r="AL6099" t="s">
        <v>9014</v>
      </c>
      <c r="AM6099" t="s">
        <v>78</v>
      </c>
      <c r="AN6099" t="s">
        <v>276</v>
      </c>
      <c r="AO6099" t="s">
        <v>490</v>
      </c>
      <c r="AP6099" t="s">
        <v>490</v>
      </c>
      <c r="AQ6099">
        <v>12</v>
      </c>
      <c r="AR6099" t="s">
        <v>80</v>
      </c>
      <c r="AS6099" t="s">
        <v>81</v>
      </c>
      <c r="AT6099" t="s">
        <v>58</v>
      </c>
      <c r="AU6099" t="s">
        <v>8673</v>
      </c>
      <c r="AV6099" t="s">
        <v>132</v>
      </c>
      <c r="AW6099" s="1">
        <v>31779</v>
      </c>
      <c r="AX6099">
        <v>1</v>
      </c>
    </row>
    <row r="6100" spans="1:50">
      <c r="B6100" t="str">
        <f>"148058910"</f>
        <v>148058910</v>
      </c>
      <c r="C6100" t="s">
        <v>50</v>
      </c>
      <c r="D6100" t="s">
        <v>10534</v>
      </c>
      <c r="E6100" t="s">
        <v>221</v>
      </c>
      <c r="F6100" t="s">
        <v>166</v>
      </c>
      <c r="G6100" t="s">
        <v>5764</v>
      </c>
      <c r="H6100" t="str">
        <f>"ΕΦΕΣΣΟΥ 6 "</f>
        <v xml:space="preserve">ΕΦΕΣΣΟΥ 6 </v>
      </c>
      <c r="I6100">
        <v>85100</v>
      </c>
      <c r="J6100">
        <v>2241035507</v>
      </c>
      <c r="K6100">
        <v>6936430792</v>
      </c>
      <c r="N6100" t="s">
        <v>615</v>
      </c>
      <c r="O6100" t="s">
        <v>616</v>
      </c>
      <c r="R6100" t="s">
        <v>121</v>
      </c>
      <c r="S6100">
        <v>1</v>
      </c>
      <c r="T6100" t="s">
        <v>8717</v>
      </c>
      <c r="U6100" s="1">
        <v>43348</v>
      </c>
      <c r="V6100" t="s">
        <v>80</v>
      </c>
      <c r="W6100" t="s">
        <v>81</v>
      </c>
      <c r="X6100" t="s">
        <v>58</v>
      </c>
      <c r="Y6100">
        <v>24</v>
      </c>
      <c r="Z6100" t="s">
        <v>59</v>
      </c>
      <c r="AA6100" t="s">
        <v>59</v>
      </c>
      <c r="AB6100" t="s">
        <v>59</v>
      </c>
      <c r="AC6100" t="s">
        <v>59</v>
      </c>
      <c r="AD6100" t="s">
        <v>59</v>
      </c>
      <c r="AF6100" s="1">
        <v>43348</v>
      </c>
      <c r="AG6100" t="s">
        <v>8645</v>
      </c>
      <c r="AH6100" t="s">
        <v>8646</v>
      </c>
      <c r="AI6100" t="str">
        <f>"9170270"</f>
        <v>9170270</v>
      </c>
      <c r="AJ6100" t="s">
        <v>9347</v>
      </c>
      <c r="AK6100">
        <v>2892031245</v>
      </c>
      <c r="AL6100" t="s">
        <v>9348</v>
      </c>
      <c r="AM6100" t="s">
        <v>78</v>
      </c>
      <c r="AN6100" t="s">
        <v>405</v>
      </c>
      <c r="AO6100" t="s">
        <v>405</v>
      </c>
      <c r="AP6100" t="s">
        <v>464</v>
      </c>
      <c r="AQ6100">
        <v>17</v>
      </c>
      <c r="AR6100" t="s">
        <v>80</v>
      </c>
      <c r="AS6100" t="s">
        <v>81</v>
      </c>
      <c r="AT6100" t="s">
        <v>58</v>
      </c>
      <c r="AU6100" t="s">
        <v>8720</v>
      </c>
      <c r="AV6100" t="s">
        <v>132</v>
      </c>
      <c r="AW6100" s="1">
        <v>32203</v>
      </c>
      <c r="AX6100">
        <v>1</v>
      </c>
    </row>
    <row r="6101" spans="1:50">
      <c r="A6101">
        <v>605804</v>
      </c>
      <c r="B6101" t="str">
        <f>"125589876"</f>
        <v>125589876</v>
      </c>
      <c r="C6101" t="s">
        <v>50</v>
      </c>
      <c r="D6101" t="s">
        <v>10534</v>
      </c>
      <c r="E6101" t="s">
        <v>1019</v>
      </c>
      <c r="F6101" t="s">
        <v>92</v>
      </c>
      <c r="G6101" t="s">
        <v>181</v>
      </c>
      <c r="H6101" t="str">
        <f>"ΔΙΟΒΟΥΝΩΤΗ 15   ΗΡΑΚΛΕΙΟ"</f>
        <v>ΔΙΟΒΟΥΝΩΤΗ 15   ΗΡΑΚΛΕΙΟ</v>
      </c>
      <c r="I6101">
        <v>71305</v>
      </c>
      <c r="J6101">
        <v>2810314379</v>
      </c>
      <c r="K6101">
        <v>6974735423</v>
      </c>
      <c r="N6101" t="s">
        <v>615</v>
      </c>
      <c r="O6101" t="s">
        <v>616</v>
      </c>
      <c r="R6101" t="s">
        <v>57</v>
      </c>
      <c r="S6101">
        <v>7</v>
      </c>
      <c r="T6101">
        <v>231</v>
      </c>
      <c r="U6101" s="1">
        <v>38230</v>
      </c>
      <c r="V6101" t="s">
        <v>80</v>
      </c>
      <c r="W6101" t="s">
        <v>81</v>
      </c>
      <c r="X6101" t="s">
        <v>58</v>
      </c>
      <c r="Y6101">
        <v>22</v>
      </c>
      <c r="Z6101" t="s">
        <v>59</v>
      </c>
      <c r="AA6101" t="s">
        <v>59</v>
      </c>
      <c r="AB6101" t="s">
        <v>59</v>
      </c>
      <c r="AC6101" t="s">
        <v>59</v>
      </c>
      <c r="AD6101" t="s">
        <v>59</v>
      </c>
      <c r="AF6101" s="1">
        <v>38232</v>
      </c>
      <c r="AG6101" t="s">
        <v>8645</v>
      </c>
      <c r="AH6101" t="s">
        <v>8646</v>
      </c>
      <c r="AI6101" t="str">
        <f>"9170057"</f>
        <v>9170057</v>
      </c>
      <c r="AJ6101" t="s">
        <v>8929</v>
      </c>
      <c r="AK6101">
        <v>2810251505</v>
      </c>
      <c r="AL6101" t="s">
        <v>8930</v>
      </c>
      <c r="AM6101" t="s">
        <v>78</v>
      </c>
      <c r="AN6101" t="s">
        <v>78</v>
      </c>
      <c r="AO6101" t="s">
        <v>78</v>
      </c>
      <c r="AP6101" t="s">
        <v>141</v>
      </c>
      <c r="AQ6101">
        <v>1</v>
      </c>
      <c r="AR6101" t="s">
        <v>80</v>
      </c>
      <c r="AS6101" t="s">
        <v>81</v>
      </c>
      <c r="AT6101" t="s">
        <v>58</v>
      </c>
      <c r="AU6101" t="s">
        <v>68</v>
      </c>
      <c r="AV6101" t="s">
        <v>69</v>
      </c>
      <c r="AW6101" s="1">
        <v>29080</v>
      </c>
      <c r="AX6101">
        <v>1</v>
      </c>
    </row>
    <row r="6102" spans="1:50">
      <c r="A6102">
        <v>613235</v>
      </c>
      <c r="B6102" t="str">
        <f>"100116282"</f>
        <v>100116282</v>
      </c>
      <c r="C6102" t="s">
        <v>50</v>
      </c>
      <c r="D6102" t="s">
        <v>10534</v>
      </c>
      <c r="E6102" t="s">
        <v>473</v>
      </c>
      <c r="F6102" t="s">
        <v>106</v>
      </c>
      <c r="G6102" t="s">
        <v>52</v>
      </c>
      <c r="H6102" t="str">
        <f>"Ν.ΚΡΑΣΑΔΑΚΗ 44 ΗΡΑΚΛΕΙΟ"</f>
        <v>Ν.ΚΡΑΣΑΔΑΚΗ 44 ΗΡΑΚΛΕΙΟ</v>
      </c>
      <c r="I6102">
        <v>71409</v>
      </c>
      <c r="J6102">
        <v>2810236583</v>
      </c>
      <c r="K6102">
        <v>6973613243</v>
      </c>
      <c r="N6102" t="s">
        <v>615</v>
      </c>
      <c r="O6102" t="s">
        <v>616</v>
      </c>
      <c r="R6102" t="s">
        <v>57</v>
      </c>
      <c r="S6102">
        <v>6</v>
      </c>
      <c r="T6102">
        <v>598</v>
      </c>
      <c r="U6102" s="1">
        <v>39310</v>
      </c>
      <c r="V6102" t="s">
        <v>80</v>
      </c>
      <c r="W6102" t="s">
        <v>81</v>
      </c>
      <c r="X6102" t="s">
        <v>58</v>
      </c>
      <c r="Y6102">
        <v>23</v>
      </c>
      <c r="Z6102" t="s">
        <v>59</v>
      </c>
      <c r="AA6102" t="s">
        <v>59</v>
      </c>
      <c r="AB6102" t="s">
        <v>59</v>
      </c>
      <c r="AC6102" t="s">
        <v>59</v>
      </c>
      <c r="AD6102" t="s">
        <v>59</v>
      </c>
      <c r="AF6102" s="1">
        <v>39328</v>
      </c>
      <c r="AG6102" t="s">
        <v>8645</v>
      </c>
      <c r="AH6102" t="s">
        <v>8646</v>
      </c>
      <c r="AI6102" t="str">
        <f>"9521411"</f>
        <v>9521411</v>
      </c>
      <c r="AJ6102" t="s">
        <v>9007</v>
      </c>
      <c r="AK6102">
        <v>2810824954</v>
      </c>
      <c r="AL6102" t="s">
        <v>9008</v>
      </c>
      <c r="AM6102" t="s">
        <v>78</v>
      </c>
      <c r="AN6102" t="s">
        <v>129</v>
      </c>
      <c r="AO6102" t="s">
        <v>130</v>
      </c>
      <c r="AP6102" t="s">
        <v>130</v>
      </c>
      <c r="AQ6102">
        <v>1</v>
      </c>
      <c r="AR6102" t="s">
        <v>80</v>
      </c>
      <c r="AS6102" t="s">
        <v>81</v>
      </c>
      <c r="AT6102" t="s">
        <v>58</v>
      </c>
      <c r="AU6102" t="s">
        <v>68</v>
      </c>
      <c r="AV6102" t="s">
        <v>69</v>
      </c>
      <c r="AW6102" s="1">
        <v>29707</v>
      </c>
      <c r="AX6102">
        <v>1</v>
      </c>
    </row>
    <row r="6103" spans="1:50">
      <c r="A6103">
        <v>584317</v>
      </c>
      <c r="B6103" t="str">
        <f>"035223489"</f>
        <v>035223489</v>
      </c>
      <c r="C6103" t="s">
        <v>50</v>
      </c>
      <c r="D6103" t="s">
        <v>10534</v>
      </c>
      <c r="E6103" t="s">
        <v>10535</v>
      </c>
      <c r="F6103" t="s">
        <v>631</v>
      </c>
      <c r="G6103" t="s">
        <v>7635</v>
      </c>
      <c r="H6103" t="str">
        <f>"ΚΟΜΜΟΥ 5 ΓΟΥΡΝΕΣ ΗΡΑΚΛΕΙΟΥ"</f>
        <v>ΚΟΜΜΟΥ 5 ΓΟΥΡΝΕΣ ΗΡΑΚΛΕΙΟΥ</v>
      </c>
      <c r="I6103">
        <v>71500</v>
      </c>
      <c r="J6103">
        <v>2810542491</v>
      </c>
      <c r="K6103">
        <v>6944577471</v>
      </c>
      <c r="N6103" t="s">
        <v>615</v>
      </c>
      <c r="O6103" t="s">
        <v>616</v>
      </c>
      <c r="R6103" t="s">
        <v>57</v>
      </c>
      <c r="S6103">
        <v>10</v>
      </c>
      <c r="T6103">
        <v>165</v>
      </c>
      <c r="U6103" s="1">
        <v>36040</v>
      </c>
      <c r="V6103" t="s">
        <v>80</v>
      </c>
      <c r="W6103" t="s">
        <v>81</v>
      </c>
      <c r="X6103" t="s">
        <v>58</v>
      </c>
      <c r="Y6103">
        <v>21</v>
      </c>
      <c r="Z6103" t="s">
        <v>59</v>
      </c>
      <c r="AA6103" t="s">
        <v>59</v>
      </c>
      <c r="AB6103" t="s">
        <v>59</v>
      </c>
      <c r="AC6103" t="s">
        <v>59</v>
      </c>
      <c r="AD6103" t="s">
        <v>59</v>
      </c>
      <c r="AF6103" s="1">
        <v>36040</v>
      </c>
      <c r="AG6103" t="s">
        <v>8645</v>
      </c>
      <c r="AH6103" t="s">
        <v>8646</v>
      </c>
      <c r="AI6103" t="str">
        <f>"9170575"</f>
        <v>9170575</v>
      </c>
      <c r="AJ6103" t="s">
        <v>8748</v>
      </c>
      <c r="AK6103">
        <v>2810260772</v>
      </c>
      <c r="AL6103" t="s">
        <v>8749</v>
      </c>
      <c r="AM6103" t="s">
        <v>78</v>
      </c>
      <c r="AN6103" t="s">
        <v>78</v>
      </c>
      <c r="AO6103" t="s">
        <v>78</v>
      </c>
      <c r="AP6103" t="s">
        <v>141</v>
      </c>
      <c r="AQ6103">
        <v>1</v>
      </c>
      <c r="AR6103" t="s">
        <v>80</v>
      </c>
      <c r="AS6103" t="s">
        <v>81</v>
      </c>
      <c r="AT6103" t="s">
        <v>58</v>
      </c>
      <c r="AU6103" t="s">
        <v>68</v>
      </c>
      <c r="AV6103" t="s">
        <v>69</v>
      </c>
      <c r="AW6103" s="1">
        <v>23541</v>
      </c>
      <c r="AX6103">
        <v>1</v>
      </c>
    </row>
    <row r="6104" spans="1:50">
      <c r="A6104">
        <v>574313</v>
      </c>
      <c r="B6104" t="str">
        <f>"118917223"</f>
        <v>118917223</v>
      </c>
      <c r="C6104" t="s">
        <v>50</v>
      </c>
      <c r="D6104" t="s">
        <v>5074</v>
      </c>
      <c r="E6104" t="s">
        <v>52</v>
      </c>
      <c r="F6104" t="s">
        <v>377</v>
      </c>
      <c r="G6104" t="s">
        <v>255</v>
      </c>
      <c r="H6104" t="str">
        <f>"ΑΝΑΓΓΕΝΗΣΕΩΣ 42 ΗΡΑΚΛΕΙΟ"</f>
        <v>ΑΝΑΓΓΕΝΗΣΕΩΣ 42 ΗΡΑΚΛΕΙΟ</v>
      </c>
      <c r="I6104">
        <v>71304</v>
      </c>
      <c r="J6104">
        <v>2810319518</v>
      </c>
      <c r="K6104">
        <v>6947664894</v>
      </c>
      <c r="M6104" t="s">
        <v>10536</v>
      </c>
      <c r="N6104" t="s">
        <v>615</v>
      </c>
      <c r="O6104" t="s">
        <v>616</v>
      </c>
      <c r="R6104" t="s">
        <v>57</v>
      </c>
      <c r="S6104">
        <v>12</v>
      </c>
      <c r="T6104">
        <v>160</v>
      </c>
      <c r="U6104" s="1">
        <v>34582</v>
      </c>
      <c r="V6104" t="s">
        <v>80</v>
      </c>
      <c r="W6104" t="s">
        <v>81</v>
      </c>
      <c r="X6104" t="s">
        <v>58</v>
      </c>
      <c r="Y6104">
        <v>21</v>
      </c>
      <c r="Z6104" t="s">
        <v>59</v>
      </c>
      <c r="AA6104" t="s">
        <v>59</v>
      </c>
      <c r="AB6104" t="s">
        <v>59</v>
      </c>
      <c r="AC6104" t="s">
        <v>59</v>
      </c>
      <c r="AD6104" t="s">
        <v>59</v>
      </c>
      <c r="AF6104" s="1">
        <v>34582</v>
      </c>
      <c r="AG6104" t="s">
        <v>8645</v>
      </c>
      <c r="AH6104" t="s">
        <v>8646</v>
      </c>
      <c r="AI6104" t="str">
        <f>"9170056"</f>
        <v>9170056</v>
      </c>
      <c r="AJ6104" t="s">
        <v>9137</v>
      </c>
      <c r="AK6104">
        <v>2810253392</v>
      </c>
      <c r="AL6104" t="s">
        <v>9138</v>
      </c>
      <c r="AM6104" t="s">
        <v>78</v>
      </c>
      <c r="AN6104" t="s">
        <v>78</v>
      </c>
      <c r="AO6104" t="s">
        <v>78</v>
      </c>
      <c r="AP6104" t="s">
        <v>141</v>
      </c>
      <c r="AQ6104">
        <v>1</v>
      </c>
      <c r="AR6104" t="s">
        <v>80</v>
      </c>
      <c r="AS6104" t="s">
        <v>81</v>
      </c>
      <c r="AT6104" t="s">
        <v>58</v>
      </c>
      <c r="AU6104" t="s">
        <v>68</v>
      </c>
      <c r="AV6104" t="s">
        <v>69</v>
      </c>
      <c r="AW6104" s="1">
        <v>24466</v>
      </c>
      <c r="AX6104">
        <v>1</v>
      </c>
    </row>
    <row r="6105" spans="1:50">
      <c r="A6105">
        <v>604273</v>
      </c>
      <c r="B6105" t="str">
        <f>"068066503"</f>
        <v>068066503</v>
      </c>
      <c r="C6105" t="s">
        <v>50</v>
      </c>
      <c r="D6105" t="s">
        <v>5074</v>
      </c>
      <c r="E6105" t="s">
        <v>801</v>
      </c>
      <c r="F6105" t="s">
        <v>99</v>
      </c>
      <c r="G6105" t="s">
        <v>143</v>
      </c>
      <c r="H6105" t="str">
        <f>"Μ. ΛΟΥΝΤΕΜΗ 8   ΗΡΑΚΛΕΙΟ"</f>
        <v>Μ. ΛΟΥΝΤΕΜΗ 8   ΗΡΑΚΛΕΙΟ</v>
      </c>
      <c r="I6105">
        <v>71409</v>
      </c>
      <c r="J6105">
        <v>2810326460</v>
      </c>
      <c r="K6105">
        <v>6945778634</v>
      </c>
      <c r="N6105" t="s">
        <v>615</v>
      </c>
      <c r="O6105" t="s">
        <v>616</v>
      </c>
      <c r="R6105" t="s">
        <v>57</v>
      </c>
      <c r="S6105">
        <v>8</v>
      </c>
      <c r="T6105">
        <v>231</v>
      </c>
      <c r="U6105" s="1">
        <v>38230</v>
      </c>
      <c r="V6105" t="s">
        <v>80</v>
      </c>
      <c r="W6105" t="s">
        <v>81</v>
      </c>
      <c r="X6105" t="s">
        <v>58</v>
      </c>
      <c r="Y6105">
        <v>22</v>
      </c>
      <c r="Z6105" t="s">
        <v>59</v>
      </c>
      <c r="AA6105" t="s">
        <v>59</v>
      </c>
      <c r="AB6105" t="s">
        <v>59</v>
      </c>
      <c r="AC6105" t="s">
        <v>59</v>
      </c>
      <c r="AD6105" t="s">
        <v>59</v>
      </c>
      <c r="AF6105" s="1">
        <v>38231</v>
      </c>
      <c r="AG6105" t="s">
        <v>8645</v>
      </c>
      <c r="AH6105" t="s">
        <v>8646</v>
      </c>
      <c r="AI6105" t="str">
        <f>"9170120"</f>
        <v>9170120</v>
      </c>
      <c r="AJ6105" t="s">
        <v>9237</v>
      </c>
      <c r="AK6105">
        <v>2810881577</v>
      </c>
      <c r="AL6105" t="s">
        <v>9238</v>
      </c>
      <c r="AM6105" t="s">
        <v>78</v>
      </c>
      <c r="AN6105" t="s">
        <v>78</v>
      </c>
      <c r="AO6105" t="s">
        <v>78</v>
      </c>
      <c r="AP6105" t="s">
        <v>9239</v>
      </c>
      <c r="AQ6105">
        <v>1</v>
      </c>
      <c r="AR6105" t="s">
        <v>80</v>
      </c>
      <c r="AS6105" t="s">
        <v>81</v>
      </c>
      <c r="AT6105" t="s">
        <v>58</v>
      </c>
      <c r="AU6105" t="s">
        <v>68</v>
      </c>
      <c r="AV6105" t="s">
        <v>69</v>
      </c>
      <c r="AW6105" s="1">
        <v>27783</v>
      </c>
      <c r="AX6105">
        <v>1</v>
      </c>
    </row>
    <row r="6106" spans="1:50">
      <c r="A6106">
        <v>554739</v>
      </c>
      <c r="B6106" t="str">
        <f>"028031951"</f>
        <v>028031951</v>
      </c>
      <c r="C6106" t="s">
        <v>105</v>
      </c>
      <c r="D6106" t="s">
        <v>10537</v>
      </c>
      <c r="E6106" t="s">
        <v>166</v>
      </c>
      <c r="F6106" t="s">
        <v>304</v>
      </c>
      <c r="G6106" t="s">
        <v>263</v>
      </c>
      <c r="H6106" t="str">
        <f>"ΑΓ. ΠΑΡΑΣΚΕΥΗΣ 28  ΓΑΖΙ "</f>
        <v xml:space="preserve">ΑΓ. ΠΑΡΑΣΚΕΥΗΣ 28  ΓΑΖΙ </v>
      </c>
      <c r="I6106">
        <v>71414</v>
      </c>
      <c r="J6106">
        <v>2810542787</v>
      </c>
      <c r="K6106">
        <v>6945409551</v>
      </c>
      <c r="M6106" t="s">
        <v>10538</v>
      </c>
      <c r="N6106" t="s">
        <v>615</v>
      </c>
      <c r="O6106" t="s">
        <v>616</v>
      </c>
      <c r="R6106" t="s">
        <v>57</v>
      </c>
      <c r="S6106">
        <v>16</v>
      </c>
      <c r="T6106">
        <v>200</v>
      </c>
      <c r="U6106" s="1">
        <v>31656</v>
      </c>
      <c r="V6106" t="s">
        <v>80</v>
      </c>
      <c r="W6106" t="s">
        <v>81</v>
      </c>
      <c r="X6106" t="s">
        <v>58</v>
      </c>
      <c r="Y6106">
        <v>21</v>
      </c>
      <c r="Z6106" t="s">
        <v>59</v>
      </c>
      <c r="AA6106" t="s">
        <v>59</v>
      </c>
      <c r="AB6106" t="s">
        <v>59</v>
      </c>
      <c r="AC6106" t="s">
        <v>59</v>
      </c>
      <c r="AD6106" t="s">
        <v>59</v>
      </c>
      <c r="AF6106" s="1">
        <v>31666</v>
      </c>
      <c r="AG6106" t="s">
        <v>8645</v>
      </c>
      <c r="AH6106" t="s">
        <v>8646</v>
      </c>
      <c r="AI6106" t="str">
        <f>"9170580"</f>
        <v>9170580</v>
      </c>
      <c r="AJ6106" t="s">
        <v>9076</v>
      </c>
      <c r="AK6106">
        <v>2810542809</v>
      </c>
      <c r="AL6106" t="s">
        <v>9077</v>
      </c>
      <c r="AM6106" t="s">
        <v>78</v>
      </c>
      <c r="AN6106" t="s">
        <v>78</v>
      </c>
      <c r="AO6106" t="s">
        <v>78</v>
      </c>
      <c r="AP6106" t="s">
        <v>9053</v>
      </c>
      <c r="AQ6106">
        <v>1</v>
      </c>
      <c r="AR6106" t="s">
        <v>80</v>
      </c>
      <c r="AS6106" t="s">
        <v>81</v>
      </c>
      <c r="AT6106" t="s">
        <v>58</v>
      </c>
      <c r="AU6106" t="s">
        <v>68</v>
      </c>
      <c r="AV6106" t="s">
        <v>69</v>
      </c>
      <c r="AW6106" s="1">
        <v>22908</v>
      </c>
      <c r="AX6106">
        <v>1</v>
      </c>
    </row>
    <row r="6107" spans="1:50">
      <c r="A6107">
        <v>585276</v>
      </c>
      <c r="B6107" t="str">
        <f>"035922610"</f>
        <v>035922610</v>
      </c>
      <c r="C6107" t="s">
        <v>105</v>
      </c>
      <c r="D6107" t="s">
        <v>10537</v>
      </c>
      <c r="E6107" t="s">
        <v>53</v>
      </c>
      <c r="F6107" t="s">
        <v>304</v>
      </c>
      <c r="G6107" t="s">
        <v>263</v>
      </c>
      <c r="H6107" t="str">
        <f>"Α. ΕΜΠΕΙΡΙΚΟΥ 15 ΗΡΑΚΛΕΙΟ"</f>
        <v>Α. ΕΜΠΕΙΡΙΚΟΥ 15 ΗΡΑΚΛΕΙΟ</v>
      </c>
      <c r="I6107">
        <v>71303</v>
      </c>
      <c r="J6107">
        <v>2810721585</v>
      </c>
      <c r="K6107">
        <v>6974498558</v>
      </c>
      <c r="M6107" t="s">
        <v>8930</v>
      </c>
      <c r="N6107" t="s">
        <v>615</v>
      </c>
      <c r="O6107" t="s">
        <v>616</v>
      </c>
      <c r="P6107" t="s">
        <v>3715</v>
      </c>
      <c r="Q6107" t="s">
        <v>3716</v>
      </c>
      <c r="R6107" t="s">
        <v>57</v>
      </c>
      <c r="S6107">
        <v>11</v>
      </c>
      <c r="T6107">
        <v>165</v>
      </c>
      <c r="U6107" s="1">
        <v>36040</v>
      </c>
      <c r="V6107" t="s">
        <v>80</v>
      </c>
      <c r="W6107" t="s">
        <v>81</v>
      </c>
      <c r="X6107" t="s">
        <v>58</v>
      </c>
      <c r="Y6107">
        <v>21</v>
      </c>
      <c r="Z6107" t="s">
        <v>59</v>
      </c>
      <c r="AA6107" t="s">
        <v>59</v>
      </c>
      <c r="AB6107" t="s">
        <v>59</v>
      </c>
      <c r="AC6107" t="s">
        <v>59</v>
      </c>
      <c r="AD6107" t="s">
        <v>59</v>
      </c>
      <c r="AF6107" s="1">
        <v>36040</v>
      </c>
      <c r="AG6107" t="s">
        <v>8645</v>
      </c>
      <c r="AH6107" t="s">
        <v>8646</v>
      </c>
      <c r="AI6107" t="str">
        <f>"9170055"</f>
        <v>9170055</v>
      </c>
      <c r="AJ6107" t="s">
        <v>8836</v>
      </c>
      <c r="AK6107">
        <v>2810255097</v>
      </c>
      <c r="AL6107" t="s">
        <v>8837</v>
      </c>
      <c r="AM6107" t="s">
        <v>78</v>
      </c>
      <c r="AN6107" t="s">
        <v>78</v>
      </c>
      <c r="AO6107" t="s">
        <v>78</v>
      </c>
      <c r="AP6107" t="s">
        <v>141</v>
      </c>
      <c r="AQ6107">
        <v>1</v>
      </c>
      <c r="AR6107" t="s">
        <v>80</v>
      </c>
      <c r="AS6107" t="s">
        <v>81</v>
      </c>
      <c r="AT6107" t="s">
        <v>58</v>
      </c>
      <c r="AU6107" t="s">
        <v>68</v>
      </c>
      <c r="AV6107" t="s">
        <v>69</v>
      </c>
      <c r="AW6107" s="1">
        <v>23344</v>
      </c>
      <c r="AX6107">
        <v>1</v>
      </c>
    </row>
    <row r="6108" spans="1:50">
      <c r="A6108">
        <v>585350</v>
      </c>
      <c r="B6108" t="str">
        <f>"053772369"</f>
        <v>053772369</v>
      </c>
      <c r="C6108" t="s">
        <v>105</v>
      </c>
      <c r="D6108" t="s">
        <v>10539</v>
      </c>
      <c r="E6108" t="s">
        <v>99</v>
      </c>
      <c r="F6108" t="s">
        <v>7749</v>
      </c>
      <c r="G6108" t="s">
        <v>73</v>
      </c>
      <c r="H6108" t="str">
        <f>"ΔΑΜΒΕΡΓΗΔΩΝ 8 ΗΡΑΚΛΕΙΟ"</f>
        <v>ΔΑΜΒΕΡΓΗΔΩΝ 8 ΗΡΑΚΛΕΙΟ</v>
      </c>
      <c r="I6108">
        <v>71305</v>
      </c>
      <c r="J6108">
        <v>2811112758</v>
      </c>
      <c r="K6108">
        <v>6936678002</v>
      </c>
      <c r="M6108" t="s">
        <v>10540</v>
      </c>
      <c r="N6108" t="s">
        <v>615</v>
      </c>
      <c r="O6108" t="s">
        <v>616</v>
      </c>
      <c r="R6108" t="s">
        <v>57</v>
      </c>
      <c r="S6108">
        <v>10</v>
      </c>
      <c r="T6108">
        <v>165</v>
      </c>
      <c r="U6108" s="1">
        <v>36040</v>
      </c>
      <c r="V6108" t="s">
        <v>80</v>
      </c>
      <c r="W6108" t="s">
        <v>81</v>
      </c>
      <c r="X6108" t="s">
        <v>58</v>
      </c>
      <c r="Y6108">
        <v>21</v>
      </c>
      <c r="Z6108" t="s">
        <v>59</v>
      </c>
      <c r="AA6108" t="s">
        <v>59</v>
      </c>
      <c r="AB6108" t="s">
        <v>59</v>
      </c>
      <c r="AC6108" t="s">
        <v>59</v>
      </c>
      <c r="AD6108" t="s">
        <v>59</v>
      </c>
      <c r="AF6108" s="1">
        <v>36042</v>
      </c>
      <c r="AG6108" t="s">
        <v>8645</v>
      </c>
      <c r="AH6108" t="s">
        <v>8646</v>
      </c>
      <c r="AI6108" t="str">
        <f>"9170113"</f>
        <v>9170113</v>
      </c>
      <c r="AJ6108" t="s">
        <v>8846</v>
      </c>
      <c r="AK6108">
        <v>2810226174</v>
      </c>
      <c r="AL6108" t="s">
        <v>8847</v>
      </c>
      <c r="AM6108" t="s">
        <v>78</v>
      </c>
      <c r="AN6108" t="s">
        <v>78</v>
      </c>
      <c r="AO6108" t="s">
        <v>78</v>
      </c>
      <c r="AP6108" t="s">
        <v>79</v>
      </c>
      <c r="AQ6108">
        <v>1</v>
      </c>
      <c r="AR6108" t="s">
        <v>80</v>
      </c>
      <c r="AS6108" t="s">
        <v>81</v>
      </c>
      <c r="AT6108" t="s">
        <v>58</v>
      </c>
      <c r="AU6108" t="s">
        <v>68</v>
      </c>
      <c r="AV6108" t="s">
        <v>69</v>
      </c>
      <c r="AW6108" s="1">
        <v>24715</v>
      </c>
      <c r="AX6108">
        <v>1</v>
      </c>
    </row>
    <row r="6109" spans="1:50">
      <c r="B6109" t="str">
        <f>"064466199"</f>
        <v>064466199</v>
      </c>
      <c r="C6109" t="s">
        <v>105</v>
      </c>
      <c r="D6109" t="s">
        <v>10539</v>
      </c>
      <c r="E6109" t="s">
        <v>1093</v>
      </c>
      <c r="F6109" t="s">
        <v>7749</v>
      </c>
      <c r="G6109" t="s">
        <v>73</v>
      </c>
      <c r="H6109" t="str">
        <f>"ΕΡΩΦΙΛΗΣ 10 ΗΡΑΚΛΕΙΟ"</f>
        <v>ΕΡΩΦΙΛΗΣ 10 ΗΡΑΚΛΕΙΟ</v>
      </c>
      <c r="I6109">
        <v>71305</v>
      </c>
      <c r="J6109">
        <v>2811111119</v>
      </c>
      <c r="K6109">
        <v>6979631665</v>
      </c>
      <c r="N6109" t="s">
        <v>615</v>
      </c>
      <c r="O6109" t="s">
        <v>616</v>
      </c>
      <c r="R6109" t="s">
        <v>159</v>
      </c>
      <c r="S6109">
        <v>7</v>
      </c>
      <c r="T6109" t="s">
        <v>8675</v>
      </c>
      <c r="U6109" s="1">
        <v>43348</v>
      </c>
      <c r="V6109" t="s">
        <v>80</v>
      </c>
      <c r="W6109" t="s">
        <v>81</v>
      </c>
      <c r="X6109" t="s">
        <v>58</v>
      </c>
      <c r="Y6109">
        <v>24</v>
      </c>
      <c r="Z6109" t="s">
        <v>59</v>
      </c>
      <c r="AA6109" t="s">
        <v>59</v>
      </c>
      <c r="AB6109" t="s">
        <v>59</v>
      </c>
      <c r="AC6109" t="s">
        <v>59</v>
      </c>
      <c r="AD6109" t="s">
        <v>59</v>
      </c>
      <c r="AF6109" s="1">
        <v>43348</v>
      </c>
      <c r="AG6109" t="s">
        <v>8645</v>
      </c>
      <c r="AH6109" t="s">
        <v>10523</v>
      </c>
      <c r="AI6109" t="str">
        <f>"9521476"</f>
        <v>9521476</v>
      </c>
      <c r="AJ6109" t="s">
        <v>10524</v>
      </c>
      <c r="AK6109">
        <v>2810301780</v>
      </c>
      <c r="AL6109" t="s">
        <v>10525</v>
      </c>
      <c r="AM6109" t="s">
        <v>78</v>
      </c>
      <c r="AN6109" t="s">
        <v>78</v>
      </c>
      <c r="AO6109" t="s">
        <v>78</v>
      </c>
      <c r="AP6109" t="s">
        <v>79</v>
      </c>
      <c r="AQ6109">
        <v>1</v>
      </c>
      <c r="AR6109" t="s">
        <v>80</v>
      </c>
      <c r="AS6109" t="s">
        <v>81</v>
      </c>
      <c r="AT6109" t="s">
        <v>58</v>
      </c>
      <c r="AU6109" t="s">
        <v>8673</v>
      </c>
      <c r="AV6109" t="s">
        <v>132</v>
      </c>
      <c r="AW6109" s="1">
        <v>26129</v>
      </c>
      <c r="AX6109">
        <v>1</v>
      </c>
    </row>
    <row r="6110" spans="1:50">
      <c r="A6110">
        <v>574347</v>
      </c>
      <c r="B6110" t="str">
        <f>"043583194"</f>
        <v>043583194</v>
      </c>
      <c r="C6110" t="s">
        <v>50</v>
      </c>
      <c r="D6110" t="s">
        <v>2530</v>
      </c>
      <c r="E6110" t="s">
        <v>513</v>
      </c>
      <c r="F6110" t="s">
        <v>166</v>
      </c>
      <c r="G6110" t="s">
        <v>1361</v>
      </c>
      <c r="H6110" t="str">
        <f>"ΙΩΝΙΑΣ 39 ΗΡΑΚΛΕΙΟ"</f>
        <v>ΙΩΝΙΑΣ 39 ΗΡΑΚΛΕΙΟ</v>
      </c>
      <c r="J6110">
        <v>2810320482</v>
      </c>
      <c r="K6110">
        <v>6943789091</v>
      </c>
      <c r="N6110" t="s">
        <v>615</v>
      </c>
      <c r="O6110" t="s">
        <v>616</v>
      </c>
      <c r="R6110" t="s">
        <v>57</v>
      </c>
      <c r="S6110">
        <v>11</v>
      </c>
      <c r="T6110">
        <v>160</v>
      </c>
      <c r="U6110" s="1">
        <v>34582</v>
      </c>
      <c r="V6110" t="s">
        <v>80</v>
      </c>
      <c r="W6110" t="s">
        <v>81</v>
      </c>
      <c r="X6110" t="s">
        <v>58</v>
      </c>
      <c r="Y6110">
        <v>21</v>
      </c>
      <c r="Z6110" t="s">
        <v>59</v>
      </c>
      <c r="AA6110" t="s">
        <v>59</v>
      </c>
      <c r="AB6110" t="s">
        <v>59</v>
      </c>
      <c r="AC6110" t="s">
        <v>59</v>
      </c>
      <c r="AD6110" t="s">
        <v>59</v>
      </c>
      <c r="AF6110" s="1">
        <v>34939</v>
      </c>
      <c r="AG6110" t="s">
        <v>8645</v>
      </c>
      <c r="AH6110" t="s">
        <v>8646</v>
      </c>
      <c r="AI6110" t="str">
        <f>"9170113"</f>
        <v>9170113</v>
      </c>
      <c r="AJ6110" t="s">
        <v>8846</v>
      </c>
      <c r="AK6110">
        <v>2810226174</v>
      </c>
      <c r="AL6110" t="s">
        <v>8847</v>
      </c>
      <c r="AM6110" t="s">
        <v>78</v>
      </c>
      <c r="AN6110" t="s">
        <v>78</v>
      </c>
      <c r="AO6110" t="s">
        <v>78</v>
      </c>
      <c r="AP6110" t="s">
        <v>79</v>
      </c>
      <c r="AQ6110">
        <v>1</v>
      </c>
      <c r="AR6110" t="s">
        <v>80</v>
      </c>
      <c r="AS6110" t="s">
        <v>81</v>
      </c>
      <c r="AT6110" t="s">
        <v>58</v>
      </c>
      <c r="AU6110" t="s">
        <v>68</v>
      </c>
      <c r="AV6110" t="s">
        <v>69</v>
      </c>
      <c r="AW6110" s="1">
        <v>23869</v>
      </c>
      <c r="AX6110">
        <v>1</v>
      </c>
    </row>
    <row r="6111" spans="1:50">
      <c r="A6111">
        <v>600945</v>
      </c>
      <c r="B6111" t="str">
        <f>"062531314"</f>
        <v>062531314</v>
      </c>
      <c r="C6111" t="s">
        <v>50</v>
      </c>
      <c r="D6111" t="s">
        <v>2530</v>
      </c>
      <c r="E6111" t="s">
        <v>112</v>
      </c>
      <c r="F6111" t="s">
        <v>53</v>
      </c>
      <c r="G6111" t="s">
        <v>250</v>
      </c>
      <c r="H6111" t="str">
        <f>"ΚΟΡΥΤΣΑΣ 70 ΗΡΑΚΛΕΙΟ"</f>
        <v>ΚΟΡΥΤΣΑΣ 70 ΗΡΑΚΛΕΙΟ</v>
      </c>
      <c r="I6111">
        <v>71307</v>
      </c>
      <c r="J6111">
        <v>2810811919</v>
      </c>
      <c r="K6111">
        <v>6977239397</v>
      </c>
      <c r="M6111" t="s">
        <v>10541</v>
      </c>
      <c r="N6111" t="s">
        <v>615</v>
      </c>
      <c r="O6111" t="s">
        <v>616</v>
      </c>
      <c r="R6111" t="s">
        <v>57</v>
      </c>
      <c r="S6111">
        <v>8</v>
      </c>
      <c r="T6111">
        <v>207</v>
      </c>
      <c r="U6111" s="1">
        <v>37866</v>
      </c>
      <c r="V6111" t="s">
        <v>80</v>
      </c>
      <c r="W6111" t="s">
        <v>81</v>
      </c>
      <c r="X6111" t="s">
        <v>58</v>
      </c>
      <c r="Y6111">
        <v>22</v>
      </c>
      <c r="Z6111" t="s">
        <v>59</v>
      </c>
      <c r="AA6111" t="s">
        <v>59</v>
      </c>
      <c r="AB6111" t="s">
        <v>59</v>
      </c>
      <c r="AC6111" t="s">
        <v>59</v>
      </c>
      <c r="AD6111" t="s">
        <v>59</v>
      </c>
      <c r="AF6111" s="1">
        <v>37866</v>
      </c>
      <c r="AG6111" t="s">
        <v>8645</v>
      </c>
      <c r="AH6111" t="s">
        <v>8646</v>
      </c>
      <c r="AI6111" t="str">
        <f>"9170259"</f>
        <v>9170259</v>
      </c>
      <c r="AJ6111" t="s">
        <v>8784</v>
      </c>
      <c r="AK6111">
        <v>6994891960</v>
      </c>
      <c r="AL6111" t="s">
        <v>8785</v>
      </c>
      <c r="AM6111" t="s">
        <v>78</v>
      </c>
      <c r="AN6111" t="s">
        <v>78</v>
      </c>
      <c r="AO6111" t="s">
        <v>78</v>
      </c>
      <c r="AP6111" t="s">
        <v>213</v>
      </c>
      <c r="AQ6111">
        <v>1</v>
      </c>
      <c r="AR6111" t="s">
        <v>80</v>
      </c>
      <c r="AS6111" t="s">
        <v>81</v>
      </c>
      <c r="AT6111" t="s">
        <v>58</v>
      </c>
      <c r="AU6111" t="s">
        <v>68</v>
      </c>
      <c r="AV6111" t="s">
        <v>69</v>
      </c>
      <c r="AW6111" s="1">
        <v>27702</v>
      </c>
      <c r="AX6111">
        <v>1</v>
      </c>
    </row>
    <row r="6112" spans="1:50">
      <c r="A6112">
        <v>585919</v>
      </c>
      <c r="B6112" t="str">
        <f>"029788472"</f>
        <v>029788472</v>
      </c>
      <c r="C6112" t="s">
        <v>50</v>
      </c>
      <c r="D6112" t="s">
        <v>2530</v>
      </c>
      <c r="E6112" t="s">
        <v>255</v>
      </c>
      <c r="F6112" t="s">
        <v>106</v>
      </c>
      <c r="G6112" t="s">
        <v>3866</v>
      </c>
      <c r="H6112" t="str">
        <f>"ΔΩΣΙΑΔΗ 14 ΗΡΑΚΛΕΙΟ"</f>
        <v>ΔΩΣΙΑΔΗ 14 ΗΡΑΚΛΕΙΟ</v>
      </c>
      <c r="I6112">
        <v>71409</v>
      </c>
      <c r="J6112">
        <v>2810211760</v>
      </c>
      <c r="K6112">
        <v>6936529898</v>
      </c>
      <c r="M6112" t="s">
        <v>10542</v>
      </c>
      <c r="N6112" t="s">
        <v>615</v>
      </c>
      <c r="O6112" t="s">
        <v>616</v>
      </c>
      <c r="R6112" t="s">
        <v>57</v>
      </c>
      <c r="S6112">
        <v>11</v>
      </c>
      <c r="T6112">
        <v>165</v>
      </c>
      <c r="U6112" s="1">
        <v>36040</v>
      </c>
      <c r="V6112" t="s">
        <v>80</v>
      </c>
      <c r="W6112" t="s">
        <v>81</v>
      </c>
      <c r="X6112" t="s">
        <v>58</v>
      </c>
      <c r="Y6112">
        <v>21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F6112" s="1">
        <v>36045</v>
      </c>
      <c r="AG6112" t="s">
        <v>8645</v>
      </c>
      <c r="AH6112" t="s">
        <v>8646</v>
      </c>
      <c r="AI6112" t="str">
        <f>"9170109"</f>
        <v>9170109</v>
      </c>
      <c r="AJ6112" t="s">
        <v>9056</v>
      </c>
      <c r="AK6112">
        <v>2810212659</v>
      </c>
      <c r="AL6112" t="s">
        <v>9057</v>
      </c>
      <c r="AM6112" t="s">
        <v>78</v>
      </c>
      <c r="AN6112" t="s">
        <v>78</v>
      </c>
      <c r="AO6112" t="s">
        <v>78</v>
      </c>
      <c r="AP6112" t="s">
        <v>163</v>
      </c>
      <c r="AQ6112">
        <v>1</v>
      </c>
      <c r="AR6112" t="s">
        <v>80</v>
      </c>
      <c r="AS6112" t="s">
        <v>81</v>
      </c>
      <c r="AT6112" t="s">
        <v>58</v>
      </c>
      <c r="AU6112" t="s">
        <v>68</v>
      </c>
      <c r="AV6112" t="s">
        <v>69</v>
      </c>
      <c r="AW6112" s="1">
        <v>24740</v>
      </c>
      <c r="AX6112">
        <v>1</v>
      </c>
    </row>
    <row r="6113" spans="1:50">
      <c r="A6113">
        <v>557503</v>
      </c>
      <c r="B6113" t="str">
        <f>"032638573"</f>
        <v>032638573</v>
      </c>
      <c r="C6113" t="s">
        <v>105</v>
      </c>
      <c r="D6113" t="s">
        <v>6201</v>
      </c>
      <c r="E6113" t="s">
        <v>72</v>
      </c>
      <c r="F6113" t="s">
        <v>4318</v>
      </c>
      <c r="G6113" t="s">
        <v>52</v>
      </c>
      <c r="H6113" t="str">
        <f>"Αθανασίου Διάκου 10 Ν.Αλικαρνασσός"</f>
        <v>Αθανασίου Διάκου 10 Ν.Αλικαρνασσός</v>
      </c>
      <c r="J6113">
        <v>2810229059</v>
      </c>
      <c r="K6113">
        <v>6973266791</v>
      </c>
      <c r="M6113" t="s">
        <v>10543</v>
      </c>
      <c r="N6113" t="s">
        <v>615</v>
      </c>
      <c r="O6113" t="s">
        <v>616</v>
      </c>
      <c r="R6113" t="s">
        <v>57</v>
      </c>
      <c r="S6113">
        <v>15</v>
      </c>
      <c r="T6113">
        <v>168</v>
      </c>
      <c r="U6113" s="1">
        <v>32010</v>
      </c>
      <c r="V6113" t="s">
        <v>80</v>
      </c>
      <c r="W6113" t="s">
        <v>81</v>
      </c>
      <c r="X6113" t="s">
        <v>58</v>
      </c>
      <c r="Y6113">
        <v>21</v>
      </c>
      <c r="Z6113" t="s">
        <v>59</v>
      </c>
      <c r="AA6113" t="s">
        <v>59</v>
      </c>
      <c r="AB6113" t="s">
        <v>59</v>
      </c>
      <c r="AC6113" t="s">
        <v>59</v>
      </c>
      <c r="AD6113" t="s">
        <v>59</v>
      </c>
      <c r="AF6113" s="1">
        <v>32023</v>
      </c>
      <c r="AG6113" t="s">
        <v>8645</v>
      </c>
      <c r="AH6113" t="s">
        <v>8646</v>
      </c>
      <c r="AI6113" t="str">
        <f>"9170263"</f>
        <v>9170263</v>
      </c>
      <c r="AJ6113" t="s">
        <v>8942</v>
      </c>
      <c r="AK6113">
        <v>2810346939</v>
      </c>
      <c r="AL6113" t="s">
        <v>8943</v>
      </c>
      <c r="AM6113" t="s">
        <v>78</v>
      </c>
      <c r="AN6113" t="s">
        <v>78</v>
      </c>
      <c r="AO6113" t="s">
        <v>286</v>
      </c>
      <c r="AP6113" t="s">
        <v>286</v>
      </c>
      <c r="AQ6113">
        <v>1</v>
      </c>
      <c r="AR6113" t="s">
        <v>80</v>
      </c>
      <c r="AS6113" t="s">
        <v>81</v>
      </c>
      <c r="AT6113" t="s">
        <v>58</v>
      </c>
      <c r="AU6113" t="s">
        <v>68</v>
      </c>
      <c r="AV6113" t="s">
        <v>69</v>
      </c>
      <c r="AW6113" s="1">
        <v>22935</v>
      </c>
      <c r="AX6113">
        <v>1</v>
      </c>
    </row>
    <row r="6114" spans="1:50">
      <c r="A6114">
        <v>588879</v>
      </c>
      <c r="B6114" t="str">
        <f>"103520512"</f>
        <v>103520512</v>
      </c>
      <c r="C6114" t="s">
        <v>50</v>
      </c>
      <c r="D6114" t="s">
        <v>6204</v>
      </c>
      <c r="E6114" t="s">
        <v>250</v>
      </c>
      <c r="F6114" t="s">
        <v>10544</v>
      </c>
      <c r="G6114" t="s">
        <v>83</v>
      </c>
      <c r="H6114" t="str">
        <f>"ΘΕΟΓΝΗ  10 ΑΓ  ΙΩΑΝΝΗΣ - ΗΡΑΚΛΕΙΟΥ"</f>
        <v>ΘΕΟΓΝΗ  10 ΑΓ  ΙΩΑΝΝΗΣ - ΗΡΑΚΛΕΙΟΥ</v>
      </c>
      <c r="I6114">
        <v>71409</v>
      </c>
      <c r="J6114">
        <v>2810763129</v>
      </c>
      <c r="K6114">
        <v>6946125511</v>
      </c>
      <c r="N6114" t="s">
        <v>615</v>
      </c>
      <c r="O6114" t="s">
        <v>616</v>
      </c>
      <c r="R6114" t="s">
        <v>57</v>
      </c>
      <c r="S6114">
        <v>11</v>
      </c>
      <c r="T6114">
        <v>176</v>
      </c>
      <c r="U6114" s="1">
        <v>36403</v>
      </c>
      <c r="V6114" t="s">
        <v>80</v>
      </c>
      <c r="W6114" t="s">
        <v>81</v>
      </c>
      <c r="X6114" t="s">
        <v>58</v>
      </c>
      <c r="Y6114">
        <v>21</v>
      </c>
      <c r="Z6114" t="s">
        <v>59</v>
      </c>
      <c r="AA6114" t="s">
        <v>59</v>
      </c>
      <c r="AB6114" t="s">
        <v>59</v>
      </c>
      <c r="AC6114" t="s">
        <v>59</v>
      </c>
      <c r="AD6114" t="s">
        <v>59</v>
      </c>
      <c r="AF6114" s="1">
        <v>36404</v>
      </c>
      <c r="AG6114" t="s">
        <v>8645</v>
      </c>
      <c r="AH6114" t="s">
        <v>8646</v>
      </c>
      <c r="AI6114" t="str">
        <f>"9170427"</f>
        <v>9170427</v>
      </c>
      <c r="AJ6114" t="s">
        <v>8817</v>
      </c>
      <c r="AK6114">
        <v>2810220998</v>
      </c>
      <c r="AL6114" t="s">
        <v>8818</v>
      </c>
      <c r="AM6114" t="s">
        <v>78</v>
      </c>
      <c r="AN6114" t="s">
        <v>78</v>
      </c>
      <c r="AO6114" t="s">
        <v>286</v>
      </c>
      <c r="AP6114" t="s">
        <v>286</v>
      </c>
      <c r="AQ6114">
        <v>1</v>
      </c>
      <c r="AR6114" t="s">
        <v>80</v>
      </c>
      <c r="AS6114" t="s">
        <v>81</v>
      </c>
      <c r="AT6114" t="s">
        <v>58</v>
      </c>
      <c r="AU6114" t="s">
        <v>68</v>
      </c>
      <c r="AV6114" t="s">
        <v>69</v>
      </c>
      <c r="AW6114" s="1">
        <v>24425</v>
      </c>
      <c r="AX6114">
        <v>1</v>
      </c>
    </row>
    <row r="6115" spans="1:50">
      <c r="A6115">
        <v>562880</v>
      </c>
      <c r="B6115" t="str">
        <f>"064712110"</f>
        <v>064712110</v>
      </c>
      <c r="C6115" t="s">
        <v>50</v>
      </c>
      <c r="D6115" t="s">
        <v>2536</v>
      </c>
      <c r="E6115" t="s">
        <v>964</v>
      </c>
      <c r="F6115" t="s">
        <v>111</v>
      </c>
      <c r="G6115" t="s">
        <v>143</v>
      </c>
      <c r="H6115" t="str">
        <f>"ΘΕΜΙΣΤΟΚΛΕΟΥΣ 17 ΗΡΑΚΛΕΙΟ"</f>
        <v>ΘΕΜΙΣΤΟΚΛΕΟΥΣ 17 ΗΡΑΚΛΕΙΟ</v>
      </c>
      <c r="I6115">
        <v>71307</v>
      </c>
      <c r="K6115">
        <v>6979845166</v>
      </c>
      <c r="N6115" t="s">
        <v>615</v>
      </c>
      <c r="O6115" t="s">
        <v>616</v>
      </c>
      <c r="R6115" t="s">
        <v>57</v>
      </c>
      <c r="S6115">
        <v>15</v>
      </c>
      <c r="T6115">
        <v>187</v>
      </c>
      <c r="U6115" s="1">
        <v>32750</v>
      </c>
      <c r="V6115" t="s">
        <v>80</v>
      </c>
      <c r="W6115" t="s">
        <v>81</v>
      </c>
      <c r="X6115" t="s">
        <v>58</v>
      </c>
      <c r="Y6115">
        <v>21</v>
      </c>
      <c r="Z6115" t="s">
        <v>59</v>
      </c>
      <c r="AA6115" t="s">
        <v>59</v>
      </c>
      <c r="AB6115" t="s">
        <v>59</v>
      </c>
      <c r="AC6115" t="s">
        <v>59</v>
      </c>
      <c r="AD6115" t="s">
        <v>59</v>
      </c>
      <c r="AF6115" s="1">
        <v>32756</v>
      </c>
      <c r="AG6115" t="s">
        <v>8645</v>
      </c>
      <c r="AH6115" t="s">
        <v>8646</v>
      </c>
      <c r="AI6115" t="str">
        <f>"9170257"</f>
        <v>9170257</v>
      </c>
      <c r="AJ6115" t="s">
        <v>8710</v>
      </c>
      <c r="AK6115">
        <v>2810245513</v>
      </c>
      <c r="AL6115" t="s">
        <v>8711</v>
      </c>
      <c r="AM6115" t="s">
        <v>78</v>
      </c>
      <c r="AN6115" t="s">
        <v>78</v>
      </c>
      <c r="AO6115" t="s">
        <v>78</v>
      </c>
      <c r="AP6115" t="s">
        <v>213</v>
      </c>
      <c r="AQ6115">
        <v>1</v>
      </c>
      <c r="AR6115" t="s">
        <v>80</v>
      </c>
      <c r="AS6115" t="s">
        <v>81</v>
      </c>
      <c r="AT6115" t="s">
        <v>58</v>
      </c>
      <c r="AU6115" t="s">
        <v>68</v>
      </c>
      <c r="AV6115" t="s">
        <v>2039</v>
      </c>
      <c r="AW6115" s="1">
        <v>23161</v>
      </c>
      <c r="AX6115">
        <v>1</v>
      </c>
    </row>
    <row r="6116" spans="1:50">
      <c r="A6116">
        <v>617418</v>
      </c>
      <c r="B6116" t="str">
        <f>"123651644"</f>
        <v>123651644</v>
      </c>
      <c r="C6116" t="s">
        <v>50</v>
      </c>
      <c r="D6116" t="s">
        <v>2536</v>
      </c>
      <c r="E6116" t="s">
        <v>1207</v>
      </c>
      <c r="F6116" t="s">
        <v>10545</v>
      </c>
      <c r="G6116" t="s">
        <v>52</v>
      </c>
      <c r="H6116" t="str">
        <f>"ΠΤΟΛΕΜΑΙΩΝ 9 ΗΡΑΚΛΕΙΟ"</f>
        <v>ΠΤΟΛΕΜΑΙΩΝ 9 ΗΡΑΚΛΕΙΟ</v>
      </c>
      <c r="I6116">
        <v>71409</v>
      </c>
      <c r="K6116">
        <v>6976327575</v>
      </c>
      <c r="M6116" t="s">
        <v>10546</v>
      </c>
      <c r="N6116" t="s">
        <v>615</v>
      </c>
      <c r="O6116" t="s">
        <v>616</v>
      </c>
      <c r="R6116" t="s">
        <v>57</v>
      </c>
      <c r="S6116">
        <v>6</v>
      </c>
      <c r="T6116">
        <v>774</v>
      </c>
      <c r="U6116" s="1">
        <v>39680</v>
      </c>
      <c r="V6116" t="s">
        <v>80</v>
      </c>
      <c r="W6116" t="s">
        <v>81</v>
      </c>
      <c r="X6116" t="s">
        <v>58</v>
      </c>
      <c r="Y6116">
        <v>23</v>
      </c>
      <c r="Z6116" t="s">
        <v>59</v>
      </c>
      <c r="AA6116" t="s">
        <v>59</v>
      </c>
      <c r="AB6116" t="s">
        <v>59</v>
      </c>
      <c r="AC6116" t="s">
        <v>59</v>
      </c>
      <c r="AD6116" t="s">
        <v>59</v>
      </c>
      <c r="AF6116" s="1">
        <v>39681</v>
      </c>
      <c r="AG6116" t="s">
        <v>8645</v>
      </c>
      <c r="AH6116" t="s">
        <v>8646</v>
      </c>
      <c r="AI6116" t="str">
        <f>"9170194"</f>
        <v>9170194</v>
      </c>
      <c r="AJ6116" t="s">
        <v>8768</v>
      </c>
      <c r="AK6116">
        <v>2810239611</v>
      </c>
      <c r="AL6116" t="s">
        <v>8769</v>
      </c>
      <c r="AM6116" t="s">
        <v>78</v>
      </c>
      <c r="AN6116" t="s">
        <v>78</v>
      </c>
      <c r="AO6116" t="s">
        <v>78</v>
      </c>
      <c r="AP6116" t="s">
        <v>213</v>
      </c>
      <c r="AQ6116">
        <v>1</v>
      </c>
      <c r="AR6116" t="s">
        <v>80</v>
      </c>
      <c r="AS6116" t="s">
        <v>81</v>
      </c>
      <c r="AT6116" t="s">
        <v>58</v>
      </c>
      <c r="AU6116" t="s">
        <v>68</v>
      </c>
      <c r="AV6116" t="s">
        <v>69</v>
      </c>
      <c r="AW6116" s="1">
        <v>30555</v>
      </c>
      <c r="AX6116">
        <v>1</v>
      </c>
    </row>
    <row r="6117" spans="1:50">
      <c r="A6117">
        <v>610724</v>
      </c>
      <c r="B6117" t="str">
        <f>"128302040"</f>
        <v>128302040</v>
      </c>
      <c r="C6117" t="s">
        <v>50</v>
      </c>
      <c r="D6117" t="s">
        <v>2536</v>
      </c>
      <c r="E6117" t="s">
        <v>83</v>
      </c>
      <c r="F6117" t="s">
        <v>95</v>
      </c>
      <c r="G6117" t="s">
        <v>237</v>
      </c>
      <c r="H6117" t="str">
        <f>"ΛΙΣΣΟΥ 24 ΘΕΡΙΣΣΟΣ ΗΡΑΚΛΕΙΟΥ"</f>
        <v>ΛΙΣΣΟΥ 24 ΘΕΡΙΣΣΟΣ ΗΡΑΚΛΕΙΟΥ</v>
      </c>
      <c r="I6117">
        <v>71304</v>
      </c>
      <c r="J6117">
        <v>2810253731</v>
      </c>
      <c r="K6117">
        <v>6977855620</v>
      </c>
      <c r="M6117" t="s">
        <v>10547</v>
      </c>
      <c r="N6117" t="s">
        <v>615</v>
      </c>
      <c r="O6117" t="s">
        <v>616</v>
      </c>
      <c r="R6117" t="s">
        <v>57</v>
      </c>
      <c r="S6117">
        <v>9</v>
      </c>
      <c r="T6117">
        <v>233</v>
      </c>
      <c r="U6117" s="1">
        <v>38960</v>
      </c>
      <c r="V6117" t="s">
        <v>80</v>
      </c>
      <c r="W6117" t="s">
        <v>81</v>
      </c>
      <c r="X6117" t="s">
        <v>58</v>
      </c>
      <c r="Y6117">
        <v>23</v>
      </c>
      <c r="Z6117" t="s">
        <v>59</v>
      </c>
      <c r="AA6117" t="s">
        <v>59</v>
      </c>
      <c r="AB6117" t="s">
        <v>59</v>
      </c>
      <c r="AC6117" t="s">
        <v>59</v>
      </c>
      <c r="AD6117" t="s">
        <v>59</v>
      </c>
      <c r="AF6117" s="1">
        <v>38961</v>
      </c>
      <c r="AG6117" t="s">
        <v>8645</v>
      </c>
      <c r="AH6117" t="s">
        <v>8646</v>
      </c>
      <c r="AI6117" t="str">
        <f>"9170055"</f>
        <v>9170055</v>
      </c>
      <c r="AJ6117" t="s">
        <v>8836</v>
      </c>
      <c r="AK6117">
        <v>2810255097</v>
      </c>
      <c r="AL6117" t="s">
        <v>8837</v>
      </c>
      <c r="AM6117" t="s">
        <v>78</v>
      </c>
      <c r="AN6117" t="s">
        <v>78</v>
      </c>
      <c r="AO6117" t="s">
        <v>78</v>
      </c>
      <c r="AP6117" t="s">
        <v>141</v>
      </c>
      <c r="AQ6117">
        <v>1</v>
      </c>
      <c r="AR6117" t="s">
        <v>80</v>
      </c>
      <c r="AS6117" t="s">
        <v>81</v>
      </c>
      <c r="AT6117" t="s">
        <v>58</v>
      </c>
      <c r="AU6117" t="s">
        <v>68</v>
      </c>
      <c r="AV6117" t="s">
        <v>69</v>
      </c>
      <c r="AW6117" s="1">
        <v>29726</v>
      </c>
      <c r="AX6117">
        <v>1</v>
      </c>
    </row>
    <row r="6118" spans="1:50">
      <c r="A6118">
        <v>567170</v>
      </c>
      <c r="B6118" t="str">
        <f>"110108726"</f>
        <v>110108726</v>
      </c>
      <c r="C6118" t="s">
        <v>50</v>
      </c>
      <c r="D6118" t="s">
        <v>2536</v>
      </c>
      <c r="E6118" t="s">
        <v>83</v>
      </c>
      <c r="F6118" t="s">
        <v>111</v>
      </c>
      <c r="G6118" t="s">
        <v>143</v>
      </c>
      <c r="H6118" t="str">
        <f>" "</f>
        <v xml:space="preserve"> </v>
      </c>
      <c r="K6118">
        <v>6942558286</v>
      </c>
      <c r="N6118" t="s">
        <v>615</v>
      </c>
      <c r="O6118" t="s">
        <v>616</v>
      </c>
      <c r="P6118" t="s">
        <v>257</v>
      </c>
      <c r="Q6118" t="s">
        <v>258</v>
      </c>
      <c r="R6118" t="s">
        <v>57</v>
      </c>
      <c r="S6118">
        <v>19</v>
      </c>
      <c r="T6118">
        <v>133</v>
      </c>
      <c r="U6118" s="1">
        <v>33456</v>
      </c>
      <c r="V6118" t="s">
        <v>80</v>
      </c>
      <c r="W6118" t="s">
        <v>81</v>
      </c>
      <c r="X6118" t="s">
        <v>58</v>
      </c>
      <c r="Y6118">
        <v>21</v>
      </c>
      <c r="Z6118" t="s">
        <v>59</v>
      </c>
      <c r="AA6118" t="s">
        <v>59</v>
      </c>
      <c r="AB6118" t="s">
        <v>59</v>
      </c>
      <c r="AC6118" t="s">
        <v>59</v>
      </c>
      <c r="AD6118" t="s">
        <v>59</v>
      </c>
      <c r="AF6118" s="1">
        <v>33485</v>
      </c>
      <c r="AG6118" t="s">
        <v>8645</v>
      </c>
      <c r="AH6118" t="s">
        <v>8646</v>
      </c>
      <c r="AI6118" t="str">
        <f>"9170198"</f>
        <v>9170198</v>
      </c>
      <c r="AJ6118" t="s">
        <v>8665</v>
      </c>
      <c r="AK6118">
        <v>2810227379</v>
      </c>
      <c r="AL6118" t="s">
        <v>8666</v>
      </c>
      <c r="AM6118" t="s">
        <v>78</v>
      </c>
      <c r="AN6118" t="s">
        <v>78</v>
      </c>
      <c r="AO6118" t="s">
        <v>78</v>
      </c>
      <c r="AP6118" t="s">
        <v>79</v>
      </c>
      <c r="AQ6118">
        <v>1</v>
      </c>
      <c r="AR6118" t="s">
        <v>80</v>
      </c>
      <c r="AS6118" t="s">
        <v>81</v>
      </c>
      <c r="AT6118" t="s">
        <v>58</v>
      </c>
      <c r="AU6118" t="s">
        <v>68</v>
      </c>
      <c r="AV6118" t="s">
        <v>69</v>
      </c>
      <c r="AW6118" s="1">
        <v>24138</v>
      </c>
      <c r="AX6118">
        <v>1</v>
      </c>
    </row>
    <row r="6119" spans="1:50">
      <c r="A6119">
        <v>561555</v>
      </c>
      <c r="B6119" t="str">
        <f>"033206288"</f>
        <v>033206288</v>
      </c>
      <c r="C6119" t="s">
        <v>50</v>
      </c>
      <c r="D6119" t="s">
        <v>2536</v>
      </c>
      <c r="E6119" t="s">
        <v>134</v>
      </c>
      <c r="F6119" t="s">
        <v>106</v>
      </c>
      <c r="G6119" t="s">
        <v>801</v>
      </c>
      <c r="H6119" t="str">
        <f>"ΚΥΤΑΙΟΥ 63 ΗΡΑΚΛΕΙΟ"</f>
        <v>ΚΥΤΑΙΟΥ 63 ΗΡΑΚΛΕΙΟ</v>
      </c>
      <c r="I6119">
        <v>71303</v>
      </c>
      <c r="N6119" t="s">
        <v>615</v>
      </c>
      <c r="O6119" t="s">
        <v>616</v>
      </c>
      <c r="R6119" t="s">
        <v>57</v>
      </c>
      <c r="S6119">
        <v>15</v>
      </c>
      <c r="T6119">
        <v>159</v>
      </c>
      <c r="U6119" s="1">
        <v>32385</v>
      </c>
      <c r="V6119" t="s">
        <v>80</v>
      </c>
      <c r="W6119" t="s">
        <v>81</v>
      </c>
      <c r="X6119" t="s">
        <v>58</v>
      </c>
      <c r="Y6119">
        <v>21</v>
      </c>
      <c r="Z6119" t="s">
        <v>59</v>
      </c>
      <c r="AA6119" t="s">
        <v>59</v>
      </c>
      <c r="AB6119" t="s">
        <v>59</v>
      </c>
      <c r="AC6119" t="s">
        <v>59</v>
      </c>
      <c r="AD6119" t="s">
        <v>59</v>
      </c>
      <c r="AF6119" s="1">
        <v>32387</v>
      </c>
      <c r="AG6119" t="s">
        <v>8645</v>
      </c>
      <c r="AH6119" t="s">
        <v>8646</v>
      </c>
      <c r="AI6119" t="str">
        <f>"9170194"</f>
        <v>9170194</v>
      </c>
      <c r="AJ6119" t="s">
        <v>8768</v>
      </c>
      <c r="AK6119">
        <v>2810239611</v>
      </c>
      <c r="AL6119" t="s">
        <v>8769</v>
      </c>
      <c r="AM6119" t="s">
        <v>78</v>
      </c>
      <c r="AN6119" t="s">
        <v>78</v>
      </c>
      <c r="AO6119" t="s">
        <v>78</v>
      </c>
      <c r="AP6119" t="s">
        <v>213</v>
      </c>
      <c r="AQ6119">
        <v>1</v>
      </c>
      <c r="AR6119" t="s">
        <v>80</v>
      </c>
      <c r="AS6119" t="s">
        <v>81</v>
      </c>
      <c r="AT6119" t="s">
        <v>58</v>
      </c>
      <c r="AU6119" t="s">
        <v>68</v>
      </c>
      <c r="AV6119" t="s">
        <v>2039</v>
      </c>
      <c r="AW6119" s="1">
        <v>23858</v>
      </c>
      <c r="AX6119">
        <v>1</v>
      </c>
    </row>
    <row r="6120" spans="1:50">
      <c r="A6120">
        <v>618276</v>
      </c>
      <c r="B6120" t="str">
        <f>"138957906"</f>
        <v>138957906</v>
      </c>
      <c r="C6120" t="s">
        <v>50</v>
      </c>
      <c r="D6120" t="s">
        <v>2536</v>
      </c>
      <c r="E6120" t="s">
        <v>109</v>
      </c>
      <c r="F6120" t="s">
        <v>95</v>
      </c>
      <c r="G6120" t="s">
        <v>52</v>
      </c>
      <c r="H6120" t="str">
        <f>"ΚΑΡΤΕΡΟΣ  Τ.Θ. 868 ΚΑΡΤΕΡΟΣ"</f>
        <v>ΚΑΡΤΕΡΟΣ  Τ.Θ. 868 ΚΑΡΤΕΡΟΣ</v>
      </c>
      <c r="I6120">
        <v>71500</v>
      </c>
      <c r="K6120">
        <v>6974818700</v>
      </c>
      <c r="N6120" t="s">
        <v>615</v>
      </c>
      <c r="O6120" t="s">
        <v>616</v>
      </c>
      <c r="R6120" t="s">
        <v>57</v>
      </c>
      <c r="S6120">
        <v>7</v>
      </c>
      <c r="T6120">
        <v>774</v>
      </c>
      <c r="U6120" s="1">
        <v>39680</v>
      </c>
      <c r="V6120" t="s">
        <v>80</v>
      </c>
      <c r="W6120" t="s">
        <v>81</v>
      </c>
      <c r="X6120" t="s">
        <v>58</v>
      </c>
      <c r="Y6120">
        <v>23</v>
      </c>
      <c r="Z6120" t="s">
        <v>59</v>
      </c>
      <c r="AA6120" t="s">
        <v>59</v>
      </c>
      <c r="AB6120" t="s">
        <v>59</v>
      </c>
      <c r="AC6120" t="s">
        <v>59</v>
      </c>
      <c r="AD6120" t="s">
        <v>59</v>
      </c>
      <c r="AF6120" s="1">
        <v>39680</v>
      </c>
      <c r="AG6120" t="s">
        <v>8645</v>
      </c>
      <c r="AH6120" t="s">
        <v>8646</v>
      </c>
      <c r="AI6120" t="str">
        <f>"9170222"</f>
        <v>9170222</v>
      </c>
      <c r="AJ6120" t="s">
        <v>9404</v>
      </c>
      <c r="AK6120">
        <v>2810781325</v>
      </c>
      <c r="AL6120" t="s">
        <v>9405</v>
      </c>
      <c r="AM6120" t="s">
        <v>78</v>
      </c>
      <c r="AN6120" t="s">
        <v>219</v>
      </c>
      <c r="AO6120" t="s">
        <v>297</v>
      </c>
      <c r="AP6120" t="s">
        <v>9406</v>
      </c>
      <c r="AQ6120">
        <v>7</v>
      </c>
      <c r="AR6120" t="s">
        <v>80</v>
      </c>
      <c r="AS6120" t="s">
        <v>81</v>
      </c>
      <c r="AT6120" t="s">
        <v>58</v>
      </c>
      <c r="AU6120" t="s">
        <v>68</v>
      </c>
      <c r="AV6120" t="s">
        <v>69</v>
      </c>
      <c r="AW6120" s="1">
        <v>30997</v>
      </c>
      <c r="AX6120">
        <v>1</v>
      </c>
    </row>
    <row r="6121" spans="1:50">
      <c r="A6121">
        <v>575582</v>
      </c>
      <c r="B6121" t="str">
        <f>"054289183"</f>
        <v>054289183</v>
      </c>
      <c r="C6121" t="s">
        <v>50</v>
      </c>
      <c r="D6121" t="s">
        <v>2536</v>
      </c>
      <c r="E6121" t="s">
        <v>54</v>
      </c>
      <c r="F6121" t="s">
        <v>95</v>
      </c>
      <c r="G6121" t="s">
        <v>255</v>
      </c>
      <c r="H6121" t="str">
        <f>"1770 10 "</f>
        <v xml:space="preserve">1770 10 </v>
      </c>
      <c r="I6121">
        <v>71202</v>
      </c>
      <c r="J6121">
        <v>2810224181</v>
      </c>
      <c r="K6121">
        <v>6978244093</v>
      </c>
      <c r="M6121" t="s">
        <v>10548</v>
      </c>
      <c r="N6121" t="s">
        <v>615</v>
      </c>
      <c r="O6121" t="s">
        <v>616</v>
      </c>
      <c r="R6121" t="s">
        <v>57</v>
      </c>
      <c r="S6121">
        <v>13</v>
      </c>
      <c r="T6121">
        <v>184</v>
      </c>
      <c r="U6121" s="1">
        <v>34941</v>
      </c>
      <c r="V6121" t="s">
        <v>80</v>
      </c>
      <c r="W6121" t="s">
        <v>81</v>
      </c>
      <c r="X6121" t="s">
        <v>58</v>
      </c>
      <c r="Y6121">
        <v>21</v>
      </c>
      <c r="Z6121" t="s">
        <v>59</v>
      </c>
      <c r="AA6121" t="s">
        <v>59</v>
      </c>
      <c r="AB6121" t="s">
        <v>59</v>
      </c>
      <c r="AC6121" t="s">
        <v>59</v>
      </c>
      <c r="AD6121" t="s">
        <v>59</v>
      </c>
      <c r="AF6121" s="1">
        <v>34949</v>
      </c>
      <c r="AG6121" t="s">
        <v>8645</v>
      </c>
      <c r="AH6121" t="s">
        <v>8646</v>
      </c>
      <c r="AI6121" t="str">
        <f>"9170048"</f>
        <v>9170048</v>
      </c>
      <c r="AJ6121" t="s">
        <v>8977</v>
      </c>
      <c r="AK6121">
        <v>2810283303</v>
      </c>
      <c r="AL6121" t="s">
        <v>8978</v>
      </c>
      <c r="AM6121" t="s">
        <v>78</v>
      </c>
      <c r="AN6121" t="s">
        <v>78</v>
      </c>
      <c r="AO6121" t="s">
        <v>78</v>
      </c>
      <c r="AP6121" t="s">
        <v>79</v>
      </c>
      <c r="AQ6121">
        <v>1</v>
      </c>
      <c r="AR6121" t="s">
        <v>80</v>
      </c>
      <c r="AS6121" t="s">
        <v>81</v>
      </c>
      <c r="AT6121" t="s">
        <v>58</v>
      </c>
      <c r="AU6121" t="s">
        <v>68</v>
      </c>
      <c r="AV6121" t="s">
        <v>69</v>
      </c>
      <c r="AW6121" s="1">
        <v>24191</v>
      </c>
      <c r="AX6121">
        <v>1</v>
      </c>
    </row>
    <row r="6122" spans="1:50">
      <c r="A6122">
        <v>604347</v>
      </c>
      <c r="B6122" t="str">
        <f>"114294189"</f>
        <v>114294189</v>
      </c>
      <c r="C6122" t="s">
        <v>50</v>
      </c>
      <c r="D6122" t="s">
        <v>2536</v>
      </c>
      <c r="E6122" t="s">
        <v>54</v>
      </c>
      <c r="F6122" t="s">
        <v>53</v>
      </c>
      <c r="G6122" t="s">
        <v>83</v>
      </c>
      <c r="H6122" t="str">
        <f>"Λ. ΚΑΤΣΩΝΗ 1Α  ΗΡΑΚΛΕΙΟ"</f>
        <v>Λ. ΚΑΤΣΩΝΗ 1Α  ΗΡΑΚΛΕΙΟ</v>
      </c>
      <c r="I6122">
        <v>71305</v>
      </c>
      <c r="J6122">
        <v>2810311572</v>
      </c>
      <c r="K6122">
        <v>6974480861</v>
      </c>
      <c r="M6122" t="s">
        <v>10549</v>
      </c>
      <c r="N6122" t="s">
        <v>615</v>
      </c>
      <c r="O6122" t="s">
        <v>616</v>
      </c>
      <c r="R6122" t="s">
        <v>57</v>
      </c>
      <c r="S6122">
        <v>10</v>
      </c>
      <c r="T6122">
        <v>231</v>
      </c>
      <c r="U6122" s="1">
        <v>38230</v>
      </c>
      <c r="V6122" t="s">
        <v>80</v>
      </c>
      <c r="W6122" t="s">
        <v>81</v>
      </c>
      <c r="X6122" t="s">
        <v>58</v>
      </c>
      <c r="Y6122">
        <v>22</v>
      </c>
      <c r="Z6122" t="s">
        <v>59</v>
      </c>
      <c r="AA6122" t="s">
        <v>59</v>
      </c>
      <c r="AB6122" t="s">
        <v>59</v>
      </c>
      <c r="AC6122" t="s">
        <v>59</v>
      </c>
      <c r="AD6122" t="s">
        <v>59</v>
      </c>
      <c r="AF6122" s="1">
        <v>38231</v>
      </c>
      <c r="AG6122" t="s">
        <v>8645</v>
      </c>
      <c r="AH6122" t="s">
        <v>8646</v>
      </c>
      <c r="AI6122" t="str">
        <f>"9521092"</f>
        <v>9521092</v>
      </c>
      <c r="AJ6122" t="s">
        <v>9234</v>
      </c>
      <c r="AK6122">
        <v>2810313321</v>
      </c>
      <c r="AL6122" t="s">
        <v>9235</v>
      </c>
      <c r="AM6122" t="s">
        <v>78</v>
      </c>
      <c r="AN6122" t="s">
        <v>78</v>
      </c>
      <c r="AO6122" t="s">
        <v>78</v>
      </c>
      <c r="AP6122" t="s">
        <v>141</v>
      </c>
      <c r="AQ6122">
        <v>1</v>
      </c>
      <c r="AR6122" t="s">
        <v>80</v>
      </c>
      <c r="AS6122" t="s">
        <v>81</v>
      </c>
      <c r="AT6122" t="s">
        <v>58</v>
      </c>
      <c r="AU6122" t="s">
        <v>68</v>
      </c>
      <c r="AV6122" t="s">
        <v>69</v>
      </c>
      <c r="AW6122" s="1">
        <v>28689</v>
      </c>
      <c r="AX6122">
        <v>1</v>
      </c>
    </row>
    <row r="6123" spans="1:50">
      <c r="A6123">
        <v>617460</v>
      </c>
      <c r="B6123" t="str">
        <f>"137227021"</f>
        <v>137227021</v>
      </c>
      <c r="C6123" t="s">
        <v>50</v>
      </c>
      <c r="D6123" t="s">
        <v>2536</v>
      </c>
      <c r="E6123" t="s">
        <v>96</v>
      </c>
      <c r="F6123" t="s">
        <v>95</v>
      </c>
      <c r="G6123" t="s">
        <v>83</v>
      </c>
      <c r="H6123" t="str">
        <f>"ΚΑΡΔΟΥΛΙΑΝΟΣ ΚΑΣΤΕΛΛΙ"</f>
        <v>ΚΑΡΔΟΥΛΙΑΝΟΣ ΚΑΣΤΕΛΛΙ</v>
      </c>
      <c r="I6123">
        <v>70006</v>
      </c>
      <c r="J6123">
        <v>2810243929</v>
      </c>
      <c r="K6123">
        <v>6932325728</v>
      </c>
      <c r="N6123" t="s">
        <v>615</v>
      </c>
      <c r="O6123" t="s">
        <v>616</v>
      </c>
      <c r="R6123" t="s">
        <v>57</v>
      </c>
      <c r="S6123">
        <v>6</v>
      </c>
      <c r="T6123">
        <v>774</v>
      </c>
      <c r="U6123" s="1">
        <v>39680</v>
      </c>
      <c r="V6123" t="s">
        <v>80</v>
      </c>
      <c r="W6123" t="s">
        <v>81</v>
      </c>
      <c r="X6123" t="s">
        <v>58</v>
      </c>
      <c r="Y6123">
        <v>23</v>
      </c>
      <c r="Z6123" t="s">
        <v>59</v>
      </c>
      <c r="AA6123" t="s">
        <v>59</v>
      </c>
      <c r="AB6123" t="s">
        <v>59</v>
      </c>
      <c r="AC6123" t="s">
        <v>59</v>
      </c>
      <c r="AD6123" t="s">
        <v>59</v>
      </c>
      <c r="AF6123" s="1">
        <v>39681</v>
      </c>
      <c r="AG6123" t="s">
        <v>8645</v>
      </c>
      <c r="AH6123" t="s">
        <v>8646</v>
      </c>
      <c r="AI6123" t="str">
        <f>"9170235"</f>
        <v>9170235</v>
      </c>
      <c r="AJ6123" t="s">
        <v>8806</v>
      </c>
      <c r="AK6123">
        <v>2891031258</v>
      </c>
      <c r="AL6123" t="s">
        <v>8807</v>
      </c>
      <c r="AM6123" t="s">
        <v>78</v>
      </c>
      <c r="AN6123" t="s">
        <v>276</v>
      </c>
      <c r="AO6123" t="s">
        <v>277</v>
      </c>
      <c r="AP6123" t="s">
        <v>277</v>
      </c>
      <c r="AQ6123">
        <v>13</v>
      </c>
      <c r="AR6123" t="s">
        <v>80</v>
      </c>
      <c r="AS6123" t="s">
        <v>81</v>
      </c>
      <c r="AT6123" t="s">
        <v>58</v>
      </c>
      <c r="AU6123" t="s">
        <v>68</v>
      </c>
      <c r="AV6123" t="s">
        <v>69</v>
      </c>
      <c r="AW6123" s="1">
        <v>30544</v>
      </c>
      <c r="AX6123">
        <v>1</v>
      </c>
    </row>
    <row r="6124" spans="1:50">
      <c r="A6124">
        <v>609769</v>
      </c>
      <c r="B6124" t="str">
        <f>"073437405"</f>
        <v>073437405</v>
      </c>
      <c r="C6124" t="s">
        <v>50</v>
      </c>
      <c r="D6124" t="s">
        <v>2536</v>
      </c>
      <c r="E6124" t="s">
        <v>96</v>
      </c>
      <c r="F6124" t="s">
        <v>166</v>
      </c>
      <c r="G6124" t="s">
        <v>52</v>
      </c>
      <c r="H6124" t="str">
        <f>"ΝΕΦΕΛΗΣ 48 ΜΕΣΑΜΠΕΛΙΕΣ"</f>
        <v>ΝΕΦΕΛΗΣ 48 ΜΕΣΑΜΠΕΛΙΕΣ</v>
      </c>
      <c r="I6124">
        <v>71409</v>
      </c>
      <c r="J6124">
        <v>2810360365</v>
      </c>
      <c r="K6124">
        <v>6947074645</v>
      </c>
      <c r="M6124" t="s">
        <v>10550</v>
      </c>
      <c r="N6124" t="s">
        <v>306</v>
      </c>
      <c r="O6124" t="s">
        <v>307</v>
      </c>
      <c r="R6124" t="s">
        <v>57</v>
      </c>
      <c r="S6124">
        <v>10</v>
      </c>
      <c r="T6124">
        <v>249</v>
      </c>
      <c r="U6124" s="1">
        <v>38617</v>
      </c>
      <c r="V6124" t="s">
        <v>80</v>
      </c>
      <c r="W6124" t="s">
        <v>81</v>
      </c>
      <c r="X6124" t="s">
        <v>58</v>
      </c>
      <c r="Y6124">
        <v>22</v>
      </c>
      <c r="Z6124" t="s">
        <v>59</v>
      </c>
      <c r="AA6124" t="s">
        <v>59</v>
      </c>
      <c r="AB6124" t="s">
        <v>59</v>
      </c>
      <c r="AC6124" t="s">
        <v>59</v>
      </c>
      <c r="AD6124" t="s">
        <v>59</v>
      </c>
      <c r="AF6124" s="1">
        <v>38618</v>
      </c>
      <c r="AG6124" t="s">
        <v>8645</v>
      </c>
      <c r="AH6124" t="s">
        <v>8646</v>
      </c>
      <c r="AI6124" t="str">
        <f>"9521093"</f>
        <v>9521093</v>
      </c>
      <c r="AJ6124" t="s">
        <v>9153</v>
      </c>
      <c r="AK6124">
        <v>2810322162</v>
      </c>
      <c r="AL6124" t="s">
        <v>9154</v>
      </c>
      <c r="AM6124" t="s">
        <v>78</v>
      </c>
      <c r="AN6124" t="s">
        <v>78</v>
      </c>
      <c r="AO6124" t="s">
        <v>78</v>
      </c>
      <c r="AP6124" t="s">
        <v>163</v>
      </c>
      <c r="AQ6124">
        <v>1</v>
      </c>
      <c r="AR6124" t="s">
        <v>80</v>
      </c>
      <c r="AS6124" t="s">
        <v>81</v>
      </c>
      <c r="AT6124" t="s">
        <v>58</v>
      </c>
      <c r="AU6124" t="s">
        <v>68</v>
      </c>
      <c r="AV6124" t="s">
        <v>69</v>
      </c>
      <c r="AW6124" s="1">
        <v>26267</v>
      </c>
      <c r="AX6124">
        <v>1</v>
      </c>
    </row>
    <row r="6125" spans="1:50">
      <c r="A6125">
        <v>613296</v>
      </c>
      <c r="B6125" t="str">
        <f>"068143353"</f>
        <v>068143353</v>
      </c>
      <c r="C6125" t="s">
        <v>50</v>
      </c>
      <c r="D6125" t="s">
        <v>10551</v>
      </c>
      <c r="E6125" t="s">
        <v>1792</v>
      </c>
      <c r="F6125" t="s">
        <v>106</v>
      </c>
      <c r="G6125" t="s">
        <v>188</v>
      </c>
      <c r="H6125" t="str">
        <f>"ΤΥΜΠΑΚΙ ΗΡΑΚΛΕΙΟ"</f>
        <v>ΤΥΜΠΑΚΙ ΗΡΑΚΛΕΙΟ</v>
      </c>
      <c r="I6125">
        <v>70200</v>
      </c>
      <c r="J6125">
        <v>2892052595</v>
      </c>
      <c r="K6125">
        <v>6973829914</v>
      </c>
      <c r="N6125" t="s">
        <v>615</v>
      </c>
      <c r="O6125" t="s">
        <v>616</v>
      </c>
      <c r="R6125" t="s">
        <v>57</v>
      </c>
      <c r="S6125">
        <v>6</v>
      </c>
      <c r="T6125">
        <v>598</v>
      </c>
      <c r="U6125" s="1">
        <v>39310</v>
      </c>
      <c r="V6125" t="s">
        <v>80</v>
      </c>
      <c r="W6125" t="s">
        <v>81</v>
      </c>
      <c r="X6125" t="s">
        <v>58</v>
      </c>
      <c r="Y6125">
        <v>23</v>
      </c>
      <c r="Z6125" t="s">
        <v>59</v>
      </c>
      <c r="AA6125" t="s">
        <v>59</v>
      </c>
      <c r="AB6125" t="s">
        <v>59</v>
      </c>
      <c r="AC6125" t="s">
        <v>59</v>
      </c>
      <c r="AD6125" t="s">
        <v>59</v>
      </c>
      <c r="AF6125" s="1">
        <v>39310</v>
      </c>
      <c r="AG6125" t="s">
        <v>8645</v>
      </c>
      <c r="AH6125" t="s">
        <v>8646</v>
      </c>
      <c r="AI6125" t="str">
        <f>"9170339"</f>
        <v>9170339</v>
      </c>
      <c r="AJ6125" t="s">
        <v>9500</v>
      </c>
      <c r="AK6125">
        <v>2892051391</v>
      </c>
      <c r="AL6125" t="s">
        <v>9501</v>
      </c>
      <c r="AM6125" t="s">
        <v>78</v>
      </c>
      <c r="AN6125" t="s">
        <v>242</v>
      </c>
      <c r="AO6125" t="s">
        <v>349</v>
      </c>
      <c r="AP6125" t="s">
        <v>349</v>
      </c>
      <c r="AQ6125">
        <v>19</v>
      </c>
      <c r="AR6125" t="s">
        <v>80</v>
      </c>
      <c r="AS6125" t="s">
        <v>81</v>
      </c>
      <c r="AT6125" t="s">
        <v>58</v>
      </c>
      <c r="AU6125" t="s">
        <v>68</v>
      </c>
      <c r="AV6125" t="s">
        <v>69</v>
      </c>
      <c r="AW6125" s="1">
        <v>29521</v>
      </c>
      <c r="AX6125">
        <v>1</v>
      </c>
    </row>
    <row r="6126" spans="1:50">
      <c r="B6126" t="str">
        <f>"054910848"</f>
        <v>054910848</v>
      </c>
      <c r="C6126" t="s">
        <v>105</v>
      </c>
      <c r="D6126" t="s">
        <v>2541</v>
      </c>
      <c r="E6126" t="s">
        <v>106</v>
      </c>
      <c r="F6126" t="s">
        <v>166</v>
      </c>
      <c r="G6126" t="s">
        <v>96</v>
      </c>
      <c r="H6126" t="str">
        <f>"Κομοτηνής 6 ΗΡΑΚΛΕΙΟ"</f>
        <v>Κομοτηνής 6 ΗΡΑΚΛΕΙΟ</v>
      </c>
      <c r="I6126">
        <v>71409</v>
      </c>
      <c r="J6126">
        <v>2810211864</v>
      </c>
      <c r="K6126">
        <v>6977588385</v>
      </c>
      <c r="M6126" t="s">
        <v>10552</v>
      </c>
      <c r="N6126" t="s">
        <v>337</v>
      </c>
      <c r="O6126" t="s">
        <v>338</v>
      </c>
      <c r="R6126" t="s">
        <v>159</v>
      </c>
      <c r="S6126">
        <v>5</v>
      </c>
      <c r="T6126" t="s">
        <v>8675</v>
      </c>
      <c r="U6126" s="1">
        <v>43348</v>
      </c>
      <c r="V6126" t="s">
        <v>80</v>
      </c>
      <c r="W6126" t="s">
        <v>81</v>
      </c>
      <c r="X6126" t="s">
        <v>58</v>
      </c>
      <c r="Y6126">
        <v>24</v>
      </c>
      <c r="Z6126" t="s">
        <v>59</v>
      </c>
      <c r="AA6126" t="s">
        <v>59</v>
      </c>
      <c r="AB6126" t="s">
        <v>59</v>
      </c>
      <c r="AC6126" t="s">
        <v>59</v>
      </c>
      <c r="AD6126" t="s">
        <v>59</v>
      </c>
      <c r="AF6126" s="1">
        <v>43348</v>
      </c>
      <c r="AG6126" t="s">
        <v>8645</v>
      </c>
      <c r="AH6126" t="s">
        <v>8646</v>
      </c>
      <c r="AI6126" t="str">
        <f>"9170017"</f>
        <v>9170017</v>
      </c>
      <c r="AJ6126" t="s">
        <v>9114</v>
      </c>
      <c r="AK6126">
        <v>2810250746</v>
      </c>
      <c r="AL6126" t="s">
        <v>9115</v>
      </c>
      <c r="AM6126" t="s">
        <v>78</v>
      </c>
      <c r="AN6126" t="s">
        <v>129</v>
      </c>
      <c r="AO6126" t="s">
        <v>130</v>
      </c>
      <c r="AP6126" t="s">
        <v>130</v>
      </c>
      <c r="AQ6126">
        <v>1</v>
      </c>
      <c r="AR6126" t="s">
        <v>80</v>
      </c>
      <c r="AS6126" t="s">
        <v>81</v>
      </c>
      <c r="AT6126" t="s">
        <v>58</v>
      </c>
      <c r="AU6126" t="s">
        <v>8673</v>
      </c>
      <c r="AV6126" t="s">
        <v>132</v>
      </c>
      <c r="AW6126" s="1">
        <v>26383</v>
      </c>
      <c r="AX6126">
        <v>1</v>
      </c>
    </row>
    <row r="6127" spans="1:50">
      <c r="B6127" t="str">
        <f>"114564932"</f>
        <v>114564932</v>
      </c>
      <c r="C6127" t="s">
        <v>50</v>
      </c>
      <c r="D6127" t="s">
        <v>2543</v>
      </c>
      <c r="E6127" t="s">
        <v>263</v>
      </c>
      <c r="F6127" t="s">
        <v>166</v>
      </c>
      <c r="G6127" t="s">
        <v>52</v>
      </c>
      <c r="H6127" t="str">
        <f>"ΜΙΧ.ΠΑΥΛΑΚΗ 36 ΗΡΑΚΛΕΙΟ"</f>
        <v>ΜΙΧ.ΠΑΥΛΑΚΗ 36 ΗΡΑΚΛΕΙΟ</v>
      </c>
      <c r="I6127">
        <v>71305</v>
      </c>
      <c r="J6127">
        <v>2811101123</v>
      </c>
      <c r="K6127">
        <v>6972858445</v>
      </c>
      <c r="N6127" t="s">
        <v>615</v>
      </c>
      <c r="O6127" t="s">
        <v>616</v>
      </c>
      <c r="R6127" t="s">
        <v>159</v>
      </c>
      <c r="S6127">
        <v>3</v>
      </c>
      <c r="T6127" t="s">
        <v>8675</v>
      </c>
      <c r="U6127" s="1">
        <v>43348</v>
      </c>
      <c r="V6127" t="s">
        <v>80</v>
      </c>
      <c r="W6127" t="s">
        <v>81</v>
      </c>
      <c r="X6127" t="s">
        <v>58</v>
      </c>
      <c r="Y6127">
        <v>24</v>
      </c>
      <c r="Z6127" t="s">
        <v>59</v>
      </c>
      <c r="AA6127" t="s">
        <v>59</v>
      </c>
      <c r="AB6127" t="s">
        <v>59</v>
      </c>
      <c r="AC6127" t="s">
        <v>59</v>
      </c>
      <c r="AD6127" t="s">
        <v>59</v>
      </c>
      <c r="AF6127" s="1">
        <v>43348</v>
      </c>
      <c r="AG6127" t="s">
        <v>8645</v>
      </c>
      <c r="AH6127" t="s">
        <v>8646</v>
      </c>
      <c r="AI6127" t="str">
        <f>"9170575"</f>
        <v>9170575</v>
      </c>
      <c r="AJ6127" t="s">
        <v>8748</v>
      </c>
      <c r="AK6127">
        <v>2810260772</v>
      </c>
      <c r="AL6127" t="s">
        <v>8749</v>
      </c>
      <c r="AM6127" t="s">
        <v>78</v>
      </c>
      <c r="AN6127" t="s">
        <v>78</v>
      </c>
      <c r="AO6127" t="s">
        <v>78</v>
      </c>
      <c r="AP6127" t="s">
        <v>141</v>
      </c>
      <c r="AQ6127">
        <v>1</v>
      </c>
      <c r="AR6127" t="s">
        <v>80</v>
      </c>
      <c r="AS6127" t="s">
        <v>81</v>
      </c>
      <c r="AT6127" t="s">
        <v>58</v>
      </c>
      <c r="AU6127" t="s">
        <v>8673</v>
      </c>
      <c r="AV6127" t="s">
        <v>132</v>
      </c>
      <c r="AW6127" s="1">
        <v>30120</v>
      </c>
      <c r="AX6127">
        <v>1</v>
      </c>
    </row>
    <row r="6128" spans="1:50">
      <c r="A6128">
        <v>606357</v>
      </c>
      <c r="B6128" t="str">
        <f>"078391854"</f>
        <v>078391854</v>
      </c>
      <c r="C6128" t="s">
        <v>50</v>
      </c>
      <c r="D6128" t="s">
        <v>2543</v>
      </c>
      <c r="E6128" t="s">
        <v>112</v>
      </c>
      <c r="F6128" t="s">
        <v>108</v>
      </c>
      <c r="G6128" t="s">
        <v>255</v>
      </c>
      <c r="H6128" t="str">
        <f>"ΗΓΟΥΜΕΝΟΥ ΓΑΒΡΙΗΛ 6 ΗΡΑΚΛΕΙΟ"</f>
        <v>ΗΓΟΥΜΕΝΟΥ ΓΑΒΡΙΗΛ 6 ΗΡΑΚΛΕΙΟ</v>
      </c>
      <c r="I6128">
        <v>71305</v>
      </c>
      <c r="J6128">
        <v>2810261843</v>
      </c>
      <c r="K6128">
        <v>6976371366</v>
      </c>
      <c r="N6128" t="s">
        <v>1525</v>
      </c>
      <c r="O6128" t="s">
        <v>1526</v>
      </c>
      <c r="R6128" t="s">
        <v>57</v>
      </c>
      <c r="S6128">
        <v>7</v>
      </c>
      <c r="T6128">
        <v>231</v>
      </c>
      <c r="U6128" s="1">
        <v>38230</v>
      </c>
      <c r="V6128" t="s">
        <v>80</v>
      </c>
      <c r="W6128" t="s">
        <v>81</v>
      </c>
      <c r="X6128" t="s">
        <v>58</v>
      </c>
      <c r="Y6128">
        <v>25</v>
      </c>
      <c r="Z6128" t="s">
        <v>59</v>
      </c>
      <c r="AA6128" t="s">
        <v>59</v>
      </c>
      <c r="AB6128" t="s">
        <v>59</v>
      </c>
      <c r="AC6128" t="s">
        <v>59</v>
      </c>
      <c r="AD6128" t="s">
        <v>59</v>
      </c>
      <c r="AF6128" s="1">
        <v>38231</v>
      </c>
      <c r="AG6128" t="s">
        <v>8651</v>
      </c>
      <c r="AH6128" t="s">
        <v>8652</v>
      </c>
      <c r="AI6128" t="str">
        <f>"9170452"</f>
        <v>9170452</v>
      </c>
      <c r="AJ6128" t="s">
        <v>10553</v>
      </c>
      <c r="AK6128">
        <v>2810262825</v>
      </c>
      <c r="AL6128" t="s">
        <v>10554</v>
      </c>
      <c r="AM6128" t="s">
        <v>78</v>
      </c>
      <c r="AN6128" t="s">
        <v>78</v>
      </c>
      <c r="AO6128" t="s">
        <v>78</v>
      </c>
      <c r="AP6128" t="s">
        <v>141</v>
      </c>
      <c r="AQ6128">
        <v>1</v>
      </c>
      <c r="AR6128" t="s">
        <v>80</v>
      </c>
      <c r="AS6128" t="s">
        <v>81</v>
      </c>
      <c r="AT6128" t="s">
        <v>58</v>
      </c>
      <c r="AU6128" t="s">
        <v>68</v>
      </c>
      <c r="AV6128" t="s">
        <v>69</v>
      </c>
      <c r="AW6128" s="1">
        <v>26789</v>
      </c>
      <c r="AX6128">
        <v>1</v>
      </c>
    </row>
    <row r="6129" spans="1:50">
      <c r="A6129">
        <v>595827</v>
      </c>
      <c r="B6129" t="str">
        <f>"072114274"</f>
        <v>072114274</v>
      </c>
      <c r="C6129" t="s">
        <v>50</v>
      </c>
      <c r="D6129" t="s">
        <v>2543</v>
      </c>
      <c r="E6129" t="s">
        <v>52</v>
      </c>
      <c r="F6129" t="s">
        <v>108</v>
      </c>
      <c r="G6129" t="s">
        <v>255</v>
      </c>
      <c r="H6129" t="str">
        <f>"ΗΓΟΥΜΕΝΟΥ ΓΑΒΡΙΗΛ 6 ΗΡΑΚΛΕΙΟ"</f>
        <v>ΗΓΟΥΜΕΝΟΥ ΓΑΒΡΙΗΛ 6 ΗΡΑΚΛΕΙΟ</v>
      </c>
      <c r="I6129">
        <v>71305</v>
      </c>
      <c r="J6129">
        <v>2810318886</v>
      </c>
      <c r="K6129">
        <v>6972345229</v>
      </c>
      <c r="N6129" t="s">
        <v>1525</v>
      </c>
      <c r="O6129" t="s">
        <v>1526</v>
      </c>
      <c r="R6129" t="s">
        <v>57</v>
      </c>
      <c r="S6129">
        <v>9</v>
      </c>
      <c r="T6129">
        <v>218</v>
      </c>
      <c r="U6129" s="1">
        <v>37134</v>
      </c>
      <c r="V6129" t="s">
        <v>80</v>
      </c>
      <c r="W6129" t="s">
        <v>81</v>
      </c>
      <c r="X6129" t="s">
        <v>58</v>
      </c>
      <c r="Y6129">
        <v>25</v>
      </c>
      <c r="Z6129" t="s">
        <v>59</v>
      </c>
      <c r="AA6129" t="s">
        <v>59</v>
      </c>
      <c r="AB6129" t="s">
        <v>59</v>
      </c>
      <c r="AC6129" t="s">
        <v>59</v>
      </c>
      <c r="AD6129" t="s">
        <v>59</v>
      </c>
      <c r="AF6129" s="1">
        <v>37144</v>
      </c>
      <c r="AG6129" t="s">
        <v>8651</v>
      </c>
      <c r="AH6129" t="s">
        <v>8652</v>
      </c>
      <c r="AI6129" t="str">
        <f>"9170537"</f>
        <v>9170537</v>
      </c>
      <c r="AJ6129" t="s">
        <v>10308</v>
      </c>
      <c r="AK6129">
        <v>2810262801</v>
      </c>
      <c r="AL6129" t="s">
        <v>10309</v>
      </c>
      <c r="AM6129" t="s">
        <v>78</v>
      </c>
      <c r="AN6129" t="s">
        <v>78</v>
      </c>
      <c r="AO6129" t="s">
        <v>78</v>
      </c>
      <c r="AP6129" t="s">
        <v>141</v>
      </c>
      <c r="AQ6129">
        <v>1</v>
      </c>
      <c r="AR6129" t="s">
        <v>80</v>
      </c>
      <c r="AS6129" t="s">
        <v>81</v>
      </c>
      <c r="AT6129" t="s">
        <v>58</v>
      </c>
      <c r="AU6129" t="s">
        <v>68</v>
      </c>
      <c r="AV6129" t="s">
        <v>69</v>
      </c>
      <c r="AW6129" s="1">
        <v>25599</v>
      </c>
      <c r="AX6129">
        <v>1</v>
      </c>
    </row>
    <row r="6130" spans="1:50">
      <c r="A6130">
        <v>614713</v>
      </c>
      <c r="B6130" t="str">
        <f>"132348468"</f>
        <v>132348468</v>
      </c>
      <c r="C6130" t="s">
        <v>50</v>
      </c>
      <c r="D6130" t="s">
        <v>7733</v>
      </c>
      <c r="E6130" t="s">
        <v>52</v>
      </c>
      <c r="F6130" t="s">
        <v>72</v>
      </c>
      <c r="G6130" t="s">
        <v>801</v>
      </c>
      <c r="H6130" t="str">
        <f>"ΑΝΔΡΙΑΝΟΥ 22 ΗΡΑΚΛΕΙΟ "</f>
        <v xml:space="preserve">ΑΝΔΡΙΑΝΟΥ 22 ΗΡΑΚΛΕΙΟ </v>
      </c>
      <c r="I6130">
        <v>71601</v>
      </c>
      <c r="J6130">
        <v>2810229137</v>
      </c>
      <c r="K6130">
        <v>6977872864</v>
      </c>
      <c r="N6130" t="s">
        <v>615</v>
      </c>
      <c r="O6130" t="s">
        <v>616</v>
      </c>
      <c r="R6130" t="s">
        <v>57</v>
      </c>
      <c r="S6130">
        <v>7</v>
      </c>
      <c r="T6130">
        <v>598</v>
      </c>
      <c r="U6130" s="1">
        <v>39310</v>
      </c>
      <c r="V6130" t="s">
        <v>80</v>
      </c>
      <c r="W6130" t="s">
        <v>81</v>
      </c>
      <c r="X6130" t="s">
        <v>58</v>
      </c>
      <c r="Y6130">
        <v>23</v>
      </c>
      <c r="Z6130" t="s">
        <v>59</v>
      </c>
      <c r="AA6130" t="s">
        <v>59</v>
      </c>
      <c r="AB6130" t="s">
        <v>59</v>
      </c>
      <c r="AC6130" t="s">
        <v>59</v>
      </c>
      <c r="AD6130" t="s">
        <v>59</v>
      </c>
      <c r="AF6130" s="1">
        <v>39328</v>
      </c>
      <c r="AG6130" t="s">
        <v>8645</v>
      </c>
      <c r="AH6130" t="s">
        <v>8646</v>
      </c>
      <c r="AI6130" t="str">
        <f>"9170222"</f>
        <v>9170222</v>
      </c>
      <c r="AJ6130" t="s">
        <v>9404</v>
      </c>
      <c r="AK6130">
        <v>2810781325</v>
      </c>
      <c r="AL6130" t="s">
        <v>9405</v>
      </c>
      <c r="AM6130" t="s">
        <v>78</v>
      </c>
      <c r="AN6130" t="s">
        <v>219</v>
      </c>
      <c r="AO6130" t="s">
        <v>297</v>
      </c>
      <c r="AP6130" t="s">
        <v>9406</v>
      </c>
      <c r="AQ6130">
        <v>7</v>
      </c>
      <c r="AR6130" t="s">
        <v>80</v>
      </c>
      <c r="AS6130" t="s">
        <v>81</v>
      </c>
      <c r="AT6130" t="s">
        <v>58</v>
      </c>
      <c r="AU6130" t="s">
        <v>68</v>
      </c>
      <c r="AV6130" t="s">
        <v>69</v>
      </c>
      <c r="AW6130" s="1">
        <v>31129</v>
      </c>
      <c r="AX6130">
        <v>1</v>
      </c>
    </row>
    <row r="6131" spans="1:50">
      <c r="A6131">
        <v>577378</v>
      </c>
      <c r="B6131" t="str">
        <f>"037682585"</f>
        <v>037682585</v>
      </c>
      <c r="C6131" t="s">
        <v>105</v>
      </c>
      <c r="D6131" t="s">
        <v>2548</v>
      </c>
      <c r="E6131" t="s">
        <v>84</v>
      </c>
      <c r="F6131" t="s">
        <v>72</v>
      </c>
      <c r="G6131" t="s">
        <v>460</v>
      </c>
      <c r="H6131" t="str">
        <f>"ΑΣΤΥΡΑΚΑΚΗ 4 ΗΡΑΚΛΕΙΟ"</f>
        <v>ΑΣΤΥΡΑΚΑΚΗ 4 ΗΡΑΚΛΕΙΟ</v>
      </c>
      <c r="J6131">
        <v>2810328574</v>
      </c>
      <c r="K6131">
        <v>6974897074</v>
      </c>
      <c r="N6131" t="s">
        <v>176</v>
      </c>
      <c r="O6131" t="s">
        <v>177</v>
      </c>
      <c r="R6131" t="s">
        <v>57</v>
      </c>
      <c r="S6131">
        <v>13</v>
      </c>
      <c r="T6131">
        <v>184</v>
      </c>
      <c r="U6131" s="1">
        <v>34941</v>
      </c>
      <c r="V6131" t="s">
        <v>80</v>
      </c>
      <c r="W6131" t="s">
        <v>81</v>
      </c>
      <c r="X6131" t="s">
        <v>58</v>
      </c>
      <c r="Y6131">
        <v>21</v>
      </c>
      <c r="Z6131" t="s">
        <v>59</v>
      </c>
      <c r="AA6131" t="s">
        <v>59</v>
      </c>
      <c r="AB6131" t="s">
        <v>59</v>
      </c>
      <c r="AC6131" t="s">
        <v>59</v>
      </c>
      <c r="AD6131" t="s">
        <v>59</v>
      </c>
      <c r="AF6131" s="1">
        <v>34943</v>
      </c>
      <c r="AG6131" t="s">
        <v>8645</v>
      </c>
      <c r="AH6131" t="s">
        <v>8646</v>
      </c>
      <c r="AI6131" t="str">
        <f>"9170517"</f>
        <v>9170517</v>
      </c>
      <c r="AJ6131" t="s">
        <v>9248</v>
      </c>
      <c r="AK6131">
        <v>2810238757</v>
      </c>
      <c r="AL6131" t="s">
        <v>9249</v>
      </c>
      <c r="AM6131" t="s">
        <v>78</v>
      </c>
      <c r="AN6131" t="s">
        <v>78</v>
      </c>
      <c r="AO6131" t="s">
        <v>78</v>
      </c>
      <c r="AP6131" t="s">
        <v>163</v>
      </c>
      <c r="AQ6131">
        <v>1</v>
      </c>
      <c r="AR6131" t="s">
        <v>80</v>
      </c>
      <c r="AS6131" t="s">
        <v>81</v>
      </c>
      <c r="AT6131" t="s">
        <v>58</v>
      </c>
      <c r="AU6131" t="s">
        <v>68</v>
      </c>
      <c r="AV6131" t="s">
        <v>69</v>
      </c>
      <c r="AW6131" s="1">
        <v>24164</v>
      </c>
      <c r="AX6131">
        <v>1</v>
      </c>
    </row>
    <row r="6132" spans="1:50">
      <c r="B6132" t="str">
        <f>"110711865"</f>
        <v>110711865</v>
      </c>
      <c r="C6132" t="s">
        <v>105</v>
      </c>
      <c r="D6132" t="s">
        <v>2548</v>
      </c>
      <c r="E6132" t="s">
        <v>108</v>
      </c>
      <c r="F6132" t="s">
        <v>383</v>
      </c>
      <c r="G6132" t="s">
        <v>250</v>
      </c>
      <c r="H6132" t="str">
        <f>" "</f>
        <v xml:space="preserve"> </v>
      </c>
      <c r="N6132" t="s">
        <v>683</v>
      </c>
      <c r="O6132" t="s">
        <v>684</v>
      </c>
      <c r="R6132" t="s">
        <v>121</v>
      </c>
      <c r="S6132">
        <v>1</v>
      </c>
      <c r="T6132" t="s">
        <v>8696</v>
      </c>
      <c r="U6132" s="1">
        <v>43348</v>
      </c>
      <c r="V6132" t="s">
        <v>80</v>
      </c>
      <c r="W6132" t="s">
        <v>81</v>
      </c>
      <c r="X6132" t="s">
        <v>58</v>
      </c>
      <c r="Y6132">
        <v>24</v>
      </c>
      <c r="Z6132" t="s">
        <v>59</v>
      </c>
      <c r="AD6132" t="s">
        <v>59</v>
      </c>
      <c r="AF6132" s="1">
        <v>43348</v>
      </c>
      <c r="AG6132" t="s">
        <v>8645</v>
      </c>
      <c r="AH6132" t="s">
        <v>8697</v>
      </c>
      <c r="AI6132" t="str">
        <f>"9170372"</f>
        <v>9170372</v>
      </c>
      <c r="AJ6132" t="s">
        <v>9296</v>
      </c>
      <c r="AK6132">
        <v>2810281754</v>
      </c>
      <c r="AL6132" t="s">
        <v>9297</v>
      </c>
      <c r="AM6132" t="s">
        <v>78</v>
      </c>
      <c r="AN6132" t="s">
        <v>78</v>
      </c>
      <c r="AO6132" t="s">
        <v>78</v>
      </c>
      <c r="AP6132" t="s">
        <v>79</v>
      </c>
      <c r="AQ6132">
        <v>1</v>
      </c>
      <c r="AR6132" t="s">
        <v>80</v>
      </c>
      <c r="AS6132" t="s">
        <v>81</v>
      </c>
      <c r="AT6132" t="s">
        <v>58</v>
      </c>
      <c r="AU6132" t="s">
        <v>350</v>
      </c>
      <c r="AV6132" t="s">
        <v>132</v>
      </c>
      <c r="AW6132" s="1">
        <v>27911</v>
      </c>
      <c r="AX6132">
        <v>1</v>
      </c>
    </row>
    <row r="6133" spans="1:50">
      <c r="A6133">
        <v>600961</v>
      </c>
      <c r="B6133" t="str">
        <f>"103510788"</f>
        <v>103510788</v>
      </c>
      <c r="C6133" t="s">
        <v>50</v>
      </c>
      <c r="D6133" t="s">
        <v>10555</v>
      </c>
      <c r="E6133" t="s">
        <v>71</v>
      </c>
      <c r="F6133" t="s">
        <v>95</v>
      </c>
      <c r="G6133" t="s">
        <v>250</v>
      </c>
      <c r="H6133" t="str">
        <f>"Γ. ΓΕΩΡΓΙΑΔΟΥ 58 ΗΡΑΚΛΕΙΟ"</f>
        <v>Γ. ΓΕΩΡΓΙΑΔΟΥ 58 ΗΡΑΚΛΕΙΟ</v>
      </c>
      <c r="I6133">
        <v>71305</v>
      </c>
      <c r="J6133">
        <v>2810315914</v>
      </c>
      <c r="K6133">
        <v>6973038077</v>
      </c>
      <c r="N6133" t="s">
        <v>615</v>
      </c>
      <c r="O6133" t="s">
        <v>616</v>
      </c>
      <c r="R6133" t="s">
        <v>57</v>
      </c>
      <c r="S6133">
        <v>8</v>
      </c>
      <c r="T6133">
        <v>207</v>
      </c>
      <c r="U6133" s="1">
        <v>37866</v>
      </c>
      <c r="V6133" t="s">
        <v>80</v>
      </c>
      <c r="W6133" t="s">
        <v>81</v>
      </c>
      <c r="X6133" t="s">
        <v>58</v>
      </c>
      <c r="Y6133">
        <v>22</v>
      </c>
      <c r="Z6133" t="s">
        <v>59</v>
      </c>
      <c r="AA6133" t="s">
        <v>59</v>
      </c>
      <c r="AB6133" t="s">
        <v>59</v>
      </c>
      <c r="AC6133" t="s">
        <v>59</v>
      </c>
      <c r="AD6133" t="s">
        <v>59</v>
      </c>
      <c r="AF6133" s="1">
        <v>37866</v>
      </c>
      <c r="AG6133" t="s">
        <v>8645</v>
      </c>
      <c r="AH6133" t="s">
        <v>8646</v>
      </c>
      <c r="AI6133" t="str">
        <f>"9170532"</f>
        <v>9170532</v>
      </c>
      <c r="AJ6133" t="s">
        <v>8945</v>
      </c>
      <c r="AK6133">
        <v>2810250330</v>
      </c>
      <c r="AL6133" t="s">
        <v>8946</v>
      </c>
      <c r="AM6133" t="s">
        <v>78</v>
      </c>
      <c r="AN6133" t="s">
        <v>78</v>
      </c>
      <c r="AO6133" t="s">
        <v>78</v>
      </c>
      <c r="AP6133" t="s">
        <v>141</v>
      </c>
      <c r="AQ6133">
        <v>1</v>
      </c>
      <c r="AR6133" t="s">
        <v>80</v>
      </c>
      <c r="AS6133" t="s">
        <v>81</v>
      </c>
      <c r="AT6133" t="s">
        <v>58</v>
      </c>
      <c r="AU6133" t="s">
        <v>68</v>
      </c>
      <c r="AV6133" t="s">
        <v>69</v>
      </c>
      <c r="AW6133" s="1">
        <v>25745</v>
      </c>
      <c r="AX6133">
        <v>1</v>
      </c>
    </row>
    <row r="6134" spans="1:50">
      <c r="A6134">
        <v>595132</v>
      </c>
      <c r="B6134" t="str">
        <f>"114293107"</f>
        <v>114293107</v>
      </c>
      <c r="C6134" t="s">
        <v>50</v>
      </c>
      <c r="D6134" t="s">
        <v>10556</v>
      </c>
      <c r="E6134" t="s">
        <v>221</v>
      </c>
      <c r="F6134" t="s">
        <v>10557</v>
      </c>
      <c r="G6134" t="s">
        <v>52</v>
      </c>
      <c r="H6134" t="str">
        <f>" "</f>
        <v xml:space="preserve"> </v>
      </c>
      <c r="N6134" t="s">
        <v>615</v>
      </c>
      <c r="O6134" t="s">
        <v>616</v>
      </c>
      <c r="R6134" t="s">
        <v>57</v>
      </c>
      <c r="S6134">
        <v>8</v>
      </c>
      <c r="T6134">
        <v>218</v>
      </c>
      <c r="U6134" s="1">
        <v>37134</v>
      </c>
      <c r="V6134" t="s">
        <v>80</v>
      </c>
      <c r="W6134" t="s">
        <v>81</v>
      </c>
      <c r="X6134" t="s">
        <v>58</v>
      </c>
      <c r="Y6134">
        <v>22</v>
      </c>
      <c r="Z6134" t="s">
        <v>59</v>
      </c>
      <c r="AA6134" t="s">
        <v>59</v>
      </c>
      <c r="AB6134" t="s">
        <v>59</v>
      </c>
      <c r="AC6134" t="s">
        <v>59</v>
      </c>
      <c r="AD6134" t="s">
        <v>59</v>
      </c>
      <c r="AF6134" s="1">
        <v>37137</v>
      </c>
      <c r="AG6134" t="s">
        <v>8645</v>
      </c>
      <c r="AH6134" t="s">
        <v>8646</v>
      </c>
      <c r="AI6134" t="str">
        <f>"9521015"</f>
        <v>9521015</v>
      </c>
      <c r="AJ6134" t="s">
        <v>8927</v>
      </c>
      <c r="AK6134">
        <v>2897029138</v>
      </c>
      <c r="AL6134" t="s">
        <v>8928</v>
      </c>
      <c r="AM6134" t="s">
        <v>78</v>
      </c>
      <c r="AN6134" t="s">
        <v>219</v>
      </c>
      <c r="AO6134" t="s">
        <v>219</v>
      </c>
      <c r="AP6134" t="s">
        <v>220</v>
      </c>
      <c r="AQ6134">
        <v>8</v>
      </c>
      <c r="AR6134" t="s">
        <v>80</v>
      </c>
      <c r="AS6134" t="s">
        <v>81</v>
      </c>
      <c r="AT6134" t="s">
        <v>58</v>
      </c>
      <c r="AU6134" t="s">
        <v>68</v>
      </c>
      <c r="AV6134" t="s">
        <v>69</v>
      </c>
      <c r="AW6134" s="1">
        <v>26425</v>
      </c>
      <c r="AX6134">
        <v>1</v>
      </c>
    </row>
    <row r="6135" spans="1:50">
      <c r="B6135" t="str">
        <f>"137247843"</f>
        <v>137247843</v>
      </c>
      <c r="C6135" t="s">
        <v>50</v>
      </c>
      <c r="D6135" t="s">
        <v>10556</v>
      </c>
      <c r="E6135" t="s">
        <v>1068</v>
      </c>
      <c r="F6135" t="s">
        <v>95</v>
      </c>
      <c r="H6135" t="str">
        <f>" "</f>
        <v xml:space="preserve"> </v>
      </c>
      <c r="N6135" t="s">
        <v>615</v>
      </c>
      <c r="O6135" t="s">
        <v>616</v>
      </c>
      <c r="R6135" t="s">
        <v>159</v>
      </c>
      <c r="S6135">
        <v>3</v>
      </c>
      <c r="T6135" t="s">
        <v>8675</v>
      </c>
      <c r="U6135" s="1">
        <v>43348</v>
      </c>
      <c r="V6135" t="s">
        <v>80</v>
      </c>
      <c r="W6135" t="s">
        <v>81</v>
      </c>
      <c r="X6135" t="s">
        <v>58</v>
      </c>
      <c r="Y6135">
        <v>24</v>
      </c>
      <c r="Z6135" t="s">
        <v>59</v>
      </c>
      <c r="AA6135" t="s">
        <v>59</v>
      </c>
      <c r="AB6135" t="s">
        <v>59</v>
      </c>
      <c r="AC6135" t="s">
        <v>59</v>
      </c>
      <c r="AD6135" t="s">
        <v>59</v>
      </c>
      <c r="AF6135" s="1">
        <v>43348</v>
      </c>
      <c r="AG6135" t="s">
        <v>8645</v>
      </c>
      <c r="AH6135" t="s">
        <v>8646</v>
      </c>
      <c r="AI6135" t="str">
        <f>"9170018"</f>
        <v>9170018</v>
      </c>
      <c r="AJ6135" t="s">
        <v>8924</v>
      </c>
      <c r="AK6135">
        <v>2810821217</v>
      </c>
      <c r="AL6135" t="s">
        <v>8925</v>
      </c>
      <c r="AM6135" t="s">
        <v>78</v>
      </c>
      <c r="AN6135" t="s">
        <v>129</v>
      </c>
      <c r="AO6135" t="s">
        <v>130</v>
      </c>
      <c r="AP6135" t="s">
        <v>130</v>
      </c>
      <c r="AQ6135">
        <v>1</v>
      </c>
      <c r="AR6135" t="s">
        <v>80</v>
      </c>
      <c r="AS6135" t="s">
        <v>81</v>
      </c>
      <c r="AT6135" t="s">
        <v>58</v>
      </c>
      <c r="AU6135" t="s">
        <v>8673</v>
      </c>
      <c r="AV6135" t="s">
        <v>132</v>
      </c>
      <c r="AW6135" s="1">
        <v>31835</v>
      </c>
      <c r="AX6135">
        <v>1</v>
      </c>
    </row>
    <row r="6136" spans="1:50">
      <c r="A6136">
        <v>605123</v>
      </c>
      <c r="B6136" t="str">
        <f>"065136276"</f>
        <v>065136276</v>
      </c>
      <c r="C6136" t="s">
        <v>105</v>
      </c>
      <c r="D6136" t="s">
        <v>10558</v>
      </c>
      <c r="E6136" t="s">
        <v>496</v>
      </c>
      <c r="F6136" t="s">
        <v>4097</v>
      </c>
      <c r="G6136" t="s">
        <v>52</v>
      </c>
      <c r="H6136" t="str">
        <f>"ΛΑΕΡΤΗ 18 ΗΡΑΚΛΕΙΟ"</f>
        <v>ΛΑΕΡΤΗ 18 ΗΡΑΚΛΕΙΟ</v>
      </c>
      <c r="I6136">
        <v>71304</v>
      </c>
      <c r="J6136">
        <v>2810372565</v>
      </c>
      <c r="K6136">
        <v>6942407627</v>
      </c>
      <c r="N6136" t="s">
        <v>615</v>
      </c>
      <c r="O6136" t="s">
        <v>616</v>
      </c>
      <c r="R6136" t="s">
        <v>57</v>
      </c>
      <c r="S6136">
        <v>7</v>
      </c>
      <c r="T6136">
        <v>231</v>
      </c>
      <c r="U6136" s="1">
        <v>38230</v>
      </c>
      <c r="V6136" t="s">
        <v>80</v>
      </c>
      <c r="W6136" t="s">
        <v>81</v>
      </c>
      <c r="X6136" t="s">
        <v>58</v>
      </c>
      <c r="Y6136">
        <v>22</v>
      </c>
      <c r="Z6136" t="s">
        <v>59</v>
      </c>
      <c r="AA6136" t="s">
        <v>59</v>
      </c>
      <c r="AB6136" t="s">
        <v>59</v>
      </c>
      <c r="AC6136" t="s">
        <v>59</v>
      </c>
      <c r="AD6136" t="s">
        <v>59</v>
      </c>
      <c r="AF6136" s="1">
        <v>38231</v>
      </c>
      <c r="AG6136" t="s">
        <v>8645</v>
      </c>
      <c r="AH6136" t="s">
        <v>8646</v>
      </c>
      <c r="AI6136" t="str">
        <f>"9170532"</f>
        <v>9170532</v>
      </c>
      <c r="AJ6136" t="s">
        <v>8945</v>
      </c>
      <c r="AK6136">
        <v>2810250330</v>
      </c>
      <c r="AL6136" t="s">
        <v>8946</v>
      </c>
      <c r="AM6136" t="s">
        <v>78</v>
      </c>
      <c r="AN6136" t="s">
        <v>78</v>
      </c>
      <c r="AO6136" t="s">
        <v>78</v>
      </c>
      <c r="AP6136" t="s">
        <v>141</v>
      </c>
      <c r="AQ6136">
        <v>1</v>
      </c>
      <c r="AR6136" t="s">
        <v>80</v>
      </c>
      <c r="AS6136" t="s">
        <v>81</v>
      </c>
      <c r="AT6136" t="s">
        <v>58</v>
      </c>
      <c r="AU6136" t="s">
        <v>68</v>
      </c>
      <c r="AV6136" t="s">
        <v>69</v>
      </c>
      <c r="AW6136" s="1">
        <v>26777</v>
      </c>
      <c r="AX6136">
        <v>1</v>
      </c>
    </row>
    <row r="6137" spans="1:50">
      <c r="A6137">
        <v>601084</v>
      </c>
      <c r="B6137" t="str">
        <f>"077581098"</f>
        <v>077581098</v>
      </c>
      <c r="C6137" t="s">
        <v>50</v>
      </c>
      <c r="D6137" t="s">
        <v>10559</v>
      </c>
      <c r="E6137" t="s">
        <v>563</v>
      </c>
      <c r="F6137" t="s">
        <v>95</v>
      </c>
      <c r="G6137" t="s">
        <v>414</v>
      </c>
      <c r="H6137" t="str">
        <f>" "</f>
        <v xml:space="preserve"> </v>
      </c>
      <c r="J6137">
        <v>2892023358</v>
      </c>
      <c r="K6137">
        <v>6974313296</v>
      </c>
      <c r="N6137" t="s">
        <v>615</v>
      </c>
      <c r="O6137" t="s">
        <v>616</v>
      </c>
      <c r="R6137" t="s">
        <v>57</v>
      </c>
      <c r="S6137">
        <v>8</v>
      </c>
      <c r="T6137">
        <v>207</v>
      </c>
      <c r="U6137" s="1">
        <v>37866</v>
      </c>
      <c r="V6137" t="s">
        <v>80</v>
      </c>
      <c r="W6137" t="s">
        <v>81</v>
      </c>
      <c r="X6137" t="s">
        <v>58</v>
      </c>
      <c r="Y6137">
        <v>22</v>
      </c>
      <c r="Z6137" t="s">
        <v>59</v>
      </c>
      <c r="AA6137" t="s">
        <v>59</v>
      </c>
      <c r="AB6137" t="s">
        <v>59</v>
      </c>
      <c r="AC6137" t="s">
        <v>59</v>
      </c>
      <c r="AD6137" t="s">
        <v>59</v>
      </c>
      <c r="AF6137" s="1">
        <v>37866</v>
      </c>
      <c r="AG6137" t="s">
        <v>8645</v>
      </c>
      <c r="AH6137" t="s">
        <v>8646</v>
      </c>
      <c r="AI6137" t="str">
        <f>"9170495"</f>
        <v>9170495</v>
      </c>
      <c r="AJ6137" t="s">
        <v>8838</v>
      </c>
      <c r="AK6137">
        <v>2892023325</v>
      </c>
      <c r="AL6137" t="s">
        <v>8839</v>
      </c>
      <c r="AM6137" t="s">
        <v>78</v>
      </c>
      <c r="AN6137" t="s">
        <v>242</v>
      </c>
      <c r="AO6137" t="s">
        <v>243</v>
      </c>
      <c r="AP6137" t="s">
        <v>243</v>
      </c>
      <c r="AQ6137">
        <v>20</v>
      </c>
      <c r="AR6137" t="s">
        <v>80</v>
      </c>
      <c r="AS6137" t="s">
        <v>81</v>
      </c>
      <c r="AT6137" t="s">
        <v>58</v>
      </c>
      <c r="AU6137" t="s">
        <v>68</v>
      </c>
      <c r="AV6137" t="s">
        <v>69</v>
      </c>
      <c r="AW6137" s="1">
        <v>26095</v>
      </c>
      <c r="AX6137">
        <v>1</v>
      </c>
    </row>
    <row r="6138" spans="1:50">
      <c r="A6138">
        <v>613629</v>
      </c>
      <c r="B6138" t="str">
        <f>"064086615"</f>
        <v>064086615</v>
      </c>
      <c r="C6138" t="s">
        <v>50</v>
      </c>
      <c r="D6138" t="s">
        <v>7742</v>
      </c>
      <c r="E6138" t="s">
        <v>52</v>
      </c>
      <c r="F6138" t="s">
        <v>99</v>
      </c>
      <c r="G6138" t="s">
        <v>250</v>
      </c>
      <c r="H6138" t="str">
        <f>"ΧΡΟΝΑΚΗ 6 ΗΡΑΚΛΕΙΟ"</f>
        <v>ΧΡΟΝΑΚΗ 6 ΗΡΑΚΛΕΙΟ</v>
      </c>
      <c r="I6138">
        <v>71202</v>
      </c>
      <c r="J6138">
        <v>2810221891</v>
      </c>
      <c r="K6138">
        <v>6937431150</v>
      </c>
      <c r="N6138" t="s">
        <v>615</v>
      </c>
      <c r="O6138" t="s">
        <v>616</v>
      </c>
      <c r="R6138" t="s">
        <v>57</v>
      </c>
      <c r="S6138">
        <v>6</v>
      </c>
      <c r="T6138">
        <v>598</v>
      </c>
      <c r="U6138" s="1">
        <v>39310</v>
      </c>
      <c r="V6138" t="s">
        <v>80</v>
      </c>
      <c r="W6138" t="s">
        <v>81</v>
      </c>
      <c r="X6138" t="s">
        <v>58</v>
      </c>
      <c r="Y6138">
        <v>23</v>
      </c>
      <c r="Z6138" t="s">
        <v>59</v>
      </c>
      <c r="AA6138" t="s">
        <v>59</v>
      </c>
      <c r="AB6138" t="s">
        <v>59</v>
      </c>
      <c r="AC6138" t="s">
        <v>59</v>
      </c>
      <c r="AD6138" t="s">
        <v>59</v>
      </c>
      <c r="AF6138" s="1">
        <v>39328</v>
      </c>
      <c r="AG6138" t="s">
        <v>8645</v>
      </c>
      <c r="AH6138" t="s">
        <v>8646</v>
      </c>
      <c r="AI6138" t="str">
        <f>"9170107"</f>
        <v>9170107</v>
      </c>
      <c r="AJ6138" t="s">
        <v>8798</v>
      </c>
      <c r="AK6138">
        <v>2810282405</v>
      </c>
      <c r="AL6138" t="s">
        <v>8799</v>
      </c>
      <c r="AM6138" t="s">
        <v>78</v>
      </c>
      <c r="AN6138" t="s">
        <v>78</v>
      </c>
      <c r="AO6138" t="s">
        <v>78</v>
      </c>
      <c r="AP6138" t="s">
        <v>79</v>
      </c>
      <c r="AQ6138">
        <v>1</v>
      </c>
      <c r="AR6138" t="s">
        <v>80</v>
      </c>
      <c r="AS6138" t="s">
        <v>81</v>
      </c>
      <c r="AT6138" t="s">
        <v>58</v>
      </c>
      <c r="AU6138" t="s">
        <v>68</v>
      </c>
      <c r="AV6138" t="s">
        <v>69</v>
      </c>
      <c r="AW6138" s="1">
        <v>29184</v>
      </c>
      <c r="AX6138">
        <v>1</v>
      </c>
    </row>
    <row r="6139" spans="1:50">
      <c r="A6139">
        <v>621168</v>
      </c>
      <c r="B6139" t="str">
        <f>"119694291"</f>
        <v>119694291</v>
      </c>
      <c r="C6139" t="s">
        <v>50</v>
      </c>
      <c r="D6139" t="s">
        <v>2551</v>
      </c>
      <c r="E6139" t="s">
        <v>237</v>
      </c>
      <c r="F6139" t="s">
        <v>72</v>
      </c>
      <c r="G6139" t="s">
        <v>73</v>
      </c>
      <c r="H6139" t="str">
        <f>"1922 5 ΗΡΑΚΛΕΙΟ"</f>
        <v>1922 5 ΗΡΑΚΛΕΙΟ</v>
      </c>
      <c r="I6139">
        <v>71601</v>
      </c>
      <c r="J6139">
        <v>2810227567</v>
      </c>
      <c r="K6139">
        <v>6947278406</v>
      </c>
      <c r="N6139" t="s">
        <v>615</v>
      </c>
      <c r="O6139" t="s">
        <v>616</v>
      </c>
      <c r="R6139" t="s">
        <v>57</v>
      </c>
      <c r="S6139">
        <v>5</v>
      </c>
      <c r="T6139">
        <v>653</v>
      </c>
      <c r="U6139" s="1">
        <v>40043</v>
      </c>
      <c r="V6139" t="s">
        <v>80</v>
      </c>
      <c r="W6139" t="s">
        <v>81</v>
      </c>
      <c r="X6139" t="s">
        <v>58</v>
      </c>
      <c r="Y6139">
        <v>23</v>
      </c>
      <c r="Z6139" t="s">
        <v>59</v>
      </c>
      <c r="AA6139" t="s">
        <v>59</v>
      </c>
      <c r="AB6139" t="s">
        <v>59</v>
      </c>
      <c r="AC6139" t="s">
        <v>59</v>
      </c>
      <c r="AD6139" t="s">
        <v>59</v>
      </c>
      <c r="AF6139" s="1">
        <v>40043</v>
      </c>
      <c r="AG6139" t="s">
        <v>8645</v>
      </c>
      <c r="AH6139" t="s">
        <v>8646</v>
      </c>
      <c r="AI6139" t="str">
        <f>"9170520"</f>
        <v>9170520</v>
      </c>
      <c r="AJ6139" t="s">
        <v>8738</v>
      </c>
      <c r="AK6139">
        <v>2810281317</v>
      </c>
      <c r="AL6139" t="s">
        <v>8739</v>
      </c>
      <c r="AM6139" t="s">
        <v>78</v>
      </c>
      <c r="AN6139" t="s">
        <v>78</v>
      </c>
      <c r="AO6139" t="s">
        <v>286</v>
      </c>
      <c r="AP6139" t="s">
        <v>286</v>
      </c>
      <c r="AQ6139">
        <v>1</v>
      </c>
      <c r="AR6139" t="s">
        <v>80</v>
      </c>
      <c r="AS6139" t="s">
        <v>81</v>
      </c>
      <c r="AT6139" t="s">
        <v>58</v>
      </c>
      <c r="AU6139" t="s">
        <v>68</v>
      </c>
      <c r="AV6139" t="s">
        <v>69</v>
      </c>
      <c r="AW6139" s="1">
        <v>31181</v>
      </c>
      <c r="AX6139">
        <v>1</v>
      </c>
    </row>
    <row r="6140" spans="1:50">
      <c r="A6140">
        <v>604060</v>
      </c>
      <c r="B6140" t="str">
        <f>"079189594"</f>
        <v>079189594</v>
      </c>
      <c r="C6140" t="s">
        <v>50</v>
      </c>
      <c r="D6140" t="s">
        <v>2551</v>
      </c>
      <c r="E6140" t="s">
        <v>143</v>
      </c>
      <c r="F6140" t="s">
        <v>99</v>
      </c>
      <c r="G6140" t="s">
        <v>1179</v>
      </c>
      <c r="H6140" t="str">
        <f>" "</f>
        <v xml:space="preserve"> </v>
      </c>
      <c r="J6140">
        <v>2810210468</v>
      </c>
      <c r="K6140">
        <v>6976639035</v>
      </c>
      <c r="N6140" t="s">
        <v>615</v>
      </c>
      <c r="O6140" t="s">
        <v>616</v>
      </c>
      <c r="R6140" t="s">
        <v>57</v>
      </c>
      <c r="S6140">
        <v>8</v>
      </c>
      <c r="T6140">
        <v>231</v>
      </c>
      <c r="U6140" s="1">
        <v>38230</v>
      </c>
      <c r="V6140" t="s">
        <v>80</v>
      </c>
      <c r="W6140" t="s">
        <v>81</v>
      </c>
      <c r="X6140" t="s">
        <v>58</v>
      </c>
      <c r="Y6140">
        <v>22</v>
      </c>
      <c r="Z6140" t="s">
        <v>59</v>
      </c>
      <c r="AA6140" t="s">
        <v>59</v>
      </c>
      <c r="AB6140" t="s">
        <v>59</v>
      </c>
      <c r="AC6140" t="s">
        <v>59</v>
      </c>
      <c r="AD6140" t="s">
        <v>59</v>
      </c>
      <c r="AF6140" s="1">
        <v>38232</v>
      </c>
      <c r="AG6140" t="s">
        <v>8645</v>
      </c>
      <c r="AH6140" t="s">
        <v>8646</v>
      </c>
      <c r="AI6140" t="str">
        <f>"9170219"</f>
        <v>9170219</v>
      </c>
      <c r="AJ6140" t="s">
        <v>8967</v>
      </c>
      <c r="AK6140">
        <v>2897041357</v>
      </c>
      <c r="AL6140" t="s">
        <v>8968</v>
      </c>
      <c r="AM6140" t="s">
        <v>78</v>
      </c>
      <c r="AN6140" t="s">
        <v>219</v>
      </c>
      <c r="AO6140" t="s">
        <v>297</v>
      </c>
      <c r="AP6140" t="s">
        <v>297</v>
      </c>
      <c r="AQ6140">
        <v>7</v>
      </c>
      <c r="AR6140" t="s">
        <v>80</v>
      </c>
      <c r="AS6140" t="s">
        <v>81</v>
      </c>
      <c r="AT6140" t="s">
        <v>58</v>
      </c>
      <c r="AU6140" t="s">
        <v>68</v>
      </c>
      <c r="AV6140" t="s">
        <v>69</v>
      </c>
      <c r="AW6140" s="1">
        <v>25028</v>
      </c>
      <c r="AX6140">
        <v>1</v>
      </c>
    </row>
    <row r="6141" spans="1:50">
      <c r="A6141">
        <v>588549</v>
      </c>
      <c r="B6141" t="str">
        <f>"038817390"</f>
        <v>038817390</v>
      </c>
      <c r="C6141" t="s">
        <v>50</v>
      </c>
      <c r="D6141" t="s">
        <v>2551</v>
      </c>
      <c r="E6141" t="s">
        <v>83</v>
      </c>
      <c r="F6141" t="s">
        <v>99</v>
      </c>
      <c r="G6141" t="s">
        <v>96</v>
      </c>
      <c r="H6141" t="str">
        <f>"Μ. ΚΑΛΟΚΑΙΡΙΝΟΥ 15-ΑΝΘΕΩΝ 48 ΗΡΑΚΛΕΙΟ"</f>
        <v>Μ. ΚΑΛΟΚΑΙΡΙΝΟΥ 15-ΑΝΘΕΩΝ 48 ΗΡΑΚΛΕΙΟ</v>
      </c>
      <c r="K6141">
        <v>6909205896</v>
      </c>
      <c r="N6141" t="s">
        <v>615</v>
      </c>
      <c r="O6141" t="s">
        <v>616</v>
      </c>
      <c r="R6141" t="s">
        <v>57</v>
      </c>
      <c r="S6141">
        <v>11</v>
      </c>
      <c r="T6141">
        <v>176</v>
      </c>
      <c r="U6141" s="1">
        <v>36403</v>
      </c>
      <c r="V6141" t="s">
        <v>80</v>
      </c>
      <c r="W6141" t="s">
        <v>81</v>
      </c>
      <c r="X6141" t="s">
        <v>58</v>
      </c>
      <c r="Y6141">
        <v>21</v>
      </c>
      <c r="Z6141" t="s">
        <v>59</v>
      </c>
      <c r="AA6141" t="s">
        <v>59</v>
      </c>
      <c r="AB6141" t="s">
        <v>59</v>
      </c>
      <c r="AC6141" t="s">
        <v>59</v>
      </c>
      <c r="AD6141" t="s">
        <v>59</v>
      </c>
      <c r="AF6141" s="1">
        <v>36404</v>
      </c>
      <c r="AG6141" t="s">
        <v>8645</v>
      </c>
      <c r="AH6141" t="s">
        <v>8646</v>
      </c>
      <c r="AI6141" t="str">
        <f>"9170531"</f>
        <v>9170531</v>
      </c>
      <c r="AJ6141" t="s">
        <v>8980</v>
      </c>
      <c r="AK6141">
        <v>2810229104</v>
      </c>
      <c r="AL6141" t="s">
        <v>8981</v>
      </c>
      <c r="AM6141" t="s">
        <v>78</v>
      </c>
      <c r="AN6141" t="s">
        <v>78</v>
      </c>
      <c r="AO6141" t="s">
        <v>78</v>
      </c>
      <c r="AP6141" t="s">
        <v>79</v>
      </c>
      <c r="AQ6141">
        <v>1</v>
      </c>
      <c r="AR6141" t="s">
        <v>80</v>
      </c>
      <c r="AS6141" t="s">
        <v>81</v>
      </c>
      <c r="AT6141" t="s">
        <v>58</v>
      </c>
      <c r="AU6141" t="s">
        <v>68</v>
      </c>
      <c r="AV6141" t="s">
        <v>69</v>
      </c>
      <c r="AW6141" s="1">
        <v>24645</v>
      </c>
      <c r="AX6141">
        <v>1</v>
      </c>
    </row>
    <row r="6142" spans="1:50">
      <c r="A6142">
        <v>610098</v>
      </c>
      <c r="B6142" t="str">
        <f>"064120860"</f>
        <v>064120860</v>
      </c>
      <c r="C6142" t="s">
        <v>105</v>
      </c>
      <c r="D6142" t="s">
        <v>2557</v>
      </c>
      <c r="E6142" t="s">
        <v>760</v>
      </c>
      <c r="F6142" t="s">
        <v>106</v>
      </c>
      <c r="G6142" t="s">
        <v>191</v>
      </c>
      <c r="H6142" t="str">
        <f>"ΚΑΣΟΥ 11 ΗΡΑΚΛΕΙΟ"</f>
        <v>ΚΑΣΟΥ 11 ΗΡΑΚΛΕΙΟ</v>
      </c>
      <c r="I6142">
        <v>71305</v>
      </c>
      <c r="J6142">
        <v>2810289039</v>
      </c>
      <c r="K6142">
        <v>6932989563</v>
      </c>
      <c r="N6142" t="s">
        <v>615</v>
      </c>
      <c r="O6142" t="s">
        <v>616</v>
      </c>
      <c r="R6142" t="s">
        <v>57</v>
      </c>
      <c r="S6142">
        <v>7</v>
      </c>
      <c r="T6142">
        <v>233</v>
      </c>
      <c r="U6142" s="1">
        <v>38960</v>
      </c>
      <c r="V6142" t="s">
        <v>80</v>
      </c>
      <c r="W6142" t="s">
        <v>81</v>
      </c>
      <c r="X6142" t="s">
        <v>58</v>
      </c>
      <c r="Y6142">
        <v>25</v>
      </c>
      <c r="Z6142" t="s">
        <v>59</v>
      </c>
      <c r="AA6142" t="s">
        <v>59</v>
      </c>
      <c r="AB6142" t="s">
        <v>59</v>
      </c>
      <c r="AC6142" t="s">
        <v>59</v>
      </c>
      <c r="AD6142" t="s">
        <v>59</v>
      </c>
      <c r="AF6142" s="1">
        <v>38961</v>
      </c>
      <c r="AG6142" t="s">
        <v>8645</v>
      </c>
      <c r="AH6142" t="s">
        <v>8676</v>
      </c>
      <c r="AI6142" t="str">
        <f>"9170008"</f>
        <v>9170008</v>
      </c>
      <c r="AJ6142" t="s">
        <v>10560</v>
      </c>
      <c r="AK6142">
        <v>2810861366</v>
      </c>
      <c r="AL6142" t="s">
        <v>10561</v>
      </c>
      <c r="AM6142" t="s">
        <v>78</v>
      </c>
      <c r="AN6142" t="s">
        <v>78</v>
      </c>
      <c r="AO6142" t="s">
        <v>185</v>
      </c>
      <c r="AP6142" t="s">
        <v>10562</v>
      </c>
      <c r="AQ6142">
        <v>4</v>
      </c>
      <c r="AR6142" t="s">
        <v>80</v>
      </c>
      <c r="AS6142" t="s">
        <v>81</v>
      </c>
      <c r="AT6142" t="s">
        <v>58</v>
      </c>
      <c r="AU6142" t="s">
        <v>68</v>
      </c>
      <c r="AV6142" t="s">
        <v>69</v>
      </c>
      <c r="AW6142" s="1">
        <v>27072</v>
      </c>
      <c r="AX6142">
        <v>1</v>
      </c>
    </row>
    <row r="6143" spans="1:50">
      <c r="A6143">
        <v>209134</v>
      </c>
      <c r="B6143" t="str">
        <f>"118934188"</f>
        <v>118934188</v>
      </c>
      <c r="C6143" t="s">
        <v>105</v>
      </c>
      <c r="D6143" t="s">
        <v>2557</v>
      </c>
      <c r="E6143" t="s">
        <v>936</v>
      </c>
      <c r="F6143" t="s">
        <v>166</v>
      </c>
      <c r="G6143" t="s">
        <v>188</v>
      </c>
      <c r="H6143" t="str">
        <f>"ΠΑΤΣΙΔΕΣ ΑΧΑΡΝΩΝ ΑΧΑΡΝΕΣ ΗΡΑΚΛΕΙΟΥ"</f>
        <v>ΠΑΤΣΙΔΕΣ ΑΧΑΡΝΩΝ ΑΧΑΡΝΕΣ ΗΡΑΚΛΕΙΟΥ</v>
      </c>
      <c r="I6143">
        <v>70100</v>
      </c>
      <c r="J6143">
        <v>2810731843</v>
      </c>
      <c r="K6143">
        <v>6944447308</v>
      </c>
      <c r="M6143" t="s">
        <v>10563</v>
      </c>
      <c r="N6143" t="s">
        <v>204</v>
      </c>
      <c r="O6143" t="s">
        <v>205</v>
      </c>
      <c r="R6143" t="s">
        <v>57</v>
      </c>
      <c r="S6143">
        <v>4</v>
      </c>
      <c r="T6143">
        <v>218</v>
      </c>
      <c r="U6143" s="1">
        <v>38961</v>
      </c>
      <c r="V6143" t="s">
        <v>80</v>
      </c>
      <c r="W6143" t="s">
        <v>81</v>
      </c>
      <c r="X6143" t="s">
        <v>58</v>
      </c>
      <c r="Y6143">
        <v>24</v>
      </c>
      <c r="Z6143" t="s">
        <v>59</v>
      </c>
      <c r="AA6143" t="s">
        <v>59</v>
      </c>
      <c r="AB6143" t="s">
        <v>59</v>
      </c>
      <c r="AC6143" t="s">
        <v>59</v>
      </c>
      <c r="AD6143" t="s">
        <v>59</v>
      </c>
      <c r="AF6143" s="1">
        <v>38961</v>
      </c>
      <c r="AG6143" t="s">
        <v>8645</v>
      </c>
      <c r="AH6143" t="s">
        <v>8646</v>
      </c>
      <c r="AI6143" t="str">
        <f>"9170058"</f>
        <v>9170058</v>
      </c>
      <c r="AJ6143" t="s">
        <v>8735</v>
      </c>
      <c r="AK6143">
        <v>2810252903</v>
      </c>
      <c r="AL6143" t="s">
        <v>8736</v>
      </c>
      <c r="AM6143" t="s">
        <v>78</v>
      </c>
      <c r="AN6143" t="s">
        <v>78</v>
      </c>
      <c r="AO6143" t="s">
        <v>78</v>
      </c>
      <c r="AP6143" t="s">
        <v>163</v>
      </c>
      <c r="AQ6143">
        <v>1</v>
      </c>
      <c r="AR6143" t="s">
        <v>80</v>
      </c>
      <c r="AS6143" t="s">
        <v>81</v>
      </c>
      <c r="AT6143" t="s">
        <v>58</v>
      </c>
      <c r="AU6143" t="s">
        <v>68</v>
      </c>
      <c r="AV6143" t="s">
        <v>69</v>
      </c>
      <c r="AW6143" s="1">
        <v>29088</v>
      </c>
      <c r="AX6143">
        <v>1</v>
      </c>
    </row>
    <row r="6144" spans="1:50">
      <c r="A6144">
        <v>560729</v>
      </c>
      <c r="B6144" t="str">
        <f>"029073534"</f>
        <v>029073534</v>
      </c>
      <c r="C6144" t="s">
        <v>105</v>
      </c>
      <c r="D6144" t="s">
        <v>2557</v>
      </c>
      <c r="E6144" t="s">
        <v>10564</v>
      </c>
      <c r="F6144" t="s">
        <v>95</v>
      </c>
      <c r="G6144" t="s">
        <v>188</v>
      </c>
      <c r="H6144" t="str">
        <f>"Λ. ΚΝΩΣΣΟΥ 14 ΗΡΑΚΛΕΙΟ"</f>
        <v>Λ. ΚΝΩΣΣΟΥ 14 ΗΡΑΚΛΕΙΟ</v>
      </c>
      <c r="I6144">
        <v>71306</v>
      </c>
      <c r="J6144">
        <v>2810281206</v>
      </c>
      <c r="K6144">
        <v>6955006530</v>
      </c>
      <c r="M6144" t="s">
        <v>10565</v>
      </c>
      <c r="N6144" t="s">
        <v>615</v>
      </c>
      <c r="O6144" t="s">
        <v>616</v>
      </c>
      <c r="R6144" t="s">
        <v>57</v>
      </c>
      <c r="S6144">
        <v>15</v>
      </c>
      <c r="T6144">
        <v>159</v>
      </c>
      <c r="U6144" s="1">
        <v>32385</v>
      </c>
      <c r="V6144" t="s">
        <v>80</v>
      </c>
      <c r="W6144" t="s">
        <v>81</v>
      </c>
      <c r="X6144" t="s">
        <v>58</v>
      </c>
      <c r="Y6144">
        <v>21</v>
      </c>
      <c r="Z6144" t="s">
        <v>59</v>
      </c>
      <c r="AA6144" t="s">
        <v>59</v>
      </c>
      <c r="AB6144" t="s">
        <v>59</v>
      </c>
      <c r="AC6144" t="s">
        <v>59</v>
      </c>
      <c r="AD6144" t="s">
        <v>59</v>
      </c>
      <c r="AF6144" s="1">
        <v>32391</v>
      </c>
      <c r="AG6144" t="s">
        <v>8645</v>
      </c>
      <c r="AH6144" t="s">
        <v>8646</v>
      </c>
      <c r="AI6144" t="str">
        <f>"9170196"</f>
        <v>9170196</v>
      </c>
      <c r="AJ6144" t="s">
        <v>9255</v>
      </c>
      <c r="AK6144">
        <v>2810283356</v>
      </c>
      <c r="AL6144" t="s">
        <v>9256</v>
      </c>
      <c r="AM6144" t="s">
        <v>78</v>
      </c>
      <c r="AN6144" t="s">
        <v>78</v>
      </c>
      <c r="AO6144" t="s">
        <v>78</v>
      </c>
      <c r="AP6144" t="s">
        <v>79</v>
      </c>
      <c r="AQ6144">
        <v>1</v>
      </c>
      <c r="AR6144" t="s">
        <v>80</v>
      </c>
      <c r="AS6144" t="s">
        <v>81</v>
      </c>
      <c r="AT6144" t="s">
        <v>58</v>
      </c>
      <c r="AU6144" t="s">
        <v>68</v>
      </c>
      <c r="AV6144" t="s">
        <v>2039</v>
      </c>
      <c r="AW6144" s="1">
        <v>23418</v>
      </c>
      <c r="AX6144">
        <v>1</v>
      </c>
    </row>
    <row r="6145" spans="1:50">
      <c r="A6145">
        <v>567828</v>
      </c>
      <c r="B6145" t="str">
        <f>"033400362"</f>
        <v>033400362</v>
      </c>
      <c r="C6145" t="s">
        <v>50</v>
      </c>
      <c r="D6145" t="s">
        <v>2560</v>
      </c>
      <c r="E6145" t="s">
        <v>1176</v>
      </c>
      <c r="F6145" t="s">
        <v>760</v>
      </c>
      <c r="G6145" t="s">
        <v>1029</v>
      </c>
      <c r="H6145" t="str">
        <f>"ΙΛ. ΚΑΤΣΟΥΛΗ 19 ΗΡΑΚΛΕΙΟ"</f>
        <v>ΙΛ. ΚΑΤΣΟΥΛΗ 19 ΗΡΑΚΛΕΙΟ</v>
      </c>
      <c r="I6145">
        <v>71305</v>
      </c>
      <c r="J6145">
        <v>2810238860</v>
      </c>
      <c r="K6145">
        <v>6974130732</v>
      </c>
      <c r="N6145" t="s">
        <v>1525</v>
      </c>
      <c r="O6145" t="s">
        <v>1526</v>
      </c>
      <c r="R6145" t="s">
        <v>57</v>
      </c>
      <c r="S6145">
        <v>15</v>
      </c>
      <c r="T6145">
        <v>133</v>
      </c>
      <c r="U6145" s="1">
        <v>33456</v>
      </c>
      <c r="V6145" t="s">
        <v>80</v>
      </c>
      <c r="W6145" t="s">
        <v>81</v>
      </c>
      <c r="X6145" t="s">
        <v>58</v>
      </c>
      <c r="Y6145">
        <v>25</v>
      </c>
      <c r="Z6145" t="s">
        <v>59</v>
      </c>
      <c r="AA6145" t="s">
        <v>59</v>
      </c>
      <c r="AB6145" t="s">
        <v>59</v>
      </c>
      <c r="AC6145" t="s">
        <v>59</v>
      </c>
      <c r="AD6145" t="s">
        <v>59</v>
      </c>
      <c r="AF6145" s="1">
        <v>33483</v>
      </c>
      <c r="AG6145" t="s">
        <v>8651</v>
      </c>
      <c r="AH6145" t="s">
        <v>8652</v>
      </c>
      <c r="AI6145" t="str">
        <f>"9170487"</f>
        <v>9170487</v>
      </c>
      <c r="AJ6145" t="s">
        <v>10566</v>
      </c>
      <c r="AK6145">
        <v>2810232045</v>
      </c>
      <c r="AL6145" t="s">
        <v>10567</v>
      </c>
      <c r="AM6145" t="s">
        <v>78</v>
      </c>
      <c r="AN6145" t="s">
        <v>78</v>
      </c>
      <c r="AO6145" t="s">
        <v>78</v>
      </c>
      <c r="AP6145" t="s">
        <v>79</v>
      </c>
      <c r="AQ6145">
        <v>1</v>
      </c>
      <c r="AR6145" t="s">
        <v>80</v>
      </c>
      <c r="AS6145" t="s">
        <v>81</v>
      </c>
      <c r="AT6145" t="s">
        <v>58</v>
      </c>
      <c r="AU6145" t="s">
        <v>68</v>
      </c>
      <c r="AV6145" t="s">
        <v>69</v>
      </c>
      <c r="AW6145" s="1">
        <v>23801</v>
      </c>
      <c r="AX6145">
        <v>1</v>
      </c>
    </row>
    <row r="6146" spans="1:50">
      <c r="A6146">
        <v>599022</v>
      </c>
      <c r="B6146" t="str">
        <f>"078714555"</f>
        <v>078714555</v>
      </c>
      <c r="C6146" t="s">
        <v>105</v>
      </c>
      <c r="D6146" t="s">
        <v>2561</v>
      </c>
      <c r="E6146" t="s">
        <v>1413</v>
      </c>
      <c r="F6146" t="s">
        <v>10568</v>
      </c>
      <c r="G6146" t="s">
        <v>580</v>
      </c>
      <c r="H6146" t="str">
        <f>"ΤΗΝΟΥ 9 ΗΡΑΚΛΕΙΟ"</f>
        <v>ΤΗΝΟΥ 9 ΗΡΑΚΛΕΙΟ</v>
      </c>
      <c r="I6146">
        <v>71304</v>
      </c>
      <c r="J6146">
        <v>2810318810</v>
      </c>
      <c r="K6146">
        <v>6976435840</v>
      </c>
      <c r="N6146" t="s">
        <v>615</v>
      </c>
      <c r="O6146" t="s">
        <v>616</v>
      </c>
      <c r="R6146" t="s">
        <v>57</v>
      </c>
      <c r="S6146">
        <v>10</v>
      </c>
      <c r="T6146">
        <v>195</v>
      </c>
      <c r="U6146" s="1">
        <v>37497</v>
      </c>
      <c r="V6146" t="s">
        <v>80</v>
      </c>
      <c r="W6146" t="s">
        <v>81</v>
      </c>
      <c r="X6146" t="s">
        <v>58</v>
      </c>
      <c r="Y6146">
        <v>22</v>
      </c>
      <c r="Z6146" t="s">
        <v>59</v>
      </c>
      <c r="AA6146" t="s">
        <v>59</v>
      </c>
      <c r="AB6146" t="s">
        <v>59</v>
      </c>
      <c r="AC6146" t="s">
        <v>59</v>
      </c>
      <c r="AD6146" t="s">
        <v>59</v>
      </c>
      <c r="AF6146" s="1">
        <v>37504</v>
      </c>
      <c r="AG6146" t="s">
        <v>8645</v>
      </c>
      <c r="AH6146" t="s">
        <v>8646</v>
      </c>
      <c r="AI6146" t="str">
        <f>"9170054"</f>
        <v>9170054</v>
      </c>
      <c r="AJ6146" t="s">
        <v>9106</v>
      </c>
      <c r="AK6146">
        <v>2810254527</v>
      </c>
      <c r="AL6146" t="s">
        <v>9107</v>
      </c>
      <c r="AM6146" t="s">
        <v>78</v>
      </c>
      <c r="AN6146" t="s">
        <v>78</v>
      </c>
      <c r="AO6146" t="s">
        <v>78</v>
      </c>
      <c r="AP6146" t="s">
        <v>163</v>
      </c>
      <c r="AQ6146">
        <v>1</v>
      </c>
      <c r="AR6146" t="s">
        <v>80</v>
      </c>
      <c r="AS6146" t="s">
        <v>81</v>
      </c>
      <c r="AT6146" t="s">
        <v>58</v>
      </c>
      <c r="AU6146" t="s">
        <v>68</v>
      </c>
      <c r="AV6146" t="s">
        <v>69</v>
      </c>
      <c r="AW6146" s="1">
        <v>26468</v>
      </c>
      <c r="AX6146">
        <v>1</v>
      </c>
    </row>
    <row r="6147" spans="1:50">
      <c r="A6147">
        <v>596536</v>
      </c>
      <c r="B6147" t="str">
        <f>"047275938"</f>
        <v>047275938</v>
      </c>
      <c r="C6147" t="s">
        <v>50</v>
      </c>
      <c r="D6147" t="s">
        <v>10569</v>
      </c>
      <c r="E6147" t="s">
        <v>396</v>
      </c>
      <c r="F6147" t="s">
        <v>154</v>
      </c>
      <c r="G6147" t="s">
        <v>473</v>
      </c>
      <c r="H6147" t="str">
        <f>"ΑΝΩ ΑΣΙΤΕΣ  ΑΝΩ ΑΣΙΤΕΣ ΗΡΑΚΛΕΙΟΥ"</f>
        <v>ΑΝΩ ΑΣΙΤΕΣ  ΑΝΩ ΑΣΙΤΕΣ ΗΡΑΚΛΕΙΟΥ</v>
      </c>
      <c r="I6147">
        <v>70013</v>
      </c>
      <c r="J6147">
        <v>2810861513</v>
      </c>
      <c r="K6147">
        <v>6973793507</v>
      </c>
      <c r="N6147" t="s">
        <v>615</v>
      </c>
      <c r="O6147" t="s">
        <v>616</v>
      </c>
      <c r="R6147" t="s">
        <v>57</v>
      </c>
      <c r="S6147">
        <v>13</v>
      </c>
      <c r="T6147">
        <v>195</v>
      </c>
      <c r="U6147" s="1">
        <v>37497</v>
      </c>
      <c r="V6147" t="s">
        <v>80</v>
      </c>
      <c r="W6147" t="s">
        <v>81</v>
      </c>
      <c r="X6147" t="s">
        <v>58</v>
      </c>
      <c r="Y6147">
        <v>21</v>
      </c>
      <c r="Z6147" t="s">
        <v>59</v>
      </c>
      <c r="AA6147" t="s">
        <v>59</v>
      </c>
      <c r="AB6147" t="s">
        <v>59</v>
      </c>
      <c r="AC6147" t="s">
        <v>59</v>
      </c>
      <c r="AD6147" t="s">
        <v>59</v>
      </c>
      <c r="AF6147" s="1">
        <v>37501</v>
      </c>
      <c r="AG6147" t="s">
        <v>8645</v>
      </c>
      <c r="AH6147" t="s">
        <v>8646</v>
      </c>
      <c r="AI6147" t="str">
        <f>"9170039"</f>
        <v>9170039</v>
      </c>
      <c r="AJ6147" t="s">
        <v>8804</v>
      </c>
      <c r="AK6147">
        <v>2894022231</v>
      </c>
      <c r="AL6147" t="s">
        <v>8805</v>
      </c>
      <c r="AM6147" t="s">
        <v>78</v>
      </c>
      <c r="AN6147" t="s">
        <v>405</v>
      </c>
      <c r="AO6147" t="s">
        <v>406</v>
      </c>
      <c r="AP6147" t="s">
        <v>406</v>
      </c>
      <c r="AQ6147">
        <v>6</v>
      </c>
      <c r="AR6147" t="s">
        <v>80</v>
      </c>
      <c r="AS6147" t="s">
        <v>81</v>
      </c>
      <c r="AT6147" t="s">
        <v>58</v>
      </c>
      <c r="AU6147" t="s">
        <v>68</v>
      </c>
      <c r="AV6147" t="s">
        <v>69</v>
      </c>
      <c r="AW6147" s="1">
        <v>21409</v>
      </c>
      <c r="AX6147">
        <v>1</v>
      </c>
    </row>
    <row r="6148" spans="1:50">
      <c r="A6148">
        <v>589894</v>
      </c>
      <c r="B6148" t="str">
        <f>"118900517"</f>
        <v>118900517</v>
      </c>
      <c r="C6148" t="s">
        <v>50</v>
      </c>
      <c r="D6148" t="s">
        <v>2566</v>
      </c>
      <c r="E6148" t="s">
        <v>221</v>
      </c>
      <c r="F6148" t="s">
        <v>95</v>
      </c>
      <c r="G6148" t="s">
        <v>52</v>
      </c>
      <c r="H6148" t="str">
        <f>"ΚΑΤΩ ΚΑΛΕΣΣΑ  ΓΑΖΙ ΗΡΑΚΛΕΙΟΥ"</f>
        <v>ΚΑΤΩ ΚΑΛΕΣΣΑ  ΓΑΖΙ ΗΡΑΚΛΕΙΟΥ</v>
      </c>
      <c r="I6148">
        <v>71500</v>
      </c>
      <c r="J6148">
        <v>2810824468</v>
      </c>
      <c r="K6148">
        <v>6977912649</v>
      </c>
      <c r="N6148" t="s">
        <v>176</v>
      </c>
      <c r="O6148" t="s">
        <v>177</v>
      </c>
      <c r="R6148" t="s">
        <v>57</v>
      </c>
      <c r="S6148">
        <v>9</v>
      </c>
      <c r="T6148">
        <v>177</v>
      </c>
      <c r="U6148" s="1">
        <v>36403</v>
      </c>
      <c r="V6148" t="s">
        <v>80</v>
      </c>
      <c r="W6148" t="s">
        <v>81</v>
      </c>
      <c r="X6148" t="s">
        <v>58</v>
      </c>
      <c r="Y6148">
        <v>22</v>
      </c>
      <c r="Z6148" t="s">
        <v>59</v>
      </c>
      <c r="AA6148" t="s">
        <v>59</v>
      </c>
      <c r="AB6148" t="s">
        <v>59</v>
      </c>
      <c r="AC6148" t="s">
        <v>59</v>
      </c>
      <c r="AD6148" t="s">
        <v>59</v>
      </c>
      <c r="AF6148" s="1">
        <v>36405</v>
      </c>
      <c r="AG6148" t="s">
        <v>8645</v>
      </c>
      <c r="AH6148" t="s">
        <v>8646</v>
      </c>
      <c r="AI6148" t="str">
        <f>"9170017"</f>
        <v>9170017</v>
      </c>
      <c r="AJ6148" t="s">
        <v>9114</v>
      </c>
      <c r="AK6148">
        <v>2810250746</v>
      </c>
      <c r="AL6148" t="s">
        <v>9115</v>
      </c>
      <c r="AM6148" t="s">
        <v>78</v>
      </c>
      <c r="AN6148" t="s">
        <v>129</v>
      </c>
      <c r="AO6148" t="s">
        <v>130</v>
      </c>
      <c r="AP6148" t="s">
        <v>130</v>
      </c>
      <c r="AQ6148">
        <v>1</v>
      </c>
      <c r="AR6148" t="s">
        <v>80</v>
      </c>
      <c r="AS6148" t="s">
        <v>81</v>
      </c>
      <c r="AT6148" t="s">
        <v>58</v>
      </c>
      <c r="AU6148" t="s">
        <v>68</v>
      </c>
      <c r="AV6148" t="s">
        <v>69</v>
      </c>
      <c r="AW6148" s="1">
        <v>24871</v>
      </c>
      <c r="AX6148">
        <v>1</v>
      </c>
    </row>
    <row r="6149" spans="1:50">
      <c r="A6149">
        <v>582884</v>
      </c>
      <c r="B6149" t="str">
        <f>"036672846"</f>
        <v>036672846</v>
      </c>
      <c r="C6149" t="s">
        <v>50</v>
      </c>
      <c r="D6149" t="s">
        <v>2566</v>
      </c>
      <c r="E6149" t="s">
        <v>610</v>
      </c>
      <c r="F6149" t="s">
        <v>53</v>
      </c>
      <c r="G6149" t="s">
        <v>52</v>
      </c>
      <c r="H6149" t="str">
        <f>" "</f>
        <v xml:space="preserve"> </v>
      </c>
      <c r="J6149">
        <v>2810317521</v>
      </c>
      <c r="K6149">
        <v>6977760323</v>
      </c>
      <c r="N6149" t="s">
        <v>1525</v>
      </c>
      <c r="O6149" t="s">
        <v>1526</v>
      </c>
      <c r="P6149" t="s">
        <v>176</v>
      </c>
      <c r="Q6149" t="s">
        <v>177</v>
      </c>
      <c r="R6149" t="s">
        <v>57</v>
      </c>
      <c r="S6149">
        <v>12</v>
      </c>
      <c r="T6149">
        <v>179</v>
      </c>
      <c r="U6149" s="1">
        <v>35674</v>
      </c>
      <c r="V6149" t="s">
        <v>80</v>
      </c>
      <c r="W6149" t="s">
        <v>81</v>
      </c>
      <c r="X6149" t="s">
        <v>58</v>
      </c>
      <c r="Y6149">
        <v>25</v>
      </c>
      <c r="Z6149" t="s">
        <v>59</v>
      </c>
      <c r="AA6149" t="s">
        <v>59</v>
      </c>
      <c r="AB6149" t="s">
        <v>59</v>
      </c>
      <c r="AC6149" t="s">
        <v>59</v>
      </c>
      <c r="AD6149" t="s">
        <v>59</v>
      </c>
      <c r="AF6149" s="1">
        <v>35676</v>
      </c>
      <c r="AG6149" t="s">
        <v>8651</v>
      </c>
      <c r="AH6149" t="s">
        <v>8652</v>
      </c>
      <c r="AI6149" t="str">
        <f>"9170587"</f>
        <v>9170587</v>
      </c>
      <c r="AJ6149" t="s">
        <v>10197</v>
      </c>
      <c r="AK6149">
        <v>2810212554</v>
      </c>
      <c r="AL6149" t="s">
        <v>10198</v>
      </c>
      <c r="AM6149" t="s">
        <v>78</v>
      </c>
      <c r="AN6149" t="s">
        <v>78</v>
      </c>
      <c r="AO6149" t="s">
        <v>78</v>
      </c>
      <c r="AP6149" t="s">
        <v>163</v>
      </c>
      <c r="AQ6149">
        <v>1</v>
      </c>
      <c r="AR6149" t="s">
        <v>80</v>
      </c>
      <c r="AS6149" t="s">
        <v>81</v>
      </c>
      <c r="AT6149" t="s">
        <v>58</v>
      </c>
      <c r="AU6149" t="s">
        <v>68</v>
      </c>
      <c r="AV6149" t="s">
        <v>69</v>
      </c>
      <c r="AW6149" s="1">
        <v>22406</v>
      </c>
      <c r="AX6149">
        <v>1</v>
      </c>
    </row>
    <row r="6150" spans="1:50">
      <c r="A6150">
        <v>575698</v>
      </c>
      <c r="B6150" t="str">
        <f>"036689066"</f>
        <v>036689066</v>
      </c>
      <c r="C6150" t="s">
        <v>50</v>
      </c>
      <c r="D6150" t="s">
        <v>2566</v>
      </c>
      <c r="E6150" t="s">
        <v>181</v>
      </c>
      <c r="F6150" t="s">
        <v>154</v>
      </c>
      <c r="G6150" t="s">
        <v>52</v>
      </c>
      <c r="H6150" t="str">
        <f>"ΠΕΤΛΕΜΠΟΥΡΗ 86 ΗΡΑΚΛΕΙΟ"</f>
        <v>ΠΕΤΛΕΜΠΟΥΡΗ 86 ΗΡΑΚΛΕΙΟ</v>
      </c>
      <c r="I6150">
        <v>71303</v>
      </c>
      <c r="J6150">
        <v>2810260287</v>
      </c>
      <c r="K6150">
        <v>6945998717</v>
      </c>
      <c r="N6150" t="s">
        <v>615</v>
      </c>
      <c r="O6150" t="s">
        <v>616</v>
      </c>
      <c r="R6150" t="s">
        <v>57</v>
      </c>
      <c r="S6150">
        <v>13</v>
      </c>
      <c r="T6150">
        <v>184</v>
      </c>
      <c r="U6150" s="1">
        <v>34941</v>
      </c>
      <c r="V6150" t="s">
        <v>80</v>
      </c>
      <c r="W6150" t="s">
        <v>81</v>
      </c>
      <c r="X6150" t="s">
        <v>58</v>
      </c>
      <c r="Y6150">
        <v>21</v>
      </c>
      <c r="Z6150" t="s">
        <v>59</v>
      </c>
      <c r="AA6150" t="s">
        <v>59</v>
      </c>
      <c r="AB6150" t="s">
        <v>59</v>
      </c>
      <c r="AC6150" t="s">
        <v>59</v>
      </c>
      <c r="AD6150" t="s">
        <v>59</v>
      </c>
      <c r="AF6150" s="1">
        <v>34943</v>
      </c>
      <c r="AG6150" t="s">
        <v>8645</v>
      </c>
      <c r="AH6150" t="s">
        <v>8646</v>
      </c>
      <c r="AI6150" t="str">
        <f>"9170575"</f>
        <v>9170575</v>
      </c>
      <c r="AJ6150" t="s">
        <v>8748</v>
      </c>
      <c r="AK6150">
        <v>2810260772</v>
      </c>
      <c r="AL6150" t="s">
        <v>8749</v>
      </c>
      <c r="AM6150" t="s">
        <v>78</v>
      </c>
      <c r="AN6150" t="s">
        <v>78</v>
      </c>
      <c r="AO6150" t="s">
        <v>78</v>
      </c>
      <c r="AP6150" t="s">
        <v>141</v>
      </c>
      <c r="AQ6150">
        <v>1</v>
      </c>
      <c r="AR6150" t="s">
        <v>80</v>
      </c>
      <c r="AS6150" t="s">
        <v>81</v>
      </c>
      <c r="AT6150" t="s">
        <v>58</v>
      </c>
      <c r="AU6150" t="s">
        <v>68</v>
      </c>
      <c r="AV6150" t="s">
        <v>2039</v>
      </c>
      <c r="AW6150" s="1">
        <v>24593</v>
      </c>
      <c r="AX6150">
        <v>1</v>
      </c>
    </row>
    <row r="6151" spans="1:50">
      <c r="A6151">
        <v>450927</v>
      </c>
      <c r="B6151" t="str">
        <f>"037307459"</f>
        <v>037307459</v>
      </c>
      <c r="C6151" t="s">
        <v>105</v>
      </c>
      <c r="D6151" t="s">
        <v>2568</v>
      </c>
      <c r="E6151" t="s">
        <v>10570</v>
      </c>
      <c r="F6151" t="s">
        <v>95</v>
      </c>
      <c r="G6151" t="s">
        <v>52</v>
      </c>
      <c r="H6151" t="str">
        <f>"ΚΑΠΕΤΑΝΑΚΗ ΜΕΤΟΧΙ Τ.Θ.220 ΓΑΖΙ "</f>
        <v xml:space="preserve">ΚΑΠΕΤΑΝΑΚΗ ΜΕΤΟΧΙ Τ.Θ.220 ΓΑΖΙ </v>
      </c>
      <c r="I6151">
        <v>71500</v>
      </c>
      <c r="J6151">
        <v>2810259904</v>
      </c>
      <c r="K6151">
        <v>6972243854</v>
      </c>
      <c r="M6151" t="s">
        <v>10571</v>
      </c>
      <c r="N6151" t="s">
        <v>615</v>
      </c>
      <c r="O6151" t="s">
        <v>616</v>
      </c>
      <c r="R6151" t="s">
        <v>57</v>
      </c>
      <c r="S6151">
        <v>14</v>
      </c>
      <c r="T6151">
        <v>24</v>
      </c>
      <c r="U6151" s="1">
        <v>32539</v>
      </c>
      <c r="V6151" t="s">
        <v>80</v>
      </c>
      <c r="W6151" t="s">
        <v>81</v>
      </c>
      <c r="X6151" t="s">
        <v>58</v>
      </c>
      <c r="Y6151">
        <v>21</v>
      </c>
      <c r="Z6151" t="s">
        <v>59</v>
      </c>
      <c r="AA6151" t="s">
        <v>59</v>
      </c>
      <c r="AB6151" t="s">
        <v>59</v>
      </c>
      <c r="AC6151" t="s">
        <v>59</v>
      </c>
      <c r="AD6151" t="s">
        <v>59</v>
      </c>
      <c r="AF6151" s="1">
        <v>32539</v>
      </c>
      <c r="AG6151" t="s">
        <v>8645</v>
      </c>
      <c r="AH6151" t="s">
        <v>8646</v>
      </c>
      <c r="AI6151" t="str">
        <f>"9170034"</f>
        <v>9170034</v>
      </c>
      <c r="AJ6151" t="s">
        <v>9179</v>
      </c>
      <c r="AK6151">
        <v>2810841217</v>
      </c>
      <c r="AL6151" t="s">
        <v>9180</v>
      </c>
      <c r="AM6151" t="s">
        <v>78</v>
      </c>
      <c r="AN6151" t="s">
        <v>129</v>
      </c>
      <c r="AO6151" t="s">
        <v>130</v>
      </c>
      <c r="AP6151" t="s">
        <v>9181</v>
      </c>
      <c r="AQ6151">
        <v>2</v>
      </c>
      <c r="AR6151" t="s">
        <v>80</v>
      </c>
      <c r="AS6151" t="s">
        <v>81</v>
      </c>
      <c r="AT6151" t="s">
        <v>58</v>
      </c>
      <c r="AU6151" t="s">
        <v>68</v>
      </c>
      <c r="AV6151" t="s">
        <v>69</v>
      </c>
      <c r="AW6151" s="1">
        <v>24115</v>
      </c>
      <c r="AX6151">
        <v>1</v>
      </c>
    </row>
    <row r="6152" spans="1:50">
      <c r="A6152">
        <v>577030</v>
      </c>
      <c r="B6152" t="str">
        <f>"036673843"</f>
        <v>036673843</v>
      </c>
      <c r="C6152" t="s">
        <v>105</v>
      </c>
      <c r="D6152" t="s">
        <v>2568</v>
      </c>
      <c r="E6152" t="s">
        <v>10570</v>
      </c>
      <c r="F6152" t="s">
        <v>1679</v>
      </c>
      <c r="G6152" t="s">
        <v>529</v>
      </c>
      <c r="H6152" t="str">
        <f>"ΜΕΣΑ ΚΑΡΤΕΡΟΣ ΚΑΡΤΕΡΟΣ  ΗΡΑΚΛΕΙΟΥ"</f>
        <v>ΜΕΣΑ ΚΑΡΤΕΡΟΣ ΚΑΡΤΕΡΟΣ  ΗΡΑΚΛΕΙΟΥ</v>
      </c>
      <c r="I6152">
        <v>71601</v>
      </c>
      <c r="J6152">
        <v>2810382052</v>
      </c>
      <c r="K6152">
        <v>6936851330</v>
      </c>
      <c r="L6152">
        <v>2810244157</v>
      </c>
      <c r="N6152" t="s">
        <v>176</v>
      </c>
      <c r="O6152" t="s">
        <v>177</v>
      </c>
      <c r="R6152" t="s">
        <v>57</v>
      </c>
      <c r="S6152">
        <v>13</v>
      </c>
      <c r="T6152">
        <v>184</v>
      </c>
      <c r="U6152" s="1">
        <v>34941</v>
      </c>
      <c r="V6152" t="s">
        <v>80</v>
      </c>
      <c r="W6152" t="s">
        <v>81</v>
      </c>
      <c r="X6152" t="s">
        <v>58</v>
      </c>
      <c r="Y6152">
        <v>21</v>
      </c>
      <c r="Z6152" t="s">
        <v>59</v>
      </c>
      <c r="AA6152" t="s">
        <v>59</v>
      </c>
      <c r="AB6152" t="s">
        <v>59</v>
      </c>
      <c r="AC6152" t="s">
        <v>59</v>
      </c>
      <c r="AD6152" t="s">
        <v>59</v>
      </c>
      <c r="AF6152" s="1">
        <v>34946</v>
      </c>
      <c r="AG6152" t="s">
        <v>8645</v>
      </c>
      <c r="AH6152" t="s">
        <v>8646</v>
      </c>
      <c r="AI6152" t="str">
        <f>"9170264"</f>
        <v>9170264</v>
      </c>
      <c r="AJ6152" t="s">
        <v>8718</v>
      </c>
      <c r="AK6152">
        <v>2810332030</v>
      </c>
      <c r="AL6152" t="s">
        <v>8719</v>
      </c>
      <c r="AM6152" t="s">
        <v>78</v>
      </c>
      <c r="AN6152" t="s">
        <v>78</v>
      </c>
      <c r="AO6152" t="s">
        <v>286</v>
      </c>
      <c r="AP6152" t="s">
        <v>286</v>
      </c>
      <c r="AQ6152">
        <v>1</v>
      </c>
      <c r="AR6152" t="s">
        <v>80</v>
      </c>
      <c r="AS6152" t="s">
        <v>81</v>
      </c>
      <c r="AT6152" t="s">
        <v>58</v>
      </c>
      <c r="AU6152" t="s">
        <v>68</v>
      </c>
      <c r="AV6152" t="s">
        <v>69</v>
      </c>
      <c r="AW6152" s="1">
        <v>24078</v>
      </c>
      <c r="AX6152">
        <v>1</v>
      </c>
    </row>
    <row r="6153" spans="1:50">
      <c r="A6153">
        <v>592044</v>
      </c>
      <c r="B6153" t="str">
        <f>"071515465"</f>
        <v>071515465</v>
      </c>
      <c r="C6153" t="s">
        <v>50</v>
      </c>
      <c r="D6153" t="s">
        <v>2570</v>
      </c>
      <c r="E6153" t="s">
        <v>52</v>
      </c>
      <c r="F6153" t="s">
        <v>106</v>
      </c>
      <c r="G6153" t="s">
        <v>507</v>
      </c>
      <c r="H6153" t="str">
        <f>"ΧΡΥΣΟΒΑΛΑΝΤΟΥ 13  ΗΡΑΚΛΕΙΟ"</f>
        <v>ΧΡΥΣΟΒΑΛΑΝΤΟΥ 13  ΗΡΑΚΛΕΙΟ</v>
      </c>
      <c r="K6153">
        <v>6977452550</v>
      </c>
      <c r="N6153" t="s">
        <v>1525</v>
      </c>
      <c r="O6153" t="s">
        <v>1526</v>
      </c>
      <c r="R6153" t="s">
        <v>57</v>
      </c>
      <c r="S6153">
        <v>11</v>
      </c>
      <c r="T6153">
        <v>249</v>
      </c>
      <c r="U6153" s="1">
        <v>36769</v>
      </c>
      <c r="V6153" t="s">
        <v>80</v>
      </c>
      <c r="W6153" t="s">
        <v>81</v>
      </c>
      <c r="X6153" t="s">
        <v>58</v>
      </c>
      <c r="Y6153">
        <v>25</v>
      </c>
      <c r="Z6153" t="s">
        <v>59</v>
      </c>
      <c r="AA6153" t="s">
        <v>59</v>
      </c>
      <c r="AB6153" t="s">
        <v>59</v>
      </c>
      <c r="AC6153" t="s">
        <v>59</v>
      </c>
      <c r="AD6153" t="s">
        <v>59</v>
      </c>
      <c r="AF6153" s="1">
        <v>36770</v>
      </c>
      <c r="AG6153" t="s">
        <v>8651</v>
      </c>
      <c r="AH6153" t="s">
        <v>8652</v>
      </c>
      <c r="AI6153" t="str">
        <f>"9170508"</f>
        <v>9170508</v>
      </c>
      <c r="AJ6153" t="s">
        <v>9073</v>
      </c>
      <c r="AK6153">
        <v>2810212076</v>
      </c>
      <c r="AL6153" t="s">
        <v>9074</v>
      </c>
      <c r="AM6153" t="s">
        <v>78</v>
      </c>
      <c r="AN6153" t="s">
        <v>78</v>
      </c>
      <c r="AO6153" t="s">
        <v>78</v>
      </c>
      <c r="AP6153" t="s">
        <v>163</v>
      </c>
      <c r="AQ6153">
        <v>1</v>
      </c>
      <c r="AR6153" t="s">
        <v>80</v>
      </c>
      <c r="AS6153" t="s">
        <v>81</v>
      </c>
      <c r="AT6153" t="s">
        <v>58</v>
      </c>
      <c r="AU6153" t="s">
        <v>68</v>
      </c>
      <c r="AV6153" t="s">
        <v>69</v>
      </c>
      <c r="AW6153" s="1">
        <v>25373</v>
      </c>
      <c r="AX6153">
        <v>1</v>
      </c>
    </row>
    <row r="6154" spans="1:50">
      <c r="A6154">
        <v>582494</v>
      </c>
      <c r="B6154" t="str">
        <f>"055601712"</f>
        <v>055601712</v>
      </c>
      <c r="C6154" t="s">
        <v>105</v>
      </c>
      <c r="D6154" t="s">
        <v>10572</v>
      </c>
      <c r="E6154" t="s">
        <v>53</v>
      </c>
      <c r="F6154" t="s">
        <v>106</v>
      </c>
      <c r="G6154" t="s">
        <v>112</v>
      </c>
      <c r="H6154" t="str">
        <f>"Βίτσι 52 Πόρος"</f>
        <v>Βίτσι 52 Πόρος</v>
      </c>
      <c r="I6154">
        <v>71307</v>
      </c>
      <c r="J6154">
        <v>2810330281</v>
      </c>
      <c r="K6154">
        <v>6942845698</v>
      </c>
      <c r="M6154" t="s">
        <v>10573</v>
      </c>
      <c r="N6154" t="s">
        <v>615</v>
      </c>
      <c r="O6154" t="s">
        <v>616</v>
      </c>
      <c r="R6154" t="s">
        <v>57</v>
      </c>
      <c r="S6154">
        <v>16</v>
      </c>
      <c r="T6154">
        <v>179</v>
      </c>
      <c r="U6154" s="1">
        <v>35674</v>
      </c>
      <c r="V6154" t="s">
        <v>80</v>
      </c>
      <c r="W6154" t="s">
        <v>81</v>
      </c>
      <c r="X6154" t="s">
        <v>58</v>
      </c>
      <c r="Y6154">
        <v>21</v>
      </c>
      <c r="Z6154" t="s">
        <v>59</v>
      </c>
      <c r="AA6154" t="s">
        <v>59</v>
      </c>
      <c r="AB6154" t="s">
        <v>59</v>
      </c>
      <c r="AC6154" t="s">
        <v>59</v>
      </c>
      <c r="AD6154" t="s">
        <v>59</v>
      </c>
      <c r="AF6154" s="1">
        <v>35677</v>
      </c>
      <c r="AG6154" t="s">
        <v>8645</v>
      </c>
      <c r="AH6154" t="s">
        <v>8646</v>
      </c>
      <c r="AI6154" t="str">
        <f>"9170259"</f>
        <v>9170259</v>
      </c>
      <c r="AJ6154" t="s">
        <v>8784</v>
      </c>
      <c r="AK6154">
        <v>6994891960</v>
      </c>
      <c r="AL6154" t="s">
        <v>8785</v>
      </c>
      <c r="AM6154" t="s">
        <v>78</v>
      </c>
      <c r="AN6154" t="s">
        <v>78</v>
      </c>
      <c r="AO6154" t="s">
        <v>78</v>
      </c>
      <c r="AP6154" t="s">
        <v>213</v>
      </c>
      <c r="AQ6154">
        <v>1</v>
      </c>
      <c r="AR6154" t="s">
        <v>80</v>
      </c>
      <c r="AS6154" t="s">
        <v>81</v>
      </c>
      <c r="AT6154" t="s">
        <v>58</v>
      </c>
      <c r="AU6154" t="s">
        <v>68</v>
      </c>
      <c r="AV6154" t="s">
        <v>69</v>
      </c>
      <c r="AW6154" s="1">
        <v>24792</v>
      </c>
      <c r="AX6154">
        <v>1</v>
      </c>
    </row>
    <row r="6155" spans="1:50">
      <c r="B6155" t="str">
        <f>"102420957"</f>
        <v>102420957</v>
      </c>
      <c r="C6155" t="s">
        <v>105</v>
      </c>
      <c r="D6155" t="s">
        <v>2578</v>
      </c>
      <c r="E6155" t="s">
        <v>1761</v>
      </c>
      <c r="F6155" t="s">
        <v>99</v>
      </c>
      <c r="G6155" t="s">
        <v>255</v>
      </c>
      <c r="H6155" t="str">
        <f>"ΚΟΛΟΚΟΤΡΩΝΗ 16-18 ΒΥΡΩΝΑΣ"</f>
        <v>ΚΟΛΟΚΟΤΡΩΝΗ 16-18 ΒΥΡΩΝΑΣ</v>
      </c>
      <c r="I6155">
        <v>16232</v>
      </c>
      <c r="J6155">
        <v>2107659138</v>
      </c>
      <c r="K6155">
        <v>6973001715</v>
      </c>
      <c r="N6155" t="s">
        <v>337</v>
      </c>
      <c r="O6155" t="s">
        <v>338</v>
      </c>
      <c r="R6155" t="s">
        <v>159</v>
      </c>
      <c r="S6155">
        <v>3</v>
      </c>
      <c r="T6155" t="s">
        <v>8675</v>
      </c>
      <c r="U6155" s="1">
        <v>43348</v>
      </c>
      <c r="V6155" t="s">
        <v>80</v>
      </c>
      <c r="W6155" t="s">
        <v>81</v>
      </c>
      <c r="X6155" t="s">
        <v>58</v>
      </c>
      <c r="Y6155">
        <v>24</v>
      </c>
      <c r="Z6155" t="s">
        <v>59</v>
      </c>
      <c r="AA6155" t="s">
        <v>59</v>
      </c>
      <c r="AB6155" t="s">
        <v>59</v>
      </c>
      <c r="AC6155" t="s">
        <v>59</v>
      </c>
      <c r="AD6155" t="s">
        <v>59</v>
      </c>
      <c r="AF6155" s="1">
        <v>43348</v>
      </c>
      <c r="AG6155" t="s">
        <v>8645</v>
      </c>
      <c r="AH6155" t="s">
        <v>8646</v>
      </c>
      <c r="AI6155" t="str">
        <f>"9170431"</f>
        <v>9170431</v>
      </c>
      <c r="AJ6155" t="s">
        <v>8658</v>
      </c>
      <c r="AK6155">
        <v>2810250952</v>
      </c>
      <c r="AL6155" t="s">
        <v>8659</v>
      </c>
      <c r="AM6155" t="s">
        <v>78</v>
      </c>
      <c r="AN6155" t="s">
        <v>78</v>
      </c>
      <c r="AO6155" t="s">
        <v>78</v>
      </c>
      <c r="AP6155" t="s">
        <v>141</v>
      </c>
      <c r="AQ6155">
        <v>1</v>
      </c>
      <c r="AR6155" t="s">
        <v>80</v>
      </c>
      <c r="AS6155" t="s">
        <v>81</v>
      </c>
      <c r="AT6155" t="s">
        <v>58</v>
      </c>
      <c r="AU6155" t="s">
        <v>8673</v>
      </c>
      <c r="AV6155" t="s">
        <v>132</v>
      </c>
      <c r="AW6155" s="1">
        <v>28507</v>
      </c>
      <c r="AX6155">
        <v>1</v>
      </c>
    </row>
    <row r="6156" spans="1:50">
      <c r="A6156">
        <v>565424</v>
      </c>
      <c r="B6156" t="str">
        <f>"036119334"</f>
        <v>036119334</v>
      </c>
      <c r="C6156" t="s">
        <v>105</v>
      </c>
      <c r="D6156" t="s">
        <v>2578</v>
      </c>
      <c r="E6156" t="s">
        <v>450</v>
      </c>
      <c r="F6156" t="s">
        <v>2184</v>
      </c>
      <c r="G6156" t="s">
        <v>83</v>
      </c>
      <c r="H6156" t="str">
        <f>"ΛΑΣΑΙΑΣ 2 ΗΡΑΚΈΙΟ"</f>
        <v>ΛΑΣΑΙΑΣ 2 ΗΡΑΚΈΙΟ</v>
      </c>
      <c r="I6156">
        <v>71305</v>
      </c>
      <c r="J6156">
        <v>2810256367</v>
      </c>
      <c r="K6156">
        <v>6937074360</v>
      </c>
      <c r="N6156" t="s">
        <v>615</v>
      </c>
      <c r="O6156" t="s">
        <v>616</v>
      </c>
      <c r="R6156" t="s">
        <v>57</v>
      </c>
      <c r="S6156">
        <v>14</v>
      </c>
      <c r="T6156">
        <v>161</v>
      </c>
      <c r="U6156" s="1">
        <v>33119</v>
      </c>
      <c r="V6156" t="s">
        <v>80</v>
      </c>
      <c r="W6156" t="s">
        <v>81</v>
      </c>
      <c r="X6156" t="s">
        <v>58</v>
      </c>
      <c r="Y6156">
        <v>21</v>
      </c>
      <c r="Z6156" t="s">
        <v>59</v>
      </c>
      <c r="AA6156" t="s">
        <v>59</v>
      </c>
      <c r="AB6156" t="s">
        <v>59</v>
      </c>
      <c r="AC6156" t="s">
        <v>59</v>
      </c>
      <c r="AD6156" t="s">
        <v>59</v>
      </c>
      <c r="AF6156" s="1">
        <v>33120</v>
      </c>
      <c r="AG6156" t="s">
        <v>8645</v>
      </c>
      <c r="AH6156" t="s">
        <v>8646</v>
      </c>
      <c r="AI6156" t="str">
        <f>"9170515"</f>
        <v>9170515</v>
      </c>
      <c r="AJ6156" t="s">
        <v>8790</v>
      </c>
      <c r="AK6156">
        <v>2810254821</v>
      </c>
      <c r="AL6156" t="s">
        <v>8791</v>
      </c>
      <c r="AM6156" t="s">
        <v>78</v>
      </c>
      <c r="AN6156" t="s">
        <v>78</v>
      </c>
      <c r="AO6156" t="s">
        <v>78</v>
      </c>
      <c r="AP6156" t="s">
        <v>163</v>
      </c>
      <c r="AQ6156">
        <v>1</v>
      </c>
      <c r="AR6156" t="s">
        <v>80</v>
      </c>
      <c r="AS6156" t="s">
        <v>81</v>
      </c>
      <c r="AT6156" t="s">
        <v>58</v>
      </c>
      <c r="AU6156" t="s">
        <v>68</v>
      </c>
      <c r="AV6156" t="s">
        <v>69</v>
      </c>
      <c r="AW6156" s="1">
        <v>22981</v>
      </c>
      <c r="AX6156">
        <v>1</v>
      </c>
    </row>
    <row r="6157" spans="1:50">
      <c r="A6157">
        <v>213522</v>
      </c>
      <c r="B6157" t="str">
        <f>"110134142"</f>
        <v>110134142</v>
      </c>
      <c r="C6157" t="s">
        <v>50</v>
      </c>
      <c r="D6157" t="s">
        <v>7759</v>
      </c>
      <c r="E6157" t="s">
        <v>553</v>
      </c>
      <c r="F6157" t="s">
        <v>166</v>
      </c>
      <c r="G6157" t="s">
        <v>250</v>
      </c>
      <c r="H6157" t="str">
        <f>"ΕΜΜ. ΤΡΙΑΝΤΑΦΥΛΛΙΔΗ 20 ΗΡΑΚΛΕΙΟΥ"</f>
        <v>ΕΜΜ. ΤΡΙΑΝΤΑΦΥΛΛΙΔΗ 20 ΗΡΑΚΛΕΙΟΥ</v>
      </c>
      <c r="I6157">
        <v>71305</v>
      </c>
      <c r="J6157">
        <v>2810324300</v>
      </c>
      <c r="K6157">
        <v>6974491814</v>
      </c>
      <c r="M6157" t="s">
        <v>10574</v>
      </c>
      <c r="N6157" t="s">
        <v>478</v>
      </c>
      <c r="O6157" t="s">
        <v>479</v>
      </c>
      <c r="R6157" t="s">
        <v>57</v>
      </c>
      <c r="S6157">
        <v>7</v>
      </c>
      <c r="T6157">
        <v>231</v>
      </c>
      <c r="U6157" s="1">
        <v>38960</v>
      </c>
      <c r="V6157" t="s">
        <v>80</v>
      </c>
      <c r="W6157" t="s">
        <v>81</v>
      </c>
      <c r="X6157" t="s">
        <v>58</v>
      </c>
      <c r="Y6157">
        <v>23</v>
      </c>
      <c r="Z6157" t="s">
        <v>59</v>
      </c>
      <c r="AA6157" t="s">
        <v>59</v>
      </c>
      <c r="AB6157" t="s">
        <v>59</v>
      </c>
      <c r="AC6157" t="s">
        <v>59</v>
      </c>
      <c r="AD6157" t="s">
        <v>59</v>
      </c>
      <c r="AF6157" s="1">
        <v>38961</v>
      </c>
      <c r="AG6157" t="s">
        <v>8645</v>
      </c>
      <c r="AH6157" t="s">
        <v>8646</v>
      </c>
      <c r="AI6157" t="str">
        <f>"9170192"</f>
        <v>9170192</v>
      </c>
      <c r="AJ6157" t="s">
        <v>8661</v>
      </c>
      <c r="AK6157">
        <v>2810231985</v>
      </c>
      <c r="AL6157" t="s">
        <v>8662</v>
      </c>
      <c r="AM6157" t="s">
        <v>78</v>
      </c>
      <c r="AN6157" t="s">
        <v>78</v>
      </c>
      <c r="AO6157" t="s">
        <v>78</v>
      </c>
      <c r="AP6157" t="s">
        <v>163</v>
      </c>
      <c r="AQ6157">
        <v>1</v>
      </c>
      <c r="AR6157" t="s">
        <v>80</v>
      </c>
      <c r="AS6157" t="s">
        <v>81</v>
      </c>
      <c r="AT6157" t="s">
        <v>58</v>
      </c>
      <c r="AU6157" t="s">
        <v>68</v>
      </c>
      <c r="AV6157" t="s">
        <v>69</v>
      </c>
      <c r="AW6157" s="1">
        <v>25429</v>
      </c>
      <c r="AX6157">
        <v>1</v>
      </c>
    </row>
    <row r="6158" spans="1:50">
      <c r="A6158">
        <v>556921</v>
      </c>
      <c r="B6158" t="str">
        <f>"064711204"</f>
        <v>064711204</v>
      </c>
      <c r="C6158" t="s">
        <v>50</v>
      </c>
      <c r="D6158" t="s">
        <v>10575</v>
      </c>
      <c r="E6158" t="s">
        <v>83</v>
      </c>
      <c r="F6158" t="s">
        <v>106</v>
      </c>
      <c r="G6158" t="s">
        <v>3174</v>
      </c>
      <c r="H6158" t="str">
        <f>"Λ.ΠΑΝΕΠΙΣΤΗΜΙΟΥ 157 ΗΡΑΚΛΕΙΟ"</f>
        <v>Λ.ΠΑΝΕΠΙΣΤΗΜΙΟΥ 157 ΗΡΑΚΛΕΙΟ</v>
      </c>
      <c r="I6158">
        <v>70013</v>
      </c>
      <c r="J6158">
        <v>2810543477</v>
      </c>
      <c r="K6158">
        <v>6947612068</v>
      </c>
      <c r="N6158" t="s">
        <v>615</v>
      </c>
      <c r="O6158" t="s">
        <v>616</v>
      </c>
      <c r="R6158" t="s">
        <v>57</v>
      </c>
      <c r="S6158">
        <v>16</v>
      </c>
      <c r="T6158">
        <v>168</v>
      </c>
      <c r="U6158" s="1">
        <v>32010</v>
      </c>
      <c r="V6158" t="s">
        <v>80</v>
      </c>
      <c r="W6158" t="s">
        <v>81</v>
      </c>
      <c r="X6158" t="s">
        <v>58</v>
      </c>
      <c r="Y6158">
        <v>21</v>
      </c>
      <c r="Z6158" t="s">
        <v>59</v>
      </c>
      <c r="AA6158" t="s">
        <v>59</v>
      </c>
      <c r="AB6158" t="s">
        <v>59</v>
      </c>
      <c r="AC6158" t="s">
        <v>59</v>
      </c>
      <c r="AD6158" t="s">
        <v>59</v>
      </c>
      <c r="AF6158" s="1">
        <v>32021</v>
      </c>
      <c r="AG6158" t="s">
        <v>8645</v>
      </c>
      <c r="AH6158" t="s">
        <v>8646</v>
      </c>
      <c r="AI6158" t="str">
        <f>"9170254"</f>
        <v>9170254</v>
      </c>
      <c r="AJ6158" t="s">
        <v>9839</v>
      </c>
      <c r="AK6158">
        <v>2810245069</v>
      </c>
      <c r="AL6158" t="s">
        <v>9840</v>
      </c>
      <c r="AM6158" t="s">
        <v>78</v>
      </c>
      <c r="AN6158" t="s">
        <v>78</v>
      </c>
      <c r="AO6158" t="s">
        <v>78</v>
      </c>
      <c r="AP6158" t="s">
        <v>213</v>
      </c>
      <c r="AQ6158">
        <v>1</v>
      </c>
      <c r="AR6158" t="s">
        <v>80</v>
      </c>
      <c r="AS6158" t="s">
        <v>81</v>
      </c>
      <c r="AT6158" t="s">
        <v>58</v>
      </c>
      <c r="AU6158" t="s">
        <v>68</v>
      </c>
      <c r="AV6158" t="s">
        <v>69</v>
      </c>
      <c r="AW6158" s="1">
        <v>21228</v>
      </c>
      <c r="AX6158">
        <v>1</v>
      </c>
    </row>
    <row r="6159" spans="1:50">
      <c r="B6159" t="str">
        <f>"047456412"</f>
        <v>047456412</v>
      </c>
      <c r="C6159" t="s">
        <v>50</v>
      </c>
      <c r="D6159" t="s">
        <v>2343</v>
      </c>
      <c r="E6159" t="s">
        <v>2235</v>
      </c>
      <c r="F6159" t="s">
        <v>3914</v>
      </c>
      <c r="G6159" t="s">
        <v>52</v>
      </c>
      <c r="H6159" t="str">
        <f>"ΛΙΝΟΥ 22 ΗΡΑΚΛΕΙΟ"</f>
        <v>ΛΙΝΟΥ 22 ΗΡΑΚΛΕΙΟ</v>
      </c>
      <c r="I6159">
        <v>71409</v>
      </c>
      <c r="J6159">
        <v>2810238948</v>
      </c>
      <c r="K6159">
        <v>6947124011</v>
      </c>
      <c r="N6159" t="s">
        <v>176</v>
      </c>
      <c r="O6159" t="s">
        <v>177</v>
      </c>
      <c r="R6159" t="s">
        <v>159</v>
      </c>
      <c r="S6159">
        <v>3</v>
      </c>
      <c r="T6159" t="s">
        <v>8675</v>
      </c>
      <c r="U6159" s="1">
        <v>43348</v>
      </c>
      <c r="V6159" t="s">
        <v>80</v>
      </c>
      <c r="W6159" t="s">
        <v>81</v>
      </c>
      <c r="X6159" t="s">
        <v>58</v>
      </c>
      <c r="Y6159">
        <v>24</v>
      </c>
      <c r="Z6159" t="s">
        <v>59</v>
      </c>
      <c r="AA6159" t="s">
        <v>59</v>
      </c>
      <c r="AB6159" t="s">
        <v>59</v>
      </c>
      <c r="AC6159" t="s">
        <v>59</v>
      </c>
      <c r="AD6159" t="s">
        <v>59</v>
      </c>
      <c r="AF6159" s="1">
        <v>43348</v>
      </c>
      <c r="AG6159" t="s">
        <v>8645</v>
      </c>
      <c r="AH6159" t="s">
        <v>8646</v>
      </c>
      <c r="AI6159" t="str">
        <f>"9170326"</f>
        <v>9170326</v>
      </c>
      <c r="AJ6159" t="s">
        <v>9708</v>
      </c>
      <c r="AK6159">
        <v>2893022213</v>
      </c>
      <c r="AL6159" t="s">
        <v>9709</v>
      </c>
      <c r="AM6159" t="s">
        <v>78</v>
      </c>
      <c r="AN6159" t="s">
        <v>424</v>
      </c>
      <c r="AO6159" t="s">
        <v>577</v>
      </c>
      <c r="AP6159" t="s">
        <v>578</v>
      </c>
      <c r="AQ6159">
        <v>10</v>
      </c>
      <c r="AR6159" t="s">
        <v>80</v>
      </c>
      <c r="AS6159" t="s">
        <v>81</v>
      </c>
      <c r="AT6159" t="s">
        <v>58</v>
      </c>
      <c r="AU6159" t="s">
        <v>8673</v>
      </c>
      <c r="AV6159" t="s">
        <v>132</v>
      </c>
      <c r="AW6159" s="1">
        <v>27071</v>
      </c>
      <c r="AX6159">
        <v>1</v>
      </c>
    </row>
    <row r="6160" spans="1:50">
      <c r="A6160">
        <v>592135</v>
      </c>
      <c r="B6160" t="str">
        <f>"113741132"</f>
        <v>113741132</v>
      </c>
      <c r="C6160" t="s">
        <v>50</v>
      </c>
      <c r="D6160" t="s">
        <v>10576</v>
      </c>
      <c r="E6160" t="s">
        <v>4801</v>
      </c>
      <c r="F6160" t="s">
        <v>794</v>
      </c>
      <c r="G6160" t="s">
        <v>2672</v>
      </c>
      <c r="H6160" t="str">
        <f>"ΠΕΛΕΚΗΤΑ ΓΟΥΒΩΝ ΓΟΥΒΕΣ ΧΕΡΣΟΝΗΣΟΥ"</f>
        <v>ΠΕΛΕΚΗΤΑ ΓΟΥΒΩΝ ΓΟΥΒΕΣ ΧΕΡΣΟΝΗΣΟΥ</v>
      </c>
      <c r="I6160">
        <v>71500</v>
      </c>
      <c r="J6160">
        <v>2897042072</v>
      </c>
      <c r="K6160">
        <v>6983416541</v>
      </c>
      <c r="M6160" t="s">
        <v>10577</v>
      </c>
      <c r="N6160" t="s">
        <v>1525</v>
      </c>
      <c r="O6160" t="s">
        <v>1526</v>
      </c>
      <c r="R6160" t="s">
        <v>57</v>
      </c>
      <c r="S6160">
        <v>9</v>
      </c>
      <c r="T6160">
        <v>249</v>
      </c>
      <c r="U6160" s="1">
        <v>36769</v>
      </c>
      <c r="V6160" t="s">
        <v>80</v>
      </c>
      <c r="W6160" t="s">
        <v>81</v>
      </c>
      <c r="X6160" t="s">
        <v>58</v>
      </c>
      <c r="Y6160">
        <v>25</v>
      </c>
      <c r="Z6160" t="s">
        <v>59</v>
      </c>
      <c r="AA6160" t="s">
        <v>59</v>
      </c>
      <c r="AB6160" t="s">
        <v>59</v>
      </c>
      <c r="AC6160" t="s">
        <v>59</v>
      </c>
      <c r="AD6160" t="s">
        <v>59</v>
      </c>
      <c r="AF6160" s="1">
        <v>36769</v>
      </c>
      <c r="AG6160" t="s">
        <v>8651</v>
      </c>
      <c r="AH6160" t="s">
        <v>8652</v>
      </c>
      <c r="AI6160" t="str">
        <f>"9170589"</f>
        <v>9170589</v>
      </c>
      <c r="AJ6160" t="s">
        <v>9441</v>
      </c>
      <c r="AK6160">
        <v>2810763139</v>
      </c>
      <c r="AL6160" t="s">
        <v>9442</v>
      </c>
      <c r="AM6160" t="s">
        <v>78</v>
      </c>
      <c r="AN6160" t="s">
        <v>219</v>
      </c>
      <c r="AO6160" t="s">
        <v>297</v>
      </c>
      <c r="AP6160" t="s">
        <v>8796</v>
      </c>
      <c r="AQ6160">
        <v>7</v>
      </c>
      <c r="AR6160" t="s">
        <v>80</v>
      </c>
      <c r="AS6160" t="s">
        <v>81</v>
      </c>
      <c r="AT6160" t="s">
        <v>58</v>
      </c>
      <c r="AU6160" t="s">
        <v>68</v>
      </c>
      <c r="AV6160" t="s">
        <v>69</v>
      </c>
      <c r="AW6160" s="1">
        <v>26293</v>
      </c>
      <c r="AX6160">
        <v>1</v>
      </c>
    </row>
    <row r="6161" spans="1:50">
      <c r="A6161">
        <v>593486</v>
      </c>
      <c r="B6161" t="str">
        <f>"076396215"</f>
        <v>076396215</v>
      </c>
      <c r="C6161" t="s">
        <v>50</v>
      </c>
      <c r="D6161" t="s">
        <v>10578</v>
      </c>
      <c r="E6161" t="s">
        <v>255</v>
      </c>
      <c r="F6161" t="s">
        <v>84</v>
      </c>
      <c r="G6161" t="s">
        <v>52</v>
      </c>
      <c r="H6161" t="str">
        <f>"ΟΥΛΑΦ ΠΑΛΜΕ 32 ΗΡΑΚΛΕΙΟ"</f>
        <v>ΟΥΛΑΦ ΠΑΛΜΕ 32 ΗΡΑΚΛΕΙΟ</v>
      </c>
      <c r="I6161">
        <v>71410</v>
      </c>
      <c r="J6161">
        <v>2810232913</v>
      </c>
      <c r="K6161">
        <v>6977308602</v>
      </c>
      <c r="N6161" t="s">
        <v>615</v>
      </c>
      <c r="O6161" t="s">
        <v>616</v>
      </c>
      <c r="R6161" t="s">
        <v>57</v>
      </c>
      <c r="S6161">
        <v>8</v>
      </c>
      <c r="T6161">
        <v>218</v>
      </c>
      <c r="U6161" s="1">
        <v>37134</v>
      </c>
      <c r="V6161" t="s">
        <v>80</v>
      </c>
      <c r="W6161" t="s">
        <v>81</v>
      </c>
      <c r="X6161" t="s">
        <v>58</v>
      </c>
      <c r="Y6161">
        <v>22</v>
      </c>
      <c r="Z6161" t="s">
        <v>59</v>
      </c>
      <c r="AA6161" t="s">
        <v>59</v>
      </c>
      <c r="AB6161" t="s">
        <v>59</v>
      </c>
      <c r="AC6161" t="s">
        <v>59</v>
      </c>
      <c r="AD6161" t="s">
        <v>59</v>
      </c>
      <c r="AF6161" s="1">
        <v>37141</v>
      </c>
      <c r="AG6161" t="s">
        <v>8645</v>
      </c>
      <c r="AH6161" t="s">
        <v>8646</v>
      </c>
      <c r="AI6161" t="str">
        <f>"9170533"</f>
        <v>9170533</v>
      </c>
      <c r="AJ6161" t="s">
        <v>9091</v>
      </c>
      <c r="AK6161">
        <v>2810239434</v>
      </c>
      <c r="AL6161" t="s">
        <v>9092</v>
      </c>
      <c r="AM6161" t="s">
        <v>78</v>
      </c>
      <c r="AN6161" t="s">
        <v>78</v>
      </c>
      <c r="AO6161" t="s">
        <v>78</v>
      </c>
      <c r="AP6161" t="s">
        <v>163</v>
      </c>
      <c r="AQ6161">
        <v>1</v>
      </c>
      <c r="AR6161" t="s">
        <v>80</v>
      </c>
      <c r="AS6161" t="s">
        <v>81</v>
      </c>
      <c r="AT6161" t="s">
        <v>58</v>
      </c>
      <c r="AU6161" t="s">
        <v>68</v>
      </c>
      <c r="AV6161" t="s">
        <v>69</v>
      </c>
      <c r="AW6161" s="1">
        <v>26787</v>
      </c>
      <c r="AX6161">
        <v>1</v>
      </c>
    </row>
    <row r="6162" spans="1:50">
      <c r="A6162">
        <v>592715</v>
      </c>
      <c r="B6162" t="str">
        <f>"029613752"</f>
        <v>029613752</v>
      </c>
      <c r="C6162" t="s">
        <v>50</v>
      </c>
      <c r="D6162" t="s">
        <v>2595</v>
      </c>
      <c r="E6162" t="s">
        <v>513</v>
      </c>
      <c r="F6162" t="s">
        <v>1523</v>
      </c>
      <c r="G6162" t="s">
        <v>52</v>
      </c>
      <c r="H6162" t="str">
        <f>"ΜΕΝ. ΠΑΡΛΑΜΑ 108   ΗΡΑΚΛΕΙΟ"</f>
        <v>ΜΕΝ. ΠΑΡΛΑΜΑ 108   ΗΡΑΚΛΕΙΟ</v>
      </c>
      <c r="I6162">
        <v>71500</v>
      </c>
      <c r="J6162">
        <v>2810259538</v>
      </c>
      <c r="K6162">
        <v>6948623707</v>
      </c>
      <c r="N6162" t="s">
        <v>615</v>
      </c>
      <c r="O6162" t="s">
        <v>616</v>
      </c>
      <c r="P6162" t="s">
        <v>292</v>
      </c>
      <c r="Q6162" t="s">
        <v>293</v>
      </c>
      <c r="R6162" t="s">
        <v>57</v>
      </c>
      <c r="S6162">
        <v>14</v>
      </c>
      <c r="T6162">
        <v>218</v>
      </c>
      <c r="U6162" s="1">
        <v>37134</v>
      </c>
      <c r="V6162" t="s">
        <v>80</v>
      </c>
      <c r="W6162" t="s">
        <v>81</v>
      </c>
      <c r="X6162" t="s">
        <v>58</v>
      </c>
      <c r="Y6162">
        <v>21</v>
      </c>
      <c r="Z6162" t="s">
        <v>59</v>
      </c>
      <c r="AA6162" t="s">
        <v>59</v>
      </c>
      <c r="AB6162" t="s">
        <v>59</v>
      </c>
      <c r="AC6162" t="s">
        <v>59</v>
      </c>
      <c r="AD6162" t="s">
        <v>59</v>
      </c>
      <c r="AF6162" s="1">
        <v>37137</v>
      </c>
      <c r="AG6162" t="s">
        <v>8645</v>
      </c>
      <c r="AH6162" t="s">
        <v>8646</v>
      </c>
      <c r="AI6162" t="str">
        <f>"9170575"</f>
        <v>9170575</v>
      </c>
      <c r="AJ6162" t="s">
        <v>8748</v>
      </c>
      <c r="AK6162">
        <v>2810260772</v>
      </c>
      <c r="AL6162" t="s">
        <v>8749</v>
      </c>
      <c r="AM6162" t="s">
        <v>78</v>
      </c>
      <c r="AN6162" t="s">
        <v>78</v>
      </c>
      <c r="AO6162" t="s">
        <v>78</v>
      </c>
      <c r="AP6162" t="s">
        <v>141</v>
      </c>
      <c r="AQ6162">
        <v>1</v>
      </c>
      <c r="AR6162" t="s">
        <v>80</v>
      </c>
      <c r="AS6162" t="s">
        <v>81</v>
      </c>
      <c r="AT6162" t="s">
        <v>58</v>
      </c>
      <c r="AU6162" t="s">
        <v>68</v>
      </c>
      <c r="AV6162" t="s">
        <v>69</v>
      </c>
      <c r="AW6162" s="1">
        <v>23404</v>
      </c>
      <c r="AX6162">
        <v>1</v>
      </c>
    </row>
    <row r="6163" spans="1:50">
      <c r="A6163">
        <v>561869</v>
      </c>
      <c r="B6163" t="str">
        <f>"028714497"</f>
        <v>028714497</v>
      </c>
      <c r="C6163" t="s">
        <v>50</v>
      </c>
      <c r="D6163" t="s">
        <v>2595</v>
      </c>
      <c r="E6163" t="s">
        <v>83</v>
      </c>
      <c r="F6163" t="s">
        <v>1523</v>
      </c>
      <c r="G6163" t="s">
        <v>52</v>
      </c>
      <c r="H6163" t="str">
        <f>"ΜΕΝΕΛΑΟΥ ΠΑΡΛΑΜΑ 108 ΗΡΑΚΛΕΙΟ"</f>
        <v>ΜΕΝΕΛΑΟΥ ΠΑΡΛΑΜΑ 108 ΗΡΑΚΛΕΙΟ</v>
      </c>
      <c r="I6163">
        <v>71500</v>
      </c>
      <c r="J6163">
        <v>2810319057</v>
      </c>
      <c r="K6163">
        <v>6942982491</v>
      </c>
      <c r="L6163">
        <v>2810262553</v>
      </c>
      <c r="N6163" t="s">
        <v>1525</v>
      </c>
      <c r="O6163" t="s">
        <v>1526</v>
      </c>
      <c r="R6163" t="s">
        <v>57</v>
      </c>
      <c r="S6163">
        <v>16</v>
      </c>
      <c r="T6163">
        <v>159</v>
      </c>
      <c r="U6163" s="1">
        <v>32385</v>
      </c>
      <c r="V6163" t="s">
        <v>80</v>
      </c>
      <c r="W6163" t="s">
        <v>81</v>
      </c>
      <c r="X6163" t="s">
        <v>58</v>
      </c>
      <c r="Y6163">
        <v>25</v>
      </c>
      <c r="Z6163" t="s">
        <v>59</v>
      </c>
      <c r="AA6163" t="s">
        <v>59</v>
      </c>
      <c r="AB6163" t="s">
        <v>59</v>
      </c>
      <c r="AC6163" t="s">
        <v>59</v>
      </c>
      <c r="AD6163" t="s">
        <v>59</v>
      </c>
      <c r="AF6163" s="1">
        <v>32387</v>
      </c>
      <c r="AG6163" t="s">
        <v>8651</v>
      </c>
      <c r="AH6163" t="s">
        <v>8652</v>
      </c>
      <c r="AI6163" t="str">
        <f>"9170053"</f>
        <v>9170053</v>
      </c>
      <c r="AJ6163" t="s">
        <v>10579</v>
      </c>
      <c r="AK6163">
        <v>2810262835</v>
      </c>
      <c r="AL6163" t="s">
        <v>10580</v>
      </c>
      <c r="AM6163" t="s">
        <v>78</v>
      </c>
      <c r="AN6163" t="s">
        <v>78</v>
      </c>
      <c r="AO6163" t="s">
        <v>78</v>
      </c>
      <c r="AP6163" t="s">
        <v>141</v>
      </c>
      <c r="AQ6163">
        <v>1</v>
      </c>
      <c r="AR6163" t="s">
        <v>80</v>
      </c>
      <c r="AS6163" t="s">
        <v>81</v>
      </c>
      <c r="AT6163" t="s">
        <v>58</v>
      </c>
      <c r="AU6163" t="s">
        <v>68</v>
      </c>
      <c r="AV6163" t="s">
        <v>69</v>
      </c>
      <c r="AW6163" s="1">
        <v>23708</v>
      </c>
      <c r="AX6163">
        <v>1</v>
      </c>
    </row>
    <row r="6164" spans="1:50">
      <c r="A6164">
        <v>592936</v>
      </c>
      <c r="B6164" t="str">
        <f>"045644243"</f>
        <v>045644243</v>
      </c>
      <c r="C6164" t="s">
        <v>50</v>
      </c>
      <c r="D6164" t="s">
        <v>10581</v>
      </c>
      <c r="E6164" t="s">
        <v>476</v>
      </c>
      <c r="F6164" t="s">
        <v>95</v>
      </c>
      <c r="G6164" t="s">
        <v>316</v>
      </c>
      <c r="H6164" t="str">
        <f>" "</f>
        <v xml:space="preserve"> </v>
      </c>
      <c r="N6164" t="s">
        <v>615</v>
      </c>
      <c r="O6164" t="s">
        <v>616</v>
      </c>
      <c r="R6164" t="s">
        <v>57</v>
      </c>
      <c r="S6164">
        <v>9</v>
      </c>
      <c r="T6164">
        <v>218</v>
      </c>
      <c r="U6164" s="1">
        <v>37134</v>
      </c>
      <c r="V6164" t="s">
        <v>80</v>
      </c>
      <c r="W6164" t="s">
        <v>81</v>
      </c>
      <c r="X6164" t="s">
        <v>58</v>
      </c>
      <c r="Y6164">
        <v>22</v>
      </c>
      <c r="Z6164" t="s">
        <v>59</v>
      </c>
      <c r="AA6164" t="s">
        <v>59</v>
      </c>
      <c r="AB6164" t="s">
        <v>59</v>
      </c>
      <c r="AC6164" t="s">
        <v>59</v>
      </c>
      <c r="AD6164" t="s">
        <v>59</v>
      </c>
      <c r="AF6164" s="1">
        <v>37137</v>
      </c>
      <c r="AG6164" t="s">
        <v>8645</v>
      </c>
      <c r="AH6164" t="s">
        <v>8646</v>
      </c>
      <c r="AI6164" t="str">
        <f>"9170259"</f>
        <v>9170259</v>
      </c>
      <c r="AJ6164" t="s">
        <v>8784</v>
      </c>
      <c r="AK6164">
        <v>6994891960</v>
      </c>
      <c r="AL6164" t="s">
        <v>8785</v>
      </c>
      <c r="AM6164" t="s">
        <v>78</v>
      </c>
      <c r="AN6164" t="s">
        <v>78</v>
      </c>
      <c r="AO6164" t="s">
        <v>78</v>
      </c>
      <c r="AP6164" t="s">
        <v>213</v>
      </c>
      <c r="AQ6164">
        <v>1</v>
      </c>
      <c r="AR6164" t="s">
        <v>80</v>
      </c>
      <c r="AS6164" t="s">
        <v>81</v>
      </c>
      <c r="AT6164" t="s">
        <v>58</v>
      </c>
      <c r="AU6164" t="s">
        <v>68</v>
      </c>
      <c r="AV6164" t="s">
        <v>69</v>
      </c>
      <c r="AW6164" s="1">
        <v>24494</v>
      </c>
      <c r="AX6164">
        <v>1</v>
      </c>
    </row>
    <row r="6165" spans="1:50">
      <c r="A6165">
        <v>558096</v>
      </c>
      <c r="B6165" t="str">
        <f>"031327110"</f>
        <v>031327110</v>
      </c>
      <c r="C6165" t="s">
        <v>50</v>
      </c>
      <c r="D6165" t="s">
        <v>10581</v>
      </c>
      <c r="E6165" t="s">
        <v>1484</v>
      </c>
      <c r="F6165" t="s">
        <v>95</v>
      </c>
      <c r="G6165" t="s">
        <v>316</v>
      </c>
      <c r="H6165" t="str">
        <f>"Οδυσσέως 6Α Πόρος"</f>
        <v>Οδυσσέως 6Α Πόρος</v>
      </c>
      <c r="I6165">
        <v>71307</v>
      </c>
      <c r="J6165">
        <v>2810242398</v>
      </c>
      <c r="K6165">
        <v>6977067398</v>
      </c>
      <c r="M6165" t="s">
        <v>10582</v>
      </c>
      <c r="N6165" t="s">
        <v>615</v>
      </c>
      <c r="O6165" t="s">
        <v>616</v>
      </c>
      <c r="R6165" t="s">
        <v>57</v>
      </c>
      <c r="S6165">
        <v>19</v>
      </c>
      <c r="T6165">
        <v>168</v>
      </c>
      <c r="U6165" s="1">
        <v>32010</v>
      </c>
      <c r="V6165" t="s">
        <v>80</v>
      </c>
      <c r="W6165" t="s">
        <v>81</v>
      </c>
      <c r="X6165" t="s">
        <v>58</v>
      </c>
      <c r="Y6165">
        <v>21</v>
      </c>
      <c r="Z6165" t="s">
        <v>59</v>
      </c>
      <c r="AA6165" t="s">
        <v>59</v>
      </c>
      <c r="AB6165" t="s">
        <v>59</v>
      </c>
      <c r="AC6165" t="s">
        <v>59</v>
      </c>
      <c r="AD6165" t="s">
        <v>59</v>
      </c>
      <c r="AF6165" s="1">
        <v>32024</v>
      </c>
      <c r="AG6165" t="s">
        <v>8645</v>
      </c>
      <c r="AH6165" t="s">
        <v>8646</v>
      </c>
      <c r="AI6165" t="str">
        <f>"9170259"</f>
        <v>9170259</v>
      </c>
      <c r="AJ6165" t="s">
        <v>8784</v>
      </c>
      <c r="AK6165">
        <v>6994891960</v>
      </c>
      <c r="AL6165" t="s">
        <v>8785</v>
      </c>
      <c r="AM6165" t="s">
        <v>78</v>
      </c>
      <c r="AN6165" t="s">
        <v>78</v>
      </c>
      <c r="AO6165" t="s">
        <v>78</v>
      </c>
      <c r="AP6165" t="s">
        <v>213</v>
      </c>
      <c r="AQ6165">
        <v>1</v>
      </c>
      <c r="AR6165" t="s">
        <v>80</v>
      </c>
      <c r="AS6165" t="s">
        <v>81</v>
      </c>
      <c r="AT6165" t="s">
        <v>58</v>
      </c>
      <c r="AU6165" t="s">
        <v>68</v>
      </c>
      <c r="AV6165" t="s">
        <v>69</v>
      </c>
      <c r="AW6165" s="1">
        <v>23960</v>
      </c>
      <c r="AX6165">
        <v>1</v>
      </c>
    </row>
    <row r="6166" spans="1:50">
      <c r="B6166" t="str">
        <f>"140097130"</f>
        <v>140097130</v>
      </c>
      <c r="C6166" t="s">
        <v>50</v>
      </c>
      <c r="D6166" t="s">
        <v>10583</v>
      </c>
      <c r="E6166" t="s">
        <v>52</v>
      </c>
      <c r="F6166" t="s">
        <v>72</v>
      </c>
      <c r="G6166" t="s">
        <v>255</v>
      </c>
      <c r="H6166" t="str">
        <f>"ΚΑΙΣΑΡΕΙΑ "</f>
        <v xml:space="preserve">ΚΑΙΣΑΡΕΙΑ </v>
      </c>
      <c r="I6166">
        <v>50010</v>
      </c>
      <c r="J6166">
        <v>2461087983</v>
      </c>
      <c r="K6166">
        <v>6979837218</v>
      </c>
      <c r="N6166" t="s">
        <v>1525</v>
      </c>
      <c r="O6166" t="s">
        <v>1526</v>
      </c>
      <c r="R6166" t="s">
        <v>159</v>
      </c>
      <c r="S6166">
        <v>4</v>
      </c>
      <c r="T6166" t="s">
        <v>8670</v>
      </c>
      <c r="U6166" s="1">
        <v>43348</v>
      </c>
      <c r="V6166" t="s">
        <v>80</v>
      </c>
      <c r="W6166" t="s">
        <v>81</v>
      </c>
      <c r="X6166" t="s">
        <v>58</v>
      </c>
      <c r="Y6166">
        <v>25</v>
      </c>
      <c r="Z6166" t="s">
        <v>59</v>
      </c>
      <c r="AA6166" t="s">
        <v>59</v>
      </c>
      <c r="AB6166" t="s">
        <v>59</v>
      </c>
      <c r="AC6166" t="s">
        <v>59</v>
      </c>
      <c r="AD6166" t="s">
        <v>59</v>
      </c>
      <c r="AF6166" s="1">
        <v>43348</v>
      </c>
      <c r="AG6166" t="s">
        <v>8651</v>
      </c>
      <c r="AH6166" t="s">
        <v>8652</v>
      </c>
      <c r="AI6166" t="str">
        <f>"9170570"</f>
        <v>9170570</v>
      </c>
      <c r="AJ6166" t="s">
        <v>10584</v>
      </c>
      <c r="AK6166">
        <v>2810318507</v>
      </c>
      <c r="AL6166" t="s">
        <v>10585</v>
      </c>
      <c r="AM6166" t="s">
        <v>78</v>
      </c>
      <c r="AN6166" t="s">
        <v>129</v>
      </c>
      <c r="AO6166" t="s">
        <v>130</v>
      </c>
      <c r="AP6166" t="s">
        <v>130</v>
      </c>
      <c r="AQ6166">
        <v>1</v>
      </c>
      <c r="AR6166" t="s">
        <v>80</v>
      </c>
      <c r="AS6166" t="s">
        <v>81</v>
      </c>
      <c r="AT6166" t="s">
        <v>58</v>
      </c>
      <c r="AU6166" t="s">
        <v>8673</v>
      </c>
      <c r="AV6166" t="s">
        <v>132</v>
      </c>
      <c r="AW6166" s="1">
        <v>31468</v>
      </c>
      <c r="AX6166">
        <v>1</v>
      </c>
    </row>
    <row r="6167" spans="1:50">
      <c r="A6167">
        <v>612581</v>
      </c>
      <c r="B6167" t="str">
        <f>"048119141"</f>
        <v>048119141</v>
      </c>
      <c r="C6167" t="s">
        <v>50</v>
      </c>
      <c r="D6167" t="s">
        <v>2601</v>
      </c>
      <c r="E6167" t="s">
        <v>83</v>
      </c>
      <c r="F6167" t="s">
        <v>920</v>
      </c>
      <c r="G6167" t="s">
        <v>2251</v>
      </c>
      <c r="H6167" t="str">
        <f>"ΜΕΤΑΞΟΧΩΡΙΟΥ 6 ΗΡΑΚΛΕΙΟ"</f>
        <v>ΜΕΤΑΞΟΧΩΡΙΟΥ 6 ΗΡΑΚΛΕΙΟ</v>
      </c>
      <c r="I6167">
        <v>71304</v>
      </c>
      <c r="J6167">
        <v>2810214053</v>
      </c>
      <c r="K6167">
        <v>6944691591</v>
      </c>
      <c r="N6167" t="s">
        <v>176</v>
      </c>
      <c r="O6167" t="s">
        <v>177</v>
      </c>
      <c r="R6167" t="s">
        <v>57</v>
      </c>
      <c r="S6167">
        <v>8</v>
      </c>
      <c r="T6167">
        <v>234</v>
      </c>
      <c r="U6167" s="1">
        <v>38960</v>
      </c>
      <c r="V6167" t="s">
        <v>80</v>
      </c>
      <c r="W6167" t="s">
        <v>81</v>
      </c>
      <c r="X6167" t="s">
        <v>58</v>
      </c>
      <c r="Y6167">
        <v>23</v>
      </c>
      <c r="Z6167" t="s">
        <v>59</v>
      </c>
      <c r="AA6167" t="s">
        <v>59</v>
      </c>
      <c r="AB6167" t="s">
        <v>59</v>
      </c>
      <c r="AC6167" t="s">
        <v>59</v>
      </c>
      <c r="AD6167" t="s">
        <v>59</v>
      </c>
      <c r="AF6167" s="1">
        <v>39692</v>
      </c>
      <c r="AG6167" t="s">
        <v>8645</v>
      </c>
      <c r="AH6167" t="s">
        <v>8646</v>
      </c>
      <c r="AI6167" t="str">
        <f>"9170512"</f>
        <v>9170512</v>
      </c>
      <c r="AJ6167" t="s">
        <v>8986</v>
      </c>
      <c r="AK6167">
        <v>2810253082</v>
      </c>
      <c r="AL6167" t="s">
        <v>8987</v>
      </c>
      <c r="AM6167" t="s">
        <v>78</v>
      </c>
      <c r="AN6167" t="s">
        <v>78</v>
      </c>
      <c r="AO6167" t="s">
        <v>78</v>
      </c>
      <c r="AP6167" t="s">
        <v>141</v>
      </c>
      <c r="AQ6167">
        <v>1</v>
      </c>
      <c r="AR6167" t="s">
        <v>80</v>
      </c>
      <c r="AS6167" t="s">
        <v>81</v>
      </c>
      <c r="AT6167" t="s">
        <v>58</v>
      </c>
      <c r="AU6167" t="s">
        <v>68</v>
      </c>
      <c r="AV6167" t="s">
        <v>69</v>
      </c>
      <c r="AW6167" s="1">
        <v>25899</v>
      </c>
      <c r="AX6167">
        <v>1</v>
      </c>
    </row>
    <row r="6168" spans="1:50">
      <c r="A6168">
        <v>602338</v>
      </c>
      <c r="B6168" t="str">
        <f>"118933180"</f>
        <v>118933180</v>
      </c>
      <c r="C6168" t="s">
        <v>50</v>
      </c>
      <c r="D6168" t="s">
        <v>2601</v>
      </c>
      <c r="E6168" t="s">
        <v>188</v>
      </c>
      <c r="F6168" t="s">
        <v>311</v>
      </c>
      <c r="G6168" t="s">
        <v>71</v>
      </c>
      <c r="H6168" t="str">
        <f>" "</f>
        <v xml:space="preserve"> </v>
      </c>
      <c r="J6168">
        <v>2810237383</v>
      </c>
      <c r="K6168">
        <v>6976843875</v>
      </c>
      <c r="N6168" t="s">
        <v>615</v>
      </c>
      <c r="O6168" t="s">
        <v>616</v>
      </c>
      <c r="R6168" t="s">
        <v>57</v>
      </c>
      <c r="S6168">
        <v>7</v>
      </c>
      <c r="T6168">
        <v>207</v>
      </c>
      <c r="U6168" s="1">
        <v>37866</v>
      </c>
      <c r="V6168" t="s">
        <v>80</v>
      </c>
      <c r="W6168" t="s">
        <v>81</v>
      </c>
      <c r="X6168" t="s">
        <v>58</v>
      </c>
      <c r="Y6168">
        <v>22</v>
      </c>
      <c r="Z6168" t="s">
        <v>59</v>
      </c>
      <c r="AA6168" t="s">
        <v>59</v>
      </c>
      <c r="AB6168" t="s">
        <v>59</v>
      </c>
      <c r="AC6168" t="s">
        <v>59</v>
      </c>
      <c r="AD6168" t="s">
        <v>59</v>
      </c>
      <c r="AF6168" s="1">
        <v>37866</v>
      </c>
      <c r="AG6168" t="s">
        <v>8645</v>
      </c>
      <c r="AH6168" t="s">
        <v>8646</v>
      </c>
      <c r="AI6168" t="str">
        <f>"9170197"</f>
        <v>9170197</v>
      </c>
      <c r="AJ6168" t="s">
        <v>8989</v>
      </c>
      <c r="AK6168">
        <v>2810232577</v>
      </c>
      <c r="AL6168" t="s">
        <v>8990</v>
      </c>
      <c r="AM6168" t="s">
        <v>78</v>
      </c>
      <c r="AN6168" t="s">
        <v>78</v>
      </c>
      <c r="AO6168" t="s">
        <v>78</v>
      </c>
      <c r="AP6168" t="s">
        <v>163</v>
      </c>
      <c r="AQ6168">
        <v>1</v>
      </c>
      <c r="AR6168" t="s">
        <v>80</v>
      </c>
      <c r="AS6168" t="s">
        <v>81</v>
      </c>
      <c r="AT6168" t="s">
        <v>58</v>
      </c>
      <c r="AU6168" t="s">
        <v>68</v>
      </c>
      <c r="AV6168" t="s">
        <v>69</v>
      </c>
      <c r="AW6168" s="1">
        <v>28343</v>
      </c>
      <c r="AX6168">
        <v>1</v>
      </c>
    </row>
    <row r="6169" spans="1:50">
      <c r="B6169" t="str">
        <f>"070953001"</f>
        <v>070953001</v>
      </c>
      <c r="C6169" t="s">
        <v>50</v>
      </c>
      <c r="D6169" t="s">
        <v>10586</v>
      </c>
      <c r="E6169" t="s">
        <v>134</v>
      </c>
      <c r="F6169" t="s">
        <v>995</v>
      </c>
      <c r="G6169" t="s">
        <v>237</v>
      </c>
      <c r="H6169" t="str">
        <f>"ΠΛΑΤΩΝΟΣ 29 ΗΡΑΚΛΕΙΟ"</f>
        <v>ΠΛΑΤΩΝΟΣ 29 ΗΡΑΚΛΕΙΟ</v>
      </c>
      <c r="I6169">
        <v>71307</v>
      </c>
      <c r="J6169">
        <v>2810225665</v>
      </c>
      <c r="K6169">
        <v>6977209592</v>
      </c>
      <c r="N6169" t="s">
        <v>384</v>
      </c>
      <c r="O6169" t="s">
        <v>385</v>
      </c>
      <c r="R6169" t="s">
        <v>159</v>
      </c>
      <c r="S6169">
        <v>2</v>
      </c>
      <c r="T6169" t="s">
        <v>8675</v>
      </c>
      <c r="U6169" s="1">
        <v>43348</v>
      </c>
      <c r="V6169" t="s">
        <v>80</v>
      </c>
      <c r="W6169" t="s">
        <v>81</v>
      </c>
      <c r="X6169" t="s">
        <v>58</v>
      </c>
      <c r="Y6169">
        <v>24</v>
      </c>
      <c r="Z6169" t="s">
        <v>59</v>
      </c>
      <c r="AA6169" t="s">
        <v>59</v>
      </c>
      <c r="AB6169" t="s">
        <v>59</v>
      </c>
      <c r="AC6169" t="s">
        <v>59</v>
      </c>
      <c r="AD6169" t="s">
        <v>59</v>
      </c>
      <c r="AF6169" s="1">
        <v>43348</v>
      </c>
      <c r="AG6169" t="s">
        <v>8645</v>
      </c>
      <c r="AH6169" t="s">
        <v>8646</v>
      </c>
      <c r="AI6169" t="str">
        <f>"9170205"</f>
        <v>9170205</v>
      </c>
      <c r="AJ6169" t="s">
        <v>8794</v>
      </c>
      <c r="AK6169">
        <v>2810762030</v>
      </c>
      <c r="AL6169" t="s">
        <v>8795</v>
      </c>
      <c r="AM6169" t="s">
        <v>78</v>
      </c>
      <c r="AN6169" t="s">
        <v>219</v>
      </c>
      <c r="AO6169" t="s">
        <v>297</v>
      </c>
      <c r="AP6169" t="s">
        <v>8796</v>
      </c>
      <c r="AQ6169">
        <v>7</v>
      </c>
      <c r="AR6169" t="s">
        <v>80</v>
      </c>
      <c r="AS6169" t="s">
        <v>81</v>
      </c>
      <c r="AT6169" t="s">
        <v>58</v>
      </c>
      <c r="AU6169" t="s">
        <v>8673</v>
      </c>
      <c r="AV6169" t="s">
        <v>132</v>
      </c>
      <c r="AW6169" s="1">
        <v>29243</v>
      </c>
      <c r="AX6169">
        <v>1</v>
      </c>
    </row>
    <row r="6170" spans="1:50">
      <c r="A6170">
        <v>585842</v>
      </c>
      <c r="B6170" t="str">
        <f>"054261985"</f>
        <v>054261985</v>
      </c>
      <c r="C6170" t="s">
        <v>50</v>
      </c>
      <c r="D6170" t="s">
        <v>10587</v>
      </c>
      <c r="E6170" t="s">
        <v>250</v>
      </c>
      <c r="F6170" t="s">
        <v>53</v>
      </c>
      <c r="G6170" t="s">
        <v>237</v>
      </c>
      <c r="H6170" t="str">
        <f>"ΛΙΣΣΟΥ 11  ΗΡΑΚΛΕΙΟ"</f>
        <v>ΛΙΣΣΟΥ 11  ΗΡΑΚΛΕΙΟ</v>
      </c>
      <c r="I6170">
        <v>71304</v>
      </c>
      <c r="J6170">
        <v>2810263605</v>
      </c>
      <c r="K6170">
        <v>6973887703</v>
      </c>
      <c r="M6170" t="s">
        <v>10588</v>
      </c>
      <c r="N6170" t="s">
        <v>615</v>
      </c>
      <c r="O6170" t="s">
        <v>616</v>
      </c>
      <c r="P6170" t="s">
        <v>232</v>
      </c>
      <c r="Q6170" t="s">
        <v>233</v>
      </c>
      <c r="R6170" t="s">
        <v>57</v>
      </c>
      <c r="S6170">
        <v>11</v>
      </c>
      <c r="T6170">
        <v>165</v>
      </c>
      <c r="U6170" s="1">
        <v>36040</v>
      </c>
      <c r="V6170" t="s">
        <v>80</v>
      </c>
      <c r="W6170" t="s">
        <v>81</v>
      </c>
      <c r="X6170" t="s">
        <v>58</v>
      </c>
      <c r="Y6170">
        <v>21</v>
      </c>
      <c r="Z6170" t="s">
        <v>59</v>
      </c>
      <c r="AA6170" t="s">
        <v>59</v>
      </c>
      <c r="AB6170" t="s">
        <v>59</v>
      </c>
      <c r="AC6170" t="s">
        <v>59</v>
      </c>
      <c r="AD6170" t="s">
        <v>59</v>
      </c>
      <c r="AF6170" s="1">
        <v>36045</v>
      </c>
      <c r="AG6170" t="s">
        <v>8645</v>
      </c>
      <c r="AH6170" t="s">
        <v>8646</v>
      </c>
      <c r="AI6170" t="str">
        <f>"9170362"</f>
        <v>9170362</v>
      </c>
      <c r="AJ6170" t="s">
        <v>8681</v>
      </c>
      <c r="AK6170">
        <v>2810255261</v>
      </c>
      <c r="AL6170" t="s">
        <v>8682</v>
      </c>
      <c r="AM6170" t="s">
        <v>78</v>
      </c>
      <c r="AN6170" t="s">
        <v>78</v>
      </c>
      <c r="AO6170" t="s">
        <v>78</v>
      </c>
      <c r="AP6170" t="s">
        <v>141</v>
      </c>
      <c r="AQ6170">
        <v>1</v>
      </c>
      <c r="AR6170" t="s">
        <v>80</v>
      </c>
      <c r="AS6170" t="s">
        <v>81</v>
      </c>
      <c r="AT6170" t="s">
        <v>58</v>
      </c>
      <c r="AU6170" t="s">
        <v>68</v>
      </c>
      <c r="AV6170" t="s">
        <v>69</v>
      </c>
      <c r="AW6170" s="1">
        <v>22883</v>
      </c>
      <c r="AX6170">
        <v>1</v>
      </c>
    </row>
    <row r="6171" spans="1:50">
      <c r="A6171">
        <v>614810</v>
      </c>
      <c r="B6171" t="str">
        <f>"110749763"</f>
        <v>110749763</v>
      </c>
      <c r="C6171" t="s">
        <v>50</v>
      </c>
      <c r="D6171" t="s">
        <v>10587</v>
      </c>
      <c r="E6171" t="s">
        <v>52</v>
      </c>
      <c r="F6171" t="s">
        <v>670</v>
      </c>
      <c r="G6171" t="s">
        <v>237</v>
      </c>
      <c r="H6171" t="str">
        <f>"ΤΡΙΚΑΛΩΝ 11 ΓΑΖΙ ΗΡΑΚΛΕΙΟΥ"</f>
        <v>ΤΡΙΚΑΛΩΝ 11 ΓΑΖΙ ΗΡΑΚΛΕΙΟΥ</v>
      </c>
      <c r="I6171">
        <v>71303</v>
      </c>
      <c r="J6171">
        <v>2810316352</v>
      </c>
      <c r="K6171">
        <v>6944290840</v>
      </c>
      <c r="N6171" t="s">
        <v>615</v>
      </c>
      <c r="O6171" t="s">
        <v>616</v>
      </c>
      <c r="R6171" t="s">
        <v>57</v>
      </c>
      <c r="S6171">
        <v>5</v>
      </c>
      <c r="T6171">
        <v>598</v>
      </c>
      <c r="U6171" s="1">
        <v>39310</v>
      </c>
      <c r="V6171" t="s">
        <v>80</v>
      </c>
      <c r="W6171" t="s">
        <v>81</v>
      </c>
      <c r="X6171" t="s">
        <v>58</v>
      </c>
      <c r="Y6171">
        <v>23</v>
      </c>
      <c r="Z6171" t="s">
        <v>59</v>
      </c>
      <c r="AA6171" t="s">
        <v>59</v>
      </c>
      <c r="AB6171" t="s">
        <v>59</v>
      </c>
      <c r="AC6171" t="s">
        <v>59</v>
      </c>
      <c r="AD6171" t="s">
        <v>59</v>
      </c>
      <c r="AF6171" s="1">
        <v>39328</v>
      </c>
      <c r="AG6171" t="s">
        <v>8645</v>
      </c>
      <c r="AH6171" t="s">
        <v>8646</v>
      </c>
      <c r="AI6171" t="str">
        <f>"9170020"</f>
        <v>9170020</v>
      </c>
      <c r="AJ6171" t="s">
        <v>9244</v>
      </c>
      <c r="AK6171">
        <v>2810821476</v>
      </c>
      <c r="AL6171" t="s">
        <v>9245</v>
      </c>
      <c r="AM6171" t="s">
        <v>78</v>
      </c>
      <c r="AN6171" t="s">
        <v>129</v>
      </c>
      <c r="AO6171" t="s">
        <v>130</v>
      </c>
      <c r="AP6171" t="s">
        <v>9246</v>
      </c>
      <c r="AQ6171">
        <v>2</v>
      </c>
      <c r="AR6171" t="s">
        <v>80</v>
      </c>
      <c r="AS6171" t="s">
        <v>81</v>
      </c>
      <c r="AT6171" t="s">
        <v>58</v>
      </c>
      <c r="AU6171" t="s">
        <v>68</v>
      </c>
      <c r="AV6171" t="s">
        <v>69</v>
      </c>
      <c r="AW6171" s="1">
        <v>30793</v>
      </c>
      <c r="AX6171">
        <v>1</v>
      </c>
    </row>
    <row r="6172" spans="1:50">
      <c r="A6172">
        <v>586882</v>
      </c>
      <c r="B6172" t="str">
        <f>"064399400"</f>
        <v>064399400</v>
      </c>
      <c r="C6172" t="s">
        <v>50</v>
      </c>
      <c r="D6172" t="s">
        <v>10589</v>
      </c>
      <c r="E6172" t="s">
        <v>5201</v>
      </c>
      <c r="F6172" t="s">
        <v>10590</v>
      </c>
      <c r="G6172" t="s">
        <v>314</v>
      </c>
      <c r="H6172" t="str">
        <f>"ΑΡΤΕΜΗΣΙΑΣ 102 ΝΕΑ ΑΛΙΚΑΡΝΑΣΣΟΣ"</f>
        <v>ΑΡΤΕΜΗΣΙΑΣ 102 ΝΕΑ ΑΛΙΚΑΡΝΑΣΣΟΣ</v>
      </c>
      <c r="I6172">
        <v>71601</v>
      </c>
      <c r="J6172">
        <v>2810242572</v>
      </c>
      <c r="K6172">
        <v>6937868028</v>
      </c>
      <c r="N6172" t="s">
        <v>1525</v>
      </c>
      <c r="O6172" t="s">
        <v>1526</v>
      </c>
      <c r="R6172" t="s">
        <v>57</v>
      </c>
      <c r="S6172">
        <v>12</v>
      </c>
      <c r="T6172" t="s">
        <v>10591</v>
      </c>
      <c r="U6172" s="1">
        <v>36040</v>
      </c>
      <c r="V6172" t="s">
        <v>80</v>
      </c>
      <c r="W6172" t="s">
        <v>81</v>
      </c>
      <c r="X6172" t="s">
        <v>58</v>
      </c>
      <c r="Y6172">
        <v>25</v>
      </c>
      <c r="Z6172" t="s">
        <v>59</v>
      </c>
      <c r="AA6172" t="s">
        <v>59</v>
      </c>
      <c r="AB6172" t="s">
        <v>59</v>
      </c>
      <c r="AC6172" t="s">
        <v>59</v>
      </c>
      <c r="AD6172" t="s">
        <v>59</v>
      </c>
      <c r="AF6172" s="1">
        <v>36042</v>
      </c>
      <c r="AG6172" t="s">
        <v>8651</v>
      </c>
      <c r="AH6172" t="s">
        <v>8652</v>
      </c>
      <c r="AI6172" t="str">
        <f>"9170577"</f>
        <v>9170577</v>
      </c>
      <c r="AJ6172" t="s">
        <v>10592</v>
      </c>
      <c r="AK6172">
        <v>2810240478</v>
      </c>
      <c r="AL6172" t="s">
        <v>10593</v>
      </c>
      <c r="AM6172" t="s">
        <v>78</v>
      </c>
      <c r="AN6172" t="s">
        <v>78</v>
      </c>
      <c r="AO6172" t="s">
        <v>286</v>
      </c>
      <c r="AP6172" t="s">
        <v>286</v>
      </c>
      <c r="AQ6172">
        <v>1</v>
      </c>
      <c r="AR6172" t="s">
        <v>80</v>
      </c>
      <c r="AS6172" t="s">
        <v>81</v>
      </c>
      <c r="AT6172" t="s">
        <v>58</v>
      </c>
      <c r="AU6172" t="s">
        <v>68</v>
      </c>
      <c r="AV6172" t="s">
        <v>69</v>
      </c>
      <c r="AW6172" s="1">
        <v>24304</v>
      </c>
      <c r="AX6172">
        <v>1</v>
      </c>
    </row>
    <row r="6173" spans="1:50">
      <c r="B6173" t="str">
        <f>"039463396"</f>
        <v>039463396</v>
      </c>
      <c r="C6173" t="s">
        <v>105</v>
      </c>
      <c r="D6173" t="s">
        <v>10594</v>
      </c>
      <c r="E6173" t="s">
        <v>95</v>
      </c>
      <c r="F6173" t="s">
        <v>84</v>
      </c>
      <c r="G6173" t="s">
        <v>3172</v>
      </c>
      <c r="H6173" t="str">
        <f>"ΚΑΝΑΛΙΑ ΚΕΡΚΥΡΑ"</f>
        <v>ΚΑΝΑΛΙΑ ΚΕΡΚΥΡΑ</v>
      </c>
      <c r="I6173">
        <v>49100</v>
      </c>
      <c r="J6173">
        <v>2310428620</v>
      </c>
      <c r="K6173">
        <v>6937792222</v>
      </c>
      <c r="N6173" t="s">
        <v>176</v>
      </c>
      <c r="O6173" t="s">
        <v>177</v>
      </c>
      <c r="R6173" t="s">
        <v>159</v>
      </c>
      <c r="S6173">
        <v>4</v>
      </c>
      <c r="T6173" t="s">
        <v>8675</v>
      </c>
      <c r="U6173" s="1">
        <v>43348</v>
      </c>
      <c r="V6173" t="s">
        <v>80</v>
      </c>
      <c r="W6173" t="s">
        <v>81</v>
      </c>
      <c r="X6173" t="s">
        <v>58</v>
      </c>
      <c r="Y6173">
        <v>24</v>
      </c>
      <c r="Z6173" t="s">
        <v>59</v>
      </c>
      <c r="AA6173" t="s">
        <v>59</v>
      </c>
      <c r="AB6173" t="s">
        <v>59</v>
      </c>
      <c r="AC6173" t="s">
        <v>59</v>
      </c>
      <c r="AD6173" t="s">
        <v>59</v>
      </c>
      <c r="AF6173" s="1">
        <v>43348</v>
      </c>
      <c r="AG6173" t="s">
        <v>8645</v>
      </c>
      <c r="AH6173" t="s">
        <v>8646</v>
      </c>
      <c r="AI6173" t="str">
        <f>"9170002"</f>
        <v>9170002</v>
      </c>
      <c r="AJ6173" t="s">
        <v>9368</v>
      </c>
      <c r="AK6173">
        <v>2894041207</v>
      </c>
      <c r="AL6173" t="s">
        <v>9369</v>
      </c>
      <c r="AM6173" t="s">
        <v>78</v>
      </c>
      <c r="AN6173" t="s">
        <v>405</v>
      </c>
      <c r="AO6173" t="s">
        <v>551</v>
      </c>
      <c r="AP6173" t="s">
        <v>552</v>
      </c>
      <c r="AQ6173">
        <v>21</v>
      </c>
      <c r="AR6173" t="s">
        <v>80</v>
      </c>
      <c r="AS6173" t="s">
        <v>81</v>
      </c>
      <c r="AT6173" t="s">
        <v>58</v>
      </c>
      <c r="AU6173" t="s">
        <v>8673</v>
      </c>
      <c r="AV6173" t="s">
        <v>132</v>
      </c>
      <c r="AW6173" s="1">
        <v>25034</v>
      </c>
      <c r="AX6173">
        <v>1</v>
      </c>
    </row>
    <row r="6174" spans="1:50">
      <c r="A6174">
        <v>611730</v>
      </c>
      <c r="B6174" t="str">
        <f>"109491246"</f>
        <v>109491246</v>
      </c>
      <c r="C6174" t="s">
        <v>50</v>
      </c>
      <c r="D6174" t="s">
        <v>10595</v>
      </c>
      <c r="E6174" t="s">
        <v>4266</v>
      </c>
      <c r="F6174" t="s">
        <v>99</v>
      </c>
      <c r="G6174" t="s">
        <v>10596</v>
      </c>
      <c r="H6174" t="str">
        <f>"ΜΠΙΖΑΝΙΟΥ 2 ΗΡΑΚΛΕΙΟ"</f>
        <v>ΜΠΙΖΑΝΙΟΥ 2 ΗΡΑΚΛΕΙΟ</v>
      </c>
      <c r="I6174">
        <v>71201</v>
      </c>
      <c r="K6174">
        <v>6946933368</v>
      </c>
      <c r="L6174">
        <v>6940901852</v>
      </c>
      <c r="M6174" t="s">
        <v>10597</v>
      </c>
      <c r="N6174" t="s">
        <v>1525</v>
      </c>
      <c r="O6174" t="s">
        <v>1526</v>
      </c>
      <c r="R6174" t="s">
        <v>57</v>
      </c>
      <c r="S6174">
        <v>6</v>
      </c>
      <c r="T6174">
        <v>233</v>
      </c>
      <c r="U6174" s="1">
        <v>38960</v>
      </c>
      <c r="V6174" t="s">
        <v>80</v>
      </c>
      <c r="W6174" t="s">
        <v>81</v>
      </c>
      <c r="X6174" t="s">
        <v>58</v>
      </c>
      <c r="Y6174">
        <v>25</v>
      </c>
      <c r="Z6174" t="s">
        <v>59</v>
      </c>
      <c r="AA6174" t="s">
        <v>59</v>
      </c>
      <c r="AB6174" t="s">
        <v>59</v>
      </c>
      <c r="AC6174" t="s">
        <v>59</v>
      </c>
      <c r="AD6174" t="s">
        <v>59</v>
      </c>
      <c r="AF6174" s="1">
        <v>38961</v>
      </c>
      <c r="AG6174" t="s">
        <v>8651</v>
      </c>
      <c r="AH6174" t="s">
        <v>8652</v>
      </c>
      <c r="AI6174" t="str">
        <f>"9170396"</f>
        <v>9170396</v>
      </c>
      <c r="AJ6174" t="s">
        <v>10034</v>
      </c>
      <c r="AK6174">
        <v>2810240478</v>
      </c>
      <c r="AL6174" t="s">
        <v>10035</v>
      </c>
      <c r="AM6174" t="s">
        <v>78</v>
      </c>
      <c r="AN6174" t="s">
        <v>78</v>
      </c>
      <c r="AO6174" t="s">
        <v>286</v>
      </c>
      <c r="AP6174" t="s">
        <v>286</v>
      </c>
      <c r="AQ6174">
        <v>1</v>
      </c>
      <c r="AR6174" t="s">
        <v>80</v>
      </c>
      <c r="AS6174" t="s">
        <v>81</v>
      </c>
      <c r="AT6174" t="s">
        <v>58</v>
      </c>
      <c r="AU6174" t="s">
        <v>68</v>
      </c>
      <c r="AV6174" t="s">
        <v>69</v>
      </c>
      <c r="AW6174" s="1">
        <v>26931</v>
      </c>
      <c r="AX6174">
        <v>1</v>
      </c>
    </row>
    <row r="6175" spans="1:50">
      <c r="A6175">
        <v>576059</v>
      </c>
      <c r="B6175" t="str">
        <f>"110704120"</f>
        <v>110704120</v>
      </c>
      <c r="C6175" t="s">
        <v>50</v>
      </c>
      <c r="D6175" t="s">
        <v>10598</v>
      </c>
      <c r="E6175" t="s">
        <v>1001</v>
      </c>
      <c r="F6175" t="s">
        <v>72</v>
      </c>
      <c r="G6175" t="s">
        <v>5304</v>
      </c>
      <c r="H6175" t="str">
        <f>"ΗΦΑΙΣΤΟΥ 29 ΗΡΑΚΛΕΙΟ"</f>
        <v>ΗΦΑΙΣΤΟΥ 29 ΗΡΑΚΛΕΙΟ</v>
      </c>
      <c r="I6175">
        <v>71303</v>
      </c>
      <c r="J6175">
        <v>2810259118</v>
      </c>
      <c r="K6175">
        <v>6973396233</v>
      </c>
      <c r="N6175" t="s">
        <v>1525</v>
      </c>
      <c r="O6175" t="s">
        <v>1526</v>
      </c>
      <c r="R6175" t="s">
        <v>57</v>
      </c>
      <c r="S6175">
        <v>13</v>
      </c>
      <c r="T6175">
        <v>184</v>
      </c>
      <c r="U6175" s="1">
        <v>34941</v>
      </c>
      <c r="V6175" t="s">
        <v>80</v>
      </c>
      <c r="W6175" t="s">
        <v>81</v>
      </c>
      <c r="X6175" t="s">
        <v>58</v>
      </c>
      <c r="Y6175">
        <v>25</v>
      </c>
      <c r="Z6175" t="s">
        <v>59</v>
      </c>
      <c r="AA6175" t="s">
        <v>59</v>
      </c>
      <c r="AB6175" t="s">
        <v>59</v>
      </c>
      <c r="AC6175" t="s">
        <v>59</v>
      </c>
      <c r="AD6175" t="s">
        <v>59</v>
      </c>
      <c r="AF6175" s="1">
        <v>34943</v>
      </c>
      <c r="AG6175" t="s">
        <v>8651</v>
      </c>
      <c r="AH6175" t="s">
        <v>8652</v>
      </c>
      <c r="AI6175" t="str">
        <f>"9170482"</f>
        <v>9170482</v>
      </c>
      <c r="AJ6175" t="s">
        <v>10599</v>
      </c>
      <c r="AK6175">
        <v>2810256403</v>
      </c>
      <c r="AL6175" t="s">
        <v>10600</v>
      </c>
      <c r="AM6175" t="s">
        <v>78</v>
      </c>
      <c r="AN6175" t="s">
        <v>78</v>
      </c>
      <c r="AO6175" t="s">
        <v>78</v>
      </c>
      <c r="AP6175" t="s">
        <v>141</v>
      </c>
      <c r="AQ6175">
        <v>1</v>
      </c>
      <c r="AR6175" t="s">
        <v>80</v>
      </c>
      <c r="AS6175" t="s">
        <v>81</v>
      </c>
      <c r="AT6175" t="s">
        <v>58</v>
      </c>
      <c r="AU6175" t="s">
        <v>68</v>
      </c>
      <c r="AV6175" t="s">
        <v>69</v>
      </c>
      <c r="AW6175" s="1">
        <v>23967</v>
      </c>
      <c r="AX6175">
        <v>1</v>
      </c>
    </row>
    <row r="6176" spans="1:50">
      <c r="A6176">
        <v>617099</v>
      </c>
      <c r="B6176" t="str">
        <f>"079999450"</f>
        <v>079999450</v>
      </c>
      <c r="C6176" t="s">
        <v>50</v>
      </c>
      <c r="D6176" t="s">
        <v>2612</v>
      </c>
      <c r="E6176" t="s">
        <v>367</v>
      </c>
      <c r="F6176" t="s">
        <v>95</v>
      </c>
      <c r="G6176" t="s">
        <v>250</v>
      </c>
      <c r="H6176" t="str">
        <f>"ΑΡΚΑΔΙΑΣ 7 ΧΑΛΑΝΔΡΙ"</f>
        <v>ΑΡΚΑΔΙΑΣ 7 ΧΑΛΑΝΔΡΙ</v>
      </c>
      <c r="I6176">
        <v>15234</v>
      </c>
      <c r="K6176">
        <v>6974601328</v>
      </c>
      <c r="N6176" t="s">
        <v>615</v>
      </c>
      <c r="O6176" t="s">
        <v>616</v>
      </c>
      <c r="R6176" t="s">
        <v>57</v>
      </c>
      <c r="S6176">
        <v>8</v>
      </c>
      <c r="T6176">
        <v>774</v>
      </c>
      <c r="U6176" s="1">
        <v>39680</v>
      </c>
      <c r="V6176" t="s">
        <v>80</v>
      </c>
      <c r="W6176" t="s">
        <v>81</v>
      </c>
      <c r="X6176" t="s">
        <v>58</v>
      </c>
      <c r="Y6176">
        <v>22</v>
      </c>
      <c r="Z6176" t="s">
        <v>59</v>
      </c>
      <c r="AA6176" t="s">
        <v>59</v>
      </c>
      <c r="AB6176" t="s">
        <v>59</v>
      </c>
      <c r="AC6176" t="s">
        <v>59</v>
      </c>
      <c r="AD6176" t="s">
        <v>59</v>
      </c>
      <c r="AF6176" s="1">
        <v>39692</v>
      </c>
      <c r="AG6176" t="s">
        <v>8645</v>
      </c>
      <c r="AH6176" t="s">
        <v>8646</v>
      </c>
      <c r="AI6176" t="str">
        <f>"9170102"</f>
        <v>9170102</v>
      </c>
      <c r="AJ6176" t="s">
        <v>9019</v>
      </c>
      <c r="AK6176">
        <v>2810283938</v>
      </c>
      <c r="AL6176" t="s">
        <v>9020</v>
      </c>
      <c r="AM6176" t="s">
        <v>78</v>
      </c>
      <c r="AN6176" t="s">
        <v>78</v>
      </c>
      <c r="AO6176" t="s">
        <v>78</v>
      </c>
      <c r="AP6176" t="s">
        <v>79</v>
      </c>
      <c r="AQ6176">
        <v>1</v>
      </c>
      <c r="AR6176" t="s">
        <v>80</v>
      </c>
      <c r="AS6176" t="s">
        <v>81</v>
      </c>
      <c r="AT6176" t="s">
        <v>58</v>
      </c>
      <c r="AU6176" t="s">
        <v>68</v>
      </c>
      <c r="AV6176" t="s">
        <v>69</v>
      </c>
      <c r="AW6176" s="1">
        <v>28359</v>
      </c>
      <c r="AX6176">
        <v>1</v>
      </c>
    </row>
    <row r="6177" spans="1:50">
      <c r="A6177">
        <v>606314</v>
      </c>
      <c r="B6177" t="str">
        <f>"071514524"</f>
        <v>071514524</v>
      </c>
      <c r="C6177" t="s">
        <v>50</v>
      </c>
      <c r="D6177" t="s">
        <v>2612</v>
      </c>
      <c r="E6177" t="s">
        <v>52</v>
      </c>
      <c r="F6177" t="s">
        <v>95</v>
      </c>
      <c r="G6177" t="s">
        <v>610</v>
      </c>
      <c r="H6177" t="str">
        <f>"ΚΡΟΥΣΩΝΑΣ ΚΡΟΥΣΩΝΑΣ"</f>
        <v>ΚΡΟΥΣΩΝΑΣ ΚΡΟΥΣΩΝΑΣ</v>
      </c>
      <c r="I6177">
        <v>70001</v>
      </c>
      <c r="J6177">
        <v>2810711257</v>
      </c>
      <c r="K6177">
        <v>6940605270</v>
      </c>
      <c r="N6177" t="s">
        <v>1525</v>
      </c>
      <c r="O6177" t="s">
        <v>1526</v>
      </c>
      <c r="R6177" t="s">
        <v>57</v>
      </c>
      <c r="S6177">
        <v>8</v>
      </c>
      <c r="T6177">
        <v>231</v>
      </c>
      <c r="U6177" s="1">
        <v>38230</v>
      </c>
      <c r="V6177" t="s">
        <v>80</v>
      </c>
      <c r="W6177" t="s">
        <v>81</v>
      </c>
      <c r="X6177" t="s">
        <v>58</v>
      </c>
      <c r="Y6177">
        <v>25</v>
      </c>
      <c r="Z6177" t="s">
        <v>59</v>
      </c>
      <c r="AA6177" t="s">
        <v>59</v>
      </c>
      <c r="AB6177" t="s">
        <v>59</v>
      </c>
      <c r="AC6177" t="s">
        <v>59</v>
      </c>
      <c r="AD6177" t="s">
        <v>59</v>
      </c>
      <c r="AF6177" s="1">
        <v>38231</v>
      </c>
      <c r="AG6177" t="s">
        <v>8651</v>
      </c>
      <c r="AH6177" t="s">
        <v>8652</v>
      </c>
      <c r="AI6177" t="str">
        <f>"9170453"</f>
        <v>9170453</v>
      </c>
      <c r="AJ6177" t="s">
        <v>10509</v>
      </c>
      <c r="AK6177">
        <v>2810711205</v>
      </c>
      <c r="AL6177" t="s">
        <v>10510</v>
      </c>
      <c r="AM6177" t="s">
        <v>78</v>
      </c>
      <c r="AN6177" t="s">
        <v>129</v>
      </c>
      <c r="AO6177" t="s">
        <v>597</v>
      </c>
      <c r="AP6177" t="s">
        <v>598</v>
      </c>
      <c r="AQ6177">
        <v>4</v>
      </c>
      <c r="AR6177" t="s">
        <v>80</v>
      </c>
      <c r="AS6177" t="s">
        <v>81</v>
      </c>
      <c r="AT6177" t="s">
        <v>58</v>
      </c>
      <c r="AU6177" t="s">
        <v>68</v>
      </c>
      <c r="AV6177" t="s">
        <v>69</v>
      </c>
      <c r="AW6177" s="1">
        <v>24231</v>
      </c>
      <c r="AX6177">
        <v>1</v>
      </c>
    </row>
    <row r="6178" spans="1:50">
      <c r="A6178">
        <v>594491</v>
      </c>
      <c r="B6178" t="str">
        <f>"062486640"</f>
        <v>062486640</v>
      </c>
      <c r="C6178" t="s">
        <v>50</v>
      </c>
      <c r="D6178" t="s">
        <v>5093</v>
      </c>
      <c r="E6178" t="s">
        <v>250</v>
      </c>
      <c r="F6178" t="s">
        <v>108</v>
      </c>
      <c r="G6178" t="s">
        <v>114</v>
      </c>
      <c r="H6178" t="str">
        <f>"ΑΝΔΡ. ΠΑΠΑΝΔΡΕΟΥ 44   ΗΡΑΚΛΕΙΟ"</f>
        <v>ΑΝΔΡ. ΠΑΠΑΝΔΡΕΟΥ 44   ΗΡΑΚΛΕΙΟ</v>
      </c>
      <c r="I6178">
        <v>71305</v>
      </c>
      <c r="J6178">
        <v>2810214559</v>
      </c>
      <c r="K6178">
        <v>6977984389</v>
      </c>
      <c r="N6178" t="s">
        <v>615</v>
      </c>
      <c r="O6178" t="s">
        <v>616</v>
      </c>
      <c r="R6178" t="s">
        <v>57</v>
      </c>
      <c r="S6178">
        <v>8</v>
      </c>
      <c r="T6178">
        <v>218</v>
      </c>
      <c r="U6178" s="1">
        <v>37134</v>
      </c>
      <c r="V6178" t="s">
        <v>80</v>
      </c>
      <c r="W6178" t="s">
        <v>81</v>
      </c>
      <c r="X6178" t="s">
        <v>58</v>
      </c>
      <c r="Y6178">
        <v>22</v>
      </c>
      <c r="Z6178" t="s">
        <v>59</v>
      </c>
      <c r="AA6178" t="s">
        <v>59</v>
      </c>
      <c r="AB6178" t="s">
        <v>59</v>
      </c>
      <c r="AC6178" t="s">
        <v>59</v>
      </c>
      <c r="AD6178" t="s">
        <v>59</v>
      </c>
      <c r="AF6178" s="1">
        <v>37138</v>
      </c>
      <c r="AG6178" t="s">
        <v>8645</v>
      </c>
      <c r="AH6178" t="s">
        <v>8697</v>
      </c>
      <c r="AI6178" t="str">
        <f>"9170511"</f>
        <v>9170511</v>
      </c>
      <c r="AJ6178" t="s">
        <v>8698</v>
      </c>
      <c r="AK6178">
        <v>2810316275</v>
      </c>
      <c r="AL6178" t="s">
        <v>8699</v>
      </c>
      <c r="AM6178" t="s">
        <v>78</v>
      </c>
      <c r="AN6178" t="s">
        <v>78</v>
      </c>
      <c r="AO6178" t="s">
        <v>78</v>
      </c>
      <c r="AP6178" t="s">
        <v>141</v>
      </c>
      <c r="AQ6178">
        <v>1</v>
      </c>
      <c r="AR6178" t="s">
        <v>80</v>
      </c>
      <c r="AS6178" t="s">
        <v>81</v>
      </c>
      <c r="AT6178" t="s">
        <v>58</v>
      </c>
      <c r="AU6178" t="s">
        <v>68</v>
      </c>
      <c r="AV6178" t="s">
        <v>69</v>
      </c>
      <c r="AW6178" s="1">
        <v>27205</v>
      </c>
      <c r="AX6178">
        <v>1</v>
      </c>
    </row>
    <row r="6179" spans="1:50">
      <c r="A6179">
        <v>612807</v>
      </c>
      <c r="B6179" t="str">
        <f>"125557516"</f>
        <v>125557516</v>
      </c>
      <c r="C6179" t="s">
        <v>50</v>
      </c>
      <c r="D6179" t="s">
        <v>5093</v>
      </c>
      <c r="E6179" t="s">
        <v>215</v>
      </c>
      <c r="F6179" t="s">
        <v>1363</v>
      </c>
      <c r="G6179" t="s">
        <v>52</v>
      </c>
      <c r="H6179" t="str">
        <f>" "</f>
        <v xml:space="preserve"> </v>
      </c>
      <c r="J6179">
        <v>2810237566</v>
      </c>
      <c r="K6179">
        <v>6973305962</v>
      </c>
      <c r="M6179" t="s">
        <v>10601</v>
      </c>
      <c r="N6179" t="s">
        <v>306</v>
      </c>
      <c r="O6179" t="s">
        <v>307</v>
      </c>
      <c r="R6179" t="s">
        <v>57</v>
      </c>
      <c r="S6179">
        <v>6</v>
      </c>
      <c r="T6179">
        <v>234</v>
      </c>
      <c r="U6179" s="1">
        <v>38985</v>
      </c>
      <c r="V6179" t="s">
        <v>80</v>
      </c>
      <c r="W6179" t="s">
        <v>81</v>
      </c>
      <c r="X6179" t="s">
        <v>58</v>
      </c>
      <c r="Y6179">
        <v>23</v>
      </c>
      <c r="Z6179" t="s">
        <v>59</v>
      </c>
      <c r="AA6179" t="s">
        <v>59</v>
      </c>
      <c r="AB6179" t="s">
        <v>59</v>
      </c>
      <c r="AC6179" t="s">
        <v>59</v>
      </c>
      <c r="AD6179" t="s">
        <v>59</v>
      </c>
      <c r="AF6179" s="1">
        <v>38985</v>
      </c>
      <c r="AG6179" t="s">
        <v>8645</v>
      </c>
      <c r="AH6179" t="s">
        <v>8646</v>
      </c>
      <c r="AI6179" t="str">
        <f>"9521015"</f>
        <v>9521015</v>
      </c>
      <c r="AJ6179" t="s">
        <v>8927</v>
      </c>
      <c r="AK6179">
        <v>2897029138</v>
      </c>
      <c r="AL6179" t="s">
        <v>8928</v>
      </c>
      <c r="AM6179" t="s">
        <v>78</v>
      </c>
      <c r="AN6179" t="s">
        <v>219</v>
      </c>
      <c r="AO6179" t="s">
        <v>219</v>
      </c>
      <c r="AP6179" t="s">
        <v>220</v>
      </c>
      <c r="AQ6179">
        <v>8</v>
      </c>
      <c r="AR6179" t="s">
        <v>80</v>
      </c>
      <c r="AS6179" t="s">
        <v>81</v>
      </c>
      <c r="AT6179" t="s">
        <v>58</v>
      </c>
      <c r="AU6179" t="s">
        <v>68</v>
      </c>
      <c r="AV6179" t="s">
        <v>69</v>
      </c>
      <c r="AW6179" s="1">
        <v>28272</v>
      </c>
      <c r="AX6179">
        <v>1</v>
      </c>
    </row>
    <row r="6180" spans="1:50">
      <c r="A6180">
        <v>609576</v>
      </c>
      <c r="B6180" t="str">
        <f>"103536720"</f>
        <v>103536720</v>
      </c>
      <c r="C6180" t="s">
        <v>50</v>
      </c>
      <c r="D6180" t="s">
        <v>102</v>
      </c>
      <c r="E6180" t="s">
        <v>237</v>
      </c>
      <c r="F6180" t="s">
        <v>108</v>
      </c>
      <c r="G6180" t="s">
        <v>2235</v>
      </c>
      <c r="H6180" t="str">
        <f>" "</f>
        <v xml:space="preserve"> </v>
      </c>
      <c r="J6180">
        <v>2810220416</v>
      </c>
      <c r="K6180">
        <v>6974544182</v>
      </c>
      <c r="N6180" t="s">
        <v>615</v>
      </c>
      <c r="O6180" t="s">
        <v>616</v>
      </c>
      <c r="R6180" t="s">
        <v>57</v>
      </c>
      <c r="S6180">
        <v>8</v>
      </c>
      <c r="T6180">
        <v>221</v>
      </c>
      <c r="U6180" s="1">
        <v>38601</v>
      </c>
      <c r="V6180" t="s">
        <v>80</v>
      </c>
      <c r="W6180" t="s">
        <v>81</v>
      </c>
      <c r="X6180" t="s">
        <v>58</v>
      </c>
      <c r="Y6180">
        <v>23</v>
      </c>
      <c r="Z6180" t="s">
        <v>59</v>
      </c>
      <c r="AA6180" t="s">
        <v>59</v>
      </c>
      <c r="AB6180" t="s">
        <v>59</v>
      </c>
      <c r="AC6180" t="s">
        <v>59</v>
      </c>
      <c r="AD6180" t="s">
        <v>59</v>
      </c>
      <c r="AF6180" s="1">
        <v>38602</v>
      </c>
      <c r="AG6180" t="s">
        <v>8645</v>
      </c>
      <c r="AH6180" t="s">
        <v>8646</v>
      </c>
      <c r="AI6180" t="str">
        <f>"9170255"</f>
        <v>9170255</v>
      </c>
      <c r="AJ6180" t="s">
        <v>8915</v>
      </c>
      <c r="AK6180">
        <v>2810220750</v>
      </c>
      <c r="AL6180" t="s">
        <v>8916</v>
      </c>
      <c r="AM6180" t="s">
        <v>78</v>
      </c>
      <c r="AN6180" t="s">
        <v>78</v>
      </c>
      <c r="AO6180" t="s">
        <v>78</v>
      </c>
      <c r="AP6180" t="s">
        <v>213</v>
      </c>
      <c r="AQ6180">
        <v>1</v>
      </c>
      <c r="AR6180" t="s">
        <v>80</v>
      </c>
      <c r="AS6180" t="s">
        <v>81</v>
      </c>
      <c r="AT6180" t="s">
        <v>58</v>
      </c>
      <c r="AU6180" t="s">
        <v>68</v>
      </c>
      <c r="AV6180" t="s">
        <v>69</v>
      </c>
      <c r="AW6180" s="1">
        <v>27230</v>
      </c>
      <c r="AX6180">
        <v>1</v>
      </c>
    </row>
    <row r="6181" spans="1:50">
      <c r="B6181" t="str">
        <f>"137247959"</f>
        <v>137247959</v>
      </c>
      <c r="C6181" t="s">
        <v>50</v>
      </c>
      <c r="D6181" t="s">
        <v>102</v>
      </c>
      <c r="E6181" t="s">
        <v>237</v>
      </c>
      <c r="F6181" t="s">
        <v>521</v>
      </c>
      <c r="G6181" t="s">
        <v>314</v>
      </c>
      <c r="H6181" t="str">
        <f>"Δ. ΦΡΑΓΚΙΑΔΑΚΗ 36 "</f>
        <v xml:space="preserve">Δ. ΦΡΑΓΚΙΑΔΑΚΗ 36 </v>
      </c>
      <c r="I6181">
        <v>71304</v>
      </c>
      <c r="J6181">
        <v>2810251393</v>
      </c>
      <c r="K6181">
        <v>6977623854</v>
      </c>
      <c r="N6181" t="s">
        <v>9829</v>
      </c>
      <c r="O6181" t="s">
        <v>9830</v>
      </c>
      <c r="R6181" t="s">
        <v>159</v>
      </c>
      <c r="S6181">
        <v>3</v>
      </c>
      <c r="T6181" t="s">
        <v>8835</v>
      </c>
      <c r="U6181" s="1">
        <v>43348</v>
      </c>
      <c r="V6181" t="s">
        <v>80</v>
      </c>
      <c r="W6181" t="s">
        <v>81</v>
      </c>
      <c r="X6181" t="s">
        <v>58</v>
      </c>
      <c r="Y6181">
        <v>25</v>
      </c>
      <c r="Z6181" t="s">
        <v>59</v>
      </c>
      <c r="AA6181" t="s">
        <v>59</v>
      </c>
      <c r="AB6181" t="s">
        <v>59</v>
      </c>
      <c r="AC6181" t="s">
        <v>59</v>
      </c>
      <c r="AD6181" t="s">
        <v>59</v>
      </c>
      <c r="AF6181" s="1">
        <v>43348</v>
      </c>
      <c r="AG6181" t="s">
        <v>8651</v>
      </c>
      <c r="AH6181" t="s">
        <v>8652</v>
      </c>
      <c r="AI6181" t="str">
        <f>"9170047"</f>
        <v>9170047</v>
      </c>
      <c r="AJ6181" t="s">
        <v>9945</v>
      </c>
      <c r="AK6181">
        <v>2810289645</v>
      </c>
      <c r="AL6181" t="s">
        <v>9946</v>
      </c>
      <c r="AM6181" t="s">
        <v>78</v>
      </c>
      <c r="AN6181" t="s">
        <v>78</v>
      </c>
      <c r="AO6181" t="s">
        <v>78</v>
      </c>
      <c r="AP6181" t="s">
        <v>79</v>
      </c>
      <c r="AQ6181">
        <v>1</v>
      </c>
      <c r="AR6181" t="s">
        <v>80</v>
      </c>
      <c r="AS6181" t="s">
        <v>81</v>
      </c>
      <c r="AT6181" t="s">
        <v>58</v>
      </c>
      <c r="AU6181" t="s">
        <v>131</v>
      </c>
      <c r="AV6181" t="s">
        <v>132</v>
      </c>
      <c r="AW6181" s="1">
        <v>29808</v>
      </c>
      <c r="AX6181">
        <v>1</v>
      </c>
    </row>
    <row r="6182" spans="1:50">
      <c r="A6182">
        <v>613187</v>
      </c>
      <c r="B6182" t="str">
        <f>"114595816"</f>
        <v>114595816</v>
      </c>
      <c r="C6182" t="s">
        <v>50</v>
      </c>
      <c r="D6182" t="s">
        <v>102</v>
      </c>
      <c r="E6182" t="s">
        <v>143</v>
      </c>
      <c r="F6182" t="s">
        <v>4318</v>
      </c>
      <c r="G6182" t="s">
        <v>83</v>
      </c>
      <c r="H6182" t="str">
        <f>" "</f>
        <v xml:space="preserve"> </v>
      </c>
      <c r="J6182">
        <v>2810224914</v>
      </c>
      <c r="K6182">
        <v>6946438549</v>
      </c>
      <c r="M6182" t="s">
        <v>10602</v>
      </c>
      <c r="N6182" t="s">
        <v>615</v>
      </c>
      <c r="O6182" t="s">
        <v>616</v>
      </c>
      <c r="R6182" t="s">
        <v>57</v>
      </c>
      <c r="S6182">
        <v>6</v>
      </c>
      <c r="T6182">
        <v>598</v>
      </c>
      <c r="U6182" s="1">
        <v>39310</v>
      </c>
      <c r="V6182" t="s">
        <v>80</v>
      </c>
      <c r="W6182" t="s">
        <v>81</v>
      </c>
      <c r="X6182" t="s">
        <v>58</v>
      </c>
      <c r="Y6182">
        <v>23</v>
      </c>
      <c r="Z6182" t="s">
        <v>59</v>
      </c>
      <c r="AA6182" t="s">
        <v>59</v>
      </c>
      <c r="AB6182" t="s">
        <v>59</v>
      </c>
      <c r="AC6182" t="s">
        <v>59</v>
      </c>
      <c r="AD6182" t="s">
        <v>59</v>
      </c>
      <c r="AF6182" s="1">
        <v>39328</v>
      </c>
      <c r="AG6182" t="s">
        <v>8645</v>
      </c>
      <c r="AH6182" t="s">
        <v>8646</v>
      </c>
      <c r="AI6182" t="str">
        <f>"9521412"</f>
        <v>9521412</v>
      </c>
      <c r="AJ6182" t="s">
        <v>8787</v>
      </c>
      <c r="AK6182">
        <v>2897025680</v>
      </c>
      <c r="AL6182" t="s">
        <v>8788</v>
      </c>
      <c r="AM6182" t="s">
        <v>78</v>
      </c>
      <c r="AN6182" t="s">
        <v>219</v>
      </c>
      <c r="AO6182" t="s">
        <v>219</v>
      </c>
      <c r="AP6182" t="s">
        <v>219</v>
      </c>
      <c r="AQ6182">
        <v>8</v>
      </c>
      <c r="AR6182" t="s">
        <v>80</v>
      </c>
      <c r="AS6182" t="s">
        <v>81</v>
      </c>
      <c r="AT6182" t="s">
        <v>58</v>
      </c>
      <c r="AU6182" t="s">
        <v>68</v>
      </c>
      <c r="AV6182" t="s">
        <v>69</v>
      </c>
      <c r="AW6182" s="1">
        <v>30119</v>
      </c>
      <c r="AX6182">
        <v>1</v>
      </c>
    </row>
    <row r="6183" spans="1:50">
      <c r="A6183">
        <v>613177</v>
      </c>
      <c r="B6183" t="str">
        <f>"137212820"</f>
        <v>137212820</v>
      </c>
      <c r="C6183" t="s">
        <v>50</v>
      </c>
      <c r="D6183" t="s">
        <v>102</v>
      </c>
      <c r="E6183" t="s">
        <v>396</v>
      </c>
      <c r="F6183" t="s">
        <v>72</v>
      </c>
      <c r="G6183" t="s">
        <v>6339</v>
      </c>
      <c r="H6183" t="str">
        <f>"ΑΝΑΠΑΥΣΕΩΣ 31 Ν.ΑΛΙΚΑΡΝΑΣΣΟΣ"</f>
        <v>ΑΝΑΠΑΥΣΕΩΣ 31 Ν.ΑΛΙΚΑΡΝΑΣΣΟΣ</v>
      </c>
      <c r="I6183">
        <v>71601</v>
      </c>
      <c r="J6183">
        <v>2810283496</v>
      </c>
      <c r="K6183">
        <v>6948780753</v>
      </c>
      <c r="N6183" t="s">
        <v>615</v>
      </c>
      <c r="O6183" t="s">
        <v>616</v>
      </c>
      <c r="R6183" t="s">
        <v>57</v>
      </c>
      <c r="S6183">
        <v>6</v>
      </c>
      <c r="T6183">
        <v>598</v>
      </c>
      <c r="U6183" s="1">
        <v>39310</v>
      </c>
      <c r="V6183" t="s">
        <v>80</v>
      </c>
      <c r="W6183" t="s">
        <v>81</v>
      </c>
      <c r="X6183" t="s">
        <v>58</v>
      </c>
      <c r="Y6183">
        <v>23</v>
      </c>
      <c r="Z6183" t="s">
        <v>59</v>
      </c>
      <c r="AA6183" t="s">
        <v>59</v>
      </c>
      <c r="AB6183" t="s">
        <v>59</v>
      </c>
      <c r="AC6183" t="s">
        <v>59</v>
      </c>
      <c r="AD6183" t="s">
        <v>59</v>
      </c>
      <c r="AF6183" s="1">
        <v>39328</v>
      </c>
      <c r="AG6183" t="s">
        <v>8645</v>
      </c>
      <c r="AH6183" t="s">
        <v>8646</v>
      </c>
      <c r="AI6183" t="str">
        <f>"9170097"</f>
        <v>9170097</v>
      </c>
      <c r="AJ6183" t="s">
        <v>8826</v>
      </c>
      <c r="AK6183">
        <v>2810751807</v>
      </c>
      <c r="AL6183" t="s">
        <v>8827</v>
      </c>
      <c r="AM6183" t="s">
        <v>78</v>
      </c>
      <c r="AN6183" t="s">
        <v>424</v>
      </c>
      <c r="AO6183" t="s">
        <v>425</v>
      </c>
      <c r="AP6183" t="s">
        <v>425</v>
      </c>
      <c r="AQ6183">
        <v>11</v>
      </c>
      <c r="AR6183" t="s">
        <v>80</v>
      </c>
      <c r="AS6183" t="s">
        <v>81</v>
      </c>
      <c r="AT6183" t="s">
        <v>58</v>
      </c>
      <c r="AU6183" t="s">
        <v>68</v>
      </c>
      <c r="AV6183" t="s">
        <v>69</v>
      </c>
      <c r="AW6183" s="1">
        <v>29698</v>
      </c>
      <c r="AX6183">
        <v>1</v>
      </c>
    </row>
    <row r="6184" spans="1:50">
      <c r="B6184" t="str">
        <f>"138974509"</f>
        <v>138974509</v>
      </c>
      <c r="C6184" t="s">
        <v>50</v>
      </c>
      <c r="D6184" t="s">
        <v>102</v>
      </c>
      <c r="E6184" t="s">
        <v>83</v>
      </c>
      <c r="F6184" t="s">
        <v>95</v>
      </c>
      <c r="G6184" t="s">
        <v>250</v>
      </c>
      <c r="H6184" t="str">
        <f>"ΔΩΔΩΝΗΣ 18 ΗΡΑΚΛΕΙΟ"</f>
        <v>ΔΩΔΩΝΗΣ 18 ΗΡΑΚΛΕΙΟ</v>
      </c>
      <c r="I6184">
        <v>71307</v>
      </c>
      <c r="J6184">
        <v>2810229144</v>
      </c>
      <c r="K6184">
        <v>6975748151</v>
      </c>
      <c r="N6184" t="s">
        <v>615</v>
      </c>
      <c r="O6184" t="s">
        <v>616</v>
      </c>
      <c r="R6184" t="s">
        <v>159</v>
      </c>
      <c r="S6184">
        <v>3</v>
      </c>
      <c r="T6184" t="s">
        <v>8675</v>
      </c>
      <c r="U6184" s="1">
        <v>43348</v>
      </c>
      <c r="V6184" t="s">
        <v>80</v>
      </c>
      <c r="W6184" t="s">
        <v>81</v>
      </c>
      <c r="X6184" t="s">
        <v>58</v>
      </c>
      <c r="Y6184">
        <v>24</v>
      </c>
      <c r="Z6184" t="s">
        <v>59</v>
      </c>
      <c r="AA6184" t="s">
        <v>59</v>
      </c>
      <c r="AB6184" t="s">
        <v>59</v>
      </c>
      <c r="AC6184" t="s">
        <v>59</v>
      </c>
      <c r="AD6184" t="s">
        <v>59</v>
      </c>
      <c r="AF6184" s="1">
        <v>43348</v>
      </c>
      <c r="AG6184" t="s">
        <v>8645</v>
      </c>
      <c r="AH6184" t="s">
        <v>8646</v>
      </c>
      <c r="AI6184" t="str">
        <f>"9170516"</f>
        <v>9170516</v>
      </c>
      <c r="AJ6184" t="s">
        <v>8746</v>
      </c>
      <c r="AK6184">
        <v>2810236861</v>
      </c>
      <c r="AL6184" t="s">
        <v>8747</v>
      </c>
      <c r="AM6184" t="s">
        <v>78</v>
      </c>
      <c r="AN6184" t="s">
        <v>78</v>
      </c>
      <c r="AO6184" t="s">
        <v>78</v>
      </c>
      <c r="AP6184" t="s">
        <v>163</v>
      </c>
      <c r="AQ6184">
        <v>1</v>
      </c>
      <c r="AR6184" t="s">
        <v>80</v>
      </c>
      <c r="AS6184" t="s">
        <v>81</v>
      </c>
      <c r="AT6184" t="s">
        <v>58</v>
      </c>
      <c r="AU6184" t="s">
        <v>8673</v>
      </c>
      <c r="AV6184" t="s">
        <v>132</v>
      </c>
      <c r="AW6184" s="1">
        <v>31911</v>
      </c>
      <c r="AX6184">
        <v>1</v>
      </c>
    </row>
    <row r="6185" spans="1:50">
      <c r="A6185">
        <v>607315</v>
      </c>
      <c r="B6185" t="str">
        <f>"103280155"</f>
        <v>103280155</v>
      </c>
      <c r="C6185" t="s">
        <v>50</v>
      </c>
      <c r="D6185" t="s">
        <v>102</v>
      </c>
      <c r="E6185" t="s">
        <v>809</v>
      </c>
      <c r="F6185" t="s">
        <v>1868</v>
      </c>
      <c r="G6185" t="s">
        <v>221</v>
      </c>
      <c r="H6185" t="str">
        <f>"ΣΤΕΡΓΙΟΓΙΑΝΝΗ 67 ΗΡΑΚΛΕΙΟ"</f>
        <v>ΣΤΕΡΓΙΟΓΙΑΝΝΗ 67 ΗΡΑΚΛΕΙΟ</v>
      </c>
      <c r="I6185">
        <v>71305</v>
      </c>
      <c r="J6185">
        <v>2810256878</v>
      </c>
      <c r="K6185">
        <v>6942443826</v>
      </c>
      <c r="N6185" t="s">
        <v>615</v>
      </c>
      <c r="O6185" t="s">
        <v>616</v>
      </c>
      <c r="R6185" t="s">
        <v>57</v>
      </c>
      <c r="S6185">
        <v>7</v>
      </c>
      <c r="T6185">
        <v>217</v>
      </c>
      <c r="U6185" s="1">
        <v>38596</v>
      </c>
      <c r="V6185" t="s">
        <v>80</v>
      </c>
      <c r="W6185" t="s">
        <v>81</v>
      </c>
      <c r="X6185" t="s">
        <v>58</v>
      </c>
      <c r="Y6185">
        <v>23</v>
      </c>
      <c r="Z6185" t="s">
        <v>59</v>
      </c>
      <c r="AA6185" t="s">
        <v>59</v>
      </c>
      <c r="AB6185" t="s">
        <v>59</v>
      </c>
      <c r="AC6185" t="s">
        <v>59</v>
      </c>
      <c r="AD6185" t="s">
        <v>59</v>
      </c>
      <c r="AF6185" s="1">
        <v>38600</v>
      </c>
      <c r="AG6185" t="s">
        <v>8645</v>
      </c>
      <c r="AH6185" t="s">
        <v>8646</v>
      </c>
      <c r="AI6185" t="str">
        <f>"9170108"</f>
        <v>9170108</v>
      </c>
      <c r="AJ6185" t="s">
        <v>8863</v>
      </c>
      <c r="AK6185">
        <v>2810232111</v>
      </c>
      <c r="AL6185" t="s">
        <v>8864</v>
      </c>
      <c r="AM6185" t="s">
        <v>78</v>
      </c>
      <c r="AN6185" t="s">
        <v>78</v>
      </c>
      <c r="AO6185" t="s">
        <v>78</v>
      </c>
      <c r="AP6185" t="s">
        <v>163</v>
      </c>
      <c r="AQ6185">
        <v>1</v>
      </c>
      <c r="AR6185" t="s">
        <v>80</v>
      </c>
      <c r="AS6185" t="s">
        <v>81</v>
      </c>
      <c r="AT6185" t="s">
        <v>58</v>
      </c>
      <c r="AU6185" t="s">
        <v>68</v>
      </c>
      <c r="AV6185" t="s">
        <v>69</v>
      </c>
      <c r="AW6185" s="1">
        <v>29353</v>
      </c>
      <c r="AX6185">
        <v>1</v>
      </c>
    </row>
    <row r="6186" spans="1:50">
      <c r="A6186">
        <v>611946</v>
      </c>
      <c r="B6186" t="str">
        <f>"118924785"</f>
        <v>118924785</v>
      </c>
      <c r="C6186" t="s">
        <v>50</v>
      </c>
      <c r="D6186" t="s">
        <v>102</v>
      </c>
      <c r="E6186" t="s">
        <v>52</v>
      </c>
      <c r="F6186" t="s">
        <v>95</v>
      </c>
      <c r="G6186" t="s">
        <v>52</v>
      </c>
      <c r="H6186" t="str">
        <f>"ΠΑΝΤ. ΠΡΕΒΕΛΑΚΗ 14 ΓΑΖΙ ΗΡΑΚΛΕΙΟΥ"</f>
        <v>ΠΑΝΤ. ΠΡΕΒΕΛΑΚΗ 14 ΓΑΖΙ ΗΡΑΚΛΕΙΟΥ</v>
      </c>
      <c r="I6186">
        <v>71414</v>
      </c>
      <c r="J6186">
        <v>2810824800</v>
      </c>
      <c r="K6186">
        <v>6978418023</v>
      </c>
      <c r="M6186" t="s">
        <v>10603</v>
      </c>
      <c r="N6186" t="s">
        <v>1525</v>
      </c>
      <c r="O6186" t="s">
        <v>1526</v>
      </c>
      <c r="R6186" t="s">
        <v>57</v>
      </c>
      <c r="S6186">
        <v>8</v>
      </c>
      <c r="T6186">
        <v>233</v>
      </c>
      <c r="U6186" s="1">
        <v>38960</v>
      </c>
      <c r="V6186" t="s">
        <v>80</v>
      </c>
      <c r="W6186" t="s">
        <v>81</v>
      </c>
      <c r="X6186" t="s">
        <v>58</v>
      </c>
      <c r="Y6186">
        <v>25</v>
      </c>
      <c r="Z6186" t="s">
        <v>59</v>
      </c>
      <c r="AA6186" t="s">
        <v>59</v>
      </c>
      <c r="AB6186" t="s">
        <v>59</v>
      </c>
      <c r="AC6186" t="s">
        <v>59</v>
      </c>
      <c r="AD6186" t="s">
        <v>59</v>
      </c>
      <c r="AF6186" s="1">
        <v>38961</v>
      </c>
      <c r="AG6186" t="s">
        <v>8651</v>
      </c>
      <c r="AH6186" t="s">
        <v>8652</v>
      </c>
      <c r="AI6186" t="str">
        <f>"9170403"</f>
        <v>9170403</v>
      </c>
      <c r="AJ6186" t="s">
        <v>9635</v>
      </c>
      <c r="AK6186">
        <v>2810257487</v>
      </c>
      <c r="AL6186" t="s">
        <v>9636</v>
      </c>
      <c r="AM6186" t="s">
        <v>78</v>
      </c>
      <c r="AN6186" t="s">
        <v>78</v>
      </c>
      <c r="AO6186" t="s">
        <v>78</v>
      </c>
      <c r="AP6186" t="s">
        <v>79</v>
      </c>
      <c r="AQ6186">
        <v>1</v>
      </c>
      <c r="AR6186" t="s">
        <v>80</v>
      </c>
      <c r="AS6186" t="s">
        <v>81</v>
      </c>
      <c r="AT6186" t="s">
        <v>58</v>
      </c>
      <c r="AU6186" t="s">
        <v>68</v>
      </c>
      <c r="AV6186" t="s">
        <v>69</v>
      </c>
      <c r="AW6186" s="1">
        <v>30019</v>
      </c>
      <c r="AX6186">
        <v>1</v>
      </c>
    </row>
    <row r="6187" spans="1:50">
      <c r="B6187" t="str">
        <f>"114561966"</f>
        <v>114561966</v>
      </c>
      <c r="C6187" t="s">
        <v>105</v>
      </c>
      <c r="D6187" t="s">
        <v>10604</v>
      </c>
      <c r="E6187" t="s">
        <v>166</v>
      </c>
      <c r="F6187" t="s">
        <v>95</v>
      </c>
      <c r="G6187" t="s">
        <v>250</v>
      </c>
      <c r="H6187" t="str">
        <f>" "</f>
        <v xml:space="preserve"> </v>
      </c>
      <c r="N6187" t="s">
        <v>8834</v>
      </c>
      <c r="O6187" t="s">
        <v>8695</v>
      </c>
      <c r="R6187" t="s">
        <v>121</v>
      </c>
      <c r="S6187">
        <v>3</v>
      </c>
      <c r="T6187" t="s">
        <v>8835</v>
      </c>
      <c r="U6187" s="1">
        <v>43348</v>
      </c>
      <c r="V6187" t="s">
        <v>80</v>
      </c>
      <c r="W6187" t="s">
        <v>81</v>
      </c>
      <c r="X6187" t="s">
        <v>58</v>
      </c>
      <c r="Y6187">
        <v>24</v>
      </c>
      <c r="Z6187" t="s">
        <v>59</v>
      </c>
      <c r="AA6187" t="s">
        <v>59</v>
      </c>
      <c r="AB6187" t="s">
        <v>59</v>
      </c>
      <c r="AD6187" t="s">
        <v>59</v>
      </c>
      <c r="AF6187" s="1">
        <v>43348</v>
      </c>
      <c r="AG6187" t="s">
        <v>8645</v>
      </c>
      <c r="AH6187" t="s">
        <v>8646</v>
      </c>
      <c r="AI6187" t="str">
        <f>"9170255"</f>
        <v>9170255</v>
      </c>
      <c r="AJ6187" t="s">
        <v>8915</v>
      </c>
      <c r="AK6187">
        <v>2810220750</v>
      </c>
      <c r="AL6187" t="s">
        <v>8916</v>
      </c>
      <c r="AM6187" t="s">
        <v>78</v>
      </c>
      <c r="AN6187" t="s">
        <v>78</v>
      </c>
      <c r="AO6187" t="s">
        <v>78</v>
      </c>
      <c r="AP6187" t="s">
        <v>213</v>
      </c>
      <c r="AQ6187">
        <v>1</v>
      </c>
      <c r="AR6187" t="s">
        <v>80</v>
      </c>
      <c r="AS6187" t="s">
        <v>81</v>
      </c>
      <c r="AT6187" t="s">
        <v>58</v>
      </c>
      <c r="AU6187" t="s">
        <v>131</v>
      </c>
      <c r="AV6187" t="s">
        <v>132</v>
      </c>
      <c r="AW6187" s="1">
        <v>32980</v>
      </c>
      <c r="AX6187">
        <v>1</v>
      </c>
    </row>
    <row r="6188" spans="1:50">
      <c r="A6188">
        <v>590146</v>
      </c>
      <c r="B6188" t="str">
        <f>"039517030"</f>
        <v>039517030</v>
      </c>
      <c r="C6188" t="s">
        <v>105</v>
      </c>
      <c r="D6188" t="s">
        <v>10604</v>
      </c>
      <c r="E6188" t="s">
        <v>166</v>
      </c>
      <c r="F6188" t="s">
        <v>377</v>
      </c>
      <c r="G6188" t="s">
        <v>2306</v>
      </c>
      <c r="H6188" t="str">
        <f>" "</f>
        <v xml:space="preserve"> </v>
      </c>
      <c r="N6188" t="s">
        <v>176</v>
      </c>
      <c r="O6188" t="s">
        <v>177</v>
      </c>
      <c r="R6188" t="s">
        <v>57</v>
      </c>
      <c r="S6188">
        <v>12</v>
      </c>
      <c r="T6188">
        <v>177</v>
      </c>
      <c r="U6188" s="1">
        <v>33098</v>
      </c>
      <c r="V6188" t="s">
        <v>80</v>
      </c>
      <c r="W6188" t="s">
        <v>81</v>
      </c>
      <c r="X6188" t="s">
        <v>58</v>
      </c>
      <c r="Y6188">
        <v>21</v>
      </c>
      <c r="Z6188" t="s">
        <v>59</v>
      </c>
      <c r="AA6188" t="s">
        <v>59</v>
      </c>
      <c r="AB6188" t="s">
        <v>59</v>
      </c>
      <c r="AC6188" t="s">
        <v>59</v>
      </c>
      <c r="AD6188" t="s">
        <v>59</v>
      </c>
      <c r="AF6188" s="1">
        <v>36405</v>
      </c>
      <c r="AG6188" t="s">
        <v>8645</v>
      </c>
      <c r="AH6188" t="s">
        <v>8646</v>
      </c>
      <c r="AI6188" t="str">
        <f>"9170535"</f>
        <v>9170535</v>
      </c>
      <c r="AJ6188" t="s">
        <v>9330</v>
      </c>
      <c r="AK6188">
        <v>2810222629</v>
      </c>
      <c r="AL6188" t="s">
        <v>9331</v>
      </c>
      <c r="AM6188" t="s">
        <v>78</v>
      </c>
      <c r="AN6188" t="s">
        <v>78</v>
      </c>
      <c r="AO6188" t="s">
        <v>78</v>
      </c>
      <c r="AP6188" t="s">
        <v>213</v>
      </c>
      <c r="AQ6188">
        <v>1</v>
      </c>
      <c r="AR6188" t="s">
        <v>80</v>
      </c>
      <c r="AS6188" t="s">
        <v>81</v>
      </c>
      <c r="AT6188" t="s">
        <v>58</v>
      </c>
      <c r="AU6188" t="s">
        <v>68</v>
      </c>
      <c r="AV6188" t="s">
        <v>69</v>
      </c>
      <c r="AW6188" s="1">
        <v>23699</v>
      </c>
      <c r="AX6188">
        <v>1</v>
      </c>
    </row>
    <row r="6189" spans="1:50">
      <c r="B6189" t="str">
        <f>"144176958"</f>
        <v>144176958</v>
      </c>
      <c r="C6189" t="s">
        <v>50</v>
      </c>
      <c r="D6189" t="s">
        <v>10605</v>
      </c>
      <c r="E6189" t="s">
        <v>600</v>
      </c>
      <c r="F6189" t="s">
        <v>3924</v>
      </c>
      <c r="G6189" t="s">
        <v>10606</v>
      </c>
      <c r="H6189" t="str">
        <f>" "</f>
        <v xml:space="preserve"> </v>
      </c>
      <c r="N6189" t="s">
        <v>615</v>
      </c>
      <c r="O6189" t="s">
        <v>616</v>
      </c>
      <c r="R6189" t="s">
        <v>121</v>
      </c>
      <c r="S6189">
        <v>1</v>
      </c>
      <c r="T6189" t="s">
        <v>8675</v>
      </c>
      <c r="U6189" s="1">
        <v>43348</v>
      </c>
      <c r="V6189" t="s">
        <v>80</v>
      </c>
      <c r="W6189" t="s">
        <v>81</v>
      </c>
      <c r="X6189" t="s">
        <v>58</v>
      </c>
      <c r="Y6189">
        <v>24</v>
      </c>
      <c r="Z6189" t="s">
        <v>59</v>
      </c>
      <c r="AD6189" t="s">
        <v>59</v>
      </c>
      <c r="AF6189" s="1">
        <v>43348</v>
      </c>
      <c r="AG6189" t="s">
        <v>8645</v>
      </c>
      <c r="AH6189" t="s">
        <v>8676</v>
      </c>
      <c r="AI6189" t="str">
        <f>"9170307"</f>
        <v>9170307</v>
      </c>
      <c r="AJ6189" t="s">
        <v>10086</v>
      </c>
      <c r="AK6189">
        <v>2892042000</v>
      </c>
      <c r="AL6189" t="s">
        <v>10087</v>
      </c>
      <c r="AM6189" t="s">
        <v>78</v>
      </c>
      <c r="AN6189" t="s">
        <v>242</v>
      </c>
      <c r="AO6189" t="s">
        <v>349</v>
      </c>
      <c r="AP6189" t="s">
        <v>10088</v>
      </c>
      <c r="AQ6189">
        <v>18</v>
      </c>
      <c r="AR6189" t="s">
        <v>80</v>
      </c>
      <c r="AS6189" t="s">
        <v>81</v>
      </c>
      <c r="AT6189" t="s">
        <v>58</v>
      </c>
      <c r="AU6189" t="s">
        <v>8673</v>
      </c>
      <c r="AV6189" t="s">
        <v>132</v>
      </c>
      <c r="AW6189" s="1">
        <v>32966</v>
      </c>
      <c r="AX6189">
        <v>1</v>
      </c>
    </row>
    <row r="6190" spans="1:50">
      <c r="A6190">
        <v>620109</v>
      </c>
      <c r="B6190" t="str">
        <f>"100161900"</f>
        <v>100161900</v>
      </c>
      <c r="C6190" t="s">
        <v>50</v>
      </c>
      <c r="D6190" t="s">
        <v>10607</v>
      </c>
      <c r="E6190" t="s">
        <v>687</v>
      </c>
      <c r="F6190" t="s">
        <v>84</v>
      </c>
      <c r="G6190" t="s">
        <v>263</v>
      </c>
      <c r="H6190" t="str">
        <f>"ΔΡΑΚΟΝΤΟΠΟΥΛΟΥ 47 ΗΡΑΚΛΕΙΟ"</f>
        <v>ΔΡΑΚΟΝΤΟΠΟΥΛΟΥ 47 ΗΡΑΚΛΕΙΟ</v>
      </c>
      <c r="I6190">
        <v>71306</v>
      </c>
      <c r="J6190">
        <v>2815004372</v>
      </c>
      <c r="K6190">
        <v>6934448188</v>
      </c>
      <c r="N6190" t="s">
        <v>1525</v>
      </c>
      <c r="O6190" t="s">
        <v>1526</v>
      </c>
      <c r="R6190" t="s">
        <v>57</v>
      </c>
      <c r="S6190">
        <v>6</v>
      </c>
      <c r="T6190">
        <v>794</v>
      </c>
      <c r="U6190" s="1">
        <v>39680</v>
      </c>
      <c r="V6190" t="s">
        <v>80</v>
      </c>
      <c r="W6190" t="s">
        <v>81</v>
      </c>
      <c r="X6190" t="s">
        <v>58</v>
      </c>
      <c r="Y6190">
        <v>25</v>
      </c>
      <c r="Z6190" t="s">
        <v>59</v>
      </c>
      <c r="AA6190" t="s">
        <v>59</v>
      </c>
      <c r="AB6190" t="s">
        <v>59</v>
      </c>
      <c r="AC6190" t="s">
        <v>59</v>
      </c>
      <c r="AD6190" t="s">
        <v>59</v>
      </c>
      <c r="AF6190" s="1">
        <v>39689</v>
      </c>
      <c r="AG6190" t="s">
        <v>8651</v>
      </c>
      <c r="AH6190" t="s">
        <v>8652</v>
      </c>
      <c r="AI6190" t="str">
        <f>"9170406"</f>
        <v>9170406</v>
      </c>
      <c r="AJ6190" t="s">
        <v>10608</v>
      </c>
      <c r="AK6190">
        <v>2810223855</v>
      </c>
      <c r="AL6190" t="s">
        <v>10609</v>
      </c>
      <c r="AM6190" t="s">
        <v>78</v>
      </c>
      <c r="AN6190" t="s">
        <v>78</v>
      </c>
      <c r="AO6190" t="s">
        <v>78</v>
      </c>
      <c r="AP6190" t="s">
        <v>79</v>
      </c>
      <c r="AQ6190">
        <v>1</v>
      </c>
      <c r="AR6190" t="s">
        <v>80</v>
      </c>
      <c r="AS6190" t="s">
        <v>81</v>
      </c>
      <c r="AT6190" t="s">
        <v>58</v>
      </c>
      <c r="AU6190" t="s">
        <v>68</v>
      </c>
      <c r="AV6190" t="s">
        <v>69</v>
      </c>
      <c r="AW6190" s="1">
        <v>26155</v>
      </c>
      <c r="AX6190">
        <v>1</v>
      </c>
    </row>
    <row r="6191" spans="1:50">
      <c r="A6191">
        <v>616229</v>
      </c>
      <c r="B6191" t="str">
        <f>"133559349"</f>
        <v>133559349</v>
      </c>
      <c r="C6191" t="s">
        <v>50</v>
      </c>
      <c r="D6191" t="s">
        <v>2623</v>
      </c>
      <c r="E6191" t="s">
        <v>215</v>
      </c>
      <c r="F6191" t="s">
        <v>95</v>
      </c>
      <c r="G6191" t="s">
        <v>52</v>
      </c>
      <c r="H6191" t="str">
        <f>" "</f>
        <v xml:space="preserve"> </v>
      </c>
      <c r="J6191">
        <v>2810221704</v>
      </c>
      <c r="K6191">
        <v>6949123431</v>
      </c>
      <c r="N6191" t="s">
        <v>1525</v>
      </c>
      <c r="O6191" t="s">
        <v>1526</v>
      </c>
      <c r="R6191" t="s">
        <v>57</v>
      </c>
      <c r="S6191">
        <v>5</v>
      </c>
      <c r="T6191">
        <v>660</v>
      </c>
      <c r="U6191" s="1">
        <v>39311</v>
      </c>
      <c r="V6191" t="s">
        <v>80</v>
      </c>
      <c r="W6191" t="s">
        <v>81</v>
      </c>
      <c r="X6191" t="s">
        <v>58</v>
      </c>
      <c r="Y6191">
        <v>25</v>
      </c>
      <c r="Z6191" t="s">
        <v>59</v>
      </c>
      <c r="AA6191" t="s">
        <v>59</v>
      </c>
      <c r="AB6191" t="s">
        <v>59</v>
      </c>
      <c r="AC6191" t="s">
        <v>59</v>
      </c>
      <c r="AD6191" t="s">
        <v>59</v>
      </c>
      <c r="AF6191" s="1">
        <v>39328</v>
      </c>
      <c r="AG6191" t="s">
        <v>8651</v>
      </c>
      <c r="AH6191" t="s">
        <v>8652</v>
      </c>
      <c r="AI6191" t="str">
        <f>"9170585"</f>
        <v>9170585</v>
      </c>
      <c r="AJ6191" t="s">
        <v>9051</v>
      </c>
      <c r="AK6191">
        <v>2810542736</v>
      </c>
      <c r="AL6191" t="s">
        <v>9052</v>
      </c>
      <c r="AM6191" t="s">
        <v>78</v>
      </c>
      <c r="AN6191" t="s">
        <v>78</v>
      </c>
      <c r="AO6191" t="s">
        <v>78</v>
      </c>
      <c r="AP6191" t="s">
        <v>9053</v>
      </c>
      <c r="AQ6191">
        <v>1</v>
      </c>
      <c r="AR6191" t="s">
        <v>80</v>
      </c>
      <c r="AS6191" t="s">
        <v>81</v>
      </c>
      <c r="AT6191" t="s">
        <v>58</v>
      </c>
      <c r="AU6191" t="s">
        <v>68</v>
      </c>
      <c r="AV6191" t="s">
        <v>69</v>
      </c>
      <c r="AW6191" s="1">
        <v>30915</v>
      </c>
      <c r="AX6191">
        <v>1</v>
      </c>
    </row>
    <row r="6192" spans="1:50">
      <c r="B6192" t="str">
        <f>"114555290"</f>
        <v>114555290</v>
      </c>
      <c r="C6192" t="s">
        <v>50</v>
      </c>
      <c r="D6192" t="s">
        <v>2625</v>
      </c>
      <c r="E6192" t="s">
        <v>103</v>
      </c>
      <c r="F6192" t="s">
        <v>72</v>
      </c>
      <c r="G6192" t="s">
        <v>52</v>
      </c>
      <c r="H6192" t="str">
        <f>"ΝΙΔΑΣ 12 "</f>
        <v xml:space="preserve">ΝΙΔΑΣ 12 </v>
      </c>
      <c r="I6192">
        <v>71307</v>
      </c>
      <c r="J6192">
        <v>2810762436</v>
      </c>
      <c r="K6192">
        <v>6947008464</v>
      </c>
      <c r="N6192" t="s">
        <v>615</v>
      </c>
      <c r="O6192" t="s">
        <v>616</v>
      </c>
      <c r="R6192" t="s">
        <v>159</v>
      </c>
      <c r="S6192">
        <v>3</v>
      </c>
      <c r="T6192" t="s">
        <v>8675</v>
      </c>
      <c r="U6192" s="1">
        <v>43348</v>
      </c>
      <c r="V6192" t="s">
        <v>80</v>
      </c>
      <c r="W6192" t="s">
        <v>81</v>
      </c>
      <c r="X6192" t="s">
        <v>58</v>
      </c>
      <c r="Y6192">
        <v>24</v>
      </c>
      <c r="Z6192" t="s">
        <v>59</v>
      </c>
      <c r="AA6192" t="s">
        <v>59</v>
      </c>
      <c r="AB6192" t="s">
        <v>59</v>
      </c>
      <c r="AC6192" t="s">
        <v>59</v>
      </c>
      <c r="AD6192" t="s">
        <v>59</v>
      </c>
      <c r="AF6192" s="1">
        <v>43348</v>
      </c>
      <c r="AG6192" t="s">
        <v>8645</v>
      </c>
      <c r="AH6192" t="s">
        <v>8646</v>
      </c>
      <c r="AI6192" t="str">
        <f>"9170547"</f>
        <v>9170547</v>
      </c>
      <c r="AJ6192" t="s">
        <v>9175</v>
      </c>
      <c r="AK6192">
        <v>2810250886</v>
      </c>
      <c r="AL6192" t="s">
        <v>9176</v>
      </c>
      <c r="AM6192" t="s">
        <v>78</v>
      </c>
      <c r="AN6192" t="s">
        <v>78</v>
      </c>
      <c r="AO6192" t="s">
        <v>78</v>
      </c>
      <c r="AP6192" t="s">
        <v>141</v>
      </c>
      <c r="AQ6192">
        <v>1</v>
      </c>
      <c r="AR6192" t="s">
        <v>80</v>
      </c>
      <c r="AS6192" t="s">
        <v>81</v>
      </c>
      <c r="AT6192" t="s">
        <v>58</v>
      </c>
      <c r="AU6192" t="s">
        <v>8673</v>
      </c>
      <c r="AV6192" t="s">
        <v>132</v>
      </c>
      <c r="AW6192" s="1">
        <v>32047</v>
      </c>
      <c r="AX6192">
        <v>1</v>
      </c>
    </row>
    <row r="6193" spans="1:50">
      <c r="B6193" t="str">
        <f>"132305745"</f>
        <v>132305745</v>
      </c>
      <c r="C6193" t="s">
        <v>50</v>
      </c>
      <c r="D6193" t="s">
        <v>2625</v>
      </c>
      <c r="E6193" t="s">
        <v>52</v>
      </c>
      <c r="F6193" t="s">
        <v>72</v>
      </c>
      <c r="G6193" t="s">
        <v>10610</v>
      </c>
      <c r="H6193" t="str">
        <f>"ΣΟΛΩΜΟΥ 40 "</f>
        <v xml:space="preserve">ΣΟΛΩΜΟΥ 40 </v>
      </c>
      <c r="I6193">
        <v>71306</v>
      </c>
      <c r="J6193">
        <v>2810237849</v>
      </c>
      <c r="K6193">
        <v>6979543185</v>
      </c>
      <c r="N6193" t="s">
        <v>1525</v>
      </c>
      <c r="O6193" t="s">
        <v>1526</v>
      </c>
      <c r="R6193" t="s">
        <v>159</v>
      </c>
      <c r="S6193">
        <v>2</v>
      </c>
      <c r="T6193" t="s">
        <v>8670</v>
      </c>
      <c r="U6193" s="1">
        <v>43348</v>
      </c>
      <c r="V6193" t="s">
        <v>80</v>
      </c>
      <c r="W6193" t="s">
        <v>81</v>
      </c>
      <c r="X6193" t="s">
        <v>58</v>
      </c>
      <c r="Y6193">
        <v>25</v>
      </c>
      <c r="Z6193" t="s">
        <v>59</v>
      </c>
      <c r="AA6193" t="s">
        <v>59</v>
      </c>
      <c r="AB6193" t="s">
        <v>59</v>
      </c>
      <c r="AC6193" t="s">
        <v>59</v>
      </c>
      <c r="AD6193" t="s">
        <v>59</v>
      </c>
      <c r="AF6193" s="1">
        <v>43348</v>
      </c>
      <c r="AG6193" t="s">
        <v>8651</v>
      </c>
      <c r="AH6193" t="s">
        <v>8652</v>
      </c>
      <c r="AI6193" t="str">
        <f>"9170348"</f>
        <v>9170348</v>
      </c>
      <c r="AJ6193" t="s">
        <v>9025</v>
      </c>
      <c r="AK6193">
        <v>2810239435</v>
      </c>
      <c r="AL6193" t="s">
        <v>9026</v>
      </c>
      <c r="AM6193" t="s">
        <v>78</v>
      </c>
      <c r="AN6193" t="s">
        <v>78</v>
      </c>
      <c r="AO6193" t="s">
        <v>78</v>
      </c>
      <c r="AP6193" t="s">
        <v>163</v>
      </c>
      <c r="AQ6193">
        <v>1</v>
      </c>
      <c r="AR6193" t="s">
        <v>80</v>
      </c>
      <c r="AS6193" t="s">
        <v>81</v>
      </c>
      <c r="AT6193" t="s">
        <v>58</v>
      </c>
      <c r="AU6193" t="s">
        <v>8673</v>
      </c>
      <c r="AV6193" t="s">
        <v>132</v>
      </c>
      <c r="AW6193" s="1">
        <v>29394</v>
      </c>
      <c r="AX6193">
        <v>1</v>
      </c>
    </row>
    <row r="6194" spans="1:50">
      <c r="A6194">
        <v>556663</v>
      </c>
      <c r="B6194" t="str">
        <f>"027255254"</f>
        <v>027255254</v>
      </c>
      <c r="C6194" t="s">
        <v>105</v>
      </c>
      <c r="D6194" t="s">
        <v>10611</v>
      </c>
      <c r="E6194" t="s">
        <v>166</v>
      </c>
      <c r="F6194" t="s">
        <v>108</v>
      </c>
      <c r="G6194" t="s">
        <v>566</v>
      </c>
      <c r="H6194" t="str">
        <f>"ΡΙΖΗΝΙΑΣ 63 ΗΡΑΚΛΕΙΟ"</f>
        <v>ΡΙΖΗΝΙΑΣ 63 ΗΡΑΚΛΕΙΟ</v>
      </c>
      <c r="I6194">
        <v>71305</v>
      </c>
      <c r="J6194">
        <v>2810253402</v>
      </c>
      <c r="K6194">
        <v>6936594482</v>
      </c>
      <c r="M6194" t="s">
        <v>10612</v>
      </c>
      <c r="N6194" t="s">
        <v>615</v>
      </c>
      <c r="O6194" t="s">
        <v>616</v>
      </c>
      <c r="R6194" t="s">
        <v>57</v>
      </c>
      <c r="S6194">
        <v>16</v>
      </c>
      <c r="T6194">
        <v>228</v>
      </c>
      <c r="U6194" s="1">
        <v>31684</v>
      </c>
      <c r="V6194" t="s">
        <v>80</v>
      </c>
      <c r="W6194" t="s">
        <v>81</v>
      </c>
      <c r="X6194" t="s">
        <v>58</v>
      </c>
      <c r="Y6194">
        <v>21</v>
      </c>
      <c r="Z6194" t="s">
        <v>59</v>
      </c>
      <c r="AA6194" t="s">
        <v>59</v>
      </c>
      <c r="AB6194" t="s">
        <v>59</v>
      </c>
      <c r="AC6194" t="s">
        <v>59</v>
      </c>
      <c r="AD6194" t="s">
        <v>59</v>
      </c>
      <c r="AF6194" s="1">
        <v>31761</v>
      </c>
      <c r="AG6194" t="s">
        <v>8645</v>
      </c>
      <c r="AH6194" t="s">
        <v>8646</v>
      </c>
      <c r="AI6194" t="str">
        <f>"9170546"</f>
        <v>9170546</v>
      </c>
      <c r="AJ6194" t="s">
        <v>8953</v>
      </c>
      <c r="AK6194">
        <v>2810261362</v>
      </c>
      <c r="AL6194" t="s">
        <v>8954</v>
      </c>
      <c r="AM6194" t="s">
        <v>78</v>
      </c>
      <c r="AN6194" t="s">
        <v>78</v>
      </c>
      <c r="AO6194" t="s">
        <v>78</v>
      </c>
      <c r="AP6194" t="s">
        <v>141</v>
      </c>
      <c r="AQ6194">
        <v>1</v>
      </c>
      <c r="AR6194" t="s">
        <v>80</v>
      </c>
      <c r="AS6194" t="s">
        <v>81</v>
      </c>
      <c r="AT6194" t="s">
        <v>58</v>
      </c>
      <c r="AU6194" t="s">
        <v>68</v>
      </c>
      <c r="AV6194" t="s">
        <v>69</v>
      </c>
      <c r="AW6194" s="1">
        <v>23368</v>
      </c>
      <c r="AX6194">
        <v>1</v>
      </c>
    </row>
    <row r="6195" spans="1:50">
      <c r="A6195">
        <v>563481</v>
      </c>
      <c r="B6195" t="str">
        <f>"103828230"</f>
        <v>103828230</v>
      </c>
      <c r="C6195" t="s">
        <v>50</v>
      </c>
      <c r="D6195" t="s">
        <v>10613</v>
      </c>
      <c r="E6195" t="s">
        <v>2406</v>
      </c>
      <c r="F6195" t="s">
        <v>95</v>
      </c>
      <c r="G6195" t="s">
        <v>52</v>
      </c>
      <c r="H6195" t="str">
        <f>"ΠΡΟΦΗΤΗ ΗΛΙΑ ΗΡΑΚΛΕΙΟ"</f>
        <v>ΠΡΟΦΗΤΗ ΗΛΙΑ ΗΡΑΚΛΕΙΟ</v>
      </c>
      <c r="I6195">
        <v>71500</v>
      </c>
      <c r="J6195">
        <v>2810871508</v>
      </c>
      <c r="K6195">
        <v>6945791931</v>
      </c>
      <c r="N6195" t="s">
        <v>615</v>
      </c>
      <c r="O6195" t="s">
        <v>616</v>
      </c>
      <c r="R6195" t="s">
        <v>57</v>
      </c>
      <c r="S6195">
        <v>15</v>
      </c>
      <c r="T6195">
        <v>194</v>
      </c>
      <c r="U6195" s="1">
        <v>32762</v>
      </c>
      <c r="V6195" t="s">
        <v>80</v>
      </c>
      <c r="W6195" t="s">
        <v>81</v>
      </c>
      <c r="X6195" t="s">
        <v>58</v>
      </c>
      <c r="Y6195">
        <v>21</v>
      </c>
      <c r="Z6195" t="s">
        <v>59</v>
      </c>
      <c r="AA6195" t="s">
        <v>59</v>
      </c>
      <c r="AB6195" t="s">
        <v>59</v>
      </c>
      <c r="AC6195" t="s">
        <v>59</v>
      </c>
      <c r="AD6195" t="s">
        <v>59</v>
      </c>
      <c r="AF6195" s="1">
        <v>32763</v>
      </c>
      <c r="AG6195" t="s">
        <v>8645</v>
      </c>
      <c r="AH6195" t="s">
        <v>8646</v>
      </c>
      <c r="AI6195" t="str">
        <f>"9170512"</f>
        <v>9170512</v>
      </c>
      <c r="AJ6195" t="s">
        <v>8986</v>
      </c>
      <c r="AK6195">
        <v>2810253082</v>
      </c>
      <c r="AL6195" t="s">
        <v>8987</v>
      </c>
      <c r="AM6195" t="s">
        <v>78</v>
      </c>
      <c r="AN6195" t="s">
        <v>78</v>
      </c>
      <c r="AO6195" t="s">
        <v>78</v>
      </c>
      <c r="AP6195" t="s">
        <v>141</v>
      </c>
      <c r="AQ6195">
        <v>1</v>
      </c>
      <c r="AR6195" t="s">
        <v>80</v>
      </c>
      <c r="AS6195" t="s">
        <v>81</v>
      </c>
      <c r="AT6195" t="s">
        <v>58</v>
      </c>
      <c r="AU6195" t="s">
        <v>68</v>
      </c>
      <c r="AV6195" t="s">
        <v>69</v>
      </c>
      <c r="AW6195" s="1">
        <v>23112</v>
      </c>
      <c r="AX6195">
        <v>1</v>
      </c>
    </row>
    <row r="6196" spans="1:50">
      <c r="A6196">
        <v>620710</v>
      </c>
      <c r="B6196" t="str">
        <f>"132995579"</f>
        <v>132995579</v>
      </c>
      <c r="C6196" t="s">
        <v>50</v>
      </c>
      <c r="D6196" t="s">
        <v>2626</v>
      </c>
      <c r="E6196" t="s">
        <v>250</v>
      </c>
      <c r="F6196" t="s">
        <v>2227</v>
      </c>
      <c r="G6196" t="s">
        <v>255</v>
      </c>
      <c r="H6196" t="str">
        <f>"Ι. ΤΖΟΜΠΑΝΑΚΗ 8 ΗΡΑΚΛΕΙΟ"</f>
        <v>Ι. ΤΖΟΜΠΑΝΑΚΗ 8 ΗΡΑΚΛΕΙΟ</v>
      </c>
      <c r="I6196">
        <v>71305</v>
      </c>
      <c r="J6196">
        <v>2810320257</v>
      </c>
      <c r="K6196">
        <v>6977576615</v>
      </c>
      <c r="N6196" t="s">
        <v>615</v>
      </c>
      <c r="O6196" t="s">
        <v>616</v>
      </c>
      <c r="R6196" t="s">
        <v>57</v>
      </c>
      <c r="S6196">
        <v>5</v>
      </c>
      <c r="T6196">
        <v>653</v>
      </c>
      <c r="U6196" s="1">
        <v>40043</v>
      </c>
      <c r="V6196" t="s">
        <v>80</v>
      </c>
      <c r="W6196" t="s">
        <v>81</v>
      </c>
      <c r="X6196" t="s">
        <v>58</v>
      </c>
      <c r="Y6196">
        <v>23</v>
      </c>
      <c r="Z6196" t="s">
        <v>59</v>
      </c>
      <c r="AA6196" t="s">
        <v>59</v>
      </c>
      <c r="AB6196" t="s">
        <v>59</v>
      </c>
      <c r="AC6196" t="s">
        <v>59</v>
      </c>
      <c r="AD6196" t="s">
        <v>59</v>
      </c>
      <c r="AF6196" s="1">
        <v>40043</v>
      </c>
      <c r="AG6196" t="s">
        <v>8645</v>
      </c>
      <c r="AH6196" t="s">
        <v>8676</v>
      </c>
      <c r="AI6196" t="str">
        <f>"9170095"</f>
        <v>9170095</v>
      </c>
      <c r="AJ6196" t="s">
        <v>8918</v>
      </c>
      <c r="AK6196">
        <v>2810741397</v>
      </c>
      <c r="AL6196" t="s">
        <v>8919</v>
      </c>
      <c r="AM6196" t="s">
        <v>78</v>
      </c>
      <c r="AN6196" t="s">
        <v>424</v>
      </c>
      <c r="AO6196" t="s">
        <v>428</v>
      </c>
      <c r="AP6196" t="s">
        <v>8920</v>
      </c>
      <c r="AQ6196">
        <v>11</v>
      </c>
      <c r="AR6196" t="s">
        <v>80</v>
      </c>
      <c r="AS6196" t="s">
        <v>81</v>
      </c>
      <c r="AT6196" t="s">
        <v>58</v>
      </c>
      <c r="AU6196" t="s">
        <v>68</v>
      </c>
      <c r="AV6196" t="s">
        <v>69</v>
      </c>
      <c r="AW6196" s="1">
        <v>31392</v>
      </c>
      <c r="AX6196">
        <v>1</v>
      </c>
    </row>
    <row r="6197" spans="1:50">
      <c r="B6197" t="str">
        <f>"146222594"</f>
        <v>146222594</v>
      </c>
      <c r="C6197" t="s">
        <v>50</v>
      </c>
      <c r="D6197" t="s">
        <v>2626</v>
      </c>
      <c r="E6197" t="s">
        <v>710</v>
      </c>
      <c r="F6197" t="s">
        <v>2227</v>
      </c>
      <c r="G6197" t="s">
        <v>255</v>
      </c>
      <c r="H6197" t="str">
        <f>"ΙΩΑΝΝΗ ΤΖΟΜΠΑΝΑΚΗ 8 ΗΡΑΚΛΕΙΟ"</f>
        <v>ΙΩΑΝΝΗ ΤΖΟΜΠΑΝΑΚΗ 8 ΗΡΑΚΛΕΙΟ</v>
      </c>
      <c r="I6197">
        <v>71305</v>
      </c>
      <c r="J6197">
        <v>2810320257</v>
      </c>
      <c r="K6197">
        <v>6972000498</v>
      </c>
      <c r="N6197" t="s">
        <v>615</v>
      </c>
      <c r="O6197" t="s">
        <v>616</v>
      </c>
      <c r="R6197" t="s">
        <v>159</v>
      </c>
      <c r="S6197">
        <v>2</v>
      </c>
      <c r="T6197" t="s">
        <v>8675</v>
      </c>
      <c r="U6197" s="1">
        <v>43348</v>
      </c>
      <c r="V6197" t="s">
        <v>80</v>
      </c>
      <c r="W6197" t="s">
        <v>81</v>
      </c>
      <c r="X6197" t="s">
        <v>58</v>
      </c>
      <c r="Y6197">
        <v>25</v>
      </c>
      <c r="Z6197" t="s">
        <v>59</v>
      </c>
      <c r="AA6197" t="s">
        <v>59</v>
      </c>
      <c r="AB6197" t="s">
        <v>59</v>
      </c>
      <c r="AC6197" t="s">
        <v>59</v>
      </c>
      <c r="AD6197" t="s">
        <v>59</v>
      </c>
      <c r="AF6197" s="1">
        <v>43348</v>
      </c>
      <c r="AG6197" t="s">
        <v>8645</v>
      </c>
      <c r="AH6197" t="s">
        <v>8676</v>
      </c>
      <c r="AI6197" t="str">
        <f>"9170314"</f>
        <v>9170314</v>
      </c>
      <c r="AJ6197" t="s">
        <v>10614</v>
      </c>
      <c r="AK6197">
        <v>2893022742</v>
      </c>
      <c r="AL6197" t="s">
        <v>10615</v>
      </c>
      <c r="AM6197" t="s">
        <v>78</v>
      </c>
      <c r="AN6197" t="s">
        <v>424</v>
      </c>
      <c r="AO6197" t="s">
        <v>577</v>
      </c>
      <c r="AP6197" t="s">
        <v>10447</v>
      </c>
      <c r="AQ6197">
        <v>10</v>
      </c>
      <c r="AR6197" t="s">
        <v>80</v>
      </c>
      <c r="AS6197" t="s">
        <v>81</v>
      </c>
      <c r="AT6197" t="s">
        <v>58</v>
      </c>
      <c r="AU6197" t="s">
        <v>8673</v>
      </c>
      <c r="AV6197" t="s">
        <v>132</v>
      </c>
      <c r="AW6197" s="1">
        <v>32409</v>
      </c>
      <c r="AX6197">
        <v>1</v>
      </c>
    </row>
    <row r="6198" spans="1:50">
      <c r="A6198">
        <v>621359</v>
      </c>
      <c r="B6198" t="str">
        <f>"138968853"</f>
        <v>138968853</v>
      </c>
      <c r="C6198" t="s">
        <v>50</v>
      </c>
      <c r="D6198" t="s">
        <v>2626</v>
      </c>
      <c r="E6198" t="s">
        <v>52</v>
      </c>
      <c r="F6198" t="s">
        <v>106</v>
      </c>
      <c r="G6198" t="s">
        <v>96</v>
      </c>
      <c r="H6198" t="str">
        <f>"ΑΡΤΕΜΙΔΟΣ 21 ΗΡΑΚΛΕΙΟ"</f>
        <v>ΑΡΤΕΜΙΔΟΣ 21 ΗΡΑΚΛΕΙΟ</v>
      </c>
      <c r="I6198">
        <v>71409</v>
      </c>
      <c r="J6198">
        <v>2810238115</v>
      </c>
      <c r="K6198">
        <v>6973419266</v>
      </c>
      <c r="N6198" t="s">
        <v>615</v>
      </c>
      <c r="O6198" t="s">
        <v>616</v>
      </c>
      <c r="R6198" t="s">
        <v>57</v>
      </c>
      <c r="S6198">
        <v>4</v>
      </c>
      <c r="T6198">
        <v>653</v>
      </c>
      <c r="U6198" s="1">
        <v>40043</v>
      </c>
      <c r="V6198" t="s">
        <v>80</v>
      </c>
      <c r="W6198" t="s">
        <v>81</v>
      </c>
      <c r="X6198" t="s">
        <v>58</v>
      </c>
      <c r="Y6198">
        <v>25</v>
      </c>
      <c r="Z6198" t="s">
        <v>59</v>
      </c>
      <c r="AA6198" t="s">
        <v>59</v>
      </c>
      <c r="AB6198" t="s">
        <v>59</v>
      </c>
      <c r="AC6198" t="s">
        <v>59</v>
      </c>
      <c r="AD6198" t="s">
        <v>59</v>
      </c>
      <c r="AF6198" s="1">
        <v>40043</v>
      </c>
      <c r="AG6198" t="s">
        <v>8645</v>
      </c>
      <c r="AH6198" t="s">
        <v>8676</v>
      </c>
      <c r="AI6198" t="str">
        <f>"9521628"</f>
        <v>9521628</v>
      </c>
      <c r="AJ6198" t="s">
        <v>9045</v>
      </c>
      <c r="AM6198" t="s">
        <v>78</v>
      </c>
      <c r="AN6198" t="s">
        <v>78</v>
      </c>
      <c r="AO6198" t="s">
        <v>286</v>
      </c>
      <c r="AP6198" t="s">
        <v>9046</v>
      </c>
      <c r="AR6198" t="s">
        <v>80</v>
      </c>
      <c r="AS6198" t="s">
        <v>81</v>
      </c>
      <c r="AT6198" t="s">
        <v>58</v>
      </c>
      <c r="AU6198" t="s">
        <v>68</v>
      </c>
      <c r="AV6198" t="s">
        <v>69</v>
      </c>
      <c r="AW6198" s="1">
        <v>31548</v>
      </c>
      <c r="AX6198">
        <v>1</v>
      </c>
    </row>
    <row r="6199" spans="1:50">
      <c r="A6199">
        <v>615015</v>
      </c>
      <c r="B6199" t="str">
        <f>"138959082"</f>
        <v>138959082</v>
      </c>
      <c r="C6199" t="s">
        <v>50</v>
      </c>
      <c r="D6199" t="s">
        <v>2626</v>
      </c>
      <c r="E6199" t="s">
        <v>707</v>
      </c>
      <c r="F6199" t="s">
        <v>900</v>
      </c>
      <c r="G6199" t="s">
        <v>237</v>
      </c>
      <c r="H6199" t="str">
        <f>"ΜΟΝΗΣ ΚΡΟΥΣΤΑΛΕΝΙΑΣ 6 ΗΡΑΚΛΕΙΟ"</f>
        <v>ΜΟΝΗΣ ΚΡΟΥΣΤΑΛΕΝΙΑΣ 6 ΗΡΑΚΛΕΙΟ</v>
      </c>
      <c r="I6199">
        <v>71305</v>
      </c>
      <c r="J6199">
        <v>2815002008</v>
      </c>
      <c r="K6199">
        <v>6945404051</v>
      </c>
      <c r="N6199" t="s">
        <v>615</v>
      </c>
      <c r="O6199" t="s">
        <v>616</v>
      </c>
      <c r="R6199" t="s">
        <v>57</v>
      </c>
      <c r="S6199">
        <v>6</v>
      </c>
      <c r="T6199">
        <v>598</v>
      </c>
      <c r="U6199" s="1">
        <v>39310</v>
      </c>
      <c r="V6199" t="s">
        <v>80</v>
      </c>
      <c r="W6199" t="s">
        <v>81</v>
      </c>
      <c r="X6199" t="s">
        <v>58</v>
      </c>
      <c r="Y6199">
        <v>23</v>
      </c>
      <c r="Z6199" t="s">
        <v>59</v>
      </c>
      <c r="AA6199" t="s">
        <v>59</v>
      </c>
      <c r="AB6199" t="s">
        <v>59</v>
      </c>
      <c r="AC6199" t="s">
        <v>59</v>
      </c>
      <c r="AD6199" t="s">
        <v>59</v>
      </c>
      <c r="AF6199" s="1">
        <v>39328</v>
      </c>
      <c r="AG6199" t="s">
        <v>8645</v>
      </c>
      <c r="AH6199" t="s">
        <v>8646</v>
      </c>
      <c r="AI6199" t="str">
        <f>"9170532"</f>
        <v>9170532</v>
      </c>
      <c r="AJ6199" t="s">
        <v>8945</v>
      </c>
      <c r="AK6199">
        <v>2810250330</v>
      </c>
      <c r="AL6199" t="s">
        <v>8946</v>
      </c>
      <c r="AM6199" t="s">
        <v>78</v>
      </c>
      <c r="AN6199" t="s">
        <v>78</v>
      </c>
      <c r="AO6199" t="s">
        <v>78</v>
      </c>
      <c r="AP6199" t="s">
        <v>141</v>
      </c>
      <c r="AQ6199">
        <v>1</v>
      </c>
      <c r="AR6199" t="s">
        <v>80</v>
      </c>
      <c r="AS6199" t="s">
        <v>81</v>
      </c>
      <c r="AT6199" t="s">
        <v>58</v>
      </c>
      <c r="AU6199" t="s">
        <v>68</v>
      </c>
      <c r="AV6199" t="s">
        <v>69</v>
      </c>
      <c r="AW6199" s="1">
        <v>29592</v>
      </c>
      <c r="AX6199">
        <v>1</v>
      </c>
    </row>
    <row r="6200" spans="1:50">
      <c r="B6200" t="str">
        <f>"103831615"</f>
        <v>103831615</v>
      </c>
      <c r="C6200" t="s">
        <v>50</v>
      </c>
      <c r="D6200" t="s">
        <v>2626</v>
      </c>
      <c r="E6200" t="s">
        <v>6392</v>
      </c>
      <c r="F6200" t="s">
        <v>111</v>
      </c>
      <c r="G6200" t="s">
        <v>96</v>
      </c>
      <c r="H6200" t="str">
        <f>"ΑΛΛΑΡΙΑΣ 24 ΗΡΑΚΛΕΙΟ"</f>
        <v>ΑΛΛΑΡΙΑΣ 24 ΗΡΑΚΛΕΙΟ</v>
      </c>
      <c r="I6200">
        <v>71409</v>
      </c>
      <c r="J6200">
        <v>2815004508</v>
      </c>
      <c r="K6200">
        <v>6934668227</v>
      </c>
      <c r="N6200" t="s">
        <v>1525</v>
      </c>
      <c r="O6200" t="s">
        <v>1526</v>
      </c>
      <c r="R6200" t="s">
        <v>159</v>
      </c>
      <c r="S6200">
        <v>3</v>
      </c>
      <c r="T6200" t="s">
        <v>8670</v>
      </c>
      <c r="U6200" s="1">
        <v>43348</v>
      </c>
      <c r="V6200" t="s">
        <v>80</v>
      </c>
      <c r="W6200" t="s">
        <v>81</v>
      </c>
      <c r="X6200" t="s">
        <v>58</v>
      </c>
      <c r="Y6200">
        <v>25</v>
      </c>
      <c r="Z6200" t="s">
        <v>59</v>
      </c>
      <c r="AA6200" t="s">
        <v>59</v>
      </c>
      <c r="AB6200" t="s">
        <v>59</v>
      </c>
      <c r="AC6200" t="s">
        <v>59</v>
      </c>
      <c r="AD6200" t="s">
        <v>59</v>
      </c>
      <c r="AF6200" s="1">
        <v>43348</v>
      </c>
      <c r="AG6200" t="s">
        <v>8651</v>
      </c>
      <c r="AH6200" t="s">
        <v>8652</v>
      </c>
      <c r="AI6200" t="str">
        <f>"9170457"</f>
        <v>9170457</v>
      </c>
      <c r="AJ6200" t="s">
        <v>10081</v>
      </c>
      <c r="AK6200">
        <v>2810823321</v>
      </c>
      <c r="AL6200" t="s">
        <v>10082</v>
      </c>
      <c r="AM6200" t="s">
        <v>78</v>
      </c>
      <c r="AN6200" t="s">
        <v>129</v>
      </c>
      <c r="AO6200" t="s">
        <v>130</v>
      </c>
      <c r="AP6200" t="s">
        <v>130</v>
      </c>
      <c r="AQ6200">
        <v>1</v>
      </c>
      <c r="AR6200" t="s">
        <v>80</v>
      </c>
      <c r="AS6200" t="s">
        <v>81</v>
      </c>
      <c r="AT6200" t="s">
        <v>58</v>
      </c>
      <c r="AU6200" t="s">
        <v>8673</v>
      </c>
      <c r="AV6200" t="s">
        <v>132</v>
      </c>
      <c r="AW6200" s="1">
        <v>29851</v>
      </c>
      <c r="AX6200">
        <v>1</v>
      </c>
    </row>
    <row r="6201" spans="1:50">
      <c r="B6201" t="str">
        <f>"164150530"</f>
        <v>164150530</v>
      </c>
      <c r="C6201" t="s">
        <v>50</v>
      </c>
      <c r="D6201" t="s">
        <v>10616</v>
      </c>
      <c r="E6201" t="s">
        <v>529</v>
      </c>
      <c r="F6201" t="s">
        <v>53</v>
      </c>
      <c r="G6201" t="s">
        <v>10617</v>
      </c>
      <c r="H6201" t="str">
        <f>" "</f>
        <v xml:space="preserve"> </v>
      </c>
      <c r="N6201" t="s">
        <v>683</v>
      </c>
      <c r="O6201" t="s">
        <v>684</v>
      </c>
      <c r="R6201" t="s">
        <v>121</v>
      </c>
      <c r="S6201">
        <v>1</v>
      </c>
      <c r="T6201" t="s">
        <v>8675</v>
      </c>
      <c r="U6201" s="1">
        <v>43348</v>
      </c>
      <c r="V6201" t="s">
        <v>80</v>
      </c>
      <c r="W6201" t="s">
        <v>81</v>
      </c>
      <c r="X6201" t="s">
        <v>58</v>
      </c>
      <c r="Y6201">
        <v>24</v>
      </c>
      <c r="Z6201" t="s">
        <v>59</v>
      </c>
      <c r="AA6201" t="s">
        <v>59</v>
      </c>
      <c r="AB6201" t="s">
        <v>59</v>
      </c>
      <c r="AD6201" t="s">
        <v>59</v>
      </c>
      <c r="AF6201" s="1">
        <v>43348</v>
      </c>
      <c r="AG6201" t="s">
        <v>8645</v>
      </c>
      <c r="AH6201" t="s">
        <v>8646</v>
      </c>
      <c r="AI6201" t="str">
        <f>"9170494"</f>
        <v>9170494</v>
      </c>
      <c r="AJ6201" t="s">
        <v>9125</v>
      </c>
      <c r="AK6201">
        <v>2810228361</v>
      </c>
      <c r="AL6201" t="s">
        <v>9126</v>
      </c>
      <c r="AM6201" t="s">
        <v>78</v>
      </c>
      <c r="AN6201" t="s">
        <v>78</v>
      </c>
      <c r="AO6201" t="s">
        <v>78</v>
      </c>
      <c r="AP6201" t="s">
        <v>79</v>
      </c>
      <c r="AQ6201">
        <v>1</v>
      </c>
      <c r="AR6201" t="s">
        <v>80</v>
      </c>
      <c r="AS6201" t="s">
        <v>81</v>
      </c>
      <c r="AT6201" t="s">
        <v>58</v>
      </c>
      <c r="AU6201" t="s">
        <v>8673</v>
      </c>
      <c r="AV6201" t="s">
        <v>132</v>
      </c>
      <c r="AW6201" s="1">
        <v>33455</v>
      </c>
      <c r="AX6201">
        <v>1</v>
      </c>
    </row>
    <row r="6202" spans="1:50">
      <c r="A6202">
        <v>619577</v>
      </c>
      <c r="B6202" t="str">
        <f>"103812268"</f>
        <v>103812268</v>
      </c>
      <c r="C6202" t="s">
        <v>50</v>
      </c>
      <c r="D6202" t="s">
        <v>2639</v>
      </c>
      <c r="E6202" t="s">
        <v>10618</v>
      </c>
      <c r="F6202" t="s">
        <v>1328</v>
      </c>
      <c r="G6202" t="s">
        <v>255</v>
      </c>
      <c r="H6202" t="str">
        <f>"ΘΕΝΩΝ 3 ΗΡΑΚΛΕΙΟ"</f>
        <v>ΘΕΝΩΝ 3 ΗΡΑΚΛΕΙΟ</v>
      </c>
      <c r="I6202">
        <v>71305</v>
      </c>
      <c r="J6202">
        <v>2811110061</v>
      </c>
      <c r="K6202">
        <v>6948524430</v>
      </c>
      <c r="N6202" t="s">
        <v>1525</v>
      </c>
      <c r="O6202" t="s">
        <v>1526</v>
      </c>
      <c r="R6202" t="s">
        <v>57</v>
      </c>
      <c r="S6202">
        <v>5</v>
      </c>
      <c r="T6202">
        <v>774</v>
      </c>
      <c r="U6202" s="1">
        <v>39680</v>
      </c>
      <c r="V6202" t="s">
        <v>80</v>
      </c>
      <c r="W6202" t="s">
        <v>81</v>
      </c>
      <c r="X6202" t="s">
        <v>58</v>
      </c>
      <c r="Y6202">
        <v>25</v>
      </c>
      <c r="Z6202" t="s">
        <v>59</v>
      </c>
      <c r="AA6202" t="s">
        <v>59</v>
      </c>
      <c r="AB6202" t="s">
        <v>59</v>
      </c>
      <c r="AC6202" t="s">
        <v>59</v>
      </c>
      <c r="AD6202" t="s">
        <v>59</v>
      </c>
      <c r="AF6202" s="1">
        <v>39681</v>
      </c>
      <c r="AG6202" t="s">
        <v>8651</v>
      </c>
      <c r="AH6202" t="s">
        <v>8652</v>
      </c>
      <c r="AI6202" t="str">
        <f>"9170050"</f>
        <v>9170050</v>
      </c>
      <c r="AJ6202" t="s">
        <v>10334</v>
      </c>
      <c r="AK6202">
        <v>2810250935</v>
      </c>
      <c r="AL6202" t="s">
        <v>10335</v>
      </c>
      <c r="AM6202" t="s">
        <v>78</v>
      </c>
      <c r="AN6202" t="s">
        <v>78</v>
      </c>
      <c r="AO6202" t="s">
        <v>78</v>
      </c>
      <c r="AP6202" t="s">
        <v>141</v>
      </c>
      <c r="AQ6202">
        <v>1</v>
      </c>
      <c r="AR6202" t="s">
        <v>80</v>
      </c>
      <c r="AS6202" t="s">
        <v>81</v>
      </c>
      <c r="AT6202" t="s">
        <v>58</v>
      </c>
      <c r="AU6202" t="s">
        <v>68</v>
      </c>
      <c r="AV6202" t="s">
        <v>69</v>
      </c>
      <c r="AW6202" s="1">
        <v>29850</v>
      </c>
      <c r="AX6202">
        <v>1</v>
      </c>
    </row>
    <row r="6203" spans="1:50">
      <c r="A6203">
        <v>605726</v>
      </c>
      <c r="B6203" t="str">
        <f>"103811315"</f>
        <v>103811315</v>
      </c>
      <c r="C6203" t="s">
        <v>50</v>
      </c>
      <c r="D6203" t="s">
        <v>2639</v>
      </c>
      <c r="E6203" t="s">
        <v>52</v>
      </c>
      <c r="F6203" t="s">
        <v>760</v>
      </c>
      <c r="G6203" t="s">
        <v>5145</v>
      </c>
      <c r="H6203" t="str">
        <f>"Μ. ΤΣΟΥΔΕΡΟΥ 24 ΜΟΙΡΕΣ"</f>
        <v>Μ. ΤΣΟΥΔΕΡΟΥ 24 ΜΟΙΡΕΣ</v>
      </c>
      <c r="I6203">
        <v>70400</v>
      </c>
      <c r="J6203">
        <v>2892022892</v>
      </c>
      <c r="K6203">
        <v>6977933673</v>
      </c>
      <c r="N6203" t="s">
        <v>615</v>
      </c>
      <c r="O6203" t="s">
        <v>616</v>
      </c>
      <c r="R6203" t="s">
        <v>57</v>
      </c>
      <c r="S6203">
        <v>9</v>
      </c>
      <c r="T6203">
        <v>231</v>
      </c>
      <c r="U6203" s="1">
        <v>38230</v>
      </c>
      <c r="V6203" t="s">
        <v>80</v>
      </c>
      <c r="W6203" t="s">
        <v>81</v>
      </c>
      <c r="X6203" t="s">
        <v>58</v>
      </c>
      <c r="Y6203">
        <v>22</v>
      </c>
      <c r="Z6203" t="s">
        <v>59</v>
      </c>
      <c r="AA6203" t="s">
        <v>59</v>
      </c>
      <c r="AB6203" t="s">
        <v>59</v>
      </c>
      <c r="AC6203" t="s">
        <v>59</v>
      </c>
      <c r="AD6203" t="s">
        <v>59</v>
      </c>
      <c r="AF6203" s="1">
        <v>38231</v>
      </c>
      <c r="AG6203" t="s">
        <v>8645</v>
      </c>
      <c r="AH6203" t="s">
        <v>8646</v>
      </c>
      <c r="AI6203" t="str">
        <f>"9170268"</f>
        <v>9170268</v>
      </c>
      <c r="AJ6203" t="s">
        <v>9301</v>
      </c>
      <c r="AK6203">
        <v>2892022710</v>
      </c>
      <c r="AL6203" t="s">
        <v>9302</v>
      </c>
      <c r="AM6203" t="s">
        <v>78</v>
      </c>
      <c r="AN6203" t="s">
        <v>242</v>
      </c>
      <c r="AO6203" t="s">
        <v>243</v>
      </c>
      <c r="AP6203" t="s">
        <v>243</v>
      </c>
      <c r="AQ6203">
        <v>20</v>
      </c>
      <c r="AR6203" t="s">
        <v>80</v>
      </c>
      <c r="AS6203" t="s">
        <v>81</v>
      </c>
      <c r="AT6203" t="s">
        <v>58</v>
      </c>
      <c r="AU6203" t="s">
        <v>68</v>
      </c>
      <c r="AV6203" t="s">
        <v>69</v>
      </c>
      <c r="AW6203" s="1">
        <v>28314</v>
      </c>
      <c r="AX6203">
        <v>1</v>
      </c>
    </row>
    <row r="6204" spans="1:50">
      <c r="A6204">
        <v>583781</v>
      </c>
      <c r="B6204" t="str">
        <f>"033378916"</f>
        <v>033378916</v>
      </c>
      <c r="C6204" t="s">
        <v>105</v>
      </c>
      <c r="D6204" t="s">
        <v>10619</v>
      </c>
      <c r="E6204" t="s">
        <v>95</v>
      </c>
      <c r="F6204" t="s">
        <v>166</v>
      </c>
      <c r="G6204" t="s">
        <v>83</v>
      </c>
      <c r="H6204" t="str">
        <f>"ΜΙΝΩΟΣ 99 ΗΡΑΚΛΕΙΟ"</f>
        <v>ΜΙΝΩΟΣ 99 ΗΡΑΚΛΕΙΟ</v>
      </c>
      <c r="I6204">
        <v>71304</v>
      </c>
      <c r="J6204">
        <v>2810254091</v>
      </c>
      <c r="K6204">
        <v>6934252079</v>
      </c>
      <c r="M6204" t="s">
        <v>10620</v>
      </c>
      <c r="N6204" t="s">
        <v>615</v>
      </c>
      <c r="O6204" t="s">
        <v>616</v>
      </c>
      <c r="R6204" t="s">
        <v>57</v>
      </c>
      <c r="S6204">
        <v>11</v>
      </c>
      <c r="T6204">
        <v>165</v>
      </c>
      <c r="U6204" s="1">
        <v>36040</v>
      </c>
      <c r="V6204" t="s">
        <v>80</v>
      </c>
      <c r="W6204" t="s">
        <v>81</v>
      </c>
      <c r="X6204" t="s">
        <v>58</v>
      </c>
      <c r="Y6204">
        <v>21</v>
      </c>
      <c r="Z6204" t="s">
        <v>59</v>
      </c>
      <c r="AA6204" t="s">
        <v>59</v>
      </c>
      <c r="AB6204" t="s">
        <v>59</v>
      </c>
      <c r="AC6204" t="s">
        <v>59</v>
      </c>
      <c r="AD6204" t="s">
        <v>59</v>
      </c>
      <c r="AF6204" s="1">
        <v>36042</v>
      </c>
      <c r="AG6204" t="s">
        <v>8645</v>
      </c>
      <c r="AH6204" t="s">
        <v>8646</v>
      </c>
      <c r="AI6204" t="str">
        <f>"9170425"</f>
        <v>9170425</v>
      </c>
      <c r="AJ6204" t="s">
        <v>9350</v>
      </c>
      <c r="AK6204">
        <v>2810250261</v>
      </c>
      <c r="AL6204" t="s">
        <v>9351</v>
      </c>
      <c r="AM6204" t="s">
        <v>78</v>
      </c>
      <c r="AN6204" t="s">
        <v>78</v>
      </c>
      <c r="AO6204" t="s">
        <v>78</v>
      </c>
      <c r="AP6204" t="s">
        <v>141</v>
      </c>
      <c r="AQ6204">
        <v>1</v>
      </c>
      <c r="AR6204" t="s">
        <v>80</v>
      </c>
      <c r="AS6204" t="s">
        <v>81</v>
      </c>
      <c r="AT6204" t="s">
        <v>58</v>
      </c>
      <c r="AU6204" t="s">
        <v>68</v>
      </c>
      <c r="AV6204" t="s">
        <v>69</v>
      </c>
      <c r="AW6204" s="1">
        <v>22919</v>
      </c>
      <c r="AX6204">
        <v>1</v>
      </c>
    </row>
    <row r="6205" spans="1:50">
      <c r="A6205">
        <v>557568</v>
      </c>
      <c r="B6205" t="str">
        <f>"028118165"</f>
        <v>028118165</v>
      </c>
      <c r="C6205" t="s">
        <v>105</v>
      </c>
      <c r="D6205" t="s">
        <v>10619</v>
      </c>
      <c r="E6205" t="s">
        <v>72</v>
      </c>
      <c r="F6205" t="s">
        <v>10621</v>
      </c>
      <c r="G6205" t="s">
        <v>52</v>
      </c>
      <c r="H6205" t="str">
        <f>"ΜΙΧ. ΒΛΑΧΟΥ 11 ΗΡΑΚΛΕΙΟ"</f>
        <v>ΜΙΧ. ΒΛΑΧΟΥ 11 ΗΡΑΚΛΕΙΟ</v>
      </c>
      <c r="I6205">
        <v>71305</v>
      </c>
      <c r="J6205">
        <v>2810234182</v>
      </c>
      <c r="K6205">
        <v>6974554063</v>
      </c>
      <c r="M6205" t="s">
        <v>10622</v>
      </c>
      <c r="N6205" t="s">
        <v>615</v>
      </c>
      <c r="O6205" t="s">
        <v>616</v>
      </c>
      <c r="R6205" t="s">
        <v>57</v>
      </c>
      <c r="S6205">
        <v>15</v>
      </c>
      <c r="T6205">
        <v>168</v>
      </c>
      <c r="U6205" s="1">
        <v>32010</v>
      </c>
      <c r="V6205" t="s">
        <v>80</v>
      </c>
      <c r="W6205" t="s">
        <v>81</v>
      </c>
      <c r="X6205" t="s">
        <v>58</v>
      </c>
      <c r="Y6205">
        <v>21</v>
      </c>
      <c r="Z6205" t="s">
        <v>59</v>
      </c>
      <c r="AA6205" t="s">
        <v>59</v>
      </c>
      <c r="AB6205" t="s">
        <v>59</v>
      </c>
      <c r="AC6205" t="s">
        <v>59</v>
      </c>
      <c r="AD6205" t="s">
        <v>59</v>
      </c>
      <c r="AF6205" s="1">
        <v>32022</v>
      </c>
      <c r="AG6205" t="s">
        <v>8645</v>
      </c>
      <c r="AH6205" t="s">
        <v>8646</v>
      </c>
      <c r="AI6205" t="str">
        <f>"9170514"</f>
        <v>9170514</v>
      </c>
      <c r="AJ6205" t="s">
        <v>8801</v>
      </c>
      <c r="AK6205">
        <v>2810238666</v>
      </c>
      <c r="AL6205" t="s">
        <v>8802</v>
      </c>
      <c r="AM6205" t="s">
        <v>78</v>
      </c>
      <c r="AN6205" t="s">
        <v>78</v>
      </c>
      <c r="AO6205" t="s">
        <v>78</v>
      </c>
      <c r="AP6205" t="s">
        <v>163</v>
      </c>
      <c r="AQ6205">
        <v>1</v>
      </c>
      <c r="AR6205" t="s">
        <v>80</v>
      </c>
      <c r="AS6205" t="s">
        <v>81</v>
      </c>
      <c r="AT6205" t="s">
        <v>58</v>
      </c>
      <c r="AU6205" t="s">
        <v>68</v>
      </c>
      <c r="AV6205" t="s">
        <v>69</v>
      </c>
      <c r="AW6205" s="1">
        <v>22682</v>
      </c>
      <c r="AX6205">
        <v>1</v>
      </c>
    </row>
    <row r="6206" spans="1:50">
      <c r="A6206">
        <v>608021</v>
      </c>
      <c r="B6206" t="str">
        <f>"030965171"</f>
        <v>030965171</v>
      </c>
      <c r="C6206" t="s">
        <v>50</v>
      </c>
      <c r="D6206" t="s">
        <v>10623</v>
      </c>
      <c r="E6206" t="s">
        <v>83</v>
      </c>
      <c r="F6206" t="s">
        <v>72</v>
      </c>
      <c r="G6206" t="s">
        <v>109</v>
      </c>
      <c r="H6206" t="str">
        <f>"ΝΤΑΛΙΑΝΗ 40 ΗΡΑΚΛΕΙΟ"</f>
        <v>ΝΤΑΛΙΑΝΗ 40 ΗΡΑΚΛΕΙΟ</v>
      </c>
      <c r="I6206">
        <v>71306</v>
      </c>
      <c r="J6206">
        <v>2810341866</v>
      </c>
      <c r="K6206">
        <v>6976764729</v>
      </c>
      <c r="N6206" t="s">
        <v>1525</v>
      </c>
      <c r="O6206" t="s">
        <v>1526</v>
      </c>
      <c r="R6206" t="s">
        <v>57</v>
      </c>
      <c r="S6206">
        <v>9</v>
      </c>
      <c r="T6206">
        <v>217</v>
      </c>
      <c r="U6206" s="1">
        <v>38596</v>
      </c>
      <c r="V6206" t="s">
        <v>80</v>
      </c>
      <c r="W6206" t="s">
        <v>81</v>
      </c>
      <c r="X6206" t="s">
        <v>58</v>
      </c>
      <c r="Y6206">
        <v>25</v>
      </c>
      <c r="Z6206" t="s">
        <v>59</v>
      </c>
      <c r="AA6206" t="s">
        <v>59</v>
      </c>
      <c r="AB6206" t="s">
        <v>59</v>
      </c>
      <c r="AC6206" t="s">
        <v>59</v>
      </c>
      <c r="AD6206" t="s">
        <v>59</v>
      </c>
      <c r="AF6206" s="1">
        <v>38600</v>
      </c>
      <c r="AG6206" t="s">
        <v>8651</v>
      </c>
      <c r="AH6206" t="s">
        <v>8652</v>
      </c>
      <c r="AI6206" t="str">
        <f>"9170404"</f>
        <v>9170404</v>
      </c>
      <c r="AJ6206" t="s">
        <v>10624</v>
      </c>
      <c r="AK6206">
        <v>2810282893</v>
      </c>
      <c r="AL6206" t="s">
        <v>10625</v>
      </c>
      <c r="AM6206" t="s">
        <v>78</v>
      </c>
      <c r="AN6206" t="s">
        <v>78</v>
      </c>
      <c r="AO6206" t="s">
        <v>78</v>
      </c>
      <c r="AP6206" t="s">
        <v>79</v>
      </c>
      <c r="AQ6206">
        <v>1</v>
      </c>
      <c r="AR6206" t="s">
        <v>80</v>
      </c>
      <c r="AS6206" t="s">
        <v>81</v>
      </c>
      <c r="AT6206" t="s">
        <v>58</v>
      </c>
      <c r="AU6206" t="s">
        <v>68</v>
      </c>
      <c r="AV6206" t="s">
        <v>69</v>
      </c>
      <c r="AW6206" s="1">
        <v>24344</v>
      </c>
      <c r="AX6206">
        <v>1</v>
      </c>
    </row>
    <row r="6207" spans="1:50">
      <c r="A6207">
        <v>612089</v>
      </c>
      <c r="B6207" t="str">
        <f>"104993720"</f>
        <v>104993720</v>
      </c>
      <c r="C6207" t="s">
        <v>50</v>
      </c>
      <c r="D6207" t="s">
        <v>10626</v>
      </c>
      <c r="E6207" t="s">
        <v>1120</v>
      </c>
      <c r="F6207" t="s">
        <v>383</v>
      </c>
      <c r="G6207" t="s">
        <v>250</v>
      </c>
      <c r="H6207" t="str">
        <f>"ΚΑΡΔΟΥΛΙΑΝΟΣ ΚΑΣΤΕΛΛΙ ΠΕΔΙΑΔΟΣ"</f>
        <v>ΚΑΡΔΟΥΛΙΑΝΟΣ ΚΑΣΤΕΛΛΙ ΠΕΔΙΑΔΟΣ</v>
      </c>
      <c r="I6207">
        <v>70006</v>
      </c>
      <c r="J6207">
        <v>2891032949</v>
      </c>
      <c r="K6207">
        <v>6948509243</v>
      </c>
      <c r="N6207" t="s">
        <v>306</v>
      </c>
      <c r="O6207" t="s">
        <v>307</v>
      </c>
      <c r="R6207" t="s">
        <v>57</v>
      </c>
      <c r="S6207">
        <v>6</v>
      </c>
      <c r="T6207">
        <v>234</v>
      </c>
      <c r="U6207" s="1">
        <v>38960</v>
      </c>
      <c r="V6207" t="s">
        <v>80</v>
      </c>
      <c r="W6207" t="s">
        <v>81</v>
      </c>
      <c r="X6207" t="s">
        <v>58</v>
      </c>
      <c r="Y6207">
        <v>23</v>
      </c>
      <c r="Z6207" t="s">
        <v>59</v>
      </c>
      <c r="AA6207" t="s">
        <v>59</v>
      </c>
      <c r="AB6207" t="s">
        <v>59</v>
      </c>
      <c r="AC6207" t="s">
        <v>59</v>
      </c>
      <c r="AD6207" t="s">
        <v>59</v>
      </c>
      <c r="AF6207" s="1">
        <v>38961</v>
      </c>
      <c r="AG6207" t="s">
        <v>8645</v>
      </c>
      <c r="AH6207" t="s">
        <v>8646</v>
      </c>
      <c r="AI6207" t="str">
        <f>"9170235"</f>
        <v>9170235</v>
      </c>
      <c r="AJ6207" t="s">
        <v>8806</v>
      </c>
      <c r="AK6207">
        <v>2891031258</v>
      </c>
      <c r="AL6207" t="s">
        <v>8807</v>
      </c>
      <c r="AM6207" t="s">
        <v>78</v>
      </c>
      <c r="AN6207" t="s">
        <v>276</v>
      </c>
      <c r="AO6207" t="s">
        <v>277</v>
      </c>
      <c r="AP6207" t="s">
        <v>277</v>
      </c>
      <c r="AQ6207">
        <v>13</v>
      </c>
      <c r="AR6207" t="s">
        <v>80</v>
      </c>
      <c r="AS6207" t="s">
        <v>81</v>
      </c>
      <c r="AT6207" t="s">
        <v>58</v>
      </c>
      <c r="AU6207" t="s">
        <v>68</v>
      </c>
      <c r="AV6207" t="s">
        <v>69</v>
      </c>
      <c r="AW6207" s="1">
        <v>27216</v>
      </c>
      <c r="AX6207">
        <v>1</v>
      </c>
    </row>
    <row r="6208" spans="1:50">
      <c r="A6208">
        <v>579997</v>
      </c>
      <c r="B6208" t="str">
        <f>"103829668"</f>
        <v>103829668</v>
      </c>
      <c r="C6208" t="s">
        <v>50</v>
      </c>
      <c r="D6208" t="s">
        <v>10627</v>
      </c>
      <c r="E6208" t="s">
        <v>83</v>
      </c>
      <c r="F6208" t="s">
        <v>106</v>
      </c>
      <c r="G6208" t="s">
        <v>513</v>
      </c>
      <c r="H6208" t="str">
        <f>"ΗΦΑΙΣΤΟΥ 47 ΗΡΑΚΛΕΙΟ"</f>
        <v>ΗΦΑΙΣΤΟΥ 47 ΗΡΑΚΛΕΙΟ</v>
      </c>
      <c r="I6208">
        <v>71303</v>
      </c>
      <c r="J6208">
        <v>2810260521</v>
      </c>
      <c r="K6208">
        <v>6938864469</v>
      </c>
      <c r="N6208" t="s">
        <v>1525</v>
      </c>
      <c r="O6208" t="s">
        <v>1526</v>
      </c>
      <c r="R6208" t="s">
        <v>57</v>
      </c>
      <c r="S6208">
        <v>13</v>
      </c>
      <c r="T6208">
        <v>165</v>
      </c>
      <c r="U6208" s="1">
        <v>35300</v>
      </c>
      <c r="V6208" t="s">
        <v>80</v>
      </c>
      <c r="W6208" t="s">
        <v>81</v>
      </c>
      <c r="X6208" t="s">
        <v>58</v>
      </c>
      <c r="Y6208">
        <v>25</v>
      </c>
      <c r="Z6208" t="s">
        <v>59</v>
      </c>
      <c r="AA6208" t="s">
        <v>59</v>
      </c>
      <c r="AB6208" t="s">
        <v>59</v>
      </c>
      <c r="AC6208" t="s">
        <v>59</v>
      </c>
      <c r="AD6208" t="s">
        <v>59</v>
      </c>
      <c r="AF6208" s="1">
        <v>35310</v>
      </c>
      <c r="AG6208" t="s">
        <v>8651</v>
      </c>
      <c r="AH6208" t="s">
        <v>8652</v>
      </c>
      <c r="AI6208" t="str">
        <f>"9170526"</f>
        <v>9170526</v>
      </c>
      <c r="AJ6208" t="s">
        <v>9112</v>
      </c>
      <c r="AK6208">
        <v>2810251986</v>
      </c>
      <c r="AL6208" t="s">
        <v>9113</v>
      </c>
      <c r="AM6208" t="s">
        <v>78</v>
      </c>
      <c r="AN6208" t="s">
        <v>78</v>
      </c>
      <c r="AO6208" t="s">
        <v>78</v>
      </c>
      <c r="AP6208" t="s">
        <v>141</v>
      </c>
      <c r="AQ6208">
        <v>1</v>
      </c>
      <c r="AR6208" t="s">
        <v>80</v>
      </c>
      <c r="AS6208" t="s">
        <v>81</v>
      </c>
      <c r="AT6208" t="s">
        <v>58</v>
      </c>
      <c r="AU6208" t="s">
        <v>68</v>
      </c>
      <c r="AV6208" t="s">
        <v>69</v>
      </c>
      <c r="AW6208" s="1">
        <v>23466</v>
      </c>
      <c r="AX6208">
        <v>1</v>
      </c>
    </row>
    <row r="6209" spans="1:50">
      <c r="A6209">
        <v>561130</v>
      </c>
      <c r="B6209" t="str">
        <f>"032245439"</f>
        <v>032245439</v>
      </c>
      <c r="C6209" t="s">
        <v>50</v>
      </c>
      <c r="D6209" t="s">
        <v>10628</v>
      </c>
      <c r="E6209" t="s">
        <v>52</v>
      </c>
      <c r="F6209" t="s">
        <v>53</v>
      </c>
      <c r="G6209" t="s">
        <v>73</v>
      </c>
      <c r="H6209" t="str">
        <f>"Ι. ΚΟΝΔΥΛΑΚΗ 23 ΗΡΑΚΛΕΙΟ"</f>
        <v>Ι. ΚΟΝΔΥΛΑΚΗ 23 ΗΡΑΚΛΕΙΟ</v>
      </c>
      <c r="I6209">
        <v>71305</v>
      </c>
      <c r="J6209">
        <v>2810261388</v>
      </c>
      <c r="K6209">
        <v>6972853959</v>
      </c>
      <c r="N6209" t="s">
        <v>615</v>
      </c>
      <c r="O6209" t="s">
        <v>616</v>
      </c>
      <c r="R6209" t="s">
        <v>57</v>
      </c>
      <c r="S6209">
        <v>15</v>
      </c>
      <c r="T6209">
        <v>159</v>
      </c>
      <c r="U6209" s="1">
        <v>32385</v>
      </c>
      <c r="V6209" t="s">
        <v>80</v>
      </c>
      <c r="W6209" t="s">
        <v>81</v>
      </c>
      <c r="X6209" t="s">
        <v>58</v>
      </c>
      <c r="Y6209">
        <v>21</v>
      </c>
      <c r="Z6209" t="s">
        <v>59</v>
      </c>
      <c r="AA6209" t="s">
        <v>59</v>
      </c>
      <c r="AB6209" t="s">
        <v>59</v>
      </c>
      <c r="AC6209" t="s">
        <v>59</v>
      </c>
      <c r="AD6209" t="s">
        <v>59</v>
      </c>
      <c r="AF6209" s="1">
        <v>32387</v>
      </c>
      <c r="AG6209" t="s">
        <v>8645</v>
      </c>
      <c r="AH6209" t="s">
        <v>8646</v>
      </c>
      <c r="AI6209" t="str">
        <f>"9170515"</f>
        <v>9170515</v>
      </c>
      <c r="AJ6209" t="s">
        <v>8790</v>
      </c>
      <c r="AK6209">
        <v>2810254821</v>
      </c>
      <c r="AL6209" t="s">
        <v>8791</v>
      </c>
      <c r="AM6209" t="s">
        <v>78</v>
      </c>
      <c r="AN6209" t="s">
        <v>78</v>
      </c>
      <c r="AO6209" t="s">
        <v>78</v>
      </c>
      <c r="AP6209" t="s">
        <v>163</v>
      </c>
      <c r="AQ6209">
        <v>1</v>
      </c>
      <c r="AR6209" t="s">
        <v>80</v>
      </c>
      <c r="AS6209" t="s">
        <v>81</v>
      </c>
      <c r="AT6209" t="s">
        <v>58</v>
      </c>
      <c r="AU6209" t="s">
        <v>68</v>
      </c>
      <c r="AV6209" t="s">
        <v>69</v>
      </c>
      <c r="AW6209" s="1">
        <v>22562</v>
      </c>
      <c r="AX6209">
        <v>1</v>
      </c>
    </row>
    <row r="6210" spans="1:50">
      <c r="A6210">
        <v>576165</v>
      </c>
      <c r="B6210" t="str">
        <f>"048003691"</f>
        <v>048003691</v>
      </c>
      <c r="C6210" t="s">
        <v>50</v>
      </c>
      <c r="D6210" t="s">
        <v>10629</v>
      </c>
      <c r="E6210" t="s">
        <v>6014</v>
      </c>
      <c r="F6210" t="s">
        <v>2002</v>
      </c>
      <c r="G6210" t="s">
        <v>699</v>
      </c>
      <c r="H6210" t="str">
        <f>"Λ. ΜΑΒΙΛΗ 27   ΗΡΑΚΛΕΙΟ"</f>
        <v>Λ. ΜΑΒΙΛΗ 27   ΗΡΑΚΛΕΙΟ</v>
      </c>
      <c r="I6210">
        <v>71306</v>
      </c>
      <c r="J6210">
        <v>2810238392</v>
      </c>
      <c r="K6210">
        <v>6936780759</v>
      </c>
      <c r="M6210" t="s">
        <v>10630</v>
      </c>
      <c r="N6210" t="s">
        <v>1525</v>
      </c>
      <c r="O6210" t="s">
        <v>1526</v>
      </c>
      <c r="R6210" t="s">
        <v>57</v>
      </c>
      <c r="S6210">
        <v>15</v>
      </c>
      <c r="T6210">
        <v>184</v>
      </c>
      <c r="U6210" s="1">
        <v>34941</v>
      </c>
      <c r="V6210" t="s">
        <v>80</v>
      </c>
      <c r="W6210" t="s">
        <v>81</v>
      </c>
      <c r="X6210" t="s">
        <v>58</v>
      </c>
      <c r="Y6210">
        <v>25</v>
      </c>
      <c r="Z6210" t="s">
        <v>59</v>
      </c>
      <c r="AA6210" t="s">
        <v>59</v>
      </c>
      <c r="AB6210" t="s">
        <v>59</v>
      </c>
      <c r="AC6210" t="s">
        <v>59</v>
      </c>
      <c r="AD6210" t="s">
        <v>59</v>
      </c>
      <c r="AF6210" s="1">
        <v>34943</v>
      </c>
      <c r="AG6210" t="s">
        <v>8651</v>
      </c>
      <c r="AH6210" t="s">
        <v>8652</v>
      </c>
      <c r="AI6210" t="str">
        <f>"9170101"</f>
        <v>9170101</v>
      </c>
      <c r="AJ6210" t="s">
        <v>8753</v>
      </c>
      <c r="AK6210">
        <v>2810238392</v>
      </c>
      <c r="AL6210" t="s">
        <v>8754</v>
      </c>
      <c r="AM6210" t="s">
        <v>78</v>
      </c>
      <c r="AN6210" t="s">
        <v>78</v>
      </c>
      <c r="AO6210" t="s">
        <v>78</v>
      </c>
      <c r="AP6210" t="s">
        <v>163</v>
      </c>
      <c r="AQ6210">
        <v>1</v>
      </c>
      <c r="AR6210" t="s">
        <v>80</v>
      </c>
      <c r="AS6210" t="s">
        <v>81</v>
      </c>
      <c r="AT6210" t="s">
        <v>58</v>
      </c>
      <c r="AU6210" t="s">
        <v>68</v>
      </c>
      <c r="AV6210" t="s">
        <v>69</v>
      </c>
      <c r="AW6210" s="1">
        <v>21388</v>
      </c>
      <c r="AX6210">
        <v>1</v>
      </c>
    </row>
    <row r="6211" spans="1:50">
      <c r="A6211">
        <v>582236</v>
      </c>
      <c r="B6211" t="str">
        <f>"052473427"</f>
        <v>052473427</v>
      </c>
      <c r="C6211" t="s">
        <v>50</v>
      </c>
      <c r="D6211" t="s">
        <v>10629</v>
      </c>
      <c r="E6211" t="s">
        <v>83</v>
      </c>
      <c r="F6211" t="s">
        <v>2002</v>
      </c>
      <c r="G6211" t="s">
        <v>699</v>
      </c>
      <c r="H6211" t="str">
        <f>"ΚΑΚΡΙΔΗ 11 ΗΡΑΚΛΕΙΟ"</f>
        <v>ΚΑΚΡΙΔΗ 11 ΗΡΑΚΛΕΙΟ</v>
      </c>
      <c r="I6211">
        <v>71409</v>
      </c>
      <c r="J6211">
        <v>2810324407</v>
      </c>
      <c r="K6211">
        <v>6974663629</v>
      </c>
      <c r="M6211" t="s">
        <v>10631</v>
      </c>
      <c r="N6211" t="s">
        <v>615</v>
      </c>
      <c r="O6211" t="s">
        <v>616</v>
      </c>
      <c r="R6211" t="s">
        <v>57</v>
      </c>
      <c r="S6211">
        <v>12</v>
      </c>
      <c r="T6211">
        <v>179</v>
      </c>
      <c r="U6211" s="1">
        <v>35674</v>
      </c>
      <c r="V6211" t="s">
        <v>80</v>
      </c>
      <c r="W6211" t="s">
        <v>81</v>
      </c>
      <c r="X6211" t="s">
        <v>58</v>
      </c>
      <c r="Y6211">
        <v>21</v>
      </c>
      <c r="Z6211" t="s">
        <v>59</v>
      </c>
      <c r="AA6211" t="s">
        <v>59</v>
      </c>
      <c r="AB6211" t="s">
        <v>59</v>
      </c>
      <c r="AC6211" t="s">
        <v>59</v>
      </c>
      <c r="AD6211" t="s">
        <v>59</v>
      </c>
      <c r="AF6211" s="1">
        <v>35678</v>
      </c>
      <c r="AG6211" t="s">
        <v>8645</v>
      </c>
      <c r="AH6211" t="s">
        <v>8646</v>
      </c>
      <c r="AI6211" t="str">
        <f>"9170343"</f>
        <v>9170343</v>
      </c>
      <c r="AJ6211" t="s">
        <v>8743</v>
      </c>
      <c r="AK6211">
        <v>2810283970</v>
      </c>
      <c r="AL6211" t="s">
        <v>8744</v>
      </c>
      <c r="AM6211" t="s">
        <v>78</v>
      </c>
      <c r="AN6211" t="s">
        <v>78</v>
      </c>
      <c r="AO6211" t="s">
        <v>78</v>
      </c>
      <c r="AP6211" t="s">
        <v>79</v>
      </c>
      <c r="AQ6211">
        <v>1</v>
      </c>
      <c r="AR6211" t="s">
        <v>80</v>
      </c>
      <c r="AS6211" t="s">
        <v>81</v>
      </c>
      <c r="AT6211" t="s">
        <v>58</v>
      </c>
      <c r="AU6211" t="s">
        <v>68</v>
      </c>
      <c r="AV6211" t="s">
        <v>69</v>
      </c>
      <c r="AW6211" s="1">
        <v>24083</v>
      </c>
      <c r="AX6211">
        <v>1</v>
      </c>
    </row>
    <row r="6212" spans="1:50">
      <c r="B6212" t="str">
        <f>"140075843"</f>
        <v>140075843</v>
      </c>
      <c r="C6212" t="s">
        <v>50</v>
      </c>
      <c r="D6212" t="s">
        <v>10632</v>
      </c>
      <c r="E6212" t="s">
        <v>83</v>
      </c>
      <c r="F6212" t="s">
        <v>10633</v>
      </c>
      <c r="G6212" t="s">
        <v>10634</v>
      </c>
      <c r="H6212" t="str">
        <f>"ΔΟΙΡΑΝΗΣ 8 "</f>
        <v xml:space="preserve">ΔΟΙΡΑΝΗΣ 8 </v>
      </c>
      <c r="I6212">
        <v>50100</v>
      </c>
      <c r="J6212">
        <v>2461041836</v>
      </c>
      <c r="K6212">
        <v>6982507340</v>
      </c>
      <c r="N6212" t="s">
        <v>615</v>
      </c>
      <c r="O6212" t="s">
        <v>616</v>
      </c>
      <c r="R6212" t="s">
        <v>159</v>
      </c>
      <c r="S6212">
        <v>3</v>
      </c>
      <c r="T6212" t="s">
        <v>8675</v>
      </c>
      <c r="U6212" s="1">
        <v>43348</v>
      </c>
      <c r="V6212" t="s">
        <v>80</v>
      </c>
      <c r="W6212" t="s">
        <v>81</v>
      </c>
      <c r="X6212" t="s">
        <v>58</v>
      </c>
      <c r="Y6212">
        <v>24</v>
      </c>
      <c r="Z6212" t="s">
        <v>59</v>
      </c>
      <c r="AA6212" t="s">
        <v>59</v>
      </c>
      <c r="AB6212" t="s">
        <v>59</v>
      </c>
      <c r="AC6212" t="s">
        <v>59</v>
      </c>
      <c r="AD6212" t="s">
        <v>59</v>
      </c>
      <c r="AF6212" s="1">
        <v>43348</v>
      </c>
      <c r="AG6212" t="s">
        <v>8645</v>
      </c>
      <c r="AH6212" t="s">
        <v>8646</v>
      </c>
      <c r="AI6212" t="str">
        <f>"9170520"</f>
        <v>9170520</v>
      </c>
      <c r="AJ6212" t="s">
        <v>8738</v>
      </c>
      <c r="AK6212">
        <v>2810281317</v>
      </c>
      <c r="AL6212" t="s">
        <v>8739</v>
      </c>
      <c r="AM6212" t="s">
        <v>78</v>
      </c>
      <c r="AN6212" t="s">
        <v>78</v>
      </c>
      <c r="AO6212" t="s">
        <v>286</v>
      </c>
      <c r="AP6212" t="s">
        <v>286</v>
      </c>
      <c r="AQ6212">
        <v>1</v>
      </c>
      <c r="AR6212" t="s">
        <v>80</v>
      </c>
      <c r="AS6212" t="s">
        <v>81</v>
      </c>
      <c r="AT6212" t="s">
        <v>58</v>
      </c>
      <c r="AU6212" t="s">
        <v>8673</v>
      </c>
      <c r="AV6212" t="s">
        <v>132</v>
      </c>
      <c r="AW6212" s="1">
        <v>31916</v>
      </c>
      <c r="AX6212">
        <v>1</v>
      </c>
    </row>
    <row r="6213" spans="1:50">
      <c r="B6213" t="str">
        <f>"132988539"</f>
        <v>132988539</v>
      </c>
      <c r="C6213" t="s">
        <v>50</v>
      </c>
      <c r="D6213" t="s">
        <v>10635</v>
      </c>
      <c r="E6213" t="s">
        <v>476</v>
      </c>
      <c r="F6213" t="s">
        <v>84</v>
      </c>
      <c r="G6213" t="s">
        <v>255</v>
      </c>
      <c r="H6213" t="str">
        <f>"ΝΕΑΡΧΟΥ ΚΟΚΚΑΡΑΚΗ 12 "</f>
        <v xml:space="preserve">ΝΕΑΡΧΟΥ ΚΟΚΚΑΡΑΚΗ 12 </v>
      </c>
      <c r="I6213">
        <v>71306</v>
      </c>
      <c r="J6213">
        <v>2810253315</v>
      </c>
      <c r="K6213">
        <v>6932460403</v>
      </c>
      <c r="N6213" t="s">
        <v>1525</v>
      </c>
      <c r="O6213" t="s">
        <v>1526</v>
      </c>
      <c r="R6213" t="s">
        <v>159</v>
      </c>
      <c r="S6213">
        <v>5</v>
      </c>
      <c r="T6213" t="s">
        <v>8670</v>
      </c>
      <c r="U6213" s="1">
        <v>43348</v>
      </c>
      <c r="V6213" t="s">
        <v>80</v>
      </c>
      <c r="W6213" t="s">
        <v>81</v>
      </c>
      <c r="X6213" t="s">
        <v>58</v>
      </c>
      <c r="Y6213">
        <v>25</v>
      </c>
      <c r="Z6213" t="s">
        <v>59</v>
      </c>
      <c r="AA6213" t="s">
        <v>59</v>
      </c>
      <c r="AB6213" t="s">
        <v>59</v>
      </c>
      <c r="AC6213" t="s">
        <v>59</v>
      </c>
      <c r="AD6213" t="s">
        <v>59</v>
      </c>
      <c r="AF6213" s="1">
        <v>43348</v>
      </c>
      <c r="AG6213" t="s">
        <v>8651</v>
      </c>
      <c r="AH6213" t="s">
        <v>8652</v>
      </c>
      <c r="AI6213" t="str">
        <f>"9170541"</f>
        <v>9170541</v>
      </c>
      <c r="AJ6213" t="s">
        <v>9682</v>
      </c>
      <c r="AK6213">
        <v>2810333698</v>
      </c>
      <c r="AL6213" t="s">
        <v>9683</v>
      </c>
      <c r="AM6213" t="s">
        <v>78</v>
      </c>
      <c r="AN6213" t="s">
        <v>78</v>
      </c>
      <c r="AO6213" t="s">
        <v>286</v>
      </c>
      <c r="AP6213" t="s">
        <v>9046</v>
      </c>
      <c r="AQ6213">
        <v>1</v>
      </c>
      <c r="AR6213" t="s">
        <v>80</v>
      </c>
      <c r="AS6213" t="s">
        <v>81</v>
      </c>
      <c r="AT6213" t="s">
        <v>58</v>
      </c>
      <c r="AU6213" t="s">
        <v>8673</v>
      </c>
      <c r="AV6213" t="s">
        <v>132</v>
      </c>
      <c r="AW6213" s="1">
        <v>30112</v>
      </c>
      <c r="AX6213">
        <v>1</v>
      </c>
    </row>
    <row r="6214" spans="1:50">
      <c r="A6214">
        <v>599067</v>
      </c>
      <c r="B6214" t="str">
        <f>"079297556"</f>
        <v>079297556</v>
      </c>
      <c r="C6214" t="s">
        <v>50</v>
      </c>
      <c r="D6214" t="s">
        <v>10635</v>
      </c>
      <c r="E6214" t="s">
        <v>83</v>
      </c>
      <c r="F6214" t="s">
        <v>53</v>
      </c>
      <c r="G6214" t="s">
        <v>250</v>
      </c>
      <c r="H6214" t="str">
        <f>"ΜΙΝΩΟΣ 26 ΗΡΑΚΛΕΙΟ"</f>
        <v>ΜΙΝΩΟΣ 26 ΗΡΑΚΛΕΙΟ</v>
      </c>
      <c r="I6214">
        <v>71303</v>
      </c>
      <c r="J6214">
        <v>2810255560</v>
      </c>
      <c r="K6214">
        <v>6974506772</v>
      </c>
      <c r="N6214" t="s">
        <v>615</v>
      </c>
      <c r="O6214" t="s">
        <v>616</v>
      </c>
      <c r="R6214" t="s">
        <v>57</v>
      </c>
      <c r="S6214">
        <v>8</v>
      </c>
      <c r="T6214">
        <v>195</v>
      </c>
      <c r="U6214" s="1">
        <v>37497</v>
      </c>
      <c r="V6214" t="s">
        <v>80</v>
      </c>
      <c r="W6214" t="s">
        <v>81</v>
      </c>
      <c r="X6214" t="s">
        <v>58</v>
      </c>
      <c r="Y6214">
        <v>22</v>
      </c>
      <c r="Z6214" t="s">
        <v>59</v>
      </c>
      <c r="AA6214" t="s">
        <v>59</v>
      </c>
      <c r="AB6214" t="s">
        <v>59</v>
      </c>
      <c r="AC6214" t="s">
        <v>59</v>
      </c>
      <c r="AD6214" t="s">
        <v>59</v>
      </c>
      <c r="AF6214" s="1">
        <v>37504</v>
      </c>
      <c r="AG6214" t="s">
        <v>8645</v>
      </c>
      <c r="AH6214" t="s">
        <v>8646</v>
      </c>
      <c r="AI6214" t="str">
        <f>"9170055"</f>
        <v>9170055</v>
      </c>
      <c r="AJ6214" t="s">
        <v>8836</v>
      </c>
      <c r="AK6214">
        <v>2810255097</v>
      </c>
      <c r="AL6214" t="s">
        <v>8837</v>
      </c>
      <c r="AM6214" t="s">
        <v>78</v>
      </c>
      <c r="AN6214" t="s">
        <v>78</v>
      </c>
      <c r="AO6214" t="s">
        <v>78</v>
      </c>
      <c r="AP6214" t="s">
        <v>141</v>
      </c>
      <c r="AQ6214">
        <v>1</v>
      </c>
      <c r="AR6214" t="s">
        <v>80</v>
      </c>
      <c r="AS6214" t="s">
        <v>81</v>
      </c>
      <c r="AT6214" t="s">
        <v>58</v>
      </c>
      <c r="AU6214" t="s">
        <v>68</v>
      </c>
      <c r="AV6214" t="s">
        <v>69</v>
      </c>
      <c r="AW6214" s="1">
        <v>25230</v>
      </c>
      <c r="AX6214">
        <v>1</v>
      </c>
    </row>
    <row r="6215" spans="1:50">
      <c r="A6215">
        <v>595642</v>
      </c>
      <c r="B6215" t="str">
        <f>"079229812"</f>
        <v>079229812</v>
      </c>
      <c r="C6215" t="s">
        <v>50</v>
      </c>
      <c r="D6215" t="s">
        <v>10635</v>
      </c>
      <c r="E6215" t="s">
        <v>671</v>
      </c>
      <c r="F6215" t="s">
        <v>166</v>
      </c>
      <c r="G6215" t="s">
        <v>52</v>
      </c>
      <c r="H6215" t="str">
        <f>"ΣΤΑΜΑΘΙΟΥΔΑΚΗ 51 ΑΡΓΥΡΟΥΠΟΛΗ ΡΕΘΥΜΝΟΥ"</f>
        <v>ΣΤΑΜΑΘΙΟΥΔΑΚΗ 51 ΑΡΓΥΡΟΥΠΟΛΗ ΡΕΘΥΜΝΟΥ</v>
      </c>
      <c r="I6215">
        <v>74055</v>
      </c>
      <c r="K6215">
        <v>6977377955</v>
      </c>
      <c r="N6215" t="s">
        <v>1525</v>
      </c>
      <c r="O6215" t="s">
        <v>1526</v>
      </c>
      <c r="R6215" t="s">
        <v>57</v>
      </c>
      <c r="S6215">
        <v>10</v>
      </c>
      <c r="T6215">
        <v>218</v>
      </c>
      <c r="U6215" s="1">
        <v>37134</v>
      </c>
      <c r="V6215" t="s">
        <v>80</v>
      </c>
      <c r="W6215" t="s">
        <v>81</v>
      </c>
      <c r="X6215" t="s">
        <v>58</v>
      </c>
      <c r="Y6215">
        <v>25</v>
      </c>
      <c r="Z6215" t="s">
        <v>59</v>
      </c>
      <c r="AA6215" t="s">
        <v>59</v>
      </c>
      <c r="AB6215" t="s">
        <v>59</v>
      </c>
      <c r="AC6215" t="s">
        <v>59</v>
      </c>
      <c r="AD6215" t="s">
        <v>59</v>
      </c>
      <c r="AF6215" s="1">
        <v>37140</v>
      </c>
      <c r="AG6215" t="s">
        <v>8651</v>
      </c>
      <c r="AH6215" t="s">
        <v>8652</v>
      </c>
      <c r="AI6215" t="str">
        <f>"9170051"</f>
        <v>9170051</v>
      </c>
      <c r="AJ6215" t="s">
        <v>9679</v>
      </c>
      <c r="AK6215">
        <v>2810262913</v>
      </c>
      <c r="AL6215" t="s">
        <v>9680</v>
      </c>
      <c r="AM6215" t="s">
        <v>78</v>
      </c>
      <c r="AN6215" t="s">
        <v>78</v>
      </c>
      <c r="AO6215" t="s">
        <v>78</v>
      </c>
      <c r="AP6215" t="s">
        <v>141</v>
      </c>
      <c r="AQ6215">
        <v>1</v>
      </c>
      <c r="AR6215" t="s">
        <v>80</v>
      </c>
      <c r="AS6215" t="s">
        <v>81</v>
      </c>
      <c r="AT6215" t="s">
        <v>58</v>
      </c>
      <c r="AU6215" t="s">
        <v>68</v>
      </c>
      <c r="AV6215" t="s">
        <v>69</v>
      </c>
      <c r="AW6215" s="1">
        <v>27133</v>
      </c>
      <c r="AX6215">
        <v>1</v>
      </c>
    </row>
    <row r="6216" spans="1:50">
      <c r="B6216" t="str">
        <f>"131496129"</f>
        <v>131496129</v>
      </c>
      <c r="C6216" t="s">
        <v>50</v>
      </c>
      <c r="D6216" t="s">
        <v>10635</v>
      </c>
      <c r="E6216" t="s">
        <v>1896</v>
      </c>
      <c r="F6216" t="s">
        <v>2847</v>
      </c>
      <c r="G6216" t="s">
        <v>801</v>
      </c>
      <c r="H6216" t="str">
        <f>"ΑΤΡΕΙΔΩΝ 13 "</f>
        <v xml:space="preserve">ΑΤΡΕΙΔΩΝ 13 </v>
      </c>
      <c r="I6216">
        <v>71305</v>
      </c>
      <c r="J6216">
        <v>2815000195</v>
      </c>
      <c r="K6216">
        <v>6977233363</v>
      </c>
      <c r="N6216" t="s">
        <v>1525</v>
      </c>
      <c r="O6216" t="s">
        <v>1526</v>
      </c>
      <c r="R6216" t="s">
        <v>159</v>
      </c>
      <c r="S6216">
        <v>3</v>
      </c>
      <c r="T6216" t="s">
        <v>8670</v>
      </c>
      <c r="U6216" s="1">
        <v>43348</v>
      </c>
      <c r="V6216" t="s">
        <v>80</v>
      </c>
      <c r="W6216" t="s">
        <v>81</v>
      </c>
      <c r="X6216" t="s">
        <v>58</v>
      </c>
      <c r="Y6216">
        <v>25</v>
      </c>
      <c r="Z6216" t="s">
        <v>59</v>
      </c>
      <c r="AA6216" t="s">
        <v>59</v>
      </c>
      <c r="AB6216" t="s">
        <v>59</v>
      </c>
      <c r="AC6216" t="s">
        <v>59</v>
      </c>
      <c r="AD6216" t="s">
        <v>59</v>
      </c>
      <c r="AF6216" s="1">
        <v>43348</v>
      </c>
      <c r="AG6216" t="s">
        <v>8651</v>
      </c>
      <c r="AH6216" t="s">
        <v>8652</v>
      </c>
      <c r="AI6216" t="str">
        <f>"9170399"</f>
        <v>9170399</v>
      </c>
      <c r="AJ6216" t="s">
        <v>9401</v>
      </c>
      <c r="AK6216">
        <v>2892031806</v>
      </c>
      <c r="AL6216" t="s">
        <v>9402</v>
      </c>
      <c r="AM6216" t="s">
        <v>78</v>
      </c>
      <c r="AN6216" t="s">
        <v>405</v>
      </c>
      <c r="AO6216" t="s">
        <v>405</v>
      </c>
      <c r="AP6216" t="s">
        <v>464</v>
      </c>
      <c r="AQ6216">
        <v>17</v>
      </c>
      <c r="AR6216" t="s">
        <v>80</v>
      </c>
      <c r="AS6216" t="s">
        <v>81</v>
      </c>
      <c r="AT6216" t="s">
        <v>58</v>
      </c>
      <c r="AU6216" t="s">
        <v>8673</v>
      </c>
      <c r="AV6216" t="s">
        <v>132</v>
      </c>
      <c r="AW6216" s="1">
        <v>30682</v>
      </c>
      <c r="AX6216">
        <v>1</v>
      </c>
    </row>
    <row r="6217" spans="1:50">
      <c r="B6217" t="str">
        <f>"137211533"</f>
        <v>137211533</v>
      </c>
      <c r="C6217" t="s">
        <v>50</v>
      </c>
      <c r="D6217" t="s">
        <v>2654</v>
      </c>
      <c r="E6217" t="s">
        <v>727</v>
      </c>
      <c r="F6217" t="s">
        <v>670</v>
      </c>
      <c r="H6217" t="str">
        <f>" "</f>
        <v xml:space="preserve"> </v>
      </c>
      <c r="N6217" t="s">
        <v>1525</v>
      </c>
      <c r="O6217" t="s">
        <v>1526</v>
      </c>
      <c r="R6217" t="s">
        <v>159</v>
      </c>
      <c r="S6217">
        <v>2</v>
      </c>
      <c r="T6217" t="s">
        <v>8670</v>
      </c>
      <c r="U6217" s="1">
        <v>43348</v>
      </c>
      <c r="V6217" t="s">
        <v>80</v>
      </c>
      <c r="W6217" t="s">
        <v>81</v>
      </c>
      <c r="X6217" t="s">
        <v>58</v>
      </c>
      <c r="Y6217">
        <v>25</v>
      </c>
      <c r="Z6217" t="s">
        <v>59</v>
      </c>
      <c r="AA6217" t="s">
        <v>59</v>
      </c>
      <c r="AB6217" t="s">
        <v>59</v>
      </c>
      <c r="AC6217" t="s">
        <v>59</v>
      </c>
      <c r="AD6217" t="s">
        <v>59</v>
      </c>
      <c r="AF6217" s="1">
        <v>43348</v>
      </c>
      <c r="AG6217" t="s">
        <v>8651</v>
      </c>
      <c r="AH6217" t="s">
        <v>8652</v>
      </c>
      <c r="AI6217" t="str">
        <f>"9170439"</f>
        <v>9170439</v>
      </c>
      <c r="AJ6217" t="s">
        <v>9260</v>
      </c>
      <c r="AK6217">
        <v>2895071251</v>
      </c>
      <c r="AL6217" t="s">
        <v>9261</v>
      </c>
      <c r="AM6217" t="s">
        <v>78</v>
      </c>
      <c r="AN6217" t="s">
        <v>482</v>
      </c>
      <c r="AO6217" t="s">
        <v>482</v>
      </c>
      <c r="AP6217" t="s">
        <v>9002</v>
      </c>
      <c r="AQ6217">
        <v>14</v>
      </c>
      <c r="AR6217" t="s">
        <v>80</v>
      </c>
      <c r="AS6217" t="s">
        <v>81</v>
      </c>
      <c r="AT6217" t="s">
        <v>58</v>
      </c>
      <c r="AU6217" t="s">
        <v>8673</v>
      </c>
      <c r="AV6217" t="s">
        <v>132</v>
      </c>
      <c r="AW6217" s="1">
        <v>30359</v>
      </c>
      <c r="AX6217">
        <v>1</v>
      </c>
    </row>
    <row r="6218" spans="1:50">
      <c r="A6218">
        <v>618278</v>
      </c>
      <c r="B6218" t="str">
        <f>"143656631"</f>
        <v>143656631</v>
      </c>
      <c r="C6218" t="s">
        <v>50</v>
      </c>
      <c r="D6218" t="s">
        <v>2654</v>
      </c>
      <c r="E6218" t="s">
        <v>905</v>
      </c>
      <c r="F6218" t="s">
        <v>99</v>
      </c>
      <c r="G6218" t="s">
        <v>52</v>
      </c>
      <c r="H6218" t="str">
        <f>"ΜΕΣΟΧΩΡΙΟ ΜΟΝΟΦΑΤΣΙΟΥ ΗΡΑΚΛΕΙΟ"</f>
        <v>ΜΕΣΟΧΩΡΙΟ ΜΟΝΟΦΑΤΣΙΟΥ ΗΡΑΚΛΕΙΟ</v>
      </c>
      <c r="I6218">
        <v>70010</v>
      </c>
      <c r="J6218">
        <v>2893023463</v>
      </c>
      <c r="K6218">
        <v>6936732694</v>
      </c>
      <c r="N6218" t="s">
        <v>615</v>
      </c>
      <c r="O6218" t="s">
        <v>616</v>
      </c>
      <c r="R6218" t="s">
        <v>57</v>
      </c>
      <c r="S6218">
        <v>5</v>
      </c>
      <c r="T6218">
        <v>774</v>
      </c>
      <c r="U6218" s="1">
        <v>39680</v>
      </c>
      <c r="V6218" t="s">
        <v>80</v>
      </c>
      <c r="W6218" t="s">
        <v>81</v>
      </c>
      <c r="X6218" t="s">
        <v>58</v>
      </c>
      <c r="Y6218">
        <v>23</v>
      </c>
      <c r="Z6218" t="s">
        <v>59</v>
      </c>
      <c r="AA6218" t="s">
        <v>59</v>
      </c>
      <c r="AB6218" t="s">
        <v>59</v>
      </c>
      <c r="AC6218" t="s">
        <v>59</v>
      </c>
      <c r="AD6218" t="s">
        <v>59</v>
      </c>
      <c r="AF6218" s="1">
        <v>39681</v>
      </c>
      <c r="AG6218" t="s">
        <v>8645</v>
      </c>
      <c r="AH6218" t="s">
        <v>8646</v>
      </c>
      <c r="AI6218" t="str">
        <f>"9170263"</f>
        <v>9170263</v>
      </c>
      <c r="AJ6218" t="s">
        <v>8942</v>
      </c>
      <c r="AK6218">
        <v>2810346939</v>
      </c>
      <c r="AL6218" t="s">
        <v>8943</v>
      </c>
      <c r="AM6218" t="s">
        <v>78</v>
      </c>
      <c r="AN6218" t="s">
        <v>78</v>
      </c>
      <c r="AO6218" t="s">
        <v>286</v>
      </c>
      <c r="AP6218" t="s">
        <v>286</v>
      </c>
      <c r="AQ6218">
        <v>1</v>
      </c>
      <c r="AR6218" t="s">
        <v>80</v>
      </c>
      <c r="AS6218" t="s">
        <v>81</v>
      </c>
      <c r="AT6218" t="s">
        <v>58</v>
      </c>
      <c r="AU6218" t="s">
        <v>68</v>
      </c>
      <c r="AV6218" t="s">
        <v>69</v>
      </c>
      <c r="AW6218" s="1">
        <v>30881</v>
      </c>
      <c r="AX6218">
        <v>1</v>
      </c>
    </row>
    <row r="6219" spans="1:50">
      <c r="A6219">
        <v>599071</v>
      </c>
      <c r="B6219" t="str">
        <f>"044812780"</f>
        <v>044812780</v>
      </c>
      <c r="C6219" t="s">
        <v>50</v>
      </c>
      <c r="D6219" t="s">
        <v>10636</v>
      </c>
      <c r="E6219" t="s">
        <v>52</v>
      </c>
      <c r="F6219" t="s">
        <v>3285</v>
      </c>
      <c r="G6219" t="s">
        <v>250</v>
      </c>
      <c r="H6219" t="str">
        <f>"ΑΛΕΞΑΝΔΡΟΥ ΣΟΥΤΣΟΥ 5 ΑΤΣΑΛΕΝΙΟ - ΗΡΑΚΛΕΙΟ"</f>
        <v>ΑΛΕΞΑΝΔΡΟΥ ΣΟΥΤΣΟΥ 5 ΑΤΣΑΛΕΝΙΟ - ΗΡΑΚΛΕΙΟ</v>
      </c>
      <c r="I6219">
        <v>71306</v>
      </c>
      <c r="J6219">
        <v>2810233896</v>
      </c>
      <c r="K6219">
        <v>6978917732</v>
      </c>
      <c r="N6219" t="s">
        <v>615</v>
      </c>
      <c r="O6219" t="s">
        <v>616</v>
      </c>
      <c r="R6219" t="s">
        <v>57</v>
      </c>
      <c r="S6219">
        <v>9</v>
      </c>
      <c r="T6219">
        <v>195</v>
      </c>
      <c r="U6219" s="1">
        <v>37497</v>
      </c>
      <c r="V6219" t="s">
        <v>80</v>
      </c>
      <c r="W6219" t="s">
        <v>81</v>
      </c>
      <c r="X6219" t="s">
        <v>58</v>
      </c>
      <c r="Y6219">
        <v>22</v>
      </c>
      <c r="Z6219" t="s">
        <v>59</v>
      </c>
      <c r="AA6219" t="s">
        <v>59</v>
      </c>
      <c r="AB6219" t="s">
        <v>59</v>
      </c>
      <c r="AC6219" t="s">
        <v>59</v>
      </c>
      <c r="AD6219" t="s">
        <v>59</v>
      </c>
      <c r="AF6219" s="1">
        <v>37502</v>
      </c>
      <c r="AG6219" t="s">
        <v>8645</v>
      </c>
      <c r="AH6219" t="s">
        <v>8646</v>
      </c>
      <c r="AI6219" t="str">
        <f>"9170264"</f>
        <v>9170264</v>
      </c>
      <c r="AJ6219" t="s">
        <v>8718</v>
      </c>
      <c r="AK6219">
        <v>2810332030</v>
      </c>
      <c r="AL6219" t="s">
        <v>8719</v>
      </c>
      <c r="AM6219" t="s">
        <v>78</v>
      </c>
      <c r="AN6219" t="s">
        <v>78</v>
      </c>
      <c r="AO6219" t="s">
        <v>286</v>
      </c>
      <c r="AP6219" t="s">
        <v>286</v>
      </c>
      <c r="AQ6219">
        <v>1</v>
      </c>
      <c r="AR6219" t="s">
        <v>80</v>
      </c>
      <c r="AS6219" t="s">
        <v>81</v>
      </c>
      <c r="AT6219" t="s">
        <v>58</v>
      </c>
      <c r="AU6219" t="s">
        <v>68</v>
      </c>
      <c r="AV6219" t="s">
        <v>69</v>
      </c>
      <c r="AW6219" s="1">
        <v>24723</v>
      </c>
      <c r="AX6219">
        <v>1</v>
      </c>
    </row>
    <row r="6220" spans="1:50">
      <c r="A6220">
        <v>570519</v>
      </c>
      <c r="B6220" t="str">
        <f>"043092866"</f>
        <v>043092866</v>
      </c>
      <c r="C6220" t="s">
        <v>105</v>
      </c>
      <c r="D6220" t="s">
        <v>10637</v>
      </c>
      <c r="E6220" t="s">
        <v>5437</v>
      </c>
      <c r="F6220" t="s">
        <v>311</v>
      </c>
      <c r="G6220" t="s">
        <v>250</v>
      </c>
      <c r="H6220" t="str">
        <f>"ΑΛΕΞ.ΣΟΥΤΣΟΥ 5 ΗΡΑΚΛΕΙΟ"</f>
        <v>ΑΛΕΞ.ΣΟΥΤΣΟΥ 5 ΗΡΑΚΛΕΙΟ</v>
      </c>
      <c r="I6220">
        <v>71306</v>
      </c>
      <c r="J6220">
        <v>2810781653</v>
      </c>
      <c r="K6220">
        <v>6932045588</v>
      </c>
      <c r="M6220" t="s">
        <v>10638</v>
      </c>
      <c r="N6220" t="s">
        <v>615</v>
      </c>
      <c r="O6220" t="s">
        <v>616</v>
      </c>
      <c r="R6220" t="s">
        <v>57</v>
      </c>
      <c r="S6220">
        <v>13</v>
      </c>
      <c r="T6220">
        <v>138</v>
      </c>
      <c r="U6220" s="1">
        <v>34206</v>
      </c>
      <c r="V6220" t="s">
        <v>80</v>
      </c>
      <c r="W6220" t="s">
        <v>81</v>
      </c>
      <c r="X6220" t="s">
        <v>58</v>
      </c>
      <c r="Y6220">
        <v>21</v>
      </c>
      <c r="Z6220" t="s">
        <v>59</v>
      </c>
      <c r="AA6220" t="s">
        <v>59</v>
      </c>
      <c r="AB6220" t="s">
        <v>59</v>
      </c>
      <c r="AC6220" t="s">
        <v>59</v>
      </c>
      <c r="AD6220" t="s">
        <v>59</v>
      </c>
      <c r="AF6220" s="1">
        <v>34213</v>
      </c>
      <c r="AG6220" t="s">
        <v>8645</v>
      </c>
      <c r="AH6220" t="s">
        <v>8646</v>
      </c>
      <c r="AI6220" t="str">
        <f>"9170205"</f>
        <v>9170205</v>
      </c>
      <c r="AJ6220" t="s">
        <v>8794</v>
      </c>
      <c r="AK6220">
        <v>2810762030</v>
      </c>
      <c r="AL6220" t="s">
        <v>8795</v>
      </c>
      <c r="AM6220" t="s">
        <v>78</v>
      </c>
      <c r="AN6220" t="s">
        <v>219</v>
      </c>
      <c r="AO6220" t="s">
        <v>297</v>
      </c>
      <c r="AP6220" t="s">
        <v>8796</v>
      </c>
      <c r="AQ6220">
        <v>7</v>
      </c>
      <c r="AR6220" t="s">
        <v>80</v>
      </c>
      <c r="AS6220" t="s">
        <v>81</v>
      </c>
      <c r="AT6220" t="s">
        <v>58</v>
      </c>
      <c r="AU6220" t="s">
        <v>68</v>
      </c>
      <c r="AV6220" t="s">
        <v>69</v>
      </c>
      <c r="AW6220" s="1">
        <v>24197</v>
      </c>
      <c r="AX6220">
        <v>1</v>
      </c>
    </row>
    <row r="6221" spans="1:50">
      <c r="A6221">
        <v>611078</v>
      </c>
      <c r="B6221" t="str">
        <f>"110290490"</f>
        <v>110290490</v>
      </c>
      <c r="C6221" t="s">
        <v>50</v>
      </c>
      <c r="D6221" t="s">
        <v>10639</v>
      </c>
      <c r="E6221" t="s">
        <v>181</v>
      </c>
      <c r="F6221" t="s">
        <v>72</v>
      </c>
      <c r="G6221" t="s">
        <v>1207</v>
      </c>
      <c r="H6221" t="str">
        <f>" ΜΟΙΡΕΣ"</f>
        <v xml:space="preserve"> ΜΟΙΡΕΣ</v>
      </c>
      <c r="I6221">
        <v>70400</v>
      </c>
      <c r="J6221">
        <v>2842028630</v>
      </c>
      <c r="K6221">
        <v>6974452721</v>
      </c>
      <c r="N6221" t="s">
        <v>615</v>
      </c>
      <c r="O6221" t="s">
        <v>616</v>
      </c>
      <c r="R6221" t="s">
        <v>57</v>
      </c>
      <c r="S6221">
        <v>6</v>
      </c>
      <c r="T6221">
        <v>233</v>
      </c>
      <c r="U6221" s="1">
        <v>38960</v>
      </c>
      <c r="V6221" t="s">
        <v>80</v>
      </c>
      <c r="W6221" t="s">
        <v>81</v>
      </c>
      <c r="X6221" t="s">
        <v>58</v>
      </c>
      <c r="Y6221">
        <v>23</v>
      </c>
      <c r="Z6221" t="s">
        <v>59</v>
      </c>
      <c r="AA6221" t="s">
        <v>59</v>
      </c>
      <c r="AB6221" t="s">
        <v>59</v>
      </c>
      <c r="AC6221" t="s">
        <v>59</v>
      </c>
      <c r="AD6221" t="s">
        <v>59</v>
      </c>
      <c r="AF6221" s="1">
        <v>38961</v>
      </c>
      <c r="AG6221" t="s">
        <v>8645</v>
      </c>
      <c r="AH6221" t="s">
        <v>8646</v>
      </c>
      <c r="AI6221" t="str">
        <f>"9170295"</f>
        <v>9170295</v>
      </c>
      <c r="AJ6221" t="s">
        <v>9283</v>
      </c>
      <c r="AK6221">
        <v>2892042231</v>
      </c>
      <c r="AL6221" t="s">
        <v>9284</v>
      </c>
      <c r="AM6221" t="s">
        <v>78</v>
      </c>
      <c r="AN6221" t="s">
        <v>242</v>
      </c>
      <c r="AO6221" t="s">
        <v>243</v>
      </c>
      <c r="AP6221" t="s">
        <v>9285</v>
      </c>
      <c r="AQ6221">
        <v>18</v>
      </c>
      <c r="AR6221" t="s">
        <v>80</v>
      </c>
      <c r="AS6221" t="s">
        <v>81</v>
      </c>
      <c r="AT6221" t="s">
        <v>58</v>
      </c>
      <c r="AU6221" t="s">
        <v>68</v>
      </c>
      <c r="AV6221" t="s">
        <v>69</v>
      </c>
      <c r="AW6221" s="1">
        <v>30397</v>
      </c>
      <c r="AX6221">
        <v>1</v>
      </c>
    </row>
    <row r="6222" spans="1:50">
      <c r="A6222">
        <v>607846</v>
      </c>
      <c r="B6222" t="str">
        <f>"054100434"</f>
        <v>054100434</v>
      </c>
      <c r="C6222" t="s">
        <v>105</v>
      </c>
      <c r="D6222" t="s">
        <v>10640</v>
      </c>
      <c r="E6222" t="s">
        <v>166</v>
      </c>
      <c r="F6222" t="s">
        <v>10641</v>
      </c>
      <c r="G6222" t="s">
        <v>188</v>
      </c>
      <c r="H6222" t="str">
        <f>"ΣΗΦΑΚΗ ΜΙΧ. 20 ΗΡΑΚΛΕΙΟ"</f>
        <v>ΣΗΦΑΚΗ ΜΙΧ. 20 ΗΡΑΚΛΕΙΟ</v>
      </c>
      <c r="I6222">
        <v>71409</v>
      </c>
      <c r="K6222">
        <v>6937022882</v>
      </c>
      <c r="N6222" t="s">
        <v>615</v>
      </c>
      <c r="O6222" t="s">
        <v>616</v>
      </c>
      <c r="R6222" t="s">
        <v>57</v>
      </c>
      <c r="S6222">
        <v>9</v>
      </c>
      <c r="T6222" t="s">
        <v>9361</v>
      </c>
      <c r="U6222" s="1">
        <v>38602</v>
      </c>
      <c r="V6222" t="s">
        <v>80</v>
      </c>
      <c r="W6222" t="s">
        <v>81</v>
      </c>
      <c r="X6222" t="s">
        <v>58</v>
      </c>
      <c r="Y6222">
        <v>23</v>
      </c>
      <c r="Z6222" t="s">
        <v>59</v>
      </c>
      <c r="AA6222" t="s">
        <v>59</v>
      </c>
      <c r="AB6222" t="s">
        <v>59</v>
      </c>
      <c r="AC6222" t="s">
        <v>59</v>
      </c>
      <c r="AD6222" t="s">
        <v>59</v>
      </c>
      <c r="AF6222" s="1">
        <v>38602</v>
      </c>
      <c r="AG6222" t="s">
        <v>8645</v>
      </c>
      <c r="AH6222" t="s">
        <v>8646</v>
      </c>
      <c r="AI6222" t="str">
        <f>"9170534"</f>
        <v>9170534</v>
      </c>
      <c r="AJ6222" t="s">
        <v>8701</v>
      </c>
      <c r="AK6222">
        <v>2810323225</v>
      </c>
      <c r="AL6222" t="s">
        <v>8702</v>
      </c>
      <c r="AM6222" t="s">
        <v>78</v>
      </c>
      <c r="AN6222" t="s">
        <v>78</v>
      </c>
      <c r="AO6222" t="s">
        <v>78</v>
      </c>
      <c r="AP6222" t="s">
        <v>163</v>
      </c>
      <c r="AQ6222">
        <v>1</v>
      </c>
      <c r="AR6222" t="s">
        <v>80</v>
      </c>
      <c r="AS6222" t="s">
        <v>81</v>
      </c>
      <c r="AT6222" t="s">
        <v>58</v>
      </c>
      <c r="AU6222" t="s">
        <v>68</v>
      </c>
      <c r="AV6222" t="s">
        <v>69</v>
      </c>
      <c r="AW6222" s="1">
        <v>24571</v>
      </c>
      <c r="AX6222">
        <v>1</v>
      </c>
    </row>
    <row r="6223" spans="1:50">
      <c r="A6223">
        <v>622009</v>
      </c>
      <c r="B6223" t="str">
        <f>"145056436"</f>
        <v>145056436</v>
      </c>
      <c r="C6223" t="s">
        <v>50</v>
      </c>
      <c r="D6223" t="s">
        <v>10642</v>
      </c>
      <c r="E6223" t="s">
        <v>10643</v>
      </c>
      <c r="F6223" t="s">
        <v>670</v>
      </c>
      <c r="G6223" t="s">
        <v>191</v>
      </c>
      <c r="H6223" t="str">
        <f>"ΑΝΔΡΕΑ ΠΑΠΑΝΔΡΕΟΥ 79 ΙΕΡΑΠΕΤΡΑ"</f>
        <v>ΑΝΔΡΕΑ ΠΑΠΑΝΔΡΕΟΥ 79 ΙΕΡΑΠΕΤΡΑ</v>
      </c>
      <c r="I6223">
        <v>72200</v>
      </c>
      <c r="J6223">
        <v>2331064047</v>
      </c>
      <c r="K6223">
        <v>6974487679</v>
      </c>
      <c r="L6223">
        <v>2842025232</v>
      </c>
      <c r="M6223" t="s">
        <v>10644</v>
      </c>
      <c r="N6223" t="s">
        <v>615</v>
      </c>
      <c r="O6223" t="s">
        <v>616</v>
      </c>
      <c r="R6223" t="s">
        <v>57</v>
      </c>
      <c r="S6223">
        <v>5</v>
      </c>
      <c r="T6223">
        <v>653</v>
      </c>
      <c r="U6223" s="1">
        <v>40043</v>
      </c>
      <c r="V6223" t="s">
        <v>80</v>
      </c>
      <c r="W6223" t="s">
        <v>81</v>
      </c>
      <c r="X6223" t="s">
        <v>58</v>
      </c>
      <c r="Y6223">
        <v>23</v>
      </c>
      <c r="Z6223" t="s">
        <v>59</v>
      </c>
      <c r="AA6223" t="s">
        <v>59</v>
      </c>
      <c r="AB6223" t="s">
        <v>59</v>
      </c>
      <c r="AC6223" t="s">
        <v>59</v>
      </c>
      <c r="AD6223" t="s">
        <v>59</v>
      </c>
      <c r="AF6223" s="1">
        <v>40044</v>
      </c>
      <c r="AG6223" t="s">
        <v>8645</v>
      </c>
      <c r="AH6223" t="s">
        <v>8646</v>
      </c>
      <c r="AI6223" t="str">
        <f>"9170020"</f>
        <v>9170020</v>
      </c>
      <c r="AJ6223" t="s">
        <v>9244</v>
      </c>
      <c r="AK6223">
        <v>2810821476</v>
      </c>
      <c r="AL6223" t="s">
        <v>9245</v>
      </c>
      <c r="AM6223" t="s">
        <v>78</v>
      </c>
      <c r="AN6223" t="s">
        <v>129</v>
      </c>
      <c r="AO6223" t="s">
        <v>130</v>
      </c>
      <c r="AP6223" t="s">
        <v>9246</v>
      </c>
      <c r="AQ6223">
        <v>2</v>
      </c>
      <c r="AR6223" t="s">
        <v>80</v>
      </c>
      <c r="AS6223" t="s">
        <v>81</v>
      </c>
      <c r="AT6223" t="s">
        <v>58</v>
      </c>
      <c r="AU6223" t="s">
        <v>68</v>
      </c>
      <c r="AV6223" t="s">
        <v>69</v>
      </c>
      <c r="AW6223" s="1">
        <v>31497</v>
      </c>
      <c r="AX6223">
        <v>1</v>
      </c>
    </row>
    <row r="6224" spans="1:50">
      <c r="B6224" t="str">
        <f>"062274852"</f>
        <v>062274852</v>
      </c>
      <c r="C6224" t="s">
        <v>50</v>
      </c>
      <c r="D6224" t="s">
        <v>10645</v>
      </c>
      <c r="E6224" t="s">
        <v>215</v>
      </c>
      <c r="F6224" t="s">
        <v>166</v>
      </c>
      <c r="G6224" t="s">
        <v>188</v>
      </c>
      <c r="H6224" t="str">
        <f>"ΧΡΥΣΟΒΑΛΑΝΤΟΥ 40 ΗΡΑΚΛΕΙΟ"</f>
        <v>ΧΡΥΣΟΒΑΛΑΝΤΟΥ 40 ΗΡΑΚΛΕΙΟ</v>
      </c>
      <c r="I6224">
        <v>71410</v>
      </c>
      <c r="J6224">
        <v>2810238802</v>
      </c>
      <c r="K6224">
        <v>6972129775</v>
      </c>
      <c r="N6224" t="s">
        <v>615</v>
      </c>
      <c r="O6224" t="s">
        <v>616</v>
      </c>
      <c r="R6224" t="s">
        <v>159</v>
      </c>
      <c r="S6224">
        <v>4</v>
      </c>
      <c r="T6224" t="s">
        <v>8675</v>
      </c>
      <c r="U6224" s="1">
        <v>43348</v>
      </c>
      <c r="V6224" t="s">
        <v>80</v>
      </c>
      <c r="W6224" t="s">
        <v>81</v>
      </c>
      <c r="X6224" t="s">
        <v>58</v>
      </c>
      <c r="Y6224">
        <v>24</v>
      </c>
      <c r="Z6224" t="s">
        <v>59</v>
      </c>
      <c r="AA6224" t="s">
        <v>59</v>
      </c>
      <c r="AB6224" t="s">
        <v>59</v>
      </c>
      <c r="AC6224" t="s">
        <v>59</v>
      </c>
      <c r="AD6224" t="s">
        <v>59</v>
      </c>
      <c r="AF6224" s="1">
        <v>43348</v>
      </c>
      <c r="AG6224" t="s">
        <v>8645</v>
      </c>
      <c r="AH6224" t="s">
        <v>8646</v>
      </c>
      <c r="AI6224" t="str">
        <f>"9170495"</f>
        <v>9170495</v>
      </c>
      <c r="AJ6224" t="s">
        <v>8838</v>
      </c>
      <c r="AK6224">
        <v>2892023325</v>
      </c>
      <c r="AL6224" t="s">
        <v>8839</v>
      </c>
      <c r="AM6224" t="s">
        <v>78</v>
      </c>
      <c r="AN6224" t="s">
        <v>242</v>
      </c>
      <c r="AO6224" t="s">
        <v>243</v>
      </c>
      <c r="AP6224" t="s">
        <v>243</v>
      </c>
      <c r="AQ6224">
        <v>20</v>
      </c>
      <c r="AR6224" t="s">
        <v>80</v>
      </c>
      <c r="AS6224" t="s">
        <v>81</v>
      </c>
      <c r="AT6224" t="s">
        <v>58</v>
      </c>
      <c r="AU6224" t="s">
        <v>8673</v>
      </c>
      <c r="AV6224" t="s">
        <v>132</v>
      </c>
      <c r="AW6224" s="1">
        <v>32375</v>
      </c>
      <c r="AX6224">
        <v>1</v>
      </c>
    </row>
    <row r="6225" spans="1:50">
      <c r="A6225">
        <v>595353</v>
      </c>
      <c r="B6225" t="str">
        <f>"062401060"</f>
        <v>062401060</v>
      </c>
      <c r="C6225" t="s">
        <v>50</v>
      </c>
      <c r="D6225" t="s">
        <v>10645</v>
      </c>
      <c r="E6225" t="s">
        <v>52</v>
      </c>
      <c r="F6225" t="s">
        <v>10646</v>
      </c>
      <c r="G6225" t="s">
        <v>3249</v>
      </c>
      <c r="H6225" t="str">
        <f>"ΓΟΥΡΝΕΣ  ΓΟΥΡΝΕΣ ΗΡΑΚΛΕΙΟΥ"</f>
        <v>ΓΟΥΡΝΕΣ  ΓΟΥΡΝΕΣ ΗΡΑΚΛΕΙΟΥ</v>
      </c>
      <c r="J6225">
        <v>2810226269</v>
      </c>
      <c r="K6225">
        <v>6973576804</v>
      </c>
      <c r="N6225" t="s">
        <v>1525</v>
      </c>
      <c r="O6225" t="s">
        <v>1526</v>
      </c>
      <c r="R6225" t="s">
        <v>57</v>
      </c>
      <c r="S6225">
        <v>8</v>
      </c>
      <c r="T6225">
        <v>218</v>
      </c>
      <c r="U6225" s="1">
        <v>37134</v>
      </c>
      <c r="V6225" t="s">
        <v>80</v>
      </c>
      <c r="W6225" t="s">
        <v>81</v>
      </c>
      <c r="X6225" t="s">
        <v>58</v>
      </c>
      <c r="Y6225">
        <v>25</v>
      </c>
      <c r="Z6225" t="s">
        <v>59</v>
      </c>
      <c r="AA6225" t="s">
        <v>59</v>
      </c>
      <c r="AB6225" t="s">
        <v>59</v>
      </c>
      <c r="AC6225" t="s">
        <v>59</v>
      </c>
      <c r="AD6225" t="s">
        <v>59</v>
      </c>
      <c r="AF6225" s="1">
        <v>37137</v>
      </c>
      <c r="AG6225" t="s">
        <v>8651</v>
      </c>
      <c r="AH6225" t="s">
        <v>8652</v>
      </c>
      <c r="AI6225" t="str">
        <f>"9170603"</f>
        <v>9170603</v>
      </c>
      <c r="AJ6225" t="s">
        <v>10328</v>
      </c>
      <c r="AK6225">
        <v>2810542177</v>
      </c>
      <c r="AL6225" t="s">
        <v>10329</v>
      </c>
      <c r="AM6225" t="s">
        <v>78</v>
      </c>
      <c r="AN6225" t="s">
        <v>78</v>
      </c>
      <c r="AO6225" t="s">
        <v>78</v>
      </c>
      <c r="AP6225" t="s">
        <v>9053</v>
      </c>
      <c r="AQ6225">
        <v>1</v>
      </c>
      <c r="AR6225" t="s">
        <v>80</v>
      </c>
      <c r="AS6225" t="s">
        <v>81</v>
      </c>
      <c r="AT6225" t="s">
        <v>58</v>
      </c>
      <c r="AU6225" t="s">
        <v>68</v>
      </c>
      <c r="AV6225" t="s">
        <v>69</v>
      </c>
      <c r="AW6225" s="1">
        <v>26800</v>
      </c>
      <c r="AX6225">
        <v>1</v>
      </c>
    </row>
    <row r="6226" spans="1:50">
      <c r="A6226">
        <v>553483</v>
      </c>
      <c r="B6226" t="str">
        <f>"030416723"</f>
        <v>030416723</v>
      </c>
      <c r="C6226" t="s">
        <v>105</v>
      </c>
      <c r="D6226" t="s">
        <v>2664</v>
      </c>
      <c r="E6226" t="s">
        <v>166</v>
      </c>
      <c r="F6226" t="s">
        <v>72</v>
      </c>
      <c r="G6226" t="s">
        <v>215</v>
      </c>
      <c r="H6226" t="str">
        <f>"ΧΡΥΣΟΒΑΛΑΝΤΟΥ 40 ΗΡΑΚΛΕΙΟ"</f>
        <v>ΧΡΥΣΟΒΑΛΑΝΤΟΥ 40 ΗΡΑΚΛΕΙΟ</v>
      </c>
      <c r="I6226">
        <v>71410</v>
      </c>
      <c r="J6226">
        <v>2810238802</v>
      </c>
      <c r="K6226">
        <v>6976722918</v>
      </c>
      <c r="N6226" t="s">
        <v>615</v>
      </c>
      <c r="O6226" t="s">
        <v>616</v>
      </c>
      <c r="P6226" t="s">
        <v>157</v>
      </c>
      <c r="Q6226" t="s">
        <v>158</v>
      </c>
      <c r="R6226" t="s">
        <v>57</v>
      </c>
      <c r="S6226">
        <v>16</v>
      </c>
      <c r="T6226">
        <v>235</v>
      </c>
      <c r="U6226" s="1">
        <v>31289</v>
      </c>
      <c r="V6226" t="s">
        <v>80</v>
      </c>
      <c r="W6226" t="s">
        <v>81</v>
      </c>
      <c r="X6226" t="s">
        <v>58</v>
      </c>
      <c r="Y6226">
        <v>21</v>
      </c>
      <c r="Z6226" t="s">
        <v>59</v>
      </c>
      <c r="AA6226" t="s">
        <v>59</v>
      </c>
      <c r="AB6226" t="s">
        <v>59</v>
      </c>
      <c r="AC6226" t="s">
        <v>59</v>
      </c>
      <c r="AD6226" t="s">
        <v>59</v>
      </c>
      <c r="AF6226" s="1">
        <v>31300</v>
      </c>
      <c r="AG6226" t="s">
        <v>8645</v>
      </c>
      <c r="AH6226" t="s">
        <v>8646</v>
      </c>
      <c r="AI6226" t="str">
        <f>"9170514"</f>
        <v>9170514</v>
      </c>
      <c r="AJ6226" t="s">
        <v>8801</v>
      </c>
      <c r="AK6226">
        <v>2810238666</v>
      </c>
      <c r="AL6226" t="s">
        <v>8802</v>
      </c>
      <c r="AM6226" t="s">
        <v>78</v>
      </c>
      <c r="AN6226" t="s">
        <v>78</v>
      </c>
      <c r="AO6226" t="s">
        <v>78</v>
      </c>
      <c r="AP6226" t="s">
        <v>163</v>
      </c>
      <c r="AQ6226">
        <v>1</v>
      </c>
      <c r="AR6226" t="s">
        <v>80</v>
      </c>
      <c r="AS6226" t="s">
        <v>81</v>
      </c>
      <c r="AT6226" t="s">
        <v>58</v>
      </c>
      <c r="AU6226" t="s">
        <v>68</v>
      </c>
      <c r="AV6226" t="s">
        <v>2039</v>
      </c>
      <c r="AW6226" s="1">
        <v>22327</v>
      </c>
      <c r="AX6226">
        <v>1</v>
      </c>
    </row>
    <row r="6227" spans="1:50">
      <c r="A6227">
        <v>214574</v>
      </c>
      <c r="B6227" t="str">
        <f>"042012351"</f>
        <v>042012351</v>
      </c>
      <c r="C6227" t="s">
        <v>50</v>
      </c>
      <c r="D6227" t="s">
        <v>10647</v>
      </c>
      <c r="E6227" t="s">
        <v>714</v>
      </c>
      <c r="F6227" t="s">
        <v>450</v>
      </c>
      <c r="G6227" t="s">
        <v>396</v>
      </c>
      <c r="H6227" t="str">
        <f>"ΤΙΜΟΧΑΡΟΥΣ 7  ΗΡΑΚΛΕΙΟ"</f>
        <v>ΤΙΜΟΧΑΡΟΥΣ 7  ΗΡΑΚΛΕΙΟ</v>
      </c>
      <c r="I6227">
        <v>71305</v>
      </c>
      <c r="J6227">
        <v>2810823880</v>
      </c>
      <c r="K6227">
        <v>6932216677</v>
      </c>
      <c r="M6227" t="s">
        <v>10648</v>
      </c>
      <c r="N6227" t="s">
        <v>176</v>
      </c>
      <c r="O6227" t="s">
        <v>177</v>
      </c>
      <c r="R6227" t="s">
        <v>57</v>
      </c>
      <c r="S6227">
        <v>8</v>
      </c>
      <c r="T6227">
        <v>231</v>
      </c>
      <c r="U6227" s="1">
        <v>38960</v>
      </c>
      <c r="V6227" t="s">
        <v>80</v>
      </c>
      <c r="W6227" t="s">
        <v>81</v>
      </c>
      <c r="X6227" t="s">
        <v>58</v>
      </c>
      <c r="Y6227">
        <v>22</v>
      </c>
      <c r="Z6227" t="s">
        <v>59</v>
      </c>
      <c r="AA6227" t="s">
        <v>59</v>
      </c>
      <c r="AB6227" t="s">
        <v>59</v>
      </c>
      <c r="AC6227" t="s">
        <v>59</v>
      </c>
      <c r="AD6227" t="s">
        <v>59</v>
      </c>
      <c r="AF6227" s="1">
        <v>38966</v>
      </c>
      <c r="AG6227" t="s">
        <v>8645</v>
      </c>
      <c r="AH6227" t="s">
        <v>8646</v>
      </c>
      <c r="AI6227" t="str">
        <f>"9170580"</f>
        <v>9170580</v>
      </c>
      <c r="AJ6227" t="s">
        <v>9076</v>
      </c>
      <c r="AK6227">
        <v>2810542809</v>
      </c>
      <c r="AL6227" t="s">
        <v>9077</v>
      </c>
      <c r="AM6227" t="s">
        <v>78</v>
      </c>
      <c r="AN6227" t="s">
        <v>78</v>
      </c>
      <c r="AO6227" t="s">
        <v>78</v>
      </c>
      <c r="AP6227" t="s">
        <v>9053</v>
      </c>
      <c r="AQ6227">
        <v>1</v>
      </c>
      <c r="AR6227" t="s">
        <v>80</v>
      </c>
      <c r="AS6227" t="s">
        <v>81</v>
      </c>
      <c r="AT6227" t="s">
        <v>58</v>
      </c>
      <c r="AU6227" t="s">
        <v>68</v>
      </c>
      <c r="AV6227" t="s">
        <v>132</v>
      </c>
      <c r="AW6227" s="1">
        <v>24557</v>
      </c>
      <c r="AX6227">
        <v>1</v>
      </c>
    </row>
    <row r="6228" spans="1:50">
      <c r="A6228">
        <v>613192</v>
      </c>
      <c r="B6228" t="str">
        <f>"137467526"</f>
        <v>137467526</v>
      </c>
      <c r="C6228" t="s">
        <v>50</v>
      </c>
      <c r="D6228" t="s">
        <v>10649</v>
      </c>
      <c r="E6228" t="s">
        <v>54</v>
      </c>
      <c r="F6228" t="s">
        <v>95</v>
      </c>
      <c r="G6228" t="s">
        <v>237</v>
      </c>
      <c r="H6228" t="str">
        <f>"ΟΘΩΝΑ ΓΙΑΝΝΟΥΛΗ 31 ΗΡΑΚΛΕΙΟ"</f>
        <v>ΟΘΩΝΑ ΓΙΑΝΝΟΥΛΗ 31 ΗΡΑΚΛΕΙΟ</v>
      </c>
      <c r="I6228">
        <v>71306</v>
      </c>
      <c r="J6228">
        <v>2810236912</v>
      </c>
      <c r="K6228">
        <v>6973986921</v>
      </c>
      <c r="M6228" t="s">
        <v>10650</v>
      </c>
      <c r="N6228" t="s">
        <v>615</v>
      </c>
      <c r="O6228" t="s">
        <v>616</v>
      </c>
      <c r="R6228" t="s">
        <v>57</v>
      </c>
      <c r="S6228">
        <v>6</v>
      </c>
      <c r="T6228">
        <v>598</v>
      </c>
      <c r="U6228" s="1">
        <v>39310</v>
      </c>
      <c r="V6228" t="s">
        <v>80</v>
      </c>
      <c r="W6228" t="s">
        <v>81</v>
      </c>
      <c r="X6228" t="s">
        <v>58</v>
      </c>
      <c r="Y6228">
        <v>23</v>
      </c>
      <c r="Z6228" t="s">
        <v>59</v>
      </c>
      <c r="AA6228" t="s">
        <v>59</v>
      </c>
      <c r="AB6228" t="s">
        <v>59</v>
      </c>
      <c r="AC6228" t="s">
        <v>59</v>
      </c>
      <c r="AD6228" t="s">
        <v>59</v>
      </c>
      <c r="AF6228" s="1">
        <v>39328</v>
      </c>
      <c r="AG6228" t="s">
        <v>8645</v>
      </c>
      <c r="AH6228" t="s">
        <v>8646</v>
      </c>
      <c r="AI6228" t="str">
        <f>"9170198"</f>
        <v>9170198</v>
      </c>
      <c r="AJ6228" t="s">
        <v>8665</v>
      </c>
      <c r="AK6228">
        <v>2810227379</v>
      </c>
      <c r="AL6228" t="s">
        <v>8666</v>
      </c>
      <c r="AM6228" t="s">
        <v>78</v>
      </c>
      <c r="AN6228" t="s">
        <v>78</v>
      </c>
      <c r="AO6228" t="s">
        <v>78</v>
      </c>
      <c r="AP6228" t="s">
        <v>79</v>
      </c>
      <c r="AQ6228">
        <v>1</v>
      </c>
      <c r="AR6228" t="s">
        <v>80</v>
      </c>
      <c r="AS6228" t="s">
        <v>81</v>
      </c>
      <c r="AT6228" t="s">
        <v>58</v>
      </c>
      <c r="AU6228" t="s">
        <v>68</v>
      </c>
      <c r="AV6228" t="s">
        <v>69</v>
      </c>
      <c r="AW6228" s="1">
        <v>30195</v>
      </c>
      <c r="AX6228">
        <v>1</v>
      </c>
    </row>
    <row r="6229" spans="1:50">
      <c r="A6229">
        <v>618734</v>
      </c>
      <c r="B6229" t="str">
        <f>"134022231"</f>
        <v>134022231</v>
      </c>
      <c r="C6229" t="s">
        <v>50</v>
      </c>
      <c r="D6229" t="s">
        <v>10651</v>
      </c>
      <c r="E6229" t="s">
        <v>143</v>
      </c>
      <c r="F6229" t="s">
        <v>72</v>
      </c>
      <c r="G6229" t="s">
        <v>52</v>
      </c>
      <c r="H6229" t="str">
        <f>"ΔΗΜΗΤΣΑΝΑΣ 5 ΗΡΑΚΛΕΙΟ"</f>
        <v>ΔΗΜΗΤΣΑΝΑΣ 5 ΗΡΑΚΛΕΙΟ</v>
      </c>
      <c r="I6229">
        <v>71305</v>
      </c>
      <c r="J6229">
        <v>2810314533</v>
      </c>
      <c r="K6229">
        <v>6947218391</v>
      </c>
      <c r="N6229" t="s">
        <v>615</v>
      </c>
      <c r="O6229" t="s">
        <v>616</v>
      </c>
      <c r="R6229" t="s">
        <v>57</v>
      </c>
      <c r="S6229">
        <v>5</v>
      </c>
      <c r="T6229">
        <v>774</v>
      </c>
      <c r="U6229" s="1">
        <v>39680</v>
      </c>
      <c r="V6229" t="s">
        <v>80</v>
      </c>
      <c r="W6229" t="s">
        <v>81</v>
      </c>
      <c r="X6229" t="s">
        <v>58</v>
      </c>
      <c r="Y6229">
        <v>23</v>
      </c>
      <c r="Z6229" t="s">
        <v>59</v>
      </c>
      <c r="AA6229" t="s">
        <v>59</v>
      </c>
      <c r="AB6229" t="s">
        <v>59</v>
      </c>
      <c r="AC6229" t="s">
        <v>59</v>
      </c>
      <c r="AD6229" t="s">
        <v>59</v>
      </c>
      <c r="AF6229" s="1">
        <v>39681</v>
      </c>
      <c r="AG6229" t="s">
        <v>8645</v>
      </c>
      <c r="AH6229" t="s">
        <v>8646</v>
      </c>
      <c r="AI6229" t="str">
        <f>"9170059"</f>
        <v>9170059</v>
      </c>
      <c r="AJ6229" t="s">
        <v>9161</v>
      </c>
      <c r="AK6229">
        <v>2810791244</v>
      </c>
      <c r="AL6229" t="s">
        <v>9162</v>
      </c>
      <c r="AM6229" t="s">
        <v>78</v>
      </c>
      <c r="AN6229" t="s">
        <v>78</v>
      </c>
      <c r="AO6229" t="s">
        <v>195</v>
      </c>
      <c r="AP6229" t="s">
        <v>196</v>
      </c>
      <c r="AQ6229">
        <v>3</v>
      </c>
      <c r="AR6229" t="s">
        <v>80</v>
      </c>
      <c r="AS6229" t="s">
        <v>81</v>
      </c>
      <c r="AT6229" t="s">
        <v>58</v>
      </c>
      <c r="AU6229" t="s">
        <v>68</v>
      </c>
      <c r="AV6229" t="s">
        <v>69</v>
      </c>
      <c r="AW6229" s="1">
        <v>30778</v>
      </c>
      <c r="AX6229">
        <v>1</v>
      </c>
    </row>
    <row r="6230" spans="1:50">
      <c r="A6230">
        <v>552856</v>
      </c>
      <c r="B6230" t="str">
        <f>"030733452"</f>
        <v>030733452</v>
      </c>
      <c r="C6230" t="s">
        <v>105</v>
      </c>
      <c r="D6230" t="s">
        <v>10652</v>
      </c>
      <c r="E6230" t="s">
        <v>53</v>
      </c>
      <c r="F6230" t="s">
        <v>693</v>
      </c>
      <c r="G6230" t="s">
        <v>513</v>
      </c>
      <c r="H6230" t="str">
        <f>"ΑΜΦΙΤΡΥΩΝΟΣ 16 ΗΡΑΚΛΕΙΟ"</f>
        <v>ΑΜΦΙΤΡΥΩΝΟΣ 16 ΗΡΑΚΛΕΙΟ</v>
      </c>
      <c r="I6230">
        <v>71409</v>
      </c>
      <c r="J6230">
        <v>2810212834</v>
      </c>
      <c r="K6230">
        <v>6932620295</v>
      </c>
      <c r="N6230" t="s">
        <v>615</v>
      </c>
      <c r="O6230" t="s">
        <v>616</v>
      </c>
      <c r="R6230" t="s">
        <v>57</v>
      </c>
      <c r="S6230">
        <v>16</v>
      </c>
      <c r="T6230">
        <v>433</v>
      </c>
      <c r="U6230" s="1">
        <v>31044</v>
      </c>
      <c r="V6230" t="s">
        <v>80</v>
      </c>
      <c r="W6230" t="s">
        <v>81</v>
      </c>
      <c r="X6230" t="s">
        <v>58</v>
      </c>
      <c r="Y6230">
        <v>21</v>
      </c>
      <c r="Z6230" t="s">
        <v>59</v>
      </c>
      <c r="AA6230" t="s">
        <v>59</v>
      </c>
      <c r="AB6230" t="s">
        <v>59</v>
      </c>
      <c r="AC6230" t="s">
        <v>59</v>
      </c>
      <c r="AD6230" t="s">
        <v>59</v>
      </c>
      <c r="AF6230" s="1">
        <v>31057</v>
      </c>
      <c r="AG6230" t="s">
        <v>8645</v>
      </c>
      <c r="AH6230" t="s">
        <v>8646</v>
      </c>
      <c r="AI6230" t="str">
        <f>"9170362"</f>
        <v>9170362</v>
      </c>
      <c r="AJ6230" t="s">
        <v>8681</v>
      </c>
      <c r="AK6230">
        <v>2810255261</v>
      </c>
      <c r="AL6230" t="s">
        <v>8682</v>
      </c>
      <c r="AM6230" t="s">
        <v>78</v>
      </c>
      <c r="AN6230" t="s">
        <v>78</v>
      </c>
      <c r="AO6230" t="s">
        <v>78</v>
      </c>
      <c r="AP6230" t="s">
        <v>141</v>
      </c>
      <c r="AQ6230">
        <v>1</v>
      </c>
      <c r="AR6230" t="s">
        <v>80</v>
      </c>
      <c r="AS6230" t="s">
        <v>81</v>
      </c>
      <c r="AT6230" t="s">
        <v>58</v>
      </c>
      <c r="AU6230" t="s">
        <v>68</v>
      </c>
      <c r="AV6230" t="s">
        <v>69</v>
      </c>
      <c r="AW6230" s="1">
        <v>22444</v>
      </c>
      <c r="AX6230">
        <v>1</v>
      </c>
    </row>
    <row r="6231" spans="1:50">
      <c r="A6231">
        <v>582907</v>
      </c>
      <c r="B6231" t="str">
        <f>"052793054"</f>
        <v>052793054</v>
      </c>
      <c r="C6231" t="s">
        <v>50</v>
      </c>
      <c r="D6231" t="s">
        <v>10653</v>
      </c>
      <c r="E6231" t="s">
        <v>513</v>
      </c>
      <c r="F6231" t="s">
        <v>95</v>
      </c>
      <c r="G6231" t="s">
        <v>2297</v>
      </c>
      <c r="H6231" t="str">
        <f>"ΜΕΝΕΛΑΟΥ ΛΟΥΝΤΕΜΗ 28 ΑΓΙΑ ΜΑΡΙΝΑ ΗΡΑΚΛΕΙΟΥ"</f>
        <v>ΜΕΝΕΛΑΟΥ ΛΟΥΝΤΕΜΗ 28 ΑΓΙΑ ΜΑΡΙΝΑ ΗΡΑΚΛΕΙΟΥ</v>
      </c>
      <c r="I6231">
        <v>71414</v>
      </c>
      <c r="J6231">
        <v>2814000467</v>
      </c>
      <c r="K6231">
        <v>6937442158</v>
      </c>
      <c r="N6231" t="s">
        <v>1525</v>
      </c>
      <c r="O6231" t="s">
        <v>1526</v>
      </c>
      <c r="R6231" t="s">
        <v>57</v>
      </c>
      <c r="S6231">
        <v>12</v>
      </c>
      <c r="T6231">
        <v>179</v>
      </c>
      <c r="U6231" s="1">
        <v>35674</v>
      </c>
      <c r="V6231" t="s">
        <v>80</v>
      </c>
      <c r="W6231" t="s">
        <v>81</v>
      </c>
      <c r="X6231" t="s">
        <v>58</v>
      </c>
      <c r="Y6231">
        <v>25</v>
      </c>
      <c r="Z6231" t="s">
        <v>59</v>
      </c>
      <c r="AA6231" t="s">
        <v>59</v>
      </c>
      <c r="AB6231" t="s">
        <v>59</v>
      </c>
      <c r="AC6231" t="s">
        <v>59</v>
      </c>
      <c r="AD6231" t="s">
        <v>59</v>
      </c>
      <c r="AF6231" s="1">
        <v>35681</v>
      </c>
      <c r="AG6231" t="s">
        <v>8651</v>
      </c>
      <c r="AH6231" t="s">
        <v>8652</v>
      </c>
      <c r="AI6231" t="str">
        <f>"9170448"</f>
        <v>9170448</v>
      </c>
      <c r="AJ6231" t="s">
        <v>10654</v>
      </c>
      <c r="AK6231">
        <v>2810315229</v>
      </c>
      <c r="AL6231" t="s">
        <v>10655</v>
      </c>
      <c r="AM6231" t="s">
        <v>78</v>
      </c>
      <c r="AN6231" t="s">
        <v>129</v>
      </c>
      <c r="AO6231" t="s">
        <v>130</v>
      </c>
      <c r="AP6231" t="s">
        <v>130</v>
      </c>
      <c r="AQ6231">
        <v>1</v>
      </c>
      <c r="AR6231" t="s">
        <v>80</v>
      </c>
      <c r="AS6231" t="s">
        <v>81</v>
      </c>
      <c r="AT6231" t="s">
        <v>58</v>
      </c>
      <c r="AU6231" t="s">
        <v>68</v>
      </c>
      <c r="AV6231" t="s">
        <v>69</v>
      </c>
      <c r="AW6231" s="1">
        <v>24101</v>
      </c>
      <c r="AX6231">
        <v>1</v>
      </c>
    </row>
    <row r="6232" spans="1:50">
      <c r="A6232">
        <v>595515</v>
      </c>
      <c r="B6232" t="str">
        <f>"055525495"</f>
        <v>055525495</v>
      </c>
      <c r="C6232" t="s">
        <v>50</v>
      </c>
      <c r="D6232" t="s">
        <v>10656</v>
      </c>
      <c r="E6232" t="s">
        <v>52</v>
      </c>
      <c r="F6232" t="s">
        <v>108</v>
      </c>
      <c r="G6232" t="s">
        <v>964</v>
      </c>
      <c r="H6232" t="str">
        <f>"ΝΑΥΠΛΙΟΥ 11 "</f>
        <v xml:space="preserve">ΝΑΥΠΛΙΟΥ 11 </v>
      </c>
      <c r="J6232">
        <v>2810263081</v>
      </c>
      <c r="K6232">
        <v>6946066890</v>
      </c>
      <c r="N6232" t="s">
        <v>1525</v>
      </c>
      <c r="O6232" t="s">
        <v>1526</v>
      </c>
      <c r="R6232" t="s">
        <v>57</v>
      </c>
      <c r="S6232">
        <v>8</v>
      </c>
      <c r="T6232">
        <v>218</v>
      </c>
      <c r="U6232" s="1">
        <v>37134</v>
      </c>
      <c r="V6232" t="s">
        <v>80</v>
      </c>
      <c r="W6232" t="s">
        <v>81</v>
      </c>
      <c r="X6232" t="s">
        <v>58</v>
      </c>
      <c r="Y6232">
        <v>25</v>
      </c>
      <c r="Z6232" t="s">
        <v>59</v>
      </c>
      <c r="AA6232" t="s">
        <v>59</v>
      </c>
      <c r="AB6232" t="s">
        <v>59</v>
      </c>
      <c r="AC6232" t="s">
        <v>59</v>
      </c>
      <c r="AD6232" t="s">
        <v>59</v>
      </c>
      <c r="AF6232" s="1">
        <v>37139</v>
      </c>
      <c r="AG6232" t="s">
        <v>8651</v>
      </c>
      <c r="AH6232" t="s">
        <v>8652</v>
      </c>
      <c r="AI6232" t="str">
        <f>"9170187"</f>
        <v>9170187</v>
      </c>
      <c r="AJ6232" t="s">
        <v>9306</v>
      </c>
      <c r="AK6232">
        <v>2810211623</v>
      </c>
      <c r="AL6232" t="s">
        <v>9307</v>
      </c>
      <c r="AM6232" t="s">
        <v>78</v>
      </c>
      <c r="AN6232" t="s">
        <v>78</v>
      </c>
      <c r="AO6232" t="s">
        <v>78</v>
      </c>
      <c r="AP6232" t="s">
        <v>163</v>
      </c>
      <c r="AQ6232">
        <v>1</v>
      </c>
      <c r="AR6232" t="s">
        <v>80</v>
      </c>
      <c r="AS6232" t="s">
        <v>81</v>
      </c>
      <c r="AT6232" t="s">
        <v>58</v>
      </c>
      <c r="AU6232" t="s">
        <v>68</v>
      </c>
      <c r="AV6232" t="s">
        <v>69</v>
      </c>
      <c r="AW6232" s="1">
        <v>25261</v>
      </c>
      <c r="AX6232">
        <v>1</v>
      </c>
    </row>
    <row r="6233" spans="1:50">
      <c r="B6233" t="str">
        <f>"100102394"</f>
        <v>100102394</v>
      </c>
      <c r="C6233" t="s">
        <v>50</v>
      </c>
      <c r="D6233" t="s">
        <v>2675</v>
      </c>
      <c r="E6233" t="s">
        <v>112</v>
      </c>
      <c r="F6233" t="s">
        <v>95</v>
      </c>
      <c r="G6233" t="s">
        <v>143</v>
      </c>
      <c r="H6233" t="str">
        <f>"ΑΞΙΟΥ 12 "</f>
        <v xml:space="preserve">ΑΞΙΟΥ 12 </v>
      </c>
      <c r="I6233">
        <v>71409</v>
      </c>
      <c r="J6233">
        <v>2810234567</v>
      </c>
      <c r="K6233">
        <v>6978555555</v>
      </c>
      <c r="N6233" t="s">
        <v>1525</v>
      </c>
      <c r="O6233" t="s">
        <v>1526</v>
      </c>
      <c r="R6233" t="s">
        <v>159</v>
      </c>
      <c r="S6233">
        <v>4</v>
      </c>
      <c r="T6233" t="s">
        <v>8670</v>
      </c>
      <c r="U6233" s="1">
        <v>43348</v>
      </c>
      <c r="V6233" t="s">
        <v>80</v>
      </c>
      <c r="W6233" t="s">
        <v>81</v>
      </c>
      <c r="X6233" t="s">
        <v>58</v>
      </c>
      <c r="Y6233">
        <v>25</v>
      </c>
      <c r="Z6233" t="s">
        <v>59</v>
      </c>
      <c r="AA6233" t="s">
        <v>59</v>
      </c>
      <c r="AB6233" t="s">
        <v>59</v>
      </c>
      <c r="AC6233" t="s">
        <v>59</v>
      </c>
      <c r="AD6233" t="s">
        <v>59</v>
      </c>
      <c r="AF6233" s="1">
        <v>43348</v>
      </c>
      <c r="AG6233" t="s">
        <v>8651</v>
      </c>
      <c r="AH6233" t="s">
        <v>8652</v>
      </c>
      <c r="AI6233" t="str">
        <f>"9170352"</f>
        <v>9170352</v>
      </c>
      <c r="AJ6233" t="s">
        <v>10442</v>
      </c>
      <c r="AK6233">
        <v>2810831204</v>
      </c>
      <c r="AL6233" t="s">
        <v>10443</v>
      </c>
      <c r="AM6233" t="s">
        <v>78</v>
      </c>
      <c r="AN6233" t="s">
        <v>129</v>
      </c>
      <c r="AO6233" t="s">
        <v>267</v>
      </c>
      <c r="AP6233" t="s">
        <v>267</v>
      </c>
      <c r="AQ6233">
        <v>2</v>
      </c>
      <c r="AR6233" t="s">
        <v>80</v>
      </c>
      <c r="AS6233" t="s">
        <v>81</v>
      </c>
      <c r="AT6233" t="s">
        <v>58</v>
      </c>
      <c r="AU6233" t="s">
        <v>8673</v>
      </c>
      <c r="AV6233" t="s">
        <v>132</v>
      </c>
      <c r="AW6233" s="1">
        <v>30892</v>
      </c>
      <c r="AX6233">
        <v>1</v>
      </c>
    </row>
    <row r="6234" spans="1:50">
      <c r="A6234">
        <v>583715</v>
      </c>
      <c r="B6234" t="str">
        <f>"047055456"</f>
        <v>047055456</v>
      </c>
      <c r="C6234" t="s">
        <v>50</v>
      </c>
      <c r="D6234" t="s">
        <v>2677</v>
      </c>
      <c r="E6234" t="s">
        <v>237</v>
      </c>
      <c r="F6234" t="s">
        <v>99</v>
      </c>
      <c r="G6234" t="s">
        <v>610</v>
      </c>
      <c r="H6234" t="str">
        <f>"ΑΓ. ΣΥΛΛΑΣ ΗΡΑΚΛΕΙΟ"</f>
        <v>ΑΓ. ΣΥΛΛΑΣ ΗΡΑΚΛΕΙΟ</v>
      </c>
      <c r="I6234">
        <v>71500</v>
      </c>
      <c r="J6234">
        <v>2810881884</v>
      </c>
      <c r="K6234">
        <v>6978338872</v>
      </c>
      <c r="N6234" t="s">
        <v>615</v>
      </c>
      <c r="O6234" t="s">
        <v>616</v>
      </c>
      <c r="R6234" t="s">
        <v>57</v>
      </c>
      <c r="S6234">
        <v>10</v>
      </c>
      <c r="T6234">
        <v>165</v>
      </c>
      <c r="U6234" s="1">
        <v>36040</v>
      </c>
      <c r="V6234" t="s">
        <v>80</v>
      </c>
      <c r="W6234" t="s">
        <v>81</v>
      </c>
      <c r="X6234" t="s">
        <v>58</v>
      </c>
      <c r="Y6234">
        <v>21</v>
      </c>
      <c r="Z6234" t="s">
        <v>59</v>
      </c>
      <c r="AA6234" t="s">
        <v>59</v>
      </c>
      <c r="AB6234" t="s">
        <v>59</v>
      </c>
      <c r="AC6234" t="s">
        <v>59</v>
      </c>
      <c r="AD6234" t="s">
        <v>59</v>
      </c>
      <c r="AF6234" s="1">
        <v>36040</v>
      </c>
      <c r="AG6234" t="s">
        <v>8645</v>
      </c>
      <c r="AH6234" t="s">
        <v>8646</v>
      </c>
      <c r="AI6234" t="str">
        <f>"9170102"</f>
        <v>9170102</v>
      </c>
      <c r="AJ6234" t="s">
        <v>9019</v>
      </c>
      <c r="AK6234">
        <v>2810283938</v>
      </c>
      <c r="AL6234" t="s">
        <v>9020</v>
      </c>
      <c r="AM6234" t="s">
        <v>78</v>
      </c>
      <c r="AN6234" t="s">
        <v>78</v>
      </c>
      <c r="AO6234" t="s">
        <v>78</v>
      </c>
      <c r="AP6234" t="s">
        <v>79</v>
      </c>
      <c r="AQ6234">
        <v>1</v>
      </c>
      <c r="AR6234" t="s">
        <v>80</v>
      </c>
      <c r="AS6234" t="s">
        <v>81</v>
      </c>
      <c r="AT6234" t="s">
        <v>58</v>
      </c>
      <c r="AU6234" t="s">
        <v>68</v>
      </c>
      <c r="AV6234" t="s">
        <v>69</v>
      </c>
      <c r="AW6234" s="1">
        <v>24601</v>
      </c>
      <c r="AX6234">
        <v>1</v>
      </c>
    </row>
    <row r="6235" spans="1:50">
      <c r="A6235">
        <v>613247</v>
      </c>
      <c r="B6235" t="str">
        <f>"103299745"</f>
        <v>103299745</v>
      </c>
      <c r="C6235" t="s">
        <v>50</v>
      </c>
      <c r="D6235" t="s">
        <v>2677</v>
      </c>
      <c r="E6235" t="s">
        <v>1189</v>
      </c>
      <c r="F6235" t="s">
        <v>72</v>
      </c>
      <c r="G6235" t="s">
        <v>255</v>
      </c>
      <c r="H6235" t="str">
        <f>" "</f>
        <v xml:space="preserve"> </v>
      </c>
      <c r="J6235">
        <v>2897025249</v>
      </c>
      <c r="K6235">
        <v>6945486197</v>
      </c>
      <c r="N6235" t="s">
        <v>615</v>
      </c>
      <c r="O6235" t="s">
        <v>616</v>
      </c>
      <c r="R6235" t="s">
        <v>57</v>
      </c>
      <c r="S6235">
        <v>6</v>
      </c>
      <c r="T6235">
        <v>598</v>
      </c>
      <c r="U6235" s="1">
        <v>39310</v>
      </c>
      <c r="V6235" t="s">
        <v>80</v>
      </c>
      <c r="W6235" t="s">
        <v>81</v>
      </c>
      <c r="X6235" t="s">
        <v>58</v>
      </c>
      <c r="Y6235">
        <v>23</v>
      </c>
      <c r="Z6235" t="s">
        <v>59</v>
      </c>
      <c r="AA6235" t="s">
        <v>59</v>
      </c>
      <c r="AB6235" t="s">
        <v>59</v>
      </c>
      <c r="AC6235" t="s">
        <v>59</v>
      </c>
      <c r="AD6235" t="s">
        <v>59</v>
      </c>
      <c r="AF6235" s="1">
        <v>39328</v>
      </c>
      <c r="AG6235" t="s">
        <v>8645</v>
      </c>
      <c r="AH6235" t="s">
        <v>8646</v>
      </c>
      <c r="AI6235" t="str">
        <f>"9170250"</f>
        <v>9170250</v>
      </c>
      <c r="AJ6235" t="s">
        <v>8823</v>
      </c>
      <c r="AK6235">
        <v>2897022005</v>
      </c>
      <c r="AL6235" t="s">
        <v>8824</v>
      </c>
      <c r="AM6235" t="s">
        <v>78</v>
      </c>
      <c r="AN6235" t="s">
        <v>219</v>
      </c>
      <c r="AO6235" t="s">
        <v>219</v>
      </c>
      <c r="AP6235" t="s">
        <v>219</v>
      </c>
      <c r="AQ6235">
        <v>8</v>
      </c>
      <c r="AR6235" t="s">
        <v>80</v>
      </c>
      <c r="AS6235" t="s">
        <v>81</v>
      </c>
      <c r="AT6235" t="s">
        <v>58</v>
      </c>
      <c r="AU6235" t="s">
        <v>68</v>
      </c>
      <c r="AV6235" t="s">
        <v>69</v>
      </c>
      <c r="AW6235" s="1">
        <v>30106</v>
      </c>
      <c r="AX6235">
        <v>1</v>
      </c>
    </row>
    <row r="6236" spans="1:50">
      <c r="B6236" t="str">
        <f>"114272498"</f>
        <v>114272498</v>
      </c>
      <c r="C6236" t="s">
        <v>50</v>
      </c>
      <c r="D6236" t="s">
        <v>10657</v>
      </c>
      <c r="E6236" t="s">
        <v>1001</v>
      </c>
      <c r="F6236" t="s">
        <v>450</v>
      </c>
      <c r="G6236" t="s">
        <v>52</v>
      </c>
      <c r="H6236" t="str">
        <f>"ΜΠΑΞΕΒΑΝΗ 1Α ΗΡΑΚΛΕΙΟ"</f>
        <v>ΜΠΑΞΕΒΑΝΗ 1Α ΗΡΑΚΛΕΙΟ</v>
      </c>
      <c r="I6236">
        <v>71409</v>
      </c>
      <c r="J6236">
        <v>2810225593</v>
      </c>
      <c r="K6236">
        <v>6948891239</v>
      </c>
      <c r="N6236" t="s">
        <v>9829</v>
      </c>
      <c r="O6236" t="s">
        <v>9830</v>
      </c>
      <c r="R6236" t="s">
        <v>159</v>
      </c>
      <c r="S6236">
        <v>3</v>
      </c>
      <c r="T6236" t="s">
        <v>8696</v>
      </c>
      <c r="U6236" s="1">
        <v>43348</v>
      </c>
      <c r="V6236" t="s">
        <v>80</v>
      </c>
      <c r="W6236" t="s">
        <v>81</v>
      </c>
      <c r="X6236" t="s">
        <v>58</v>
      </c>
      <c r="Y6236">
        <v>25</v>
      </c>
      <c r="Z6236" t="s">
        <v>59</v>
      </c>
      <c r="AA6236" t="s">
        <v>59</v>
      </c>
      <c r="AB6236" t="s">
        <v>59</v>
      </c>
      <c r="AC6236" t="s">
        <v>59</v>
      </c>
      <c r="AD6236" t="s">
        <v>59</v>
      </c>
      <c r="AF6236" s="1">
        <v>43348</v>
      </c>
      <c r="AG6236" t="s">
        <v>8651</v>
      </c>
      <c r="AH6236" t="s">
        <v>8652</v>
      </c>
      <c r="AI6236" t="str">
        <f>"9170509"</f>
        <v>9170509</v>
      </c>
      <c r="AJ6236" t="s">
        <v>9541</v>
      </c>
      <c r="AK6236">
        <v>2810324988</v>
      </c>
      <c r="AL6236" t="s">
        <v>9542</v>
      </c>
      <c r="AM6236" t="s">
        <v>78</v>
      </c>
      <c r="AN6236" t="s">
        <v>78</v>
      </c>
      <c r="AO6236" t="s">
        <v>78</v>
      </c>
      <c r="AP6236" t="s">
        <v>163</v>
      </c>
      <c r="AQ6236">
        <v>1</v>
      </c>
      <c r="AR6236" t="s">
        <v>80</v>
      </c>
      <c r="AS6236" t="s">
        <v>81</v>
      </c>
      <c r="AT6236" t="s">
        <v>58</v>
      </c>
      <c r="AU6236" t="s">
        <v>350</v>
      </c>
      <c r="AV6236" t="s">
        <v>132</v>
      </c>
      <c r="AW6236" s="1">
        <v>29418</v>
      </c>
      <c r="AX6236">
        <v>1</v>
      </c>
    </row>
    <row r="6237" spans="1:50">
      <c r="A6237">
        <v>590403</v>
      </c>
      <c r="B6237" t="str">
        <f>"019542593"</f>
        <v>019542593</v>
      </c>
      <c r="C6237" t="s">
        <v>50</v>
      </c>
      <c r="D6237" t="s">
        <v>2679</v>
      </c>
      <c r="E6237" t="s">
        <v>109</v>
      </c>
      <c r="F6237" t="s">
        <v>95</v>
      </c>
      <c r="G6237" t="s">
        <v>83</v>
      </c>
      <c r="H6237" t="str">
        <f>"ΑΝΑΛΗΨΕΩΣ 24 ΗΡΑΚΛΕΙΟ"</f>
        <v>ΑΝΑΛΗΨΕΩΣ 24 ΗΡΑΚΛΕΙΟ</v>
      </c>
      <c r="I6237">
        <v>71306</v>
      </c>
      <c r="J6237">
        <v>2897024903</v>
      </c>
      <c r="K6237">
        <v>6946064807</v>
      </c>
      <c r="M6237" t="s">
        <v>10658</v>
      </c>
      <c r="N6237" t="s">
        <v>337</v>
      </c>
      <c r="O6237" t="s">
        <v>338</v>
      </c>
      <c r="R6237" t="s">
        <v>57</v>
      </c>
      <c r="S6237">
        <v>9</v>
      </c>
      <c r="T6237">
        <v>177</v>
      </c>
      <c r="U6237" s="1">
        <v>36403</v>
      </c>
      <c r="V6237" t="s">
        <v>80</v>
      </c>
      <c r="W6237" t="s">
        <v>81</v>
      </c>
      <c r="X6237" t="s">
        <v>58</v>
      </c>
      <c r="Y6237">
        <v>22</v>
      </c>
      <c r="Z6237" t="s">
        <v>59</v>
      </c>
      <c r="AA6237" t="s">
        <v>59</v>
      </c>
      <c r="AB6237" t="s">
        <v>59</v>
      </c>
      <c r="AC6237" t="s">
        <v>59</v>
      </c>
      <c r="AD6237" t="s">
        <v>59</v>
      </c>
      <c r="AF6237" s="1">
        <v>36409</v>
      </c>
      <c r="AG6237" t="s">
        <v>8645</v>
      </c>
      <c r="AH6237" t="s">
        <v>8646</v>
      </c>
      <c r="AI6237" t="str">
        <f>"9170533"</f>
        <v>9170533</v>
      </c>
      <c r="AJ6237" t="s">
        <v>9091</v>
      </c>
      <c r="AK6237">
        <v>2810239434</v>
      </c>
      <c r="AL6237" t="s">
        <v>9092</v>
      </c>
      <c r="AM6237" t="s">
        <v>78</v>
      </c>
      <c r="AN6237" t="s">
        <v>78</v>
      </c>
      <c r="AO6237" t="s">
        <v>78</v>
      </c>
      <c r="AP6237" t="s">
        <v>163</v>
      </c>
      <c r="AQ6237">
        <v>1</v>
      </c>
      <c r="AR6237" t="s">
        <v>80</v>
      </c>
      <c r="AS6237" t="s">
        <v>81</v>
      </c>
      <c r="AT6237" t="s">
        <v>58</v>
      </c>
      <c r="AU6237" t="s">
        <v>68</v>
      </c>
      <c r="AV6237" t="s">
        <v>69</v>
      </c>
      <c r="AW6237" s="1">
        <v>24238</v>
      </c>
      <c r="AX6237">
        <v>1</v>
      </c>
    </row>
    <row r="6238" spans="1:50">
      <c r="A6238">
        <v>579312</v>
      </c>
      <c r="B6238" t="str">
        <f>"055759400"</f>
        <v>055759400</v>
      </c>
      <c r="C6238" t="s">
        <v>50</v>
      </c>
      <c r="D6238" t="s">
        <v>2679</v>
      </c>
      <c r="E6238" t="s">
        <v>1001</v>
      </c>
      <c r="F6238" t="s">
        <v>166</v>
      </c>
      <c r="G6238" t="s">
        <v>255</v>
      </c>
      <c r="H6238" t="str">
        <f>" "</f>
        <v xml:space="preserve"> </v>
      </c>
      <c r="N6238" t="s">
        <v>615</v>
      </c>
      <c r="O6238" t="s">
        <v>616</v>
      </c>
      <c r="R6238" t="s">
        <v>57</v>
      </c>
      <c r="S6238">
        <v>11</v>
      </c>
      <c r="T6238">
        <v>165</v>
      </c>
      <c r="U6238" s="1">
        <v>35300</v>
      </c>
      <c r="V6238" t="s">
        <v>80</v>
      </c>
      <c r="W6238" t="s">
        <v>81</v>
      </c>
      <c r="X6238" t="s">
        <v>58</v>
      </c>
      <c r="Y6238">
        <v>21</v>
      </c>
      <c r="Z6238" t="s">
        <v>59</v>
      </c>
      <c r="AA6238" t="s">
        <v>59</v>
      </c>
      <c r="AB6238" t="s">
        <v>59</v>
      </c>
      <c r="AC6238" t="s">
        <v>59</v>
      </c>
      <c r="AD6238" t="s">
        <v>59</v>
      </c>
      <c r="AF6238" s="1">
        <v>35310</v>
      </c>
      <c r="AG6238" t="s">
        <v>8645</v>
      </c>
      <c r="AH6238" t="s">
        <v>8646</v>
      </c>
      <c r="AI6238" t="str">
        <f>"9170219"</f>
        <v>9170219</v>
      </c>
      <c r="AJ6238" t="s">
        <v>8967</v>
      </c>
      <c r="AK6238">
        <v>2897041357</v>
      </c>
      <c r="AL6238" t="s">
        <v>8968</v>
      </c>
      <c r="AM6238" t="s">
        <v>78</v>
      </c>
      <c r="AN6238" t="s">
        <v>219</v>
      </c>
      <c r="AO6238" t="s">
        <v>297</v>
      </c>
      <c r="AP6238" t="s">
        <v>297</v>
      </c>
      <c r="AQ6238">
        <v>7</v>
      </c>
      <c r="AR6238" t="s">
        <v>80</v>
      </c>
      <c r="AS6238" t="s">
        <v>81</v>
      </c>
      <c r="AT6238" t="s">
        <v>58</v>
      </c>
      <c r="AU6238" t="s">
        <v>68</v>
      </c>
      <c r="AV6238" t="s">
        <v>69</v>
      </c>
      <c r="AW6238" s="1">
        <v>24904</v>
      </c>
      <c r="AX6238">
        <v>1</v>
      </c>
    </row>
    <row r="6239" spans="1:50">
      <c r="B6239" t="str">
        <f>"110146104"</f>
        <v>110146104</v>
      </c>
      <c r="C6239" t="s">
        <v>50</v>
      </c>
      <c r="D6239" t="s">
        <v>10659</v>
      </c>
      <c r="E6239" t="s">
        <v>620</v>
      </c>
      <c r="F6239" t="s">
        <v>95</v>
      </c>
      <c r="G6239" t="s">
        <v>73</v>
      </c>
      <c r="H6239" t="str">
        <f>"ΜΙΧΑΗΛ ΨΕΛΛΟΥ 14 ΗΡΑΚΛΕΙΟ ΚΡΗΤΗΣ"</f>
        <v>ΜΙΧΑΗΛ ΨΕΛΛΟΥ 14 ΗΡΑΚΛΕΙΟ ΚΡΗΤΗΣ</v>
      </c>
      <c r="I6239">
        <v>71307</v>
      </c>
      <c r="J6239">
        <v>2810322422</v>
      </c>
      <c r="K6239">
        <v>6973207780</v>
      </c>
      <c r="N6239" t="s">
        <v>337</v>
      </c>
      <c r="O6239" t="s">
        <v>338</v>
      </c>
      <c r="R6239" t="s">
        <v>159</v>
      </c>
      <c r="S6239">
        <v>4</v>
      </c>
      <c r="T6239" t="s">
        <v>8675</v>
      </c>
      <c r="U6239" s="1">
        <v>43348</v>
      </c>
      <c r="V6239" t="s">
        <v>80</v>
      </c>
      <c r="W6239" t="s">
        <v>81</v>
      </c>
      <c r="X6239" t="s">
        <v>58</v>
      </c>
      <c r="Y6239">
        <v>24</v>
      </c>
      <c r="Z6239" t="s">
        <v>59</v>
      </c>
      <c r="AA6239" t="s">
        <v>59</v>
      </c>
      <c r="AB6239" t="s">
        <v>59</v>
      </c>
      <c r="AC6239" t="s">
        <v>59</v>
      </c>
      <c r="AD6239" t="s">
        <v>59</v>
      </c>
      <c r="AF6239" s="1">
        <v>43348</v>
      </c>
      <c r="AG6239" t="s">
        <v>8645</v>
      </c>
      <c r="AH6239" t="s">
        <v>8646</v>
      </c>
      <c r="AI6239" t="str">
        <f>"9170534"</f>
        <v>9170534</v>
      </c>
      <c r="AJ6239" t="s">
        <v>8701</v>
      </c>
      <c r="AK6239">
        <v>2810323225</v>
      </c>
      <c r="AL6239" t="s">
        <v>8702</v>
      </c>
      <c r="AM6239" t="s">
        <v>78</v>
      </c>
      <c r="AN6239" t="s">
        <v>78</v>
      </c>
      <c r="AO6239" t="s">
        <v>78</v>
      </c>
      <c r="AP6239" t="s">
        <v>163</v>
      </c>
      <c r="AQ6239">
        <v>1</v>
      </c>
      <c r="AR6239" t="s">
        <v>80</v>
      </c>
      <c r="AS6239" t="s">
        <v>81</v>
      </c>
      <c r="AT6239" t="s">
        <v>58</v>
      </c>
      <c r="AU6239" t="s">
        <v>8673</v>
      </c>
      <c r="AV6239" t="s">
        <v>132</v>
      </c>
      <c r="AW6239" s="1">
        <v>29137</v>
      </c>
      <c r="AX6239">
        <v>1</v>
      </c>
    </row>
    <row r="6240" spans="1:50">
      <c r="B6240" t="str">
        <f>"146159320"</f>
        <v>146159320</v>
      </c>
      <c r="C6240" t="s">
        <v>105</v>
      </c>
      <c r="D6240" t="s">
        <v>10660</v>
      </c>
      <c r="E6240" t="s">
        <v>10660</v>
      </c>
      <c r="F6240" t="s">
        <v>10661</v>
      </c>
      <c r="G6240" t="s">
        <v>10662</v>
      </c>
      <c r="H6240" t="str">
        <f>" "</f>
        <v xml:space="preserve"> </v>
      </c>
      <c r="N6240" t="s">
        <v>615</v>
      </c>
      <c r="O6240" t="s">
        <v>616</v>
      </c>
      <c r="R6240" t="s">
        <v>159</v>
      </c>
      <c r="S6240">
        <v>1</v>
      </c>
      <c r="T6240" t="s">
        <v>8675</v>
      </c>
      <c r="U6240" s="1">
        <v>43348</v>
      </c>
      <c r="V6240" t="s">
        <v>80</v>
      </c>
      <c r="W6240" t="s">
        <v>81</v>
      </c>
      <c r="X6240" t="s">
        <v>58</v>
      </c>
      <c r="Y6240">
        <v>24</v>
      </c>
      <c r="Z6240" t="s">
        <v>59</v>
      </c>
      <c r="AA6240" t="s">
        <v>59</v>
      </c>
      <c r="AB6240" t="s">
        <v>59</v>
      </c>
      <c r="AD6240" t="s">
        <v>59</v>
      </c>
      <c r="AF6240" s="1">
        <v>43348</v>
      </c>
      <c r="AG6240" t="s">
        <v>8645</v>
      </c>
      <c r="AH6240" t="s">
        <v>8646</v>
      </c>
      <c r="AI6240" t="str">
        <f>"9170536"</f>
        <v>9170536</v>
      </c>
      <c r="AJ6240" t="s">
        <v>8740</v>
      </c>
      <c r="AK6240">
        <v>2892051187</v>
      </c>
      <c r="AL6240" t="s">
        <v>8741</v>
      </c>
      <c r="AM6240" t="s">
        <v>78</v>
      </c>
      <c r="AN6240" t="s">
        <v>242</v>
      </c>
      <c r="AO6240" t="s">
        <v>349</v>
      </c>
      <c r="AP6240" t="s">
        <v>349</v>
      </c>
      <c r="AQ6240">
        <v>19</v>
      </c>
      <c r="AR6240" t="s">
        <v>80</v>
      </c>
      <c r="AS6240" t="s">
        <v>81</v>
      </c>
      <c r="AT6240" t="s">
        <v>58</v>
      </c>
      <c r="AU6240" t="s">
        <v>8673</v>
      </c>
      <c r="AV6240" t="s">
        <v>132</v>
      </c>
      <c r="AW6240" s="1">
        <v>32318</v>
      </c>
      <c r="AX6240">
        <v>1</v>
      </c>
    </row>
    <row r="6241" spans="1:50">
      <c r="A6241">
        <v>616821</v>
      </c>
      <c r="B6241" t="str">
        <f>"070364704"</f>
        <v>070364704</v>
      </c>
      <c r="C6241" t="s">
        <v>50</v>
      </c>
      <c r="D6241" t="s">
        <v>2687</v>
      </c>
      <c r="E6241" t="s">
        <v>263</v>
      </c>
      <c r="F6241" t="s">
        <v>106</v>
      </c>
      <c r="G6241" t="s">
        <v>237</v>
      </c>
      <c r="H6241" t="str">
        <f>"Σαρπηδόνος 12 Φιλοθέη"</f>
        <v>Σαρπηδόνος 12 Φιλοθέη</v>
      </c>
      <c r="K6241">
        <v>6945207402</v>
      </c>
      <c r="M6241" t="s">
        <v>10663</v>
      </c>
      <c r="N6241" t="s">
        <v>615</v>
      </c>
      <c r="O6241" t="s">
        <v>616</v>
      </c>
      <c r="R6241" t="s">
        <v>57</v>
      </c>
      <c r="S6241">
        <v>6</v>
      </c>
      <c r="T6241">
        <v>774</v>
      </c>
      <c r="U6241" s="1">
        <v>39680</v>
      </c>
      <c r="V6241" t="s">
        <v>80</v>
      </c>
      <c r="W6241" t="s">
        <v>81</v>
      </c>
      <c r="X6241" t="s">
        <v>58</v>
      </c>
      <c r="Y6241">
        <v>23</v>
      </c>
      <c r="Z6241" t="s">
        <v>59</v>
      </c>
      <c r="AA6241" t="s">
        <v>59</v>
      </c>
      <c r="AB6241" t="s">
        <v>59</v>
      </c>
      <c r="AC6241" t="s">
        <v>59</v>
      </c>
      <c r="AD6241" t="s">
        <v>59</v>
      </c>
      <c r="AF6241" s="1">
        <v>39681</v>
      </c>
      <c r="AG6241" t="s">
        <v>8645</v>
      </c>
      <c r="AH6241" t="s">
        <v>8646</v>
      </c>
      <c r="AI6241" t="str">
        <f>"9170263"</f>
        <v>9170263</v>
      </c>
      <c r="AJ6241" t="s">
        <v>8942</v>
      </c>
      <c r="AK6241">
        <v>2810346939</v>
      </c>
      <c r="AL6241" t="s">
        <v>8943</v>
      </c>
      <c r="AM6241" t="s">
        <v>78</v>
      </c>
      <c r="AN6241" t="s">
        <v>78</v>
      </c>
      <c r="AO6241" t="s">
        <v>286</v>
      </c>
      <c r="AP6241" t="s">
        <v>286</v>
      </c>
      <c r="AQ6241">
        <v>1</v>
      </c>
      <c r="AR6241" t="s">
        <v>80</v>
      </c>
      <c r="AS6241" t="s">
        <v>81</v>
      </c>
      <c r="AT6241" t="s">
        <v>58</v>
      </c>
      <c r="AU6241" t="s">
        <v>68</v>
      </c>
      <c r="AV6241" t="s">
        <v>69</v>
      </c>
      <c r="AW6241" s="1">
        <v>30269</v>
      </c>
      <c r="AX6241">
        <v>1</v>
      </c>
    </row>
    <row r="6242" spans="1:50">
      <c r="A6242">
        <v>579000</v>
      </c>
      <c r="B6242" t="str">
        <f>"066375193"</f>
        <v>066375193</v>
      </c>
      <c r="C6242" t="s">
        <v>50</v>
      </c>
      <c r="D6242" t="s">
        <v>2687</v>
      </c>
      <c r="E6242" t="s">
        <v>255</v>
      </c>
      <c r="F6242" t="s">
        <v>53</v>
      </c>
      <c r="G6242" t="s">
        <v>237</v>
      </c>
      <c r="H6242" t="str">
        <f>"ΑΡΧΙΜΗΔΟΥΣ 47 ΝΕΑ ΑΛΙΚΑΡΝΑΣΣΟΣ"</f>
        <v>ΑΡΧΙΜΗΔΟΥΣ 47 ΝΕΑ ΑΛΙΚΑΡΝΑΣΣΟΣ</v>
      </c>
      <c r="I6242">
        <v>71601</v>
      </c>
      <c r="J6242">
        <v>2810227977</v>
      </c>
      <c r="K6242">
        <v>6978391239</v>
      </c>
      <c r="N6242" t="s">
        <v>615</v>
      </c>
      <c r="O6242" t="s">
        <v>616</v>
      </c>
      <c r="R6242" t="s">
        <v>57</v>
      </c>
      <c r="S6242">
        <v>12</v>
      </c>
      <c r="T6242">
        <v>165</v>
      </c>
      <c r="U6242" s="1">
        <v>35300</v>
      </c>
      <c r="V6242" t="s">
        <v>80</v>
      </c>
      <c r="W6242" t="s">
        <v>81</v>
      </c>
      <c r="X6242" t="s">
        <v>58</v>
      </c>
      <c r="Y6242">
        <v>21</v>
      </c>
      <c r="Z6242" t="s">
        <v>59</v>
      </c>
      <c r="AA6242" t="s">
        <v>59</v>
      </c>
      <c r="AB6242" t="s">
        <v>59</v>
      </c>
      <c r="AC6242" t="s">
        <v>59</v>
      </c>
      <c r="AD6242" t="s">
        <v>59</v>
      </c>
      <c r="AF6242" s="1">
        <v>35310</v>
      </c>
      <c r="AG6242" t="s">
        <v>8645</v>
      </c>
      <c r="AH6242" t="s">
        <v>8646</v>
      </c>
      <c r="AI6242" t="str">
        <f>"9170520"</f>
        <v>9170520</v>
      </c>
      <c r="AJ6242" t="s">
        <v>8738</v>
      </c>
      <c r="AK6242">
        <v>2810281317</v>
      </c>
      <c r="AL6242" t="s">
        <v>8739</v>
      </c>
      <c r="AM6242" t="s">
        <v>78</v>
      </c>
      <c r="AN6242" t="s">
        <v>78</v>
      </c>
      <c r="AO6242" t="s">
        <v>286</v>
      </c>
      <c r="AP6242" t="s">
        <v>286</v>
      </c>
      <c r="AQ6242">
        <v>1</v>
      </c>
      <c r="AR6242" t="s">
        <v>80</v>
      </c>
      <c r="AS6242" t="s">
        <v>81</v>
      </c>
      <c r="AT6242" t="s">
        <v>58</v>
      </c>
      <c r="AU6242" t="s">
        <v>68</v>
      </c>
      <c r="AV6242" t="s">
        <v>69</v>
      </c>
      <c r="AW6242" s="1">
        <v>24337</v>
      </c>
      <c r="AX6242">
        <v>1</v>
      </c>
    </row>
    <row r="6243" spans="1:50">
      <c r="A6243">
        <v>614639</v>
      </c>
      <c r="B6243" t="str">
        <f>"070364716"</f>
        <v>070364716</v>
      </c>
      <c r="C6243" t="s">
        <v>50</v>
      </c>
      <c r="D6243" t="s">
        <v>2687</v>
      </c>
      <c r="E6243" t="s">
        <v>52</v>
      </c>
      <c r="F6243" t="s">
        <v>106</v>
      </c>
      <c r="G6243" t="s">
        <v>237</v>
      </c>
      <c r="H6243" t="str">
        <f>"ΣΑΡΠΙΔΩΝΟΣ 12 ΦΙΛΟΘΕΗ ΗΡΑΚΛΕΙΟ"</f>
        <v>ΣΑΡΠΙΔΩΝΟΣ 12 ΦΙΛΟΘΕΗ ΗΡΑΚΛΕΙΟ</v>
      </c>
      <c r="I6243">
        <v>71409</v>
      </c>
      <c r="J6243">
        <v>2810228133</v>
      </c>
      <c r="K6243">
        <v>6948785254</v>
      </c>
      <c r="N6243" t="s">
        <v>615</v>
      </c>
      <c r="O6243" t="s">
        <v>616</v>
      </c>
      <c r="R6243" t="s">
        <v>57</v>
      </c>
      <c r="S6243">
        <v>7</v>
      </c>
      <c r="T6243">
        <v>598</v>
      </c>
      <c r="U6243" s="1">
        <v>39328</v>
      </c>
      <c r="V6243" t="s">
        <v>80</v>
      </c>
      <c r="W6243" t="s">
        <v>81</v>
      </c>
      <c r="X6243" t="s">
        <v>58</v>
      </c>
      <c r="Y6243">
        <v>23</v>
      </c>
      <c r="Z6243" t="s">
        <v>59</v>
      </c>
      <c r="AA6243" t="s">
        <v>59</v>
      </c>
      <c r="AB6243" t="s">
        <v>59</v>
      </c>
      <c r="AC6243" t="s">
        <v>59</v>
      </c>
      <c r="AD6243" t="s">
        <v>59</v>
      </c>
      <c r="AF6243" s="1">
        <v>39328</v>
      </c>
      <c r="AG6243" t="s">
        <v>8645</v>
      </c>
      <c r="AH6243" t="s">
        <v>8646</v>
      </c>
      <c r="AI6243" t="str">
        <f>"9170534"</f>
        <v>9170534</v>
      </c>
      <c r="AJ6243" t="s">
        <v>8701</v>
      </c>
      <c r="AK6243">
        <v>2810323225</v>
      </c>
      <c r="AL6243" t="s">
        <v>8702</v>
      </c>
      <c r="AM6243" t="s">
        <v>78</v>
      </c>
      <c r="AN6243" t="s">
        <v>78</v>
      </c>
      <c r="AO6243" t="s">
        <v>78</v>
      </c>
      <c r="AP6243" t="s">
        <v>163</v>
      </c>
      <c r="AQ6243">
        <v>1</v>
      </c>
      <c r="AR6243" t="s">
        <v>80</v>
      </c>
      <c r="AS6243" t="s">
        <v>81</v>
      </c>
      <c r="AT6243" t="s">
        <v>58</v>
      </c>
      <c r="AU6243" t="s">
        <v>68</v>
      </c>
      <c r="AV6243" t="s">
        <v>69</v>
      </c>
      <c r="AW6243" s="1">
        <v>29612</v>
      </c>
      <c r="AX6243">
        <v>1</v>
      </c>
    </row>
    <row r="6244" spans="1:50">
      <c r="A6244">
        <v>571094</v>
      </c>
      <c r="B6244" t="str">
        <f>"064120084"</f>
        <v>064120084</v>
      </c>
      <c r="C6244" t="s">
        <v>50</v>
      </c>
      <c r="D6244" t="s">
        <v>2687</v>
      </c>
      <c r="E6244" t="s">
        <v>1713</v>
      </c>
      <c r="F6244" t="s">
        <v>166</v>
      </c>
      <c r="G6244" t="s">
        <v>250</v>
      </c>
      <c r="H6244" t="str">
        <f>" "</f>
        <v xml:space="preserve"> </v>
      </c>
      <c r="N6244" t="s">
        <v>615</v>
      </c>
      <c r="O6244" t="s">
        <v>616</v>
      </c>
      <c r="R6244" t="s">
        <v>57</v>
      </c>
      <c r="S6244">
        <v>14</v>
      </c>
      <c r="T6244">
        <v>138</v>
      </c>
      <c r="U6244" s="1">
        <v>34206</v>
      </c>
      <c r="V6244" t="s">
        <v>80</v>
      </c>
      <c r="W6244" t="s">
        <v>81</v>
      </c>
      <c r="X6244" t="s">
        <v>58</v>
      </c>
      <c r="Y6244">
        <v>21</v>
      </c>
      <c r="Z6244" t="s">
        <v>59</v>
      </c>
      <c r="AA6244" t="s">
        <v>59</v>
      </c>
      <c r="AB6244" t="s">
        <v>59</v>
      </c>
      <c r="AC6244" t="s">
        <v>59</v>
      </c>
      <c r="AD6244" t="s">
        <v>59</v>
      </c>
      <c r="AF6244" s="1">
        <v>34213</v>
      </c>
      <c r="AG6244" t="s">
        <v>8645</v>
      </c>
      <c r="AH6244" t="s">
        <v>8646</v>
      </c>
      <c r="AI6244" t="str">
        <f>"9170091"</f>
        <v>9170091</v>
      </c>
      <c r="AJ6244" t="s">
        <v>8764</v>
      </c>
      <c r="AK6244">
        <v>2810741381</v>
      </c>
      <c r="AL6244" t="s">
        <v>8765</v>
      </c>
      <c r="AM6244" t="s">
        <v>78</v>
      </c>
      <c r="AN6244" t="s">
        <v>424</v>
      </c>
      <c r="AO6244" t="s">
        <v>428</v>
      </c>
      <c r="AP6244" t="s">
        <v>8766</v>
      </c>
      <c r="AQ6244">
        <v>11</v>
      </c>
      <c r="AR6244" t="s">
        <v>80</v>
      </c>
      <c r="AS6244" t="s">
        <v>81</v>
      </c>
      <c r="AT6244" t="s">
        <v>58</v>
      </c>
      <c r="AU6244" t="s">
        <v>68</v>
      </c>
      <c r="AV6244" t="s">
        <v>69</v>
      </c>
      <c r="AW6244" s="1">
        <v>24099</v>
      </c>
      <c r="AX6244">
        <v>1</v>
      </c>
    </row>
    <row r="6245" spans="1:50">
      <c r="A6245">
        <v>564728</v>
      </c>
      <c r="B6245" t="str">
        <f>"036320355"</f>
        <v>036320355</v>
      </c>
      <c r="C6245" t="s">
        <v>105</v>
      </c>
      <c r="D6245" t="s">
        <v>10664</v>
      </c>
      <c r="E6245" t="s">
        <v>95</v>
      </c>
      <c r="F6245" t="s">
        <v>72</v>
      </c>
      <c r="G6245" t="s">
        <v>114</v>
      </c>
      <c r="H6245" t="str">
        <f>" "</f>
        <v xml:space="preserve"> </v>
      </c>
      <c r="N6245" t="s">
        <v>615</v>
      </c>
      <c r="O6245" t="s">
        <v>616</v>
      </c>
      <c r="R6245" t="s">
        <v>57</v>
      </c>
      <c r="S6245">
        <v>14</v>
      </c>
      <c r="T6245" t="s">
        <v>10665</v>
      </c>
      <c r="U6245" s="1">
        <v>33119</v>
      </c>
      <c r="V6245" t="s">
        <v>80</v>
      </c>
      <c r="W6245" t="s">
        <v>81</v>
      </c>
      <c r="X6245" t="s">
        <v>58</v>
      </c>
      <c r="Y6245">
        <v>21</v>
      </c>
      <c r="Z6245" t="s">
        <v>59</v>
      </c>
      <c r="AA6245" t="s">
        <v>59</v>
      </c>
      <c r="AB6245" t="s">
        <v>59</v>
      </c>
      <c r="AC6245" t="s">
        <v>59</v>
      </c>
      <c r="AD6245" t="s">
        <v>59</v>
      </c>
      <c r="AF6245" s="1">
        <v>33121</v>
      </c>
      <c r="AG6245" t="s">
        <v>8645</v>
      </c>
      <c r="AH6245" t="s">
        <v>8646</v>
      </c>
      <c r="AI6245" t="str">
        <f>"9170250"</f>
        <v>9170250</v>
      </c>
      <c r="AJ6245" t="s">
        <v>8823</v>
      </c>
      <c r="AK6245">
        <v>2897022005</v>
      </c>
      <c r="AL6245" t="s">
        <v>8824</v>
      </c>
      <c r="AM6245" t="s">
        <v>78</v>
      </c>
      <c r="AN6245" t="s">
        <v>219</v>
      </c>
      <c r="AO6245" t="s">
        <v>219</v>
      </c>
      <c r="AP6245" t="s">
        <v>219</v>
      </c>
      <c r="AQ6245">
        <v>8</v>
      </c>
      <c r="AR6245" t="s">
        <v>80</v>
      </c>
      <c r="AS6245" t="s">
        <v>81</v>
      </c>
      <c r="AT6245" t="s">
        <v>58</v>
      </c>
      <c r="AU6245" t="s">
        <v>68</v>
      </c>
      <c r="AV6245" t="s">
        <v>69</v>
      </c>
      <c r="AW6245" s="1">
        <v>23564</v>
      </c>
      <c r="AX6245">
        <v>1</v>
      </c>
    </row>
    <row r="6246" spans="1:50">
      <c r="A6246">
        <v>565623</v>
      </c>
      <c r="B6246" t="str">
        <f>"036320226"</f>
        <v>036320226</v>
      </c>
      <c r="C6246" t="s">
        <v>105</v>
      </c>
      <c r="D6246" t="s">
        <v>10664</v>
      </c>
      <c r="E6246" t="s">
        <v>99</v>
      </c>
      <c r="F6246" t="s">
        <v>72</v>
      </c>
      <c r="G6246" t="s">
        <v>114</v>
      </c>
      <c r="H6246" t="str">
        <f>"ΣΙΚΥΩΝΟΣ 18 ΗΡΑΚΛΕΙΟ"</f>
        <v>ΣΙΚΥΩΝΟΣ 18 ΗΡΑΚΛΕΙΟ</v>
      </c>
      <c r="I6246">
        <v>71409</v>
      </c>
      <c r="J6246">
        <v>2810236387</v>
      </c>
      <c r="K6246">
        <v>6976134707</v>
      </c>
      <c r="N6246" t="s">
        <v>615</v>
      </c>
      <c r="O6246" t="s">
        <v>616</v>
      </c>
      <c r="R6246" t="s">
        <v>57</v>
      </c>
      <c r="S6246">
        <v>14</v>
      </c>
      <c r="T6246">
        <v>161</v>
      </c>
      <c r="U6246" s="1">
        <v>33119</v>
      </c>
      <c r="V6246" t="s">
        <v>80</v>
      </c>
      <c r="W6246" t="s">
        <v>81</v>
      </c>
      <c r="X6246" t="s">
        <v>58</v>
      </c>
      <c r="Y6246">
        <v>21</v>
      </c>
      <c r="Z6246" t="s">
        <v>59</v>
      </c>
      <c r="AA6246" t="s">
        <v>59</v>
      </c>
      <c r="AB6246" t="s">
        <v>59</v>
      </c>
      <c r="AC6246" t="s">
        <v>59</v>
      </c>
      <c r="AD6246" t="s">
        <v>59</v>
      </c>
      <c r="AF6246" s="1">
        <v>33121</v>
      </c>
      <c r="AG6246" t="s">
        <v>8645</v>
      </c>
      <c r="AH6246" t="s">
        <v>8646</v>
      </c>
      <c r="AI6246" t="str">
        <f>"9170108"</f>
        <v>9170108</v>
      </c>
      <c r="AJ6246" t="s">
        <v>8863</v>
      </c>
      <c r="AK6246">
        <v>2810232111</v>
      </c>
      <c r="AL6246" t="s">
        <v>8864</v>
      </c>
      <c r="AM6246" t="s">
        <v>78</v>
      </c>
      <c r="AN6246" t="s">
        <v>78</v>
      </c>
      <c r="AO6246" t="s">
        <v>78</v>
      </c>
      <c r="AP6246" t="s">
        <v>163</v>
      </c>
      <c r="AQ6246">
        <v>1</v>
      </c>
      <c r="AR6246" t="s">
        <v>80</v>
      </c>
      <c r="AS6246" t="s">
        <v>81</v>
      </c>
      <c r="AT6246" t="s">
        <v>58</v>
      </c>
      <c r="AU6246" t="s">
        <v>68</v>
      </c>
      <c r="AV6246" t="s">
        <v>2039</v>
      </c>
      <c r="AW6246" s="1">
        <v>24249</v>
      </c>
      <c r="AX6246">
        <v>1</v>
      </c>
    </row>
    <row r="6247" spans="1:50">
      <c r="A6247">
        <v>563329</v>
      </c>
      <c r="B6247" t="str">
        <f>"110112082"</f>
        <v>110112082</v>
      </c>
      <c r="C6247" t="s">
        <v>50</v>
      </c>
      <c r="D6247" t="s">
        <v>2697</v>
      </c>
      <c r="E6247" t="s">
        <v>10666</v>
      </c>
      <c r="F6247" t="s">
        <v>99</v>
      </c>
      <c r="G6247" t="s">
        <v>52</v>
      </c>
      <c r="H6247" t="str">
        <f>"ΟΥΛΩΦ ΠΑΛΜΕ 92 ΗΡΑΚΛΕΙΟ"</f>
        <v>ΟΥΛΩΦ ΠΑΛΜΕ 92 ΗΡΑΚΛΕΙΟ</v>
      </c>
      <c r="I6247">
        <v>71410</v>
      </c>
      <c r="J6247">
        <v>2810230859</v>
      </c>
      <c r="K6247">
        <v>6976782971</v>
      </c>
      <c r="M6247" t="s">
        <v>10667</v>
      </c>
      <c r="N6247" t="s">
        <v>615</v>
      </c>
      <c r="O6247" t="s">
        <v>616</v>
      </c>
      <c r="R6247" t="s">
        <v>57</v>
      </c>
      <c r="S6247">
        <v>15</v>
      </c>
      <c r="T6247">
        <v>194</v>
      </c>
      <c r="U6247" s="1">
        <v>32762</v>
      </c>
      <c r="V6247" t="s">
        <v>80</v>
      </c>
      <c r="W6247" t="s">
        <v>81</v>
      </c>
      <c r="X6247" t="s">
        <v>58</v>
      </c>
      <c r="Y6247">
        <v>21</v>
      </c>
      <c r="Z6247" t="s">
        <v>59</v>
      </c>
      <c r="AA6247" t="s">
        <v>59</v>
      </c>
      <c r="AB6247" t="s">
        <v>59</v>
      </c>
      <c r="AC6247" t="s">
        <v>59</v>
      </c>
      <c r="AD6247" t="s">
        <v>59</v>
      </c>
      <c r="AF6247" s="1">
        <v>32762</v>
      </c>
      <c r="AG6247" t="s">
        <v>8645</v>
      </c>
      <c r="AH6247" t="s">
        <v>8646</v>
      </c>
      <c r="AI6247" t="str">
        <f>"9170257"</f>
        <v>9170257</v>
      </c>
      <c r="AJ6247" t="s">
        <v>8710</v>
      </c>
      <c r="AK6247">
        <v>2810245513</v>
      </c>
      <c r="AL6247" t="s">
        <v>8711</v>
      </c>
      <c r="AM6247" t="s">
        <v>78</v>
      </c>
      <c r="AN6247" t="s">
        <v>78</v>
      </c>
      <c r="AO6247" t="s">
        <v>78</v>
      </c>
      <c r="AP6247" t="s">
        <v>213</v>
      </c>
      <c r="AQ6247">
        <v>1</v>
      </c>
      <c r="AR6247" t="s">
        <v>80</v>
      </c>
      <c r="AS6247" t="s">
        <v>81</v>
      </c>
      <c r="AT6247" t="s">
        <v>58</v>
      </c>
      <c r="AU6247" t="s">
        <v>68</v>
      </c>
      <c r="AV6247" t="s">
        <v>69</v>
      </c>
      <c r="AW6247" s="1">
        <v>23844</v>
      </c>
      <c r="AX6247">
        <v>1</v>
      </c>
    </row>
    <row r="6248" spans="1:50">
      <c r="B6248" t="str">
        <f>"128113799"</f>
        <v>128113799</v>
      </c>
      <c r="C6248" t="s">
        <v>50</v>
      </c>
      <c r="D6248" t="s">
        <v>10668</v>
      </c>
      <c r="E6248" t="s">
        <v>52</v>
      </c>
      <c r="F6248" t="s">
        <v>670</v>
      </c>
      <c r="G6248" t="s">
        <v>191</v>
      </c>
      <c r="H6248" t="str">
        <f>"ΑΡΙΣΤΕΙΔΟΥ 14 ΣΥΚΙΕΣ ΘΕΣ/ΝΙΚΗΣ"</f>
        <v>ΑΡΙΣΤΕΙΔΟΥ 14 ΣΥΚΙΕΣ ΘΕΣ/ΝΙΚΗΣ</v>
      </c>
      <c r="I6248">
        <v>56625</v>
      </c>
      <c r="J6248">
        <v>2310634669</v>
      </c>
      <c r="K6248">
        <v>6981846557</v>
      </c>
      <c r="M6248" t="s">
        <v>10669</v>
      </c>
      <c r="N6248" t="s">
        <v>615</v>
      </c>
      <c r="O6248" t="s">
        <v>616</v>
      </c>
      <c r="R6248" t="s">
        <v>159</v>
      </c>
      <c r="S6248">
        <v>3</v>
      </c>
      <c r="T6248" t="s">
        <v>8675</v>
      </c>
      <c r="U6248" s="1">
        <v>43348</v>
      </c>
      <c r="V6248" t="s">
        <v>80</v>
      </c>
      <c r="W6248" t="s">
        <v>81</v>
      </c>
      <c r="X6248" t="s">
        <v>58</v>
      </c>
      <c r="Y6248">
        <v>24</v>
      </c>
      <c r="Z6248" t="s">
        <v>59</v>
      </c>
      <c r="AA6248" t="s">
        <v>59</v>
      </c>
      <c r="AB6248" t="s">
        <v>59</v>
      </c>
      <c r="AC6248" t="s">
        <v>59</v>
      </c>
      <c r="AD6248" t="s">
        <v>59</v>
      </c>
      <c r="AF6248" s="1">
        <v>43348</v>
      </c>
      <c r="AG6248" t="s">
        <v>8645</v>
      </c>
      <c r="AH6248" t="s">
        <v>8646</v>
      </c>
      <c r="AI6248" t="str">
        <f>"9170043"</f>
        <v>9170043</v>
      </c>
      <c r="AJ6248" t="s">
        <v>8883</v>
      </c>
      <c r="AK6248">
        <v>2894022075</v>
      </c>
      <c r="AL6248" t="s">
        <v>8884</v>
      </c>
      <c r="AM6248" t="s">
        <v>78</v>
      </c>
      <c r="AN6248" t="s">
        <v>405</v>
      </c>
      <c r="AO6248" t="s">
        <v>406</v>
      </c>
      <c r="AP6248" t="s">
        <v>8885</v>
      </c>
      <c r="AQ6248">
        <v>6</v>
      </c>
      <c r="AR6248" t="s">
        <v>80</v>
      </c>
      <c r="AS6248" t="s">
        <v>81</v>
      </c>
      <c r="AT6248" t="s">
        <v>58</v>
      </c>
      <c r="AU6248" t="s">
        <v>8673</v>
      </c>
      <c r="AV6248" t="s">
        <v>132</v>
      </c>
      <c r="AW6248" s="1">
        <v>31909</v>
      </c>
      <c r="AX6248">
        <v>1</v>
      </c>
    </row>
    <row r="6249" spans="1:50">
      <c r="A6249">
        <v>601640</v>
      </c>
      <c r="B6249" t="str">
        <f>"118901182"</f>
        <v>118901182</v>
      </c>
      <c r="C6249" t="s">
        <v>105</v>
      </c>
      <c r="D6249" t="s">
        <v>10670</v>
      </c>
      <c r="E6249" t="s">
        <v>95</v>
      </c>
      <c r="F6249" t="s">
        <v>72</v>
      </c>
      <c r="G6249" t="s">
        <v>964</v>
      </c>
      <c r="H6249" t="str">
        <f>"ΚΑΛΑΜΑΤΑΣ 26 ΗΡΑΚΛΕΙΟ"</f>
        <v>ΚΑΛΑΜΑΤΑΣ 26 ΗΡΑΚΛΕΙΟ</v>
      </c>
      <c r="J6249">
        <v>2815008354</v>
      </c>
      <c r="K6249">
        <v>6974631843</v>
      </c>
      <c r="M6249" t="s">
        <v>10671</v>
      </c>
      <c r="N6249" t="s">
        <v>615</v>
      </c>
      <c r="O6249" t="s">
        <v>616</v>
      </c>
      <c r="R6249" t="s">
        <v>57</v>
      </c>
      <c r="S6249">
        <v>8</v>
      </c>
      <c r="T6249">
        <v>207</v>
      </c>
      <c r="U6249" s="1">
        <v>37866</v>
      </c>
      <c r="V6249" t="s">
        <v>80</v>
      </c>
      <c r="W6249" t="s">
        <v>81</v>
      </c>
      <c r="X6249" t="s">
        <v>58</v>
      </c>
      <c r="Y6249">
        <v>22</v>
      </c>
      <c r="Z6249" t="s">
        <v>59</v>
      </c>
      <c r="AA6249" t="s">
        <v>59</v>
      </c>
      <c r="AB6249" t="s">
        <v>59</v>
      </c>
      <c r="AC6249" t="s">
        <v>59</v>
      </c>
      <c r="AD6249" t="s">
        <v>59</v>
      </c>
      <c r="AF6249" s="1">
        <v>37866</v>
      </c>
      <c r="AG6249" t="s">
        <v>8645</v>
      </c>
      <c r="AH6249" t="s">
        <v>8646</v>
      </c>
      <c r="AI6249" t="str">
        <f>"9170192"</f>
        <v>9170192</v>
      </c>
      <c r="AJ6249" t="s">
        <v>8661</v>
      </c>
      <c r="AK6249">
        <v>2810231985</v>
      </c>
      <c r="AL6249" t="s">
        <v>8662</v>
      </c>
      <c r="AM6249" t="s">
        <v>78</v>
      </c>
      <c r="AN6249" t="s">
        <v>78</v>
      </c>
      <c r="AO6249" t="s">
        <v>78</v>
      </c>
      <c r="AP6249" t="s">
        <v>163</v>
      </c>
      <c r="AQ6249">
        <v>1</v>
      </c>
      <c r="AR6249" t="s">
        <v>80</v>
      </c>
      <c r="AS6249" t="s">
        <v>81</v>
      </c>
      <c r="AT6249" t="s">
        <v>58</v>
      </c>
      <c r="AU6249" t="s">
        <v>68</v>
      </c>
      <c r="AV6249" t="s">
        <v>69</v>
      </c>
      <c r="AW6249" s="1">
        <v>27140</v>
      </c>
      <c r="AX6249">
        <v>1</v>
      </c>
    </row>
    <row r="6250" spans="1:50">
      <c r="B6250" t="str">
        <f>"136588873"</f>
        <v>136588873</v>
      </c>
      <c r="C6250" t="s">
        <v>50</v>
      </c>
      <c r="D6250" t="s">
        <v>10672</v>
      </c>
      <c r="E6250" t="s">
        <v>801</v>
      </c>
      <c r="F6250" t="s">
        <v>1316</v>
      </c>
      <c r="G6250" t="s">
        <v>476</v>
      </c>
      <c r="H6250" t="str">
        <f>"ΕΡΓΑΤΙΚΕΣ ΚΑΤΟΙΚΙΕΣ ΣΤ.1Α "</f>
        <v xml:space="preserve">ΕΡΓΑΤΙΚΕΣ ΚΑΤΟΙΚΙΕΣ ΣΤ.1Α </v>
      </c>
      <c r="I6250">
        <v>40100</v>
      </c>
      <c r="J6250">
        <v>2492026153</v>
      </c>
      <c r="K6250">
        <v>6971541026</v>
      </c>
      <c r="N6250" t="s">
        <v>8694</v>
      </c>
      <c r="O6250" t="s">
        <v>8695</v>
      </c>
      <c r="R6250" t="s">
        <v>159</v>
      </c>
      <c r="S6250">
        <v>2</v>
      </c>
      <c r="T6250" t="s">
        <v>8696</v>
      </c>
      <c r="U6250" s="1">
        <v>43348</v>
      </c>
      <c r="V6250" t="s">
        <v>80</v>
      </c>
      <c r="W6250" t="s">
        <v>81</v>
      </c>
      <c r="X6250" t="s">
        <v>58</v>
      </c>
      <c r="Y6250">
        <v>24</v>
      </c>
      <c r="Z6250" t="s">
        <v>59</v>
      </c>
      <c r="AA6250" t="s">
        <v>59</v>
      </c>
      <c r="AB6250" t="s">
        <v>59</v>
      </c>
      <c r="AC6250" t="s">
        <v>59</v>
      </c>
      <c r="AD6250" t="s">
        <v>59</v>
      </c>
      <c r="AF6250" s="1">
        <v>43348</v>
      </c>
      <c r="AG6250" t="s">
        <v>8645</v>
      </c>
      <c r="AH6250" t="s">
        <v>8697</v>
      </c>
      <c r="AI6250" t="str">
        <f>"9170372"</f>
        <v>9170372</v>
      </c>
      <c r="AJ6250" t="s">
        <v>9296</v>
      </c>
      <c r="AK6250">
        <v>2810281754</v>
      </c>
      <c r="AL6250" t="s">
        <v>9297</v>
      </c>
      <c r="AM6250" t="s">
        <v>78</v>
      </c>
      <c r="AN6250" t="s">
        <v>78</v>
      </c>
      <c r="AO6250" t="s">
        <v>78</v>
      </c>
      <c r="AP6250" t="s">
        <v>79</v>
      </c>
      <c r="AQ6250">
        <v>1</v>
      </c>
      <c r="AR6250" t="s">
        <v>80</v>
      </c>
      <c r="AS6250" t="s">
        <v>81</v>
      </c>
      <c r="AT6250" t="s">
        <v>58</v>
      </c>
      <c r="AU6250" t="s">
        <v>350</v>
      </c>
      <c r="AV6250" t="s">
        <v>132</v>
      </c>
      <c r="AW6250" s="1">
        <v>32749</v>
      </c>
      <c r="AX6250">
        <v>1</v>
      </c>
    </row>
    <row r="6251" spans="1:50">
      <c r="B6251" t="str">
        <f>"138967242"</f>
        <v>138967242</v>
      </c>
      <c r="C6251" t="s">
        <v>50</v>
      </c>
      <c r="D6251" t="s">
        <v>2717</v>
      </c>
      <c r="E6251" t="s">
        <v>237</v>
      </c>
      <c r="F6251" t="s">
        <v>95</v>
      </c>
      <c r="G6251" t="s">
        <v>2061</v>
      </c>
      <c r="H6251" t="str">
        <f>"ΑΡΓΥΡΟΚΑΣΤΡΟΥ 87 ΗΡΑΚΛΕΙΟ"</f>
        <v>ΑΡΓΥΡΟΚΑΣΤΡΟΥ 87 ΗΡΑΚΛΕΙΟ</v>
      </c>
      <c r="I6251">
        <v>71307</v>
      </c>
      <c r="J6251">
        <v>2810317156</v>
      </c>
      <c r="K6251">
        <v>6947306598</v>
      </c>
      <c r="N6251" t="s">
        <v>337</v>
      </c>
      <c r="O6251" t="s">
        <v>338</v>
      </c>
      <c r="R6251" t="s">
        <v>159</v>
      </c>
      <c r="S6251">
        <v>5</v>
      </c>
      <c r="T6251" t="s">
        <v>8675</v>
      </c>
      <c r="U6251" s="1">
        <v>43348</v>
      </c>
      <c r="V6251" t="s">
        <v>80</v>
      </c>
      <c r="W6251" t="s">
        <v>81</v>
      </c>
      <c r="X6251" t="s">
        <v>58</v>
      </c>
      <c r="Y6251">
        <v>24</v>
      </c>
      <c r="Z6251" t="s">
        <v>59</v>
      </c>
      <c r="AA6251" t="s">
        <v>59</v>
      </c>
      <c r="AB6251" t="s">
        <v>59</v>
      </c>
      <c r="AC6251" t="s">
        <v>59</v>
      </c>
      <c r="AD6251" t="s">
        <v>59</v>
      </c>
      <c r="AF6251" s="1">
        <v>43348</v>
      </c>
      <c r="AG6251" t="s">
        <v>8645</v>
      </c>
      <c r="AH6251" t="s">
        <v>8646</v>
      </c>
      <c r="AI6251" t="str">
        <f>"9170255"</f>
        <v>9170255</v>
      </c>
      <c r="AJ6251" t="s">
        <v>8915</v>
      </c>
      <c r="AK6251">
        <v>2810220750</v>
      </c>
      <c r="AL6251" t="s">
        <v>8916</v>
      </c>
      <c r="AM6251" t="s">
        <v>78</v>
      </c>
      <c r="AN6251" t="s">
        <v>78</v>
      </c>
      <c r="AO6251" t="s">
        <v>78</v>
      </c>
      <c r="AP6251" t="s">
        <v>213</v>
      </c>
      <c r="AQ6251">
        <v>1</v>
      </c>
      <c r="AR6251" t="s">
        <v>80</v>
      </c>
      <c r="AS6251" t="s">
        <v>81</v>
      </c>
      <c r="AT6251" t="s">
        <v>58</v>
      </c>
      <c r="AU6251" t="s">
        <v>8673</v>
      </c>
      <c r="AV6251" t="s">
        <v>132</v>
      </c>
      <c r="AW6251" s="1">
        <v>29808</v>
      </c>
      <c r="AX6251">
        <v>1</v>
      </c>
    </row>
    <row r="6252" spans="1:50">
      <c r="B6252" t="str">
        <f>"113218908"</f>
        <v>113218908</v>
      </c>
      <c r="C6252" t="s">
        <v>50</v>
      </c>
      <c r="D6252" t="s">
        <v>10673</v>
      </c>
      <c r="E6252" t="s">
        <v>6179</v>
      </c>
      <c r="F6252" t="s">
        <v>10674</v>
      </c>
      <c r="H6252" t="str">
        <f>" "</f>
        <v xml:space="preserve"> </v>
      </c>
      <c r="N6252" t="s">
        <v>384</v>
      </c>
      <c r="O6252" t="s">
        <v>385</v>
      </c>
      <c r="R6252" t="s">
        <v>121</v>
      </c>
      <c r="S6252">
        <v>1</v>
      </c>
      <c r="T6252" t="s">
        <v>8675</v>
      </c>
      <c r="U6252" s="1">
        <v>43348</v>
      </c>
      <c r="V6252" t="s">
        <v>80</v>
      </c>
      <c r="W6252" t="s">
        <v>81</v>
      </c>
      <c r="X6252" t="s">
        <v>58</v>
      </c>
      <c r="Y6252">
        <v>24</v>
      </c>
      <c r="Z6252" t="s">
        <v>59</v>
      </c>
      <c r="AA6252" t="s">
        <v>59</v>
      </c>
      <c r="AB6252" t="s">
        <v>59</v>
      </c>
      <c r="AC6252" t="s">
        <v>59</v>
      </c>
      <c r="AD6252" t="s">
        <v>59</v>
      </c>
      <c r="AF6252" s="1">
        <v>43348</v>
      </c>
      <c r="AG6252" t="s">
        <v>8645</v>
      </c>
      <c r="AH6252" t="s">
        <v>8646</v>
      </c>
      <c r="AI6252" t="str">
        <f>"9170043"</f>
        <v>9170043</v>
      </c>
      <c r="AJ6252" t="s">
        <v>8883</v>
      </c>
      <c r="AK6252">
        <v>2894022075</v>
      </c>
      <c r="AL6252" t="s">
        <v>8884</v>
      </c>
      <c r="AM6252" t="s">
        <v>78</v>
      </c>
      <c r="AN6252" t="s">
        <v>405</v>
      </c>
      <c r="AO6252" t="s">
        <v>406</v>
      </c>
      <c r="AP6252" t="s">
        <v>8885</v>
      </c>
      <c r="AQ6252">
        <v>6</v>
      </c>
      <c r="AR6252" t="s">
        <v>80</v>
      </c>
      <c r="AS6252" t="s">
        <v>81</v>
      </c>
      <c r="AT6252" t="s">
        <v>58</v>
      </c>
      <c r="AU6252" t="s">
        <v>8673</v>
      </c>
      <c r="AV6252" t="s">
        <v>132</v>
      </c>
      <c r="AW6252" s="1">
        <v>28338</v>
      </c>
      <c r="AX6252">
        <v>1</v>
      </c>
    </row>
    <row r="6253" spans="1:50">
      <c r="A6253">
        <v>614443</v>
      </c>
      <c r="B6253" t="str">
        <f>"103294370"</f>
        <v>103294370</v>
      </c>
      <c r="C6253" t="s">
        <v>50</v>
      </c>
      <c r="D6253" t="s">
        <v>10675</v>
      </c>
      <c r="E6253" t="s">
        <v>52</v>
      </c>
      <c r="F6253" t="s">
        <v>95</v>
      </c>
      <c r="G6253" t="s">
        <v>10676</v>
      </c>
      <c r="H6253" t="str">
        <f>" "</f>
        <v xml:space="preserve"> </v>
      </c>
      <c r="N6253" t="s">
        <v>615</v>
      </c>
      <c r="O6253" t="s">
        <v>616</v>
      </c>
      <c r="R6253" t="s">
        <v>57</v>
      </c>
      <c r="S6253">
        <v>6</v>
      </c>
      <c r="T6253">
        <v>598</v>
      </c>
      <c r="U6253" s="1">
        <v>39310</v>
      </c>
      <c r="V6253" t="s">
        <v>80</v>
      </c>
      <c r="W6253" t="s">
        <v>81</v>
      </c>
      <c r="X6253" t="s">
        <v>58</v>
      </c>
      <c r="Y6253">
        <v>23</v>
      </c>
      <c r="Z6253" t="s">
        <v>59</v>
      </c>
      <c r="AA6253" t="s">
        <v>59</v>
      </c>
      <c r="AB6253" t="s">
        <v>59</v>
      </c>
      <c r="AC6253" t="s">
        <v>59</v>
      </c>
      <c r="AD6253" t="s">
        <v>59</v>
      </c>
      <c r="AF6253" s="1">
        <v>39328</v>
      </c>
      <c r="AG6253" t="s">
        <v>8645</v>
      </c>
      <c r="AH6253" t="s">
        <v>8646</v>
      </c>
      <c r="AI6253" t="str">
        <f>"9521015"</f>
        <v>9521015</v>
      </c>
      <c r="AJ6253" t="s">
        <v>8927</v>
      </c>
      <c r="AK6253">
        <v>2897029138</v>
      </c>
      <c r="AL6253" t="s">
        <v>8928</v>
      </c>
      <c r="AM6253" t="s">
        <v>78</v>
      </c>
      <c r="AN6253" t="s">
        <v>219</v>
      </c>
      <c r="AO6253" t="s">
        <v>219</v>
      </c>
      <c r="AP6253" t="s">
        <v>220</v>
      </c>
      <c r="AQ6253">
        <v>8</v>
      </c>
      <c r="AR6253" t="s">
        <v>80</v>
      </c>
      <c r="AS6253" t="s">
        <v>81</v>
      </c>
      <c r="AT6253" t="s">
        <v>58</v>
      </c>
      <c r="AU6253" t="s">
        <v>68</v>
      </c>
      <c r="AV6253" t="s">
        <v>69</v>
      </c>
      <c r="AW6253" s="1">
        <v>30576</v>
      </c>
      <c r="AX6253">
        <v>1</v>
      </c>
    </row>
    <row r="6254" spans="1:50">
      <c r="B6254" t="str">
        <f>"144595747"</f>
        <v>144595747</v>
      </c>
      <c r="C6254" t="s">
        <v>50</v>
      </c>
      <c r="D6254" t="s">
        <v>10677</v>
      </c>
      <c r="E6254" t="s">
        <v>699</v>
      </c>
      <c r="F6254" t="s">
        <v>72</v>
      </c>
      <c r="H6254" t="str">
        <f>" "</f>
        <v xml:space="preserve"> </v>
      </c>
      <c r="K6254">
        <v>6978025570</v>
      </c>
      <c r="N6254" t="s">
        <v>384</v>
      </c>
      <c r="O6254" t="s">
        <v>385</v>
      </c>
      <c r="R6254" t="s">
        <v>121</v>
      </c>
      <c r="S6254">
        <v>1</v>
      </c>
      <c r="T6254" t="s">
        <v>8696</v>
      </c>
      <c r="U6254" s="1">
        <v>43348</v>
      </c>
      <c r="V6254" t="s">
        <v>80</v>
      </c>
      <c r="W6254" t="s">
        <v>81</v>
      </c>
      <c r="X6254" t="s">
        <v>58</v>
      </c>
      <c r="Y6254">
        <v>24</v>
      </c>
      <c r="Z6254" t="s">
        <v>59</v>
      </c>
      <c r="AA6254" t="s">
        <v>59</v>
      </c>
      <c r="AB6254" t="s">
        <v>59</v>
      </c>
      <c r="AC6254" t="s">
        <v>59</v>
      </c>
      <c r="AD6254" t="s">
        <v>59</v>
      </c>
      <c r="AF6254" s="1">
        <v>43348</v>
      </c>
      <c r="AG6254" t="s">
        <v>8645</v>
      </c>
      <c r="AH6254" t="s">
        <v>8697</v>
      </c>
      <c r="AI6254" t="str">
        <f>"9170511"</f>
        <v>9170511</v>
      </c>
      <c r="AJ6254" t="s">
        <v>8698</v>
      </c>
      <c r="AK6254">
        <v>2810316275</v>
      </c>
      <c r="AL6254" t="s">
        <v>8699</v>
      </c>
      <c r="AM6254" t="s">
        <v>78</v>
      </c>
      <c r="AN6254" t="s">
        <v>78</v>
      </c>
      <c r="AO6254" t="s">
        <v>78</v>
      </c>
      <c r="AP6254" t="s">
        <v>141</v>
      </c>
      <c r="AQ6254">
        <v>1</v>
      </c>
      <c r="AR6254" t="s">
        <v>80</v>
      </c>
      <c r="AS6254" t="s">
        <v>81</v>
      </c>
      <c r="AT6254" t="s">
        <v>58</v>
      </c>
      <c r="AU6254" t="s">
        <v>350</v>
      </c>
      <c r="AV6254" t="s">
        <v>132</v>
      </c>
      <c r="AW6254" s="1">
        <v>32429</v>
      </c>
      <c r="AX6254">
        <v>1</v>
      </c>
    </row>
    <row r="6255" spans="1:50">
      <c r="A6255">
        <v>607308</v>
      </c>
      <c r="B6255" t="str">
        <f>"064575785"</f>
        <v>064575785</v>
      </c>
      <c r="C6255" t="s">
        <v>50</v>
      </c>
      <c r="D6255" t="s">
        <v>2718</v>
      </c>
      <c r="E6255" t="s">
        <v>250</v>
      </c>
      <c r="F6255" t="s">
        <v>377</v>
      </c>
      <c r="G6255" t="s">
        <v>237</v>
      </c>
      <c r="H6255" t="str">
        <f>"Αρχιεπισκόπου Ευγενίου 25 ¶γιος Ιωάννης"</f>
        <v>Αρχιεπισκόπου Ευγενίου 25 ¶γιος Ιωάννης</v>
      </c>
      <c r="I6255">
        <v>71409</v>
      </c>
      <c r="J6255">
        <v>2810322350</v>
      </c>
      <c r="K6255">
        <v>6973823769</v>
      </c>
      <c r="M6255" t="s">
        <v>10678</v>
      </c>
      <c r="N6255" t="s">
        <v>615</v>
      </c>
      <c r="O6255" t="s">
        <v>616</v>
      </c>
      <c r="R6255" t="s">
        <v>57</v>
      </c>
      <c r="S6255">
        <v>7</v>
      </c>
      <c r="T6255" t="s">
        <v>9361</v>
      </c>
      <c r="U6255" s="1">
        <v>38600</v>
      </c>
      <c r="V6255" t="s">
        <v>80</v>
      </c>
      <c r="W6255" t="s">
        <v>81</v>
      </c>
      <c r="X6255" t="s">
        <v>58</v>
      </c>
      <c r="Y6255">
        <v>23</v>
      </c>
      <c r="Z6255" t="s">
        <v>59</v>
      </c>
      <c r="AA6255" t="s">
        <v>59</v>
      </c>
      <c r="AB6255" t="s">
        <v>59</v>
      </c>
      <c r="AC6255" t="s">
        <v>59</v>
      </c>
      <c r="AD6255" t="s">
        <v>59</v>
      </c>
      <c r="AF6255" s="1">
        <v>38600</v>
      </c>
      <c r="AG6255" t="s">
        <v>8645</v>
      </c>
      <c r="AH6255" t="s">
        <v>8646</v>
      </c>
      <c r="AI6255" t="str">
        <f>"9521093"</f>
        <v>9521093</v>
      </c>
      <c r="AJ6255" t="s">
        <v>9153</v>
      </c>
      <c r="AK6255">
        <v>2810322162</v>
      </c>
      <c r="AL6255" t="s">
        <v>9154</v>
      </c>
      <c r="AM6255" t="s">
        <v>78</v>
      </c>
      <c r="AN6255" t="s">
        <v>78</v>
      </c>
      <c r="AO6255" t="s">
        <v>78</v>
      </c>
      <c r="AP6255" t="s">
        <v>163</v>
      </c>
      <c r="AQ6255">
        <v>1</v>
      </c>
      <c r="AR6255" t="s">
        <v>80</v>
      </c>
      <c r="AS6255" t="s">
        <v>81</v>
      </c>
      <c r="AT6255" t="s">
        <v>58</v>
      </c>
      <c r="AU6255" t="s">
        <v>68</v>
      </c>
      <c r="AV6255" t="s">
        <v>69</v>
      </c>
      <c r="AW6255" s="1">
        <v>30004</v>
      </c>
      <c r="AX6255">
        <v>1</v>
      </c>
    </row>
    <row r="6256" spans="1:50">
      <c r="B6256" t="str">
        <f>"152322026"</f>
        <v>152322026</v>
      </c>
      <c r="C6256" t="s">
        <v>50</v>
      </c>
      <c r="D6256" t="s">
        <v>10679</v>
      </c>
      <c r="E6256" t="s">
        <v>620</v>
      </c>
      <c r="F6256" t="s">
        <v>53</v>
      </c>
      <c r="G6256" t="s">
        <v>513</v>
      </c>
      <c r="H6256" t="str">
        <f>"ΒΑΤΟΣ "</f>
        <v xml:space="preserve">ΒΑΤΟΣ </v>
      </c>
      <c r="I6256">
        <v>49100</v>
      </c>
      <c r="J6256">
        <v>2661094902</v>
      </c>
      <c r="K6256">
        <v>6979758087</v>
      </c>
      <c r="N6256" t="s">
        <v>615</v>
      </c>
      <c r="O6256" t="s">
        <v>616</v>
      </c>
      <c r="R6256" t="s">
        <v>159</v>
      </c>
      <c r="S6256">
        <v>3</v>
      </c>
      <c r="T6256" t="s">
        <v>8675</v>
      </c>
      <c r="U6256" s="1">
        <v>43348</v>
      </c>
      <c r="V6256" t="s">
        <v>80</v>
      </c>
      <c r="W6256" t="s">
        <v>81</v>
      </c>
      <c r="X6256" t="s">
        <v>58</v>
      </c>
      <c r="Y6256">
        <v>24</v>
      </c>
      <c r="Z6256" t="s">
        <v>59</v>
      </c>
      <c r="AA6256" t="s">
        <v>59</v>
      </c>
      <c r="AB6256" t="s">
        <v>59</v>
      </c>
      <c r="AC6256" t="s">
        <v>59</v>
      </c>
      <c r="AD6256" t="s">
        <v>59</v>
      </c>
      <c r="AF6256" s="1">
        <v>43348</v>
      </c>
      <c r="AG6256" t="s">
        <v>8645</v>
      </c>
      <c r="AH6256" t="s">
        <v>8646</v>
      </c>
      <c r="AI6256" t="str">
        <f>"9170319"</f>
        <v>9170319</v>
      </c>
      <c r="AJ6256" t="s">
        <v>9121</v>
      </c>
      <c r="AK6256">
        <v>2893022231</v>
      </c>
      <c r="AL6256" t="s">
        <v>9122</v>
      </c>
      <c r="AM6256" t="s">
        <v>78</v>
      </c>
      <c r="AN6256" t="s">
        <v>424</v>
      </c>
      <c r="AO6256" t="s">
        <v>577</v>
      </c>
      <c r="AP6256" t="s">
        <v>1668</v>
      </c>
      <c r="AQ6256">
        <v>10</v>
      </c>
      <c r="AR6256" t="s">
        <v>80</v>
      </c>
      <c r="AS6256" t="s">
        <v>81</v>
      </c>
      <c r="AT6256" t="s">
        <v>58</v>
      </c>
      <c r="AU6256" t="s">
        <v>8673</v>
      </c>
      <c r="AV6256" t="s">
        <v>132</v>
      </c>
      <c r="AW6256" s="1">
        <v>30298</v>
      </c>
      <c r="AX6256">
        <v>1</v>
      </c>
    </row>
    <row r="6257" spans="1:50">
      <c r="A6257">
        <v>617259</v>
      </c>
      <c r="B6257" t="str">
        <f>"078247567"</f>
        <v>078247567</v>
      </c>
      <c r="C6257" t="s">
        <v>50</v>
      </c>
      <c r="D6257" t="s">
        <v>10680</v>
      </c>
      <c r="E6257" t="s">
        <v>109</v>
      </c>
      <c r="F6257" t="s">
        <v>1111</v>
      </c>
      <c r="G6257" t="s">
        <v>52</v>
      </c>
      <c r="H6257" t="str">
        <f>"ΕΦΕΔΡΩΝ ΑΞΙΩΜΑΤΙΚΩΝ 12 ΗΡΑΚΛΕΙΟ"</f>
        <v>ΕΦΕΔΡΩΝ ΑΞΙΩΜΑΤΙΚΩΝ 12 ΗΡΑΚΛΕΙΟ</v>
      </c>
      <c r="I6257">
        <v>71307</v>
      </c>
      <c r="J6257">
        <v>2810289961</v>
      </c>
      <c r="K6257">
        <v>6976404986</v>
      </c>
      <c r="N6257" t="s">
        <v>615</v>
      </c>
      <c r="O6257" t="s">
        <v>616</v>
      </c>
      <c r="R6257" t="s">
        <v>57</v>
      </c>
      <c r="S6257">
        <v>6</v>
      </c>
      <c r="T6257">
        <v>774</v>
      </c>
      <c r="U6257" s="1">
        <v>39680</v>
      </c>
      <c r="V6257" t="s">
        <v>80</v>
      </c>
      <c r="W6257" t="s">
        <v>81</v>
      </c>
      <c r="X6257" t="s">
        <v>58</v>
      </c>
      <c r="Y6257">
        <v>23</v>
      </c>
      <c r="Z6257" t="s">
        <v>59</v>
      </c>
      <c r="AA6257" t="s">
        <v>59</v>
      </c>
      <c r="AB6257" t="s">
        <v>59</v>
      </c>
      <c r="AC6257" t="s">
        <v>59</v>
      </c>
      <c r="AD6257" t="s">
        <v>59</v>
      </c>
      <c r="AF6257" s="1">
        <v>39681</v>
      </c>
      <c r="AG6257" t="s">
        <v>8645</v>
      </c>
      <c r="AH6257" t="s">
        <v>8646</v>
      </c>
      <c r="AI6257" t="str">
        <f>"9170255"</f>
        <v>9170255</v>
      </c>
      <c r="AJ6257" t="s">
        <v>8915</v>
      </c>
      <c r="AK6257">
        <v>2810220750</v>
      </c>
      <c r="AL6257" t="s">
        <v>8916</v>
      </c>
      <c r="AM6257" t="s">
        <v>78</v>
      </c>
      <c r="AN6257" t="s">
        <v>78</v>
      </c>
      <c r="AO6257" t="s">
        <v>78</v>
      </c>
      <c r="AP6257" t="s">
        <v>213</v>
      </c>
      <c r="AQ6257">
        <v>1</v>
      </c>
      <c r="AR6257" t="s">
        <v>80</v>
      </c>
      <c r="AS6257" t="s">
        <v>81</v>
      </c>
      <c r="AT6257" t="s">
        <v>58</v>
      </c>
      <c r="AU6257" t="s">
        <v>68</v>
      </c>
      <c r="AV6257" t="s">
        <v>69</v>
      </c>
      <c r="AW6257" s="1">
        <v>30450</v>
      </c>
      <c r="AX6257">
        <v>1</v>
      </c>
    </row>
    <row r="6258" spans="1:50">
      <c r="A6258">
        <v>620603</v>
      </c>
      <c r="B6258" t="str">
        <f>"124716189"</f>
        <v>124716189</v>
      </c>
      <c r="C6258" t="s">
        <v>105</v>
      </c>
      <c r="D6258" t="s">
        <v>10681</v>
      </c>
      <c r="E6258" t="s">
        <v>1841</v>
      </c>
      <c r="F6258" t="s">
        <v>95</v>
      </c>
      <c r="G6258" t="s">
        <v>191</v>
      </c>
      <c r="H6258" t="str">
        <f>"ΑΘΑΝΑΣΙΟΥ ΚΑΡΠΕΝΗΣΙΩΤΗ 104 ΚΑΡΠΕΝΗΣΙ "</f>
        <v xml:space="preserve">ΑΘΑΝΑΣΙΟΥ ΚΑΡΠΕΝΗΣΙΩΤΗ 104 ΚΑΡΠΕΝΗΣΙ </v>
      </c>
      <c r="I6258">
        <v>36100</v>
      </c>
      <c r="J6258">
        <v>2237080376</v>
      </c>
      <c r="K6258">
        <v>6976357932</v>
      </c>
      <c r="M6258" t="s">
        <v>10682</v>
      </c>
      <c r="N6258" t="s">
        <v>615</v>
      </c>
      <c r="O6258" t="s">
        <v>616</v>
      </c>
      <c r="R6258" t="s">
        <v>57</v>
      </c>
      <c r="S6258">
        <v>5</v>
      </c>
      <c r="T6258">
        <v>653</v>
      </c>
      <c r="U6258" s="1">
        <v>40043</v>
      </c>
      <c r="V6258" t="s">
        <v>80</v>
      </c>
      <c r="W6258" t="s">
        <v>81</v>
      </c>
      <c r="X6258" t="s">
        <v>58</v>
      </c>
      <c r="Y6258">
        <v>23</v>
      </c>
      <c r="Z6258" t="s">
        <v>59</v>
      </c>
      <c r="AA6258" t="s">
        <v>59</v>
      </c>
      <c r="AB6258" t="s">
        <v>59</v>
      </c>
      <c r="AC6258" t="s">
        <v>59</v>
      </c>
      <c r="AD6258" t="s">
        <v>59</v>
      </c>
      <c r="AF6258" s="1">
        <v>40043</v>
      </c>
      <c r="AG6258" t="s">
        <v>8645</v>
      </c>
      <c r="AH6258" t="s">
        <v>8646</v>
      </c>
      <c r="AI6258" t="str">
        <f>"9170520"</f>
        <v>9170520</v>
      </c>
      <c r="AJ6258" t="s">
        <v>8738</v>
      </c>
      <c r="AK6258">
        <v>2810281317</v>
      </c>
      <c r="AL6258" t="s">
        <v>8739</v>
      </c>
      <c r="AM6258" t="s">
        <v>78</v>
      </c>
      <c r="AN6258" t="s">
        <v>78</v>
      </c>
      <c r="AO6258" t="s">
        <v>286</v>
      </c>
      <c r="AP6258" t="s">
        <v>286</v>
      </c>
      <c r="AQ6258">
        <v>1</v>
      </c>
      <c r="AR6258" t="s">
        <v>80</v>
      </c>
      <c r="AS6258" t="s">
        <v>81</v>
      </c>
      <c r="AT6258" t="s">
        <v>58</v>
      </c>
      <c r="AU6258" t="s">
        <v>68</v>
      </c>
      <c r="AV6258" t="s">
        <v>69</v>
      </c>
      <c r="AW6258" s="1">
        <v>27888</v>
      </c>
      <c r="AX6258">
        <v>1</v>
      </c>
    </row>
    <row r="6259" spans="1:50">
      <c r="B6259" t="str">
        <f>"153361049"</f>
        <v>153361049</v>
      </c>
      <c r="C6259" t="s">
        <v>105</v>
      </c>
      <c r="D6259" t="s">
        <v>10683</v>
      </c>
      <c r="E6259" t="s">
        <v>106</v>
      </c>
      <c r="F6259" t="s">
        <v>53</v>
      </c>
      <c r="G6259" t="s">
        <v>83</v>
      </c>
      <c r="H6259" t="str">
        <f>"Ν.ΣΚΟΠΟΣ "</f>
        <v xml:space="preserve">Ν.ΣΚΟΠΟΣ </v>
      </c>
      <c r="I6259">
        <v>62044</v>
      </c>
      <c r="J6259">
        <v>2321032494</v>
      </c>
      <c r="K6259">
        <v>6946086876</v>
      </c>
      <c r="M6259" t="s">
        <v>10684</v>
      </c>
      <c r="N6259" t="s">
        <v>615</v>
      </c>
      <c r="O6259" t="s">
        <v>616</v>
      </c>
      <c r="R6259" t="s">
        <v>159</v>
      </c>
      <c r="S6259">
        <v>3</v>
      </c>
      <c r="T6259" t="s">
        <v>8675</v>
      </c>
      <c r="U6259" s="1">
        <v>43348</v>
      </c>
      <c r="V6259" t="s">
        <v>80</v>
      </c>
      <c r="W6259" t="s">
        <v>81</v>
      </c>
      <c r="X6259" t="s">
        <v>58</v>
      </c>
      <c r="Y6259">
        <v>24</v>
      </c>
      <c r="Z6259" t="s">
        <v>59</v>
      </c>
      <c r="AA6259" t="s">
        <v>59</v>
      </c>
      <c r="AB6259" t="s">
        <v>59</v>
      </c>
      <c r="AC6259" t="s">
        <v>59</v>
      </c>
      <c r="AD6259" t="s">
        <v>59</v>
      </c>
      <c r="AF6259" s="1">
        <v>43348</v>
      </c>
      <c r="AG6259" t="s">
        <v>8645</v>
      </c>
      <c r="AH6259" t="s">
        <v>8646</v>
      </c>
      <c r="AI6259" t="str">
        <f>"9170206"</f>
        <v>9170206</v>
      </c>
      <c r="AJ6259" t="s">
        <v>8972</v>
      </c>
      <c r="AK6259">
        <v>2810761137</v>
      </c>
      <c r="AL6259" t="s">
        <v>8973</v>
      </c>
      <c r="AM6259" t="s">
        <v>78</v>
      </c>
      <c r="AN6259" t="s">
        <v>219</v>
      </c>
      <c r="AO6259" t="s">
        <v>297</v>
      </c>
      <c r="AP6259" t="s">
        <v>8796</v>
      </c>
      <c r="AQ6259">
        <v>7</v>
      </c>
      <c r="AR6259" t="s">
        <v>80</v>
      </c>
      <c r="AS6259" t="s">
        <v>81</v>
      </c>
      <c r="AT6259" t="s">
        <v>58</v>
      </c>
      <c r="AU6259" t="s">
        <v>8673</v>
      </c>
      <c r="AV6259" t="s">
        <v>132</v>
      </c>
      <c r="AW6259" s="1">
        <v>32185</v>
      </c>
      <c r="AX6259">
        <v>1</v>
      </c>
    </row>
    <row r="6260" spans="1:50">
      <c r="A6260">
        <v>599111</v>
      </c>
      <c r="B6260" t="str">
        <f>"075743650"</f>
        <v>075743650</v>
      </c>
      <c r="C6260" t="s">
        <v>105</v>
      </c>
      <c r="D6260" t="s">
        <v>10685</v>
      </c>
      <c r="E6260" t="s">
        <v>459</v>
      </c>
      <c r="F6260" t="s">
        <v>84</v>
      </c>
      <c r="G6260" t="s">
        <v>10686</v>
      </c>
      <c r="H6260" t="str">
        <f>"ΜΟΥΖΑΚΙ ΚΑΡΔΙΤΣΑ"</f>
        <v>ΜΟΥΖΑΚΙ ΚΑΡΔΙΤΣΑ</v>
      </c>
      <c r="J6260">
        <v>2445041164</v>
      </c>
      <c r="K6260">
        <v>6972315311</v>
      </c>
      <c r="N6260" t="s">
        <v>615</v>
      </c>
      <c r="O6260" t="s">
        <v>616</v>
      </c>
      <c r="R6260" t="s">
        <v>57</v>
      </c>
      <c r="S6260">
        <v>9</v>
      </c>
      <c r="T6260">
        <v>195</v>
      </c>
      <c r="U6260" s="1">
        <v>37497</v>
      </c>
      <c r="V6260" t="s">
        <v>80</v>
      </c>
      <c r="W6260" t="s">
        <v>81</v>
      </c>
      <c r="X6260" t="s">
        <v>58</v>
      </c>
      <c r="Y6260">
        <v>22</v>
      </c>
      <c r="Z6260" t="s">
        <v>59</v>
      </c>
      <c r="AA6260" t="s">
        <v>59</v>
      </c>
      <c r="AB6260" t="s">
        <v>59</v>
      </c>
      <c r="AC6260" t="s">
        <v>59</v>
      </c>
      <c r="AD6260" t="s">
        <v>59</v>
      </c>
      <c r="AF6260" s="1">
        <v>37502</v>
      </c>
      <c r="AG6260" t="s">
        <v>8645</v>
      </c>
      <c r="AH6260" t="s">
        <v>8646</v>
      </c>
      <c r="AI6260" t="str">
        <f>"9170268"</f>
        <v>9170268</v>
      </c>
      <c r="AJ6260" t="s">
        <v>9301</v>
      </c>
      <c r="AK6260">
        <v>2892022710</v>
      </c>
      <c r="AL6260" t="s">
        <v>9302</v>
      </c>
      <c r="AM6260" t="s">
        <v>78</v>
      </c>
      <c r="AN6260" t="s">
        <v>242</v>
      </c>
      <c r="AO6260" t="s">
        <v>243</v>
      </c>
      <c r="AP6260" t="s">
        <v>243</v>
      </c>
      <c r="AQ6260">
        <v>20</v>
      </c>
      <c r="AR6260" t="s">
        <v>80</v>
      </c>
      <c r="AS6260" t="s">
        <v>81</v>
      </c>
      <c r="AT6260" t="s">
        <v>58</v>
      </c>
      <c r="AU6260" t="s">
        <v>68</v>
      </c>
      <c r="AV6260" t="s">
        <v>69</v>
      </c>
      <c r="AW6260" s="1">
        <v>25036</v>
      </c>
      <c r="AX6260">
        <v>1</v>
      </c>
    </row>
    <row r="6261" spans="1:50">
      <c r="B6261" t="str">
        <f>"128337760"</f>
        <v>128337760</v>
      </c>
      <c r="C6261" t="s">
        <v>50</v>
      </c>
      <c r="D6261" t="s">
        <v>106</v>
      </c>
      <c r="E6261" t="s">
        <v>484</v>
      </c>
      <c r="F6261" t="s">
        <v>1523</v>
      </c>
      <c r="G6261" t="s">
        <v>73</v>
      </c>
      <c r="H6261" t="str">
        <f>" ΓΡΑΜΜΟΥ 38 ΜΟΣΧΑΤΟ"</f>
        <v xml:space="preserve"> ΓΡΑΜΜΟΥ 38 ΜΟΣΧΑΤΟ</v>
      </c>
      <c r="I6261">
        <v>18345</v>
      </c>
      <c r="J6261">
        <v>2109578184</v>
      </c>
      <c r="K6261">
        <v>6973403768</v>
      </c>
      <c r="N6261" t="s">
        <v>306</v>
      </c>
      <c r="O6261" t="s">
        <v>307</v>
      </c>
      <c r="R6261" t="s">
        <v>159</v>
      </c>
      <c r="S6261">
        <v>4</v>
      </c>
      <c r="T6261" t="s">
        <v>8675</v>
      </c>
      <c r="U6261" s="1">
        <v>43348</v>
      </c>
      <c r="V6261" t="s">
        <v>80</v>
      </c>
      <c r="W6261" t="s">
        <v>81</v>
      </c>
      <c r="X6261" t="s">
        <v>58</v>
      </c>
      <c r="Y6261">
        <v>24</v>
      </c>
      <c r="Z6261" t="s">
        <v>59</v>
      </c>
      <c r="AA6261" t="s">
        <v>59</v>
      </c>
      <c r="AB6261" t="s">
        <v>59</v>
      </c>
      <c r="AC6261" t="s">
        <v>59</v>
      </c>
      <c r="AD6261" t="s">
        <v>59</v>
      </c>
      <c r="AF6261" s="1">
        <v>43348</v>
      </c>
      <c r="AG6261" t="s">
        <v>8645</v>
      </c>
      <c r="AH6261" t="s">
        <v>8646</v>
      </c>
      <c r="AI6261" t="str">
        <f>"9170190"</f>
        <v>9170190</v>
      </c>
      <c r="AJ6261" t="s">
        <v>8689</v>
      </c>
      <c r="AK6261">
        <v>2810232169</v>
      </c>
      <c r="AL6261" t="s">
        <v>8690</v>
      </c>
      <c r="AM6261" t="s">
        <v>78</v>
      </c>
      <c r="AN6261" t="s">
        <v>78</v>
      </c>
      <c r="AO6261" t="s">
        <v>78</v>
      </c>
      <c r="AP6261" t="s">
        <v>163</v>
      </c>
      <c r="AQ6261">
        <v>1</v>
      </c>
      <c r="AR6261" t="s">
        <v>80</v>
      </c>
      <c r="AS6261" t="s">
        <v>81</v>
      </c>
      <c r="AT6261" t="s">
        <v>58</v>
      </c>
      <c r="AU6261" t="s">
        <v>8673</v>
      </c>
      <c r="AV6261" t="s">
        <v>132</v>
      </c>
      <c r="AW6261" s="1">
        <v>28767</v>
      </c>
      <c r="AX6261">
        <v>1</v>
      </c>
    </row>
    <row r="6262" spans="1:50">
      <c r="B6262" t="str">
        <f>"138109327"</f>
        <v>138109327</v>
      </c>
      <c r="C6262" t="s">
        <v>105</v>
      </c>
      <c r="D6262" t="s">
        <v>7815</v>
      </c>
      <c r="E6262" t="s">
        <v>1357</v>
      </c>
      <c r="F6262" t="s">
        <v>95</v>
      </c>
      <c r="G6262" t="s">
        <v>155</v>
      </c>
      <c r="H6262" t="str">
        <f>"Ε ΕΡΓΑΤΙΚΕΣ ΚΑΤΟΙΚΙΕΣ 8/Β "</f>
        <v xml:space="preserve">Ε ΕΡΓΑΤΙΚΕΣ ΚΑΤΟΙΚΙΕΣ 8/Β </v>
      </c>
      <c r="I6262">
        <v>50200</v>
      </c>
      <c r="J6262">
        <v>2463023432</v>
      </c>
      <c r="K6262">
        <v>6977818704</v>
      </c>
      <c r="N6262" t="s">
        <v>615</v>
      </c>
      <c r="O6262" t="s">
        <v>616</v>
      </c>
      <c r="R6262" t="s">
        <v>159</v>
      </c>
      <c r="S6262">
        <v>3</v>
      </c>
      <c r="T6262" t="s">
        <v>8675</v>
      </c>
      <c r="U6262" s="1">
        <v>43348</v>
      </c>
      <c r="V6262" t="s">
        <v>80</v>
      </c>
      <c r="W6262" t="s">
        <v>81</v>
      </c>
      <c r="X6262" t="s">
        <v>58</v>
      </c>
      <c r="Y6262">
        <v>24</v>
      </c>
      <c r="Z6262" t="s">
        <v>59</v>
      </c>
      <c r="AA6262" t="s">
        <v>59</v>
      </c>
      <c r="AB6262" t="s">
        <v>59</v>
      </c>
      <c r="AC6262" t="s">
        <v>59</v>
      </c>
      <c r="AD6262" t="s">
        <v>59</v>
      </c>
      <c r="AF6262" s="1">
        <v>43348</v>
      </c>
      <c r="AG6262" t="s">
        <v>8645</v>
      </c>
      <c r="AH6262" t="s">
        <v>8646</v>
      </c>
      <c r="AI6262" t="str">
        <f>"9170017"</f>
        <v>9170017</v>
      </c>
      <c r="AJ6262" t="s">
        <v>9114</v>
      </c>
      <c r="AK6262">
        <v>2810250746</v>
      </c>
      <c r="AL6262" t="s">
        <v>9115</v>
      </c>
      <c r="AM6262" t="s">
        <v>78</v>
      </c>
      <c r="AN6262" t="s">
        <v>129</v>
      </c>
      <c r="AO6262" t="s">
        <v>130</v>
      </c>
      <c r="AP6262" t="s">
        <v>130</v>
      </c>
      <c r="AQ6262">
        <v>1</v>
      </c>
      <c r="AR6262" t="s">
        <v>80</v>
      </c>
      <c r="AS6262" t="s">
        <v>81</v>
      </c>
      <c r="AT6262" t="s">
        <v>58</v>
      </c>
      <c r="AU6262" t="s">
        <v>8673</v>
      </c>
      <c r="AV6262" t="s">
        <v>132</v>
      </c>
      <c r="AW6262" s="1">
        <v>31637</v>
      </c>
      <c r="AX6262">
        <v>1</v>
      </c>
    </row>
    <row r="6263" spans="1:50">
      <c r="B6263" t="str">
        <f>"142268140"</f>
        <v>142268140</v>
      </c>
      <c r="C6263" t="s">
        <v>105</v>
      </c>
      <c r="D6263" t="s">
        <v>7815</v>
      </c>
      <c r="E6263" t="s">
        <v>111</v>
      </c>
      <c r="F6263" t="s">
        <v>72</v>
      </c>
      <c r="G6263" t="s">
        <v>4671</v>
      </c>
      <c r="H6263" t="str">
        <f>"ΜΕΓΑΠΛΑΤΑΝΟΣ  "</f>
        <v xml:space="preserve">ΜΕΓΑΠΛΑΤΑΝΟΣ  </v>
      </c>
      <c r="I6263">
        <v>58400</v>
      </c>
      <c r="J6263">
        <v>2384094375</v>
      </c>
      <c r="K6263">
        <v>6976080070</v>
      </c>
      <c r="N6263" t="s">
        <v>615</v>
      </c>
      <c r="O6263" t="s">
        <v>616</v>
      </c>
      <c r="R6263" t="s">
        <v>159</v>
      </c>
      <c r="S6263">
        <v>4</v>
      </c>
      <c r="T6263" t="s">
        <v>8675</v>
      </c>
      <c r="U6263" s="1">
        <v>43348</v>
      </c>
      <c r="V6263" t="s">
        <v>80</v>
      </c>
      <c r="W6263" t="s">
        <v>81</v>
      </c>
      <c r="X6263" t="s">
        <v>58</v>
      </c>
      <c r="Y6263">
        <v>25</v>
      </c>
      <c r="Z6263" t="s">
        <v>59</v>
      </c>
      <c r="AA6263" t="s">
        <v>59</v>
      </c>
      <c r="AB6263" t="s">
        <v>59</v>
      </c>
      <c r="AC6263" t="s">
        <v>59</v>
      </c>
      <c r="AD6263" t="s">
        <v>59</v>
      </c>
      <c r="AF6263" s="1">
        <v>43348</v>
      </c>
      <c r="AG6263" t="s">
        <v>8645</v>
      </c>
      <c r="AH6263" t="s">
        <v>8676</v>
      </c>
      <c r="AI6263" t="str">
        <f>"9170325"</f>
        <v>9170325</v>
      </c>
      <c r="AJ6263" t="s">
        <v>9805</v>
      </c>
      <c r="AK6263">
        <v>2893031002</v>
      </c>
      <c r="AL6263" t="s">
        <v>9806</v>
      </c>
      <c r="AM6263" t="s">
        <v>78</v>
      </c>
      <c r="AN6263" t="s">
        <v>405</v>
      </c>
      <c r="AO6263" t="s">
        <v>805</v>
      </c>
      <c r="AP6263" t="s">
        <v>9807</v>
      </c>
      <c r="AQ6263">
        <v>15</v>
      </c>
      <c r="AR6263" t="s">
        <v>80</v>
      </c>
      <c r="AS6263" t="s">
        <v>81</v>
      </c>
      <c r="AT6263" t="s">
        <v>58</v>
      </c>
      <c r="AU6263" t="s">
        <v>8673</v>
      </c>
      <c r="AV6263" t="s">
        <v>132</v>
      </c>
      <c r="AW6263" s="1">
        <v>32594</v>
      </c>
      <c r="AX6263">
        <v>1</v>
      </c>
    </row>
    <row r="6264" spans="1:50">
      <c r="A6264">
        <v>599115</v>
      </c>
      <c r="B6264" t="str">
        <f>"079333720"</f>
        <v>079333720</v>
      </c>
      <c r="C6264" t="s">
        <v>50</v>
      </c>
      <c r="D6264" t="s">
        <v>5126</v>
      </c>
      <c r="E6264" t="s">
        <v>964</v>
      </c>
      <c r="F6264" t="s">
        <v>95</v>
      </c>
      <c r="G6264" t="s">
        <v>191</v>
      </c>
      <c r="H6264" t="str">
        <f>"ΚΟΚΚΙΝΟΣ ΠΥΡΓΟΣ "</f>
        <v xml:space="preserve">ΚΟΚΚΙΝΟΣ ΠΥΡΓΟΣ </v>
      </c>
      <c r="I6264">
        <v>70200</v>
      </c>
      <c r="J6264">
        <v>2892053416</v>
      </c>
      <c r="K6264">
        <v>6932909960</v>
      </c>
      <c r="M6264" t="s">
        <v>10687</v>
      </c>
      <c r="N6264" t="s">
        <v>615</v>
      </c>
      <c r="O6264" t="s">
        <v>616</v>
      </c>
      <c r="R6264" t="s">
        <v>57</v>
      </c>
      <c r="S6264">
        <v>9</v>
      </c>
      <c r="T6264">
        <v>195</v>
      </c>
      <c r="U6264" s="1">
        <v>37497</v>
      </c>
      <c r="V6264" t="s">
        <v>80</v>
      </c>
      <c r="W6264" t="s">
        <v>81</v>
      </c>
      <c r="X6264" t="s">
        <v>58</v>
      </c>
      <c r="Y6264">
        <v>22</v>
      </c>
      <c r="Z6264" t="s">
        <v>59</v>
      </c>
      <c r="AA6264" t="s">
        <v>59</v>
      </c>
      <c r="AB6264" t="s">
        <v>59</v>
      </c>
      <c r="AC6264" t="s">
        <v>59</v>
      </c>
      <c r="AD6264" t="s">
        <v>59</v>
      </c>
      <c r="AF6264" s="1">
        <v>37502</v>
      </c>
      <c r="AG6264" t="s">
        <v>8645</v>
      </c>
      <c r="AH6264" t="s">
        <v>8646</v>
      </c>
      <c r="AI6264" t="str">
        <f>"9170536"</f>
        <v>9170536</v>
      </c>
      <c r="AJ6264" t="s">
        <v>8740</v>
      </c>
      <c r="AK6264">
        <v>2892051187</v>
      </c>
      <c r="AL6264" t="s">
        <v>8741</v>
      </c>
      <c r="AM6264" t="s">
        <v>78</v>
      </c>
      <c r="AN6264" t="s">
        <v>242</v>
      </c>
      <c r="AO6264" t="s">
        <v>349</v>
      </c>
      <c r="AP6264" t="s">
        <v>349</v>
      </c>
      <c r="AQ6264">
        <v>19</v>
      </c>
      <c r="AR6264" t="s">
        <v>80</v>
      </c>
      <c r="AS6264" t="s">
        <v>81</v>
      </c>
      <c r="AT6264" t="s">
        <v>58</v>
      </c>
      <c r="AU6264" t="s">
        <v>68</v>
      </c>
      <c r="AV6264" t="s">
        <v>69</v>
      </c>
      <c r="AW6264" s="1">
        <v>24883</v>
      </c>
      <c r="AX6264">
        <v>1</v>
      </c>
    </row>
    <row r="6265" spans="1:50">
      <c r="A6265">
        <v>564194</v>
      </c>
      <c r="B6265" t="str">
        <f>"037446539"</f>
        <v>037446539</v>
      </c>
      <c r="C6265" t="s">
        <v>50</v>
      </c>
      <c r="D6265" t="s">
        <v>5126</v>
      </c>
      <c r="E6265" t="s">
        <v>314</v>
      </c>
      <c r="F6265" t="s">
        <v>72</v>
      </c>
      <c r="G6265" t="s">
        <v>96</v>
      </c>
      <c r="H6265" t="str">
        <f>"ΚΑΡΤΕΡΟΣ ΗΡΑΚΛΕΙΟΥ"</f>
        <v>ΚΑΡΤΕΡΟΣ ΗΡΑΚΛΕΙΟΥ</v>
      </c>
      <c r="I6265">
        <v>71500</v>
      </c>
      <c r="J6265">
        <v>2810380565</v>
      </c>
      <c r="K6265">
        <v>6977474018</v>
      </c>
      <c r="N6265" t="s">
        <v>615</v>
      </c>
      <c r="O6265" t="s">
        <v>616</v>
      </c>
      <c r="R6265" t="s">
        <v>57</v>
      </c>
      <c r="S6265">
        <v>15</v>
      </c>
      <c r="T6265">
        <v>161</v>
      </c>
      <c r="U6265" s="1">
        <v>33119</v>
      </c>
      <c r="V6265" t="s">
        <v>80</v>
      </c>
      <c r="W6265" t="s">
        <v>81</v>
      </c>
      <c r="X6265" t="s">
        <v>58</v>
      </c>
      <c r="Y6265">
        <v>21</v>
      </c>
      <c r="Z6265" t="s">
        <v>59</v>
      </c>
      <c r="AA6265" t="s">
        <v>59</v>
      </c>
      <c r="AB6265" t="s">
        <v>59</v>
      </c>
      <c r="AC6265" t="s">
        <v>59</v>
      </c>
      <c r="AD6265" t="s">
        <v>59</v>
      </c>
      <c r="AF6265" s="1">
        <v>33121</v>
      </c>
      <c r="AG6265" t="s">
        <v>8645</v>
      </c>
      <c r="AH6265" t="s">
        <v>8646</v>
      </c>
      <c r="AI6265" t="str">
        <f>"9170264"</f>
        <v>9170264</v>
      </c>
      <c r="AJ6265" t="s">
        <v>8718</v>
      </c>
      <c r="AK6265">
        <v>2810332030</v>
      </c>
      <c r="AL6265" t="s">
        <v>8719</v>
      </c>
      <c r="AM6265" t="s">
        <v>78</v>
      </c>
      <c r="AN6265" t="s">
        <v>78</v>
      </c>
      <c r="AO6265" t="s">
        <v>286</v>
      </c>
      <c r="AP6265" t="s">
        <v>286</v>
      </c>
      <c r="AQ6265">
        <v>1</v>
      </c>
      <c r="AR6265" t="s">
        <v>80</v>
      </c>
      <c r="AS6265" t="s">
        <v>81</v>
      </c>
      <c r="AT6265" t="s">
        <v>58</v>
      </c>
      <c r="AU6265" t="s">
        <v>68</v>
      </c>
      <c r="AV6265" t="s">
        <v>69</v>
      </c>
      <c r="AW6265" s="1">
        <v>24380</v>
      </c>
      <c r="AX6265">
        <v>1</v>
      </c>
    </row>
    <row r="6266" spans="1:50">
      <c r="A6266">
        <v>586605</v>
      </c>
      <c r="B6266" t="str">
        <f>"065140019"</f>
        <v>065140019</v>
      </c>
      <c r="C6266" t="s">
        <v>50</v>
      </c>
      <c r="D6266" t="s">
        <v>10688</v>
      </c>
      <c r="E6266" t="s">
        <v>263</v>
      </c>
      <c r="F6266" t="s">
        <v>383</v>
      </c>
      <c r="G6266" t="s">
        <v>4158</v>
      </c>
      <c r="H6266" t="str">
        <f>"ΜΠΕΡΓΑΝΔΗ 36 ΗΡΑΚΛΕΙΟ"</f>
        <v>ΜΠΕΡΓΑΝΔΗ 36 ΗΡΑΚΛΕΙΟ</v>
      </c>
      <c r="I6266">
        <v>71303</v>
      </c>
      <c r="J6266">
        <v>2810318056</v>
      </c>
      <c r="K6266">
        <v>6942825011</v>
      </c>
      <c r="N6266" t="s">
        <v>615</v>
      </c>
      <c r="O6266" t="s">
        <v>616</v>
      </c>
      <c r="R6266" t="s">
        <v>57</v>
      </c>
      <c r="S6266">
        <v>10</v>
      </c>
      <c r="T6266">
        <v>165</v>
      </c>
      <c r="U6266" s="1">
        <v>36040</v>
      </c>
      <c r="V6266" t="s">
        <v>80</v>
      </c>
      <c r="W6266" t="s">
        <v>81</v>
      </c>
      <c r="X6266" t="s">
        <v>58</v>
      </c>
      <c r="Y6266">
        <v>21</v>
      </c>
      <c r="Z6266" t="s">
        <v>59</v>
      </c>
      <c r="AA6266" t="s">
        <v>59</v>
      </c>
      <c r="AB6266" t="s">
        <v>59</v>
      </c>
      <c r="AC6266" t="s">
        <v>59</v>
      </c>
      <c r="AD6266" t="s">
        <v>59</v>
      </c>
      <c r="AF6266" s="1">
        <v>36040</v>
      </c>
      <c r="AG6266" t="s">
        <v>8645</v>
      </c>
      <c r="AH6266" t="s">
        <v>8646</v>
      </c>
      <c r="AI6266" t="str">
        <f>"9170431"</f>
        <v>9170431</v>
      </c>
      <c r="AJ6266" t="s">
        <v>8658</v>
      </c>
      <c r="AK6266">
        <v>2810250952</v>
      </c>
      <c r="AL6266" t="s">
        <v>8659</v>
      </c>
      <c r="AM6266" t="s">
        <v>78</v>
      </c>
      <c r="AN6266" t="s">
        <v>78</v>
      </c>
      <c r="AO6266" t="s">
        <v>78</v>
      </c>
      <c r="AP6266" t="s">
        <v>141</v>
      </c>
      <c r="AQ6266">
        <v>1</v>
      </c>
      <c r="AR6266" t="s">
        <v>80</v>
      </c>
      <c r="AS6266" t="s">
        <v>81</v>
      </c>
      <c r="AT6266" t="s">
        <v>58</v>
      </c>
      <c r="AU6266" t="s">
        <v>68</v>
      </c>
      <c r="AV6266" t="s">
        <v>69</v>
      </c>
      <c r="AW6266" s="1">
        <v>25357</v>
      </c>
      <c r="AX6266">
        <v>1</v>
      </c>
    </row>
    <row r="6267" spans="1:50">
      <c r="A6267">
        <v>553734</v>
      </c>
      <c r="B6267" t="str">
        <f>"063735542"</f>
        <v>063735542</v>
      </c>
      <c r="C6267" t="s">
        <v>50</v>
      </c>
      <c r="D6267" t="s">
        <v>10688</v>
      </c>
      <c r="E6267" t="s">
        <v>473</v>
      </c>
      <c r="F6267" t="s">
        <v>99</v>
      </c>
      <c r="G6267" t="s">
        <v>112</v>
      </c>
      <c r="H6267" t="str">
        <f>"ΟΛΥΜΠΟΥ 116 ΗΡΑΚΛΕΙΟ"</f>
        <v>ΟΛΥΜΠΟΥ 116 ΗΡΑΚΛΕΙΟ</v>
      </c>
      <c r="I6267">
        <v>71307</v>
      </c>
      <c r="J6267">
        <v>2810210789</v>
      </c>
      <c r="K6267">
        <v>6938007030</v>
      </c>
      <c r="N6267" t="s">
        <v>615</v>
      </c>
      <c r="O6267" t="s">
        <v>616</v>
      </c>
      <c r="R6267" t="s">
        <v>57</v>
      </c>
      <c r="S6267">
        <v>17</v>
      </c>
      <c r="T6267">
        <v>235</v>
      </c>
      <c r="U6267" s="1">
        <v>31289</v>
      </c>
      <c r="V6267" t="s">
        <v>80</v>
      </c>
      <c r="W6267" t="s">
        <v>81</v>
      </c>
      <c r="X6267" t="s">
        <v>58</v>
      </c>
      <c r="Y6267">
        <v>21</v>
      </c>
      <c r="Z6267" t="s">
        <v>59</v>
      </c>
      <c r="AA6267" t="s">
        <v>59</v>
      </c>
      <c r="AB6267" t="s">
        <v>59</v>
      </c>
      <c r="AC6267" t="s">
        <v>59</v>
      </c>
      <c r="AD6267" t="s">
        <v>59</v>
      </c>
      <c r="AF6267" s="1">
        <v>31300</v>
      </c>
      <c r="AG6267" t="s">
        <v>8645</v>
      </c>
      <c r="AH6267" t="s">
        <v>8646</v>
      </c>
      <c r="AI6267" t="str">
        <f>"9170516"</f>
        <v>9170516</v>
      </c>
      <c r="AJ6267" t="s">
        <v>8746</v>
      </c>
      <c r="AK6267">
        <v>2810236861</v>
      </c>
      <c r="AL6267" t="s">
        <v>8747</v>
      </c>
      <c r="AM6267" t="s">
        <v>78</v>
      </c>
      <c r="AN6267" t="s">
        <v>78</v>
      </c>
      <c r="AO6267" t="s">
        <v>78</v>
      </c>
      <c r="AP6267" t="s">
        <v>163</v>
      </c>
      <c r="AQ6267">
        <v>1</v>
      </c>
      <c r="AR6267" t="s">
        <v>80</v>
      </c>
      <c r="AS6267" t="s">
        <v>81</v>
      </c>
      <c r="AT6267" t="s">
        <v>58</v>
      </c>
      <c r="AU6267" t="s">
        <v>68</v>
      </c>
      <c r="AV6267" t="s">
        <v>69</v>
      </c>
      <c r="AW6267" s="1">
        <v>22960</v>
      </c>
      <c r="AX6267">
        <v>1</v>
      </c>
    </row>
    <row r="6268" spans="1:50">
      <c r="A6268">
        <v>613262</v>
      </c>
      <c r="B6268" t="str">
        <f>"128328344"</f>
        <v>128328344</v>
      </c>
      <c r="C6268" t="s">
        <v>50</v>
      </c>
      <c r="D6268" t="s">
        <v>10688</v>
      </c>
      <c r="E6268" t="s">
        <v>52</v>
      </c>
      <c r="F6268" t="s">
        <v>383</v>
      </c>
      <c r="G6268" t="s">
        <v>83</v>
      </c>
      <c r="H6268" t="str">
        <f>"Μ. ΠΟΛΥΔΟΥΡΗ 4 ΗΡΑΚΛΕΙΟ"</f>
        <v>Μ. ΠΟΛΥΔΟΥΡΗ 4 ΗΡΑΚΛΕΙΟ</v>
      </c>
      <c r="I6268">
        <v>71414</v>
      </c>
      <c r="J6268">
        <v>2810251087</v>
      </c>
      <c r="K6268">
        <v>6945495568</v>
      </c>
      <c r="N6268" t="s">
        <v>615</v>
      </c>
      <c r="O6268" t="s">
        <v>616</v>
      </c>
      <c r="R6268" t="s">
        <v>57</v>
      </c>
      <c r="S6268">
        <v>6</v>
      </c>
      <c r="T6268">
        <v>598</v>
      </c>
      <c r="U6268" s="1">
        <v>39337</v>
      </c>
      <c r="V6268" t="s">
        <v>80</v>
      </c>
      <c r="W6268" t="s">
        <v>81</v>
      </c>
      <c r="X6268" t="s">
        <v>58</v>
      </c>
      <c r="Y6268">
        <v>23</v>
      </c>
      <c r="Z6268" t="s">
        <v>59</v>
      </c>
      <c r="AA6268" t="s">
        <v>59</v>
      </c>
      <c r="AB6268" t="s">
        <v>59</v>
      </c>
      <c r="AC6268" t="s">
        <v>59</v>
      </c>
      <c r="AD6268" t="s">
        <v>59</v>
      </c>
      <c r="AF6268" s="1">
        <v>39337</v>
      </c>
      <c r="AG6268" t="s">
        <v>8645</v>
      </c>
      <c r="AH6268" t="s">
        <v>8646</v>
      </c>
      <c r="AI6268" t="str">
        <f>"9170102"</f>
        <v>9170102</v>
      </c>
      <c r="AJ6268" t="s">
        <v>9019</v>
      </c>
      <c r="AK6268">
        <v>2810283938</v>
      </c>
      <c r="AL6268" t="s">
        <v>9020</v>
      </c>
      <c r="AM6268" t="s">
        <v>78</v>
      </c>
      <c r="AN6268" t="s">
        <v>78</v>
      </c>
      <c r="AO6268" t="s">
        <v>78</v>
      </c>
      <c r="AP6268" t="s">
        <v>79</v>
      </c>
      <c r="AQ6268">
        <v>1</v>
      </c>
      <c r="AR6268" t="s">
        <v>80</v>
      </c>
      <c r="AS6268" t="s">
        <v>81</v>
      </c>
      <c r="AT6268" t="s">
        <v>58</v>
      </c>
      <c r="AU6268" t="s">
        <v>68</v>
      </c>
      <c r="AV6268" t="s">
        <v>69</v>
      </c>
      <c r="AW6268" s="1">
        <v>30378</v>
      </c>
      <c r="AX6268">
        <v>1</v>
      </c>
    </row>
    <row r="6269" spans="1:50">
      <c r="B6269" t="str">
        <f>"075579403"</f>
        <v>075579403</v>
      </c>
      <c r="C6269" t="s">
        <v>105</v>
      </c>
      <c r="D6269" t="s">
        <v>10689</v>
      </c>
      <c r="E6269" t="s">
        <v>1493</v>
      </c>
      <c r="F6269" t="s">
        <v>4999</v>
      </c>
      <c r="G6269" t="s">
        <v>589</v>
      </c>
      <c r="H6269" t="str">
        <f>"ΜΑΡΚΟΥ ΜΠΟΤΣΑΡΗ 5 ΑΛΜΥΡΟΣ"</f>
        <v>ΜΑΡΚΟΥ ΜΠΟΤΣΑΡΗ 5 ΑΛΜΥΡΟΣ</v>
      </c>
      <c r="I6269">
        <v>37100</v>
      </c>
      <c r="J6269">
        <v>2422021683</v>
      </c>
      <c r="K6269">
        <v>6946510010</v>
      </c>
      <c r="N6269" t="s">
        <v>176</v>
      </c>
      <c r="O6269" t="s">
        <v>177</v>
      </c>
      <c r="R6269" t="s">
        <v>159</v>
      </c>
      <c r="S6269">
        <v>2</v>
      </c>
      <c r="T6269" t="s">
        <v>8675</v>
      </c>
      <c r="U6269" s="1">
        <v>43348</v>
      </c>
      <c r="V6269" t="s">
        <v>80</v>
      </c>
      <c r="W6269" t="s">
        <v>81</v>
      </c>
      <c r="X6269" t="s">
        <v>58</v>
      </c>
      <c r="Y6269">
        <v>24</v>
      </c>
      <c r="Z6269" t="s">
        <v>59</v>
      </c>
      <c r="AA6269" t="s">
        <v>59</v>
      </c>
      <c r="AB6269" t="s">
        <v>59</v>
      </c>
      <c r="AC6269" t="s">
        <v>59</v>
      </c>
      <c r="AD6269" t="s">
        <v>59</v>
      </c>
      <c r="AF6269" s="1">
        <v>43348</v>
      </c>
      <c r="AG6269" t="s">
        <v>8645</v>
      </c>
      <c r="AH6269" t="s">
        <v>8646</v>
      </c>
      <c r="AI6269" t="str">
        <f>"9170327"</f>
        <v>9170327</v>
      </c>
      <c r="AJ6269" t="s">
        <v>8963</v>
      </c>
      <c r="AK6269">
        <v>2892091234</v>
      </c>
      <c r="AL6269" t="s">
        <v>8964</v>
      </c>
      <c r="AM6269" t="s">
        <v>78</v>
      </c>
      <c r="AN6269" t="s">
        <v>242</v>
      </c>
      <c r="AO6269" t="s">
        <v>349</v>
      </c>
      <c r="AP6269" t="s">
        <v>8965</v>
      </c>
      <c r="AQ6269">
        <v>19</v>
      </c>
      <c r="AR6269" t="s">
        <v>80</v>
      </c>
      <c r="AS6269" t="s">
        <v>81</v>
      </c>
      <c r="AT6269" t="s">
        <v>58</v>
      </c>
      <c r="AU6269" t="s">
        <v>8673</v>
      </c>
      <c r="AV6269" t="s">
        <v>132</v>
      </c>
      <c r="AW6269" s="1">
        <v>27494</v>
      </c>
      <c r="AX6269">
        <v>1</v>
      </c>
    </row>
    <row r="6270" spans="1:50">
      <c r="B6270" t="str">
        <f>"151372818"</f>
        <v>151372818</v>
      </c>
      <c r="C6270" t="s">
        <v>50</v>
      </c>
      <c r="D6270" t="s">
        <v>10690</v>
      </c>
      <c r="E6270" t="s">
        <v>714</v>
      </c>
      <c r="F6270" t="s">
        <v>154</v>
      </c>
      <c r="G6270" t="s">
        <v>1355</v>
      </c>
      <c r="H6270" t="str">
        <f>" "</f>
        <v xml:space="preserve"> </v>
      </c>
      <c r="N6270" t="s">
        <v>8834</v>
      </c>
      <c r="O6270" t="s">
        <v>8695</v>
      </c>
      <c r="R6270" t="s">
        <v>121</v>
      </c>
      <c r="S6270">
        <v>3</v>
      </c>
      <c r="T6270" t="s">
        <v>8835</v>
      </c>
      <c r="U6270" s="1">
        <v>43348</v>
      </c>
      <c r="V6270" t="s">
        <v>80</v>
      </c>
      <c r="W6270" t="s">
        <v>81</v>
      </c>
      <c r="X6270" t="s">
        <v>58</v>
      </c>
      <c r="Y6270">
        <v>24</v>
      </c>
      <c r="Z6270" t="s">
        <v>59</v>
      </c>
      <c r="AA6270" t="s">
        <v>59</v>
      </c>
      <c r="AB6270" t="s">
        <v>59</v>
      </c>
      <c r="AD6270" t="s">
        <v>59</v>
      </c>
      <c r="AF6270" s="1">
        <v>43348</v>
      </c>
      <c r="AG6270" t="s">
        <v>8645</v>
      </c>
      <c r="AH6270" t="s">
        <v>8646</v>
      </c>
      <c r="AI6270" t="str">
        <f>"9170037"</f>
        <v>9170037</v>
      </c>
      <c r="AJ6270" t="s">
        <v>9215</v>
      </c>
      <c r="AK6270">
        <v>2810831208</v>
      </c>
      <c r="AL6270" t="s">
        <v>9216</v>
      </c>
      <c r="AM6270" t="s">
        <v>78</v>
      </c>
      <c r="AN6270" t="s">
        <v>129</v>
      </c>
      <c r="AO6270" t="s">
        <v>267</v>
      </c>
      <c r="AP6270" t="s">
        <v>267</v>
      </c>
      <c r="AQ6270">
        <v>2</v>
      </c>
      <c r="AR6270" t="s">
        <v>80</v>
      </c>
      <c r="AS6270" t="s">
        <v>81</v>
      </c>
      <c r="AT6270" t="s">
        <v>58</v>
      </c>
      <c r="AU6270" t="s">
        <v>131</v>
      </c>
      <c r="AV6270" t="s">
        <v>132</v>
      </c>
      <c r="AW6270" s="1">
        <v>33415</v>
      </c>
      <c r="AX6270">
        <v>1</v>
      </c>
    </row>
    <row r="6271" spans="1:50">
      <c r="A6271">
        <v>586937</v>
      </c>
      <c r="B6271" t="str">
        <f>"103547524"</f>
        <v>103547524</v>
      </c>
      <c r="C6271" t="s">
        <v>50</v>
      </c>
      <c r="D6271" t="s">
        <v>10691</v>
      </c>
      <c r="E6271" t="s">
        <v>73</v>
      </c>
      <c r="F6271" t="s">
        <v>108</v>
      </c>
      <c r="G6271" t="s">
        <v>52</v>
      </c>
      <c r="H6271" t="str">
        <f>" "</f>
        <v xml:space="preserve"> </v>
      </c>
      <c r="N6271" t="s">
        <v>1525</v>
      </c>
      <c r="O6271" t="s">
        <v>1526</v>
      </c>
      <c r="P6271" t="s">
        <v>615</v>
      </c>
      <c r="Q6271" t="s">
        <v>616</v>
      </c>
      <c r="R6271" t="s">
        <v>57</v>
      </c>
      <c r="S6271">
        <v>12</v>
      </c>
      <c r="T6271">
        <v>165</v>
      </c>
      <c r="U6271" s="1">
        <v>36040</v>
      </c>
      <c r="V6271" t="s">
        <v>80</v>
      </c>
      <c r="W6271" t="s">
        <v>81</v>
      </c>
      <c r="X6271" t="s">
        <v>58</v>
      </c>
      <c r="Y6271">
        <v>25</v>
      </c>
      <c r="Z6271" t="s">
        <v>59</v>
      </c>
      <c r="AA6271" t="s">
        <v>59</v>
      </c>
      <c r="AB6271" t="s">
        <v>59</v>
      </c>
      <c r="AC6271" t="s">
        <v>59</v>
      </c>
      <c r="AD6271" t="s">
        <v>59</v>
      </c>
      <c r="AF6271" s="1">
        <v>36042</v>
      </c>
      <c r="AG6271" t="s">
        <v>8651</v>
      </c>
      <c r="AH6271" t="s">
        <v>8652</v>
      </c>
      <c r="AI6271" t="str">
        <f>"9170529"</f>
        <v>9170529</v>
      </c>
      <c r="AJ6271" t="s">
        <v>8656</v>
      </c>
      <c r="AK6271">
        <v>2810223699</v>
      </c>
      <c r="AL6271" t="s">
        <v>8657</v>
      </c>
      <c r="AM6271" t="s">
        <v>78</v>
      </c>
      <c r="AN6271" t="s">
        <v>78</v>
      </c>
      <c r="AO6271" t="s">
        <v>286</v>
      </c>
      <c r="AP6271" t="s">
        <v>286</v>
      </c>
      <c r="AQ6271">
        <v>1</v>
      </c>
      <c r="AR6271" t="s">
        <v>80</v>
      </c>
      <c r="AS6271" t="s">
        <v>81</v>
      </c>
      <c r="AT6271" t="s">
        <v>58</v>
      </c>
      <c r="AU6271" t="s">
        <v>68</v>
      </c>
      <c r="AV6271" t="s">
        <v>69</v>
      </c>
      <c r="AW6271" s="1">
        <v>23432</v>
      </c>
      <c r="AX6271">
        <v>1</v>
      </c>
    </row>
    <row r="6272" spans="1:50">
      <c r="A6272">
        <v>611262</v>
      </c>
      <c r="B6272" t="str">
        <f>"063703311"</f>
        <v>063703311</v>
      </c>
      <c r="C6272" t="s">
        <v>50</v>
      </c>
      <c r="D6272" t="s">
        <v>10691</v>
      </c>
      <c r="E6272" t="s">
        <v>671</v>
      </c>
      <c r="F6272" t="s">
        <v>95</v>
      </c>
      <c r="G6272" t="s">
        <v>83</v>
      </c>
      <c r="H6272" t="str">
        <f>"ΙΕΡΟΛΟΧΙΤΩΝ 81 ΗΡΑΚΛΕΙΟ"</f>
        <v>ΙΕΡΟΛΟΧΙΤΩΝ 81 ΗΡΑΚΛΕΙΟ</v>
      </c>
      <c r="I6272">
        <v>71305</v>
      </c>
      <c r="J6272">
        <v>2810211951</v>
      </c>
      <c r="K6272">
        <v>6944628032</v>
      </c>
      <c r="N6272" t="s">
        <v>1525</v>
      </c>
      <c r="O6272" t="s">
        <v>1526</v>
      </c>
      <c r="R6272" t="s">
        <v>57</v>
      </c>
      <c r="S6272">
        <v>7</v>
      </c>
      <c r="T6272">
        <v>233</v>
      </c>
      <c r="U6272" s="1">
        <v>38960</v>
      </c>
      <c r="V6272" t="s">
        <v>80</v>
      </c>
      <c r="W6272" t="s">
        <v>81</v>
      </c>
      <c r="X6272" t="s">
        <v>58</v>
      </c>
      <c r="Y6272">
        <v>25</v>
      </c>
      <c r="Z6272" t="s">
        <v>59</v>
      </c>
      <c r="AA6272" t="s">
        <v>59</v>
      </c>
      <c r="AB6272" t="s">
        <v>59</v>
      </c>
      <c r="AC6272" t="s">
        <v>59</v>
      </c>
      <c r="AD6272" t="s">
        <v>59</v>
      </c>
      <c r="AF6272" s="1">
        <v>38961</v>
      </c>
      <c r="AG6272" t="s">
        <v>8651</v>
      </c>
      <c r="AH6272" t="s">
        <v>8652</v>
      </c>
      <c r="AI6272" t="str">
        <f>"9170103"</f>
        <v>9170103</v>
      </c>
      <c r="AJ6272" t="s">
        <v>9992</v>
      </c>
      <c r="AK6272">
        <v>2810233184</v>
      </c>
      <c r="AL6272" t="s">
        <v>9993</v>
      </c>
      <c r="AM6272" t="s">
        <v>78</v>
      </c>
      <c r="AN6272" t="s">
        <v>78</v>
      </c>
      <c r="AO6272" t="s">
        <v>78</v>
      </c>
      <c r="AP6272" t="s">
        <v>79</v>
      </c>
      <c r="AQ6272">
        <v>1</v>
      </c>
      <c r="AR6272" t="s">
        <v>80</v>
      </c>
      <c r="AS6272" t="s">
        <v>81</v>
      </c>
      <c r="AT6272" t="s">
        <v>58</v>
      </c>
      <c r="AU6272" t="s">
        <v>68</v>
      </c>
      <c r="AV6272" t="s">
        <v>69</v>
      </c>
      <c r="AW6272" s="1">
        <v>26975</v>
      </c>
      <c r="AX6272">
        <v>1</v>
      </c>
    </row>
    <row r="6273" spans="1:50">
      <c r="A6273">
        <v>577888</v>
      </c>
      <c r="B6273" t="str">
        <f>"036724478"</f>
        <v>036724478</v>
      </c>
      <c r="C6273" t="s">
        <v>105</v>
      </c>
      <c r="D6273" t="s">
        <v>5130</v>
      </c>
      <c r="E6273" t="s">
        <v>72</v>
      </c>
      <c r="F6273" t="s">
        <v>166</v>
      </c>
      <c r="G6273" t="s">
        <v>553</v>
      </c>
      <c r="H6273" t="str">
        <f>"ΠΑΤΣΙΔΕΣ ΑΡΧΑΝΩΝ"</f>
        <v>ΠΑΤΣΙΔΕΣ ΑΡΧΑΝΩΝ</v>
      </c>
      <c r="I6273">
        <v>70100</v>
      </c>
      <c r="J6273">
        <v>2810731786</v>
      </c>
      <c r="K6273">
        <v>6971916585</v>
      </c>
      <c r="M6273" t="s">
        <v>10692</v>
      </c>
      <c r="N6273" t="s">
        <v>615</v>
      </c>
      <c r="O6273" t="s">
        <v>616</v>
      </c>
      <c r="R6273" t="s">
        <v>57</v>
      </c>
      <c r="S6273">
        <v>15</v>
      </c>
      <c r="T6273">
        <v>165</v>
      </c>
      <c r="U6273" s="1">
        <v>35300</v>
      </c>
      <c r="V6273" t="s">
        <v>80</v>
      </c>
      <c r="W6273" t="s">
        <v>81</v>
      </c>
      <c r="X6273" t="s">
        <v>58</v>
      </c>
      <c r="Y6273">
        <v>21</v>
      </c>
      <c r="Z6273" t="s">
        <v>59</v>
      </c>
      <c r="AA6273" t="s">
        <v>59</v>
      </c>
      <c r="AB6273" t="s">
        <v>59</v>
      </c>
      <c r="AC6273" t="s">
        <v>59</v>
      </c>
      <c r="AD6273" t="s">
        <v>59</v>
      </c>
      <c r="AF6273" s="1">
        <v>35310</v>
      </c>
      <c r="AG6273" t="s">
        <v>8645</v>
      </c>
      <c r="AH6273" t="s">
        <v>8646</v>
      </c>
      <c r="AI6273" t="str">
        <f>"9170097"</f>
        <v>9170097</v>
      </c>
      <c r="AJ6273" t="s">
        <v>8826</v>
      </c>
      <c r="AK6273">
        <v>2810751807</v>
      </c>
      <c r="AL6273" t="s">
        <v>8827</v>
      </c>
      <c r="AM6273" t="s">
        <v>78</v>
      </c>
      <c r="AN6273" t="s">
        <v>424</v>
      </c>
      <c r="AO6273" t="s">
        <v>425</v>
      </c>
      <c r="AP6273" t="s">
        <v>425</v>
      </c>
      <c r="AQ6273">
        <v>11</v>
      </c>
      <c r="AR6273" t="s">
        <v>80</v>
      </c>
      <c r="AS6273" t="s">
        <v>81</v>
      </c>
      <c r="AT6273" t="s">
        <v>58</v>
      </c>
      <c r="AU6273" t="s">
        <v>68</v>
      </c>
      <c r="AV6273" t="s">
        <v>69</v>
      </c>
      <c r="AW6273" s="1">
        <v>23937</v>
      </c>
      <c r="AX6273">
        <v>1</v>
      </c>
    </row>
    <row r="6274" spans="1:50">
      <c r="A6274">
        <v>618709</v>
      </c>
      <c r="B6274" t="str">
        <f>"110705613"</f>
        <v>110705613</v>
      </c>
      <c r="C6274" t="s">
        <v>50</v>
      </c>
      <c r="D6274" t="s">
        <v>7820</v>
      </c>
      <c r="E6274" t="s">
        <v>52</v>
      </c>
      <c r="F6274" t="s">
        <v>53</v>
      </c>
      <c r="G6274" t="s">
        <v>181</v>
      </c>
      <c r="H6274" t="str">
        <f>"ΕΤΕΑΡΧΟΥ 15 "</f>
        <v xml:space="preserve">ΕΤΕΑΡΧΟΥ 15 </v>
      </c>
      <c r="J6274">
        <v>2810212498</v>
      </c>
      <c r="K6274">
        <v>6906404505</v>
      </c>
      <c r="N6274" t="s">
        <v>615</v>
      </c>
      <c r="O6274" t="s">
        <v>616</v>
      </c>
      <c r="R6274" t="s">
        <v>57</v>
      </c>
      <c r="S6274">
        <v>5</v>
      </c>
      <c r="T6274">
        <v>774</v>
      </c>
      <c r="U6274" s="1">
        <v>39680</v>
      </c>
      <c r="V6274" t="s">
        <v>80</v>
      </c>
      <c r="W6274" t="s">
        <v>81</v>
      </c>
      <c r="X6274" t="s">
        <v>58</v>
      </c>
      <c r="Y6274">
        <v>25</v>
      </c>
      <c r="Z6274" t="s">
        <v>59</v>
      </c>
      <c r="AA6274" t="s">
        <v>59</v>
      </c>
      <c r="AB6274" t="s">
        <v>59</v>
      </c>
      <c r="AC6274" t="s">
        <v>59</v>
      </c>
      <c r="AD6274" t="s">
        <v>59</v>
      </c>
      <c r="AF6274" s="1">
        <v>39681</v>
      </c>
      <c r="AG6274" t="s">
        <v>8645</v>
      </c>
      <c r="AH6274" t="s">
        <v>8676</v>
      </c>
      <c r="AI6274" t="str">
        <f>"9521628"</f>
        <v>9521628</v>
      </c>
      <c r="AJ6274" t="s">
        <v>9045</v>
      </c>
      <c r="AM6274" t="s">
        <v>78</v>
      </c>
      <c r="AN6274" t="s">
        <v>78</v>
      </c>
      <c r="AO6274" t="s">
        <v>286</v>
      </c>
      <c r="AP6274" t="s">
        <v>9046</v>
      </c>
      <c r="AR6274" t="s">
        <v>80</v>
      </c>
      <c r="AS6274" t="s">
        <v>81</v>
      </c>
      <c r="AT6274" t="s">
        <v>58</v>
      </c>
      <c r="AU6274" t="s">
        <v>68</v>
      </c>
      <c r="AV6274" t="s">
        <v>69</v>
      </c>
      <c r="AW6274" s="1">
        <v>30830</v>
      </c>
      <c r="AX6274">
        <v>1</v>
      </c>
    </row>
    <row r="6275" spans="1:50">
      <c r="B6275" t="str">
        <f>"118278433"</f>
        <v>118278433</v>
      </c>
      <c r="C6275" t="s">
        <v>50</v>
      </c>
      <c r="D6275" t="s">
        <v>10693</v>
      </c>
      <c r="E6275" t="s">
        <v>109</v>
      </c>
      <c r="F6275" t="s">
        <v>2320</v>
      </c>
      <c r="G6275" t="s">
        <v>191</v>
      </c>
      <c r="H6275" t="str">
        <f>" "</f>
        <v xml:space="preserve"> </v>
      </c>
      <c r="J6275">
        <v>2674062007</v>
      </c>
      <c r="K6275">
        <v>6984145099</v>
      </c>
      <c r="N6275" t="s">
        <v>8694</v>
      </c>
      <c r="O6275" t="s">
        <v>8695</v>
      </c>
      <c r="R6275" t="s">
        <v>159</v>
      </c>
      <c r="S6275">
        <v>1</v>
      </c>
      <c r="T6275" t="s">
        <v>8835</v>
      </c>
      <c r="U6275" s="1">
        <v>43348</v>
      </c>
      <c r="V6275" t="s">
        <v>80</v>
      </c>
      <c r="W6275" t="s">
        <v>81</v>
      </c>
      <c r="X6275" t="s">
        <v>58</v>
      </c>
      <c r="Y6275">
        <v>24</v>
      </c>
      <c r="Z6275" t="s">
        <v>59</v>
      </c>
      <c r="AA6275" t="s">
        <v>59</v>
      </c>
      <c r="AB6275" t="s">
        <v>59</v>
      </c>
      <c r="AD6275" t="s">
        <v>59</v>
      </c>
      <c r="AF6275" s="1">
        <v>43348</v>
      </c>
      <c r="AG6275" t="s">
        <v>8645</v>
      </c>
      <c r="AH6275" t="s">
        <v>8646</v>
      </c>
      <c r="AI6275" t="str">
        <f>"9170222"</f>
        <v>9170222</v>
      </c>
      <c r="AJ6275" t="s">
        <v>9404</v>
      </c>
      <c r="AK6275">
        <v>2810781325</v>
      </c>
      <c r="AL6275" t="s">
        <v>9405</v>
      </c>
      <c r="AM6275" t="s">
        <v>78</v>
      </c>
      <c r="AN6275" t="s">
        <v>219</v>
      </c>
      <c r="AO6275" t="s">
        <v>297</v>
      </c>
      <c r="AP6275" t="s">
        <v>9406</v>
      </c>
      <c r="AQ6275">
        <v>7</v>
      </c>
      <c r="AR6275" t="s">
        <v>80</v>
      </c>
      <c r="AS6275" t="s">
        <v>81</v>
      </c>
      <c r="AT6275" t="s">
        <v>58</v>
      </c>
      <c r="AU6275" t="s">
        <v>131</v>
      </c>
      <c r="AV6275" t="s">
        <v>132</v>
      </c>
      <c r="AW6275" s="1">
        <v>34116</v>
      </c>
      <c r="AX6275">
        <v>1</v>
      </c>
    </row>
    <row r="6276" spans="1:50">
      <c r="B6276" t="str">
        <f>"155869511"</f>
        <v>155869511</v>
      </c>
      <c r="C6276" t="s">
        <v>50</v>
      </c>
      <c r="D6276" t="s">
        <v>10694</v>
      </c>
      <c r="E6276" t="s">
        <v>714</v>
      </c>
      <c r="F6276" t="s">
        <v>377</v>
      </c>
      <c r="G6276" t="s">
        <v>563</v>
      </c>
      <c r="H6276" t="str">
        <f>" "</f>
        <v xml:space="preserve"> </v>
      </c>
      <c r="N6276" t="s">
        <v>683</v>
      </c>
      <c r="O6276" t="s">
        <v>684</v>
      </c>
      <c r="R6276" t="s">
        <v>121</v>
      </c>
      <c r="S6276">
        <v>1</v>
      </c>
      <c r="T6276" t="s">
        <v>8675</v>
      </c>
      <c r="U6276" s="1">
        <v>43348</v>
      </c>
      <c r="V6276" t="s">
        <v>80</v>
      </c>
      <c r="W6276" t="s">
        <v>81</v>
      </c>
      <c r="X6276" t="s">
        <v>58</v>
      </c>
      <c r="Y6276">
        <v>24</v>
      </c>
      <c r="Z6276" t="s">
        <v>59</v>
      </c>
      <c r="AD6276" t="s">
        <v>59</v>
      </c>
      <c r="AF6276" s="1">
        <v>43348</v>
      </c>
      <c r="AG6276" t="s">
        <v>8645</v>
      </c>
      <c r="AH6276" t="s">
        <v>8646</v>
      </c>
      <c r="AI6276" t="str">
        <f>"9170285"</f>
        <v>9170285</v>
      </c>
      <c r="AJ6276" t="s">
        <v>9186</v>
      </c>
      <c r="AK6276">
        <v>2894031223</v>
      </c>
      <c r="AL6276" t="s">
        <v>9187</v>
      </c>
      <c r="AM6276" t="s">
        <v>78</v>
      </c>
      <c r="AN6276" t="s">
        <v>242</v>
      </c>
      <c r="AO6276" t="s">
        <v>999</v>
      </c>
      <c r="AP6276" t="s">
        <v>999</v>
      </c>
      <c r="AQ6276">
        <v>21</v>
      </c>
      <c r="AR6276" t="s">
        <v>80</v>
      </c>
      <c r="AS6276" t="s">
        <v>81</v>
      </c>
      <c r="AT6276" t="s">
        <v>58</v>
      </c>
      <c r="AU6276" t="s">
        <v>8673</v>
      </c>
      <c r="AV6276" t="s">
        <v>132</v>
      </c>
      <c r="AW6276" s="1">
        <v>33815</v>
      </c>
      <c r="AX6276">
        <v>1</v>
      </c>
    </row>
    <row r="6277" spans="1:50">
      <c r="B6277" t="str">
        <f>"137484904"</f>
        <v>137484904</v>
      </c>
      <c r="C6277" t="s">
        <v>50</v>
      </c>
      <c r="D6277" t="s">
        <v>10695</v>
      </c>
      <c r="E6277" t="s">
        <v>52</v>
      </c>
      <c r="F6277" t="s">
        <v>95</v>
      </c>
      <c r="G6277" t="s">
        <v>237</v>
      </c>
      <c r="H6277" t="str">
        <f>"ΜΕΝΕΛ. ΣΑΚΟΡΑΦΟΥ 7 ΗΡΑΚΛΕΙΟ"</f>
        <v>ΜΕΝΕΛ. ΣΑΚΟΡΑΦΟΥ 7 ΗΡΑΚΛΕΙΟ</v>
      </c>
      <c r="I6277">
        <v>71409</v>
      </c>
      <c r="J6277">
        <v>2810325801</v>
      </c>
      <c r="K6277">
        <v>6944898707</v>
      </c>
      <c r="N6277" t="s">
        <v>1525</v>
      </c>
      <c r="O6277" t="s">
        <v>1526</v>
      </c>
      <c r="R6277" t="s">
        <v>159</v>
      </c>
      <c r="S6277">
        <v>4</v>
      </c>
      <c r="T6277" t="s">
        <v>8670</v>
      </c>
      <c r="U6277" s="1">
        <v>43348</v>
      </c>
      <c r="V6277" t="s">
        <v>80</v>
      </c>
      <c r="W6277" t="s">
        <v>81</v>
      </c>
      <c r="X6277" t="s">
        <v>58</v>
      </c>
      <c r="Y6277">
        <v>25</v>
      </c>
      <c r="Z6277" t="s">
        <v>59</v>
      </c>
      <c r="AA6277" t="s">
        <v>59</v>
      </c>
      <c r="AB6277" t="s">
        <v>59</v>
      </c>
      <c r="AC6277" t="s">
        <v>59</v>
      </c>
      <c r="AD6277" t="s">
        <v>59</v>
      </c>
      <c r="AF6277" s="1">
        <v>43348</v>
      </c>
      <c r="AG6277" t="s">
        <v>8651</v>
      </c>
      <c r="AH6277" t="s">
        <v>8652</v>
      </c>
      <c r="AI6277" t="str">
        <f>"9170116"</f>
        <v>9170116</v>
      </c>
      <c r="AJ6277" t="s">
        <v>10696</v>
      </c>
      <c r="AK6277">
        <v>2810881584</v>
      </c>
      <c r="AL6277" t="s">
        <v>10697</v>
      </c>
      <c r="AM6277" t="s">
        <v>78</v>
      </c>
      <c r="AN6277" t="s">
        <v>78</v>
      </c>
      <c r="AO6277" t="s">
        <v>437</v>
      </c>
      <c r="AP6277" t="s">
        <v>10698</v>
      </c>
      <c r="AQ6277">
        <v>5</v>
      </c>
      <c r="AR6277" t="s">
        <v>80</v>
      </c>
      <c r="AS6277" t="s">
        <v>81</v>
      </c>
      <c r="AT6277" t="s">
        <v>58</v>
      </c>
      <c r="AU6277" t="s">
        <v>8673</v>
      </c>
      <c r="AV6277" t="s">
        <v>132</v>
      </c>
      <c r="AW6277" s="1">
        <v>31224</v>
      </c>
      <c r="AX6277">
        <v>1</v>
      </c>
    </row>
    <row r="6278" spans="1:50">
      <c r="A6278">
        <v>621660</v>
      </c>
      <c r="B6278" t="str">
        <f>"136314630"</f>
        <v>136314630</v>
      </c>
      <c r="C6278" t="s">
        <v>50</v>
      </c>
      <c r="D6278" t="s">
        <v>10699</v>
      </c>
      <c r="E6278" t="s">
        <v>155</v>
      </c>
      <c r="F6278" t="s">
        <v>106</v>
      </c>
      <c r="G6278" t="s">
        <v>513</v>
      </c>
      <c r="H6278" t="str">
        <f>"ΒΟΓΙΑΤΖΑΚΗ 6 ΗΡΑΚΛΕΙΟ"</f>
        <v>ΒΟΓΙΑΤΖΑΚΗ 6 ΗΡΑΚΛΕΙΟ</v>
      </c>
      <c r="I6278">
        <v>71303</v>
      </c>
      <c r="K6278">
        <v>6946413545</v>
      </c>
      <c r="M6278" t="s">
        <v>10700</v>
      </c>
      <c r="N6278" t="s">
        <v>615</v>
      </c>
      <c r="O6278" t="s">
        <v>616</v>
      </c>
      <c r="R6278" t="s">
        <v>57</v>
      </c>
      <c r="S6278">
        <v>5</v>
      </c>
      <c r="T6278">
        <v>653</v>
      </c>
      <c r="U6278" s="1">
        <v>40043</v>
      </c>
      <c r="V6278" t="s">
        <v>80</v>
      </c>
      <c r="W6278" t="s">
        <v>81</v>
      </c>
      <c r="X6278" t="s">
        <v>58</v>
      </c>
      <c r="Y6278">
        <v>23</v>
      </c>
      <c r="Z6278" t="s">
        <v>59</v>
      </c>
      <c r="AA6278" t="s">
        <v>59</v>
      </c>
      <c r="AB6278" t="s">
        <v>59</v>
      </c>
      <c r="AC6278" t="s">
        <v>59</v>
      </c>
      <c r="AD6278" t="s">
        <v>59</v>
      </c>
      <c r="AF6278" s="1">
        <v>40046</v>
      </c>
      <c r="AG6278" t="s">
        <v>8645</v>
      </c>
      <c r="AH6278" t="s">
        <v>8646</v>
      </c>
      <c r="AI6278" t="str">
        <f>"9170017"</f>
        <v>9170017</v>
      </c>
      <c r="AJ6278" t="s">
        <v>9114</v>
      </c>
      <c r="AK6278">
        <v>2810250746</v>
      </c>
      <c r="AL6278" t="s">
        <v>9115</v>
      </c>
      <c r="AM6278" t="s">
        <v>78</v>
      </c>
      <c r="AN6278" t="s">
        <v>129</v>
      </c>
      <c r="AO6278" t="s">
        <v>130</v>
      </c>
      <c r="AP6278" t="s">
        <v>130</v>
      </c>
      <c r="AQ6278">
        <v>1</v>
      </c>
      <c r="AR6278" t="s">
        <v>80</v>
      </c>
      <c r="AS6278" t="s">
        <v>81</v>
      </c>
      <c r="AT6278" t="s">
        <v>58</v>
      </c>
      <c r="AU6278" t="s">
        <v>68</v>
      </c>
      <c r="AV6278" t="s">
        <v>69</v>
      </c>
      <c r="AW6278" s="1">
        <v>31413</v>
      </c>
      <c r="AX6278">
        <v>1</v>
      </c>
    </row>
    <row r="6279" spans="1:50">
      <c r="B6279" t="str">
        <f>"140096666"</f>
        <v>140096666</v>
      </c>
      <c r="C6279" t="s">
        <v>105</v>
      </c>
      <c r="D6279" t="s">
        <v>10701</v>
      </c>
      <c r="E6279" t="s">
        <v>10702</v>
      </c>
      <c r="F6279" t="s">
        <v>760</v>
      </c>
      <c r="G6279" t="s">
        <v>4717</v>
      </c>
      <c r="H6279" t="str">
        <f>" "</f>
        <v xml:space="preserve"> </v>
      </c>
      <c r="N6279" t="s">
        <v>615</v>
      </c>
      <c r="O6279" t="s">
        <v>616</v>
      </c>
      <c r="R6279" t="s">
        <v>159</v>
      </c>
      <c r="S6279">
        <v>1</v>
      </c>
      <c r="T6279" t="s">
        <v>8675</v>
      </c>
      <c r="U6279" s="1">
        <v>43348</v>
      </c>
      <c r="V6279" t="s">
        <v>80</v>
      </c>
      <c r="W6279" t="s">
        <v>81</v>
      </c>
      <c r="X6279" t="s">
        <v>58</v>
      </c>
      <c r="Y6279">
        <v>24</v>
      </c>
      <c r="Z6279" t="s">
        <v>59</v>
      </c>
      <c r="AA6279" t="s">
        <v>59</v>
      </c>
      <c r="AB6279" t="s">
        <v>59</v>
      </c>
      <c r="AD6279" t="s">
        <v>59</v>
      </c>
      <c r="AF6279" s="1">
        <v>43348</v>
      </c>
      <c r="AG6279" t="s">
        <v>8645</v>
      </c>
      <c r="AH6279" t="s">
        <v>8646</v>
      </c>
      <c r="AI6279" t="str">
        <f>"9170006"</f>
        <v>9170006</v>
      </c>
      <c r="AJ6279" t="s">
        <v>10060</v>
      </c>
      <c r="AK6279">
        <v>2810721207</v>
      </c>
      <c r="AL6279" t="s">
        <v>10061</v>
      </c>
      <c r="AM6279" t="s">
        <v>78</v>
      </c>
      <c r="AN6279" t="s">
        <v>78</v>
      </c>
      <c r="AO6279" t="s">
        <v>185</v>
      </c>
      <c r="AP6279" t="s">
        <v>186</v>
      </c>
      <c r="AQ6279">
        <v>4</v>
      </c>
      <c r="AR6279" t="s">
        <v>80</v>
      </c>
      <c r="AS6279" t="s">
        <v>81</v>
      </c>
      <c r="AT6279" t="s">
        <v>58</v>
      </c>
      <c r="AU6279" t="s">
        <v>8673</v>
      </c>
      <c r="AV6279" t="s">
        <v>132</v>
      </c>
      <c r="AW6279" s="1">
        <v>32353</v>
      </c>
      <c r="AX6279">
        <v>1</v>
      </c>
    </row>
    <row r="6280" spans="1:50">
      <c r="A6280">
        <v>602613</v>
      </c>
      <c r="B6280" t="str">
        <f>"073685996"</f>
        <v>073685996</v>
      </c>
      <c r="C6280" t="s">
        <v>105</v>
      </c>
      <c r="D6280" t="s">
        <v>10701</v>
      </c>
      <c r="E6280" t="s">
        <v>53</v>
      </c>
      <c r="F6280" t="s">
        <v>5642</v>
      </c>
      <c r="G6280" t="s">
        <v>5887</v>
      </c>
      <c r="H6280" t="str">
        <f>"ΑΓ.ΙΩΑΝΝΗ ΞΕΝΟΥ 6 ΗΡΑΚΛΕΙΟ"</f>
        <v>ΑΓ.ΙΩΑΝΝΗ ΞΕΝΟΥ 6 ΗΡΑΚΛΕΙΟ</v>
      </c>
      <c r="I6280">
        <v>71305</v>
      </c>
      <c r="K6280">
        <v>6943434440</v>
      </c>
      <c r="M6280" t="s">
        <v>10703</v>
      </c>
      <c r="N6280" t="s">
        <v>615</v>
      </c>
      <c r="O6280" t="s">
        <v>616</v>
      </c>
      <c r="R6280" t="s">
        <v>57</v>
      </c>
      <c r="S6280">
        <v>7</v>
      </c>
      <c r="T6280">
        <v>207</v>
      </c>
      <c r="U6280" s="1">
        <v>37866</v>
      </c>
      <c r="V6280" t="s">
        <v>80</v>
      </c>
      <c r="W6280" t="s">
        <v>81</v>
      </c>
      <c r="X6280" t="s">
        <v>58</v>
      </c>
      <c r="Y6280">
        <v>25</v>
      </c>
      <c r="Z6280" t="s">
        <v>59</v>
      </c>
      <c r="AA6280" t="s">
        <v>59</v>
      </c>
      <c r="AB6280" t="s">
        <v>59</v>
      </c>
      <c r="AC6280" t="s">
        <v>59</v>
      </c>
      <c r="AD6280" t="s">
        <v>59</v>
      </c>
      <c r="AF6280" s="1">
        <v>37866</v>
      </c>
      <c r="AG6280" t="s">
        <v>8645</v>
      </c>
      <c r="AH6280" t="s">
        <v>8676</v>
      </c>
      <c r="AI6280" t="str">
        <f>"9170013"</f>
        <v>9170013</v>
      </c>
      <c r="AJ6280" t="s">
        <v>10704</v>
      </c>
      <c r="AK6280">
        <v>2810721410</v>
      </c>
      <c r="AL6280" t="s">
        <v>10705</v>
      </c>
      <c r="AM6280" t="s">
        <v>78</v>
      </c>
      <c r="AN6280" t="s">
        <v>78</v>
      </c>
      <c r="AO6280" t="s">
        <v>78</v>
      </c>
      <c r="AP6280" t="s">
        <v>9053</v>
      </c>
      <c r="AQ6280">
        <v>1</v>
      </c>
      <c r="AR6280" t="s">
        <v>80</v>
      </c>
      <c r="AS6280" t="s">
        <v>81</v>
      </c>
      <c r="AT6280" t="s">
        <v>58</v>
      </c>
      <c r="AU6280" t="s">
        <v>68</v>
      </c>
      <c r="AV6280" t="s">
        <v>69</v>
      </c>
      <c r="AW6280" s="1">
        <v>27013</v>
      </c>
      <c r="AX6280">
        <v>1</v>
      </c>
    </row>
    <row r="6281" spans="1:50">
      <c r="A6281">
        <v>700764</v>
      </c>
      <c r="B6281" t="str">
        <f>"042110450"</f>
        <v>042110450</v>
      </c>
      <c r="C6281" t="s">
        <v>50</v>
      </c>
      <c r="D6281" t="s">
        <v>10706</v>
      </c>
      <c r="E6281" t="s">
        <v>2239</v>
      </c>
      <c r="F6281" t="s">
        <v>995</v>
      </c>
      <c r="G6281" t="s">
        <v>3137</v>
      </c>
      <c r="H6281" t="str">
        <f>"ΑΓ. ΠΑΝΤΕΛΕΗΜΩΝΑΣ ΗΡΑΚΛΕΙΟ"</f>
        <v>ΑΓ. ΠΑΝΤΕΛΕΗΜΩΝΑΣ ΗΡΑΚΛΕΙΟ</v>
      </c>
      <c r="I6281">
        <v>71414</v>
      </c>
      <c r="J6281">
        <v>2810823272</v>
      </c>
      <c r="K6281">
        <v>6974354701</v>
      </c>
      <c r="M6281" t="s">
        <v>10707</v>
      </c>
      <c r="N6281" t="s">
        <v>615</v>
      </c>
      <c r="O6281" t="s">
        <v>616</v>
      </c>
      <c r="R6281" t="s">
        <v>57</v>
      </c>
      <c r="S6281">
        <v>4</v>
      </c>
      <c r="T6281">
        <v>772</v>
      </c>
      <c r="U6281" s="1">
        <v>40413</v>
      </c>
      <c r="V6281" t="s">
        <v>80</v>
      </c>
      <c r="W6281" t="s">
        <v>81</v>
      </c>
      <c r="X6281" t="s">
        <v>58</v>
      </c>
      <c r="Y6281">
        <v>24</v>
      </c>
      <c r="Z6281" t="s">
        <v>59</v>
      </c>
      <c r="AA6281" t="s">
        <v>59</v>
      </c>
      <c r="AB6281" t="s">
        <v>59</v>
      </c>
      <c r="AC6281" t="s">
        <v>59</v>
      </c>
      <c r="AD6281" t="s">
        <v>59</v>
      </c>
      <c r="AF6281" s="1">
        <v>40413</v>
      </c>
      <c r="AG6281" t="s">
        <v>8645</v>
      </c>
      <c r="AH6281" t="s">
        <v>8646</v>
      </c>
      <c r="AI6281" t="str">
        <f>"9170580"</f>
        <v>9170580</v>
      </c>
      <c r="AJ6281" t="s">
        <v>9076</v>
      </c>
      <c r="AK6281">
        <v>2810542809</v>
      </c>
      <c r="AL6281" t="s">
        <v>9077</v>
      </c>
      <c r="AM6281" t="s">
        <v>78</v>
      </c>
      <c r="AN6281" t="s">
        <v>78</v>
      </c>
      <c r="AO6281" t="s">
        <v>78</v>
      </c>
      <c r="AP6281" t="s">
        <v>9053</v>
      </c>
      <c r="AQ6281">
        <v>1</v>
      </c>
      <c r="AR6281" t="s">
        <v>80</v>
      </c>
      <c r="AS6281" t="s">
        <v>81</v>
      </c>
      <c r="AT6281" t="s">
        <v>58</v>
      </c>
      <c r="AU6281" t="s">
        <v>68</v>
      </c>
      <c r="AV6281" t="s">
        <v>69</v>
      </c>
      <c r="AW6281" s="1">
        <v>26510</v>
      </c>
      <c r="AX6281">
        <v>1</v>
      </c>
    </row>
    <row r="6282" spans="1:50">
      <c r="B6282" t="str">
        <f>"119655892"</f>
        <v>119655892</v>
      </c>
      <c r="C6282" t="s">
        <v>105</v>
      </c>
      <c r="D6282" t="s">
        <v>10708</v>
      </c>
      <c r="E6282" t="s">
        <v>84</v>
      </c>
      <c r="F6282" t="s">
        <v>72</v>
      </c>
      <c r="G6282" t="s">
        <v>143</v>
      </c>
      <c r="H6282" t="str">
        <f>"ΚΟΚΚΙΝΗ ΧΑΝΙ  ΗΡΑΚΛΕΙΟ"</f>
        <v>ΚΟΚΚΙΝΗ ΧΑΝΙ  ΗΡΑΚΛΕΙΟ</v>
      </c>
      <c r="I6282">
        <v>71500</v>
      </c>
      <c r="J6282">
        <v>2810763102</v>
      </c>
      <c r="K6282">
        <v>6945088961</v>
      </c>
      <c r="N6282" t="s">
        <v>615</v>
      </c>
      <c r="O6282" t="s">
        <v>616</v>
      </c>
      <c r="R6282" t="s">
        <v>159</v>
      </c>
      <c r="S6282">
        <v>3</v>
      </c>
      <c r="T6282" t="s">
        <v>8675</v>
      </c>
      <c r="U6282" s="1">
        <v>43348</v>
      </c>
      <c r="V6282" t="s">
        <v>80</v>
      </c>
      <c r="W6282" t="s">
        <v>81</v>
      </c>
      <c r="X6282" t="s">
        <v>58</v>
      </c>
      <c r="Y6282">
        <v>24</v>
      </c>
      <c r="Z6282" t="s">
        <v>59</v>
      </c>
      <c r="AA6282" t="s">
        <v>59</v>
      </c>
      <c r="AB6282" t="s">
        <v>59</v>
      </c>
      <c r="AC6282" t="s">
        <v>59</v>
      </c>
      <c r="AD6282" t="s">
        <v>59</v>
      </c>
      <c r="AF6282" s="1">
        <v>43348</v>
      </c>
      <c r="AG6282" t="s">
        <v>8645</v>
      </c>
      <c r="AH6282" t="s">
        <v>8646</v>
      </c>
      <c r="AI6282" t="str">
        <f>"9170206"</f>
        <v>9170206</v>
      </c>
      <c r="AJ6282" t="s">
        <v>8972</v>
      </c>
      <c r="AK6282">
        <v>2810761137</v>
      </c>
      <c r="AL6282" t="s">
        <v>8973</v>
      </c>
      <c r="AM6282" t="s">
        <v>78</v>
      </c>
      <c r="AN6282" t="s">
        <v>219</v>
      </c>
      <c r="AO6282" t="s">
        <v>297</v>
      </c>
      <c r="AP6282" t="s">
        <v>8796</v>
      </c>
      <c r="AQ6282">
        <v>7</v>
      </c>
      <c r="AR6282" t="s">
        <v>80</v>
      </c>
      <c r="AS6282" t="s">
        <v>81</v>
      </c>
      <c r="AT6282" t="s">
        <v>58</v>
      </c>
      <c r="AU6282" t="s">
        <v>8673</v>
      </c>
      <c r="AV6282" t="s">
        <v>132</v>
      </c>
      <c r="AW6282" s="1">
        <v>29358</v>
      </c>
      <c r="AX6282">
        <v>1</v>
      </c>
    </row>
    <row r="6283" spans="1:50">
      <c r="B6283" t="str">
        <f>"107492930"</f>
        <v>107492930</v>
      </c>
      <c r="C6283" t="s">
        <v>50</v>
      </c>
      <c r="D6283" t="s">
        <v>10709</v>
      </c>
      <c r="E6283" t="s">
        <v>10710</v>
      </c>
      <c r="F6283" t="s">
        <v>10711</v>
      </c>
      <c r="H6283" t="str">
        <f>" "</f>
        <v xml:space="preserve"> </v>
      </c>
      <c r="N6283" t="s">
        <v>683</v>
      </c>
      <c r="O6283" t="s">
        <v>684</v>
      </c>
      <c r="R6283" t="s">
        <v>159</v>
      </c>
      <c r="S6283">
        <v>2</v>
      </c>
      <c r="T6283" t="s">
        <v>8675</v>
      </c>
      <c r="U6283" s="1">
        <v>43348</v>
      </c>
      <c r="V6283" t="s">
        <v>80</v>
      </c>
      <c r="W6283" t="s">
        <v>81</v>
      </c>
      <c r="X6283" t="s">
        <v>58</v>
      </c>
      <c r="Y6283">
        <v>24</v>
      </c>
      <c r="Z6283" t="s">
        <v>59</v>
      </c>
      <c r="AA6283" t="s">
        <v>59</v>
      </c>
      <c r="AB6283" t="s">
        <v>59</v>
      </c>
      <c r="AC6283" t="s">
        <v>59</v>
      </c>
      <c r="AD6283" t="s">
        <v>59</v>
      </c>
      <c r="AF6283" s="1">
        <v>43348</v>
      </c>
      <c r="AG6283" t="s">
        <v>8645</v>
      </c>
      <c r="AH6283" t="s">
        <v>8646</v>
      </c>
      <c r="AI6283" t="str">
        <f>"9170057"</f>
        <v>9170057</v>
      </c>
      <c r="AJ6283" t="s">
        <v>8929</v>
      </c>
      <c r="AK6283">
        <v>2810251505</v>
      </c>
      <c r="AL6283" t="s">
        <v>8930</v>
      </c>
      <c r="AM6283" t="s">
        <v>78</v>
      </c>
      <c r="AN6283" t="s">
        <v>78</v>
      </c>
      <c r="AO6283" t="s">
        <v>78</v>
      </c>
      <c r="AP6283" t="s">
        <v>141</v>
      </c>
      <c r="AQ6283">
        <v>1</v>
      </c>
      <c r="AR6283" t="s">
        <v>80</v>
      </c>
      <c r="AS6283" t="s">
        <v>81</v>
      </c>
      <c r="AT6283" t="s">
        <v>58</v>
      </c>
      <c r="AU6283" t="s">
        <v>8673</v>
      </c>
      <c r="AV6283" t="s">
        <v>132</v>
      </c>
      <c r="AW6283" s="1">
        <v>28735</v>
      </c>
      <c r="AX6283">
        <v>1</v>
      </c>
    </row>
    <row r="6284" spans="1:50">
      <c r="A6284">
        <v>571270</v>
      </c>
      <c r="B6284" t="str">
        <f>"034761614"</f>
        <v>034761614</v>
      </c>
      <c r="C6284" t="s">
        <v>50</v>
      </c>
      <c r="D6284" t="s">
        <v>10712</v>
      </c>
      <c r="E6284" t="s">
        <v>52</v>
      </c>
      <c r="F6284" t="s">
        <v>72</v>
      </c>
      <c r="G6284" t="s">
        <v>255</v>
      </c>
      <c r="H6284" t="str">
        <f>"Μεραμβέλλου 58 Κέντρο"</f>
        <v>Μεραμβέλλου 58 Κέντρο</v>
      </c>
      <c r="I6284">
        <v>71202</v>
      </c>
      <c r="J6284">
        <v>2810300281</v>
      </c>
      <c r="K6284">
        <v>6977331470</v>
      </c>
      <c r="M6284" t="s">
        <v>10713</v>
      </c>
      <c r="N6284" t="s">
        <v>615</v>
      </c>
      <c r="O6284" t="s">
        <v>616</v>
      </c>
      <c r="R6284" t="s">
        <v>57</v>
      </c>
      <c r="S6284">
        <v>16</v>
      </c>
      <c r="T6284">
        <v>138</v>
      </c>
      <c r="U6284" s="1">
        <v>34206</v>
      </c>
      <c r="V6284" t="s">
        <v>80</v>
      </c>
      <c r="W6284" t="s">
        <v>81</v>
      </c>
      <c r="X6284" t="s">
        <v>58</v>
      </c>
      <c r="Y6284">
        <v>21</v>
      </c>
      <c r="Z6284" t="s">
        <v>59</v>
      </c>
      <c r="AA6284" t="s">
        <v>59</v>
      </c>
      <c r="AB6284" t="s">
        <v>59</v>
      </c>
      <c r="AC6284" t="s">
        <v>59</v>
      </c>
      <c r="AD6284" t="s">
        <v>59</v>
      </c>
      <c r="AF6284" s="1">
        <v>34213</v>
      </c>
      <c r="AG6284" t="s">
        <v>8645</v>
      </c>
      <c r="AH6284" t="s">
        <v>8646</v>
      </c>
      <c r="AI6284" t="str">
        <f>"9170534"</f>
        <v>9170534</v>
      </c>
      <c r="AJ6284" t="s">
        <v>8701</v>
      </c>
      <c r="AK6284">
        <v>2810323225</v>
      </c>
      <c r="AL6284" t="s">
        <v>8702</v>
      </c>
      <c r="AM6284" t="s">
        <v>78</v>
      </c>
      <c r="AN6284" t="s">
        <v>78</v>
      </c>
      <c r="AO6284" t="s">
        <v>78</v>
      </c>
      <c r="AP6284" t="s">
        <v>163</v>
      </c>
      <c r="AQ6284">
        <v>1</v>
      </c>
      <c r="AR6284" t="s">
        <v>80</v>
      </c>
      <c r="AS6284" t="s">
        <v>81</v>
      </c>
      <c r="AT6284" t="s">
        <v>58</v>
      </c>
      <c r="AU6284" t="s">
        <v>68</v>
      </c>
      <c r="AV6284" t="s">
        <v>69</v>
      </c>
      <c r="AW6284" s="1">
        <v>24079</v>
      </c>
      <c r="AX6284">
        <v>1</v>
      </c>
    </row>
    <row r="6285" spans="1:50">
      <c r="B6285" t="str">
        <f>"133576543"</f>
        <v>133576543</v>
      </c>
      <c r="C6285" t="s">
        <v>50</v>
      </c>
      <c r="D6285" t="s">
        <v>2761</v>
      </c>
      <c r="E6285" t="s">
        <v>191</v>
      </c>
      <c r="F6285" t="s">
        <v>53</v>
      </c>
      <c r="G6285" t="s">
        <v>314</v>
      </c>
      <c r="H6285" t="str">
        <f>" "</f>
        <v xml:space="preserve"> </v>
      </c>
      <c r="N6285" t="s">
        <v>615</v>
      </c>
      <c r="O6285" t="s">
        <v>616</v>
      </c>
      <c r="R6285" t="s">
        <v>159</v>
      </c>
      <c r="S6285">
        <v>1</v>
      </c>
      <c r="T6285" t="s">
        <v>8675</v>
      </c>
      <c r="U6285" s="1">
        <v>43348</v>
      </c>
      <c r="V6285" t="s">
        <v>80</v>
      </c>
      <c r="W6285" t="s">
        <v>81</v>
      </c>
      <c r="X6285" t="s">
        <v>58</v>
      </c>
      <c r="Y6285">
        <v>24</v>
      </c>
      <c r="Z6285" t="s">
        <v>59</v>
      </c>
      <c r="AA6285" t="s">
        <v>59</v>
      </c>
      <c r="AB6285" t="s">
        <v>59</v>
      </c>
      <c r="AC6285" t="s">
        <v>59</v>
      </c>
      <c r="AD6285" t="s">
        <v>59</v>
      </c>
      <c r="AF6285" s="1">
        <v>43348</v>
      </c>
      <c r="AG6285" t="s">
        <v>8645</v>
      </c>
      <c r="AH6285" t="s">
        <v>8646</v>
      </c>
      <c r="AI6285" t="str">
        <f>"9170144"</f>
        <v>9170144</v>
      </c>
      <c r="AJ6285" t="s">
        <v>8729</v>
      </c>
      <c r="AK6285">
        <v>2891022244</v>
      </c>
      <c r="AL6285" t="s">
        <v>8730</v>
      </c>
      <c r="AM6285" t="s">
        <v>78</v>
      </c>
      <c r="AN6285" t="s">
        <v>276</v>
      </c>
      <c r="AO6285" t="s">
        <v>490</v>
      </c>
      <c r="AP6285" t="s">
        <v>490</v>
      </c>
      <c r="AQ6285">
        <v>12</v>
      </c>
      <c r="AR6285" t="s">
        <v>80</v>
      </c>
      <c r="AS6285" t="s">
        <v>81</v>
      </c>
      <c r="AT6285" t="s">
        <v>58</v>
      </c>
      <c r="AU6285" t="s">
        <v>8673</v>
      </c>
      <c r="AV6285" t="s">
        <v>132</v>
      </c>
      <c r="AW6285" s="1">
        <v>32934</v>
      </c>
      <c r="AX6285">
        <v>1</v>
      </c>
    </row>
    <row r="6286" spans="1:50">
      <c r="B6286" t="str">
        <f>"132334206"</f>
        <v>132334206</v>
      </c>
      <c r="C6286" t="s">
        <v>50</v>
      </c>
      <c r="D6286" t="s">
        <v>2769</v>
      </c>
      <c r="E6286" t="s">
        <v>1108</v>
      </c>
      <c r="F6286" t="s">
        <v>53</v>
      </c>
      <c r="G6286" t="s">
        <v>52</v>
      </c>
      <c r="H6286" t="str">
        <f>"ΣΤΑΔΙΟΥ 170 ΝΕΑ ΑΛΙΚΑΡΝΑΣΣΟΣ"</f>
        <v>ΣΤΑΔΙΟΥ 170 ΝΕΑ ΑΛΙΚΑΡΝΑΣΣΟΣ</v>
      </c>
      <c r="I6286">
        <v>71601</v>
      </c>
      <c r="J6286">
        <v>2810244047</v>
      </c>
      <c r="K6286">
        <v>6942791924</v>
      </c>
      <c r="M6286" t="s">
        <v>10714</v>
      </c>
      <c r="N6286" t="s">
        <v>306</v>
      </c>
      <c r="O6286" t="s">
        <v>307</v>
      </c>
      <c r="R6286" t="s">
        <v>159</v>
      </c>
      <c r="S6286">
        <v>5</v>
      </c>
      <c r="T6286" t="s">
        <v>8675</v>
      </c>
      <c r="U6286" s="1">
        <v>43348</v>
      </c>
      <c r="V6286" t="s">
        <v>80</v>
      </c>
      <c r="W6286" t="s">
        <v>81</v>
      </c>
      <c r="X6286" t="s">
        <v>58</v>
      </c>
      <c r="Y6286">
        <v>24</v>
      </c>
      <c r="Z6286" t="s">
        <v>59</v>
      </c>
      <c r="AA6286" t="s">
        <v>59</v>
      </c>
      <c r="AB6286" t="s">
        <v>59</v>
      </c>
      <c r="AC6286" t="s">
        <v>59</v>
      </c>
      <c r="AD6286" t="s">
        <v>59</v>
      </c>
      <c r="AF6286" s="1">
        <v>43348</v>
      </c>
      <c r="AG6286" t="s">
        <v>8645</v>
      </c>
      <c r="AH6286" t="s">
        <v>8646</v>
      </c>
      <c r="AI6286" t="str">
        <f>"9170244"</f>
        <v>9170244</v>
      </c>
      <c r="AJ6286" t="s">
        <v>8933</v>
      </c>
      <c r="AK6286">
        <v>2897061213</v>
      </c>
      <c r="AL6286" t="s">
        <v>8934</v>
      </c>
      <c r="AM6286" t="s">
        <v>78</v>
      </c>
      <c r="AN6286" t="s">
        <v>219</v>
      </c>
      <c r="AO6286" t="s">
        <v>527</v>
      </c>
      <c r="AP6286" t="s">
        <v>528</v>
      </c>
      <c r="AQ6286">
        <v>8</v>
      </c>
      <c r="AR6286" t="s">
        <v>80</v>
      </c>
      <c r="AS6286" t="s">
        <v>81</v>
      </c>
      <c r="AT6286" t="s">
        <v>58</v>
      </c>
      <c r="AU6286" t="s">
        <v>8673</v>
      </c>
      <c r="AV6286" t="s">
        <v>132</v>
      </c>
      <c r="AW6286" s="1">
        <v>30603</v>
      </c>
      <c r="AX6286">
        <v>1</v>
      </c>
    </row>
    <row r="6287" spans="1:50">
      <c r="B6287" t="str">
        <f>"137231789"</f>
        <v>137231789</v>
      </c>
      <c r="C6287" t="s">
        <v>50</v>
      </c>
      <c r="D6287" t="s">
        <v>10715</v>
      </c>
      <c r="E6287" t="s">
        <v>54</v>
      </c>
      <c r="F6287" t="s">
        <v>72</v>
      </c>
      <c r="G6287" t="s">
        <v>52</v>
      </c>
      <c r="H6287" t="str">
        <f>"Θοδωρή Αγγελόπουλου  5 Ηράκλειο"</f>
        <v>Θοδωρή Αγγελόπουλου  5 Ηράκλειο</v>
      </c>
      <c r="I6287">
        <v>71307</v>
      </c>
      <c r="K6287">
        <v>6937768487</v>
      </c>
      <c r="N6287" t="s">
        <v>1525</v>
      </c>
      <c r="O6287" t="s">
        <v>1526</v>
      </c>
      <c r="R6287" t="s">
        <v>159</v>
      </c>
      <c r="S6287">
        <v>3</v>
      </c>
      <c r="T6287" t="s">
        <v>10716</v>
      </c>
      <c r="U6287" s="1">
        <v>43377</v>
      </c>
      <c r="V6287" t="s">
        <v>80</v>
      </c>
      <c r="W6287" t="s">
        <v>81</v>
      </c>
      <c r="X6287" t="s">
        <v>58</v>
      </c>
      <c r="Y6287">
        <v>25</v>
      </c>
      <c r="Z6287" t="s">
        <v>59</v>
      </c>
      <c r="AA6287" t="s">
        <v>59</v>
      </c>
      <c r="AB6287" t="s">
        <v>59</v>
      </c>
      <c r="AD6287" t="s">
        <v>59</v>
      </c>
      <c r="AF6287" s="1">
        <v>43377</v>
      </c>
      <c r="AG6287" t="s">
        <v>8651</v>
      </c>
      <c r="AH6287" t="s">
        <v>8652</v>
      </c>
      <c r="AI6287" t="str">
        <f>"9170281"</f>
        <v>9170281</v>
      </c>
      <c r="AJ6287" t="s">
        <v>9523</v>
      </c>
      <c r="AK6287">
        <v>2892023666</v>
      </c>
      <c r="AL6287" t="s">
        <v>9524</v>
      </c>
      <c r="AM6287" t="s">
        <v>78</v>
      </c>
      <c r="AN6287" t="s">
        <v>242</v>
      </c>
      <c r="AO6287" t="s">
        <v>243</v>
      </c>
      <c r="AP6287" t="s">
        <v>8940</v>
      </c>
      <c r="AQ6287">
        <v>20</v>
      </c>
      <c r="AR6287" t="s">
        <v>80</v>
      </c>
      <c r="AS6287" t="s">
        <v>81</v>
      </c>
      <c r="AT6287" t="s">
        <v>58</v>
      </c>
      <c r="AU6287" t="s">
        <v>8673</v>
      </c>
      <c r="AV6287" t="s">
        <v>132</v>
      </c>
      <c r="AW6287" s="1">
        <v>31839</v>
      </c>
      <c r="AX6287">
        <v>1</v>
      </c>
    </row>
    <row r="6288" spans="1:50">
      <c r="B6288" t="str">
        <f>"148786360"</f>
        <v>148786360</v>
      </c>
      <c r="C6288" t="s">
        <v>50</v>
      </c>
      <c r="D6288" t="s">
        <v>2785</v>
      </c>
      <c r="E6288" t="s">
        <v>506</v>
      </c>
      <c r="F6288" t="s">
        <v>450</v>
      </c>
      <c r="G6288" t="s">
        <v>340</v>
      </c>
      <c r="H6288" t="str">
        <f>"ΑΝΤΙΓΟΝΗΣ 3 "</f>
        <v xml:space="preserve">ΑΝΤΙΓΟΝΗΣ 3 </v>
      </c>
      <c r="I6288">
        <v>41336</v>
      </c>
      <c r="J6288">
        <v>2410230964</v>
      </c>
      <c r="K6288">
        <v>6972647024</v>
      </c>
      <c r="N6288" t="s">
        <v>615</v>
      </c>
      <c r="O6288" t="s">
        <v>616</v>
      </c>
      <c r="R6288" t="s">
        <v>159</v>
      </c>
      <c r="S6288">
        <v>3</v>
      </c>
      <c r="T6288" t="s">
        <v>8675</v>
      </c>
      <c r="U6288" s="1">
        <v>43348</v>
      </c>
      <c r="V6288" t="s">
        <v>80</v>
      </c>
      <c r="W6288" t="s">
        <v>81</v>
      </c>
      <c r="X6288" t="s">
        <v>58</v>
      </c>
      <c r="Y6288">
        <v>24</v>
      </c>
      <c r="Z6288" t="s">
        <v>59</v>
      </c>
      <c r="AA6288" t="s">
        <v>59</v>
      </c>
      <c r="AB6288" t="s">
        <v>59</v>
      </c>
      <c r="AC6288" t="s">
        <v>59</v>
      </c>
      <c r="AD6288" t="s">
        <v>59</v>
      </c>
      <c r="AF6288" s="1">
        <v>43348</v>
      </c>
      <c r="AG6288" t="s">
        <v>8645</v>
      </c>
      <c r="AH6288" t="s">
        <v>8646</v>
      </c>
      <c r="AI6288" t="str">
        <f>"9170239"</f>
        <v>9170239</v>
      </c>
      <c r="AJ6288" t="s">
        <v>8814</v>
      </c>
      <c r="AK6288">
        <v>2897022076</v>
      </c>
      <c r="AL6288" t="s">
        <v>8815</v>
      </c>
      <c r="AM6288" t="s">
        <v>78</v>
      </c>
      <c r="AN6288" t="s">
        <v>219</v>
      </c>
      <c r="AO6288" t="s">
        <v>219</v>
      </c>
      <c r="AP6288" t="s">
        <v>220</v>
      </c>
      <c r="AQ6288">
        <v>8</v>
      </c>
      <c r="AR6288" t="s">
        <v>80</v>
      </c>
      <c r="AS6288" t="s">
        <v>81</v>
      </c>
      <c r="AT6288" t="s">
        <v>58</v>
      </c>
      <c r="AU6288" t="s">
        <v>8673</v>
      </c>
      <c r="AV6288" t="s">
        <v>132</v>
      </c>
      <c r="AW6288" s="1">
        <v>32288</v>
      </c>
      <c r="AX6288">
        <v>1</v>
      </c>
    </row>
    <row r="6289" spans="1:50">
      <c r="A6289">
        <v>606061</v>
      </c>
      <c r="B6289" t="str">
        <f>"066375746"</f>
        <v>066375746</v>
      </c>
      <c r="C6289" t="s">
        <v>50</v>
      </c>
      <c r="D6289" t="s">
        <v>10717</v>
      </c>
      <c r="E6289" t="s">
        <v>52</v>
      </c>
      <c r="F6289" t="s">
        <v>106</v>
      </c>
      <c r="G6289" t="s">
        <v>83</v>
      </c>
      <c r="H6289" t="str">
        <f>" "</f>
        <v xml:space="preserve"> </v>
      </c>
      <c r="J6289">
        <v>2810230931</v>
      </c>
      <c r="K6289">
        <v>6945878713</v>
      </c>
      <c r="N6289" t="s">
        <v>1525</v>
      </c>
      <c r="O6289" t="s">
        <v>1526</v>
      </c>
      <c r="R6289" t="s">
        <v>57</v>
      </c>
      <c r="S6289">
        <v>10</v>
      </c>
      <c r="T6289">
        <v>231</v>
      </c>
      <c r="U6289" s="1">
        <v>38230</v>
      </c>
      <c r="V6289" t="s">
        <v>80</v>
      </c>
      <c r="W6289" t="s">
        <v>81</v>
      </c>
      <c r="X6289" t="s">
        <v>58</v>
      </c>
      <c r="Y6289">
        <v>25</v>
      </c>
      <c r="Z6289" t="s">
        <v>59</v>
      </c>
      <c r="AA6289" t="s">
        <v>59</v>
      </c>
      <c r="AB6289" t="s">
        <v>59</v>
      </c>
      <c r="AC6289" t="s">
        <v>59</v>
      </c>
      <c r="AD6289" t="s">
        <v>59</v>
      </c>
      <c r="AF6289" s="1">
        <v>38231</v>
      </c>
      <c r="AG6289" t="s">
        <v>8651</v>
      </c>
      <c r="AH6289" t="s">
        <v>8652</v>
      </c>
      <c r="AI6289" t="str">
        <f>"9170505"</f>
        <v>9170505</v>
      </c>
      <c r="AJ6289" t="s">
        <v>9478</v>
      </c>
      <c r="AK6289">
        <v>2810243082</v>
      </c>
      <c r="AL6289" t="s">
        <v>9479</v>
      </c>
      <c r="AM6289" t="s">
        <v>78</v>
      </c>
      <c r="AN6289" t="s">
        <v>78</v>
      </c>
      <c r="AO6289" t="s">
        <v>78</v>
      </c>
      <c r="AP6289" t="s">
        <v>213</v>
      </c>
      <c r="AQ6289">
        <v>1</v>
      </c>
      <c r="AR6289" t="s">
        <v>80</v>
      </c>
      <c r="AS6289" t="s">
        <v>81</v>
      </c>
      <c r="AT6289" t="s">
        <v>58</v>
      </c>
      <c r="AU6289" t="s">
        <v>68</v>
      </c>
      <c r="AV6289" t="s">
        <v>69</v>
      </c>
      <c r="AW6289" s="1">
        <v>23816</v>
      </c>
      <c r="AX6289">
        <v>1</v>
      </c>
    </row>
    <row r="6290" spans="1:50">
      <c r="A6290">
        <v>617224</v>
      </c>
      <c r="B6290" t="str">
        <f>"068057893"</f>
        <v>068057893</v>
      </c>
      <c r="C6290" t="s">
        <v>50</v>
      </c>
      <c r="D6290" t="s">
        <v>10718</v>
      </c>
      <c r="E6290" t="s">
        <v>250</v>
      </c>
      <c r="F6290" t="s">
        <v>10719</v>
      </c>
      <c r="G6290" t="s">
        <v>4118</v>
      </c>
      <c r="H6290" t="str">
        <f>"ΜΕΓ.ΑΛΕΞΑΝΔΡΟΥ 122 ΗΡΑΚΛΕΙΟ"</f>
        <v>ΜΕΓ.ΑΛΕΞΑΝΔΡΟΥ 122 ΗΡΑΚΛΕΙΟ</v>
      </c>
      <c r="I6290">
        <v>70305</v>
      </c>
      <c r="J6290">
        <v>2891023895</v>
      </c>
      <c r="K6290">
        <v>6972276089</v>
      </c>
      <c r="N6290" t="s">
        <v>615</v>
      </c>
      <c r="O6290" t="s">
        <v>616</v>
      </c>
      <c r="R6290" t="s">
        <v>57</v>
      </c>
      <c r="S6290">
        <v>6</v>
      </c>
      <c r="T6290">
        <v>774</v>
      </c>
      <c r="U6290" s="1">
        <v>39680</v>
      </c>
      <c r="V6290" t="s">
        <v>80</v>
      </c>
      <c r="W6290" t="s">
        <v>81</v>
      </c>
      <c r="X6290" t="s">
        <v>58</v>
      </c>
      <c r="Y6290">
        <v>23</v>
      </c>
      <c r="Z6290" t="s">
        <v>59</v>
      </c>
      <c r="AA6290" t="s">
        <v>59</v>
      </c>
      <c r="AB6290" t="s">
        <v>59</v>
      </c>
      <c r="AC6290" t="s">
        <v>59</v>
      </c>
      <c r="AD6290" t="s">
        <v>59</v>
      </c>
      <c r="AF6290" s="1">
        <v>39681</v>
      </c>
      <c r="AG6290" t="s">
        <v>8645</v>
      </c>
      <c r="AH6290" t="s">
        <v>8646</v>
      </c>
      <c r="AI6290" t="str">
        <f>"9170519"</f>
        <v>9170519</v>
      </c>
      <c r="AJ6290" t="s">
        <v>8647</v>
      </c>
      <c r="AK6290">
        <v>2810244075</v>
      </c>
      <c r="AL6290" t="s">
        <v>8648</v>
      </c>
      <c r="AM6290" t="s">
        <v>78</v>
      </c>
      <c r="AN6290" t="s">
        <v>78</v>
      </c>
      <c r="AO6290" t="s">
        <v>78</v>
      </c>
      <c r="AP6290" t="s">
        <v>213</v>
      </c>
      <c r="AQ6290">
        <v>1</v>
      </c>
      <c r="AR6290" t="s">
        <v>80</v>
      </c>
      <c r="AS6290" t="s">
        <v>81</v>
      </c>
      <c r="AT6290" t="s">
        <v>58</v>
      </c>
      <c r="AU6290" t="s">
        <v>68</v>
      </c>
      <c r="AV6290" t="s">
        <v>69</v>
      </c>
      <c r="AW6290" s="1">
        <v>30619</v>
      </c>
      <c r="AX6290">
        <v>1</v>
      </c>
    </row>
    <row r="6291" spans="1:50">
      <c r="A6291">
        <v>618496</v>
      </c>
      <c r="B6291" t="str">
        <f>"125967150"</f>
        <v>125967150</v>
      </c>
      <c r="C6291" t="s">
        <v>50</v>
      </c>
      <c r="D6291" t="s">
        <v>10718</v>
      </c>
      <c r="E6291" t="s">
        <v>255</v>
      </c>
      <c r="F6291" t="s">
        <v>304</v>
      </c>
      <c r="G6291" t="s">
        <v>52</v>
      </c>
      <c r="H6291" t="str">
        <f>"ΑΛΦΕΙΟΥ 12 ΜΕΣΣΑΜΠΕΛΙΕΣ"</f>
        <v>ΑΛΦΕΙΟΥ 12 ΜΕΣΣΑΜΠΕΛΙΕΣ</v>
      </c>
      <c r="I6291">
        <v>71409</v>
      </c>
      <c r="J6291">
        <v>2810237253</v>
      </c>
      <c r="K6291">
        <v>6973564624</v>
      </c>
      <c r="M6291" t="s">
        <v>10720</v>
      </c>
      <c r="N6291" t="s">
        <v>615</v>
      </c>
      <c r="O6291" t="s">
        <v>616</v>
      </c>
      <c r="R6291" t="s">
        <v>57</v>
      </c>
      <c r="S6291">
        <v>5</v>
      </c>
      <c r="T6291">
        <v>774</v>
      </c>
      <c r="U6291" s="1">
        <v>39680</v>
      </c>
      <c r="V6291" t="s">
        <v>80</v>
      </c>
      <c r="W6291" t="s">
        <v>81</v>
      </c>
      <c r="X6291" t="s">
        <v>58</v>
      </c>
      <c r="Y6291">
        <v>23</v>
      </c>
      <c r="Z6291" t="s">
        <v>59</v>
      </c>
      <c r="AA6291" t="s">
        <v>59</v>
      </c>
      <c r="AB6291" t="s">
        <v>59</v>
      </c>
      <c r="AC6291" t="s">
        <v>59</v>
      </c>
      <c r="AD6291" t="s">
        <v>59</v>
      </c>
      <c r="AF6291" s="1">
        <v>39681</v>
      </c>
      <c r="AG6291" t="s">
        <v>8645</v>
      </c>
      <c r="AH6291" t="s">
        <v>8646</v>
      </c>
      <c r="AI6291" t="str">
        <f>"9170525"</f>
        <v>9170525</v>
      </c>
      <c r="AJ6291" t="s">
        <v>8853</v>
      </c>
      <c r="AK6291">
        <v>2810256547</v>
      </c>
      <c r="AL6291" t="s">
        <v>8854</v>
      </c>
      <c r="AM6291" t="s">
        <v>78</v>
      </c>
      <c r="AN6291" t="s">
        <v>78</v>
      </c>
      <c r="AO6291" t="s">
        <v>78</v>
      </c>
      <c r="AP6291" t="s">
        <v>141</v>
      </c>
      <c r="AQ6291">
        <v>1</v>
      </c>
      <c r="AR6291" t="s">
        <v>80</v>
      </c>
      <c r="AS6291" t="s">
        <v>81</v>
      </c>
      <c r="AT6291" t="s">
        <v>58</v>
      </c>
      <c r="AU6291" t="s">
        <v>68</v>
      </c>
      <c r="AV6291" t="s">
        <v>69</v>
      </c>
      <c r="AW6291" s="1">
        <v>30805</v>
      </c>
      <c r="AX6291">
        <v>1</v>
      </c>
    </row>
    <row r="6292" spans="1:50">
      <c r="A6292">
        <v>589963</v>
      </c>
      <c r="B6292" t="str">
        <f>"052648778"</f>
        <v>052648778</v>
      </c>
      <c r="C6292" t="s">
        <v>50</v>
      </c>
      <c r="D6292" t="s">
        <v>10718</v>
      </c>
      <c r="E6292" t="s">
        <v>255</v>
      </c>
      <c r="F6292" t="s">
        <v>53</v>
      </c>
      <c r="G6292" t="s">
        <v>1068</v>
      </c>
      <c r="H6292" t="str">
        <f>"ΚΑΡΤΕΡΟΣ ΗΡΑΚΛΕΙΟ"</f>
        <v>ΚΑΡΤΕΡΟΣ ΗΡΑΚΛΕΙΟ</v>
      </c>
      <c r="I6292">
        <v>71601</v>
      </c>
      <c r="J6292">
        <v>2810380317</v>
      </c>
      <c r="K6292">
        <v>6936951623</v>
      </c>
      <c r="M6292" t="s">
        <v>10721</v>
      </c>
      <c r="N6292" t="s">
        <v>176</v>
      </c>
      <c r="O6292" t="s">
        <v>177</v>
      </c>
      <c r="R6292" t="s">
        <v>57</v>
      </c>
      <c r="S6292">
        <v>9</v>
      </c>
      <c r="T6292">
        <v>177</v>
      </c>
      <c r="U6292" s="1">
        <v>36403</v>
      </c>
      <c r="V6292" t="s">
        <v>80</v>
      </c>
      <c r="W6292" t="s">
        <v>81</v>
      </c>
      <c r="X6292" t="s">
        <v>58</v>
      </c>
      <c r="Y6292">
        <v>22</v>
      </c>
      <c r="Z6292" t="s">
        <v>59</v>
      </c>
      <c r="AA6292" t="s">
        <v>59</v>
      </c>
      <c r="AB6292" t="s">
        <v>59</v>
      </c>
      <c r="AC6292" t="s">
        <v>59</v>
      </c>
      <c r="AD6292" t="s">
        <v>59</v>
      </c>
      <c r="AF6292" s="1">
        <v>36405</v>
      </c>
      <c r="AG6292" t="s">
        <v>8645</v>
      </c>
      <c r="AH6292" t="s">
        <v>8646</v>
      </c>
      <c r="AI6292" t="str">
        <f>"9170343"</f>
        <v>9170343</v>
      </c>
      <c r="AJ6292" t="s">
        <v>8743</v>
      </c>
      <c r="AK6292">
        <v>2810283970</v>
      </c>
      <c r="AL6292" t="s">
        <v>8744</v>
      </c>
      <c r="AM6292" t="s">
        <v>78</v>
      </c>
      <c r="AN6292" t="s">
        <v>78</v>
      </c>
      <c r="AO6292" t="s">
        <v>78</v>
      </c>
      <c r="AP6292" t="s">
        <v>79</v>
      </c>
      <c r="AQ6292">
        <v>1</v>
      </c>
      <c r="AR6292" t="s">
        <v>80</v>
      </c>
      <c r="AS6292" t="s">
        <v>81</v>
      </c>
      <c r="AT6292" t="s">
        <v>58</v>
      </c>
      <c r="AU6292" t="s">
        <v>68</v>
      </c>
      <c r="AV6292" t="s">
        <v>69</v>
      </c>
      <c r="AW6292" s="1">
        <v>25451</v>
      </c>
      <c r="AX6292">
        <v>1</v>
      </c>
    </row>
    <row r="6293" spans="1:50">
      <c r="A6293">
        <v>608235</v>
      </c>
      <c r="B6293" t="str">
        <f>"074182101"</f>
        <v>074182101</v>
      </c>
      <c r="C6293" t="s">
        <v>50</v>
      </c>
      <c r="D6293" t="s">
        <v>10718</v>
      </c>
      <c r="E6293" t="s">
        <v>440</v>
      </c>
      <c r="F6293" t="s">
        <v>900</v>
      </c>
      <c r="G6293" t="s">
        <v>96</v>
      </c>
      <c r="H6293" t="str">
        <f>" "</f>
        <v xml:space="preserve"> </v>
      </c>
      <c r="J6293">
        <v>2810235774</v>
      </c>
      <c r="K6293">
        <v>6977175186</v>
      </c>
      <c r="N6293" t="s">
        <v>1525</v>
      </c>
      <c r="O6293" t="s">
        <v>1526</v>
      </c>
      <c r="R6293" t="s">
        <v>57</v>
      </c>
      <c r="S6293">
        <v>8</v>
      </c>
      <c r="T6293" t="s">
        <v>9361</v>
      </c>
      <c r="U6293" s="1">
        <v>38600</v>
      </c>
      <c r="V6293" t="s">
        <v>80</v>
      </c>
      <c r="W6293" t="s">
        <v>81</v>
      </c>
      <c r="X6293" t="s">
        <v>58</v>
      </c>
      <c r="Y6293">
        <v>25</v>
      </c>
      <c r="Z6293" t="s">
        <v>59</v>
      </c>
      <c r="AA6293" t="s">
        <v>59</v>
      </c>
      <c r="AB6293" t="s">
        <v>59</v>
      </c>
      <c r="AC6293" t="s">
        <v>59</v>
      </c>
      <c r="AD6293" t="s">
        <v>59</v>
      </c>
      <c r="AF6293" s="1">
        <v>38600</v>
      </c>
      <c r="AG6293" t="s">
        <v>8651</v>
      </c>
      <c r="AH6293" t="s">
        <v>8652</v>
      </c>
      <c r="AI6293" t="str">
        <f>"9521639"</f>
        <v>9521639</v>
      </c>
      <c r="AJ6293" t="s">
        <v>10722</v>
      </c>
      <c r="AK6293">
        <v>2810751950</v>
      </c>
      <c r="AL6293" t="s">
        <v>10723</v>
      </c>
      <c r="AM6293" t="s">
        <v>78</v>
      </c>
      <c r="AN6293" t="s">
        <v>424</v>
      </c>
      <c r="AO6293" t="s">
        <v>425</v>
      </c>
      <c r="AP6293" t="s">
        <v>425</v>
      </c>
      <c r="AQ6293">
        <v>11</v>
      </c>
      <c r="AR6293" t="s">
        <v>80</v>
      </c>
      <c r="AS6293" t="s">
        <v>81</v>
      </c>
      <c r="AT6293" t="s">
        <v>58</v>
      </c>
      <c r="AU6293" t="s">
        <v>68</v>
      </c>
      <c r="AV6293" t="s">
        <v>69</v>
      </c>
      <c r="AW6293" s="1">
        <v>25369</v>
      </c>
      <c r="AX6293">
        <v>1</v>
      </c>
    </row>
    <row r="6294" spans="1:50">
      <c r="A6294">
        <v>618398</v>
      </c>
      <c r="B6294" t="str">
        <f>"125581589"</f>
        <v>125581589</v>
      </c>
      <c r="C6294" t="s">
        <v>50</v>
      </c>
      <c r="D6294" t="s">
        <v>10718</v>
      </c>
      <c r="E6294" t="s">
        <v>52</v>
      </c>
      <c r="F6294" t="s">
        <v>1328</v>
      </c>
      <c r="G6294" t="s">
        <v>1114</v>
      </c>
      <c r="H6294" t="str">
        <f>"ΘΩΜΑ ΦΑΝΟΥΡΑΚΗ ΗΡΑΚΛΕΙΟ"</f>
        <v>ΘΩΜΑ ΦΑΝΟΥΡΑΚΗ ΗΡΑΚΛΕΙΟ</v>
      </c>
      <c r="I6294">
        <v>71500</v>
      </c>
      <c r="J6294">
        <v>2810213468</v>
      </c>
      <c r="K6294">
        <v>6936536504</v>
      </c>
      <c r="N6294" t="s">
        <v>615</v>
      </c>
      <c r="O6294" t="s">
        <v>616</v>
      </c>
      <c r="R6294" t="s">
        <v>57</v>
      </c>
      <c r="S6294">
        <v>5</v>
      </c>
      <c r="T6294">
        <v>774</v>
      </c>
      <c r="U6294" s="1">
        <v>39680</v>
      </c>
      <c r="V6294" t="s">
        <v>80</v>
      </c>
      <c r="W6294" t="s">
        <v>81</v>
      </c>
      <c r="X6294" t="s">
        <v>58</v>
      </c>
      <c r="Y6294">
        <v>23</v>
      </c>
      <c r="Z6294" t="s">
        <v>59</v>
      </c>
      <c r="AA6294" t="s">
        <v>59</v>
      </c>
      <c r="AB6294" t="s">
        <v>59</v>
      </c>
      <c r="AC6294" t="s">
        <v>59</v>
      </c>
      <c r="AD6294" t="s">
        <v>59</v>
      </c>
      <c r="AF6294" s="1">
        <v>39681</v>
      </c>
      <c r="AG6294" t="s">
        <v>8645</v>
      </c>
      <c r="AH6294" t="s">
        <v>8646</v>
      </c>
      <c r="AI6294" t="str">
        <f>"9170428"</f>
        <v>9170428</v>
      </c>
      <c r="AJ6294" t="s">
        <v>8983</v>
      </c>
      <c r="AK6294">
        <v>2810234768</v>
      </c>
      <c r="AL6294" t="s">
        <v>8984</v>
      </c>
      <c r="AM6294" t="s">
        <v>78</v>
      </c>
      <c r="AN6294" t="s">
        <v>78</v>
      </c>
      <c r="AO6294" t="s">
        <v>78</v>
      </c>
      <c r="AP6294" t="s">
        <v>79</v>
      </c>
      <c r="AQ6294">
        <v>1</v>
      </c>
      <c r="AR6294" t="s">
        <v>80</v>
      </c>
      <c r="AS6294" t="s">
        <v>81</v>
      </c>
      <c r="AT6294" t="s">
        <v>58</v>
      </c>
      <c r="AU6294" t="s">
        <v>68</v>
      </c>
      <c r="AV6294" t="s">
        <v>69</v>
      </c>
      <c r="AW6294" s="1">
        <v>30833</v>
      </c>
      <c r="AX6294">
        <v>1</v>
      </c>
    </row>
    <row r="6295" spans="1:50">
      <c r="B6295" t="str">
        <f>"143659080"</f>
        <v>143659080</v>
      </c>
      <c r="C6295" t="s">
        <v>50</v>
      </c>
      <c r="D6295" t="s">
        <v>10718</v>
      </c>
      <c r="E6295" t="s">
        <v>801</v>
      </c>
      <c r="F6295" t="s">
        <v>6024</v>
      </c>
      <c r="G6295" t="s">
        <v>705</v>
      </c>
      <c r="H6295" t="str">
        <f>"ΑΡΙΔΑΙΑΣ 2 "</f>
        <v xml:space="preserve">ΑΡΙΔΑΙΑΣ 2 </v>
      </c>
      <c r="I6295">
        <v>71409</v>
      </c>
      <c r="J6295">
        <v>2810212690</v>
      </c>
      <c r="K6295">
        <v>6946990987</v>
      </c>
      <c r="M6295" t="s">
        <v>10724</v>
      </c>
      <c r="N6295" t="s">
        <v>615</v>
      </c>
      <c r="O6295" t="s">
        <v>616</v>
      </c>
      <c r="R6295" t="s">
        <v>159</v>
      </c>
      <c r="S6295">
        <v>5</v>
      </c>
      <c r="T6295" t="s">
        <v>8675</v>
      </c>
      <c r="U6295" s="1">
        <v>43348</v>
      </c>
      <c r="V6295" t="s">
        <v>80</v>
      </c>
      <c r="W6295" t="s">
        <v>81</v>
      </c>
      <c r="X6295" t="s">
        <v>58</v>
      </c>
      <c r="Y6295">
        <v>24</v>
      </c>
      <c r="Z6295" t="s">
        <v>59</v>
      </c>
      <c r="AA6295" t="s">
        <v>59</v>
      </c>
      <c r="AB6295" t="s">
        <v>59</v>
      </c>
      <c r="AC6295" t="s">
        <v>59</v>
      </c>
      <c r="AD6295" t="s">
        <v>59</v>
      </c>
      <c r="AF6295" s="1">
        <v>43348</v>
      </c>
      <c r="AG6295" t="s">
        <v>8645</v>
      </c>
      <c r="AH6295" t="s">
        <v>8646</v>
      </c>
      <c r="AI6295" t="str">
        <f>"9170097"</f>
        <v>9170097</v>
      </c>
      <c r="AJ6295" t="s">
        <v>8826</v>
      </c>
      <c r="AK6295">
        <v>2810751807</v>
      </c>
      <c r="AL6295" t="s">
        <v>8827</v>
      </c>
      <c r="AM6295" t="s">
        <v>78</v>
      </c>
      <c r="AN6295" t="s">
        <v>424</v>
      </c>
      <c r="AO6295" t="s">
        <v>425</v>
      </c>
      <c r="AP6295" t="s">
        <v>425</v>
      </c>
      <c r="AQ6295">
        <v>11</v>
      </c>
      <c r="AR6295" t="s">
        <v>80</v>
      </c>
      <c r="AS6295" t="s">
        <v>81</v>
      </c>
      <c r="AT6295" t="s">
        <v>58</v>
      </c>
      <c r="AU6295" t="s">
        <v>8673</v>
      </c>
      <c r="AV6295" t="s">
        <v>132</v>
      </c>
      <c r="AW6295" s="1">
        <v>32080</v>
      </c>
      <c r="AX6295">
        <v>1</v>
      </c>
    </row>
    <row r="6296" spans="1:50">
      <c r="A6296">
        <v>599142</v>
      </c>
      <c r="B6296" t="str">
        <f>"027810094"</f>
        <v>027810094</v>
      </c>
      <c r="C6296" t="s">
        <v>105</v>
      </c>
      <c r="D6296" t="s">
        <v>10725</v>
      </c>
      <c r="E6296" t="s">
        <v>166</v>
      </c>
      <c r="F6296" t="s">
        <v>3285</v>
      </c>
      <c r="G6296" t="s">
        <v>52</v>
      </c>
      <c r="H6296" t="str">
        <f>"Μ.ΜΗΛΙΑΡΑ 3 ΗΡΑΚΛΕΙΟ"</f>
        <v>Μ.ΜΗΛΙΑΡΑ 3 ΗΡΑΚΛΕΙΟ</v>
      </c>
      <c r="I6296">
        <v>71201</v>
      </c>
      <c r="J6296">
        <v>2810283393</v>
      </c>
      <c r="N6296" t="s">
        <v>615</v>
      </c>
      <c r="O6296" t="s">
        <v>616</v>
      </c>
      <c r="R6296" t="s">
        <v>57</v>
      </c>
      <c r="S6296">
        <v>9</v>
      </c>
      <c r="T6296">
        <v>195</v>
      </c>
      <c r="U6296" s="1">
        <v>37497</v>
      </c>
      <c r="V6296" t="s">
        <v>80</v>
      </c>
      <c r="W6296" t="s">
        <v>81</v>
      </c>
      <c r="X6296" t="s">
        <v>58</v>
      </c>
      <c r="Y6296">
        <v>22</v>
      </c>
      <c r="Z6296" t="s">
        <v>59</v>
      </c>
      <c r="AA6296" t="s">
        <v>59</v>
      </c>
      <c r="AB6296" t="s">
        <v>59</v>
      </c>
      <c r="AC6296" t="s">
        <v>59</v>
      </c>
      <c r="AD6296" t="s">
        <v>59</v>
      </c>
      <c r="AF6296" s="1">
        <v>37501</v>
      </c>
      <c r="AG6296" t="s">
        <v>8645</v>
      </c>
      <c r="AH6296" t="s">
        <v>8646</v>
      </c>
      <c r="AI6296" t="str">
        <f>"9170428"</f>
        <v>9170428</v>
      </c>
      <c r="AJ6296" t="s">
        <v>8983</v>
      </c>
      <c r="AK6296">
        <v>2810234768</v>
      </c>
      <c r="AL6296" t="s">
        <v>8984</v>
      </c>
      <c r="AM6296" t="s">
        <v>78</v>
      </c>
      <c r="AN6296" t="s">
        <v>78</v>
      </c>
      <c r="AO6296" t="s">
        <v>78</v>
      </c>
      <c r="AP6296" t="s">
        <v>79</v>
      </c>
      <c r="AQ6296">
        <v>1</v>
      </c>
      <c r="AR6296" t="s">
        <v>80</v>
      </c>
      <c r="AS6296" t="s">
        <v>81</v>
      </c>
      <c r="AT6296" t="s">
        <v>58</v>
      </c>
      <c r="AU6296" t="s">
        <v>68</v>
      </c>
      <c r="AV6296" t="s">
        <v>69</v>
      </c>
      <c r="AW6296" s="1">
        <v>21381</v>
      </c>
      <c r="AX6296">
        <v>1</v>
      </c>
    </row>
    <row r="6297" spans="1:50">
      <c r="A6297">
        <v>702189</v>
      </c>
      <c r="B6297" t="str">
        <f>"149707310"</f>
        <v>149707310</v>
      </c>
      <c r="C6297" t="s">
        <v>50</v>
      </c>
      <c r="D6297" t="s">
        <v>10726</v>
      </c>
      <c r="E6297" t="s">
        <v>174</v>
      </c>
      <c r="F6297" t="s">
        <v>670</v>
      </c>
      <c r="G6297" t="s">
        <v>155</v>
      </c>
      <c r="H6297" t="str">
        <f>"Δ.Δ Π.ΣΚΥΛΙΤΣΙ "</f>
        <v xml:space="preserve">Δ.Δ Π.ΣΚΥΛΙΤΣΙ </v>
      </c>
      <c r="I6297">
        <v>59100</v>
      </c>
      <c r="J6297">
        <v>2331039502</v>
      </c>
      <c r="K6297">
        <v>6977408681</v>
      </c>
      <c r="N6297" t="s">
        <v>615</v>
      </c>
      <c r="O6297" t="s">
        <v>616</v>
      </c>
      <c r="R6297" t="s">
        <v>57</v>
      </c>
      <c r="S6297">
        <v>4</v>
      </c>
      <c r="T6297" t="s">
        <v>6575</v>
      </c>
      <c r="U6297" s="1">
        <v>40413</v>
      </c>
      <c r="V6297" t="s">
        <v>80</v>
      </c>
      <c r="W6297" t="s">
        <v>81</v>
      </c>
      <c r="X6297" t="s">
        <v>58</v>
      </c>
      <c r="Y6297">
        <v>24</v>
      </c>
      <c r="Z6297" t="s">
        <v>59</v>
      </c>
      <c r="AA6297" t="s">
        <v>59</v>
      </c>
      <c r="AB6297" t="s">
        <v>59</v>
      </c>
      <c r="AC6297" t="s">
        <v>59</v>
      </c>
      <c r="AD6297" t="s">
        <v>59</v>
      </c>
      <c r="AF6297" s="1">
        <v>40413</v>
      </c>
      <c r="AG6297" t="s">
        <v>8645</v>
      </c>
      <c r="AH6297" t="s">
        <v>8646</v>
      </c>
      <c r="AI6297" t="str">
        <f>"9170519"</f>
        <v>9170519</v>
      </c>
      <c r="AJ6297" t="s">
        <v>8647</v>
      </c>
      <c r="AK6297">
        <v>2810244075</v>
      </c>
      <c r="AL6297" t="s">
        <v>8648</v>
      </c>
      <c r="AM6297" t="s">
        <v>78</v>
      </c>
      <c r="AN6297" t="s">
        <v>78</v>
      </c>
      <c r="AO6297" t="s">
        <v>78</v>
      </c>
      <c r="AP6297" t="s">
        <v>213</v>
      </c>
      <c r="AQ6297">
        <v>1</v>
      </c>
      <c r="AR6297" t="s">
        <v>80</v>
      </c>
      <c r="AS6297" t="s">
        <v>81</v>
      </c>
      <c r="AT6297" t="s">
        <v>58</v>
      </c>
      <c r="AU6297" t="s">
        <v>68</v>
      </c>
      <c r="AV6297" t="s">
        <v>69</v>
      </c>
      <c r="AW6297" s="1">
        <v>31844</v>
      </c>
      <c r="AX6297">
        <v>1</v>
      </c>
    </row>
    <row r="6298" spans="1:50">
      <c r="B6298" t="str">
        <f>"132575260"</f>
        <v>132575260</v>
      </c>
      <c r="C6298" t="s">
        <v>50</v>
      </c>
      <c r="D6298" t="s">
        <v>10727</v>
      </c>
      <c r="E6298" t="s">
        <v>10728</v>
      </c>
      <c r="F6298" t="s">
        <v>10729</v>
      </c>
      <c r="G6298" t="s">
        <v>6136</v>
      </c>
      <c r="H6298" t="str">
        <f>"ΛΑΡΝΑΚΟΣ 9 ΑΘΗΝΑ"</f>
        <v>ΛΑΡΝΑΚΟΣ 9 ΑΘΗΝΑ</v>
      </c>
      <c r="I6298">
        <v>11253</v>
      </c>
      <c r="J6298">
        <v>2108679500</v>
      </c>
      <c r="K6298">
        <v>6942676249</v>
      </c>
      <c r="N6298" t="s">
        <v>615</v>
      </c>
      <c r="O6298" t="s">
        <v>616</v>
      </c>
      <c r="R6298" t="s">
        <v>159</v>
      </c>
      <c r="S6298">
        <v>3</v>
      </c>
      <c r="T6298" t="s">
        <v>8675</v>
      </c>
      <c r="U6298" s="1">
        <v>43348</v>
      </c>
      <c r="V6298" t="s">
        <v>80</v>
      </c>
      <c r="W6298" t="s">
        <v>81</v>
      </c>
      <c r="X6298" t="s">
        <v>58</v>
      </c>
      <c r="Y6298">
        <v>24</v>
      </c>
      <c r="Z6298" t="s">
        <v>59</v>
      </c>
      <c r="AA6298" t="s">
        <v>59</v>
      </c>
      <c r="AB6298" t="s">
        <v>59</v>
      </c>
      <c r="AC6298" t="s">
        <v>59</v>
      </c>
      <c r="AD6298" t="s">
        <v>59</v>
      </c>
      <c r="AF6298" s="1">
        <v>43348</v>
      </c>
      <c r="AG6298" t="s">
        <v>8645</v>
      </c>
      <c r="AH6298" t="s">
        <v>8646</v>
      </c>
      <c r="AI6298" t="str">
        <f>"9170200"</f>
        <v>9170200</v>
      </c>
      <c r="AJ6298" t="s">
        <v>9589</v>
      </c>
      <c r="AK6298">
        <v>2810741264</v>
      </c>
      <c r="AL6298" t="s">
        <v>9590</v>
      </c>
      <c r="AM6298" t="s">
        <v>78</v>
      </c>
      <c r="AN6298" t="s">
        <v>424</v>
      </c>
      <c r="AO6298" t="s">
        <v>428</v>
      </c>
      <c r="AP6298" t="s">
        <v>9591</v>
      </c>
      <c r="AQ6298">
        <v>11</v>
      </c>
      <c r="AR6298" t="s">
        <v>80</v>
      </c>
      <c r="AS6298" t="s">
        <v>81</v>
      </c>
      <c r="AT6298" t="s">
        <v>58</v>
      </c>
      <c r="AU6298" t="s">
        <v>8673</v>
      </c>
      <c r="AV6298" t="s">
        <v>132</v>
      </c>
      <c r="AW6298" s="1">
        <v>31450</v>
      </c>
      <c r="AX6298">
        <v>1</v>
      </c>
    </row>
    <row r="6299" spans="1:50">
      <c r="A6299">
        <v>702199</v>
      </c>
      <c r="B6299" t="str">
        <f>"122535057"</f>
        <v>122535057</v>
      </c>
      <c r="C6299" t="s">
        <v>50</v>
      </c>
      <c r="D6299" t="s">
        <v>10730</v>
      </c>
      <c r="E6299" t="s">
        <v>1796</v>
      </c>
      <c r="F6299" t="s">
        <v>450</v>
      </c>
      <c r="G6299" t="s">
        <v>83</v>
      </c>
      <c r="H6299" t="str">
        <f>"ΑΓ ΕΛΕΥΘΕΡΙΟΥ 104 ΞΑΝΘΗ"</f>
        <v>ΑΓ ΕΛΕΥΘΕΡΙΟΥ 104 ΞΑΝΘΗ</v>
      </c>
      <c r="I6299">
        <v>67100</v>
      </c>
      <c r="J6299">
        <v>2541062107</v>
      </c>
      <c r="K6299">
        <v>6977460391</v>
      </c>
      <c r="M6299" t="s">
        <v>10731</v>
      </c>
      <c r="N6299" t="s">
        <v>615</v>
      </c>
      <c r="O6299" t="s">
        <v>616</v>
      </c>
      <c r="R6299" t="s">
        <v>57</v>
      </c>
      <c r="S6299">
        <v>4</v>
      </c>
      <c r="T6299">
        <v>772</v>
      </c>
      <c r="U6299" s="1">
        <v>40413</v>
      </c>
      <c r="V6299" t="s">
        <v>80</v>
      </c>
      <c r="W6299" t="s">
        <v>81</v>
      </c>
      <c r="X6299" t="s">
        <v>58</v>
      </c>
      <c r="Y6299">
        <v>24</v>
      </c>
      <c r="Z6299" t="s">
        <v>59</v>
      </c>
      <c r="AA6299" t="s">
        <v>59</v>
      </c>
      <c r="AB6299" t="s">
        <v>59</v>
      </c>
      <c r="AC6299" t="s">
        <v>59</v>
      </c>
      <c r="AD6299" t="s">
        <v>59</v>
      </c>
      <c r="AF6299" s="1">
        <v>40413</v>
      </c>
      <c r="AG6299" t="s">
        <v>8645</v>
      </c>
      <c r="AH6299" t="s">
        <v>8646</v>
      </c>
      <c r="AI6299" t="str">
        <f>"9170012"</f>
        <v>9170012</v>
      </c>
      <c r="AJ6299" t="s">
        <v>8865</v>
      </c>
      <c r="AK6299">
        <v>2810811304</v>
      </c>
      <c r="AL6299" t="s">
        <v>8866</v>
      </c>
      <c r="AM6299" t="s">
        <v>78</v>
      </c>
      <c r="AN6299" t="s">
        <v>129</v>
      </c>
      <c r="AO6299" t="s">
        <v>130</v>
      </c>
      <c r="AP6299" t="s">
        <v>8867</v>
      </c>
      <c r="AQ6299">
        <v>2</v>
      </c>
      <c r="AR6299" t="s">
        <v>80</v>
      </c>
      <c r="AS6299" t="s">
        <v>81</v>
      </c>
      <c r="AT6299" t="s">
        <v>58</v>
      </c>
      <c r="AU6299" t="s">
        <v>68</v>
      </c>
      <c r="AV6299" t="s">
        <v>69</v>
      </c>
      <c r="AW6299" s="1">
        <v>31591</v>
      </c>
      <c r="AX6299">
        <v>1</v>
      </c>
    </row>
    <row r="6300" spans="1:50">
      <c r="B6300" t="str">
        <f>"063780710"</f>
        <v>063780710</v>
      </c>
      <c r="C6300" t="s">
        <v>50</v>
      </c>
      <c r="D6300" t="s">
        <v>10732</v>
      </c>
      <c r="E6300" t="s">
        <v>1001</v>
      </c>
      <c r="F6300" t="s">
        <v>72</v>
      </c>
      <c r="G6300" t="s">
        <v>950</v>
      </c>
      <c r="H6300" t="str">
        <f>"ΑΓΙΟΥ ΝΙΚΟΛΑΟΥ 6 ΚΑΡΔΙΤΣΑ"</f>
        <v>ΑΓΙΟΥ ΝΙΚΟΛΑΟΥ 6 ΚΑΡΔΙΤΣΑ</v>
      </c>
      <c r="I6300">
        <v>43100</v>
      </c>
      <c r="J6300">
        <v>2441040386</v>
      </c>
      <c r="K6300">
        <v>6976132364</v>
      </c>
      <c r="N6300" t="s">
        <v>337</v>
      </c>
      <c r="O6300" t="s">
        <v>338</v>
      </c>
      <c r="R6300" t="s">
        <v>121</v>
      </c>
      <c r="S6300">
        <v>3</v>
      </c>
      <c r="T6300" t="s">
        <v>8675</v>
      </c>
      <c r="U6300" s="1">
        <v>43348</v>
      </c>
      <c r="V6300" t="s">
        <v>80</v>
      </c>
      <c r="W6300" t="s">
        <v>81</v>
      </c>
      <c r="X6300" t="s">
        <v>58</v>
      </c>
      <c r="Y6300">
        <v>24</v>
      </c>
      <c r="Z6300" t="s">
        <v>59</v>
      </c>
      <c r="AA6300" t="s">
        <v>59</v>
      </c>
      <c r="AB6300" t="s">
        <v>59</v>
      </c>
      <c r="AC6300" t="s">
        <v>59</v>
      </c>
      <c r="AD6300" t="s">
        <v>59</v>
      </c>
      <c r="AF6300" s="1">
        <v>43348</v>
      </c>
      <c r="AG6300" t="s">
        <v>8645</v>
      </c>
      <c r="AH6300" t="s">
        <v>8646</v>
      </c>
      <c r="AI6300" t="str">
        <f>"9170517"</f>
        <v>9170517</v>
      </c>
      <c r="AJ6300" t="s">
        <v>9248</v>
      </c>
      <c r="AK6300">
        <v>2810238757</v>
      </c>
      <c r="AL6300" t="s">
        <v>9249</v>
      </c>
      <c r="AM6300" t="s">
        <v>78</v>
      </c>
      <c r="AN6300" t="s">
        <v>78</v>
      </c>
      <c r="AO6300" t="s">
        <v>78</v>
      </c>
      <c r="AP6300" t="s">
        <v>163</v>
      </c>
      <c r="AQ6300">
        <v>1</v>
      </c>
      <c r="AR6300" t="s">
        <v>80</v>
      </c>
      <c r="AS6300" t="s">
        <v>81</v>
      </c>
      <c r="AT6300" t="s">
        <v>58</v>
      </c>
      <c r="AU6300" t="s">
        <v>8673</v>
      </c>
      <c r="AV6300" t="s">
        <v>132</v>
      </c>
      <c r="AW6300" s="1">
        <v>28905</v>
      </c>
      <c r="AX6300">
        <v>1</v>
      </c>
    </row>
    <row r="6301" spans="1:50">
      <c r="B6301" t="str">
        <f>"108896448"</f>
        <v>108896448</v>
      </c>
      <c r="C6301" t="s">
        <v>105</v>
      </c>
      <c r="D6301" t="s">
        <v>10733</v>
      </c>
      <c r="E6301" t="s">
        <v>72</v>
      </c>
      <c r="F6301" t="s">
        <v>154</v>
      </c>
      <c r="G6301" t="s">
        <v>476</v>
      </c>
      <c r="H6301" t="str">
        <f>" "</f>
        <v xml:space="preserve"> </v>
      </c>
      <c r="N6301" t="s">
        <v>615</v>
      </c>
      <c r="O6301" t="s">
        <v>616</v>
      </c>
      <c r="R6301" t="s">
        <v>159</v>
      </c>
      <c r="S6301">
        <v>1</v>
      </c>
      <c r="T6301" t="s">
        <v>8675</v>
      </c>
      <c r="U6301" s="1">
        <v>43348</v>
      </c>
      <c r="V6301" t="s">
        <v>80</v>
      </c>
      <c r="W6301" t="s">
        <v>81</v>
      </c>
      <c r="X6301" t="s">
        <v>58</v>
      </c>
      <c r="Y6301">
        <v>24</v>
      </c>
      <c r="Z6301" t="s">
        <v>59</v>
      </c>
      <c r="AA6301" t="s">
        <v>59</v>
      </c>
      <c r="AB6301" t="s">
        <v>59</v>
      </c>
      <c r="AD6301" t="s">
        <v>59</v>
      </c>
      <c r="AF6301" s="1">
        <v>43348</v>
      </c>
      <c r="AG6301" t="s">
        <v>8645</v>
      </c>
      <c r="AH6301" t="s">
        <v>8676</v>
      </c>
      <c r="AI6301" t="str">
        <f>"9170289"</f>
        <v>9170289</v>
      </c>
      <c r="AJ6301" t="s">
        <v>10734</v>
      </c>
      <c r="AK6301">
        <v>2892031220</v>
      </c>
      <c r="AL6301" t="s">
        <v>10735</v>
      </c>
      <c r="AM6301" t="s">
        <v>78</v>
      </c>
      <c r="AN6301" t="s">
        <v>405</v>
      </c>
      <c r="AO6301" t="s">
        <v>405</v>
      </c>
      <c r="AP6301" t="s">
        <v>10736</v>
      </c>
      <c r="AQ6301">
        <v>17</v>
      </c>
      <c r="AR6301" t="s">
        <v>80</v>
      </c>
      <c r="AS6301" t="s">
        <v>81</v>
      </c>
      <c r="AT6301" t="s">
        <v>58</v>
      </c>
      <c r="AU6301" t="s">
        <v>8673</v>
      </c>
      <c r="AV6301" t="s">
        <v>132</v>
      </c>
      <c r="AW6301" s="1">
        <v>32749</v>
      </c>
      <c r="AX6301">
        <v>1</v>
      </c>
    </row>
    <row r="6302" spans="1:50">
      <c r="A6302">
        <v>618435</v>
      </c>
      <c r="B6302" t="str">
        <f>"120134475"</f>
        <v>120134475</v>
      </c>
      <c r="C6302" t="s">
        <v>50</v>
      </c>
      <c r="D6302" t="s">
        <v>10737</v>
      </c>
      <c r="E6302" t="s">
        <v>109</v>
      </c>
      <c r="F6302" t="s">
        <v>1093</v>
      </c>
      <c r="G6302" t="s">
        <v>255</v>
      </c>
      <c r="H6302" t="str">
        <f>"ΠΑΠΑΦΛΕΣΣΑ 29 ΣΕΡΡΕΣ"</f>
        <v>ΠΑΠΑΦΛΕΣΣΑ 29 ΣΕΡΡΕΣ</v>
      </c>
      <c r="I6302">
        <v>62100</v>
      </c>
      <c r="J6302">
        <v>2321063041</v>
      </c>
      <c r="K6302">
        <v>6976979103</v>
      </c>
      <c r="N6302" t="s">
        <v>615</v>
      </c>
      <c r="O6302" t="s">
        <v>616</v>
      </c>
      <c r="R6302" t="s">
        <v>57</v>
      </c>
      <c r="S6302">
        <v>5</v>
      </c>
      <c r="T6302">
        <v>774</v>
      </c>
      <c r="U6302" s="1">
        <v>39680</v>
      </c>
      <c r="V6302" t="s">
        <v>80</v>
      </c>
      <c r="W6302" t="s">
        <v>81</v>
      </c>
      <c r="X6302" t="s">
        <v>58</v>
      </c>
      <c r="Y6302">
        <v>23</v>
      </c>
      <c r="Z6302" t="s">
        <v>59</v>
      </c>
      <c r="AA6302" t="s">
        <v>59</v>
      </c>
      <c r="AB6302" t="s">
        <v>59</v>
      </c>
      <c r="AC6302" t="s">
        <v>59</v>
      </c>
      <c r="AD6302" t="s">
        <v>59</v>
      </c>
      <c r="AF6302" s="1">
        <v>39681</v>
      </c>
      <c r="AG6302" t="s">
        <v>8645</v>
      </c>
      <c r="AH6302" t="s">
        <v>8646</v>
      </c>
      <c r="AI6302" t="str">
        <f>"9170043"</f>
        <v>9170043</v>
      </c>
      <c r="AJ6302" t="s">
        <v>8883</v>
      </c>
      <c r="AK6302">
        <v>2894022075</v>
      </c>
      <c r="AL6302" t="s">
        <v>8884</v>
      </c>
      <c r="AM6302" t="s">
        <v>78</v>
      </c>
      <c r="AN6302" t="s">
        <v>405</v>
      </c>
      <c r="AO6302" t="s">
        <v>406</v>
      </c>
      <c r="AP6302" t="s">
        <v>8885</v>
      </c>
      <c r="AQ6302">
        <v>6</v>
      </c>
      <c r="AR6302" t="s">
        <v>80</v>
      </c>
      <c r="AS6302" t="s">
        <v>81</v>
      </c>
      <c r="AT6302" t="s">
        <v>58</v>
      </c>
      <c r="AU6302" t="s">
        <v>68</v>
      </c>
      <c r="AV6302" t="s">
        <v>69</v>
      </c>
      <c r="AW6302" s="1">
        <v>31094</v>
      </c>
      <c r="AX6302">
        <v>1</v>
      </c>
    </row>
    <row r="6303" spans="1:50">
      <c r="B6303" t="str">
        <f>"129038406"</f>
        <v>129038406</v>
      </c>
      <c r="C6303" t="s">
        <v>105</v>
      </c>
      <c r="D6303" t="s">
        <v>10738</v>
      </c>
      <c r="E6303" t="s">
        <v>309</v>
      </c>
      <c r="F6303" t="s">
        <v>760</v>
      </c>
      <c r="G6303" t="s">
        <v>1074</v>
      </c>
      <c r="H6303" t="str">
        <f>"ΒΟΥΤΣΙΝΑ 42 "</f>
        <v xml:space="preserve">ΒΟΥΤΣΙΝΑ 42 </v>
      </c>
      <c r="I6303">
        <v>11632</v>
      </c>
      <c r="J6303">
        <v>2107014412</v>
      </c>
      <c r="K6303">
        <v>6974564629</v>
      </c>
      <c r="N6303" t="s">
        <v>615</v>
      </c>
      <c r="O6303" t="s">
        <v>616</v>
      </c>
      <c r="R6303" t="s">
        <v>159</v>
      </c>
      <c r="S6303">
        <v>3</v>
      </c>
      <c r="T6303" t="s">
        <v>8675</v>
      </c>
      <c r="U6303" s="1">
        <v>43348</v>
      </c>
      <c r="V6303" t="s">
        <v>80</v>
      </c>
      <c r="W6303" t="s">
        <v>81</v>
      </c>
      <c r="X6303" t="s">
        <v>58</v>
      </c>
      <c r="Y6303">
        <v>24</v>
      </c>
      <c r="Z6303" t="s">
        <v>59</v>
      </c>
      <c r="AA6303" t="s">
        <v>59</v>
      </c>
      <c r="AB6303" t="s">
        <v>59</v>
      </c>
      <c r="AC6303" t="s">
        <v>59</v>
      </c>
      <c r="AD6303" t="s">
        <v>59</v>
      </c>
      <c r="AF6303" s="1">
        <v>43348</v>
      </c>
      <c r="AG6303" t="s">
        <v>8645</v>
      </c>
      <c r="AH6303" t="s">
        <v>8646</v>
      </c>
      <c r="AI6303" t="str">
        <f>"9170267"</f>
        <v>9170267</v>
      </c>
      <c r="AJ6303" t="s">
        <v>8840</v>
      </c>
      <c r="AK6303">
        <v>2892022320</v>
      </c>
      <c r="AL6303" t="s">
        <v>8841</v>
      </c>
      <c r="AM6303" t="s">
        <v>78</v>
      </c>
      <c r="AN6303" t="s">
        <v>242</v>
      </c>
      <c r="AO6303" t="s">
        <v>243</v>
      </c>
      <c r="AP6303" t="s">
        <v>243</v>
      </c>
      <c r="AQ6303">
        <v>20</v>
      </c>
      <c r="AR6303" t="s">
        <v>80</v>
      </c>
      <c r="AS6303" t="s">
        <v>81</v>
      </c>
      <c r="AT6303" t="s">
        <v>58</v>
      </c>
      <c r="AU6303" t="s">
        <v>8673</v>
      </c>
      <c r="AV6303" t="s">
        <v>132</v>
      </c>
      <c r="AW6303" s="1">
        <v>31682</v>
      </c>
      <c r="AX6303">
        <v>1</v>
      </c>
    </row>
    <row r="6304" spans="1:50">
      <c r="A6304">
        <v>616065</v>
      </c>
      <c r="B6304" t="str">
        <f>"068064872"</f>
        <v>068064872</v>
      </c>
      <c r="C6304" t="s">
        <v>50</v>
      </c>
      <c r="D6304" t="s">
        <v>5146</v>
      </c>
      <c r="E6304" t="s">
        <v>964</v>
      </c>
      <c r="F6304" t="s">
        <v>72</v>
      </c>
      <c r="G6304" t="s">
        <v>658</v>
      </c>
      <c r="H6304" t="str">
        <f>"Σκαλάνι Σκαλάνι"</f>
        <v>Σκαλάνι Σκαλάνι</v>
      </c>
      <c r="I6304">
        <v>71500</v>
      </c>
      <c r="J6304">
        <v>2810731459</v>
      </c>
      <c r="K6304">
        <v>6973013105</v>
      </c>
      <c r="M6304" t="s">
        <v>10739</v>
      </c>
      <c r="N6304" t="s">
        <v>176</v>
      </c>
      <c r="O6304" t="s">
        <v>177</v>
      </c>
      <c r="R6304" t="s">
        <v>57</v>
      </c>
      <c r="S6304">
        <v>7</v>
      </c>
      <c r="T6304">
        <v>600</v>
      </c>
      <c r="U6304" s="1">
        <v>39310</v>
      </c>
      <c r="V6304" t="s">
        <v>80</v>
      </c>
      <c r="W6304" t="s">
        <v>81</v>
      </c>
      <c r="X6304" t="s">
        <v>58</v>
      </c>
      <c r="Y6304">
        <v>22</v>
      </c>
      <c r="Z6304" t="s">
        <v>59</v>
      </c>
      <c r="AA6304" t="s">
        <v>59</v>
      </c>
      <c r="AB6304" t="s">
        <v>59</v>
      </c>
      <c r="AC6304" t="s">
        <v>59</v>
      </c>
      <c r="AD6304" t="s">
        <v>59</v>
      </c>
      <c r="AF6304" s="1">
        <v>39328</v>
      </c>
      <c r="AG6304" t="s">
        <v>8645</v>
      </c>
      <c r="AH6304" t="s">
        <v>8646</v>
      </c>
      <c r="AI6304" t="str">
        <f>"9170520"</f>
        <v>9170520</v>
      </c>
      <c r="AJ6304" t="s">
        <v>8738</v>
      </c>
      <c r="AK6304">
        <v>2810281317</v>
      </c>
      <c r="AL6304" t="s">
        <v>8739</v>
      </c>
      <c r="AM6304" t="s">
        <v>78</v>
      </c>
      <c r="AN6304" t="s">
        <v>78</v>
      </c>
      <c r="AO6304" t="s">
        <v>286</v>
      </c>
      <c r="AP6304" t="s">
        <v>286</v>
      </c>
      <c r="AQ6304">
        <v>1</v>
      </c>
      <c r="AR6304" t="s">
        <v>80</v>
      </c>
      <c r="AS6304" t="s">
        <v>81</v>
      </c>
      <c r="AT6304" t="s">
        <v>58</v>
      </c>
      <c r="AU6304" t="s">
        <v>68</v>
      </c>
      <c r="AV6304" t="s">
        <v>69</v>
      </c>
      <c r="AW6304" s="1">
        <v>27164</v>
      </c>
      <c r="AX6304">
        <v>1</v>
      </c>
    </row>
    <row r="6305" spans="1:50">
      <c r="A6305">
        <v>568177</v>
      </c>
      <c r="B6305" t="str">
        <f>"031877433"</f>
        <v>031877433</v>
      </c>
      <c r="C6305" t="s">
        <v>105</v>
      </c>
      <c r="D6305" t="s">
        <v>10740</v>
      </c>
      <c r="E6305" t="s">
        <v>95</v>
      </c>
      <c r="F6305" t="s">
        <v>166</v>
      </c>
      <c r="G6305" t="s">
        <v>83</v>
      </c>
      <c r="H6305" t="str">
        <f>"ΠΟΛΥΧΡΟΝΗ 3 ΗΡΑΚΛΕΙΟ"</f>
        <v>ΠΟΛΥΧΡΟΝΗ 3 ΗΡΑΚΛΕΙΟ</v>
      </c>
      <c r="I6305">
        <v>71409</v>
      </c>
      <c r="J6305">
        <v>2810235268</v>
      </c>
      <c r="K6305">
        <v>6945875694</v>
      </c>
      <c r="M6305" t="s">
        <v>10741</v>
      </c>
      <c r="N6305" t="s">
        <v>615</v>
      </c>
      <c r="O6305" t="s">
        <v>616</v>
      </c>
      <c r="R6305" t="s">
        <v>57</v>
      </c>
      <c r="S6305">
        <v>14</v>
      </c>
      <c r="T6305">
        <v>162</v>
      </c>
      <c r="U6305" s="1">
        <v>33844</v>
      </c>
      <c r="V6305" t="s">
        <v>80</v>
      </c>
      <c r="W6305" t="s">
        <v>81</v>
      </c>
      <c r="X6305" t="s">
        <v>58</v>
      </c>
      <c r="Y6305">
        <v>21</v>
      </c>
      <c r="Z6305" t="s">
        <v>59</v>
      </c>
      <c r="AA6305" t="s">
        <v>59</v>
      </c>
      <c r="AB6305" t="s">
        <v>59</v>
      </c>
      <c r="AC6305" t="s">
        <v>59</v>
      </c>
      <c r="AD6305" t="s">
        <v>59</v>
      </c>
      <c r="AF6305" s="1">
        <v>33848</v>
      </c>
      <c r="AG6305" t="s">
        <v>8645</v>
      </c>
      <c r="AH6305" t="s">
        <v>8646</v>
      </c>
      <c r="AI6305" t="str">
        <f>"9170426"</f>
        <v>9170426</v>
      </c>
      <c r="AJ6305" t="s">
        <v>9142</v>
      </c>
      <c r="AK6305">
        <v>2810222289</v>
      </c>
      <c r="AL6305" t="s">
        <v>9143</v>
      </c>
      <c r="AM6305" t="s">
        <v>78</v>
      </c>
      <c r="AN6305" t="s">
        <v>78</v>
      </c>
      <c r="AO6305" t="s">
        <v>78</v>
      </c>
      <c r="AP6305" t="s">
        <v>213</v>
      </c>
      <c r="AQ6305">
        <v>1</v>
      </c>
      <c r="AR6305" t="s">
        <v>80</v>
      </c>
      <c r="AS6305" t="s">
        <v>81</v>
      </c>
      <c r="AT6305" t="s">
        <v>58</v>
      </c>
      <c r="AU6305" t="s">
        <v>68</v>
      </c>
      <c r="AV6305" t="s">
        <v>69</v>
      </c>
      <c r="AW6305" s="1">
        <v>22197</v>
      </c>
      <c r="AX6305">
        <v>1</v>
      </c>
    </row>
    <row r="6306" spans="1:50">
      <c r="A6306">
        <v>557450</v>
      </c>
      <c r="B6306" t="str">
        <f>"031328087"</f>
        <v>031328087</v>
      </c>
      <c r="C6306" t="s">
        <v>105</v>
      </c>
      <c r="D6306" t="s">
        <v>10740</v>
      </c>
      <c r="E6306" t="s">
        <v>53</v>
      </c>
      <c r="F6306" t="s">
        <v>166</v>
      </c>
      <c r="G6306" t="s">
        <v>10742</v>
      </c>
      <c r="H6306" t="str">
        <f>"ΚΝΩΣΟΥ 20 ΤΡΙΑ ΠΕΥΚΑ"</f>
        <v>ΚΝΩΣΟΥ 20 ΤΡΙΑ ΠΕΥΚΑ</v>
      </c>
      <c r="I6306">
        <v>71306</v>
      </c>
      <c r="J6306">
        <v>2810322926</v>
      </c>
      <c r="K6306">
        <v>6976065782</v>
      </c>
      <c r="N6306" t="s">
        <v>615</v>
      </c>
      <c r="O6306" t="s">
        <v>616</v>
      </c>
      <c r="R6306" t="s">
        <v>57</v>
      </c>
      <c r="S6306">
        <v>15</v>
      </c>
      <c r="T6306">
        <v>168</v>
      </c>
      <c r="U6306" s="1">
        <v>32010</v>
      </c>
      <c r="V6306" t="s">
        <v>80</v>
      </c>
      <c r="W6306" t="s">
        <v>81</v>
      </c>
      <c r="X6306" t="s">
        <v>58</v>
      </c>
      <c r="Y6306">
        <v>21</v>
      </c>
      <c r="Z6306" t="s">
        <v>59</v>
      </c>
      <c r="AA6306" t="s">
        <v>59</v>
      </c>
      <c r="AB6306" t="s">
        <v>59</v>
      </c>
      <c r="AC6306" t="s">
        <v>59</v>
      </c>
      <c r="AD6306" t="s">
        <v>59</v>
      </c>
      <c r="AF6306" s="1">
        <v>32021</v>
      </c>
      <c r="AG6306" t="s">
        <v>8645</v>
      </c>
      <c r="AH6306" t="s">
        <v>8646</v>
      </c>
      <c r="AI6306" t="str">
        <f>"9170196"</f>
        <v>9170196</v>
      </c>
      <c r="AJ6306" t="s">
        <v>9255</v>
      </c>
      <c r="AK6306">
        <v>2810283356</v>
      </c>
      <c r="AL6306" t="s">
        <v>9256</v>
      </c>
      <c r="AM6306" t="s">
        <v>78</v>
      </c>
      <c r="AN6306" t="s">
        <v>78</v>
      </c>
      <c r="AO6306" t="s">
        <v>78</v>
      </c>
      <c r="AP6306" t="s">
        <v>79</v>
      </c>
      <c r="AQ6306">
        <v>1</v>
      </c>
      <c r="AR6306" t="s">
        <v>80</v>
      </c>
      <c r="AS6306" t="s">
        <v>81</v>
      </c>
      <c r="AT6306" t="s">
        <v>58</v>
      </c>
      <c r="AU6306" t="s">
        <v>68</v>
      </c>
      <c r="AV6306" t="s">
        <v>69</v>
      </c>
      <c r="AW6306" s="1">
        <v>23365</v>
      </c>
      <c r="AX6306">
        <v>1</v>
      </c>
    </row>
    <row r="6307" spans="1:50">
      <c r="A6307">
        <v>581980</v>
      </c>
      <c r="B6307" t="str">
        <f>"066366393"</f>
        <v>066366393</v>
      </c>
      <c r="C6307" t="s">
        <v>50</v>
      </c>
      <c r="D6307" t="s">
        <v>10743</v>
      </c>
      <c r="E6307" t="s">
        <v>250</v>
      </c>
      <c r="F6307" t="s">
        <v>153</v>
      </c>
      <c r="G6307" t="s">
        <v>52</v>
      </c>
      <c r="H6307" t="str">
        <f>"ΜΙΝΩΟΣ 37 ΗΡΑΚΛΕΙΟ"</f>
        <v>ΜΙΝΩΟΣ 37 ΗΡΑΚΛΕΙΟ</v>
      </c>
      <c r="I6307">
        <v>71303</v>
      </c>
      <c r="J6307">
        <v>2810315980</v>
      </c>
      <c r="K6307">
        <v>6936564225</v>
      </c>
      <c r="M6307" t="s">
        <v>10744</v>
      </c>
      <c r="N6307" t="s">
        <v>615</v>
      </c>
      <c r="O6307" t="s">
        <v>616</v>
      </c>
      <c r="P6307" t="s">
        <v>246</v>
      </c>
      <c r="Q6307" t="s">
        <v>247</v>
      </c>
      <c r="R6307" t="s">
        <v>57</v>
      </c>
      <c r="S6307">
        <v>18</v>
      </c>
      <c r="T6307">
        <v>179</v>
      </c>
      <c r="U6307" s="1">
        <v>35674</v>
      </c>
      <c r="V6307" t="s">
        <v>80</v>
      </c>
      <c r="W6307" t="s">
        <v>81</v>
      </c>
      <c r="X6307" t="s">
        <v>58</v>
      </c>
      <c r="Y6307">
        <v>21</v>
      </c>
      <c r="Z6307" t="s">
        <v>59</v>
      </c>
      <c r="AA6307" t="s">
        <v>59</v>
      </c>
      <c r="AB6307" t="s">
        <v>59</v>
      </c>
      <c r="AC6307" t="s">
        <v>59</v>
      </c>
      <c r="AD6307" t="s">
        <v>59</v>
      </c>
      <c r="AF6307" s="1">
        <v>35676</v>
      </c>
      <c r="AG6307" t="s">
        <v>8645</v>
      </c>
      <c r="AH6307" t="s">
        <v>8646</v>
      </c>
      <c r="AI6307" t="str">
        <f>"9170362"</f>
        <v>9170362</v>
      </c>
      <c r="AJ6307" t="s">
        <v>8681</v>
      </c>
      <c r="AK6307">
        <v>2810255261</v>
      </c>
      <c r="AL6307" t="s">
        <v>8682</v>
      </c>
      <c r="AM6307" t="s">
        <v>78</v>
      </c>
      <c r="AN6307" t="s">
        <v>78</v>
      </c>
      <c r="AO6307" t="s">
        <v>78</v>
      </c>
      <c r="AP6307" t="s">
        <v>141</v>
      </c>
      <c r="AQ6307">
        <v>1</v>
      </c>
      <c r="AR6307" t="s">
        <v>80</v>
      </c>
      <c r="AS6307" t="s">
        <v>81</v>
      </c>
      <c r="AT6307" t="s">
        <v>58</v>
      </c>
      <c r="AU6307" t="s">
        <v>68</v>
      </c>
      <c r="AV6307" t="s">
        <v>69</v>
      </c>
      <c r="AW6307" s="1">
        <v>24367</v>
      </c>
      <c r="AX6307">
        <v>1</v>
      </c>
    </row>
    <row r="6308" spans="1:50">
      <c r="A6308">
        <v>617804</v>
      </c>
      <c r="B6308" t="str">
        <f>"133567720"</f>
        <v>133567720</v>
      </c>
      <c r="C6308" t="s">
        <v>50</v>
      </c>
      <c r="D6308" t="s">
        <v>10745</v>
      </c>
      <c r="E6308" t="s">
        <v>250</v>
      </c>
      <c r="F6308" t="s">
        <v>609</v>
      </c>
      <c r="G6308" t="s">
        <v>964</v>
      </c>
      <c r="H6308" t="str">
        <f>"ΑΥΛΗ ΠΕΔΙΑΔΟΣ ΗΡΑΚΛΕΙΟ"</f>
        <v>ΑΥΛΗ ΠΕΔΙΑΔΟΣ ΗΡΑΚΛΕΙΟ</v>
      </c>
      <c r="I6308">
        <v>70300</v>
      </c>
      <c r="J6308">
        <v>2891061578</v>
      </c>
      <c r="K6308">
        <v>6981241884</v>
      </c>
      <c r="M6308" t="s">
        <v>10746</v>
      </c>
      <c r="N6308" t="s">
        <v>615</v>
      </c>
      <c r="O6308" t="s">
        <v>616</v>
      </c>
      <c r="R6308" t="s">
        <v>57</v>
      </c>
      <c r="S6308">
        <v>5</v>
      </c>
      <c r="T6308">
        <v>774</v>
      </c>
      <c r="U6308" s="1">
        <v>39680</v>
      </c>
      <c r="V6308" t="s">
        <v>80</v>
      </c>
      <c r="W6308" t="s">
        <v>81</v>
      </c>
      <c r="X6308" t="s">
        <v>58</v>
      </c>
      <c r="Y6308">
        <v>23</v>
      </c>
      <c r="Z6308" t="s">
        <v>59</v>
      </c>
      <c r="AA6308" t="s">
        <v>59</v>
      </c>
      <c r="AB6308" t="s">
        <v>59</v>
      </c>
      <c r="AC6308" t="s">
        <v>59</v>
      </c>
      <c r="AD6308" t="s">
        <v>59</v>
      </c>
      <c r="AF6308" s="1">
        <v>39681</v>
      </c>
      <c r="AG6308" t="s">
        <v>8645</v>
      </c>
      <c r="AH6308" t="s">
        <v>8646</v>
      </c>
      <c r="AI6308" t="str">
        <f>"9170235"</f>
        <v>9170235</v>
      </c>
      <c r="AJ6308" t="s">
        <v>8806</v>
      </c>
      <c r="AK6308">
        <v>2891031258</v>
      </c>
      <c r="AL6308" t="s">
        <v>8807</v>
      </c>
      <c r="AM6308" t="s">
        <v>78</v>
      </c>
      <c r="AN6308" t="s">
        <v>276</v>
      </c>
      <c r="AO6308" t="s">
        <v>277</v>
      </c>
      <c r="AP6308" t="s">
        <v>277</v>
      </c>
      <c r="AQ6308">
        <v>13</v>
      </c>
      <c r="AR6308" t="s">
        <v>80</v>
      </c>
      <c r="AS6308" t="s">
        <v>81</v>
      </c>
      <c r="AT6308" t="s">
        <v>58</v>
      </c>
      <c r="AU6308" t="s">
        <v>68</v>
      </c>
      <c r="AV6308" t="s">
        <v>69</v>
      </c>
      <c r="AW6308" s="1">
        <v>30711</v>
      </c>
      <c r="AX6308">
        <v>1</v>
      </c>
    </row>
    <row r="6309" spans="1:50">
      <c r="A6309">
        <v>607938</v>
      </c>
      <c r="B6309" t="str">
        <f>"114276590"</f>
        <v>114276590</v>
      </c>
      <c r="C6309" t="s">
        <v>50</v>
      </c>
      <c r="D6309" t="s">
        <v>6260</v>
      </c>
      <c r="E6309" t="s">
        <v>155</v>
      </c>
      <c r="F6309" t="s">
        <v>383</v>
      </c>
      <c r="G6309" t="s">
        <v>755</v>
      </c>
      <c r="H6309" t="str">
        <f>" "</f>
        <v xml:space="preserve"> </v>
      </c>
      <c r="J6309">
        <v>2810821995</v>
      </c>
      <c r="K6309">
        <v>6974407511</v>
      </c>
      <c r="N6309" t="s">
        <v>615</v>
      </c>
      <c r="O6309" t="s">
        <v>616</v>
      </c>
      <c r="R6309" t="s">
        <v>57</v>
      </c>
      <c r="S6309">
        <v>8</v>
      </c>
      <c r="T6309">
        <v>217</v>
      </c>
      <c r="U6309" s="1">
        <v>38596</v>
      </c>
      <c r="V6309" t="s">
        <v>80</v>
      </c>
      <c r="W6309" t="s">
        <v>81</v>
      </c>
      <c r="X6309" t="s">
        <v>58</v>
      </c>
      <c r="Y6309">
        <v>23</v>
      </c>
      <c r="Z6309" t="s">
        <v>59</v>
      </c>
      <c r="AA6309" t="s">
        <v>59</v>
      </c>
      <c r="AB6309" t="s">
        <v>59</v>
      </c>
      <c r="AC6309" t="s">
        <v>59</v>
      </c>
      <c r="AD6309" t="s">
        <v>59</v>
      </c>
      <c r="AF6309" s="1">
        <v>38602</v>
      </c>
      <c r="AG6309" t="s">
        <v>8645</v>
      </c>
      <c r="AH6309" t="s">
        <v>8646</v>
      </c>
      <c r="AI6309" t="str">
        <f>"9521091"</f>
        <v>9521091</v>
      </c>
      <c r="AJ6309" t="s">
        <v>8959</v>
      </c>
      <c r="AK6309">
        <v>2810370360</v>
      </c>
      <c r="AL6309" t="s">
        <v>8960</v>
      </c>
      <c r="AM6309" t="s">
        <v>78</v>
      </c>
      <c r="AN6309" t="s">
        <v>129</v>
      </c>
      <c r="AO6309" t="s">
        <v>130</v>
      </c>
      <c r="AP6309" t="s">
        <v>130</v>
      </c>
      <c r="AQ6309">
        <v>1</v>
      </c>
      <c r="AR6309" t="s">
        <v>80</v>
      </c>
      <c r="AS6309" t="s">
        <v>81</v>
      </c>
      <c r="AT6309" t="s">
        <v>58</v>
      </c>
      <c r="AU6309" t="s">
        <v>68</v>
      </c>
      <c r="AV6309" t="s">
        <v>69</v>
      </c>
      <c r="AW6309" s="1">
        <v>30166</v>
      </c>
      <c r="AX6309">
        <v>1</v>
      </c>
    </row>
    <row r="6310" spans="1:50">
      <c r="A6310">
        <v>558734</v>
      </c>
      <c r="B6310" t="str">
        <f>"031330636"</f>
        <v>031330636</v>
      </c>
      <c r="C6310" t="s">
        <v>50</v>
      </c>
      <c r="D6310" t="s">
        <v>6260</v>
      </c>
      <c r="E6310" t="s">
        <v>52</v>
      </c>
      <c r="F6310" t="s">
        <v>95</v>
      </c>
      <c r="G6310" t="s">
        <v>513</v>
      </c>
      <c r="H6310" t="str">
        <f>"ΜΟΥΣΩΝ 97 ΗΡΑΚΛΕΙΟ"</f>
        <v>ΜΟΥΣΩΝ 97 ΗΡΑΚΛΕΙΟ</v>
      </c>
      <c r="I6310">
        <v>71307</v>
      </c>
      <c r="J6310">
        <v>2810322565</v>
      </c>
      <c r="K6310">
        <v>6945554077</v>
      </c>
      <c r="N6310" t="s">
        <v>615</v>
      </c>
      <c r="O6310" t="s">
        <v>616</v>
      </c>
      <c r="R6310" t="s">
        <v>57</v>
      </c>
      <c r="S6310">
        <v>16</v>
      </c>
      <c r="T6310">
        <v>168</v>
      </c>
      <c r="U6310" s="1">
        <v>32010</v>
      </c>
      <c r="V6310" t="s">
        <v>80</v>
      </c>
      <c r="W6310" t="s">
        <v>81</v>
      </c>
      <c r="X6310" t="s">
        <v>58</v>
      </c>
      <c r="Y6310">
        <v>21</v>
      </c>
      <c r="Z6310" t="s">
        <v>59</v>
      </c>
      <c r="AA6310" t="s">
        <v>59</v>
      </c>
      <c r="AB6310" t="s">
        <v>59</v>
      </c>
      <c r="AC6310" t="s">
        <v>59</v>
      </c>
      <c r="AD6310" t="s">
        <v>59</v>
      </c>
      <c r="AF6310" s="1">
        <v>32022</v>
      </c>
      <c r="AG6310" t="s">
        <v>8645</v>
      </c>
      <c r="AH6310" t="s">
        <v>8646</v>
      </c>
      <c r="AI6310" t="str">
        <f>"9170547"</f>
        <v>9170547</v>
      </c>
      <c r="AJ6310" t="s">
        <v>9175</v>
      </c>
      <c r="AK6310">
        <v>2810250886</v>
      </c>
      <c r="AL6310" t="s">
        <v>9176</v>
      </c>
      <c r="AM6310" t="s">
        <v>78</v>
      </c>
      <c r="AN6310" t="s">
        <v>78</v>
      </c>
      <c r="AO6310" t="s">
        <v>78</v>
      </c>
      <c r="AP6310" t="s">
        <v>141</v>
      </c>
      <c r="AQ6310">
        <v>1</v>
      </c>
      <c r="AR6310" t="s">
        <v>80</v>
      </c>
      <c r="AS6310" t="s">
        <v>81</v>
      </c>
      <c r="AT6310" t="s">
        <v>58</v>
      </c>
      <c r="AU6310" t="s">
        <v>68</v>
      </c>
      <c r="AV6310" t="s">
        <v>69</v>
      </c>
      <c r="AW6310" s="1">
        <v>23547</v>
      </c>
      <c r="AX6310">
        <v>1</v>
      </c>
    </row>
    <row r="6311" spans="1:50">
      <c r="A6311">
        <v>605808</v>
      </c>
      <c r="B6311" t="str">
        <f>"129332447"</f>
        <v>129332447</v>
      </c>
      <c r="C6311" t="s">
        <v>50</v>
      </c>
      <c r="D6311" t="s">
        <v>10747</v>
      </c>
      <c r="E6311" t="s">
        <v>476</v>
      </c>
      <c r="F6311" t="s">
        <v>95</v>
      </c>
      <c r="G6311" t="s">
        <v>263</v>
      </c>
      <c r="H6311" t="str">
        <f>" "</f>
        <v xml:space="preserve"> </v>
      </c>
      <c r="J6311">
        <v>2441073927</v>
      </c>
      <c r="K6311">
        <v>6937570697</v>
      </c>
      <c r="M6311" t="s">
        <v>10748</v>
      </c>
      <c r="N6311" t="s">
        <v>615</v>
      </c>
      <c r="O6311" t="s">
        <v>616</v>
      </c>
      <c r="R6311" t="s">
        <v>57</v>
      </c>
      <c r="S6311">
        <v>7</v>
      </c>
      <c r="T6311">
        <v>231</v>
      </c>
      <c r="U6311" s="1">
        <v>38230</v>
      </c>
      <c r="V6311" t="s">
        <v>80</v>
      </c>
      <c r="W6311" t="s">
        <v>81</v>
      </c>
      <c r="X6311" t="s">
        <v>58</v>
      </c>
      <c r="Y6311">
        <v>22</v>
      </c>
      <c r="Z6311" t="s">
        <v>59</v>
      </c>
      <c r="AA6311" t="s">
        <v>59</v>
      </c>
      <c r="AB6311" t="s">
        <v>59</v>
      </c>
      <c r="AC6311" t="s">
        <v>59</v>
      </c>
      <c r="AD6311" t="s">
        <v>59</v>
      </c>
      <c r="AF6311" s="1">
        <v>38231</v>
      </c>
      <c r="AG6311" t="s">
        <v>8645</v>
      </c>
      <c r="AH6311" t="s">
        <v>8646</v>
      </c>
      <c r="AI6311" t="str">
        <f>"9170205"</f>
        <v>9170205</v>
      </c>
      <c r="AJ6311" t="s">
        <v>8794</v>
      </c>
      <c r="AK6311">
        <v>2810762030</v>
      </c>
      <c r="AL6311" t="s">
        <v>8795</v>
      </c>
      <c r="AM6311" t="s">
        <v>78</v>
      </c>
      <c r="AN6311" t="s">
        <v>219</v>
      </c>
      <c r="AO6311" t="s">
        <v>297</v>
      </c>
      <c r="AP6311" t="s">
        <v>8796</v>
      </c>
      <c r="AQ6311">
        <v>7</v>
      </c>
      <c r="AR6311" t="s">
        <v>80</v>
      </c>
      <c r="AS6311" t="s">
        <v>81</v>
      </c>
      <c r="AT6311" t="s">
        <v>58</v>
      </c>
      <c r="AU6311" t="s">
        <v>68</v>
      </c>
      <c r="AV6311" t="s">
        <v>69</v>
      </c>
      <c r="AW6311" s="1">
        <v>28926</v>
      </c>
      <c r="AX6311">
        <v>1</v>
      </c>
    </row>
    <row r="6312" spans="1:50">
      <c r="B6312" t="str">
        <f>"066369082"</f>
        <v>066369082</v>
      </c>
      <c r="C6312" t="s">
        <v>50</v>
      </c>
      <c r="D6312" t="s">
        <v>10749</v>
      </c>
      <c r="E6312" t="s">
        <v>367</v>
      </c>
      <c r="F6312" t="s">
        <v>609</v>
      </c>
      <c r="G6312" t="s">
        <v>396</v>
      </c>
      <c r="H6312" t="str">
        <f>"Γ. ΧΡΟΝΑΚΗ 4 ΗΡΑΚΛΕΙΟ"</f>
        <v>Γ. ΧΡΟΝΑΚΗ 4 ΗΡΑΚΛΕΙΟ</v>
      </c>
      <c r="I6312">
        <v>71202</v>
      </c>
      <c r="J6312">
        <v>2810283241</v>
      </c>
      <c r="K6312">
        <v>6947708839</v>
      </c>
      <c r="N6312" t="s">
        <v>683</v>
      </c>
      <c r="O6312" t="s">
        <v>684</v>
      </c>
      <c r="R6312" t="s">
        <v>159</v>
      </c>
      <c r="S6312">
        <v>4</v>
      </c>
      <c r="T6312" t="s">
        <v>8675</v>
      </c>
      <c r="U6312" s="1">
        <v>43348</v>
      </c>
      <c r="V6312" t="s">
        <v>80</v>
      </c>
      <c r="W6312" t="s">
        <v>81</v>
      </c>
      <c r="X6312" t="s">
        <v>58</v>
      </c>
      <c r="Y6312">
        <v>24</v>
      </c>
      <c r="Z6312" t="s">
        <v>59</v>
      </c>
      <c r="AA6312" t="s">
        <v>59</v>
      </c>
      <c r="AB6312" t="s">
        <v>59</v>
      </c>
      <c r="AC6312" t="s">
        <v>59</v>
      </c>
      <c r="AD6312" t="s">
        <v>59</v>
      </c>
      <c r="AF6312" s="1">
        <v>43348</v>
      </c>
      <c r="AG6312" t="s">
        <v>8645</v>
      </c>
      <c r="AH6312" t="s">
        <v>8646</v>
      </c>
      <c r="AI6312" t="str">
        <f>"9170257"</f>
        <v>9170257</v>
      </c>
      <c r="AJ6312" t="s">
        <v>8710</v>
      </c>
      <c r="AK6312">
        <v>2810245513</v>
      </c>
      <c r="AL6312" t="s">
        <v>8711</v>
      </c>
      <c r="AM6312" t="s">
        <v>78</v>
      </c>
      <c r="AN6312" t="s">
        <v>78</v>
      </c>
      <c r="AO6312" t="s">
        <v>78</v>
      </c>
      <c r="AP6312" t="s">
        <v>213</v>
      </c>
      <c r="AQ6312">
        <v>1</v>
      </c>
      <c r="AR6312" t="s">
        <v>80</v>
      </c>
      <c r="AS6312" t="s">
        <v>81</v>
      </c>
      <c r="AT6312" t="s">
        <v>58</v>
      </c>
      <c r="AU6312" t="s">
        <v>8673</v>
      </c>
      <c r="AV6312" t="s">
        <v>132</v>
      </c>
      <c r="AW6312" s="1">
        <v>27931</v>
      </c>
      <c r="AX6312">
        <v>1</v>
      </c>
    </row>
    <row r="6313" spans="1:50">
      <c r="B6313" t="str">
        <f>"045657712"</f>
        <v>045657712</v>
      </c>
      <c r="C6313" t="s">
        <v>50</v>
      </c>
      <c r="D6313" t="s">
        <v>7840</v>
      </c>
      <c r="E6313" t="s">
        <v>181</v>
      </c>
      <c r="F6313" t="s">
        <v>72</v>
      </c>
      <c r="G6313" t="s">
        <v>237</v>
      </c>
      <c r="H6313" t="str">
        <f>" "</f>
        <v xml:space="preserve"> </v>
      </c>
      <c r="K6313">
        <v>6934451083</v>
      </c>
      <c r="N6313" t="s">
        <v>683</v>
      </c>
      <c r="O6313" t="s">
        <v>684</v>
      </c>
      <c r="R6313" t="s">
        <v>159</v>
      </c>
      <c r="S6313">
        <v>1</v>
      </c>
      <c r="T6313" t="s">
        <v>8675</v>
      </c>
      <c r="U6313" s="1">
        <v>43348</v>
      </c>
      <c r="V6313" t="s">
        <v>80</v>
      </c>
      <c r="W6313" t="s">
        <v>81</v>
      </c>
      <c r="X6313" t="s">
        <v>58</v>
      </c>
      <c r="Y6313">
        <v>24</v>
      </c>
      <c r="Z6313" t="s">
        <v>59</v>
      </c>
      <c r="AA6313" t="s">
        <v>59</v>
      </c>
      <c r="AB6313" t="s">
        <v>59</v>
      </c>
      <c r="AD6313" t="s">
        <v>59</v>
      </c>
      <c r="AF6313" s="1">
        <v>43348</v>
      </c>
      <c r="AG6313" t="s">
        <v>8645</v>
      </c>
      <c r="AH6313" t="s">
        <v>8646</v>
      </c>
      <c r="AI6313" t="str">
        <f>"9170516"</f>
        <v>9170516</v>
      </c>
      <c r="AJ6313" t="s">
        <v>8746</v>
      </c>
      <c r="AK6313">
        <v>2810236861</v>
      </c>
      <c r="AL6313" t="s">
        <v>8747</v>
      </c>
      <c r="AM6313" t="s">
        <v>78</v>
      </c>
      <c r="AN6313" t="s">
        <v>78</v>
      </c>
      <c r="AO6313" t="s">
        <v>78</v>
      </c>
      <c r="AP6313" t="s">
        <v>163</v>
      </c>
      <c r="AQ6313">
        <v>1</v>
      </c>
      <c r="AR6313" t="s">
        <v>80</v>
      </c>
      <c r="AS6313" t="s">
        <v>81</v>
      </c>
      <c r="AT6313" t="s">
        <v>58</v>
      </c>
      <c r="AU6313" t="s">
        <v>8673</v>
      </c>
      <c r="AV6313" t="s">
        <v>132</v>
      </c>
      <c r="AW6313" s="1">
        <v>25767</v>
      </c>
      <c r="AX6313">
        <v>1</v>
      </c>
    </row>
    <row r="6314" spans="1:50">
      <c r="A6314">
        <v>611214</v>
      </c>
      <c r="B6314" t="str">
        <f>"113635833"</f>
        <v>113635833</v>
      </c>
      <c r="C6314" t="s">
        <v>50</v>
      </c>
      <c r="D6314" t="s">
        <v>10750</v>
      </c>
      <c r="E6314" t="s">
        <v>255</v>
      </c>
      <c r="F6314" t="s">
        <v>1543</v>
      </c>
      <c r="G6314" t="s">
        <v>52</v>
      </c>
      <c r="H6314" t="str">
        <f>"ΑΙΑΝΤΟΣ 33 ΗΡΑΚΛΕΙΟ"</f>
        <v>ΑΙΑΝΤΟΣ 33 ΗΡΑΚΛΕΙΟ</v>
      </c>
      <c r="I6314">
        <v>71304</v>
      </c>
      <c r="J6314">
        <v>2811101871</v>
      </c>
      <c r="K6314">
        <v>6932652365</v>
      </c>
      <c r="N6314" t="s">
        <v>1525</v>
      </c>
      <c r="O6314" t="s">
        <v>1526</v>
      </c>
      <c r="R6314" t="s">
        <v>57</v>
      </c>
      <c r="S6314">
        <v>7</v>
      </c>
      <c r="T6314">
        <v>233</v>
      </c>
      <c r="U6314" s="1">
        <v>38960</v>
      </c>
      <c r="V6314" t="s">
        <v>80</v>
      </c>
      <c r="W6314" t="s">
        <v>81</v>
      </c>
      <c r="X6314" t="s">
        <v>58</v>
      </c>
      <c r="Y6314">
        <v>25</v>
      </c>
      <c r="Z6314" t="s">
        <v>59</v>
      </c>
      <c r="AA6314" t="s">
        <v>59</v>
      </c>
      <c r="AB6314" t="s">
        <v>59</v>
      </c>
      <c r="AC6314" t="s">
        <v>59</v>
      </c>
      <c r="AD6314" t="s">
        <v>59</v>
      </c>
      <c r="AF6314" s="1">
        <v>38961</v>
      </c>
      <c r="AG6314" t="s">
        <v>8651</v>
      </c>
      <c r="AH6314" t="s">
        <v>8652</v>
      </c>
      <c r="AI6314" t="str">
        <f>"9170506"</f>
        <v>9170506</v>
      </c>
      <c r="AJ6314" t="s">
        <v>8758</v>
      </c>
      <c r="AK6314">
        <v>2810312448</v>
      </c>
      <c r="AL6314" t="s">
        <v>8759</v>
      </c>
      <c r="AM6314" t="s">
        <v>78</v>
      </c>
      <c r="AN6314" t="s">
        <v>78</v>
      </c>
      <c r="AO6314" t="s">
        <v>78</v>
      </c>
      <c r="AP6314" t="s">
        <v>141</v>
      </c>
      <c r="AQ6314">
        <v>1</v>
      </c>
      <c r="AR6314" t="s">
        <v>80</v>
      </c>
      <c r="AS6314" t="s">
        <v>81</v>
      </c>
      <c r="AT6314" t="s">
        <v>58</v>
      </c>
      <c r="AU6314" t="s">
        <v>68</v>
      </c>
      <c r="AV6314" t="s">
        <v>69</v>
      </c>
      <c r="AW6314" s="1">
        <v>28314</v>
      </c>
      <c r="AX6314">
        <v>1</v>
      </c>
    </row>
    <row r="6315" spans="1:50">
      <c r="A6315">
        <v>582885</v>
      </c>
      <c r="B6315" t="str">
        <f>"064646440"</f>
        <v>064646440</v>
      </c>
      <c r="C6315" t="s">
        <v>50</v>
      </c>
      <c r="D6315" t="s">
        <v>10751</v>
      </c>
      <c r="E6315" t="s">
        <v>263</v>
      </c>
      <c r="F6315" t="s">
        <v>166</v>
      </c>
      <c r="G6315" t="s">
        <v>83</v>
      </c>
      <c r="H6315" t="str">
        <f>" "</f>
        <v xml:space="preserve"> </v>
      </c>
      <c r="N6315" t="s">
        <v>1525</v>
      </c>
      <c r="O6315" t="s">
        <v>1526</v>
      </c>
      <c r="R6315" t="s">
        <v>57</v>
      </c>
      <c r="S6315">
        <v>12</v>
      </c>
      <c r="T6315">
        <v>179</v>
      </c>
      <c r="U6315" s="1">
        <v>35674</v>
      </c>
      <c r="V6315" t="s">
        <v>80</v>
      </c>
      <c r="W6315" t="s">
        <v>81</v>
      </c>
      <c r="X6315" t="s">
        <v>58</v>
      </c>
      <c r="Y6315">
        <v>25</v>
      </c>
      <c r="Z6315" t="s">
        <v>59</v>
      </c>
      <c r="AA6315" t="s">
        <v>59</v>
      </c>
      <c r="AB6315" t="s">
        <v>59</v>
      </c>
      <c r="AC6315" t="s">
        <v>59</v>
      </c>
      <c r="AD6315" t="s">
        <v>59</v>
      </c>
      <c r="AF6315" s="1">
        <v>35676</v>
      </c>
      <c r="AG6315" t="s">
        <v>8651</v>
      </c>
      <c r="AH6315" t="s">
        <v>8652</v>
      </c>
      <c r="AI6315" t="str">
        <f>"9170588"</f>
        <v>9170588</v>
      </c>
      <c r="AJ6315" t="s">
        <v>9859</v>
      </c>
      <c r="AK6315">
        <v>2810320601</v>
      </c>
      <c r="AL6315" t="s">
        <v>9860</v>
      </c>
      <c r="AM6315" t="s">
        <v>78</v>
      </c>
      <c r="AN6315" t="s">
        <v>78</v>
      </c>
      <c r="AO6315" t="s">
        <v>78</v>
      </c>
      <c r="AP6315" t="s">
        <v>213</v>
      </c>
      <c r="AQ6315">
        <v>1</v>
      </c>
      <c r="AR6315" t="s">
        <v>80</v>
      </c>
      <c r="AS6315" t="s">
        <v>81</v>
      </c>
      <c r="AT6315" t="s">
        <v>58</v>
      </c>
      <c r="AU6315" t="s">
        <v>68</v>
      </c>
      <c r="AV6315" t="s">
        <v>69</v>
      </c>
      <c r="AW6315" s="1">
        <v>23800</v>
      </c>
      <c r="AX6315">
        <v>1</v>
      </c>
    </row>
    <row r="6316" spans="1:50">
      <c r="A6316">
        <v>621860</v>
      </c>
      <c r="B6316" t="str">
        <f>"135520162"</f>
        <v>135520162</v>
      </c>
      <c r="C6316" t="s">
        <v>50</v>
      </c>
      <c r="D6316" t="s">
        <v>10752</v>
      </c>
      <c r="E6316" t="s">
        <v>4390</v>
      </c>
      <c r="F6316" t="s">
        <v>2184</v>
      </c>
      <c r="G6316" t="s">
        <v>10753</v>
      </c>
      <c r="H6316" t="str">
        <f>"ΕΡΥΘΡΟΥ ΣΤΑΥΡΟΥ 1 ΚΙΛΚΙΣ"</f>
        <v>ΕΡΥΘΡΟΥ ΣΤΑΥΡΟΥ 1 ΚΙΛΚΙΣ</v>
      </c>
      <c r="I6316">
        <v>61100</v>
      </c>
      <c r="J6316">
        <v>2341023475</v>
      </c>
      <c r="K6316">
        <v>6937303828</v>
      </c>
      <c r="N6316" t="s">
        <v>615</v>
      </c>
      <c r="O6316" t="s">
        <v>616</v>
      </c>
      <c r="R6316" t="s">
        <v>57</v>
      </c>
      <c r="S6316">
        <v>5</v>
      </c>
      <c r="T6316">
        <v>653</v>
      </c>
      <c r="U6316" s="1">
        <v>40043</v>
      </c>
      <c r="V6316" t="s">
        <v>80</v>
      </c>
      <c r="W6316" t="s">
        <v>81</v>
      </c>
      <c r="X6316" t="s">
        <v>58</v>
      </c>
      <c r="Y6316">
        <v>23</v>
      </c>
      <c r="Z6316" t="s">
        <v>59</v>
      </c>
      <c r="AA6316" t="s">
        <v>59</v>
      </c>
      <c r="AB6316" t="s">
        <v>59</v>
      </c>
      <c r="AC6316" t="s">
        <v>59</v>
      </c>
      <c r="AD6316" t="s">
        <v>59</v>
      </c>
      <c r="AF6316" s="1">
        <v>40045</v>
      </c>
      <c r="AG6316" t="s">
        <v>8645</v>
      </c>
      <c r="AH6316" t="s">
        <v>8646</v>
      </c>
      <c r="AI6316" t="str">
        <f>"9170037"</f>
        <v>9170037</v>
      </c>
      <c r="AJ6316" t="s">
        <v>9215</v>
      </c>
      <c r="AK6316">
        <v>2810831208</v>
      </c>
      <c r="AL6316" t="s">
        <v>9216</v>
      </c>
      <c r="AM6316" t="s">
        <v>78</v>
      </c>
      <c r="AN6316" t="s">
        <v>129</v>
      </c>
      <c r="AO6316" t="s">
        <v>267</v>
      </c>
      <c r="AP6316" t="s">
        <v>267</v>
      </c>
      <c r="AQ6316">
        <v>2</v>
      </c>
      <c r="AR6316" t="s">
        <v>80</v>
      </c>
      <c r="AS6316" t="s">
        <v>81</v>
      </c>
      <c r="AT6316" t="s">
        <v>58</v>
      </c>
      <c r="AU6316" t="s">
        <v>68</v>
      </c>
      <c r="AV6316" t="s">
        <v>69</v>
      </c>
      <c r="AW6316" s="1">
        <v>31399</v>
      </c>
      <c r="AX6316">
        <v>1</v>
      </c>
    </row>
    <row r="6317" spans="1:50">
      <c r="A6317">
        <v>617260</v>
      </c>
      <c r="B6317" t="str">
        <f>"143650675"</f>
        <v>143650675</v>
      </c>
      <c r="C6317" t="s">
        <v>50</v>
      </c>
      <c r="D6317" t="s">
        <v>7847</v>
      </c>
      <c r="E6317" t="s">
        <v>396</v>
      </c>
      <c r="F6317" t="s">
        <v>106</v>
      </c>
      <c r="G6317" t="s">
        <v>10754</v>
      </c>
      <c r="H6317" t="str">
        <f>" "</f>
        <v xml:space="preserve"> </v>
      </c>
      <c r="J6317">
        <v>2831031009</v>
      </c>
      <c r="K6317">
        <v>6973695688</v>
      </c>
      <c r="N6317" t="s">
        <v>615</v>
      </c>
      <c r="O6317" t="s">
        <v>616</v>
      </c>
      <c r="R6317" t="s">
        <v>57</v>
      </c>
      <c r="S6317">
        <v>6</v>
      </c>
      <c r="T6317">
        <v>774</v>
      </c>
      <c r="U6317" s="1">
        <v>39680</v>
      </c>
      <c r="V6317" t="s">
        <v>80</v>
      </c>
      <c r="W6317" t="s">
        <v>81</v>
      </c>
      <c r="X6317" t="s">
        <v>58</v>
      </c>
      <c r="Y6317">
        <v>23</v>
      </c>
      <c r="Z6317" t="s">
        <v>59</v>
      </c>
      <c r="AA6317" t="s">
        <v>59</v>
      </c>
      <c r="AB6317" t="s">
        <v>59</v>
      </c>
      <c r="AC6317" t="s">
        <v>59</v>
      </c>
      <c r="AD6317" t="s">
        <v>59</v>
      </c>
      <c r="AF6317" s="1">
        <v>39681</v>
      </c>
      <c r="AG6317" t="s">
        <v>8645</v>
      </c>
      <c r="AH6317" t="s">
        <v>8646</v>
      </c>
      <c r="AI6317" t="str">
        <f>"9170222"</f>
        <v>9170222</v>
      </c>
      <c r="AJ6317" t="s">
        <v>9404</v>
      </c>
      <c r="AK6317">
        <v>2810781325</v>
      </c>
      <c r="AL6317" t="s">
        <v>9405</v>
      </c>
      <c r="AM6317" t="s">
        <v>78</v>
      </c>
      <c r="AN6317" t="s">
        <v>219</v>
      </c>
      <c r="AO6317" t="s">
        <v>297</v>
      </c>
      <c r="AP6317" t="s">
        <v>9406</v>
      </c>
      <c r="AQ6317">
        <v>7</v>
      </c>
      <c r="AR6317" t="s">
        <v>80</v>
      </c>
      <c r="AS6317" t="s">
        <v>81</v>
      </c>
      <c r="AT6317" t="s">
        <v>58</v>
      </c>
      <c r="AU6317" t="s">
        <v>68</v>
      </c>
      <c r="AV6317" t="s">
        <v>69</v>
      </c>
      <c r="AW6317" s="1">
        <v>30706</v>
      </c>
      <c r="AX6317">
        <v>1</v>
      </c>
    </row>
    <row r="6318" spans="1:50">
      <c r="A6318">
        <v>612149</v>
      </c>
      <c r="B6318" t="str">
        <f>"103513023"</f>
        <v>103513023</v>
      </c>
      <c r="C6318" t="s">
        <v>50</v>
      </c>
      <c r="D6318" t="s">
        <v>10755</v>
      </c>
      <c r="E6318" t="s">
        <v>83</v>
      </c>
      <c r="F6318" t="s">
        <v>72</v>
      </c>
      <c r="G6318" t="s">
        <v>263</v>
      </c>
      <c r="H6318" t="str">
        <f>"Α. ΚΑΣΤΡΙΝΑΚΗ 33 ΜΑΣΤΑΜΠΑΣ"</f>
        <v>Α. ΚΑΣΤΡΙΝΑΚΗ 33 ΜΑΣΤΑΜΠΑΣ</v>
      </c>
      <c r="I6318">
        <v>71305</v>
      </c>
      <c r="J6318">
        <v>2810232754</v>
      </c>
      <c r="K6318">
        <v>6944254735</v>
      </c>
      <c r="L6318">
        <v>2310242355</v>
      </c>
      <c r="M6318" t="s">
        <v>10756</v>
      </c>
      <c r="N6318" t="s">
        <v>306</v>
      </c>
      <c r="O6318" t="s">
        <v>307</v>
      </c>
      <c r="R6318" t="s">
        <v>57</v>
      </c>
      <c r="S6318">
        <v>8</v>
      </c>
      <c r="T6318">
        <v>234</v>
      </c>
      <c r="U6318" s="1">
        <v>38960</v>
      </c>
      <c r="V6318" t="s">
        <v>80</v>
      </c>
      <c r="W6318" t="s">
        <v>81</v>
      </c>
      <c r="X6318" t="s">
        <v>58</v>
      </c>
      <c r="Y6318">
        <v>23</v>
      </c>
      <c r="Z6318" t="s">
        <v>59</v>
      </c>
      <c r="AA6318" t="s">
        <v>59</v>
      </c>
      <c r="AB6318" t="s">
        <v>59</v>
      </c>
      <c r="AC6318" t="s">
        <v>59</v>
      </c>
      <c r="AD6318" t="s">
        <v>59</v>
      </c>
      <c r="AF6318" s="1">
        <v>38961</v>
      </c>
      <c r="AG6318" t="s">
        <v>8645</v>
      </c>
      <c r="AH6318" t="s">
        <v>8646</v>
      </c>
      <c r="AI6318" t="str">
        <f>"9170525"</f>
        <v>9170525</v>
      </c>
      <c r="AJ6318" t="s">
        <v>8853</v>
      </c>
      <c r="AK6318">
        <v>2810256547</v>
      </c>
      <c r="AL6318" t="s">
        <v>8854</v>
      </c>
      <c r="AM6318" t="s">
        <v>78</v>
      </c>
      <c r="AN6318" t="s">
        <v>78</v>
      </c>
      <c r="AO6318" t="s">
        <v>78</v>
      </c>
      <c r="AP6318" t="s">
        <v>141</v>
      </c>
      <c r="AQ6318">
        <v>1</v>
      </c>
      <c r="AR6318" t="s">
        <v>80</v>
      </c>
      <c r="AS6318" t="s">
        <v>81</v>
      </c>
      <c r="AT6318" t="s">
        <v>58</v>
      </c>
      <c r="AU6318" t="s">
        <v>68</v>
      </c>
      <c r="AV6318" t="s">
        <v>69</v>
      </c>
      <c r="AW6318" s="1">
        <v>26393</v>
      </c>
      <c r="AX6318">
        <v>1</v>
      </c>
    </row>
    <row r="6319" spans="1:50">
      <c r="A6319">
        <v>571654</v>
      </c>
      <c r="B6319" t="str">
        <f>"035054573"</f>
        <v>035054573</v>
      </c>
      <c r="C6319" t="s">
        <v>50</v>
      </c>
      <c r="D6319" t="s">
        <v>5153</v>
      </c>
      <c r="E6319" t="s">
        <v>707</v>
      </c>
      <c r="F6319" t="s">
        <v>166</v>
      </c>
      <c r="G6319" t="s">
        <v>54</v>
      </c>
      <c r="H6319" t="str">
        <f>"Δ.ΣΩΤΗΡΙΟΥ 19 ΗΡΑΚΛΕΙΟ"</f>
        <v>Δ.ΣΩΤΗΡΙΟΥ 19 ΗΡΑΚΛΕΙΟ</v>
      </c>
      <c r="I6319">
        <v>71305</v>
      </c>
      <c r="J6319">
        <v>2810250725</v>
      </c>
      <c r="K6319">
        <v>6973304017</v>
      </c>
      <c r="N6319" t="s">
        <v>1525</v>
      </c>
      <c r="O6319" t="s">
        <v>1526</v>
      </c>
      <c r="R6319" t="s">
        <v>57</v>
      </c>
      <c r="S6319">
        <v>14</v>
      </c>
      <c r="T6319">
        <v>138</v>
      </c>
      <c r="U6319" s="1">
        <v>34206</v>
      </c>
      <c r="V6319" t="s">
        <v>80</v>
      </c>
      <c r="W6319" t="s">
        <v>81</v>
      </c>
      <c r="X6319" t="s">
        <v>58</v>
      </c>
      <c r="Y6319">
        <v>25</v>
      </c>
      <c r="Z6319" t="s">
        <v>59</v>
      </c>
      <c r="AA6319" t="s">
        <v>59</v>
      </c>
      <c r="AB6319" t="s">
        <v>59</v>
      </c>
      <c r="AC6319" t="s">
        <v>59</v>
      </c>
      <c r="AD6319" t="s">
        <v>59</v>
      </c>
      <c r="AF6319" s="1">
        <v>34213</v>
      </c>
      <c r="AG6319" t="s">
        <v>8651</v>
      </c>
      <c r="AH6319" t="s">
        <v>8652</v>
      </c>
      <c r="AI6319" t="str">
        <f>"9170400"</f>
        <v>9170400</v>
      </c>
      <c r="AJ6319" t="s">
        <v>8895</v>
      </c>
      <c r="AK6319">
        <v>2810312158</v>
      </c>
      <c r="AL6319" t="s">
        <v>8896</v>
      </c>
      <c r="AM6319" t="s">
        <v>78</v>
      </c>
      <c r="AN6319" t="s">
        <v>78</v>
      </c>
      <c r="AO6319" t="s">
        <v>78</v>
      </c>
      <c r="AP6319" t="s">
        <v>79</v>
      </c>
      <c r="AQ6319">
        <v>1</v>
      </c>
      <c r="AR6319" t="s">
        <v>80</v>
      </c>
      <c r="AS6319" t="s">
        <v>81</v>
      </c>
      <c r="AT6319" t="s">
        <v>58</v>
      </c>
      <c r="AU6319" t="s">
        <v>68</v>
      </c>
      <c r="AV6319" t="s">
        <v>69</v>
      </c>
      <c r="AW6319" s="1">
        <v>23633</v>
      </c>
      <c r="AX6319">
        <v>1</v>
      </c>
    </row>
    <row r="6320" spans="1:50">
      <c r="A6320">
        <v>563279</v>
      </c>
      <c r="B6320" t="str">
        <f>"048365512"</f>
        <v>048365512</v>
      </c>
      <c r="C6320" t="s">
        <v>50</v>
      </c>
      <c r="D6320" t="s">
        <v>7848</v>
      </c>
      <c r="E6320" t="s">
        <v>658</v>
      </c>
      <c r="F6320" t="s">
        <v>3049</v>
      </c>
      <c r="G6320" t="s">
        <v>52</v>
      </c>
      <c r="H6320" t="str">
        <f>" "</f>
        <v xml:space="preserve"> </v>
      </c>
      <c r="N6320" t="s">
        <v>615</v>
      </c>
      <c r="O6320" t="s">
        <v>616</v>
      </c>
      <c r="R6320" t="s">
        <v>57</v>
      </c>
      <c r="S6320">
        <v>15</v>
      </c>
      <c r="T6320">
        <v>194</v>
      </c>
      <c r="U6320" s="1">
        <v>32762</v>
      </c>
      <c r="V6320" t="s">
        <v>80</v>
      </c>
      <c r="W6320" t="s">
        <v>81</v>
      </c>
      <c r="X6320" t="s">
        <v>58</v>
      </c>
      <c r="Y6320">
        <v>21</v>
      </c>
      <c r="Z6320" t="s">
        <v>59</v>
      </c>
      <c r="AA6320" t="s">
        <v>59</v>
      </c>
      <c r="AB6320" t="s">
        <v>59</v>
      </c>
      <c r="AC6320" t="s">
        <v>59</v>
      </c>
      <c r="AD6320" t="s">
        <v>59</v>
      </c>
      <c r="AF6320" s="1">
        <v>32762</v>
      </c>
      <c r="AG6320" t="s">
        <v>8645</v>
      </c>
      <c r="AH6320" t="s">
        <v>8646</v>
      </c>
      <c r="AI6320" t="str">
        <f>"9170219"</f>
        <v>9170219</v>
      </c>
      <c r="AJ6320" t="s">
        <v>8967</v>
      </c>
      <c r="AK6320">
        <v>2897041357</v>
      </c>
      <c r="AL6320" t="s">
        <v>8968</v>
      </c>
      <c r="AM6320" t="s">
        <v>78</v>
      </c>
      <c r="AN6320" t="s">
        <v>219</v>
      </c>
      <c r="AO6320" t="s">
        <v>297</v>
      </c>
      <c r="AP6320" t="s">
        <v>297</v>
      </c>
      <c r="AQ6320">
        <v>7</v>
      </c>
      <c r="AR6320" t="s">
        <v>80</v>
      </c>
      <c r="AS6320" t="s">
        <v>81</v>
      </c>
      <c r="AT6320" t="s">
        <v>58</v>
      </c>
      <c r="AU6320" t="s">
        <v>68</v>
      </c>
      <c r="AV6320" t="s">
        <v>69</v>
      </c>
      <c r="AW6320" s="1">
        <v>24097</v>
      </c>
      <c r="AX6320">
        <v>1</v>
      </c>
    </row>
    <row r="6321" spans="1:50">
      <c r="B6321" t="str">
        <f>"134734688"</f>
        <v>134734688</v>
      </c>
      <c r="C6321" t="s">
        <v>50</v>
      </c>
      <c r="D6321" t="s">
        <v>10757</v>
      </c>
      <c r="E6321" t="s">
        <v>10758</v>
      </c>
      <c r="F6321" t="s">
        <v>99</v>
      </c>
      <c r="G6321" t="s">
        <v>263</v>
      </c>
      <c r="H6321" t="str">
        <f>"ΙΣΤΙΑΙΑ "</f>
        <v xml:space="preserve">ΙΣΤΙΑΙΑ </v>
      </c>
      <c r="I6321">
        <v>34300</v>
      </c>
      <c r="J6321">
        <v>2226072825</v>
      </c>
      <c r="K6321">
        <v>6973521057</v>
      </c>
      <c r="N6321" t="s">
        <v>384</v>
      </c>
      <c r="O6321" t="s">
        <v>385</v>
      </c>
      <c r="R6321" t="s">
        <v>159</v>
      </c>
      <c r="S6321">
        <v>4</v>
      </c>
      <c r="T6321" t="s">
        <v>8675</v>
      </c>
      <c r="U6321" s="1">
        <v>43348</v>
      </c>
      <c r="V6321" t="s">
        <v>80</v>
      </c>
      <c r="W6321" t="s">
        <v>81</v>
      </c>
      <c r="X6321" t="s">
        <v>58</v>
      </c>
      <c r="Y6321">
        <v>24</v>
      </c>
      <c r="Z6321" t="s">
        <v>59</v>
      </c>
      <c r="AA6321" t="s">
        <v>59</v>
      </c>
      <c r="AB6321" t="s">
        <v>59</v>
      </c>
      <c r="AC6321" t="s">
        <v>59</v>
      </c>
      <c r="AD6321" t="s">
        <v>59</v>
      </c>
      <c r="AF6321" s="1">
        <v>43348</v>
      </c>
      <c r="AG6321" t="s">
        <v>8645</v>
      </c>
      <c r="AH6321" t="s">
        <v>8646</v>
      </c>
      <c r="AI6321" t="str">
        <f>"9170512"</f>
        <v>9170512</v>
      </c>
      <c r="AJ6321" t="s">
        <v>8986</v>
      </c>
      <c r="AK6321">
        <v>2810253082</v>
      </c>
      <c r="AL6321" t="s">
        <v>8987</v>
      </c>
      <c r="AM6321" t="s">
        <v>78</v>
      </c>
      <c r="AN6321" t="s">
        <v>78</v>
      </c>
      <c r="AO6321" t="s">
        <v>78</v>
      </c>
      <c r="AP6321" t="s">
        <v>141</v>
      </c>
      <c r="AQ6321">
        <v>1</v>
      </c>
      <c r="AR6321" t="s">
        <v>80</v>
      </c>
      <c r="AS6321" t="s">
        <v>81</v>
      </c>
      <c r="AT6321" t="s">
        <v>58</v>
      </c>
      <c r="AU6321" t="s">
        <v>8673</v>
      </c>
      <c r="AV6321" t="s">
        <v>132</v>
      </c>
      <c r="AW6321" s="1">
        <v>32035</v>
      </c>
      <c r="AX6321">
        <v>1</v>
      </c>
    </row>
    <row r="6322" spans="1:50">
      <c r="B6322" t="str">
        <f>"145074718"</f>
        <v>145074718</v>
      </c>
      <c r="C6322" t="s">
        <v>50</v>
      </c>
      <c r="D6322" t="s">
        <v>10759</v>
      </c>
      <c r="E6322" t="s">
        <v>714</v>
      </c>
      <c r="F6322" t="s">
        <v>84</v>
      </c>
      <c r="G6322" t="s">
        <v>513</v>
      </c>
      <c r="H6322" t="str">
        <f>"ΚΟΛΟΚΟΤΡΩΝΗ 13 "</f>
        <v xml:space="preserve">ΚΟΛΟΚΟΤΡΩΝΗ 13 </v>
      </c>
      <c r="I6322">
        <v>59031</v>
      </c>
      <c r="K6322">
        <v>6973651747</v>
      </c>
      <c r="M6322" t="s">
        <v>10760</v>
      </c>
      <c r="N6322" t="s">
        <v>615</v>
      </c>
      <c r="O6322" t="s">
        <v>616</v>
      </c>
      <c r="R6322" t="s">
        <v>159</v>
      </c>
      <c r="S6322">
        <v>2</v>
      </c>
      <c r="T6322" t="s">
        <v>8675</v>
      </c>
      <c r="U6322" s="1">
        <v>43348</v>
      </c>
      <c r="V6322" t="s">
        <v>80</v>
      </c>
      <c r="W6322" t="s">
        <v>81</v>
      </c>
      <c r="X6322" t="s">
        <v>58</v>
      </c>
      <c r="Y6322">
        <v>24</v>
      </c>
      <c r="Z6322" t="s">
        <v>59</v>
      </c>
      <c r="AA6322" t="s">
        <v>59</v>
      </c>
      <c r="AB6322" t="s">
        <v>59</v>
      </c>
      <c r="AC6322" t="s">
        <v>59</v>
      </c>
      <c r="AD6322" t="s">
        <v>59</v>
      </c>
      <c r="AF6322" s="1">
        <v>43348</v>
      </c>
      <c r="AG6322" t="s">
        <v>8645</v>
      </c>
      <c r="AH6322" t="s">
        <v>8646</v>
      </c>
      <c r="AI6322" t="str">
        <f>"9170144"</f>
        <v>9170144</v>
      </c>
      <c r="AJ6322" t="s">
        <v>8729</v>
      </c>
      <c r="AK6322">
        <v>2891022244</v>
      </c>
      <c r="AL6322" t="s">
        <v>8730</v>
      </c>
      <c r="AM6322" t="s">
        <v>78</v>
      </c>
      <c r="AN6322" t="s">
        <v>276</v>
      </c>
      <c r="AO6322" t="s">
        <v>490</v>
      </c>
      <c r="AP6322" t="s">
        <v>490</v>
      </c>
      <c r="AQ6322">
        <v>12</v>
      </c>
      <c r="AR6322" t="s">
        <v>80</v>
      </c>
      <c r="AS6322" t="s">
        <v>81</v>
      </c>
      <c r="AT6322" t="s">
        <v>58</v>
      </c>
      <c r="AU6322" t="s">
        <v>8673</v>
      </c>
      <c r="AV6322" t="s">
        <v>132</v>
      </c>
      <c r="AW6322" s="1">
        <v>32404</v>
      </c>
      <c r="AX6322">
        <v>1</v>
      </c>
    </row>
    <row r="6323" spans="1:50">
      <c r="A6323">
        <v>567143</v>
      </c>
      <c r="B6323" t="str">
        <f>"036882340"</f>
        <v>036882340</v>
      </c>
      <c r="C6323" t="s">
        <v>50</v>
      </c>
      <c r="D6323" t="s">
        <v>10761</v>
      </c>
      <c r="E6323" t="s">
        <v>83</v>
      </c>
      <c r="F6323" t="s">
        <v>5386</v>
      </c>
      <c r="G6323" t="s">
        <v>1074</v>
      </c>
      <c r="H6323" t="str">
        <f>"ΕΜ. ΚΑΚΕΠΑΚΗ  10 ΝΕΑ  ΑΛΙΚΑΡΝΑΣΣΟΣ"</f>
        <v>ΕΜ. ΚΑΚΕΠΑΚΗ  10 ΝΕΑ  ΑΛΙΚΑΡΝΑΣΣΟΣ</v>
      </c>
      <c r="I6323">
        <v>71601</v>
      </c>
      <c r="J6323">
        <v>2810330195</v>
      </c>
      <c r="K6323">
        <v>6978345470</v>
      </c>
      <c r="N6323" t="s">
        <v>615</v>
      </c>
      <c r="O6323" t="s">
        <v>616</v>
      </c>
      <c r="R6323" t="s">
        <v>57</v>
      </c>
      <c r="S6323">
        <v>15</v>
      </c>
      <c r="T6323">
        <v>133</v>
      </c>
      <c r="U6323" s="1">
        <v>33486</v>
      </c>
      <c r="V6323" t="s">
        <v>80</v>
      </c>
      <c r="W6323" t="s">
        <v>81</v>
      </c>
      <c r="X6323" t="s">
        <v>58</v>
      </c>
      <c r="Y6323">
        <v>21</v>
      </c>
      <c r="Z6323" t="s">
        <v>59</v>
      </c>
      <c r="AA6323" t="s">
        <v>59</v>
      </c>
      <c r="AB6323" t="s">
        <v>59</v>
      </c>
      <c r="AC6323" t="s">
        <v>59</v>
      </c>
      <c r="AD6323" t="s">
        <v>59</v>
      </c>
      <c r="AF6323" s="1">
        <v>33486</v>
      </c>
      <c r="AG6323" t="s">
        <v>8645</v>
      </c>
      <c r="AH6323" t="s">
        <v>8646</v>
      </c>
      <c r="AI6323" t="str">
        <f>"9170427"</f>
        <v>9170427</v>
      </c>
      <c r="AJ6323" t="s">
        <v>8817</v>
      </c>
      <c r="AK6323">
        <v>2810220998</v>
      </c>
      <c r="AL6323" t="s">
        <v>8818</v>
      </c>
      <c r="AM6323" t="s">
        <v>78</v>
      </c>
      <c r="AN6323" t="s">
        <v>78</v>
      </c>
      <c r="AO6323" t="s">
        <v>286</v>
      </c>
      <c r="AP6323" t="s">
        <v>286</v>
      </c>
      <c r="AQ6323">
        <v>1</v>
      </c>
      <c r="AR6323" t="s">
        <v>80</v>
      </c>
      <c r="AS6323" t="s">
        <v>81</v>
      </c>
      <c r="AT6323" t="s">
        <v>58</v>
      </c>
      <c r="AU6323" t="s">
        <v>68</v>
      </c>
      <c r="AV6323" t="s">
        <v>69</v>
      </c>
      <c r="AW6323" s="1">
        <v>24383</v>
      </c>
      <c r="AX6323">
        <v>1</v>
      </c>
    </row>
    <row r="6324" spans="1:50">
      <c r="A6324">
        <v>617802</v>
      </c>
      <c r="B6324" t="str">
        <f>"134594061"</f>
        <v>134594061</v>
      </c>
      <c r="C6324" t="s">
        <v>50</v>
      </c>
      <c r="D6324" t="s">
        <v>10762</v>
      </c>
      <c r="E6324" t="s">
        <v>396</v>
      </c>
      <c r="F6324" t="s">
        <v>72</v>
      </c>
      <c r="G6324" t="s">
        <v>109</v>
      </c>
      <c r="H6324" t="str">
        <f>"ΥΨΗΛΑΝΤΟΥ 62 ΔΡΑΜΑ"</f>
        <v>ΥΨΗΛΑΝΤΟΥ 62 ΔΡΑΜΑ</v>
      </c>
      <c r="I6324">
        <v>66100</v>
      </c>
      <c r="K6324">
        <v>6972714115</v>
      </c>
      <c r="L6324" t="s">
        <v>10763</v>
      </c>
      <c r="M6324" t="s">
        <v>10764</v>
      </c>
      <c r="N6324" t="s">
        <v>615</v>
      </c>
      <c r="O6324" t="s">
        <v>616</v>
      </c>
      <c r="R6324" t="s">
        <v>57</v>
      </c>
      <c r="S6324">
        <v>5</v>
      </c>
      <c r="T6324">
        <v>774</v>
      </c>
      <c r="U6324" s="1">
        <v>39680</v>
      </c>
      <c r="V6324" t="s">
        <v>80</v>
      </c>
      <c r="W6324" t="s">
        <v>81</v>
      </c>
      <c r="X6324" t="s">
        <v>58</v>
      </c>
      <c r="Y6324">
        <v>23</v>
      </c>
      <c r="Z6324" t="s">
        <v>59</v>
      </c>
      <c r="AA6324" t="s">
        <v>59</v>
      </c>
      <c r="AB6324" t="s">
        <v>59</v>
      </c>
      <c r="AC6324" t="s">
        <v>59</v>
      </c>
      <c r="AD6324" t="s">
        <v>59</v>
      </c>
      <c r="AF6324" s="1">
        <v>39681</v>
      </c>
      <c r="AG6324" t="s">
        <v>8645</v>
      </c>
      <c r="AH6324" t="s">
        <v>8646</v>
      </c>
      <c r="AI6324" t="str">
        <f>"9170039"</f>
        <v>9170039</v>
      </c>
      <c r="AJ6324" t="s">
        <v>8804</v>
      </c>
      <c r="AK6324">
        <v>2894022231</v>
      </c>
      <c r="AL6324" t="s">
        <v>8805</v>
      </c>
      <c r="AM6324" t="s">
        <v>78</v>
      </c>
      <c r="AN6324" t="s">
        <v>405</v>
      </c>
      <c r="AO6324" t="s">
        <v>406</v>
      </c>
      <c r="AP6324" t="s">
        <v>406</v>
      </c>
      <c r="AQ6324">
        <v>6</v>
      </c>
      <c r="AR6324" t="s">
        <v>80</v>
      </c>
      <c r="AS6324" t="s">
        <v>81</v>
      </c>
      <c r="AT6324" t="s">
        <v>58</v>
      </c>
      <c r="AU6324" t="s">
        <v>68</v>
      </c>
      <c r="AV6324" t="s">
        <v>69</v>
      </c>
      <c r="AW6324" s="1">
        <v>30696</v>
      </c>
      <c r="AX6324">
        <v>1</v>
      </c>
    </row>
    <row r="6325" spans="1:50">
      <c r="A6325">
        <v>582825</v>
      </c>
      <c r="B6325" t="str">
        <f>"068141140"</f>
        <v>068141140</v>
      </c>
      <c r="C6325" t="s">
        <v>50</v>
      </c>
      <c r="D6325" t="s">
        <v>10762</v>
      </c>
      <c r="E6325" t="s">
        <v>83</v>
      </c>
      <c r="F6325" t="s">
        <v>106</v>
      </c>
      <c r="G6325" t="s">
        <v>52</v>
      </c>
      <c r="H6325" t="str">
        <f>"TYΜΠAKI ΗΡΑΚΛΕΙΟΥ ΚΡΗΤΗΣ"</f>
        <v>TYΜΠAKI ΗΡΑΚΛΕΙΟΥ ΚΡΗΤΗΣ</v>
      </c>
      <c r="I6325">
        <v>70200</v>
      </c>
      <c r="J6325">
        <v>2892051839</v>
      </c>
      <c r="K6325">
        <v>6998718413</v>
      </c>
      <c r="N6325" t="s">
        <v>1525</v>
      </c>
      <c r="O6325" t="s">
        <v>1526</v>
      </c>
      <c r="R6325" t="s">
        <v>57</v>
      </c>
      <c r="S6325">
        <v>12</v>
      </c>
      <c r="T6325">
        <v>179</v>
      </c>
      <c r="U6325" s="1">
        <v>35674</v>
      </c>
      <c r="V6325" t="s">
        <v>80</v>
      </c>
      <c r="W6325" t="s">
        <v>81</v>
      </c>
      <c r="X6325" t="s">
        <v>58</v>
      </c>
      <c r="Y6325">
        <v>25</v>
      </c>
      <c r="Z6325" t="s">
        <v>59</v>
      </c>
      <c r="AA6325" t="s">
        <v>59</v>
      </c>
      <c r="AB6325" t="s">
        <v>59</v>
      </c>
      <c r="AC6325" t="s">
        <v>59</v>
      </c>
      <c r="AD6325" t="s">
        <v>59</v>
      </c>
      <c r="AF6325" s="1">
        <v>35684</v>
      </c>
      <c r="AG6325" t="s">
        <v>8651</v>
      </c>
      <c r="AH6325" t="s">
        <v>8652</v>
      </c>
      <c r="AI6325" t="str">
        <f>"9170398"</f>
        <v>9170398</v>
      </c>
      <c r="AJ6325" t="s">
        <v>9593</v>
      </c>
      <c r="AK6325">
        <v>2892053478</v>
      </c>
      <c r="AL6325" t="s">
        <v>9594</v>
      </c>
      <c r="AM6325" t="s">
        <v>78</v>
      </c>
      <c r="AN6325" t="s">
        <v>242</v>
      </c>
      <c r="AO6325" t="s">
        <v>349</v>
      </c>
      <c r="AP6325" t="s">
        <v>349</v>
      </c>
      <c r="AQ6325">
        <v>19</v>
      </c>
      <c r="AR6325" t="s">
        <v>80</v>
      </c>
      <c r="AS6325" t="s">
        <v>81</v>
      </c>
      <c r="AT6325" t="s">
        <v>58</v>
      </c>
      <c r="AU6325" t="s">
        <v>68</v>
      </c>
      <c r="AV6325" t="s">
        <v>69</v>
      </c>
      <c r="AW6325" s="1">
        <v>23430</v>
      </c>
      <c r="AX6325">
        <v>1</v>
      </c>
    </row>
    <row r="6326" spans="1:50">
      <c r="B6326" t="str">
        <f>"138997640"</f>
        <v>138997640</v>
      </c>
      <c r="C6326" t="s">
        <v>50</v>
      </c>
      <c r="D6326" t="s">
        <v>2804</v>
      </c>
      <c r="E6326" t="s">
        <v>566</v>
      </c>
      <c r="F6326" t="s">
        <v>72</v>
      </c>
      <c r="G6326" t="s">
        <v>188</v>
      </c>
      <c r="H6326" t="str">
        <f>"ΚΑΛΛΙΠΟΛΕΩΣ 36 "</f>
        <v xml:space="preserve">ΚΑΛΛΙΠΟΛΕΩΣ 36 </v>
      </c>
      <c r="I6326">
        <v>71306</v>
      </c>
      <c r="J6326">
        <v>2810326854</v>
      </c>
      <c r="K6326">
        <v>6932103046</v>
      </c>
      <c r="N6326" t="s">
        <v>615</v>
      </c>
      <c r="O6326" t="s">
        <v>616</v>
      </c>
      <c r="R6326" t="s">
        <v>159</v>
      </c>
      <c r="S6326">
        <v>3</v>
      </c>
      <c r="T6326" t="s">
        <v>8675</v>
      </c>
      <c r="U6326" s="1">
        <v>43348</v>
      </c>
      <c r="V6326" t="s">
        <v>80</v>
      </c>
      <c r="W6326" t="s">
        <v>81</v>
      </c>
      <c r="X6326" t="s">
        <v>58</v>
      </c>
      <c r="Y6326">
        <v>24</v>
      </c>
      <c r="Z6326" t="s">
        <v>59</v>
      </c>
      <c r="AA6326" t="s">
        <v>59</v>
      </c>
      <c r="AB6326" t="s">
        <v>59</v>
      </c>
      <c r="AC6326" t="s">
        <v>59</v>
      </c>
      <c r="AD6326" t="s">
        <v>59</v>
      </c>
      <c r="AF6326" s="1">
        <v>43348</v>
      </c>
      <c r="AG6326" t="s">
        <v>8645</v>
      </c>
      <c r="AH6326" t="s">
        <v>8646</v>
      </c>
      <c r="AI6326" t="str">
        <f>"9170079"</f>
        <v>9170079</v>
      </c>
      <c r="AJ6326" t="s">
        <v>8874</v>
      </c>
      <c r="AK6326">
        <v>2894051292</v>
      </c>
      <c r="AL6326" t="s">
        <v>8875</v>
      </c>
      <c r="AM6326" t="s">
        <v>78</v>
      </c>
      <c r="AN6326" t="s">
        <v>424</v>
      </c>
      <c r="AO6326" t="s">
        <v>428</v>
      </c>
      <c r="AP6326" t="s">
        <v>8876</v>
      </c>
      <c r="AQ6326">
        <v>9</v>
      </c>
      <c r="AR6326" t="s">
        <v>80</v>
      </c>
      <c r="AS6326" t="s">
        <v>81</v>
      </c>
      <c r="AT6326" t="s">
        <v>58</v>
      </c>
      <c r="AU6326" t="s">
        <v>8673</v>
      </c>
      <c r="AV6326" t="s">
        <v>132</v>
      </c>
      <c r="AW6326" s="1">
        <v>32098</v>
      </c>
      <c r="AX6326">
        <v>1</v>
      </c>
    </row>
    <row r="6327" spans="1:50">
      <c r="B6327" t="str">
        <f>"132349649"</f>
        <v>132349649</v>
      </c>
      <c r="C6327" t="s">
        <v>50</v>
      </c>
      <c r="D6327" t="s">
        <v>2804</v>
      </c>
      <c r="E6327" t="s">
        <v>1204</v>
      </c>
      <c r="F6327" t="s">
        <v>72</v>
      </c>
      <c r="G6327" t="s">
        <v>83</v>
      </c>
      <c r="H6327" t="str">
        <f>" "</f>
        <v xml:space="preserve"> </v>
      </c>
      <c r="N6327" t="s">
        <v>1525</v>
      </c>
      <c r="O6327" t="s">
        <v>1526</v>
      </c>
      <c r="R6327" t="s">
        <v>159</v>
      </c>
      <c r="S6327">
        <v>3</v>
      </c>
      <c r="T6327" t="s">
        <v>10716</v>
      </c>
      <c r="U6327" s="1">
        <v>43377</v>
      </c>
      <c r="V6327" t="s">
        <v>80</v>
      </c>
      <c r="W6327" t="s">
        <v>81</v>
      </c>
      <c r="X6327" t="s">
        <v>58</v>
      </c>
      <c r="Y6327">
        <v>25</v>
      </c>
      <c r="Z6327" t="s">
        <v>59</v>
      </c>
      <c r="AA6327" t="s">
        <v>59</v>
      </c>
      <c r="AB6327" t="s">
        <v>59</v>
      </c>
      <c r="AC6327" t="s">
        <v>59</v>
      </c>
      <c r="AD6327" t="s">
        <v>59</v>
      </c>
      <c r="AF6327" s="1">
        <v>43377</v>
      </c>
      <c r="AG6327" t="s">
        <v>8651</v>
      </c>
      <c r="AH6327" t="s">
        <v>8652</v>
      </c>
      <c r="AI6327" t="str">
        <f>"9170266"</f>
        <v>9170266</v>
      </c>
      <c r="AJ6327" t="s">
        <v>9498</v>
      </c>
      <c r="AK6327">
        <v>2892023328</v>
      </c>
      <c r="AL6327" t="s">
        <v>9499</v>
      </c>
      <c r="AM6327" t="s">
        <v>78</v>
      </c>
      <c r="AN6327" t="s">
        <v>242</v>
      </c>
      <c r="AO6327" t="s">
        <v>243</v>
      </c>
      <c r="AP6327" t="s">
        <v>243</v>
      </c>
      <c r="AQ6327">
        <v>20</v>
      </c>
      <c r="AR6327" t="s">
        <v>80</v>
      </c>
      <c r="AS6327" t="s">
        <v>81</v>
      </c>
      <c r="AT6327" t="s">
        <v>58</v>
      </c>
      <c r="AU6327" t="s">
        <v>8673</v>
      </c>
      <c r="AV6327" t="s">
        <v>132</v>
      </c>
      <c r="AW6327" s="1">
        <v>30887</v>
      </c>
      <c r="AX6327">
        <v>1</v>
      </c>
    </row>
    <row r="6328" spans="1:50">
      <c r="A6328">
        <v>604563</v>
      </c>
      <c r="B6328" t="str">
        <f>"062214308"</f>
        <v>062214308</v>
      </c>
      <c r="C6328" t="s">
        <v>50</v>
      </c>
      <c r="D6328" t="s">
        <v>2809</v>
      </c>
      <c r="E6328" t="s">
        <v>52</v>
      </c>
      <c r="F6328" t="s">
        <v>166</v>
      </c>
      <c r="G6328" t="s">
        <v>1450</v>
      </c>
      <c r="H6328" t="str">
        <f>"ΓΑΛΙΑΝΟΣ ΔΡΟΜΟΣ ΗΡΑΚΛΕΙΟ"</f>
        <v>ΓΑΛΙΑΝΟΣ ΔΡΟΜΟΣ ΗΡΑΚΛΕΙΟ</v>
      </c>
      <c r="I6328">
        <v>70400</v>
      </c>
      <c r="J6328">
        <v>2892024054</v>
      </c>
      <c r="K6328">
        <v>6937413171</v>
      </c>
      <c r="L6328">
        <v>2892043121</v>
      </c>
      <c r="N6328" t="s">
        <v>615</v>
      </c>
      <c r="O6328" t="s">
        <v>616</v>
      </c>
      <c r="R6328" t="s">
        <v>57</v>
      </c>
      <c r="S6328">
        <v>7</v>
      </c>
      <c r="T6328">
        <v>231</v>
      </c>
      <c r="U6328" s="1">
        <v>38230</v>
      </c>
      <c r="V6328" t="s">
        <v>80</v>
      </c>
      <c r="W6328" t="s">
        <v>81</v>
      </c>
      <c r="X6328" t="s">
        <v>58</v>
      </c>
      <c r="Y6328">
        <v>22</v>
      </c>
      <c r="Z6328" t="s">
        <v>59</v>
      </c>
      <c r="AA6328" t="s">
        <v>59</v>
      </c>
      <c r="AB6328" t="s">
        <v>59</v>
      </c>
      <c r="AC6328" t="s">
        <v>59</v>
      </c>
      <c r="AD6328" t="s">
        <v>59</v>
      </c>
      <c r="AF6328" s="1">
        <v>38231</v>
      </c>
      <c r="AG6328" t="s">
        <v>8645</v>
      </c>
      <c r="AH6328" t="s">
        <v>8646</v>
      </c>
      <c r="AI6328" t="str">
        <f>"9170282"</f>
        <v>9170282</v>
      </c>
      <c r="AJ6328" t="s">
        <v>8938</v>
      </c>
      <c r="AK6328">
        <v>2892022120</v>
      </c>
      <c r="AL6328" t="s">
        <v>8939</v>
      </c>
      <c r="AM6328" t="s">
        <v>78</v>
      </c>
      <c r="AN6328" t="s">
        <v>242</v>
      </c>
      <c r="AO6328" t="s">
        <v>243</v>
      </c>
      <c r="AP6328" t="s">
        <v>8940</v>
      </c>
      <c r="AQ6328">
        <v>20</v>
      </c>
      <c r="AR6328" t="s">
        <v>80</v>
      </c>
      <c r="AS6328" t="s">
        <v>81</v>
      </c>
      <c r="AT6328" t="s">
        <v>58</v>
      </c>
      <c r="AU6328" t="s">
        <v>68</v>
      </c>
      <c r="AV6328" t="s">
        <v>69</v>
      </c>
      <c r="AW6328" s="1">
        <v>28940</v>
      </c>
      <c r="AX6328">
        <v>1</v>
      </c>
    </row>
    <row r="6329" spans="1:50">
      <c r="A6329">
        <v>219101</v>
      </c>
      <c r="B6329" t="str">
        <f>"046652333"</f>
        <v>046652333</v>
      </c>
      <c r="C6329" t="s">
        <v>105</v>
      </c>
      <c r="D6329" t="s">
        <v>10765</v>
      </c>
      <c r="E6329" t="s">
        <v>315</v>
      </c>
      <c r="F6329" t="s">
        <v>10766</v>
      </c>
      <c r="G6329" t="s">
        <v>52</v>
      </c>
      <c r="H6329" t="str">
        <f>" "</f>
        <v xml:space="preserve"> </v>
      </c>
      <c r="J6329">
        <v>2108974201</v>
      </c>
      <c r="K6329">
        <v>6947903728</v>
      </c>
      <c r="N6329" t="s">
        <v>478</v>
      </c>
      <c r="O6329" t="s">
        <v>479</v>
      </c>
      <c r="R6329" t="s">
        <v>57</v>
      </c>
      <c r="S6329">
        <v>5</v>
      </c>
      <c r="T6329">
        <v>599</v>
      </c>
      <c r="U6329" s="1">
        <v>39310</v>
      </c>
      <c r="V6329" t="s">
        <v>80</v>
      </c>
      <c r="W6329" t="s">
        <v>81</v>
      </c>
      <c r="X6329" t="s">
        <v>58</v>
      </c>
      <c r="Y6329">
        <v>23</v>
      </c>
      <c r="Z6329" t="s">
        <v>59</v>
      </c>
      <c r="AA6329" t="s">
        <v>59</v>
      </c>
      <c r="AB6329" t="s">
        <v>59</v>
      </c>
      <c r="AC6329" t="s">
        <v>59</v>
      </c>
      <c r="AD6329" t="s">
        <v>59</v>
      </c>
      <c r="AF6329" s="1">
        <v>39328</v>
      </c>
      <c r="AG6329" t="s">
        <v>8645</v>
      </c>
      <c r="AH6329" t="s">
        <v>8646</v>
      </c>
      <c r="AI6329" t="str">
        <f>"9170262"</f>
        <v>9170262</v>
      </c>
      <c r="AJ6329" t="s">
        <v>9224</v>
      </c>
      <c r="AK6329">
        <v>2810245912</v>
      </c>
      <c r="AL6329" t="s">
        <v>9225</v>
      </c>
      <c r="AM6329" t="s">
        <v>78</v>
      </c>
      <c r="AN6329" t="s">
        <v>78</v>
      </c>
      <c r="AO6329" t="s">
        <v>286</v>
      </c>
      <c r="AP6329" t="s">
        <v>286</v>
      </c>
      <c r="AQ6329">
        <v>1</v>
      </c>
      <c r="AR6329" t="s">
        <v>80</v>
      </c>
      <c r="AS6329" t="s">
        <v>81</v>
      </c>
      <c r="AT6329" t="s">
        <v>58</v>
      </c>
      <c r="AU6329" t="s">
        <v>68</v>
      </c>
      <c r="AV6329" t="s">
        <v>69</v>
      </c>
      <c r="AW6329" s="1">
        <v>27224</v>
      </c>
      <c r="AX6329">
        <v>1</v>
      </c>
    </row>
    <row r="6330" spans="1:50">
      <c r="B6330" t="str">
        <f>"154171227"</f>
        <v>154171227</v>
      </c>
      <c r="C6330" t="s">
        <v>50</v>
      </c>
      <c r="D6330" t="s">
        <v>10767</v>
      </c>
      <c r="E6330" t="s">
        <v>460</v>
      </c>
      <c r="F6330" t="s">
        <v>315</v>
      </c>
      <c r="G6330" t="s">
        <v>1001</v>
      </c>
      <c r="H6330" t="str">
        <f>" "</f>
        <v xml:space="preserve"> </v>
      </c>
      <c r="N6330" t="s">
        <v>8694</v>
      </c>
      <c r="O6330" t="s">
        <v>8695</v>
      </c>
      <c r="R6330" t="s">
        <v>159</v>
      </c>
      <c r="S6330">
        <v>1</v>
      </c>
      <c r="T6330" t="s">
        <v>8696</v>
      </c>
      <c r="U6330" s="1">
        <v>43348</v>
      </c>
      <c r="V6330" t="s">
        <v>80</v>
      </c>
      <c r="W6330" t="s">
        <v>81</v>
      </c>
      <c r="X6330" t="s">
        <v>58</v>
      </c>
      <c r="Y6330">
        <v>24</v>
      </c>
      <c r="Z6330" t="s">
        <v>59</v>
      </c>
      <c r="AA6330" t="s">
        <v>59</v>
      </c>
      <c r="AB6330" t="s">
        <v>59</v>
      </c>
      <c r="AD6330" t="s">
        <v>59</v>
      </c>
      <c r="AF6330" s="1">
        <v>43348</v>
      </c>
      <c r="AG6330" t="s">
        <v>8645</v>
      </c>
      <c r="AH6330" t="s">
        <v>8646</v>
      </c>
      <c r="AI6330" t="str">
        <f>"9170575"</f>
        <v>9170575</v>
      </c>
      <c r="AJ6330" t="s">
        <v>8748</v>
      </c>
      <c r="AK6330">
        <v>2810260772</v>
      </c>
      <c r="AL6330" t="s">
        <v>8749</v>
      </c>
      <c r="AM6330" t="s">
        <v>78</v>
      </c>
      <c r="AN6330" t="s">
        <v>78</v>
      </c>
      <c r="AO6330" t="s">
        <v>78</v>
      </c>
      <c r="AP6330" t="s">
        <v>141</v>
      </c>
      <c r="AQ6330">
        <v>1</v>
      </c>
      <c r="AR6330" t="s">
        <v>80</v>
      </c>
      <c r="AS6330" t="s">
        <v>81</v>
      </c>
      <c r="AT6330" t="s">
        <v>58</v>
      </c>
      <c r="AU6330" t="s">
        <v>350</v>
      </c>
      <c r="AV6330" t="s">
        <v>132</v>
      </c>
      <c r="AW6330" s="1">
        <v>33864</v>
      </c>
      <c r="AX6330">
        <v>1</v>
      </c>
    </row>
    <row r="6331" spans="1:50">
      <c r="A6331">
        <v>579487</v>
      </c>
      <c r="B6331" t="str">
        <f>"070342969"</f>
        <v>070342969</v>
      </c>
      <c r="C6331" t="s">
        <v>50</v>
      </c>
      <c r="D6331" t="s">
        <v>10768</v>
      </c>
      <c r="E6331" t="s">
        <v>268</v>
      </c>
      <c r="F6331" t="s">
        <v>84</v>
      </c>
      <c r="G6331" t="s">
        <v>191</v>
      </c>
      <c r="H6331" t="str">
        <f>"ΞΕΝΑΚΗ ΙΑΝΗ 19 ΗΡΑΚΛΕΙΟ"</f>
        <v>ΞΕΝΑΚΗ ΙΑΝΗ 19 ΗΡΑΚΛΕΙΟ</v>
      </c>
      <c r="I6331">
        <v>71410</v>
      </c>
      <c r="J6331">
        <v>2810234059</v>
      </c>
      <c r="K6331">
        <v>6942910828</v>
      </c>
      <c r="N6331" t="s">
        <v>615</v>
      </c>
      <c r="O6331" t="s">
        <v>616</v>
      </c>
      <c r="R6331" t="s">
        <v>57</v>
      </c>
      <c r="S6331">
        <v>11</v>
      </c>
      <c r="T6331">
        <v>165</v>
      </c>
      <c r="U6331" s="1">
        <v>35300</v>
      </c>
      <c r="V6331" t="s">
        <v>80</v>
      </c>
      <c r="W6331" t="s">
        <v>81</v>
      </c>
      <c r="X6331" t="s">
        <v>58</v>
      </c>
      <c r="Y6331">
        <v>21</v>
      </c>
      <c r="Z6331" t="s">
        <v>59</v>
      </c>
      <c r="AA6331" t="s">
        <v>59</v>
      </c>
      <c r="AB6331" t="s">
        <v>59</v>
      </c>
      <c r="AC6331" t="s">
        <v>59</v>
      </c>
      <c r="AD6331" t="s">
        <v>59</v>
      </c>
      <c r="AF6331" s="1">
        <v>35310</v>
      </c>
      <c r="AG6331" t="s">
        <v>8645</v>
      </c>
      <c r="AH6331" t="s">
        <v>8646</v>
      </c>
      <c r="AI6331" t="str">
        <f>"9170428"</f>
        <v>9170428</v>
      </c>
      <c r="AJ6331" t="s">
        <v>8983</v>
      </c>
      <c r="AK6331">
        <v>2810234768</v>
      </c>
      <c r="AL6331" t="s">
        <v>8984</v>
      </c>
      <c r="AM6331" t="s">
        <v>78</v>
      </c>
      <c r="AN6331" t="s">
        <v>78</v>
      </c>
      <c r="AO6331" t="s">
        <v>78</v>
      </c>
      <c r="AP6331" t="s">
        <v>79</v>
      </c>
      <c r="AQ6331">
        <v>1</v>
      </c>
      <c r="AR6331" t="s">
        <v>80</v>
      </c>
      <c r="AS6331" t="s">
        <v>81</v>
      </c>
      <c r="AT6331" t="s">
        <v>58</v>
      </c>
      <c r="AU6331" t="s">
        <v>68</v>
      </c>
      <c r="AV6331" t="s">
        <v>69</v>
      </c>
      <c r="AW6331" s="1">
        <v>24520</v>
      </c>
      <c r="AX6331">
        <v>1</v>
      </c>
    </row>
    <row r="6332" spans="1:50">
      <c r="B6332" t="str">
        <f>"066854272"</f>
        <v>066854272</v>
      </c>
      <c r="C6332" t="s">
        <v>50</v>
      </c>
      <c r="D6332" t="s">
        <v>10769</v>
      </c>
      <c r="E6332" t="s">
        <v>476</v>
      </c>
      <c r="F6332" t="s">
        <v>95</v>
      </c>
      <c r="G6332" t="s">
        <v>950</v>
      </c>
      <c r="H6332" t="str">
        <f>"ΜΥΚΟΝΟΥ 7 ΛΑΜΙΑ"</f>
        <v>ΜΥΚΟΝΟΥ 7 ΛΑΜΙΑ</v>
      </c>
      <c r="I6332">
        <v>35100</v>
      </c>
      <c r="J6332">
        <v>2231036470</v>
      </c>
      <c r="K6332">
        <v>6976056170</v>
      </c>
      <c r="N6332" t="s">
        <v>306</v>
      </c>
      <c r="O6332" t="s">
        <v>307</v>
      </c>
      <c r="R6332" t="s">
        <v>159</v>
      </c>
      <c r="S6332">
        <v>3</v>
      </c>
      <c r="T6332" t="s">
        <v>8675</v>
      </c>
      <c r="U6332" s="1">
        <v>43348</v>
      </c>
      <c r="V6332" t="s">
        <v>80</v>
      </c>
      <c r="W6332" t="s">
        <v>81</v>
      </c>
      <c r="X6332" t="s">
        <v>58</v>
      </c>
      <c r="Y6332">
        <v>24</v>
      </c>
      <c r="Z6332" t="s">
        <v>59</v>
      </c>
      <c r="AA6332" t="s">
        <v>59</v>
      </c>
      <c r="AB6332" t="s">
        <v>59</v>
      </c>
      <c r="AC6332" t="s">
        <v>59</v>
      </c>
      <c r="AD6332" t="s">
        <v>59</v>
      </c>
      <c r="AF6332" s="1">
        <v>43348</v>
      </c>
      <c r="AG6332" t="s">
        <v>8645</v>
      </c>
      <c r="AH6332" t="s">
        <v>8646</v>
      </c>
      <c r="AI6332" t="str">
        <f>"9170079"</f>
        <v>9170079</v>
      </c>
      <c r="AJ6332" t="s">
        <v>8874</v>
      </c>
      <c r="AK6332">
        <v>2894051292</v>
      </c>
      <c r="AL6332" t="s">
        <v>8875</v>
      </c>
      <c r="AM6332" t="s">
        <v>78</v>
      </c>
      <c r="AN6332" t="s">
        <v>424</v>
      </c>
      <c r="AO6332" t="s">
        <v>428</v>
      </c>
      <c r="AP6332" t="s">
        <v>8876</v>
      </c>
      <c r="AQ6332">
        <v>9</v>
      </c>
      <c r="AR6332" t="s">
        <v>80</v>
      </c>
      <c r="AS6332" t="s">
        <v>81</v>
      </c>
      <c r="AT6332" t="s">
        <v>58</v>
      </c>
      <c r="AU6332" t="s">
        <v>8673</v>
      </c>
      <c r="AV6332" t="s">
        <v>132</v>
      </c>
      <c r="AW6332" s="1">
        <v>28583</v>
      </c>
      <c r="AX6332">
        <v>1</v>
      </c>
    </row>
    <row r="6333" spans="1:50">
      <c r="B6333" t="str">
        <f>"158102563"</f>
        <v>158102563</v>
      </c>
      <c r="C6333" t="s">
        <v>50</v>
      </c>
      <c r="D6333" t="s">
        <v>10770</v>
      </c>
      <c r="E6333" t="s">
        <v>155</v>
      </c>
      <c r="F6333" t="s">
        <v>99</v>
      </c>
      <c r="G6333" t="s">
        <v>263</v>
      </c>
      <c r="H6333" t="str">
        <f>" "</f>
        <v xml:space="preserve"> </v>
      </c>
      <c r="N6333" t="s">
        <v>615</v>
      </c>
      <c r="O6333" t="s">
        <v>616</v>
      </c>
      <c r="R6333" t="s">
        <v>121</v>
      </c>
      <c r="S6333">
        <v>1</v>
      </c>
      <c r="T6333" t="s">
        <v>8675</v>
      </c>
      <c r="U6333" s="1">
        <v>43348</v>
      </c>
      <c r="V6333" t="s">
        <v>80</v>
      </c>
      <c r="W6333" t="s">
        <v>81</v>
      </c>
      <c r="X6333" t="s">
        <v>58</v>
      </c>
      <c r="Y6333">
        <v>24</v>
      </c>
      <c r="Z6333" t="s">
        <v>59</v>
      </c>
      <c r="AA6333" t="s">
        <v>59</v>
      </c>
      <c r="AB6333" t="s">
        <v>59</v>
      </c>
      <c r="AD6333" t="s">
        <v>59</v>
      </c>
      <c r="AF6333" s="1">
        <v>43348</v>
      </c>
      <c r="AG6333" t="s">
        <v>8645</v>
      </c>
      <c r="AH6333" t="s">
        <v>8676</v>
      </c>
      <c r="AI6333" t="str">
        <f>"9170289"</f>
        <v>9170289</v>
      </c>
      <c r="AJ6333" t="s">
        <v>10734</v>
      </c>
      <c r="AK6333">
        <v>2892031220</v>
      </c>
      <c r="AL6333" t="s">
        <v>10735</v>
      </c>
      <c r="AM6333" t="s">
        <v>78</v>
      </c>
      <c r="AN6333" t="s">
        <v>405</v>
      </c>
      <c r="AO6333" t="s">
        <v>405</v>
      </c>
      <c r="AP6333" t="s">
        <v>10736</v>
      </c>
      <c r="AQ6333">
        <v>17</v>
      </c>
      <c r="AR6333" t="s">
        <v>80</v>
      </c>
      <c r="AS6333" t="s">
        <v>81</v>
      </c>
      <c r="AT6333" t="s">
        <v>58</v>
      </c>
      <c r="AU6333" t="s">
        <v>8673</v>
      </c>
      <c r="AV6333" t="s">
        <v>132</v>
      </c>
      <c r="AW6333" s="1">
        <v>32887</v>
      </c>
      <c r="AX6333">
        <v>1</v>
      </c>
    </row>
    <row r="6334" spans="1:50">
      <c r="A6334">
        <v>700947</v>
      </c>
      <c r="B6334" t="str">
        <f>"132231125"</f>
        <v>132231125</v>
      </c>
      <c r="C6334" t="s">
        <v>50</v>
      </c>
      <c r="D6334" t="s">
        <v>10770</v>
      </c>
      <c r="E6334" t="s">
        <v>109</v>
      </c>
      <c r="F6334" t="s">
        <v>581</v>
      </c>
      <c r="G6334" t="s">
        <v>630</v>
      </c>
      <c r="H6334" t="str">
        <f>"ΠΑΡΟΔΟΣ ΠΑΝ.ΜΠΕΓΛΗ ΖΑΡΟΥΧΛΕΙΚΑ ΠΑΤΡΑ"</f>
        <v>ΠΑΡΟΔΟΣ ΠΑΝ.ΜΠΕΓΛΗ ΖΑΡΟΥΧΛΕΙΚΑ ΠΑΤΡΑ</v>
      </c>
      <c r="I6334">
        <v>26332</v>
      </c>
      <c r="J6334">
        <v>2610323823</v>
      </c>
      <c r="K6334">
        <v>6977176233</v>
      </c>
      <c r="N6334" t="s">
        <v>1525</v>
      </c>
      <c r="O6334" t="s">
        <v>1526</v>
      </c>
      <c r="R6334" t="s">
        <v>57</v>
      </c>
      <c r="S6334">
        <v>5</v>
      </c>
      <c r="T6334">
        <v>772</v>
      </c>
      <c r="U6334" s="1">
        <v>40413</v>
      </c>
      <c r="V6334" t="s">
        <v>80</v>
      </c>
      <c r="W6334" t="s">
        <v>81</v>
      </c>
      <c r="X6334" t="s">
        <v>58</v>
      </c>
      <c r="Y6334">
        <v>25</v>
      </c>
      <c r="Z6334" t="s">
        <v>59</v>
      </c>
      <c r="AA6334" t="s">
        <v>59</v>
      </c>
      <c r="AB6334" t="s">
        <v>59</v>
      </c>
      <c r="AC6334" t="s">
        <v>59</v>
      </c>
      <c r="AD6334" t="s">
        <v>59</v>
      </c>
      <c r="AF6334" s="1">
        <v>40413</v>
      </c>
      <c r="AG6334" t="s">
        <v>8651</v>
      </c>
      <c r="AH6334" t="s">
        <v>8652</v>
      </c>
      <c r="AI6334" t="str">
        <f>"9170053"</f>
        <v>9170053</v>
      </c>
      <c r="AJ6334" t="s">
        <v>10579</v>
      </c>
      <c r="AK6334">
        <v>2810262835</v>
      </c>
      <c r="AL6334" t="s">
        <v>10580</v>
      </c>
      <c r="AM6334" t="s">
        <v>78</v>
      </c>
      <c r="AN6334" t="s">
        <v>78</v>
      </c>
      <c r="AO6334" t="s">
        <v>78</v>
      </c>
      <c r="AP6334" t="s">
        <v>141</v>
      </c>
      <c r="AQ6334">
        <v>1</v>
      </c>
      <c r="AR6334" t="s">
        <v>80</v>
      </c>
      <c r="AS6334" t="s">
        <v>81</v>
      </c>
      <c r="AT6334" t="s">
        <v>58</v>
      </c>
      <c r="AU6334" t="s">
        <v>68</v>
      </c>
      <c r="AV6334" t="s">
        <v>69</v>
      </c>
      <c r="AW6334" s="1">
        <v>29298</v>
      </c>
      <c r="AX6334">
        <v>1</v>
      </c>
    </row>
    <row r="6335" spans="1:50">
      <c r="A6335">
        <v>602180</v>
      </c>
      <c r="B6335" t="str">
        <f>"061243503"</f>
        <v>061243503</v>
      </c>
      <c r="C6335" t="s">
        <v>50</v>
      </c>
      <c r="D6335" t="s">
        <v>10771</v>
      </c>
      <c r="E6335" t="s">
        <v>52</v>
      </c>
      <c r="F6335" t="s">
        <v>72</v>
      </c>
      <c r="G6335" t="s">
        <v>155</v>
      </c>
      <c r="H6335" t="str">
        <f>" "</f>
        <v xml:space="preserve"> </v>
      </c>
      <c r="J6335">
        <v>2641027997</v>
      </c>
      <c r="K6335">
        <v>6977332771</v>
      </c>
      <c r="N6335" t="s">
        <v>615</v>
      </c>
      <c r="O6335" t="s">
        <v>616</v>
      </c>
      <c r="R6335" t="s">
        <v>57</v>
      </c>
      <c r="S6335">
        <v>10</v>
      </c>
      <c r="T6335">
        <v>207</v>
      </c>
      <c r="U6335" s="1">
        <v>37866</v>
      </c>
      <c r="V6335" t="s">
        <v>80</v>
      </c>
      <c r="W6335" t="s">
        <v>81</v>
      </c>
      <c r="X6335" t="s">
        <v>58</v>
      </c>
      <c r="Y6335">
        <v>22</v>
      </c>
      <c r="Z6335" t="s">
        <v>59</v>
      </c>
      <c r="AA6335" t="s">
        <v>59</v>
      </c>
      <c r="AB6335" t="s">
        <v>59</v>
      </c>
      <c r="AC6335" t="s">
        <v>59</v>
      </c>
      <c r="AD6335" t="s">
        <v>59</v>
      </c>
      <c r="AF6335" s="1">
        <v>37866</v>
      </c>
      <c r="AG6335" t="s">
        <v>8645</v>
      </c>
      <c r="AH6335" t="s">
        <v>8646</v>
      </c>
      <c r="AI6335" t="str">
        <f>"9170191"</f>
        <v>9170191</v>
      </c>
      <c r="AJ6335" t="s">
        <v>8667</v>
      </c>
      <c r="AK6335">
        <v>2810231459</v>
      </c>
      <c r="AL6335" t="s">
        <v>8668</v>
      </c>
      <c r="AM6335" t="s">
        <v>78</v>
      </c>
      <c r="AN6335" t="s">
        <v>78</v>
      </c>
      <c r="AO6335" t="s">
        <v>78</v>
      </c>
      <c r="AP6335" t="s">
        <v>163</v>
      </c>
      <c r="AQ6335">
        <v>1</v>
      </c>
      <c r="AR6335" t="s">
        <v>80</v>
      </c>
      <c r="AS6335" t="s">
        <v>81</v>
      </c>
      <c r="AT6335" t="s">
        <v>58</v>
      </c>
      <c r="AU6335" t="s">
        <v>68</v>
      </c>
      <c r="AV6335" t="s">
        <v>69</v>
      </c>
      <c r="AW6335" s="1">
        <v>27449</v>
      </c>
      <c r="AX6335">
        <v>1</v>
      </c>
    </row>
    <row r="6336" spans="1:50">
      <c r="B6336" t="str">
        <f>"127239073"</f>
        <v>127239073</v>
      </c>
      <c r="C6336" t="s">
        <v>50</v>
      </c>
      <c r="D6336" t="s">
        <v>10772</v>
      </c>
      <c r="E6336" t="s">
        <v>5556</v>
      </c>
      <c r="F6336" t="s">
        <v>99</v>
      </c>
      <c r="G6336" t="s">
        <v>4717</v>
      </c>
      <c r="H6336" t="str">
        <f>"ΓΑΥΔΟΥ 2 "</f>
        <v xml:space="preserve">ΓΑΥΔΟΥ 2 </v>
      </c>
      <c r="I6336">
        <v>56625</v>
      </c>
      <c r="J6336">
        <v>2422024964</v>
      </c>
      <c r="K6336">
        <v>6981653147</v>
      </c>
      <c r="N6336" t="s">
        <v>204</v>
      </c>
      <c r="O6336" t="s">
        <v>205</v>
      </c>
      <c r="R6336" t="s">
        <v>159</v>
      </c>
      <c r="S6336">
        <v>4</v>
      </c>
      <c r="T6336" t="s">
        <v>8675</v>
      </c>
      <c r="U6336" s="1">
        <v>43348</v>
      </c>
      <c r="V6336" t="s">
        <v>80</v>
      </c>
      <c r="W6336" t="s">
        <v>81</v>
      </c>
      <c r="X6336" t="s">
        <v>58</v>
      </c>
      <c r="Y6336">
        <v>24</v>
      </c>
      <c r="Z6336" t="s">
        <v>59</v>
      </c>
      <c r="AA6336" t="s">
        <v>59</v>
      </c>
      <c r="AB6336" t="s">
        <v>59</v>
      </c>
      <c r="AC6336" t="s">
        <v>59</v>
      </c>
      <c r="AD6336" t="s">
        <v>59</v>
      </c>
      <c r="AF6336" s="1">
        <v>43348</v>
      </c>
      <c r="AG6336" t="s">
        <v>8645</v>
      </c>
      <c r="AH6336" t="s">
        <v>8646</v>
      </c>
      <c r="AI6336" t="str">
        <f>"9170495"</f>
        <v>9170495</v>
      </c>
      <c r="AJ6336" t="s">
        <v>8838</v>
      </c>
      <c r="AK6336">
        <v>2892023325</v>
      </c>
      <c r="AL6336" t="s">
        <v>8839</v>
      </c>
      <c r="AM6336" t="s">
        <v>78</v>
      </c>
      <c r="AN6336" t="s">
        <v>242</v>
      </c>
      <c r="AO6336" t="s">
        <v>243</v>
      </c>
      <c r="AP6336" t="s">
        <v>243</v>
      </c>
      <c r="AQ6336">
        <v>20</v>
      </c>
      <c r="AR6336" t="s">
        <v>80</v>
      </c>
      <c r="AS6336" t="s">
        <v>81</v>
      </c>
      <c r="AT6336" t="s">
        <v>58</v>
      </c>
      <c r="AU6336" t="s">
        <v>8673</v>
      </c>
      <c r="AV6336" t="s">
        <v>132</v>
      </c>
      <c r="AW6336" s="1">
        <v>29088</v>
      </c>
      <c r="AX6336">
        <v>1</v>
      </c>
    </row>
    <row r="6337" spans="1:50">
      <c r="B6337" t="str">
        <f>"077273157"</f>
        <v>077273157</v>
      </c>
      <c r="C6337" t="s">
        <v>105</v>
      </c>
      <c r="D6337" t="s">
        <v>10773</v>
      </c>
      <c r="E6337" t="s">
        <v>670</v>
      </c>
      <c r="F6337" t="s">
        <v>383</v>
      </c>
      <c r="G6337" t="s">
        <v>964</v>
      </c>
      <c r="H6337" t="str">
        <f>"ΛΑΜΙΑΣ 14 ΑΜΠΕΛΟΚΗΠΟΙ"</f>
        <v>ΛΑΜΙΑΣ 14 ΑΜΠΕΛΟΚΗΠΟΙ</v>
      </c>
      <c r="I6337">
        <v>11523</v>
      </c>
      <c r="K6337">
        <v>6934899574</v>
      </c>
      <c r="N6337" t="s">
        <v>337</v>
      </c>
      <c r="O6337" t="s">
        <v>338</v>
      </c>
      <c r="R6337" t="s">
        <v>121</v>
      </c>
      <c r="S6337">
        <v>1</v>
      </c>
      <c r="T6337" t="s">
        <v>8675</v>
      </c>
      <c r="U6337" s="1">
        <v>43348</v>
      </c>
      <c r="V6337" t="s">
        <v>80</v>
      </c>
      <c r="W6337" t="s">
        <v>81</v>
      </c>
      <c r="X6337" t="s">
        <v>58</v>
      </c>
      <c r="Y6337">
        <v>24</v>
      </c>
      <c r="Z6337" t="s">
        <v>59</v>
      </c>
      <c r="AA6337" t="s">
        <v>59</v>
      </c>
      <c r="AB6337" t="s">
        <v>59</v>
      </c>
      <c r="AD6337" t="s">
        <v>59</v>
      </c>
      <c r="AF6337" s="1">
        <v>43348</v>
      </c>
      <c r="AG6337" t="s">
        <v>8645</v>
      </c>
      <c r="AH6337" t="s">
        <v>8646</v>
      </c>
      <c r="AI6337" t="str">
        <f>"9170056"</f>
        <v>9170056</v>
      </c>
      <c r="AJ6337" t="s">
        <v>9137</v>
      </c>
      <c r="AK6337">
        <v>2810253392</v>
      </c>
      <c r="AL6337" t="s">
        <v>9138</v>
      </c>
      <c r="AM6337" t="s">
        <v>78</v>
      </c>
      <c r="AN6337" t="s">
        <v>78</v>
      </c>
      <c r="AO6337" t="s">
        <v>78</v>
      </c>
      <c r="AP6337" t="s">
        <v>141</v>
      </c>
      <c r="AQ6337">
        <v>1</v>
      </c>
      <c r="AR6337" t="s">
        <v>80</v>
      </c>
      <c r="AS6337" t="s">
        <v>81</v>
      </c>
      <c r="AT6337" t="s">
        <v>58</v>
      </c>
      <c r="AU6337" t="s">
        <v>8673</v>
      </c>
      <c r="AV6337" t="s">
        <v>132</v>
      </c>
      <c r="AW6337" s="1">
        <v>30550</v>
      </c>
      <c r="AX6337">
        <v>1</v>
      </c>
    </row>
    <row r="6338" spans="1:50">
      <c r="B6338" t="str">
        <f>"035484849"</f>
        <v>035484849</v>
      </c>
      <c r="C6338" t="s">
        <v>50</v>
      </c>
      <c r="D6338" t="s">
        <v>10774</v>
      </c>
      <c r="E6338" t="s">
        <v>263</v>
      </c>
      <c r="F6338" t="s">
        <v>309</v>
      </c>
      <c r="G6338" t="s">
        <v>181</v>
      </c>
      <c r="H6338" t="str">
        <f>"ΑΓΙΟΣ ΠΕΤΡΟΣ ΚΙΛΚΙΣ"</f>
        <v>ΑΓΙΟΣ ΠΕΤΡΟΣ ΚΙΛΚΙΣ</v>
      </c>
      <c r="I6338">
        <v>57100</v>
      </c>
      <c r="J6338">
        <v>2343061761</v>
      </c>
      <c r="K6338">
        <v>6974160636</v>
      </c>
      <c r="L6338">
        <v>6983515868</v>
      </c>
      <c r="M6338" t="s">
        <v>10775</v>
      </c>
      <c r="N6338" t="s">
        <v>1525</v>
      </c>
      <c r="O6338" t="s">
        <v>1526</v>
      </c>
      <c r="R6338" t="s">
        <v>159</v>
      </c>
      <c r="S6338">
        <v>4</v>
      </c>
      <c r="T6338" t="s">
        <v>8670</v>
      </c>
      <c r="U6338" s="1">
        <v>43348</v>
      </c>
      <c r="V6338" t="s">
        <v>80</v>
      </c>
      <c r="W6338" t="s">
        <v>81</v>
      </c>
      <c r="X6338" t="s">
        <v>58</v>
      </c>
      <c r="Y6338">
        <v>25</v>
      </c>
      <c r="Z6338" t="s">
        <v>59</v>
      </c>
      <c r="AA6338" t="s">
        <v>59</v>
      </c>
      <c r="AB6338" t="s">
        <v>59</v>
      </c>
      <c r="AC6338" t="s">
        <v>59</v>
      </c>
      <c r="AD6338" t="s">
        <v>59</v>
      </c>
      <c r="AF6338" s="1">
        <v>43348</v>
      </c>
      <c r="AG6338" t="s">
        <v>8651</v>
      </c>
      <c r="AH6338" t="s">
        <v>8652</v>
      </c>
      <c r="AI6338" t="str">
        <f>"9170567"</f>
        <v>9170567</v>
      </c>
      <c r="AJ6338" t="s">
        <v>10776</v>
      </c>
      <c r="AK6338">
        <v>2897024060</v>
      </c>
      <c r="AL6338" t="s">
        <v>10777</v>
      </c>
      <c r="AM6338" t="s">
        <v>78</v>
      </c>
      <c r="AN6338" t="s">
        <v>219</v>
      </c>
      <c r="AO6338" t="s">
        <v>219</v>
      </c>
      <c r="AP6338" t="s">
        <v>219</v>
      </c>
      <c r="AQ6338">
        <v>8</v>
      </c>
      <c r="AR6338" t="s">
        <v>80</v>
      </c>
      <c r="AS6338" t="s">
        <v>81</v>
      </c>
      <c r="AT6338" t="s">
        <v>58</v>
      </c>
      <c r="AU6338" t="s">
        <v>8673</v>
      </c>
      <c r="AV6338" t="s">
        <v>132</v>
      </c>
      <c r="AW6338" s="1">
        <v>29757</v>
      </c>
      <c r="AX6338">
        <v>1</v>
      </c>
    </row>
    <row r="6339" spans="1:50">
      <c r="B6339" t="str">
        <f>"139521672"</f>
        <v>139521672</v>
      </c>
      <c r="C6339" t="s">
        <v>50</v>
      </c>
      <c r="D6339" t="s">
        <v>10778</v>
      </c>
      <c r="E6339" t="s">
        <v>255</v>
      </c>
      <c r="F6339" t="s">
        <v>72</v>
      </c>
      <c r="G6339" t="s">
        <v>1383</v>
      </c>
      <c r="H6339" t="str">
        <f>"Γ.ΜΑΝΟΥ 12 "</f>
        <v xml:space="preserve">Γ.ΜΑΝΟΥ 12 </v>
      </c>
      <c r="I6339">
        <v>62300</v>
      </c>
      <c r="J6339">
        <v>2323024063</v>
      </c>
      <c r="K6339">
        <v>6972848123</v>
      </c>
      <c r="N6339" t="s">
        <v>615</v>
      </c>
      <c r="O6339" t="s">
        <v>616</v>
      </c>
      <c r="R6339" t="s">
        <v>159</v>
      </c>
      <c r="S6339">
        <v>3</v>
      </c>
      <c r="T6339" t="s">
        <v>8675</v>
      </c>
      <c r="U6339" s="1">
        <v>43348</v>
      </c>
      <c r="V6339" t="s">
        <v>80</v>
      </c>
      <c r="W6339" t="s">
        <v>81</v>
      </c>
      <c r="X6339" t="s">
        <v>58</v>
      </c>
      <c r="Y6339">
        <v>24</v>
      </c>
      <c r="Z6339" t="s">
        <v>59</v>
      </c>
      <c r="AA6339" t="s">
        <v>59</v>
      </c>
      <c r="AB6339" t="s">
        <v>59</v>
      </c>
      <c r="AC6339" t="s">
        <v>59</v>
      </c>
      <c r="AD6339" t="s">
        <v>59</v>
      </c>
      <c r="AF6339" s="1">
        <v>43348</v>
      </c>
      <c r="AG6339" t="s">
        <v>8645</v>
      </c>
      <c r="AH6339" t="s">
        <v>8646</v>
      </c>
      <c r="AI6339" t="str">
        <f>"9170250"</f>
        <v>9170250</v>
      </c>
      <c r="AJ6339" t="s">
        <v>8823</v>
      </c>
      <c r="AK6339">
        <v>2897022005</v>
      </c>
      <c r="AL6339" t="s">
        <v>8824</v>
      </c>
      <c r="AM6339" t="s">
        <v>78</v>
      </c>
      <c r="AN6339" t="s">
        <v>219</v>
      </c>
      <c r="AO6339" t="s">
        <v>219</v>
      </c>
      <c r="AP6339" t="s">
        <v>219</v>
      </c>
      <c r="AQ6339">
        <v>8</v>
      </c>
      <c r="AR6339" t="s">
        <v>80</v>
      </c>
      <c r="AS6339" t="s">
        <v>81</v>
      </c>
      <c r="AT6339" t="s">
        <v>58</v>
      </c>
      <c r="AU6339" t="s">
        <v>8673</v>
      </c>
      <c r="AV6339" t="s">
        <v>132</v>
      </c>
      <c r="AW6339" s="1">
        <v>31700</v>
      </c>
      <c r="AX6339">
        <v>1</v>
      </c>
    </row>
    <row r="6340" spans="1:50">
      <c r="A6340">
        <v>580993</v>
      </c>
      <c r="B6340" t="str">
        <f>"064126088"</f>
        <v>064126088</v>
      </c>
      <c r="C6340" t="s">
        <v>50</v>
      </c>
      <c r="D6340" t="s">
        <v>10779</v>
      </c>
      <c r="E6340" t="s">
        <v>964</v>
      </c>
      <c r="F6340" t="s">
        <v>450</v>
      </c>
      <c r="G6340" t="s">
        <v>1176</v>
      </c>
      <c r="H6340" t="str">
        <f>"ΙΣΜΗΝΗΣ 3 ΗΡΑΚΛΕΙΟ"</f>
        <v>ΙΣΜΗΝΗΣ 3 ΗΡΑΚΛΕΙΟ</v>
      </c>
      <c r="I6340">
        <v>71305</v>
      </c>
      <c r="J6340">
        <v>2811103395</v>
      </c>
      <c r="K6340">
        <v>6934715093</v>
      </c>
      <c r="M6340" t="s">
        <v>10780</v>
      </c>
      <c r="N6340" t="s">
        <v>615</v>
      </c>
      <c r="O6340" t="s">
        <v>616</v>
      </c>
      <c r="R6340" t="s">
        <v>57</v>
      </c>
      <c r="S6340">
        <v>13</v>
      </c>
      <c r="T6340">
        <v>179</v>
      </c>
      <c r="U6340" s="1">
        <v>35674</v>
      </c>
      <c r="V6340" t="s">
        <v>80</v>
      </c>
      <c r="W6340" t="s">
        <v>81</v>
      </c>
      <c r="X6340" t="s">
        <v>58</v>
      </c>
      <c r="Y6340">
        <v>21</v>
      </c>
      <c r="Z6340" t="s">
        <v>59</v>
      </c>
      <c r="AA6340" t="s">
        <v>59</v>
      </c>
      <c r="AB6340" t="s">
        <v>59</v>
      </c>
      <c r="AC6340" t="s">
        <v>59</v>
      </c>
      <c r="AD6340" t="s">
        <v>59</v>
      </c>
      <c r="AF6340" s="1">
        <v>35675</v>
      </c>
      <c r="AG6340" t="s">
        <v>8645</v>
      </c>
      <c r="AH6340" t="s">
        <v>8646</v>
      </c>
      <c r="AI6340" t="str">
        <f>"9170056"</f>
        <v>9170056</v>
      </c>
      <c r="AJ6340" t="s">
        <v>9137</v>
      </c>
      <c r="AK6340">
        <v>2810253392</v>
      </c>
      <c r="AL6340" t="s">
        <v>9138</v>
      </c>
      <c r="AM6340" t="s">
        <v>78</v>
      </c>
      <c r="AN6340" t="s">
        <v>78</v>
      </c>
      <c r="AO6340" t="s">
        <v>78</v>
      </c>
      <c r="AP6340" t="s">
        <v>141</v>
      </c>
      <c r="AQ6340">
        <v>1</v>
      </c>
      <c r="AR6340" t="s">
        <v>80</v>
      </c>
      <c r="AS6340" t="s">
        <v>81</v>
      </c>
      <c r="AT6340" t="s">
        <v>58</v>
      </c>
      <c r="AU6340" t="s">
        <v>68</v>
      </c>
      <c r="AV6340" t="s">
        <v>69</v>
      </c>
      <c r="AW6340" s="1">
        <v>24604</v>
      </c>
      <c r="AX6340">
        <v>1</v>
      </c>
    </row>
    <row r="6341" spans="1:50">
      <c r="A6341">
        <v>561081</v>
      </c>
      <c r="B6341" t="str">
        <f>"033201698"</f>
        <v>033201698</v>
      </c>
      <c r="C6341" t="s">
        <v>50</v>
      </c>
      <c r="D6341" t="s">
        <v>10781</v>
      </c>
      <c r="E6341" t="s">
        <v>52</v>
      </c>
      <c r="F6341" t="s">
        <v>84</v>
      </c>
      <c r="G6341" t="s">
        <v>610</v>
      </c>
      <c r="H6341" t="str">
        <f>"ΜΑΡΑΘΩΝΟΣ 15 ΗΡΑΚΛΕΙΟ"</f>
        <v>ΜΑΡΑΘΩΝΟΣ 15 ΗΡΑΚΛΕΙΟ</v>
      </c>
      <c r="I6341">
        <v>71307</v>
      </c>
      <c r="J6341">
        <v>2810346072</v>
      </c>
      <c r="K6341">
        <v>6945217271</v>
      </c>
      <c r="M6341" t="s">
        <v>10782</v>
      </c>
      <c r="N6341" t="s">
        <v>615</v>
      </c>
      <c r="O6341" t="s">
        <v>616</v>
      </c>
      <c r="R6341" t="s">
        <v>57</v>
      </c>
      <c r="S6341">
        <v>15</v>
      </c>
      <c r="T6341">
        <v>159</v>
      </c>
      <c r="U6341" s="1">
        <v>32391</v>
      </c>
      <c r="V6341" t="s">
        <v>80</v>
      </c>
      <c r="W6341" t="s">
        <v>81</v>
      </c>
      <c r="X6341" t="s">
        <v>58</v>
      </c>
      <c r="Y6341">
        <v>21</v>
      </c>
      <c r="Z6341" t="s">
        <v>59</v>
      </c>
      <c r="AA6341" t="s">
        <v>59</v>
      </c>
      <c r="AB6341" t="s">
        <v>59</v>
      </c>
      <c r="AC6341" t="s">
        <v>59</v>
      </c>
      <c r="AD6341" t="s">
        <v>59</v>
      </c>
      <c r="AF6341" s="1">
        <v>32391</v>
      </c>
      <c r="AG6341" t="s">
        <v>8645</v>
      </c>
      <c r="AH6341" t="s">
        <v>8646</v>
      </c>
      <c r="AI6341" t="str">
        <f>"9170343"</f>
        <v>9170343</v>
      </c>
      <c r="AJ6341" t="s">
        <v>8743</v>
      </c>
      <c r="AK6341">
        <v>2810283970</v>
      </c>
      <c r="AL6341" t="s">
        <v>8744</v>
      </c>
      <c r="AM6341" t="s">
        <v>78</v>
      </c>
      <c r="AN6341" t="s">
        <v>78</v>
      </c>
      <c r="AO6341" t="s">
        <v>78</v>
      </c>
      <c r="AP6341" t="s">
        <v>79</v>
      </c>
      <c r="AQ6341">
        <v>1</v>
      </c>
      <c r="AR6341" t="s">
        <v>80</v>
      </c>
      <c r="AS6341" t="s">
        <v>81</v>
      </c>
      <c r="AT6341" t="s">
        <v>58</v>
      </c>
      <c r="AU6341" t="s">
        <v>68</v>
      </c>
      <c r="AV6341" t="s">
        <v>69</v>
      </c>
      <c r="AW6341" s="1">
        <v>23784</v>
      </c>
      <c r="AX6341">
        <v>1</v>
      </c>
    </row>
    <row r="6342" spans="1:50">
      <c r="A6342">
        <v>563757</v>
      </c>
      <c r="B6342" t="str">
        <f>"031424757"</f>
        <v>031424757</v>
      </c>
      <c r="C6342" t="s">
        <v>105</v>
      </c>
      <c r="D6342" t="s">
        <v>10783</v>
      </c>
      <c r="E6342" t="s">
        <v>166</v>
      </c>
      <c r="F6342" t="s">
        <v>84</v>
      </c>
      <c r="G6342" t="s">
        <v>610</v>
      </c>
      <c r="H6342" t="str">
        <f>"ΜΑΡΑΘΩΝΟΣ 15 "</f>
        <v xml:space="preserve">ΜΑΡΑΘΩΝΟΣ 15 </v>
      </c>
      <c r="I6342">
        <v>71307</v>
      </c>
      <c r="J6342">
        <v>2810330860</v>
      </c>
      <c r="K6342">
        <v>6974750597</v>
      </c>
      <c r="M6342" t="s">
        <v>10784</v>
      </c>
      <c r="N6342" t="s">
        <v>615</v>
      </c>
      <c r="O6342" t="s">
        <v>616</v>
      </c>
      <c r="R6342" t="s">
        <v>57</v>
      </c>
      <c r="S6342">
        <v>18</v>
      </c>
      <c r="T6342">
        <v>161</v>
      </c>
      <c r="U6342" s="1">
        <v>33119</v>
      </c>
      <c r="V6342" t="s">
        <v>80</v>
      </c>
      <c r="W6342" t="s">
        <v>81</v>
      </c>
      <c r="X6342" t="s">
        <v>58</v>
      </c>
      <c r="Y6342">
        <v>21</v>
      </c>
      <c r="Z6342" t="s">
        <v>59</v>
      </c>
      <c r="AA6342" t="s">
        <v>59</v>
      </c>
      <c r="AB6342" t="s">
        <v>59</v>
      </c>
      <c r="AC6342" t="s">
        <v>59</v>
      </c>
      <c r="AD6342" t="s">
        <v>59</v>
      </c>
      <c r="AF6342" s="1">
        <v>33120</v>
      </c>
      <c r="AG6342" t="s">
        <v>8645</v>
      </c>
      <c r="AH6342" t="s">
        <v>8646</v>
      </c>
      <c r="AI6342" t="str">
        <f>"9170254"</f>
        <v>9170254</v>
      </c>
      <c r="AJ6342" t="s">
        <v>9839</v>
      </c>
      <c r="AK6342">
        <v>2810245069</v>
      </c>
      <c r="AL6342" t="s">
        <v>9840</v>
      </c>
      <c r="AM6342" t="s">
        <v>78</v>
      </c>
      <c r="AN6342" t="s">
        <v>78</v>
      </c>
      <c r="AO6342" t="s">
        <v>78</v>
      </c>
      <c r="AP6342" t="s">
        <v>213</v>
      </c>
      <c r="AQ6342">
        <v>1</v>
      </c>
      <c r="AR6342" t="s">
        <v>80</v>
      </c>
      <c r="AS6342" t="s">
        <v>81</v>
      </c>
      <c r="AT6342" t="s">
        <v>58</v>
      </c>
      <c r="AU6342" t="s">
        <v>68</v>
      </c>
      <c r="AV6342" t="s">
        <v>69</v>
      </c>
      <c r="AW6342" s="1">
        <v>23390</v>
      </c>
      <c r="AX6342">
        <v>1</v>
      </c>
    </row>
    <row r="6343" spans="1:50">
      <c r="A6343">
        <v>704016</v>
      </c>
      <c r="B6343" t="str">
        <f>"062594362"</f>
        <v>062594362</v>
      </c>
      <c r="C6343" t="s">
        <v>50</v>
      </c>
      <c r="D6343" t="s">
        <v>10785</v>
      </c>
      <c r="E6343" t="s">
        <v>155</v>
      </c>
      <c r="F6343" t="s">
        <v>95</v>
      </c>
      <c r="G6343" t="s">
        <v>109</v>
      </c>
      <c r="H6343" t="str">
        <f>"ΚΕΡΑΣΟΥΝΤΟΣ 4 "</f>
        <v xml:space="preserve">ΚΕΡΑΣΟΥΝΤΟΣ 4 </v>
      </c>
      <c r="I6343">
        <v>54453</v>
      </c>
      <c r="J6343">
        <v>2310936064</v>
      </c>
      <c r="K6343">
        <v>6974212759</v>
      </c>
      <c r="N6343" t="s">
        <v>1525</v>
      </c>
      <c r="O6343" t="s">
        <v>1526</v>
      </c>
      <c r="R6343" t="s">
        <v>57</v>
      </c>
      <c r="S6343">
        <v>4</v>
      </c>
      <c r="T6343">
        <v>1350</v>
      </c>
      <c r="U6343" s="1">
        <v>42732</v>
      </c>
      <c r="V6343" t="s">
        <v>80</v>
      </c>
      <c r="W6343" t="s">
        <v>81</v>
      </c>
      <c r="X6343" t="s">
        <v>58</v>
      </c>
      <c r="Y6343">
        <v>25</v>
      </c>
      <c r="Z6343" t="s">
        <v>59</v>
      </c>
      <c r="AA6343" t="s">
        <v>59</v>
      </c>
      <c r="AB6343" t="s">
        <v>59</v>
      </c>
      <c r="AC6343" t="s">
        <v>59</v>
      </c>
      <c r="AD6343" t="s">
        <v>59</v>
      </c>
      <c r="AF6343" s="1">
        <v>42734</v>
      </c>
      <c r="AG6343" t="s">
        <v>8651</v>
      </c>
      <c r="AH6343" t="s">
        <v>8652</v>
      </c>
      <c r="AI6343" t="str">
        <f>"9170420"</f>
        <v>9170420</v>
      </c>
      <c r="AJ6343" t="s">
        <v>9969</v>
      </c>
      <c r="AK6343">
        <v>2892042820</v>
      </c>
      <c r="AL6343" t="s">
        <v>9970</v>
      </c>
      <c r="AM6343" t="s">
        <v>78</v>
      </c>
      <c r="AN6343" t="s">
        <v>242</v>
      </c>
      <c r="AO6343" t="s">
        <v>243</v>
      </c>
      <c r="AP6343" t="s">
        <v>9285</v>
      </c>
      <c r="AQ6343">
        <v>18</v>
      </c>
      <c r="AR6343" t="s">
        <v>80</v>
      </c>
      <c r="AS6343" t="s">
        <v>81</v>
      </c>
      <c r="AT6343" t="s">
        <v>58</v>
      </c>
      <c r="AU6343" t="s">
        <v>68</v>
      </c>
      <c r="AV6343" t="s">
        <v>69</v>
      </c>
      <c r="AW6343" s="1">
        <v>31461</v>
      </c>
      <c r="AX6343">
        <v>1</v>
      </c>
    </row>
    <row r="6344" spans="1:50">
      <c r="A6344">
        <v>614000</v>
      </c>
      <c r="B6344" t="str">
        <f>"103265441"</f>
        <v>103265441</v>
      </c>
      <c r="C6344" t="s">
        <v>50</v>
      </c>
      <c r="D6344" t="s">
        <v>10786</v>
      </c>
      <c r="E6344" t="s">
        <v>83</v>
      </c>
      <c r="F6344" t="s">
        <v>106</v>
      </c>
      <c r="G6344" t="s">
        <v>237</v>
      </c>
      <c r="H6344" t="str">
        <f>"ΔΗΜΟΚΡΑΤΙΑΣ 19 ΜΑΛΙΑ"</f>
        <v>ΔΗΜΟΚΡΑΤΙΑΣ 19 ΜΑΛΙΑ</v>
      </c>
      <c r="I6344">
        <v>70007</v>
      </c>
      <c r="J6344">
        <v>2897032664</v>
      </c>
      <c r="K6344">
        <v>6978330962</v>
      </c>
      <c r="N6344" t="s">
        <v>615</v>
      </c>
      <c r="O6344" t="s">
        <v>616</v>
      </c>
      <c r="R6344" t="s">
        <v>57</v>
      </c>
      <c r="S6344">
        <v>7</v>
      </c>
      <c r="T6344">
        <v>598</v>
      </c>
      <c r="U6344" s="1">
        <v>39328</v>
      </c>
      <c r="V6344" t="s">
        <v>80</v>
      </c>
      <c r="W6344" t="s">
        <v>81</v>
      </c>
      <c r="X6344" t="s">
        <v>58</v>
      </c>
      <c r="Y6344">
        <v>23</v>
      </c>
      <c r="Z6344" t="s">
        <v>59</v>
      </c>
      <c r="AA6344" t="s">
        <v>59</v>
      </c>
      <c r="AB6344" t="s">
        <v>59</v>
      </c>
      <c r="AC6344" t="s">
        <v>59</v>
      </c>
      <c r="AD6344" t="s">
        <v>59</v>
      </c>
      <c r="AF6344" s="1">
        <v>39328</v>
      </c>
      <c r="AG6344" t="s">
        <v>8645</v>
      </c>
      <c r="AH6344" t="s">
        <v>8646</v>
      </c>
      <c r="AI6344" t="str">
        <f>"9170242"</f>
        <v>9170242</v>
      </c>
      <c r="AJ6344" t="s">
        <v>9314</v>
      </c>
      <c r="AK6344">
        <v>2897031254</v>
      </c>
      <c r="AL6344" t="s">
        <v>9315</v>
      </c>
      <c r="AM6344" t="s">
        <v>78</v>
      </c>
      <c r="AN6344" t="s">
        <v>219</v>
      </c>
      <c r="AO6344" t="s">
        <v>527</v>
      </c>
      <c r="AP6344" t="s">
        <v>527</v>
      </c>
      <c r="AQ6344">
        <v>8</v>
      </c>
      <c r="AR6344" t="s">
        <v>80</v>
      </c>
      <c r="AS6344" t="s">
        <v>81</v>
      </c>
      <c r="AT6344" t="s">
        <v>58</v>
      </c>
      <c r="AU6344" t="s">
        <v>68</v>
      </c>
      <c r="AV6344" t="s">
        <v>69</v>
      </c>
      <c r="AW6344" s="1">
        <v>30867</v>
      </c>
      <c r="AX6344">
        <v>1</v>
      </c>
    </row>
    <row r="6345" spans="1:50">
      <c r="A6345">
        <v>568648</v>
      </c>
      <c r="B6345" t="str">
        <f>"035191555"</f>
        <v>035191555</v>
      </c>
      <c r="C6345" t="s">
        <v>50</v>
      </c>
      <c r="D6345" t="s">
        <v>10786</v>
      </c>
      <c r="E6345" t="s">
        <v>96</v>
      </c>
      <c r="F6345" t="s">
        <v>166</v>
      </c>
      <c r="G6345" t="s">
        <v>52</v>
      </c>
      <c r="H6345" t="str">
        <f>"ΣΙΒΑΣ ΠΥΡΓΙΩΤΙΣΣΗΣ ΗΡΑΚΛΕΙΟ"</f>
        <v>ΣΙΒΑΣ ΠΥΡΓΙΩΤΙΣΣΗΣ ΗΡΑΚΛΕΙΟ</v>
      </c>
      <c r="I6345">
        <v>70200</v>
      </c>
      <c r="K6345">
        <v>6977232934</v>
      </c>
      <c r="N6345" t="s">
        <v>615</v>
      </c>
      <c r="O6345" t="s">
        <v>616</v>
      </c>
      <c r="R6345" t="s">
        <v>57</v>
      </c>
      <c r="S6345">
        <v>14</v>
      </c>
      <c r="T6345" t="s">
        <v>10787</v>
      </c>
      <c r="U6345" s="1">
        <v>33851</v>
      </c>
      <c r="V6345" t="s">
        <v>80</v>
      </c>
      <c r="W6345" t="s">
        <v>81</v>
      </c>
      <c r="X6345" t="s">
        <v>58</v>
      </c>
      <c r="Y6345">
        <v>21</v>
      </c>
      <c r="Z6345" t="s">
        <v>59</v>
      </c>
      <c r="AA6345" t="s">
        <v>59</v>
      </c>
      <c r="AB6345" t="s">
        <v>59</v>
      </c>
      <c r="AC6345" t="s">
        <v>59</v>
      </c>
      <c r="AD6345" t="s">
        <v>59</v>
      </c>
      <c r="AF6345" s="1">
        <v>33851</v>
      </c>
      <c r="AG6345" t="s">
        <v>8645</v>
      </c>
      <c r="AH6345" t="s">
        <v>8646</v>
      </c>
      <c r="AI6345" t="str">
        <f>"9170345"</f>
        <v>9170345</v>
      </c>
      <c r="AJ6345" t="s">
        <v>9429</v>
      </c>
      <c r="AK6345">
        <v>2810289563</v>
      </c>
      <c r="AL6345" t="s">
        <v>9430</v>
      </c>
      <c r="AM6345" t="s">
        <v>78</v>
      </c>
      <c r="AN6345" t="s">
        <v>78</v>
      </c>
      <c r="AO6345" t="s">
        <v>78</v>
      </c>
      <c r="AP6345" t="s">
        <v>79</v>
      </c>
      <c r="AQ6345">
        <v>1</v>
      </c>
      <c r="AR6345" t="s">
        <v>80</v>
      </c>
      <c r="AS6345" t="s">
        <v>81</v>
      </c>
      <c r="AT6345" t="s">
        <v>58</v>
      </c>
      <c r="AU6345" t="s">
        <v>68</v>
      </c>
      <c r="AV6345" t="s">
        <v>69</v>
      </c>
      <c r="AW6345" s="1">
        <v>24000</v>
      </c>
      <c r="AX6345">
        <v>1</v>
      </c>
    </row>
    <row r="6346" spans="1:50">
      <c r="A6346">
        <v>550783</v>
      </c>
      <c r="B6346" t="str">
        <f>"027985970"</f>
        <v>027985970</v>
      </c>
      <c r="C6346" t="s">
        <v>105</v>
      </c>
      <c r="D6346" t="s">
        <v>10788</v>
      </c>
      <c r="E6346" t="s">
        <v>646</v>
      </c>
      <c r="F6346" t="s">
        <v>53</v>
      </c>
      <c r="G6346" t="s">
        <v>237</v>
      </c>
      <c r="H6346" t="str">
        <f>"ΠΑΡΑΛΙΑΚΟΣ ΜΑΛΙΩΝ ΣΤΑΛΙΔΑ ΜΑΛΙΑ"</f>
        <v>ΠΑΡΑΛΙΑΚΟΣ ΜΑΛΙΩΝ ΣΤΑΛΙΔΑ ΜΑΛΙΑ</v>
      </c>
      <c r="I6346">
        <v>70007</v>
      </c>
      <c r="J6346">
        <v>2897029860</v>
      </c>
      <c r="K6346">
        <v>6977688709</v>
      </c>
      <c r="M6346" t="s">
        <v>10789</v>
      </c>
      <c r="N6346" t="s">
        <v>615</v>
      </c>
      <c r="O6346" t="s">
        <v>616</v>
      </c>
      <c r="R6346" t="s">
        <v>57</v>
      </c>
      <c r="S6346">
        <v>17</v>
      </c>
      <c r="T6346">
        <v>393</v>
      </c>
      <c r="U6346" s="1">
        <v>30655</v>
      </c>
      <c r="V6346" t="s">
        <v>80</v>
      </c>
      <c r="W6346" t="s">
        <v>81</v>
      </c>
      <c r="X6346" t="s">
        <v>58</v>
      </c>
      <c r="Y6346">
        <v>21</v>
      </c>
      <c r="Z6346" t="s">
        <v>59</v>
      </c>
      <c r="AA6346" t="s">
        <v>59</v>
      </c>
      <c r="AB6346" t="s">
        <v>59</v>
      </c>
      <c r="AC6346" t="s">
        <v>59</v>
      </c>
      <c r="AD6346" t="s">
        <v>59</v>
      </c>
      <c r="AF6346" s="1">
        <v>30666</v>
      </c>
      <c r="AG6346" t="s">
        <v>8645</v>
      </c>
      <c r="AH6346" t="s">
        <v>8646</v>
      </c>
      <c r="AI6346" t="str">
        <f>"9170242"</f>
        <v>9170242</v>
      </c>
      <c r="AJ6346" t="s">
        <v>9314</v>
      </c>
      <c r="AK6346">
        <v>2897031254</v>
      </c>
      <c r="AL6346" t="s">
        <v>9315</v>
      </c>
      <c r="AM6346" t="s">
        <v>78</v>
      </c>
      <c r="AN6346" t="s">
        <v>219</v>
      </c>
      <c r="AO6346" t="s">
        <v>527</v>
      </c>
      <c r="AP6346" t="s">
        <v>527</v>
      </c>
      <c r="AQ6346">
        <v>8</v>
      </c>
      <c r="AR6346" t="s">
        <v>80</v>
      </c>
      <c r="AS6346" t="s">
        <v>81</v>
      </c>
      <c r="AT6346" t="s">
        <v>58</v>
      </c>
      <c r="AU6346" t="s">
        <v>68</v>
      </c>
      <c r="AV6346" t="s">
        <v>69</v>
      </c>
      <c r="AW6346" s="1">
        <v>22536</v>
      </c>
      <c r="AX6346">
        <v>1</v>
      </c>
    </row>
    <row r="6347" spans="1:50">
      <c r="A6347">
        <v>595800</v>
      </c>
      <c r="B6347" t="str">
        <f>"075862872"</f>
        <v>075862872</v>
      </c>
      <c r="C6347" t="s">
        <v>50</v>
      </c>
      <c r="D6347" t="s">
        <v>10790</v>
      </c>
      <c r="E6347" t="s">
        <v>215</v>
      </c>
      <c r="F6347" t="s">
        <v>84</v>
      </c>
      <c r="G6347" t="s">
        <v>1068</v>
      </c>
      <c r="H6347" t="str">
        <f>"ΑΝΑΛΗΨΗ ΧΕΡΣΟΝΗΣΟΥ "</f>
        <v xml:space="preserve">ΑΝΑΛΗΨΗ ΧΕΡΣΟΝΗΣΟΥ </v>
      </c>
      <c r="I6347">
        <v>70014</v>
      </c>
      <c r="K6347">
        <v>6973409242</v>
      </c>
      <c r="N6347" t="s">
        <v>1525</v>
      </c>
      <c r="O6347" t="s">
        <v>1526</v>
      </c>
      <c r="R6347" t="s">
        <v>57</v>
      </c>
      <c r="S6347">
        <v>8</v>
      </c>
      <c r="T6347">
        <v>218</v>
      </c>
      <c r="U6347" s="1">
        <v>37134</v>
      </c>
      <c r="V6347" t="s">
        <v>80</v>
      </c>
      <c r="W6347" t="s">
        <v>81</v>
      </c>
      <c r="X6347" t="s">
        <v>58</v>
      </c>
      <c r="Y6347">
        <v>25</v>
      </c>
      <c r="Z6347" t="s">
        <v>59</v>
      </c>
      <c r="AA6347" t="s">
        <v>59</v>
      </c>
      <c r="AB6347" t="s">
        <v>59</v>
      </c>
      <c r="AC6347" t="s">
        <v>59</v>
      </c>
      <c r="AD6347" t="s">
        <v>59</v>
      </c>
      <c r="AF6347" s="1">
        <v>37137</v>
      </c>
      <c r="AG6347" t="s">
        <v>8651</v>
      </c>
      <c r="AH6347" t="s">
        <v>8652</v>
      </c>
      <c r="AI6347" t="str">
        <f>"9170460"</f>
        <v>9170460</v>
      </c>
      <c r="AJ6347" t="s">
        <v>10024</v>
      </c>
      <c r="AK6347">
        <v>2897022010</v>
      </c>
      <c r="AL6347" t="s">
        <v>10025</v>
      </c>
      <c r="AM6347" t="s">
        <v>78</v>
      </c>
      <c r="AN6347" t="s">
        <v>219</v>
      </c>
      <c r="AO6347" t="s">
        <v>219</v>
      </c>
      <c r="AP6347" t="s">
        <v>220</v>
      </c>
      <c r="AQ6347">
        <v>8</v>
      </c>
      <c r="AR6347" t="s">
        <v>80</v>
      </c>
      <c r="AS6347" t="s">
        <v>81</v>
      </c>
      <c r="AT6347" t="s">
        <v>58</v>
      </c>
      <c r="AU6347" t="s">
        <v>68</v>
      </c>
      <c r="AV6347" t="s">
        <v>69</v>
      </c>
      <c r="AW6347" s="1">
        <v>25305</v>
      </c>
      <c r="AX6347">
        <v>1</v>
      </c>
    </row>
    <row r="6348" spans="1:50">
      <c r="A6348">
        <v>560727</v>
      </c>
      <c r="B6348" t="str">
        <f>"033696390"</f>
        <v>033696390</v>
      </c>
      <c r="C6348" t="s">
        <v>105</v>
      </c>
      <c r="D6348" t="s">
        <v>5163</v>
      </c>
      <c r="E6348" t="s">
        <v>166</v>
      </c>
      <c r="F6348" t="s">
        <v>106</v>
      </c>
      <c r="G6348" t="s">
        <v>73</v>
      </c>
      <c r="H6348" t="str">
        <f>" "</f>
        <v xml:space="preserve"> </v>
      </c>
      <c r="N6348" t="s">
        <v>615</v>
      </c>
      <c r="O6348" t="s">
        <v>616</v>
      </c>
      <c r="R6348" t="s">
        <v>57</v>
      </c>
      <c r="S6348">
        <v>15</v>
      </c>
      <c r="T6348">
        <v>169</v>
      </c>
      <c r="U6348" s="1">
        <v>32385</v>
      </c>
      <c r="V6348" t="s">
        <v>80</v>
      </c>
      <c r="W6348" t="s">
        <v>81</v>
      </c>
      <c r="X6348" t="s">
        <v>58</v>
      </c>
      <c r="Y6348">
        <v>21</v>
      </c>
      <c r="Z6348" t="s">
        <v>59</v>
      </c>
      <c r="AA6348" t="s">
        <v>59</v>
      </c>
      <c r="AB6348" t="s">
        <v>59</v>
      </c>
      <c r="AC6348" t="s">
        <v>59</v>
      </c>
      <c r="AD6348" t="s">
        <v>59</v>
      </c>
      <c r="AF6348" s="1">
        <v>32388</v>
      </c>
      <c r="AG6348" t="s">
        <v>8645</v>
      </c>
      <c r="AH6348" t="s">
        <v>8646</v>
      </c>
      <c r="AI6348" t="str">
        <f>"9170254"</f>
        <v>9170254</v>
      </c>
      <c r="AJ6348" t="s">
        <v>9839</v>
      </c>
      <c r="AK6348">
        <v>2810245069</v>
      </c>
      <c r="AL6348" t="s">
        <v>9840</v>
      </c>
      <c r="AM6348" t="s">
        <v>78</v>
      </c>
      <c r="AN6348" t="s">
        <v>78</v>
      </c>
      <c r="AO6348" t="s">
        <v>78</v>
      </c>
      <c r="AP6348" t="s">
        <v>213</v>
      </c>
      <c r="AQ6348">
        <v>1</v>
      </c>
      <c r="AR6348" t="s">
        <v>80</v>
      </c>
      <c r="AS6348" t="s">
        <v>81</v>
      </c>
      <c r="AT6348" t="s">
        <v>58</v>
      </c>
      <c r="AU6348" t="s">
        <v>68</v>
      </c>
      <c r="AV6348" t="s">
        <v>69</v>
      </c>
      <c r="AW6348" s="1">
        <v>22199</v>
      </c>
      <c r="AX6348">
        <v>1</v>
      </c>
    </row>
    <row r="6349" spans="1:50">
      <c r="B6349" t="str">
        <f>"146861160"</f>
        <v>146861160</v>
      </c>
      <c r="C6349" t="s">
        <v>50</v>
      </c>
      <c r="D6349" t="s">
        <v>10791</v>
      </c>
      <c r="E6349" t="s">
        <v>964</v>
      </c>
      <c r="F6349" t="s">
        <v>2227</v>
      </c>
      <c r="G6349" t="s">
        <v>263</v>
      </c>
      <c r="H6349" t="str">
        <f>"ΓΕΡΟΥΛΑΝΟΥ 106 "</f>
        <v xml:space="preserve">ΓΕΡΟΥΛΑΝΟΥ 106 </v>
      </c>
      <c r="I6349">
        <v>16452</v>
      </c>
      <c r="J6349">
        <v>2109969445</v>
      </c>
      <c r="K6349">
        <v>6938165771</v>
      </c>
      <c r="N6349" t="s">
        <v>1525</v>
      </c>
      <c r="O6349" t="s">
        <v>1526</v>
      </c>
      <c r="R6349" t="s">
        <v>159</v>
      </c>
      <c r="S6349">
        <v>5</v>
      </c>
      <c r="T6349" t="s">
        <v>8670</v>
      </c>
      <c r="U6349" s="1">
        <v>43348</v>
      </c>
      <c r="V6349" t="s">
        <v>80</v>
      </c>
      <c r="W6349" t="s">
        <v>81</v>
      </c>
      <c r="X6349" t="s">
        <v>58</v>
      </c>
      <c r="Y6349">
        <v>25</v>
      </c>
      <c r="Z6349" t="s">
        <v>59</v>
      </c>
      <c r="AA6349" t="s">
        <v>59</v>
      </c>
      <c r="AB6349" t="s">
        <v>59</v>
      </c>
      <c r="AC6349" t="s">
        <v>59</v>
      </c>
      <c r="AD6349" t="s">
        <v>59</v>
      </c>
      <c r="AF6349" s="1">
        <v>43348</v>
      </c>
      <c r="AG6349" t="s">
        <v>8651</v>
      </c>
      <c r="AH6349" t="s">
        <v>8652</v>
      </c>
      <c r="AI6349" t="str">
        <f>"9170505"</f>
        <v>9170505</v>
      </c>
      <c r="AJ6349" t="s">
        <v>9478</v>
      </c>
      <c r="AK6349">
        <v>2810243082</v>
      </c>
      <c r="AL6349" t="s">
        <v>9479</v>
      </c>
      <c r="AM6349" t="s">
        <v>78</v>
      </c>
      <c r="AN6349" t="s">
        <v>78</v>
      </c>
      <c r="AO6349" t="s">
        <v>78</v>
      </c>
      <c r="AP6349" t="s">
        <v>213</v>
      </c>
      <c r="AQ6349">
        <v>1</v>
      </c>
      <c r="AR6349" t="s">
        <v>80</v>
      </c>
      <c r="AS6349" t="s">
        <v>81</v>
      </c>
      <c r="AT6349" t="s">
        <v>58</v>
      </c>
      <c r="AU6349" t="s">
        <v>8673</v>
      </c>
      <c r="AV6349" t="s">
        <v>132</v>
      </c>
      <c r="AW6349" s="1">
        <v>31171</v>
      </c>
      <c r="AX6349">
        <v>1</v>
      </c>
    </row>
    <row r="6350" spans="1:50">
      <c r="A6350">
        <v>618463</v>
      </c>
      <c r="B6350" t="str">
        <f>"131737071"</f>
        <v>131737071</v>
      </c>
      <c r="C6350" t="s">
        <v>50</v>
      </c>
      <c r="D6350" t="s">
        <v>10792</v>
      </c>
      <c r="E6350" t="s">
        <v>476</v>
      </c>
      <c r="F6350" t="s">
        <v>84</v>
      </c>
      <c r="G6350" t="s">
        <v>2061</v>
      </c>
      <c r="H6350" t="str">
        <f>"28 ΟΚΤΩΒΡΙΟΥ 16 ΛΙΤΟΧΩΡΟ"</f>
        <v>28 ΟΚΤΩΒΡΙΟΥ 16 ΛΙΤΟΧΩΡΟ</v>
      </c>
      <c r="I6350">
        <v>60200</v>
      </c>
      <c r="J6350">
        <v>2352082788</v>
      </c>
      <c r="K6350">
        <v>6936757856</v>
      </c>
      <c r="L6350">
        <v>2817700028</v>
      </c>
      <c r="M6350" t="s">
        <v>10793</v>
      </c>
      <c r="N6350" t="s">
        <v>615</v>
      </c>
      <c r="O6350" t="s">
        <v>616</v>
      </c>
      <c r="R6350" t="s">
        <v>57</v>
      </c>
      <c r="S6350">
        <v>7</v>
      </c>
      <c r="T6350">
        <v>774</v>
      </c>
      <c r="U6350" s="1">
        <v>39680</v>
      </c>
      <c r="V6350" t="s">
        <v>80</v>
      </c>
      <c r="W6350" t="s">
        <v>81</v>
      </c>
      <c r="X6350" t="s">
        <v>58</v>
      </c>
      <c r="Y6350">
        <v>25</v>
      </c>
      <c r="Z6350" t="s">
        <v>59</v>
      </c>
      <c r="AA6350" t="s">
        <v>59</v>
      </c>
      <c r="AB6350" t="s">
        <v>59</v>
      </c>
      <c r="AC6350" t="s">
        <v>59</v>
      </c>
      <c r="AD6350" t="s">
        <v>59</v>
      </c>
      <c r="AF6350" s="1">
        <v>39681</v>
      </c>
      <c r="AG6350" t="s">
        <v>8645</v>
      </c>
      <c r="AH6350" t="s">
        <v>8676</v>
      </c>
      <c r="AI6350" t="str">
        <f>"9521628"</f>
        <v>9521628</v>
      </c>
      <c r="AJ6350" t="s">
        <v>9045</v>
      </c>
      <c r="AM6350" t="s">
        <v>78</v>
      </c>
      <c r="AN6350" t="s">
        <v>78</v>
      </c>
      <c r="AO6350" t="s">
        <v>286</v>
      </c>
      <c r="AP6350" t="s">
        <v>9046</v>
      </c>
      <c r="AR6350" t="s">
        <v>80</v>
      </c>
      <c r="AS6350" t="s">
        <v>81</v>
      </c>
      <c r="AT6350" t="s">
        <v>58</v>
      </c>
      <c r="AU6350" t="s">
        <v>68</v>
      </c>
      <c r="AV6350" t="s">
        <v>69</v>
      </c>
      <c r="AW6350" s="1">
        <v>30783</v>
      </c>
      <c r="AX6350">
        <v>1</v>
      </c>
    </row>
    <row r="6351" spans="1:50">
      <c r="B6351" t="str">
        <f>"140994417"</f>
        <v>140994417</v>
      </c>
      <c r="C6351" t="s">
        <v>50</v>
      </c>
      <c r="D6351" t="s">
        <v>10794</v>
      </c>
      <c r="E6351" t="s">
        <v>396</v>
      </c>
      <c r="F6351" t="s">
        <v>10674</v>
      </c>
      <c r="G6351" t="s">
        <v>340</v>
      </c>
      <c r="H6351" t="str">
        <f>"ΘΑΛΗ 8 "</f>
        <v xml:space="preserve">ΘΑΛΗ 8 </v>
      </c>
      <c r="I6351">
        <v>42100</v>
      </c>
      <c r="J6351">
        <v>2431031922</v>
      </c>
      <c r="K6351">
        <v>6946725629</v>
      </c>
      <c r="N6351" t="s">
        <v>615</v>
      </c>
      <c r="O6351" t="s">
        <v>616</v>
      </c>
      <c r="R6351" t="s">
        <v>159</v>
      </c>
      <c r="S6351">
        <v>3</v>
      </c>
      <c r="T6351" t="s">
        <v>8675</v>
      </c>
      <c r="U6351" s="1">
        <v>43348</v>
      </c>
      <c r="V6351" t="s">
        <v>80</v>
      </c>
      <c r="W6351" t="s">
        <v>81</v>
      </c>
      <c r="X6351" t="s">
        <v>58</v>
      </c>
      <c r="Y6351">
        <v>24</v>
      </c>
      <c r="Z6351" t="s">
        <v>59</v>
      </c>
      <c r="AA6351" t="s">
        <v>59</v>
      </c>
      <c r="AB6351" t="s">
        <v>59</v>
      </c>
      <c r="AC6351" t="s">
        <v>59</v>
      </c>
      <c r="AD6351" t="s">
        <v>59</v>
      </c>
      <c r="AF6351" s="1">
        <v>43348</v>
      </c>
      <c r="AG6351" t="s">
        <v>8645</v>
      </c>
      <c r="AH6351" t="s">
        <v>8646</v>
      </c>
      <c r="AI6351" t="str">
        <f>"9170244"</f>
        <v>9170244</v>
      </c>
      <c r="AJ6351" t="s">
        <v>8933</v>
      </c>
      <c r="AK6351">
        <v>2897061213</v>
      </c>
      <c r="AL6351" t="s">
        <v>8934</v>
      </c>
      <c r="AM6351" t="s">
        <v>78</v>
      </c>
      <c r="AN6351" t="s">
        <v>219</v>
      </c>
      <c r="AO6351" t="s">
        <v>527</v>
      </c>
      <c r="AP6351" t="s">
        <v>528</v>
      </c>
      <c r="AQ6351">
        <v>8</v>
      </c>
      <c r="AR6351" t="s">
        <v>80</v>
      </c>
      <c r="AS6351" t="s">
        <v>81</v>
      </c>
      <c r="AT6351" t="s">
        <v>58</v>
      </c>
      <c r="AU6351" t="s">
        <v>8673</v>
      </c>
      <c r="AV6351" t="s">
        <v>132</v>
      </c>
      <c r="AW6351" s="1">
        <v>31912</v>
      </c>
      <c r="AX6351">
        <v>1</v>
      </c>
    </row>
    <row r="6352" spans="1:50">
      <c r="B6352" t="str">
        <f>"079999357"</f>
        <v>079999357</v>
      </c>
      <c r="C6352" t="s">
        <v>50</v>
      </c>
      <c r="D6352" t="s">
        <v>10795</v>
      </c>
      <c r="E6352" t="s">
        <v>52</v>
      </c>
      <c r="F6352" t="s">
        <v>72</v>
      </c>
      <c r="G6352" t="s">
        <v>341</v>
      </c>
      <c r="H6352" t="str">
        <f>"ΣΟΡΒΟΛΟΥ 15 ΗΡΑΚΛΕΙΟ"</f>
        <v>ΣΟΡΒΟΛΟΥ 15 ΗΡΑΚΛΕΙΟ</v>
      </c>
      <c r="I6352">
        <v>71305</v>
      </c>
      <c r="K6352">
        <v>6979045642</v>
      </c>
      <c r="M6352" t="s">
        <v>10796</v>
      </c>
      <c r="N6352" t="s">
        <v>683</v>
      </c>
      <c r="O6352" t="s">
        <v>684</v>
      </c>
      <c r="R6352" t="s">
        <v>159</v>
      </c>
      <c r="S6352">
        <v>3</v>
      </c>
      <c r="T6352" t="s">
        <v>8675</v>
      </c>
      <c r="U6352" s="1">
        <v>43348</v>
      </c>
      <c r="V6352" t="s">
        <v>80</v>
      </c>
      <c r="W6352" t="s">
        <v>81</v>
      </c>
      <c r="X6352" t="s">
        <v>58</v>
      </c>
      <c r="Y6352">
        <v>24</v>
      </c>
      <c r="Z6352" t="s">
        <v>59</v>
      </c>
      <c r="AA6352" t="s">
        <v>59</v>
      </c>
      <c r="AB6352" t="s">
        <v>59</v>
      </c>
      <c r="AC6352" t="s">
        <v>59</v>
      </c>
      <c r="AD6352" t="s">
        <v>59</v>
      </c>
      <c r="AF6352" s="1">
        <v>43348</v>
      </c>
      <c r="AG6352" t="s">
        <v>8645</v>
      </c>
      <c r="AH6352" t="s">
        <v>8646</v>
      </c>
      <c r="AI6352" t="str">
        <f>"9170196"</f>
        <v>9170196</v>
      </c>
      <c r="AJ6352" t="s">
        <v>9255</v>
      </c>
      <c r="AK6352">
        <v>2810283356</v>
      </c>
      <c r="AL6352" t="s">
        <v>9256</v>
      </c>
      <c r="AM6352" t="s">
        <v>78</v>
      </c>
      <c r="AN6352" t="s">
        <v>78</v>
      </c>
      <c r="AO6352" t="s">
        <v>78</v>
      </c>
      <c r="AP6352" t="s">
        <v>79</v>
      </c>
      <c r="AQ6352">
        <v>1</v>
      </c>
      <c r="AR6352" t="s">
        <v>80</v>
      </c>
      <c r="AS6352" t="s">
        <v>81</v>
      </c>
      <c r="AT6352" t="s">
        <v>58</v>
      </c>
      <c r="AU6352" t="s">
        <v>8673</v>
      </c>
      <c r="AV6352" t="s">
        <v>132</v>
      </c>
      <c r="AW6352" s="1">
        <v>26118</v>
      </c>
      <c r="AX6352">
        <v>1</v>
      </c>
    </row>
    <row r="6353" spans="1:50">
      <c r="A6353">
        <v>613915</v>
      </c>
      <c r="B6353" t="str">
        <f>"132314397"</f>
        <v>132314397</v>
      </c>
      <c r="C6353" t="s">
        <v>50</v>
      </c>
      <c r="D6353" t="s">
        <v>10797</v>
      </c>
      <c r="E6353" t="s">
        <v>52</v>
      </c>
      <c r="F6353" t="s">
        <v>154</v>
      </c>
      <c r="G6353" t="s">
        <v>54</v>
      </c>
      <c r="H6353" t="str">
        <f>"Λ. ΖΩΓΡΑΦΟΥ 7 ΗΡΑΚΛΕΙΟ"</f>
        <v>Λ. ΖΩΓΡΑΦΟΥ 7 ΗΡΑΚΛΕΙΟ</v>
      </c>
      <c r="I6353">
        <v>71414</v>
      </c>
      <c r="J6353">
        <v>2810542974</v>
      </c>
      <c r="K6353">
        <v>6976513984</v>
      </c>
      <c r="M6353" t="s">
        <v>10798</v>
      </c>
      <c r="N6353" t="s">
        <v>615</v>
      </c>
      <c r="O6353" t="s">
        <v>616</v>
      </c>
      <c r="R6353" t="s">
        <v>57</v>
      </c>
      <c r="S6353">
        <v>7</v>
      </c>
      <c r="T6353">
        <v>598</v>
      </c>
      <c r="U6353" s="1">
        <v>39310</v>
      </c>
      <c r="V6353" t="s">
        <v>80</v>
      </c>
      <c r="W6353" t="s">
        <v>81</v>
      </c>
      <c r="X6353" t="s">
        <v>58</v>
      </c>
      <c r="Y6353">
        <v>23</v>
      </c>
      <c r="Z6353" t="s">
        <v>59</v>
      </c>
      <c r="AA6353" t="s">
        <v>59</v>
      </c>
      <c r="AB6353" t="s">
        <v>59</v>
      </c>
      <c r="AC6353" t="s">
        <v>59</v>
      </c>
      <c r="AD6353" t="s">
        <v>59</v>
      </c>
      <c r="AF6353" s="1">
        <v>39328</v>
      </c>
      <c r="AG6353" t="s">
        <v>8645</v>
      </c>
      <c r="AH6353" t="s">
        <v>8646</v>
      </c>
      <c r="AI6353" t="str">
        <f>"9170107"</f>
        <v>9170107</v>
      </c>
      <c r="AJ6353" t="s">
        <v>8798</v>
      </c>
      <c r="AK6353">
        <v>2810282405</v>
      </c>
      <c r="AL6353" t="s">
        <v>8799</v>
      </c>
      <c r="AM6353" t="s">
        <v>78</v>
      </c>
      <c r="AN6353" t="s">
        <v>78</v>
      </c>
      <c r="AO6353" t="s">
        <v>78</v>
      </c>
      <c r="AP6353" t="s">
        <v>79</v>
      </c>
      <c r="AQ6353">
        <v>1</v>
      </c>
      <c r="AR6353" t="s">
        <v>80</v>
      </c>
      <c r="AS6353" t="s">
        <v>81</v>
      </c>
      <c r="AT6353" t="s">
        <v>58</v>
      </c>
      <c r="AU6353" t="s">
        <v>68</v>
      </c>
      <c r="AV6353" t="s">
        <v>69</v>
      </c>
      <c r="AW6353" s="1">
        <v>31037</v>
      </c>
      <c r="AX6353">
        <v>1</v>
      </c>
    </row>
    <row r="6354" spans="1:50">
      <c r="A6354">
        <v>554777</v>
      </c>
      <c r="B6354" t="str">
        <f>"027810149"</f>
        <v>027810149</v>
      </c>
      <c r="C6354" t="s">
        <v>105</v>
      </c>
      <c r="D6354" t="s">
        <v>10799</v>
      </c>
      <c r="E6354" t="s">
        <v>154</v>
      </c>
      <c r="F6354" t="s">
        <v>95</v>
      </c>
      <c r="G6354" t="s">
        <v>1179</v>
      </c>
      <c r="H6354" t="str">
        <f>" "</f>
        <v xml:space="preserve"> </v>
      </c>
      <c r="K6354">
        <v>6973328227</v>
      </c>
      <c r="N6354" t="s">
        <v>615</v>
      </c>
      <c r="O6354" t="s">
        <v>616</v>
      </c>
      <c r="R6354" t="s">
        <v>57</v>
      </c>
      <c r="S6354">
        <v>18</v>
      </c>
      <c r="T6354">
        <v>200</v>
      </c>
      <c r="U6354" s="1">
        <v>31657</v>
      </c>
      <c r="V6354" t="s">
        <v>80</v>
      </c>
      <c r="W6354" t="s">
        <v>81</v>
      </c>
      <c r="X6354" t="s">
        <v>58</v>
      </c>
      <c r="Y6354">
        <v>21</v>
      </c>
      <c r="Z6354" t="s">
        <v>59</v>
      </c>
      <c r="AA6354" t="s">
        <v>59</v>
      </c>
      <c r="AB6354" t="s">
        <v>59</v>
      </c>
      <c r="AC6354" t="s">
        <v>59</v>
      </c>
      <c r="AD6354" t="s">
        <v>59</v>
      </c>
      <c r="AF6354" s="1">
        <v>31665</v>
      </c>
      <c r="AG6354" t="s">
        <v>8645</v>
      </c>
      <c r="AH6354" t="s">
        <v>8646</v>
      </c>
      <c r="AI6354" t="str">
        <f>"9170517"</f>
        <v>9170517</v>
      </c>
      <c r="AJ6354" t="s">
        <v>9248</v>
      </c>
      <c r="AK6354">
        <v>2810238757</v>
      </c>
      <c r="AL6354" t="s">
        <v>9249</v>
      </c>
      <c r="AM6354" t="s">
        <v>78</v>
      </c>
      <c r="AN6354" t="s">
        <v>78</v>
      </c>
      <c r="AO6354" t="s">
        <v>78</v>
      </c>
      <c r="AP6354" t="s">
        <v>163</v>
      </c>
      <c r="AQ6354">
        <v>1</v>
      </c>
      <c r="AR6354" t="s">
        <v>80</v>
      </c>
      <c r="AS6354" t="s">
        <v>81</v>
      </c>
      <c r="AT6354" t="s">
        <v>58</v>
      </c>
      <c r="AU6354" t="s">
        <v>68</v>
      </c>
      <c r="AV6354" t="s">
        <v>69</v>
      </c>
      <c r="AW6354" s="1">
        <v>22971</v>
      </c>
      <c r="AX6354">
        <v>1</v>
      </c>
    </row>
    <row r="6355" spans="1:50">
      <c r="A6355">
        <v>576098</v>
      </c>
      <c r="B6355" t="str">
        <f>"031424801"</f>
        <v>031424801</v>
      </c>
      <c r="C6355" t="s">
        <v>50</v>
      </c>
      <c r="D6355" t="s">
        <v>2839</v>
      </c>
      <c r="E6355" t="s">
        <v>83</v>
      </c>
      <c r="F6355" t="s">
        <v>72</v>
      </c>
      <c r="G6355" t="s">
        <v>52</v>
      </c>
      <c r="H6355" t="str">
        <f>"ΔΗΜ. ΚΥΡΙΑΚΟΥ 17 ΑΓ. ΙΩΑΝΝΗΣ"</f>
        <v>ΔΗΜ. ΚΥΡΙΑΚΟΥ 17 ΑΓ. ΙΩΑΝΝΗΣ</v>
      </c>
      <c r="I6355">
        <v>71409</v>
      </c>
      <c r="J6355">
        <v>2810263411</v>
      </c>
      <c r="N6355" t="s">
        <v>1525</v>
      </c>
      <c r="O6355" t="s">
        <v>1526</v>
      </c>
      <c r="R6355" t="s">
        <v>57</v>
      </c>
      <c r="S6355">
        <v>11</v>
      </c>
      <c r="T6355">
        <v>184</v>
      </c>
      <c r="U6355" s="1">
        <v>34941</v>
      </c>
      <c r="V6355" t="s">
        <v>80</v>
      </c>
      <c r="W6355" t="s">
        <v>81</v>
      </c>
      <c r="X6355" t="s">
        <v>58</v>
      </c>
      <c r="Y6355">
        <v>25</v>
      </c>
      <c r="Z6355" t="s">
        <v>59</v>
      </c>
      <c r="AA6355" t="s">
        <v>59</v>
      </c>
      <c r="AB6355" t="s">
        <v>59</v>
      </c>
      <c r="AC6355" t="s">
        <v>59</v>
      </c>
      <c r="AD6355" t="s">
        <v>59</v>
      </c>
      <c r="AF6355" s="1">
        <v>34964</v>
      </c>
      <c r="AG6355" t="s">
        <v>8651</v>
      </c>
      <c r="AH6355" t="s">
        <v>8652</v>
      </c>
      <c r="AI6355" t="str">
        <f>"9170104"</f>
        <v>9170104</v>
      </c>
      <c r="AJ6355" t="s">
        <v>10323</v>
      </c>
      <c r="AK6355">
        <v>2810222334</v>
      </c>
      <c r="AL6355" t="s">
        <v>10324</v>
      </c>
      <c r="AM6355" t="s">
        <v>78</v>
      </c>
      <c r="AN6355" t="s">
        <v>78</v>
      </c>
      <c r="AO6355" t="s">
        <v>78</v>
      </c>
      <c r="AP6355" t="s">
        <v>213</v>
      </c>
      <c r="AQ6355">
        <v>1</v>
      </c>
      <c r="AR6355" t="s">
        <v>80</v>
      </c>
      <c r="AS6355" t="s">
        <v>81</v>
      </c>
      <c r="AT6355" t="s">
        <v>58</v>
      </c>
      <c r="AU6355" t="s">
        <v>68</v>
      </c>
      <c r="AV6355" t="s">
        <v>69</v>
      </c>
      <c r="AW6355" s="1">
        <v>24186</v>
      </c>
      <c r="AX6355">
        <v>1</v>
      </c>
    </row>
    <row r="6356" spans="1:50">
      <c r="B6356" t="str">
        <f>"130567135"</f>
        <v>130567135</v>
      </c>
      <c r="C6356" t="s">
        <v>50</v>
      </c>
      <c r="D6356" t="s">
        <v>10800</v>
      </c>
      <c r="E6356" t="s">
        <v>809</v>
      </c>
      <c r="F6356" t="s">
        <v>72</v>
      </c>
      <c r="G6356" t="s">
        <v>5556</v>
      </c>
      <c r="H6356" t="str">
        <f>"ΠΑΠΑΦΛΕΣΣΑ 13 "</f>
        <v xml:space="preserve">ΠΑΠΑΦΛΕΣΣΑ 13 </v>
      </c>
      <c r="I6356">
        <v>35100</v>
      </c>
      <c r="J6356">
        <v>2231027164</v>
      </c>
      <c r="K6356">
        <v>6972814718</v>
      </c>
      <c r="N6356" t="s">
        <v>615</v>
      </c>
      <c r="O6356" t="s">
        <v>616</v>
      </c>
      <c r="R6356" t="s">
        <v>159</v>
      </c>
      <c r="S6356">
        <v>5</v>
      </c>
      <c r="T6356" t="s">
        <v>8675</v>
      </c>
      <c r="U6356" s="1">
        <v>43348</v>
      </c>
      <c r="V6356" t="s">
        <v>80</v>
      </c>
      <c r="W6356" t="s">
        <v>81</v>
      </c>
      <c r="X6356" t="s">
        <v>58</v>
      </c>
      <c r="Y6356">
        <v>24</v>
      </c>
      <c r="Z6356" t="s">
        <v>59</v>
      </c>
      <c r="AA6356" t="s">
        <v>59</v>
      </c>
      <c r="AB6356" t="s">
        <v>59</v>
      </c>
      <c r="AC6356" t="s">
        <v>59</v>
      </c>
      <c r="AD6356" t="s">
        <v>59</v>
      </c>
      <c r="AF6356" s="1">
        <v>43348</v>
      </c>
      <c r="AG6356" t="s">
        <v>8645</v>
      </c>
      <c r="AH6356" t="s">
        <v>8646</v>
      </c>
      <c r="AI6356" t="str">
        <f>"9170058"</f>
        <v>9170058</v>
      </c>
      <c r="AJ6356" t="s">
        <v>8735</v>
      </c>
      <c r="AK6356">
        <v>2810252903</v>
      </c>
      <c r="AL6356" t="s">
        <v>8736</v>
      </c>
      <c r="AM6356" t="s">
        <v>78</v>
      </c>
      <c r="AN6356" t="s">
        <v>78</v>
      </c>
      <c r="AO6356" t="s">
        <v>78</v>
      </c>
      <c r="AP6356" t="s">
        <v>163</v>
      </c>
      <c r="AQ6356">
        <v>1</v>
      </c>
      <c r="AR6356" t="s">
        <v>80</v>
      </c>
      <c r="AS6356" t="s">
        <v>81</v>
      </c>
      <c r="AT6356" t="s">
        <v>58</v>
      </c>
      <c r="AU6356" t="s">
        <v>8673</v>
      </c>
      <c r="AV6356" t="s">
        <v>132</v>
      </c>
      <c r="AW6356" s="1">
        <v>31913</v>
      </c>
      <c r="AX6356">
        <v>1</v>
      </c>
    </row>
    <row r="6357" spans="1:50">
      <c r="B6357" t="str">
        <f>"135735173"</f>
        <v>135735173</v>
      </c>
      <c r="C6357" t="s">
        <v>105</v>
      </c>
      <c r="D6357" t="s">
        <v>10801</v>
      </c>
      <c r="E6357" t="s">
        <v>4730</v>
      </c>
      <c r="F6357" t="s">
        <v>95</v>
      </c>
      <c r="H6357" t="str">
        <f>"ΣΤΑΝΟΣ  ΧΑΛΚΙΔΙΚΗ"</f>
        <v>ΣΤΑΝΟΣ  ΧΑΛΚΙΔΙΚΗ</v>
      </c>
      <c r="I6357">
        <v>63074</v>
      </c>
      <c r="K6357">
        <v>6986613417</v>
      </c>
      <c r="M6357" t="s">
        <v>10802</v>
      </c>
      <c r="N6357" t="s">
        <v>8694</v>
      </c>
      <c r="O6357" t="s">
        <v>8695</v>
      </c>
      <c r="R6357" t="s">
        <v>159</v>
      </c>
      <c r="S6357">
        <v>2</v>
      </c>
      <c r="T6357" t="s">
        <v>8696</v>
      </c>
      <c r="U6357" s="1">
        <v>43348</v>
      </c>
      <c r="V6357" t="s">
        <v>80</v>
      </c>
      <c r="W6357" t="s">
        <v>81</v>
      </c>
      <c r="X6357" t="s">
        <v>58</v>
      </c>
      <c r="Y6357">
        <v>24</v>
      </c>
      <c r="Z6357" t="s">
        <v>59</v>
      </c>
      <c r="AA6357" t="s">
        <v>59</v>
      </c>
      <c r="AB6357" t="s">
        <v>59</v>
      </c>
      <c r="AC6357" t="s">
        <v>59</v>
      </c>
      <c r="AD6357" t="s">
        <v>59</v>
      </c>
      <c r="AF6357" s="1">
        <v>43348</v>
      </c>
      <c r="AG6357" t="s">
        <v>8645</v>
      </c>
      <c r="AH6357" t="s">
        <v>8646</v>
      </c>
      <c r="AI6357" t="str">
        <f>"9170009"</f>
        <v>9170009</v>
      </c>
      <c r="AJ6357" t="s">
        <v>8683</v>
      </c>
      <c r="AK6357">
        <v>2810861612</v>
      </c>
      <c r="AL6357" t="s">
        <v>8684</v>
      </c>
      <c r="AM6357" t="s">
        <v>78</v>
      </c>
      <c r="AN6357" t="s">
        <v>78</v>
      </c>
      <c r="AO6357" t="s">
        <v>185</v>
      </c>
      <c r="AP6357" t="s">
        <v>8685</v>
      </c>
      <c r="AQ6357">
        <v>4</v>
      </c>
      <c r="AR6357" t="s">
        <v>80</v>
      </c>
      <c r="AS6357" t="s">
        <v>81</v>
      </c>
      <c r="AT6357" t="s">
        <v>58</v>
      </c>
      <c r="AU6357" t="s">
        <v>350</v>
      </c>
      <c r="AV6357" t="s">
        <v>132</v>
      </c>
      <c r="AW6357" s="1">
        <v>33132</v>
      </c>
      <c r="AX6357">
        <v>1</v>
      </c>
    </row>
    <row r="6358" spans="1:50">
      <c r="B6358" t="str">
        <f>"151356382"</f>
        <v>151356382</v>
      </c>
      <c r="C6358" t="s">
        <v>50</v>
      </c>
      <c r="D6358" t="s">
        <v>10803</v>
      </c>
      <c r="E6358" t="s">
        <v>114</v>
      </c>
      <c r="F6358" t="s">
        <v>760</v>
      </c>
      <c r="G6358" t="s">
        <v>155</v>
      </c>
      <c r="H6358" t="str">
        <f>" "</f>
        <v xml:space="preserve"> </v>
      </c>
      <c r="N6358" t="s">
        <v>8834</v>
      </c>
      <c r="O6358" t="s">
        <v>8695</v>
      </c>
      <c r="R6358" t="s">
        <v>159</v>
      </c>
      <c r="S6358">
        <v>3</v>
      </c>
      <c r="T6358" t="s">
        <v>8835</v>
      </c>
      <c r="U6358" s="1">
        <v>43348</v>
      </c>
      <c r="V6358" t="s">
        <v>80</v>
      </c>
      <c r="W6358" t="s">
        <v>81</v>
      </c>
      <c r="X6358" t="s">
        <v>58</v>
      </c>
      <c r="Y6358">
        <v>24</v>
      </c>
      <c r="Z6358" t="s">
        <v>59</v>
      </c>
      <c r="AA6358" t="s">
        <v>59</v>
      </c>
      <c r="AB6358" t="s">
        <v>59</v>
      </c>
      <c r="AD6358" t="s">
        <v>59</v>
      </c>
      <c r="AF6358" s="1">
        <v>43348</v>
      </c>
      <c r="AG6358" t="s">
        <v>8645</v>
      </c>
      <c r="AH6358" t="s">
        <v>8646</v>
      </c>
      <c r="AI6358" t="str">
        <f>"9170525"</f>
        <v>9170525</v>
      </c>
      <c r="AJ6358" t="s">
        <v>8853</v>
      </c>
      <c r="AK6358">
        <v>2810256547</v>
      </c>
      <c r="AL6358" t="s">
        <v>8854</v>
      </c>
      <c r="AM6358" t="s">
        <v>78</v>
      </c>
      <c r="AN6358" t="s">
        <v>78</v>
      </c>
      <c r="AO6358" t="s">
        <v>78</v>
      </c>
      <c r="AP6358" t="s">
        <v>141</v>
      </c>
      <c r="AQ6358">
        <v>1</v>
      </c>
      <c r="AR6358" t="s">
        <v>80</v>
      </c>
      <c r="AS6358" t="s">
        <v>81</v>
      </c>
      <c r="AT6358" t="s">
        <v>58</v>
      </c>
      <c r="AU6358" t="s">
        <v>131</v>
      </c>
      <c r="AV6358" t="s">
        <v>132</v>
      </c>
      <c r="AW6358" s="1">
        <v>33042</v>
      </c>
      <c r="AX6358">
        <v>1</v>
      </c>
    </row>
    <row r="6359" spans="1:50">
      <c r="A6359">
        <v>589478</v>
      </c>
      <c r="B6359" t="str">
        <f>"076146503"</f>
        <v>076146503</v>
      </c>
      <c r="C6359" t="s">
        <v>50</v>
      </c>
      <c r="D6359" t="s">
        <v>10804</v>
      </c>
      <c r="E6359" t="s">
        <v>250</v>
      </c>
      <c r="F6359" t="s">
        <v>166</v>
      </c>
      <c r="G6359" t="s">
        <v>237</v>
      </c>
      <c r="H6359" t="str">
        <f>"ΦΑΛΙΕΡΟΥ 38 "</f>
        <v xml:space="preserve">ΦΑΛΙΕΡΟΥ 38 </v>
      </c>
      <c r="I6359">
        <v>71305</v>
      </c>
      <c r="J6359">
        <v>2810325792</v>
      </c>
      <c r="K6359">
        <v>6977746260</v>
      </c>
      <c r="N6359" t="s">
        <v>615</v>
      </c>
      <c r="O6359" t="s">
        <v>616</v>
      </c>
      <c r="R6359" t="s">
        <v>57</v>
      </c>
      <c r="S6359">
        <v>13</v>
      </c>
      <c r="T6359">
        <v>176</v>
      </c>
      <c r="U6359" s="1">
        <v>36403</v>
      </c>
      <c r="V6359" t="s">
        <v>80</v>
      </c>
      <c r="W6359" t="s">
        <v>81</v>
      </c>
      <c r="X6359" t="s">
        <v>58</v>
      </c>
      <c r="Y6359">
        <v>21</v>
      </c>
      <c r="Z6359" t="s">
        <v>59</v>
      </c>
      <c r="AA6359" t="s">
        <v>59</v>
      </c>
      <c r="AB6359" t="s">
        <v>59</v>
      </c>
      <c r="AC6359" t="s">
        <v>59</v>
      </c>
      <c r="AD6359" t="s">
        <v>59</v>
      </c>
      <c r="AF6359" s="1">
        <v>36404</v>
      </c>
      <c r="AG6359" t="s">
        <v>8645</v>
      </c>
      <c r="AH6359" t="s">
        <v>8697</v>
      </c>
      <c r="AI6359" t="str">
        <f>"9170358"</f>
        <v>9170358</v>
      </c>
      <c r="AJ6359" t="s">
        <v>9378</v>
      </c>
      <c r="AK6359">
        <v>2810282028</v>
      </c>
      <c r="AL6359" t="s">
        <v>9379</v>
      </c>
      <c r="AM6359" t="s">
        <v>78</v>
      </c>
      <c r="AN6359" t="s">
        <v>78</v>
      </c>
      <c r="AO6359" t="s">
        <v>78</v>
      </c>
      <c r="AP6359" t="s">
        <v>141</v>
      </c>
      <c r="AQ6359">
        <v>1</v>
      </c>
      <c r="AR6359" t="s">
        <v>80</v>
      </c>
      <c r="AS6359" t="s">
        <v>81</v>
      </c>
      <c r="AT6359" t="s">
        <v>58</v>
      </c>
      <c r="AU6359" t="s">
        <v>68</v>
      </c>
      <c r="AV6359" t="s">
        <v>69</v>
      </c>
      <c r="AW6359" s="1">
        <v>25295</v>
      </c>
      <c r="AX6359">
        <v>1</v>
      </c>
    </row>
    <row r="6360" spans="1:50">
      <c r="A6360">
        <v>614838</v>
      </c>
      <c r="B6360" t="str">
        <f>"137461779"</f>
        <v>137461779</v>
      </c>
      <c r="C6360" t="s">
        <v>50</v>
      </c>
      <c r="D6360" t="s">
        <v>10804</v>
      </c>
      <c r="E6360" t="s">
        <v>52</v>
      </c>
      <c r="F6360" t="s">
        <v>95</v>
      </c>
      <c r="G6360" t="s">
        <v>250</v>
      </c>
      <c r="H6360" t="str">
        <f>"1922  αρ 9 ΝΕΑ ΑΛΙΚΑΡΝΑΣΣΟΣ"</f>
        <v>1922  αρ 9 ΝΕΑ ΑΛΙΚΑΡΝΑΣΣΟΣ</v>
      </c>
      <c r="I6360">
        <v>71601</v>
      </c>
      <c r="J6360">
        <v>2811758889</v>
      </c>
      <c r="K6360">
        <v>6983915681</v>
      </c>
      <c r="M6360" t="s">
        <v>10805</v>
      </c>
      <c r="N6360" t="s">
        <v>615</v>
      </c>
      <c r="O6360" t="s">
        <v>616</v>
      </c>
      <c r="R6360" t="s">
        <v>57</v>
      </c>
      <c r="S6360">
        <v>7</v>
      </c>
      <c r="T6360">
        <v>598</v>
      </c>
      <c r="U6360" s="1">
        <v>39310</v>
      </c>
      <c r="V6360" t="s">
        <v>80</v>
      </c>
      <c r="W6360" t="s">
        <v>81</v>
      </c>
      <c r="X6360" t="s">
        <v>58</v>
      </c>
      <c r="Y6360">
        <v>23</v>
      </c>
      <c r="Z6360" t="s">
        <v>59</v>
      </c>
      <c r="AA6360" t="s">
        <v>59</v>
      </c>
      <c r="AB6360" t="s">
        <v>59</v>
      </c>
      <c r="AC6360" t="s">
        <v>59</v>
      </c>
      <c r="AD6360" t="s">
        <v>59</v>
      </c>
      <c r="AF6360" s="1">
        <v>39328</v>
      </c>
      <c r="AG6360" t="s">
        <v>8645</v>
      </c>
      <c r="AH6360" t="s">
        <v>8646</v>
      </c>
      <c r="AI6360" t="str">
        <f>"9170427"</f>
        <v>9170427</v>
      </c>
      <c r="AJ6360" t="s">
        <v>8817</v>
      </c>
      <c r="AK6360">
        <v>2810220998</v>
      </c>
      <c r="AL6360" t="s">
        <v>8818</v>
      </c>
      <c r="AM6360" t="s">
        <v>78</v>
      </c>
      <c r="AN6360" t="s">
        <v>78</v>
      </c>
      <c r="AO6360" t="s">
        <v>286</v>
      </c>
      <c r="AP6360" t="s">
        <v>286</v>
      </c>
      <c r="AQ6360">
        <v>1</v>
      </c>
      <c r="AR6360" t="s">
        <v>80</v>
      </c>
      <c r="AS6360" t="s">
        <v>81</v>
      </c>
      <c r="AT6360" t="s">
        <v>58</v>
      </c>
      <c r="AU6360" t="s">
        <v>68</v>
      </c>
      <c r="AV6360" t="s">
        <v>69</v>
      </c>
      <c r="AW6360" s="1">
        <v>30984</v>
      </c>
      <c r="AX6360">
        <v>1</v>
      </c>
    </row>
    <row r="6361" spans="1:50">
      <c r="A6361">
        <v>621593</v>
      </c>
      <c r="B6361" t="str">
        <f>"128304205"</f>
        <v>128304205</v>
      </c>
      <c r="C6361" t="s">
        <v>50</v>
      </c>
      <c r="D6361" t="s">
        <v>10806</v>
      </c>
      <c r="E6361" t="s">
        <v>73</v>
      </c>
      <c r="F6361" t="s">
        <v>84</v>
      </c>
      <c r="G6361" t="s">
        <v>237</v>
      </c>
      <c r="H6361" t="str">
        <f>" ΑΡΧΑΝΕΣ"</f>
        <v xml:space="preserve"> ΑΡΧΑΝΕΣ</v>
      </c>
      <c r="I6361">
        <v>70100</v>
      </c>
      <c r="J6361">
        <v>2810752255</v>
      </c>
      <c r="K6361">
        <v>6942703260</v>
      </c>
      <c r="M6361" t="s">
        <v>10807</v>
      </c>
      <c r="N6361" t="s">
        <v>615</v>
      </c>
      <c r="O6361" t="s">
        <v>616</v>
      </c>
      <c r="R6361" t="s">
        <v>57</v>
      </c>
      <c r="S6361">
        <v>4</v>
      </c>
      <c r="T6361">
        <v>653</v>
      </c>
      <c r="U6361" s="1">
        <v>40043</v>
      </c>
      <c r="V6361" t="s">
        <v>80</v>
      </c>
      <c r="W6361" t="s">
        <v>81</v>
      </c>
      <c r="X6361" t="s">
        <v>58</v>
      </c>
      <c r="Y6361">
        <v>23</v>
      </c>
      <c r="Z6361" t="s">
        <v>59</v>
      </c>
      <c r="AA6361" t="s">
        <v>59</v>
      </c>
      <c r="AB6361" t="s">
        <v>59</v>
      </c>
      <c r="AC6361" t="s">
        <v>59</v>
      </c>
      <c r="AD6361" t="s">
        <v>59</v>
      </c>
      <c r="AF6361" s="1">
        <v>40043</v>
      </c>
      <c r="AG6361" t="s">
        <v>8645</v>
      </c>
      <c r="AH6361" t="s">
        <v>8646</v>
      </c>
      <c r="AI6361" t="str">
        <f>"9170097"</f>
        <v>9170097</v>
      </c>
      <c r="AJ6361" t="s">
        <v>8826</v>
      </c>
      <c r="AK6361">
        <v>2810751807</v>
      </c>
      <c r="AL6361" t="s">
        <v>8827</v>
      </c>
      <c r="AM6361" t="s">
        <v>78</v>
      </c>
      <c r="AN6361" t="s">
        <v>424</v>
      </c>
      <c r="AO6361" t="s">
        <v>425</v>
      </c>
      <c r="AP6361" t="s">
        <v>425</v>
      </c>
      <c r="AQ6361">
        <v>11</v>
      </c>
      <c r="AR6361" t="s">
        <v>80</v>
      </c>
      <c r="AS6361" t="s">
        <v>81</v>
      </c>
      <c r="AT6361" t="s">
        <v>58</v>
      </c>
      <c r="AU6361" t="s">
        <v>68</v>
      </c>
      <c r="AV6361" t="s">
        <v>69</v>
      </c>
      <c r="AW6361" s="1">
        <v>31776</v>
      </c>
      <c r="AX6361">
        <v>1</v>
      </c>
    </row>
    <row r="6362" spans="1:50">
      <c r="A6362">
        <v>584988</v>
      </c>
      <c r="B6362" t="str">
        <f>"063202400"</f>
        <v>063202400</v>
      </c>
      <c r="C6362" t="s">
        <v>50</v>
      </c>
      <c r="D6362" t="s">
        <v>10808</v>
      </c>
      <c r="E6362" t="s">
        <v>707</v>
      </c>
      <c r="F6362" t="s">
        <v>166</v>
      </c>
      <c r="G6362" t="s">
        <v>237</v>
      </c>
      <c r="H6362" t="str">
        <f>"ΛΥΤΤΟΥ 3 ΗΡΑΚΛΕΙΟ"</f>
        <v>ΛΥΤΤΟΥ 3 ΗΡΑΚΛΕΙΟ</v>
      </c>
      <c r="I6362">
        <v>71304</v>
      </c>
      <c r="J6362">
        <v>2810315317</v>
      </c>
      <c r="K6362">
        <v>6978416199</v>
      </c>
      <c r="N6362" t="s">
        <v>615</v>
      </c>
      <c r="O6362" t="s">
        <v>616</v>
      </c>
      <c r="R6362" t="s">
        <v>57</v>
      </c>
      <c r="S6362">
        <v>11</v>
      </c>
      <c r="T6362">
        <v>165</v>
      </c>
      <c r="U6362" s="1">
        <v>36040</v>
      </c>
      <c r="V6362" t="s">
        <v>80</v>
      </c>
      <c r="W6362" t="s">
        <v>81</v>
      </c>
      <c r="X6362" t="s">
        <v>58</v>
      </c>
      <c r="Y6362">
        <v>21</v>
      </c>
      <c r="Z6362" t="s">
        <v>59</v>
      </c>
      <c r="AA6362" t="s">
        <v>59</v>
      </c>
      <c r="AB6362" t="s">
        <v>59</v>
      </c>
      <c r="AC6362" t="s">
        <v>59</v>
      </c>
      <c r="AD6362" t="s">
        <v>59</v>
      </c>
      <c r="AF6362" s="1">
        <v>36040</v>
      </c>
      <c r="AG6362" t="s">
        <v>8645</v>
      </c>
      <c r="AH6362" t="s">
        <v>8646</v>
      </c>
      <c r="AI6362" t="str">
        <f>"9170512"</f>
        <v>9170512</v>
      </c>
      <c r="AJ6362" t="s">
        <v>8986</v>
      </c>
      <c r="AK6362">
        <v>2810253082</v>
      </c>
      <c r="AL6362" t="s">
        <v>8987</v>
      </c>
      <c r="AM6362" t="s">
        <v>78</v>
      </c>
      <c r="AN6362" t="s">
        <v>78</v>
      </c>
      <c r="AO6362" t="s">
        <v>78</v>
      </c>
      <c r="AP6362" t="s">
        <v>141</v>
      </c>
      <c r="AQ6362">
        <v>1</v>
      </c>
      <c r="AR6362" t="s">
        <v>80</v>
      </c>
      <c r="AS6362" t="s">
        <v>81</v>
      </c>
      <c r="AT6362" t="s">
        <v>58</v>
      </c>
      <c r="AU6362" t="s">
        <v>68</v>
      </c>
      <c r="AV6362" t="s">
        <v>69</v>
      </c>
      <c r="AW6362" s="1">
        <v>23240</v>
      </c>
      <c r="AX6362">
        <v>1</v>
      </c>
    </row>
    <row r="6363" spans="1:50">
      <c r="A6363">
        <v>619599</v>
      </c>
      <c r="B6363" t="str">
        <f>"059030594"</f>
        <v>059030594</v>
      </c>
      <c r="C6363" t="s">
        <v>50</v>
      </c>
      <c r="D6363" t="s">
        <v>10809</v>
      </c>
      <c r="E6363" t="s">
        <v>83</v>
      </c>
      <c r="F6363" t="s">
        <v>106</v>
      </c>
      <c r="G6363" t="s">
        <v>476</v>
      </c>
      <c r="H6363" t="str">
        <f>"Ν. ΚΑΤΕΧΑΚΗ 1 ΗΡΑΚΛΕΙΟΥ"</f>
        <v>Ν. ΚΑΤΕΧΑΚΗ 1 ΗΡΑΚΛΕΙΟΥ</v>
      </c>
      <c r="I6363">
        <v>71307</v>
      </c>
      <c r="J6363">
        <v>2810220838</v>
      </c>
      <c r="K6363">
        <v>6942854974</v>
      </c>
      <c r="N6363" t="s">
        <v>1525</v>
      </c>
      <c r="O6363" t="s">
        <v>1526</v>
      </c>
      <c r="P6363" t="s">
        <v>74</v>
      </c>
      <c r="Q6363" t="s">
        <v>75</v>
      </c>
      <c r="R6363" t="s">
        <v>57</v>
      </c>
      <c r="S6363">
        <v>5</v>
      </c>
      <c r="T6363">
        <v>774</v>
      </c>
      <c r="U6363" s="1">
        <v>39680</v>
      </c>
      <c r="V6363" t="s">
        <v>80</v>
      </c>
      <c r="W6363" t="s">
        <v>81</v>
      </c>
      <c r="X6363" t="s">
        <v>58</v>
      </c>
      <c r="Y6363">
        <v>25</v>
      </c>
      <c r="Z6363" t="s">
        <v>59</v>
      </c>
      <c r="AA6363" t="s">
        <v>59</v>
      </c>
      <c r="AB6363" t="s">
        <v>59</v>
      </c>
      <c r="AC6363" t="s">
        <v>59</v>
      </c>
      <c r="AD6363" t="s">
        <v>59</v>
      </c>
      <c r="AF6363" s="1">
        <v>39685</v>
      </c>
      <c r="AG6363" t="s">
        <v>8651</v>
      </c>
      <c r="AH6363" t="s">
        <v>8652</v>
      </c>
      <c r="AI6363" t="str">
        <f>"9520921"</f>
        <v>9520921</v>
      </c>
      <c r="AJ6363" t="s">
        <v>10810</v>
      </c>
      <c r="AK6363">
        <v>2897033119</v>
      </c>
      <c r="AL6363" t="s">
        <v>10811</v>
      </c>
      <c r="AM6363" t="s">
        <v>78</v>
      </c>
      <c r="AN6363" t="s">
        <v>219</v>
      </c>
      <c r="AO6363" t="s">
        <v>527</v>
      </c>
      <c r="AP6363" t="s">
        <v>527</v>
      </c>
      <c r="AQ6363">
        <v>8</v>
      </c>
      <c r="AR6363" t="s">
        <v>80</v>
      </c>
      <c r="AS6363" t="s">
        <v>81</v>
      </c>
      <c r="AT6363" t="s">
        <v>58</v>
      </c>
      <c r="AU6363" t="s">
        <v>68</v>
      </c>
      <c r="AV6363" t="s">
        <v>69</v>
      </c>
      <c r="AW6363" s="1">
        <v>28501</v>
      </c>
      <c r="AX6363">
        <v>1</v>
      </c>
    </row>
    <row r="6364" spans="1:50">
      <c r="A6364">
        <v>583941</v>
      </c>
      <c r="B6364" t="str">
        <f>"053146010"</f>
        <v>053146010</v>
      </c>
      <c r="C6364" t="s">
        <v>50</v>
      </c>
      <c r="D6364" t="s">
        <v>10812</v>
      </c>
      <c r="E6364" t="s">
        <v>250</v>
      </c>
      <c r="F6364" t="s">
        <v>166</v>
      </c>
      <c r="G6364" t="s">
        <v>188</v>
      </c>
      <c r="H6364" t="str">
        <f>"ΝΙΚ. ΣΠΑΘΑΡΙΟΥ 19Β ΗΡΑΚΛΕΙΟ"</f>
        <v>ΝΙΚ. ΣΠΑΘΑΡΙΟΥ 19Β ΗΡΑΚΛΕΙΟ</v>
      </c>
      <c r="I6364">
        <v>71307</v>
      </c>
      <c r="J6364">
        <v>2810323235</v>
      </c>
      <c r="K6364">
        <v>6973929090</v>
      </c>
      <c r="N6364" t="s">
        <v>615</v>
      </c>
      <c r="O6364" t="s">
        <v>616</v>
      </c>
      <c r="R6364" t="s">
        <v>57</v>
      </c>
      <c r="S6364">
        <v>14</v>
      </c>
      <c r="T6364">
        <v>165</v>
      </c>
      <c r="U6364" s="1">
        <v>36040</v>
      </c>
      <c r="V6364" t="s">
        <v>80</v>
      </c>
      <c r="W6364" t="s">
        <v>81</v>
      </c>
      <c r="X6364" t="s">
        <v>58</v>
      </c>
      <c r="Y6364">
        <v>21</v>
      </c>
      <c r="Z6364" t="s">
        <v>59</v>
      </c>
      <c r="AA6364" t="s">
        <v>59</v>
      </c>
      <c r="AB6364" t="s">
        <v>59</v>
      </c>
      <c r="AC6364" t="s">
        <v>59</v>
      </c>
      <c r="AD6364" t="s">
        <v>59</v>
      </c>
      <c r="AF6364" s="1">
        <v>36041</v>
      </c>
      <c r="AG6364" t="s">
        <v>8645</v>
      </c>
      <c r="AH6364" t="s">
        <v>8646</v>
      </c>
      <c r="AI6364" t="str">
        <f>"9170109"</f>
        <v>9170109</v>
      </c>
      <c r="AJ6364" t="s">
        <v>9056</v>
      </c>
      <c r="AK6364">
        <v>2810212659</v>
      </c>
      <c r="AL6364" t="s">
        <v>9057</v>
      </c>
      <c r="AM6364" t="s">
        <v>78</v>
      </c>
      <c r="AN6364" t="s">
        <v>78</v>
      </c>
      <c r="AO6364" t="s">
        <v>78</v>
      </c>
      <c r="AP6364" t="s">
        <v>163</v>
      </c>
      <c r="AQ6364">
        <v>1</v>
      </c>
      <c r="AR6364" t="s">
        <v>80</v>
      </c>
      <c r="AS6364" t="s">
        <v>81</v>
      </c>
      <c r="AT6364" t="s">
        <v>58</v>
      </c>
      <c r="AU6364" t="s">
        <v>68</v>
      </c>
      <c r="AV6364" t="s">
        <v>69</v>
      </c>
      <c r="AW6364" s="1">
        <v>22980</v>
      </c>
      <c r="AX6364">
        <v>1</v>
      </c>
    </row>
    <row r="6365" spans="1:50">
      <c r="A6365">
        <v>618156</v>
      </c>
      <c r="B6365" t="str">
        <f>"132131986"</f>
        <v>132131986</v>
      </c>
      <c r="C6365" t="s">
        <v>50</v>
      </c>
      <c r="D6365" t="s">
        <v>10813</v>
      </c>
      <c r="E6365" t="s">
        <v>250</v>
      </c>
      <c r="F6365" t="s">
        <v>72</v>
      </c>
      <c r="G6365" t="s">
        <v>83</v>
      </c>
      <c r="H6365" t="str">
        <f>"ΑΝΑΛΗΨΗ ΧΕΡΣΟΝΗΣΟΥ"</f>
        <v>ΑΝΑΛΗΨΗ ΧΕΡΣΟΝΗΣΟΥ</v>
      </c>
      <c r="I6365">
        <v>70014</v>
      </c>
      <c r="J6365">
        <v>2332025926</v>
      </c>
      <c r="K6365">
        <v>6977454011</v>
      </c>
      <c r="L6365">
        <v>2897021684</v>
      </c>
      <c r="N6365" t="s">
        <v>615</v>
      </c>
      <c r="O6365" t="s">
        <v>616</v>
      </c>
      <c r="R6365" t="s">
        <v>57</v>
      </c>
      <c r="S6365">
        <v>5</v>
      </c>
      <c r="T6365">
        <v>774</v>
      </c>
      <c r="U6365" s="1">
        <v>39680</v>
      </c>
      <c r="V6365" t="s">
        <v>80</v>
      </c>
      <c r="W6365" t="s">
        <v>81</v>
      </c>
      <c r="X6365" t="s">
        <v>58</v>
      </c>
      <c r="Y6365">
        <v>23</v>
      </c>
      <c r="Z6365" t="s">
        <v>59</v>
      </c>
      <c r="AA6365" t="s">
        <v>59</v>
      </c>
      <c r="AB6365" t="s">
        <v>59</v>
      </c>
      <c r="AC6365" t="s">
        <v>59</v>
      </c>
      <c r="AD6365" t="s">
        <v>59</v>
      </c>
      <c r="AF6365" s="1">
        <v>39681</v>
      </c>
      <c r="AG6365" t="s">
        <v>8645</v>
      </c>
      <c r="AH6365" t="s">
        <v>8646</v>
      </c>
      <c r="AI6365" t="str">
        <f>"9170250"</f>
        <v>9170250</v>
      </c>
      <c r="AJ6365" t="s">
        <v>8823</v>
      </c>
      <c r="AK6365">
        <v>2897022005</v>
      </c>
      <c r="AL6365" t="s">
        <v>8824</v>
      </c>
      <c r="AM6365" t="s">
        <v>78</v>
      </c>
      <c r="AN6365" t="s">
        <v>219</v>
      </c>
      <c r="AO6365" t="s">
        <v>219</v>
      </c>
      <c r="AP6365" t="s">
        <v>219</v>
      </c>
      <c r="AQ6365">
        <v>8</v>
      </c>
      <c r="AR6365" t="s">
        <v>80</v>
      </c>
      <c r="AS6365" t="s">
        <v>81</v>
      </c>
      <c r="AT6365" t="s">
        <v>58</v>
      </c>
      <c r="AU6365" t="s">
        <v>68</v>
      </c>
      <c r="AV6365" t="s">
        <v>69</v>
      </c>
      <c r="AW6365" s="1">
        <v>30490</v>
      </c>
      <c r="AX6365">
        <v>1</v>
      </c>
    </row>
    <row r="6366" spans="1:50">
      <c r="A6366">
        <v>608768</v>
      </c>
      <c r="B6366" t="str">
        <f>"054024851"</f>
        <v>054024851</v>
      </c>
      <c r="C6366" t="s">
        <v>50</v>
      </c>
      <c r="D6366" t="s">
        <v>2857</v>
      </c>
      <c r="E6366" t="s">
        <v>367</v>
      </c>
      <c r="F6366" t="s">
        <v>166</v>
      </c>
      <c r="G6366" t="s">
        <v>112</v>
      </c>
      <c r="H6366" t="str">
        <f>"ΠΡΑΞΙΤΕΛΟΥΣ 14 ΗΡΑΚΛΕΙΟ"</f>
        <v>ΠΡΑΞΙΤΕΛΟΥΣ 14 ΗΡΑΚΛΕΙΟ</v>
      </c>
      <c r="I6366">
        <v>71409</v>
      </c>
      <c r="J6366">
        <v>2810220994</v>
      </c>
      <c r="K6366">
        <v>6936783631</v>
      </c>
      <c r="M6366" t="s">
        <v>10814</v>
      </c>
      <c r="N6366" t="s">
        <v>1525</v>
      </c>
      <c r="O6366" t="s">
        <v>1526</v>
      </c>
      <c r="R6366" t="s">
        <v>57</v>
      </c>
      <c r="S6366">
        <v>8</v>
      </c>
      <c r="T6366">
        <v>217</v>
      </c>
      <c r="U6366" s="1">
        <v>38596</v>
      </c>
      <c r="V6366" t="s">
        <v>80</v>
      </c>
      <c r="W6366" t="s">
        <v>81</v>
      </c>
      <c r="X6366" t="s">
        <v>58</v>
      </c>
      <c r="Y6366">
        <v>25</v>
      </c>
      <c r="Z6366" t="s">
        <v>59</v>
      </c>
      <c r="AA6366" t="s">
        <v>59</v>
      </c>
      <c r="AB6366" t="s">
        <v>59</v>
      </c>
      <c r="AC6366" t="s">
        <v>59</v>
      </c>
      <c r="AD6366" t="s">
        <v>59</v>
      </c>
      <c r="AF6366" s="1">
        <v>38600</v>
      </c>
      <c r="AG6366" t="s">
        <v>8651</v>
      </c>
      <c r="AH6366" t="s">
        <v>8652</v>
      </c>
      <c r="AI6366" t="str">
        <f>"9170500"</f>
        <v>9170500</v>
      </c>
      <c r="AJ6366" t="s">
        <v>10433</v>
      </c>
      <c r="AK6366">
        <v>2810332170</v>
      </c>
      <c r="AL6366" t="s">
        <v>10434</v>
      </c>
      <c r="AM6366" t="s">
        <v>78</v>
      </c>
      <c r="AN6366" t="s">
        <v>219</v>
      </c>
      <c r="AO6366" t="s">
        <v>297</v>
      </c>
      <c r="AP6366" t="s">
        <v>8796</v>
      </c>
      <c r="AQ6366">
        <v>7</v>
      </c>
      <c r="AR6366" t="s">
        <v>80</v>
      </c>
      <c r="AS6366" t="s">
        <v>81</v>
      </c>
      <c r="AT6366" t="s">
        <v>58</v>
      </c>
      <c r="AU6366" t="s">
        <v>68</v>
      </c>
      <c r="AV6366" t="s">
        <v>69</v>
      </c>
      <c r="AW6366" s="1">
        <v>27560</v>
      </c>
      <c r="AX6366">
        <v>1</v>
      </c>
    </row>
    <row r="6367" spans="1:50">
      <c r="A6367">
        <v>622087</v>
      </c>
      <c r="B6367" t="str">
        <f>"139148049"</f>
        <v>139148049</v>
      </c>
      <c r="C6367" t="s">
        <v>50</v>
      </c>
      <c r="D6367" t="s">
        <v>10815</v>
      </c>
      <c r="E6367" t="s">
        <v>237</v>
      </c>
      <c r="F6367" t="s">
        <v>383</v>
      </c>
      <c r="G6367" t="s">
        <v>83</v>
      </c>
      <c r="H6367" t="str">
        <f>"Ηροδότου 39 Ηράκλειο"</f>
        <v>Ηροδότου 39 Ηράκλειο</v>
      </c>
      <c r="J6367">
        <v>2109424472</v>
      </c>
      <c r="K6367">
        <v>6974397697</v>
      </c>
      <c r="M6367" t="s">
        <v>10816</v>
      </c>
      <c r="N6367" t="s">
        <v>615</v>
      </c>
      <c r="O6367" t="s">
        <v>616</v>
      </c>
      <c r="R6367" t="s">
        <v>57</v>
      </c>
      <c r="S6367">
        <v>4</v>
      </c>
      <c r="T6367">
        <v>653</v>
      </c>
      <c r="U6367" s="1">
        <v>40043</v>
      </c>
      <c r="V6367" t="s">
        <v>80</v>
      </c>
      <c r="W6367" t="s">
        <v>81</v>
      </c>
      <c r="X6367" t="s">
        <v>58</v>
      </c>
      <c r="Y6367">
        <v>24</v>
      </c>
      <c r="Z6367" t="s">
        <v>59</v>
      </c>
      <c r="AA6367" t="s">
        <v>59</v>
      </c>
      <c r="AB6367" t="s">
        <v>59</v>
      </c>
      <c r="AC6367" t="s">
        <v>59</v>
      </c>
      <c r="AD6367" t="s">
        <v>59</v>
      </c>
      <c r="AF6367" s="1">
        <v>40057</v>
      </c>
      <c r="AG6367" t="s">
        <v>8645</v>
      </c>
      <c r="AH6367" t="s">
        <v>8646</v>
      </c>
      <c r="AI6367" t="str">
        <f>"9170263"</f>
        <v>9170263</v>
      </c>
      <c r="AJ6367" t="s">
        <v>8942</v>
      </c>
      <c r="AK6367">
        <v>2810346939</v>
      </c>
      <c r="AL6367" t="s">
        <v>8943</v>
      </c>
      <c r="AM6367" t="s">
        <v>78</v>
      </c>
      <c r="AN6367" t="s">
        <v>78</v>
      </c>
      <c r="AO6367" t="s">
        <v>286</v>
      </c>
      <c r="AP6367" t="s">
        <v>286</v>
      </c>
      <c r="AQ6367">
        <v>1</v>
      </c>
      <c r="AR6367" t="s">
        <v>80</v>
      </c>
      <c r="AS6367" t="s">
        <v>81</v>
      </c>
      <c r="AT6367" t="s">
        <v>58</v>
      </c>
      <c r="AU6367" t="s">
        <v>68</v>
      </c>
      <c r="AV6367" t="s">
        <v>69</v>
      </c>
      <c r="AW6367" s="1">
        <v>31419</v>
      </c>
      <c r="AX6367">
        <v>1</v>
      </c>
    </row>
    <row r="6368" spans="1:50">
      <c r="B6368" t="str">
        <f>"138274197"</f>
        <v>138274197</v>
      </c>
      <c r="C6368" t="s">
        <v>105</v>
      </c>
      <c r="D6368" t="s">
        <v>10817</v>
      </c>
      <c r="E6368" t="s">
        <v>670</v>
      </c>
      <c r="F6368" t="s">
        <v>84</v>
      </c>
      <c r="G6368" t="s">
        <v>8018</v>
      </c>
      <c r="H6368" t="str">
        <f>" "</f>
        <v xml:space="preserve"> </v>
      </c>
      <c r="N6368" t="s">
        <v>683</v>
      </c>
      <c r="O6368" t="s">
        <v>684</v>
      </c>
      <c r="R6368" t="s">
        <v>121</v>
      </c>
      <c r="S6368">
        <v>1</v>
      </c>
      <c r="T6368" t="s">
        <v>8675</v>
      </c>
      <c r="U6368" s="1">
        <v>43348</v>
      </c>
      <c r="V6368" t="s">
        <v>80</v>
      </c>
      <c r="W6368" t="s">
        <v>81</v>
      </c>
      <c r="X6368" t="s">
        <v>58</v>
      </c>
      <c r="Y6368">
        <v>24</v>
      </c>
      <c r="Z6368" t="s">
        <v>59</v>
      </c>
      <c r="AD6368" t="s">
        <v>59</v>
      </c>
      <c r="AF6368" s="1">
        <v>43348</v>
      </c>
      <c r="AG6368" t="s">
        <v>8645</v>
      </c>
      <c r="AH6368" t="s">
        <v>8646</v>
      </c>
      <c r="AI6368" t="str">
        <f>"9170120"</f>
        <v>9170120</v>
      </c>
      <c r="AJ6368" t="s">
        <v>9237</v>
      </c>
      <c r="AK6368">
        <v>2810881577</v>
      </c>
      <c r="AL6368" t="s">
        <v>9238</v>
      </c>
      <c r="AM6368" t="s">
        <v>78</v>
      </c>
      <c r="AN6368" t="s">
        <v>78</v>
      </c>
      <c r="AO6368" t="s">
        <v>78</v>
      </c>
      <c r="AP6368" t="s">
        <v>9239</v>
      </c>
      <c r="AQ6368">
        <v>1</v>
      </c>
      <c r="AR6368" t="s">
        <v>80</v>
      </c>
      <c r="AS6368" t="s">
        <v>81</v>
      </c>
      <c r="AT6368" t="s">
        <v>58</v>
      </c>
      <c r="AU6368" t="s">
        <v>8673</v>
      </c>
      <c r="AV6368" t="s">
        <v>132</v>
      </c>
      <c r="AW6368" s="1">
        <v>31432</v>
      </c>
      <c r="AX6368">
        <v>1</v>
      </c>
    </row>
    <row r="6369" spans="1:50">
      <c r="A6369">
        <v>599258</v>
      </c>
      <c r="B6369" t="str">
        <f>"074448417"</f>
        <v>074448417</v>
      </c>
      <c r="C6369" t="s">
        <v>50</v>
      </c>
      <c r="D6369" t="s">
        <v>10818</v>
      </c>
      <c r="E6369" t="s">
        <v>83</v>
      </c>
      <c r="F6369" t="s">
        <v>99</v>
      </c>
      <c r="G6369" t="s">
        <v>801</v>
      </c>
      <c r="H6369" t="str">
        <f>"ΚΡΟΥΣΩΝΑΣ ΗΡΑΚΛΕΙΟ"</f>
        <v>ΚΡΟΥΣΩΝΑΣ ΗΡΑΚΛΕΙΟ</v>
      </c>
      <c r="I6369">
        <v>70001</v>
      </c>
      <c r="J6369">
        <v>2462080470</v>
      </c>
      <c r="K6369">
        <v>6977445453</v>
      </c>
      <c r="M6369" t="s">
        <v>10819</v>
      </c>
      <c r="N6369" t="s">
        <v>615</v>
      </c>
      <c r="O6369" t="s">
        <v>616</v>
      </c>
      <c r="R6369" t="s">
        <v>57</v>
      </c>
      <c r="S6369">
        <v>9</v>
      </c>
      <c r="T6369">
        <v>195</v>
      </c>
      <c r="U6369" s="1">
        <v>37496</v>
      </c>
      <c r="V6369" t="s">
        <v>80</v>
      </c>
      <c r="W6369" t="s">
        <v>81</v>
      </c>
      <c r="X6369" t="s">
        <v>58</v>
      </c>
      <c r="Y6369">
        <v>21</v>
      </c>
      <c r="Z6369" t="s">
        <v>59</v>
      </c>
      <c r="AA6369" t="s">
        <v>59</v>
      </c>
      <c r="AB6369" t="s">
        <v>59</v>
      </c>
      <c r="AC6369" t="s">
        <v>59</v>
      </c>
      <c r="AD6369" t="s">
        <v>59</v>
      </c>
      <c r="AF6369" s="1">
        <v>37501</v>
      </c>
      <c r="AG6369" t="s">
        <v>8645</v>
      </c>
      <c r="AH6369" t="s">
        <v>8646</v>
      </c>
      <c r="AI6369" t="str">
        <f>"9170027"</f>
        <v>9170027</v>
      </c>
      <c r="AJ6369" t="s">
        <v>8704</v>
      </c>
      <c r="AK6369">
        <v>2810711207</v>
      </c>
      <c r="AL6369" t="s">
        <v>8705</v>
      </c>
      <c r="AM6369" t="s">
        <v>78</v>
      </c>
      <c r="AN6369" t="s">
        <v>129</v>
      </c>
      <c r="AO6369" t="s">
        <v>597</v>
      </c>
      <c r="AP6369" t="s">
        <v>598</v>
      </c>
      <c r="AQ6369">
        <v>4</v>
      </c>
      <c r="AR6369" t="s">
        <v>80</v>
      </c>
      <c r="AS6369" t="s">
        <v>81</v>
      </c>
      <c r="AT6369" t="s">
        <v>58</v>
      </c>
      <c r="AU6369" t="s">
        <v>68</v>
      </c>
      <c r="AV6369" t="s">
        <v>69</v>
      </c>
      <c r="AW6369" s="1">
        <v>23650</v>
      </c>
      <c r="AX6369">
        <v>1</v>
      </c>
    </row>
    <row r="6370" spans="1:50">
      <c r="B6370" t="str">
        <f>"139569250"</f>
        <v>139569250</v>
      </c>
      <c r="C6370" t="s">
        <v>50</v>
      </c>
      <c r="D6370" t="s">
        <v>10820</v>
      </c>
      <c r="E6370" t="s">
        <v>620</v>
      </c>
      <c r="F6370" t="s">
        <v>84</v>
      </c>
      <c r="G6370" t="s">
        <v>10821</v>
      </c>
      <c r="H6370" t="str">
        <f>"ΒΥΡΩΝΟΣ 6 "</f>
        <v xml:space="preserve">ΒΥΡΩΝΟΣ 6 </v>
      </c>
      <c r="I6370">
        <v>41500</v>
      </c>
      <c r="J6370">
        <v>2410922443</v>
      </c>
      <c r="K6370">
        <v>6932619426</v>
      </c>
      <c r="N6370" t="s">
        <v>1525</v>
      </c>
      <c r="O6370" t="s">
        <v>1526</v>
      </c>
      <c r="R6370" t="s">
        <v>159</v>
      </c>
      <c r="S6370">
        <v>1</v>
      </c>
      <c r="T6370" t="s">
        <v>8670</v>
      </c>
      <c r="U6370" s="1">
        <v>43348</v>
      </c>
      <c r="V6370" t="s">
        <v>80</v>
      </c>
      <c r="W6370" t="s">
        <v>81</v>
      </c>
      <c r="X6370" t="s">
        <v>58</v>
      </c>
      <c r="Y6370">
        <v>25</v>
      </c>
      <c r="Z6370" t="s">
        <v>59</v>
      </c>
      <c r="AA6370" t="s">
        <v>59</v>
      </c>
      <c r="AB6370" t="s">
        <v>59</v>
      </c>
      <c r="AC6370" t="s">
        <v>59</v>
      </c>
      <c r="AD6370" t="s">
        <v>59</v>
      </c>
      <c r="AF6370" s="1">
        <v>43348</v>
      </c>
      <c r="AG6370" t="s">
        <v>8651</v>
      </c>
      <c r="AH6370" t="s">
        <v>8652</v>
      </c>
      <c r="AI6370" t="str">
        <f>"9170420"</f>
        <v>9170420</v>
      </c>
      <c r="AJ6370" t="s">
        <v>9969</v>
      </c>
      <c r="AK6370">
        <v>2892042820</v>
      </c>
      <c r="AL6370" t="s">
        <v>9970</v>
      </c>
      <c r="AM6370" t="s">
        <v>78</v>
      </c>
      <c r="AN6370" t="s">
        <v>242</v>
      </c>
      <c r="AO6370" t="s">
        <v>243</v>
      </c>
      <c r="AP6370" t="s">
        <v>9285</v>
      </c>
      <c r="AQ6370">
        <v>18</v>
      </c>
      <c r="AR6370" t="s">
        <v>80</v>
      </c>
      <c r="AS6370" t="s">
        <v>81</v>
      </c>
      <c r="AT6370" t="s">
        <v>58</v>
      </c>
      <c r="AU6370" t="s">
        <v>8673</v>
      </c>
      <c r="AV6370" t="s">
        <v>132</v>
      </c>
      <c r="AW6370" s="1">
        <v>31171</v>
      </c>
      <c r="AX6370">
        <v>1</v>
      </c>
    </row>
    <row r="6371" spans="1:50">
      <c r="B6371" t="str">
        <f>"113449410"</f>
        <v>113449410</v>
      </c>
      <c r="C6371" t="s">
        <v>50</v>
      </c>
      <c r="D6371" t="s">
        <v>10822</v>
      </c>
      <c r="E6371" t="s">
        <v>237</v>
      </c>
      <c r="F6371" t="s">
        <v>450</v>
      </c>
      <c r="G6371" t="s">
        <v>755</v>
      </c>
      <c r="H6371" t="str">
        <f>" "</f>
        <v xml:space="preserve"> </v>
      </c>
      <c r="N6371" t="s">
        <v>683</v>
      </c>
      <c r="O6371" t="s">
        <v>684</v>
      </c>
      <c r="R6371" t="s">
        <v>121</v>
      </c>
      <c r="S6371">
        <v>1</v>
      </c>
      <c r="T6371" t="s">
        <v>8675</v>
      </c>
      <c r="U6371" s="1">
        <v>43348</v>
      </c>
      <c r="V6371" t="s">
        <v>80</v>
      </c>
      <c r="W6371" t="s">
        <v>81</v>
      </c>
      <c r="X6371" t="s">
        <v>58</v>
      </c>
      <c r="Y6371">
        <v>24</v>
      </c>
      <c r="Z6371" t="s">
        <v>59</v>
      </c>
      <c r="AA6371" t="s">
        <v>59</v>
      </c>
      <c r="AB6371" t="s">
        <v>59</v>
      </c>
      <c r="AD6371" t="s">
        <v>59</v>
      </c>
      <c r="AF6371" s="1">
        <v>43348</v>
      </c>
      <c r="AG6371" t="s">
        <v>8645</v>
      </c>
      <c r="AH6371" t="s">
        <v>8646</v>
      </c>
      <c r="AI6371" t="str">
        <f>"9170109"</f>
        <v>9170109</v>
      </c>
      <c r="AJ6371" t="s">
        <v>9056</v>
      </c>
      <c r="AK6371">
        <v>2810212659</v>
      </c>
      <c r="AL6371" t="s">
        <v>9057</v>
      </c>
      <c r="AM6371" t="s">
        <v>78</v>
      </c>
      <c r="AN6371" t="s">
        <v>78</v>
      </c>
      <c r="AO6371" t="s">
        <v>78</v>
      </c>
      <c r="AP6371" t="s">
        <v>163</v>
      </c>
      <c r="AQ6371">
        <v>1</v>
      </c>
      <c r="AR6371" t="s">
        <v>80</v>
      </c>
      <c r="AS6371" t="s">
        <v>81</v>
      </c>
      <c r="AT6371" t="s">
        <v>58</v>
      </c>
      <c r="AU6371" t="s">
        <v>8673</v>
      </c>
      <c r="AV6371" t="s">
        <v>132</v>
      </c>
      <c r="AW6371" s="1">
        <v>33110</v>
      </c>
      <c r="AX6371">
        <v>1</v>
      </c>
    </row>
    <row r="6372" spans="1:50">
      <c r="B6372" t="str">
        <f>"140159147"</f>
        <v>140159147</v>
      </c>
      <c r="C6372" t="s">
        <v>50</v>
      </c>
      <c r="D6372" t="s">
        <v>7907</v>
      </c>
      <c r="E6372" t="s">
        <v>476</v>
      </c>
      <c r="F6372" t="s">
        <v>53</v>
      </c>
      <c r="G6372" t="s">
        <v>52</v>
      </c>
      <c r="H6372" t="str">
        <f>"Μ.ΒΡΟΥΧΟΥ 8 ΙΑΛΥΣΟΣ ΡΟΔΟΣ"</f>
        <v>Μ.ΒΡΟΥΧΟΥ 8 ΙΑΛΥΣΟΣ ΡΟΔΟΣ</v>
      </c>
      <c r="I6372">
        <v>85101</v>
      </c>
      <c r="J6372">
        <v>2241093991</v>
      </c>
      <c r="K6372">
        <v>6974243448</v>
      </c>
      <c r="N6372" t="s">
        <v>337</v>
      </c>
      <c r="O6372" t="s">
        <v>338</v>
      </c>
      <c r="R6372" t="s">
        <v>159</v>
      </c>
      <c r="S6372">
        <v>3</v>
      </c>
      <c r="T6372" t="s">
        <v>8675</v>
      </c>
      <c r="U6372" s="1">
        <v>43348</v>
      </c>
      <c r="V6372" t="s">
        <v>80</v>
      </c>
      <c r="W6372" t="s">
        <v>81</v>
      </c>
      <c r="X6372" t="s">
        <v>58</v>
      </c>
      <c r="Y6372">
        <v>24</v>
      </c>
      <c r="Z6372" t="s">
        <v>59</v>
      </c>
      <c r="AA6372" t="s">
        <v>59</v>
      </c>
      <c r="AB6372" t="s">
        <v>59</v>
      </c>
      <c r="AC6372" t="s">
        <v>59</v>
      </c>
      <c r="AD6372" t="s">
        <v>59</v>
      </c>
      <c r="AF6372" s="1">
        <v>43348</v>
      </c>
      <c r="AG6372" t="s">
        <v>8645</v>
      </c>
      <c r="AH6372" t="s">
        <v>8646</v>
      </c>
      <c r="AI6372" t="str">
        <f>"9170144"</f>
        <v>9170144</v>
      </c>
      <c r="AJ6372" t="s">
        <v>8729</v>
      </c>
      <c r="AK6372">
        <v>2891022244</v>
      </c>
      <c r="AL6372" t="s">
        <v>8730</v>
      </c>
      <c r="AM6372" t="s">
        <v>78</v>
      </c>
      <c r="AN6372" t="s">
        <v>276</v>
      </c>
      <c r="AO6372" t="s">
        <v>490</v>
      </c>
      <c r="AP6372" t="s">
        <v>490</v>
      </c>
      <c r="AQ6372">
        <v>12</v>
      </c>
      <c r="AR6372" t="s">
        <v>80</v>
      </c>
      <c r="AS6372" t="s">
        <v>81</v>
      </c>
      <c r="AT6372" t="s">
        <v>58</v>
      </c>
      <c r="AU6372" t="s">
        <v>8673</v>
      </c>
      <c r="AV6372" t="s">
        <v>132</v>
      </c>
      <c r="AW6372" s="1">
        <v>29170</v>
      </c>
      <c r="AX6372">
        <v>1</v>
      </c>
    </row>
    <row r="6373" spans="1:50">
      <c r="A6373">
        <v>578437</v>
      </c>
      <c r="B6373" t="str">
        <f>"037694086"</f>
        <v>037694086</v>
      </c>
      <c r="C6373" t="s">
        <v>50</v>
      </c>
      <c r="D6373" t="s">
        <v>10823</v>
      </c>
      <c r="E6373" t="s">
        <v>877</v>
      </c>
      <c r="F6373" t="s">
        <v>84</v>
      </c>
      <c r="G6373" t="s">
        <v>73</v>
      </c>
      <c r="H6373" t="str">
        <f>" "</f>
        <v xml:space="preserve"> </v>
      </c>
      <c r="K6373">
        <v>6982003334</v>
      </c>
      <c r="N6373" t="s">
        <v>615</v>
      </c>
      <c r="O6373" t="s">
        <v>616</v>
      </c>
      <c r="R6373" t="s">
        <v>57</v>
      </c>
      <c r="S6373">
        <v>13</v>
      </c>
      <c r="T6373">
        <v>165</v>
      </c>
      <c r="U6373" s="1">
        <v>35300</v>
      </c>
      <c r="V6373" t="s">
        <v>80</v>
      </c>
      <c r="W6373" t="s">
        <v>81</v>
      </c>
      <c r="X6373" t="s">
        <v>58</v>
      </c>
      <c r="Y6373">
        <v>21</v>
      </c>
      <c r="Z6373" t="s">
        <v>59</v>
      </c>
      <c r="AA6373" t="s">
        <v>59</v>
      </c>
      <c r="AB6373" t="s">
        <v>59</v>
      </c>
      <c r="AC6373" t="s">
        <v>59</v>
      </c>
      <c r="AD6373" t="s">
        <v>59</v>
      </c>
      <c r="AF6373" s="1">
        <v>35310</v>
      </c>
      <c r="AG6373" t="s">
        <v>8645</v>
      </c>
      <c r="AH6373" t="s">
        <v>8646</v>
      </c>
      <c r="AI6373" t="str">
        <f>"9170097"</f>
        <v>9170097</v>
      </c>
      <c r="AJ6373" t="s">
        <v>8826</v>
      </c>
      <c r="AK6373">
        <v>2810751807</v>
      </c>
      <c r="AL6373" t="s">
        <v>8827</v>
      </c>
      <c r="AM6373" t="s">
        <v>78</v>
      </c>
      <c r="AN6373" t="s">
        <v>424</v>
      </c>
      <c r="AO6373" t="s">
        <v>425</v>
      </c>
      <c r="AP6373" t="s">
        <v>425</v>
      </c>
      <c r="AQ6373">
        <v>11</v>
      </c>
      <c r="AR6373" t="s">
        <v>80</v>
      </c>
      <c r="AS6373" t="s">
        <v>81</v>
      </c>
      <c r="AT6373" t="s">
        <v>58</v>
      </c>
      <c r="AU6373" t="s">
        <v>68</v>
      </c>
      <c r="AV6373" t="s">
        <v>69</v>
      </c>
      <c r="AW6373" s="1">
        <v>24655</v>
      </c>
      <c r="AX6373">
        <v>1</v>
      </c>
    </row>
    <row r="6374" spans="1:50">
      <c r="A6374">
        <v>567257</v>
      </c>
      <c r="B6374" t="str">
        <f>"037551978"</f>
        <v>037551978</v>
      </c>
      <c r="C6374" t="s">
        <v>50</v>
      </c>
      <c r="D6374" t="s">
        <v>10824</v>
      </c>
      <c r="E6374" t="s">
        <v>1443</v>
      </c>
      <c r="F6374" t="s">
        <v>760</v>
      </c>
      <c r="G6374" t="s">
        <v>83</v>
      </c>
      <c r="H6374" t="str">
        <f>"Λ. ΜΑΒΙΛΗ 19 "</f>
        <v xml:space="preserve">Λ. ΜΑΒΙΛΗ 19 </v>
      </c>
      <c r="K6374">
        <v>6972495788</v>
      </c>
      <c r="N6374" t="s">
        <v>615</v>
      </c>
      <c r="O6374" t="s">
        <v>616</v>
      </c>
      <c r="R6374" t="s">
        <v>57</v>
      </c>
      <c r="S6374">
        <v>15</v>
      </c>
      <c r="T6374">
        <v>133</v>
      </c>
      <c r="U6374" s="1">
        <v>33456</v>
      </c>
      <c r="V6374" t="s">
        <v>80</v>
      </c>
      <c r="W6374" t="s">
        <v>81</v>
      </c>
      <c r="X6374" t="s">
        <v>58</v>
      </c>
      <c r="Y6374">
        <v>21</v>
      </c>
      <c r="Z6374" t="s">
        <v>59</v>
      </c>
      <c r="AA6374" t="s">
        <v>59</v>
      </c>
      <c r="AB6374" t="s">
        <v>59</v>
      </c>
      <c r="AC6374" t="s">
        <v>59</v>
      </c>
      <c r="AD6374" t="s">
        <v>59</v>
      </c>
      <c r="AF6374" s="1">
        <v>33486</v>
      </c>
      <c r="AG6374" t="s">
        <v>8645</v>
      </c>
      <c r="AH6374" t="s">
        <v>8646</v>
      </c>
      <c r="AI6374" t="str">
        <f>"9170196"</f>
        <v>9170196</v>
      </c>
      <c r="AJ6374" t="s">
        <v>9255</v>
      </c>
      <c r="AK6374">
        <v>2810283356</v>
      </c>
      <c r="AL6374" t="s">
        <v>9256</v>
      </c>
      <c r="AM6374" t="s">
        <v>78</v>
      </c>
      <c r="AN6374" t="s">
        <v>78</v>
      </c>
      <c r="AO6374" t="s">
        <v>78</v>
      </c>
      <c r="AP6374" t="s">
        <v>79</v>
      </c>
      <c r="AQ6374">
        <v>1</v>
      </c>
      <c r="AR6374" t="s">
        <v>80</v>
      </c>
      <c r="AS6374" t="s">
        <v>81</v>
      </c>
      <c r="AT6374" t="s">
        <v>58</v>
      </c>
      <c r="AU6374" t="s">
        <v>68</v>
      </c>
      <c r="AV6374" t="s">
        <v>69</v>
      </c>
      <c r="AW6374" s="1">
        <v>24367</v>
      </c>
      <c r="AX6374">
        <v>1</v>
      </c>
    </row>
    <row r="6375" spans="1:50">
      <c r="A6375">
        <v>608534</v>
      </c>
      <c r="B6375" t="str">
        <f>"123650647"</f>
        <v>123650647</v>
      </c>
      <c r="C6375" t="s">
        <v>50</v>
      </c>
      <c r="D6375" t="s">
        <v>2875</v>
      </c>
      <c r="E6375" t="s">
        <v>352</v>
      </c>
      <c r="F6375" t="s">
        <v>72</v>
      </c>
      <c r="G6375" t="s">
        <v>610</v>
      </c>
      <c r="H6375" t="str">
        <f>"ΑΜΑΡΓΙΑΝΝΑΚΗ 18 ΗΡΑΚΛΕΙΟ"</f>
        <v>ΑΜΑΡΓΙΑΝΝΑΚΗ 18 ΗΡΑΚΛΕΙΟ</v>
      </c>
      <c r="I6375">
        <v>71410</v>
      </c>
      <c r="J6375">
        <v>2892023362</v>
      </c>
      <c r="K6375">
        <v>6973216365</v>
      </c>
      <c r="M6375" t="s">
        <v>10825</v>
      </c>
      <c r="N6375" t="s">
        <v>1525</v>
      </c>
      <c r="O6375" t="s">
        <v>1526</v>
      </c>
      <c r="R6375" t="s">
        <v>57</v>
      </c>
      <c r="S6375">
        <v>6</v>
      </c>
      <c r="T6375">
        <v>217</v>
      </c>
      <c r="U6375" s="1">
        <v>38596</v>
      </c>
      <c r="V6375" t="s">
        <v>80</v>
      </c>
      <c r="W6375" t="s">
        <v>81</v>
      </c>
      <c r="X6375" t="s">
        <v>58</v>
      </c>
      <c r="Y6375">
        <v>25</v>
      </c>
      <c r="Z6375" t="s">
        <v>59</v>
      </c>
      <c r="AA6375" t="s">
        <v>59</v>
      </c>
      <c r="AB6375" t="s">
        <v>59</v>
      </c>
      <c r="AC6375" t="s">
        <v>59</v>
      </c>
      <c r="AD6375" t="s">
        <v>59</v>
      </c>
      <c r="AF6375" s="1">
        <v>38600</v>
      </c>
      <c r="AG6375" t="s">
        <v>8651</v>
      </c>
      <c r="AH6375" t="s">
        <v>8652</v>
      </c>
      <c r="AI6375" t="str">
        <f>"9520695"</f>
        <v>9520695</v>
      </c>
      <c r="AJ6375" t="s">
        <v>8842</v>
      </c>
      <c r="AK6375">
        <v>2810235506</v>
      </c>
      <c r="AL6375" t="s">
        <v>8843</v>
      </c>
      <c r="AM6375" t="s">
        <v>78</v>
      </c>
      <c r="AN6375" t="s">
        <v>78</v>
      </c>
      <c r="AO6375" t="s">
        <v>78</v>
      </c>
      <c r="AP6375" t="s">
        <v>163</v>
      </c>
      <c r="AQ6375">
        <v>1</v>
      </c>
      <c r="AR6375" t="s">
        <v>80</v>
      </c>
      <c r="AS6375" t="s">
        <v>81</v>
      </c>
      <c r="AT6375" t="s">
        <v>58</v>
      </c>
      <c r="AU6375" t="s">
        <v>68</v>
      </c>
      <c r="AV6375" t="s">
        <v>69</v>
      </c>
      <c r="AW6375" s="1">
        <v>29641</v>
      </c>
      <c r="AX6375">
        <v>1</v>
      </c>
    </row>
    <row r="6376" spans="1:50">
      <c r="A6376">
        <v>700703</v>
      </c>
      <c r="B6376" t="str">
        <f>"136325759"</f>
        <v>136325759</v>
      </c>
      <c r="C6376" t="s">
        <v>105</v>
      </c>
      <c r="D6376" t="s">
        <v>7916</v>
      </c>
      <c r="E6376" t="s">
        <v>99</v>
      </c>
      <c r="F6376" t="s">
        <v>84</v>
      </c>
      <c r="G6376" t="s">
        <v>255</v>
      </c>
      <c r="H6376" t="str">
        <f>"ΝΙΚΟΜΗΔΕΙΑΣ 39 ΣΕΡΡΕΣ"</f>
        <v>ΝΙΚΟΜΗΔΕΙΑΣ 39 ΣΕΡΡΕΣ</v>
      </c>
      <c r="I6376">
        <v>62124</v>
      </c>
      <c r="J6376">
        <v>2321021859</v>
      </c>
      <c r="K6376">
        <v>6974191381</v>
      </c>
      <c r="N6376" t="s">
        <v>615</v>
      </c>
      <c r="O6376" t="s">
        <v>616</v>
      </c>
      <c r="R6376" t="s">
        <v>57</v>
      </c>
      <c r="S6376">
        <v>4</v>
      </c>
      <c r="T6376">
        <v>772</v>
      </c>
      <c r="U6376" s="1">
        <v>40444</v>
      </c>
      <c r="V6376" t="s">
        <v>80</v>
      </c>
      <c r="W6376" t="s">
        <v>81</v>
      </c>
      <c r="X6376" t="s">
        <v>58</v>
      </c>
      <c r="Y6376">
        <v>24</v>
      </c>
      <c r="Z6376" t="s">
        <v>59</v>
      </c>
      <c r="AA6376" t="s">
        <v>59</v>
      </c>
      <c r="AB6376" t="s">
        <v>59</v>
      </c>
      <c r="AC6376" t="s">
        <v>59</v>
      </c>
      <c r="AD6376" t="s">
        <v>59</v>
      </c>
      <c r="AF6376" s="1">
        <v>40444</v>
      </c>
      <c r="AG6376" t="s">
        <v>8645</v>
      </c>
      <c r="AH6376" t="s">
        <v>8646</v>
      </c>
      <c r="AI6376" t="str">
        <f>"9170144"</f>
        <v>9170144</v>
      </c>
      <c r="AJ6376" t="s">
        <v>8729</v>
      </c>
      <c r="AK6376">
        <v>2891022244</v>
      </c>
      <c r="AL6376" t="s">
        <v>8730</v>
      </c>
      <c r="AM6376" t="s">
        <v>78</v>
      </c>
      <c r="AN6376" t="s">
        <v>276</v>
      </c>
      <c r="AO6376" t="s">
        <v>490</v>
      </c>
      <c r="AP6376" t="s">
        <v>490</v>
      </c>
      <c r="AQ6376">
        <v>12</v>
      </c>
      <c r="AR6376" t="s">
        <v>80</v>
      </c>
      <c r="AS6376" t="s">
        <v>81</v>
      </c>
      <c r="AT6376" t="s">
        <v>58</v>
      </c>
      <c r="AU6376" t="s">
        <v>68</v>
      </c>
      <c r="AV6376" t="s">
        <v>69</v>
      </c>
      <c r="AW6376" s="1">
        <v>31421</v>
      </c>
      <c r="AX6376">
        <v>1</v>
      </c>
    </row>
    <row r="6377" spans="1:50">
      <c r="A6377">
        <v>614789</v>
      </c>
      <c r="B6377" t="str">
        <f>"116667812"</f>
        <v>116667812</v>
      </c>
      <c r="C6377" t="s">
        <v>50</v>
      </c>
      <c r="D6377" t="s">
        <v>10826</v>
      </c>
      <c r="E6377" t="s">
        <v>255</v>
      </c>
      <c r="F6377" t="s">
        <v>99</v>
      </c>
      <c r="G6377" t="s">
        <v>238</v>
      </c>
      <c r="H6377" t="str">
        <f>" "</f>
        <v xml:space="preserve"> </v>
      </c>
      <c r="J6377">
        <v>2891031926</v>
      </c>
      <c r="K6377">
        <v>6978625195</v>
      </c>
      <c r="N6377" t="s">
        <v>615</v>
      </c>
      <c r="O6377" t="s">
        <v>616</v>
      </c>
      <c r="R6377" t="s">
        <v>57</v>
      </c>
      <c r="S6377">
        <v>6</v>
      </c>
      <c r="T6377">
        <v>598</v>
      </c>
      <c r="U6377" s="1">
        <v>39310</v>
      </c>
      <c r="V6377" t="s">
        <v>80</v>
      </c>
      <c r="W6377" t="s">
        <v>81</v>
      </c>
      <c r="X6377" t="s">
        <v>58</v>
      </c>
      <c r="Y6377">
        <v>23</v>
      </c>
      <c r="Z6377" t="s">
        <v>59</v>
      </c>
      <c r="AA6377" t="s">
        <v>59</v>
      </c>
      <c r="AB6377" t="s">
        <v>59</v>
      </c>
      <c r="AC6377" t="s">
        <v>59</v>
      </c>
      <c r="AD6377" t="s">
        <v>59</v>
      </c>
      <c r="AF6377" s="1">
        <v>39328</v>
      </c>
      <c r="AG6377" t="s">
        <v>8645</v>
      </c>
      <c r="AH6377" t="s">
        <v>8646</v>
      </c>
      <c r="AI6377" t="str">
        <f>"9170235"</f>
        <v>9170235</v>
      </c>
      <c r="AJ6377" t="s">
        <v>8806</v>
      </c>
      <c r="AK6377">
        <v>2891031258</v>
      </c>
      <c r="AL6377" t="s">
        <v>8807</v>
      </c>
      <c r="AM6377" t="s">
        <v>78</v>
      </c>
      <c r="AN6377" t="s">
        <v>276</v>
      </c>
      <c r="AO6377" t="s">
        <v>277</v>
      </c>
      <c r="AP6377" t="s">
        <v>277</v>
      </c>
      <c r="AQ6377">
        <v>13</v>
      </c>
      <c r="AR6377" t="s">
        <v>80</v>
      </c>
      <c r="AS6377" t="s">
        <v>81</v>
      </c>
      <c r="AT6377" t="s">
        <v>58</v>
      </c>
      <c r="AU6377" t="s">
        <v>68</v>
      </c>
      <c r="AV6377" t="s">
        <v>69</v>
      </c>
      <c r="AW6377" s="1">
        <v>30766</v>
      </c>
      <c r="AX6377">
        <v>1</v>
      </c>
    </row>
    <row r="6378" spans="1:50">
      <c r="B6378" t="str">
        <f>"127933896"</f>
        <v>127933896</v>
      </c>
      <c r="C6378" t="s">
        <v>50</v>
      </c>
      <c r="D6378" t="s">
        <v>10827</v>
      </c>
      <c r="E6378" t="s">
        <v>476</v>
      </c>
      <c r="F6378" t="s">
        <v>95</v>
      </c>
      <c r="G6378" t="s">
        <v>396</v>
      </c>
      <c r="H6378" t="str">
        <f>"ΔΟΓΑΝΗ 22 "</f>
        <v xml:space="preserve">ΔΟΓΑΝΗ 22 </v>
      </c>
      <c r="I6378">
        <v>19100</v>
      </c>
      <c r="J6378">
        <v>2296023722</v>
      </c>
      <c r="K6378">
        <v>6972375027</v>
      </c>
      <c r="M6378" t="s">
        <v>10828</v>
      </c>
      <c r="N6378" t="s">
        <v>615</v>
      </c>
      <c r="O6378" t="s">
        <v>616</v>
      </c>
      <c r="R6378" t="s">
        <v>159</v>
      </c>
      <c r="S6378">
        <v>4</v>
      </c>
      <c r="T6378" t="s">
        <v>8675</v>
      </c>
      <c r="U6378" s="1">
        <v>43348</v>
      </c>
      <c r="V6378" t="s">
        <v>80</v>
      </c>
      <c r="W6378" t="s">
        <v>81</v>
      </c>
      <c r="X6378" t="s">
        <v>58</v>
      </c>
      <c r="Y6378">
        <v>24</v>
      </c>
      <c r="Z6378" t="s">
        <v>59</v>
      </c>
      <c r="AA6378" t="s">
        <v>59</v>
      </c>
      <c r="AB6378" t="s">
        <v>59</v>
      </c>
      <c r="AC6378" t="s">
        <v>59</v>
      </c>
      <c r="AD6378" t="s">
        <v>59</v>
      </c>
      <c r="AF6378" s="1">
        <v>43348</v>
      </c>
      <c r="AG6378" t="s">
        <v>8645</v>
      </c>
      <c r="AH6378" t="s">
        <v>8676</v>
      </c>
      <c r="AI6378" t="str">
        <f>"9170030"</f>
        <v>9170030</v>
      </c>
      <c r="AJ6378" t="s">
        <v>10829</v>
      </c>
      <c r="AK6378">
        <v>2810521240</v>
      </c>
      <c r="AL6378" t="s">
        <v>10830</v>
      </c>
      <c r="AM6378" t="s">
        <v>78</v>
      </c>
      <c r="AN6378" t="s">
        <v>129</v>
      </c>
      <c r="AO6378" t="s">
        <v>267</v>
      </c>
      <c r="AP6378" t="s">
        <v>10831</v>
      </c>
      <c r="AQ6378">
        <v>2</v>
      </c>
      <c r="AR6378" t="s">
        <v>80</v>
      </c>
      <c r="AS6378" t="s">
        <v>81</v>
      </c>
      <c r="AT6378" t="s">
        <v>58</v>
      </c>
      <c r="AU6378" t="s">
        <v>8673</v>
      </c>
      <c r="AV6378" t="s">
        <v>132</v>
      </c>
      <c r="AW6378" s="1">
        <v>31299</v>
      </c>
      <c r="AX6378">
        <v>1</v>
      </c>
    </row>
    <row r="6379" spans="1:50">
      <c r="A6379">
        <v>621260</v>
      </c>
      <c r="B6379" t="str">
        <f>"138978152"</f>
        <v>138978152</v>
      </c>
      <c r="C6379" t="s">
        <v>50</v>
      </c>
      <c r="D6379" t="s">
        <v>2886</v>
      </c>
      <c r="E6379" t="s">
        <v>73</v>
      </c>
      <c r="F6379" t="s">
        <v>95</v>
      </c>
      <c r="G6379" t="s">
        <v>1068</v>
      </c>
      <c r="H6379" t="str">
        <f>"ΝΑΥΣΙΚΑΣ 1 ΗΡΑΚΛΕΙΟ"</f>
        <v>ΝΑΥΣΙΚΑΣ 1 ΗΡΑΚΛΕΙΟ</v>
      </c>
      <c r="I6379">
        <v>71307</v>
      </c>
      <c r="J6379">
        <v>2810226914</v>
      </c>
      <c r="K6379">
        <v>6942225909</v>
      </c>
      <c r="N6379" t="s">
        <v>615</v>
      </c>
      <c r="O6379" t="s">
        <v>616</v>
      </c>
      <c r="R6379" t="s">
        <v>57</v>
      </c>
      <c r="S6379">
        <v>4</v>
      </c>
      <c r="T6379">
        <v>653</v>
      </c>
      <c r="U6379" s="1">
        <v>40043</v>
      </c>
      <c r="V6379" t="s">
        <v>80</v>
      </c>
      <c r="W6379" t="s">
        <v>81</v>
      </c>
      <c r="X6379" t="s">
        <v>58</v>
      </c>
      <c r="Y6379">
        <v>23</v>
      </c>
      <c r="Z6379" t="s">
        <v>59</v>
      </c>
      <c r="AA6379" t="s">
        <v>59</v>
      </c>
      <c r="AB6379" t="s">
        <v>59</v>
      </c>
      <c r="AC6379" t="s">
        <v>59</v>
      </c>
      <c r="AD6379" t="s">
        <v>59</v>
      </c>
      <c r="AF6379" s="1">
        <v>40043</v>
      </c>
      <c r="AG6379" t="s">
        <v>8645</v>
      </c>
      <c r="AH6379" t="s">
        <v>8646</v>
      </c>
      <c r="AI6379" t="str">
        <f>"9170247"</f>
        <v>9170247</v>
      </c>
      <c r="AJ6379" t="s">
        <v>9196</v>
      </c>
      <c r="AK6379">
        <v>2810731278</v>
      </c>
      <c r="AL6379" t="s">
        <v>9197</v>
      </c>
      <c r="AM6379" t="s">
        <v>78</v>
      </c>
      <c r="AN6379" t="s">
        <v>78</v>
      </c>
      <c r="AO6379" t="s">
        <v>78</v>
      </c>
      <c r="AP6379" t="s">
        <v>9198</v>
      </c>
      <c r="AQ6379">
        <v>11</v>
      </c>
      <c r="AR6379" t="s">
        <v>80</v>
      </c>
      <c r="AS6379" t="s">
        <v>81</v>
      </c>
      <c r="AT6379" t="s">
        <v>58</v>
      </c>
      <c r="AU6379" t="s">
        <v>68</v>
      </c>
      <c r="AV6379" t="s">
        <v>69</v>
      </c>
      <c r="AW6379" s="1">
        <v>30080</v>
      </c>
      <c r="AX6379">
        <v>1</v>
      </c>
    </row>
    <row r="6380" spans="1:50">
      <c r="A6380">
        <v>704015</v>
      </c>
      <c r="B6380" t="str">
        <f>"137456026"</f>
        <v>137456026</v>
      </c>
      <c r="C6380" t="s">
        <v>50</v>
      </c>
      <c r="D6380" t="s">
        <v>10832</v>
      </c>
      <c r="E6380" t="s">
        <v>73</v>
      </c>
      <c r="F6380" t="s">
        <v>72</v>
      </c>
      <c r="G6380" t="s">
        <v>83</v>
      </c>
      <c r="H6380" t="str">
        <f>"ΑΚΤΗ ΝΗΡΕΩΣ "</f>
        <v xml:space="preserve">ΑΚΤΗ ΝΗΡΕΩΣ </v>
      </c>
      <c r="I6380">
        <v>34500</v>
      </c>
      <c r="J6380">
        <v>2223024734</v>
      </c>
      <c r="K6380">
        <v>6978555756</v>
      </c>
      <c r="N6380" t="s">
        <v>1525</v>
      </c>
      <c r="O6380" t="s">
        <v>1526</v>
      </c>
      <c r="R6380" t="s">
        <v>57</v>
      </c>
      <c r="S6380">
        <v>2</v>
      </c>
      <c r="T6380">
        <v>1350</v>
      </c>
      <c r="U6380" s="1">
        <v>42732</v>
      </c>
      <c r="V6380" t="s">
        <v>80</v>
      </c>
      <c r="W6380" t="s">
        <v>81</v>
      </c>
      <c r="X6380" t="s">
        <v>58</v>
      </c>
      <c r="Y6380">
        <v>25</v>
      </c>
      <c r="Z6380" t="s">
        <v>59</v>
      </c>
      <c r="AA6380" t="s">
        <v>59</v>
      </c>
      <c r="AB6380" t="s">
        <v>59</v>
      </c>
      <c r="AC6380" t="s">
        <v>59</v>
      </c>
      <c r="AD6380" t="s">
        <v>59</v>
      </c>
      <c r="AF6380" s="1">
        <v>42734</v>
      </c>
      <c r="AG6380" t="s">
        <v>8651</v>
      </c>
      <c r="AH6380" t="s">
        <v>8652</v>
      </c>
      <c r="AI6380" t="str">
        <f>"9170371"</f>
        <v>9170371</v>
      </c>
      <c r="AJ6380" t="s">
        <v>9526</v>
      </c>
      <c r="AK6380">
        <v>2891031438</v>
      </c>
      <c r="AL6380" t="s">
        <v>9527</v>
      </c>
      <c r="AM6380" t="s">
        <v>78</v>
      </c>
      <c r="AN6380" t="s">
        <v>276</v>
      </c>
      <c r="AO6380" t="s">
        <v>277</v>
      </c>
      <c r="AP6380" t="s">
        <v>277</v>
      </c>
      <c r="AQ6380">
        <v>13</v>
      </c>
      <c r="AR6380" t="s">
        <v>80</v>
      </c>
      <c r="AS6380" t="s">
        <v>81</v>
      </c>
      <c r="AT6380" t="s">
        <v>58</v>
      </c>
      <c r="AU6380" t="s">
        <v>68</v>
      </c>
      <c r="AV6380" t="s">
        <v>69</v>
      </c>
      <c r="AW6380" s="1">
        <v>30317</v>
      </c>
      <c r="AX6380">
        <v>1</v>
      </c>
    </row>
    <row r="6381" spans="1:50">
      <c r="A6381">
        <v>610630</v>
      </c>
      <c r="B6381" t="str">
        <f>"123159739"</f>
        <v>123159739</v>
      </c>
      <c r="C6381" t="s">
        <v>50</v>
      </c>
      <c r="D6381" t="s">
        <v>10833</v>
      </c>
      <c r="E6381" t="s">
        <v>52</v>
      </c>
      <c r="F6381" t="s">
        <v>53</v>
      </c>
      <c r="G6381" t="s">
        <v>143</v>
      </c>
      <c r="H6381" t="str">
        <f>"ΜΟΥΣΩΝ ΑΜΜΟΥΔΑΡΑ ΓΑΖΙ"</f>
        <v>ΜΟΥΣΩΝ ΑΜΜΟΥΔΑΡΑ ΓΑΖΙ</v>
      </c>
      <c r="I6381">
        <v>71414</v>
      </c>
      <c r="J6381">
        <v>2810313232</v>
      </c>
      <c r="K6381">
        <v>6944344851</v>
      </c>
      <c r="M6381" t="s">
        <v>10834</v>
      </c>
      <c r="N6381" t="s">
        <v>615</v>
      </c>
      <c r="O6381" t="s">
        <v>616</v>
      </c>
      <c r="R6381" t="s">
        <v>57</v>
      </c>
      <c r="S6381">
        <v>8</v>
      </c>
      <c r="T6381">
        <v>233</v>
      </c>
      <c r="U6381" s="1">
        <v>38960</v>
      </c>
      <c r="V6381" t="s">
        <v>80</v>
      </c>
      <c r="W6381" t="s">
        <v>81</v>
      </c>
      <c r="X6381" t="s">
        <v>58</v>
      </c>
      <c r="Y6381">
        <v>23</v>
      </c>
      <c r="Z6381" t="s">
        <v>59</v>
      </c>
      <c r="AA6381" t="s">
        <v>59</v>
      </c>
      <c r="AB6381" t="s">
        <v>59</v>
      </c>
      <c r="AC6381" t="s">
        <v>59</v>
      </c>
      <c r="AD6381" t="s">
        <v>59</v>
      </c>
      <c r="AF6381" s="1">
        <v>38961</v>
      </c>
      <c r="AG6381" t="s">
        <v>8645</v>
      </c>
      <c r="AH6381" t="s">
        <v>8646</v>
      </c>
      <c r="AI6381" t="str">
        <f>"9170197"</f>
        <v>9170197</v>
      </c>
      <c r="AJ6381" t="s">
        <v>8989</v>
      </c>
      <c r="AK6381">
        <v>2810232577</v>
      </c>
      <c r="AL6381" t="s">
        <v>8990</v>
      </c>
      <c r="AM6381" t="s">
        <v>78</v>
      </c>
      <c r="AN6381" t="s">
        <v>78</v>
      </c>
      <c r="AO6381" t="s">
        <v>78</v>
      </c>
      <c r="AP6381" t="s">
        <v>163</v>
      </c>
      <c r="AQ6381">
        <v>1</v>
      </c>
      <c r="AR6381" t="s">
        <v>80</v>
      </c>
      <c r="AS6381" t="s">
        <v>81</v>
      </c>
      <c r="AT6381" t="s">
        <v>58</v>
      </c>
      <c r="AU6381" t="s">
        <v>68</v>
      </c>
      <c r="AV6381" t="s">
        <v>69</v>
      </c>
      <c r="AW6381" s="1">
        <v>30100</v>
      </c>
      <c r="AX6381">
        <v>1</v>
      </c>
    </row>
    <row r="6382" spans="1:50">
      <c r="B6382" t="str">
        <f>"113326016"</f>
        <v>113326016</v>
      </c>
      <c r="C6382" t="s">
        <v>50</v>
      </c>
      <c r="D6382" t="s">
        <v>10835</v>
      </c>
      <c r="E6382" t="s">
        <v>10836</v>
      </c>
      <c r="F6382" t="s">
        <v>5642</v>
      </c>
      <c r="G6382" t="s">
        <v>1440</v>
      </c>
      <c r="H6382" t="str">
        <f>"Αδραστίας 3 Κάτω Νεοχωρόπουλο"</f>
        <v>Αδραστίας 3 Κάτω Νεοχωρόπουλο</v>
      </c>
      <c r="I6382">
        <v>45500</v>
      </c>
      <c r="K6382">
        <v>6936531475</v>
      </c>
      <c r="M6382" t="s">
        <v>10837</v>
      </c>
      <c r="N6382" t="s">
        <v>627</v>
      </c>
      <c r="O6382" t="s">
        <v>628</v>
      </c>
      <c r="R6382" t="s">
        <v>121</v>
      </c>
      <c r="S6382">
        <v>1</v>
      </c>
      <c r="T6382" t="s">
        <v>8696</v>
      </c>
      <c r="U6382" s="1">
        <v>43348</v>
      </c>
      <c r="V6382" t="s">
        <v>80</v>
      </c>
      <c r="W6382" t="s">
        <v>81</v>
      </c>
      <c r="X6382" t="s">
        <v>58</v>
      </c>
      <c r="Y6382">
        <v>24</v>
      </c>
      <c r="Z6382" t="s">
        <v>59</v>
      </c>
      <c r="AA6382" t="s">
        <v>59</v>
      </c>
      <c r="AB6382" t="s">
        <v>59</v>
      </c>
      <c r="AD6382" t="s">
        <v>59</v>
      </c>
      <c r="AF6382" s="1">
        <v>43348</v>
      </c>
      <c r="AG6382" t="s">
        <v>8645</v>
      </c>
      <c r="AH6382" t="s">
        <v>8697</v>
      </c>
      <c r="AI6382" t="str">
        <f>"9170372"</f>
        <v>9170372</v>
      </c>
      <c r="AJ6382" t="s">
        <v>9296</v>
      </c>
      <c r="AK6382">
        <v>2810281754</v>
      </c>
      <c r="AL6382" t="s">
        <v>9297</v>
      </c>
      <c r="AM6382" t="s">
        <v>78</v>
      </c>
      <c r="AN6382" t="s">
        <v>78</v>
      </c>
      <c r="AO6382" t="s">
        <v>78</v>
      </c>
      <c r="AP6382" t="s">
        <v>79</v>
      </c>
      <c r="AQ6382">
        <v>1</v>
      </c>
      <c r="AR6382" t="s">
        <v>80</v>
      </c>
      <c r="AS6382" t="s">
        <v>81</v>
      </c>
      <c r="AT6382" t="s">
        <v>58</v>
      </c>
      <c r="AU6382" t="s">
        <v>350</v>
      </c>
      <c r="AV6382" t="s">
        <v>132</v>
      </c>
      <c r="AW6382" s="1">
        <v>31577</v>
      </c>
      <c r="AX6382">
        <v>1</v>
      </c>
    </row>
    <row r="6383" spans="1:50">
      <c r="A6383">
        <v>622605</v>
      </c>
      <c r="B6383" t="str">
        <f>"112979908"</f>
        <v>112979908</v>
      </c>
      <c r="C6383" t="s">
        <v>50</v>
      </c>
      <c r="D6383" t="s">
        <v>10838</v>
      </c>
      <c r="E6383" t="s">
        <v>934</v>
      </c>
      <c r="F6383" t="s">
        <v>72</v>
      </c>
      <c r="G6383" t="s">
        <v>181</v>
      </c>
      <c r="H6383" t="str">
        <f>" "</f>
        <v xml:space="preserve"> </v>
      </c>
      <c r="J6383">
        <v>2104941533</v>
      </c>
      <c r="K6383">
        <v>6937770134</v>
      </c>
      <c r="N6383" t="s">
        <v>1525</v>
      </c>
      <c r="O6383" t="s">
        <v>1526</v>
      </c>
      <c r="R6383" t="s">
        <v>57</v>
      </c>
      <c r="S6383">
        <v>4</v>
      </c>
      <c r="T6383">
        <v>653</v>
      </c>
      <c r="U6383" s="1">
        <v>40043</v>
      </c>
      <c r="V6383" t="s">
        <v>80</v>
      </c>
      <c r="W6383" t="s">
        <v>81</v>
      </c>
      <c r="X6383" t="s">
        <v>58</v>
      </c>
      <c r="Y6383">
        <v>25</v>
      </c>
      <c r="Z6383" t="s">
        <v>59</v>
      </c>
      <c r="AA6383" t="s">
        <v>59</v>
      </c>
      <c r="AB6383" t="s">
        <v>59</v>
      </c>
      <c r="AC6383" t="s">
        <v>59</v>
      </c>
      <c r="AD6383" t="s">
        <v>59</v>
      </c>
      <c r="AF6383" s="1">
        <v>40043</v>
      </c>
      <c r="AG6383" t="s">
        <v>8651</v>
      </c>
      <c r="AH6383" t="s">
        <v>8652</v>
      </c>
      <c r="AI6383" t="str">
        <f>"9170441"</f>
        <v>9170441</v>
      </c>
      <c r="AJ6383" t="s">
        <v>10839</v>
      </c>
      <c r="AK6383">
        <v>2810741759</v>
      </c>
      <c r="AL6383" t="s">
        <v>10840</v>
      </c>
      <c r="AM6383" t="s">
        <v>78</v>
      </c>
      <c r="AN6383" t="s">
        <v>424</v>
      </c>
      <c r="AO6383" t="s">
        <v>428</v>
      </c>
      <c r="AP6383" t="s">
        <v>8766</v>
      </c>
      <c r="AQ6383">
        <v>11</v>
      </c>
      <c r="AR6383" t="s">
        <v>80</v>
      </c>
      <c r="AS6383" t="s">
        <v>81</v>
      </c>
      <c r="AT6383" t="s">
        <v>58</v>
      </c>
      <c r="AU6383" t="s">
        <v>68</v>
      </c>
      <c r="AV6383" t="s">
        <v>69</v>
      </c>
      <c r="AW6383" s="1">
        <v>29371</v>
      </c>
      <c r="AX6383">
        <v>1</v>
      </c>
    </row>
    <row r="6384" spans="1:50">
      <c r="A6384">
        <v>610945</v>
      </c>
      <c r="B6384" t="str">
        <f>"117289505"</f>
        <v>117289505</v>
      </c>
      <c r="C6384" t="s">
        <v>105</v>
      </c>
      <c r="D6384" t="s">
        <v>10841</v>
      </c>
      <c r="E6384" t="s">
        <v>1761</v>
      </c>
      <c r="F6384" t="s">
        <v>383</v>
      </c>
      <c r="G6384" t="s">
        <v>181</v>
      </c>
      <c r="H6384" t="str">
        <f>"ΚΟΚΚΙΝΗ  ΧΑΝΙ ΗΡΑΚΛΕΙΟΥ"</f>
        <v>ΚΟΚΚΙΝΗ  ΧΑΝΙ ΗΡΑΚΛΕΙΟΥ</v>
      </c>
      <c r="I6384">
        <v>71500</v>
      </c>
      <c r="J6384">
        <v>2810761226</v>
      </c>
      <c r="K6384">
        <v>6980103523</v>
      </c>
      <c r="M6384" t="s">
        <v>10842</v>
      </c>
      <c r="N6384" t="s">
        <v>615</v>
      </c>
      <c r="O6384" t="s">
        <v>616</v>
      </c>
      <c r="R6384" t="s">
        <v>57</v>
      </c>
      <c r="S6384">
        <v>8</v>
      </c>
      <c r="T6384">
        <v>233</v>
      </c>
      <c r="U6384" s="1">
        <v>38960</v>
      </c>
      <c r="V6384" t="s">
        <v>80</v>
      </c>
      <c r="W6384" t="s">
        <v>81</v>
      </c>
      <c r="X6384" t="s">
        <v>58</v>
      </c>
      <c r="Y6384">
        <v>23</v>
      </c>
      <c r="Z6384" t="s">
        <v>59</v>
      </c>
      <c r="AA6384" t="s">
        <v>59</v>
      </c>
      <c r="AB6384" t="s">
        <v>59</v>
      </c>
      <c r="AC6384" t="s">
        <v>59</v>
      </c>
      <c r="AD6384" t="s">
        <v>59</v>
      </c>
      <c r="AF6384" s="1">
        <v>38961</v>
      </c>
      <c r="AG6384" t="s">
        <v>8645</v>
      </c>
      <c r="AH6384" t="s">
        <v>8646</v>
      </c>
      <c r="AI6384" t="str">
        <f>"9170520"</f>
        <v>9170520</v>
      </c>
      <c r="AJ6384" t="s">
        <v>8738</v>
      </c>
      <c r="AK6384">
        <v>2810281317</v>
      </c>
      <c r="AL6384" t="s">
        <v>8739</v>
      </c>
      <c r="AM6384" t="s">
        <v>78</v>
      </c>
      <c r="AN6384" t="s">
        <v>78</v>
      </c>
      <c r="AO6384" t="s">
        <v>286</v>
      </c>
      <c r="AP6384" t="s">
        <v>286</v>
      </c>
      <c r="AQ6384">
        <v>1</v>
      </c>
      <c r="AR6384" t="s">
        <v>80</v>
      </c>
      <c r="AS6384" t="s">
        <v>81</v>
      </c>
      <c r="AT6384" t="s">
        <v>58</v>
      </c>
      <c r="AU6384" t="s">
        <v>68</v>
      </c>
      <c r="AV6384" t="s">
        <v>69</v>
      </c>
      <c r="AW6384" s="1">
        <v>30306</v>
      </c>
      <c r="AX6384">
        <v>1</v>
      </c>
    </row>
    <row r="6385" spans="1:50">
      <c r="B6385" t="str">
        <f>"109791490"</f>
        <v>109791490</v>
      </c>
      <c r="C6385" t="s">
        <v>50</v>
      </c>
      <c r="D6385" t="s">
        <v>10843</v>
      </c>
      <c r="E6385" t="s">
        <v>9904</v>
      </c>
      <c r="F6385" t="s">
        <v>315</v>
      </c>
      <c r="G6385" t="s">
        <v>1120</v>
      </c>
      <c r="H6385" t="str">
        <f>"ΦΑΝΑΡΙΟΥ 22 "</f>
        <v xml:space="preserve">ΦΑΝΑΡΙΟΥ 22 </v>
      </c>
      <c r="I6385">
        <v>55133</v>
      </c>
      <c r="J6385">
        <v>2310434533</v>
      </c>
      <c r="K6385">
        <v>6939657770</v>
      </c>
      <c r="N6385" t="s">
        <v>615</v>
      </c>
      <c r="O6385" t="s">
        <v>616</v>
      </c>
      <c r="R6385" t="s">
        <v>159</v>
      </c>
      <c r="S6385">
        <v>4</v>
      </c>
      <c r="T6385" t="s">
        <v>8675</v>
      </c>
      <c r="U6385" s="1">
        <v>43348</v>
      </c>
      <c r="V6385" t="s">
        <v>80</v>
      </c>
      <c r="W6385" t="s">
        <v>81</v>
      </c>
      <c r="X6385" t="s">
        <v>58</v>
      </c>
      <c r="Y6385">
        <v>24</v>
      </c>
      <c r="Z6385" t="s">
        <v>59</v>
      </c>
      <c r="AA6385" t="s">
        <v>59</v>
      </c>
      <c r="AB6385" t="s">
        <v>59</v>
      </c>
      <c r="AC6385" t="s">
        <v>59</v>
      </c>
      <c r="AD6385" t="s">
        <v>59</v>
      </c>
      <c r="AF6385" s="1">
        <v>43348</v>
      </c>
      <c r="AG6385" t="s">
        <v>8645</v>
      </c>
      <c r="AH6385" t="s">
        <v>8646</v>
      </c>
      <c r="AI6385" t="str">
        <f>"9170144"</f>
        <v>9170144</v>
      </c>
      <c r="AJ6385" t="s">
        <v>8729</v>
      </c>
      <c r="AK6385">
        <v>2891022244</v>
      </c>
      <c r="AL6385" t="s">
        <v>8730</v>
      </c>
      <c r="AM6385" t="s">
        <v>78</v>
      </c>
      <c r="AN6385" t="s">
        <v>276</v>
      </c>
      <c r="AO6385" t="s">
        <v>490</v>
      </c>
      <c r="AP6385" t="s">
        <v>490</v>
      </c>
      <c r="AQ6385">
        <v>12</v>
      </c>
      <c r="AR6385" t="s">
        <v>80</v>
      </c>
      <c r="AS6385" t="s">
        <v>81</v>
      </c>
      <c r="AT6385" t="s">
        <v>58</v>
      </c>
      <c r="AU6385" t="s">
        <v>8673</v>
      </c>
      <c r="AV6385" t="s">
        <v>132</v>
      </c>
      <c r="AW6385" s="1">
        <v>32276</v>
      </c>
      <c r="AX6385">
        <v>1</v>
      </c>
    </row>
    <row r="6386" spans="1:50">
      <c r="A6386">
        <v>700356</v>
      </c>
      <c r="B6386" t="str">
        <f>"137739339"</f>
        <v>137739339</v>
      </c>
      <c r="C6386" t="s">
        <v>50</v>
      </c>
      <c r="D6386" t="s">
        <v>10844</v>
      </c>
      <c r="E6386" t="s">
        <v>237</v>
      </c>
      <c r="F6386" t="s">
        <v>670</v>
      </c>
      <c r="G6386" t="s">
        <v>10845</v>
      </c>
      <c r="H6386" t="str">
        <f>"ΑΘΑΝΑΣΙΟΥ ΔΙΑΚΟΥ 44Α ΚΑΤΕΡΙΝΗ"</f>
        <v>ΑΘΑΝΑΣΙΟΥ ΔΙΑΚΟΥ 44Α ΚΑΤΕΡΙΝΗ</v>
      </c>
      <c r="I6386">
        <v>60100</v>
      </c>
      <c r="J6386">
        <v>2351077931</v>
      </c>
      <c r="K6386">
        <v>6983170125</v>
      </c>
      <c r="L6386">
        <v>2815004556</v>
      </c>
      <c r="N6386" t="s">
        <v>615</v>
      </c>
      <c r="O6386" t="s">
        <v>616</v>
      </c>
      <c r="R6386" t="s">
        <v>57</v>
      </c>
      <c r="S6386">
        <v>4</v>
      </c>
      <c r="T6386">
        <v>772</v>
      </c>
      <c r="U6386" s="1">
        <v>40413</v>
      </c>
      <c r="V6386" t="s">
        <v>80</v>
      </c>
      <c r="W6386" t="s">
        <v>81</v>
      </c>
      <c r="X6386" t="s">
        <v>58</v>
      </c>
      <c r="Y6386">
        <v>23</v>
      </c>
      <c r="Z6386" t="s">
        <v>59</v>
      </c>
      <c r="AA6386" t="s">
        <v>59</v>
      </c>
      <c r="AB6386" t="s">
        <v>59</v>
      </c>
      <c r="AC6386" t="s">
        <v>59</v>
      </c>
      <c r="AD6386" t="s">
        <v>59</v>
      </c>
      <c r="AF6386" s="1">
        <v>40413</v>
      </c>
      <c r="AG6386" t="s">
        <v>8645</v>
      </c>
      <c r="AH6386" t="s">
        <v>8646</v>
      </c>
      <c r="AI6386" t="str">
        <f>"9170107"</f>
        <v>9170107</v>
      </c>
      <c r="AJ6386" t="s">
        <v>8798</v>
      </c>
      <c r="AK6386">
        <v>2810282405</v>
      </c>
      <c r="AL6386" t="s">
        <v>8799</v>
      </c>
      <c r="AM6386" t="s">
        <v>78</v>
      </c>
      <c r="AN6386" t="s">
        <v>78</v>
      </c>
      <c r="AO6386" t="s">
        <v>78</v>
      </c>
      <c r="AP6386" t="s">
        <v>79</v>
      </c>
      <c r="AQ6386">
        <v>1</v>
      </c>
      <c r="AR6386" t="s">
        <v>80</v>
      </c>
      <c r="AS6386" t="s">
        <v>81</v>
      </c>
      <c r="AT6386" t="s">
        <v>58</v>
      </c>
      <c r="AU6386" t="s">
        <v>68</v>
      </c>
      <c r="AV6386" t="s">
        <v>69</v>
      </c>
      <c r="AW6386" s="1">
        <v>30602</v>
      </c>
      <c r="AX6386">
        <v>1</v>
      </c>
    </row>
    <row r="6387" spans="1:50">
      <c r="A6387">
        <v>700427</v>
      </c>
      <c r="B6387" t="str">
        <f>"138105758"</f>
        <v>138105758</v>
      </c>
      <c r="C6387" t="s">
        <v>50</v>
      </c>
      <c r="D6387" t="s">
        <v>10846</v>
      </c>
      <c r="E6387" t="s">
        <v>155</v>
      </c>
      <c r="F6387" t="s">
        <v>72</v>
      </c>
      <c r="G6387" t="s">
        <v>143</v>
      </c>
      <c r="H6387" t="str">
        <f>"ΔΗΜΗΤΡΙΟΥ ΜΑΡΓΑΡΙΤΗ 2 ΘΕΣΣΑΛΟΝΙΚΗ"</f>
        <v>ΔΗΜΗΤΡΙΟΥ ΜΑΡΓΑΡΙΤΗ 2 ΘΕΣΣΑΛΟΝΙΚΗ</v>
      </c>
      <c r="I6387">
        <v>54621</v>
      </c>
      <c r="K6387">
        <v>6945581299</v>
      </c>
      <c r="N6387" t="s">
        <v>615</v>
      </c>
      <c r="O6387" t="s">
        <v>616</v>
      </c>
      <c r="R6387" t="s">
        <v>57</v>
      </c>
      <c r="S6387">
        <v>4</v>
      </c>
      <c r="T6387">
        <v>772</v>
      </c>
      <c r="U6387" s="1">
        <v>40413</v>
      </c>
      <c r="V6387" t="s">
        <v>80</v>
      </c>
      <c r="W6387" t="s">
        <v>81</v>
      </c>
      <c r="X6387" t="s">
        <v>58</v>
      </c>
      <c r="Y6387">
        <v>24</v>
      </c>
      <c r="Z6387" t="s">
        <v>59</v>
      </c>
      <c r="AA6387" t="s">
        <v>59</v>
      </c>
      <c r="AB6387" t="s">
        <v>59</v>
      </c>
      <c r="AC6387" t="s">
        <v>59</v>
      </c>
      <c r="AD6387" t="s">
        <v>59</v>
      </c>
      <c r="AF6387" s="1">
        <v>40413</v>
      </c>
      <c r="AG6387" t="s">
        <v>8645</v>
      </c>
      <c r="AH6387" t="s">
        <v>8646</v>
      </c>
      <c r="AI6387" t="str">
        <f>"9170200"</f>
        <v>9170200</v>
      </c>
      <c r="AJ6387" t="s">
        <v>9589</v>
      </c>
      <c r="AK6387">
        <v>2810741264</v>
      </c>
      <c r="AL6387" t="s">
        <v>9590</v>
      </c>
      <c r="AM6387" t="s">
        <v>78</v>
      </c>
      <c r="AN6387" t="s">
        <v>424</v>
      </c>
      <c r="AO6387" t="s">
        <v>428</v>
      </c>
      <c r="AP6387" t="s">
        <v>9591</v>
      </c>
      <c r="AQ6387">
        <v>11</v>
      </c>
      <c r="AR6387" t="s">
        <v>80</v>
      </c>
      <c r="AS6387" t="s">
        <v>81</v>
      </c>
      <c r="AT6387" t="s">
        <v>58</v>
      </c>
      <c r="AU6387" t="s">
        <v>68</v>
      </c>
      <c r="AV6387" t="s">
        <v>69</v>
      </c>
      <c r="AW6387" s="1">
        <v>31523</v>
      </c>
      <c r="AX6387">
        <v>1</v>
      </c>
    </row>
    <row r="6388" spans="1:50">
      <c r="A6388">
        <v>564852</v>
      </c>
      <c r="B6388" t="str">
        <f>"041837720"</f>
        <v>041837720</v>
      </c>
      <c r="C6388" t="s">
        <v>50</v>
      </c>
      <c r="D6388" t="s">
        <v>10847</v>
      </c>
      <c r="E6388" t="s">
        <v>1068</v>
      </c>
      <c r="F6388" t="s">
        <v>383</v>
      </c>
      <c r="G6388" t="s">
        <v>52</v>
      </c>
      <c r="H6388" t="str">
        <f>"ΜΟΝΗΣ ΠΡΕΒΕΛΗΣ 87 ΗΡΑΚΛΕΙΟ"</f>
        <v>ΜΟΝΗΣ ΠΡΕΒΕΛΗΣ 87 ΗΡΑΚΛΕΙΟ</v>
      </c>
      <c r="J6388">
        <v>2810257394</v>
      </c>
      <c r="K6388">
        <v>6946039428</v>
      </c>
      <c r="N6388" t="s">
        <v>615</v>
      </c>
      <c r="O6388" t="s">
        <v>616</v>
      </c>
      <c r="R6388" t="s">
        <v>57</v>
      </c>
      <c r="S6388">
        <v>15</v>
      </c>
      <c r="T6388">
        <v>161</v>
      </c>
      <c r="U6388" s="1">
        <v>33119</v>
      </c>
      <c r="V6388" t="s">
        <v>80</v>
      </c>
      <c r="W6388" t="s">
        <v>81</v>
      </c>
      <c r="X6388" t="s">
        <v>58</v>
      </c>
      <c r="Y6388">
        <v>21</v>
      </c>
      <c r="Z6388" t="s">
        <v>59</v>
      </c>
      <c r="AA6388" t="s">
        <v>59</v>
      </c>
      <c r="AB6388" t="s">
        <v>59</v>
      </c>
      <c r="AC6388" t="s">
        <v>59</v>
      </c>
      <c r="AD6388" t="s">
        <v>59</v>
      </c>
      <c r="AF6388" s="1">
        <v>33121</v>
      </c>
      <c r="AG6388" t="s">
        <v>8645</v>
      </c>
      <c r="AH6388" t="s">
        <v>8646</v>
      </c>
      <c r="AI6388" t="str">
        <f>"9170515"</f>
        <v>9170515</v>
      </c>
      <c r="AJ6388" t="s">
        <v>8790</v>
      </c>
      <c r="AK6388">
        <v>2810254821</v>
      </c>
      <c r="AL6388" t="s">
        <v>8791</v>
      </c>
      <c r="AM6388" t="s">
        <v>78</v>
      </c>
      <c r="AN6388" t="s">
        <v>78</v>
      </c>
      <c r="AO6388" t="s">
        <v>78</v>
      </c>
      <c r="AP6388" t="s">
        <v>163</v>
      </c>
      <c r="AQ6388">
        <v>1</v>
      </c>
      <c r="AR6388" t="s">
        <v>80</v>
      </c>
      <c r="AS6388" t="s">
        <v>81</v>
      </c>
      <c r="AT6388" t="s">
        <v>58</v>
      </c>
      <c r="AU6388" t="s">
        <v>68</v>
      </c>
      <c r="AV6388" t="s">
        <v>69</v>
      </c>
      <c r="AW6388" s="1">
        <v>23129</v>
      </c>
      <c r="AX6388">
        <v>1</v>
      </c>
    </row>
    <row r="6389" spans="1:50">
      <c r="B6389" t="str">
        <f>"143662871"</f>
        <v>143662871</v>
      </c>
      <c r="C6389" t="s">
        <v>50</v>
      </c>
      <c r="D6389" t="s">
        <v>10848</v>
      </c>
      <c r="E6389" t="s">
        <v>83</v>
      </c>
      <c r="F6389" t="s">
        <v>670</v>
      </c>
      <c r="G6389" t="s">
        <v>5887</v>
      </c>
      <c r="H6389" t="str">
        <f>"ΑΓΙΟΥ ΓΕΩΡΓΙΟΥ 88 "</f>
        <v xml:space="preserve">ΑΓΙΟΥ ΓΕΩΡΓΙΟΥ 88 </v>
      </c>
      <c r="I6389">
        <v>35001</v>
      </c>
      <c r="J6389">
        <v>2233052271</v>
      </c>
      <c r="K6389">
        <v>6982024102</v>
      </c>
      <c r="N6389" t="s">
        <v>615</v>
      </c>
      <c r="O6389" t="s">
        <v>616</v>
      </c>
      <c r="R6389" t="s">
        <v>159</v>
      </c>
      <c r="S6389">
        <v>5</v>
      </c>
      <c r="T6389" t="s">
        <v>8675</v>
      </c>
      <c r="U6389" s="1">
        <v>43348</v>
      </c>
      <c r="V6389" t="s">
        <v>80</v>
      </c>
      <c r="W6389" t="s">
        <v>81</v>
      </c>
      <c r="X6389" t="s">
        <v>58</v>
      </c>
      <c r="Y6389">
        <v>24</v>
      </c>
      <c r="Z6389" t="s">
        <v>59</v>
      </c>
      <c r="AA6389" t="s">
        <v>59</v>
      </c>
      <c r="AB6389" t="s">
        <v>59</v>
      </c>
      <c r="AC6389" t="s">
        <v>59</v>
      </c>
      <c r="AD6389" t="s">
        <v>59</v>
      </c>
      <c r="AF6389" s="1">
        <v>43348</v>
      </c>
      <c r="AG6389" t="s">
        <v>8645</v>
      </c>
      <c r="AH6389" t="s">
        <v>8646</v>
      </c>
      <c r="AI6389" t="str">
        <f>"9170028"</f>
        <v>9170028</v>
      </c>
      <c r="AJ6389" t="s">
        <v>9791</v>
      </c>
      <c r="AK6389">
        <v>2810711204</v>
      </c>
      <c r="AL6389" t="s">
        <v>9792</v>
      </c>
      <c r="AM6389" t="s">
        <v>78</v>
      </c>
      <c r="AN6389" t="s">
        <v>129</v>
      </c>
      <c r="AO6389" t="s">
        <v>597</v>
      </c>
      <c r="AP6389" t="s">
        <v>598</v>
      </c>
      <c r="AQ6389">
        <v>4</v>
      </c>
      <c r="AR6389" t="s">
        <v>80</v>
      </c>
      <c r="AS6389" t="s">
        <v>81</v>
      </c>
      <c r="AT6389" t="s">
        <v>58</v>
      </c>
      <c r="AU6389" t="s">
        <v>8673</v>
      </c>
      <c r="AV6389" t="s">
        <v>132</v>
      </c>
      <c r="AW6389" s="1">
        <v>32194</v>
      </c>
      <c r="AX6389">
        <v>1</v>
      </c>
    </row>
    <row r="6390" spans="1:50">
      <c r="A6390">
        <v>601053</v>
      </c>
      <c r="B6390" t="str">
        <f>"047923786"</f>
        <v>047923786</v>
      </c>
      <c r="C6390" t="s">
        <v>50</v>
      </c>
      <c r="D6390" t="s">
        <v>10849</v>
      </c>
      <c r="E6390" t="s">
        <v>237</v>
      </c>
      <c r="F6390" t="s">
        <v>4071</v>
      </c>
      <c r="G6390" t="s">
        <v>52</v>
      </c>
      <c r="H6390" t="str">
        <f>"ΔΙΟΒΟΥΝΙΩΤΗ 1 ΗΡΑΚΛΕΙΟ"</f>
        <v>ΔΙΟΒΟΥΝΙΩΤΗ 1 ΗΡΑΚΛΕΙΟ</v>
      </c>
      <c r="I6390">
        <v>71305</v>
      </c>
      <c r="J6390">
        <v>2810313946</v>
      </c>
      <c r="K6390">
        <v>6946682009</v>
      </c>
      <c r="N6390" t="s">
        <v>615</v>
      </c>
      <c r="O6390" t="s">
        <v>616</v>
      </c>
      <c r="R6390" t="s">
        <v>57</v>
      </c>
      <c r="S6390">
        <v>8</v>
      </c>
      <c r="T6390">
        <v>207</v>
      </c>
      <c r="U6390" s="1">
        <v>37866</v>
      </c>
      <c r="V6390" t="s">
        <v>80</v>
      </c>
      <c r="W6390" t="s">
        <v>81</v>
      </c>
      <c r="X6390" t="s">
        <v>58</v>
      </c>
      <c r="Y6390">
        <v>22</v>
      </c>
      <c r="Z6390" t="s">
        <v>59</v>
      </c>
      <c r="AA6390" t="s">
        <v>59</v>
      </c>
      <c r="AB6390" t="s">
        <v>59</v>
      </c>
      <c r="AC6390" t="s">
        <v>59</v>
      </c>
      <c r="AD6390" t="s">
        <v>59</v>
      </c>
      <c r="AF6390" s="1">
        <v>37866</v>
      </c>
      <c r="AG6390" t="s">
        <v>8645</v>
      </c>
      <c r="AH6390" t="s">
        <v>8646</v>
      </c>
      <c r="AI6390" t="str">
        <f>"9170532"</f>
        <v>9170532</v>
      </c>
      <c r="AJ6390" t="s">
        <v>8945</v>
      </c>
      <c r="AK6390">
        <v>2810250330</v>
      </c>
      <c r="AL6390" t="s">
        <v>8946</v>
      </c>
      <c r="AM6390" t="s">
        <v>78</v>
      </c>
      <c r="AN6390" t="s">
        <v>78</v>
      </c>
      <c r="AO6390" t="s">
        <v>78</v>
      </c>
      <c r="AP6390" t="s">
        <v>141</v>
      </c>
      <c r="AQ6390">
        <v>1</v>
      </c>
      <c r="AR6390" t="s">
        <v>80</v>
      </c>
      <c r="AS6390" t="s">
        <v>81</v>
      </c>
      <c r="AT6390" t="s">
        <v>58</v>
      </c>
      <c r="AU6390" t="s">
        <v>68</v>
      </c>
      <c r="AV6390" t="s">
        <v>69</v>
      </c>
      <c r="AW6390" s="1">
        <v>26276</v>
      </c>
      <c r="AX6390">
        <v>1</v>
      </c>
    </row>
    <row r="6391" spans="1:50">
      <c r="B6391" t="str">
        <f>"065813661"</f>
        <v>065813661</v>
      </c>
      <c r="C6391" t="s">
        <v>50</v>
      </c>
      <c r="D6391" t="s">
        <v>10849</v>
      </c>
      <c r="E6391" t="s">
        <v>250</v>
      </c>
      <c r="F6391" t="s">
        <v>106</v>
      </c>
      <c r="G6391" t="s">
        <v>52</v>
      </c>
      <c r="H6391" t="str">
        <f>" "</f>
        <v xml:space="preserve"> </v>
      </c>
      <c r="N6391" t="s">
        <v>1525</v>
      </c>
      <c r="O6391" t="s">
        <v>1526</v>
      </c>
      <c r="R6391" t="s">
        <v>121</v>
      </c>
      <c r="S6391">
        <v>1</v>
      </c>
      <c r="T6391" t="s">
        <v>8670</v>
      </c>
      <c r="U6391" s="1">
        <v>43348</v>
      </c>
      <c r="V6391" t="s">
        <v>80</v>
      </c>
      <c r="W6391" t="s">
        <v>81</v>
      </c>
      <c r="X6391" t="s">
        <v>58</v>
      </c>
      <c r="Y6391">
        <v>25</v>
      </c>
      <c r="Z6391" t="s">
        <v>59</v>
      </c>
      <c r="AA6391" t="s">
        <v>59</v>
      </c>
      <c r="AB6391" t="s">
        <v>59</v>
      </c>
      <c r="AD6391" t="s">
        <v>59</v>
      </c>
      <c r="AF6391" s="1">
        <v>43348</v>
      </c>
      <c r="AG6391" t="s">
        <v>8651</v>
      </c>
      <c r="AH6391" t="s">
        <v>8652</v>
      </c>
      <c r="AI6391" t="str">
        <f>"9170476"</f>
        <v>9170476</v>
      </c>
      <c r="AJ6391" t="s">
        <v>8671</v>
      </c>
      <c r="AK6391">
        <v>2893041265</v>
      </c>
      <c r="AL6391" t="s">
        <v>8672</v>
      </c>
      <c r="AM6391" t="s">
        <v>78</v>
      </c>
      <c r="AN6391" t="s">
        <v>405</v>
      </c>
      <c r="AO6391" t="s">
        <v>405</v>
      </c>
      <c r="AP6391" t="s">
        <v>2895</v>
      </c>
      <c r="AQ6391">
        <v>17</v>
      </c>
      <c r="AR6391" t="s">
        <v>80</v>
      </c>
      <c r="AS6391" t="s">
        <v>81</v>
      </c>
      <c r="AT6391" t="s">
        <v>58</v>
      </c>
      <c r="AU6391" t="s">
        <v>8673</v>
      </c>
      <c r="AV6391" t="s">
        <v>132</v>
      </c>
      <c r="AW6391" s="1">
        <v>29827</v>
      </c>
      <c r="AX6391">
        <v>1</v>
      </c>
    </row>
    <row r="6392" spans="1:50">
      <c r="A6392">
        <v>568390</v>
      </c>
      <c r="B6392" t="str">
        <f>"070362839"</f>
        <v>070362839</v>
      </c>
      <c r="C6392" t="s">
        <v>50</v>
      </c>
      <c r="D6392" t="s">
        <v>10850</v>
      </c>
      <c r="E6392" t="s">
        <v>892</v>
      </c>
      <c r="F6392" t="s">
        <v>1679</v>
      </c>
      <c r="G6392" t="s">
        <v>1189</v>
      </c>
      <c r="H6392" t="str">
        <f>"ΕΜ. ΓΙΑΚΟΥΜΑΚΗ 49 ΗΡΑΚΛΕΙΟ ΗΡΑΚΛΕΙΟ"</f>
        <v>ΕΜ. ΓΙΑΚΟΥΜΑΚΗ 49 ΗΡΑΚΛΕΙΟ ΗΡΑΚΛΕΙΟ</v>
      </c>
      <c r="I6392">
        <v>71500</v>
      </c>
      <c r="J6392">
        <v>2810210708</v>
      </c>
      <c r="K6392">
        <v>6976157399</v>
      </c>
      <c r="N6392" t="s">
        <v>615</v>
      </c>
      <c r="O6392" t="s">
        <v>616</v>
      </c>
      <c r="R6392" t="s">
        <v>57</v>
      </c>
      <c r="S6392">
        <v>14</v>
      </c>
      <c r="T6392">
        <v>162</v>
      </c>
      <c r="U6392" s="1">
        <v>33844</v>
      </c>
      <c r="V6392" t="s">
        <v>80</v>
      </c>
      <c r="W6392" t="s">
        <v>81</v>
      </c>
      <c r="X6392" t="s">
        <v>58</v>
      </c>
      <c r="Y6392">
        <v>21</v>
      </c>
      <c r="Z6392" t="s">
        <v>59</v>
      </c>
      <c r="AA6392" t="s">
        <v>59</v>
      </c>
      <c r="AB6392" t="s">
        <v>59</v>
      </c>
      <c r="AC6392" t="s">
        <v>59</v>
      </c>
      <c r="AD6392" t="s">
        <v>59</v>
      </c>
      <c r="AF6392" s="1">
        <v>33848</v>
      </c>
      <c r="AG6392" t="s">
        <v>8645</v>
      </c>
      <c r="AH6392" t="s">
        <v>8646</v>
      </c>
      <c r="AI6392" t="str">
        <f>"9170343"</f>
        <v>9170343</v>
      </c>
      <c r="AJ6392" t="s">
        <v>8743</v>
      </c>
      <c r="AK6392">
        <v>2810283970</v>
      </c>
      <c r="AL6392" t="s">
        <v>8744</v>
      </c>
      <c r="AM6392" t="s">
        <v>78</v>
      </c>
      <c r="AN6392" t="s">
        <v>78</v>
      </c>
      <c r="AO6392" t="s">
        <v>78</v>
      </c>
      <c r="AP6392" t="s">
        <v>79</v>
      </c>
      <c r="AQ6392">
        <v>1</v>
      </c>
      <c r="AR6392" t="s">
        <v>80</v>
      </c>
      <c r="AS6392" t="s">
        <v>81</v>
      </c>
      <c r="AT6392" t="s">
        <v>58</v>
      </c>
      <c r="AU6392" t="s">
        <v>68</v>
      </c>
      <c r="AV6392" t="s">
        <v>2039</v>
      </c>
      <c r="AW6392" s="1">
        <v>23092</v>
      </c>
      <c r="AX6392">
        <v>1</v>
      </c>
    </row>
    <row r="6393" spans="1:50">
      <c r="A6393">
        <v>575524</v>
      </c>
      <c r="B6393" t="str">
        <f>"103846604"</f>
        <v>103846604</v>
      </c>
      <c r="C6393" t="s">
        <v>50</v>
      </c>
      <c r="D6393" t="s">
        <v>10851</v>
      </c>
      <c r="E6393" t="s">
        <v>6392</v>
      </c>
      <c r="F6393" t="s">
        <v>95</v>
      </c>
      <c r="G6393" t="s">
        <v>237</v>
      </c>
      <c r="H6393" t="str">
        <f>"ΑΝΤΩΝΙΟΥ ΚΑΣΤΡΙΝΑΚΗ 30Α ΗΡΑΚΛΕΙΟΥ"</f>
        <v>ΑΝΤΩΝΙΟΥ ΚΑΣΤΡΙΝΑΚΗ 30Α ΗΡΑΚΛΕΙΟΥ</v>
      </c>
      <c r="I6393">
        <v>71305</v>
      </c>
      <c r="J6393">
        <v>2810213974</v>
      </c>
      <c r="K6393">
        <v>6945456963</v>
      </c>
      <c r="M6393" t="s">
        <v>10852</v>
      </c>
      <c r="N6393" t="s">
        <v>615</v>
      </c>
      <c r="O6393" t="s">
        <v>616</v>
      </c>
      <c r="R6393" t="s">
        <v>57</v>
      </c>
      <c r="S6393">
        <v>13</v>
      </c>
      <c r="T6393">
        <v>184</v>
      </c>
      <c r="U6393" s="1">
        <v>34941</v>
      </c>
      <c r="V6393" t="s">
        <v>80</v>
      </c>
      <c r="W6393" t="s">
        <v>81</v>
      </c>
      <c r="X6393" t="s">
        <v>58</v>
      </c>
      <c r="Y6393">
        <v>21</v>
      </c>
      <c r="Z6393" t="s">
        <v>59</v>
      </c>
      <c r="AA6393" t="s">
        <v>59</v>
      </c>
      <c r="AB6393" t="s">
        <v>59</v>
      </c>
      <c r="AC6393" t="s">
        <v>59</v>
      </c>
      <c r="AD6393" t="s">
        <v>59</v>
      </c>
      <c r="AF6393" s="1">
        <v>34943</v>
      </c>
      <c r="AG6393" t="s">
        <v>8645</v>
      </c>
      <c r="AH6393" t="s">
        <v>8646</v>
      </c>
      <c r="AI6393" t="str">
        <f>"9170343"</f>
        <v>9170343</v>
      </c>
      <c r="AJ6393" t="s">
        <v>8743</v>
      </c>
      <c r="AK6393">
        <v>2810283970</v>
      </c>
      <c r="AL6393" t="s">
        <v>8744</v>
      </c>
      <c r="AM6393" t="s">
        <v>78</v>
      </c>
      <c r="AN6393" t="s">
        <v>78</v>
      </c>
      <c r="AO6393" t="s">
        <v>78</v>
      </c>
      <c r="AP6393" t="s">
        <v>79</v>
      </c>
      <c r="AQ6393">
        <v>1</v>
      </c>
      <c r="AR6393" t="s">
        <v>80</v>
      </c>
      <c r="AS6393" t="s">
        <v>81</v>
      </c>
      <c r="AT6393" t="s">
        <v>58</v>
      </c>
      <c r="AU6393" t="s">
        <v>68</v>
      </c>
      <c r="AV6393" t="s">
        <v>69</v>
      </c>
      <c r="AW6393" s="1">
        <v>21634</v>
      </c>
      <c r="AX6393">
        <v>1</v>
      </c>
    </row>
    <row r="6394" spans="1:50">
      <c r="A6394">
        <v>613338</v>
      </c>
      <c r="B6394" t="str">
        <f>"121681745"</f>
        <v>121681745</v>
      </c>
      <c r="C6394" t="s">
        <v>50</v>
      </c>
      <c r="D6394" t="s">
        <v>2922</v>
      </c>
      <c r="E6394" t="s">
        <v>476</v>
      </c>
      <c r="F6394" t="s">
        <v>383</v>
      </c>
      <c r="G6394" t="s">
        <v>181</v>
      </c>
      <c r="H6394" t="str">
        <f>"ΜΗΤΡ. ΧΡΥΣΑΝΘΟΥ 15 ΘΕΣΣΑΛΟΝΙΚΗ"</f>
        <v>ΜΗΤΡ. ΧΡΥΣΑΝΘΟΥ 15 ΘΕΣΣΑΛΟΝΙΚΗ</v>
      </c>
      <c r="I6394">
        <v>55132</v>
      </c>
      <c r="J6394">
        <v>2310433607</v>
      </c>
      <c r="K6394">
        <v>6944415665</v>
      </c>
      <c r="M6394" t="s">
        <v>10853</v>
      </c>
      <c r="N6394" t="s">
        <v>615</v>
      </c>
      <c r="O6394" t="s">
        <v>616</v>
      </c>
      <c r="R6394" t="s">
        <v>57</v>
      </c>
      <c r="S6394">
        <v>6</v>
      </c>
      <c r="T6394">
        <v>598</v>
      </c>
      <c r="U6394" s="1">
        <v>39310</v>
      </c>
      <c r="V6394" t="s">
        <v>80</v>
      </c>
      <c r="W6394" t="s">
        <v>81</v>
      </c>
      <c r="X6394" t="s">
        <v>58</v>
      </c>
      <c r="Y6394">
        <v>23</v>
      </c>
      <c r="Z6394" t="s">
        <v>59</v>
      </c>
      <c r="AA6394" t="s">
        <v>59</v>
      </c>
      <c r="AB6394" t="s">
        <v>59</v>
      </c>
      <c r="AC6394" t="s">
        <v>59</v>
      </c>
      <c r="AD6394" t="s">
        <v>59</v>
      </c>
      <c r="AF6394" s="1">
        <v>39328</v>
      </c>
      <c r="AG6394" t="s">
        <v>8645</v>
      </c>
      <c r="AH6394" t="s">
        <v>8646</v>
      </c>
      <c r="AI6394" t="str">
        <f>"9170345"</f>
        <v>9170345</v>
      </c>
      <c r="AJ6394" t="s">
        <v>9429</v>
      </c>
      <c r="AK6394">
        <v>2810289563</v>
      </c>
      <c r="AL6394" t="s">
        <v>9430</v>
      </c>
      <c r="AM6394" t="s">
        <v>78</v>
      </c>
      <c r="AN6394" t="s">
        <v>78</v>
      </c>
      <c r="AO6394" t="s">
        <v>78</v>
      </c>
      <c r="AP6394" t="s">
        <v>79</v>
      </c>
      <c r="AQ6394">
        <v>1</v>
      </c>
      <c r="AR6394" t="s">
        <v>80</v>
      </c>
      <c r="AS6394" t="s">
        <v>81</v>
      </c>
      <c r="AT6394" t="s">
        <v>58</v>
      </c>
      <c r="AU6394" t="s">
        <v>68</v>
      </c>
      <c r="AV6394" t="s">
        <v>69</v>
      </c>
      <c r="AW6394" s="1">
        <v>30008</v>
      </c>
      <c r="AX6394">
        <v>1</v>
      </c>
    </row>
    <row r="6395" spans="1:50">
      <c r="B6395" t="str">
        <f>"103255620"</f>
        <v>103255620</v>
      </c>
      <c r="C6395" t="s">
        <v>50</v>
      </c>
      <c r="D6395" t="s">
        <v>2922</v>
      </c>
      <c r="E6395" t="s">
        <v>255</v>
      </c>
      <c r="F6395" t="s">
        <v>383</v>
      </c>
      <c r="G6395" t="s">
        <v>52</v>
      </c>
      <c r="H6395" t="str">
        <f>"ΜΑΓΝΗΣΙΑΣ 2 ΗΡΑΚΛΕΙΟ"</f>
        <v>ΜΑΓΝΗΣΙΑΣ 2 ΗΡΑΚΛΕΙΟ</v>
      </c>
      <c r="I6395">
        <v>71305</v>
      </c>
      <c r="J6395">
        <v>2810251784</v>
      </c>
      <c r="K6395">
        <v>6947776448</v>
      </c>
      <c r="N6395" t="s">
        <v>615</v>
      </c>
      <c r="O6395" t="s">
        <v>616</v>
      </c>
      <c r="R6395" t="s">
        <v>159</v>
      </c>
      <c r="S6395">
        <v>3</v>
      </c>
      <c r="T6395" t="s">
        <v>8675</v>
      </c>
      <c r="U6395" s="1">
        <v>43348</v>
      </c>
      <c r="V6395" t="s">
        <v>80</v>
      </c>
      <c r="W6395" t="s">
        <v>81</v>
      </c>
      <c r="X6395" t="s">
        <v>58</v>
      </c>
      <c r="Y6395">
        <v>24</v>
      </c>
      <c r="Z6395" t="s">
        <v>59</v>
      </c>
      <c r="AA6395" t="s">
        <v>59</v>
      </c>
      <c r="AB6395" t="s">
        <v>59</v>
      </c>
      <c r="AC6395" t="s">
        <v>59</v>
      </c>
      <c r="AD6395" t="s">
        <v>59</v>
      </c>
      <c r="AF6395" s="1">
        <v>43348</v>
      </c>
      <c r="AG6395" t="s">
        <v>8645</v>
      </c>
      <c r="AH6395" t="s">
        <v>8646</v>
      </c>
      <c r="AI6395" t="str">
        <f>"9170343"</f>
        <v>9170343</v>
      </c>
      <c r="AJ6395" t="s">
        <v>8743</v>
      </c>
      <c r="AK6395">
        <v>2810283970</v>
      </c>
      <c r="AL6395" t="s">
        <v>8744</v>
      </c>
      <c r="AM6395" t="s">
        <v>78</v>
      </c>
      <c r="AN6395" t="s">
        <v>78</v>
      </c>
      <c r="AO6395" t="s">
        <v>78</v>
      </c>
      <c r="AP6395" t="s">
        <v>79</v>
      </c>
      <c r="AQ6395">
        <v>1</v>
      </c>
      <c r="AR6395" t="s">
        <v>80</v>
      </c>
      <c r="AS6395" t="s">
        <v>81</v>
      </c>
      <c r="AT6395" t="s">
        <v>58</v>
      </c>
      <c r="AU6395" t="s">
        <v>8673</v>
      </c>
      <c r="AV6395" t="s">
        <v>132</v>
      </c>
      <c r="AW6395" s="1">
        <v>29775</v>
      </c>
      <c r="AX6395">
        <v>1</v>
      </c>
    </row>
    <row r="6396" spans="1:50">
      <c r="A6396">
        <v>605853</v>
      </c>
      <c r="B6396" t="str">
        <f>"121681769"</f>
        <v>121681769</v>
      </c>
      <c r="C6396" t="s">
        <v>50</v>
      </c>
      <c r="D6396" t="s">
        <v>2922</v>
      </c>
      <c r="E6396" t="s">
        <v>109</v>
      </c>
      <c r="F6396" t="s">
        <v>383</v>
      </c>
      <c r="G6396" t="s">
        <v>181</v>
      </c>
      <c r="H6396" t="str">
        <f>" "</f>
        <v xml:space="preserve"> </v>
      </c>
      <c r="J6396">
        <v>2310433607</v>
      </c>
      <c r="K6396">
        <v>6944323931</v>
      </c>
      <c r="N6396" t="s">
        <v>615</v>
      </c>
      <c r="O6396" t="s">
        <v>616</v>
      </c>
      <c r="R6396" t="s">
        <v>57</v>
      </c>
      <c r="S6396">
        <v>7</v>
      </c>
      <c r="T6396">
        <v>231</v>
      </c>
      <c r="U6396" s="1">
        <v>38230</v>
      </c>
      <c r="V6396" t="s">
        <v>80</v>
      </c>
      <c r="W6396" t="s">
        <v>81</v>
      </c>
      <c r="X6396" t="s">
        <v>58</v>
      </c>
      <c r="Y6396">
        <v>22</v>
      </c>
      <c r="Z6396" t="s">
        <v>59</v>
      </c>
      <c r="AA6396" t="s">
        <v>59</v>
      </c>
      <c r="AB6396" t="s">
        <v>59</v>
      </c>
      <c r="AC6396" t="s">
        <v>59</v>
      </c>
      <c r="AD6396" t="s">
        <v>59</v>
      </c>
      <c r="AF6396" s="1">
        <v>38233</v>
      </c>
      <c r="AG6396" t="s">
        <v>8645</v>
      </c>
      <c r="AH6396" t="s">
        <v>8646</v>
      </c>
      <c r="AI6396" t="str">
        <f>"9170102"</f>
        <v>9170102</v>
      </c>
      <c r="AJ6396" t="s">
        <v>9019</v>
      </c>
      <c r="AK6396">
        <v>2810283938</v>
      </c>
      <c r="AL6396" t="s">
        <v>9020</v>
      </c>
      <c r="AM6396" t="s">
        <v>78</v>
      </c>
      <c r="AN6396" t="s">
        <v>78</v>
      </c>
      <c r="AO6396" t="s">
        <v>78</v>
      </c>
      <c r="AP6396" t="s">
        <v>79</v>
      </c>
      <c r="AQ6396">
        <v>1</v>
      </c>
      <c r="AR6396" t="s">
        <v>80</v>
      </c>
      <c r="AS6396" t="s">
        <v>81</v>
      </c>
      <c r="AT6396" t="s">
        <v>58</v>
      </c>
      <c r="AU6396" t="s">
        <v>68</v>
      </c>
      <c r="AV6396" t="s">
        <v>69</v>
      </c>
      <c r="AW6396" s="1">
        <v>29068</v>
      </c>
      <c r="AX6396">
        <v>1</v>
      </c>
    </row>
    <row r="6397" spans="1:50">
      <c r="B6397" t="str">
        <f>"128021623"</f>
        <v>128021623</v>
      </c>
      <c r="C6397" t="s">
        <v>50</v>
      </c>
      <c r="D6397" t="s">
        <v>7940</v>
      </c>
      <c r="E6397" t="s">
        <v>10854</v>
      </c>
      <c r="F6397" t="s">
        <v>72</v>
      </c>
      <c r="G6397" t="s">
        <v>610</v>
      </c>
      <c r="H6397" t="str">
        <f>"ΜΕΣΟΓΕΙΩΝ 59 "</f>
        <v xml:space="preserve">ΜΕΣΟΓΕΙΩΝ 59 </v>
      </c>
      <c r="I6397">
        <v>17341</v>
      </c>
      <c r="J6397">
        <v>2109332809</v>
      </c>
      <c r="K6397">
        <v>6978363358</v>
      </c>
      <c r="N6397" t="s">
        <v>683</v>
      </c>
      <c r="O6397" t="s">
        <v>684</v>
      </c>
      <c r="R6397" t="s">
        <v>159</v>
      </c>
      <c r="S6397">
        <v>3</v>
      </c>
      <c r="T6397" t="s">
        <v>8675</v>
      </c>
      <c r="U6397" s="1">
        <v>43348</v>
      </c>
      <c r="V6397" t="s">
        <v>80</v>
      </c>
      <c r="W6397" t="s">
        <v>81</v>
      </c>
      <c r="X6397" t="s">
        <v>58</v>
      </c>
      <c r="Y6397">
        <v>24</v>
      </c>
      <c r="Z6397" t="s">
        <v>59</v>
      </c>
      <c r="AA6397" t="s">
        <v>59</v>
      </c>
      <c r="AB6397" t="s">
        <v>59</v>
      </c>
      <c r="AC6397" t="s">
        <v>59</v>
      </c>
      <c r="AD6397" t="s">
        <v>59</v>
      </c>
      <c r="AF6397" s="1">
        <v>43348</v>
      </c>
      <c r="AG6397" t="s">
        <v>8645</v>
      </c>
      <c r="AH6397" t="s">
        <v>8646</v>
      </c>
      <c r="AI6397" t="str">
        <f>"9170144"</f>
        <v>9170144</v>
      </c>
      <c r="AJ6397" t="s">
        <v>8729</v>
      </c>
      <c r="AK6397">
        <v>2891022244</v>
      </c>
      <c r="AL6397" t="s">
        <v>8730</v>
      </c>
      <c r="AM6397" t="s">
        <v>78</v>
      </c>
      <c r="AN6397" t="s">
        <v>276</v>
      </c>
      <c r="AO6397" t="s">
        <v>490</v>
      </c>
      <c r="AP6397" t="s">
        <v>490</v>
      </c>
      <c r="AQ6397">
        <v>12</v>
      </c>
      <c r="AR6397" t="s">
        <v>80</v>
      </c>
      <c r="AS6397" t="s">
        <v>81</v>
      </c>
      <c r="AT6397" t="s">
        <v>58</v>
      </c>
      <c r="AU6397" t="s">
        <v>8673</v>
      </c>
      <c r="AV6397" t="s">
        <v>132</v>
      </c>
      <c r="AW6397" s="1">
        <v>28518</v>
      </c>
      <c r="AX6397">
        <v>1</v>
      </c>
    </row>
    <row r="6398" spans="1:50">
      <c r="A6398">
        <v>608611</v>
      </c>
      <c r="B6398" t="str">
        <f>"123170732"</f>
        <v>123170732</v>
      </c>
      <c r="C6398" t="s">
        <v>50</v>
      </c>
      <c r="D6398" t="s">
        <v>7940</v>
      </c>
      <c r="E6398" t="s">
        <v>52</v>
      </c>
      <c r="F6398" t="s">
        <v>95</v>
      </c>
      <c r="G6398" t="s">
        <v>237</v>
      </c>
      <c r="H6398" t="str">
        <f>"ΕΘΝΙΚΗΣ ΑΝΤΙΣΤΑΣΕΩΣ 150 ΗΡΑΚΛΕΙΟ"</f>
        <v>ΕΘΝΙΚΗΣ ΑΝΤΙΣΤΑΣΕΩΣ 150 ΗΡΑΚΛΕΙΟ</v>
      </c>
      <c r="I6398">
        <v>71306</v>
      </c>
      <c r="J6398">
        <v>2810220193</v>
      </c>
      <c r="K6398">
        <v>6940859841</v>
      </c>
      <c r="N6398" t="s">
        <v>1525</v>
      </c>
      <c r="O6398" t="s">
        <v>1526</v>
      </c>
      <c r="R6398" t="s">
        <v>57</v>
      </c>
      <c r="S6398">
        <v>6</v>
      </c>
      <c r="T6398">
        <v>217</v>
      </c>
      <c r="U6398" s="1">
        <v>38596</v>
      </c>
      <c r="V6398" t="s">
        <v>80</v>
      </c>
      <c r="W6398" t="s">
        <v>81</v>
      </c>
      <c r="X6398" t="s">
        <v>58</v>
      </c>
      <c r="Y6398">
        <v>25</v>
      </c>
      <c r="Z6398" t="s">
        <v>59</v>
      </c>
      <c r="AA6398" t="s">
        <v>59</v>
      </c>
      <c r="AB6398" t="s">
        <v>59</v>
      </c>
      <c r="AC6398" t="s">
        <v>59</v>
      </c>
      <c r="AD6398" t="s">
        <v>59</v>
      </c>
      <c r="AF6398" s="1">
        <v>38600</v>
      </c>
      <c r="AG6398" t="s">
        <v>8651</v>
      </c>
      <c r="AH6398" t="s">
        <v>8652</v>
      </c>
      <c r="AI6398" t="str">
        <f>"9170403"</f>
        <v>9170403</v>
      </c>
      <c r="AJ6398" t="s">
        <v>9635</v>
      </c>
      <c r="AK6398">
        <v>2810257487</v>
      </c>
      <c r="AL6398" t="s">
        <v>9636</v>
      </c>
      <c r="AM6398" t="s">
        <v>78</v>
      </c>
      <c r="AN6398" t="s">
        <v>78</v>
      </c>
      <c r="AO6398" t="s">
        <v>78</v>
      </c>
      <c r="AP6398" t="s">
        <v>79</v>
      </c>
      <c r="AQ6398">
        <v>1</v>
      </c>
      <c r="AR6398" t="s">
        <v>80</v>
      </c>
      <c r="AS6398" t="s">
        <v>81</v>
      </c>
      <c r="AT6398" t="s">
        <v>58</v>
      </c>
      <c r="AU6398" t="s">
        <v>68</v>
      </c>
      <c r="AV6398" t="s">
        <v>69</v>
      </c>
      <c r="AW6398" s="1">
        <v>29415</v>
      </c>
      <c r="AX6398">
        <v>1</v>
      </c>
    </row>
    <row r="6399" spans="1:50">
      <c r="A6399">
        <v>614135</v>
      </c>
      <c r="B6399" t="str">
        <f>"067274275"</f>
        <v>067274275</v>
      </c>
      <c r="C6399" t="s">
        <v>50</v>
      </c>
      <c r="D6399" t="s">
        <v>7940</v>
      </c>
      <c r="E6399" t="s">
        <v>191</v>
      </c>
      <c r="F6399" t="s">
        <v>760</v>
      </c>
      <c r="G6399" t="s">
        <v>440</v>
      </c>
      <c r="H6399" t="str">
        <f>"ΘΕΣΣΑΛΟΝΙΚΗΣ 7 ΗΡΑΚΛΕΙΟ"</f>
        <v>ΘΕΣΣΑΛΟΝΙΚΗΣ 7 ΗΡΑΚΛΕΙΟ</v>
      </c>
      <c r="J6399">
        <v>2810824389</v>
      </c>
      <c r="K6399">
        <v>6977209401</v>
      </c>
      <c r="N6399" t="s">
        <v>615</v>
      </c>
      <c r="O6399" t="s">
        <v>616</v>
      </c>
      <c r="P6399" t="s">
        <v>232</v>
      </c>
      <c r="Q6399" t="s">
        <v>233</v>
      </c>
      <c r="R6399" t="s">
        <v>57</v>
      </c>
      <c r="S6399">
        <v>8</v>
      </c>
      <c r="T6399">
        <v>598</v>
      </c>
      <c r="U6399" s="1">
        <v>39310</v>
      </c>
      <c r="V6399" t="s">
        <v>80</v>
      </c>
      <c r="W6399" t="s">
        <v>81</v>
      </c>
      <c r="X6399" t="s">
        <v>58</v>
      </c>
      <c r="Y6399">
        <v>23</v>
      </c>
      <c r="Z6399" t="s">
        <v>59</v>
      </c>
      <c r="AA6399" t="s">
        <v>59</v>
      </c>
      <c r="AB6399" t="s">
        <v>59</v>
      </c>
      <c r="AC6399" t="s">
        <v>59</v>
      </c>
      <c r="AD6399" t="s">
        <v>59</v>
      </c>
      <c r="AF6399" s="1">
        <v>39328</v>
      </c>
      <c r="AG6399" t="s">
        <v>8645</v>
      </c>
      <c r="AH6399" t="s">
        <v>8646</v>
      </c>
      <c r="AI6399" t="str">
        <f>"9170431"</f>
        <v>9170431</v>
      </c>
      <c r="AJ6399" t="s">
        <v>8658</v>
      </c>
      <c r="AK6399">
        <v>2810250952</v>
      </c>
      <c r="AL6399" t="s">
        <v>8659</v>
      </c>
      <c r="AM6399" t="s">
        <v>78</v>
      </c>
      <c r="AN6399" t="s">
        <v>78</v>
      </c>
      <c r="AO6399" t="s">
        <v>78</v>
      </c>
      <c r="AP6399" t="s">
        <v>141</v>
      </c>
      <c r="AQ6399">
        <v>1</v>
      </c>
      <c r="AR6399" t="s">
        <v>80</v>
      </c>
      <c r="AS6399" t="s">
        <v>81</v>
      </c>
      <c r="AT6399" t="s">
        <v>58</v>
      </c>
      <c r="AU6399" t="s">
        <v>68</v>
      </c>
      <c r="AV6399" t="s">
        <v>69</v>
      </c>
      <c r="AW6399" s="1">
        <v>30711</v>
      </c>
      <c r="AX6399">
        <v>1</v>
      </c>
    </row>
    <row r="6400" spans="1:50">
      <c r="A6400">
        <v>560089</v>
      </c>
      <c r="B6400" t="str">
        <f>"031742993"</f>
        <v>031742993</v>
      </c>
      <c r="C6400" t="s">
        <v>50</v>
      </c>
      <c r="D6400" t="s">
        <v>10855</v>
      </c>
      <c r="E6400" t="s">
        <v>188</v>
      </c>
      <c r="F6400" t="s">
        <v>10856</v>
      </c>
      <c r="G6400" t="s">
        <v>52</v>
      </c>
      <c r="H6400" t="str">
        <f>"Ι. ΧΑΤΖΗΔΑΚΗ 2 ΗΡΑΚΛΕΙΟ"</f>
        <v>Ι. ΧΑΤΖΗΔΑΚΗ 2 ΗΡΑΚΛΕΙΟ</v>
      </c>
      <c r="I6400">
        <v>71414</v>
      </c>
      <c r="J6400">
        <v>2810259058</v>
      </c>
      <c r="K6400">
        <v>6972343546</v>
      </c>
      <c r="N6400" t="s">
        <v>615</v>
      </c>
      <c r="O6400" t="s">
        <v>616</v>
      </c>
      <c r="R6400" t="s">
        <v>57</v>
      </c>
      <c r="S6400">
        <v>15</v>
      </c>
      <c r="T6400">
        <v>185</v>
      </c>
      <c r="U6400" s="1">
        <v>32035</v>
      </c>
      <c r="V6400" t="s">
        <v>80</v>
      </c>
      <c r="W6400" t="s">
        <v>81</v>
      </c>
      <c r="X6400" t="s">
        <v>58</v>
      </c>
      <c r="Y6400">
        <v>21</v>
      </c>
      <c r="Z6400" t="s">
        <v>59</v>
      </c>
      <c r="AA6400" t="s">
        <v>59</v>
      </c>
      <c r="AB6400" t="s">
        <v>59</v>
      </c>
      <c r="AC6400" t="s">
        <v>59</v>
      </c>
      <c r="AD6400" t="s">
        <v>59</v>
      </c>
      <c r="AF6400" s="1">
        <v>32041</v>
      </c>
      <c r="AG6400" t="s">
        <v>8645</v>
      </c>
      <c r="AH6400" t="s">
        <v>8646</v>
      </c>
      <c r="AI6400" t="str">
        <f>"9170054"</f>
        <v>9170054</v>
      </c>
      <c r="AJ6400" t="s">
        <v>9106</v>
      </c>
      <c r="AK6400">
        <v>2810254527</v>
      </c>
      <c r="AL6400" t="s">
        <v>9107</v>
      </c>
      <c r="AM6400" t="s">
        <v>78</v>
      </c>
      <c r="AN6400" t="s">
        <v>78</v>
      </c>
      <c r="AO6400" t="s">
        <v>78</v>
      </c>
      <c r="AP6400" t="s">
        <v>163</v>
      </c>
      <c r="AQ6400">
        <v>1</v>
      </c>
      <c r="AR6400" t="s">
        <v>80</v>
      </c>
      <c r="AS6400" t="s">
        <v>81</v>
      </c>
      <c r="AT6400" t="s">
        <v>58</v>
      </c>
      <c r="AU6400" t="s">
        <v>68</v>
      </c>
      <c r="AV6400" t="s">
        <v>69</v>
      </c>
      <c r="AW6400" s="1">
        <v>23948</v>
      </c>
      <c r="AX6400">
        <v>1</v>
      </c>
    </row>
    <row r="6401" spans="1:50">
      <c r="A6401">
        <v>616852</v>
      </c>
      <c r="B6401" t="str">
        <f>"039482386"</f>
        <v>039482386</v>
      </c>
      <c r="C6401" t="s">
        <v>50</v>
      </c>
      <c r="D6401" t="s">
        <v>2927</v>
      </c>
      <c r="E6401" t="s">
        <v>109</v>
      </c>
      <c r="F6401" t="s">
        <v>99</v>
      </c>
      <c r="G6401" t="s">
        <v>250</v>
      </c>
      <c r="H6401" t="str">
        <f>"ΜΝΗΣΙΚΛΗ 21 ΗΡΑΚΛΕΙΟ"</f>
        <v>ΜΝΗΣΙΚΛΗ 21 ΗΡΑΚΛΕΙΟ</v>
      </c>
      <c r="J6401">
        <v>2810213606</v>
      </c>
      <c r="K6401">
        <v>6932430091</v>
      </c>
      <c r="N6401" t="s">
        <v>615</v>
      </c>
      <c r="O6401" t="s">
        <v>616</v>
      </c>
      <c r="R6401" t="s">
        <v>57</v>
      </c>
      <c r="S6401">
        <v>6</v>
      </c>
      <c r="T6401">
        <v>774</v>
      </c>
      <c r="U6401" s="1">
        <v>39680</v>
      </c>
      <c r="V6401" t="s">
        <v>80</v>
      </c>
      <c r="W6401" t="s">
        <v>81</v>
      </c>
      <c r="X6401" t="s">
        <v>58</v>
      </c>
      <c r="Y6401">
        <v>23</v>
      </c>
      <c r="Z6401" t="s">
        <v>59</v>
      </c>
      <c r="AA6401" t="s">
        <v>59</v>
      </c>
      <c r="AB6401" t="s">
        <v>59</v>
      </c>
      <c r="AC6401" t="s">
        <v>59</v>
      </c>
      <c r="AD6401" t="s">
        <v>59</v>
      </c>
      <c r="AF6401" s="1">
        <v>39681</v>
      </c>
      <c r="AG6401" t="s">
        <v>8645</v>
      </c>
      <c r="AH6401" t="s">
        <v>8646</v>
      </c>
      <c r="AI6401" t="str">
        <f>"9170108"</f>
        <v>9170108</v>
      </c>
      <c r="AJ6401" t="s">
        <v>8863</v>
      </c>
      <c r="AK6401">
        <v>2810232111</v>
      </c>
      <c r="AL6401" t="s">
        <v>8864</v>
      </c>
      <c r="AM6401" t="s">
        <v>78</v>
      </c>
      <c r="AN6401" t="s">
        <v>78</v>
      </c>
      <c r="AO6401" t="s">
        <v>78</v>
      </c>
      <c r="AP6401" t="s">
        <v>163</v>
      </c>
      <c r="AQ6401">
        <v>1</v>
      </c>
      <c r="AR6401" t="s">
        <v>80</v>
      </c>
      <c r="AS6401" t="s">
        <v>81</v>
      </c>
      <c r="AT6401" t="s">
        <v>58</v>
      </c>
      <c r="AU6401" t="s">
        <v>68</v>
      </c>
      <c r="AV6401" t="s">
        <v>69</v>
      </c>
      <c r="AW6401" s="1">
        <v>24088</v>
      </c>
      <c r="AX6401">
        <v>1</v>
      </c>
    </row>
    <row r="6402" spans="1:50">
      <c r="A6402">
        <v>607327</v>
      </c>
      <c r="B6402" t="str">
        <f>"132989548"</f>
        <v>132989548</v>
      </c>
      <c r="C6402" t="s">
        <v>50</v>
      </c>
      <c r="D6402" t="s">
        <v>10857</v>
      </c>
      <c r="E6402" t="s">
        <v>10858</v>
      </c>
      <c r="F6402" t="s">
        <v>760</v>
      </c>
      <c r="G6402" t="s">
        <v>52</v>
      </c>
      <c r="H6402" t="str">
        <f>"ΤΕΡΜΑ ΟΜΗΡΟΥ ΝΕΑ ΑΛΙΚΑΡΝΑΣΣΟΣ"</f>
        <v>ΤΕΡΜΑ ΟΜΗΡΟΥ ΝΕΑ ΑΛΙΚΑΡΝΑΣΣΟΣ</v>
      </c>
      <c r="I6402">
        <v>71601</v>
      </c>
      <c r="K6402">
        <v>6977471766</v>
      </c>
      <c r="N6402" t="s">
        <v>615</v>
      </c>
      <c r="O6402" t="s">
        <v>616</v>
      </c>
      <c r="R6402" t="s">
        <v>57</v>
      </c>
      <c r="S6402">
        <v>7</v>
      </c>
      <c r="T6402">
        <v>217</v>
      </c>
      <c r="U6402" s="1">
        <v>38596</v>
      </c>
      <c r="V6402" t="s">
        <v>80</v>
      </c>
      <c r="W6402" t="s">
        <v>81</v>
      </c>
      <c r="X6402" t="s">
        <v>58</v>
      </c>
      <c r="Y6402">
        <v>23</v>
      </c>
      <c r="Z6402" t="s">
        <v>59</v>
      </c>
      <c r="AA6402" t="s">
        <v>59</v>
      </c>
      <c r="AB6402" t="s">
        <v>59</v>
      </c>
      <c r="AC6402" t="s">
        <v>59</v>
      </c>
      <c r="AD6402" t="s">
        <v>59</v>
      </c>
      <c r="AF6402" s="1">
        <v>38600</v>
      </c>
      <c r="AG6402" t="s">
        <v>8645</v>
      </c>
      <c r="AH6402" t="s">
        <v>8646</v>
      </c>
      <c r="AI6402" t="str">
        <f>"9170427"</f>
        <v>9170427</v>
      </c>
      <c r="AJ6402" t="s">
        <v>8817</v>
      </c>
      <c r="AK6402">
        <v>2810220998</v>
      </c>
      <c r="AL6402" t="s">
        <v>8818</v>
      </c>
      <c r="AM6402" t="s">
        <v>78</v>
      </c>
      <c r="AN6402" t="s">
        <v>78</v>
      </c>
      <c r="AO6402" t="s">
        <v>286</v>
      </c>
      <c r="AP6402" t="s">
        <v>286</v>
      </c>
      <c r="AQ6402">
        <v>1</v>
      </c>
      <c r="AR6402" t="s">
        <v>80</v>
      </c>
      <c r="AS6402" t="s">
        <v>81</v>
      </c>
      <c r="AT6402" t="s">
        <v>58</v>
      </c>
      <c r="AU6402" t="s">
        <v>68</v>
      </c>
      <c r="AV6402" t="s">
        <v>69</v>
      </c>
      <c r="AW6402" s="1">
        <v>29269</v>
      </c>
      <c r="AX6402">
        <v>1</v>
      </c>
    </row>
    <row r="6403" spans="1:50">
      <c r="A6403">
        <v>619616</v>
      </c>
      <c r="B6403" t="str">
        <f>"110899187"</f>
        <v>110899187</v>
      </c>
      <c r="C6403" t="s">
        <v>50</v>
      </c>
      <c r="D6403" t="s">
        <v>10859</v>
      </c>
      <c r="E6403" t="s">
        <v>52</v>
      </c>
      <c r="F6403" t="s">
        <v>99</v>
      </c>
      <c r="G6403" t="s">
        <v>238</v>
      </c>
      <c r="H6403" t="str">
        <f>"Σίβα Ηρακλείου  ΗΡΑΚΛΕΙΟ"</f>
        <v>Σίβα Ηρακλείου  ΗΡΑΚΛΕΙΟ</v>
      </c>
      <c r="I6403">
        <v>70011</v>
      </c>
      <c r="K6403">
        <v>6976371481</v>
      </c>
      <c r="N6403" t="s">
        <v>1525</v>
      </c>
      <c r="O6403" t="s">
        <v>1526</v>
      </c>
      <c r="R6403" t="s">
        <v>57</v>
      </c>
      <c r="S6403">
        <v>5</v>
      </c>
      <c r="T6403">
        <v>774</v>
      </c>
      <c r="U6403" s="1">
        <v>39680</v>
      </c>
      <c r="V6403" t="s">
        <v>80</v>
      </c>
      <c r="W6403" t="s">
        <v>81</v>
      </c>
      <c r="X6403" t="s">
        <v>58</v>
      </c>
      <c r="Y6403">
        <v>25</v>
      </c>
      <c r="Z6403" t="s">
        <v>59</v>
      </c>
      <c r="AA6403" t="s">
        <v>59</v>
      </c>
      <c r="AB6403" t="s">
        <v>59</v>
      </c>
      <c r="AC6403" t="s">
        <v>59</v>
      </c>
      <c r="AD6403" t="s">
        <v>59</v>
      </c>
      <c r="AF6403" s="1">
        <v>39681</v>
      </c>
      <c r="AG6403" t="s">
        <v>8651</v>
      </c>
      <c r="AH6403" t="s">
        <v>8652</v>
      </c>
      <c r="AI6403" t="str">
        <f>"9170366"</f>
        <v>9170366</v>
      </c>
      <c r="AJ6403" t="s">
        <v>10126</v>
      </c>
      <c r="AK6403">
        <v>2810791740</v>
      </c>
      <c r="AL6403" t="s">
        <v>10127</v>
      </c>
      <c r="AM6403" t="s">
        <v>78</v>
      </c>
      <c r="AN6403" t="s">
        <v>78</v>
      </c>
      <c r="AO6403" t="s">
        <v>195</v>
      </c>
      <c r="AP6403" t="s">
        <v>196</v>
      </c>
      <c r="AQ6403">
        <v>3</v>
      </c>
      <c r="AR6403" t="s">
        <v>80</v>
      </c>
      <c r="AS6403" t="s">
        <v>81</v>
      </c>
      <c r="AT6403" t="s">
        <v>58</v>
      </c>
      <c r="AU6403" t="s">
        <v>68</v>
      </c>
      <c r="AV6403" t="s">
        <v>69</v>
      </c>
      <c r="AW6403" s="1">
        <v>30908</v>
      </c>
      <c r="AX6403">
        <v>1</v>
      </c>
    </row>
    <row r="6404" spans="1:50">
      <c r="A6404">
        <v>610181</v>
      </c>
      <c r="B6404" t="str">
        <f>"131014342"</f>
        <v>131014342</v>
      </c>
      <c r="C6404" t="s">
        <v>50</v>
      </c>
      <c r="D6404" t="s">
        <v>10860</v>
      </c>
      <c r="E6404" t="s">
        <v>52</v>
      </c>
      <c r="F6404" t="s">
        <v>53</v>
      </c>
      <c r="G6404" t="s">
        <v>569</v>
      </c>
      <c r="H6404" t="str">
        <f>"ΗΣΙΟΔΟΥ 14 ΗΡΑΚΛΕΙΟ"</f>
        <v>ΗΣΙΟΔΟΥ 14 ΗΡΑΚΛΕΙΟ</v>
      </c>
      <c r="J6404">
        <v>2810318839</v>
      </c>
      <c r="K6404">
        <v>6948298451</v>
      </c>
      <c r="M6404" t="s">
        <v>10861</v>
      </c>
      <c r="N6404" t="s">
        <v>615</v>
      </c>
      <c r="O6404" t="s">
        <v>616</v>
      </c>
      <c r="R6404" t="s">
        <v>57</v>
      </c>
      <c r="S6404">
        <v>7</v>
      </c>
      <c r="T6404">
        <v>233</v>
      </c>
      <c r="U6404" s="1">
        <v>38960</v>
      </c>
      <c r="V6404" t="s">
        <v>80</v>
      </c>
      <c r="W6404" t="s">
        <v>81</v>
      </c>
      <c r="X6404" t="s">
        <v>58</v>
      </c>
      <c r="Y6404">
        <v>23</v>
      </c>
      <c r="Z6404" t="s">
        <v>59</v>
      </c>
      <c r="AA6404" t="s">
        <v>59</v>
      </c>
      <c r="AB6404" t="s">
        <v>59</v>
      </c>
      <c r="AC6404" t="s">
        <v>59</v>
      </c>
      <c r="AD6404" t="s">
        <v>59</v>
      </c>
      <c r="AF6404" s="1">
        <v>38961</v>
      </c>
      <c r="AG6404" t="s">
        <v>8645</v>
      </c>
      <c r="AH6404" t="s">
        <v>8646</v>
      </c>
      <c r="AI6404" t="str">
        <f>"9170514"</f>
        <v>9170514</v>
      </c>
      <c r="AJ6404" t="s">
        <v>8801</v>
      </c>
      <c r="AK6404">
        <v>2810238666</v>
      </c>
      <c r="AL6404" t="s">
        <v>8802</v>
      </c>
      <c r="AM6404" t="s">
        <v>78</v>
      </c>
      <c r="AN6404" t="s">
        <v>78</v>
      </c>
      <c r="AO6404" t="s">
        <v>78</v>
      </c>
      <c r="AP6404" t="s">
        <v>163</v>
      </c>
      <c r="AQ6404">
        <v>1</v>
      </c>
      <c r="AR6404" t="s">
        <v>80</v>
      </c>
      <c r="AS6404" t="s">
        <v>81</v>
      </c>
      <c r="AT6404" t="s">
        <v>58</v>
      </c>
      <c r="AU6404" t="s">
        <v>68</v>
      </c>
      <c r="AV6404" t="s">
        <v>69</v>
      </c>
      <c r="AW6404" s="1">
        <v>29210</v>
      </c>
      <c r="AX6404">
        <v>1</v>
      </c>
    </row>
    <row r="6405" spans="1:50">
      <c r="B6405" t="str">
        <f>"142782281"</f>
        <v>142782281</v>
      </c>
      <c r="C6405" t="s">
        <v>50</v>
      </c>
      <c r="D6405" t="s">
        <v>10862</v>
      </c>
      <c r="E6405" t="s">
        <v>366</v>
      </c>
      <c r="F6405" t="s">
        <v>309</v>
      </c>
      <c r="G6405" t="s">
        <v>10863</v>
      </c>
      <c r="H6405" t="str">
        <f>"ΠΟΡΟΥ 6 "</f>
        <v xml:space="preserve">ΠΟΡΟΥ 6 </v>
      </c>
      <c r="I6405">
        <v>18757</v>
      </c>
      <c r="J6405">
        <v>2104324754</v>
      </c>
      <c r="K6405">
        <v>6974516015</v>
      </c>
      <c r="N6405" t="s">
        <v>1525</v>
      </c>
      <c r="O6405" t="s">
        <v>1526</v>
      </c>
      <c r="R6405" t="s">
        <v>159</v>
      </c>
      <c r="S6405">
        <v>3</v>
      </c>
      <c r="T6405" t="s">
        <v>8670</v>
      </c>
      <c r="U6405" s="1">
        <v>43348</v>
      </c>
      <c r="V6405" t="s">
        <v>80</v>
      </c>
      <c r="W6405" t="s">
        <v>81</v>
      </c>
      <c r="X6405" t="s">
        <v>58</v>
      </c>
      <c r="Y6405">
        <v>25</v>
      </c>
      <c r="Z6405" t="s">
        <v>59</v>
      </c>
      <c r="AA6405" t="s">
        <v>59</v>
      </c>
      <c r="AB6405" t="s">
        <v>59</v>
      </c>
      <c r="AC6405" t="s">
        <v>59</v>
      </c>
      <c r="AD6405" t="s">
        <v>59</v>
      </c>
      <c r="AF6405" s="1">
        <v>43348</v>
      </c>
      <c r="AG6405" t="s">
        <v>8651</v>
      </c>
      <c r="AH6405" t="s">
        <v>8652</v>
      </c>
      <c r="AI6405" t="str">
        <f>"9170352"</f>
        <v>9170352</v>
      </c>
      <c r="AJ6405" t="s">
        <v>10442</v>
      </c>
      <c r="AK6405">
        <v>2810831204</v>
      </c>
      <c r="AL6405" t="s">
        <v>10443</v>
      </c>
      <c r="AM6405" t="s">
        <v>78</v>
      </c>
      <c r="AN6405" t="s">
        <v>129</v>
      </c>
      <c r="AO6405" t="s">
        <v>267</v>
      </c>
      <c r="AP6405" t="s">
        <v>267</v>
      </c>
      <c r="AQ6405">
        <v>2</v>
      </c>
      <c r="AR6405" t="s">
        <v>80</v>
      </c>
      <c r="AS6405" t="s">
        <v>81</v>
      </c>
      <c r="AT6405" t="s">
        <v>58</v>
      </c>
      <c r="AU6405" t="s">
        <v>8673</v>
      </c>
      <c r="AV6405" t="s">
        <v>132</v>
      </c>
      <c r="AW6405" s="1">
        <v>31846</v>
      </c>
      <c r="AX6405">
        <v>1</v>
      </c>
    </row>
    <row r="6406" spans="1:50">
      <c r="A6406">
        <v>599332</v>
      </c>
      <c r="B6406" t="str">
        <f>"034760119"</f>
        <v>034760119</v>
      </c>
      <c r="C6406" t="s">
        <v>50</v>
      </c>
      <c r="D6406" t="s">
        <v>10864</v>
      </c>
      <c r="E6406" t="s">
        <v>6958</v>
      </c>
      <c r="F6406" t="s">
        <v>1357</v>
      </c>
      <c r="G6406" t="s">
        <v>3471</v>
      </c>
      <c r="H6406" t="str">
        <f>"ΔΕΞΙΘΕΑΣ 4 ΗΡΑΚΛΕΙΟ"</f>
        <v>ΔΕΞΙΘΕΑΣ 4 ΗΡΑΚΛΕΙΟ</v>
      </c>
      <c r="I6406">
        <v>71305</v>
      </c>
      <c r="J6406">
        <v>2310622107</v>
      </c>
      <c r="K6406">
        <v>6977440932</v>
      </c>
      <c r="M6406" t="s">
        <v>10865</v>
      </c>
      <c r="N6406" t="s">
        <v>615</v>
      </c>
      <c r="O6406" t="s">
        <v>616</v>
      </c>
      <c r="R6406" t="s">
        <v>57</v>
      </c>
      <c r="S6406">
        <v>9</v>
      </c>
      <c r="T6406">
        <v>195</v>
      </c>
      <c r="U6406" s="1">
        <v>37497</v>
      </c>
      <c r="V6406" t="s">
        <v>80</v>
      </c>
      <c r="W6406" t="s">
        <v>81</v>
      </c>
      <c r="X6406" t="s">
        <v>58</v>
      </c>
      <c r="Y6406">
        <v>22</v>
      </c>
      <c r="Z6406" t="s">
        <v>59</v>
      </c>
      <c r="AA6406" t="s">
        <v>59</v>
      </c>
      <c r="AB6406" t="s">
        <v>59</v>
      </c>
      <c r="AC6406" t="s">
        <v>59</v>
      </c>
      <c r="AD6406" t="s">
        <v>59</v>
      </c>
      <c r="AF6406" s="1">
        <v>37501</v>
      </c>
      <c r="AG6406" t="s">
        <v>8645</v>
      </c>
      <c r="AH6406" t="s">
        <v>8646</v>
      </c>
      <c r="AI6406" t="str">
        <f>"9170056"</f>
        <v>9170056</v>
      </c>
      <c r="AJ6406" t="s">
        <v>9137</v>
      </c>
      <c r="AK6406">
        <v>2810253392</v>
      </c>
      <c r="AL6406" t="s">
        <v>9138</v>
      </c>
      <c r="AM6406" t="s">
        <v>78</v>
      </c>
      <c r="AN6406" t="s">
        <v>78</v>
      </c>
      <c r="AO6406" t="s">
        <v>78</v>
      </c>
      <c r="AP6406" t="s">
        <v>141</v>
      </c>
      <c r="AQ6406">
        <v>1</v>
      </c>
      <c r="AR6406" t="s">
        <v>80</v>
      </c>
      <c r="AS6406" t="s">
        <v>81</v>
      </c>
      <c r="AT6406" t="s">
        <v>58</v>
      </c>
      <c r="AU6406" t="s">
        <v>68</v>
      </c>
      <c r="AV6406" t="s">
        <v>69</v>
      </c>
      <c r="AW6406" s="1">
        <v>23830</v>
      </c>
      <c r="AX6406">
        <v>1</v>
      </c>
    </row>
    <row r="6407" spans="1:50">
      <c r="A6407">
        <v>587909</v>
      </c>
      <c r="B6407" t="str">
        <f>"057351566"</f>
        <v>057351566</v>
      </c>
      <c r="C6407" t="s">
        <v>50</v>
      </c>
      <c r="D6407" t="s">
        <v>2951</v>
      </c>
      <c r="E6407" t="s">
        <v>681</v>
      </c>
      <c r="F6407" t="s">
        <v>95</v>
      </c>
      <c r="G6407" t="s">
        <v>250</v>
      </c>
      <c r="H6407" t="str">
        <f>"ΑΓ. ΓΕΩΡΓΙΟΥ 22 ΗΡΑΚΛΕΙΟ"</f>
        <v>ΑΓ. ΓΕΩΡΓΙΟΥ 22 ΗΡΑΚΛΕΙΟ</v>
      </c>
      <c r="I6407">
        <v>70400</v>
      </c>
      <c r="K6407">
        <v>6972571171</v>
      </c>
      <c r="N6407" t="s">
        <v>615</v>
      </c>
      <c r="O6407" t="s">
        <v>616</v>
      </c>
      <c r="R6407" t="s">
        <v>57</v>
      </c>
      <c r="S6407">
        <v>11</v>
      </c>
      <c r="T6407">
        <v>250</v>
      </c>
      <c r="U6407" s="1">
        <v>36160</v>
      </c>
      <c r="V6407" t="s">
        <v>80</v>
      </c>
      <c r="W6407" t="s">
        <v>81</v>
      </c>
      <c r="X6407" t="s">
        <v>58</v>
      </c>
      <c r="Y6407">
        <v>25</v>
      </c>
      <c r="Z6407" t="s">
        <v>59</v>
      </c>
      <c r="AA6407" t="s">
        <v>59</v>
      </c>
      <c r="AB6407" t="s">
        <v>59</v>
      </c>
      <c r="AC6407" t="s">
        <v>59</v>
      </c>
      <c r="AD6407" t="s">
        <v>59</v>
      </c>
      <c r="AF6407" s="1">
        <v>36171</v>
      </c>
      <c r="AG6407" t="s">
        <v>8645</v>
      </c>
      <c r="AH6407" t="s">
        <v>8676</v>
      </c>
      <c r="AI6407" t="str">
        <f>"9170340"</f>
        <v>9170340</v>
      </c>
      <c r="AJ6407" t="s">
        <v>10866</v>
      </c>
      <c r="AK6407">
        <v>2892023333</v>
      </c>
      <c r="AL6407" t="s">
        <v>10867</v>
      </c>
      <c r="AM6407" t="s">
        <v>78</v>
      </c>
      <c r="AN6407" t="s">
        <v>242</v>
      </c>
      <c r="AO6407" t="s">
        <v>349</v>
      </c>
      <c r="AP6407" t="s">
        <v>10868</v>
      </c>
      <c r="AQ6407">
        <v>19</v>
      </c>
      <c r="AR6407" t="s">
        <v>80</v>
      </c>
      <c r="AS6407" t="s">
        <v>81</v>
      </c>
      <c r="AT6407" t="s">
        <v>58</v>
      </c>
      <c r="AU6407" t="s">
        <v>68</v>
      </c>
      <c r="AV6407" t="s">
        <v>69</v>
      </c>
      <c r="AW6407" s="1">
        <v>26731</v>
      </c>
      <c r="AX6407">
        <v>1</v>
      </c>
    </row>
    <row r="6408" spans="1:50">
      <c r="B6408" t="str">
        <f>"141399153"</f>
        <v>141399153</v>
      </c>
      <c r="C6408" t="s">
        <v>50</v>
      </c>
      <c r="D6408" t="s">
        <v>10869</v>
      </c>
      <c r="E6408" t="s">
        <v>255</v>
      </c>
      <c r="F6408" t="s">
        <v>920</v>
      </c>
      <c r="G6408" t="s">
        <v>73</v>
      </c>
      <c r="H6408" t="str">
        <f>"ΓΙΑΝΝΗ ΡΙΤΣΟΥ 18  ΒΑΣΙΛΕΙΕΣ ΗΡΑΚΛΕΙΟΥ"</f>
        <v>ΓΙΑΝΝΗ ΡΙΤΣΟΥ 18  ΒΑΣΙΛΕΙΕΣ ΗΡΑΚΛΕΙΟΥ</v>
      </c>
      <c r="I6408">
        <v>71500</v>
      </c>
      <c r="J6408">
        <v>2810238164</v>
      </c>
      <c r="K6408">
        <v>6976085684</v>
      </c>
      <c r="N6408" t="s">
        <v>615</v>
      </c>
      <c r="O6408" t="s">
        <v>616</v>
      </c>
      <c r="R6408" t="s">
        <v>159</v>
      </c>
      <c r="S6408">
        <v>5</v>
      </c>
      <c r="T6408" t="s">
        <v>8675</v>
      </c>
      <c r="U6408" s="1">
        <v>43348</v>
      </c>
      <c r="V6408" t="s">
        <v>80</v>
      </c>
      <c r="W6408" t="s">
        <v>81</v>
      </c>
      <c r="X6408" t="s">
        <v>58</v>
      </c>
      <c r="Y6408">
        <v>24</v>
      </c>
      <c r="Z6408" t="s">
        <v>59</v>
      </c>
      <c r="AA6408" t="s">
        <v>59</v>
      </c>
      <c r="AB6408" t="s">
        <v>59</v>
      </c>
      <c r="AC6408" t="s">
        <v>59</v>
      </c>
      <c r="AD6408" t="s">
        <v>59</v>
      </c>
      <c r="AF6408" s="1">
        <v>43348</v>
      </c>
      <c r="AG6408" t="s">
        <v>8645</v>
      </c>
      <c r="AH6408" t="s">
        <v>8646</v>
      </c>
      <c r="AI6408" t="str">
        <f>"9170580"</f>
        <v>9170580</v>
      </c>
      <c r="AJ6408" t="s">
        <v>9076</v>
      </c>
      <c r="AK6408">
        <v>2810542809</v>
      </c>
      <c r="AL6408" t="s">
        <v>9077</v>
      </c>
      <c r="AM6408" t="s">
        <v>78</v>
      </c>
      <c r="AN6408" t="s">
        <v>78</v>
      </c>
      <c r="AO6408" t="s">
        <v>78</v>
      </c>
      <c r="AP6408" t="s">
        <v>9053</v>
      </c>
      <c r="AQ6408">
        <v>1</v>
      </c>
      <c r="AR6408" t="s">
        <v>80</v>
      </c>
      <c r="AS6408" t="s">
        <v>81</v>
      </c>
      <c r="AT6408" t="s">
        <v>58</v>
      </c>
      <c r="AU6408" t="s">
        <v>8673</v>
      </c>
      <c r="AV6408" t="s">
        <v>132</v>
      </c>
      <c r="AW6408" s="1">
        <v>32098</v>
      </c>
      <c r="AX6408">
        <v>1</v>
      </c>
    </row>
    <row r="6409" spans="1:50">
      <c r="A6409">
        <v>617428</v>
      </c>
      <c r="B6409" t="str">
        <f>"125579999"</f>
        <v>125579999</v>
      </c>
      <c r="C6409" t="s">
        <v>50</v>
      </c>
      <c r="D6409" t="s">
        <v>10869</v>
      </c>
      <c r="E6409" t="s">
        <v>610</v>
      </c>
      <c r="F6409" t="s">
        <v>166</v>
      </c>
      <c r="G6409" t="s">
        <v>52</v>
      </c>
      <c r="H6409" t="str">
        <f>"ΜΑΝΩΛΗ ΚΑΛΟΜΟΙΡΗ 6 ΗΡΑΚΛΕΙΟ"</f>
        <v>ΜΑΝΩΛΗ ΚΑΛΟΜΟΙΡΗ 6 ΗΡΑΚΛΕΙΟ</v>
      </c>
      <c r="I6409">
        <v>71409</v>
      </c>
      <c r="J6409">
        <v>2810231140</v>
      </c>
      <c r="K6409">
        <v>6945294030</v>
      </c>
      <c r="N6409" t="s">
        <v>615</v>
      </c>
      <c r="O6409" t="s">
        <v>616</v>
      </c>
      <c r="R6409" t="s">
        <v>57</v>
      </c>
      <c r="S6409">
        <v>6</v>
      </c>
      <c r="T6409">
        <v>774</v>
      </c>
      <c r="U6409" s="1">
        <v>39680</v>
      </c>
      <c r="V6409" t="s">
        <v>80</v>
      </c>
      <c r="W6409" t="s">
        <v>81</v>
      </c>
      <c r="X6409" t="s">
        <v>58</v>
      </c>
      <c r="Y6409">
        <v>23</v>
      </c>
      <c r="Z6409" t="s">
        <v>59</v>
      </c>
      <c r="AA6409" t="s">
        <v>59</v>
      </c>
      <c r="AB6409" t="s">
        <v>59</v>
      </c>
      <c r="AC6409" t="s">
        <v>59</v>
      </c>
      <c r="AD6409" t="s">
        <v>59</v>
      </c>
      <c r="AF6409" s="1">
        <v>39681</v>
      </c>
      <c r="AG6409" t="s">
        <v>8645</v>
      </c>
      <c r="AH6409" t="s">
        <v>8646</v>
      </c>
      <c r="AI6409" t="str">
        <f>"9170197"</f>
        <v>9170197</v>
      </c>
      <c r="AJ6409" t="s">
        <v>8989</v>
      </c>
      <c r="AK6409">
        <v>2810232577</v>
      </c>
      <c r="AL6409" t="s">
        <v>8990</v>
      </c>
      <c r="AM6409" t="s">
        <v>78</v>
      </c>
      <c r="AN6409" t="s">
        <v>78</v>
      </c>
      <c r="AO6409" t="s">
        <v>78</v>
      </c>
      <c r="AP6409" t="s">
        <v>163</v>
      </c>
      <c r="AQ6409">
        <v>1</v>
      </c>
      <c r="AR6409" t="s">
        <v>80</v>
      </c>
      <c r="AS6409" t="s">
        <v>81</v>
      </c>
      <c r="AT6409" t="s">
        <v>58</v>
      </c>
      <c r="AU6409" t="s">
        <v>68</v>
      </c>
      <c r="AV6409" t="s">
        <v>69</v>
      </c>
      <c r="AW6409" s="1">
        <v>30741</v>
      </c>
      <c r="AX6409">
        <v>1</v>
      </c>
    </row>
    <row r="6410" spans="1:50">
      <c r="A6410">
        <v>563302</v>
      </c>
      <c r="B6410" t="str">
        <f>"035465939"</f>
        <v>035465939</v>
      </c>
      <c r="C6410" t="s">
        <v>50</v>
      </c>
      <c r="D6410" t="s">
        <v>10870</v>
      </c>
      <c r="E6410" t="s">
        <v>83</v>
      </c>
      <c r="F6410" t="s">
        <v>631</v>
      </c>
      <c r="G6410" t="s">
        <v>396</v>
      </c>
      <c r="H6410" t="str">
        <f>" "</f>
        <v xml:space="preserve"> </v>
      </c>
      <c r="N6410" t="s">
        <v>615</v>
      </c>
      <c r="O6410" t="s">
        <v>616</v>
      </c>
      <c r="R6410" t="s">
        <v>57</v>
      </c>
      <c r="S6410">
        <v>15</v>
      </c>
      <c r="T6410">
        <v>194</v>
      </c>
      <c r="U6410" s="1">
        <v>32762</v>
      </c>
      <c r="V6410" t="s">
        <v>80</v>
      </c>
      <c r="W6410" t="s">
        <v>81</v>
      </c>
      <c r="X6410" t="s">
        <v>58</v>
      </c>
      <c r="Y6410">
        <v>21</v>
      </c>
      <c r="Z6410" t="s">
        <v>59</v>
      </c>
      <c r="AA6410" t="s">
        <v>59</v>
      </c>
      <c r="AB6410" t="s">
        <v>59</v>
      </c>
      <c r="AC6410" t="s">
        <v>59</v>
      </c>
      <c r="AD6410" t="s">
        <v>59</v>
      </c>
      <c r="AF6410" s="1">
        <v>32762</v>
      </c>
      <c r="AG6410" t="s">
        <v>8645</v>
      </c>
      <c r="AH6410" t="s">
        <v>8646</v>
      </c>
      <c r="AI6410" t="str">
        <f>"9170516"</f>
        <v>9170516</v>
      </c>
      <c r="AJ6410" t="s">
        <v>8746</v>
      </c>
      <c r="AK6410">
        <v>2810236861</v>
      </c>
      <c r="AL6410" t="s">
        <v>8747</v>
      </c>
      <c r="AM6410" t="s">
        <v>78</v>
      </c>
      <c r="AN6410" t="s">
        <v>78</v>
      </c>
      <c r="AO6410" t="s">
        <v>78</v>
      </c>
      <c r="AP6410" t="s">
        <v>163</v>
      </c>
      <c r="AQ6410">
        <v>1</v>
      </c>
      <c r="AR6410" t="s">
        <v>80</v>
      </c>
      <c r="AS6410" t="s">
        <v>81</v>
      </c>
      <c r="AT6410" t="s">
        <v>58</v>
      </c>
      <c r="AU6410" t="s">
        <v>68</v>
      </c>
      <c r="AV6410" t="s">
        <v>69</v>
      </c>
      <c r="AW6410" s="1">
        <v>23518</v>
      </c>
      <c r="AX6410">
        <v>1</v>
      </c>
    </row>
    <row r="6411" spans="1:50">
      <c r="B6411" t="str">
        <f>"146224133"</f>
        <v>146224133</v>
      </c>
      <c r="C6411" t="s">
        <v>50</v>
      </c>
      <c r="D6411" t="s">
        <v>5192</v>
      </c>
      <c r="E6411" t="s">
        <v>52</v>
      </c>
      <c r="F6411" t="s">
        <v>92</v>
      </c>
      <c r="G6411" t="s">
        <v>727</v>
      </c>
      <c r="H6411" t="str">
        <f>"Αστερουσίων 57 Ηράκλειο"</f>
        <v>Αστερουσίων 57 Ηράκλειο</v>
      </c>
      <c r="I6411">
        <v>71305</v>
      </c>
      <c r="J6411">
        <v>2811107768</v>
      </c>
      <c r="K6411">
        <v>6936130449</v>
      </c>
      <c r="L6411">
        <v>6980817878</v>
      </c>
      <c r="M6411" t="s">
        <v>10871</v>
      </c>
      <c r="N6411" t="s">
        <v>615</v>
      </c>
      <c r="O6411" t="s">
        <v>616</v>
      </c>
      <c r="R6411" t="s">
        <v>121</v>
      </c>
      <c r="S6411">
        <v>1</v>
      </c>
      <c r="T6411" t="s">
        <v>10872</v>
      </c>
      <c r="U6411" s="1">
        <v>43377</v>
      </c>
      <c r="V6411" t="s">
        <v>80</v>
      </c>
      <c r="W6411" t="s">
        <v>81</v>
      </c>
      <c r="X6411" t="s">
        <v>58</v>
      </c>
      <c r="Y6411">
        <v>24</v>
      </c>
      <c r="Z6411" t="s">
        <v>59</v>
      </c>
      <c r="AA6411" t="s">
        <v>59</v>
      </c>
      <c r="AB6411" t="s">
        <v>59</v>
      </c>
      <c r="AD6411" t="s">
        <v>59</v>
      </c>
      <c r="AF6411" s="1">
        <v>43377</v>
      </c>
      <c r="AG6411" t="s">
        <v>8645</v>
      </c>
      <c r="AH6411" t="s">
        <v>8646</v>
      </c>
      <c r="AI6411" t="str">
        <f>"9170339"</f>
        <v>9170339</v>
      </c>
      <c r="AJ6411" t="s">
        <v>9500</v>
      </c>
      <c r="AK6411">
        <v>2892051391</v>
      </c>
      <c r="AL6411" t="s">
        <v>9501</v>
      </c>
      <c r="AM6411" t="s">
        <v>78</v>
      </c>
      <c r="AN6411" t="s">
        <v>242</v>
      </c>
      <c r="AO6411" t="s">
        <v>349</v>
      </c>
      <c r="AP6411" t="s">
        <v>349</v>
      </c>
      <c r="AQ6411">
        <v>19</v>
      </c>
      <c r="AR6411" t="s">
        <v>80</v>
      </c>
      <c r="AS6411" t="s">
        <v>81</v>
      </c>
      <c r="AT6411" t="s">
        <v>58</v>
      </c>
      <c r="AU6411" t="s">
        <v>8720</v>
      </c>
      <c r="AV6411" t="s">
        <v>132</v>
      </c>
      <c r="AW6411" s="1">
        <v>32509</v>
      </c>
      <c r="AX6411">
        <v>1</v>
      </c>
    </row>
    <row r="6412" spans="1:50">
      <c r="A6412">
        <v>592819</v>
      </c>
      <c r="B6412" t="str">
        <f>"055710676"</f>
        <v>055710676</v>
      </c>
      <c r="C6412" t="s">
        <v>50</v>
      </c>
      <c r="D6412" t="s">
        <v>7951</v>
      </c>
      <c r="E6412" t="s">
        <v>83</v>
      </c>
      <c r="F6412" t="s">
        <v>53</v>
      </c>
      <c r="G6412" t="s">
        <v>250</v>
      </c>
      <c r="H6412" t="str">
        <f>"ΕΜ.ΜΑΝΩΛΟΠΟΥΛΟΥ 36 ΗΡΑΚΛΕΙΟ"</f>
        <v>ΕΜ.ΜΑΝΩΛΟΠΟΥΛΟΥ 36 ΗΡΑΚΛΕΙΟ</v>
      </c>
      <c r="I6412">
        <v>71409</v>
      </c>
      <c r="J6412">
        <v>2810233336</v>
      </c>
      <c r="K6412">
        <v>6972011263</v>
      </c>
      <c r="M6412" t="s">
        <v>10873</v>
      </c>
      <c r="N6412" t="s">
        <v>615</v>
      </c>
      <c r="O6412" t="s">
        <v>616</v>
      </c>
      <c r="R6412" t="s">
        <v>57</v>
      </c>
      <c r="S6412">
        <v>9</v>
      </c>
      <c r="T6412">
        <v>218</v>
      </c>
      <c r="U6412" s="1">
        <v>37134</v>
      </c>
      <c r="V6412" t="s">
        <v>80</v>
      </c>
      <c r="W6412" t="s">
        <v>81</v>
      </c>
      <c r="X6412" t="s">
        <v>58</v>
      </c>
      <c r="Y6412">
        <v>22</v>
      </c>
      <c r="Z6412" t="s">
        <v>59</v>
      </c>
      <c r="AA6412" t="s">
        <v>59</v>
      </c>
      <c r="AB6412" t="s">
        <v>59</v>
      </c>
      <c r="AC6412" t="s">
        <v>59</v>
      </c>
      <c r="AD6412" t="s">
        <v>59</v>
      </c>
      <c r="AF6412" s="1">
        <v>37137</v>
      </c>
      <c r="AG6412" t="s">
        <v>8645</v>
      </c>
      <c r="AH6412" t="s">
        <v>8646</v>
      </c>
      <c r="AI6412" t="str">
        <f>"9170534"</f>
        <v>9170534</v>
      </c>
      <c r="AJ6412" t="s">
        <v>8701</v>
      </c>
      <c r="AK6412">
        <v>2810323225</v>
      </c>
      <c r="AL6412" t="s">
        <v>8702</v>
      </c>
      <c r="AM6412" t="s">
        <v>78</v>
      </c>
      <c r="AN6412" t="s">
        <v>78</v>
      </c>
      <c r="AO6412" t="s">
        <v>78</v>
      </c>
      <c r="AP6412" t="s">
        <v>163</v>
      </c>
      <c r="AQ6412">
        <v>1</v>
      </c>
      <c r="AR6412" t="s">
        <v>80</v>
      </c>
      <c r="AS6412" t="s">
        <v>81</v>
      </c>
      <c r="AT6412" t="s">
        <v>58</v>
      </c>
      <c r="AU6412" t="s">
        <v>68</v>
      </c>
      <c r="AV6412" t="s">
        <v>69</v>
      </c>
      <c r="AW6412" s="1">
        <v>25589</v>
      </c>
      <c r="AX6412">
        <v>1</v>
      </c>
    </row>
    <row r="6413" spans="1:50">
      <c r="B6413" t="str">
        <f>"147053510"</f>
        <v>147053510</v>
      </c>
      <c r="C6413" t="s">
        <v>50</v>
      </c>
      <c r="D6413" t="s">
        <v>10874</v>
      </c>
      <c r="E6413" t="s">
        <v>964</v>
      </c>
      <c r="F6413" t="s">
        <v>154</v>
      </c>
      <c r="G6413" t="s">
        <v>801</v>
      </c>
      <c r="H6413" t="str">
        <f>"Ν. ΠΛΑΤΩΝΟΣ 40Β "</f>
        <v xml:space="preserve">Ν. ΠΛΑΤΩΝΟΣ 40Β </v>
      </c>
      <c r="I6413">
        <v>72300</v>
      </c>
      <c r="J6413">
        <v>2843024597</v>
      </c>
      <c r="K6413">
        <v>6974600926</v>
      </c>
      <c r="N6413" t="s">
        <v>615</v>
      </c>
      <c r="O6413" t="s">
        <v>616</v>
      </c>
      <c r="R6413" t="s">
        <v>159</v>
      </c>
      <c r="S6413">
        <v>3</v>
      </c>
      <c r="T6413" t="s">
        <v>8675</v>
      </c>
      <c r="U6413" s="1">
        <v>43348</v>
      </c>
      <c r="V6413" t="s">
        <v>80</v>
      </c>
      <c r="W6413" t="s">
        <v>81</v>
      </c>
      <c r="X6413" t="s">
        <v>58</v>
      </c>
      <c r="Y6413">
        <v>24</v>
      </c>
      <c r="Z6413" t="s">
        <v>59</v>
      </c>
      <c r="AA6413" t="s">
        <v>59</v>
      </c>
      <c r="AB6413" t="s">
        <v>59</v>
      </c>
      <c r="AC6413" t="s">
        <v>59</v>
      </c>
      <c r="AD6413" t="s">
        <v>59</v>
      </c>
      <c r="AF6413" s="1">
        <v>43348</v>
      </c>
      <c r="AG6413" t="s">
        <v>8645</v>
      </c>
      <c r="AH6413" t="s">
        <v>8646</v>
      </c>
      <c r="AI6413" t="str">
        <f>"9170206"</f>
        <v>9170206</v>
      </c>
      <c r="AJ6413" t="s">
        <v>8972</v>
      </c>
      <c r="AK6413">
        <v>2810761137</v>
      </c>
      <c r="AL6413" t="s">
        <v>8973</v>
      </c>
      <c r="AM6413" t="s">
        <v>78</v>
      </c>
      <c r="AN6413" t="s">
        <v>219</v>
      </c>
      <c r="AO6413" t="s">
        <v>297</v>
      </c>
      <c r="AP6413" t="s">
        <v>8796</v>
      </c>
      <c r="AQ6413">
        <v>7</v>
      </c>
      <c r="AR6413" t="s">
        <v>80</v>
      </c>
      <c r="AS6413" t="s">
        <v>81</v>
      </c>
      <c r="AT6413" t="s">
        <v>58</v>
      </c>
      <c r="AU6413" t="s">
        <v>8673</v>
      </c>
      <c r="AV6413" t="s">
        <v>132</v>
      </c>
      <c r="AW6413" s="1">
        <v>32234</v>
      </c>
      <c r="AX6413">
        <v>1</v>
      </c>
    </row>
    <row r="6414" spans="1:50">
      <c r="A6414">
        <v>622405</v>
      </c>
      <c r="B6414" t="str">
        <f>"132335670"</f>
        <v>132335670</v>
      </c>
      <c r="C6414" t="s">
        <v>50</v>
      </c>
      <c r="D6414" t="s">
        <v>2961</v>
      </c>
      <c r="E6414" t="s">
        <v>541</v>
      </c>
      <c r="F6414" t="s">
        <v>106</v>
      </c>
      <c r="G6414" t="s">
        <v>237</v>
      </c>
      <c r="H6414" t="str">
        <f>"ΤΙΜΟΧΑΡΟΥΣ 7 ΗΡΑΚΛΕΙΟ"</f>
        <v>ΤΙΜΟΧΑΡΟΥΣ 7 ΗΡΑΚΛΕΙΟ</v>
      </c>
      <c r="I6414">
        <v>71305</v>
      </c>
      <c r="J6414">
        <v>2810312494</v>
      </c>
      <c r="K6414">
        <v>6974434804</v>
      </c>
      <c r="N6414" t="s">
        <v>1525</v>
      </c>
      <c r="O6414" t="s">
        <v>1526</v>
      </c>
      <c r="R6414" t="s">
        <v>57</v>
      </c>
      <c r="S6414">
        <v>5</v>
      </c>
      <c r="T6414">
        <v>653</v>
      </c>
      <c r="U6414" s="1">
        <v>40043</v>
      </c>
      <c r="V6414" t="s">
        <v>80</v>
      </c>
      <c r="W6414" t="s">
        <v>81</v>
      </c>
      <c r="X6414" t="s">
        <v>58</v>
      </c>
      <c r="Y6414">
        <v>25</v>
      </c>
      <c r="Z6414" t="s">
        <v>59</v>
      </c>
      <c r="AA6414" t="s">
        <v>59</v>
      </c>
      <c r="AB6414" t="s">
        <v>59</v>
      </c>
      <c r="AC6414" t="s">
        <v>59</v>
      </c>
      <c r="AD6414" t="s">
        <v>59</v>
      </c>
      <c r="AF6414" s="1">
        <v>40043</v>
      </c>
      <c r="AG6414" t="s">
        <v>8651</v>
      </c>
      <c r="AH6414" t="s">
        <v>8652</v>
      </c>
      <c r="AI6414" t="str">
        <f>"9170127"</f>
        <v>9170127</v>
      </c>
      <c r="AJ6414" t="s">
        <v>10201</v>
      </c>
      <c r="AK6414">
        <v>2810871640</v>
      </c>
      <c r="AL6414" t="s">
        <v>10202</v>
      </c>
      <c r="AM6414" t="s">
        <v>78</v>
      </c>
      <c r="AN6414" t="s">
        <v>78</v>
      </c>
      <c r="AO6414" t="s">
        <v>437</v>
      </c>
      <c r="AP6414" t="s">
        <v>438</v>
      </c>
      <c r="AQ6414">
        <v>5</v>
      </c>
      <c r="AR6414" t="s">
        <v>80</v>
      </c>
      <c r="AS6414" t="s">
        <v>81</v>
      </c>
      <c r="AT6414" t="s">
        <v>58</v>
      </c>
      <c r="AU6414" t="s">
        <v>68</v>
      </c>
      <c r="AV6414" t="s">
        <v>69</v>
      </c>
      <c r="AW6414" s="1">
        <v>29973</v>
      </c>
      <c r="AX6414">
        <v>1</v>
      </c>
    </row>
    <row r="6415" spans="1:50">
      <c r="B6415" t="str">
        <f>"125554840"</f>
        <v>125554840</v>
      </c>
      <c r="C6415" t="s">
        <v>50</v>
      </c>
      <c r="D6415" t="s">
        <v>10875</v>
      </c>
      <c r="E6415" t="s">
        <v>476</v>
      </c>
      <c r="F6415" t="s">
        <v>383</v>
      </c>
      <c r="G6415" t="s">
        <v>237</v>
      </c>
      <c r="H6415" t="str">
        <f>"ΑΝΔΡΕΟΥ ΜΗΛΙΩΤΗ 48 "</f>
        <v xml:space="preserve">ΑΝΔΡΕΟΥ ΜΗΛΙΩΤΗ 48 </v>
      </c>
      <c r="I6415">
        <v>71306</v>
      </c>
      <c r="J6415">
        <v>2810321307</v>
      </c>
      <c r="K6415">
        <v>6974761027</v>
      </c>
      <c r="N6415" t="s">
        <v>9829</v>
      </c>
      <c r="O6415" t="s">
        <v>9830</v>
      </c>
      <c r="R6415" t="s">
        <v>159</v>
      </c>
      <c r="S6415">
        <v>4</v>
      </c>
      <c r="T6415" t="s">
        <v>8696</v>
      </c>
      <c r="U6415" s="1">
        <v>43348</v>
      </c>
      <c r="V6415" t="s">
        <v>80</v>
      </c>
      <c r="W6415" t="s">
        <v>81</v>
      </c>
      <c r="X6415" t="s">
        <v>58</v>
      </c>
      <c r="Y6415">
        <v>25</v>
      </c>
      <c r="Z6415" t="s">
        <v>59</v>
      </c>
      <c r="AA6415" t="s">
        <v>59</v>
      </c>
      <c r="AB6415" t="s">
        <v>59</v>
      </c>
      <c r="AC6415" t="s">
        <v>59</v>
      </c>
      <c r="AD6415" t="s">
        <v>59</v>
      </c>
      <c r="AF6415" s="1">
        <v>43348</v>
      </c>
      <c r="AG6415" t="s">
        <v>8651</v>
      </c>
      <c r="AH6415" t="s">
        <v>8652</v>
      </c>
      <c r="AI6415" t="str">
        <f>"9170253"</f>
        <v>9170253</v>
      </c>
      <c r="AJ6415" t="s">
        <v>9551</v>
      </c>
      <c r="AK6415">
        <v>2810245816</v>
      </c>
      <c r="AL6415" t="s">
        <v>9552</v>
      </c>
      <c r="AM6415" t="s">
        <v>78</v>
      </c>
      <c r="AN6415" t="s">
        <v>78</v>
      </c>
      <c r="AO6415" t="s">
        <v>78</v>
      </c>
      <c r="AP6415" t="s">
        <v>213</v>
      </c>
      <c r="AQ6415">
        <v>1</v>
      </c>
      <c r="AR6415" t="s">
        <v>80</v>
      </c>
      <c r="AS6415" t="s">
        <v>81</v>
      </c>
      <c r="AT6415" t="s">
        <v>58</v>
      </c>
      <c r="AU6415" t="s">
        <v>350</v>
      </c>
      <c r="AV6415" t="s">
        <v>132</v>
      </c>
      <c r="AW6415" s="1">
        <v>30181</v>
      </c>
      <c r="AX6415">
        <v>1</v>
      </c>
    </row>
    <row r="6416" spans="1:50">
      <c r="A6416">
        <v>582292</v>
      </c>
      <c r="B6416" t="str">
        <f>"053053824"</f>
        <v>053053824</v>
      </c>
      <c r="C6416" t="s">
        <v>105</v>
      </c>
      <c r="D6416" t="s">
        <v>9994</v>
      </c>
      <c r="E6416" t="s">
        <v>95</v>
      </c>
      <c r="F6416" t="s">
        <v>72</v>
      </c>
      <c r="G6416" t="s">
        <v>250</v>
      </c>
      <c r="H6416" t="str">
        <f>" "</f>
        <v xml:space="preserve"> </v>
      </c>
      <c r="N6416" t="s">
        <v>615</v>
      </c>
      <c r="O6416" t="s">
        <v>616</v>
      </c>
      <c r="R6416" t="s">
        <v>57</v>
      </c>
      <c r="S6416">
        <v>10</v>
      </c>
      <c r="T6416">
        <v>179</v>
      </c>
      <c r="U6416" s="1">
        <v>35674</v>
      </c>
      <c r="V6416" t="s">
        <v>80</v>
      </c>
      <c r="W6416" t="s">
        <v>81</v>
      </c>
      <c r="X6416" t="s">
        <v>58</v>
      </c>
      <c r="Y6416">
        <v>21</v>
      </c>
      <c r="Z6416" t="s">
        <v>59</v>
      </c>
      <c r="AA6416" t="s">
        <v>59</v>
      </c>
      <c r="AB6416" t="s">
        <v>59</v>
      </c>
      <c r="AC6416" t="s">
        <v>59</v>
      </c>
      <c r="AD6416" t="s">
        <v>59</v>
      </c>
      <c r="AF6416" s="1">
        <v>35681</v>
      </c>
      <c r="AG6416" t="s">
        <v>8645</v>
      </c>
      <c r="AH6416" t="s">
        <v>8646</v>
      </c>
      <c r="AI6416" t="str">
        <f>"9170192"</f>
        <v>9170192</v>
      </c>
      <c r="AJ6416" t="s">
        <v>8661</v>
      </c>
      <c r="AK6416">
        <v>2810231985</v>
      </c>
      <c r="AL6416" t="s">
        <v>8662</v>
      </c>
      <c r="AM6416" t="s">
        <v>78</v>
      </c>
      <c r="AN6416" t="s">
        <v>78</v>
      </c>
      <c r="AO6416" t="s">
        <v>78</v>
      </c>
      <c r="AP6416" t="s">
        <v>163</v>
      </c>
      <c r="AQ6416">
        <v>1</v>
      </c>
      <c r="AR6416" t="s">
        <v>80</v>
      </c>
      <c r="AS6416" t="s">
        <v>81</v>
      </c>
      <c r="AT6416" t="s">
        <v>58</v>
      </c>
      <c r="AU6416" t="s">
        <v>68</v>
      </c>
      <c r="AV6416" t="s">
        <v>69</v>
      </c>
      <c r="AW6416" s="1">
        <v>24891</v>
      </c>
      <c r="AX6416">
        <v>1</v>
      </c>
    </row>
    <row r="6417" spans="1:50">
      <c r="A6417">
        <v>610725</v>
      </c>
      <c r="B6417" t="str">
        <f>"131516784"</f>
        <v>131516784</v>
      </c>
      <c r="C6417" t="s">
        <v>50</v>
      </c>
      <c r="D6417" t="s">
        <v>6297</v>
      </c>
      <c r="E6417" t="s">
        <v>181</v>
      </c>
      <c r="F6417" t="s">
        <v>920</v>
      </c>
      <c r="G6417" t="s">
        <v>5342</v>
      </c>
      <c r="H6417" t="str">
        <f>"Ανδριανού 14 Ηράκλειο"</f>
        <v>Ανδριανού 14 Ηράκλειο</v>
      </c>
      <c r="J6417">
        <v>2310211022</v>
      </c>
      <c r="K6417">
        <v>6944205629</v>
      </c>
      <c r="M6417" t="s">
        <v>10876</v>
      </c>
      <c r="N6417" t="s">
        <v>615</v>
      </c>
      <c r="O6417" t="s">
        <v>616</v>
      </c>
      <c r="R6417" t="s">
        <v>57</v>
      </c>
      <c r="S6417">
        <v>6</v>
      </c>
      <c r="T6417">
        <v>233</v>
      </c>
      <c r="U6417" s="1">
        <v>38960</v>
      </c>
      <c r="V6417" t="s">
        <v>80</v>
      </c>
      <c r="W6417" t="s">
        <v>81</v>
      </c>
      <c r="X6417" t="s">
        <v>58</v>
      </c>
      <c r="Y6417">
        <v>23</v>
      </c>
      <c r="Z6417" t="s">
        <v>59</v>
      </c>
      <c r="AA6417" t="s">
        <v>59</v>
      </c>
      <c r="AB6417" t="s">
        <v>59</v>
      </c>
      <c r="AC6417" t="s">
        <v>59</v>
      </c>
      <c r="AD6417" t="s">
        <v>59</v>
      </c>
      <c r="AF6417" s="1">
        <v>38961</v>
      </c>
      <c r="AG6417" t="s">
        <v>8645</v>
      </c>
      <c r="AH6417" t="s">
        <v>8646</v>
      </c>
      <c r="AI6417" t="str">
        <f>"9170263"</f>
        <v>9170263</v>
      </c>
      <c r="AJ6417" t="s">
        <v>8942</v>
      </c>
      <c r="AK6417">
        <v>2810346939</v>
      </c>
      <c r="AL6417" t="s">
        <v>8943</v>
      </c>
      <c r="AM6417" t="s">
        <v>78</v>
      </c>
      <c r="AN6417" t="s">
        <v>78</v>
      </c>
      <c r="AO6417" t="s">
        <v>286</v>
      </c>
      <c r="AP6417" t="s">
        <v>286</v>
      </c>
      <c r="AQ6417">
        <v>1</v>
      </c>
      <c r="AR6417" t="s">
        <v>80</v>
      </c>
      <c r="AS6417" t="s">
        <v>81</v>
      </c>
      <c r="AT6417" t="s">
        <v>58</v>
      </c>
      <c r="AU6417" t="s">
        <v>68</v>
      </c>
      <c r="AV6417" t="s">
        <v>69</v>
      </c>
      <c r="AW6417" s="1">
        <v>29649</v>
      </c>
      <c r="AX6417">
        <v>1</v>
      </c>
    </row>
    <row r="6418" spans="1:50">
      <c r="B6418" t="str">
        <f>"052213851"</f>
        <v>052213851</v>
      </c>
      <c r="C6418" t="s">
        <v>50</v>
      </c>
      <c r="D6418" t="s">
        <v>6297</v>
      </c>
      <c r="E6418" t="s">
        <v>563</v>
      </c>
      <c r="F6418" t="s">
        <v>95</v>
      </c>
      <c r="G6418" t="s">
        <v>687</v>
      </c>
      <c r="H6418" t="str">
        <f>"ΒΑΣ.ΟΛΓΑΣ 5 "</f>
        <v xml:space="preserve">ΒΑΣ.ΟΛΓΑΣ 5 </v>
      </c>
      <c r="I6418">
        <v>66100</v>
      </c>
      <c r="J6418">
        <v>2521038979</v>
      </c>
      <c r="K6418">
        <v>6972349374</v>
      </c>
      <c r="N6418" t="s">
        <v>615</v>
      </c>
      <c r="O6418" t="s">
        <v>616</v>
      </c>
      <c r="R6418" t="s">
        <v>159</v>
      </c>
      <c r="S6418">
        <v>8</v>
      </c>
      <c r="T6418" t="s">
        <v>8675</v>
      </c>
      <c r="U6418" s="1">
        <v>43348</v>
      </c>
      <c r="V6418" t="s">
        <v>80</v>
      </c>
      <c r="W6418" t="s">
        <v>81</v>
      </c>
      <c r="X6418" t="s">
        <v>58</v>
      </c>
      <c r="Y6418">
        <v>24</v>
      </c>
      <c r="Z6418" t="s">
        <v>59</v>
      </c>
      <c r="AA6418" t="s">
        <v>59</v>
      </c>
      <c r="AB6418" t="s">
        <v>59</v>
      </c>
      <c r="AC6418" t="s">
        <v>59</v>
      </c>
      <c r="AD6418" t="s">
        <v>59</v>
      </c>
      <c r="AF6418" s="1">
        <v>43348</v>
      </c>
      <c r="AG6418" t="s">
        <v>8645</v>
      </c>
      <c r="AH6418" t="s">
        <v>8646</v>
      </c>
      <c r="AI6418" t="str">
        <f>"9170242"</f>
        <v>9170242</v>
      </c>
      <c r="AJ6418" t="s">
        <v>9314</v>
      </c>
      <c r="AK6418">
        <v>2897031254</v>
      </c>
      <c r="AL6418" t="s">
        <v>9315</v>
      </c>
      <c r="AM6418" t="s">
        <v>78</v>
      </c>
      <c r="AN6418" t="s">
        <v>219</v>
      </c>
      <c r="AO6418" t="s">
        <v>527</v>
      </c>
      <c r="AP6418" t="s">
        <v>527</v>
      </c>
      <c r="AQ6418">
        <v>8</v>
      </c>
      <c r="AR6418" t="s">
        <v>80</v>
      </c>
      <c r="AS6418" t="s">
        <v>81</v>
      </c>
      <c r="AT6418" t="s">
        <v>58</v>
      </c>
      <c r="AU6418" t="s">
        <v>8673</v>
      </c>
      <c r="AV6418" t="s">
        <v>132</v>
      </c>
      <c r="AW6418" s="1">
        <v>27229</v>
      </c>
      <c r="AX6418">
        <v>1</v>
      </c>
    </row>
    <row r="6419" spans="1:50">
      <c r="A6419">
        <v>573866</v>
      </c>
      <c r="B6419" t="str">
        <f>"064287660"</f>
        <v>064287660</v>
      </c>
      <c r="C6419" t="s">
        <v>50</v>
      </c>
      <c r="D6419" t="s">
        <v>2966</v>
      </c>
      <c r="E6419" t="s">
        <v>513</v>
      </c>
      <c r="F6419" t="s">
        <v>95</v>
      </c>
      <c r="G6419" t="s">
        <v>250</v>
      </c>
      <c r="H6419" t="str">
        <f>"Κάντια 15 Πόρος"</f>
        <v>Κάντια 15 Πόρος</v>
      </c>
      <c r="I6419">
        <v>71307</v>
      </c>
      <c r="J6419">
        <v>2810346712</v>
      </c>
      <c r="K6419">
        <v>6977982695</v>
      </c>
      <c r="M6419" t="s">
        <v>10877</v>
      </c>
      <c r="N6419" t="s">
        <v>615</v>
      </c>
      <c r="O6419" t="s">
        <v>616</v>
      </c>
      <c r="R6419" t="s">
        <v>57</v>
      </c>
      <c r="S6419">
        <v>13</v>
      </c>
      <c r="T6419">
        <v>160</v>
      </c>
      <c r="U6419" s="1">
        <v>34582</v>
      </c>
      <c r="V6419" t="s">
        <v>80</v>
      </c>
      <c r="W6419" t="s">
        <v>81</v>
      </c>
      <c r="X6419" t="s">
        <v>58</v>
      </c>
      <c r="Y6419">
        <v>21</v>
      </c>
      <c r="Z6419" t="s">
        <v>59</v>
      </c>
      <c r="AA6419" t="s">
        <v>59</v>
      </c>
      <c r="AB6419" t="s">
        <v>59</v>
      </c>
      <c r="AC6419" t="s">
        <v>59</v>
      </c>
      <c r="AD6419" t="s">
        <v>59</v>
      </c>
      <c r="AF6419" s="1">
        <v>34582</v>
      </c>
      <c r="AG6419" t="s">
        <v>8645</v>
      </c>
      <c r="AH6419" t="s">
        <v>8646</v>
      </c>
      <c r="AI6419" t="str">
        <f>"9170257"</f>
        <v>9170257</v>
      </c>
      <c r="AJ6419" t="s">
        <v>8710</v>
      </c>
      <c r="AK6419">
        <v>2810245513</v>
      </c>
      <c r="AL6419" t="s">
        <v>8711</v>
      </c>
      <c r="AM6419" t="s">
        <v>78</v>
      </c>
      <c r="AN6419" t="s">
        <v>78</v>
      </c>
      <c r="AO6419" t="s">
        <v>78</v>
      </c>
      <c r="AP6419" t="s">
        <v>213</v>
      </c>
      <c r="AQ6419">
        <v>1</v>
      </c>
      <c r="AR6419" t="s">
        <v>80</v>
      </c>
      <c r="AS6419" t="s">
        <v>81</v>
      </c>
      <c r="AT6419" t="s">
        <v>58</v>
      </c>
      <c r="AU6419" t="s">
        <v>68</v>
      </c>
      <c r="AV6419" t="s">
        <v>69</v>
      </c>
      <c r="AW6419" s="1">
        <v>24555</v>
      </c>
      <c r="AX6419">
        <v>1</v>
      </c>
    </row>
    <row r="6420" spans="1:50">
      <c r="B6420" t="str">
        <f>"116051624"</f>
        <v>116051624</v>
      </c>
      <c r="C6420" t="s">
        <v>50</v>
      </c>
      <c r="D6420" t="s">
        <v>2972</v>
      </c>
      <c r="E6420" t="s">
        <v>83</v>
      </c>
      <c r="F6420" t="s">
        <v>377</v>
      </c>
      <c r="G6420" t="s">
        <v>52</v>
      </c>
      <c r="H6420" t="str">
        <f>"ΕΥΡΥΔΙΚΗΣ 19 "</f>
        <v xml:space="preserve">ΕΥΡΥΔΙΚΗΣ 19 </v>
      </c>
      <c r="I6420">
        <v>48100</v>
      </c>
      <c r="J6420">
        <v>2682041724</v>
      </c>
      <c r="K6420">
        <v>6970820558</v>
      </c>
      <c r="N6420" t="s">
        <v>1525</v>
      </c>
      <c r="O6420" t="s">
        <v>1526</v>
      </c>
      <c r="R6420" t="s">
        <v>159</v>
      </c>
      <c r="S6420">
        <v>3</v>
      </c>
      <c r="T6420" t="s">
        <v>8670</v>
      </c>
      <c r="U6420" s="1">
        <v>43348</v>
      </c>
      <c r="V6420" t="s">
        <v>80</v>
      </c>
      <c r="W6420" t="s">
        <v>81</v>
      </c>
      <c r="X6420" t="s">
        <v>58</v>
      </c>
      <c r="Y6420">
        <v>25</v>
      </c>
      <c r="Z6420" t="s">
        <v>59</v>
      </c>
      <c r="AA6420" t="s">
        <v>59</v>
      </c>
      <c r="AB6420" t="s">
        <v>59</v>
      </c>
      <c r="AC6420" t="s">
        <v>59</v>
      </c>
      <c r="AD6420" t="s">
        <v>59</v>
      </c>
      <c r="AF6420" s="1">
        <v>43348</v>
      </c>
      <c r="AG6420" t="s">
        <v>8651</v>
      </c>
      <c r="AH6420" t="s">
        <v>8652</v>
      </c>
      <c r="AI6420" t="str">
        <f>"9170578"</f>
        <v>9170578</v>
      </c>
      <c r="AJ6420" t="s">
        <v>9085</v>
      </c>
      <c r="AK6420">
        <v>2897022010</v>
      </c>
      <c r="AL6420" t="s">
        <v>9086</v>
      </c>
      <c r="AM6420" t="s">
        <v>78</v>
      </c>
      <c r="AN6420" t="s">
        <v>219</v>
      </c>
      <c r="AO6420" t="s">
        <v>219</v>
      </c>
      <c r="AP6420" t="s">
        <v>220</v>
      </c>
      <c r="AQ6420">
        <v>8</v>
      </c>
      <c r="AR6420" t="s">
        <v>80</v>
      </c>
      <c r="AS6420" t="s">
        <v>81</v>
      </c>
      <c r="AT6420" t="s">
        <v>58</v>
      </c>
      <c r="AU6420" t="s">
        <v>8673</v>
      </c>
      <c r="AV6420" t="s">
        <v>132</v>
      </c>
      <c r="AW6420" s="1">
        <v>26758</v>
      </c>
      <c r="AX6420">
        <v>1</v>
      </c>
    </row>
    <row r="6421" spans="1:50">
      <c r="A6421">
        <v>604515</v>
      </c>
      <c r="B6421" t="str">
        <f>"128328067"</f>
        <v>128328067</v>
      </c>
      <c r="C6421" t="s">
        <v>50</v>
      </c>
      <c r="D6421" t="s">
        <v>2983</v>
      </c>
      <c r="E6421" t="s">
        <v>52</v>
      </c>
      <c r="F6421" t="s">
        <v>4071</v>
      </c>
      <c r="G6421" t="s">
        <v>143</v>
      </c>
      <c r="H6421" t="str">
        <f>"ΑΔΡΙΑΝΟΥ 3 ΗΡΑΚΛΕΙΟ"</f>
        <v>ΑΔΡΙΑΝΟΥ 3 ΗΡΑΚΛΕΙΟ</v>
      </c>
      <c r="I6421">
        <v>71305</v>
      </c>
      <c r="J6421">
        <v>2815005711</v>
      </c>
      <c r="K6421">
        <v>6973306821</v>
      </c>
      <c r="N6421" t="s">
        <v>615</v>
      </c>
      <c r="O6421" t="s">
        <v>616</v>
      </c>
      <c r="R6421" t="s">
        <v>57</v>
      </c>
      <c r="S6421">
        <v>7</v>
      </c>
      <c r="T6421">
        <v>231</v>
      </c>
      <c r="U6421" s="1">
        <v>38230</v>
      </c>
      <c r="V6421" t="s">
        <v>80</v>
      </c>
      <c r="W6421" t="s">
        <v>81</v>
      </c>
      <c r="X6421" t="s">
        <v>58</v>
      </c>
      <c r="Y6421">
        <v>23</v>
      </c>
      <c r="Z6421" t="s">
        <v>59</v>
      </c>
      <c r="AA6421" t="s">
        <v>59</v>
      </c>
      <c r="AB6421" t="s">
        <v>59</v>
      </c>
      <c r="AC6421" t="s">
        <v>59</v>
      </c>
      <c r="AD6421" t="s">
        <v>59</v>
      </c>
      <c r="AF6421" s="1">
        <v>38231</v>
      </c>
      <c r="AG6421" t="s">
        <v>8645</v>
      </c>
      <c r="AH6421" t="s">
        <v>8646</v>
      </c>
      <c r="AI6421" t="str">
        <f>"9170108"</f>
        <v>9170108</v>
      </c>
      <c r="AJ6421" t="s">
        <v>8863</v>
      </c>
      <c r="AK6421">
        <v>2810232111</v>
      </c>
      <c r="AL6421" t="s">
        <v>8864</v>
      </c>
      <c r="AM6421" t="s">
        <v>78</v>
      </c>
      <c r="AN6421" t="s">
        <v>78</v>
      </c>
      <c r="AO6421" t="s">
        <v>78</v>
      </c>
      <c r="AP6421" t="s">
        <v>163</v>
      </c>
      <c r="AQ6421">
        <v>1</v>
      </c>
      <c r="AR6421" t="s">
        <v>80</v>
      </c>
      <c r="AS6421" t="s">
        <v>81</v>
      </c>
      <c r="AT6421" t="s">
        <v>58</v>
      </c>
      <c r="AU6421" t="s">
        <v>68</v>
      </c>
      <c r="AV6421" t="s">
        <v>69</v>
      </c>
      <c r="AW6421" s="1">
        <v>29332</v>
      </c>
      <c r="AX6421">
        <v>1</v>
      </c>
    </row>
    <row r="6422" spans="1:50">
      <c r="A6422">
        <v>588516</v>
      </c>
      <c r="B6422" t="str">
        <f>"065078453"</f>
        <v>065078453</v>
      </c>
      <c r="C6422" t="s">
        <v>50</v>
      </c>
      <c r="D6422" t="s">
        <v>10878</v>
      </c>
      <c r="E6422" t="s">
        <v>440</v>
      </c>
      <c r="F6422" t="s">
        <v>95</v>
      </c>
      <c r="G6422" t="s">
        <v>10879</v>
      </c>
      <c r="H6422" t="str">
        <f>"ΕΣΠΕΡΙΔΩΝ 8 ΗΡΑΚΛΕΙΟ"</f>
        <v>ΕΣΠΕΡΙΔΩΝ 8 ΗΡΑΚΛΕΙΟ</v>
      </c>
      <c r="I6422">
        <v>71307</v>
      </c>
      <c r="J6422">
        <v>2810214277</v>
      </c>
      <c r="K6422">
        <v>6936020249</v>
      </c>
      <c r="N6422" t="s">
        <v>615</v>
      </c>
      <c r="O6422" t="s">
        <v>616</v>
      </c>
      <c r="R6422" t="s">
        <v>57</v>
      </c>
      <c r="S6422">
        <v>11</v>
      </c>
      <c r="T6422">
        <v>176</v>
      </c>
      <c r="U6422" s="1">
        <v>36403</v>
      </c>
      <c r="V6422" t="s">
        <v>80</v>
      </c>
      <c r="W6422" t="s">
        <v>81</v>
      </c>
      <c r="X6422" t="s">
        <v>58</v>
      </c>
      <c r="Y6422">
        <v>21</v>
      </c>
      <c r="Z6422" t="s">
        <v>59</v>
      </c>
      <c r="AA6422" t="s">
        <v>59</v>
      </c>
      <c r="AB6422" t="s">
        <v>59</v>
      </c>
      <c r="AC6422" t="s">
        <v>59</v>
      </c>
      <c r="AD6422" t="s">
        <v>59</v>
      </c>
      <c r="AF6422" s="1">
        <v>36404</v>
      </c>
      <c r="AG6422" t="s">
        <v>8645</v>
      </c>
      <c r="AH6422" t="s">
        <v>8646</v>
      </c>
      <c r="AI6422" t="str">
        <f>"9170343"</f>
        <v>9170343</v>
      </c>
      <c r="AJ6422" t="s">
        <v>8743</v>
      </c>
      <c r="AK6422">
        <v>2810283970</v>
      </c>
      <c r="AL6422" t="s">
        <v>8744</v>
      </c>
      <c r="AM6422" t="s">
        <v>78</v>
      </c>
      <c r="AN6422" t="s">
        <v>78</v>
      </c>
      <c r="AO6422" t="s">
        <v>78</v>
      </c>
      <c r="AP6422" t="s">
        <v>79</v>
      </c>
      <c r="AQ6422">
        <v>1</v>
      </c>
      <c r="AR6422" t="s">
        <v>80</v>
      </c>
      <c r="AS6422" t="s">
        <v>81</v>
      </c>
      <c r="AT6422" t="s">
        <v>58</v>
      </c>
      <c r="AU6422" t="s">
        <v>68</v>
      </c>
      <c r="AV6422" t="s">
        <v>69</v>
      </c>
      <c r="AW6422" s="1">
        <v>22120</v>
      </c>
      <c r="AX6422">
        <v>1</v>
      </c>
    </row>
    <row r="6423" spans="1:50">
      <c r="A6423">
        <v>593050</v>
      </c>
      <c r="B6423" t="str">
        <f>"059912032"</f>
        <v>059912032</v>
      </c>
      <c r="C6423" t="s">
        <v>105</v>
      </c>
      <c r="D6423" t="s">
        <v>10880</v>
      </c>
      <c r="E6423" t="s">
        <v>72</v>
      </c>
      <c r="F6423" t="s">
        <v>4861</v>
      </c>
      <c r="G6423" t="s">
        <v>600</v>
      </c>
      <c r="H6423" t="str">
        <f>"11ο ΧΛΜ. ΗΡΑΚΛΕΙΟΥ ΜΟΙΡΩΝ  ΗΡΑΚΛΕΙΟ"</f>
        <v>11ο ΧΛΜ. ΗΡΑΚΛΕΙΟΥ ΜΟΙΡΩΝ  ΗΡΑΚΛΕΙΟ</v>
      </c>
      <c r="I6423">
        <v>71500</v>
      </c>
      <c r="J6423">
        <v>2810543024</v>
      </c>
      <c r="K6423">
        <v>6958464685</v>
      </c>
      <c r="N6423" t="s">
        <v>615</v>
      </c>
      <c r="O6423" t="s">
        <v>616</v>
      </c>
      <c r="R6423" t="s">
        <v>57</v>
      </c>
      <c r="S6423">
        <v>9</v>
      </c>
      <c r="T6423">
        <v>218</v>
      </c>
      <c r="U6423" s="1">
        <v>37134</v>
      </c>
      <c r="V6423" t="s">
        <v>80</v>
      </c>
      <c r="W6423" t="s">
        <v>81</v>
      </c>
      <c r="X6423" t="s">
        <v>58</v>
      </c>
      <c r="Y6423">
        <v>22</v>
      </c>
      <c r="Z6423" t="s">
        <v>59</v>
      </c>
      <c r="AA6423" t="s">
        <v>59</v>
      </c>
      <c r="AB6423" t="s">
        <v>59</v>
      </c>
      <c r="AC6423" t="s">
        <v>59</v>
      </c>
      <c r="AD6423" t="s">
        <v>59</v>
      </c>
      <c r="AF6423" s="1">
        <v>37137</v>
      </c>
      <c r="AG6423" t="s">
        <v>8645</v>
      </c>
      <c r="AH6423" t="s">
        <v>8646</v>
      </c>
      <c r="AI6423" t="str">
        <f>"9170061"</f>
        <v>9170061</v>
      </c>
      <c r="AJ6423" t="s">
        <v>8869</v>
      </c>
      <c r="AK6423">
        <v>2810791254</v>
      </c>
      <c r="AL6423" t="s">
        <v>8870</v>
      </c>
      <c r="AM6423" t="s">
        <v>78</v>
      </c>
      <c r="AN6423" t="s">
        <v>78</v>
      </c>
      <c r="AO6423" t="s">
        <v>78</v>
      </c>
      <c r="AP6423" t="s">
        <v>8871</v>
      </c>
      <c r="AQ6423">
        <v>3</v>
      </c>
      <c r="AR6423" t="s">
        <v>80</v>
      </c>
      <c r="AS6423" t="s">
        <v>81</v>
      </c>
      <c r="AT6423" t="s">
        <v>58</v>
      </c>
      <c r="AU6423" t="s">
        <v>68</v>
      </c>
      <c r="AV6423" t="s">
        <v>69</v>
      </c>
      <c r="AW6423" s="1">
        <v>26156</v>
      </c>
      <c r="AX6423">
        <v>1</v>
      </c>
    </row>
    <row r="6424" spans="1:50">
      <c r="A6424">
        <v>589850</v>
      </c>
      <c r="B6424" t="str">
        <f>"110713465"</f>
        <v>110713465</v>
      </c>
      <c r="C6424" t="s">
        <v>50</v>
      </c>
      <c r="D6424" t="s">
        <v>2984</v>
      </c>
      <c r="E6424" t="s">
        <v>73</v>
      </c>
      <c r="F6424" t="s">
        <v>53</v>
      </c>
      <c r="G6424" t="s">
        <v>237</v>
      </c>
      <c r="H6424" t="str">
        <f>"ΖΕΥΞΙΔΟΣ 20 ΗΡΑΚΛΕΙΟ"</f>
        <v>ΖΕΥΞΙΔΟΣ 20 ΗΡΑΚΛΕΙΟ</v>
      </c>
      <c r="I6424">
        <v>71410</v>
      </c>
      <c r="J6424">
        <v>2810256509</v>
      </c>
      <c r="K6424">
        <v>6946142129</v>
      </c>
      <c r="N6424" t="s">
        <v>1525</v>
      </c>
      <c r="O6424" t="s">
        <v>1526</v>
      </c>
      <c r="R6424" t="s">
        <v>57</v>
      </c>
      <c r="S6424">
        <v>10</v>
      </c>
      <c r="T6424">
        <v>176</v>
      </c>
      <c r="U6424" s="1">
        <v>36403</v>
      </c>
      <c r="V6424" t="s">
        <v>80</v>
      </c>
      <c r="W6424" t="s">
        <v>81</v>
      </c>
      <c r="X6424" t="s">
        <v>58</v>
      </c>
      <c r="Y6424">
        <v>25</v>
      </c>
      <c r="Z6424" t="s">
        <v>59</v>
      </c>
      <c r="AA6424" t="s">
        <v>59</v>
      </c>
      <c r="AB6424" t="s">
        <v>59</v>
      </c>
      <c r="AC6424" t="s">
        <v>59</v>
      </c>
      <c r="AD6424" t="s">
        <v>59</v>
      </c>
      <c r="AF6424" s="1">
        <v>36404</v>
      </c>
      <c r="AG6424" t="s">
        <v>8651</v>
      </c>
      <c r="AH6424" t="s">
        <v>8652</v>
      </c>
      <c r="AI6424" t="str">
        <f>"9170600"</f>
        <v>9170600</v>
      </c>
      <c r="AJ6424" t="s">
        <v>10168</v>
      </c>
      <c r="AK6424">
        <v>2810250956</v>
      </c>
      <c r="AL6424" t="s">
        <v>10169</v>
      </c>
      <c r="AM6424" t="s">
        <v>78</v>
      </c>
      <c r="AN6424" t="s">
        <v>78</v>
      </c>
      <c r="AO6424" t="s">
        <v>78</v>
      </c>
      <c r="AP6424" t="s">
        <v>141</v>
      </c>
      <c r="AQ6424">
        <v>1</v>
      </c>
      <c r="AR6424" t="s">
        <v>80</v>
      </c>
      <c r="AS6424" t="s">
        <v>81</v>
      </c>
      <c r="AT6424" t="s">
        <v>58</v>
      </c>
      <c r="AU6424" t="s">
        <v>68</v>
      </c>
      <c r="AV6424" t="s">
        <v>69</v>
      </c>
      <c r="AW6424" s="1">
        <v>24484</v>
      </c>
      <c r="AX6424">
        <v>1</v>
      </c>
    </row>
    <row r="6425" spans="1:50">
      <c r="A6425">
        <v>576449</v>
      </c>
      <c r="B6425" t="str">
        <f>"054165383"</f>
        <v>054165383</v>
      </c>
      <c r="C6425" t="s">
        <v>50</v>
      </c>
      <c r="D6425" t="s">
        <v>10881</v>
      </c>
      <c r="E6425" t="s">
        <v>114</v>
      </c>
      <c r="F6425" t="s">
        <v>53</v>
      </c>
      <c r="G6425" t="s">
        <v>215</v>
      </c>
      <c r="H6425" t="str">
        <f>"ΤΥΛΙΣΣΟΣ ΤΥΛΙΣΣΟΣ ΗΡΑΚΛΕΙΟΥ"</f>
        <v>ΤΥΛΙΣΣΟΣ ΤΥΛΙΣΣΟΣ ΗΡΑΚΛΕΙΟΥ</v>
      </c>
      <c r="I6425">
        <v>71500</v>
      </c>
      <c r="J6425">
        <v>2810831303</v>
      </c>
      <c r="K6425">
        <v>6945507700</v>
      </c>
      <c r="M6425" t="s">
        <v>10882</v>
      </c>
      <c r="N6425" t="s">
        <v>306</v>
      </c>
      <c r="O6425" t="s">
        <v>307</v>
      </c>
      <c r="R6425" t="s">
        <v>57</v>
      </c>
      <c r="S6425">
        <v>14</v>
      </c>
      <c r="T6425">
        <v>184</v>
      </c>
      <c r="U6425" s="1">
        <v>34941</v>
      </c>
      <c r="V6425" t="s">
        <v>80</v>
      </c>
      <c r="W6425" t="s">
        <v>81</v>
      </c>
      <c r="X6425" t="s">
        <v>58</v>
      </c>
      <c r="Y6425">
        <v>21</v>
      </c>
      <c r="Z6425" t="s">
        <v>59</v>
      </c>
      <c r="AA6425" t="s">
        <v>59</v>
      </c>
      <c r="AB6425" t="s">
        <v>59</v>
      </c>
      <c r="AC6425" t="s">
        <v>59</v>
      </c>
      <c r="AD6425" t="s">
        <v>59</v>
      </c>
      <c r="AF6425" s="1">
        <v>34943</v>
      </c>
      <c r="AG6425" t="s">
        <v>8645</v>
      </c>
      <c r="AH6425" t="s">
        <v>8646</v>
      </c>
      <c r="AI6425" t="str">
        <f>"9170575"</f>
        <v>9170575</v>
      </c>
      <c r="AJ6425" t="s">
        <v>8748</v>
      </c>
      <c r="AK6425">
        <v>2810260772</v>
      </c>
      <c r="AL6425" t="s">
        <v>8749</v>
      </c>
      <c r="AM6425" t="s">
        <v>78</v>
      </c>
      <c r="AN6425" t="s">
        <v>78</v>
      </c>
      <c r="AO6425" t="s">
        <v>78</v>
      </c>
      <c r="AP6425" t="s">
        <v>141</v>
      </c>
      <c r="AQ6425">
        <v>1</v>
      </c>
      <c r="AR6425" t="s">
        <v>80</v>
      </c>
      <c r="AS6425" t="s">
        <v>81</v>
      </c>
      <c r="AT6425" t="s">
        <v>58</v>
      </c>
      <c r="AU6425" t="s">
        <v>68</v>
      </c>
      <c r="AV6425" t="s">
        <v>69</v>
      </c>
      <c r="AW6425" s="1">
        <v>25661</v>
      </c>
      <c r="AX6425">
        <v>1</v>
      </c>
    </row>
    <row r="6426" spans="1:50">
      <c r="B6426" t="str">
        <f>"119698230"</f>
        <v>119698230</v>
      </c>
      <c r="C6426" t="s">
        <v>50</v>
      </c>
      <c r="D6426" t="s">
        <v>10883</v>
      </c>
      <c r="E6426" t="s">
        <v>237</v>
      </c>
      <c r="F6426" t="s">
        <v>95</v>
      </c>
      <c r="G6426" t="s">
        <v>112</v>
      </c>
      <c r="H6426" t="str">
        <f>"ΚΟΜΟΤΗΝΗΣ 5 "</f>
        <v xml:space="preserve">ΚΟΜΟΤΗΝΗΣ 5 </v>
      </c>
      <c r="I6426">
        <v>71409</v>
      </c>
      <c r="J6426">
        <v>2810211948</v>
      </c>
      <c r="K6426">
        <v>6972559848</v>
      </c>
      <c r="N6426" t="s">
        <v>1525</v>
      </c>
      <c r="O6426" t="s">
        <v>1526</v>
      </c>
      <c r="R6426" t="s">
        <v>159</v>
      </c>
      <c r="S6426">
        <v>6</v>
      </c>
      <c r="T6426" t="s">
        <v>8670</v>
      </c>
      <c r="U6426" s="1">
        <v>43348</v>
      </c>
      <c r="V6426" t="s">
        <v>80</v>
      </c>
      <c r="W6426" t="s">
        <v>81</v>
      </c>
      <c r="X6426" t="s">
        <v>58</v>
      </c>
      <c r="Y6426">
        <v>25</v>
      </c>
      <c r="Z6426" t="s">
        <v>59</v>
      </c>
      <c r="AA6426" t="s">
        <v>59</v>
      </c>
      <c r="AB6426" t="s">
        <v>59</v>
      </c>
      <c r="AC6426" t="s">
        <v>59</v>
      </c>
      <c r="AD6426" t="s">
        <v>59</v>
      </c>
      <c r="AF6426" s="1">
        <v>43348</v>
      </c>
      <c r="AG6426" t="s">
        <v>8651</v>
      </c>
      <c r="AH6426" t="s">
        <v>8652</v>
      </c>
      <c r="AI6426" t="str">
        <f>"9170603"</f>
        <v>9170603</v>
      </c>
      <c r="AJ6426" t="s">
        <v>10328</v>
      </c>
      <c r="AK6426">
        <v>2810542177</v>
      </c>
      <c r="AL6426" t="s">
        <v>10329</v>
      </c>
      <c r="AM6426" t="s">
        <v>78</v>
      </c>
      <c r="AN6426" t="s">
        <v>78</v>
      </c>
      <c r="AO6426" t="s">
        <v>78</v>
      </c>
      <c r="AP6426" t="s">
        <v>9053</v>
      </c>
      <c r="AQ6426">
        <v>1</v>
      </c>
      <c r="AR6426" t="s">
        <v>80</v>
      </c>
      <c r="AS6426" t="s">
        <v>81</v>
      </c>
      <c r="AT6426" t="s">
        <v>58</v>
      </c>
      <c r="AU6426" t="s">
        <v>8673</v>
      </c>
      <c r="AV6426" t="s">
        <v>132</v>
      </c>
      <c r="AW6426" s="1">
        <v>30753</v>
      </c>
      <c r="AX6426">
        <v>1</v>
      </c>
    </row>
    <row r="6427" spans="1:50">
      <c r="A6427">
        <v>701675</v>
      </c>
      <c r="B6427" t="str">
        <f>"125584600"</f>
        <v>125584600</v>
      </c>
      <c r="C6427" t="s">
        <v>50</v>
      </c>
      <c r="D6427" t="s">
        <v>10884</v>
      </c>
      <c r="E6427" t="s">
        <v>4695</v>
      </c>
      <c r="F6427" t="s">
        <v>1493</v>
      </c>
      <c r="G6427" t="s">
        <v>52</v>
      </c>
      <c r="H6427" t="str">
        <f>"ΣΙΝΑ 26 ΗΡΑΚΛΕΙΟ"</f>
        <v>ΣΙΝΑ 26 ΗΡΑΚΛΕΙΟ</v>
      </c>
      <c r="I6427">
        <v>71307</v>
      </c>
      <c r="J6427">
        <v>2810242927</v>
      </c>
      <c r="K6427">
        <v>6977013137</v>
      </c>
      <c r="M6427" t="s">
        <v>10885</v>
      </c>
      <c r="N6427" t="s">
        <v>615</v>
      </c>
      <c r="O6427" t="s">
        <v>616</v>
      </c>
      <c r="R6427" t="s">
        <v>57</v>
      </c>
      <c r="S6427">
        <v>4</v>
      </c>
      <c r="T6427">
        <v>772</v>
      </c>
      <c r="U6427" s="1">
        <v>40413</v>
      </c>
      <c r="V6427" t="s">
        <v>80</v>
      </c>
      <c r="W6427" t="s">
        <v>81</v>
      </c>
      <c r="X6427" t="s">
        <v>58</v>
      </c>
      <c r="Y6427">
        <v>24</v>
      </c>
      <c r="Z6427" t="s">
        <v>59</v>
      </c>
      <c r="AA6427" t="s">
        <v>59</v>
      </c>
      <c r="AB6427" t="s">
        <v>59</v>
      </c>
      <c r="AC6427" t="s">
        <v>59</v>
      </c>
      <c r="AD6427" t="s">
        <v>59</v>
      </c>
      <c r="AF6427" s="1">
        <v>40413</v>
      </c>
      <c r="AG6427" t="s">
        <v>8645</v>
      </c>
      <c r="AH6427" t="s">
        <v>8646</v>
      </c>
      <c r="AI6427" t="str">
        <f>"9170262"</f>
        <v>9170262</v>
      </c>
      <c r="AJ6427" t="s">
        <v>9224</v>
      </c>
      <c r="AK6427">
        <v>2810245912</v>
      </c>
      <c r="AL6427" t="s">
        <v>9225</v>
      </c>
      <c r="AM6427" t="s">
        <v>78</v>
      </c>
      <c r="AN6427" t="s">
        <v>78</v>
      </c>
      <c r="AO6427" t="s">
        <v>286</v>
      </c>
      <c r="AP6427" t="s">
        <v>286</v>
      </c>
      <c r="AQ6427">
        <v>1</v>
      </c>
      <c r="AR6427" t="s">
        <v>80</v>
      </c>
      <c r="AS6427" t="s">
        <v>81</v>
      </c>
      <c r="AT6427" t="s">
        <v>58</v>
      </c>
      <c r="AU6427" t="s">
        <v>68</v>
      </c>
      <c r="AV6427" t="s">
        <v>69</v>
      </c>
      <c r="AW6427" s="1">
        <v>29259</v>
      </c>
      <c r="AX6427">
        <v>1</v>
      </c>
    </row>
    <row r="6428" spans="1:50">
      <c r="A6428">
        <v>601234</v>
      </c>
      <c r="B6428" t="str">
        <f>"070717354"</f>
        <v>070717354</v>
      </c>
      <c r="C6428" t="s">
        <v>50</v>
      </c>
      <c r="D6428" t="s">
        <v>10886</v>
      </c>
      <c r="E6428" t="s">
        <v>250</v>
      </c>
      <c r="F6428" t="s">
        <v>95</v>
      </c>
      <c r="G6428" t="s">
        <v>476</v>
      </c>
      <c r="H6428" t="str">
        <f>" "</f>
        <v xml:space="preserve"> </v>
      </c>
      <c r="J6428">
        <v>2893051250</v>
      </c>
      <c r="K6428">
        <v>6972665208</v>
      </c>
      <c r="N6428" t="s">
        <v>615</v>
      </c>
      <c r="O6428" t="s">
        <v>616</v>
      </c>
      <c r="R6428" t="s">
        <v>57</v>
      </c>
      <c r="S6428">
        <v>8</v>
      </c>
      <c r="T6428">
        <v>207</v>
      </c>
      <c r="U6428" s="1">
        <v>37866</v>
      </c>
      <c r="V6428" t="s">
        <v>80</v>
      </c>
      <c r="W6428" t="s">
        <v>81</v>
      </c>
      <c r="X6428" t="s">
        <v>58</v>
      </c>
      <c r="Y6428">
        <v>22</v>
      </c>
      <c r="Z6428" t="s">
        <v>59</v>
      </c>
      <c r="AA6428" t="s">
        <v>59</v>
      </c>
      <c r="AB6428" t="s">
        <v>59</v>
      </c>
      <c r="AC6428" t="s">
        <v>59</v>
      </c>
      <c r="AD6428" t="s">
        <v>59</v>
      </c>
      <c r="AF6428" s="1">
        <v>37866</v>
      </c>
      <c r="AG6428" t="s">
        <v>8645</v>
      </c>
      <c r="AH6428" t="s">
        <v>8646</v>
      </c>
      <c r="AI6428" t="str">
        <f>"9170549"</f>
        <v>9170549</v>
      </c>
      <c r="AJ6428" t="s">
        <v>8778</v>
      </c>
      <c r="AK6428">
        <v>2810751800</v>
      </c>
      <c r="AL6428" t="s">
        <v>8779</v>
      </c>
      <c r="AM6428" t="s">
        <v>78</v>
      </c>
      <c r="AN6428" t="s">
        <v>424</v>
      </c>
      <c r="AO6428" t="s">
        <v>425</v>
      </c>
      <c r="AP6428" t="s">
        <v>425</v>
      </c>
      <c r="AQ6428">
        <v>11</v>
      </c>
      <c r="AR6428" t="s">
        <v>80</v>
      </c>
      <c r="AS6428" t="s">
        <v>81</v>
      </c>
      <c r="AT6428" t="s">
        <v>58</v>
      </c>
      <c r="AU6428" t="s">
        <v>68</v>
      </c>
      <c r="AV6428" t="s">
        <v>69</v>
      </c>
      <c r="AW6428" s="1">
        <v>26512</v>
      </c>
      <c r="AX6428">
        <v>1</v>
      </c>
    </row>
    <row r="6429" spans="1:50">
      <c r="A6429">
        <v>618384</v>
      </c>
      <c r="B6429" t="str">
        <f>"132955219"</f>
        <v>132955219</v>
      </c>
      <c r="C6429" t="s">
        <v>50</v>
      </c>
      <c r="D6429" t="s">
        <v>10886</v>
      </c>
      <c r="E6429" t="s">
        <v>54</v>
      </c>
      <c r="F6429" t="s">
        <v>166</v>
      </c>
      <c r="G6429" t="s">
        <v>52</v>
      </c>
      <c r="H6429" t="str">
        <f>"ΘΕΟΚΡΙΤΟΥ 14 ΗΡΑΚΛΕΙΟ"</f>
        <v>ΘΕΟΚΡΙΤΟΥ 14 ΗΡΑΚΛΕΙΟ</v>
      </c>
      <c r="I6429">
        <v>71303</v>
      </c>
      <c r="J6429">
        <v>2810263594</v>
      </c>
      <c r="K6429">
        <v>6936151345</v>
      </c>
      <c r="L6429">
        <v>2117203681</v>
      </c>
      <c r="M6429" t="s">
        <v>10887</v>
      </c>
      <c r="N6429" t="s">
        <v>615</v>
      </c>
      <c r="O6429" t="s">
        <v>616</v>
      </c>
      <c r="R6429" t="s">
        <v>57</v>
      </c>
      <c r="S6429">
        <v>5</v>
      </c>
      <c r="T6429">
        <v>774</v>
      </c>
      <c r="U6429" s="1">
        <v>39680</v>
      </c>
      <c r="V6429" t="s">
        <v>80</v>
      </c>
      <c r="W6429" t="s">
        <v>81</v>
      </c>
      <c r="X6429" t="s">
        <v>58</v>
      </c>
      <c r="Y6429">
        <v>25</v>
      </c>
      <c r="Z6429" t="s">
        <v>59</v>
      </c>
      <c r="AA6429" t="s">
        <v>59</v>
      </c>
      <c r="AB6429" t="s">
        <v>59</v>
      </c>
      <c r="AC6429" t="s">
        <v>59</v>
      </c>
      <c r="AD6429" t="s">
        <v>59</v>
      </c>
      <c r="AF6429" s="1">
        <v>39681</v>
      </c>
      <c r="AG6429" t="s">
        <v>8645</v>
      </c>
      <c r="AH6429" t="s">
        <v>8646</v>
      </c>
      <c r="AI6429" t="str">
        <f>"9170055"</f>
        <v>9170055</v>
      </c>
      <c r="AJ6429" t="s">
        <v>8836</v>
      </c>
      <c r="AK6429">
        <v>2810255097</v>
      </c>
      <c r="AL6429" t="s">
        <v>8837</v>
      </c>
      <c r="AM6429" t="s">
        <v>78</v>
      </c>
      <c r="AN6429" t="s">
        <v>78</v>
      </c>
      <c r="AO6429" t="s">
        <v>78</v>
      </c>
      <c r="AP6429" t="s">
        <v>141</v>
      </c>
      <c r="AQ6429">
        <v>1</v>
      </c>
      <c r="AR6429" t="s">
        <v>80</v>
      </c>
      <c r="AS6429" t="s">
        <v>81</v>
      </c>
      <c r="AT6429" t="s">
        <v>58</v>
      </c>
      <c r="AU6429" t="s">
        <v>68</v>
      </c>
      <c r="AV6429" t="s">
        <v>69</v>
      </c>
      <c r="AW6429" s="1">
        <v>30838</v>
      </c>
      <c r="AX6429">
        <v>1</v>
      </c>
    </row>
    <row r="6430" spans="1:50">
      <c r="A6430">
        <v>589520</v>
      </c>
      <c r="B6430" t="str">
        <f>"073373952"</f>
        <v>073373952</v>
      </c>
      <c r="C6430" t="s">
        <v>50</v>
      </c>
      <c r="D6430" t="s">
        <v>10888</v>
      </c>
      <c r="E6430" t="s">
        <v>1001</v>
      </c>
      <c r="F6430" t="s">
        <v>95</v>
      </c>
      <c r="G6430" t="s">
        <v>3604</v>
      </c>
      <c r="H6430" t="str">
        <f>" "</f>
        <v xml:space="preserve"> </v>
      </c>
      <c r="N6430" t="s">
        <v>615</v>
      </c>
      <c r="O6430" t="s">
        <v>616</v>
      </c>
      <c r="R6430" t="s">
        <v>57</v>
      </c>
      <c r="S6430">
        <v>10</v>
      </c>
      <c r="T6430">
        <v>176</v>
      </c>
      <c r="U6430" s="1">
        <v>36403</v>
      </c>
      <c r="V6430" t="s">
        <v>80</v>
      </c>
      <c r="W6430" t="s">
        <v>81</v>
      </c>
      <c r="X6430" t="s">
        <v>58</v>
      </c>
      <c r="Y6430">
        <v>22</v>
      </c>
      <c r="Z6430" t="s">
        <v>59</v>
      </c>
      <c r="AA6430" t="s">
        <v>59</v>
      </c>
      <c r="AB6430" t="s">
        <v>59</v>
      </c>
      <c r="AC6430" t="s">
        <v>59</v>
      </c>
      <c r="AD6430" t="s">
        <v>59</v>
      </c>
      <c r="AF6430" s="1">
        <v>36404</v>
      </c>
      <c r="AG6430" t="s">
        <v>8645</v>
      </c>
      <c r="AH6430" t="s">
        <v>8646</v>
      </c>
      <c r="AI6430" t="str">
        <f>"9170219"</f>
        <v>9170219</v>
      </c>
      <c r="AJ6430" t="s">
        <v>8967</v>
      </c>
      <c r="AK6430">
        <v>2897041357</v>
      </c>
      <c r="AL6430" t="s">
        <v>8968</v>
      </c>
      <c r="AM6430" t="s">
        <v>78</v>
      </c>
      <c r="AN6430" t="s">
        <v>219</v>
      </c>
      <c r="AO6430" t="s">
        <v>297</v>
      </c>
      <c r="AP6430" t="s">
        <v>297</v>
      </c>
      <c r="AQ6430">
        <v>7</v>
      </c>
      <c r="AR6430" t="s">
        <v>80</v>
      </c>
      <c r="AS6430" t="s">
        <v>81</v>
      </c>
      <c r="AT6430" t="s">
        <v>58</v>
      </c>
      <c r="AU6430" t="s">
        <v>68</v>
      </c>
      <c r="AV6430" t="s">
        <v>69</v>
      </c>
      <c r="AW6430" s="1">
        <v>25010</v>
      </c>
      <c r="AX6430">
        <v>1</v>
      </c>
    </row>
    <row r="6431" spans="1:50">
      <c r="A6431">
        <v>614946</v>
      </c>
      <c r="B6431" t="str">
        <f>"072675378"</f>
        <v>072675378</v>
      </c>
      <c r="C6431" t="s">
        <v>50</v>
      </c>
      <c r="D6431" t="s">
        <v>6305</v>
      </c>
      <c r="E6431" t="s">
        <v>73</v>
      </c>
      <c r="F6431" t="s">
        <v>99</v>
      </c>
      <c r="G6431" t="s">
        <v>52</v>
      </c>
      <c r="H6431" t="str">
        <f>"ΚΑΛΛΙΠΟΛΕΩΣ 90 ΗΡΑΚΛΕΙΟ"</f>
        <v>ΚΑΛΛΙΠΟΛΕΩΣ 90 ΗΡΑΚΛΕΙΟ</v>
      </c>
      <c r="I6431">
        <v>71306</v>
      </c>
      <c r="J6431">
        <v>2810238967</v>
      </c>
      <c r="K6431">
        <v>6977251607</v>
      </c>
      <c r="N6431" t="s">
        <v>615</v>
      </c>
      <c r="O6431" t="s">
        <v>616</v>
      </c>
      <c r="P6431" t="s">
        <v>1525</v>
      </c>
      <c r="Q6431" t="s">
        <v>1526</v>
      </c>
      <c r="R6431" t="s">
        <v>57</v>
      </c>
      <c r="S6431">
        <v>6</v>
      </c>
      <c r="T6431">
        <v>598</v>
      </c>
      <c r="U6431" s="1">
        <v>39310</v>
      </c>
      <c r="V6431" t="s">
        <v>80</v>
      </c>
      <c r="W6431" t="s">
        <v>81</v>
      </c>
      <c r="X6431" t="s">
        <v>58</v>
      </c>
      <c r="Y6431">
        <v>23</v>
      </c>
      <c r="Z6431" t="s">
        <v>59</v>
      </c>
      <c r="AA6431" t="s">
        <v>59</v>
      </c>
      <c r="AB6431" t="s">
        <v>59</v>
      </c>
      <c r="AC6431" t="s">
        <v>59</v>
      </c>
      <c r="AD6431" t="s">
        <v>59</v>
      </c>
      <c r="AF6431" s="1">
        <v>39328</v>
      </c>
      <c r="AG6431" t="s">
        <v>8645</v>
      </c>
      <c r="AH6431" t="s">
        <v>8646</v>
      </c>
      <c r="AI6431" t="str">
        <f>"9170057"</f>
        <v>9170057</v>
      </c>
      <c r="AJ6431" t="s">
        <v>8929</v>
      </c>
      <c r="AK6431">
        <v>2810251505</v>
      </c>
      <c r="AL6431" t="s">
        <v>8930</v>
      </c>
      <c r="AM6431" t="s">
        <v>78</v>
      </c>
      <c r="AN6431" t="s">
        <v>78</v>
      </c>
      <c r="AO6431" t="s">
        <v>78</v>
      </c>
      <c r="AP6431" t="s">
        <v>141</v>
      </c>
      <c r="AQ6431">
        <v>1</v>
      </c>
      <c r="AR6431" t="s">
        <v>80</v>
      </c>
      <c r="AS6431" t="s">
        <v>81</v>
      </c>
      <c r="AT6431" t="s">
        <v>58</v>
      </c>
      <c r="AU6431" t="s">
        <v>68</v>
      </c>
      <c r="AV6431" t="s">
        <v>69</v>
      </c>
      <c r="AW6431" s="1">
        <v>25241</v>
      </c>
      <c r="AX6431">
        <v>1</v>
      </c>
    </row>
    <row r="6432" spans="1:50">
      <c r="B6432" t="str">
        <f>"059690479"</f>
        <v>059690479</v>
      </c>
      <c r="C6432" t="s">
        <v>50</v>
      </c>
      <c r="D6432" t="s">
        <v>10889</v>
      </c>
      <c r="E6432" t="s">
        <v>484</v>
      </c>
      <c r="F6432" t="s">
        <v>920</v>
      </c>
      <c r="G6432" t="s">
        <v>250</v>
      </c>
      <c r="H6432" t="str">
        <f>"ΧΕΡΣΟΝΗΣΟΣ ΧΕΡΣΟΝΗΣΟΣ"</f>
        <v>ΧΕΡΣΟΝΗΣΟΣ ΧΕΡΣΟΝΗΣΟΣ</v>
      </c>
      <c r="I6432">
        <v>70014</v>
      </c>
      <c r="J6432">
        <v>2897028617</v>
      </c>
      <c r="K6432">
        <v>6972421334</v>
      </c>
      <c r="M6432" t="s">
        <v>10890</v>
      </c>
      <c r="N6432" t="s">
        <v>478</v>
      </c>
      <c r="O6432" t="s">
        <v>479</v>
      </c>
      <c r="R6432" t="s">
        <v>159</v>
      </c>
      <c r="S6432">
        <v>2</v>
      </c>
      <c r="T6432" t="s">
        <v>8675</v>
      </c>
      <c r="U6432" s="1">
        <v>43348</v>
      </c>
      <c r="V6432" t="s">
        <v>80</v>
      </c>
      <c r="W6432" t="s">
        <v>81</v>
      </c>
      <c r="X6432" t="s">
        <v>58</v>
      </c>
      <c r="Y6432">
        <v>14</v>
      </c>
      <c r="Z6432" t="s">
        <v>59</v>
      </c>
      <c r="AA6432" t="s">
        <v>59</v>
      </c>
      <c r="AB6432" t="s">
        <v>59</v>
      </c>
      <c r="AC6432" t="s">
        <v>59</v>
      </c>
      <c r="AD6432" t="s">
        <v>59</v>
      </c>
      <c r="AF6432" s="1">
        <v>43348</v>
      </c>
      <c r="AG6432" t="s">
        <v>8645</v>
      </c>
      <c r="AH6432" t="s">
        <v>8646</v>
      </c>
      <c r="AI6432" t="str">
        <f>"9170239"</f>
        <v>9170239</v>
      </c>
      <c r="AJ6432" t="s">
        <v>8814</v>
      </c>
      <c r="AK6432">
        <v>2897022076</v>
      </c>
      <c r="AL6432" t="s">
        <v>8815</v>
      </c>
      <c r="AM6432" t="s">
        <v>78</v>
      </c>
      <c r="AN6432" t="s">
        <v>219</v>
      </c>
      <c r="AO6432" t="s">
        <v>219</v>
      </c>
      <c r="AP6432" t="s">
        <v>220</v>
      </c>
      <c r="AQ6432">
        <v>8</v>
      </c>
      <c r="AR6432" t="s">
        <v>80</v>
      </c>
      <c r="AS6432" t="s">
        <v>81</v>
      </c>
      <c r="AT6432" t="s">
        <v>58</v>
      </c>
      <c r="AU6432" t="s">
        <v>8686</v>
      </c>
      <c r="AV6432" t="s">
        <v>132</v>
      </c>
      <c r="AW6432" s="1">
        <v>25065</v>
      </c>
      <c r="AX6432">
        <v>1</v>
      </c>
    </row>
    <row r="6433" spans="1:50">
      <c r="B6433" t="str">
        <f>"141887695"</f>
        <v>141887695</v>
      </c>
      <c r="C6433" t="s">
        <v>50</v>
      </c>
      <c r="D6433" t="s">
        <v>10891</v>
      </c>
      <c r="E6433" t="s">
        <v>801</v>
      </c>
      <c r="F6433" t="s">
        <v>99</v>
      </c>
      <c r="G6433" t="s">
        <v>52</v>
      </c>
      <c r="H6433" t="str">
        <f>" "</f>
        <v xml:space="preserve"> </v>
      </c>
      <c r="N6433" t="s">
        <v>615</v>
      </c>
      <c r="O6433" t="s">
        <v>616</v>
      </c>
      <c r="R6433" t="s">
        <v>121</v>
      </c>
      <c r="S6433">
        <v>1</v>
      </c>
      <c r="T6433" t="s">
        <v>8717</v>
      </c>
      <c r="U6433" s="1">
        <v>43348</v>
      </c>
      <c r="V6433" t="s">
        <v>80</v>
      </c>
      <c r="W6433" t="s">
        <v>81</v>
      </c>
      <c r="X6433" t="s">
        <v>58</v>
      </c>
      <c r="Y6433">
        <v>24</v>
      </c>
      <c r="Z6433" t="s">
        <v>59</v>
      </c>
      <c r="AA6433" t="s">
        <v>59</v>
      </c>
      <c r="AB6433" t="s">
        <v>59</v>
      </c>
      <c r="AD6433" t="s">
        <v>59</v>
      </c>
      <c r="AF6433" s="1">
        <v>43348</v>
      </c>
      <c r="AG6433" t="s">
        <v>8645</v>
      </c>
      <c r="AH6433" t="s">
        <v>8646</v>
      </c>
      <c r="AI6433" t="str">
        <f>"9170267"</f>
        <v>9170267</v>
      </c>
      <c r="AJ6433" t="s">
        <v>8840</v>
      </c>
      <c r="AK6433">
        <v>2892022320</v>
      </c>
      <c r="AL6433" t="s">
        <v>8841</v>
      </c>
      <c r="AM6433" t="s">
        <v>78</v>
      </c>
      <c r="AN6433" t="s">
        <v>242</v>
      </c>
      <c r="AO6433" t="s">
        <v>243</v>
      </c>
      <c r="AP6433" t="s">
        <v>243</v>
      </c>
      <c r="AQ6433">
        <v>20</v>
      </c>
      <c r="AR6433" t="s">
        <v>80</v>
      </c>
      <c r="AS6433" t="s">
        <v>81</v>
      </c>
      <c r="AT6433" t="s">
        <v>58</v>
      </c>
      <c r="AU6433" t="s">
        <v>8720</v>
      </c>
      <c r="AV6433" t="s">
        <v>132</v>
      </c>
      <c r="AW6433" s="1">
        <v>32610</v>
      </c>
      <c r="AX6433">
        <v>1</v>
      </c>
    </row>
    <row r="6434" spans="1:50">
      <c r="B6434" t="str">
        <f>"149630208"</f>
        <v>149630208</v>
      </c>
      <c r="C6434" t="s">
        <v>50</v>
      </c>
      <c r="D6434" t="s">
        <v>10892</v>
      </c>
      <c r="E6434" t="s">
        <v>114</v>
      </c>
      <c r="F6434" t="s">
        <v>72</v>
      </c>
      <c r="G6434" t="s">
        <v>52</v>
      </c>
      <c r="H6434" t="str">
        <f>"ΑΝΩΓΕΙΑ ΜΥΛΟΠΟΤΑΜΟΥ ΑΝΩΓΕΙΑ"</f>
        <v>ΑΝΩΓΕΙΑ ΜΥΛΟΠΟΤΑΜΟΥ ΑΝΩΓΕΙΑ</v>
      </c>
      <c r="I6434">
        <v>74051</v>
      </c>
      <c r="J6434">
        <v>2834031239</v>
      </c>
      <c r="K6434">
        <v>6942510830</v>
      </c>
      <c r="N6434" t="s">
        <v>615</v>
      </c>
      <c r="O6434" t="s">
        <v>616</v>
      </c>
      <c r="R6434" t="s">
        <v>159</v>
      </c>
      <c r="S6434">
        <v>2</v>
      </c>
      <c r="T6434" t="s">
        <v>8675</v>
      </c>
      <c r="U6434" s="1">
        <v>43348</v>
      </c>
      <c r="V6434" t="s">
        <v>80</v>
      </c>
      <c r="W6434" t="s">
        <v>81</v>
      </c>
      <c r="X6434" t="s">
        <v>58</v>
      </c>
      <c r="Y6434">
        <v>24</v>
      </c>
      <c r="Z6434" t="s">
        <v>59</v>
      </c>
      <c r="AA6434" t="s">
        <v>59</v>
      </c>
      <c r="AB6434" t="s">
        <v>59</v>
      </c>
      <c r="AC6434" t="s">
        <v>59</v>
      </c>
      <c r="AD6434" t="s">
        <v>59</v>
      </c>
      <c r="AF6434" s="1">
        <v>43348</v>
      </c>
      <c r="AG6434" t="s">
        <v>8645</v>
      </c>
      <c r="AH6434" t="s">
        <v>8646</v>
      </c>
      <c r="AI6434" t="str">
        <f>"9170263"</f>
        <v>9170263</v>
      </c>
      <c r="AJ6434" t="s">
        <v>8942</v>
      </c>
      <c r="AK6434">
        <v>2810346939</v>
      </c>
      <c r="AL6434" t="s">
        <v>8943</v>
      </c>
      <c r="AM6434" t="s">
        <v>78</v>
      </c>
      <c r="AN6434" t="s">
        <v>78</v>
      </c>
      <c r="AO6434" t="s">
        <v>286</v>
      </c>
      <c r="AP6434" t="s">
        <v>286</v>
      </c>
      <c r="AQ6434">
        <v>1</v>
      </c>
      <c r="AR6434" t="s">
        <v>80</v>
      </c>
      <c r="AS6434" t="s">
        <v>81</v>
      </c>
      <c r="AT6434" t="s">
        <v>58</v>
      </c>
      <c r="AU6434" t="s">
        <v>8673</v>
      </c>
      <c r="AV6434" t="s">
        <v>132</v>
      </c>
      <c r="AW6434" s="1">
        <v>32412</v>
      </c>
      <c r="AX6434">
        <v>1</v>
      </c>
    </row>
    <row r="6435" spans="1:50">
      <c r="A6435">
        <v>621568</v>
      </c>
      <c r="B6435" t="str">
        <f>"131931212"</f>
        <v>131931212</v>
      </c>
      <c r="C6435" t="s">
        <v>50</v>
      </c>
      <c r="D6435" t="s">
        <v>10893</v>
      </c>
      <c r="E6435" t="s">
        <v>620</v>
      </c>
      <c r="F6435" t="s">
        <v>315</v>
      </c>
      <c r="G6435" t="s">
        <v>83</v>
      </c>
      <c r="H6435" t="str">
        <f>"ΑΓ.ΔΗΜΗΤΡΙΟΥ 78 ΘΕΣΣΑΛΟΝΙΚΗ"</f>
        <v>ΑΓ.ΔΗΜΗΤΡΙΟΥ 78 ΘΕΣΣΑΛΟΝΙΚΗ</v>
      </c>
      <c r="I6435">
        <v>54631</v>
      </c>
      <c r="J6435">
        <v>2310282037</v>
      </c>
      <c r="K6435">
        <v>6946688557</v>
      </c>
      <c r="N6435" t="s">
        <v>615</v>
      </c>
      <c r="O6435" t="s">
        <v>616</v>
      </c>
      <c r="R6435" t="s">
        <v>57</v>
      </c>
      <c r="S6435">
        <v>4</v>
      </c>
      <c r="T6435">
        <v>653</v>
      </c>
      <c r="U6435" s="1">
        <v>40043</v>
      </c>
      <c r="V6435" t="s">
        <v>80</v>
      </c>
      <c r="W6435" t="s">
        <v>81</v>
      </c>
      <c r="X6435" t="s">
        <v>58</v>
      </c>
      <c r="Y6435">
        <v>23</v>
      </c>
      <c r="Z6435" t="s">
        <v>59</v>
      </c>
      <c r="AA6435" t="s">
        <v>59</v>
      </c>
      <c r="AB6435" t="s">
        <v>59</v>
      </c>
      <c r="AC6435" t="s">
        <v>59</v>
      </c>
      <c r="AD6435" t="s">
        <v>59</v>
      </c>
      <c r="AF6435" s="1">
        <v>40045</v>
      </c>
      <c r="AG6435" t="s">
        <v>8645</v>
      </c>
      <c r="AH6435" t="s">
        <v>8646</v>
      </c>
      <c r="AI6435" t="str">
        <f>"9170250"</f>
        <v>9170250</v>
      </c>
      <c r="AJ6435" t="s">
        <v>8823</v>
      </c>
      <c r="AK6435">
        <v>2897022005</v>
      </c>
      <c r="AL6435" t="s">
        <v>8824</v>
      </c>
      <c r="AM6435" t="s">
        <v>78</v>
      </c>
      <c r="AN6435" t="s">
        <v>219</v>
      </c>
      <c r="AO6435" t="s">
        <v>219</v>
      </c>
      <c r="AP6435" t="s">
        <v>219</v>
      </c>
      <c r="AQ6435">
        <v>8</v>
      </c>
      <c r="AR6435" t="s">
        <v>80</v>
      </c>
      <c r="AS6435" t="s">
        <v>81</v>
      </c>
      <c r="AT6435" t="s">
        <v>58</v>
      </c>
      <c r="AU6435" t="s">
        <v>68</v>
      </c>
      <c r="AV6435" t="s">
        <v>69</v>
      </c>
      <c r="AW6435" s="1">
        <v>30324</v>
      </c>
      <c r="AX6435">
        <v>1</v>
      </c>
    </row>
    <row r="6436" spans="1:50">
      <c r="B6436" t="str">
        <f>"077402943"</f>
        <v>077402943</v>
      </c>
      <c r="C6436" t="s">
        <v>50</v>
      </c>
      <c r="D6436" t="s">
        <v>10894</v>
      </c>
      <c r="E6436" t="s">
        <v>5556</v>
      </c>
      <c r="F6436" t="s">
        <v>1320</v>
      </c>
      <c r="G6436" t="s">
        <v>460</v>
      </c>
      <c r="H6436" t="str">
        <f>"ΑΝΔ. ΔΗΜΗΤΡΙΟΥ 17 "</f>
        <v xml:space="preserve">ΑΝΔ. ΔΗΜΗΤΡΙΟΥ 17 </v>
      </c>
      <c r="I6436">
        <v>11621</v>
      </c>
      <c r="J6436">
        <v>2107241048</v>
      </c>
      <c r="K6436">
        <v>6942901074</v>
      </c>
      <c r="N6436" t="s">
        <v>615</v>
      </c>
      <c r="O6436" t="s">
        <v>616</v>
      </c>
      <c r="R6436" t="s">
        <v>159</v>
      </c>
      <c r="S6436">
        <v>5</v>
      </c>
      <c r="T6436" t="s">
        <v>8675</v>
      </c>
      <c r="U6436" s="1">
        <v>43348</v>
      </c>
      <c r="V6436" t="s">
        <v>80</v>
      </c>
      <c r="W6436" t="s">
        <v>81</v>
      </c>
      <c r="X6436" t="s">
        <v>58</v>
      </c>
      <c r="Y6436">
        <v>24</v>
      </c>
      <c r="Z6436" t="s">
        <v>59</v>
      </c>
      <c r="AA6436" t="s">
        <v>59</v>
      </c>
      <c r="AB6436" t="s">
        <v>59</v>
      </c>
      <c r="AC6436" t="s">
        <v>59</v>
      </c>
      <c r="AD6436" t="s">
        <v>59</v>
      </c>
      <c r="AF6436" s="1">
        <v>43348</v>
      </c>
      <c r="AG6436" t="s">
        <v>8645</v>
      </c>
      <c r="AH6436" t="s">
        <v>8646</v>
      </c>
      <c r="AI6436" t="str">
        <f>"9170130"</f>
        <v>9170130</v>
      </c>
      <c r="AJ6436" t="s">
        <v>10267</v>
      </c>
      <c r="AK6436">
        <v>2895071251</v>
      </c>
      <c r="AL6436" t="s">
        <v>10268</v>
      </c>
      <c r="AM6436" t="s">
        <v>78</v>
      </c>
      <c r="AN6436" t="s">
        <v>482</v>
      </c>
      <c r="AO6436" t="s">
        <v>482</v>
      </c>
      <c r="AP6436" t="s">
        <v>9002</v>
      </c>
      <c r="AQ6436">
        <v>14</v>
      </c>
      <c r="AR6436" t="s">
        <v>80</v>
      </c>
      <c r="AS6436" t="s">
        <v>81</v>
      </c>
      <c r="AT6436" t="s">
        <v>58</v>
      </c>
      <c r="AU6436" t="s">
        <v>8673</v>
      </c>
      <c r="AV6436" t="s">
        <v>132</v>
      </c>
      <c r="AW6436" s="1">
        <v>26912</v>
      </c>
      <c r="AX6436">
        <v>1</v>
      </c>
    </row>
    <row r="6437" spans="1:50">
      <c r="B6437" t="str">
        <f>"146575246"</f>
        <v>146575246</v>
      </c>
      <c r="C6437" t="s">
        <v>50</v>
      </c>
      <c r="D6437" t="s">
        <v>10895</v>
      </c>
      <c r="E6437" t="s">
        <v>10896</v>
      </c>
      <c r="F6437" t="s">
        <v>1136</v>
      </c>
      <c r="G6437" t="s">
        <v>801</v>
      </c>
      <c r="H6437" t="str">
        <f>"ΜΥΡΜΙΔΟΝΩΝ 29 "</f>
        <v xml:space="preserve">ΜΥΡΜΙΔΟΝΩΝ 29 </v>
      </c>
      <c r="I6437">
        <v>43100</v>
      </c>
      <c r="J6437">
        <v>2441027381</v>
      </c>
      <c r="K6437">
        <v>6979166008</v>
      </c>
      <c r="N6437" t="s">
        <v>615</v>
      </c>
      <c r="O6437" t="s">
        <v>616</v>
      </c>
      <c r="R6437" t="s">
        <v>159</v>
      </c>
      <c r="S6437">
        <v>3</v>
      </c>
      <c r="T6437" t="s">
        <v>8675</v>
      </c>
      <c r="U6437" s="1">
        <v>43348</v>
      </c>
      <c r="V6437" t="s">
        <v>80</v>
      </c>
      <c r="W6437" t="s">
        <v>81</v>
      </c>
      <c r="X6437" t="s">
        <v>58</v>
      </c>
      <c r="Y6437">
        <v>25</v>
      </c>
      <c r="Z6437" t="s">
        <v>59</v>
      </c>
      <c r="AA6437" t="s">
        <v>59</v>
      </c>
      <c r="AB6437" t="s">
        <v>59</v>
      </c>
      <c r="AC6437" t="s">
        <v>59</v>
      </c>
      <c r="AD6437" t="s">
        <v>59</v>
      </c>
      <c r="AF6437" s="1">
        <v>43348</v>
      </c>
      <c r="AG6437" t="s">
        <v>8645</v>
      </c>
      <c r="AH6437" t="s">
        <v>8676</v>
      </c>
      <c r="AI6437" t="str">
        <f>"9170170"</f>
        <v>9170170</v>
      </c>
      <c r="AJ6437" t="s">
        <v>8677</v>
      </c>
      <c r="AK6437">
        <v>2891091303</v>
      </c>
      <c r="AL6437" t="s">
        <v>8678</v>
      </c>
      <c r="AM6437" t="s">
        <v>78</v>
      </c>
      <c r="AN6437" t="s">
        <v>276</v>
      </c>
      <c r="AO6437" t="s">
        <v>490</v>
      </c>
      <c r="AP6437" t="s">
        <v>8679</v>
      </c>
      <c r="AQ6437">
        <v>12</v>
      </c>
      <c r="AR6437" t="s">
        <v>80</v>
      </c>
      <c r="AS6437" t="s">
        <v>81</v>
      </c>
      <c r="AT6437" t="s">
        <v>58</v>
      </c>
      <c r="AU6437" t="s">
        <v>8673</v>
      </c>
      <c r="AV6437" t="s">
        <v>132</v>
      </c>
      <c r="AW6437" s="1">
        <v>31690</v>
      </c>
      <c r="AX6437">
        <v>1</v>
      </c>
    </row>
    <row r="6438" spans="1:50">
      <c r="B6438" t="str">
        <f>"138984299"</f>
        <v>138984299</v>
      </c>
      <c r="C6438" t="s">
        <v>50</v>
      </c>
      <c r="D6438" t="s">
        <v>10897</v>
      </c>
      <c r="E6438" t="s">
        <v>727</v>
      </c>
      <c r="F6438" t="s">
        <v>95</v>
      </c>
      <c r="G6438" t="s">
        <v>263</v>
      </c>
      <c r="H6438" t="str">
        <f>" "</f>
        <v xml:space="preserve"> </v>
      </c>
      <c r="N6438" t="s">
        <v>683</v>
      </c>
      <c r="O6438" t="s">
        <v>684</v>
      </c>
      <c r="R6438" t="s">
        <v>121</v>
      </c>
      <c r="S6438">
        <v>1</v>
      </c>
      <c r="T6438" t="s">
        <v>8675</v>
      </c>
      <c r="U6438" s="1">
        <v>43348</v>
      </c>
      <c r="V6438" t="s">
        <v>80</v>
      </c>
      <c r="W6438" t="s">
        <v>81</v>
      </c>
      <c r="X6438" t="s">
        <v>58</v>
      </c>
      <c r="Y6438">
        <v>24</v>
      </c>
      <c r="Z6438" t="s">
        <v>59</v>
      </c>
      <c r="AA6438" t="s">
        <v>59</v>
      </c>
      <c r="AB6438" t="s">
        <v>59</v>
      </c>
      <c r="AD6438" t="s">
        <v>59</v>
      </c>
      <c r="AF6438" s="1">
        <v>43348</v>
      </c>
      <c r="AG6438" t="s">
        <v>8645</v>
      </c>
      <c r="AH6438" t="s">
        <v>8646</v>
      </c>
      <c r="AI6438" t="str">
        <f>"9170097"</f>
        <v>9170097</v>
      </c>
      <c r="AJ6438" t="s">
        <v>8826</v>
      </c>
      <c r="AK6438">
        <v>2810751807</v>
      </c>
      <c r="AL6438" t="s">
        <v>8827</v>
      </c>
      <c r="AM6438" t="s">
        <v>78</v>
      </c>
      <c r="AN6438" t="s">
        <v>424</v>
      </c>
      <c r="AO6438" t="s">
        <v>425</v>
      </c>
      <c r="AP6438" t="s">
        <v>425</v>
      </c>
      <c r="AQ6438">
        <v>11</v>
      </c>
      <c r="AR6438" t="s">
        <v>80</v>
      </c>
      <c r="AS6438" t="s">
        <v>81</v>
      </c>
      <c r="AT6438" t="s">
        <v>58</v>
      </c>
      <c r="AU6438" t="s">
        <v>8673</v>
      </c>
      <c r="AV6438" t="s">
        <v>132</v>
      </c>
      <c r="AW6438" s="1">
        <v>33612</v>
      </c>
      <c r="AX6438">
        <v>1</v>
      </c>
    </row>
    <row r="6439" spans="1:50">
      <c r="A6439">
        <v>605794</v>
      </c>
      <c r="B6439" t="str">
        <f>"117529892"</f>
        <v>117529892</v>
      </c>
      <c r="C6439" t="s">
        <v>50</v>
      </c>
      <c r="D6439" t="s">
        <v>10898</v>
      </c>
      <c r="E6439" t="s">
        <v>1085</v>
      </c>
      <c r="F6439" t="s">
        <v>450</v>
      </c>
      <c r="G6439" t="s">
        <v>237</v>
      </c>
      <c r="H6439" t="str">
        <f>" "</f>
        <v xml:space="preserve"> </v>
      </c>
      <c r="J6439">
        <v>2261091514</v>
      </c>
      <c r="K6439">
        <v>6972231109</v>
      </c>
      <c r="N6439" t="s">
        <v>615</v>
      </c>
      <c r="O6439" t="s">
        <v>616</v>
      </c>
      <c r="R6439" t="s">
        <v>57</v>
      </c>
      <c r="S6439">
        <v>7</v>
      </c>
      <c r="T6439">
        <v>231</v>
      </c>
      <c r="U6439" s="1">
        <v>38230</v>
      </c>
      <c r="V6439" t="s">
        <v>80</v>
      </c>
      <c r="W6439" t="s">
        <v>81</v>
      </c>
      <c r="X6439" t="s">
        <v>58</v>
      </c>
      <c r="Y6439">
        <v>22</v>
      </c>
      <c r="Z6439" t="s">
        <v>59</v>
      </c>
      <c r="AA6439" t="s">
        <v>59</v>
      </c>
      <c r="AB6439" t="s">
        <v>59</v>
      </c>
      <c r="AC6439" t="s">
        <v>59</v>
      </c>
      <c r="AD6439" t="s">
        <v>59</v>
      </c>
      <c r="AF6439" s="1">
        <v>38231</v>
      </c>
      <c r="AG6439" t="s">
        <v>8645</v>
      </c>
      <c r="AH6439" t="s">
        <v>8646</v>
      </c>
      <c r="AI6439" t="str">
        <f>"9170219"</f>
        <v>9170219</v>
      </c>
      <c r="AJ6439" t="s">
        <v>8967</v>
      </c>
      <c r="AK6439">
        <v>2897041357</v>
      </c>
      <c r="AL6439" t="s">
        <v>8968</v>
      </c>
      <c r="AM6439" t="s">
        <v>78</v>
      </c>
      <c r="AN6439" t="s">
        <v>219</v>
      </c>
      <c r="AO6439" t="s">
        <v>297</v>
      </c>
      <c r="AP6439" t="s">
        <v>297</v>
      </c>
      <c r="AQ6439">
        <v>7</v>
      </c>
      <c r="AR6439" t="s">
        <v>80</v>
      </c>
      <c r="AS6439" t="s">
        <v>81</v>
      </c>
      <c r="AT6439" t="s">
        <v>58</v>
      </c>
      <c r="AU6439" t="s">
        <v>68</v>
      </c>
      <c r="AV6439" t="s">
        <v>69</v>
      </c>
      <c r="AW6439" s="1">
        <v>28675</v>
      </c>
      <c r="AX6439">
        <v>1</v>
      </c>
    </row>
    <row r="6440" spans="1:50">
      <c r="B6440" t="str">
        <f>"142048596"</f>
        <v>142048596</v>
      </c>
      <c r="C6440" t="s">
        <v>50</v>
      </c>
      <c r="D6440" t="s">
        <v>10899</v>
      </c>
      <c r="E6440" t="s">
        <v>714</v>
      </c>
      <c r="F6440" t="s">
        <v>53</v>
      </c>
      <c r="G6440" t="s">
        <v>52</v>
      </c>
      <c r="H6440" t="str">
        <f>"Ωλένη Πύργος Ηλείας"</f>
        <v>Ωλένη Πύργος Ηλείας</v>
      </c>
      <c r="I6440">
        <v>27064</v>
      </c>
      <c r="J6440">
        <v>2621061024</v>
      </c>
      <c r="K6440">
        <v>6975100429</v>
      </c>
      <c r="L6440">
        <v>6984714480</v>
      </c>
      <c r="M6440" t="s">
        <v>10900</v>
      </c>
      <c r="N6440" t="s">
        <v>1525</v>
      </c>
      <c r="O6440" t="s">
        <v>1526</v>
      </c>
      <c r="R6440" t="s">
        <v>159</v>
      </c>
      <c r="S6440">
        <v>5</v>
      </c>
      <c r="T6440" t="s">
        <v>8670</v>
      </c>
      <c r="U6440" s="1">
        <v>43348</v>
      </c>
      <c r="V6440" t="s">
        <v>80</v>
      </c>
      <c r="W6440" t="s">
        <v>81</v>
      </c>
      <c r="X6440" t="s">
        <v>58</v>
      </c>
      <c r="Y6440">
        <v>25</v>
      </c>
      <c r="Z6440" t="s">
        <v>59</v>
      </c>
      <c r="AA6440" t="s">
        <v>59</v>
      </c>
      <c r="AB6440" t="s">
        <v>59</v>
      </c>
      <c r="AC6440" t="s">
        <v>59</v>
      </c>
      <c r="AD6440" t="s">
        <v>59</v>
      </c>
      <c r="AF6440" s="1">
        <v>43348</v>
      </c>
      <c r="AG6440" t="s">
        <v>8651</v>
      </c>
      <c r="AH6440" t="s">
        <v>8652</v>
      </c>
      <c r="AI6440" t="str">
        <f>"9170370"</f>
        <v>9170370</v>
      </c>
      <c r="AJ6440" t="s">
        <v>10901</v>
      </c>
      <c r="AK6440">
        <v>2893022070</v>
      </c>
      <c r="AL6440" t="s">
        <v>10902</v>
      </c>
      <c r="AM6440" t="s">
        <v>78</v>
      </c>
      <c r="AN6440" t="s">
        <v>424</v>
      </c>
      <c r="AO6440" t="s">
        <v>577</v>
      </c>
      <c r="AP6440" t="s">
        <v>578</v>
      </c>
      <c r="AQ6440">
        <v>10</v>
      </c>
      <c r="AR6440" t="s">
        <v>80</v>
      </c>
      <c r="AS6440" t="s">
        <v>81</v>
      </c>
      <c r="AT6440" t="s">
        <v>58</v>
      </c>
      <c r="AU6440" t="s">
        <v>8673</v>
      </c>
      <c r="AV6440" t="s">
        <v>132</v>
      </c>
      <c r="AW6440" s="1">
        <v>31457</v>
      </c>
      <c r="AX6440">
        <v>1</v>
      </c>
    </row>
    <row r="6441" spans="1:50">
      <c r="A6441">
        <v>571281</v>
      </c>
      <c r="B6441" t="str">
        <f>"035854804"</f>
        <v>035854804</v>
      </c>
      <c r="C6441" t="s">
        <v>50</v>
      </c>
      <c r="D6441" t="s">
        <v>10903</v>
      </c>
      <c r="E6441" t="s">
        <v>83</v>
      </c>
      <c r="F6441" t="s">
        <v>279</v>
      </c>
      <c r="G6441" t="s">
        <v>600</v>
      </c>
      <c r="H6441" t="str">
        <f>"Αργυροκάστρου 54 Ηράκλειο"</f>
        <v>Αργυροκάστρου 54 Ηράκλειο</v>
      </c>
      <c r="J6441">
        <v>2810225076</v>
      </c>
      <c r="K6441">
        <v>6976407911</v>
      </c>
      <c r="M6441" t="s">
        <v>10904</v>
      </c>
      <c r="N6441" t="s">
        <v>615</v>
      </c>
      <c r="O6441" t="s">
        <v>616</v>
      </c>
      <c r="R6441" t="s">
        <v>57</v>
      </c>
      <c r="S6441">
        <v>14</v>
      </c>
      <c r="T6441">
        <v>138</v>
      </c>
      <c r="U6441" s="1">
        <v>34206</v>
      </c>
      <c r="V6441" t="s">
        <v>80</v>
      </c>
      <c r="W6441" t="s">
        <v>81</v>
      </c>
      <c r="X6441" t="s">
        <v>58</v>
      </c>
      <c r="Y6441">
        <v>21</v>
      </c>
      <c r="Z6441" t="s">
        <v>59</v>
      </c>
      <c r="AA6441" t="s">
        <v>59</v>
      </c>
      <c r="AB6441" t="s">
        <v>59</v>
      </c>
      <c r="AC6441" t="s">
        <v>59</v>
      </c>
      <c r="AD6441" t="s">
        <v>59</v>
      </c>
      <c r="AF6441" s="1">
        <v>34213</v>
      </c>
      <c r="AG6441" t="s">
        <v>8645</v>
      </c>
      <c r="AH6441" t="s">
        <v>8646</v>
      </c>
      <c r="AI6441" t="str">
        <f>"9170263"</f>
        <v>9170263</v>
      </c>
      <c r="AJ6441" t="s">
        <v>8942</v>
      </c>
      <c r="AK6441">
        <v>2810346939</v>
      </c>
      <c r="AL6441" t="s">
        <v>8943</v>
      </c>
      <c r="AM6441" t="s">
        <v>78</v>
      </c>
      <c r="AN6441" t="s">
        <v>78</v>
      </c>
      <c r="AO6441" t="s">
        <v>286</v>
      </c>
      <c r="AP6441" t="s">
        <v>286</v>
      </c>
      <c r="AQ6441">
        <v>1</v>
      </c>
      <c r="AR6441" t="s">
        <v>80</v>
      </c>
      <c r="AS6441" t="s">
        <v>81</v>
      </c>
      <c r="AT6441" t="s">
        <v>58</v>
      </c>
      <c r="AU6441" t="s">
        <v>68</v>
      </c>
      <c r="AV6441" t="s">
        <v>69</v>
      </c>
      <c r="AW6441" s="1">
        <v>24120</v>
      </c>
      <c r="AX6441">
        <v>1</v>
      </c>
    </row>
    <row r="6442" spans="1:50">
      <c r="A6442">
        <v>701079</v>
      </c>
      <c r="B6442" t="str">
        <f>"142687960"</f>
        <v>142687960</v>
      </c>
      <c r="C6442" t="s">
        <v>50</v>
      </c>
      <c r="D6442" t="s">
        <v>10905</v>
      </c>
      <c r="E6442" t="s">
        <v>460</v>
      </c>
      <c r="F6442" t="s">
        <v>10906</v>
      </c>
      <c r="G6442" t="s">
        <v>83</v>
      </c>
      <c r="H6442" t="str">
        <f>"ΕΜΜ.ΠΑΠΠΑ 14 ΣΕΡΡΕΣ"</f>
        <v>ΕΜΜ.ΠΑΠΠΑ 14 ΣΕΡΡΕΣ</v>
      </c>
      <c r="I6442">
        <v>62121</v>
      </c>
      <c r="J6442">
        <v>2321085844</v>
      </c>
      <c r="K6442">
        <v>6934160358</v>
      </c>
      <c r="L6442">
        <v>2321020874</v>
      </c>
      <c r="M6442" t="s">
        <v>10907</v>
      </c>
      <c r="N6442" t="s">
        <v>615</v>
      </c>
      <c r="O6442" t="s">
        <v>616</v>
      </c>
      <c r="R6442" t="s">
        <v>57</v>
      </c>
      <c r="S6442">
        <v>4</v>
      </c>
      <c r="T6442">
        <v>772</v>
      </c>
      <c r="U6442" s="1">
        <v>40413</v>
      </c>
      <c r="V6442" t="s">
        <v>80</v>
      </c>
      <c r="W6442" t="s">
        <v>81</v>
      </c>
      <c r="X6442" t="s">
        <v>58</v>
      </c>
      <c r="Y6442">
        <v>24</v>
      </c>
      <c r="Z6442" t="s">
        <v>59</v>
      </c>
      <c r="AA6442" t="s">
        <v>59</v>
      </c>
      <c r="AB6442" t="s">
        <v>59</v>
      </c>
      <c r="AC6442" t="s">
        <v>59</v>
      </c>
      <c r="AD6442" t="s">
        <v>59</v>
      </c>
      <c r="AF6442" s="1">
        <v>40413</v>
      </c>
      <c r="AG6442" t="s">
        <v>8645</v>
      </c>
      <c r="AH6442" t="s">
        <v>8646</v>
      </c>
      <c r="AI6442" t="str">
        <f>"9170300"</f>
        <v>9170300</v>
      </c>
      <c r="AJ6442" t="s">
        <v>8905</v>
      </c>
      <c r="AK6442">
        <v>2892041219</v>
      </c>
      <c r="AL6442" t="s">
        <v>8906</v>
      </c>
      <c r="AM6442" t="s">
        <v>78</v>
      </c>
      <c r="AN6442" t="s">
        <v>242</v>
      </c>
      <c r="AO6442" t="s">
        <v>243</v>
      </c>
      <c r="AP6442" t="s">
        <v>244</v>
      </c>
      <c r="AQ6442">
        <v>18</v>
      </c>
      <c r="AR6442" t="s">
        <v>80</v>
      </c>
      <c r="AS6442" t="s">
        <v>81</v>
      </c>
      <c r="AT6442" t="s">
        <v>58</v>
      </c>
      <c r="AU6442" t="s">
        <v>68</v>
      </c>
      <c r="AV6442" t="s">
        <v>69</v>
      </c>
      <c r="AW6442" s="1">
        <v>31833</v>
      </c>
      <c r="AX6442">
        <v>1</v>
      </c>
    </row>
    <row r="6443" spans="1:50">
      <c r="B6443" t="str">
        <f>"142002103"</f>
        <v>142002103</v>
      </c>
      <c r="C6443" t="s">
        <v>50</v>
      </c>
      <c r="D6443" t="s">
        <v>10908</v>
      </c>
      <c r="E6443" t="s">
        <v>2097</v>
      </c>
      <c r="F6443" t="s">
        <v>1743</v>
      </c>
      <c r="G6443" t="s">
        <v>155</v>
      </c>
      <c r="H6443" t="str">
        <f>"ΛΑΜΠΕΤΙΟΥ 12 "</f>
        <v xml:space="preserve">ΛΑΜΠΕΤΙΟΥ 12 </v>
      </c>
      <c r="I6443">
        <v>27100</v>
      </c>
      <c r="J6443">
        <v>2621021915</v>
      </c>
      <c r="K6443">
        <v>6939081291</v>
      </c>
      <c r="N6443" t="s">
        <v>8834</v>
      </c>
      <c r="O6443" t="s">
        <v>8695</v>
      </c>
      <c r="R6443" t="s">
        <v>159</v>
      </c>
      <c r="S6443">
        <v>5</v>
      </c>
      <c r="T6443" t="s">
        <v>8835</v>
      </c>
      <c r="U6443" s="1">
        <v>43348</v>
      </c>
      <c r="V6443" t="s">
        <v>80</v>
      </c>
      <c r="W6443" t="s">
        <v>81</v>
      </c>
      <c r="X6443" t="s">
        <v>58</v>
      </c>
      <c r="Y6443">
        <v>24</v>
      </c>
      <c r="Z6443" t="s">
        <v>59</v>
      </c>
      <c r="AA6443" t="s">
        <v>59</v>
      </c>
      <c r="AB6443" t="s">
        <v>59</v>
      </c>
      <c r="AC6443" t="s">
        <v>59</v>
      </c>
      <c r="AD6443" t="s">
        <v>59</v>
      </c>
      <c r="AF6443" s="1">
        <v>43348</v>
      </c>
      <c r="AG6443" t="s">
        <v>8645</v>
      </c>
      <c r="AH6443" t="s">
        <v>8646</v>
      </c>
      <c r="AI6443" t="str">
        <f>"9170532"</f>
        <v>9170532</v>
      </c>
      <c r="AJ6443" t="s">
        <v>8945</v>
      </c>
      <c r="AK6443">
        <v>2810250330</v>
      </c>
      <c r="AL6443" t="s">
        <v>8946</v>
      </c>
      <c r="AM6443" t="s">
        <v>78</v>
      </c>
      <c r="AN6443" t="s">
        <v>78</v>
      </c>
      <c r="AO6443" t="s">
        <v>78</v>
      </c>
      <c r="AP6443" t="s">
        <v>141</v>
      </c>
      <c r="AQ6443">
        <v>1</v>
      </c>
      <c r="AR6443" t="s">
        <v>80</v>
      </c>
      <c r="AS6443" t="s">
        <v>81</v>
      </c>
      <c r="AT6443" t="s">
        <v>58</v>
      </c>
      <c r="AU6443" t="s">
        <v>131</v>
      </c>
      <c r="AV6443" t="s">
        <v>132</v>
      </c>
      <c r="AW6443" s="1">
        <v>32213</v>
      </c>
      <c r="AX6443">
        <v>1</v>
      </c>
    </row>
    <row r="6444" spans="1:50">
      <c r="A6444">
        <v>604598</v>
      </c>
      <c r="B6444" t="str">
        <f>"064900408"</f>
        <v>064900408</v>
      </c>
      <c r="C6444" t="s">
        <v>50</v>
      </c>
      <c r="D6444" t="s">
        <v>10909</v>
      </c>
      <c r="E6444" t="s">
        <v>52</v>
      </c>
      <c r="F6444" t="s">
        <v>153</v>
      </c>
      <c r="G6444" t="s">
        <v>237</v>
      </c>
      <c r="H6444" t="str">
        <f>"ΒΩΡΟΙ ΗΡΑΚΛΕΙΟ ΚΡΗΤΗΣ"</f>
        <v>ΒΩΡΟΙ ΗΡΑΚΛΕΙΟ ΚΡΗΤΗΣ</v>
      </c>
      <c r="I6444">
        <v>70200</v>
      </c>
      <c r="J6444">
        <v>2892051107</v>
      </c>
      <c r="K6444">
        <v>6979975978</v>
      </c>
      <c r="L6444">
        <v>6980477279</v>
      </c>
      <c r="N6444" t="s">
        <v>615</v>
      </c>
      <c r="O6444" t="s">
        <v>616</v>
      </c>
      <c r="R6444" t="s">
        <v>57</v>
      </c>
      <c r="S6444">
        <v>8</v>
      </c>
      <c r="T6444">
        <v>231</v>
      </c>
      <c r="U6444" s="1">
        <v>38230</v>
      </c>
      <c r="V6444" t="s">
        <v>80</v>
      </c>
      <c r="W6444" t="s">
        <v>81</v>
      </c>
      <c r="X6444" t="s">
        <v>58</v>
      </c>
      <c r="Y6444">
        <v>22</v>
      </c>
      <c r="Z6444" t="s">
        <v>59</v>
      </c>
      <c r="AA6444" t="s">
        <v>59</v>
      </c>
      <c r="AB6444" t="s">
        <v>59</v>
      </c>
      <c r="AC6444" t="s">
        <v>59</v>
      </c>
      <c r="AD6444" t="s">
        <v>59</v>
      </c>
      <c r="AF6444" s="1">
        <v>38231</v>
      </c>
      <c r="AG6444" t="s">
        <v>8645</v>
      </c>
      <c r="AH6444" t="s">
        <v>8646</v>
      </c>
      <c r="AI6444" t="str">
        <f>"9170327"</f>
        <v>9170327</v>
      </c>
      <c r="AJ6444" t="s">
        <v>8963</v>
      </c>
      <c r="AK6444">
        <v>2892091234</v>
      </c>
      <c r="AL6444" t="s">
        <v>8964</v>
      </c>
      <c r="AM6444" t="s">
        <v>78</v>
      </c>
      <c r="AN6444" t="s">
        <v>242</v>
      </c>
      <c r="AO6444" t="s">
        <v>349</v>
      </c>
      <c r="AP6444" t="s">
        <v>8965</v>
      </c>
      <c r="AQ6444">
        <v>19</v>
      </c>
      <c r="AR6444" t="s">
        <v>80</v>
      </c>
      <c r="AS6444" t="s">
        <v>81</v>
      </c>
      <c r="AT6444" t="s">
        <v>58</v>
      </c>
      <c r="AU6444" t="s">
        <v>68</v>
      </c>
      <c r="AV6444" t="s">
        <v>69</v>
      </c>
      <c r="AW6444" s="1">
        <v>27190</v>
      </c>
      <c r="AX6444">
        <v>1</v>
      </c>
    </row>
    <row r="6445" spans="1:50">
      <c r="B6445" t="str">
        <f>"114251847"</f>
        <v>114251847</v>
      </c>
      <c r="C6445" t="s">
        <v>105</v>
      </c>
      <c r="D6445" t="s">
        <v>3005</v>
      </c>
      <c r="E6445" t="s">
        <v>1743</v>
      </c>
      <c r="F6445" t="s">
        <v>92</v>
      </c>
      <c r="G6445" t="s">
        <v>610</v>
      </c>
      <c r="H6445" t="str">
        <f>"ΣΤΡΑΒΩΝΟΣ 4 ΘΕΡΙΣΣΟΣ"</f>
        <v>ΣΤΡΑΒΩΝΟΣ 4 ΘΕΡΙΣΣΟΣ</v>
      </c>
      <c r="I6445">
        <v>71305</v>
      </c>
      <c r="J6445">
        <v>2810253856</v>
      </c>
      <c r="K6445">
        <v>6973822571</v>
      </c>
      <c r="N6445" t="s">
        <v>204</v>
      </c>
      <c r="O6445" t="s">
        <v>205</v>
      </c>
      <c r="R6445" t="s">
        <v>159</v>
      </c>
      <c r="S6445">
        <v>3</v>
      </c>
      <c r="T6445" t="s">
        <v>8675</v>
      </c>
      <c r="U6445" s="1">
        <v>43348</v>
      </c>
      <c r="V6445" t="s">
        <v>80</v>
      </c>
      <c r="W6445" t="s">
        <v>81</v>
      </c>
      <c r="X6445" t="s">
        <v>58</v>
      </c>
      <c r="Y6445">
        <v>24</v>
      </c>
      <c r="Z6445" t="s">
        <v>59</v>
      </c>
      <c r="AA6445" t="s">
        <v>59</v>
      </c>
      <c r="AB6445" t="s">
        <v>59</v>
      </c>
      <c r="AC6445" t="s">
        <v>59</v>
      </c>
      <c r="AD6445" t="s">
        <v>59</v>
      </c>
      <c r="AF6445" s="1">
        <v>43348</v>
      </c>
      <c r="AG6445" t="s">
        <v>8645</v>
      </c>
      <c r="AH6445" t="s">
        <v>8646</v>
      </c>
      <c r="AI6445" t="str">
        <f>"9170536"</f>
        <v>9170536</v>
      </c>
      <c r="AJ6445" t="s">
        <v>8740</v>
      </c>
      <c r="AK6445">
        <v>2892051187</v>
      </c>
      <c r="AL6445" t="s">
        <v>8741</v>
      </c>
      <c r="AM6445" t="s">
        <v>78</v>
      </c>
      <c r="AN6445" t="s">
        <v>242</v>
      </c>
      <c r="AO6445" t="s">
        <v>349</v>
      </c>
      <c r="AP6445" t="s">
        <v>349</v>
      </c>
      <c r="AQ6445">
        <v>19</v>
      </c>
      <c r="AR6445" t="s">
        <v>80</v>
      </c>
      <c r="AS6445" t="s">
        <v>81</v>
      </c>
      <c r="AT6445" t="s">
        <v>58</v>
      </c>
      <c r="AU6445" t="s">
        <v>8673</v>
      </c>
      <c r="AV6445" t="s">
        <v>132</v>
      </c>
      <c r="AW6445" s="1">
        <v>29137</v>
      </c>
      <c r="AX6445">
        <v>1</v>
      </c>
    </row>
    <row r="6446" spans="1:50">
      <c r="B6446" t="str">
        <f>"101936510"</f>
        <v>101936510</v>
      </c>
      <c r="C6446" t="s">
        <v>50</v>
      </c>
      <c r="D6446" t="s">
        <v>10910</v>
      </c>
      <c r="E6446" t="s">
        <v>155</v>
      </c>
      <c r="F6446" t="s">
        <v>95</v>
      </c>
      <c r="G6446" t="s">
        <v>396</v>
      </c>
      <c r="H6446" t="str">
        <f>"ΟΘΩΝΟΣ 35 ΛΑΜΙΑ"</f>
        <v>ΟΘΩΝΟΣ 35 ΛΑΜΙΑ</v>
      </c>
      <c r="I6446">
        <v>35100</v>
      </c>
      <c r="J6446">
        <v>2231038432</v>
      </c>
      <c r="K6446">
        <v>6938424494</v>
      </c>
      <c r="N6446" t="s">
        <v>306</v>
      </c>
      <c r="O6446" t="s">
        <v>307</v>
      </c>
      <c r="R6446" t="s">
        <v>159</v>
      </c>
      <c r="S6446">
        <v>3</v>
      </c>
      <c r="T6446" t="s">
        <v>8675</v>
      </c>
      <c r="U6446" s="1">
        <v>43348</v>
      </c>
      <c r="V6446" t="s">
        <v>80</v>
      </c>
      <c r="W6446" t="s">
        <v>81</v>
      </c>
      <c r="X6446" t="s">
        <v>58</v>
      </c>
      <c r="Y6446">
        <v>24</v>
      </c>
      <c r="Z6446" t="s">
        <v>59</v>
      </c>
      <c r="AA6446" t="s">
        <v>59</v>
      </c>
      <c r="AB6446" t="s">
        <v>59</v>
      </c>
      <c r="AC6446" t="s">
        <v>59</v>
      </c>
      <c r="AD6446" t="s">
        <v>59</v>
      </c>
      <c r="AF6446" s="1">
        <v>43348</v>
      </c>
      <c r="AG6446" t="s">
        <v>8645</v>
      </c>
      <c r="AH6446" t="s">
        <v>8646</v>
      </c>
      <c r="AI6446" t="str">
        <f>"9170097"</f>
        <v>9170097</v>
      </c>
      <c r="AJ6446" t="s">
        <v>8826</v>
      </c>
      <c r="AK6446">
        <v>2810751807</v>
      </c>
      <c r="AL6446" t="s">
        <v>8827</v>
      </c>
      <c r="AM6446" t="s">
        <v>78</v>
      </c>
      <c r="AN6446" t="s">
        <v>424</v>
      </c>
      <c r="AO6446" t="s">
        <v>425</v>
      </c>
      <c r="AP6446" t="s">
        <v>425</v>
      </c>
      <c r="AQ6446">
        <v>11</v>
      </c>
      <c r="AR6446" t="s">
        <v>80</v>
      </c>
      <c r="AS6446" t="s">
        <v>81</v>
      </c>
      <c r="AT6446" t="s">
        <v>58</v>
      </c>
      <c r="AU6446" t="s">
        <v>8673</v>
      </c>
      <c r="AV6446" t="s">
        <v>132</v>
      </c>
      <c r="AW6446" s="1">
        <v>28810</v>
      </c>
      <c r="AX6446">
        <v>1</v>
      </c>
    </row>
    <row r="6447" spans="1:50">
      <c r="A6447">
        <v>599416</v>
      </c>
      <c r="B6447" t="str">
        <f>"074958325"</f>
        <v>074958325</v>
      </c>
      <c r="C6447" t="s">
        <v>105</v>
      </c>
      <c r="D6447" t="s">
        <v>10911</v>
      </c>
      <c r="E6447" t="s">
        <v>72</v>
      </c>
      <c r="F6447" t="s">
        <v>408</v>
      </c>
      <c r="G6447" t="s">
        <v>112</v>
      </c>
      <c r="H6447" t="str">
        <f>" "</f>
        <v xml:space="preserve"> </v>
      </c>
      <c r="J6447">
        <v>2810752882</v>
      </c>
      <c r="K6447">
        <v>6972997867</v>
      </c>
      <c r="N6447" t="s">
        <v>615</v>
      </c>
      <c r="O6447" t="s">
        <v>616</v>
      </c>
      <c r="R6447" t="s">
        <v>57</v>
      </c>
      <c r="S6447">
        <v>8</v>
      </c>
      <c r="T6447">
        <v>195</v>
      </c>
      <c r="U6447" s="1">
        <v>37497</v>
      </c>
      <c r="V6447" t="s">
        <v>80</v>
      </c>
      <c r="W6447" t="s">
        <v>81</v>
      </c>
      <c r="X6447" t="s">
        <v>58</v>
      </c>
      <c r="Y6447">
        <v>22</v>
      </c>
      <c r="Z6447" t="s">
        <v>59</v>
      </c>
      <c r="AA6447" t="s">
        <v>59</v>
      </c>
      <c r="AB6447" t="s">
        <v>59</v>
      </c>
      <c r="AC6447" t="s">
        <v>59</v>
      </c>
      <c r="AD6447" t="s">
        <v>59</v>
      </c>
      <c r="AF6447" s="1">
        <v>37504</v>
      </c>
      <c r="AG6447" t="s">
        <v>8645</v>
      </c>
      <c r="AH6447" t="s">
        <v>8646</v>
      </c>
      <c r="AI6447" t="str">
        <f>"9170549"</f>
        <v>9170549</v>
      </c>
      <c r="AJ6447" t="s">
        <v>8778</v>
      </c>
      <c r="AK6447">
        <v>2810751800</v>
      </c>
      <c r="AL6447" t="s">
        <v>8779</v>
      </c>
      <c r="AM6447" t="s">
        <v>78</v>
      </c>
      <c r="AN6447" t="s">
        <v>424</v>
      </c>
      <c r="AO6447" t="s">
        <v>425</v>
      </c>
      <c r="AP6447" t="s">
        <v>425</v>
      </c>
      <c r="AQ6447">
        <v>11</v>
      </c>
      <c r="AR6447" t="s">
        <v>80</v>
      </c>
      <c r="AS6447" t="s">
        <v>81</v>
      </c>
      <c r="AT6447" t="s">
        <v>58</v>
      </c>
      <c r="AU6447" t="s">
        <v>68</v>
      </c>
      <c r="AV6447" t="s">
        <v>69</v>
      </c>
      <c r="AW6447" s="1">
        <v>25869</v>
      </c>
      <c r="AX6447">
        <v>1</v>
      </c>
    </row>
    <row r="6448" spans="1:50">
      <c r="A6448">
        <v>588747</v>
      </c>
      <c r="B6448" t="str">
        <f>"038817224"</f>
        <v>038817224</v>
      </c>
      <c r="C6448" t="s">
        <v>105</v>
      </c>
      <c r="D6448" t="s">
        <v>10912</v>
      </c>
      <c r="E6448" t="s">
        <v>166</v>
      </c>
      <c r="F6448" t="s">
        <v>95</v>
      </c>
      <c r="G6448" t="s">
        <v>1108</v>
      </c>
      <c r="H6448" t="str">
        <f>"ΚΑΠΕΤΑΝ ΚΟΥΡΜΟΥΛΗ 28 ΗΡΑΚΛΕΙΟ"</f>
        <v>ΚΑΠΕΤΑΝ ΚΟΥΡΜΟΥΛΗ 28 ΗΡΑΚΛΕΙΟ</v>
      </c>
      <c r="I6448">
        <v>70400</v>
      </c>
      <c r="J6448">
        <v>2892024867</v>
      </c>
      <c r="K6448">
        <v>6941625192</v>
      </c>
      <c r="N6448" t="s">
        <v>615</v>
      </c>
      <c r="O6448" t="s">
        <v>616</v>
      </c>
      <c r="R6448" t="s">
        <v>57</v>
      </c>
      <c r="S6448">
        <v>11</v>
      </c>
      <c r="T6448">
        <v>176</v>
      </c>
      <c r="U6448" s="1">
        <v>36403</v>
      </c>
      <c r="V6448" t="s">
        <v>80</v>
      </c>
      <c r="W6448" t="s">
        <v>81</v>
      </c>
      <c r="X6448" t="s">
        <v>58</v>
      </c>
      <c r="Y6448">
        <v>21</v>
      </c>
      <c r="Z6448" t="s">
        <v>59</v>
      </c>
      <c r="AA6448" t="s">
        <v>59</v>
      </c>
      <c r="AB6448" t="s">
        <v>59</v>
      </c>
      <c r="AC6448" t="s">
        <v>59</v>
      </c>
      <c r="AD6448" t="s">
        <v>59</v>
      </c>
      <c r="AF6448" s="1">
        <v>36405</v>
      </c>
      <c r="AG6448" t="s">
        <v>8645</v>
      </c>
      <c r="AH6448" t="s">
        <v>8646</v>
      </c>
      <c r="AI6448" t="str">
        <f>"9170295"</f>
        <v>9170295</v>
      </c>
      <c r="AJ6448" t="s">
        <v>9283</v>
      </c>
      <c r="AK6448">
        <v>2892042231</v>
      </c>
      <c r="AL6448" t="s">
        <v>9284</v>
      </c>
      <c r="AM6448" t="s">
        <v>78</v>
      </c>
      <c r="AN6448" t="s">
        <v>242</v>
      </c>
      <c r="AO6448" t="s">
        <v>243</v>
      </c>
      <c r="AP6448" t="s">
        <v>9285</v>
      </c>
      <c r="AQ6448">
        <v>18</v>
      </c>
      <c r="AR6448" t="s">
        <v>80</v>
      </c>
      <c r="AS6448" t="s">
        <v>81</v>
      </c>
      <c r="AT6448" t="s">
        <v>58</v>
      </c>
      <c r="AU6448" t="s">
        <v>68</v>
      </c>
      <c r="AV6448" t="s">
        <v>69</v>
      </c>
      <c r="AW6448" s="1">
        <v>24875</v>
      </c>
      <c r="AX6448">
        <v>1</v>
      </c>
    </row>
    <row r="6449" spans="1:50">
      <c r="B6449" t="str">
        <f>"122044625"</f>
        <v>122044625</v>
      </c>
      <c r="C6449" t="s">
        <v>50</v>
      </c>
      <c r="D6449" t="s">
        <v>10913</v>
      </c>
      <c r="E6449" t="s">
        <v>4671</v>
      </c>
      <c r="F6449" t="s">
        <v>95</v>
      </c>
      <c r="G6449" t="s">
        <v>352</v>
      </c>
      <c r="H6449" t="str">
        <f>" "</f>
        <v xml:space="preserve"> </v>
      </c>
      <c r="K6449">
        <v>6979336670</v>
      </c>
      <c r="M6449" t="s">
        <v>10914</v>
      </c>
      <c r="N6449" t="s">
        <v>8694</v>
      </c>
      <c r="O6449" t="s">
        <v>8695</v>
      </c>
      <c r="R6449" t="s">
        <v>159</v>
      </c>
      <c r="S6449">
        <v>4</v>
      </c>
      <c r="T6449" t="s">
        <v>8696</v>
      </c>
      <c r="U6449" s="1">
        <v>43348</v>
      </c>
      <c r="V6449" t="s">
        <v>80</v>
      </c>
      <c r="W6449" t="s">
        <v>81</v>
      </c>
      <c r="X6449" t="s">
        <v>58</v>
      </c>
      <c r="Y6449">
        <v>24</v>
      </c>
      <c r="Z6449" t="s">
        <v>59</v>
      </c>
      <c r="AA6449" t="s">
        <v>59</v>
      </c>
      <c r="AB6449" t="s">
        <v>59</v>
      </c>
      <c r="AC6449" t="s">
        <v>59</v>
      </c>
      <c r="AD6449" t="s">
        <v>59</v>
      </c>
      <c r="AF6449" s="1">
        <v>43348</v>
      </c>
      <c r="AG6449" t="s">
        <v>8645</v>
      </c>
      <c r="AH6449" t="s">
        <v>8646</v>
      </c>
      <c r="AI6449" t="str">
        <f>"9170547"</f>
        <v>9170547</v>
      </c>
      <c r="AJ6449" t="s">
        <v>9175</v>
      </c>
      <c r="AK6449">
        <v>2810250886</v>
      </c>
      <c r="AL6449" t="s">
        <v>9176</v>
      </c>
      <c r="AM6449" t="s">
        <v>78</v>
      </c>
      <c r="AN6449" t="s">
        <v>78</v>
      </c>
      <c r="AO6449" t="s">
        <v>78</v>
      </c>
      <c r="AP6449" t="s">
        <v>141</v>
      </c>
      <c r="AQ6449">
        <v>1</v>
      </c>
      <c r="AR6449" t="s">
        <v>80</v>
      </c>
      <c r="AS6449" t="s">
        <v>81</v>
      </c>
      <c r="AT6449" t="s">
        <v>58</v>
      </c>
      <c r="AU6449" t="s">
        <v>350</v>
      </c>
      <c r="AV6449" t="s">
        <v>132</v>
      </c>
      <c r="AW6449" s="1">
        <v>30496</v>
      </c>
      <c r="AX6449">
        <v>1</v>
      </c>
    </row>
    <row r="6450" spans="1:50">
      <c r="A6450">
        <v>585591</v>
      </c>
      <c r="B6450" t="str">
        <f>"065138706"</f>
        <v>065138706</v>
      </c>
      <c r="C6450" t="s">
        <v>50</v>
      </c>
      <c r="D6450" t="s">
        <v>6312</v>
      </c>
      <c r="E6450" t="s">
        <v>52</v>
      </c>
      <c r="F6450" t="s">
        <v>920</v>
      </c>
      <c r="G6450" t="s">
        <v>83</v>
      </c>
      <c r="H6450" t="str">
        <f>"ΑΡΣΙΝΟΗΣ 31 ΗΡΑΚΛΕΙΟ"</f>
        <v>ΑΡΣΙΝΟΗΣ 31 ΗΡΑΚΛΕΙΟ</v>
      </c>
      <c r="I6450">
        <v>71303</v>
      </c>
      <c r="J6450">
        <v>2810311100</v>
      </c>
      <c r="K6450">
        <v>6983009746</v>
      </c>
      <c r="N6450" t="s">
        <v>615</v>
      </c>
      <c r="O6450" t="s">
        <v>616</v>
      </c>
      <c r="R6450" t="s">
        <v>57</v>
      </c>
      <c r="S6450">
        <v>11</v>
      </c>
      <c r="T6450">
        <v>165</v>
      </c>
      <c r="U6450" s="1">
        <v>36040</v>
      </c>
      <c r="V6450" t="s">
        <v>80</v>
      </c>
      <c r="W6450" t="s">
        <v>81</v>
      </c>
      <c r="X6450" t="s">
        <v>58</v>
      </c>
      <c r="Y6450">
        <v>21</v>
      </c>
      <c r="Z6450" t="s">
        <v>59</v>
      </c>
      <c r="AA6450" t="s">
        <v>59</v>
      </c>
      <c r="AB6450" t="s">
        <v>59</v>
      </c>
      <c r="AC6450" t="s">
        <v>59</v>
      </c>
      <c r="AD6450" t="s">
        <v>59</v>
      </c>
      <c r="AF6450" s="1">
        <v>36040</v>
      </c>
      <c r="AG6450" t="s">
        <v>8645</v>
      </c>
      <c r="AH6450" t="s">
        <v>8646</v>
      </c>
      <c r="AI6450" t="str">
        <f>"9170547"</f>
        <v>9170547</v>
      </c>
      <c r="AJ6450" t="s">
        <v>9175</v>
      </c>
      <c r="AK6450">
        <v>2810250886</v>
      </c>
      <c r="AL6450" t="s">
        <v>9176</v>
      </c>
      <c r="AM6450" t="s">
        <v>78</v>
      </c>
      <c r="AN6450" t="s">
        <v>78</v>
      </c>
      <c r="AO6450" t="s">
        <v>78</v>
      </c>
      <c r="AP6450" t="s">
        <v>141</v>
      </c>
      <c r="AQ6450">
        <v>1</v>
      </c>
      <c r="AR6450" t="s">
        <v>80</v>
      </c>
      <c r="AS6450" t="s">
        <v>81</v>
      </c>
      <c r="AT6450" t="s">
        <v>58</v>
      </c>
      <c r="AU6450" t="s">
        <v>68</v>
      </c>
      <c r="AV6450" t="s">
        <v>69</v>
      </c>
      <c r="AW6450" s="1">
        <v>24942</v>
      </c>
      <c r="AX6450">
        <v>1</v>
      </c>
    </row>
    <row r="6451" spans="1:50">
      <c r="A6451">
        <v>578321</v>
      </c>
      <c r="B6451" t="str">
        <f>"036688611"</f>
        <v>036688611</v>
      </c>
      <c r="C6451" t="s">
        <v>105</v>
      </c>
      <c r="D6451" t="s">
        <v>3012</v>
      </c>
      <c r="E6451" t="s">
        <v>670</v>
      </c>
      <c r="F6451" t="s">
        <v>920</v>
      </c>
      <c r="G6451" t="s">
        <v>83</v>
      </c>
      <c r="H6451" t="str">
        <f>"ΠΕΤΛΕΜΠΟΥΡΗ 86 ΗΡΑΚΛΕΙΟ"</f>
        <v>ΠΕΤΛΕΜΠΟΥΡΗ 86 ΗΡΑΚΛΕΙΟ</v>
      </c>
      <c r="I6451">
        <v>71303</v>
      </c>
      <c r="J6451">
        <v>2810260287</v>
      </c>
      <c r="K6451">
        <v>6947244631</v>
      </c>
      <c r="N6451" t="s">
        <v>615</v>
      </c>
      <c r="O6451" t="s">
        <v>616</v>
      </c>
      <c r="R6451" t="s">
        <v>57</v>
      </c>
      <c r="S6451">
        <v>13</v>
      </c>
      <c r="T6451">
        <v>165</v>
      </c>
      <c r="U6451" s="1">
        <v>35300</v>
      </c>
      <c r="V6451" t="s">
        <v>80</v>
      </c>
      <c r="W6451" t="s">
        <v>81</v>
      </c>
      <c r="X6451" t="s">
        <v>58</v>
      </c>
      <c r="Y6451">
        <v>21</v>
      </c>
      <c r="Z6451" t="s">
        <v>59</v>
      </c>
      <c r="AA6451" t="s">
        <v>59</v>
      </c>
      <c r="AB6451" t="s">
        <v>59</v>
      </c>
      <c r="AC6451" t="s">
        <v>59</v>
      </c>
      <c r="AD6451" t="s">
        <v>59</v>
      </c>
      <c r="AF6451" s="1">
        <v>35310</v>
      </c>
      <c r="AG6451" t="s">
        <v>8645</v>
      </c>
      <c r="AH6451" t="s">
        <v>8646</v>
      </c>
      <c r="AI6451" t="str">
        <f>"9170532"</f>
        <v>9170532</v>
      </c>
      <c r="AJ6451" t="s">
        <v>8945</v>
      </c>
      <c r="AK6451">
        <v>2810250330</v>
      </c>
      <c r="AL6451" t="s">
        <v>8946</v>
      </c>
      <c r="AM6451" t="s">
        <v>78</v>
      </c>
      <c r="AN6451" t="s">
        <v>78</v>
      </c>
      <c r="AO6451" t="s">
        <v>78</v>
      </c>
      <c r="AP6451" t="s">
        <v>141</v>
      </c>
      <c r="AQ6451">
        <v>1</v>
      </c>
      <c r="AR6451" t="s">
        <v>80</v>
      </c>
      <c r="AS6451" t="s">
        <v>81</v>
      </c>
      <c r="AT6451" t="s">
        <v>58</v>
      </c>
      <c r="AU6451" t="s">
        <v>68</v>
      </c>
      <c r="AV6451" t="s">
        <v>69</v>
      </c>
      <c r="AW6451" s="1">
        <v>24510</v>
      </c>
      <c r="AX6451">
        <v>1</v>
      </c>
    </row>
    <row r="6452" spans="1:50">
      <c r="B6452" t="str">
        <f>"150423063"</f>
        <v>150423063</v>
      </c>
      <c r="C6452" t="s">
        <v>50</v>
      </c>
      <c r="D6452" t="s">
        <v>10915</v>
      </c>
      <c r="E6452" t="s">
        <v>476</v>
      </c>
      <c r="F6452" t="s">
        <v>95</v>
      </c>
      <c r="G6452" t="s">
        <v>255</v>
      </c>
      <c r="H6452" t="str">
        <f>"ΛΥΤΤΟΥ  16 ΗΡΑΚΛΕΙΟ"</f>
        <v>ΛΥΤΤΟΥ  16 ΗΡΑΚΛΕΙΟ</v>
      </c>
      <c r="I6452">
        <v>71304</v>
      </c>
      <c r="J6452">
        <v>2810256744</v>
      </c>
      <c r="K6452">
        <v>6981623605</v>
      </c>
      <c r="N6452" t="s">
        <v>615</v>
      </c>
      <c r="O6452" t="s">
        <v>616</v>
      </c>
      <c r="R6452" t="s">
        <v>159</v>
      </c>
      <c r="S6452">
        <v>3</v>
      </c>
      <c r="T6452" t="s">
        <v>8675</v>
      </c>
      <c r="U6452" s="1">
        <v>43348</v>
      </c>
      <c r="V6452" t="s">
        <v>80</v>
      </c>
      <c r="W6452" t="s">
        <v>81</v>
      </c>
      <c r="X6452" t="s">
        <v>58</v>
      </c>
      <c r="Y6452">
        <v>24</v>
      </c>
      <c r="Z6452" t="s">
        <v>59</v>
      </c>
      <c r="AA6452" t="s">
        <v>59</v>
      </c>
      <c r="AB6452" t="s">
        <v>59</v>
      </c>
      <c r="AC6452" t="s">
        <v>59</v>
      </c>
      <c r="AD6452" t="s">
        <v>59</v>
      </c>
      <c r="AF6452" s="1">
        <v>43348</v>
      </c>
      <c r="AG6452" t="s">
        <v>8645</v>
      </c>
      <c r="AH6452" t="s">
        <v>8646</v>
      </c>
      <c r="AI6452" t="str">
        <f>"9170532"</f>
        <v>9170532</v>
      </c>
      <c r="AJ6452" t="s">
        <v>8945</v>
      </c>
      <c r="AK6452">
        <v>2810250330</v>
      </c>
      <c r="AL6452" t="s">
        <v>8946</v>
      </c>
      <c r="AM6452" t="s">
        <v>78</v>
      </c>
      <c r="AN6452" t="s">
        <v>78</v>
      </c>
      <c r="AO6452" t="s">
        <v>78</v>
      </c>
      <c r="AP6452" t="s">
        <v>141</v>
      </c>
      <c r="AQ6452">
        <v>1</v>
      </c>
      <c r="AR6452" t="s">
        <v>80</v>
      </c>
      <c r="AS6452" t="s">
        <v>81</v>
      </c>
      <c r="AT6452" t="s">
        <v>58</v>
      </c>
      <c r="AU6452" t="s">
        <v>8673</v>
      </c>
      <c r="AV6452" t="s">
        <v>132</v>
      </c>
      <c r="AW6452" s="1">
        <v>32143</v>
      </c>
      <c r="AX6452">
        <v>1</v>
      </c>
    </row>
    <row r="6453" spans="1:50">
      <c r="A6453">
        <v>614668</v>
      </c>
      <c r="B6453" t="str">
        <f>"103670030"</f>
        <v>103670030</v>
      </c>
      <c r="C6453" t="s">
        <v>105</v>
      </c>
      <c r="D6453" t="s">
        <v>10916</v>
      </c>
      <c r="E6453" t="s">
        <v>72</v>
      </c>
      <c r="F6453" t="s">
        <v>53</v>
      </c>
      <c r="G6453" t="s">
        <v>237</v>
      </c>
      <c r="H6453" t="str">
        <f>"ΘΕΟΦΙΛ. ΚΑΪΡΗ 7 ΗΡΑΚΛΕΙΟ"</f>
        <v>ΘΕΟΦΙΛ. ΚΑΪΡΗ 7 ΗΡΑΚΛΕΙΟ</v>
      </c>
      <c r="I6453">
        <v>71409</v>
      </c>
      <c r="J6453">
        <v>2815008368</v>
      </c>
      <c r="K6453">
        <v>6932400759</v>
      </c>
      <c r="M6453" t="s">
        <v>10917</v>
      </c>
      <c r="N6453" t="s">
        <v>615</v>
      </c>
      <c r="O6453" t="s">
        <v>616</v>
      </c>
      <c r="R6453" t="s">
        <v>57</v>
      </c>
      <c r="S6453">
        <v>5</v>
      </c>
      <c r="T6453">
        <v>598</v>
      </c>
      <c r="U6453" s="1">
        <v>39310</v>
      </c>
      <c r="V6453" t="s">
        <v>80</v>
      </c>
      <c r="W6453" t="s">
        <v>81</v>
      </c>
      <c r="X6453" t="s">
        <v>58</v>
      </c>
      <c r="Y6453">
        <v>23</v>
      </c>
      <c r="Z6453" t="s">
        <v>59</v>
      </c>
      <c r="AA6453" t="s">
        <v>59</v>
      </c>
      <c r="AB6453" t="s">
        <v>59</v>
      </c>
      <c r="AC6453" t="s">
        <v>59</v>
      </c>
      <c r="AD6453" t="s">
        <v>59</v>
      </c>
      <c r="AF6453" s="1">
        <v>39328</v>
      </c>
      <c r="AG6453" t="s">
        <v>8645</v>
      </c>
      <c r="AH6453" t="s">
        <v>8646</v>
      </c>
      <c r="AI6453" t="str">
        <f>"9521093"</f>
        <v>9521093</v>
      </c>
      <c r="AJ6453" t="s">
        <v>9153</v>
      </c>
      <c r="AK6453">
        <v>2810322162</v>
      </c>
      <c r="AL6453" t="s">
        <v>9154</v>
      </c>
      <c r="AM6453" t="s">
        <v>78</v>
      </c>
      <c r="AN6453" t="s">
        <v>78</v>
      </c>
      <c r="AO6453" t="s">
        <v>78</v>
      </c>
      <c r="AP6453" t="s">
        <v>163</v>
      </c>
      <c r="AQ6453">
        <v>1</v>
      </c>
      <c r="AR6453" t="s">
        <v>80</v>
      </c>
      <c r="AS6453" t="s">
        <v>81</v>
      </c>
      <c r="AT6453" t="s">
        <v>58</v>
      </c>
      <c r="AU6453" t="s">
        <v>68</v>
      </c>
      <c r="AV6453" t="s">
        <v>69</v>
      </c>
      <c r="AW6453" s="1">
        <v>29558</v>
      </c>
      <c r="AX6453">
        <v>1</v>
      </c>
    </row>
    <row r="6454" spans="1:50">
      <c r="B6454" t="str">
        <f>"064210747"</f>
        <v>064210747</v>
      </c>
      <c r="C6454" t="s">
        <v>50</v>
      </c>
      <c r="D6454" t="s">
        <v>3014</v>
      </c>
      <c r="E6454" t="s">
        <v>396</v>
      </c>
      <c r="F6454" t="s">
        <v>95</v>
      </c>
      <c r="G6454" t="s">
        <v>52</v>
      </c>
      <c r="H6454" t="str">
        <f>"ΜΙΧΑΗΛ ΒΛΑΧΟΥ 9 ΗΡΑΚΛΕΙΟ"</f>
        <v>ΜΙΧΑΗΛ ΒΛΑΧΟΥ 9 ΗΡΑΚΛΕΙΟ</v>
      </c>
      <c r="I6454">
        <v>71305</v>
      </c>
      <c r="J6454">
        <v>2810231491</v>
      </c>
      <c r="K6454">
        <v>6977775839</v>
      </c>
      <c r="N6454" t="s">
        <v>615</v>
      </c>
      <c r="O6454" t="s">
        <v>616</v>
      </c>
      <c r="R6454" t="s">
        <v>159</v>
      </c>
      <c r="S6454">
        <v>4</v>
      </c>
      <c r="T6454" t="s">
        <v>8675</v>
      </c>
      <c r="U6454" s="1">
        <v>43348</v>
      </c>
      <c r="V6454" t="s">
        <v>80</v>
      </c>
      <c r="W6454" t="s">
        <v>81</v>
      </c>
      <c r="X6454" t="s">
        <v>58</v>
      </c>
      <c r="Y6454">
        <v>25</v>
      </c>
      <c r="Z6454" t="s">
        <v>59</v>
      </c>
      <c r="AA6454" t="s">
        <v>59</v>
      </c>
      <c r="AB6454" t="s">
        <v>59</v>
      </c>
      <c r="AC6454" t="s">
        <v>59</v>
      </c>
      <c r="AD6454" t="s">
        <v>59</v>
      </c>
      <c r="AF6454" s="1">
        <v>43348</v>
      </c>
      <c r="AG6454" t="s">
        <v>8645</v>
      </c>
      <c r="AH6454" t="s">
        <v>8676</v>
      </c>
      <c r="AI6454" t="str">
        <f>"9170117"</f>
        <v>9170117</v>
      </c>
      <c r="AJ6454" t="s">
        <v>10918</v>
      </c>
      <c r="AK6454">
        <v>6974027903</v>
      </c>
      <c r="AL6454" t="s">
        <v>10919</v>
      </c>
      <c r="AM6454" t="s">
        <v>78</v>
      </c>
      <c r="AN6454" t="s">
        <v>78</v>
      </c>
      <c r="AO6454" t="s">
        <v>437</v>
      </c>
      <c r="AP6454" t="s">
        <v>10698</v>
      </c>
      <c r="AQ6454">
        <v>5</v>
      </c>
      <c r="AR6454" t="s">
        <v>80</v>
      </c>
      <c r="AS6454" t="s">
        <v>81</v>
      </c>
      <c r="AT6454" t="s">
        <v>58</v>
      </c>
      <c r="AU6454" t="s">
        <v>8673</v>
      </c>
      <c r="AV6454" t="s">
        <v>132</v>
      </c>
      <c r="AW6454" s="1">
        <v>31784</v>
      </c>
      <c r="AX6454">
        <v>1</v>
      </c>
    </row>
    <row r="6455" spans="1:50">
      <c r="B6455" t="str">
        <f>"137730265"</f>
        <v>137730265</v>
      </c>
      <c r="C6455" t="s">
        <v>50</v>
      </c>
      <c r="D6455" t="s">
        <v>10920</v>
      </c>
      <c r="E6455" t="s">
        <v>10921</v>
      </c>
      <c r="F6455" t="s">
        <v>95</v>
      </c>
      <c r="G6455" t="s">
        <v>155</v>
      </c>
      <c r="H6455" t="str">
        <f>"ΣΤ.ΔΡΑΓΟΥΜΗΩ22 "</f>
        <v xml:space="preserve">ΣΤ.ΔΡΑΓΟΥΜΗΩ22 </v>
      </c>
      <c r="I6455">
        <v>53100</v>
      </c>
      <c r="J6455">
        <v>2385044408</v>
      </c>
      <c r="K6455">
        <v>6945185843</v>
      </c>
      <c r="N6455" t="s">
        <v>615</v>
      </c>
      <c r="O6455" t="s">
        <v>616</v>
      </c>
      <c r="R6455" t="s">
        <v>159</v>
      </c>
      <c r="S6455">
        <v>2</v>
      </c>
      <c r="T6455" t="s">
        <v>8675</v>
      </c>
      <c r="U6455" s="1">
        <v>43348</v>
      </c>
      <c r="V6455" t="s">
        <v>80</v>
      </c>
      <c r="W6455" t="s">
        <v>81</v>
      </c>
      <c r="X6455" t="s">
        <v>58</v>
      </c>
      <c r="Y6455">
        <v>24</v>
      </c>
      <c r="Z6455" t="s">
        <v>59</v>
      </c>
      <c r="AA6455" t="s">
        <v>59</v>
      </c>
      <c r="AB6455" t="s">
        <v>59</v>
      </c>
      <c r="AC6455" t="s">
        <v>59</v>
      </c>
      <c r="AD6455" t="s">
        <v>59</v>
      </c>
      <c r="AF6455" s="1">
        <v>43348</v>
      </c>
      <c r="AG6455" t="s">
        <v>8645</v>
      </c>
      <c r="AH6455" t="s">
        <v>8646</v>
      </c>
      <c r="AI6455" t="str">
        <f>"9170282"</f>
        <v>9170282</v>
      </c>
      <c r="AJ6455" t="s">
        <v>8938</v>
      </c>
      <c r="AK6455">
        <v>2892022120</v>
      </c>
      <c r="AL6455" t="s">
        <v>8939</v>
      </c>
      <c r="AM6455" t="s">
        <v>78</v>
      </c>
      <c r="AN6455" t="s">
        <v>242</v>
      </c>
      <c r="AO6455" t="s">
        <v>243</v>
      </c>
      <c r="AP6455" t="s">
        <v>8940</v>
      </c>
      <c r="AQ6455">
        <v>20</v>
      </c>
      <c r="AR6455" t="s">
        <v>80</v>
      </c>
      <c r="AS6455" t="s">
        <v>81</v>
      </c>
      <c r="AT6455" t="s">
        <v>58</v>
      </c>
      <c r="AU6455" t="s">
        <v>8673</v>
      </c>
      <c r="AV6455" t="s">
        <v>132</v>
      </c>
      <c r="AW6455" s="1">
        <v>32354</v>
      </c>
      <c r="AX6455">
        <v>1</v>
      </c>
    </row>
    <row r="6456" spans="1:50">
      <c r="A6456">
        <v>611165</v>
      </c>
      <c r="B6456" t="str">
        <f>"043227728"</f>
        <v>043227728</v>
      </c>
      <c r="C6456" t="s">
        <v>50</v>
      </c>
      <c r="D6456" t="s">
        <v>10922</v>
      </c>
      <c r="E6456" t="s">
        <v>658</v>
      </c>
      <c r="F6456" t="s">
        <v>202</v>
      </c>
      <c r="G6456" t="s">
        <v>155</v>
      </c>
      <c r="H6456" t="str">
        <f>"ΣΟΛΩΜΟΥ 53  ΗΡΑΚΛΕΙΟ"</f>
        <v>ΣΟΛΩΜΟΥ 53  ΗΡΑΚΛΕΙΟ</v>
      </c>
      <c r="J6456">
        <v>2651084381</v>
      </c>
      <c r="K6456">
        <v>6979671575</v>
      </c>
      <c r="N6456" t="s">
        <v>1525</v>
      </c>
      <c r="O6456" t="s">
        <v>1526</v>
      </c>
      <c r="R6456" t="s">
        <v>57</v>
      </c>
      <c r="S6456">
        <v>7</v>
      </c>
      <c r="T6456">
        <v>233</v>
      </c>
      <c r="U6456" s="1">
        <v>38960</v>
      </c>
      <c r="V6456" t="s">
        <v>80</v>
      </c>
      <c r="W6456" t="s">
        <v>81</v>
      </c>
      <c r="X6456" t="s">
        <v>58</v>
      </c>
      <c r="Y6456">
        <v>25</v>
      </c>
      <c r="Z6456" t="s">
        <v>59</v>
      </c>
      <c r="AA6456" t="s">
        <v>59</v>
      </c>
      <c r="AB6456" t="s">
        <v>59</v>
      </c>
      <c r="AC6456" t="s">
        <v>59</v>
      </c>
      <c r="AD6456" t="s">
        <v>59</v>
      </c>
      <c r="AF6456" s="1">
        <v>38961</v>
      </c>
      <c r="AG6456" t="s">
        <v>8651</v>
      </c>
      <c r="AH6456" t="s">
        <v>9015</v>
      </c>
      <c r="AI6456" t="str">
        <f>"9170568"</f>
        <v>9170568</v>
      </c>
      <c r="AJ6456" t="s">
        <v>10923</v>
      </c>
      <c r="AL6456" t="s">
        <v>10924</v>
      </c>
      <c r="AM6456" t="s">
        <v>78</v>
      </c>
      <c r="AN6456" t="s">
        <v>78</v>
      </c>
      <c r="AO6456" t="s">
        <v>78</v>
      </c>
      <c r="AP6456" t="s">
        <v>163</v>
      </c>
      <c r="AR6456" t="s">
        <v>80</v>
      </c>
      <c r="AS6456" t="s">
        <v>81</v>
      </c>
      <c r="AT6456" t="s">
        <v>58</v>
      </c>
      <c r="AU6456" t="s">
        <v>68</v>
      </c>
      <c r="AV6456" t="s">
        <v>69</v>
      </c>
      <c r="AW6456" s="1">
        <v>25946</v>
      </c>
      <c r="AX6456">
        <v>1</v>
      </c>
    </row>
    <row r="6457" spans="1:50">
      <c r="A6457">
        <v>617310</v>
      </c>
      <c r="B6457" t="str">
        <f>"132321733"</f>
        <v>132321733</v>
      </c>
      <c r="C6457" t="s">
        <v>50</v>
      </c>
      <c r="D6457" t="s">
        <v>10925</v>
      </c>
      <c r="E6457" t="s">
        <v>250</v>
      </c>
      <c r="F6457" t="s">
        <v>53</v>
      </c>
      <c r="G6457" t="s">
        <v>2977</v>
      </c>
      <c r="H6457" t="str">
        <f>" "</f>
        <v xml:space="preserve"> </v>
      </c>
      <c r="J6457">
        <v>2810771682</v>
      </c>
      <c r="K6457">
        <v>6948508171</v>
      </c>
      <c r="N6457" t="s">
        <v>615</v>
      </c>
      <c r="O6457" t="s">
        <v>616</v>
      </c>
      <c r="R6457" t="s">
        <v>57</v>
      </c>
      <c r="S6457">
        <v>6</v>
      </c>
      <c r="T6457">
        <v>774</v>
      </c>
      <c r="U6457" s="1">
        <v>39680</v>
      </c>
      <c r="V6457" t="s">
        <v>80</v>
      </c>
      <c r="W6457" t="s">
        <v>81</v>
      </c>
      <c r="X6457" t="s">
        <v>58</v>
      </c>
      <c r="Y6457">
        <v>23</v>
      </c>
      <c r="Z6457" t="s">
        <v>59</v>
      </c>
      <c r="AA6457" t="s">
        <v>59</v>
      </c>
      <c r="AB6457" t="s">
        <v>59</v>
      </c>
      <c r="AC6457" t="s">
        <v>59</v>
      </c>
      <c r="AD6457" t="s">
        <v>59</v>
      </c>
      <c r="AF6457" s="1">
        <v>39681</v>
      </c>
      <c r="AG6457" t="s">
        <v>8645</v>
      </c>
      <c r="AH6457" t="s">
        <v>8646</v>
      </c>
      <c r="AI6457" t="str">
        <f>"9521015"</f>
        <v>9521015</v>
      </c>
      <c r="AJ6457" t="s">
        <v>8927</v>
      </c>
      <c r="AK6457">
        <v>2897029138</v>
      </c>
      <c r="AL6457" t="s">
        <v>8928</v>
      </c>
      <c r="AM6457" t="s">
        <v>78</v>
      </c>
      <c r="AN6457" t="s">
        <v>219</v>
      </c>
      <c r="AO6457" t="s">
        <v>219</v>
      </c>
      <c r="AP6457" t="s">
        <v>220</v>
      </c>
      <c r="AQ6457">
        <v>8</v>
      </c>
      <c r="AR6457" t="s">
        <v>80</v>
      </c>
      <c r="AS6457" t="s">
        <v>81</v>
      </c>
      <c r="AT6457" t="s">
        <v>58</v>
      </c>
      <c r="AU6457" t="s">
        <v>68</v>
      </c>
      <c r="AV6457" t="s">
        <v>69</v>
      </c>
      <c r="AW6457" s="1">
        <v>30713</v>
      </c>
      <c r="AX6457">
        <v>1</v>
      </c>
    </row>
    <row r="6458" spans="1:50">
      <c r="B6458" t="str">
        <f>"147204875"</f>
        <v>147204875</v>
      </c>
      <c r="C6458" t="s">
        <v>50</v>
      </c>
      <c r="D6458" t="s">
        <v>3022</v>
      </c>
      <c r="E6458" t="s">
        <v>52</v>
      </c>
      <c r="F6458" t="s">
        <v>108</v>
      </c>
      <c r="G6458" t="s">
        <v>263</v>
      </c>
      <c r="H6458" t="str">
        <f>"ΚΟΡΑΚΑ 132 "</f>
        <v xml:space="preserve">ΚΟΡΑΚΑ 132 </v>
      </c>
      <c r="I6458">
        <v>70400</v>
      </c>
      <c r="J6458">
        <v>2892023609</v>
      </c>
      <c r="K6458">
        <v>6938186120</v>
      </c>
      <c r="N6458" t="s">
        <v>337</v>
      </c>
      <c r="O6458" t="s">
        <v>338</v>
      </c>
      <c r="R6458" t="s">
        <v>159</v>
      </c>
      <c r="S6458">
        <v>2</v>
      </c>
      <c r="T6458" t="s">
        <v>8675</v>
      </c>
      <c r="U6458" s="1">
        <v>43348</v>
      </c>
      <c r="V6458" t="s">
        <v>80</v>
      </c>
      <c r="W6458" t="s">
        <v>81</v>
      </c>
      <c r="X6458" t="s">
        <v>58</v>
      </c>
      <c r="Y6458">
        <v>24</v>
      </c>
      <c r="Z6458" t="s">
        <v>59</v>
      </c>
      <c r="AA6458" t="s">
        <v>59</v>
      </c>
      <c r="AB6458" t="s">
        <v>59</v>
      </c>
      <c r="AC6458" t="s">
        <v>59</v>
      </c>
      <c r="AD6458" t="s">
        <v>59</v>
      </c>
      <c r="AF6458" s="1">
        <v>43348</v>
      </c>
      <c r="AG6458" t="s">
        <v>8645</v>
      </c>
      <c r="AH6458" t="s">
        <v>8646</v>
      </c>
      <c r="AI6458" t="str">
        <f>"9170268"</f>
        <v>9170268</v>
      </c>
      <c r="AJ6458" t="s">
        <v>9301</v>
      </c>
      <c r="AK6458">
        <v>2892022710</v>
      </c>
      <c r="AL6458" t="s">
        <v>9302</v>
      </c>
      <c r="AM6458" t="s">
        <v>78</v>
      </c>
      <c r="AN6458" t="s">
        <v>242</v>
      </c>
      <c r="AO6458" t="s">
        <v>243</v>
      </c>
      <c r="AP6458" t="s">
        <v>243</v>
      </c>
      <c r="AQ6458">
        <v>20</v>
      </c>
      <c r="AR6458" t="s">
        <v>80</v>
      </c>
      <c r="AS6458" t="s">
        <v>81</v>
      </c>
      <c r="AT6458" t="s">
        <v>58</v>
      </c>
      <c r="AU6458" t="s">
        <v>8673</v>
      </c>
      <c r="AV6458" t="s">
        <v>132</v>
      </c>
      <c r="AW6458" s="1">
        <v>32122</v>
      </c>
      <c r="AX6458">
        <v>1</v>
      </c>
    </row>
    <row r="6459" spans="1:50">
      <c r="A6459">
        <v>565051</v>
      </c>
      <c r="B6459" t="str">
        <f>"029498099"</f>
        <v>029498099</v>
      </c>
      <c r="C6459" t="s">
        <v>50</v>
      </c>
      <c r="D6459" t="s">
        <v>10926</v>
      </c>
      <c r="E6459" t="s">
        <v>83</v>
      </c>
      <c r="F6459" t="s">
        <v>900</v>
      </c>
      <c r="G6459" t="s">
        <v>10927</v>
      </c>
      <c r="H6459" t="str">
        <f>"ΠΕΤΛΕΜΠΟΥΡΗ 25 ΗΡΑΚΛΕΙΟ"</f>
        <v>ΠΕΤΛΕΜΠΟΥΡΗ 25 ΗΡΑΚΛΕΙΟ</v>
      </c>
      <c r="I6459">
        <v>71303</v>
      </c>
      <c r="J6459">
        <v>2810316255</v>
      </c>
      <c r="K6459">
        <v>6958569942</v>
      </c>
      <c r="N6459" t="s">
        <v>615</v>
      </c>
      <c r="O6459" t="s">
        <v>616</v>
      </c>
      <c r="R6459" t="s">
        <v>57</v>
      </c>
      <c r="S6459">
        <v>15</v>
      </c>
      <c r="T6459">
        <v>161</v>
      </c>
      <c r="U6459" s="1">
        <v>33119</v>
      </c>
      <c r="V6459" t="s">
        <v>80</v>
      </c>
      <c r="W6459" t="s">
        <v>81</v>
      </c>
      <c r="X6459" t="s">
        <v>58</v>
      </c>
      <c r="Y6459">
        <v>21</v>
      </c>
      <c r="Z6459" t="s">
        <v>59</v>
      </c>
      <c r="AA6459" t="s">
        <v>59</v>
      </c>
      <c r="AB6459" t="s">
        <v>59</v>
      </c>
      <c r="AC6459" t="s">
        <v>59</v>
      </c>
      <c r="AD6459" t="s">
        <v>59</v>
      </c>
      <c r="AF6459" s="1">
        <v>33121</v>
      </c>
      <c r="AG6459" t="s">
        <v>8645</v>
      </c>
      <c r="AH6459" t="s">
        <v>8646</v>
      </c>
      <c r="AI6459" t="str">
        <f>"9170547"</f>
        <v>9170547</v>
      </c>
      <c r="AJ6459" t="s">
        <v>9175</v>
      </c>
      <c r="AK6459">
        <v>2810250886</v>
      </c>
      <c r="AL6459" t="s">
        <v>9176</v>
      </c>
      <c r="AM6459" t="s">
        <v>78</v>
      </c>
      <c r="AN6459" t="s">
        <v>78</v>
      </c>
      <c r="AO6459" t="s">
        <v>78</v>
      </c>
      <c r="AP6459" t="s">
        <v>141</v>
      </c>
      <c r="AQ6459">
        <v>1</v>
      </c>
      <c r="AR6459" t="s">
        <v>80</v>
      </c>
      <c r="AS6459" t="s">
        <v>81</v>
      </c>
      <c r="AT6459" t="s">
        <v>58</v>
      </c>
      <c r="AU6459" t="s">
        <v>68</v>
      </c>
      <c r="AV6459" t="s">
        <v>69</v>
      </c>
      <c r="AW6459" s="1">
        <v>24325</v>
      </c>
      <c r="AX6459">
        <v>1</v>
      </c>
    </row>
    <row r="6460" spans="1:50">
      <c r="A6460">
        <v>571668</v>
      </c>
      <c r="B6460" t="str">
        <f>"063841295"</f>
        <v>063841295</v>
      </c>
      <c r="C6460" t="s">
        <v>50</v>
      </c>
      <c r="D6460" t="s">
        <v>10926</v>
      </c>
      <c r="E6460" t="s">
        <v>52</v>
      </c>
      <c r="F6460" t="s">
        <v>450</v>
      </c>
      <c r="G6460" t="s">
        <v>181</v>
      </c>
      <c r="H6460" t="str">
        <f>"ΣΚΛΑΒΟΚΑΜΠΟΥ 8 ΗΡΑΚΛΕΙΟ"</f>
        <v>ΣΚΛΑΒΟΚΑΜΠΟΥ 8 ΗΡΑΚΛΕΙΟ</v>
      </c>
      <c r="I6460">
        <v>71414</v>
      </c>
      <c r="J6460">
        <v>2810822769</v>
      </c>
      <c r="K6460">
        <v>6948382249</v>
      </c>
      <c r="N6460" t="s">
        <v>1525</v>
      </c>
      <c r="O6460" t="s">
        <v>1526</v>
      </c>
      <c r="R6460" t="s">
        <v>57</v>
      </c>
      <c r="S6460">
        <v>14</v>
      </c>
      <c r="T6460">
        <v>138</v>
      </c>
      <c r="U6460" s="1">
        <v>34206</v>
      </c>
      <c r="V6460" t="s">
        <v>80</v>
      </c>
      <c r="W6460" t="s">
        <v>81</v>
      </c>
      <c r="X6460" t="s">
        <v>58</v>
      </c>
      <c r="Y6460">
        <v>25</v>
      </c>
      <c r="Z6460" t="s">
        <v>59</v>
      </c>
      <c r="AA6460" t="s">
        <v>59</v>
      </c>
      <c r="AB6460" t="s">
        <v>59</v>
      </c>
      <c r="AC6460" t="s">
        <v>59</v>
      </c>
      <c r="AD6460" t="s">
        <v>59</v>
      </c>
      <c r="AF6460" s="1">
        <v>34213</v>
      </c>
      <c r="AG6460" t="s">
        <v>8651</v>
      </c>
      <c r="AH6460" t="s">
        <v>8652</v>
      </c>
      <c r="AI6460" t="str">
        <f>"9521595"</f>
        <v>9521595</v>
      </c>
      <c r="AJ6460" t="s">
        <v>10429</v>
      </c>
      <c r="AK6460">
        <v>2810251986</v>
      </c>
      <c r="AL6460" t="s">
        <v>10430</v>
      </c>
      <c r="AM6460" t="s">
        <v>78</v>
      </c>
      <c r="AN6460" t="s">
        <v>78</v>
      </c>
      <c r="AO6460" t="s">
        <v>78</v>
      </c>
      <c r="AP6460" t="s">
        <v>141</v>
      </c>
      <c r="AQ6460">
        <v>1</v>
      </c>
      <c r="AR6460" t="s">
        <v>80</v>
      </c>
      <c r="AS6460" t="s">
        <v>81</v>
      </c>
      <c r="AT6460" t="s">
        <v>58</v>
      </c>
      <c r="AU6460" t="s">
        <v>68</v>
      </c>
      <c r="AV6460" t="s">
        <v>69</v>
      </c>
      <c r="AW6460" s="1">
        <v>23658</v>
      </c>
      <c r="AX6460">
        <v>1</v>
      </c>
    </row>
    <row r="6461" spans="1:50">
      <c r="A6461">
        <v>561174</v>
      </c>
      <c r="B6461" t="str">
        <f>"032835593"</f>
        <v>032835593</v>
      </c>
      <c r="C6461" t="s">
        <v>105</v>
      </c>
      <c r="D6461" t="s">
        <v>10928</v>
      </c>
      <c r="E6461" t="s">
        <v>166</v>
      </c>
      <c r="F6461" t="s">
        <v>95</v>
      </c>
      <c r="G6461" t="s">
        <v>52</v>
      </c>
      <c r="H6461" t="str">
        <f>"Μ. ΛΟΥΝΤΕΜΗ 3 ΑΓΙΑ ΜΑΡΙΝΑ ΤΣΑΛΙΚΑΚΙ"</f>
        <v>Μ. ΛΟΥΝΤΕΜΗ 3 ΑΓΙΑ ΜΑΡΙΝΑ ΤΣΑΛΙΚΑΚΙ</v>
      </c>
      <c r="I6461">
        <v>71414</v>
      </c>
      <c r="J6461">
        <v>2810317730</v>
      </c>
      <c r="K6461">
        <v>6976707200</v>
      </c>
      <c r="M6461" t="s">
        <v>10929</v>
      </c>
      <c r="N6461" t="s">
        <v>615</v>
      </c>
      <c r="O6461" t="s">
        <v>616</v>
      </c>
      <c r="R6461" t="s">
        <v>57</v>
      </c>
      <c r="S6461">
        <v>15</v>
      </c>
      <c r="T6461">
        <v>159</v>
      </c>
      <c r="U6461" s="1">
        <v>32385</v>
      </c>
      <c r="V6461" t="s">
        <v>80</v>
      </c>
      <c r="W6461" t="s">
        <v>81</v>
      </c>
      <c r="X6461" t="s">
        <v>58</v>
      </c>
      <c r="Y6461">
        <v>21</v>
      </c>
      <c r="Z6461" t="s">
        <v>59</v>
      </c>
      <c r="AA6461" t="s">
        <v>59</v>
      </c>
      <c r="AB6461" t="s">
        <v>59</v>
      </c>
      <c r="AC6461" t="s">
        <v>59</v>
      </c>
      <c r="AD6461" t="s">
        <v>59</v>
      </c>
      <c r="AF6461" s="1">
        <v>32391</v>
      </c>
      <c r="AG6461" t="s">
        <v>8645</v>
      </c>
      <c r="AH6461" t="s">
        <v>8646</v>
      </c>
      <c r="AI6461" t="str">
        <f>"9170017"</f>
        <v>9170017</v>
      </c>
      <c r="AJ6461" t="s">
        <v>9114</v>
      </c>
      <c r="AK6461">
        <v>2810250746</v>
      </c>
      <c r="AL6461" t="s">
        <v>9115</v>
      </c>
      <c r="AM6461" t="s">
        <v>78</v>
      </c>
      <c r="AN6461" t="s">
        <v>129</v>
      </c>
      <c r="AO6461" t="s">
        <v>130</v>
      </c>
      <c r="AP6461" t="s">
        <v>130</v>
      </c>
      <c r="AQ6461">
        <v>1</v>
      </c>
      <c r="AR6461" t="s">
        <v>80</v>
      </c>
      <c r="AS6461" t="s">
        <v>81</v>
      </c>
      <c r="AT6461" t="s">
        <v>58</v>
      </c>
      <c r="AU6461" t="s">
        <v>68</v>
      </c>
      <c r="AV6461" t="s">
        <v>69</v>
      </c>
      <c r="AW6461" s="1">
        <v>23707</v>
      </c>
      <c r="AX6461">
        <v>1</v>
      </c>
    </row>
    <row r="6462" spans="1:50">
      <c r="A6462">
        <v>616823</v>
      </c>
      <c r="B6462" t="str">
        <f>"103503890"</f>
        <v>103503890</v>
      </c>
      <c r="C6462" t="s">
        <v>105</v>
      </c>
      <c r="D6462" t="s">
        <v>10928</v>
      </c>
      <c r="E6462" t="s">
        <v>53</v>
      </c>
      <c r="F6462" t="s">
        <v>106</v>
      </c>
      <c r="G6462" t="s">
        <v>3137</v>
      </c>
      <c r="H6462" t="str">
        <f>"ΑΓ. ΠΑΡΑΣΚΙΕΣ "</f>
        <v xml:space="preserve">ΑΓ. ΠΑΡΑΣΚΙΕΣ </v>
      </c>
      <c r="J6462">
        <v>2810742086</v>
      </c>
      <c r="K6462">
        <v>6938867519</v>
      </c>
      <c r="N6462" t="s">
        <v>615</v>
      </c>
      <c r="O6462" t="s">
        <v>616</v>
      </c>
      <c r="R6462" t="s">
        <v>57</v>
      </c>
      <c r="S6462">
        <v>6</v>
      </c>
      <c r="T6462">
        <v>774</v>
      </c>
      <c r="U6462" s="1">
        <v>39680</v>
      </c>
      <c r="V6462" t="s">
        <v>80</v>
      </c>
      <c r="W6462" t="s">
        <v>81</v>
      </c>
      <c r="X6462" t="s">
        <v>58</v>
      </c>
      <c r="Y6462">
        <v>23</v>
      </c>
      <c r="Z6462" t="s">
        <v>59</v>
      </c>
      <c r="AA6462" t="s">
        <v>59</v>
      </c>
      <c r="AB6462" t="s">
        <v>59</v>
      </c>
      <c r="AC6462" t="s">
        <v>59</v>
      </c>
      <c r="AD6462" t="s">
        <v>59</v>
      </c>
      <c r="AF6462" s="1">
        <v>39681</v>
      </c>
      <c r="AG6462" t="s">
        <v>8645</v>
      </c>
      <c r="AH6462" t="s">
        <v>8646</v>
      </c>
      <c r="AI6462" t="str">
        <f>"9170091"</f>
        <v>9170091</v>
      </c>
      <c r="AJ6462" t="s">
        <v>8764</v>
      </c>
      <c r="AK6462">
        <v>2810741381</v>
      </c>
      <c r="AL6462" t="s">
        <v>8765</v>
      </c>
      <c r="AM6462" t="s">
        <v>78</v>
      </c>
      <c r="AN6462" t="s">
        <v>424</v>
      </c>
      <c r="AO6462" t="s">
        <v>428</v>
      </c>
      <c r="AP6462" t="s">
        <v>8766</v>
      </c>
      <c r="AQ6462">
        <v>11</v>
      </c>
      <c r="AR6462" t="s">
        <v>80</v>
      </c>
      <c r="AS6462" t="s">
        <v>81</v>
      </c>
      <c r="AT6462" t="s">
        <v>58</v>
      </c>
      <c r="AU6462" t="s">
        <v>68</v>
      </c>
      <c r="AV6462" t="s">
        <v>69</v>
      </c>
      <c r="AW6462" s="1">
        <v>29040</v>
      </c>
      <c r="AX6462">
        <v>1</v>
      </c>
    </row>
    <row r="6463" spans="1:50">
      <c r="A6463">
        <v>618379</v>
      </c>
      <c r="B6463" t="str">
        <f>"123677070"</f>
        <v>123677070</v>
      </c>
      <c r="C6463" t="s">
        <v>50</v>
      </c>
      <c r="D6463" t="s">
        <v>10930</v>
      </c>
      <c r="E6463" t="s">
        <v>237</v>
      </c>
      <c r="F6463" t="s">
        <v>920</v>
      </c>
      <c r="G6463" t="s">
        <v>507</v>
      </c>
      <c r="H6463" t="str">
        <f>"ΠΑΝΕΠΙΣΤΗΜΙΟΥ 63 ΗΡΑΚΛΕΙΟ"</f>
        <v>ΠΑΝΕΠΙΣΤΗΜΙΟΥ 63 ΗΡΑΚΛΕΙΟ</v>
      </c>
      <c r="I6463">
        <v>71500</v>
      </c>
      <c r="J6463">
        <v>2810311325</v>
      </c>
      <c r="K6463">
        <v>6932002030</v>
      </c>
      <c r="N6463" t="s">
        <v>615</v>
      </c>
      <c r="O6463" t="s">
        <v>616</v>
      </c>
      <c r="R6463" t="s">
        <v>57</v>
      </c>
      <c r="S6463">
        <v>5</v>
      </c>
      <c r="T6463">
        <v>774</v>
      </c>
      <c r="U6463" s="1">
        <v>39680</v>
      </c>
      <c r="V6463" t="s">
        <v>80</v>
      </c>
      <c r="W6463" t="s">
        <v>81</v>
      </c>
      <c r="X6463" t="s">
        <v>58</v>
      </c>
      <c r="Y6463">
        <v>23</v>
      </c>
      <c r="Z6463" t="s">
        <v>59</v>
      </c>
      <c r="AA6463" t="s">
        <v>59</v>
      </c>
      <c r="AB6463" t="s">
        <v>59</v>
      </c>
      <c r="AC6463" t="s">
        <v>59</v>
      </c>
      <c r="AD6463" t="s">
        <v>59</v>
      </c>
      <c r="AF6463" s="1">
        <v>39681</v>
      </c>
      <c r="AG6463" t="s">
        <v>8645</v>
      </c>
      <c r="AH6463" t="s">
        <v>8646</v>
      </c>
      <c r="AI6463" t="str">
        <f>"9170362"</f>
        <v>9170362</v>
      </c>
      <c r="AJ6463" t="s">
        <v>8681</v>
      </c>
      <c r="AK6463">
        <v>2810255261</v>
      </c>
      <c r="AL6463" t="s">
        <v>8682</v>
      </c>
      <c r="AM6463" t="s">
        <v>78</v>
      </c>
      <c r="AN6463" t="s">
        <v>78</v>
      </c>
      <c r="AO6463" t="s">
        <v>78</v>
      </c>
      <c r="AP6463" t="s">
        <v>141</v>
      </c>
      <c r="AQ6463">
        <v>1</v>
      </c>
      <c r="AR6463" t="s">
        <v>80</v>
      </c>
      <c r="AS6463" t="s">
        <v>81</v>
      </c>
      <c r="AT6463" t="s">
        <v>58</v>
      </c>
      <c r="AU6463" t="s">
        <v>68</v>
      </c>
      <c r="AV6463" t="s">
        <v>69</v>
      </c>
      <c r="AW6463" s="1">
        <v>31036</v>
      </c>
      <c r="AX6463">
        <v>1</v>
      </c>
    </row>
    <row r="6464" spans="1:50">
      <c r="A6464">
        <v>604261</v>
      </c>
      <c r="B6464" t="str">
        <f>"100117186"</f>
        <v>100117186</v>
      </c>
      <c r="C6464" t="s">
        <v>50</v>
      </c>
      <c r="D6464" t="s">
        <v>3034</v>
      </c>
      <c r="E6464" t="s">
        <v>83</v>
      </c>
      <c r="F6464" t="s">
        <v>4097</v>
      </c>
      <c r="G6464" t="s">
        <v>54</v>
      </c>
      <c r="H6464" t="str">
        <f>"ΚΟΚΚΙΝΙΔΗ 9 ΗΡΑΚΛΕΙΟ"</f>
        <v>ΚΟΚΚΙΝΙΔΗ 9 ΗΡΑΚΛΕΙΟ</v>
      </c>
      <c r="I6464">
        <v>71414</v>
      </c>
      <c r="J6464">
        <v>2810823127</v>
      </c>
      <c r="K6464">
        <v>6949162262</v>
      </c>
      <c r="L6464">
        <v>6939041770</v>
      </c>
      <c r="M6464" t="s">
        <v>10931</v>
      </c>
      <c r="N6464" t="s">
        <v>615</v>
      </c>
      <c r="O6464" t="s">
        <v>616</v>
      </c>
      <c r="R6464" t="s">
        <v>57</v>
      </c>
      <c r="S6464">
        <v>8</v>
      </c>
      <c r="T6464">
        <v>231</v>
      </c>
      <c r="U6464" s="1">
        <v>38230</v>
      </c>
      <c r="V6464" t="s">
        <v>80</v>
      </c>
      <c r="W6464" t="s">
        <v>81</v>
      </c>
      <c r="X6464" t="s">
        <v>58</v>
      </c>
      <c r="Y6464">
        <v>22</v>
      </c>
      <c r="Z6464" t="s">
        <v>59</v>
      </c>
      <c r="AA6464" t="s">
        <v>59</v>
      </c>
      <c r="AB6464" t="s">
        <v>59</v>
      </c>
      <c r="AC6464" t="s">
        <v>59</v>
      </c>
      <c r="AD6464" t="s">
        <v>59</v>
      </c>
      <c r="AF6464" s="1">
        <v>38231</v>
      </c>
      <c r="AG6464" t="s">
        <v>8645</v>
      </c>
      <c r="AH6464" t="s">
        <v>8646</v>
      </c>
      <c r="AI6464" t="str">
        <f>"9170056"</f>
        <v>9170056</v>
      </c>
      <c r="AJ6464" t="s">
        <v>9137</v>
      </c>
      <c r="AK6464">
        <v>2810253392</v>
      </c>
      <c r="AL6464" t="s">
        <v>9138</v>
      </c>
      <c r="AM6464" t="s">
        <v>78</v>
      </c>
      <c r="AN6464" t="s">
        <v>78</v>
      </c>
      <c r="AO6464" t="s">
        <v>78</v>
      </c>
      <c r="AP6464" t="s">
        <v>141</v>
      </c>
      <c r="AQ6464">
        <v>1</v>
      </c>
      <c r="AR6464" t="s">
        <v>80</v>
      </c>
      <c r="AS6464" t="s">
        <v>81</v>
      </c>
      <c r="AT6464" t="s">
        <v>58</v>
      </c>
      <c r="AU6464" t="s">
        <v>68</v>
      </c>
      <c r="AV6464" t="s">
        <v>69</v>
      </c>
      <c r="AW6464" s="1">
        <v>26358</v>
      </c>
      <c r="AX6464">
        <v>1</v>
      </c>
    </row>
    <row r="6465" spans="1:50">
      <c r="A6465">
        <v>565745</v>
      </c>
      <c r="B6465" t="str">
        <f>"050426467"</f>
        <v>050426467</v>
      </c>
      <c r="C6465" t="s">
        <v>50</v>
      </c>
      <c r="D6465" t="s">
        <v>3034</v>
      </c>
      <c r="E6465" t="s">
        <v>188</v>
      </c>
      <c r="F6465" t="s">
        <v>166</v>
      </c>
      <c r="G6465" t="s">
        <v>155</v>
      </c>
      <c r="H6465" t="str">
        <f>"ΑΝΔ. ΠΑΠΑΝΔΡΕΟΥ 81 ΗΡΑΚΛΕΙΟ"</f>
        <v>ΑΝΔ. ΠΑΠΑΝΔΡΕΟΥ 81 ΗΡΑΚΛΕΙΟ</v>
      </c>
      <c r="I6465">
        <v>71414</v>
      </c>
      <c r="J6465">
        <v>2810821217</v>
      </c>
      <c r="K6465">
        <v>6932900717</v>
      </c>
      <c r="N6465" t="s">
        <v>615</v>
      </c>
      <c r="O6465" t="s">
        <v>616</v>
      </c>
      <c r="R6465" t="s">
        <v>57</v>
      </c>
      <c r="S6465">
        <v>14</v>
      </c>
      <c r="T6465">
        <v>161</v>
      </c>
      <c r="U6465" s="1">
        <v>33119</v>
      </c>
      <c r="V6465" t="s">
        <v>80</v>
      </c>
      <c r="W6465" t="s">
        <v>81</v>
      </c>
      <c r="X6465" t="s">
        <v>58</v>
      </c>
      <c r="Y6465">
        <v>21</v>
      </c>
      <c r="Z6465" t="s">
        <v>59</v>
      </c>
      <c r="AA6465" t="s">
        <v>59</v>
      </c>
      <c r="AB6465" t="s">
        <v>59</v>
      </c>
      <c r="AC6465" t="s">
        <v>59</v>
      </c>
      <c r="AD6465" t="s">
        <v>59</v>
      </c>
      <c r="AF6465" s="1">
        <v>33119</v>
      </c>
      <c r="AG6465" t="s">
        <v>8645</v>
      </c>
      <c r="AH6465" t="s">
        <v>8646</v>
      </c>
      <c r="AI6465" t="str">
        <f>"9170018"</f>
        <v>9170018</v>
      </c>
      <c r="AJ6465" t="s">
        <v>8924</v>
      </c>
      <c r="AK6465">
        <v>2810821217</v>
      </c>
      <c r="AL6465" t="s">
        <v>8925</v>
      </c>
      <c r="AM6465" t="s">
        <v>78</v>
      </c>
      <c r="AN6465" t="s">
        <v>129</v>
      </c>
      <c r="AO6465" t="s">
        <v>130</v>
      </c>
      <c r="AP6465" t="s">
        <v>130</v>
      </c>
      <c r="AQ6465">
        <v>1</v>
      </c>
      <c r="AR6465" t="s">
        <v>80</v>
      </c>
      <c r="AS6465" t="s">
        <v>81</v>
      </c>
      <c r="AT6465" t="s">
        <v>58</v>
      </c>
      <c r="AU6465" t="s">
        <v>68</v>
      </c>
      <c r="AV6465" t="s">
        <v>69</v>
      </c>
      <c r="AW6465" s="1">
        <v>22964</v>
      </c>
      <c r="AX6465">
        <v>1</v>
      </c>
    </row>
    <row r="6466" spans="1:50">
      <c r="A6466">
        <v>590179</v>
      </c>
      <c r="B6466" t="str">
        <f>"050596991"</f>
        <v>050596991</v>
      </c>
      <c r="C6466" t="s">
        <v>105</v>
      </c>
      <c r="D6466" t="s">
        <v>3040</v>
      </c>
      <c r="E6466" t="s">
        <v>99</v>
      </c>
      <c r="F6466" t="s">
        <v>72</v>
      </c>
      <c r="G6466" t="s">
        <v>85</v>
      </c>
      <c r="H6466" t="str">
        <f>" "</f>
        <v xml:space="preserve"> </v>
      </c>
      <c r="N6466" t="s">
        <v>176</v>
      </c>
      <c r="O6466" t="s">
        <v>177</v>
      </c>
      <c r="R6466" t="s">
        <v>57</v>
      </c>
      <c r="S6466">
        <v>13</v>
      </c>
      <c r="T6466">
        <v>177</v>
      </c>
      <c r="U6466" s="1">
        <v>36403</v>
      </c>
      <c r="V6466" t="s">
        <v>80</v>
      </c>
      <c r="W6466" t="s">
        <v>81</v>
      </c>
      <c r="X6466" t="s">
        <v>58</v>
      </c>
      <c r="Y6466">
        <v>22</v>
      </c>
      <c r="Z6466" t="s">
        <v>59</v>
      </c>
      <c r="AA6466" t="s">
        <v>59</v>
      </c>
      <c r="AB6466" t="s">
        <v>59</v>
      </c>
      <c r="AC6466" t="s">
        <v>59</v>
      </c>
      <c r="AD6466" t="s">
        <v>59</v>
      </c>
      <c r="AF6466" s="1">
        <v>36404</v>
      </c>
      <c r="AG6466" t="s">
        <v>8645</v>
      </c>
      <c r="AH6466" t="s">
        <v>8646</v>
      </c>
      <c r="AI6466" t="str">
        <f>"9170197"</f>
        <v>9170197</v>
      </c>
      <c r="AJ6466" t="s">
        <v>8989</v>
      </c>
      <c r="AK6466">
        <v>2810232577</v>
      </c>
      <c r="AL6466" t="s">
        <v>8990</v>
      </c>
      <c r="AM6466" t="s">
        <v>78</v>
      </c>
      <c r="AN6466" t="s">
        <v>78</v>
      </c>
      <c r="AO6466" t="s">
        <v>78</v>
      </c>
      <c r="AP6466" t="s">
        <v>163</v>
      </c>
      <c r="AQ6466">
        <v>1</v>
      </c>
      <c r="AR6466" t="s">
        <v>80</v>
      </c>
      <c r="AS6466" t="s">
        <v>81</v>
      </c>
      <c r="AT6466" t="s">
        <v>58</v>
      </c>
      <c r="AU6466" t="s">
        <v>68</v>
      </c>
      <c r="AV6466" t="s">
        <v>69</v>
      </c>
      <c r="AW6466" s="1">
        <v>24065</v>
      </c>
      <c r="AX6466">
        <v>1</v>
      </c>
    </row>
    <row r="6467" spans="1:50">
      <c r="B6467" t="str">
        <f>"148959956"</f>
        <v>148959956</v>
      </c>
      <c r="C6467" t="s">
        <v>105</v>
      </c>
      <c r="D6467" t="s">
        <v>10932</v>
      </c>
      <c r="E6467" t="s">
        <v>309</v>
      </c>
      <c r="F6467" t="s">
        <v>321</v>
      </c>
      <c r="G6467" t="s">
        <v>1068</v>
      </c>
      <c r="H6467" t="str">
        <f>"ΜΠΙΖΑΝΙΟΥ 27 "</f>
        <v xml:space="preserve">ΜΠΙΖΑΝΙΟΥ 27 </v>
      </c>
      <c r="I6467">
        <v>60100</v>
      </c>
      <c r="J6467">
        <v>2351073040</v>
      </c>
      <c r="K6467">
        <v>6984360130</v>
      </c>
      <c r="N6467" t="s">
        <v>615</v>
      </c>
      <c r="O6467" t="s">
        <v>616</v>
      </c>
      <c r="R6467" t="s">
        <v>159</v>
      </c>
      <c r="S6467">
        <v>4</v>
      </c>
      <c r="T6467" t="s">
        <v>8675</v>
      </c>
      <c r="U6467" s="1">
        <v>43348</v>
      </c>
      <c r="V6467" t="s">
        <v>80</v>
      </c>
      <c r="W6467" t="s">
        <v>81</v>
      </c>
      <c r="X6467" t="s">
        <v>58</v>
      </c>
      <c r="Y6467">
        <v>24</v>
      </c>
      <c r="Z6467" t="s">
        <v>59</v>
      </c>
      <c r="AA6467" t="s">
        <v>59</v>
      </c>
      <c r="AB6467" t="s">
        <v>59</v>
      </c>
      <c r="AC6467" t="s">
        <v>59</v>
      </c>
      <c r="AD6467" t="s">
        <v>59</v>
      </c>
      <c r="AF6467" s="1">
        <v>43348</v>
      </c>
      <c r="AG6467" t="s">
        <v>8645</v>
      </c>
      <c r="AH6467" t="s">
        <v>8646</v>
      </c>
      <c r="AI6467" t="str">
        <f>"9170068"</f>
        <v>9170068</v>
      </c>
      <c r="AJ6467" t="s">
        <v>8773</v>
      </c>
      <c r="AK6467">
        <v>2893031217</v>
      </c>
      <c r="AL6467" t="s">
        <v>8774</v>
      </c>
      <c r="AM6467" t="s">
        <v>78</v>
      </c>
      <c r="AN6467" t="s">
        <v>405</v>
      </c>
      <c r="AO6467" t="s">
        <v>805</v>
      </c>
      <c r="AP6467" t="s">
        <v>806</v>
      </c>
      <c r="AQ6467">
        <v>15</v>
      </c>
      <c r="AR6467" t="s">
        <v>80</v>
      </c>
      <c r="AS6467" t="s">
        <v>81</v>
      </c>
      <c r="AT6467" t="s">
        <v>58</v>
      </c>
      <c r="AU6467" t="s">
        <v>8673</v>
      </c>
      <c r="AV6467" t="s">
        <v>132</v>
      </c>
      <c r="AW6467" s="1">
        <v>32482</v>
      </c>
      <c r="AX6467">
        <v>1</v>
      </c>
    </row>
    <row r="6468" spans="1:50">
      <c r="A6468">
        <v>563296</v>
      </c>
      <c r="B6468" t="str">
        <f>"032709030"</f>
        <v>032709030</v>
      </c>
      <c r="C6468" t="s">
        <v>105</v>
      </c>
      <c r="D6468" t="s">
        <v>10933</v>
      </c>
      <c r="E6468" t="s">
        <v>166</v>
      </c>
      <c r="F6468" t="s">
        <v>718</v>
      </c>
      <c r="G6468" t="s">
        <v>112</v>
      </c>
      <c r="H6468" t="str">
        <f>"ΔΡΑΚΟΠΟΥΛΟΥ 32 ΗΡΑΚΛΕΙΟ"</f>
        <v>ΔΡΑΚΟΠΟΥΛΟΥ 32 ΗΡΑΚΛΕΙΟ</v>
      </c>
      <c r="I6468">
        <v>71306</v>
      </c>
      <c r="J6468">
        <v>2810311038</v>
      </c>
      <c r="K6468">
        <v>6993198000</v>
      </c>
      <c r="N6468" t="s">
        <v>615</v>
      </c>
      <c r="O6468" t="s">
        <v>616</v>
      </c>
      <c r="R6468" t="s">
        <v>57</v>
      </c>
      <c r="S6468">
        <v>15</v>
      </c>
      <c r="T6468">
        <v>194</v>
      </c>
      <c r="U6468" s="1">
        <v>32762</v>
      </c>
      <c r="V6468" t="s">
        <v>80</v>
      </c>
      <c r="W6468" t="s">
        <v>81</v>
      </c>
      <c r="X6468" t="s">
        <v>58</v>
      </c>
      <c r="Y6468">
        <v>21</v>
      </c>
      <c r="Z6468" t="s">
        <v>59</v>
      </c>
      <c r="AA6468" t="s">
        <v>59</v>
      </c>
      <c r="AB6468" t="s">
        <v>59</v>
      </c>
      <c r="AC6468" t="s">
        <v>59</v>
      </c>
      <c r="AD6468" t="s">
        <v>59</v>
      </c>
      <c r="AF6468" s="1">
        <v>32762</v>
      </c>
      <c r="AG6468" t="s">
        <v>8645</v>
      </c>
      <c r="AH6468" t="s">
        <v>8646</v>
      </c>
      <c r="AI6468" t="str">
        <f>"9170113"</f>
        <v>9170113</v>
      </c>
      <c r="AJ6468" t="s">
        <v>8846</v>
      </c>
      <c r="AK6468">
        <v>2810226174</v>
      </c>
      <c r="AL6468" t="s">
        <v>8847</v>
      </c>
      <c r="AM6468" t="s">
        <v>78</v>
      </c>
      <c r="AN6468" t="s">
        <v>78</v>
      </c>
      <c r="AO6468" t="s">
        <v>78</v>
      </c>
      <c r="AP6468" t="s">
        <v>79</v>
      </c>
      <c r="AQ6468">
        <v>1</v>
      </c>
      <c r="AR6468" t="s">
        <v>80</v>
      </c>
      <c r="AS6468" t="s">
        <v>81</v>
      </c>
      <c r="AT6468" t="s">
        <v>58</v>
      </c>
      <c r="AU6468" t="s">
        <v>68</v>
      </c>
      <c r="AV6468" t="s">
        <v>69</v>
      </c>
      <c r="AW6468" s="1">
        <v>22744</v>
      </c>
      <c r="AX6468">
        <v>1</v>
      </c>
    </row>
    <row r="6469" spans="1:50">
      <c r="A6469">
        <v>613939</v>
      </c>
      <c r="B6469" t="str">
        <f>"128326062"</f>
        <v>128326062</v>
      </c>
      <c r="C6469" t="s">
        <v>50</v>
      </c>
      <c r="D6469" t="s">
        <v>5213</v>
      </c>
      <c r="E6469" t="s">
        <v>1108</v>
      </c>
      <c r="F6469" t="s">
        <v>53</v>
      </c>
      <c r="G6469" t="s">
        <v>610</v>
      </c>
      <c r="H6469" t="str">
        <f>"ΡΑΔΑΜΑΝΘΟΥ ΓΑΖΙ ΗΡΑΚΛΕΙΟΥ"</f>
        <v>ΡΑΔΑΜΑΝΘΟΥ ΓΑΖΙ ΗΡΑΚΛΕΙΟΥ</v>
      </c>
      <c r="I6469">
        <v>71414</v>
      </c>
      <c r="J6469">
        <v>2810371235</v>
      </c>
      <c r="K6469">
        <v>6974820110</v>
      </c>
      <c r="N6469" t="s">
        <v>615</v>
      </c>
      <c r="O6469" t="s">
        <v>616</v>
      </c>
      <c r="R6469" t="s">
        <v>57</v>
      </c>
      <c r="S6469">
        <v>6</v>
      </c>
      <c r="T6469">
        <v>598</v>
      </c>
      <c r="U6469" s="1">
        <v>39310</v>
      </c>
      <c r="V6469" t="s">
        <v>80</v>
      </c>
      <c r="W6469" t="s">
        <v>81</v>
      </c>
      <c r="X6469" t="s">
        <v>58</v>
      </c>
      <c r="Y6469">
        <v>23</v>
      </c>
      <c r="Z6469" t="s">
        <v>59</v>
      </c>
      <c r="AA6469" t="s">
        <v>59</v>
      </c>
      <c r="AB6469" t="s">
        <v>59</v>
      </c>
      <c r="AC6469" t="s">
        <v>59</v>
      </c>
      <c r="AD6469" t="s">
        <v>59</v>
      </c>
      <c r="AF6469" s="1">
        <v>39328</v>
      </c>
      <c r="AG6469" t="s">
        <v>8645</v>
      </c>
      <c r="AH6469" t="s">
        <v>8646</v>
      </c>
      <c r="AI6469" t="str">
        <f>"9170018"</f>
        <v>9170018</v>
      </c>
      <c r="AJ6469" t="s">
        <v>8924</v>
      </c>
      <c r="AK6469">
        <v>2810821217</v>
      </c>
      <c r="AL6469" t="s">
        <v>8925</v>
      </c>
      <c r="AM6469" t="s">
        <v>78</v>
      </c>
      <c r="AN6469" t="s">
        <v>129</v>
      </c>
      <c r="AO6469" t="s">
        <v>130</v>
      </c>
      <c r="AP6469" t="s">
        <v>130</v>
      </c>
      <c r="AQ6469">
        <v>1</v>
      </c>
      <c r="AR6469" t="s">
        <v>80</v>
      </c>
      <c r="AS6469" t="s">
        <v>81</v>
      </c>
      <c r="AT6469" t="s">
        <v>58</v>
      </c>
      <c r="AU6469" t="s">
        <v>68</v>
      </c>
      <c r="AV6469" t="s">
        <v>69</v>
      </c>
      <c r="AW6469" s="1">
        <v>29886</v>
      </c>
      <c r="AX6469">
        <v>1</v>
      </c>
    </row>
    <row r="6470" spans="1:50">
      <c r="A6470">
        <v>594310</v>
      </c>
      <c r="B6470" t="str">
        <f>"114288515"</f>
        <v>114288515</v>
      </c>
      <c r="C6470" t="s">
        <v>50</v>
      </c>
      <c r="D6470" t="s">
        <v>5213</v>
      </c>
      <c r="E6470" t="s">
        <v>513</v>
      </c>
      <c r="F6470" t="s">
        <v>5394</v>
      </c>
      <c r="G6470" t="s">
        <v>83</v>
      </c>
      <c r="H6470" t="str">
        <f>"ΡΟΥΚΑΝΙ ΗΡΑΚΛΕΙΟ"</f>
        <v>ΡΟΥΚΑΝΙ ΗΡΑΚΛΕΙΟ</v>
      </c>
      <c r="I6470">
        <v>71500</v>
      </c>
      <c r="J6470">
        <v>2810871644</v>
      </c>
      <c r="K6470">
        <v>6945948692</v>
      </c>
      <c r="N6470" t="s">
        <v>615</v>
      </c>
      <c r="O6470" t="s">
        <v>616</v>
      </c>
      <c r="R6470" t="s">
        <v>57</v>
      </c>
      <c r="S6470">
        <v>8</v>
      </c>
      <c r="T6470">
        <v>218</v>
      </c>
      <c r="U6470" s="1">
        <v>37134</v>
      </c>
      <c r="V6470" t="s">
        <v>80</v>
      </c>
      <c r="W6470" t="s">
        <v>81</v>
      </c>
      <c r="X6470" t="s">
        <v>58</v>
      </c>
      <c r="Y6470">
        <v>22</v>
      </c>
      <c r="Z6470" t="s">
        <v>59</v>
      </c>
      <c r="AA6470" t="s">
        <v>59</v>
      </c>
      <c r="AB6470" t="s">
        <v>59</v>
      </c>
      <c r="AC6470" t="s">
        <v>59</v>
      </c>
      <c r="AD6470" t="s">
        <v>59</v>
      </c>
      <c r="AF6470" s="1">
        <v>37137</v>
      </c>
      <c r="AG6470" t="s">
        <v>8645</v>
      </c>
      <c r="AH6470" t="s">
        <v>8646</v>
      </c>
      <c r="AI6470" t="str">
        <f>"9170017"</f>
        <v>9170017</v>
      </c>
      <c r="AJ6470" t="s">
        <v>9114</v>
      </c>
      <c r="AK6470">
        <v>2810250746</v>
      </c>
      <c r="AL6470" t="s">
        <v>9115</v>
      </c>
      <c r="AM6470" t="s">
        <v>78</v>
      </c>
      <c r="AN6470" t="s">
        <v>129</v>
      </c>
      <c r="AO6470" t="s">
        <v>130</v>
      </c>
      <c r="AP6470" t="s">
        <v>130</v>
      </c>
      <c r="AQ6470">
        <v>1</v>
      </c>
      <c r="AR6470" t="s">
        <v>80</v>
      </c>
      <c r="AS6470" t="s">
        <v>81</v>
      </c>
      <c r="AT6470" t="s">
        <v>58</v>
      </c>
      <c r="AU6470" t="s">
        <v>68</v>
      </c>
      <c r="AV6470" t="s">
        <v>69</v>
      </c>
      <c r="AW6470" s="1">
        <v>27974</v>
      </c>
      <c r="AX6470">
        <v>1</v>
      </c>
    </row>
    <row r="6471" spans="1:50">
      <c r="A6471">
        <v>614674</v>
      </c>
      <c r="B6471" t="str">
        <f>"132995790"</f>
        <v>132995790</v>
      </c>
      <c r="C6471" t="s">
        <v>50</v>
      </c>
      <c r="D6471" t="s">
        <v>5213</v>
      </c>
      <c r="E6471" t="s">
        <v>1001</v>
      </c>
      <c r="F6471" t="s">
        <v>95</v>
      </c>
      <c r="G6471" t="s">
        <v>860</v>
      </c>
      <c r="H6471" t="str">
        <f>"ΚΡΟΥΣΩΝΑΣ ΚΡΟΥΣΩΝΑΣ"</f>
        <v>ΚΡΟΥΣΩΝΑΣ ΚΡΟΥΣΩΝΑΣ</v>
      </c>
      <c r="I6471">
        <v>70001</v>
      </c>
      <c r="J6471">
        <v>2810711108</v>
      </c>
      <c r="K6471">
        <v>6942703869</v>
      </c>
      <c r="M6471" t="s">
        <v>10934</v>
      </c>
      <c r="N6471" t="s">
        <v>615</v>
      </c>
      <c r="O6471" t="s">
        <v>616</v>
      </c>
      <c r="R6471" t="s">
        <v>57</v>
      </c>
      <c r="S6471">
        <v>5</v>
      </c>
      <c r="T6471">
        <v>598</v>
      </c>
      <c r="U6471" s="1">
        <v>39310</v>
      </c>
      <c r="V6471" t="s">
        <v>80</v>
      </c>
      <c r="W6471" t="s">
        <v>81</v>
      </c>
      <c r="X6471" t="s">
        <v>58</v>
      </c>
      <c r="Y6471">
        <v>23</v>
      </c>
      <c r="Z6471" t="s">
        <v>59</v>
      </c>
      <c r="AA6471" t="s">
        <v>59</v>
      </c>
      <c r="AB6471" t="s">
        <v>59</v>
      </c>
      <c r="AC6471" t="s">
        <v>59</v>
      </c>
      <c r="AD6471" t="s">
        <v>59</v>
      </c>
      <c r="AF6471" s="1">
        <v>39328</v>
      </c>
      <c r="AG6471" t="s">
        <v>8645</v>
      </c>
      <c r="AH6471" t="s">
        <v>8646</v>
      </c>
      <c r="AI6471" t="str">
        <f>"9170027"</f>
        <v>9170027</v>
      </c>
      <c r="AJ6471" t="s">
        <v>8704</v>
      </c>
      <c r="AK6471">
        <v>2810711207</v>
      </c>
      <c r="AL6471" t="s">
        <v>8705</v>
      </c>
      <c r="AM6471" t="s">
        <v>78</v>
      </c>
      <c r="AN6471" t="s">
        <v>129</v>
      </c>
      <c r="AO6471" t="s">
        <v>597</v>
      </c>
      <c r="AP6471" t="s">
        <v>598</v>
      </c>
      <c r="AQ6471">
        <v>4</v>
      </c>
      <c r="AR6471" t="s">
        <v>80</v>
      </c>
      <c r="AS6471" t="s">
        <v>81</v>
      </c>
      <c r="AT6471" t="s">
        <v>58</v>
      </c>
      <c r="AU6471" t="s">
        <v>68</v>
      </c>
      <c r="AV6471" t="s">
        <v>69</v>
      </c>
      <c r="AW6471" s="1">
        <v>30914</v>
      </c>
      <c r="AX6471">
        <v>1</v>
      </c>
    </row>
    <row r="6472" spans="1:50">
      <c r="A6472">
        <v>566570</v>
      </c>
      <c r="B6472" t="str">
        <f>"030964579"</f>
        <v>030964579</v>
      </c>
      <c r="C6472" t="s">
        <v>50</v>
      </c>
      <c r="D6472" t="s">
        <v>10935</v>
      </c>
      <c r="E6472" t="s">
        <v>699</v>
      </c>
      <c r="F6472" t="s">
        <v>154</v>
      </c>
      <c r="G6472" t="s">
        <v>96</v>
      </c>
      <c r="H6472" t="str">
        <f>"ΚΡΟΥΣΩΝΑΣ ΚΡΟΥΣΩΝΑΣ ΗΡΑΚΛΕΙΟΥ"</f>
        <v>ΚΡΟΥΣΩΝΑΣ ΚΡΟΥΣΩΝΑΣ ΗΡΑΚΛΕΙΟΥ</v>
      </c>
      <c r="I6472">
        <v>70001</v>
      </c>
      <c r="J6472">
        <v>2810711730</v>
      </c>
      <c r="K6472">
        <v>6974026744</v>
      </c>
      <c r="N6472" t="s">
        <v>1525</v>
      </c>
      <c r="O6472" t="s">
        <v>1526</v>
      </c>
      <c r="R6472" t="s">
        <v>57</v>
      </c>
      <c r="S6472">
        <v>15</v>
      </c>
      <c r="T6472">
        <v>161</v>
      </c>
      <c r="U6472" s="1">
        <v>33119</v>
      </c>
      <c r="V6472" t="s">
        <v>80</v>
      </c>
      <c r="W6472" t="s">
        <v>81</v>
      </c>
      <c r="X6472" t="s">
        <v>58</v>
      </c>
      <c r="Y6472">
        <v>25</v>
      </c>
      <c r="Z6472" t="s">
        <v>59</v>
      </c>
      <c r="AA6472" t="s">
        <v>59</v>
      </c>
      <c r="AB6472" t="s">
        <v>59</v>
      </c>
      <c r="AC6472" t="s">
        <v>59</v>
      </c>
      <c r="AD6472" t="s">
        <v>59</v>
      </c>
      <c r="AF6472" s="1">
        <v>33119</v>
      </c>
      <c r="AG6472" t="s">
        <v>8651</v>
      </c>
      <c r="AH6472" t="s">
        <v>8652</v>
      </c>
      <c r="AI6472" t="str">
        <f>"9170026"</f>
        <v>9170026</v>
      </c>
      <c r="AJ6472" t="s">
        <v>9820</v>
      </c>
      <c r="AK6472">
        <v>2810711205</v>
      </c>
      <c r="AL6472" t="s">
        <v>9821</v>
      </c>
      <c r="AM6472" t="s">
        <v>78</v>
      </c>
      <c r="AN6472" t="s">
        <v>129</v>
      </c>
      <c r="AO6472" t="s">
        <v>597</v>
      </c>
      <c r="AP6472" t="s">
        <v>598</v>
      </c>
      <c r="AQ6472">
        <v>4</v>
      </c>
      <c r="AR6472" t="s">
        <v>80</v>
      </c>
      <c r="AS6472" t="s">
        <v>81</v>
      </c>
      <c r="AT6472" t="s">
        <v>58</v>
      </c>
      <c r="AU6472" t="s">
        <v>68</v>
      </c>
      <c r="AV6472" t="s">
        <v>69</v>
      </c>
      <c r="AW6472" s="1">
        <v>23588</v>
      </c>
      <c r="AX6472">
        <v>1</v>
      </c>
    </row>
    <row r="6473" spans="1:50">
      <c r="A6473">
        <v>701269</v>
      </c>
      <c r="B6473" t="str">
        <f>"123157261"</f>
        <v>123157261</v>
      </c>
      <c r="C6473" t="s">
        <v>105</v>
      </c>
      <c r="D6473" t="s">
        <v>10936</v>
      </c>
      <c r="E6473" t="s">
        <v>95</v>
      </c>
      <c r="F6473" t="s">
        <v>920</v>
      </c>
      <c r="G6473" t="s">
        <v>1068</v>
      </c>
      <c r="H6473" t="str">
        <f>"ΖΕΥΞΙΔΟΣ 31  ΗΡΑΚΛΕΙΟ"</f>
        <v>ΖΕΥΞΙΔΟΣ 31  ΗΡΑΚΛΕΙΟ</v>
      </c>
      <c r="I6473">
        <v>71400</v>
      </c>
      <c r="J6473">
        <v>2810253845</v>
      </c>
      <c r="K6473">
        <v>6973984472</v>
      </c>
      <c r="L6473">
        <v>2817700028</v>
      </c>
      <c r="M6473" t="s">
        <v>10937</v>
      </c>
      <c r="N6473" t="s">
        <v>615</v>
      </c>
      <c r="O6473" t="s">
        <v>616</v>
      </c>
      <c r="R6473" t="s">
        <v>57</v>
      </c>
      <c r="S6473">
        <v>5</v>
      </c>
      <c r="T6473">
        <v>772</v>
      </c>
      <c r="U6473" s="1">
        <v>40413</v>
      </c>
      <c r="V6473" t="s">
        <v>80</v>
      </c>
      <c r="W6473" t="s">
        <v>81</v>
      </c>
      <c r="X6473" t="s">
        <v>58</v>
      </c>
      <c r="Y6473">
        <v>23</v>
      </c>
      <c r="Z6473" t="s">
        <v>59</v>
      </c>
      <c r="AA6473" t="s">
        <v>59</v>
      </c>
      <c r="AB6473" t="s">
        <v>59</v>
      </c>
      <c r="AC6473" t="s">
        <v>59</v>
      </c>
      <c r="AD6473" t="s">
        <v>59</v>
      </c>
      <c r="AF6473" s="1">
        <v>40413</v>
      </c>
      <c r="AG6473" t="s">
        <v>8645</v>
      </c>
      <c r="AH6473" t="s">
        <v>8646</v>
      </c>
      <c r="AI6473" t="str">
        <f>"9170532"</f>
        <v>9170532</v>
      </c>
      <c r="AJ6473" t="s">
        <v>8945</v>
      </c>
      <c r="AK6473">
        <v>2810250330</v>
      </c>
      <c r="AL6473" t="s">
        <v>8946</v>
      </c>
      <c r="AM6473" t="s">
        <v>78</v>
      </c>
      <c r="AN6473" t="s">
        <v>78</v>
      </c>
      <c r="AO6473" t="s">
        <v>78</v>
      </c>
      <c r="AP6473" t="s">
        <v>141</v>
      </c>
      <c r="AQ6473">
        <v>1</v>
      </c>
      <c r="AR6473" t="s">
        <v>80</v>
      </c>
      <c r="AS6473" t="s">
        <v>81</v>
      </c>
      <c r="AT6473" t="s">
        <v>58</v>
      </c>
      <c r="AU6473" t="s">
        <v>68</v>
      </c>
      <c r="AV6473" t="s">
        <v>69</v>
      </c>
      <c r="AW6473" s="1">
        <v>30512</v>
      </c>
      <c r="AX6473">
        <v>1</v>
      </c>
    </row>
    <row r="6474" spans="1:50">
      <c r="A6474">
        <v>615016</v>
      </c>
      <c r="B6474" t="str">
        <f>"103666212"</f>
        <v>103666212</v>
      </c>
      <c r="C6474" t="s">
        <v>105</v>
      </c>
      <c r="D6474" t="s">
        <v>10936</v>
      </c>
      <c r="E6474" t="s">
        <v>53</v>
      </c>
      <c r="F6474" t="s">
        <v>760</v>
      </c>
      <c r="G6474" t="s">
        <v>610</v>
      </c>
      <c r="H6474" t="str">
        <f>"ΜΟΙΡΕΣ ΑΓΙΟΙ ΔΕΚΑ"</f>
        <v>ΜΟΙΡΕΣ ΑΓΙΟΙ ΔΕΚΑ</v>
      </c>
      <c r="I6474">
        <v>70012</v>
      </c>
      <c r="J6474">
        <v>2892031519</v>
      </c>
      <c r="K6474">
        <v>6947774040</v>
      </c>
      <c r="L6474">
        <v>2892024883</v>
      </c>
      <c r="N6474" t="s">
        <v>615</v>
      </c>
      <c r="O6474" t="s">
        <v>616</v>
      </c>
      <c r="R6474" t="s">
        <v>57</v>
      </c>
      <c r="S6474">
        <v>8</v>
      </c>
      <c r="T6474">
        <v>598</v>
      </c>
      <c r="U6474" s="1">
        <v>39310</v>
      </c>
      <c r="V6474" t="s">
        <v>80</v>
      </c>
      <c r="W6474" t="s">
        <v>81</v>
      </c>
      <c r="X6474" t="s">
        <v>58</v>
      </c>
      <c r="Y6474">
        <v>23</v>
      </c>
      <c r="Z6474" t="s">
        <v>59</v>
      </c>
      <c r="AA6474" t="s">
        <v>59</v>
      </c>
      <c r="AB6474" t="s">
        <v>59</v>
      </c>
      <c r="AC6474" t="s">
        <v>59</v>
      </c>
      <c r="AD6474" t="s">
        <v>59</v>
      </c>
      <c r="AF6474" s="1">
        <v>39328</v>
      </c>
      <c r="AG6474" t="s">
        <v>8645</v>
      </c>
      <c r="AH6474" t="s">
        <v>8646</v>
      </c>
      <c r="AI6474" t="str">
        <f>"9170270"</f>
        <v>9170270</v>
      </c>
      <c r="AJ6474" t="s">
        <v>9347</v>
      </c>
      <c r="AK6474">
        <v>2892031245</v>
      </c>
      <c r="AL6474" t="s">
        <v>9348</v>
      </c>
      <c r="AM6474" t="s">
        <v>78</v>
      </c>
      <c r="AN6474" t="s">
        <v>405</v>
      </c>
      <c r="AO6474" t="s">
        <v>405</v>
      </c>
      <c r="AP6474" t="s">
        <v>464</v>
      </c>
      <c r="AQ6474">
        <v>17</v>
      </c>
      <c r="AR6474" t="s">
        <v>80</v>
      </c>
      <c r="AS6474" t="s">
        <v>81</v>
      </c>
      <c r="AT6474" t="s">
        <v>58</v>
      </c>
      <c r="AU6474" t="s">
        <v>68</v>
      </c>
      <c r="AV6474" t="s">
        <v>69</v>
      </c>
      <c r="AW6474" s="1">
        <v>29221</v>
      </c>
      <c r="AX6474">
        <v>1</v>
      </c>
    </row>
    <row r="6475" spans="1:50">
      <c r="A6475">
        <v>579081</v>
      </c>
      <c r="B6475" t="str">
        <f>"064571657"</f>
        <v>064571657</v>
      </c>
      <c r="C6475" t="s">
        <v>50</v>
      </c>
      <c r="D6475" t="s">
        <v>10938</v>
      </c>
      <c r="E6475" t="s">
        <v>52</v>
      </c>
      <c r="F6475" t="s">
        <v>4861</v>
      </c>
      <c r="G6475" t="s">
        <v>905</v>
      </c>
      <c r="H6475" t="str">
        <f>" "</f>
        <v xml:space="preserve"> </v>
      </c>
      <c r="N6475" t="s">
        <v>615</v>
      </c>
      <c r="O6475" t="s">
        <v>616</v>
      </c>
      <c r="R6475" t="s">
        <v>57</v>
      </c>
      <c r="S6475">
        <v>12</v>
      </c>
      <c r="T6475">
        <v>165</v>
      </c>
      <c r="U6475" s="1">
        <v>35300</v>
      </c>
      <c r="V6475" t="s">
        <v>80</v>
      </c>
      <c r="W6475" t="s">
        <v>81</v>
      </c>
      <c r="X6475" t="s">
        <v>58</v>
      </c>
      <c r="Y6475">
        <v>21</v>
      </c>
      <c r="Z6475" t="s">
        <v>59</v>
      </c>
      <c r="AA6475" t="s">
        <v>59</v>
      </c>
      <c r="AB6475" t="s">
        <v>59</v>
      </c>
      <c r="AC6475" t="s">
        <v>59</v>
      </c>
      <c r="AD6475" t="s">
        <v>59</v>
      </c>
      <c r="AF6475" s="1">
        <v>35312</v>
      </c>
      <c r="AG6475" t="s">
        <v>8645</v>
      </c>
      <c r="AH6475" t="s">
        <v>8646</v>
      </c>
      <c r="AI6475" t="str">
        <f>"9170191"</f>
        <v>9170191</v>
      </c>
      <c r="AJ6475" t="s">
        <v>8667</v>
      </c>
      <c r="AK6475">
        <v>2810231459</v>
      </c>
      <c r="AL6475" t="s">
        <v>8668</v>
      </c>
      <c r="AM6475" t="s">
        <v>78</v>
      </c>
      <c r="AN6475" t="s">
        <v>78</v>
      </c>
      <c r="AO6475" t="s">
        <v>78</v>
      </c>
      <c r="AP6475" t="s">
        <v>163</v>
      </c>
      <c r="AQ6475">
        <v>1</v>
      </c>
      <c r="AR6475" t="s">
        <v>80</v>
      </c>
      <c r="AS6475" t="s">
        <v>81</v>
      </c>
      <c r="AT6475" t="s">
        <v>58</v>
      </c>
      <c r="AU6475" t="s">
        <v>68</v>
      </c>
      <c r="AV6475" t="s">
        <v>69</v>
      </c>
      <c r="AW6475" s="1">
        <v>23503</v>
      </c>
      <c r="AX6475">
        <v>1</v>
      </c>
    </row>
    <row r="6476" spans="1:50">
      <c r="B6476" t="str">
        <f>"072538697"</f>
        <v>072538697</v>
      </c>
      <c r="C6476" t="s">
        <v>105</v>
      </c>
      <c r="D6476" t="s">
        <v>10939</v>
      </c>
      <c r="E6476" t="s">
        <v>309</v>
      </c>
      <c r="F6476" t="s">
        <v>95</v>
      </c>
      <c r="G6476" t="s">
        <v>10940</v>
      </c>
      <c r="H6476" t="str">
        <f>"ΗΡΩΩΝ ΠΟΛΥΤΕΧΝΕΙΟΥ 60Β ΠΑΤΡΑ"</f>
        <v>ΗΡΩΩΝ ΠΟΛΥΤΕΧΝΕΙΟΥ 60Β ΠΑΤΡΑ</v>
      </c>
      <c r="I6476">
        <v>26441</v>
      </c>
      <c r="J6476">
        <v>2610428800</v>
      </c>
      <c r="K6476">
        <v>6974316296</v>
      </c>
      <c r="M6476" t="s">
        <v>10941</v>
      </c>
      <c r="N6476" t="s">
        <v>337</v>
      </c>
      <c r="O6476" t="s">
        <v>338</v>
      </c>
      <c r="R6476" t="s">
        <v>121</v>
      </c>
      <c r="S6476">
        <v>1</v>
      </c>
      <c r="T6476" t="s">
        <v>8675</v>
      </c>
      <c r="U6476" s="1">
        <v>43348</v>
      </c>
      <c r="V6476" t="s">
        <v>80</v>
      </c>
      <c r="W6476" t="s">
        <v>81</v>
      </c>
      <c r="X6476" t="s">
        <v>58</v>
      </c>
      <c r="Y6476">
        <v>24</v>
      </c>
      <c r="Z6476" t="s">
        <v>59</v>
      </c>
      <c r="AA6476" t="s">
        <v>59</v>
      </c>
      <c r="AB6476" t="s">
        <v>59</v>
      </c>
      <c r="AC6476" t="s">
        <v>59</v>
      </c>
      <c r="AD6476" t="s">
        <v>59</v>
      </c>
      <c r="AF6476" s="1">
        <v>43348</v>
      </c>
      <c r="AG6476" t="s">
        <v>8645</v>
      </c>
      <c r="AH6476" t="s">
        <v>8646</v>
      </c>
      <c r="AI6476" t="str">
        <f>"9170097"</f>
        <v>9170097</v>
      </c>
      <c r="AJ6476" t="s">
        <v>8826</v>
      </c>
      <c r="AK6476">
        <v>2810751807</v>
      </c>
      <c r="AL6476" t="s">
        <v>8827</v>
      </c>
      <c r="AM6476" t="s">
        <v>78</v>
      </c>
      <c r="AN6476" t="s">
        <v>424</v>
      </c>
      <c r="AO6476" t="s">
        <v>425</v>
      </c>
      <c r="AP6476" t="s">
        <v>425</v>
      </c>
      <c r="AQ6476">
        <v>11</v>
      </c>
      <c r="AR6476" t="s">
        <v>80</v>
      </c>
      <c r="AS6476" t="s">
        <v>81</v>
      </c>
      <c r="AT6476" t="s">
        <v>58</v>
      </c>
      <c r="AU6476" t="s">
        <v>8673</v>
      </c>
      <c r="AV6476" t="s">
        <v>132</v>
      </c>
      <c r="AW6476" s="1">
        <v>27713</v>
      </c>
      <c r="AX6476">
        <v>1</v>
      </c>
    </row>
    <row r="6477" spans="1:50">
      <c r="A6477">
        <v>621631</v>
      </c>
      <c r="B6477" t="str">
        <f>"129973865"</f>
        <v>129973865</v>
      </c>
      <c r="C6477" t="s">
        <v>50</v>
      </c>
      <c r="D6477" t="s">
        <v>3060</v>
      </c>
      <c r="E6477" t="s">
        <v>109</v>
      </c>
      <c r="F6477" t="s">
        <v>53</v>
      </c>
      <c r="G6477" t="s">
        <v>109</v>
      </c>
      <c r="H6477" t="str">
        <f>"ΚΑΡΑΜΑΝΛΗ 23 ΑΜΦΙΣΣΑ"</f>
        <v>ΚΑΡΑΜΑΝΛΗ 23 ΑΜΦΙΣΣΑ</v>
      </c>
      <c r="I6477">
        <v>33100</v>
      </c>
      <c r="K6477">
        <v>6982155783</v>
      </c>
      <c r="L6477">
        <v>6976224052</v>
      </c>
      <c r="M6477" t="s">
        <v>10942</v>
      </c>
      <c r="N6477" t="s">
        <v>615</v>
      </c>
      <c r="O6477" t="s">
        <v>616</v>
      </c>
      <c r="R6477" t="s">
        <v>57</v>
      </c>
      <c r="S6477">
        <v>5</v>
      </c>
      <c r="T6477">
        <v>653</v>
      </c>
      <c r="U6477" s="1">
        <v>40043</v>
      </c>
      <c r="V6477" t="s">
        <v>80</v>
      </c>
      <c r="W6477" t="s">
        <v>81</v>
      </c>
      <c r="X6477" t="s">
        <v>58</v>
      </c>
      <c r="Y6477">
        <v>23</v>
      </c>
      <c r="Z6477" t="s">
        <v>59</v>
      </c>
      <c r="AA6477" t="s">
        <v>59</v>
      </c>
      <c r="AB6477" t="s">
        <v>59</v>
      </c>
      <c r="AC6477" t="s">
        <v>59</v>
      </c>
      <c r="AD6477" t="s">
        <v>59</v>
      </c>
      <c r="AF6477" s="1">
        <v>40043</v>
      </c>
      <c r="AG6477" t="s">
        <v>8645</v>
      </c>
      <c r="AH6477" t="s">
        <v>8646</v>
      </c>
      <c r="AI6477" t="str">
        <f>"9170525"</f>
        <v>9170525</v>
      </c>
      <c r="AJ6477" t="s">
        <v>8853</v>
      </c>
      <c r="AK6477">
        <v>2810256547</v>
      </c>
      <c r="AL6477" t="s">
        <v>8854</v>
      </c>
      <c r="AM6477" t="s">
        <v>78</v>
      </c>
      <c r="AN6477" t="s">
        <v>78</v>
      </c>
      <c r="AO6477" t="s">
        <v>78</v>
      </c>
      <c r="AP6477" t="s">
        <v>141</v>
      </c>
      <c r="AQ6477">
        <v>1</v>
      </c>
      <c r="AR6477" t="s">
        <v>80</v>
      </c>
      <c r="AS6477" t="s">
        <v>81</v>
      </c>
      <c r="AT6477" t="s">
        <v>58</v>
      </c>
      <c r="AU6477" t="s">
        <v>68</v>
      </c>
      <c r="AV6477" t="s">
        <v>69</v>
      </c>
      <c r="AW6477" s="1">
        <v>31436</v>
      </c>
      <c r="AX6477">
        <v>1</v>
      </c>
    </row>
    <row r="6478" spans="1:50">
      <c r="A6478">
        <v>613281</v>
      </c>
      <c r="B6478" t="str">
        <f>"122299542"</f>
        <v>122299542</v>
      </c>
      <c r="C6478" t="s">
        <v>50</v>
      </c>
      <c r="D6478" t="s">
        <v>3060</v>
      </c>
      <c r="E6478" t="s">
        <v>10943</v>
      </c>
      <c r="F6478" t="s">
        <v>53</v>
      </c>
      <c r="G6478" t="s">
        <v>250</v>
      </c>
      <c r="H6478" t="str">
        <f>"ΜΕΓΑΛΟ ΧΩΡΙΟ ΤΗΛΟΥ ΤΗΛΟΣ"</f>
        <v>ΜΕΓΑΛΟ ΧΩΡΙΟ ΤΗΛΟΥ ΤΗΛΟΣ</v>
      </c>
      <c r="I6478">
        <v>85002</v>
      </c>
      <c r="J6478">
        <v>2246044268</v>
      </c>
      <c r="K6478">
        <v>6932650744</v>
      </c>
      <c r="N6478" t="s">
        <v>615</v>
      </c>
      <c r="O6478" t="s">
        <v>616</v>
      </c>
      <c r="R6478" t="s">
        <v>57</v>
      </c>
      <c r="S6478">
        <v>6</v>
      </c>
      <c r="T6478">
        <v>598</v>
      </c>
      <c r="U6478" s="1">
        <v>39310</v>
      </c>
      <c r="V6478" t="s">
        <v>80</v>
      </c>
      <c r="W6478" t="s">
        <v>81</v>
      </c>
      <c r="X6478" t="s">
        <v>58</v>
      </c>
      <c r="Y6478">
        <v>23</v>
      </c>
      <c r="Z6478" t="s">
        <v>59</v>
      </c>
      <c r="AA6478" t="s">
        <v>59</v>
      </c>
      <c r="AB6478" t="s">
        <v>59</v>
      </c>
      <c r="AC6478" t="s">
        <v>59</v>
      </c>
      <c r="AD6478" t="s">
        <v>59</v>
      </c>
      <c r="AF6478" s="1">
        <v>39310</v>
      </c>
      <c r="AG6478" t="s">
        <v>8645</v>
      </c>
      <c r="AH6478" t="s">
        <v>8646</v>
      </c>
      <c r="AI6478" t="str">
        <f>"9521411"</f>
        <v>9521411</v>
      </c>
      <c r="AJ6478" t="s">
        <v>9007</v>
      </c>
      <c r="AK6478">
        <v>2810824954</v>
      </c>
      <c r="AL6478" t="s">
        <v>9008</v>
      </c>
      <c r="AM6478" t="s">
        <v>78</v>
      </c>
      <c r="AN6478" t="s">
        <v>129</v>
      </c>
      <c r="AO6478" t="s">
        <v>130</v>
      </c>
      <c r="AP6478" t="s">
        <v>130</v>
      </c>
      <c r="AQ6478">
        <v>1</v>
      </c>
      <c r="AR6478" t="s">
        <v>80</v>
      </c>
      <c r="AS6478" t="s">
        <v>81</v>
      </c>
      <c r="AT6478" t="s">
        <v>58</v>
      </c>
      <c r="AU6478" t="s">
        <v>68</v>
      </c>
      <c r="AV6478" t="s">
        <v>69</v>
      </c>
      <c r="AW6478" s="1">
        <v>29141</v>
      </c>
      <c r="AX6478">
        <v>1</v>
      </c>
    </row>
    <row r="6479" spans="1:50">
      <c r="B6479" t="str">
        <f>"075479096"</f>
        <v>075479096</v>
      </c>
      <c r="C6479" t="s">
        <v>105</v>
      </c>
      <c r="D6479" t="s">
        <v>10944</v>
      </c>
      <c r="E6479" t="s">
        <v>670</v>
      </c>
      <c r="F6479" t="s">
        <v>95</v>
      </c>
      <c r="G6479" t="s">
        <v>340</v>
      </c>
      <c r="H6479" t="str">
        <f>"ΕΒΡΟΣ ΝΕΑ ΒΥΣΣΑ"</f>
        <v>ΕΒΡΟΣ ΝΕΑ ΒΥΣΣΑ</v>
      </c>
      <c r="I6479">
        <v>68001</v>
      </c>
      <c r="J6479">
        <v>2552072001</v>
      </c>
      <c r="K6479">
        <v>6945386264</v>
      </c>
      <c r="N6479" t="s">
        <v>176</v>
      </c>
      <c r="O6479" t="s">
        <v>177</v>
      </c>
      <c r="R6479" t="s">
        <v>159</v>
      </c>
      <c r="S6479">
        <v>4</v>
      </c>
      <c r="T6479" t="s">
        <v>8675</v>
      </c>
      <c r="U6479" s="1">
        <v>43348</v>
      </c>
      <c r="V6479" t="s">
        <v>80</v>
      </c>
      <c r="W6479" t="s">
        <v>81</v>
      </c>
      <c r="X6479" t="s">
        <v>58</v>
      </c>
      <c r="Y6479">
        <v>24</v>
      </c>
      <c r="Z6479" t="s">
        <v>59</v>
      </c>
      <c r="AA6479" t="s">
        <v>59</v>
      </c>
      <c r="AB6479" t="s">
        <v>59</v>
      </c>
      <c r="AC6479" t="s">
        <v>59</v>
      </c>
      <c r="AD6479" t="s">
        <v>59</v>
      </c>
      <c r="AF6479" s="1">
        <v>43348</v>
      </c>
      <c r="AG6479" t="s">
        <v>8645</v>
      </c>
      <c r="AH6479" t="s">
        <v>8646</v>
      </c>
      <c r="AI6479" t="str">
        <f>"9170055"</f>
        <v>9170055</v>
      </c>
      <c r="AJ6479" t="s">
        <v>8836</v>
      </c>
      <c r="AK6479">
        <v>2810255097</v>
      </c>
      <c r="AL6479" t="s">
        <v>8837</v>
      </c>
      <c r="AM6479" t="s">
        <v>78</v>
      </c>
      <c r="AN6479" t="s">
        <v>78</v>
      </c>
      <c r="AO6479" t="s">
        <v>78</v>
      </c>
      <c r="AP6479" t="s">
        <v>141</v>
      </c>
      <c r="AQ6479">
        <v>1</v>
      </c>
      <c r="AR6479" t="s">
        <v>80</v>
      </c>
      <c r="AS6479" t="s">
        <v>81</v>
      </c>
      <c r="AT6479" t="s">
        <v>58</v>
      </c>
      <c r="AU6479" t="s">
        <v>8673</v>
      </c>
      <c r="AV6479" t="s">
        <v>132</v>
      </c>
      <c r="AW6479" s="1">
        <v>26829</v>
      </c>
      <c r="AX6479">
        <v>1</v>
      </c>
    </row>
    <row r="6480" spans="1:50">
      <c r="A6480">
        <v>551284</v>
      </c>
      <c r="B6480" t="str">
        <f>"027868937"</f>
        <v>027868937</v>
      </c>
      <c r="C6480" t="s">
        <v>105</v>
      </c>
      <c r="D6480" t="s">
        <v>3062</v>
      </c>
      <c r="E6480" t="s">
        <v>84</v>
      </c>
      <c r="F6480" t="s">
        <v>3329</v>
      </c>
      <c r="G6480" t="s">
        <v>237</v>
      </c>
      <c r="H6480" t="str">
        <f>"Λ. ΙΩΝΙΑΣ 19 ΤΡΙΑ ΠΕΥΚΑ"</f>
        <v>Λ. ΙΩΝΙΑΣ 19 ΤΡΙΑ ΠΕΥΚΑ</v>
      </c>
      <c r="I6480">
        <v>71306</v>
      </c>
      <c r="J6480">
        <v>2810323273</v>
      </c>
      <c r="K6480">
        <v>6973290602</v>
      </c>
      <c r="N6480" t="s">
        <v>615</v>
      </c>
      <c r="O6480" t="s">
        <v>616</v>
      </c>
      <c r="R6480" t="s">
        <v>57</v>
      </c>
      <c r="S6480">
        <v>17</v>
      </c>
      <c r="T6480">
        <v>271</v>
      </c>
      <c r="U6480" s="1">
        <v>30923</v>
      </c>
      <c r="V6480" t="s">
        <v>80</v>
      </c>
      <c r="W6480" t="s">
        <v>81</v>
      </c>
      <c r="X6480" t="s">
        <v>58</v>
      </c>
      <c r="Y6480">
        <v>21</v>
      </c>
      <c r="Z6480" t="s">
        <v>59</v>
      </c>
      <c r="AA6480" t="s">
        <v>59</v>
      </c>
      <c r="AB6480" t="s">
        <v>59</v>
      </c>
      <c r="AC6480" t="s">
        <v>59</v>
      </c>
      <c r="AD6480" t="s">
        <v>59</v>
      </c>
      <c r="AF6480" s="1">
        <v>30929</v>
      </c>
      <c r="AG6480" t="s">
        <v>8645</v>
      </c>
      <c r="AH6480" t="s">
        <v>8646</v>
      </c>
      <c r="AI6480" t="str">
        <f>"9170196"</f>
        <v>9170196</v>
      </c>
      <c r="AJ6480" t="s">
        <v>9255</v>
      </c>
      <c r="AK6480">
        <v>2810283356</v>
      </c>
      <c r="AL6480" t="s">
        <v>9256</v>
      </c>
      <c r="AM6480" t="s">
        <v>78</v>
      </c>
      <c r="AN6480" t="s">
        <v>78</v>
      </c>
      <c r="AO6480" t="s">
        <v>78</v>
      </c>
      <c r="AP6480" t="s">
        <v>79</v>
      </c>
      <c r="AQ6480">
        <v>1</v>
      </c>
      <c r="AR6480" t="s">
        <v>80</v>
      </c>
      <c r="AS6480" t="s">
        <v>81</v>
      </c>
      <c r="AT6480" t="s">
        <v>58</v>
      </c>
      <c r="AU6480" t="s">
        <v>68</v>
      </c>
      <c r="AV6480" t="s">
        <v>69</v>
      </c>
      <c r="AW6480" s="1">
        <v>21766</v>
      </c>
      <c r="AX6480">
        <v>1</v>
      </c>
    </row>
    <row r="6481" spans="1:50">
      <c r="A6481">
        <v>573740</v>
      </c>
      <c r="B6481" t="str">
        <f>"041837930"</f>
        <v>041837930</v>
      </c>
      <c r="C6481" t="s">
        <v>50</v>
      </c>
      <c r="D6481" t="s">
        <v>10945</v>
      </c>
      <c r="E6481" t="s">
        <v>112</v>
      </c>
      <c r="F6481" t="s">
        <v>95</v>
      </c>
      <c r="G6481" t="s">
        <v>52</v>
      </c>
      <c r="H6481" t="str">
        <f>"Λ. 62 ΜΑΡΤΥΡΩΝ 65 ΗΡΑΚΛΕΙΟ"</f>
        <v>Λ. 62 ΜΑΡΤΥΡΩΝ 65 ΗΡΑΚΛΕΙΟ</v>
      </c>
      <c r="I6481">
        <v>71304</v>
      </c>
      <c r="J6481">
        <v>2810253284</v>
      </c>
      <c r="K6481">
        <v>6932869060</v>
      </c>
      <c r="N6481" t="s">
        <v>615</v>
      </c>
      <c r="O6481" t="s">
        <v>616</v>
      </c>
      <c r="R6481" t="s">
        <v>57</v>
      </c>
      <c r="S6481">
        <v>13</v>
      </c>
      <c r="T6481">
        <v>160</v>
      </c>
      <c r="U6481" s="1">
        <v>34582</v>
      </c>
      <c r="V6481" t="s">
        <v>80</v>
      </c>
      <c r="W6481" t="s">
        <v>81</v>
      </c>
      <c r="X6481" t="s">
        <v>58</v>
      </c>
      <c r="Y6481">
        <v>21</v>
      </c>
      <c r="Z6481" t="s">
        <v>59</v>
      </c>
      <c r="AA6481" t="s">
        <v>59</v>
      </c>
      <c r="AB6481" t="s">
        <v>59</v>
      </c>
      <c r="AC6481" t="s">
        <v>59</v>
      </c>
      <c r="AD6481" t="s">
        <v>59</v>
      </c>
      <c r="AF6481" s="1">
        <v>34582</v>
      </c>
      <c r="AG6481" t="s">
        <v>8645</v>
      </c>
      <c r="AH6481" t="s">
        <v>8646</v>
      </c>
      <c r="AI6481" t="str">
        <f>"9170054"</f>
        <v>9170054</v>
      </c>
      <c r="AJ6481" t="s">
        <v>9106</v>
      </c>
      <c r="AK6481">
        <v>2810254527</v>
      </c>
      <c r="AL6481" t="s">
        <v>9107</v>
      </c>
      <c r="AM6481" t="s">
        <v>78</v>
      </c>
      <c r="AN6481" t="s">
        <v>78</v>
      </c>
      <c r="AO6481" t="s">
        <v>78</v>
      </c>
      <c r="AP6481" t="s">
        <v>163</v>
      </c>
      <c r="AQ6481">
        <v>1</v>
      </c>
      <c r="AR6481" t="s">
        <v>80</v>
      </c>
      <c r="AS6481" t="s">
        <v>81</v>
      </c>
      <c r="AT6481" t="s">
        <v>58</v>
      </c>
      <c r="AU6481" t="s">
        <v>68</v>
      </c>
      <c r="AV6481" t="s">
        <v>69</v>
      </c>
      <c r="AW6481" s="1">
        <v>24514</v>
      </c>
      <c r="AX6481">
        <v>1</v>
      </c>
    </row>
    <row r="6482" spans="1:50">
      <c r="B6482" t="str">
        <f>"070958101"</f>
        <v>070958101</v>
      </c>
      <c r="C6482" t="s">
        <v>50</v>
      </c>
      <c r="D6482" t="s">
        <v>10945</v>
      </c>
      <c r="E6482" t="s">
        <v>3150</v>
      </c>
      <c r="F6482" t="s">
        <v>975</v>
      </c>
      <c r="G6482" t="s">
        <v>250</v>
      </c>
      <c r="H6482" t="str">
        <f>"ΡΟΔΩΝ 4 ΗΡΑΚΛΕΙΟ"</f>
        <v>ΡΟΔΩΝ 4 ΗΡΑΚΛΕΙΟ</v>
      </c>
      <c r="I6482">
        <v>71306</v>
      </c>
      <c r="J6482">
        <v>2810220190</v>
      </c>
      <c r="K6482">
        <v>6945409587</v>
      </c>
      <c r="N6482" t="s">
        <v>306</v>
      </c>
      <c r="O6482" t="s">
        <v>307</v>
      </c>
      <c r="R6482" t="s">
        <v>159</v>
      </c>
      <c r="S6482">
        <v>4</v>
      </c>
      <c r="T6482" t="s">
        <v>8675</v>
      </c>
      <c r="U6482" s="1">
        <v>43348</v>
      </c>
      <c r="V6482" t="s">
        <v>80</v>
      </c>
      <c r="W6482" t="s">
        <v>81</v>
      </c>
      <c r="X6482" t="s">
        <v>58</v>
      </c>
      <c r="Y6482">
        <v>24</v>
      </c>
      <c r="Z6482" t="s">
        <v>59</v>
      </c>
      <c r="AA6482" t="s">
        <v>59</v>
      </c>
      <c r="AB6482" t="s">
        <v>59</v>
      </c>
      <c r="AC6482" t="s">
        <v>59</v>
      </c>
      <c r="AD6482" t="s">
        <v>59</v>
      </c>
      <c r="AF6482" s="1">
        <v>43348</v>
      </c>
      <c r="AG6482" t="s">
        <v>8645</v>
      </c>
      <c r="AH6482" t="s">
        <v>8646</v>
      </c>
      <c r="AI6482" t="str">
        <f>"9170519"</f>
        <v>9170519</v>
      </c>
      <c r="AJ6482" t="s">
        <v>8647</v>
      </c>
      <c r="AK6482">
        <v>2810244075</v>
      </c>
      <c r="AL6482" t="s">
        <v>8648</v>
      </c>
      <c r="AM6482" t="s">
        <v>78</v>
      </c>
      <c r="AN6482" t="s">
        <v>78</v>
      </c>
      <c r="AO6482" t="s">
        <v>78</v>
      </c>
      <c r="AP6482" t="s">
        <v>213</v>
      </c>
      <c r="AQ6482">
        <v>1</v>
      </c>
      <c r="AR6482" t="s">
        <v>80</v>
      </c>
      <c r="AS6482" t="s">
        <v>81</v>
      </c>
      <c r="AT6482" t="s">
        <v>58</v>
      </c>
      <c r="AU6482" t="s">
        <v>8673</v>
      </c>
      <c r="AV6482" t="s">
        <v>132</v>
      </c>
      <c r="AW6482" s="1">
        <v>28375</v>
      </c>
      <c r="AX6482">
        <v>1</v>
      </c>
    </row>
    <row r="6483" spans="1:50">
      <c r="B6483" t="str">
        <f>"138974073"</f>
        <v>138974073</v>
      </c>
      <c r="C6483" t="s">
        <v>50</v>
      </c>
      <c r="D6483" t="s">
        <v>3064</v>
      </c>
      <c r="E6483" t="s">
        <v>10946</v>
      </c>
      <c r="F6483" t="s">
        <v>106</v>
      </c>
      <c r="G6483" t="s">
        <v>255</v>
      </c>
      <c r="H6483" t="str">
        <f>" "</f>
        <v xml:space="preserve"> </v>
      </c>
      <c r="N6483" t="s">
        <v>8834</v>
      </c>
      <c r="O6483" t="s">
        <v>8695</v>
      </c>
      <c r="R6483" t="s">
        <v>159</v>
      </c>
      <c r="S6483">
        <v>3</v>
      </c>
      <c r="T6483" t="s">
        <v>8835</v>
      </c>
      <c r="U6483" s="1">
        <v>43348</v>
      </c>
      <c r="V6483" t="s">
        <v>80</v>
      </c>
      <c r="W6483" t="s">
        <v>81</v>
      </c>
      <c r="X6483" t="s">
        <v>58</v>
      </c>
      <c r="Y6483">
        <v>24</v>
      </c>
      <c r="Z6483" t="s">
        <v>59</v>
      </c>
      <c r="AA6483" t="s">
        <v>59</v>
      </c>
      <c r="AB6483" t="s">
        <v>59</v>
      </c>
      <c r="AD6483" t="s">
        <v>59</v>
      </c>
      <c r="AF6483" s="1">
        <v>43348</v>
      </c>
      <c r="AG6483" t="s">
        <v>8645</v>
      </c>
      <c r="AH6483" t="s">
        <v>8646</v>
      </c>
      <c r="AI6483" t="str">
        <f>"9170108"</f>
        <v>9170108</v>
      </c>
      <c r="AJ6483" t="s">
        <v>8863</v>
      </c>
      <c r="AK6483">
        <v>2810232111</v>
      </c>
      <c r="AL6483" t="s">
        <v>8864</v>
      </c>
      <c r="AM6483" t="s">
        <v>78</v>
      </c>
      <c r="AN6483" t="s">
        <v>78</v>
      </c>
      <c r="AO6483" t="s">
        <v>78</v>
      </c>
      <c r="AP6483" t="s">
        <v>163</v>
      </c>
      <c r="AQ6483">
        <v>1</v>
      </c>
      <c r="AR6483" t="s">
        <v>80</v>
      </c>
      <c r="AS6483" t="s">
        <v>81</v>
      </c>
      <c r="AT6483" t="s">
        <v>58</v>
      </c>
      <c r="AU6483" t="s">
        <v>131</v>
      </c>
      <c r="AV6483" t="s">
        <v>132</v>
      </c>
      <c r="AW6483" s="1">
        <v>32023</v>
      </c>
      <c r="AX6483">
        <v>1</v>
      </c>
    </row>
    <row r="6484" spans="1:50">
      <c r="A6484">
        <v>702102</v>
      </c>
      <c r="B6484" t="str">
        <f>"103651837"</f>
        <v>103651837</v>
      </c>
      <c r="C6484" t="s">
        <v>50</v>
      </c>
      <c r="D6484" t="s">
        <v>3064</v>
      </c>
      <c r="E6484" t="s">
        <v>52</v>
      </c>
      <c r="F6484" t="s">
        <v>10947</v>
      </c>
      <c r="G6484" t="s">
        <v>755</v>
      </c>
      <c r="H6484" t="str">
        <f>"ΑΓ.ΠΑΡΑΣΚΕΥΗΣ 65 ΜΟΙΡΕΣ ΗΡΑΚΛΕΙΟΥ"</f>
        <v>ΑΓ.ΠΑΡΑΣΚΕΥΗΣ 65 ΜΟΙΡΕΣ ΗΡΑΚΛΕΙΟΥ</v>
      </c>
      <c r="I6484">
        <v>70400</v>
      </c>
      <c r="J6484">
        <v>2892023564</v>
      </c>
      <c r="K6484">
        <v>6932231513</v>
      </c>
      <c r="N6484" t="s">
        <v>615</v>
      </c>
      <c r="O6484" t="s">
        <v>616</v>
      </c>
      <c r="R6484" t="s">
        <v>57</v>
      </c>
      <c r="S6484">
        <v>4</v>
      </c>
      <c r="T6484">
        <v>722</v>
      </c>
      <c r="U6484" s="1">
        <v>40413</v>
      </c>
      <c r="V6484" t="s">
        <v>80</v>
      </c>
      <c r="W6484" t="s">
        <v>81</v>
      </c>
      <c r="X6484" t="s">
        <v>58</v>
      </c>
      <c r="Y6484">
        <v>24</v>
      </c>
      <c r="Z6484" t="s">
        <v>59</v>
      </c>
      <c r="AA6484" t="s">
        <v>59</v>
      </c>
      <c r="AB6484" t="s">
        <v>59</v>
      </c>
      <c r="AC6484" t="s">
        <v>59</v>
      </c>
      <c r="AD6484" t="s">
        <v>59</v>
      </c>
      <c r="AF6484" s="1">
        <v>40413</v>
      </c>
      <c r="AG6484" t="s">
        <v>8645</v>
      </c>
      <c r="AH6484" t="s">
        <v>8646</v>
      </c>
      <c r="AI6484" t="str">
        <f>"9170495"</f>
        <v>9170495</v>
      </c>
      <c r="AJ6484" t="s">
        <v>8838</v>
      </c>
      <c r="AK6484">
        <v>2892023325</v>
      </c>
      <c r="AL6484" t="s">
        <v>8839</v>
      </c>
      <c r="AM6484" t="s">
        <v>78</v>
      </c>
      <c r="AN6484" t="s">
        <v>242</v>
      </c>
      <c r="AO6484" t="s">
        <v>243</v>
      </c>
      <c r="AP6484" t="s">
        <v>243</v>
      </c>
      <c r="AQ6484">
        <v>20</v>
      </c>
      <c r="AR6484" t="s">
        <v>80</v>
      </c>
      <c r="AS6484" t="s">
        <v>81</v>
      </c>
      <c r="AT6484" t="s">
        <v>58</v>
      </c>
      <c r="AU6484" t="s">
        <v>68</v>
      </c>
      <c r="AV6484" t="s">
        <v>69</v>
      </c>
      <c r="AW6484" s="1">
        <v>29798</v>
      </c>
      <c r="AX6484">
        <v>1</v>
      </c>
    </row>
    <row r="6485" spans="1:50">
      <c r="A6485">
        <v>580074</v>
      </c>
      <c r="B6485" t="str">
        <f>"044832883"</f>
        <v>044832883</v>
      </c>
      <c r="C6485" t="s">
        <v>50</v>
      </c>
      <c r="D6485" t="s">
        <v>10948</v>
      </c>
      <c r="E6485" t="s">
        <v>620</v>
      </c>
      <c r="F6485" t="s">
        <v>450</v>
      </c>
      <c r="G6485" t="s">
        <v>83</v>
      </c>
      <c r="H6485" t="str">
        <f>"ΣΤΕΦΑΝΟΥ ΔΕΛΗ 2 ΗΡΑΚΛΕΙΟ"</f>
        <v>ΣΤΕΦΑΝΟΥ ΔΕΛΗ 2 ΗΡΑΚΛΕΙΟ</v>
      </c>
      <c r="I6485">
        <v>71409</v>
      </c>
      <c r="J6485">
        <v>2810322420</v>
      </c>
      <c r="K6485">
        <v>6976507777</v>
      </c>
      <c r="M6485" t="s">
        <v>10949</v>
      </c>
      <c r="N6485" t="s">
        <v>306</v>
      </c>
      <c r="O6485" t="s">
        <v>307</v>
      </c>
      <c r="R6485" t="s">
        <v>57</v>
      </c>
      <c r="S6485">
        <v>15</v>
      </c>
      <c r="T6485">
        <v>166</v>
      </c>
      <c r="U6485" s="1">
        <v>35300</v>
      </c>
      <c r="V6485" t="s">
        <v>80</v>
      </c>
      <c r="W6485" t="s">
        <v>81</v>
      </c>
      <c r="X6485" t="s">
        <v>58</v>
      </c>
      <c r="Y6485">
        <v>21</v>
      </c>
      <c r="Z6485" t="s">
        <v>59</v>
      </c>
      <c r="AA6485" t="s">
        <v>59</v>
      </c>
      <c r="AB6485" t="s">
        <v>59</v>
      </c>
      <c r="AC6485" t="s">
        <v>59</v>
      </c>
      <c r="AD6485" t="s">
        <v>59</v>
      </c>
      <c r="AF6485" s="1">
        <v>35310</v>
      </c>
      <c r="AG6485" t="s">
        <v>8645</v>
      </c>
      <c r="AH6485" t="s">
        <v>8646</v>
      </c>
      <c r="AI6485" t="str">
        <f>"9170428"</f>
        <v>9170428</v>
      </c>
      <c r="AJ6485" t="s">
        <v>8983</v>
      </c>
      <c r="AK6485">
        <v>2810234768</v>
      </c>
      <c r="AL6485" t="s">
        <v>8984</v>
      </c>
      <c r="AM6485" t="s">
        <v>78</v>
      </c>
      <c r="AN6485" t="s">
        <v>78</v>
      </c>
      <c r="AO6485" t="s">
        <v>78</v>
      </c>
      <c r="AP6485" t="s">
        <v>79</v>
      </c>
      <c r="AQ6485">
        <v>1</v>
      </c>
      <c r="AR6485" t="s">
        <v>80</v>
      </c>
      <c r="AS6485" t="s">
        <v>81</v>
      </c>
      <c r="AT6485" t="s">
        <v>58</v>
      </c>
      <c r="AU6485" t="s">
        <v>68</v>
      </c>
      <c r="AV6485" t="s">
        <v>69</v>
      </c>
      <c r="AW6485" s="1">
        <v>22888</v>
      </c>
      <c r="AX6485">
        <v>1</v>
      </c>
    </row>
    <row r="6486" spans="1:50">
      <c r="B6486" t="str">
        <f>"142265818"</f>
        <v>142265818</v>
      </c>
      <c r="C6486" t="s">
        <v>50</v>
      </c>
      <c r="D6486" t="s">
        <v>10950</v>
      </c>
      <c r="E6486" t="s">
        <v>699</v>
      </c>
      <c r="F6486" t="s">
        <v>72</v>
      </c>
      <c r="G6486" t="s">
        <v>809</v>
      </c>
      <c r="H6486" t="str">
        <f>"ΑΡΑΠΙΤΣΗΣ 4 "</f>
        <v xml:space="preserve">ΑΡΑΠΙΤΣΗΣ 4 </v>
      </c>
      <c r="I6486">
        <v>58400</v>
      </c>
      <c r="J6486">
        <v>2384023816</v>
      </c>
      <c r="K6486">
        <v>6977687112</v>
      </c>
      <c r="M6486" t="s">
        <v>10951</v>
      </c>
      <c r="N6486" t="s">
        <v>615</v>
      </c>
      <c r="O6486" t="s">
        <v>616</v>
      </c>
      <c r="R6486" t="s">
        <v>159</v>
      </c>
      <c r="S6486">
        <v>2</v>
      </c>
      <c r="T6486" t="s">
        <v>8675</v>
      </c>
      <c r="U6486" s="1">
        <v>43348</v>
      </c>
      <c r="V6486" t="s">
        <v>80</v>
      </c>
      <c r="W6486" t="s">
        <v>81</v>
      </c>
      <c r="X6486" t="s">
        <v>58</v>
      </c>
      <c r="Y6486">
        <v>24</v>
      </c>
      <c r="Z6486" t="s">
        <v>59</v>
      </c>
      <c r="AA6486" t="s">
        <v>59</v>
      </c>
      <c r="AB6486" t="s">
        <v>59</v>
      </c>
      <c r="AC6486" t="s">
        <v>59</v>
      </c>
      <c r="AD6486" t="s">
        <v>59</v>
      </c>
      <c r="AF6486" s="1">
        <v>43348</v>
      </c>
      <c r="AG6486" t="s">
        <v>8645</v>
      </c>
      <c r="AH6486" t="s">
        <v>8646</v>
      </c>
      <c r="AI6486" t="str">
        <f>"9170043"</f>
        <v>9170043</v>
      </c>
      <c r="AJ6486" t="s">
        <v>8883</v>
      </c>
      <c r="AK6486">
        <v>2894022075</v>
      </c>
      <c r="AL6486" t="s">
        <v>8884</v>
      </c>
      <c r="AM6486" t="s">
        <v>78</v>
      </c>
      <c r="AN6486" t="s">
        <v>405</v>
      </c>
      <c r="AO6486" t="s">
        <v>406</v>
      </c>
      <c r="AP6486" t="s">
        <v>8885</v>
      </c>
      <c r="AQ6486">
        <v>6</v>
      </c>
      <c r="AR6486" t="s">
        <v>80</v>
      </c>
      <c r="AS6486" t="s">
        <v>81</v>
      </c>
      <c r="AT6486" t="s">
        <v>58</v>
      </c>
      <c r="AU6486" t="s">
        <v>8673</v>
      </c>
      <c r="AV6486" t="s">
        <v>132</v>
      </c>
      <c r="AW6486" s="1">
        <v>32423</v>
      </c>
      <c r="AX6486">
        <v>1</v>
      </c>
    </row>
    <row r="6487" spans="1:50">
      <c r="A6487">
        <v>574670</v>
      </c>
      <c r="B6487" t="str">
        <f>"066360917"</f>
        <v>066360917</v>
      </c>
      <c r="C6487" t="s">
        <v>50</v>
      </c>
      <c r="D6487" t="s">
        <v>10952</v>
      </c>
      <c r="E6487" t="s">
        <v>7276</v>
      </c>
      <c r="F6487" t="s">
        <v>95</v>
      </c>
      <c r="G6487" t="s">
        <v>553</v>
      </c>
      <c r="H6487" t="str">
        <f>"ΓΟΡΤΥΝΗΣ 72 ΚΑΜΙΝΙΑ ΗΡΑΚΛΕΙΟΥ"</f>
        <v>ΓΟΡΤΥΝΗΣ 72 ΚΑΜΙΝΙΑ ΗΡΑΚΛΕΙΟΥ</v>
      </c>
      <c r="I6487">
        <v>71303</v>
      </c>
      <c r="J6487">
        <v>2810255639</v>
      </c>
      <c r="K6487">
        <v>6979892544</v>
      </c>
      <c r="N6487" t="s">
        <v>306</v>
      </c>
      <c r="O6487" t="s">
        <v>307</v>
      </c>
      <c r="R6487" t="s">
        <v>57</v>
      </c>
      <c r="S6487">
        <v>12</v>
      </c>
      <c r="T6487">
        <v>158</v>
      </c>
      <c r="U6487" s="1">
        <v>34582</v>
      </c>
      <c r="V6487" t="s">
        <v>80</v>
      </c>
      <c r="W6487" t="s">
        <v>81</v>
      </c>
      <c r="X6487" t="s">
        <v>58</v>
      </c>
      <c r="Y6487">
        <v>21</v>
      </c>
      <c r="Z6487" t="s">
        <v>59</v>
      </c>
      <c r="AA6487" t="s">
        <v>59</v>
      </c>
      <c r="AB6487" t="s">
        <v>59</v>
      </c>
      <c r="AC6487" t="s">
        <v>59</v>
      </c>
      <c r="AD6487" t="s">
        <v>59</v>
      </c>
      <c r="AF6487" s="1">
        <v>34582</v>
      </c>
      <c r="AG6487" t="s">
        <v>8645</v>
      </c>
      <c r="AH6487" t="s">
        <v>8646</v>
      </c>
      <c r="AI6487" t="str">
        <f>"9170017"</f>
        <v>9170017</v>
      </c>
      <c r="AJ6487" t="s">
        <v>9114</v>
      </c>
      <c r="AK6487">
        <v>2810250746</v>
      </c>
      <c r="AL6487" t="s">
        <v>9115</v>
      </c>
      <c r="AM6487" t="s">
        <v>78</v>
      </c>
      <c r="AN6487" t="s">
        <v>129</v>
      </c>
      <c r="AO6487" t="s">
        <v>130</v>
      </c>
      <c r="AP6487" t="s">
        <v>130</v>
      </c>
      <c r="AQ6487">
        <v>1</v>
      </c>
      <c r="AR6487" t="s">
        <v>80</v>
      </c>
      <c r="AS6487" t="s">
        <v>81</v>
      </c>
      <c r="AT6487" t="s">
        <v>58</v>
      </c>
      <c r="AU6487" t="s">
        <v>68</v>
      </c>
      <c r="AV6487" t="s">
        <v>69</v>
      </c>
      <c r="AW6487" s="1">
        <v>24043</v>
      </c>
      <c r="AX6487">
        <v>1</v>
      </c>
    </row>
    <row r="6488" spans="1:50">
      <c r="B6488" t="str">
        <f>"153095450"</f>
        <v>153095450</v>
      </c>
      <c r="C6488" t="s">
        <v>50</v>
      </c>
      <c r="D6488" t="s">
        <v>10953</v>
      </c>
      <c r="E6488" t="s">
        <v>83</v>
      </c>
      <c r="F6488" t="s">
        <v>53</v>
      </c>
      <c r="G6488" t="s">
        <v>191</v>
      </c>
      <c r="H6488" t="str">
        <f>"ΘΕΡΜΟΠΥΛΩΝ 19 "</f>
        <v xml:space="preserve">ΘΕΡΜΟΠΥΛΩΝ 19 </v>
      </c>
      <c r="I6488">
        <v>60100</v>
      </c>
      <c r="J6488">
        <v>2351062886</v>
      </c>
      <c r="K6488">
        <v>6976416836</v>
      </c>
      <c r="N6488" t="s">
        <v>8694</v>
      </c>
      <c r="O6488" t="s">
        <v>8695</v>
      </c>
      <c r="R6488" t="s">
        <v>159</v>
      </c>
      <c r="S6488">
        <v>4</v>
      </c>
      <c r="T6488" t="s">
        <v>8696</v>
      </c>
      <c r="U6488" s="1">
        <v>43348</v>
      </c>
      <c r="V6488" t="s">
        <v>80</v>
      </c>
      <c r="W6488" t="s">
        <v>81</v>
      </c>
      <c r="X6488" t="s">
        <v>58</v>
      </c>
      <c r="Y6488">
        <v>24</v>
      </c>
      <c r="Z6488" t="s">
        <v>59</v>
      </c>
      <c r="AA6488" t="s">
        <v>59</v>
      </c>
      <c r="AB6488" t="s">
        <v>59</v>
      </c>
      <c r="AC6488" t="s">
        <v>59</v>
      </c>
      <c r="AD6488" t="s">
        <v>59</v>
      </c>
      <c r="AF6488" s="1">
        <v>43348</v>
      </c>
      <c r="AG6488" t="s">
        <v>8645</v>
      </c>
      <c r="AH6488" t="s">
        <v>8697</v>
      </c>
      <c r="AI6488" t="str">
        <f>"9170511"</f>
        <v>9170511</v>
      </c>
      <c r="AJ6488" t="s">
        <v>8698</v>
      </c>
      <c r="AK6488">
        <v>2810316275</v>
      </c>
      <c r="AL6488" t="s">
        <v>8699</v>
      </c>
      <c r="AM6488" t="s">
        <v>78</v>
      </c>
      <c r="AN6488" t="s">
        <v>78</v>
      </c>
      <c r="AO6488" t="s">
        <v>78</v>
      </c>
      <c r="AP6488" t="s">
        <v>141</v>
      </c>
      <c r="AQ6488">
        <v>1</v>
      </c>
      <c r="AR6488" t="s">
        <v>80</v>
      </c>
      <c r="AS6488" t="s">
        <v>81</v>
      </c>
      <c r="AT6488" t="s">
        <v>58</v>
      </c>
      <c r="AU6488" t="s">
        <v>350</v>
      </c>
      <c r="AV6488" t="s">
        <v>132</v>
      </c>
      <c r="AW6488" s="1">
        <v>32641</v>
      </c>
      <c r="AX6488">
        <v>1</v>
      </c>
    </row>
    <row r="6489" spans="1:50">
      <c r="A6489">
        <v>621152</v>
      </c>
      <c r="B6489" t="str">
        <f>"139846779"</f>
        <v>139846779</v>
      </c>
      <c r="C6489" t="s">
        <v>50</v>
      </c>
      <c r="D6489" t="s">
        <v>10954</v>
      </c>
      <c r="E6489" t="s">
        <v>3477</v>
      </c>
      <c r="F6489" t="s">
        <v>1357</v>
      </c>
      <c r="G6489" t="s">
        <v>181</v>
      </c>
      <c r="H6489" t="str">
        <f>"ΣΚΑΛΑΝΙ ΗΡΑΚΛΕΙΟΥ"</f>
        <v>ΣΚΑΛΑΝΙ ΗΡΑΚΛΕΙΟΥ</v>
      </c>
      <c r="I6489">
        <v>71500</v>
      </c>
      <c r="K6489">
        <v>6973573364</v>
      </c>
      <c r="N6489" t="s">
        <v>615</v>
      </c>
      <c r="O6489" t="s">
        <v>616</v>
      </c>
      <c r="R6489" t="s">
        <v>57</v>
      </c>
      <c r="S6489">
        <v>5</v>
      </c>
      <c r="T6489">
        <v>653</v>
      </c>
      <c r="U6489" s="1">
        <v>40043</v>
      </c>
      <c r="V6489" t="s">
        <v>80</v>
      </c>
      <c r="W6489" t="s">
        <v>81</v>
      </c>
      <c r="X6489" t="s">
        <v>58</v>
      </c>
      <c r="Y6489">
        <v>23</v>
      </c>
      <c r="Z6489" t="s">
        <v>59</v>
      </c>
      <c r="AA6489" t="s">
        <v>59</v>
      </c>
      <c r="AB6489" t="s">
        <v>59</v>
      </c>
      <c r="AC6489" t="s">
        <v>59</v>
      </c>
      <c r="AD6489" t="s">
        <v>59</v>
      </c>
      <c r="AF6489" s="1">
        <v>40045</v>
      </c>
      <c r="AG6489" t="s">
        <v>8645</v>
      </c>
      <c r="AH6489" t="s">
        <v>8646</v>
      </c>
      <c r="AI6489" t="str">
        <f>"9170200"</f>
        <v>9170200</v>
      </c>
      <c r="AJ6489" t="s">
        <v>9589</v>
      </c>
      <c r="AK6489">
        <v>2810741264</v>
      </c>
      <c r="AL6489" t="s">
        <v>9590</v>
      </c>
      <c r="AM6489" t="s">
        <v>78</v>
      </c>
      <c r="AN6489" t="s">
        <v>424</v>
      </c>
      <c r="AO6489" t="s">
        <v>428</v>
      </c>
      <c r="AP6489" t="s">
        <v>9591</v>
      </c>
      <c r="AQ6489">
        <v>11</v>
      </c>
      <c r="AR6489" t="s">
        <v>80</v>
      </c>
      <c r="AS6489" t="s">
        <v>81</v>
      </c>
      <c r="AT6489" t="s">
        <v>58</v>
      </c>
      <c r="AU6489" t="s">
        <v>68</v>
      </c>
      <c r="AV6489" t="s">
        <v>69</v>
      </c>
      <c r="AW6489" s="1">
        <v>30812</v>
      </c>
      <c r="AX6489">
        <v>1</v>
      </c>
    </row>
    <row r="6490" spans="1:50">
      <c r="A6490">
        <v>593201</v>
      </c>
      <c r="B6490" t="str">
        <f>"065100728"</f>
        <v>065100728</v>
      </c>
      <c r="C6490" t="s">
        <v>50</v>
      </c>
      <c r="D6490" t="s">
        <v>3075</v>
      </c>
      <c r="E6490" t="s">
        <v>54</v>
      </c>
      <c r="F6490" t="s">
        <v>383</v>
      </c>
      <c r="G6490" t="s">
        <v>215</v>
      </c>
      <c r="H6490" t="str">
        <f>"ΛΑΟΔΑΜΑΝΤΟΣ 18 ΗΡΑΚΛΕΙΟ"</f>
        <v>ΛΑΟΔΑΜΑΝΤΟΣ 18 ΗΡΑΚΛΕΙΟ</v>
      </c>
      <c r="I6490">
        <v>71409</v>
      </c>
      <c r="J6490">
        <v>2810314184</v>
      </c>
      <c r="K6490">
        <v>6977412940</v>
      </c>
      <c r="N6490" t="s">
        <v>615</v>
      </c>
      <c r="O6490" t="s">
        <v>616</v>
      </c>
      <c r="R6490" t="s">
        <v>57</v>
      </c>
      <c r="S6490">
        <v>9</v>
      </c>
      <c r="T6490">
        <v>218</v>
      </c>
      <c r="U6490" s="1">
        <v>37134</v>
      </c>
      <c r="V6490" t="s">
        <v>80</v>
      </c>
      <c r="W6490" t="s">
        <v>81</v>
      </c>
      <c r="X6490" t="s">
        <v>58</v>
      </c>
      <c r="Y6490">
        <v>22</v>
      </c>
      <c r="Z6490" t="s">
        <v>59</v>
      </c>
      <c r="AA6490" t="s">
        <v>59</v>
      </c>
      <c r="AB6490" t="s">
        <v>59</v>
      </c>
      <c r="AC6490" t="s">
        <v>59</v>
      </c>
      <c r="AD6490" t="s">
        <v>59</v>
      </c>
      <c r="AF6490" s="1">
        <v>37137</v>
      </c>
      <c r="AG6490" t="s">
        <v>8645</v>
      </c>
      <c r="AH6490" t="s">
        <v>8646</v>
      </c>
      <c r="AI6490" t="str">
        <f>"9170190"</f>
        <v>9170190</v>
      </c>
      <c r="AJ6490" t="s">
        <v>8689</v>
      </c>
      <c r="AK6490">
        <v>2810232169</v>
      </c>
      <c r="AL6490" t="s">
        <v>8690</v>
      </c>
      <c r="AM6490" t="s">
        <v>78</v>
      </c>
      <c r="AN6490" t="s">
        <v>78</v>
      </c>
      <c r="AO6490" t="s">
        <v>78</v>
      </c>
      <c r="AP6490" t="s">
        <v>163</v>
      </c>
      <c r="AQ6490">
        <v>1</v>
      </c>
      <c r="AR6490" t="s">
        <v>80</v>
      </c>
      <c r="AS6490" t="s">
        <v>81</v>
      </c>
      <c r="AT6490" t="s">
        <v>58</v>
      </c>
      <c r="AU6490" t="s">
        <v>68</v>
      </c>
      <c r="AV6490" t="s">
        <v>69</v>
      </c>
      <c r="AW6490" s="1">
        <v>28455</v>
      </c>
      <c r="AX6490">
        <v>1</v>
      </c>
    </row>
    <row r="6491" spans="1:50">
      <c r="A6491">
        <v>565500</v>
      </c>
      <c r="B6491" t="str">
        <f>"037878256"</f>
        <v>037878256</v>
      </c>
      <c r="C6491" t="s">
        <v>105</v>
      </c>
      <c r="D6491" t="s">
        <v>10955</v>
      </c>
      <c r="E6491" t="s">
        <v>95</v>
      </c>
      <c r="F6491" t="s">
        <v>53</v>
      </c>
      <c r="G6491" t="s">
        <v>250</v>
      </c>
      <c r="H6491" t="str">
        <f>"ΚΑΡΤΕΡΟΣ ΗΡΑΚΛΕΙΟΥ"</f>
        <v>ΚΑΡΤΕΡΟΣ ΗΡΑΚΛΕΙΟΥ</v>
      </c>
      <c r="I6491">
        <v>71500</v>
      </c>
      <c r="J6491">
        <v>2810380565</v>
      </c>
      <c r="K6491">
        <v>6973698714</v>
      </c>
      <c r="N6491" t="s">
        <v>615</v>
      </c>
      <c r="O6491" t="s">
        <v>616</v>
      </c>
      <c r="R6491" t="s">
        <v>57</v>
      </c>
      <c r="S6491">
        <v>14</v>
      </c>
      <c r="T6491">
        <v>161</v>
      </c>
      <c r="U6491" s="1">
        <v>33119</v>
      </c>
      <c r="V6491" t="s">
        <v>80</v>
      </c>
      <c r="W6491" t="s">
        <v>81</v>
      </c>
      <c r="X6491" t="s">
        <v>58</v>
      </c>
      <c r="Y6491">
        <v>21</v>
      </c>
      <c r="Z6491" t="s">
        <v>59</v>
      </c>
      <c r="AA6491" t="s">
        <v>59</v>
      </c>
      <c r="AB6491" t="s">
        <v>59</v>
      </c>
      <c r="AC6491" t="s">
        <v>59</v>
      </c>
      <c r="AD6491" t="s">
        <v>59</v>
      </c>
      <c r="AF6491" s="1">
        <v>33121</v>
      </c>
      <c r="AG6491" t="s">
        <v>8645</v>
      </c>
      <c r="AH6491" t="s">
        <v>8646</v>
      </c>
      <c r="AI6491" t="str">
        <f>"9170264"</f>
        <v>9170264</v>
      </c>
      <c r="AJ6491" t="s">
        <v>8718</v>
      </c>
      <c r="AK6491">
        <v>2810332030</v>
      </c>
      <c r="AL6491" t="s">
        <v>8719</v>
      </c>
      <c r="AM6491" t="s">
        <v>78</v>
      </c>
      <c r="AN6491" t="s">
        <v>78</v>
      </c>
      <c r="AO6491" t="s">
        <v>286</v>
      </c>
      <c r="AP6491" t="s">
        <v>286</v>
      </c>
      <c r="AQ6491">
        <v>1</v>
      </c>
      <c r="AR6491" t="s">
        <v>80</v>
      </c>
      <c r="AS6491" t="s">
        <v>81</v>
      </c>
      <c r="AT6491" t="s">
        <v>58</v>
      </c>
      <c r="AU6491" t="s">
        <v>68</v>
      </c>
      <c r="AV6491" t="s">
        <v>69</v>
      </c>
      <c r="AW6491" s="1">
        <v>22498</v>
      </c>
      <c r="AX6491">
        <v>1</v>
      </c>
    </row>
    <row r="6492" spans="1:50">
      <c r="B6492" t="str">
        <f>"070343978"</f>
        <v>070343978</v>
      </c>
      <c r="C6492" t="s">
        <v>50</v>
      </c>
      <c r="D6492" t="s">
        <v>3080</v>
      </c>
      <c r="E6492" t="s">
        <v>52</v>
      </c>
      <c r="F6492" t="s">
        <v>95</v>
      </c>
      <c r="G6492" t="s">
        <v>314</v>
      </c>
      <c r="H6492" t="str">
        <f>"ΑΝΩΓΕΙΩΝ 25 "</f>
        <v xml:space="preserve">ΑΝΩΓΕΙΩΝ 25 </v>
      </c>
      <c r="I6492">
        <v>71414</v>
      </c>
      <c r="J6492">
        <v>2810822844</v>
      </c>
      <c r="K6492">
        <v>6944777706</v>
      </c>
      <c r="N6492" t="s">
        <v>9829</v>
      </c>
      <c r="O6492" t="s">
        <v>9830</v>
      </c>
      <c r="R6492" t="s">
        <v>159</v>
      </c>
      <c r="S6492">
        <v>5</v>
      </c>
      <c r="T6492" t="s">
        <v>8696</v>
      </c>
      <c r="U6492" s="1">
        <v>43348</v>
      </c>
      <c r="V6492" t="s">
        <v>80</v>
      </c>
      <c r="W6492" t="s">
        <v>81</v>
      </c>
      <c r="X6492" t="s">
        <v>58</v>
      </c>
      <c r="Y6492">
        <v>25</v>
      </c>
      <c r="Z6492" t="s">
        <v>59</v>
      </c>
      <c r="AA6492" t="s">
        <v>59</v>
      </c>
      <c r="AB6492" t="s">
        <v>59</v>
      </c>
      <c r="AC6492" t="s">
        <v>59</v>
      </c>
      <c r="AD6492" t="s">
        <v>59</v>
      </c>
      <c r="AF6492" s="1">
        <v>43348</v>
      </c>
      <c r="AG6492" t="s">
        <v>8651</v>
      </c>
      <c r="AH6492" t="s">
        <v>8652</v>
      </c>
      <c r="AI6492" t="str">
        <f>"9170457"</f>
        <v>9170457</v>
      </c>
      <c r="AJ6492" t="s">
        <v>10081</v>
      </c>
      <c r="AK6492">
        <v>2810823321</v>
      </c>
      <c r="AL6492" t="s">
        <v>10082</v>
      </c>
      <c r="AM6492" t="s">
        <v>78</v>
      </c>
      <c r="AN6492" t="s">
        <v>129</v>
      </c>
      <c r="AO6492" t="s">
        <v>130</v>
      </c>
      <c r="AP6492" t="s">
        <v>130</v>
      </c>
      <c r="AQ6492">
        <v>1</v>
      </c>
      <c r="AR6492" t="s">
        <v>80</v>
      </c>
      <c r="AS6492" t="s">
        <v>81</v>
      </c>
      <c r="AT6492" t="s">
        <v>58</v>
      </c>
      <c r="AU6492" t="s">
        <v>350</v>
      </c>
      <c r="AV6492" t="s">
        <v>132</v>
      </c>
      <c r="AW6492" s="1">
        <v>31302</v>
      </c>
      <c r="AX6492">
        <v>1</v>
      </c>
    </row>
    <row r="6493" spans="1:50">
      <c r="A6493">
        <v>600941</v>
      </c>
      <c r="B6493" t="str">
        <f>"035032661"</f>
        <v>035032661</v>
      </c>
      <c r="C6493" t="s">
        <v>50</v>
      </c>
      <c r="D6493" t="s">
        <v>10956</v>
      </c>
      <c r="E6493" t="s">
        <v>1279</v>
      </c>
      <c r="F6493" t="s">
        <v>4730</v>
      </c>
      <c r="G6493" t="s">
        <v>1367</v>
      </c>
      <c r="H6493" t="str">
        <f>"ΔΗΜΗΤΡΙΟΥ ΜΑΚΡΗ 62 ΗΡΑΚΛΕΙΟ"</f>
        <v>ΔΗΜΗΤΡΙΟΥ ΜΑΚΡΗ 62 ΗΡΑΚΛΕΙΟ</v>
      </c>
      <c r="I6493">
        <v>71304</v>
      </c>
      <c r="J6493">
        <v>2810258475</v>
      </c>
      <c r="K6493">
        <v>6938676116</v>
      </c>
      <c r="N6493" t="s">
        <v>615</v>
      </c>
      <c r="O6493" t="s">
        <v>616</v>
      </c>
      <c r="R6493" t="s">
        <v>57</v>
      </c>
      <c r="S6493">
        <v>10</v>
      </c>
      <c r="T6493">
        <v>207</v>
      </c>
      <c r="U6493" s="1">
        <v>37866</v>
      </c>
      <c r="V6493" t="s">
        <v>80</v>
      </c>
      <c r="W6493" t="s">
        <v>81</v>
      </c>
      <c r="X6493" t="s">
        <v>58</v>
      </c>
      <c r="Y6493">
        <v>22</v>
      </c>
      <c r="Z6493" t="s">
        <v>59</v>
      </c>
      <c r="AA6493" t="s">
        <v>59</v>
      </c>
      <c r="AB6493" t="s">
        <v>59</v>
      </c>
      <c r="AC6493" t="s">
        <v>59</v>
      </c>
      <c r="AD6493" t="s">
        <v>59</v>
      </c>
      <c r="AF6493" s="1">
        <v>37866</v>
      </c>
      <c r="AG6493" t="s">
        <v>8645</v>
      </c>
      <c r="AH6493" t="s">
        <v>8646</v>
      </c>
      <c r="AI6493" t="str">
        <f>"9170512"</f>
        <v>9170512</v>
      </c>
      <c r="AJ6493" t="s">
        <v>8986</v>
      </c>
      <c r="AK6493">
        <v>2810253082</v>
      </c>
      <c r="AL6493" t="s">
        <v>8987</v>
      </c>
      <c r="AM6493" t="s">
        <v>78</v>
      </c>
      <c r="AN6493" t="s">
        <v>78</v>
      </c>
      <c r="AO6493" t="s">
        <v>78</v>
      </c>
      <c r="AP6493" t="s">
        <v>141</v>
      </c>
      <c r="AQ6493">
        <v>1</v>
      </c>
      <c r="AR6493" t="s">
        <v>80</v>
      </c>
      <c r="AS6493" t="s">
        <v>81</v>
      </c>
      <c r="AT6493" t="s">
        <v>58</v>
      </c>
      <c r="AU6493" t="s">
        <v>68</v>
      </c>
      <c r="AV6493" t="s">
        <v>69</v>
      </c>
      <c r="AW6493" s="1">
        <v>27748</v>
      </c>
      <c r="AX6493">
        <v>1</v>
      </c>
    </row>
    <row r="6494" spans="1:50">
      <c r="A6494">
        <v>606246</v>
      </c>
      <c r="B6494" t="str">
        <f>"110111583"</f>
        <v>110111583</v>
      </c>
      <c r="C6494" t="s">
        <v>50</v>
      </c>
      <c r="D6494" t="s">
        <v>10957</v>
      </c>
      <c r="E6494" t="s">
        <v>10958</v>
      </c>
      <c r="F6494" t="s">
        <v>99</v>
      </c>
      <c r="G6494" t="s">
        <v>530</v>
      </c>
      <c r="H6494" t="str">
        <f>"ΑΝΤ.ΚΑΣΤΡΙΝΑΚΗ 85 ΗΡΑΚΛΕΙΟ"</f>
        <v>ΑΝΤ.ΚΑΣΤΡΙΝΑΚΗ 85 ΗΡΑΚΛΕΙΟ</v>
      </c>
      <c r="I6494">
        <v>71305</v>
      </c>
      <c r="J6494">
        <v>2810324241</v>
      </c>
      <c r="K6494">
        <v>6947729020</v>
      </c>
      <c r="M6494" t="s">
        <v>10959</v>
      </c>
      <c r="N6494" t="s">
        <v>1525</v>
      </c>
      <c r="O6494" t="s">
        <v>1526</v>
      </c>
      <c r="R6494" t="s">
        <v>57</v>
      </c>
      <c r="S6494">
        <v>7</v>
      </c>
      <c r="T6494">
        <v>231</v>
      </c>
      <c r="U6494" s="1">
        <v>38230</v>
      </c>
      <c r="V6494" t="s">
        <v>80</v>
      </c>
      <c r="W6494" t="s">
        <v>81</v>
      </c>
      <c r="X6494" t="s">
        <v>58</v>
      </c>
      <c r="Y6494">
        <v>25</v>
      </c>
      <c r="Z6494" t="s">
        <v>59</v>
      </c>
      <c r="AA6494" t="s">
        <v>59</v>
      </c>
      <c r="AB6494" t="s">
        <v>59</v>
      </c>
      <c r="AC6494" t="s">
        <v>59</v>
      </c>
      <c r="AD6494" t="s">
        <v>59</v>
      </c>
      <c r="AF6494" s="1">
        <v>38231</v>
      </c>
      <c r="AG6494" t="s">
        <v>8651</v>
      </c>
      <c r="AH6494" t="s">
        <v>8652</v>
      </c>
      <c r="AI6494" t="str">
        <f>"9170587"</f>
        <v>9170587</v>
      </c>
      <c r="AJ6494" t="s">
        <v>10197</v>
      </c>
      <c r="AK6494">
        <v>2810212554</v>
      </c>
      <c r="AL6494" t="s">
        <v>10198</v>
      </c>
      <c r="AM6494" t="s">
        <v>78</v>
      </c>
      <c r="AN6494" t="s">
        <v>78</v>
      </c>
      <c r="AO6494" t="s">
        <v>78</v>
      </c>
      <c r="AP6494" t="s">
        <v>163</v>
      </c>
      <c r="AQ6494">
        <v>1</v>
      </c>
      <c r="AR6494" t="s">
        <v>80</v>
      </c>
      <c r="AS6494" t="s">
        <v>81</v>
      </c>
      <c r="AT6494" t="s">
        <v>58</v>
      </c>
      <c r="AU6494" t="s">
        <v>68</v>
      </c>
      <c r="AV6494" t="s">
        <v>69</v>
      </c>
      <c r="AW6494" s="1">
        <v>27923</v>
      </c>
      <c r="AX6494">
        <v>1</v>
      </c>
    </row>
    <row r="6495" spans="1:50">
      <c r="B6495" t="str">
        <f>"145163579"</f>
        <v>145163579</v>
      </c>
      <c r="C6495" t="s">
        <v>50</v>
      </c>
      <c r="D6495" t="s">
        <v>10960</v>
      </c>
      <c r="E6495" t="s">
        <v>707</v>
      </c>
      <c r="F6495" t="s">
        <v>53</v>
      </c>
      <c r="G6495" t="s">
        <v>134</v>
      </c>
      <c r="H6495" t="str">
        <f>" "</f>
        <v xml:space="preserve"> </v>
      </c>
      <c r="K6495">
        <v>6987332408</v>
      </c>
      <c r="M6495" t="s">
        <v>10961</v>
      </c>
      <c r="N6495" t="s">
        <v>8834</v>
      </c>
      <c r="O6495" t="s">
        <v>8695</v>
      </c>
      <c r="R6495" t="s">
        <v>159</v>
      </c>
      <c r="S6495">
        <v>3</v>
      </c>
      <c r="T6495" t="s">
        <v>8835</v>
      </c>
      <c r="U6495" s="1">
        <v>43348</v>
      </c>
      <c r="V6495" t="s">
        <v>80</v>
      </c>
      <c r="W6495" t="s">
        <v>81</v>
      </c>
      <c r="X6495" t="s">
        <v>58</v>
      </c>
      <c r="Y6495">
        <v>24</v>
      </c>
      <c r="Z6495" t="s">
        <v>59</v>
      </c>
      <c r="AA6495" t="s">
        <v>59</v>
      </c>
      <c r="AB6495" t="s">
        <v>59</v>
      </c>
      <c r="AD6495" t="s">
        <v>59</v>
      </c>
      <c r="AF6495" s="1">
        <v>43348</v>
      </c>
      <c r="AG6495" t="s">
        <v>8645</v>
      </c>
      <c r="AH6495" t="s">
        <v>8646</v>
      </c>
      <c r="AI6495" t="str">
        <f>"9170120"</f>
        <v>9170120</v>
      </c>
      <c r="AJ6495" t="s">
        <v>9237</v>
      </c>
      <c r="AK6495">
        <v>2810881577</v>
      </c>
      <c r="AL6495" t="s">
        <v>9238</v>
      </c>
      <c r="AM6495" t="s">
        <v>78</v>
      </c>
      <c r="AN6495" t="s">
        <v>78</v>
      </c>
      <c r="AO6495" t="s">
        <v>78</v>
      </c>
      <c r="AP6495" t="s">
        <v>9239</v>
      </c>
      <c r="AQ6495">
        <v>1</v>
      </c>
      <c r="AR6495" t="s">
        <v>80</v>
      </c>
      <c r="AS6495" t="s">
        <v>81</v>
      </c>
      <c r="AT6495" t="s">
        <v>58</v>
      </c>
      <c r="AU6495" t="s">
        <v>131</v>
      </c>
      <c r="AV6495" t="s">
        <v>132</v>
      </c>
      <c r="AW6495" s="1">
        <v>33216</v>
      </c>
      <c r="AX6495">
        <v>1</v>
      </c>
    </row>
    <row r="6496" spans="1:50">
      <c r="A6496">
        <v>622064</v>
      </c>
      <c r="B6496" t="str">
        <f>"114579496"</f>
        <v>114579496</v>
      </c>
      <c r="C6496" t="s">
        <v>50</v>
      </c>
      <c r="D6496" t="s">
        <v>10962</v>
      </c>
      <c r="E6496" t="s">
        <v>6196</v>
      </c>
      <c r="F6496" t="s">
        <v>95</v>
      </c>
      <c r="G6496" t="s">
        <v>372</v>
      </c>
      <c r="H6496" t="str">
        <f>"ΒΩΜ 3 ΧΑΝΙΑ"</f>
        <v>ΒΩΜ 3 ΧΑΝΙΑ</v>
      </c>
      <c r="I6496">
        <v>73100</v>
      </c>
      <c r="J6496">
        <v>2823041125</v>
      </c>
      <c r="K6496">
        <v>6978922670</v>
      </c>
      <c r="M6496" t="s">
        <v>10963</v>
      </c>
      <c r="N6496" t="s">
        <v>615</v>
      </c>
      <c r="O6496" t="s">
        <v>616</v>
      </c>
      <c r="R6496" t="s">
        <v>57</v>
      </c>
      <c r="S6496">
        <v>5</v>
      </c>
      <c r="T6496">
        <v>653</v>
      </c>
      <c r="U6496" s="1">
        <v>40043</v>
      </c>
      <c r="V6496" t="s">
        <v>80</v>
      </c>
      <c r="W6496" t="s">
        <v>81</v>
      </c>
      <c r="X6496" t="s">
        <v>58</v>
      </c>
      <c r="Y6496">
        <v>23</v>
      </c>
      <c r="Z6496" t="s">
        <v>59</v>
      </c>
      <c r="AA6496" t="s">
        <v>59</v>
      </c>
      <c r="AB6496" t="s">
        <v>452</v>
      </c>
      <c r="AC6496" t="s">
        <v>59</v>
      </c>
      <c r="AD6496" t="s">
        <v>59</v>
      </c>
      <c r="AF6496" s="1">
        <v>40045</v>
      </c>
      <c r="AG6496" t="s">
        <v>8645</v>
      </c>
      <c r="AH6496" t="s">
        <v>8646</v>
      </c>
      <c r="AI6496" t="str">
        <f>"9521091"</f>
        <v>9521091</v>
      </c>
      <c r="AJ6496" t="s">
        <v>8959</v>
      </c>
      <c r="AK6496">
        <v>2810370360</v>
      </c>
      <c r="AL6496" t="s">
        <v>8960</v>
      </c>
      <c r="AM6496" t="s">
        <v>78</v>
      </c>
      <c r="AN6496" t="s">
        <v>129</v>
      </c>
      <c r="AO6496" t="s">
        <v>130</v>
      </c>
      <c r="AP6496" t="s">
        <v>130</v>
      </c>
      <c r="AQ6496">
        <v>1</v>
      </c>
      <c r="AR6496" t="s">
        <v>80</v>
      </c>
      <c r="AS6496" t="s">
        <v>81</v>
      </c>
      <c r="AT6496" t="s">
        <v>58</v>
      </c>
      <c r="AU6496" t="s">
        <v>68</v>
      </c>
      <c r="AV6496" t="s">
        <v>69</v>
      </c>
      <c r="AW6496" s="1">
        <v>30922</v>
      </c>
      <c r="AX6496">
        <v>1</v>
      </c>
    </row>
    <row r="6497" spans="1:50">
      <c r="A6497">
        <v>702171</v>
      </c>
      <c r="B6497" t="str">
        <f>"123692990"</f>
        <v>123692990</v>
      </c>
      <c r="C6497" t="s">
        <v>50</v>
      </c>
      <c r="D6497" t="s">
        <v>10964</v>
      </c>
      <c r="E6497" t="s">
        <v>112</v>
      </c>
      <c r="F6497" t="s">
        <v>95</v>
      </c>
      <c r="G6497" t="s">
        <v>727</v>
      </c>
      <c r="H6497" t="str">
        <f>"ΟΔΗΓΗΤΡΙΑΣ 12 ΜΟΙΡΕΣ"</f>
        <v>ΟΔΗΓΗΤΡΙΑΣ 12 ΜΟΙΡΕΣ</v>
      </c>
      <c r="I6497">
        <v>70400</v>
      </c>
      <c r="J6497">
        <v>2892023786</v>
      </c>
      <c r="K6497">
        <v>6975703914</v>
      </c>
      <c r="N6497" t="s">
        <v>615</v>
      </c>
      <c r="O6497" t="s">
        <v>616</v>
      </c>
      <c r="R6497" t="s">
        <v>57</v>
      </c>
      <c r="S6497">
        <v>4</v>
      </c>
      <c r="T6497">
        <v>772</v>
      </c>
      <c r="U6497" s="1">
        <v>40413</v>
      </c>
      <c r="V6497" t="s">
        <v>80</v>
      </c>
      <c r="W6497" t="s">
        <v>81</v>
      </c>
      <c r="X6497" t="s">
        <v>58</v>
      </c>
      <c r="Y6497">
        <v>24</v>
      </c>
      <c r="Z6497" t="s">
        <v>59</v>
      </c>
      <c r="AA6497" t="s">
        <v>59</v>
      </c>
      <c r="AB6497" t="s">
        <v>59</v>
      </c>
      <c r="AC6497" t="s">
        <v>59</v>
      </c>
      <c r="AD6497" t="s">
        <v>59</v>
      </c>
      <c r="AF6497" s="1">
        <v>40413</v>
      </c>
      <c r="AG6497" t="s">
        <v>8645</v>
      </c>
      <c r="AH6497" t="s">
        <v>8646</v>
      </c>
      <c r="AI6497" t="str">
        <f>"9170267"</f>
        <v>9170267</v>
      </c>
      <c r="AJ6497" t="s">
        <v>8840</v>
      </c>
      <c r="AK6497">
        <v>2892022320</v>
      </c>
      <c r="AL6497" t="s">
        <v>8841</v>
      </c>
      <c r="AM6497" t="s">
        <v>78</v>
      </c>
      <c r="AN6497" t="s">
        <v>242</v>
      </c>
      <c r="AO6497" t="s">
        <v>243</v>
      </c>
      <c r="AP6497" t="s">
        <v>243</v>
      </c>
      <c r="AQ6497">
        <v>20</v>
      </c>
      <c r="AR6497" t="s">
        <v>80</v>
      </c>
      <c r="AS6497" t="s">
        <v>81</v>
      </c>
      <c r="AT6497" t="s">
        <v>58</v>
      </c>
      <c r="AU6497" t="s">
        <v>68</v>
      </c>
      <c r="AV6497" t="s">
        <v>69</v>
      </c>
      <c r="AW6497" s="1">
        <v>31832</v>
      </c>
      <c r="AX6497">
        <v>1</v>
      </c>
    </row>
    <row r="6498" spans="1:50">
      <c r="A6498">
        <v>613176</v>
      </c>
      <c r="B6498" t="str">
        <f>"119691276"</f>
        <v>119691276</v>
      </c>
      <c r="C6498" t="s">
        <v>50</v>
      </c>
      <c r="D6498" t="s">
        <v>3088</v>
      </c>
      <c r="E6498" t="s">
        <v>237</v>
      </c>
      <c r="F6498" t="s">
        <v>53</v>
      </c>
      <c r="G6498" t="s">
        <v>143</v>
      </c>
      <c r="H6498" t="str">
        <f>"ΑΧΕΠΑΝΣ 24 ΗΡΑΚΛΕΙΟ"</f>
        <v>ΑΧΕΠΑΝΣ 24 ΗΡΑΚΛΕΙΟ</v>
      </c>
      <c r="I6498">
        <v>71307</v>
      </c>
      <c r="J6498">
        <v>2810322636</v>
      </c>
      <c r="K6498">
        <v>6947997718</v>
      </c>
      <c r="N6498" t="s">
        <v>615</v>
      </c>
      <c r="O6498" t="s">
        <v>616</v>
      </c>
      <c r="R6498" t="s">
        <v>57</v>
      </c>
      <c r="S6498">
        <v>6</v>
      </c>
      <c r="T6498">
        <v>598</v>
      </c>
      <c r="U6498" s="1">
        <v>39310</v>
      </c>
      <c r="V6498" t="s">
        <v>80</v>
      </c>
      <c r="W6498" t="s">
        <v>81</v>
      </c>
      <c r="X6498" t="s">
        <v>58</v>
      </c>
      <c r="Y6498">
        <v>23</v>
      </c>
      <c r="Z6498" t="s">
        <v>59</v>
      </c>
      <c r="AA6498" t="s">
        <v>59</v>
      </c>
      <c r="AB6498" t="s">
        <v>59</v>
      </c>
      <c r="AC6498" t="s">
        <v>59</v>
      </c>
      <c r="AD6498" t="s">
        <v>59</v>
      </c>
      <c r="AF6498" s="1">
        <v>39328</v>
      </c>
      <c r="AG6498" t="s">
        <v>8645</v>
      </c>
      <c r="AH6498" t="s">
        <v>8646</v>
      </c>
      <c r="AI6498" t="str">
        <f>"9170535"</f>
        <v>9170535</v>
      </c>
      <c r="AJ6498" t="s">
        <v>9330</v>
      </c>
      <c r="AK6498">
        <v>2810222629</v>
      </c>
      <c r="AL6498" t="s">
        <v>9331</v>
      </c>
      <c r="AM6498" t="s">
        <v>78</v>
      </c>
      <c r="AN6498" t="s">
        <v>78</v>
      </c>
      <c r="AO6498" t="s">
        <v>78</v>
      </c>
      <c r="AP6498" t="s">
        <v>213</v>
      </c>
      <c r="AQ6498">
        <v>1</v>
      </c>
      <c r="AR6498" t="s">
        <v>80</v>
      </c>
      <c r="AS6498" t="s">
        <v>81</v>
      </c>
      <c r="AT6498" t="s">
        <v>58</v>
      </c>
      <c r="AU6498" t="s">
        <v>68</v>
      </c>
      <c r="AV6498" t="s">
        <v>69</v>
      </c>
      <c r="AW6498" s="1">
        <v>30291</v>
      </c>
      <c r="AX6498">
        <v>1</v>
      </c>
    </row>
    <row r="6499" spans="1:50">
      <c r="A6499">
        <v>610175</v>
      </c>
      <c r="B6499" t="str">
        <f>"103504825"</f>
        <v>103504825</v>
      </c>
      <c r="C6499" t="s">
        <v>50</v>
      </c>
      <c r="D6499" t="s">
        <v>3088</v>
      </c>
      <c r="E6499" t="s">
        <v>755</v>
      </c>
      <c r="F6499" t="s">
        <v>166</v>
      </c>
      <c r="G6499" t="s">
        <v>255</v>
      </c>
      <c r="H6499" t="str">
        <f>" "</f>
        <v xml:space="preserve"> </v>
      </c>
      <c r="J6499">
        <v>2810212929</v>
      </c>
      <c r="K6499">
        <v>6974188275</v>
      </c>
      <c r="N6499" t="s">
        <v>615</v>
      </c>
      <c r="O6499" t="s">
        <v>616</v>
      </c>
      <c r="R6499" t="s">
        <v>57</v>
      </c>
      <c r="S6499">
        <v>9</v>
      </c>
      <c r="T6499">
        <v>233</v>
      </c>
      <c r="U6499" s="1">
        <v>38960</v>
      </c>
      <c r="V6499" t="s">
        <v>80</v>
      </c>
      <c r="W6499" t="s">
        <v>81</v>
      </c>
      <c r="X6499" t="s">
        <v>58</v>
      </c>
      <c r="Y6499">
        <v>23</v>
      </c>
      <c r="Z6499" t="s">
        <v>59</v>
      </c>
      <c r="AA6499" t="s">
        <v>59</v>
      </c>
      <c r="AB6499" t="s">
        <v>59</v>
      </c>
      <c r="AC6499" t="s">
        <v>59</v>
      </c>
      <c r="AD6499" t="s">
        <v>59</v>
      </c>
      <c r="AF6499" s="1">
        <v>38961</v>
      </c>
      <c r="AG6499" t="s">
        <v>8645</v>
      </c>
      <c r="AH6499" t="s">
        <v>8646</v>
      </c>
      <c r="AI6499" t="str">
        <f>"9170519"</f>
        <v>9170519</v>
      </c>
      <c r="AJ6499" t="s">
        <v>8647</v>
      </c>
      <c r="AK6499">
        <v>2810244075</v>
      </c>
      <c r="AL6499" t="s">
        <v>8648</v>
      </c>
      <c r="AM6499" t="s">
        <v>78</v>
      </c>
      <c r="AN6499" t="s">
        <v>78</v>
      </c>
      <c r="AO6499" t="s">
        <v>78</v>
      </c>
      <c r="AP6499" t="s">
        <v>213</v>
      </c>
      <c r="AQ6499">
        <v>1</v>
      </c>
      <c r="AR6499" t="s">
        <v>80</v>
      </c>
      <c r="AS6499" t="s">
        <v>81</v>
      </c>
      <c r="AT6499" t="s">
        <v>58</v>
      </c>
      <c r="AU6499" t="s">
        <v>68</v>
      </c>
      <c r="AV6499" t="s">
        <v>69</v>
      </c>
      <c r="AW6499" s="1">
        <v>28983</v>
      </c>
      <c r="AX6499">
        <v>1</v>
      </c>
    </row>
    <row r="6500" spans="1:50">
      <c r="A6500">
        <v>559064</v>
      </c>
      <c r="B6500" t="str">
        <f>"031478538"</f>
        <v>031478538</v>
      </c>
      <c r="C6500" t="s">
        <v>50</v>
      </c>
      <c r="D6500" t="s">
        <v>3088</v>
      </c>
      <c r="E6500" t="s">
        <v>83</v>
      </c>
      <c r="F6500" t="s">
        <v>166</v>
      </c>
      <c r="G6500" t="s">
        <v>52</v>
      </c>
      <c r="H6500" t="str">
        <f>" "</f>
        <v xml:space="preserve"> </v>
      </c>
      <c r="N6500" t="s">
        <v>615</v>
      </c>
      <c r="O6500" t="s">
        <v>616</v>
      </c>
      <c r="R6500" t="s">
        <v>57</v>
      </c>
      <c r="S6500">
        <v>16</v>
      </c>
      <c r="T6500">
        <v>168</v>
      </c>
      <c r="U6500" s="1">
        <v>31870</v>
      </c>
      <c r="V6500" t="s">
        <v>80</v>
      </c>
      <c r="W6500" t="s">
        <v>81</v>
      </c>
      <c r="X6500" t="s">
        <v>58</v>
      </c>
      <c r="Y6500">
        <v>21</v>
      </c>
      <c r="Z6500" t="s">
        <v>59</v>
      </c>
      <c r="AA6500" t="s">
        <v>59</v>
      </c>
      <c r="AB6500" t="s">
        <v>452</v>
      </c>
      <c r="AC6500" t="s">
        <v>59</v>
      </c>
      <c r="AD6500" t="s">
        <v>59</v>
      </c>
      <c r="AF6500" s="1">
        <v>32023</v>
      </c>
      <c r="AG6500" t="s">
        <v>8645</v>
      </c>
      <c r="AH6500" t="s">
        <v>8646</v>
      </c>
      <c r="AI6500" t="str">
        <f>"9170533"</f>
        <v>9170533</v>
      </c>
      <c r="AJ6500" t="s">
        <v>9091</v>
      </c>
      <c r="AK6500">
        <v>2810239434</v>
      </c>
      <c r="AL6500" t="s">
        <v>9092</v>
      </c>
      <c r="AM6500" t="s">
        <v>78</v>
      </c>
      <c r="AN6500" t="s">
        <v>78</v>
      </c>
      <c r="AO6500" t="s">
        <v>78</v>
      </c>
      <c r="AP6500" t="s">
        <v>163</v>
      </c>
      <c r="AQ6500">
        <v>1</v>
      </c>
      <c r="AR6500" t="s">
        <v>80</v>
      </c>
      <c r="AS6500" t="s">
        <v>81</v>
      </c>
      <c r="AT6500" t="s">
        <v>58</v>
      </c>
      <c r="AU6500" t="s">
        <v>68</v>
      </c>
      <c r="AV6500" t="s">
        <v>2039</v>
      </c>
      <c r="AW6500" s="1">
        <v>23783</v>
      </c>
      <c r="AX6500">
        <v>1</v>
      </c>
    </row>
    <row r="6501" spans="1:50">
      <c r="A6501">
        <v>617215</v>
      </c>
      <c r="B6501" t="str">
        <f>"110337639"</f>
        <v>110337639</v>
      </c>
      <c r="C6501" t="s">
        <v>50</v>
      </c>
      <c r="D6501" t="s">
        <v>3088</v>
      </c>
      <c r="E6501" t="s">
        <v>52</v>
      </c>
      <c r="F6501" t="s">
        <v>166</v>
      </c>
      <c r="G6501" t="s">
        <v>316</v>
      </c>
      <c r="H6501" t="str">
        <f>"ΣΟΥΛΙΟΥ 24 ΑΓΙΟΣ ΝΙΚΟΛΑΟΣ"</f>
        <v>ΣΟΥΛΙΟΥ 24 ΑΓΙΟΣ ΝΙΚΟΛΑΟΣ</v>
      </c>
      <c r="I6501">
        <v>72100</v>
      </c>
      <c r="J6501">
        <v>2841024559</v>
      </c>
      <c r="K6501">
        <v>6973306029</v>
      </c>
      <c r="N6501" t="s">
        <v>615</v>
      </c>
      <c r="O6501" t="s">
        <v>616</v>
      </c>
      <c r="R6501" t="s">
        <v>57</v>
      </c>
      <c r="S6501">
        <v>5</v>
      </c>
      <c r="T6501">
        <v>774</v>
      </c>
      <c r="U6501" s="1">
        <v>39680</v>
      </c>
      <c r="V6501" t="s">
        <v>80</v>
      </c>
      <c r="W6501" t="s">
        <v>81</v>
      </c>
      <c r="X6501" t="s">
        <v>58</v>
      </c>
      <c r="Y6501">
        <v>25</v>
      </c>
      <c r="Z6501" t="s">
        <v>59</v>
      </c>
      <c r="AA6501" t="s">
        <v>59</v>
      </c>
      <c r="AB6501" t="s">
        <v>59</v>
      </c>
      <c r="AC6501" t="s">
        <v>59</v>
      </c>
      <c r="AD6501" t="s">
        <v>59</v>
      </c>
      <c r="AF6501" s="1">
        <v>39681</v>
      </c>
      <c r="AG6501" t="s">
        <v>8645</v>
      </c>
      <c r="AH6501" t="s">
        <v>8646</v>
      </c>
      <c r="AI6501" t="str">
        <f>"9170242"</f>
        <v>9170242</v>
      </c>
      <c r="AJ6501" t="s">
        <v>9314</v>
      </c>
      <c r="AK6501">
        <v>2897031254</v>
      </c>
      <c r="AL6501" t="s">
        <v>9315</v>
      </c>
      <c r="AM6501" t="s">
        <v>78</v>
      </c>
      <c r="AN6501" t="s">
        <v>219</v>
      </c>
      <c r="AO6501" t="s">
        <v>527</v>
      </c>
      <c r="AP6501" t="s">
        <v>527</v>
      </c>
      <c r="AQ6501">
        <v>8</v>
      </c>
      <c r="AR6501" t="s">
        <v>80</v>
      </c>
      <c r="AS6501" t="s">
        <v>81</v>
      </c>
      <c r="AT6501" t="s">
        <v>58</v>
      </c>
      <c r="AU6501" t="s">
        <v>68</v>
      </c>
      <c r="AV6501" t="s">
        <v>69</v>
      </c>
      <c r="AW6501" s="1">
        <v>30160</v>
      </c>
      <c r="AX6501">
        <v>1</v>
      </c>
    </row>
    <row r="6502" spans="1:50">
      <c r="A6502">
        <v>607253</v>
      </c>
      <c r="B6502" t="str">
        <f>"126159087"</f>
        <v>126159087</v>
      </c>
      <c r="C6502" t="s">
        <v>50</v>
      </c>
      <c r="D6502" t="s">
        <v>3088</v>
      </c>
      <c r="E6502" t="s">
        <v>52</v>
      </c>
      <c r="F6502" t="s">
        <v>72</v>
      </c>
      <c r="G6502" t="s">
        <v>98</v>
      </c>
      <c r="H6502" t="str">
        <f>"ΘΕΝΩΝ 64 ΗΡΑΚΛΕΙΟ"</f>
        <v>ΘΕΝΩΝ 64 ΗΡΑΚΛΕΙΟ</v>
      </c>
      <c r="I6502">
        <v>71305</v>
      </c>
      <c r="K6502">
        <v>6976402651</v>
      </c>
      <c r="N6502" t="s">
        <v>615</v>
      </c>
      <c r="O6502" t="s">
        <v>616</v>
      </c>
      <c r="R6502" t="s">
        <v>57</v>
      </c>
      <c r="S6502">
        <v>7</v>
      </c>
      <c r="T6502">
        <v>217</v>
      </c>
      <c r="U6502" s="1">
        <v>38596</v>
      </c>
      <c r="V6502" t="s">
        <v>80</v>
      </c>
      <c r="W6502" t="s">
        <v>81</v>
      </c>
      <c r="X6502" t="s">
        <v>58</v>
      </c>
      <c r="Y6502">
        <v>22</v>
      </c>
      <c r="Z6502" t="s">
        <v>59</v>
      </c>
      <c r="AA6502" t="s">
        <v>59</v>
      </c>
      <c r="AB6502" t="s">
        <v>59</v>
      </c>
      <c r="AC6502" t="s">
        <v>59</v>
      </c>
      <c r="AD6502" t="s">
        <v>59</v>
      </c>
      <c r="AF6502" s="1">
        <v>38600</v>
      </c>
      <c r="AG6502" t="s">
        <v>8645</v>
      </c>
      <c r="AH6502" t="s">
        <v>8646</v>
      </c>
      <c r="AI6502" t="str">
        <f>"9170424"</f>
        <v>9170424</v>
      </c>
      <c r="AJ6502" t="s">
        <v>8860</v>
      </c>
      <c r="AK6502">
        <v>2810254530</v>
      </c>
      <c r="AL6502" t="s">
        <v>8861</v>
      </c>
      <c r="AM6502" t="s">
        <v>78</v>
      </c>
      <c r="AN6502" t="s">
        <v>78</v>
      </c>
      <c r="AO6502" t="s">
        <v>78</v>
      </c>
      <c r="AP6502" t="s">
        <v>163</v>
      </c>
      <c r="AQ6502">
        <v>1</v>
      </c>
      <c r="AR6502" t="s">
        <v>80</v>
      </c>
      <c r="AS6502" t="s">
        <v>81</v>
      </c>
      <c r="AT6502" t="s">
        <v>58</v>
      </c>
      <c r="AU6502" t="s">
        <v>68</v>
      </c>
      <c r="AV6502" t="s">
        <v>69</v>
      </c>
      <c r="AW6502" s="1">
        <v>29066</v>
      </c>
      <c r="AX6502">
        <v>1</v>
      </c>
    </row>
    <row r="6503" spans="1:50">
      <c r="A6503">
        <v>594411</v>
      </c>
      <c r="B6503" t="str">
        <f>"073784488"</f>
        <v>073784488</v>
      </c>
      <c r="C6503" t="s">
        <v>50</v>
      </c>
      <c r="D6503" t="s">
        <v>3088</v>
      </c>
      <c r="E6503" t="s">
        <v>7030</v>
      </c>
      <c r="F6503" t="s">
        <v>99</v>
      </c>
      <c r="G6503" t="s">
        <v>52</v>
      </c>
      <c r="H6503" t="str">
        <f>"ΜΕΝΕΞΕΔΩΝ  15 ΜΕΣΑΜΠΕΛΙΕΣ"</f>
        <v>ΜΕΝΕΞΕΔΩΝ  15 ΜΕΣΑΜΠΕΛΙΕΣ</v>
      </c>
      <c r="J6503">
        <v>2810213902</v>
      </c>
      <c r="K6503">
        <v>6947271070</v>
      </c>
      <c r="M6503" t="s">
        <v>10965</v>
      </c>
      <c r="N6503" t="s">
        <v>615</v>
      </c>
      <c r="O6503" t="s">
        <v>616</v>
      </c>
      <c r="R6503" t="s">
        <v>57</v>
      </c>
      <c r="S6503">
        <v>10</v>
      </c>
      <c r="T6503">
        <v>218</v>
      </c>
      <c r="U6503" s="1">
        <v>37134</v>
      </c>
      <c r="V6503" t="s">
        <v>80</v>
      </c>
      <c r="W6503" t="s">
        <v>81</v>
      </c>
      <c r="X6503" t="s">
        <v>58</v>
      </c>
      <c r="Y6503">
        <v>22</v>
      </c>
      <c r="Z6503" t="s">
        <v>59</v>
      </c>
      <c r="AA6503" t="s">
        <v>59</v>
      </c>
      <c r="AB6503" t="s">
        <v>59</v>
      </c>
      <c r="AC6503" t="s">
        <v>59</v>
      </c>
      <c r="AD6503" t="s">
        <v>59</v>
      </c>
      <c r="AF6503" s="1">
        <v>37137</v>
      </c>
      <c r="AG6503" t="s">
        <v>8645</v>
      </c>
      <c r="AH6503" t="s">
        <v>8646</v>
      </c>
      <c r="AI6503" t="str">
        <f>"9521093"</f>
        <v>9521093</v>
      </c>
      <c r="AJ6503" t="s">
        <v>9153</v>
      </c>
      <c r="AK6503">
        <v>2810322162</v>
      </c>
      <c r="AL6503" t="s">
        <v>9154</v>
      </c>
      <c r="AM6503" t="s">
        <v>78</v>
      </c>
      <c r="AN6503" t="s">
        <v>78</v>
      </c>
      <c r="AO6503" t="s">
        <v>78</v>
      </c>
      <c r="AP6503" t="s">
        <v>163</v>
      </c>
      <c r="AQ6503">
        <v>1</v>
      </c>
      <c r="AR6503" t="s">
        <v>80</v>
      </c>
      <c r="AS6503" t="s">
        <v>81</v>
      </c>
      <c r="AT6503" t="s">
        <v>58</v>
      </c>
      <c r="AU6503" t="s">
        <v>68</v>
      </c>
      <c r="AV6503" t="s">
        <v>69</v>
      </c>
      <c r="AW6503" s="1">
        <v>26119</v>
      </c>
      <c r="AX6503">
        <v>1</v>
      </c>
    </row>
    <row r="6504" spans="1:50">
      <c r="B6504" t="str">
        <f>"119668814"</f>
        <v>119668814</v>
      </c>
      <c r="C6504" t="s">
        <v>105</v>
      </c>
      <c r="D6504" t="s">
        <v>3094</v>
      </c>
      <c r="E6504" t="s">
        <v>166</v>
      </c>
      <c r="F6504" t="s">
        <v>510</v>
      </c>
      <c r="H6504" t="str">
        <f>" "</f>
        <v xml:space="preserve"> </v>
      </c>
      <c r="K6504">
        <v>6972779175</v>
      </c>
      <c r="N6504" t="s">
        <v>337</v>
      </c>
      <c r="O6504" t="s">
        <v>338</v>
      </c>
      <c r="R6504" t="s">
        <v>159</v>
      </c>
      <c r="S6504">
        <v>8</v>
      </c>
      <c r="T6504" t="s">
        <v>8675</v>
      </c>
      <c r="U6504" s="1">
        <v>43348</v>
      </c>
      <c r="V6504" t="s">
        <v>80</v>
      </c>
      <c r="W6504" t="s">
        <v>81</v>
      </c>
      <c r="X6504" t="s">
        <v>58</v>
      </c>
      <c r="Y6504">
        <v>24</v>
      </c>
      <c r="Z6504" t="s">
        <v>59</v>
      </c>
      <c r="AA6504" t="s">
        <v>59</v>
      </c>
      <c r="AB6504" t="s">
        <v>59</v>
      </c>
      <c r="AC6504" t="s">
        <v>59</v>
      </c>
      <c r="AD6504" t="s">
        <v>59</v>
      </c>
      <c r="AF6504" s="1">
        <v>43348</v>
      </c>
      <c r="AG6504" t="s">
        <v>8645</v>
      </c>
      <c r="AH6504" t="s">
        <v>8646</v>
      </c>
      <c r="AI6504" t="str">
        <f>"9170515"</f>
        <v>9170515</v>
      </c>
      <c r="AJ6504" t="s">
        <v>8790</v>
      </c>
      <c r="AK6504">
        <v>2810254821</v>
      </c>
      <c r="AL6504" t="s">
        <v>8791</v>
      </c>
      <c r="AM6504" t="s">
        <v>78</v>
      </c>
      <c r="AN6504" t="s">
        <v>78</v>
      </c>
      <c r="AO6504" t="s">
        <v>78</v>
      </c>
      <c r="AP6504" t="s">
        <v>163</v>
      </c>
      <c r="AQ6504">
        <v>1</v>
      </c>
      <c r="AR6504" t="s">
        <v>80</v>
      </c>
      <c r="AS6504" t="s">
        <v>81</v>
      </c>
      <c r="AT6504" t="s">
        <v>58</v>
      </c>
      <c r="AU6504" t="s">
        <v>8673</v>
      </c>
      <c r="AV6504" t="s">
        <v>132</v>
      </c>
      <c r="AW6504" s="1">
        <v>30199</v>
      </c>
      <c r="AX6504">
        <v>1</v>
      </c>
    </row>
    <row r="6505" spans="1:50">
      <c r="A6505">
        <v>597527</v>
      </c>
      <c r="B6505" t="str">
        <f>"077666961"</f>
        <v>077666961</v>
      </c>
      <c r="C6505" t="s">
        <v>105</v>
      </c>
      <c r="D6505" t="s">
        <v>3094</v>
      </c>
      <c r="E6505" t="s">
        <v>72</v>
      </c>
      <c r="F6505" t="s">
        <v>95</v>
      </c>
      <c r="G6505" t="s">
        <v>3444</v>
      </c>
      <c r="H6505" t="str">
        <f>"ΕΘΝ.ΑΝΤΙΣΤΑΣΕΩΣ 25 ΗΡΑΚΛΕΙΟ"</f>
        <v>ΕΘΝ.ΑΝΤΙΣΤΑΣΕΩΣ 25 ΗΡΑΚΛΕΙΟ</v>
      </c>
      <c r="I6505">
        <v>71306</v>
      </c>
      <c r="J6505">
        <v>2810327009</v>
      </c>
      <c r="K6505">
        <v>6936994232</v>
      </c>
      <c r="N6505" t="s">
        <v>306</v>
      </c>
      <c r="O6505" t="s">
        <v>307</v>
      </c>
      <c r="R6505" t="s">
        <v>57</v>
      </c>
      <c r="S6505">
        <v>10</v>
      </c>
      <c r="T6505">
        <v>213</v>
      </c>
      <c r="U6505" s="1">
        <v>37516</v>
      </c>
      <c r="V6505" t="s">
        <v>80</v>
      </c>
      <c r="W6505" t="s">
        <v>81</v>
      </c>
      <c r="X6505" t="s">
        <v>58</v>
      </c>
      <c r="Y6505">
        <v>22</v>
      </c>
      <c r="Z6505" t="s">
        <v>59</v>
      </c>
      <c r="AA6505" t="s">
        <v>59</v>
      </c>
      <c r="AB6505" t="s">
        <v>59</v>
      </c>
      <c r="AC6505" t="s">
        <v>59</v>
      </c>
      <c r="AD6505" t="s">
        <v>59</v>
      </c>
      <c r="AF6505" s="1">
        <v>37519</v>
      </c>
      <c r="AG6505" t="s">
        <v>8645</v>
      </c>
      <c r="AH6505" t="s">
        <v>8646</v>
      </c>
      <c r="AI6505" t="str">
        <f>"9170264"</f>
        <v>9170264</v>
      </c>
      <c r="AJ6505" t="s">
        <v>8718</v>
      </c>
      <c r="AK6505">
        <v>2810332030</v>
      </c>
      <c r="AL6505" t="s">
        <v>8719</v>
      </c>
      <c r="AM6505" t="s">
        <v>78</v>
      </c>
      <c r="AN6505" t="s">
        <v>78</v>
      </c>
      <c r="AO6505" t="s">
        <v>286</v>
      </c>
      <c r="AP6505" t="s">
        <v>286</v>
      </c>
      <c r="AQ6505">
        <v>1</v>
      </c>
      <c r="AR6505" t="s">
        <v>80</v>
      </c>
      <c r="AS6505" t="s">
        <v>81</v>
      </c>
      <c r="AT6505" t="s">
        <v>58</v>
      </c>
      <c r="AU6505" t="s">
        <v>68</v>
      </c>
      <c r="AV6505" t="s">
        <v>69</v>
      </c>
      <c r="AW6505" s="1">
        <v>27195</v>
      </c>
      <c r="AX6505">
        <v>1</v>
      </c>
    </row>
    <row r="6506" spans="1:50">
      <c r="A6506">
        <v>225902</v>
      </c>
      <c r="B6506" t="str">
        <f>"030328932"</f>
        <v>030328932</v>
      </c>
      <c r="C6506" t="s">
        <v>105</v>
      </c>
      <c r="D6506" t="s">
        <v>3094</v>
      </c>
      <c r="E6506" t="s">
        <v>2503</v>
      </c>
      <c r="F6506" t="s">
        <v>4140</v>
      </c>
      <c r="G6506" t="s">
        <v>801</v>
      </c>
      <c r="H6506" t="str">
        <f>" ΗΡΑΚΛΕΙΟ"</f>
        <v xml:space="preserve"> ΗΡΑΚΛΕΙΟ</v>
      </c>
      <c r="K6506">
        <v>6937126751</v>
      </c>
      <c r="N6506" t="s">
        <v>176</v>
      </c>
      <c r="O6506" t="s">
        <v>177</v>
      </c>
      <c r="R6506" t="s">
        <v>57</v>
      </c>
      <c r="S6506">
        <v>5</v>
      </c>
      <c r="T6506" t="s">
        <v>9271</v>
      </c>
      <c r="U6506" s="1">
        <v>39680</v>
      </c>
      <c r="V6506" t="s">
        <v>80</v>
      </c>
      <c r="W6506" t="s">
        <v>81</v>
      </c>
      <c r="X6506" t="s">
        <v>58</v>
      </c>
      <c r="Y6506">
        <v>23</v>
      </c>
      <c r="Z6506" t="s">
        <v>59</v>
      </c>
      <c r="AA6506" t="s">
        <v>59</v>
      </c>
      <c r="AB6506" t="s">
        <v>59</v>
      </c>
      <c r="AC6506" t="s">
        <v>59</v>
      </c>
      <c r="AD6506" t="s">
        <v>59</v>
      </c>
      <c r="AF6506" s="1">
        <v>39729</v>
      </c>
      <c r="AG6506" t="s">
        <v>8645</v>
      </c>
      <c r="AH6506" t="s">
        <v>8646</v>
      </c>
      <c r="AI6506" t="str">
        <f>"9521015"</f>
        <v>9521015</v>
      </c>
      <c r="AJ6506" t="s">
        <v>8927</v>
      </c>
      <c r="AK6506">
        <v>2897029138</v>
      </c>
      <c r="AL6506" t="s">
        <v>8928</v>
      </c>
      <c r="AM6506" t="s">
        <v>78</v>
      </c>
      <c r="AN6506" t="s">
        <v>219</v>
      </c>
      <c r="AO6506" t="s">
        <v>219</v>
      </c>
      <c r="AP6506" t="s">
        <v>220</v>
      </c>
      <c r="AQ6506">
        <v>8</v>
      </c>
      <c r="AR6506" t="s">
        <v>80</v>
      </c>
      <c r="AS6506" t="s">
        <v>81</v>
      </c>
      <c r="AT6506" t="s">
        <v>58</v>
      </c>
      <c r="AU6506" t="s">
        <v>68</v>
      </c>
      <c r="AV6506" t="s">
        <v>69</v>
      </c>
      <c r="AW6506" s="1">
        <v>23614</v>
      </c>
      <c r="AX6506">
        <v>1</v>
      </c>
    </row>
    <row r="6507" spans="1:50">
      <c r="B6507" t="str">
        <f>"137077063"</f>
        <v>137077063</v>
      </c>
      <c r="C6507" t="s">
        <v>105</v>
      </c>
      <c r="D6507" t="s">
        <v>3099</v>
      </c>
      <c r="E6507" t="s">
        <v>230</v>
      </c>
      <c r="F6507" t="s">
        <v>1519</v>
      </c>
      <c r="G6507" t="s">
        <v>460</v>
      </c>
      <c r="H6507" t="str">
        <f>"ΜΑΡΓΑΡΟΠΟΥΛΟΥ 18 "</f>
        <v xml:space="preserve">ΜΑΡΓΑΡΟΠΟΥΛΟΥ 18 </v>
      </c>
      <c r="I6507">
        <v>56224</v>
      </c>
      <c r="J6507">
        <v>2331042321</v>
      </c>
      <c r="K6507">
        <v>6982251150</v>
      </c>
      <c r="N6507" t="s">
        <v>615</v>
      </c>
      <c r="O6507" t="s">
        <v>616</v>
      </c>
      <c r="R6507" t="s">
        <v>159</v>
      </c>
      <c r="S6507">
        <v>3</v>
      </c>
      <c r="T6507" t="s">
        <v>8675</v>
      </c>
      <c r="U6507" s="1">
        <v>43348</v>
      </c>
      <c r="V6507" t="s">
        <v>80</v>
      </c>
      <c r="W6507" t="s">
        <v>81</v>
      </c>
      <c r="X6507" t="s">
        <v>58</v>
      </c>
      <c r="Y6507">
        <v>24</v>
      </c>
      <c r="Z6507" t="s">
        <v>59</v>
      </c>
      <c r="AA6507" t="s">
        <v>59</v>
      </c>
      <c r="AB6507" t="s">
        <v>59</v>
      </c>
      <c r="AC6507" t="s">
        <v>59</v>
      </c>
      <c r="AD6507" t="s">
        <v>59</v>
      </c>
      <c r="AF6507" s="1">
        <v>43348</v>
      </c>
      <c r="AG6507" t="s">
        <v>8645</v>
      </c>
      <c r="AH6507" t="s">
        <v>8646</v>
      </c>
      <c r="AI6507" t="str">
        <f>"9170126"</f>
        <v>9170126</v>
      </c>
      <c r="AJ6507" t="s">
        <v>9041</v>
      </c>
      <c r="AK6507">
        <v>2810871213</v>
      </c>
      <c r="AL6507" t="s">
        <v>9042</v>
      </c>
      <c r="AM6507" t="s">
        <v>78</v>
      </c>
      <c r="AN6507" t="s">
        <v>78</v>
      </c>
      <c r="AO6507" t="s">
        <v>437</v>
      </c>
      <c r="AP6507" t="s">
        <v>438</v>
      </c>
      <c r="AQ6507">
        <v>5</v>
      </c>
      <c r="AR6507" t="s">
        <v>80</v>
      </c>
      <c r="AS6507" t="s">
        <v>81</v>
      </c>
      <c r="AT6507" t="s">
        <v>58</v>
      </c>
      <c r="AU6507" t="s">
        <v>8673</v>
      </c>
      <c r="AV6507" t="s">
        <v>132</v>
      </c>
      <c r="AW6507" s="1">
        <v>31688</v>
      </c>
      <c r="AX6507">
        <v>1</v>
      </c>
    </row>
    <row r="6508" spans="1:50">
      <c r="B6508" t="str">
        <f>"157758093"</f>
        <v>157758093</v>
      </c>
      <c r="C6508" t="s">
        <v>50</v>
      </c>
      <c r="D6508" t="s">
        <v>3103</v>
      </c>
      <c r="E6508" t="s">
        <v>73</v>
      </c>
      <c r="F6508" t="s">
        <v>99</v>
      </c>
      <c r="G6508" t="s">
        <v>2205</v>
      </c>
      <c r="H6508" t="str">
        <f>"ΑΘΗΝΑΣ 15 "</f>
        <v xml:space="preserve">ΑΘΗΝΑΣ 15 </v>
      </c>
      <c r="I6508">
        <v>56224</v>
      </c>
      <c r="J6508">
        <v>2310768579</v>
      </c>
      <c r="K6508">
        <v>6934391306</v>
      </c>
      <c r="N6508" t="s">
        <v>615</v>
      </c>
      <c r="O6508" t="s">
        <v>616</v>
      </c>
      <c r="R6508" t="s">
        <v>159</v>
      </c>
      <c r="S6508">
        <v>2</v>
      </c>
      <c r="T6508" t="s">
        <v>8675</v>
      </c>
      <c r="U6508" s="1">
        <v>43348</v>
      </c>
      <c r="V6508" t="s">
        <v>80</v>
      </c>
      <c r="W6508" t="s">
        <v>81</v>
      </c>
      <c r="X6508" t="s">
        <v>58</v>
      </c>
      <c r="Y6508">
        <v>24</v>
      </c>
      <c r="Z6508" t="s">
        <v>59</v>
      </c>
      <c r="AA6508" t="s">
        <v>59</v>
      </c>
      <c r="AB6508" t="s">
        <v>59</v>
      </c>
      <c r="AC6508" t="s">
        <v>59</v>
      </c>
      <c r="AD6508" t="s">
        <v>59</v>
      </c>
      <c r="AF6508" s="1">
        <v>43348</v>
      </c>
      <c r="AG6508" t="s">
        <v>8645</v>
      </c>
      <c r="AH6508" t="s">
        <v>8646</v>
      </c>
      <c r="AI6508" t="str">
        <f>"9170300"</f>
        <v>9170300</v>
      </c>
      <c r="AJ6508" t="s">
        <v>8905</v>
      </c>
      <c r="AK6508">
        <v>2892041219</v>
      </c>
      <c r="AL6508" t="s">
        <v>8906</v>
      </c>
      <c r="AM6508" t="s">
        <v>78</v>
      </c>
      <c r="AN6508" t="s">
        <v>242</v>
      </c>
      <c r="AO6508" t="s">
        <v>243</v>
      </c>
      <c r="AP6508" t="s">
        <v>244</v>
      </c>
      <c r="AQ6508">
        <v>18</v>
      </c>
      <c r="AR6508" t="s">
        <v>80</v>
      </c>
      <c r="AS6508" t="s">
        <v>81</v>
      </c>
      <c r="AT6508" t="s">
        <v>58</v>
      </c>
      <c r="AU6508" t="s">
        <v>8673</v>
      </c>
      <c r="AV6508" t="s">
        <v>132</v>
      </c>
      <c r="AW6508" s="1">
        <v>32534</v>
      </c>
      <c r="AX6508">
        <v>1</v>
      </c>
    </row>
    <row r="6509" spans="1:50">
      <c r="B6509" t="str">
        <f>"146229847"</f>
        <v>146229847</v>
      </c>
      <c r="C6509" t="s">
        <v>50</v>
      </c>
      <c r="D6509" t="s">
        <v>3103</v>
      </c>
      <c r="E6509" t="s">
        <v>255</v>
      </c>
      <c r="F6509" t="s">
        <v>72</v>
      </c>
      <c r="G6509" t="s">
        <v>580</v>
      </c>
      <c r="H6509" t="str">
        <f>"ΔΙΚΤΗΣ 33 "</f>
        <v xml:space="preserve">ΔΙΚΤΗΣ 33 </v>
      </c>
      <c r="I6509">
        <v>71202</v>
      </c>
      <c r="J6509">
        <v>2810332658</v>
      </c>
      <c r="K6509">
        <v>6981823165</v>
      </c>
      <c r="N6509" t="s">
        <v>615</v>
      </c>
      <c r="O6509" t="s">
        <v>616</v>
      </c>
      <c r="R6509" t="s">
        <v>159</v>
      </c>
      <c r="S6509">
        <v>3</v>
      </c>
      <c r="T6509" t="s">
        <v>8675</v>
      </c>
      <c r="U6509" s="1">
        <v>43348</v>
      </c>
      <c r="V6509" t="s">
        <v>80</v>
      </c>
      <c r="W6509" t="s">
        <v>81</v>
      </c>
      <c r="X6509" t="s">
        <v>58</v>
      </c>
      <c r="Y6509">
        <v>24</v>
      </c>
      <c r="Z6509" t="s">
        <v>59</v>
      </c>
      <c r="AA6509" t="s">
        <v>59</v>
      </c>
      <c r="AB6509" t="s">
        <v>59</v>
      </c>
      <c r="AC6509" t="s">
        <v>59</v>
      </c>
      <c r="AD6509" t="s">
        <v>59</v>
      </c>
      <c r="AF6509" s="1">
        <v>43348</v>
      </c>
      <c r="AG6509" t="s">
        <v>8645</v>
      </c>
      <c r="AH6509" t="s">
        <v>8646</v>
      </c>
      <c r="AI6509" t="str">
        <f>"9170097"</f>
        <v>9170097</v>
      </c>
      <c r="AJ6509" t="s">
        <v>8826</v>
      </c>
      <c r="AK6509">
        <v>2810751807</v>
      </c>
      <c r="AL6509" t="s">
        <v>8827</v>
      </c>
      <c r="AM6509" t="s">
        <v>78</v>
      </c>
      <c r="AN6509" t="s">
        <v>424</v>
      </c>
      <c r="AO6509" t="s">
        <v>425</v>
      </c>
      <c r="AP6509" t="s">
        <v>425</v>
      </c>
      <c r="AQ6509">
        <v>11</v>
      </c>
      <c r="AR6509" t="s">
        <v>80</v>
      </c>
      <c r="AS6509" t="s">
        <v>81</v>
      </c>
      <c r="AT6509" t="s">
        <v>58</v>
      </c>
      <c r="AU6509" t="s">
        <v>8673</v>
      </c>
      <c r="AV6509" t="s">
        <v>132</v>
      </c>
      <c r="AW6509" s="1">
        <v>32462</v>
      </c>
      <c r="AX6509">
        <v>1</v>
      </c>
    </row>
    <row r="6510" spans="1:50">
      <c r="A6510">
        <v>591872</v>
      </c>
      <c r="B6510" t="str">
        <f>"034819816"</f>
        <v>034819816</v>
      </c>
      <c r="C6510" t="s">
        <v>50</v>
      </c>
      <c r="D6510" t="s">
        <v>3103</v>
      </c>
      <c r="E6510" t="s">
        <v>52</v>
      </c>
      <c r="F6510" t="s">
        <v>99</v>
      </c>
      <c r="G6510" t="s">
        <v>181</v>
      </c>
      <c r="H6510" t="str">
        <f>"ΑΧΕΠΑΝΣ 42 ΗΡΑΚΛΕΙΟ"</f>
        <v>ΑΧΕΠΑΝΣ 42 ΗΡΑΚΛΕΙΟ</v>
      </c>
      <c r="I6510">
        <v>71307</v>
      </c>
      <c r="J6510">
        <v>2810324523</v>
      </c>
      <c r="K6510">
        <v>6937644816</v>
      </c>
      <c r="M6510" t="s">
        <v>10966</v>
      </c>
      <c r="N6510" t="s">
        <v>1525</v>
      </c>
      <c r="O6510" t="s">
        <v>1526</v>
      </c>
      <c r="R6510" t="s">
        <v>57</v>
      </c>
      <c r="S6510">
        <v>9</v>
      </c>
      <c r="T6510">
        <v>249</v>
      </c>
      <c r="U6510" s="1">
        <v>36769</v>
      </c>
      <c r="V6510" t="s">
        <v>80</v>
      </c>
      <c r="W6510" t="s">
        <v>81</v>
      </c>
      <c r="X6510" t="s">
        <v>58</v>
      </c>
      <c r="Y6510">
        <v>25</v>
      </c>
      <c r="Z6510" t="s">
        <v>59</v>
      </c>
      <c r="AA6510" t="s">
        <v>59</v>
      </c>
      <c r="AB6510" t="s">
        <v>59</v>
      </c>
      <c r="AC6510" t="s">
        <v>59</v>
      </c>
      <c r="AD6510" t="s">
        <v>59</v>
      </c>
      <c r="AF6510" s="1">
        <v>36774</v>
      </c>
      <c r="AG6510" t="s">
        <v>8651</v>
      </c>
      <c r="AH6510" t="s">
        <v>8652</v>
      </c>
      <c r="AI6510" t="str">
        <f>"9170452"</f>
        <v>9170452</v>
      </c>
      <c r="AJ6510" t="s">
        <v>10553</v>
      </c>
      <c r="AK6510">
        <v>2810262825</v>
      </c>
      <c r="AL6510" t="s">
        <v>10554</v>
      </c>
      <c r="AM6510" t="s">
        <v>78</v>
      </c>
      <c r="AN6510" t="s">
        <v>78</v>
      </c>
      <c r="AO6510" t="s">
        <v>78</v>
      </c>
      <c r="AP6510" t="s">
        <v>141</v>
      </c>
      <c r="AQ6510">
        <v>1</v>
      </c>
      <c r="AR6510" t="s">
        <v>80</v>
      </c>
      <c r="AS6510" t="s">
        <v>81</v>
      </c>
      <c r="AT6510" t="s">
        <v>58</v>
      </c>
      <c r="AU6510" t="s">
        <v>68</v>
      </c>
      <c r="AV6510" t="s">
        <v>69</v>
      </c>
      <c r="AW6510" s="1">
        <v>24771</v>
      </c>
      <c r="AX6510">
        <v>1</v>
      </c>
    </row>
    <row r="6511" spans="1:50">
      <c r="A6511">
        <v>559835</v>
      </c>
      <c r="B6511" t="str">
        <f>"027513991"</f>
        <v>027513991</v>
      </c>
      <c r="C6511" t="s">
        <v>50</v>
      </c>
      <c r="D6511" t="s">
        <v>3111</v>
      </c>
      <c r="E6511" t="s">
        <v>83</v>
      </c>
      <c r="F6511" t="s">
        <v>166</v>
      </c>
      <c r="G6511" t="s">
        <v>255</v>
      </c>
      <c r="H6511" t="str">
        <f>"ΜΕΝΕΞΕΔΩΝ 12 ΗΡΑΚΛΕΙΟ"</f>
        <v>ΜΕΝΕΞΕΔΩΝ 12 ΗΡΑΚΛΕΙΟ</v>
      </c>
      <c r="I6511">
        <v>71409</v>
      </c>
      <c r="J6511">
        <v>2810320164</v>
      </c>
      <c r="K6511">
        <v>6974280642</v>
      </c>
      <c r="N6511" t="s">
        <v>615</v>
      </c>
      <c r="O6511" t="s">
        <v>616</v>
      </c>
      <c r="R6511" t="s">
        <v>57</v>
      </c>
      <c r="S6511">
        <v>17</v>
      </c>
      <c r="T6511">
        <v>175</v>
      </c>
      <c r="U6511" s="1">
        <v>32020</v>
      </c>
      <c r="V6511" t="s">
        <v>80</v>
      </c>
      <c r="W6511" t="s">
        <v>81</v>
      </c>
      <c r="X6511" t="s">
        <v>58</v>
      </c>
      <c r="Y6511">
        <v>21</v>
      </c>
      <c r="Z6511" t="s">
        <v>59</v>
      </c>
      <c r="AA6511" t="s">
        <v>59</v>
      </c>
      <c r="AB6511" t="s">
        <v>59</v>
      </c>
      <c r="AC6511" t="s">
        <v>59</v>
      </c>
      <c r="AD6511" t="s">
        <v>59</v>
      </c>
      <c r="AF6511" s="1">
        <v>32021</v>
      </c>
      <c r="AG6511" t="s">
        <v>8645</v>
      </c>
      <c r="AH6511" t="s">
        <v>8646</v>
      </c>
      <c r="AI6511" t="str">
        <f>"9170516"</f>
        <v>9170516</v>
      </c>
      <c r="AJ6511" t="s">
        <v>8746</v>
      </c>
      <c r="AK6511">
        <v>2810236861</v>
      </c>
      <c r="AL6511" t="s">
        <v>8747</v>
      </c>
      <c r="AM6511" t="s">
        <v>78</v>
      </c>
      <c r="AN6511" t="s">
        <v>78</v>
      </c>
      <c r="AO6511" t="s">
        <v>78</v>
      </c>
      <c r="AP6511" t="s">
        <v>163</v>
      </c>
      <c r="AQ6511">
        <v>1</v>
      </c>
      <c r="AR6511" t="s">
        <v>80</v>
      </c>
      <c r="AS6511" t="s">
        <v>81</v>
      </c>
      <c r="AT6511" t="s">
        <v>58</v>
      </c>
      <c r="AU6511" t="s">
        <v>68</v>
      </c>
      <c r="AV6511" t="s">
        <v>69</v>
      </c>
      <c r="AW6511" s="1">
        <v>21204</v>
      </c>
      <c r="AX6511">
        <v>1</v>
      </c>
    </row>
    <row r="6512" spans="1:50">
      <c r="B6512" t="str">
        <f>"141360930"</f>
        <v>141360930</v>
      </c>
      <c r="C6512" t="s">
        <v>50</v>
      </c>
      <c r="D6512" t="s">
        <v>10967</v>
      </c>
      <c r="E6512" t="s">
        <v>109</v>
      </c>
      <c r="F6512" t="s">
        <v>377</v>
      </c>
      <c r="G6512" t="s">
        <v>109</v>
      </c>
      <c r="H6512" t="str">
        <f>"ΓΟΡΤΥΝΗΣ 46 "</f>
        <v xml:space="preserve">ΓΟΡΤΥΝΗΣ 46 </v>
      </c>
      <c r="I6512">
        <v>71303</v>
      </c>
      <c r="J6512">
        <v>2815007627</v>
      </c>
      <c r="K6512">
        <v>6947848715</v>
      </c>
      <c r="N6512" t="s">
        <v>384</v>
      </c>
      <c r="O6512" t="s">
        <v>385</v>
      </c>
      <c r="R6512" t="s">
        <v>159</v>
      </c>
      <c r="S6512">
        <v>2</v>
      </c>
      <c r="T6512" t="s">
        <v>8675</v>
      </c>
      <c r="U6512" s="1">
        <v>43348</v>
      </c>
      <c r="V6512" t="s">
        <v>80</v>
      </c>
      <c r="W6512" t="s">
        <v>81</v>
      </c>
      <c r="X6512" t="s">
        <v>58</v>
      </c>
      <c r="Y6512">
        <v>24</v>
      </c>
      <c r="Z6512" t="s">
        <v>59</v>
      </c>
      <c r="AA6512" t="s">
        <v>59</v>
      </c>
      <c r="AB6512" t="s">
        <v>59</v>
      </c>
      <c r="AC6512" t="s">
        <v>59</v>
      </c>
      <c r="AD6512" t="s">
        <v>59</v>
      </c>
      <c r="AF6512" s="1">
        <v>43348</v>
      </c>
      <c r="AG6512" t="s">
        <v>8645</v>
      </c>
      <c r="AH6512" t="s">
        <v>8646</v>
      </c>
      <c r="AI6512" t="str">
        <f>"9170018"</f>
        <v>9170018</v>
      </c>
      <c r="AJ6512" t="s">
        <v>8924</v>
      </c>
      <c r="AK6512">
        <v>2810821217</v>
      </c>
      <c r="AL6512" t="s">
        <v>8925</v>
      </c>
      <c r="AM6512" t="s">
        <v>78</v>
      </c>
      <c r="AN6512" t="s">
        <v>129</v>
      </c>
      <c r="AO6512" t="s">
        <v>130</v>
      </c>
      <c r="AP6512" t="s">
        <v>130</v>
      </c>
      <c r="AQ6512">
        <v>1</v>
      </c>
      <c r="AR6512" t="s">
        <v>80</v>
      </c>
      <c r="AS6512" t="s">
        <v>81</v>
      </c>
      <c r="AT6512" t="s">
        <v>58</v>
      </c>
      <c r="AU6512" t="s">
        <v>8673</v>
      </c>
      <c r="AV6512" t="s">
        <v>132</v>
      </c>
      <c r="AW6512" s="1">
        <v>32085</v>
      </c>
      <c r="AX6512">
        <v>1</v>
      </c>
    </row>
    <row r="6513" spans="1:50">
      <c r="B6513" t="str">
        <f>"151259674"</f>
        <v>151259674</v>
      </c>
      <c r="C6513" t="s">
        <v>50</v>
      </c>
      <c r="D6513" t="s">
        <v>10968</v>
      </c>
      <c r="E6513" t="s">
        <v>250</v>
      </c>
      <c r="F6513" t="s">
        <v>564</v>
      </c>
      <c r="G6513" t="s">
        <v>681</v>
      </c>
      <c r="H6513" t="str">
        <f>"Ηγουμενίτσας 23 "</f>
        <v xml:space="preserve">Ηγουμενίτσας 23 </v>
      </c>
      <c r="K6513">
        <v>6978051811</v>
      </c>
      <c r="N6513" t="s">
        <v>615</v>
      </c>
      <c r="O6513" t="s">
        <v>616</v>
      </c>
      <c r="R6513" t="s">
        <v>159</v>
      </c>
      <c r="S6513">
        <v>1</v>
      </c>
      <c r="T6513" t="s">
        <v>8675</v>
      </c>
      <c r="U6513" s="1">
        <v>43348</v>
      </c>
      <c r="V6513" t="s">
        <v>80</v>
      </c>
      <c r="W6513" t="s">
        <v>81</v>
      </c>
      <c r="X6513" t="s">
        <v>58</v>
      </c>
      <c r="Y6513">
        <v>24</v>
      </c>
      <c r="Z6513" t="s">
        <v>59</v>
      </c>
      <c r="AA6513" t="s">
        <v>59</v>
      </c>
      <c r="AB6513" t="s">
        <v>59</v>
      </c>
      <c r="AD6513" t="s">
        <v>59</v>
      </c>
      <c r="AF6513" s="1">
        <v>43348</v>
      </c>
      <c r="AG6513" t="s">
        <v>8645</v>
      </c>
      <c r="AH6513" t="s">
        <v>8646</v>
      </c>
      <c r="AI6513" t="str">
        <f>"9170109"</f>
        <v>9170109</v>
      </c>
      <c r="AJ6513" t="s">
        <v>9056</v>
      </c>
      <c r="AK6513">
        <v>2810212659</v>
      </c>
      <c r="AL6513" t="s">
        <v>9057</v>
      </c>
      <c r="AM6513" t="s">
        <v>78</v>
      </c>
      <c r="AN6513" t="s">
        <v>78</v>
      </c>
      <c r="AO6513" t="s">
        <v>78</v>
      </c>
      <c r="AP6513" t="s">
        <v>163</v>
      </c>
      <c r="AQ6513">
        <v>1</v>
      </c>
      <c r="AR6513" t="s">
        <v>80</v>
      </c>
      <c r="AS6513" t="s">
        <v>81</v>
      </c>
      <c r="AT6513" t="s">
        <v>58</v>
      </c>
      <c r="AU6513" t="s">
        <v>8673</v>
      </c>
      <c r="AV6513" t="s">
        <v>132</v>
      </c>
      <c r="AW6513" s="1">
        <v>32855</v>
      </c>
      <c r="AX6513">
        <v>1</v>
      </c>
    </row>
    <row r="6514" spans="1:50">
      <c r="A6514">
        <v>604577</v>
      </c>
      <c r="B6514" t="str">
        <f>"123154559"</f>
        <v>123154559</v>
      </c>
      <c r="C6514" t="s">
        <v>50</v>
      </c>
      <c r="D6514" t="s">
        <v>3123</v>
      </c>
      <c r="E6514" t="s">
        <v>52</v>
      </c>
      <c r="F6514" t="s">
        <v>108</v>
      </c>
      <c r="G6514" t="s">
        <v>250</v>
      </c>
      <c r="H6514" t="str">
        <f>"ΠΑΠΑΝΑΣΤΑΣΙΟΥ 240 ΗΡΑΚΛΕΙΟ"</f>
        <v>ΠΑΠΑΝΑΣΤΑΣΙΟΥ 240 ΗΡΑΚΛΕΙΟ</v>
      </c>
      <c r="I6514">
        <v>71409</v>
      </c>
      <c r="J6514">
        <v>2810213232</v>
      </c>
      <c r="K6514">
        <v>6974369911</v>
      </c>
      <c r="N6514" t="s">
        <v>615</v>
      </c>
      <c r="O6514" t="s">
        <v>616</v>
      </c>
      <c r="R6514" t="s">
        <v>57</v>
      </c>
      <c r="S6514">
        <v>7</v>
      </c>
      <c r="T6514">
        <v>231</v>
      </c>
      <c r="U6514" s="1">
        <v>38230</v>
      </c>
      <c r="V6514" t="s">
        <v>80</v>
      </c>
      <c r="W6514" t="s">
        <v>81</v>
      </c>
      <c r="X6514" t="s">
        <v>58</v>
      </c>
      <c r="Y6514">
        <v>22</v>
      </c>
      <c r="Z6514" t="s">
        <v>59</v>
      </c>
      <c r="AA6514" t="s">
        <v>59</v>
      </c>
      <c r="AB6514" t="s">
        <v>59</v>
      </c>
      <c r="AC6514" t="s">
        <v>59</v>
      </c>
      <c r="AD6514" t="s">
        <v>59</v>
      </c>
      <c r="AF6514" s="1">
        <v>38231</v>
      </c>
      <c r="AG6514" t="s">
        <v>8645</v>
      </c>
      <c r="AH6514" t="s">
        <v>8646</v>
      </c>
      <c r="AI6514" t="str">
        <f>"9170197"</f>
        <v>9170197</v>
      </c>
      <c r="AJ6514" t="s">
        <v>8989</v>
      </c>
      <c r="AK6514">
        <v>2810232577</v>
      </c>
      <c r="AL6514" t="s">
        <v>8990</v>
      </c>
      <c r="AM6514" t="s">
        <v>78</v>
      </c>
      <c r="AN6514" t="s">
        <v>78</v>
      </c>
      <c r="AO6514" t="s">
        <v>78</v>
      </c>
      <c r="AP6514" t="s">
        <v>163</v>
      </c>
      <c r="AQ6514">
        <v>1</v>
      </c>
      <c r="AR6514" t="s">
        <v>80</v>
      </c>
      <c r="AS6514" t="s">
        <v>81</v>
      </c>
      <c r="AT6514" t="s">
        <v>58</v>
      </c>
      <c r="AU6514" t="s">
        <v>68</v>
      </c>
      <c r="AV6514" t="s">
        <v>69</v>
      </c>
      <c r="AW6514" s="1">
        <v>29263</v>
      </c>
      <c r="AX6514">
        <v>1</v>
      </c>
    </row>
    <row r="6515" spans="1:50">
      <c r="A6515">
        <v>599495</v>
      </c>
      <c r="B6515" t="str">
        <f>"071645235"</f>
        <v>071645235</v>
      </c>
      <c r="C6515" t="s">
        <v>50</v>
      </c>
      <c r="D6515" t="s">
        <v>10969</v>
      </c>
      <c r="E6515" t="s">
        <v>714</v>
      </c>
      <c r="F6515" t="s">
        <v>53</v>
      </c>
      <c r="G6515" t="s">
        <v>83</v>
      </c>
      <c r="H6515" t="str">
        <f>"ΕΙΡΗΝΗΣ 139 "</f>
        <v xml:space="preserve">ΕΙΡΗΝΗΣ 139 </v>
      </c>
      <c r="I6515">
        <v>70007</v>
      </c>
      <c r="J6515">
        <v>2897032328</v>
      </c>
      <c r="K6515">
        <v>6945971609</v>
      </c>
      <c r="N6515" t="s">
        <v>615</v>
      </c>
      <c r="O6515" t="s">
        <v>616</v>
      </c>
      <c r="R6515" t="s">
        <v>57</v>
      </c>
      <c r="S6515">
        <v>8</v>
      </c>
      <c r="T6515">
        <v>195</v>
      </c>
      <c r="U6515" s="1">
        <v>37497</v>
      </c>
      <c r="V6515" t="s">
        <v>80</v>
      </c>
      <c r="W6515" t="s">
        <v>81</v>
      </c>
      <c r="X6515" t="s">
        <v>58</v>
      </c>
      <c r="Y6515">
        <v>22</v>
      </c>
      <c r="Z6515" t="s">
        <v>59</v>
      </c>
      <c r="AA6515" t="s">
        <v>59</v>
      </c>
      <c r="AB6515" t="s">
        <v>59</v>
      </c>
      <c r="AC6515" t="s">
        <v>59</v>
      </c>
      <c r="AD6515" t="s">
        <v>59</v>
      </c>
      <c r="AF6515" s="1">
        <v>37502</v>
      </c>
      <c r="AG6515" t="s">
        <v>8645</v>
      </c>
      <c r="AH6515" t="s">
        <v>8646</v>
      </c>
      <c r="AI6515" t="str">
        <f>"9170250"</f>
        <v>9170250</v>
      </c>
      <c r="AJ6515" t="s">
        <v>8823</v>
      </c>
      <c r="AK6515">
        <v>2897022005</v>
      </c>
      <c r="AL6515" t="s">
        <v>8824</v>
      </c>
      <c r="AM6515" t="s">
        <v>78</v>
      </c>
      <c r="AN6515" t="s">
        <v>219</v>
      </c>
      <c r="AO6515" t="s">
        <v>219</v>
      </c>
      <c r="AP6515" t="s">
        <v>219</v>
      </c>
      <c r="AQ6515">
        <v>8</v>
      </c>
      <c r="AR6515" t="s">
        <v>80</v>
      </c>
      <c r="AS6515" t="s">
        <v>81</v>
      </c>
      <c r="AT6515" t="s">
        <v>58</v>
      </c>
      <c r="AU6515" t="s">
        <v>68</v>
      </c>
      <c r="AV6515" t="s">
        <v>2039</v>
      </c>
      <c r="AW6515" s="1">
        <v>25707</v>
      </c>
      <c r="AX6515">
        <v>1</v>
      </c>
    </row>
    <row r="6516" spans="1:50">
      <c r="A6516">
        <v>618195</v>
      </c>
      <c r="B6516" t="str">
        <f>"045551837"</f>
        <v>045551837</v>
      </c>
      <c r="C6516" t="s">
        <v>50</v>
      </c>
      <c r="D6516" t="s">
        <v>10969</v>
      </c>
      <c r="E6516" t="s">
        <v>707</v>
      </c>
      <c r="F6516" t="s">
        <v>72</v>
      </c>
      <c r="G6516" t="s">
        <v>6339</v>
      </c>
      <c r="H6516" t="str">
        <f>"ΜΗΛΙΑΡΑΚΗ 7 ΗΡΑΚΛΕΙΟ"</f>
        <v>ΜΗΛΙΑΡΑΚΗ 7 ΗΡΑΚΛΕΙΟ</v>
      </c>
      <c r="I6516">
        <v>71306</v>
      </c>
      <c r="J6516">
        <v>2810229541</v>
      </c>
      <c r="K6516">
        <v>6944763669</v>
      </c>
      <c r="M6516" t="s">
        <v>10970</v>
      </c>
      <c r="N6516" t="s">
        <v>615</v>
      </c>
      <c r="O6516" t="s">
        <v>616</v>
      </c>
      <c r="R6516" t="s">
        <v>57</v>
      </c>
      <c r="S6516">
        <v>5</v>
      </c>
      <c r="T6516">
        <v>774</v>
      </c>
      <c r="U6516" s="1">
        <v>39680</v>
      </c>
      <c r="V6516" t="s">
        <v>80</v>
      </c>
      <c r="W6516" t="s">
        <v>81</v>
      </c>
      <c r="X6516" t="s">
        <v>58</v>
      </c>
      <c r="Y6516">
        <v>23</v>
      </c>
      <c r="Z6516" t="s">
        <v>59</v>
      </c>
      <c r="AA6516" t="s">
        <v>59</v>
      </c>
      <c r="AB6516" t="s">
        <v>59</v>
      </c>
      <c r="AC6516" t="s">
        <v>59</v>
      </c>
      <c r="AD6516" t="s">
        <v>59</v>
      </c>
      <c r="AF6516" s="1">
        <v>39681</v>
      </c>
      <c r="AG6516" t="s">
        <v>8645</v>
      </c>
      <c r="AH6516" t="s">
        <v>8646</v>
      </c>
      <c r="AI6516" t="str">
        <f>"9170534"</f>
        <v>9170534</v>
      </c>
      <c r="AJ6516" t="s">
        <v>8701</v>
      </c>
      <c r="AK6516">
        <v>2810323225</v>
      </c>
      <c r="AL6516" t="s">
        <v>8702</v>
      </c>
      <c r="AM6516" t="s">
        <v>78</v>
      </c>
      <c r="AN6516" t="s">
        <v>78</v>
      </c>
      <c r="AO6516" t="s">
        <v>78</v>
      </c>
      <c r="AP6516" t="s">
        <v>163</v>
      </c>
      <c r="AQ6516">
        <v>1</v>
      </c>
      <c r="AR6516" t="s">
        <v>80</v>
      </c>
      <c r="AS6516" t="s">
        <v>81</v>
      </c>
      <c r="AT6516" t="s">
        <v>58</v>
      </c>
      <c r="AU6516" t="s">
        <v>68</v>
      </c>
      <c r="AV6516" t="s">
        <v>69</v>
      </c>
      <c r="AW6516" s="1">
        <v>27474</v>
      </c>
      <c r="AX6516">
        <v>1</v>
      </c>
    </row>
    <row r="6517" spans="1:50">
      <c r="A6517">
        <v>607360</v>
      </c>
      <c r="B6517" t="str">
        <f>"110260238"</f>
        <v>110260238</v>
      </c>
      <c r="C6517" t="s">
        <v>50</v>
      </c>
      <c r="D6517" t="s">
        <v>3126</v>
      </c>
      <c r="E6517" t="s">
        <v>250</v>
      </c>
      <c r="F6517" t="s">
        <v>760</v>
      </c>
      <c r="G6517" t="s">
        <v>52</v>
      </c>
      <c r="H6517" t="str">
        <f>"ΝΕΑΡΧΟΥ ΚΟΚΑΡΑΚΗ 12 ΗΡΑΚΛΕΙΟ"</f>
        <v>ΝΕΑΡΧΟΥ ΚΟΚΑΡΑΚΗ 12 ΗΡΑΚΛΕΙΟ</v>
      </c>
      <c r="I6517">
        <v>71306</v>
      </c>
      <c r="J6517">
        <v>2810213729</v>
      </c>
      <c r="K6517">
        <v>6937408026</v>
      </c>
      <c r="N6517" t="s">
        <v>615</v>
      </c>
      <c r="O6517" t="s">
        <v>616</v>
      </c>
      <c r="R6517" t="s">
        <v>57</v>
      </c>
      <c r="S6517">
        <v>7</v>
      </c>
      <c r="T6517">
        <v>217</v>
      </c>
      <c r="U6517" s="1">
        <v>38596</v>
      </c>
      <c r="V6517" t="s">
        <v>80</v>
      </c>
      <c r="W6517" t="s">
        <v>81</v>
      </c>
      <c r="X6517" t="s">
        <v>58</v>
      </c>
      <c r="Y6517">
        <v>23</v>
      </c>
      <c r="Z6517" t="s">
        <v>59</v>
      </c>
      <c r="AA6517" t="s">
        <v>59</v>
      </c>
      <c r="AB6517" t="s">
        <v>59</v>
      </c>
      <c r="AC6517" t="s">
        <v>59</v>
      </c>
      <c r="AD6517" t="s">
        <v>59</v>
      </c>
      <c r="AF6517" s="1">
        <v>38596</v>
      </c>
      <c r="AG6517" t="s">
        <v>8645</v>
      </c>
      <c r="AH6517" t="s">
        <v>8646</v>
      </c>
      <c r="AI6517" t="str">
        <f>"9170423"</f>
        <v>9170423</v>
      </c>
      <c r="AJ6517" t="s">
        <v>8808</v>
      </c>
      <c r="AK6517">
        <v>2810239612</v>
      </c>
      <c r="AL6517" t="s">
        <v>8809</v>
      </c>
      <c r="AM6517" t="s">
        <v>78</v>
      </c>
      <c r="AN6517" t="s">
        <v>78</v>
      </c>
      <c r="AO6517" t="s">
        <v>78</v>
      </c>
      <c r="AP6517" t="s">
        <v>163</v>
      </c>
      <c r="AQ6517">
        <v>1</v>
      </c>
      <c r="AR6517" t="s">
        <v>80</v>
      </c>
      <c r="AS6517" t="s">
        <v>81</v>
      </c>
      <c r="AT6517" t="s">
        <v>58</v>
      </c>
      <c r="AU6517" t="s">
        <v>68</v>
      </c>
      <c r="AV6517" t="s">
        <v>69</v>
      </c>
      <c r="AW6517" s="1">
        <v>29486</v>
      </c>
      <c r="AX6517">
        <v>1</v>
      </c>
    </row>
    <row r="6518" spans="1:50">
      <c r="A6518">
        <v>601094</v>
      </c>
      <c r="B6518" t="str">
        <f>"073435854"</f>
        <v>073435854</v>
      </c>
      <c r="C6518" t="s">
        <v>50</v>
      </c>
      <c r="D6518" t="s">
        <v>3126</v>
      </c>
      <c r="E6518" t="s">
        <v>52</v>
      </c>
      <c r="F6518" t="s">
        <v>166</v>
      </c>
      <c r="G6518" t="s">
        <v>255</v>
      </c>
      <c r="H6518" t="str">
        <f>"Π. ΚΕΛΑΪΔΗ 16 ΗΡΑΚΛΕΙΟ"</f>
        <v>Π. ΚΕΛΑΪΔΗ 16 ΗΡΑΚΛΕΙΟ</v>
      </c>
      <c r="I6518">
        <v>71306</v>
      </c>
      <c r="J6518">
        <v>2810262270</v>
      </c>
      <c r="K6518">
        <v>6942477091</v>
      </c>
      <c r="N6518" t="s">
        <v>615</v>
      </c>
      <c r="O6518" t="s">
        <v>616</v>
      </c>
      <c r="R6518" t="s">
        <v>57</v>
      </c>
      <c r="S6518">
        <v>8</v>
      </c>
      <c r="T6518">
        <v>207</v>
      </c>
      <c r="U6518" s="1">
        <v>37502</v>
      </c>
      <c r="V6518" t="s">
        <v>80</v>
      </c>
      <c r="W6518" t="s">
        <v>81</v>
      </c>
      <c r="X6518" t="s">
        <v>58</v>
      </c>
      <c r="Y6518">
        <v>22</v>
      </c>
      <c r="Z6518" t="s">
        <v>59</v>
      </c>
      <c r="AA6518" t="s">
        <v>59</v>
      </c>
      <c r="AB6518" t="s">
        <v>59</v>
      </c>
      <c r="AC6518" t="s">
        <v>59</v>
      </c>
      <c r="AD6518" t="s">
        <v>59</v>
      </c>
      <c r="AF6518" s="1">
        <v>37866</v>
      </c>
      <c r="AG6518" t="s">
        <v>8645</v>
      </c>
      <c r="AH6518" t="s">
        <v>8646</v>
      </c>
      <c r="AI6518" t="str">
        <f>"9170108"</f>
        <v>9170108</v>
      </c>
      <c r="AJ6518" t="s">
        <v>8863</v>
      </c>
      <c r="AK6518">
        <v>2810232111</v>
      </c>
      <c r="AL6518" t="s">
        <v>8864</v>
      </c>
      <c r="AM6518" t="s">
        <v>78</v>
      </c>
      <c r="AN6518" t="s">
        <v>78</v>
      </c>
      <c r="AO6518" t="s">
        <v>78</v>
      </c>
      <c r="AP6518" t="s">
        <v>163</v>
      </c>
      <c r="AQ6518">
        <v>1</v>
      </c>
      <c r="AR6518" t="s">
        <v>80</v>
      </c>
      <c r="AS6518" t="s">
        <v>81</v>
      </c>
      <c r="AT6518" t="s">
        <v>58</v>
      </c>
      <c r="AU6518" t="s">
        <v>68</v>
      </c>
      <c r="AV6518" t="s">
        <v>69</v>
      </c>
      <c r="AW6518" s="1">
        <v>26211</v>
      </c>
      <c r="AX6518">
        <v>1</v>
      </c>
    </row>
    <row r="6519" spans="1:50">
      <c r="B6519" t="str">
        <f>"159246870"</f>
        <v>159246870</v>
      </c>
      <c r="C6519" t="s">
        <v>50</v>
      </c>
      <c r="D6519" t="s">
        <v>8028</v>
      </c>
      <c r="E6519" t="s">
        <v>2239</v>
      </c>
      <c r="F6519" t="s">
        <v>111</v>
      </c>
      <c r="H6519" t="str">
        <f>" "</f>
        <v xml:space="preserve"> </v>
      </c>
      <c r="N6519" t="s">
        <v>337</v>
      </c>
      <c r="O6519" t="s">
        <v>338</v>
      </c>
      <c r="R6519" t="s">
        <v>159</v>
      </c>
      <c r="S6519">
        <v>1</v>
      </c>
      <c r="T6519" t="s">
        <v>8675</v>
      </c>
      <c r="U6519" s="1">
        <v>43348</v>
      </c>
      <c r="V6519" t="s">
        <v>80</v>
      </c>
      <c r="W6519" t="s">
        <v>81</v>
      </c>
      <c r="X6519" t="s">
        <v>58</v>
      </c>
      <c r="Y6519">
        <v>24</v>
      </c>
      <c r="Z6519" t="s">
        <v>59</v>
      </c>
      <c r="AA6519" t="s">
        <v>59</v>
      </c>
      <c r="AB6519" t="s">
        <v>59</v>
      </c>
      <c r="AC6519" t="s">
        <v>59</v>
      </c>
      <c r="AD6519" t="s">
        <v>59</v>
      </c>
      <c r="AF6519" s="1">
        <v>43348</v>
      </c>
      <c r="AG6519" t="s">
        <v>8645</v>
      </c>
      <c r="AH6519" t="s">
        <v>8646</v>
      </c>
      <c r="AI6519" t="str">
        <f>"9170102"</f>
        <v>9170102</v>
      </c>
      <c r="AJ6519" t="s">
        <v>9019</v>
      </c>
      <c r="AK6519">
        <v>2810283938</v>
      </c>
      <c r="AL6519" t="s">
        <v>9020</v>
      </c>
      <c r="AM6519" t="s">
        <v>78</v>
      </c>
      <c r="AN6519" t="s">
        <v>78</v>
      </c>
      <c r="AO6519" t="s">
        <v>78</v>
      </c>
      <c r="AP6519" t="s">
        <v>79</v>
      </c>
      <c r="AQ6519">
        <v>1</v>
      </c>
      <c r="AR6519" t="s">
        <v>80</v>
      </c>
      <c r="AS6519" t="s">
        <v>81</v>
      </c>
      <c r="AT6519" t="s">
        <v>58</v>
      </c>
      <c r="AU6519" t="s">
        <v>8673</v>
      </c>
      <c r="AV6519" t="s">
        <v>132</v>
      </c>
      <c r="AW6519" s="1">
        <v>31982</v>
      </c>
      <c r="AX6519">
        <v>1</v>
      </c>
    </row>
    <row r="6520" spans="1:50">
      <c r="A6520">
        <v>619649</v>
      </c>
      <c r="B6520" t="str">
        <f>"062929639"</f>
        <v>062929639</v>
      </c>
      <c r="C6520" t="s">
        <v>50</v>
      </c>
      <c r="D6520" t="s">
        <v>3131</v>
      </c>
      <c r="E6520" t="s">
        <v>83</v>
      </c>
      <c r="F6520" t="s">
        <v>72</v>
      </c>
      <c r="G6520" t="s">
        <v>188</v>
      </c>
      <c r="H6520" t="str">
        <f>"ΛΕΩΦΟΡΟΣ 62 ΜΑΡΤΥΡΩΝ 66 ΗΡΑΚΛΕΙΟ"</f>
        <v>ΛΕΩΦΟΡΟΣ 62 ΜΑΡΤΥΡΩΝ 66 ΗΡΑΚΛΕΙΟ</v>
      </c>
      <c r="I6520">
        <v>71303</v>
      </c>
      <c r="J6520">
        <v>2810318285</v>
      </c>
      <c r="K6520">
        <v>6977217926</v>
      </c>
      <c r="N6520" t="s">
        <v>1525</v>
      </c>
      <c r="O6520" t="s">
        <v>1526</v>
      </c>
      <c r="R6520" t="s">
        <v>57</v>
      </c>
      <c r="S6520">
        <v>18</v>
      </c>
      <c r="T6520">
        <v>774</v>
      </c>
      <c r="U6520" s="1">
        <v>39680</v>
      </c>
      <c r="V6520" t="s">
        <v>80</v>
      </c>
      <c r="W6520" t="s">
        <v>81</v>
      </c>
      <c r="X6520" t="s">
        <v>58</v>
      </c>
      <c r="Y6520">
        <v>25</v>
      </c>
      <c r="Z6520" t="s">
        <v>59</v>
      </c>
      <c r="AA6520" t="s">
        <v>59</v>
      </c>
      <c r="AB6520" t="s">
        <v>59</v>
      </c>
      <c r="AC6520" t="s">
        <v>59</v>
      </c>
      <c r="AD6520" t="s">
        <v>59</v>
      </c>
      <c r="AF6520" s="1">
        <v>39681</v>
      </c>
      <c r="AG6520" t="s">
        <v>8651</v>
      </c>
      <c r="AH6520" t="s">
        <v>8652</v>
      </c>
      <c r="AI6520" t="str">
        <f>"9170473"</f>
        <v>9170473</v>
      </c>
      <c r="AJ6520" t="s">
        <v>9567</v>
      </c>
      <c r="AK6520">
        <v>2810812103</v>
      </c>
      <c r="AL6520" t="s">
        <v>9568</v>
      </c>
      <c r="AM6520" t="s">
        <v>78</v>
      </c>
      <c r="AN6520" t="s">
        <v>129</v>
      </c>
      <c r="AO6520" t="s">
        <v>130</v>
      </c>
      <c r="AP6520" t="s">
        <v>8867</v>
      </c>
      <c r="AQ6520">
        <v>2</v>
      </c>
      <c r="AR6520" t="s">
        <v>80</v>
      </c>
      <c r="AS6520" t="s">
        <v>81</v>
      </c>
      <c r="AT6520" t="s">
        <v>58</v>
      </c>
      <c r="AU6520" t="s">
        <v>68</v>
      </c>
      <c r="AV6520" t="s">
        <v>69</v>
      </c>
      <c r="AW6520" s="1">
        <v>22124</v>
      </c>
      <c r="AX6520">
        <v>1</v>
      </c>
    </row>
    <row r="6521" spans="1:50">
      <c r="A6521">
        <v>601354</v>
      </c>
      <c r="B6521" t="str">
        <f>"067032540"</f>
        <v>067032540</v>
      </c>
      <c r="C6521" t="s">
        <v>50</v>
      </c>
      <c r="D6521" t="s">
        <v>10971</v>
      </c>
      <c r="E6521" t="s">
        <v>340</v>
      </c>
      <c r="F6521" t="s">
        <v>760</v>
      </c>
      <c r="G6521" t="s">
        <v>1078</v>
      </c>
      <c r="H6521" t="str">
        <f>"ΑΝΘΕΩΝ 78Α ΗΡΑΚΛΕΙΟ"</f>
        <v>ΑΝΘΕΩΝ 78Α ΗΡΑΚΛΕΙΟ</v>
      </c>
      <c r="I6521">
        <v>71409</v>
      </c>
      <c r="J6521">
        <v>2810226084</v>
      </c>
      <c r="K6521">
        <v>6974345222</v>
      </c>
      <c r="N6521" t="s">
        <v>615</v>
      </c>
      <c r="O6521" t="s">
        <v>616</v>
      </c>
      <c r="R6521" t="s">
        <v>57</v>
      </c>
      <c r="S6521">
        <v>8</v>
      </c>
      <c r="T6521">
        <v>207</v>
      </c>
      <c r="U6521" s="1">
        <v>37866</v>
      </c>
      <c r="V6521" t="s">
        <v>80</v>
      </c>
      <c r="W6521" t="s">
        <v>81</v>
      </c>
      <c r="X6521" t="s">
        <v>58</v>
      </c>
      <c r="Y6521">
        <v>22</v>
      </c>
      <c r="Z6521" t="s">
        <v>59</v>
      </c>
      <c r="AA6521" t="s">
        <v>59</v>
      </c>
      <c r="AB6521" t="s">
        <v>59</v>
      </c>
      <c r="AC6521" t="s">
        <v>59</v>
      </c>
      <c r="AD6521" t="s">
        <v>59</v>
      </c>
      <c r="AF6521" s="1">
        <v>37866</v>
      </c>
      <c r="AG6521" t="s">
        <v>8645</v>
      </c>
      <c r="AH6521" t="s">
        <v>8646</v>
      </c>
      <c r="AI6521" t="str">
        <f>"9170190"</f>
        <v>9170190</v>
      </c>
      <c r="AJ6521" t="s">
        <v>8689</v>
      </c>
      <c r="AK6521">
        <v>2810232169</v>
      </c>
      <c r="AL6521" t="s">
        <v>8690</v>
      </c>
      <c r="AM6521" t="s">
        <v>78</v>
      </c>
      <c r="AN6521" t="s">
        <v>78</v>
      </c>
      <c r="AO6521" t="s">
        <v>78</v>
      </c>
      <c r="AP6521" t="s">
        <v>163</v>
      </c>
      <c r="AQ6521">
        <v>1</v>
      </c>
      <c r="AR6521" t="s">
        <v>80</v>
      </c>
      <c r="AS6521" t="s">
        <v>81</v>
      </c>
      <c r="AT6521" t="s">
        <v>58</v>
      </c>
      <c r="AU6521" t="s">
        <v>68</v>
      </c>
      <c r="AV6521" t="s">
        <v>69</v>
      </c>
      <c r="AW6521" s="1">
        <v>25896</v>
      </c>
      <c r="AX6521">
        <v>1</v>
      </c>
    </row>
    <row r="6522" spans="1:50">
      <c r="A6522">
        <v>556264</v>
      </c>
      <c r="B6522" t="str">
        <f>"132340286"</f>
        <v>132340286</v>
      </c>
      <c r="C6522" t="s">
        <v>50</v>
      </c>
      <c r="D6522" t="s">
        <v>10972</v>
      </c>
      <c r="E6522" t="s">
        <v>237</v>
      </c>
      <c r="F6522" t="s">
        <v>1185</v>
      </c>
      <c r="G6522" t="s">
        <v>860</v>
      </c>
      <c r="H6522" t="str">
        <f>"ΑΡΙΣΤΕΙΔΟΥ  24 ΠΟΡΟΣ  ΗΡΑΚΛΕΙΟΥ"</f>
        <v>ΑΡΙΣΤΕΙΔΟΥ  24 ΠΟΡΟΣ  ΗΡΑΚΛΕΙΟΥ</v>
      </c>
      <c r="I6522">
        <v>71307</v>
      </c>
      <c r="K6522">
        <v>6951745748</v>
      </c>
      <c r="N6522" t="s">
        <v>615</v>
      </c>
      <c r="O6522" t="s">
        <v>616</v>
      </c>
      <c r="R6522" t="s">
        <v>57</v>
      </c>
      <c r="S6522">
        <v>15</v>
      </c>
      <c r="T6522">
        <v>200</v>
      </c>
      <c r="U6522" s="1">
        <v>31657</v>
      </c>
      <c r="V6522" t="s">
        <v>80</v>
      </c>
      <c r="W6522" t="s">
        <v>81</v>
      </c>
      <c r="X6522" t="s">
        <v>58</v>
      </c>
      <c r="Y6522">
        <v>21</v>
      </c>
      <c r="Z6522" t="s">
        <v>59</v>
      </c>
      <c r="AA6522" t="s">
        <v>59</v>
      </c>
      <c r="AB6522" t="s">
        <v>59</v>
      </c>
      <c r="AC6522" t="s">
        <v>59</v>
      </c>
      <c r="AD6522" t="s">
        <v>59</v>
      </c>
      <c r="AF6522" s="1">
        <v>31667</v>
      </c>
      <c r="AG6522" t="s">
        <v>8645</v>
      </c>
      <c r="AH6522" t="s">
        <v>8646</v>
      </c>
      <c r="AI6522" t="str">
        <f>"9170427"</f>
        <v>9170427</v>
      </c>
      <c r="AJ6522" t="s">
        <v>8817</v>
      </c>
      <c r="AK6522">
        <v>2810220998</v>
      </c>
      <c r="AL6522" t="s">
        <v>8818</v>
      </c>
      <c r="AM6522" t="s">
        <v>78</v>
      </c>
      <c r="AN6522" t="s">
        <v>78</v>
      </c>
      <c r="AO6522" t="s">
        <v>286</v>
      </c>
      <c r="AP6522" t="s">
        <v>286</v>
      </c>
      <c r="AQ6522">
        <v>1</v>
      </c>
      <c r="AR6522" t="s">
        <v>80</v>
      </c>
      <c r="AS6522" t="s">
        <v>81</v>
      </c>
      <c r="AT6522" t="s">
        <v>58</v>
      </c>
      <c r="AU6522" t="s">
        <v>68</v>
      </c>
      <c r="AV6522" t="s">
        <v>69</v>
      </c>
      <c r="AW6522" s="1">
        <v>21225</v>
      </c>
      <c r="AX6522">
        <v>1</v>
      </c>
    </row>
    <row r="6523" spans="1:50">
      <c r="B6523" t="str">
        <f>"139687137"</f>
        <v>139687137</v>
      </c>
      <c r="C6523" t="s">
        <v>50</v>
      </c>
      <c r="D6523" t="s">
        <v>5236</v>
      </c>
      <c r="E6523" t="s">
        <v>52</v>
      </c>
      <c r="F6523" t="s">
        <v>95</v>
      </c>
      <c r="G6523" t="s">
        <v>671</v>
      </c>
      <c r="H6523" t="str">
        <f>"ΝΙΚΟΜΗΔΕΙΑΣ 2 Α.ΗΛΙΟΥΠΟΛΗ "</f>
        <v xml:space="preserve">ΝΙΚΟΜΗΔΕΙΑΣ 2 Α.ΗΛΙΟΥΠΟΛΗ </v>
      </c>
      <c r="I6523">
        <v>56431</v>
      </c>
      <c r="J6523">
        <v>2310665165</v>
      </c>
      <c r="K6523">
        <v>6988607936</v>
      </c>
      <c r="N6523" t="s">
        <v>1525</v>
      </c>
      <c r="O6523" t="s">
        <v>1526</v>
      </c>
      <c r="R6523" t="s">
        <v>159</v>
      </c>
      <c r="S6523">
        <v>2</v>
      </c>
      <c r="T6523" t="s">
        <v>8670</v>
      </c>
      <c r="U6523" s="1">
        <v>43348</v>
      </c>
      <c r="V6523" t="s">
        <v>80</v>
      </c>
      <c r="W6523" t="s">
        <v>81</v>
      </c>
      <c r="X6523" t="s">
        <v>58</v>
      </c>
      <c r="Y6523">
        <v>25</v>
      </c>
      <c r="Z6523" t="s">
        <v>59</v>
      </c>
      <c r="AA6523" t="s">
        <v>59</v>
      </c>
      <c r="AB6523" t="s">
        <v>59</v>
      </c>
      <c r="AC6523" t="s">
        <v>59</v>
      </c>
      <c r="AD6523" t="s">
        <v>59</v>
      </c>
      <c r="AF6523" s="1">
        <v>43348</v>
      </c>
      <c r="AG6523" t="s">
        <v>8651</v>
      </c>
      <c r="AH6523" t="s">
        <v>8652</v>
      </c>
      <c r="AI6523" t="str">
        <f>"9170367"</f>
        <v>9170367</v>
      </c>
      <c r="AJ6523" t="s">
        <v>9070</v>
      </c>
      <c r="AK6523">
        <v>2810244550</v>
      </c>
      <c r="AL6523" t="s">
        <v>9071</v>
      </c>
      <c r="AM6523" t="s">
        <v>78</v>
      </c>
      <c r="AN6523" t="s">
        <v>78</v>
      </c>
      <c r="AO6523" t="s">
        <v>286</v>
      </c>
      <c r="AP6523" t="s">
        <v>286</v>
      </c>
      <c r="AQ6523">
        <v>1</v>
      </c>
      <c r="AR6523" t="s">
        <v>80</v>
      </c>
      <c r="AS6523" t="s">
        <v>81</v>
      </c>
      <c r="AT6523" t="s">
        <v>58</v>
      </c>
      <c r="AU6523" t="s">
        <v>8673</v>
      </c>
      <c r="AV6523" t="s">
        <v>132</v>
      </c>
      <c r="AW6523" s="1">
        <v>30079</v>
      </c>
      <c r="AX6523">
        <v>1</v>
      </c>
    </row>
    <row r="6524" spans="1:50">
      <c r="B6524" t="str">
        <f>"145069120"</f>
        <v>145069120</v>
      </c>
      <c r="C6524" t="s">
        <v>50</v>
      </c>
      <c r="D6524" t="s">
        <v>10973</v>
      </c>
      <c r="E6524" t="s">
        <v>52</v>
      </c>
      <c r="F6524" t="s">
        <v>72</v>
      </c>
      <c r="G6524" t="s">
        <v>155</v>
      </c>
      <c r="H6524" t="str">
        <f>"Π.ΜΕΛΑ 27 "</f>
        <v xml:space="preserve">Π.ΜΕΛΑ 27 </v>
      </c>
      <c r="I6524">
        <v>59100</v>
      </c>
      <c r="J6524">
        <v>2331065090</v>
      </c>
      <c r="K6524">
        <v>6977282553</v>
      </c>
      <c r="N6524" t="s">
        <v>615</v>
      </c>
      <c r="O6524" t="s">
        <v>616</v>
      </c>
      <c r="R6524" t="s">
        <v>159</v>
      </c>
      <c r="S6524">
        <v>1</v>
      </c>
      <c r="T6524" t="s">
        <v>8675</v>
      </c>
      <c r="U6524" s="1">
        <v>43348</v>
      </c>
      <c r="V6524" t="s">
        <v>80</v>
      </c>
      <c r="W6524" t="s">
        <v>81</v>
      </c>
      <c r="X6524" t="s">
        <v>58</v>
      </c>
      <c r="Y6524">
        <v>24</v>
      </c>
      <c r="Z6524" t="s">
        <v>59</v>
      </c>
      <c r="AA6524" t="s">
        <v>59</v>
      </c>
      <c r="AB6524" t="s">
        <v>59</v>
      </c>
      <c r="AC6524" t="s">
        <v>59</v>
      </c>
      <c r="AD6524" t="s">
        <v>59</v>
      </c>
      <c r="AF6524" s="1">
        <v>43348</v>
      </c>
      <c r="AG6524" t="s">
        <v>8645</v>
      </c>
      <c r="AH6524" t="s">
        <v>8646</v>
      </c>
      <c r="AI6524" t="str">
        <f>"9170097"</f>
        <v>9170097</v>
      </c>
      <c r="AJ6524" t="s">
        <v>8826</v>
      </c>
      <c r="AK6524">
        <v>2810751807</v>
      </c>
      <c r="AL6524" t="s">
        <v>8827</v>
      </c>
      <c r="AM6524" t="s">
        <v>78</v>
      </c>
      <c r="AN6524" t="s">
        <v>424</v>
      </c>
      <c r="AO6524" t="s">
        <v>425</v>
      </c>
      <c r="AP6524" t="s">
        <v>425</v>
      </c>
      <c r="AQ6524">
        <v>11</v>
      </c>
      <c r="AR6524" t="s">
        <v>80</v>
      </c>
      <c r="AS6524" t="s">
        <v>81</v>
      </c>
      <c r="AT6524" t="s">
        <v>58</v>
      </c>
      <c r="AU6524" t="s">
        <v>8673</v>
      </c>
      <c r="AV6524" t="s">
        <v>132</v>
      </c>
      <c r="AW6524" s="1">
        <v>32300</v>
      </c>
      <c r="AX6524">
        <v>1</v>
      </c>
    </row>
    <row r="6525" spans="1:50">
      <c r="A6525">
        <v>568618</v>
      </c>
      <c r="B6525" t="str">
        <f>"064711474"</f>
        <v>064711474</v>
      </c>
      <c r="C6525" t="s">
        <v>50</v>
      </c>
      <c r="D6525" t="s">
        <v>3149</v>
      </c>
      <c r="E6525" t="s">
        <v>1588</v>
      </c>
      <c r="F6525" t="s">
        <v>53</v>
      </c>
      <c r="G6525" t="s">
        <v>372</v>
      </c>
      <c r="H6525" t="str">
        <f>" "</f>
        <v xml:space="preserve"> </v>
      </c>
      <c r="N6525" t="s">
        <v>615</v>
      </c>
      <c r="O6525" t="s">
        <v>616</v>
      </c>
      <c r="R6525" t="s">
        <v>57</v>
      </c>
      <c r="S6525">
        <v>14</v>
      </c>
      <c r="T6525">
        <v>162</v>
      </c>
      <c r="U6525" s="1">
        <v>33844</v>
      </c>
      <c r="V6525" t="s">
        <v>80</v>
      </c>
      <c r="W6525" t="s">
        <v>81</v>
      </c>
      <c r="X6525" t="s">
        <v>58</v>
      </c>
      <c r="Y6525">
        <v>21</v>
      </c>
      <c r="Z6525" t="s">
        <v>59</v>
      </c>
      <c r="AA6525" t="s">
        <v>59</v>
      </c>
      <c r="AB6525" t="s">
        <v>59</v>
      </c>
      <c r="AC6525" t="s">
        <v>59</v>
      </c>
      <c r="AD6525" t="s">
        <v>59</v>
      </c>
      <c r="AF6525" s="1">
        <v>33851</v>
      </c>
      <c r="AG6525" t="s">
        <v>8645</v>
      </c>
      <c r="AH6525" t="s">
        <v>8646</v>
      </c>
      <c r="AI6525" t="str">
        <f>"9170535"</f>
        <v>9170535</v>
      </c>
      <c r="AJ6525" t="s">
        <v>9330</v>
      </c>
      <c r="AK6525">
        <v>2810222629</v>
      </c>
      <c r="AL6525" t="s">
        <v>9331</v>
      </c>
      <c r="AM6525" t="s">
        <v>78</v>
      </c>
      <c r="AN6525" t="s">
        <v>78</v>
      </c>
      <c r="AO6525" t="s">
        <v>78</v>
      </c>
      <c r="AP6525" t="s">
        <v>213</v>
      </c>
      <c r="AQ6525">
        <v>1</v>
      </c>
      <c r="AR6525" t="s">
        <v>80</v>
      </c>
      <c r="AS6525" t="s">
        <v>81</v>
      </c>
      <c r="AT6525" t="s">
        <v>58</v>
      </c>
      <c r="AU6525" t="s">
        <v>68</v>
      </c>
      <c r="AV6525" t="s">
        <v>69</v>
      </c>
      <c r="AW6525" s="1">
        <v>22896</v>
      </c>
      <c r="AX6525">
        <v>1</v>
      </c>
    </row>
    <row r="6526" spans="1:50">
      <c r="B6526" t="str">
        <f>"158134155"</f>
        <v>158134155</v>
      </c>
      <c r="C6526" t="s">
        <v>50</v>
      </c>
      <c r="D6526" t="s">
        <v>3149</v>
      </c>
      <c r="E6526" t="s">
        <v>109</v>
      </c>
      <c r="F6526" t="s">
        <v>383</v>
      </c>
      <c r="G6526" t="s">
        <v>155</v>
      </c>
      <c r="H6526" t="str">
        <f>" "</f>
        <v xml:space="preserve"> </v>
      </c>
      <c r="N6526" t="s">
        <v>8694</v>
      </c>
      <c r="O6526" t="s">
        <v>8695</v>
      </c>
      <c r="R6526" t="s">
        <v>159</v>
      </c>
      <c r="S6526">
        <v>1</v>
      </c>
      <c r="T6526" t="s">
        <v>8696</v>
      </c>
      <c r="U6526" s="1">
        <v>43348</v>
      </c>
      <c r="V6526" t="s">
        <v>80</v>
      </c>
      <c r="W6526" t="s">
        <v>81</v>
      </c>
      <c r="X6526" t="s">
        <v>58</v>
      </c>
      <c r="Y6526">
        <v>24</v>
      </c>
      <c r="Z6526" t="s">
        <v>59</v>
      </c>
      <c r="AA6526" t="s">
        <v>59</v>
      </c>
      <c r="AB6526" t="s">
        <v>59</v>
      </c>
      <c r="AD6526" t="s">
        <v>59</v>
      </c>
      <c r="AF6526" s="1">
        <v>43348</v>
      </c>
      <c r="AG6526" t="s">
        <v>8645</v>
      </c>
      <c r="AH6526" t="s">
        <v>8697</v>
      </c>
      <c r="AI6526" t="str">
        <f>"9170581"</f>
        <v>9170581</v>
      </c>
      <c r="AJ6526" t="s">
        <v>9232</v>
      </c>
      <c r="AK6526">
        <v>2892041052</v>
      </c>
      <c r="AL6526" t="s">
        <v>9233</v>
      </c>
      <c r="AM6526" t="s">
        <v>78</v>
      </c>
      <c r="AN6526" t="s">
        <v>242</v>
      </c>
      <c r="AO6526" t="s">
        <v>243</v>
      </c>
      <c r="AP6526" t="s">
        <v>244</v>
      </c>
      <c r="AQ6526">
        <v>20</v>
      </c>
      <c r="AR6526" t="s">
        <v>80</v>
      </c>
      <c r="AS6526" t="s">
        <v>81</v>
      </c>
      <c r="AT6526" t="s">
        <v>58</v>
      </c>
      <c r="AU6526" t="s">
        <v>350</v>
      </c>
      <c r="AV6526" t="s">
        <v>132</v>
      </c>
      <c r="AW6526" s="1">
        <v>33746</v>
      </c>
      <c r="AX6526">
        <v>1</v>
      </c>
    </row>
    <row r="6527" spans="1:50">
      <c r="A6527">
        <v>616196</v>
      </c>
      <c r="B6527" t="str">
        <f>"076025385"</f>
        <v>076025385</v>
      </c>
      <c r="C6527" t="s">
        <v>50</v>
      </c>
      <c r="D6527" t="s">
        <v>3149</v>
      </c>
      <c r="E6527" t="s">
        <v>620</v>
      </c>
      <c r="F6527" t="s">
        <v>95</v>
      </c>
      <c r="G6527" t="s">
        <v>10351</v>
      </c>
      <c r="H6527" t="str">
        <f>" "</f>
        <v xml:space="preserve"> </v>
      </c>
      <c r="J6527">
        <v>2810214492</v>
      </c>
      <c r="K6527">
        <v>6974900333</v>
      </c>
      <c r="N6527" t="s">
        <v>1525</v>
      </c>
      <c r="O6527" t="s">
        <v>1526</v>
      </c>
      <c r="R6527" t="s">
        <v>57</v>
      </c>
      <c r="S6527">
        <v>5</v>
      </c>
      <c r="T6527">
        <v>660</v>
      </c>
      <c r="U6527" s="1">
        <v>39311</v>
      </c>
      <c r="V6527" t="s">
        <v>80</v>
      </c>
      <c r="W6527" t="s">
        <v>81</v>
      </c>
      <c r="X6527" t="s">
        <v>58</v>
      </c>
      <c r="Y6527">
        <v>25</v>
      </c>
      <c r="Z6527" t="s">
        <v>59</v>
      </c>
      <c r="AA6527" t="s">
        <v>59</v>
      </c>
      <c r="AB6527" t="s">
        <v>59</v>
      </c>
      <c r="AC6527" t="s">
        <v>59</v>
      </c>
      <c r="AD6527" t="s">
        <v>59</v>
      </c>
      <c r="AF6527" s="1">
        <v>39328</v>
      </c>
      <c r="AG6527" t="s">
        <v>8651</v>
      </c>
      <c r="AH6527" t="s">
        <v>8652</v>
      </c>
      <c r="AI6527" t="str">
        <f>"9170587"</f>
        <v>9170587</v>
      </c>
      <c r="AJ6527" t="s">
        <v>10197</v>
      </c>
      <c r="AK6527">
        <v>2810212554</v>
      </c>
      <c r="AL6527" t="s">
        <v>10198</v>
      </c>
      <c r="AM6527" t="s">
        <v>78</v>
      </c>
      <c r="AN6527" t="s">
        <v>78</v>
      </c>
      <c r="AO6527" t="s">
        <v>78</v>
      </c>
      <c r="AP6527" t="s">
        <v>163</v>
      </c>
      <c r="AQ6527">
        <v>1</v>
      </c>
      <c r="AR6527" t="s">
        <v>80</v>
      </c>
      <c r="AS6527" t="s">
        <v>81</v>
      </c>
      <c r="AT6527" t="s">
        <v>58</v>
      </c>
      <c r="AU6527" t="s">
        <v>68</v>
      </c>
      <c r="AV6527" t="s">
        <v>69</v>
      </c>
      <c r="AW6527" s="1">
        <v>26916</v>
      </c>
      <c r="AX6527">
        <v>1</v>
      </c>
    </row>
    <row r="6528" spans="1:50">
      <c r="A6528">
        <v>602995</v>
      </c>
      <c r="B6528" t="str">
        <f>"111600677"</f>
        <v>111600677</v>
      </c>
      <c r="C6528" t="s">
        <v>50</v>
      </c>
      <c r="D6528" t="s">
        <v>3149</v>
      </c>
      <c r="E6528" t="s">
        <v>620</v>
      </c>
      <c r="F6528" t="s">
        <v>2933</v>
      </c>
      <c r="G6528" t="s">
        <v>237</v>
      </c>
      <c r="H6528" t="str">
        <f>"Βάρνης 37 ΗΡΑΚΛΕΙΟΥ"</f>
        <v>Βάρνης 37 ΗΡΑΚΛΕΙΟΥ</v>
      </c>
      <c r="I6528">
        <v>71305</v>
      </c>
      <c r="K6528">
        <v>6971866339</v>
      </c>
      <c r="M6528" t="s">
        <v>10974</v>
      </c>
      <c r="N6528" t="s">
        <v>1525</v>
      </c>
      <c r="O6528" t="s">
        <v>1526</v>
      </c>
      <c r="R6528" t="s">
        <v>57</v>
      </c>
      <c r="S6528">
        <v>8</v>
      </c>
      <c r="T6528">
        <v>207</v>
      </c>
      <c r="U6528" s="1">
        <v>37866</v>
      </c>
      <c r="V6528" t="s">
        <v>80</v>
      </c>
      <c r="W6528" t="s">
        <v>81</v>
      </c>
      <c r="X6528" t="s">
        <v>58</v>
      </c>
      <c r="Y6528">
        <v>25</v>
      </c>
      <c r="Z6528" t="s">
        <v>59</v>
      </c>
      <c r="AA6528" t="s">
        <v>59</v>
      </c>
      <c r="AB6528" t="s">
        <v>59</v>
      </c>
      <c r="AC6528" t="s">
        <v>59</v>
      </c>
      <c r="AD6528" t="s">
        <v>59</v>
      </c>
      <c r="AF6528" s="1">
        <v>37866</v>
      </c>
      <c r="AG6528" t="s">
        <v>8651</v>
      </c>
      <c r="AH6528" t="s">
        <v>8652</v>
      </c>
      <c r="AI6528" t="str">
        <f>"9170498"</f>
        <v>9170498</v>
      </c>
      <c r="AJ6528" t="s">
        <v>10314</v>
      </c>
      <c r="AK6528">
        <v>2810315220</v>
      </c>
      <c r="AL6528" t="s">
        <v>10315</v>
      </c>
      <c r="AM6528" t="s">
        <v>78</v>
      </c>
      <c r="AN6528" t="s">
        <v>78</v>
      </c>
      <c r="AO6528" t="s">
        <v>78</v>
      </c>
      <c r="AP6528" t="s">
        <v>79</v>
      </c>
      <c r="AQ6528">
        <v>1</v>
      </c>
      <c r="AR6528" t="s">
        <v>80</v>
      </c>
      <c r="AS6528" t="s">
        <v>81</v>
      </c>
      <c r="AT6528" t="s">
        <v>58</v>
      </c>
      <c r="AU6528" t="s">
        <v>68</v>
      </c>
      <c r="AV6528" t="s">
        <v>69</v>
      </c>
      <c r="AW6528" s="1">
        <v>24855</v>
      </c>
      <c r="AX6528">
        <v>1</v>
      </c>
    </row>
    <row r="6529" spans="1:50">
      <c r="A6529">
        <v>618868</v>
      </c>
      <c r="B6529" t="str">
        <f>"137249861"</f>
        <v>137249861</v>
      </c>
      <c r="C6529" t="s">
        <v>50</v>
      </c>
      <c r="D6529" t="s">
        <v>3154</v>
      </c>
      <c r="E6529" t="s">
        <v>250</v>
      </c>
      <c r="F6529" t="s">
        <v>72</v>
      </c>
      <c r="G6529" t="s">
        <v>112</v>
      </c>
      <c r="H6529" t="str">
        <f>"ΧΟΡΤΑΤΣΩΝ 6 ΗΡΑΚΛΕΙΟ"</f>
        <v>ΧΟΡΤΑΤΣΩΝ 6 ΗΡΑΚΛΕΙΟ</v>
      </c>
      <c r="I6529">
        <v>71202</v>
      </c>
      <c r="J6529">
        <v>2810287262</v>
      </c>
      <c r="K6529">
        <v>6947373934</v>
      </c>
      <c r="N6529" t="s">
        <v>615</v>
      </c>
      <c r="O6529" t="s">
        <v>616</v>
      </c>
      <c r="R6529" t="s">
        <v>57</v>
      </c>
      <c r="S6529">
        <v>5</v>
      </c>
      <c r="T6529">
        <v>774</v>
      </c>
      <c r="U6529" s="1">
        <v>39680</v>
      </c>
      <c r="V6529" t="s">
        <v>80</v>
      </c>
      <c r="W6529" t="s">
        <v>81</v>
      </c>
      <c r="X6529" t="s">
        <v>58</v>
      </c>
      <c r="Y6529">
        <v>23</v>
      </c>
      <c r="Z6529" t="s">
        <v>59</v>
      </c>
      <c r="AA6529" t="s">
        <v>59</v>
      </c>
      <c r="AB6529" t="s">
        <v>59</v>
      </c>
      <c r="AC6529" t="s">
        <v>59</v>
      </c>
      <c r="AD6529" t="s">
        <v>59</v>
      </c>
      <c r="AF6529" s="1">
        <v>39681</v>
      </c>
      <c r="AG6529" t="s">
        <v>8645</v>
      </c>
      <c r="AH6529" t="s">
        <v>8646</v>
      </c>
      <c r="AI6529" t="str">
        <f>"9170039"</f>
        <v>9170039</v>
      </c>
      <c r="AJ6529" t="s">
        <v>8804</v>
      </c>
      <c r="AK6529">
        <v>2894022231</v>
      </c>
      <c r="AL6529" t="s">
        <v>8805</v>
      </c>
      <c r="AM6529" t="s">
        <v>78</v>
      </c>
      <c r="AN6529" t="s">
        <v>405</v>
      </c>
      <c r="AO6529" t="s">
        <v>406</v>
      </c>
      <c r="AP6529" t="s">
        <v>406</v>
      </c>
      <c r="AQ6529">
        <v>6</v>
      </c>
      <c r="AR6529" t="s">
        <v>80</v>
      </c>
      <c r="AS6529" t="s">
        <v>81</v>
      </c>
      <c r="AT6529" t="s">
        <v>58</v>
      </c>
      <c r="AU6529" t="s">
        <v>68</v>
      </c>
      <c r="AV6529" t="s">
        <v>69</v>
      </c>
      <c r="AW6529" s="1">
        <v>31427</v>
      </c>
      <c r="AX6529">
        <v>1</v>
      </c>
    </row>
    <row r="6530" spans="1:50">
      <c r="A6530">
        <v>595646</v>
      </c>
      <c r="B6530" t="str">
        <f>"054035588"</f>
        <v>054035588</v>
      </c>
      <c r="C6530" t="s">
        <v>50</v>
      </c>
      <c r="D6530" t="s">
        <v>3154</v>
      </c>
      <c r="E6530" t="s">
        <v>367</v>
      </c>
      <c r="F6530" t="s">
        <v>53</v>
      </c>
      <c r="G6530" t="s">
        <v>181</v>
      </c>
      <c r="H6530" t="str">
        <f>"ΕΡΥΘΡΟΥ ΣΤΑΥΡΟΥ 17 ΠΑΤΕΛΛΕΣ"</f>
        <v>ΕΡΥΘΡΟΥ ΣΤΑΥΡΟΥ 17 ΠΑΤΕΛΛΕΣ</v>
      </c>
      <c r="J6530">
        <v>2810281335</v>
      </c>
      <c r="K6530">
        <v>6947839070</v>
      </c>
      <c r="M6530" t="s">
        <v>10975</v>
      </c>
      <c r="N6530" t="s">
        <v>1525</v>
      </c>
      <c r="O6530" t="s">
        <v>1526</v>
      </c>
      <c r="R6530" t="s">
        <v>57</v>
      </c>
      <c r="S6530">
        <v>8</v>
      </c>
      <c r="T6530">
        <v>218</v>
      </c>
      <c r="U6530" s="1">
        <v>37134</v>
      </c>
      <c r="V6530" t="s">
        <v>80</v>
      </c>
      <c r="W6530" t="s">
        <v>81</v>
      </c>
      <c r="X6530" t="s">
        <v>58</v>
      </c>
      <c r="Y6530">
        <v>25</v>
      </c>
      <c r="Z6530" t="s">
        <v>59</v>
      </c>
      <c r="AA6530" t="s">
        <v>59</v>
      </c>
      <c r="AB6530" t="s">
        <v>59</v>
      </c>
      <c r="AC6530" t="s">
        <v>59</v>
      </c>
      <c r="AD6530" t="s">
        <v>59</v>
      </c>
      <c r="AF6530" s="1">
        <v>37141</v>
      </c>
      <c r="AG6530" t="s">
        <v>8651</v>
      </c>
      <c r="AH6530" t="s">
        <v>8652</v>
      </c>
      <c r="AI6530" t="str">
        <f>"9170256"</f>
        <v>9170256</v>
      </c>
      <c r="AJ6530" t="s">
        <v>9156</v>
      </c>
      <c r="AK6530">
        <v>2810211000</v>
      </c>
      <c r="AL6530" t="s">
        <v>9157</v>
      </c>
      <c r="AM6530" t="s">
        <v>78</v>
      </c>
      <c r="AN6530" t="s">
        <v>78</v>
      </c>
      <c r="AO6530" t="s">
        <v>78</v>
      </c>
      <c r="AP6530" t="s">
        <v>163</v>
      </c>
      <c r="AQ6530">
        <v>1</v>
      </c>
      <c r="AR6530" t="s">
        <v>80</v>
      </c>
      <c r="AS6530" t="s">
        <v>81</v>
      </c>
      <c r="AT6530" t="s">
        <v>58</v>
      </c>
      <c r="AU6530" t="s">
        <v>68</v>
      </c>
      <c r="AV6530" t="s">
        <v>69</v>
      </c>
      <c r="AW6530" s="1">
        <v>25244</v>
      </c>
      <c r="AX6530">
        <v>1</v>
      </c>
    </row>
    <row r="6531" spans="1:50">
      <c r="A6531">
        <v>561948</v>
      </c>
      <c r="B6531" t="str">
        <f>"030875036"</f>
        <v>030875036</v>
      </c>
      <c r="C6531" t="s">
        <v>105</v>
      </c>
      <c r="D6531" t="s">
        <v>10976</v>
      </c>
      <c r="E6531" t="s">
        <v>99</v>
      </c>
      <c r="F6531" t="s">
        <v>166</v>
      </c>
      <c r="G6531" t="s">
        <v>52</v>
      </c>
      <c r="H6531" t="str">
        <f>" "</f>
        <v xml:space="preserve"> </v>
      </c>
      <c r="N6531" t="s">
        <v>615</v>
      </c>
      <c r="O6531" t="s">
        <v>616</v>
      </c>
      <c r="R6531" t="s">
        <v>57</v>
      </c>
      <c r="S6531">
        <v>15</v>
      </c>
      <c r="T6531">
        <v>187</v>
      </c>
      <c r="U6531" s="1">
        <v>32750</v>
      </c>
      <c r="V6531" t="s">
        <v>80</v>
      </c>
      <c r="W6531" t="s">
        <v>81</v>
      </c>
      <c r="X6531" t="s">
        <v>58</v>
      </c>
      <c r="Y6531">
        <v>21</v>
      </c>
      <c r="Z6531" t="s">
        <v>59</v>
      </c>
      <c r="AA6531" t="s">
        <v>59</v>
      </c>
      <c r="AB6531" t="s">
        <v>59</v>
      </c>
      <c r="AC6531" t="s">
        <v>59</v>
      </c>
      <c r="AD6531" t="s">
        <v>59</v>
      </c>
      <c r="AF6531" s="1">
        <v>32752</v>
      </c>
      <c r="AG6531" t="s">
        <v>8645</v>
      </c>
      <c r="AH6531" t="s">
        <v>8646</v>
      </c>
      <c r="AI6531" t="str">
        <f>"9170338"</f>
        <v>9170338</v>
      </c>
      <c r="AJ6531" t="s">
        <v>8849</v>
      </c>
      <c r="AK6531">
        <v>2892051377</v>
      </c>
      <c r="AL6531" t="s">
        <v>8850</v>
      </c>
      <c r="AM6531" t="s">
        <v>78</v>
      </c>
      <c r="AN6531" t="s">
        <v>242</v>
      </c>
      <c r="AO6531" t="s">
        <v>349</v>
      </c>
      <c r="AP6531" t="s">
        <v>349</v>
      </c>
      <c r="AQ6531">
        <v>19</v>
      </c>
      <c r="AR6531" t="s">
        <v>80</v>
      </c>
      <c r="AS6531" t="s">
        <v>81</v>
      </c>
      <c r="AT6531" t="s">
        <v>58</v>
      </c>
      <c r="AU6531" t="s">
        <v>68</v>
      </c>
      <c r="AV6531" t="s">
        <v>2039</v>
      </c>
      <c r="AW6531" s="1">
        <v>22986</v>
      </c>
      <c r="AX6531">
        <v>1</v>
      </c>
    </row>
    <row r="6532" spans="1:50">
      <c r="B6532" t="str">
        <f>"144330745"</f>
        <v>144330745</v>
      </c>
      <c r="C6532" t="s">
        <v>50</v>
      </c>
      <c r="D6532" t="s">
        <v>10977</v>
      </c>
      <c r="E6532" t="s">
        <v>3150</v>
      </c>
      <c r="F6532" t="s">
        <v>154</v>
      </c>
      <c r="G6532" t="s">
        <v>237</v>
      </c>
      <c r="H6532" t="str">
        <f>"Γ. ΣΚΟΥΛΑ 40 "</f>
        <v xml:space="preserve">Γ. ΣΚΟΥΛΑ 40 </v>
      </c>
      <c r="I6532">
        <v>71305</v>
      </c>
      <c r="J6532">
        <v>2810213044</v>
      </c>
      <c r="K6532">
        <v>6942466155</v>
      </c>
      <c r="N6532" t="s">
        <v>615</v>
      </c>
      <c r="O6532" t="s">
        <v>616</v>
      </c>
      <c r="R6532" t="s">
        <v>159</v>
      </c>
      <c r="S6532">
        <v>3</v>
      </c>
      <c r="T6532" t="s">
        <v>8675</v>
      </c>
      <c r="U6532" s="1">
        <v>43348</v>
      </c>
      <c r="V6532" t="s">
        <v>80</v>
      </c>
      <c r="W6532" t="s">
        <v>81</v>
      </c>
      <c r="X6532" t="s">
        <v>58</v>
      </c>
      <c r="Y6532">
        <v>24</v>
      </c>
      <c r="Z6532" t="s">
        <v>59</v>
      </c>
      <c r="AA6532" t="s">
        <v>59</v>
      </c>
      <c r="AB6532" t="s">
        <v>59</v>
      </c>
      <c r="AC6532" t="s">
        <v>59</v>
      </c>
      <c r="AD6532" t="s">
        <v>59</v>
      </c>
      <c r="AF6532" s="1">
        <v>43348</v>
      </c>
      <c r="AG6532" t="s">
        <v>8645</v>
      </c>
      <c r="AH6532" t="s">
        <v>8646</v>
      </c>
      <c r="AI6532" t="str">
        <f>"9170235"</f>
        <v>9170235</v>
      </c>
      <c r="AJ6532" t="s">
        <v>8806</v>
      </c>
      <c r="AK6532">
        <v>2891031258</v>
      </c>
      <c r="AL6532" t="s">
        <v>8807</v>
      </c>
      <c r="AM6532" t="s">
        <v>78</v>
      </c>
      <c r="AN6532" t="s">
        <v>276</v>
      </c>
      <c r="AO6532" t="s">
        <v>277</v>
      </c>
      <c r="AP6532" t="s">
        <v>277</v>
      </c>
      <c r="AQ6532">
        <v>13</v>
      </c>
      <c r="AR6532" t="s">
        <v>80</v>
      </c>
      <c r="AS6532" t="s">
        <v>81</v>
      </c>
      <c r="AT6532" t="s">
        <v>58</v>
      </c>
      <c r="AU6532" t="s">
        <v>8673</v>
      </c>
      <c r="AV6532" t="s">
        <v>132</v>
      </c>
      <c r="AW6532" s="1">
        <v>32172</v>
      </c>
      <c r="AX6532">
        <v>1</v>
      </c>
    </row>
    <row r="6533" spans="1:50">
      <c r="A6533">
        <v>618529</v>
      </c>
      <c r="B6533" t="str">
        <f>"132957981"</f>
        <v>132957981</v>
      </c>
      <c r="C6533" t="s">
        <v>50</v>
      </c>
      <c r="D6533" t="s">
        <v>3157</v>
      </c>
      <c r="E6533" t="s">
        <v>964</v>
      </c>
      <c r="F6533" t="s">
        <v>95</v>
      </c>
      <c r="G6533" t="s">
        <v>54</v>
      </c>
      <c r="H6533" t="str">
        <f>"ΔΙΟΣ 9 ΗΡΑΚΛΕΙΟ"</f>
        <v>ΔΙΟΣ 9 ΗΡΑΚΛΕΙΟ</v>
      </c>
      <c r="I6533">
        <v>71305</v>
      </c>
      <c r="J6533">
        <v>2810212368</v>
      </c>
      <c r="K6533">
        <v>6946955172</v>
      </c>
      <c r="M6533" t="s">
        <v>10978</v>
      </c>
      <c r="N6533" t="s">
        <v>615</v>
      </c>
      <c r="O6533" t="s">
        <v>616</v>
      </c>
      <c r="R6533" t="s">
        <v>57</v>
      </c>
      <c r="S6533">
        <v>5</v>
      </c>
      <c r="T6533">
        <v>774</v>
      </c>
      <c r="U6533" s="1">
        <v>39680</v>
      </c>
      <c r="V6533" t="s">
        <v>80</v>
      </c>
      <c r="W6533" t="s">
        <v>81</v>
      </c>
      <c r="X6533" t="s">
        <v>58</v>
      </c>
      <c r="Y6533">
        <v>23</v>
      </c>
      <c r="Z6533" t="s">
        <v>59</v>
      </c>
      <c r="AA6533" t="s">
        <v>59</v>
      </c>
      <c r="AB6533" t="s">
        <v>59</v>
      </c>
      <c r="AC6533" t="s">
        <v>59</v>
      </c>
      <c r="AD6533" t="s">
        <v>59</v>
      </c>
      <c r="AF6533" s="1">
        <v>39681</v>
      </c>
      <c r="AG6533" t="s">
        <v>8645</v>
      </c>
      <c r="AH6533" t="s">
        <v>8646</v>
      </c>
      <c r="AI6533" t="str">
        <f>"9170512"</f>
        <v>9170512</v>
      </c>
      <c r="AJ6533" t="s">
        <v>8986</v>
      </c>
      <c r="AK6533">
        <v>2810253082</v>
      </c>
      <c r="AL6533" t="s">
        <v>8987</v>
      </c>
      <c r="AM6533" t="s">
        <v>78</v>
      </c>
      <c r="AN6533" t="s">
        <v>78</v>
      </c>
      <c r="AO6533" t="s">
        <v>78</v>
      </c>
      <c r="AP6533" t="s">
        <v>141</v>
      </c>
      <c r="AQ6533">
        <v>1</v>
      </c>
      <c r="AR6533" t="s">
        <v>80</v>
      </c>
      <c r="AS6533" t="s">
        <v>81</v>
      </c>
      <c r="AT6533" t="s">
        <v>58</v>
      </c>
      <c r="AU6533" t="s">
        <v>68</v>
      </c>
      <c r="AV6533" t="s">
        <v>69</v>
      </c>
      <c r="AW6533" s="1">
        <v>30933</v>
      </c>
      <c r="AX6533">
        <v>1</v>
      </c>
    </row>
    <row r="6534" spans="1:50">
      <c r="A6534">
        <v>614122</v>
      </c>
      <c r="B6534" t="str">
        <f>"128341526"</f>
        <v>128341526</v>
      </c>
      <c r="C6534" t="s">
        <v>50</v>
      </c>
      <c r="D6534" t="s">
        <v>3157</v>
      </c>
      <c r="E6534" t="s">
        <v>964</v>
      </c>
      <c r="F6534" t="s">
        <v>72</v>
      </c>
      <c r="G6534" t="s">
        <v>52</v>
      </c>
      <c r="H6534" t="str">
        <f>"ΕΜΜ. ΑΝΔΡΟΝΙΚΟΥ 21 ΗΡΑΚΛΕΙΟ"</f>
        <v>ΕΜΜ. ΑΝΔΡΟΝΙΚΟΥ 21 ΗΡΑΚΛΕΙΟ</v>
      </c>
      <c r="I6534">
        <v>71304</v>
      </c>
      <c r="J6534">
        <v>2810252369</v>
      </c>
      <c r="K6534">
        <v>6944967351</v>
      </c>
      <c r="M6534" t="s">
        <v>10979</v>
      </c>
      <c r="N6534" t="s">
        <v>615</v>
      </c>
      <c r="O6534" t="s">
        <v>616</v>
      </c>
      <c r="R6534" t="s">
        <v>57</v>
      </c>
      <c r="S6534">
        <v>7</v>
      </c>
      <c r="T6534">
        <v>598</v>
      </c>
      <c r="U6534" s="1">
        <v>39310</v>
      </c>
      <c r="V6534" t="s">
        <v>80</v>
      </c>
      <c r="W6534" t="s">
        <v>81</v>
      </c>
      <c r="X6534" t="s">
        <v>58</v>
      </c>
      <c r="Y6534">
        <v>23</v>
      </c>
      <c r="Z6534" t="s">
        <v>59</v>
      </c>
      <c r="AA6534" t="s">
        <v>59</v>
      </c>
      <c r="AB6534" t="s">
        <v>59</v>
      </c>
      <c r="AC6534" t="s">
        <v>59</v>
      </c>
      <c r="AD6534" t="s">
        <v>59</v>
      </c>
      <c r="AF6534" s="1">
        <v>39328</v>
      </c>
      <c r="AG6534" t="s">
        <v>8645</v>
      </c>
      <c r="AH6534" t="s">
        <v>8646</v>
      </c>
      <c r="AI6534" t="str">
        <f>"9170431"</f>
        <v>9170431</v>
      </c>
      <c r="AJ6534" t="s">
        <v>8658</v>
      </c>
      <c r="AK6534">
        <v>2810250952</v>
      </c>
      <c r="AL6534" t="s">
        <v>8659</v>
      </c>
      <c r="AM6534" t="s">
        <v>78</v>
      </c>
      <c r="AN6534" t="s">
        <v>78</v>
      </c>
      <c r="AO6534" t="s">
        <v>78</v>
      </c>
      <c r="AP6534" t="s">
        <v>141</v>
      </c>
      <c r="AQ6534">
        <v>1</v>
      </c>
      <c r="AR6534" t="s">
        <v>80</v>
      </c>
      <c r="AS6534" t="s">
        <v>81</v>
      </c>
      <c r="AT6534" t="s">
        <v>58</v>
      </c>
      <c r="AU6534" t="s">
        <v>68</v>
      </c>
      <c r="AV6534" t="s">
        <v>69</v>
      </c>
      <c r="AW6534" s="1">
        <v>30835</v>
      </c>
      <c r="AX6534">
        <v>1</v>
      </c>
    </row>
    <row r="6535" spans="1:50">
      <c r="A6535">
        <v>581033</v>
      </c>
      <c r="B6535" t="str">
        <f>"068061950"</f>
        <v>068061950</v>
      </c>
      <c r="C6535" t="s">
        <v>50</v>
      </c>
      <c r="D6535" t="s">
        <v>3157</v>
      </c>
      <c r="E6535" t="s">
        <v>1752</v>
      </c>
      <c r="F6535" t="s">
        <v>95</v>
      </c>
      <c r="G6535" t="s">
        <v>52</v>
      </c>
      <c r="H6535" t="str">
        <f>" "</f>
        <v xml:space="preserve"> </v>
      </c>
      <c r="N6535" t="s">
        <v>615</v>
      </c>
      <c r="O6535" t="s">
        <v>616</v>
      </c>
      <c r="R6535" t="s">
        <v>57</v>
      </c>
      <c r="S6535">
        <v>13</v>
      </c>
      <c r="T6535" t="s">
        <v>10980</v>
      </c>
      <c r="U6535" s="1">
        <v>35674</v>
      </c>
      <c r="V6535" t="s">
        <v>80</v>
      </c>
      <c r="W6535" t="s">
        <v>81</v>
      </c>
      <c r="X6535" t="s">
        <v>58</v>
      </c>
      <c r="Y6535">
        <v>21</v>
      </c>
      <c r="Z6535" t="s">
        <v>59</v>
      </c>
      <c r="AA6535" t="s">
        <v>59</v>
      </c>
      <c r="AB6535" t="s">
        <v>59</v>
      </c>
      <c r="AC6535" t="s">
        <v>59</v>
      </c>
      <c r="AD6535" t="s">
        <v>59</v>
      </c>
      <c r="AF6535" s="1">
        <v>35678</v>
      </c>
      <c r="AG6535" t="s">
        <v>8645</v>
      </c>
      <c r="AH6535" t="s">
        <v>8646</v>
      </c>
      <c r="AI6535" t="str">
        <f>"9170219"</f>
        <v>9170219</v>
      </c>
      <c r="AJ6535" t="s">
        <v>8967</v>
      </c>
      <c r="AK6535">
        <v>2897041357</v>
      </c>
      <c r="AL6535" t="s">
        <v>8968</v>
      </c>
      <c r="AM6535" t="s">
        <v>78</v>
      </c>
      <c r="AN6535" t="s">
        <v>219</v>
      </c>
      <c r="AO6535" t="s">
        <v>297</v>
      </c>
      <c r="AP6535" t="s">
        <v>297</v>
      </c>
      <c r="AQ6535">
        <v>7</v>
      </c>
      <c r="AR6535" t="s">
        <v>80</v>
      </c>
      <c r="AS6535" t="s">
        <v>81</v>
      </c>
      <c r="AT6535" t="s">
        <v>58</v>
      </c>
      <c r="AU6535" t="s">
        <v>68</v>
      </c>
      <c r="AV6535" t="s">
        <v>69</v>
      </c>
      <c r="AW6535" s="1">
        <v>20135</v>
      </c>
      <c r="AX6535">
        <v>1</v>
      </c>
    </row>
    <row r="6536" spans="1:50">
      <c r="A6536">
        <v>596920</v>
      </c>
      <c r="B6536" t="str">
        <f>"076075296"</f>
        <v>076075296</v>
      </c>
      <c r="C6536" t="s">
        <v>50</v>
      </c>
      <c r="D6536" t="s">
        <v>3157</v>
      </c>
      <c r="E6536" t="s">
        <v>513</v>
      </c>
      <c r="F6536" t="s">
        <v>99</v>
      </c>
      <c r="G6536" t="s">
        <v>1001</v>
      </c>
      <c r="H6536" t="str">
        <f>"ΝΙΚΟΛΑΟΥ ΠΛΑΣΤΗΡΑ 26 ΓΑΖΙ ΗΡΑΚΛΕΙΟΥ"</f>
        <v>ΝΙΚΟΛΑΟΥ ΠΛΑΣΤΗΡΑ 26 ΓΑΖΙ ΗΡΑΚΛΕΙΟΥ</v>
      </c>
      <c r="I6536">
        <v>71414</v>
      </c>
      <c r="J6536">
        <v>2810823682</v>
      </c>
      <c r="N6536" t="s">
        <v>1525</v>
      </c>
      <c r="O6536" t="s">
        <v>1526</v>
      </c>
      <c r="R6536" t="s">
        <v>57</v>
      </c>
      <c r="S6536">
        <v>8</v>
      </c>
      <c r="T6536">
        <v>195</v>
      </c>
      <c r="U6536" s="1">
        <v>37497</v>
      </c>
      <c r="V6536" t="s">
        <v>80</v>
      </c>
      <c r="W6536" t="s">
        <v>81</v>
      </c>
      <c r="X6536" t="s">
        <v>58</v>
      </c>
      <c r="Y6536">
        <v>25</v>
      </c>
      <c r="Z6536" t="s">
        <v>59</v>
      </c>
      <c r="AA6536" t="s">
        <v>59</v>
      </c>
      <c r="AB6536" t="s">
        <v>59</v>
      </c>
      <c r="AC6536" t="s">
        <v>59</v>
      </c>
      <c r="AD6536" t="s">
        <v>59</v>
      </c>
      <c r="AF6536" s="1">
        <v>37501</v>
      </c>
      <c r="AG6536" t="s">
        <v>8651</v>
      </c>
      <c r="AH6536" t="s">
        <v>8652</v>
      </c>
      <c r="AI6536" t="str">
        <f>"9170457"</f>
        <v>9170457</v>
      </c>
      <c r="AJ6536" t="s">
        <v>10081</v>
      </c>
      <c r="AK6536">
        <v>2810823321</v>
      </c>
      <c r="AL6536" t="s">
        <v>10082</v>
      </c>
      <c r="AM6536" t="s">
        <v>78</v>
      </c>
      <c r="AN6536" t="s">
        <v>129</v>
      </c>
      <c r="AO6536" t="s">
        <v>130</v>
      </c>
      <c r="AP6536" t="s">
        <v>130</v>
      </c>
      <c r="AQ6536">
        <v>1</v>
      </c>
      <c r="AR6536" t="s">
        <v>80</v>
      </c>
      <c r="AS6536" t="s">
        <v>81</v>
      </c>
      <c r="AT6536" t="s">
        <v>58</v>
      </c>
      <c r="AU6536" t="s">
        <v>68</v>
      </c>
      <c r="AV6536" t="s">
        <v>69</v>
      </c>
      <c r="AW6536" s="1">
        <v>25939</v>
      </c>
      <c r="AX6536">
        <v>1</v>
      </c>
    </row>
    <row r="6537" spans="1:50">
      <c r="A6537">
        <v>571419</v>
      </c>
      <c r="B6537" t="str">
        <f>"032824216"</f>
        <v>032824216</v>
      </c>
      <c r="C6537" t="s">
        <v>50</v>
      </c>
      <c r="D6537" t="s">
        <v>3157</v>
      </c>
      <c r="E6537" t="s">
        <v>237</v>
      </c>
      <c r="F6537" t="s">
        <v>95</v>
      </c>
      <c r="G6537" t="s">
        <v>8018</v>
      </c>
      <c r="H6537" t="str">
        <f>"ΠΑΤΕΛΑΡΟΥ 3 ΗΡΑΚΛΕΙΟ"</f>
        <v>ΠΑΤΕΛΑΡΟΥ 3 ΗΡΑΚΛΕΙΟ</v>
      </c>
      <c r="I6537">
        <v>71305</v>
      </c>
      <c r="J6537">
        <v>2810237909</v>
      </c>
      <c r="K6537">
        <v>6978834780</v>
      </c>
      <c r="N6537" t="s">
        <v>615</v>
      </c>
      <c r="O6537" t="s">
        <v>616</v>
      </c>
      <c r="R6537" t="s">
        <v>57</v>
      </c>
      <c r="S6537">
        <v>14</v>
      </c>
      <c r="T6537">
        <v>138</v>
      </c>
      <c r="U6537" s="1">
        <v>34206</v>
      </c>
      <c r="V6537" t="s">
        <v>80</v>
      </c>
      <c r="W6537" t="s">
        <v>81</v>
      </c>
      <c r="X6537" t="s">
        <v>58</v>
      </c>
      <c r="Y6537">
        <v>21</v>
      </c>
      <c r="Z6537" t="s">
        <v>59</v>
      </c>
      <c r="AA6537" t="s">
        <v>59</v>
      </c>
      <c r="AB6537" t="s">
        <v>59</v>
      </c>
      <c r="AC6537" t="s">
        <v>59</v>
      </c>
      <c r="AD6537" t="s">
        <v>59</v>
      </c>
      <c r="AF6537" s="1">
        <v>34213</v>
      </c>
      <c r="AG6537" t="s">
        <v>8645</v>
      </c>
      <c r="AH6537" t="s">
        <v>8646</v>
      </c>
      <c r="AI6537" t="str">
        <f>"9170102"</f>
        <v>9170102</v>
      </c>
      <c r="AJ6537" t="s">
        <v>9019</v>
      </c>
      <c r="AK6537">
        <v>2810283938</v>
      </c>
      <c r="AL6537" t="s">
        <v>9020</v>
      </c>
      <c r="AM6537" t="s">
        <v>78</v>
      </c>
      <c r="AN6537" t="s">
        <v>78</v>
      </c>
      <c r="AO6537" t="s">
        <v>78</v>
      </c>
      <c r="AP6537" t="s">
        <v>79</v>
      </c>
      <c r="AQ6537">
        <v>1</v>
      </c>
      <c r="AR6537" t="s">
        <v>80</v>
      </c>
      <c r="AS6537" t="s">
        <v>81</v>
      </c>
      <c r="AT6537" t="s">
        <v>58</v>
      </c>
      <c r="AU6537" t="s">
        <v>68</v>
      </c>
      <c r="AV6537" t="s">
        <v>69</v>
      </c>
      <c r="AW6537" s="1">
        <v>23836</v>
      </c>
      <c r="AX6537">
        <v>1</v>
      </c>
    </row>
    <row r="6538" spans="1:50">
      <c r="A6538">
        <v>590630</v>
      </c>
      <c r="B6538" t="str">
        <f>"052172213"</f>
        <v>052172213</v>
      </c>
      <c r="C6538" t="s">
        <v>50</v>
      </c>
      <c r="D6538" t="s">
        <v>3157</v>
      </c>
      <c r="E6538" t="s">
        <v>237</v>
      </c>
      <c r="F6538" t="s">
        <v>84</v>
      </c>
      <c r="G6538" t="s">
        <v>658</v>
      </c>
      <c r="H6538" t="str">
        <f>"ΣΤΕΡΓΙΟΓΙ¶ΝΝΗ 31 ΗΡΑΚΛΕΙΟ"</f>
        <v>ΣΤΕΡΓΙΟΓΙ¶ΝΝΗ 31 ΗΡΑΚΛΕΙΟ</v>
      </c>
      <c r="I6538">
        <v>71305</v>
      </c>
      <c r="J6538">
        <v>2810252210</v>
      </c>
      <c r="K6538">
        <v>6979309527</v>
      </c>
      <c r="M6538" t="s">
        <v>10981</v>
      </c>
      <c r="N6538" t="s">
        <v>1525</v>
      </c>
      <c r="O6538" t="s">
        <v>1526</v>
      </c>
      <c r="R6538" t="s">
        <v>57</v>
      </c>
      <c r="S6538">
        <v>12</v>
      </c>
      <c r="T6538">
        <v>176</v>
      </c>
      <c r="U6538" s="1">
        <v>36403</v>
      </c>
      <c r="V6538" t="s">
        <v>80</v>
      </c>
      <c r="W6538" t="s">
        <v>81</v>
      </c>
      <c r="X6538" t="s">
        <v>58</v>
      </c>
      <c r="Y6538">
        <v>25</v>
      </c>
      <c r="Z6538" t="s">
        <v>59</v>
      </c>
      <c r="AA6538" t="s">
        <v>59</v>
      </c>
      <c r="AB6538" t="s">
        <v>59</v>
      </c>
      <c r="AC6538" t="s">
        <v>59</v>
      </c>
      <c r="AD6538" t="s">
        <v>59</v>
      </c>
      <c r="AF6538" s="1">
        <v>36404</v>
      </c>
      <c r="AG6538" t="s">
        <v>8651</v>
      </c>
      <c r="AH6538" t="s">
        <v>8652</v>
      </c>
      <c r="AI6538" t="str">
        <f>"9170526"</f>
        <v>9170526</v>
      </c>
      <c r="AJ6538" t="s">
        <v>9112</v>
      </c>
      <c r="AK6538">
        <v>2810251986</v>
      </c>
      <c r="AL6538" t="s">
        <v>9113</v>
      </c>
      <c r="AM6538" t="s">
        <v>78</v>
      </c>
      <c r="AN6538" t="s">
        <v>78</v>
      </c>
      <c r="AO6538" t="s">
        <v>78</v>
      </c>
      <c r="AP6538" t="s">
        <v>141</v>
      </c>
      <c r="AQ6538">
        <v>1</v>
      </c>
      <c r="AR6538" t="s">
        <v>80</v>
      </c>
      <c r="AS6538" t="s">
        <v>81</v>
      </c>
      <c r="AT6538" t="s">
        <v>58</v>
      </c>
      <c r="AU6538" t="s">
        <v>68</v>
      </c>
      <c r="AV6538" t="s">
        <v>69</v>
      </c>
      <c r="AW6538" s="1">
        <v>24708</v>
      </c>
      <c r="AX6538">
        <v>1</v>
      </c>
    </row>
    <row r="6539" spans="1:50">
      <c r="A6539">
        <v>595472</v>
      </c>
      <c r="B6539" t="str">
        <f>"103399271"</f>
        <v>103399271</v>
      </c>
      <c r="C6539" t="s">
        <v>50</v>
      </c>
      <c r="D6539" t="s">
        <v>3157</v>
      </c>
      <c r="E6539" t="s">
        <v>237</v>
      </c>
      <c r="F6539" t="s">
        <v>166</v>
      </c>
      <c r="G6539" t="s">
        <v>215</v>
      </c>
      <c r="H6539" t="str">
        <f>"ΗΠΕΙΡΟΥ 5 ΗΡΑΚΛΕΙΟ"</f>
        <v>ΗΠΕΙΡΟΥ 5 ΗΡΑΚΛΕΙΟ</v>
      </c>
      <c r="I6539">
        <v>71307</v>
      </c>
      <c r="J6539">
        <v>2810346653</v>
      </c>
      <c r="K6539">
        <v>6942678199</v>
      </c>
      <c r="M6539" t="s">
        <v>10982</v>
      </c>
      <c r="N6539" t="s">
        <v>1525</v>
      </c>
      <c r="O6539" t="s">
        <v>1526</v>
      </c>
      <c r="R6539" t="s">
        <v>57</v>
      </c>
      <c r="S6539">
        <v>9</v>
      </c>
      <c r="T6539">
        <v>218</v>
      </c>
      <c r="U6539" s="1">
        <v>37134</v>
      </c>
      <c r="V6539" t="s">
        <v>80</v>
      </c>
      <c r="W6539" t="s">
        <v>81</v>
      </c>
      <c r="X6539" t="s">
        <v>58</v>
      </c>
      <c r="Y6539">
        <v>25</v>
      </c>
      <c r="Z6539" t="s">
        <v>59</v>
      </c>
      <c r="AA6539" t="s">
        <v>59</v>
      </c>
      <c r="AB6539" t="s">
        <v>59</v>
      </c>
      <c r="AC6539" t="s">
        <v>59</v>
      </c>
      <c r="AD6539" t="s">
        <v>59</v>
      </c>
      <c r="AF6539" s="1">
        <v>37137</v>
      </c>
      <c r="AG6539" t="s">
        <v>8651</v>
      </c>
      <c r="AH6539" t="s">
        <v>8652</v>
      </c>
      <c r="AI6539" t="str">
        <f>"9170260"</f>
        <v>9170260</v>
      </c>
      <c r="AJ6539" t="s">
        <v>9229</v>
      </c>
      <c r="AK6539">
        <v>2810221900</v>
      </c>
      <c r="AL6539" t="s">
        <v>9230</v>
      </c>
      <c r="AM6539" t="s">
        <v>78</v>
      </c>
      <c r="AN6539" t="s">
        <v>78</v>
      </c>
      <c r="AO6539" t="s">
        <v>78</v>
      </c>
      <c r="AP6539" t="s">
        <v>213</v>
      </c>
      <c r="AQ6539">
        <v>1</v>
      </c>
      <c r="AR6539" t="s">
        <v>80</v>
      </c>
      <c r="AS6539" t="s">
        <v>81</v>
      </c>
      <c r="AT6539" t="s">
        <v>58</v>
      </c>
      <c r="AU6539" t="s">
        <v>68</v>
      </c>
      <c r="AV6539" t="s">
        <v>69</v>
      </c>
      <c r="AW6539" s="1">
        <v>27407</v>
      </c>
      <c r="AX6539">
        <v>1</v>
      </c>
    </row>
    <row r="6540" spans="1:50">
      <c r="A6540">
        <v>616530</v>
      </c>
      <c r="B6540" t="str">
        <f>"132331775"</f>
        <v>132331775</v>
      </c>
      <c r="C6540" t="s">
        <v>50</v>
      </c>
      <c r="D6540" t="s">
        <v>3157</v>
      </c>
      <c r="E6540" t="s">
        <v>237</v>
      </c>
      <c r="F6540" t="s">
        <v>72</v>
      </c>
      <c r="G6540" t="s">
        <v>114</v>
      </c>
      <c r="H6540" t="str">
        <f>"ΜΑΙΑΝΔΡΟΥ 11 ΗΡΑΚΛΕΙΟ"</f>
        <v>ΜΑΙΑΝΔΡΟΥ 11 ΗΡΑΚΛΕΙΟ</v>
      </c>
      <c r="I6540">
        <v>71305</v>
      </c>
      <c r="J6540">
        <v>2810260410</v>
      </c>
      <c r="K6540">
        <v>6945168575</v>
      </c>
      <c r="M6540" t="s">
        <v>10983</v>
      </c>
      <c r="N6540" t="s">
        <v>1525</v>
      </c>
      <c r="O6540" t="s">
        <v>1526</v>
      </c>
      <c r="R6540" t="s">
        <v>57</v>
      </c>
      <c r="S6540">
        <v>4</v>
      </c>
      <c r="T6540">
        <v>660</v>
      </c>
      <c r="U6540" s="1">
        <v>39311</v>
      </c>
      <c r="V6540" t="s">
        <v>80</v>
      </c>
      <c r="W6540" t="s">
        <v>81</v>
      </c>
      <c r="X6540" t="s">
        <v>58</v>
      </c>
      <c r="Y6540">
        <v>25</v>
      </c>
      <c r="Z6540" t="s">
        <v>59</v>
      </c>
      <c r="AA6540" t="s">
        <v>59</v>
      </c>
      <c r="AB6540" t="s">
        <v>59</v>
      </c>
      <c r="AC6540" t="s">
        <v>59</v>
      </c>
      <c r="AD6540" t="s">
        <v>59</v>
      </c>
      <c r="AF6540" s="1">
        <v>39328</v>
      </c>
      <c r="AG6540" t="s">
        <v>8651</v>
      </c>
      <c r="AH6540" t="s">
        <v>8652</v>
      </c>
      <c r="AI6540" t="str">
        <f>"9170401"</f>
        <v>9170401</v>
      </c>
      <c r="AJ6540" t="s">
        <v>9100</v>
      </c>
      <c r="AK6540">
        <v>2893051329</v>
      </c>
      <c r="AL6540" t="s">
        <v>9101</v>
      </c>
      <c r="AM6540" t="s">
        <v>78</v>
      </c>
      <c r="AN6540" t="s">
        <v>424</v>
      </c>
      <c r="AO6540" t="s">
        <v>577</v>
      </c>
      <c r="AP6540" t="s">
        <v>723</v>
      </c>
      <c r="AQ6540">
        <v>9</v>
      </c>
      <c r="AR6540" t="s">
        <v>80</v>
      </c>
      <c r="AS6540" t="s">
        <v>81</v>
      </c>
      <c r="AT6540" t="s">
        <v>58</v>
      </c>
      <c r="AU6540" t="s">
        <v>68</v>
      </c>
      <c r="AV6540" t="s">
        <v>69</v>
      </c>
      <c r="AW6540" s="1">
        <v>29516</v>
      </c>
      <c r="AX6540">
        <v>1</v>
      </c>
    </row>
    <row r="6541" spans="1:50">
      <c r="B6541" t="str">
        <f>"064484236"</f>
        <v>064484236</v>
      </c>
      <c r="C6541" t="s">
        <v>50</v>
      </c>
      <c r="D6541" t="s">
        <v>3157</v>
      </c>
      <c r="E6541" t="s">
        <v>237</v>
      </c>
      <c r="F6541" t="s">
        <v>53</v>
      </c>
      <c r="G6541" t="s">
        <v>4127</v>
      </c>
      <c r="H6541" t="str">
        <f>"ΟΔ ΚΑΙ ΑΠ.ΦΩΚΑ 35Α ΣΥΚΙΕΣ ΘΕΣΣΑΛΟΝΙΚΗ"</f>
        <v>ΟΔ ΚΑΙ ΑΠ.ΦΩΚΑ 35Α ΣΥΚΙΕΣ ΘΕΣΣΑΛΟΝΙΚΗ</v>
      </c>
      <c r="I6541">
        <v>56626</v>
      </c>
      <c r="J6541">
        <v>2310215258</v>
      </c>
      <c r="K6541">
        <v>6934411139</v>
      </c>
      <c r="N6541" t="s">
        <v>1525</v>
      </c>
      <c r="O6541" t="s">
        <v>1526</v>
      </c>
      <c r="R6541" t="s">
        <v>159</v>
      </c>
      <c r="S6541">
        <v>2</v>
      </c>
      <c r="T6541" t="s">
        <v>8670</v>
      </c>
      <c r="U6541" s="1">
        <v>43348</v>
      </c>
      <c r="V6541" t="s">
        <v>80</v>
      </c>
      <c r="W6541" t="s">
        <v>81</v>
      </c>
      <c r="X6541" t="s">
        <v>58</v>
      </c>
      <c r="Y6541">
        <v>25</v>
      </c>
      <c r="Z6541" t="s">
        <v>59</v>
      </c>
      <c r="AA6541" t="s">
        <v>59</v>
      </c>
      <c r="AB6541" t="s">
        <v>59</v>
      </c>
      <c r="AC6541" t="s">
        <v>59</v>
      </c>
      <c r="AD6541" t="s">
        <v>59</v>
      </c>
      <c r="AF6541" s="1">
        <v>43348</v>
      </c>
      <c r="AG6541" t="s">
        <v>8651</v>
      </c>
      <c r="AH6541" t="s">
        <v>8652</v>
      </c>
      <c r="AI6541" t="str">
        <f>"9170403"</f>
        <v>9170403</v>
      </c>
      <c r="AJ6541" t="s">
        <v>9635</v>
      </c>
      <c r="AK6541">
        <v>2810257487</v>
      </c>
      <c r="AL6541" t="s">
        <v>9636</v>
      </c>
      <c r="AM6541" t="s">
        <v>78</v>
      </c>
      <c r="AN6541" t="s">
        <v>78</v>
      </c>
      <c r="AO6541" t="s">
        <v>78</v>
      </c>
      <c r="AP6541" t="s">
        <v>79</v>
      </c>
      <c r="AQ6541">
        <v>1</v>
      </c>
      <c r="AR6541" t="s">
        <v>80</v>
      </c>
      <c r="AS6541" t="s">
        <v>81</v>
      </c>
      <c r="AT6541" t="s">
        <v>58</v>
      </c>
      <c r="AU6541" t="s">
        <v>8673</v>
      </c>
      <c r="AV6541" t="s">
        <v>132</v>
      </c>
      <c r="AW6541" s="1">
        <v>26724</v>
      </c>
      <c r="AX6541">
        <v>1</v>
      </c>
    </row>
    <row r="6542" spans="1:50">
      <c r="B6542" t="str">
        <f>"132314139"</f>
        <v>132314139</v>
      </c>
      <c r="C6542" t="s">
        <v>50</v>
      </c>
      <c r="D6542" t="s">
        <v>3157</v>
      </c>
      <c r="E6542" t="s">
        <v>506</v>
      </c>
      <c r="F6542" t="s">
        <v>609</v>
      </c>
      <c r="G6542" t="s">
        <v>372</v>
      </c>
      <c r="H6542" t="str">
        <f>"ΠΑΣΙΦΑΗΣ 7 ΗΡΑΚΛΕΙΟ"</f>
        <v>ΠΑΣΙΦΑΗΣ 7 ΗΡΑΚΛΕΙΟ</v>
      </c>
      <c r="I6542">
        <v>71202</v>
      </c>
      <c r="J6542">
        <v>2810220336</v>
      </c>
      <c r="K6542">
        <v>6944879041</v>
      </c>
      <c r="N6542" t="s">
        <v>1525</v>
      </c>
      <c r="O6542" t="s">
        <v>1526</v>
      </c>
      <c r="R6542" t="s">
        <v>159</v>
      </c>
      <c r="S6542">
        <v>4</v>
      </c>
      <c r="T6542" t="s">
        <v>8670</v>
      </c>
      <c r="U6542" s="1">
        <v>43348</v>
      </c>
      <c r="V6542" t="s">
        <v>80</v>
      </c>
      <c r="W6542" t="s">
        <v>81</v>
      </c>
      <c r="X6542" t="s">
        <v>58</v>
      </c>
      <c r="Y6542">
        <v>25</v>
      </c>
      <c r="Z6542" t="s">
        <v>59</v>
      </c>
      <c r="AA6542" t="s">
        <v>59</v>
      </c>
      <c r="AB6542" t="s">
        <v>59</v>
      </c>
      <c r="AC6542" t="s">
        <v>59</v>
      </c>
      <c r="AD6542" t="s">
        <v>59</v>
      </c>
      <c r="AF6542" s="1">
        <v>43348</v>
      </c>
      <c r="AG6542" t="s">
        <v>8651</v>
      </c>
      <c r="AH6542" t="s">
        <v>8652</v>
      </c>
      <c r="AI6542" t="str">
        <f>"9170443"</f>
        <v>9170443</v>
      </c>
      <c r="AJ6542" t="s">
        <v>10395</v>
      </c>
      <c r="AK6542">
        <v>2810731370</v>
      </c>
      <c r="AL6542" t="s">
        <v>10396</v>
      </c>
      <c r="AM6542" t="s">
        <v>78</v>
      </c>
      <c r="AN6542" t="s">
        <v>78</v>
      </c>
      <c r="AO6542" t="s">
        <v>78</v>
      </c>
      <c r="AP6542" t="s">
        <v>9198</v>
      </c>
      <c r="AQ6542">
        <v>11</v>
      </c>
      <c r="AR6542" t="s">
        <v>80</v>
      </c>
      <c r="AS6542" t="s">
        <v>81</v>
      </c>
      <c r="AT6542" t="s">
        <v>58</v>
      </c>
      <c r="AU6542" t="s">
        <v>8673</v>
      </c>
      <c r="AV6542" t="s">
        <v>132</v>
      </c>
      <c r="AW6542" s="1">
        <v>30695</v>
      </c>
      <c r="AX6542">
        <v>1</v>
      </c>
    </row>
    <row r="6543" spans="1:50">
      <c r="A6543">
        <v>602019</v>
      </c>
      <c r="B6543" t="str">
        <f>"047918912"</f>
        <v>047918912</v>
      </c>
      <c r="C6543" t="s">
        <v>50</v>
      </c>
      <c r="D6543" t="s">
        <v>3157</v>
      </c>
      <c r="E6543" t="s">
        <v>476</v>
      </c>
      <c r="F6543" t="s">
        <v>106</v>
      </c>
      <c r="G6543" t="s">
        <v>109</v>
      </c>
      <c r="H6543" t="str">
        <f>"ΓΙΑΝΝΙΚΟΥ 30 ΗΡΑΚΛΕΙΟ"</f>
        <v>ΓΙΑΝΝΙΚΟΥ 30 ΗΡΑΚΛΕΙΟ</v>
      </c>
      <c r="I6543">
        <v>71201</v>
      </c>
      <c r="J6543">
        <v>2810343133</v>
      </c>
      <c r="K6543">
        <v>6945899895</v>
      </c>
      <c r="N6543" t="s">
        <v>615</v>
      </c>
      <c r="O6543" t="s">
        <v>616</v>
      </c>
      <c r="R6543" t="s">
        <v>57</v>
      </c>
      <c r="S6543">
        <v>7</v>
      </c>
      <c r="T6543">
        <v>207</v>
      </c>
      <c r="U6543" s="1">
        <v>37866</v>
      </c>
      <c r="V6543" t="s">
        <v>80</v>
      </c>
      <c r="W6543" t="s">
        <v>81</v>
      </c>
      <c r="X6543" t="s">
        <v>58</v>
      </c>
      <c r="Y6543">
        <v>22</v>
      </c>
      <c r="Z6543" t="s">
        <v>59</v>
      </c>
      <c r="AA6543" t="s">
        <v>59</v>
      </c>
      <c r="AB6543" t="s">
        <v>59</v>
      </c>
      <c r="AC6543" t="s">
        <v>59</v>
      </c>
      <c r="AD6543" t="s">
        <v>59</v>
      </c>
      <c r="AF6543" s="1">
        <v>37866</v>
      </c>
      <c r="AG6543" t="s">
        <v>8645</v>
      </c>
      <c r="AH6543" t="s">
        <v>8646</v>
      </c>
      <c r="AI6543" t="str">
        <f>"9170546"</f>
        <v>9170546</v>
      </c>
      <c r="AJ6543" t="s">
        <v>8953</v>
      </c>
      <c r="AK6543">
        <v>2810261362</v>
      </c>
      <c r="AL6543" t="s">
        <v>8954</v>
      </c>
      <c r="AM6543" t="s">
        <v>78</v>
      </c>
      <c r="AN6543" t="s">
        <v>78</v>
      </c>
      <c r="AO6543" t="s">
        <v>78</v>
      </c>
      <c r="AP6543" t="s">
        <v>141</v>
      </c>
      <c r="AQ6543">
        <v>1</v>
      </c>
      <c r="AR6543" t="s">
        <v>80</v>
      </c>
      <c r="AS6543" t="s">
        <v>81</v>
      </c>
      <c r="AT6543" t="s">
        <v>58</v>
      </c>
      <c r="AU6543" t="s">
        <v>68</v>
      </c>
      <c r="AV6543" t="s">
        <v>69</v>
      </c>
      <c r="AW6543" s="1">
        <v>29151</v>
      </c>
      <c r="AX6543">
        <v>1</v>
      </c>
    </row>
    <row r="6544" spans="1:50">
      <c r="A6544">
        <v>608705</v>
      </c>
      <c r="B6544" t="str">
        <f>"076438235"</f>
        <v>076438235</v>
      </c>
      <c r="C6544" t="s">
        <v>50</v>
      </c>
      <c r="D6544" t="s">
        <v>3157</v>
      </c>
      <c r="E6544" t="s">
        <v>566</v>
      </c>
      <c r="F6544" t="s">
        <v>108</v>
      </c>
      <c r="G6544" t="s">
        <v>620</v>
      </c>
      <c r="H6544" t="str">
        <f>"ΧΑΛΚΙΑΔΑΚΗ 3 ΡΕΘΥΜΝΟ"</f>
        <v>ΧΑΛΚΙΑΔΑΚΗ 3 ΡΕΘΥΜΝΟ</v>
      </c>
      <c r="I6544">
        <v>74100</v>
      </c>
      <c r="J6544">
        <v>2832041494</v>
      </c>
      <c r="K6544">
        <v>6976763138</v>
      </c>
      <c r="L6544">
        <v>2831053671</v>
      </c>
      <c r="N6544" t="s">
        <v>1525</v>
      </c>
      <c r="O6544" t="s">
        <v>1526</v>
      </c>
      <c r="R6544" t="s">
        <v>57</v>
      </c>
      <c r="S6544">
        <v>7</v>
      </c>
      <c r="T6544">
        <v>217</v>
      </c>
      <c r="U6544" s="1">
        <v>38596</v>
      </c>
      <c r="V6544" t="s">
        <v>80</v>
      </c>
      <c r="W6544" t="s">
        <v>81</v>
      </c>
      <c r="X6544" t="s">
        <v>58</v>
      </c>
      <c r="Y6544">
        <v>25</v>
      </c>
      <c r="Z6544" t="s">
        <v>59</v>
      </c>
      <c r="AA6544" t="s">
        <v>59</v>
      </c>
      <c r="AB6544" t="s">
        <v>59</v>
      </c>
      <c r="AC6544" t="s">
        <v>59</v>
      </c>
      <c r="AD6544" t="s">
        <v>59</v>
      </c>
      <c r="AF6544" s="1">
        <v>38600</v>
      </c>
      <c r="AG6544" t="s">
        <v>8651</v>
      </c>
      <c r="AH6544" t="s">
        <v>8652</v>
      </c>
      <c r="AI6544" t="str">
        <f>"9170499"</f>
        <v>9170499</v>
      </c>
      <c r="AJ6544" t="s">
        <v>9816</v>
      </c>
      <c r="AK6544">
        <v>2810257978</v>
      </c>
      <c r="AL6544" t="s">
        <v>9817</v>
      </c>
      <c r="AM6544" t="s">
        <v>78</v>
      </c>
      <c r="AN6544" t="s">
        <v>78</v>
      </c>
      <c r="AO6544" t="s">
        <v>78</v>
      </c>
      <c r="AP6544" t="s">
        <v>79</v>
      </c>
      <c r="AQ6544">
        <v>1</v>
      </c>
      <c r="AR6544" t="s">
        <v>80</v>
      </c>
      <c r="AS6544" t="s">
        <v>81</v>
      </c>
      <c r="AT6544" t="s">
        <v>58</v>
      </c>
      <c r="AU6544" t="s">
        <v>68</v>
      </c>
      <c r="AV6544" t="s">
        <v>69</v>
      </c>
      <c r="AW6544" s="1">
        <v>26997</v>
      </c>
      <c r="AX6544">
        <v>1</v>
      </c>
    </row>
    <row r="6545" spans="1:50">
      <c r="A6545">
        <v>617181</v>
      </c>
      <c r="B6545" t="str">
        <f>"138981550"</f>
        <v>138981550</v>
      </c>
      <c r="C6545" t="s">
        <v>50</v>
      </c>
      <c r="D6545" t="s">
        <v>3157</v>
      </c>
      <c r="E6545" t="s">
        <v>1644</v>
      </c>
      <c r="F6545" t="s">
        <v>564</v>
      </c>
      <c r="G6545" t="s">
        <v>188</v>
      </c>
      <c r="H6545" t="str">
        <f>"ΚΟΚΚΙΝΗ ΧΑΝΙ ΚΟΚΚΙΝΗ ΧΑΝΙ  Τ.Θ. 804"</f>
        <v>ΚΟΚΚΙΝΗ ΧΑΝΙ ΚΟΚΚΙΝΗ ΧΑΝΙ  Τ.Θ. 804</v>
      </c>
      <c r="I6545">
        <v>71500</v>
      </c>
      <c r="J6545">
        <v>2810762841</v>
      </c>
      <c r="K6545">
        <v>6973069030</v>
      </c>
      <c r="N6545" t="s">
        <v>615</v>
      </c>
      <c r="O6545" t="s">
        <v>616</v>
      </c>
      <c r="R6545" t="s">
        <v>57</v>
      </c>
      <c r="S6545">
        <v>6</v>
      </c>
      <c r="T6545">
        <v>774</v>
      </c>
      <c r="U6545" s="1">
        <v>39680</v>
      </c>
      <c r="V6545" t="s">
        <v>80</v>
      </c>
      <c r="W6545" t="s">
        <v>81</v>
      </c>
      <c r="X6545" t="s">
        <v>58</v>
      </c>
      <c r="Y6545">
        <v>23</v>
      </c>
      <c r="Z6545" t="s">
        <v>59</v>
      </c>
      <c r="AA6545" t="s">
        <v>59</v>
      </c>
      <c r="AB6545" t="s">
        <v>59</v>
      </c>
      <c r="AC6545" t="s">
        <v>59</v>
      </c>
      <c r="AD6545" t="s">
        <v>59</v>
      </c>
      <c r="AF6545" s="1">
        <v>39681</v>
      </c>
      <c r="AG6545" t="s">
        <v>8645</v>
      </c>
      <c r="AH6545" t="s">
        <v>8646</v>
      </c>
      <c r="AI6545" t="str">
        <f>"9170222"</f>
        <v>9170222</v>
      </c>
      <c r="AJ6545" t="s">
        <v>9404</v>
      </c>
      <c r="AK6545">
        <v>2810781325</v>
      </c>
      <c r="AL6545" t="s">
        <v>9405</v>
      </c>
      <c r="AM6545" t="s">
        <v>78</v>
      </c>
      <c r="AN6545" t="s">
        <v>219</v>
      </c>
      <c r="AO6545" t="s">
        <v>297</v>
      </c>
      <c r="AP6545" t="s">
        <v>9406</v>
      </c>
      <c r="AQ6545">
        <v>7</v>
      </c>
      <c r="AR6545" t="s">
        <v>80</v>
      </c>
      <c r="AS6545" t="s">
        <v>81</v>
      </c>
      <c r="AT6545" t="s">
        <v>58</v>
      </c>
      <c r="AU6545" t="s">
        <v>68</v>
      </c>
      <c r="AV6545" t="s">
        <v>69</v>
      </c>
      <c r="AW6545" s="1">
        <v>30622</v>
      </c>
      <c r="AX6545">
        <v>1</v>
      </c>
    </row>
    <row r="6546" spans="1:50">
      <c r="A6546">
        <v>597280</v>
      </c>
      <c r="B6546" t="str">
        <f>"055934660"</f>
        <v>055934660</v>
      </c>
      <c r="C6546" t="s">
        <v>50</v>
      </c>
      <c r="D6546" t="s">
        <v>3157</v>
      </c>
      <c r="E6546" t="s">
        <v>1553</v>
      </c>
      <c r="F6546" t="s">
        <v>95</v>
      </c>
      <c r="G6546" t="s">
        <v>83</v>
      </c>
      <c r="H6546" t="str">
        <f>"ΜΟΥΣΩΝ 39 ΗΡΑΚΛΕΙΟ"</f>
        <v>ΜΟΥΣΩΝ 39 ΗΡΑΚΛΕΙΟ</v>
      </c>
      <c r="I6546">
        <v>71307</v>
      </c>
      <c r="J6546">
        <v>2810231511</v>
      </c>
      <c r="K6546">
        <v>6972559183</v>
      </c>
      <c r="N6546" t="s">
        <v>1525</v>
      </c>
      <c r="O6546" t="s">
        <v>1526</v>
      </c>
      <c r="R6546" t="s">
        <v>57</v>
      </c>
      <c r="S6546">
        <v>8</v>
      </c>
      <c r="T6546">
        <v>195</v>
      </c>
      <c r="U6546" s="1">
        <v>37497</v>
      </c>
      <c r="V6546" t="s">
        <v>80</v>
      </c>
      <c r="W6546" t="s">
        <v>81</v>
      </c>
      <c r="X6546" t="s">
        <v>58</v>
      </c>
      <c r="Y6546">
        <v>25</v>
      </c>
      <c r="Z6546" t="s">
        <v>59</v>
      </c>
      <c r="AA6546" t="s">
        <v>59</v>
      </c>
      <c r="AB6546" t="s">
        <v>59</v>
      </c>
      <c r="AC6546" t="s">
        <v>59</v>
      </c>
      <c r="AD6546" t="s">
        <v>59</v>
      </c>
      <c r="AF6546" s="1">
        <v>37501</v>
      </c>
      <c r="AG6546" t="s">
        <v>8651</v>
      </c>
      <c r="AH6546" t="s">
        <v>8652</v>
      </c>
      <c r="AI6546" t="str">
        <f>"9170522"</f>
        <v>9170522</v>
      </c>
      <c r="AJ6546" t="s">
        <v>10455</v>
      </c>
      <c r="AK6546">
        <v>2810211038</v>
      </c>
      <c r="AL6546" t="s">
        <v>10456</v>
      </c>
      <c r="AM6546" t="s">
        <v>78</v>
      </c>
      <c r="AN6546" t="s">
        <v>78</v>
      </c>
      <c r="AO6546" t="s">
        <v>78</v>
      </c>
      <c r="AP6546" t="s">
        <v>163</v>
      </c>
      <c r="AQ6546">
        <v>1</v>
      </c>
      <c r="AR6546" t="s">
        <v>80</v>
      </c>
      <c r="AS6546" t="s">
        <v>81</v>
      </c>
      <c r="AT6546" t="s">
        <v>58</v>
      </c>
      <c r="AU6546" t="s">
        <v>68</v>
      </c>
      <c r="AV6546" t="s">
        <v>69</v>
      </c>
      <c r="AW6546" s="1">
        <v>25097</v>
      </c>
      <c r="AX6546">
        <v>1</v>
      </c>
    </row>
    <row r="6547" spans="1:50">
      <c r="A6547">
        <v>618264</v>
      </c>
      <c r="B6547" t="str">
        <f>"138962800"</f>
        <v>138962800</v>
      </c>
      <c r="C6547" t="s">
        <v>50</v>
      </c>
      <c r="D6547" t="s">
        <v>3157</v>
      </c>
      <c r="E6547" t="s">
        <v>250</v>
      </c>
      <c r="F6547" t="s">
        <v>99</v>
      </c>
      <c r="G6547" t="s">
        <v>52</v>
      </c>
      <c r="H6547" t="str">
        <f>"ΔΙΓΕΝΗ ΑΚΡΙΤΑ 8 ΗΡΑΚΛΕΙΟ"</f>
        <v>ΔΙΓΕΝΗ ΑΚΡΙΤΑ 8 ΗΡΑΚΛΕΙΟ</v>
      </c>
      <c r="I6547">
        <v>71305</v>
      </c>
      <c r="J6547">
        <v>2810322580</v>
      </c>
      <c r="K6547">
        <v>6947447545</v>
      </c>
      <c r="N6547" t="s">
        <v>615</v>
      </c>
      <c r="O6547" t="s">
        <v>616</v>
      </c>
      <c r="R6547" t="s">
        <v>57</v>
      </c>
      <c r="S6547">
        <v>5</v>
      </c>
      <c r="T6547">
        <v>774</v>
      </c>
      <c r="U6547" s="1">
        <v>39680</v>
      </c>
      <c r="V6547" t="s">
        <v>80</v>
      </c>
      <c r="W6547" t="s">
        <v>81</v>
      </c>
      <c r="X6547" t="s">
        <v>58</v>
      </c>
      <c r="Y6547">
        <v>23</v>
      </c>
      <c r="Z6547" t="s">
        <v>59</v>
      </c>
      <c r="AA6547" t="s">
        <v>59</v>
      </c>
      <c r="AB6547" t="s">
        <v>59</v>
      </c>
      <c r="AC6547" t="s">
        <v>59</v>
      </c>
      <c r="AD6547" t="s">
        <v>59</v>
      </c>
      <c r="AF6547" s="1">
        <v>39681</v>
      </c>
      <c r="AG6547" t="s">
        <v>8645</v>
      </c>
      <c r="AH6547" t="s">
        <v>8646</v>
      </c>
      <c r="AI6547" t="str">
        <f>"9170091"</f>
        <v>9170091</v>
      </c>
      <c r="AJ6547" t="s">
        <v>8764</v>
      </c>
      <c r="AK6547">
        <v>2810741381</v>
      </c>
      <c r="AL6547" t="s">
        <v>8765</v>
      </c>
      <c r="AM6547" t="s">
        <v>78</v>
      </c>
      <c r="AN6547" t="s">
        <v>424</v>
      </c>
      <c r="AO6547" t="s">
        <v>428</v>
      </c>
      <c r="AP6547" t="s">
        <v>8766</v>
      </c>
      <c r="AQ6547">
        <v>11</v>
      </c>
      <c r="AR6547" t="s">
        <v>80</v>
      </c>
      <c r="AS6547" t="s">
        <v>81</v>
      </c>
      <c r="AT6547" t="s">
        <v>58</v>
      </c>
      <c r="AU6547" t="s">
        <v>68</v>
      </c>
      <c r="AV6547" t="s">
        <v>69</v>
      </c>
      <c r="AW6547" s="1">
        <v>30778</v>
      </c>
      <c r="AX6547">
        <v>1</v>
      </c>
    </row>
    <row r="6548" spans="1:50">
      <c r="B6548" t="str">
        <f>"147073164"</f>
        <v>147073164</v>
      </c>
      <c r="C6548" t="s">
        <v>50</v>
      </c>
      <c r="D6548" t="s">
        <v>3157</v>
      </c>
      <c r="E6548" t="s">
        <v>250</v>
      </c>
      <c r="F6548" t="s">
        <v>2227</v>
      </c>
      <c r="G6548" t="s">
        <v>52</v>
      </c>
      <c r="H6548" t="str">
        <f>" "</f>
        <v xml:space="preserve"> </v>
      </c>
      <c r="N6548" t="s">
        <v>8834</v>
      </c>
      <c r="O6548" t="s">
        <v>8695</v>
      </c>
      <c r="R6548" t="s">
        <v>121</v>
      </c>
      <c r="S6548">
        <v>3</v>
      </c>
      <c r="T6548" t="s">
        <v>8835</v>
      </c>
      <c r="U6548" s="1">
        <v>43348</v>
      </c>
      <c r="V6548" t="s">
        <v>80</v>
      </c>
      <c r="W6548" t="s">
        <v>81</v>
      </c>
      <c r="X6548" t="s">
        <v>58</v>
      </c>
      <c r="Y6548">
        <v>24</v>
      </c>
      <c r="Z6548" t="s">
        <v>59</v>
      </c>
      <c r="AA6548" t="s">
        <v>59</v>
      </c>
      <c r="AB6548" t="s">
        <v>59</v>
      </c>
      <c r="AD6548" t="s">
        <v>59</v>
      </c>
      <c r="AF6548" s="1">
        <v>43348</v>
      </c>
      <c r="AG6548" t="s">
        <v>8645</v>
      </c>
      <c r="AH6548" t="s">
        <v>8646</v>
      </c>
      <c r="AI6548" t="str">
        <f>"9170020"</f>
        <v>9170020</v>
      </c>
      <c r="AJ6548" t="s">
        <v>9244</v>
      </c>
      <c r="AK6548">
        <v>2810821476</v>
      </c>
      <c r="AL6548" t="s">
        <v>9245</v>
      </c>
      <c r="AM6548" t="s">
        <v>78</v>
      </c>
      <c r="AN6548" t="s">
        <v>129</v>
      </c>
      <c r="AO6548" t="s">
        <v>130</v>
      </c>
      <c r="AP6548" t="s">
        <v>9246</v>
      </c>
      <c r="AQ6548">
        <v>2</v>
      </c>
      <c r="AR6548" t="s">
        <v>80</v>
      </c>
      <c r="AS6548" t="s">
        <v>81</v>
      </c>
      <c r="AT6548" t="s">
        <v>58</v>
      </c>
      <c r="AU6548" t="s">
        <v>131</v>
      </c>
      <c r="AV6548" t="s">
        <v>132</v>
      </c>
      <c r="AW6548" s="1">
        <v>33370</v>
      </c>
      <c r="AX6548">
        <v>1</v>
      </c>
    </row>
    <row r="6549" spans="1:50">
      <c r="A6549">
        <v>563047</v>
      </c>
      <c r="B6549" t="str">
        <f>"065102120"</f>
        <v>065102120</v>
      </c>
      <c r="C6549" t="s">
        <v>50</v>
      </c>
      <c r="D6549" t="s">
        <v>3157</v>
      </c>
      <c r="E6549" t="s">
        <v>83</v>
      </c>
      <c r="F6549" t="s">
        <v>900</v>
      </c>
      <c r="G6549" t="s">
        <v>314</v>
      </c>
      <c r="H6549" t="str">
        <f>"ΠΑΠΑ-ΓΙΑΝΝΗ ΣΚΟΥΛΑ 47 ΗΡΑΚΛΕΙΟ"</f>
        <v>ΠΑΠΑ-ΓΙΑΝΝΗ ΣΚΟΥΛΑ 47 ΗΡΑΚΛΕΙΟ</v>
      </c>
      <c r="I6549">
        <v>71414</v>
      </c>
      <c r="J6549">
        <v>2810312977</v>
      </c>
      <c r="N6549" t="s">
        <v>615</v>
      </c>
      <c r="O6549" t="s">
        <v>616</v>
      </c>
      <c r="R6549" t="s">
        <v>57</v>
      </c>
      <c r="S6549">
        <v>15</v>
      </c>
      <c r="T6549">
        <v>187</v>
      </c>
      <c r="U6549" s="1">
        <v>32750</v>
      </c>
      <c r="V6549" t="s">
        <v>80</v>
      </c>
      <c r="W6549" t="s">
        <v>81</v>
      </c>
      <c r="X6549" t="s">
        <v>58</v>
      </c>
      <c r="Y6549">
        <v>21</v>
      </c>
      <c r="Z6549" t="s">
        <v>59</v>
      </c>
      <c r="AA6549" t="s">
        <v>59</v>
      </c>
      <c r="AB6549" t="s">
        <v>59</v>
      </c>
      <c r="AC6549" t="s">
        <v>59</v>
      </c>
      <c r="AD6549" t="s">
        <v>59</v>
      </c>
      <c r="AF6549" s="1">
        <v>32755</v>
      </c>
      <c r="AG6549" t="s">
        <v>8645</v>
      </c>
      <c r="AH6549" t="s">
        <v>8646</v>
      </c>
      <c r="AI6549" t="str">
        <f>"9170057"</f>
        <v>9170057</v>
      </c>
      <c r="AJ6549" t="s">
        <v>8929</v>
      </c>
      <c r="AK6549">
        <v>2810251505</v>
      </c>
      <c r="AL6549" t="s">
        <v>8930</v>
      </c>
      <c r="AM6549" t="s">
        <v>78</v>
      </c>
      <c r="AN6549" t="s">
        <v>78</v>
      </c>
      <c r="AO6549" t="s">
        <v>78</v>
      </c>
      <c r="AP6549" t="s">
        <v>141</v>
      </c>
      <c r="AQ6549">
        <v>1</v>
      </c>
      <c r="AR6549" t="s">
        <v>80</v>
      </c>
      <c r="AS6549" t="s">
        <v>81</v>
      </c>
      <c r="AT6549" t="s">
        <v>58</v>
      </c>
      <c r="AU6549" t="s">
        <v>68</v>
      </c>
      <c r="AV6549" t="s">
        <v>69</v>
      </c>
      <c r="AW6549" s="1">
        <v>23571</v>
      </c>
      <c r="AX6549">
        <v>1</v>
      </c>
    </row>
    <row r="6550" spans="1:50">
      <c r="A6550">
        <v>618352</v>
      </c>
      <c r="B6550" t="str">
        <f>"118905875"</f>
        <v>118905875</v>
      </c>
      <c r="C6550" t="s">
        <v>50</v>
      </c>
      <c r="D6550" t="s">
        <v>3157</v>
      </c>
      <c r="E6550" t="s">
        <v>112</v>
      </c>
      <c r="F6550" t="s">
        <v>72</v>
      </c>
      <c r="G6550" t="s">
        <v>513</v>
      </c>
      <c r="H6550" t="str">
        <f>"ΞΑΝΘΗΣ 2 ΗΡΑΚΛΕΙΟ"</f>
        <v>ΞΑΝΘΗΣ 2 ΗΡΑΚΛΕΙΟ</v>
      </c>
      <c r="I6550">
        <v>71304</v>
      </c>
      <c r="J6550">
        <v>2810315682</v>
      </c>
      <c r="K6550">
        <v>6932209681</v>
      </c>
      <c r="N6550" t="s">
        <v>615</v>
      </c>
      <c r="O6550" t="s">
        <v>616</v>
      </c>
      <c r="R6550" t="s">
        <v>57</v>
      </c>
      <c r="S6550">
        <v>5</v>
      </c>
      <c r="T6550">
        <v>774</v>
      </c>
      <c r="U6550" s="1">
        <v>39680</v>
      </c>
      <c r="V6550" t="s">
        <v>80</v>
      </c>
      <c r="W6550" t="s">
        <v>81</v>
      </c>
      <c r="X6550" t="s">
        <v>58</v>
      </c>
      <c r="Y6550">
        <v>23</v>
      </c>
      <c r="Z6550" t="s">
        <v>59</v>
      </c>
      <c r="AA6550" t="s">
        <v>59</v>
      </c>
      <c r="AB6550" t="s">
        <v>59</v>
      </c>
      <c r="AC6550" t="s">
        <v>59</v>
      </c>
      <c r="AD6550" t="s">
        <v>59</v>
      </c>
      <c r="AF6550" s="1">
        <v>39681</v>
      </c>
      <c r="AG6550" t="s">
        <v>8645</v>
      </c>
      <c r="AH6550" t="s">
        <v>8646</v>
      </c>
      <c r="AI6550" t="str">
        <f>"9170532"</f>
        <v>9170532</v>
      </c>
      <c r="AJ6550" t="s">
        <v>8945</v>
      </c>
      <c r="AK6550">
        <v>2810250330</v>
      </c>
      <c r="AL6550" t="s">
        <v>8946</v>
      </c>
      <c r="AM6550" t="s">
        <v>78</v>
      </c>
      <c r="AN6550" t="s">
        <v>78</v>
      </c>
      <c r="AO6550" t="s">
        <v>78</v>
      </c>
      <c r="AP6550" t="s">
        <v>141</v>
      </c>
      <c r="AQ6550">
        <v>1</v>
      </c>
      <c r="AR6550" t="s">
        <v>80</v>
      </c>
      <c r="AS6550" t="s">
        <v>81</v>
      </c>
      <c r="AT6550" t="s">
        <v>58</v>
      </c>
      <c r="AU6550" t="s">
        <v>68</v>
      </c>
      <c r="AV6550" t="s">
        <v>69</v>
      </c>
      <c r="AW6550" s="1">
        <v>29606</v>
      </c>
      <c r="AX6550">
        <v>1</v>
      </c>
    </row>
    <row r="6551" spans="1:50">
      <c r="A6551">
        <v>614744</v>
      </c>
      <c r="B6551" t="str">
        <f>"123158835"</f>
        <v>123158835</v>
      </c>
      <c r="C6551" t="s">
        <v>50</v>
      </c>
      <c r="D6551" t="s">
        <v>3157</v>
      </c>
      <c r="E6551" t="s">
        <v>255</v>
      </c>
      <c r="F6551" t="s">
        <v>7092</v>
      </c>
      <c r="G6551" t="s">
        <v>143</v>
      </c>
      <c r="H6551" t="str">
        <f>"ΠΑΛΑΙΟΚΑΠΑ 47 ΗΡΑΚΛΕΙΟ"</f>
        <v>ΠΑΛΑΙΟΚΑΠΑ 47 ΗΡΑΚΛΕΙΟ</v>
      </c>
      <c r="I6551">
        <v>71305</v>
      </c>
      <c r="J6551">
        <v>2810259116</v>
      </c>
      <c r="K6551">
        <v>6973630684</v>
      </c>
      <c r="M6551" t="s">
        <v>10984</v>
      </c>
      <c r="N6551" t="s">
        <v>615</v>
      </c>
      <c r="O6551" t="s">
        <v>616</v>
      </c>
      <c r="R6551" t="s">
        <v>57</v>
      </c>
      <c r="S6551">
        <v>5</v>
      </c>
      <c r="T6551">
        <v>598</v>
      </c>
      <c r="U6551" s="1">
        <v>39310</v>
      </c>
      <c r="V6551" t="s">
        <v>80</v>
      </c>
      <c r="W6551" t="s">
        <v>81</v>
      </c>
      <c r="X6551" t="s">
        <v>58</v>
      </c>
      <c r="Y6551">
        <v>23</v>
      </c>
      <c r="Z6551" t="s">
        <v>59</v>
      </c>
      <c r="AA6551" t="s">
        <v>59</v>
      </c>
      <c r="AB6551" t="s">
        <v>59</v>
      </c>
      <c r="AC6551" t="s">
        <v>59</v>
      </c>
      <c r="AD6551" t="s">
        <v>59</v>
      </c>
      <c r="AF6551" s="1">
        <v>39328</v>
      </c>
      <c r="AG6551" t="s">
        <v>8645</v>
      </c>
      <c r="AH6551" t="s">
        <v>8646</v>
      </c>
      <c r="AI6551" t="str">
        <f>"9170054"</f>
        <v>9170054</v>
      </c>
      <c r="AJ6551" t="s">
        <v>9106</v>
      </c>
      <c r="AK6551">
        <v>2810254527</v>
      </c>
      <c r="AL6551" t="s">
        <v>9107</v>
      </c>
      <c r="AM6551" t="s">
        <v>78</v>
      </c>
      <c r="AN6551" t="s">
        <v>78</v>
      </c>
      <c r="AO6551" t="s">
        <v>78</v>
      </c>
      <c r="AP6551" t="s">
        <v>163</v>
      </c>
      <c r="AQ6551">
        <v>1</v>
      </c>
      <c r="AR6551" t="s">
        <v>80</v>
      </c>
      <c r="AS6551" t="s">
        <v>81</v>
      </c>
      <c r="AT6551" t="s">
        <v>58</v>
      </c>
      <c r="AU6551" t="s">
        <v>68</v>
      </c>
      <c r="AV6551" t="s">
        <v>69</v>
      </c>
      <c r="AW6551" s="1">
        <v>30654</v>
      </c>
      <c r="AX6551">
        <v>1</v>
      </c>
    </row>
    <row r="6552" spans="1:50">
      <c r="A6552">
        <v>590412</v>
      </c>
      <c r="B6552" t="str">
        <f>"045847777"</f>
        <v>045847777</v>
      </c>
      <c r="C6552" t="s">
        <v>50</v>
      </c>
      <c r="D6552" t="s">
        <v>3157</v>
      </c>
      <c r="E6552" t="s">
        <v>134</v>
      </c>
      <c r="F6552" t="s">
        <v>84</v>
      </c>
      <c r="G6552" t="s">
        <v>112</v>
      </c>
      <c r="H6552" t="str">
        <f>"ΜΙΝΩΟΣ 36 ΗΡΑΚΛΕΙΟ"</f>
        <v>ΜΙΝΩΟΣ 36 ΗΡΑΚΛΕΙΟ</v>
      </c>
      <c r="I6552">
        <v>71303</v>
      </c>
      <c r="J6552">
        <v>2810258240</v>
      </c>
      <c r="K6552">
        <v>6973637719</v>
      </c>
      <c r="N6552" t="s">
        <v>337</v>
      </c>
      <c r="O6552" t="s">
        <v>338</v>
      </c>
      <c r="R6552" t="s">
        <v>57</v>
      </c>
      <c r="S6552">
        <v>11</v>
      </c>
      <c r="T6552">
        <v>177</v>
      </c>
      <c r="U6552" s="1">
        <v>36403</v>
      </c>
      <c r="V6552" t="s">
        <v>80</v>
      </c>
      <c r="W6552" t="s">
        <v>81</v>
      </c>
      <c r="X6552" t="s">
        <v>58</v>
      </c>
      <c r="Y6552">
        <v>21</v>
      </c>
      <c r="Z6552" t="s">
        <v>59</v>
      </c>
      <c r="AA6552" t="s">
        <v>59</v>
      </c>
      <c r="AB6552" t="s">
        <v>59</v>
      </c>
      <c r="AC6552" t="s">
        <v>59</v>
      </c>
      <c r="AD6552" t="s">
        <v>59</v>
      </c>
      <c r="AF6552" s="1">
        <v>36404</v>
      </c>
      <c r="AG6552" t="s">
        <v>8645</v>
      </c>
      <c r="AH6552" t="s">
        <v>8646</v>
      </c>
      <c r="AI6552" t="str">
        <f>"9170425"</f>
        <v>9170425</v>
      </c>
      <c r="AJ6552" t="s">
        <v>9350</v>
      </c>
      <c r="AK6552">
        <v>2810250261</v>
      </c>
      <c r="AL6552" t="s">
        <v>9351</v>
      </c>
      <c r="AM6552" t="s">
        <v>78</v>
      </c>
      <c r="AN6552" t="s">
        <v>78</v>
      </c>
      <c r="AO6552" t="s">
        <v>78</v>
      </c>
      <c r="AP6552" t="s">
        <v>141</v>
      </c>
      <c r="AQ6552">
        <v>1</v>
      </c>
      <c r="AR6552" t="s">
        <v>80</v>
      </c>
      <c r="AS6552" t="s">
        <v>81</v>
      </c>
      <c r="AT6552" t="s">
        <v>58</v>
      </c>
      <c r="AU6552" t="s">
        <v>68</v>
      </c>
      <c r="AV6552" t="s">
        <v>69</v>
      </c>
      <c r="AW6552" s="1">
        <v>26013</v>
      </c>
      <c r="AX6552">
        <v>1</v>
      </c>
    </row>
    <row r="6553" spans="1:50">
      <c r="A6553">
        <v>228066</v>
      </c>
      <c r="B6553" t="str">
        <f>"064041007"</f>
        <v>064041007</v>
      </c>
      <c r="C6553" t="s">
        <v>50</v>
      </c>
      <c r="D6553" t="s">
        <v>3157</v>
      </c>
      <c r="E6553" t="s">
        <v>109</v>
      </c>
      <c r="F6553" t="s">
        <v>95</v>
      </c>
      <c r="G6553" t="s">
        <v>52</v>
      </c>
      <c r="H6553" t="str">
        <f>"ΚΑΡΑΙΣΚΑΚΗ 41 Ν ΑΛΙΚΑΡΝΑΣΣΟΣ"</f>
        <v>ΚΑΡΑΙΣΚΑΚΗ 41 Ν ΑΛΙΚΑΡΝΑΣΣΟΣ</v>
      </c>
      <c r="I6553">
        <v>71601</v>
      </c>
      <c r="J6553">
        <v>2810244884</v>
      </c>
      <c r="K6553">
        <v>6947838173</v>
      </c>
      <c r="M6553" t="s">
        <v>10985</v>
      </c>
      <c r="N6553" t="s">
        <v>176</v>
      </c>
      <c r="O6553" t="s">
        <v>177</v>
      </c>
      <c r="R6553" t="s">
        <v>57</v>
      </c>
      <c r="S6553">
        <v>5</v>
      </c>
      <c r="T6553">
        <v>654</v>
      </c>
      <c r="U6553" s="1">
        <v>40043</v>
      </c>
      <c r="V6553" t="s">
        <v>80</v>
      </c>
      <c r="W6553" t="s">
        <v>81</v>
      </c>
      <c r="X6553" t="s">
        <v>58</v>
      </c>
      <c r="Y6553">
        <v>23</v>
      </c>
      <c r="Z6553" t="s">
        <v>59</v>
      </c>
      <c r="AA6553" t="s">
        <v>59</v>
      </c>
      <c r="AB6553" t="s">
        <v>59</v>
      </c>
      <c r="AC6553" t="s">
        <v>59</v>
      </c>
      <c r="AD6553" t="s">
        <v>59</v>
      </c>
      <c r="AF6553" s="1">
        <v>40043</v>
      </c>
      <c r="AG6553" t="s">
        <v>8645</v>
      </c>
      <c r="AH6553" t="s">
        <v>8646</v>
      </c>
      <c r="AI6553" t="str">
        <f>"9170250"</f>
        <v>9170250</v>
      </c>
      <c r="AJ6553" t="s">
        <v>8823</v>
      </c>
      <c r="AK6553">
        <v>2897022005</v>
      </c>
      <c r="AL6553" t="s">
        <v>8824</v>
      </c>
      <c r="AM6553" t="s">
        <v>78</v>
      </c>
      <c r="AN6553" t="s">
        <v>219</v>
      </c>
      <c r="AO6553" t="s">
        <v>219</v>
      </c>
      <c r="AP6553" t="s">
        <v>219</v>
      </c>
      <c r="AQ6553">
        <v>8</v>
      </c>
      <c r="AR6553" t="s">
        <v>80</v>
      </c>
      <c r="AS6553" t="s">
        <v>81</v>
      </c>
      <c r="AT6553" t="s">
        <v>58</v>
      </c>
      <c r="AU6553" t="s">
        <v>68</v>
      </c>
      <c r="AV6553" t="s">
        <v>69</v>
      </c>
      <c r="AW6553" s="1">
        <v>25705</v>
      </c>
      <c r="AX6553">
        <v>1</v>
      </c>
    </row>
    <row r="6554" spans="1:50">
      <c r="A6554">
        <v>607328</v>
      </c>
      <c r="B6554" t="str">
        <f>"114258180"</f>
        <v>114258180</v>
      </c>
      <c r="C6554" t="s">
        <v>50</v>
      </c>
      <c r="D6554" t="s">
        <v>3157</v>
      </c>
      <c r="E6554" t="s">
        <v>109</v>
      </c>
      <c r="F6554" t="s">
        <v>72</v>
      </c>
      <c r="G6554" t="s">
        <v>2400</v>
      </c>
      <c r="H6554" t="str">
        <f>"ΑΝΤΩΝΙΟΥ ΒΟΡΕΑΔΗ 3Α   ΗΡΑΚΛΕΙΟ"</f>
        <v>ΑΝΤΩΝΙΟΥ ΒΟΡΕΑΔΗ 3Α   ΗΡΑΚΛΕΙΟ</v>
      </c>
      <c r="I6554">
        <v>71407</v>
      </c>
      <c r="J6554">
        <v>2810258092</v>
      </c>
      <c r="K6554">
        <v>6972285821</v>
      </c>
      <c r="N6554" t="s">
        <v>615</v>
      </c>
      <c r="O6554" t="s">
        <v>616</v>
      </c>
      <c r="R6554" t="s">
        <v>57</v>
      </c>
      <c r="S6554">
        <v>7</v>
      </c>
      <c r="T6554">
        <v>217</v>
      </c>
      <c r="U6554" s="1">
        <v>38596</v>
      </c>
      <c r="V6554" t="s">
        <v>80</v>
      </c>
      <c r="W6554" t="s">
        <v>81</v>
      </c>
      <c r="X6554" t="s">
        <v>58</v>
      </c>
      <c r="Y6554">
        <v>23</v>
      </c>
      <c r="Z6554" t="s">
        <v>59</v>
      </c>
      <c r="AA6554" t="s">
        <v>59</v>
      </c>
      <c r="AB6554" t="s">
        <v>59</v>
      </c>
      <c r="AC6554" t="s">
        <v>59</v>
      </c>
      <c r="AD6554" t="s">
        <v>59</v>
      </c>
      <c r="AF6554" s="1">
        <v>38600</v>
      </c>
      <c r="AG6554" t="s">
        <v>8645</v>
      </c>
      <c r="AH6554" t="s">
        <v>8646</v>
      </c>
      <c r="AI6554" t="str">
        <f>"9170534"</f>
        <v>9170534</v>
      </c>
      <c r="AJ6554" t="s">
        <v>8701</v>
      </c>
      <c r="AK6554">
        <v>2810323225</v>
      </c>
      <c r="AL6554" t="s">
        <v>8702</v>
      </c>
      <c r="AM6554" t="s">
        <v>78</v>
      </c>
      <c r="AN6554" t="s">
        <v>78</v>
      </c>
      <c r="AO6554" t="s">
        <v>78</v>
      </c>
      <c r="AP6554" t="s">
        <v>163</v>
      </c>
      <c r="AQ6554">
        <v>1</v>
      </c>
      <c r="AR6554" t="s">
        <v>80</v>
      </c>
      <c r="AS6554" t="s">
        <v>81</v>
      </c>
      <c r="AT6554" t="s">
        <v>58</v>
      </c>
      <c r="AU6554" t="s">
        <v>68</v>
      </c>
      <c r="AV6554" t="s">
        <v>69</v>
      </c>
      <c r="AW6554" s="1">
        <v>29795</v>
      </c>
      <c r="AX6554">
        <v>1</v>
      </c>
    </row>
    <row r="6555" spans="1:50">
      <c r="A6555">
        <v>622033</v>
      </c>
      <c r="B6555" t="str">
        <f>"123549139"</f>
        <v>123549139</v>
      </c>
      <c r="C6555" t="s">
        <v>50</v>
      </c>
      <c r="D6555" t="s">
        <v>3157</v>
      </c>
      <c r="E6555" t="s">
        <v>314</v>
      </c>
      <c r="F6555" t="s">
        <v>153</v>
      </c>
      <c r="G6555" t="s">
        <v>250</v>
      </c>
      <c r="H6555" t="str">
        <f>"ΜΑΚΡΥΣ ΓΙΑΛΟΣ ΙΕΡΑΠΕΤΡΑ"</f>
        <v>ΜΑΚΡΥΣ ΓΙΑΛΟΣ ΙΕΡΑΠΕΤΡΑ</v>
      </c>
      <c r="I6555">
        <v>72055</v>
      </c>
      <c r="J6555">
        <v>2843051296</v>
      </c>
      <c r="K6555">
        <v>6947695044</v>
      </c>
      <c r="N6555" t="s">
        <v>615</v>
      </c>
      <c r="O6555" t="s">
        <v>616</v>
      </c>
      <c r="R6555" t="s">
        <v>57</v>
      </c>
      <c r="S6555">
        <v>5</v>
      </c>
      <c r="T6555">
        <v>653</v>
      </c>
      <c r="U6555" s="1">
        <v>40043</v>
      </c>
      <c r="V6555" t="s">
        <v>80</v>
      </c>
      <c r="W6555" t="s">
        <v>81</v>
      </c>
      <c r="X6555" t="s">
        <v>58</v>
      </c>
      <c r="Y6555">
        <v>23</v>
      </c>
      <c r="Z6555" t="s">
        <v>59</v>
      </c>
      <c r="AA6555" t="s">
        <v>59</v>
      </c>
      <c r="AB6555" t="s">
        <v>59</v>
      </c>
      <c r="AC6555" t="s">
        <v>59</v>
      </c>
      <c r="AD6555" t="s">
        <v>59</v>
      </c>
      <c r="AF6555" s="1">
        <v>40057</v>
      </c>
      <c r="AG6555" t="s">
        <v>8645</v>
      </c>
      <c r="AH6555" t="s">
        <v>8646</v>
      </c>
      <c r="AI6555" t="str">
        <f>"9170097"</f>
        <v>9170097</v>
      </c>
      <c r="AJ6555" t="s">
        <v>8826</v>
      </c>
      <c r="AK6555">
        <v>2810751807</v>
      </c>
      <c r="AL6555" t="s">
        <v>8827</v>
      </c>
      <c r="AM6555" t="s">
        <v>78</v>
      </c>
      <c r="AN6555" t="s">
        <v>424</v>
      </c>
      <c r="AO6555" t="s">
        <v>425</v>
      </c>
      <c r="AP6555" t="s">
        <v>425</v>
      </c>
      <c r="AQ6555">
        <v>11</v>
      </c>
      <c r="AR6555" t="s">
        <v>80</v>
      </c>
      <c r="AS6555" t="s">
        <v>81</v>
      </c>
      <c r="AT6555" t="s">
        <v>58</v>
      </c>
      <c r="AU6555" t="s">
        <v>68</v>
      </c>
      <c r="AV6555" t="s">
        <v>69</v>
      </c>
      <c r="AW6555" s="1">
        <v>29778</v>
      </c>
      <c r="AX6555">
        <v>1</v>
      </c>
    </row>
    <row r="6556" spans="1:50">
      <c r="A6556">
        <v>578087</v>
      </c>
      <c r="B6556" t="str">
        <f>"079561095"</f>
        <v>079561095</v>
      </c>
      <c r="C6556" t="s">
        <v>50</v>
      </c>
      <c r="D6556" t="s">
        <v>3157</v>
      </c>
      <c r="E6556" t="s">
        <v>52</v>
      </c>
      <c r="F6556" t="s">
        <v>760</v>
      </c>
      <c r="G6556" t="s">
        <v>83</v>
      </c>
      <c r="H6556" t="str">
        <f>" "</f>
        <v xml:space="preserve"> </v>
      </c>
      <c r="N6556" t="s">
        <v>615</v>
      </c>
      <c r="O6556" t="s">
        <v>616</v>
      </c>
      <c r="R6556" t="s">
        <v>57</v>
      </c>
      <c r="S6556">
        <v>11</v>
      </c>
      <c r="T6556">
        <v>165</v>
      </c>
      <c r="U6556" s="1">
        <v>35300</v>
      </c>
      <c r="V6556" t="s">
        <v>80</v>
      </c>
      <c r="W6556" t="s">
        <v>81</v>
      </c>
      <c r="X6556" t="s">
        <v>58</v>
      </c>
      <c r="Y6556">
        <v>21</v>
      </c>
      <c r="Z6556" t="s">
        <v>59</v>
      </c>
      <c r="AA6556" t="s">
        <v>59</v>
      </c>
      <c r="AB6556" t="s">
        <v>59</v>
      </c>
      <c r="AC6556" t="s">
        <v>59</v>
      </c>
      <c r="AD6556" t="s">
        <v>59</v>
      </c>
      <c r="AF6556" s="1">
        <v>35310</v>
      </c>
      <c r="AG6556" t="s">
        <v>8645</v>
      </c>
      <c r="AH6556" t="s">
        <v>8646</v>
      </c>
      <c r="AI6556" t="str">
        <f>"9170255"</f>
        <v>9170255</v>
      </c>
      <c r="AJ6556" t="s">
        <v>8915</v>
      </c>
      <c r="AK6556">
        <v>2810220750</v>
      </c>
      <c r="AL6556" t="s">
        <v>8916</v>
      </c>
      <c r="AM6556" t="s">
        <v>78</v>
      </c>
      <c r="AN6556" t="s">
        <v>78</v>
      </c>
      <c r="AO6556" t="s">
        <v>78</v>
      </c>
      <c r="AP6556" t="s">
        <v>213</v>
      </c>
      <c r="AQ6556">
        <v>1</v>
      </c>
      <c r="AR6556" t="s">
        <v>80</v>
      </c>
      <c r="AS6556" t="s">
        <v>81</v>
      </c>
      <c r="AT6556" t="s">
        <v>58</v>
      </c>
      <c r="AU6556" t="s">
        <v>68</v>
      </c>
      <c r="AV6556" t="s">
        <v>2039</v>
      </c>
      <c r="AW6556" s="1">
        <v>24841</v>
      </c>
      <c r="AX6556">
        <v>1</v>
      </c>
    </row>
    <row r="6557" spans="1:50">
      <c r="A6557">
        <v>581052</v>
      </c>
      <c r="B6557" t="str">
        <f>"037541033"</f>
        <v>037541033</v>
      </c>
      <c r="C6557" t="s">
        <v>50</v>
      </c>
      <c r="D6557" t="s">
        <v>3157</v>
      </c>
      <c r="E6557" t="s">
        <v>52</v>
      </c>
      <c r="F6557" t="s">
        <v>95</v>
      </c>
      <c r="G6557" t="s">
        <v>2977</v>
      </c>
      <c r="H6557" t="str">
        <f>"ΣΚΕΠΕΤΖΗ 37 "</f>
        <v xml:space="preserve">ΣΚΕΠΕΤΖΗ 37 </v>
      </c>
      <c r="I6557">
        <v>71307</v>
      </c>
      <c r="J6557">
        <v>2810322361</v>
      </c>
      <c r="N6557" t="s">
        <v>615</v>
      </c>
      <c r="O6557" t="s">
        <v>616</v>
      </c>
      <c r="R6557" t="s">
        <v>57</v>
      </c>
      <c r="S6557">
        <v>13</v>
      </c>
      <c r="T6557">
        <v>179</v>
      </c>
      <c r="U6557" s="1">
        <v>35674</v>
      </c>
      <c r="V6557" t="s">
        <v>80</v>
      </c>
      <c r="W6557" t="s">
        <v>81</v>
      </c>
      <c r="X6557" t="s">
        <v>58</v>
      </c>
      <c r="Y6557">
        <v>21</v>
      </c>
      <c r="Z6557" t="s">
        <v>59</v>
      </c>
      <c r="AA6557" t="s">
        <v>59</v>
      </c>
      <c r="AB6557" t="s">
        <v>59</v>
      </c>
      <c r="AC6557" t="s">
        <v>59</v>
      </c>
      <c r="AD6557" t="s">
        <v>59</v>
      </c>
      <c r="AF6557" s="1">
        <v>35675</v>
      </c>
      <c r="AG6557" t="s">
        <v>8645</v>
      </c>
      <c r="AH6557" t="s">
        <v>8646</v>
      </c>
      <c r="AI6557" t="str">
        <f>"9170423"</f>
        <v>9170423</v>
      </c>
      <c r="AJ6557" t="s">
        <v>8808</v>
      </c>
      <c r="AK6557">
        <v>2810239612</v>
      </c>
      <c r="AL6557" t="s">
        <v>8809</v>
      </c>
      <c r="AM6557" t="s">
        <v>78</v>
      </c>
      <c r="AN6557" t="s">
        <v>78</v>
      </c>
      <c r="AO6557" t="s">
        <v>78</v>
      </c>
      <c r="AP6557" t="s">
        <v>163</v>
      </c>
      <c r="AQ6557">
        <v>1</v>
      </c>
      <c r="AR6557" t="s">
        <v>80</v>
      </c>
      <c r="AS6557" t="s">
        <v>81</v>
      </c>
      <c r="AT6557" t="s">
        <v>58</v>
      </c>
      <c r="AU6557" t="s">
        <v>68</v>
      </c>
      <c r="AV6557" t="s">
        <v>69</v>
      </c>
      <c r="AW6557" s="1">
        <v>23668</v>
      </c>
      <c r="AX6557">
        <v>1</v>
      </c>
    </row>
    <row r="6558" spans="1:50">
      <c r="A6558">
        <v>601232</v>
      </c>
      <c r="B6558" t="str">
        <f>"103270186"</f>
        <v>103270186</v>
      </c>
      <c r="C6558" t="s">
        <v>50</v>
      </c>
      <c r="D6558" t="s">
        <v>3157</v>
      </c>
      <c r="E6558" t="s">
        <v>52</v>
      </c>
      <c r="F6558" t="s">
        <v>99</v>
      </c>
      <c r="G6558" t="s">
        <v>73</v>
      </c>
      <c r="H6558" t="str">
        <f>"ΖΑΛΟΓΓΟΥ 2 ΧΕΡΣΟΝΗΣΟΣ"</f>
        <v>ΖΑΛΟΓΓΟΥ 2 ΧΕΡΣΟΝΗΣΟΣ</v>
      </c>
      <c r="I6558">
        <v>70014</v>
      </c>
      <c r="J6558">
        <v>2897022264</v>
      </c>
      <c r="K6558">
        <v>6944241783</v>
      </c>
      <c r="M6558" t="s">
        <v>10986</v>
      </c>
      <c r="N6558" t="s">
        <v>615</v>
      </c>
      <c r="O6558" t="s">
        <v>616</v>
      </c>
      <c r="R6558" t="s">
        <v>57</v>
      </c>
      <c r="S6558">
        <v>8</v>
      </c>
      <c r="T6558">
        <v>207</v>
      </c>
      <c r="U6558" s="1">
        <v>37866</v>
      </c>
      <c r="V6558" t="s">
        <v>80</v>
      </c>
      <c r="W6558" t="s">
        <v>81</v>
      </c>
      <c r="X6558" t="s">
        <v>58</v>
      </c>
      <c r="Y6558">
        <v>22</v>
      </c>
      <c r="Z6558" t="s">
        <v>59</v>
      </c>
      <c r="AA6558" t="s">
        <v>59</v>
      </c>
      <c r="AB6558" t="s">
        <v>59</v>
      </c>
      <c r="AC6558" t="s">
        <v>59</v>
      </c>
      <c r="AD6558" t="s">
        <v>59</v>
      </c>
      <c r="AF6558" s="1">
        <v>37866</v>
      </c>
      <c r="AG6558" t="s">
        <v>8645</v>
      </c>
      <c r="AH6558" t="s">
        <v>8646</v>
      </c>
      <c r="AI6558" t="str">
        <f>"9170239"</f>
        <v>9170239</v>
      </c>
      <c r="AJ6558" t="s">
        <v>8814</v>
      </c>
      <c r="AK6558">
        <v>2897022076</v>
      </c>
      <c r="AL6558" t="s">
        <v>8815</v>
      </c>
      <c r="AM6558" t="s">
        <v>78</v>
      </c>
      <c r="AN6558" t="s">
        <v>219</v>
      </c>
      <c r="AO6558" t="s">
        <v>219</v>
      </c>
      <c r="AP6558" t="s">
        <v>220</v>
      </c>
      <c r="AQ6558">
        <v>8</v>
      </c>
      <c r="AR6558" t="s">
        <v>80</v>
      </c>
      <c r="AS6558" t="s">
        <v>81</v>
      </c>
      <c r="AT6558" t="s">
        <v>58</v>
      </c>
      <c r="AU6558" t="s">
        <v>68</v>
      </c>
      <c r="AV6558" t="s">
        <v>69</v>
      </c>
      <c r="AW6558" s="1">
        <v>27076</v>
      </c>
      <c r="AX6558">
        <v>1</v>
      </c>
    </row>
    <row r="6559" spans="1:50">
      <c r="A6559">
        <v>565456</v>
      </c>
      <c r="B6559" t="str">
        <f>"064123990"</f>
        <v>064123990</v>
      </c>
      <c r="C6559" t="s">
        <v>50</v>
      </c>
      <c r="D6559" t="s">
        <v>3157</v>
      </c>
      <c r="E6559" t="s">
        <v>52</v>
      </c>
      <c r="F6559" t="s">
        <v>108</v>
      </c>
      <c r="G6559" t="s">
        <v>255</v>
      </c>
      <c r="H6559" t="str">
        <f>" "</f>
        <v xml:space="preserve"> </v>
      </c>
      <c r="N6559" t="s">
        <v>615</v>
      </c>
      <c r="O6559" t="s">
        <v>616</v>
      </c>
      <c r="R6559" t="s">
        <v>57</v>
      </c>
      <c r="S6559">
        <v>15</v>
      </c>
      <c r="T6559">
        <v>161</v>
      </c>
      <c r="U6559" s="1">
        <v>33119</v>
      </c>
      <c r="V6559" t="s">
        <v>80</v>
      </c>
      <c r="W6559" t="s">
        <v>81</v>
      </c>
      <c r="X6559" t="s">
        <v>58</v>
      </c>
      <c r="Y6559">
        <v>21</v>
      </c>
      <c r="Z6559" t="s">
        <v>59</v>
      </c>
      <c r="AA6559" t="s">
        <v>59</v>
      </c>
      <c r="AB6559" t="s">
        <v>59</v>
      </c>
      <c r="AC6559" t="s">
        <v>59</v>
      </c>
      <c r="AD6559" t="s">
        <v>59</v>
      </c>
      <c r="AF6559" s="1">
        <v>33119</v>
      </c>
      <c r="AG6559" t="s">
        <v>8645</v>
      </c>
      <c r="AH6559" t="s">
        <v>8646</v>
      </c>
      <c r="AI6559" t="str">
        <f>"9170107"</f>
        <v>9170107</v>
      </c>
      <c r="AJ6559" t="s">
        <v>8798</v>
      </c>
      <c r="AK6559">
        <v>2810282405</v>
      </c>
      <c r="AL6559" t="s">
        <v>8799</v>
      </c>
      <c r="AM6559" t="s">
        <v>78</v>
      </c>
      <c r="AN6559" t="s">
        <v>78</v>
      </c>
      <c r="AO6559" t="s">
        <v>78</v>
      </c>
      <c r="AP6559" t="s">
        <v>79</v>
      </c>
      <c r="AQ6559">
        <v>1</v>
      </c>
      <c r="AR6559" t="s">
        <v>80</v>
      </c>
      <c r="AS6559" t="s">
        <v>81</v>
      </c>
      <c r="AT6559" t="s">
        <v>58</v>
      </c>
      <c r="AU6559" t="s">
        <v>68</v>
      </c>
      <c r="AV6559" t="s">
        <v>69</v>
      </c>
      <c r="AW6559" s="1">
        <v>23704</v>
      </c>
      <c r="AX6559">
        <v>1</v>
      </c>
    </row>
    <row r="6560" spans="1:50">
      <c r="B6560" t="str">
        <f>"114597902"</f>
        <v>114597902</v>
      </c>
      <c r="C6560" t="s">
        <v>50</v>
      </c>
      <c r="D6560" t="s">
        <v>3157</v>
      </c>
      <c r="E6560" t="s">
        <v>1179</v>
      </c>
      <c r="F6560" t="s">
        <v>311</v>
      </c>
      <c r="G6560" t="s">
        <v>103</v>
      </c>
      <c r="H6560" t="str">
        <f>"ΠΑΡΑΣΚΕΥΟΠΟΥΛΟΥ 105 ΗΡΑΚΛΕΙΟ"</f>
        <v>ΠΑΡΑΣΚΕΥΟΠΟΥΛΟΥ 105 ΗΡΑΚΛΕΙΟ</v>
      </c>
      <c r="I6560">
        <v>71305</v>
      </c>
      <c r="J6560">
        <v>2810230626</v>
      </c>
      <c r="K6560">
        <v>6971829244</v>
      </c>
      <c r="N6560" t="s">
        <v>615</v>
      </c>
      <c r="O6560" t="s">
        <v>616</v>
      </c>
      <c r="R6560" t="s">
        <v>159</v>
      </c>
      <c r="S6560">
        <v>1</v>
      </c>
      <c r="T6560" t="s">
        <v>8675</v>
      </c>
      <c r="U6560" s="1">
        <v>43348</v>
      </c>
      <c r="V6560" t="s">
        <v>80</v>
      </c>
      <c r="W6560" t="s">
        <v>81</v>
      </c>
      <c r="X6560" t="s">
        <v>58</v>
      </c>
      <c r="Y6560">
        <v>24</v>
      </c>
      <c r="Z6560" t="s">
        <v>59</v>
      </c>
      <c r="AA6560" t="s">
        <v>59</v>
      </c>
      <c r="AB6560" t="s">
        <v>59</v>
      </c>
      <c r="AC6560" t="s">
        <v>59</v>
      </c>
      <c r="AD6560" t="s">
        <v>59</v>
      </c>
      <c r="AF6560" s="1">
        <v>43348</v>
      </c>
      <c r="AG6560" t="s">
        <v>8645</v>
      </c>
      <c r="AH6560" t="s">
        <v>8646</v>
      </c>
      <c r="AI6560" t="str">
        <f>"9170055"</f>
        <v>9170055</v>
      </c>
      <c r="AJ6560" t="s">
        <v>8836</v>
      </c>
      <c r="AK6560">
        <v>2810255097</v>
      </c>
      <c r="AL6560" t="s">
        <v>8837</v>
      </c>
      <c r="AM6560" t="s">
        <v>78</v>
      </c>
      <c r="AN6560" t="s">
        <v>78</v>
      </c>
      <c r="AO6560" t="s">
        <v>78</v>
      </c>
      <c r="AP6560" t="s">
        <v>141</v>
      </c>
      <c r="AQ6560">
        <v>1</v>
      </c>
      <c r="AR6560" t="s">
        <v>80</v>
      </c>
      <c r="AS6560" t="s">
        <v>81</v>
      </c>
      <c r="AT6560" t="s">
        <v>58</v>
      </c>
      <c r="AU6560" t="s">
        <v>8673</v>
      </c>
      <c r="AV6560" t="s">
        <v>132</v>
      </c>
      <c r="AW6560" s="1">
        <v>32306</v>
      </c>
      <c r="AX6560">
        <v>1</v>
      </c>
    </row>
    <row r="6561" spans="1:50">
      <c r="A6561">
        <v>622598</v>
      </c>
      <c r="B6561" t="str">
        <f>"137213329"</f>
        <v>137213329</v>
      </c>
      <c r="C6561" t="s">
        <v>50</v>
      </c>
      <c r="D6561" t="s">
        <v>3157</v>
      </c>
      <c r="E6561" t="s">
        <v>188</v>
      </c>
      <c r="F6561" t="s">
        <v>166</v>
      </c>
      <c r="G6561" t="s">
        <v>372</v>
      </c>
      <c r="H6561" t="str">
        <f>"ΦΩΤΕΙΝΟΥ 8 ΗΡΑΚΛΕΙΟ"</f>
        <v>ΦΩΤΕΙΝΟΥ 8 ΗΡΑΚΛΕΙΟ</v>
      </c>
      <c r="I6561">
        <v>71410</v>
      </c>
      <c r="J6561">
        <v>2811111108</v>
      </c>
      <c r="K6561">
        <v>6997089480</v>
      </c>
      <c r="M6561" t="s">
        <v>10987</v>
      </c>
      <c r="N6561" t="s">
        <v>1525</v>
      </c>
      <c r="O6561" t="s">
        <v>1526</v>
      </c>
      <c r="R6561" t="s">
        <v>57</v>
      </c>
      <c r="S6561">
        <v>5</v>
      </c>
      <c r="T6561">
        <v>653</v>
      </c>
      <c r="U6561" s="1">
        <v>40043</v>
      </c>
      <c r="V6561" t="s">
        <v>80</v>
      </c>
      <c r="W6561" t="s">
        <v>81</v>
      </c>
      <c r="X6561" t="s">
        <v>58</v>
      </c>
      <c r="Y6561">
        <v>25</v>
      </c>
      <c r="Z6561" t="s">
        <v>59</v>
      </c>
      <c r="AA6561" t="s">
        <v>59</v>
      </c>
      <c r="AB6561" t="s">
        <v>59</v>
      </c>
      <c r="AC6561" t="s">
        <v>59</v>
      </c>
      <c r="AD6561" t="s">
        <v>59</v>
      </c>
      <c r="AF6561" s="1">
        <v>40043</v>
      </c>
      <c r="AG6561" t="s">
        <v>8651</v>
      </c>
      <c r="AH6561" t="s">
        <v>8652</v>
      </c>
      <c r="AI6561" t="str">
        <f>"9170481"</f>
        <v>9170481</v>
      </c>
      <c r="AJ6561" t="s">
        <v>10988</v>
      </c>
      <c r="AK6561">
        <v>2810250560</v>
      </c>
      <c r="AL6561" t="s">
        <v>10989</v>
      </c>
      <c r="AM6561" t="s">
        <v>78</v>
      </c>
      <c r="AN6561" t="s">
        <v>78</v>
      </c>
      <c r="AO6561" t="s">
        <v>78</v>
      </c>
      <c r="AP6561" t="s">
        <v>141</v>
      </c>
      <c r="AQ6561">
        <v>1</v>
      </c>
      <c r="AR6561" t="s">
        <v>80</v>
      </c>
      <c r="AS6561" t="s">
        <v>81</v>
      </c>
      <c r="AT6561" t="s">
        <v>58</v>
      </c>
      <c r="AU6561" t="s">
        <v>68</v>
      </c>
      <c r="AV6561" t="s">
        <v>69</v>
      </c>
      <c r="AW6561" s="1">
        <v>31480</v>
      </c>
      <c r="AX6561">
        <v>1</v>
      </c>
    </row>
    <row r="6562" spans="1:50">
      <c r="A6562">
        <v>582225</v>
      </c>
      <c r="B6562" t="str">
        <f>"038631675"</f>
        <v>038631675</v>
      </c>
      <c r="C6562" t="s">
        <v>50</v>
      </c>
      <c r="D6562" t="s">
        <v>3157</v>
      </c>
      <c r="E6562" t="s">
        <v>491</v>
      </c>
      <c r="F6562" t="s">
        <v>72</v>
      </c>
      <c r="G6562" t="s">
        <v>600</v>
      </c>
      <c r="H6562" t="str">
        <f>"ΣΕΡΓΙΟΥ ΚΥΒΕΛΗΣ 14 ΗΡΑΚΛΕΙΟ"</f>
        <v>ΣΕΡΓΙΟΥ ΚΥΒΕΛΗΣ 14 ΗΡΑΚΛΕΙΟ</v>
      </c>
      <c r="I6562">
        <v>71409</v>
      </c>
      <c r="J6562">
        <v>2810222078</v>
      </c>
      <c r="K6562">
        <v>6948082468</v>
      </c>
      <c r="N6562" t="s">
        <v>615</v>
      </c>
      <c r="O6562" t="s">
        <v>616</v>
      </c>
      <c r="R6562" t="s">
        <v>57</v>
      </c>
      <c r="S6562">
        <v>12</v>
      </c>
      <c r="T6562">
        <v>179</v>
      </c>
      <c r="U6562" s="1">
        <v>35674</v>
      </c>
      <c r="V6562" t="s">
        <v>80</v>
      </c>
      <c r="W6562" t="s">
        <v>81</v>
      </c>
      <c r="X6562" t="s">
        <v>58</v>
      </c>
      <c r="Y6562">
        <v>21</v>
      </c>
      <c r="Z6562" t="s">
        <v>59</v>
      </c>
      <c r="AA6562" t="s">
        <v>59</v>
      </c>
      <c r="AB6562" t="s">
        <v>59</v>
      </c>
      <c r="AC6562" t="s">
        <v>59</v>
      </c>
      <c r="AD6562" t="s">
        <v>59</v>
      </c>
      <c r="AF6562" s="1">
        <v>35681</v>
      </c>
      <c r="AG6562" t="s">
        <v>8645</v>
      </c>
      <c r="AH6562" t="s">
        <v>8646</v>
      </c>
      <c r="AI6562" t="str">
        <f>"9170345"</f>
        <v>9170345</v>
      </c>
      <c r="AJ6562" t="s">
        <v>9429</v>
      </c>
      <c r="AK6562">
        <v>2810289563</v>
      </c>
      <c r="AL6562" t="s">
        <v>9430</v>
      </c>
      <c r="AM6562" t="s">
        <v>78</v>
      </c>
      <c r="AN6562" t="s">
        <v>78</v>
      </c>
      <c r="AO6562" t="s">
        <v>78</v>
      </c>
      <c r="AP6562" t="s">
        <v>79</v>
      </c>
      <c r="AQ6562">
        <v>1</v>
      </c>
      <c r="AR6562" t="s">
        <v>80</v>
      </c>
      <c r="AS6562" t="s">
        <v>81</v>
      </c>
      <c r="AT6562" t="s">
        <v>58</v>
      </c>
      <c r="AU6562" t="s">
        <v>68</v>
      </c>
      <c r="AV6562" t="s">
        <v>69</v>
      </c>
      <c r="AW6562" s="1">
        <v>24562</v>
      </c>
      <c r="AX6562">
        <v>1</v>
      </c>
    </row>
    <row r="6563" spans="1:50">
      <c r="A6563">
        <v>604093</v>
      </c>
      <c r="B6563" t="str">
        <f>"103539548"</f>
        <v>103539548</v>
      </c>
      <c r="C6563" t="s">
        <v>50</v>
      </c>
      <c r="D6563" t="s">
        <v>3157</v>
      </c>
      <c r="E6563" t="s">
        <v>1074</v>
      </c>
      <c r="F6563" t="s">
        <v>106</v>
      </c>
      <c r="G6563" t="s">
        <v>73</v>
      </c>
      <c r="H6563" t="str">
        <f>"ΑΚΡΙΤΑ 11 ΚΑΛΑΜΑΤΑ"</f>
        <v>ΑΚΡΙΤΑ 11 ΚΑΛΑΜΑΤΑ</v>
      </c>
      <c r="I6563">
        <v>24100</v>
      </c>
      <c r="K6563">
        <v>6972558689</v>
      </c>
      <c r="N6563" t="s">
        <v>615</v>
      </c>
      <c r="O6563" t="s">
        <v>616</v>
      </c>
      <c r="R6563" t="s">
        <v>57</v>
      </c>
      <c r="S6563">
        <v>8</v>
      </c>
      <c r="T6563">
        <v>231</v>
      </c>
      <c r="U6563" s="1">
        <v>38230</v>
      </c>
      <c r="V6563" t="s">
        <v>80</v>
      </c>
      <c r="W6563" t="s">
        <v>81</v>
      </c>
      <c r="X6563" t="s">
        <v>58</v>
      </c>
      <c r="Y6563">
        <v>22</v>
      </c>
      <c r="Z6563" t="s">
        <v>59</v>
      </c>
      <c r="AA6563" t="s">
        <v>59</v>
      </c>
      <c r="AB6563" t="s">
        <v>59</v>
      </c>
      <c r="AC6563" t="s">
        <v>59</v>
      </c>
      <c r="AD6563" t="s">
        <v>59</v>
      </c>
      <c r="AF6563" s="1">
        <v>38231</v>
      </c>
      <c r="AG6563" t="s">
        <v>8645</v>
      </c>
      <c r="AH6563" t="s">
        <v>8646</v>
      </c>
      <c r="AI6563" t="str">
        <f>"9170108"</f>
        <v>9170108</v>
      </c>
      <c r="AJ6563" t="s">
        <v>8863</v>
      </c>
      <c r="AK6563">
        <v>2810232111</v>
      </c>
      <c r="AL6563" t="s">
        <v>8864</v>
      </c>
      <c r="AM6563" t="s">
        <v>78</v>
      </c>
      <c r="AN6563" t="s">
        <v>78</v>
      </c>
      <c r="AO6563" t="s">
        <v>78</v>
      </c>
      <c r="AP6563" t="s">
        <v>163</v>
      </c>
      <c r="AQ6563">
        <v>1</v>
      </c>
      <c r="AR6563" t="s">
        <v>80</v>
      </c>
      <c r="AS6563" t="s">
        <v>81</v>
      </c>
      <c r="AT6563" t="s">
        <v>58</v>
      </c>
      <c r="AU6563" t="s">
        <v>68</v>
      </c>
      <c r="AV6563" t="s">
        <v>69</v>
      </c>
      <c r="AW6563" s="1">
        <v>27689</v>
      </c>
      <c r="AX6563">
        <v>1</v>
      </c>
    </row>
    <row r="6564" spans="1:50">
      <c r="A6564">
        <v>621904</v>
      </c>
      <c r="B6564" t="str">
        <f>"137213330"</f>
        <v>137213330</v>
      </c>
      <c r="C6564" t="s">
        <v>50</v>
      </c>
      <c r="D6564" t="s">
        <v>3157</v>
      </c>
      <c r="E6564" t="s">
        <v>181</v>
      </c>
      <c r="F6564" t="s">
        <v>166</v>
      </c>
      <c r="G6564" t="s">
        <v>372</v>
      </c>
      <c r="H6564" t="str">
        <f>"ΕΥΤΕΡΠΗΣ 29 ΗΡΑΚΛΕΙΟ"</f>
        <v>ΕΥΤΕΡΠΗΣ 29 ΗΡΑΚΛΕΙΟ</v>
      </c>
      <c r="I6564">
        <v>71409</v>
      </c>
      <c r="J6564">
        <v>2810326238</v>
      </c>
      <c r="K6564">
        <v>6997089431</v>
      </c>
      <c r="N6564" t="s">
        <v>615</v>
      </c>
      <c r="O6564" t="s">
        <v>616</v>
      </c>
      <c r="R6564" t="s">
        <v>57</v>
      </c>
      <c r="S6564">
        <v>5</v>
      </c>
      <c r="T6564">
        <v>653</v>
      </c>
      <c r="U6564" s="1">
        <v>40043</v>
      </c>
      <c r="V6564" t="s">
        <v>80</v>
      </c>
      <c r="W6564" t="s">
        <v>81</v>
      </c>
      <c r="X6564" t="s">
        <v>58</v>
      </c>
      <c r="Y6564">
        <v>23</v>
      </c>
      <c r="Z6564" t="s">
        <v>59</v>
      </c>
      <c r="AA6564" t="s">
        <v>59</v>
      </c>
      <c r="AB6564" t="s">
        <v>59</v>
      </c>
      <c r="AC6564" t="s">
        <v>59</v>
      </c>
      <c r="AD6564" t="s">
        <v>59</v>
      </c>
      <c r="AF6564" s="1">
        <v>40043</v>
      </c>
      <c r="AG6564" t="s">
        <v>8645</v>
      </c>
      <c r="AH6564" t="s">
        <v>8646</v>
      </c>
      <c r="AI6564" t="str">
        <f>"9170535"</f>
        <v>9170535</v>
      </c>
      <c r="AJ6564" t="s">
        <v>9330</v>
      </c>
      <c r="AK6564">
        <v>2810222629</v>
      </c>
      <c r="AL6564" t="s">
        <v>9331</v>
      </c>
      <c r="AM6564" t="s">
        <v>78</v>
      </c>
      <c r="AN6564" t="s">
        <v>78</v>
      </c>
      <c r="AO6564" t="s">
        <v>78</v>
      </c>
      <c r="AP6564" t="s">
        <v>213</v>
      </c>
      <c r="AQ6564">
        <v>1</v>
      </c>
      <c r="AR6564" t="s">
        <v>80</v>
      </c>
      <c r="AS6564" t="s">
        <v>81</v>
      </c>
      <c r="AT6564" t="s">
        <v>58</v>
      </c>
      <c r="AU6564" t="s">
        <v>68</v>
      </c>
      <c r="AV6564" t="s">
        <v>69</v>
      </c>
      <c r="AW6564" s="1">
        <v>31480</v>
      </c>
      <c r="AX6564">
        <v>1</v>
      </c>
    </row>
    <row r="6565" spans="1:50">
      <c r="A6565">
        <v>614966</v>
      </c>
      <c r="B6565" t="str">
        <f>"132984215"</f>
        <v>132984215</v>
      </c>
      <c r="C6565" t="s">
        <v>50</v>
      </c>
      <c r="D6565" t="s">
        <v>3157</v>
      </c>
      <c r="E6565" t="s">
        <v>563</v>
      </c>
      <c r="F6565" t="s">
        <v>72</v>
      </c>
      <c r="G6565" t="s">
        <v>237</v>
      </c>
      <c r="H6565" t="str">
        <f>"ΣΟΥΡΗ 15 ΓΑΖΙ ΗΡΑΚΛΕΙΟΥ"</f>
        <v>ΣΟΥΡΗ 15 ΓΑΖΙ ΗΡΑΚΛΕΙΟΥ</v>
      </c>
      <c r="I6565">
        <v>71414</v>
      </c>
      <c r="J6565">
        <v>2810821644</v>
      </c>
      <c r="K6565">
        <v>6979773904</v>
      </c>
      <c r="N6565" t="s">
        <v>615</v>
      </c>
      <c r="O6565" t="s">
        <v>616</v>
      </c>
      <c r="R6565" t="s">
        <v>57</v>
      </c>
      <c r="S6565">
        <v>5</v>
      </c>
      <c r="T6565">
        <v>598</v>
      </c>
      <c r="U6565" s="1">
        <v>39337</v>
      </c>
      <c r="V6565" t="s">
        <v>80</v>
      </c>
      <c r="W6565" t="s">
        <v>81</v>
      </c>
      <c r="X6565" t="s">
        <v>58</v>
      </c>
      <c r="Y6565">
        <v>23</v>
      </c>
      <c r="Z6565" t="s">
        <v>59</v>
      </c>
      <c r="AA6565" t="s">
        <v>59</v>
      </c>
      <c r="AB6565" t="s">
        <v>59</v>
      </c>
      <c r="AC6565" t="s">
        <v>59</v>
      </c>
      <c r="AD6565" t="s">
        <v>59</v>
      </c>
      <c r="AF6565" s="1">
        <v>39337</v>
      </c>
      <c r="AG6565" t="s">
        <v>8645</v>
      </c>
      <c r="AH6565" t="s">
        <v>8646</v>
      </c>
      <c r="AI6565" t="str">
        <f>"9521411"</f>
        <v>9521411</v>
      </c>
      <c r="AJ6565" t="s">
        <v>9007</v>
      </c>
      <c r="AK6565">
        <v>2810824954</v>
      </c>
      <c r="AL6565" t="s">
        <v>9008</v>
      </c>
      <c r="AM6565" t="s">
        <v>78</v>
      </c>
      <c r="AN6565" t="s">
        <v>129</v>
      </c>
      <c r="AO6565" t="s">
        <v>130</v>
      </c>
      <c r="AP6565" t="s">
        <v>130</v>
      </c>
      <c r="AQ6565">
        <v>1</v>
      </c>
      <c r="AR6565" t="s">
        <v>80</v>
      </c>
      <c r="AS6565" t="s">
        <v>81</v>
      </c>
      <c r="AT6565" t="s">
        <v>58</v>
      </c>
      <c r="AU6565" t="s">
        <v>68</v>
      </c>
      <c r="AV6565" t="s">
        <v>69</v>
      </c>
      <c r="AW6565" s="1">
        <v>31010</v>
      </c>
      <c r="AX6565">
        <v>1</v>
      </c>
    </row>
    <row r="6566" spans="1:50">
      <c r="A6566">
        <v>607254</v>
      </c>
      <c r="B6566" t="str">
        <f>"061362565"</f>
        <v>061362565</v>
      </c>
      <c r="C6566" t="s">
        <v>50</v>
      </c>
      <c r="D6566" t="s">
        <v>3157</v>
      </c>
      <c r="E6566" t="s">
        <v>10990</v>
      </c>
      <c r="F6566" t="s">
        <v>108</v>
      </c>
      <c r="G6566" t="s">
        <v>10991</v>
      </c>
      <c r="H6566" t="str">
        <f>"ΒΩΡΡΟΙ ΗΡΑΚΛΕΙΟ ΚΡΗΤΗΣ"</f>
        <v>ΒΩΡΡΟΙ ΗΡΑΚΛΕΙΟ ΚΡΗΤΗΣ</v>
      </c>
      <c r="I6566">
        <v>70200</v>
      </c>
      <c r="J6566">
        <v>2892091565</v>
      </c>
      <c r="K6566">
        <v>6974710983</v>
      </c>
      <c r="M6566" t="s">
        <v>10992</v>
      </c>
      <c r="N6566" t="s">
        <v>615</v>
      </c>
      <c r="O6566" t="s">
        <v>616</v>
      </c>
      <c r="R6566" t="s">
        <v>57</v>
      </c>
      <c r="S6566">
        <v>7</v>
      </c>
      <c r="T6566">
        <v>217</v>
      </c>
      <c r="U6566" s="1">
        <v>38596</v>
      </c>
      <c r="V6566" t="s">
        <v>80</v>
      </c>
      <c r="W6566" t="s">
        <v>81</v>
      </c>
      <c r="X6566" t="s">
        <v>58</v>
      </c>
      <c r="Y6566">
        <v>22</v>
      </c>
      <c r="Z6566" t="s">
        <v>59</v>
      </c>
      <c r="AA6566" t="s">
        <v>59</v>
      </c>
      <c r="AB6566" t="s">
        <v>59</v>
      </c>
      <c r="AC6566" t="s">
        <v>59</v>
      </c>
      <c r="AD6566" t="s">
        <v>59</v>
      </c>
      <c r="AF6566" s="1">
        <v>38600</v>
      </c>
      <c r="AG6566" t="s">
        <v>8645</v>
      </c>
      <c r="AH6566" t="s">
        <v>8646</v>
      </c>
      <c r="AI6566" t="str">
        <f>"9170327"</f>
        <v>9170327</v>
      </c>
      <c r="AJ6566" t="s">
        <v>8963</v>
      </c>
      <c r="AK6566">
        <v>2892091234</v>
      </c>
      <c r="AL6566" t="s">
        <v>8964</v>
      </c>
      <c r="AM6566" t="s">
        <v>78</v>
      </c>
      <c r="AN6566" t="s">
        <v>242</v>
      </c>
      <c r="AO6566" t="s">
        <v>349</v>
      </c>
      <c r="AP6566" t="s">
        <v>8965</v>
      </c>
      <c r="AQ6566">
        <v>19</v>
      </c>
      <c r="AR6566" t="s">
        <v>80</v>
      </c>
      <c r="AS6566" t="s">
        <v>81</v>
      </c>
      <c r="AT6566" t="s">
        <v>58</v>
      </c>
      <c r="AU6566" t="s">
        <v>68</v>
      </c>
      <c r="AV6566" t="s">
        <v>69</v>
      </c>
      <c r="AW6566" s="1">
        <v>26833</v>
      </c>
      <c r="AX6566">
        <v>1</v>
      </c>
    </row>
    <row r="6567" spans="1:50">
      <c r="B6567" t="str">
        <f>"128324310"</f>
        <v>128324310</v>
      </c>
      <c r="C6567" t="s">
        <v>50</v>
      </c>
      <c r="D6567" t="s">
        <v>3157</v>
      </c>
      <c r="E6567" t="s">
        <v>96</v>
      </c>
      <c r="F6567" t="s">
        <v>154</v>
      </c>
      <c r="G6567" t="s">
        <v>801</v>
      </c>
      <c r="H6567" t="str">
        <f>"ΕΛΕΥΘΕΡΙΑΣ 37Α ΓΑΖΙ "</f>
        <v xml:space="preserve">ΕΛΕΥΘΕΡΙΑΣ 37Α ΓΑΖΙ </v>
      </c>
      <c r="I6567">
        <v>71414</v>
      </c>
      <c r="J6567">
        <v>2810822045</v>
      </c>
      <c r="K6567">
        <v>6936805799</v>
      </c>
      <c r="N6567" t="s">
        <v>1525</v>
      </c>
      <c r="O6567" t="s">
        <v>1526</v>
      </c>
      <c r="R6567" t="s">
        <v>159</v>
      </c>
      <c r="S6567">
        <v>4</v>
      </c>
      <c r="T6567" t="s">
        <v>8670</v>
      </c>
      <c r="U6567" s="1">
        <v>43348</v>
      </c>
      <c r="V6567" t="s">
        <v>80</v>
      </c>
      <c r="W6567" t="s">
        <v>81</v>
      </c>
      <c r="X6567" t="s">
        <v>58</v>
      </c>
      <c r="Y6567">
        <v>25</v>
      </c>
      <c r="Z6567" t="s">
        <v>59</v>
      </c>
      <c r="AA6567" t="s">
        <v>59</v>
      </c>
      <c r="AB6567" t="s">
        <v>59</v>
      </c>
      <c r="AC6567" t="s">
        <v>59</v>
      </c>
      <c r="AD6567" t="s">
        <v>59</v>
      </c>
      <c r="AF6567" s="1">
        <v>43348</v>
      </c>
      <c r="AG6567" t="s">
        <v>8651</v>
      </c>
      <c r="AH6567" t="s">
        <v>8652</v>
      </c>
      <c r="AI6567" t="str">
        <f>"9170446"</f>
        <v>9170446</v>
      </c>
      <c r="AJ6567" t="s">
        <v>10284</v>
      </c>
      <c r="AK6567">
        <v>2810771820</v>
      </c>
      <c r="AL6567" t="s">
        <v>10285</v>
      </c>
      <c r="AM6567" t="s">
        <v>78</v>
      </c>
      <c r="AN6567" t="s">
        <v>219</v>
      </c>
      <c r="AO6567" t="s">
        <v>1437</v>
      </c>
      <c r="AP6567" t="s">
        <v>10286</v>
      </c>
      <c r="AQ6567">
        <v>7</v>
      </c>
      <c r="AR6567" t="s">
        <v>80</v>
      </c>
      <c r="AS6567" t="s">
        <v>81</v>
      </c>
      <c r="AT6567" t="s">
        <v>58</v>
      </c>
      <c r="AU6567" t="s">
        <v>8673</v>
      </c>
      <c r="AV6567" t="s">
        <v>132</v>
      </c>
      <c r="AW6567" s="1">
        <v>30406</v>
      </c>
      <c r="AX6567">
        <v>1</v>
      </c>
    </row>
    <row r="6568" spans="1:50">
      <c r="A6568">
        <v>568380</v>
      </c>
      <c r="B6568" t="str">
        <f>"063732472"</f>
        <v>063732472</v>
      </c>
      <c r="C6568" t="s">
        <v>50</v>
      </c>
      <c r="D6568" t="s">
        <v>10993</v>
      </c>
      <c r="E6568" t="s">
        <v>215</v>
      </c>
      <c r="F6568" t="s">
        <v>53</v>
      </c>
      <c r="G6568" t="s">
        <v>52</v>
      </c>
      <c r="H6568" t="str">
        <f>"Μ. ΚΑΠΑΖΟΥΡΝΑ  21 ΝΕΑ  ΑΛΙΚΑΡΝΑΣΣΟΣ"</f>
        <v>Μ. ΚΑΠΑΖΟΥΡΝΑ  21 ΝΕΑ  ΑΛΙΚΑΡΝΑΣΣΟΣ</v>
      </c>
      <c r="I6568">
        <v>71601</v>
      </c>
      <c r="K6568">
        <v>6937331945</v>
      </c>
      <c r="N6568" t="s">
        <v>615</v>
      </c>
      <c r="O6568" t="s">
        <v>616</v>
      </c>
      <c r="R6568" t="s">
        <v>57</v>
      </c>
      <c r="S6568">
        <v>14</v>
      </c>
      <c r="T6568">
        <v>162</v>
      </c>
      <c r="U6568" s="1">
        <v>33844</v>
      </c>
      <c r="V6568" t="s">
        <v>80</v>
      </c>
      <c r="W6568" t="s">
        <v>81</v>
      </c>
      <c r="X6568" t="s">
        <v>58</v>
      </c>
      <c r="Y6568">
        <v>21</v>
      </c>
      <c r="Z6568" t="s">
        <v>59</v>
      </c>
      <c r="AA6568" t="s">
        <v>59</v>
      </c>
      <c r="AB6568" t="s">
        <v>59</v>
      </c>
      <c r="AC6568" t="s">
        <v>59</v>
      </c>
      <c r="AD6568" t="s">
        <v>59</v>
      </c>
      <c r="AF6568" s="1">
        <v>33851</v>
      </c>
      <c r="AG6568" t="s">
        <v>8645</v>
      </c>
      <c r="AH6568" t="s">
        <v>8646</v>
      </c>
      <c r="AI6568" t="str">
        <f>"9170427"</f>
        <v>9170427</v>
      </c>
      <c r="AJ6568" t="s">
        <v>8817</v>
      </c>
      <c r="AK6568">
        <v>2810220998</v>
      </c>
      <c r="AL6568" t="s">
        <v>8818</v>
      </c>
      <c r="AM6568" t="s">
        <v>78</v>
      </c>
      <c r="AN6568" t="s">
        <v>78</v>
      </c>
      <c r="AO6568" t="s">
        <v>286</v>
      </c>
      <c r="AP6568" t="s">
        <v>286</v>
      </c>
      <c r="AQ6568">
        <v>1</v>
      </c>
      <c r="AR6568" t="s">
        <v>80</v>
      </c>
      <c r="AS6568" t="s">
        <v>81</v>
      </c>
      <c r="AT6568" t="s">
        <v>58</v>
      </c>
      <c r="AU6568" t="s">
        <v>68</v>
      </c>
      <c r="AV6568" t="s">
        <v>69</v>
      </c>
      <c r="AW6568" s="1">
        <v>24342</v>
      </c>
      <c r="AX6568">
        <v>1</v>
      </c>
    </row>
    <row r="6569" spans="1:50">
      <c r="A6569">
        <v>565871</v>
      </c>
      <c r="B6569" t="str">
        <f>"034135559"</f>
        <v>034135559</v>
      </c>
      <c r="C6569" t="s">
        <v>105</v>
      </c>
      <c r="D6569" t="s">
        <v>3190</v>
      </c>
      <c r="E6569" t="s">
        <v>760</v>
      </c>
      <c r="F6569" t="s">
        <v>166</v>
      </c>
      <c r="G6569" t="s">
        <v>250</v>
      </c>
      <c r="H6569" t="str">
        <f>"ΞΕΝΟΦΩΝΤΟΣ 36 ΗΡΑΚΛΕΙΟ"</f>
        <v>ΞΕΝΟΦΩΝΤΟΣ 36 ΗΡΑΚΛΕΙΟ</v>
      </c>
      <c r="I6569">
        <v>71307</v>
      </c>
      <c r="J6569">
        <v>2810229007</v>
      </c>
      <c r="K6569">
        <v>6946835410</v>
      </c>
      <c r="M6569" t="s">
        <v>10994</v>
      </c>
      <c r="N6569" t="s">
        <v>615</v>
      </c>
      <c r="O6569" t="s">
        <v>616</v>
      </c>
      <c r="R6569" t="s">
        <v>57</v>
      </c>
      <c r="S6569">
        <v>15</v>
      </c>
      <c r="T6569">
        <v>161</v>
      </c>
      <c r="U6569" s="1">
        <v>33119</v>
      </c>
      <c r="V6569" t="s">
        <v>80</v>
      </c>
      <c r="W6569" t="s">
        <v>81</v>
      </c>
      <c r="X6569" t="s">
        <v>58</v>
      </c>
      <c r="Y6569">
        <v>21</v>
      </c>
      <c r="Z6569" t="s">
        <v>59</v>
      </c>
      <c r="AA6569" t="s">
        <v>59</v>
      </c>
      <c r="AB6569" t="s">
        <v>59</v>
      </c>
      <c r="AC6569" t="s">
        <v>59</v>
      </c>
      <c r="AD6569" t="s">
        <v>59</v>
      </c>
      <c r="AF6569" s="1">
        <v>33121</v>
      </c>
      <c r="AG6569" t="s">
        <v>8645</v>
      </c>
      <c r="AH6569" t="s">
        <v>8646</v>
      </c>
      <c r="AI6569" t="str">
        <f>"9170427"</f>
        <v>9170427</v>
      </c>
      <c r="AJ6569" t="s">
        <v>8817</v>
      </c>
      <c r="AK6569">
        <v>2810220998</v>
      </c>
      <c r="AL6569" t="s">
        <v>8818</v>
      </c>
      <c r="AM6569" t="s">
        <v>78</v>
      </c>
      <c r="AN6569" t="s">
        <v>78</v>
      </c>
      <c r="AO6569" t="s">
        <v>286</v>
      </c>
      <c r="AP6569" t="s">
        <v>286</v>
      </c>
      <c r="AQ6569">
        <v>1</v>
      </c>
      <c r="AR6569" t="s">
        <v>80</v>
      </c>
      <c r="AS6569" t="s">
        <v>81</v>
      </c>
      <c r="AT6569" t="s">
        <v>58</v>
      </c>
      <c r="AU6569" t="s">
        <v>68</v>
      </c>
      <c r="AV6569" t="s">
        <v>2039</v>
      </c>
      <c r="AW6569" s="1">
        <v>21329</v>
      </c>
      <c r="AX6569">
        <v>1</v>
      </c>
    </row>
    <row r="6570" spans="1:50">
      <c r="A6570">
        <v>603780</v>
      </c>
      <c r="B6570" t="str">
        <f>"066317036"</f>
        <v>066317036</v>
      </c>
      <c r="C6570" t="s">
        <v>105</v>
      </c>
      <c r="D6570" t="s">
        <v>3190</v>
      </c>
      <c r="E6570" t="s">
        <v>95</v>
      </c>
      <c r="F6570" t="s">
        <v>202</v>
      </c>
      <c r="G6570" t="s">
        <v>109</v>
      </c>
      <c r="H6570" t="str">
        <f>"Κ.ΠΑΛΑΜΑ 38 ΗΡΑΚΛΕΙΟ"</f>
        <v>Κ.ΠΑΛΑΜΑ 38 ΗΡΑΚΛΕΙΟ</v>
      </c>
      <c r="I6570">
        <v>70400</v>
      </c>
      <c r="J6570">
        <v>2892025062</v>
      </c>
      <c r="K6570">
        <v>6976059693</v>
      </c>
      <c r="M6570" t="s">
        <v>10995</v>
      </c>
      <c r="N6570" t="s">
        <v>615</v>
      </c>
      <c r="O6570" t="s">
        <v>616</v>
      </c>
      <c r="R6570" t="s">
        <v>57</v>
      </c>
      <c r="S6570">
        <v>7</v>
      </c>
      <c r="T6570">
        <v>231</v>
      </c>
      <c r="U6570" s="1">
        <v>38230</v>
      </c>
      <c r="V6570" t="s">
        <v>80</v>
      </c>
      <c r="W6570" t="s">
        <v>81</v>
      </c>
      <c r="X6570" t="s">
        <v>58</v>
      </c>
      <c r="Y6570">
        <v>23</v>
      </c>
      <c r="Z6570" t="s">
        <v>59</v>
      </c>
      <c r="AA6570" t="s">
        <v>59</v>
      </c>
      <c r="AB6570" t="s">
        <v>59</v>
      </c>
      <c r="AC6570" t="s">
        <v>59</v>
      </c>
      <c r="AD6570" t="s">
        <v>59</v>
      </c>
      <c r="AF6570" s="1">
        <v>38231</v>
      </c>
      <c r="AG6570" t="s">
        <v>8645</v>
      </c>
      <c r="AH6570" t="s">
        <v>8646</v>
      </c>
      <c r="AI6570" t="str">
        <f>"9170267"</f>
        <v>9170267</v>
      </c>
      <c r="AJ6570" t="s">
        <v>8840</v>
      </c>
      <c r="AK6570">
        <v>2892022320</v>
      </c>
      <c r="AL6570" t="s">
        <v>8841</v>
      </c>
      <c r="AM6570" t="s">
        <v>78</v>
      </c>
      <c r="AN6570" t="s">
        <v>242</v>
      </c>
      <c r="AO6570" t="s">
        <v>243</v>
      </c>
      <c r="AP6570" t="s">
        <v>243</v>
      </c>
      <c r="AQ6570">
        <v>20</v>
      </c>
      <c r="AR6570" t="s">
        <v>80</v>
      </c>
      <c r="AS6570" t="s">
        <v>81</v>
      </c>
      <c r="AT6570" t="s">
        <v>58</v>
      </c>
      <c r="AU6570" t="s">
        <v>68</v>
      </c>
      <c r="AV6570" t="s">
        <v>69</v>
      </c>
      <c r="AW6570" s="1">
        <v>29479</v>
      </c>
      <c r="AX6570">
        <v>1</v>
      </c>
    </row>
    <row r="6571" spans="1:50">
      <c r="A6571">
        <v>551489</v>
      </c>
      <c r="B6571" t="str">
        <f>"025952562"</f>
        <v>025952562</v>
      </c>
      <c r="C6571" t="s">
        <v>105</v>
      </c>
      <c r="D6571" t="s">
        <v>3190</v>
      </c>
      <c r="E6571" t="s">
        <v>95</v>
      </c>
      <c r="F6571" t="s">
        <v>108</v>
      </c>
      <c r="G6571" t="s">
        <v>396</v>
      </c>
      <c r="H6571" t="str">
        <f>"ΜΙΑΜΟΥ-ΚΑΙΝΟΥΡΓΙΟΥ ΠΟΜΠΙΑ"</f>
        <v>ΜΙΑΜΟΥ-ΚΑΙΝΟΥΡΓΙΟΥ ΠΟΜΠΙΑ</v>
      </c>
      <c r="I6571">
        <v>70009</v>
      </c>
      <c r="J6571">
        <v>2892094218</v>
      </c>
      <c r="K6571">
        <v>6973482414</v>
      </c>
      <c r="N6571" t="s">
        <v>615</v>
      </c>
      <c r="O6571" t="s">
        <v>616</v>
      </c>
      <c r="R6571" t="s">
        <v>57</v>
      </c>
      <c r="S6571">
        <v>17</v>
      </c>
      <c r="T6571">
        <v>271</v>
      </c>
      <c r="U6571" s="1">
        <v>30923</v>
      </c>
      <c r="V6571" t="s">
        <v>80</v>
      </c>
      <c r="W6571" t="s">
        <v>81</v>
      </c>
      <c r="X6571" t="s">
        <v>58</v>
      </c>
      <c r="Y6571">
        <v>25</v>
      </c>
      <c r="Z6571" t="s">
        <v>59</v>
      </c>
      <c r="AA6571" t="s">
        <v>59</v>
      </c>
      <c r="AB6571" t="s">
        <v>59</v>
      </c>
      <c r="AC6571" t="s">
        <v>59</v>
      </c>
      <c r="AD6571" t="s">
        <v>59</v>
      </c>
      <c r="AF6571" s="1">
        <v>30930</v>
      </c>
      <c r="AG6571" t="s">
        <v>8645</v>
      </c>
      <c r="AH6571" t="s">
        <v>8676</v>
      </c>
      <c r="AI6571" t="str">
        <f>"9170269"</f>
        <v>9170269</v>
      </c>
      <c r="AJ6571" t="s">
        <v>10996</v>
      </c>
      <c r="AK6571">
        <v>2892094300</v>
      </c>
      <c r="AL6571" t="s">
        <v>10997</v>
      </c>
      <c r="AM6571" t="s">
        <v>78</v>
      </c>
      <c r="AN6571" t="s">
        <v>405</v>
      </c>
      <c r="AO6571" t="s">
        <v>405</v>
      </c>
      <c r="AP6571" t="s">
        <v>10998</v>
      </c>
      <c r="AQ6571">
        <v>16</v>
      </c>
      <c r="AR6571" t="s">
        <v>80</v>
      </c>
      <c r="AS6571" t="s">
        <v>81</v>
      </c>
      <c r="AT6571" t="s">
        <v>58</v>
      </c>
      <c r="AU6571" t="s">
        <v>68</v>
      </c>
      <c r="AV6571" t="s">
        <v>69</v>
      </c>
      <c r="AW6571" s="1">
        <v>22635</v>
      </c>
      <c r="AX6571">
        <v>1</v>
      </c>
    </row>
    <row r="6572" spans="1:50">
      <c r="A6572">
        <v>577402</v>
      </c>
      <c r="B6572" t="str">
        <f>"039616694"</f>
        <v>039616694</v>
      </c>
      <c r="C6572" t="s">
        <v>105</v>
      </c>
      <c r="D6572" t="s">
        <v>3190</v>
      </c>
      <c r="E6572" t="s">
        <v>166</v>
      </c>
      <c r="F6572" t="s">
        <v>900</v>
      </c>
      <c r="G6572" t="s">
        <v>255</v>
      </c>
      <c r="H6572" t="str">
        <f>"ΚΟΚΚΕΒΗ 5 ΗΡΑΚΛΕΙΟ"</f>
        <v>ΚΟΚΚΕΒΗ 5 ΗΡΑΚΛΕΙΟ</v>
      </c>
      <c r="I6572">
        <v>71409</v>
      </c>
      <c r="J6572">
        <v>2810325351</v>
      </c>
      <c r="K6572">
        <v>6937059359</v>
      </c>
      <c r="M6572" t="s">
        <v>10999</v>
      </c>
      <c r="N6572" t="s">
        <v>176</v>
      </c>
      <c r="O6572" t="s">
        <v>177</v>
      </c>
      <c r="R6572" t="s">
        <v>57</v>
      </c>
      <c r="S6572">
        <v>16</v>
      </c>
      <c r="T6572">
        <v>184</v>
      </c>
      <c r="U6572" s="1">
        <v>34941</v>
      </c>
      <c r="V6572" t="s">
        <v>80</v>
      </c>
      <c r="W6572" t="s">
        <v>81</v>
      </c>
      <c r="X6572" t="s">
        <v>58</v>
      </c>
      <c r="Y6572">
        <v>21</v>
      </c>
      <c r="Z6572" t="s">
        <v>59</v>
      </c>
      <c r="AA6572" t="s">
        <v>59</v>
      </c>
      <c r="AB6572" t="s">
        <v>59</v>
      </c>
      <c r="AC6572" t="s">
        <v>59</v>
      </c>
      <c r="AD6572" t="s">
        <v>59</v>
      </c>
      <c r="AF6572" s="1">
        <v>34943</v>
      </c>
      <c r="AG6572" t="s">
        <v>8645</v>
      </c>
      <c r="AH6572" t="s">
        <v>8646</v>
      </c>
      <c r="AI6572" t="str">
        <f>"9170494"</f>
        <v>9170494</v>
      </c>
      <c r="AJ6572" t="s">
        <v>9125</v>
      </c>
      <c r="AK6572">
        <v>2810228361</v>
      </c>
      <c r="AL6572" t="s">
        <v>9126</v>
      </c>
      <c r="AM6572" t="s">
        <v>78</v>
      </c>
      <c r="AN6572" t="s">
        <v>78</v>
      </c>
      <c r="AO6572" t="s">
        <v>78</v>
      </c>
      <c r="AP6572" t="s">
        <v>79</v>
      </c>
      <c r="AQ6572">
        <v>1</v>
      </c>
      <c r="AR6572" t="s">
        <v>80</v>
      </c>
      <c r="AS6572" t="s">
        <v>81</v>
      </c>
      <c r="AT6572" t="s">
        <v>58</v>
      </c>
      <c r="AU6572" t="s">
        <v>68</v>
      </c>
      <c r="AV6572" t="s">
        <v>69</v>
      </c>
      <c r="AW6572" s="1">
        <v>23557</v>
      </c>
      <c r="AX6572">
        <v>1</v>
      </c>
    </row>
    <row r="6573" spans="1:50">
      <c r="A6573">
        <v>614238</v>
      </c>
      <c r="B6573" t="str">
        <f>"066317048"</f>
        <v>066317048</v>
      </c>
      <c r="C6573" t="s">
        <v>105</v>
      </c>
      <c r="D6573" t="s">
        <v>3190</v>
      </c>
      <c r="E6573" t="s">
        <v>166</v>
      </c>
      <c r="F6573" t="s">
        <v>202</v>
      </c>
      <c r="G6573" t="s">
        <v>109</v>
      </c>
      <c r="H6573" t="str">
        <f>"ΓΑΖΙΟΥ 18 ΑΗ ΓΙΑΝΝΗΣ  ΗΡΑΚΛΕΙΟ "</f>
        <v xml:space="preserve">ΓΑΖΙΟΥ 18 ΑΗ ΓΙΑΝΝΗΣ  ΗΡΑΚΛΕΙΟ </v>
      </c>
      <c r="I6573">
        <v>71409</v>
      </c>
      <c r="J6573">
        <v>2811102265</v>
      </c>
      <c r="K6573">
        <v>6945624031</v>
      </c>
      <c r="N6573" t="s">
        <v>615</v>
      </c>
      <c r="O6573" t="s">
        <v>616</v>
      </c>
      <c r="R6573" t="s">
        <v>57</v>
      </c>
      <c r="S6573">
        <v>5</v>
      </c>
      <c r="T6573">
        <v>598</v>
      </c>
      <c r="U6573" s="1">
        <v>39310</v>
      </c>
      <c r="V6573" t="s">
        <v>80</v>
      </c>
      <c r="W6573" t="s">
        <v>81</v>
      </c>
      <c r="X6573" t="s">
        <v>58</v>
      </c>
      <c r="Y6573">
        <v>23</v>
      </c>
      <c r="Z6573" t="s">
        <v>59</v>
      </c>
      <c r="AA6573" t="s">
        <v>59</v>
      </c>
      <c r="AB6573" t="s">
        <v>59</v>
      </c>
      <c r="AC6573" t="s">
        <v>59</v>
      </c>
      <c r="AD6573" t="s">
        <v>59</v>
      </c>
      <c r="AF6573" s="1">
        <v>39328</v>
      </c>
      <c r="AG6573" t="s">
        <v>8645</v>
      </c>
      <c r="AH6573" t="s">
        <v>8646</v>
      </c>
      <c r="AI6573" t="str">
        <f>"9170535"</f>
        <v>9170535</v>
      </c>
      <c r="AJ6573" t="s">
        <v>9330</v>
      </c>
      <c r="AK6573">
        <v>2810222629</v>
      </c>
      <c r="AL6573" t="s">
        <v>9331</v>
      </c>
      <c r="AM6573" t="s">
        <v>78</v>
      </c>
      <c r="AN6573" t="s">
        <v>78</v>
      </c>
      <c r="AO6573" t="s">
        <v>78</v>
      </c>
      <c r="AP6573" t="s">
        <v>213</v>
      </c>
      <c r="AQ6573">
        <v>1</v>
      </c>
      <c r="AR6573" t="s">
        <v>80</v>
      </c>
      <c r="AS6573" t="s">
        <v>81</v>
      </c>
      <c r="AT6573" t="s">
        <v>58</v>
      </c>
      <c r="AU6573" t="s">
        <v>68</v>
      </c>
      <c r="AV6573" t="s">
        <v>69</v>
      </c>
      <c r="AW6573" s="1">
        <v>29479</v>
      </c>
      <c r="AX6573">
        <v>1</v>
      </c>
    </row>
    <row r="6574" spans="1:50">
      <c r="A6574">
        <v>599525</v>
      </c>
      <c r="B6574" t="str">
        <f>"037609204"</f>
        <v>037609204</v>
      </c>
      <c r="C6574" t="s">
        <v>105</v>
      </c>
      <c r="D6574" t="s">
        <v>3190</v>
      </c>
      <c r="E6574" t="s">
        <v>99</v>
      </c>
      <c r="F6574" t="s">
        <v>84</v>
      </c>
      <c r="G6574" t="s">
        <v>112</v>
      </c>
      <c r="H6574" t="str">
        <f>"Π. ΚΕΛΑΪΔΗ 16 ΗΡΑΚΛΕΙΟ"</f>
        <v>Π. ΚΕΛΑΪΔΗ 16 ΗΡΑΚΛΕΙΟ</v>
      </c>
      <c r="I6574">
        <v>71306</v>
      </c>
      <c r="J6574">
        <v>2810262270</v>
      </c>
      <c r="K6574">
        <v>6973559949</v>
      </c>
      <c r="M6574" t="s">
        <v>11000</v>
      </c>
      <c r="N6574" t="s">
        <v>615</v>
      </c>
      <c r="O6574" t="s">
        <v>616</v>
      </c>
      <c r="R6574" t="s">
        <v>57</v>
      </c>
      <c r="S6574">
        <v>8</v>
      </c>
      <c r="T6574">
        <v>195</v>
      </c>
      <c r="U6574" s="1">
        <v>37497</v>
      </c>
      <c r="V6574" t="s">
        <v>80</v>
      </c>
      <c r="W6574" t="s">
        <v>81</v>
      </c>
      <c r="X6574" t="s">
        <v>58</v>
      </c>
      <c r="Y6574">
        <v>22</v>
      </c>
      <c r="Z6574" t="s">
        <v>59</v>
      </c>
      <c r="AA6574" t="s">
        <v>59</v>
      </c>
      <c r="AB6574" t="s">
        <v>59</v>
      </c>
      <c r="AC6574" t="s">
        <v>59</v>
      </c>
      <c r="AD6574" t="s">
        <v>59</v>
      </c>
      <c r="AF6574" s="1">
        <v>37501</v>
      </c>
      <c r="AG6574" t="s">
        <v>8645</v>
      </c>
      <c r="AH6574" t="s">
        <v>8646</v>
      </c>
      <c r="AI6574" t="str">
        <f>"9170547"</f>
        <v>9170547</v>
      </c>
      <c r="AJ6574" t="s">
        <v>9175</v>
      </c>
      <c r="AK6574">
        <v>2810250886</v>
      </c>
      <c r="AL6574" t="s">
        <v>9176</v>
      </c>
      <c r="AM6574" t="s">
        <v>78</v>
      </c>
      <c r="AN6574" t="s">
        <v>78</v>
      </c>
      <c r="AO6574" t="s">
        <v>78</v>
      </c>
      <c r="AP6574" t="s">
        <v>141</v>
      </c>
      <c r="AQ6574">
        <v>1</v>
      </c>
      <c r="AR6574" t="s">
        <v>80</v>
      </c>
      <c r="AS6574" t="s">
        <v>81</v>
      </c>
      <c r="AT6574" t="s">
        <v>58</v>
      </c>
      <c r="AU6574" t="s">
        <v>68</v>
      </c>
      <c r="AV6574" t="s">
        <v>69</v>
      </c>
      <c r="AW6574" s="1">
        <v>25069</v>
      </c>
      <c r="AX6574">
        <v>1</v>
      </c>
    </row>
    <row r="6575" spans="1:50">
      <c r="B6575" t="str">
        <f>"071861743"</f>
        <v>071861743</v>
      </c>
      <c r="C6575" t="s">
        <v>105</v>
      </c>
      <c r="D6575" t="s">
        <v>3190</v>
      </c>
      <c r="E6575" t="s">
        <v>631</v>
      </c>
      <c r="F6575" t="s">
        <v>949</v>
      </c>
      <c r="G6575" t="s">
        <v>188</v>
      </c>
      <c r="H6575" t="str">
        <f>"ΓΙΑΝΝΙΤΣΩΝ 15 ΗΡΑΚΛΕΙΟ"</f>
        <v>ΓΙΑΝΝΙΤΣΩΝ 15 ΗΡΑΚΛΕΙΟ</v>
      </c>
      <c r="I6575">
        <v>71201</v>
      </c>
      <c r="J6575">
        <v>2810761133</v>
      </c>
      <c r="K6575">
        <v>6932643533</v>
      </c>
      <c r="N6575" t="s">
        <v>176</v>
      </c>
      <c r="O6575" t="s">
        <v>177</v>
      </c>
      <c r="R6575" t="s">
        <v>159</v>
      </c>
      <c r="S6575">
        <v>6</v>
      </c>
      <c r="T6575" t="s">
        <v>8675</v>
      </c>
      <c r="U6575" s="1">
        <v>43348</v>
      </c>
      <c r="V6575" t="s">
        <v>80</v>
      </c>
      <c r="W6575" t="s">
        <v>81</v>
      </c>
      <c r="X6575" t="s">
        <v>58</v>
      </c>
      <c r="Y6575">
        <v>24</v>
      </c>
      <c r="Z6575" t="s">
        <v>59</v>
      </c>
      <c r="AA6575" t="s">
        <v>59</v>
      </c>
      <c r="AB6575" t="s">
        <v>59</v>
      </c>
      <c r="AC6575" t="s">
        <v>59</v>
      </c>
      <c r="AD6575" t="s">
        <v>59</v>
      </c>
      <c r="AF6575" s="1">
        <v>43348</v>
      </c>
      <c r="AG6575" t="s">
        <v>8645</v>
      </c>
      <c r="AH6575" t="s">
        <v>8646</v>
      </c>
      <c r="AI6575" t="str">
        <f>"9170224"</f>
        <v>9170224</v>
      </c>
      <c r="AJ6575" t="s">
        <v>9212</v>
      </c>
      <c r="AK6575">
        <v>2810771214</v>
      </c>
      <c r="AL6575" t="s">
        <v>9213</v>
      </c>
      <c r="AM6575" t="s">
        <v>78</v>
      </c>
      <c r="AN6575" t="s">
        <v>219</v>
      </c>
      <c r="AO6575" t="s">
        <v>1437</v>
      </c>
      <c r="AP6575" t="s">
        <v>1437</v>
      </c>
      <c r="AQ6575">
        <v>7</v>
      </c>
      <c r="AR6575" t="s">
        <v>80</v>
      </c>
      <c r="AS6575" t="s">
        <v>81</v>
      </c>
      <c r="AT6575" t="s">
        <v>58</v>
      </c>
      <c r="AU6575" t="s">
        <v>8673</v>
      </c>
      <c r="AV6575" t="s">
        <v>132</v>
      </c>
      <c r="AW6575" s="1">
        <v>25952</v>
      </c>
      <c r="AX6575">
        <v>1</v>
      </c>
    </row>
    <row r="6576" spans="1:50">
      <c r="B6576" t="str">
        <f>"137738435"</f>
        <v>137738435</v>
      </c>
      <c r="C6576" t="s">
        <v>50</v>
      </c>
      <c r="D6576" t="s">
        <v>11001</v>
      </c>
      <c r="E6576" t="s">
        <v>237</v>
      </c>
      <c r="F6576" t="s">
        <v>95</v>
      </c>
      <c r="G6576" t="s">
        <v>658</v>
      </c>
      <c r="H6576" t="str">
        <f>"ΔΑΒΑΚΗ 19 "</f>
        <v xml:space="preserve">ΔΑΒΑΚΗ 19 </v>
      </c>
      <c r="I6576">
        <v>52100</v>
      </c>
      <c r="J6576">
        <v>2467080951</v>
      </c>
      <c r="K6576">
        <v>6932126441</v>
      </c>
      <c r="N6576" t="s">
        <v>615</v>
      </c>
      <c r="O6576" t="s">
        <v>616</v>
      </c>
      <c r="R6576" t="s">
        <v>159</v>
      </c>
      <c r="S6576">
        <v>3</v>
      </c>
      <c r="T6576" t="s">
        <v>8675</v>
      </c>
      <c r="U6576" s="1">
        <v>43348</v>
      </c>
      <c r="V6576" t="s">
        <v>80</v>
      </c>
      <c r="W6576" t="s">
        <v>81</v>
      </c>
      <c r="X6576" t="s">
        <v>58</v>
      </c>
      <c r="Y6576">
        <v>24</v>
      </c>
      <c r="Z6576" t="s">
        <v>59</v>
      </c>
      <c r="AA6576" t="s">
        <v>59</v>
      </c>
      <c r="AB6576" t="s">
        <v>59</v>
      </c>
      <c r="AC6576" t="s">
        <v>59</v>
      </c>
      <c r="AD6576" t="s">
        <v>59</v>
      </c>
      <c r="AF6576" s="1">
        <v>43348</v>
      </c>
      <c r="AG6576" t="s">
        <v>8645</v>
      </c>
      <c r="AH6576" t="s">
        <v>8646</v>
      </c>
      <c r="AI6576" t="str">
        <f>"9170242"</f>
        <v>9170242</v>
      </c>
      <c r="AJ6576" t="s">
        <v>9314</v>
      </c>
      <c r="AK6576">
        <v>2897031254</v>
      </c>
      <c r="AL6576" t="s">
        <v>9315</v>
      </c>
      <c r="AM6576" t="s">
        <v>78</v>
      </c>
      <c r="AN6576" t="s">
        <v>219</v>
      </c>
      <c r="AO6576" t="s">
        <v>527</v>
      </c>
      <c r="AP6576" t="s">
        <v>527</v>
      </c>
      <c r="AQ6576">
        <v>8</v>
      </c>
      <c r="AR6576" t="s">
        <v>80</v>
      </c>
      <c r="AS6576" t="s">
        <v>81</v>
      </c>
      <c r="AT6576" t="s">
        <v>58</v>
      </c>
      <c r="AU6576" t="s">
        <v>8673</v>
      </c>
      <c r="AV6576" t="s">
        <v>132</v>
      </c>
      <c r="AW6576" s="1">
        <v>32074</v>
      </c>
      <c r="AX6576">
        <v>1</v>
      </c>
    </row>
    <row r="6577" spans="1:50">
      <c r="A6577">
        <v>562107</v>
      </c>
      <c r="B6577" t="str">
        <f>"103827558"</f>
        <v>103827558</v>
      </c>
      <c r="C6577" t="s">
        <v>50</v>
      </c>
      <c r="D6577" t="s">
        <v>11002</v>
      </c>
      <c r="E6577" t="s">
        <v>263</v>
      </c>
      <c r="F6577" t="s">
        <v>11003</v>
      </c>
      <c r="G6577" t="s">
        <v>215</v>
      </c>
      <c r="H6577" t="str">
        <f>"ΚΥΛΛΗΝΗΣ 2 ΗΡΑΚΛΕΙΟ"</f>
        <v>ΚΥΛΛΗΝΗΣ 2 ΗΡΑΚΛΕΙΟ</v>
      </c>
      <c r="I6577">
        <v>71305</v>
      </c>
      <c r="J6577">
        <v>2813012281</v>
      </c>
      <c r="K6577">
        <v>6987161106</v>
      </c>
      <c r="N6577" t="s">
        <v>615</v>
      </c>
      <c r="O6577" t="s">
        <v>616</v>
      </c>
      <c r="R6577" t="s">
        <v>57</v>
      </c>
      <c r="S6577">
        <v>17</v>
      </c>
      <c r="T6577">
        <v>187</v>
      </c>
      <c r="U6577" s="1">
        <v>32750</v>
      </c>
      <c r="V6577" t="s">
        <v>80</v>
      </c>
      <c r="W6577" t="s">
        <v>81</v>
      </c>
      <c r="X6577" t="s">
        <v>58</v>
      </c>
      <c r="Y6577">
        <v>21</v>
      </c>
      <c r="Z6577" t="s">
        <v>59</v>
      </c>
      <c r="AA6577" t="s">
        <v>59</v>
      </c>
      <c r="AB6577" t="s">
        <v>59</v>
      </c>
      <c r="AC6577" t="s">
        <v>59</v>
      </c>
      <c r="AD6577" t="s">
        <v>59</v>
      </c>
      <c r="AF6577" s="1">
        <v>32757</v>
      </c>
      <c r="AG6577" t="s">
        <v>8645</v>
      </c>
      <c r="AH6577" t="s">
        <v>8646</v>
      </c>
      <c r="AI6577" t="str">
        <f>"9170512"</f>
        <v>9170512</v>
      </c>
      <c r="AJ6577" t="s">
        <v>8986</v>
      </c>
      <c r="AK6577">
        <v>2810253082</v>
      </c>
      <c r="AL6577" t="s">
        <v>8987</v>
      </c>
      <c r="AM6577" t="s">
        <v>78</v>
      </c>
      <c r="AN6577" t="s">
        <v>78</v>
      </c>
      <c r="AO6577" t="s">
        <v>78</v>
      </c>
      <c r="AP6577" t="s">
        <v>141</v>
      </c>
      <c r="AQ6577">
        <v>1</v>
      </c>
      <c r="AR6577" t="s">
        <v>80</v>
      </c>
      <c r="AS6577" t="s">
        <v>81</v>
      </c>
      <c r="AT6577" t="s">
        <v>58</v>
      </c>
      <c r="AU6577" t="s">
        <v>68</v>
      </c>
      <c r="AV6577" t="s">
        <v>69</v>
      </c>
      <c r="AW6577" s="1">
        <v>21579</v>
      </c>
      <c r="AX6577">
        <v>1</v>
      </c>
    </row>
    <row r="6578" spans="1:50">
      <c r="B6578" t="str">
        <f>"142665250"</f>
        <v>142665250</v>
      </c>
      <c r="C6578" t="s">
        <v>105</v>
      </c>
      <c r="D6578" t="s">
        <v>11004</v>
      </c>
      <c r="E6578" t="s">
        <v>95</v>
      </c>
      <c r="F6578" t="s">
        <v>72</v>
      </c>
      <c r="G6578" t="s">
        <v>238</v>
      </c>
      <c r="H6578" t="str">
        <f>"ΤΟΥΡΚΟΦΑΓΟΥ 2 "</f>
        <v xml:space="preserve">ΤΟΥΡΚΟΦΑΓΟΥ 2 </v>
      </c>
      <c r="I6578">
        <v>62124</v>
      </c>
      <c r="J6578">
        <v>2321024422</v>
      </c>
      <c r="K6578">
        <v>6972879846</v>
      </c>
      <c r="N6578" t="s">
        <v>615</v>
      </c>
      <c r="O6578" t="s">
        <v>616</v>
      </c>
      <c r="R6578" t="s">
        <v>159</v>
      </c>
      <c r="S6578">
        <v>3</v>
      </c>
      <c r="T6578" t="s">
        <v>8675</v>
      </c>
      <c r="U6578" s="1">
        <v>43348</v>
      </c>
      <c r="V6578" t="s">
        <v>80</v>
      </c>
      <c r="W6578" t="s">
        <v>81</v>
      </c>
      <c r="X6578" t="s">
        <v>58</v>
      </c>
      <c r="Y6578">
        <v>24</v>
      </c>
      <c r="Z6578" t="s">
        <v>59</v>
      </c>
      <c r="AA6578" t="s">
        <v>59</v>
      </c>
      <c r="AB6578" t="s">
        <v>59</v>
      </c>
      <c r="AC6578" t="s">
        <v>59</v>
      </c>
      <c r="AD6578" t="s">
        <v>59</v>
      </c>
      <c r="AF6578" s="1">
        <v>43348</v>
      </c>
      <c r="AG6578" t="s">
        <v>8645</v>
      </c>
      <c r="AH6578" t="s">
        <v>8646</v>
      </c>
      <c r="AI6578" t="str">
        <f>"9170028"</f>
        <v>9170028</v>
      </c>
      <c r="AJ6578" t="s">
        <v>9791</v>
      </c>
      <c r="AK6578">
        <v>2810711204</v>
      </c>
      <c r="AL6578" t="s">
        <v>9792</v>
      </c>
      <c r="AM6578" t="s">
        <v>78</v>
      </c>
      <c r="AN6578" t="s">
        <v>129</v>
      </c>
      <c r="AO6578" t="s">
        <v>597</v>
      </c>
      <c r="AP6578" t="s">
        <v>598</v>
      </c>
      <c r="AQ6578">
        <v>4</v>
      </c>
      <c r="AR6578" t="s">
        <v>80</v>
      </c>
      <c r="AS6578" t="s">
        <v>81</v>
      </c>
      <c r="AT6578" t="s">
        <v>58</v>
      </c>
      <c r="AU6578" t="s">
        <v>8673</v>
      </c>
      <c r="AV6578" t="s">
        <v>132</v>
      </c>
      <c r="AW6578" s="1">
        <v>32169</v>
      </c>
      <c r="AX6578">
        <v>1</v>
      </c>
    </row>
    <row r="6579" spans="1:50">
      <c r="A6579">
        <v>592048</v>
      </c>
      <c r="B6579" t="str">
        <f>"100091363"</f>
        <v>100091363</v>
      </c>
      <c r="C6579" t="s">
        <v>50</v>
      </c>
      <c r="D6579" t="s">
        <v>11005</v>
      </c>
      <c r="E6579" t="s">
        <v>255</v>
      </c>
      <c r="F6579" t="s">
        <v>84</v>
      </c>
      <c r="G6579" t="s">
        <v>52</v>
      </c>
      <c r="H6579" t="str">
        <f>"ΘΕΡΙΣΣΟΥ 110 ΗΡΑΚΛΕΙΟ"</f>
        <v>ΘΕΡΙΣΣΟΥ 110 ΗΡΑΚΛΕΙΟ</v>
      </c>
      <c r="I6579">
        <v>71304</v>
      </c>
      <c r="J6579">
        <v>2810262017</v>
      </c>
      <c r="K6579">
        <v>6972335173</v>
      </c>
      <c r="N6579" t="s">
        <v>1525</v>
      </c>
      <c r="O6579" t="s">
        <v>1526</v>
      </c>
      <c r="R6579" t="s">
        <v>57</v>
      </c>
      <c r="S6579">
        <v>9</v>
      </c>
      <c r="T6579">
        <v>249</v>
      </c>
      <c r="U6579" s="1">
        <v>36769</v>
      </c>
      <c r="V6579" t="s">
        <v>80</v>
      </c>
      <c r="W6579" t="s">
        <v>81</v>
      </c>
      <c r="X6579" t="s">
        <v>58</v>
      </c>
      <c r="Y6579">
        <v>25</v>
      </c>
      <c r="Z6579" t="s">
        <v>59</v>
      </c>
      <c r="AA6579" t="s">
        <v>59</v>
      </c>
      <c r="AB6579" t="s">
        <v>59</v>
      </c>
      <c r="AC6579" t="s">
        <v>59</v>
      </c>
      <c r="AD6579" t="s">
        <v>59</v>
      </c>
      <c r="AF6579" s="1">
        <v>36770</v>
      </c>
      <c r="AG6579" t="s">
        <v>8651</v>
      </c>
      <c r="AH6579" t="s">
        <v>8652</v>
      </c>
      <c r="AI6579" t="str">
        <f>"9170585"</f>
        <v>9170585</v>
      </c>
      <c r="AJ6579" t="s">
        <v>9051</v>
      </c>
      <c r="AK6579">
        <v>2810542736</v>
      </c>
      <c r="AL6579" t="s">
        <v>9052</v>
      </c>
      <c r="AM6579" t="s">
        <v>78</v>
      </c>
      <c r="AN6579" t="s">
        <v>78</v>
      </c>
      <c r="AO6579" t="s">
        <v>78</v>
      </c>
      <c r="AP6579" t="s">
        <v>9053</v>
      </c>
      <c r="AQ6579">
        <v>1</v>
      </c>
      <c r="AR6579" t="s">
        <v>80</v>
      </c>
      <c r="AS6579" t="s">
        <v>81</v>
      </c>
      <c r="AT6579" t="s">
        <v>58</v>
      </c>
      <c r="AU6579" t="s">
        <v>68</v>
      </c>
      <c r="AV6579" t="s">
        <v>69</v>
      </c>
      <c r="AW6579" s="1">
        <v>27214</v>
      </c>
      <c r="AX6579">
        <v>1</v>
      </c>
    </row>
    <row r="6580" spans="1:50">
      <c r="A6580">
        <v>593436</v>
      </c>
      <c r="B6580" t="str">
        <f>"079229295"</f>
        <v>079229295</v>
      </c>
      <c r="C6580" t="s">
        <v>105</v>
      </c>
      <c r="D6580" t="s">
        <v>11006</v>
      </c>
      <c r="E6580" t="s">
        <v>920</v>
      </c>
      <c r="F6580" t="s">
        <v>9994</v>
      </c>
      <c r="G6580" t="s">
        <v>263</v>
      </c>
      <c r="H6580" t="str">
        <f>"ΠΑΝΑΓΙΑ ΠΕΔΙΑΔΟΣ ΑΡΚΑΛΟΧΩΡΙ"</f>
        <v>ΠΑΝΑΓΙΑ ΠΕΔΙΑΔΟΣ ΑΡΚΑΛΟΧΩΡΙ</v>
      </c>
      <c r="I6580">
        <v>70300</v>
      </c>
      <c r="K6580">
        <v>6976265187</v>
      </c>
      <c r="N6580" t="s">
        <v>615</v>
      </c>
      <c r="O6580" t="s">
        <v>616</v>
      </c>
      <c r="R6580" t="s">
        <v>57</v>
      </c>
      <c r="S6580">
        <v>8</v>
      </c>
      <c r="T6580" t="s">
        <v>11007</v>
      </c>
      <c r="U6580" s="1">
        <v>37137</v>
      </c>
      <c r="V6580" t="s">
        <v>80</v>
      </c>
      <c r="W6580" t="s">
        <v>81</v>
      </c>
      <c r="X6580" t="s">
        <v>58</v>
      </c>
      <c r="Y6580">
        <v>22</v>
      </c>
      <c r="Z6580" t="s">
        <v>59</v>
      </c>
      <c r="AA6580" t="s">
        <v>59</v>
      </c>
      <c r="AB6580" t="s">
        <v>59</v>
      </c>
      <c r="AC6580" t="s">
        <v>59</v>
      </c>
      <c r="AD6580" t="s">
        <v>59</v>
      </c>
      <c r="AF6580" s="1">
        <v>37137</v>
      </c>
      <c r="AG6580" t="s">
        <v>8645</v>
      </c>
      <c r="AH6580" t="s">
        <v>8646</v>
      </c>
      <c r="AI6580" t="str">
        <f>"9170561"</f>
        <v>9170561</v>
      </c>
      <c r="AJ6580" t="s">
        <v>8708</v>
      </c>
      <c r="AK6580">
        <v>2891023609</v>
      </c>
      <c r="AL6580" t="s">
        <v>8709</v>
      </c>
      <c r="AM6580" t="s">
        <v>78</v>
      </c>
      <c r="AN6580" t="s">
        <v>276</v>
      </c>
      <c r="AO6580" t="s">
        <v>490</v>
      </c>
      <c r="AP6580" t="s">
        <v>490</v>
      </c>
      <c r="AQ6580">
        <v>12</v>
      </c>
      <c r="AR6580" t="s">
        <v>80</v>
      </c>
      <c r="AS6580" t="s">
        <v>81</v>
      </c>
      <c r="AT6580" t="s">
        <v>58</v>
      </c>
      <c r="AU6580" t="s">
        <v>68</v>
      </c>
      <c r="AV6580" t="s">
        <v>69</v>
      </c>
      <c r="AW6580" s="1">
        <v>26241</v>
      </c>
      <c r="AX6580">
        <v>1</v>
      </c>
    </row>
    <row r="6581" spans="1:50">
      <c r="B6581" t="str">
        <f>"049728940"</f>
        <v>049728940</v>
      </c>
      <c r="C6581" t="s">
        <v>50</v>
      </c>
      <c r="D6581" t="s">
        <v>8058</v>
      </c>
      <c r="E6581" t="s">
        <v>263</v>
      </c>
      <c r="F6581" t="s">
        <v>11008</v>
      </c>
      <c r="G6581" t="s">
        <v>52</v>
      </c>
      <c r="H6581" t="str">
        <f>"ΔΩΡΙΟ ΜΕΣΣΗΝΙΑΣ ΔΩΡΙΟ "</f>
        <v xml:space="preserve">ΔΩΡΙΟ ΜΕΣΣΗΝΙΑΣ ΔΩΡΙΟ </v>
      </c>
      <c r="I6581">
        <v>24011</v>
      </c>
      <c r="J6581">
        <v>2765031641</v>
      </c>
      <c r="K6581">
        <v>6978698989</v>
      </c>
      <c r="M6581" t="s">
        <v>11009</v>
      </c>
      <c r="N6581" t="s">
        <v>176</v>
      </c>
      <c r="O6581" t="s">
        <v>177</v>
      </c>
      <c r="R6581" t="s">
        <v>159</v>
      </c>
      <c r="S6581">
        <v>2</v>
      </c>
      <c r="T6581" t="s">
        <v>8675</v>
      </c>
      <c r="U6581" s="1">
        <v>43348</v>
      </c>
      <c r="V6581" t="s">
        <v>80</v>
      </c>
      <c r="W6581" t="s">
        <v>81</v>
      </c>
      <c r="X6581" t="s">
        <v>58</v>
      </c>
      <c r="Y6581">
        <v>24</v>
      </c>
      <c r="Z6581" t="s">
        <v>59</v>
      </c>
      <c r="AA6581" t="s">
        <v>59</v>
      </c>
      <c r="AB6581" t="s">
        <v>59</v>
      </c>
      <c r="AC6581" t="s">
        <v>59</v>
      </c>
      <c r="AD6581" t="s">
        <v>59</v>
      </c>
      <c r="AF6581" s="1">
        <v>43348</v>
      </c>
      <c r="AG6581" t="s">
        <v>8645</v>
      </c>
      <c r="AH6581" t="s">
        <v>8646</v>
      </c>
      <c r="AI6581" t="str">
        <f>"9170531"</f>
        <v>9170531</v>
      </c>
      <c r="AJ6581" t="s">
        <v>8980</v>
      </c>
      <c r="AK6581">
        <v>2810229104</v>
      </c>
      <c r="AL6581" t="s">
        <v>8981</v>
      </c>
      <c r="AM6581" t="s">
        <v>78</v>
      </c>
      <c r="AN6581" t="s">
        <v>78</v>
      </c>
      <c r="AO6581" t="s">
        <v>78</v>
      </c>
      <c r="AP6581" t="s">
        <v>79</v>
      </c>
      <c r="AQ6581">
        <v>1</v>
      </c>
      <c r="AR6581" t="s">
        <v>80</v>
      </c>
      <c r="AS6581" t="s">
        <v>81</v>
      </c>
      <c r="AT6581" t="s">
        <v>58</v>
      </c>
      <c r="AU6581" t="s">
        <v>8673</v>
      </c>
      <c r="AV6581" t="s">
        <v>132</v>
      </c>
      <c r="AW6581" s="1">
        <v>25006</v>
      </c>
      <c r="AX6581">
        <v>1</v>
      </c>
    </row>
    <row r="6582" spans="1:50">
      <c r="B6582" t="str">
        <f>"125589483"</f>
        <v>125589483</v>
      </c>
      <c r="C6582" t="s">
        <v>50</v>
      </c>
      <c r="D6582" t="s">
        <v>8058</v>
      </c>
      <c r="E6582" t="s">
        <v>52</v>
      </c>
      <c r="F6582" t="s">
        <v>84</v>
      </c>
      <c r="G6582" t="s">
        <v>372</v>
      </c>
      <c r="H6582" t="str">
        <f>"ΠΟΣΕΙΔΩΝΟΣ 5-7 ΗΡΑΚΛΕΙΟ"</f>
        <v>ΠΟΣΕΙΔΩΝΟΣ 5-7 ΗΡΑΚΛΕΙΟ</v>
      </c>
      <c r="I6582">
        <v>71307</v>
      </c>
      <c r="J6582">
        <v>2810289712</v>
      </c>
      <c r="K6582">
        <v>6972902606</v>
      </c>
      <c r="N6582" t="s">
        <v>1525</v>
      </c>
      <c r="O6582" t="s">
        <v>1526</v>
      </c>
      <c r="R6582" t="s">
        <v>57</v>
      </c>
      <c r="S6582">
        <v>4</v>
      </c>
      <c r="T6582" t="s">
        <v>8670</v>
      </c>
      <c r="U6582" s="1">
        <v>43348</v>
      </c>
      <c r="V6582" t="s">
        <v>80</v>
      </c>
      <c r="W6582" t="s">
        <v>81</v>
      </c>
      <c r="X6582" t="s">
        <v>58</v>
      </c>
      <c r="Y6582">
        <v>25</v>
      </c>
      <c r="Z6582" t="s">
        <v>59</v>
      </c>
      <c r="AA6582" t="s">
        <v>59</v>
      </c>
      <c r="AB6582" t="s">
        <v>59</v>
      </c>
      <c r="AC6582" t="s">
        <v>59</v>
      </c>
      <c r="AD6582" t="s">
        <v>59</v>
      </c>
      <c r="AF6582" s="1">
        <v>43348</v>
      </c>
      <c r="AG6582" t="s">
        <v>8651</v>
      </c>
      <c r="AH6582" t="s">
        <v>8652</v>
      </c>
      <c r="AI6582" t="str">
        <f>"9170368"</f>
        <v>9170368</v>
      </c>
      <c r="AJ6582" t="s">
        <v>9539</v>
      </c>
      <c r="AK6582">
        <v>2810771998</v>
      </c>
      <c r="AL6582" t="s">
        <v>9540</v>
      </c>
      <c r="AM6582" t="s">
        <v>78</v>
      </c>
      <c r="AN6582" t="s">
        <v>219</v>
      </c>
      <c r="AO6582" t="s">
        <v>1437</v>
      </c>
      <c r="AP6582" t="s">
        <v>1437</v>
      </c>
      <c r="AQ6582">
        <v>7</v>
      </c>
      <c r="AR6582" t="s">
        <v>80</v>
      </c>
      <c r="AS6582" t="s">
        <v>81</v>
      </c>
      <c r="AT6582" t="s">
        <v>58</v>
      </c>
      <c r="AU6582" t="s">
        <v>8673</v>
      </c>
      <c r="AV6582" t="s">
        <v>132</v>
      </c>
      <c r="AW6582" s="1">
        <v>30233</v>
      </c>
      <c r="AX6582">
        <v>1</v>
      </c>
    </row>
    <row r="6583" spans="1:50">
      <c r="B6583" t="str">
        <f>"138859716"</f>
        <v>138859716</v>
      </c>
      <c r="C6583" t="s">
        <v>105</v>
      </c>
      <c r="D6583" t="s">
        <v>8058</v>
      </c>
      <c r="E6583" t="s">
        <v>450</v>
      </c>
      <c r="F6583" t="s">
        <v>99</v>
      </c>
      <c r="G6583" t="s">
        <v>372</v>
      </c>
      <c r="H6583" t="str">
        <f>"ΙΑΣΟΝΟΣ 11 ΤΡΙΠΟΛΗ"</f>
        <v>ΙΑΣΟΝΟΣ 11 ΤΡΙΠΟΛΗ</v>
      </c>
      <c r="I6583">
        <v>22131</v>
      </c>
      <c r="K6583">
        <v>6976784367</v>
      </c>
      <c r="N6583" t="s">
        <v>337</v>
      </c>
      <c r="O6583" t="s">
        <v>338</v>
      </c>
      <c r="R6583" t="s">
        <v>121</v>
      </c>
      <c r="S6583">
        <v>1</v>
      </c>
      <c r="T6583" t="s">
        <v>8675</v>
      </c>
      <c r="U6583" s="1">
        <v>43348</v>
      </c>
      <c r="V6583" t="s">
        <v>80</v>
      </c>
      <c r="W6583" t="s">
        <v>81</v>
      </c>
      <c r="X6583" t="s">
        <v>58</v>
      </c>
      <c r="Y6583">
        <v>24</v>
      </c>
      <c r="Z6583" t="s">
        <v>59</v>
      </c>
      <c r="AA6583" t="s">
        <v>59</v>
      </c>
      <c r="AB6583" t="s">
        <v>59</v>
      </c>
      <c r="AC6583" t="s">
        <v>59</v>
      </c>
      <c r="AD6583" t="s">
        <v>59</v>
      </c>
      <c r="AF6583" s="1">
        <v>43348</v>
      </c>
      <c r="AG6583" t="s">
        <v>8645</v>
      </c>
      <c r="AH6583" t="s">
        <v>8646</v>
      </c>
      <c r="AI6583" t="str">
        <f>"9170250"</f>
        <v>9170250</v>
      </c>
      <c r="AJ6583" t="s">
        <v>8823</v>
      </c>
      <c r="AK6583">
        <v>2897022005</v>
      </c>
      <c r="AL6583" t="s">
        <v>8824</v>
      </c>
      <c r="AM6583" t="s">
        <v>78</v>
      </c>
      <c r="AN6583" t="s">
        <v>219</v>
      </c>
      <c r="AO6583" t="s">
        <v>219</v>
      </c>
      <c r="AP6583" t="s">
        <v>219</v>
      </c>
      <c r="AQ6583">
        <v>8</v>
      </c>
      <c r="AR6583" t="s">
        <v>80</v>
      </c>
      <c r="AS6583" t="s">
        <v>81</v>
      </c>
      <c r="AT6583" t="s">
        <v>58</v>
      </c>
      <c r="AU6583" t="s">
        <v>8673</v>
      </c>
      <c r="AV6583" t="s">
        <v>132</v>
      </c>
      <c r="AW6583" s="1">
        <v>31613</v>
      </c>
      <c r="AX6583">
        <v>1</v>
      </c>
    </row>
    <row r="6584" spans="1:50">
      <c r="A6584">
        <v>593318</v>
      </c>
      <c r="B6584" t="str">
        <f>"103547211"</f>
        <v>103547211</v>
      </c>
      <c r="C6584" t="s">
        <v>50</v>
      </c>
      <c r="D6584" t="s">
        <v>3205</v>
      </c>
      <c r="E6584" t="s">
        <v>52</v>
      </c>
      <c r="F6584" t="s">
        <v>53</v>
      </c>
      <c r="G6584" t="s">
        <v>73</v>
      </c>
      <c r="H6584" t="str">
        <f>"ΠΕΥΚΟΣ ΗΡΑΚΛΕΙΟ"</f>
        <v>ΠΕΥΚΟΣ ΗΡΑΚΛΕΙΟ</v>
      </c>
      <c r="I6584">
        <v>70004</v>
      </c>
      <c r="J6584">
        <v>2895031194</v>
      </c>
      <c r="K6584">
        <v>6974889078</v>
      </c>
      <c r="M6584" t="s">
        <v>11010</v>
      </c>
      <c r="N6584" t="s">
        <v>615</v>
      </c>
      <c r="O6584" t="s">
        <v>616</v>
      </c>
      <c r="R6584" t="s">
        <v>57</v>
      </c>
      <c r="S6584">
        <v>9</v>
      </c>
      <c r="T6584">
        <v>218</v>
      </c>
      <c r="U6584" s="1">
        <v>37134</v>
      </c>
      <c r="V6584" t="s">
        <v>80</v>
      </c>
      <c r="W6584" t="s">
        <v>81</v>
      </c>
      <c r="X6584" t="s">
        <v>58</v>
      </c>
      <c r="Y6584">
        <v>22</v>
      </c>
      <c r="Z6584" t="s">
        <v>59</v>
      </c>
      <c r="AA6584" t="s">
        <v>59</v>
      </c>
      <c r="AB6584" t="s">
        <v>59</v>
      </c>
      <c r="AC6584" t="s">
        <v>59</v>
      </c>
      <c r="AD6584" t="s">
        <v>59</v>
      </c>
      <c r="AF6584" s="1">
        <v>37137</v>
      </c>
      <c r="AG6584" t="s">
        <v>8645</v>
      </c>
      <c r="AH6584" t="s">
        <v>8646</v>
      </c>
      <c r="AI6584" t="str">
        <f>"9170425"</f>
        <v>9170425</v>
      </c>
      <c r="AJ6584" t="s">
        <v>9350</v>
      </c>
      <c r="AK6584">
        <v>2810250261</v>
      </c>
      <c r="AL6584" t="s">
        <v>9351</v>
      </c>
      <c r="AM6584" t="s">
        <v>78</v>
      </c>
      <c r="AN6584" t="s">
        <v>78</v>
      </c>
      <c r="AO6584" t="s">
        <v>78</v>
      </c>
      <c r="AP6584" t="s">
        <v>141</v>
      </c>
      <c r="AQ6584">
        <v>1</v>
      </c>
      <c r="AR6584" t="s">
        <v>80</v>
      </c>
      <c r="AS6584" t="s">
        <v>81</v>
      </c>
      <c r="AT6584" t="s">
        <v>58</v>
      </c>
      <c r="AU6584" t="s">
        <v>68</v>
      </c>
      <c r="AV6584" t="s">
        <v>69</v>
      </c>
      <c r="AW6584" s="1">
        <v>22967</v>
      </c>
      <c r="AX6584">
        <v>1</v>
      </c>
    </row>
    <row r="6585" spans="1:50">
      <c r="A6585">
        <v>615975</v>
      </c>
      <c r="B6585" t="str">
        <f>"073225088"</f>
        <v>073225088</v>
      </c>
      <c r="C6585" t="s">
        <v>50</v>
      </c>
      <c r="D6585" t="s">
        <v>11011</v>
      </c>
      <c r="E6585" t="s">
        <v>215</v>
      </c>
      <c r="F6585" t="s">
        <v>900</v>
      </c>
      <c r="G6585" t="s">
        <v>1074</v>
      </c>
      <c r="H6585" t="str">
        <f>"ΚΟΚΚΙΝΗ ΧΑΝΙ ΓΟΥΒΩΝ"</f>
        <v>ΚΟΚΚΙΝΗ ΧΑΝΙ ΓΟΥΒΩΝ</v>
      </c>
      <c r="I6585">
        <v>71500</v>
      </c>
      <c r="J6585">
        <v>2810761885</v>
      </c>
      <c r="K6585">
        <v>6977476014</v>
      </c>
      <c r="M6585" t="s">
        <v>11012</v>
      </c>
      <c r="N6585" t="s">
        <v>176</v>
      </c>
      <c r="O6585" t="s">
        <v>177</v>
      </c>
      <c r="R6585" t="s">
        <v>57</v>
      </c>
      <c r="S6585">
        <v>7</v>
      </c>
      <c r="T6585">
        <v>600</v>
      </c>
      <c r="U6585" s="1">
        <v>39310</v>
      </c>
      <c r="V6585" t="s">
        <v>80</v>
      </c>
      <c r="W6585" t="s">
        <v>81</v>
      </c>
      <c r="X6585" t="s">
        <v>58</v>
      </c>
      <c r="Y6585">
        <v>22</v>
      </c>
      <c r="Z6585" t="s">
        <v>59</v>
      </c>
      <c r="AA6585" t="s">
        <v>59</v>
      </c>
      <c r="AB6585" t="s">
        <v>59</v>
      </c>
      <c r="AC6585" t="s">
        <v>59</v>
      </c>
      <c r="AD6585" t="s">
        <v>59</v>
      </c>
      <c r="AF6585" s="1">
        <v>39328</v>
      </c>
      <c r="AG6585" t="s">
        <v>8645</v>
      </c>
      <c r="AH6585" t="s">
        <v>8646</v>
      </c>
      <c r="AI6585" t="str">
        <f>"9170205"</f>
        <v>9170205</v>
      </c>
      <c r="AJ6585" t="s">
        <v>8794</v>
      </c>
      <c r="AK6585">
        <v>2810762030</v>
      </c>
      <c r="AL6585" t="s">
        <v>8795</v>
      </c>
      <c r="AM6585" t="s">
        <v>78</v>
      </c>
      <c r="AN6585" t="s">
        <v>219</v>
      </c>
      <c r="AO6585" t="s">
        <v>297</v>
      </c>
      <c r="AP6585" t="s">
        <v>8796</v>
      </c>
      <c r="AQ6585">
        <v>7</v>
      </c>
      <c r="AR6585" t="s">
        <v>80</v>
      </c>
      <c r="AS6585" t="s">
        <v>81</v>
      </c>
      <c r="AT6585" t="s">
        <v>58</v>
      </c>
      <c r="AU6585" t="s">
        <v>68</v>
      </c>
      <c r="AV6585" t="s">
        <v>69</v>
      </c>
      <c r="AW6585" s="1">
        <v>28006</v>
      </c>
      <c r="AX6585">
        <v>1</v>
      </c>
    </row>
    <row r="6586" spans="1:50">
      <c r="B6586" t="str">
        <f>"130788398"</f>
        <v>130788398</v>
      </c>
      <c r="C6586" t="s">
        <v>50</v>
      </c>
      <c r="D6586" t="s">
        <v>11013</v>
      </c>
      <c r="E6586" t="s">
        <v>1189</v>
      </c>
      <c r="F6586" t="s">
        <v>99</v>
      </c>
      <c r="G6586" t="s">
        <v>4729</v>
      </c>
      <c r="H6586" t="str">
        <f>" "</f>
        <v xml:space="preserve"> </v>
      </c>
      <c r="N6586" t="s">
        <v>306</v>
      </c>
      <c r="O6586" t="s">
        <v>307</v>
      </c>
      <c r="R6586" t="s">
        <v>121</v>
      </c>
      <c r="S6586">
        <v>1</v>
      </c>
      <c r="T6586" t="s">
        <v>8675</v>
      </c>
      <c r="U6586" s="1">
        <v>43348</v>
      </c>
      <c r="V6586" t="s">
        <v>80</v>
      </c>
      <c r="W6586" t="s">
        <v>81</v>
      </c>
      <c r="X6586" t="s">
        <v>58</v>
      </c>
      <c r="Y6586">
        <v>24</v>
      </c>
      <c r="Z6586" t="s">
        <v>59</v>
      </c>
      <c r="AA6586" t="s">
        <v>59</v>
      </c>
      <c r="AB6586" t="s">
        <v>59</v>
      </c>
      <c r="AD6586" t="s">
        <v>59</v>
      </c>
      <c r="AF6586" s="1">
        <v>43348</v>
      </c>
      <c r="AG6586" t="s">
        <v>8645</v>
      </c>
      <c r="AH6586" t="s">
        <v>8646</v>
      </c>
      <c r="AI6586" t="str">
        <f>"9170228"</f>
        <v>9170228</v>
      </c>
      <c r="AJ6586" t="s">
        <v>8898</v>
      </c>
      <c r="AK6586">
        <v>2891041210</v>
      </c>
      <c r="AL6586" t="s">
        <v>8899</v>
      </c>
      <c r="AM6586" t="s">
        <v>78</v>
      </c>
      <c r="AN6586" t="s">
        <v>276</v>
      </c>
      <c r="AO6586" t="s">
        <v>1936</v>
      </c>
      <c r="AP6586" t="s">
        <v>1936</v>
      </c>
      <c r="AQ6586">
        <v>13</v>
      </c>
      <c r="AR6586" t="s">
        <v>80</v>
      </c>
      <c r="AS6586" t="s">
        <v>81</v>
      </c>
      <c r="AT6586" t="s">
        <v>58</v>
      </c>
      <c r="AU6586" t="s">
        <v>8673</v>
      </c>
      <c r="AV6586" t="s">
        <v>132</v>
      </c>
      <c r="AW6586" s="1">
        <v>29374</v>
      </c>
      <c r="AX6586">
        <v>1</v>
      </c>
    </row>
    <row r="6587" spans="1:50">
      <c r="A6587">
        <v>225784</v>
      </c>
      <c r="B6587" t="str">
        <f>"039951830"</f>
        <v>039951830</v>
      </c>
      <c r="C6587" t="s">
        <v>50</v>
      </c>
      <c r="D6587" t="s">
        <v>11014</v>
      </c>
      <c r="E6587" t="s">
        <v>215</v>
      </c>
      <c r="F6587" t="s">
        <v>95</v>
      </c>
      <c r="G6587" t="s">
        <v>801</v>
      </c>
      <c r="H6587" t="str">
        <f>"Α. ΚΙΟΥΣΗ 16 ΑΤΤΙΚΗΣ"</f>
        <v>Α. ΚΙΟΥΣΗ 16 ΑΤΤΙΚΗΣ</v>
      </c>
      <c r="I6587">
        <v>19100</v>
      </c>
      <c r="K6587">
        <v>6936961205</v>
      </c>
      <c r="N6587" t="s">
        <v>478</v>
      </c>
      <c r="O6587" t="s">
        <v>479</v>
      </c>
      <c r="R6587" t="s">
        <v>57</v>
      </c>
      <c r="S6587">
        <v>5</v>
      </c>
      <c r="T6587">
        <v>862</v>
      </c>
      <c r="U6587" s="1">
        <v>39706</v>
      </c>
      <c r="V6587" t="s">
        <v>80</v>
      </c>
      <c r="W6587" t="s">
        <v>81</v>
      </c>
      <c r="X6587" t="s">
        <v>58</v>
      </c>
      <c r="Y6587">
        <v>23</v>
      </c>
      <c r="Z6587" t="s">
        <v>59</v>
      </c>
      <c r="AA6587" t="s">
        <v>59</v>
      </c>
      <c r="AB6587" t="s">
        <v>59</v>
      </c>
      <c r="AC6587" t="s">
        <v>59</v>
      </c>
      <c r="AD6587" t="s">
        <v>59</v>
      </c>
      <c r="AF6587" s="1">
        <v>39708</v>
      </c>
      <c r="AG6587" t="s">
        <v>8645</v>
      </c>
      <c r="AH6587" t="s">
        <v>8646</v>
      </c>
      <c r="AI6587" t="str">
        <f>"9170268"</f>
        <v>9170268</v>
      </c>
      <c r="AJ6587" t="s">
        <v>9301</v>
      </c>
      <c r="AK6587">
        <v>2892022710</v>
      </c>
      <c r="AL6587" t="s">
        <v>9302</v>
      </c>
      <c r="AM6587" t="s">
        <v>78</v>
      </c>
      <c r="AN6587" t="s">
        <v>242</v>
      </c>
      <c r="AO6587" t="s">
        <v>243</v>
      </c>
      <c r="AP6587" t="s">
        <v>243</v>
      </c>
      <c r="AQ6587">
        <v>20</v>
      </c>
      <c r="AR6587" t="s">
        <v>80</v>
      </c>
      <c r="AS6587" t="s">
        <v>81</v>
      </c>
      <c r="AT6587" t="s">
        <v>58</v>
      </c>
      <c r="AU6587" t="s">
        <v>68</v>
      </c>
      <c r="AV6587" t="s">
        <v>69</v>
      </c>
      <c r="AW6587" s="1">
        <v>24981</v>
      </c>
      <c r="AX6587">
        <v>1</v>
      </c>
    </row>
    <row r="6588" spans="1:50">
      <c r="B6588" t="str">
        <f>"146216944"</f>
        <v>146216944</v>
      </c>
      <c r="C6588" t="s">
        <v>50</v>
      </c>
      <c r="D6588" t="s">
        <v>3206</v>
      </c>
      <c r="E6588" t="s">
        <v>263</v>
      </c>
      <c r="F6588" t="s">
        <v>99</v>
      </c>
      <c r="G6588" t="s">
        <v>188</v>
      </c>
      <c r="H6588" t="str">
        <f>"ΜΑΧΗΣ ΚΡΗΤΗΣ "</f>
        <v xml:space="preserve">ΜΑΧΗΣ ΚΡΗΤΗΣ </v>
      </c>
      <c r="I6588">
        <v>70014</v>
      </c>
      <c r="J6588">
        <v>2897042425</v>
      </c>
      <c r="K6588">
        <v>6946195195</v>
      </c>
      <c r="N6588" t="s">
        <v>615</v>
      </c>
      <c r="O6588" t="s">
        <v>616</v>
      </c>
      <c r="R6588" t="s">
        <v>121</v>
      </c>
      <c r="S6588">
        <v>3</v>
      </c>
      <c r="T6588" t="s">
        <v>8675</v>
      </c>
      <c r="U6588" s="1">
        <v>43348</v>
      </c>
      <c r="V6588" t="s">
        <v>80</v>
      </c>
      <c r="W6588" t="s">
        <v>81</v>
      </c>
      <c r="X6588" t="s">
        <v>58</v>
      </c>
      <c r="Y6588">
        <v>25</v>
      </c>
      <c r="Z6588" t="s">
        <v>59</v>
      </c>
      <c r="AA6588" t="s">
        <v>59</v>
      </c>
      <c r="AB6588" t="s">
        <v>59</v>
      </c>
      <c r="AC6588" t="s">
        <v>59</v>
      </c>
      <c r="AD6588" t="s">
        <v>59</v>
      </c>
      <c r="AF6588" s="1">
        <v>43348</v>
      </c>
      <c r="AG6588" t="s">
        <v>8645</v>
      </c>
      <c r="AH6588" t="s">
        <v>8676</v>
      </c>
      <c r="AI6588" t="str">
        <f>"9170314"</f>
        <v>9170314</v>
      </c>
      <c r="AJ6588" t="s">
        <v>10614</v>
      </c>
      <c r="AK6588">
        <v>2893022742</v>
      </c>
      <c r="AL6588" t="s">
        <v>10615</v>
      </c>
      <c r="AM6588" t="s">
        <v>78</v>
      </c>
      <c r="AN6588" t="s">
        <v>424</v>
      </c>
      <c r="AO6588" t="s">
        <v>577</v>
      </c>
      <c r="AP6588" t="s">
        <v>10447</v>
      </c>
      <c r="AQ6588">
        <v>10</v>
      </c>
      <c r="AR6588" t="s">
        <v>80</v>
      </c>
      <c r="AS6588" t="s">
        <v>81</v>
      </c>
      <c r="AT6588" t="s">
        <v>58</v>
      </c>
      <c r="AU6588" t="s">
        <v>8673</v>
      </c>
      <c r="AV6588" t="s">
        <v>132</v>
      </c>
      <c r="AW6588" s="1">
        <v>32280</v>
      </c>
      <c r="AX6588">
        <v>1</v>
      </c>
    </row>
    <row r="6589" spans="1:50">
      <c r="A6589">
        <v>552873</v>
      </c>
      <c r="B6589" t="str">
        <f>"030818226"</f>
        <v>030818226</v>
      </c>
      <c r="C6589" t="s">
        <v>105</v>
      </c>
      <c r="D6589" t="s">
        <v>3210</v>
      </c>
      <c r="E6589" t="s">
        <v>166</v>
      </c>
      <c r="F6589" t="s">
        <v>99</v>
      </c>
      <c r="G6589" t="s">
        <v>52</v>
      </c>
      <c r="H6589" t="str">
        <f>" "</f>
        <v xml:space="preserve"> </v>
      </c>
      <c r="N6589" t="s">
        <v>615</v>
      </c>
      <c r="O6589" t="s">
        <v>616</v>
      </c>
      <c r="R6589" t="s">
        <v>57</v>
      </c>
      <c r="S6589">
        <v>16</v>
      </c>
      <c r="T6589">
        <v>433</v>
      </c>
      <c r="U6589" s="1">
        <v>31044</v>
      </c>
      <c r="V6589" t="s">
        <v>80</v>
      </c>
      <c r="W6589" t="s">
        <v>81</v>
      </c>
      <c r="X6589" t="s">
        <v>58</v>
      </c>
      <c r="Y6589">
        <v>21</v>
      </c>
      <c r="Z6589" t="s">
        <v>59</v>
      </c>
      <c r="AA6589" t="s">
        <v>59</v>
      </c>
      <c r="AB6589" t="s">
        <v>59</v>
      </c>
      <c r="AC6589" t="s">
        <v>59</v>
      </c>
      <c r="AD6589" t="s">
        <v>59</v>
      </c>
      <c r="AF6589" s="1">
        <v>31051</v>
      </c>
      <c r="AG6589" t="s">
        <v>8645</v>
      </c>
      <c r="AH6589" t="s">
        <v>8646</v>
      </c>
      <c r="AI6589" t="str">
        <f>"9170041"</f>
        <v>9170041</v>
      </c>
      <c r="AJ6589" t="s">
        <v>9638</v>
      </c>
      <c r="AK6589">
        <v>2894022150</v>
      </c>
      <c r="AL6589" t="s">
        <v>9639</v>
      </c>
      <c r="AM6589" t="s">
        <v>78</v>
      </c>
      <c r="AN6589" t="s">
        <v>405</v>
      </c>
      <c r="AO6589" t="s">
        <v>406</v>
      </c>
      <c r="AP6589" t="s">
        <v>8893</v>
      </c>
      <c r="AQ6589">
        <v>6</v>
      </c>
      <c r="AR6589" t="s">
        <v>80</v>
      </c>
      <c r="AS6589" t="s">
        <v>81</v>
      </c>
      <c r="AT6589" t="s">
        <v>58</v>
      </c>
      <c r="AU6589" t="s">
        <v>68</v>
      </c>
      <c r="AV6589" t="s">
        <v>69</v>
      </c>
      <c r="AW6589" s="1">
        <v>22573</v>
      </c>
      <c r="AX6589">
        <v>1</v>
      </c>
    </row>
    <row r="6590" spans="1:50">
      <c r="A6590">
        <v>551321</v>
      </c>
      <c r="B6590" t="str">
        <f>"028448443"</f>
        <v>028448443</v>
      </c>
      <c r="C6590" t="s">
        <v>105</v>
      </c>
      <c r="D6590" t="s">
        <v>3210</v>
      </c>
      <c r="E6590" t="s">
        <v>92</v>
      </c>
      <c r="F6590" t="s">
        <v>72</v>
      </c>
      <c r="G6590" t="s">
        <v>11015</v>
      </c>
      <c r="H6590" t="str">
        <f>"Λ. ΚΝΩΣΟΥ 234 ΗΡΑΚΛΕΙΟ"</f>
        <v>Λ. ΚΝΩΣΟΥ 234 ΗΡΑΚΛΕΙΟ</v>
      </c>
      <c r="I6590">
        <v>71409</v>
      </c>
      <c r="K6590">
        <v>6943100578</v>
      </c>
      <c r="M6590" t="s">
        <v>11016</v>
      </c>
      <c r="N6590" t="s">
        <v>615</v>
      </c>
      <c r="O6590" t="s">
        <v>616</v>
      </c>
      <c r="R6590" t="s">
        <v>57</v>
      </c>
      <c r="S6590">
        <v>17</v>
      </c>
      <c r="T6590">
        <v>271</v>
      </c>
      <c r="U6590" s="1">
        <v>30923</v>
      </c>
      <c r="V6590" t="s">
        <v>80</v>
      </c>
      <c r="W6590" t="s">
        <v>81</v>
      </c>
      <c r="X6590" t="s">
        <v>58</v>
      </c>
      <c r="Y6590">
        <v>21</v>
      </c>
      <c r="Z6590" t="s">
        <v>59</v>
      </c>
      <c r="AA6590" t="s">
        <v>59</v>
      </c>
      <c r="AB6590" t="s">
        <v>59</v>
      </c>
      <c r="AC6590" t="s">
        <v>59</v>
      </c>
      <c r="AD6590" t="s">
        <v>59</v>
      </c>
      <c r="AF6590" s="1">
        <v>30929</v>
      </c>
      <c r="AG6590" t="s">
        <v>8645</v>
      </c>
      <c r="AH6590" t="s">
        <v>8646</v>
      </c>
      <c r="AI6590" t="str">
        <f>"9170130"</f>
        <v>9170130</v>
      </c>
      <c r="AJ6590" t="s">
        <v>10267</v>
      </c>
      <c r="AK6590">
        <v>2895071251</v>
      </c>
      <c r="AL6590" t="s">
        <v>10268</v>
      </c>
      <c r="AM6590" t="s">
        <v>78</v>
      </c>
      <c r="AN6590" t="s">
        <v>482</v>
      </c>
      <c r="AO6590" t="s">
        <v>482</v>
      </c>
      <c r="AP6590" t="s">
        <v>9002</v>
      </c>
      <c r="AQ6590">
        <v>14</v>
      </c>
      <c r="AR6590" t="s">
        <v>80</v>
      </c>
      <c r="AS6590" t="s">
        <v>81</v>
      </c>
      <c r="AT6590" t="s">
        <v>58</v>
      </c>
      <c r="AU6590" t="s">
        <v>68</v>
      </c>
      <c r="AV6590" t="s">
        <v>69</v>
      </c>
      <c r="AW6590" s="1">
        <v>21296</v>
      </c>
      <c r="AX6590">
        <v>1</v>
      </c>
    </row>
    <row r="6591" spans="1:50">
      <c r="A6591">
        <v>611648</v>
      </c>
      <c r="B6591" t="str">
        <f>"138966012"</f>
        <v>138966012</v>
      </c>
      <c r="C6591" t="s">
        <v>50</v>
      </c>
      <c r="D6591" t="s">
        <v>6346</v>
      </c>
      <c r="E6591" t="s">
        <v>255</v>
      </c>
      <c r="F6591" t="s">
        <v>72</v>
      </c>
      <c r="G6591" t="s">
        <v>801</v>
      </c>
      <c r="H6591" t="str">
        <f>"ΔΕΛΑΠΟΡΤΑ 15 ΗΡΑΚΛΕΙΟ"</f>
        <v>ΔΕΛΑΠΟΡΤΑ 15 ΗΡΑΚΛΕΙΟ</v>
      </c>
      <c r="I6591">
        <v>71409</v>
      </c>
      <c r="J6591">
        <v>2811118070</v>
      </c>
      <c r="K6591">
        <v>6948178730</v>
      </c>
      <c r="N6591" t="s">
        <v>1525</v>
      </c>
      <c r="O6591" t="s">
        <v>1526</v>
      </c>
      <c r="R6591" t="s">
        <v>57</v>
      </c>
      <c r="S6591">
        <v>6</v>
      </c>
      <c r="T6591">
        <v>233</v>
      </c>
      <c r="U6591" s="1">
        <v>38960</v>
      </c>
      <c r="V6591" t="s">
        <v>80</v>
      </c>
      <c r="W6591" t="s">
        <v>81</v>
      </c>
      <c r="X6591" t="s">
        <v>58</v>
      </c>
      <c r="Y6591">
        <v>25</v>
      </c>
      <c r="Z6591" t="s">
        <v>59</v>
      </c>
      <c r="AA6591" t="s">
        <v>59</v>
      </c>
      <c r="AB6591" t="s">
        <v>59</v>
      </c>
      <c r="AC6591" t="s">
        <v>59</v>
      </c>
      <c r="AD6591" t="s">
        <v>59</v>
      </c>
      <c r="AF6591" s="1">
        <v>38961</v>
      </c>
      <c r="AG6591" t="s">
        <v>8651</v>
      </c>
      <c r="AH6591" t="s">
        <v>8652</v>
      </c>
      <c r="AI6591" t="str">
        <f>"9170356"</f>
        <v>9170356</v>
      </c>
      <c r="AJ6591" t="s">
        <v>11017</v>
      </c>
      <c r="AK6591">
        <v>2897031698</v>
      </c>
      <c r="AL6591" t="s">
        <v>11018</v>
      </c>
      <c r="AM6591" t="s">
        <v>78</v>
      </c>
      <c r="AN6591" t="s">
        <v>219</v>
      </c>
      <c r="AO6591" t="s">
        <v>527</v>
      </c>
      <c r="AP6591" t="s">
        <v>527</v>
      </c>
      <c r="AQ6591">
        <v>8</v>
      </c>
      <c r="AR6591" t="s">
        <v>80</v>
      </c>
      <c r="AS6591" t="s">
        <v>81</v>
      </c>
      <c r="AT6591" t="s">
        <v>58</v>
      </c>
      <c r="AU6591" t="s">
        <v>68</v>
      </c>
      <c r="AV6591" t="s">
        <v>69</v>
      </c>
      <c r="AW6591" s="1">
        <v>30389</v>
      </c>
      <c r="AX6591">
        <v>1</v>
      </c>
    </row>
    <row r="6592" spans="1:50">
      <c r="A6592">
        <v>575594</v>
      </c>
      <c r="B6592" t="str">
        <f>"036262300"</f>
        <v>036262300</v>
      </c>
      <c r="C6592" t="s">
        <v>105</v>
      </c>
      <c r="D6592" t="s">
        <v>11019</v>
      </c>
      <c r="E6592" t="s">
        <v>92</v>
      </c>
      <c r="F6592" t="s">
        <v>11020</v>
      </c>
      <c r="G6592" t="s">
        <v>109</v>
      </c>
      <c r="H6592" t="str">
        <f>"ΛΕΒΗΝΟΥ 60  ΗΡΑΚΛΕΙΟ "</f>
        <v xml:space="preserve">ΛΕΒΗΝΟΥ 60  ΗΡΑΚΛΕΙΟ </v>
      </c>
      <c r="I6592">
        <v>71304</v>
      </c>
      <c r="J6592">
        <v>2810313638</v>
      </c>
      <c r="K6592">
        <v>6945577686</v>
      </c>
      <c r="N6592" t="s">
        <v>615</v>
      </c>
      <c r="O6592" t="s">
        <v>616</v>
      </c>
      <c r="R6592" t="s">
        <v>57</v>
      </c>
      <c r="S6592">
        <v>13</v>
      </c>
      <c r="T6592">
        <v>184</v>
      </c>
      <c r="U6592" s="1">
        <v>34941</v>
      </c>
      <c r="V6592" t="s">
        <v>80</v>
      </c>
      <c r="W6592" t="s">
        <v>81</v>
      </c>
      <c r="X6592" t="s">
        <v>58</v>
      </c>
      <c r="Y6592">
        <v>21</v>
      </c>
      <c r="Z6592" t="s">
        <v>59</v>
      </c>
      <c r="AA6592" t="s">
        <v>59</v>
      </c>
      <c r="AB6592" t="s">
        <v>59</v>
      </c>
      <c r="AC6592" t="s">
        <v>59</v>
      </c>
      <c r="AD6592" t="s">
        <v>59</v>
      </c>
      <c r="AF6592" s="1">
        <v>34943</v>
      </c>
      <c r="AG6592" t="s">
        <v>8645</v>
      </c>
      <c r="AH6592" t="s">
        <v>8646</v>
      </c>
      <c r="AI6592" t="str">
        <f>"9170560"</f>
        <v>9170560</v>
      </c>
      <c r="AJ6592" t="s">
        <v>9022</v>
      </c>
      <c r="AK6592">
        <v>2810821816</v>
      </c>
      <c r="AL6592" t="s">
        <v>9023</v>
      </c>
      <c r="AM6592" t="s">
        <v>78</v>
      </c>
      <c r="AN6592" t="s">
        <v>129</v>
      </c>
      <c r="AO6592" t="s">
        <v>130</v>
      </c>
      <c r="AP6592" t="s">
        <v>130</v>
      </c>
      <c r="AQ6592">
        <v>1</v>
      </c>
      <c r="AR6592" t="s">
        <v>80</v>
      </c>
      <c r="AS6592" t="s">
        <v>81</v>
      </c>
      <c r="AT6592" t="s">
        <v>58</v>
      </c>
      <c r="AU6592" t="s">
        <v>68</v>
      </c>
      <c r="AV6592" t="s">
        <v>69</v>
      </c>
      <c r="AW6592" s="1">
        <v>23941</v>
      </c>
      <c r="AX6592">
        <v>1</v>
      </c>
    </row>
    <row r="6593" spans="1:50">
      <c r="A6593">
        <v>595561</v>
      </c>
      <c r="B6593" t="str">
        <f>"110116197"</f>
        <v>110116197</v>
      </c>
      <c r="C6593" t="s">
        <v>50</v>
      </c>
      <c r="D6593" t="s">
        <v>3219</v>
      </c>
      <c r="E6593" t="s">
        <v>1588</v>
      </c>
      <c r="F6593" t="s">
        <v>1229</v>
      </c>
      <c r="G6593" t="s">
        <v>71</v>
      </c>
      <c r="H6593" t="str">
        <f>" "</f>
        <v xml:space="preserve"> </v>
      </c>
      <c r="J6593">
        <v>2810233295</v>
      </c>
      <c r="K6593">
        <v>6947300015</v>
      </c>
      <c r="N6593" t="s">
        <v>1525</v>
      </c>
      <c r="O6593" t="s">
        <v>1526</v>
      </c>
      <c r="R6593" t="s">
        <v>57</v>
      </c>
      <c r="S6593">
        <v>8</v>
      </c>
      <c r="T6593" t="s">
        <v>11021</v>
      </c>
      <c r="U6593" s="1">
        <v>37141</v>
      </c>
      <c r="V6593" t="s">
        <v>80</v>
      </c>
      <c r="W6593" t="s">
        <v>81</v>
      </c>
      <c r="X6593" t="s">
        <v>58</v>
      </c>
      <c r="Y6593">
        <v>25</v>
      </c>
      <c r="Z6593" t="s">
        <v>59</v>
      </c>
      <c r="AA6593" t="s">
        <v>59</v>
      </c>
      <c r="AB6593" t="s">
        <v>59</v>
      </c>
      <c r="AC6593" t="s">
        <v>59</v>
      </c>
      <c r="AD6593" t="s">
        <v>59</v>
      </c>
      <c r="AF6593" s="1">
        <v>37141</v>
      </c>
      <c r="AG6593" t="s">
        <v>8651</v>
      </c>
      <c r="AH6593" t="s">
        <v>8652</v>
      </c>
      <c r="AI6593" t="str">
        <f>"9170187"</f>
        <v>9170187</v>
      </c>
      <c r="AJ6593" t="s">
        <v>9306</v>
      </c>
      <c r="AK6593">
        <v>2810211623</v>
      </c>
      <c r="AL6593" t="s">
        <v>9307</v>
      </c>
      <c r="AM6593" t="s">
        <v>78</v>
      </c>
      <c r="AN6593" t="s">
        <v>78</v>
      </c>
      <c r="AO6593" t="s">
        <v>78</v>
      </c>
      <c r="AP6593" t="s">
        <v>163</v>
      </c>
      <c r="AQ6593">
        <v>1</v>
      </c>
      <c r="AR6593" t="s">
        <v>80</v>
      </c>
      <c r="AS6593" t="s">
        <v>81</v>
      </c>
      <c r="AT6593" t="s">
        <v>58</v>
      </c>
      <c r="AU6593" t="s">
        <v>68</v>
      </c>
      <c r="AV6593" t="s">
        <v>69</v>
      </c>
      <c r="AW6593" s="1">
        <v>27362</v>
      </c>
      <c r="AX6593">
        <v>1</v>
      </c>
    </row>
    <row r="6594" spans="1:50">
      <c r="A6594">
        <v>594651</v>
      </c>
      <c r="B6594" t="str">
        <f>"075735428"</f>
        <v>075735428</v>
      </c>
      <c r="C6594" t="s">
        <v>50</v>
      </c>
      <c r="D6594" t="s">
        <v>3224</v>
      </c>
      <c r="E6594" t="s">
        <v>52</v>
      </c>
      <c r="F6594" t="s">
        <v>166</v>
      </c>
      <c r="G6594" t="s">
        <v>280</v>
      </c>
      <c r="H6594" t="str">
        <f>" "</f>
        <v xml:space="preserve"> </v>
      </c>
      <c r="K6594">
        <v>6936507900</v>
      </c>
      <c r="M6594" t="s">
        <v>11022</v>
      </c>
      <c r="N6594" t="s">
        <v>615</v>
      </c>
      <c r="O6594" t="s">
        <v>616</v>
      </c>
      <c r="R6594" t="s">
        <v>57</v>
      </c>
      <c r="S6594">
        <v>8</v>
      </c>
      <c r="T6594">
        <v>218</v>
      </c>
      <c r="U6594" s="1">
        <v>37134</v>
      </c>
      <c r="V6594" t="s">
        <v>80</v>
      </c>
      <c r="W6594" t="s">
        <v>81</v>
      </c>
      <c r="X6594" t="s">
        <v>58</v>
      </c>
      <c r="Y6594">
        <v>22</v>
      </c>
      <c r="Z6594" t="s">
        <v>59</v>
      </c>
      <c r="AA6594" t="s">
        <v>59</v>
      </c>
      <c r="AB6594" t="s">
        <v>59</v>
      </c>
      <c r="AC6594" t="s">
        <v>59</v>
      </c>
      <c r="AD6594" t="s">
        <v>59</v>
      </c>
      <c r="AF6594" s="1">
        <v>37137</v>
      </c>
      <c r="AG6594" t="s">
        <v>8645</v>
      </c>
      <c r="AH6594" t="s">
        <v>8646</v>
      </c>
      <c r="AI6594" t="str">
        <f>"9170205"</f>
        <v>9170205</v>
      </c>
      <c r="AJ6594" t="s">
        <v>8794</v>
      </c>
      <c r="AK6594">
        <v>2810762030</v>
      </c>
      <c r="AL6594" t="s">
        <v>8795</v>
      </c>
      <c r="AM6594" t="s">
        <v>78</v>
      </c>
      <c r="AN6594" t="s">
        <v>219</v>
      </c>
      <c r="AO6594" t="s">
        <v>297</v>
      </c>
      <c r="AP6594" t="s">
        <v>8796</v>
      </c>
      <c r="AQ6594">
        <v>7</v>
      </c>
      <c r="AR6594" t="s">
        <v>80</v>
      </c>
      <c r="AS6594" t="s">
        <v>81</v>
      </c>
      <c r="AT6594" t="s">
        <v>58</v>
      </c>
      <c r="AU6594" t="s">
        <v>68</v>
      </c>
      <c r="AV6594" t="s">
        <v>69</v>
      </c>
      <c r="AW6594" s="1">
        <v>26934</v>
      </c>
      <c r="AX6594">
        <v>1</v>
      </c>
    </row>
    <row r="6595" spans="1:50">
      <c r="A6595">
        <v>596924</v>
      </c>
      <c r="B6595" t="str">
        <f>"073407984"</f>
        <v>073407984</v>
      </c>
      <c r="C6595" t="s">
        <v>50</v>
      </c>
      <c r="D6595" t="s">
        <v>11023</v>
      </c>
      <c r="E6595" t="s">
        <v>134</v>
      </c>
      <c r="F6595" t="s">
        <v>99</v>
      </c>
      <c r="G6595" t="s">
        <v>215</v>
      </c>
      <c r="H6595" t="str">
        <f>"ΛΑΟΔΑΜΑΝΤΟΣ 21 ΑΓ. ΙΩΑΝΝΗΣ"</f>
        <v>ΛΑΟΔΑΜΑΝΤΟΣ 21 ΑΓ. ΙΩΑΝΝΗΣ</v>
      </c>
      <c r="I6595">
        <v>71409</v>
      </c>
      <c r="J6595">
        <v>2810214258</v>
      </c>
      <c r="K6595">
        <v>6974674444</v>
      </c>
      <c r="N6595" t="s">
        <v>1525</v>
      </c>
      <c r="O6595" t="s">
        <v>1526</v>
      </c>
      <c r="R6595" t="s">
        <v>57</v>
      </c>
      <c r="S6595">
        <v>8</v>
      </c>
      <c r="T6595">
        <v>195</v>
      </c>
      <c r="U6595" s="1">
        <v>37501</v>
      </c>
      <c r="V6595" t="s">
        <v>80</v>
      </c>
      <c r="W6595" t="s">
        <v>81</v>
      </c>
      <c r="X6595" t="s">
        <v>58</v>
      </c>
      <c r="Y6595">
        <v>25</v>
      </c>
      <c r="Z6595" t="s">
        <v>59</v>
      </c>
      <c r="AA6595" t="s">
        <v>59</v>
      </c>
      <c r="AB6595" t="s">
        <v>59</v>
      </c>
      <c r="AC6595" t="s">
        <v>59</v>
      </c>
      <c r="AD6595" t="s">
        <v>59</v>
      </c>
      <c r="AF6595" s="1">
        <v>37501</v>
      </c>
      <c r="AG6595" t="s">
        <v>8651</v>
      </c>
      <c r="AH6595" t="s">
        <v>8652</v>
      </c>
      <c r="AI6595" t="str">
        <f>"9170256"</f>
        <v>9170256</v>
      </c>
      <c r="AJ6595" t="s">
        <v>9156</v>
      </c>
      <c r="AK6595">
        <v>2810211000</v>
      </c>
      <c r="AL6595" t="s">
        <v>9157</v>
      </c>
      <c r="AM6595" t="s">
        <v>78</v>
      </c>
      <c r="AN6595" t="s">
        <v>78</v>
      </c>
      <c r="AO6595" t="s">
        <v>78</v>
      </c>
      <c r="AP6595" t="s">
        <v>163</v>
      </c>
      <c r="AQ6595">
        <v>1</v>
      </c>
      <c r="AR6595" t="s">
        <v>80</v>
      </c>
      <c r="AS6595" t="s">
        <v>81</v>
      </c>
      <c r="AT6595" t="s">
        <v>58</v>
      </c>
      <c r="AU6595" t="s">
        <v>68</v>
      </c>
      <c r="AV6595" t="s">
        <v>69</v>
      </c>
      <c r="AW6595" s="1">
        <v>26712</v>
      </c>
      <c r="AX6595">
        <v>1</v>
      </c>
    </row>
    <row r="6596" spans="1:50">
      <c r="A6596">
        <v>607877</v>
      </c>
      <c r="B6596" t="str">
        <f>"114566060"</f>
        <v>114566060</v>
      </c>
      <c r="C6596" t="s">
        <v>105</v>
      </c>
      <c r="D6596" t="s">
        <v>3227</v>
      </c>
      <c r="E6596" t="s">
        <v>154</v>
      </c>
      <c r="F6596" t="s">
        <v>99</v>
      </c>
      <c r="G6596" t="s">
        <v>215</v>
      </c>
      <c r="H6596" t="str">
        <f>"ΛΑΟΔΑΜΑΝΤΟΣ 21 ΗΡΑΚΛΕΙΟ"</f>
        <v>ΛΑΟΔΑΜΑΝΤΟΣ 21 ΗΡΑΚΛΕΙΟ</v>
      </c>
      <c r="I6596">
        <v>71409</v>
      </c>
      <c r="J6596">
        <v>2811755169</v>
      </c>
      <c r="K6596">
        <v>6972445789</v>
      </c>
      <c r="N6596" t="s">
        <v>615</v>
      </c>
      <c r="O6596" t="s">
        <v>616</v>
      </c>
      <c r="R6596" t="s">
        <v>57</v>
      </c>
      <c r="S6596">
        <v>8</v>
      </c>
      <c r="T6596">
        <v>217</v>
      </c>
      <c r="U6596" s="1">
        <v>38596</v>
      </c>
      <c r="V6596" t="s">
        <v>80</v>
      </c>
      <c r="W6596" t="s">
        <v>81</v>
      </c>
      <c r="X6596" t="s">
        <v>58</v>
      </c>
      <c r="Y6596">
        <v>23</v>
      </c>
      <c r="Z6596" t="s">
        <v>59</v>
      </c>
      <c r="AA6596" t="s">
        <v>59</v>
      </c>
      <c r="AB6596" t="s">
        <v>59</v>
      </c>
      <c r="AC6596" t="s">
        <v>59</v>
      </c>
      <c r="AD6596" t="s">
        <v>59</v>
      </c>
      <c r="AF6596" s="1">
        <v>38600</v>
      </c>
      <c r="AG6596" t="s">
        <v>8645</v>
      </c>
      <c r="AH6596" t="s">
        <v>8646</v>
      </c>
      <c r="AI6596" t="str">
        <f>"9170517"</f>
        <v>9170517</v>
      </c>
      <c r="AJ6596" t="s">
        <v>9248</v>
      </c>
      <c r="AK6596">
        <v>2810238757</v>
      </c>
      <c r="AL6596" t="s">
        <v>9249</v>
      </c>
      <c r="AM6596" t="s">
        <v>78</v>
      </c>
      <c r="AN6596" t="s">
        <v>78</v>
      </c>
      <c r="AO6596" t="s">
        <v>78</v>
      </c>
      <c r="AP6596" t="s">
        <v>163</v>
      </c>
      <c r="AQ6596">
        <v>1</v>
      </c>
      <c r="AR6596" t="s">
        <v>80</v>
      </c>
      <c r="AS6596" t="s">
        <v>81</v>
      </c>
      <c r="AT6596" t="s">
        <v>58</v>
      </c>
      <c r="AU6596" t="s">
        <v>68</v>
      </c>
      <c r="AV6596" t="s">
        <v>69</v>
      </c>
      <c r="AW6596" s="1">
        <v>28889</v>
      </c>
      <c r="AX6596">
        <v>1</v>
      </c>
    </row>
    <row r="6597" spans="1:50">
      <c r="A6597">
        <v>577115</v>
      </c>
      <c r="B6597" t="str">
        <f>"039054527"</f>
        <v>039054527</v>
      </c>
      <c r="C6597" t="s">
        <v>105</v>
      </c>
      <c r="D6597" t="s">
        <v>11024</v>
      </c>
      <c r="E6597" t="s">
        <v>166</v>
      </c>
      <c r="F6597" t="s">
        <v>53</v>
      </c>
      <c r="G6597" t="s">
        <v>83</v>
      </c>
      <c r="H6597" t="str">
        <f>"ΑΧΛΑΔΑ ΑΧΛΑΔΑ ΓΑΖΙΟΥ"</f>
        <v>ΑΧΛΑΔΑ ΑΧΛΑΔΑ ΓΑΖΙΟΥ</v>
      </c>
      <c r="I6597">
        <v>71500</v>
      </c>
      <c r="J6597">
        <v>2810812007</v>
      </c>
      <c r="K6597">
        <v>6942083465</v>
      </c>
      <c r="N6597" t="s">
        <v>176</v>
      </c>
      <c r="O6597" t="s">
        <v>177</v>
      </c>
      <c r="R6597" t="s">
        <v>57</v>
      </c>
      <c r="S6597">
        <v>12</v>
      </c>
      <c r="T6597">
        <v>184</v>
      </c>
      <c r="U6597" s="1">
        <v>34941</v>
      </c>
      <c r="V6597" t="s">
        <v>80</v>
      </c>
      <c r="W6597" t="s">
        <v>81</v>
      </c>
      <c r="X6597" t="s">
        <v>58</v>
      </c>
      <c r="Y6597">
        <v>21</v>
      </c>
      <c r="Z6597" t="s">
        <v>59</v>
      </c>
      <c r="AA6597" t="s">
        <v>59</v>
      </c>
      <c r="AB6597" t="s">
        <v>59</v>
      </c>
      <c r="AC6597" t="s">
        <v>59</v>
      </c>
      <c r="AD6597" t="s">
        <v>59</v>
      </c>
      <c r="AF6597" s="1">
        <v>34943</v>
      </c>
      <c r="AG6597" t="s">
        <v>8645</v>
      </c>
      <c r="AH6597" t="s">
        <v>8646</v>
      </c>
      <c r="AI6597" t="str">
        <f>"9521091"</f>
        <v>9521091</v>
      </c>
      <c r="AJ6597" t="s">
        <v>8959</v>
      </c>
      <c r="AK6597">
        <v>2810370360</v>
      </c>
      <c r="AL6597" t="s">
        <v>8960</v>
      </c>
      <c r="AM6597" t="s">
        <v>78</v>
      </c>
      <c r="AN6597" t="s">
        <v>129</v>
      </c>
      <c r="AO6597" t="s">
        <v>130</v>
      </c>
      <c r="AP6597" t="s">
        <v>130</v>
      </c>
      <c r="AQ6597">
        <v>1</v>
      </c>
      <c r="AR6597" t="s">
        <v>80</v>
      </c>
      <c r="AS6597" t="s">
        <v>81</v>
      </c>
      <c r="AT6597" t="s">
        <v>58</v>
      </c>
      <c r="AU6597" t="s">
        <v>68</v>
      </c>
      <c r="AV6597" t="s">
        <v>69</v>
      </c>
      <c r="AW6597" s="1">
        <v>23822</v>
      </c>
      <c r="AX6597">
        <v>1</v>
      </c>
    </row>
    <row r="6598" spans="1:50">
      <c r="A6598">
        <v>590030</v>
      </c>
      <c r="B6598" t="str">
        <f>"072597187"</f>
        <v>072597187</v>
      </c>
      <c r="C6598" t="s">
        <v>105</v>
      </c>
      <c r="D6598" t="s">
        <v>3230</v>
      </c>
      <c r="E6598" t="s">
        <v>936</v>
      </c>
      <c r="F6598" t="s">
        <v>95</v>
      </c>
      <c r="G6598" t="s">
        <v>52</v>
      </c>
      <c r="H6598" t="str">
        <f>"ΕΠΙΣΚΟΠΗ ΠΕΔΙΑΔΟΣ "</f>
        <v xml:space="preserve">ΕΠΙΣΚΟΠΗ ΠΕΔΙΑΔΟΣ </v>
      </c>
      <c r="I6598">
        <v>70008</v>
      </c>
      <c r="J6598">
        <v>2810771933</v>
      </c>
      <c r="K6598">
        <v>6977781468</v>
      </c>
      <c r="N6598" t="s">
        <v>176</v>
      </c>
      <c r="O6598" t="s">
        <v>177</v>
      </c>
      <c r="R6598" t="s">
        <v>57</v>
      </c>
      <c r="S6598">
        <v>10</v>
      </c>
      <c r="T6598">
        <v>177</v>
      </c>
      <c r="U6598" s="1">
        <v>36403</v>
      </c>
      <c r="V6598" t="s">
        <v>80</v>
      </c>
      <c r="W6598" t="s">
        <v>81</v>
      </c>
      <c r="X6598" t="s">
        <v>58</v>
      </c>
      <c r="Y6598">
        <v>22</v>
      </c>
      <c r="Z6598" t="s">
        <v>59</v>
      </c>
      <c r="AA6598" t="s">
        <v>59</v>
      </c>
      <c r="AB6598" t="s">
        <v>59</v>
      </c>
      <c r="AC6598" t="s">
        <v>59</v>
      </c>
      <c r="AD6598" t="s">
        <v>59</v>
      </c>
      <c r="AF6598" s="1">
        <v>36404</v>
      </c>
      <c r="AG6598" t="s">
        <v>8645</v>
      </c>
      <c r="AH6598" t="s">
        <v>8697</v>
      </c>
      <c r="AI6598" t="str">
        <f>"9170358"</f>
        <v>9170358</v>
      </c>
      <c r="AJ6598" t="s">
        <v>9378</v>
      </c>
      <c r="AK6598">
        <v>2810282028</v>
      </c>
      <c r="AL6598" t="s">
        <v>9379</v>
      </c>
      <c r="AM6598" t="s">
        <v>78</v>
      </c>
      <c r="AN6598" t="s">
        <v>78</v>
      </c>
      <c r="AO6598" t="s">
        <v>78</v>
      </c>
      <c r="AP6598" t="s">
        <v>141</v>
      </c>
      <c r="AQ6598">
        <v>1</v>
      </c>
      <c r="AR6598" t="s">
        <v>80</v>
      </c>
      <c r="AS6598" t="s">
        <v>81</v>
      </c>
      <c r="AT6598" t="s">
        <v>58</v>
      </c>
      <c r="AU6598" t="s">
        <v>68</v>
      </c>
      <c r="AV6598" t="s">
        <v>69</v>
      </c>
      <c r="AW6598" s="1">
        <v>24654</v>
      </c>
      <c r="AX6598">
        <v>1</v>
      </c>
    </row>
    <row r="6599" spans="1:50">
      <c r="B6599" t="str">
        <f>"140690968"</f>
        <v>140690968</v>
      </c>
      <c r="C6599" t="s">
        <v>105</v>
      </c>
      <c r="D6599" t="s">
        <v>3230</v>
      </c>
      <c r="E6599" t="s">
        <v>72</v>
      </c>
      <c r="F6599" t="s">
        <v>11025</v>
      </c>
      <c r="G6599" t="s">
        <v>1306</v>
      </c>
      <c r="H6599" t="str">
        <f>"Κανελοπούλου 11 Αμουδάρα"</f>
        <v>Κανελοπούλου 11 Αμουδάρα</v>
      </c>
      <c r="I6599">
        <v>71414</v>
      </c>
      <c r="K6599">
        <v>6992006179</v>
      </c>
      <c r="M6599" t="s">
        <v>11026</v>
      </c>
      <c r="N6599" t="s">
        <v>615</v>
      </c>
      <c r="O6599" t="s">
        <v>616</v>
      </c>
      <c r="R6599" t="s">
        <v>121</v>
      </c>
      <c r="S6599">
        <v>3</v>
      </c>
      <c r="T6599" t="s">
        <v>8717</v>
      </c>
      <c r="U6599" s="1">
        <v>43348</v>
      </c>
      <c r="V6599" t="s">
        <v>80</v>
      </c>
      <c r="W6599" t="s">
        <v>81</v>
      </c>
      <c r="X6599" t="s">
        <v>58</v>
      </c>
      <c r="Y6599">
        <v>24</v>
      </c>
      <c r="Z6599" t="s">
        <v>59</v>
      </c>
      <c r="AA6599" t="s">
        <v>59</v>
      </c>
      <c r="AB6599" t="s">
        <v>59</v>
      </c>
      <c r="AD6599" t="s">
        <v>59</v>
      </c>
      <c r="AF6599" s="1">
        <v>43348</v>
      </c>
      <c r="AG6599" t="s">
        <v>8645</v>
      </c>
      <c r="AH6599" t="s">
        <v>8646</v>
      </c>
      <c r="AI6599" t="str">
        <f>"9170114"</f>
        <v>9170114</v>
      </c>
      <c r="AJ6599" t="s">
        <v>9613</v>
      </c>
      <c r="AK6599">
        <v>2810241054</v>
      </c>
      <c r="AL6599" t="s">
        <v>9614</v>
      </c>
      <c r="AM6599" t="s">
        <v>78</v>
      </c>
      <c r="AN6599" t="s">
        <v>78</v>
      </c>
      <c r="AO6599" t="s">
        <v>78</v>
      </c>
      <c r="AP6599" t="s">
        <v>79</v>
      </c>
      <c r="AQ6599">
        <v>1</v>
      </c>
      <c r="AR6599" t="s">
        <v>80</v>
      </c>
      <c r="AS6599" t="s">
        <v>81</v>
      </c>
      <c r="AT6599" t="s">
        <v>58</v>
      </c>
      <c r="AU6599" t="s">
        <v>8720</v>
      </c>
      <c r="AV6599" t="s">
        <v>132</v>
      </c>
      <c r="AW6599" s="1">
        <v>32725</v>
      </c>
      <c r="AX6599">
        <v>1</v>
      </c>
    </row>
    <row r="6600" spans="1:50">
      <c r="A6600">
        <v>700369</v>
      </c>
      <c r="B6600" t="str">
        <f>"136302494"</f>
        <v>136302494</v>
      </c>
      <c r="C6600" t="s">
        <v>105</v>
      </c>
      <c r="D6600" t="s">
        <v>3230</v>
      </c>
      <c r="E6600" t="s">
        <v>646</v>
      </c>
      <c r="F6600" t="s">
        <v>315</v>
      </c>
      <c r="G6600" t="s">
        <v>476</v>
      </c>
      <c r="H6600" t="str">
        <f>"ΠΟΝΤΟΥ 12-16 ΣΕΡΡΕΣ"</f>
        <v>ΠΟΝΤΟΥ 12-16 ΣΕΡΡΕΣ</v>
      </c>
      <c r="I6600">
        <v>62125</v>
      </c>
      <c r="J6600">
        <v>2321036100</v>
      </c>
      <c r="K6600">
        <v>6974648420</v>
      </c>
      <c r="N6600" t="s">
        <v>615</v>
      </c>
      <c r="O6600" t="s">
        <v>616</v>
      </c>
      <c r="R6600" t="s">
        <v>57</v>
      </c>
      <c r="S6600">
        <v>4</v>
      </c>
      <c r="T6600">
        <v>772</v>
      </c>
      <c r="U6600" s="1">
        <v>40413</v>
      </c>
      <c r="V6600" t="s">
        <v>80</v>
      </c>
      <c r="W6600" t="s">
        <v>81</v>
      </c>
      <c r="X6600" t="s">
        <v>58</v>
      </c>
      <c r="Y6600">
        <v>24</v>
      </c>
      <c r="Z6600" t="s">
        <v>59</v>
      </c>
      <c r="AA6600" t="s">
        <v>59</v>
      </c>
      <c r="AB6600" t="s">
        <v>59</v>
      </c>
      <c r="AC6600" t="s">
        <v>59</v>
      </c>
      <c r="AD6600" t="s">
        <v>59</v>
      </c>
      <c r="AF6600" s="1">
        <v>40413</v>
      </c>
      <c r="AG6600" t="s">
        <v>8645</v>
      </c>
      <c r="AH6600" t="s">
        <v>8646</v>
      </c>
      <c r="AI6600" t="str">
        <f>"9170002"</f>
        <v>9170002</v>
      </c>
      <c r="AJ6600" t="s">
        <v>9368</v>
      </c>
      <c r="AK6600">
        <v>2894041207</v>
      </c>
      <c r="AL6600" t="s">
        <v>9369</v>
      </c>
      <c r="AM6600" t="s">
        <v>78</v>
      </c>
      <c r="AN6600" t="s">
        <v>405</v>
      </c>
      <c r="AO6600" t="s">
        <v>551</v>
      </c>
      <c r="AP6600" t="s">
        <v>552</v>
      </c>
      <c r="AQ6600">
        <v>21</v>
      </c>
      <c r="AR6600" t="s">
        <v>80</v>
      </c>
      <c r="AS6600" t="s">
        <v>81</v>
      </c>
      <c r="AT6600" t="s">
        <v>58</v>
      </c>
      <c r="AU6600" t="s">
        <v>68</v>
      </c>
      <c r="AV6600" t="s">
        <v>69</v>
      </c>
      <c r="AW6600" s="1">
        <v>31270</v>
      </c>
      <c r="AX6600">
        <v>1</v>
      </c>
    </row>
    <row r="6601" spans="1:50">
      <c r="A6601">
        <v>620009</v>
      </c>
      <c r="B6601" t="str">
        <f>"051374102"</f>
        <v>051374102</v>
      </c>
      <c r="C6601" t="s">
        <v>105</v>
      </c>
      <c r="D6601" t="s">
        <v>3230</v>
      </c>
      <c r="E6601" t="s">
        <v>670</v>
      </c>
      <c r="F6601" t="s">
        <v>11027</v>
      </c>
      <c r="G6601" t="s">
        <v>181</v>
      </c>
      <c r="H6601" t="str">
        <f>"ΑΘΗΝΩΝ 34-36 ΞΑΝΘΗ"</f>
        <v>ΑΘΗΝΩΝ 34-36 ΞΑΝΘΗ</v>
      </c>
      <c r="I6601">
        <v>67100</v>
      </c>
      <c r="J6601">
        <v>2541027736</v>
      </c>
      <c r="K6601">
        <v>6932650040</v>
      </c>
      <c r="M6601" t="s">
        <v>11028</v>
      </c>
      <c r="N6601" t="s">
        <v>176</v>
      </c>
      <c r="O6601" t="s">
        <v>177</v>
      </c>
      <c r="R6601" t="s">
        <v>57</v>
      </c>
      <c r="S6601">
        <v>6</v>
      </c>
      <c r="T6601">
        <v>775</v>
      </c>
      <c r="U6601" s="1">
        <v>39680</v>
      </c>
      <c r="V6601" t="s">
        <v>80</v>
      </c>
      <c r="W6601" t="s">
        <v>81</v>
      </c>
      <c r="X6601" t="s">
        <v>58</v>
      </c>
      <c r="Y6601">
        <v>23</v>
      </c>
      <c r="Z6601" t="s">
        <v>59</v>
      </c>
      <c r="AA6601" t="s">
        <v>59</v>
      </c>
      <c r="AB6601" t="s">
        <v>59</v>
      </c>
      <c r="AC6601" t="s">
        <v>59</v>
      </c>
      <c r="AD6601" t="s">
        <v>59</v>
      </c>
      <c r="AF6601" s="1">
        <v>39681</v>
      </c>
      <c r="AG6601" t="s">
        <v>8645</v>
      </c>
      <c r="AH6601" t="s">
        <v>8646</v>
      </c>
      <c r="AI6601" t="str">
        <f>"9521411"</f>
        <v>9521411</v>
      </c>
      <c r="AJ6601" t="s">
        <v>9007</v>
      </c>
      <c r="AK6601">
        <v>2810824954</v>
      </c>
      <c r="AL6601" t="s">
        <v>9008</v>
      </c>
      <c r="AM6601" t="s">
        <v>78</v>
      </c>
      <c r="AN6601" t="s">
        <v>129</v>
      </c>
      <c r="AO6601" t="s">
        <v>130</v>
      </c>
      <c r="AP6601" t="s">
        <v>130</v>
      </c>
      <c r="AQ6601">
        <v>1</v>
      </c>
      <c r="AR6601" t="s">
        <v>80</v>
      </c>
      <c r="AS6601" t="s">
        <v>81</v>
      </c>
      <c r="AT6601" t="s">
        <v>58</v>
      </c>
      <c r="AU6601" t="s">
        <v>68</v>
      </c>
      <c r="AV6601" t="s">
        <v>69</v>
      </c>
      <c r="AW6601" s="1">
        <v>25025</v>
      </c>
      <c r="AX6601">
        <v>1</v>
      </c>
    </row>
    <row r="6602" spans="1:50">
      <c r="A6602">
        <v>580242</v>
      </c>
      <c r="B6602" t="str">
        <f>"037778835"</f>
        <v>037778835</v>
      </c>
      <c r="C6602" t="s">
        <v>50</v>
      </c>
      <c r="D6602" t="s">
        <v>3232</v>
      </c>
      <c r="E6602" t="s">
        <v>83</v>
      </c>
      <c r="F6602" t="s">
        <v>7506</v>
      </c>
      <c r="G6602" t="s">
        <v>52</v>
      </c>
      <c r="H6602" t="str">
        <f>"ΦΩΣΚΟΛΟΥ 24 ΗΡΑΚΛΕΙΟ"</f>
        <v>ΦΩΣΚΟΛΟΥ 24 ΗΡΑΚΛΕΙΟ</v>
      </c>
      <c r="I6602">
        <v>71409</v>
      </c>
      <c r="J6602">
        <v>2810232876</v>
      </c>
      <c r="K6602">
        <v>6979966719</v>
      </c>
      <c r="N6602" t="s">
        <v>176</v>
      </c>
      <c r="O6602" t="s">
        <v>177</v>
      </c>
      <c r="R6602" t="s">
        <v>57</v>
      </c>
      <c r="S6602">
        <v>13</v>
      </c>
      <c r="T6602">
        <v>166</v>
      </c>
      <c r="U6602" s="1">
        <v>35300</v>
      </c>
      <c r="V6602" t="s">
        <v>80</v>
      </c>
      <c r="W6602" t="s">
        <v>81</v>
      </c>
      <c r="X6602" t="s">
        <v>58</v>
      </c>
      <c r="Y6602">
        <v>21</v>
      </c>
      <c r="Z6602" t="s">
        <v>59</v>
      </c>
      <c r="AA6602" t="s">
        <v>59</v>
      </c>
      <c r="AB6602" t="s">
        <v>59</v>
      </c>
      <c r="AC6602" t="s">
        <v>59</v>
      </c>
      <c r="AD6602" t="s">
        <v>59</v>
      </c>
      <c r="AF6602" s="1">
        <v>35310</v>
      </c>
      <c r="AG6602" t="s">
        <v>8645</v>
      </c>
      <c r="AH6602" t="s">
        <v>8646</v>
      </c>
      <c r="AI6602" t="str">
        <f>"9170533"</f>
        <v>9170533</v>
      </c>
      <c r="AJ6602" t="s">
        <v>9091</v>
      </c>
      <c r="AK6602">
        <v>2810239434</v>
      </c>
      <c r="AL6602" t="s">
        <v>9092</v>
      </c>
      <c r="AM6602" t="s">
        <v>78</v>
      </c>
      <c r="AN6602" t="s">
        <v>78</v>
      </c>
      <c r="AO6602" t="s">
        <v>78</v>
      </c>
      <c r="AP6602" t="s">
        <v>163</v>
      </c>
      <c r="AQ6602">
        <v>1</v>
      </c>
      <c r="AR6602" t="s">
        <v>80</v>
      </c>
      <c r="AS6602" t="s">
        <v>81</v>
      </c>
      <c r="AT6602" t="s">
        <v>58</v>
      </c>
      <c r="AU6602" t="s">
        <v>68</v>
      </c>
      <c r="AV6602" t="s">
        <v>69</v>
      </c>
      <c r="AW6602" s="1">
        <v>24525</v>
      </c>
      <c r="AX6602">
        <v>1</v>
      </c>
    </row>
    <row r="6603" spans="1:50">
      <c r="B6603" t="str">
        <f>"127281054"</f>
        <v>127281054</v>
      </c>
      <c r="C6603" t="s">
        <v>50</v>
      </c>
      <c r="D6603" t="s">
        <v>3232</v>
      </c>
      <c r="E6603" t="s">
        <v>83</v>
      </c>
      <c r="F6603" t="s">
        <v>564</v>
      </c>
      <c r="G6603" t="s">
        <v>52</v>
      </c>
      <c r="H6603" t="str">
        <f>"ΛΟΧ. ΠΑΠΑΔΟΠΟΥΛΟΥ 15 "</f>
        <v xml:space="preserve">ΛΟΧ. ΠΑΠΑΔΟΠΟΥΛΟΥ 15 </v>
      </c>
      <c r="I6603">
        <v>58400</v>
      </c>
      <c r="J6603">
        <v>2384024589</v>
      </c>
      <c r="K6603">
        <v>6982223667</v>
      </c>
      <c r="N6603" t="s">
        <v>615</v>
      </c>
      <c r="O6603" t="s">
        <v>616</v>
      </c>
      <c r="R6603" t="s">
        <v>159</v>
      </c>
      <c r="S6603">
        <v>5</v>
      </c>
      <c r="T6603" t="s">
        <v>8675</v>
      </c>
      <c r="U6603" s="1">
        <v>43348</v>
      </c>
      <c r="V6603" t="s">
        <v>80</v>
      </c>
      <c r="W6603" t="s">
        <v>81</v>
      </c>
      <c r="X6603" t="s">
        <v>58</v>
      </c>
      <c r="Y6603">
        <v>25</v>
      </c>
      <c r="Z6603" t="s">
        <v>59</v>
      </c>
      <c r="AA6603" t="s">
        <v>59</v>
      </c>
      <c r="AB6603" t="s">
        <v>59</v>
      </c>
      <c r="AC6603" t="s">
        <v>59</v>
      </c>
      <c r="AD6603" t="s">
        <v>59</v>
      </c>
      <c r="AF6603" s="1">
        <v>43348</v>
      </c>
      <c r="AG6603" t="s">
        <v>8645</v>
      </c>
      <c r="AH6603" t="s">
        <v>8676</v>
      </c>
      <c r="AI6603" t="str">
        <f>"9170117"</f>
        <v>9170117</v>
      </c>
      <c r="AJ6603" t="s">
        <v>10918</v>
      </c>
      <c r="AK6603">
        <v>6974027903</v>
      </c>
      <c r="AL6603" t="s">
        <v>10919</v>
      </c>
      <c r="AM6603" t="s">
        <v>78</v>
      </c>
      <c r="AN6603" t="s">
        <v>78</v>
      </c>
      <c r="AO6603" t="s">
        <v>437</v>
      </c>
      <c r="AP6603" t="s">
        <v>10698</v>
      </c>
      <c r="AQ6603">
        <v>5</v>
      </c>
      <c r="AR6603" t="s">
        <v>80</v>
      </c>
      <c r="AS6603" t="s">
        <v>81</v>
      </c>
      <c r="AT6603" t="s">
        <v>58</v>
      </c>
      <c r="AU6603" t="s">
        <v>8673</v>
      </c>
      <c r="AV6603" t="s">
        <v>132</v>
      </c>
      <c r="AW6603" s="1">
        <v>32209</v>
      </c>
      <c r="AX6603">
        <v>1</v>
      </c>
    </row>
    <row r="6604" spans="1:50">
      <c r="A6604">
        <v>613198</v>
      </c>
      <c r="B6604" t="str">
        <f>"129176759"</f>
        <v>129176759</v>
      </c>
      <c r="C6604" t="s">
        <v>50</v>
      </c>
      <c r="D6604" t="s">
        <v>3232</v>
      </c>
      <c r="E6604" t="s">
        <v>1306</v>
      </c>
      <c r="F6604" t="s">
        <v>154</v>
      </c>
      <c r="G6604" t="s">
        <v>11029</v>
      </c>
      <c r="H6604" t="str">
        <f>"ΠΑΥΣΑΝΙΟΥ 1 ΗΡΑΚΛΕΙΟ"</f>
        <v>ΠΑΥΣΑΝΙΟΥ 1 ΗΡΑΚΛΕΙΟ</v>
      </c>
      <c r="I6604">
        <v>71305</v>
      </c>
      <c r="J6604">
        <v>2810370025</v>
      </c>
      <c r="K6604">
        <v>6934580027</v>
      </c>
      <c r="N6604" t="s">
        <v>615</v>
      </c>
      <c r="O6604" t="s">
        <v>616</v>
      </c>
      <c r="R6604" t="s">
        <v>57</v>
      </c>
      <c r="S6604">
        <v>6</v>
      </c>
      <c r="T6604">
        <v>598</v>
      </c>
      <c r="U6604" s="1">
        <v>39310</v>
      </c>
      <c r="V6604" t="s">
        <v>80</v>
      </c>
      <c r="W6604" t="s">
        <v>81</v>
      </c>
      <c r="X6604" t="s">
        <v>58</v>
      </c>
      <c r="Y6604">
        <v>23</v>
      </c>
      <c r="Z6604" t="s">
        <v>59</v>
      </c>
      <c r="AA6604" t="s">
        <v>59</v>
      </c>
      <c r="AB6604" t="s">
        <v>59</v>
      </c>
      <c r="AC6604" t="s">
        <v>59</v>
      </c>
      <c r="AD6604" t="s">
        <v>59</v>
      </c>
      <c r="AF6604" s="1">
        <v>39328</v>
      </c>
      <c r="AG6604" t="s">
        <v>8645</v>
      </c>
      <c r="AH6604" t="s">
        <v>8646</v>
      </c>
      <c r="AI6604" t="str">
        <f>"9170425"</f>
        <v>9170425</v>
      </c>
      <c r="AJ6604" t="s">
        <v>9350</v>
      </c>
      <c r="AK6604">
        <v>2810250261</v>
      </c>
      <c r="AL6604" t="s">
        <v>9351</v>
      </c>
      <c r="AM6604" t="s">
        <v>78</v>
      </c>
      <c r="AN6604" t="s">
        <v>78</v>
      </c>
      <c r="AO6604" t="s">
        <v>78</v>
      </c>
      <c r="AP6604" t="s">
        <v>141</v>
      </c>
      <c r="AQ6604">
        <v>1</v>
      </c>
      <c r="AR6604" t="s">
        <v>80</v>
      </c>
      <c r="AS6604" t="s">
        <v>81</v>
      </c>
      <c r="AT6604" t="s">
        <v>58</v>
      </c>
      <c r="AU6604" t="s">
        <v>68</v>
      </c>
      <c r="AV6604" t="s">
        <v>69</v>
      </c>
      <c r="AW6604" s="1">
        <v>30178</v>
      </c>
      <c r="AX6604">
        <v>1</v>
      </c>
    </row>
    <row r="6605" spans="1:50">
      <c r="B6605" t="str">
        <f>"150454691"</f>
        <v>150454691</v>
      </c>
      <c r="C6605" t="s">
        <v>50</v>
      </c>
      <c r="D6605" t="s">
        <v>3232</v>
      </c>
      <c r="E6605" t="s">
        <v>109</v>
      </c>
      <c r="F6605" t="s">
        <v>84</v>
      </c>
      <c r="G6605" t="s">
        <v>1068</v>
      </c>
      <c r="H6605" t="str">
        <f>"ΦΙΛΙΠΠΟΥ 14 ΠΟΛΙΧΝΗ ΘΕΣΣΑΛΟΝΙΚΗΣ"</f>
        <v>ΦΙΛΙΠΠΟΥ 14 ΠΟΛΙΧΝΗ ΘΕΣΣΑΛΟΝΙΚΗΣ</v>
      </c>
      <c r="I6605">
        <v>56533</v>
      </c>
      <c r="J6605">
        <v>2310608651</v>
      </c>
      <c r="K6605">
        <v>6975759017</v>
      </c>
      <c r="N6605" t="s">
        <v>615</v>
      </c>
      <c r="O6605" t="s">
        <v>616</v>
      </c>
      <c r="R6605" t="s">
        <v>159</v>
      </c>
      <c r="S6605">
        <v>2</v>
      </c>
      <c r="T6605" t="s">
        <v>8675</v>
      </c>
      <c r="U6605" s="1">
        <v>43348</v>
      </c>
      <c r="V6605" t="s">
        <v>80</v>
      </c>
      <c r="W6605" t="s">
        <v>81</v>
      </c>
      <c r="X6605" t="s">
        <v>58</v>
      </c>
      <c r="Y6605">
        <v>24</v>
      </c>
      <c r="Z6605" t="s">
        <v>59</v>
      </c>
      <c r="AA6605" t="s">
        <v>59</v>
      </c>
      <c r="AB6605" t="s">
        <v>59</v>
      </c>
      <c r="AC6605" t="s">
        <v>59</v>
      </c>
      <c r="AD6605" t="s">
        <v>59</v>
      </c>
      <c r="AF6605" s="1">
        <v>43348</v>
      </c>
      <c r="AG6605" t="s">
        <v>8645</v>
      </c>
      <c r="AH6605" t="s">
        <v>8646</v>
      </c>
      <c r="AI6605" t="str">
        <f>"9170097"</f>
        <v>9170097</v>
      </c>
      <c r="AJ6605" t="s">
        <v>8826</v>
      </c>
      <c r="AK6605">
        <v>2810751807</v>
      </c>
      <c r="AL6605" t="s">
        <v>8827</v>
      </c>
      <c r="AM6605" t="s">
        <v>78</v>
      </c>
      <c r="AN6605" t="s">
        <v>424</v>
      </c>
      <c r="AO6605" t="s">
        <v>425</v>
      </c>
      <c r="AP6605" t="s">
        <v>425</v>
      </c>
      <c r="AQ6605">
        <v>11</v>
      </c>
      <c r="AR6605" t="s">
        <v>80</v>
      </c>
      <c r="AS6605" t="s">
        <v>81</v>
      </c>
      <c r="AT6605" t="s">
        <v>58</v>
      </c>
      <c r="AU6605" t="s">
        <v>8673</v>
      </c>
      <c r="AV6605" t="s">
        <v>132</v>
      </c>
      <c r="AW6605" s="1">
        <v>32365</v>
      </c>
      <c r="AX6605">
        <v>1</v>
      </c>
    </row>
    <row r="6606" spans="1:50">
      <c r="B6606" t="str">
        <f>"120312179"</f>
        <v>120312179</v>
      </c>
      <c r="C6606" t="s">
        <v>50</v>
      </c>
      <c r="D6606" t="s">
        <v>3232</v>
      </c>
      <c r="E6606" t="s">
        <v>109</v>
      </c>
      <c r="F6606" t="s">
        <v>975</v>
      </c>
      <c r="G6606" t="s">
        <v>4695</v>
      </c>
      <c r="H6606" t="str">
        <f>"ΚΩΝΣΤΑΝΤΙΝΟΥΠΟΛΕΩΣ 112 "</f>
        <v xml:space="preserve">ΚΩΝΣΤΑΝΤΙΝΟΥΠΟΛΕΩΣ 112 </v>
      </c>
      <c r="I6606">
        <v>54642</v>
      </c>
      <c r="J6606">
        <v>2333081078</v>
      </c>
      <c r="K6606">
        <v>6977269404</v>
      </c>
      <c r="N6606" t="s">
        <v>1525</v>
      </c>
      <c r="O6606" t="s">
        <v>1526</v>
      </c>
      <c r="R6606" t="s">
        <v>159</v>
      </c>
      <c r="S6606">
        <v>4</v>
      </c>
      <c r="T6606" t="s">
        <v>8670</v>
      </c>
      <c r="U6606" s="1">
        <v>43348</v>
      </c>
      <c r="V6606" t="s">
        <v>80</v>
      </c>
      <c r="W6606" t="s">
        <v>81</v>
      </c>
      <c r="X6606" t="s">
        <v>58</v>
      </c>
      <c r="Y6606">
        <v>25</v>
      </c>
      <c r="Z6606" t="s">
        <v>59</v>
      </c>
      <c r="AA6606" t="s">
        <v>59</v>
      </c>
      <c r="AB6606" t="s">
        <v>59</v>
      </c>
      <c r="AC6606" t="s">
        <v>59</v>
      </c>
      <c r="AD6606" t="s">
        <v>59</v>
      </c>
      <c r="AF6606" s="1">
        <v>43348</v>
      </c>
      <c r="AG6606" t="s">
        <v>8651</v>
      </c>
      <c r="AH6606" t="s">
        <v>8652</v>
      </c>
      <c r="AI6606" t="str">
        <f>"9170337"</f>
        <v>9170337</v>
      </c>
      <c r="AJ6606" t="s">
        <v>10152</v>
      </c>
      <c r="AK6606">
        <v>2892053029</v>
      </c>
      <c r="AL6606" t="s">
        <v>10153</v>
      </c>
      <c r="AM6606" t="s">
        <v>78</v>
      </c>
      <c r="AN6606" t="s">
        <v>242</v>
      </c>
      <c r="AO6606" t="s">
        <v>349</v>
      </c>
      <c r="AP6606" t="s">
        <v>349</v>
      </c>
      <c r="AQ6606">
        <v>19</v>
      </c>
      <c r="AR6606" t="s">
        <v>80</v>
      </c>
      <c r="AS6606" t="s">
        <v>81</v>
      </c>
      <c r="AT6606" t="s">
        <v>58</v>
      </c>
      <c r="AU6606" t="s">
        <v>8673</v>
      </c>
      <c r="AV6606" t="s">
        <v>132</v>
      </c>
      <c r="AW6606" s="1">
        <v>30115</v>
      </c>
      <c r="AX6606">
        <v>1</v>
      </c>
    </row>
    <row r="6607" spans="1:50">
      <c r="B6607" t="str">
        <f>"114574083"</f>
        <v>114574083</v>
      </c>
      <c r="C6607" t="s">
        <v>50</v>
      </c>
      <c r="D6607" t="s">
        <v>3232</v>
      </c>
      <c r="E6607" t="s">
        <v>11030</v>
      </c>
      <c r="F6607" t="s">
        <v>108</v>
      </c>
      <c r="G6607" t="s">
        <v>396</v>
      </c>
      <c r="H6607" t="str">
        <f>"ΣΩΚΡΑΤΟΥΣ 4 ΗΡΑΚΛΕΙΟ"</f>
        <v>ΣΩΚΡΑΤΟΥΣ 4 ΗΡΑΚΛΕΙΟ</v>
      </c>
      <c r="J6607">
        <v>2810220670</v>
      </c>
      <c r="K6607">
        <v>6992218400</v>
      </c>
      <c r="N6607" t="s">
        <v>615</v>
      </c>
      <c r="O6607" t="s">
        <v>616</v>
      </c>
      <c r="R6607" t="s">
        <v>159</v>
      </c>
      <c r="S6607">
        <v>5</v>
      </c>
      <c r="T6607" t="s">
        <v>8675</v>
      </c>
      <c r="U6607" s="1">
        <v>43348</v>
      </c>
      <c r="V6607" t="s">
        <v>80</v>
      </c>
      <c r="W6607" t="s">
        <v>81</v>
      </c>
      <c r="X6607" t="s">
        <v>58</v>
      </c>
      <c r="Y6607">
        <v>24</v>
      </c>
      <c r="Z6607" t="s">
        <v>59</v>
      </c>
      <c r="AA6607" t="s">
        <v>59</v>
      </c>
      <c r="AB6607" t="s">
        <v>59</v>
      </c>
      <c r="AC6607" t="s">
        <v>59</v>
      </c>
      <c r="AD6607" t="s">
        <v>59</v>
      </c>
      <c r="AF6607" s="1">
        <v>43348</v>
      </c>
      <c r="AG6607" t="s">
        <v>8645</v>
      </c>
      <c r="AH6607" t="s">
        <v>8646</v>
      </c>
      <c r="AI6607" t="str">
        <f>"9170244"</f>
        <v>9170244</v>
      </c>
      <c r="AJ6607" t="s">
        <v>8933</v>
      </c>
      <c r="AK6607">
        <v>2897061213</v>
      </c>
      <c r="AL6607" t="s">
        <v>8934</v>
      </c>
      <c r="AM6607" t="s">
        <v>78</v>
      </c>
      <c r="AN6607" t="s">
        <v>219</v>
      </c>
      <c r="AO6607" t="s">
        <v>527</v>
      </c>
      <c r="AP6607" t="s">
        <v>528</v>
      </c>
      <c r="AQ6607">
        <v>8</v>
      </c>
      <c r="AR6607" t="s">
        <v>80</v>
      </c>
      <c r="AS6607" t="s">
        <v>81</v>
      </c>
      <c r="AT6607" t="s">
        <v>58</v>
      </c>
      <c r="AU6607" t="s">
        <v>8673</v>
      </c>
      <c r="AV6607" t="s">
        <v>132</v>
      </c>
      <c r="AW6607" s="1">
        <v>31932</v>
      </c>
      <c r="AX6607">
        <v>1</v>
      </c>
    </row>
    <row r="6608" spans="1:50">
      <c r="B6608" t="str">
        <f>"119756680"</f>
        <v>119756680</v>
      </c>
      <c r="C6608" t="s">
        <v>50</v>
      </c>
      <c r="D6608" t="s">
        <v>3232</v>
      </c>
      <c r="E6608" t="s">
        <v>1068</v>
      </c>
      <c r="F6608" t="s">
        <v>383</v>
      </c>
      <c r="G6608" t="s">
        <v>1279</v>
      </c>
      <c r="H6608" t="str">
        <f>"ΑΤΛΑΝΤΙΔΟΣ 52Β "</f>
        <v xml:space="preserve">ΑΤΛΑΝΤΙΔΟΣ 52Β </v>
      </c>
      <c r="I6608">
        <v>54454</v>
      </c>
      <c r="J6608">
        <v>2310929746</v>
      </c>
      <c r="K6608">
        <v>6973574034</v>
      </c>
      <c r="N6608" t="s">
        <v>1525</v>
      </c>
      <c r="O6608" t="s">
        <v>1526</v>
      </c>
      <c r="R6608" t="s">
        <v>159</v>
      </c>
      <c r="S6608">
        <v>3</v>
      </c>
      <c r="T6608" t="s">
        <v>8670</v>
      </c>
      <c r="U6608" s="1">
        <v>43348</v>
      </c>
      <c r="V6608" t="s">
        <v>80</v>
      </c>
      <c r="W6608" t="s">
        <v>81</v>
      </c>
      <c r="X6608" t="s">
        <v>58</v>
      </c>
      <c r="Y6608">
        <v>25</v>
      </c>
      <c r="Z6608" t="s">
        <v>59</v>
      </c>
      <c r="AA6608" t="s">
        <v>59</v>
      </c>
      <c r="AB6608" t="s">
        <v>59</v>
      </c>
      <c r="AC6608" t="s">
        <v>59</v>
      </c>
      <c r="AD6608" t="s">
        <v>59</v>
      </c>
      <c r="AF6608" s="1">
        <v>43348</v>
      </c>
      <c r="AG6608" t="s">
        <v>8651</v>
      </c>
      <c r="AH6608" t="s">
        <v>8652</v>
      </c>
      <c r="AI6608" t="str">
        <f>"9170448"</f>
        <v>9170448</v>
      </c>
      <c r="AJ6608" t="s">
        <v>10654</v>
      </c>
      <c r="AK6608">
        <v>2810315229</v>
      </c>
      <c r="AL6608" t="s">
        <v>10655</v>
      </c>
      <c r="AM6608" t="s">
        <v>78</v>
      </c>
      <c r="AN6608" t="s">
        <v>129</v>
      </c>
      <c r="AO6608" t="s">
        <v>130</v>
      </c>
      <c r="AP6608" t="s">
        <v>130</v>
      </c>
      <c r="AQ6608">
        <v>1</v>
      </c>
      <c r="AR6608" t="s">
        <v>80</v>
      </c>
      <c r="AS6608" t="s">
        <v>81</v>
      </c>
      <c r="AT6608" t="s">
        <v>58</v>
      </c>
      <c r="AU6608" t="s">
        <v>8673</v>
      </c>
      <c r="AV6608" t="s">
        <v>132</v>
      </c>
      <c r="AW6608" s="1">
        <v>29060</v>
      </c>
      <c r="AX6608">
        <v>1</v>
      </c>
    </row>
    <row r="6609" spans="1:50">
      <c r="A6609">
        <v>579271</v>
      </c>
      <c r="B6609" t="str">
        <f>"063141069"</f>
        <v>063141069</v>
      </c>
      <c r="C6609" t="s">
        <v>50</v>
      </c>
      <c r="D6609" t="s">
        <v>3232</v>
      </c>
      <c r="E6609" t="s">
        <v>1281</v>
      </c>
      <c r="F6609" t="s">
        <v>11031</v>
      </c>
      <c r="G6609" t="s">
        <v>610</v>
      </c>
      <c r="H6609" t="str">
        <f>"ΜΑΤΑΛΩΝ 6 ΗΡΑΚΛΕΙΟ"</f>
        <v>ΜΑΤΑΛΩΝ 6 ΗΡΑΚΛΕΙΟ</v>
      </c>
      <c r="I6609">
        <v>71304</v>
      </c>
      <c r="J6609">
        <v>2810263609</v>
      </c>
      <c r="K6609">
        <v>6945801953</v>
      </c>
      <c r="N6609" t="s">
        <v>615</v>
      </c>
      <c r="O6609" t="s">
        <v>616</v>
      </c>
      <c r="R6609" t="s">
        <v>57</v>
      </c>
      <c r="S6609">
        <v>11</v>
      </c>
      <c r="T6609">
        <v>165</v>
      </c>
      <c r="U6609" s="1">
        <v>35300</v>
      </c>
      <c r="V6609" t="s">
        <v>80</v>
      </c>
      <c r="W6609" t="s">
        <v>81</v>
      </c>
      <c r="X6609" t="s">
        <v>58</v>
      </c>
      <c r="Y6609">
        <v>21</v>
      </c>
      <c r="Z6609" t="s">
        <v>59</v>
      </c>
      <c r="AA6609" t="s">
        <v>59</v>
      </c>
      <c r="AB6609" t="s">
        <v>59</v>
      </c>
      <c r="AC6609" t="s">
        <v>59</v>
      </c>
      <c r="AD6609" t="s">
        <v>59</v>
      </c>
      <c r="AF6609" s="1">
        <v>35310</v>
      </c>
      <c r="AG6609" t="s">
        <v>8645</v>
      </c>
      <c r="AH6609" t="s">
        <v>8646</v>
      </c>
      <c r="AI6609" t="str">
        <f>"9170345"</f>
        <v>9170345</v>
      </c>
      <c r="AJ6609" t="s">
        <v>9429</v>
      </c>
      <c r="AK6609">
        <v>2810289563</v>
      </c>
      <c r="AL6609" t="s">
        <v>9430</v>
      </c>
      <c r="AM6609" t="s">
        <v>78</v>
      </c>
      <c r="AN6609" t="s">
        <v>78</v>
      </c>
      <c r="AO6609" t="s">
        <v>78</v>
      </c>
      <c r="AP6609" t="s">
        <v>79</v>
      </c>
      <c r="AQ6609">
        <v>1</v>
      </c>
      <c r="AR6609" t="s">
        <v>80</v>
      </c>
      <c r="AS6609" t="s">
        <v>81</v>
      </c>
      <c r="AT6609" t="s">
        <v>58</v>
      </c>
      <c r="AU6609" t="s">
        <v>68</v>
      </c>
      <c r="AV6609" t="s">
        <v>69</v>
      </c>
      <c r="AW6609" s="1">
        <v>24867</v>
      </c>
      <c r="AX6609">
        <v>1</v>
      </c>
    </row>
    <row r="6610" spans="1:50">
      <c r="A6610">
        <v>702703</v>
      </c>
      <c r="B6610" t="str">
        <f>"122079023"</f>
        <v>122079023</v>
      </c>
      <c r="C6610" t="s">
        <v>50</v>
      </c>
      <c r="D6610" t="s">
        <v>3232</v>
      </c>
      <c r="E6610" t="s">
        <v>181</v>
      </c>
      <c r="F6610" t="s">
        <v>1506</v>
      </c>
      <c r="G6610" t="s">
        <v>143</v>
      </c>
      <c r="H6610" t="str">
        <f>"ΘΕΟΔΩΡΟΥ ΖΙΑΚΑ 50 ΓΡΕΒΕΝΑ"</f>
        <v>ΘΕΟΔΩΡΟΥ ΖΙΑΚΑ 50 ΓΡΕΒΕΝΑ</v>
      </c>
      <c r="I6610">
        <v>51100</v>
      </c>
      <c r="J6610">
        <v>2462024652</v>
      </c>
      <c r="K6610">
        <v>6947423795</v>
      </c>
      <c r="M6610" t="s">
        <v>11032</v>
      </c>
      <c r="N6610" t="s">
        <v>1525</v>
      </c>
      <c r="O6610" t="s">
        <v>1526</v>
      </c>
      <c r="R6610" t="s">
        <v>57</v>
      </c>
      <c r="S6610">
        <v>4</v>
      </c>
      <c r="T6610">
        <v>772</v>
      </c>
      <c r="U6610" s="1">
        <v>40413</v>
      </c>
      <c r="V6610" t="s">
        <v>80</v>
      </c>
      <c r="W6610" t="s">
        <v>81</v>
      </c>
      <c r="X6610" t="s">
        <v>58</v>
      </c>
      <c r="Y6610">
        <v>25</v>
      </c>
      <c r="Z6610" t="s">
        <v>59</v>
      </c>
      <c r="AA6610" t="s">
        <v>59</v>
      </c>
      <c r="AB6610" t="s">
        <v>59</v>
      </c>
      <c r="AC6610" t="s">
        <v>59</v>
      </c>
      <c r="AD6610" t="s">
        <v>59</v>
      </c>
      <c r="AF6610" s="1">
        <v>40413</v>
      </c>
      <c r="AG6610" t="s">
        <v>8651</v>
      </c>
      <c r="AH6610" t="s">
        <v>8652</v>
      </c>
      <c r="AI6610" t="str">
        <f>"9170356"</f>
        <v>9170356</v>
      </c>
      <c r="AJ6610" t="s">
        <v>11017</v>
      </c>
      <c r="AK6610">
        <v>2897031698</v>
      </c>
      <c r="AL6610" t="s">
        <v>11018</v>
      </c>
      <c r="AM6610" t="s">
        <v>78</v>
      </c>
      <c r="AN6610" t="s">
        <v>219</v>
      </c>
      <c r="AO6610" t="s">
        <v>527</v>
      </c>
      <c r="AP6610" t="s">
        <v>527</v>
      </c>
      <c r="AQ6610">
        <v>8</v>
      </c>
      <c r="AR6610" t="s">
        <v>80</v>
      </c>
      <c r="AS6610" t="s">
        <v>81</v>
      </c>
      <c r="AT6610" t="s">
        <v>58</v>
      </c>
      <c r="AU6610" t="s">
        <v>68</v>
      </c>
      <c r="AV6610" t="s">
        <v>69</v>
      </c>
      <c r="AW6610" s="1">
        <v>28809</v>
      </c>
      <c r="AX6610">
        <v>1</v>
      </c>
    </row>
    <row r="6611" spans="1:50">
      <c r="A6611">
        <v>582486</v>
      </c>
      <c r="B6611" t="str">
        <f>"038839554"</f>
        <v>038839554</v>
      </c>
      <c r="C6611" t="s">
        <v>50</v>
      </c>
      <c r="D6611" t="s">
        <v>3232</v>
      </c>
      <c r="E6611" t="s">
        <v>181</v>
      </c>
      <c r="F6611" t="s">
        <v>108</v>
      </c>
      <c r="G6611" t="s">
        <v>112</v>
      </c>
      <c r="H6611" t="str">
        <f>"Γιάνναρη 6 Καλλιθέα"</f>
        <v>Γιάνναρη 6 Καλλιθέα</v>
      </c>
      <c r="J6611">
        <v>2810381803</v>
      </c>
      <c r="K6611">
        <v>6945263683</v>
      </c>
      <c r="M6611" t="s">
        <v>11033</v>
      </c>
      <c r="N6611" t="s">
        <v>615</v>
      </c>
      <c r="O6611" t="s">
        <v>616</v>
      </c>
      <c r="R6611" t="s">
        <v>57</v>
      </c>
      <c r="S6611">
        <v>11</v>
      </c>
      <c r="T6611">
        <v>179</v>
      </c>
      <c r="U6611" s="1">
        <v>35674</v>
      </c>
      <c r="V6611" t="s">
        <v>80</v>
      </c>
      <c r="W6611" t="s">
        <v>81</v>
      </c>
      <c r="X6611" t="s">
        <v>58</v>
      </c>
      <c r="Y6611">
        <v>21</v>
      </c>
      <c r="Z6611" t="s">
        <v>59</v>
      </c>
      <c r="AA6611" t="s">
        <v>59</v>
      </c>
      <c r="AB6611" t="s">
        <v>59</v>
      </c>
      <c r="AC6611" t="s">
        <v>59</v>
      </c>
      <c r="AD6611" t="s">
        <v>59</v>
      </c>
      <c r="AF6611" s="1">
        <v>35674</v>
      </c>
      <c r="AG6611" t="s">
        <v>8645</v>
      </c>
      <c r="AH6611" t="s">
        <v>8646</v>
      </c>
      <c r="AI6611" t="str">
        <f>"9170263"</f>
        <v>9170263</v>
      </c>
      <c r="AJ6611" t="s">
        <v>8942</v>
      </c>
      <c r="AK6611">
        <v>2810346939</v>
      </c>
      <c r="AL6611" t="s">
        <v>8943</v>
      </c>
      <c r="AM6611" t="s">
        <v>78</v>
      </c>
      <c r="AN6611" t="s">
        <v>78</v>
      </c>
      <c r="AO6611" t="s">
        <v>286</v>
      </c>
      <c r="AP6611" t="s">
        <v>286</v>
      </c>
      <c r="AQ6611">
        <v>1</v>
      </c>
      <c r="AR6611" t="s">
        <v>80</v>
      </c>
      <c r="AS6611" t="s">
        <v>81</v>
      </c>
      <c r="AT6611" t="s">
        <v>58</v>
      </c>
      <c r="AU6611" t="s">
        <v>68</v>
      </c>
      <c r="AV6611" t="s">
        <v>69</v>
      </c>
      <c r="AW6611" s="1">
        <v>24731</v>
      </c>
      <c r="AX6611">
        <v>1</v>
      </c>
    </row>
    <row r="6612" spans="1:50">
      <c r="B6612" t="str">
        <f>"151198897"</f>
        <v>151198897</v>
      </c>
      <c r="C6612" t="s">
        <v>50</v>
      </c>
      <c r="D6612" t="s">
        <v>3232</v>
      </c>
      <c r="E6612" t="s">
        <v>54</v>
      </c>
      <c r="F6612" t="s">
        <v>230</v>
      </c>
      <c r="G6612" t="s">
        <v>11034</v>
      </c>
      <c r="H6612" t="str">
        <f>"Αμπελιές Γιαννιτσά"</f>
        <v>Αμπελιές Γιαννιτσά</v>
      </c>
      <c r="I6612">
        <v>58100</v>
      </c>
      <c r="K6612">
        <v>6982528631</v>
      </c>
      <c r="N6612" t="s">
        <v>615</v>
      </c>
      <c r="O6612" t="s">
        <v>616</v>
      </c>
      <c r="R6612" t="s">
        <v>121</v>
      </c>
      <c r="S6612">
        <v>1</v>
      </c>
      <c r="T6612" t="s">
        <v>8675</v>
      </c>
      <c r="U6612" s="1">
        <v>43348</v>
      </c>
      <c r="V6612" t="s">
        <v>80</v>
      </c>
      <c r="W6612" t="s">
        <v>81</v>
      </c>
      <c r="X6612" t="s">
        <v>58</v>
      </c>
      <c r="Y6612">
        <v>24</v>
      </c>
      <c r="Z6612" t="s">
        <v>59</v>
      </c>
      <c r="AA6612" t="s">
        <v>59</v>
      </c>
      <c r="AB6612" t="s">
        <v>59</v>
      </c>
      <c r="AC6612" t="s">
        <v>59</v>
      </c>
      <c r="AD6612" t="s">
        <v>59</v>
      </c>
      <c r="AF6612" s="1">
        <v>43348</v>
      </c>
      <c r="AG6612" t="s">
        <v>8645</v>
      </c>
      <c r="AH6612" t="s">
        <v>8676</v>
      </c>
      <c r="AI6612" t="str">
        <f>"9170289"</f>
        <v>9170289</v>
      </c>
      <c r="AJ6612" t="s">
        <v>10734</v>
      </c>
      <c r="AK6612">
        <v>2892031220</v>
      </c>
      <c r="AL6612" t="s">
        <v>10735</v>
      </c>
      <c r="AM6612" t="s">
        <v>78</v>
      </c>
      <c r="AN6612" t="s">
        <v>405</v>
      </c>
      <c r="AO6612" t="s">
        <v>405</v>
      </c>
      <c r="AP6612" t="s">
        <v>10736</v>
      </c>
      <c r="AQ6612">
        <v>17</v>
      </c>
      <c r="AR6612" t="s">
        <v>80</v>
      </c>
      <c r="AS6612" t="s">
        <v>81</v>
      </c>
      <c r="AT6612" t="s">
        <v>58</v>
      </c>
      <c r="AU6612" t="s">
        <v>8673</v>
      </c>
      <c r="AV6612" t="s">
        <v>132</v>
      </c>
      <c r="AW6612" s="1">
        <v>32822</v>
      </c>
      <c r="AX6612">
        <v>1</v>
      </c>
    </row>
    <row r="6613" spans="1:50">
      <c r="A6613">
        <v>620739</v>
      </c>
      <c r="B6613" t="str">
        <f>"137338071"</f>
        <v>137338071</v>
      </c>
      <c r="C6613" t="s">
        <v>50</v>
      </c>
      <c r="D6613" t="s">
        <v>5262</v>
      </c>
      <c r="E6613" t="s">
        <v>155</v>
      </c>
      <c r="F6613" t="s">
        <v>72</v>
      </c>
      <c r="G6613" t="s">
        <v>11035</v>
      </c>
      <c r="H6613" t="str">
        <f>"ΚΝΩΣΣΟΥ 247 ΗΡΑΚΛΕΙΟ"</f>
        <v>ΚΝΩΣΣΟΥ 247 ΗΡΑΚΛΕΙΟ</v>
      </c>
      <c r="I6613">
        <v>71409</v>
      </c>
      <c r="J6613">
        <v>2814007155</v>
      </c>
      <c r="K6613">
        <v>6998425181</v>
      </c>
      <c r="L6613">
        <v>2310939446</v>
      </c>
      <c r="M6613" t="s">
        <v>9449</v>
      </c>
      <c r="N6613" t="s">
        <v>615</v>
      </c>
      <c r="O6613" t="s">
        <v>616</v>
      </c>
      <c r="R6613" t="s">
        <v>57</v>
      </c>
      <c r="S6613">
        <v>5</v>
      </c>
      <c r="T6613">
        <v>653</v>
      </c>
      <c r="U6613" s="1">
        <v>40043</v>
      </c>
      <c r="V6613" t="s">
        <v>80</v>
      </c>
      <c r="W6613" t="s">
        <v>81</v>
      </c>
      <c r="X6613" t="s">
        <v>58</v>
      </c>
      <c r="Y6613">
        <v>23</v>
      </c>
      <c r="Z6613" t="s">
        <v>59</v>
      </c>
      <c r="AA6613" t="s">
        <v>59</v>
      </c>
      <c r="AB6613" t="s">
        <v>59</v>
      </c>
      <c r="AC6613" t="s">
        <v>59</v>
      </c>
      <c r="AD6613" t="s">
        <v>59</v>
      </c>
      <c r="AF6613" s="1">
        <v>40043</v>
      </c>
      <c r="AG6613" t="s">
        <v>8645</v>
      </c>
      <c r="AH6613" t="s">
        <v>8646</v>
      </c>
      <c r="AI6613" t="str">
        <f>"9170192"</f>
        <v>9170192</v>
      </c>
      <c r="AJ6613" t="s">
        <v>8661</v>
      </c>
      <c r="AK6613">
        <v>2810231985</v>
      </c>
      <c r="AL6613" t="s">
        <v>8662</v>
      </c>
      <c r="AM6613" t="s">
        <v>78</v>
      </c>
      <c r="AN6613" t="s">
        <v>78</v>
      </c>
      <c r="AO6613" t="s">
        <v>78</v>
      </c>
      <c r="AP6613" t="s">
        <v>163</v>
      </c>
      <c r="AQ6613">
        <v>1</v>
      </c>
      <c r="AR6613" t="s">
        <v>80</v>
      </c>
      <c r="AS6613" t="s">
        <v>81</v>
      </c>
      <c r="AT6613" t="s">
        <v>58</v>
      </c>
      <c r="AU6613" t="s">
        <v>68</v>
      </c>
      <c r="AV6613" t="s">
        <v>69</v>
      </c>
      <c r="AW6613" s="1">
        <v>31374</v>
      </c>
      <c r="AX6613">
        <v>1</v>
      </c>
    </row>
    <row r="6614" spans="1:50">
      <c r="A6614">
        <v>607584</v>
      </c>
      <c r="B6614" t="str">
        <f>"114589190"</f>
        <v>114589190</v>
      </c>
      <c r="C6614" t="s">
        <v>50</v>
      </c>
      <c r="D6614" t="s">
        <v>11036</v>
      </c>
      <c r="E6614" t="s">
        <v>1713</v>
      </c>
      <c r="F6614" t="s">
        <v>95</v>
      </c>
      <c r="G6614" t="s">
        <v>215</v>
      </c>
      <c r="H6614" t="str">
        <f>"Μ. ΣΗΦΑΚΗ 22 ΗΡΑΚΛΕΙΟ"</f>
        <v>Μ. ΣΗΦΑΚΗ 22 ΗΡΑΚΛΕΙΟ</v>
      </c>
      <c r="I6614">
        <v>71409</v>
      </c>
      <c r="J6614">
        <v>2811111322</v>
      </c>
      <c r="K6614">
        <v>6944883049</v>
      </c>
      <c r="M6614" t="s">
        <v>11037</v>
      </c>
      <c r="N6614" t="s">
        <v>615</v>
      </c>
      <c r="O6614" t="s">
        <v>616</v>
      </c>
      <c r="R6614" t="s">
        <v>57</v>
      </c>
      <c r="S6614">
        <v>6</v>
      </c>
      <c r="T6614">
        <v>217</v>
      </c>
      <c r="U6614" s="1">
        <v>38596</v>
      </c>
      <c r="V6614" t="s">
        <v>80</v>
      </c>
      <c r="W6614" t="s">
        <v>81</v>
      </c>
      <c r="X6614" t="s">
        <v>58</v>
      </c>
      <c r="Y6614">
        <v>23</v>
      </c>
      <c r="Z6614" t="s">
        <v>59</v>
      </c>
      <c r="AA6614" t="s">
        <v>59</v>
      </c>
      <c r="AB6614" t="s">
        <v>59</v>
      </c>
      <c r="AC6614" t="s">
        <v>59</v>
      </c>
      <c r="AD6614" t="s">
        <v>59</v>
      </c>
      <c r="AF6614" s="1">
        <v>38600</v>
      </c>
      <c r="AG6614" t="s">
        <v>8645</v>
      </c>
      <c r="AH6614" t="s">
        <v>8646</v>
      </c>
      <c r="AI6614" t="str">
        <f>"9170427"</f>
        <v>9170427</v>
      </c>
      <c r="AJ6614" t="s">
        <v>8817</v>
      </c>
      <c r="AK6614">
        <v>2810220998</v>
      </c>
      <c r="AL6614" t="s">
        <v>8818</v>
      </c>
      <c r="AM6614" t="s">
        <v>78</v>
      </c>
      <c r="AN6614" t="s">
        <v>78</v>
      </c>
      <c r="AO6614" t="s">
        <v>286</v>
      </c>
      <c r="AP6614" t="s">
        <v>286</v>
      </c>
      <c r="AQ6614">
        <v>1</v>
      </c>
      <c r="AR6614" t="s">
        <v>80</v>
      </c>
      <c r="AS6614" t="s">
        <v>81</v>
      </c>
      <c r="AT6614" t="s">
        <v>58</v>
      </c>
      <c r="AU6614" t="s">
        <v>68</v>
      </c>
      <c r="AV6614" t="s">
        <v>69</v>
      </c>
      <c r="AW6614" s="1">
        <v>30312</v>
      </c>
      <c r="AX6614">
        <v>1</v>
      </c>
    </row>
    <row r="6615" spans="1:50">
      <c r="A6615">
        <v>216176</v>
      </c>
      <c r="B6615" t="str">
        <f>"119684250"</f>
        <v>119684250</v>
      </c>
      <c r="C6615" t="s">
        <v>50</v>
      </c>
      <c r="D6615" t="s">
        <v>3239</v>
      </c>
      <c r="E6615" t="s">
        <v>255</v>
      </c>
      <c r="F6615" t="s">
        <v>995</v>
      </c>
      <c r="G6615" t="s">
        <v>250</v>
      </c>
      <c r="H6615" t="str">
        <f>"ΜΟΝΗΣ ΤΟΠΛΟΥ 28 ΗΡΑΚΛΕΙΟ"</f>
        <v>ΜΟΝΗΣ ΤΟΠΛΟΥ 28 ΗΡΑΚΛΕΙΟ</v>
      </c>
      <c r="I6615">
        <v>71307</v>
      </c>
      <c r="J6615">
        <v>2810224988</v>
      </c>
      <c r="K6615">
        <v>6958459075</v>
      </c>
      <c r="L6615">
        <v>2810771037</v>
      </c>
      <c r="N6615" t="s">
        <v>204</v>
      </c>
      <c r="O6615" t="s">
        <v>205</v>
      </c>
      <c r="R6615" t="s">
        <v>57</v>
      </c>
      <c r="S6615">
        <v>6</v>
      </c>
      <c r="T6615">
        <v>232</v>
      </c>
      <c r="U6615" s="1">
        <v>38960</v>
      </c>
      <c r="V6615" t="s">
        <v>80</v>
      </c>
      <c r="W6615" t="s">
        <v>81</v>
      </c>
      <c r="X6615" t="s">
        <v>58</v>
      </c>
      <c r="Y6615">
        <v>23</v>
      </c>
      <c r="Z6615" t="s">
        <v>59</v>
      </c>
      <c r="AA6615" t="s">
        <v>59</v>
      </c>
      <c r="AB6615" t="s">
        <v>59</v>
      </c>
      <c r="AC6615" t="s">
        <v>59</v>
      </c>
      <c r="AD6615" t="s">
        <v>59</v>
      </c>
      <c r="AF6615" s="1">
        <v>38965</v>
      </c>
      <c r="AG6615" t="s">
        <v>8645</v>
      </c>
      <c r="AH6615" t="s">
        <v>8646</v>
      </c>
      <c r="AI6615" t="str">
        <f>"9170198"</f>
        <v>9170198</v>
      </c>
      <c r="AJ6615" t="s">
        <v>8665</v>
      </c>
      <c r="AK6615">
        <v>2810227379</v>
      </c>
      <c r="AL6615" t="s">
        <v>8666</v>
      </c>
      <c r="AM6615" t="s">
        <v>78</v>
      </c>
      <c r="AN6615" t="s">
        <v>78</v>
      </c>
      <c r="AO6615" t="s">
        <v>78</v>
      </c>
      <c r="AP6615" t="s">
        <v>79</v>
      </c>
      <c r="AQ6615">
        <v>1</v>
      </c>
      <c r="AR6615" t="s">
        <v>80</v>
      </c>
      <c r="AS6615" t="s">
        <v>81</v>
      </c>
      <c r="AT6615" t="s">
        <v>58</v>
      </c>
      <c r="AU6615" t="s">
        <v>68</v>
      </c>
      <c r="AV6615" t="s">
        <v>69</v>
      </c>
      <c r="AW6615" s="1">
        <v>30372</v>
      </c>
      <c r="AX6615">
        <v>1</v>
      </c>
    </row>
    <row r="6616" spans="1:50">
      <c r="A6616">
        <v>610189</v>
      </c>
      <c r="B6616" t="str">
        <f>"119295661"</f>
        <v>119295661</v>
      </c>
      <c r="C6616" t="s">
        <v>50</v>
      </c>
      <c r="D6616" t="s">
        <v>3239</v>
      </c>
      <c r="E6616" t="s">
        <v>366</v>
      </c>
      <c r="F6616" t="s">
        <v>230</v>
      </c>
      <c r="G6616" t="s">
        <v>1443</v>
      </c>
      <c r="H6616" t="str">
        <f>"ΤΥΜΠΑΚΙ "</f>
        <v xml:space="preserve">ΤΥΜΠΑΚΙ </v>
      </c>
      <c r="J6616">
        <v>2892052461</v>
      </c>
      <c r="K6616">
        <v>6944472722</v>
      </c>
      <c r="N6616" t="s">
        <v>615</v>
      </c>
      <c r="O6616" t="s">
        <v>616</v>
      </c>
      <c r="R6616" t="s">
        <v>57</v>
      </c>
      <c r="S6616">
        <v>7</v>
      </c>
      <c r="T6616" t="s">
        <v>11038</v>
      </c>
      <c r="U6616" s="1">
        <v>38960</v>
      </c>
      <c r="V6616" t="s">
        <v>80</v>
      </c>
      <c r="W6616" t="s">
        <v>81</v>
      </c>
      <c r="X6616" t="s">
        <v>58</v>
      </c>
      <c r="Y6616">
        <v>23</v>
      </c>
      <c r="Z6616" t="s">
        <v>59</v>
      </c>
      <c r="AA6616" t="s">
        <v>59</v>
      </c>
      <c r="AB6616" t="s">
        <v>59</v>
      </c>
      <c r="AC6616" t="s">
        <v>59</v>
      </c>
      <c r="AD6616" t="s">
        <v>59</v>
      </c>
      <c r="AF6616" s="1">
        <v>38961</v>
      </c>
      <c r="AG6616" t="s">
        <v>8645</v>
      </c>
      <c r="AH6616" t="s">
        <v>8646</v>
      </c>
      <c r="AI6616" t="str">
        <f>"9170339"</f>
        <v>9170339</v>
      </c>
      <c r="AJ6616" t="s">
        <v>9500</v>
      </c>
      <c r="AK6616">
        <v>2892051391</v>
      </c>
      <c r="AL6616" t="s">
        <v>9501</v>
      </c>
      <c r="AM6616" t="s">
        <v>78</v>
      </c>
      <c r="AN6616" t="s">
        <v>242</v>
      </c>
      <c r="AO6616" t="s">
        <v>349</v>
      </c>
      <c r="AP6616" t="s">
        <v>349</v>
      </c>
      <c r="AQ6616">
        <v>19</v>
      </c>
      <c r="AR6616" t="s">
        <v>80</v>
      </c>
      <c r="AS6616" t="s">
        <v>81</v>
      </c>
      <c r="AT6616" t="s">
        <v>58</v>
      </c>
      <c r="AU6616" t="s">
        <v>68</v>
      </c>
      <c r="AV6616" t="s">
        <v>69</v>
      </c>
      <c r="AW6616" s="1">
        <v>29038</v>
      </c>
      <c r="AX6616">
        <v>1</v>
      </c>
    </row>
    <row r="6617" spans="1:50">
      <c r="A6617">
        <v>618088</v>
      </c>
      <c r="B6617" t="str">
        <f>"132472916"</f>
        <v>132472916</v>
      </c>
      <c r="C6617" t="s">
        <v>50</v>
      </c>
      <c r="D6617" t="s">
        <v>3239</v>
      </c>
      <c r="E6617" t="s">
        <v>620</v>
      </c>
      <c r="F6617" t="s">
        <v>230</v>
      </c>
      <c r="G6617" t="s">
        <v>1443</v>
      </c>
      <c r="H6617" t="str">
        <f>"ΔΗΜΟΚΡΑΤΙΑΣ 15 ΑΛΕΞΑΝΔΡΟΥΠΟΛΗ-ΕΒΡΟΣ"</f>
        <v>ΔΗΜΟΚΡΑΤΙΑΣ 15 ΑΛΕΞΑΝΔΡΟΥΠΟΛΗ-ΕΒΡΟΣ</v>
      </c>
      <c r="I6617">
        <v>68100</v>
      </c>
      <c r="J6617">
        <v>2551039925</v>
      </c>
      <c r="K6617">
        <v>6945850215</v>
      </c>
      <c r="M6617" t="s">
        <v>11039</v>
      </c>
      <c r="N6617" t="s">
        <v>615</v>
      </c>
      <c r="O6617" t="s">
        <v>616</v>
      </c>
      <c r="R6617" t="s">
        <v>57</v>
      </c>
      <c r="S6617">
        <v>5</v>
      </c>
      <c r="T6617">
        <v>774</v>
      </c>
      <c r="U6617" s="1">
        <v>39680</v>
      </c>
      <c r="V6617" t="s">
        <v>80</v>
      </c>
      <c r="W6617" t="s">
        <v>81</v>
      </c>
      <c r="X6617" t="s">
        <v>58</v>
      </c>
      <c r="Y6617">
        <v>23</v>
      </c>
      <c r="Z6617" t="s">
        <v>59</v>
      </c>
      <c r="AA6617" t="s">
        <v>59</v>
      </c>
      <c r="AB6617" t="s">
        <v>59</v>
      </c>
      <c r="AC6617" t="s">
        <v>59</v>
      </c>
      <c r="AD6617" t="s">
        <v>59</v>
      </c>
      <c r="AF6617" s="1">
        <v>39681</v>
      </c>
      <c r="AG6617" t="s">
        <v>8645</v>
      </c>
      <c r="AH6617" t="s">
        <v>8646</v>
      </c>
      <c r="AI6617" t="str">
        <f>"9170339"</f>
        <v>9170339</v>
      </c>
      <c r="AJ6617" t="s">
        <v>9500</v>
      </c>
      <c r="AK6617">
        <v>2892051391</v>
      </c>
      <c r="AL6617" t="s">
        <v>9501</v>
      </c>
      <c r="AM6617" t="s">
        <v>78</v>
      </c>
      <c r="AN6617" t="s">
        <v>242</v>
      </c>
      <c r="AO6617" t="s">
        <v>349</v>
      </c>
      <c r="AP6617" t="s">
        <v>349</v>
      </c>
      <c r="AQ6617">
        <v>19</v>
      </c>
      <c r="AR6617" t="s">
        <v>80</v>
      </c>
      <c r="AS6617" t="s">
        <v>81</v>
      </c>
      <c r="AT6617" t="s">
        <v>58</v>
      </c>
      <c r="AU6617" t="s">
        <v>68</v>
      </c>
      <c r="AV6617" t="s">
        <v>69</v>
      </c>
      <c r="AW6617" s="1">
        <v>29972</v>
      </c>
      <c r="AX6617">
        <v>1</v>
      </c>
    </row>
    <row r="6618" spans="1:50">
      <c r="A6618">
        <v>600896</v>
      </c>
      <c r="B6618" t="str">
        <f>"103671930"</f>
        <v>103671930</v>
      </c>
      <c r="C6618" t="s">
        <v>50</v>
      </c>
      <c r="D6618" t="s">
        <v>11040</v>
      </c>
      <c r="E6618" t="s">
        <v>73</v>
      </c>
      <c r="F6618" t="s">
        <v>11041</v>
      </c>
      <c r="G6618" t="s">
        <v>52</v>
      </c>
      <c r="H6618" t="str">
        <f>"ΠΑΣΙΦΑΗΣ  1 ΣΚΑΛΑΝΙ  "</f>
        <v xml:space="preserve">ΠΑΣΙΦΑΗΣ  1 ΣΚΑΛΑΝΙ  </v>
      </c>
      <c r="I6618">
        <v>71500</v>
      </c>
      <c r="J6618">
        <v>2810731638</v>
      </c>
      <c r="K6618">
        <v>6984966493</v>
      </c>
      <c r="N6618" t="s">
        <v>615</v>
      </c>
      <c r="O6618" t="s">
        <v>616</v>
      </c>
      <c r="R6618" t="s">
        <v>57</v>
      </c>
      <c r="S6618">
        <v>8</v>
      </c>
      <c r="T6618">
        <v>207</v>
      </c>
      <c r="U6618" s="1">
        <v>37866</v>
      </c>
      <c r="V6618" t="s">
        <v>80</v>
      </c>
      <c r="W6618" t="s">
        <v>81</v>
      </c>
      <c r="X6618" t="s">
        <v>58</v>
      </c>
      <c r="Y6618">
        <v>22</v>
      </c>
      <c r="Z6618" t="s">
        <v>59</v>
      </c>
      <c r="AA6618" t="s">
        <v>59</v>
      </c>
      <c r="AB6618" t="s">
        <v>59</v>
      </c>
      <c r="AC6618" t="s">
        <v>59</v>
      </c>
      <c r="AD6618" t="s">
        <v>59</v>
      </c>
      <c r="AF6618" s="1">
        <v>37866</v>
      </c>
      <c r="AG6618" t="s">
        <v>8645</v>
      </c>
      <c r="AH6618" t="s">
        <v>8646</v>
      </c>
      <c r="AI6618" t="str">
        <f>"9170264"</f>
        <v>9170264</v>
      </c>
      <c r="AJ6618" t="s">
        <v>8718</v>
      </c>
      <c r="AK6618">
        <v>2810332030</v>
      </c>
      <c r="AL6618" t="s">
        <v>8719</v>
      </c>
      <c r="AM6618" t="s">
        <v>78</v>
      </c>
      <c r="AN6618" t="s">
        <v>78</v>
      </c>
      <c r="AO6618" t="s">
        <v>286</v>
      </c>
      <c r="AP6618" t="s">
        <v>286</v>
      </c>
      <c r="AQ6618">
        <v>1</v>
      </c>
      <c r="AR6618" t="s">
        <v>80</v>
      </c>
      <c r="AS6618" t="s">
        <v>81</v>
      </c>
      <c r="AT6618" t="s">
        <v>58</v>
      </c>
      <c r="AU6618" t="s">
        <v>68</v>
      </c>
      <c r="AV6618" t="s">
        <v>69</v>
      </c>
      <c r="AW6618" s="1">
        <v>26410</v>
      </c>
      <c r="AX6618">
        <v>1</v>
      </c>
    </row>
    <row r="6619" spans="1:50">
      <c r="A6619">
        <v>587553</v>
      </c>
      <c r="B6619" t="str">
        <f>"037546249"</f>
        <v>037546249</v>
      </c>
      <c r="C6619" t="s">
        <v>105</v>
      </c>
      <c r="D6619" t="s">
        <v>11042</v>
      </c>
      <c r="E6619" t="s">
        <v>1868</v>
      </c>
      <c r="F6619" t="s">
        <v>95</v>
      </c>
      <c r="G6619" t="s">
        <v>529</v>
      </c>
      <c r="H6619" t="str">
        <f>" "</f>
        <v xml:space="preserve"> </v>
      </c>
      <c r="N6619" t="s">
        <v>176</v>
      </c>
      <c r="O6619" t="s">
        <v>177</v>
      </c>
      <c r="R6619" t="s">
        <v>57</v>
      </c>
      <c r="S6619">
        <v>12</v>
      </c>
      <c r="T6619">
        <v>164</v>
      </c>
      <c r="U6619" s="1">
        <v>36040</v>
      </c>
      <c r="V6619" t="s">
        <v>80</v>
      </c>
      <c r="W6619" t="s">
        <v>81</v>
      </c>
      <c r="X6619" t="s">
        <v>58</v>
      </c>
      <c r="Y6619">
        <v>21</v>
      </c>
      <c r="Z6619" t="s">
        <v>59</v>
      </c>
      <c r="AA6619" t="s">
        <v>59</v>
      </c>
      <c r="AB6619" t="s">
        <v>59</v>
      </c>
      <c r="AC6619" t="s">
        <v>59</v>
      </c>
      <c r="AD6619" t="s">
        <v>59</v>
      </c>
      <c r="AF6619" s="1">
        <v>36045</v>
      </c>
      <c r="AG6619" t="s">
        <v>8645</v>
      </c>
      <c r="AH6619" t="s">
        <v>8646</v>
      </c>
      <c r="AI6619" t="str">
        <f>"9170191"</f>
        <v>9170191</v>
      </c>
      <c r="AJ6619" t="s">
        <v>8667</v>
      </c>
      <c r="AK6619">
        <v>2810231459</v>
      </c>
      <c r="AL6619" t="s">
        <v>8668</v>
      </c>
      <c r="AM6619" t="s">
        <v>78</v>
      </c>
      <c r="AN6619" t="s">
        <v>78</v>
      </c>
      <c r="AO6619" t="s">
        <v>78</v>
      </c>
      <c r="AP6619" t="s">
        <v>163</v>
      </c>
      <c r="AQ6619">
        <v>1</v>
      </c>
      <c r="AR6619" t="s">
        <v>80</v>
      </c>
      <c r="AS6619" t="s">
        <v>81</v>
      </c>
      <c r="AT6619" t="s">
        <v>58</v>
      </c>
      <c r="AU6619" t="s">
        <v>68</v>
      </c>
      <c r="AV6619" t="s">
        <v>69</v>
      </c>
      <c r="AW6619" s="1">
        <v>23914</v>
      </c>
      <c r="AX6619">
        <v>1</v>
      </c>
    </row>
    <row r="6620" spans="1:50">
      <c r="A6620">
        <v>618083</v>
      </c>
      <c r="B6620" t="str">
        <f>"068539777"</f>
        <v>068539777</v>
      </c>
      <c r="C6620" t="s">
        <v>50</v>
      </c>
      <c r="D6620" t="s">
        <v>3243</v>
      </c>
      <c r="E6620" t="s">
        <v>506</v>
      </c>
      <c r="F6620" t="s">
        <v>11043</v>
      </c>
      <c r="G6620" t="s">
        <v>553</v>
      </c>
      <c r="H6620" t="str">
        <f>"ΜΑΛΙΚΟΥΤΗ 10 ΗΡΑΚΛΕΙΟ"</f>
        <v>ΜΑΛΙΚΟΥΤΗ 10 ΗΡΑΚΛΕΙΟ</v>
      </c>
      <c r="I6620">
        <v>71202</v>
      </c>
      <c r="J6620">
        <v>2810341217</v>
      </c>
      <c r="K6620">
        <v>6946791274</v>
      </c>
      <c r="M6620" t="s">
        <v>11044</v>
      </c>
      <c r="N6620" t="s">
        <v>615</v>
      </c>
      <c r="O6620" t="s">
        <v>616</v>
      </c>
      <c r="R6620" t="s">
        <v>57</v>
      </c>
      <c r="S6620">
        <v>8</v>
      </c>
      <c r="T6620">
        <v>774</v>
      </c>
      <c r="U6620" s="1">
        <v>39680</v>
      </c>
      <c r="V6620" t="s">
        <v>80</v>
      </c>
      <c r="W6620" t="s">
        <v>81</v>
      </c>
      <c r="X6620" t="s">
        <v>58</v>
      </c>
      <c r="Y6620">
        <v>23</v>
      </c>
      <c r="Z6620" t="s">
        <v>59</v>
      </c>
      <c r="AA6620" t="s">
        <v>59</v>
      </c>
      <c r="AB6620" t="s">
        <v>59</v>
      </c>
      <c r="AC6620" t="s">
        <v>59</v>
      </c>
      <c r="AD6620" t="s">
        <v>59</v>
      </c>
      <c r="AF6620" s="1">
        <v>39685</v>
      </c>
      <c r="AG6620" t="s">
        <v>8645</v>
      </c>
      <c r="AH6620" t="s">
        <v>8646</v>
      </c>
      <c r="AI6620" t="str">
        <f>"9170198"</f>
        <v>9170198</v>
      </c>
      <c r="AJ6620" t="s">
        <v>8665</v>
      </c>
      <c r="AK6620">
        <v>2810227379</v>
      </c>
      <c r="AL6620" t="s">
        <v>8666</v>
      </c>
      <c r="AM6620" t="s">
        <v>78</v>
      </c>
      <c r="AN6620" t="s">
        <v>78</v>
      </c>
      <c r="AO6620" t="s">
        <v>78</v>
      </c>
      <c r="AP6620" t="s">
        <v>79</v>
      </c>
      <c r="AQ6620">
        <v>1</v>
      </c>
      <c r="AR6620" t="s">
        <v>80</v>
      </c>
      <c r="AS6620" t="s">
        <v>81</v>
      </c>
      <c r="AT6620" t="s">
        <v>58</v>
      </c>
      <c r="AU6620" t="s">
        <v>68</v>
      </c>
      <c r="AV6620" t="s">
        <v>69</v>
      </c>
      <c r="AW6620" s="1">
        <v>29331</v>
      </c>
      <c r="AX6620">
        <v>1</v>
      </c>
    </row>
    <row r="6621" spans="1:50">
      <c r="B6621" t="str">
        <f>"149741178"</f>
        <v>149741178</v>
      </c>
      <c r="C6621" t="s">
        <v>50</v>
      </c>
      <c r="D6621" t="s">
        <v>3243</v>
      </c>
      <c r="E6621" t="s">
        <v>1644</v>
      </c>
      <c r="F6621" t="s">
        <v>1316</v>
      </c>
      <c r="G6621" t="s">
        <v>1694</v>
      </c>
      <c r="H6621" t="str">
        <f>" "</f>
        <v xml:space="preserve"> </v>
      </c>
      <c r="M6621" t="s">
        <v>11045</v>
      </c>
      <c r="N6621" t="s">
        <v>8694</v>
      </c>
      <c r="O6621" t="s">
        <v>8695</v>
      </c>
      <c r="R6621" t="s">
        <v>159</v>
      </c>
      <c r="S6621">
        <v>1</v>
      </c>
      <c r="T6621" t="s">
        <v>8835</v>
      </c>
      <c r="U6621" s="1">
        <v>43348</v>
      </c>
      <c r="V6621" t="s">
        <v>80</v>
      </c>
      <c r="W6621" t="s">
        <v>81</v>
      </c>
      <c r="X6621" t="s">
        <v>58</v>
      </c>
      <c r="Y6621">
        <v>24</v>
      </c>
      <c r="Z6621" t="s">
        <v>59</v>
      </c>
      <c r="AA6621" t="s">
        <v>59</v>
      </c>
      <c r="AB6621" t="s">
        <v>59</v>
      </c>
      <c r="AD6621" t="s">
        <v>59</v>
      </c>
      <c r="AF6621" s="1">
        <v>43348</v>
      </c>
      <c r="AG6621" t="s">
        <v>8645</v>
      </c>
      <c r="AH6621" t="s">
        <v>8646</v>
      </c>
      <c r="AI6621" t="str">
        <f>"9521092"</f>
        <v>9521092</v>
      </c>
      <c r="AJ6621" t="s">
        <v>9234</v>
      </c>
      <c r="AK6621">
        <v>2810313321</v>
      </c>
      <c r="AL6621" t="s">
        <v>9235</v>
      </c>
      <c r="AM6621" t="s">
        <v>78</v>
      </c>
      <c r="AN6621" t="s">
        <v>78</v>
      </c>
      <c r="AO6621" t="s">
        <v>78</v>
      </c>
      <c r="AP6621" t="s">
        <v>141</v>
      </c>
      <c r="AQ6621">
        <v>1</v>
      </c>
      <c r="AR6621" t="s">
        <v>80</v>
      </c>
      <c r="AS6621" t="s">
        <v>81</v>
      </c>
      <c r="AT6621" t="s">
        <v>58</v>
      </c>
      <c r="AU6621" t="s">
        <v>131</v>
      </c>
      <c r="AV6621" t="s">
        <v>132</v>
      </c>
      <c r="AW6621" s="1">
        <v>34207</v>
      </c>
      <c r="AX6621">
        <v>1</v>
      </c>
    </row>
    <row r="6622" spans="1:50">
      <c r="B6622" t="str">
        <f>"144461980"</f>
        <v>144461980</v>
      </c>
      <c r="C6622" t="s">
        <v>50</v>
      </c>
      <c r="D6622" t="s">
        <v>3243</v>
      </c>
      <c r="E6622" t="s">
        <v>1068</v>
      </c>
      <c r="F6622" t="s">
        <v>450</v>
      </c>
      <c r="H6622" t="str">
        <f>" "</f>
        <v xml:space="preserve"> </v>
      </c>
      <c r="N6622" t="s">
        <v>8694</v>
      </c>
      <c r="O6622" t="s">
        <v>8695</v>
      </c>
      <c r="R6622" t="s">
        <v>159</v>
      </c>
      <c r="S6622">
        <v>2</v>
      </c>
      <c r="T6622" t="s">
        <v>8696</v>
      </c>
      <c r="U6622" s="1">
        <v>43348</v>
      </c>
      <c r="V6622" t="s">
        <v>80</v>
      </c>
      <c r="W6622" t="s">
        <v>81</v>
      </c>
      <c r="X6622" t="s">
        <v>58</v>
      </c>
      <c r="Y6622">
        <v>24</v>
      </c>
      <c r="Z6622" t="s">
        <v>59</v>
      </c>
      <c r="AA6622" t="s">
        <v>59</v>
      </c>
      <c r="AB6622" t="s">
        <v>59</v>
      </c>
      <c r="AC6622" t="s">
        <v>59</v>
      </c>
      <c r="AD6622" t="s">
        <v>59</v>
      </c>
      <c r="AF6622" s="1">
        <v>43348</v>
      </c>
      <c r="AG6622" t="s">
        <v>8645</v>
      </c>
      <c r="AH6622" t="s">
        <v>8646</v>
      </c>
      <c r="AI6622" t="str">
        <f>"9170144"</f>
        <v>9170144</v>
      </c>
      <c r="AJ6622" t="s">
        <v>8729</v>
      </c>
      <c r="AK6622">
        <v>2891022244</v>
      </c>
      <c r="AL6622" t="s">
        <v>8730</v>
      </c>
      <c r="AM6622" t="s">
        <v>78</v>
      </c>
      <c r="AN6622" t="s">
        <v>276</v>
      </c>
      <c r="AO6622" t="s">
        <v>490</v>
      </c>
      <c r="AP6622" t="s">
        <v>490</v>
      </c>
      <c r="AQ6622">
        <v>12</v>
      </c>
      <c r="AR6622" t="s">
        <v>80</v>
      </c>
      <c r="AS6622" t="s">
        <v>81</v>
      </c>
      <c r="AT6622" t="s">
        <v>58</v>
      </c>
      <c r="AU6622" t="s">
        <v>350</v>
      </c>
      <c r="AV6622" t="s">
        <v>132</v>
      </c>
      <c r="AW6622" s="1">
        <v>33189</v>
      </c>
      <c r="AX6622">
        <v>1</v>
      </c>
    </row>
    <row r="6623" spans="1:50">
      <c r="A6623">
        <v>622755</v>
      </c>
      <c r="B6623" t="str">
        <f>"100768929"</f>
        <v>100768929</v>
      </c>
      <c r="C6623" t="s">
        <v>50</v>
      </c>
      <c r="D6623" t="s">
        <v>3243</v>
      </c>
      <c r="E6623" t="s">
        <v>181</v>
      </c>
      <c r="F6623" t="s">
        <v>670</v>
      </c>
      <c r="G6623" t="s">
        <v>2194</v>
      </c>
      <c r="H6623" t="str">
        <f>"ΚΥΔΩΝΙΩΝ 57-63 ΑΘΗΝΑ"</f>
        <v>ΚΥΔΩΝΙΩΝ 57-63 ΑΘΗΝΑ</v>
      </c>
      <c r="I6623">
        <v>16232</v>
      </c>
      <c r="J6623">
        <v>2107644367</v>
      </c>
      <c r="K6623">
        <v>6982506888</v>
      </c>
      <c r="N6623" t="s">
        <v>1525</v>
      </c>
      <c r="O6623" t="s">
        <v>1526</v>
      </c>
      <c r="R6623" t="s">
        <v>57</v>
      </c>
      <c r="S6623">
        <v>7</v>
      </c>
      <c r="T6623">
        <v>653</v>
      </c>
      <c r="U6623" s="1">
        <v>40043</v>
      </c>
      <c r="V6623" t="s">
        <v>80</v>
      </c>
      <c r="W6623" t="s">
        <v>81</v>
      </c>
      <c r="X6623" t="s">
        <v>58</v>
      </c>
      <c r="Y6623">
        <v>25</v>
      </c>
      <c r="Z6623" t="s">
        <v>59</v>
      </c>
      <c r="AA6623" t="s">
        <v>59</v>
      </c>
      <c r="AB6623" t="s">
        <v>59</v>
      </c>
      <c r="AC6623" t="s">
        <v>59</v>
      </c>
      <c r="AD6623" t="s">
        <v>59</v>
      </c>
      <c r="AF6623" s="1">
        <v>40046</v>
      </c>
      <c r="AG6623" t="s">
        <v>8651</v>
      </c>
      <c r="AH6623" t="s">
        <v>8652</v>
      </c>
      <c r="AI6623" t="str">
        <f>"9170577"</f>
        <v>9170577</v>
      </c>
      <c r="AJ6623" t="s">
        <v>10592</v>
      </c>
      <c r="AK6623">
        <v>2810240478</v>
      </c>
      <c r="AL6623" t="s">
        <v>10593</v>
      </c>
      <c r="AM6623" t="s">
        <v>78</v>
      </c>
      <c r="AN6623" t="s">
        <v>78</v>
      </c>
      <c r="AO6623" t="s">
        <v>286</v>
      </c>
      <c r="AP6623" t="s">
        <v>286</v>
      </c>
      <c r="AQ6623">
        <v>1</v>
      </c>
      <c r="AR6623" t="s">
        <v>80</v>
      </c>
      <c r="AS6623" t="s">
        <v>81</v>
      </c>
      <c r="AT6623" t="s">
        <v>58</v>
      </c>
      <c r="AU6623" t="s">
        <v>68</v>
      </c>
      <c r="AV6623" t="s">
        <v>69</v>
      </c>
      <c r="AW6623" s="1">
        <v>29258</v>
      </c>
      <c r="AX6623">
        <v>1</v>
      </c>
    </row>
    <row r="6624" spans="1:50">
      <c r="A6624">
        <v>572307</v>
      </c>
      <c r="B6624" t="str">
        <f>"068133114"</f>
        <v>068133114</v>
      </c>
      <c r="C6624" t="s">
        <v>50</v>
      </c>
      <c r="D6624" t="s">
        <v>11046</v>
      </c>
      <c r="E6624" t="s">
        <v>155</v>
      </c>
      <c r="F6624" t="s">
        <v>95</v>
      </c>
      <c r="G6624" t="s">
        <v>476</v>
      </c>
      <c r="H6624" t="str">
        <f>" "</f>
        <v xml:space="preserve"> </v>
      </c>
      <c r="N6624" t="s">
        <v>306</v>
      </c>
      <c r="O6624" t="s">
        <v>307</v>
      </c>
      <c r="R6624" t="s">
        <v>57</v>
      </c>
      <c r="S6624">
        <v>12</v>
      </c>
      <c r="T6624">
        <v>154</v>
      </c>
      <c r="U6624" s="1">
        <v>34225</v>
      </c>
      <c r="V6624" t="s">
        <v>80</v>
      </c>
      <c r="W6624" t="s">
        <v>81</v>
      </c>
      <c r="X6624" t="s">
        <v>58</v>
      </c>
      <c r="Y6624">
        <v>21</v>
      </c>
      <c r="Z6624" t="s">
        <v>59</v>
      </c>
      <c r="AA6624" t="s">
        <v>59</v>
      </c>
      <c r="AB6624" t="s">
        <v>59</v>
      </c>
      <c r="AC6624" t="s">
        <v>59</v>
      </c>
      <c r="AD6624" t="s">
        <v>59</v>
      </c>
      <c r="AF6624" s="1">
        <v>34226</v>
      </c>
      <c r="AG6624" t="s">
        <v>8645</v>
      </c>
      <c r="AH6624" t="s">
        <v>8646</v>
      </c>
      <c r="AI6624" t="str">
        <f>"9170197"</f>
        <v>9170197</v>
      </c>
      <c r="AJ6624" t="s">
        <v>8989</v>
      </c>
      <c r="AK6624">
        <v>2810232577</v>
      </c>
      <c r="AL6624" t="s">
        <v>8990</v>
      </c>
      <c r="AM6624" t="s">
        <v>78</v>
      </c>
      <c r="AN6624" t="s">
        <v>78</v>
      </c>
      <c r="AO6624" t="s">
        <v>78</v>
      </c>
      <c r="AP6624" t="s">
        <v>163</v>
      </c>
      <c r="AQ6624">
        <v>1</v>
      </c>
      <c r="AR6624" t="s">
        <v>80</v>
      </c>
      <c r="AS6624" t="s">
        <v>81</v>
      </c>
      <c r="AT6624" t="s">
        <v>58</v>
      </c>
      <c r="AU6624" t="s">
        <v>68</v>
      </c>
      <c r="AV6624" t="s">
        <v>69</v>
      </c>
      <c r="AW6624" s="1">
        <v>23456</v>
      </c>
      <c r="AX6624">
        <v>1</v>
      </c>
    </row>
    <row r="6625" spans="1:50">
      <c r="A6625">
        <v>607755</v>
      </c>
      <c r="B6625" t="str">
        <f>"120070113"</f>
        <v>120070113</v>
      </c>
      <c r="C6625" t="s">
        <v>50</v>
      </c>
      <c r="D6625" t="s">
        <v>11047</v>
      </c>
      <c r="E6625" t="s">
        <v>112</v>
      </c>
      <c r="F6625" t="s">
        <v>995</v>
      </c>
      <c r="G6625" t="s">
        <v>714</v>
      </c>
      <c r="H6625" t="str">
        <f>"ΠΛΑΤΩΝΟΣ 7 ΚΙΛΚΙΣ"</f>
        <v>ΠΛΑΤΩΝΟΣ 7 ΚΙΛΚΙΣ</v>
      </c>
      <c r="I6625">
        <v>61100</v>
      </c>
      <c r="J6625">
        <v>2341023052</v>
      </c>
      <c r="K6625">
        <v>6993931704</v>
      </c>
      <c r="N6625" t="s">
        <v>615</v>
      </c>
      <c r="O6625" t="s">
        <v>616</v>
      </c>
      <c r="R6625" t="s">
        <v>57</v>
      </c>
      <c r="S6625">
        <v>6</v>
      </c>
      <c r="T6625">
        <v>217</v>
      </c>
      <c r="U6625" s="1">
        <v>38596</v>
      </c>
      <c r="V6625" t="s">
        <v>80</v>
      </c>
      <c r="W6625" t="s">
        <v>81</v>
      </c>
      <c r="X6625" t="s">
        <v>58</v>
      </c>
      <c r="Y6625">
        <v>23</v>
      </c>
      <c r="Z6625" t="s">
        <v>59</v>
      </c>
      <c r="AA6625" t="s">
        <v>59</v>
      </c>
      <c r="AB6625" t="s">
        <v>59</v>
      </c>
      <c r="AC6625" t="s">
        <v>59</v>
      </c>
      <c r="AD6625" t="s">
        <v>59</v>
      </c>
      <c r="AF6625" s="1">
        <v>38601</v>
      </c>
      <c r="AG6625" t="s">
        <v>8645</v>
      </c>
      <c r="AH6625" t="s">
        <v>8646</v>
      </c>
      <c r="AI6625" t="str">
        <f>"9170338"</f>
        <v>9170338</v>
      </c>
      <c r="AJ6625" t="s">
        <v>8849</v>
      </c>
      <c r="AK6625">
        <v>2892051377</v>
      </c>
      <c r="AL6625" t="s">
        <v>8850</v>
      </c>
      <c r="AM6625" t="s">
        <v>78</v>
      </c>
      <c r="AN6625" t="s">
        <v>242</v>
      </c>
      <c r="AO6625" t="s">
        <v>349</v>
      </c>
      <c r="AP6625" t="s">
        <v>349</v>
      </c>
      <c r="AQ6625">
        <v>19</v>
      </c>
      <c r="AR6625" t="s">
        <v>80</v>
      </c>
      <c r="AS6625" t="s">
        <v>81</v>
      </c>
      <c r="AT6625" t="s">
        <v>58</v>
      </c>
      <c r="AU6625" t="s">
        <v>68</v>
      </c>
      <c r="AV6625" t="s">
        <v>69</v>
      </c>
      <c r="AW6625" s="1">
        <v>30173</v>
      </c>
      <c r="AX6625">
        <v>1</v>
      </c>
    </row>
    <row r="6626" spans="1:50">
      <c r="A6626">
        <v>620047</v>
      </c>
      <c r="B6626" t="str">
        <f>"105424384"</f>
        <v>105424384</v>
      </c>
      <c r="C6626" t="s">
        <v>50</v>
      </c>
      <c r="D6626" t="s">
        <v>11048</v>
      </c>
      <c r="E6626" t="s">
        <v>181</v>
      </c>
      <c r="F6626" t="s">
        <v>72</v>
      </c>
      <c r="G6626" t="s">
        <v>910</v>
      </c>
      <c r="H6626" t="str">
        <f>"Τ.Θ. 23 ΕΒΡΟΣ"</f>
        <v>Τ.Θ. 23 ΕΒΡΟΣ</v>
      </c>
      <c r="I6626">
        <v>68200</v>
      </c>
      <c r="J6626">
        <v>2552026959</v>
      </c>
      <c r="K6626">
        <v>6946959616</v>
      </c>
      <c r="N6626" t="s">
        <v>176</v>
      </c>
      <c r="O6626" t="s">
        <v>177</v>
      </c>
      <c r="R6626" t="s">
        <v>57</v>
      </c>
      <c r="S6626">
        <v>6</v>
      </c>
      <c r="T6626">
        <v>775</v>
      </c>
      <c r="U6626" s="1">
        <v>39680</v>
      </c>
      <c r="V6626" t="s">
        <v>80</v>
      </c>
      <c r="W6626" t="s">
        <v>81</v>
      </c>
      <c r="X6626" t="s">
        <v>58</v>
      </c>
      <c r="Y6626">
        <v>23</v>
      </c>
      <c r="Z6626" t="s">
        <v>59</v>
      </c>
      <c r="AA6626" t="s">
        <v>59</v>
      </c>
      <c r="AB6626" t="s">
        <v>59</v>
      </c>
      <c r="AC6626" t="s">
        <v>59</v>
      </c>
      <c r="AD6626" t="s">
        <v>59</v>
      </c>
      <c r="AF6626" s="1">
        <v>39681</v>
      </c>
      <c r="AG6626" t="s">
        <v>8645</v>
      </c>
      <c r="AH6626" t="s">
        <v>8646</v>
      </c>
      <c r="AI6626" t="str">
        <f>"9170097"</f>
        <v>9170097</v>
      </c>
      <c r="AJ6626" t="s">
        <v>8826</v>
      </c>
      <c r="AK6626">
        <v>2810751807</v>
      </c>
      <c r="AL6626" t="s">
        <v>8827</v>
      </c>
      <c r="AM6626" t="s">
        <v>78</v>
      </c>
      <c r="AN6626" t="s">
        <v>424</v>
      </c>
      <c r="AO6626" t="s">
        <v>425</v>
      </c>
      <c r="AP6626" t="s">
        <v>425</v>
      </c>
      <c r="AQ6626">
        <v>11</v>
      </c>
      <c r="AR6626" t="s">
        <v>80</v>
      </c>
      <c r="AS6626" t="s">
        <v>81</v>
      </c>
      <c r="AT6626" t="s">
        <v>58</v>
      </c>
      <c r="AU6626" t="s">
        <v>68</v>
      </c>
      <c r="AV6626" t="s">
        <v>69</v>
      </c>
      <c r="AW6626" s="1">
        <v>25248</v>
      </c>
      <c r="AX6626">
        <v>1</v>
      </c>
    </row>
    <row r="6627" spans="1:50">
      <c r="A6627">
        <v>700005</v>
      </c>
      <c r="B6627" t="str">
        <f>"056242106"</f>
        <v>056242106</v>
      </c>
      <c r="C6627" t="s">
        <v>50</v>
      </c>
      <c r="D6627" t="s">
        <v>3253</v>
      </c>
      <c r="E6627" t="s">
        <v>83</v>
      </c>
      <c r="F6627" t="s">
        <v>84</v>
      </c>
      <c r="G6627" t="s">
        <v>11049</v>
      </c>
      <c r="H6627" t="str">
        <f>"ΜΑΧΗΣ ΚΡΗΤΗΣ 13 ΗΡΑΚΛΕΙΟ"</f>
        <v>ΜΑΧΗΣ ΚΡΗΤΗΣ 13 ΗΡΑΚΛΕΙΟ</v>
      </c>
      <c r="I6627">
        <v>71303</v>
      </c>
      <c r="J6627">
        <v>2810262409</v>
      </c>
      <c r="K6627">
        <v>6972440594</v>
      </c>
      <c r="N6627" t="s">
        <v>1525</v>
      </c>
      <c r="O6627" t="s">
        <v>1526</v>
      </c>
      <c r="R6627" t="s">
        <v>57</v>
      </c>
      <c r="S6627">
        <v>7</v>
      </c>
      <c r="T6627" t="s">
        <v>11050</v>
      </c>
      <c r="U6627" s="1">
        <v>40410</v>
      </c>
      <c r="V6627" t="s">
        <v>80</v>
      </c>
      <c r="W6627" t="s">
        <v>81</v>
      </c>
      <c r="X6627" t="s">
        <v>58</v>
      </c>
      <c r="Y6627">
        <v>25</v>
      </c>
      <c r="Z6627" t="s">
        <v>59</v>
      </c>
      <c r="AA6627" t="s">
        <v>59</v>
      </c>
      <c r="AB6627" t="s">
        <v>59</v>
      </c>
      <c r="AC6627" t="s">
        <v>59</v>
      </c>
      <c r="AD6627" t="s">
        <v>59</v>
      </c>
      <c r="AF6627" s="1">
        <v>40413</v>
      </c>
      <c r="AG6627" t="s">
        <v>8651</v>
      </c>
      <c r="AH6627" t="s">
        <v>8652</v>
      </c>
      <c r="AI6627" t="str">
        <f>"9170450"</f>
        <v>9170450</v>
      </c>
      <c r="AJ6627" t="s">
        <v>8731</v>
      </c>
      <c r="AK6627">
        <v>2810253661</v>
      </c>
      <c r="AL6627" t="s">
        <v>8732</v>
      </c>
      <c r="AM6627" t="s">
        <v>78</v>
      </c>
      <c r="AN6627" t="s">
        <v>78</v>
      </c>
      <c r="AO6627" t="s">
        <v>78</v>
      </c>
      <c r="AP6627" t="s">
        <v>79</v>
      </c>
      <c r="AQ6627">
        <v>1</v>
      </c>
      <c r="AR6627" t="s">
        <v>80</v>
      </c>
      <c r="AS6627" t="s">
        <v>81</v>
      </c>
      <c r="AT6627" t="s">
        <v>58</v>
      </c>
      <c r="AU6627" t="s">
        <v>68</v>
      </c>
      <c r="AV6627" t="s">
        <v>69</v>
      </c>
      <c r="AW6627" s="1">
        <v>27888</v>
      </c>
      <c r="AX6627">
        <v>1</v>
      </c>
    </row>
    <row r="6628" spans="1:50">
      <c r="B6628" t="str">
        <f>"114556981"</f>
        <v>114556981</v>
      </c>
      <c r="C6628" t="s">
        <v>50</v>
      </c>
      <c r="D6628" t="s">
        <v>3253</v>
      </c>
      <c r="E6628" t="s">
        <v>2314</v>
      </c>
      <c r="F6628" t="s">
        <v>166</v>
      </c>
      <c r="G6628" t="s">
        <v>620</v>
      </c>
      <c r="H6628" t="str">
        <f>"ΑΝΩ ΒΙΑΝΝΟΣ "</f>
        <v xml:space="preserve">ΑΝΩ ΒΙΑΝΝΟΣ </v>
      </c>
      <c r="I6628">
        <v>70004</v>
      </c>
      <c r="J6628">
        <v>2895022224</v>
      </c>
      <c r="K6628">
        <v>6932906406</v>
      </c>
      <c r="N6628" t="s">
        <v>615</v>
      </c>
      <c r="O6628" t="s">
        <v>616</v>
      </c>
      <c r="R6628" t="s">
        <v>159</v>
      </c>
      <c r="S6628">
        <v>3</v>
      </c>
      <c r="T6628" t="s">
        <v>8675</v>
      </c>
      <c r="U6628" s="1">
        <v>43348</v>
      </c>
      <c r="V6628" t="s">
        <v>80</v>
      </c>
      <c r="W6628" t="s">
        <v>81</v>
      </c>
      <c r="X6628" t="s">
        <v>58</v>
      </c>
      <c r="Y6628">
        <v>24</v>
      </c>
      <c r="Z6628" t="s">
        <v>59</v>
      </c>
      <c r="AA6628" t="s">
        <v>59</v>
      </c>
      <c r="AB6628" t="s">
        <v>59</v>
      </c>
      <c r="AC6628" t="s">
        <v>59</v>
      </c>
      <c r="AD6628" t="s">
        <v>59</v>
      </c>
      <c r="AF6628" s="1">
        <v>43348</v>
      </c>
      <c r="AG6628" t="s">
        <v>8645</v>
      </c>
      <c r="AH6628" t="s">
        <v>8646</v>
      </c>
      <c r="AI6628" t="str">
        <f>"9170191"</f>
        <v>9170191</v>
      </c>
      <c r="AJ6628" t="s">
        <v>8667</v>
      </c>
      <c r="AK6628">
        <v>2810231459</v>
      </c>
      <c r="AL6628" t="s">
        <v>8668</v>
      </c>
      <c r="AM6628" t="s">
        <v>78</v>
      </c>
      <c r="AN6628" t="s">
        <v>78</v>
      </c>
      <c r="AO6628" t="s">
        <v>78</v>
      </c>
      <c r="AP6628" t="s">
        <v>163</v>
      </c>
      <c r="AQ6628">
        <v>1</v>
      </c>
      <c r="AR6628" t="s">
        <v>80</v>
      </c>
      <c r="AS6628" t="s">
        <v>81</v>
      </c>
      <c r="AT6628" t="s">
        <v>58</v>
      </c>
      <c r="AU6628" t="s">
        <v>8673</v>
      </c>
      <c r="AV6628" t="s">
        <v>132</v>
      </c>
      <c r="AW6628" s="1">
        <v>29802</v>
      </c>
      <c r="AX6628">
        <v>1</v>
      </c>
    </row>
    <row r="6629" spans="1:50">
      <c r="A6629">
        <v>615574</v>
      </c>
      <c r="B6629" t="str">
        <f>"066107150"</f>
        <v>066107150</v>
      </c>
      <c r="C6629" t="s">
        <v>50</v>
      </c>
      <c r="D6629" t="s">
        <v>3257</v>
      </c>
      <c r="E6629" t="s">
        <v>215</v>
      </c>
      <c r="F6629" t="s">
        <v>84</v>
      </c>
      <c r="G6629" t="s">
        <v>52</v>
      </c>
      <c r="H6629" t="str">
        <f>"ΥΑΚΙΝΘΩΝ 6 ΗΡΑΚΛΕΙΟ"</f>
        <v>ΥΑΚΙΝΘΩΝ 6 ΗΡΑΚΛΕΙΟ</v>
      </c>
      <c r="I6629">
        <v>71409</v>
      </c>
      <c r="J6629">
        <v>2810239522</v>
      </c>
      <c r="K6629">
        <v>6944796544</v>
      </c>
      <c r="N6629" t="s">
        <v>1525</v>
      </c>
      <c r="O6629" t="s">
        <v>1526</v>
      </c>
      <c r="R6629" t="s">
        <v>57</v>
      </c>
      <c r="S6629">
        <v>6</v>
      </c>
      <c r="T6629">
        <v>598</v>
      </c>
      <c r="U6629" s="1">
        <v>39310</v>
      </c>
      <c r="V6629" t="s">
        <v>80</v>
      </c>
      <c r="W6629" t="s">
        <v>81</v>
      </c>
      <c r="X6629" t="s">
        <v>58</v>
      </c>
      <c r="Y6629">
        <v>25</v>
      </c>
      <c r="Z6629" t="s">
        <v>59</v>
      </c>
      <c r="AA6629" t="s">
        <v>59</v>
      </c>
      <c r="AB6629" t="s">
        <v>59</v>
      </c>
      <c r="AC6629" t="s">
        <v>59</v>
      </c>
      <c r="AD6629" t="s">
        <v>59</v>
      </c>
      <c r="AF6629" s="1">
        <v>39328</v>
      </c>
      <c r="AG6629" t="s">
        <v>8651</v>
      </c>
      <c r="AH6629" t="s">
        <v>8652</v>
      </c>
      <c r="AI6629" t="str">
        <f>"9170530"</f>
        <v>9170530</v>
      </c>
      <c r="AJ6629" t="s">
        <v>8900</v>
      </c>
      <c r="AK6629">
        <v>2810238562</v>
      </c>
      <c r="AL6629" t="s">
        <v>8901</v>
      </c>
      <c r="AM6629" t="s">
        <v>78</v>
      </c>
      <c r="AN6629" t="s">
        <v>78</v>
      </c>
      <c r="AO6629" t="s">
        <v>78</v>
      </c>
      <c r="AP6629" t="s">
        <v>79</v>
      </c>
      <c r="AQ6629">
        <v>1</v>
      </c>
      <c r="AR6629" t="s">
        <v>80</v>
      </c>
      <c r="AS6629" t="s">
        <v>81</v>
      </c>
      <c r="AT6629" t="s">
        <v>58</v>
      </c>
      <c r="AU6629" t="s">
        <v>68</v>
      </c>
      <c r="AV6629" t="s">
        <v>69</v>
      </c>
      <c r="AW6629" s="1">
        <v>26144</v>
      </c>
      <c r="AX6629">
        <v>1</v>
      </c>
    </row>
    <row r="6630" spans="1:50">
      <c r="A6630">
        <v>621573</v>
      </c>
      <c r="B6630" t="str">
        <f>"134863370"</f>
        <v>134863370</v>
      </c>
      <c r="C6630" t="s">
        <v>50</v>
      </c>
      <c r="D6630" t="s">
        <v>3259</v>
      </c>
      <c r="E6630" t="s">
        <v>143</v>
      </c>
      <c r="F6630" t="s">
        <v>99</v>
      </c>
      <c r="G6630" t="s">
        <v>314</v>
      </c>
      <c r="H6630" t="str">
        <f>"ΑΙΓΑΙΟΥ 8 - Ν.ΚΟΡΔΕΛΙΟ Ν.ΚΟΡΔΕΛΙΟ"</f>
        <v>ΑΙΓΑΙΟΥ 8 - Ν.ΚΟΡΔΕΛΙΟ Ν.ΚΟΡΔΕΛΙΟ</v>
      </c>
      <c r="I6630">
        <v>56334</v>
      </c>
      <c r="J6630">
        <v>2310558727</v>
      </c>
      <c r="K6630">
        <v>6947651105</v>
      </c>
      <c r="M6630" t="s">
        <v>11051</v>
      </c>
      <c r="N6630" t="s">
        <v>615</v>
      </c>
      <c r="O6630" t="s">
        <v>616</v>
      </c>
      <c r="R6630" t="s">
        <v>57</v>
      </c>
      <c r="S6630">
        <v>5</v>
      </c>
      <c r="T6630">
        <v>653</v>
      </c>
      <c r="U6630" s="1">
        <v>40043</v>
      </c>
      <c r="V6630" t="s">
        <v>80</v>
      </c>
      <c r="W6630" t="s">
        <v>81</v>
      </c>
      <c r="X6630" t="s">
        <v>58</v>
      </c>
      <c r="Y6630">
        <v>23</v>
      </c>
      <c r="Z6630" t="s">
        <v>59</v>
      </c>
      <c r="AA6630" t="s">
        <v>59</v>
      </c>
      <c r="AB6630" t="s">
        <v>59</v>
      </c>
      <c r="AC6630" t="s">
        <v>59</v>
      </c>
      <c r="AD6630" t="s">
        <v>59</v>
      </c>
      <c r="AF6630" s="1">
        <v>40043</v>
      </c>
      <c r="AG6630" t="s">
        <v>8645</v>
      </c>
      <c r="AH6630" t="s">
        <v>8646</v>
      </c>
      <c r="AI6630" t="str">
        <f>"9170194"</f>
        <v>9170194</v>
      </c>
      <c r="AJ6630" t="s">
        <v>8768</v>
      </c>
      <c r="AK6630">
        <v>2810239611</v>
      </c>
      <c r="AL6630" t="s">
        <v>8769</v>
      </c>
      <c r="AM6630" t="s">
        <v>78</v>
      </c>
      <c r="AN6630" t="s">
        <v>78</v>
      </c>
      <c r="AO6630" t="s">
        <v>78</v>
      </c>
      <c r="AP6630" t="s">
        <v>213</v>
      </c>
      <c r="AQ6630">
        <v>1</v>
      </c>
      <c r="AR6630" t="s">
        <v>80</v>
      </c>
      <c r="AS6630" t="s">
        <v>81</v>
      </c>
      <c r="AT6630" t="s">
        <v>58</v>
      </c>
      <c r="AU6630" t="s">
        <v>68</v>
      </c>
      <c r="AV6630" t="s">
        <v>69</v>
      </c>
      <c r="AW6630" s="1">
        <v>30958</v>
      </c>
      <c r="AX6630">
        <v>1</v>
      </c>
    </row>
    <row r="6631" spans="1:50">
      <c r="A6631">
        <v>704049</v>
      </c>
      <c r="B6631" t="str">
        <f>"126781493"</f>
        <v>126781493</v>
      </c>
      <c r="C6631" t="s">
        <v>50</v>
      </c>
      <c r="D6631" t="s">
        <v>3259</v>
      </c>
      <c r="E6631" t="s">
        <v>1418</v>
      </c>
      <c r="F6631" t="s">
        <v>230</v>
      </c>
      <c r="G6631" t="s">
        <v>52</v>
      </c>
      <c r="H6631" t="str">
        <f>"Γεωργίου Ορφανού 4 Κορώνη Μαγαρά"</f>
        <v>Γεωργίου Ορφανού 4 Κορώνη Μαγαρά</v>
      </c>
      <c r="I6631">
        <v>71305</v>
      </c>
      <c r="K6631">
        <v>6972815163</v>
      </c>
      <c r="M6631" t="s">
        <v>11052</v>
      </c>
      <c r="N6631" t="s">
        <v>306</v>
      </c>
      <c r="O6631" t="s">
        <v>307</v>
      </c>
      <c r="R6631" t="s">
        <v>57</v>
      </c>
      <c r="S6631">
        <v>3</v>
      </c>
      <c r="T6631">
        <v>1350</v>
      </c>
      <c r="U6631" s="1">
        <v>42732</v>
      </c>
      <c r="V6631" t="s">
        <v>80</v>
      </c>
      <c r="W6631" t="s">
        <v>81</v>
      </c>
      <c r="X6631" t="s">
        <v>58</v>
      </c>
      <c r="Y6631">
        <v>24</v>
      </c>
      <c r="Z6631" t="s">
        <v>59</v>
      </c>
      <c r="AA6631" t="s">
        <v>59</v>
      </c>
      <c r="AB6631" t="s">
        <v>59</v>
      </c>
      <c r="AC6631" t="s">
        <v>59</v>
      </c>
      <c r="AD6631" t="s">
        <v>59</v>
      </c>
      <c r="AF6631" s="1">
        <v>42734</v>
      </c>
      <c r="AG6631" t="s">
        <v>8645</v>
      </c>
      <c r="AH6631" t="s">
        <v>8646</v>
      </c>
      <c r="AI6631" t="str">
        <f>"9170061"</f>
        <v>9170061</v>
      </c>
      <c r="AJ6631" t="s">
        <v>8869</v>
      </c>
      <c r="AK6631">
        <v>2810791254</v>
      </c>
      <c r="AL6631" t="s">
        <v>8870</v>
      </c>
      <c r="AM6631" t="s">
        <v>78</v>
      </c>
      <c r="AN6631" t="s">
        <v>78</v>
      </c>
      <c r="AO6631" t="s">
        <v>78</v>
      </c>
      <c r="AP6631" t="s">
        <v>8871</v>
      </c>
      <c r="AQ6631">
        <v>3</v>
      </c>
      <c r="AR6631" t="s">
        <v>80</v>
      </c>
      <c r="AS6631" t="s">
        <v>81</v>
      </c>
      <c r="AT6631" t="s">
        <v>58</v>
      </c>
      <c r="AU6631" t="s">
        <v>68</v>
      </c>
      <c r="AV6631" t="s">
        <v>69</v>
      </c>
      <c r="AW6631" s="1">
        <v>30930</v>
      </c>
      <c r="AX6631">
        <v>1</v>
      </c>
    </row>
    <row r="6632" spans="1:50">
      <c r="A6632">
        <v>596560</v>
      </c>
      <c r="B6632" t="str">
        <f>"058603606"</f>
        <v>058603606</v>
      </c>
      <c r="C6632" t="s">
        <v>105</v>
      </c>
      <c r="D6632" t="s">
        <v>3259</v>
      </c>
      <c r="E6632" t="s">
        <v>53</v>
      </c>
      <c r="F6632" t="s">
        <v>99</v>
      </c>
      <c r="G6632" t="s">
        <v>1644</v>
      </c>
      <c r="H6632" t="str">
        <f>"ΜΑΤΘΑΙΑΚΗ 4Β ΗΡΑΚΛΕΙΟ"</f>
        <v>ΜΑΤΘΑΙΑΚΗ 4Β ΗΡΑΚΛΕΙΟ</v>
      </c>
      <c r="I6632">
        <v>71305</v>
      </c>
      <c r="J6632">
        <v>2810222517</v>
      </c>
      <c r="K6632">
        <v>6932608842</v>
      </c>
      <c r="N6632" t="s">
        <v>615</v>
      </c>
      <c r="O6632" t="s">
        <v>616</v>
      </c>
      <c r="P6632" t="s">
        <v>74</v>
      </c>
      <c r="Q6632" t="s">
        <v>75</v>
      </c>
      <c r="R6632" t="s">
        <v>57</v>
      </c>
      <c r="S6632">
        <v>10</v>
      </c>
      <c r="T6632">
        <v>195</v>
      </c>
      <c r="U6632" s="1">
        <v>37497</v>
      </c>
      <c r="V6632" t="s">
        <v>80</v>
      </c>
      <c r="W6632" t="s">
        <v>81</v>
      </c>
      <c r="X6632" t="s">
        <v>58</v>
      </c>
      <c r="Y6632">
        <v>21</v>
      </c>
      <c r="Z6632" t="s">
        <v>59</v>
      </c>
      <c r="AA6632" t="s">
        <v>59</v>
      </c>
      <c r="AB6632" t="s">
        <v>59</v>
      </c>
      <c r="AC6632" t="s">
        <v>59</v>
      </c>
      <c r="AD6632" t="s">
        <v>59</v>
      </c>
      <c r="AF6632" s="1">
        <v>37501</v>
      </c>
      <c r="AG6632" t="s">
        <v>8645</v>
      </c>
      <c r="AH6632" t="s">
        <v>8697</v>
      </c>
      <c r="AI6632" t="str">
        <f>"9170511"</f>
        <v>9170511</v>
      </c>
      <c r="AJ6632" t="s">
        <v>8698</v>
      </c>
      <c r="AK6632">
        <v>2810316275</v>
      </c>
      <c r="AL6632" t="s">
        <v>8699</v>
      </c>
      <c r="AM6632" t="s">
        <v>78</v>
      </c>
      <c r="AN6632" t="s">
        <v>78</v>
      </c>
      <c r="AO6632" t="s">
        <v>78</v>
      </c>
      <c r="AP6632" t="s">
        <v>141</v>
      </c>
      <c r="AQ6632">
        <v>1</v>
      </c>
      <c r="AR6632" t="s">
        <v>80</v>
      </c>
      <c r="AS6632" t="s">
        <v>81</v>
      </c>
      <c r="AT6632" t="s">
        <v>58</v>
      </c>
      <c r="AU6632" t="s">
        <v>68</v>
      </c>
      <c r="AV6632" t="s">
        <v>69</v>
      </c>
      <c r="AW6632" s="1">
        <v>24323</v>
      </c>
      <c r="AX6632">
        <v>1</v>
      </c>
    </row>
    <row r="6633" spans="1:50">
      <c r="B6633" t="str">
        <f>"108540548"</f>
        <v>108540548</v>
      </c>
      <c r="C6633" t="s">
        <v>105</v>
      </c>
      <c r="D6633" t="s">
        <v>3259</v>
      </c>
      <c r="E6633" t="s">
        <v>450</v>
      </c>
      <c r="F6633" t="s">
        <v>53</v>
      </c>
      <c r="G6633" t="s">
        <v>83</v>
      </c>
      <c r="H6633" t="str">
        <f t="shared" ref="H6633:H6638" si="5">" "</f>
        <v xml:space="preserve"> </v>
      </c>
      <c r="N6633" t="s">
        <v>615</v>
      </c>
      <c r="O6633" t="s">
        <v>616</v>
      </c>
      <c r="R6633" t="s">
        <v>159</v>
      </c>
      <c r="S6633">
        <v>1</v>
      </c>
      <c r="T6633" t="s">
        <v>8675</v>
      </c>
      <c r="U6633" s="1">
        <v>43348</v>
      </c>
      <c r="V6633" t="s">
        <v>80</v>
      </c>
      <c r="W6633" t="s">
        <v>81</v>
      </c>
      <c r="X6633" t="s">
        <v>58</v>
      </c>
      <c r="Y6633">
        <v>24</v>
      </c>
      <c r="Z6633" t="s">
        <v>59</v>
      </c>
      <c r="AA6633" t="s">
        <v>59</v>
      </c>
      <c r="AB6633" t="s">
        <v>59</v>
      </c>
      <c r="AD6633" t="s">
        <v>59</v>
      </c>
      <c r="AF6633" s="1">
        <v>43348</v>
      </c>
      <c r="AG6633" t="s">
        <v>8645</v>
      </c>
      <c r="AH6633" t="s">
        <v>8646</v>
      </c>
      <c r="AI6633" t="str">
        <f>"9170285"</f>
        <v>9170285</v>
      </c>
      <c r="AJ6633" t="s">
        <v>9186</v>
      </c>
      <c r="AK6633">
        <v>2894031223</v>
      </c>
      <c r="AL6633" t="s">
        <v>9187</v>
      </c>
      <c r="AM6633" t="s">
        <v>78</v>
      </c>
      <c r="AN6633" t="s">
        <v>242</v>
      </c>
      <c r="AO6633" t="s">
        <v>999</v>
      </c>
      <c r="AP6633" t="s">
        <v>999</v>
      </c>
      <c r="AQ6633">
        <v>21</v>
      </c>
      <c r="AR6633" t="s">
        <v>80</v>
      </c>
      <c r="AS6633" t="s">
        <v>81</v>
      </c>
      <c r="AT6633" t="s">
        <v>58</v>
      </c>
      <c r="AU6633" t="s">
        <v>8673</v>
      </c>
      <c r="AV6633" t="s">
        <v>132</v>
      </c>
      <c r="AW6633" s="1">
        <v>28959</v>
      </c>
      <c r="AX6633">
        <v>1</v>
      </c>
    </row>
    <row r="6634" spans="1:50">
      <c r="B6634" t="str">
        <f>"127597859"</f>
        <v>127597859</v>
      </c>
      <c r="C6634" t="s">
        <v>50</v>
      </c>
      <c r="D6634" t="s">
        <v>11053</v>
      </c>
      <c r="E6634" t="s">
        <v>11054</v>
      </c>
      <c r="F6634" t="s">
        <v>95</v>
      </c>
      <c r="H6634" t="str">
        <f t="shared" si="5"/>
        <v xml:space="preserve"> </v>
      </c>
      <c r="K6634">
        <v>6977985802</v>
      </c>
      <c r="N6634" t="s">
        <v>384</v>
      </c>
      <c r="O6634" t="s">
        <v>385</v>
      </c>
      <c r="R6634" t="s">
        <v>159</v>
      </c>
      <c r="S6634">
        <v>2</v>
      </c>
      <c r="T6634" t="s">
        <v>8675</v>
      </c>
      <c r="U6634" s="1">
        <v>43348</v>
      </c>
      <c r="V6634" t="s">
        <v>80</v>
      </c>
      <c r="W6634" t="s">
        <v>81</v>
      </c>
      <c r="X6634" t="s">
        <v>58</v>
      </c>
      <c r="Y6634">
        <v>24</v>
      </c>
      <c r="Z6634" t="s">
        <v>59</v>
      </c>
      <c r="AA6634" t="s">
        <v>59</v>
      </c>
      <c r="AB6634" t="s">
        <v>59</v>
      </c>
      <c r="AC6634" t="s">
        <v>59</v>
      </c>
      <c r="AD6634" t="s">
        <v>59</v>
      </c>
      <c r="AF6634" s="1">
        <v>43348</v>
      </c>
      <c r="AG6634" t="s">
        <v>8645</v>
      </c>
      <c r="AH6634" t="s">
        <v>8646</v>
      </c>
      <c r="AI6634" t="str">
        <f>"9170091"</f>
        <v>9170091</v>
      </c>
      <c r="AJ6634" t="s">
        <v>8764</v>
      </c>
      <c r="AK6634">
        <v>2810741381</v>
      </c>
      <c r="AL6634" t="s">
        <v>8765</v>
      </c>
      <c r="AM6634" t="s">
        <v>78</v>
      </c>
      <c r="AN6634" t="s">
        <v>424</v>
      </c>
      <c r="AO6634" t="s">
        <v>428</v>
      </c>
      <c r="AP6634" t="s">
        <v>8766</v>
      </c>
      <c r="AQ6634">
        <v>11</v>
      </c>
      <c r="AR6634" t="s">
        <v>80</v>
      </c>
      <c r="AS6634" t="s">
        <v>81</v>
      </c>
      <c r="AT6634" t="s">
        <v>58</v>
      </c>
      <c r="AU6634" t="s">
        <v>8673</v>
      </c>
      <c r="AV6634" t="s">
        <v>132</v>
      </c>
      <c r="AW6634" s="1">
        <v>30279</v>
      </c>
      <c r="AX6634">
        <v>1</v>
      </c>
    </row>
    <row r="6635" spans="1:50">
      <c r="B6635" t="str">
        <f>"146231683"</f>
        <v>146231683</v>
      </c>
      <c r="C6635" t="s">
        <v>50</v>
      </c>
      <c r="D6635" t="s">
        <v>11055</v>
      </c>
      <c r="E6635" t="s">
        <v>11056</v>
      </c>
      <c r="F6635" t="s">
        <v>166</v>
      </c>
      <c r="G6635" t="s">
        <v>52</v>
      </c>
      <c r="H6635" t="str">
        <f t="shared" si="5"/>
        <v xml:space="preserve"> </v>
      </c>
      <c r="N6635" t="s">
        <v>683</v>
      </c>
      <c r="O6635" t="s">
        <v>684</v>
      </c>
      <c r="R6635" t="s">
        <v>121</v>
      </c>
      <c r="S6635">
        <v>1</v>
      </c>
      <c r="T6635" t="s">
        <v>8675</v>
      </c>
      <c r="U6635" s="1">
        <v>43348</v>
      </c>
      <c r="V6635" t="s">
        <v>80</v>
      </c>
      <c r="W6635" t="s">
        <v>81</v>
      </c>
      <c r="X6635" t="s">
        <v>58</v>
      </c>
      <c r="Y6635">
        <v>24</v>
      </c>
      <c r="Z6635" t="s">
        <v>59</v>
      </c>
      <c r="AA6635" t="s">
        <v>59</v>
      </c>
      <c r="AB6635" t="s">
        <v>59</v>
      </c>
      <c r="AD6635" t="s">
        <v>59</v>
      </c>
      <c r="AF6635" s="1">
        <v>43348</v>
      </c>
      <c r="AG6635" t="s">
        <v>8645</v>
      </c>
      <c r="AH6635" t="s">
        <v>8646</v>
      </c>
      <c r="AI6635" t="str">
        <f>"9170198"</f>
        <v>9170198</v>
      </c>
      <c r="AJ6635" t="s">
        <v>8665</v>
      </c>
      <c r="AK6635">
        <v>2810227379</v>
      </c>
      <c r="AL6635" t="s">
        <v>8666</v>
      </c>
      <c r="AM6635" t="s">
        <v>78</v>
      </c>
      <c r="AN6635" t="s">
        <v>78</v>
      </c>
      <c r="AO6635" t="s">
        <v>78</v>
      </c>
      <c r="AP6635" t="s">
        <v>79</v>
      </c>
      <c r="AQ6635">
        <v>1</v>
      </c>
      <c r="AR6635" t="s">
        <v>80</v>
      </c>
      <c r="AS6635" t="s">
        <v>81</v>
      </c>
      <c r="AT6635" t="s">
        <v>58</v>
      </c>
      <c r="AU6635" t="s">
        <v>8673</v>
      </c>
      <c r="AV6635" t="s">
        <v>132</v>
      </c>
      <c r="AW6635" s="1">
        <v>33858</v>
      </c>
      <c r="AX6635">
        <v>1</v>
      </c>
    </row>
    <row r="6636" spans="1:50">
      <c r="B6636" t="str">
        <f>"107732677"</f>
        <v>107732677</v>
      </c>
      <c r="C6636" t="s">
        <v>50</v>
      </c>
      <c r="D6636" t="s">
        <v>11057</v>
      </c>
      <c r="E6636" t="s">
        <v>476</v>
      </c>
      <c r="F6636" t="s">
        <v>383</v>
      </c>
      <c r="H6636" t="str">
        <f t="shared" si="5"/>
        <v xml:space="preserve"> </v>
      </c>
      <c r="K6636">
        <v>6986891821</v>
      </c>
      <c r="N6636" t="s">
        <v>8694</v>
      </c>
      <c r="O6636" t="s">
        <v>8695</v>
      </c>
      <c r="R6636" t="s">
        <v>159</v>
      </c>
      <c r="S6636">
        <v>4</v>
      </c>
      <c r="T6636" t="s">
        <v>8696</v>
      </c>
      <c r="U6636" s="1">
        <v>43348</v>
      </c>
      <c r="V6636" t="s">
        <v>80</v>
      </c>
      <c r="W6636" t="s">
        <v>81</v>
      </c>
      <c r="X6636" t="s">
        <v>58</v>
      </c>
      <c r="Y6636">
        <v>24</v>
      </c>
      <c r="Z6636" t="s">
        <v>59</v>
      </c>
      <c r="AA6636" t="s">
        <v>59</v>
      </c>
      <c r="AB6636" t="s">
        <v>59</v>
      </c>
      <c r="AC6636" t="s">
        <v>59</v>
      </c>
      <c r="AD6636" t="s">
        <v>59</v>
      </c>
      <c r="AF6636" s="1">
        <v>43348</v>
      </c>
      <c r="AG6636" t="s">
        <v>8645</v>
      </c>
      <c r="AH6636" t="s">
        <v>8646</v>
      </c>
      <c r="AI6636" t="str">
        <f>"9170002"</f>
        <v>9170002</v>
      </c>
      <c r="AJ6636" t="s">
        <v>9368</v>
      </c>
      <c r="AK6636">
        <v>2894041207</v>
      </c>
      <c r="AL6636" t="s">
        <v>9369</v>
      </c>
      <c r="AM6636" t="s">
        <v>78</v>
      </c>
      <c r="AN6636" t="s">
        <v>405</v>
      </c>
      <c r="AO6636" t="s">
        <v>551</v>
      </c>
      <c r="AP6636" t="s">
        <v>552</v>
      </c>
      <c r="AQ6636">
        <v>21</v>
      </c>
      <c r="AR6636" t="s">
        <v>80</v>
      </c>
      <c r="AS6636" t="s">
        <v>81</v>
      </c>
      <c r="AT6636" t="s">
        <v>58</v>
      </c>
      <c r="AU6636" t="s">
        <v>350</v>
      </c>
      <c r="AV6636" t="s">
        <v>132</v>
      </c>
      <c r="AW6636" s="1">
        <v>33188</v>
      </c>
      <c r="AX6636">
        <v>1</v>
      </c>
    </row>
    <row r="6637" spans="1:50">
      <c r="B6637" t="str">
        <f>"107732689"</f>
        <v>107732689</v>
      </c>
      <c r="C6637" t="s">
        <v>50</v>
      </c>
      <c r="D6637" t="s">
        <v>11057</v>
      </c>
      <c r="E6637" t="s">
        <v>255</v>
      </c>
      <c r="F6637" t="s">
        <v>383</v>
      </c>
      <c r="G6637" t="s">
        <v>335</v>
      </c>
      <c r="H6637" t="str">
        <f t="shared" si="5"/>
        <v xml:space="preserve"> </v>
      </c>
      <c r="N6637" t="s">
        <v>8694</v>
      </c>
      <c r="O6637" t="s">
        <v>8695</v>
      </c>
      <c r="R6637" t="s">
        <v>159</v>
      </c>
      <c r="S6637">
        <v>1</v>
      </c>
      <c r="T6637" t="s">
        <v>8696</v>
      </c>
      <c r="U6637" s="1">
        <v>43348</v>
      </c>
      <c r="V6637" t="s">
        <v>80</v>
      </c>
      <c r="W6637" t="s">
        <v>81</v>
      </c>
      <c r="X6637" t="s">
        <v>58</v>
      </c>
      <c r="Y6637">
        <v>24</v>
      </c>
      <c r="Z6637" t="s">
        <v>59</v>
      </c>
      <c r="AA6637" t="s">
        <v>59</v>
      </c>
      <c r="AB6637" t="s">
        <v>59</v>
      </c>
      <c r="AC6637" t="s">
        <v>59</v>
      </c>
      <c r="AD6637" t="s">
        <v>59</v>
      </c>
      <c r="AF6637" s="1">
        <v>43348</v>
      </c>
      <c r="AG6637" t="s">
        <v>8645</v>
      </c>
      <c r="AH6637" t="s">
        <v>8646</v>
      </c>
      <c r="AI6637" t="str">
        <f>"9170285"</f>
        <v>9170285</v>
      </c>
      <c r="AJ6637" t="s">
        <v>9186</v>
      </c>
      <c r="AK6637">
        <v>2894031223</v>
      </c>
      <c r="AL6637" t="s">
        <v>9187</v>
      </c>
      <c r="AM6637" t="s">
        <v>78</v>
      </c>
      <c r="AN6637" t="s">
        <v>242</v>
      </c>
      <c r="AO6637" t="s">
        <v>999</v>
      </c>
      <c r="AP6637" t="s">
        <v>999</v>
      </c>
      <c r="AQ6637">
        <v>21</v>
      </c>
      <c r="AR6637" t="s">
        <v>80</v>
      </c>
      <c r="AS6637" t="s">
        <v>81</v>
      </c>
      <c r="AT6637" t="s">
        <v>58</v>
      </c>
      <c r="AU6637" t="s">
        <v>350</v>
      </c>
      <c r="AV6637" t="s">
        <v>132</v>
      </c>
      <c r="AW6637" s="1">
        <v>33915</v>
      </c>
      <c r="AX6637">
        <v>1</v>
      </c>
    </row>
    <row r="6638" spans="1:50">
      <c r="A6638">
        <v>572302</v>
      </c>
      <c r="B6638" t="str">
        <f>"037781970"</f>
        <v>037781970</v>
      </c>
      <c r="C6638" t="s">
        <v>50</v>
      </c>
      <c r="D6638" t="s">
        <v>11058</v>
      </c>
      <c r="E6638" t="s">
        <v>83</v>
      </c>
      <c r="F6638" t="s">
        <v>53</v>
      </c>
      <c r="G6638" t="s">
        <v>11059</v>
      </c>
      <c r="H6638" t="str">
        <f t="shared" si="5"/>
        <v xml:space="preserve"> </v>
      </c>
      <c r="N6638" t="s">
        <v>306</v>
      </c>
      <c r="O6638" t="s">
        <v>307</v>
      </c>
      <c r="R6638" t="s">
        <v>57</v>
      </c>
      <c r="S6638">
        <v>13</v>
      </c>
      <c r="T6638">
        <v>154</v>
      </c>
      <c r="U6638" s="1">
        <v>34225</v>
      </c>
      <c r="V6638" t="s">
        <v>80</v>
      </c>
      <c r="W6638" t="s">
        <v>81</v>
      </c>
      <c r="X6638" t="s">
        <v>58</v>
      </c>
      <c r="Y6638">
        <v>21</v>
      </c>
      <c r="Z6638" t="s">
        <v>59</v>
      </c>
      <c r="AA6638" t="s">
        <v>59</v>
      </c>
      <c r="AB6638" t="s">
        <v>59</v>
      </c>
      <c r="AC6638" t="s">
        <v>59</v>
      </c>
      <c r="AD6638" t="s">
        <v>59</v>
      </c>
      <c r="AF6638" s="1">
        <v>34226</v>
      </c>
      <c r="AG6638" t="s">
        <v>8645</v>
      </c>
      <c r="AH6638" t="s">
        <v>8646</v>
      </c>
      <c r="AI6638" t="str">
        <f>"9170259"</f>
        <v>9170259</v>
      </c>
      <c r="AJ6638" t="s">
        <v>8784</v>
      </c>
      <c r="AK6638">
        <v>6994891960</v>
      </c>
      <c r="AL6638" t="s">
        <v>8785</v>
      </c>
      <c r="AM6638" t="s">
        <v>78</v>
      </c>
      <c r="AN6638" t="s">
        <v>78</v>
      </c>
      <c r="AO6638" t="s">
        <v>78</v>
      </c>
      <c r="AP6638" t="s">
        <v>213</v>
      </c>
      <c r="AQ6638">
        <v>1</v>
      </c>
      <c r="AR6638" t="s">
        <v>80</v>
      </c>
      <c r="AS6638" t="s">
        <v>81</v>
      </c>
      <c r="AT6638" t="s">
        <v>58</v>
      </c>
      <c r="AU6638" t="s">
        <v>68</v>
      </c>
      <c r="AV6638" t="s">
        <v>69</v>
      </c>
      <c r="AW6638" s="1">
        <v>23032</v>
      </c>
      <c r="AX6638">
        <v>1</v>
      </c>
    </row>
    <row r="6639" spans="1:50">
      <c r="B6639" t="str">
        <f>"125592069"</f>
        <v>125592069</v>
      </c>
      <c r="C6639" t="s">
        <v>50</v>
      </c>
      <c r="D6639" t="s">
        <v>3264</v>
      </c>
      <c r="E6639" t="s">
        <v>237</v>
      </c>
      <c r="F6639" t="s">
        <v>1357</v>
      </c>
      <c r="G6639" t="s">
        <v>52</v>
      </c>
      <c r="H6639" t="str">
        <f>"ΜΑΞ. ΜΑΡΓΟΥΝΙΟΥ 27 ΗΡΑΚΛΕΙΟ"</f>
        <v>ΜΑΞ. ΜΑΡΓΟΥΝΙΟΥ 27 ΗΡΑΚΛΕΙΟ</v>
      </c>
      <c r="I6639">
        <v>71307</v>
      </c>
      <c r="J6639">
        <v>2810212130</v>
      </c>
      <c r="K6639">
        <v>6973533424</v>
      </c>
      <c r="N6639" t="s">
        <v>615</v>
      </c>
      <c r="O6639" t="s">
        <v>616</v>
      </c>
      <c r="R6639" t="s">
        <v>159</v>
      </c>
      <c r="S6639">
        <v>3</v>
      </c>
      <c r="T6639" t="s">
        <v>8675</v>
      </c>
      <c r="U6639" s="1">
        <v>43348</v>
      </c>
      <c r="V6639" t="s">
        <v>80</v>
      </c>
      <c r="W6639" t="s">
        <v>81</v>
      </c>
      <c r="X6639" t="s">
        <v>58</v>
      </c>
      <c r="Y6639">
        <v>24</v>
      </c>
      <c r="Z6639" t="s">
        <v>59</v>
      </c>
      <c r="AA6639" t="s">
        <v>59</v>
      </c>
      <c r="AB6639" t="s">
        <v>59</v>
      </c>
      <c r="AC6639" t="s">
        <v>59</v>
      </c>
      <c r="AD6639" t="s">
        <v>59</v>
      </c>
      <c r="AF6639" s="1">
        <v>43348</v>
      </c>
      <c r="AG6639" t="s">
        <v>8645</v>
      </c>
      <c r="AH6639" t="s">
        <v>8646</v>
      </c>
      <c r="AI6639" t="str">
        <f>"9170259"</f>
        <v>9170259</v>
      </c>
      <c r="AJ6639" t="s">
        <v>8784</v>
      </c>
      <c r="AK6639">
        <v>6994891960</v>
      </c>
      <c r="AL6639" t="s">
        <v>8785</v>
      </c>
      <c r="AM6639" t="s">
        <v>78</v>
      </c>
      <c r="AN6639" t="s">
        <v>78</v>
      </c>
      <c r="AO6639" t="s">
        <v>78</v>
      </c>
      <c r="AP6639" t="s">
        <v>213</v>
      </c>
      <c r="AQ6639">
        <v>1</v>
      </c>
      <c r="AR6639" t="s">
        <v>80</v>
      </c>
      <c r="AS6639" t="s">
        <v>81</v>
      </c>
      <c r="AT6639" t="s">
        <v>58</v>
      </c>
      <c r="AU6639" t="s">
        <v>8673</v>
      </c>
      <c r="AV6639" t="s">
        <v>132</v>
      </c>
      <c r="AW6639" s="1">
        <v>30857</v>
      </c>
      <c r="AX6639">
        <v>1</v>
      </c>
    </row>
    <row r="6640" spans="1:50">
      <c r="A6640">
        <v>569285</v>
      </c>
      <c r="B6640" t="str">
        <f>"070364292"</f>
        <v>070364292</v>
      </c>
      <c r="C6640" t="s">
        <v>50</v>
      </c>
      <c r="D6640" t="s">
        <v>3264</v>
      </c>
      <c r="E6640" t="s">
        <v>188</v>
      </c>
      <c r="F6640" t="s">
        <v>53</v>
      </c>
      <c r="G6640" t="s">
        <v>52</v>
      </c>
      <c r="H6640" t="str">
        <f>"ΜΑΞΙΜΟΥ ΜΑΡΓΟΥΝΙΟΥ 27 ΗΡΑΚΛΕΙΟ"</f>
        <v>ΜΑΞΙΜΟΥ ΜΑΡΓΟΥΝΙΟΥ 27 ΗΡΑΚΛΕΙΟ</v>
      </c>
      <c r="I6640">
        <v>71306</v>
      </c>
      <c r="J6640">
        <v>2810211616</v>
      </c>
      <c r="N6640" t="s">
        <v>1525</v>
      </c>
      <c r="O6640" t="s">
        <v>1526</v>
      </c>
      <c r="R6640" t="s">
        <v>57</v>
      </c>
      <c r="S6640">
        <v>16</v>
      </c>
      <c r="T6640">
        <v>162</v>
      </c>
      <c r="U6640" s="1">
        <v>33844</v>
      </c>
      <c r="V6640" t="s">
        <v>80</v>
      </c>
      <c r="W6640" t="s">
        <v>81</v>
      </c>
      <c r="X6640" t="s">
        <v>58</v>
      </c>
      <c r="Y6640">
        <v>25</v>
      </c>
      <c r="Z6640" t="s">
        <v>59</v>
      </c>
      <c r="AA6640" t="s">
        <v>59</v>
      </c>
      <c r="AB6640" t="s">
        <v>59</v>
      </c>
      <c r="AC6640" t="s">
        <v>59</v>
      </c>
      <c r="AD6640" t="s">
        <v>59</v>
      </c>
      <c r="AF6640" s="1">
        <v>33848</v>
      </c>
      <c r="AG6640" t="s">
        <v>8651</v>
      </c>
      <c r="AH6640" t="s">
        <v>8652</v>
      </c>
      <c r="AI6640" t="str">
        <f>"9170104"</f>
        <v>9170104</v>
      </c>
      <c r="AJ6640" t="s">
        <v>10323</v>
      </c>
      <c r="AK6640">
        <v>2810222334</v>
      </c>
      <c r="AL6640" t="s">
        <v>10324</v>
      </c>
      <c r="AM6640" t="s">
        <v>78</v>
      </c>
      <c r="AN6640" t="s">
        <v>78</v>
      </c>
      <c r="AO6640" t="s">
        <v>78</v>
      </c>
      <c r="AP6640" t="s">
        <v>213</v>
      </c>
      <c r="AQ6640">
        <v>1</v>
      </c>
      <c r="AR6640" t="s">
        <v>80</v>
      </c>
      <c r="AS6640" t="s">
        <v>81</v>
      </c>
      <c r="AT6640" t="s">
        <v>58</v>
      </c>
      <c r="AU6640" t="s">
        <v>68</v>
      </c>
      <c r="AV6640" t="s">
        <v>69</v>
      </c>
      <c r="AW6640" s="1">
        <v>22544</v>
      </c>
      <c r="AX6640">
        <v>1</v>
      </c>
    </row>
    <row r="6641" spans="1:50">
      <c r="A6641">
        <v>615777</v>
      </c>
      <c r="B6641" t="str">
        <f>"132997327"</f>
        <v>132997327</v>
      </c>
      <c r="C6641" t="s">
        <v>50</v>
      </c>
      <c r="D6641" t="s">
        <v>3264</v>
      </c>
      <c r="E6641" t="s">
        <v>335</v>
      </c>
      <c r="F6641" t="s">
        <v>166</v>
      </c>
      <c r="G6641" t="s">
        <v>215</v>
      </c>
      <c r="H6641" t="str">
        <f>"ΘΕΟΔΟΣΙΟΥ ΔΙΑΚΟΝΟΥ 11 ΗΡΑΚΛΕΙΟ"</f>
        <v>ΘΕΟΔΟΣΙΟΥ ΔΙΑΚΟΝΟΥ 11 ΗΡΑΚΛΕΙΟ</v>
      </c>
      <c r="I6641">
        <v>71305</v>
      </c>
      <c r="J6641">
        <v>2811101373</v>
      </c>
      <c r="K6641">
        <v>6978658449</v>
      </c>
      <c r="L6641">
        <v>281025114</v>
      </c>
      <c r="M6641" t="s">
        <v>11060</v>
      </c>
      <c r="N6641" t="s">
        <v>306</v>
      </c>
      <c r="O6641" t="s">
        <v>307</v>
      </c>
      <c r="R6641" t="s">
        <v>57</v>
      </c>
      <c r="S6641">
        <v>8</v>
      </c>
      <c r="T6641">
        <v>600</v>
      </c>
      <c r="U6641" s="1">
        <v>39310</v>
      </c>
      <c r="V6641" t="s">
        <v>80</v>
      </c>
      <c r="W6641" t="s">
        <v>81</v>
      </c>
      <c r="X6641" t="s">
        <v>58</v>
      </c>
      <c r="Y6641">
        <v>23</v>
      </c>
      <c r="Z6641" t="s">
        <v>59</v>
      </c>
      <c r="AA6641" t="s">
        <v>59</v>
      </c>
      <c r="AB6641" t="s">
        <v>59</v>
      </c>
      <c r="AC6641" t="s">
        <v>59</v>
      </c>
      <c r="AD6641" t="s">
        <v>59</v>
      </c>
      <c r="AF6641" s="1">
        <v>39328</v>
      </c>
      <c r="AG6641" t="s">
        <v>8645</v>
      </c>
      <c r="AH6641" t="s">
        <v>8646</v>
      </c>
      <c r="AI6641" t="str">
        <f>"9521411"</f>
        <v>9521411</v>
      </c>
      <c r="AJ6641" t="s">
        <v>9007</v>
      </c>
      <c r="AK6641">
        <v>2810824954</v>
      </c>
      <c r="AL6641" t="s">
        <v>9008</v>
      </c>
      <c r="AM6641" t="s">
        <v>78</v>
      </c>
      <c r="AN6641" t="s">
        <v>129</v>
      </c>
      <c r="AO6641" t="s">
        <v>130</v>
      </c>
      <c r="AP6641" t="s">
        <v>130</v>
      </c>
      <c r="AQ6641">
        <v>1</v>
      </c>
      <c r="AR6641" t="s">
        <v>80</v>
      </c>
      <c r="AS6641" t="s">
        <v>81</v>
      </c>
      <c r="AT6641" t="s">
        <v>58</v>
      </c>
      <c r="AU6641" t="s">
        <v>68</v>
      </c>
      <c r="AV6641" t="s">
        <v>69</v>
      </c>
      <c r="AW6641" s="1">
        <v>29031</v>
      </c>
      <c r="AX6641">
        <v>1</v>
      </c>
    </row>
    <row r="6642" spans="1:50">
      <c r="A6642">
        <v>614677</v>
      </c>
      <c r="B6642" t="str">
        <f>"064116612"</f>
        <v>064116612</v>
      </c>
      <c r="C6642" t="s">
        <v>50</v>
      </c>
      <c r="D6642" t="s">
        <v>11061</v>
      </c>
      <c r="E6642" t="s">
        <v>1713</v>
      </c>
      <c r="F6642" t="s">
        <v>92</v>
      </c>
      <c r="G6642" t="s">
        <v>237</v>
      </c>
      <c r="H6642" t="str">
        <f>" "</f>
        <v xml:space="preserve"> </v>
      </c>
      <c r="J6642">
        <v>2810252511</v>
      </c>
      <c r="K6642">
        <v>6944420618</v>
      </c>
      <c r="N6642" t="s">
        <v>615</v>
      </c>
      <c r="O6642" t="s">
        <v>616</v>
      </c>
      <c r="R6642" t="s">
        <v>57</v>
      </c>
      <c r="S6642">
        <v>5</v>
      </c>
      <c r="T6642">
        <v>598</v>
      </c>
      <c r="U6642" s="1">
        <v>39310</v>
      </c>
      <c r="V6642" t="s">
        <v>80</v>
      </c>
      <c r="W6642" t="s">
        <v>81</v>
      </c>
      <c r="X6642" t="s">
        <v>58</v>
      </c>
      <c r="Y6642">
        <v>23</v>
      </c>
      <c r="Z6642" t="s">
        <v>59</v>
      </c>
      <c r="AA6642" t="s">
        <v>59</v>
      </c>
      <c r="AB6642" t="s">
        <v>59</v>
      </c>
      <c r="AC6642" t="s">
        <v>59</v>
      </c>
      <c r="AD6642" t="s">
        <v>59</v>
      </c>
      <c r="AF6642" s="1">
        <v>39328</v>
      </c>
      <c r="AG6642" t="s">
        <v>8645</v>
      </c>
      <c r="AH6642" t="s">
        <v>8646</v>
      </c>
      <c r="AI6642" t="str">
        <f>"9170239"</f>
        <v>9170239</v>
      </c>
      <c r="AJ6642" t="s">
        <v>8814</v>
      </c>
      <c r="AK6642">
        <v>2897022076</v>
      </c>
      <c r="AL6642" t="s">
        <v>8815</v>
      </c>
      <c r="AM6642" t="s">
        <v>78</v>
      </c>
      <c r="AN6642" t="s">
        <v>219</v>
      </c>
      <c r="AO6642" t="s">
        <v>219</v>
      </c>
      <c r="AP6642" t="s">
        <v>220</v>
      </c>
      <c r="AQ6642">
        <v>8</v>
      </c>
      <c r="AR6642" t="s">
        <v>80</v>
      </c>
      <c r="AS6642" t="s">
        <v>81</v>
      </c>
      <c r="AT6642" t="s">
        <v>58</v>
      </c>
      <c r="AU6642" t="s">
        <v>68</v>
      </c>
      <c r="AV6642" t="s">
        <v>69</v>
      </c>
      <c r="AW6642" s="1">
        <v>30408</v>
      </c>
      <c r="AX6642">
        <v>1</v>
      </c>
    </row>
    <row r="6643" spans="1:50">
      <c r="A6643">
        <v>701054</v>
      </c>
      <c r="B6643" t="str">
        <f>"301311147"</f>
        <v>301311147</v>
      </c>
      <c r="C6643" t="s">
        <v>105</v>
      </c>
      <c r="D6643" t="s">
        <v>11062</v>
      </c>
      <c r="E6643" t="s">
        <v>279</v>
      </c>
      <c r="F6643" t="s">
        <v>383</v>
      </c>
      <c r="G6643" t="s">
        <v>85</v>
      </c>
      <c r="H6643" t="str">
        <f>"Χ.ΣΜΥΡΝΗΣ 23 ΛΑΓΚΑΔΑΣ ΘΕΣΣΑΛΟΝΙΚΗΣ"</f>
        <v>Χ.ΣΜΥΡΝΗΣ 23 ΛΑΓΚΑΔΑΣ ΘΕΣΣΑΛΟΝΙΚΗΣ</v>
      </c>
      <c r="I6643">
        <v>57200</v>
      </c>
      <c r="J6643">
        <v>2394022922</v>
      </c>
      <c r="K6643">
        <v>6932409993</v>
      </c>
      <c r="M6643" t="s">
        <v>11063</v>
      </c>
      <c r="N6643" t="s">
        <v>615</v>
      </c>
      <c r="O6643" t="s">
        <v>616</v>
      </c>
      <c r="R6643" t="s">
        <v>57</v>
      </c>
      <c r="S6643">
        <v>4</v>
      </c>
      <c r="T6643" t="s">
        <v>6575</v>
      </c>
      <c r="U6643" s="1">
        <v>40413</v>
      </c>
      <c r="V6643" t="s">
        <v>80</v>
      </c>
      <c r="W6643" t="s">
        <v>81</v>
      </c>
      <c r="X6643" t="s">
        <v>58</v>
      </c>
      <c r="Y6643">
        <v>24</v>
      </c>
      <c r="Z6643" t="s">
        <v>59</v>
      </c>
      <c r="AA6643" t="s">
        <v>59</v>
      </c>
      <c r="AB6643" t="s">
        <v>59</v>
      </c>
      <c r="AC6643" t="s">
        <v>59</v>
      </c>
      <c r="AD6643" t="s">
        <v>59</v>
      </c>
      <c r="AF6643" s="1">
        <v>40413</v>
      </c>
      <c r="AG6643" t="s">
        <v>8645</v>
      </c>
      <c r="AH6643" t="s">
        <v>8646</v>
      </c>
      <c r="AI6643" t="str">
        <f>"9170002"</f>
        <v>9170002</v>
      </c>
      <c r="AJ6643" t="s">
        <v>9368</v>
      </c>
      <c r="AK6643">
        <v>2894041207</v>
      </c>
      <c r="AL6643" t="s">
        <v>9369</v>
      </c>
      <c r="AM6643" t="s">
        <v>78</v>
      </c>
      <c r="AN6643" t="s">
        <v>405</v>
      </c>
      <c r="AO6643" t="s">
        <v>551</v>
      </c>
      <c r="AP6643" t="s">
        <v>552</v>
      </c>
      <c r="AQ6643">
        <v>21</v>
      </c>
      <c r="AR6643" t="s">
        <v>80</v>
      </c>
      <c r="AS6643" t="s">
        <v>81</v>
      </c>
      <c r="AT6643" t="s">
        <v>58</v>
      </c>
      <c r="AU6643" t="s">
        <v>68</v>
      </c>
      <c r="AV6643" t="s">
        <v>69</v>
      </c>
      <c r="AW6643" s="1">
        <v>30053</v>
      </c>
      <c r="AX6643">
        <v>1</v>
      </c>
    </row>
    <row r="6644" spans="1:50">
      <c r="A6644">
        <v>599627</v>
      </c>
      <c r="B6644" t="str">
        <f>"051016427"</f>
        <v>051016427</v>
      </c>
      <c r="C6644" t="s">
        <v>50</v>
      </c>
      <c r="D6644" t="s">
        <v>11064</v>
      </c>
      <c r="E6644" t="s">
        <v>513</v>
      </c>
      <c r="F6644" t="s">
        <v>11065</v>
      </c>
      <c r="G6644" t="s">
        <v>255</v>
      </c>
      <c r="H6644" t="str">
        <f>"ΑΝΩ ΧΕΡΣΟΝΗΣΟΣ "</f>
        <v xml:space="preserve">ΑΝΩ ΧΕΡΣΟΝΗΣΟΣ </v>
      </c>
      <c r="I6644">
        <v>70014</v>
      </c>
      <c r="K6644">
        <v>6948382315</v>
      </c>
      <c r="L6644">
        <v>6948382102</v>
      </c>
      <c r="N6644" t="s">
        <v>615</v>
      </c>
      <c r="O6644" t="s">
        <v>616</v>
      </c>
      <c r="R6644" t="s">
        <v>57</v>
      </c>
      <c r="S6644">
        <v>9</v>
      </c>
      <c r="T6644">
        <v>195</v>
      </c>
      <c r="U6644" s="1">
        <v>37497</v>
      </c>
      <c r="V6644" t="s">
        <v>80</v>
      </c>
      <c r="W6644" t="s">
        <v>81</v>
      </c>
      <c r="X6644" t="s">
        <v>58</v>
      </c>
      <c r="Y6644">
        <v>22</v>
      </c>
      <c r="Z6644" t="s">
        <v>59</v>
      </c>
      <c r="AA6644" t="s">
        <v>59</v>
      </c>
      <c r="AB6644" t="s">
        <v>59</v>
      </c>
      <c r="AC6644" t="s">
        <v>59</v>
      </c>
      <c r="AD6644" t="s">
        <v>59</v>
      </c>
      <c r="AF6644" s="1">
        <v>37501</v>
      </c>
      <c r="AG6644" t="s">
        <v>8645</v>
      </c>
      <c r="AH6644" t="s">
        <v>8646</v>
      </c>
      <c r="AI6644" t="str">
        <f>"9170250"</f>
        <v>9170250</v>
      </c>
      <c r="AJ6644" t="s">
        <v>8823</v>
      </c>
      <c r="AK6644">
        <v>2897022005</v>
      </c>
      <c r="AL6644" t="s">
        <v>8824</v>
      </c>
      <c r="AM6644" t="s">
        <v>78</v>
      </c>
      <c r="AN6644" t="s">
        <v>219</v>
      </c>
      <c r="AO6644" t="s">
        <v>219</v>
      </c>
      <c r="AP6644" t="s">
        <v>219</v>
      </c>
      <c r="AQ6644">
        <v>8</v>
      </c>
      <c r="AR6644" t="s">
        <v>80</v>
      </c>
      <c r="AS6644" t="s">
        <v>81</v>
      </c>
      <c r="AT6644" t="s">
        <v>58</v>
      </c>
      <c r="AU6644" t="s">
        <v>68</v>
      </c>
      <c r="AV6644" t="s">
        <v>69</v>
      </c>
      <c r="AW6644" s="1">
        <v>24873</v>
      </c>
      <c r="AX6644">
        <v>1</v>
      </c>
    </row>
    <row r="6645" spans="1:50">
      <c r="B6645" t="str">
        <f>"128327950"</f>
        <v>128327950</v>
      </c>
      <c r="C6645" t="s">
        <v>50</v>
      </c>
      <c r="D6645" t="s">
        <v>3276</v>
      </c>
      <c r="E6645" t="s">
        <v>73</v>
      </c>
      <c r="F6645" t="s">
        <v>154</v>
      </c>
      <c r="G6645" t="s">
        <v>83</v>
      </c>
      <c r="H6645" t="str">
        <f>"Γ. ΑΛΕΥΡΑ 4 ΓΙΟΦΥΡΟ"</f>
        <v>Γ. ΑΛΕΥΡΑ 4 ΓΙΟΦΥΡΟ</v>
      </c>
      <c r="I6645">
        <v>71410</v>
      </c>
      <c r="J6645">
        <v>2810251524</v>
      </c>
      <c r="K6645">
        <v>6977966533</v>
      </c>
      <c r="N6645" t="s">
        <v>1525</v>
      </c>
      <c r="O6645" t="s">
        <v>1526</v>
      </c>
      <c r="R6645" t="s">
        <v>159</v>
      </c>
      <c r="S6645">
        <v>4</v>
      </c>
      <c r="T6645" t="s">
        <v>8670</v>
      </c>
      <c r="U6645" s="1">
        <v>43348</v>
      </c>
      <c r="V6645" t="s">
        <v>80</v>
      </c>
      <c r="W6645" t="s">
        <v>81</v>
      </c>
      <c r="X6645" t="s">
        <v>58</v>
      </c>
      <c r="Y6645">
        <v>25</v>
      </c>
      <c r="Z6645" t="s">
        <v>59</v>
      </c>
      <c r="AA6645" t="s">
        <v>59</v>
      </c>
      <c r="AB6645" t="s">
        <v>59</v>
      </c>
      <c r="AC6645" t="s">
        <v>59</v>
      </c>
      <c r="AD6645" t="s">
        <v>59</v>
      </c>
      <c r="AF6645" s="1">
        <v>43348</v>
      </c>
      <c r="AG6645" t="s">
        <v>8651</v>
      </c>
      <c r="AH6645" t="s">
        <v>8652</v>
      </c>
      <c r="AI6645" t="str">
        <f>"9520696"</f>
        <v>9520696</v>
      </c>
      <c r="AJ6645" t="s">
        <v>9617</v>
      </c>
      <c r="AK6645">
        <v>2810311032</v>
      </c>
      <c r="AL6645" t="s">
        <v>9618</v>
      </c>
      <c r="AM6645" t="s">
        <v>78</v>
      </c>
      <c r="AN6645" t="s">
        <v>78</v>
      </c>
      <c r="AO6645" t="s">
        <v>78</v>
      </c>
      <c r="AP6645" t="s">
        <v>141</v>
      </c>
      <c r="AQ6645">
        <v>1</v>
      </c>
      <c r="AR6645" t="s">
        <v>80</v>
      </c>
      <c r="AS6645" t="s">
        <v>81</v>
      </c>
      <c r="AT6645" t="s">
        <v>58</v>
      </c>
      <c r="AU6645" t="s">
        <v>8673</v>
      </c>
      <c r="AV6645" t="s">
        <v>132</v>
      </c>
      <c r="AW6645" s="1">
        <v>29587</v>
      </c>
      <c r="AX6645">
        <v>1</v>
      </c>
    </row>
    <row r="6646" spans="1:50">
      <c r="A6646">
        <v>602219</v>
      </c>
      <c r="B6646" t="str">
        <f>"051897681"</f>
        <v>051897681</v>
      </c>
      <c r="C6646" t="s">
        <v>50</v>
      </c>
      <c r="D6646" t="s">
        <v>3276</v>
      </c>
      <c r="E6646" t="s">
        <v>103</v>
      </c>
      <c r="F6646" t="s">
        <v>108</v>
      </c>
      <c r="G6646" t="s">
        <v>255</v>
      </c>
      <c r="H6646" t="str">
        <f>" "</f>
        <v xml:space="preserve"> </v>
      </c>
      <c r="J6646">
        <v>2897032828</v>
      </c>
      <c r="K6646">
        <v>6972030299</v>
      </c>
      <c r="N6646" t="s">
        <v>615</v>
      </c>
      <c r="O6646" t="s">
        <v>616</v>
      </c>
      <c r="R6646" t="s">
        <v>57</v>
      </c>
      <c r="S6646">
        <v>7</v>
      </c>
      <c r="T6646">
        <v>207</v>
      </c>
      <c r="U6646" s="1">
        <v>37866</v>
      </c>
      <c r="V6646" t="s">
        <v>80</v>
      </c>
      <c r="W6646" t="s">
        <v>81</v>
      </c>
      <c r="X6646" t="s">
        <v>58</v>
      </c>
      <c r="Y6646">
        <v>22</v>
      </c>
      <c r="Z6646" t="s">
        <v>59</v>
      </c>
      <c r="AA6646" t="s">
        <v>59</v>
      </c>
      <c r="AB6646" t="s">
        <v>59</v>
      </c>
      <c r="AC6646" t="s">
        <v>59</v>
      </c>
      <c r="AD6646" t="s">
        <v>59</v>
      </c>
      <c r="AF6646" s="1">
        <v>37866</v>
      </c>
      <c r="AG6646" t="s">
        <v>8645</v>
      </c>
      <c r="AH6646" t="s">
        <v>8646</v>
      </c>
      <c r="AI6646" t="str">
        <f>"9521014"</f>
        <v>9521014</v>
      </c>
      <c r="AJ6646" t="s">
        <v>8974</v>
      </c>
      <c r="AK6646">
        <v>2897029611</v>
      </c>
      <c r="AL6646" t="s">
        <v>8975</v>
      </c>
      <c r="AM6646" t="s">
        <v>78</v>
      </c>
      <c r="AN6646" t="s">
        <v>219</v>
      </c>
      <c r="AO6646" t="s">
        <v>527</v>
      </c>
      <c r="AP6646" t="s">
        <v>527</v>
      </c>
      <c r="AQ6646">
        <v>8</v>
      </c>
      <c r="AR6646" t="s">
        <v>80</v>
      </c>
      <c r="AS6646" t="s">
        <v>81</v>
      </c>
      <c r="AT6646" t="s">
        <v>58</v>
      </c>
      <c r="AU6646" t="s">
        <v>68</v>
      </c>
      <c r="AV6646" t="s">
        <v>69</v>
      </c>
      <c r="AW6646" s="1">
        <v>26888</v>
      </c>
      <c r="AX6646">
        <v>1</v>
      </c>
    </row>
    <row r="6647" spans="1:50">
      <c r="B6647" t="str">
        <f>"144306192"</f>
        <v>144306192</v>
      </c>
      <c r="C6647" t="s">
        <v>50</v>
      </c>
      <c r="D6647" t="s">
        <v>3276</v>
      </c>
      <c r="E6647" t="s">
        <v>215</v>
      </c>
      <c r="F6647" t="s">
        <v>95</v>
      </c>
      <c r="G6647" t="s">
        <v>9332</v>
      </c>
      <c r="H6647" t="str">
        <f>"ΕΡΜΗ  36 ΗΡΑΚΛΕΙΟ"</f>
        <v>ΕΡΜΗ  36 ΗΡΑΚΛΕΙΟ</v>
      </c>
      <c r="I6647">
        <v>71409</v>
      </c>
      <c r="J6647">
        <v>2810239647</v>
      </c>
      <c r="K6647">
        <v>6945955098</v>
      </c>
      <c r="N6647" t="s">
        <v>615</v>
      </c>
      <c r="O6647" t="s">
        <v>616</v>
      </c>
      <c r="R6647" t="s">
        <v>159</v>
      </c>
      <c r="S6647">
        <v>3</v>
      </c>
      <c r="T6647" t="s">
        <v>8675</v>
      </c>
      <c r="U6647" s="1">
        <v>43348</v>
      </c>
      <c r="V6647" t="s">
        <v>80</v>
      </c>
      <c r="W6647" t="s">
        <v>81</v>
      </c>
      <c r="X6647" t="s">
        <v>58</v>
      </c>
      <c r="Y6647">
        <v>24</v>
      </c>
      <c r="Z6647" t="s">
        <v>59</v>
      </c>
      <c r="AA6647" t="s">
        <v>59</v>
      </c>
      <c r="AB6647" t="s">
        <v>59</v>
      </c>
      <c r="AC6647" t="s">
        <v>59</v>
      </c>
      <c r="AD6647" t="s">
        <v>59</v>
      </c>
      <c r="AF6647" s="1">
        <v>43348</v>
      </c>
      <c r="AG6647" t="s">
        <v>8645</v>
      </c>
      <c r="AH6647" t="s">
        <v>8646</v>
      </c>
      <c r="AI6647" t="str">
        <f>"9170219"</f>
        <v>9170219</v>
      </c>
      <c r="AJ6647" t="s">
        <v>8967</v>
      </c>
      <c r="AK6647">
        <v>2897041357</v>
      </c>
      <c r="AL6647" t="s">
        <v>8968</v>
      </c>
      <c r="AM6647" t="s">
        <v>78</v>
      </c>
      <c r="AN6647" t="s">
        <v>219</v>
      </c>
      <c r="AO6647" t="s">
        <v>297</v>
      </c>
      <c r="AP6647" t="s">
        <v>297</v>
      </c>
      <c r="AQ6647">
        <v>7</v>
      </c>
      <c r="AR6647" t="s">
        <v>80</v>
      </c>
      <c r="AS6647" t="s">
        <v>81</v>
      </c>
      <c r="AT6647" t="s">
        <v>58</v>
      </c>
      <c r="AU6647" t="s">
        <v>8673</v>
      </c>
      <c r="AV6647" t="s">
        <v>132</v>
      </c>
      <c r="AW6647" s="1">
        <v>32002</v>
      </c>
      <c r="AX6647">
        <v>1</v>
      </c>
    </row>
    <row r="6648" spans="1:50">
      <c r="A6648">
        <v>554287</v>
      </c>
      <c r="B6648" t="str">
        <f>"064533390"</f>
        <v>064533390</v>
      </c>
      <c r="C6648" t="s">
        <v>50</v>
      </c>
      <c r="D6648" t="s">
        <v>3276</v>
      </c>
      <c r="E6648" t="s">
        <v>52</v>
      </c>
      <c r="F6648" t="s">
        <v>111</v>
      </c>
      <c r="G6648" t="s">
        <v>255</v>
      </c>
      <c r="H6648" t="str">
        <f>"Πλάτωνος 43 Κατσαμπάς Ηράκλειο"</f>
        <v>Πλάτωνος 43 Κατσαμπάς Ηράκλειο</v>
      </c>
      <c r="I6648">
        <v>71307</v>
      </c>
      <c r="J6648">
        <v>2810242134</v>
      </c>
      <c r="K6648">
        <v>6981005530</v>
      </c>
      <c r="N6648" t="s">
        <v>1525</v>
      </c>
      <c r="O6648" t="s">
        <v>1526</v>
      </c>
      <c r="R6648" t="s">
        <v>57</v>
      </c>
      <c r="S6648">
        <v>16</v>
      </c>
      <c r="T6648">
        <v>235</v>
      </c>
      <c r="U6648" s="1">
        <v>31289</v>
      </c>
      <c r="V6648" t="s">
        <v>80</v>
      </c>
      <c r="W6648" t="s">
        <v>81</v>
      </c>
      <c r="X6648" t="s">
        <v>58</v>
      </c>
      <c r="Y6648">
        <v>25</v>
      </c>
      <c r="Z6648" t="s">
        <v>59</v>
      </c>
      <c r="AA6648" t="s">
        <v>59</v>
      </c>
      <c r="AB6648" t="s">
        <v>59</v>
      </c>
      <c r="AC6648" t="s">
        <v>59</v>
      </c>
      <c r="AD6648" t="s">
        <v>59</v>
      </c>
      <c r="AF6648" s="1">
        <v>31296</v>
      </c>
      <c r="AG6648" t="s">
        <v>8651</v>
      </c>
      <c r="AH6648" t="s">
        <v>8652</v>
      </c>
      <c r="AI6648" t="str">
        <f>"9170261"</f>
        <v>9170261</v>
      </c>
      <c r="AJ6648" t="s">
        <v>9290</v>
      </c>
      <c r="AK6648">
        <v>2810228697</v>
      </c>
      <c r="AL6648" t="s">
        <v>9291</v>
      </c>
      <c r="AM6648" t="s">
        <v>78</v>
      </c>
      <c r="AN6648" t="s">
        <v>78</v>
      </c>
      <c r="AO6648" t="s">
        <v>286</v>
      </c>
      <c r="AP6648" t="s">
        <v>286</v>
      </c>
      <c r="AQ6648">
        <v>1</v>
      </c>
      <c r="AR6648" t="s">
        <v>80</v>
      </c>
      <c r="AS6648" t="s">
        <v>81</v>
      </c>
      <c r="AT6648" t="s">
        <v>58</v>
      </c>
      <c r="AU6648" t="s">
        <v>68</v>
      </c>
      <c r="AV6648" t="s">
        <v>69</v>
      </c>
      <c r="AW6648" s="1">
        <v>22582</v>
      </c>
      <c r="AX6648">
        <v>1</v>
      </c>
    </row>
    <row r="6649" spans="1:50">
      <c r="A6649">
        <v>581310</v>
      </c>
      <c r="B6649" t="str">
        <f>"063610120"</f>
        <v>063610120</v>
      </c>
      <c r="C6649" t="s">
        <v>50</v>
      </c>
      <c r="D6649" t="s">
        <v>3276</v>
      </c>
      <c r="E6649" t="s">
        <v>2208</v>
      </c>
      <c r="F6649" t="s">
        <v>95</v>
      </c>
      <c r="G6649" t="s">
        <v>215</v>
      </c>
      <c r="H6649" t="str">
        <f>"ΑΝΔΡΕΑ ΛΑΣΚΑΡΑΤΟΥ 10 ΗΡΑΚΛΕΙΟ"</f>
        <v>ΑΝΔΡΕΑ ΛΑΣΚΑΡΑΤΟΥ 10 ΗΡΑΚΛΕΙΟ</v>
      </c>
      <c r="J6649">
        <v>2810320821</v>
      </c>
      <c r="N6649" t="s">
        <v>615</v>
      </c>
      <c r="O6649" t="s">
        <v>616</v>
      </c>
      <c r="R6649" t="s">
        <v>57</v>
      </c>
      <c r="S6649">
        <v>13</v>
      </c>
      <c r="T6649">
        <v>179</v>
      </c>
      <c r="U6649" s="1">
        <v>35674</v>
      </c>
      <c r="V6649" t="s">
        <v>80</v>
      </c>
      <c r="W6649" t="s">
        <v>81</v>
      </c>
      <c r="X6649" t="s">
        <v>58</v>
      </c>
      <c r="Y6649">
        <v>21</v>
      </c>
      <c r="Z6649" t="s">
        <v>59</v>
      </c>
      <c r="AA6649" t="s">
        <v>59</v>
      </c>
      <c r="AB6649" t="s">
        <v>59</v>
      </c>
      <c r="AC6649" t="s">
        <v>59</v>
      </c>
      <c r="AD6649" t="s">
        <v>59</v>
      </c>
      <c r="AF6649" s="1">
        <v>35677</v>
      </c>
      <c r="AG6649" t="s">
        <v>8645</v>
      </c>
      <c r="AH6649" t="s">
        <v>8646</v>
      </c>
      <c r="AI6649" t="str">
        <f>"9170533"</f>
        <v>9170533</v>
      </c>
      <c r="AJ6649" t="s">
        <v>9091</v>
      </c>
      <c r="AK6649">
        <v>2810239434</v>
      </c>
      <c r="AL6649" t="s">
        <v>9092</v>
      </c>
      <c r="AM6649" t="s">
        <v>78</v>
      </c>
      <c r="AN6649" t="s">
        <v>78</v>
      </c>
      <c r="AO6649" t="s">
        <v>78</v>
      </c>
      <c r="AP6649" t="s">
        <v>163</v>
      </c>
      <c r="AQ6649">
        <v>1</v>
      </c>
      <c r="AR6649" t="s">
        <v>80</v>
      </c>
      <c r="AS6649" t="s">
        <v>81</v>
      </c>
      <c r="AT6649" t="s">
        <v>58</v>
      </c>
      <c r="AU6649" t="s">
        <v>68</v>
      </c>
      <c r="AV6649" t="s">
        <v>69</v>
      </c>
      <c r="AW6649" s="1">
        <v>24399</v>
      </c>
      <c r="AX6649">
        <v>1</v>
      </c>
    </row>
    <row r="6650" spans="1:50">
      <c r="A6650">
        <v>551251</v>
      </c>
      <c r="B6650" t="str">
        <f>"028283367"</f>
        <v>028283367</v>
      </c>
      <c r="C6650" t="s">
        <v>105</v>
      </c>
      <c r="D6650" t="s">
        <v>3279</v>
      </c>
      <c r="E6650" t="s">
        <v>166</v>
      </c>
      <c r="F6650" t="s">
        <v>377</v>
      </c>
      <c r="G6650" t="s">
        <v>83</v>
      </c>
      <c r="H6650" t="str">
        <f>"ΕΛΥΡΟΥ 43 ΗΡΑΚΛΕΙΟ"</f>
        <v>ΕΛΥΡΟΥ 43 ΗΡΑΚΛΕΙΟ</v>
      </c>
      <c r="I6650">
        <v>71303</v>
      </c>
      <c r="J6650">
        <v>2810311002</v>
      </c>
      <c r="K6650">
        <v>6973225240</v>
      </c>
      <c r="N6650" t="s">
        <v>615</v>
      </c>
      <c r="O6650" t="s">
        <v>616</v>
      </c>
      <c r="R6650" t="s">
        <v>57</v>
      </c>
      <c r="S6650">
        <v>17</v>
      </c>
      <c r="T6650">
        <v>271</v>
      </c>
      <c r="U6650" s="1">
        <v>30923</v>
      </c>
      <c r="V6650" t="s">
        <v>80</v>
      </c>
      <c r="W6650" t="s">
        <v>81</v>
      </c>
      <c r="X6650" t="s">
        <v>58</v>
      </c>
      <c r="Y6650">
        <v>21</v>
      </c>
      <c r="Z6650" t="s">
        <v>59</v>
      </c>
      <c r="AA6650" t="s">
        <v>59</v>
      </c>
      <c r="AB6650" t="s">
        <v>59</v>
      </c>
      <c r="AC6650" t="s">
        <v>59</v>
      </c>
      <c r="AD6650" t="s">
        <v>59</v>
      </c>
      <c r="AF6650" s="1">
        <v>30929</v>
      </c>
      <c r="AG6650" t="s">
        <v>8645</v>
      </c>
      <c r="AH6650" t="s">
        <v>8646</v>
      </c>
      <c r="AI6650" t="str">
        <f>"9170055"</f>
        <v>9170055</v>
      </c>
      <c r="AJ6650" t="s">
        <v>8836</v>
      </c>
      <c r="AK6650">
        <v>2810255097</v>
      </c>
      <c r="AL6650" t="s">
        <v>8837</v>
      </c>
      <c r="AM6650" t="s">
        <v>78</v>
      </c>
      <c r="AN6650" t="s">
        <v>78</v>
      </c>
      <c r="AO6650" t="s">
        <v>78</v>
      </c>
      <c r="AP6650" t="s">
        <v>141</v>
      </c>
      <c r="AQ6650">
        <v>1</v>
      </c>
      <c r="AR6650" t="s">
        <v>80</v>
      </c>
      <c r="AS6650" t="s">
        <v>81</v>
      </c>
      <c r="AT6650" t="s">
        <v>58</v>
      </c>
      <c r="AU6650" t="s">
        <v>68</v>
      </c>
      <c r="AV6650" t="s">
        <v>69</v>
      </c>
      <c r="AW6650" s="1">
        <v>22058</v>
      </c>
      <c r="AX6650">
        <v>1</v>
      </c>
    </row>
    <row r="6651" spans="1:50">
      <c r="B6651" t="str">
        <f>"132988750"</f>
        <v>132988750</v>
      </c>
      <c r="C6651" t="s">
        <v>105</v>
      </c>
      <c r="D6651" t="s">
        <v>3279</v>
      </c>
      <c r="E6651" t="s">
        <v>377</v>
      </c>
      <c r="F6651" t="s">
        <v>166</v>
      </c>
      <c r="G6651" t="s">
        <v>280</v>
      </c>
      <c r="H6651" t="str">
        <f>"ΕΛΥΡΟΥ 43 ΚΑΜΙΝΙΑ"</f>
        <v>ΕΛΥΡΟΥ 43 ΚΑΜΙΝΙΑ</v>
      </c>
      <c r="I6651">
        <v>71303</v>
      </c>
      <c r="J6651">
        <v>2810311002</v>
      </c>
      <c r="K6651">
        <v>6976948091</v>
      </c>
      <c r="N6651" t="s">
        <v>615</v>
      </c>
      <c r="O6651" t="s">
        <v>616</v>
      </c>
      <c r="R6651" t="s">
        <v>159</v>
      </c>
      <c r="S6651">
        <v>3</v>
      </c>
      <c r="T6651" t="s">
        <v>8675</v>
      </c>
      <c r="U6651" s="1">
        <v>43348</v>
      </c>
      <c r="V6651" t="s">
        <v>80</v>
      </c>
      <c r="W6651" t="s">
        <v>81</v>
      </c>
      <c r="X6651" t="s">
        <v>58</v>
      </c>
      <c r="Y6651">
        <v>24</v>
      </c>
      <c r="Z6651" t="s">
        <v>59</v>
      </c>
      <c r="AA6651" t="s">
        <v>59</v>
      </c>
      <c r="AB6651" t="s">
        <v>59</v>
      </c>
      <c r="AC6651" t="s">
        <v>59</v>
      </c>
      <c r="AD6651" t="s">
        <v>59</v>
      </c>
      <c r="AF6651" s="1">
        <v>43348</v>
      </c>
      <c r="AG6651" t="s">
        <v>8645</v>
      </c>
      <c r="AH6651" t="s">
        <v>8646</v>
      </c>
      <c r="AI6651" t="str">
        <f>"9170319"</f>
        <v>9170319</v>
      </c>
      <c r="AJ6651" t="s">
        <v>9121</v>
      </c>
      <c r="AK6651">
        <v>2893022231</v>
      </c>
      <c r="AL6651" t="s">
        <v>9122</v>
      </c>
      <c r="AM6651" t="s">
        <v>78</v>
      </c>
      <c r="AN6651" t="s">
        <v>424</v>
      </c>
      <c r="AO6651" t="s">
        <v>577</v>
      </c>
      <c r="AP6651" t="s">
        <v>1668</v>
      </c>
      <c r="AQ6651">
        <v>10</v>
      </c>
      <c r="AR6651" t="s">
        <v>80</v>
      </c>
      <c r="AS6651" t="s">
        <v>81</v>
      </c>
      <c r="AT6651" t="s">
        <v>58</v>
      </c>
      <c r="AU6651" t="s">
        <v>8673</v>
      </c>
      <c r="AV6651" t="s">
        <v>132</v>
      </c>
      <c r="AW6651" s="1">
        <v>31285</v>
      </c>
      <c r="AX6651">
        <v>1</v>
      </c>
    </row>
    <row r="6652" spans="1:50">
      <c r="A6652">
        <v>225112</v>
      </c>
      <c r="B6652" t="str">
        <f>"079212450"</f>
        <v>079212450</v>
      </c>
      <c r="C6652" t="s">
        <v>50</v>
      </c>
      <c r="D6652" t="s">
        <v>6369</v>
      </c>
      <c r="E6652" t="s">
        <v>181</v>
      </c>
      <c r="F6652" t="s">
        <v>99</v>
      </c>
      <c r="G6652" t="s">
        <v>155</v>
      </c>
      <c r="H6652" t="str">
        <f>"ΑΣΤΕΡΟΥΣΙΩΝ 36-38 ΗΡΑΚΛΕΙΟ"</f>
        <v>ΑΣΤΕΡΟΥΣΙΩΝ 36-38 ΗΡΑΚΛΕΙΟ</v>
      </c>
      <c r="I6652">
        <v>71305</v>
      </c>
      <c r="J6652">
        <v>2491023122</v>
      </c>
      <c r="K6652">
        <v>6977610656</v>
      </c>
      <c r="N6652" t="s">
        <v>176</v>
      </c>
      <c r="O6652" t="s">
        <v>177</v>
      </c>
      <c r="R6652" t="s">
        <v>57</v>
      </c>
      <c r="S6652">
        <v>7</v>
      </c>
      <c r="T6652">
        <v>775</v>
      </c>
      <c r="U6652" s="1">
        <v>39680</v>
      </c>
      <c r="V6652" t="s">
        <v>80</v>
      </c>
      <c r="W6652" t="s">
        <v>81</v>
      </c>
      <c r="X6652" t="s">
        <v>58</v>
      </c>
      <c r="Y6652">
        <v>23</v>
      </c>
      <c r="Z6652" t="s">
        <v>59</v>
      </c>
      <c r="AA6652" t="s">
        <v>59</v>
      </c>
      <c r="AB6652" t="s">
        <v>59</v>
      </c>
      <c r="AC6652" t="s">
        <v>59</v>
      </c>
      <c r="AD6652" t="s">
        <v>59</v>
      </c>
      <c r="AF6652" s="1">
        <v>39681</v>
      </c>
      <c r="AG6652" t="s">
        <v>8645</v>
      </c>
      <c r="AH6652" t="s">
        <v>8646</v>
      </c>
      <c r="AI6652" t="str">
        <f>"9170028"</f>
        <v>9170028</v>
      </c>
      <c r="AJ6652" t="s">
        <v>9791</v>
      </c>
      <c r="AK6652">
        <v>2810711204</v>
      </c>
      <c r="AL6652" t="s">
        <v>9792</v>
      </c>
      <c r="AM6652" t="s">
        <v>78</v>
      </c>
      <c r="AN6652" t="s">
        <v>129</v>
      </c>
      <c r="AO6652" t="s">
        <v>597</v>
      </c>
      <c r="AP6652" t="s">
        <v>598</v>
      </c>
      <c r="AQ6652">
        <v>4</v>
      </c>
      <c r="AR6652" t="s">
        <v>80</v>
      </c>
      <c r="AS6652" t="s">
        <v>81</v>
      </c>
      <c r="AT6652" t="s">
        <v>58</v>
      </c>
      <c r="AU6652" t="s">
        <v>68</v>
      </c>
      <c r="AV6652" t="s">
        <v>69</v>
      </c>
      <c r="AW6652" s="1">
        <v>26487</v>
      </c>
      <c r="AX6652">
        <v>1</v>
      </c>
    </row>
    <row r="6653" spans="1:50">
      <c r="B6653" t="str">
        <f>"136967559"</f>
        <v>136967559</v>
      </c>
      <c r="C6653" t="s">
        <v>105</v>
      </c>
      <c r="D6653" t="s">
        <v>11066</v>
      </c>
      <c r="E6653" t="s">
        <v>900</v>
      </c>
      <c r="F6653" t="s">
        <v>1357</v>
      </c>
      <c r="G6653" t="s">
        <v>155</v>
      </c>
      <c r="H6653" t="str">
        <f>" "</f>
        <v xml:space="preserve"> </v>
      </c>
      <c r="N6653" t="s">
        <v>683</v>
      </c>
      <c r="O6653" t="s">
        <v>684</v>
      </c>
      <c r="R6653" t="s">
        <v>121</v>
      </c>
      <c r="S6653">
        <v>1</v>
      </c>
      <c r="T6653" t="s">
        <v>8675</v>
      </c>
      <c r="U6653" s="1">
        <v>43348</v>
      </c>
      <c r="V6653" t="s">
        <v>80</v>
      </c>
      <c r="W6653" t="s">
        <v>81</v>
      </c>
      <c r="X6653" t="s">
        <v>58</v>
      </c>
      <c r="Y6653">
        <v>24</v>
      </c>
      <c r="Z6653" t="s">
        <v>59</v>
      </c>
      <c r="AD6653" t="s">
        <v>59</v>
      </c>
      <c r="AF6653" s="1">
        <v>43348</v>
      </c>
      <c r="AG6653" t="s">
        <v>8645</v>
      </c>
      <c r="AH6653" t="s">
        <v>8646</v>
      </c>
      <c r="AI6653" t="str">
        <f>"9170039"</f>
        <v>9170039</v>
      </c>
      <c r="AJ6653" t="s">
        <v>8804</v>
      </c>
      <c r="AK6653">
        <v>2894022231</v>
      </c>
      <c r="AL6653" t="s">
        <v>8805</v>
      </c>
      <c r="AM6653" t="s">
        <v>78</v>
      </c>
      <c r="AN6653" t="s">
        <v>405</v>
      </c>
      <c r="AO6653" t="s">
        <v>406</v>
      </c>
      <c r="AP6653" t="s">
        <v>406</v>
      </c>
      <c r="AQ6653">
        <v>6</v>
      </c>
      <c r="AR6653" t="s">
        <v>80</v>
      </c>
      <c r="AS6653" t="s">
        <v>81</v>
      </c>
      <c r="AT6653" t="s">
        <v>58</v>
      </c>
      <c r="AU6653" t="s">
        <v>8673</v>
      </c>
      <c r="AV6653" t="s">
        <v>132</v>
      </c>
      <c r="AW6653" s="1">
        <v>31454</v>
      </c>
      <c r="AX6653">
        <v>1</v>
      </c>
    </row>
    <row r="6654" spans="1:50">
      <c r="A6654">
        <v>553521</v>
      </c>
      <c r="B6654" t="str">
        <f>"030909867"</f>
        <v>030909867</v>
      </c>
      <c r="C6654" t="s">
        <v>105</v>
      </c>
      <c r="D6654" t="s">
        <v>11067</v>
      </c>
      <c r="E6654" t="s">
        <v>99</v>
      </c>
      <c r="F6654" t="s">
        <v>154</v>
      </c>
      <c r="G6654" t="s">
        <v>221</v>
      </c>
      <c r="H6654" t="str">
        <f>"ΠΕΤΡΑΚΟΓΙΩΡΓΗ 2Β ΗΡΑΚΛΕΙΟ"</f>
        <v>ΠΕΤΡΑΚΟΓΙΩΡΓΗ 2Β ΗΡΑΚΛΕΙΟ</v>
      </c>
      <c r="I6654">
        <v>71305</v>
      </c>
      <c r="J6654">
        <v>2810311909</v>
      </c>
      <c r="K6654">
        <v>6937355128</v>
      </c>
      <c r="N6654" t="s">
        <v>615</v>
      </c>
      <c r="O6654" t="s">
        <v>616</v>
      </c>
      <c r="R6654" t="s">
        <v>57</v>
      </c>
      <c r="S6654">
        <v>16</v>
      </c>
      <c r="T6654">
        <v>235</v>
      </c>
      <c r="U6654" s="1">
        <v>31296</v>
      </c>
      <c r="V6654" t="s">
        <v>80</v>
      </c>
      <c r="W6654" t="s">
        <v>81</v>
      </c>
      <c r="X6654" t="s">
        <v>58</v>
      </c>
      <c r="Y6654">
        <v>21</v>
      </c>
      <c r="Z6654" t="s">
        <v>59</v>
      </c>
      <c r="AA6654" t="s">
        <v>59</v>
      </c>
      <c r="AB6654" t="s">
        <v>59</v>
      </c>
      <c r="AC6654" t="s">
        <v>59</v>
      </c>
      <c r="AD6654" t="s">
        <v>59</v>
      </c>
      <c r="AF6654" s="1">
        <v>31296</v>
      </c>
      <c r="AG6654" t="s">
        <v>8645</v>
      </c>
      <c r="AH6654" t="s">
        <v>8646</v>
      </c>
      <c r="AI6654" t="str">
        <f>"9170424"</f>
        <v>9170424</v>
      </c>
      <c r="AJ6654" t="s">
        <v>8860</v>
      </c>
      <c r="AK6654">
        <v>2810254530</v>
      </c>
      <c r="AL6654" t="s">
        <v>8861</v>
      </c>
      <c r="AM6654" t="s">
        <v>78</v>
      </c>
      <c r="AN6654" t="s">
        <v>78</v>
      </c>
      <c r="AO6654" t="s">
        <v>78</v>
      </c>
      <c r="AP6654" t="s">
        <v>163</v>
      </c>
      <c r="AQ6654">
        <v>1</v>
      </c>
      <c r="AR6654" t="s">
        <v>80</v>
      </c>
      <c r="AS6654" t="s">
        <v>81</v>
      </c>
      <c r="AT6654" t="s">
        <v>58</v>
      </c>
      <c r="AU6654" t="s">
        <v>68</v>
      </c>
      <c r="AV6654" t="s">
        <v>69</v>
      </c>
      <c r="AW6654" s="1">
        <v>22600</v>
      </c>
      <c r="AX6654">
        <v>1</v>
      </c>
    </row>
    <row r="6655" spans="1:50">
      <c r="A6655">
        <v>621524</v>
      </c>
      <c r="B6655" t="str">
        <f>"137457324"</f>
        <v>137457324</v>
      </c>
      <c r="C6655" t="s">
        <v>105</v>
      </c>
      <c r="D6655" t="s">
        <v>11067</v>
      </c>
      <c r="E6655" t="s">
        <v>5013</v>
      </c>
      <c r="F6655" t="s">
        <v>5386</v>
      </c>
      <c r="G6655" t="s">
        <v>143</v>
      </c>
      <c r="H6655" t="str">
        <f>" "</f>
        <v xml:space="preserve"> </v>
      </c>
      <c r="J6655">
        <v>2833031356</v>
      </c>
      <c r="K6655">
        <v>6938859313</v>
      </c>
      <c r="N6655" t="s">
        <v>615</v>
      </c>
      <c r="O6655" t="s">
        <v>616</v>
      </c>
      <c r="R6655" t="s">
        <v>57</v>
      </c>
      <c r="S6655">
        <v>4</v>
      </c>
      <c r="T6655">
        <v>653</v>
      </c>
      <c r="U6655" s="1">
        <v>40043</v>
      </c>
      <c r="V6655" t="s">
        <v>80</v>
      </c>
      <c r="W6655" t="s">
        <v>81</v>
      </c>
      <c r="X6655" t="s">
        <v>58</v>
      </c>
      <c r="Y6655">
        <v>23</v>
      </c>
      <c r="Z6655" t="s">
        <v>59</v>
      </c>
      <c r="AA6655" t="s">
        <v>59</v>
      </c>
      <c r="AB6655" t="s">
        <v>59</v>
      </c>
      <c r="AC6655" t="s">
        <v>59</v>
      </c>
      <c r="AD6655" t="s">
        <v>59</v>
      </c>
      <c r="AF6655" s="1">
        <v>40043</v>
      </c>
      <c r="AG6655" t="s">
        <v>8645</v>
      </c>
      <c r="AH6655" t="s">
        <v>8646</v>
      </c>
      <c r="AI6655" t="str">
        <f>"9170039"</f>
        <v>9170039</v>
      </c>
      <c r="AJ6655" t="s">
        <v>8804</v>
      </c>
      <c r="AK6655">
        <v>2894022231</v>
      </c>
      <c r="AL6655" t="s">
        <v>8805</v>
      </c>
      <c r="AM6655" t="s">
        <v>78</v>
      </c>
      <c r="AN6655" t="s">
        <v>405</v>
      </c>
      <c r="AO6655" t="s">
        <v>406</v>
      </c>
      <c r="AP6655" t="s">
        <v>406</v>
      </c>
      <c r="AQ6655">
        <v>6</v>
      </c>
      <c r="AR6655" t="s">
        <v>80</v>
      </c>
      <c r="AS6655" t="s">
        <v>81</v>
      </c>
      <c r="AT6655" t="s">
        <v>58</v>
      </c>
      <c r="AU6655" t="s">
        <v>68</v>
      </c>
      <c r="AV6655" t="s">
        <v>69</v>
      </c>
      <c r="AW6655" s="1">
        <v>31492</v>
      </c>
      <c r="AX6655">
        <v>1</v>
      </c>
    </row>
    <row r="6656" spans="1:50">
      <c r="B6656" t="str">
        <f>"101628746"</f>
        <v>101628746</v>
      </c>
      <c r="C6656" t="s">
        <v>50</v>
      </c>
      <c r="D6656" t="s">
        <v>11068</v>
      </c>
      <c r="E6656" t="s">
        <v>5556</v>
      </c>
      <c r="F6656" t="s">
        <v>3049</v>
      </c>
      <c r="G6656" t="s">
        <v>11069</v>
      </c>
      <c r="H6656" t="str">
        <f>"ΔΟΜΠΟΛΗ 10 "</f>
        <v xml:space="preserve">ΔΟΜΠΟΛΗ 10 </v>
      </c>
      <c r="I6656">
        <v>54454</v>
      </c>
      <c r="J6656">
        <v>2310909955</v>
      </c>
      <c r="K6656">
        <v>6945052923</v>
      </c>
      <c r="N6656" t="s">
        <v>1525</v>
      </c>
      <c r="O6656" t="s">
        <v>1526</v>
      </c>
      <c r="R6656" t="s">
        <v>159</v>
      </c>
      <c r="S6656">
        <v>3</v>
      </c>
      <c r="T6656" t="s">
        <v>8670</v>
      </c>
      <c r="U6656" s="1">
        <v>43348</v>
      </c>
      <c r="V6656" t="s">
        <v>80</v>
      </c>
      <c r="W6656" t="s">
        <v>81</v>
      </c>
      <c r="X6656" t="s">
        <v>58</v>
      </c>
      <c r="Y6656">
        <v>25</v>
      </c>
      <c r="Z6656" t="s">
        <v>59</v>
      </c>
      <c r="AA6656" t="s">
        <v>59</v>
      </c>
      <c r="AB6656" t="s">
        <v>59</v>
      </c>
      <c r="AC6656" t="s">
        <v>59</v>
      </c>
      <c r="AD6656" t="s">
        <v>59</v>
      </c>
      <c r="AF6656" s="1">
        <v>43348</v>
      </c>
      <c r="AG6656" t="s">
        <v>8651</v>
      </c>
      <c r="AH6656" t="s">
        <v>8652</v>
      </c>
      <c r="AI6656" t="str">
        <f>"9170131"</f>
        <v>9170131</v>
      </c>
      <c r="AJ6656" t="s">
        <v>9597</v>
      </c>
      <c r="AK6656">
        <v>2895022644</v>
      </c>
      <c r="AL6656" t="s">
        <v>9596</v>
      </c>
      <c r="AM6656" t="s">
        <v>78</v>
      </c>
      <c r="AN6656" t="s">
        <v>482</v>
      </c>
      <c r="AO6656" t="s">
        <v>482</v>
      </c>
      <c r="AP6656" t="s">
        <v>483</v>
      </c>
      <c r="AQ6656">
        <v>14</v>
      </c>
      <c r="AR6656" t="s">
        <v>80</v>
      </c>
      <c r="AS6656" t="s">
        <v>81</v>
      </c>
      <c r="AT6656" t="s">
        <v>58</v>
      </c>
      <c r="AU6656" t="s">
        <v>8673</v>
      </c>
      <c r="AV6656" t="s">
        <v>132</v>
      </c>
      <c r="AW6656" s="1">
        <v>29210</v>
      </c>
      <c r="AX6656">
        <v>1</v>
      </c>
    </row>
    <row r="6657" spans="1:50">
      <c r="A6657">
        <v>604099</v>
      </c>
      <c r="B6657" t="str">
        <f>"103355944"</f>
        <v>103355944</v>
      </c>
      <c r="C6657" t="s">
        <v>50</v>
      </c>
      <c r="D6657" t="s">
        <v>11070</v>
      </c>
      <c r="E6657" t="s">
        <v>563</v>
      </c>
      <c r="F6657" t="s">
        <v>11071</v>
      </c>
      <c r="G6657" t="s">
        <v>250</v>
      </c>
      <c r="H6657" t="str">
        <f>"ΘΕΟΔ. ΜΑΤΘΑΙΑΚΗ 72 ΗΡΑΚΛΕΙΟ"</f>
        <v>ΘΕΟΔ. ΜΑΤΘΑΙΑΚΗ 72 ΗΡΑΚΛΕΙΟ</v>
      </c>
      <c r="I6657">
        <v>71305</v>
      </c>
      <c r="J6657">
        <v>2810316771</v>
      </c>
      <c r="K6657">
        <v>6974804327</v>
      </c>
      <c r="N6657" t="s">
        <v>615</v>
      </c>
      <c r="O6657" t="s">
        <v>616</v>
      </c>
      <c r="R6657" t="s">
        <v>57</v>
      </c>
      <c r="S6657">
        <v>8</v>
      </c>
      <c r="T6657">
        <v>231</v>
      </c>
      <c r="U6657" s="1">
        <v>38230</v>
      </c>
      <c r="V6657" t="s">
        <v>80</v>
      </c>
      <c r="W6657" t="s">
        <v>81</v>
      </c>
      <c r="X6657" t="s">
        <v>58</v>
      </c>
      <c r="Y6657">
        <v>22</v>
      </c>
      <c r="Z6657" t="s">
        <v>59</v>
      </c>
      <c r="AA6657" t="s">
        <v>59</v>
      </c>
      <c r="AB6657" t="s">
        <v>59</v>
      </c>
      <c r="AC6657" t="s">
        <v>59</v>
      </c>
      <c r="AD6657" t="s">
        <v>59</v>
      </c>
      <c r="AF6657" s="1">
        <v>38231</v>
      </c>
      <c r="AG6657" t="s">
        <v>8645</v>
      </c>
      <c r="AH6657" t="s">
        <v>8646</v>
      </c>
      <c r="AI6657" t="str">
        <f>"9170115"</f>
        <v>9170115</v>
      </c>
      <c r="AJ6657" t="s">
        <v>8770</v>
      </c>
      <c r="AK6657">
        <v>2810231165</v>
      </c>
      <c r="AL6657" t="s">
        <v>8771</v>
      </c>
      <c r="AM6657" t="s">
        <v>78</v>
      </c>
      <c r="AN6657" t="s">
        <v>78</v>
      </c>
      <c r="AO6657" t="s">
        <v>78</v>
      </c>
      <c r="AP6657" t="s">
        <v>141</v>
      </c>
      <c r="AQ6657">
        <v>1</v>
      </c>
      <c r="AR6657" t="s">
        <v>80</v>
      </c>
      <c r="AS6657" t="s">
        <v>81</v>
      </c>
      <c r="AT6657" t="s">
        <v>58</v>
      </c>
      <c r="AU6657" t="s">
        <v>68</v>
      </c>
      <c r="AV6657" t="s">
        <v>69</v>
      </c>
      <c r="AW6657" s="1">
        <v>27986</v>
      </c>
      <c r="AX6657">
        <v>1</v>
      </c>
    </row>
    <row r="6658" spans="1:50">
      <c r="A6658">
        <v>613237</v>
      </c>
      <c r="B6658" t="str">
        <f>"062798832"</f>
        <v>062798832</v>
      </c>
      <c r="C6658" t="s">
        <v>50</v>
      </c>
      <c r="D6658" t="s">
        <v>8104</v>
      </c>
      <c r="E6658" t="s">
        <v>237</v>
      </c>
      <c r="F6658" t="s">
        <v>99</v>
      </c>
      <c r="G6658" t="s">
        <v>263</v>
      </c>
      <c r="H6658" t="str">
        <f>"Μ. ΚΩΝΣΤΑΝΤΙΝΟΥ 80 ΗΡΑΚΛΕΙΟ "</f>
        <v xml:space="preserve">Μ. ΚΩΝΣΤΑΝΤΙΝΟΥ 80 ΗΡΑΚΛΕΙΟ </v>
      </c>
      <c r="I6658">
        <v>71307</v>
      </c>
      <c r="J6658">
        <v>2810228520</v>
      </c>
      <c r="K6658">
        <v>6976552199</v>
      </c>
      <c r="M6658" t="s">
        <v>11072</v>
      </c>
      <c r="N6658" t="s">
        <v>615</v>
      </c>
      <c r="O6658" t="s">
        <v>616</v>
      </c>
      <c r="R6658" t="s">
        <v>57</v>
      </c>
      <c r="S6658">
        <v>6</v>
      </c>
      <c r="T6658">
        <v>598</v>
      </c>
      <c r="U6658" s="1">
        <v>39310</v>
      </c>
      <c r="V6658" t="s">
        <v>80</v>
      </c>
      <c r="W6658" t="s">
        <v>81</v>
      </c>
      <c r="X6658" t="s">
        <v>58</v>
      </c>
      <c r="Y6658">
        <v>23</v>
      </c>
      <c r="Z6658" t="s">
        <v>59</v>
      </c>
      <c r="AA6658" t="s">
        <v>59</v>
      </c>
      <c r="AB6658" t="s">
        <v>59</v>
      </c>
      <c r="AC6658" t="s">
        <v>59</v>
      </c>
      <c r="AD6658" t="s">
        <v>59</v>
      </c>
      <c r="AF6658" s="1">
        <v>39328</v>
      </c>
      <c r="AG6658" t="s">
        <v>8645</v>
      </c>
      <c r="AH6658" t="s">
        <v>8646</v>
      </c>
      <c r="AI6658" t="str">
        <f>"9170254"</f>
        <v>9170254</v>
      </c>
      <c r="AJ6658" t="s">
        <v>9839</v>
      </c>
      <c r="AK6658">
        <v>2810245069</v>
      </c>
      <c r="AL6658" t="s">
        <v>9840</v>
      </c>
      <c r="AM6658" t="s">
        <v>78</v>
      </c>
      <c r="AN6658" t="s">
        <v>78</v>
      </c>
      <c r="AO6658" t="s">
        <v>78</v>
      </c>
      <c r="AP6658" t="s">
        <v>213</v>
      </c>
      <c r="AQ6658">
        <v>1</v>
      </c>
      <c r="AR6658" t="s">
        <v>80</v>
      </c>
      <c r="AS6658" t="s">
        <v>81</v>
      </c>
      <c r="AT6658" t="s">
        <v>58</v>
      </c>
      <c r="AU6658" t="s">
        <v>68</v>
      </c>
      <c r="AV6658" t="s">
        <v>69</v>
      </c>
      <c r="AW6658" s="1">
        <v>30046</v>
      </c>
      <c r="AX6658">
        <v>1</v>
      </c>
    </row>
    <row r="6659" spans="1:50">
      <c r="B6659" t="str">
        <f>"147320407"</f>
        <v>147320407</v>
      </c>
      <c r="C6659" t="s">
        <v>50</v>
      </c>
      <c r="D6659" t="s">
        <v>11073</v>
      </c>
      <c r="E6659" t="s">
        <v>134</v>
      </c>
      <c r="F6659" t="s">
        <v>995</v>
      </c>
      <c r="G6659" t="s">
        <v>112</v>
      </c>
      <c r="H6659" t="str">
        <f>"ΞΙΦΙΑΝΗ "</f>
        <v xml:space="preserve">ΞΙΦΙΑΝΗ </v>
      </c>
      <c r="I6659">
        <v>58400</v>
      </c>
      <c r="J6659">
        <v>2384092259</v>
      </c>
      <c r="K6659">
        <v>6974209593</v>
      </c>
      <c r="M6659" t="s">
        <v>11074</v>
      </c>
      <c r="N6659" t="s">
        <v>615</v>
      </c>
      <c r="O6659" t="s">
        <v>616</v>
      </c>
      <c r="R6659" t="s">
        <v>159</v>
      </c>
      <c r="S6659">
        <v>2</v>
      </c>
      <c r="T6659" t="s">
        <v>8675</v>
      </c>
      <c r="U6659" s="1">
        <v>43348</v>
      </c>
      <c r="V6659" t="s">
        <v>80</v>
      </c>
      <c r="W6659" t="s">
        <v>81</v>
      </c>
      <c r="X6659" t="s">
        <v>58</v>
      </c>
      <c r="Y6659">
        <v>24</v>
      </c>
      <c r="Z6659" t="s">
        <v>59</v>
      </c>
      <c r="AA6659" t="s">
        <v>59</v>
      </c>
      <c r="AB6659" t="s">
        <v>59</v>
      </c>
      <c r="AC6659" t="s">
        <v>59</v>
      </c>
      <c r="AD6659" t="s">
        <v>59</v>
      </c>
      <c r="AF6659" s="1">
        <v>43348</v>
      </c>
      <c r="AG6659" t="s">
        <v>8645</v>
      </c>
      <c r="AH6659" t="s">
        <v>8646</v>
      </c>
      <c r="AI6659" t="str">
        <f>"9170267"</f>
        <v>9170267</v>
      </c>
      <c r="AJ6659" t="s">
        <v>8840</v>
      </c>
      <c r="AK6659">
        <v>2892022320</v>
      </c>
      <c r="AL6659" t="s">
        <v>8841</v>
      </c>
      <c r="AM6659" t="s">
        <v>78</v>
      </c>
      <c r="AN6659" t="s">
        <v>242</v>
      </c>
      <c r="AO6659" t="s">
        <v>243</v>
      </c>
      <c r="AP6659" t="s">
        <v>243</v>
      </c>
      <c r="AQ6659">
        <v>20</v>
      </c>
      <c r="AR6659" t="s">
        <v>80</v>
      </c>
      <c r="AS6659" t="s">
        <v>81</v>
      </c>
      <c r="AT6659" t="s">
        <v>58</v>
      </c>
      <c r="AU6659" t="s">
        <v>8673</v>
      </c>
      <c r="AV6659" t="s">
        <v>132</v>
      </c>
      <c r="AW6659" s="1">
        <v>32251</v>
      </c>
      <c r="AX6659">
        <v>1</v>
      </c>
    </row>
    <row r="6660" spans="1:50">
      <c r="A6660">
        <v>605729</v>
      </c>
      <c r="B6660" t="str">
        <f>"038528426"</f>
        <v>038528426</v>
      </c>
      <c r="C6660" t="s">
        <v>50</v>
      </c>
      <c r="D6660" t="s">
        <v>11073</v>
      </c>
      <c r="E6660" t="s">
        <v>1068</v>
      </c>
      <c r="F6660" t="s">
        <v>1229</v>
      </c>
      <c r="G6660" t="s">
        <v>54</v>
      </c>
      <c r="H6660" t="str">
        <f>"126 ΣΜ/ΜΑΦ  ΗΡΑΚΛΕΙΟ"</f>
        <v>126 ΣΜ/ΜΑΦ  ΗΡΑΚΛΕΙΟ</v>
      </c>
      <c r="I6660">
        <v>71601</v>
      </c>
      <c r="J6660">
        <v>2310829562</v>
      </c>
      <c r="K6660">
        <v>6976774523</v>
      </c>
      <c r="N6660" t="s">
        <v>615</v>
      </c>
      <c r="O6660" t="s">
        <v>616</v>
      </c>
      <c r="R6660" t="s">
        <v>57</v>
      </c>
      <c r="S6660">
        <v>8</v>
      </c>
      <c r="T6660">
        <v>231</v>
      </c>
      <c r="U6660" s="1">
        <v>38230</v>
      </c>
      <c r="V6660" t="s">
        <v>80</v>
      </c>
      <c r="W6660" t="s">
        <v>81</v>
      </c>
      <c r="X6660" t="s">
        <v>58</v>
      </c>
      <c r="Y6660">
        <v>22</v>
      </c>
      <c r="Z6660" t="s">
        <v>59</v>
      </c>
      <c r="AA6660" t="s">
        <v>59</v>
      </c>
      <c r="AB6660" t="s">
        <v>59</v>
      </c>
      <c r="AC6660" t="s">
        <v>59</v>
      </c>
      <c r="AD6660" t="s">
        <v>59</v>
      </c>
      <c r="AF6660" s="1">
        <v>38231</v>
      </c>
      <c r="AG6660" t="s">
        <v>8645</v>
      </c>
      <c r="AH6660" t="s">
        <v>8646</v>
      </c>
      <c r="AI6660" t="str">
        <f>"9170219"</f>
        <v>9170219</v>
      </c>
      <c r="AJ6660" t="s">
        <v>8967</v>
      </c>
      <c r="AK6660">
        <v>2897041357</v>
      </c>
      <c r="AL6660" t="s">
        <v>8968</v>
      </c>
      <c r="AM6660" t="s">
        <v>78</v>
      </c>
      <c r="AN6660" t="s">
        <v>219</v>
      </c>
      <c r="AO6660" t="s">
        <v>297</v>
      </c>
      <c r="AP6660" t="s">
        <v>297</v>
      </c>
      <c r="AQ6660">
        <v>7</v>
      </c>
      <c r="AR6660" t="s">
        <v>80</v>
      </c>
      <c r="AS6660" t="s">
        <v>81</v>
      </c>
      <c r="AT6660" t="s">
        <v>58</v>
      </c>
      <c r="AU6660" t="s">
        <v>68</v>
      </c>
      <c r="AV6660" t="s">
        <v>69</v>
      </c>
      <c r="AW6660" s="1">
        <v>27775</v>
      </c>
      <c r="AX6660">
        <v>1</v>
      </c>
    </row>
    <row r="6661" spans="1:50">
      <c r="B6661" t="str">
        <f>"113602605"</f>
        <v>113602605</v>
      </c>
      <c r="C6661" t="s">
        <v>50</v>
      </c>
      <c r="D6661" t="s">
        <v>3284</v>
      </c>
      <c r="E6661" t="s">
        <v>580</v>
      </c>
      <c r="F6661" t="s">
        <v>2627</v>
      </c>
      <c r="G6661" t="s">
        <v>83</v>
      </c>
      <c r="H6661" t="str">
        <f>"ΚΡΙΑΡΗ 59 ΡΕΘΥΜΝΟ"</f>
        <v>ΚΡΙΑΡΗ 59 ΡΕΘΥΜΝΟ</v>
      </c>
      <c r="I6661">
        <v>74100</v>
      </c>
      <c r="J6661">
        <v>2834061295</v>
      </c>
      <c r="K6661">
        <v>6972119827</v>
      </c>
      <c r="M6661" t="s">
        <v>11075</v>
      </c>
      <c r="N6661" t="s">
        <v>1525</v>
      </c>
      <c r="O6661" t="s">
        <v>1526</v>
      </c>
      <c r="R6661" t="s">
        <v>159</v>
      </c>
      <c r="S6661">
        <v>3</v>
      </c>
      <c r="T6661" t="s">
        <v>8670</v>
      </c>
      <c r="U6661" s="1">
        <v>43348</v>
      </c>
      <c r="V6661" t="s">
        <v>80</v>
      </c>
      <c r="W6661" t="s">
        <v>81</v>
      </c>
      <c r="X6661" t="s">
        <v>58</v>
      </c>
      <c r="Y6661">
        <v>25</v>
      </c>
      <c r="Z6661" t="s">
        <v>59</v>
      </c>
      <c r="AA6661" t="s">
        <v>59</v>
      </c>
      <c r="AB6661" t="s">
        <v>59</v>
      </c>
      <c r="AC6661" t="s">
        <v>59</v>
      </c>
      <c r="AD6661" t="s">
        <v>59</v>
      </c>
      <c r="AF6661" s="1">
        <v>43348</v>
      </c>
      <c r="AG6661" t="s">
        <v>8651</v>
      </c>
      <c r="AH6661" t="s">
        <v>8652</v>
      </c>
      <c r="AI6661" t="str">
        <f>"9170586"</f>
        <v>9170586</v>
      </c>
      <c r="AJ6661" t="s">
        <v>10130</v>
      </c>
      <c r="AK6661">
        <v>2810823321</v>
      </c>
      <c r="AL6661" t="s">
        <v>10131</v>
      </c>
      <c r="AM6661" t="s">
        <v>78</v>
      </c>
      <c r="AN6661" t="s">
        <v>129</v>
      </c>
      <c r="AO6661" t="s">
        <v>130</v>
      </c>
      <c r="AP6661" t="s">
        <v>130</v>
      </c>
      <c r="AQ6661">
        <v>1</v>
      </c>
      <c r="AR6661" t="s">
        <v>80</v>
      </c>
      <c r="AS6661" t="s">
        <v>81</v>
      </c>
      <c r="AT6661" t="s">
        <v>58</v>
      </c>
      <c r="AU6661" t="s">
        <v>8673</v>
      </c>
      <c r="AV6661" t="s">
        <v>132</v>
      </c>
      <c r="AW6661" s="1">
        <v>28134</v>
      </c>
      <c r="AX6661">
        <v>1</v>
      </c>
    </row>
    <row r="6662" spans="1:50">
      <c r="A6662">
        <v>560941</v>
      </c>
      <c r="B6662" t="str">
        <f>"031443852"</f>
        <v>031443852</v>
      </c>
      <c r="C6662" t="s">
        <v>50</v>
      </c>
      <c r="D6662" t="s">
        <v>3284</v>
      </c>
      <c r="E6662" t="s">
        <v>112</v>
      </c>
      <c r="F6662" t="s">
        <v>166</v>
      </c>
      <c r="G6662" t="s">
        <v>255</v>
      </c>
      <c r="H6662" t="str">
        <f>"ΑΙΓΑΙΟΥ  6 ΗΡΑΚΛΕΙΟ"</f>
        <v>ΑΙΓΑΙΟΥ  6 ΗΡΑΚΛΕΙΟ</v>
      </c>
      <c r="I6662">
        <v>71414</v>
      </c>
      <c r="J6662">
        <v>2810262423</v>
      </c>
      <c r="K6662">
        <v>6972339175</v>
      </c>
      <c r="M6662" t="s">
        <v>11076</v>
      </c>
      <c r="N6662" t="s">
        <v>615</v>
      </c>
      <c r="O6662" t="s">
        <v>616</v>
      </c>
      <c r="R6662" t="s">
        <v>57</v>
      </c>
      <c r="S6662">
        <v>15</v>
      </c>
      <c r="T6662">
        <v>159</v>
      </c>
      <c r="U6662" s="1">
        <v>32385</v>
      </c>
      <c r="V6662" t="s">
        <v>80</v>
      </c>
      <c r="W6662" t="s">
        <v>81</v>
      </c>
      <c r="X6662" t="s">
        <v>58</v>
      </c>
      <c r="Y6662">
        <v>21</v>
      </c>
      <c r="Z6662" t="s">
        <v>59</v>
      </c>
      <c r="AA6662" t="s">
        <v>59</v>
      </c>
      <c r="AB6662" t="s">
        <v>59</v>
      </c>
      <c r="AC6662" t="s">
        <v>59</v>
      </c>
      <c r="AD6662" t="s">
        <v>59</v>
      </c>
      <c r="AF6662" s="1">
        <v>32385</v>
      </c>
      <c r="AG6662" t="s">
        <v>8645</v>
      </c>
      <c r="AH6662" t="s">
        <v>8697</v>
      </c>
      <c r="AI6662" t="str">
        <f>"9170358"</f>
        <v>9170358</v>
      </c>
      <c r="AJ6662" t="s">
        <v>9378</v>
      </c>
      <c r="AK6662">
        <v>2810282028</v>
      </c>
      <c r="AL6662" t="s">
        <v>9379</v>
      </c>
      <c r="AM6662" t="s">
        <v>78</v>
      </c>
      <c r="AN6662" t="s">
        <v>78</v>
      </c>
      <c r="AO6662" t="s">
        <v>78</v>
      </c>
      <c r="AP6662" t="s">
        <v>141</v>
      </c>
      <c r="AQ6662">
        <v>1</v>
      </c>
      <c r="AR6662" t="s">
        <v>80</v>
      </c>
      <c r="AS6662" t="s">
        <v>81</v>
      </c>
      <c r="AT6662" t="s">
        <v>58</v>
      </c>
      <c r="AU6662" t="s">
        <v>68</v>
      </c>
      <c r="AV6662" t="s">
        <v>69</v>
      </c>
      <c r="AW6662" s="1">
        <v>23947</v>
      </c>
      <c r="AX6662">
        <v>1</v>
      </c>
    </row>
    <row r="6663" spans="1:50">
      <c r="B6663" t="str">
        <f>"140161930"</f>
        <v>140161930</v>
      </c>
      <c r="C6663" t="s">
        <v>50</v>
      </c>
      <c r="D6663" t="s">
        <v>11077</v>
      </c>
      <c r="E6663" t="s">
        <v>52</v>
      </c>
      <c r="F6663" t="s">
        <v>609</v>
      </c>
      <c r="G6663" t="s">
        <v>11078</v>
      </c>
      <c r="H6663" t="str">
        <f>"ΑΡΧΑΓΓΕΛΟΣ-ΡΟΔΟΣ ΡΟΔΟΣ"</f>
        <v>ΑΡΧΑΓΓΕΛΟΣ-ΡΟΔΟΣ ΡΟΔΟΣ</v>
      </c>
      <c r="I6663">
        <v>85102</v>
      </c>
      <c r="J6663">
        <v>2244022716</v>
      </c>
      <c r="K6663">
        <v>6934391230</v>
      </c>
      <c r="N6663" t="s">
        <v>615</v>
      </c>
      <c r="O6663" t="s">
        <v>616</v>
      </c>
      <c r="R6663" t="s">
        <v>159</v>
      </c>
      <c r="S6663">
        <v>3</v>
      </c>
      <c r="T6663" t="s">
        <v>8675</v>
      </c>
      <c r="U6663" s="1">
        <v>43348</v>
      </c>
      <c r="V6663" t="s">
        <v>80</v>
      </c>
      <c r="W6663" t="s">
        <v>81</v>
      </c>
      <c r="X6663" t="s">
        <v>58</v>
      </c>
      <c r="Y6663">
        <v>24</v>
      </c>
      <c r="Z6663" t="s">
        <v>59</v>
      </c>
      <c r="AA6663" t="s">
        <v>59</v>
      </c>
      <c r="AB6663" t="s">
        <v>59</v>
      </c>
      <c r="AC6663" t="s">
        <v>59</v>
      </c>
      <c r="AD6663" t="s">
        <v>59</v>
      </c>
      <c r="AF6663" s="1">
        <v>43348</v>
      </c>
      <c r="AG6663" t="s">
        <v>8645</v>
      </c>
      <c r="AH6663" t="s">
        <v>8646</v>
      </c>
      <c r="AI6663" t="str">
        <f>"9521092"</f>
        <v>9521092</v>
      </c>
      <c r="AJ6663" t="s">
        <v>9234</v>
      </c>
      <c r="AK6663">
        <v>2810313321</v>
      </c>
      <c r="AL6663" t="s">
        <v>9235</v>
      </c>
      <c r="AM6663" t="s">
        <v>78</v>
      </c>
      <c r="AN6663" t="s">
        <v>78</v>
      </c>
      <c r="AO6663" t="s">
        <v>78</v>
      </c>
      <c r="AP6663" t="s">
        <v>141</v>
      </c>
      <c r="AQ6663">
        <v>1</v>
      </c>
      <c r="AR6663" t="s">
        <v>80</v>
      </c>
      <c r="AS6663" t="s">
        <v>81</v>
      </c>
      <c r="AT6663" t="s">
        <v>58</v>
      </c>
      <c r="AU6663" t="s">
        <v>8673</v>
      </c>
      <c r="AV6663" t="s">
        <v>132</v>
      </c>
      <c r="AW6663" s="1">
        <v>30300</v>
      </c>
      <c r="AX6663">
        <v>1</v>
      </c>
    </row>
    <row r="6664" spans="1:50">
      <c r="A6664">
        <v>612274</v>
      </c>
      <c r="B6664" t="str">
        <f>"103284560"</f>
        <v>103284560</v>
      </c>
      <c r="C6664" t="s">
        <v>50</v>
      </c>
      <c r="D6664" t="s">
        <v>11079</v>
      </c>
      <c r="E6664" t="s">
        <v>52</v>
      </c>
      <c r="F6664" t="s">
        <v>920</v>
      </c>
      <c r="G6664" t="s">
        <v>73</v>
      </c>
      <c r="H6664" t="str">
        <f>" "</f>
        <v xml:space="preserve"> </v>
      </c>
      <c r="J6664">
        <v>2897031330</v>
      </c>
      <c r="K6664">
        <v>6947401746</v>
      </c>
      <c r="N6664" t="s">
        <v>306</v>
      </c>
      <c r="O6664" t="s">
        <v>307</v>
      </c>
      <c r="R6664" t="s">
        <v>57</v>
      </c>
      <c r="S6664">
        <v>6</v>
      </c>
      <c r="T6664">
        <v>234</v>
      </c>
      <c r="U6664" s="1">
        <v>38960</v>
      </c>
      <c r="V6664" t="s">
        <v>80</v>
      </c>
      <c r="W6664" t="s">
        <v>81</v>
      </c>
      <c r="X6664" t="s">
        <v>58</v>
      </c>
      <c r="Y6664">
        <v>23</v>
      </c>
      <c r="Z6664" t="s">
        <v>59</v>
      </c>
      <c r="AA6664" t="s">
        <v>59</v>
      </c>
      <c r="AB6664" t="s">
        <v>59</v>
      </c>
      <c r="AC6664" t="s">
        <v>59</v>
      </c>
      <c r="AD6664" t="s">
        <v>59</v>
      </c>
      <c r="AF6664" s="1">
        <v>38961</v>
      </c>
      <c r="AG6664" t="s">
        <v>8645</v>
      </c>
      <c r="AH6664" t="s">
        <v>8646</v>
      </c>
      <c r="AI6664" t="str">
        <f>"9170242"</f>
        <v>9170242</v>
      </c>
      <c r="AJ6664" t="s">
        <v>9314</v>
      </c>
      <c r="AK6664">
        <v>2897031254</v>
      </c>
      <c r="AL6664" t="s">
        <v>9315</v>
      </c>
      <c r="AM6664" t="s">
        <v>78</v>
      </c>
      <c r="AN6664" t="s">
        <v>219</v>
      </c>
      <c r="AO6664" t="s">
        <v>527</v>
      </c>
      <c r="AP6664" t="s">
        <v>527</v>
      </c>
      <c r="AQ6664">
        <v>8</v>
      </c>
      <c r="AR6664" t="s">
        <v>80</v>
      </c>
      <c r="AS6664" t="s">
        <v>81</v>
      </c>
      <c r="AT6664" t="s">
        <v>58</v>
      </c>
      <c r="AU6664" t="s">
        <v>68</v>
      </c>
      <c r="AV6664" t="s">
        <v>69</v>
      </c>
      <c r="AW6664" s="1">
        <v>29952</v>
      </c>
      <c r="AX6664">
        <v>1</v>
      </c>
    </row>
    <row r="6665" spans="1:50">
      <c r="A6665">
        <v>701461</v>
      </c>
      <c r="B6665" t="str">
        <f>"125583800"</f>
        <v>125583800</v>
      </c>
      <c r="C6665" t="s">
        <v>50</v>
      </c>
      <c r="D6665" t="s">
        <v>11080</v>
      </c>
      <c r="E6665" t="s">
        <v>250</v>
      </c>
      <c r="F6665" t="s">
        <v>72</v>
      </c>
      <c r="G6665" t="s">
        <v>8615</v>
      </c>
      <c r="H6665" t="str">
        <f>"ΑΝΑΓΕΝΝΗΣΕΩΣ 4 ΗΡΑΚΛΕΙΟ"</f>
        <v>ΑΝΑΓΕΝΝΗΣΕΩΣ 4 ΗΡΑΚΛΕΙΟ</v>
      </c>
      <c r="I6665">
        <v>71305</v>
      </c>
      <c r="J6665">
        <v>2810210565</v>
      </c>
      <c r="K6665">
        <v>6973727017</v>
      </c>
      <c r="N6665" t="s">
        <v>615</v>
      </c>
      <c r="O6665" t="s">
        <v>616</v>
      </c>
      <c r="R6665" t="s">
        <v>57</v>
      </c>
      <c r="S6665">
        <v>4</v>
      </c>
      <c r="T6665">
        <v>772</v>
      </c>
      <c r="U6665" s="1">
        <v>40413</v>
      </c>
      <c r="V6665" t="s">
        <v>80</v>
      </c>
      <c r="W6665" t="s">
        <v>81</v>
      </c>
      <c r="X6665" t="s">
        <v>58</v>
      </c>
      <c r="Y6665">
        <v>24</v>
      </c>
      <c r="Z6665" t="s">
        <v>59</v>
      </c>
      <c r="AA6665" t="s">
        <v>59</v>
      </c>
      <c r="AB6665" t="s">
        <v>59</v>
      </c>
      <c r="AC6665" t="s">
        <v>59</v>
      </c>
      <c r="AD6665" t="s">
        <v>59</v>
      </c>
      <c r="AF6665" s="1">
        <v>40413</v>
      </c>
      <c r="AG6665" t="s">
        <v>8645</v>
      </c>
      <c r="AH6665" t="s">
        <v>8646</v>
      </c>
      <c r="AI6665" t="str">
        <f>"9170575"</f>
        <v>9170575</v>
      </c>
      <c r="AJ6665" t="s">
        <v>8748</v>
      </c>
      <c r="AK6665">
        <v>2810260772</v>
      </c>
      <c r="AL6665" t="s">
        <v>8749</v>
      </c>
      <c r="AM6665" t="s">
        <v>78</v>
      </c>
      <c r="AN6665" t="s">
        <v>78</v>
      </c>
      <c r="AO6665" t="s">
        <v>78</v>
      </c>
      <c r="AP6665" t="s">
        <v>141</v>
      </c>
      <c r="AQ6665">
        <v>1</v>
      </c>
      <c r="AR6665" t="s">
        <v>80</v>
      </c>
      <c r="AS6665" t="s">
        <v>81</v>
      </c>
      <c r="AT6665" t="s">
        <v>58</v>
      </c>
      <c r="AU6665" t="s">
        <v>68</v>
      </c>
      <c r="AV6665" t="s">
        <v>69</v>
      </c>
      <c r="AW6665" s="1">
        <v>31598</v>
      </c>
      <c r="AX6665">
        <v>1</v>
      </c>
    </row>
    <row r="6666" spans="1:50">
      <c r="B6666" t="str">
        <f>"136207417"</f>
        <v>136207417</v>
      </c>
      <c r="C6666" t="s">
        <v>50</v>
      </c>
      <c r="D6666" t="s">
        <v>11081</v>
      </c>
      <c r="E6666" t="s">
        <v>52</v>
      </c>
      <c r="F6666" t="s">
        <v>99</v>
      </c>
      <c r="G6666" t="s">
        <v>215</v>
      </c>
      <c r="H6666" t="str">
        <f>"Θ.ΚΟΝΤΟΣΟΓΛΟΥ 5-ΣΥΚΙΕΣ "</f>
        <v xml:space="preserve">Θ.ΚΟΝΤΟΣΟΓΛΟΥ 5-ΣΥΚΙΕΣ </v>
      </c>
      <c r="I6666">
        <v>56626</v>
      </c>
      <c r="J6666">
        <v>2310629848</v>
      </c>
      <c r="K6666">
        <v>6939916781</v>
      </c>
      <c r="N6666" t="s">
        <v>1525</v>
      </c>
      <c r="O6666" t="s">
        <v>1526</v>
      </c>
      <c r="R6666" t="s">
        <v>159</v>
      </c>
      <c r="S6666">
        <v>4</v>
      </c>
      <c r="T6666" t="s">
        <v>8670</v>
      </c>
      <c r="U6666" s="1">
        <v>43348</v>
      </c>
      <c r="V6666" t="s">
        <v>80</v>
      </c>
      <c r="W6666" t="s">
        <v>81</v>
      </c>
      <c r="X6666" t="s">
        <v>58</v>
      </c>
      <c r="Y6666">
        <v>25</v>
      </c>
      <c r="Z6666" t="s">
        <v>59</v>
      </c>
      <c r="AA6666" t="s">
        <v>59</v>
      </c>
      <c r="AB6666" t="s">
        <v>59</v>
      </c>
      <c r="AC6666" t="s">
        <v>59</v>
      </c>
      <c r="AD6666" t="s">
        <v>59</v>
      </c>
      <c r="AF6666" s="1">
        <v>43348</v>
      </c>
      <c r="AG6666" t="s">
        <v>8651</v>
      </c>
      <c r="AH6666" t="s">
        <v>8652</v>
      </c>
      <c r="AI6666" t="str">
        <f>"9170477"</f>
        <v>9170477</v>
      </c>
      <c r="AJ6666" t="s">
        <v>9623</v>
      </c>
      <c r="AK6666">
        <v>2892091506</v>
      </c>
      <c r="AL6666" t="s">
        <v>9624</v>
      </c>
      <c r="AM6666" t="s">
        <v>78</v>
      </c>
      <c r="AN6666" t="s">
        <v>242</v>
      </c>
      <c r="AO6666" t="s">
        <v>349</v>
      </c>
      <c r="AP6666" t="s">
        <v>8965</v>
      </c>
      <c r="AQ6666">
        <v>19</v>
      </c>
      <c r="AR6666" t="s">
        <v>80</v>
      </c>
      <c r="AS6666" t="s">
        <v>81</v>
      </c>
      <c r="AT6666" t="s">
        <v>58</v>
      </c>
      <c r="AU6666" t="s">
        <v>8673</v>
      </c>
      <c r="AV6666" t="s">
        <v>132</v>
      </c>
      <c r="AW6666" s="1">
        <v>30996</v>
      </c>
      <c r="AX6666">
        <v>1</v>
      </c>
    </row>
    <row r="6667" spans="1:50">
      <c r="A6667">
        <v>586330</v>
      </c>
      <c r="B6667" t="str">
        <f>"079758064"</f>
        <v>079758064</v>
      </c>
      <c r="C6667" t="s">
        <v>50</v>
      </c>
      <c r="D6667" t="s">
        <v>11082</v>
      </c>
      <c r="E6667" t="s">
        <v>1277</v>
      </c>
      <c r="F6667" t="s">
        <v>311</v>
      </c>
      <c r="G6667" t="s">
        <v>237</v>
      </c>
      <c r="H6667" t="str">
        <f>"ΠΑΠΑ-ΠΕΤΡΟΥ ΓΑΒΑΛΑ 16   ΗΡΑΚΛΕΙΟ"</f>
        <v>ΠΑΠΑ-ΠΕΤΡΟΥ ΓΑΒΑΛΑ 16   ΗΡΑΚΛΕΙΟ</v>
      </c>
      <c r="I6667">
        <v>71409</v>
      </c>
      <c r="J6667">
        <v>2810238916</v>
      </c>
      <c r="K6667">
        <v>6974552845</v>
      </c>
      <c r="N6667" t="s">
        <v>615</v>
      </c>
      <c r="O6667" t="s">
        <v>616</v>
      </c>
      <c r="R6667" t="s">
        <v>57</v>
      </c>
      <c r="S6667">
        <v>10</v>
      </c>
      <c r="T6667">
        <v>165</v>
      </c>
      <c r="U6667" s="1">
        <v>36040</v>
      </c>
      <c r="V6667" t="s">
        <v>80</v>
      </c>
      <c r="W6667" t="s">
        <v>81</v>
      </c>
      <c r="X6667" t="s">
        <v>58</v>
      </c>
      <c r="Y6667">
        <v>21</v>
      </c>
      <c r="Z6667" t="s">
        <v>59</v>
      </c>
      <c r="AA6667" t="s">
        <v>59</v>
      </c>
      <c r="AB6667" t="s">
        <v>59</v>
      </c>
      <c r="AC6667" t="s">
        <v>59</v>
      </c>
      <c r="AD6667" t="s">
        <v>59</v>
      </c>
      <c r="AF6667" s="1">
        <v>36040</v>
      </c>
      <c r="AG6667" t="s">
        <v>8645</v>
      </c>
      <c r="AH6667" t="s">
        <v>8646</v>
      </c>
      <c r="AI6667" t="str">
        <f>"9170533"</f>
        <v>9170533</v>
      </c>
      <c r="AJ6667" t="s">
        <v>9091</v>
      </c>
      <c r="AK6667">
        <v>2810239434</v>
      </c>
      <c r="AL6667" t="s">
        <v>9092</v>
      </c>
      <c r="AM6667" t="s">
        <v>78</v>
      </c>
      <c r="AN6667" t="s">
        <v>78</v>
      </c>
      <c r="AO6667" t="s">
        <v>78</v>
      </c>
      <c r="AP6667" t="s">
        <v>163</v>
      </c>
      <c r="AQ6667">
        <v>1</v>
      </c>
      <c r="AR6667" t="s">
        <v>80</v>
      </c>
      <c r="AS6667" t="s">
        <v>81</v>
      </c>
      <c r="AT6667" t="s">
        <v>58</v>
      </c>
      <c r="AU6667" t="s">
        <v>68</v>
      </c>
      <c r="AV6667" t="s">
        <v>69</v>
      </c>
      <c r="AW6667" s="1">
        <v>25659</v>
      </c>
      <c r="AX6667">
        <v>1</v>
      </c>
    </row>
    <row r="6668" spans="1:50">
      <c r="B6668" t="str">
        <f>"142768888"</f>
        <v>142768888</v>
      </c>
      <c r="C6668" t="s">
        <v>105</v>
      </c>
      <c r="D6668" t="s">
        <v>11083</v>
      </c>
      <c r="E6668" t="s">
        <v>95</v>
      </c>
      <c r="F6668" t="s">
        <v>1229</v>
      </c>
      <c r="G6668" t="s">
        <v>52</v>
      </c>
      <c r="H6668" t="str">
        <f>"ΑΓΙΟΥ ΠΑΝΤΕΛΕΗΜΟΝΟΣ 34 ΔΡΑΠΕΤΣΩΝΑ ΑΤΤΙΚΗΣ"</f>
        <v>ΑΓΙΟΥ ΠΑΝΤΕΛΕΗΜΟΝΟΣ 34 ΔΡΑΠΕΤΣΩΝΑ ΑΤΤΙΚΗΣ</v>
      </c>
      <c r="I6668">
        <v>18648</v>
      </c>
      <c r="J6668">
        <v>2104627901</v>
      </c>
      <c r="K6668">
        <v>6948002589</v>
      </c>
      <c r="N6668" t="s">
        <v>683</v>
      </c>
      <c r="O6668" t="s">
        <v>684</v>
      </c>
      <c r="R6668" t="s">
        <v>159</v>
      </c>
      <c r="S6668">
        <v>1</v>
      </c>
      <c r="T6668" t="s">
        <v>8675</v>
      </c>
      <c r="U6668" s="1">
        <v>43348</v>
      </c>
      <c r="V6668" t="s">
        <v>80</v>
      </c>
      <c r="W6668" t="s">
        <v>81</v>
      </c>
      <c r="X6668" t="s">
        <v>58</v>
      </c>
      <c r="Y6668">
        <v>24</v>
      </c>
      <c r="Z6668" t="s">
        <v>59</v>
      </c>
      <c r="AA6668" t="s">
        <v>59</v>
      </c>
      <c r="AB6668" t="s">
        <v>59</v>
      </c>
      <c r="AC6668" t="s">
        <v>59</v>
      </c>
      <c r="AD6668" t="s">
        <v>59</v>
      </c>
      <c r="AF6668" s="1">
        <v>43348</v>
      </c>
      <c r="AG6668" t="s">
        <v>8645</v>
      </c>
      <c r="AH6668" t="s">
        <v>8646</v>
      </c>
      <c r="AI6668" t="str">
        <f>"9170580"</f>
        <v>9170580</v>
      </c>
      <c r="AJ6668" t="s">
        <v>9076</v>
      </c>
      <c r="AK6668">
        <v>2810542809</v>
      </c>
      <c r="AL6668" t="s">
        <v>9077</v>
      </c>
      <c r="AM6668" t="s">
        <v>78</v>
      </c>
      <c r="AN6668" t="s">
        <v>78</v>
      </c>
      <c r="AO6668" t="s">
        <v>78</v>
      </c>
      <c r="AP6668" t="s">
        <v>9053</v>
      </c>
      <c r="AQ6668">
        <v>1</v>
      </c>
      <c r="AR6668" t="s">
        <v>80</v>
      </c>
      <c r="AS6668" t="s">
        <v>81</v>
      </c>
      <c r="AT6668" t="s">
        <v>58</v>
      </c>
      <c r="AU6668" t="s">
        <v>8673</v>
      </c>
      <c r="AV6668" t="s">
        <v>132</v>
      </c>
      <c r="AW6668" s="1">
        <v>31820</v>
      </c>
      <c r="AX6668">
        <v>1</v>
      </c>
    </row>
    <row r="6669" spans="1:50">
      <c r="B6669" t="str">
        <f>"123152530"</f>
        <v>123152530</v>
      </c>
      <c r="C6669" t="s">
        <v>50</v>
      </c>
      <c r="D6669" t="s">
        <v>11084</v>
      </c>
      <c r="E6669" t="s">
        <v>630</v>
      </c>
      <c r="F6669" t="s">
        <v>99</v>
      </c>
      <c r="H6669" t="str">
        <f>"ΛΥΣΣΟΥ 22 ΗΡΑΚΛΕΙΟ"</f>
        <v>ΛΥΣΣΟΥ 22 ΗΡΑΚΛΕΙΟ</v>
      </c>
      <c r="K6669">
        <v>6948808721</v>
      </c>
      <c r="N6669" t="s">
        <v>384</v>
      </c>
      <c r="O6669" t="s">
        <v>385</v>
      </c>
      <c r="R6669" t="s">
        <v>159</v>
      </c>
      <c r="S6669">
        <v>1</v>
      </c>
      <c r="T6669" t="s">
        <v>8675</v>
      </c>
      <c r="U6669" s="1">
        <v>43348</v>
      </c>
      <c r="V6669" t="s">
        <v>80</v>
      </c>
      <c r="W6669" t="s">
        <v>81</v>
      </c>
      <c r="X6669" t="s">
        <v>58</v>
      </c>
      <c r="Y6669">
        <v>24</v>
      </c>
      <c r="Z6669" t="s">
        <v>59</v>
      </c>
      <c r="AA6669" t="s">
        <v>59</v>
      </c>
      <c r="AB6669" t="s">
        <v>59</v>
      </c>
      <c r="AC6669" t="s">
        <v>59</v>
      </c>
      <c r="AD6669" t="s">
        <v>59</v>
      </c>
      <c r="AF6669" s="1">
        <v>43348</v>
      </c>
      <c r="AG6669" t="s">
        <v>8645</v>
      </c>
      <c r="AH6669" t="s">
        <v>8646</v>
      </c>
      <c r="AI6669" t="str">
        <f>"9170263"</f>
        <v>9170263</v>
      </c>
      <c r="AJ6669" t="s">
        <v>8942</v>
      </c>
      <c r="AK6669">
        <v>2810346939</v>
      </c>
      <c r="AL6669" t="s">
        <v>8943</v>
      </c>
      <c r="AM6669" t="s">
        <v>78</v>
      </c>
      <c r="AN6669" t="s">
        <v>78</v>
      </c>
      <c r="AO6669" t="s">
        <v>286</v>
      </c>
      <c r="AP6669" t="s">
        <v>286</v>
      </c>
      <c r="AQ6669">
        <v>1</v>
      </c>
      <c r="AR6669" t="s">
        <v>80</v>
      </c>
      <c r="AS6669" t="s">
        <v>81</v>
      </c>
      <c r="AT6669" t="s">
        <v>58</v>
      </c>
      <c r="AU6669" t="s">
        <v>8673</v>
      </c>
      <c r="AV6669" t="s">
        <v>132</v>
      </c>
      <c r="AW6669" s="1">
        <v>31155</v>
      </c>
      <c r="AX6669">
        <v>1</v>
      </c>
    </row>
    <row r="6670" spans="1:50">
      <c r="A6670">
        <v>594883</v>
      </c>
      <c r="B6670" t="str">
        <f>"065863676"</f>
        <v>065863676</v>
      </c>
      <c r="C6670" t="s">
        <v>50</v>
      </c>
      <c r="D6670" t="s">
        <v>8112</v>
      </c>
      <c r="E6670" t="s">
        <v>476</v>
      </c>
      <c r="F6670" t="s">
        <v>72</v>
      </c>
      <c r="G6670" t="s">
        <v>83</v>
      </c>
      <c r="H6670" t="str">
        <f>"ΣΤΑΔΙΟΥ 80 ΗΡΑΚΛΕΙΟ"</f>
        <v>ΣΤΑΔΙΟΥ 80 ΗΡΑΚΛΕΙΟ</v>
      </c>
      <c r="I6670">
        <v>71601</v>
      </c>
      <c r="J6670">
        <v>2810321677</v>
      </c>
      <c r="K6670">
        <v>6974230087</v>
      </c>
      <c r="N6670" t="s">
        <v>615</v>
      </c>
      <c r="O6670" t="s">
        <v>616</v>
      </c>
      <c r="R6670" t="s">
        <v>57</v>
      </c>
      <c r="S6670">
        <v>8</v>
      </c>
      <c r="T6670">
        <v>218</v>
      </c>
      <c r="U6670" s="1">
        <v>37134</v>
      </c>
      <c r="V6670" t="s">
        <v>80</v>
      </c>
      <c r="W6670" t="s">
        <v>81</v>
      </c>
      <c r="X6670" t="s">
        <v>58</v>
      </c>
      <c r="Y6670">
        <v>22</v>
      </c>
      <c r="Z6670" t="s">
        <v>59</v>
      </c>
      <c r="AA6670" t="s">
        <v>59</v>
      </c>
      <c r="AB6670" t="s">
        <v>59</v>
      </c>
      <c r="AC6670" t="s">
        <v>59</v>
      </c>
      <c r="AD6670" t="s">
        <v>59</v>
      </c>
      <c r="AF6670" s="1">
        <v>37137</v>
      </c>
      <c r="AG6670" t="s">
        <v>8645</v>
      </c>
      <c r="AH6670" t="s">
        <v>8646</v>
      </c>
      <c r="AI6670" t="str">
        <f>"9170531"</f>
        <v>9170531</v>
      </c>
      <c r="AJ6670" t="s">
        <v>8980</v>
      </c>
      <c r="AK6670">
        <v>2810229104</v>
      </c>
      <c r="AL6670" t="s">
        <v>8981</v>
      </c>
      <c r="AM6670" t="s">
        <v>78</v>
      </c>
      <c r="AN6670" t="s">
        <v>78</v>
      </c>
      <c r="AO6670" t="s">
        <v>78</v>
      </c>
      <c r="AP6670" t="s">
        <v>79</v>
      </c>
      <c r="AQ6670">
        <v>1</v>
      </c>
      <c r="AR6670" t="s">
        <v>80</v>
      </c>
      <c r="AS6670" t="s">
        <v>81</v>
      </c>
      <c r="AT6670" t="s">
        <v>58</v>
      </c>
      <c r="AU6670" t="s">
        <v>68</v>
      </c>
      <c r="AV6670" t="s">
        <v>69</v>
      </c>
      <c r="AW6670" s="1">
        <v>26572</v>
      </c>
      <c r="AX6670">
        <v>1</v>
      </c>
    </row>
    <row r="6671" spans="1:50">
      <c r="A6671">
        <v>600915</v>
      </c>
      <c r="B6671" t="str">
        <f>"079509778"</f>
        <v>079509778</v>
      </c>
      <c r="C6671" t="s">
        <v>50</v>
      </c>
      <c r="D6671" t="s">
        <v>11085</v>
      </c>
      <c r="E6671" t="s">
        <v>1355</v>
      </c>
      <c r="F6671" t="s">
        <v>377</v>
      </c>
      <c r="G6671" t="s">
        <v>181</v>
      </c>
      <c r="H6671" t="str">
        <f>"ΑΓΙΟΥ ΙΩΑΝΝΟΥ ΞΕΝΟΥ 1 ΗΡΑΚΛΕΙΟ"</f>
        <v>ΑΓΙΟΥ ΙΩΑΝΝΟΥ ΞΕΝΟΥ 1 ΗΡΑΚΛΕΙΟ</v>
      </c>
      <c r="I6671">
        <v>71305</v>
      </c>
      <c r="J6671">
        <v>2810311905</v>
      </c>
      <c r="K6671">
        <v>6932387642</v>
      </c>
      <c r="N6671" t="s">
        <v>615</v>
      </c>
      <c r="O6671" t="s">
        <v>616</v>
      </c>
      <c r="R6671" t="s">
        <v>57</v>
      </c>
      <c r="S6671">
        <v>8</v>
      </c>
      <c r="T6671">
        <v>207</v>
      </c>
      <c r="U6671" s="1">
        <v>37866</v>
      </c>
      <c r="V6671" t="s">
        <v>80</v>
      </c>
      <c r="W6671" t="s">
        <v>81</v>
      </c>
      <c r="X6671" t="s">
        <v>58</v>
      </c>
      <c r="Y6671">
        <v>22</v>
      </c>
      <c r="Z6671" t="s">
        <v>59</v>
      </c>
      <c r="AA6671" t="s">
        <v>59</v>
      </c>
      <c r="AB6671" t="s">
        <v>59</v>
      </c>
      <c r="AC6671" t="s">
        <v>59</v>
      </c>
      <c r="AD6671" t="s">
        <v>59</v>
      </c>
      <c r="AF6671" s="1">
        <v>37866</v>
      </c>
      <c r="AG6671" t="s">
        <v>8645</v>
      </c>
      <c r="AH6671" t="s">
        <v>8646</v>
      </c>
      <c r="AI6671" t="str">
        <f>"9170054"</f>
        <v>9170054</v>
      </c>
      <c r="AJ6671" t="s">
        <v>9106</v>
      </c>
      <c r="AK6671">
        <v>2810254527</v>
      </c>
      <c r="AL6671" t="s">
        <v>9107</v>
      </c>
      <c r="AM6671" t="s">
        <v>78</v>
      </c>
      <c r="AN6671" t="s">
        <v>78</v>
      </c>
      <c r="AO6671" t="s">
        <v>78</v>
      </c>
      <c r="AP6671" t="s">
        <v>163</v>
      </c>
      <c r="AQ6671">
        <v>1</v>
      </c>
      <c r="AR6671" t="s">
        <v>80</v>
      </c>
      <c r="AS6671" t="s">
        <v>81</v>
      </c>
      <c r="AT6671" t="s">
        <v>58</v>
      </c>
      <c r="AU6671" t="s">
        <v>68</v>
      </c>
      <c r="AV6671" t="s">
        <v>69</v>
      </c>
      <c r="AW6671" s="1">
        <v>25663</v>
      </c>
      <c r="AX6671">
        <v>1</v>
      </c>
    </row>
    <row r="6672" spans="1:50">
      <c r="A6672">
        <v>581869</v>
      </c>
      <c r="B6672" t="str">
        <f>"050596886"</f>
        <v>050596886</v>
      </c>
      <c r="C6672" t="s">
        <v>105</v>
      </c>
      <c r="D6672" t="s">
        <v>11086</v>
      </c>
      <c r="E6672" t="s">
        <v>309</v>
      </c>
      <c r="F6672" t="s">
        <v>3773</v>
      </c>
      <c r="G6672" t="s">
        <v>83</v>
      </c>
      <c r="H6672" t="str">
        <f>"ΔΡΑΜΟΥΝΤΑΝΗ 10 ΘΕΡΙΣΟΣ"</f>
        <v>ΔΡΑΜΟΥΝΤΑΝΗ 10 ΘΕΡΙΣΟΣ</v>
      </c>
      <c r="I6672">
        <v>71304</v>
      </c>
      <c r="J6672">
        <v>2810371135</v>
      </c>
      <c r="K6672">
        <v>6977296923</v>
      </c>
      <c r="M6672" t="s">
        <v>11087</v>
      </c>
      <c r="N6672" t="s">
        <v>615</v>
      </c>
      <c r="O6672" t="s">
        <v>616</v>
      </c>
      <c r="R6672" t="s">
        <v>57</v>
      </c>
      <c r="S6672">
        <v>13</v>
      </c>
      <c r="T6672">
        <v>179</v>
      </c>
      <c r="U6672" s="1">
        <v>35674</v>
      </c>
      <c r="V6672" t="s">
        <v>80</v>
      </c>
      <c r="W6672" t="s">
        <v>81</v>
      </c>
      <c r="X6672" t="s">
        <v>58</v>
      </c>
      <c r="Y6672">
        <v>21</v>
      </c>
      <c r="Z6672" t="s">
        <v>59</v>
      </c>
      <c r="AA6672" t="s">
        <v>59</v>
      </c>
      <c r="AB6672" t="s">
        <v>59</v>
      </c>
      <c r="AC6672" t="s">
        <v>59</v>
      </c>
      <c r="AD6672" t="s">
        <v>59</v>
      </c>
      <c r="AF6672" s="1">
        <v>35677</v>
      </c>
      <c r="AG6672" t="s">
        <v>8645</v>
      </c>
      <c r="AH6672" t="s">
        <v>8646</v>
      </c>
      <c r="AI6672" t="str">
        <f>"9170547"</f>
        <v>9170547</v>
      </c>
      <c r="AJ6672" t="s">
        <v>9175</v>
      </c>
      <c r="AK6672">
        <v>2810250886</v>
      </c>
      <c r="AL6672" t="s">
        <v>9176</v>
      </c>
      <c r="AM6672" t="s">
        <v>78</v>
      </c>
      <c r="AN6672" t="s">
        <v>78</v>
      </c>
      <c r="AO6672" t="s">
        <v>78</v>
      </c>
      <c r="AP6672" t="s">
        <v>141</v>
      </c>
      <c r="AQ6672">
        <v>1</v>
      </c>
      <c r="AR6672" t="s">
        <v>80</v>
      </c>
      <c r="AS6672" t="s">
        <v>81</v>
      </c>
      <c r="AT6672" t="s">
        <v>58</v>
      </c>
      <c r="AU6672" t="s">
        <v>68</v>
      </c>
      <c r="AV6672" t="s">
        <v>69</v>
      </c>
      <c r="AW6672" s="1">
        <v>23153</v>
      </c>
      <c r="AX6672">
        <v>1</v>
      </c>
    </row>
    <row r="6673" spans="1:50">
      <c r="B6673" t="str">
        <f>"146066323"</f>
        <v>146066323</v>
      </c>
      <c r="C6673" t="s">
        <v>50</v>
      </c>
      <c r="D6673" t="s">
        <v>8330</v>
      </c>
      <c r="E6673" t="s">
        <v>263</v>
      </c>
      <c r="F6673" t="s">
        <v>1493</v>
      </c>
      <c r="G6673" t="s">
        <v>52</v>
      </c>
      <c r="H6673" t="str">
        <f>" "</f>
        <v xml:space="preserve"> </v>
      </c>
      <c r="K6673">
        <v>6979575146</v>
      </c>
      <c r="N6673" t="s">
        <v>8694</v>
      </c>
      <c r="O6673" t="s">
        <v>8695</v>
      </c>
      <c r="R6673" t="s">
        <v>159</v>
      </c>
      <c r="S6673">
        <v>1</v>
      </c>
      <c r="T6673" t="s">
        <v>8696</v>
      </c>
      <c r="U6673" s="1">
        <v>43348</v>
      </c>
      <c r="V6673" t="s">
        <v>80</v>
      </c>
      <c r="W6673" t="s">
        <v>81</v>
      </c>
      <c r="X6673" t="s">
        <v>58</v>
      </c>
      <c r="Y6673">
        <v>24</v>
      </c>
      <c r="Z6673" t="s">
        <v>59</v>
      </c>
      <c r="AA6673" t="s">
        <v>59</v>
      </c>
      <c r="AB6673" t="s">
        <v>59</v>
      </c>
      <c r="AD6673" t="s">
        <v>59</v>
      </c>
      <c r="AF6673" s="1">
        <v>43348</v>
      </c>
      <c r="AG6673" t="s">
        <v>8645</v>
      </c>
      <c r="AH6673" t="s">
        <v>8697</v>
      </c>
      <c r="AI6673" t="str">
        <f>"9170581"</f>
        <v>9170581</v>
      </c>
      <c r="AJ6673" t="s">
        <v>9232</v>
      </c>
      <c r="AK6673">
        <v>2892041052</v>
      </c>
      <c r="AL6673" t="s">
        <v>9233</v>
      </c>
      <c r="AM6673" t="s">
        <v>78</v>
      </c>
      <c r="AN6673" t="s">
        <v>242</v>
      </c>
      <c r="AO6673" t="s">
        <v>243</v>
      </c>
      <c r="AP6673" t="s">
        <v>244</v>
      </c>
      <c r="AQ6673">
        <v>20</v>
      </c>
      <c r="AR6673" t="s">
        <v>80</v>
      </c>
      <c r="AS6673" t="s">
        <v>81</v>
      </c>
      <c r="AT6673" t="s">
        <v>58</v>
      </c>
      <c r="AU6673" t="s">
        <v>350</v>
      </c>
      <c r="AV6673" t="s">
        <v>132</v>
      </c>
      <c r="AW6673" s="1">
        <v>33806</v>
      </c>
      <c r="AX6673">
        <v>1</v>
      </c>
    </row>
    <row r="6674" spans="1:50">
      <c r="A6674">
        <v>615211</v>
      </c>
      <c r="B6674" t="str">
        <f>"052740663"</f>
        <v>052740663</v>
      </c>
      <c r="C6674" t="s">
        <v>50</v>
      </c>
      <c r="D6674" t="s">
        <v>3296</v>
      </c>
      <c r="E6674" t="s">
        <v>314</v>
      </c>
      <c r="F6674" t="s">
        <v>99</v>
      </c>
      <c r="G6674" t="s">
        <v>250</v>
      </c>
      <c r="H6674" t="str">
        <f>"ΑΡΙΣΤΟΦΑΝΟΥΣ 11 "</f>
        <v xml:space="preserve">ΑΡΙΣΤΟΦΑΝΟΥΣ 11 </v>
      </c>
      <c r="I6674">
        <v>59100</v>
      </c>
      <c r="J6674">
        <v>2331060792</v>
      </c>
      <c r="K6674">
        <v>6973495596</v>
      </c>
      <c r="L6674">
        <v>2895061219</v>
      </c>
      <c r="N6674" t="s">
        <v>1525</v>
      </c>
      <c r="O6674" t="s">
        <v>1526</v>
      </c>
      <c r="R6674" t="s">
        <v>57</v>
      </c>
      <c r="S6674">
        <v>6</v>
      </c>
      <c r="T6674">
        <v>598</v>
      </c>
      <c r="U6674" s="1">
        <v>39310</v>
      </c>
      <c r="V6674" t="s">
        <v>80</v>
      </c>
      <c r="W6674" t="s">
        <v>81</v>
      </c>
      <c r="X6674" t="s">
        <v>58</v>
      </c>
      <c r="Y6674">
        <v>25</v>
      </c>
      <c r="Z6674" t="s">
        <v>59</v>
      </c>
      <c r="AA6674" t="s">
        <v>59</v>
      </c>
      <c r="AB6674" t="s">
        <v>59</v>
      </c>
      <c r="AC6674" t="s">
        <v>59</v>
      </c>
      <c r="AD6674" t="s">
        <v>59</v>
      </c>
      <c r="AF6674" s="1">
        <v>39328</v>
      </c>
      <c r="AG6674" t="s">
        <v>8651</v>
      </c>
      <c r="AH6674" t="s">
        <v>8652</v>
      </c>
      <c r="AI6674" t="str">
        <f>"9170579"</f>
        <v>9170579</v>
      </c>
      <c r="AJ6674" t="s">
        <v>11088</v>
      </c>
      <c r="AK6674">
        <v>2895061350</v>
      </c>
      <c r="AL6674" t="s">
        <v>11089</v>
      </c>
      <c r="AM6674" t="s">
        <v>78</v>
      </c>
      <c r="AN6674" t="s">
        <v>482</v>
      </c>
      <c r="AO6674" t="s">
        <v>482</v>
      </c>
      <c r="AP6674" t="s">
        <v>11090</v>
      </c>
      <c r="AQ6674">
        <v>14</v>
      </c>
      <c r="AR6674" t="s">
        <v>80</v>
      </c>
      <c r="AS6674" t="s">
        <v>81</v>
      </c>
      <c r="AT6674" t="s">
        <v>58</v>
      </c>
      <c r="AU6674" t="s">
        <v>68</v>
      </c>
      <c r="AV6674" t="s">
        <v>69</v>
      </c>
      <c r="AW6674" s="1">
        <v>25337</v>
      </c>
      <c r="AX6674">
        <v>1</v>
      </c>
    </row>
    <row r="6675" spans="1:50">
      <c r="A6675">
        <v>605335</v>
      </c>
      <c r="B6675" t="str">
        <f>"119691541"</f>
        <v>119691541</v>
      </c>
      <c r="C6675" t="s">
        <v>50</v>
      </c>
      <c r="D6675" t="s">
        <v>3296</v>
      </c>
      <c r="E6675" t="s">
        <v>707</v>
      </c>
      <c r="F6675" t="s">
        <v>106</v>
      </c>
      <c r="G6675" t="s">
        <v>52</v>
      </c>
      <c r="H6675" t="str">
        <f>"ΚΑΡΙΑΣ 184 ΝΕΑ ΑΛΙΚΑΡΝΑΣΣΟΣ"</f>
        <v>ΚΑΡΙΑΣ 184 ΝΕΑ ΑΛΙΚΑΡΝΑΣΣΟΣ</v>
      </c>
      <c r="I6675">
        <v>71601</v>
      </c>
      <c r="J6675">
        <v>2815001845</v>
      </c>
      <c r="K6675">
        <v>6945565182</v>
      </c>
      <c r="N6675" t="s">
        <v>615</v>
      </c>
      <c r="O6675" t="s">
        <v>616</v>
      </c>
      <c r="R6675" t="s">
        <v>57</v>
      </c>
      <c r="S6675">
        <v>7</v>
      </c>
      <c r="T6675">
        <v>231</v>
      </c>
      <c r="U6675" s="1">
        <v>38230</v>
      </c>
      <c r="V6675" t="s">
        <v>80</v>
      </c>
      <c r="W6675" t="s">
        <v>81</v>
      </c>
      <c r="X6675" t="s">
        <v>58</v>
      </c>
      <c r="Y6675">
        <v>22</v>
      </c>
      <c r="Z6675" t="s">
        <v>59</v>
      </c>
      <c r="AA6675" t="s">
        <v>59</v>
      </c>
      <c r="AB6675" t="s">
        <v>59</v>
      </c>
      <c r="AC6675" t="s">
        <v>59</v>
      </c>
      <c r="AD6675" t="s">
        <v>59</v>
      </c>
      <c r="AF6675" s="1">
        <v>38231</v>
      </c>
      <c r="AG6675" t="s">
        <v>8645</v>
      </c>
      <c r="AH6675" t="s">
        <v>8646</v>
      </c>
      <c r="AI6675" t="str">
        <f>"9170264"</f>
        <v>9170264</v>
      </c>
      <c r="AJ6675" t="s">
        <v>8718</v>
      </c>
      <c r="AK6675">
        <v>2810332030</v>
      </c>
      <c r="AL6675" t="s">
        <v>8719</v>
      </c>
      <c r="AM6675" t="s">
        <v>78</v>
      </c>
      <c r="AN6675" t="s">
        <v>78</v>
      </c>
      <c r="AO6675" t="s">
        <v>286</v>
      </c>
      <c r="AP6675" t="s">
        <v>286</v>
      </c>
      <c r="AQ6675">
        <v>1</v>
      </c>
      <c r="AR6675" t="s">
        <v>80</v>
      </c>
      <c r="AS6675" t="s">
        <v>81</v>
      </c>
      <c r="AT6675" t="s">
        <v>58</v>
      </c>
      <c r="AU6675" t="s">
        <v>68</v>
      </c>
      <c r="AV6675" t="s">
        <v>69</v>
      </c>
      <c r="AW6675" s="1">
        <v>28472</v>
      </c>
      <c r="AX6675">
        <v>1</v>
      </c>
    </row>
    <row r="6676" spans="1:50">
      <c r="A6676">
        <v>569862</v>
      </c>
      <c r="B6676" t="str">
        <f>"030328110"</f>
        <v>030328110</v>
      </c>
      <c r="C6676" t="s">
        <v>50</v>
      </c>
      <c r="D6676" t="s">
        <v>11091</v>
      </c>
      <c r="E6676" t="s">
        <v>372</v>
      </c>
      <c r="F6676" t="s">
        <v>383</v>
      </c>
      <c r="G6676" t="s">
        <v>476</v>
      </c>
      <c r="H6676" t="str">
        <f>"ΜΙΝΩΟΣ ΚΑΛΟΚΑΙΡΙΝΟΥ 36 ΗΡΑΚΛΕΙΟ"</f>
        <v>ΜΙΝΩΟΣ ΚΑΛΟΚΑΙΡΙΝΟΥ 36 ΗΡΑΚΛΕΙΟ</v>
      </c>
      <c r="I6676">
        <v>71307</v>
      </c>
      <c r="J6676">
        <v>2810325205</v>
      </c>
      <c r="K6676">
        <v>6976997069</v>
      </c>
      <c r="N6676" t="s">
        <v>306</v>
      </c>
      <c r="O6676" t="s">
        <v>307</v>
      </c>
      <c r="R6676" t="s">
        <v>57</v>
      </c>
      <c r="S6676">
        <v>15</v>
      </c>
      <c r="T6676">
        <v>239</v>
      </c>
      <c r="U6676" s="1">
        <v>33969</v>
      </c>
      <c r="V6676" t="s">
        <v>80</v>
      </c>
      <c r="W6676" t="s">
        <v>81</v>
      </c>
      <c r="X6676" t="s">
        <v>58</v>
      </c>
      <c r="Y6676">
        <v>21</v>
      </c>
      <c r="Z6676" t="s">
        <v>59</v>
      </c>
      <c r="AA6676" t="s">
        <v>59</v>
      </c>
      <c r="AB6676" t="s">
        <v>59</v>
      </c>
      <c r="AC6676" t="s">
        <v>59</v>
      </c>
      <c r="AD6676" t="s">
        <v>59</v>
      </c>
      <c r="AF6676" s="1">
        <v>33977</v>
      </c>
      <c r="AG6676" t="s">
        <v>8645</v>
      </c>
      <c r="AH6676" t="s">
        <v>8646</v>
      </c>
      <c r="AI6676" t="str">
        <f>"9170055"</f>
        <v>9170055</v>
      </c>
      <c r="AJ6676" t="s">
        <v>8836</v>
      </c>
      <c r="AK6676">
        <v>2810255097</v>
      </c>
      <c r="AL6676" t="s">
        <v>8837</v>
      </c>
      <c r="AM6676" t="s">
        <v>78</v>
      </c>
      <c r="AN6676" t="s">
        <v>78</v>
      </c>
      <c r="AO6676" t="s">
        <v>78</v>
      </c>
      <c r="AP6676" t="s">
        <v>141</v>
      </c>
      <c r="AQ6676">
        <v>1</v>
      </c>
      <c r="AR6676" t="s">
        <v>80</v>
      </c>
      <c r="AS6676" t="s">
        <v>81</v>
      </c>
      <c r="AT6676" t="s">
        <v>58</v>
      </c>
      <c r="AU6676" t="s">
        <v>68</v>
      </c>
      <c r="AV6676" t="s">
        <v>69</v>
      </c>
      <c r="AW6676" s="1">
        <v>22489</v>
      </c>
      <c r="AX6676">
        <v>1</v>
      </c>
    </row>
    <row r="6677" spans="1:50">
      <c r="B6677" t="str">
        <f>"138729737"</f>
        <v>138729737</v>
      </c>
      <c r="C6677" t="s">
        <v>50</v>
      </c>
      <c r="D6677" t="s">
        <v>11092</v>
      </c>
      <c r="E6677" t="s">
        <v>620</v>
      </c>
      <c r="F6677" t="s">
        <v>95</v>
      </c>
      <c r="G6677" t="s">
        <v>155</v>
      </c>
      <c r="H6677" t="str">
        <f>"ΜΕΛΙΣΣΟΧΩΡΙ "</f>
        <v xml:space="preserve">ΜΕΛΙΣΣΟΧΩΡΙ </v>
      </c>
      <c r="I6677">
        <v>41500</v>
      </c>
      <c r="J6677">
        <v>2410972313</v>
      </c>
      <c r="K6677">
        <v>6977230250</v>
      </c>
      <c r="N6677" t="s">
        <v>8694</v>
      </c>
      <c r="O6677" t="s">
        <v>8695</v>
      </c>
      <c r="R6677" t="s">
        <v>159</v>
      </c>
      <c r="S6677">
        <v>3</v>
      </c>
      <c r="T6677" t="s">
        <v>8696</v>
      </c>
      <c r="U6677" s="1">
        <v>43348</v>
      </c>
      <c r="V6677" t="s">
        <v>80</v>
      </c>
      <c r="W6677" t="s">
        <v>81</v>
      </c>
      <c r="X6677" t="s">
        <v>58</v>
      </c>
      <c r="Y6677">
        <v>24</v>
      </c>
      <c r="Z6677" t="s">
        <v>59</v>
      </c>
      <c r="AA6677" t="s">
        <v>59</v>
      </c>
      <c r="AB6677" t="s">
        <v>59</v>
      </c>
      <c r="AC6677" t="s">
        <v>59</v>
      </c>
      <c r="AD6677" t="s">
        <v>59</v>
      </c>
      <c r="AF6677" s="1">
        <v>43348</v>
      </c>
      <c r="AG6677" t="s">
        <v>8645</v>
      </c>
      <c r="AH6677" t="s">
        <v>8697</v>
      </c>
      <c r="AI6677" t="str">
        <f>"9170372"</f>
        <v>9170372</v>
      </c>
      <c r="AJ6677" t="s">
        <v>9296</v>
      </c>
      <c r="AK6677">
        <v>2810281754</v>
      </c>
      <c r="AL6677" t="s">
        <v>9297</v>
      </c>
      <c r="AM6677" t="s">
        <v>78</v>
      </c>
      <c r="AN6677" t="s">
        <v>78</v>
      </c>
      <c r="AO6677" t="s">
        <v>78</v>
      </c>
      <c r="AP6677" t="s">
        <v>79</v>
      </c>
      <c r="AQ6677">
        <v>1</v>
      </c>
      <c r="AR6677" t="s">
        <v>80</v>
      </c>
      <c r="AS6677" t="s">
        <v>81</v>
      </c>
      <c r="AT6677" t="s">
        <v>58</v>
      </c>
      <c r="AU6677" t="s">
        <v>350</v>
      </c>
      <c r="AV6677" t="s">
        <v>132</v>
      </c>
      <c r="AW6677" s="1">
        <v>31970</v>
      </c>
      <c r="AX6677">
        <v>1</v>
      </c>
    </row>
    <row r="6678" spans="1:50">
      <c r="A6678">
        <v>560200</v>
      </c>
      <c r="B6678" t="str">
        <f>"032124851"</f>
        <v>032124851</v>
      </c>
      <c r="C6678" t="s">
        <v>50</v>
      </c>
      <c r="D6678" t="s">
        <v>11093</v>
      </c>
      <c r="E6678" t="s">
        <v>181</v>
      </c>
      <c r="F6678" t="s">
        <v>72</v>
      </c>
      <c r="G6678" t="s">
        <v>1345</v>
      </c>
      <c r="H6678" t="str">
        <f>" "</f>
        <v xml:space="preserve"> </v>
      </c>
      <c r="N6678" t="s">
        <v>615</v>
      </c>
      <c r="O6678" t="s">
        <v>616</v>
      </c>
      <c r="R6678" t="s">
        <v>57</v>
      </c>
      <c r="S6678">
        <v>16</v>
      </c>
      <c r="T6678">
        <v>185</v>
      </c>
      <c r="U6678" s="1">
        <v>32035</v>
      </c>
      <c r="V6678" t="s">
        <v>80</v>
      </c>
      <c r="W6678" t="s">
        <v>81</v>
      </c>
      <c r="X6678" t="s">
        <v>58</v>
      </c>
      <c r="Y6678">
        <v>21</v>
      </c>
      <c r="Z6678" t="s">
        <v>59</v>
      </c>
      <c r="AA6678" t="s">
        <v>59</v>
      </c>
      <c r="AB6678" t="s">
        <v>59</v>
      </c>
      <c r="AC6678" t="s">
        <v>59</v>
      </c>
      <c r="AD6678" t="s">
        <v>59</v>
      </c>
      <c r="AF6678" s="1">
        <v>32037</v>
      </c>
      <c r="AG6678" t="s">
        <v>8645</v>
      </c>
      <c r="AH6678" t="s">
        <v>8646</v>
      </c>
      <c r="AI6678" t="str">
        <f>"9170495"</f>
        <v>9170495</v>
      </c>
      <c r="AJ6678" t="s">
        <v>8838</v>
      </c>
      <c r="AK6678">
        <v>2892023325</v>
      </c>
      <c r="AL6678" t="s">
        <v>8839</v>
      </c>
      <c r="AM6678" t="s">
        <v>78</v>
      </c>
      <c r="AN6678" t="s">
        <v>242</v>
      </c>
      <c r="AO6678" t="s">
        <v>243</v>
      </c>
      <c r="AP6678" t="s">
        <v>243</v>
      </c>
      <c r="AQ6678">
        <v>20</v>
      </c>
      <c r="AR6678" t="s">
        <v>80</v>
      </c>
      <c r="AS6678" t="s">
        <v>81</v>
      </c>
      <c r="AT6678" t="s">
        <v>58</v>
      </c>
      <c r="AU6678" t="s">
        <v>68</v>
      </c>
      <c r="AV6678" t="s">
        <v>69</v>
      </c>
      <c r="AW6678" s="1">
        <v>23872</v>
      </c>
      <c r="AX6678">
        <v>1</v>
      </c>
    </row>
    <row r="6679" spans="1:50">
      <c r="B6679" t="str">
        <f>"061640232"</f>
        <v>061640232</v>
      </c>
      <c r="C6679" t="s">
        <v>50</v>
      </c>
      <c r="D6679" t="s">
        <v>3299</v>
      </c>
      <c r="E6679" t="s">
        <v>396</v>
      </c>
      <c r="F6679" t="s">
        <v>53</v>
      </c>
      <c r="G6679" t="s">
        <v>905</v>
      </c>
      <c r="H6679" t="str">
        <f>"ΚΑΡΔΙΩΤΙΣΣΗΣ 2 ΜΟΙΡΕΣ ΗΡΑΚΛΕΙΟΥ"</f>
        <v>ΚΑΡΔΙΩΤΙΣΣΗΣ 2 ΜΟΙΡΕΣ ΗΡΑΚΛΕΙΟΥ</v>
      </c>
      <c r="I6679">
        <v>70400</v>
      </c>
      <c r="J6679">
        <v>2892024489</v>
      </c>
      <c r="K6679">
        <v>6943982647</v>
      </c>
      <c r="N6679" t="s">
        <v>306</v>
      </c>
      <c r="O6679" t="s">
        <v>307</v>
      </c>
      <c r="R6679" t="s">
        <v>121</v>
      </c>
      <c r="S6679">
        <v>1</v>
      </c>
      <c r="T6679" t="s">
        <v>8675</v>
      </c>
      <c r="U6679" s="1">
        <v>43348</v>
      </c>
      <c r="V6679" t="s">
        <v>80</v>
      </c>
      <c r="W6679" t="s">
        <v>81</v>
      </c>
      <c r="X6679" t="s">
        <v>58</v>
      </c>
      <c r="Y6679">
        <v>24</v>
      </c>
      <c r="Z6679" t="s">
        <v>59</v>
      </c>
      <c r="AA6679" t="s">
        <v>59</v>
      </c>
      <c r="AB6679" t="s">
        <v>59</v>
      </c>
      <c r="AC6679" t="s">
        <v>59</v>
      </c>
      <c r="AD6679" t="s">
        <v>59</v>
      </c>
      <c r="AF6679" s="1">
        <v>43348</v>
      </c>
      <c r="AG6679" t="s">
        <v>8645</v>
      </c>
      <c r="AH6679" t="s">
        <v>8646</v>
      </c>
      <c r="AI6679" t="str">
        <f>"9170267"</f>
        <v>9170267</v>
      </c>
      <c r="AJ6679" t="s">
        <v>8840</v>
      </c>
      <c r="AK6679">
        <v>2892022320</v>
      </c>
      <c r="AL6679" t="s">
        <v>8841</v>
      </c>
      <c r="AM6679" t="s">
        <v>78</v>
      </c>
      <c r="AN6679" t="s">
        <v>242</v>
      </c>
      <c r="AO6679" t="s">
        <v>243</v>
      </c>
      <c r="AP6679" t="s">
        <v>243</v>
      </c>
      <c r="AQ6679">
        <v>20</v>
      </c>
      <c r="AR6679" t="s">
        <v>80</v>
      </c>
      <c r="AS6679" t="s">
        <v>81</v>
      </c>
      <c r="AT6679" t="s">
        <v>58</v>
      </c>
      <c r="AU6679" t="s">
        <v>8673</v>
      </c>
      <c r="AV6679" t="s">
        <v>132</v>
      </c>
      <c r="AW6679" s="1">
        <v>27043</v>
      </c>
      <c r="AX6679">
        <v>1</v>
      </c>
    </row>
    <row r="6680" spans="1:50">
      <c r="A6680">
        <v>620037</v>
      </c>
      <c r="B6680" t="str">
        <f>"109453045"</f>
        <v>109453045</v>
      </c>
      <c r="C6680" t="s">
        <v>50</v>
      </c>
      <c r="D6680" t="s">
        <v>3299</v>
      </c>
      <c r="E6680" t="s">
        <v>255</v>
      </c>
      <c r="F6680" t="s">
        <v>95</v>
      </c>
      <c r="G6680" t="s">
        <v>52</v>
      </c>
      <c r="H6680" t="str">
        <f>"ΤΥΜΦΡΗΣΤΟΥ 13 ΝΕΟΣ ΚΟΣΜΟΣ"</f>
        <v>ΤΥΜΦΡΗΣΤΟΥ 13 ΝΕΟΣ ΚΟΣΜΟΣ</v>
      </c>
      <c r="I6680">
        <v>11743</v>
      </c>
      <c r="J6680">
        <v>2109210212</v>
      </c>
      <c r="K6680">
        <v>6932697725</v>
      </c>
      <c r="M6680" t="s">
        <v>11094</v>
      </c>
      <c r="N6680" t="s">
        <v>176</v>
      </c>
      <c r="O6680" t="s">
        <v>177</v>
      </c>
      <c r="R6680" t="s">
        <v>57</v>
      </c>
      <c r="S6680">
        <v>12</v>
      </c>
      <c r="T6680">
        <v>775</v>
      </c>
      <c r="U6680" s="1">
        <v>39680</v>
      </c>
      <c r="V6680" t="s">
        <v>80</v>
      </c>
      <c r="W6680" t="s">
        <v>81</v>
      </c>
      <c r="X6680" t="s">
        <v>58</v>
      </c>
      <c r="Y6680">
        <v>23</v>
      </c>
      <c r="Z6680" t="s">
        <v>59</v>
      </c>
      <c r="AA6680" t="s">
        <v>59</v>
      </c>
      <c r="AB6680" t="s">
        <v>59</v>
      </c>
      <c r="AC6680" t="s">
        <v>59</v>
      </c>
      <c r="AD6680" t="s">
        <v>59</v>
      </c>
      <c r="AF6680" s="1">
        <v>39681</v>
      </c>
      <c r="AG6680" t="s">
        <v>8645</v>
      </c>
      <c r="AH6680" t="s">
        <v>8646</v>
      </c>
      <c r="AI6680" t="str">
        <f>"9170027"</f>
        <v>9170027</v>
      </c>
      <c r="AJ6680" t="s">
        <v>8704</v>
      </c>
      <c r="AK6680">
        <v>2810711207</v>
      </c>
      <c r="AL6680" t="s">
        <v>8705</v>
      </c>
      <c r="AM6680" t="s">
        <v>78</v>
      </c>
      <c r="AN6680" t="s">
        <v>129</v>
      </c>
      <c r="AO6680" t="s">
        <v>597</v>
      </c>
      <c r="AP6680" t="s">
        <v>598</v>
      </c>
      <c r="AQ6680">
        <v>4</v>
      </c>
      <c r="AR6680" t="s">
        <v>80</v>
      </c>
      <c r="AS6680" t="s">
        <v>81</v>
      </c>
      <c r="AT6680" t="s">
        <v>58</v>
      </c>
      <c r="AU6680" t="s">
        <v>68</v>
      </c>
      <c r="AV6680" t="s">
        <v>69</v>
      </c>
      <c r="AW6680" s="1">
        <v>28140</v>
      </c>
      <c r="AX6680">
        <v>1</v>
      </c>
    </row>
    <row r="6681" spans="1:50">
      <c r="A6681">
        <v>561223</v>
      </c>
      <c r="B6681" t="str">
        <f>"064353410"</f>
        <v>064353410</v>
      </c>
      <c r="C6681" t="s">
        <v>50</v>
      </c>
      <c r="D6681" t="s">
        <v>3299</v>
      </c>
      <c r="E6681" t="s">
        <v>255</v>
      </c>
      <c r="F6681" t="s">
        <v>95</v>
      </c>
      <c r="G6681" t="s">
        <v>52</v>
      </c>
      <c r="H6681" t="str">
        <f>"ΜΙΧΑΗΛ ΣΤΑΘΩΡΑΚΗ 8 ΗΡΑΚΛΕΙΟ"</f>
        <v>ΜΙΧΑΗΛ ΣΤΑΘΩΡΑΚΗ 8 ΗΡΑΚΛΕΙΟ</v>
      </c>
      <c r="I6681">
        <v>71305</v>
      </c>
      <c r="J6681">
        <v>2810214389</v>
      </c>
      <c r="K6681">
        <v>6945995754</v>
      </c>
      <c r="N6681" t="s">
        <v>615</v>
      </c>
      <c r="O6681" t="s">
        <v>616</v>
      </c>
      <c r="R6681" t="s">
        <v>57</v>
      </c>
      <c r="S6681">
        <v>15</v>
      </c>
      <c r="T6681">
        <v>159</v>
      </c>
      <c r="U6681" s="1">
        <v>32385</v>
      </c>
      <c r="V6681" t="s">
        <v>80</v>
      </c>
      <c r="W6681" t="s">
        <v>81</v>
      </c>
      <c r="X6681" t="s">
        <v>58</v>
      </c>
      <c r="Y6681">
        <v>21</v>
      </c>
      <c r="Z6681" t="s">
        <v>59</v>
      </c>
      <c r="AA6681" t="s">
        <v>59</v>
      </c>
      <c r="AB6681" t="s">
        <v>59</v>
      </c>
      <c r="AC6681" t="s">
        <v>59</v>
      </c>
      <c r="AD6681" t="s">
        <v>59</v>
      </c>
      <c r="AF6681" s="1">
        <v>32391</v>
      </c>
      <c r="AG6681" t="s">
        <v>8645</v>
      </c>
      <c r="AH6681" t="s">
        <v>8646</v>
      </c>
      <c r="AI6681" t="str">
        <f>"9170343"</f>
        <v>9170343</v>
      </c>
      <c r="AJ6681" t="s">
        <v>8743</v>
      </c>
      <c r="AK6681">
        <v>2810283970</v>
      </c>
      <c r="AL6681" t="s">
        <v>8744</v>
      </c>
      <c r="AM6681" t="s">
        <v>78</v>
      </c>
      <c r="AN6681" t="s">
        <v>78</v>
      </c>
      <c r="AO6681" t="s">
        <v>78</v>
      </c>
      <c r="AP6681" t="s">
        <v>79</v>
      </c>
      <c r="AQ6681">
        <v>1</v>
      </c>
      <c r="AR6681" t="s">
        <v>80</v>
      </c>
      <c r="AS6681" t="s">
        <v>81</v>
      </c>
      <c r="AT6681" t="s">
        <v>58</v>
      </c>
      <c r="AU6681" t="s">
        <v>68</v>
      </c>
      <c r="AV6681" t="s">
        <v>69</v>
      </c>
      <c r="AW6681" s="1">
        <v>22365</v>
      </c>
      <c r="AX6681">
        <v>1</v>
      </c>
    </row>
    <row r="6682" spans="1:50">
      <c r="A6682">
        <v>586409</v>
      </c>
      <c r="B6682" t="str">
        <f>"062969895"</f>
        <v>062969895</v>
      </c>
      <c r="C6682" t="s">
        <v>50</v>
      </c>
      <c r="D6682" t="s">
        <v>3299</v>
      </c>
      <c r="E6682" t="s">
        <v>103</v>
      </c>
      <c r="F6682" t="s">
        <v>53</v>
      </c>
      <c r="G6682" t="s">
        <v>52</v>
      </c>
      <c r="H6682" t="str">
        <f>"ΚΑΠΑΡΙΑΝΑ ΜΟΙΡΕΣ"</f>
        <v>ΚΑΠΑΡΙΑΝΑ ΜΟΙΡΕΣ</v>
      </c>
      <c r="K6682">
        <v>6974514025</v>
      </c>
      <c r="N6682" t="s">
        <v>615</v>
      </c>
      <c r="O6682" t="s">
        <v>616</v>
      </c>
      <c r="R6682" t="s">
        <v>57</v>
      </c>
      <c r="S6682">
        <v>10</v>
      </c>
      <c r="T6682">
        <v>165</v>
      </c>
      <c r="U6682" s="1">
        <v>36040</v>
      </c>
      <c r="V6682" t="s">
        <v>80</v>
      </c>
      <c r="W6682" t="s">
        <v>81</v>
      </c>
      <c r="X6682" t="s">
        <v>58</v>
      </c>
      <c r="Y6682">
        <v>21</v>
      </c>
      <c r="Z6682" t="s">
        <v>59</v>
      </c>
      <c r="AA6682" t="s">
        <v>59</v>
      </c>
      <c r="AB6682" t="s">
        <v>59</v>
      </c>
      <c r="AC6682" t="s">
        <v>59</v>
      </c>
      <c r="AD6682" t="s">
        <v>59</v>
      </c>
      <c r="AF6682" s="1">
        <v>36042</v>
      </c>
      <c r="AG6682" t="s">
        <v>8645</v>
      </c>
      <c r="AH6682" t="s">
        <v>8646</v>
      </c>
      <c r="AI6682" t="str">
        <f>"9170268"</f>
        <v>9170268</v>
      </c>
      <c r="AJ6682" t="s">
        <v>9301</v>
      </c>
      <c r="AK6682">
        <v>2892022710</v>
      </c>
      <c r="AL6682" t="s">
        <v>9302</v>
      </c>
      <c r="AM6682" t="s">
        <v>78</v>
      </c>
      <c r="AN6682" t="s">
        <v>242</v>
      </c>
      <c r="AO6682" t="s">
        <v>243</v>
      </c>
      <c r="AP6682" t="s">
        <v>243</v>
      </c>
      <c r="AQ6682">
        <v>20</v>
      </c>
      <c r="AR6682" t="s">
        <v>80</v>
      </c>
      <c r="AS6682" t="s">
        <v>81</v>
      </c>
      <c r="AT6682" t="s">
        <v>58</v>
      </c>
      <c r="AU6682" t="s">
        <v>68</v>
      </c>
      <c r="AV6682" t="s">
        <v>69</v>
      </c>
      <c r="AW6682" s="1">
        <v>25198</v>
      </c>
      <c r="AX6682">
        <v>1</v>
      </c>
    </row>
    <row r="6683" spans="1:50">
      <c r="B6683" t="str">
        <f>"140020740"</f>
        <v>140020740</v>
      </c>
      <c r="C6683" t="s">
        <v>50</v>
      </c>
      <c r="D6683" t="s">
        <v>3299</v>
      </c>
      <c r="E6683" t="s">
        <v>52</v>
      </c>
      <c r="F6683" t="s">
        <v>949</v>
      </c>
      <c r="H6683" t="str">
        <f>"ΒΑΪΝΙΑ ΙΕΡΑΠΕΤΡΑΣ"</f>
        <v>ΒΑΪΝΙΑ ΙΕΡΑΠΕΤΡΑΣ</v>
      </c>
      <c r="I6683">
        <v>72200</v>
      </c>
      <c r="J6683">
        <v>2842023294</v>
      </c>
      <c r="K6683">
        <v>6983881189</v>
      </c>
      <c r="N6683" t="s">
        <v>615</v>
      </c>
      <c r="O6683" t="s">
        <v>616</v>
      </c>
      <c r="R6683" t="s">
        <v>159</v>
      </c>
      <c r="S6683">
        <v>1</v>
      </c>
      <c r="T6683" t="s">
        <v>8675</v>
      </c>
      <c r="U6683" s="1">
        <v>43348</v>
      </c>
      <c r="V6683" t="s">
        <v>80</v>
      </c>
      <c r="W6683" t="s">
        <v>81</v>
      </c>
      <c r="X6683" t="s">
        <v>58</v>
      </c>
      <c r="Y6683">
        <v>24</v>
      </c>
      <c r="Z6683" t="s">
        <v>59</v>
      </c>
      <c r="AA6683" t="s">
        <v>59</v>
      </c>
      <c r="AB6683" t="s">
        <v>59</v>
      </c>
      <c r="AC6683" t="s">
        <v>59</v>
      </c>
      <c r="AD6683" t="s">
        <v>59</v>
      </c>
      <c r="AF6683" s="1">
        <v>43348</v>
      </c>
      <c r="AG6683" t="s">
        <v>8645</v>
      </c>
      <c r="AH6683" t="s">
        <v>8646</v>
      </c>
      <c r="AI6683" t="str">
        <f>"9170058"</f>
        <v>9170058</v>
      </c>
      <c r="AJ6683" t="s">
        <v>8735</v>
      </c>
      <c r="AK6683">
        <v>2810252903</v>
      </c>
      <c r="AL6683" t="s">
        <v>8736</v>
      </c>
      <c r="AM6683" t="s">
        <v>78</v>
      </c>
      <c r="AN6683" t="s">
        <v>78</v>
      </c>
      <c r="AO6683" t="s">
        <v>78</v>
      </c>
      <c r="AP6683" t="s">
        <v>163</v>
      </c>
      <c r="AQ6683">
        <v>1</v>
      </c>
      <c r="AR6683" t="s">
        <v>80</v>
      </c>
      <c r="AS6683" t="s">
        <v>81</v>
      </c>
      <c r="AT6683" t="s">
        <v>58</v>
      </c>
      <c r="AU6683" t="s">
        <v>8673</v>
      </c>
      <c r="AV6683" t="s">
        <v>132</v>
      </c>
      <c r="AW6683" s="1">
        <v>32458</v>
      </c>
      <c r="AX6683">
        <v>1</v>
      </c>
    </row>
    <row r="6684" spans="1:50">
      <c r="B6684" t="str">
        <f>"148903463"</f>
        <v>148903463</v>
      </c>
      <c r="C6684" t="s">
        <v>50</v>
      </c>
      <c r="D6684" t="s">
        <v>3299</v>
      </c>
      <c r="E6684" t="s">
        <v>1068</v>
      </c>
      <c r="F6684" t="s">
        <v>782</v>
      </c>
      <c r="G6684" t="s">
        <v>255</v>
      </c>
      <c r="H6684" t="str">
        <f>" "</f>
        <v xml:space="preserve"> </v>
      </c>
      <c r="N6684" t="s">
        <v>8834</v>
      </c>
      <c r="O6684" t="s">
        <v>8695</v>
      </c>
      <c r="R6684" t="s">
        <v>121</v>
      </c>
      <c r="S6684">
        <v>1</v>
      </c>
      <c r="T6684" t="s">
        <v>8835</v>
      </c>
      <c r="U6684" s="1">
        <v>43348</v>
      </c>
      <c r="V6684" t="s">
        <v>80</v>
      </c>
      <c r="W6684" t="s">
        <v>81</v>
      </c>
      <c r="X6684" t="s">
        <v>58</v>
      </c>
      <c r="Y6684">
        <v>24</v>
      </c>
      <c r="Z6684" t="s">
        <v>59</v>
      </c>
      <c r="AD6684" t="s">
        <v>59</v>
      </c>
      <c r="AF6684" s="1">
        <v>43348</v>
      </c>
      <c r="AG6684" t="s">
        <v>8645</v>
      </c>
      <c r="AH6684" t="s">
        <v>8646</v>
      </c>
      <c r="AI6684" t="str">
        <f>"9170300"</f>
        <v>9170300</v>
      </c>
      <c r="AJ6684" t="s">
        <v>8905</v>
      </c>
      <c r="AK6684">
        <v>2892041219</v>
      </c>
      <c r="AL6684" t="s">
        <v>8906</v>
      </c>
      <c r="AM6684" t="s">
        <v>78</v>
      </c>
      <c r="AN6684" t="s">
        <v>242</v>
      </c>
      <c r="AO6684" t="s">
        <v>243</v>
      </c>
      <c r="AP6684" t="s">
        <v>244</v>
      </c>
      <c r="AQ6684">
        <v>18</v>
      </c>
      <c r="AR6684" t="s">
        <v>80</v>
      </c>
      <c r="AS6684" t="s">
        <v>81</v>
      </c>
      <c r="AT6684" t="s">
        <v>58</v>
      </c>
      <c r="AU6684" t="s">
        <v>131</v>
      </c>
      <c r="AV6684" t="s">
        <v>132</v>
      </c>
      <c r="AW6684" s="1">
        <v>33700</v>
      </c>
      <c r="AX6684">
        <v>1</v>
      </c>
    </row>
    <row r="6685" spans="1:50">
      <c r="A6685">
        <v>619818</v>
      </c>
      <c r="B6685" t="str">
        <f>"059477910"</f>
        <v>059477910</v>
      </c>
      <c r="C6685" t="s">
        <v>105</v>
      </c>
      <c r="D6685" t="s">
        <v>3302</v>
      </c>
      <c r="E6685" t="s">
        <v>2227</v>
      </c>
      <c r="F6685" t="s">
        <v>3954</v>
      </c>
      <c r="G6685" t="s">
        <v>83</v>
      </c>
      <c r="H6685" t="str">
        <f>"ΑΡΧ. ΕΥΓΕΝΙΟΥ 15 ΗΡΑΚΛΕΙΟ"</f>
        <v>ΑΡΧ. ΕΥΓΕΝΙΟΥ 15 ΗΡΑΚΛΕΙΟ</v>
      </c>
      <c r="I6685">
        <v>70400</v>
      </c>
      <c r="J6685">
        <v>2892024698</v>
      </c>
      <c r="K6685">
        <v>6937580719</v>
      </c>
      <c r="N6685" t="s">
        <v>176</v>
      </c>
      <c r="O6685" t="s">
        <v>177</v>
      </c>
      <c r="R6685" t="s">
        <v>57</v>
      </c>
      <c r="S6685">
        <v>7</v>
      </c>
      <c r="T6685">
        <v>775</v>
      </c>
      <c r="U6685" s="1">
        <v>39680</v>
      </c>
      <c r="V6685" t="s">
        <v>80</v>
      </c>
      <c r="W6685" t="s">
        <v>81</v>
      </c>
      <c r="X6685" t="s">
        <v>58</v>
      </c>
      <c r="Y6685">
        <v>22</v>
      </c>
      <c r="Z6685" t="s">
        <v>59</v>
      </c>
      <c r="AA6685" t="s">
        <v>59</v>
      </c>
      <c r="AB6685" t="s">
        <v>59</v>
      </c>
      <c r="AC6685" t="s">
        <v>59</v>
      </c>
      <c r="AD6685" t="s">
        <v>59</v>
      </c>
      <c r="AF6685" s="1">
        <v>39681</v>
      </c>
      <c r="AG6685" t="s">
        <v>8645</v>
      </c>
      <c r="AH6685" t="s">
        <v>8646</v>
      </c>
      <c r="AI6685" t="str">
        <f>"9170338"</f>
        <v>9170338</v>
      </c>
      <c r="AJ6685" t="s">
        <v>8849</v>
      </c>
      <c r="AK6685">
        <v>2892051377</v>
      </c>
      <c r="AL6685" t="s">
        <v>8850</v>
      </c>
      <c r="AM6685" t="s">
        <v>78</v>
      </c>
      <c r="AN6685" t="s">
        <v>242</v>
      </c>
      <c r="AO6685" t="s">
        <v>349</v>
      </c>
      <c r="AP6685" t="s">
        <v>349</v>
      </c>
      <c r="AQ6685">
        <v>19</v>
      </c>
      <c r="AR6685" t="s">
        <v>80</v>
      </c>
      <c r="AS6685" t="s">
        <v>81</v>
      </c>
      <c r="AT6685" t="s">
        <v>58</v>
      </c>
      <c r="AU6685" t="s">
        <v>68</v>
      </c>
      <c r="AV6685" t="s">
        <v>69</v>
      </c>
      <c r="AW6685" s="1">
        <v>24769</v>
      </c>
      <c r="AX6685">
        <v>1</v>
      </c>
    </row>
    <row r="6686" spans="1:50">
      <c r="B6686" t="str">
        <f>"140955373"</f>
        <v>140955373</v>
      </c>
      <c r="C6686" t="s">
        <v>105</v>
      </c>
      <c r="D6686" t="s">
        <v>11095</v>
      </c>
      <c r="E6686" t="s">
        <v>670</v>
      </c>
      <c r="F6686" t="s">
        <v>99</v>
      </c>
      <c r="G6686" t="s">
        <v>52</v>
      </c>
      <c r="H6686" t="str">
        <f>"ΑΓ. ΒΗΣΣΑΡΙΩΝ "</f>
        <v xml:space="preserve">ΑΓ. ΒΗΣΣΑΡΙΩΝ </v>
      </c>
      <c r="I6686">
        <v>42032</v>
      </c>
      <c r="J6686">
        <v>2434022515</v>
      </c>
      <c r="K6686">
        <v>6973233385</v>
      </c>
      <c r="N6686" t="s">
        <v>615</v>
      </c>
      <c r="O6686" t="s">
        <v>616</v>
      </c>
      <c r="R6686" t="s">
        <v>159</v>
      </c>
      <c r="S6686">
        <v>3</v>
      </c>
      <c r="T6686" t="s">
        <v>8675</v>
      </c>
      <c r="U6686" s="1">
        <v>43348</v>
      </c>
      <c r="V6686" t="s">
        <v>80</v>
      </c>
      <c r="W6686" t="s">
        <v>81</v>
      </c>
      <c r="X6686" t="s">
        <v>58</v>
      </c>
      <c r="Y6686">
        <v>24</v>
      </c>
      <c r="Z6686" t="s">
        <v>59</v>
      </c>
      <c r="AA6686" t="s">
        <v>59</v>
      </c>
      <c r="AB6686" t="s">
        <v>59</v>
      </c>
      <c r="AC6686" t="s">
        <v>59</v>
      </c>
      <c r="AD6686" t="s">
        <v>59</v>
      </c>
      <c r="AF6686" s="1">
        <v>43348</v>
      </c>
      <c r="AG6686" t="s">
        <v>8645</v>
      </c>
      <c r="AH6686" t="s">
        <v>8646</v>
      </c>
      <c r="AI6686" t="str">
        <f>"9170282"</f>
        <v>9170282</v>
      </c>
      <c r="AJ6686" t="s">
        <v>8938</v>
      </c>
      <c r="AK6686">
        <v>2892022120</v>
      </c>
      <c r="AL6686" t="s">
        <v>8939</v>
      </c>
      <c r="AM6686" t="s">
        <v>78</v>
      </c>
      <c r="AN6686" t="s">
        <v>242</v>
      </c>
      <c r="AO6686" t="s">
        <v>243</v>
      </c>
      <c r="AP6686" t="s">
        <v>8940</v>
      </c>
      <c r="AQ6686">
        <v>20</v>
      </c>
      <c r="AR6686" t="s">
        <v>80</v>
      </c>
      <c r="AS6686" t="s">
        <v>81</v>
      </c>
      <c r="AT6686" t="s">
        <v>58</v>
      </c>
      <c r="AU6686" t="s">
        <v>8673</v>
      </c>
      <c r="AV6686" t="s">
        <v>132</v>
      </c>
      <c r="AW6686" s="1">
        <v>31865</v>
      </c>
      <c r="AX6686">
        <v>1</v>
      </c>
    </row>
    <row r="6687" spans="1:50">
      <c r="A6687">
        <v>557539</v>
      </c>
      <c r="B6687" t="str">
        <f>"110113693"</f>
        <v>110113693</v>
      </c>
      <c r="C6687" t="s">
        <v>50</v>
      </c>
      <c r="D6687" t="s">
        <v>11096</v>
      </c>
      <c r="E6687" t="s">
        <v>366</v>
      </c>
      <c r="F6687" t="s">
        <v>53</v>
      </c>
      <c r="G6687" t="s">
        <v>1277</v>
      </c>
      <c r="H6687" t="str">
        <f>"ΚΑΛΛΙΠΟΛΕΩΣ 113 ΗΡΑΚΛΕΙΟ"</f>
        <v>ΚΑΛΛΙΠΟΛΕΩΣ 113 ΗΡΑΚΛΕΙΟ</v>
      </c>
      <c r="I6687">
        <v>71306</v>
      </c>
      <c r="J6687">
        <v>2810212728</v>
      </c>
      <c r="N6687" t="s">
        <v>615</v>
      </c>
      <c r="O6687" t="s">
        <v>616</v>
      </c>
      <c r="R6687" t="s">
        <v>57</v>
      </c>
      <c r="S6687">
        <v>16</v>
      </c>
      <c r="T6687">
        <v>168</v>
      </c>
      <c r="U6687" s="1">
        <v>32010</v>
      </c>
      <c r="V6687" t="s">
        <v>80</v>
      </c>
      <c r="W6687" t="s">
        <v>81</v>
      </c>
      <c r="X6687" t="s">
        <v>58</v>
      </c>
      <c r="Y6687">
        <v>21</v>
      </c>
      <c r="Z6687" t="s">
        <v>59</v>
      </c>
      <c r="AA6687" t="s">
        <v>59</v>
      </c>
      <c r="AB6687" t="s">
        <v>59</v>
      </c>
      <c r="AC6687" t="s">
        <v>59</v>
      </c>
      <c r="AD6687" t="s">
        <v>59</v>
      </c>
      <c r="AF6687" s="1">
        <v>32021</v>
      </c>
      <c r="AG6687" t="s">
        <v>8645</v>
      </c>
      <c r="AH6687" t="s">
        <v>8646</v>
      </c>
      <c r="AI6687" t="str">
        <f>"9170108"</f>
        <v>9170108</v>
      </c>
      <c r="AJ6687" t="s">
        <v>8863</v>
      </c>
      <c r="AK6687">
        <v>2810232111</v>
      </c>
      <c r="AL6687" t="s">
        <v>8864</v>
      </c>
      <c r="AM6687" t="s">
        <v>78</v>
      </c>
      <c r="AN6687" t="s">
        <v>78</v>
      </c>
      <c r="AO6687" t="s">
        <v>78</v>
      </c>
      <c r="AP6687" t="s">
        <v>163</v>
      </c>
      <c r="AQ6687">
        <v>1</v>
      </c>
      <c r="AR6687" t="s">
        <v>80</v>
      </c>
      <c r="AS6687" t="s">
        <v>81</v>
      </c>
      <c r="AT6687" t="s">
        <v>58</v>
      </c>
      <c r="AU6687" t="s">
        <v>68</v>
      </c>
      <c r="AV6687" t="s">
        <v>69</v>
      </c>
      <c r="AW6687" s="1">
        <v>21824</v>
      </c>
      <c r="AX6687">
        <v>1</v>
      </c>
    </row>
    <row r="6688" spans="1:50">
      <c r="A6688">
        <v>610615</v>
      </c>
      <c r="B6688" t="str">
        <f>"120923292"</f>
        <v>120923292</v>
      </c>
      <c r="C6688" t="s">
        <v>50</v>
      </c>
      <c r="D6688" t="s">
        <v>11097</v>
      </c>
      <c r="E6688" t="s">
        <v>964</v>
      </c>
      <c r="F6688" t="s">
        <v>99</v>
      </c>
      <c r="G6688" t="s">
        <v>237</v>
      </c>
      <c r="H6688" t="str">
        <f>" "</f>
        <v xml:space="preserve"> </v>
      </c>
      <c r="J6688">
        <v>2104414003</v>
      </c>
      <c r="K6688">
        <v>6934192511</v>
      </c>
      <c r="N6688" t="s">
        <v>615</v>
      </c>
      <c r="O6688" t="s">
        <v>616</v>
      </c>
      <c r="R6688" t="s">
        <v>57</v>
      </c>
      <c r="S6688">
        <v>6</v>
      </c>
      <c r="T6688">
        <v>233</v>
      </c>
      <c r="U6688" s="1">
        <v>38960</v>
      </c>
      <c r="V6688" t="s">
        <v>80</v>
      </c>
      <c r="W6688" t="s">
        <v>81</v>
      </c>
      <c r="X6688" t="s">
        <v>58</v>
      </c>
      <c r="Y6688">
        <v>23</v>
      </c>
      <c r="Z6688" t="s">
        <v>59</v>
      </c>
      <c r="AA6688" t="s">
        <v>59</v>
      </c>
      <c r="AB6688" t="s">
        <v>59</v>
      </c>
      <c r="AC6688" t="s">
        <v>59</v>
      </c>
      <c r="AD6688" t="s">
        <v>59</v>
      </c>
      <c r="AF6688" s="1">
        <v>38961</v>
      </c>
      <c r="AG6688" t="s">
        <v>8645</v>
      </c>
      <c r="AH6688" t="s">
        <v>8646</v>
      </c>
      <c r="AI6688" t="str">
        <f>"9170533"</f>
        <v>9170533</v>
      </c>
      <c r="AJ6688" t="s">
        <v>9091</v>
      </c>
      <c r="AK6688">
        <v>2810239434</v>
      </c>
      <c r="AL6688" t="s">
        <v>9092</v>
      </c>
      <c r="AM6688" t="s">
        <v>78</v>
      </c>
      <c r="AN6688" t="s">
        <v>78</v>
      </c>
      <c r="AO6688" t="s">
        <v>78</v>
      </c>
      <c r="AP6688" t="s">
        <v>163</v>
      </c>
      <c r="AQ6688">
        <v>1</v>
      </c>
      <c r="AR6688" t="s">
        <v>80</v>
      </c>
      <c r="AS6688" t="s">
        <v>81</v>
      </c>
      <c r="AT6688" t="s">
        <v>58</v>
      </c>
      <c r="AU6688" t="s">
        <v>68</v>
      </c>
      <c r="AV6688" t="s">
        <v>69</v>
      </c>
      <c r="AW6688" s="1">
        <v>29628</v>
      </c>
      <c r="AX6688">
        <v>1</v>
      </c>
    </row>
    <row r="6689" spans="1:50">
      <c r="B6689" t="str">
        <f>"120440454"</f>
        <v>120440454</v>
      </c>
      <c r="C6689" t="s">
        <v>50</v>
      </c>
      <c r="D6689" t="s">
        <v>11098</v>
      </c>
      <c r="E6689" t="s">
        <v>396</v>
      </c>
      <c r="F6689" t="s">
        <v>1316</v>
      </c>
      <c r="G6689" t="s">
        <v>5556</v>
      </c>
      <c r="H6689" t="str">
        <f>"ΚΑΒΑΣΙΤΩΝ 4 "</f>
        <v xml:space="preserve">ΚΑΒΑΣΙΤΩΝ 4 </v>
      </c>
      <c r="I6689">
        <v>55132</v>
      </c>
      <c r="J6689">
        <v>2310410033</v>
      </c>
      <c r="K6689">
        <v>6946157336</v>
      </c>
      <c r="M6689" t="s">
        <v>11099</v>
      </c>
      <c r="N6689" t="s">
        <v>1525</v>
      </c>
      <c r="O6689" t="s">
        <v>1526</v>
      </c>
      <c r="R6689" t="s">
        <v>159</v>
      </c>
      <c r="S6689">
        <v>4</v>
      </c>
      <c r="T6689" t="s">
        <v>8670</v>
      </c>
      <c r="U6689" s="1">
        <v>43348</v>
      </c>
      <c r="V6689" t="s">
        <v>80</v>
      </c>
      <c r="W6689" t="s">
        <v>81</v>
      </c>
      <c r="X6689" t="s">
        <v>58</v>
      </c>
      <c r="Y6689">
        <v>25</v>
      </c>
      <c r="Z6689" t="s">
        <v>59</v>
      </c>
      <c r="AA6689" t="s">
        <v>59</v>
      </c>
      <c r="AB6689" t="s">
        <v>59</v>
      </c>
      <c r="AC6689" t="s">
        <v>59</v>
      </c>
      <c r="AD6689" t="s">
        <v>59</v>
      </c>
      <c r="AF6689" s="1">
        <v>43348</v>
      </c>
      <c r="AG6689" t="s">
        <v>8651</v>
      </c>
      <c r="AH6689" t="s">
        <v>8652</v>
      </c>
      <c r="AI6689" t="str">
        <f>"9170567"</f>
        <v>9170567</v>
      </c>
      <c r="AJ6689" t="s">
        <v>10776</v>
      </c>
      <c r="AK6689">
        <v>2897024060</v>
      </c>
      <c r="AL6689" t="s">
        <v>10777</v>
      </c>
      <c r="AM6689" t="s">
        <v>78</v>
      </c>
      <c r="AN6689" t="s">
        <v>219</v>
      </c>
      <c r="AO6689" t="s">
        <v>219</v>
      </c>
      <c r="AP6689" t="s">
        <v>219</v>
      </c>
      <c r="AQ6689">
        <v>8</v>
      </c>
      <c r="AR6689" t="s">
        <v>80</v>
      </c>
      <c r="AS6689" t="s">
        <v>81</v>
      </c>
      <c r="AT6689" t="s">
        <v>58</v>
      </c>
      <c r="AU6689" t="s">
        <v>8673</v>
      </c>
      <c r="AV6689" t="s">
        <v>132</v>
      </c>
      <c r="AW6689" s="1">
        <v>30486</v>
      </c>
      <c r="AX6689">
        <v>1</v>
      </c>
    </row>
    <row r="6690" spans="1:50">
      <c r="A6690">
        <v>208232</v>
      </c>
      <c r="B6690" t="str">
        <f>"050816445"</f>
        <v>050816445</v>
      </c>
      <c r="C6690" t="s">
        <v>50</v>
      </c>
      <c r="D6690" t="s">
        <v>11100</v>
      </c>
      <c r="E6690" t="s">
        <v>4361</v>
      </c>
      <c r="F6690" t="s">
        <v>670</v>
      </c>
      <c r="G6690" t="s">
        <v>610</v>
      </c>
      <c r="H6690" t="str">
        <f>"ΒΑΡΒΙΑΝΗ 2 "</f>
        <v xml:space="preserve">ΒΑΡΒΙΑΝΗ 2 </v>
      </c>
      <c r="I6690">
        <v>29100</v>
      </c>
      <c r="J6690">
        <v>2695043437</v>
      </c>
      <c r="K6690">
        <v>6983105980</v>
      </c>
      <c r="N6690" t="s">
        <v>176</v>
      </c>
      <c r="O6690" t="s">
        <v>177</v>
      </c>
      <c r="R6690" t="s">
        <v>57</v>
      </c>
      <c r="S6690">
        <v>8</v>
      </c>
      <c r="T6690">
        <v>218</v>
      </c>
      <c r="U6690" s="1">
        <v>38596</v>
      </c>
      <c r="V6690" t="s">
        <v>80</v>
      </c>
      <c r="W6690" t="s">
        <v>81</v>
      </c>
      <c r="X6690" t="s">
        <v>58</v>
      </c>
      <c r="Y6690">
        <v>22</v>
      </c>
      <c r="Z6690" t="s">
        <v>59</v>
      </c>
      <c r="AA6690" t="s">
        <v>59</v>
      </c>
      <c r="AB6690" t="s">
        <v>59</v>
      </c>
      <c r="AC6690" t="s">
        <v>59</v>
      </c>
      <c r="AD6690" t="s">
        <v>59</v>
      </c>
      <c r="AF6690" s="1">
        <v>38596</v>
      </c>
      <c r="AG6690" t="s">
        <v>8645</v>
      </c>
      <c r="AH6690" t="s">
        <v>8646</v>
      </c>
      <c r="AI6690" t="str">
        <f>"9170268"</f>
        <v>9170268</v>
      </c>
      <c r="AJ6690" t="s">
        <v>9301</v>
      </c>
      <c r="AK6690">
        <v>2892022710</v>
      </c>
      <c r="AL6690" t="s">
        <v>9302</v>
      </c>
      <c r="AM6690" t="s">
        <v>78</v>
      </c>
      <c r="AN6690" t="s">
        <v>242</v>
      </c>
      <c r="AO6690" t="s">
        <v>243</v>
      </c>
      <c r="AP6690" t="s">
        <v>243</v>
      </c>
      <c r="AQ6690">
        <v>20</v>
      </c>
      <c r="AR6690" t="s">
        <v>80</v>
      </c>
      <c r="AS6690" t="s">
        <v>81</v>
      </c>
      <c r="AT6690" t="s">
        <v>58</v>
      </c>
      <c r="AU6690" t="s">
        <v>68</v>
      </c>
      <c r="AV6690" t="s">
        <v>69</v>
      </c>
      <c r="AW6690" s="1">
        <v>22653</v>
      </c>
      <c r="AX6690">
        <v>1</v>
      </c>
    </row>
    <row r="6691" spans="1:50">
      <c r="B6691" t="str">
        <f>"159655099"</f>
        <v>159655099</v>
      </c>
      <c r="C6691" t="s">
        <v>50</v>
      </c>
      <c r="D6691" t="s">
        <v>3315</v>
      </c>
      <c r="E6691" t="s">
        <v>484</v>
      </c>
      <c r="F6691" t="s">
        <v>72</v>
      </c>
      <c r="G6691" t="s">
        <v>1440</v>
      </c>
      <c r="H6691" t="str">
        <f>" "</f>
        <v xml:space="preserve"> </v>
      </c>
      <c r="N6691" t="s">
        <v>615</v>
      </c>
      <c r="O6691" t="s">
        <v>616</v>
      </c>
      <c r="R6691" t="s">
        <v>121</v>
      </c>
      <c r="S6691">
        <v>1</v>
      </c>
      <c r="T6691" t="s">
        <v>9034</v>
      </c>
      <c r="U6691" s="1">
        <v>43377</v>
      </c>
      <c r="V6691" t="s">
        <v>80</v>
      </c>
      <c r="W6691" t="s">
        <v>81</v>
      </c>
      <c r="X6691" t="s">
        <v>58</v>
      </c>
      <c r="Y6691">
        <v>24</v>
      </c>
      <c r="Z6691" t="s">
        <v>59</v>
      </c>
      <c r="AA6691" t="s">
        <v>59</v>
      </c>
      <c r="AB6691" t="s">
        <v>59</v>
      </c>
      <c r="AD6691" t="s">
        <v>59</v>
      </c>
      <c r="AF6691" s="1">
        <v>43377</v>
      </c>
      <c r="AG6691" t="s">
        <v>8645</v>
      </c>
      <c r="AH6691" t="s">
        <v>8646</v>
      </c>
      <c r="AI6691" t="str">
        <f>"9170270"</f>
        <v>9170270</v>
      </c>
      <c r="AJ6691" t="s">
        <v>9347</v>
      </c>
      <c r="AK6691">
        <v>2892031245</v>
      </c>
      <c r="AL6691" t="s">
        <v>9348</v>
      </c>
      <c r="AM6691" t="s">
        <v>78</v>
      </c>
      <c r="AN6691" t="s">
        <v>405</v>
      </c>
      <c r="AO6691" t="s">
        <v>405</v>
      </c>
      <c r="AP6691" t="s">
        <v>464</v>
      </c>
      <c r="AQ6691">
        <v>17</v>
      </c>
      <c r="AR6691" t="s">
        <v>80</v>
      </c>
      <c r="AS6691" t="s">
        <v>81</v>
      </c>
      <c r="AT6691" t="s">
        <v>58</v>
      </c>
      <c r="AU6691" t="s">
        <v>8673</v>
      </c>
      <c r="AV6691" t="s">
        <v>132</v>
      </c>
      <c r="AW6691" s="1">
        <v>32736</v>
      </c>
      <c r="AX6691">
        <v>1</v>
      </c>
    </row>
    <row r="6692" spans="1:50">
      <c r="A6692">
        <v>203410</v>
      </c>
      <c r="B6692" t="str">
        <f>"121690987"</f>
        <v>121690987</v>
      </c>
      <c r="C6692" t="s">
        <v>50</v>
      </c>
      <c r="D6692" t="s">
        <v>11101</v>
      </c>
      <c r="E6692" t="s">
        <v>714</v>
      </c>
      <c r="F6692" t="s">
        <v>84</v>
      </c>
      <c r="G6692" t="s">
        <v>699</v>
      </c>
      <c r="H6692" t="str">
        <f>"ΨΑΡΩΝ 17 "</f>
        <v xml:space="preserve">ΨΑΡΩΝ 17 </v>
      </c>
      <c r="I6692">
        <v>71306</v>
      </c>
      <c r="J6692">
        <v>2811111897</v>
      </c>
      <c r="K6692">
        <v>6972868081</v>
      </c>
      <c r="M6692" t="s">
        <v>11102</v>
      </c>
      <c r="N6692" t="s">
        <v>306</v>
      </c>
      <c r="O6692" t="s">
        <v>307</v>
      </c>
      <c r="R6692" t="s">
        <v>57</v>
      </c>
      <c r="S6692">
        <v>13</v>
      </c>
      <c r="T6692">
        <v>231</v>
      </c>
      <c r="U6692" s="1">
        <v>38230</v>
      </c>
      <c r="V6692" t="s">
        <v>80</v>
      </c>
      <c r="W6692" t="s">
        <v>81</v>
      </c>
      <c r="X6692" t="s">
        <v>58</v>
      </c>
      <c r="Y6692">
        <v>23</v>
      </c>
      <c r="Z6692" t="s">
        <v>59</v>
      </c>
      <c r="AA6692" t="s">
        <v>59</v>
      </c>
      <c r="AB6692" t="s">
        <v>59</v>
      </c>
      <c r="AC6692" t="s">
        <v>59</v>
      </c>
      <c r="AD6692" t="s">
        <v>59</v>
      </c>
      <c r="AF6692" s="1">
        <v>38231</v>
      </c>
      <c r="AG6692" t="s">
        <v>8645</v>
      </c>
      <c r="AH6692" t="s">
        <v>8646</v>
      </c>
      <c r="AI6692" t="str">
        <f>"9170192"</f>
        <v>9170192</v>
      </c>
      <c r="AJ6692" t="s">
        <v>8661</v>
      </c>
      <c r="AK6692">
        <v>2810231985</v>
      </c>
      <c r="AL6692" t="s">
        <v>8662</v>
      </c>
      <c r="AM6692" t="s">
        <v>78</v>
      </c>
      <c r="AN6692" t="s">
        <v>78</v>
      </c>
      <c r="AO6692" t="s">
        <v>78</v>
      </c>
      <c r="AP6692" t="s">
        <v>163</v>
      </c>
      <c r="AQ6692">
        <v>1</v>
      </c>
      <c r="AR6692" t="s">
        <v>80</v>
      </c>
      <c r="AS6692" t="s">
        <v>81</v>
      </c>
      <c r="AT6692" t="s">
        <v>58</v>
      </c>
      <c r="AU6692" t="s">
        <v>68</v>
      </c>
      <c r="AV6692" t="s">
        <v>69</v>
      </c>
      <c r="AW6692" s="1">
        <v>28267</v>
      </c>
      <c r="AX6692">
        <v>1</v>
      </c>
    </row>
    <row r="6693" spans="1:50">
      <c r="A6693">
        <v>622737</v>
      </c>
      <c r="B6693" t="str">
        <f>"070368101"</f>
        <v>070368101</v>
      </c>
      <c r="C6693" t="s">
        <v>50</v>
      </c>
      <c r="D6693" t="s">
        <v>11103</v>
      </c>
      <c r="E6693" t="s">
        <v>52</v>
      </c>
      <c r="F6693" t="s">
        <v>53</v>
      </c>
      <c r="G6693" t="s">
        <v>9904</v>
      </c>
      <c r="H6693" t="str">
        <f>"ΓΡΗΓΟΡΙΟΥ ΛΑΜΠΡΑΚΗ 12 ΗΡΑΚΛΕΙΟ"</f>
        <v>ΓΡΗΓΟΡΙΟΥ ΛΑΜΠΡΑΚΗ 12 ΗΡΑΚΛΕΙΟ</v>
      </c>
      <c r="I6693">
        <v>71414</v>
      </c>
      <c r="J6693">
        <v>2810342191</v>
      </c>
      <c r="K6693">
        <v>6972299665</v>
      </c>
      <c r="M6693" t="s">
        <v>11104</v>
      </c>
      <c r="N6693" t="s">
        <v>1525</v>
      </c>
      <c r="O6693" t="s">
        <v>1526</v>
      </c>
      <c r="R6693" t="s">
        <v>57</v>
      </c>
      <c r="S6693">
        <v>4</v>
      </c>
      <c r="T6693">
        <v>653</v>
      </c>
      <c r="U6693" s="1">
        <v>40043</v>
      </c>
      <c r="V6693" t="s">
        <v>80</v>
      </c>
      <c r="W6693" t="s">
        <v>81</v>
      </c>
      <c r="X6693" t="s">
        <v>58</v>
      </c>
      <c r="Y6693">
        <v>25</v>
      </c>
      <c r="Z6693" t="s">
        <v>59</v>
      </c>
      <c r="AA6693" t="s">
        <v>59</v>
      </c>
      <c r="AB6693" t="s">
        <v>59</v>
      </c>
      <c r="AC6693" t="s">
        <v>59</v>
      </c>
      <c r="AD6693" t="s">
        <v>59</v>
      </c>
      <c r="AF6693" s="1">
        <v>40043</v>
      </c>
      <c r="AG6693" t="s">
        <v>8651</v>
      </c>
      <c r="AH6693" t="s">
        <v>8652</v>
      </c>
      <c r="AI6693" t="str">
        <f>"9170449"</f>
        <v>9170449</v>
      </c>
      <c r="AJ6693" t="s">
        <v>10299</v>
      </c>
      <c r="AK6693">
        <v>2810262915</v>
      </c>
      <c r="AL6693" t="s">
        <v>10300</v>
      </c>
      <c r="AM6693" t="s">
        <v>78</v>
      </c>
      <c r="AN6693" t="s">
        <v>78</v>
      </c>
      <c r="AO6693" t="s">
        <v>78</v>
      </c>
      <c r="AP6693" t="s">
        <v>141</v>
      </c>
      <c r="AQ6693">
        <v>1</v>
      </c>
      <c r="AR6693" t="s">
        <v>80</v>
      </c>
      <c r="AS6693" t="s">
        <v>81</v>
      </c>
      <c r="AT6693" t="s">
        <v>58</v>
      </c>
      <c r="AU6693" t="s">
        <v>68</v>
      </c>
      <c r="AV6693" t="s">
        <v>69</v>
      </c>
      <c r="AW6693" s="1">
        <v>30680</v>
      </c>
      <c r="AX6693">
        <v>1</v>
      </c>
    </row>
    <row r="6694" spans="1:50">
      <c r="A6694">
        <v>574177</v>
      </c>
      <c r="B6694" t="str">
        <f>"038229162"</f>
        <v>038229162</v>
      </c>
      <c r="C6694" t="s">
        <v>50</v>
      </c>
      <c r="D6694" t="s">
        <v>11105</v>
      </c>
      <c r="E6694" t="s">
        <v>83</v>
      </c>
      <c r="F6694" t="s">
        <v>72</v>
      </c>
      <c r="G6694" t="s">
        <v>52</v>
      </c>
      <c r="H6694" t="str">
        <f>" "</f>
        <v xml:space="preserve"> </v>
      </c>
      <c r="J6694">
        <v>2810234388</v>
      </c>
      <c r="K6694">
        <v>6975713923</v>
      </c>
      <c r="N6694" t="s">
        <v>615</v>
      </c>
      <c r="O6694" t="s">
        <v>616</v>
      </c>
      <c r="R6694" t="s">
        <v>57</v>
      </c>
      <c r="S6694">
        <v>14</v>
      </c>
      <c r="T6694">
        <v>160</v>
      </c>
      <c r="U6694" s="1">
        <v>34582</v>
      </c>
      <c r="V6694" t="s">
        <v>80</v>
      </c>
      <c r="W6694" t="s">
        <v>81</v>
      </c>
      <c r="X6694" t="s">
        <v>58</v>
      </c>
      <c r="Y6694">
        <v>21</v>
      </c>
      <c r="Z6694" t="s">
        <v>59</v>
      </c>
      <c r="AA6694" t="s">
        <v>59</v>
      </c>
      <c r="AB6694" t="s">
        <v>59</v>
      </c>
      <c r="AC6694" t="s">
        <v>59</v>
      </c>
      <c r="AD6694" t="s">
        <v>59</v>
      </c>
      <c r="AF6694" s="1">
        <v>34582</v>
      </c>
      <c r="AG6694" t="s">
        <v>8645</v>
      </c>
      <c r="AH6694" t="s">
        <v>8646</v>
      </c>
      <c r="AI6694" t="str">
        <f>"9170534"</f>
        <v>9170534</v>
      </c>
      <c r="AJ6694" t="s">
        <v>8701</v>
      </c>
      <c r="AK6694">
        <v>2810323225</v>
      </c>
      <c r="AL6694" t="s">
        <v>8702</v>
      </c>
      <c r="AM6694" t="s">
        <v>78</v>
      </c>
      <c r="AN6694" t="s">
        <v>78</v>
      </c>
      <c r="AO6694" t="s">
        <v>78</v>
      </c>
      <c r="AP6694" t="s">
        <v>163</v>
      </c>
      <c r="AQ6694">
        <v>1</v>
      </c>
      <c r="AR6694" t="s">
        <v>80</v>
      </c>
      <c r="AS6694" t="s">
        <v>81</v>
      </c>
      <c r="AT6694" t="s">
        <v>58</v>
      </c>
      <c r="AU6694" t="s">
        <v>68</v>
      </c>
      <c r="AV6694" t="s">
        <v>2039</v>
      </c>
      <c r="AW6694" s="1">
        <v>23914</v>
      </c>
      <c r="AX6694">
        <v>1</v>
      </c>
    </row>
    <row r="6695" spans="1:50">
      <c r="B6695" t="str">
        <f>"150454899"</f>
        <v>150454899</v>
      </c>
      <c r="C6695" t="s">
        <v>50</v>
      </c>
      <c r="D6695" t="s">
        <v>11106</v>
      </c>
      <c r="E6695" t="s">
        <v>1484</v>
      </c>
      <c r="F6695" t="s">
        <v>2933</v>
      </c>
      <c r="G6695" t="s">
        <v>964</v>
      </c>
      <c r="H6695" t="str">
        <f>" "</f>
        <v xml:space="preserve"> </v>
      </c>
      <c r="N6695" t="s">
        <v>615</v>
      </c>
      <c r="O6695" t="s">
        <v>616</v>
      </c>
      <c r="R6695" t="s">
        <v>121</v>
      </c>
      <c r="S6695">
        <v>1</v>
      </c>
      <c r="T6695" t="s">
        <v>8717</v>
      </c>
      <c r="U6695" s="1">
        <v>43348</v>
      </c>
      <c r="V6695" t="s">
        <v>80</v>
      </c>
      <c r="W6695" t="s">
        <v>81</v>
      </c>
      <c r="X6695" t="s">
        <v>58</v>
      </c>
      <c r="Y6695">
        <v>24</v>
      </c>
      <c r="Z6695" t="s">
        <v>59</v>
      </c>
      <c r="AA6695" t="s">
        <v>59</v>
      </c>
      <c r="AB6695" t="s">
        <v>59</v>
      </c>
      <c r="AD6695" t="s">
        <v>59</v>
      </c>
      <c r="AF6695" s="1">
        <v>43348</v>
      </c>
      <c r="AG6695" t="s">
        <v>8645</v>
      </c>
      <c r="AH6695" t="s">
        <v>8646</v>
      </c>
      <c r="AI6695" t="str">
        <f>"9170295"</f>
        <v>9170295</v>
      </c>
      <c r="AJ6695" t="s">
        <v>9283</v>
      </c>
      <c r="AK6695">
        <v>2892042231</v>
      </c>
      <c r="AL6695" t="s">
        <v>9284</v>
      </c>
      <c r="AM6695" t="s">
        <v>78</v>
      </c>
      <c r="AN6695" t="s">
        <v>242</v>
      </c>
      <c r="AO6695" t="s">
        <v>243</v>
      </c>
      <c r="AP6695" t="s">
        <v>9285</v>
      </c>
      <c r="AQ6695">
        <v>18</v>
      </c>
      <c r="AR6695" t="s">
        <v>80</v>
      </c>
      <c r="AS6695" t="s">
        <v>81</v>
      </c>
      <c r="AT6695" t="s">
        <v>58</v>
      </c>
      <c r="AU6695" t="s">
        <v>8720</v>
      </c>
      <c r="AV6695" t="s">
        <v>132</v>
      </c>
      <c r="AW6695" s="1">
        <v>32803</v>
      </c>
      <c r="AX6695">
        <v>1</v>
      </c>
    </row>
    <row r="6696" spans="1:50">
      <c r="A6696">
        <v>572377</v>
      </c>
      <c r="B6696" t="str">
        <f>"047857809"</f>
        <v>047857809</v>
      </c>
      <c r="C6696" t="s">
        <v>50</v>
      </c>
      <c r="D6696" t="s">
        <v>11107</v>
      </c>
      <c r="E6696" t="s">
        <v>620</v>
      </c>
      <c r="F6696" t="s">
        <v>99</v>
      </c>
      <c r="G6696" t="s">
        <v>2709</v>
      </c>
      <c r="H6696" t="str">
        <f>"ΕΥΑΝΘΟΥΣ 1 		 ΗΡΑΚΛΕΙΟ "</f>
        <v xml:space="preserve">ΕΥΑΝΘΟΥΣ 1 		 ΗΡΑΚΛΕΙΟ </v>
      </c>
      <c r="I6696">
        <v>71305</v>
      </c>
      <c r="J6696">
        <v>2810251549</v>
      </c>
      <c r="K6696">
        <v>6944323851</v>
      </c>
      <c r="N6696" t="s">
        <v>306</v>
      </c>
      <c r="O6696" t="s">
        <v>307</v>
      </c>
      <c r="R6696" t="s">
        <v>57</v>
      </c>
      <c r="S6696">
        <v>12</v>
      </c>
      <c r="T6696">
        <v>154</v>
      </c>
      <c r="U6696" s="1">
        <v>34225</v>
      </c>
      <c r="V6696" t="s">
        <v>80</v>
      </c>
      <c r="W6696" t="s">
        <v>81</v>
      </c>
      <c r="X6696" t="s">
        <v>58</v>
      </c>
      <c r="Y6696">
        <v>21</v>
      </c>
      <c r="Z6696" t="s">
        <v>59</v>
      </c>
      <c r="AA6696" t="s">
        <v>59</v>
      </c>
      <c r="AB6696" t="s">
        <v>59</v>
      </c>
      <c r="AC6696" t="s">
        <v>59</v>
      </c>
      <c r="AD6696" t="s">
        <v>59</v>
      </c>
      <c r="AF6696" s="1">
        <v>34226</v>
      </c>
      <c r="AG6696" t="s">
        <v>8645</v>
      </c>
      <c r="AH6696" t="s">
        <v>8646</v>
      </c>
      <c r="AI6696" t="str">
        <f>"9170054"</f>
        <v>9170054</v>
      </c>
      <c r="AJ6696" t="s">
        <v>9106</v>
      </c>
      <c r="AK6696">
        <v>2810254527</v>
      </c>
      <c r="AL6696" t="s">
        <v>9107</v>
      </c>
      <c r="AM6696" t="s">
        <v>78</v>
      </c>
      <c r="AN6696" t="s">
        <v>78</v>
      </c>
      <c r="AO6696" t="s">
        <v>78</v>
      </c>
      <c r="AP6696" t="s">
        <v>163</v>
      </c>
      <c r="AQ6696">
        <v>1</v>
      </c>
      <c r="AR6696" t="s">
        <v>80</v>
      </c>
      <c r="AS6696" t="s">
        <v>81</v>
      </c>
      <c r="AT6696" t="s">
        <v>58</v>
      </c>
      <c r="AU6696" t="s">
        <v>68</v>
      </c>
      <c r="AV6696" t="s">
        <v>69</v>
      </c>
      <c r="AW6696" s="1">
        <v>22234</v>
      </c>
      <c r="AX6696">
        <v>1</v>
      </c>
    </row>
    <row r="6697" spans="1:50">
      <c r="B6697" t="str">
        <f>"119870205"</f>
        <v>119870205</v>
      </c>
      <c r="C6697" t="s">
        <v>50</v>
      </c>
      <c r="D6697" t="s">
        <v>11108</v>
      </c>
      <c r="E6697" t="s">
        <v>255</v>
      </c>
      <c r="F6697" t="s">
        <v>72</v>
      </c>
      <c r="G6697" t="s">
        <v>11109</v>
      </c>
      <c r="H6697" t="str">
        <f>"ΑΦΡΟΔΙΤΗΣ 10 "</f>
        <v xml:space="preserve">ΑΦΡΟΔΙΤΗΣ 10 </v>
      </c>
      <c r="I6697">
        <v>56431</v>
      </c>
      <c r="J6697">
        <v>2310658160</v>
      </c>
      <c r="K6697">
        <v>6948540015</v>
      </c>
      <c r="N6697" t="s">
        <v>615</v>
      </c>
      <c r="O6697" t="s">
        <v>616</v>
      </c>
      <c r="R6697" t="s">
        <v>159</v>
      </c>
      <c r="S6697">
        <v>2</v>
      </c>
      <c r="T6697" t="s">
        <v>8675</v>
      </c>
      <c r="U6697" s="1">
        <v>43348</v>
      </c>
      <c r="V6697" t="s">
        <v>80</v>
      </c>
      <c r="W6697" t="s">
        <v>81</v>
      </c>
      <c r="X6697" t="s">
        <v>58</v>
      </c>
      <c r="Y6697">
        <v>24</v>
      </c>
      <c r="Z6697" t="s">
        <v>59</v>
      </c>
      <c r="AA6697" t="s">
        <v>59</v>
      </c>
      <c r="AB6697" t="s">
        <v>59</v>
      </c>
      <c r="AC6697" t="s">
        <v>59</v>
      </c>
      <c r="AD6697" t="s">
        <v>59</v>
      </c>
      <c r="AF6697" s="1">
        <v>43348</v>
      </c>
      <c r="AG6697" t="s">
        <v>8645</v>
      </c>
      <c r="AH6697" t="s">
        <v>8646</v>
      </c>
      <c r="AI6697" t="str">
        <f>"9170268"</f>
        <v>9170268</v>
      </c>
      <c r="AJ6697" t="s">
        <v>9301</v>
      </c>
      <c r="AK6697">
        <v>2892022710</v>
      </c>
      <c r="AL6697" t="s">
        <v>9302</v>
      </c>
      <c r="AM6697" t="s">
        <v>78</v>
      </c>
      <c r="AN6697" t="s">
        <v>242</v>
      </c>
      <c r="AO6697" t="s">
        <v>243</v>
      </c>
      <c r="AP6697" t="s">
        <v>243</v>
      </c>
      <c r="AQ6697">
        <v>20</v>
      </c>
      <c r="AR6697" t="s">
        <v>80</v>
      </c>
      <c r="AS6697" t="s">
        <v>81</v>
      </c>
      <c r="AT6697" t="s">
        <v>58</v>
      </c>
      <c r="AU6697" t="s">
        <v>8673</v>
      </c>
      <c r="AV6697" t="s">
        <v>132</v>
      </c>
      <c r="AW6697" s="1">
        <v>32537</v>
      </c>
      <c r="AX6697">
        <v>1</v>
      </c>
    </row>
    <row r="6698" spans="1:50">
      <c r="A6698">
        <v>608641</v>
      </c>
      <c r="B6698" t="str">
        <f>"125591177"</f>
        <v>125591177</v>
      </c>
      <c r="C6698" t="s">
        <v>50</v>
      </c>
      <c r="D6698" t="s">
        <v>11110</v>
      </c>
      <c r="E6698" t="s">
        <v>513</v>
      </c>
      <c r="F6698" t="s">
        <v>920</v>
      </c>
      <c r="G6698" t="s">
        <v>801</v>
      </c>
      <c r="H6698" t="str">
        <f>"ΑΥΛΗ ΠΕΔΙΑΔΟΣ ΗΡΑΚΛΕΙΟ"</f>
        <v>ΑΥΛΗ ΠΕΔΙΑΔΟΣ ΗΡΑΚΛΕΙΟ</v>
      </c>
      <c r="I6698">
        <v>70300</v>
      </c>
      <c r="J6698">
        <v>2891061518</v>
      </c>
      <c r="K6698">
        <v>6977807334</v>
      </c>
      <c r="M6698" t="s">
        <v>11111</v>
      </c>
      <c r="N6698" t="s">
        <v>1525</v>
      </c>
      <c r="O6698" t="s">
        <v>1526</v>
      </c>
      <c r="R6698" t="s">
        <v>57</v>
      </c>
      <c r="S6698">
        <v>6</v>
      </c>
      <c r="T6698" t="s">
        <v>9361</v>
      </c>
      <c r="U6698" s="1">
        <v>38600</v>
      </c>
      <c r="V6698" t="s">
        <v>80</v>
      </c>
      <c r="W6698" t="s">
        <v>81</v>
      </c>
      <c r="X6698" t="s">
        <v>58</v>
      </c>
      <c r="Y6698">
        <v>25</v>
      </c>
      <c r="Z6698" t="s">
        <v>59</v>
      </c>
      <c r="AA6698" t="s">
        <v>59</v>
      </c>
      <c r="AB6698" t="s">
        <v>59</v>
      </c>
      <c r="AC6698" t="s">
        <v>59</v>
      </c>
      <c r="AD6698" t="s">
        <v>59</v>
      </c>
      <c r="AF6698" s="1">
        <v>38600</v>
      </c>
      <c r="AG6698" t="s">
        <v>8651</v>
      </c>
      <c r="AH6698" t="s">
        <v>8652</v>
      </c>
      <c r="AI6698" t="str">
        <f>"9170571"</f>
        <v>9170571</v>
      </c>
      <c r="AJ6698" t="s">
        <v>9854</v>
      </c>
      <c r="AK6698">
        <v>2891023446</v>
      </c>
      <c r="AL6698" t="s">
        <v>9855</v>
      </c>
      <c r="AM6698" t="s">
        <v>78</v>
      </c>
      <c r="AN6698" t="s">
        <v>276</v>
      </c>
      <c r="AO6698" t="s">
        <v>490</v>
      </c>
      <c r="AP6698" t="s">
        <v>490</v>
      </c>
      <c r="AQ6698">
        <v>12</v>
      </c>
      <c r="AR6698" t="s">
        <v>80</v>
      </c>
      <c r="AS6698" t="s">
        <v>81</v>
      </c>
      <c r="AT6698" t="s">
        <v>58</v>
      </c>
      <c r="AU6698" t="s">
        <v>68</v>
      </c>
      <c r="AV6698" t="s">
        <v>69</v>
      </c>
      <c r="AW6698" s="1">
        <v>29052</v>
      </c>
      <c r="AX6698">
        <v>1</v>
      </c>
    </row>
    <row r="6699" spans="1:50">
      <c r="B6699" t="str">
        <f>"149647995"</f>
        <v>149647995</v>
      </c>
      <c r="C6699" t="s">
        <v>50</v>
      </c>
      <c r="D6699" t="s">
        <v>11110</v>
      </c>
      <c r="E6699" t="s">
        <v>11112</v>
      </c>
      <c r="F6699" t="s">
        <v>95</v>
      </c>
      <c r="G6699" t="s">
        <v>11113</v>
      </c>
      <c r="H6699" t="str">
        <f>"ΗΡΑΣ 11 ΗΡΑΚΛΕΙΟ"</f>
        <v>ΗΡΑΣ 11 ΗΡΑΚΛΕΙΟ</v>
      </c>
      <c r="I6699">
        <v>71307</v>
      </c>
      <c r="J6699">
        <v>2810225960</v>
      </c>
      <c r="K6699">
        <v>6977887253</v>
      </c>
      <c r="N6699" t="s">
        <v>615</v>
      </c>
      <c r="O6699" t="s">
        <v>616</v>
      </c>
      <c r="R6699" t="s">
        <v>159</v>
      </c>
      <c r="S6699">
        <v>3</v>
      </c>
      <c r="T6699" t="s">
        <v>8675</v>
      </c>
      <c r="U6699" s="1">
        <v>43348</v>
      </c>
      <c r="V6699" t="s">
        <v>80</v>
      </c>
      <c r="W6699" t="s">
        <v>81</v>
      </c>
      <c r="X6699" t="s">
        <v>58</v>
      </c>
      <c r="Y6699">
        <v>24</v>
      </c>
      <c r="Z6699" t="s">
        <v>59</v>
      </c>
      <c r="AA6699" t="s">
        <v>59</v>
      </c>
      <c r="AB6699" t="s">
        <v>59</v>
      </c>
      <c r="AC6699" t="s">
        <v>59</v>
      </c>
      <c r="AD6699" t="s">
        <v>59</v>
      </c>
      <c r="AF6699" s="1">
        <v>43348</v>
      </c>
      <c r="AG6699" t="s">
        <v>8645</v>
      </c>
      <c r="AH6699" t="s">
        <v>8646</v>
      </c>
      <c r="AI6699" t="str">
        <f>"9170097"</f>
        <v>9170097</v>
      </c>
      <c r="AJ6699" t="s">
        <v>8826</v>
      </c>
      <c r="AK6699">
        <v>2810751807</v>
      </c>
      <c r="AL6699" t="s">
        <v>8827</v>
      </c>
      <c r="AM6699" t="s">
        <v>78</v>
      </c>
      <c r="AN6699" t="s">
        <v>424</v>
      </c>
      <c r="AO6699" t="s">
        <v>425</v>
      </c>
      <c r="AP6699" t="s">
        <v>425</v>
      </c>
      <c r="AQ6699">
        <v>11</v>
      </c>
      <c r="AR6699" t="s">
        <v>80</v>
      </c>
      <c r="AS6699" t="s">
        <v>81</v>
      </c>
      <c r="AT6699" t="s">
        <v>58</v>
      </c>
      <c r="AU6699" t="s">
        <v>8673</v>
      </c>
      <c r="AV6699" t="s">
        <v>132</v>
      </c>
      <c r="AW6699" s="1">
        <v>32379</v>
      </c>
      <c r="AX6699">
        <v>1</v>
      </c>
    </row>
    <row r="6700" spans="1:50">
      <c r="A6700">
        <v>611758</v>
      </c>
      <c r="B6700" t="str">
        <f>"104909181"</f>
        <v>104909181</v>
      </c>
      <c r="C6700" t="s">
        <v>50</v>
      </c>
      <c r="D6700" t="s">
        <v>11114</v>
      </c>
      <c r="E6700" t="s">
        <v>237</v>
      </c>
      <c r="F6700" t="s">
        <v>99</v>
      </c>
      <c r="G6700" t="s">
        <v>52</v>
      </c>
      <c r="H6700" t="str">
        <f>" "</f>
        <v xml:space="preserve"> </v>
      </c>
      <c r="J6700">
        <v>2810318032</v>
      </c>
      <c r="K6700">
        <v>6932200310</v>
      </c>
      <c r="N6700" t="s">
        <v>1525</v>
      </c>
      <c r="O6700" t="s">
        <v>1526</v>
      </c>
      <c r="R6700" t="s">
        <v>57</v>
      </c>
      <c r="S6700">
        <v>6</v>
      </c>
      <c r="T6700">
        <v>233</v>
      </c>
      <c r="U6700" s="1">
        <v>38960</v>
      </c>
      <c r="V6700" t="s">
        <v>80</v>
      </c>
      <c r="W6700" t="s">
        <v>81</v>
      </c>
      <c r="X6700" t="s">
        <v>58</v>
      </c>
      <c r="Y6700">
        <v>25</v>
      </c>
      <c r="Z6700" t="s">
        <v>59</v>
      </c>
      <c r="AA6700" t="s">
        <v>59</v>
      </c>
      <c r="AB6700" t="s">
        <v>59</v>
      </c>
      <c r="AC6700" t="s">
        <v>59</v>
      </c>
      <c r="AD6700" t="s">
        <v>59</v>
      </c>
      <c r="AF6700" s="1">
        <v>38961</v>
      </c>
      <c r="AG6700" t="s">
        <v>8651</v>
      </c>
      <c r="AH6700" t="s">
        <v>8652</v>
      </c>
      <c r="AI6700" t="str">
        <f>"9170587"</f>
        <v>9170587</v>
      </c>
      <c r="AJ6700" t="s">
        <v>10197</v>
      </c>
      <c r="AK6700">
        <v>2810212554</v>
      </c>
      <c r="AL6700" t="s">
        <v>10198</v>
      </c>
      <c r="AM6700" t="s">
        <v>78</v>
      </c>
      <c r="AN6700" t="s">
        <v>78</v>
      </c>
      <c r="AO6700" t="s">
        <v>78</v>
      </c>
      <c r="AP6700" t="s">
        <v>163</v>
      </c>
      <c r="AQ6700">
        <v>1</v>
      </c>
      <c r="AR6700" t="s">
        <v>80</v>
      </c>
      <c r="AS6700" t="s">
        <v>81</v>
      </c>
      <c r="AT6700" t="s">
        <v>58</v>
      </c>
      <c r="AU6700" t="s">
        <v>68</v>
      </c>
      <c r="AV6700" t="s">
        <v>69</v>
      </c>
      <c r="AW6700" s="1">
        <v>27556</v>
      </c>
      <c r="AX6700">
        <v>1</v>
      </c>
    </row>
    <row r="6701" spans="1:50">
      <c r="A6701">
        <v>228093</v>
      </c>
      <c r="B6701" t="str">
        <f>"073779480"</f>
        <v>073779480</v>
      </c>
      <c r="C6701" t="s">
        <v>105</v>
      </c>
      <c r="D6701" t="s">
        <v>3326</v>
      </c>
      <c r="E6701" t="s">
        <v>11115</v>
      </c>
      <c r="F6701" t="s">
        <v>1062</v>
      </c>
      <c r="G6701" t="s">
        <v>191</v>
      </c>
      <c r="H6701" t="str">
        <f>"ΑΛΕΞ. ΠΑΠΑΔΟΠΟΥΛΟΥ 18 ΘΕΣΣΑΛΟΝΙΚΗ"</f>
        <v>ΑΛΕΞ. ΠΑΠΑΔΟΠΟΥΛΟΥ 18 ΘΕΣΣΑΛΟΝΙΚΗ</v>
      </c>
      <c r="I6701">
        <v>56123</v>
      </c>
      <c r="J6701">
        <v>2310821406</v>
      </c>
      <c r="K6701">
        <v>6975905368</v>
      </c>
      <c r="L6701">
        <v>2310825643</v>
      </c>
      <c r="N6701" t="s">
        <v>176</v>
      </c>
      <c r="O6701" t="s">
        <v>177</v>
      </c>
      <c r="R6701" t="s">
        <v>57</v>
      </c>
      <c r="S6701">
        <v>5</v>
      </c>
      <c r="T6701">
        <v>654</v>
      </c>
      <c r="U6701" s="1">
        <v>40043</v>
      </c>
      <c r="V6701" t="s">
        <v>80</v>
      </c>
      <c r="W6701" t="s">
        <v>81</v>
      </c>
      <c r="X6701" t="s">
        <v>58</v>
      </c>
      <c r="Y6701">
        <v>23</v>
      </c>
      <c r="Z6701" t="s">
        <v>59</v>
      </c>
      <c r="AA6701" t="s">
        <v>59</v>
      </c>
      <c r="AB6701" t="s">
        <v>59</v>
      </c>
      <c r="AC6701" t="s">
        <v>59</v>
      </c>
      <c r="AD6701" t="s">
        <v>59</v>
      </c>
      <c r="AF6701" s="1">
        <v>40046</v>
      </c>
      <c r="AG6701" t="s">
        <v>8645</v>
      </c>
      <c r="AH6701" t="s">
        <v>8646</v>
      </c>
      <c r="AI6701" t="str">
        <f>"9170132"</f>
        <v>9170132</v>
      </c>
      <c r="AJ6701" t="s">
        <v>9010</v>
      </c>
      <c r="AK6701">
        <v>2895022233</v>
      </c>
      <c r="AL6701" t="s">
        <v>9011</v>
      </c>
      <c r="AM6701" t="s">
        <v>78</v>
      </c>
      <c r="AN6701" t="s">
        <v>482</v>
      </c>
      <c r="AO6701" t="s">
        <v>482</v>
      </c>
      <c r="AP6701" t="s">
        <v>483</v>
      </c>
      <c r="AQ6701">
        <v>14</v>
      </c>
      <c r="AR6701" t="s">
        <v>80</v>
      </c>
      <c r="AS6701" t="s">
        <v>81</v>
      </c>
      <c r="AT6701" t="s">
        <v>58</v>
      </c>
      <c r="AU6701" t="s">
        <v>68</v>
      </c>
      <c r="AV6701" t="s">
        <v>69</v>
      </c>
      <c r="AW6701" s="1">
        <v>25560</v>
      </c>
      <c r="AX6701">
        <v>1</v>
      </c>
    </row>
    <row r="6702" spans="1:50">
      <c r="A6702">
        <v>577843</v>
      </c>
      <c r="B6702" t="str">
        <f>"053715500"</f>
        <v>053715500</v>
      </c>
      <c r="C6702" t="s">
        <v>50</v>
      </c>
      <c r="D6702" t="s">
        <v>5280</v>
      </c>
      <c r="E6702" t="s">
        <v>687</v>
      </c>
      <c r="F6702" t="s">
        <v>1062</v>
      </c>
      <c r="G6702" t="s">
        <v>73</v>
      </c>
      <c r="H6702" t="str">
        <f>" "</f>
        <v xml:space="preserve"> </v>
      </c>
      <c r="N6702" t="s">
        <v>615</v>
      </c>
      <c r="O6702" t="s">
        <v>616</v>
      </c>
      <c r="R6702" t="s">
        <v>57</v>
      </c>
      <c r="S6702">
        <v>12</v>
      </c>
      <c r="T6702">
        <v>165</v>
      </c>
      <c r="U6702" s="1">
        <v>35300</v>
      </c>
      <c r="V6702" t="s">
        <v>80</v>
      </c>
      <c r="W6702" t="s">
        <v>81</v>
      </c>
      <c r="X6702" t="s">
        <v>58</v>
      </c>
      <c r="Y6702">
        <v>21</v>
      </c>
      <c r="Z6702" t="s">
        <v>59</v>
      </c>
      <c r="AA6702" t="s">
        <v>59</v>
      </c>
      <c r="AB6702" t="s">
        <v>59</v>
      </c>
      <c r="AC6702" t="s">
        <v>59</v>
      </c>
      <c r="AD6702" t="s">
        <v>59</v>
      </c>
      <c r="AF6702" s="1">
        <v>35312</v>
      </c>
      <c r="AG6702" t="s">
        <v>8645</v>
      </c>
      <c r="AH6702" t="s">
        <v>8646</v>
      </c>
      <c r="AI6702" t="str">
        <f>"9521014"</f>
        <v>9521014</v>
      </c>
      <c r="AJ6702" t="s">
        <v>8974</v>
      </c>
      <c r="AK6702">
        <v>2897029611</v>
      </c>
      <c r="AL6702" t="s">
        <v>8975</v>
      </c>
      <c r="AM6702" t="s">
        <v>78</v>
      </c>
      <c r="AN6702" t="s">
        <v>219</v>
      </c>
      <c r="AO6702" t="s">
        <v>527</v>
      </c>
      <c r="AP6702" t="s">
        <v>527</v>
      </c>
      <c r="AQ6702">
        <v>8</v>
      </c>
      <c r="AR6702" t="s">
        <v>80</v>
      </c>
      <c r="AS6702" t="s">
        <v>81</v>
      </c>
      <c r="AT6702" t="s">
        <v>58</v>
      </c>
      <c r="AU6702" t="s">
        <v>68</v>
      </c>
      <c r="AV6702" t="s">
        <v>69</v>
      </c>
      <c r="AW6702" s="1">
        <v>24110</v>
      </c>
      <c r="AX6702">
        <v>1</v>
      </c>
    </row>
    <row r="6703" spans="1:50">
      <c r="B6703" t="str">
        <f>"150176164"</f>
        <v>150176164</v>
      </c>
      <c r="C6703" t="s">
        <v>50</v>
      </c>
      <c r="D6703" t="s">
        <v>3328</v>
      </c>
      <c r="E6703" t="s">
        <v>484</v>
      </c>
      <c r="F6703" t="s">
        <v>84</v>
      </c>
      <c r="G6703" t="s">
        <v>52</v>
      </c>
      <c r="H6703" t="str">
        <f>" "</f>
        <v xml:space="preserve"> </v>
      </c>
      <c r="N6703" t="s">
        <v>384</v>
      </c>
      <c r="O6703" t="s">
        <v>385</v>
      </c>
      <c r="R6703" t="s">
        <v>121</v>
      </c>
      <c r="S6703">
        <v>1</v>
      </c>
      <c r="T6703" t="s">
        <v>8675</v>
      </c>
      <c r="U6703" s="1">
        <v>43348</v>
      </c>
      <c r="V6703" t="s">
        <v>80</v>
      </c>
      <c r="W6703" t="s">
        <v>81</v>
      </c>
      <c r="X6703" t="s">
        <v>58</v>
      </c>
      <c r="Y6703">
        <v>24</v>
      </c>
      <c r="Z6703" t="s">
        <v>59</v>
      </c>
      <c r="AA6703" t="s">
        <v>59</v>
      </c>
      <c r="AB6703" t="s">
        <v>59</v>
      </c>
      <c r="AD6703" t="s">
        <v>59</v>
      </c>
      <c r="AF6703" s="1">
        <v>43348</v>
      </c>
      <c r="AG6703" t="s">
        <v>8645</v>
      </c>
      <c r="AH6703" t="s">
        <v>8646</v>
      </c>
      <c r="AI6703" t="str">
        <f>"9170336"</f>
        <v>9170336</v>
      </c>
      <c r="AJ6703" t="s">
        <v>9801</v>
      </c>
      <c r="AK6703">
        <v>2892045288</v>
      </c>
      <c r="AL6703" t="s">
        <v>9802</v>
      </c>
      <c r="AM6703" t="s">
        <v>78</v>
      </c>
      <c r="AN6703" t="s">
        <v>242</v>
      </c>
      <c r="AO6703" t="s">
        <v>349</v>
      </c>
      <c r="AP6703" t="s">
        <v>9803</v>
      </c>
      <c r="AQ6703">
        <v>18</v>
      </c>
      <c r="AR6703" t="s">
        <v>80</v>
      </c>
      <c r="AS6703" t="s">
        <v>81</v>
      </c>
      <c r="AT6703" t="s">
        <v>58</v>
      </c>
      <c r="AU6703" t="s">
        <v>8673</v>
      </c>
      <c r="AV6703" t="s">
        <v>132</v>
      </c>
      <c r="AW6703" s="1">
        <v>32833</v>
      </c>
      <c r="AX6703">
        <v>1</v>
      </c>
    </row>
    <row r="6704" spans="1:50">
      <c r="B6704" t="str">
        <f>"139800857"</f>
        <v>139800857</v>
      </c>
      <c r="C6704" t="s">
        <v>105</v>
      </c>
      <c r="D6704" t="s">
        <v>3329</v>
      </c>
      <c r="E6704" t="s">
        <v>383</v>
      </c>
      <c r="F6704" t="s">
        <v>72</v>
      </c>
      <c r="G6704" t="s">
        <v>620</v>
      </c>
      <c r="H6704" t="str">
        <f>"Ρήγα Φερραίου 44 Δράμα"</f>
        <v>Ρήγα Φερραίου 44 Δράμα</v>
      </c>
      <c r="I6704">
        <v>66100</v>
      </c>
      <c r="J6704">
        <v>2109708258</v>
      </c>
      <c r="K6704">
        <v>6946697744</v>
      </c>
      <c r="M6704" t="s">
        <v>11116</v>
      </c>
      <c r="N6704" t="s">
        <v>384</v>
      </c>
      <c r="O6704" t="s">
        <v>385</v>
      </c>
      <c r="R6704" t="s">
        <v>159</v>
      </c>
      <c r="S6704">
        <v>2</v>
      </c>
      <c r="T6704" t="s">
        <v>8675</v>
      </c>
      <c r="U6704" s="1">
        <v>43348</v>
      </c>
      <c r="V6704" t="s">
        <v>80</v>
      </c>
      <c r="W6704" t="s">
        <v>81</v>
      </c>
      <c r="X6704" t="s">
        <v>58</v>
      </c>
      <c r="Y6704">
        <v>24</v>
      </c>
      <c r="Z6704" t="s">
        <v>59</v>
      </c>
      <c r="AA6704" t="s">
        <v>59</v>
      </c>
      <c r="AB6704" t="s">
        <v>59</v>
      </c>
      <c r="AC6704" t="s">
        <v>59</v>
      </c>
      <c r="AD6704" t="s">
        <v>59</v>
      </c>
      <c r="AF6704" s="1">
        <v>43348</v>
      </c>
      <c r="AG6704" t="s">
        <v>8645</v>
      </c>
      <c r="AH6704" t="s">
        <v>8646</v>
      </c>
      <c r="AI6704" t="str">
        <f>"9170194"</f>
        <v>9170194</v>
      </c>
      <c r="AJ6704" t="s">
        <v>8768</v>
      </c>
      <c r="AK6704">
        <v>2810239611</v>
      </c>
      <c r="AL6704" t="s">
        <v>8769</v>
      </c>
      <c r="AM6704" t="s">
        <v>78</v>
      </c>
      <c r="AN6704" t="s">
        <v>78</v>
      </c>
      <c r="AO6704" t="s">
        <v>78</v>
      </c>
      <c r="AP6704" t="s">
        <v>213</v>
      </c>
      <c r="AQ6704">
        <v>1</v>
      </c>
      <c r="AR6704" t="s">
        <v>80</v>
      </c>
      <c r="AS6704" t="s">
        <v>81</v>
      </c>
      <c r="AT6704" t="s">
        <v>58</v>
      </c>
      <c r="AU6704" t="s">
        <v>8673</v>
      </c>
      <c r="AV6704" t="s">
        <v>132</v>
      </c>
      <c r="AW6704" s="1">
        <v>31605</v>
      </c>
      <c r="AX6704">
        <v>1</v>
      </c>
    </row>
    <row r="6705" spans="1:50">
      <c r="B6705" t="str">
        <f>"147333095"</f>
        <v>147333095</v>
      </c>
      <c r="C6705" t="s">
        <v>105</v>
      </c>
      <c r="D6705" t="s">
        <v>3329</v>
      </c>
      <c r="E6705" t="s">
        <v>53</v>
      </c>
      <c r="F6705" t="s">
        <v>2933</v>
      </c>
      <c r="G6705" t="s">
        <v>440</v>
      </c>
      <c r="H6705" t="str">
        <f>" "</f>
        <v xml:space="preserve"> </v>
      </c>
      <c r="N6705" t="s">
        <v>615</v>
      </c>
      <c r="O6705" t="s">
        <v>616</v>
      </c>
      <c r="R6705" t="s">
        <v>121</v>
      </c>
      <c r="S6705">
        <v>3</v>
      </c>
      <c r="T6705" t="s">
        <v>8717</v>
      </c>
      <c r="U6705" s="1">
        <v>43348</v>
      </c>
      <c r="V6705" t="s">
        <v>80</v>
      </c>
      <c r="W6705" t="s">
        <v>81</v>
      </c>
      <c r="X6705" t="s">
        <v>58</v>
      </c>
      <c r="Y6705">
        <v>24</v>
      </c>
      <c r="Z6705" t="s">
        <v>59</v>
      </c>
      <c r="AA6705" t="s">
        <v>59</v>
      </c>
      <c r="AB6705" t="s">
        <v>59</v>
      </c>
      <c r="AD6705" t="s">
        <v>59</v>
      </c>
      <c r="AF6705" s="1">
        <v>43348</v>
      </c>
      <c r="AG6705" t="s">
        <v>8645</v>
      </c>
      <c r="AH6705" t="s">
        <v>8646</v>
      </c>
      <c r="AI6705" t="str">
        <f>"9170426"</f>
        <v>9170426</v>
      </c>
      <c r="AJ6705" t="s">
        <v>9142</v>
      </c>
      <c r="AK6705">
        <v>2810222289</v>
      </c>
      <c r="AL6705" t="s">
        <v>9143</v>
      </c>
      <c r="AM6705" t="s">
        <v>78</v>
      </c>
      <c r="AN6705" t="s">
        <v>78</v>
      </c>
      <c r="AO6705" t="s">
        <v>78</v>
      </c>
      <c r="AP6705" t="s">
        <v>213</v>
      </c>
      <c r="AQ6705">
        <v>1</v>
      </c>
      <c r="AR6705" t="s">
        <v>80</v>
      </c>
      <c r="AS6705" t="s">
        <v>81</v>
      </c>
      <c r="AT6705" t="s">
        <v>58</v>
      </c>
      <c r="AU6705" t="s">
        <v>8720</v>
      </c>
      <c r="AV6705" t="s">
        <v>132</v>
      </c>
      <c r="AW6705" s="1">
        <v>32617</v>
      </c>
      <c r="AX6705">
        <v>1</v>
      </c>
    </row>
    <row r="6706" spans="1:50">
      <c r="A6706">
        <v>579145</v>
      </c>
      <c r="B6706" t="str">
        <f>"036670306"</f>
        <v>036670306</v>
      </c>
      <c r="C6706" t="s">
        <v>50</v>
      </c>
      <c r="D6706" t="s">
        <v>3333</v>
      </c>
      <c r="E6706" t="s">
        <v>250</v>
      </c>
      <c r="F6706" t="s">
        <v>311</v>
      </c>
      <c r="G6706" t="s">
        <v>52</v>
      </c>
      <c r="H6706" t="str">
        <f>"ΓΛΑΥΚΟΥ 7 ΗΡΑΚΛΕΙΟ"</f>
        <v>ΓΛΑΥΚΟΥ 7 ΗΡΑΚΛΕΙΟ</v>
      </c>
      <c r="I6706">
        <v>71305</v>
      </c>
      <c r="J6706">
        <v>2810315537</v>
      </c>
      <c r="K6706">
        <v>6977005177</v>
      </c>
      <c r="N6706" t="s">
        <v>615</v>
      </c>
      <c r="O6706" t="s">
        <v>616</v>
      </c>
      <c r="R6706" t="s">
        <v>57</v>
      </c>
      <c r="S6706">
        <v>13</v>
      </c>
      <c r="T6706">
        <v>165</v>
      </c>
      <c r="U6706" s="1">
        <v>35300</v>
      </c>
      <c r="V6706" t="s">
        <v>80</v>
      </c>
      <c r="W6706" t="s">
        <v>81</v>
      </c>
      <c r="X6706" t="s">
        <v>58</v>
      </c>
      <c r="Y6706">
        <v>21</v>
      </c>
      <c r="Z6706" t="s">
        <v>59</v>
      </c>
      <c r="AA6706" t="s">
        <v>59</v>
      </c>
      <c r="AB6706" t="s">
        <v>59</v>
      </c>
      <c r="AC6706" t="s">
        <v>59</v>
      </c>
      <c r="AD6706" t="s">
        <v>59</v>
      </c>
      <c r="AF6706" s="1">
        <v>35313</v>
      </c>
      <c r="AG6706" t="s">
        <v>8645</v>
      </c>
      <c r="AH6706" t="s">
        <v>8646</v>
      </c>
      <c r="AI6706" t="str">
        <f>"9170058"</f>
        <v>9170058</v>
      </c>
      <c r="AJ6706" t="s">
        <v>8735</v>
      </c>
      <c r="AK6706">
        <v>2810252903</v>
      </c>
      <c r="AL6706" t="s">
        <v>8736</v>
      </c>
      <c r="AM6706" t="s">
        <v>78</v>
      </c>
      <c r="AN6706" t="s">
        <v>78</v>
      </c>
      <c r="AO6706" t="s">
        <v>78</v>
      </c>
      <c r="AP6706" t="s">
        <v>163</v>
      </c>
      <c r="AQ6706">
        <v>1</v>
      </c>
      <c r="AR6706" t="s">
        <v>80</v>
      </c>
      <c r="AS6706" t="s">
        <v>81</v>
      </c>
      <c r="AT6706" t="s">
        <v>58</v>
      </c>
      <c r="AU6706" t="s">
        <v>68</v>
      </c>
      <c r="AV6706" t="s">
        <v>69</v>
      </c>
      <c r="AW6706" s="1">
        <v>23832</v>
      </c>
      <c r="AX6706">
        <v>1</v>
      </c>
    </row>
    <row r="6707" spans="1:50">
      <c r="A6707">
        <v>607194</v>
      </c>
      <c r="B6707" t="str">
        <f>"064649350"</f>
        <v>064649350</v>
      </c>
      <c r="C6707" t="s">
        <v>50</v>
      </c>
      <c r="D6707" t="s">
        <v>11117</v>
      </c>
      <c r="E6707" t="s">
        <v>215</v>
      </c>
      <c r="F6707" t="s">
        <v>95</v>
      </c>
      <c r="G6707" t="s">
        <v>1440</v>
      </c>
      <c r="H6707" t="str">
        <f>"ΤΕΡΜΑ ΠΑΥΛΟΥ ΜΠΑΚΟΓΙΑΝΝΗ Τ.Θ.130 ΗΡΑΚΛΕΙΟ"</f>
        <v>ΤΕΡΜΑ ΠΑΥΛΟΥ ΜΠΑΚΟΓΙΑΝΝΗ Τ.Θ.130 ΗΡΑΚΛΕΙΟ</v>
      </c>
      <c r="I6707">
        <v>71410</v>
      </c>
      <c r="J6707">
        <v>2813007212</v>
      </c>
      <c r="K6707">
        <v>6940831046</v>
      </c>
      <c r="N6707" t="s">
        <v>615</v>
      </c>
      <c r="O6707" t="s">
        <v>616</v>
      </c>
      <c r="R6707" t="s">
        <v>57</v>
      </c>
      <c r="S6707">
        <v>7</v>
      </c>
      <c r="T6707">
        <v>217</v>
      </c>
      <c r="U6707" s="1">
        <v>38596</v>
      </c>
      <c r="V6707" t="s">
        <v>80</v>
      </c>
      <c r="W6707" t="s">
        <v>81</v>
      </c>
      <c r="X6707" t="s">
        <v>58</v>
      </c>
      <c r="Y6707">
        <v>22</v>
      </c>
      <c r="Z6707" t="s">
        <v>59</v>
      </c>
      <c r="AA6707" t="s">
        <v>59</v>
      </c>
      <c r="AB6707" t="s">
        <v>59</v>
      </c>
      <c r="AC6707" t="s">
        <v>59</v>
      </c>
      <c r="AD6707" t="s">
        <v>59</v>
      </c>
      <c r="AF6707" s="1">
        <v>38600</v>
      </c>
      <c r="AG6707" t="s">
        <v>8645</v>
      </c>
      <c r="AH6707" t="s">
        <v>8646</v>
      </c>
      <c r="AI6707" t="str">
        <f>"9170532"</f>
        <v>9170532</v>
      </c>
      <c r="AJ6707" t="s">
        <v>8945</v>
      </c>
      <c r="AK6707">
        <v>2810250330</v>
      </c>
      <c r="AL6707" t="s">
        <v>8946</v>
      </c>
      <c r="AM6707" t="s">
        <v>78</v>
      </c>
      <c r="AN6707" t="s">
        <v>78</v>
      </c>
      <c r="AO6707" t="s">
        <v>78</v>
      </c>
      <c r="AP6707" t="s">
        <v>141</v>
      </c>
      <c r="AQ6707">
        <v>1</v>
      </c>
      <c r="AR6707" t="s">
        <v>80</v>
      </c>
      <c r="AS6707" t="s">
        <v>81</v>
      </c>
      <c r="AT6707" t="s">
        <v>58</v>
      </c>
      <c r="AU6707" t="s">
        <v>68</v>
      </c>
      <c r="AV6707" t="s">
        <v>69</v>
      </c>
      <c r="AW6707" s="1">
        <v>27805</v>
      </c>
      <c r="AX6707">
        <v>1</v>
      </c>
    </row>
    <row r="6708" spans="1:50">
      <c r="A6708">
        <v>577286</v>
      </c>
      <c r="B6708" t="str">
        <f>"036687663"</f>
        <v>036687663</v>
      </c>
      <c r="C6708" t="s">
        <v>105</v>
      </c>
      <c r="D6708" t="s">
        <v>11118</v>
      </c>
      <c r="E6708" t="s">
        <v>95</v>
      </c>
      <c r="F6708" t="s">
        <v>166</v>
      </c>
      <c r="G6708" t="s">
        <v>52</v>
      </c>
      <c r="H6708" t="str">
        <f>"ΠΟΜΠΙΑ ΜΟΙΡΕΣ"</f>
        <v>ΠΟΜΠΙΑ ΜΟΙΡΕΣ</v>
      </c>
      <c r="K6708">
        <v>6970497815</v>
      </c>
      <c r="N6708" t="s">
        <v>176</v>
      </c>
      <c r="O6708" t="s">
        <v>177</v>
      </c>
      <c r="R6708" t="s">
        <v>57</v>
      </c>
      <c r="S6708">
        <v>13</v>
      </c>
      <c r="T6708">
        <v>184</v>
      </c>
      <c r="U6708" s="1">
        <v>34941</v>
      </c>
      <c r="V6708" t="s">
        <v>80</v>
      </c>
      <c r="W6708" t="s">
        <v>81</v>
      </c>
      <c r="X6708" t="s">
        <v>58</v>
      </c>
      <c r="Y6708">
        <v>21</v>
      </c>
      <c r="Z6708" t="s">
        <v>59</v>
      </c>
      <c r="AA6708" t="s">
        <v>59</v>
      </c>
      <c r="AB6708" t="s">
        <v>59</v>
      </c>
      <c r="AC6708" t="s">
        <v>59</v>
      </c>
      <c r="AD6708" t="s">
        <v>59</v>
      </c>
      <c r="AF6708" s="1">
        <v>34946</v>
      </c>
      <c r="AG6708" t="s">
        <v>8645</v>
      </c>
      <c r="AH6708" t="s">
        <v>8646</v>
      </c>
      <c r="AI6708" t="str">
        <f>"9170268"</f>
        <v>9170268</v>
      </c>
      <c r="AJ6708" t="s">
        <v>9301</v>
      </c>
      <c r="AK6708">
        <v>2892022710</v>
      </c>
      <c r="AL6708" t="s">
        <v>9302</v>
      </c>
      <c r="AM6708" t="s">
        <v>78</v>
      </c>
      <c r="AN6708" t="s">
        <v>242</v>
      </c>
      <c r="AO6708" t="s">
        <v>243</v>
      </c>
      <c r="AP6708" t="s">
        <v>243</v>
      </c>
      <c r="AQ6708">
        <v>20</v>
      </c>
      <c r="AR6708" t="s">
        <v>80</v>
      </c>
      <c r="AS6708" t="s">
        <v>81</v>
      </c>
      <c r="AT6708" t="s">
        <v>58</v>
      </c>
      <c r="AU6708" t="s">
        <v>68</v>
      </c>
      <c r="AV6708" t="s">
        <v>69</v>
      </c>
      <c r="AW6708" s="1">
        <v>22133</v>
      </c>
      <c r="AX6708">
        <v>1</v>
      </c>
    </row>
    <row r="6709" spans="1:50">
      <c r="A6709">
        <v>703776</v>
      </c>
      <c r="B6709" t="str">
        <f>"063333878"</f>
        <v>063333878</v>
      </c>
      <c r="C6709" t="s">
        <v>50</v>
      </c>
      <c r="D6709" t="s">
        <v>5288</v>
      </c>
      <c r="E6709" t="s">
        <v>52</v>
      </c>
      <c r="F6709" t="s">
        <v>99</v>
      </c>
      <c r="G6709" t="s">
        <v>396</v>
      </c>
      <c r="H6709" t="str">
        <f>"ΑΝΩ ΑΡΧΑΝΕΣ ΑΝΩ ΑΡΧΑΝΕΣ"</f>
        <v>ΑΝΩ ΑΡΧΑΝΕΣ ΑΝΩ ΑΡΧΑΝΕΣ</v>
      </c>
      <c r="I6709">
        <v>70100</v>
      </c>
      <c r="J6709">
        <v>2810751916</v>
      </c>
      <c r="N6709" t="s">
        <v>1525</v>
      </c>
      <c r="O6709" t="s">
        <v>1526</v>
      </c>
      <c r="R6709" t="s">
        <v>57</v>
      </c>
      <c r="S6709">
        <v>4</v>
      </c>
      <c r="T6709">
        <v>224</v>
      </c>
      <c r="U6709" s="1">
        <v>41695</v>
      </c>
      <c r="V6709" t="s">
        <v>80</v>
      </c>
      <c r="W6709" t="s">
        <v>81</v>
      </c>
      <c r="X6709" t="s">
        <v>58</v>
      </c>
      <c r="Y6709">
        <v>25</v>
      </c>
      <c r="Z6709" t="s">
        <v>59</v>
      </c>
      <c r="AA6709" t="s">
        <v>59</v>
      </c>
      <c r="AB6709" t="s">
        <v>59</v>
      </c>
      <c r="AC6709" t="s">
        <v>59</v>
      </c>
      <c r="AD6709" t="s">
        <v>59</v>
      </c>
      <c r="AF6709" s="1">
        <v>41695</v>
      </c>
      <c r="AG6709" t="s">
        <v>8651</v>
      </c>
      <c r="AH6709" t="s">
        <v>8652</v>
      </c>
      <c r="AI6709" t="str">
        <f>"9521639"</f>
        <v>9521639</v>
      </c>
      <c r="AJ6709" t="s">
        <v>10722</v>
      </c>
      <c r="AK6709">
        <v>2810751950</v>
      </c>
      <c r="AL6709" t="s">
        <v>10723</v>
      </c>
      <c r="AM6709" t="s">
        <v>78</v>
      </c>
      <c r="AN6709" t="s">
        <v>424</v>
      </c>
      <c r="AO6709" t="s">
        <v>425</v>
      </c>
      <c r="AP6709" t="s">
        <v>425</v>
      </c>
      <c r="AQ6709">
        <v>11</v>
      </c>
      <c r="AR6709" t="s">
        <v>80</v>
      </c>
      <c r="AS6709" t="s">
        <v>81</v>
      </c>
      <c r="AT6709" t="s">
        <v>58</v>
      </c>
      <c r="AU6709" t="s">
        <v>68</v>
      </c>
      <c r="AV6709" t="s">
        <v>69</v>
      </c>
      <c r="AW6709" s="1">
        <v>26917</v>
      </c>
      <c r="AX6709">
        <v>1</v>
      </c>
    </row>
    <row r="6710" spans="1:50">
      <c r="B6710" t="str">
        <f>"151163455"</f>
        <v>151163455</v>
      </c>
      <c r="C6710" t="s">
        <v>50</v>
      </c>
      <c r="D6710" t="s">
        <v>11119</v>
      </c>
      <c r="E6710" t="s">
        <v>52</v>
      </c>
      <c r="F6710" t="s">
        <v>309</v>
      </c>
      <c r="G6710" t="s">
        <v>181</v>
      </c>
      <c r="H6710" t="str">
        <f>" "</f>
        <v xml:space="preserve"> </v>
      </c>
      <c r="K6710">
        <v>6982039560</v>
      </c>
      <c r="N6710" t="s">
        <v>615</v>
      </c>
      <c r="O6710" t="s">
        <v>616</v>
      </c>
      <c r="R6710" t="s">
        <v>121</v>
      </c>
      <c r="S6710">
        <v>1</v>
      </c>
      <c r="T6710" t="s">
        <v>8675</v>
      </c>
      <c r="U6710" s="1">
        <v>43348</v>
      </c>
      <c r="V6710" t="s">
        <v>80</v>
      </c>
      <c r="W6710" t="s">
        <v>81</v>
      </c>
      <c r="X6710" t="s">
        <v>58</v>
      </c>
      <c r="Y6710">
        <v>25</v>
      </c>
      <c r="Z6710" t="s">
        <v>59</v>
      </c>
      <c r="AA6710" t="s">
        <v>59</v>
      </c>
      <c r="AB6710" t="s">
        <v>59</v>
      </c>
      <c r="AC6710" t="s">
        <v>59</v>
      </c>
      <c r="AD6710" t="s">
        <v>59</v>
      </c>
      <c r="AF6710" s="1">
        <v>43348</v>
      </c>
      <c r="AG6710" t="s">
        <v>8645</v>
      </c>
      <c r="AH6710" t="s">
        <v>8676</v>
      </c>
      <c r="AI6710" t="str">
        <f>"9170279"</f>
        <v>9170279</v>
      </c>
      <c r="AJ6710" t="s">
        <v>9327</v>
      </c>
      <c r="AK6710">
        <v>2894031022</v>
      </c>
      <c r="AL6710" t="s">
        <v>9328</v>
      </c>
      <c r="AM6710" t="s">
        <v>78</v>
      </c>
      <c r="AN6710" t="s">
        <v>242</v>
      </c>
      <c r="AO6710" t="s">
        <v>999</v>
      </c>
      <c r="AP6710" t="s">
        <v>9222</v>
      </c>
      <c r="AQ6710">
        <v>21</v>
      </c>
      <c r="AR6710" t="s">
        <v>80</v>
      </c>
      <c r="AS6710" t="s">
        <v>81</v>
      </c>
      <c r="AT6710" t="s">
        <v>58</v>
      </c>
      <c r="AU6710" t="s">
        <v>8673</v>
      </c>
      <c r="AV6710" t="s">
        <v>132</v>
      </c>
      <c r="AW6710" s="1">
        <v>32724</v>
      </c>
      <c r="AX6710">
        <v>1</v>
      </c>
    </row>
    <row r="6711" spans="1:50">
      <c r="B6711" t="str">
        <f>"144912407"</f>
        <v>144912407</v>
      </c>
      <c r="C6711" t="s">
        <v>105</v>
      </c>
      <c r="D6711" t="s">
        <v>11120</v>
      </c>
      <c r="E6711" t="s">
        <v>95</v>
      </c>
      <c r="F6711" t="s">
        <v>53</v>
      </c>
      <c r="G6711" t="s">
        <v>52</v>
      </c>
      <c r="H6711" t="str">
        <f>" "</f>
        <v xml:space="preserve"> </v>
      </c>
      <c r="K6711">
        <v>6988006952</v>
      </c>
      <c r="N6711" t="s">
        <v>615</v>
      </c>
      <c r="O6711" t="s">
        <v>616</v>
      </c>
      <c r="R6711" t="s">
        <v>159</v>
      </c>
      <c r="S6711">
        <v>1</v>
      </c>
      <c r="T6711" t="s">
        <v>8675</v>
      </c>
      <c r="U6711" s="1">
        <v>43348</v>
      </c>
      <c r="V6711" t="s">
        <v>80</v>
      </c>
      <c r="W6711" t="s">
        <v>81</v>
      </c>
      <c r="X6711" t="s">
        <v>58</v>
      </c>
      <c r="Y6711">
        <v>24</v>
      </c>
      <c r="Z6711" t="s">
        <v>59</v>
      </c>
      <c r="AA6711" t="s">
        <v>59</v>
      </c>
      <c r="AB6711" t="s">
        <v>59</v>
      </c>
      <c r="AD6711" t="s">
        <v>59</v>
      </c>
      <c r="AF6711" s="1">
        <v>43348</v>
      </c>
      <c r="AG6711" t="s">
        <v>8645</v>
      </c>
      <c r="AH6711" t="s">
        <v>8646</v>
      </c>
      <c r="AI6711" t="str">
        <f>"9170536"</f>
        <v>9170536</v>
      </c>
      <c r="AJ6711" t="s">
        <v>8740</v>
      </c>
      <c r="AK6711">
        <v>2892051187</v>
      </c>
      <c r="AL6711" t="s">
        <v>8741</v>
      </c>
      <c r="AM6711" t="s">
        <v>78</v>
      </c>
      <c r="AN6711" t="s">
        <v>242</v>
      </c>
      <c r="AO6711" t="s">
        <v>349</v>
      </c>
      <c r="AP6711" t="s">
        <v>349</v>
      </c>
      <c r="AQ6711">
        <v>19</v>
      </c>
      <c r="AR6711" t="s">
        <v>80</v>
      </c>
      <c r="AS6711" t="s">
        <v>81</v>
      </c>
      <c r="AT6711" t="s">
        <v>58</v>
      </c>
      <c r="AU6711" t="s">
        <v>8673</v>
      </c>
      <c r="AV6711" t="s">
        <v>132</v>
      </c>
      <c r="AW6711" s="1">
        <v>32779</v>
      </c>
      <c r="AX6711">
        <v>1</v>
      </c>
    </row>
    <row r="6712" spans="1:50">
      <c r="A6712">
        <v>584083</v>
      </c>
      <c r="B6712" t="str">
        <f>"065200230"</f>
        <v>065200230</v>
      </c>
      <c r="C6712" t="s">
        <v>50</v>
      </c>
      <c r="D6712" t="s">
        <v>11121</v>
      </c>
      <c r="E6712" t="s">
        <v>143</v>
      </c>
      <c r="F6712" t="s">
        <v>166</v>
      </c>
      <c r="G6712" t="s">
        <v>52</v>
      </c>
      <c r="H6712" t="str">
        <f>"Αναστάσεως 10 "</f>
        <v xml:space="preserve">Αναστάσεως 10 </v>
      </c>
      <c r="J6712">
        <v>2810320304</v>
      </c>
      <c r="K6712">
        <v>6970956708</v>
      </c>
      <c r="M6712" t="s">
        <v>11122</v>
      </c>
      <c r="N6712" t="s">
        <v>615</v>
      </c>
      <c r="O6712" t="s">
        <v>616</v>
      </c>
      <c r="R6712" t="s">
        <v>57</v>
      </c>
      <c r="S6712">
        <v>12</v>
      </c>
      <c r="T6712">
        <v>165</v>
      </c>
      <c r="U6712" s="1">
        <v>36040</v>
      </c>
      <c r="V6712" t="s">
        <v>80</v>
      </c>
      <c r="W6712" t="s">
        <v>81</v>
      </c>
      <c r="X6712" t="s">
        <v>58</v>
      </c>
      <c r="Y6712">
        <v>21</v>
      </c>
      <c r="Z6712" t="s">
        <v>59</v>
      </c>
      <c r="AA6712" t="s">
        <v>59</v>
      </c>
      <c r="AB6712" t="s">
        <v>59</v>
      </c>
      <c r="AC6712" t="s">
        <v>59</v>
      </c>
      <c r="AD6712" t="s">
        <v>59</v>
      </c>
      <c r="AF6712" s="1">
        <v>36041</v>
      </c>
      <c r="AG6712" t="s">
        <v>8645</v>
      </c>
      <c r="AH6712" t="s">
        <v>8646</v>
      </c>
      <c r="AI6712" t="str">
        <f>"9170194"</f>
        <v>9170194</v>
      </c>
      <c r="AJ6712" t="s">
        <v>8768</v>
      </c>
      <c r="AK6712">
        <v>2810239611</v>
      </c>
      <c r="AL6712" t="s">
        <v>8769</v>
      </c>
      <c r="AM6712" t="s">
        <v>78</v>
      </c>
      <c r="AN6712" t="s">
        <v>78</v>
      </c>
      <c r="AO6712" t="s">
        <v>78</v>
      </c>
      <c r="AP6712" t="s">
        <v>213</v>
      </c>
      <c r="AQ6712">
        <v>1</v>
      </c>
      <c r="AR6712" t="s">
        <v>80</v>
      </c>
      <c r="AS6712" t="s">
        <v>81</v>
      </c>
      <c r="AT6712" t="s">
        <v>58</v>
      </c>
      <c r="AU6712" t="s">
        <v>68</v>
      </c>
      <c r="AV6712" t="s">
        <v>69</v>
      </c>
      <c r="AW6712" s="1">
        <v>24016</v>
      </c>
      <c r="AX6712">
        <v>1</v>
      </c>
    </row>
    <row r="6713" spans="1:50">
      <c r="A6713">
        <v>581844</v>
      </c>
      <c r="B6713" t="str">
        <f>"035689984"</f>
        <v>035689984</v>
      </c>
      <c r="C6713" t="s">
        <v>50</v>
      </c>
      <c r="D6713" t="s">
        <v>11121</v>
      </c>
      <c r="E6713" t="s">
        <v>83</v>
      </c>
      <c r="F6713" t="s">
        <v>166</v>
      </c>
      <c r="G6713" t="s">
        <v>52</v>
      </c>
      <c r="H6713" t="str">
        <f>"ΑΝΑΣΤΑΣΕΩΣ 10 "</f>
        <v xml:space="preserve">ΑΝΑΣΤΑΣΕΩΣ 10 </v>
      </c>
      <c r="I6713">
        <v>71307</v>
      </c>
      <c r="J6713">
        <v>2810325822</v>
      </c>
      <c r="K6713">
        <v>6987591287</v>
      </c>
      <c r="N6713" t="s">
        <v>615</v>
      </c>
      <c r="O6713" t="s">
        <v>616</v>
      </c>
      <c r="R6713" t="s">
        <v>57</v>
      </c>
      <c r="S6713">
        <v>12</v>
      </c>
      <c r="T6713">
        <v>179</v>
      </c>
      <c r="U6713" s="1">
        <v>35674</v>
      </c>
      <c r="V6713" t="s">
        <v>80</v>
      </c>
      <c r="W6713" t="s">
        <v>81</v>
      </c>
      <c r="X6713" t="s">
        <v>58</v>
      </c>
      <c r="Y6713">
        <v>21</v>
      </c>
      <c r="Z6713" t="s">
        <v>59</v>
      </c>
      <c r="AA6713" t="s">
        <v>59</v>
      </c>
      <c r="AB6713" t="s">
        <v>59</v>
      </c>
      <c r="AC6713" t="s">
        <v>59</v>
      </c>
      <c r="AD6713" t="s">
        <v>59</v>
      </c>
      <c r="AF6713" s="1">
        <v>35677</v>
      </c>
      <c r="AG6713" t="s">
        <v>8645</v>
      </c>
      <c r="AH6713" t="s">
        <v>8646</v>
      </c>
      <c r="AI6713" t="str">
        <f>"9170423"</f>
        <v>9170423</v>
      </c>
      <c r="AJ6713" t="s">
        <v>8808</v>
      </c>
      <c r="AK6713">
        <v>2810239612</v>
      </c>
      <c r="AL6713" t="s">
        <v>8809</v>
      </c>
      <c r="AM6713" t="s">
        <v>78</v>
      </c>
      <c r="AN6713" t="s">
        <v>78</v>
      </c>
      <c r="AO6713" t="s">
        <v>78</v>
      </c>
      <c r="AP6713" t="s">
        <v>163</v>
      </c>
      <c r="AQ6713">
        <v>1</v>
      </c>
      <c r="AR6713" t="s">
        <v>80</v>
      </c>
      <c r="AS6713" t="s">
        <v>81</v>
      </c>
      <c r="AT6713" t="s">
        <v>58</v>
      </c>
      <c r="AU6713" t="s">
        <v>68</v>
      </c>
      <c r="AV6713" t="s">
        <v>69</v>
      </c>
      <c r="AW6713" s="1">
        <v>24016</v>
      </c>
      <c r="AX6713">
        <v>1</v>
      </c>
    </row>
    <row r="6714" spans="1:50">
      <c r="A6714">
        <v>613283</v>
      </c>
      <c r="B6714" t="str">
        <f>"122279254"</f>
        <v>122279254</v>
      </c>
      <c r="C6714" t="s">
        <v>50</v>
      </c>
      <c r="D6714" t="s">
        <v>3348</v>
      </c>
      <c r="E6714" t="s">
        <v>250</v>
      </c>
      <c r="F6714" t="s">
        <v>99</v>
      </c>
      <c r="G6714" t="s">
        <v>801</v>
      </c>
      <c r="H6714" t="str">
        <f>"ΧΑΡΑΚΑΣ "</f>
        <v xml:space="preserve">ΧΑΡΑΚΑΣ </v>
      </c>
      <c r="I6714">
        <v>70010</v>
      </c>
      <c r="J6714">
        <v>2893023168</v>
      </c>
      <c r="K6714">
        <v>6973388950</v>
      </c>
      <c r="N6714" t="s">
        <v>615</v>
      </c>
      <c r="O6714" t="s">
        <v>616</v>
      </c>
      <c r="R6714" t="s">
        <v>57</v>
      </c>
      <c r="S6714">
        <v>6</v>
      </c>
      <c r="T6714">
        <v>598</v>
      </c>
      <c r="U6714" s="1">
        <v>39310</v>
      </c>
      <c r="V6714" t="s">
        <v>80</v>
      </c>
      <c r="W6714" t="s">
        <v>81</v>
      </c>
      <c r="X6714" t="s">
        <v>58</v>
      </c>
      <c r="Y6714">
        <v>23</v>
      </c>
      <c r="Z6714" t="s">
        <v>59</v>
      </c>
      <c r="AA6714" t="s">
        <v>59</v>
      </c>
      <c r="AB6714" t="s">
        <v>59</v>
      </c>
      <c r="AC6714" t="s">
        <v>59</v>
      </c>
      <c r="AD6714" t="s">
        <v>59</v>
      </c>
      <c r="AF6714" s="1">
        <v>39328</v>
      </c>
      <c r="AG6714" t="s">
        <v>8645</v>
      </c>
      <c r="AH6714" t="s">
        <v>8646</v>
      </c>
      <c r="AI6714" t="str">
        <f>"9170547"</f>
        <v>9170547</v>
      </c>
      <c r="AJ6714" t="s">
        <v>9175</v>
      </c>
      <c r="AK6714">
        <v>2810250886</v>
      </c>
      <c r="AL6714" t="s">
        <v>9176</v>
      </c>
      <c r="AM6714" t="s">
        <v>78</v>
      </c>
      <c r="AN6714" t="s">
        <v>78</v>
      </c>
      <c r="AO6714" t="s">
        <v>78</v>
      </c>
      <c r="AP6714" t="s">
        <v>141</v>
      </c>
      <c r="AQ6714">
        <v>1</v>
      </c>
      <c r="AR6714" t="s">
        <v>80</v>
      </c>
      <c r="AS6714" t="s">
        <v>81</v>
      </c>
      <c r="AT6714" t="s">
        <v>58</v>
      </c>
      <c r="AU6714" t="s">
        <v>68</v>
      </c>
      <c r="AV6714" t="s">
        <v>69</v>
      </c>
      <c r="AW6714" s="1">
        <v>29556</v>
      </c>
      <c r="AX6714">
        <v>1</v>
      </c>
    </row>
    <row r="6715" spans="1:50">
      <c r="B6715" t="str">
        <f>"100091098"</f>
        <v>100091098</v>
      </c>
      <c r="C6715" t="s">
        <v>50</v>
      </c>
      <c r="D6715" t="s">
        <v>3348</v>
      </c>
      <c r="E6715" t="s">
        <v>255</v>
      </c>
      <c r="F6715" t="s">
        <v>1705</v>
      </c>
      <c r="G6715" t="s">
        <v>215</v>
      </c>
      <c r="H6715" t="str">
        <f>" "</f>
        <v xml:space="preserve"> </v>
      </c>
      <c r="N6715" t="s">
        <v>1525</v>
      </c>
      <c r="O6715" t="s">
        <v>1526</v>
      </c>
      <c r="R6715" t="s">
        <v>121</v>
      </c>
      <c r="S6715">
        <v>4</v>
      </c>
      <c r="T6715" t="s">
        <v>8670</v>
      </c>
      <c r="U6715" s="1">
        <v>43348</v>
      </c>
      <c r="V6715" t="s">
        <v>80</v>
      </c>
      <c r="W6715" t="s">
        <v>81</v>
      </c>
      <c r="X6715" t="s">
        <v>58</v>
      </c>
      <c r="Y6715">
        <v>25</v>
      </c>
      <c r="Z6715" t="s">
        <v>59</v>
      </c>
      <c r="AA6715" t="s">
        <v>59</v>
      </c>
      <c r="AB6715" t="s">
        <v>59</v>
      </c>
      <c r="AC6715" t="s">
        <v>59</v>
      </c>
      <c r="AD6715" t="s">
        <v>59</v>
      </c>
      <c r="AF6715" s="1">
        <v>43348</v>
      </c>
      <c r="AG6715" t="s">
        <v>8651</v>
      </c>
      <c r="AH6715" t="s">
        <v>8652</v>
      </c>
      <c r="AI6715" t="str">
        <f>"9170500"</f>
        <v>9170500</v>
      </c>
      <c r="AJ6715" t="s">
        <v>10433</v>
      </c>
      <c r="AK6715">
        <v>2810332170</v>
      </c>
      <c r="AL6715" t="s">
        <v>10434</v>
      </c>
      <c r="AM6715" t="s">
        <v>78</v>
      </c>
      <c r="AN6715" t="s">
        <v>219</v>
      </c>
      <c r="AO6715" t="s">
        <v>297</v>
      </c>
      <c r="AP6715" t="s">
        <v>8796</v>
      </c>
      <c r="AQ6715">
        <v>7</v>
      </c>
      <c r="AR6715" t="s">
        <v>80</v>
      </c>
      <c r="AS6715" t="s">
        <v>81</v>
      </c>
      <c r="AT6715" t="s">
        <v>58</v>
      </c>
      <c r="AU6715" t="s">
        <v>8673</v>
      </c>
      <c r="AV6715" t="s">
        <v>132</v>
      </c>
      <c r="AW6715" s="1">
        <v>28928</v>
      </c>
      <c r="AX6715">
        <v>1</v>
      </c>
    </row>
    <row r="6716" spans="1:50">
      <c r="A6716">
        <v>618882</v>
      </c>
      <c r="B6716" t="str">
        <f>"114569405"</f>
        <v>114569405</v>
      </c>
      <c r="C6716" t="s">
        <v>50</v>
      </c>
      <c r="D6716" t="s">
        <v>3348</v>
      </c>
      <c r="E6716" t="s">
        <v>1204</v>
      </c>
      <c r="F6716" t="s">
        <v>53</v>
      </c>
      <c r="G6716" t="s">
        <v>325</v>
      </c>
      <c r="H6716" t="str">
        <f>"ΝΙΚΗΣ 7 ΝΕΑ ΑΛΙΚΑΡΝΑΣΣΟΣ"</f>
        <v>ΝΙΚΗΣ 7 ΝΕΑ ΑΛΙΚΑΡΝΑΣΣΟΣ</v>
      </c>
      <c r="I6716">
        <v>70008</v>
      </c>
      <c r="J6716">
        <v>2810771582</v>
      </c>
      <c r="K6716">
        <v>6946051900</v>
      </c>
      <c r="M6716" t="s">
        <v>11123</v>
      </c>
      <c r="N6716" t="s">
        <v>615</v>
      </c>
      <c r="O6716" t="s">
        <v>616</v>
      </c>
      <c r="R6716" t="s">
        <v>57</v>
      </c>
      <c r="S6716">
        <v>5</v>
      </c>
      <c r="T6716">
        <v>774</v>
      </c>
      <c r="U6716" s="1">
        <v>39680</v>
      </c>
      <c r="V6716" t="s">
        <v>80</v>
      </c>
      <c r="W6716" t="s">
        <v>81</v>
      </c>
      <c r="X6716" t="s">
        <v>58</v>
      </c>
      <c r="Y6716">
        <v>23</v>
      </c>
      <c r="Z6716" t="s">
        <v>59</v>
      </c>
      <c r="AA6716" t="s">
        <v>59</v>
      </c>
      <c r="AB6716" t="s">
        <v>59</v>
      </c>
      <c r="AC6716" t="s">
        <v>59</v>
      </c>
      <c r="AD6716" t="s">
        <v>59</v>
      </c>
      <c r="AF6716" s="1">
        <v>39681</v>
      </c>
      <c r="AG6716" t="s">
        <v>8645</v>
      </c>
      <c r="AH6716" t="s">
        <v>8646</v>
      </c>
      <c r="AI6716" t="str">
        <f>"9170263"</f>
        <v>9170263</v>
      </c>
      <c r="AJ6716" t="s">
        <v>8942</v>
      </c>
      <c r="AK6716">
        <v>2810346939</v>
      </c>
      <c r="AL6716" t="s">
        <v>8943</v>
      </c>
      <c r="AM6716" t="s">
        <v>78</v>
      </c>
      <c r="AN6716" t="s">
        <v>78</v>
      </c>
      <c r="AO6716" t="s">
        <v>286</v>
      </c>
      <c r="AP6716" t="s">
        <v>286</v>
      </c>
      <c r="AQ6716">
        <v>1</v>
      </c>
      <c r="AR6716" t="s">
        <v>80</v>
      </c>
      <c r="AS6716" t="s">
        <v>81</v>
      </c>
      <c r="AT6716" t="s">
        <v>58</v>
      </c>
      <c r="AU6716" t="s">
        <v>68</v>
      </c>
      <c r="AV6716" t="s">
        <v>69</v>
      </c>
      <c r="AW6716" s="1">
        <v>29081</v>
      </c>
      <c r="AX6716">
        <v>1</v>
      </c>
    </row>
    <row r="6717" spans="1:50">
      <c r="B6717" t="str">
        <f>"105672091"</f>
        <v>105672091</v>
      </c>
      <c r="C6717" t="s">
        <v>50</v>
      </c>
      <c r="D6717" t="s">
        <v>3348</v>
      </c>
      <c r="E6717" t="s">
        <v>11124</v>
      </c>
      <c r="F6717" t="s">
        <v>72</v>
      </c>
      <c r="G6717" t="s">
        <v>237</v>
      </c>
      <c r="H6717" t="str">
        <f>"ΚΑΡΥΟΥ 6 "</f>
        <v xml:space="preserve">ΚΑΡΥΟΥ 6 </v>
      </c>
      <c r="I6717">
        <v>11363</v>
      </c>
      <c r="J6717">
        <v>2108830501</v>
      </c>
      <c r="K6717">
        <v>6976779547</v>
      </c>
      <c r="M6717" t="s">
        <v>11125</v>
      </c>
      <c r="N6717" t="s">
        <v>306</v>
      </c>
      <c r="O6717" t="s">
        <v>307</v>
      </c>
      <c r="R6717" t="s">
        <v>159</v>
      </c>
      <c r="S6717">
        <v>4</v>
      </c>
      <c r="T6717" t="s">
        <v>8675</v>
      </c>
      <c r="U6717" s="1">
        <v>43348</v>
      </c>
      <c r="V6717" t="s">
        <v>80</v>
      </c>
      <c r="W6717" t="s">
        <v>81</v>
      </c>
      <c r="X6717" t="s">
        <v>58</v>
      </c>
      <c r="Y6717">
        <v>24</v>
      </c>
      <c r="Z6717" t="s">
        <v>59</v>
      </c>
      <c r="AA6717" t="s">
        <v>59</v>
      </c>
      <c r="AB6717" t="s">
        <v>59</v>
      </c>
      <c r="AC6717" t="s">
        <v>59</v>
      </c>
      <c r="AD6717" t="s">
        <v>59</v>
      </c>
      <c r="AF6717" s="1">
        <v>43348</v>
      </c>
      <c r="AG6717" t="s">
        <v>8645</v>
      </c>
      <c r="AH6717" t="s">
        <v>8646</v>
      </c>
      <c r="AI6717" t="str">
        <f>"9170295"</f>
        <v>9170295</v>
      </c>
      <c r="AJ6717" t="s">
        <v>9283</v>
      </c>
      <c r="AK6717">
        <v>2892042231</v>
      </c>
      <c r="AL6717" t="s">
        <v>9284</v>
      </c>
      <c r="AM6717" t="s">
        <v>78</v>
      </c>
      <c r="AN6717" t="s">
        <v>242</v>
      </c>
      <c r="AO6717" t="s">
        <v>243</v>
      </c>
      <c r="AP6717" t="s">
        <v>9285</v>
      </c>
      <c r="AQ6717">
        <v>18</v>
      </c>
      <c r="AR6717" t="s">
        <v>80</v>
      </c>
      <c r="AS6717" t="s">
        <v>81</v>
      </c>
      <c r="AT6717" t="s">
        <v>58</v>
      </c>
      <c r="AU6717" t="s">
        <v>8673</v>
      </c>
      <c r="AV6717" t="s">
        <v>132</v>
      </c>
      <c r="AW6717" s="1">
        <v>30615</v>
      </c>
      <c r="AX6717">
        <v>1</v>
      </c>
    </row>
    <row r="6718" spans="1:50">
      <c r="A6718">
        <v>606796</v>
      </c>
      <c r="B6718" t="str">
        <f>"027881658"</f>
        <v>027881658</v>
      </c>
      <c r="C6718" t="s">
        <v>50</v>
      </c>
      <c r="D6718" t="s">
        <v>11126</v>
      </c>
      <c r="E6718" t="s">
        <v>52</v>
      </c>
      <c r="F6718" t="s">
        <v>11127</v>
      </c>
      <c r="G6718" t="s">
        <v>181</v>
      </c>
      <c r="H6718" t="str">
        <f>"ΑΝΩ ΚΑΛΕΣΣΑ "</f>
        <v xml:space="preserve">ΑΝΩ ΚΑΛΕΣΣΑ </v>
      </c>
      <c r="J6718">
        <v>2810342713</v>
      </c>
      <c r="K6718">
        <v>6944504985</v>
      </c>
      <c r="N6718" t="s">
        <v>1525</v>
      </c>
      <c r="O6718" t="s">
        <v>1526</v>
      </c>
      <c r="R6718" t="s">
        <v>57</v>
      </c>
      <c r="S6718">
        <v>12</v>
      </c>
      <c r="T6718">
        <v>163</v>
      </c>
      <c r="U6718" s="1">
        <v>37813</v>
      </c>
      <c r="V6718" t="s">
        <v>80</v>
      </c>
      <c r="W6718" t="s">
        <v>81</v>
      </c>
      <c r="X6718" t="s">
        <v>58</v>
      </c>
      <c r="Y6718">
        <v>25</v>
      </c>
      <c r="Z6718" t="s">
        <v>59</v>
      </c>
      <c r="AA6718" t="s">
        <v>59</v>
      </c>
      <c r="AB6718" t="s">
        <v>59</v>
      </c>
      <c r="AC6718" t="s">
        <v>59</v>
      </c>
      <c r="AD6718" t="s">
        <v>59</v>
      </c>
      <c r="AF6718" s="1">
        <v>37839</v>
      </c>
      <c r="AG6718" t="s">
        <v>8651</v>
      </c>
      <c r="AH6718" t="s">
        <v>8652</v>
      </c>
      <c r="AI6718" t="str">
        <f>"9170603"</f>
        <v>9170603</v>
      </c>
      <c r="AJ6718" t="s">
        <v>10328</v>
      </c>
      <c r="AK6718">
        <v>2810542177</v>
      </c>
      <c r="AL6718" t="s">
        <v>10329</v>
      </c>
      <c r="AM6718" t="s">
        <v>78</v>
      </c>
      <c r="AN6718" t="s">
        <v>78</v>
      </c>
      <c r="AO6718" t="s">
        <v>78</v>
      </c>
      <c r="AP6718" t="s">
        <v>9053</v>
      </c>
      <c r="AQ6718">
        <v>1</v>
      </c>
      <c r="AR6718" t="s">
        <v>80</v>
      </c>
      <c r="AS6718" t="s">
        <v>81</v>
      </c>
      <c r="AT6718" t="s">
        <v>58</v>
      </c>
      <c r="AU6718" t="s">
        <v>68</v>
      </c>
      <c r="AV6718" t="s">
        <v>69</v>
      </c>
      <c r="AW6718" s="1">
        <v>24628</v>
      </c>
      <c r="AX6718">
        <v>1</v>
      </c>
    </row>
    <row r="6719" spans="1:50">
      <c r="A6719">
        <v>620032</v>
      </c>
      <c r="B6719" t="str">
        <f>"114590058"</f>
        <v>114590058</v>
      </c>
      <c r="C6719" t="s">
        <v>105</v>
      </c>
      <c r="D6719" t="s">
        <v>5295</v>
      </c>
      <c r="E6719" t="s">
        <v>95</v>
      </c>
      <c r="F6719" t="s">
        <v>72</v>
      </c>
      <c r="G6719" t="s">
        <v>610</v>
      </c>
      <c r="H6719" t="str">
        <f>"ΣΕΛΕΝΑΣ 3 ΑΓ. ΙΩΑΝΝΗΣ"</f>
        <v>ΣΕΛΕΝΑΣ 3 ΑΓ. ΙΩΑΝΝΗΣ</v>
      </c>
      <c r="I6719">
        <v>71409</v>
      </c>
      <c r="J6719">
        <v>2810320326</v>
      </c>
      <c r="K6719">
        <v>6978445286</v>
      </c>
      <c r="M6719" t="s">
        <v>11128</v>
      </c>
      <c r="N6719" t="s">
        <v>176</v>
      </c>
      <c r="O6719" t="s">
        <v>177</v>
      </c>
      <c r="R6719" t="s">
        <v>57</v>
      </c>
      <c r="S6719">
        <v>6</v>
      </c>
      <c r="T6719">
        <v>775</v>
      </c>
      <c r="U6719" s="1">
        <v>39680</v>
      </c>
      <c r="V6719" t="s">
        <v>80</v>
      </c>
      <c r="W6719" t="s">
        <v>81</v>
      </c>
      <c r="X6719" t="s">
        <v>58</v>
      </c>
      <c r="Y6719">
        <v>23</v>
      </c>
      <c r="Z6719" t="s">
        <v>59</v>
      </c>
      <c r="AA6719" t="s">
        <v>59</v>
      </c>
      <c r="AB6719" t="s">
        <v>59</v>
      </c>
      <c r="AC6719" t="s">
        <v>59</v>
      </c>
      <c r="AD6719" t="s">
        <v>59</v>
      </c>
      <c r="AF6719" s="1">
        <v>39681</v>
      </c>
      <c r="AG6719" t="s">
        <v>8645</v>
      </c>
      <c r="AH6719" t="s">
        <v>8646</v>
      </c>
      <c r="AI6719" t="str">
        <f>"9170144"</f>
        <v>9170144</v>
      </c>
      <c r="AJ6719" t="s">
        <v>8729</v>
      </c>
      <c r="AK6719">
        <v>2891022244</v>
      </c>
      <c r="AL6719" t="s">
        <v>8730</v>
      </c>
      <c r="AM6719" t="s">
        <v>78</v>
      </c>
      <c r="AN6719" t="s">
        <v>276</v>
      </c>
      <c r="AO6719" t="s">
        <v>490</v>
      </c>
      <c r="AP6719" t="s">
        <v>490</v>
      </c>
      <c r="AQ6719">
        <v>12</v>
      </c>
      <c r="AR6719" t="s">
        <v>80</v>
      </c>
      <c r="AS6719" t="s">
        <v>81</v>
      </c>
      <c r="AT6719" t="s">
        <v>58</v>
      </c>
      <c r="AU6719" t="s">
        <v>68</v>
      </c>
      <c r="AV6719" t="s">
        <v>69</v>
      </c>
      <c r="AW6719" s="1">
        <v>27241</v>
      </c>
      <c r="AX6719">
        <v>1</v>
      </c>
    </row>
    <row r="6720" spans="1:50">
      <c r="B6720" t="str">
        <f>"137230824"</f>
        <v>137230824</v>
      </c>
      <c r="C6720" t="s">
        <v>50</v>
      </c>
      <c r="D6720" t="s">
        <v>3351</v>
      </c>
      <c r="E6720" t="s">
        <v>263</v>
      </c>
      <c r="F6720" t="s">
        <v>450</v>
      </c>
      <c r="G6720" t="s">
        <v>52</v>
      </c>
      <c r="H6720" t="str">
        <f>"ΚΑΣΤΑΛΙΑΣ 12 "</f>
        <v xml:space="preserve">ΚΑΣΤΑΛΙΑΣ 12 </v>
      </c>
      <c r="I6720">
        <v>0</v>
      </c>
      <c r="J6720">
        <v>2810254877</v>
      </c>
      <c r="K6720">
        <v>6934369942</v>
      </c>
      <c r="N6720" t="s">
        <v>384</v>
      </c>
      <c r="O6720" t="s">
        <v>385</v>
      </c>
      <c r="R6720" t="s">
        <v>159</v>
      </c>
      <c r="S6720">
        <v>2</v>
      </c>
      <c r="T6720" t="s">
        <v>8675</v>
      </c>
      <c r="U6720" s="1">
        <v>43348</v>
      </c>
      <c r="V6720" t="s">
        <v>80</v>
      </c>
      <c r="W6720" t="s">
        <v>81</v>
      </c>
      <c r="X6720" t="s">
        <v>58</v>
      </c>
      <c r="Y6720">
        <v>24</v>
      </c>
      <c r="Z6720" t="s">
        <v>59</v>
      </c>
      <c r="AA6720" t="s">
        <v>59</v>
      </c>
      <c r="AB6720" t="s">
        <v>59</v>
      </c>
      <c r="AC6720" t="s">
        <v>59</v>
      </c>
      <c r="AD6720" t="s">
        <v>59</v>
      </c>
      <c r="AF6720" s="1">
        <v>43348</v>
      </c>
      <c r="AG6720" t="s">
        <v>8645</v>
      </c>
      <c r="AH6720" t="s">
        <v>8646</v>
      </c>
      <c r="AI6720" t="str">
        <f>"9170580"</f>
        <v>9170580</v>
      </c>
      <c r="AJ6720" t="s">
        <v>9076</v>
      </c>
      <c r="AK6720">
        <v>2810542809</v>
      </c>
      <c r="AL6720" t="s">
        <v>9077</v>
      </c>
      <c r="AM6720" t="s">
        <v>78</v>
      </c>
      <c r="AN6720" t="s">
        <v>78</v>
      </c>
      <c r="AO6720" t="s">
        <v>78</v>
      </c>
      <c r="AP6720" t="s">
        <v>9053</v>
      </c>
      <c r="AQ6720">
        <v>1</v>
      </c>
      <c r="AR6720" t="s">
        <v>80</v>
      </c>
      <c r="AS6720" t="s">
        <v>81</v>
      </c>
      <c r="AT6720" t="s">
        <v>58</v>
      </c>
      <c r="AU6720" t="s">
        <v>8673</v>
      </c>
      <c r="AV6720" t="s">
        <v>132</v>
      </c>
      <c r="AW6720" s="1">
        <v>30939</v>
      </c>
      <c r="AX6720">
        <v>1</v>
      </c>
    </row>
    <row r="6721" spans="1:50">
      <c r="A6721">
        <v>621863</v>
      </c>
      <c r="B6721" t="str">
        <f>"137229247"</f>
        <v>137229247</v>
      </c>
      <c r="C6721" t="s">
        <v>50</v>
      </c>
      <c r="D6721" t="s">
        <v>3351</v>
      </c>
      <c r="E6721" t="s">
        <v>707</v>
      </c>
      <c r="F6721" t="s">
        <v>95</v>
      </c>
      <c r="G6721" t="s">
        <v>237</v>
      </c>
      <c r="H6721" t="str">
        <f>"ΔΗΜΟΚΡΑΤΙΑΣ 41 "</f>
        <v xml:space="preserve">ΔΗΜΟΚΡΑΤΙΑΣ 41 </v>
      </c>
      <c r="I6721">
        <v>71306</v>
      </c>
      <c r="J6721">
        <v>2810222634</v>
      </c>
      <c r="M6721" t="s">
        <v>11129</v>
      </c>
      <c r="N6721" t="s">
        <v>615</v>
      </c>
      <c r="O6721" t="s">
        <v>616</v>
      </c>
      <c r="R6721" t="s">
        <v>57</v>
      </c>
      <c r="S6721">
        <v>7</v>
      </c>
      <c r="T6721">
        <v>653</v>
      </c>
      <c r="U6721" s="1">
        <v>40043</v>
      </c>
      <c r="V6721" t="s">
        <v>80</v>
      </c>
      <c r="W6721" t="s">
        <v>81</v>
      </c>
      <c r="X6721" t="s">
        <v>58</v>
      </c>
      <c r="Y6721">
        <v>23</v>
      </c>
      <c r="Z6721" t="s">
        <v>59</v>
      </c>
      <c r="AA6721" t="s">
        <v>59</v>
      </c>
      <c r="AB6721" t="s">
        <v>59</v>
      </c>
      <c r="AC6721" t="s">
        <v>59</v>
      </c>
      <c r="AD6721" t="s">
        <v>59</v>
      </c>
      <c r="AF6721" s="1">
        <v>40043</v>
      </c>
      <c r="AG6721" t="s">
        <v>8645</v>
      </c>
      <c r="AH6721" t="s">
        <v>8646</v>
      </c>
      <c r="AI6721" t="str">
        <f>"9170061"</f>
        <v>9170061</v>
      </c>
      <c r="AJ6721" t="s">
        <v>8869</v>
      </c>
      <c r="AK6721">
        <v>2810791254</v>
      </c>
      <c r="AL6721" t="s">
        <v>8870</v>
      </c>
      <c r="AM6721" t="s">
        <v>78</v>
      </c>
      <c r="AN6721" t="s">
        <v>78</v>
      </c>
      <c r="AO6721" t="s">
        <v>78</v>
      </c>
      <c r="AP6721" t="s">
        <v>8871</v>
      </c>
      <c r="AQ6721">
        <v>3</v>
      </c>
      <c r="AR6721" t="s">
        <v>80</v>
      </c>
      <c r="AS6721" t="s">
        <v>81</v>
      </c>
      <c r="AT6721" t="s">
        <v>58</v>
      </c>
      <c r="AU6721" t="s">
        <v>68</v>
      </c>
      <c r="AV6721" t="s">
        <v>69</v>
      </c>
      <c r="AW6721" s="1">
        <v>31226</v>
      </c>
      <c r="AX6721">
        <v>1</v>
      </c>
    </row>
    <row r="6722" spans="1:50">
      <c r="B6722" t="str">
        <f>"063734521"</f>
        <v>063734521</v>
      </c>
      <c r="C6722" t="s">
        <v>50</v>
      </c>
      <c r="D6722" t="s">
        <v>3351</v>
      </c>
      <c r="E6722" t="s">
        <v>2314</v>
      </c>
      <c r="F6722" t="s">
        <v>782</v>
      </c>
      <c r="G6722" t="s">
        <v>52</v>
      </c>
      <c r="H6722" t="str">
        <f>"Αντ. Περατσάκη 33 Αγ. Τριάδα"</f>
        <v>Αντ. Περατσάκη 33 Αγ. Τριάδα</v>
      </c>
      <c r="J6722">
        <v>2810339016</v>
      </c>
      <c r="K6722">
        <v>6944751803</v>
      </c>
      <c r="M6722" t="s">
        <v>11130</v>
      </c>
      <c r="N6722" t="s">
        <v>384</v>
      </c>
      <c r="O6722" t="s">
        <v>385</v>
      </c>
      <c r="R6722" t="s">
        <v>159</v>
      </c>
      <c r="S6722">
        <v>3</v>
      </c>
      <c r="T6722" t="s">
        <v>8675</v>
      </c>
      <c r="U6722" s="1">
        <v>43348</v>
      </c>
      <c r="V6722" t="s">
        <v>80</v>
      </c>
      <c r="W6722" t="s">
        <v>81</v>
      </c>
      <c r="X6722" t="s">
        <v>58</v>
      </c>
      <c r="Y6722">
        <v>24</v>
      </c>
      <c r="Z6722" t="s">
        <v>59</v>
      </c>
      <c r="AA6722" t="s">
        <v>59</v>
      </c>
      <c r="AB6722" t="s">
        <v>59</v>
      </c>
      <c r="AC6722" t="s">
        <v>59</v>
      </c>
      <c r="AD6722" t="s">
        <v>59</v>
      </c>
      <c r="AF6722" s="1">
        <v>43348</v>
      </c>
      <c r="AG6722" t="s">
        <v>8645</v>
      </c>
      <c r="AH6722" t="s">
        <v>8646</v>
      </c>
      <c r="AI6722" t="str">
        <f>"9170517"</f>
        <v>9170517</v>
      </c>
      <c r="AJ6722" t="s">
        <v>9248</v>
      </c>
      <c r="AK6722">
        <v>2810238757</v>
      </c>
      <c r="AL6722" t="s">
        <v>9249</v>
      </c>
      <c r="AM6722" t="s">
        <v>78</v>
      </c>
      <c r="AN6722" t="s">
        <v>78</v>
      </c>
      <c r="AO6722" t="s">
        <v>78</v>
      </c>
      <c r="AP6722" t="s">
        <v>163</v>
      </c>
      <c r="AQ6722">
        <v>1</v>
      </c>
      <c r="AR6722" t="s">
        <v>80</v>
      </c>
      <c r="AS6722" t="s">
        <v>81</v>
      </c>
      <c r="AT6722" t="s">
        <v>58</v>
      </c>
      <c r="AU6722" t="s">
        <v>8673</v>
      </c>
      <c r="AV6722" t="s">
        <v>132</v>
      </c>
      <c r="AW6722" s="1">
        <v>28926</v>
      </c>
      <c r="AX6722">
        <v>1</v>
      </c>
    </row>
    <row r="6723" spans="1:50">
      <c r="A6723">
        <v>557928</v>
      </c>
      <c r="B6723" t="str">
        <f>"031444098"</f>
        <v>031444098</v>
      </c>
      <c r="C6723" t="s">
        <v>50</v>
      </c>
      <c r="D6723" t="s">
        <v>3351</v>
      </c>
      <c r="E6723" t="s">
        <v>507</v>
      </c>
      <c r="F6723" t="s">
        <v>95</v>
      </c>
      <c r="G6723" t="s">
        <v>250</v>
      </c>
      <c r="H6723" t="str">
        <f>"ΜΙΝΩΟΣ 31Β ΗΡΑΚΛΕΙΟ"</f>
        <v>ΜΙΝΩΟΣ 31Β ΗΡΑΚΛΕΙΟ</v>
      </c>
      <c r="I6723">
        <v>71303</v>
      </c>
      <c r="J6723">
        <v>2810316832</v>
      </c>
      <c r="K6723">
        <v>6976610852</v>
      </c>
      <c r="M6723" t="s">
        <v>11131</v>
      </c>
      <c r="N6723" t="s">
        <v>615</v>
      </c>
      <c r="O6723" t="s">
        <v>616</v>
      </c>
      <c r="R6723" t="s">
        <v>57</v>
      </c>
      <c r="S6723">
        <v>18</v>
      </c>
      <c r="T6723" t="s">
        <v>11132</v>
      </c>
      <c r="U6723" s="1">
        <v>32010</v>
      </c>
      <c r="V6723" t="s">
        <v>80</v>
      </c>
      <c r="W6723" t="s">
        <v>81</v>
      </c>
      <c r="X6723" t="s">
        <v>58</v>
      </c>
      <c r="Y6723">
        <v>21</v>
      </c>
      <c r="Z6723" t="s">
        <v>59</v>
      </c>
      <c r="AA6723" t="s">
        <v>59</v>
      </c>
      <c r="AB6723" t="s">
        <v>59</v>
      </c>
      <c r="AC6723" t="s">
        <v>59</v>
      </c>
      <c r="AD6723" t="s">
        <v>59</v>
      </c>
      <c r="AF6723" s="1">
        <v>32021</v>
      </c>
      <c r="AG6723" t="s">
        <v>8645</v>
      </c>
      <c r="AH6723" t="s">
        <v>8646</v>
      </c>
      <c r="AI6723" t="str">
        <f>"9170580"</f>
        <v>9170580</v>
      </c>
      <c r="AJ6723" t="s">
        <v>9076</v>
      </c>
      <c r="AK6723">
        <v>2810542809</v>
      </c>
      <c r="AL6723" t="s">
        <v>9077</v>
      </c>
      <c r="AM6723" t="s">
        <v>78</v>
      </c>
      <c r="AN6723" t="s">
        <v>78</v>
      </c>
      <c r="AO6723" t="s">
        <v>78</v>
      </c>
      <c r="AP6723" t="s">
        <v>9053</v>
      </c>
      <c r="AQ6723">
        <v>1</v>
      </c>
      <c r="AR6723" t="s">
        <v>80</v>
      </c>
      <c r="AS6723" t="s">
        <v>81</v>
      </c>
      <c r="AT6723" t="s">
        <v>58</v>
      </c>
      <c r="AU6723" t="s">
        <v>68</v>
      </c>
      <c r="AV6723" t="s">
        <v>69</v>
      </c>
      <c r="AW6723" s="1">
        <v>23985</v>
      </c>
      <c r="AX6723">
        <v>1</v>
      </c>
    </row>
    <row r="6724" spans="1:50">
      <c r="A6724">
        <v>618706</v>
      </c>
      <c r="B6724" t="str">
        <f>"138958583"</f>
        <v>138958583</v>
      </c>
      <c r="C6724" t="s">
        <v>50</v>
      </c>
      <c r="D6724" t="s">
        <v>3351</v>
      </c>
      <c r="E6724" t="s">
        <v>460</v>
      </c>
      <c r="F6724" t="s">
        <v>166</v>
      </c>
      <c r="G6724" t="s">
        <v>85</v>
      </c>
      <c r="H6724" t="str">
        <f>"ΧΑΙΡΕΤΗ ΗΡΑΚΛΕΙΟ"</f>
        <v>ΧΑΙΡΕΤΗ ΗΡΑΚΛΕΙΟ</v>
      </c>
      <c r="I6724">
        <v>71409</v>
      </c>
      <c r="K6724">
        <v>6944888739</v>
      </c>
      <c r="N6724" t="s">
        <v>615</v>
      </c>
      <c r="O6724" t="s">
        <v>616</v>
      </c>
      <c r="R6724" t="s">
        <v>57</v>
      </c>
      <c r="S6724">
        <v>5</v>
      </c>
      <c r="T6724">
        <v>774</v>
      </c>
      <c r="U6724" s="1">
        <v>39680</v>
      </c>
      <c r="V6724" t="s">
        <v>80</v>
      </c>
      <c r="W6724" t="s">
        <v>81</v>
      </c>
      <c r="X6724" t="s">
        <v>58</v>
      </c>
      <c r="Y6724">
        <v>23</v>
      </c>
      <c r="Z6724" t="s">
        <v>59</v>
      </c>
      <c r="AA6724" t="s">
        <v>59</v>
      </c>
      <c r="AB6724" t="s">
        <v>59</v>
      </c>
      <c r="AC6724" t="s">
        <v>59</v>
      </c>
      <c r="AD6724" t="s">
        <v>59</v>
      </c>
      <c r="AF6724" s="1">
        <v>39681</v>
      </c>
      <c r="AG6724" t="s">
        <v>8645</v>
      </c>
      <c r="AH6724" t="s">
        <v>8646</v>
      </c>
      <c r="AI6724" t="str">
        <f>"9170259"</f>
        <v>9170259</v>
      </c>
      <c r="AJ6724" t="s">
        <v>8784</v>
      </c>
      <c r="AK6724">
        <v>6994891960</v>
      </c>
      <c r="AL6724" t="s">
        <v>8785</v>
      </c>
      <c r="AM6724" t="s">
        <v>78</v>
      </c>
      <c r="AN6724" t="s">
        <v>78</v>
      </c>
      <c r="AO6724" t="s">
        <v>78</v>
      </c>
      <c r="AP6724" t="s">
        <v>213</v>
      </c>
      <c r="AQ6724">
        <v>1</v>
      </c>
      <c r="AR6724" t="s">
        <v>80</v>
      </c>
      <c r="AS6724" t="s">
        <v>81</v>
      </c>
      <c r="AT6724" t="s">
        <v>58</v>
      </c>
      <c r="AU6724" t="s">
        <v>68</v>
      </c>
      <c r="AV6724" t="s">
        <v>69</v>
      </c>
      <c r="AW6724" s="1">
        <v>30867</v>
      </c>
      <c r="AX6724">
        <v>1</v>
      </c>
    </row>
    <row r="6725" spans="1:50">
      <c r="A6725">
        <v>611634</v>
      </c>
      <c r="B6725" t="str">
        <f>"055319000"</f>
        <v>055319000</v>
      </c>
      <c r="C6725" t="s">
        <v>50</v>
      </c>
      <c r="D6725" t="s">
        <v>3355</v>
      </c>
      <c r="E6725" t="s">
        <v>52</v>
      </c>
      <c r="F6725" t="s">
        <v>4097</v>
      </c>
      <c r="G6725" t="s">
        <v>215</v>
      </c>
      <c r="H6725" t="str">
        <f>"ΙΕΡΟΛΟΧΙΤΩΝ 97 ΜΑΣΤΑΜΠΑΣ,ΗΡΑΚΛΕΙΟ"</f>
        <v>ΙΕΡΟΛΟΧΙΤΩΝ 97 ΜΑΣΤΑΜΠΑΣ,ΗΡΑΚΛΕΙΟ</v>
      </c>
      <c r="I6725">
        <v>71305</v>
      </c>
      <c r="J6725">
        <v>2810233312</v>
      </c>
      <c r="K6725">
        <v>6932435512</v>
      </c>
      <c r="N6725" t="s">
        <v>1525</v>
      </c>
      <c r="O6725" t="s">
        <v>1526</v>
      </c>
      <c r="R6725" t="s">
        <v>57</v>
      </c>
      <c r="S6725">
        <v>6</v>
      </c>
      <c r="T6725">
        <v>233</v>
      </c>
      <c r="U6725" s="1">
        <v>38960</v>
      </c>
      <c r="V6725" t="s">
        <v>80</v>
      </c>
      <c r="W6725" t="s">
        <v>81</v>
      </c>
      <c r="X6725" t="s">
        <v>58</v>
      </c>
      <c r="Y6725">
        <v>25</v>
      </c>
      <c r="Z6725" t="s">
        <v>59</v>
      </c>
      <c r="AA6725" t="s">
        <v>59</v>
      </c>
      <c r="AB6725" t="s">
        <v>59</v>
      </c>
      <c r="AC6725" t="s">
        <v>59</v>
      </c>
      <c r="AD6725" t="s">
        <v>59</v>
      </c>
      <c r="AF6725" s="1">
        <v>38961</v>
      </c>
      <c r="AG6725" t="s">
        <v>8651</v>
      </c>
      <c r="AH6725" t="s">
        <v>8652</v>
      </c>
      <c r="AI6725" t="str">
        <f>"9170487"</f>
        <v>9170487</v>
      </c>
      <c r="AJ6725" t="s">
        <v>10566</v>
      </c>
      <c r="AK6725">
        <v>2810232045</v>
      </c>
      <c r="AL6725" t="s">
        <v>10567</v>
      </c>
      <c r="AM6725" t="s">
        <v>78</v>
      </c>
      <c r="AN6725" t="s">
        <v>78</v>
      </c>
      <c r="AO6725" t="s">
        <v>78</v>
      </c>
      <c r="AP6725" t="s">
        <v>79</v>
      </c>
      <c r="AQ6725">
        <v>1</v>
      </c>
      <c r="AR6725" t="s">
        <v>80</v>
      </c>
      <c r="AS6725" t="s">
        <v>81</v>
      </c>
      <c r="AT6725" t="s">
        <v>58</v>
      </c>
      <c r="AU6725" t="s">
        <v>68</v>
      </c>
      <c r="AV6725" t="s">
        <v>69</v>
      </c>
      <c r="AW6725" s="1">
        <v>25470</v>
      </c>
      <c r="AX6725">
        <v>1</v>
      </c>
    </row>
    <row r="6726" spans="1:50">
      <c r="B6726" t="str">
        <f>"143597964"</f>
        <v>143597964</v>
      </c>
      <c r="C6726" t="s">
        <v>50</v>
      </c>
      <c r="D6726" t="s">
        <v>11133</v>
      </c>
      <c r="E6726" t="s">
        <v>3150</v>
      </c>
      <c r="F6726" t="s">
        <v>900</v>
      </c>
      <c r="G6726" t="s">
        <v>181</v>
      </c>
      <c r="H6726" t="str">
        <f>"ΒΡΥΩΝΗ "</f>
        <v xml:space="preserve">ΒΡΥΩΝΗ </v>
      </c>
      <c r="I6726">
        <v>49084</v>
      </c>
      <c r="K6726">
        <v>6945798360</v>
      </c>
      <c r="M6726" t="s">
        <v>11134</v>
      </c>
      <c r="N6726" t="s">
        <v>615</v>
      </c>
      <c r="O6726" t="s">
        <v>616</v>
      </c>
      <c r="R6726" t="s">
        <v>159</v>
      </c>
      <c r="S6726">
        <v>1</v>
      </c>
      <c r="T6726" t="s">
        <v>8675</v>
      </c>
      <c r="U6726" s="1">
        <v>43348</v>
      </c>
      <c r="V6726" t="s">
        <v>80</v>
      </c>
      <c r="W6726" t="s">
        <v>81</v>
      </c>
      <c r="X6726" t="s">
        <v>58</v>
      </c>
      <c r="Y6726">
        <v>24</v>
      </c>
      <c r="Z6726" t="s">
        <v>59</v>
      </c>
      <c r="AA6726" t="s">
        <v>59</v>
      </c>
      <c r="AB6726" t="s">
        <v>59</v>
      </c>
      <c r="AC6726" t="s">
        <v>59</v>
      </c>
      <c r="AD6726" t="s">
        <v>59</v>
      </c>
      <c r="AF6726" s="1">
        <v>43348</v>
      </c>
      <c r="AG6726" t="s">
        <v>8645</v>
      </c>
      <c r="AH6726" t="s">
        <v>8676</v>
      </c>
      <c r="AI6726" t="str">
        <f>"9170383"</f>
        <v>9170383</v>
      </c>
      <c r="AJ6726" t="s">
        <v>11135</v>
      </c>
      <c r="AK6726">
        <v>2895061350</v>
      </c>
      <c r="AL6726" t="s">
        <v>11136</v>
      </c>
      <c r="AM6726" t="s">
        <v>78</v>
      </c>
      <c r="AN6726" t="s">
        <v>482</v>
      </c>
      <c r="AO6726" t="s">
        <v>482</v>
      </c>
      <c r="AP6726" t="s">
        <v>11090</v>
      </c>
      <c r="AQ6726">
        <v>14</v>
      </c>
      <c r="AR6726" t="s">
        <v>80</v>
      </c>
      <c r="AS6726" t="s">
        <v>81</v>
      </c>
      <c r="AT6726" t="s">
        <v>58</v>
      </c>
      <c r="AU6726" t="s">
        <v>8673</v>
      </c>
      <c r="AV6726" t="s">
        <v>132</v>
      </c>
      <c r="AW6726" s="1">
        <v>32253</v>
      </c>
      <c r="AX6726">
        <v>1</v>
      </c>
    </row>
    <row r="6727" spans="1:50">
      <c r="B6727" t="str">
        <f>"106171640"</f>
        <v>106171640</v>
      </c>
      <c r="C6727" t="s">
        <v>50</v>
      </c>
      <c r="D6727" t="s">
        <v>11137</v>
      </c>
      <c r="E6727" t="s">
        <v>809</v>
      </c>
      <c r="F6727" t="s">
        <v>106</v>
      </c>
      <c r="G6727" t="s">
        <v>52</v>
      </c>
      <c r="H6727" t="str">
        <f>"ΙΣΜΗΝΗΣ 4 ΤΡΙΠΟΛΗ"</f>
        <v>ΙΣΜΗΝΗΣ 4 ΤΡΙΠΟΛΗ</v>
      </c>
      <c r="I6727">
        <v>22100</v>
      </c>
      <c r="J6727">
        <v>2710237881</v>
      </c>
      <c r="K6727">
        <v>6948300383</v>
      </c>
      <c r="N6727" t="s">
        <v>1525</v>
      </c>
      <c r="O6727" t="s">
        <v>1526</v>
      </c>
      <c r="R6727" t="s">
        <v>159</v>
      </c>
      <c r="S6727">
        <v>3</v>
      </c>
      <c r="T6727" t="s">
        <v>8670</v>
      </c>
      <c r="U6727" s="1">
        <v>43348</v>
      </c>
      <c r="V6727" t="s">
        <v>80</v>
      </c>
      <c r="W6727" t="s">
        <v>81</v>
      </c>
      <c r="X6727" t="s">
        <v>58</v>
      </c>
      <c r="Y6727">
        <v>25</v>
      </c>
      <c r="Z6727" t="s">
        <v>59</v>
      </c>
      <c r="AA6727" t="s">
        <v>59</v>
      </c>
      <c r="AB6727" t="s">
        <v>59</v>
      </c>
      <c r="AC6727" t="s">
        <v>59</v>
      </c>
      <c r="AD6727" t="s">
        <v>59</v>
      </c>
      <c r="AF6727" s="1">
        <v>43348</v>
      </c>
      <c r="AG6727" t="s">
        <v>8651</v>
      </c>
      <c r="AH6727" t="s">
        <v>8652</v>
      </c>
      <c r="AI6727" t="str">
        <f>"9170543"</f>
        <v>9170543</v>
      </c>
      <c r="AJ6727" t="s">
        <v>9974</v>
      </c>
      <c r="AK6727">
        <v>2897032585</v>
      </c>
      <c r="AL6727" t="s">
        <v>9975</v>
      </c>
      <c r="AM6727" t="s">
        <v>78</v>
      </c>
      <c r="AN6727" t="s">
        <v>219</v>
      </c>
      <c r="AO6727" t="s">
        <v>527</v>
      </c>
      <c r="AP6727" t="s">
        <v>527</v>
      </c>
      <c r="AQ6727">
        <v>8</v>
      </c>
      <c r="AR6727" t="s">
        <v>80</v>
      </c>
      <c r="AS6727" t="s">
        <v>81</v>
      </c>
      <c r="AT6727" t="s">
        <v>58</v>
      </c>
      <c r="AU6727" t="s">
        <v>8673</v>
      </c>
      <c r="AV6727" t="s">
        <v>132</v>
      </c>
      <c r="AW6727" s="1">
        <v>28248</v>
      </c>
      <c r="AX6727">
        <v>1</v>
      </c>
    </row>
    <row r="6728" spans="1:50">
      <c r="B6728" t="str">
        <f>"052961994"</f>
        <v>052961994</v>
      </c>
      <c r="C6728" t="s">
        <v>50</v>
      </c>
      <c r="D6728" t="s">
        <v>11138</v>
      </c>
      <c r="E6728" t="s">
        <v>143</v>
      </c>
      <c r="F6728" t="s">
        <v>95</v>
      </c>
      <c r="G6728" t="s">
        <v>83</v>
      </c>
      <c r="H6728" t="str">
        <f>"Γ. ΙΑΚΩΒΙΔΗ 5 ΗΡΑΚΛΕΙΟ"</f>
        <v>Γ. ΙΑΚΩΒΙΔΗ 5 ΗΡΑΚΛΕΙΟ</v>
      </c>
      <c r="I6728">
        <v>71306</v>
      </c>
      <c r="J6728">
        <v>2810230779</v>
      </c>
      <c r="K6728">
        <v>6948505674</v>
      </c>
      <c r="N6728" t="s">
        <v>1525</v>
      </c>
      <c r="O6728" t="s">
        <v>1526</v>
      </c>
      <c r="R6728" t="s">
        <v>159</v>
      </c>
      <c r="S6728">
        <v>3</v>
      </c>
      <c r="T6728" t="s">
        <v>8670</v>
      </c>
      <c r="U6728" s="1">
        <v>43348</v>
      </c>
      <c r="V6728" t="s">
        <v>80</v>
      </c>
      <c r="W6728" t="s">
        <v>81</v>
      </c>
      <c r="X6728" t="s">
        <v>58</v>
      </c>
      <c r="Y6728">
        <v>25</v>
      </c>
      <c r="Z6728" t="s">
        <v>59</v>
      </c>
      <c r="AA6728" t="s">
        <v>59</v>
      </c>
      <c r="AB6728" t="s">
        <v>59</v>
      </c>
      <c r="AC6728" t="s">
        <v>59</v>
      </c>
      <c r="AD6728" t="s">
        <v>59</v>
      </c>
      <c r="AF6728" s="1">
        <v>43348</v>
      </c>
      <c r="AG6728" t="s">
        <v>8651</v>
      </c>
      <c r="AH6728" t="s">
        <v>8652</v>
      </c>
      <c r="AI6728" t="str">
        <f>"9170103"</f>
        <v>9170103</v>
      </c>
      <c r="AJ6728" t="s">
        <v>9992</v>
      </c>
      <c r="AK6728">
        <v>2810233184</v>
      </c>
      <c r="AL6728" t="s">
        <v>9993</v>
      </c>
      <c r="AM6728" t="s">
        <v>78</v>
      </c>
      <c r="AN6728" t="s">
        <v>78</v>
      </c>
      <c r="AO6728" t="s">
        <v>78</v>
      </c>
      <c r="AP6728" t="s">
        <v>79</v>
      </c>
      <c r="AQ6728">
        <v>1</v>
      </c>
      <c r="AR6728" t="s">
        <v>80</v>
      </c>
      <c r="AS6728" t="s">
        <v>81</v>
      </c>
      <c r="AT6728" t="s">
        <v>58</v>
      </c>
      <c r="AU6728" t="s">
        <v>8673</v>
      </c>
      <c r="AV6728" t="s">
        <v>132</v>
      </c>
      <c r="AW6728" s="1">
        <v>25546</v>
      </c>
      <c r="AX6728">
        <v>1</v>
      </c>
    </row>
    <row r="6729" spans="1:50">
      <c r="A6729">
        <v>561010</v>
      </c>
      <c r="B6729" t="str">
        <f>"025960550"</f>
        <v>025960550</v>
      </c>
      <c r="C6729" t="s">
        <v>105</v>
      </c>
      <c r="D6729" t="s">
        <v>11139</v>
      </c>
      <c r="E6729" t="s">
        <v>95</v>
      </c>
      <c r="F6729" t="s">
        <v>760</v>
      </c>
      <c r="G6729" t="s">
        <v>52</v>
      </c>
      <c r="H6729" t="str">
        <f>" "</f>
        <v xml:space="preserve"> </v>
      </c>
      <c r="K6729">
        <v>6972708530</v>
      </c>
      <c r="N6729" t="s">
        <v>615</v>
      </c>
      <c r="O6729" t="s">
        <v>616</v>
      </c>
      <c r="R6729" t="s">
        <v>57</v>
      </c>
      <c r="S6729">
        <v>19</v>
      </c>
      <c r="T6729">
        <v>159</v>
      </c>
      <c r="U6729" s="1">
        <v>32385</v>
      </c>
      <c r="V6729" t="s">
        <v>80</v>
      </c>
      <c r="W6729" t="s">
        <v>81</v>
      </c>
      <c r="X6729" t="s">
        <v>58</v>
      </c>
      <c r="Y6729">
        <v>21</v>
      </c>
      <c r="Z6729" t="s">
        <v>59</v>
      </c>
      <c r="AA6729" t="s">
        <v>59</v>
      </c>
      <c r="AB6729" t="s">
        <v>59</v>
      </c>
      <c r="AC6729" t="s">
        <v>59</v>
      </c>
      <c r="AD6729" t="s">
        <v>59</v>
      </c>
      <c r="AF6729" s="1">
        <v>32391</v>
      </c>
      <c r="AG6729" t="s">
        <v>8645</v>
      </c>
      <c r="AH6729" t="s">
        <v>8646</v>
      </c>
      <c r="AI6729" t="str">
        <f>"9170113"</f>
        <v>9170113</v>
      </c>
      <c r="AJ6729" t="s">
        <v>8846</v>
      </c>
      <c r="AK6729">
        <v>2810226174</v>
      </c>
      <c r="AL6729" t="s">
        <v>8847</v>
      </c>
      <c r="AM6729" t="s">
        <v>78</v>
      </c>
      <c r="AN6729" t="s">
        <v>78</v>
      </c>
      <c r="AO6729" t="s">
        <v>78</v>
      </c>
      <c r="AP6729" t="s">
        <v>79</v>
      </c>
      <c r="AQ6729">
        <v>1</v>
      </c>
      <c r="AR6729" t="s">
        <v>80</v>
      </c>
      <c r="AS6729" t="s">
        <v>81</v>
      </c>
      <c r="AT6729" t="s">
        <v>58</v>
      </c>
      <c r="AU6729" t="s">
        <v>68</v>
      </c>
      <c r="AV6729" t="s">
        <v>69</v>
      </c>
      <c r="AW6729" s="1">
        <v>20920</v>
      </c>
      <c r="AX6729">
        <v>1</v>
      </c>
    </row>
    <row r="6730" spans="1:50">
      <c r="A6730">
        <v>610777</v>
      </c>
      <c r="B6730" t="str">
        <f>"138958560"</f>
        <v>138958560</v>
      </c>
      <c r="C6730" t="s">
        <v>50</v>
      </c>
      <c r="D6730" t="s">
        <v>3358</v>
      </c>
      <c r="E6730" t="s">
        <v>215</v>
      </c>
      <c r="F6730" t="s">
        <v>84</v>
      </c>
      <c r="G6730" t="s">
        <v>52</v>
      </c>
      <c r="H6730" t="str">
        <f>"ΣΑΡΠΗΔΟΝΟΣ 10 ΗΡΑΚΛΕΙΟ"</f>
        <v>ΣΑΡΠΗΔΟΝΟΣ 10 ΗΡΑΚΛΕΙΟ</v>
      </c>
      <c r="I6730">
        <v>71303</v>
      </c>
      <c r="J6730">
        <v>2811110771</v>
      </c>
      <c r="K6730">
        <v>6973040471</v>
      </c>
      <c r="N6730" t="s">
        <v>615</v>
      </c>
      <c r="O6730" t="s">
        <v>616</v>
      </c>
      <c r="R6730" t="s">
        <v>57</v>
      </c>
      <c r="S6730">
        <v>6</v>
      </c>
      <c r="T6730">
        <v>233</v>
      </c>
      <c r="U6730" s="1">
        <v>38960</v>
      </c>
      <c r="V6730" t="s">
        <v>80</v>
      </c>
      <c r="W6730" t="s">
        <v>81</v>
      </c>
      <c r="X6730" t="s">
        <v>58</v>
      </c>
      <c r="Y6730">
        <v>23</v>
      </c>
      <c r="Z6730" t="s">
        <v>59</v>
      </c>
      <c r="AA6730" t="s">
        <v>59</v>
      </c>
      <c r="AB6730" t="s">
        <v>59</v>
      </c>
      <c r="AC6730" t="s">
        <v>59</v>
      </c>
      <c r="AD6730" t="s">
        <v>59</v>
      </c>
      <c r="AF6730" s="1">
        <v>38961</v>
      </c>
      <c r="AG6730" t="s">
        <v>8645</v>
      </c>
      <c r="AH6730" t="s">
        <v>8646</v>
      </c>
      <c r="AI6730" t="str">
        <f>"9170057"</f>
        <v>9170057</v>
      </c>
      <c r="AJ6730" t="s">
        <v>8929</v>
      </c>
      <c r="AK6730">
        <v>2810251505</v>
      </c>
      <c r="AL6730" t="s">
        <v>8930</v>
      </c>
      <c r="AM6730" t="s">
        <v>78</v>
      </c>
      <c r="AN6730" t="s">
        <v>78</v>
      </c>
      <c r="AO6730" t="s">
        <v>78</v>
      </c>
      <c r="AP6730" t="s">
        <v>141</v>
      </c>
      <c r="AQ6730">
        <v>1</v>
      </c>
      <c r="AR6730" t="s">
        <v>80</v>
      </c>
      <c r="AS6730" t="s">
        <v>81</v>
      </c>
      <c r="AT6730" t="s">
        <v>58</v>
      </c>
      <c r="AU6730" t="s">
        <v>68</v>
      </c>
      <c r="AV6730" t="s">
        <v>69</v>
      </c>
      <c r="AW6730" s="1">
        <v>30239</v>
      </c>
      <c r="AX6730">
        <v>1</v>
      </c>
    </row>
    <row r="6731" spans="1:50">
      <c r="A6731">
        <v>565812</v>
      </c>
      <c r="B6731" t="str">
        <f>"035671110"</f>
        <v>035671110</v>
      </c>
      <c r="C6731" t="s">
        <v>105</v>
      </c>
      <c r="D6731" t="s">
        <v>11140</v>
      </c>
      <c r="E6731" t="s">
        <v>154</v>
      </c>
      <c r="F6731" t="s">
        <v>166</v>
      </c>
      <c r="G6731" t="s">
        <v>801</v>
      </c>
      <c r="H6731" t="str">
        <f>"Π.ΜΠΑΚΟΓΙΑΝΝΗ 84 ΗΡΑΚΛΕΙΟ"</f>
        <v>Π.ΜΠΑΚΟΓΙΑΝΝΗ 84 ΗΡΑΚΛΕΙΟ</v>
      </c>
      <c r="I6731">
        <v>71410</v>
      </c>
      <c r="J6731">
        <v>2810317008</v>
      </c>
      <c r="K6731">
        <v>6976706148</v>
      </c>
      <c r="N6731" t="s">
        <v>615</v>
      </c>
      <c r="O6731" t="s">
        <v>616</v>
      </c>
      <c r="R6731" t="s">
        <v>57</v>
      </c>
      <c r="S6731">
        <v>14</v>
      </c>
      <c r="T6731">
        <v>161</v>
      </c>
      <c r="U6731" s="1">
        <v>33119</v>
      </c>
      <c r="V6731" t="s">
        <v>80</v>
      </c>
      <c r="W6731" t="s">
        <v>81</v>
      </c>
      <c r="X6731" t="s">
        <v>58</v>
      </c>
      <c r="Y6731">
        <v>21</v>
      </c>
      <c r="Z6731" t="s">
        <v>59</v>
      </c>
      <c r="AA6731" t="s">
        <v>59</v>
      </c>
      <c r="AB6731" t="s">
        <v>59</v>
      </c>
      <c r="AC6731" t="s">
        <v>59</v>
      </c>
      <c r="AD6731" t="s">
        <v>59</v>
      </c>
      <c r="AF6731" s="1">
        <v>33121</v>
      </c>
      <c r="AG6731" t="s">
        <v>8645</v>
      </c>
      <c r="AH6731" t="s">
        <v>8646</v>
      </c>
      <c r="AI6731" t="str">
        <f>"9170254"</f>
        <v>9170254</v>
      </c>
      <c r="AJ6731" t="s">
        <v>9839</v>
      </c>
      <c r="AK6731">
        <v>2810245069</v>
      </c>
      <c r="AL6731" t="s">
        <v>9840</v>
      </c>
      <c r="AM6731" t="s">
        <v>78</v>
      </c>
      <c r="AN6731" t="s">
        <v>78</v>
      </c>
      <c r="AO6731" t="s">
        <v>78</v>
      </c>
      <c r="AP6731" t="s">
        <v>213</v>
      </c>
      <c r="AQ6731">
        <v>1</v>
      </c>
      <c r="AR6731" t="s">
        <v>80</v>
      </c>
      <c r="AS6731" t="s">
        <v>81</v>
      </c>
      <c r="AT6731" t="s">
        <v>58</v>
      </c>
      <c r="AU6731" t="s">
        <v>68</v>
      </c>
      <c r="AV6731" t="s">
        <v>69</v>
      </c>
      <c r="AW6731" s="1">
        <v>24254</v>
      </c>
      <c r="AX6731">
        <v>1</v>
      </c>
    </row>
    <row r="6732" spans="1:50">
      <c r="A6732">
        <v>590669</v>
      </c>
      <c r="B6732" t="str">
        <f>"026571911"</f>
        <v>026571911</v>
      </c>
      <c r="C6732" t="s">
        <v>50</v>
      </c>
      <c r="D6732" t="s">
        <v>3365</v>
      </c>
      <c r="E6732" t="s">
        <v>755</v>
      </c>
      <c r="F6732" t="s">
        <v>377</v>
      </c>
      <c r="G6732" t="s">
        <v>250</v>
      </c>
      <c r="H6732" t="str">
        <f>"ΑΝΑΓΕΝΝΗΣΕΩΣ 37 ΜΑΣΤΑΜΠΑΣ ΗΡΑΚΛΕΙΟΥ"</f>
        <v>ΑΝΑΓΕΝΝΗΣΕΩΣ 37 ΜΑΣΤΑΜΠΑΣ ΗΡΑΚΛΕΙΟΥ</v>
      </c>
      <c r="I6732">
        <v>71305</v>
      </c>
      <c r="J6732">
        <v>2810316176</v>
      </c>
      <c r="K6732">
        <v>6972877765</v>
      </c>
      <c r="M6732" t="s">
        <v>11141</v>
      </c>
      <c r="N6732" t="s">
        <v>1525</v>
      </c>
      <c r="O6732" t="s">
        <v>1526</v>
      </c>
      <c r="R6732" t="s">
        <v>57</v>
      </c>
      <c r="S6732">
        <v>12</v>
      </c>
      <c r="T6732">
        <v>176</v>
      </c>
      <c r="U6732" s="1">
        <v>36403</v>
      </c>
      <c r="V6732" t="s">
        <v>80</v>
      </c>
      <c r="W6732" t="s">
        <v>81</v>
      </c>
      <c r="X6732" t="s">
        <v>58</v>
      </c>
      <c r="Y6732">
        <v>25</v>
      </c>
      <c r="Z6732" t="s">
        <v>59</v>
      </c>
      <c r="AA6732" t="s">
        <v>59</v>
      </c>
      <c r="AB6732" t="s">
        <v>59</v>
      </c>
      <c r="AC6732" t="s">
        <v>59</v>
      </c>
      <c r="AD6732" t="s">
        <v>59</v>
      </c>
      <c r="AF6732" s="1">
        <v>36405</v>
      </c>
      <c r="AG6732" t="s">
        <v>8651</v>
      </c>
      <c r="AH6732" t="s">
        <v>8652</v>
      </c>
      <c r="AI6732" t="str">
        <f>"9170351"</f>
        <v>9170351</v>
      </c>
      <c r="AJ6732" t="s">
        <v>9983</v>
      </c>
      <c r="AK6732">
        <v>2810262817</v>
      </c>
      <c r="AL6732" t="s">
        <v>9984</v>
      </c>
      <c r="AM6732" t="s">
        <v>78</v>
      </c>
      <c r="AN6732" t="s">
        <v>78</v>
      </c>
      <c r="AO6732" t="s">
        <v>78</v>
      </c>
      <c r="AP6732" t="s">
        <v>141</v>
      </c>
      <c r="AQ6732">
        <v>1</v>
      </c>
      <c r="AR6732" t="s">
        <v>80</v>
      </c>
      <c r="AS6732" t="s">
        <v>81</v>
      </c>
      <c r="AT6732" t="s">
        <v>58</v>
      </c>
      <c r="AU6732" t="s">
        <v>68</v>
      </c>
      <c r="AV6732" t="s">
        <v>69</v>
      </c>
      <c r="AW6732" s="1">
        <v>25923</v>
      </c>
      <c r="AX6732">
        <v>1</v>
      </c>
    </row>
    <row r="6733" spans="1:50">
      <c r="A6733">
        <v>450938</v>
      </c>
      <c r="B6733" t="str">
        <f>"079916673"</f>
        <v>079916673</v>
      </c>
      <c r="C6733" t="s">
        <v>50</v>
      </c>
      <c r="D6733" t="s">
        <v>3367</v>
      </c>
      <c r="E6733" t="s">
        <v>237</v>
      </c>
      <c r="F6733" t="s">
        <v>95</v>
      </c>
      <c r="G6733" t="s">
        <v>250</v>
      </c>
      <c r="H6733" t="str">
        <f>"ΡΟΔΩΝ 7 ΗΡΑΚΛΕΙΟ"</f>
        <v>ΡΟΔΩΝ 7 ΗΡΑΚΛΕΙΟ</v>
      </c>
      <c r="I6733">
        <v>71306</v>
      </c>
      <c r="J6733">
        <v>2810229940</v>
      </c>
      <c r="N6733" t="s">
        <v>1525</v>
      </c>
      <c r="O6733" t="s">
        <v>1526</v>
      </c>
      <c r="R6733" t="s">
        <v>57</v>
      </c>
      <c r="S6733">
        <v>15</v>
      </c>
      <c r="T6733">
        <v>204</v>
      </c>
      <c r="U6733" s="1">
        <v>36444</v>
      </c>
      <c r="V6733" t="s">
        <v>80</v>
      </c>
      <c r="W6733" t="s">
        <v>81</v>
      </c>
      <c r="X6733" t="s">
        <v>58</v>
      </c>
      <c r="Y6733">
        <v>25</v>
      </c>
      <c r="Z6733" t="s">
        <v>59</v>
      </c>
      <c r="AA6733" t="s">
        <v>59</v>
      </c>
      <c r="AB6733" t="s">
        <v>59</v>
      </c>
      <c r="AC6733" t="s">
        <v>59</v>
      </c>
      <c r="AD6733" t="s">
        <v>59</v>
      </c>
      <c r="AF6733" s="1">
        <v>36465</v>
      </c>
      <c r="AG6733" t="s">
        <v>8651</v>
      </c>
      <c r="AH6733" t="s">
        <v>8652</v>
      </c>
      <c r="AI6733" t="str">
        <f>"9170104"</f>
        <v>9170104</v>
      </c>
      <c r="AJ6733" t="s">
        <v>10323</v>
      </c>
      <c r="AK6733">
        <v>2810222334</v>
      </c>
      <c r="AL6733" t="s">
        <v>10324</v>
      </c>
      <c r="AM6733" t="s">
        <v>78</v>
      </c>
      <c r="AN6733" t="s">
        <v>78</v>
      </c>
      <c r="AO6733" t="s">
        <v>78</v>
      </c>
      <c r="AP6733" t="s">
        <v>213</v>
      </c>
      <c r="AQ6733">
        <v>1</v>
      </c>
      <c r="AR6733" t="s">
        <v>80</v>
      </c>
      <c r="AS6733" t="s">
        <v>81</v>
      </c>
      <c r="AT6733" t="s">
        <v>58</v>
      </c>
      <c r="AU6733" t="s">
        <v>68</v>
      </c>
      <c r="AV6733" t="s">
        <v>69</v>
      </c>
      <c r="AW6733" s="1">
        <v>24140</v>
      </c>
      <c r="AX6733">
        <v>1</v>
      </c>
    </row>
    <row r="6734" spans="1:50">
      <c r="A6734">
        <v>557361</v>
      </c>
      <c r="B6734" t="str">
        <f>"110111896"</f>
        <v>110111896</v>
      </c>
      <c r="C6734" t="s">
        <v>50</v>
      </c>
      <c r="D6734" t="s">
        <v>3369</v>
      </c>
      <c r="E6734" t="s">
        <v>250</v>
      </c>
      <c r="F6734" t="s">
        <v>92</v>
      </c>
      <c r="G6734" t="s">
        <v>52</v>
      </c>
      <c r="H6734" t="str">
        <f>"ΕΘΝ. ΑΝΤΙΣΤΑΣΕΩΣ 69 ΗΡΑΚΛΕΙΟ"</f>
        <v>ΕΘΝ. ΑΝΤΙΣΤΑΣΕΩΣ 69 ΗΡΑΚΛΕΙΟ</v>
      </c>
      <c r="I6734">
        <v>71306</v>
      </c>
      <c r="J6734">
        <v>2814003263</v>
      </c>
      <c r="K6734">
        <v>6938084707</v>
      </c>
      <c r="M6734" t="s">
        <v>11142</v>
      </c>
      <c r="N6734" t="s">
        <v>615</v>
      </c>
      <c r="O6734" t="s">
        <v>616</v>
      </c>
      <c r="R6734" t="s">
        <v>57</v>
      </c>
      <c r="S6734">
        <v>16</v>
      </c>
      <c r="T6734">
        <v>168</v>
      </c>
      <c r="U6734" s="1">
        <v>32010</v>
      </c>
      <c r="V6734" t="s">
        <v>80</v>
      </c>
      <c r="W6734" t="s">
        <v>81</v>
      </c>
      <c r="X6734" t="s">
        <v>58</v>
      </c>
      <c r="Y6734">
        <v>21</v>
      </c>
      <c r="Z6734" t="s">
        <v>59</v>
      </c>
      <c r="AA6734" t="s">
        <v>59</v>
      </c>
      <c r="AB6734" t="s">
        <v>59</v>
      </c>
      <c r="AC6734" t="s">
        <v>59</v>
      </c>
      <c r="AD6734" t="s">
        <v>59</v>
      </c>
      <c r="AF6734" s="1">
        <v>32021</v>
      </c>
      <c r="AG6734" t="s">
        <v>8645</v>
      </c>
      <c r="AH6734" t="s">
        <v>8646</v>
      </c>
      <c r="AI6734" t="str">
        <f>"9170343"</f>
        <v>9170343</v>
      </c>
      <c r="AJ6734" t="s">
        <v>8743</v>
      </c>
      <c r="AK6734">
        <v>2810283970</v>
      </c>
      <c r="AL6734" t="s">
        <v>8744</v>
      </c>
      <c r="AM6734" t="s">
        <v>78</v>
      </c>
      <c r="AN6734" t="s">
        <v>78</v>
      </c>
      <c r="AO6734" t="s">
        <v>78</v>
      </c>
      <c r="AP6734" t="s">
        <v>79</v>
      </c>
      <c r="AQ6734">
        <v>1</v>
      </c>
      <c r="AR6734" t="s">
        <v>80</v>
      </c>
      <c r="AS6734" t="s">
        <v>81</v>
      </c>
      <c r="AT6734" t="s">
        <v>58</v>
      </c>
      <c r="AU6734" t="s">
        <v>68</v>
      </c>
      <c r="AV6734" t="s">
        <v>69</v>
      </c>
      <c r="AW6734" s="1">
        <v>21991</v>
      </c>
      <c r="AX6734">
        <v>1</v>
      </c>
    </row>
    <row r="6735" spans="1:50">
      <c r="A6735">
        <v>601103</v>
      </c>
      <c r="B6735" t="str">
        <f>"114278141"</f>
        <v>114278141</v>
      </c>
      <c r="C6735" t="s">
        <v>50</v>
      </c>
      <c r="D6735" t="s">
        <v>3369</v>
      </c>
      <c r="E6735" t="s">
        <v>545</v>
      </c>
      <c r="F6735" t="s">
        <v>900</v>
      </c>
      <c r="G6735" t="s">
        <v>460</v>
      </c>
      <c r="H6735" t="str">
        <f>"ΠΡΙΑΜΟΥ 36 ΓΙΟΦΥΡΟΣ"</f>
        <v>ΠΡΙΑΜΟΥ 36 ΓΙΟΦΥΡΟΣ</v>
      </c>
      <c r="I6735">
        <v>71303</v>
      </c>
      <c r="J6735">
        <v>2810312598</v>
      </c>
      <c r="K6735">
        <v>6974035678</v>
      </c>
      <c r="M6735" t="s">
        <v>11143</v>
      </c>
      <c r="N6735" t="s">
        <v>615</v>
      </c>
      <c r="O6735" t="s">
        <v>616</v>
      </c>
      <c r="R6735" t="s">
        <v>57</v>
      </c>
      <c r="S6735">
        <v>10</v>
      </c>
      <c r="T6735">
        <v>207</v>
      </c>
      <c r="U6735" s="1">
        <v>37866</v>
      </c>
      <c r="V6735" t="s">
        <v>80</v>
      </c>
      <c r="W6735" t="s">
        <v>81</v>
      </c>
      <c r="X6735" t="s">
        <v>58</v>
      </c>
      <c r="Y6735">
        <v>22</v>
      </c>
      <c r="Z6735" t="s">
        <v>59</v>
      </c>
      <c r="AA6735" t="s">
        <v>59</v>
      </c>
      <c r="AB6735" t="s">
        <v>59</v>
      </c>
      <c r="AC6735" t="s">
        <v>59</v>
      </c>
      <c r="AD6735" t="s">
        <v>59</v>
      </c>
      <c r="AF6735" s="1">
        <v>37866</v>
      </c>
      <c r="AG6735" t="s">
        <v>8645</v>
      </c>
      <c r="AH6735" t="s">
        <v>8646</v>
      </c>
      <c r="AI6735" t="str">
        <f>"9170525"</f>
        <v>9170525</v>
      </c>
      <c r="AJ6735" t="s">
        <v>8853</v>
      </c>
      <c r="AK6735">
        <v>2810256547</v>
      </c>
      <c r="AL6735" t="s">
        <v>8854</v>
      </c>
      <c r="AM6735" t="s">
        <v>78</v>
      </c>
      <c r="AN6735" t="s">
        <v>78</v>
      </c>
      <c r="AO6735" t="s">
        <v>78</v>
      </c>
      <c r="AP6735" t="s">
        <v>141</v>
      </c>
      <c r="AQ6735">
        <v>1</v>
      </c>
      <c r="AR6735" t="s">
        <v>80</v>
      </c>
      <c r="AS6735" t="s">
        <v>81</v>
      </c>
      <c r="AT6735" t="s">
        <v>58</v>
      </c>
      <c r="AU6735" t="s">
        <v>68</v>
      </c>
      <c r="AV6735" t="s">
        <v>69</v>
      </c>
      <c r="AW6735" s="1">
        <v>26680</v>
      </c>
      <c r="AX6735">
        <v>1</v>
      </c>
    </row>
    <row r="6736" spans="1:50">
      <c r="B6736" t="str">
        <f>"133137896"</f>
        <v>133137896</v>
      </c>
      <c r="C6736" t="s">
        <v>50</v>
      </c>
      <c r="D6736" t="s">
        <v>11144</v>
      </c>
      <c r="E6736" t="s">
        <v>620</v>
      </c>
      <c r="F6736" t="s">
        <v>72</v>
      </c>
      <c r="G6736" t="s">
        <v>2080</v>
      </c>
      <c r="H6736" t="str">
        <f>" "</f>
        <v xml:space="preserve"> </v>
      </c>
      <c r="K6736">
        <v>6988568160</v>
      </c>
      <c r="N6736" t="s">
        <v>615</v>
      </c>
      <c r="O6736" t="s">
        <v>616</v>
      </c>
      <c r="R6736" t="s">
        <v>121</v>
      </c>
      <c r="S6736">
        <v>1</v>
      </c>
      <c r="T6736" t="s">
        <v>8717</v>
      </c>
      <c r="U6736" s="1">
        <v>43348</v>
      </c>
      <c r="V6736" t="s">
        <v>80</v>
      </c>
      <c r="W6736" t="s">
        <v>81</v>
      </c>
      <c r="X6736" t="s">
        <v>58</v>
      </c>
      <c r="Y6736">
        <v>24</v>
      </c>
      <c r="Z6736" t="s">
        <v>59</v>
      </c>
      <c r="AA6736" t="s">
        <v>59</v>
      </c>
      <c r="AB6736" t="s">
        <v>59</v>
      </c>
      <c r="AD6736" t="s">
        <v>59</v>
      </c>
      <c r="AF6736" s="1">
        <v>43348</v>
      </c>
      <c r="AG6736" t="s">
        <v>8645</v>
      </c>
      <c r="AH6736" t="s">
        <v>8646</v>
      </c>
      <c r="AI6736" t="str">
        <f>"9521412"</f>
        <v>9521412</v>
      </c>
      <c r="AJ6736" t="s">
        <v>8787</v>
      </c>
      <c r="AK6736">
        <v>2897025680</v>
      </c>
      <c r="AL6736" t="s">
        <v>8788</v>
      </c>
      <c r="AM6736" t="s">
        <v>78</v>
      </c>
      <c r="AN6736" t="s">
        <v>219</v>
      </c>
      <c r="AO6736" t="s">
        <v>219</v>
      </c>
      <c r="AP6736" t="s">
        <v>219</v>
      </c>
      <c r="AQ6736">
        <v>8</v>
      </c>
      <c r="AR6736" t="s">
        <v>80</v>
      </c>
      <c r="AS6736" t="s">
        <v>81</v>
      </c>
      <c r="AT6736" t="s">
        <v>58</v>
      </c>
      <c r="AU6736" t="s">
        <v>8720</v>
      </c>
      <c r="AV6736" t="s">
        <v>132</v>
      </c>
      <c r="AW6736" s="1">
        <v>32614</v>
      </c>
      <c r="AX6736">
        <v>1</v>
      </c>
    </row>
    <row r="6737" spans="1:50">
      <c r="A6737">
        <v>572498</v>
      </c>
      <c r="B6737" t="str">
        <f>"110104371"</f>
        <v>110104371</v>
      </c>
      <c r="C6737" t="s">
        <v>50</v>
      </c>
      <c r="D6737" t="s">
        <v>11145</v>
      </c>
      <c r="E6737" t="s">
        <v>52</v>
      </c>
      <c r="F6737" t="s">
        <v>5386</v>
      </c>
      <c r="G6737" t="s">
        <v>255</v>
      </c>
      <c r="H6737" t="str">
        <f>" "</f>
        <v xml:space="preserve"> </v>
      </c>
      <c r="J6737">
        <v>2810824305</v>
      </c>
      <c r="K6737">
        <v>6976512579</v>
      </c>
      <c r="M6737" t="s">
        <v>11146</v>
      </c>
      <c r="N6737" t="s">
        <v>176</v>
      </c>
      <c r="O6737" t="s">
        <v>177</v>
      </c>
      <c r="R6737" t="s">
        <v>57</v>
      </c>
      <c r="S6737">
        <v>14</v>
      </c>
      <c r="T6737">
        <v>154</v>
      </c>
      <c r="U6737" s="1">
        <v>34225</v>
      </c>
      <c r="V6737" t="s">
        <v>80</v>
      </c>
      <c r="W6737" t="s">
        <v>81</v>
      </c>
      <c r="X6737" t="s">
        <v>58</v>
      </c>
      <c r="Y6737">
        <v>21</v>
      </c>
      <c r="Z6737" t="s">
        <v>59</v>
      </c>
      <c r="AA6737" t="s">
        <v>59</v>
      </c>
      <c r="AB6737" t="s">
        <v>59</v>
      </c>
      <c r="AC6737" t="s">
        <v>59</v>
      </c>
      <c r="AD6737" t="s">
        <v>59</v>
      </c>
      <c r="AF6737" s="1">
        <v>34227</v>
      </c>
      <c r="AG6737" t="s">
        <v>8645</v>
      </c>
      <c r="AH6737" t="s">
        <v>8646</v>
      </c>
      <c r="AI6737" t="str">
        <f>"9170423"</f>
        <v>9170423</v>
      </c>
      <c r="AJ6737" t="s">
        <v>8808</v>
      </c>
      <c r="AK6737">
        <v>2810239612</v>
      </c>
      <c r="AL6737" t="s">
        <v>8809</v>
      </c>
      <c r="AM6737" t="s">
        <v>78</v>
      </c>
      <c r="AN6737" t="s">
        <v>78</v>
      </c>
      <c r="AO6737" t="s">
        <v>78</v>
      </c>
      <c r="AP6737" t="s">
        <v>163</v>
      </c>
      <c r="AQ6737">
        <v>1</v>
      </c>
      <c r="AR6737" t="s">
        <v>80</v>
      </c>
      <c r="AS6737" t="s">
        <v>81</v>
      </c>
      <c r="AT6737" t="s">
        <v>58</v>
      </c>
      <c r="AU6737" t="s">
        <v>68</v>
      </c>
      <c r="AV6737" t="s">
        <v>69</v>
      </c>
      <c r="AW6737" s="1">
        <v>23426</v>
      </c>
      <c r="AX6737">
        <v>1</v>
      </c>
    </row>
    <row r="6738" spans="1:50">
      <c r="A6738">
        <v>571663</v>
      </c>
      <c r="B6738" t="str">
        <f>"052406095"</f>
        <v>052406095</v>
      </c>
      <c r="C6738" t="s">
        <v>50</v>
      </c>
      <c r="D6738" t="s">
        <v>11147</v>
      </c>
      <c r="E6738" t="s">
        <v>83</v>
      </c>
      <c r="F6738" t="s">
        <v>760</v>
      </c>
      <c r="G6738" t="s">
        <v>52</v>
      </c>
      <c r="H6738" t="str">
        <f>"Σταδίου 112 Νέα Αλικαρνασσός"</f>
        <v>Σταδίου 112 Νέα Αλικαρνασσός</v>
      </c>
      <c r="I6738">
        <v>71601</v>
      </c>
      <c r="J6738">
        <v>2810221258</v>
      </c>
      <c r="K6738">
        <v>6979208117</v>
      </c>
      <c r="M6738" t="s">
        <v>11148</v>
      </c>
      <c r="N6738" t="s">
        <v>1525</v>
      </c>
      <c r="O6738" t="s">
        <v>1526</v>
      </c>
      <c r="R6738" t="s">
        <v>57</v>
      </c>
      <c r="S6738">
        <v>13</v>
      </c>
      <c r="T6738">
        <v>138</v>
      </c>
      <c r="U6738" s="1">
        <v>34206</v>
      </c>
      <c r="V6738" t="s">
        <v>80</v>
      </c>
      <c r="W6738" t="s">
        <v>81</v>
      </c>
      <c r="X6738" t="s">
        <v>58</v>
      </c>
      <c r="Y6738">
        <v>25</v>
      </c>
      <c r="Z6738" t="s">
        <v>59</v>
      </c>
      <c r="AA6738" t="s">
        <v>59</v>
      </c>
      <c r="AB6738" t="s">
        <v>59</v>
      </c>
      <c r="AC6738" t="s">
        <v>59</v>
      </c>
      <c r="AD6738" t="s">
        <v>59</v>
      </c>
      <c r="AF6738" s="1">
        <v>34213</v>
      </c>
      <c r="AG6738" t="s">
        <v>8651</v>
      </c>
      <c r="AH6738" t="s">
        <v>8652</v>
      </c>
      <c r="AI6738" t="str">
        <f>"9520948"</f>
        <v>9520948</v>
      </c>
      <c r="AJ6738" t="s">
        <v>11149</v>
      </c>
      <c r="AK6738">
        <v>2810380183</v>
      </c>
      <c r="AL6738" t="s">
        <v>11150</v>
      </c>
      <c r="AM6738" t="s">
        <v>78</v>
      </c>
      <c r="AN6738" t="s">
        <v>78</v>
      </c>
      <c r="AO6738" t="s">
        <v>286</v>
      </c>
      <c r="AP6738" t="s">
        <v>9046</v>
      </c>
      <c r="AQ6738">
        <v>1</v>
      </c>
      <c r="AR6738" t="s">
        <v>80</v>
      </c>
      <c r="AS6738" t="s">
        <v>81</v>
      </c>
      <c r="AT6738" t="s">
        <v>58</v>
      </c>
      <c r="AU6738" t="s">
        <v>68</v>
      </c>
      <c r="AV6738" t="s">
        <v>69</v>
      </c>
      <c r="AW6738" s="1">
        <v>24170</v>
      </c>
      <c r="AX6738">
        <v>1</v>
      </c>
    </row>
    <row r="6739" spans="1:50">
      <c r="A6739">
        <v>701344</v>
      </c>
      <c r="B6739" t="str">
        <f>"131509338"</f>
        <v>131509338</v>
      </c>
      <c r="C6739" t="s">
        <v>50</v>
      </c>
      <c r="D6739" t="s">
        <v>11147</v>
      </c>
      <c r="E6739" t="s">
        <v>904</v>
      </c>
      <c r="F6739" t="s">
        <v>53</v>
      </c>
      <c r="G6739" t="s">
        <v>1306</v>
      </c>
      <c r="H6739" t="str">
        <f>"ΔΕΙΝΟΚΡΑΤΟΥΣ 13  ΑΘΗΝΑ"</f>
        <v>ΔΕΙΝΟΚΡΑΤΟΥΣ 13  ΑΘΗΝΑ</v>
      </c>
      <c r="I6739">
        <v>10676</v>
      </c>
      <c r="J6739">
        <v>2107227409</v>
      </c>
      <c r="K6739">
        <v>6945556845</v>
      </c>
      <c r="L6739">
        <v>2810258360</v>
      </c>
      <c r="N6739" t="s">
        <v>615</v>
      </c>
      <c r="O6739" t="s">
        <v>616</v>
      </c>
      <c r="R6739" t="s">
        <v>57</v>
      </c>
      <c r="S6739">
        <v>6</v>
      </c>
      <c r="T6739">
        <v>772</v>
      </c>
      <c r="U6739" s="1">
        <v>40413</v>
      </c>
      <c r="V6739" t="s">
        <v>80</v>
      </c>
      <c r="W6739" t="s">
        <v>81</v>
      </c>
      <c r="X6739" t="s">
        <v>58</v>
      </c>
      <c r="Y6739">
        <v>23</v>
      </c>
      <c r="Z6739" t="s">
        <v>59</v>
      </c>
      <c r="AA6739" t="s">
        <v>59</v>
      </c>
      <c r="AB6739" t="s">
        <v>59</v>
      </c>
      <c r="AC6739" t="s">
        <v>59</v>
      </c>
      <c r="AD6739" t="s">
        <v>59</v>
      </c>
      <c r="AF6739" s="1">
        <v>40413</v>
      </c>
      <c r="AG6739" t="s">
        <v>8645</v>
      </c>
      <c r="AH6739" t="s">
        <v>8646</v>
      </c>
      <c r="AI6739" t="str">
        <f>"9170536"</f>
        <v>9170536</v>
      </c>
      <c r="AJ6739" t="s">
        <v>8740</v>
      </c>
      <c r="AK6739">
        <v>2892051187</v>
      </c>
      <c r="AL6739" t="s">
        <v>8741</v>
      </c>
      <c r="AM6739" t="s">
        <v>78</v>
      </c>
      <c r="AN6739" t="s">
        <v>242</v>
      </c>
      <c r="AO6739" t="s">
        <v>349</v>
      </c>
      <c r="AP6739" t="s">
        <v>349</v>
      </c>
      <c r="AQ6739">
        <v>19</v>
      </c>
      <c r="AR6739" t="s">
        <v>80</v>
      </c>
      <c r="AS6739" t="s">
        <v>81</v>
      </c>
      <c r="AT6739" t="s">
        <v>58</v>
      </c>
      <c r="AU6739" t="s">
        <v>68</v>
      </c>
      <c r="AV6739" t="s">
        <v>69</v>
      </c>
      <c r="AW6739" s="1">
        <v>28376</v>
      </c>
      <c r="AX6739">
        <v>1</v>
      </c>
    </row>
    <row r="6740" spans="1:50">
      <c r="A6740">
        <v>611724</v>
      </c>
      <c r="B6740" t="str">
        <f>"123160161"</f>
        <v>123160161</v>
      </c>
      <c r="C6740" t="s">
        <v>50</v>
      </c>
      <c r="D6740" t="s">
        <v>3377</v>
      </c>
      <c r="E6740" t="s">
        <v>326</v>
      </c>
      <c r="F6740" t="s">
        <v>108</v>
      </c>
      <c r="G6740" t="s">
        <v>263</v>
      </c>
      <c r="H6740" t="str">
        <f>"ΚΑΣΟΥ 14 ΗΡΑΚΛΕΙΟ"</f>
        <v>ΚΑΣΟΥ 14 ΗΡΑΚΛΕΙΟ</v>
      </c>
      <c r="I6740">
        <v>71305</v>
      </c>
      <c r="J6740">
        <v>2810330377</v>
      </c>
      <c r="K6740">
        <v>6973217722</v>
      </c>
      <c r="N6740" t="s">
        <v>1525</v>
      </c>
      <c r="O6740" t="s">
        <v>1526</v>
      </c>
      <c r="R6740" t="s">
        <v>57</v>
      </c>
      <c r="S6740">
        <v>6</v>
      </c>
      <c r="T6740">
        <v>233</v>
      </c>
      <c r="U6740" s="1">
        <v>38960</v>
      </c>
      <c r="V6740" t="s">
        <v>80</v>
      </c>
      <c r="W6740" t="s">
        <v>81</v>
      </c>
      <c r="X6740" t="s">
        <v>58</v>
      </c>
      <c r="Y6740">
        <v>25</v>
      </c>
      <c r="Z6740" t="s">
        <v>59</v>
      </c>
      <c r="AA6740" t="s">
        <v>59</v>
      </c>
      <c r="AB6740" t="s">
        <v>59</v>
      </c>
      <c r="AC6740" t="s">
        <v>59</v>
      </c>
      <c r="AD6740" t="s">
        <v>59</v>
      </c>
      <c r="AF6740" s="1">
        <v>38961</v>
      </c>
      <c r="AG6740" t="s">
        <v>8651</v>
      </c>
      <c r="AH6740" t="s">
        <v>8652</v>
      </c>
      <c r="AI6740" t="str">
        <f>"9170457"</f>
        <v>9170457</v>
      </c>
      <c r="AJ6740" t="s">
        <v>10081</v>
      </c>
      <c r="AK6740">
        <v>2810823321</v>
      </c>
      <c r="AL6740" t="s">
        <v>10082</v>
      </c>
      <c r="AM6740" t="s">
        <v>78</v>
      </c>
      <c r="AN6740" t="s">
        <v>129</v>
      </c>
      <c r="AO6740" t="s">
        <v>130</v>
      </c>
      <c r="AP6740" t="s">
        <v>130</v>
      </c>
      <c r="AQ6740">
        <v>1</v>
      </c>
      <c r="AR6740" t="s">
        <v>80</v>
      </c>
      <c r="AS6740" t="s">
        <v>81</v>
      </c>
      <c r="AT6740" t="s">
        <v>58</v>
      </c>
      <c r="AU6740" t="s">
        <v>68</v>
      </c>
      <c r="AV6740" t="s">
        <v>69</v>
      </c>
      <c r="AW6740" s="1">
        <v>29443</v>
      </c>
      <c r="AX6740">
        <v>1</v>
      </c>
    </row>
    <row r="6741" spans="1:50">
      <c r="A6741">
        <v>580066</v>
      </c>
      <c r="B6741" t="str">
        <f>"041285287"</f>
        <v>041285287</v>
      </c>
      <c r="C6741" t="s">
        <v>50</v>
      </c>
      <c r="D6741" t="s">
        <v>3377</v>
      </c>
      <c r="E6741" t="s">
        <v>112</v>
      </c>
      <c r="F6741" t="s">
        <v>92</v>
      </c>
      <c r="G6741" t="s">
        <v>11151</v>
      </c>
      <c r="H6741" t="str">
        <f>"ΦΙΛΙΠΠΩΝ 6 ΗΡΑΚΛΕΙΟ"</f>
        <v>ΦΙΛΙΠΠΩΝ 6 ΗΡΑΚΛΕΙΟ</v>
      </c>
      <c r="I6741">
        <v>71409</v>
      </c>
      <c r="J6741">
        <v>2810213269</v>
      </c>
      <c r="N6741" t="s">
        <v>306</v>
      </c>
      <c r="O6741" t="s">
        <v>307</v>
      </c>
      <c r="R6741" t="s">
        <v>57</v>
      </c>
      <c r="S6741">
        <v>13</v>
      </c>
      <c r="T6741">
        <v>166</v>
      </c>
      <c r="U6741" s="1">
        <v>35300</v>
      </c>
      <c r="V6741" t="s">
        <v>80</v>
      </c>
      <c r="W6741" t="s">
        <v>81</v>
      </c>
      <c r="X6741" t="s">
        <v>58</v>
      </c>
      <c r="Y6741">
        <v>21</v>
      </c>
      <c r="Z6741" t="s">
        <v>59</v>
      </c>
      <c r="AA6741" t="s">
        <v>59</v>
      </c>
      <c r="AB6741" t="s">
        <v>59</v>
      </c>
      <c r="AC6741" t="s">
        <v>59</v>
      </c>
      <c r="AD6741" t="s">
        <v>59</v>
      </c>
      <c r="AF6741" s="1">
        <v>35312</v>
      </c>
      <c r="AG6741" t="s">
        <v>8645</v>
      </c>
      <c r="AH6741" t="s">
        <v>8646</v>
      </c>
      <c r="AI6741" t="str">
        <f>"9170058"</f>
        <v>9170058</v>
      </c>
      <c r="AJ6741" t="s">
        <v>8735</v>
      </c>
      <c r="AK6741">
        <v>2810252903</v>
      </c>
      <c r="AL6741" t="s">
        <v>8736</v>
      </c>
      <c r="AM6741" t="s">
        <v>78</v>
      </c>
      <c r="AN6741" t="s">
        <v>78</v>
      </c>
      <c r="AO6741" t="s">
        <v>78</v>
      </c>
      <c r="AP6741" t="s">
        <v>163</v>
      </c>
      <c r="AQ6741">
        <v>1</v>
      </c>
      <c r="AR6741" t="s">
        <v>80</v>
      </c>
      <c r="AS6741" t="s">
        <v>81</v>
      </c>
      <c r="AT6741" t="s">
        <v>58</v>
      </c>
      <c r="AU6741" t="s">
        <v>68</v>
      </c>
      <c r="AV6741" t="s">
        <v>69</v>
      </c>
      <c r="AW6741" s="1">
        <v>20944</v>
      </c>
      <c r="AX6741">
        <v>1</v>
      </c>
    </row>
    <row r="6742" spans="1:50">
      <c r="A6742">
        <v>616561</v>
      </c>
      <c r="B6742" t="str">
        <f>"125578419"</f>
        <v>125578419</v>
      </c>
      <c r="C6742" t="s">
        <v>50</v>
      </c>
      <c r="D6742" t="s">
        <v>3377</v>
      </c>
      <c r="E6742" t="s">
        <v>52</v>
      </c>
      <c r="F6742" t="s">
        <v>3574</v>
      </c>
      <c r="G6742" t="s">
        <v>96</v>
      </c>
      <c r="H6742" t="str">
        <f>" "</f>
        <v xml:space="preserve"> </v>
      </c>
      <c r="J6742">
        <v>2810325291</v>
      </c>
      <c r="K6742">
        <v>6970834550</v>
      </c>
      <c r="N6742" t="s">
        <v>1525</v>
      </c>
      <c r="O6742" t="s">
        <v>1526</v>
      </c>
      <c r="R6742" t="s">
        <v>57</v>
      </c>
      <c r="S6742">
        <v>5</v>
      </c>
      <c r="T6742">
        <v>660</v>
      </c>
      <c r="U6742" s="1">
        <v>39311</v>
      </c>
      <c r="V6742" t="s">
        <v>80</v>
      </c>
      <c r="W6742" t="s">
        <v>81</v>
      </c>
      <c r="X6742" t="s">
        <v>58</v>
      </c>
      <c r="Y6742">
        <v>25</v>
      </c>
      <c r="Z6742" t="s">
        <v>59</v>
      </c>
      <c r="AA6742" t="s">
        <v>59</v>
      </c>
      <c r="AB6742" t="s">
        <v>59</v>
      </c>
      <c r="AC6742" t="s">
        <v>59</v>
      </c>
      <c r="AD6742" t="s">
        <v>59</v>
      </c>
      <c r="AF6742" s="1">
        <v>39328</v>
      </c>
      <c r="AG6742" t="s">
        <v>8651</v>
      </c>
      <c r="AH6742" t="s">
        <v>8652</v>
      </c>
      <c r="AI6742" t="str">
        <f>"9170529"</f>
        <v>9170529</v>
      </c>
      <c r="AJ6742" t="s">
        <v>8656</v>
      </c>
      <c r="AK6742">
        <v>2810223699</v>
      </c>
      <c r="AL6742" t="s">
        <v>8657</v>
      </c>
      <c r="AM6742" t="s">
        <v>78</v>
      </c>
      <c r="AN6742" t="s">
        <v>78</v>
      </c>
      <c r="AO6742" t="s">
        <v>286</v>
      </c>
      <c r="AP6742" t="s">
        <v>286</v>
      </c>
      <c r="AQ6742">
        <v>1</v>
      </c>
      <c r="AR6742" t="s">
        <v>80</v>
      </c>
      <c r="AS6742" t="s">
        <v>81</v>
      </c>
      <c r="AT6742" t="s">
        <v>58</v>
      </c>
      <c r="AU6742" t="s">
        <v>68</v>
      </c>
      <c r="AV6742" t="s">
        <v>69</v>
      </c>
      <c r="AW6742" s="1">
        <v>30608</v>
      </c>
      <c r="AX6742">
        <v>1</v>
      </c>
    </row>
    <row r="6743" spans="1:50">
      <c r="A6743">
        <v>213895</v>
      </c>
      <c r="B6743" t="str">
        <f>"103505754"</f>
        <v>103505754</v>
      </c>
      <c r="C6743" t="s">
        <v>50</v>
      </c>
      <c r="D6743" t="s">
        <v>3377</v>
      </c>
      <c r="E6743" t="s">
        <v>52</v>
      </c>
      <c r="F6743" t="s">
        <v>72</v>
      </c>
      <c r="G6743" t="s">
        <v>103</v>
      </c>
      <c r="H6743" t="str">
        <f>"ΠΑΠΑΔΙΑΜΑΝΤΗ 23 "</f>
        <v xml:space="preserve">ΠΑΠΑΔΙΑΜΑΝΤΗ 23 </v>
      </c>
      <c r="I6743">
        <v>71414</v>
      </c>
      <c r="J6743">
        <v>2810224061</v>
      </c>
      <c r="K6743">
        <v>6947206786</v>
      </c>
      <c r="N6743" t="s">
        <v>306</v>
      </c>
      <c r="O6743" t="s">
        <v>307</v>
      </c>
      <c r="R6743" t="s">
        <v>57</v>
      </c>
      <c r="S6743">
        <v>9</v>
      </c>
      <c r="T6743">
        <v>231</v>
      </c>
      <c r="U6743" s="1">
        <v>38960</v>
      </c>
      <c r="V6743" t="s">
        <v>80</v>
      </c>
      <c r="W6743" t="s">
        <v>81</v>
      </c>
      <c r="X6743" t="s">
        <v>58</v>
      </c>
      <c r="Y6743">
        <v>23</v>
      </c>
      <c r="Z6743" t="s">
        <v>59</v>
      </c>
      <c r="AA6743" t="s">
        <v>59</v>
      </c>
      <c r="AB6743" t="s">
        <v>59</v>
      </c>
      <c r="AC6743" t="s">
        <v>59</v>
      </c>
      <c r="AD6743" t="s">
        <v>59</v>
      </c>
      <c r="AF6743" s="1">
        <v>38961</v>
      </c>
      <c r="AG6743" t="s">
        <v>8645</v>
      </c>
      <c r="AH6743" t="s">
        <v>8646</v>
      </c>
      <c r="AI6743" t="str">
        <f>"9170017"</f>
        <v>9170017</v>
      </c>
      <c r="AJ6743" t="s">
        <v>9114</v>
      </c>
      <c r="AK6743">
        <v>2810250746</v>
      </c>
      <c r="AL6743" t="s">
        <v>9115</v>
      </c>
      <c r="AM6743" t="s">
        <v>78</v>
      </c>
      <c r="AN6743" t="s">
        <v>129</v>
      </c>
      <c r="AO6743" t="s">
        <v>130</v>
      </c>
      <c r="AP6743" t="s">
        <v>130</v>
      </c>
      <c r="AQ6743">
        <v>1</v>
      </c>
      <c r="AR6743" t="s">
        <v>80</v>
      </c>
      <c r="AS6743" t="s">
        <v>81</v>
      </c>
      <c r="AT6743" t="s">
        <v>58</v>
      </c>
      <c r="AU6743" t="s">
        <v>68</v>
      </c>
      <c r="AV6743" t="s">
        <v>69</v>
      </c>
      <c r="AW6743" s="1">
        <v>28952</v>
      </c>
      <c r="AX6743">
        <v>1</v>
      </c>
    </row>
    <row r="6744" spans="1:50">
      <c r="A6744">
        <v>613181</v>
      </c>
      <c r="B6744" t="str">
        <f>"131487760"</f>
        <v>131487760</v>
      </c>
      <c r="C6744" t="s">
        <v>50</v>
      </c>
      <c r="D6744" t="s">
        <v>3377</v>
      </c>
      <c r="E6744" t="s">
        <v>52</v>
      </c>
      <c r="F6744" t="s">
        <v>106</v>
      </c>
      <c r="G6744" t="s">
        <v>215</v>
      </c>
      <c r="H6744" t="str">
        <f>"ΜΟΝΗΣ ΤΟΠΛΟΥ 46 ΗΡΑΚΛΕΙΟ"</f>
        <v>ΜΟΝΗΣ ΤΟΠΛΟΥ 46 ΗΡΑΚΛΕΙΟ</v>
      </c>
      <c r="I6744">
        <v>71307</v>
      </c>
      <c r="J6744">
        <v>2810240441</v>
      </c>
      <c r="K6744">
        <v>6970502958</v>
      </c>
      <c r="N6744" t="s">
        <v>615</v>
      </c>
      <c r="O6744" t="s">
        <v>616</v>
      </c>
      <c r="R6744" t="s">
        <v>57</v>
      </c>
      <c r="S6744">
        <v>6</v>
      </c>
      <c r="T6744">
        <v>598</v>
      </c>
      <c r="U6744" s="1">
        <v>39310</v>
      </c>
      <c r="V6744" t="s">
        <v>80</v>
      </c>
      <c r="W6744" t="s">
        <v>81</v>
      </c>
      <c r="X6744" t="s">
        <v>58</v>
      </c>
      <c r="Y6744">
        <v>23</v>
      </c>
      <c r="Z6744" t="s">
        <v>59</v>
      </c>
      <c r="AA6744" t="s">
        <v>59</v>
      </c>
      <c r="AB6744" t="s">
        <v>59</v>
      </c>
      <c r="AC6744" t="s">
        <v>59</v>
      </c>
      <c r="AD6744" t="s">
        <v>59</v>
      </c>
      <c r="AF6744" s="1">
        <v>39328</v>
      </c>
      <c r="AG6744" t="s">
        <v>8645</v>
      </c>
      <c r="AH6744" t="s">
        <v>8646</v>
      </c>
      <c r="AI6744" t="str">
        <f>"9170262"</f>
        <v>9170262</v>
      </c>
      <c r="AJ6744" t="s">
        <v>9224</v>
      </c>
      <c r="AK6744">
        <v>2810245912</v>
      </c>
      <c r="AL6744" t="s">
        <v>9225</v>
      </c>
      <c r="AM6744" t="s">
        <v>78</v>
      </c>
      <c r="AN6744" t="s">
        <v>78</v>
      </c>
      <c r="AO6744" t="s">
        <v>286</v>
      </c>
      <c r="AP6744" t="s">
        <v>286</v>
      </c>
      <c r="AQ6744">
        <v>1</v>
      </c>
      <c r="AR6744" t="s">
        <v>80</v>
      </c>
      <c r="AS6744" t="s">
        <v>81</v>
      </c>
      <c r="AT6744" t="s">
        <v>58</v>
      </c>
      <c r="AU6744" t="s">
        <v>68</v>
      </c>
      <c r="AV6744" t="s">
        <v>69</v>
      </c>
      <c r="AW6744" s="1">
        <v>30246</v>
      </c>
      <c r="AX6744">
        <v>1</v>
      </c>
    </row>
    <row r="6745" spans="1:50">
      <c r="A6745">
        <v>585376</v>
      </c>
      <c r="B6745" t="str">
        <f>"038974881"</f>
        <v>038974881</v>
      </c>
      <c r="C6745" t="s">
        <v>105</v>
      </c>
      <c r="D6745" t="s">
        <v>3388</v>
      </c>
      <c r="E6745" t="s">
        <v>95</v>
      </c>
      <c r="F6745" t="s">
        <v>459</v>
      </c>
      <c r="G6745" t="s">
        <v>250</v>
      </c>
      <c r="H6745" t="str">
        <f>"ΒΑΣΙΛΕΙΟΥ ΣΜΠΩΚΟΥ 35 ΗΡΑΚΛΕΙΟ"</f>
        <v>ΒΑΣΙΛΕΙΟΥ ΣΜΠΩΚΟΥ 35 ΗΡΑΚΛΕΙΟ</v>
      </c>
      <c r="I6745">
        <v>71306</v>
      </c>
      <c r="J6745">
        <v>2810322408</v>
      </c>
      <c r="K6745">
        <v>6977945711</v>
      </c>
      <c r="N6745" t="s">
        <v>615</v>
      </c>
      <c r="O6745" t="s">
        <v>616</v>
      </c>
      <c r="R6745" t="s">
        <v>57</v>
      </c>
      <c r="S6745">
        <v>13</v>
      </c>
      <c r="T6745" t="s">
        <v>10480</v>
      </c>
      <c r="U6745" s="1">
        <v>36040</v>
      </c>
      <c r="V6745" t="s">
        <v>80</v>
      </c>
      <c r="W6745" t="s">
        <v>81</v>
      </c>
      <c r="X6745" t="s">
        <v>58</v>
      </c>
      <c r="Y6745">
        <v>21</v>
      </c>
      <c r="Z6745" t="s">
        <v>59</v>
      </c>
      <c r="AA6745" t="s">
        <v>59</v>
      </c>
      <c r="AB6745" t="s">
        <v>59</v>
      </c>
      <c r="AC6745" t="s">
        <v>59</v>
      </c>
      <c r="AD6745" t="s">
        <v>59</v>
      </c>
      <c r="AF6745" s="1">
        <v>36040</v>
      </c>
      <c r="AG6745" t="s">
        <v>8645</v>
      </c>
      <c r="AH6745" t="s">
        <v>8646</v>
      </c>
      <c r="AI6745" t="str">
        <f>"9170048"</f>
        <v>9170048</v>
      </c>
      <c r="AJ6745" t="s">
        <v>8977</v>
      </c>
      <c r="AK6745">
        <v>2810283303</v>
      </c>
      <c r="AL6745" t="s">
        <v>8978</v>
      </c>
      <c r="AM6745" t="s">
        <v>78</v>
      </c>
      <c r="AN6745" t="s">
        <v>78</v>
      </c>
      <c r="AO6745" t="s">
        <v>78</v>
      </c>
      <c r="AP6745" t="s">
        <v>79</v>
      </c>
      <c r="AQ6745">
        <v>1</v>
      </c>
      <c r="AR6745" t="s">
        <v>80</v>
      </c>
      <c r="AS6745" t="s">
        <v>81</v>
      </c>
      <c r="AT6745" t="s">
        <v>58</v>
      </c>
      <c r="AU6745" t="s">
        <v>68</v>
      </c>
      <c r="AV6745" t="s">
        <v>69</v>
      </c>
      <c r="AW6745" s="1">
        <v>24736</v>
      </c>
      <c r="AX6745">
        <v>1</v>
      </c>
    </row>
    <row r="6746" spans="1:50">
      <c r="A6746">
        <v>590006</v>
      </c>
      <c r="B6746" t="str">
        <f>"055643309"</f>
        <v>055643309</v>
      </c>
      <c r="C6746" t="s">
        <v>105</v>
      </c>
      <c r="D6746" t="s">
        <v>3388</v>
      </c>
      <c r="E6746" t="s">
        <v>106</v>
      </c>
      <c r="F6746" t="s">
        <v>72</v>
      </c>
      <c r="G6746" t="s">
        <v>188</v>
      </c>
      <c r="H6746" t="str">
        <f>"Πρασάς Ν.Αλικαρνασσός"</f>
        <v>Πρασάς Ν.Αλικαρνασσός</v>
      </c>
      <c r="J6746">
        <v>2810390841</v>
      </c>
      <c r="K6746">
        <v>6978225107</v>
      </c>
      <c r="N6746" t="s">
        <v>176</v>
      </c>
      <c r="O6746" t="s">
        <v>177</v>
      </c>
      <c r="R6746" t="s">
        <v>57</v>
      </c>
      <c r="S6746">
        <v>10</v>
      </c>
      <c r="T6746">
        <v>177</v>
      </c>
      <c r="U6746" s="1">
        <v>36403</v>
      </c>
      <c r="V6746" t="s">
        <v>80</v>
      </c>
      <c r="W6746" t="s">
        <v>81</v>
      </c>
      <c r="X6746" t="s">
        <v>58</v>
      </c>
      <c r="Y6746">
        <v>21</v>
      </c>
      <c r="Z6746" t="s">
        <v>59</v>
      </c>
      <c r="AA6746" t="s">
        <v>59</v>
      </c>
      <c r="AB6746" t="s">
        <v>59</v>
      </c>
      <c r="AC6746" t="s">
        <v>59</v>
      </c>
      <c r="AD6746" t="s">
        <v>59</v>
      </c>
      <c r="AF6746" s="1">
        <v>36405</v>
      </c>
      <c r="AG6746" t="s">
        <v>8645</v>
      </c>
      <c r="AH6746" t="s">
        <v>8646</v>
      </c>
      <c r="AI6746" t="str">
        <f>"9170263"</f>
        <v>9170263</v>
      </c>
      <c r="AJ6746" t="s">
        <v>8942</v>
      </c>
      <c r="AK6746">
        <v>2810346939</v>
      </c>
      <c r="AL6746" t="s">
        <v>8943</v>
      </c>
      <c r="AM6746" t="s">
        <v>78</v>
      </c>
      <c r="AN6746" t="s">
        <v>78</v>
      </c>
      <c r="AO6746" t="s">
        <v>286</v>
      </c>
      <c r="AP6746" t="s">
        <v>286</v>
      </c>
      <c r="AQ6746">
        <v>1</v>
      </c>
      <c r="AR6746" t="s">
        <v>80</v>
      </c>
      <c r="AS6746" t="s">
        <v>81</v>
      </c>
      <c r="AT6746" t="s">
        <v>58</v>
      </c>
      <c r="AU6746" t="s">
        <v>68</v>
      </c>
      <c r="AV6746" t="s">
        <v>69</v>
      </c>
      <c r="AW6746" s="1">
        <v>24332</v>
      </c>
      <c r="AX6746">
        <v>1</v>
      </c>
    </row>
    <row r="6747" spans="1:50">
      <c r="A6747">
        <v>614981</v>
      </c>
      <c r="B6747" t="str">
        <f>"132487898"</f>
        <v>132487898</v>
      </c>
      <c r="C6747" t="s">
        <v>50</v>
      </c>
      <c r="D6747" t="s">
        <v>11152</v>
      </c>
      <c r="E6747" t="s">
        <v>83</v>
      </c>
      <c r="F6747" t="s">
        <v>84</v>
      </c>
      <c r="G6747" t="s">
        <v>922</v>
      </c>
      <c r="H6747" t="str">
        <f>" "</f>
        <v xml:space="preserve"> </v>
      </c>
      <c r="J6747">
        <v>2394051034</v>
      </c>
      <c r="K6747">
        <v>6997260459</v>
      </c>
      <c r="N6747" t="s">
        <v>615</v>
      </c>
      <c r="O6747" t="s">
        <v>616</v>
      </c>
      <c r="R6747" t="s">
        <v>57</v>
      </c>
      <c r="S6747">
        <v>5</v>
      </c>
      <c r="T6747">
        <v>598</v>
      </c>
      <c r="U6747" s="1">
        <v>39310</v>
      </c>
      <c r="V6747" t="s">
        <v>80</v>
      </c>
      <c r="W6747" t="s">
        <v>81</v>
      </c>
      <c r="X6747" t="s">
        <v>58</v>
      </c>
      <c r="Y6747">
        <v>23</v>
      </c>
      <c r="Z6747" t="s">
        <v>59</v>
      </c>
      <c r="AA6747" t="s">
        <v>59</v>
      </c>
      <c r="AB6747" t="s">
        <v>59</v>
      </c>
      <c r="AC6747" t="s">
        <v>59</v>
      </c>
      <c r="AD6747" t="s">
        <v>59</v>
      </c>
      <c r="AF6747" s="1">
        <v>39329</v>
      </c>
      <c r="AG6747" t="s">
        <v>8645</v>
      </c>
      <c r="AH6747" t="s">
        <v>8646</v>
      </c>
      <c r="AI6747" t="str">
        <f>"9521092"</f>
        <v>9521092</v>
      </c>
      <c r="AJ6747" t="s">
        <v>9234</v>
      </c>
      <c r="AK6747">
        <v>2810313321</v>
      </c>
      <c r="AL6747" t="s">
        <v>9235</v>
      </c>
      <c r="AM6747" t="s">
        <v>78</v>
      </c>
      <c r="AN6747" t="s">
        <v>78</v>
      </c>
      <c r="AO6747" t="s">
        <v>78</v>
      </c>
      <c r="AP6747" t="s">
        <v>141</v>
      </c>
      <c r="AQ6747">
        <v>1</v>
      </c>
      <c r="AR6747" t="s">
        <v>80</v>
      </c>
      <c r="AS6747" t="s">
        <v>81</v>
      </c>
      <c r="AT6747" t="s">
        <v>58</v>
      </c>
      <c r="AU6747" t="s">
        <v>68</v>
      </c>
      <c r="AV6747" t="s">
        <v>69</v>
      </c>
      <c r="AW6747" s="1">
        <v>30924</v>
      </c>
      <c r="AX6747">
        <v>1</v>
      </c>
    </row>
    <row r="6748" spans="1:50">
      <c r="B6748" t="str">
        <f>"150550408"</f>
        <v>150550408</v>
      </c>
      <c r="C6748" t="s">
        <v>50</v>
      </c>
      <c r="D6748" t="s">
        <v>5303</v>
      </c>
      <c r="E6748" t="s">
        <v>237</v>
      </c>
      <c r="F6748" t="s">
        <v>995</v>
      </c>
      <c r="G6748" t="s">
        <v>237</v>
      </c>
      <c r="H6748" t="str">
        <f>"ΑΧΕΛΩΟΥ 16 ΝΙΚΑΙΑ ΛΑΡΙΣΑΣ"</f>
        <v>ΑΧΕΛΩΟΥ 16 ΝΙΚΑΙΑ ΛΑΡΙΣΑΣ</v>
      </c>
      <c r="I6748">
        <v>41005</v>
      </c>
      <c r="J6748">
        <v>2410922331</v>
      </c>
      <c r="K6748">
        <v>6977015996</v>
      </c>
      <c r="N6748" t="s">
        <v>8834</v>
      </c>
      <c r="O6748" t="s">
        <v>8695</v>
      </c>
      <c r="R6748" t="s">
        <v>159</v>
      </c>
      <c r="S6748">
        <v>3</v>
      </c>
      <c r="T6748" t="s">
        <v>8835</v>
      </c>
      <c r="U6748" s="1">
        <v>43348</v>
      </c>
      <c r="V6748" t="s">
        <v>80</v>
      </c>
      <c r="W6748" t="s">
        <v>81</v>
      </c>
      <c r="X6748" t="s">
        <v>58</v>
      </c>
      <c r="Y6748">
        <v>24</v>
      </c>
      <c r="Z6748" t="s">
        <v>59</v>
      </c>
      <c r="AA6748" t="s">
        <v>59</v>
      </c>
      <c r="AB6748" t="s">
        <v>59</v>
      </c>
      <c r="AD6748" t="s">
        <v>59</v>
      </c>
      <c r="AF6748" s="1">
        <v>43348</v>
      </c>
      <c r="AG6748" t="s">
        <v>8645</v>
      </c>
      <c r="AH6748" t="s">
        <v>8646</v>
      </c>
      <c r="AI6748" t="str">
        <f>"9521411"</f>
        <v>9521411</v>
      </c>
      <c r="AJ6748" t="s">
        <v>9007</v>
      </c>
      <c r="AK6748">
        <v>2810824954</v>
      </c>
      <c r="AL6748" t="s">
        <v>9008</v>
      </c>
      <c r="AM6748" t="s">
        <v>78</v>
      </c>
      <c r="AN6748" t="s">
        <v>129</v>
      </c>
      <c r="AO6748" t="s">
        <v>130</v>
      </c>
      <c r="AP6748" t="s">
        <v>130</v>
      </c>
      <c r="AQ6748">
        <v>1</v>
      </c>
      <c r="AR6748" t="s">
        <v>80</v>
      </c>
      <c r="AS6748" t="s">
        <v>81</v>
      </c>
      <c r="AT6748" t="s">
        <v>58</v>
      </c>
      <c r="AU6748" t="s">
        <v>131</v>
      </c>
      <c r="AV6748" t="s">
        <v>132</v>
      </c>
      <c r="AW6748" s="1">
        <v>32937</v>
      </c>
      <c r="AX6748">
        <v>1</v>
      </c>
    </row>
    <row r="6749" spans="1:50">
      <c r="A6749">
        <v>608666</v>
      </c>
      <c r="B6749" t="str">
        <f>"100122590"</f>
        <v>100122590</v>
      </c>
      <c r="C6749" t="s">
        <v>50</v>
      </c>
      <c r="D6749" t="s">
        <v>6407</v>
      </c>
      <c r="E6749" t="s">
        <v>5556</v>
      </c>
      <c r="F6749" t="s">
        <v>2811</v>
      </c>
      <c r="G6749" t="s">
        <v>255</v>
      </c>
      <c r="H6749" t="str">
        <f>" "</f>
        <v xml:space="preserve"> </v>
      </c>
      <c r="J6749">
        <v>2810228625</v>
      </c>
      <c r="K6749">
        <v>6945833718</v>
      </c>
      <c r="N6749" t="s">
        <v>1525</v>
      </c>
      <c r="O6749" t="s">
        <v>1526</v>
      </c>
      <c r="R6749" t="s">
        <v>57</v>
      </c>
      <c r="S6749">
        <v>6</v>
      </c>
      <c r="T6749">
        <v>217</v>
      </c>
      <c r="U6749" s="1">
        <v>38596</v>
      </c>
      <c r="V6749" t="s">
        <v>80</v>
      </c>
      <c r="W6749" t="s">
        <v>81</v>
      </c>
      <c r="X6749" t="s">
        <v>58</v>
      </c>
      <c r="Y6749">
        <v>25</v>
      </c>
      <c r="Z6749" t="s">
        <v>59</v>
      </c>
      <c r="AA6749" t="s">
        <v>59</v>
      </c>
      <c r="AB6749" t="s">
        <v>59</v>
      </c>
      <c r="AC6749" t="s">
        <v>59</v>
      </c>
      <c r="AD6749" t="s">
        <v>59</v>
      </c>
      <c r="AF6749" s="1">
        <v>38600</v>
      </c>
      <c r="AG6749" t="s">
        <v>8651</v>
      </c>
      <c r="AH6749" t="s">
        <v>8652</v>
      </c>
      <c r="AI6749" t="str">
        <f>"9170145"</f>
        <v>9170145</v>
      </c>
      <c r="AJ6749" t="s">
        <v>11153</v>
      </c>
      <c r="AK6749">
        <v>2891023133</v>
      </c>
      <c r="AL6749" t="s">
        <v>11154</v>
      </c>
      <c r="AM6749" t="s">
        <v>78</v>
      </c>
      <c r="AN6749" t="s">
        <v>276</v>
      </c>
      <c r="AO6749" t="s">
        <v>490</v>
      </c>
      <c r="AP6749" t="s">
        <v>490</v>
      </c>
      <c r="AQ6749">
        <v>12</v>
      </c>
      <c r="AR6749" t="s">
        <v>80</v>
      </c>
      <c r="AS6749" t="s">
        <v>81</v>
      </c>
      <c r="AT6749" t="s">
        <v>58</v>
      </c>
      <c r="AU6749" t="s">
        <v>68</v>
      </c>
      <c r="AV6749" t="s">
        <v>69</v>
      </c>
      <c r="AW6749" s="1">
        <v>27198</v>
      </c>
      <c r="AX6749">
        <v>1</v>
      </c>
    </row>
    <row r="6750" spans="1:50">
      <c r="B6750" t="str">
        <f>"064712286"</f>
        <v>064712286</v>
      </c>
      <c r="C6750" t="s">
        <v>50</v>
      </c>
      <c r="D6750" t="s">
        <v>6407</v>
      </c>
      <c r="E6750" t="s">
        <v>83</v>
      </c>
      <c r="F6750" t="s">
        <v>99</v>
      </c>
      <c r="G6750" t="s">
        <v>52</v>
      </c>
      <c r="H6750" t="str">
        <f>"Φ. ΑΗΔΗΝΛΗ 24 ΗΡΑΚΛΕΙΟ"</f>
        <v>Φ. ΑΗΔΗΝΛΗ 24 ΗΡΑΚΛΕΙΟ</v>
      </c>
      <c r="I6750">
        <v>71304</v>
      </c>
      <c r="J6750">
        <v>2810213817</v>
      </c>
      <c r="K6750">
        <v>6941677899</v>
      </c>
      <c r="N6750" t="s">
        <v>306</v>
      </c>
      <c r="O6750" t="s">
        <v>307</v>
      </c>
      <c r="R6750" t="s">
        <v>159</v>
      </c>
      <c r="S6750">
        <v>3</v>
      </c>
      <c r="T6750" t="s">
        <v>8675</v>
      </c>
      <c r="U6750" s="1">
        <v>43348</v>
      </c>
      <c r="V6750" t="s">
        <v>80</v>
      </c>
      <c r="W6750" t="s">
        <v>81</v>
      </c>
      <c r="X6750" t="s">
        <v>58</v>
      </c>
      <c r="Y6750">
        <v>24</v>
      </c>
      <c r="Z6750" t="s">
        <v>59</v>
      </c>
      <c r="AA6750" t="s">
        <v>59</v>
      </c>
      <c r="AB6750" t="s">
        <v>59</v>
      </c>
      <c r="AC6750" t="s">
        <v>59</v>
      </c>
      <c r="AD6750" t="s">
        <v>59</v>
      </c>
      <c r="AF6750" s="1">
        <v>43348</v>
      </c>
      <c r="AG6750" t="s">
        <v>8645</v>
      </c>
      <c r="AH6750" t="s">
        <v>8646</v>
      </c>
      <c r="AI6750" t="str">
        <f>"9170285"</f>
        <v>9170285</v>
      </c>
      <c r="AJ6750" t="s">
        <v>9186</v>
      </c>
      <c r="AK6750">
        <v>2894031223</v>
      </c>
      <c r="AL6750" t="s">
        <v>9187</v>
      </c>
      <c r="AM6750" t="s">
        <v>78</v>
      </c>
      <c r="AN6750" t="s">
        <v>242</v>
      </c>
      <c r="AO6750" t="s">
        <v>999</v>
      </c>
      <c r="AP6750" t="s">
        <v>999</v>
      </c>
      <c r="AQ6750">
        <v>21</v>
      </c>
      <c r="AR6750" t="s">
        <v>80</v>
      </c>
      <c r="AS6750" t="s">
        <v>81</v>
      </c>
      <c r="AT6750" t="s">
        <v>58</v>
      </c>
      <c r="AU6750" t="s">
        <v>8673</v>
      </c>
      <c r="AV6750" t="s">
        <v>132</v>
      </c>
      <c r="AW6750" s="1">
        <v>30684</v>
      </c>
      <c r="AX6750">
        <v>1</v>
      </c>
    </row>
    <row r="6751" spans="1:50">
      <c r="A6751">
        <v>578468</v>
      </c>
      <c r="B6751" t="str">
        <f>"035810150"</f>
        <v>035810150</v>
      </c>
      <c r="C6751" t="s">
        <v>50</v>
      </c>
      <c r="D6751" t="s">
        <v>3401</v>
      </c>
      <c r="E6751" t="s">
        <v>681</v>
      </c>
      <c r="F6751" t="s">
        <v>72</v>
      </c>
      <c r="G6751" t="s">
        <v>255</v>
      </c>
      <c r="H6751" t="str">
        <f>"Π. ΜΠΑΚΟΓΙΑΝΝΗ  84 ΑΓ. ΙΩΑΝΝΗΣ ΧΩΣΤΟΣ"</f>
        <v>Π. ΜΠΑΚΟΓΙΑΝΝΗ  84 ΑΓ. ΙΩΑΝΝΗΣ ΧΩΣΤΟΣ</v>
      </c>
      <c r="I6751">
        <v>71410</v>
      </c>
      <c r="J6751">
        <v>2810317008</v>
      </c>
      <c r="K6751">
        <v>6945636378</v>
      </c>
      <c r="M6751" t="s">
        <v>11155</v>
      </c>
      <c r="N6751" t="s">
        <v>615</v>
      </c>
      <c r="O6751" t="s">
        <v>616</v>
      </c>
      <c r="R6751" t="s">
        <v>57</v>
      </c>
      <c r="S6751">
        <v>13</v>
      </c>
      <c r="T6751">
        <v>165</v>
      </c>
      <c r="U6751" s="1">
        <v>35300</v>
      </c>
      <c r="V6751" t="s">
        <v>80</v>
      </c>
      <c r="W6751" t="s">
        <v>81</v>
      </c>
      <c r="X6751" t="s">
        <v>58</v>
      </c>
      <c r="Y6751">
        <v>21</v>
      </c>
      <c r="Z6751" t="s">
        <v>59</v>
      </c>
      <c r="AA6751" t="s">
        <v>59</v>
      </c>
      <c r="AB6751" t="s">
        <v>59</v>
      </c>
      <c r="AC6751" t="s">
        <v>59</v>
      </c>
      <c r="AD6751" t="s">
        <v>59</v>
      </c>
      <c r="AF6751" s="1">
        <v>35310</v>
      </c>
      <c r="AG6751" t="s">
        <v>8645</v>
      </c>
      <c r="AH6751" t="s">
        <v>8646</v>
      </c>
      <c r="AI6751" t="str">
        <f>"9170264"</f>
        <v>9170264</v>
      </c>
      <c r="AJ6751" t="s">
        <v>8718</v>
      </c>
      <c r="AK6751">
        <v>2810332030</v>
      </c>
      <c r="AL6751" t="s">
        <v>8719</v>
      </c>
      <c r="AM6751" t="s">
        <v>78</v>
      </c>
      <c r="AN6751" t="s">
        <v>78</v>
      </c>
      <c r="AO6751" t="s">
        <v>286</v>
      </c>
      <c r="AP6751" t="s">
        <v>286</v>
      </c>
      <c r="AQ6751">
        <v>1</v>
      </c>
      <c r="AR6751" t="s">
        <v>80</v>
      </c>
      <c r="AS6751" t="s">
        <v>81</v>
      </c>
      <c r="AT6751" t="s">
        <v>58</v>
      </c>
      <c r="AU6751" t="s">
        <v>68</v>
      </c>
      <c r="AV6751" t="s">
        <v>69</v>
      </c>
      <c r="AW6751" s="1">
        <v>24379</v>
      </c>
      <c r="AX6751">
        <v>1</v>
      </c>
    </row>
    <row r="6752" spans="1:50">
      <c r="A6752">
        <v>556059</v>
      </c>
      <c r="B6752" t="str">
        <f>"031326438"</f>
        <v>031326438</v>
      </c>
      <c r="C6752" t="s">
        <v>105</v>
      </c>
      <c r="D6752" t="s">
        <v>6410</v>
      </c>
      <c r="E6752" t="s">
        <v>95</v>
      </c>
      <c r="F6752" t="s">
        <v>99</v>
      </c>
      <c r="G6752" t="s">
        <v>237</v>
      </c>
      <c r="H6752" t="str">
        <f>"Μοίρες ΜΟΙΡΕΣ"</f>
        <v>Μοίρες ΜΟΙΡΕΣ</v>
      </c>
      <c r="I6752">
        <v>70400</v>
      </c>
      <c r="J6752">
        <v>2892022166</v>
      </c>
      <c r="K6752">
        <v>6944747645</v>
      </c>
      <c r="L6752">
        <v>2892045176</v>
      </c>
      <c r="N6752" t="s">
        <v>615</v>
      </c>
      <c r="O6752" t="s">
        <v>616</v>
      </c>
      <c r="R6752" t="s">
        <v>57</v>
      </c>
      <c r="S6752">
        <v>16</v>
      </c>
      <c r="T6752">
        <v>200</v>
      </c>
      <c r="U6752" s="1">
        <v>31657</v>
      </c>
      <c r="V6752" t="s">
        <v>80</v>
      </c>
      <c r="W6752" t="s">
        <v>81</v>
      </c>
      <c r="X6752" t="s">
        <v>58</v>
      </c>
      <c r="Y6752">
        <v>21</v>
      </c>
      <c r="Z6752" t="s">
        <v>59</v>
      </c>
      <c r="AA6752" t="s">
        <v>59</v>
      </c>
      <c r="AB6752" t="s">
        <v>59</v>
      </c>
      <c r="AC6752" t="s">
        <v>59</v>
      </c>
      <c r="AD6752" t="s">
        <v>59</v>
      </c>
      <c r="AF6752" s="1">
        <v>31667</v>
      </c>
      <c r="AG6752" t="s">
        <v>8645</v>
      </c>
      <c r="AH6752" t="s">
        <v>8646</v>
      </c>
      <c r="AI6752" t="str">
        <f>"9170495"</f>
        <v>9170495</v>
      </c>
      <c r="AJ6752" t="s">
        <v>8838</v>
      </c>
      <c r="AK6752">
        <v>2892023325</v>
      </c>
      <c r="AL6752" t="s">
        <v>8839</v>
      </c>
      <c r="AM6752" t="s">
        <v>78</v>
      </c>
      <c r="AN6752" t="s">
        <v>242</v>
      </c>
      <c r="AO6752" t="s">
        <v>243</v>
      </c>
      <c r="AP6752" t="s">
        <v>243</v>
      </c>
      <c r="AQ6752">
        <v>20</v>
      </c>
      <c r="AR6752" t="s">
        <v>80</v>
      </c>
      <c r="AS6752" t="s">
        <v>81</v>
      </c>
      <c r="AT6752" t="s">
        <v>58</v>
      </c>
      <c r="AU6752" t="s">
        <v>68</v>
      </c>
      <c r="AV6752" t="s">
        <v>69</v>
      </c>
      <c r="AW6752" s="1">
        <v>22533</v>
      </c>
      <c r="AX6752">
        <v>1</v>
      </c>
    </row>
    <row r="6753" spans="1:50">
      <c r="A6753">
        <v>612804</v>
      </c>
      <c r="B6753" t="str">
        <f>"106912212"</f>
        <v>106912212</v>
      </c>
      <c r="C6753" t="s">
        <v>50</v>
      </c>
      <c r="D6753" t="s">
        <v>11156</v>
      </c>
      <c r="E6753" t="s">
        <v>237</v>
      </c>
      <c r="F6753" t="s">
        <v>1391</v>
      </c>
      <c r="G6753" t="s">
        <v>54</v>
      </c>
      <c r="H6753" t="str">
        <f>"ΨΥΛΛΑΚΗ 19 ΘΕΡΙΣΣΟΣ"</f>
        <v>ΨΥΛΛΑΚΗ 19 ΘΕΡΙΣΣΟΣ</v>
      </c>
      <c r="I6753">
        <v>71305</v>
      </c>
      <c r="J6753">
        <v>2810224557</v>
      </c>
      <c r="K6753">
        <v>6977303286</v>
      </c>
      <c r="N6753" t="s">
        <v>306</v>
      </c>
      <c r="O6753" t="s">
        <v>307</v>
      </c>
      <c r="R6753" t="s">
        <v>57</v>
      </c>
      <c r="S6753">
        <v>6</v>
      </c>
      <c r="T6753">
        <v>298</v>
      </c>
      <c r="U6753" s="1">
        <v>38985</v>
      </c>
      <c r="V6753" t="s">
        <v>80</v>
      </c>
      <c r="W6753" t="s">
        <v>81</v>
      </c>
      <c r="X6753" t="s">
        <v>58</v>
      </c>
      <c r="Y6753">
        <v>23</v>
      </c>
      <c r="Z6753" t="s">
        <v>59</v>
      </c>
      <c r="AA6753" t="s">
        <v>59</v>
      </c>
      <c r="AB6753" t="s">
        <v>59</v>
      </c>
      <c r="AC6753" t="s">
        <v>59</v>
      </c>
      <c r="AD6753" t="s">
        <v>59</v>
      </c>
      <c r="AF6753" s="1">
        <v>38987</v>
      </c>
      <c r="AG6753" t="s">
        <v>8645</v>
      </c>
      <c r="AH6753" t="s">
        <v>8646</v>
      </c>
      <c r="AI6753" t="str">
        <f>"9170428"</f>
        <v>9170428</v>
      </c>
      <c r="AJ6753" t="s">
        <v>8983</v>
      </c>
      <c r="AK6753">
        <v>2810234768</v>
      </c>
      <c r="AL6753" t="s">
        <v>8984</v>
      </c>
      <c r="AM6753" t="s">
        <v>78</v>
      </c>
      <c r="AN6753" t="s">
        <v>78</v>
      </c>
      <c r="AO6753" t="s">
        <v>78</v>
      </c>
      <c r="AP6753" t="s">
        <v>79</v>
      </c>
      <c r="AQ6753">
        <v>1</v>
      </c>
      <c r="AR6753" t="s">
        <v>80</v>
      </c>
      <c r="AS6753" t="s">
        <v>81</v>
      </c>
      <c r="AT6753" t="s">
        <v>58</v>
      </c>
      <c r="AU6753" t="s">
        <v>68</v>
      </c>
      <c r="AV6753" t="s">
        <v>69</v>
      </c>
      <c r="AW6753" s="1">
        <v>29206</v>
      </c>
      <c r="AX6753">
        <v>1</v>
      </c>
    </row>
    <row r="6754" spans="1:50">
      <c r="A6754">
        <v>600909</v>
      </c>
      <c r="B6754" t="str">
        <f>"103511670"</f>
        <v>103511670</v>
      </c>
      <c r="C6754" t="s">
        <v>50</v>
      </c>
      <c r="D6754" t="s">
        <v>3403</v>
      </c>
      <c r="E6754" t="s">
        <v>188</v>
      </c>
      <c r="F6754" t="s">
        <v>166</v>
      </c>
      <c r="G6754" t="s">
        <v>83</v>
      </c>
      <c r="H6754" t="str">
        <f>"ΟΛΥΜΠΙΑΣ 4 ΗΡΑΚΛΕΙΟ"</f>
        <v>ΟΛΥΜΠΙΑΣ 4 ΗΡΑΚΛΕΙΟ</v>
      </c>
      <c r="I6754">
        <v>71409</v>
      </c>
      <c r="J6754">
        <v>2810238689</v>
      </c>
      <c r="K6754">
        <v>6974035665</v>
      </c>
      <c r="N6754" t="s">
        <v>615</v>
      </c>
      <c r="O6754" t="s">
        <v>616</v>
      </c>
      <c r="R6754" t="s">
        <v>57</v>
      </c>
      <c r="S6754">
        <v>8</v>
      </c>
      <c r="T6754">
        <v>207</v>
      </c>
      <c r="U6754" s="1">
        <v>37866</v>
      </c>
      <c r="V6754" t="s">
        <v>80</v>
      </c>
      <c r="W6754" t="s">
        <v>81</v>
      </c>
      <c r="X6754" t="s">
        <v>58</v>
      </c>
      <c r="Y6754">
        <v>22</v>
      </c>
      <c r="Z6754" t="s">
        <v>59</v>
      </c>
      <c r="AA6754" t="s">
        <v>59</v>
      </c>
      <c r="AB6754" t="s">
        <v>59</v>
      </c>
      <c r="AC6754" t="s">
        <v>59</v>
      </c>
      <c r="AD6754" t="s">
        <v>59</v>
      </c>
      <c r="AF6754" s="1">
        <v>37866</v>
      </c>
      <c r="AG6754" t="s">
        <v>8645</v>
      </c>
      <c r="AH6754" t="s">
        <v>8646</v>
      </c>
      <c r="AI6754" t="str">
        <f>"9170190"</f>
        <v>9170190</v>
      </c>
      <c r="AJ6754" t="s">
        <v>8689</v>
      </c>
      <c r="AK6754">
        <v>2810232169</v>
      </c>
      <c r="AL6754" t="s">
        <v>8690</v>
      </c>
      <c r="AM6754" t="s">
        <v>78</v>
      </c>
      <c r="AN6754" t="s">
        <v>78</v>
      </c>
      <c r="AO6754" t="s">
        <v>78</v>
      </c>
      <c r="AP6754" t="s">
        <v>163</v>
      </c>
      <c r="AQ6754">
        <v>1</v>
      </c>
      <c r="AR6754" t="s">
        <v>80</v>
      </c>
      <c r="AS6754" t="s">
        <v>81</v>
      </c>
      <c r="AT6754" t="s">
        <v>58</v>
      </c>
      <c r="AU6754" t="s">
        <v>68</v>
      </c>
      <c r="AV6754" t="s">
        <v>69</v>
      </c>
      <c r="AW6754" s="1">
        <v>27655</v>
      </c>
      <c r="AX6754">
        <v>1</v>
      </c>
    </row>
    <row r="6755" spans="1:50">
      <c r="A6755">
        <v>617321</v>
      </c>
      <c r="B6755" t="str">
        <f>"125587521"</f>
        <v>125587521</v>
      </c>
      <c r="C6755" t="s">
        <v>50</v>
      </c>
      <c r="D6755" t="s">
        <v>11157</v>
      </c>
      <c r="E6755" t="s">
        <v>73</v>
      </c>
      <c r="F6755" t="s">
        <v>99</v>
      </c>
      <c r="G6755" t="s">
        <v>52</v>
      </c>
      <c r="H6755" t="str">
        <f>"Μ.ΒΛΑΧΟΥ 75 ΗΡΑΚΛΕΙΟ"</f>
        <v>Μ.ΒΛΑΧΟΥ 75 ΗΡΑΚΛΕΙΟ</v>
      </c>
      <c r="I6755">
        <v>71305</v>
      </c>
      <c r="J6755">
        <v>2810238461</v>
      </c>
      <c r="K6755">
        <v>6948382233</v>
      </c>
      <c r="M6755" t="s">
        <v>11158</v>
      </c>
      <c r="N6755" t="s">
        <v>615</v>
      </c>
      <c r="O6755" t="s">
        <v>616</v>
      </c>
      <c r="R6755" t="s">
        <v>57</v>
      </c>
      <c r="S6755">
        <v>6</v>
      </c>
      <c r="T6755">
        <v>774</v>
      </c>
      <c r="U6755" s="1">
        <v>39680</v>
      </c>
      <c r="V6755" t="s">
        <v>80</v>
      </c>
      <c r="W6755" t="s">
        <v>81</v>
      </c>
      <c r="X6755" t="s">
        <v>58</v>
      </c>
      <c r="Y6755">
        <v>23</v>
      </c>
      <c r="Z6755" t="s">
        <v>59</v>
      </c>
      <c r="AA6755" t="s">
        <v>59</v>
      </c>
      <c r="AB6755" t="s">
        <v>59</v>
      </c>
      <c r="AC6755" t="s">
        <v>59</v>
      </c>
      <c r="AD6755" t="s">
        <v>59</v>
      </c>
      <c r="AF6755" s="1">
        <v>39681</v>
      </c>
      <c r="AG6755" t="s">
        <v>8645</v>
      </c>
      <c r="AH6755" t="s">
        <v>8646</v>
      </c>
      <c r="AI6755" t="str">
        <f>"9170428"</f>
        <v>9170428</v>
      </c>
      <c r="AJ6755" t="s">
        <v>8983</v>
      </c>
      <c r="AK6755">
        <v>2810234768</v>
      </c>
      <c r="AL6755" t="s">
        <v>8984</v>
      </c>
      <c r="AM6755" t="s">
        <v>78</v>
      </c>
      <c r="AN6755" t="s">
        <v>78</v>
      </c>
      <c r="AO6755" t="s">
        <v>78</v>
      </c>
      <c r="AP6755" t="s">
        <v>79</v>
      </c>
      <c r="AQ6755">
        <v>1</v>
      </c>
      <c r="AR6755" t="s">
        <v>80</v>
      </c>
      <c r="AS6755" t="s">
        <v>81</v>
      </c>
      <c r="AT6755" t="s">
        <v>58</v>
      </c>
      <c r="AU6755" t="s">
        <v>68</v>
      </c>
      <c r="AV6755" t="s">
        <v>69</v>
      </c>
      <c r="AW6755" s="1">
        <v>30412</v>
      </c>
      <c r="AX6755">
        <v>1</v>
      </c>
    </row>
    <row r="6756" spans="1:50">
      <c r="B6756" t="str">
        <f>"143498311"</f>
        <v>143498311</v>
      </c>
      <c r="C6756" t="s">
        <v>50</v>
      </c>
      <c r="D6756" t="s">
        <v>11159</v>
      </c>
      <c r="E6756" t="s">
        <v>112</v>
      </c>
      <c r="F6756" t="s">
        <v>95</v>
      </c>
      <c r="G6756" t="s">
        <v>255</v>
      </c>
      <c r="H6756" t="str">
        <f>" "</f>
        <v xml:space="preserve"> </v>
      </c>
      <c r="K6756">
        <v>6938144537</v>
      </c>
      <c r="M6756" t="s">
        <v>11160</v>
      </c>
      <c r="N6756" t="s">
        <v>615</v>
      </c>
      <c r="O6756" t="s">
        <v>616</v>
      </c>
      <c r="R6756" t="s">
        <v>159</v>
      </c>
      <c r="S6756">
        <v>3</v>
      </c>
      <c r="T6756" t="s">
        <v>8675</v>
      </c>
      <c r="U6756" s="1">
        <v>43348</v>
      </c>
      <c r="V6756" t="s">
        <v>80</v>
      </c>
      <c r="W6756" t="s">
        <v>81</v>
      </c>
      <c r="X6756" t="s">
        <v>58</v>
      </c>
      <c r="Y6756">
        <v>24</v>
      </c>
      <c r="Z6756" t="s">
        <v>59</v>
      </c>
      <c r="AA6756" t="s">
        <v>59</v>
      </c>
      <c r="AB6756" t="s">
        <v>59</v>
      </c>
      <c r="AD6756" t="s">
        <v>59</v>
      </c>
      <c r="AF6756" s="1">
        <v>43348</v>
      </c>
      <c r="AG6756" t="s">
        <v>8645</v>
      </c>
      <c r="AH6756" t="s">
        <v>8646</v>
      </c>
      <c r="AI6756" t="str">
        <f>"9170079"</f>
        <v>9170079</v>
      </c>
      <c r="AJ6756" t="s">
        <v>8874</v>
      </c>
      <c r="AK6756">
        <v>2894051292</v>
      </c>
      <c r="AL6756" t="s">
        <v>8875</v>
      </c>
      <c r="AM6756" t="s">
        <v>78</v>
      </c>
      <c r="AN6756" t="s">
        <v>424</v>
      </c>
      <c r="AO6756" t="s">
        <v>428</v>
      </c>
      <c r="AP6756" t="s">
        <v>8876</v>
      </c>
      <c r="AQ6756">
        <v>9</v>
      </c>
      <c r="AR6756" t="s">
        <v>80</v>
      </c>
      <c r="AS6756" t="s">
        <v>81</v>
      </c>
      <c r="AT6756" t="s">
        <v>58</v>
      </c>
      <c r="AU6756" t="s">
        <v>8673</v>
      </c>
      <c r="AV6756" t="s">
        <v>132</v>
      </c>
      <c r="AW6756" s="1">
        <v>32866</v>
      </c>
      <c r="AX6756">
        <v>1</v>
      </c>
    </row>
    <row r="6757" spans="1:50">
      <c r="A6757">
        <v>622556</v>
      </c>
      <c r="B6757" t="str">
        <f>"104920401"</f>
        <v>104920401</v>
      </c>
      <c r="C6757" t="s">
        <v>50</v>
      </c>
      <c r="D6757" t="s">
        <v>11161</v>
      </c>
      <c r="E6757" t="s">
        <v>1345</v>
      </c>
      <c r="F6757" t="s">
        <v>166</v>
      </c>
      <c r="G6757" t="s">
        <v>52</v>
      </c>
      <c r="H6757" t="str">
        <f>"ΝΙΔΑΣ 81 ΗΡΑΚΛΕΙΟ"</f>
        <v>ΝΙΔΑΣ 81 ΗΡΑΚΛΕΙΟ</v>
      </c>
      <c r="I6757">
        <v>71414</v>
      </c>
      <c r="J6757">
        <v>2810314157</v>
      </c>
      <c r="K6757">
        <v>6946678427</v>
      </c>
      <c r="N6757" t="s">
        <v>1525</v>
      </c>
      <c r="O6757" t="s">
        <v>1526</v>
      </c>
      <c r="R6757" t="s">
        <v>57</v>
      </c>
      <c r="S6757">
        <v>4</v>
      </c>
      <c r="T6757">
        <v>653</v>
      </c>
      <c r="U6757" s="1">
        <v>40043</v>
      </c>
      <c r="V6757" t="s">
        <v>80</v>
      </c>
      <c r="W6757" t="s">
        <v>81</v>
      </c>
      <c r="X6757" t="s">
        <v>58</v>
      </c>
      <c r="Y6757">
        <v>25</v>
      </c>
      <c r="Z6757" t="s">
        <v>59</v>
      </c>
      <c r="AA6757" t="s">
        <v>59</v>
      </c>
      <c r="AB6757" t="s">
        <v>59</v>
      </c>
      <c r="AC6757" t="s">
        <v>59</v>
      </c>
      <c r="AD6757" t="s">
        <v>59</v>
      </c>
      <c r="AF6757" s="1">
        <v>40057</v>
      </c>
      <c r="AG6757" t="s">
        <v>8651</v>
      </c>
      <c r="AH6757" t="s">
        <v>8652</v>
      </c>
      <c r="AI6757" t="str">
        <f>"9170569"</f>
        <v>9170569</v>
      </c>
      <c r="AJ6757" t="s">
        <v>10452</v>
      </c>
      <c r="AK6757">
        <v>2810310767</v>
      </c>
      <c r="AL6757" t="s">
        <v>10453</v>
      </c>
      <c r="AM6757" t="s">
        <v>78</v>
      </c>
      <c r="AN6757" t="s">
        <v>78</v>
      </c>
      <c r="AO6757" t="s">
        <v>78</v>
      </c>
      <c r="AP6757" t="s">
        <v>141</v>
      </c>
      <c r="AQ6757">
        <v>1</v>
      </c>
      <c r="AR6757" t="s">
        <v>80</v>
      </c>
      <c r="AS6757" t="s">
        <v>81</v>
      </c>
      <c r="AT6757" t="s">
        <v>58</v>
      </c>
      <c r="AU6757" t="s">
        <v>68</v>
      </c>
      <c r="AV6757" t="s">
        <v>69</v>
      </c>
      <c r="AW6757" s="1">
        <v>30568</v>
      </c>
      <c r="AX6757">
        <v>1</v>
      </c>
    </row>
    <row r="6758" spans="1:50">
      <c r="A6758">
        <v>219133</v>
      </c>
      <c r="B6758" t="str">
        <f>"071111852"</f>
        <v>071111852</v>
      </c>
      <c r="C6758" t="s">
        <v>50</v>
      </c>
      <c r="D6758" t="s">
        <v>6414</v>
      </c>
      <c r="E6758" t="s">
        <v>513</v>
      </c>
      <c r="F6758" t="s">
        <v>95</v>
      </c>
      <c r="G6758" t="s">
        <v>1074</v>
      </c>
      <c r="H6758" t="str">
        <f>"ΠΛΑΤΩΝΟΣ 45 ΚΑΤΣΑΜΠΑΣ - ΗΡΑΚΛΕΙΟ"</f>
        <v>ΠΛΑΤΩΝΟΣ 45 ΚΑΤΣΑΜΠΑΣ - ΗΡΑΚΛΕΙΟ</v>
      </c>
      <c r="J6758">
        <v>2810915814</v>
      </c>
      <c r="K6758">
        <v>6947565765</v>
      </c>
      <c r="L6758">
        <v>2102634501</v>
      </c>
      <c r="N6758" t="s">
        <v>478</v>
      </c>
      <c r="O6758" t="s">
        <v>479</v>
      </c>
      <c r="R6758" t="s">
        <v>57</v>
      </c>
      <c r="S6758">
        <v>6</v>
      </c>
      <c r="T6758">
        <v>599</v>
      </c>
      <c r="U6758" s="1">
        <v>39310</v>
      </c>
      <c r="V6758" t="s">
        <v>80</v>
      </c>
      <c r="W6758" t="s">
        <v>81</v>
      </c>
      <c r="X6758" t="s">
        <v>58</v>
      </c>
      <c r="Y6758">
        <v>23</v>
      </c>
      <c r="Z6758" t="s">
        <v>59</v>
      </c>
      <c r="AA6758" t="s">
        <v>59</v>
      </c>
      <c r="AB6758" t="s">
        <v>59</v>
      </c>
      <c r="AC6758" t="s">
        <v>59</v>
      </c>
      <c r="AD6758" t="s">
        <v>59</v>
      </c>
      <c r="AF6758" s="1">
        <v>39328</v>
      </c>
      <c r="AG6758" t="s">
        <v>8645</v>
      </c>
      <c r="AH6758" t="s">
        <v>8646</v>
      </c>
      <c r="AI6758" t="str">
        <f>"9170198"</f>
        <v>9170198</v>
      </c>
      <c r="AJ6758" t="s">
        <v>8665</v>
      </c>
      <c r="AK6758">
        <v>2810227379</v>
      </c>
      <c r="AL6758" t="s">
        <v>8666</v>
      </c>
      <c r="AM6758" t="s">
        <v>78</v>
      </c>
      <c r="AN6758" t="s">
        <v>78</v>
      </c>
      <c r="AO6758" t="s">
        <v>78</v>
      </c>
      <c r="AP6758" t="s">
        <v>79</v>
      </c>
      <c r="AQ6758">
        <v>1</v>
      </c>
      <c r="AR6758" t="s">
        <v>80</v>
      </c>
      <c r="AS6758" t="s">
        <v>81</v>
      </c>
      <c r="AT6758" t="s">
        <v>58</v>
      </c>
      <c r="AU6758" t="s">
        <v>68</v>
      </c>
      <c r="AV6758" t="s">
        <v>69</v>
      </c>
      <c r="AW6758" s="1">
        <v>25528</v>
      </c>
      <c r="AX6758">
        <v>1</v>
      </c>
    </row>
    <row r="6759" spans="1:50">
      <c r="B6759" t="str">
        <f>"132786548"</f>
        <v>132786548</v>
      </c>
      <c r="C6759" t="s">
        <v>50</v>
      </c>
      <c r="D6759" t="s">
        <v>11162</v>
      </c>
      <c r="E6759" t="s">
        <v>626</v>
      </c>
      <c r="F6759" t="s">
        <v>99</v>
      </c>
      <c r="H6759" t="str">
        <f>" "</f>
        <v xml:space="preserve"> </v>
      </c>
      <c r="N6759" t="s">
        <v>1525</v>
      </c>
      <c r="O6759" t="s">
        <v>1526</v>
      </c>
      <c r="R6759" t="s">
        <v>159</v>
      </c>
      <c r="S6759">
        <v>2</v>
      </c>
      <c r="T6759" t="s">
        <v>8670</v>
      </c>
      <c r="U6759" s="1">
        <v>43348</v>
      </c>
      <c r="V6759" t="s">
        <v>80</v>
      </c>
      <c r="W6759" t="s">
        <v>81</v>
      </c>
      <c r="X6759" t="s">
        <v>58</v>
      </c>
      <c r="Y6759">
        <v>25</v>
      </c>
      <c r="Z6759" t="s">
        <v>59</v>
      </c>
      <c r="AA6759" t="s">
        <v>59</v>
      </c>
      <c r="AB6759" t="s">
        <v>59</v>
      </c>
      <c r="AC6759" t="s">
        <v>59</v>
      </c>
      <c r="AD6759" t="s">
        <v>59</v>
      </c>
      <c r="AF6759" s="1">
        <v>43348</v>
      </c>
      <c r="AG6759" t="s">
        <v>8651</v>
      </c>
      <c r="AH6759" t="s">
        <v>8652</v>
      </c>
      <c r="AI6759" t="str">
        <f>"9170574"</f>
        <v>9170574</v>
      </c>
      <c r="AJ6759" t="s">
        <v>10072</v>
      </c>
      <c r="AK6759">
        <v>2895051525</v>
      </c>
      <c r="AL6759" t="s">
        <v>10073</v>
      </c>
      <c r="AM6759" t="s">
        <v>78</v>
      </c>
      <c r="AN6759" t="s">
        <v>482</v>
      </c>
      <c r="AO6759" t="s">
        <v>482</v>
      </c>
      <c r="AP6759" t="s">
        <v>10074</v>
      </c>
      <c r="AQ6759">
        <v>14</v>
      </c>
      <c r="AR6759" t="s">
        <v>80</v>
      </c>
      <c r="AS6759" t="s">
        <v>81</v>
      </c>
      <c r="AT6759" t="s">
        <v>58</v>
      </c>
      <c r="AU6759" t="s">
        <v>8673</v>
      </c>
      <c r="AV6759" t="s">
        <v>132</v>
      </c>
      <c r="AW6759" s="1">
        <v>30454</v>
      </c>
      <c r="AX6759">
        <v>1</v>
      </c>
    </row>
    <row r="6760" spans="1:50">
      <c r="A6760">
        <v>612336</v>
      </c>
      <c r="B6760" t="str">
        <f>"059444791"</f>
        <v>059444791</v>
      </c>
      <c r="C6760" t="s">
        <v>105</v>
      </c>
      <c r="D6760" t="s">
        <v>11163</v>
      </c>
      <c r="E6760" t="s">
        <v>459</v>
      </c>
      <c r="F6760" t="s">
        <v>95</v>
      </c>
      <c r="G6760" t="s">
        <v>955</v>
      </c>
      <c r="H6760" t="str">
        <f>"ΠΕΤΡΑΚΟΓΙΩΡΓΗ 18 ΗΡΑΚΛΕΙΟ"</f>
        <v>ΠΕΤΡΑΚΟΓΙΩΡΓΗ 18 ΗΡΑΚΛΕΙΟ</v>
      </c>
      <c r="I6760">
        <v>71305</v>
      </c>
      <c r="J6760">
        <v>2552085455</v>
      </c>
      <c r="K6760">
        <v>6932750357</v>
      </c>
      <c r="N6760" t="s">
        <v>176</v>
      </c>
      <c r="O6760" t="s">
        <v>177</v>
      </c>
      <c r="R6760" t="s">
        <v>57</v>
      </c>
      <c r="S6760">
        <v>8</v>
      </c>
      <c r="T6760">
        <v>234</v>
      </c>
      <c r="U6760" s="1">
        <v>38960</v>
      </c>
      <c r="V6760" t="s">
        <v>80</v>
      </c>
      <c r="W6760" t="s">
        <v>81</v>
      </c>
      <c r="X6760" t="s">
        <v>58</v>
      </c>
      <c r="Y6760">
        <v>22</v>
      </c>
      <c r="Z6760" t="s">
        <v>59</v>
      </c>
      <c r="AA6760" t="s">
        <v>59</v>
      </c>
      <c r="AB6760" t="s">
        <v>59</v>
      </c>
      <c r="AC6760" t="s">
        <v>59</v>
      </c>
      <c r="AD6760" t="s">
        <v>59</v>
      </c>
      <c r="AF6760" s="1">
        <v>38961</v>
      </c>
      <c r="AG6760" t="s">
        <v>8645</v>
      </c>
      <c r="AH6760" t="s">
        <v>8646</v>
      </c>
      <c r="AI6760" t="str">
        <f>"9170114"</f>
        <v>9170114</v>
      </c>
      <c r="AJ6760" t="s">
        <v>9613</v>
      </c>
      <c r="AK6760">
        <v>2810241054</v>
      </c>
      <c r="AL6760" t="s">
        <v>9614</v>
      </c>
      <c r="AM6760" t="s">
        <v>78</v>
      </c>
      <c r="AN6760" t="s">
        <v>78</v>
      </c>
      <c r="AO6760" t="s">
        <v>78</v>
      </c>
      <c r="AP6760" t="s">
        <v>79</v>
      </c>
      <c r="AQ6760">
        <v>1</v>
      </c>
      <c r="AR6760" t="s">
        <v>80</v>
      </c>
      <c r="AS6760" t="s">
        <v>81</v>
      </c>
      <c r="AT6760" t="s">
        <v>58</v>
      </c>
      <c r="AU6760" t="s">
        <v>68</v>
      </c>
      <c r="AV6760" t="s">
        <v>69</v>
      </c>
      <c r="AW6760" s="1">
        <v>26296</v>
      </c>
      <c r="AX6760">
        <v>1</v>
      </c>
    </row>
    <row r="6761" spans="1:50">
      <c r="A6761">
        <v>576009</v>
      </c>
      <c r="B6761" t="str">
        <f>"047919066"</f>
        <v>047919066</v>
      </c>
      <c r="C6761" t="s">
        <v>50</v>
      </c>
      <c r="D6761" t="s">
        <v>3426</v>
      </c>
      <c r="E6761" t="s">
        <v>237</v>
      </c>
      <c r="F6761" t="s">
        <v>53</v>
      </c>
      <c r="G6761" t="s">
        <v>610</v>
      </c>
      <c r="H6761" t="str">
        <f>" "</f>
        <v xml:space="preserve"> </v>
      </c>
      <c r="N6761" t="s">
        <v>1525</v>
      </c>
      <c r="O6761" t="s">
        <v>1526</v>
      </c>
      <c r="R6761" t="s">
        <v>57</v>
      </c>
      <c r="S6761">
        <v>13</v>
      </c>
      <c r="T6761">
        <v>184</v>
      </c>
      <c r="U6761" s="1">
        <v>34941</v>
      </c>
      <c r="V6761" t="s">
        <v>80</v>
      </c>
      <c r="W6761" t="s">
        <v>81</v>
      </c>
      <c r="X6761" t="s">
        <v>58</v>
      </c>
      <c r="Y6761">
        <v>25</v>
      </c>
      <c r="Z6761" t="s">
        <v>59</v>
      </c>
      <c r="AA6761" t="s">
        <v>59</v>
      </c>
      <c r="AB6761" t="s">
        <v>59</v>
      </c>
      <c r="AC6761" t="s">
        <v>59</v>
      </c>
      <c r="AD6761" t="s">
        <v>59</v>
      </c>
      <c r="AF6761" s="1">
        <v>34943</v>
      </c>
      <c r="AG6761" t="s">
        <v>8651</v>
      </c>
      <c r="AH6761" t="s">
        <v>8652</v>
      </c>
      <c r="AI6761" t="str">
        <f>"9170604"</f>
        <v>9170604</v>
      </c>
      <c r="AJ6761" t="s">
        <v>11164</v>
      </c>
      <c r="AK6761">
        <v>2810323824</v>
      </c>
      <c r="AL6761" t="s">
        <v>11165</v>
      </c>
      <c r="AM6761" t="s">
        <v>78</v>
      </c>
      <c r="AN6761" t="s">
        <v>78</v>
      </c>
      <c r="AO6761" t="s">
        <v>78</v>
      </c>
      <c r="AP6761" t="s">
        <v>79</v>
      </c>
      <c r="AQ6761">
        <v>1</v>
      </c>
      <c r="AR6761" t="s">
        <v>80</v>
      </c>
      <c r="AS6761" t="s">
        <v>81</v>
      </c>
      <c r="AT6761" t="s">
        <v>58</v>
      </c>
      <c r="AU6761" t="s">
        <v>68</v>
      </c>
      <c r="AV6761" t="s">
        <v>69</v>
      </c>
      <c r="AW6761" s="1">
        <v>23091</v>
      </c>
      <c r="AX6761">
        <v>1</v>
      </c>
    </row>
    <row r="6762" spans="1:50">
      <c r="A6762">
        <v>595973</v>
      </c>
      <c r="B6762" t="str">
        <f>"064573663"</f>
        <v>064573663</v>
      </c>
      <c r="C6762" t="s">
        <v>50</v>
      </c>
      <c r="D6762" t="s">
        <v>11166</v>
      </c>
      <c r="E6762" t="s">
        <v>600</v>
      </c>
      <c r="F6762" t="s">
        <v>72</v>
      </c>
      <c r="G6762" t="s">
        <v>143</v>
      </c>
      <c r="H6762" t="str">
        <f>"Λ.ΚΑΤΣΩΝΗ 2 ΗΡΑΚΛΕΙΟ"</f>
        <v>Λ.ΚΑΤΣΩΝΗ 2 ΗΡΑΚΛΕΙΟ</v>
      </c>
      <c r="I6762">
        <v>71305</v>
      </c>
      <c r="J6762">
        <v>2814000793</v>
      </c>
      <c r="K6762">
        <v>6945052835</v>
      </c>
      <c r="N6762" t="s">
        <v>615</v>
      </c>
      <c r="O6762" t="s">
        <v>616</v>
      </c>
      <c r="R6762" t="s">
        <v>57</v>
      </c>
      <c r="S6762">
        <v>10</v>
      </c>
      <c r="T6762">
        <v>218</v>
      </c>
      <c r="U6762" s="1">
        <v>36767</v>
      </c>
      <c r="V6762" t="s">
        <v>80</v>
      </c>
      <c r="W6762" t="s">
        <v>81</v>
      </c>
      <c r="X6762" t="s">
        <v>58</v>
      </c>
      <c r="Y6762">
        <v>22</v>
      </c>
      <c r="Z6762" t="s">
        <v>59</v>
      </c>
      <c r="AA6762" t="s">
        <v>59</v>
      </c>
      <c r="AB6762" t="s">
        <v>59</v>
      </c>
      <c r="AC6762" t="s">
        <v>59</v>
      </c>
      <c r="AD6762" t="s">
        <v>59</v>
      </c>
      <c r="AF6762" s="1">
        <v>37141</v>
      </c>
      <c r="AG6762" t="s">
        <v>8645</v>
      </c>
      <c r="AH6762" t="s">
        <v>8646</v>
      </c>
      <c r="AI6762" t="str">
        <f>"9170017"</f>
        <v>9170017</v>
      </c>
      <c r="AJ6762" t="s">
        <v>9114</v>
      </c>
      <c r="AK6762">
        <v>2810250746</v>
      </c>
      <c r="AL6762" t="s">
        <v>9115</v>
      </c>
      <c r="AM6762" t="s">
        <v>78</v>
      </c>
      <c r="AN6762" t="s">
        <v>129</v>
      </c>
      <c r="AO6762" t="s">
        <v>130</v>
      </c>
      <c r="AP6762" t="s">
        <v>130</v>
      </c>
      <c r="AQ6762">
        <v>1</v>
      </c>
      <c r="AR6762" t="s">
        <v>80</v>
      </c>
      <c r="AS6762" t="s">
        <v>81</v>
      </c>
      <c r="AT6762" t="s">
        <v>58</v>
      </c>
      <c r="AU6762" t="s">
        <v>68</v>
      </c>
      <c r="AV6762" t="s">
        <v>69</v>
      </c>
      <c r="AW6762" s="1">
        <v>23866</v>
      </c>
      <c r="AX6762">
        <v>1</v>
      </c>
    </row>
    <row r="6763" spans="1:50">
      <c r="B6763" t="str">
        <f>"150425277"</f>
        <v>150425277</v>
      </c>
      <c r="C6763" t="s">
        <v>50</v>
      </c>
      <c r="D6763" t="s">
        <v>11167</v>
      </c>
      <c r="E6763" t="s">
        <v>620</v>
      </c>
      <c r="F6763" t="s">
        <v>311</v>
      </c>
      <c r="G6763" t="s">
        <v>52</v>
      </c>
      <c r="H6763" t="str">
        <f>" "</f>
        <v xml:space="preserve"> </v>
      </c>
      <c r="N6763" t="s">
        <v>8694</v>
      </c>
      <c r="O6763" t="s">
        <v>8695</v>
      </c>
      <c r="R6763" t="s">
        <v>159</v>
      </c>
      <c r="S6763">
        <v>1</v>
      </c>
      <c r="T6763" t="s">
        <v>8835</v>
      </c>
      <c r="U6763" s="1">
        <v>43348</v>
      </c>
      <c r="V6763" t="s">
        <v>80</v>
      </c>
      <c r="W6763" t="s">
        <v>81</v>
      </c>
      <c r="X6763" t="s">
        <v>58</v>
      </c>
      <c r="Y6763">
        <v>24</v>
      </c>
      <c r="Z6763" t="s">
        <v>59</v>
      </c>
      <c r="AA6763" t="s">
        <v>59</v>
      </c>
      <c r="AB6763" t="s">
        <v>59</v>
      </c>
      <c r="AD6763" t="s">
        <v>59</v>
      </c>
      <c r="AF6763" s="1">
        <v>43348</v>
      </c>
      <c r="AG6763" t="s">
        <v>8645</v>
      </c>
      <c r="AH6763" t="s">
        <v>8646</v>
      </c>
      <c r="AI6763" t="str">
        <f>"9170575"</f>
        <v>9170575</v>
      </c>
      <c r="AJ6763" t="s">
        <v>8748</v>
      </c>
      <c r="AK6763">
        <v>2810260772</v>
      </c>
      <c r="AL6763" t="s">
        <v>8749</v>
      </c>
      <c r="AM6763" t="s">
        <v>78</v>
      </c>
      <c r="AN6763" t="s">
        <v>78</v>
      </c>
      <c r="AO6763" t="s">
        <v>78</v>
      </c>
      <c r="AP6763" t="s">
        <v>141</v>
      </c>
      <c r="AQ6763">
        <v>1</v>
      </c>
      <c r="AR6763" t="s">
        <v>80</v>
      </c>
      <c r="AS6763" t="s">
        <v>81</v>
      </c>
      <c r="AT6763" t="s">
        <v>58</v>
      </c>
      <c r="AU6763" t="s">
        <v>131</v>
      </c>
      <c r="AV6763" t="s">
        <v>132</v>
      </c>
      <c r="AW6763" s="1">
        <v>34118</v>
      </c>
      <c r="AX6763">
        <v>1</v>
      </c>
    </row>
    <row r="6764" spans="1:50">
      <c r="A6764">
        <v>591092</v>
      </c>
      <c r="B6764" t="str">
        <f>"114586346"</f>
        <v>114586346</v>
      </c>
      <c r="C6764" t="s">
        <v>50</v>
      </c>
      <c r="D6764" t="s">
        <v>11168</v>
      </c>
      <c r="E6764" t="s">
        <v>191</v>
      </c>
      <c r="F6764" t="s">
        <v>1328</v>
      </c>
      <c r="G6764" t="s">
        <v>237</v>
      </c>
      <c r="H6764" t="str">
        <f>" "</f>
        <v xml:space="preserve"> </v>
      </c>
      <c r="N6764" t="s">
        <v>615</v>
      </c>
      <c r="O6764" t="s">
        <v>616</v>
      </c>
      <c r="R6764" t="s">
        <v>57</v>
      </c>
      <c r="S6764">
        <v>10</v>
      </c>
      <c r="T6764">
        <v>249</v>
      </c>
      <c r="U6764" s="1">
        <v>36769</v>
      </c>
      <c r="V6764" t="s">
        <v>80</v>
      </c>
      <c r="W6764" t="s">
        <v>81</v>
      </c>
      <c r="X6764" t="s">
        <v>58</v>
      </c>
      <c r="Y6764">
        <v>21</v>
      </c>
      <c r="Z6764" t="s">
        <v>59</v>
      </c>
      <c r="AA6764" t="s">
        <v>59</v>
      </c>
      <c r="AB6764" t="s">
        <v>59</v>
      </c>
      <c r="AC6764" t="s">
        <v>59</v>
      </c>
      <c r="AD6764" t="s">
        <v>59</v>
      </c>
      <c r="AF6764" s="1">
        <v>36770</v>
      </c>
      <c r="AG6764" t="s">
        <v>8645</v>
      </c>
      <c r="AH6764" t="s">
        <v>8646</v>
      </c>
      <c r="AI6764" t="str">
        <f>"9170535"</f>
        <v>9170535</v>
      </c>
      <c r="AJ6764" t="s">
        <v>9330</v>
      </c>
      <c r="AK6764">
        <v>2810222629</v>
      </c>
      <c r="AL6764" t="s">
        <v>9331</v>
      </c>
      <c r="AM6764" t="s">
        <v>78</v>
      </c>
      <c r="AN6764" t="s">
        <v>78</v>
      </c>
      <c r="AO6764" t="s">
        <v>78</v>
      </c>
      <c r="AP6764" t="s">
        <v>213</v>
      </c>
      <c r="AQ6764">
        <v>1</v>
      </c>
      <c r="AR6764" t="s">
        <v>80</v>
      </c>
      <c r="AS6764" t="s">
        <v>81</v>
      </c>
      <c r="AT6764" t="s">
        <v>58</v>
      </c>
      <c r="AU6764" t="s">
        <v>68</v>
      </c>
      <c r="AV6764" t="s">
        <v>69</v>
      </c>
      <c r="AW6764" s="1">
        <v>23704</v>
      </c>
      <c r="AX6764">
        <v>1</v>
      </c>
    </row>
    <row r="6765" spans="1:50">
      <c r="A6765">
        <v>612674</v>
      </c>
      <c r="B6765" t="str">
        <f>"079157166"</f>
        <v>079157166</v>
      </c>
      <c r="C6765" t="s">
        <v>105</v>
      </c>
      <c r="D6765" t="s">
        <v>11169</v>
      </c>
      <c r="E6765" t="s">
        <v>99</v>
      </c>
      <c r="F6765" t="s">
        <v>106</v>
      </c>
      <c r="G6765" t="s">
        <v>755</v>
      </c>
      <c r="H6765" t="str">
        <f>"ΕΠΙΣΚΟΠΗ ΠΕΔΙΑΔΟΣ"</f>
        <v>ΕΠΙΣΚΟΠΗ ΠΕΔΙΑΔΟΣ</v>
      </c>
      <c r="I6765">
        <v>70006</v>
      </c>
      <c r="J6765">
        <v>2810772120</v>
      </c>
      <c r="K6765">
        <v>6944109949</v>
      </c>
      <c r="N6765" t="s">
        <v>176</v>
      </c>
      <c r="O6765" t="s">
        <v>177</v>
      </c>
      <c r="R6765" t="s">
        <v>57</v>
      </c>
      <c r="S6765">
        <v>8</v>
      </c>
      <c r="T6765">
        <v>234</v>
      </c>
      <c r="U6765" s="1">
        <v>38960</v>
      </c>
      <c r="V6765" t="s">
        <v>80</v>
      </c>
      <c r="W6765" t="s">
        <v>81</v>
      </c>
      <c r="X6765" t="s">
        <v>58</v>
      </c>
      <c r="Y6765">
        <v>22</v>
      </c>
      <c r="Z6765" t="s">
        <v>59</v>
      </c>
      <c r="AA6765" t="s">
        <v>59</v>
      </c>
      <c r="AB6765" t="s">
        <v>59</v>
      </c>
      <c r="AC6765" t="s">
        <v>59</v>
      </c>
      <c r="AD6765" t="s">
        <v>59</v>
      </c>
      <c r="AF6765" s="1">
        <v>38961</v>
      </c>
      <c r="AG6765" t="s">
        <v>8645</v>
      </c>
      <c r="AH6765" t="s">
        <v>8646</v>
      </c>
      <c r="AI6765" t="str">
        <f>"9170235"</f>
        <v>9170235</v>
      </c>
      <c r="AJ6765" t="s">
        <v>8806</v>
      </c>
      <c r="AK6765">
        <v>2891031258</v>
      </c>
      <c r="AL6765" t="s">
        <v>8807</v>
      </c>
      <c r="AM6765" t="s">
        <v>78</v>
      </c>
      <c r="AN6765" t="s">
        <v>276</v>
      </c>
      <c r="AO6765" t="s">
        <v>277</v>
      </c>
      <c r="AP6765" t="s">
        <v>277</v>
      </c>
      <c r="AQ6765">
        <v>13</v>
      </c>
      <c r="AR6765" t="s">
        <v>80</v>
      </c>
      <c r="AS6765" t="s">
        <v>81</v>
      </c>
      <c r="AT6765" t="s">
        <v>58</v>
      </c>
      <c r="AU6765" t="s">
        <v>68</v>
      </c>
      <c r="AV6765" t="s">
        <v>69</v>
      </c>
      <c r="AW6765" s="1">
        <v>25333</v>
      </c>
      <c r="AX6765">
        <v>1</v>
      </c>
    </row>
    <row r="6766" spans="1:50">
      <c r="A6766">
        <v>450999</v>
      </c>
      <c r="B6766" t="str">
        <f>"063794401"</f>
        <v>063794401</v>
      </c>
      <c r="C6766" t="s">
        <v>105</v>
      </c>
      <c r="D6766" t="s">
        <v>11170</v>
      </c>
      <c r="E6766" t="s">
        <v>72</v>
      </c>
      <c r="F6766" t="s">
        <v>95</v>
      </c>
      <c r="G6766" t="s">
        <v>181</v>
      </c>
      <c r="H6766" t="str">
        <f>"ΜΙΧΑΗΛ ΨΕΛΛΟΥ 12 ΗΡΑΚΛΕΙΟ"</f>
        <v>ΜΙΧΑΗΛ ΨΕΛΛΟΥ 12 ΗΡΑΚΛΕΙΟ</v>
      </c>
      <c r="I6766">
        <v>71307</v>
      </c>
      <c r="J6766">
        <v>2810322907</v>
      </c>
      <c r="K6766">
        <v>6937232771</v>
      </c>
      <c r="M6766" t="s">
        <v>11171</v>
      </c>
      <c r="N6766" t="s">
        <v>176</v>
      </c>
      <c r="O6766" t="s">
        <v>177</v>
      </c>
      <c r="R6766" t="s">
        <v>57</v>
      </c>
      <c r="S6766">
        <v>8</v>
      </c>
      <c r="T6766" t="s">
        <v>11172</v>
      </c>
      <c r="U6766" s="1">
        <v>39265</v>
      </c>
      <c r="V6766" t="s">
        <v>80</v>
      </c>
      <c r="W6766" t="s">
        <v>81</v>
      </c>
      <c r="X6766" t="s">
        <v>58</v>
      </c>
      <c r="Y6766">
        <v>22</v>
      </c>
      <c r="Z6766" t="s">
        <v>59</v>
      </c>
      <c r="AA6766" t="s">
        <v>59</v>
      </c>
      <c r="AB6766" t="s">
        <v>59</v>
      </c>
      <c r="AC6766" t="s">
        <v>59</v>
      </c>
      <c r="AD6766" t="s">
        <v>59</v>
      </c>
      <c r="AF6766" s="1">
        <v>39630</v>
      </c>
      <c r="AG6766" t="s">
        <v>8645</v>
      </c>
      <c r="AH6766" t="s">
        <v>8646</v>
      </c>
      <c r="AI6766" t="str">
        <f>"9170519"</f>
        <v>9170519</v>
      </c>
      <c r="AJ6766" t="s">
        <v>8647</v>
      </c>
      <c r="AK6766">
        <v>2810244075</v>
      </c>
      <c r="AL6766" t="s">
        <v>8648</v>
      </c>
      <c r="AM6766" t="s">
        <v>78</v>
      </c>
      <c r="AN6766" t="s">
        <v>78</v>
      </c>
      <c r="AO6766" t="s">
        <v>78</v>
      </c>
      <c r="AP6766" t="s">
        <v>213</v>
      </c>
      <c r="AQ6766">
        <v>1</v>
      </c>
      <c r="AR6766" t="s">
        <v>80</v>
      </c>
      <c r="AS6766" t="s">
        <v>81</v>
      </c>
      <c r="AT6766" t="s">
        <v>58</v>
      </c>
      <c r="AU6766" t="s">
        <v>68</v>
      </c>
      <c r="AV6766" t="s">
        <v>69</v>
      </c>
      <c r="AW6766" s="1">
        <v>27119</v>
      </c>
      <c r="AX6766">
        <v>1</v>
      </c>
    </row>
    <row r="6767" spans="1:50">
      <c r="B6767" t="str">
        <f>"147324990"</f>
        <v>147324990</v>
      </c>
      <c r="C6767" t="s">
        <v>50</v>
      </c>
      <c r="D6767" t="s">
        <v>11173</v>
      </c>
      <c r="E6767" t="s">
        <v>10487</v>
      </c>
      <c r="F6767" t="s">
        <v>53</v>
      </c>
      <c r="G6767" t="s">
        <v>237</v>
      </c>
      <c r="H6767" t="str">
        <f>" "</f>
        <v xml:space="preserve"> </v>
      </c>
      <c r="N6767" t="s">
        <v>615</v>
      </c>
      <c r="O6767" t="s">
        <v>616</v>
      </c>
      <c r="R6767" t="s">
        <v>121</v>
      </c>
      <c r="S6767">
        <v>3</v>
      </c>
      <c r="T6767" t="s">
        <v>8675</v>
      </c>
      <c r="U6767" s="1">
        <v>43348</v>
      </c>
      <c r="V6767" t="s">
        <v>80</v>
      </c>
      <c r="W6767" t="s">
        <v>81</v>
      </c>
      <c r="X6767" t="s">
        <v>58</v>
      </c>
      <c r="Y6767">
        <v>24</v>
      </c>
      <c r="Z6767" t="s">
        <v>59</v>
      </c>
      <c r="AA6767" t="s">
        <v>59</v>
      </c>
      <c r="AB6767" t="s">
        <v>59</v>
      </c>
      <c r="AD6767" t="s">
        <v>59</v>
      </c>
      <c r="AF6767" s="1">
        <v>43348</v>
      </c>
      <c r="AG6767" t="s">
        <v>8645</v>
      </c>
      <c r="AH6767" t="s">
        <v>8646</v>
      </c>
      <c r="AI6767" t="str">
        <f>"9170536"</f>
        <v>9170536</v>
      </c>
      <c r="AJ6767" t="s">
        <v>8740</v>
      </c>
      <c r="AK6767">
        <v>2892051187</v>
      </c>
      <c r="AL6767" t="s">
        <v>8741</v>
      </c>
      <c r="AM6767" t="s">
        <v>78</v>
      </c>
      <c r="AN6767" t="s">
        <v>242</v>
      </c>
      <c r="AO6767" t="s">
        <v>349</v>
      </c>
      <c r="AP6767" t="s">
        <v>349</v>
      </c>
      <c r="AQ6767">
        <v>19</v>
      </c>
      <c r="AR6767" t="s">
        <v>80</v>
      </c>
      <c r="AS6767" t="s">
        <v>81</v>
      </c>
      <c r="AT6767" t="s">
        <v>58</v>
      </c>
      <c r="AU6767" t="s">
        <v>8673</v>
      </c>
      <c r="AV6767" t="s">
        <v>132</v>
      </c>
      <c r="AW6767" s="1">
        <v>32658</v>
      </c>
      <c r="AX6767">
        <v>1</v>
      </c>
    </row>
    <row r="6768" spans="1:50">
      <c r="A6768">
        <v>617564</v>
      </c>
      <c r="B6768" t="str">
        <f>"135089945"</f>
        <v>135089945</v>
      </c>
      <c r="C6768" t="s">
        <v>50</v>
      </c>
      <c r="D6768" t="s">
        <v>11174</v>
      </c>
      <c r="E6768" t="s">
        <v>181</v>
      </c>
      <c r="F6768" t="s">
        <v>95</v>
      </c>
      <c r="G6768" t="s">
        <v>83</v>
      </c>
      <c r="H6768" t="str">
        <f>"ΛΙΣΣΟΥ 26 ΗΡΑΚΛΕΙΟ"</f>
        <v>ΛΙΣΣΟΥ 26 ΗΡΑΚΛΕΙΟ</v>
      </c>
      <c r="I6768">
        <v>71304</v>
      </c>
      <c r="J6768">
        <v>2815009681</v>
      </c>
      <c r="K6768">
        <v>6972879965</v>
      </c>
      <c r="N6768" t="s">
        <v>615</v>
      </c>
      <c r="O6768" t="s">
        <v>616</v>
      </c>
      <c r="R6768" t="s">
        <v>57</v>
      </c>
      <c r="S6768">
        <v>5</v>
      </c>
      <c r="T6768">
        <v>774</v>
      </c>
      <c r="U6768" s="1">
        <v>39680</v>
      </c>
      <c r="V6768" t="s">
        <v>80</v>
      </c>
      <c r="W6768" t="s">
        <v>81</v>
      </c>
      <c r="X6768" t="s">
        <v>58</v>
      </c>
      <c r="Y6768">
        <v>23</v>
      </c>
      <c r="Z6768" t="s">
        <v>59</v>
      </c>
      <c r="AA6768" t="s">
        <v>59</v>
      </c>
      <c r="AB6768" t="s">
        <v>59</v>
      </c>
      <c r="AC6768" t="s">
        <v>59</v>
      </c>
      <c r="AD6768" t="s">
        <v>59</v>
      </c>
      <c r="AF6768" s="1">
        <v>39681</v>
      </c>
      <c r="AG6768" t="s">
        <v>8645</v>
      </c>
      <c r="AH6768" t="s">
        <v>8646</v>
      </c>
      <c r="AI6768" t="str">
        <f>"9170054"</f>
        <v>9170054</v>
      </c>
      <c r="AJ6768" t="s">
        <v>9106</v>
      </c>
      <c r="AK6768">
        <v>2810254527</v>
      </c>
      <c r="AL6768" t="s">
        <v>9107</v>
      </c>
      <c r="AM6768" t="s">
        <v>78</v>
      </c>
      <c r="AN6768" t="s">
        <v>78</v>
      </c>
      <c r="AO6768" t="s">
        <v>78</v>
      </c>
      <c r="AP6768" t="s">
        <v>163</v>
      </c>
      <c r="AQ6768">
        <v>1</v>
      </c>
      <c r="AR6768" t="s">
        <v>80</v>
      </c>
      <c r="AS6768" t="s">
        <v>81</v>
      </c>
      <c r="AT6768" t="s">
        <v>58</v>
      </c>
      <c r="AU6768" t="s">
        <v>68</v>
      </c>
      <c r="AV6768" t="s">
        <v>69</v>
      </c>
      <c r="AW6768" s="1">
        <v>30524</v>
      </c>
      <c r="AX6768">
        <v>1</v>
      </c>
    </row>
    <row r="6769" spans="1:50">
      <c r="B6769" t="str">
        <f>"128327925"</f>
        <v>128327925</v>
      </c>
      <c r="C6769" t="s">
        <v>50</v>
      </c>
      <c r="D6769" t="s">
        <v>11175</v>
      </c>
      <c r="E6769" t="s">
        <v>83</v>
      </c>
      <c r="F6769" t="s">
        <v>95</v>
      </c>
      <c r="G6769" t="s">
        <v>143</v>
      </c>
      <c r="H6769" t="str">
        <f>"ΛΥΣΙΣΤΡΑΤΗΣ 33 ΗΡΑΚΛΕΙΟ"</f>
        <v>ΛΥΣΙΣΤΡΑΤΗΣ 33 ΗΡΑΚΛΕΙΟ</v>
      </c>
      <c r="I6769">
        <v>71304</v>
      </c>
      <c r="K6769">
        <v>6972898549</v>
      </c>
      <c r="M6769" t="s">
        <v>11176</v>
      </c>
      <c r="N6769" t="s">
        <v>5128</v>
      </c>
      <c r="O6769" t="s">
        <v>5129</v>
      </c>
      <c r="R6769" t="s">
        <v>57</v>
      </c>
      <c r="S6769">
        <v>4</v>
      </c>
      <c r="T6769" t="s">
        <v>8696</v>
      </c>
      <c r="U6769" s="1">
        <v>43348</v>
      </c>
      <c r="V6769" t="s">
        <v>80</v>
      </c>
      <c r="W6769" t="s">
        <v>81</v>
      </c>
      <c r="X6769" t="s">
        <v>58</v>
      </c>
      <c r="Y6769">
        <v>24</v>
      </c>
      <c r="Z6769" t="s">
        <v>59</v>
      </c>
      <c r="AA6769" t="s">
        <v>59</v>
      </c>
      <c r="AB6769" t="s">
        <v>59</v>
      </c>
      <c r="AC6769" t="s">
        <v>59</v>
      </c>
      <c r="AD6769" t="s">
        <v>59</v>
      </c>
      <c r="AF6769" s="1">
        <v>43348</v>
      </c>
      <c r="AG6769" t="s">
        <v>8645</v>
      </c>
      <c r="AH6769" t="s">
        <v>8697</v>
      </c>
      <c r="AI6769" t="str">
        <f>"9170358"</f>
        <v>9170358</v>
      </c>
      <c r="AJ6769" t="s">
        <v>9378</v>
      </c>
      <c r="AK6769">
        <v>2810282028</v>
      </c>
      <c r="AL6769" t="s">
        <v>9379</v>
      </c>
      <c r="AM6769" t="s">
        <v>78</v>
      </c>
      <c r="AN6769" t="s">
        <v>78</v>
      </c>
      <c r="AO6769" t="s">
        <v>78</v>
      </c>
      <c r="AP6769" t="s">
        <v>141</v>
      </c>
      <c r="AQ6769">
        <v>1</v>
      </c>
      <c r="AR6769" t="s">
        <v>80</v>
      </c>
      <c r="AS6769" t="s">
        <v>81</v>
      </c>
      <c r="AT6769" t="s">
        <v>58</v>
      </c>
      <c r="AU6769" t="s">
        <v>350</v>
      </c>
      <c r="AV6769" t="s">
        <v>132</v>
      </c>
      <c r="AW6769" s="1">
        <v>29031</v>
      </c>
      <c r="AX6769">
        <v>1</v>
      </c>
    </row>
    <row r="6770" spans="1:50">
      <c r="A6770">
        <v>608630</v>
      </c>
      <c r="B6770" t="str">
        <f>"110134098"</f>
        <v>110134098</v>
      </c>
      <c r="C6770" t="s">
        <v>50</v>
      </c>
      <c r="D6770" t="s">
        <v>11177</v>
      </c>
      <c r="E6770" t="s">
        <v>1588</v>
      </c>
      <c r="F6770" t="s">
        <v>95</v>
      </c>
      <c r="G6770" t="s">
        <v>610</v>
      </c>
      <c r="H6770" t="str">
        <f>"ΕΛ. ΚΟΤΖΑ 2 ΝΕΑ ΑΛΛΙΚΑΡΝΑΣΟΣ"</f>
        <v>ΕΛ. ΚΟΤΖΑ 2 ΝΕΑ ΑΛΛΙΚΑΡΝΑΣΟΣ</v>
      </c>
      <c r="I6770">
        <v>71601</v>
      </c>
      <c r="J6770">
        <v>2810226917</v>
      </c>
      <c r="K6770">
        <v>6944861211</v>
      </c>
      <c r="M6770" t="s">
        <v>11178</v>
      </c>
      <c r="N6770" t="s">
        <v>1525</v>
      </c>
      <c r="O6770" t="s">
        <v>1526</v>
      </c>
      <c r="R6770" t="s">
        <v>57</v>
      </c>
      <c r="S6770">
        <v>10</v>
      </c>
      <c r="T6770">
        <v>217</v>
      </c>
      <c r="U6770" s="1">
        <v>38596</v>
      </c>
      <c r="V6770" t="s">
        <v>80</v>
      </c>
      <c r="W6770" t="s">
        <v>81</v>
      </c>
      <c r="X6770" t="s">
        <v>58</v>
      </c>
      <c r="Y6770">
        <v>25</v>
      </c>
      <c r="Z6770" t="s">
        <v>59</v>
      </c>
      <c r="AA6770" t="s">
        <v>59</v>
      </c>
      <c r="AB6770" t="s">
        <v>59</v>
      </c>
      <c r="AC6770" t="s">
        <v>59</v>
      </c>
      <c r="AD6770" t="s">
        <v>59</v>
      </c>
      <c r="AF6770" s="1">
        <v>38600</v>
      </c>
      <c r="AG6770" t="s">
        <v>8651</v>
      </c>
      <c r="AH6770" t="s">
        <v>8652</v>
      </c>
      <c r="AI6770" t="str">
        <f>"9170596"</f>
        <v>9170596</v>
      </c>
      <c r="AJ6770" t="s">
        <v>10422</v>
      </c>
      <c r="AK6770">
        <v>2810341285</v>
      </c>
      <c r="AL6770" t="s">
        <v>10423</v>
      </c>
      <c r="AM6770" t="s">
        <v>78</v>
      </c>
      <c r="AN6770" t="s">
        <v>78</v>
      </c>
      <c r="AO6770" t="s">
        <v>286</v>
      </c>
      <c r="AP6770" t="s">
        <v>286</v>
      </c>
      <c r="AQ6770">
        <v>1</v>
      </c>
      <c r="AR6770" t="s">
        <v>80</v>
      </c>
      <c r="AS6770" t="s">
        <v>81</v>
      </c>
      <c r="AT6770" t="s">
        <v>58</v>
      </c>
      <c r="AU6770" t="s">
        <v>68</v>
      </c>
      <c r="AV6770" t="s">
        <v>69</v>
      </c>
      <c r="AW6770" s="1">
        <v>26413</v>
      </c>
      <c r="AX6770">
        <v>1</v>
      </c>
    </row>
    <row r="6771" spans="1:50">
      <c r="A6771">
        <v>607347</v>
      </c>
      <c r="B6771" t="str">
        <f>"070991251"</f>
        <v>070991251</v>
      </c>
      <c r="C6771" t="s">
        <v>50</v>
      </c>
      <c r="D6771" t="s">
        <v>11177</v>
      </c>
      <c r="E6771" t="s">
        <v>54</v>
      </c>
      <c r="F6771" t="s">
        <v>106</v>
      </c>
      <c r="G6771" t="s">
        <v>507</v>
      </c>
      <c r="H6771" t="str">
        <f>"ΙΣΜΗΝΗΣ 3-5 ΘΕΡΙΣΣΟΣ"</f>
        <v>ΙΣΜΗΝΗΣ 3-5 ΘΕΡΙΣΣΟΣ</v>
      </c>
      <c r="I6771">
        <v>71305</v>
      </c>
      <c r="J6771">
        <v>2810528385</v>
      </c>
      <c r="K6771">
        <v>6977065806</v>
      </c>
      <c r="N6771" t="s">
        <v>615</v>
      </c>
      <c r="O6771" t="s">
        <v>616</v>
      </c>
      <c r="R6771" t="s">
        <v>57</v>
      </c>
      <c r="S6771">
        <v>9</v>
      </c>
      <c r="T6771">
        <v>217</v>
      </c>
      <c r="U6771" s="1">
        <v>38596</v>
      </c>
      <c r="V6771" t="s">
        <v>80</v>
      </c>
      <c r="W6771" t="s">
        <v>81</v>
      </c>
      <c r="X6771" t="s">
        <v>58</v>
      </c>
      <c r="Y6771">
        <v>23</v>
      </c>
      <c r="Z6771" t="s">
        <v>59</v>
      </c>
      <c r="AA6771" t="s">
        <v>59</v>
      </c>
      <c r="AB6771" t="s">
        <v>59</v>
      </c>
      <c r="AC6771" t="s">
        <v>59</v>
      </c>
      <c r="AD6771" t="s">
        <v>59</v>
      </c>
      <c r="AF6771" s="1">
        <v>38600</v>
      </c>
      <c r="AG6771" t="s">
        <v>8645</v>
      </c>
      <c r="AH6771" t="s">
        <v>8646</v>
      </c>
      <c r="AI6771" t="str">
        <f>"9170425"</f>
        <v>9170425</v>
      </c>
      <c r="AJ6771" t="s">
        <v>9350</v>
      </c>
      <c r="AK6771">
        <v>2810250261</v>
      </c>
      <c r="AL6771" t="s">
        <v>9351</v>
      </c>
      <c r="AM6771" t="s">
        <v>78</v>
      </c>
      <c r="AN6771" t="s">
        <v>78</v>
      </c>
      <c r="AO6771" t="s">
        <v>78</v>
      </c>
      <c r="AP6771" t="s">
        <v>141</v>
      </c>
      <c r="AQ6771">
        <v>1</v>
      </c>
      <c r="AR6771" t="s">
        <v>80</v>
      </c>
      <c r="AS6771" t="s">
        <v>81</v>
      </c>
      <c r="AT6771" t="s">
        <v>58</v>
      </c>
      <c r="AU6771" t="s">
        <v>68</v>
      </c>
      <c r="AV6771" t="s">
        <v>69</v>
      </c>
      <c r="AW6771" s="1">
        <v>29309</v>
      </c>
      <c r="AX6771">
        <v>1</v>
      </c>
    </row>
    <row r="6772" spans="1:50">
      <c r="A6772">
        <v>622979</v>
      </c>
      <c r="B6772" t="str">
        <f>"055896362"</f>
        <v>055896362</v>
      </c>
      <c r="C6772" t="s">
        <v>50</v>
      </c>
      <c r="D6772" t="s">
        <v>3447</v>
      </c>
      <c r="E6772" t="s">
        <v>83</v>
      </c>
      <c r="F6772" t="s">
        <v>95</v>
      </c>
      <c r="G6772" t="s">
        <v>188</v>
      </c>
      <c r="H6772" t="str">
        <f>"ΔΟΞΑΤΟΥ 7 ΗΡΑΚΛΕΙΟ"</f>
        <v>ΔΟΞΑΤΟΥ 7 ΗΡΑΚΛΕΙΟ</v>
      </c>
      <c r="I6772">
        <v>71201</v>
      </c>
      <c r="J6772">
        <v>2810328035</v>
      </c>
      <c r="K6772">
        <v>6944274050</v>
      </c>
      <c r="M6772" t="s">
        <v>11179</v>
      </c>
      <c r="N6772" t="s">
        <v>306</v>
      </c>
      <c r="O6772" t="s">
        <v>307</v>
      </c>
      <c r="R6772" t="s">
        <v>57</v>
      </c>
      <c r="S6772">
        <v>5</v>
      </c>
      <c r="T6772">
        <v>720</v>
      </c>
      <c r="U6772" s="1">
        <v>40059</v>
      </c>
      <c r="V6772" t="s">
        <v>80</v>
      </c>
      <c r="W6772" t="s">
        <v>81</v>
      </c>
      <c r="X6772" t="s">
        <v>58</v>
      </c>
      <c r="Y6772">
        <v>23</v>
      </c>
      <c r="Z6772" t="s">
        <v>59</v>
      </c>
      <c r="AA6772" t="s">
        <v>59</v>
      </c>
      <c r="AB6772" t="s">
        <v>59</v>
      </c>
      <c r="AC6772" t="s">
        <v>59</v>
      </c>
      <c r="AD6772" t="s">
        <v>59</v>
      </c>
      <c r="AF6772" s="1">
        <v>40063</v>
      </c>
      <c r="AG6772" t="s">
        <v>8645</v>
      </c>
      <c r="AH6772" t="s">
        <v>8646</v>
      </c>
      <c r="AI6772" t="str">
        <f>"9170517"</f>
        <v>9170517</v>
      </c>
      <c r="AJ6772" t="s">
        <v>9248</v>
      </c>
      <c r="AK6772">
        <v>2810238757</v>
      </c>
      <c r="AL6772" t="s">
        <v>9249</v>
      </c>
      <c r="AM6772" t="s">
        <v>78</v>
      </c>
      <c r="AN6772" t="s">
        <v>78</v>
      </c>
      <c r="AO6772" t="s">
        <v>78</v>
      </c>
      <c r="AP6772" t="s">
        <v>163</v>
      </c>
      <c r="AQ6772">
        <v>1</v>
      </c>
      <c r="AR6772" t="s">
        <v>80</v>
      </c>
      <c r="AS6772" t="s">
        <v>81</v>
      </c>
      <c r="AT6772" t="s">
        <v>58</v>
      </c>
      <c r="AU6772" t="s">
        <v>68</v>
      </c>
      <c r="AV6772" t="s">
        <v>69</v>
      </c>
      <c r="AW6772" s="1">
        <v>29555</v>
      </c>
      <c r="AX6772">
        <v>1</v>
      </c>
    </row>
    <row r="6773" spans="1:50">
      <c r="A6773">
        <v>701973</v>
      </c>
      <c r="B6773" t="str">
        <f>"128306942"</f>
        <v>128306942</v>
      </c>
      <c r="C6773" t="s">
        <v>50</v>
      </c>
      <c r="D6773" t="s">
        <v>11180</v>
      </c>
      <c r="E6773" t="s">
        <v>707</v>
      </c>
      <c r="F6773" t="s">
        <v>92</v>
      </c>
      <c r="G6773" t="s">
        <v>11181</v>
      </c>
      <c r="H6773" t="str">
        <f>"ΤΗΛΕΜΑΧΟΥ 10 ΓΑΖΙ "</f>
        <v xml:space="preserve">ΤΗΛΕΜΑΧΟΥ 10 ΓΑΖΙ </v>
      </c>
      <c r="I6773">
        <v>71414</v>
      </c>
      <c r="J6773">
        <v>2810821291</v>
      </c>
      <c r="K6773">
        <v>6973725335</v>
      </c>
      <c r="N6773" t="s">
        <v>1525</v>
      </c>
      <c r="O6773" t="s">
        <v>1526</v>
      </c>
      <c r="R6773" t="s">
        <v>57</v>
      </c>
      <c r="S6773">
        <v>5</v>
      </c>
      <c r="T6773">
        <v>772</v>
      </c>
      <c r="U6773" s="1">
        <v>40413</v>
      </c>
      <c r="V6773" t="s">
        <v>80</v>
      </c>
      <c r="W6773" t="s">
        <v>81</v>
      </c>
      <c r="X6773" t="s">
        <v>58</v>
      </c>
      <c r="Y6773">
        <v>25</v>
      </c>
      <c r="Z6773" t="s">
        <v>59</v>
      </c>
      <c r="AA6773" t="s">
        <v>59</v>
      </c>
      <c r="AB6773" t="s">
        <v>59</v>
      </c>
      <c r="AC6773" t="s">
        <v>59</v>
      </c>
      <c r="AD6773" t="s">
        <v>59</v>
      </c>
      <c r="AF6773" s="1">
        <v>40413</v>
      </c>
      <c r="AG6773" t="s">
        <v>8651</v>
      </c>
      <c r="AH6773" t="s">
        <v>8652</v>
      </c>
      <c r="AI6773" t="str">
        <f>"9170586"</f>
        <v>9170586</v>
      </c>
      <c r="AJ6773" t="s">
        <v>10130</v>
      </c>
      <c r="AK6773">
        <v>2810823321</v>
      </c>
      <c r="AL6773" t="s">
        <v>10131</v>
      </c>
      <c r="AM6773" t="s">
        <v>78</v>
      </c>
      <c r="AN6773" t="s">
        <v>129</v>
      </c>
      <c r="AO6773" t="s">
        <v>130</v>
      </c>
      <c r="AP6773" t="s">
        <v>130</v>
      </c>
      <c r="AQ6773">
        <v>1</v>
      </c>
      <c r="AR6773" t="s">
        <v>80</v>
      </c>
      <c r="AS6773" t="s">
        <v>81</v>
      </c>
      <c r="AT6773" t="s">
        <v>58</v>
      </c>
      <c r="AU6773" t="s">
        <v>68</v>
      </c>
      <c r="AV6773" t="s">
        <v>69</v>
      </c>
      <c r="AW6773" s="1">
        <v>30547</v>
      </c>
      <c r="AX6773">
        <v>1</v>
      </c>
    </row>
    <row r="6774" spans="1:50">
      <c r="A6774">
        <v>622437</v>
      </c>
      <c r="B6774" t="str">
        <f>"114579816"</f>
        <v>114579816</v>
      </c>
      <c r="C6774" t="s">
        <v>50</v>
      </c>
      <c r="D6774" t="s">
        <v>3455</v>
      </c>
      <c r="E6774" t="s">
        <v>755</v>
      </c>
      <c r="F6774" t="s">
        <v>99</v>
      </c>
      <c r="G6774" t="s">
        <v>181</v>
      </c>
      <c r="H6774" t="str">
        <f>"ΟΡΦΕΩΣ 14 ΗΡΑΚΛΕΙΟ"</f>
        <v>ΟΡΦΕΩΣ 14 ΗΡΑΚΛΕΙΟ</v>
      </c>
      <c r="I6774">
        <v>71409</v>
      </c>
      <c r="J6774">
        <v>2810214294</v>
      </c>
      <c r="K6774">
        <v>6946217692</v>
      </c>
      <c r="N6774" t="s">
        <v>1525</v>
      </c>
      <c r="O6774" t="s">
        <v>1526</v>
      </c>
      <c r="R6774" t="s">
        <v>57</v>
      </c>
      <c r="S6774">
        <v>5</v>
      </c>
      <c r="T6774">
        <v>653</v>
      </c>
      <c r="U6774" s="1">
        <v>40043</v>
      </c>
      <c r="V6774" t="s">
        <v>80</v>
      </c>
      <c r="W6774" t="s">
        <v>81</v>
      </c>
      <c r="X6774" t="s">
        <v>58</v>
      </c>
      <c r="Y6774">
        <v>25</v>
      </c>
      <c r="Z6774" t="s">
        <v>59</v>
      </c>
      <c r="AA6774" t="s">
        <v>59</v>
      </c>
      <c r="AB6774" t="s">
        <v>59</v>
      </c>
      <c r="AC6774" t="s">
        <v>59</v>
      </c>
      <c r="AD6774" t="s">
        <v>59</v>
      </c>
      <c r="AF6774" s="1">
        <v>40043</v>
      </c>
      <c r="AG6774" t="s">
        <v>8651</v>
      </c>
      <c r="AH6774" t="s">
        <v>8652</v>
      </c>
      <c r="AI6774" t="str">
        <f>"9170187"</f>
        <v>9170187</v>
      </c>
      <c r="AJ6774" t="s">
        <v>9306</v>
      </c>
      <c r="AK6774">
        <v>2810211623</v>
      </c>
      <c r="AL6774" t="s">
        <v>9307</v>
      </c>
      <c r="AM6774" t="s">
        <v>78</v>
      </c>
      <c r="AN6774" t="s">
        <v>78</v>
      </c>
      <c r="AO6774" t="s">
        <v>78</v>
      </c>
      <c r="AP6774" t="s">
        <v>163</v>
      </c>
      <c r="AQ6774">
        <v>1</v>
      </c>
      <c r="AR6774" t="s">
        <v>80</v>
      </c>
      <c r="AS6774" t="s">
        <v>81</v>
      </c>
      <c r="AT6774" t="s">
        <v>58</v>
      </c>
      <c r="AU6774" t="s">
        <v>68</v>
      </c>
      <c r="AV6774" t="s">
        <v>69</v>
      </c>
      <c r="AW6774" s="1">
        <v>26445</v>
      </c>
      <c r="AX6774">
        <v>1</v>
      </c>
    </row>
    <row r="6775" spans="1:50">
      <c r="A6775">
        <v>621337</v>
      </c>
      <c r="B6775" t="str">
        <f>"149802582"</f>
        <v>149802582</v>
      </c>
      <c r="C6775" t="s">
        <v>50</v>
      </c>
      <c r="D6775" t="s">
        <v>11182</v>
      </c>
      <c r="E6775" t="s">
        <v>11183</v>
      </c>
      <c r="F6775" t="s">
        <v>99</v>
      </c>
      <c r="G6775" t="s">
        <v>727</v>
      </c>
      <c r="H6775" t="str">
        <f>"Ματάλων 8Α Θέρισσος"</f>
        <v>Ματάλων 8Α Θέρισσος</v>
      </c>
      <c r="I6775">
        <v>71304</v>
      </c>
      <c r="J6775">
        <v>2810327886</v>
      </c>
      <c r="K6775">
        <v>6979110873</v>
      </c>
      <c r="M6775" t="s">
        <v>11184</v>
      </c>
      <c r="N6775" t="s">
        <v>615</v>
      </c>
      <c r="O6775" t="s">
        <v>616</v>
      </c>
      <c r="R6775" t="s">
        <v>57</v>
      </c>
      <c r="S6775">
        <v>5</v>
      </c>
      <c r="T6775">
        <v>653</v>
      </c>
      <c r="U6775" s="1">
        <v>40043</v>
      </c>
      <c r="V6775" t="s">
        <v>80</v>
      </c>
      <c r="W6775" t="s">
        <v>81</v>
      </c>
      <c r="X6775" t="s">
        <v>58</v>
      </c>
      <c r="Y6775">
        <v>23</v>
      </c>
      <c r="Z6775" t="s">
        <v>59</v>
      </c>
      <c r="AA6775" t="s">
        <v>59</v>
      </c>
      <c r="AB6775" t="s">
        <v>59</v>
      </c>
      <c r="AC6775" t="s">
        <v>59</v>
      </c>
      <c r="AD6775" t="s">
        <v>59</v>
      </c>
      <c r="AF6775" s="1">
        <v>40043</v>
      </c>
      <c r="AG6775" t="s">
        <v>8645</v>
      </c>
      <c r="AH6775" t="s">
        <v>8646</v>
      </c>
      <c r="AI6775" t="str">
        <f>"9170262"</f>
        <v>9170262</v>
      </c>
      <c r="AJ6775" t="s">
        <v>9224</v>
      </c>
      <c r="AK6775">
        <v>2810245912</v>
      </c>
      <c r="AL6775" t="s">
        <v>9225</v>
      </c>
      <c r="AM6775" t="s">
        <v>78</v>
      </c>
      <c r="AN6775" t="s">
        <v>78</v>
      </c>
      <c r="AO6775" t="s">
        <v>286</v>
      </c>
      <c r="AP6775" t="s">
        <v>286</v>
      </c>
      <c r="AQ6775">
        <v>1</v>
      </c>
      <c r="AR6775" t="s">
        <v>80</v>
      </c>
      <c r="AS6775" t="s">
        <v>81</v>
      </c>
      <c r="AT6775" t="s">
        <v>58</v>
      </c>
      <c r="AU6775" t="s">
        <v>68</v>
      </c>
      <c r="AV6775" t="s">
        <v>69</v>
      </c>
      <c r="AW6775" s="1">
        <v>31344</v>
      </c>
      <c r="AX6775">
        <v>1</v>
      </c>
    </row>
    <row r="6776" spans="1:50">
      <c r="A6776">
        <v>593181</v>
      </c>
      <c r="B6776" t="str">
        <f>"066369788"</f>
        <v>066369788</v>
      </c>
      <c r="C6776" t="s">
        <v>50</v>
      </c>
      <c r="D6776" t="s">
        <v>11185</v>
      </c>
      <c r="E6776" t="s">
        <v>237</v>
      </c>
      <c r="F6776" t="s">
        <v>72</v>
      </c>
      <c r="G6776" t="s">
        <v>52</v>
      </c>
      <c r="H6776" t="str">
        <f>"ΕΛΥΡΟΥ 59 ΗΡΑΚΛΕΙΟ"</f>
        <v>ΕΛΥΡΟΥ 59 ΗΡΑΚΛΕΙΟ</v>
      </c>
      <c r="I6776">
        <v>71303</v>
      </c>
      <c r="J6776">
        <v>2811110686</v>
      </c>
      <c r="K6776">
        <v>6944509590</v>
      </c>
      <c r="N6776" t="s">
        <v>615</v>
      </c>
      <c r="O6776" t="s">
        <v>616</v>
      </c>
      <c r="R6776" t="s">
        <v>57</v>
      </c>
      <c r="S6776">
        <v>8</v>
      </c>
      <c r="T6776">
        <v>218</v>
      </c>
      <c r="U6776" s="1">
        <v>37116</v>
      </c>
      <c r="V6776" t="s">
        <v>80</v>
      </c>
      <c r="W6776" t="s">
        <v>81</v>
      </c>
      <c r="X6776" t="s">
        <v>58</v>
      </c>
      <c r="Y6776">
        <v>22</v>
      </c>
      <c r="Z6776" t="s">
        <v>59</v>
      </c>
      <c r="AA6776" t="s">
        <v>59</v>
      </c>
      <c r="AB6776" t="s">
        <v>59</v>
      </c>
      <c r="AC6776" t="s">
        <v>59</v>
      </c>
      <c r="AD6776" t="s">
        <v>59</v>
      </c>
      <c r="AF6776" s="1">
        <v>37138</v>
      </c>
      <c r="AG6776" t="s">
        <v>8645</v>
      </c>
      <c r="AH6776" t="s">
        <v>8646</v>
      </c>
      <c r="AI6776" t="str">
        <f>"9170547"</f>
        <v>9170547</v>
      </c>
      <c r="AJ6776" t="s">
        <v>9175</v>
      </c>
      <c r="AK6776">
        <v>2810250886</v>
      </c>
      <c r="AL6776" t="s">
        <v>9176</v>
      </c>
      <c r="AM6776" t="s">
        <v>78</v>
      </c>
      <c r="AN6776" t="s">
        <v>78</v>
      </c>
      <c r="AO6776" t="s">
        <v>78</v>
      </c>
      <c r="AP6776" t="s">
        <v>141</v>
      </c>
      <c r="AQ6776">
        <v>1</v>
      </c>
      <c r="AR6776" t="s">
        <v>80</v>
      </c>
      <c r="AS6776" t="s">
        <v>81</v>
      </c>
      <c r="AT6776" t="s">
        <v>58</v>
      </c>
      <c r="AU6776" t="s">
        <v>68</v>
      </c>
      <c r="AV6776" t="s">
        <v>69</v>
      </c>
      <c r="AW6776" s="1">
        <v>26555</v>
      </c>
      <c r="AX6776">
        <v>1</v>
      </c>
    </row>
    <row r="6777" spans="1:50">
      <c r="A6777">
        <v>590850</v>
      </c>
      <c r="B6777" t="str">
        <f>"070957478"</f>
        <v>070957478</v>
      </c>
      <c r="C6777" t="s">
        <v>50</v>
      </c>
      <c r="D6777" t="s">
        <v>11186</v>
      </c>
      <c r="E6777" t="s">
        <v>340</v>
      </c>
      <c r="F6777" t="s">
        <v>84</v>
      </c>
      <c r="G6777" t="s">
        <v>181</v>
      </c>
      <c r="H6777" t="str">
        <f>"ΣΑΜΑΡΙΤΙΔΩΝ 10 ΗΡΑΚΛΕΙΟ"</f>
        <v>ΣΑΜΑΡΙΤΙΔΩΝ 10 ΗΡΑΚΛΕΙΟ</v>
      </c>
      <c r="I6777">
        <v>71305</v>
      </c>
      <c r="J6777">
        <v>2810326255</v>
      </c>
      <c r="K6777">
        <v>6976638562</v>
      </c>
      <c r="N6777" t="s">
        <v>615</v>
      </c>
      <c r="O6777" t="s">
        <v>616</v>
      </c>
      <c r="R6777" t="s">
        <v>57</v>
      </c>
      <c r="S6777">
        <v>10</v>
      </c>
      <c r="T6777">
        <v>249</v>
      </c>
      <c r="U6777" s="1">
        <v>36485</v>
      </c>
      <c r="V6777" t="s">
        <v>80</v>
      </c>
      <c r="W6777" t="s">
        <v>81</v>
      </c>
      <c r="X6777" t="s">
        <v>58</v>
      </c>
      <c r="Y6777">
        <v>21</v>
      </c>
      <c r="Z6777" t="s">
        <v>59</v>
      </c>
      <c r="AA6777" t="s">
        <v>59</v>
      </c>
      <c r="AB6777" t="s">
        <v>59</v>
      </c>
      <c r="AC6777" t="s">
        <v>59</v>
      </c>
      <c r="AD6777" t="s">
        <v>59</v>
      </c>
      <c r="AF6777" s="1">
        <v>36773</v>
      </c>
      <c r="AG6777" t="s">
        <v>8645</v>
      </c>
      <c r="AH6777" t="s">
        <v>8646</v>
      </c>
      <c r="AI6777" t="str">
        <f>"9170514"</f>
        <v>9170514</v>
      </c>
      <c r="AJ6777" t="s">
        <v>8801</v>
      </c>
      <c r="AK6777">
        <v>2810238666</v>
      </c>
      <c r="AL6777" t="s">
        <v>8802</v>
      </c>
      <c r="AM6777" t="s">
        <v>78</v>
      </c>
      <c r="AN6777" t="s">
        <v>78</v>
      </c>
      <c r="AO6777" t="s">
        <v>78</v>
      </c>
      <c r="AP6777" t="s">
        <v>163</v>
      </c>
      <c r="AQ6777">
        <v>1</v>
      </c>
      <c r="AR6777" t="s">
        <v>80</v>
      </c>
      <c r="AS6777" t="s">
        <v>81</v>
      </c>
      <c r="AT6777" t="s">
        <v>58</v>
      </c>
      <c r="AU6777" t="s">
        <v>68</v>
      </c>
      <c r="AV6777" t="s">
        <v>69</v>
      </c>
      <c r="AW6777" s="1">
        <v>24743</v>
      </c>
      <c r="AX6777">
        <v>1</v>
      </c>
    </row>
    <row r="6778" spans="1:50">
      <c r="A6778">
        <v>613850</v>
      </c>
      <c r="B6778" t="str">
        <f>"110119833"</f>
        <v>110119833</v>
      </c>
      <c r="C6778" t="s">
        <v>50</v>
      </c>
      <c r="D6778" t="s">
        <v>11186</v>
      </c>
      <c r="E6778" t="s">
        <v>52</v>
      </c>
      <c r="F6778" t="s">
        <v>84</v>
      </c>
      <c r="G6778" t="s">
        <v>181</v>
      </c>
      <c r="H6778" t="str">
        <f>"ΣΑΜΑΡΙΤΙΔΩΝ 10 ΗΡΑΚΛΕΙΟ"</f>
        <v>ΣΑΜΑΡΙΤΙΔΩΝ 10 ΗΡΑΚΛΕΙΟ</v>
      </c>
      <c r="I6778">
        <v>71305</v>
      </c>
      <c r="J6778">
        <v>2810212681</v>
      </c>
      <c r="K6778">
        <v>6972460575</v>
      </c>
      <c r="N6778" t="s">
        <v>615</v>
      </c>
      <c r="O6778" t="s">
        <v>616</v>
      </c>
      <c r="R6778" t="s">
        <v>57</v>
      </c>
      <c r="S6778">
        <v>8</v>
      </c>
      <c r="T6778">
        <v>598</v>
      </c>
      <c r="U6778" s="1">
        <v>39310</v>
      </c>
      <c r="V6778" t="s">
        <v>80</v>
      </c>
      <c r="W6778" t="s">
        <v>81</v>
      </c>
      <c r="X6778" t="s">
        <v>58</v>
      </c>
      <c r="Y6778">
        <v>23</v>
      </c>
      <c r="Z6778" t="s">
        <v>59</v>
      </c>
      <c r="AA6778" t="s">
        <v>59</v>
      </c>
      <c r="AB6778" t="s">
        <v>59</v>
      </c>
      <c r="AC6778" t="s">
        <v>59</v>
      </c>
      <c r="AD6778" t="s">
        <v>59</v>
      </c>
      <c r="AF6778" s="1">
        <v>39328</v>
      </c>
      <c r="AG6778" t="s">
        <v>8645</v>
      </c>
      <c r="AH6778" t="s">
        <v>8646</v>
      </c>
      <c r="AI6778" t="str">
        <f>"9170532"</f>
        <v>9170532</v>
      </c>
      <c r="AJ6778" t="s">
        <v>8945</v>
      </c>
      <c r="AK6778">
        <v>2810250330</v>
      </c>
      <c r="AL6778" t="s">
        <v>8946</v>
      </c>
      <c r="AM6778" t="s">
        <v>78</v>
      </c>
      <c r="AN6778" t="s">
        <v>78</v>
      </c>
      <c r="AO6778" t="s">
        <v>78</v>
      </c>
      <c r="AP6778" t="s">
        <v>141</v>
      </c>
      <c r="AQ6778">
        <v>1</v>
      </c>
      <c r="AR6778" t="s">
        <v>80</v>
      </c>
      <c r="AS6778" t="s">
        <v>81</v>
      </c>
      <c r="AT6778" t="s">
        <v>58</v>
      </c>
      <c r="AU6778" t="s">
        <v>68</v>
      </c>
      <c r="AV6778" t="s">
        <v>69</v>
      </c>
      <c r="AW6778" s="1">
        <v>24216</v>
      </c>
      <c r="AX6778">
        <v>1</v>
      </c>
    </row>
    <row r="6779" spans="1:50">
      <c r="A6779">
        <v>617320</v>
      </c>
      <c r="B6779" t="str">
        <f>"123176693"</f>
        <v>123176693</v>
      </c>
      <c r="C6779" t="s">
        <v>50</v>
      </c>
      <c r="D6779" t="s">
        <v>11187</v>
      </c>
      <c r="E6779" t="s">
        <v>52</v>
      </c>
      <c r="F6779" t="s">
        <v>53</v>
      </c>
      <c r="G6779" t="s">
        <v>3467</v>
      </c>
      <c r="H6779" t="str">
        <f>"ΟΥΛΑΦ ΠΑΛΜΕ 218	 ΗΡΑΚΛΕΙΟ"</f>
        <v>ΟΥΛΑΦ ΠΑΛΜΕ 218	 ΗΡΑΚΛΕΙΟ</v>
      </c>
      <c r="I6779">
        <v>71410</v>
      </c>
      <c r="J6779">
        <v>2810232752</v>
      </c>
      <c r="K6779">
        <v>6974353633</v>
      </c>
      <c r="M6779" t="s">
        <v>11188</v>
      </c>
      <c r="N6779" t="s">
        <v>615</v>
      </c>
      <c r="O6779" t="s">
        <v>616</v>
      </c>
      <c r="R6779" t="s">
        <v>57</v>
      </c>
      <c r="S6779">
        <v>6</v>
      </c>
      <c r="T6779">
        <v>774</v>
      </c>
      <c r="U6779" s="1">
        <v>39680</v>
      </c>
      <c r="V6779" t="s">
        <v>80</v>
      </c>
      <c r="W6779" t="s">
        <v>81</v>
      </c>
      <c r="X6779" t="s">
        <v>58</v>
      </c>
      <c r="Y6779">
        <v>23</v>
      </c>
      <c r="Z6779" t="s">
        <v>59</v>
      </c>
      <c r="AA6779" t="s">
        <v>59</v>
      </c>
      <c r="AB6779" t="s">
        <v>59</v>
      </c>
      <c r="AC6779" t="s">
        <v>59</v>
      </c>
      <c r="AD6779" t="s">
        <v>59</v>
      </c>
      <c r="AF6779" s="1">
        <v>39681</v>
      </c>
      <c r="AG6779" t="s">
        <v>8645</v>
      </c>
      <c r="AH6779" t="s">
        <v>8646</v>
      </c>
      <c r="AI6779" t="str">
        <f>"9170533"</f>
        <v>9170533</v>
      </c>
      <c r="AJ6779" t="s">
        <v>9091</v>
      </c>
      <c r="AK6779">
        <v>2810239434</v>
      </c>
      <c r="AL6779" t="s">
        <v>9092</v>
      </c>
      <c r="AM6779" t="s">
        <v>78</v>
      </c>
      <c r="AN6779" t="s">
        <v>78</v>
      </c>
      <c r="AO6779" t="s">
        <v>78</v>
      </c>
      <c r="AP6779" t="s">
        <v>163</v>
      </c>
      <c r="AQ6779">
        <v>1</v>
      </c>
      <c r="AR6779" t="s">
        <v>80</v>
      </c>
      <c r="AS6779" t="s">
        <v>81</v>
      </c>
      <c r="AT6779" t="s">
        <v>58</v>
      </c>
      <c r="AU6779" t="s">
        <v>68</v>
      </c>
      <c r="AV6779" t="s">
        <v>69</v>
      </c>
      <c r="AW6779" s="1">
        <v>30531</v>
      </c>
      <c r="AX6779">
        <v>1</v>
      </c>
    </row>
    <row r="6780" spans="1:50">
      <c r="A6780">
        <v>604935</v>
      </c>
      <c r="B6780" t="str">
        <f>"064649103"</f>
        <v>064649103</v>
      </c>
      <c r="C6780" t="s">
        <v>50</v>
      </c>
      <c r="D6780" t="s">
        <v>11189</v>
      </c>
      <c r="E6780" t="s">
        <v>52</v>
      </c>
      <c r="F6780" t="s">
        <v>2254</v>
      </c>
      <c r="G6780" t="s">
        <v>714</v>
      </c>
      <c r="H6780" t="str">
        <f>"ΑΙΟΛΟΥ 13  ΗΡΑΚΛΕΙΟ "</f>
        <v xml:space="preserve">ΑΙΟΛΟΥ 13  ΗΡΑΚΛΕΙΟ </v>
      </c>
      <c r="I6780">
        <v>71304</v>
      </c>
      <c r="J6780">
        <v>2810310200</v>
      </c>
      <c r="K6780">
        <v>6983281441</v>
      </c>
      <c r="N6780" t="s">
        <v>615</v>
      </c>
      <c r="O6780" t="s">
        <v>616</v>
      </c>
      <c r="R6780" t="s">
        <v>57</v>
      </c>
      <c r="S6780">
        <v>8</v>
      </c>
      <c r="T6780">
        <v>231</v>
      </c>
      <c r="U6780" s="1">
        <v>38230</v>
      </c>
      <c r="V6780" t="s">
        <v>80</v>
      </c>
      <c r="W6780" t="s">
        <v>81</v>
      </c>
      <c r="X6780" t="s">
        <v>58</v>
      </c>
      <c r="Y6780">
        <v>22</v>
      </c>
      <c r="Z6780" t="s">
        <v>59</v>
      </c>
      <c r="AA6780" t="s">
        <v>59</v>
      </c>
      <c r="AB6780" t="s">
        <v>59</v>
      </c>
      <c r="AC6780" t="s">
        <v>59</v>
      </c>
      <c r="AD6780" t="s">
        <v>59</v>
      </c>
      <c r="AF6780" s="1">
        <v>38231</v>
      </c>
      <c r="AG6780" t="s">
        <v>8645</v>
      </c>
      <c r="AH6780" t="s">
        <v>8646</v>
      </c>
      <c r="AI6780" t="str">
        <f>"9170113"</f>
        <v>9170113</v>
      </c>
      <c r="AJ6780" t="s">
        <v>8846</v>
      </c>
      <c r="AK6780">
        <v>2810226174</v>
      </c>
      <c r="AL6780" t="s">
        <v>8847</v>
      </c>
      <c r="AM6780" t="s">
        <v>78</v>
      </c>
      <c r="AN6780" t="s">
        <v>78</v>
      </c>
      <c r="AO6780" t="s">
        <v>78</v>
      </c>
      <c r="AP6780" t="s">
        <v>79</v>
      </c>
      <c r="AQ6780">
        <v>1</v>
      </c>
      <c r="AR6780" t="s">
        <v>80</v>
      </c>
      <c r="AS6780" t="s">
        <v>81</v>
      </c>
      <c r="AT6780" t="s">
        <v>58</v>
      </c>
      <c r="AU6780" t="s">
        <v>68</v>
      </c>
      <c r="AV6780" t="s">
        <v>69</v>
      </c>
      <c r="AW6780" s="1">
        <v>26876</v>
      </c>
      <c r="AX6780">
        <v>1</v>
      </c>
    </row>
    <row r="6781" spans="1:50">
      <c r="B6781" t="str">
        <f>"055382314"</f>
        <v>055382314</v>
      </c>
      <c r="C6781" t="s">
        <v>105</v>
      </c>
      <c r="D6781" t="s">
        <v>11190</v>
      </c>
      <c r="E6781" t="s">
        <v>72</v>
      </c>
      <c r="F6781" t="s">
        <v>230</v>
      </c>
      <c r="G6781" t="s">
        <v>755</v>
      </c>
      <c r="H6781" t="str">
        <f>" "</f>
        <v xml:space="preserve"> </v>
      </c>
      <c r="N6781" t="s">
        <v>683</v>
      </c>
      <c r="O6781" t="s">
        <v>684</v>
      </c>
      <c r="R6781" t="s">
        <v>159</v>
      </c>
      <c r="S6781">
        <v>1</v>
      </c>
      <c r="T6781" t="s">
        <v>8675</v>
      </c>
      <c r="U6781" s="1">
        <v>43348</v>
      </c>
      <c r="V6781" t="s">
        <v>80</v>
      </c>
      <c r="W6781" t="s">
        <v>81</v>
      </c>
      <c r="X6781" t="s">
        <v>58</v>
      </c>
      <c r="Y6781">
        <v>24</v>
      </c>
      <c r="Z6781" t="s">
        <v>59</v>
      </c>
      <c r="AA6781" t="s">
        <v>59</v>
      </c>
      <c r="AB6781" t="s">
        <v>59</v>
      </c>
      <c r="AD6781" t="s">
        <v>59</v>
      </c>
      <c r="AF6781" s="1">
        <v>43348</v>
      </c>
      <c r="AG6781" t="s">
        <v>8645</v>
      </c>
      <c r="AH6781" t="s">
        <v>8646</v>
      </c>
      <c r="AI6781" t="str">
        <f>"9170532"</f>
        <v>9170532</v>
      </c>
      <c r="AJ6781" t="s">
        <v>8945</v>
      </c>
      <c r="AK6781">
        <v>2810250330</v>
      </c>
      <c r="AL6781" t="s">
        <v>8946</v>
      </c>
      <c r="AM6781" t="s">
        <v>78</v>
      </c>
      <c r="AN6781" t="s">
        <v>78</v>
      </c>
      <c r="AO6781" t="s">
        <v>78</v>
      </c>
      <c r="AP6781" t="s">
        <v>141</v>
      </c>
      <c r="AQ6781">
        <v>1</v>
      </c>
      <c r="AR6781" t="s">
        <v>80</v>
      </c>
      <c r="AS6781" t="s">
        <v>81</v>
      </c>
      <c r="AT6781" t="s">
        <v>58</v>
      </c>
      <c r="AU6781" t="s">
        <v>8673</v>
      </c>
      <c r="AV6781" t="s">
        <v>132</v>
      </c>
      <c r="AW6781" s="1">
        <v>24528</v>
      </c>
      <c r="AX6781">
        <v>1</v>
      </c>
    </row>
    <row r="6782" spans="1:50">
      <c r="A6782">
        <v>601079</v>
      </c>
      <c r="B6782" t="str">
        <f>"047748598"</f>
        <v>047748598</v>
      </c>
      <c r="C6782" t="s">
        <v>50</v>
      </c>
      <c r="D6782" t="s">
        <v>11191</v>
      </c>
      <c r="E6782" t="s">
        <v>54</v>
      </c>
      <c r="F6782" t="s">
        <v>99</v>
      </c>
      <c r="G6782" t="s">
        <v>52</v>
      </c>
      <c r="H6782" t="str">
        <f>"ΠΑΡΟΔΟΣ ΚΥΠΡΟΥ ΒΑΣΙΛΕΙΕΣ ΗΡΑΚΛΕΙΟΥ"</f>
        <v>ΠΑΡΟΔΟΣ ΚΥΠΡΟΥ ΒΑΣΙΛΕΙΕΣ ΗΡΑΚΛΕΙΟΥ</v>
      </c>
      <c r="J6782">
        <v>2810239126</v>
      </c>
      <c r="K6782">
        <v>6974395538</v>
      </c>
      <c r="N6782" t="s">
        <v>615</v>
      </c>
      <c r="O6782" t="s">
        <v>616</v>
      </c>
      <c r="R6782" t="s">
        <v>57</v>
      </c>
      <c r="S6782">
        <v>8</v>
      </c>
      <c r="T6782" t="s">
        <v>11192</v>
      </c>
      <c r="U6782" s="1">
        <v>37501</v>
      </c>
      <c r="V6782" t="s">
        <v>80</v>
      </c>
      <c r="W6782" t="s">
        <v>81</v>
      </c>
      <c r="X6782" t="s">
        <v>58</v>
      </c>
      <c r="Y6782">
        <v>22</v>
      </c>
      <c r="Z6782" t="s">
        <v>59</v>
      </c>
      <c r="AA6782" t="s">
        <v>59</v>
      </c>
      <c r="AB6782" t="s">
        <v>59</v>
      </c>
      <c r="AC6782" t="s">
        <v>59</v>
      </c>
      <c r="AD6782" t="s">
        <v>59</v>
      </c>
      <c r="AF6782" s="1">
        <v>37866</v>
      </c>
      <c r="AG6782" t="s">
        <v>8645</v>
      </c>
      <c r="AH6782" t="s">
        <v>8646</v>
      </c>
      <c r="AI6782" t="str">
        <f>"9170517"</f>
        <v>9170517</v>
      </c>
      <c r="AJ6782" t="s">
        <v>9248</v>
      </c>
      <c r="AK6782">
        <v>2810238757</v>
      </c>
      <c r="AL6782" t="s">
        <v>9249</v>
      </c>
      <c r="AM6782" t="s">
        <v>78</v>
      </c>
      <c r="AN6782" t="s">
        <v>78</v>
      </c>
      <c r="AO6782" t="s">
        <v>78</v>
      </c>
      <c r="AP6782" t="s">
        <v>163</v>
      </c>
      <c r="AQ6782">
        <v>1</v>
      </c>
      <c r="AR6782" t="s">
        <v>80</v>
      </c>
      <c r="AS6782" t="s">
        <v>81</v>
      </c>
      <c r="AT6782" t="s">
        <v>58</v>
      </c>
      <c r="AU6782" t="s">
        <v>68</v>
      </c>
      <c r="AV6782" t="s">
        <v>69</v>
      </c>
      <c r="AW6782" s="1">
        <v>26531</v>
      </c>
      <c r="AX6782">
        <v>1</v>
      </c>
    </row>
    <row r="6783" spans="1:50">
      <c r="B6783" t="str">
        <f>"147439756"</f>
        <v>147439756</v>
      </c>
      <c r="C6783" t="s">
        <v>50</v>
      </c>
      <c r="D6783" t="s">
        <v>11193</v>
      </c>
      <c r="E6783" t="s">
        <v>1345</v>
      </c>
      <c r="F6783" t="s">
        <v>95</v>
      </c>
      <c r="H6783" t="str">
        <f>" "</f>
        <v xml:space="preserve"> </v>
      </c>
      <c r="N6783" t="s">
        <v>8694</v>
      </c>
      <c r="O6783" t="s">
        <v>8695</v>
      </c>
      <c r="R6783" t="s">
        <v>159</v>
      </c>
      <c r="S6783">
        <v>2</v>
      </c>
      <c r="T6783" t="s">
        <v>8696</v>
      </c>
      <c r="U6783" s="1">
        <v>43348</v>
      </c>
      <c r="V6783" t="s">
        <v>80</v>
      </c>
      <c r="W6783" t="s">
        <v>81</v>
      </c>
      <c r="X6783" t="s">
        <v>58</v>
      </c>
      <c r="Y6783">
        <v>24</v>
      </c>
      <c r="Z6783" t="s">
        <v>59</v>
      </c>
      <c r="AA6783" t="s">
        <v>59</v>
      </c>
      <c r="AB6783" t="s">
        <v>59</v>
      </c>
      <c r="AC6783" t="s">
        <v>59</v>
      </c>
      <c r="AD6783" t="s">
        <v>59</v>
      </c>
      <c r="AF6783" s="1">
        <v>43348</v>
      </c>
      <c r="AG6783" t="s">
        <v>8645</v>
      </c>
      <c r="AH6783" t="s">
        <v>8646</v>
      </c>
      <c r="AI6783" t="str">
        <f>"9170228"</f>
        <v>9170228</v>
      </c>
      <c r="AJ6783" t="s">
        <v>8898</v>
      </c>
      <c r="AK6783">
        <v>2891041210</v>
      </c>
      <c r="AL6783" t="s">
        <v>8899</v>
      </c>
      <c r="AM6783" t="s">
        <v>78</v>
      </c>
      <c r="AN6783" t="s">
        <v>276</v>
      </c>
      <c r="AO6783" t="s">
        <v>1936</v>
      </c>
      <c r="AP6783" t="s">
        <v>1936</v>
      </c>
      <c r="AQ6783">
        <v>13</v>
      </c>
      <c r="AR6783" t="s">
        <v>80</v>
      </c>
      <c r="AS6783" t="s">
        <v>81</v>
      </c>
      <c r="AT6783" t="s">
        <v>58</v>
      </c>
      <c r="AU6783" t="s">
        <v>350</v>
      </c>
      <c r="AV6783" t="s">
        <v>132</v>
      </c>
      <c r="AW6783" s="1">
        <v>33054</v>
      </c>
      <c r="AX6783">
        <v>1</v>
      </c>
    </row>
    <row r="6784" spans="1:50">
      <c r="A6784">
        <v>704099</v>
      </c>
      <c r="B6784" t="str">
        <f>"061076014"</f>
        <v>061076014</v>
      </c>
      <c r="C6784" t="s">
        <v>50</v>
      </c>
      <c r="D6784" t="s">
        <v>3466</v>
      </c>
      <c r="E6784" t="s">
        <v>11194</v>
      </c>
      <c r="F6784" t="s">
        <v>106</v>
      </c>
      <c r="G6784" t="s">
        <v>52</v>
      </c>
      <c r="H6784" t="str">
        <f>"ΠΙΘΑΡΙ ΑΚΡΩΤΗΡΙΟΥ "</f>
        <v xml:space="preserve">ΠΙΘΑΡΙ ΑΚΡΩΤΗΡΙΟΥ </v>
      </c>
      <c r="I6784">
        <v>73100</v>
      </c>
      <c r="J6784">
        <v>2821064450</v>
      </c>
      <c r="K6784">
        <v>6972090570</v>
      </c>
      <c r="N6784" t="s">
        <v>288</v>
      </c>
      <c r="O6784" t="s">
        <v>289</v>
      </c>
      <c r="R6784" t="s">
        <v>57</v>
      </c>
      <c r="S6784">
        <v>3</v>
      </c>
      <c r="T6784">
        <v>1350</v>
      </c>
      <c r="U6784" s="1">
        <v>42732</v>
      </c>
      <c r="V6784" t="s">
        <v>80</v>
      </c>
      <c r="W6784" t="s">
        <v>81</v>
      </c>
      <c r="X6784" t="s">
        <v>58</v>
      </c>
      <c r="Y6784">
        <v>24</v>
      </c>
      <c r="Z6784" t="s">
        <v>59</v>
      </c>
      <c r="AA6784" t="s">
        <v>59</v>
      </c>
      <c r="AB6784" t="s">
        <v>59</v>
      </c>
      <c r="AC6784" t="s">
        <v>59</v>
      </c>
      <c r="AD6784" t="s">
        <v>59</v>
      </c>
      <c r="AF6784" s="1">
        <v>42734</v>
      </c>
      <c r="AG6784" t="s">
        <v>8645</v>
      </c>
      <c r="AH6784" t="s">
        <v>8646</v>
      </c>
      <c r="AI6784" t="str">
        <f>"9170520"</f>
        <v>9170520</v>
      </c>
      <c r="AJ6784" t="s">
        <v>8738</v>
      </c>
      <c r="AK6784">
        <v>2810281317</v>
      </c>
      <c r="AL6784" t="s">
        <v>8739</v>
      </c>
      <c r="AM6784" t="s">
        <v>78</v>
      </c>
      <c r="AN6784" t="s">
        <v>78</v>
      </c>
      <c r="AO6784" t="s">
        <v>286</v>
      </c>
      <c r="AP6784" t="s">
        <v>286</v>
      </c>
      <c r="AQ6784">
        <v>1</v>
      </c>
      <c r="AR6784" t="s">
        <v>80</v>
      </c>
      <c r="AS6784" t="s">
        <v>81</v>
      </c>
      <c r="AT6784" t="s">
        <v>58</v>
      </c>
      <c r="AU6784" t="s">
        <v>68</v>
      </c>
      <c r="AV6784" t="s">
        <v>69</v>
      </c>
      <c r="AW6784" s="1">
        <v>27760</v>
      </c>
      <c r="AX6784">
        <v>1</v>
      </c>
    </row>
    <row r="6785" spans="1:50">
      <c r="A6785">
        <v>607324</v>
      </c>
      <c r="B6785" t="str">
        <f>"128324056"</f>
        <v>128324056</v>
      </c>
      <c r="C6785" t="s">
        <v>50</v>
      </c>
      <c r="D6785" t="s">
        <v>3466</v>
      </c>
      <c r="E6785" t="s">
        <v>372</v>
      </c>
      <c r="F6785" t="s">
        <v>108</v>
      </c>
      <c r="G6785" t="s">
        <v>6392</v>
      </c>
      <c r="H6785" t="str">
        <f>"ΠΕΤΛΕΜΠΟΥΡΗ 9 ΗΡΑΚΛΕΙΟ"</f>
        <v>ΠΕΤΛΕΜΠΟΥΡΗ 9 ΗΡΑΚΛΕΙΟ</v>
      </c>
      <c r="I6785">
        <v>71303</v>
      </c>
      <c r="J6785">
        <v>2810317982</v>
      </c>
      <c r="K6785">
        <v>6975861887</v>
      </c>
      <c r="N6785" t="s">
        <v>615</v>
      </c>
      <c r="O6785" t="s">
        <v>616</v>
      </c>
      <c r="R6785" t="s">
        <v>57</v>
      </c>
      <c r="S6785">
        <v>9</v>
      </c>
      <c r="T6785">
        <v>217</v>
      </c>
      <c r="U6785" s="1">
        <v>38965</v>
      </c>
      <c r="V6785" t="s">
        <v>80</v>
      </c>
      <c r="W6785" t="s">
        <v>81</v>
      </c>
      <c r="X6785" t="s">
        <v>58</v>
      </c>
      <c r="Y6785">
        <v>23</v>
      </c>
      <c r="Z6785" t="s">
        <v>59</v>
      </c>
      <c r="AA6785" t="s">
        <v>59</v>
      </c>
      <c r="AB6785" t="s">
        <v>59</v>
      </c>
      <c r="AC6785" t="s">
        <v>59</v>
      </c>
      <c r="AD6785" t="s">
        <v>59</v>
      </c>
      <c r="AF6785" s="1">
        <v>38965</v>
      </c>
      <c r="AG6785" t="s">
        <v>8645</v>
      </c>
      <c r="AH6785" t="s">
        <v>8646</v>
      </c>
      <c r="AI6785" t="str">
        <f>"9170205"</f>
        <v>9170205</v>
      </c>
      <c r="AJ6785" t="s">
        <v>8794</v>
      </c>
      <c r="AK6785">
        <v>2810762030</v>
      </c>
      <c r="AL6785" t="s">
        <v>8795</v>
      </c>
      <c r="AM6785" t="s">
        <v>78</v>
      </c>
      <c r="AN6785" t="s">
        <v>219</v>
      </c>
      <c r="AO6785" t="s">
        <v>297</v>
      </c>
      <c r="AP6785" t="s">
        <v>8796</v>
      </c>
      <c r="AQ6785">
        <v>7</v>
      </c>
      <c r="AR6785" t="s">
        <v>80</v>
      </c>
      <c r="AS6785" t="s">
        <v>81</v>
      </c>
      <c r="AT6785" t="s">
        <v>58</v>
      </c>
      <c r="AU6785" t="s">
        <v>68</v>
      </c>
      <c r="AV6785" t="s">
        <v>2039</v>
      </c>
      <c r="AW6785" s="1">
        <v>29798</v>
      </c>
      <c r="AX6785">
        <v>1</v>
      </c>
    </row>
    <row r="6786" spans="1:50">
      <c r="A6786">
        <v>576424</v>
      </c>
      <c r="B6786" t="str">
        <f>"037546213"</f>
        <v>037546213</v>
      </c>
      <c r="C6786" t="s">
        <v>50</v>
      </c>
      <c r="D6786" t="s">
        <v>3466</v>
      </c>
      <c r="E6786" t="s">
        <v>11195</v>
      </c>
      <c r="F6786" t="s">
        <v>99</v>
      </c>
      <c r="G6786" t="s">
        <v>11196</v>
      </c>
      <c r="H6786" t="str">
        <f>"ΑΓΑΠΗΣ 8 ΑΓΙΟΣ ΙΩΑΝΝΗΣ"</f>
        <v>ΑΓΑΠΗΣ 8 ΑΓΙΟΣ ΙΩΑΝΝΗΣ</v>
      </c>
      <c r="I6786">
        <v>71409</v>
      </c>
      <c r="J6786">
        <v>2810325062</v>
      </c>
      <c r="K6786">
        <v>6945728677</v>
      </c>
      <c r="N6786" t="s">
        <v>306</v>
      </c>
      <c r="O6786" t="s">
        <v>307</v>
      </c>
      <c r="R6786" t="s">
        <v>57</v>
      </c>
      <c r="S6786">
        <v>11</v>
      </c>
      <c r="T6786">
        <v>184</v>
      </c>
      <c r="U6786" s="1">
        <v>34941</v>
      </c>
      <c r="V6786" t="s">
        <v>80</v>
      </c>
      <c r="W6786" t="s">
        <v>81</v>
      </c>
      <c r="X6786" t="s">
        <v>58</v>
      </c>
      <c r="Y6786">
        <v>21</v>
      </c>
      <c r="Z6786" t="s">
        <v>59</v>
      </c>
      <c r="AA6786" t="s">
        <v>59</v>
      </c>
      <c r="AB6786" t="s">
        <v>59</v>
      </c>
      <c r="AC6786" t="s">
        <v>59</v>
      </c>
      <c r="AD6786" t="s">
        <v>59</v>
      </c>
      <c r="AF6786" s="1">
        <v>34943</v>
      </c>
      <c r="AG6786" t="s">
        <v>8645</v>
      </c>
      <c r="AH6786" t="s">
        <v>8646</v>
      </c>
      <c r="AI6786" t="str">
        <f>"9170534"</f>
        <v>9170534</v>
      </c>
      <c r="AJ6786" t="s">
        <v>8701</v>
      </c>
      <c r="AK6786">
        <v>2810323225</v>
      </c>
      <c r="AL6786" t="s">
        <v>8702</v>
      </c>
      <c r="AM6786" t="s">
        <v>78</v>
      </c>
      <c r="AN6786" t="s">
        <v>78</v>
      </c>
      <c r="AO6786" t="s">
        <v>78</v>
      </c>
      <c r="AP6786" t="s">
        <v>163</v>
      </c>
      <c r="AQ6786">
        <v>1</v>
      </c>
      <c r="AR6786" t="s">
        <v>80</v>
      </c>
      <c r="AS6786" t="s">
        <v>81</v>
      </c>
      <c r="AT6786" t="s">
        <v>58</v>
      </c>
      <c r="AU6786" t="s">
        <v>68</v>
      </c>
      <c r="AV6786" t="s">
        <v>69</v>
      </c>
      <c r="AW6786" s="1">
        <v>24011</v>
      </c>
      <c r="AX6786">
        <v>1</v>
      </c>
    </row>
    <row r="6787" spans="1:50">
      <c r="B6787" t="str">
        <f>"064372588"</f>
        <v>064372588</v>
      </c>
      <c r="C6787" t="s">
        <v>105</v>
      </c>
      <c r="D6787" t="s">
        <v>11197</v>
      </c>
      <c r="E6787" t="s">
        <v>311</v>
      </c>
      <c r="F6787" t="s">
        <v>106</v>
      </c>
      <c r="G6787" t="s">
        <v>109</v>
      </c>
      <c r="H6787" t="str">
        <f>" "</f>
        <v xml:space="preserve"> </v>
      </c>
      <c r="N6787" t="s">
        <v>683</v>
      </c>
      <c r="O6787" t="s">
        <v>684</v>
      </c>
      <c r="R6787" t="s">
        <v>121</v>
      </c>
      <c r="S6787">
        <v>1</v>
      </c>
      <c r="T6787" t="s">
        <v>8675</v>
      </c>
      <c r="U6787" s="1">
        <v>43348</v>
      </c>
      <c r="V6787" t="s">
        <v>80</v>
      </c>
      <c r="W6787" t="s">
        <v>81</v>
      </c>
      <c r="X6787" t="s">
        <v>58</v>
      </c>
      <c r="Y6787">
        <v>24</v>
      </c>
      <c r="Z6787" t="s">
        <v>59</v>
      </c>
      <c r="AD6787" t="s">
        <v>59</v>
      </c>
      <c r="AF6787" s="1">
        <v>43348</v>
      </c>
      <c r="AG6787" t="s">
        <v>8645</v>
      </c>
      <c r="AH6787" t="s">
        <v>8646</v>
      </c>
      <c r="AI6787" t="str">
        <f>"9170262"</f>
        <v>9170262</v>
      </c>
      <c r="AJ6787" t="s">
        <v>9224</v>
      </c>
      <c r="AK6787">
        <v>2810245912</v>
      </c>
      <c r="AL6787" t="s">
        <v>9225</v>
      </c>
      <c r="AM6787" t="s">
        <v>78</v>
      </c>
      <c r="AN6787" t="s">
        <v>78</v>
      </c>
      <c r="AO6787" t="s">
        <v>286</v>
      </c>
      <c r="AP6787" t="s">
        <v>286</v>
      </c>
      <c r="AQ6787">
        <v>1</v>
      </c>
      <c r="AR6787" t="s">
        <v>80</v>
      </c>
      <c r="AS6787" t="s">
        <v>81</v>
      </c>
      <c r="AT6787" t="s">
        <v>58</v>
      </c>
      <c r="AU6787" t="s">
        <v>8673</v>
      </c>
      <c r="AV6787" t="s">
        <v>132</v>
      </c>
      <c r="AW6787" s="1">
        <v>28511</v>
      </c>
      <c r="AX6787">
        <v>1</v>
      </c>
    </row>
    <row r="6788" spans="1:50">
      <c r="B6788" t="str">
        <f>"144185875"</f>
        <v>144185875</v>
      </c>
      <c r="C6788" t="s">
        <v>50</v>
      </c>
      <c r="D6788" t="s">
        <v>11198</v>
      </c>
      <c r="E6788" t="s">
        <v>314</v>
      </c>
      <c r="F6788" t="s">
        <v>670</v>
      </c>
      <c r="G6788" t="s">
        <v>366</v>
      </c>
      <c r="H6788" t="str">
        <f>"17 ΝΟΕΜΒΡΗ 61 ΕΥΟΣΜΟΣ ΘΕΣΣΑΛΟΝΙΚΗΣ"</f>
        <v>17 ΝΟΕΜΒΡΗ 61 ΕΥΟΣΜΟΣ ΘΕΣΣΑΛΟΝΙΚΗΣ</v>
      </c>
      <c r="I6788">
        <v>56224</v>
      </c>
      <c r="J6788">
        <v>2310643385</v>
      </c>
      <c r="K6788">
        <v>6932673559</v>
      </c>
      <c r="N6788" t="s">
        <v>615</v>
      </c>
      <c r="O6788" t="s">
        <v>616</v>
      </c>
      <c r="R6788" t="s">
        <v>159</v>
      </c>
      <c r="S6788">
        <v>3</v>
      </c>
      <c r="T6788" t="s">
        <v>8675</v>
      </c>
      <c r="U6788" s="1">
        <v>43348</v>
      </c>
      <c r="V6788" t="s">
        <v>80</v>
      </c>
      <c r="W6788" t="s">
        <v>81</v>
      </c>
      <c r="X6788" t="s">
        <v>58</v>
      </c>
      <c r="Y6788">
        <v>24</v>
      </c>
      <c r="Z6788" t="s">
        <v>59</v>
      </c>
      <c r="AA6788" t="s">
        <v>59</v>
      </c>
      <c r="AB6788" t="s">
        <v>59</v>
      </c>
      <c r="AC6788" t="s">
        <v>59</v>
      </c>
      <c r="AD6788" t="s">
        <v>59</v>
      </c>
      <c r="AF6788" s="1">
        <v>43348</v>
      </c>
      <c r="AG6788" t="s">
        <v>8645</v>
      </c>
      <c r="AH6788" t="s">
        <v>8646</v>
      </c>
      <c r="AI6788" t="str">
        <f>"9170362"</f>
        <v>9170362</v>
      </c>
      <c r="AJ6788" t="s">
        <v>8681</v>
      </c>
      <c r="AK6788">
        <v>2810255261</v>
      </c>
      <c r="AL6788" t="s">
        <v>8682</v>
      </c>
      <c r="AM6788" t="s">
        <v>78</v>
      </c>
      <c r="AN6788" t="s">
        <v>78</v>
      </c>
      <c r="AO6788" t="s">
        <v>78</v>
      </c>
      <c r="AP6788" t="s">
        <v>141</v>
      </c>
      <c r="AQ6788">
        <v>1</v>
      </c>
      <c r="AR6788" t="s">
        <v>80</v>
      </c>
      <c r="AS6788" t="s">
        <v>81</v>
      </c>
      <c r="AT6788" t="s">
        <v>58</v>
      </c>
      <c r="AU6788" t="s">
        <v>8673</v>
      </c>
      <c r="AV6788" t="s">
        <v>132</v>
      </c>
      <c r="AW6788" s="1">
        <v>31751</v>
      </c>
      <c r="AX6788">
        <v>1</v>
      </c>
    </row>
    <row r="6789" spans="1:50">
      <c r="A6789">
        <v>613766</v>
      </c>
      <c r="B6789" t="str">
        <f>"100103342"</f>
        <v>100103342</v>
      </c>
      <c r="C6789" t="s">
        <v>105</v>
      </c>
      <c r="D6789" t="s">
        <v>3474</v>
      </c>
      <c r="E6789" t="s">
        <v>510</v>
      </c>
      <c r="F6789" t="s">
        <v>1357</v>
      </c>
      <c r="G6789" t="s">
        <v>255</v>
      </c>
      <c r="H6789" t="str">
        <f>"ΚΕΦΑΛΟΒΡΥΣΙ ΒΙΑΝΝΟΥ ΒΙΑΝΝΟΣ"</f>
        <v>ΚΕΦΑΛΟΒΡΥΣΙ ΒΙΑΝΝΟΥ ΒΙΑΝΝΟΣ</v>
      </c>
      <c r="I6789">
        <v>70004</v>
      </c>
      <c r="J6789">
        <v>2895031584</v>
      </c>
      <c r="K6789">
        <v>6945234638</v>
      </c>
      <c r="L6789">
        <v>2895031495</v>
      </c>
      <c r="N6789" t="s">
        <v>615</v>
      </c>
      <c r="O6789" t="s">
        <v>616</v>
      </c>
      <c r="R6789" t="s">
        <v>57</v>
      </c>
      <c r="S6789">
        <v>6</v>
      </c>
      <c r="T6789">
        <v>598</v>
      </c>
      <c r="U6789" s="1">
        <v>39310</v>
      </c>
      <c r="V6789" t="s">
        <v>80</v>
      </c>
      <c r="W6789" t="s">
        <v>81</v>
      </c>
      <c r="X6789" t="s">
        <v>58</v>
      </c>
      <c r="Y6789">
        <v>23</v>
      </c>
      <c r="Z6789" t="s">
        <v>59</v>
      </c>
      <c r="AA6789" t="s">
        <v>59</v>
      </c>
      <c r="AB6789" t="s">
        <v>59</v>
      </c>
      <c r="AC6789" t="s">
        <v>59</v>
      </c>
      <c r="AD6789" t="s">
        <v>59</v>
      </c>
      <c r="AF6789" s="1">
        <v>39328</v>
      </c>
      <c r="AG6789" t="s">
        <v>8645</v>
      </c>
      <c r="AH6789" t="s">
        <v>8646</v>
      </c>
      <c r="AI6789" t="str">
        <f>"9170132"</f>
        <v>9170132</v>
      </c>
      <c r="AJ6789" t="s">
        <v>9010</v>
      </c>
      <c r="AK6789">
        <v>2895022233</v>
      </c>
      <c r="AL6789" t="s">
        <v>9011</v>
      </c>
      <c r="AM6789" t="s">
        <v>78</v>
      </c>
      <c r="AN6789" t="s">
        <v>482</v>
      </c>
      <c r="AO6789" t="s">
        <v>482</v>
      </c>
      <c r="AP6789" t="s">
        <v>483</v>
      </c>
      <c r="AQ6789">
        <v>14</v>
      </c>
      <c r="AR6789" t="s">
        <v>80</v>
      </c>
      <c r="AS6789" t="s">
        <v>81</v>
      </c>
      <c r="AT6789" t="s">
        <v>58</v>
      </c>
      <c r="AU6789" t="s">
        <v>68</v>
      </c>
      <c r="AV6789" t="s">
        <v>69</v>
      </c>
      <c r="AW6789" s="1">
        <v>26637</v>
      </c>
      <c r="AX6789">
        <v>1</v>
      </c>
    </row>
    <row r="6790" spans="1:50">
      <c r="B6790" t="str">
        <f>"150376659"</f>
        <v>150376659</v>
      </c>
      <c r="C6790" t="s">
        <v>50</v>
      </c>
      <c r="D6790" t="s">
        <v>11199</v>
      </c>
      <c r="E6790" t="s">
        <v>52</v>
      </c>
      <c r="F6790" t="s">
        <v>84</v>
      </c>
      <c r="G6790" t="s">
        <v>255</v>
      </c>
      <c r="H6790" t="str">
        <f>"Ι.ΣΦΑΚΙΑΝΑΚΗ 24 "</f>
        <v xml:space="preserve">Ι.ΣΦΑΚΙΑΝΑΚΗ 24 </v>
      </c>
      <c r="I6790">
        <v>73134</v>
      </c>
      <c r="J6790">
        <v>2821040994</v>
      </c>
      <c r="K6790">
        <v>6977126349</v>
      </c>
      <c r="N6790" t="s">
        <v>615</v>
      </c>
      <c r="O6790" t="s">
        <v>616</v>
      </c>
      <c r="R6790" t="s">
        <v>159</v>
      </c>
      <c r="S6790">
        <v>4</v>
      </c>
      <c r="T6790" t="s">
        <v>8675</v>
      </c>
      <c r="U6790" s="1">
        <v>43348</v>
      </c>
      <c r="V6790" t="s">
        <v>80</v>
      </c>
      <c r="W6790" t="s">
        <v>81</v>
      </c>
      <c r="X6790" t="s">
        <v>58</v>
      </c>
      <c r="Y6790">
        <v>24</v>
      </c>
      <c r="Z6790" t="s">
        <v>59</v>
      </c>
      <c r="AA6790" t="s">
        <v>59</v>
      </c>
      <c r="AB6790" t="s">
        <v>59</v>
      </c>
      <c r="AC6790" t="s">
        <v>59</v>
      </c>
      <c r="AD6790" t="s">
        <v>59</v>
      </c>
      <c r="AF6790" s="1">
        <v>43348</v>
      </c>
      <c r="AG6790" t="s">
        <v>8645</v>
      </c>
      <c r="AH6790" t="s">
        <v>8646</v>
      </c>
      <c r="AI6790" t="str">
        <f>"9170041"</f>
        <v>9170041</v>
      </c>
      <c r="AJ6790" t="s">
        <v>9638</v>
      </c>
      <c r="AK6790">
        <v>2894022150</v>
      </c>
      <c r="AL6790" t="s">
        <v>9639</v>
      </c>
      <c r="AM6790" t="s">
        <v>78</v>
      </c>
      <c r="AN6790" t="s">
        <v>405</v>
      </c>
      <c r="AO6790" t="s">
        <v>406</v>
      </c>
      <c r="AP6790" t="s">
        <v>8893</v>
      </c>
      <c r="AQ6790">
        <v>6</v>
      </c>
      <c r="AR6790" t="s">
        <v>80</v>
      </c>
      <c r="AS6790" t="s">
        <v>81</v>
      </c>
      <c r="AT6790" t="s">
        <v>58</v>
      </c>
      <c r="AU6790" t="s">
        <v>8673</v>
      </c>
      <c r="AV6790" t="s">
        <v>132</v>
      </c>
      <c r="AW6790" s="1">
        <v>31506</v>
      </c>
      <c r="AX6790">
        <v>1</v>
      </c>
    </row>
    <row r="6791" spans="1:50">
      <c r="B6791" t="str">
        <f>"133749305"</f>
        <v>133749305</v>
      </c>
      <c r="C6791" t="s">
        <v>105</v>
      </c>
      <c r="D6791" t="s">
        <v>11200</v>
      </c>
      <c r="E6791" t="s">
        <v>2014</v>
      </c>
      <c r="F6791" t="s">
        <v>202</v>
      </c>
      <c r="G6791" t="s">
        <v>52</v>
      </c>
      <c r="H6791" t="str">
        <f>"ΜΕΛΕΝΙΚΙΤΣΙ "</f>
        <v xml:space="preserve">ΜΕΛΕΝΙΚΙΤΣΙ </v>
      </c>
      <c r="I6791">
        <v>62400</v>
      </c>
      <c r="J6791">
        <v>2321056393</v>
      </c>
      <c r="K6791">
        <v>6982879219</v>
      </c>
      <c r="N6791" t="s">
        <v>615</v>
      </c>
      <c r="O6791" t="s">
        <v>616</v>
      </c>
      <c r="R6791" t="s">
        <v>159</v>
      </c>
      <c r="S6791">
        <v>2</v>
      </c>
      <c r="T6791" t="s">
        <v>8675</v>
      </c>
      <c r="U6791" s="1">
        <v>43348</v>
      </c>
      <c r="V6791" t="s">
        <v>80</v>
      </c>
      <c r="W6791" t="s">
        <v>81</v>
      </c>
      <c r="X6791" t="s">
        <v>58</v>
      </c>
      <c r="Y6791">
        <v>24</v>
      </c>
      <c r="Z6791" t="s">
        <v>59</v>
      </c>
      <c r="AA6791" t="s">
        <v>59</v>
      </c>
      <c r="AB6791" t="s">
        <v>59</v>
      </c>
      <c r="AC6791" t="s">
        <v>59</v>
      </c>
      <c r="AD6791" t="s">
        <v>59</v>
      </c>
      <c r="AF6791" s="1">
        <v>43348</v>
      </c>
      <c r="AG6791" t="s">
        <v>8645</v>
      </c>
      <c r="AH6791" t="s">
        <v>8646</v>
      </c>
      <c r="AI6791" t="str">
        <f>"9170068"</f>
        <v>9170068</v>
      </c>
      <c r="AJ6791" t="s">
        <v>8773</v>
      </c>
      <c r="AK6791">
        <v>2893031217</v>
      </c>
      <c r="AL6791" t="s">
        <v>8774</v>
      </c>
      <c r="AM6791" t="s">
        <v>78</v>
      </c>
      <c r="AN6791" t="s">
        <v>405</v>
      </c>
      <c r="AO6791" t="s">
        <v>805</v>
      </c>
      <c r="AP6791" t="s">
        <v>806</v>
      </c>
      <c r="AQ6791">
        <v>15</v>
      </c>
      <c r="AR6791" t="s">
        <v>80</v>
      </c>
      <c r="AS6791" t="s">
        <v>81</v>
      </c>
      <c r="AT6791" t="s">
        <v>58</v>
      </c>
      <c r="AU6791" t="s">
        <v>8673</v>
      </c>
      <c r="AV6791" t="s">
        <v>132</v>
      </c>
      <c r="AW6791" s="1">
        <v>32556</v>
      </c>
      <c r="AX6791">
        <v>1</v>
      </c>
    </row>
    <row r="6792" spans="1:50">
      <c r="A6792">
        <v>611552</v>
      </c>
      <c r="B6792" t="str">
        <f>"061004381"</f>
        <v>061004381</v>
      </c>
      <c r="C6792" t="s">
        <v>50</v>
      </c>
      <c r="D6792" t="s">
        <v>5347</v>
      </c>
      <c r="E6792" t="s">
        <v>52</v>
      </c>
      <c r="F6792" t="s">
        <v>7299</v>
      </c>
      <c r="G6792" t="s">
        <v>255</v>
      </c>
      <c r="H6792" t="str">
        <f>"ΜΙΝΩΟΣ 31 ΗΡΑΚΛΕΙΟ"</f>
        <v>ΜΙΝΩΟΣ 31 ΗΡΑΚΛΕΙΟ</v>
      </c>
      <c r="I6792">
        <v>71303</v>
      </c>
      <c r="J6792">
        <v>2810314031</v>
      </c>
      <c r="K6792">
        <v>6972819276</v>
      </c>
      <c r="N6792" t="s">
        <v>1525</v>
      </c>
      <c r="O6792" t="s">
        <v>1526</v>
      </c>
      <c r="R6792" t="s">
        <v>57</v>
      </c>
      <c r="S6792">
        <v>6</v>
      </c>
      <c r="T6792">
        <v>233</v>
      </c>
      <c r="U6792" s="1">
        <v>38960</v>
      </c>
      <c r="V6792" t="s">
        <v>80</v>
      </c>
      <c r="W6792" t="s">
        <v>81</v>
      </c>
      <c r="X6792" t="s">
        <v>58</v>
      </c>
      <c r="Y6792">
        <v>25</v>
      </c>
      <c r="Z6792" t="s">
        <v>59</v>
      </c>
      <c r="AA6792" t="s">
        <v>59</v>
      </c>
      <c r="AB6792" t="s">
        <v>59</v>
      </c>
      <c r="AC6792" t="s">
        <v>59</v>
      </c>
      <c r="AD6792" t="s">
        <v>59</v>
      </c>
      <c r="AF6792" s="1">
        <v>38961</v>
      </c>
      <c r="AG6792" t="s">
        <v>8651</v>
      </c>
      <c r="AH6792" t="s">
        <v>8652</v>
      </c>
      <c r="AI6792" t="str">
        <f>"9170482"</f>
        <v>9170482</v>
      </c>
      <c r="AJ6792" t="s">
        <v>10599</v>
      </c>
      <c r="AK6792">
        <v>2810256403</v>
      </c>
      <c r="AL6792" t="s">
        <v>10600</v>
      </c>
      <c r="AM6792" t="s">
        <v>78</v>
      </c>
      <c r="AN6792" t="s">
        <v>78</v>
      </c>
      <c r="AO6792" t="s">
        <v>78</v>
      </c>
      <c r="AP6792" t="s">
        <v>141</v>
      </c>
      <c r="AQ6792">
        <v>1</v>
      </c>
      <c r="AR6792" t="s">
        <v>80</v>
      </c>
      <c r="AS6792" t="s">
        <v>81</v>
      </c>
      <c r="AT6792" t="s">
        <v>58</v>
      </c>
      <c r="AU6792" t="s">
        <v>68</v>
      </c>
      <c r="AV6792" t="s">
        <v>69</v>
      </c>
      <c r="AW6792" s="1">
        <v>27047</v>
      </c>
      <c r="AX6792">
        <v>1</v>
      </c>
    </row>
    <row r="6793" spans="1:50">
      <c r="A6793">
        <v>568143</v>
      </c>
      <c r="B6793" t="str">
        <f>"030326312"</f>
        <v>030326312</v>
      </c>
      <c r="C6793" t="s">
        <v>50</v>
      </c>
      <c r="D6793" t="s">
        <v>11201</v>
      </c>
      <c r="E6793" t="s">
        <v>250</v>
      </c>
      <c r="F6793" t="s">
        <v>154</v>
      </c>
      <c r="G6793" t="s">
        <v>237</v>
      </c>
      <c r="H6793" t="str">
        <f>"ΕΘΝΙΚΗΣ ΑΝΤΙΣΤΑΣΗΣ 120 ΒΑΣΙΛΕΙΕΣ "</f>
        <v xml:space="preserve">ΕΘΝΙΚΗΣ ΑΝΤΙΣΤΑΣΗΣ 120 ΒΑΣΙΛΕΙΕΣ </v>
      </c>
      <c r="J6793">
        <v>2810881673</v>
      </c>
      <c r="K6793">
        <v>6974638526</v>
      </c>
      <c r="M6793" t="s">
        <v>11202</v>
      </c>
      <c r="N6793" t="s">
        <v>615</v>
      </c>
      <c r="O6793" t="s">
        <v>616</v>
      </c>
      <c r="R6793" t="s">
        <v>57</v>
      </c>
      <c r="S6793">
        <v>13</v>
      </c>
      <c r="T6793">
        <v>162</v>
      </c>
      <c r="U6793" s="1">
        <v>33844</v>
      </c>
      <c r="V6793" t="s">
        <v>80</v>
      </c>
      <c r="W6793" t="s">
        <v>81</v>
      </c>
      <c r="X6793" t="s">
        <v>58</v>
      </c>
      <c r="Y6793">
        <v>21</v>
      </c>
      <c r="Z6793" t="s">
        <v>59</v>
      </c>
      <c r="AA6793" t="s">
        <v>59</v>
      </c>
      <c r="AB6793" t="s">
        <v>59</v>
      </c>
      <c r="AC6793" t="s">
        <v>59</v>
      </c>
      <c r="AD6793" t="s">
        <v>59</v>
      </c>
      <c r="AF6793" s="1">
        <v>33848</v>
      </c>
      <c r="AG6793" t="s">
        <v>8645</v>
      </c>
      <c r="AH6793" t="s">
        <v>8646</v>
      </c>
      <c r="AI6793" t="str">
        <f>"9170192"</f>
        <v>9170192</v>
      </c>
      <c r="AJ6793" t="s">
        <v>8661</v>
      </c>
      <c r="AK6793">
        <v>2810231985</v>
      </c>
      <c r="AL6793" t="s">
        <v>8662</v>
      </c>
      <c r="AM6793" t="s">
        <v>78</v>
      </c>
      <c r="AN6793" t="s">
        <v>78</v>
      </c>
      <c r="AO6793" t="s">
        <v>78</v>
      </c>
      <c r="AP6793" t="s">
        <v>163</v>
      </c>
      <c r="AQ6793">
        <v>1</v>
      </c>
      <c r="AR6793" t="s">
        <v>80</v>
      </c>
      <c r="AS6793" t="s">
        <v>81</v>
      </c>
      <c r="AT6793" t="s">
        <v>58</v>
      </c>
      <c r="AU6793" t="s">
        <v>68</v>
      </c>
      <c r="AV6793" t="s">
        <v>69</v>
      </c>
      <c r="AW6793" s="1">
        <v>23822</v>
      </c>
      <c r="AX6793">
        <v>1</v>
      </c>
    </row>
    <row r="6794" spans="1:50">
      <c r="A6794">
        <v>597560</v>
      </c>
      <c r="B6794" t="str">
        <f>"114554489"</f>
        <v>114554489</v>
      </c>
      <c r="C6794" t="s">
        <v>50</v>
      </c>
      <c r="D6794" t="s">
        <v>11203</v>
      </c>
      <c r="E6794" t="s">
        <v>367</v>
      </c>
      <c r="F6794" t="s">
        <v>53</v>
      </c>
      <c r="G6794" t="s">
        <v>52</v>
      </c>
      <c r="H6794" t="str">
        <f>" "</f>
        <v xml:space="preserve"> </v>
      </c>
      <c r="J6794">
        <v>2810230512</v>
      </c>
      <c r="K6794">
        <v>6945462056</v>
      </c>
      <c r="M6794" t="s">
        <v>11204</v>
      </c>
      <c r="N6794" t="s">
        <v>176</v>
      </c>
      <c r="O6794" t="s">
        <v>177</v>
      </c>
      <c r="R6794" t="s">
        <v>57</v>
      </c>
      <c r="S6794">
        <v>10</v>
      </c>
      <c r="T6794">
        <v>193</v>
      </c>
      <c r="U6794" s="1">
        <v>37497</v>
      </c>
      <c r="V6794" t="s">
        <v>80</v>
      </c>
      <c r="W6794" t="s">
        <v>81</v>
      </c>
      <c r="X6794" t="s">
        <v>58</v>
      </c>
      <c r="Y6794">
        <v>21</v>
      </c>
      <c r="Z6794" t="s">
        <v>59</v>
      </c>
      <c r="AA6794" t="s">
        <v>59</v>
      </c>
      <c r="AB6794" t="s">
        <v>59</v>
      </c>
      <c r="AC6794" t="s">
        <v>59</v>
      </c>
      <c r="AD6794" t="s">
        <v>59</v>
      </c>
      <c r="AF6794" s="1">
        <v>37501</v>
      </c>
      <c r="AG6794" t="s">
        <v>8645</v>
      </c>
      <c r="AH6794" t="s">
        <v>8697</v>
      </c>
      <c r="AI6794" t="str">
        <f>"9170566"</f>
        <v>9170566</v>
      </c>
      <c r="AJ6794" t="s">
        <v>10293</v>
      </c>
      <c r="AK6794">
        <v>2810230139</v>
      </c>
      <c r="AL6794" t="s">
        <v>10294</v>
      </c>
      <c r="AM6794" t="s">
        <v>78</v>
      </c>
      <c r="AN6794" t="s">
        <v>78</v>
      </c>
      <c r="AO6794" t="s">
        <v>78</v>
      </c>
      <c r="AP6794" t="s">
        <v>163</v>
      </c>
      <c r="AQ6794">
        <v>1</v>
      </c>
      <c r="AR6794" t="s">
        <v>80</v>
      </c>
      <c r="AS6794" t="s">
        <v>81</v>
      </c>
      <c r="AT6794" t="s">
        <v>58</v>
      </c>
      <c r="AU6794" t="s">
        <v>68</v>
      </c>
      <c r="AV6794" t="s">
        <v>69</v>
      </c>
      <c r="AW6794" s="1">
        <v>22907</v>
      </c>
      <c r="AX6794">
        <v>1</v>
      </c>
    </row>
    <row r="6795" spans="1:50">
      <c r="A6795">
        <v>592692</v>
      </c>
      <c r="B6795" t="str">
        <f>"065102015"</f>
        <v>065102015</v>
      </c>
      <c r="C6795" t="s">
        <v>50</v>
      </c>
      <c r="D6795" t="s">
        <v>11205</v>
      </c>
      <c r="E6795" t="s">
        <v>109</v>
      </c>
      <c r="F6795" t="s">
        <v>84</v>
      </c>
      <c r="G6795" t="s">
        <v>255</v>
      </c>
      <c r="H6795" t="str">
        <f>"ΙΚΑΡΙΑΣ 1 ΜΕΣΑΜΠΕΛΙΕΣ"</f>
        <v>ΙΚΑΡΙΑΣ 1 ΜΕΣΑΜΠΕΛΙΕΣ</v>
      </c>
      <c r="I6795">
        <v>71409</v>
      </c>
      <c r="J6795">
        <v>2810235379</v>
      </c>
      <c r="K6795">
        <v>6945009493</v>
      </c>
      <c r="M6795" t="s">
        <v>11206</v>
      </c>
      <c r="N6795" t="s">
        <v>615</v>
      </c>
      <c r="O6795" t="s">
        <v>616</v>
      </c>
      <c r="R6795" t="s">
        <v>57</v>
      </c>
      <c r="S6795">
        <v>8</v>
      </c>
      <c r="T6795">
        <v>218</v>
      </c>
      <c r="U6795" s="1">
        <v>37147</v>
      </c>
      <c r="V6795" t="s">
        <v>80</v>
      </c>
      <c r="W6795" t="s">
        <v>81</v>
      </c>
      <c r="X6795" t="s">
        <v>58</v>
      </c>
      <c r="Y6795">
        <v>22</v>
      </c>
      <c r="Z6795" t="s">
        <v>59</v>
      </c>
      <c r="AA6795" t="s">
        <v>59</v>
      </c>
      <c r="AB6795" t="s">
        <v>59</v>
      </c>
      <c r="AC6795" t="s">
        <v>59</v>
      </c>
      <c r="AD6795" t="s">
        <v>59</v>
      </c>
      <c r="AF6795" s="1">
        <v>37147</v>
      </c>
      <c r="AG6795" t="s">
        <v>8645</v>
      </c>
      <c r="AH6795" t="s">
        <v>8646</v>
      </c>
      <c r="AI6795" t="str">
        <f>"9170028"</f>
        <v>9170028</v>
      </c>
      <c r="AJ6795" t="s">
        <v>9791</v>
      </c>
      <c r="AK6795">
        <v>2810711204</v>
      </c>
      <c r="AL6795" t="s">
        <v>9792</v>
      </c>
      <c r="AM6795" t="s">
        <v>78</v>
      </c>
      <c r="AN6795" t="s">
        <v>129</v>
      </c>
      <c r="AO6795" t="s">
        <v>597</v>
      </c>
      <c r="AP6795" t="s">
        <v>598</v>
      </c>
      <c r="AQ6795">
        <v>4</v>
      </c>
      <c r="AR6795" t="s">
        <v>80</v>
      </c>
      <c r="AS6795" t="s">
        <v>81</v>
      </c>
      <c r="AT6795" t="s">
        <v>58</v>
      </c>
      <c r="AU6795" t="s">
        <v>68</v>
      </c>
      <c r="AV6795" t="s">
        <v>69</v>
      </c>
      <c r="AW6795" s="1">
        <v>27125</v>
      </c>
      <c r="AX6795">
        <v>1</v>
      </c>
    </row>
    <row r="6796" spans="1:50">
      <c r="A6796">
        <v>570332</v>
      </c>
      <c r="B6796" t="str">
        <f>"035225366"</f>
        <v>035225366</v>
      </c>
      <c r="C6796" t="s">
        <v>50</v>
      </c>
      <c r="D6796" t="s">
        <v>11207</v>
      </c>
      <c r="E6796" t="s">
        <v>1497</v>
      </c>
      <c r="F6796" t="s">
        <v>202</v>
      </c>
      <c r="G6796" t="s">
        <v>52</v>
      </c>
      <c r="H6796" t="str">
        <f>"ΑΝΩ ΑΡΧΑΝΕΣ "</f>
        <v xml:space="preserve">ΑΝΩ ΑΡΧΑΝΕΣ </v>
      </c>
      <c r="I6796">
        <v>70100</v>
      </c>
      <c r="J6796">
        <v>2817719050</v>
      </c>
      <c r="K6796">
        <v>6946453480</v>
      </c>
      <c r="M6796" t="s">
        <v>11208</v>
      </c>
      <c r="N6796" t="s">
        <v>306</v>
      </c>
      <c r="O6796" t="s">
        <v>307</v>
      </c>
      <c r="R6796" t="s">
        <v>57</v>
      </c>
      <c r="S6796">
        <v>13</v>
      </c>
      <c r="T6796">
        <v>239</v>
      </c>
      <c r="U6796" s="1">
        <v>33969</v>
      </c>
      <c r="V6796" t="s">
        <v>80</v>
      </c>
      <c r="W6796" t="s">
        <v>81</v>
      </c>
      <c r="X6796" t="s">
        <v>58</v>
      </c>
      <c r="Y6796">
        <v>21</v>
      </c>
      <c r="Z6796" t="s">
        <v>59</v>
      </c>
      <c r="AA6796" t="s">
        <v>59</v>
      </c>
      <c r="AB6796" t="s">
        <v>59</v>
      </c>
      <c r="AC6796" t="s">
        <v>59</v>
      </c>
      <c r="AD6796" t="s">
        <v>59</v>
      </c>
      <c r="AF6796" s="1">
        <v>33981</v>
      </c>
      <c r="AG6796" t="s">
        <v>8645</v>
      </c>
      <c r="AH6796" t="s">
        <v>8646</v>
      </c>
      <c r="AI6796" t="str">
        <f>"9170196"</f>
        <v>9170196</v>
      </c>
      <c r="AJ6796" t="s">
        <v>9255</v>
      </c>
      <c r="AK6796">
        <v>2810283356</v>
      </c>
      <c r="AL6796" t="s">
        <v>9256</v>
      </c>
      <c r="AM6796" t="s">
        <v>78</v>
      </c>
      <c r="AN6796" t="s">
        <v>78</v>
      </c>
      <c r="AO6796" t="s">
        <v>78</v>
      </c>
      <c r="AP6796" t="s">
        <v>79</v>
      </c>
      <c r="AQ6796">
        <v>1</v>
      </c>
      <c r="AR6796" t="s">
        <v>80</v>
      </c>
      <c r="AS6796" t="s">
        <v>81</v>
      </c>
      <c r="AT6796" t="s">
        <v>58</v>
      </c>
      <c r="AU6796" t="s">
        <v>68</v>
      </c>
      <c r="AV6796" t="s">
        <v>69</v>
      </c>
      <c r="AW6796" s="1">
        <v>23390</v>
      </c>
      <c r="AX6796">
        <v>1</v>
      </c>
    </row>
    <row r="6797" spans="1:50">
      <c r="B6797" t="str">
        <f>"300392781"</f>
        <v>300392781</v>
      </c>
      <c r="C6797" t="s">
        <v>50</v>
      </c>
      <c r="D6797" t="s">
        <v>6438</v>
      </c>
      <c r="E6797" t="s">
        <v>143</v>
      </c>
      <c r="F6797" t="s">
        <v>450</v>
      </c>
      <c r="G6797" t="s">
        <v>11209</v>
      </c>
      <c r="H6797" t="str">
        <f>"ΚΕΡΑΜΟΥΤΣΙ ΗΡΑΚΛΕΙΟΥ ΗΡΑΚΛΕΙΟ"</f>
        <v>ΚΕΡΑΜΟΥΤΣΙ ΗΡΑΚΛΕΙΟΥ ΗΡΑΚΛΕΙΟ</v>
      </c>
      <c r="I6797">
        <v>71500</v>
      </c>
      <c r="J6797">
        <v>2810851247</v>
      </c>
      <c r="K6797">
        <v>6942857033</v>
      </c>
      <c r="N6797" t="s">
        <v>615</v>
      </c>
      <c r="O6797" t="s">
        <v>616</v>
      </c>
      <c r="R6797" t="s">
        <v>159</v>
      </c>
      <c r="S6797">
        <v>2</v>
      </c>
      <c r="T6797" t="s">
        <v>8675</v>
      </c>
      <c r="U6797" s="1">
        <v>43348</v>
      </c>
      <c r="V6797" t="s">
        <v>80</v>
      </c>
      <c r="W6797" t="s">
        <v>81</v>
      </c>
      <c r="X6797" t="s">
        <v>58</v>
      </c>
      <c r="Y6797">
        <v>24</v>
      </c>
      <c r="Z6797" t="s">
        <v>59</v>
      </c>
      <c r="AA6797" t="s">
        <v>59</v>
      </c>
      <c r="AB6797" t="s">
        <v>59</v>
      </c>
      <c r="AC6797" t="s">
        <v>59</v>
      </c>
      <c r="AD6797" t="s">
        <v>59</v>
      </c>
      <c r="AF6797" s="1">
        <v>43348</v>
      </c>
      <c r="AG6797" t="s">
        <v>8645</v>
      </c>
      <c r="AH6797" t="s">
        <v>8646</v>
      </c>
      <c r="AI6797" t="str">
        <f>"9170002"</f>
        <v>9170002</v>
      </c>
      <c r="AJ6797" t="s">
        <v>9368</v>
      </c>
      <c r="AK6797">
        <v>2894041207</v>
      </c>
      <c r="AL6797" t="s">
        <v>9369</v>
      </c>
      <c r="AM6797" t="s">
        <v>78</v>
      </c>
      <c r="AN6797" t="s">
        <v>405</v>
      </c>
      <c r="AO6797" t="s">
        <v>551</v>
      </c>
      <c r="AP6797" t="s">
        <v>552</v>
      </c>
      <c r="AQ6797">
        <v>21</v>
      </c>
      <c r="AR6797" t="s">
        <v>80</v>
      </c>
      <c r="AS6797" t="s">
        <v>81</v>
      </c>
      <c r="AT6797" t="s">
        <v>58</v>
      </c>
      <c r="AU6797" t="s">
        <v>8673</v>
      </c>
      <c r="AV6797" t="s">
        <v>132</v>
      </c>
      <c r="AW6797" s="1">
        <v>32504</v>
      </c>
      <c r="AX6797">
        <v>1</v>
      </c>
    </row>
    <row r="6798" spans="1:50">
      <c r="B6798" t="str">
        <f>"132896264"</f>
        <v>132896264</v>
      </c>
      <c r="C6798" t="s">
        <v>105</v>
      </c>
      <c r="D6798" t="s">
        <v>11210</v>
      </c>
      <c r="E6798" t="s">
        <v>95</v>
      </c>
      <c r="F6798" t="s">
        <v>1543</v>
      </c>
      <c r="G6798" t="s">
        <v>687</v>
      </c>
      <c r="H6798" t="str">
        <f>"ΛΑΠΠΑ 13 "</f>
        <v xml:space="preserve">ΛΑΠΠΑ 13 </v>
      </c>
      <c r="I6798">
        <v>60100</v>
      </c>
      <c r="J6798">
        <v>2351034700</v>
      </c>
      <c r="K6798">
        <v>6974410313</v>
      </c>
      <c r="N6798" t="s">
        <v>337</v>
      </c>
      <c r="O6798" t="s">
        <v>338</v>
      </c>
      <c r="R6798" t="s">
        <v>159</v>
      </c>
      <c r="S6798">
        <v>2</v>
      </c>
      <c r="T6798" t="s">
        <v>8675</v>
      </c>
      <c r="U6798" s="1">
        <v>43348</v>
      </c>
      <c r="V6798" t="s">
        <v>80</v>
      </c>
      <c r="W6798" t="s">
        <v>81</v>
      </c>
      <c r="X6798" t="s">
        <v>58</v>
      </c>
      <c r="Y6798">
        <v>24</v>
      </c>
      <c r="Z6798" t="s">
        <v>59</v>
      </c>
      <c r="AA6798" t="s">
        <v>59</v>
      </c>
      <c r="AB6798" t="s">
        <v>59</v>
      </c>
      <c r="AC6798" t="s">
        <v>59</v>
      </c>
      <c r="AD6798" t="s">
        <v>59</v>
      </c>
      <c r="AF6798" s="1">
        <v>43348</v>
      </c>
      <c r="AG6798" t="s">
        <v>8645</v>
      </c>
      <c r="AH6798" t="s">
        <v>8646</v>
      </c>
      <c r="AI6798" t="str">
        <f>"9170580"</f>
        <v>9170580</v>
      </c>
      <c r="AJ6798" t="s">
        <v>9076</v>
      </c>
      <c r="AK6798">
        <v>2810542809</v>
      </c>
      <c r="AL6798" t="s">
        <v>9077</v>
      </c>
      <c r="AM6798" t="s">
        <v>78</v>
      </c>
      <c r="AN6798" t="s">
        <v>78</v>
      </c>
      <c r="AO6798" t="s">
        <v>78</v>
      </c>
      <c r="AP6798" t="s">
        <v>9053</v>
      </c>
      <c r="AQ6798">
        <v>1</v>
      </c>
      <c r="AR6798" t="s">
        <v>80</v>
      </c>
      <c r="AS6798" t="s">
        <v>81</v>
      </c>
      <c r="AT6798" t="s">
        <v>58</v>
      </c>
      <c r="AU6798" t="s">
        <v>8673</v>
      </c>
      <c r="AV6798" t="s">
        <v>132</v>
      </c>
      <c r="AW6798" s="1">
        <v>29376</v>
      </c>
      <c r="AX6798">
        <v>1</v>
      </c>
    </row>
    <row r="6799" spans="1:50">
      <c r="A6799">
        <v>608613</v>
      </c>
      <c r="B6799" t="str">
        <f>"070558049"</f>
        <v>070558049</v>
      </c>
      <c r="C6799" t="s">
        <v>50</v>
      </c>
      <c r="D6799" t="s">
        <v>5355</v>
      </c>
      <c r="E6799" t="s">
        <v>563</v>
      </c>
      <c r="F6799" t="s">
        <v>53</v>
      </c>
      <c r="G6799" t="s">
        <v>507</v>
      </c>
      <c r="H6799" t="str">
        <f>"ΓΑΥΔΟΥ 1 ΗΡΑΚΛΕΙΟ"</f>
        <v>ΓΑΥΔΟΥ 1 ΗΡΑΚΛΕΙΟ</v>
      </c>
      <c r="I6799">
        <v>71410</v>
      </c>
      <c r="J6799">
        <v>2810263343</v>
      </c>
      <c r="K6799">
        <v>6977021847</v>
      </c>
      <c r="N6799" t="s">
        <v>1525</v>
      </c>
      <c r="O6799" t="s">
        <v>1526</v>
      </c>
      <c r="R6799" t="s">
        <v>57</v>
      </c>
      <c r="S6799">
        <v>6</v>
      </c>
      <c r="T6799">
        <v>217</v>
      </c>
      <c r="U6799" s="1">
        <v>38596</v>
      </c>
      <c r="V6799" t="s">
        <v>80</v>
      </c>
      <c r="W6799" t="s">
        <v>81</v>
      </c>
      <c r="X6799" t="s">
        <v>58</v>
      </c>
      <c r="Y6799">
        <v>25</v>
      </c>
      <c r="Z6799" t="s">
        <v>59</v>
      </c>
      <c r="AA6799" t="s">
        <v>59</v>
      </c>
      <c r="AB6799" t="s">
        <v>59</v>
      </c>
      <c r="AC6799" t="s">
        <v>59</v>
      </c>
      <c r="AD6799" t="s">
        <v>59</v>
      </c>
      <c r="AF6799" s="1">
        <v>38600</v>
      </c>
      <c r="AG6799" t="s">
        <v>8651</v>
      </c>
      <c r="AH6799" t="s">
        <v>8652</v>
      </c>
      <c r="AI6799" t="str">
        <f>"9170498"</f>
        <v>9170498</v>
      </c>
      <c r="AJ6799" t="s">
        <v>10314</v>
      </c>
      <c r="AK6799">
        <v>2810315220</v>
      </c>
      <c r="AL6799" t="s">
        <v>10315</v>
      </c>
      <c r="AM6799" t="s">
        <v>78</v>
      </c>
      <c r="AN6799" t="s">
        <v>78</v>
      </c>
      <c r="AO6799" t="s">
        <v>78</v>
      </c>
      <c r="AP6799" t="s">
        <v>79</v>
      </c>
      <c r="AQ6799">
        <v>1</v>
      </c>
      <c r="AR6799" t="s">
        <v>80</v>
      </c>
      <c r="AS6799" t="s">
        <v>81</v>
      </c>
      <c r="AT6799" t="s">
        <v>58</v>
      </c>
      <c r="AU6799" t="s">
        <v>68</v>
      </c>
      <c r="AV6799" t="s">
        <v>69</v>
      </c>
      <c r="AW6799" s="1">
        <v>30016</v>
      </c>
      <c r="AX6799">
        <v>1</v>
      </c>
    </row>
    <row r="6800" spans="1:50">
      <c r="B6800" t="str">
        <f>"149973174"</f>
        <v>149973174</v>
      </c>
      <c r="C6800" t="s">
        <v>50</v>
      </c>
      <c r="D6800" t="s">
        <v>5360</v>
      </c>
      <c r="E6800" t="s">
        <v>372</v>
      </c>
      <c r="F6800" t="s">
        <v>670</v>
      </c>
      <c r="G6800" t="s">
        <v>255</v>
      </c>
      <c r="H6800" t="str">
        <f>"ΚΟΙΜΗΣΕΩΣ ΘΕΟΤΟΚΟΥ 32 "</f>
        <v xml:space="preserve">ΚΟΙΜΗΣΕΩΣ ΘΕΟΤΟΚΟΥ 32 </v>
      </c>
      <c r="I6800">
        <v>16121</v>
      </c>
      <c r="J6800">
        <v>2107225954</v>
      </c>
      <c r="K6800">
        <v>6984744036</v>
      </c>
      <c r="N6800" t="s">
        <v>615</v>
      </c>
      <c r="O6800" t="s">
        <v>616</v>
      </c>
      <c r="R6800" t="s">
        <v>159</v>
      </c>
      <c r="S6800">
        <v>3</v>
      </c>
      <c r="T6800" t="s">
        <v>8675</v>
      </c>
      <c r="U6800" s="1">
        <v>43348</v>
      </c>
      <c r="V6800" t="s">
        <v>80</v>
      </c>
      <c r="W6800" t="s">
        <v>81</v>
      </c>
      <c r="X6800" t="s">
        <v>58</v>
      </c>
      <c r="Y6800">
        <v>24</v>
      </c>
      <c r="Z6800" t="s">
        <v>59</v>
      </c>
      <c r="AA6800" t="s">
        <v>59</v>
      </c>
      <c r="AB6800" t="s">
        <v>59</v>
      </c>
      <c r="AC6800" t="s">
        <v>59</v>
      </c>
      <c r="AD6800" t="s">
        <v>59</v>
      </c>
      <c r="AF6800" s="1">
        <v>43348</v>
      </c>
      <c r="AG6800" t="s">
        <v>8645</v>
      </c>
      <c r="AH6800" t="s">
        <v>8646</v>
      </c>
      <c r="AI6800" t="str">
        <f>"9170267"</f>
        <v>9170267</v>
      </c>
      <c r="AJ6800" t="s">
        <v>8840</v>
      </c>
      <c r="AK6800">
        <v>2892022320</v>
      </c>
      <c r="AL6800" t="s">
        <v>8841</v>
      </c>
      <c r="AM6800" t="s">
        <v>78</v>
      </c>
      <c r="AN6800" t="s">
        <v>242</v>
      </c>
      <c r="AO6800" t="s">
        <v>243</v>
      </c>
      <c r="AP6800" t="s">
        <v>243</v>
      </c>
      <c r="AQ6800">
        <v>20</v>
      </c>
      <c r="AR6800" t="s">
        <v>80</v>
      </c>
      <c r="AS6800" t="s">
        <v>81</v>
      </c>
      <c r="AT6800" t="s">
        <v>58</v>
      </c>
      <c r="AU6800" t="s">
        <v>8673</v>
      </c>
      <c r="AV6800" t="s">
        <v>132</v>
      </c>
      <c r="AW6800" s="1">
        <v>32175</v>
      </c>
      <c r="AX6800">
        <v>1</v>
      </c>
    </row>
    <row r="6801" spans="1:50">
      <c r="B6801" t="str">
        <f>"127299647"</f>
        <v>127299647</v>
      </c>
      <c r="C6801" t="s">
        <v>105</v>
      </c>
      <c r="D6801" t="s">
        <v>11211</v>
      </c>
      <c r="E6801" t="s">
        <v>95</v>
      </c>
      <c r="F6801" t="s">
        <v>989</v>
      </c>
      <c r="G6801" t="s">
        <v>83</v>
      </c>
      <c r="H6801" t="str">
        <f>"ΥΨΗΛΑΝΤΟΥ 1 "</f>
        <v xml:space="preserve">ΥΨΗΛΑΝΤΟΥ 1 </v>
      </c>
      <c r="I6801">
        <v>58400</v>
      </c>
      <c r="J6801">
        <v>2384025126</v>
      </c>
      <c r="K6801">
        <v>6984886640</v>
      </c>
      <c r="N6801" t="s">
        <v>615</v>
      </c>
      <c r="O6801" t="s">
        <v>616</v>
      </c>
      <c r="R6801" t="s">
        <v>159</v>
      </c>
      <c r="S6801">
        <v>2</v>
      </c>
      <c r="T6801" t="s">
        <v>8675</v>
      </c>
      <c r="U6801" s="1">
        <v>43348</v>
      </c>
      <c r="V6801" t="s">
        <v>80</v>
      </c>
      <c r="W6801" t="s">
        <v>81</v>
      </c>
      <c r="X6801" t="s">
        <v>58</v>
      </c>
      <c r="Y6801">
        <v>24</v>
      </c>
      <c r="Z6801" t="s">
        <v>59</v>
      </c>
      <c r="AA6801" t="s">
        <v>59</v>
      </c>
      <c r="AB6801" t="s">
        <v>59</v>
      </c>
      <c r="AC6801" t="s">
        <v>59</v>
      </c>
      <c r="AD6801" t="s">
        <v>59</v>
      </c>
      <c r="AF6801" s="1">
        <v>43348</v>
      </c>
      <c r="AG6801" t="s">
        <v>8645</v>
      </c>
      <c r="AH6801" t="s">
        <v>8646</v>
      </c>
      <c r="AI6801" t="str">
        <f>"9170041"</f>
        <v>9170041</v>
      </c>
      <c r="AJ6801" t="s">
        <v>9638</v>
      </c>
      <c r="AK6801">
        <v>2894022150</v>
      </c>
      <c r="AL6801" t="s">
        <v>9639</v>
      </c>
      <c r="AM6801" t="s">
        <v>78</v>
      </c>
      <c r="AN6801" t="s">
        <v>405</v>
      </c>
      <c r="AO6801" t="s">
        <v>406</v>
      </c>
      <c r="AP6801" t="s">
        <v>8893</v>
      </c>
      <c r="AQ6801">
        <v>6</v>
      </c>
      <c r="AR6801" t="s">
        <v>80</v>
      </c>
      <c r="AS6801" t="s">
        <v>81</v>
      </c>
      <c r="AT6801" t="s">
        <v>58</v>
      </c>
      <c r="AU6801" t="s">
        <v>8673</v>
      </c>
      <c r="AV6801" t="s">
        <v>132</v>
      </c>
      <c r="AW6801" s="1">
        <v>31916</v>
      </c>
      <c r="AX6801">
        <v>1</v>
      </c>
    </row>
    <row r="6802" spans="1:50">
      <c r="B6802" t="str">
        <f>"127299635"</f>
        <v>127299635</v>
      </c>
      <c r="C6802" t="s">
        <v>105</v>
      </c>
      <c r="D6802" t="s">
        <v>11211</v>
      </c>
      <c r="E6802" t="s">
        <v>99</v>
      </c>
      <c r="F6802" t="s">
        <v>989</v>
      </c>
      <c r="G6802" t="s">
        <v>83</v>
      </c>
      <c r="H6802" t="str">
        <f>"ΥΨΗΛΑΝΤΟΥ 1 "</f>
        <v xml:space="preserve">ΥΨΗΛΑΝΤΟΥ 1 </v>
      </c>
      <c r="I6802">
        <v>58400</v>
      </c>
      <c r="J6802">
        <v>2384025126</v>
      </c>
      <c r="K6802">
        <v>6985773707</v>
      </c>
      <c r="N6802" t="s">
        <v>615</v>
      </c>
      <c r="O6802" t="s">
        <v>616</v>
      </c>
      <c r="R6802" t="s">
        <v>159</v>
      </c>
      <c r="S6802">
        <v>2</v>
      </c>
      <c r="T6802" t="s">
        <v>8675</v>
      </c>
      <c r="U6802" s="1">
        <v>43348</v>
      </c>
      <c r="V6802" t="s">
        <v>80</v>
      </c>
      <c r="W6802" t="s">
        <v>81</v>
      </c>
      <c r="X6802" t="s">
        <v>58</v>
      </c>
      <c r="Y6802">
        <v>24</v>
      </c>
      <c r="Z6802" t="s">
        <v>59</v>
      </c>
      <c r="AA6802" t="s">
        <v>59</v>
      </c>
      <c r="AB6802" t="s">
        <v>59</v>
      </c>
      <c r="AC6802" t="s">
        <v>59</v>
      </c>
      <c r="AD6802" t="s">
        <v>59</v>
      </c>
      <c r="AF6802" s="1">
        <v>43348</v>
      </c>
      <c r="AG6802" t="s">
        <v>8645</v>
      </c>
      <c r="AH6802" t="s">
        <v>8646</v>
      </c>
      <c r="AI6802" t="str">
        <f>"9170205"</f>
        <v>9170205</v>
      </c>
      <c r="AJ6802" t="s">
        <v>8794</v>
      </c>
      <c r="AK6802">
        <v>2810762030</v>
      </c>
      <c r="AL6802" t="s">
        <v>8795</v>
      </c>
      <c r="AM6802" t="s">
        <v>78</v>
      </c>
      <c r="AN6802" t="s">
        <v>219</v>
      </c>
      <c r="AO6802" t="s">
        <v>297</v>
      </c>
      <c r="AP6802" t="s">
        <v>8796</v>
      </c>
      <c r="AQ6802">
        <v>7</v>
      </c>
      <c r="AR6802" t="s">
        <v>80</v>
      </c>
      <c r="AS6802" t="s">
        <v>81</v>
      </c>
      <c r="AT6802" t="s">
        <v>58</v>
      </c>
      <c r="AU6802" t="s">
        <v>8673</v>
      </c>
      <c r="AV6802" t="s">
        <v>132</v>
      </c>
      <c r="AW6802" s="1">
        <v>31157</v>
      </c>
      <c r="AX6802">
        <v>1</v>
      </c>
    </row>
    <row r="6803" spans="1:50">
      <c r="B6803" t="str">
        <f>"052412540"</f>
        <v>052412540</v>
      </c>
      <c r="C6803" t="s">
        <v>50</v>
      </c>
      <c r="D6803" t="s">
        <v>11212</v>
      </c>
      <c r="E6803" t="s">
        <v>11213</v>
      </c>
      <c r="F6803" t="s">
        <v>450</v>
      </c>
      <c r="G6803" t="s">
        <v>52</v>
      </c>
      <c r="H6803" t="str">
        <f>"ΔΕΡΒΕΝΑΚΙΩΝ 31 "</f>
        <v xml:space="preserve">ΔΕΡΒΕΝΑΚΙΩΝ 31 </v>
      </c>
      <c r="I6803">
        <v>15343</v>
      </c>
      <c r="J6803">
        <v>2106080071</v>
      </c>
      <c r="K6803">
        <v>6977848511</v>
      </c>
      <c r="N6803" t="s">
        <v>1525</v>
      </c>
      <c r="O6803" t="s">
        <v>1526</v>
      </c>
      <c r="R6803" t="s">
        <v>159</v>
      </c>
      <c r="S6803">
        <v>3</v>
      </c>
      <c r="T6803" t="s">
        <v>8670</v>
      </c>
      <c r="U6803" s="1">
        <v>43348</v>
      </c>
      <c r="V6803" t="s">
        <v>80</v>
      </c>
      <c r="W6803" t="s">
        <v>81</v>
      </c>
      <c r="X6803" t="s">
        <v>58</v>
      </c>
      <c r="Y6803">
        <v>25</v>
      </c>
      <c r="Z6803" t="s">
        <v>59</v>
      </c>
      <c r="AA6803" t="s">
        <v>59</v>
      </c>
      <c r="AB6803" t="s">
        <v>59</v>
      </c>
      <c r="AC6803" t="s">
        <v>59</v>
      </c>
      <c r="AD6803" t="s">
        <v>59</v>
      </c>
      <c r="AF6803" s="1">
        <v>43348</v>
      </c>
      <c r="AG6803" t="s">
        <v>8651</v>
      </c>
      <c r="AH6803" t="s">
        <v>8652</v>
      </c>
      <c r="AI6803" t="str">
        <f>"9170506"</f>
        <v>9170506</v>
      </c>
      <c r="AJ6803" t="s">
        <v>8758</v>
      </c>
      <c r="AK6803">
        <v>2810312448</v>
      </c>
      <c r="AL6803" t="s">
        <v>8759</v>
      </c>
      <c r="AM6803" t="s">
        <v>78</v>
      </c>
      <c r="AN6803" t="s">
        <v>78</v>
      </c>
      <c r="AO6803" t="s">
        <v>78</v>
      </c>
      <c r="AP6803" t="s">
        <v>141</v>
      </c>
      <c r="AQ6803">
        <v>1</v>
      </c>
      <c r="AR6803" t="s">
        <v>80</v>
      </c>
      <c r="AS6803" t="s">
        <v>81</v>
      </c>
      <c r="AT6803" t="s">
        <v>58</v>
      </c>
      <c r="AU6803" t="s">
        <v>8673</v>
      </c>
      <c r="AV6803" t="s">
        <v>132</v>
      </c>
      <c r="AW6803" s="1">
        <v>26279</v>
      </c>
      <c r="AX6803">
        <v>1</v>
      </c>
    </row>
    <row r="6804" spans="1:50">
      <c r="B6804" t="str">
        <f>"144724120"</f>
        <v>144724120</v>
      </c>
      <c r="C6804" t="s">
        <v>50</v>
      </c>
      <c r="D6804" t="s">
        <v>11214</v>
      </c>
      <c r="E6804" t="s">
        <v>83</v>
      </c>
      <c r="F6804" t="s">
        <v>510</v>
      </c>
      <c r="H6804" t="str">
        <f>" "</f>
        <v xml:space="preserve"> </v>
      </c>
      <c r="N6804" t="s">
        <v>683</v>
      </c>
      <c r="O6804" t="s">
        <v>684</v>
      </c>
      <c r="R6804" t="s">
        <v>159</v>
      </c>
      <c r="S6804">
        <v>1</v>
      </c>
      <c r="T6804" t="s">
        <v>8675</v>
      </c>
      <c r="U6804" s="1">
        <v>43348</v>
      </c>
      <c r="V6804" t="s">
        <v>80</v>
      </c>
      <c r="W6804" t="s">
        <v>81</v>
      </c>
      <c r="X6804" t="s">
        <v>58</v>
      </c>
      <c r="Y6804">
        <v>24</v>
      </c>
      <c r="Z6804" t="s">
        <v>59</v>
      </c>
      <c r="AA6804" t="s">
        <v>59</v>
      </c>
      <c r="AB6804" t="s">
        <v>59</v>
      </c>
      <c r="AC6804" t="s">
        <v>59</v>
      </c>
      <c r="AD6804" t="s">
        <v>59</v>
      </c>
      <c r="AF6804" s="1">
        <v>43348</v>
      </c>
      <c r="AG6804" t="s">
        <v>8645</v>
      </c>
      <c r="AH6804" t="s">
        <v>8646</v>
      </c>
      <c r="AI6804" t="str">
        <f>"9170259"</f>
        <v>9170259</v>
      </c>
      <c r="AJ6804" t="s">
        <v>8784</v>
      </c>
      <c r="AK6804">
        <v>6994891960</v>
      </c>
      <c r="AL6804" t="s">
        <v>8785</v>
      </c>
      <c r="AM6804" t="s">
        <v>78</v>
      </c>
      <c r="AN6804" t="s">
        <v>78</v>
      </c>
      <c r="AO6804" t="s">
        <v>78</v>
      </c>
      <c r="AP6804" t="s">
        <v>213</v>
      </c>
      <c r="AQ6804">
        <v>1</v>
      </c>
      <c r="AR6804" t="s">
        <v>80</v>
      </c>
      <c r="AS6804" t="s">
        <v>81</v>
      </c>
      <c r="AT6804" t="s">
        <v>58</v>
      </c>
      <c r="AU6804" t="s">
        <v>8673</v>
      </c>
      <c r="AV6804" t="s">
        <v>132</v>
      </c>
      <c r="AW6804" s="1">
        <v>32143</v>
      </c>
      <c r="AX6804">
        <v>1</v>
      </c>
    </row>
    <row r="6805" spans="1:50">
      <c r="B6805" t="str">
        <f>"138375353"</f>
        <v>138375353</v>
      </c>
      <c r="C6805" t="s">
        <v>50</v>
      </c>
      <c r="D6805" t="s">
        <v>11215</v>
      </c>
      <c r="E6805" t="s">
        <v>11216</v>
      </c>
      <c r="F6805" t="s">
        <v>11217</v>
      </c>
      <c r="G6805" t="s">
        <v>2248</v>
      </c>
      <c r="H6805" t="str">
        <f>" "</f>
        <v xml:space="preserve"> </v>
      </c>
      <c r="N6805" t="s">
        <v>1525</v>
      </c>
      <c r="O6805" t="s">
        <v>1526</v>
      </c>
      <c r="R6805" t="s">
        <v>159</v>
      </c>
      <c r="S6805">
        <v>1</v>
      </c>
      <c r="T6805" t="s">
        <v>8670</v>
      </c>
      <c r="U6805" s="1">
        <v>43348</v>
      </c>
      <c r="V6805" t="s">
        <v>80</v>
      </c>
      <c r="W6805" t="s">
        <v>81</v>
      </c>
      <c r="X6805" t="s">
        <v>58</v>
      </c>
      <c r="Y6805">
        <v>25</v>
      </c>
      <c r="Z6805" t="s">
        <v>59</v>
      </c>
      <c r="AA6805" t="s">
        <v>59</v>
      </c>
      <c r="AB6805" t="s">
        <v>59</v>
      </c>
      <c r="AD6805" t="s">
        <v>59</v>
      </c>
      <c r="AF6805" s="1">
        <v>43348</v>
      </c>
      <c r="AG6805" t="s">
        <v>8651</v>
      </c>
      <c r="AH6805" t="s">
        <v>8652</v>
      </c>
      <c r="AI6805" t="str">
        <f>"9170145"</f>
        <v>9170145</v>
      </c>
      <c r="AJ6805" t="s">
        <v>11153</v>
      </c>
      <c r="AK6805">
        <v>2891023133</v>
      </c>
      <c r="AL6805" t="s">
        <v>11154</v>
      </c>
      <c r="AM6805" t="s">
        <v>78</v>
      </c>
      <c r="AN6805" t="s">
        <v>276</v>
      </c>
      <c r="AO6805" t="s">
        <v>490</v>
      </c>
      <c r="AP6805" t="s">
        <v>490</v>
      </c>
      <c r="AQ6805">
        <v>12</v>
      </c>
      <c r="AR6805" t="s">
        <v>80</v>
      </c>
      <c r="AS6805" t="s">
        <v>81</v>
      </c>
      <c r="AT6805" t="s">
        <v>58</v>
      </c>
      <c r="AU6805" t="s">
        <v>8673</v>
      </c>
      <c r="AV6805" t="s">
        <v>132</v>
      </c>
      <c r="AW6805" s="1">
        <v>31358</v>
      </c>
      <c r="AX6805">
        <v>1</v>
      </c>
    </row>
    <row r="6806" spans="1:50">
      <c r="B6806" t="str">
        <f>"061693380"</f>
        <v>061693380</v>
      </c>
      <c r="C6806" t="s">
        <v>50</v>
      </c>
      <c r="D6806" t="s">
        <v>11218</v>
      </c>
      <c r="E6806" t="s">
        <v>372</v>
      </c>
      <c r="F6806" t="s">
        <v>309</v>
      </c>
      <c r="G6806" t="s">
        <v>83</v>
      </c>
      <c r="H6806" t="str">
        <f>" "</f>
        <v xml:space="preserve"> </v>
      </c>
      <c r="N6806" t="s">
        <v>8821</v>
      </c>
      <c r="O6806" t="s">
        <v>8822</v>
      </c>
      <c r="R6806" t="s">
        <v>121</v>
      </c>
      <c r="S6806">
        <v>1</v>
      </c>
      <c r="T6806" t="s">
        <v>8696</v>
      </c>
      <c r="U6806" s="1">
        <v>43348</v>
      </c>
      <c r="V6806" t="s">
        <v>80</v>
      </c>
      <c r="W6806" t="s">
        <v>81</v>
      </c>
      <c r="X6806" t="s">
        <v>58</v>
      </c>
      <c r="Y6806">
        <v>24</v>
      </c>
      <c r="Z6806" t="s">
        <v>59</v>
      </c>
      <c r="AA6806" t="s">
        <v>59</v>
      </c>
      <c r="AB6806" t="s">
        <v>59</v>
      </c>
      <c r="AD6806" t="s">
        <v>59</v>
      </c>
      <c r="AF6806" s="1">
        <v>43348</v>
      </c>
      <c r="AG6806" t="s">
        <v>8645</v>
      </c>
      <c r="AH6806" t="s">
        <v>8697</v>
      </c>
      <c r="AI6806" t="str">
        <f>"9170358"</f>
        <v>9170358</v>
      </c>
      <c r="AJ6806" t="s">
        <v>9378</v>
      </c>
      <c r="AK6806">
        <v>2810282028</v>
      </c>
      <c r="AL6806" t="s">
        <v>9379</v>
      </c>
      <c r="AM6806" t="s">
        <v>78</v>
      </c>
      <c r="AN6806" t="s">
        <v>78</v>
      </c>
      <c r="AO6806" t="s">
        <v>78</v>
      </c>
      <c r="AP6806" t="s">
        <v>141</v>
      </c>
      <c r="AQ6806">
        <v>1</v>
      </c>
      <c r="AR6806" t="s">
        <v>80</v>
      </c>
      <c r="AS6806" t="s">
        <v>81</v>
      </c>
      <c r="AT6806" t="s">
        <v>58</v>
      </c>
      <c r="AU6806" t="s">
        <v>350</v>
      </c>
      <c r="AV6806" t="s">
        <v>132</v>
      </c>
      <c r="AW6806" s="1">
        <v>28544</v>
      </c>
      <c r="AX6806">
        <v>1</v>
      </c>
    </row>
    <row r="6807" spans="1:50">
      <c r="A6807">
        <v>566945</v>
      </c>
      <c r="B6807" t="str">
        <f>"114568328"</f>
        <v>114568328</v>
      </c>
      <c r="C6807" t="s">
        <v>50</v>
      </c>
      <c r="D6807" t="s">
        <v>3505</v>
      </c>
      <c r="E6807" t="s">
        <v>681</v>
      </c>
      <c r="F6807" t="s">
        <v>95</v>
      </c>
      <c r="G6807" t="s">
        <v>699</v>
      </c>
      <c r="H6807" t="str">
        <f>"Γ.ΣΕΦΕΡΗ 28 Ν.ΑΛΙΚΑΡΝΑΣΣΟΣ"</f>
        <v>Γ.ΣΕΦΕΡΗ 28 Ν.ΑΛΙΚΑΡΝΑΣΣΟΣ</v>
      </c>
      <c r="I6807">
        <v>71601</v>
      </c>
      <c r="J6807">
        <v>2810220209</v>
      </c>
      <c r="K6807">
        <v>6948579910</v>
      </c>
      <c r="M6807" t="s">
        <v>11219</v>
      </c>
      <c r="N6807" t="s">
        <v>615</v>
      </c>
      <c r="O6807" t="s">
        <v>616</v>
      </c>
      <c r="R6807" t="s">
        <v>57</v>
      </c>
      <c r="S6807">
        <v>16</v>
      </c>
      <c r="T6807">
        <v>133</v>
      </c>
      <c r="U6807" s="1">
        <v>33456</v>
      </c>
      <c r="V6807" t="s">
        <v>80</v>
      </c>
      <c r="W6807" t="s">
        <v>81</v>
      </c>
      <c r="X6807" t="s">
        <v>58</v>
      </c>
      <c r="Y6807">
        <v>21</v>
      </c>
      <c r="Z6807" t="s">
        <v>59</v>
      </c>
      <c r="AA6807" t="s">
        <v>59</v>
      </c>
      <c r="AB6807" t="s">
        <v>59</v>
      </c>
      <c r="AC6807" t="s">
        <v>59</v>
      </c>
      <c r="AD6807" t="s">
        <v>59</v>
      </c>
      <c r="AF6807" s="1">
        <v>33483</v>
      </c>
      <c r="AG6807" t="s">
        <v>8645</v>
      </c>
      <c r="AH6807" t="s">
        <v>8646</v>
      </c>
      <c r="AI6807" t="str">
        <f>"9170264"</f>
        <v>9170264</v>
      </c>
      <c r="AJ6807" t="s">
        <v>8718</v>
      </c>
      <c r="AK6807">
        <v>2810332030</v>
      </c>
      <c r="AL6807" t="s">
        <v>8719</v>
      </c>
      <c r="AM6807" t="s">
        <v>78</v>
      </c>
      <c r="AN6807" t="s">
        <v>78</v>
      </c>
      <c r="AO6807" t="s">
        <v>286</v>
      </c>
      <c r="AP6807" t="s">
        <v>286</v>
      </c>
      <c r="AQ6807">
        <v>1</v>
      </c>
      <c r="AR6807" t="s">
        <v>80</v>
      </c>
      <c r="AS6807" t="s">
        <v>81</v>
      </c>
      <c r="AT6807" t="s">
        <v>58</v>
      </c>
      <c r="AU6807" t="s">
        <v>68</v>
      </c>
      <c r="AV6807" t="s">
        <v>69</v>
      </c>
      <c r="AW6807" s="1">
        <v>24195</v>
      </c>
      <c r="AX6807">
        <v>1</v>
      </c>
    </row>
    <row r="6808" spans="1:50">
      <c r="A6808">
        <v>567312</v>
      </c>
      <c r="B6808" t="str">
        <f>"037776196"</f>
        <v>037776196</v>
      </c>
      <c r="C6808" t="s">
        <v>105</v>
      </c>
      <c r="D6808" t="s">
        <v>5364</v>
      </c>
      <c r="E6808" t="s">
        <v>920</v>
      </c>
      <c r="F6808" t="s">
        <v>84</v>
      </c>
      <c r="G6808" t="s">
        <v>11220</v>
      </c>
      <c r="H6808" t="str">
        <f>"Κόδρου 7 Πατέλες"</f>
        <v>Κόδρου 7 Πατέλες</v>
      </c>
      <c r="I6808">
        <v>71307</v>
      </c>
      <c r="K6808">
        <v>6944742561</v>
      </c>
      <c r="M6808" t="s">
        <v>11221</v>
      </c>
      <c r="N6808" t="s">
        <v>615</v>
      </c>
      <c r="O6808" t="s">
        <v>616</v>
      </c>
      <c r="R6808" t="s">
        <v>57</v>
      </c>
      <c r="S6808">
        <v>13</v>
      </c>
      <c r="T6808">
        <v>133</v>
      </c>
      <c r="U6808" s="1">
        <v>33485</v>
      </c>
      <c r="V6808" t="s">
        <v>80</v>
      </c>
      <c r="W6808" t="s">
        <v>81</v>
      </c>
      <c r="X6808" t="s">
        <v>58</v>
      </c>
      <c r="Y6808">
        <v>21</v>
      </c>
      <c r="Z6808" t="s">
        <v>59</v>
      </c>
      <c r="AA6808" t="s">
        <v>59</v>
      </c>
      <c r="AB6808" t="s">
        <v>59</v>
      </c>
      <c r="AC6808" t="s">
        <v>59</v>
      </c>
      <c r="AD6808" t="s">
        <v>59</v>
      </c>
      <c r="AF6808" s="1">
        <v>33485</v>
      </c>
      <c r="AG6808" t="s">
        <v>8645</v>
      </c>
      <c r="AH6808" t="s">
        <v>8646</v>
      </c>
      <c r="AI6808" t="str">
        <f>"9170194"</f>
        <v>9170194</v>
      </c>
      <c r="AJ6808" t="s">
        <v>8768</v>
      </c>
      <c r="AK6808">
        <v>2810239611</v>
      </c>
      <c r="AL6808" t="s">
        <v>8769</v>
      </c>
      <c r="AM6808" t="s">
        <v>78</v>
      </c>
      <c r="AN6808" t="s">
        <v>78</v>
      </c>
      <c r="AO6808" t="s">
        <v>78</v>
      </c>
      <c r="AP6808" t="s">
        <v>213</v>
      </c>
      <c r="AQ6808">
        <v>1</v>
      </c>
      <c r="AR6808" t="s">
        <v>80</v>
      </c>
      <c r="AS6808" t="s">
        <v>81</v>
      </c>
      <c r="AT6808" t="s">
        <v>58</v>
      </c>
      <c r="AU6808" t="s">
        <v>68</v>
      </c>
      <c r="AV6808" t="s">
        <v>69</v>
      </c>
      <c r="AW6808" s="1">
        <v>24415</v>
      </c>
      <c r="AX6808">
        <v>1</v>
      </c>
    </row>
    <row r="6809" spans="1:50">
      <c r="B6809" t="str">
        <f>"132728139"</f>
        <v>132728139</v>
      </c>
      <c r="C6809" t="s">
        <v>105</v>
      </c>
      <c r="D6809" t="s">
        <v>11222</v>
      </c>
      <c r="E6809" t="s">
        <v>965</v>
      </c>
      <c r="F6809" t="s">
        <v>154</v>
      </c>
      <c r="G6809" t="s">
        <v>54</v>
      </c>
      <c r="H6809" t="str">
        <f>" "</f>
        <v xml:space="preserve"> </v>
      </c>
      <c r="N6809" t="s">
        <v>683</v>
      </c>
      <c r="O6809" t="s">
        <v>684</v>
      </c>
      <c r="R6809" t="s">
        <v>121</v>
      </c>
      <c r="S6809">
        <v>1</v>
      </c>
      <c r="T6809" t="s">
        <v>8675</v>
      </c>
      <c r="U6809" s="1">
        <v>43348</v>
      </c>
      <c r="V6809" t="s">
        <v>80</v>
      </c>
      <c r="W6809" t="s">
        <v>81</v>
      </c>
      <c r="X6809" t="s">
        <v>58</v>
      </c>
      <c r="Y6809">
        <v>24</v>
      </c>
      <c r="Z6809" t="s">
        <v>59</v>
      </c>
      <c r="AD6809" t="s">
        <v>59</v>
      </c>
      <c r="AF6809" s="1">
        <v>43348</v>
      </c>
      <c r="AG6809" t="s">
        <v>8645</v>
      </c>
      <c r="AH6809" t="s">
        <v>8646</v>
      </c>
      <c r="AI6809" t="str">
        <f>"9521091"</f>
        <v>9521091</v>
      </c>
      <c r="AJ6809" t="s">
        <v>8959</v>
      </c>
      <c r="AK6809">
        <v>2810370360</v>
      </c>
      <c r="AL6809" t="s">
        <v>8960</v>
      </c>
      <c r="AM6809" t="s">
        <v>78</v>
      </c>
      <c r="AN6809" t="s">
        <v>129</v>
      </c>
      <c r="AO6809" t="s">
        <v>130</v>
      </c>
      <c r="AP6809" t="s">
        <v>130</v>
      </c>
      <c r="AQ6809">
        <v>1</v>
      </c>
      <c r="AR6809" t="s">
        <v>80</v>
      </c>
      <c r="AS6809" t="s">
        <v>81</v>
      </c>
      <c r="AT6809" t="s">
        <v>58</v>
      </c>
      <c r="AU6809" t="s">
        <v>8673</v>
      </c>
      <c r="AV6809" t="s">
        <v>132</v>
      </c>
      <c r="AW6809" s="1">
        <v>31251</v>
      </c>
      <c r="AX6809">
        <v>1</v>
      </c>
    </row>
    <row r="6810" spans="1:50">
      <c r="A6810">
        <v>595589</v>
      </c>
      <c r="B6810" t="str">
        <f>"054348488"</f>
        <v>054348488</v>
      </c>
      <c r="C6810" t="s">
        <v>50</v>
      </c>
      <c r="D6810" t="s">
        <v>11223</v>
      </c>
      <c r="E6810" t="s">
        <v>600</v>
      </c>
      <c r="F6810" t="s">
        <v>995</v>
      </c>
      <c r="G6810" t="s">
        <v>460</v>
      </c>
      <c r="H6810" t="str">
        <f>" "</f>
        <v xml:space="preserve"> </v>
      </c>
      <c r="J6810">
        <v>2810346889</v>
      </c>
      <c r="N6810" t="s">
        <v>1525</v>
      </c>
      <c r="O6810" t="s">
        <v>1526</v>
      </c>
      <c r="R6810" t="s">
        <v>57</v>
      </c>
      <c r="S6810">
        <v>12</v>
      </c>
      <c r="T6810">
        <v>218</v>
      </c>
      <c r="U6810" s="1">
        <v>37134</v>
      </c>
      <c r="V6810" t="s">
        <v>80</v>
      </c>
      <c r="W6810" t="s">
        <v>81</v>
      </c>
      <c r="X6810" t="s">
        <v>58</v>
      </c>
      <c r="Y6810">
        <v>25</v>
      </c>
      <c r="Z6810" t="s">
        <v>59</v>
      </c>
      <c r="AA6810" t="s">
        <v>59</v>
      </c>
      <c r="AB6810" t="s">
        <v>59</v>
      </c>
      <c r="AC6810" t="s">
        <v>59</v>
      </c>
      <c r="AD6810" t="s">
        <v>59</v>
      </c>
      <c r="AF6810" s="1">
        <v>37138</v>
      </c>
      <c r="AG6810" t="s">
        <v>8651</v>
      </c>
      <c r="AH6810" t="s">
        <v>8652</v>
      </c>
      <c r="AI6810" t="str">
        <f>"9170441"</f>
        <v>9170441</v>
      </c>
      <c r="AJ6810" t="s">
        <v>10839</v>
      </c>
      <c r="AK6810">
        <v>2810741759</v>
      </c>
      <c r="AL6810" t="s">
        <v>10840</v>
      </c>
      <c r="AM6810" t="s">
        <v>78</v>
      </c>
      <c r="AN6810" t="s">
        <v>424</v>
      </c>
      <c r="AO6810" t="s">
        <v>428</v>
      </c>
      <c r="AP6810" t="s">
        <v>8766</v>
      </c>
      <c r="AQ6810">
        <v>11</v>
      </c>
      <c r="AR6810" t="s">
        <v>80</v>
      </c>
      <c r="AS6810" t="s">
        <v>81</v>
      </c>
      <c r="AT6810" t="s">
        <v>58</v>
      </c>
      <c r="AU6810" t="s">
        <v>68</v>
      </c>
      <c r="AV6810" t="s">
        <v>69</v>
      </c>
      <c r="AW6810" s="1">
        <v>25029</v>
      </c>
      <c r="AX6810">
        <v>1</v>
      </c>
    </row>
    <row r="6811" spans="1:50">
      <c r="B6811" t="str">
        <f>"102935744"</f>
        <v>102935744</v>
      </c>
      <c r="C6811" t="s">
        <v>105</v>
      </c>
      <c r="D6811" t="s">
        <v>11224</v>
      </c>
      <c r="E6811" t="s">
        <v>95</v>
      </c>
      <c r="F6811" t="s">
        <v>670</v>
      </c>
      <c r="G6811" t="s">
        <v>83</v>
      </c>
      <c r="H6811" t="str">
        <f>"ΗΡΑΚΛΗ 63 ΗΡΑΚΛΕΙΟ"</f>
        <v>ΗΡΑΚΛΗ 63 ΗΡΑΚΛΕΙΟ</v>
      </c>
      <c r="I6811">
        <v>71305</v>
      </c>
      <c r="J6811">
        <v>2310942694</v>
      </c>
      <c r="K6811">
        <v>6951234400</v>
      </c>
      <c r="L6811">
        <v>6937919673</v>
      </c>
      <c r="M6811" t="s">
        <v>11225</v>
      </c>
      <c r="N6811" t="s">
        <v>204</v>
      </c>
      <c r="O6811" t="s">
        <v>205</v>
      </c>
      <c r="R6811" t="s">
        <v>159</v>
      </c>
      <c r="S6811">
        <v>2</v>
      </c>
      <c r="T6811" t="s">
        <v>8675</v>
      </c>
      <c r="U6811" s="1">
        <v>43348</v>
      </c>
      <c r="V6811" t="s">
        <v>80</v>
      </c>
      <c r="W6811" t="s">
        <v>81</v>
      </c>
      <c r="X6811" t="s">
        <v>58</v>
      </c>
      <c r="Y6811">
        <v>24</v>
      </c>
      <c r="Z6811" t="s">
        <v>59</v>
      </c>
      <c r="AA6811" t="s">
        <v>59</v>
      </c>
      <c r="AB6811" t="s">
        <v>59</v>
      </c>
      <c r="AC6811" t="s">
        <v>59</v>
      </c>
      <c r="AD6811" t="s">
        <v>59</v>
      </c>
      <c r="AF6811" s="1">
        <v>43348</v>
      </c>
      <c r="AG6811" t="s">
        <v>8645</v>
      </c>
      <c r="AH6811" t="s">
        <v>8646</v>
      </c>
      <c r="AI6811" t="str">
        <f>"9170039"</f>
        <v>9170039</v>
      </c>
      <c r="AJ6811" t="s">
        <v>8804</v>
      </c>
      <c r="AK6811">
        <v>2894022231</v>
      </c>
      <c r="AL6811" t="s">
        <v>8805</v>
      </c>
      <c r="AM6811" t="s">
        <v>78</v>
      </c>
      <c r="AN6811" t="s">
        <v>405</v>
      </c>
      <c r="AO6811" t="s">
        <v>406</v>
      </c>
      <c r="AP6811" t="s">
        <v>406</v>
      </c>
      <c r="AQ6811">
        <v>6</v>
      </c>
      <c r="AR6811" t="s">
        <v>80</v>
      </c>
      <c r="AS6811" t="s">
        <v>81</v>
      </c>
      <c r="AT6811" t="s">
        <v>58</v>
      </c>
      <c r="AU6811" t="s">
        <v>8673</v>
      </c>
      <c r="AV6811" t="s">
        <v>132</v>
      </c>
      <c r="AW6811" s="1">
        <v>29140</v>
      </c>
      <c r="AX6811">
        <v>1</v>
      </c>
    </row>
    <row r="6812" spans="1:50">
      <c r="A6812">
        <v>562283</v>
      </c>
      <c r="B6812" t="str">
        <f>"032222402"</f>
        <v>032222402</v>
      </c>
      <c r="C6812" t="s">
        <v>50</v>
      </c>
      <c r="D6812" t="s">
        <v>11226</v>
      </c>
      <c r="E6812" t="s">
        <v>5556</v>
      </c>
      <c r="F6812" t="s">
        <v>1185</v>
      </c>
      <c r="G6812" t="s">
        <v>114</v>
      </c>
      <c r="H6812" t="str">
        <f>"ΑΓ. ΙΩΑΝΝΟΥ ΞΕΝΟΥ 6  ΗΡΑΚΛΕΙΟ"</f>
        <v>ΑΓ. ΙΩΑΝΝΟΥ ΞΕΝΟΥ 6  ΗΡΑΚΛΕΙΟ</v>
      </c>
      <c r="I6812">
        <v>71305</v>
      </c>
      <c r="J6812">
        <v>2810262583</v>
      </c>
      <c r="K6812">
        <v>6978640487</v>
      </c>
      <c r="N6812" t="s">
        <v>615</v>
      </c>
      <c r="O6812" t="s">
        <v>616</v>
      </c>
      <c r="R6812" t="s">
        <v>57</v>
      </c>
      <c r="S6812">
        <v>15</v>
      </c>
      <c r="T6812">
        <v>187</v>
      </c>
      <c r="U6812" s="1">
        <v>32750</v>
      </c>
      <c r="V6812" t="s">
        <v>80</v>
      </c>
      <c r="W6812" t="s">
        <v>81</v>
      </c>
      <c r="X6812" t="s">
        <v>58</v>
      </c>
      <c r="Y6812">
        <v>21</v>
      </c>
      <c r="Z6812" t="s">
        <v>59</v>
      </c>
      <c r="AA6812" t="s">
        <v>59</v>
      </c>
      <c r="AB6812" t="s">
        <v>59</v>
      </c>
      <c r="AC6812" t="s">
        <v>59</v>
      </c>
      <c r="AD6812" t="s">
        <v>59</v>
      </c>
      <c r="AF6812" s="1">
        <v>32756</v>
      </c>
      <c r="AG6812" t="s">
        <v>8645</v>
      </c>
      <c r="AH6812" t="s">
        <v>8646</v>
      </c>
      <c r="AI6812" t="str">
        <f>"9170425"</f>
        <v>9170425</v>
      </c>
      <c r="AJ6812" t="s">
        <v>9350</v>
      </c>
      <c r="AK6812">
        <v>2810250261</v>
      </c>
      <c r="AL6812" t="s">
        <v>9351</v>
      </c>
      <c r="AM6812" t="s">
        <v>78</v>
      </c>
      <c r="AN6812" t="s">
        <v>78</v>
      </c>
      <c r="AO6812" t="s">
        <v>78</v>
      </c>
      <c r="AP6812" t="s">
        <v>141</v>
      </c>
      <c r="AQ6812">
        <v>1</v>
      </c>
      <c r="AR6812" t="s">
        <v>80</v>
      </c>
      <c r="AS6812" t="s">
        <v>81</v>
      </c>
      <c r="AT6812" t="s">
        <v>58</v>
      </c>
      <c r="AU6812" t="s">
        <v>68</v>
      </c>
      <c r="AV6812" t="s">
        <v>69</v>
      </c>
      <c r="AW6812" s="1">
        <v>23681</v>
      </c>
      <c r="AX6812">
        <v>1</v>
      </c>
    </row>
    <row r="6813" spans="1:50">
      <c r="A6813">
        <v>610195</v>
      </c>
      <c r="B6813" t="str">
        <f>"125617486"</f>
        <v>125617486</v>
      </c>
      <c r="C6813" t="s">
        <v>50</v>
      </c>
      <c r="D6813" t="s">
        <v>11227</v>
      </c>
      <c r="E6813" t="s">
        <v>52</v>
      </c>
      <c r="F6813" t="s">
        <v>95</v>
      </c>
      <c r="G6813" t="s">
        <v>460</v>
      </c>
      <c r="H6813" t="str">
        <f>"ΖΑΡΟΣ ΗΡΑΚΛΕΙΟ"</f>
        <v>ΖΑΡΟΣ ΗΡΑΚΛΕΙΟ</v>
      </c>
      <c r="I6813">
        <v>70002</v>
      </c>
      <c r="J6813">
        <v>2894031223</v>
      </c>
      <c r="K6813">
        <v>6976070198</v>
      </c>
      <c r="N6813" t="s">
        <v>615</v>
      </c>
      <c r="O6813" t="s">
        <v>616</v>
      </c>
      <c r="R6813" t="s">
        <v>57</v>
      </c>
      <c r="S6813">
        <v>7</v>
      </c>
      <c r="T6813">
        <v>233</v>
      </c>
      <c r="U6813" s="1">
        <v>38960</v>
      </c>
      <c r="V6813" t="s">
        <v>80</v>
      </c>
      <c r="W6813" t="s">
        <v>81</v>
      </c>
      <c r="X6813" t="s">
        <v>58</v>
      </c>
      <c r="Y6813">
        <v>23</v>
      </c>
      <c r="Z6813" t="s">
        <v>59</v>
      </c>
      <c r="AA6813" t="s">
        <v>59</v>
      </c>
      <c r="AB6813" t="s">
        <v>59</v>
      </c>
      <c r="AC6813" t="s">
        <v>59</v>
      </c>
      <c r="AD6813" t="s">
        <v>59</v>
      </c>
      <c r="AF6813" s="1">
        <v>38961</v>
      </c>
      <c r="AG6813" t="s">
        <v>8645</v>
      </c>
      <c r="AH6813" t="s">
        <v>8646</v>
      </c>
      <c r="AI6813" t="str">
        <f>"9170285"</f>
        <v>9170285</v>
      </c>
      <c r="AJ6813" t="s">
        <v>9186</v>
      </c>
      <c r="AK6813">
        <v>2894031223</v>
      </c>
      <c r="AL6813" t="s">
        <v>9187</v>
      </c>
      <c r="AM6813" t="s">
        <v>78</v>
      </c>
      <c r="AN6813" t="s">
        <v>242</v>
      </c>
      <c r="AO6813" t="s">
        <v>999</v>
      </c>
      <c r="AP6813" t="s">
        <v>999</v>
      </c>
      <c r="AQ6813">
        <v>21</v>
      </c>
      <c r="AR6813" t="s">
        <v>80</v>
      </c>
      <c r="AS6813" t="s">
        <v>81</v>
      </c>
      <c r="AT6813" t="s">
        <v>58</v>
      </c>
      <c r="AU6813" t="s">
        <v>68</v>
      </c>
      <c r="AV6813" t="s">
        <v>69</v>
      </c>
      <c r="AW6813" s="1">
        <v>28956</v>
      </c>
      <c r="AX6813">
        <v>1</v>
      </c>
    </row>
    <row r="6814" spans="1:50">
      <c r="A6814">
        <v>621346</v>
      </c>
      <c r="B6814" t="str">
        <f>"141375512"</f>
        <v>141375512</v>
      </c>
      <c r="C6814" t="s">
        <v>50</v>
      </c>
      <c r="D6814" t="s">
        <v>11228</v>
      </c>
      <c r="E6814" t="s">
        <v>513</v>
      </c>
      <c r="F6814" t="s">
        <v>72</v>
      </c>
      <c r="G6814" t="s">
        <v>96</v>
      </c>
      <c r="H6814" t="str">
        <f>"ΔΗΜΟΚΡΑΤΙΑΣ 30 ΡΕΘΥΜΝΟ"</f>
        <v>ΔΗΜΟΚΡΑΤΙΑΣ 30 ΡΕΘΥΜΝΟ</v>
      </c>
      <c r="I6814">
        <v>74100</v>
      </c>
      <c r="K6814">
        <v>6974127232</v>
      </c>
      <c r="N6814" t="s">
        <v>615</v>
      </c>
      <c r="O6814" t="s">
        <v>616</v>
      </c>
      <c r="R6814" t="s">
        <v>57</v>
      </c>
      <c r="S6814">
        <v>7</v>
      </c>
      <c r="T6814">
        <v>653</v>
      </c>
      <c r="U6814" s="1">
        <v>40043</v>
      </c>
      <c r="V6814" t="s">
        <v>80</v>
      </c>
      <c r="W6814" t="s">
        <v>81</v>
      </c>
      <c r="X6814" t="s">
        <v>58</v>
      </c>
      <c r="Y6814">
        <v>23</v>
      </c>
      <c r="Z6814" t="s">
        <v>59</v>
      </c>
      <c r="AA6814" t="s">
        <v>59</v>
      </c>
      <c r="AB6814" t="s">
        <v>59</v>
      </c>
      <c r="AC6814" t="s">
        <v>59</v>
      </c>
      <c r="AD6814" t="s">
        <v>59</v>
      </c>
      <c r="AF6814" s="1">
        <v>40043</v>
      </c>
      <c r="AG6814" t="s">
        <v>8645</v>
      </c>
      <c r="AH6814" t="s">
        <v>8646</v>
      </c>
      <c r="AI6814" t="str">
        <f>"9170058"</f>
        <v>9170058</v>
      </c>
      <c r="AJ6814" t="s">
        <v>8735</v>
      </c>
      <c r="AK6814">
        <v>2810252903</v>
      </c>
      <c r="AL6814" t="s">
        <v>8736</v>
      </c>
      <c r="AM6814" t="s">
        <v>78</v>
      </c>
      <c r="AN6814" t="s">
        <v>78</v>
      </c>
      <c r="AO6814" t="s">
        <v>78</v>
      </c>
      <c r="AP6814" t="s">
        <v>163</v>
      </c>
      <c r="AQ6814">
        <v>1</v>
      </c>
      <c r="AR6814" t="s">
        <v>80</v>
      </c>
      <c r="AS6814" t="s">
        <v>81</v>
      </c>
      <c r="AT6814" t="s">
        <v>58</v>
      </c>
      <c r="AU6814" t="s">
        <v>68</v>
      </c>
      <c r="AV6814" t="s">
        <v>69</v>
      </c>
      <c r="AW6814" s="1">
        <v>30098</v>
      </c>
      <c r="AX6814">
        <v>1</v>
      </c>
    </row>
    <row r="6815" spans="1:50">
      <c r="A6815">
        <v>620589</v>
      </c>
      <c r="B6815" t="str">
        <f>"063746199"</f>
        <v>063746199</v>
      </c>
      <c r="C6815" t="s">
        <v>105</v>
      </c>
      <c r="D6815" t="s">
        <v>11229</v>
      </c>
      <c r="E6815" t="s">
        <v>166</v>
      </c>
      <c r="F6815" t="s">
        <v>53</v>
      </c>
      <c r="G6815" t="s">
        <v>112</v>
      </c>
      <c r="H6815" t="str">
        <f>"ΚΑΝΤΑΝΟΛΕΟΝΤΟΣ 13 ΑΓΙΟΣ ΝΙΚΟΛΑΟΣ"</f>
        <v>ΚΑΝΤΑΝΟΛΕΟΝΤΟΣ 13 ΑΓΙΟΣ ΝΙΚΟΛΑΟΣ</v>
      </c>
      <c r="I6815">
        <v>72100</v>
      </c>
      <c r="J6815">
        <v>2841023036</v>
      </c>
      <c r="K6815">
        <v>6981765790</v>
      </c>
      <c r="N6815" t="s">
        <v>615</v>
      </c>
      <c r="O6815" t="s">
        <v>616</v>
      </c>
      <c r="R6815" t="s">
        <v>57</v>
      </c>
      <c r="S6815">
        <v>5</v>
      </c>
      <c r="T6815">
        <v>653</v>
      </c>
      <c r="U6815" s="1">
        <v>40043</v>
      </c>
      <c r="V6815" t="s">
        <v>80</v>
      </c>
      <c r="W6815" t="s">
        <v>81</v>
      </c>
      <c r="X6815" t="s">
        <v>58</v>
      </c>
      <c r="Y6815">
        <v>23</v>
      </c>
      <c r="Z6815" t="s">
        <v>59</v>
      </c>
      <c r="AA6815" t="s">
        <v>59</v>
      </c>
      <c r="AB6815" t="s">
        <v>59</v>
      </c>
      <c r="AC6815" t="s">
        <v>59</v>
      </c>
      <c r="AD6815" t="s">
        <v>59</v>
      </c>
      <c r="AF6815" s="1">
        <v>40043</v>
      </c>
      <c r="AG6815" t="s">
        <v>8645</v>
      </c>
      <c r="AH6815" t="s">
        <v>8646</v>
      </c>
      <c r="AI6815" t="str">
        <f>"9170107"</f>
        <v>9170107</v>
      </c>
      <c r="AJ6815" t="s">
        <v>8798</v>
      </c>
      <c r="AK6815">
        <v>2810282405</v>
      </c>
      <c r="AL6815" t="s">
        <v>8799</v>
      </c>
      <c r="AM6815" t="s">
        <v>78</v>
      </c>
      <c r="AN6815" t="s">
        <v>78</v>
      </c>
      <c r="AO6815" t="s">
        <v>78</v>
      </c>
      <c r="AP6815" t="s">
        <v>79</v>
      </c>
      <c r="AQ6815">
        <v>1</v>
      </c>
      <c r="AR6815" t="s">
        <v>80</v>
      </c>
      <c r="AS6815" t="s">
        <v>81</v>
      </c>
      <c r="AT6815" t="s">
        <v>58</v>
      </c>
      <c r="AU6815" t="s">
        <v>68</v>
      </c>
      <c r="AV6815" t="s">
        <v>69</v>
      </c>
      <c r="AW6815" s="1">
        <v>29082</v>
      </c>
      <c r="AX6815">
        <v>1</v>
      </c>
    </row>
    <row r="6816" spans="1:50">
      <c r="B6816" t="str">
        <f>"065141471"</f>
        <v>065141471</v>
      </c>
      <c r="C6816" t="s">
        <v>50</v>
      </c>
      <c r="D6816" t="s">
        <v>11230</v>
      </c>
      <c r="E6816" t="s">
        <v>112</v>
      </c>
      <c r="F6816" t="s">
        <v>383</v>
      </c>
      <c r="G6816" t="s">
        <v>52</v>
      </c>
      <c r="H6816" t="str">
        <f>"ΔΕΥΚΑΛΙΩΝΟΣ 3 "</f>
        <v xml:space="preserve">ΔΕΥΚΑΛΙΩΝΟΣ 3 </v>
      </c>
      <c r="I6816">
        <v>71201</v>
      </c>
      <c r="J6816">
        <v>2810280348</v>
      </c>
      <c r="K6816">
        <v>6977650483</v>
      </c>
      <c r="N6816" t="s">
        <v>683</v>
      </c>
      <c r="O6816" t="s">
        <v>684</v>
      </c>
      <c r="R6816" t="s">
        <v>159</v>
      </c>
      <c r="S6816">
        <v>3</v>
      </c>
      <c r="T6816" t="s">
        <v>8675</v>
      </c>
      <c r="U6816" s="1">
        <v>43348</v>
      </c>
      <c r="V6816" t="s">
        <v>80</v>
      </c>
      <c r="W6816" t="s">
        <v>81</v>
      </c>
      <c r="X6816" t="s">
        <v>58</v>
      </c>
      <c r="Y6816">
        <v>24</v>
      </c>
      <c r="Z6816" t="s">
        <v>59</v>
      </c>
      <c r="AA6816" t="s">
        <v>59</v>
      </c>
      <c r="AB6816" t="s">
        <v>59</v>
      </c>
      <c r="AC6816" t="s">
        <v>59</v>
      </c>
      <c r="AD6816" t="s">
        <v>59</v>
      </c>
      <c r="AF6816" s="1">
        <v>43348</v>
      </c>
      <c r="AG6816" t="s">
        <v>8645</v>
      </c>
      <c r="AH6816" t="s">
        <v>8646</v>
      </c>
      <c r="AI6816" t="str">
        <f>"9170190"</f>
        <v>9170190</v>
      </c>
      <c r="AJ6816" t="s">
        <v>8689</v>
      </c>
      <c r="AK6816">
        <v>2810232169</v>
      </c>
      <c r="AL6816" t="s">
        <v>8690</v>
      </c>
      <c r="AM6816" t="s">
        <v>78</v>
      </c>
      <c r="AN6816" t="s">
        <v>78</v>
      </c>
      <c r="AO6816" t="s">
        <v>78</v>
      </c>
      <c r="AP6816" t="s">
        <v>163</v>
      </c>
      <c r="AQ6816">
        <v>1</v>
      </c>
      <c r="AR6816" t="s">
        <v>80</v>
      </c>
      <c r="AS6816" t="s">
        <v>81</v>
      </c>
      <c r="AT6816" t="s">
        <v>58</v>
      </c>
      <c r="AU6816" t="s">
        <v>8673</v>
      </c>
      <c r="AV6816" t="s">
        <v>132</v>
      </c>
      <c r="AW6816" s="1">
        <v>27920</v>
      </c>
      <c r="AX6816">
        <v>1</v>
      </c>
    </row>
    <row r="6817" spans="1:50">
      <c r="A6817">
        <v>614909</v>
      </c>
      <c r="B6817" t="str">
        <f>"136889590"</f>
        <v>136889590</v>
      </c>
      <c r="C6817" t="s">
        <v>105</v>
      </c>
      <c r="D6817" t="s">
        <v>11231</v>
      </c>
      <c r="E6817" t="s">
        <v>72</v>
      </c>
      <c r="F6817" t="s">
        <v>84</v>
      </c>
      <c r="G6817" t="s">
        <v>3480</v>
      </c>
      <c r="H6817" t="str">
        <f>"Ν.ΠΛΑΣΤΗΡΑ 11 ΦΘΙΩΤΙΔΑ"</f>
        <v>Ν.ΠΛΑΣΤΗΡΑ 11 ΦΘΙΩΤΙΔΑ</v>
      </c>
      <c r="I6817">
        <v>35100</v>
      </c>
      <c r="J6817">
        <v>2231039717</v>
      </c>
      <c r="K6817">
        <v>6974704473</v>
      </c>
      <c r="M6817" t="s">
        <v>11232</v>
      </c>
      <c r="N6817" t="s">
        <v>615</v>
      </c>
      <c r="O6817" t="s">
        <v>616</v>
      </c>
      <c r="R6817" t="s">
        <v>57</v>
      </c>
      <c r="S6817">
        <v>7</v>
      </c>
      <c r="T6817">
        <v>598</v>
      </c>
      <c r="U6817" s="1">
        <v>39310</v>
      </c>
      <c r="V6817" t="s">
        <v>80</v>
      </c>
      <c r="W6817" t="s">
        <v>81</v>
      </c>
      <c r="X6817" t="s">
        <v>58</v>
      </c>
      <c r="Y6817">
        <v>23</v>
      </c>
      <c r="Z6817" t="s">
        <v>59</v>
      </c>
      <c r="AA6817" t="s">
        <v>59</v>
      </c>
      <c r="AB6817" t="s">
        <v>59</v>
      </c>
      <c r="AC6817" t="s">
        <v>59</v>
      </c>
      <c r="AD6817" t="s">
        <v>59</v>
      </c>
      <c r="AF6817" s="1">
        <v>39328</v>
      </c>
      <c r="AG6817" t="s">
        <v>8645</v>
      </c>
      <c r="AH6817" t="s">
        <v>8646</v>
      </c>
      <c r="AI6817" t="str">
        <f>"9521015"</f>
        <v>9521015</v>
      </c>
      <c r="AJ6817" t="s">
        <v>8927</v>
      </c>
      <c r="AK6817">
        <v>2897029138</v>
      </c>
      <c r="AL6817" t="s">
        <v>8928</v>
      </c>
      <c r="AM6817" t="s">
        <v>78</v>
      </c>
      <c r="AN6817" t="s">
        <v>219</v>
      </c>
      <c r="AO6817" t="s">
        <v>219</v>
      </c>
      <c r="AP6817" t="s">
        <v>220</v>
      </c>
      <c r="AQ6817">
        <v>8</v>
      </c>
      <c r="AR6817" t="s">
        <v>80</v>
      </c>
      <c r="AS6817" t="s">
        <v>81</v>
      </c>
      <c r="AT6817" t="s">
        <v>58</v>
      </c>
      <c r="AU6817" t="s">
        <v>68</v>
      </c>
      <c r="AV6817" t="s">
        <v>69</v>
      </c>
      <c r="AW6817" s="1">
        <v>30485</v>
      </c>
      <c r="AX6817">
        <v>1</v>
      </c>
    </row>
    <row r="6818" spans="1:50">
      <c r="A6818">
        <v>618727</v>
      </c>
      <c r="B6818" t="str">
        <f>"103808071"</f>
        <v>103808071</v>
      </c>
      <c r="C6818" t="s">
        <v>105</v>
      </c>
      <c r="D6818" t="s">
        <v>11233</v>
      </c>
      <c r="E6818" t="s">
        <v>108</v>
      </c>
      <c r="F6818" t="s">
        <v>99</v>
      </c>
      <c r="G6818" t="s">
        <v>250</v>
      </c>
      <c r="H6818" t="str">
        <f>"Ν. ΜΠΕΛΟΓΙΑΝΝΗ ΓΑΖΙ ΗΡΑΚΛΕΙΟ"</f>
        <v>Ν. ΜΠΕΛΟΓΙΑΝΝΗ ΓΑΖΙ ΗΡΑΚΛΕΙΟ</v>
      </c>
      <c r="I6818">
        <v>71414</v>
      </c>
      <c r="J6818">
        <v>2810821951</v>
      </c>
      <c r="K6818">
        <v>6979347722</v>
      </c>
      <c r="N6818" t="s">
        <v>615</v>
      </c>
      <c r="O6818" t="s">
        <v>616</v>
      </c>
      <c r="R6818" t="s">
        <v>57</v>
      </c>
      <c r="S6818">
        <v>5</v>
      </c>
      <c r="T6818">
        <v>774</v>
      </c>
      <c r="U6818" s="1">
        <v>39680</v>
      </c>
      <c r="V6818" t="s">
        <v>80</v>
      </c>
      <c r="W6818" t="s">
        <v>81</v>
      </c>
      <c r="X6818" t="s">
        <v>58</v>
      </c>
      <c r="Y6818">
        <v>23</v>
      </c>
      <c r="Z6818" t="s">
        <v>59</v>
      </c>
      <c r="AA6818" t="s">
        <v>59</v>
      </c>
      <c r="AB6818" t="s">
        <v>59</v>
      </c>
      <c r="AC6818" t="s">
        <v>59</v>
      </c>
      <c r="AD6818" t="s">
        <v>59</v>
      </c>
      <c r="AF6818" s="1">
        <v>39681</v>
      </c>
      <c r="AG6818" t="s">
        <v>8645</v>
      </c>
      <c r="AH6818" t="s">
        <v>8646</v>
      </c>
      <c r="AI6818" t="str">
        <f>"9170028"</f>
        <v>9170028</v>
      </c>
      <c r="AJ6818" t="s">
        <v>9791</v>
      </c>
      <c r="AK6818">
        <v>2810711204</v>
      </c>
      <c r="AL6818" t="s">
        <v>9792</v>
      </c>
      <c r="AM6818" t="s">
        <v>78</v>
      </c>
      <c r="AN6818" t="s">
        <v>129</v>
      </c>
      <c r="AO6818" t="s">
        <v>597</v>
      </c>
      <c r="AP6818" t="s">
        <v>598</v>
      </c>
      <c r="AQ6818">
        <v>4</v>
      </c>
      <c r="AR6818" t="s">
        <v>80</v>
      </c>
      <c r="AS6818" t="s">
        <v>81</v>
      </c>
      <c r="AT6818" t="s">
        <v>58</v>
      </c>
      <c r="AU6818" t="s">
        <v>68</v>
      </c>
      <c r="AV6818" t="s">
        <v>69</v>
      </c>
      <c r="AW6818" s="1">
        <v>29729</v>
      </c>
      <c r="AX6818">
        <v>1</v>
      </c>
    </row>
    <row r="6819" spans="1:50">
      <c r="A6819">
        <v>213911</v>
      </c>
      <c r="B6819" t="str">
        <f>"079450291"</f>
        <v>079450291</v>
      </c>
      <c r="C6819" t="s">
        <v>50</v>
      </c>
      <c r="D6819" t="s">
        <v>6451</v>
      </c>
      <c r="E6819" t="s">
        <v>314</v>
      </c>
      <c r="F6819" t="s">
        <v>166</v>
      </c>
      <c r="G6819" t="s">
        <v>11234</v>
      </c>
      <c r="H6819" t="str">
        <f>"ΠΟΛΥΧΡΟΝΑΚΗ  7 ΜΑΣΤΑΜΠΑΣ"</f>
        <v>ΠΟΛΥΧΡΟΝΑΚΗ  7 ΜΑΣΤΑΜΠΑΣ</v>
      </c>
      <c r="I6819">
        <v>71305</v>
      </c>
      <c r="J6819">
        <v>2810211703</v>
      </c>
      <c r="K6819">
        <v>6932652539</v>
      </c>
      <c r="N6819" t="s">
        <v>306</v>
      </c>
      <c r="O6819" t="s">
        <v>307</v>
      </c>
      <c r="R6819" t="s">
        <v>57</v>
      </c>
      <c r="S6819">
        <v>6</v>
      </c>
      <c r="T6819">
        <v>231</v>
      </c>
      <c r="U6819" s="1">
        <v>38960</v>
      </c>
      <c r="V6819" t="s">
        <v>80</v>
      </c>
      <c r="W6819" t="s">
        <v>81</v>
      </c>
      <c r="X6819" t="s">
        <v>58</v>
      </c>
      <c r="Y6819">
        <v>23</v>
      </c>
      <c r="Z6819" t="s">
        <v>59</v>
      </c>
      <c r="AA6819" t="s">
        <v>59</v>
      </c>
      <c r="AB6819" t="s">
        <v>59</v>
      </c>
      <c r="AC6819" t="s">
        <v>59</v>
      </c>
      <c r="AD6819" t="s">
        <v>59</v>
      </c>
      <c r="AF6819" s="1">
        <v>38961</v>
      </c>
      <c r="AG6819" t="s">
        <v>8645</v>
      </c>
      <c r="AH6819" t="s">
        <v>8646</v>
      </c>
      <c r="AI6819" t="str">
        <f>"9170532"</f>
        <v>9170532</v>
      </c>
      <c r="AJ6819" t="s">
        <v>8945</v>
      </c>
      <c r="AK6819">
        <v>2810250330</v>
      </c>
      <c r="AL6819" t="s">
        <v>8946</v>
      </c>
      <c r="AM6819" t="s">
        <v>78</v>
      </c>
      <c r="AN6819" t="s">
        <v>78</v>
      </c>
      <c r="AO6819" t="s">
        <v>78</v>
      </c>
      <c r="AP6819" t="s">
        <v>141</v>
      </c>
      <c r="AQ6819">
        <v>1</v>
      </c>
      <c r="AR6819" t="s">
        <v>80</v>
      </c>
      <c r="AS6819" t="s">
        <v>81</v>
      </c>
      <c r="AT6819" t="s">
        <v>58</v>
      </c>
      <c r="AU6819" t="s">
        <v>68</v>
      </c>
      <c r="AV6819" t="s">
        <v>69</v>
      </c>
      <c r="AW6819" s="1">
        <v>28985</v>
      </c>
      <c r="AX6819">
        <v>1</v>
      </c>
    </row>
    <row r="6820" spans="1:50">
      <c r="A6820">
        <v>610891</v>
      </c>
      <c r="B6820" t="str">
        <f>"141364896"</f>
        <v>141364896</v>
      </c>
      <c r="C6820" t="s">
        <v>50</v>
      </c>
      <c r="D6820" t="s">
        <v>6451</v>
      </c>
      <c r="E6820" t="s">
        <v>52</v>
      </c>
      <c r="F6820" t="s">
        <v>84</v>
      </c>
      <c r="G6820" t="s">
        <v>5180</v>
      </c>
      <c r="H6820" t="str">
        <f>" "</f>
        <v xml:space="preserve"> </v>
      </c>
      <c r="N6820" t="s">
        <v>615</v>
      </c>
      <c r="O6820" t="s">
        <v>616</v>
      </c>
      <c r="R6820" t="s">
        <v>57</v>
      </c>
      <c r="S6820">
        <v>6</v>
      </c>
      <c r="T6820">
        <v>233</v>
      </c>
      <c r="U6820" s="1">
        <v>38960</v>
      </c>
      <c r="V6820" t="s">
        <v>80</v>
      </c>
      <c r="W6820" t="s">
        <v>81</v>
      </c>
      <c r="X6820" t="s">
        <v>58</v>
      </c>
      <c r="Y6820">
        <v>23</v>
      </c>
      <c r="Z6820" t="s">
        <v>59</v>
      </c>
      <c r="AA6820" t="s">
        <v>59</v>
      </c>
      <c r="AB6820" t="s">
        <v>59</v>
      </c>
      <c r="AC6820" t="s">
        <v>59</v>
      </c>
      <c r="AD6820" t="s">
        <v>59</v>
      </c>
      <c r="AF6820" s="1">
        <v>38961</v>
      </c>
      <c r="AG6820" t="s">
        <v>8645</v>
      </c>
      <c r="AH6820" t="s">
        <v>8646</v>
      </c>
      <c r="AI6820" t="str">
        <f>"9170519"</f>
        <v>9170519</v>
      </c>
      <c r="AJ6820" t="s">
        <v>8647</v>
      </c>
      <c r="AK6820">
        <v>2810244075</v>
      </c>
      <c r="AL6820" t="s">
        <v>8648</v>
      </c>
      <c r="AM6820" t="s">
        <v>78</v>
      </c>
      <c r="AN6820" t="s">
        <v>78</v>
      </c>
      <c r="AO6820" t="s">
        <v>78</v>
      </c>
      <c r="AP6820" t="s">
        <v>213</v>
      </c>
      <c r="AQ6820">
        <v>1</v>
      </c>
      <c r="AR6820" t="s">
        <v>80</v>
      </c>
      <c r="AS6820" t="s">
        <v>81</v>
      </c>
      <c r="AT6820" t="s">
        <v>58</v>
      </c>
      <c r="AU6820" t="s">
        <v>68</v>
      </c>
      <c r="AV6820" t="s">
        <v>69</v>
      </c>
      <c r="AW6820" s="1">
        <v>26679</v>
      </c>
      <c r="AX6820">
        <v>1</v>
      </c>
    </row>
    <row r="6821" spans="1:50">
      <c r="B6821" t="str">
        <f>"136615580"</f>
        <v>136615580</v>
      </c>
      <c r="C6821" t="s">
        <v>105</v>
      </c>
      <c r="D6821" t="s">
        <v>3531</v>
      </c>
      <c r="E6821" t="s">
        <v>72</v>
      </c>
      <c r="F6821" t="s">
        <v>383</v>
      </c>
      <c r="G6821" t="s">
        <v>5322</v>
      </c>
      <c r="H6821" t="str">
        <f>"ΚΟΣΜΙΟΥ 21 "</f>
        <v xml:space="preserve">ΚΟΣΜΙΟΥ 21 </v>
      </c>
      <c r="I6821">
        <v>69100</v>
      </c>
      <c r="J6821">
        <v>2531021662</v>
      </c>
      <c r="K6821">
        <v>6936223689</v>
      </c>
      <c r="N6821" t="s">
        <v>615</v>
      </c>
      <c r="O6821" t="s">
        <v>616</v>
      </c>
      <c r="R6821" t="s">
        <v>159</v>
      </c>
      <c r="S6821">
        <v>5</v>
      </c>
      <c r="T6821" t="s">
        <v>8675</v>
      </c>
      <c r="U6821" s="1">
        <v>43348</v>
      </c>
      <c r="V6821" t="s">
        <v>80</v>
      </c>
      <c r="W6821" t="s">
        <v>81</v>
      </c>
      <c r="X6821" t="s">
        <v>58</v>
      </c>
      <c r="Y6821">
        <v>25</v>
      </c>
      <c r="Z6821" t="s">
        <v>59</v>
      </c>
      <c r="AA6821" t="s">
        <v>59</v>
      </c>
      <c r="AB6821" t="s">
        <v>59</v>
      </c>
      <c r="AC6821" t="s">
        <v>59</v>
      </c>
      <c r="AD6821" t="s">
        <v>59</v>
      </c>
      <c r="AF6821" s="1">
        <v>43348</v>
      </c>
      <c r="AG6821" t="s">
        <v>8645</v>
      </c>
      <c r="AH6821" t="s">
        <v>8676</v>
      </c>
      <c r="AI6821" t="str">
        <f>"9170123"</f>
        <v>9170123</v>
      </c>
      <c r="AJ6821" t="s">
        <v>10111</v>
      </c>
      <c r="AK6821">
        <v>2810871160</v>
      </c>
      <c r="AL6821" t="s">
        <v>10112</v>
      </c>
      <c r="AM6821" t="s">
        <v>78</v>
      </c>
      <c r="AN6821" t="s">
        <v>78</v>
      </c>
      <c r="AO6821" t="s">
        <v>437</v>
      </c>
      <c r="AP6821" t="s">
        <v>10113</v>
      </c>
      <c r="AQ6821">
        <v>5</v>
      </c>
      <c r="AR6821" t="s">
        <v>80</v>
      </c>
      <c r="AS6821" t="s">
        <v>81</v>
      </c>
      <c r="AT6821" t="s">
        <v>58</v>
      </c>
      <c r="AU6821" t="s">
        <v>8673</v>
      </c>
      <c r="AV6821" t="s">
        <v>132</v>
      </c>
      <c r="AW6821" s="1">
        <v>31982</v>
      </c>
      <c r="AX6821">
        <v>1</v>
      </c>
    </row>
    <row r="6822" spans="1:50">
      <c r="A6822">
        <v>616391</v>
      </c>
      <c r="B6822" t="str">
        <f>"038902664"</f>
        <v>038902664</v>
      </c>
      <c r="C6822" t="s">
        <v>50</v>
      </c>
      <c r="D6822" t="s">
        <v>11235</v>
      </c>
      <c r="E6822" t="s">
        <v>155</v>
      </c>
      <c r="F6822" t="s">
        <v>4358</v>
      </c>
      <c r="G6822" t="s">
        <v>250</v>
      </c>
      <c r="H6822" t="str">
        <f>"ΚΡΗΤΗΣ 4 ΗΡΑΚΛΕΙΟ"</f>
        <v>ΚΡΗΤΗΣ 4 ΗΡΑΚΛΕΙΟ</v>
      </c>
      <c r="I6822" t="s">
        <v>11236</v>
      </c>
      <c r="K6822">
        <v>6972832672</v>
      </c>
      <c r="N6822" t="s">
        <v>1525</v>
      </c>
      <c r="O6822" t="s">
        <v>1526</v>
      </c>
      <c r="R6822" t="s">
        <v>57</v>
      </c>
      <c r="S6822">
        <v>5</v>
      </c>
      <c r="T6822">
        <v>660</v>
      </c>
      <c r="U6822" s="1">
        <v>39329</v>
      </c>
      <c r="V6822" t="s">
        <v>80</v>
      </c>
      <c r="W6822" t="s">
        <v>81</v>
      </c>
      <c r="X6822" t="s">
        <v>58</v>
      </c>
      <c r="Y6822">
        <v>25</v>
      </c>
      <c r="Z6822" t="s">
        <v>59</v>
      </c>
      <c r="AA6822" t="s">
        <v>59</v>
      </c>
      <c r="AB6822" t="s">
        <v>59</v>
      </c>
      <c r="AC6822" t="s">
        <v>59</v>
      </c>
      <c r="AD6822" t="s">
        <v>59</v>
      </c>
      <c r="AF6822" s="1">
        <v>39329</v>
      </c>
      <c r="AG6822" t="s">
        <v>8651</v>
      </c>
      <c r="AH6822" t="s">
        <v>8652</v>
      </c>
      <c r="AI6822" t="str">
        <f>"9521694"</f>
        <v>9521694</v>
      </c>
      <c r="AJ6822" t="s">
        <v>11237</v>
      </c>
      <c r="AK6822">
        <v>2810262562</v>
      </c>
      <c r="AL6822" t="s">
        <v>11238</v>
      </c>
      <c r="AM6822" t="s">
        <v>78</v>
      </c>
      <c r="AN6822" t="s">
        <v>129</v>
      </c>
      <c r="AO6822" t="s">
        <v>130</v>
      </c>
      <c r="AP6822" t="s">
        <v>130</v>
      </c>
      <c r="AR6822" t="s">
        <v>80</v>
      </c>
      <c r="AS6822" t="s">
        <v>81</v>
      </c>
      <c r="AT6822" t="s">
        <v>58</v>
      </c>
      <c r="AU6822" t="s">
        <v>68</v>
      </c>
      <c r="AV6822" t="s">
        <v>69</v>
      </c>
      <c r="AW6822" s="1">
        <v>26001</v>
      </c>
      <c r="AX6822">
        <v>1</v>
      </c>
    </row>
    <row r="6823" spans="1:50">
      <c r="A6823">
        <v>208253</v>
      </c>
      <c r="B6823" t="str">
        <f>"074560811"</f>
        <v>074560811</v>
      </c>
      <c r="C6823" t="s">
        <v>105</v>
      </c>
      <c r="D6823" t="s">
        <v>11239</v>
      </c>
      <c r="E6823" t="s">
        <v>108</v>
      </c>
      <c r="F6823" t="s">
        <v>2847</v>
      </c>
      <c r="G6823" t="s">
        <v>181</v>
      </c>
      <c r="H6823" t="str">
        <f>" "</f>
        <v xml:space="preserve"> </v>
      </c>
      <c r="J6823">
        <v>2810881959</v>
      </c>
      <c r="K6823">
        <v>6947185228</v>
      </c>
      <c r="N6823" t="s">
        <v>176</v>
      </c>
      <c r="O6823" t="s">
        <v>177</v>
      </c>
      <c r="R6823" t="s">
        <v>57</v>
      </c>
      <c r="S6823">
        <v>8</v>
      </c>
      <c r="T6823">
        <v>218</v>
      </c>
      <c r="U6823" s="1">
        <v>38596</v>
      </c>
      <c r="V6823" t="s">
        <v>80</v>
      </c>
      <c r="W6823" t="s">
        <v>81</v>
      </c>
      <c r="X6823" t="s">
        <v>58</v>
      </c>
      <c r="Y6823">
        <v>22</v>
      </c>
      <c r="Z6823" t="s">
        <v>59</v>
      </c>
      <c r="AA6823" t="s">
        <v>59</v>
      </c>
      <c r="AB6823" t="s">
        <v>59</v>
      </c>
      <c r="AC6823" t="s">
        <v>59</v>
      </c>
      <c r="AD6823" t="s">
        <v>59</v>
      </c>
      <c r="AF6823" s="1">
        <v>38600</v>
      </c>
      <c r="AG6823" t="s">
        <v>8645</v>
      </c>
      <c r="AH6823" t="s">
        <v>8646</v>
      </c>
      <c r="AI6823" t="str">
        <f>"9170058"</f>
        <v>9170058</v>
      </c>
      <c r="AJ6823" t="s">
        <v>8735</v>
      </c>
      <c r="AK6823">
        <v>2810252903</v>
      </c>
      <c r="AL6823" t="s">
        <v>8736</v>
      </c>
      <c r="AM6823" t="s">
        <v>78</v>
      </c>
      <c r="AN6823" t="s">
        <v>78</v>
      </c>
      <c r="AO6823" t="s">
        <v>78</v>
      </c>
      <c r="AP6823" t="s">
        <v>163</v>
      </c>
      <c r="AQ6823">
        <v>1</v>
      </c>
      <c r="AR6823" t="s">
        <v>80</v>
      </c>
      <c r="AS6823" t="s">
        <v>81</v>
      </c>
      <c r="AT6823" t="s">
        <v>58</v>
      </c>
      <c r="AU6823" t="s">
        <v>68</v>
      </c>
      <c r="AV6823" t="s">
        <v>69</v>
      </c>
      <c r="AW6823" s="1">
        <v>25415</v>
      </c>
      <c r="AX6823">
        <v>1</v>
      </c>
    </row>
    <row r="6824" spans="1:50">
      <c r="A6824">
        <v>587642</v>
      </c>
      <c r="B6824" t="str">
        <f>"059444084"</f>
        <v>059444084</v>
      </c>
      <c r="C6824" t="s">
        <v>50</v>
      </c>
      <c r="D6824" t="s">
        <v>11240</v>
      </c>
      <c r="E6824" t="s">
        <v>314</v>
      </c>
      <c r="F6824" t="s">
        <v>72</v>
      </c>
      <c r="G6824" t="s">
        <v>658</v>
      </c>
      <c r="H6824" t="str">
        <f>" "</f>
        <v xml:space="preserve"> </v>
      </c>
      <c r="K6824">
        <v>6957161777</v>
      </c>
      <c r="N6824" t="s">
        <v>337</v>
      </c>
      <c r="O6824" t="s">
        <v>338</v>
      </c>
      <c r="R6824" t="s">
        <v>57</v>
      </c>
      <c r="S6824">
        <v>10</v>
      </c>
      <c r="T6824">
        <v>164</v>
      </c>
      <c r="U6824" s="1">
        <v>36040</v>
      </c>
      <c r="V6824" t="s">
        <v>80</v>
      </c>
      <c r="W6824" t="s">
        <v>81</v>
      </c>
      <c r="X6824" t="s">
        <v>58</v>
      </c>
      <c r="Y6824">
        <v>21</v>
      </c>
      <c r="Z6824" t="s">
        <v>59</v>
      </c>
      <c r="AA6824" t="s">
        <v>59</v>
      </c>
      <c r="AB6824" t="s">
        <v>59</v>
      </c>
      <c r="AC6824" t="s">
        <v>59</v>
      </c>
      <c r="AD6824" t="s">
        <v>59</v>
      </c>
      <c r="AF6824" s="1">
        <v>36042</v>
      </c>
      <c r="AG6824" t="s">
        <v>8645</v>
      </c>
      <c r="AH6824" t="s">
        <v>8646</v>
      </c>
      <c r="AI6824" t="str">
        <f>"9170192"</f>
        <v>9170192</v>
      </c>
      <c r="AJ6824" t="s">
        <v>8661</v>
      </c>
      <c r="AK6824">
        <v>2810231985</v>
      </c>
      <c r="AL6824" t="s">
        <v>8662</v>
      </c>
      <c r="AM6824" t="s">
        <v>78</v>
      </c>
      <c r="AN6824" t="s">
        <v>78</v>
      </c>
      <c r="AO6824" t="s">
        <v>78</v>
      </c>
      <c r="AP6824" t="s">
        <v>163</v>
      </c>
      <c r="AQ6824">
        <v>1</v>
      </c>
      <c r="AR6824" t="s">
        <v>80</v>
      </c>
      <c r="AS6824" t="s">
        <v>81</v>
      </c>
      <c r="AT6824" t="s">
        <v>58</v>
      </c>
      <c r="AU6824" t="s">
        <v>68</v>
      </c>
      <c r="AV6824" t="s">
        <v>69</v>
      </c>
      <c r="AW6824" s="1">
        <v>26336</v>
      </c>
      <c r="AX6824">
        <v>1</v>
      </c>
    </row>
    <row r="6825" spans="1:50">
      <c r="A6825">
        <v>601078</v>
      </c>
      <c r="B6825" t="str">
        <f>"076255523"</f>
        <v>076255523</v>
      </c>
      <c r="C6825" t="s">
        <v>50</v>
      </c>
      <c r="D6825" t="s">
        <v>3541</v>
      </c>
      <c r="E6825" t="s">
        <v>237</v>
      </c>
      <c r="F6825" t="s">
        <v>2023</v>
      </c>
      <c r="G6825" t="s">
        <v>1484</v>
      </c>
      <c r="H6825" t="str">
        <f>"ΓΙΟΥΧΤΑ 1Β  ΚΗΠΟΥΠΟΛΗ"</f>
        <v>ΓΙΟΥΧΤΑ 1Β  ΚΗΠΟΥΠΟΛΗ</v>
      </c>
      <c r="I6825">
        <v>71307</v>
      </c>
      <c r="J6825">
        <v>2810235193</v>
      </c>
      <c r="K6825">
        <v>6936787208</v>
      </c>
      <c r="N6825" t="s">
        <v>615</v>
      </c>
      <c r="O6825" t="s">
        <v>616</v>
      </c>
      <c r="R6825" t="s">
        <v>57</v>
      </c>
      <c r="S6825">
        <v>8</v>
      </c>
      <c r="T6825">
        <v>207</v>
      </c>
      <c r="U6825" s="1">
        <v>37866</v>
      </c>
      <c r="V6825" t="s">
        <v>80</v>
      </c>
      <c r="W6825" t="s">
        <v>81</v>
      </c>
      <c r="X6825" t="s">
        <v>58</v>
      </c>
      <c r="Y6825">
        <v>22</v>
      </c>
      <c r="Z6825" t="s">
        <v>59</v>
      </c>
      <c r="AA6825" t="s">
        <v>59</v>
      </c>
      <c r="AB6825" t="s">
        <v>59</v>
      </c>
      <c r="AC6825" t="s">
        <v>59</v>
      </c>
      <c r="AD6825" t="s">
        <v>59</v>
      </c>
      <c r="AF6825" s="1">
        <v>37866</v>
      </c>
      <c r="AG6825" t="s">
        <v>8645</v>
      </c>
      <c r="AH6825" t="s">
        <v>8646</v>
      </c>
      <c r="AI6825" t="str">
        <f>"9170115"</f>
        <v>9170115</v>
      </c>
      <c r="AJ6825" t="s">
        <v>8770</v>
      </c>
      <c r="AK6825">
        <v>2810231165</v>
      </c>
      <c r="AL6825" t="s">
        <v>8771</v>
      </c>
      <c r="AM6825" t="s">
        <v>78</v>
      </c>
      <c r="AN6825" t="s">
        <v>78</v>
      </c>
      <c r="AO6825" t="s">
        <v>78</v>
      </c>
      <c r="AP6825" t="s">
        <v>141</v>
      </c>
      <c r="AQ6825">
        <v>1</v>
      </c>
      <c r="AR6825" t="s">
        <v>80</v>
      </c>
      <c r="AS6825" t="s">
        <v>81</v>
      </c>
      <c r="AT6825" t="s">
        <v>58</v>
      </c>
      <c r="AU6825" t="s">
        <v>68</v>
      </c>
      <c r="AV6825" t="s">
        <v>69</v>
      </c>
      <c r="AW6825" s="1">
        <v>25463</v>
      </c>
      <c r="AX6825">
        <v>1</v>
      </c>
    </row>
    <row r="6826" spans="1:50">
      <c r="A6826">
        <v>605891</v>
      </c>
      <c r="B6826" t="str">
        <f>"103806108"</f>
        <v>103806108</v>
      </c>
      <c r="C6826" t="s">
        <v>50</v>
      </c>
      <c r="D6826" t="s">
        <v>11241</v>
      </c>
      <c r="E6826" t="s">
        <v>255</v>
      </c>
      <c r="F6826" t="s">
        <v>1493</v>
      </c>
      <c r="G6826" t="s">
        <v>964</v>
      </c>
      <c r="H6826" t="str">
        <f>"ΕΛ. ΒΕΝΙΖΕΛΟΥ 83 ΓΑΖΙ"</f>
        <v>ΕΛ. ΒΕΝΙΖΕΛΟΥ 83 ΓΑΖΙ</v>
      </c>
      <c r="I6826">
        <v>71414</v>
      </c>
      <c r="J6826">
        <v>2810321433</v>
      </c>
      <c r="K6826">
        <v>6948518650</v>
      </c>
      <c r="M6826" t="s">
        <v>11242</v>
      </c>
      <c r="N6826" t="s">
        <v>615</v>
      </c>
      <c r="O6826" t="s">
        <v>616</v>
      </c>
      <c r="R6826" t="s">
        <v>57</v>
      </c>
      <c r="S6826">
        <v>7</v>
      </c>
      <c r="T6826">
        <v>231</v>
      </c>
      <c r="U6826" s="1">
        <v>38230</v>
      </c>
      <c r="V6826" t="s">
        <v>80</v>
      </c>
      <c r="W6826" t="s">
        <v>81</v>
      </c>
      <c r="X6826" t="s">
        <v>58</v>
      </c>
      <c r="Y6826">
        <v>22</v>
      </c>
      <c r="Z6826" t="s">
        <v>59</v>
      </c>
      <c r="AA6826" t="s">
        <v>59</v>
      </c>
      <c r="AB6826" t="s">
        <v>59</v>
      </c>
      <c r="AC6826" t="s">
        <v>59</v>
      </c>
      <c r="AD6826" t="s">
        <v>59</v>
      </c>
      <c r="AF6826" s="1">
        <v>38231</v>
      </c>
      <c r="AG6826" t="s">
        <v>8645</v>
      </c>
      <c r="AH6826" t="s">
        <v>8646</v>
      </c>
      <c r="AI6826" t="str">
        <f>"9170561"</f>
        <v>9170561</v>
      </c>
      <c r="AJ6826" t="s">
        <v>8708</v>
      </c>
      <c r="AK6826">
        <v>2891023609</v>
      </c>
      <c r="AL6826" t="s">
        <v>8709</v>
      </c>
      <c r="AM6826" t="s">
        <v>78</v>
      </c>
      <c r="AN6826" t="s">
        <v>276</v>
      </c>
      <c r="AO6826" t="s">
        <v>490</v>
      </c>
      <c r="AP6826" t="s">
        <v>490</v>
      </c>
      <c r="AQ6826">
        <v>12</v>
      </c>
      <c r="AR6826" t="s">
        <v>80</v>
      </c>
      <c r="AS6826" t="s">
        <v>81</v>
      </c>
      <c r="AT6826" t="s">
        <v>58</v>
      </c>
      <c r="AU6826" t="s">
        <v>68</v>
      </c>
      <c r="AV6826" t="s">
        <v>69</v>
      </c>
      <c r="AW6826" s="1">
        <v>29345</v>
      </c>
      <c r="AX6826">
        <v>1</v>
      </c>
    </row>
    <row r="6827" spans="1:50">
      <c r="B6827" t="str">
        <f>"132329454"</f>
        <v>132329454</v>
      </c>
      <c r="C6827" t="s">
        <v>50</v>
      </c>
      <c r="D6827" t="s">
        <v>11241</v>
      </c>
      <c r="E6827" t="s">
        <v>52</v>
      </c>
      <c r="F6827" t="s">
        <v>95</v>
      </c>
      <c r="G6827" t="s">
        <v>964</v>
      </c>
      <c r="H6827" t="str">
        <f>"ΑΝΩΠΟΛΕΩΣ 28 ΗΡΑΚΛΕΙΟ"</f>
        <v>ΑΝΩΠΟΛΕΩΣ 28 ΗΡΑΚΛΕΙΟ</v>
      </c>
      <c r="J6827">
        <v>2810222439</v>
      </c>
      <c r="K6827">
        <v>6930781255</v>
      </c>
      <c r="N6827" t="s">
        <v>384</v>
      </c>
      <c r="O6827" t="s">
        <v>385</v>
      </c>
      <c r="R6827" t="s">
        <v>159</v>
      </c>
      <c r="S6827">
        <v>3</v>
      </c>
      <c r="T6827" t="s">
        <v>8675</v>
      </c>
      <c r="U6827" s="1">
        <v>43348</v>
      </c>
      <c r="V6827" t="s">
        <v>80</v>
      </c>
      <c r="W6827" t="s">
        <v>81</v>
      </c>
      <c r="X6827" t="s">
        <v>58</v>
      </c>
      <c r="Y6827">
        <v>24</v>
      </c>
      <c r="Z6827" t="s">
        <v>59</v>
      </c>
      <c r="AA6827" t="s">
        <v>59</v>
      </c>
      <c r="AB6827" t="s">
        <v>59</v>
      </c>
      <c r="AC6827" t="s">
        <v>59</v>
      </c>
      <c r="AD6827" t="s">
        <v>59</v>
      </c>
      <c r="AF6827" s="1">
        <v>43348</v>
      </c>
      <c r="AG6827" t="s">
        <v>8645</v>
      </c>
      <c r="AH6827" t="s">
        <v>8646</v>
      </c>
      <c r="AI6827" t="str">
        <f>"9170056"</f>
        <v>9170056</v>
      </c>
      <c r="AJ6827" t="s">
        <v>9137</v>
      </c>
      <c r="AK6827">
        <v>2810253392</v>
      </c>
      <c r="AL6827" t="s">
        <v>9138</v>
      </c>
      <c r="AM6827" t="s">
        <v>78</v>
      </c>
      <c r="AN6827" t="s">
        <v>78</v>
      </c>
      <c r="AO6827" t="s">
        <v>78</v>
      </c>
      <c r="AP6827" t="s">
        <v>141</v>
      </c>
      <c r="AQ6827">
        <v>1</v>
      </c>
      <c r="AR6827" t="s">
        <v>80</v>
      </c>
      <c r="AS6827" t="s">
        <v>81</v>
      </c>
      <c r="AT6827" t="s">
        <v>58</v>
      </c>
      <c r="AU6827" t="s">
        <v>8673</v>
      </c>
      <c r="AV6827" t="s">
        <v>132</v>
      </c>
      <c r="AW6827" s="1">
        <v>31310</v>
      </c>
      <c r="AX6827">
        <v>1</v>
      </c>
    </row>
    <row r="6828" spans="1:50">
      <c r="A6828">
        <v>622276</v>
      </c>
      <c r="B6828" t="str">
        <f>"137214098"</f>
        <v>137214098</v>
      </c>
      <c r="C6828" t="s">
        <v>50</v>
      </c>
      <c r="D6828" t="s">
        <v>11243</v>
      </c>
      <c r="E6828" t="s">
        <v>52</v>
      </c>
      <c r="F6828" t="s">
        <v>10646</v>
      </c>
      <c r="G6828" t="s">
        <v>755</v>
      </c>
      <c r="H6828" t="str">
        <f>"Γ. ΜΑΡΑΝΤΗ 32 ΗΡΑΚΛΕΙΟ"</f>
        <v>Γ. ΜΑΡΑΝΤΗ 32 ΗΡΑΚΛΕΙΟ</v>
      </c>
      <c r="I6828">
        <v>71303</v>
      </c>
      <c r="J6828">
        <v>2810312950</v>
      </c>
      <c r="K6828">
        <v>6973048455</v>
      </c>
      <c r="N6828" t="s">
        <v>1525</v>
      </c>
      <c r="O6828" t="s">
        <v>1526</v>
      </c>
      <c r="R6828" t="s">
        <v>57</v>
      </c>
      <c r="S6828">
        <v>5</v>
      </c>
      <c r="T6828">
        <v>653</v>
      </c>
      <c r="U6828" s="1">
        <v>40043</v>
      </c>
      <c r="V6828" t="s">
        <v>80</v>
      </c>
      <c r="W6828" t="s">
        <v>81</v>
      </c>
      <c r="X6828" t="s">
        <v>58</v>
      </c>
      <c r="Y6828">
        <v>25</v>
      </c>
      <c r="Z6828" t="s">
        <v>59</v>
      </c>
      <c r="AA6828" t="s">
        <v>59</v>
      </c>
      <c r="AB6828" t="s">
        <v>59</v>
      </c>
      <c r="AC6828" t="s">
        <v>59</v>
      </c>
      <c r="AD6828" t="s">
        <v>59</v>
      </c>
      <c r="AF6828" s="1">
        <v>40057</v>
      </c>
      <c r="AG6828" t="s">
        <v>8651</v>
      </c>
      <c r="AH6828" t="s">
        <v>8652</v>
      </c>
      <c r="AI6828" t="str">
        <f>"9521596"</f>
        <v>9521596</v>
      </c>
      <c r="AJ6828" t="s">
        <v>9685</v>
      </c>
      <c r="AK6828">
        <v>2810324977</v>
      </c>
      <c r="AL6828" t="s">
        <v>9686</v>
      </c>
      <c r="AM6828" t="s">
        <v>78</v>
      </c>
      <c r="AN6828" t="s">
        <v>78</v>
      </c>
      <c r="AO6828" t="s">
        <v>78</v>
      </c>
      <c r="AP6828" t="s">
        <v>163</v>
      </c>
      <c r="AQ6828">
        <v>1</v>
      </c>
      <c r="AR6828" t="s">
        <v>80</v>
      </c>
      <c r="AS6828" t="s">
        <v>81</v>
      </c>
      <c r="AT6828" t="s">
        <v>58</v>
      </c>
      <c r="AU6828" t="s">
        <v>68</v>
      </c>
      <c r="AV6828" t="s">
        <v>69</v>
      </c>
      <c r="AW6828" s="1">
        <v>30263</v>
      </c>
      <c r="AX6828">
        <v>1</v>
      </c>
    </row>
    <row r="6829" spans="1:50">
      <c r="A6829">
        <v>194520</v>
      </c>
      <c r="B6829" t="str">
        <f>"073437153"</f>
        <v>073437153</v>
      </c>
      <c r="C6829" t="s">
        <v>50</v>
      </c>
      <c r="D6829" t="s">
        <v>11244</v>
      </c>
      <c r="E6829" t="s">
        <v>73</v>
      </c>
      <c r="F6829" t="s">
        <v>5858</v>
      </c>
      <c r="G6829" t="s">
        <v>868</v>
      </c>
      <c r="H6829" t="str">
        <f>"ΑΝΔΡΕΑ ΡΟΔΙΝΟΥ 2 "</f>
        <v xml:space="preserve">ΑΝΔΡΕΑ ΡΟΔΙΝΟΥ 2 </v>
      </c>
      <c r="J6829">
        <v>2810312408</v>
      </c>
      <c r="K6829">
        <v>6946901137</v>
      </c>
      <c r="N6829" t="s">
        <v>176</v>
      </c>
      <c r="O6829" t="s">
        <v>177</v>
      </c>
      <c r="R6829" t="s">
        <v>57</v>
      </c>
      <c r="S6829">
        <v>8</v>
      </c>
      <c r="T6829">
        <v>193</v>
      </c>
      <c r="U6829" s="1">
        <v>37497</v>
      </c>
      <c r="V6829" t="s">
        <v>80</v>
      </c>
      <c r="W6829" t="s">
        <v>81</v>
      </c>
      <c r="X6829" t="s">
        <v>58</v>
      </c>
      <c r="Y6829">
        <v>22</v>
      </c>
      <c r="Z6829" t="s">
        <v>59</v>
      </c>
      <c r="AA6829" t="s">
        <v>59</v>
      </c>
      <c r="AB6829" t="s">
        <v>59</v>
      </c>
      <c r="AC6829" t="s">
        <v>59</v>
      </c>
      <c r="AD6829" t="s">
        <v>59</v>
      </c>
      <c r="AF6829" s="1">
        <v>37501</v>
      </c>
      <c r="AG6829" t="s">
        <v>8645</v>
      </c>
      <c r="AH6829" t="s">
        <v>8646</v>
      </c>
      <c r="AI6829" t="str">
        <f>"9170517"</f>
        <v>9170517</v>
      </c>
      <c r="AJ6829" t="s">
        <v>9248</v>
      </c>
      <c r="AK6829">
        <v>2810238757</v>
      </c>
      <c r="AL6829" t="s">
        <v>9249</v>
      </c>
      <c r="AM6829" t="s">
        <v>78</v>
      </c>
      <c r="AN6829" t="s">
        <v>78</v>
      </c>
      <c r="AO6829" t="s">
        <v>78</v>
      </c>
      <c r="AP6829" t="s">
        <v>163</v>
      </c>
      <c r="AQ6829">
        <v>1</v>
      </c>
      <c r="AR6829" t="s">
        <v>80</v>
      </c>
      <c r="AS6829" t="s">
        <v>81</v>
      </c>
      <c r="AT6829" t="s">
        <v>58</v>
      </c>
      <c r="AU6829" t="s">
        <v>68</v>
      </c>
      <c r="AV6829" t="s">
        <v>69</v>
      </c>
      <c r="AW6829" s="1">
        <v>26453</v>
      </c>
      <c r="AX6829">
        <v>1</v>
      </c>
    </row>
    <row r="6830" spans="1:50">
      <c r="B6830" t="str">
        <f>"145995593"</f>
        <v>145995593</v>
      </c>
      <c r="C6830" t="s">
        <v>50</v>
      </c>
      <c r="D6830" t="s">
        <v>3544</v>
      </c>
      <c r="E6830" t="s">
        <v>460</v>
      </c>
      <c r="F6830" t="s">
        <v>450</v>
      </c>
      <c r="H6830" t="str">
        <f>"ΚΡΗΤΗΣ 28Α ΠΕΡΑΙΑ"</f>
        <v>ΚΡΗΤΗΣ 28Α ΠΕΡΑΙΑ</v>
      </c>
      <c r="J6830">
        <v>2392022360</v>
      </c>
      <c r="K6830">
        <v>6977375454</v>
      </c>
      <c r="M6830" t="s">
        <v>11245</v>
      </c>
      <c r="N6830" t="s">
        <v>8694</v>
      </c>
      <c r="O6830" t="s">
        <v>8695</v>
      </c>
      <c r="R6830" t="s">
        <v>159</v>
      </c>
      <c r="S6830">
        <v>2</v>
      </c>
      <c r="T6830" t="s">
        <v>8696</v>
      </c>
      <c r="U6830" s="1">
        <v>43348</v>
      </c>
      <c r="V6830" t="s">
        <v>80</v>
      </c>
      <c r="W6830" t="s">
        <v>81</v>
      </c>
      <c r="X6830" t="s">
        <v>58</v>
      </c>
      <c r="Y6830">
        <v>24</v>
      </c>
      <c r="Z6830" t="s">
        <v>59</v>
      </c>
      <c r="AA6830" t="s">
        <v>59</v>
      </c>
      <c r="AB6830" t="s">
        <v>59</v>
      </c>
      <c r="AC6830" t="s">
        <v>59</v>
      </c>
      <c r="AD6830" t="s">
        <v>59</v>
      </c>
      <c r="AF6830" s="1">
        <v>43348</v>
      </c>
      <c r="AG6830" t="s">
        <v>8645</v>
      </c>
      <c r="AH6830" t="s">
        <v>8697</v>
      </c>
      <c r="AI6830" t="str">
        <f>"9521043"</f>
        <v>9521043</v>
      </c>
      <c r="AJ6830" t="s">
        <v>9474</v>
      </c>
      <c r="AK6830">
        <v>2891023329</v>
      </c>
      <c r="AL6830" t="s">
        <v>9475</v>
      </c>
      <c r="AM6830" t="s">
        <v>78</v>
      </c>
      <c r="AN6830" t="s">
        <v>276</v>
      </c>
      <c r="AO6830" t="s">
        <v>490</v>
      </c>
      <c r="AP6830" t="s">
        <v>490</v>
      </c>
      <c r="AQ6830">
        <v>12</v>
      </c>
      <c r="AR6830" t="s">
        <v>80</v>
      </c>
      <c r="AS6830" t="s">
        <v>81</v>
      </c>
      <c r="AT6830" t="s">
        <v>58</v>
      </c>
      <c r="AU6830" t="s">
        <v>350</v>
      </c>
      <c r="AV6830" t="s">
        <v>132</v>
      </c>
      <c r="AW6830" s="1">
        <v>32627</v>
      </c>
      <c r="AX6830">
        <v>1</v>
      </c>
    </row>
    <row r="6831" spans="1:50">
      <c r="A6831">
        <v>586373</v>
      </c>
      <c r="B6831" t="str">
        <f>"078913544"</f>
        <v>078913544</v>
      </c>
      <c r="C6831" t="s">
        <v>50</v>
      </c>
      <c r="D6831" t="s">
        <v>6460</v>
      </c>
      <c r="E6831" t="s">
        <v>52</v>
      </c>
      <c r="F6831" t="s">
        <v>202</v>
      </c>
      <c r="G6831" t="s">
        <v>181</v>
      </c>
      <c r="H6831" t="str">
        <f>"ΦΑΝΕΡΩΜΕΝΗ ΦΑΙΣΤΟΥ"</f>
        <v>ΦΑΝΕΡΩΜΕΝΗ ΦΑΙΣΤΟΥ</v>
      </c>
      <c r="I6831">
        <v>70200</v>
      </c>
      <c r="J6831">
        <v>2892091118</v>
      </c>
      <c r="K6831">
        <v>6932133031</v>
      </c>
      <c r="N6831" t="s">
        <v>615</v>
      </c>
      <c r="O6831" t="s">
        <v>616</v>
      </c>
      <c r="R6831" t="s">
        <v>57</v>
      </c>
      <c r="S6831">
        <v>10</v>
      </c>
      <c r="T6831">
        <v>165</v>
      </c>
      <c r="U6831" s="1">
        <v>36040</v>
      </c>
      <c r="V6831" t="s">
        <v>80</v>
      </c>
      <c r="W6831" t="s">
        <v>81</v>
      </c>
      <c r="X6831" t="s">
        <v>58</v>
      </c>
      <c r="Y6831">
        <v>21</v>
      </c>
      <c r="Z6831" t="s">
        <v>59</v>
      </c>
      <c r="AA6831" t="s">
        <v>59</v>
      </c>
      <c r="AB6831" t="s">
        <v>59</v>
      </c>
      <c r="AC6831" t="s">
        <v>59</v>
      </c>
      <c r="AD6831" t="s">
        <v>59</v>
      </c>
      <c r="AF6831" s="1">
        <v>36040</v>
      </c>
      <c r="AG6831" t="s">
        <v>8645</v>
      </c>
      <c r="AH6831" t="s">
        <v>8646</v>
      </c>
      <c r="AI6831" t="str">
        <f>"9170339"</f>
        <v>9170339</v>
      </c>
      <c r="AJ6831" t="s">
        <v>9500</v>
      </c>
      <c r="AK6831">
        <v>2892051391</v>
      </c>
      <c r="AL6831" t="s">
        <v>9501</v>
      </c>
      <c r="AM6831" t="s">
        <v>78</v>
      </c>
      <c r="AN6831" t="s">
        <v>242</v>
      </c>
      <c r="AO6831" t="s">
        <v>349</v>
      </c>
      <c r="AP6831" t="s">
        <v>349</v>
      </c>
      <c r="AQ6831">
        <v>19</v>
      </c>
      <c r="AR6831" t="s">
        <v>80</v>
      </c>
      <c r="AS6831" t="s">
        <v>81</v>
      </c>
      <c r="AT6831" t="s">
        <v>58</v>
      </c>
      <c r="AU6831" t="s">
        <v>68</v>
      </c>
      <c r="AV6831" t="s">
        <v>69</v>
      </c>
      <c r="AW6831" s="1">
        <v>25492</v>
      </c>
      <c r="AX6831">
        <v>1</v>
      </c>
    </row>
    <row r="6832" spans="1:50">
      <c r="A6832">
        <v>607357</v>
      </c>
      <c r="B6832" t="str">
        <f>"103664138"</f>
        <v>103664138</v>
      </c>
      <c r="C6832" t="s">
        <v>50</v>
      </c>
      <c r="D6832" t="s">
        <v>6460</v>
      </c>
      <c r="E6832" t="s">
        <v>1068</v>
      </c>
      <c r="F6832" t="s">
        <v>154</v>
      </c>
      <c r="G6832" t="s">
        <v>382</v>
      </c>
      <c r="H6832" t="str">
        <f>"ΚΩΝ/ΝΟΥ ΠΑΛΑΜΑ 38 ΗΡΑΚΛΕΙΟ"</f>
        <v>ΚΩΝ/ΝΟΥ ΠΑΛΑΜΑ 38 ΗΡΑΚΛΕΙΟ</v>
      </c>
      <c r="I6832">
        <v>70400</v>
      </c>
      <c r="J6832">
        <v>2892023649</v>
      </c>
      <c r="K6832">
        <v>6972207482</v>
      </c>
      <c r="N6832" t="s">
        <v>615</v>
      </c>
      <c r="O6832" t="s">
        <v>616</v>
      </c>
      <c r="R6832" t="s">
        <v>57</v>
      </c>
      <c r="S6832">
        <v>7</v>
      </c>
      <c r="T6832">
        <v>217</v>
      </c>
      <c r="U6832" s="1">
        <v>38596</v>
      </c>
      <c r="V6832" t="s">
        <v>80</v>
      </c>
      <c r="W6832" t="s">
        <v>81</v>
      </c>
      <c r="X6832" t="s">
        <v>58</v>
      </c>
      <c r="Y6832">
        <v>23</v>
      </c>
      <c r="Z6832" t="s">
        <v>59</v>
      </c>
      <c r="AA6832" t="s">
        <v>59</v>
      </c>
      <c r="AB6832" t="s">
        <v>59</v>
      </c>
      <c r="AC6832" t="s">
        <v>59</v>
      </c>
      <c r="AD6832" t="s">
        <v>59</v>
      </c>
      <c r="AF6832" s="1">
        <v>38600</v>
      </c>
      <c r="AG6832" t="s">
        <v>8645</v>
      </c>
      <c r="AH6832" t="s">
        <v>8646</v>
      </c>
      <c r="AI6832" t="str">
        <f>"9170267"</f>
        <v>9170267</v>
      </c>
      <c r="AJ6832" t="s">
        <v>8840</v>
      </c>
      <c r="AK6832">
        <v>2892022320</v>
      </c>
      <c r="AL6832" t="s">
        <v>8841</v>
      </c>
      <c r="AM6832" t="s">
        <v>78</v>
      </c>
      <c r="AN6832" t="s">
        <v>242</v>
      </c>
      <c r="AO6832" t="s">
        <v>243</v>
      </c>
      <c r="AP6832" t="s">
        <v>243</v>
      </c>
      <c r="AQ6832">
        <v>20</v>
      </c>
      <c r="AR6832" t="s">
        <v>80</v>
      </c>
      <c r="AS6832" t="s">
        <v>81</v>
      </c>
      <c r="AT6832" t="s">
        <v>58</v>
      </c>
      <c r="AU6832" t="s">
        <v>68</v>
      </c>
      <c r="AV6832" t="s">
        <v>69</v>
      </c>
      <c r="AW6832" s="1">
        <v>29914</v>
      </c>
      <c r="AX6832">
        <v>1</v>
      </c>
    </row>
    <row r="6833" spans="1:50">
      <c r="A6833">
        <v>602149</v>
      </c>
      <c r="B6833" t="str">
        <f>"036381404"</f>
        <v>036381404</v>
      </c>
      <c r="C6833" t="s">
        <v>50</v>
      </c>
      <c r="D6833" t="s">
        <v>6460</v>
      </c>
      <c r="E6833" t="s">
        <v>54</v>
      </c>
      <c r="F6833" t="s">
        <v>920</v>
      </c>
      <c r="G6833" t="s">
        <v>860</v>
      </c>
      <c r="H6833" t="str">
        <f>"ΑΔΑΜ ΑΔΑΜΑΚΗ 9 ΗΡΑΚΛΕΙΟ"</f>
        <v>ΑΔΑΜ ΑΔΑΜΑΚΗ 9 ΗΡΑΚΛΕΙΟ</v>
      </c>
      <c r="I6833">
        <v>70400</v>
      </c>
      <c r="J6833">
        <v>2892022013</v>
      </c>
      <c r="K6833">
        <v>6977749084</v>
      </c>
      <c r="N6833" t="s">
        <v>615</v>
      </c>
      <c r="O6833" t="s">
        <v>616</v>
      </c>
      <c r="R6833" t="s">
        <v>57</v>
      </c>
      <c r="S6833">
        <v>9</v>
      </c>
      <c r="T6833">
        <v>207</v>
      </c>
      <c r="U6833" s="1">
        <v>37866</v>
      </c>
      <c r="V6833" t="s">
        <v>80</v>
      </c>
      <c r="W6833" t="s">
        <v>81</v>
      </c>
      <c r="X6833" t="s">
        <v>58</v>
      </c>
      <c r="Y6833">
        <v>22</v>
      </c>
      <c r="Z6833" t="s">
        <v>59</v>
      </c>
      <c r="AA6833" t="s">
        <v>59</v>
      </c>
      <c r="AB6833" t="s">
        <v>59</v>
      </c>
      <c r="AC6833" t="s">
        <v>59</v>
      </c>
      <c r="AD6833" t="s">
        <v>59</v>
      </c>
      <c r="AF6833" s="1">
        <v>37866</v>
      </c>
      <c r="AG6833" t="s">
        <v>8645</v>
      </c>
      <c r="AH6833" t="s">
        <v>8646</v>
      </c>
      <c r="AI6833" t="str">
        <f>"9170267"</f>
        <v>9170267</v>
      </c>
      <c r="AJ6833" t="s">
        <v>8840</v>
      </c>
      <c r="AK6833">
        <v>2892022320</v>
      </c>
      <c r="AL6833" t="s">
        <v>8841</v>
      </c>
      <c r="AM6833" t="s">
        <v>78</v>
      </c>
      <c r="AN6833" t="s">
        <v>242</v>
      </c>
      <c r="AO6833" t="s">
        <v>243</v>
      </c>
      <c r="AP6833" t="s">
        <v>243</v>
      </c>
      <c r="AQ6833">
        <v>20</v>
      </c>
      <c r="AR6833" t="s">
        <v>80</v>
      </c>
      <c r="AS6833" t="s">
        <v>81</v>
      </c>
      <c r="AT6833" t="s">
        <v>58</v>
      </c>
      <c r="AU6833" t="s">
        <v>68</v>
      </c>
      <c r="AV6833" t="s">
        <v>69</v>
      </c>
      <c r="AW6833" s="1">
        <v>26052</v>
      </c>
      <c r="AX6833">
        <v>1</v>
      </c>
    </row>
    <row r="6834" spans="1:50">
      <c r="A6834">
        <v>588437</v>
      </c>
      <c r="B6834" t="str">
        <f>"067821484"</f>
        <v>067821484</v>
      </c>
      <c r="C6834" t="s">
        <v>50</v>
      </c>
      <c r="D6834" t="s">
        <v>11246</v>
      </c>
      <c r="E6834" t="s">
        <v>460</v>
      </c>
      <c r="F6834" t="s">
        <v>95</v>
      </c>
      <c r="G6834" t="s">
        <v>52</v>
      </c>
      <c r="H6834" t="str">
        <f>"ΚΟΥΣΕΣ ΦΑΙΣΤΟΥ ΗΡΑΚΛΕΙΟ"</f>
        <v>ΚΟΥΣΕΣ ΦΑΙΣΤΟΥ ΗΡΑΚΛΕΙΟ</v>
      </c>
      <c r="J6834">
        <v>2892042296</v>
      </c>
      <c r="K6834">
        <v>6934107198</v>
      </c>
      <c r="N6834" t="s">
        <v>615</v>
      </c>
      <c r="O6834" t="s">
        <v>616</v>
      </c>
      <c r="R6834" t="s">
        <v>57</v>
      </c>
      <c r="S6834">
        <v>10</v>
      </c>
      <c r="T6834">
        <v>176</v>
      </c>
      <c r="U6834" s="1">
        <v>36403</v>
      </c>
      <c r="V6834" t="s">
        <v>80</v>
      </c>
      <c r="W6834" t="s">
        <v>81</v>
      </c>
      <c r="X6834" t="s">
        <v>58</v>
      </c>
      <c r="Y6834">
        <v>21</v>
      </c>
      <c r="Z6834" t="s">
        <v>59</v>
      </c>
      <c r="AA6834" t="s">
        <v>59</v>
      </c>
      <c r="AB6834" t="s">
        <v>59</v>
      </c>
      <c r="AC6834" t="s">
        <v>59</v>
      </c>
      <c r="AD6834" t="s">
        <v>59</v>
      </c>
      <c r="AF6834" s="1">
        <v>36405</v>
      </c>
      <c r="AG6834" t="s">
        <v>8645</v>
      </c>
      <c r="AH6834" t="s">
        <v>8646</v>
      </c>
      <c r="AI6834" t="str">
        <f>"9170267"</f>
        <v>9170267</v>
      </c>
      <c r="AJ6834" t="s">
        <v>8840</v>
      </c>
      <c r="AK6834">
        <v>2892022320</v>
      </c>
      <c r="AL6834" t="s">
        <v>8841</v>
      </c>
      <c r="AM6834" t="s">
        <v>78</v>
      </c>
      <c r="AN6834" t="s">
        <v>242</v>
      </c>
      <c r="AO6834" t="s">
        <v>243</v>
      </c>
      <c r="AP6834" t="s">
        <v>243</v>
      </c>
      <c r="AQ6834">
        <v>20</v>
      </c>
      <c r="AR6834" t="s">
        <v>80</v>
      </c>
      <c r="AS6834" t="s">
        <v>81</v>
      </c>
      <c r="AT6834" t="s">
        <v>58</v>
      </c>
      <c r="AU6834" t="s">
        <v>68</v>
      </c>
      <c r="AV6834" t="s">
        <v>69</v>
      </c>
      <c r="AW6834" s="1">
        <v>24536</v>
      </c>
      <c r="AX6834">
        <v>1</v>
      </c>
    </row>
    <row r="6835" spans="1:50">
      <c r="B6835" t="str">
        <f>"127798227"</f>
        <v>127798227</v>
      </c>
      <c r="C6835" t="s">
        <v>50</v>
      </c>
      <c r="D6835" t="s">
        <v>3553</v>
      </c>
      <c r="E6835" t="s">
        <v>620</v>
      </c>
      <c r="F6835" t="s">
        <v>760</v>
      </c>
      <c r="G6835" t="s">
        <v>52</v>
      </c>
      <c r="H6835" t="str">
        <f>"Β' ΠΑΡΟΔΟΣ ΑΠΕΛΛΟΥ ΗΡΑΚΛΕΙΟ"</f>
        <v>Β' ΠΑΡΟΔΟΣ ΑΠΕΛΛΟΥ ΗΡΑΚΛΕΙΟ</v>
      </c>
      <c r="I6835">
        <v>71410</v>
      </c>
      <c r="J6835">
        <v>2810260295</v>
      </c>
      <c r="K6835">
        <v>6944634011</v>
      </c>
      <c r="N6835" t="s">
        <v>306</v>
      </c>
      <c r="O6835" t="s">
        <v>307</v>
      </c>
      <c r="R6835" t="s">
        <v>159</v>
      </c>
      <c r="S6835">
        <v>3</v>
      </c>
      <c r="T6835" t="s">
        <v>8675</v>
      </c>
      <c r="U6835" s="1">
        <v>43348</v>
      </c>
      <c r="V6835" t="s">
        <v>80</v>
      </c>
      <c r="W6835" t="s">
        <v>81</v>
      </c>
      <c r="X6835" t="s">
        <v>58</v>
      </c>
      <c r="Y6835">
        <v>24</v>
      </c>
      <c r="Z6835" t="s">
        <v>59</v>
      </c>
      <c r="AA6835" t="s">
        <v>59</v>
      </c>
      <c r="AB6835" t="s">
        <v>59</v>
      </c>
      <c r="AC6835" t="s">
        <v>59</v>
      </c>
      <c r="AD6835" t="s">
        <v>59</v>
      </c>
      <c r="AF6835" s="1">
        <v>43348</v>
      </c>
      <c r="AG6835" t="s">
        <v>8645</v>
      </c>
      <c r="AH6835" t="s">
        <v>8646</v>
      </c>
      <c r="AI6835" t="str">
        <f>"9170126"</f>
        <v>9170126</v>
      </c>
      <c r="AJ6835" t="s">
        <v>9041</v>
      </c>
      <c r="AK6835">
        <v>2810871213</v>
      </c>
      <c r="AL6835" t="s">
        <v>9042</v>
      </c>
      <c r="AM6835" t="s">
        <v>78</v>
      </c>
      <c r="AN6835" t="s">
        <v>78</v>
      </c>
      <c r="AO6835" t="s">
        <v>437</v>
      </c>
      <c r="AP6835" t="s">
        <v>438</v>
      </c>
      <c r="AQ6835">
        <v>5</v>
      </c>
      <c r="AR6835" t="s">
        <v>80</v>
      </c>
      <c r="AS6835" t="s">
        <v>81</v>
      </c>
      <c r="AT6835" t="s">
        <v>58</v>
      </c>
      <c r="AU6835" t="s">
        <v>8673</v>
      </c>
      <c r="AV6835" t="s">
        <v>132</v>
      </c>
      <c r="AW6835" s="1">
        <v>29749</v>
      </c>
      <c r="AX6835">
        <v>1</v>
      </c>
    </row>
    <row r="6836" spans="1:50">
      <c r="A6836">
        <v>616171</v>
      </c>
      <c r="B6836" t="str">
        <f>"066372260"</f>
        <v>066372260</v>
      </c>
      <c r="C6836" t="s">
        <v>50</v>
      </c>
      <c r="D6836" t="s">
        <v>11247</v>
      </c>
      <c r="E6836" t="s">
        <v>250</v>
      </c>
      <c r="F6836" t="s">
        <v>53</v>
      </c>
      <c r="G6836" t="s">
        <v>1179</v>
      </c>
      <c r="H6836" t="str">
        <f>"ΚΟΥΡΟΥΠΑΚΗ 1 ΗΡΑΚΛΕΙΟ"</f>
        <v>ΚΟΥΡΟΥΠΑΚΗ 1 ΗΡΑΚΛΕΙΟ</v>
      </c>
      <c r="I6836">
        <v>71306</v>
      </c>
      <c r="J6836">
        <v>2810210342</v>
      </c>
      <c r="K6836">
        <v>6978128126</v>
      </c>
      <c r="N6836" t="s">
        <v>1525</v>
      </c>
      <c r="O6836" t="s">
        <v>1526</v>
      </c>
      <c r="R6836" t="s">
        <v>57</v>
      </c>
      <c r="S6836">
        <v>5</v>
      </c>
      <c r="T6836">
        <v>660</v>
      </c>
      <c r="U6836" s="1">
        <v>39311</v>
      </c>
      <c r="V6836" t="s">
        <v>80</v>
      </c>
      <c r="W6836" t="s">
        <v>81</v>
      </c>
      <c r="X6836" t="s">
        <v>58</v>
      </c>
      <c r="Y6836">
        <v>25</v>
      </c>
      <c r="Z6836" t="s">
        <v>59</v>
      </c>
      <c r="AA6836" t="s">
        <v>59</v>
      </c>
      <c r="AB6836" t="s">
        <v>59</v>
      </c>
      <c r="AC6836" t="s">
        <v>59</v>
      </c>
      <c r="AD6836" t="s">
        <v>59</v>
      </c>
      <c r="AF6836" s="1">
        <v>39328</v>
      </c>
      <c r="AG6836" t="s">
        <v>8651</v>
      </c>
      <c r="AH6836" t="s">
        <v>8652</v>
      </c>
      <c r="AI6836" t="str">
        <f>"9170390"</f>
        <v>9170390</v>
      </c>
      <c r="AJ6836" t="s">
        <v>10206</v>
      </c>
      <c r="AK6836">
        <v>2810238601</v>
      </c>
      <c r="AL6836" t="s">
        <v>10207</v>
      </c>
      <c r="AM6836" t="s">
        <v>78</v>
      </c>
      <c r="AN6836" t="s">
        <v>78</v>
      </c>
      <c r="AO6836" t="s">
        <v>78</v>
      </c>
      <c r="AP6836" t="s">
        <v>213</v>
      </c>
      <c r="AQ6836">
        <v>1</v>
      </c>
      <c r="AR6836" t="s">
        <v>80</v>
      </c>
      <c r="AS6836" t="s">
        <v>81</v>
      </c>
      <c r="AT6836" t="s">
        <v>58</v>
      </c>
      <c r="AU6836" t="s">
        <v>68</v>
      </c>
      <c r="AV6836" t="s">
        <v>69</v>
      </c>
      <c r="AW6836" s="1">
        <v>27745</v>
      </c>
      <c r="AX6836">
        <v>1</v>
      </c>
    </row>
    <row r="6837" spans="1:50">
      <c r="A6837">
        <v>622689</v>
      </c>
      <c r="B6837" t="str">
        <f>"125589864"</f>
        <v>125589864</v>
      </c>
      <c r="C6837" t="s">
        <v>50</v>
      </c>
      <c r="D6837" t="s">
        <v>11248</v>
      </c>
      <c r="E6837" t="s">
        <v>52</v>
      </c>
      <c r="F6837" t="s">
        <v>99</v>
      </c>
      <c r="G6837" t="s">
        <v>1207</v>
      </c>
      <c r="H6837" t="str">
        <f>"ΑΤΣΙΠΑΔΩΝ 20 ΗΡΑΚΛΕΙΟ"</f>
        <v>ΑΤΣΙΠΑΔΩΝ 20 ΗΡΑΚΛΕΙΟ</v>
      </c>
      <c r="I6837">
        <v>71305</v>
      </c>
      <c r="J6837">
        <v>2810211894</v>
      </c>
      <c r="K6837">
        <v>6944283274</v>
      </c>
      <c r="M6837" t="s">
        <v>11249</v>
      </c>
      <c r="N6837" t="s">
        <v>1525</v>
      </c>
      <c r="O6837" t="s">
        <v>1526</v>
      </c>
      <c r="R6837" t="s">
        <v>57</v>
      </c>
      <c r="S6837">
        <v>5</v>
      </c>
      <c r="T6837">
        <v>653</v>
      </c>
      <c r="U6837" s="1">
        <v>40043</v>
      </c>
      <c r="V6837" t="s">
        <v>80</v>
      </c>
      <c r="W6837" t="s">
        <v>81</v>
      </c>
      <c r="X6837" t="s">
        <v>58</v>
      </c>
      <c r="Y6837">
        <v>25</v>
      </c>
      <c r="Z6837" t="s">
        <v>59</v>
      </c>
      <c r="AA6837" t="s">
        <v>59</v>
      </c>
      <c r="AB6837" t="s">
        <v>59</v>
      </c>
      <c r="AC6837" t="s">
        <v>59</v>
      </c>
      <c r="AD6837" t="s">
        <v>59</v>
      </c>
      <c r="AF6837" s="1">
        <v>40043</v>
      </c>
      <c r="AG6837" t="s">
        <v>8651</v>
      </c>
      <c r="AH6837" t="s">
        <v>8652</v>
      </c>
      <c r="AI6837" t="str">
        <f>"9170556"</f>
        <v>9170556</v>
      </c>
      <c r="AJ6837" t="s">
        <v>9850</v>
      </c>
      <c r="AK6837">
        <v>2810239763</v>
      </c>
      <c r="AL6837" t="s">
        <v>9851</v>
      </c>
      <c r="AM6837" t="s">
        <v>78</v>
      </c>
      <c r="AN6837" t="s">
        <v>78</v>
      </c>
      <c r="AO6837" t="s">
        <v>78</v>
      </c>
      <c r="AP6837" t="s">
        <v>163</v>
      </c>
      <c r="AQ6837">
        <v>1</v>
      </c>
      <c r="AR6837" t="s">
        <v>80</v>
      </c>
      <c r="AS6837" t="s">
        <v>81</v>
      </c>
      <c r="AT6837" t="s">
        <v>58</v>
      </c>
      <c r="AU6837" t="s">
        <v>68</v>
      </c>
      <c r="AV6837" t="s">
        <v>69</v>
      </c>
      <c r="AW6837" s="1">
        <v>30602</v>
      </c>
      <c r="AX6837">
        <v>1</v>
      </c>
    </row>
    <row r="6838" spans="1:50">
      <c r="A6838">
        <v>617442</v>
      </c>
      <c r="B6838" t="str">
        <f>"131486150"</f>
        <v>131486150</v>
      </c>
      <c r="C6838" t="s">
        <v>50</v>
      </c>
      <c r="D6838" t="s">
        <v>11250</v>
      </c>
      <c r="E6838" t="s">
        <v>263</v>
      </c>
      <c r="F6838" t="s">
        <v>383</v>
      </c>
      <c r="G6838" t="s">
        <v>1189</v>
      </c>
      <c r="H6838" t="str">
        <f>"Ορφέως 25 "</f>
        <v xml:space="preserve">Ορφέως 25 </v>
      </c>
      <c r="I6838">
        <v>71409</v>
      </c>
      <c r="J6838">
        <v>2810231876</v>
      </c>
      <c r="K6838">
        <v>6946468417</v>
      </c>
      <c r="M6838" t="s">
        <v>11251</v>
      </c>
      <c r="N6838" t="s">
        <v>615</v>
      </c>
      <c r="O6838" t="s">
        <v>616</v>
      </c>
      <c r="R6838" t="s">
        <v>57</v>
      </c>
      <c r="S6838">
        <v>6</v>
      </c>
      <c r="T6838">
        <v>774</v>
      </c>
      <c r="U6838" s="1">
        <v>39680</v>
      </c>
      <c r="V6838" t="s">
        <v>80</v>
      </c>
      <c r="W6838" t="s">
        <v>81</v>
      </c>
      <c r="X6838" t="s">
        <v>58</v>
      </c>
      <c r="Y6838">
        <v>23</v>
      </c>
      <c r="Z6838" t="s">
        <v>59</v>
      </c>
      <c r="AA6838" t="s">
        <v>59</v>
      </c>
      <c r="AB6838" t="s">
        <v>59</v>
      </c>
      <c r="AC6838" t="s">
        <v>59</v>
      </c>
      <c r="AD6838" t="s">
        <v>59</v>
      </c>
      <c r="AF6838" s="1">
        <v>39681</v>
      </c>
      <c r="AG6838" t="s">
        <v>8645</v>
      </c>
      <c r="AH6838" t="s">
        <v>8646</v>
      </c>
      <c r="AI6838" t="str">
        <f>"9170257"</f>
        <v>9170257</v>
      </c>
      <c r="AJ6838" t="s">
        <v>8710</v>
      </c>
      <c r="AK6838">
        <v>2810245513</v>
      </c>
      <c r="AL6838" t="s">
        <v>8711</v>
      </c>
      <c r="AM6838" t="s">
        <v>78</v>
      </c>
      <c r="AN6838" t="s">
        <v>78</v>
      </c>
      <c r="AO6838" t="s">
        <v>78</v>
      </c>
      <c r="AP6838" t="s">
        <v>213</v>
      </c>
      <c r="AQ6838">
        <v>1</v>
      </c>
      <c r="AR6838" t="s">
        <v>80</v>
      </c>
      <c r="AS6838" t="s">
        <v>81</v>
      </c>
      <c r="AT6838" t="s">
        <v>58</v>
      </c>
      <c r="AU6838" t="s">
        <v>68</v>
      </c>
      <c r="AV6838" t="s">
        <v>69</v>
      </c>
      <c r="AW6838" s="1">
        <v>30558</v>
      </c>
      <c r="AX6838">
        <v>1</v>
      </c>
    </row>
    <row r="6839" spans="1:50">
      <c r="A6839">
        <v>615060</v>
      </c>
      <c r="B6839" t="str">
        <f>"110737198"</f>
        <v>110737198</v>
      </c>
      <c r="C6839" t="s">
        <v>50</v>
      </c>
      <c r="D6839" t="s">
        <v>11250</v>
      </c>
      <c r="E6839" t="s">
        <v>52</v>
      </c>
      <c r="F6839" t="s">
        <v>900</v>
      </c>
      <c r="G6839" t="s">
        <v>255</v>
      </c>
      <c r="H6839" t="str">
        <f>" "</f>
        <v xml:space="preserve"> </v>
      </c>
      <c r="J6839">
        <v>2814006929</v>
      </c>
      <c r="K6839">
        <v>6973664043</v>
      </c>
      <c r="N6839" t="s">
        <v>615</v>
      </c>
      <c r="O6839" t="s">
        <v>616</v>
      </c>
      <c r="R6839" t="s">
        <v>57</v>
      </c>
      <c r="S6839">
        <v>7</v>
      </c>
      <c r="T6839">
        <v>598</v>
      </c>
      <c r="U6839" s="1">
        <v>39310</v>
      </c>
      <c r="V6839" t="s">
        <v>80</v>
      </c>
      <c r="W6839" t="s">
        <v>81</v>
      </c>
      <c r="X6839" t="s">
        <v>58</v>
      </c>
      <c r="Y6839">
        <v>23</v>
      </c>
      <c r="Z6839" t="s">
        <v>59</v>
      </c>
      <c r="AA6839" t="s">
        <v>59</v>
      </c>
      <c r="AB6839" t="s">
        <v>59</v>
      </c>
      <c r="AC6839" t="s">
        <v>59</v>
      </c>
      <c r="AD6839" t="s">
        <v>59</v>
      </c>
      <c r="AF6839" s="1">
        <v>39328</v>
      </c>
      <c r="AG6839" t="s">
        <v>8645</v>
      </c>
      <c r="AH6839" t="s">
        <v>8646</v>
      </c>
      <c r="AI6839" t="str">
        <f>"9170428"</f>
        <v>9170428</v>
      </c>
      <c r="AJ6839" t="s">
        <v>8983</v>
      </c>
      <c r="AK6839">
        <v>2810234768</v>
      </c>
      <c r="AL6839" t="s">
        <v>8984</v>
      </c>
      <c r="AM6839" t="s">
        <v>78</v>
      </c>
      <c r="AN6839" t="s">
        <v>78</v>
      </c>
      <c r="AO6839" t="s">
        <v>78</v>
      </c>
      <c r="AP6839" t="s">
        <v>79</v>
      </c>
      <c r="AQ6839">
        <v>1</v>
      </c>
      <c r="AR6839" t="s">
        <v>80</v>
      </c>
      <c r="AS6839" t="s">
        <v>81</v>
      </c>
      <c r="AT6839" t="s">
        <v>58</v>
      </c>
      <c r="AU6839" t="s">
        <v>68</v>
      </c>
      <c r="AV6839" t="s">
        <v>69</v>
      </c>
      <c r="AW6839" s="1">
        <v>29328</v>
      </c>
      <c r="AX6839">
        <v>1</v>
      </c>
    </row>
    <row r="6840" spans="1:50">
      <c r="A6840">
        <v>601399</v>
      </c>
      <c r="B6840" t="str">
        <f>"074242857"</f>
        <v>074242857</v>
      </c>
      <c r="C6840" t="s">
        <v>105</v>
      </c>
      <c r="D6840" t="s">
        <v>11252</v>
      </c>
      <c r="E6840" t="s">
        <v>84</v>
      </c>
      <c r="F6840" t="s">
        <v>383</v>
      </c>
      <c r="G6840" t="s">
        <v>610</v>
      </c>
      <c r="H6840" t="str">
        <f>" "</f>
        <v xml:space="preserve"> </v>
      </c>
      <c r="J6840">
        <v>2810761806</v>
      </c>
      <c r="K6840">
        <v>6946289346</v>
      </c>
      <c r="M6840" t="s">
        <v>10748</v>
      </c>
      <c r="N6840" t="s">
        <v>615</v>
      </c>
      <c r="O6840" t="s">
        <v>616</v>
      </c>
      <c r="R6840" t="s">
        <v>57</v>
      </c>
      <c r="S6840">
        <v>7</v>
      </c>
      <c r="T6840">
        <v>207</v>
      </c>
      <c r="U6840" s="1">
        <v>37866</v>
      </c>
      <c r="V6840" t="s">
        <v>80</v>
      </c>
      <c r="W6840" t="s">
        <v>81</v>
      </c>
      <c r="X6840" t="s">
        <v>58</v>
      </c>
      <c r="Y6840">
        <v>22</v>
      </c>
      <c r="Z6840" t="s">
        <v>59</v>
      </c>
      <c r="AA6840" t="s">
        <v>59</v>
      </c>
      <c r="AB6840" t="s">
        <v>59</v>
      </c>
      <c r="AC6840" t="s">
        <v>59</v>
      </c>
      <c r="AD6840" t="s">
        <v>59</v>
      </c>
      <c r="AF6840" s="1">
        <v>37866</v>
      </c>
      <c r="AG6840" t="s">
        <v>8645</v>
      </c>
      <c r="AH6840" t="s">
        <v>8646</v>
      </c>
      <c r="AI6840" t="str">
        <f>"9170205"</f>
        <v>9170205</v>
      </c>
      <c r="AJ6840" t="s">
        <v>8794</v>
      </c>
      <c r="AK6840">
        <v>2810762030</v>
      </c>
      <c r="AL6840" t="s">
        <v>8795</v>
      </c>
      <c r="AM6840" t="s">
        <v>78</v>
      </c>
      <c r="AN6840" t="s">
        <v>219</v>
      </c>
      <c r="AO6840" t="s">
        <v>297</v>
      </c>
      <c r="AP6840" t="s">
        <v>8796</v>
      </c>
      <c r="AQ6840">
        <v>7</v>
      </c>
      <c r="AR6840" t="s">
        <v>80</v>
      </c>
      <c r="AS6840" t="s">
        <v>81</v>
      </c>
      <c r="AT6840" t="s">
        <v>58</v>
      </c>
      <c r="AU6840" t="s">
        <v>68</v>
      </c>
      <c r="AV6840" t="s">
        <v>69</v>
      </c>
      <c r="AW6840" s="1">
        <v>25654</v>
      </c>
      <c r="AX6840">
        <v>1</v>
      </c>
    </row>
    <row r="6841" spans="1:50">
      <c r="B6841" t="str">
        <f>"132335749"</f>
        <v>132335749</v>
      </c>
      <c r="C6841" t="s">
        <v>50</v>
      </c>
      <c r="D6841" t="s">
        <v>11253</v>
      </c>
      <c r="E6841" t="s">
        <v>366</v>
      </c>
      <c r="F6841" t="s">
        <v>95</v>
      </c>
      <c r="G6841" t="s">
        <v>83</v>
      </c>
      <c r="H6841" t="str">
        <f>"ΕΠΙΣΚΟΠΗ ΕΠΙΣΚΟΠΗ ΗΡΑΚΛΕΙΟΥ"</f>
        <v>ΕΠΙΣΚΟΠΗ ΕΠΙΣΚΟΠΗ ΗΡΑΚΛΕΙΟΥ</v>
      </c>
      <c r="I6841">
        <v>70008</v>
      </c>
      <c r="J6841">
        <v>2815100957</v>
      </c>
      <c r="K6841">
        <v>6988872606</v>
      </c>
      <c r="L6841">
        <v>6942719528</v>
      </c>
      <c r="N6841" t="s">
        <v>8694</v>
      </c>
      <c r="O6841" t="s">
        <v>8695</v>
      </c>
      <c r="R6841" t="s">
        <v>57</v>
      </c>
      <c r="S6841">
        <v>5</v>
      </c>
      <c r="T6841" t="s">
        <v>8696</v>
      </c>
      <c r="U6841" s="1">
        <v>43348</v>
      </c>
      <c r="V6841" t="s">
        <v>80</v>
      </c>
      <c r="W6841" t="s">
        <v>81</v>
      </c>
      <c r="X6841" t="s">
        <v>58</v>
      </c>
      <c r="Y6841">
        <v>23</v>
      </c>
      <c r="Z6841" t="s">
        <v>59</v>
      </c>
      <c r="AA6841" t="s">
        <v>59</v>
      </c>
      <c r="AB6841" t="s">
        <v>59</v>
      </c>
      <c r="AC6841" t="s">
        <v>59</v>
      </c>
      <c r="AD6841" t="s">
        <v>59</v>
      </c>
      <c r="AF6841" s="1">
        <v>43348</v>
      </c>
      <c r="AG6841" t="s">
        <v>8645</v>
      </c>
      <c r="AH6841" t="s">
        <v>8646</v>
      </c>
      <c r="AI6841" t="str">
        <f>"9170224"</f>
        <v>9170224</v>
      </c>
      <c r="AJ6841" t="s">
        <v>9212</v>
      </c>
      <c r="AK6841">
        <v>2810771214</v>
      </c>
      <c r="AL6841" t="s">
        <v>9213</v>
      </c>
      <c r="AM6841" t="s">
        <v>78</v>
      </c>
      <c r="AN6841" t="s">
        <v>219</v>
      </c>
      <c r="AO6841" t="s">
        <v>1437</v>
      </c>
      <c r="AP6841" t="s">
        <v>1437</v>
      </c>
      <c r="AQ6841">
        <v>7</v>
      </c>
      <c r="AR6841" t="s">
        <v>80</v>
      </c>
      <c r="AS6841" t="s">
        <v>81</v>
      </c>
      <c r="AT6841" t="s">
        <v>58</v>
      </c>
      <c r="AU6841" t="s">
        <v>350</v>
      </c>
      <c r="AV6841" t="s">
        <v>132</v>
      </c>
      <c r="AW6841" s="1">
        <v>30504</v>
      </c>
      <c r="AX6841">
        <v>1</v>
      </c>
    </row>
    <row r="6842" spans="1:50">
      <c r="A6842">
        <v>599815</v>
      </c>
      <c r="B6842" t="str">
        <f>"110112518"</f>
        <v>110112518</v>
      </c>
      <c r="C6842" t="s">
        <v>50</v>
      </c>
      <c r="D6842" t="s">
        <v>11253</v>
      </c>
      <c r="E6842" t="s">
        <v>52</v>
      </c>
      <c r="F6842" t="s">
        <v>99</v>
      </c>
      <c r="G6842" t="s">
        <v>3477</v>
      </c>
      <c r="H6842" t="str">
        <f>"Φωκάδων 16 "</f>
        <v xml:space="preserve">Φωκάδων 16 </v>
      </c>
      <c r="I6842">
        <v>71409</v>
      </c>
      <c r="J6842">
        <v>2891032031</v>
      </c>
      <c r="K6842">
        <v>6944612035</v>
      </c>
      <c r="L6842">
        <v>2810323996</v>
      </c>
      <c r="N6842" t="s">
        <v>615</v>
      </c>
      <c r="O6842" t="s">
        <v>616</v>
      </c>
      <c r="R6842" t="s">
        <v>57</v>
      </c>
      <c r="S6842">
        <v>8</v>
      </c>
      <c r="T6842">
        <v>195</v>
      </c>
      <c r="U6842" s="1">
        <v>37497</v>
      </c>
      <c r="V6842" t="s">
        <v>80</v>
      </c>
      <c r="W6842" t="s">
        <v>81</v>
      </c>
      <c r="X6842" t="s">
        <v>58</v>
      </c>
      <c r="Y6842">
        <v>22</v>
      </c>
      <c r="Z6842" t="s">
        <v>59</v>
      </c>
      <c r="AA6842" t="s">
        <v>59</v>
      </c>
      <c r="AB6842" t="s">
        <v>59</v>
      </c>
      <c r="AC6842" t="s">
        <v>59</v>
      </c>
      <c r="AD6842" t="s">
        <v>59</v>
      </c>
      <c r="AF6842" s="1">
        <v>37501</v>
      </c>
      <c r="AG6842" t="s">
        <v>8645</v>
      </c>
      <c r="AH6842" t="s">
        <v>8646</v>
      </c>
      <c r="AI6842" t="str">
        <f>"9170547"</f>
        <v>9170547</v>
      </c>
      <c r="AJ6842" t="s">
        <v>9175</v>
      </c>
      <c r="AK6842">
        <v>2810250886</v>
      </c>
      <c r="AL6842" t="s">
        <v>9176</v>
      </c>
      <c r="AM6842" t="s">
        <v>78</v>
      </c>
      <c r="AN6842" t="s">
        <v>78</v>
      </c>
      <c r="AO6842" t="s">
        <v>78</v>
      </c>
      <c r="AP6842" t="s">
        <v>141</v>
      </c>
      <c r="AQ6842">
        <v>1</v>
      </c>
      <c r="AR6842" t="s">
        <v>80</v>
      </c>
      <c r="AS6842" t="s">
        <v>81</v>
      </c>
      <c r="AT6842" t="s">
        <v>58</v>
      </c>
      <c r="AU6842" t="s">
        <v>68</v>
      </c>
      <c r="AV6842" t="s">
        <v>2039</v>
      </c>
      <c r="AW6842" s="1">
        <v>26398</v>
      </c>
      <c r="AX6842">
        <v>1</v>
      </c>
    </row>
    <row r="6843" spans="1:50">
      <c r="B6843" t="str">
        <f>"144306143"</f>
        <v>144306143</v>
      </c>
      <c r="C6843" t="s">
        <v>50</v>
      </c>
      <c r="D6843" t="s">
        <v>11254</v>
      </c>
      <c r="E6843" t="s">
        <v>250</v>
      </c>
      <c r="F6843" t="s">
        <v>321</v>
      </c>
      <c r="G6843" t="s">
        <v>188</v>
      </c>
      <c r="H6843" t="str">
        <f>"ΜΥΡ. ΝΙΚΟΛΑΙΔΗ 4 ΗΡΑΚΛΕΙΟ"</f>
        <v>ΜΥΡ. ΝΙΚΟΛΑΙΔΗ 4 ΗΡΑΚΛΕΙΟ</v>
      </c>
      <c r="I6843">
        <v>71305</v>
      </c>
      <c r="J6843">
        <v>2811110702</v>
      </c>
      <c r="K6843">
        <v>6945678779</v>
      </c>
      <c r="N6843" t="s">
        <v>1525</v>
      </c>
      <c r="O6843" t="s">
        <v>1526</v>
      </c>
      <c r="R6843" t="s">
        <v>159</v>
      </c>
      <c r="S6843">
        <v>3</v>
      </c>
      <c r="T6843" t="s">
        <v>8670</v>
      </c>
      <c r="U6843" s="1">
        <v>43348</v>
      </c>
      <c r="V6843" t="s">
        <v>80</v>
      </c>
      <c r="W6843" t="s">
        <v>81</v>
      </c>
      <c r="X6843" t="s">
        <v>58</v>
      </c>
      <c r="Y6843">
        <v>25</v>
      </c>
      <c r="Z6843" t="s">
        <v>59</v>
      </c>
      <c r="AA6843" t="s">
        <v>59</v>
      </c>
      <c r="AB6843" t="s">
        <v>59</v>
      </c>
      <c r="AC6843" t="s">
        <v>59</v>
      </c>
      <c r="AD6843" t="s">
        <v>59</v>
      </c>
      <c r="AF6843" s="1">
        <v>43348</v>
      </c>
      <c r="AG6843" t="s">
        <v>8651</v>
      </c>
      <c r="AH6843" t="s">
        <v>8652</v>
      </c>
      <c r="AI6843" t="str">
        <f>"9520696"</f>
        <v>9520696</v>
      </c>
      <c r="AJ6843" t="s">
        <v>9617</v>
      </c>
      <c r="AK6843">
        <v>2810311032</v>
      </c>
      <c r="AL6843" t="s">
        <v>9618</v>
      </c>
      <c r="AM6843" t="s">
        <v>78</v>
      </c>
      <c r="AN6843" t="s">
        <v>78</v>
      </c>
      <c r="AO6843" t="s">
        <v>78</v>
      </c>
      <c r="AP6843" t="s">
        <v>141</v>
      </c>
      <c r="AQ6843">
        <v>1</v>
      </c>
      <c r="AR6843" t="s">
        <v>80</v>
      </c>
      <c r="AS6843" t="s">
        <v>81</v>
      </c>
      <c r="AT6843" t="s">
        <v>58</v>
      </c>
      <c r="AU6843" t="s">
        <v>8673</v>
      </c>
      <c r="AV6843" t="s">
        <v>132</v>
      </c>
      <c r="AW6843" s="1">
        <v>30624</v>
      </c>
      <c r="AX6843">
        <v>1</v>
      </c>
    </row>
    <row r="6844" spans="1:50">
      <c r="B6844" t="str">
        <f>"146860844"</f>
        <v>146860844</v>
      </c>
      <c r="C6844" t="s">
        <v>50</v>
      </c>
      <c r="D6844" t="s">
        <v>6463</v>
      </c>
      <c r="E6844" t="s">
        <v>11255</v>
      </c>
      <c r="F6844" t="s">
        <v>106</v>
      </c>
      <c r="G6844" t="s">
        <v>742</v>
      </c>
      <c r="H6844" t="str">
        <f>"ΣΟΦΟΚΛΕΟΥΣ 5 "</f>
        <v xml:space="preserve">ΣΟΦΟΚΛΕΟΥΣ 5 </v>
      </c>
      <c r="I6844">
        <v>26442</v>
      </c>
      <c r="J6844">
        <v>2610420304</v>
      </c>
      <c r="K6844">
        <v>6983619559</v>
      </c>
      <c r="N6844" t="s">
        <v>615</v>
      </c>
      <c r="O6844" t="s">
        <v>616</v>
      </c>
      <c r="R6844" t="s">
        <v>159</v>
      </c>
      <c r="S6844">
        <v>2</v>
      </c>
      <c r="T6844" t="s">
        <v>8675</v>
      </c>
      <c r="U6844" s="1">
        <v>43348</v>
      </c>
      <c r="V6844" t="s">
        <v>80</v>
      </c>
      <c r="W6844" t="s">
        <v>81</v>
      </c>
      <c r="X6844" t="s">
        <v>58</v>
      </c>
      <c r="Y6844">
        <v>24</v>
      </c>
      <c r="Z6844" t="s">
        <v>59</v>
      </c>
      <c r="AA6844" t="s">
        <v>59</v>
      </c>
      <c r="AB6844" t="s">
        <v>59</v>
      </c>
      <c r="AC6844" t="s">
        <v>59</v>
      </c>
      <c r="AD6844" t="s">
        <v>59</v>
      </c>
      <c r="AF6844" s="1">
        <v>43348</v>
      </c>
      <c r="AG6844" t="s">
        <v>8645</v>
      </c>
      <c r="AH6844" t="s">
        <v>8646</v>
      </c>
      <c r="AI6844" t="str">
        <f>"9170239"</f>
        <v>9170239</v>
      </c>
      <c r="AJ6844" t="s">
        <v>8814</v>
      </c>
      <c r="AK6844">
        <v>2897022076</v>
      </c>
      <c r="AL6844" t="s">
        <v>8815</v>
      </c>
      <c r="AM6844" t="s">
        <v>78</v>
      </c>
      <c r="AN6844" t="s">
        <v>219</v>
      </c>
      <c r="AO6844" t="s">
        <v>219</v>
      </c>
      <c r="AP6844" t="s">
        <v>220</v>
      </c>
      <c r="AQ6844">
        <v>8</v>
      </c>
      <c r="AR6844" t="s">
        <v>80</v>
      </c>
      <c r="AS6844" t="s">
        <v>81</v>
      </c>
      <c r="AT6844" t="s">
        <v>58</v>
      </c>
      <c r="AU6844" t="s">
        <v>8673</v>
      </c>
      <c r="AV6844" t="s">
        <v>132</v>
      </c>
      <c r="AW6844" s="1">
        <v>32477</v>
      </c>
      <c r="AX6844">
        <v>1</v>
      </c>
    </row>
    <row r="6845" spans="1:50">
      <c r="B6845" t="str">
        <f>"143775540"</f>
        <v>143775540</v>
      </c>
      <c r="C6845" t="s">
        <v>50</v>
      </c>
      <c r="D6845" t="s">
        <v>11256</v>
      </c>
      <c r="E6845" t="s">
        <v>237</v>
      </c>
      <c r="F6845" t="s">
        <v>99</v>
      </c>
      <c r="G6845" t="s">
        <v>109</v>
      </c>
      <c r="H6845" t="str">
        <f>"ΜΕΛΙΝΑΣ ΜΕΡΚΟΥΡΗ 12 ΗΡΑΚΛΕΙΟ "</f>
        <v xml:space="preserve">ΜΕΛΙΝΑΣ ΜΕΡΚΟΥΡΗ 12 ΗΡΑΚΛΕΙΟ </v>
      </c>
      <c r="I6845">
        <v>14121</v>
      </c>
      <c r="J6845">
        <v>2534022167</v>
      </c>
      <c r="K6845">
        <v>6949722148</v>
      </c>
      <c r="N6845" t="s">
        <v>615</v>
      </c>
      <c r="O6845" t="s">
        <v>616</v>
      </c>
      <c r="R6845" t="s">
        <v>159</v>
      </c>
      <c r="S6845">
        <v>4</v>
      </c>
      <c r="T6845" t="s">
        <v>8675</v>
      </c>
      <c r="U6845" s="1">
        <v>43348</v>
      </c>
      <c r="V6845" t="s">
        <v>80</v>
      </c>
      <c r="W6845" t="s">
        <v>81</v>
      </c>
      <c r="X6845" t="s">
        <v>58</v>
      </c>
      <c r="Y6845">
        <v>24</v>
      </c>
      <c r="Z6845" t="s">
        <v>59</v>
      </c>
      <c r="AA6845" t="s">
        <v>59</v>
      </c>
      <c r="AB6845" t="s">
        <v>59</v>
      </c>
      <c r="AC6845" t="s">
        <v>59</v>
      </c>
      <c r="AD6845" t="s">
        <v>59</v>
      </c>
      <c r="AF6845" s="1">
        <v>43348</v>
      </c>
      <c r="AG6845" t="s">
        <v>8645</v>
      </c>
      <c r="AH6845" t="s">
        <v>8646</v>
      </c>
      <c r="AI6845" t="str">
        <f>"9170580"</f>
        <v>9170580</v>
      </c>
      <c r="AJ6845" t="s">
        <v>9076</v>
      </c>
      <c r="AK6845">
        <v>2810542809</v>
      </c>
      <c r="AL6845" t="s">
        <v>9077</v>
      </c>
      <c r="AM6845" t="s">
        <v>78</v>
      </c>
      <c r="AN6845" t="s">
        <v>78</v>
      </c>
      <c r="AO6845" t="s">
        <v>78</v>
      </c>
      <c r="AP6845" t="s">
        <v>9053</v>
      </c>
      <c r="AQ6845">
        <v>1</v>
      </c>
      <c r="AR6845" t="s">
        <v>80</v>
      </c>
      <c r="AS6845" t="s">
        <v>81</v>
      </c>
      <c r="AT6845" t="s">
        <v>58</v>
      </c>
      <c r="AU6845" t="s">
        <v>8673</v>
      </c>
      <c r="AV6845" t="s">
        <v>132</v>
      </c>
      <c r="AW6845" s="1">
        <v>32466</v>
      </c>
      <c r="AX6845">
        <v>1</v>
      </c>
    </row>
    <row r="6846" spans="1:50">
      <c r="A6846">
        <v>582558</v>
      </c>
      <c r="B6846" t="str">
        <f>"063269409"</f>
        <v>063269409</v>
      </c>
      <c r="C6846" t="s">
        <v>50</v>
      </c>
      <c r="D6846" t="s">
        <v>3565</v>
      </c>
      <c r="E6846" t="s">
        <v>52</v>
      </c>
      <c r="F6846" t="s">
        <v>53</v>
      </c>
      <c r="G6846" t="s">
        <v>237</v>
      </c>
      <c r="H6846" t="str">
        <f>" "</f>
        <v xml:space="preserve"> </v>
      </c>
      <c r="N6846" t="s">
        <v>615</v>
      </c>
      <c r="O6846" t="s">
        <v>616</v>
      </c>
      <c r="R6846" t="s">
        <v>57</v>
      </c>
      <c r="S6846">
        <v>11</v>
      </c>
      <c r="T6846">
        <v>179</v>
      </c>
      <c r="U6846" s="1">
        <v>35674</v>
      </c>
      <c r="V6846" t="s">
        <v>80</v>
      </c>
      <c r="W6846" t="s">
        <v>81</v>
      </c>
      <c r="X6846" t="s">
        <v>58</v>
      </c>
      <c r="Y6846">
        <v>21</v>
      </c>
      <c r="Z6846" t="s">
        <v>59</v>
      </c>
      <c r="AA6846" t="s">
        <v>59</v>
      </c>
      <c r="AB6846" t="s">
        <v>59</v>
      </c>
      <c r="AC6846" t="s">
        <v>59</v>
      </c>
      <c r="AD6846" t="s">
        <v>59</v>
      </c>
      <c r="AF6846" s="1">
        <v>35677</v>
      </c>
      <c r="AG6846" t="s">
        <v>8645</v>
      </c>
      <c r="AH6846" t="s">
        <v>8646</v>
      </c>
      <c r="AI6846" t="str">
        <f>"9521093"</f>
        <v>9521093</v>
      </c>
      <c r="AJ6846" t="s">
        <v>9153</v>
      </c>
      <c r="AK6846">
        <v>2810322162</v>
      </c>
      <c r="AL6846" t="s">
        <v>9154</v>
      </c>
      <c r="AM6846" t="s">
        <v>78</v>
      </c>
      <c r="AN6846" t="s">
        <v>78</v>
      </c>
      <c r="AO6846" t="s">
        <v>78</v>
      </c>
      <c r="AP6846" t="s">
        <v>163</v>
      </c>
      <c r="AQ6846">
        <v>1</v>
      </c>
      <c r="AR6846" t="s">
        <v>80</v>
      </c>
      <c r="AS6846" t="s">
        <v>81</v>
      </c>
      <c r="AT6846" t="s">
        <v>58</v>
      </c>
      <c r="AU6846" t="s">
        <v>68</v>
      </c>
      <c r="AV6846" t="s">
        <v>69</v>
      </c>
      <c r="AW6846" s="1">
        <v>25123</v>
      </c>
      <c r="AX6846">
        <v>1</v>
      </c>
    </row>
    <row r="6847" spans="1:50">
      <c r="B6847" t="str">
        <f>"130276400"</f>
        <v>130276400</v>
      </c>
      <c r="C6847" t="s">
        <v>50</v>
      </c>
      <c r="D6847" t="s">
        <v>11257</v>
      </c>
      <c r="E6847" t="s">
        <v>1204</v>
      </c>
      <c r="F6847" t="s">
        <v>99</v>
      </c>
      <c r="G6847" t="s">
        <v>3174</v>
      </c>
      <c r="H6847" t="str">
        <f>"ΕΛΕΥΣΙΝΟΣ 11 "</f>
        <v xml:space="preserve">ΕΛΕΥΣΙΝΟΣ 11 </v>
      </c>
      <c r="I6847">
        <v>41221</v>
      </c>
      <c r="J6847">
        <v>2410288206</v>
      </c>
      <c r="K6847">
        <v>6948007801</v>
      </c>
      <c r="N6847" t="s">
        <v>615</v>
      </c>
      <c r="O6847" t="s">
        <v>616</v>
      </c>
      <c r="R6847" t="s">
        <v>159</v>
      </c>
      <c r="S6847">
        <v>3</v>
      </c>
      <c r="T6847" t="s">
        <v>8675</v>
      </c>
      <c r="U6847" s="1">
        <v>43348</v>
      </c>
      <c r="V6847" t="s">
        <v>80</v>
      </c>
      <c r="W6847" t="s">
        <v>81</v>
      </c>
      <c r="X6847" t="s">
        <v>58</v>
      </c>
      <c r="Y6847">
        <v>24</v>
      </c>
      <c r="Z6847" t="s">
        <v>59</v>
      </c>
      <c r="AA6847" t="s">
        <v>59</v>
      </c>
      <c r="AB6847" t="s">
        <v>59</v>
      </c>
      <c r="AC6847" t="s">
        <v>59</v>
      </c>
      <c r="AD6847" t="s">
        <v>59</v>
      </c>
      <c r="AF6847" s="1">
        <v>43348</v>
      </c>
      <c r="AG6847" t="s">
        <v>8645</v>
      </c>
      <c r="AH6847" t="s">
        <v>8646</v>
      </c>
      <c r="AI6847" t="str">
        <f>"9170190"</f>
        <v>9170190</v>
      </c>
      <c r="AJ6847" t="s">
        <v>8689</v>
      </c>
      <c r="AK6847">
        <v>2810232169</v>
      </c>
      <c r="AL6847" t="s">
        <v>8690</v>
      </c>
      <c r="AM6847" t="s">
        <v>78</v>
      </c>
      <c r="AN6847" t="s">
        <v>78</v>
      </c>
      <c r="AO6847" t="s">
        <v>78</v>
      </c>
      <c r="AP6847" t="s">
        <v>163</v>
      </c>
      <c r="AQ6847">
        <v>1</v>
      </c>
      <c r="AR6847" t="s">
        <v>80</v>
      </c>
      <c r="AS6847" t="s">
        <v>81</v>
      </c>
      <c r="AT6847" t="s">
        <v>58</v>
      </c>
      <c r="AU6847" t="s">
        <v>8673</v>
      </c>
      <c r="AV6847" t="s">
        <v>132</v>
      </c>
      <c r="AW6847" s="1">
        <v>31948</v>
      </c>
      <c r="AX6847">
        <v>1</v>
      </c>
    </row>
    <row r="6848" spans="1:50">
      <c r="B6848" t="str">
        <f>"123693856"</f>
        <v>123693856</v>
      </c>
      <c r="C6848" t="s">
        <v>50</v>
      </c>
      <c r="D6848" t="s">
        <v>11258</v>
      </c>
      <c r="E6848" t="s">
        <v>10617</v>
      </c>
      <c r="F6848" t="s">
        <v>4118</v>
      </c>
      <c r="G6848" t="s">
        <v>52</v>
      </c>
      <c r="H6848" t="str">
        <f>"ΚΟΡΑΗ 5 "</f>
        <v xml:space="preserve">ΚΟΡΑΗ 5 </v>
      </c>
      <c r="I6848">
        <v>70400</v>
      </c>
      <c r="J6848">
        <v>2892022439</v>
      </c>
      <c r="K6848">
        <v>6974429671</v>
      </c>
      <c r="N6848" t="s">
        <v>615</v>
      </c>
      <c r="O6848" t="s">
        <v>616</v>
      </c>
      <c r="R6848" t="s">
        <v>159</v>
      </c>
      <c r="S6848">
        <v>3</v>
      </c>
      <c r="T6848" t="s">
        <v>8675</v>
      </c>
      <c r="U6848" s="1">
        <v>43348</v>
      </c>
      <c r="V6848" t="s">
        <v>80</v>
      </c>
      <c r="W6848" t="s">
        <v>81</v>
      </c>
      <c r="X6848" t="s">
        <v>58</v>
      </c>
      <c r="Y6848">
        <v>24</v>
      </c>
      <c r="Z6848" t="s">
        <v>59</v>
      </c>
      <c r="AA6848" t="s">
        <v>59</v>
      </c>
      <c r="AB6848" t="s">
        <v>59</v>
      </c>
      <c r="AC6848" t="s">
        <v>59</v>
      </c>
      <c r="AD6848" t="s">
        <v>59</v>
      </c>
      <c r="AF6848" s="1">
        <v>43348</v>
      </c>
      <c r="AG6848" t="s">
        <v>8645</v>
      </c>
      <c r="AH6848" t="s">
        <v>8646</v>
      </c>
      <c r="AI6848" t="str">
        <f>"9170536"</f>
        <v>9170536</v>
      </c>
      <c r="AJ6848" t="s">
        <v>8740</v>
      </c>
      <c r="AK6848">
        <v>2892051187</v>
      </c>
      <c r="AL6848" t="s">
        <v>8741</v>
      </c>
      <c r="AM6848" t="s">
        <v>78</v>
      </c>
      <c r="AN6848" t="s">
        <v>242</v>
      </c>
      <c r="AO6848" t="s">
        <v>349</v>
      </c>
      <c r="AP6848" t="s">
        <v>349</v>
      </c>
      <c r="AQ6848">
        <v>19</v>
      </c>
      <c r="AR6848" t="s">
        <v>80</v>
      </c>
      <c r="AS6848" t="s">
        <v>81</v>
      </c>
      <c r="AT6848" t="s">
        <v>58</v>
      </c>
      <c r="AU6848" t="s">
        <v>8673</v>
      </c>
      <c r="AV6848" t="s">
        <v>132</v>
      </c>
      <c r="AW6848" s="1">
        <v>31980</v>
      </c>
      <c r="AX6848">
        <v>1</v>
      </c>
    </row>
    <row r="6849" spans="1:50">
      <c r="A6849">
        <v>600881</v>
      </c>
      <c r="B6849" t="str">
        <f>"046759253"</f>
        <v>046759253</v>
      </c>
      <c r="C6849" t="s">
        <v>105</v>
      </c>
      <c r="D6849" t="s">
        <v>11259</v>
      </c>
      <c r="E6849" t="s">
        <v>95</v>
      </c>
      <c r="F6849" t="s">
        <v>6252</v>
      </c>
      <c r="G6849" t="s">
        <v>52</v>
      </c>
      <c r="H6849" t="str">
        <f>" "</f>
        <v xml:space="preserve"> </v>
      </c>
      <c r="J6849">
        <v>2892023296</v>
      </c>
      <c r="K6849">
        <v>6946508380</v>
      </c>
      <c r="N6849" t="s">
        <v>615</v>
      </c>
      <c r="O6849" t="s">
        <v>616</v>
      </c>
      <c r="R6849" t="s">
        <v>57</v>
      </c>
      <c r="S6849">
        <v>8</v>
      </c>
      <c r="T6849">
        <v>207</v>
      </c>
      <c r="U6849" s="1">
        <v>37886</v>
      </c>
      <c r="V6849" t="s">
        <v>80</v>
      </c>
      <c r="W6849" t="s">
        <v>81</v>
      </c>
      <c r="X6849" t="s">
        <v>58</v>
      </c>
      <c r="Y6849">
        <v>22</v>
      </c>
      <c r="Z6849" t="s">
        <v>59</v>
      </c>
      <c r="AA6849" t="s">
        <v>59</v>
      </c>
      <c r="AB6849" t="s">
        <v>59</v>
      </c>
      <c r="AC6849" t="s">
        <v>59</v>
      </c>
      <c r="AD6849" t="s">
        <v>59</v>
      </c>
      <c r="AF6849" s="1">
        <v>37886</v>
      </c>
      <c r="AG6849" t="s">
        <v>8645</v>
      </c>
      <c r="AH6849" t="s">
        <v>8646</v>
      </c>
      <c r="AI6849" t="str">
        <f>"9170268"</f>
        <v>9170268</v>
      </c>
      <c r="AJ6849" t="s">
        <v>9301</v>
      </c>
      <c r="AK6849">
        <v>2892022710</v>
      </c>
      <c r="AL6849" t="s">
        <v>9302</v>
      </c>
      <c r="AM6849" t="s">
        <v>78</v>
      </c>
      <c r="AN6849" t="s">
        <v>242</v>
      </c>
      <c r="AO6849" t="s">
        <v>243</v>
      </c>
      <c r="AP6849" t="s">
        <v>243</v>
      </c>
      <c r="AQ6849">
        <v>20</v>
      </c>
      <c r="AR6849" t="s">
        <v>80</v>
      </c>
      <c r="AS6849" t="s">
        <v>81</v>
      </c>
      <c r="AT6849" t="s">
        <v>58</v>
      </c>
      <c r="AU6849" t="s">
        <v>68</v>
      </c>
      <c r="AV6849" t="s">
        <v>69</v>
      </c>
      <c r="AW6849" s="1">
        <v>26373</v>
      </c>
      <c r="AX6849">
        <v>1</v>
      </c>
    </row>
    <row r="6850" spans="1:50">
      <c r="A6850">
        <v>610767</v>
      </c>
      <c r="B6850" t="str">
        <f>"124022223"</f>
        <v>124022223</v>
      </c>
      <c r="C6850" t="s">
        <v>50</v>
      </c>
      <c r="D6850" t="s">
        <v>8208</v>
      </c>
      <c r="E6850" t="s">
        <v>727</v>
      </c>
      <c r="F6850" t="s">
        <v>166</v>
      </c>
      <c r="G6850" t="s">
        <v>755</v>
      </c>
      <c r="H6850" t="str">
        <f>"ΑΝΘΕΩΝ 63Α ΜΕΣΑΜΠΕΛΙΕΣ"</f>
        <v>ΑΝΘΕΩΝ 63Α ΜΕΣΑΜΠΕΛΙΕΣ</v>
      </c>
      <c r="I6850">
        <v>71409</v>
      </c>
      <c r="K6850">
        <v>6974585489</v>
      </c>
      <c r="N6850" t="s">
        <v>615</v>
      </c>
      <c r="O6850" t="s">
        <v>616</v>
      </c>
      <c r="R6850" t="s">
        <v>57</v>
      </c>
      <c r="S6850">
        <v>6</v>
      </c>
      <c r="T6850">
        <v>233</v>
      </c>
      <c r="U6850" s="1">
        <v>38960</v>
      </c>
      <c r="V6850" t="s">
        <v>80</v>
      </c>
      <c r="W6850" t="s">
        <v>81</v>
      </c>
      <c r="X6850" t="s">
        <v>58</v>
      </c>
      <c r="Y6850">
        <v>23</v>
      </c>
      <c r="Z6850" t="s">
        <v>59</v>
      </c>
      <c r="AA6850" t="s">
        <v>59</v>
      </c>
      <c r="AB6850" t="s">
        <v>59</v>
      </c>
      <c r="AC6850" t="s">
        <v>59</v>
      </c>
      <c r="AD6850" t="s">
        <v>59</v>
      </c>
      <c r="AF6850" s="1">
        <v>38961</v>
      </c>
      <c r="AG6850" t="s">
        <v>8645</v>
      </c>
      <c r="AH6850" t="s">
        <v>8646</v>
      </c>
      <c r="AI6850" t="str">
        <f>"9170257"</f>
        <v>9170257</v>
      </c>
      <c r="AJ6850" t="s">
        <v>8710</v>
      </c>
      <c r="AK6850">
        <v>2810245513</v>
      </c>
      <c r="AL6850" t="s">
        <v>8711</v>
      </c>
      <c r="AM6850" t="s">
        <v>78</v>
      </c>
      <c r="AN6850" t="s">
        <v>78</v>
      </c>
      <c r="AO6850" t="s">
        <v>78</v>
      </c>
      <c r="AP6850" t="s">
        <v>213</v>
      </c>
      <c r="AQ6850">
        <v>1</v>
      </c>
      <c r="AR6850" t="s">
        <v>80</v>
      </c>
      <c r="AS6850" t="s">
        <v>81</v>
      </c>
      <c r="AT6850" t="s">
        <v>58</v>
      </c>
      <c r="AU6850" t="s">
        <v>68</v>
      </c>
      <c r="AV6850" t="s">
        <v>69</v>
      </c>
      <c r="AW6850" s="1">
        <v>30045</v>
      </c>
      <c r="AX6850">
        <v>1</v>
      </c>
    </row>
    <row r="6851" spans="1:50">
      <c r="A6851">
        <v>607198</v>
      </c>
      <c r="B6851" t="str">
        <f>"118901655"</f>
        <v>118901655</v>
      </c>
      <c r="C6851" t="s">
        <v>50</v>
      </c>
      <c r="D6851" t="s">
        <v>8208</v>
      </c>
      <c r="E6851" t="s">
        <v>1120</v>
      </c>
      <c r="F6851" t="s">
        <v>92</v>
      </c>
      <c r="G6851" t="s">
        <v>54</v>
      </c>
      <c r="H6851" t="str">
        <f>" "</f>
        <v xml:space="preserve"> </v>
      </c>
      <c r="J6851">
        <v>2810823566</v>
      </c>
      <c r="K6851">
        <v>6945557776</v>
      </c>
      <c r="N6851" t="s">
        <v>615</v>
      </c>
      <c r="O6851" t="s">
        <v>616</v>
      </c>
      <c r="R6851" t="s">
        <v>57</v>
      </c>
      <c r="S6851">
        <v>9</v>
      </c>
      <c r="T6851">
        <v>217</v>
      </c>
      <c r="U6851" s="1">
        <v>38596</v>
      </c>
      <c r="V6851" t="s">
        <v>80</v>
      </c>
      <c r="W6851" t="s">
        <v>81</v>
      </c>
      <c r="X6851" t="s">
        <v>58</v>
      </c>
      <c r="Y6851">
        <v>22</v>
      </c>
      <c r="Z6851" t="s">
        <v>59</v>
      </c>
      <c r="AA6851" t="s">
        <v>59</v>
      </c>
      <c r="AB6851" t="s">
        <v>59</v>
      </c>
      <c r="AC6851" t="s">
        <v>59</v>
      </c>
      <c r="AD6851" t="s">
        <v>59</v>
      </c>
      <c r="AF6851" s="1">
        <v>38600</v>
      </c>
      <c r="AG6851" t="s">
        <v>8645</v>
      </c>
      <c r="AH6851" t="s">
        <v>8646</v>
      </c>
      <c r="AI6851" t="str">
        <f>"9170560"</f>
        <v>9170560</v>
      </c>
      <c r="AJ6851" t="s">
        <v>9022</v>
      </c>
      <c r="AK6851">
        <v>2810821816</v>
      </c>
      <c r="AL6851" t="s">
        <v>9023</v>
      </c>
      <c r="AM6851" t="s">
        <v>78</v>
      </c>
      <c r="AN6851" t="s">
        <v>129</v>
      </c>
      <c r="AO6851" t="s">
        <v>130</v>
      </c>
      <c r="AP6851" t="s">
        <v>130</v>
      </c>
      <c r="AQ6851">
        <v>1</v>
      </c>
      <c r="AR6851" t="s">
        <v>80</v>
      </c>
      <c r="AS6851" t="s">
        <v>81</v>
      </c>
      <c r="AT6851" t="s">
        <v>58</v>
      </c>
      <c r="AU6851" t="s">
        <v>68</v>
      </c>
      <c r="AV6851" t="s">
        <v>69</v>
      </c>
      <c r="AW6851" s="1">
        <v>29540</v>
      </c>
      <c r="AX6851">
        <v>1</v>
      </c>
    </row>
    <row r="6852" spans="1:50">
      <c r="B6852" t="str">
        <f>"147200540"</f>
        <v>147200540</v>
      </c>
      <c r="C6852" t="s">
        <v>50</v>
      </c>
      <c r="D6852" t="s">
        <v>11260</v>
      </c>
      <c r="E6852" t="s">
        <v>11261</v>
      </c>
      <c r="F6852" t="s">
        <v>11262</v>
      </c>
      <c r="G6852" t="s">
        <v>11263</v>
      </c>
      <c r="H6852" t="str">
        <f>"ΠΙΤΣΙΔΙΑ "</f>
        <v xml:space="preserve">ΠΙΤΣΙΔΙΑ </v>
      </c>
      <c r="I6852">
        <v>70200</v>
      </c>
      <c r="J6852">
        <v>2892042686</v>
      </c>
      <c r="K6852">
        <v>6984449005</v>
      </c>
      <c r="N6852" t="s">
        <v>615</v>
      </c>
      <c r="O6852" t="s">
        <v>616</v>
      </c>
      <c r="R6852" t="s">
        <v>159</v>
      </c>
      <c r="S6852">
        <v>3</v>
      </c>
      <c r="T6852" t="s">
        <v>8675</v>
      </c>
      <c r="U6852" s="1">
        <v>43348</v>
      </c>
      <c r="V6852" t="s">
        <v>80</v>
      </c>
      <c r="W6852" t="s">
        <v>81</v>
      </c>
      <c r="X6852" t="s">
        <v>58</v>
      </c>
      <c r="Y6852">
        <v>24</v>
      </c>
      <c r="Z6852" t="s">
        <v>59</v>
      </c>
      <c r="AA6852" t="s">
        <v>59</v>
      </c>
      <c r="AB6852" t="s">
        <v>59</v>
      </c>
      <c r="AC6852" t="s">
        <v>59</v>
      </c>
      <c r="AD6852" t="s">
        <v>59</v>
      </c>
      <c r="AF6852" s="1">
        <v>43348</v>
      </c>
      <c r="AG6852" t="s">
        <v>8645</v>
      </c>
      <c r="AH6852" t="s">
        <v>8676</v>
      </c>
      <c r="AI6852" t="str">
        <f>"9170307"</f>
        <v>9170307</v>
      </c>
      <c r="AJ6852" t="s">
        <v>10086</v>
      </c>
      <c r="AK6852">
        <v>2892042000</v>
      </c>
      <c r="AL6852" t="s">
        <v>10087</v>
      </c>
      <c r="AM6852" t="s">
        <v>78</v>
      </c>
      <c r="AN6852" t="s">
        <v>242</v>
      </c>
      <c r="AO6852" t="s">
        <v>349</v>
      </c>
      <c r="AP6852" t="s">
        <v>10088</v>
      </c>
      <c r="AQ6852">
        <v>18</v>
      </c>
      <c r="AR6852" t="s">
        <v>80</v>
      </c>
      <c r="AS6852" t="s">
        <v>81</v>
      </c>
      <c r="AT6852" t="s">
        <v>58</v>
      </c>
      <c r="AU6852" t="s">
        <v>8673</v>
      </c>
      <c r="AV6852" t="s">
        <v>132</v>
      </c>
      <c r="AW6852" s="1">
        <v>31968</v>
      </c>
      <c r="AX6852">
        <v>1</v>
      </c>
    </row>
    <row r="6853" spans="1:50">
      <c r="A6853">
        <v>621212</v>
      </c>
      <c r="B6853" t="str">
        <f>"141203609"</f>
        <v>141203609</v>
      </c>
      <c r="C6853" t="s">
        <v>50</v>
      </c>
      <c r="D6853" t="s">
        <v>11264</v>
      </c>
      <c r="E6853" t="s">
        <v>215</v>
      </c>
      <c r="F6853" t="s">
        <v>1761</v>
      </c>
      <c r="G6853" t="s">
        <v>238</v>
      </c>
      <c r="H6853" t="str">
        <f>" "</f>
        <v xml:space="preserve"> </v>
      </c>
      <c r="N6853" t="s">
        <v>615</v>
      </c>
      <c r="O6853" t="s">
        <v>616</v>
      </c>
      <c r="R6853" t="s">
        <v>57</v>
      </c>
      <c r="S6853">
        <v>6</v>
      </c>
      <c r="T6853">
        <v>653</v>
      </c>
      <c r="U6853" s="1">
        <v>40043</v>
      </c>
      <c r="V6853" t="s">
        <v>80</v>
      </c>
      <c r="W6853" t="s">
        <v>81</v>
      </c>
      <c r="X6853" t="s">
        <v>58</v>
      </c>
      <c r="Y6853">
        <v>23</v>
      </c>
      <c r="Z6853" t="s">
        <v>59</v>
      </c>
      <c r="AA6853" t="s">
        <v>59</v>
      </c>
      <c r="AB6853" t="s">
        <v>59</v>
      </c>
      <c r="AC6853" t="s">
        <v>59</v>
      </c>
      <c r="AD6853" t="s">
        <v>59</v>
      </c>
      <c r="AF6853" s="1">
        <v>40045</v>
      </c>
      <c r="AG6853" t="s">
        <v>8645</v>
      </c>
      <c r="AH6853" t="s">
        <v>8646</v>
      </c>
      <c r="AI6853" t="str">
        <f>"9170059"</f>
        <v>9170059</v>
      </c>
      <c r="AJ6853" t="s">
        <v>9161</v>
      </c>
      <c r="AK6853">
        <v>2810791244</v>
      </c>
      <c r="AL6853" t="s">
        <v>9162</v>
      </c>
      <c r="AM6853" t="s">
        <v>78</v>
      </c>
      <c r="AN6853" t="s">
        <v>78</v>
      </c>
      <c r="AO6853" t="s">
        <v>195</v>
      </c>
      <c r="AP6853" t="s">
        <v>196</v>
      </c>
      <c r="AQ6853">
        <v>3</v>
      </c>
      <c r="AR6853" t="s">
        <v>80</v>
      </c>
      <c r="AS6853" t="s">
        <v>81</v>
      </c>
      <c r="AT6853" t="s">
        <v>58</v>
      </c>
      <c r="AU6853" t="s">
        <v>68</v>
      </c>
      <c r="AV6853" t="s">
        <v>69</v>
      </c>
      <c r="AW6853" s="1">
        <v>31636</v>
      </c>
      <c r="AX6853">
        <v>1</v>
      </c>
    </row>
    <row r="6854" spans="1:50">
      <c r="A6854">
        <v>575581</v>
      </c>
      <c r="B6854" t="str">
        <f>"038756853"</f>
        <v>038756853</v>
      </c>
      <c r="C6854" t="s">
        <v>50</v>
      </c>
      <c r="D6854" t="s">
        <v>3570</v>
      </c>
      <c r="E6854" t="s">
        <v>250</v>
      </c>
      <c r="F6854" t="s">
        <v>53</v>
      </c>
      <c r="G6854" t="s">
        <v>237</v>
      </c>
      <c r="H6854" t="str">
        <f>"ΣΟΛΩΝΟΣ 21 ΑΜΜΟΥΔΑΡΑ - ΓΑΖΙΟΥ"</f>
        <v>ΣΟΛΩΝΟΣ 21 ΑΜΜΟΥΔΑΡΑ - ΓΑΖΙΟΥ</v>
      </c>
      <c r="I6854">
        <v>71414</v>
      </c>
      <c r="J6854">
        <v>2810823059</v>
      </c>
      <c r="K6854">
        <v>6948866673</v>
      </c>
      <c r="N6854" t="s">
        <v>615</v>
      </c>
      <c r="O6854" t="s">
        <v>616</v>
      </c>
      <c r="R6854" t="s">
        <v>57</v>
      </c>
      <c r="S6854">
        <v>13</v>
      </c>
      <c r="T6854">
        <v>184</v>
      </c>
      <c r="U6854" s="1">
        <v>34941</v>
      </c>
      <c r="V6854" t="s">
        <v>80</v>
      </c>
      <c r="W6854" t="s">
        <v>81</v>
      </c>
      <c r="X6854" t="s">
        <v>58</v>
      </c>
      <c r="Y6854">
        <v>21</v>
      </c>
      <c r="Z6854" t="s">
        <v>59</v>
      </c>
      <c r="AA6854" t="s">
        <v>59</v>
      </c>
      <c r="AB6854" t="s">
        <v>59</v>
      </c>
      <c r="AC6854" t="s">
        <v>59</v>
      </c>
      <c r="AD6854" t="s">
        <v>59</v>
      </c>
      <c r="AF6854" s="1">
        <v>34943</v>
      </c>
      <c r="AG6854" t="s">
        <v>8645</v>
      </c>
      <c r="AH6854" t="s">
        <v>8646</v>
      </c>
      <c r="AI6854" t="str">
        <f>"9170560"</f>
        <v>9170560</v>
      </c>
      <c r="AJ6854" t="s">
        <v>9022</v>
      </c>
      <c r="AK6854">
        <v>2810821816</v>
      </c>
      <c r="AL6854" t="s">
        <v>9023</v>
      </c>
      <c r="AM6854" t="s">
        <v>78</v>
      </c>
      <c r="AN6854" t="s">
        <v>129</v>
      </c>
      <c r="AO6854" t="s">
        <v>130</v>
      </c>
      <c r="AP6854" t="s">
        <v>130</v>
      </c>
      <c r="AQ6854">
        <v>1</v>
      </c>
      <c r="AR6854" t="s">
        <v>80</v>
      </c>
      <c r="AS6854" t="s">
        <v>81</v>
      </c>
      <c r="AT6854" t="s">
        <v>58</v>
      </c>
      <c r="AU6854" t="s">
        <v>68</v>
      </c>
      <c r="AV6854" t="s">
        <v>69</v>
      </c>
      <c r="AW6854" s="1">
        <v>24212</v>
      </c>
      <c r="AX6854">
        <v>1</v>
      </c>
    </row>
    <row r="6855" spans="1:50">
      <c r="A6855">
        <v>224233</v>
      </c>
      <c r="B6855" t="str">
        <f>"107173875"</f>
        <v>107173875</v>
      </c>
      <c r="C6855" t="s">
        <v>50</v>
      </c>
      <c r="D6855" t="s">
        <v>3570</v>
      </c>
      <c r="E6855" t="s">
        <v>112</v>
      </c>
      <c r="F6855" t="s">
        <v>53</v>
      </c>
      <c r="G6855" t="s">
        <v>237</v>
      </c>
      <c r="H6855" t="str">
        <f>"ΣΟΦΟΚΛΗ ΒΕΝΙΖΕΛΟΥ 105 "</f>
        <v xml:space="preserve">ΣΟΦΟΚΛΗ ΒΕΝΙΖΕΛΟΥ 105 </v>
      </c>
      <c r="I6855">
        <v>71303</v>
      </c>
      <c r="J6855">
        <v>2810528409</v>
      </c>
      <c r="K6855">
        <v>6947024205</v>
      </c>
      <c r="L6855">
        <v>2810528409</v>
      </c>
      <c r="N6855" t="s">
        <v>306</v>
      </c>
      <c r="O6855" t="s">
        <v>307</v>
      </c>
      <c r="R6855" t="s">
        <v>57</v>
      </c>
      <c r="S6855">
        <v>5</v>
      </c>
      <c r="T6855">
        <v>775</v>
      </c>
      <c r="U6855" s="1">
        <v>39680</v>
      </c>
      <c r="V6855" t="s">
        <v>80</v>
      </c>
      <c r="W6855" t="s">
        <v>81</v>
      </c>
      <c r="X6855" t="s">
        <v>58</v>
      </c>
      <c r="Y6855">
        <v>23</v>
      </c>
      <c r="Z6855" t="s">
        <v>59</v>
      </c>
      <c r="AA6855" t="s">
        <v>59</v>
      </c>
      <c r="AB6855" t="s">
        <v>59</v>
      </c>
      <c r="AC6855" t="s">
        <v>59</v>
      </c>
      <c r="AD6855" t="s">
        <v>59</v>
      </c>
      <c r="AF6855" s="1">
        <v>39682</v>
      </c>
      <c r="AG6855" t="s">
        <v>8645</v>
      </c>
      <c r="AH6855" t="s">
        <v>8646</v>
      </c>
      <c r="AI6855" t="str">
        <f>"9170018"</f>
        <v>9170018</v>
      </c>
      <c r="AJ6855" t="s">
        <v>8924</v>
      </c>
      <c r="AK6855">
        <v>2810821217</v>
      </c>
      <c r="AL6855" t="s">
        <v>8925</v>
      </c>
      <c r="AM6855" t="s">
        <v>78</v>
      </c>
      <c r="AN6855" t="s">
        <v>129</v>
      </c>
      <c r="AO6855" t="s">
        <v>130</v>
      </c>
      <c r="AP6855" t="s">
        <v>130</v>
      </c>
      <c r="AQ6855">
        <v>1</v>
      </c>
      <c r="AR6855" t="s">
        <v>80</v>
      </c>
      <c r="AS6855" t="s">
        <v>81</v>
      </c>
      <c r="AT6855" t="s">
        <v>58</v>
      </c>
      <c r="AU6855" t="s">
        <v>68</v>
      </c>
      <c r="AV6855" t="s">
        <v>69</v>
      </c>
      <c r="AW6855" s="1">
        <v>27892</v>
      </c>
      <c r="AX6855">
        <v>1</v>
      </c>
    </row>
    <row r="6856" spans="1:50">
      <c r="A6856">
        <v>594024</v>
      </c>
      <c r="B6856" t="str">
        <f>"103507723"</f>
        <v>103507723</v>
      </c>
      <c r="C6856" t="s">
        <v>50</v>
      </c>
      <c r="D6856" t="s">
        <v>11265</v>
      </c>
      <c r="E6856" t="s">
        <v>255</v>
      </c>
      <c r="F6856" t="s">
        <v>99</v>
      </c>
      <c r="G6856" t="s">
        <v>801</v>
      </c>
      <c r="H6856" t="str">
        <f>" "</f>
        <v xml:space="preserve"> </v>
      </c>
      <c r="N6856" t="s">
        <v>615</v>
      </c>
      <c r="O6856" t="s">
        <v>616</v>
      </c>
      <c r="R6856" t="s">
        <v>57</v>
      </c>
      <c r="S6856">
        <v>8</v>
      </c>
      <c r="T6856">
        <v>218</v>
      </c>
      <c r="U6856" s="1">
        <v>37133</v>
      </c>
      <c r="V6856" t="s">
        <v>80</v>
      </c>
      <c r="W6856" t="s">
        <v>81</v>
      </c>
      <c r="X6856" t="s">
        <v>58</v>
      </c>
      <c r="Y6856">
        <v>22</v>
      </c>
      <c r="Z6856" t="s">
        <v>59</v>
      </c>
      <c r="AA6856" t="s">
        <v>59</v>
      </c>
      <c r="AB6856" t="s">
        <v>59</v>
      </c>
      <c r="AC6856" t="s">
        <v>59</v>
      </c>
      <c r="AD6856" t="s">
        <v>59</v>
      </c>
      <c r="AF6856" s="1">
        <v>37137</v>
      </c>
      <c r="AG6856" t="s">
        <v>8645</v>
      </c>
      <c r="AH6856" t="s">
        <v>8646</v>
      </c>
      <c r="AI6856" t="str">
        <f>"9170200"</f>
        <v>9170200</v>
      </c>
      <c r="AJ6856" t="s">
        <v>9589</v>
      </c>
      <c r="AK6856">
        <v>2810741264</v>
      </c>
      <c r="AL6856" t="s">
        <v>9590</v>
      </c>
      <c r="AM6856" t="s">
        <v>78</v>
      </c>
      <c r="AN6856" t="s">
        <v>424</v>
      </c>
      <c r="AO6856" t="s">
        <v>428</v>
      </c>
      <c r="AP6856" t="s">
        <v>9591</v>
      </c>
      <c r="AQ6856">
        <v>11</v>
      </c>
      <c r="AR6856" t="s">
        <v>80</v>
      </c>
      <c r="AS6856" t="s">
        <v>81</v>
      </c>
      <c r="AT6856" t="s">
        <v>58</v>
      </c>
      <c r="AU6856" t="s">
        <v>68</v>
      </c>
      <c r="AV6856" t="s">
        <v>69</v>
      </c>
      <c r="AW6856" s="1">
        <v>27432</v>
      </c>
      <c r="AX6856">
        <v>1</v>
      </c>
    </row>
    <row r="6857" spans="1:50">
      <c r="A6857">
        <v>595128</v>
      </c>
      <c r="B6857" t="str">
        <f>"064568585"</f>
        <v>064568585</v>
      </c>
      <c r="C6857" t="s">
        <v>50</v>
      </c>
      <c r="D6857" t="s">
        <v>11265</v>
      </c>
      <c r="E6857" t="s">
        <v>52</v>
      </c>
      <c r="F6857" t="s">
        <v>166</v>
      </c>
      <c r="G6857" t="s">
        <v>3200</v>
      </c>
      <c r="H6857" t="str">
        <f>"ΕΡΥΘΡΑΙΑΣ 26 ΗΡΑΚΛΕΙΟ"</f>
        <v>ΕΡΥΘΡΑΙΑΣ 26 ΗΡΑΚΛΕΙΟ</v>
      </c>
      <c r="J6857">
        <v>2810237561</v>
      </c>
      <c r="K6857">
        <v>6948706336</v>
      </c>
      <c r="M6857" t="s">
        <v>11266</v>
      </c>
      <c r="N6857" t="s">
        <v>615</v>
      </c>
      <c r="O6857" t="s">
        <v>616</v>
      </c>
      <c r="R6857" t="s">
        <v>57</v>
      </c>
      <c r="S6857">
        <v>8</v>
      </c>
      <c r="T6857">
        <v>218</v>
      </c>
      <c r="U6857" s="1">
        <v>37134</v>
      </c>
      <c r="V6857" t="s">
        <v>80</v>
      </c>
      <c r="W6857" t="s">
        <v>81</v>
      </c>
      <c r="X6857" t="s">
        <v>58</v>
      </c>
      <c r="Y6857">
        <v>22</v>
      </c>
      <c r="Z6857" t="s">
        <v>59</v>
      </c>
      <c r="AA6857" t="s">
        <v>59</v>
      </c>
      <c r="AB6857" t="s">
        <v>59</v>
      </c>
      <c r="AC6857" t="s">
        <v>59</v>
      </c>
      <c r="AD6857" t="s">
        <v>59</v>
      </c>
      <c r="AF6857" s="1">
        <v>37137</v>
      </c>
      <c r="AG6857" t="s">
        <v>8645</v>
      </c>
      <c r="AH6857" t="s">
        <v>8646</v>
      </c>
      <c r="AI6857" t="str">
        <f>"9170192"</f>
        <v>9170192</v>
      </c>
      <c r="AJ6857" t="s">
        <v>8661</v>
      </c>
      <c r="AK6857">
        <v>2810231985</v>
      </c>
      <c r="AL6857" t="s">
        <v>8662</v>
      </c>
      <c r="AM6857" t="s">
        <v>78</v>
      </c>
      <c r="AN6857" t="s">
        <v>78</v>
      </c>
      <c r="AO6857" t="s">
        <v>78</v>
      </c>
      <c r="AP6857" t="s">
        <v>163</v>
      </c>
      <c r="AQ6857">
        <v>1</v>
      </c>
      <c r="AR6857" t="s">
        <v>80</v>
      </c>
      <c r="AS6857" t="s">
        <v>81</v>
      </c>
      <c r="AT6857" t="s">
        <v>58</v>
      </c>
      <c r="AU6857" t="s">
        <v>68</v>
      </c>
      <c r="AV6857" t="s">
        <v>69</v>
      </c>
      <c r="AW6857" s="1">
        <v>26180</v>
      </c>
      <c r="AX6857">
        <v>1</v>
      </c>
    </row>
    <row r="6858" spans="1:50">
      <c r="A6858">
        <v>618549</v>
      </c>
      <c r="B6858" t="str">
        <f>"136960872"</f>
        <v>136960872</v>
      </c>
      <c r="C6858" t="s">
        <v>105</v>
      </c>
      <c r="D6858" t="s">
        <v>11267</v>
      </c>
      <c r="E6858" t="s">
        <v>95</v>
      </c>
      <c r="F6858" t="s">
        <v>72</v>
      </c>
      <c r="G6858" t="s">
        <v>563</v>
      </c>
      <c r="H6858" t="str">
        <f>"ΜΑΥΣΩΛΟΥ 65 ΝΕΑ ΑΛΙΚΑΡΝΑΣΣΟΣ"</f>
        <v>ΜΑΥΣΩΛΟΥ 65 ΝΕΑ ΑΛΙΚΑΡΝΑΣΣΟΣ</v>
      </c>
      <c r="I6858">
        <v>71306</v>
      </c>
      <c r="K6858">
        <v>6936289627</v>
      </c>
      <c r="N6858" t="s">
        <v>615</v>
      </c>
      <c r="O6858" t="s">
        <v>616</v>
      </c>
      <c r="R6858" t="s">
        <v>57</v>
      </c>
      <c r="S6858">
        <v>5</v>
      </c>
      <c r="T6858">
        <v>774</v>
      </c>
      <c r="U6858" s="1">
        <v>39680</v>
      </c>
      <c r="V6858" t="s">
        <v>80</v>
      </c>
      <c r="W6858" t="s">
        <v>81</v>
      </c>
      <c r="X6858" t="s">
        <v>58</v>
      </c>
      <c r="Y6858">
        <v>23</v>
      </c>
      <c r="Z6858" t="s">
        <v>59</v>
      </c>
      <c r="AA6858" t="s">
        <v>59</v>
      </c>
      <c r="AB6858" t="s">
        <v>59</v>
      </c>
      <c r="AC6858" t="s">
        <v>59</v>
      </c>
      <c r="AD6858" t="s">
        <v>59</v>
      </c>
      <c r="AF6858" s="1">
        <v>39681</v>
      </c>
      <c r="AG6858" t="s">
        <v>8645</v>
      </c>
      <c r="AH6858" t="s">
        <v>8646</v>
      </c>
      <c r="AI6858" t="str">
        <f>"9170264"</f>
        <v>9170264</v>
      </c>
      <c r="AJ6858" t="s">
        <v>8718</v>
      </c>
      <c r="AK6858">
        <v>2810332030</v>
      </c>
      <c r="AL6858" t="s">
        <v>8719</v>
      </c>
      <c r="AM6858" t="s">
        <v>78</v>
      </c>
      <c r="AN6858" t="s">
        <v>78</v>
      </c>
      <c r="AO6858" t="s">
        <v>286</v>
      </c>
      <c r="AP6858" t="s">
        <v>286</v>
      </c>
      <c r="AQ6858">
        <v>1</v>
      </c>
      <c r="AR6858" t="s">
        <v>80</v>
      </c>
      <c r="AS6858" t="s">
        <v>81</v>
      </c>
      <c r="AT6858" t="s">
        <v>58</v>
      </c>
      <c r="AU6858" t="s">
        <v>68</v>
      </c>
      <c r="AV6858" t="s">
        <v>69</v>
      </c>
      <c r="AW6858" s="1">
        <v>30333</v>
      </c>
      <c r="AX6858">
        <v>1</v>
      </c>
    </row>
    <row r="6859" spans="1:50">
      <c r="A6859">
        <v>558657</v>
      </c>
      <c r="B6859" t="str">
        <f>"032641332"</f>
        <v>032641332</v>
      </c>
      <c r="C6859" t="s">
        <v>105</v>
      </c>
      <c r="D6859" t="s">
        <v>3572</v>
      </c>
      <c r="E6859" t="s">
        <v>166</v>
      </c>
      <c r="F6859" t="s">
        <v>53</v>
      </c>
      <c r="G6859" t="s">
        <v>237</v>
      </c>
      <c r="H6859" t="str">
        <f>"ΠΟΛΥΘΕΑ ΚΑΣΤΕΛΛΙ ΠΕΔΙΑΔΟΣ"</f>
        <v>ΠΟΛΥΘΕΑ ΚΑΣΤΕΛΛΙ ΠΕΔΙΑΔΟΣ</v>
      </c>
      <c r="I6859">
        <v>70006</v>
      </c>
      <c r="K6859">
        <v>6978864686</v>
      </c>
      <c r="N6859" t="s">
        <v>615</v>
      </c>
      <c r="O6859" t="s">
        <v>616</v>
      </c>
      <c r="R6859" t="s">
        <v>57</v>
      </c>
      <c r="S6859">
        <v>15</v>
      </c>
      <c r="T6859">
        <v>168</v>
      </c>
      <c r="U6859" s="1">
        <v>32010</v>
      </c>
      <c r="V6859" t="s">
        <v>80</v>
      </c>
      <c r="W6859" t="s">
        <v>81</v>
      </c>
      <c r="X6859" t="s">
        <v>58</v>
      </c>
      <c r="Y6859">
        <v>21</v>
      </c>
      <c r="Z6859" t="s">
        <v>59</v>
      </c>
      <c r="AA6859" t="s">
        <v>59</v>
      </c>
      <c r="AB6859" t="s">
        <v>59</v>
      </c>
      <c r="AC6859" t="s">
        <v>59</v>
      </c>
      <c r="AD6859" t="s">
        <v>59</v>
      </c>
      <c r="AF6859" s="1">
        <v>32024</v>
      </c>
      <c r="AG6859" t="s">
        <v>8645</v>
      </c>
      <c r="AH6859" t="s">
        <v>8646</v>
      </c>
      <c r="AI6859" t="str">
        <f>"9170235"</f>
        <v>9170235</v>
      </c>
      <c r="AJ6859" t="s">
        <v>8806</v>
      </c>
      <c r="AK6859">
        <v>2891031258</v>
      </c>
      <c r="AL6859" t="s">
        <v>8807</v>
      </c>
      <c r="AM6859" t="s">
        <v>78</v>
      </c>
      <c r="AN6859" t="s">
        <v>276</v>
      </c>
      <c r="AO6859" t="s">
        <v>277</v>
      </c>
      <c r="AP6859" t="s">
        <v>277</v>
      </c>
      <c r="AQ6859">
        <v>13</v>
      </c>
      <c r="AR6859" t="s">
        <v>80</v>
      </c>
      <c r="AS6859" t="s">
        <v>81</v>
      </c>
      <c r="AT6859" t="s">
        <v>58</v>
      </c>
      <c r="AU6859" t="s">
        <v>68</v>
      </c>
      <c r="AV6859" t="s">
        <v>2039</v>
      </c>
      <c r="AW6859" s="1">
        <v>23739</v>
      </c>
      <c r="AX6859">
        <v>1</v>
      </c>
    </row>
    <row r="6860" spans="1:50">
      <c r="B6860" t="str">
        <f>"143900042"</f>
        <v>143900042</v>
      </c>
      <c r="C6860" t="s">
        <v>50</v>
      </c>
      <c r="D6860" t="s">
        <v>3573</v>
      </c>
      <c r="E6860" t="s">
        <v>3444</v>
      </c>
      <c r="F6860" t="s">
        <v>166</v>
      </c>
      <c r="G6860" t="s">
        <v>237</v>
      </c>
      <c r="H6860" t="str">
        <f>"ΚΑΡΛΟΒΑΣΙ "</f>
        <v xml:space="preserve">ΚΑΡΛΟΒΑΣΙ </v>
      </c>
      <c r="I6860">
        <v>83200</v>
      </c>
      <c r="J6860">
        <v>2273034064</v>
      </c>
      <c r="K6860">
        <v>6971808050</v>
      </c>
      <c r="N6860" t="s">
        <v>384</v>
      </c>
      <c r="O6860" t="s">
        <v>385</v>
      </c>
      <c r="R6860" t="s">
        <v>159</v>
      </c>
      <c r="S6860">
        <v>1</v>
      </c>
      <c r="T6860" t="s">
        <v>8675</v>
      </c>
      <c r="U6860" s="1">
        <v>43348</v>
      </c>
      <c r="V6860" t="s">
        <v>80</v>
      </c>
      <c r="W6860" t="s">
        <v>81</v>
      </c>
      <c r="X6860" t="s">
        <v>58</v>
      </c>
      <c r="Y6860">
        <v>24</v>
      </c>
      <c r="Z6860" t="s">
        <v>59</v>
      </c>
      <c r="AA6860" t="s">
        <v>59</v>
      </c>
      <c r="AB6860" t="s">
        <v>59</v>
      </c>
      <c r="AC6860" t="s">
        <v>59</v>
      </c>
      <c r="AD6860" t="s">
        <v>59</v>
      </c>
      <c r="AF6860" s="1">
        <v>43348</v>
      </c>
      <c r="AG6860" t="s">
        <v>8645</v>
      </c>
      <c r="AH6860" t="s">
        <v>8646</v>
      </c>
      <c r="AI6860" t="str">
        <f>"9170428"</f>
        <v>9170428</v>
      </c>
      <c r="AJ6860" t="s">
        <v>8983</v>
      </c>
      <c r="AK6860">
        <v>2810234768</v>
      </c>
      <c r="AL6860" t="s">
        <v>8984</v>
      </c>
      <c r="AM6860" t="s">
        <v>78</v>
      </c>
      <c r="AN6860" t="s">
        <v>78</v>
      </c>
      <c r="AO6860" t="s">
        <v>78</v>
      </c>
      <c r="AP6860" t="s">
        <v>79</v>
      </c>
      <c r="AQ6860">
        <v>1</v>
      </c>
      <c r="AR6860" t="s">
        <v>80</v>
      </c>
      <c r="AS6860" t="s">
        <v>81</v>
      </c>
      <c r="AT6860" t="s">
        <v>58</v>
      </c>
      <c r="AU6860" t="s">
        <v>8673</v>
      </c>
      <c r="AV6860" t="s">
        <v>132</v>
      </c>
      <c r="AW6860" s="1">
        <v>31735</v>
      </c>
      <c r="AX6860">
        <v>1</v>
      </c>
    </row>
    <row r="6861" spans="1:50">
      <c r="A6861">
        <v>591660</v>
      </c>
      <c r="B6861" t="str">
        <f>"064354583"</f>
        <v>064354583</v>
      </c>
      <c r="C6861" t="s">
        <v>50</v>
      </c>
      <c r="D6861" t="s">
        <v>11268</v>
      </c>
      <c r="E6861" t="s">
        <v>1345</v>
      </c>
      <c r="F6861" t="s">
        <v>53</v>
      </c>
      <c r="G6861" t="s">
        <v>52</v>
      </c>
      <c r="H6861" t="str">
        <f>"ΣΤΕΡΓΙΟΓΙΑΝΝΗ 56 ΗΡΑΚΛΕΙΟ"</f>
        <v>ΣΤΕΡΓΙΟΓΙΑΝΝΗ 56 ΗΡΑΚΛΕΙΟ</v>
      </c>
      <c r="I6861">
        <v>71305</v>
      </c>
      <c r="J6861">
        <v>2810261465</v>
      </c>
      <c r="K6861">
        <v>6973401757</v>
      </c>
      <c r="N6861" t="s">
        <v>1525</v>
      </c>
      <c r="O6861" t="s">
        <v>1526</v>
      </c>
      <c r="R6861" t="s">
        <v>57</v>
      </c>
      <c r="S6861">
        <v>11</v>
      </c>
      <c r="T6861">
        <v>249</v>
      </c>
      <c r="U6861" s="1">
        <v>36769</v>
      </c>
      <c r="V6861" t="s">
        <v>80</v>
      </c>
      <c r="W6861" t="s">
        <v>81</v>
      </c>
      <c r="X6861" t="s">
        <v>58</v>
      </c>
      <c r="Y6861">
        <v>25</v>
      </c>
      <c r="Z6861" t="s">
        <v>59</v>
      </c>
      <c r="AA6861" t="s">
        <v>59</v>
      </c>
      <c r="AB6861" t="s">
        <v>59</v>
      </c>
      <c r="AC6861" t="s">
        <v>59</v>
      </c>
      <c r="AD6861" t="s">
        <v>59</v>
      </c>
      <c r="AF6861" s="1">
        <v>36770</v>
      </c>
      <c r="AG6861" t="s">
        <v>8651</v>
      </c>
      <c r="AH6861" t="s">
        <v>8652</v>
      </c>
      <c r="AI6861" t="str">
        <f>"9170481"</f>
        <v>9170481</v>
      </c>
      <c r="AJ6861" t="s">
        <v>10988</v>
      </c>
      <c r="AK6861">
        <v>2810250560</v>
      </c>
      <c r="AL6861" t="s">
        <v>10989</v>
      </c>
      <c r="AM6861" t="s">
        <v>78</v>
      </c>
      <c r="AN6861" t="s">
        <v>78</v>
      </c>
      <c r="AO6861" t="s">
        <v>78</v>
      </c>
      <c r="AP6861" t="s">
        <v>141</v>
      </c>
      <c r="AQ6861">
        <v>1</v>
      </c>
      <c r="AR6861" t="s">
        <v>80</v>
      </c>
      <c r="AS6861" t="s">
        <v>81</v>
      </c>
      <c r="AT6861" t="s">
        <v>58</v>
      </c>
      <c r="AU6861" t="s">
        <v>68</v>
      </c>
      <c r="AV6861" t="s">
        <v>69</v>
      </c>
      <c r="AW6861" s="1">
        <v>24404</v>
      </c>
      <c r="AX6861">
        <v>1</v>
      </c>
    </row>
    <row r="6862" spans="1:50">
      <c r="A6862">
        <v>587562</v>
      </c>
      <c r="B6862" t="str">
        <f>"037793746"</f>
        <v>037793746</v>
      </c>
      <c r="C6862" t="s">
        <v>105</v>
      </c>
      <c r="D6862" t="s">
        <v>11269</v>
      </c>
      <c r="E6862" t="s">
        <v>166</v>
      </c>
      <c r="F6862" t="s">
        <v>95</v>
      </c>
      <c r="G6862" t="s">
        <v>250</v>
      </c>
      <c r="H6862" t="str">
        <f>"ΛΕΩΦ. ΙΩΝΙΑΣ 94 ΗΡΑΚΛΕΙΟ"</f>
        <v>ΛΕΩΦ. ΙΩΝΙΑΣ 94 ΗΡΑΚΛΕΙΟ</v>
      </c>
      <c r="I6862">
        <v>71305</v>
      </c>
      <c r="J6862">
        <v>2810320091</v>
      </c>
      <c r="K6862">
        <v>6944451125</v>
      </c>
      <c r="N6862" t="s">
        <v>176</v>
      </c>
      <c r="O6862" t="s">
        <v>177</v>
      </c>
      <c r="R6862" t="s">
        <v>57</v>
      </c>
      <c r="S6862">
        <v>13</v>
      </c>
      <c r="T6862">
        <v>164</v>
      </c>
      <c r="U6862" s="1">
        <v>36040</v>
      </c>
      <c r="V6862" t="s">
        <v>80</v>
      </c>
      <c r="W6862" t="s">
        <v>81</v>
      </c>
      <c r="X6862" t="s">
        <v>58</v>
      </c>
      <c r="Y6862">
        <v>21</v>
      </c>
      <c r="Z6862" t="s">
        <v>59</v>
      </c>
      <c r="AA6862" t="s">
        <v>59</v>
      </c>
      <c r="AB6862" t="s">
        <v>59</v>
      </c>
      <c r="AC6862" t="s">
        <v>59</v>
      </c>
      <c r="AD6862" t="s">
        <v>59</v>
      </c>
      <c r="AF6862" s="1">
        <v>36040</v>
      </c>
      <c r="AG6862" t="s">
        <v>8645</v>
      </c>
      <c r="AH6862" t="s">
        <v>8646</v>
      </c>
      <c r="AI6862" t="str">
        <f>"9170514"</f>
        <v>9170514</v>
      </c>
      <c r="AJ6862" t="s">
        <v>8801</v>
      </c>
      <c r="AK6862">
        <v>2810238666</v>
      </c>
      <c r="AL6862" t="s">
        <v>8802</v>
      </c>
      <c r="AM6862" t="s">
        <v>78</v>
      </c>
      <c r="AN6862" t="s">
        <v>78</v>
      </c>
      <c r="AO6862" t="s">
        <v>78</v>
      </c>
      <c r="AP6862" t="s">
        <v>163</v>
      </c>
      <c r="AQ6862">
        <v>1</v>
      </c>
      <c r="AR6862" t="s">
        <v>80</v>
      </c>
      <c r="AS6862" t="s">
        <v>81</v>
      </c>
      <c r="AT6862" t="s">
        <v>58</v>
      </c>
      <c r="AU6862" t="s">
        <v>68</v>
      </c>
      <c r="AV6862" t="s">
        <v>69</v>
      </c>
      <c r="AW6862" s="1">
        <v>23837</v>
      </c>
      <c r="AX6862">
        <v>1</v>
      </c>
    </row>
    <row r="6863" spans="1:50">
      <c r="A6863">
        <v>610060</v>
      </c>
      <c r="B6863" t="str">
        <f>"113601020"</f>
        <v>113601020</v>
      </c>
      <c r="C6863" t="s">
        <v>105</v>
      </c>
      <c r="D6863" t="s">
        <v>11269</v>
      </c>
      <c r="E6863" t="s">
        <v>311</v>
      </c>
      <c r="F6863" t="s">
        <v>2049</v>
      </c>
      <c r="G6863" t="s">
        <v>52</v>
      </c>
      <c r="H6863" t="str">
        <f>" "</f>
        <v xml:space="preserve"> </v>
      </c>
      <c r="J6863">
        <v>2892022189</v>
      </c>
      <c r="K6863">
        <v>6945145643</v>
      </c>
      <c r="N6863" t="s">
        <v>615</v>
      </c>
      <c r="O6863" t="s">
        <v>616</v>
      </c>
      <c r="R6863" t="s">
        <v>57</v>
      </c>
      <c r="S6863">
        <v>7</v>
      </c>
      <c r="T6863">
        <v>233</v>
      </c>
      <c r="U6863" s="1">
        <v>38960</v>
      </c>
      <c r="V6863" t="s">
        <v>80</v>
      </c>
      <c r="W6863" t="s">
        <v>81</v>
      </c>
      <c r="X6863" t="s">
        <v>58</v>
      </c>
      <c r="Y6863">
        <v>23</v>
      </c>
      <c r="Z6863" t="s">
        <v>59</v>
      </c>
      <c r="AA6863" t="s">
        <v>59</v>
      </c>
      <c r="AB6863" t="s">
        <v>59</v>
      </c>
      <c r="AC6863" t="s">
        <v>59</v>
      </c>
      <c r="AD6863" t="s">
        <v>59</v>
      </c>
      <c r="AF6863" s="1">
        <v>38961</v>
      </c>
      <c r="AG6863" t="s">
        <v>8645</v>
      </c>
      <c r="AH6863" t="s">
        <v>8646</v>
      </c>
      <c r="AI6863" t="str">
        <f>"9170270"</f>
        <v>9170270</v>
      </c>
      <c r="AJ6863" t="s">
        <v>9347</v>
      </c>
      <c r="AK6863">
        <v>2892031245</v>
      </c>
      <c r="AL6863" t="s">
        <v>9348</v>
      </c>
      <c r="AM6863" t="s">
        <v>78</v>
      </c>
      <c r="AN6863" t="s">
        <v>405</v>
      </c>
      <c r="AO6863" t="s">
        <v>405</v>
      </c>
      <c r="AP6863" t="s">
        <v>464</v>
      </c>
      <c r="AQ6863">
        <v>17</v>
      </c>
      <c r="AR6863" t="s">
        <v>80</v>
      </c>
      <c r="AS6863" t="s">
        <v>81</v>
      </c>
      <c r="AT6863" t="s">
        <v>58</v>
      </c>
      <c r="AU6863" t="s">
        <v>68</v>
      </c>
      <c r="AV6863" t="s">
        <v>69</v>
      </c>
      <c r="AW6863" s="1">
        <v>28494</v>
      </c>
      <c r="AX6863">
        <v>1</v>
      </c>
    </row>
    <row r="6864" spans="1:50">
      <c r="B6864" t="str">
        <f>"159652903"</f>
        <v>159652903</v>
      </c>
      <c r="C6864" t="s">
        <v>50</v>
      </c>
      <c r="D6864" t="s">
        <v>11270</v>
      </c>
      <c r="E6864" t="s">
        <v>1959</v>
      </c>
      <c r="F6864" t="s">
        <v>95</v>
      </c>
      <c r="G6864" t="s">
        <v>396</v>
      </c>
      <c r="H6864" t="str">
        <f>" "</f>
        <v xml:space="preserve"> </v>
      </c>
      <c r="N6864" t="s">
        <v>615</v>
      </c>
      <c r="O6864" t="s">
        <v>616</v>
      </c>
      <c r="R6864" t="s">
        <v>121</v>
      </c>
      <c r="S6864">
        <v>1</v>
      </c>
      <c r="T6864" t="s">
        <v>8675</v>
      </c>
      <c r="U6864" s="1">
        <v>43348</v>
      </c>
      <c r="V6864" t="s">
        <v>80</v>
      </c>
      <c r="W6864" t="s">
        <v>81</v>
      </c>
      <c r="X6864" t="s">
        <v>58</v>
      </c>
      <c r="Y6864">
        <v>24</v>
      </c>
      <c r="Z6864" t="s">
        <v>59</v>
      </c>
      <c r="AA6864" t="s">
        <v>59</v>
      </c>
      <c r="AB6864" t="s">
        <v>59</v>
      </c>
      <c r="AC6864" t="s">
        <v>59</v>
      </c>
      <c r="AD6864" t="s">
        <v>59</v>
      </c>
      <c r="AF6864" s="1">
        <v>43348</v>
      </c>
      <c r="AG6864" t="s">
        <v>8645</v>
      </c>
      <c r="AH6864" t="s">
        <v>8646</v>
      </c>
      <c r="AI6864" t="str">
        <f>"9170006"</f>
        <v>9170006</v>
      </c>
      <c r="AJ6864" t="s">
        <v>10060</v>
      </c>
      <c r="AK6864">
        <v>2810721207</v>
      </c>
      <c r="AL6864" t="s">
        <v>10061</v>
      </c>
      <c r="AM6864" t="s">
        <v>78</v>
      </c>
      <c r="AN6864" t="s">
        <v>78</v>
      </c>
      <c r="AO6864" t="s">
        <v>185</v>
      </c>
      <c r="AP6864" t="s">
        <v>186</v>
      </c>
      <c r="AQ6864">
        <v>4</v>
      </c>
      <c r="AR6864" t="s">
        <v>80</v>
      </c>
      <c r="AS6864" t="s">
        <v>81</v>
      </c>
      <c r="AT6864" t="s">
        <v>58</v>
      </c>
      <c r="AU6864" t="s">
        <v>8673</v>
      </c>
      <c r="AV6864" t="s">
        <v>132</v>
      </c>
      <c r="AW6864" s="1">
        <v>32926</v>
      </c>
      <c r="AX6864">
        <v>1</v>
      </c>
    </row>
    <row r="6865" spans="1:50">
      <c r="A6865">
        <v>700430</v>
      </c>
      <c r="B6865" t="str">
        <f>"104942903"</f>
        <v>104942903</v>
      </c>
      <c r="C6865" t="s">
        <v>50</v>
      </c>
      <c r="D6865" t="s">
        <v>3576</v>
      </c>
      <c r="E6865" t="s">
        <v>513</v>
      </c>
      <c r="F6865" t="s">
        <v>166</v>
      </c>
      <c r="G6865" t="s">
        <v>83</v>
      </c>
      <c r="H6865" t="str">
        <f>"ΣΙΒΑΣ ΦΑΙΣΤΟΥ"</f>
        <v>ΣΙΒΑΣ ΦΑΙΣΤΟΥ</v>
      </c>
      <c r="I6865">
        <v>70200</v>
      </c>
      <c r="J6865">
        <v>2892042638</v>
      </c>
      <c r="K6865">
        <v>6944633147</v>
      </c>
      <c r="N6865" t="s">
        <v>615</v>
      </c>
      <c r="O6865" t="s">
        <v>616</v>
      </c>
      <c r="R6865" t="s">
        <v>57</v>
      </c>
      <c r="S6865">
        <v>4</v>
      </c>
      <c r="T6865">
        <v>772</v>
      </c>
      <c r="U6865" s="1">
        <v>40413</v>
      </c>
      <c r="V6865" t="s">
        <v>80</v>
      </c>
      <c r="W6865" t="s">
        <v>81</v>
      </c>
      <c r="X6865" t="s">
        <v>58</v>
      </c>
      <c r="Y6865">
        <v>24</v>
      </c>
      <c r="Z6865" t="s">
        <v>59</v>
      </c>
      <c r="AA6865" t="s">
        <v>59</v>
      </c>
      <c r="AB6865" t="s">
        <v>59</v>
      </c>
      <c r="AC6865" t="s">
        <v>59</v>
      </c>
      <c r="AD6865" t="s">
        <v>59</v>
      </c>
      <c r="AF6865" s="1">
        <v>40413</v>
      </c>
      <c r="AG6865" t="s">
        <v>8645</v>
      </c>
      <c r="AH6865" t="s">
        <v>8646</v>
      </c>
      <c r="AI6865" t="str">
        <f>"9170339"</f>
        <v>9170339</v>
      </c>
      <c r="AJ6865" t="s">
        <v>9500</v>
      </c>
      <c r="AK6865">
        <v>2892051391</v>
      </c>
      <c r="AL6865" t="s">
        <v>9501</v>
      </c>
      <c r="AM6865" t="s">
        <v>78</v>
      </c>
      <c r="AN6865" t="s">
        <v>242</v>
      </c>
      <c r="AO6865" t="s">
        <v>349</v>
      </c>
      <c r="AP6865" t="s">
        <v>349</v>
      </c>
      <c r="AQ6865">
        <v>19</v>
      </c>
      <c r="AR6865" t="s">
        <v>80</v>
      </c>
      <c r="AS6865" t="s">
        <v>81</v>
      </c>
      <c r="AT6865" t="s">
        <v>58</v>
      </c>
      <c r="AU6865" t="s">
        <v>68</v>
      </c>
      <c r="AV6865" t="s">
        <v>69</v>
      </c>
      <c r="AW6865" s="1">
        <v>31848</v>
      </c>
      <c r="AX6865">
        <v>1</v>
      </c>
    </row>
    <row r="6866" spans="1:50">
      <c r="B6866" t="str">
        <f>"123686712"</f>
        <v>123686712</v>
      </c>
      <c r="C6866" t="s">
        <v>50</v>
      </c>
      <c r="D6866" t="s">
        <v>3576</v>
      </c>
      <c r="E6866" t="s">
        <v>71</v>
      </c>
      <c r="F6866" t="s">
        <v>72</v>
      </c>
      <c r="G6866" t="s">
        <v>3174</v>
      </c>
      <c r="H6866" t="str">
        <f>"ΘΕΡΙΣΣΟΥ 28 "</f>
        <v xml:space="preserve">ΘΕΡΙΣΣΟΥ 28 </v>
      </c>
      <c r="I6866">
        <v>70400</v>
      </c>
      <c r="J6866">
        <v>2892045543</v>
      </c>
      <c r="K6866">
        <v>6987112160</v>
      </c>
      <c r="N6866" t="s">
        <v>615</v>
      </c>
      <c r="O6866" t="s">
        <v>616</v>
      </c>
      <c r="R6866" t="s">
        <v>159</v>
      </c>
      <c r="S6866">
        <v>3</v>
      </c>
      <c r="T6866" t="s">
        <v>8675</v>
      </c>
      <c r="U6866" s="1">
        <v>43348</v>
      </c>
      <c r="V6866" t="s">
        <v>80</v>
      </c>
      <c r="W6866" t="s">
        <v>81</v>
      </c>
      <c r="X6866" t="s">
        <v>58</v>
      </c>
      <c r="Y6866">
        <v>24</v>
      </c>
      <c r="Z6866" t="s">
        <v>59</v>
      </c>
      <c r="AA6866" t="s">
        <v>59</v>
      </c>
      <c r="AB6866" t="s">
        <v>59</v>
      </c>
      <c r="AC6866" t="s">
        <v>59</v>
      </c>
      <c r="AD6866" t="s">
        <v>59</v>
      </c>
      <c r="AF6866" s="1">
        <v>43348</v>
      </c>
      <c r="AG6866" t="s">
        <v>8645</v>
      </c>
      <c r="AH6866" t="s">
        <v>8646</v>
      </c>
      <c r="AI6866" t="str">
        <f>"9170336"</f>
        <v>9170336</v>
      </c>
      <c r="AJ6866" t="s">
        <v>9801</v>
      </c>
      <c r="AK6866">
        <v>2892045288</v>
      </c>
      <c r="AL6866" t="s">
        <v>9802</v>
      </c>
      <c r="AM6866" t="s">
        <v>78</v>
      </c>
      <c r="AN6866" t="s">
        <v>242</v>
      </c>
      <c r="AO6866" t="s">
        <v>349</v>
      </c>
      <c r="AP6866" t="s">
        <v>9803</v>
      </c>
      <c r="AQ6866">
        <v>18</v>
      </c>
      <c r="AR6866" t="s">
        <v>80</v>
      </c>
      <c r="AS6866" t="s">
        <v>81</v>
      </c>
      <c r="AT6866" t="s">
        <v>58</v>
      </c>
      <c r="AU6866" t="s">
        <v>8673</v>
      </c>
      <c r="AV6866" t="s">
        <v>132</v>
      </c>
      <c r="AW6866" s="1">
        <v>31668</v>
      </c>
      <c r="AX6866">
        <v>1</v>
      </c>
    </row>
    <row r="6867" spans="1:50">
      <c r="B6867" t="str">
        <f>"123693948"</f>
        <v>123693948</v>
      </c>
      <c r="C6867" t="s">
        <v>50</v>
      </c>
      <c r="D6867" t="s">
        <v>3576</v>
      </c>
      <c r="E6867" t="s">
        <v>52</v>
      </c>
      <c r="F6867" t="s">
        <v>166</v>
      </c>
      <c r="G6867" t="s">
        <v>83</v>
      </c>
      <c r="H6867" t="str">
        <f>" "</f>
        <v xml:space="preserve"> </v>
      </c>
      <c r="N6867" t="s">
        <v>9829</v>
      </c>
      <c r="O6867" t="s">
        <v>9830</v>
      </c>
      <c r="R6867" t="s">
        <v>159</v>
      </c>
      <c r="S6867">
        <v>3</v>
      </c>
      <c r="T6867" t="s">
        <v>8835</v>
      </c>
      <c r="U6867" s="1">
        <v>43348</v>
      </c>
      <c r="V6867" t="s">
        <v>80</v>
      </c>
      <c r="W6867" t="s">
        <v>81</v>
      </c>
      <c r="X6867" t="s">
        <v>58</v>
      </c>
      <c r="Y6867">
        <v>25</v>
      </c>
      <c r="Z6867" t="s">
        <v>59</v>
      </c>
      <c r="AA6867" t="s">
        <v>59</v>
      </c>
      <c r="AB6867" t="s">
        <v>59</v>
      </c>
      <c r="AC6867" t="s">
        <v>59</v>
      </c>
      <c r="AD6867" t="s">
        <v>59</v>
      </c>
      <c r="AF6867" s="1">
        <v>43348</v>
      </c>
      <c r="AG6867" t="s">
        <v>8651</v>
      </c>
      <c r="AH6867" t="s">
        <v>8652</v>
      </c>
      <c r="AI6867" t="str">
        <f>"9170026"</f>
        <v>9170026</v>
      </c>
      <c r="AJ6867" t="s">
        <v>9820</v>
      </c>
      <c r="AK6867">
        <v>2810711205</v>
      </c>
      <c r="AL6867" t="s">
        <v>9821</v>
      </c>
      <c r="AM6867" t="s">
        <v>78</v>
      </c>
      <c r="AN6867" t="s">
        <v>129</v>
      </c>
      <c r="AO6867" t="s">
        <v>597</v>
      </c>
      <c r="AP6867" t="s">
        <v>598</v>
      </c>
      <c r="AQ6867">
        <v>4</v>
      </c>
      <c r="AR6867" t="s">
        <v>80</v>
      </c>
      <c r="AS6867" t="s">
        <v>81</v>
      </c>
      <c r="AT6867" t="s">
        <v>58</v>
      </c>
      <c r="AU6867" t="s">
        <v>131</v>
      </c>
      <c r="AV6867" t="s">
        <v>132</v>
      </c>
      <c r="AW6867" s="1">
        <v>32599</v>
      </c>
      <c r="AX6867">
        <v>1</v>
      </c>
    </row>
    <row r="6868" spans="1:50">
      <c r="B6868" t="str">
        <f>"157718765"</f>
        <v>157718765</v>
      </c>
      <c r="C6868" t="s">
        <v>50</v>
      </c>
      <c r="D6868" t="s">
        <v>3576</v>
      </c>
      <c r="E6868" t="s">
        <v>620</v>
      </c>
      <c r="F6868" t="s">
        <v>581</v>
      </c>
      <c r="G6868" t="s">
        <v>742</v>
      </c>
      <c r="H6868" t="str">
        <f>" "</f>
        <v xml:space="preserve"> </v>
      </c>
      <c r="K6868">
        <v>6988278746</v>
      </c>
      <c r="N6868" t="s">
        <v>683</v>
      </c>
      <c r="O6868" t="s">
        <v>684</v>
      </c>
      <c r="R6868" t="s">
        <v>121</v>
      </c>
      <c r="S6868">
        <v>1</v>
      </c>
      <c r="T6868" t="s">
        <v>8675</v>
      </c>
      <c r="U6868" s="1">
        <v>43348</v>
      </c>
      <c r="V6868" t="s">
        <v>80</v>
      </c>
      <c r="W6868" t="s">
        <v>81</v>
      </c>
      <c r="X6868" t="s">
        <v>58</v>
      </c>
      <c r="Y6868">
        <v>24</v>
      </c>
      <c r="Z6868" t="s">
        <v>59</v>
      </c>
      <c r="AA6868" t="s">
        <v>59</v>
      </c>
      <c r="AB6868" t="s">
        <v>59</v>
      </c>
      <c r="AD6868" t="s">
        <v>59</v>
      </c>
      <c r="AF6868" s="1">
        <v>43348</v>
      </c>
      <c r="AG6868" t="s">
        <v>8645</v>
      </c>
      <c r="AH6868" t="s">
        <v>8646</v>
      </c>
      <c r="AI6868" t="str">
        <f>"9170018"</f>
        <v>9170018</v>
      </c>
      <c r="AJ6868" t="s">
        <v>8924</v>
      </c>
      <c r="AK6868">
        <v>2810821217</v>
      </c>
      <c r="AL6868" t="s">
        <v>8925</v>
      </c>
      <c r="AM6868" t="s">
        <v>78</v>
      </c>
      <c r="AN6868" t="s">
        <v>129</v>
      </c>
      <c r="AO6868" t="s">
        <v>130</v>
      </c>
      <c r="AP6868" t="s">
        <v>130</v>
      </c>
      <c r="AQ6868">
        <v>1</v>
      </c>
      <c r="AR6868" t="s">
        <v>80</v>
      </c>
      <c r="AS6868" t="s">
        <v>81</v>
      </c>
      <c r="AT6868" t="s">
        <v>58</v>
      </c>
      <c r="AU6868" t="s">
        <v>8673</v>
      </c>
      <c r="AV6868" t="s">
        <v>132</v>
      </c>
      <c r="AW6868" s="1">
        <v>34070</v>
      </c>
      <c r="AX6868">
        <v>1</v>
      </c>
    </row>
    <row r="6869" spans="1:50">
      <c r="A6869">
        <v>702519</v>
      </c>
      <c r="B6869" t="str">
        <f>"103657344"</f>
        <v>103657344</v>
      </c>
      <c r="C6869" t="s">
        <v>105</v>
      </c>
      <c r="D6869" t="s">
        <v>11271</v>
      </c>
      <c r="E6869" t="s">
        <v>900</v>
      </c>
      <c r="F6869" t="s">
        <v>95</v>
      </c>
      <c r="G6869" t="s">
        <v>181</v>
      </c>
      <c r="H6869" t="str">
        <f>"ΘΕΟΤΟΚΟΠΟΥΛΟΥ 65 ΗΡΑΚΛΕΙΟ"</f>
        <v>ΘΕΟΤΟΚΟΠΟΥΛΟΥ 65 ΗΡΑΚΛΕΙΟ</v>
      </c>
      <c r="I6869">
        <v>70400</v>
      </c>
      <c r="J6869">
        <v>2892022776</v>
      </c>
      <c r="K6869">
        <v>6972017814</v>
      </c>
      <c r="M6869" t="s">
        <v>11272</v>
      </c>
      <c r="N6869" t="s">
        <v>615</v>
      </c>
      <c r="O6869" t="s">
        <v>616</v>
      </c>
      <c r="R6869" t="s">
        <v>57</v>
      </c>
      <c r="S6869">
        <v>4</v>
      </c>
      <c r="T6869" t="s">
        <v>11273</v>
      </c>
      <c r="U6869" s="1">
        <v>40413</v>
      </c>
      <c r="V6869" t="s">
        <v>80</v>
      </c>
      <c r="W6869" t="s">
        <v>81</v>
      </c>
      <c r="X6869" t="s">
        <v>58</v>
      </c>
      <c r="Y6869">
        <v>24</v>
      </c>
      <c r="Z6869" t="s">
        <v>59</v>
      </c>
      <c r="AA6869" t="s">
        <v>59</v>
      </c>
      <c r="AB6869" t="s">
        <v>59</v>
      </c>
      <c r="AC6869" t="s">
        <v>59</v>
      </c>
      <c r="AD6869" t="s">
        <v>59</v>
      </c>
      <c r="AF6869" s="1">
        <v>40413</v>
      </c>
      <c r="AG6869" t="s">
        <v>8645</v>
      </c>
      <c r="AH6869" t="s">
        <v>8646</v>
      </c>
      <c r="AI6869" t="str">
        <f>"9170295"</f>
        <v>9170295</v>
      </c>
      <c r="AJ6869" t="s">
        <v>9283</v>
      </c>
      <c r="AK6869">
        <v>2892042231</v>
      </c>
      <c r="AL6869" t="s">
        <v>9284</v>
      </c>
      <c r="AM6869" t="s">
        <v>78</v>
      </c>
      <c r="AN6869" t="s">
        <v>242</v>
      </c>
      <c r="AO6869" t="s">
        <v>243</v>
      </c>
      <c r="AP6869" t="s">
        <v>9285</v>
      </c>
      <c r="AQ6869">
        <v>18</v>
      </c>
      <c r="AR6869" t="s">
        <v>80</v>
      </c>
      <c r="AS6869" t="s">
        <v>81</v>
      </c>
      <c r="AT6869" t="s">
        <v>58</v>
      </c>
      <c r="AU6869" t="s">
        <v>68</v>
      </c>
      <c r="AV6869" t="s">
        <v>69</v>
      </c>
      <c r="AW6869" s="1">
        <v>29939</v>
      </c>
      <c r="AX6869">
        <v>1</v>
      </c>
    </row>
    <row r="6870" spans="1:50">
      <c r="A6870">
        <v>702897</v>
      </c>
      <c r="B6870" t="str">
        <f>"061425821"</f>
        <v>061425821</v>
      </c>
      <c r="C6870" t="s">
        <v>50</v>
      </c>
      <c r="D6870" t="s">
        <v>11274</v>
      </c>
      <c r="E6870" t="s">
        <v>52</v>
      </c>
      <c r="F6870" t="s">
        <v>1286</v>
      </c>
      <c r="G6870" t="s">
        <v>83</v>
      </c>
      <c r="H6870" t="str">
        <f>"ΔΑΜΑΣΚΗΝΟΥ 30 ΗΡΑΚΛΕΙΟ"</f>
        <v>ΔΑΜΑΣΚΗΝΟΥ 30 ΗΡΑΚΛΕΙΟ</v>
      </c>
      <c r="I6870">
        <v>71305</v>
      </c>
      <c r="J6870">
        <v>2810313020</v>
      </c>
      <c r="K6870">
        <v>6996243508</v>
      </c>
      <c r="N6870" t="s">
        <v>1525</v>
      </c>
      <c r="O6870" t="s">
        <v>1526</v>
      </c>
      <c r="R6870" t="s">
        <v>57</v>
      </c>
      <c r="S6870">
        <v>4</v>
      </c>
      <c r="T6870">
        <v>588</v>
      </c>
      <c r="U6870" s="1">
        <v>40778</v>
      </c>
      <c r="V6870" t="s">
        <v>80</v>
      </c>
      <c r="W6870" t="s">
        <v>81</v>
      </c>
      <c r="X6870" t="s">
        <v>58</v>
      </c>
      <c r="Y6870">
        <v>25</v>
      </c>
      <c r="Z6870" t="s">
        <v>59</v>
      </c>
      <c r="AA6870" t="s">
        <v>59</v>
      </c>
      <c r="AB6870" t="s">
        <v>59</v>
      </c>
      <c r="AC6870" t="s">
        <v>59</v>
      </c>
      <c r="AD6870" t="s">
        <v>59</v>
      </c>
      <c r="AF6870" s="1">
        <v>40780</v>
      </c>
      <c r="AG6870" t="s">
        <v>8651</v>
      </c>
      <c r="AH6870" t="s">
        <v>8652</v>
      </c>
      <c r="AI6870" t="str">
        <f>"9170050"</f>
        <v>9170050</v>
      </c>
      <c r="AJ6870" t="s">
        <v>10334</v>
      </c>
      <c r="AK6870">
        <v>2810250935</v>
      </c>
      <c r="AL6870" t="s">
        <v>10335</v>
      </c>
      <c r="AM6870" t="s">
        <v>78</v>
      </c>
      <c r="AN6870" t="s">
        <v>78</v>
      </c>
      <c r="AO6870" t="s">
        <v>78</v>
      </c>
      <c r="AP6870" t="s">
        <v>141</v>
      </c>
      <c r="AQ6870">
        <v>1</v>
      </c>
      <c r="AR6870" t="s">
        <v>80</v>
      </c>
      <c r="AS6870" t="s">
        <v>81</v>
      </c>
      <c r="AT6870" t="s">
        <v>58</v>
      </c>
      <c r="AU6870" t="s">
        <v>68</v>
      </c>
      <c r="AV6870" t="s">
        <v>69</v>
      </c>
      <c r="AW6870" s="1">
        <v>25744</v>
      </c>
      <c r="AX6870">
        <v>1</v>
      </c>
    </row>
    <row r="6871" spans="1:50">
      <c r="A6871">
        <v>612672</v>
      </c>
      <c r="B6871" t="str">
        <f>"036772488"</f>
        <v>036772488</v>
      </c>
      <c r="C6871" t="s">
        <v>105</v>
      </c>
      <c r="D6871" t="s">
        <v>11275</v>
      </c>
      <c r="E6871" t="s">
        <v>166</v>
      </c>
      <c r="F6871" t="s">
        <v>408</v>
      </c>
      <c r="G6871" t="s">
        <v>727</v>
      </c>
      <c r="H6871" t="str">
        <f>"ΑΡΙΣΤΕΙΔΗ ΖΑΦΕΙΡΙΔΟΥ 10 ΠΑΛΙΑ ΚΑΤΕΕ"</f>
        <v>ΑΡΙΣΤΕΙΔΗ ΖΑΦΕΙΡΙΔΟΥ 10 ΠΑΛΙΑ ΚΑΤΕΕ</v>
      </c>
      <c r="I6871">
        <v>71304</v>
      </c>
      <c r="J6871">
        <v>2810260771</v>
      </c>
      <c r="K6871">
        <v>6943082519</v>
      </c>
      <c r="N6871" t="s">
        <v>176</v>
      </c>
      <c r="O6871" t="s">
        <v>177</v>
      </c>
      <c r="R6871" t="s">
        <v>57</v>
      </c>
      <c r="S6871">
        <v>8</v>
      </c>
      <c r="T6871">
        <v>234</v>
      </c>
      <c r="U6871" s="1">
        <v>38960</v>
      </c>
      <c r="V6871" t="s">
        <v>80</v>
      </c>
      <c r="W6871" t="s">
        <v>81</v>
      </c>
      <c r="X6871" t="s">
        <v>58</v>
      </c>
      <c r="Y6871">
        <v>22</v>
      </c>
      <c r="Z6871" t="s">
        <v>59</v>
      </c>
      <c r="AA6871" t="s">
        <v>59</v>
      </c>
      <c r="AB6871" t="s">
        <v>59</v>
      </c>
      <c r="AC6871" t="s">
        <v>59</v>
      </c>
      <c r="AD6871" t="s">
        <v>59</v>
      </c>
      <c r="AF6871" s="1">
        <v>38961</v>
      </c>
      <c r="AG6871" t="s">
        <v>8645</v>
      </c>
      <c r="AH6871" t="s">
        <v>8646</v>
      </c>
      <c r="AI6871" t="str">
        <f>"9170048"</f>
        <v>9170048</v>
      </c>
      <c r="AJ6871" t="s">
        <v>8977</v>
      </c>
      <c r="AK6871">
        <v>2810283303</v>
      </c>
      <c r="AL6871" t="s">
        <v>8978</v>
      </c>
      <c r="AM6871" t="s">
        <v>78</v>
      </c>
      <c r="AN6871" t="s">
        <v>78</v>
      </c>
      <c r="AO6871" t="s">
        <v>78</v>
      </c>
      <c r="AP6871" t="s">
        <v>79</v>
      </c>
      <c r="AQ6871">
        <v>1</v>
      </c>
      <c r="AR6871" t="s">
        <v>80</v>
      </c>
      <c r="AS6871" t="s">
        <v>81</v>
      </c>
      <c r="AT6871" t="s">
        <v>58</v>
      </c>
      <c r="AU6871" t="s">
        <v>68</v>
      </c>
      <c r="AV6871" t="s">
        <v>69</v>
      </c>
      <c r="AW6871" s="1">
        <v>24432</v>
      </c>
      <c r="AX6871">
        <v>1</v>
      </c>
    </row>
    <row r="6872" spans="1:50">
      <c r="B6872" t="str">
        <f>"134326109"</f>
        <v>134326109</v>
      </c>
      <c r="C6872" t="s">
        <v>50</v>
      </c>
      <c r="D6872" t="s">
        <v>11276</v>
      </c>
      <c r="E6872" t="s">
        <v>473</v>
      </c>
      <c r="F6872" t="s">
        <v>72</v>
      </c>
      <c r="G6872" t="s">
        <v>237</v>
      </c>
      <c r="H6872" t="str">
        <f>"ΣΑΧΤΟΥΡΗ 17-19 "</f>
        <v xml:space="preserve">ΣΑΧΤΟΥΡΗ 17-19 </v>
      </c>
      <c r="I6872">
        <v>18451</v>
      </c>
      <c r="J6872">
        <v>2104916529</v>
      </c>
      <c r="K6872">
        <v>6947794967</v>
      </c>
      <c r="N6872" t="s">
        <v>1525</v>
      </c>
      <c r="O6872" t="s">
        <v>1526</v>
      </c>
      <c r="R6872" t="s">
        <v>159</v>
      </c>
      <c r="S6872">
        <v>3</v>
      </c>
      <c r="T6872" t="s">
        <v>8670</v>
      </c>
      <c r="U6872" s="1">
        <v>43348</v>
      </c>
      <c r="V6872" t="s">
        <v>80</v>
      </c>
      <c r="W6872" t="s">
        <v>81</v>
      </c>
      <c r="X6872" t="s">
        <v>58</v>
      </c>
      <c r="Y6872">
        <v>25</v>
      </c>
      <c r="Z6872" t="s">
        <v>59</v>
      </c>
      <c r="AA6872" t="s">
        <v>59</v>
      </c>
      <c r="AB6872" t="s">
        <v>59</v>
      </c>
      <c r="AC6872" t="s">
        <v>59</v>
      </c>
      <c r="AD6872" t="s">
        <v>59</v>
      </c>
      <c r="AF6872" s="1">
        <v>43348</v>
      </c>
      <c r="AG6872" t="s">
        <v>8651</v>
      </c>
      <c r="AH6872" t="s">
        <v>8652</v>
      </c>
      <c r="AI6872" t="str">
        <f>"9170397"</f>
        <v>9170397</v>
      </c>
      <c r="AJ6872" t="s">
        <v>8832</v>
      </c>
      <c r="AK6872">
        <v>2892022520</v>
      </c>
      <c r="AL6872" t="s">
        <v>8833</v>
      </c>
      <c r="AM6872" t="s">
        <v>78</v>
      </c>
      <c r="AN6872" t="s">
        <v>242</v>
      </c>
      <c r="AO6872" t="s">
        <v>243</v>
      </c>
      <c r="AP6872" t="s">
        <v>243</v>
      </c>
      <c r="AQ6872">
        <v>20</v>
      </c>
      <c r="AR6872" t="s">
        <v>80</v>
      </c>
      <c r="AS6872" t="s">
        <v>81</v>
      </c>
      <c r="AT6872" t="s">
        <v>58</v>
      </c>
      <c r="AU6872" t="s">
        <v>8673</v>
      </c>
      <c r="AV6872" t="s">
        <v>132</v>
      </c>
      <c r="AW6872" s="1">
        <v>31069</v>
      </c>
      <c r="AX6872">
        <v>1</v>
      </c>
    </row>
    <row r="6873" spans="1:50">
      <c r="A6873">
        <v>703197</v>
      </c>
      <c r="B6873" t="str">
        <f>"066234010"</f>
        <v>066234010</v>
      </c>
      <c r="C6873" t="s">
        <v>50</v>
      </c>
      <c r="D6873" t="s">
        <v>11276</v>
      </c>
      <c r="E6873" t="s">
        <v>98</v>
      </c>
      <c r="F6873" t="s">
        <v>1062</v>
      </c>
      <c r="G6873" t="s">
        <v>4729</v>
      </c>
      <c r="H6873" t="str">
        <f>"ΜΕΓ. ΑΛΕΞΑΝΔΡΟΥ 21 ΚΑΡΠΕΝΗΣΙ"</f>
        <v>ΜΕΓ. ΑΛΕΞΑΝΔΡΟΥ 21 ΚΑΡΠΕΝΗΣΙ</v>
      </c>
      <c r="I6873">
        <v>36100</v>
      </c>
      <c r="J6873">
        <v>2104183528</v>
      </c>
      <c r="K6873">
        <v>6979299797</v>
      </c>
      <c r="N6873" t="s">
        <v>1525</v>
      </c>
      <c r="O6873" t="s">
        <v>1526</v>
      </c>
      <c r="R6873" t="s">
        <v>57</v>
      </c>
      <c r="S6873">
        <v>5</v>
      </c>
      <c r="T6873">
        <v>588</v>
      </c>
      <c r="U6873" s="1">
        <v>40778</v>
      </c>
      <c r="V6873" t="s">
        <v>80</v>
      </c>
      <c r="W6873" t="s">
        <v>81</v>
      </c>
      <c r="X6873" t="s">
        <v>58</v>
      </c>
      <c r="Y6873">
        <v>25</v>
      </c>
      <c r="Z6873" t="s">
        <v>59</v>
      </c>
      <c r="AA6873" t="s">
        <v>59</v>
      </c>
      <c r="AB6873" t="s">
        <v>59</v>
      </c>
      <c r="AC6873" t="s">
        <v>59</v>
      </c>
      <c r="AD6873" t="s">
        <v>59</v>
      </c>
      <c r="AF6873" s="1">
        <v>40784</v>
      </c>
      <c r="AG6873" t="s">
        <v>8651</v>
      </c>
      <c r="AH6873" t="s">
        <v>8652</v>
      </c>
      <c r="AI6873" t="str">
        <f>"9170449"</f>
        <v>9170449</v>
      </c>
      <c r="AJ6873" t="s">
        <v>10299</v>
      </c>
      <c r="AK6873">
        <v>2810262915</v>
      </c>
      <c r="AL6873" t="s">
        <v>10300</v>
      </c>
      <c r="AM6873" t="s">
        <v>78</v>
      </c>
      <c r="AN6873" t="s">
        <v>78</v>
      </c>
      <c r="AO6873" t="s">
        <v>78</v>
      </c>
      <c r="AP6873" t="s">
        <v>141</v>
      </c>
      <c r="AQ6873">
        <v>1</v>
      </c>
      <c r="AR6873" t="s">
        <v>80</v>
      </c>
      <c r="AS6873" t="s">
        <v>81</v>
      </c>
      <c r="AT6873" t="s">
        <v>58</v>
      </c>
      <c r="AU6873" t="s">
        <v>68</v>
      </c>
      <c r="AV6873" t="s">
        <v>69</v>
      </c>
      <c r="AW6873" s="1">
        <v>29754</v>
      </c>
      <c r="AX6873">
        <v>1</v>
      </c>
    </row>
    <row r="6874" spans="1:50">
      <c r="B6874" t="str">
        <f>"116669504"</f>
        <v>116669504</v>
      </c>
      <c r="C6874" t="s">
        <v>50</v>
      </c>
      <c r="D6874" t="s">
        <v>11277</v>
      </c>
      <c r="E6874" t="s">
        <v>103</v>
      </c>
      <c r="F6874" t="s">
        <v>166</v>
      </c>
      <c r="H6874" t="str">
        <f>" "</f>
        <v xml:space="preserve"> </v>
      </c>
      <c r="N6874" t="s">
        <v>1525</v>
      </c>
      <c r="O6874" t="s">
        <v>1526</v>
      </c>
      <c r="R6874" t="s">
        <v>159</v>
      </c>
      <c r="S6874">
        <v>1</v>
      </c>
      <c r="T6874" t="s">
        <v>8670</v>
      </c>
      <c r="U6874" s="1">
        <v>43348</v>
      </c>
      <c r="V6874" t="s">
        <v>80</v>
      </c>
      <c r="W6874" t="s">
        <v>81</v>
      </c>
      <c r="X6874" t="s">
        <v>58</v>
      </c>
      <c r="Y6874">
        <v>25</v>
      </c>
      <c r="Z6874" t="s">
        <v>59</v>
      </c>
      <c r="AA6874" t="s">
        <v>59</v>
      </c>
      <c r="AB6874" t="s">
        <v>59</v>
      </c>
      <c r="AC6874" t="s">
        <v>59</v>
      </c>
      <c r="AD6874" t="s">
        <v>59</v>
      </c>
      <c r="AF6874" s="1">
        <v>43348</v>
      </c>
      <c r="AG6874" t="s">
        <v>8651</v>
      </c>
      <c r="AH6874" t="s">
        <v>8652</v>
      </c>
      <c r="AI6874" t="str">
        <f>"9170416"</f>
        <v>9170416</v>
      </c>
      <c r="AJ6874" t="s">
        <v>8903</v>
      </c>
      <c r="AK6874">
        <v>2810224704</v>
      </c>
      <c r="AL6874" t="s">
        <v>8904</v>
      </c>
      <c r="AM6874" t="s">
        <v>78</v>
      </c>
      <c r="AN6874" t="s">
        <v>78</v>
      </c>
      <c r="AO6874" t="s">
        <v>78</v>
      </c>
      <c r="AP6874" t="s">
        <v>213</v>
      </c>
      <c r="AQ6874">
        <v>1</v>
      </c>
      <c r="AR6874" t="s">
        <v>80</v>
      </c>
      <c r="AS6874" t="s">
        <v>81</v>
      </c>
      <c r="AT6874" t="s">
        <v>58</v>
      </c>
      <c r="AU6874" t="s">
        <v>8673</v>
      </c>
      <c r="AV6874" t="s">
        <v>132</v>
      </c>
      <c r="AW6874" s="1">
        <v>31642</v>
      </c>
      <c r="AX6874">
        <v>1</v>
      </c>
    </row>
    <row r="6875" spans="1:50">
      <c r="A6875">
        <v>621712</v>
      </c>
      <c r="B6875" t="str">
        <f>"137475329"</f>
        <v>137475329</v>
      </c>
      <c r="C6875" t="s">
        <v>105</v>
      </c>
      <c r="D6875" t="s">
        <v>11278</v>
      </c>
      <c r="E6875" t="s">
        <v>95</v>
      </c>
      <c r="F6875" t="s">
        <v>53</v>
      </c>
      <c r="G6875" t="s">
        <v>255</v>
      </c>
      <c r="H6875" t="str">
        <f>"ΠΑΛΑΙΟΚΑΠΠΑ 57 ΗΡΑΚΛΕΙΟ"</f>
        <v>ΠΑΛΑΙΟΚΑΠΠΑ 57 ΗΡΑΚΛΕΙΟ</v>
      </c>
      <c r="I6875">
        <v>71305</v>
      </c>
      <c r="J6875">
        <v>2810252794</v>
      </c>
      <c r="K6875">
        <v>6945150821</v>
      </c>
      <c r="N6875" t="s">
        <v>615</v>
      </c>
      <c r="O6875" t="s">
        <v>616</v>
      </c>
      <c r="R6875" t="s">
        <v>57</v>
      </c>
      <c r="S6875">
        <v>4</v>
      </c>
      <c r="T6875">
        <v>653</v>
      </c>
      <c r="U6875" s="1">
        <v>40043</v>
      </c>
      <c r="V6875" t="s">
        <v>80</v>
      </c>
      <c r="W6875" t="s">
        <v>81</v>
      </c>
      <c r="X6875" t="s">
        <v>58</v>
      </c>
      <c r="Y6875">
        <v>23</v>
      </c>
      <c r="Z6875" t="s">
        <v>59</v>
      </c>
      <c r="AA6875" t="s">
        <v>59</v>
      </c>
      <c r="AB6875" t="s">
        <v>59</v>
      </c>
      <c r="AC6875" t="s">
        <v>59</v>
      </c>
      <c r="AD6875" t="s">
        <v>59</v>
      </c>
      <c r="AF6875" s="1">
        <v>40044</v>
      </c>
      <c r="AG6875" t="s">
        <v>8645</v>
      </c>
      <c r="AH6875" t="s">
        <v>8646</v>
      </c>
      <c r="AI6875" t="str">
        <f>"9170039"</f>
        <v>9170039</v>
      </c>
      <c r="AJ6875" t="s">
        <v>8804</v>
      </c>
      <c r="AK6875">
        <v>2894022231</v>
      </c>
      <c r="AL6875" t="s">
        <v>8805</v>
      </c>
      <c r="AM6875" t="s">
        <v>78</v>
      </c>
      <c r="AN6875" t="s">
        <v>405</v>
      </c>
      <c r="AO6875" t="s">
        <v>406</v>
      </c>
      <c r="AP6875" t="s">
        <v>406</v>
      </c>
      <c r="AQ6875">
        <v>6</v>
      </c>
      <c r="AR6875" t="s">
        <v>80</v>
      </c>
      <c r="AS6875" t="s">
        <v>81</v>
      </c>
      <c r="AT6875" t="s">
        <v>58</v>
      </c>
      <c r="AU6875" t="s">
        <v>68</v>
      </c>
      <c r="AV6875" t="s">
        <v>69</v>
      </c>
      <c r="AW6875" s="1">
        <v>31371</v>
      </c>
      <c r="AX6875">
        <v>1</v>
      </c>
    </row>
    <row r="6876" spans="1:50">
      <c r="A6876">
        <v>551857</v>
      </c>
      <c r="B6876" t="str">
        <f>"028493611"</f>
        <v>028493611</v>
      </c>
      <c r="C6876" t="s">
        <v>105</v>
      </c>
      <c r="D6876" t="s">
        <v>11278</v>
      </c>
      <c r="E6876" t="s">
        <v>72</v>
      </c>
      <c r="F6876" t="s">
        <v>949</v>
      </c>
      <c r="G6876" t="s">
        <v>52</v>
      </c>
      <c r="H6876" t="str">
        <f>"ΕΡΥΘΡΑΙΑΣ 174 ΗΡΑΚΛΕΙΟ"</f>
        <v>ΕΡΥΘΡΑΙΑΣ 174 ΗΡΑΚΛΕΙΟ</v>
      </c>
      <c r="I6876">
        <v>71409</v>
      </c>
      <c r="J6876">
        <v>2810213421</v>
      </c>
      <c r="K6876">
        <v>6979025274</v>
      </c>
      <c r="M6876" t="s">
        <v>11279</v>
      </c>
      <c r="N6876" t="s">
        <v>615</v>
      </c>
      <c r="O6876" t="s">
        <v>616</v>
      </c>
      <c r="R6876" t="s">
        <v>57</v>
      </c>
      <c r="S6876">
        <v>17</v>
      </c>
      <c r="T6876">
        <v>271</v>
      </c>
      <c r="U6876" s="1">
        <v>30923</v>
      </c>
      <c r="V6876" t="s">
        <v>80</v>
      </c>
      <c r="W6876" t="s">
        <v>81</v>
      </c>
      <c r="X6876" t="s">
        <v>58</v>
      </c>
      <c r="Y6876">
        <v>21</v>
      </c>
      <c r="Z6876" t="s">
        <v>59</v>
      </c>
      <c r="AA6876" t="s">
        <v>59</v>
      </c>
      <c r="AB6876" t="s">
        <v>59</v>
      </c>
      <c r="AC6876" t="s">
        <v>59</v>
      </c>
      <c r="AD6876" t="s">
        <v>59</v>
      </c>
      <c r="AF6876" s="1">
        <v>30928</v>
      </c>
      <c r="AG6876" t="s">
        <v>8645</v>
      </c>
      <c r="AH6876" t="s">
        <v>8646</v>
      </c>
      <c r="AI6876" t="str">
        <f>"9170196"</f>
        <v>9170196</v>
      </c>
      <c r="AJ6876" t="s">
        <v>9255</v>
      </c>
      <c r="AK6876">
        <v>2810283356</v>
      </c>
      <c r="AL6876" t="s">
        <v>9256</v>
      </c>
      <c r="AM6876" t="s">
        <v>78</v>
      </c>
      <c r="AN6876" t="s">
        <v>78</v>
      </c>
      <c r="AO6876" t="s">
        <v>78</v>
      </c>
      <c r="AP6876" t="s">
        <v>79</v>
      </c>
      <c r="AQ6876">
        <v>1</v>
      </c>
      <c r="AR6876" t="s">
        <v>80</v>
      </c>
      <c r="AS6876" t="s">
        <v>81</v>
      </c>
      <c r="AT6876" t="s">
        <v>58</v>
      </c>
      <c r="AU6876" t="s">
        <v>68</v>
      </c>
      <c r="AV6876" t="s">
        <v>69</v>
      </c>
      <c r="AW6876" s="1">
        <v>22012</v>
      </c>
      <c r="AX6876">
        <v>1</v>
      </c>
    </row>
    <row r="6877" spans="1:50">
      <c r="A6877">
        <v>621725</v>
      </c>
      <c r="B6877" t="str">
        <f>"138980530"</f>
        <v>138980530</v>
      </c>
      <c r="C6877" t="s">
        <v>50</v>
      </c>
      <c r="D6877" t="s">
        <v>11280</v>
      </c>
      <c r="E6877" t="s">
        <v>181</v>
      </c>
      <c r="F6877" t="s">
        <v>53</v>
      </c>
      <c r="G6877" t="s">
        <v>215</v>
      </c>
      <c r="H6877" t="str">
        <f>"ΜΑΝΩΛΟΠΟΥΛΟΥ 20 ΗΡΑΚΛΕΙΟ"</f>
        <v>ΜΑΝΩΛΟΠΟΥΛΟΥ 20 ΗΡΑΚΛΕΙΟ</v>
      </c>
      <c r="I6877">
        <v>71409</v>
      </c>
      <c r="J6877">
        <v>2810239476</v>
      </c>
      <c r="K6877">
        <v>6947376564</v>
      </c>
      <c r="N6877" t="s">
        <v>615</v>
      </c>
      <c r="O6877" t="s">
        <v>616</v>
      </c>
      <c r="R6877" t="s">
        <v>57</v>
      </c>
      <c r="S6877">
        <v>4</v>
      </c>
      <c r="T6877">
        <v>653</v>
      </c>
      <c r="U6877" s="1">
        <v>40043</v>
      </c>
      <c r="V6877" t="s">
        <v>80</v>
      </c>
      <c r="W6877" t="s">
        <v>81</v>
      </c>
      <c r="X6877" t="s">
        <v>58</v>
      </c>
      <c r="Y6877">
        <v>23</v>
      </c>
      <c r="Z6877" t="s">
        <v>59</v>
      </c>
      <c r="AA6877" t="s">
        <v>59</v>
      </c>
      <c r="AB6877" t="s">
        <v>59</v>
      </c>
      <c r="AC6877" t="s">
        <v>59</v>
      </c>
      <c r="AD6877" t="s">
        <v>59</v>
      </c>
      <c r="AF6877" s="1">
        <v>40043</v>
      </c>
      <c r="AG6877" t="s">
        <v>8645</v>
      </c>
      <c r="AH6877" t="s">
        <v>8646</v>
      </c>
      <c r="AI6877" t="str">
        <f>"9170037"</f>
        <v>9170037</v>
      </c>
      <c r="AJ6877" t="s">
        <v>9215</v>
      </c>
      <c r="AK6877">
        <v>2810831208</v>
      </c>
      <c r="AL6877" t="s">
        <v>9216</v>
      </c>
      <c r="AM6877" t="s">
        <v>78</v>
      </c>
      <c r="AN6877" t="s">
        <v>129</v>
      </c>
      <c r="AO6877" t="s">
        <v>267</v>
      </c>
      <c r="AP6877" t="s">
        <v>267</v>
      </c>
      <c r="AQ6877">
        <v>2</v>
      </c>
      <c r="AR6877" t="s">
        <v>80</v>
      </c>
      <c r="AS6877" t="s">
        <v>81</v>
      </c>
      <c r="AT6877" t="s">
        <v>58</v>
      </c>
      <c r="AU6877" t="s">
        <v>68</v>
      </c>
      <c r="AV6877" t="s">
        <v>69</v>
      </c>
      <c r="AW6877" s="1">
        <v>31682</v>
      </c>
      <c r="AX6877">
        <v>1</v>
      </c>
    </row>
    <row r="6878" spans="1:50">
      <c r="A6878">
        <v>591495</v>
      </c>
      <c r="B6878" t="str">
        <f>"053728623"</f>
        <v>053728623</v>
      </c>
      <c r="C6878" t="s">
        <v>50</v>
      </c>
      <c r="D6878" t="s">
        <v>11281</v>
      </c>
      <c r="E6878" t="s">
        <v>83</v>
      </c>
      <c r="F6878" t="s">
        <v>920</v>
      </c>
      <c r="G6878" t="s">
        <v>250</v>
      </c>
      <c r="H6878" t="str">
        <f>"ΑΚΡΑΤΟΥ ΚΑΡΤΕΡΟΣ Τ.Θ. 807 ΗΡΑΚΛΕΙΟΥ"</f>
        <v>ΑΚΡΑΤΟΥ ΚΑΡΤΕΡΟΣ Τ.Θ. 807 ΗΡΑΚΛΕΙΟΥ</v>
      </c>
      <c r="I6878">
        <v>71500</v>
      </c>
      <c r="J6878">
        <v>2810381873</v>
      </c>
      <c r="K6878">
        <v>6945209431</v>
      </c>
      <c r="N6878" t="s">
        <v>615</v>
      </c>
      <c r="O6878" t="s">
        <v>616</v>
      </c>
      <c r="R6878" t="s">
        <v>57</v>
      </c>
      <c r="S6878">
        <v>9</v>
      </c>
      <c r="T6878">
        <v>249</v>
      </c>
      <c r="U6878" s="1">
        <v>36769</v>
      </c>
      <c r="V6878" t="s">
        <v>80</v>
      </c>
      <c r="W6878" t="s">
        <v>81</v>
      </c>
      <c r="X6878" t="s">
        <v>58</v>
      </c>
      <c r="Y6878">
        <v>22</v>
      </c>
      <c r="Z6878" t="s">
        <v>59</v>
      </c>
      <c r="AA6878" t="s">
        <v>59</v>
      </c>
      <c r="AB6878" t="s">
        <v>59</v>
      </c>
      <c r="AC6878" t="s">
        <v>59</v>
      </c>
      <c r="AD6878" t="s">
        <v>59</v>
      </c>
      <c r="AF6878" s="1">
        <v>36769</v>
      </c>
      <c r="AG6878" t="s">
        <v>8645</v>
      </c>
      <c r="AH6878" t="s">
        <v>8646</v>
      </c>
      <c r="AI6878" t="str">
        <f>"9170113"</f>
        <v>9170113</v>
      </c>
      <c r="AJ6878" t="s">
        <v>8846</v>
      </c>
      <c r="AK6878">
        <v>2810226174</v>
      </c>
      <c r="AL6878" t="s">
        <v>8847</v>
      </c>
      <c r="AM6878" t="s">
        <v>78</v>
      </c>
      <c r="AN6878" t="s">
        <v>78</v>
      </c>
      <c r="AO6878" t="s">
        <v>78</v>
      </c>
      <c r="AP6878" t="s">
        <v>79</v>
      </c>
      <c r="AQ6878">
        <v>1</v>
      </c>
      <c r="AR6878" t="s">
        <v>80</v>
      </c>
      <c r="AS6878" t="s">
        <v>81</v>
      </c>
      <c r="AT6878" t="s">
        <v>58</v>
      </c>
      <c r="AU6878" t="s">
        <v>68</v>
      </c>
      <c r="AV6878" t="s">
        <v>69</v>
      </c>
      <c r="AW6878" s="1">
        <v>25142</v>
      </c>
      <c r="AX6878">
        <v>1</v>
      </c>
    </row>
    <row r="6879" spans="1:50">
      <c r="B6879" t="str">
        <f>"129424840"</f>
        <v>129424840</v>
      </c>
      <c r="C6879" t="s">
        <v>50</v>
      </c>
      <c r="D6879" t="s">
        <v>3594</v>
      </c>
      <c r="E6879" t="s">
        <v>237</v>
      </c>
      <c r="F6879" t="s">
        <v>995</v>
      </c>
      <c r="G6879" t="s">
        <v>155</v>
      </c>
      <c r="H6879" t="str">
        <f>"ΑΗΔΟΝΟΧΩΡΙ "</f>
        <v xml:space="preserve">ΑΗΔΟΝΟΧΩΡΙ </v>
      </c>
      <c r="I6879">
        <v>62049</v>
      </c>
      <c r="K6879">
        <v>6947158686</v>
      </c>
      <c r="M6879" t="s">
        <v>11282</v>
      </c>
      <c r="N6879" t="s">
        <v>1525</v>
      </c>
      <c r="O6879" t="s">
        <v>1526</v>
      </c>
      <c r="R6879" t="s">
        <v>159</v>
      </c>
      <c r="S6879">
        <v>3</v>
      </c>
      <c r="T6879" t="s">
        <v>8670</v>
      </c>
      <c r="U6879" s="1">
        <v>43348</v>
      </c>
      <c r="V6879" t="s">
        <v>80</v>
      </c>
      <c r="W6879" t="s">
        <v>81</v>
      </c>
      <c r="X6879" t="s">
        <v>58</v>
      </c>
      <c r="Y6879">
        <v>25</v>
      </c>
      <c r="Z6879" t="s">
        <v>59</v>
      </c>
      <c r="AA6879" t="s">
        <v>59</v>
      </c>
      <c r="AB6879" t="s">
        <v>59</v>
      </c>
      <c r="AC6879" t="s">
        <v>59</v>
      </c>
      <c r="AD6879" t="s">
        <v>59</v>
      </c>
      <c r="AF6879" s="1">
        <v>43348</v>
      </c>
      <c r="AG6879" t="s">
        <v>8651</v>
      </c>
      <c r="AH6879" t="s">
        <v>8652</v>
      </c>
      <c r="AI6879" t="str">
        <f>"9170391"</f>
        <v>9170391</v>
      </c>
      <c r="AJ6879" t="s">
        <v>11283</v>
      </c>
      <c r="AK6879">
        <v>2891071030</v>
      </c>
      <c r="AL6879" t="s">
        <v>11284</v>
      </c>
      <c r="AM6879" t="s">
        <v>78</v>
      </c>
      <c r="AN6879" t="s">
        <v>276</v>
      </c>
      <c r="AO6879" t="s">
        <v>490</v>
      </c>
      <c r="AP6879" t="s">
        <v>11285</v>
      </c>
      <c r="AQ6879">
        <v>12</v>
      </c>
      <c r="AR6879" t="s">
        <v>80</v>
      </c>
      <c r="AS6879" t="s">
        <v>81</v>
      </c>
      <c r="AT6879" t="s">
        <v>58</v>
      </c>
      <c r="AU6879" t="s">
        <v>8673</v>
      </c>
      <c r="AV6879" t="s">
        <v>132</v>
      </c>
      <c r="AW6879" s="1">
        <v>29327</v>
      </c>
      <c r="AX6879">
        <v>1</v>
      </c>
    </row>
    <row r="6880" spans="1:50">
      <c r="B6880" t="str">
        <f>"144864153"</f>
        <v>144864153</v>
      </c>
      <c r="C6880" t="s">
        <v>50</v>
      </c>
      <c r="D6880" t="s">
        <v>3594</v>
      </c>
      <c r="E6880" t="s">
        <v>52</v>
      </c>
      <c r="F6880" t="s">
        <v>99</v>
      </c>
      <c r="G6880" t="s">
        <v>155</v>
      </c>
      <c r="H6880" t="str">
        <f>"ΔΗΜΟΚΡΑΤΙΑΣ 6 "</f>
        <v xml:space="preserve">ΔΗΜΟΚΡΑΤΙΑΣ 6 </v>
      </c>
      <c r="I6880">
        <v>42300</v>
      </c>
      <c r="J6880">
        <v>2433031866</v>
      </c>
      <c r="K6880">
        <v>6945550085</v>
      </c>
      <c r="N6880" t="s">
        <v>615</v>
      </c>
      <c r="O6880" t="s">
        <v>616</v>
      </c>
      <c r="R6880" t="s">
        <v>159</v>
      </c>
      <c r="S6880">
        <v>3</v>
      </c>
      <c r="T6880" t="s">
        <v>8675</v>
      </c>
      <c r="U6880" s="1">
        <v>43348</v>
      </c>
      <c r="V6880" t="s">
        <v>80</v>
      </c>
      <c r="W6880" t="s">
        <v>81</v>
      </c>
      <c r="X6880" t="s">
        <v>58</v>
      </c>
      <c r="Y6880">
        <v>24</v>
      </c>
      <c r="Z6880" t="s">
        <v>59</v>
      </c>
      <c r="AA6880" t="s">
        <v>59</v>
      </c>
      <c r="AB6880" t="s">
        <v>59</v>
      </c>
      <c r="AC6880" t="s">
        <v>59</v>
      </c>
      <c r="AD6880" t="s">
        <v>59</v>
      </c>
      <c r="AF6880" s="1">
        <v>43348</v>
      </c>
      <c r="AG6880" t="s">
        <v>8645</v>
      </c>
      <c r="AH6880" t="s">
        <v>8646</v>
      </c>
      <c r="AI6880" t="str">
        <f>"9170039"</f>
        <v>9170039</v>
      </c>
      <c r="AJ6880" t="s">
        <v>8804</v>
      </c>
      <c r="AK6880">
        <v>2894022231</v>
      </c>
      <c r="AL6880" t="s">
        <v>8805</v>
      </c>
      <c r="AM6880" t="s">
        <v>78</v>
      </c>
      <c r="AN6880" t="s">
        <v>405</v>
      </c>
      <c r="AO6880" t="s">
        <v>406</v>
      </c>
      <c r="AP6880" t="s">
        <v>406</v>
      </c>
      <c r="AQ6880">
        <v>6</v>
      </c>
      <c r="AR6880" t="s">
        <v>80</v>
      </c>
      <c r="AS6880" t="s">
        <v>81</v>
      </c>
      <c r="AT6880" t="s">
        <v>58</v>
      </c>
      <c r="AU6880" t="s">
        <v>8673</v>
      </c>
      <c r="AV6880" t="s">
        <v>132</v>
      </c>
      <c r="AW6880" s="1">
        <v>31622</v>
      </c>
      <c r="AX6880">
        <v>1</v>
      </c>
    </row>
    <row r="6881" spans="1:50">
      <c r="B6881" t="str">
        <f>"114297794"</f>
        <v>114297794</v>
      </c>
      <c r="C6881" t="s">
        <v>105</v>
      </c>
      <c r="D6881" t="s">
        <v>11286</v>
      </c>
      <c r="E6881" t="s">
        <v>99</v>
      </c>
      <c r="F6881" t="s">
        <v>166</v>
      </c>
      <c r="G6881" t="s">
        <v>1189</v>
      </c>
      <c r="H6881" t="str">
        <f>"ΑΓ. ΑΝΤΩΝΙΟΥ ΝΙΚΟΛΑΟΥ 42 "</f>
        <v xml:space="preserve">ΑΓ. ΑΝΤΩΝΙΟΥ ΝΙΚΟΛΑΟΥ 42 </v>
      </c>
      <c r="I6881">
        <v>71500</v>
      </c>
      <c r="J6881">
        <v>2810250272</v>
      </c>
      <c r="K6881">
        <v>6907771818</v>
      </c>
      <c r="N6881" t="s">
        <v>8694</v>
      </c>
      <c r="O6881" t="s">
        <v>8695</v>
      </c>
      <c r="R6881" t="s">
        <v>159</v>
      </c>
      <c r="S6881">
        <v>4</v>
      </c>
      <c r="T6881" t="s">
        <v>9831</v>
      </c>
      <c r="U6881" s="1">
        <v>43348</v>
      </c>
      <c r="V6881" t="s">
        <v>80</v>
      </c>
      <c r="W6881" t="s">
        <v>81</v>
      </c>
      <c r="X6881" t="s">
        <v>58</v>
      </c>
      <c r="Y6881">
        <v>24</v>
      </c>
      <c r="Z6881" t="s">
        <v>59</v>
      </c>
      <c r="AA6881" t="s">
        <v>59</v>
      </c>
      <c r="AB6881" t="s">
        <v>59</v>
      </c>
      <c r="AC6881" t="s">
        <v>59</v>
      </c>
      <c r="AD6881" t="s">
        <v>59</v>
      </c>
      <c r="AF6881" s="1">
        <v>43348</v>
      </c>
      <c r="AG6881" t="s">
        <v>60</v>
      </c>
      <c r="AH6881" t="s">
        <v>61</v>
      </c>
      <c r="AI6881" t="str">
        <f>"9000624"</f>
        <v>9000624</v>
      </c>
      <c r="AJ6881" t="s">
        <v>76</v>
      </c>
      <c r="AK6881">
        <v>2810215020</v>
      </c>
      <c r="AL6881" t="s">
        <v>77</v>
      </c>
      <c r="AM6881" t="s">
        <v>78</v>
      </c>
      <c r="AN6881" t="s">
        <v>78</v>
      </c>
      <c r="AO6881" t="s">
        <v>78</v>
      </c>
      <c r="AP6881" t="s">
        <v>79</v>
      </c>
      <c r="AR6881" t="s">
        <v>80</v>
      </c>
      <c r="AS6881" t="s">
        <v>81</v>
      </c>
      <c r="AT6881" t="s">
        <v>58</v>
      </c>
      <c r="AU6881" t="s">
        <v>350</v>
      </c>
      <c r="AV6881" t="s">
        <v>132</v>
      </c>
      <c r="AW6881" s="1">
        <v>29726</v>
      </c>
      <c r="AX6881">
        <v>0</v>
      </c>
    </row>
    <row r="6882" spans="1:50">
      <c r="B6882" t="str">
        <f>"048063614"</f>
        <v>048063614</v>
      </c>
      <c r="C6882" t="s">
        <v>50</v>
      </c>
      <c r="D6882" t="s">
        <v>11287</v>
      </c>
      <c r="E6882" t="s">
        <v>714</v>
      </c>
      <c r="F6882" t="s">
        <v>95</v>
      </c>
      <c r="G6882" t="s">
        <v>215</v>
      </c>
      <c r="H6882" t="str">
        <f>"Ν ΠΛΑΣΤΗΡΑ 28 ΘΕΣΣΑΛΟΝΙΚΗ"</f>
        <v>Ν ΠΛΑΣΤΗΡΑ 28 ΘΕΣΣΑΛΟΝΙΚΗ</v>
      </c>
      <c r="I6882">
        <v>56121</v>
      </c>
      <c r="J6882">
        <v>2310732637</v>
      </c>
      <c r="K6882">
        <v>6976572211</v>
      </c>
      <c r="N6882" t="s">
        <v>306</v>
      </c>
      <c r="O6882" t="s">
        <v>307</v>
      </c>
      <c r="R6882" t="s">
        <v>159</v>
      </c>
      <c r="S6882">
        <v>2</v>
      </c>
      <c r="T6882" t="s">
        <v>8675</v>
      </c>
      <c r="U6882" s="1">
        <v>43348</v>
      </c>
      <c r="V6882" t="s">
        <v>80</v>
      </c>
      <c r="W6882" t="s">
        <v>81</v>
      </c>
      <c r="X6882" t="s">
        <v>58</v>
      </c>
      <c r="Y6882">
        <v>24</v>
      </c>
      <c r="Z6882" t="s">
        <v>59</v>
      </c>
      <c r="AA6882" t="s">
        <v>59</v>
      </c>
      <c r="AB6882" t="s">
        <v>59</v>
      </c>
      <c r="AC6882" t="s">
        <v>59</v>
      </c>
      <c r="AD6882" t="s">
        <v>59</v>
      </c>
      <c r="AF6882" s="1">
        <v>43348</v>
      </c>
      <c r="AG6882" t="s">
        <v>8645</v>
      </c>
      <c r="AH6882" t="s">
        <v>8646</v>
      </c>
      <c r="AI6882" t="str">
        <f>"9170009"</f>
        <v>9170009</v>
      </c>
      <c r="AJ6882" t="s">
        <v>8683</v>
      </c>
      <c r="AK6882">
        <v>2810861612</v>
      </c>
      <c r="AL6882" t="s">
        <v>8684</v>
      </c>
      <c r="AM6882" t="s">
        <v>78</v>
      </c>
      <c r="AN6882" t="s">
        <v>78</v>
      </c>
      <c r="AO6882" t="s">
        <v>185</v>
      </c>
      <c r="AP6882" t="s">
        <v>8685</v>
      </c>
      <c r="AQ6882">
        <v>4</v>
      </c>
      <c r="AR6882" t="s">
        <v>80</v>
      </c>
      <c r="AS6882" t="s">
        <v>81</v>
      </c>
      <c r="AT6882" t="s">
        <v>58</v>
      </c>
      <c r="AU6882" t="s">
        <v>8673</v>
      </c>
      <c r="AV6882" t="s">
        <v>132</v>
      </c>
      <c r="AW6882" s="1">
        <v>26439</v>
      </c>
      <c r="AX6882">
        <v>1</v>
      </c>
    </row>
    <row r="6883" spans="1:50">
      <c r="B6883" t="str">
        <f>"150201663"</f>
        <v>150201663</v>
      </c>
      <c r="C6883" t="s">
        <v>50</v>
      </c>
      <c r="D6883" t="s">
        <v>11288</v>
      </c>
      <c r="E6883" t="s">
        <v>11289</v>
      </c>
      <c r="F6883" t="s">
        <v>11290</v>
      </c>
      <c r="G6883" t="s">
        <v>11291</v>
      </c>
      <c r="H6883" t="str">
        <f>" "</f>
        <v xml:space="preserve"> </v>
      </c>
      <c r="N6883" t="s">
        <v>615</v>
      </c>
      <c r="O6883" t="s">
        <v>616</v>
      </c>
      <c r="R6883" t="s">
        <v>121</v>
      </c>
      <c r="S6883">
        <v>3</v>
      </c>
      <c r="T6883" t="s">
        <v>8717</v>
      </c>
      <c r="U6883" s="1">
        <v>43348</v>
      </c>
      <c r="V6883" t="s">
        <v>80</v>
      </c>
      <c r="W6883" t="s">
        <v>81</v>
      </c>
      <c r="X6883" t="s">
        <v>58</v>
      </c>
      <c r="Y6883">
        <v>24</v>
      </c>
      <c r="Z6883" t="s">
        <v>59</v>
      </c>
      <c r="AA6883" t="s">
        <v>59</v>
      </c>
      <c r="AB6883" t="s">
        <v>59</v>
      </c>
      <c r="AC6883" t="s">
        <v>59</v>
      </c>
      <c r="AD6883" t="s">
        <v>59</v>
      </c>
      <c r="AF6883" s="1">
        <v>43348</v>
      </c>
      <c r="AG6883" t="s">
        <v>8645</v>
      </c>
      <c r="AH6883" t="s">
        <v>8646</v>
      </c>
      <c r="AI6883" t="str">
        <f>"9170263"</f>
        <v>9170263</v>
      </c>
      <c r="AJ6883" t="s">
        <v>8942</v>
      </c>
      <c r="AK6883">
        <v>2810346939</v>
      </c>
      <c r="AL6883" t="s">
        <v>8943</v>
      </c>
      <c r="AM6883" t="s">
        <v>78</v>
      </c>
      <c r="AN6883" t="s">
        <v>78</v>
      </c>
      <c r="AO6883" t="s">
        <v>286</v>
      </c>
      <c r="AP6883" t="s">
        <v>286</v>
      </c>
      <c r="AQ6883">
        <v>1</v>
      </c>
      <c r="AR6883" t="s">
        <v>80</v>
      </c>
      <c r="AS6883" t="s">
        <v>81</v>
      </c>
      <c r="AT6883" t="s">
        <v>58</v>
      </c>
      <c r="AU6883" t="s">
        <v>8720</v>
      </c>
      <c r="AV6883" t="s">
        <v>132</v>
      </c>
      <c r="AW6883" s="1">
        <v>32884</v>
      </c>
      <c r="AX6883">
        <v>1</v>
      </c>
    </row>
    <row r="6884" spans="1:50">
      <c r="A6884">
        <v>612612</v>
      </c>
      <c r="B6884" t="str">
        <f>"110124382"</f>
        <v>110124382</v>
      </c>
      <c r="C6884" t="s">
        <v>50</v>
      </c>
      <c r="D6884" t="s">
        <v>11292</v>
      </c>
      <c r="E6884" t="s">
        <v>476</v>
      </c>
      <c r="F6884" t="s">
        <v>95</v>
      </c>
      <c r="G6884" t="s">
        <v>3480</v>
      </c>
      <c r="H6884" t="str">
        <f>"ΠΑΠΑΠΕΤΡΟΥ ΓΑΒΑΛΑ 71 ΗΡΑΚΛΕΙΟ"</f>
        <v>ΠΑΠΑΠΕΤΡΟΥ ΓΑΒΑΛΑ 71 ΗΡΑΚΛΕΙΟ</v>
      </c>
      <c r="I6884">
        <v>71409</v>
      </c>
      <c r="J6884">
        <v>2810232037</v>
      </c>
      <c r="K6884">
        <v>6936666696</v>
      </c>
      <c r="M6884" t="s">
        <v>11293</v>
      </c>
      <c r="N6884" t="s">
        <v>176</v>
      </c>
      <c r="O6884" t="s">
        <v>177</v>
      </c>
      <c r="R6884" t="s">
        <v>57</v>
      </c>
      <c r="S6884">
        <v>8</v>
      </c>
      <c r="T6884">
        <v>234</v>
      </c>
      <c r="U6884" s="1">
        <v>38960</v>
      </c>
      <c r="V6884" t="s">
        <v>80</v>
      </c>
      <c r="W6884" t="s">
        <v>81</v>
      </c>
      <c r="X6884" t="s">
        <v>58</v>
      </c>
      <c r="Y6884">
        <v>22</v>
      </c>
      <c r="Z6884" t="s">
        <v>59</v>
      </c>
      <c r="AA6884" t="s">
        <v>59</v>
      </c>
      <c r="AB6884" t="s">
        <v>59</v>
      </c>
      <c r="AC6884" t="s">
        <v>59</v>
      </c>
      <c r="AD6884" t="s">
        <v>59</v>
      </c>
      <c r="AF6884" s="1">
        <v>38961</v>
      </c>
      <c r="AG6884" t="s">
        <v>8645</v>
      </c>
      <c r="AH6884" t="s">
        <v>8646</v>
      </c>
      <c r="AI6884" t="str">
        <f>"9170428"</f>
        <v>9170428</v>
      </c>
      <c r="AJ6884" t="s">
        <v>8983</v>
      </c>
      <c r="AK6884">
        <v>2810234768</v>
      </c>
      <c r="AL6884" t="s">
        <v>8984</v>
      </c>
      <c r="AM6884" t="s">
        <v>78</v>
      </c>
      <c r="AN6884" t="s">
        <v>78</v>
      </c>
      <c r="AO6884" t="s">
        <v>78</v>
      </c>
      <c r="AP6884" t="s">
        <v>79</v>
      </c>
      <c r="AQ6884">
        <v>1</v>
      </c>
      <c r="AR6884" t="s">
        <v>80</v>
      </c>
      <c r="AS6884" t="s">
        <v>81</v>
      </c>
      <c r="AT6884" t="s">
        <v>58</v>
      </c>
      <c r="AU6884" t="s">
        <v>68</v>
      </c>
      <c r="AV6884" t="s">
        <v>69</v>
      </c>
      <c r="AW6884" s="1">
        <v>22636</v>
      </c>
      <c r="AX6884">
        <v>1</v>
      </c>
    </row>
    <row r="6885" spans="1:50">
      <c r="A6885">
        <v>560384</v>
      </c>
      <c r="B6885" t="str">
        <f>"065652930"</f>
        <v>065652930</v>
      </c>
      <c r="C6885" t="s">
        <v>50</v>
      </c>
      <c r="D6885" t="s">
        <v>3603</v>
      </c>
      <c r="E6885" t="s">
        <v>237</v>
      </c>
      <c r="F6885" t="s">
        <v>1506</v>
      </c>
      <c r="G6885" t="s">
        <v>83</v>
      </c>
      <c r="H6885" t="str">
        <f>"ΟΙΚΙΣΜΟΣ ΚΑΒΡΟΧΩΡΙΟΥ ΓΑΖΙ"</f>
        <v>ΟΙΚΙΣΜΟΣ ΚΑΒΡΟΧΩΡΙΟΥ ΓΑΖΙ</v>
      </c>
      <c r="I6885">
        <v>71500</v>
      </c>
      <c r="J6885">
        <v>2810821511</v>
      </c>
      <c r="K6885">
        <v>6976199664</v>
      </c>
      <c r="M6885" t="s">
        <v>11294</v>
      </c>
      <c r="N6885" t="s">
        <v>615</v>
      </c>
      <c r="O6885" t="s">
        <v>616</v>
      </c>
      <c r="R6885" t="s">
        <v>57</v>
      </c>
      <c r="S6885">
        <v>16</v>
      </c>
      <c r="T6885">
        <v>185</v>
      </c>
      <c r="U6885" s="1">
        <v>32035</v>
      </c>
      <c r="V6885" t="s">
        <v>80</v>
      </c>
      <c r="W6885" t="s">
        <v>81</v>
      </c>
      <c r="X6885" t="s">
        <v>58</v>
      </c>
      <c r="Y6885">
        <v>21</v>
      </c>
      <c r="Z6885" t="s">
        <v>59</v>
      </c>
      <c r="AA6885" t="s">
        <v>59</v>
      </c>
      <c r="AB6885" t="s">
        <v>59</v>
      </c>
      <c r="AC6885" t="s">
        <v>59</v>
      </c>
      <c r="AD6885" t="s">
        <v>59</v>
      </c>
      <c r="AF6885" s="1">
        <v>32037</v>
      </c>
      <c r="AG6885" t="s">
        <v>8645</v>
      </c>
      <c r="AH6885" t="s">
        <v>8646</v>
      </c>
      <c r="AI6885" t="str">
        <f>"9170547"</f>
        <v>9170547</v>
      </c>
      <c r="AJ6885" t="s">
        <v>9175</v>
      </c>
      <c r="AK6885">
        <v>2810250886</v>
      </c>
      <c r="AL6885" t="s">
        <v>9176</v>
      </c>
      <c r="AM6885" t="s">
        <v>78</v>
      </c>
      <c r="AN6885" t="s">
        <v>78</v>
      </c>
      <c r="AO6885" t="s">
        <v>78</v>
      </c>
      <c r="AP6885" t="s">
        <v>141</v>
      </c>
      <c r="AQ6885">
        <v>1</v>
      </c>
      <c r="AR6885" t="s">
        <v>80</v>
      </c>
      <c r="AS6885" t="s">
        <v>81</v>
      </c>
      <c r="AT6885" t="s">
        <v>58</v>
      </c>
      <c r="AU6885" t="s">
        <v>68</v>
      </c>
      <c r="AV6885" t="s">
        <v>69</v>
      </c>
      <c r="AW6885" s="1">
        <v>22122</v>
      </c>
      <c r="AX6885">
        <v>1</v>
      </c>
    </row>
    <row r="6886" spans="1:50">
      <c r="B6886" t="str">
        <f>"123172737"</f>
        <v>123172737</v>
      </c>
      <c r="C6886" t="s">
        <v>50</v>
      </c>
      <c r="D6886" t="s">
        <v>3603</v>
      </c>
      <c r="E6886" t="s">
        <v>83</v>
      </c>
      <c r="F6886" t="s">
        <v>450</v>
      </c>
      <c r="G6886" t="s">
        <v>801</v>
      </c>
      <c r="H6886" t="str">
        <f>"ΔΩΔΩΝΗΣ 18 ΗΡΑΚΛΕΙΟ"</f>
        <v>ΔΩΔΩΝΗΣ 18 ΗΡΑΚΛΕΙΟ</v>
      </c>
      <c r="I6886">
        <v>71307</v>
      </c>
      <c r="J6886">
        <v>2810221806</v>
      </c>
      <c r="K6886">
        <v>6944889907</v>
      </c>
      <c r="N6886" t="s">
        <v>306</v>
      </c>
      <c r="O6886" t="s">
        <v>307</v>
      </c>
      <c r="R6886" t="s">
        <v>159</v>
      </c>
      <c r="S6886">
        <v>5</v>
      </c>
      <c r="T6886" t="s">
        <v>8675</v>
      </c>
      <c r="U6886" s="1">
        <v>43348</v>
      </c>
      <c r="V6886" t="s">
        <v>80</v>
      </c>
      <c r="W6886" t="s">
        <v>81</v>
      </c>
      <c r="X6886" t="s">
        <v>58</v>
      </c>
      <c r="Y6886">
        <v>24</v>
      </c>
      <c r="Z6886" t="s">
        <v>59</v>
      </c>
      <c r="AA6886" t="s">
        <v>59</v>
      </c>
      <c r="AB6886" t="s">
        <v>59</v>
      </c>
      <c r="AC6886" t="s">
        <v>59</v>
      </c>
      <c r="AD6886" t="s">
        <v>59</v>
      </c>
      <c r="AF6886" s="1">
        <v>43348</v>
      </c>
      <c r="AG6886" t="s">
        <v>8645</v>
      </c>
      <c r="AH6886" t="s">
        <v>8646</v>
      </c>
      <c r="AI6886" t="str">
        <f>"9170262"</f>
        <v>9170262</v>
      </c>
      <c r="AJ6886" t="s">
        <v>9224</v>
      </c>
      <c r="AK6886">
        <v>2810245912</v>
      </c>
      <c r="AL6886" t="s">
        <v>9225</v>
      </c>
      <c r="AM6886" t="s">
        <v>78</v>
      </c>
      <c r="AN6886" t="s">
        <v>78</v>
      </c>
      <c r="AO6886" t="s">
        <v>286</v>
      </c>
      <c r="AP6886" t="s">
        <v>286</v>
      </c>
      <c r="AQ6886">
        <v>1</v>
      </c>
      <c r="AR6886" t="s">
        <v>80</v>
      </c>
      <c r="AS6886" t="s">
        <v>81</v>
      </c>
      <c r="AT6886" t="s">
        <v>58</v>
      </c>
      <c r="AU6886" t="s">
        <v>8673</v>
      </c>
      <c r="AV6886" t="s">
        <v>132</v>
      </c>
      <c r="AW6886" s="1">
        <v>30604</v>
      </c>
      <c r="AX6886">
        <v>1</v>
      </c>
    </row>
    <row r="6887" spans="1:50">
      <c r="B6887" t="str">
        <f>"123156100"</f>
        <v>123156100</v>
      </c>
      <c r="C6887" t="s">
        <v>50</v>
      </c>
      <c r="D6887" t="s">
        <v>3603</v>
      </c>
      <c r="E6887" t="s">
        <v>255</v>
      </c>
      <c r="F6887" t="s">
        <v>95</v>
      </c>
      <c r="G6887" t="s">
        <v>52</v>
      </c>
      <c r="H6887" t="str">
        <f>"ΛΕΩΦ.ΙΩΝΙΑΣ 72 "</f>
        <v xml:space="preserve">ΛΕΩΦ.ΙΩΝΙΑΣ 72 </v>
      </c>
      <c r="I6887">
        <v>71305</v>
      </c>
      <c r="J6887">
        <v>2811111811</v>
      </c>
      <c r="K6887">
        <v>6937450917</v>
      </c>
      <c r="N6887" t="s">
        <v>1525</v>
      </c>
      <c r="O6887" t="s">
        <v>1526</v>
      </c>
      <c r="R6887" t="s">
        <v>159</v>
      </c>
      <c r="S6887">
        <v>1</v>
      </c>
      <c r="T6887" t="s">
        <v>8670</v>
      </c>
      <c r="U6887" s="1">
        <v>43348</v>
      </c>
      <c r="V6887" t="s">
        <v>80</v>
      </c>
      <c r="W6887" t="s">
        <v>81</v>
      </c>
      <c r="X6887" t="s">
        <v>58</v>
      </c>
      <c r="Y6887">
        <v>25</v>
      </c>
      <c r="Z6887" t="s">
        <v>59</v>
      </c>
      <c r="AA6887" t="s">
        <v>59</v>
      </c>
      <c r="AB6887" t="s">
        <v>59</v>
      </c>
      <c r="AC6887" t="s">
        <v>59</v>
      </c>
      <c r="AD6887" t="s">
        <v>59</v>
      </c>
      <c r="AF6887" s="1">
        <v>43348</v>
      </c>
      <c r="AG6887" t="s">
        <v>8651</v>
      </c>
      <c r="AH6887" t="s">
        <v>8652</v>
      </c>
      <c r="AI6887" t="str">
        <f>"9521694"</f>
        <v>9521694</v>
      </c>
      <c r="AJ6887" t="s">
        <v>11237</v>
      </c>
      <c r="AK6887">
        <v>2810262562</v>
      </c>
      <c r="AL6887" t="s">
        <v>11238</v>
      </c>
      <c r="AM6887" t="s">
        <v>78</v>
      </c>
      <c r="AN6887" t="s">
        <v>129</v>
      </c>
      <c r="AO6887" t="s">
        <v>130</v>
      </c>
      <c r="AP6887" t="s">
        <v>130</v>
      </c>
      <c r="AR6887" t="s">
        <v>80</v>
      </c>
      <c r="AS6887" t="s">
        <v>81</v>
      </c>
      <c r="AT6887" t="s">
        <v>58</v>
      </c>
      <c r="AU6887" t="s">
        <v>8673</v>
      </c>
      <c r="AV6887" t="s">
        <v>132</v>
      </c>
      <c r="AW6887" s="1">
        <v>30239</v>
      </c>
      <c r="AX6887">
        <v>1</v>
      </c>
    </row>
    <row r="6888" spans="1:50">
      <c r="B6888" t="str">
        <f>"146245872"</f>
        <v>146245872</v>
      </c>
      <c r="C6888" t="s">
        <v>50</v>
      </c>
      <c r="D6888" t="s">
        <v>3603</v>
      </c>
      <c r="E6888" t="s">
        <v>255</v>
      </c>
      <c r="F6888" t="s">
        <v>95</v>
      </c>
      <c r="G6888" t="s">
        <v>250</v>
      </c>
      <c r="H6888" t="str">
        <f>"Δαμάστας 31  Γάζι"</f>
        <v>Δαμάστας 31  Γάζι</v>
      </c>
      <c r="I6888">
        <v>71414</v>
      </c>
      <c r="J6888">
        <v>2810824292</v>
      </c>
      <c r="K6888">
        <v>6987170382</v>
      </c>
      <c r="M6888" t="s">
        <v>11295</v>
      </c>
      <c r="N6888" t="s">
        <v>615</v>
      </c>
      <c r="O6888" t="s">
        <v>616</v>
      </c>
      <c r="R6888" t="s">
        <v>121</v>
      </c>
      <c r="S6888">
        <v>1</v>
      </c>
      <c r="T6888" t="s">
        <v>8675</v>
      </c>
      <c r="U6888" s="1">
        <v>43348</v>
      </c>
      <c r="V6888" t="s">
        <v>80</v>
      </c>
      <c r="W6888" t="s">
        <v>81</v>
      </c>
      <c r="X6888" t="s">
        <v>58</v>
      </c>
      <c r="Y6888">
        <v>24</v>
      </c>
      <c r="Z6888" t="s">
        <v>59</v>
      </c>
      <c r="AA6888" t="s">
        <v>59</v>
      </c>
      <c r="AB6888" t="s">
        <v>59</v>
      </c>
      <c r="AD6888" t="s">
        <v>59</v>
      </c>
      <c r="AF6888" s="1">
        <v>43348</v>
      </c>
      <c r="AG6888" t="s">
        <v>8645</v>
      </c>
      <c r="AH6888" t="s">
        <v>8646</v>
      </c>
      <c r="AI6888" t="str">
        <f>"9170525"</f>
        <v>9170525</v>
      </c>
      <c r="AJ6888" t="s">
        <v>8853</v>
      </c>
      <c r="AK6888">
        <v>2810256547</v>
      </c>
      <c r="AL6888" t="s">
        <v>8854</v>
      </c>
      <c r="AM6888" t="s">
        <v>78</v>
      </c>
      <c r="AN6888" t="s">
        <v>78</v>
      </c>
      <c r="AO6888" t="s">
        <v>78</v>
      </c>
      <c r="AP6888" t="s">
        <v>141</v>
      </c>
      <c r="AQ6888">
        <v>1</v>
      </c>
      <c r="AR6888" t="s">
        <v>80</v>
      </c>
      <c r="AS6888" t="s">
        <v>81</v>
      </c>
      <c r="AT6888" t="s">
        <v>58</v>
      </c>
      <c r="AU6888" t="s">
        <v>8673</v>
      </c>
      <c r="AV6888" t="s">
        <v>132</v>
      </c>
      <c r="AW6888" s="1">
        <v>32692</v>
      </c>
      <c r="AX6888">
        <v>1</v>
      </c>
    </row>
    <row r="6889" spans="1:50">
      <c r="A6889">
        <v>618101</v>
      </c>
      <c r="B6889" t="str">
        <f>"118944354"</f>
        <v>118944354</v>
      </c>
      <c r="C6889" t="s">
        <v>50</v>
      </c>
      <c r="D6889" t="s">
        <v>3603</v>
      </c>
      <c r="E6889" t="s">
        <v>109</v>
      </c>
      <c r="F6889" t="s">
        <v>166</v>
      </c>
      <c r="G6889" t="s">
        <v>143</v>
      </c>
      <c r="H6889" t="str">
        <f>"ΜΑΚΕΔΟΝΙΑΣ-ΚΟΖΑΝΗΣ ΗΡΑΚΛΕΙΟ-ΓΑΖΙ"</f>
        <v>ΜΑΚΕΔΟΝΙΑΣ-ΚΟΖΑΝΗΣ ΗΡΑΚΛΕΙΟ-ΓΑΖΙ</v>
      </c>
      <c r="I6889">
        <v>71414</v>
      </c>
      <c r="J6889">
        <v>2810824334</v>
      </c>
      <c r="K6889">
        <v>6973228271</v>
      </c>
      <c r="M6889" t="s">
        <v>11296</v>
      </c>
      <c r="N6889" t="s">
        <v>615</v>
      </c>
      <c r="O6889" t="s">
        <v>616</v>
      </c>
      <c r="R6889" t="s">
        <v>57</v>
      </c>
      <c r="S6889">
        <v>5</v>
      </c>
      <c r="T6889">
        <v>774</v>
      </c>
      <c r="U6889" s="1">
        <v>39680</v>
      </c>
      <c r="V6889" t="s">
        <v>80</v>
      </c>
      <c r="W6889" t="s">
        <v>81</v>
      </c>
      <c r="X6889" t="s">
        <v>58</v>
      </c>
      <c r="Y6889">
        <v>23</v>
      </c>
      <c r="Z6889" t="s">
        <v>59</v>
      </c>
      <c r="AA6889" t="s">
        <v>59</v>
      </c>
      <c r="AB6889" t="s">
        <v>59</v>
      </c>
      <c r="AC6889" t="s">
        <v>59</v>
      </c>
      <c r="AD6889" t="s">
        <v>59</v>
      </c>
      <c r="AF6889" s="1">
        <v>39685</v>
      </c>
      <c r="AG6889" t="s">
        <v>8645</v>
      </c>
      <c r="AH6889" t="s">
        <v>8646</v>
      </c>
      <c r="AI6889" t="str">
        <f>"9170059"</f>
        <v>9170059</v>
      </c>
      <c r="AJ6889" t="s">
        <v>9161</v>
      </c>
      <c r="AK6889">
        <v>2810791244</v>
      </c>
      <c r="AL6889" t="s">
        <v>9162</v>
      </c>
      <c r="AM6889" t="s">
        <v>78</v>
      </c>
      <c r="AN6889" t="s">
        <v>78</v>
      </c>
      <c r="AO6889" t="s">
        <v>195</v>
      </c>
      <c r="AP6889" t="s">
        <v>196</v>
      </c>
      <c r="AQ6889">
        <v>3</v>
      </c>
      <c r="AR6889" t="s">
        <v>80</v>
      </c>
      <c r="AS6889" t="s">
        <v>81</v>
      </c>
      <c r="AT6889" t="s">
        <v>58</v>
      </c>
      <c r="AU6889" t="s">
        <v>68</v>
      </c>
      <c r="AV6889" t="s">
        <v>69</v>
      </c>
      <c r="AW6889" s="1">
        <v>30728</v>
      </c>
      <c r="AX6889">
        <v>1</v>
      </c>
    </row>
    <row r="6890" spans="1:50">
      <c r="A6890">
        <v>588058</v>
      </c>
      <c r="B6890" t="str">
        <f>"045787579"</f>
        <v>045787579</v>
      </c>
      <c r="C6890" t="s">
        <v>50</v>
      </c>
      <c r="D6890" t="s">
        <v>11297</v>
      </c>
      <c r="E6890" t="s">
        <v>877</v>
      </c>
      <c r="F6890" t="s">
        <v>99</v>
      </c>
      <c r="G6890" t="s">
        <v>255</v>
      </c>
      <c r="H6890" t="str">
        <f>"ΕΒΑΝΣ 62 "</f>
        <v xml:space="preserve">ΕΒΑΝΣ 62 </v>
      </c>
      <c r="J6890">
        <v>2810346921</v>
      </c>
      <c r="K6890">
        <v>6945452571</v>
      </c>
      <c r="N6890" t="s">
        <v>1525</v>
      </c>
      <c r="O6890" t="s">
        <v>1526</v>
      </c>
      <c r="R6890" t="s">
        <v>57</v>
      </c>
      <c r="S6890">
        <v>13</v>
      </c>
      <c r="T6890">
        <v>250</v>
      </c>
      <c r="U6890" s="1">
        <v>36160</v>
      </c>
      <c r="V6890" t="s">
        <v>80</v>
      </c>
      <c r="W6890" t="s">
        <v>81</v>
      </c>
      <c r="X6890" t="s">
        <v>58</v>
      </c>
      <c r="Y6890">
        <v>25</v>
      </c>
      <c r="Z6890" t="s">
        <v>59</v>
      </c>
      <c r="AA6890" t="s">
        <v>59</v>
      </c>
      <c r="AB6890" t="s">
        <v>59</v>
      </c>
      <c r="AC6890" t="s">
        <v>59</v>
      </c>
      <c r="AD6890" t="s">
        <v>59</v>
      </c>
      <c r="AF6890" s="1">
        <v>36171</v>
      </c>
      <c r="AG6890" t="s">
        <v>8651</v>
      </c>
      <c r="AH6890" t="s">
        <v>9015</v>
      </c>
      <c r="AI6890" t="str">
        <f>"9170605"</f>
        <v>9170605</v>
      </c>
      <c r="AJ6890" t="s">
        <v>11298</v>
      </c>
      <c r="AK6890">
        <v>2810343820</v>
      </c>
      <c r="AL6890" t="s">
        <v>11299</v>
      </c>
      <c r="AM6890" t="s">
        <v>78</v>
      </c>
      <c r="AN6890" t="s">
        <v>78</v>
      </c>
      <c r="AO6890" t="s">
        <v>78</v>
      </c>
      <c r="AP6890" t="s">
        <v>79</v>
      </c>
      <c r="AQ6890">
        <v>1</v>
      </c>
      <c r="AR6890" t="s">
        <v>80</v>
      </c>
      <c r="AS6890" t="s">
        <v>81</v>
      </c>
      <c r="AT6890" t="s">
        <v>58</v>
      </c>
      <c r="AU6890" t="s">
        <v>68</v>
      </c>
      <c r="AV6890" t="s">
        <v>69</v>
      </c>
      <c r="AW6890" s="1">
        <v>24568</v>
      </c>
      <c r="AX6890">
        <v>1</v>
      </c>
    </row>
    <row r="6891" spans="1:50">
      <c r="B6891" t="str">
        <f>"157258363"</f>
        <v>157258363</v>
      </c>
      <c r="C6891" t="s">
        <v>50</v>
      </c>
      <c r="D6891" t="s">
        <v>11300</v>
      </c>
      <c r="E6891" t="s">
        <v>143</v>
      </c>
      <c r="F6891" t="s">
        <v>166</v>
      </c>
      <c r="G6891" t="s">
        <v>237</v>
      </c>
      <c r="H6891" t="str">
        <f>"ΠΑΤΡΙΑΡΧΟΥ ΦΩΤΙΟΥ 41 "</f>
        <v xml:space="preserve">ΠΑΤΡΙΑΡΧΟΥ ΦΩΤΙΟΥ 41 </v>
      </c>
      <c r="I6891">
        <v>71305</v>
      </c>
      <c r="J6891">
        <v>2810238832</v>
      </c>
      <c r="K6891">
        <v>6972424840</v>
      </c>
      <c r="N6891" t="s">
        <v>615</v>
      </c>
      <c r="O6891" t="s">
        <v>616</v>
      </c>
      <c r="R6891" t="s">
        <v>159</v>
      </c>
      <c r="S6891">
        <v>4</v>
      </c>
      <c r="T6891" t="s">
        <v>8675</v>
      </c>
      <c r="U6891" s="1">
        <v>43348</v>
      </c>
      <c r="V6891" t="s">
        <v>80</v>
      </c>
      <c r="W6891" t="s">
        <v>81</v>
      </c>
      <c r="X6891" t="s">
        <v>58</v>
      </c>
      <c r="Y6891">
        <v>24</v>
      </c>
      <c r="Z6891" t="s">
        <v>59</v>
      </c>
      <c r="AA6891" t="s">
        <v>59</v>
      </c>
      <c r="AB6891" t="s">
        <v>59</v>
      </c>
      <c r="AC6891" t="s">
        <v>59</v>
      </c>
      <c r="AD6891" t="s">
        <v>59</v>
      </c>
      <c r="AF6891" s="1">
        <v>43348</v>
      </c>
      <c r="AG6891" t="s">
        <v>8645</v>
      </c>
      <c r="AH6891" t="s">
        <v>8646</v>
      </c>
      <c r="AI6891" t="str">
        <f>"9170512"</f>
        <v>9170512</v>
      </c>
      <c r="AJ6891" t="s">
        <v>8986</v>
      </c>
      <c r="AK6891">
        <v>2810253082</v>
      </c>
      <c r="AL6891" t="s">
        <v>8987</v>
      </c>
      <c r="AM6891" t="s">
        <v>78</v>
      </c>
      <c r="AN6891" t="s">
        <v>78</v>
      </c>
      <c r="AO6891" t="s">
        <v>78</v>
      </c>
      <c r="AP6891" t="s">
        <v>141</v>
      </c>
      <c r="AQ6891">
        <v>1</v>
      </c>
      <c r="AR6891" t="s">
        <v>80</v>
      </c>
      <c r="AS6891" t="s">
        <v>81</v>
      </c>
      <c r="AT6891" t="s">
        <v>58</v>
      </c>
      <c r="AU6891" t="s">
        <v>8673</v>
      </c>
      <c r="AV6891" t="s">
        <v>132</v>
      </c>
      <c r="AW6891" s="1">
        <v>32553</v>
      </c>
      <c r="AX6891">
        <v>1</v>
      </c>
    </row>
    <row r="6892" spans="1:50">
      <c r="A6892">
        <v>590276</v>
      </c>
      <c r="B6892" t="str">
        <f>"103512303"</f>
        <v>103512303</v>
      </c>
      <c r="C6892" t="s">
        <v>50</v>
      </c>
      <c r="D6892" t="s">
        <v>11301</v>
      </c>
      <c r="E6892" t="s">
        <v>658</v>
      </c>
      <c r="F6892" t="s">
        <v>1363</v>
      </c>
      <c r="G6892" t="s">
        <v>237</v>
      </c>
      <c r="H6892" t="str">
        <f>"ΑΓ.ΑΝΤΩΝΙΟΥ Κ΄ ΝΙΚΟΛΑΟΥ Τ.Θ.204 ΓΟΥΡΝΕΣ ΗΡΑΚΛΕΙΟΥ"</f>
        <v>ΑΓ.ΑΝΤΩΝΙΟΥ Κ΄ ΝΙΚΟΛΑΟΥ Τ.Θ.204 ΓΟΥΡΝΕΣ ΗΡΑΚΛΕΙΟΥ</v>
      </c>
      <c r="I6892">
        <v>71504</v>
      </c>
      <c r="J6892">
        <v>2810543438</v>
      </c>
      <c r="K6892">
        <v>6948947936</v>
      </c>
      <c r="N6892" t="s">
        <v>176</v>
      </c>
      <c r="O6892" t="s">
        <v>177</v>
      </c>
      <c r="R6892" t="s">
        <v>57</v>
      </c>
      <c r="S6892">
        <v>12</v>
      </c>
      <c r="T6892">
        <v>177</v>
      </c>
      <c r="U6892" s="1">
        <v>36433</v>
      </c>
      <c r="V6892" t="s">
        <v>80</v>
      </c>
      <c r="W6892" t="s">
        <v>81</v>
      </c>
      <c r="X6892" t="s">
        <v>58</v>
      </c>
      <c r="Y6892">
        <v>21</v>
      </c>
      <c r="Z6892" t="s">
        <v>59</v>
      </c>
      <c r="AA6892" t="s">
        <v>59</v>
      </c>
      <c r="AB6892" t="s">
        <v>59</v>
      </c>
      <c r="AC6892" t="s">
        <v>59</v>
      </c>
      <c r="AD6892" t="s">
        <v>59</v>
      </c>
      <c r="AF6892" s="1">
        <v>36433</v>
      </c>
      <c r="AG6892" t="s">
        <v>8645</v>
      </c>
      <c r="AH6892" t="s">
        <v>8646</v>
      </c>
      <c r="AI6892" t="str">
        <f>"9170515"</f>
        <v>9170515</v>
      </c>
      <c r="AJ6892" t="s">
        <v>8790</v>
      </c>
      <c r="AK6892">
        <v>2810254821</v>
      </c>
      <c r="AL6892" t="s">
        <v>8791</v>
      </c>
      <c r="AM6892" t="s">
        <v>78</v>
      </c>
      <c r="AN6892" t="s">
        <v>78</v>
      </c>
      <c r="AO6892" t="s">
        <v>78</v>
      </c>
      <c r="AP6892" t="s">
        <v>163</v>
      </c>
      <c r="AQ6892">
        <v>1</v>
      </c>
      <c r="AR6892" t="s">
        <v>80</v>
      </c>
      <c r="AS6892" t="s">
        <v>81</v>
      </c>
      <c r="AT6892" t="s">
        <v>58</v>
      </c>
      <c r="AU6892" t="s">
        <v>68</v>
      </c>
      <c r="AV6892" t="s">
        <v>69</v>
      </c>
      <c r="AW6892" s="1">
        <v>24175</v>
      </c>
      <c r="AX6892">
        <v>1</v>
      </c>
    </row>
    <row r="6893" spans="1:50">
      <c r="A6893">
        <v>597570</v>
      </c>
      <c r="B6893" t="str">
        <f>"103845588"</f>
        <v>103845588</v>
      </c>
      <c r="C6893" t="s">
        <v>50</v>
      </c>
      <c r="D6893" t="s">
        <v>11302</v>
      </c>
      <c r="E6893" t="s">
        <v>109</v>
      </c>
      <c r="F6893" t="s">
        <v>11303</v>
      </c>
      <c r="G6893" t="s">
        <v>52</v>
      </c>
      <c r="H6893" t="str">
        <f>"ΡΩΜΙΟΣΥΝΗΣ 22 "</f>
        <v xml:space="preserve">ΡΩΜΙΟΣΥΝΗΣ 22 </v>
      </c>
      <c r="I6893">
        <v>71409</v>
      </c>
      <c r="J6893">
        <v>2810322618</v>
      </c>
      <c r="K6893">
        <v>6987355064</v>
      </c>
      <c r="N6893" t="s">
        <v>176</v>
      </c>
      <c r="O6893" t="s">
        <v>177</v>
      </c>
      <c r="R6893" t="s">
        <v>57</v>
      </c>
      <c r="S6893">
        <v>11</v>
      </c>
      <c r="T6893">
        <v>193</v>
      </c>
      <c r="U6893" s="1">
        <v>37497</v>
      </c>
      <c r="V6893" t="s">
        <v>80</v>
      </c>
      <c r="W6893" t="s">
        <v>81</v>
      </c>
      <c r="X6893" t="s">
        <v>58</v>
      </c>
      <c r="Y6893">
        <v>21</v>
      </c>
      <c r="Z6893" t="s">
        <v>59</v>
      </c>
      <c r="AA6893" t="s">
        <v>59</v>
      </c>
      <c r="AB6893" t="s">
        <v>59</v>
      </c>
      <c r="AC6893" t="s">
        <v>59</v>
      </c>
      <c r="AD6893" t="s">
        <v>59</v>
      </c>
      <c r="AF6893" s="1">
        <v>37501</v>
      </c>
      <c r="AG6893" t="s">
        <v>8645</v>
      </c>
      <c r="AH6893" t="s">
        <v>8646</v>
      </c>
      <c r="AI6893" t="str">
        <f>"9170196"</f>
        <v>9170196</v>
      </c>
      <c r="AJ6893" t="s">
        <v>9255</v>
      </c>
      <c r="AK6893">
        <v>2810283356</v>
      </c>
      <c r="AL6893" t="s">
        <v>9256</v>
      </c>
      <c r="AM6893" t="s">
        <v>78</v>
      </c>
      <c r="AN6893" t="s">
        <v>78</v>
      </c>
      <c r="AO6893" t="s">
        <v>78</v>
      </c>
      <c r="AP6893" t="s">
        <v>79</v>
      </c>
      <c r="AQ6893">
        <v>1</v>
      </c>
      <c r="AR6893" t="s">
        <v>80</v>
      </c>
      <c r="AS6893" t="s">
        <v>81</v>
      </c>
      <c r="AT6893" t="s">
        <v>58</v>
      </c>
      <c r="AU6893" t="s">
        <v>68</v>
      </c>
      <c r="AV6893" t="s">
        <v>69</v>
      </c>
      <c r="AW6893" s="1">
        <v>23862</v>
      </c>
      <c r="AX6893">
        <v>1</v>
      </c>
    </row>
    <row r="6894" spans="1:50">
      <c r="A6894">
        <v>597571</v>
      </c>
      <c r="B6894" t="str">
        <f>"038819057"</f>
        <v>038819057</v>
      </c>
      <c r="C6894" t="s">
        <v>105</v>
      </c>
      <c r="D6894" t="s">
        <v>11304</v>
      </c>
      <c r="E6894" t="s">
        <v>670</v>
      </c>
      <c r="F6894" t="s">
        <v>11303</v>
      </c>
      <c r="G6894" t="s">
        <v>52</v>
      </c>
      <c r="H6894" t="str">
        <f>"ΑΜΜΟΥΔΑΡΑ ΓΑΖΙΟΥ ΑΜΜΟΥΔΑΡΑ "</f>
        <v xml:space="preserve">ΑΜΜΟΥΔΑΡΑ ΓΑΖΙΟΥ ΑΜΜΟΥΔΑΡΑ </v>
      </c>
      <c r="I6894">
        <v>71414</v>
      </c>
      <c r="J6894">
        <v>2810823989</v>
      </c>
      <c r="K6894">
        <v>6973604230</v>
      </c>
      <c r="N6894" t="s">
        <v>176</v>
      </c>
      <c r="O6894" t="s">
        <v>177</v>
      </c>
      <c r="R6894" t="s">
        <v>57</v>
      </c>
      <c r="S6894">
        <v>11</v>
      </c>
      <c r="T6894">
        <v>193</v>
      </c>
      <c r="U6894" s="1">
        <v>37497</v>
      </c>
      <c r="V6894" t="s">
        <v>80</v>
      </c>
      <c r="W6894" t="s">
        <v>81</v>
      </c>
      <c r="X6894" t="s">
        <v>58</v>
      </c>
      <c r="Y6894">
        <v>21</v>
      </c>
      <c r="Z6894" t="s">
        <v>59</v>
      </c>
      <c r="AA6894" t="s">
        <v>59</v>
      </c>
      <c r="AB6894" t="s">
        <v>59</v>
      </c>
      <c r="AC6894" t="s">
        <v>59</v>
      </c>
      <c r="AD6894" t="s">
        <v>59</v>
      </c>
      <c r="AF6894" s="1">
        <v>37501</v>
      </c>
      <c r="AG6894" t="s">
        <v>8645</v>
      </c>
      <c r="AH6894" t="s">
        <v>8646</v>
      </c>
      <c r="AI6894" t="str">
        <f>"9170034"</f>
        <v>9170034</v>
      </c>
      <c r="AJ6894" t="s">
        <v>9179</v>
      </c>
      <c r="AK6894">
        <v>2810841217</v>
      </c>
      <c r="AL6894" t="s">
        <v>9180</v>
      </c>
      <c r="AM6894" t="s">
        <v>78</v>
      </c>
      <c r="AN6894" t="s">
        <v>129</v>
      </c>
      <c r="AO6894" t="s">
        <v>130</v>
      </c>
      <c r="AP6894" t="s">
        <v>9181</v>
      </c>
      <c r="AQ6894">
        <v>2</v>
      </c>
      <c r="AR6894" t="s">
        <v>80</v>
      </c>
      <c r="AS6894" t="s">
        <v>81</v>
      </c>
      <c r="AT6894" t="s">
        <v>58</v>
      </c>
      <c r="AU6894" t="s">
        <v>68</v>
      </c>
      <c r="AV6894" t="s">
        <v>69</v>
      </c>
      <c r="AW6894" s="1">
        <v>23527</v>
      </c>
      <c r="AX6894">
        <v>1</v>
      </c>
    </row>
    <row r="6895" spans="1:50">
      <c r="A6895">
        <v>566146</v>
      </c>
      <c r="B6895" t="str">
        <f>"034527961"</f>
        <v>034527961</v>
      </c>
      <c r="C6895" t="s">
        <v>105</v>
      </c>
      <c r="D6895" t="s">
        <v>11305</v>
      </c>
      <c r="E6895" t="s">
        <v>72</v>
      </c>
      <c r="F6895" t="s">
        <v>99</v>
      </c>
      <c r="G6895" t="s">
        <v>188</v>
      </c>
      <c r="H6895" t="str">
        <f>"Αϊτάνια ΗΡΑΚΛΕΙΟ"</f>
        <v>Αϊτάνια ΗΡΑΚΛΕΙΟ</v>
      </c>
      <c r="I6895">
        <v>70008</v>
      </c>
      <c r="J6895">
        <v>2810771914</v>
      </c>
      <c r="K6895">
        <v>6945652041</v>
      </c>
      <c r="M6895" t="s">
        <v>11306</v>
      </c>
      <c r="N6895" t="s">
        <v>615</v>
      </c>
      <c r="O6895" t="s">
        <v>616</v>
      </c>
      <c r="R6895" t="s">
        <v>57</v>
      </c>
      <c r="S6895">
        <v>14</v>
      </c>
      <c r="T6895">
        <v>161</v>
      </c>
      <c r="U6895" s="1">
        <v>33119</v>
      </c>
      <c r="V6895" t="s">
        <v>80</v>
      </c>
      <c r="W6895" t="s">
        <v>81</v>
      </c>
      <c r="X6895" t="s">
        <v>58</v>
      </c>
      <c r="Y6895">
        <v>21</v>
      </c>
      <c r="Z6895" t="s">
        <v>59</v>
      </c>
      <c r="AA6895" t="s">
        <v>59</v>
      </c>
      <c r="AB6895" t="s">
        <v>59</v>
      </c>
      <c r="AC6895" t="s">
        <v>59</v>
      </c>
      <c r="AD6895" t="s">
        <v>59</v>
      </c>
      <c r="AF6895" s="1">
        <v>33121</v>
      </c>
      <c r="AG6895" t="s">
        <v>8645</v>
      </c>
      <c r="AH6895" t="s">
        <v>8646</v>
      </c>
      <c r="AI6895" t="str">
        <f>"9170224"</f>
        <v>9170224</v>
      </c>
      <c r="AJ6895" t="s">
        <v>9212</v>
      </c>
      <c r="AK6895">
        <v>2810771214</v>
      </c>
      <c r="AL6895" t="s">
        <v>9213</v>
      </c>
      <c r="AM6895" t="s">
        <v>78</v>
      </c>
      <c r="AN6895" t="s">
        <v>219</v>
      </c>
      <c r="AO6895" t="s">
        <v>1437</v>
      </c>
      <c r="AP6895" t="s">
        <v>1437</v>
      </c>
      <c r="AQ6895">
        <v>7</v>
      </c>
      <c r="AR6895" t="s">
        <v>80</v>
      </c>
      <c r="AS6895" t="s">
        <v>81</v>
      </c>
      <c r="AT6895" t="s">
        <v>58</v>
      </c>
      <c r="AU6895" t="s">
        <v>68</v>
      </c>
      <c r="AV6895" t="s">
        <v>69</v>
      </c>
      <c r="AW6895" s="1">
        <v>24092</v>
      </c>
      <c r="AX6895">
        <v>1</v>
      </c>
    </row>
    <row r="6896" spans="1:50">
      <c r="B6896" t="str">
        <f>"057062707"</f>
        <v>057062707</v>
      </c>
      <c r="C6896" t="s">
        <v>50</v>
      </c>
      <c r="D6896" t="s">
        <v>11307</v>
      </c>
      <c r="E6896" t="s">
        <v>476</v>
      </c>
      <c r="F6896" t="s">
        <v>108</v>
      </c>
      <c r="G6896" t="s">
        <v>181</v>
      </c>
      <c r="H6896" t="str">
        <f>"ΣΚΡΑ 81 "</f>
        <v xml:space="preserve">ΣΚΡΑ 81 </v>
      </c>
      <c r="I6896">
        <v>66100</v>
      </c>
      <c r="J6896">
        <v>2521039559</v>
      </c>
      <c r="K6896">
        <v>6947803608</v>
      </c>
      <c r="N6896" t="s">
        <v>615</v>
      </c>
      <c r="O6896" t="s">
        <v>616</v>
      </c>
      <c r="R6896" t="s">
        <v>159</v>
      </c>
      <c r="S6896">
        <v>3</v>
      </c>
      <c r="T6896" t="s">
        <v>8675</v>
      </c>
      <c r="U6896" s="1">
        <v>43348</v>
      </c>
      <c r="V6896" t="s">
        <v>80</v>
      </c>
      <c r="W6896" t="s">
        <v>81</v>
      </c>
      <c r="X6896" t="s">
        <v>58</v>
      </c>
      <c r="Y6896">
        <v>24</v>
      </c>
      <c r="Z6896" t="s">
        <v>59</v>
      </c>
      <c r="AA6896" t="s">
        <v>59</v>
      </c>
      <c r="AB6896" t="s">
        <v>59</v>
      </c>
      <c r="AC6896" t="s">
        <v>59</v>
      </c>
      <c r="AD6896" t="s">
        <v>59</v>
      </c>
      <c r="AF6896" s="1">
        <v>43348</v>
      </c>
      <c r="AG6896" t="s">
        <v>8645</v>
      </c>
      <c r="AH6896" t="s">
        <v>8646</v>
      </c>
      <c r="AI6896" t="str">
        <f>"9170068"</f>
        <v>9170068</v>
      </c>
      <c r="AJ6896" t="s">
        <v>8773</v>
      </c>
      <c r="AK6896">
        <v>2893031217</v>
      </c>
      <c r="AL6896" t="s">
        <v>8774</v>
      </c>
      <c r="AM6896" t="s">
        <v>78</v>
      </c>
      <c r="AN6896" t="s">
        <v>405</v>
      </c>
      <c r="AO6896" t="s">
        <v>805</v>
      </c>
      <c r="AP6896" t="s">
        <v>806</v>
      </c>
      <c r="AQ6896">
        <v>15</v>
      </c>
      <c r="AR6896" t="s">
        <v>80</v>
      </c>
      <c r="AS6896" t="s">
        <v>81</v>
      </c>
      <c r="AT6896" t="s">
        <v>58</v>
      </c>
      <c r="AU6896" t="s">
        <v>8673</v>
      </c>
      <c r="AV6896" t="s">
        <v>132</v>
      </c>
      <c r="AW6896" s="1">
        <v>26406</v>
      </c>
      <c r="AX6896">
        <v>1</v>
      </c>
    </row>
    <row r="6897" spans="1:50">
      <c r="B6897" t="str">
        <f>"147337567"</f>
        <v>147337567</v>
      </c>
      <c r="C6897" t="s">
        <v>105</v>
      </c>
      <c r="D6897" t="s">
        <v>11308</v>
      </c>
      <c r="E6897" t="s">
        <v>95</v>
      </c>
      <c r="F6897" t="s">
        <v>383</v>
      </c>
      <c r="H6897" t="str">
        <f>" "</f>
        <v xml:space="preserve"> </v>
      </c>
      <c r="N6897" t="s">
        <v>384</v>
      </c>
      <c r="O6897" t="s">
        <v>385</v>
      </c>
      <c r="R6897" t="s">
        <v>159</v>
      </c>
      <c r="S6897">
        <v>1</v>
      </c>
      <c r="T6897" t="s">
        <v>8675</v>
      </c>
      <c r="U6897" s="1">
        <v>43348</v>
      </c>
      <c r="V6897" t="s">
        <v>80</v>
      </c>
      <c r="W6897" t="s">
        <v>81</v>
      </c>
      <c r="X6897" t="s">
        <v>58</v>
      </c>
      <c r="Y6897">
        <v>24</v>
      </c>
      <c r="Z6897" t="s">
        <v>59</v>
      </c>
      <c r="AA6897" t="s">
        <v>59</v>
      </c>
      <c r="AB6897" t="s">
        <v>59</v>
      </c>
      <c r="AC6897" t="s">
        <v>59</v>
      </c>
      <c r="AD6897" t="s">
        <v>59</v>
      </c>
      <c r="AF6897" s="1">
        <v>43348</v>
      </c>
      <c r="AG6897" t="s">
        <v>8645</v>
      </c>
      <c r="AH6897" t="s">
        <v>8646</v>
      </c>
      <c r="AI6897" t="str">
        <f>"9170061"</f>
        <v>9170061</v>
      </c>
      <c r="AJ6897" t="s">
        <v>8869</v>
      </c>
      <c r="AK6897">
        <v>2810791254</v>
      </c>
      <c r="AL6897" t="s">
        <v>8870</v>
      </c>
      <c r="AM6897" t="s">
        <v>78</v>
      </c>
      <c r="AN6897" t="s">
        <v>78</v>
      </c>
      <c r="AO6897" t="s">
        <v>78</v>
      </c>
      <c r="AP6897" t="s">
        <v>8871</v>
      </c>
      <c r="AQ6897">
        <v>3</v>
      </c>
      <c r="AR6897" t="s">
        <v>80</v>
      </c>
      <c r="AS6897" t="s">
        <v>81</v>
      </c>
      <c r="AT6897" t="s">
        <v>58</v>
      </c>
      <c r="AU6897" t="s">
        <v>8673</v>
      </c>
      <c r="AV6897" t="s">
        <v>132</v>
      </c>
      <c r="AW6897" s="1">
        <v>33294</v>
      </c>
      <c r="AX6897">
        <v>1</v>
      </c>
    </row>
    <row r="6898" spans="1:50">
      <c r="A6898">
        <v>599849</v>
      </c>
      <c r="B6898" t="str">
        <f>"110143949"</f>
        <v>110143949</v>
      </c>
      <c r="C6898" t="s">
        <v>50</v>
      </c>
      <c r="D6898" t="s">
        <v>11309</v>
      </c>
      <c r="E6898" t="s">
        <v>83</v>
      </c>
      <c r="F6898" t="s">
        <v>153</v>
      </c>
      <c r="G6898" t="s">
        <v>255</v>
      </c>
      <c r="H6898" t="str">
        <f>"ΤΕΡΨΙΧΟΡΗΣ 23 ΗΡΑΚΛΕΙΟ"</f>
        <v>ΤΕΡΨΙΧΟΡΗΣ 23 ΗΡΑΚΛΕΙΟ</v>
      </c>
      <c r="I6898">
        <v>71409</v>
      </c>
      <c r="J6898">
        <v>2810232146</v>
      </c>
      <c r="K6898">
        <v>6944468616</v>
      </c>
      <c r="N6898" t="s">
        <v>615</v>
      </c>
      <c r="O6898" t="s">
        <v>616</v>
      </c>
      <c r="R6898" t="s">
        <v>57</v>
      </c>
      <c r="S6898">
        <v>9</v>
      </c>
      <c r="T6898" t="s">
        <v>11310</v>
      </c>
      <c r="U6898" s="1">
        <v>37496</v>
      </c>
      <c r="V6898" t="s">
        <v>80</v>
      </c>
      <c r="W6898" t="s">
        <v>81</v>
      </c>
      <c r="X6898" t="s">
        <v>58</v>
      </c>
      <c r="Y6898">
        <v>22</v>
      </c>
      <c r="Z6898" t="s">
        <v>59</v>
      </c>
      <c r="AA6898" t="s">
        <v>59</v>
      </c>
      <c r="AB6898" t="s">
        <v>59</v>
      </c>
      <c r="AC6898" t="s">
        <v>59</v>
      </c>
      <c r="AD6898" t="s">
        <v>59</v>
      </c>
      <c r="AF6898" s="1">
        <v>37501</v>
      </c>
      <c r="AG6898" t="s">
        <v>8645</v>
      </c>
      <c r="AH6898" t="s">
        <v>8646</v>
      </c>
      <c r="AI6898" t="str">
        <f>"9170048"</f>
        <v>9170048</v>
      </c>
      <c r="AJ6898" t="s">
        <v>8977</v>
      </c>
      <c r="AK6898">
        <v>2810283303</v>
      </c>
      <c r="AL6898" t="s">
        <v>8978</v>
      </c>
      <c r="AM6898" t="s">
        <v>78</v>
      </c>
      <c r="AN6898" t="s">
        <v>78</v>
      </c>
      <c r="AO6898" t="s">
        <v>78</v>
      </c>
      <c r="AP6898" t="s">
        <v>79</v>
      </c>
      <c r="AQ6898">
        <v>1</v>
      </c>
      <c r="AR6898" t="s">
        <v>80</v>
      </c>
      <c r="AS6898" t="s">
        <v>81</v>
      </c>
      <c r="AT6898" t="s">
        <v>58</v>
      </c>
      <c r="AU6898" t="s">
        <v>68</v>
      </c>
      <c r="AV6898" t="s">
        <v>69</v>
      </c>
      <c r="AW6898" s="1">
        <v>24434</v>
      </c>
      <c r="AX6898">
        <v>1</v>
      </c>
    </row>
    <row r="6899" spans="1:50">
      <c r="A6899">
        <v>573846</v>
      </c>
      <c r="B6899" t="str">
        <f>"066360991"</f>
        <v>066360991</v>
      </c>
      <c r="C6899" t="s">
        <v>50</v>
      </c>
      <c r="D6899" t="s">
        <v>3616</v>
      </c>
      <c r="E6899" t="s">
        <v>52</v>
      </c>
      <c r="F6899" t="s">
        <v>377</v>
      </c>
      <c r="G6899" t="s">
        <v>54</v>
      </c>
      <c r="H6899" t="str">
        <f>"ΠΑΡΟΔΟΣ ΓΡΗΓΟΡΙΟΥ ΞΕΝΟΠΟΥΛΟΥ ΓΑΖΙ"</f>
        <v>ΠΑΡΟΔΟΣ ΓΡΗΓΟΡΙΟΥ ΞΕΝΟΠΟΥΛΟΥ ΓΑΖΙ</v>
      </c>
      <c r="I6899">
        <v>71414</v>
      </c>
      <c r="J6899">
        <v>2810823619</v>
      </c>
      <c r="K6899">
        <v>6943764926</v>
      </c>
      <c r="N6899" t="s">
        <v>615</v>
      </c>
      <c r="O6899" t="s">
        <v>616</v>
      </c>
      <c r="R6899" t="s">
        <v>57</v>
      </c>
      <c r="S6899">
        <v>13</v>
      </c>
      <c r="T6899">
        <v>160</v>
      </c>
      <c r="U6899" s="1">
        <v>34582</v>
      </c>
      <c r="V6899" t="s">
        <v>80</v>
      </c>
      <c r="W6899" t="s">
        <v>81</v>
      </c>
      <c r="X6899" t="s">
        <v>58</v>
      </c>
      <c r="Y6899">
        <v>21</v>
      </c>
      <c r="Z6899" t="s">
        <v>59</v>
      </c>
      <c r="AA6899" t="s">
        <v>59</v>
      </c>
      <c r="AB6899" t="s">
        <v>59</v>
      </c>
      <c r="AC6899" t="s">
        <v>59</v>
      </c>
      <c r="AD6899" t="s">
        <v>59</v>
      </c>
      <c r="AF6899" s="1">
        <v>34582</v>
      </c>
      <c r="AG6899" t="s">
        <v>8645</v>
      </c>
      <c r="AH6899" t="s">
        <v>8646</v>
      </c>
      <c r="AI6899" t="str">
        <f>"9170018"</f>
        <v>9170018</v>
      </c>
      <c r="AJ6899" t="s">
        <v>8924</v>
      </c>
      <c r="AK6899">
        <v>2810821217</v>
      </c>
      <c r="AL6899" t="s">
        <v>8925</v>
      </c>
      <c r="AM6899" t="s">
        <v>78</v>
      </c>
      <c r="AN6899" t="s">
        <v>129</v>
      </c>
      <c r="AO6899" t="s">
        <v>130</v>
      </c>
      <c r="AP6899" t="s">
        <v>130</v>
      </c>
      <c r="AQ6899">
        <v>1</v>
      </c>
      <c r="AR6899" t="s">
        <v>80</v>
      </c>
      <c r="AS6899" t="s">
        <v>81</v>
      </c>
      <c r="AT6899" t="s">
        <v>58</v>
      </c>
      <c r="AU6899" t="s">
        <v>68</v>
      </c>
      <c r="AV6899" t="s">
        <v>69</v>
      </c>
      <c r="AW6899" s="1">
        <v>24555</v>
      </c>
      <c r="AX6899">
        <v>1</v>
      </c>
    </row>
    <row r="6900" spans="1:50">
      <c r="A6900">
        <v>604854</v>
      </c>
      <c r="B6900" t="str">
        <f>"040016237"</f>
        <v>040016237</v>
      </c>
      <c r="C6900" t="s">
        <v>105</v>
      </c>
      <c r="D6900" t="s">
        <v>8226</v>
      </c>
      <c r="E6900" t="s">
        <v>99</v>
      </c>
      <c r="F6900" t="s">
        <v>8596</v>
      </c>
      <c r="G6900" t="s">
        <v>1694</v>
      </c>
      <c r="H6900" t="str">
        <f>"ΠΕΡΙΟΧΗ ΓΛΥΜΜΑΤΑ ΑΓ.ΝΙΚΟΛΑΟΥ"</f>
        <v>ΠΕΡΙΟΧΗ ΓΛΥΜΜΑΤΑ ΑΓ.ΝΙΚΟΛΑΟΥ</v>
      </c>
      <c r="I6900">
        <v>72100</v>
      </c>
      <c r="J6900">
        <v>2841023749</v>
      </c>
      <c r="K6900">
        <v>6981921109</v>
      </c>
      <c r="N6900" t="s">
        <v>615</v>
      </c>
      <c r="O6900" t="s">
        <v>616</v>
      </c>
      <c r="R6900" t="s">
        <v>57</v>
      </c>
      <c r="S6900">
        <v>8</v>
      </c>
      <c r="T6900">
        <v>231</v>
      </c>
      <c r="U6900" s="1">
        <v>38230</v>
      </c>
      <c r="V6900" t="s">
        <v>80</v>
      </c>
      <c r="W6900" t="s">
        <v>81</v>
      </c>
      <c r="X6900" t="s">
        <v>58</v>
      </c>
      <c r="Y6900">
        <v>22</v>
      </c>
      <c r="Z6900" t="s">
        <v>59</v>
      </c>
      <c r="AA6900" t="s">
        <v>59</v>
      </c>
      <c r="AB6900" t="s">
        <v>59</v>
      </c>
      <c r="AC6900" t="s">
        <v>59</v>
      </c>
      <c r="AD6900" t="s">
        <v>59</v>
      </c>
      <c r="AF6900" s="1">
        <v>38231</v>
      </c>
      <c r="AG6900" t="s">
        <v>8645</v>
      </c>
      <c r="AH6900" t="s">
        <v>8646</v>
      </c>
      <c r="AI6900" t="str">
        <f>"9170263"</f>
        <v>9170263</v>
      </c>
      <c r="AJ6900" t="s">
        <v>8942</v>
      </c>
      <c r="AK6900">
        <v>2810346939</v>
      </c>
      <c r="AL6900" t="s">
        <v>8943</v>
      </c>
      <c r="AM6900" t="s">
        <v>78</v>
      </c>
      <c r="AN6900" t="s">
        <v>78</v>
      </c>
      <c r="AO6900" t="s">
        <v>286</v>
      </c>
      <c r="AP6900" t="s">
        <v>286</v>
      </c>
      <c r="AQ6900">
        <v>1</v>
      </c>
      <c r="AR6900" t="s">
        <v>80</v>
      </c>
      <c r="AS6900" t="s">
        <v>81</v>
      </c>
      <c r="AT6900" t="s">
        <v>58</v>
      </c>
      <c r="AU6900" t="s">
        <v>68</v>
      </c>
      <c r="AV6900" t="s">
        <v>69</v>
      </c>
      <c r="AW6900" s="1">
        <v>21353</v>
      </c>
      <c r="AX6900">
        <v>1</v>
      </c>
    </row>
    <row r="6901" spans="1:50">
      <c r="A6901">
        <v>613230</v>
      </c>
      <c r="B6901" t="str">
        <f>"104934651"</f>
        <v>104934651</v>
      </c>
      <c r="C6901" t="s">
        <v>50</v>
      </c>
      <c r="D6901" t="s">
        <v>11311</v>
      </c>
      <c r="E6901" t="s">
        <v>52</v>
      </c>
      <c r="F6901" t="s">
        <v>166</v>
      </c>
      <c r="G6901" t="s">
        <v>255</v>
      </c>
      <c r="H6901" t="str">
        <f>"Λ. ΚΟΚΚΙΝΟΥ ΠΥΡΓΟΥ ΗΡΑΚΛΕΙΟ"</f>
        <v>Λ. ΚΟΚΚΙΝΟΥ ΠΥΡΓΟΥ ΗΡΑΚΛΕΙΟ</v>
      </c>
      <c r="I6901">
        <v>70200</v>
      </c>
      <c r="J6901">
        <v>2892052896</v>
      </c>
      <c r="K6901">
        <v>6997112693</v>
      </c>
      <c r="M6901" t="s">
        <v>11312</v>
      </c>
      <c r="N6901" t="s">
        <v>615</v>
      </c>
      <c r="O6901" t="s">
        <v>616</v>
      </c>
      <c r="R6901" t="s">
        <v>57</v>
      </c>
      <c r="S6901">
        <v>6</v>
      </c>
      <c r="T6901">
        <v>598</v>
      </c>
      <c r="U6901" s="1">
        <v>39328</v>
      </c>
      <c r="V6901" t="s">
        <v>80</v>
      </c>
      <c r="W6901" t="s">
        <v>81</v>
      </c>
      <c r="X6901" t="s">
        <v>58</v>
      </c>
      <c r="Y6901">
        <v>23</v>
      </c>
      <c r="Z6901" t="s">
        <v>59</v>
      </c>
      <c r="AA6901" t="s">
        <v>59</v>
      </c>
      <c r="AB6901" t="s">
        <v>59</v>
      </c>
      <c r="AC6901" t="s">
        <v>59</v>
      </c>
      <c r="AD6901" t="s">
        <v>59</v>
      </c>
      <c r="AF6901" s="1">
        <v>39328</v>
      </c>
      <c r="AG6901" t="s">
        <v>8645</v>
      </c>
      <c r="AH6901" t="s">
        <v>8646</v>
      </c>
      <c r="AI6901" t="str">
        <f>"9170536"</f>
        <v>9170536</v>
      </c>
      <c r="AJ6901" t="s">
        <v>8740</v>
      </c>
      <c r="AK6901">
        <v>2892051187</v>
      </c>
      <c r="AL6901" t="s">
        <v>8741</v>
      </c>
      <c r="AM6901" t="s">
        <v>78</v>
      </c>
      <c r="AN6901" t="s">
        <v>242</v>
      </c>
      <c r="AO6901" t="s">
        <v>349</v>
      </c>
      <c r="AP6901" t="s">
        <v>349</v>
      </c>
      <c r="AQ6901">
        <v>19</v>
      </c>
      <c r="AR6901" t="s">
        <v>80</v>
      </c>
      <c r="AS6901" t="s">
        <v>81</v>
      </c>
      <c r="AT6901" t="s">
        <v>58</v>
      </c>
      <c r="AU6901" t="s">
        <v>68</v>
      </c>
      <c r="AV6901" t="s">
        <v>69</v>
      </c>
      <c r="AW6901" s="1">
        <v>30188</v>
      </c>
      <c r="AX6901">
        <v>1</v>
      </c>
    </row>
    <row r="6902" spans="1:50">
      <c r="A6902">
        <v>570609</v>
      </c>
      <c r="B6902" t="str">
        <f>"137244080"</f>
        <v>137244080</v>
      </c>
      <c r="C6902" t="s">
        <v>50</v>
      </c>
      <c r="D6902" t="s">
        <v>3623</v>
      </c>
      <c r="E6902" t="s">
        <v>658</v>
      </c>
      <c r="F6902" t="s">
        <v>936</v>
      </c>
      <c r="G6902" t="s">
        <v>112</v>
      </c>
      <c r="H6902" t="str">
        <f>"ΧΑΛΚΗΔΩΝΟΣ 26 ΗΡΑΚΛΕΙΟ"</f>
        <v>ΧΑΛΚΗΔΩΝΟΣ 26 ΗΡΑΚΛΕΙΟ</v>
      </c>
      <c r="I6902">
        <v>71305</v>
      </c>
      <c r="J6902">
        <v>2810312870</v>
      </c>
      <c r="K6902">
        <v>6948069481</v>
      </c>
      <c r="M6902" t="s">
        <v>11313</v>
      </c>
      <c r="N6902" t="s">
        <v>615</v>
      </c>
      <c r="O6902" t="s">
        <v>616</v>
      </c>
      <c r="R6902" t="s">
        <v>57</v>
      </c>
      <c r="S6902">
        <v>14</v>
      </c>
      <c r="T6902">
        <v>138</v>
      </c>
      <c r="U6902" s="1">
        <v>34206</v>
      </c>
      <c r="V6902" t="s">
        <v>80</v>
      </c>
      <c r="W6902" t="s">
        <v>81</v>
      </c>
      <c r="X6902" t="s">
        <v>58</v>
      </c>
      <c r="Y6902">
        <v>21</v>
      </c>
      <c r="Z6902" t="s">
        <v>59</v>
      </c>
      <c r="AA6902" t="s">
        <v>59</v>
      </c>
      <c r="AB6902" t="s">
        <v>59</v>
      </c>
      <c r="AC6902" t="s">
        <v>59</v>
      </c>
      <c r="AD6902" t="s">
        <v>59</v>
      </c>
      <c r="AF6902" s="1">
        <v>34213</v>
      </c>
      <c r="AG6902" t="s">
        <v>8645</v>
      </c>
      <c r="AH6902" t="s">
        <v>8646</v>
      </c>
      <c r="AI6902" t="str">
        <f>"9170056"</f>
        <v>9170056</v>
      </c>
      <c r="AJ6902" t="s">
        <v>9137</v>
      </c>
      <c r="AK6902">
        <v>2810253392</v>
      </c>
      <c r="AL6902" t="s">
        <v>9138</v>
      </c>
      <c r="AM6902" t="s">
        <v>78</v>
      </c>
      <c r="AN6902" t="s">
        <v>78</v>
      </c>
      <c r="AO6902" t="s">
        <v>78</v>
      </c>
      <c r="AP6902" t="s">
        <v>141</v>
      </c>
      <c r="AQ6902">
        <v>1</v>
      </c>
      <c r="AR6902" t="s">
        <v>80</v>
      </c>
      <c r="AS6902" t="s">
        <v>81</v>
      </c>
      <c r="AT6902" t="s">
        <v>58</v>
      </c>
      <c r="AU6902" t="s">
        <v>68</v>
      </c>
      <c r="AV6902" t="s">
        <v>69</v>
      </c>
      <c r="AW6902" s="1">
        <v>24139</v>
      </c>
      <c r="AX6902">
        <v>1</v>
      </c>
    </row>
    <row r="6903" spans="1:50">
      <c r="A6903">
        <v>613186</v>
      </c>
      <c r="B6903" t="str">
        <f>"137204658"</f>
        <v>137204658</v>
      </c>
      <c r="C6903" t="s">
        <v>50</v>
      </c>
      <c r="D6903" t="s">
        <v>3623</v>
      </c>
      <c r="E6903" t="s">
        <v>255</v>
      </c>
      <c r="F6903" t="s">
        <v>95</v>
      </c>
      <c r="G6903" t="s">
        <v>507</v>
      </c>
      <c r="H6903" t="str">
        <f>"ΚΟΡΦΕΣ ΜΑΛΕΒΥΖΙΟΥ  ΗΡΑΚΛΕΙΟ"</f>
        <v>ΚΟΡΦΕΣ ΜΑΛΕΒΥΖΙΟΥ  ΗΡΑΚΛΕΙΟ</v>
      </c>
      <c r="I6903">
        <v>71500</v>
      </c>
      <c r="J6903">
        <v>2810851176</v>
      </c>
      <c r="K6903">
        <v>6934407734</v>
      </c>
      <c r="N6903" t="s">
        <v>615</v>
      </c>
      <c r="O6903" t="s">
        <v>616</v>
      </c>
      <c r="R6903" t="s">
        <v>57</v>
      </c>
      <c r="S6903">
        <v>6</v>
      </c>
      <c r="T6903">
        <v>598</v>
      </c>
      <c r="U6903" s="1">
        <v>39310</v>
      </c>
      <c r="V6903" t="s">
        <v>80</v>
      </c>
      <c r="W6903" t="s">
        <v>81</v>
      </c>
      <c r="X6903" t="s">
        <v>58</v>
      </c>
      <c r="Y6903">
        <v>23</v>
      </c>
      <c r="Z6903" t="s">
        <v>59</v>
      </c>
      <c r="AA6903" t="s">
        <v>59</v>
      </c>
      <c r="AB6903" t="s">
        <v>59</v>
      </c>
      <c r="AC6903" t="s">
        <v>59</v>
      </c>
      <c r="AD6903" t="s">
        <v>59</v>
      </c>
      <c r="AF6903" s="1">
        <v>39328</v>
      </c>
      <c r="AG6903" t="s">
        <v>8645</v>
      </c>
      <c r="AH6903" t="s">
        <v>8646</v>
      </c>
      <c r="AI6903" t="str">
        <f>"9170126"</f>
        <v>9170126</v>
      </c>
      <c r="AJ6903" t="s">
        <v>9041</v>
      </c>
      <c r="AK6903">
        <v>2810871213</v>
      </c>
      <c r="AL6903" t="s">
        <v>9042</v>
      </c>
      <c r="AM6903" t="s">
        <v>78</v>
      </c>
      <c r="AN6903" t="s">
        <v>78</v>
      </c>
      <c r="AO6903" t="s">
        <v>437</v>
      </c>
      <c r="AP6903" t="s">
        <v>438</v>
      </c>
      <c r="AQ6903">
        <v>5</v>
      </c>
      <c r="AR6903" t="s">
        <v>80</v>
      </c>
      <c r="AS6903" t="s">
        <v>81</v>
      </c>
      <c r="AT6903" t="s">
        <v>58</v>
      </c>
      <c r="AU6903" t="s">
        <v>68</v>
      </c>
      <c r="AV6903" t="s">
        <v>69</v>
      </c>
      <c r="AW6903" s="1">
        <v>30211</v>
      </c>
      <c r="AX6903">
        <v>1</v>
      </c>
    </row>
    <row r="6904" spans="1:50">
      <c r="A6904">
        <v>620714</v>
      </c>
      <c r="B6904" t="str">
        <f>"103260181"</f>
        <v>103260181</v>
      </c>
      <c r="C6904" t="s">
        <v>50</v>
      </c>
      <c r="D6904" t="s">
        <v>3623</v>
      </c>
      <c r="E6904" t="s">
        <v>255</v>
      </c>
      <c r="F6904" t="s">
        <v>99</v>
      </c>
      <c r="G6904" t="s">
        <v>83</v>
      </c>
      <c r="H6904" t="str">
        <f>"ΑΛΙΑΚΜΩΝΟΣ 12 ΗΡΑΚΛΕΙΟ"</f>
        <v>ΑΛΙΑΚΜΩΝΟΣ 12 ΗΡΑΚΛΕΙΟ</v>
      </c>
      <c r="I6904">
        <v>71304</v>
      </c>
      <c r="J6904">
        <v>2810254937</v>
      </c>
      <c r="K6904">
        <v>6937354222</v>
      </c>
      <c r="N6904" t="s">
        <v>615</v>
      </c>
      <c r="O6904" t="s">
        <v>616</v>
      </c>
      <c r="R6904" t="s">
        <v>57</v>
      </c>
      <c r="S6904">
        <v>5</v>
      </c>
      <c r="T6904">
        <v>653</v>
      </c>
      <c r="U6904" s="1">
        <v>40043</v>
      </c>
      <c r="V6904" t="s">
        <v>80</v>
      </c>
      <c r="W6904" t="s">
        <v>81</v>
      </c>
      <c r="X6904" t="s">
        <v>58</v>
      </c>
      <c r="Y6904">
        <v>23</v>
      </c>
      <c r="Z6904" t="s">
        <v>59</v>
      </c>
      <c r="AA6904" t="s">
        <v>59</v>
      </c>
      <c r="AB6904" t="s">
        <v>59</v>
      </c>
      <c r="AC6904" t="s">
        <v>59</v>
      </c>
      <c r="AD6904" t="s">
        <v>59</v>
      </c>
      <c r="AF6904" s="1">
        <v>40043</v>
      </c>
      <c r="AG6904" t="s">
        <v>8645</v>
      </c>
      <c r="AH6904" t="s">
        <v>8646</v>
      </c>
      <c r="AI6904" t="str">
        <f>"9170107"</f>
        <v>9170107</v>
      </c>
      <c r="AJ6904" t="s">
        <v>8798</v>
      </c>
      <c r="AK6904">
        <v>2810282405</v>
      </c>
      <c r="AL6904" t="s">
        <v>8799</v>
      </c>
      <c r="AM6904" t="s">
        <v>78</v>
      </c>
      <c r="AN6904" t="s">
        <v>78</v>
      </c>
      <c r="AO6904" t="s">
        <v>78</v>
      </c>
      <c r="AP6904" t="s">
        <v>79</v>
      </c>
      <c r="AQ6904">
        <v>1</v>
      </c>
      <c r="AR6904" t="s">
        <v>80</v>
      </c>
      <c r="AS6904" t="s">
        <v>81</v>
      </c>
      <c r="AT6904" t="s">
        <v>58</v>
      </c>
      <c r="AU6904" t="s">
        <v>68</v>
      </c>
      <c r="AV6904" t="s">
        <v>69</v>
      </c>
      <c r="AW6904" s="1">
        <v>29794</v>
      </c>
      <c r="AX6904">
        <v>1</v>
      </c>
    </row>
    <row r="6905" spans="1:50">
      <c r="A6905">
        <v>702175</v>
      </c>
      <c r="B6905" t="str">
        <f>"137233734"</f>
        <v>137233734</v>
      </c>
      <c r="C6905" t="s">
        <v>50</v>
      </c>
      <c r="D6905" t="s">
        <v>3623</v>
      </c>
      <c r="E6905" t="s">
        <v>215</v>
      </c>
      <c r="F6905" t="s">
        <v>311</v>
      </c>
      <c r="G6905" t="s">
        <v>52</v>
      </c>
      <c r="H6905" t="str">
        <f>"ΜΗΝΑ ΓΕΩΡΓΙΑΔΟΥ 59 ΗΡΑΚΛΕΙΟ"</f>
        <v>ΜΗΝΑ ΓΕΩΡΓΙΑΔΟΥ 59 ΗΡΑΚΛΕΙΟ</v>
      </c>
      <c r="I6905">
        <v>71306</v>
      </c>
      <c r="J6905">
        <v>2810321036</v>
      </c>
      <c r="K6905">
        <v>6978096452</v>
      </c>
      <c r="N6905" t="s">
        <v>615</v>
      </c>
      <c r="O6905" t="s">
        <v>616</v>
      </c>
      <c r="R6905" t="s">
        <v>57</v>
      </c>
      <c r="S6905">
        <v>4</v>
      </c>
      <c r="T6905" t="s">
        <v>6575</v>
      </c>
      <c r="U6905" s="1">
        <v>40413</v>
      </c>
      <c r="V6905" t="s">
        <v>80</v>
      </c>
      <c r="W6905" t="s">
        <v>81</v>
      </c>
      <c r="X6905" t="s">
        <v>58</v>
      </c>
      <c r="Y6905">
        <v>24</v>
      </c>
      <c r="Z6905" t="s">
        <v>59</v>
      </c>
      <c r="AA6905" t="s">
        <v>59</v>
      </c>
      <c r="AB6905" t="s">
        <v>59</v>
      </c>
      <c r="AC6905" t="s">
        <v>59</v>
      </c>
      <c r="AD6905" t="s">
        <v>59</v>
      </c>
      <c r="AF6905" s="1">
        <v>40413</v>
      </c>
      <c r="AG6905" t="s">
        <v>8645</v>
      </c>
      <c r="AH6905" t="s">
        <v>8646</v>
      </c>
      <c r="AI6905" t="str">
        <f>"9170027"</f>
        <v>9170027</v>
      </c>
      <c r="AJ6905" t="s">
        <v>8704</v>
      </c>
      <c r="AK6905">
        <v>2810711207</v>
      </c>
      <c r="AL6905" t="s">
        <v>8705</v>
      </c>
      <c r="AM6905" t="s">
        <v>78</v>
      </c>
      <c r="AN6905" t="s">
        <v>129</v>
      </c>
      <c r="AO6905" t="s">
        <v>597</v>
      </c>
      <c r="AP6905" t="s">
        <v>598</v>
      </c>
      <c r="AQ6905">
        <v>4</v>
      </c>
      <c r="AR6905" t="s">
        <v>80</v>
      </c>
      <c r="AS6905" t="s">
        <v>81</v>
      </c>
      <c r="AT6905" t="s">
        <v>58</v>
      </c>
      <c r="AU6905" t="s">
        <v>68</v>
      </c>
      <c r="AV6905" t="s">
        <v>69</v>
      </c>
      <c r="AW6905" s="1">
        <v>31729</v>
      </c>
      <c r="AX6905">
        <v>1</v>
      </c>
    </row>
    <row r="6906" spans="1:50">
      <c r="B6906" t="str">
        <f>"070732413"</f>
        <v>070732413</v>
      </c>
      <c r="C6906" t="s">
        <v>105</v>
      </c>
      <c r="D6906" t="s">
        <v>11314</v>
      </c>
      <c r="E6906" t="s">
        <v>108</v>
      </c>
      <c r="F6906" t="s">
        <v>202</v>
      </c>
      <c r="G6906" t="s">
        <v>181</v>
      </c>
      <c r="H6906" t="str">
        <f>"ΧΙΟΥ 65 ΒΟΛΟΣ"</f>
        <v>ΧΙΟΥ 65 ΒΟΛΟΣ</v>
      </c>
      <c r="I6906">
        <v>38445</v>
      </c>
      <c r="J6906">
        <v>2421081324</v>
      </c>
      <c r="K6906">
        <v>6973561162</v>
      </c>
      <c r="M6906" t="s">
        <v>11315</v>
      </c>
      <c r="N6906" t="s">
        <v>337</v>
      </c>
      <c r="O6906" t="s">
        <v>338</v>
      </c>
      <c r="R6906" t="s">
        <v>121</v>
      </c>
      <c r="S6906">
        <v>1</v>
      </c>
      <c r="T6906" t="s">
        <v>8675</v>
      </c>
      <c r="U6906" s="1">
        <v>43348</v>
      </c>
      <c r="V6906" t="s">
        <v>80</v>
      </c>
      <c r="W6906" t="s">
        <v>81</v>
      </c>
      <c r="X6906" t="s">
        <v>58</v>
      </c>
      <c r="Y6906">
        <v>24</v>
      </c>
      <c r="Z6906" t="s">
        <v>59</v>
      </c>
      <c r="AA6906" t="s">
        <v>59</v>
      </c>
      <c r="AB6906" t="s">
        <v>59</v>
      </c>
      <c r="AC6906" t="s">
        <v>59</v>
      </c>
      <c r="AD6906" t="s">
        <v>59</v>
      </c>
      <c r="AF6906" s="1">
        <v>43348</v>
      </c>
      <c r="AG6906" t="s">
        <v>8645</v>
      </c>
      <c r="AH6906" t="s">
        <v>8646</v>
      </c>
      <c r="AI6906" t="str">
        <f>"9170267"</f>
        <v>9170267</v>
      </c>
      <c r="AJ6906" t="s">
        <v>8840</v>
      </c>
      <c r="AK6906">
        <v>2892022320</v>
      </c>
      <c r="AL6906" t="s">
        <v>8841</v>
      </c>
      <c r="AM6906" t="s">
        <v>78</v>
      </c>
      <c r="AN6906" t="s">
        <v>242</v>
      </c>
      <c r="AO6906" t="s">
        <v>243</v>
      </c>
      <c r="AP6906" t="s">
        <v>243</v>
      </c>
      <c r="AQ6906">
        <v>20</v>
      </c>
      <c r="AR6906" t="s">
        <v>80</v>
      </c>
      <c r="AS6906" t="s">
        <v>81</v>
      </c>
      <c r="AT6906" t="s">
        <v>58</v>
      </c>
      <c r="AU6906" t="s">
        <v>8673</v>
      </c>
      <c r="AV6906" t="s">
        <v>132</v>
      </c>
      <c r="AW6906" s="1">
        <v>30197</v>
      </c>
      <c r="AX6906">
        <v>1</v>
      </c>
    </row>
    <row r="6907" spans="1:50">
      <c r="A6907">
        <v>618323</v>
      </c>
      <c r="B6907" t="str">
        <f>"132994767"</f>
        <v>132994767</v>
      </c>
      <c r="C6907" t="s">
        <v>50</v>
      </c>
      <c r="D6907" t="s">
        <v>11316</v>
      </c>
      <c r="E6907" t="s">
        <v>11317</v>
      </c>
      <c r="F6907" t="s">
        <v>166</v>
      </c>
      <c r="G6907" t="s">
        <v>83</v>
      </c>
      <c r="H6907" t="str">
        <f>"ΑΓΙΟΥ ΝΙΚΟΛΑΟΥ 8 ΑΝΩ ΑΡΧΑΝΕΣ"</f>
        <v>ΑΓΙΟΥ ΝΙΚΟΛΑΟΥ 8 ΑΝΩ ΑΡΧΑΝΕΣ</v>
      </c>
      <c r="I6907">
        <v>70100</v>
      </c>
      <c r="J6907">
        <v>2810751712</v>
      </c>
      <c r="K6907">
        <v>6974123157</v>
      </c>
      <c r="M6907" t="s">
        <v>11318</v>
      </c>
      <c r="N6907" t="s">
        <v>615</v>
      </c>
      <c r="O6907" t="s">
        <v>616</v>
      </c>
      <c r="R6907" t="s">
        <v>57</v>
      </c>
      <c r="S6907">
        <v>5</v>
      </c>
      <c r="T6907">
        <v>774</v>
      </c>
      <c r="U6907" s="1">
        <v>39680</v>
      </c>
      <c r="V6907" t="s">
        <v>80</v>
      </c>
      <c r="W6907" t="s">
        <v>81</v>
      </c>
      <c r="X6907" t="s">
        <v>58</v>
      </c>
      <c r="Y6907">
        <v>23</v>
      </c>
      <c r="Z6907" t="s">
        <v>59</v>
      </c>
      <c r="AA6907" t="s">
        <v>59</v>
      </c>
      <c r="AB6907" t="s">
        <v>59</v>
      </c>
      <c r="AC6907" t="s">
        <v>59</v>
      </c>
      <c r="AD6907" t="s">
        <v>59</v>
      </c>
      <c r="AF6907" s="1">
        <v>39681</v>
      </c>
      <c r="AG6907" t="s">
        <v>8645</v>
      </c>
      <c r="AH6907" t="s">
        <v>8646</v>
      </c>
      <c r="AI6907" t="str">
        <f>"9170533"</f>
        <v>9170533</v>
      </c>
      <c r="AJ6907" t="s">
        <v>9091</v>
      </c>
      <c r="AK6907">
        <v>2810239434</v>
      </c>
      <c r="AL6907" t="s">
        <v>9092</v>
      </c>
      <c r="AM6907" t="s">
        <v>78</v>
      </c>
      <c r="AN6907" t="s">
        <v>78</v>
      </c>
      <c r="AO6907" t="s">
        <v>78</v>
      </c>
      <c r="AP6907" t="s">
        <v>163</v>
      </c>
      <c r="AQ6907">
        <v>1</v>
      </c>
      <c r="AR6907" t="s">
        <v>80</v>
      </c>
      <c r="AS6907" t="s">
        <v>81</v>
      </c>
      <c r="AT6907" t="s">
        <v>58</v>
      </c>
      <c r="AU6907" t="s">
        <v>68</v>
      </c>
      <c r="AV6907" t="s">
        <v>69</v>
      </c>
      <c r="AW6907" s="1">
        <v>30982</v>
      </c>
      <c r="AX6907">
        <v>1</v>
      </c>
    </row>
    <row r="6908" spans="1:50">
      <c r="A6908">
        <v>594724</v>
      </c>
      <c r="B6908" t="str">
        <f>"114287334"</f>
        <v>114287334</v>
      </c>
      <c r="C6908" t="s">
        <v>50</v>
      </c>
      <c r="D6908" t="s">
        <v>11316</v>
      </c>
      <c r="E6908" t="s">
        <v>367</v>
      </c>
      <c r="F6908" t="s">
        <v>166</v>
      </c>
      <c r="G6908" t="s">
        <v>83</v>
      </c>
      <c r="H6908" t="str">
        <f>"ΣΤΕΡΓΙΟΥ ΣΠΑΝΑΚΗ 1 ΗΡΑΚΛΕΙΟ"</f>
        <v>ΣΤΕΡΓΙΟΥ ΣΠΑΝΑΚΗ 1 ΗΡΑΚΛΕΙΟ</v>
      </c>
      <c r="I6908">
        <v>71307</v>
      </c>
      <c r="J6908">
        <v>2810343277</v>
      </c>
      <c r="K6908">
        <v>6932004934</v>
      </c>
      <c r="N6908" t="s">
        <v>615</v>
      </c>
      <c r="O6908" t="s">
        <v>616</v>
      </c>
      <c r="R6908" t="s">
        <v>57</v>
      </c>
      <c r="S6908">
        <v>8</v>
      </c>
      <c r="T6908">
        <v>218</v>
      </c>
      <c r="U6908" s="1">
        <v>37134</v>
      </c>
      <c r="V6908" t="s">
        <v>80</v>
      </c>
      <c r="W6908" t="s">
        <v>81</v>
      </c>
      <c r="X6908" t="s">
        <v>58</v>
      </c>
      <c r="Y6908">
        <v>22</v>
      </c>
      <c r="Z6908" t="s">
        <v>59</v>
      </c>
      <c r="AA6908" t="s">
        <v>59</v>
      </c>
      <c r="AB6908" t="s">
        <v>59</v>
      </c>
      <c r="AC6908" t="s">
        <v>59</v>
      </c>
      <c r="AD6908" t="s">
        <v>59</v>
      </c>
      <c r="AF6908" s="1">
        <v>37141</v>
      </c>
      <c r="AG6908" t="s">
        <v>8645</v>
      </c>
      <c r="AH6908" t="s">
        <v>8646</v>
      </c>
      <c r="AI6908" t="str">
        <f>"9170264"</f>
        <v>9170264</v>
      </c>
      <c r="AJ6908" t="s">
        <v>8718</v>
      </c>
      <c r="AK6908">
        <v>2810332030</v>
      </c>
      <c r="AL6908" t="s">
        <v>8719</v>
      </c>
      <c r="AM6908" t="s">
        <v>78</v>
      </c>
      <c r="AN6908" t="s">
        <v>78</v>
      </c>
      <c r="AO6908" t="s">
        <v>286</v>
      </c>
      <c r="AP6908" t="s">
        <v>286</v>
      </c>
      <c r="AQ6908">
        <v>1</v>
      </c>
      <c r="AR6908" t="s">
        <v>80</v>
      </c>
      <c r="AS6908" t="s">
        <v>81</v>
      </c>
      <c r="AT6908" t="s">
        <v>58</v>
      </c>
      <c r="AU6908" t="s">
        <v>68</v>
      </c>
      <c r="AV6908" t="s">
        <v>69</v>
      </c>
      <c r="AW6908" s="1">
        <v>27822</v>
      </c>
      <c r="AX6908">
        <v>1</v>
      </c>
    </row>
    <row r="6909" spans="1:50">
      <c r="A6909">
        <v>575586</v>
      </c>
      <c r="B6909" t="str">
        <f>"063269366"</f>
        <v>063269366</v>
      </c>
      <c r="C6909" t="s">
        <v>50</v>
      </c>
      <c r="D6909" t="s">
        <v>5389</v>
      </c>
      <c r="E6909" t="s">
        <v>237</v>
      </c>
      <c r="F6909" t="s">
        <v>166</v>
      </c>
      <c r="G6909" t="s">
        <v>460</v>
      </c>
      <c r="H6909" t="str">
        <f>"ΠΑΤΡΙΑΡΧΟΥ ΦΩΤΙΟΥ 41 ΗΡΑΚΛΕΙΟ"</f>
        <v>ΠΑΤΡΙΑΡΧΟΥ ΦΩΤΙΟΥ 41 ΗΡΑΚΛΕΙΟ</v>
      </c>
      <c r="I6909">
        <v>71305</v>
      </c>
      <c r="J6909">
        <v>2810238832</v>
      </c>
      <c r="K6909">
        <v>6948339692</v>
      </c>
      <c r="N6909" t="s">
        <v>615</v>
      </c>
      <c r="O6909" t="s">
        <v>616</v>
      </c>
      <c r="R6909" t="s">
        <v>57</v>
      </c>
      <c r="S6909">
        <v>13</v>
      </c>
      <c r="T6909">
        <v>184</v>
      </c>
      <c r="U6909" s="1">
        <v>34941</v>
      </c>
      <c r="V6909" t="s">
        <v>80</v>
      </c>
      <c r="W6909" t="s">
        <v>81</v>
      </c>
      <c r="X6909" t="s">
        <v>58</v>
      </c>
      <c r="Y6909">
        <v>21</v>
      </c>
      <c r="Z6909" t="s">
        <v>59</v>
      </c>
      <c r="AA6909" t="s">
        <v>59</v>
      </c>
      <c r="AB6909" t="s">
        <v>59</v>
      </c>
      <c r="AC6909" t="s">
        <v>59</v>
      </c>
      <c r="AD6909" t="s">
        <v>59</v>
      </c>
      <c r="AF6909" s="1">
        <v>34943</v>
      </c>
      <c r="AG6909" t="s">
        <v>8645</v>
      </c>
      <c r="AH6909" t="s">
        <v>8646</v>
      </c>
      <c r="AI6909" t="str">
        <f>"9170108"</f>
        <v>9170108</v>
      </c>
      <c r="AJ6909" t="s">
        <v>8863</v>
      </c>
      <c r="AK6909">
        <v>2810232111</v>
      </c>
      <c r="AL6909" t="s">
        <v>8864</v>
      </c>
      <c r="AM6909" t="s">
        <v>78</v>
      </c>
      <c r="AN6909" t="s">
        <v>78</v>
      </c>
      <c r="AO6909" t="s">
        <v>78</v>
      </c>
      <c r="AP6909" t="s">
        <v>163</v>
      </c>
      <c r="AQ6909">
        <v>1</v>
      </c>
      <c r="AR6909" t="s">
        <v>80</v>
      </c>
      <c r="AS6909" t="s">
        <v>81</v>
      </c>
      <c r="AT6909" t="s">
        <v>58</v>
      </c>
      <c r="AU6909" t="s">
        <v>68</v>
      </c>
      <c r="AV6909" t="s">
        <v>69</v>
      </c>
      <c r="AW6909" s="1">
        <v>24612</v>
      </c>
      <c r="AX6909">
        <v>1</v>
      </c>
    </row>
    <row r="6910" spans="1:50">
      <c r="B6910" t="str">
        <f>"100783320"</f>
        <v>100783320</v>
      </c>
      <c r="C6910" t="s">
        <v>105</v>
      </c>
      <c r="D6910" t="s">
        <v>11319</v>
      </c>
      <c r="E6910" t="s">
        <v>95</v>
      </c>
      <c r="F6910" t="s">
        <v>84</v>
      </c>
      <c r="G6910" t="s">
        <v>11320</v>
      </c>
      <c r="H6910" t="str">
        <f>"ΑΝΤΩΝΙΑΔΗ 43 ΒΥΡΩΝΑΣ"</f>
        <v>ΑΝΤΩΝΙΑΔΗ 43 ΒΥΡΩΝΑΣ</v>
      </c>
      <c r="I6910">
        <v>16233</v>
      </c>
      <c r="J6910">
        <v>2107657137</v>
      </c>
      <c r="K6910">
        <v>6973296670</v>
      </c>
      <c r="N6910" t="s">
        <v>615</v>
      </c>
      <c r="O6910" t="s">
        <v>616</v>
      </c>
      <c r="R6910" t="s">
        <v>159</v>
      </c>
      <c r="S6910">
        <v>3</v>
      </c>
      <c r="T6910" t="s">
        <v>8675</v>
      </c>
      <c r="U6910" s="1">
        <v>43348</v>
      </c>
      <c r="V6910" t="s">
        <v>80</v>
      </c>
      <c r="W6910" t="s">
        <v>81</v>
      </c>
      <c r="X6910" t="s">
        <v>58</v>
      </c>
      <c r="Y6910">
        <v>24</v>
      </c>
      <c r="Z6910" t="s">
        <v>59</v>
      </c>
      <c r="AA6910" t="s">
        <v>59</v>
      </c>
      <c r="AB6910" t="s">
        <v>59</v>
      </c>
      <c r="AC6910" t="s">
        <v>59</v>
      </c>
      <c r="AD6910" t="s">
        <v>59</v>
      </c>
      <c r="AF6910" s="1">
        <v>43348</v>
      </c>
      <c r="AG6910" t="s">
        <v>8645</v>
      </c>
      <c r="AH6910" t="s">
        <v>8646</v>
      </c>
      <c r="AI6910" t="str">
        <f>"9170097"</f>
        <v>9170097</v>
      </c>
      <c r="AJ6910" t="s">
        <v>8826</v>
      </c>
      <c r="AK6910">
        <v>2810751807</v>
      </c>
      <c r="AL6910" t="s">
        <v>8827</v>
      </c>
      <c r="AM6910" t="s">
        <v>78</v>
      </c>
      <c r="AN6910" t="s">
        <v>424</v>
      </c>
      <c r="AO6910" t="s">
        <v>425</v>
      </c>
      <c r="AP6910" t="s">
        <v>425</v>
      </c>
      <c r="AQ6910">
        <v>11</v>
      </c>
      <c r="AR6910" t="s">
        <v>80</v>
      </c>
      <c r="AS6910" t="s">
        <v>81</v>
      </c>
      <c r="AT6910" t="s">
        <v>58</v>
      </c>
      <c r="AU6910" t="s">
        <v>8673</v>
      </c>
      <c r="AV6910" t="s">
        <v>132</v>
      </c>
      <c r="AW6910" s="1">
        <v>31987</v>
      </c>
      <c r="AX6910">
        <v>1</v>
      </c>
    </row>
    <row r="6911" spans="1:50">
      <c r="A6911">
        <v>611689</v>
      </c>
      <c r="B6911" t="str">
        <f>"063844273"</f>
        <v>063844273</v>
      </c>
      <c r="C6911" t="s">
        <v>50</v>
      </c>
      <c r="D6911" t="s">
        <v>11321</v>
      </c>
      <c r="E6911" t="s">
        <v>263</v>
      </c>
      <c r="F6911" t="s">
        <v>72</v>
      </c>
      <c r="G6911" t="s">
        <v>473</v>
      </c>
      <c r="H6911" t="str">
        <f>"ΣΑΠΦΟΥΣ 3 ΗΡΑΚΛΕΙΟ"</f>
        <v>ΣΑΠΦΟΥΣ 3 ΗΡΑΚΛΕΙΟ</v>
      </c>
      <c r="I6911">
        <v>71202</v>
      </c>
      <c r="J6911">
        <v>2810226686</v>
      </c>
      <c r="K6911">
        <v>6947952901</v>
      </c>
      <c r="N6911" t="s">
        <v>1525</v>
      </c>
      <c r="O6911" t="s">
        <v>1526</v>
      </c>
      <c r="R6911" t="s">
        <v>57</v>
      </c>
      <c r="S6911">
        <v>6</v>
      </c>
      <c r="T6911">
        <v>233</v>
      </c>
      <c r="U6911" s="1">
        <v>38960</v>
      </c>
      <c r="V6911" t="s">
        <v>80</v>
      </c>
      <c r="W6911" t="s">
        <v>81</v>
      </c>
      <c r="X6911" t="s">
        <v>58</v>
      </c>
      <c r="Y6911">
        <v>25</v>
      </c>
      <c r="Z6911" t="s">
        <v>59</v>
      </c>
      <c r="AA6911" t="s">
        <v>59</v>
      </c>
      <c r="AB6911" t="s">
        <v>59</v>
      </c>
      <c r="AC6911" t="s">
        <v>59</v>
      </c>
      <c r="AD6911" t="s">
        <v>59</v>
      </c>
      <c r="AF6911" s="1">
        <v>38961</v>
      </c>
      <c r="AG6911" t="s">
        <v>8651</v>
      </c>
      <c r="AH6911" t="s">
        <v>8652</v>
      </c>
      <c r="AI6911" t="str">
        <f>"9170406"</f>
        <v>9170406</v>
      </c>
      <c r="AJ6911" t="s">
        <v>10608</v>
      </c>
      <c r="AK6911">
        <v>2810223855</v>
      </c>
      <c r="AL6911" t="s">
        <v>10609</v>
      </c>
      <c r="AM6911" t="s">
        <v>78</v>
      </c>
      <c r="AN6911" t="s">
        <v>78</v>
      </c>
      <c r="AO6911" t="s">
        <v>78</v>
      </c>
      <c r="AP6911" t="s">
        <v>79</v>
      </c>
      <c r="AQ6911">
        <v>1</v>
      </c>
      <c r="AR6911" t="s">
        <v>80</v>
      </c>
      <c r="AS6911" t="s">
        <v>81</v>
      </c>
      <c r="AT6911" t="s">
        <v>58</v>
      </c>
      <c r="AU6911" t="s">
        <v>68</v>
      </c>
      <c r="AV6911" t="s">
        <v>69</v>
      </c>
      <c r="AW6911" s="1">
        <v>25583</v>
      </c>
      <c r="AX6911">
        <v>1</v>
      </c>
    </row>
    <row r="6912" spans="1:50">
      <c r="A6912">
        <v>702492</v>
      </c>
      <c r="B6912" t="str">
        <f>"139559545"</f>
        <v>139559545</v>
      </c>
      <c r="C6912" t="s">
        <v>50</v>
      </c>
      <c r="D6912" t="s">
        <v>11322</v>
      </c>
      <c r="E6912" t="s">
        <v>83</v>
      </c>
      <c r="F6912" t="s">
        <v>84</v>
      </c>
      <c r="G6912" t="s">
        <v>215</v>
      </c>
      <c r="H6912" t="str">
        <f>"ΕΘΝ. ΑΝΤΙΣΤΑΣΗΣ 90 ΛΑΡΙΣΑ"</f>
        <v>ΕΘΝ. ΑΝΤΙΣΤΑΣΗΣ 90 ΛΑΡΙΣΑ</v>
      </c>
      <c r="I6912">
        <v>41335</v>
      </c>
      <c r="J6912">
        <v>2410627551</v>
      </c>
      <c r="K6912">
        <v>6947046841</v>
      </c>
      <c r="N6912" t="s">
        <v>615</v>
      </c>
      <c r="O6912" t="s">
        <v>616</v>
      </c>
      <c r="R6912" t="s">
        <v>57</v>
      </c>
      <c r="S6912">
        <v>4</v>
      </c>
      <c r="T6912">
        <v>772</v>
      </c>
      <c r="U6912" s="1">
        <v>40413</v>
      </c>
      <c r="V6912" t="s">
        <v>80</v>
      </c>
      <c r="W6912" t="s">
        <v>81</v>
      </c>
      <c r="X6912" t="s">
        <v>58</v>
      </c>
      <c r="Y6912">
        <v>24</v>
      </c>
      <c r="Z6912" t="s">
        <v>59</v>
      </c>
      <c r="AA6912" t="s">
        <v>59</v>
      </c>
      <c r="AB6912" t="s">
        <v>59</v>
      </c>
      <c r="AC6912" t="s">
        <v>59</v>
      </c>
      <c r="AD6912" t="s">
        <v>59</v>
      </c>
      <c r="AF6912" s="1">
        <v>40413</v>
      </c>
      <c r="AG6912" t="s">
        <v>8645</v>
      </c>
      <c r="AH6912" t="s">
        <v>8646</v>
      </c>
      <c r="AI6912" t="str">
        <f>"9521015"</f>
        <v>9521015</v>
      </c>
      <c r="AJ6912" t="s">
        <v>8927</v>
      </c>
      <c r="AK6912">
        <v>2897029138</v>
      </c>
      <c r="AL6912" t="s">
        <v>8928</v>
      </c>
      <c r="AM6912" t="s">
        <v>78</v>
      </c>
      <c r="AN6912" t="s">
        <v>219</v>
      </c>
      <c r="AO6912" t="s">
        <v>219</v>
      </c>
      <c r="AP6912" t="s">
        <v>220</v>
      </c>
      <c r="AQ6912">
        <v>8</v>
      </c>
      <c r="AR6912" t="s">
        <v>80</v>
      </c>
      <c r="AS6912" t="s">
        <v>81</v>
      </c>
      <c r="AT6912" t="s">
        <v>58</v>
      </c>
      <c r="AU6912" t="s">
        <v>68</v>
      </c>
      <c r="AV6912" t="s">
        <v>69</v>
      </c>
      <c r="AW6912" s="1">
        <v>31801</v>
      </c>
      <c r="AX6912">
        <v>1</v>
      </c>
    </row>
    <row r="6913" spans="1:50">
      <c r="A6913">
        <v>551317</v>
      </c>
      <c r="B6913" t="str">
        <f>"030767363"</f>
        <v>030767363</v>
      </c>
      <c r="C6913" t="s">
        <v>105</v>
      </c>
      <c r="D6913" t="s">
        <v>11323</v>
      </c>
      <c r="E6913" t="s">
        <v>53</v>
      </c>
      <c r="F6913" t="s">
        <v>10545</v>
      </c>
      <c r="G6913" t="s">
        <v>83</v>
      </c>
      <c r="H6913" t="str">
        <f>"ΑΡΣΙΝΟΗΣ 31 ΗΡΑΚΛΕΙΟ"</f>
        <v>ΑΡΣΙΝΟΗΣ 31 ΗΡΑΚΛΕΙΟ</v>
      </c>
      <c r="I6913">
        <v>71303</v>
      </c>
      <c r="J6913">
        <v>2810311100</v>
      </c>
      <c r="K6913">
        <v>6972379474</v>
      </c>
      <c r="N6913" t="s">
        <v>615</v>
      </c>
      <c r="O6913" t="s">
        <v>616</v>
      </c>
      <c r="R6913" t="s">
        <v>57</v>
      </c>
      <c r="S6913">
        <v>17</v>
      </c>
      <c r="T6913">
        <v>271</v>
      </c>
      <c r="U6913" s="1">
        <v>30923</v>
      </c>
      <c r="V6913" t="s">
        <v>80</v>
      </c>
      <c r="W6913" t="s">
        <v>81</v>
      </c>
      <c r="X6913" t="s">
        <v>58</v>
      </c>
      <c r="Y6913">
        <v>21</v>
      </c>
      <c r="Z6913" t="s">
        <v>59</v>
      </c>
      <c r="AA6913" t="s">
        <v>59</v>
      </c>
      <c r="AB6913" t="s">
        <v>59</v>
      </c>
      <c r="AC6913" t="s">
        <v>59</v>
      </c>
      <c r="AD6913" t="s">
        <v>59</v>
      </c>
      <c r="AF6913" s="1">
        <v>30930</v>
      </c>
      <c r="AG6913" t="s">
        <v>8645</v>
      </c>
      <c r="AH6913" t="s">
        <v>8646</v>
      </c>
      <c r="AI6913" t="str">
        <f>"9170055"</f>
        <v>9170055</v>
      </c>
      <c r="AJ6913" t="s">
        <v>8836</v>
      </c>
      <c r="AK6913">
        <v>2810255097</v>
      </c>
      <c r="AL6913" t="s">
        <v>8837</v>
      </c>
      <c r="AM6913" t="s">
        <v>78</v>
      </c>
      <c r="AN6913" t="s">
        <v>78</v>
      </c>
      <c r="AO6913" t="s">
        <v>78</v>
      </c>
      <c r="AP6913" t="s">
        <v>141</v>
      </c>
      <c r="AQ6913">
        <v>1</v>
      </c>
      <c r="AR6913" t="s">
        <v>80</v>
      </c>
      <c r="AS6913" t="s">
        <v>81</v>
      </c>
      <c r="AT6913" t="s">
        <v>58</v>
      </c>
      <c r="AU6913" t="s">
        <v>68</v>
      </c>
      <c r="AV6913" t="s">
        <v>69</v>
      </c>
      <c r="AW6913" s="1">
        <v>22004</v>
      </c>
      <c r="AX6913">
        <v>1</v>
      </c>
    </row>
    <row r="6914" spans="1:50">
      <c r="A6914">
        <v>594172</v>
      </c>
      <c r="B6914" t="str">
        <f>"061201002"</f>
        <v>061201002</v>
      </c>
      <c r="C6914" t="s">
        <v>50</v>
      </c>
      <c r="D6914" t="s">
        <v>11324</v>
      </c>
      <c r="E6914" t="s">
        <v>215</v>
      </c>
      <c r="F6914" t="s">
        <v>166</v>
      </c>
      <c r="G6914" t="s">
        <v>2923</v>
      </c>
      <c r="H6914" t="str">
        <f>"Ολύμπου 54 Πατέλες"</f>
        <v>Ολύμπου 54 Πατέλες</v>
      </c>
      <c r="I6914">
        <v>71307</v>
      </c>
      <c r="J6914">
        <v>2815003606</v>
      </c>
      <c r="K6914">
        <v>6946907801</v>
      </c>
      <c r="M6914" t="s">
        <v>11325</v>
      </c>
      <c r="N6914" t="s">
        <v>615</v>
      </c>
      <c r="O6914" t="s">
        <v>616</v>
      </c>
      <c r="R6914" t="s">
        <v>57</v>
      </c>
      <c r="S6914">
        <v>8</v>
      </c>
      <c r="T6914">
        <v>218</v>
      </c>
      <c r="U6914" s="1">
        <v>37134</v>
      </c>
      <c r="V6914" t="s">
        <v>80</v>
      </c>
      <c r="W6914" t="s">
        <v>81</v>
      </c>
      <c r="X6914" t="s">
        <v>58</v>
      </c>
      <c r="Y6914">
        <v>22</v>
      </c>
      <c r="Z6914" t="s">
        <v>59</v>
      </c>
      <c r="AA6914" t="s">
        <v>59</v>
      </c>
      <c r="AB6914" t="s">
        <v>59</v>
      </c>
      <c r="AC6914" t="s">
        <v>59</v>
      </c>
      <c r="AD6914" t="s">
        <v>59</v>
      </c>
      <c r="AF6914" s="1">
        <v>37137</v>
      </c>
      <c r="AG6914" t="s">
        <v>8645</v>
      </c>
      <c r="AH6914" t="s">
        <v>8646</v>
      </c>
      <c r="AI6914" t="str">
        <f>"9170194"</f>
        <v>9170194</v>
      </c>
      <c r="AJ6914" t="s">
        <v>8768</v>
      </c>
      <c r="AK6914">
        <v>2810239611</v>
      </c>
      <c r="AL6914" t="s">
        <v>8769</v>
      </c>
      <c r="AM6914" t="s">
        <v>78</v>
      </c>
      <c r="AN6914" t="s">
        <v>78</v>
      </c>
      <c r="AO6914" t="s">
        <v>78</v>
      </c>
      <c r="AP6914" t="s">
        <v>213</v>
      </c>
      <c r="AQ6914">
        <v>1</v>
      </c>
      <c r="AR6914" t="s">
        <v>80</v>
      </c>
      <c r="AS6914" t="s">
        <v>81</v>
      </c>
      <c r="AT6914" t="s">
        <v>58</v>
      </c>
      <c r="AU6914" t="s">
        <v>68</v>
      </c>
      <c r="AV6914" t="s">
        <v>69</v>
      </c>
      <c r="AW6914" s="1">
        <v>26445</v>
      </c>
      <c r="AX6914">
        <v>1</v>
      </c>
    </row>
    <row r="6915" spans="1:50">
      <c r="A6915">
        <v>619830</v>
      </c>
      <c r="B6915" t="str">
        <f>"066357231"</f>
        <v>066357231</v>
      </c>
      <c r="C6915" t="s">
        <v>50</v>
      </c>
      <c r="D6915" t="s">
        <v>11324</v>
      </c>
      <c r="E6915" t="s">
        <v>460</v>
      </c>
      <c r="F6915" t="s">
        <v>309</v>
      </c>
      <c r="G6915" t="s">
        <v>964</v>
      </c>
      <c r="H6915" t="str">
        <f>"ΣΕΦΕΡΗ 111 ΛΑΡΙΣΑ"</f>
        <v>ΣΕΦΕΡΗ 111 ΛΑΡΙΣΑ</v>
      </c>
      <c r="I6915">
        <v>41221</v>
      </c>
      <c r="J6915">
        <v>2411101931</v>
      </c>
      <c r="K6915">
        <v>6948237276</v>
      </c>
      <c r="M6915" t="s">
        <v>11326</v>
      </c>
      <c r="N6915" t="s">
        <v>176</v>
      </c>
      <c r="O6915" t="s">
        <v>177</v>
      </c>
      <c r="R6915" t="s">
        <v>57</v>
      </c>
      <c r="S6915">
        <v>9</v>
      </c>
      <c r="T6915">
        <v>775</v>
      </c>
      <c r="U6915" s="1">
        <v>39680</v>
      </c>
      <c r="V6915" t="s">
        <v>80</v>
      </c>
      <c r="W6915" t="s">
        <v>81</v>
      </c>
      <c r="X6915" t="s">
        <v>58</v>
      </c>
      <c r="Y6915">
        <v>23</v>
      </c>
      <c r="Z6915" t="s">
        <v>59</v>
      </c>
      <c r="AA6915" t="s">
        <v>59</v>
      </c>
      <c r="AB6915" t="s">
        <v>59</v>
      </c>
      <c r="AC6915" t="s">
        <v>59</v>
      </c>
      <c r="AD6915" t="s">
        <v>59</v>
      </c>
      <c r="AF6915" s="1">
        <v>39681</v>
      </c>
      <c r="AG6915" t="s">
        <v>8645</v>
      </c>
      <c r="AH6915" t="s">
        <v>8646</v>
      </c>
      <c r="AI6915" t="str">
        <f>"9170061"</f>
        <v>9170061</v>
      </c>
      <c r="AJ6915" t="s">
        <v>8869</v>
      </c>
      <c r="AK6915">
        <v>2810791254</v>
      </c>
      <c r="AL6915" t="s">
        <v>8870</v>
      </c>
      <c r="AM6915" t="s">
        <v>78</v>
      </c>
      <c r="AN6915" t="s">
        <v>78</v>
      </c>
      <c r="AO6915" t="s">
        <v>78</v>
      </c>
      <c r="AP6915" t="s">
        <v>8871</v>
      </c>
      <c r="AQ6915">
        <v>3</v>
      </c>
      <c r="AR6915" t="s">
        <v>80</v>
      </c>
      <c r="AS6915" t="s">
        <v>81</v>
      </c>
      <c r="AT6915" t="s">
        <v>58</v>
      </c>
      <c r="AU6915" t="s">
        <v>68</v>
      </c>
      <c r="AV6915" t="s">
        <v>69</v>
      </c>
      <c r="AW6915" s="1">
        <v>27075</v>
      </c>
      <c r="AX6915">
        <v>1</v>
      </c>
    </row>
    <row r="6916" spans="1:50">
      <c r="A6916">
        <v>610367</v>
      </c>
      <c r="B6916" t="str">
        <f>"079160619"</f>
        <v>079160619</v>
      </c>
      <c r="C6916" t="s">
        <v>50</v>
      </c>
      <c r="D6916" t="s">
        <v>11327</v>
      </c>
      <c r="E6916" t="s">
        <v>1713</v>
      </c>
      <c r="F6916" t="s">
        <v>53</v>
      </c>
      <c r="G6916" t="s">
        <v>566</v>
      </c>
      <c r="H6916" t="str">
        <f>"ΕΘΝ. ΑΝΤΙΣΤΑΣΕΩΣ 2 ΗΡΑΚΛΕΙΟ"</f>
        <v>ΕΘΝ. ΑΝΤΙΣΤΑΣΕΩΣ 2 ΗΡΑΚΛΕΙΟ</v>
      </c>
      <c r="I6916">
        <v>71306</v>
      </c>
      <c r="J6916">
        <v>2810322189</v>
      </c>
      <c r="K6916">
        <v>6948660469</v>
      </c>
      <c r="N6916" t="s">
        <v>615</v>
      </c>
      <c r="O6916" t="s">
        <v>616</v>
      </c>
      <c r="R6916" t="s">
        <v>57</v>
      </c>
      <c r="S6916">
        <v>9</v>
      </c>
      <c r="T6916">
        <v>233</v>
      </c>
      <c r="U6916" s="1">
        <v>38960</v>
      </c>
      <c r="V6916" t="s">
        <v>80</v>
      </c>
      <c r="W6916" t="s">
        <v>81</v>
      </c>
      <c r="X6916" t="s">
        <v>58</v>
      </c>
      <c r="Y6916">
        <v>23</v>
      </c>
      <c r="Z6916" t="s">
        <v>59</v>
      </c>
      <c r="AA6916" t="s">
        <v>59</v>
      </c>
      <c r="AB6916" t="s">
        <v>59</v>
      </c>
      <c r="AC6916" t="s">
        <v>59</v>
      </c>
      <c r="AD6916" t="s">
        <v>59</v>
      </c>
      <c r="AF6916" s="1">
        <v>38961</v>
      </c>
      <c r="AG6916" t="s">
        <v>8645</v>
      </c>
      <c r="AH6916" t="s">
        <v>8646</v>
      </c>
      <c r="AI6916" t="str">
        <f>"9170190"</f>
        <v>9170190</v>
      </c>
      <c r="AJ6916" t="s">
        <v>8689</v>
      </c>
      <c r="AK6916">
        <v>2810232169</v>
      </c>
      <c r="AL6916" t="s">
        <v>8690</v>
      </c>
      <c r="AM6916" t="s">
        <v>78</v>
      </c>
      <c r="AN6916" t="s">
        <v>78</v>
      </c>
      <c r="AO6916" t="s">
        <v>78</v>
      </c>
      <c r="AP6916" t="s">
        <v>163</v>
      </c>
      <c r="AQ6916">
        <v>1</v>
      </c>
      <c r="AR6916" t="s">
        <v>80</v>
      </c>
      <c r="AS6916" t="s">
        <v>81</v>
      </c>
      <c r="AT6916" t="s">
        <v>58</v>
      </c>
      <c r="AU6916" t="s">
        <v>68</v>
      </c>
      <c r="AV6916" t="s">
        <v>69</v>
      </c>
      <c r="AW6916" s="1">
        <v>27349</v>
      </c>
      <c r="AX6916">
        <v>1</v>
      </c>
    </row>
    <row r="6917" spans="1:50">
      <c r="A6917">
        <v>551672</v>
      </c>
      <c r="B6917" t="str">
        <f>"064558924"</f>
        <v>064558924</v>
      </c>
      <c r="C6917" t="s">
        <v>50</v>
      </c>
      <c r="D6917" t="s">
        <v>11328</v>
      </c>
      <c r="E6917" t="s">
        <v>11234</v>
      </c>
      <c r="F6917" t="s">
        <v>11329</v>
      </c>
      <c r="G6917" t="s">
        <v>237</v>
      </c>
      <c r="H6917" t="str">
        <f>"ΣΤΕΡΓΙΟΓΙΑΝΝΗ 48 ΜΑΣΤΑΜΠΑΣ"</f>
        <v>ΣΤΕΡΓΙΟΓΙΑΝΝΗ 48 ΜΑΣΤΑΜΠΑΣ</v>
      </c>
      <c r="I6917">
        <v>71305</v>
      </c>
      <c r="J6917">
        <v>2810313777</v>
      </c>
      <c r="K6917">
        <v>6936987294</v>
      </c>
      <c r="N6917" t="s">
        <v>615</v>
      </c>
      <c r="O6917" t="s">
        <v>616</v>
      </c>
      <c r="R6917" t="s">
        <v>57</v>
      </c>
      <c r="S6917">
        <v>17</v>
      </c>
      <c r="T6917">
        <v>271</v>
      </c>
      <c r="U6917" s="1">
        <v>30923</v>
      </c>
      <c r="V6917" t="s">
        <v>80</v>
      </c>
      <c r="W6917" t="s">
        <v>81</v>
      </c>
      <c r="X6917" t="s">
        <v>58</v>
      </c>
      <c r="Y6917">
        <v>21</v>
      </c>
      <c r="Z6917" t="s">
        <v>59</v>
      </c>
      <c r="AA6917" t="s">
        <v>59</v>
      </c>
      <c r="AB6917" t="s">
        <v>59</v>
      </c>
      <c r="AC6917" t="s">
        <v>59</v>
      </c>
      <c r="AD6917" t="s">
        <v>59</v>
      </c>
      <c r="AF6917" s="1">
        <v>30923</v>
      </c>
      <c r="AG6917" t="s">
        <v>8645</v>
      </c>
      <c r="AH6917" t="s">
        <v>8646</v>
      </c>
      <c r="AI6917" t="str">
        <f>"9170512"</f>
        <v>9170512</v>
      </c>
      <c r="AJ6917" t="s">
        <v>8986</v>
      </c>
      <c r="AK6917">
        <v>2810253082</v>
      </c>
      <c r="AL6917" t="s">
        <v>8987</v>
      </c>
      <c r="AM6917" t="s">
        <v>78</v>
      </c>
      <c r="AN6917" t="s">
        <v>78</v>
      </c>
      <c r="AO6917" t="s">
        <v>78</v>
      </c>
      <c r="AP6917" t="s">
        <v>141</v>
      </c>
      <c r="AQ6917">
        <v>1</v>
      </c>
      <c r="AR6917" t="s">
        <v>80</v>
      </c>
      <c r="AS6917" t="s">
        <v>81</v>
      </c>
      <c r="AT6917" t="s">
        <v>58</v>
      </c>
      <c r="AU6917" t="s">
        <v>68</v>
      </c>
      <c r="AV6917" t="s">
        <v>69</v>
      </c>
      <c r="AW6917" s="1">
        <v>22507</v>
      </c>
      <c r="AX6917">
        <v>1</v>
      </c>
    </row>
    <row r="6918" spans="1:50">
      <c r="A6918">
        <v>599874</v>
      </c>
      <c r="B6918" t="str">
        <f>"078714506"</f>
        <v>078714506</v>
      </c>
      <c r="C6918" t="s">
        <v>50</v>
      </c>
      <c r="D6918" t="s">
        <v>11330</v>
      </c>
      <c r="E6918" t="s">
        <v>250</v>
      </c>
      <c r="F6918" t="s">
        <v>304</v>
      </c>
      <c r="G6918" t="s">
        <v>11331</v>
      </c>
      <c r="H6918" t="str">
        <f>"ΤΗΝΟΥ 9 ΘΕΡΙΣΣΟΣ"</f>
        <v>ΤΗΝΟΥ 9 ΘΕΡΙΣΣΟΣ</v>
      </c>
      <c r="I6918">
        <v>71304</v>
      </c>
      <c r="J6918">
        <v>2810318810</v>
      </c>
      <c r="K6918">
        <v>6982219200</v>
      </c>
      <c r="N6918" t="s">
        <v>615</v>
      </c>
      <c r="O6918" t="s">
        <v>616</v>
      </c>
      <c r="R6918" t="s">
        <v>57</v>
      </c>
      <c r="S6918">
        <v>8</v>
      </c>
      <c r="T6918">
        <v>195</v>
      </c>
      <c r="U6918" s="1">
        <v>37497</v>
      </c>
      <c r="V6918" t="s">
        <v>80</v>
      </c>
      <c r="W6918" t="s">
        <v>81</v>
      </c>
      <c r="X6918" t="s">
        <v>58</v>
      </c>
      <c r="Y6918">
        <v>22</v>
      </c>
      <c r="Z6918" t="s">
        <v>59</v>
      </c>
      <c r="AA6918" t="s">
        <v>59</v>
      </c>
      <c r="AB6918" t="s">
        <v>59</v>
      </c>
      <c r="AC6918" t="s">
        <v>59</v>
      </c>
      <c r="AD6918" t="s">
        <v>59</v>
      </c>
      <c r="AF6918" s="1">
        <v>37501</v>
      </c>
      <c r="AG6918" t="s">
        <v>8645</v>
      </c>
      <c r="AH6918" t="s">
        <v>8646</v>
      </c>
      <c r="AI6918" t="str">
        <f>"9170056"</f>
        <v>9170056</v>
      </c>
      <c r="AJ6918" t="s">
        <v>9137</v>
      </c>
      <c r="AK6918">
        <v>2810253392</v>
      </c>
      <c r="AL6918" t="s">
        <v>9138</v>
      </c>
      <c r="AM6918" t="s">
        <v>78</v>
      </c>
      <c r="AN6918" t="s">
        <v>78</v>
      </c>
      <c r="AO6918" t="s">
        <v>78</v>
      </c>
      <c r="AP6918" t="s">
        <v>141</v>
      </c>
      <c r="AQ6918">
        <v>1</v>
      </c>
      <c r="AR6918" t="s">
        <v>80</v>
      </c>
      <c r="AS6918" t="s">
        <v>81</v>
      </c>
      <c r="AT6918" t="s">
        <v>58</v>
      </c>
      <c r="AU6918" t="s">
        <v>68</v>
      </c>
      <c r="AV6918" t="s">
        <v>69</v>
      </c>
      <c r="AW6918" s="1">
        <v>26416</v>
      </c>
      <c r="AX6918">
        <v>1</v>
      </c>
    </row>
    <row r="6919" spans="1:50">
      <c r="A6919">
        <v>704105</v>
      </c>
      <c r="B6919" t="str">
        <f>"116715617"</f>
        <v>116715617</v>
      </c>
      <c r="C6919" t="s">
        <v>50</v>
      </c>
      <c r="D6919" t="s">
        <v>1473</v>
      </c>
      <c r="E6919" t="s">
        <v>620</v>
      </c>
      <c r="F6919" t="s">
        <v>450</v>
      </c>
      <c r="G6919" t="s">
        <v>316</v>
      </c>
      <c r="H6919" t="str">
        <f>" "</f>
        <v xml:space="preserve"> </v>
      </c>
      <c r="K6919">
        <v>6978984340</v>
      </c>
      <c r="N6919" t="s">
        <v>288</v>
      </c>
      <c r="O6919" t="s">
        <v>289</v>
      </c>
      <c r="R6919" t="s">
        <v>57</v>
      </c>
      <c r="S6919">
        <v>7</v>
      </c>
      <c r="T6919">
        <v>1350</v>
      </c>
      <c r="U6919" s="1">
        <v>42732</v>
      </c>
      <c r="V6919" t="s">
        <v>80</v>
      </c>
      <c r="W6919" t="s">
        <v>81</v>
      </c>
      <c r="X6919" t="s">
        <v>58</v>
      </c>
      <c r="Y6919">
        <v>24</v>
      </c>
      <c r="Z6919" t="s">
        <v>59</v>
      </c>
      <c r="AA6919" t="s">
        <v>59</v>
      </c>
      <c r="AB6919" t="s">
        <v>59</v>
      </c>
      <c r="AD6919" t="s">
        <v>59</v>
      </c>
      <c r="AF6919" s="1">
        <v>42734</v>
      </c>
      <c r="AG6919" t="s">
        <v>8645</v>
      </c>
      <c r="AH6919" t="s">
        <v>8646</v>
      </c>
      <c r="AI6919" t="str">
        <f>"9521092"</f>
        <v>9521092</v>
      </c>
      <c r="AJ6919" t="s">
        <v>9234</v>
      </c>
      <c r="AK6919">
        <v>2810313321</v>
      </c>
      <c r="AL6919" t="s">
        <v>9235</v>
      </c>
      <c r="AM6919" t="s">
        <v>78</v>
      </c>
      <c r="AN6919" t="s">
        <v>78</v>
      </c>
      <c r="AO6919" t="s">
        <v>78</v>
      </c>
      <c r="AP6919" t="s">
        <v>141</v>
      </c>
      <c r="AQ6919">
        <v>1</v>
      </c>
      <c r="AR6919" t="s">
        <v>80</v>
      </c>
      <c r="AS6919" t="s">
        <v>81</v>
      </c>
      <c r="AT6919" t="s">
        <v>58</v>
      </c>
      <c r="AU6919" t="s">
        <v>68</v>
      </c>
      <c r="AV6919" t="s">
        <v>69</v>
      </c>
      <c r="AX6919">
        <v>1</v>
      </c>
    </row>
    <row r="6920" spans="1:50">
      <c r="A6920">
        <v>227638</v>
      </c>
      <c r="B6920" t="str">
        <f>"066364688"</f>
        <v>066364688</v>
      </c>
      <c r="C6920" t="s">
        <v>50</v>
      </c>
      <c r="D6920" t="s">
        <v>11332</v>
      </c>
      <c r="E6920" t="s">
        <v>52</v>
      </c>
      <c r="F6920" t="s">
        <v>153</v>
      </c>
      <c r="G6920" t="s">
        <v>52</v>
      </c>
      <c r="H6920" t="str">
        <f>"ΚΟΝΔΥΛΑΚΗ 50 ΗΡΑΚΛΕΙΟ"</f>
        <v>ΚΟΝΔΥΛΑΚΗ 50 ΗΡΑΚΛΕΙΟ</v>
      </c>
      <c r="I6920">
        <v>71305</v>
      </c>
      <c r="J6920">
        <v>2810263428</v>
      </c>
      <c r="K6920">
        <v>6947265606</v>
      </c>
      <c r="N6920" t="s">
        <v>478</v>
      </c>
      <c r="O6920" t="s">
        <v>479</v>
      </c>
      <c r="R6920" t="s">
        <v>57</v>
      </c>
      <c r="S6920">
        <v>7</v>
      </c>
      <c r="T6920">
        <v>654</v>
      </c>
      <c r="U6920" s="1">
        <v>40043</v>
      </c>
      <c r="V6920" t="s">
        <v>80</v>
      </c>
      <c r="W6920" t="s">
        <v>81</v>
      </c>
      <c r="X6920" t="s">
        <v>58</v>
      </c>
      <c r="Y6920">
        <v>23</v>
      </c>
      <c r="Z6920" t="s">
        <v>59</v>
      </c>
      <c r="AA6920" t="s">
        <v>59</v>
      </c>
      <c r="AB6920" t="s">
        <v>59</v>
      </c>
      <c r="AC6920" t="s">
        <v>59</v>
      </c>
      <c r="AD6920" t="s">
        <v>59</v>
      </c>
      <c r="AF6920" s="1">
        <v>40043</v>
      </c>
      <c r="AG6920" t="s">
        <v>8645</v>
      </c>
      <c r="AH6920" t="s">
        <v>8646</v>
      </c>
      <c r="AI6920" t="str">
        <f>"9170257"</f>
        <v>9170257</v>
      </c>
      <c r="AJ6920" t="s">
        <v>8710</v>
      </c>
      <c r="AK6920">
        <v>2810245513</v>
      </c>
      <c r="AL6920" t="s">
        <v>8711</v>
      </c>
      <c r="AM6920" t="s">
        <v>78</v>
      </c>
      <c r="AN6920" t="s">
        <v>78</v>
      </c>
      <c r="AO6920" t="s">
        <v>78</v>
      </c>
      <c r="AP6920" t="s">
        <v>213</v>
      </c>
      <c r="AQ6920">
        <v>1</v>
      </c>
      <c r="AR6920" t="s">
        <v>80</v>
      </c>
      <c r="AS6920" t="s">
        <v>81</v>
      </c>
      <c r="AT6920" t="s">
        <v>58</v>
      </c>
      <c r="AU6920" t="s">
        <v>68</v>
      </c>
      <c r="AV6920" t="s">
        <v>69</v>
      </c>
      <c r="AW6920" s="1">
        <v>28613</v>
      </c>
      <c r="AX6920">
        <v>1</v>
      </c>
    </row>
    <row r="6921" spans="1:50">
      <c r="A6921">
        <v>609507</v>
      </c>
      <c r="B6921" t="str">
        <f>"053772333"</f>
        <v>053772333</v>
      </c>
      <c r="C6921" t="s">
        <v>50</v>
      </c>
      <c r="D6921" t="s">
        <v>11333</v>
      </c>
      <c r="E6921" t="s">
        <v>650</v>
      </c>
      <c r="F6921" t="s">
        <v>95</v>
      </c>
      <c r="G6921" t="s">
        <v>237</v>
      </c>
      <c r="H6921" t="str">
        <f>"Γ.ΡΙΤΣΟΥ 16 ΚΟΜΟΤΗΝΗ"</f>
        <v>Γ.ΡΙΤΣΟΥ 16 ΚΟΜΟΤΗΝΗ</v>
      </c>
      <c r="I6921">
        <v>69100</v>
      </c>
      <c r="J6921">
        <v>2531023079</v>
      </c>
      <c r="K6921">
        <v>6945331512</v>
      </c>
      <c r="L6921">
        <v>2895051213</v>
      </c>
      <c r="M6921" t="s">
        <v>11334</v>
      </c>
      <c r="N6921" t="s">
        <v>176</v>
      </c>
      <c r="O6921" t="s">
        <v>177</v>
      </c>
      <c r="R6921" t="s">
        <v>57</v>
      </c>
      <c r="S6921">
        <v>10</v>
      </c>
      <c r="T6921">
        <v>218</v>
      </c>
      <c r="U6921" s="1">
        <v>38596</v>
      </c>
      <c r="V6921" t="s">
        <v>80</v>
      </c>
      <c r="W6921" t="s">
        <v>81</v>
      </c>
      <c r="X6921" t="s">
        <v>58</v>
      </c>
      <c r="Y6921">
        <v>22</v>
      </c>
      <c r="Z6921" t="s">
        <v>59</v>
      </c>
      <c r="AA6921" t="s">
        <v>59</v>
      </c>
      <c r="AB6921" t="s">
        <v>59</v>
      </c>
      <c r="AC6921" t="s">
        <v>59</v>
      </c>
      <c r="AD6921" t="s">
        <v>59</v>
      </c>
      <c r="AF6921" s="1">
        <v>38600</v>
      </c>
      <c r="AG6921" t="s">
        <v>8645</v>
      </c>
      <c r="AH6921" t="s">
        <v>8646</v>
      </c>
      <c r="AI6921" t="str">
        <f>"9170560"</f>
        <v>9170560</v>
      </c>
      <c r="AJ6921" t="s">
        <v>9022</v>
      </c>
      <c r="AK6921">
        <v>2810821816</v>
      </c>
      <c r="AL6921" t="s">
        <v>9023</v>
      </c>
      <c r="AM6921" t="s">
        <v>78</v>
      </c>
      <c r="AN6921" t="s">
        <v>129</v>
      </c>
      <c r="AO6921" t="s">
        <v>130</v>
      </c>
      <c r="AP6921" t="s">
        <v>130</v>
      </c>
      <c r="AQ6921">
        <v>1</v>
      </c>
      <c r="AR6921" t="s">
        <v>80</v>
      </c>
      <c r="AS6921" t="s">
        <v>81</v>
      </c>
      <c r="AT6921" t="s">
        <v>58</v>
      </c>
      <c r="AU6921" t="s">
        <v>68</v>
      </c>
      <c r="AV6921" t="s">
        <v>69</v>
      </c>
      <c r="AW6921" s="1">
        <v>25390</v>
      </c>
      <c r="AX6921">
        <v>1</v>
      </c>
    </row>
    <row r="6922" spans="1:50">
      <c r="A6922">
        <v>570845</v>
      </c>
      <c r="B6922" t="str">
        <f>"033264476"</f>
        <v>033264476</v>
      </c>
      <c r="C6922" t="s">
        <v>50</v>
      </c>
      <c r="D6922" t="s">
        <v>11335</v>
      </c>
      <c r="E6922" t="s">
        <v>367</v>
      </c>
      <c r="F6922" t="s">
        <v>99</v>
      </c>
      <c r="G6922" t="s">
        <v>7030</v>
      </c>
      <c r="H6922" t="str">
        <f>"ΚΑΛΑΜΑΤΑΣ 5 ΗΡΑΚΛΕΙΟ"</f>
        <v>ΚΑΛΑΜΑΤΑΣ 5 ΗΡΑΚΛΕΙΟ</v>
      </c>
      <c r="I6922">
        <v>71409</v>
      </c>
      <c r="J6922">
        <v>2810231915</v>
      </c>
      <c r="K6922">
        <v>6907529147</v>
      </c>
      <c r="N6922" t="s">
        <v>615</v>
      </c>
      <c r="O6922" t="s">
        <v>616</v>
      </c>
      <c r="R6922" t="s">
        <v>57</v>
      </c>
      <c r="S6922">
        <v>13</v>
      </c>
      <c r="T6922">
        <v>138</v>
      </c>
      <c r="U6922" s="1">
        <v>34206</v>
      </c>
      <c r="V6922" t="s">
        <v>80</v>
      </c>
      <c r="W6922" t="s">
        <v>81</v>
      </c>
      <c r="X6922" t="s">
        <v>58</v>
      </c>
      <c r="Y6922">
        <v>21</v>
      </c>
      <c r="Z6922" t="s">
        <v>59</v>
      </c>
      <c r="AA6922" t="s">
        <v>59</v>
      </c>
      <c r="AB6922" t="s">
        <v>59</v>
      </c>
      <c r="AC6922" t="s">
        <v>59</v>
      </c>
      <c r="AD6922" t="s">
        <v>59</v>
      </c>
      <c r="AF6922" s="1">
        <v>34213</v>
      </c>
      <c r="AG6922" t="s">
        <v>8645</v>
      </c>
      <c r="AH6922" t="s">
        <v>8646</v>
      </c>
      <c r="AI6922" t="str">
        <f>"9170517"</f>
        <v>9170517</v>
      </c>
      <c r="AJ6922" t="s">
        <v>9248</v>
      </c>
      <c r="AK6922">
        <v>2810238757</v>
      </c>
      <c r="AL6922" t="s">
        <v>9249</v>
      </c>
      <c r="AM6922" t="s">
        <v>78</v>
      </c>
      <c r="AN6922" t="s">
        <v>78</v>
      </c>
      <c r="AO6922" t="s">
        <v>78</v>
      </c>
      <c r="AP6922" t="s">
        <v>163</v>
      </c>
      <c r="AQ6922">
        <v>1</v>
      </c>
      <c r="AR6922" t="s">
        <v>80</v>
      </c>
      <c r="AS6922" t="s">
        <v>81</v>
      </c>
      <c r="AT6922" t="s">
        <v>58</v>
      </c>
      <c r="AU6922" t="s">
        <v>68</v>
      </c>
      <c r="AV6922" t="s">
        <v>69</v>
      </c>
      <c r="AW6922" s="1">
        <v>23607</v>
      </c>
      <c r="AX6922">
        <v>1</v>
      </c>
    </row>
    <row r="6923" spans="1:50">
      <c r="A6923">
        <v>553902</v>
      </c>
      <c r="B6923" t="str">
        <f>"064063130"</f>
        <v>064063130</v>
      </c>
      <c r="C6923" t="s">
        <v>50</v>
      </c>
      <c r="D6923" t="s">
        <v>11335</v>
      </c>
      <c r="E6923" t="s">
        <v>372</v>
      </c>
      <c r="F6923" t="s">
        <v>99</v>
      </c>
      <c r="G6923" t="s">
        <v>11336</v>
      </c>
      <c r="H6923" t="str">
        <f>"ΕΡΥΘΡΑΙΑΣ 174 ΜΕΣΑΜΠΕΛΙΕΣ"</f>
        <v>ΕΡΥΘΡΑΙΑΣ 174 ΜΕΣΑΜΠΕΛΙΕΣ</v>
      </c>
      <c r="I6923">
        <v>71409</v>
      </c>
      <c r="J6923">
        <v>2810213421</v>
      </c>
      <c r="K6923">
        <v>6948603052</v>
      </c>
      <c r="M6923" t="s">
        <v>11337</v>
      </c>
      <c r="N6923" t="s">
        <v>615</v>
      </c>
      <c r="O6923" t="s">
        <v>616</v>
      </c>
      <c r="R6923" t="s">
        <v>57</v>
      </c>
      <c r="S6923">
        <v>17</v>
      </c>
      <c r="T6923">
        <v>235</v>
      </c>
      <c r="U6923" s="1">
        <v>29463</v>
      </c>
      <c r="V6923" t="s">
        <v>80</v>
      </c>
      <c r="W6923" t="s">
        <v>81</v>
      </c>
      <c r="X6923" t="s">
        <v>58</v>
      </c>
      <c r="Y6923">
        <v>21</v>
      </c>
      <c r="Z6923" t="s">
        <v>59</v>
      </c>
      <c r="AA6923" t="s">
        <v>59</v>
      </c>
      <c r="AB6923" t="s">
        <v>59</v>
      </c>
      <c r="AC6923" t="s">
        <v>59</v>
      </c>
      <c r="AD6923" t="s">
        <v>59</v>
      </c>
      <c r="AF6923" s="1">
        <v>31296</v>
      </c>
      <c r="AG6923" t="s">
        <v>8645</v>
      </c>
      <c r="AH6923" t="s">
        <v>8646</v>
      </c>
      <c r="AI6923" t="str">
        <f>"9170423"</f>
        <v>9170423</v>
      </c>
      <c r="AJ6923" t="s">
        <v>8808</v>
      </c>
      <c r="AK6923">
        <v>2810239612</v>
      </c>
      <c r="AL6923" t="s">
        <v>8809</v>
      </c>
      <c r="AM6923" t="s">
        <v>78</v>
      </c>
      <c r="AN6923" t="s">
        <v>78</v>
      </c>
      <c r="AO6923" t="s">
        <v>78</v>
      </c>
      <c r="AP6923" t="s">
        <v>163</v>
      </c>
      <c r="AQ6923">
        <v>1</v>
      </c>
      <c r="AR6923" t="s">
        <v>80</v>
      </c>
      <c r="AS6923" t="s">
        <v>81</v>
      </c>
      <c r="AT6923" t="s">
        <v>58</v>
      </c>
      <c r="AU6923" t="s">
        <v>68</v>
      </c>
      <c r="AV6923" t="s">
        <v>69</v>
      </c>
      <c r="AW6923" s="1">
        <v>22826</v>
      </c>
      <c r="AX6923">
        <v>1</v>
      </c>
    </row>
    <row r="6924" spans="1:50">
      <c r="A6924">
        <v>581690</v>
      </c>
      <c r="B6924" t="str">
        <f>"038174392"</f>
        <v>038174392</v>
      </c>
      <c r="C6924" t="s">
        <v>105</v>
      </c>
      <c r="D6924" t="s">
        <v>11338</v>
      </c>
      <c r="E6924" t="s">
        <v>84</v>
      </c>
      <c r="F6924" t="s">
        <v>166</v>
      </c>
      <c r="G6924" t="s">
        <v>83</v>
      </c>
      <c r="H6924" t="str">
        <f>"ΗΛΙΟΥ 11 ΗΡΑΚΛΕΙΟ"</f>
        <v>ΗΛΙΟΥ 11 ΗΡΑΚΛΕΙΟ</v>
      </c>
      <c r="I6924">
        <v>71414</v>
      </c>
      <c r="J6924">
        <v>2810822387</v>
      </c>
      <c r="K6924">
        <v>6972032259</v>
      </c>
      <c r="N6924" t="s">
        <v>615</v>
      </c>
      <c r="O6924" t="s">
        <v>616</v>
      </c>
      <c r="R6924" t="s">
        <v>57</v>
      </c>
      <c r="S6924">
        <v>13</v>
      </c>
      <c r="T6924">
        <v>179</v>
      </c>
      <c r="U6924" s="1">
        <v>35674</v>
      </c>
      <c r="V6924" t="s">
        <v>80</v>
      </c>
      <c r="W6924" t="s">
        <v>81</v>
      </c>
      <c r="X6924" t="s">
        <v>58</v>
      </c>
      <c r="Y6924">
        <v>21</v>
      </c>
      <c r="Z6924" t="s">
        <v>59</v>
      </c>
      <c r="AA6924" t="s">
        <v>59</v>
      </c>
      <c r="AB6924" t="s">
        <v>59</v>
      </c>
      <c r="AC6924" t="s">
        <v>59</v>
      </c>
      <c r="AD6924" t="s">
        <v>59</v>
      </c>
      <c r="AF6924" s="1">
        <v>35675</v>
      </c>
      <c r="AG6924" t="s">
        <v>8645</v>
      </c>
      <c r="AH6924" t="s">
        <v>8646</v>
      </c>
      <c r="AI6924" t="str">
        <f>"9170560"</f>
        <v>9170560</v>
      </c>
      <c r="AJ6924" t="s">
        <v>9022</v>
      </c>
      <c r="AK6924">
        <v>2810821816</v>
      </c>
      <c r="AL6924" t="s">
        <v>9023</v>
      </c>
      <c r="AM6924" t="s">
        <v>78</v>
      </c>
      <c r="AN6924" t="s">
        <v>129</v>
      </c>
      <c r="AO6924" t="s">
        <v>130</v>
      </c>
      <c r="AP6924" t="s">
        <v>130</v>
      </c>
      <c r="AQ6924">
        <v>1</v>
      </c>
      <c r="AR6924" t="s">
        <v>80</v>
      </c>
      <c r="AS6924" t="s">
        <v>81</v>
      </c>
      <c r="AT6924" t="s">
        <v>58</v>
      </c>
      <c r="AU6924" t="s">
        <v>68</v>
      </c>
      <c r="AV6924" t="s">
        <v>2039</v>
      </c>
      <c r="AW6924" s="1">
        <v>24302</v>
      </c>
      <c r="AX6924">
        <v>1</v>
      </c>
    </row>
    <row r="6925" spans="1:50">
      <c r="A6925">
        <v>609515</v>
      </c>
      <c r="B6925" t="str">
        <f>"053369530"</f>
        <v>053369530</v>
      </c>
      <c r="C6925" t="s">
        <v>105</v>
      </c>
      <c r="D6925" t="s">
        <v>11339</v>
      </c>
      <c r="E6925" t="s">
        <v>95</v>
      </c>
      <c r="F6925" t="s">
        <v>99</v>
      </c>
      <c r="G6925" t="s">
        <v>215</v>
      </c>
      <c r="H6925" t="str">
        <f>"ΕΛ.ΒΕΝΙΖΕΛΟΥ 92 ΚΙΛΚΙΣ"</f>
        <v>ΕΛ.ΒΕΝΙΖΕΛΟΥ 92 ΚΙΛΚΙΣ</v>
      </c>
      <c r="I6925">
        <v>61100</v>
      </c>
      <c r="J6925">
        <v>2341028475</v>
      </c>
      <c r="K6925">
        <v>6944301394</v>
      </c>
      <c r="M6925" t="s">
        <v>11340</v>
      </c>
      <c r="N6925" t="s">
        <v>176</v>
      </c>
      <c r="O6925" t="s">
        <v>177</v>
      </c>
      <c r="R6925" t="s">
        <v>57</v>
      </c>
      <c r="S6925">
        <v>8</v>
      </c>
      <c r="T6925">
        <v>218</v>
      </c>
      <c r="U6925" s="1">
        <v>38596</v>
      </c>
      <c r="V6925" t="s">
        <v>80</v>
      </c>
      <c r="W6925" t="s">
        <v>81</v>
      </c>
      <c r="X6925" t="s">
        <v>58</v>
      </c>
      <c r="Y6925">
        <v>22</v>
      </c>
      <c r="Z6925" t="s">
        <v>59</v>
      </c>
      <c r="AA6925" t="s">
        <v>59</v>
      </c>
      <c r="AB6925" t="s">
        <v>59</v>
      </c>
      <c r="AC6925" t="s">
        <v>59</v>
      </c>
      <c r="AD6925" t="s">
        <v>59</v>
      </c>
      <c r="AF6925" s="1">
        <v>38602</v>
      </c>
      <c r="AG6925" t="s">
        <v>8645</v>
      </c>
      <c r="AH6925" t="s">
        <v>8646</v>
      </c>
      <c r="AI6925" t="str">
        <f>"9170043"</f>
        <v>9170043</v>
      </c>
      <c r="AJ6925" t="s">
        <v>8883</v>
      </c>
      <c r="AK6925">
        <v>2894022075</v>
      </c>
      <c r="AL6925" t="s">
        <v>8884</v>
      </c>
      <c r="AM6925" t="s">
        <v>78</v>
      </c>
      <c r="AN6925" t="s">
        <v>405</v>
      </c>
      <c r="AO6925" t="s">
        <v>406</v>
      </c>
      <c r="AP6925" t="s">
        <v>8885</v>
      </c>
      <c r="AQ6925">
        <v>6</v>
      </c>
      <c r="AR6925" t="s">
        <v>80</v>
      </c>
      <c r="AS6925" t="s">
        <v>81</v>
      </c>
      <c r="AT6925" t="s">
        <v>58</v>
      </c>
      <c r="AU6925" t="s">
        <v>68</v>
      </c>
      <c r="AV6925" t="s">
        <v>69</v>
      </c>
      <c r="AW6925" s="1">
        <v>24181</v>
      </c>
      <c r="AX6925">
        <v>1</v>
      </c>
    </row>
    <row r="6926" spans="1:50">
      <c r="A6926">
        <v>591262</v>
      </c>
      <c r="B6926" t="str">
        <f>"032856496"</f>
        <v>032856496</v>
      </c>
      <c r="C6926" t="s">
        <v>50</v>
      </c>
      <c r="D6926" t="s">
        <v>5412</v>
      </c>
      <c r="E6926" t="s">
        <v>484</v>
      </c>
      <c r="F6926" t="s">
        <v>95</v>
      </c>
      <c r="G6926" t="s">
        <v>1644</v>
      </c>
      <c r="H6926" t="str">
        <f>" "</f>
        <v xml:space="preserve"> </v>
      </c>
      <c r="N6926" t="s">
        <v>615</v>
      </c>
      <c r="O6926" t="s">
        <v>616</v>
      </c>
      <c r="R6926" t="s">
        <v>57</v>
      </c>
      <c r="S6926">
        <v>10</v>
      </c>
      <c r="T6926">
        <v>249</v>
      </c>
      <c r="U6926" s="1">
        <v>36769</v>
      </c>
      <c r="V6926" t="s">
        <v>80</v>
      </c>
      <c r="W6926" t="s">
        <v>81</v>
      </c>
      <c r="X6926" t="s">
        <v>58</v>
      </c>
      <c r="Y6926">
        <v>22</v>
      </c>
      <c r="Z6926" t="s">
        <v>59</v>
      </c>
      <c r="AA6926" t="s">
        <v>59</v>
      </c>
      <c r="AB6926" t="s">
        <v>59</v>
      </c>
      <c r="AC6926" t="s">
        <v>59</v>
      </c>
      <c r="AD6926" t="s">
        <v>59</v>
      </c>
      <c r="AF6926" s="1">
        <v>37500</v>
      </c>
      <c r="AG6926" t="s">
        <v>8645</v>
      </c>
      <c r="AH6926" t="s">
        <v>8646</v>
      </c>
      <c r="AI6926" t="str">
        <f>"9170535"</f>
        <v>9170535</v>
      </c>
      <c r="AJ6926" t="s">
        <v>9330</v>
      </c>
      <c r="AK6926">
        <v>2810222629</v>
      </c>
      <c r="AL6926" t="s">
        <v>9331</v>
      </c>
      <c r="AM6926" t="s">
        <v>78</v>
      </c>
      <c r="AN6926" t="s">
        <v>78</v>
      </c>
      <c r="AO6926" t="s">
        <v>78</v>
      </c>
      <c r="AP6926" t="s">
        <v>213</v>
      </c>
      <c r="AQ6926">
        <v>1</v>
      </c>
      <c r="AR6926" t="s">
        <v>80</v>
      </c>
      <c r="AS6926" t="s">
        <v>81</v>
      </c>
      <c r="AT6926" t="s">
        <v>58</v>
      </c>
      <c r="AU6926" t="s">
        <v>68</v>
      </c>
      <c r="AV6926" t="s">
        <v>69</v>
      </c>
      <c r="AW6926" s="1">
        <v>24290</v>
      </c>
      <c r="AX6926">
        <v>1</v>
      </c>
    </row>
    <row r="6927" spans="1:50">
      <c r="A6927">
        <v>567280</v>
      </c>
      <c r="B6927" t="str">
        <f>"035036217"</f>
        <v>035036217</v>
      </c>
      <c r="C6927" t="s">
        <v>50</v>
      </c>
      <c r="D6927" t="s">
        <v>11341</v>
      </c>
      <c r="E6927" t="s">
        <v>237</v>
      </c>
      <c r="F6927" t="s">
        <v>166</v>
      </c>
      <c r="G6927" t="s">
        <v>83</v>
      </c>
      <c r="H6927" t="str">
        <f>"Γ. ΣΕΝΕΤΑΚΗ 4 ΗΡΑΚΛΕΙΟ"</f>
        <v>Γ. ΣΕΝΕΤΑΚΗ 4 ΗΡΑΚΛΕΙΟ</v>
      </c>
      <c r="I6927">
        <v>71414</v>
      </c>
      <c r="J6927">
        <v>2810252561</v>
      </c>
      <c r="K6927">
        <v>6979710020</v>
      </c>
      <c r="N6927" t="s">
        <v>615</v>
      </c>
      <c r="O6927" t="s">
        <v>616</v>
      </c>
      <c r="R6927" t="s">
        <v>57</v>
      </c>
      <c r="S6927">
        <v>14</v>
      </c>
      <c r="T6927">
        <v>133</v>
      </c>
      <c r="U6927" s="1">
        <v>33456</v>
      </c>
      <c r="V6927" t="s">
        <v>80</v>
      </c>
      <c r="W6927" t="s">
        <v>81</v>
      </c>
      <c r="X6927" t="s">
        <v>58</v>
      </c>
      <c r="Y6927">
        <v>21</v>
      </c>
      <c r="Z6927" t="s">
        <v>59</v>
      </c>
      <c r="AA6927" t="s">
        <v>59</v>
      </c>
      <c r="AB6927" t="s">
        <v>59</v>
      </c>
      <c r="AC6927" t="s">
        <v>59</v>
      </c>
      <c r="AD6927" t="s">
        <v>59</v>
      </c>
      <c r="AF6927" s="1">
        <v>33483</v>
      </c>
      <c r="AG6927" t="s">
        <v>8645</v>
      </c>
      <c r="AH6927" t="s">
        <v>8646</v>
      </c>
      <c r="AI6927" t="str">
        <f>"9170362"</f>
        <v>9170362</v>
      </c>
      <c r="AJ6927" t="s">
        <v>8681</v>
      </c>
      <c r="AK6927">
        <v>2810255261</v>
      </c>
      <c r="AL6927" t="s">
        <v>8682</v>
      </c>
      <c r="AM6927" t="s">
        <v>78</v>
      </c>
      <c r="AN6927" t="s">
        <v>78</v>
      </c>
      <c r="AO6927" t="s">
        <v>78</v>
      </c>
      <c r="AP6927" t="s">
        <v>141</v>
      </c>
      <c r="AQ6927">
        <v>1</v>
      </c>
      <c r="AR6927" t="s">
        <v>80</v>
      </c>
      <c r="AS6927" t="s">
        <v>81</v>
      </c>
      <c r="AT6927" t="s">
        <v>58</v>
      </c>
      <c r="AU6927" t="s">
        <v>68</v>
      </c>
      <c r="AV6927" t="s">
        <v>69</v>
      </c>
      <c r="AW6927" s="1">
        <v>23208</v>
      </c>
      <c r="AX6927">
        <v>1</v>
      </c>
    </row>
    <row r="6928" spans="1:50">
      <c r="A6928">
        <v>582891</v>
      </c>
      <c r="B6928" t="str">
        <f>"038472322"</f>
        <v>038472322</v>
      </c>
      <c r="C6928" t="s">
        <v>50</v>
      </c>
      <c r="D6928" t="s">
        <v>3656</v>
      </c>
      <c r="E6928" t="s">
        <v>71</v>
      </c>
      <c r="F6928" t="s">
        <v>2635</v>
      </c>
      <c r="G6928" t="s">
        <v>52</v>
      </c>
      <c r="H6928" t="str">
        <f>"ΑΝΘΕΩΝ 20 ΗΡΑΚΛΕΙΟ"</f>
        <v>ΑΝΘΕΩΝ 20 ΗΡΑΚΛΕΙΟ</v>
      </c>
      <c r="I6928">
        <v>71409</v>
      </c>
      <c r="J6928">
        <v>2810343800</v>
      </c>
      <c r="K6928">
        <v>6938388550</v>
      </c>
      <c r="N6928" t="s">
        <v>1525</v>
      </c>
      <c r="O6928" t="s">
        <v>1526</v>
      </c>
      <c r="R6928" t="s">
        <v>57</v>
      </c>
      <c r="S6928">
        <v>11</v>
      </c>
      <c r="T6928">
        <v>179</v>
      </c>
      <c r="U6928" s="1">
        <v>35674</v>
      </c>
      <c r="V6928" t="s">
        <v>80</v>
      </c>
      <c r="W6928" t="s">
        <v>81</v>
      </c>
      <c r="X6928" t="s">
        <v>58</v>
      </c>
      <c r="Y6928">
        <v>25</v>
      </c>
      <c r="Z6928" t="s">
        <v>59</v>
      </c>
      <c r="AA6928" t="s">
        <v>59</v>
      </c>
      <c r="AB6928" t="s">
        <v>59</v>
      </c>
      <c r="AC6928" t="s">
        <v>59</v>
      </c>
      <c r="AD6928" t="s">
        <v>59</v>
      </c>
      <c r="AF6928" s="1">
        <v>35677</v>
      </c>
      <c r="AG6928" t="s">
        <v>8651</v>
      </c>
      <c r="AH6928" t="s">
        <v>8652</v>
      </c>
      <c r="AI6928" t="str">
        <f>"9170563"</f>
        <v>9170563</v>
      </c>
      <c r="AJ6928" t="s">
        <v>10119</v>
      </c>
      <c r="AK6928">
        <v>2810211027</v>
      </c>
      <c r="AL6928" t="s">
        <v>10120</v>
      </c>
      <c r="AM6928" t="s">
        <v>78</v>
      </c>
      <c r="AN6928" t="s">
        <v>78</v>
      </c>
      <c r="AO6928" t="s">
        <v>78</v>
      </c>
      <c r="AP6928" t="s">
        <v>79</v>
      </c>
      <c r="AQ6928">
        <v>1</v>
      </c>
      <c r="AR6928" t="s">
        <v>80</v>
      </c>
      <c r="AS6928" t="s">
        <v>81</v>
      </c>
      <c r="AT6928" t="s">
        <v>58</v>
      </c>
      <c r="AU6928" t="s">
        <v>68</v>
      </c>
      <c r="AV6928" t="s">
        <v>69</v>
      </c>
      <c r="AW6928" s="1">
        <v>24244</v>
      </c>
      <c r="AX6928">
        <v>1</v>
      </c>
    </row>
    <row r="6929" spans="1:50">
      <c r="A6929">
        <v>608712</v>
      </c>
      <c r="B6929" t="str">
        <f>"128326824"</f>
        <v>128326824</v>
      </c>
      <c r="C6929" t="s">
        <v>50</v>
      </c>
      <c r="D6929" t="s">
        <v>3656</v>
      </c>
      <c r="E6929" t="s">
        <v>112</v>
      </c>
      <c r="F6929" t="s">
        <v>166</v>
      </c>
      <c r="G6929" t="s">
        <v>83</v>
      </c>
      <c r="H6929" t="str">
        <f>"Αριάδνης 3 "</f>
        <v xml:space="preserve">Αριάδνης 3 </v>
      </c>
      <c r="I6929">
        <v>70200</v>
      </c>
      <c r="J6929">
        <v>2892024989</v>
      </c>
      <c r="K6929">
        <v>6944225769</v>
      </c>
      <c r="M6929" t="s">
        <v>11342</v>
      </c>
      <c r="N6929" t="s">
        <v>1525</v>
      </c>
      <c r="O6929" t="s">
        <v>1526</v>
      </c>
      <c r="R6929" t="s">
        <v>57</v>
      </c>
      <c r="S6929">
        <v>6</v>
      </c>
      <c r="T6929">
        <v>217</v>
      </c>
      <c r="U6929" s="1">
        <v>38596</v>
      </c>
      <c r="V6929" t="s">
        <v>80</v>
      </c>
      <c r="W6929" t="s">
        <v>81</v>
      </c>
      <c r="X6929" t="s">
        <v>58</v>
      </c>
      <c r="Y6929">
        <v>25</v>
      </c>
      <c r="Z6929" t="s">
        <v>59</v>
      </c>
      <c r="AA6929" t="s">
        <v>59</v>
      </c>
      <c r="AB6929" t="s">
        <v>59</v>
      </c>
      <c r="AC6929" t="s">
        <v>59</v>
      </c>
      <c r="AD6929" t="s">
        <v>59</v>
      </c>
      <c r="AF6929" s="1">
        <v>38600</v>
      </c>
      <c r="AG6929" t="s">
        <v>8651</v>
      </c>
      <c r="AH6929" t="s">
        <v>8652</v>
      </c>
      <c r="AI6929" t="str">
        <f>"9170421"</f>
        <v>9170421</v>
      </c>
      <c r="AJ6929" t="s">
        <v>11343</v>
      </c>
      <c r="AK6929">
        <v>2892031220</v>
      </c>
      <c r="AL6929" t="s">
        <v>11344</v>
      </c>
      <c r="AM6929" t="s">
        <v>78</v>
      </c>
      <c r="AN6929" t="s">
        <v>405</v>
      </c>
      <c r="AO6929" t="s">
        <v>405</v>
      </c>
      <c r="AP6929" t="s">
        <v>10736</v>
      </c>
      <c r="AQ6929">
        <v>17</v>
      </c>
      <c r="AR6929" t="s">
        <v>80</v>
      </c>
      <c r="AS6929" t="s">
        <v>81</v>
      </c>
      <c r="AT6929" t="s">
        <v>58</v>
      </c>
      <c r="AU6929" t="s">
        <v>68</v>
      </c>
      <c r="AV6929" t="s">
        <v>69</v>
      </c>
      <c r="AW6929" s="1">
        <v>30397</v>
      </c>
      <c r="AX6929">
        <v>1</v>
      </c>
    </row>
    <row r="6930" spans="1:50">
      <c r="A6930">
        <v>594305</v>
      </c>
      <c r="B6930" t="str">
        <f>"114258850"</f>
        <v>114258850</v>
      </c>
      <c r="C6930" t="s">
        <v>50</v>
      </c>
      <c r="D6930" t="s">
        <v>3656</v>
      </c>
      <c r="E6930" t="s">
        <v>112</v>
      </c>
      <c r="F6930" t="s">
        <v>166</v>
      </c>
      <c r="G6930" t="s">
        <v>255</v>
      </c>
      <c r="H6930" t="str">
        <f>"ΠΑΠΑΝΑΣΤΑΣΙΟΥ 238 ΗΡΑΚΛΕΙΟ"</f>
        <v>ΠΑΠΑΝΑΣΤΑΣΙΟΥ 238 ΗΡΑΚΛΕΙΟ</v>
      </c>
      <c r="I6930">
        <v>71409</v>
      </c>
      <c r="J6930">
        <v>2810237655</v>
      </c>
      <c r="K6930">
        <v>6947680519</v>
      </c>
      <c r="N6930" t="s">
        <v>615</v>
      </c>
      <c r="O6930" t="s">
        <v>616</v>
      </c>
      <c r="R6930" t="s">
        <v>57</v>
      </c>
      <c r="S6930">
        <v>8</v>
      </c>
      <c r="T6930">
        <v>218</v>
      </c>
      <c r="U6930" s="1">
        <v>37134</v>
      </c>
      <c r="V6930" t="s">
        <v>80</v>
      </c>
      <c r="W6930" t="s">
        <v>81</v>
      </c>
      <c r="X6930" t="s">
        <v>58</v>
      </c>
      <c r="Y6930">
        <v>22</v>
      </c>
      <c r="Z6930" t="s">
        <v>59</v>
      </c>
      <c r="AA6930" t="s">
        <v>59</v>
      </c>
      <c r="AB6930" t="s">
        <v>59</v>
      </c>
      <c r="AC6930" t="s">
        <v>59</v>
      </c>
      <c r="AD6930" t="s">
        <v>59</v>
      </c>
      <c r="AF6930" s="1">
        <v>37138</v>
      </c>
      <c r="AG6930" t="s">
        <v>8645</v>
      </c>
      <c r="AH6930" t="s">
        <v>8646</v>
      </c>
      <c r="AI6930" t="str">
        <f>"9170533"</f>
        <v>9170533</v>
      </c>
      <c r="AJ6930" t="s">
        <v>9091</v>
      </c>
      <c r="AK6930">
        <v>2810239434</v>
      </c>
      <c r="AL6930" t="s">
        <v>9092</v>
      </c>
      <c r="AM6930" t="s">
        <v>78</v>
      </c>
      <c r="AN6930" t="s">
        <v>78</v>
      </c>
      <c r="AO6930" t="s">
        <v>78</v>
      </c>
      <c r="AP6930" t="s">
        <v>163</v>
      </c>
      <c r="AQ6930">
        <v>1</v>
      </c>
      <c r="AR6930" t="s">
        <v>80</v>
      </c>
      <c r="AS6930" t="s">
        <v>81</v>
      </c>
      <c r="AT6930" t="s">
        <v>58</v>
      </c>
      <c r="AU6930" t="s">
        <v>68</v>
      </c>
      <c r="AV6930" t="s">
        <v>69</v>
      </c>
      <c r="AW6930" s="1">
        <v>26850</v>
      </c>
      <c r="AX6930">
        <v>1</v>
      </c>
    </row>
    <row r="6931" spans="1:50">
      <c r="B6931" t="str">
        <f>"141870930"</f>
        <v>141870930</v>
      </c>
      <c r="C6931" t="s">
        <v>50</v>
      </c>
      <c r="D6931" t="s">
        <v>3656</v>
      </c>
      <c r="E6931" t="s">
        <v>112</v>
      </c>
      <c r="F6931" t="s">
        <v>72</v>
      </c>
      <c r="G6931" t="s">
        <v>52</v>
      </c>
      <c r="H6931" t="str">
        <f>"ΚΑΣΤΑΜΟΝΙΤΣΑ  ΠΕΔΙΑΔΟΣ ΗΡΑΚΛΕΙΟΥ"</f>
        <v>ΚΑΣΤΑΜΟΝΙΤΣΑ  ΠΕΔΙΑΔΟΣ ΗΡΑΚΛΕΙΟΥ</v>
      </c>
      <c r="I6931">
        <v>70006</v>
      </c>
      <c r="J6931">
        <v>2891051228</v>
      </c>
      <c r="K6931">
        <v>6936636227</v>
      </c>
      <c r="N6931" t="s">
        <v>9829</v>
      </c>
      <c r="O6931" t="s">
        <v>9830</v>
      </c>
      <c r="R6931" t="s">
        <v>159</v>
      </c>
      <c r="S6931">
        <v>5</v>
      </c>
      <c r="T6931" t="s">
        <v>8696</v>
      </c>
      <c r="U6931" s="1">
        <v>43348</v>
      </c>
      <c r="V6931" t="s">
        <v>80</v>
      </c>
      <c r="W6931" t="s">
        <v>81</v>
      </c>
      <c r="X6931" t="s">
        <v>58</v>
      </c>
      <c r="Y6931">
        <v>25</v>
      </c>
      <c r="Z6931" t="s">
        <v>59</v>
      </c>
      <c r="AA6931" t="s">
        <v>59</v>
      </c>
      <c r="AB6931" t="s">
        <v>59</v>
      </c>
      <c r="AC6931" t="s">
        <v>59</v>
      </c>
      <c r="AD6931" t="s">
        <v>59</v>
      </c>
      <c r="AF6931" s="1">
        <v>43348</v>
      </c>
      <c r="AG6931" t="s">
        <v>8651</v>
      </c>
      <c r="AH6931" t="s">
        <v>8652</v>
      </c>
      <c r="AI6931" t="str">
        <f>"9170526"</f>
        <v>9170526</v>
      </c>
      <c r="AJ6931" t="s">
        <v>9112</v>
      </c>
      <c r="AK6931">
        <v>2810251986</v>
      </c>
      <c r="AL6931" t="s">
        <v>9113</v>
      </c>
      <c r="AM6931" t="s">
        <v>78</v>
      </c>
      <c r="AN6931" t="s">
        <v>78</v>
      </c>
      <c r="AO6931" t="s">
        <v>78</v>
      </c>
      <c r="AP6931" t="s">
        <v>141</v>
      </c>
      <c r="AQ6931">
        <v>1</v>
      </c>
      <c r="AR6931" t="s">
        <v>80</v>
      </c>
      <c r="AS6931" t="s">
        <v>81</v>
      </c>
      <c r="AT6931" t="s">
        <v>58</v>
      </c>
      <c r="AU6931" t="s">
        <v>350</v>
      </c>
      <c r="AV6931" t="s">
        <v>132</v>
      </c>
      <c r="AW6931" s="1">
        <v>31139</v>
      </c>
      <c r="AX6931">
        <v>1</v>
      </c>
    </row>
    <row r="6932" spans="1:50">
      <c r="A6932">
        <v>617414</v>
      </c>
      <c r="B6932" t="str">
        <f>"118942834"</f>
        <v>118942834</v>
      </c>
      <c r="C6932" t="s">
        <v>50</v>
      </c>
      <c r="D6932" t="s">
        <v>3656</v>
      </c>
      <c r="E6932" t="s">
        <v>255</v>
      </c>
      <c r="F6932" t="s">
        <v>72</v>
      </c>
      <c r="G6932" t="s">
        <v>237</v>
      </c>
      <c r="H6932" t="str">
        <f>"ΑΚΡΟΚΟΡΙΝΘΟΥ 11 ΗΡΑΚΛΕΙΟ"</f>
        <v>ΑΚΡΟΚΟΡΙΝΘΟΥ 11 ΗΡΑΚΛΕΙΟ</v>
      </c>
      <c r="I6932">
        <v>71409</v>
      </c>
      <c r="J6932">
        <v>2810212400</v>
      </c>
      <c r="K6932">
        <v>6973513475</v>
      </c>
      <c r="N6932" t="s">
        <v>615</v>
      </c>
      <c r="O6932" t="s">
        <v>616</v>
      </c>
      <c r="R6932" t="s">
        <v>57</v>
      </c>
      <c r="S6932">
        <v>6</v>
      </c>
      <c r="T6932">
        <v>774</v>
      </c>
      <c r="U6932" s="1">
        <v>39680</v>
      </c>
      <c r="V6932" t="s">
        <v>80</v>
      </c>
      <c r="W6932" t="s">
        <v>81</v>
      </c>
      <c r="X6932" t="s">
        <v>58</v>
      </c>
      <c r="Y6932">
        <v>23</v>
      </c>
      <c r="Z6932" t="s">
        <v>59</v>
      </c>
      <c r="AA6932" t="s">
        <v>59</v>
      </c>
      <c r="AB6932" t="s">
        <v>59</v>
      </c>
      <c r="AC6932" t="s">
        <v>59</v>
      </c>
      <c r="AD6932" t="s">
        <v>59</v>
      </c>
      <c r="AF6932" s="1">
        <v>39681</v>
      </c>
      <c r="AG6932" t="s">
        <v>8645</v>
      </c>
      <c r="AH6932" t="s">
        <v>8646</v>
      </c>
      <c r="AI6932" t="str">
        <f>"9170426"</f>
        <v>9170426</v>
      </c>
      <c r="AJ6932" t="s">
        <v>9142</v>
      </c>
      <c r="AK6932">
        <v>2810222289</v>
      </c>
      <c r="AL6932" t="s">
        <v>9143</v>
      </c>
      <c r="AM6932" t="s">
        <v>78</v>
      </c>
      <c r="AN6932" t="s">
        <v>78</v>
      </c>
      <c r="AO6932" t="s">
        <v>78</v>
      </c>
      <c r="AP6932" t="s">
        <v>213</v>
      </c>
      <c r="AQ6932">
        <v>1</v>
      </c>
      <c r="AR6932" t="s">
        <v>80</v>
      </c>
      <c r="AS6932" t="s">
        <v>81</v>
      </c>
      <c r="AT6932" t="s">
        <v>58</v>
      </c>
      <c r="AU6932" t="s">
        <v>68</v>
      </c>
      <c r="AV6932" t="s">
        <v>69</v>
      </c>
      <c r="AW6932" s="1">
        <v>30629</v>
      </c>
      <c r="AX6932">
        <v>1</v>
      </c>
    </row>
    <row r="6933" spans="1:50">
      <c r="A6933">
        <v>557041</v>
      </c>
      <c r="B6933" t="str">
        <f>"065135102"</f>
        <v>065135102</v>
      </c>
      <c r="C6933" t="s">
        <v>50</v>
      </c>
      <c r="D6933" t="s">
        <v>3656</v>
      </c>
      <c r="E6933" t="s">
        <v>52</v>
      </c>
      <c r="F6933" t="s">
        <v>95</v>
      </c>
      <c r="G6933" t="s">
        <v>671</v>
      </c>
      <c r="H6933" t="str">
        <f>"ΑΓΙΑ ΒΑΡΒΑΡΑ ΗΡΑΚΛΕΙΟ"</f>
        <v>ΑΓΙΑ ΒΑΡΒΑΡΑ ΗΡΑΚΛΕΙΟ</v>
      </c>
      <c r="I6933">
        <v>70003</v>
      </c>
      <c r="J6933">
        <v>2894023777</v>
      </c>
      <c r="K6933">
        <v>6941666607</v>
      </c>
      <c r="N6933" t="s">
        <v>615</v>
      </c>
      <c r="O6933" t="s">
        <v>616</v>
      </c>
      <c r="R6933" t="s">
        <v>57</v>
      </c>
      <c r="S6933">
        <v>16</v>
      </c>
      <c r="T6933">
        <v>168</v>
      </c>
      <c r="U6933" s="1">
        <v>32010</v>
      </c>
      <c r="V6933" t="s">
        <v>80</v>
      </c>
      <c r="W6933" t="s">
        <v>81</v>
      </c>
      <c r="X6933" t="s">
        <v>58</v>
      </c>
      <c r="Y6933">
        <v>21</v>
      </c>
      <c r="Z6933" t="s">
        <v>59</v>
      </c>
      <c r="AA6933" t="s">
        <v>59</v>
      </c>
      <c r="AB6933" t="s">
        <v>59</v>
      </c>
      <c r="AC6933" t="s">
        <v>59</v>
      </c>
      <c r="AD6933" t="s">
        <v>59</v>
      </c>
      <c r="AF6933" s="1">
        <v>32023</v>
      </c>
      <c r="AG6933" t="s">
        <v>8645</v>
      </c>
      <c r="AH6933" t="s">
        <v>8646</v>
      </c>
      <c r="AI6933" t="str">
        <f>"9170039"</f>
        <v>9170039</v>
      </c>
      <c r="AJ6933" t="s">
        <v>8804</v>
      </c>
      <c r="AK6933">
        <v>2894022231</v>
      </c>
      <c r="AL6933" t="s">
        <v>8805</v>
      </c>
      <c r="AM6933" t="s">
        <v>78</v>
      </c>
      <c r="AN6933" t="s">
        <v>405</v>
      </c>
      <c r="AO6933" t="s">
        <v>406</v>
      </c>
      <c r="AP6933" t="s">
        <v>406</v>
      </c>
      <c r="AQ6933">
        <v>6</v>
      </c>
      <c r="AR6933" t="s">
        <v>80</v>
      </c>
      <c r="AS6933" t="s">
        <v>81</v>
      </c>
      <c r="AT6933" t="s">
        <v>58</v>
      </c>
      <c r="AU6933" t="s">
        <v>68</v>
      </c>
      <c r="AV6933" t="s">
        <v>2039</v>
      </c>
      <c r="AW6933" s="1">
        <v>23088</v>
      </c>
      <c r="AX6933">
        <v>1</v>
      </c>
    </row>
    <row r="6934" spans="1:50">
      <c r="A6934">
        <v>600828</v>
      </c>
      <c r="B6934" t="str">
        <f>"079207893"</f>
        <v>079207893</v>
      </c>
      <c r="C6934" t="s">
        <v>105</v>
      </c>
      <c r="D6934" t="s">
        <v>3661</v>
      </c>
      <c r="E6934" t="s">
        <v>383</v>
      </c>
      <c r="F6934" t="s">
        <v>643</v>
      </c>
      <c r="G6934" t="s">
        <v>52</v>
      </c>
      <c r="H6934" t="str">
        <f>"ΑΓΡΙΑΝΑ ΧΕΡΣΟΝΗΣΟΥ ΧΕΡΣΟΝΗΣΟΣ ΗΡΑΚΛΕΙΟΥ"</f>
        <v>ΑΓΡΙΑΝΑ ΧΕΡΣΟΝΗΣΟΥ ΧΕΡΣΟΝΗΣΟΣ ΗΡΑΚΛΕΙΟΥ</v>
      </c>
      <c r="I6934">
        <v>70014</v>
      </c>
      <c r="J6934">
        <v>2897025443</v>
      </c>
      <c r="K6934">
        <v>6947081311</v>
      </c>
      <c r="M6934" t="s">
        <v>11345</v>
      </c>
      <c r="N6934" t="s">
        <v>615</v>
      </c>
      <c r="O6934" t="s">
        <v>616</v>
      </c>
      <c r="R6934" t="s">
        <v>57</v>
      </c>
      <c r="S6934">
        <v>8</v>
      </c>
      <c r="T6934">
        <v>207</v>
      </c>
      <c r="U6934" s="1">
        <v>37866</v>
      </c>
      <c r="V6934" t="s">
        <v>80</v>
      </c>
      <c r="W6934" t="s">
        <v>81</v>
      </c>
      <c r="X6934" t="s">
        <v>58</v>
      </c>
      <c r="Y6934">
        <v>22</v>
      </c>
      <c r="Z6934" t="s">
        <v>59</v>
      </c>
      <c r="AA6934" t="s">
        <v>59</v>
      </c>
      <c r="AB6934" t="s">
        <v>59</v>
      </c>
      <c r="AC6934" t="s">
        <v>59</v>
      </c>
      <c r="AD6934" t="s">
        <v>59</v>
      </c>
      <c r="AF6934" s="1">
        <v>37866</v>
      </c>
      <c r="AG6934" t="s">
        <v>8645</v>
      </c>
      <c r="AH6934" t="s">
        <v>8646</v>
      </c>
      <c r="AI6934" t="str">
        <f>"9521015"</f>
        <v>9521015</v>
      </c>
      <c r="AJ6934" t="s">
        <v>8927</v>
      </c>
      <c r="AK6934">
        <v>2897029138</v>
      </c>
      <c r="AL6934" t="s">
        <v>8928</v>
      </c>
      <c r="AM6934" t="s">
        <v>78</v>
      </c>
      <c r="AN6934" t="s">
        <v>219</v>
      </c>
      <c r="AO6934" t="s">
        <v>219</v>
      </c>
      <c r="AP6934" t="s">
        <v>220</v>
      </c>
      <c r="AQ6934">
        <v>8</v>
      </c>
      <c r="AR6934" t="s">
        <v>80</v>
      </c>
      <c r="AS6934" t="s">
        <v>81</v>
      </c>
      <c r="AT6934" t="s">
        <v>58</v>
      </c>
      <c r="AU6934" t="s">
        <v>68</v>
      </c>
      <c r="AV6934" t="s">
        <v>2039</v>
      </c>
      <c r="AW6934" s="1">
        <v>26432</v>
      </c>
      <c r="AX6934">
        <v>1</v>
      </c>
    </row>
    <row r="6935" spans="1:50">
      <c r="A6935">
        <v>554186</v>
      </c>
      <c r="B6935" t="str">
        <f>"030033552"</f>
        <v>030033552</v>
      </c>
      <c r="C6935" t="s">
        <v>105</v>
      </c>
      <c r="D6935" t="s">
        <v>3661</v>
      </c>
      <c r="E6935" t="s">
        <v>95</v>
      </c>
      <c r="F6935" t="s">
        <v>72</v>
      </c>
      <c r="G6935" t="s">
        <v>1345</v>
      </c>
      <c r="H6935" t="str">
        <f>"ΜΑΝΩΛΟΠΟΥΛΟΥ 20 ΗΡΑΚΛΕΙΟ"</f>
        <v>ΜΑΝΩΛΟΠΟΥΛΟΥ 20 ΗΡΑΚΛΕΙΟ</v>
      </c>
      <c r="I6935">
        <v>71409</v>
      </c>
      <c r="J6935">
        <v>2810324265</v>
      </c>
      <c r="K6935">
        <v>6974392901</v>
      </c>
      <c r="N6935" t="s">
        <v>615</v>
      </c>
      <c r="O6935" t="s">
        <v>616</v>
      </c>
      <c r="R6935" t="s">
        <v>57</v>
      </c>
      <c r="S6935">
        <v>16</v>
      </c>
      <c r="T6935">
        <v>235</v>
      </c>
      <c r="U6935" s="1">
        <v>31289</v>
      </c>
      <c r="V6935" t="s">
        <v>80</v>
      </c>
      <c r="W6935" t="s">
        <v>81</v>
      </c>
      <c r="X6935" t="s">
        <v>58</v>
      </c>
      <c r="Y6935">
        <v>21</v>
      </c>
      <c r="Z6935" t="s">
        <v>59</v>
      </c>
      <c r="AA6935" t="s">
        <v>59</v>
      </c>
      <c r="AB6935" t="s">
        <v>59</v>
      </c>
      <c r="AC6935" t="s">
        <v>59</v>
      </c>
      <c r="AD6935" t="s">
        <v>59</v>
      </c>
      <c r="AF6935" s="1">
        <v>31296</v>
      </c>
      <c r="AG6935" t="s">
        <v>8645</v>
      </c>
      <c r="AH6935" t="s">
        <v>8646</v>
      </c>
      <c r="AI6935" t="str">
        <f>"9170517"</f>
        <v>9170517</v>
      </c>
      <c r="AJ6935" t="s">
        <v>9248</v>
      </c>
      <c r="AK6935">
        <v>2810238757</v>
      </c>
      <c r="AL6935" t="s">
        <v>9249</v>
      </c>
      <c r="AM6935" t="s">
        <v>78</v>
      </c>
      <c r="AN6935" t="s">
        <v>78</v>
      </c>
      <c r="AO6935" t="s">
        <v>78</v>
      </c>
      <c r="AP6935" t="s">
        <v>163</v>
      </c>
      <c r="AQ6935">
        <v>1</v>
      </c>
      <c r="AR6935" t="s">
        <v>80</v>
      </c>
      <c r="AS6935" t="s">
        <v>81</v>
      </c>
      <c r="AT6935" t="s">
        <v>58</v>
      </c>
      <c r="AU6935" t="s">
        <v>68</v>
      </c>
      <c r="AV6935" t="s">
        <v>69</v>
      </c>
      <c r="AW6935" s="1">
        <v>22951</v>
      </c>
      <c r="AX6935">
        <v>1</v>
      </c>
    </row>
    <row r="6936" spans="1:50">
      <c r="A6936">
        <v>617108</v>
      </c>
      <c r="B6936" t="str">
        <f>"103520155"</f>
        <v>103520155</v>
      </c>
      <c r="C6936" t="s">
        <v>105</v>
      </c>
      <c r="D6936" t="s">
        <v>3661</v>
      </c>
      <c r="E6936" t="s">
        <v>53</v>
      </c>
      <c r="F6936" t="s">
        <v>166</v>
      </c>
      <c r="G6936" t="s">
        <v>1078</v>
      </c>
      <c r="H6936" t="str">
        <f>"5η πάροδος Ερμή 5 Αγ. Ιωάννης"</f>
        <v>5η πάροδος Ερμή 5 Αγ. Ιωάννης</v>
      </c>
      <c r="J6936">
        <v>2810742463</v>
      </c>
      <c r="K6936">
        <v>6977272735</v>
      </c>
      <c r="M6936" t="s">
        <v>9991</v>
      </c>
      <c r="N6936" t="s">
        <v>615</v>
      </c>
      <c r="O6936" t="s">
        <v>616</v>
      </c>
      <c r="R6936" t="s">
        <v>57</v>
      </c>
      <c r="S6936">
        <v>6</v>
      </c>
      <c r="T6936">
        <v>774</v>
      </c>
      <c r="U6936" s="1">
        <v>39680</v>
      </c>
      <c r="V6936" t="s">
        <v>80</v>
      </c>
      <c r="W6936" t="s">
        <v>81</v>
      </c>
      <c r="X6936" t="s">
        <v>58</v>
      </c>
      <c r="Y6936">
        <v>23</v>
      </c>
      <c r="Z6936" t="s">
        <v>59</v>
      </c>
      <c r="AA6936" t="s">
        <v>59</v>
      </c>
      <c r="AB6936" t="s">
        <v>59</v>
      </c>
      <c r="AC6936" t="s">
        <v>59</v>
      </c>
      <c r="AD6936" t="s">
        <v>59</v>
      </c>
      <c r="AF6936" s="1">
        <v>39681</v>
      </c>
      <c r="AG6936" t="s">
        <v>8645</v>
      </c>
      <c r="AH6936" t="s">
        <v>8646</v>
      </c>
      <c r="AI6936" t="str">
        <f>"9170194"</f>
        <v>9170194</v>
      </c>
      <c r="AJ6936" t="s">
        <v>8768</v>
      </c>
      <c r="AK6936">
        <v>2810239611</v>
      </c>
      <c r="AL6936" t="s">
        <v>8769</v>
      </c>
      <c r="AM6936" t="s">
        <v>78</v>
      </c>
      <c r="AN6936" t="s">
        <v>78</v>
      </c>
      <c r="AO6936" t="s">
        <v>78</v>
      </c>
      <c r="AP6936" t="s">
        <v>213</v>
      </c>
      <c r="AQ6936">
        <v>1</v>
      </c>
      <c r="AR6936" t="s">
        <v>80</v>
      </c>
      <c r="AS6936" t="s">
        <v>81</v>
      </c>
      <c r="AT6936" t="s">
        <v>58</v>
      </c>
      <c r="AU6936" t="s">
        <v>68</v>
      </c>
      <c r="AV6936" t="s">
        <v>69</v>
      </c>
      <c r="AW6936" s="1">
        <v>29733</v>
      </c>
      <c r="AX6936">
        <v>1</v>
      </c>
    </row>
    <row r="6937" spans="1:50">
      <c r="B6937" t="str">
        <f>"142541528"</f>
        <v>142541528</v>
      </c>
      <c r="C6937" t="s">
        <v>50</v>
      </c>
      <c r="D6937" t="s">
        <v>11346</v>
      </c>
      <c r="E6937" t="s">
        <v>191</v>
      </c>
      <c r="F6937" t="s">
        <v>670</v>
      </c>
      <c r="G6937" t="s">
        <v>174</v>
      </c>
      <c r="H6937" t="str">
        <f>"ΟΛΟΡΟΥ 9 ΞΑΝΘΗ"</f>
        <v>ΟΛΟΡΟΥ 9 ΞΑΝΘΗ</v>
      </c>
      <c r="I6937">
        <v>67132</v>
      </c>
      <c r="J6937">
        <v>2541023954</v>
      </c>
      <c r="K6937">
        <v>6942796786</v>
      </c>
      <c r="M6937" t="s">
        <v>11347</v>
      </c>
      <c r="N6937" t="s">
        <v>615</v>
      </c>
      <c r="O6937" t="s">
        <v>616</v>
      </c>
      <c r="R6937" t="s">
        <v>121</v>
      </c>
      <c r="S6937">
        <v>3</v>
      </c>
      <c r="T6937" t="s">
        <v>8717</v>
      </c>
      <c r="U6937" s="1">
        <v>43348</v>
      </c>
      <c r="V6937" t="s">
        <v>80</v>
      </c>
      <c r="W6937" t="s">
        <v>81</v>
      </c>
      <c r="X6937" t="s">
        <v>58</v>
      </c>
      <c r="Y6937">
        <v>24</v>
      </c>
      <c r="Z6937" t="s">
        <v>59</v>
      </c>
      <c r="AA6937" t="s">
        <v>59</v>
      </c>
      <c r="AB6937" t="s">
        <v>59</v>
      </c>
      <c r="AD6937" t="s">
        <v>59</v>
      </c>
      <c r="AF6937" s="1">
        <v>43348</v>
      </c>
      <c r="AG6937" t="s">
        <v>8645</v>
      </c>
      <c r="AH6937" t="s">
        <v>8646</v>
      </c>
      <c r="AI6937" t="str">
        <f>"9170198"</f>
        <v>9170198</v>
      </c>
      <c r="AJ6937" t="s">
        <v>8665</v>
      </c>
      <c r="AK6937">
        <v>2810227379</v>
      </c>
      <c r="AL6937" t="s">
        <v>8666</v>
      </c>
      <c r="AM6937" t="s">
        <v>78</v>
      </c>
      <c r="AN6937" t="s">
        <v>78</v>
      </c>
      <c r="AO6937" t="s">
        <v>78</v>
      </c>
      <c r="AP6937" t="s">
        <v>79</v>
      </c>
      <c r="AQ6937">
        <v>1</v>
      </c>
      <c r="AR6937" t="s">
        <v>80</v>
      </c>
      <c r="AS6937" t="s">
        <v>81</v>
      </c>
      <c r="AT6937" t="s">
        <v>58</v>
      </c>
      <c r="AU6937" t="s">
        <v>8720</v>
      </c>
      <c r="AV6937" t="s">
        <v>132</v>
      </c>
      <c r="AW6937" s="1">
        <v>32724</v>
      </c>
      <c r="AX6937">
        <v>1</v>
      </c>
    </row>
    <row r="6938" spans="1:50">
      <c r="A6938">
        <v>592468</v>
      </c>
      <c r="B6938" t="str">
        <f>"041966763"</f>
        <v>041966763</v>
      </c>
      <c r="C6938" t="s">
        <v>50</v>
      </c>
      <c r="D6938" t="s">
        <v>11348</v>
      </c>
      <c r="E6938" t="s">
        <v>181</v>
      </c>
      <c r="F6938" t="s">
        <v>95</v>
      </c>
      <c r="G6938" t="s">
        <v>215</v>
      </c>
      <c r="H6938" t="str">
        <f>"ΑΓΝΩΣΤΟΥ ΣΤΡΑΤΙΩΤΗ 13 ΕΥΟΣΜΟΣ"</f>
        <v>ΑΓΝΩΣΤΟΥ ΣΤΡΑΤΙΩΤΗ 13 ΕΥΟΣΜΟΣ</v>
      </c>
      <c r="I6938">
        <v>56224</v>
      </c>
      <c r="J6938">
        <v>2310668881</v>
      </c>
      <c r="K6938">
        <v>6936581124</v>
      </c>
      <c r="M6938" t="s">
        <v>11349</v>
      </c>
      <c r="N6938" t="s">
        <v>176</v>
      </c>
      <c r="O6938" t="s">
        <v>177</v>
      </c>
      <c r="R6938" t="s">
        <v>57</v>
      </c>
      <c r="S6938">
        <v>9</v>
      </c>
      <c r="T6938">
        <v>251</v>
      </c>
      <c r="U6938" s="1">
        <v>36769</v>
      </c>
      <c r="V6938" t="s">
        <v>80</v>
      </c>
      <c r="W6938" t="s">
        <v>81</v>
      </c>
      <c r="X6938" t="s">
        <v>58</v>
      </c>
      <c r="Y6938">
        <v>22</v>
      </c>
      <c r="Z6938" t="s">
        <v>59</v>
      </c>
      <c r="AA6938" t="s">
        <v>59</v>
      </c>
      <c r="AB6938" t="s">
        <v>59</v>
      </c>
      <c r="AC6938" t="s">
        <v>59</v>
      </c>
      <c r="AD6938" t="s">
        <v>59</v>
      </c>
      <c r="AF6938" s="1">
        <v>36770</v>
      </c>
      <c r="AG6938" t="s">
        <v>8645</v>
      </c>
      <c r="AH6938" t="s">
        <v>8646</v>
      </c>
      <c r="AI6938" t="str">
        <f>"9170091"</f>
        <v>9170091</v>
      </c>
      <c r="AJ6938" t="s">
        <v>8764</v>
      </c>
      <c r="AK6938">
        <v>2810741381</v>
      </c>
      <c r="AL6938" t="s">
        <v>8765</v>
      </c>
      <c r="AM6938" t="s">
        <v>78</v>
      </c>
      <c r="AN6938" t="s">
        <v>424</v>
      </c>
      <c r="AO6938" t="s">
        <v>428</v>
      </c>
      <c r="AP6938" t="s">
        <v>8766</v>
      </c>
      <c r="AQ6938">
        <v>11</v>
      </c>
      <c r="AR6938" t="s">
        <v>80</v>
      </c>
      <c r="AS6938" t="s">
        <v>81</v>
      </c>
      <c r="AT6938" t="s">
        <v>58</v>
      </c>
      <c r="AU6938" t="s">
        <v>68</v>
      </c>
      <c r="AV6938" t="s">
        <v>69</v>
      </c>
      <c r="AW6938" s="1">
        <v>23481</v>
      </c>
      <c r="AX6938">
        <v>1</v>
      </c>
    </row>
    <row r="6939" spans="1:50">
      <c r="B6939" t="str">
        <f>"148969010"</f>
        <v>148969010</v>
      </c>
      <c r="C6939" t="s">
        <v>105</v>
      </c>
      <c r="D6939" t="s">
        <v>11350</v>
      </c>
      <c r="E6939" t="s">
        <v>782</v>
      </c>
      <c r="F6939" t="s">
        <v>95</v>
      </c>
      <c r="G6939" t="s">
        <v>1694</v>
      </c>
      <c r="H6939" t="str">
        <f>"ΙΟΥΛΙΑΝΟΥ 12 "</f>
        <v xml:space="preserve">ΙΟΥΛΙΑΝΟΥ 12 </v>
      </c>
      <c r="I6939">
        <v>60100</v>
      </c>
      <c r="J6939">
        <v>2351073475</v>
      </c>
      <c r="K6939">
        <v>6973929348</v>
      </c>
      <c r="N6939" t="s">
        <v>615</v>
      </c>
      <c r="O6939" t="s">
        <v>616</v>
      </c>
      <c r="R6939" t="s">
        <v>159</v>
      </c>
      <c r="S6939">
        <v>2</v>
      </c>
      <c r="T6939" t="s">
        <v>8675</v>
      </c>
      <c r="U6939" s="1">
        <v>43348</v>
      </c>
      <c r="V6939" t="s">
        <v>80</v>
      </c>
      <c r="W6939" t="s">
        <v>81</v>
      </c>
      <c r="X6939" t="s">
        <v>58</v>
      </c>
      <c r="Y6939">
        <v>24</v>
      </c>
      <c r="Z6939" t="s">
        <v>59</v>
      </c>
      <c r="AA6939" t="s">
        <v>59</v>
      </c>
      <c r="AB6939" t="s">
        <v>59</v>
      </c>
      <c r="AC6939" t="s">
        <v>59</v>
      </c>
      <c r="AD6939" t="s">
        <v>59</v>
      </c>
      <c r="AF6939" s="1">
        <v>43348</v>
      </c>
      <c r="AG6939" t="s">
        <v>8645</v>
      </c>
      <c r="AH6939" t="s">
        <v>8646</v>
      </c>
      <c r="AI6939" t="str">
        <f>"9170009"</f>
        <v>9170009</v>
      </c>
      <c r="AJ6939" t="s">
        <v>8683</v>
      </c>
      <c r="AK6939">
        <v>2810861612</v>
      </c>
      <c r="AL6939" t="s">
        <v>8684</v>
      </c>
      <c r="AM6939" t="s">
        <v>78</v>
      </c>
      <c r="AN6939" t="s">
        <v>78</v>
      </c>
      <c r="AO6939" t="s">
        <v>185</v>
      </c>
      <c r="AP6939" t="s">
        <v>8685</v>
      </c>
      <c r="AQ6939">
        <v>4</v>
      </c>
      <c r="AR6939" t="s">
        <v>80</v>
      </c>
      <c r="AS6939" t="s">
        <v>81</v>
      </c>
      <c r="AT6939" t="s">
        <v>58</v>
      </c>
      <c r="AU6939" t="s">
        <v>8673</v>
      </c>
      <c r="AV6939" t="s">
        <v>132</v>
      </c>
      <c r="AW6939" s="1">
        <v>32522</v>
      </c>
      <c r="AX6939">
        <v>1</v>
      </c>
    </row>
    <row r="6940" spans="1:50">
      <c r="A6940">
        <v>560924</v>
      </c>
      <c r="B6940" t="str">
        <f>"103815965"</f>
        <v>103815965</v>
      </c>
      <c r="C6940" t="s">
        <v>50</v>
      </c>
      <c r="D6940" t="s">
        <v>5421</v>
      </c>
      <c r="E6940" t="s">
        <v>755</v>
      </c>
      <c r="F6940" t="s">
        <v>72</v>
      </c>
      <c r="G6940" t="s">
        <v>52</v>
      </c>
      <c r="H6940" t="str">
        <f>"ΦΑΪΤΑΚΗ 7 ΗΡΑΚΛΕΙΟ"</f>
        <v>ΦΑΪΤΑΚΗ 7 ΗΡΑΚΛΕΙΟ</v>
      </c>
      <c r="I6940">
        <v>71202</v>
      </c>
      <c r="J6940">
        <v>2810289473</v>
      </c>
      <c r="K6940">
        <v>6973687330</v>
      </c>
      <c r="N6940" t="s">
        <v>615</v>
      </c>
      <c r="O6940" t="s">
        <v>616</v>
      </c>
      <c r="R6940" t="s">
        <v>57</v>
      </c>
      <c r="S6940">
        <v>15</v>
      </c>
      <c r="T6940">
        <v>159</v>
      </c>
      <c r="U6940" s="1">
        <v>32385</v>
      </c>
      <c r="V6940" t="s">
        <v>80</v>
      </c>
      <c r="W6940" t="s">
        <v>81</v>
      </c>
      <c r="X6940" t="s">
        <v>58</v>
      </c>
      <c r="Y6940">
        <v>21</v>
      </c>
      <c r="Z6940" t="s">
        <v>59</v>
      </c>
      <c r="AA6940" t="s">
        <v>59</v>
      </c>
      <c r="AB6940" t="s">
        <v>59</v>
      </c>
      <c r="AC6940" t="s">
        <v>59</v>
      </c>
      <c r="AD6940" t="s">
        <v>59</v>
      </c>
      <c r="AF6940" s="1">
        <v>32385</v>
      </c>
      <c r="AG6940" t="s">
        <v>8645</v>
      </c>
      <c r="AH6940" t="s">
        <v>8646</v>
      </c>
      <c r="AI6940" t="str">
        <f>"9170055"</f>
        <v>9170055</v>
      </c>
      <c r="AJ6940" t="s">
        <v>8836</v>
      </c>
      <c r="AK6940">
        <v>2810255097</v>
      </c>
      <c r="AL6940" t="s">
        <v>8837</v>
      </c>
      <c r="AM6940" t="s">
        <v>78</v>
      </c>
      <c r="AN6940" t="s">
        <v>78</v>
      </c>
      <c r="AO6940" t="s">
        <v>78</v>
      </c>
      <c r="AP6940" t="s">
        <v>141</v>
      </c>
      <c r="AQ6940">
        <v>1</v>
      </c>
      <c r="AR6940" t="s">
        <v>80</v>
      </c>
      <c r="AS6940" t="s">
        <v>81</v>
      </c>
      <c r="AT6940" t="s">
        <v>58</v>
      </c>
      <c r="AU6940" t="s">
        <v>68</v>
      </c>
      <c r="AV6940" t="s">
        <v>69</v>
      </c>
      <c r="AW6940" s="1">
        <v>23859</v>
      </c>
      <c r="AX6940">
        <v>1</v>
      </c>
    </row>
    <row r="6941" spans="1:50">
      <c r="B6941" t="str">
        <f>"062463823"</f>
        <v>062463823</v>
      </c>
      <c r="C6941" t="s">
        <v>50</v>
      </c>
      <c r="D6941" t="s">
        <v>5421</v>
      </c>
      <c r="E6941" t="s">
        <v>52</v>
      </c>
      <c r="F6941" t="s">
        <v>166</v>
      </c>
      <c r="G6941" t="s">
        <v>1074</v>
      </c>
      <c r="H6941" t="str">
        <f>"Νίδας 19 Πόρος"</f>
        <v>Νίδας 19 Πόρος</v>
      </c>
      <c r="I6941">
        <v>71307</v>
      </c>
      <c r="J6941">
        <v>2810326013</v>
      </c>
      <c r="K6941">
        <v>6946931898</v>
      </c>
      <c r="M6941" t="s">
        <v>11351</v>
      </c>
      <c r="N6941" t="s">
        <v>288</v>
      </c>
      <c r="O6941" t="s">
        <v>289</v>
      </c>
      <c r="R6941" t="s">
        <v>159</v>
      </c>
      <c r="S6941">
        <v>4</v>
      </c>
      <c r="T6941" t="s">
        <v>8675</v>
      </c>
      <c r="U6941" s="1">
        <v>43348</v>
      </c>
      <c r="V6941" t="s">
        <v>80</v>
      </c>
      <c r="W6941" t="s">
        <v>81</v>
      </c>
      <c r="X6941" t="s">
        <v>58</v>
      </c>
      <c r="Y6941">
        <v>14</v>
      </c>
      <c r="Z6941" t="s">
        <v>59</v>
      </c>
      <c r="AA6941" t="s">
        <v>59</v>
      </c>
      <c r="AB6941" t="s">
        <v>59</v>
      </c>
      <c r="AC6941" t="s">
        <v>59</v>
      </c>
      <c r="AD6941" t="s">
        <v>59</v>
      </c>
      <c r="AF6941" s="1">
        <v>43348</v>
      </c>
      <c r="AG6941" t="s">
        <v>8645</v>
      </c>
      <c r="AH6941" t="s">
        <v>8646</v>
      </c>
      <c r="AI6941" t="str">
        <f>"9170239"</f>
        <v>9170239</v>
      </c>
      <c r="AJ6941" t="s">
        <v>8814</v>
      </c>
      <c r="AK6941">
        <v>2897022076</v>
      </c>
      <c r="AL6941" t="s">
        <v>8815</v>
      </c>
      <c r="AM6941" t="s">
        <v>78</v>
      </c>
      <c r="AN6941" t="s">
        <v>219</v>
      </c>
      <c r="AO6941" t="s">
        <v>219</v>
      </c>
      <c r="AP6941" t="s">
        <v>220</v>
      </c>
      <c r="AQ6941">
        <v>8</v>
      </c>
      <c r="AR6941" t="s">
        <v>80</v>
      </c>
      <c r="AS6941" t="s">
        <v>81</v>
      </c>
      <c r="AT6941" t="s">
        <v>58</v>
      </c>
      <c r="AU6941" t="s">
        <v>8686</v>
      </c>
      <c r="AV6941" t="s">
        <v>132</v>
      </c>
      <c r="AW6941" s="1">
        <v>28549</v>
      </c>
      <c r="AX6941">
        <v>1</v>
      </c>
    </row>
    <row r="6942" spans="1:50">
      <c r="A6942">
        <v>561865</v>
      </c>
      <c r="B6942" t="str">
        <f>"030703632"</f>
        <v>030703632</v>
      </c>
      <c r="C6942" t="s">
        <v>50</v>
      </c>
      <c r="D6942" t="s">
        <v>6502</v>
      </c>
      <c r="E6942" t="s">
        <v>484</v>
      </c>
      <c r="F6942" t="s">
        <v>450</v>
      </c>
      <c r="G6942" t="s">
        <v>155</v>
      </c>
      <c r="H6942" t="str">
        <f>" "</f>
        <v xml:space="preserve"> </v>
      </c>
      <c r="N6942" t="s">
        <v>1525</v>
      </c>
      <c r="O6942" t="s">
        <v>1526</v>
      </c>
      <c r="R6942" t="s">
        <v>57</v>
      </c>
      <c r="S6942">
        <v>16</v>
      </c>
      <c r="T6942">
        <v>159</v>
      </c>
      <c r="U6942" s="1">
        <v>32385</v>
      </c>
      <c r="V6942" t="s">
        <v>80</v>
      </c>
      <c r="W6942" t="s">
        <v>81</v>
      </c>
      <c r="X6942" t="s">
        <v>58</v>
      </c>
      <c r="Y6942">
        <v>25</v>
      </c>
      <c r="Z6942" t="s">
        <v>59</v>
      </c>
      <c r="AA6942" t="s">
        <v>59</v>
      </c>
      <c r="AB6942" t="s">
        <v>59</v>
      </c>
      <c r="AC6942" t="s">
        <v>59</v>
      </c>
      <c r="AD6942" t="s">
        <v>59</v>
      </c>
      <c r="AF6942" s="1">
        <v>32387</v>
      </c>
      <c r="AG6942" t="s">
        <v>8651</v>
      </c>
      <c r="AH6942" t="s">
        <v>8652</v>
      </c>
      <c r="AI6942" t="str">
        <f>"9170576"</f>
        <v>9170576</v>
      </c>
      <c r="AJ6942" t="s">
        <v>8858</v>
      </c>
      <c r="AK6942">
        <v>2810240001</v>
      </c>
      <c r="AL6942" t="s">
        <v>8859</v>
      </c>
      <c r="AM6942" t="s">
        <v>78</v>
      </c>
      <c r="AN6942" t="s">
        <v>78</v>
      </c>
      <c r="AO6942" t="s">
        <v>286</v>
      </c>
      <c r="AP6942" t="s">
        <v>286</v>
      </c>
      <c r="AQ6942">
        <v>1</v>
      </c>
      <c r="AR6942" t="s">
        <v>80</v>
      </c>
      <c r="AS6942" t="s">
        <v>81</v>
      </c>
      <c r="AT6942" t="s">
        <v>58</v>
      </c>
      <c r="AU6942" t="s">
        <v>68</v>
      </c>
      <c r="AV6942" t="s">
        <v>69</v>
      </c>
      <c r="AW6942" s="1">
        <v>23586</v>
      </c>
      <c r="AX6942">
        <v>1</v>
      </c>
    </row>
    <row r="6943" spans="1:50">
      <c r="A6943">
        <v>704243</v>
      </c>
      <c r="B6943" t="str">
        <f>"100174389"</f>
        <v>100174389</v>
      </c>
      <c r="C6943" t="s">
        <v>50</v>
      </c>
      <c r="D6943" t="s">
        <v>11352</v>
      </c>
      <c r="E6943" t="s">
        <v>801</v>
      </c>
      <c r="F6943" t="s">
        <v>11353</v>
      </c>
      <c r="G6943" t="s">
        <v>112</v>
      </c>
      <c r="H6943" t="str">
        <f>" "</f>
        <v xml:space="preserve"> </v>
      </c>
      <c r="N6943" t="s">
        <v>306</v>
      </c>
      <c r="O6943" t="s">
        <v>307</v>
      </c>
      <c r="R6943" t="s">
        <v>121</v>
      </c>
      <c r="S6943">
        <v>1</v>
      </c>
      <c r="T6943">
        <v>796</v>
      </c>
      <c r="U6943" s="1">
        <v>42968</v>
      </c>
      <c r="V6943" t="s">
        <v>80</v>
      </c>
      <c r="W6943" t="s">
        <v>81</v>
      </c>
      <c r="X6943" t="s">
        <v>58</v>
      </c>
      <c r="Y6943">
        <v>24</v>
      </c>
      <c r="Z6943" t="s">
        <v>59</v>
      </c>
      <c r="AA6943" t="s">
        <v>59</v>
      </c>
      <c r="AB6943" t="s">
        <v>59</v>
      </c>
      <c r="AD6943" t="s">
        <v>59</v>
      </c>
      <c r="AF6943" s="1">
        <v>42968</v>
      </c>
      <c r="AG6943" t="s">
        <v>8645</v>
      </c>
      <c r="AH6943" t="s">
        <v>8646</v>
      </c>
      <c r="AI6943" t="str">
        <f>"9170580"</f>
        <v>9170580</v>
      </c>
      <c r="AJ6943" t="s">
        <v>9076</v>
      </c>
      <c r="AK6943">
        <v>2810542809</v>
      </c>
      <c r="AL6943" t="s">
        <v>9077</v>
      </c>
      <c r="AM6943" t="s">
        <v>78</v>
      </c>
      <c r="AN6943" t="s">
        <v>78</v>
      </c>
      <c r="AO6943" t="s">
        <v>78</v>
      </c>
      <c r="AP6943" t="s">
        <v>9053</v>
      </c>
      <c r="AQ6943">
        <v>1</v>
      </c>
      <c r="AR6943" t="s">
        <v>80</v>
      </c>
      <c r="AS6943" t="s">
        <v>81</v>
      </c>
      <c r="AT6943" t="s">
        <v>58</v>
      </c>
      <c r="AU6943" t="s">
        <v>68</v>
      </c>
      <c r="AV6943" t="s">
        <v>69</v>
      </c>
      <c r="AX6943">
        <v>1</v>
      </c>
    </row>
    <row r="6944" spans="1:50">
      <c r="A6944">
        <v>704071</v>
      </c>
      <c r="B6944" t="str">
        <f>"300602094"</f>
        <v>300602094</v>
      </c>
      <c r="C6944" t="s">
        <v>50</v>
      </c>
      <c r="D6944" t="s">
        <v>11354</v>
      </c>
      <c r="E6944" t="s">
        <v>112</v>
      </c>
      <c r="F6944" t="s">
        <v>72</v>
      </c>
      <c r="G6944" t="s">
        <v>314</v>
      </c>
      <c r="H6944" t="str">
        <f>"ΧΑΤΖΗΠΑΝΑΓΙΩΤΙΔΗ 1 ΘΕΣΣΑΛΟΝΙΚΗ"</f>
        <v>ΧΑΤΖΗΠΑΝΑΓΙΩΤΙΔΗ 1 ΘΕΣΣΑΛΟΝΙΚΗ</v>
      </c>
      <c r="I6944">
        <v>55134</v>
      </c>
      <c r="J6944">
        <v>2310459960</v>
      </c>
      <c r="K6944">
        <v>6977288890</v>
      </c>
      <c r="N6944" t="s">
        <v>306</v>
      </c>
      <c r="O6944" t="s">
        <v>307</v>
      </c>
      <c r="R6944" t="s">
        <v>57</v>
      </c>
      <c r="S6944">
        <v>5</v>
      </c>
      <c r="T6944">
        <v>1350</v>
      </c>
      <c r="U6944" s="1">
        <v>42732</v>
      </c>
      <c r="V6944" t="s">
        <v>80</v>
      </c>
      <c r="W6944" t="s">
        <v>81</v>
      </c>
      <c r="X6944" t="s">
        <v>58</v>
      </c>
      <c r="Y6944">
        <v>24</v>
      </c>
      <c r="Z6944" t="s">
        <v>59</v>
      </c>
      <c r="AA6944" t="s">
        <v>59</v>
      </c>
      <c r="AB6944" t="s">
        <v>59</v>
      </c>
      <c r="AC6944" t="s">
        <v>59</v>
      </c>
      <c r="AD6944" t="s">
        <v>59</v>
      </c>
      <c r="AF6944" s="1">
        <v>42734</v>
      </c>
      <c r="AG6944" t="s">
        <v>8645</v>
      </c>
      <c r="AH6944" t="s">
        <v>8646</v>
      </c>
      <c r="AI6944" t="str">
        <f>"9170114"</f>
        <v>9170114</v>
      </c>
      <c r="AJ6944" t="s">
        <v>9613</v>
      </c>
      <c r="AK6944">
        <v>2810241054</v>
      </c>
      <c r="AL6944" t="s">
        <v>9614</v>
      </c>
      <c r="AM6944" t="s">
        <v>78</v>
      </c>
      <c r="AN6944" t="s">
        <v>78</v>
      </c>
      <c r="AO6944" t="s">
        <v>78</v>
      </c>
      <c r="AP6944" t="s">
        <v>79</v>
      </c>
      <c r="AQ6944">
        <v>1</v>
      </c>
      <c r="AR6944" t="s">
        <v>80</v>
      </c>
      <c r="AS6944" t="s">
        <v>81</v>
      </c>
      <c r="AT6944" t="s">
        <v>58</v>
      </c>
      <c r="AU6944" t="s">
        <v>68</v>
      </c>
      <c r="AV6944" t="s">
        <v>69</v>
      </c>
      <c r="AW6944" s="1">
        <v>29506</v>
      </c>
      <c r="AX6944">
        <v>1</v>
      </c>
    </row>
    <row r="6945" spans="1:50">
      <c r="B6945" t="str">
        <f>"133811584"</f>
        <v>133811584</v>
      </c>
      <c r="C6945" t="s">
        <v>50</v>
      </c>
      <c r="D6945" t="s">
        <v>11355</v>
      </c>
      <c r="E6945" t="s">
        <v>263</v>
      </c>
      <c r="F6945" t="s">
        <v>84</v>
      </c>
      <c r="G6945" t="s">
        <v>1179</v>
      </c>
      <c r="H6945" t="str">
        <f>"ΚΟΜΝΗΝΩΝ 28 "</f>
        <v xml:space="preserve">ΚΟΜΝΗΝΩΝ 28 </v>
      </c>
      <c r="I6945">
        <v>59300</v>
      </c>
      <c r="J6945">
        <v>2333027664</v>
      </c>
      <c r="K6945">
        <v>6972014340</v>
      </c>
      <c r="N6945" t="s">
        <v>1525</v>
      </c>
      <c r="O6945" t="s">
        <v>1526</v>
      </c>
      <c r="R6945" t="s">
        <v>159</v>
      </c>
      <c r="S6945">
        <v>2</v>
      </c>
      <c r="T6945" t="s">
        <v>8670</v>
      </c>
      <c r="U6945" s="1">
        <v>43348</v>
      </c>
      <c r="V6945" t="s">
        <v>80</v>
      </c>
      <c r="W6945" t="s">
        <v>81</v>
      </c>
      <c r="X6945" t="s">
        <v>58</v>
      </c>
      <c r="Y6945">
        <v>25</v>
      </c>
      <c r="Z6945" t="s">
        <v>59</v>
      </c>
      <c r="AA6945" t="s">
        <v>59</v>
      </c>
      <c r="AB6945" t="s">
        <v>59</v>
      </c>
      <c r="AC6945" t="s">
        <v>59</v>
      </c>
      <c r="AD6945" t="s">
        <v>59</v>
      </c>
      <c r="AF6945" s="1">
        <v>43348</v>
      </c>
      <c r="AG6945" t="s">
        <v>8651</v>
      </c>
      <c r="AH6945" t="s">
        <v>8652</v>
      </c>
      <c r="AI6945" t="str">
        <f>"9170352"</f>
        <v>9170352</v>
      </c>
      <c r="AJ6945" t="s">
        <v>10442</v>
      </c>
      <c r="AK6945">
        <v>2810831204</v>
      </c>
      <c r="AL6945" t="s">
        <v>10443</v>
      </c>
      <c r="AM6945" t="s">
        <v>78</v>
      </c>
      <c r="AN6945" t="s">
        <v>129</v>
      </c>
      <c r="AO6945" t="s">
        <v>267</v>
      </c>
      <c r="AP6945" t="s">
        <v>267</v>
      </c>
      <c r="AQ6945">
        <v>2</v>
      </c>
      <c r="AR6945" t="s">
        <v>80</v>
      </c>
      <c r="AS6945" t="s">
        <v>81</v>
      </c>
      <c r="AT6945" t="s">
        <v>58</v>
      </c>
      <c r="AU6945" t="s">
        <v>8673</v>
      </c>
      <c r="AV6945" t="s">
        <v>132</v>
      </c>
      <c r="AW6945" s="1">
        <v>30251</v>
      </c>
      <c r="AX6945">
        <v>1</v>
      </c>
    </row>
    <row r="6946" spans="1:50">
      <c r="A6946">
        <v>620693</v>
      </c>
      <c r="B6946" t="str">
        <f>"139408884"</f>
        <v>139408884</v>
      </c>
      <c r="C6946" t="s">
        <v>50</v>
      </c>
      <c r="D6946" t="s">
        <v>11356</v>
      </c>
      <c r="E6946" t="s">
        <v>620</v>
      </c>
      <c r="F6946" t="s">
        <v>99</v>
      </c>
      <c r="G6946" t="s">
        <v>1279</v>
      </c>
      <c r="H6946" t="str">
        <f>"ΜΑΛΑΚΟΠΗΣ 3 ΑΛΕΞΑΝΔΡΟΥΠΟΛΗ"</f>
        <v>ΜΑΛΑΚΟΠΗΣ 3 ΑΛΕΞΑΝΔΡΟΥΠΟΛΗ</v>
      </c>
      <c r="I6946">
        <v>68100</v>
      </c>
      <c r="J6946">
        <v>2551037636</v>
      </c>
      <c r="K6946">
        <v>6972381122</v>
      </c>
      <c r="N6946" t="s">
        <v>615</v>
      </c>
      <c r="O6946" t="s">
        <v>616</v>
      </c>
      <c r="R6946" t="s">
        <v>57</v>
      </c>
      <c r="S6946">
        <v>5</v>
      </c>
      <c r="T6946">
        <v>653</v>
      </c>
      <c r="U6946" s="1">
        <v>40043</v>
      </c>
      <c r="V6946" t="s">
        <v>80</v>
      </c>
      <c r="W6946" t="s">
        <v>81</v>
      </c>
      <c r="X6946" t="s">
        <v>58</v>
      </c>
      <c r="Y6946">
        <v>23</v>
      </c>
      <c r="Z6946" t="s">
        <v>59</v>
      </c>
      <c r="AA6946" t="s">
        <v>59</v>
      </c>
      <c r="AB6946" t="s">
        <v>59</v>
      </c>
      <c r="AC6946" t="s">
        <v>59</v>
      </c>
      <c r="AD6946" t="s">
        <v>59</v>
      </c>
      <c r="AF6946" s="1">
        <v>40043</v>
      </c>
      <c r="AG6946" t="s">
        <v>8645</v>
      </c>
      <c r="AH6946" t="s">
        <v>8646</v>
      </c>
      <c r="AI6946" t="str">
        <f>"9170197"</f>
        <v>9170197</v>
      </c>
      <c r="AJ6946" t="s">
        <v>8989</v>
      </c>
      <c r="AK6946">
        <v>2810232577</v>
      </c>
      <c r="AL6946" t="s">
        <v>8990</v>
      </c>
      <c r="AM6946" t="s">
        <v>78</v>
      </c>
      <c r="AN6946" t="s">
        <v>78</v>
      </c>
      <c r="AO6946" t="s">
        <v>78</v>
      </c>
      <c r="AP6946" t="s">
        <v>163</v>
      </c>
      <c r="AQ6946">
        <v>1</v>
      </c>
      <c r="AR6946" t="s">
        <v>80</v>
      </c>
      <c r="AS6946" t="s">
        <v>81</v>
      </c>
      <c r="AT6946" t="s">
        <v>58</v>
      </c>
      <c r="AU6946" t="s">
        <v>68</v>
      </c>
      <c r="AV6946" t="s">
        <v>69</v>
      </c>
      <c r="AW6946" s="1">
        <v>31459</v>
      </c>
      <c r="AX6946">
        <v>1</v>
      </c>
    </row>
    <row r="6947" spans="1:50">
      <c r="A6947">
        <v>594308</v>
      </c>
      <c r="B6947" t="str">
        <f>"047928419"</f>
        <v>047928419</v>
      </c>
      <c r="C6947" t="s">
        <v>50</v>
      </c>
      <c r="D6947" t="s">
        <v>11357</v>
      </c>
      <c r="E6947" t="s">
        <v>964</v>
      </c>
      <c r="F6947" t="s">
        <v>84</v>
      </c>
      <c r="G6947" t="s">
        <v>237</v>
      </c>
      <c r="H6947" t="str">
        <f>"ΛΗΜΝΟΥ 5 ΤΡΙΚΑΛΑ"</f>
        <v>ΛΗΜΝΟΥ 5 ΤΡΙΚΑΛΑ</v>
      </c>
      <c r="I6947">
        <v>42200</v>
      </c>
      <c r="J6947">
        <v>2432075018</v>
      </c>
      <c r="K6947">
        <v>6974408323</v>
      </c>
      <c r="M6947" t="s">
        <v>11358</v>
      </c>
      <c r="N6947" t="s">
        <v>615</v>
      </c>
      <c r="O6947" t="s">
        <v>616</v>
      </c>
      <c r="R6947" t="s">
        <v>57</v>
      </c>
      <c r="S6947">
        <v>8</v>
      </c>
      <c r="T6947">
        <v>218</v>
      </c>
      <c r="U6947" s="1">
        <v>37134</v>
      </c>
      <c r="V6947" t="s">
        <v>80</v>
      </c>
      <c r="W6947" t="s">
        <v>81</v>
      </c>
      <c r="X6947" t="s">
        <v>58</v>
      </c>
      <c r="Y6947">
        <v>22</v>
      </c>
      <c r="Z6947" t="s">
        <v>59</v>
      </c>
      <c r="AA6947" t="s">
        <v>59</v>
      </c>
      <c r="AB6947" t="s">
        <v>59</v>
      </c>
      <c r="AC6947" t="s">
        <v>59</v>
      </c>
      <c r="AD6947" t="s">
        <v>59</v>
      </c>
      <c r="AF6947" s="1">
        <v>37138</v>
      </c>
      <c r="AG6947" t="s">
        <v>8645</v>
      </c>
      <c r="AH6947" t="s">
        <v>8646</v>
      </c>
      <c r="AI6947" t="str">
        <f>"9170525"</f>
        <v>9170525</v>
      </c>
      <c r="AJ6947" t="s">
        <v>8853</v>
      </c>
      <c r="AK6947">
        <v>2810256547</v>
      </c>
      <c r="AL6947" t="s">
        <v>8854</v>
      </c>
      <c r="AM6947" t="s">
        <v>78</v>
      </c>
      <c r="AN6947" t="s">
        <v>78</v>
      </c>
      <c r="AO6947" t="s">
        <v>78</v>
      </c>
      <c r="AP6947" t="s">
        <v>141</v>
      </c>
      <c r="AQ6947">
        <v>1</v>
      </c>
      <c r="AR6947" t="s">
        <v>80</v>
      </c>
      <c r="AS6947" t="s">
        <v>81</v>
      </c>
      <c r="AT6947" t="s">
        <v>58</v>
      </c>
      <c r="AU6947" t="s">
        <v>68</v>
      </c>
      <c r="AV6947" t="s">
        <v>69</v>
      </c>
      <c r="AW6947" s="1">
        <v>27080</v>
      </c>
      <c r="AX6947">
        <v>1</v>
      </c>
    </row>
    <row r="6948" spans="1:50">
      <c r="B6948" t="str">
        <f>"125982650"</f>
        <v>125982650</v>
      </c>
      <c r="C6948" t="s">
        <v>50</v>
      </c>
      <c r="D6948" t="s">
        <v>3680</v>
      </c>
      <c r="E6948" t="s">
        <v>83</v>
      </c>
      <c r="F6948" t="s">
        <v>106</v>
      </c>
      <c r="G6948" t="s">
        <v>610</v>
      </c>
      <c r="H6948" t="str">
        <f>"ΑΣΤΡΙΝΟΥ ΚΟΝΤΟΥ 35 "</f>
        <v xml:space="preserve">ΑΣΤΡΙΝΟΥ ΚΟΝΤΟΥ 35 </v>
      </c>
      <c r="I6948">
        <v>71303</v>
      </c>
      <c r="J6948">
        <v>2811107435</v>
      </c>
      <c r="K6948">
        <v>6977728697</v>
      </c>
      <c r="N6948" t="s">
        <v>9829</v>
      </c>
      <c r="O6948" t="s">
        <v>9830</v>
      </c>
      <c r="R6948" t="s">
        <v>159</v>
      </c>
      <c r="S6948">
        <v>5</v>
      </c>
      <c r="T6948" t="s">
        <v>8835</v>
      </c>
      <c r="U6948" s="1">
        <v>43348</v>
      </c>
      <c r="V6948" t="s">
        <v>80</v>
      </c>
      <c r="W6948" t="s">
        <v>81</v>
      </c>
      <c r="X6948" t="s">
        <v>58</v>
      </c>
      <c r="Y6948">
        <v>25</v>
      </c>
      <c r="Z6948" t="s">
        <v>59</v>
      </c>
      <c r="AA6948" t="s">
        <v>59</v>
      </c>
      <c r="AB6948" t="s">
        <v>59</v>
      </c>
      <c r="AC6948" t="s">
        <v>59</v>
      </c>
      <c r="AD6948" t="s">
        <v>59</v>
      </c>
      <c r="AF6948" s="1">
        <v>43348</v>
      </c>
      <c r="AG6948" t="s">
        <v>8651</v>
      </c>
      <c r="AH6948" t="s">
        <v>8652</v>
      </c>
      <c r="AI6948" t="str">
        <f>"9170390"</f>
        <v>9170390</v>
      </c>
      <c r="AJ6948" t="s">
        <v>10206</v>
      </c>
      <c r="AK6948">
        <v>2810238601</v>
      </c>
      <c r="AL6948" t="s">
        <v>10207</v>
      </c>
      <c r="AM6948" t="s">
        <v>78</v>
      </c>
      <c r="AN6948" t="s">
        <v>78</v>
      </c>
      <c r="AO6948" t="s">
        <v>78</v>
      </c>
      <c r="AP6948" t="s">
        <v>213</v>
      </c>
      <c r="AQ6948">
        <v>1</v>
      </c>
      <c r="AR6948" t="s">
        <v>80</v>
      </c>
      <c r="AS6948" t="s">
        <v>81</v>
      </c>
      <c r="AT6948" t="s">
        <v>58</v>
      </c>
      <c r="AU6948" t="s">
        <v>131</v>
      </c>
      <c r="AV6948" t="s">
        <v>132</v>
      </c>
      <c r="AW6948" s="1">
        <v>31597</v>
      </c>
      <c r="AX6948">
        <v>1</v>
      </c>
    </row>
    <row r="6949" spans="1:50">
      <c r="B6949" t="str">
        <f>"112020091"</f>
        <v>112020091</v>
      </c>
      <c r="C6949" t="s">
        <v>105</v>
      </c>
      <c r="D6949" t="s">
        <v>5427</v>
      </c>
      <c r="E6949" t="s">
        <v>670</v>
      </c>
      <c r="F6949" t="s">
        <v>99</v>
      </c>
      <c r="G6949" t="s">
        <v>1078</v>
      </c>
      <c r="H6949" t="str">
        <f>"ΔΔ ΑΚΡΙΝΗΣ "</f>
        <v xml:space="preserve">ΔΔ ΑΚΡΙΝΗΣ </v>
      </c>
      <c r="I6949">
        <v>50100</v>
      </c>
      <c r="J6949">
        <v>2461094474</v>
      </c>
      <c r="K6949">
        <v>6976754296</v>
      </c>
      <c r="N6949" t="s">
        <v>615</v>
      </c>
      <c r="O6949" t="s">
        <v>616</v>
      </c>
      <c r="R6949" t="s">
        <v>159</v>
      </c>
      <c r="S6949">
        <v>2</v>
      </c>
      <c r="T6949" t="s">
        <v>8675</v>
      </c>
      <c r="U6949" s="1">
        <v>43348</v>
      </c>
      <c r="V6949" t="s">
        <v>80</v>
      </c>
      <c r="W6949" t="s">
        <v>81</v>
      </c>
      <c r="X6949" t="s">
        <v>58</v>
      </c>
      <c r="Y6949">
        <v>25</v>
      </c>
      <c r="Z6949" t="s">
        <v>59</v>
      </c>
      <c r="AA6949" t="s">
        <v>59</v>
      </c>
      <c r="AB6949" t="s">
        <v>59</v>
      </c>
      <c r="AC6949" t="s">
        <v>59</v>
      </c>
      <c r="AD6949" t="s">
        <v>59</v>
      </c>
      <c r="AF6949" s="1">
        <v>43348</v>
      </c>
      <c r="AG6949" t="s">
        <v>8645</v>
      </c>
      <c r="AH6949" t="s">
        <v>8676</v>
      </c>
      <c r="AI6949" t="str">
        <f>"9170274"</f>
        <v>9170274</v>
      </c>
      <c r="AJ6949" t="s">
        <v>9507</v>
      </c>
      <c r="AK6949">
        <v>2892097222</v>
      </c>
      <c r="AL6949" t="s">
        <v>9508</v>
      </c>
      <c r="AM6949" t="s">
        <v>78</v>
      </c>
      <c r="AN6949" t="s">
        <v>242</v>
      </c>
      <c r="AO6949" t="s">
        <v>243</v>
      </c>
      <c r="AP6949" t="s">
        <v>8831</v>
      </c>
      <c r="AQ6949">
        <v>16</v>
      </c>
      <c r="AR6949" t="s">
        <v>80</v>
      </c>
      <c r="AS6949" t="s">
        <v>81</v>
      </c>
      <c r="AT6949" t="s">
        <v>58</v>
      </c>
      <c r="AU6949" t="s">
        <v>8673</v>
      </c>
      <c r="AV6949" t="s">
        <v>132</v>
      </c>
      <c r="AW6949" s="1">
        <v>28849</v>
      </c>
      <c r="AX6949">
        <v>1</v>
      </c>
    </row>
    <row r="6950" spans="1:50">
      <c r="B6950" t="str">
        <f>"132329085"</f>
        <v>132329085</v>
      </c>
      <c r="C6950" t="s">
        <v>50</v>
      </c>
      <c r="D6950" t="s">
        <v>11359</v>
      </c>
      <c r="E6950" t="s">
        <v>658</v>
      </c>
      <c r="F6950" t="s">
        <v>166</v>
      </c>
      <c r="G6950" t="s">
        <v>473</v>
      </c>
      <c r="H6950" t="str">
        <f>" "</f>
        <v xml:space="preserve"> </v>
      </c>
      <c r="N6950" t="s">
        <v>1525</v>
      </c>
      <c r="O6950" t="s">
        <v>1526</v>
      </c>
      <c r="R6950" t="s">
        <v>121</v>
      </c>
      <c r="S6950">
        <v>1</v>
      </c>
      <c r="T6950" t="s">
        <v>8670</v>
      </c>
      <c r="U6950" s="1">
        <v>43348</v>
      </c>
      <c r="V6950" t="s">
        <v>80</v>
      </c>
      <c r="W6950" t="s">
        <v>81</v>
      </c>
      <c r="X6950" t="s">
        <v>58</v>
      </c>
      <c r="Y6950">
        <v>25</v>
      </c>
      <c r="Z6950" t="s">
        <v>59</v>
      </c>
      <c r="AD6950" t="s">
        <v>59</v>
      </c>
      <c r="AF6950" s="1">
        <v>43348</v>
      </c>
      <c r="AG6950" t="s">
        <v>8651</v>
      </c>
      <c r="AH6950" t="s">
        <v>8652</v>
      </c>
      <c r="AI6950" t="str">
        <f>"9170508"</f>
        <v>9170508</v>
      </c>
      <c r="AJ6950" t="s">
        <v>9073</v>
      </c>
      <c r="AK6950">
        <v>2810212076</v>
      </c>
      <c r="AL6950" t="s">
        <v>9074</v>
      </c>
      <c r="AM6950" t="s">
        <v>78</v>
      </c>
      <c r="AN6950" t="s">
        <v>78</v>
      </c>
      <c r="AO6950" t="s">
        <v>78</v>
      </c>
      <c r="AP6950" t="s">
        <v>163</v>
      </c>
      <c r="AQ6950">
        <v>1</v>
      </c>
      <c r="AR6950" t="s">
        <v>80</v>
      </c>
      <c r="AS6950" t="s">
        <v>81</v>
      </c>
      <c r="AT6950" t="s">
        <v>58</v>
      </c>
      <c r="AU6950" t="s">
        <v>8673</v>
      </c>
      <c r="AV6950" t="s">
        <v>132</v>
      </c>
      <c r="AW6950" s="1">
        <v>31228</v>
      </c>
      <c r="AX6950">
        <v>1</v>
      </c>
    </row>
    <row r="6951" spans="1:50">
      <c r="A6951">
        <v>579597</v>
      </c>
      <c r="B6951" t="str">
        <f>"066365452"</f>
        <v>066365452</v>
      </c>
      <c r="C6951" t="s">
        <v>50</v>
      </c>
      <c r="D6951" t="s">
        <v>11360</v>
      </c>
      <c r="E6951" t="s">
        <v>181</v>
      </c>
      <c r="F6951" t="s">
        <v>106</v>
      </c>
      <c r="G6951" t="s">
        <v>255</v>
      </c>
      <c r="H6951" t="str">
        <f>"Δ. ΦΡΑΓΚΙΑΔΑΚΗ 50 ΗΡΑΚΛΕΙΟ"</f>
        <v>Δ. ΦΡΑΓΚΙΑΔΑΚΗ 50 ΗΡΑΚΛΕΙΟ</v>
      </c>
      <c r="I6951">
        <v>71304</v>
      </c>
      <c r="J6951">
        <v>2810313550</v>
      </c>
      <c r="K6951">
        <v>6944573667</v>
      </c>
      <c r="N6951" t="s">
        <v>615</v>
      </c>
      <c r="O6951" t="s">
        <v>616</v>
      </c>
      <c r="R6951" t="s">
        <v>57</v>
      </c>
      <c r="S6951">
        <v>11</v>
      </c>
      <c r="T6951">
        <v>165</v>
      </c>
      <c r="U6951" s="1">
        <v>35300</v>
      </c>
      <c r="V6951" t="s">
        <v>80</v>
      </c>
      <c r="W6951" t="s">
        <v>81</v>
      </c>
      <c r="X6951" t="s">
        <v>58</v>
      </c>
      <c r="Y6951">
        <v>21</v>
      </c>
      <c r="Z6951" t="s">
        <v>59</v>
      </c>
      <c r="AA6951" t="s">
        <v>59</v>
      </c>
      <c r="AB6951" t="s">
        <v>59</v>
      </c>
      <c r="AC6951" t="s">
        <v>59</v>
      </c>
      <c r="AD6951" t="s">
        <v>59</v>
      </c>
      <c r="AF6951" s="1">
        <v>35310</v>
      </c>
      <c r="AG6951" t="s">
        <v>8645</v>
      </c>
      <c r="AH6951" t="s">
        <v>8646</v>
      </c>
      <c r="AI6951" t="str">
        <f>"9170017"</f>
        <v>9170017</v>
      </c>
      <c r="AJ6951" t="s">
        <v>9114</v>
      </c>
      <c r="AK6951">
        <v>2810250746</v>
      </c>
      <c r="AL6951" t="s">
        <v>9115</v>
      </c>
      <c r="AM6951" t="s">
        <v>78</v>
      </c>
      <c r="AN6951" t="s">
        <v>129</v>
      </c>
      <c r="AO6951" t="s">
        <v>130</v>
      </c>
      <c r="AP6951" t="s">
        <v>130</v>
      </c>
      <c r="AQ6951">
        <v>1</v>
      </c>
      <c r="AR6951" t="s">
        <v>80</v>
      </c>
      <c r="AS6951" t="s">
        <v>81</v>
      </c>
      <c r="AT6951" t="s">
        <v>58</v>
      </c>
      <c r="AU6951" t="s">
        <v>68</v>
      </c>
      <c r="AV6951" t="s">
        <v>69</v>
      </c>
      <c r="AW6951" s="1">
        <v>24578</v>
      </c>
      <c r="AX6951">
        <v>1</v>
      </c>
    </row>
    <row r="6952" spans="1:50">
      <c r="B6952" t="str">
        <f>"070998227"</f>
        <v>070998227</v>
      </c>
      <c r="C6952" t="s">
        <v>50</v>
      </c>
      <c r="D6952" t="s">
        <v>3687</v>
      </c>
      <c r="E6952" t="s">
        <v>801</v>
      </c>
      <c r="F6952" t="s">
        <v>2320</v>
      </c>
      <c r="G6952" t="s">
        <v>2406</v>
      </c>
      <c r="H6952" t="str">
        <f>"ΧΑΡΑΚΑΣ ΜΟΝΟΦΑΤΣΙΟΥ ΗΡΑΚΛΕΙΟ"</f>
        <v>ΧΑΡΑΚΑΣ ΜΟΝΟΦΑΤΣΙΟΥ ΗΡΑΚΛΕΙΟ</v>
      </c>
      <c r="I6952">
        <v>70010</v>
      </c>
      <c r="J6952">
        <v>2810261571</v>
      </c>
      <c r="K6952">
        <v>6978011579</v>
      </c>
      <c r="N6952" t="s">
        <v>615</v>
      </c>
      <c r="O6952" t="s">
        <v>616</v>
      </c>
      <c r="R6952" t="s">
        <v>159</v>
      </c>
      <c r="S6952">
        <v>3</v>
      </c>
      <c r="T6952" t="s">
        <v>8675</v>
      </c>
      <c r="U6952" s="1">
        <v>43348</v>
      </c>
      <c r="V6952" t="s">
        <v>80</v>
      </c>
      <c r="W6952" t="s">
        <v>81</v>
      </c>
      <c r="X6952" t="s">
        <v>58</v>
      </c>
      <c r="Y6952">
        <v>24</v>
      </c>
      <c r="Z6952" t="s">
        <v>59</v>
      </c>
      <c r="AA6952" t="s">
        <v>59</v>
      </c>
      <c r="AB6952" t="s">
        <v>59</v>
      </c>
      <c r="AC6952" t="s">
        <v>59</v>
      </c>
      <c r="AD6952" t="s">
        <v>59</v>
      </c>
      <c r="AF6952" s="1">
        <v>43348</v>
      </c>
      <c r="AG6952" t="s">
        <v>8645</v>
      </c>
      <c r="AH6952" t="s">
        <v>8646</v>
      </c>
      <c r="AI6952" t="str">
        <f>"9170017"</f>
        <v>9170017</v>
      </c>
      <c r="AJ6952" t="s">
        <v>9114</v>
      </c>
      <c r="AK6952">
        <v>2810250746</v>
      </c>
      <c r="AL6952" t="s">
        <v>9115</v>
      </c>
      <c r="AM6952" t="s">
        <v>78</v>
      </c>
      <c r="AN6952" t="s">
        <v>129</v>
      </c>
      <c r="AO6952" t="s">
        <v>130</v>
      </c>
      <c r="AP6952" t="s">
        <v>130</v>
      </c>
      <c r="AQ6952">
        <v>1</v>
      </c>
      <c r="AR6952" t="s">
        <v>80</v>
      </c>
      <c r="AS6952" t="s">
        <v>81</v>
      </c>
      <c r="AT6952" t="s">
        <v>58</v>
      </c>
      <c r="AU6952" t="s">
        <v>8673</v>
      </c>
      <c r="AV6952" t="s">
        <v>132</v>
      </c>
      <c r="AW6952" s="1">
        <v>28143</v>
      </c>
      <c r="AX6952">
        <v>1</v>
      </c>
    </row>
    <row r="6953" spans="1:50">
      <c r="B6953" t="str">
        <f>"048127626"</f>
        <v>048127626</v>
      </c>
      <c r="C6953" t="s">
        <v>50</v>
      </c>
      <c r="D6953" t="s">
        <v>11361</v>
      </c>
      <c r="E6953" t="s">
        <v>6196</v>
      </c>
      <c r="F6953" t="s">
        <v>95</v>
      </c>
      <c r="G6953" t="s">
        <v>2248</v>
      </c>
      <c r="H6953" t="str">
        <f>"ΑΓ. ΑΠΟΣΤΟΛΩΝ 25 ΑΡΤΑ"</f>
        <v>ΑΓ. ΑΠΟΣΤΟΛΩΝ 25 ΑΡΤΑ</v>
      </c>
      <c r="I6953">
        <v>47100</v>
      </c>
      <c r="J6953">
        <v>2681074935</v>
      </c>
      <c r="K6953">
        <v>6937700261</v>
      </c>
      <c r="N6953" t="s">
        <v>176</v>
      </c>
      <c r="O6953" t="s">
        <v>177</v>
      </c>
      <c r="R6953" t="s">
        <v>57</v>
      </c>
      <c r="S6953">
        <v>4</v>
      </c>
      <c r="T6953" t="s">
        <v>8675</v>
      </c>
      <c r="U6953" s="1">
        <v>43348</v>
      </c>
      <c r="V6953" t="s">
        <v>80</v>
      </c>
      <c r="W6953" t="s">
        <v>81</v>
      </c>
      <c r="X6953" t="s">
        <v>58</v>
      </c>
      <c r="Y6953">
        <v>24</v>
      </c>
      <c r="Z6953" t="s">
        <v>59</v>
      </c>
      <c r="AA6953" t="s">
        <v>59</v>
      </c>
      <c r="AB6953" t="s">
        <v>59</v>
      </c>
      <c r="AC6953" t="s">
        <v>59</v>
      </c>
      <c r="AD6953" t="s">
        <v>59</v>
      </c>
      <c r="AF6953" s="1">
        <v>43348</v>
      </c>
      <c r="AG6953" t="s">
        <v>8645</v>
      </c>
      <c r="AH6953" t="s">
        <v>8646</v>
      </c>
      <c r="AI6953" t="str">
        <f>"9170282"</f>
        <v>9170282</v>
      </c>
      <c r="AJ6953" t="s">
        <v>8938</v>
      </c>
      <c r="AK6953">
        <v>2892022120</v>
      </c>
      <c r="AL6953" t="s">
        <v>8939</v>
      </c>
      <c r="AM6953" t="s">
        <v>78</v>
      </c>
      <c r="AN6953" t="s">
        <v>242</v>
      </c>
      <c r="AO6953" t="s">
        <v>243</v>
      </c>
      <c r="AP6953" t="s">
        <v>8940</v>
      </c>
      <c r="AQ6953">
        <v>20</v>
      </c>
      <c r="AR6953" t="s">
        <v>80</v>
      </c>
      <c r="AS6953" t="s">
        <v>81</v>
      </c>
      <c r="AT6953" t="s">
        <v>58</v>
      </c>
      <c r="AU6953" t="s">
        <v>8673</v>
      </c>
      <c r="AV6953" t="s">
        <v>132</v>
      </c>
      <c r="AW6953" s="1">
        <v>22935</v>
      </c>
      <c r="AX6953">
        <v>1</v>
      </c>
    </row>
    <row r="6954" spans="1:50">
      <c r="A6954">
        <v>570879</v>
      </c>
      <c r="B6954" t="str">
        <f>"050407545"</f>
        <v>050407545</v>
      </c>
      <c r="C6954" t="s">
        <v>50</v>
      </c>
      <c r="D6954" t="s">
        <v>11362</v>
      </c>
      <c r="E6954" t="s">
        <v>52</v>
      </c>
      <c r="F6954" t="s">
        <v>99</v>
      </c>
      <c r="G6954" t="s">
        <v>801</v>
      </c>
      <c r="H6954" t="str">
        <f>"ΝΙΚ.ΚΑΤΕΧΑΚΗ 17 ΗΡΑΚΛΕΙΟ"</f>
        <v>ΝΙΚ.ΚΑΤΕΧΑΚΗ 17 ΗΡΑΚΛΕΙΟ</v>
      </c>
      <c r="I6954">
        <v>71307</v>
      </c>
      <c r="J6954">
        <v>2810228275</v>
      </c>
      <c r="K6954">
        <v>6945651645</v>
      </c>
      <c r="N6954" t="s">
        <v>615</v>
      </c>
      <c r="O6954" t="s">
        <v>616</v>
      </c>
      <c r="R6954" t="s">
        <v>57</v>
      </c>
      <c r="S6954">
        <v>16</v>
      </c>
      <c r="T6954">
        <v>138</v>
      </c>
      <c r="U6954" s="1">
        <v>34206</v>
      </c>
      <c r="V6954" t="s">
        <v>80</v>
      </c>
      <c r="W6954" t="s">
        <v>81</v>
      </c>
      <c r="X6954" t="s">
        <v>58</v>
      </c>
      <c r="Y6954">
        <v>21</v>
      </c>
      <c r="Z6954" t="s">
        <v>59</v>
      </c>
      <c r="AA6954" t="s">
        <v>59</v>
      </c>
      <c r="AB6954" t="s">
        <v>59</v>
      </c>
      <c r="AC6954" t="s">
        <v>59</v>
      </c>
      <c r="AD6954" t="s">
        <v>59</v>
      </c>
      <c r="AF6954" s="1">
        <v>34215</v>
      </c>
      <c r="AG6954" t="s">
        <v>8645</v>
      </c>
      <c r="AH6954" t="s">
        <v>8646</v>
      </c>
      <c r="AI6954" t="str">
        <f>"9170264"</f>
        <v>9170264</v>
      </c>
      <c r="AJ6954" t="s">
        <v>8718</v>
      </c>
      <c r="AK6954">
        <v>2810332030</v>
      </c>
      <c r="AL6954" t="s">
        <v>8719</v>
      </c>
      <c r="AM6954" t="s">
        <v>78</v>
      </c>
      <c r="AN6954" t="s">
        <v>78</v>
      </c>
      <c r="AO6954" t="s">
        <v>286</v>
      </c>
      <c r="AP6954" t="s">
        <v>286</v>
      </c>
      <c r="AQ6954">
        <v>1</v>
      </c>
      <c r="AR6954" t="s">
        <v>80</v>
      </c>
      <c r="AS6954" t="s">
        <v>81</v>
      </c>
      <c r="AT6954" t="s">
        <v>58</v>
      </c>
      <c r="AU6954" t="s">
        <v>68</v>
      </c>
      <c r="AV6954" t="s">
        <v>2039</v>
      </c>
      <c r="AW6954" s="1">
        <v>24150</v>
      </c>
      <c r="AX6954">
        <v>1</v>
      </c>
    </row>
    <row r="6955" spans="1:50">
      <c r="A6955">
        <v>586646</v>
      </c>
      <c r="B6955" t="str">
        <f>"051091661"</f>
        <v>051091661</v>
      </c>
      <c r="C6955" t="s">
        <v>50</v>
      </c>
      <c r="D6955" t="s">
        <v>11363</v>
      </c>
      <c r="E6955" t="s">
        <v>396</v>
      </c>
      <c r="F6955" t="s">
        <v>166</v>
      </c>
      <c r="G6955" t="s">
        <v>52</v>
      </c>
      <c r="H6955" t="str">
        <f>"Γ. ΠΑΠΑΝΔΡΕΟΥ 6 ΗΡΑΚΛΕΙΟ"</f>
        <v>Γ. ΠΑΠΑΝΔΡΕΟΥ 6 ΗΡΑΚΛΕΙΟ</v>
      </c>
      <c r="I6955">
        <v>71306</v>
      </c>
      <c r="J6955">
        <v>2810330415</v>
      </c>
      <c r="K6955">
        <v>6973932381</v>
      </c>
      <c r="N6955" t="s">
        <v>615</v>
      </c>
      <c r="O6955" t="s">
        <v>616</v>
      </c>
      <c r="R6955" t="s">
        <v>57</v>
      </c>
      <c r="S6955">
        <v>11</v>
      </c>
      <c r="T6955">
        <v>165</v>
      </c>
      <c r="U6955" s="1">
        <v>36040</v>
      </c>
      <c r="V6955" t="s">
        <v>80</v>
      </c>
      <c r="W6955" t="s">
        <v>81</v>
      </c>
      <c r="X6955" t="s">
        <v>58</v>
      </c>
      <c r="Y6955">
        <v>21</v>
      </c>
      <c r="Z6955" t="s">
        <v>59</v>
      </c>
      <c r="AA6955" t="s">
        <v>59</v>
      </c>
      <c r="AB6955" t="s">
        <v>59</v>
      </c>
      <c r="AC6955" t="s">
        <v>59</v>
      </c>
      <c r="AD6955" t="s">
        <v>59</v>
      </c>
      <c r="AF6955" s="1">
        <v>36040</v>
      </c>
      <c r="AG6955" t="s">
        <v>8645</v>
      </c>
      <c r="AH6955" t="s">
        <v>8646</v>
      </c>
      <c r="AI6955" t="str">
        <f>"9170102"</f>
        <v>9170102</v>
      </c>
      <c r="AJ6955" t="s">
        <v>9019</v>
      </c>
      <c r="AK6955">
        <v>2810283938</v>
      </c>
      <c r="AL6955" t="s">
        <v>9020</v>
      </c>
      <c r="AM6955" t="s">
        <v>78</v>
      </c>
      <c r="AN6955" t="s">
        <v>78</v>
      </c>
      <c r="AO6955" t="s">
        <v>78</v>
      </c>
      <c r="AP6955" t="s">
        <v>79</v>
      </c>
      <c r="AQ6955">
        <v>1</v>
      </c>
      <c r="AR6955" t="s">
        <v>80</v>
      </c>
      <c r="AS6955" t="s">
        <v>81</v>
      </c>
      <c r="AT6955" t="s">
        <v>58</v>
      </c>
      <c r="AU6955" t="s">
        <v>68</v>
      </c>
      <c r="AV6955" t="s">
        <v>69</v>
      </c>
      <c r="AW6955" s="1">
        <v>25560</v>
      </c>
      <c r="AX6955">
        <v>1</v>
      </c>
    </row>
    <row r="6956" spans="1:50">
      <c r="B6956" t="str">
        <f>"061706378"</f>
        <v>061706378</v>
      </c>
      <c r="C6956" t="s">
        <v>50</v>
      </c>
      <c r="D6956" t="s">
        <v>11364</v>
      </c>
      <c r="E6956" t="s">
        <v>155</v>
      </c>
      <c r="F6956" t="s">
        <v>84</v>
      </c>
      <c r="G6956" t="s">
        <v>238</v>
      </c>
      <c r="H6956" t="str">
        <f>"ΠΑΤΡ. ΚΤΡΙΛΛΟΥ 18Α ΑΛΕΞ/ΠΟΛΗ"</f>
        <v>ΠΑΤΡ. ΚΤΡΙΛΛΟΥ 18Α ΑΛΕΞ/ΠΟΛΗ</v>
      </c>
      <c r="I6956">
        <v>68100</v>
      </c>
      <c r="J6956">
        <v>2551022489</v>
      </c>
      <c r="K6956">
        <v>6973010763</v>
      </c>
      <c r="N6956" t="s">
        <v>306</v>
      </c>
      <c r="O6956" t="s">
        <v>307</v>
      </c>
      <c r="R6956" t="s">
        <v>159</v>
      </c>
      <c r="S6956">
        <v>2</v>
      </c>
      <c r="T6956" t="s">
        <v>8675</v>
      </c>
      <c r="U6956" s="1">
        <v>43348</v>
      </c>
      <c r="V6956" t="s">
        <v>80</v>
      </c>
      <c r="W6956" t="s">
        <v>81</v>
      </c>
      <c r="X6956" t="s">
        <v>58</v>
      </c>
      <c r="Y6956">
        <v>24</v>
      </c>
      <c r="Z6956" t="s">
        <v>59</v>
      </c>
      <c r="AA6956" t="s">
        <v>59</v>
      </c>
      <c r="AB6956" t="s">
        <v>59</v>
      </c>
      <c r="AC6956" t="s">
        <v>59</v>
      </c>
      <c r="AD6956" t="s">
        <v>59</v>
      </c>
      <c r="AF6956" s="1">
        <v>43348</v>
      </c>
      <c r="AG6956" t="s">
        <v>8645</v>
      </c>
      <c r="AH6956" t="s">
        <v>8646</v>
      </c>
      <c r="AI6956" t="str">
        <f>"9170224"</f>
        <v>9170224</v>
      </c>
      <c r="AJ6956" t="s">
        <v>9212</v>
      </c>
      <c r="AK6956">
        <v>2810771214</v>
      </c>
      <c r="AL6956" t="s">
        <v>9213</v>
      </c>
      <c r="AM6956" t="s">
        <v>78</v>
      </c>
      <c r="AN6956" t="s">
        <v>219</v>
      </c>
      <c r="AO6956" t="s">
        <v>1437</v>
      </c>
      <c r="AP6956" t="s">
        <v>1437</v>
      </c>
      <c r="AQ6956">
        <v>7</v>
      </c>
      <c r="AR6956" t="s">
        <v>80</v>
      </c>
      <c r="AS6956" t="s">
        <v>81</v>
      </c>
      <c r="AT6956" t="s">
        <v>58</v>
      </c>
      <c r="AU6956" t="s">
        <v>8673</v>
      </c>
      <c r="AV6956" t="s">
        <v>132</v>
      </c>
      <c r="AW6956" s="1">
        <v>26247</v>
      </c>
      <c r="AX6956">
        <v>1</v>
      </c>
    </row>
    <row r="6957" spans="1:50">
      <c r="B6957" t="str">
        <f>"125648186"</f>
        <v>125648186</v>
      </c>
      <c r="C6957" t="s">
        <v>50</v>
      </c>
      <c r="D6957" t="s">
        <v>11364</v>
      </c>
      <c r="E6957" t="s">
        <v>52</v>
      </c>
      <c r="F6957" t="s">
        <v>95</v>
      </c>
      <c r="G6957" t="s">
        <v>255</v>
      </c>
      <c r="H6957" t="str">
        <f>"ΡΟΔΟΥ 1 "</f>
        <v xml:space="preserve">ΡΟΔΟΥ 1 </v>
      </c>
      <c r="I6957">
        <v>68100</v>
      </c>
      <c r="J6957">
        <v>2551033507</v>
      </c>
      <c r="K6957">
        <v>6947707855</v>
      </c>
      <c r="N6957" t="s">
        <v>615</v>
      </c>
      <c r="O6957" t="s">
        <v>616</v>
      </c>
      <c r="R6957" t="s">
        <v>159</v>
      </c>
      <c r="S6957">
        <v>2</v>
      </c>
      <c r="T6957" t="s">
        <v>8675</v>
      </c>
      <c r="U6957" s="1">
        <v>43348</v>
      </c>
      <c r="V6957" t="s">
        <v>80</v>
      </c>
      <c r="W6957" t="s">
        <v>81</v>
      </c>
      <c r="X6957" t="s">
        <v>58</v>
      </c>
      <c r="Y6957">
        <v>24</v>
      </c>
      <c r="Z6957" t="s">
        <v>59</v>
      </c>
      <c r="AA6957" t="s">
        <v>59</v>
      </c>
      <c r="AB6957" t="s">
        <v>59</v>
      </c>
      <c r="AC6957" t="s">
        <v>59</v>
      </c>
      <c r="AD6957" t="s">
        <v>59</v>
      </c>
      <c r="AF6957" s="1">
        <v>43348</v>
      </c>
      <c r="AG6957" t="s">
        <v>8645</v>
      </c>
      <c r="AH6957" t="s">
        <v>8646</v>
      </c>
      <c r="AI6957" t="str">
        <f>"9170058"</f>
        <v>9170058</v>
      </c>
      <c r="AJ6957" t="s">
        <v>8735</v>
      </c>
      <c r="AK6957">
        <v>2810252903</v>
      </c>
      <c r="AL6957" t="s">
        <v>8736</v>
      </c>
      <c r="AM6957" t="s">
        <v>78</v>
      </c>
      <c r="AN6957" t="s">
        <v>78</v>
      </c>
      <c r="AO6957" t="s">
        <v>78</v>
      </c>
      <c r="AP6957" t="s">
        <v>163</v>
      </c>
      <c r="AQ6957">
        <v>1</v>
      </c>
      <c r="AR6957" t="s">
        <v>80</v>
      </c>
      <c r="AS6957" t="s">
        <v>81</v>
      </c>
      <c r="AT6957" t="s">
        <v>58</v>
      </c>
      <c r="AU6957" t="s">
        <v>8673</v>
      </c>
      <c r="AV6957" t="s">
        <v>132</v>
      </c>
      <c r="AW6957" s="1">
        <v>30798</v>
      </c>
      <c r="AX6957">
        <v>1</v>
      </c>
    </row>
    <row r="6958" spans="1:50">
      <c r="B6958" t="str">
        <f>"116842434"</f>
        <v>116842434</v>
      </c>
      <c r="C6958" t="s">
        <v>50</v>
      </c>
      <c r="D6958" t="s">
        <v>11365</v>
      </c>
      <c r="E6958" t="s">
        <v>366</v>
      </c>
      <c r="F6958" t="s">
        <v>95</v>
      </c>
      <c r="G6958" t="s">
        <v>52</v>
      </c>
      <c r="H6958" t="str">
        <f>"ΑΤΣΙΠΑΔΩΝ 10 ΜΑΣΤΑΜΠΑΣ"</f>
        <v>ΑΤΣΙΠΑΔΩΝ 10 ΜΑΣΤΑΜΠΑΣ</v>
      </c>
      <c r="I6958">
        <v>71305</v>
      </c>
      <c r="J6958">
        <v>2810214082</v>
      </c>
      <c r="K6958">
        <v>6974642653</v>
      </c>
      <c r="N6958" t="s">
        <v>1525</v>
      </c>
      <c r="O6958" t="s">
        <v>1526</v>
      </c>
      <c r="R6958" t="s">
        <v>159</v>
      </c>
      <c r="S6958">
        <v>4</v>
      </c>
      <c r="T6958" t="s">
        <v>8670</v>
      </c>
      <c r="U6958" s="1">
        <v>43348</v>
      </c>
      <c r="V6958" t="s">
        <v>80</v>
      </c>
      <c r="W6958" t="s">
        <v>81</v>
      </c>
      <c r="X6958" t="s">
        <v>58</v>
      </c>
      <c r="Y6958">
        <v>25</v>
      </c>
      <c r="Z6958" t="s">
        <v>59</v>
      </c>
      <c r="AA6958" t="s">
        <v>59</v>
      </c>
      <c r="AB6958" t="s">
        <v>59</v>
      </c>
      <c r="AC6958" t="s">
        <v>59</v>
      </c>
      <c r="AD6958" t="s">
        <v>59</v>
      </c>
      <c r="AF6958" s="1">
        <v>43348</v>
      </c>
      <c r="AG6958" t="s">
        <v>8651</v>
      </c>
      <c r="AH6958" t="s">
        <v>8652</v>
      </c>
      <c r="AI6958" t="str">
        <f>"9170528"</f>
        <v>9170528</v>
      </c>
      <c r="AJ6958" t="s">
        <v>11366</v>
      </c>
      <c r="AK6958">
        <v>2810871161</v>
      </c>
      <c r="AL6958" t="s">
        <v>11367</v>
      </c>
      <c r="AM6958" t="s">
        <v>78</v>
      </c>
      <c r="AN6958" t="s">
        <v>78</v>
      </c>
      <c r="AO6958" t="s">
        <v>437</v>
      </c>
      <c r="AP6958" t="s">
        <v>10113</v>
      </c>
      <c r="AQ6958">
        <v>5</v>
      </c>
      <c r="AR6958" t="s">
        <v>80</v>
      </c>
      <c r="AS6958" t="s">
        <v>81</v>
      </c>
      <c r="AT6958" t="s">
        <v>58</v>
      </c>
      <c r="AU6958" t="s">
        <v>8673</v>
      </c>
      <c r="AV6958" t="s">
        <v>132</v>
      </c>
      <c r="AW6958" s="1">
        <v>28518</v>
      </c>
      <c r="AX6958">
        <v>1</v>
      </c>
    </row>
    <row r="6959" spans="1:50">
      <c r="A6959">
        <v>617227</v>
      </c>
      <c r="B6959" t="str">
        <f>"070885964"</f>
        <v>070885964</v>
      </c>
      <c r="C6959" t="s">
        <v>105</v>
      </c>
      <c r="D6959" t="s">
        <v>11368</v>
      </c>
      <c r="E6959" t="s">
        <v>53</v>
      </c>
      <c r="F6959" t="s">
        <v>309</v>
      </c>
      <c r="G6959" t="s">
        <v>964</v>
      </c>
      <c r="H6959" t="str">
        <f>"ΒΟΣΠΟΡΟΥ 27 ΚΑΛΟΓΡΕΖΑ ΑΤΤΙΚΗΣ"</f>
        <v>ΒΟΣΠΟΡΟΥ 27 ΚΑΛΟΓΡΕΖΑ ΑΤΤΙΚΗΣ</v>
      </c>
      <c r="I6959">
        <v>14234</v>
      </c>
      <c r="J6959">
        <v>2102754687</v>
      </c>
      <c r="K6959">
        <v>6972221510</v>
      </c>
      <c r="N6959" t="s">
        <v>615</v>
      </c>
      <c r="O6959" t="s">
        <v>616</v>
      </c>
      <c r="R6959" t="s">
        <v>57</v>
      </c>
      <c r="S6959">
        <v>6</v>
      </c>
      <c r="T6959">
        <v>774</v>
      </c>
      <c r="U6959" s="1">
        <v>39680</v>
      </c>
      <c r="V6959" t="s">
        <v>80</v>
      </c>
      <c r="W6959" t="s">
        <v>81</v>
      </c>
      <c r="X6959" t="s">
        <v>58</v>
      </c>
      <c r="Y6959">
        <v>23</v>
      </c>
      <c r="Z6959" t="s">
        <v>59</v>
      </c>
      <c r="AA6959" t="s">
        <v>59</v>
      </c>
      <c r="AB6959" t="s">
        <v>59</v>
      </c>
      <c r="AC6959" t="s">
        <v>59</v>
      </c>
      <c r="AD6959" t="s">
        <v>59</v>
      </c>
      <c r="AF6959" s="1">
        <v>39681</v>
      </c>
      <c r="AG6959" t="s">
        <v>8645</v>
      </c>
      <c r="AH6959" t="s">
        <v>8646</v>
      </c>
      <c r="AI6959" t="str">
        <f>"9170027"</f>
        <v>9170027</v>
      </c>
      <c r="AJ6959" t="s">
        <v>8704</v>
      </c>
      <c r="AK6959">
        <v>2810711207</v>
      </c>
      <c r="AL6959" t="s">
        <v>8705</v>
      </c>
      <c r="AM6959" t="s">
        <v>78</v>
      </c>
      <c r="AN6959" t="s">
        <v>129</v>
      </c>
      <c r="AO6959" t="s">
        <v>597</v>
      </c>
      <c r="AP6959" t="s">
        <v>598</v>
      </c>
      <c r="AQ6959">
        <v>4</v>
      </c>
      <c r="AR6959" t="s">
        <v>80</v>
      </c>
      <c r="AS6959" t="s">
        <v>81</v>
      </c>
      <c r="AT6959" t="s">
        <v>58</v>
      </c>
      <c r="AU6959" t="s">
        <v>68</v>
      </c>
      <c r="AV6959" t="s">
        <v>69</v>
      </c>
      <c r="AW6959" s="1">
        <v>28250</v>
      </c>
      <c r="AX6959">
        <v>1</v>
      </c>
    </row>
    <row r="6960" spans="1:50">
      <c r="A6960">
        <v>571471</v>
      </c>
      <c r="B6960" t="str">
        <f>"035036531"</f>
        <v>035036531</v>
      </c>
      <c r="C6960" t="s">
        <v>105</v>
      </c>
      <c r="D6960" t="s">
        <v>11369</v>
      </c>
      <c r="E6960" t="s">
        <v>154</v>
      </c>
      <c r="F6960" t="s">
        <v>7324</v>
      </c>
      <c r="G6960" t="s">
        <v>52</v>
      </c>
      <c r="H6960" t="str">
        <f>"ΜΙΝΩΟΣ 72 ΗΡΑΚΛΕΙΟ"</f>
        <v>ΜΙΝΩΟΣ 72 ΗΡΑΚΛΕΙΟ</v>
      </c>
      <c r="I6960">
        <v>71304</v>
      </c>
      <c r="J6960">
        <v>2810251047</v>
      </c>
      <c r="K6960">
        <v>6972124280</v>
      </c>
      <c r="N6960" t="s">
        <v>615</v>
      </c>
      <c r="O6960" t="s">
        <v>616</v>
      </c>
      <c r="R6960" t="s">
        <v>57</v>
      </c>
      <c r="S6960">
        <v>14</v>
      </c>
      <c r="T6960">
        <v>138</v>
      </c>
      <c r="U6960" s="1">
        <v>34206</v>
      </c>
      <c r="V6960" t="s">
        <v>80</v>
      </c>
      <c r="W6960" t="s">
        <v>81</v>
      </c>
      <c r="X6960" t="s">
        <v>58</v>
      </c>
      <c r="Y6960">
        <v>21</v>
      </c>
      <c r="Z6960" t="s">
        <v>59</v>
      </c>
      <c r="AA6960" t="s">
        <v>59</v>
      </c>
      <c r="AB6960" t="s">
        <v>59</v>
      </c>
      <c r="AC6960" t="s">
        <v>59</v>
      </c>
      <c r="AD6960" t="s">
        <v>59</v>
      </c>
      <c r="AF6960" s="1">
        <v>34213</v>
      </c>
      <c r="AG6960" t="s">
        <v>8645</v>
      </c>
      <c r="AH6960" t="s">
        <v>8646</v>
      </c>
      <c r="AI6960" t="str">
        <f>"9170054"</f>
        <v>9170054</v>
      </c>
      <c r="AJ6960" t="s">
        <v>9106</v>
      </c>
      <c r="AK6960">
        <v>2810254527</v>
      </c>
      <c r="AL6960" t="s">
        <v>9107</v>
      </c>
      <c r="AM6960" t="s">
        <v>78</v>
      </c>
      <c r="AN6960" t="s">
        <v>78</v>
      </c>
      <c r="AO6960" t="s">
        <v>78</v>
      </c>
      <c r="AP6960" t="s">
        <v>163</v>
      </c>
      <c r="AQ6960">
        <v>1</v>
      </c>
      <c r="AR6960" t="s">
        <v>80</v>
      </c>
      <c r="AS6960" t="s">
        <v>81</v>
      </c>
      <c r="AT6960" t="s">
        <v>58</v>
      </c>
      <c r="AU6960" t="s">
        <v>68</v>
      </c>
      <c r="AV6960" t="s">
        <v>69</v>
      </c>
      <c r="AW6960" s="1">
        <v>22533</v>
      </c>
      <c r="AX6960">
        <v>1</v>
      </c>
    </row>
    <row r="6961" spans="1:50">
      <c r="B6961" t="str">
        <f>"126457122"</f>
        <v>126457122</v>
      </c>
      <c r="C6961" t="s">
        <v>50</v>
      </c>
      <c r="D6961" t="s">
        <v>11370</v>
      </c>
      <c r="E6961" t="s">
        <v>476</v>
      </c>
      <c r="F6961" t="s">
        <v>72</v>
      </c>
      <c r="G6961" t="s">
        <v>52</v>
      </c>
      <c r="H6961" t="str">
        <f>" "</f>
        <v xml:space="preserve"> </v>
      </c>
      <c r="N6961" t="s">
        <v>11371</v>
      </c>
      <c r="O6961" t="s">
        <v>11372</v>
      </c>
      <c r="R6961" t="s">
        <v>121</v>
      </c>
      <c r="S6961">
        <v>3</v>
      </c>
      <c r="T6961" t="s">
        <v>8696</v>
      </c>
      <c r="U6961" s="1">
        <v>43348</v>
      </c>
      <c r="V6961" t="s">
        <v>80</v>
      </c>
      <c r="W6961" t="s">
        <v>81</v>
      </c>
      <c r="X6961" t="s">
        <v>58</v>
      </c>
      <c r="Y6961">
        <v>24</v>
      </c>
      <c r="Z6961" t="s">
        <v>59</v>
      </c>
      <c r="AA6961" t="s">
        <v>59</v>
      </c>
      <c r="AB6961" t="s">
        <v>59</v>
      </c>
      <c r="AD6961" t="s">
        <v>59</v>
      </c>
      <c r="AF6961" s="1">
        <v>43348</v>
      </c>
      <c r="AG6961" t="s">
        <v>8645</v>
      </c>
      <c r="AH6961" t="s">
        <v>8697</v>
      </c>
      <c r="AI6961" t="str">
        <f>"9170358"</f>
        <v>9170358</v>
      </c>
      <c r="AJ6961" t="s">
        <v>9378</v>
      </c>
      <c r="AK6961">
        <v>2810282028</v>
      </c>
      <c r="AL6961" t="s">
        <v>9379</v>
      </c>
      <c r="AM6961" t="s">
        <v>78</v>
      </c>
      <c r="AN6961" t="s">
        <v>78</v>
      </c>
      <c r="AO6961" t="s">
        <v>78</v>
      </c>
      <c r="AP6961" t="s">
        <v>141</v>
      </c>
      <c r="AQ6961">
        <v>1</v>
      </c>
      <c r="AR6961" t="s">
        <v>80</v>
      </c>
      <c r="AS6961" t="s">
        <v>81</v>
      </c>
      <c r="AT6961" t="s">
        <v>58</v>
      </c>
      <c r="AU6961" t="s">
        <v>350</v>
      </c>
      <c r="AV6961" t="s">
        <v>132</v>
      </c>
      <c r="AW6961" s="1">
        <v>30255</v>
      </c>
      <c r="AX6961">
        <v>1</v>
      </c>
    </row>
    <row r="6962" spans="1:50">
      <c r="A6962">
        <v>574301</v>
      </c>
      <c r="B6962" t="str">
        <f>"064353967"</f>
        <v>064353967</v>
      </c>
      <c r="C6962" t="s">
        <v>50</v>
      </c>
      <c r="D6962" t="s">
        <v>8277</v>
      </c>
      <c r="E6962" t="s">
        <v>250</v>
      </c>
      <c r="F6962" t="s">
        <v>53</v>
      </c>
      <c r="G6962" t="s">
        <v>367</v>
      </c>
      <c r="H6962" t="str">
        <f>"ΙΕΡΟΛΟΧΙΤΩΝ 18 ΗΡΑΚΛΕΙΟ"</f>
        <v>ΙΕΡΟΛΟΧΙΤΩΝ 18 ΗΡΑΚΛΕΙΟ</v>
      </c>
      <c r="I6962">
        <v>71305</v>
      </c>
      <c r="J6962">
        <v>2810762957</v>
      </c>
      <c r="K6962">
        <v>6944244343</v>
      </c>
      <c r="M6962" t="s">
        <v>11373</v>
      </c>
      <c r="N6962" t="s">
        <v>615</v>
      </c>
      <c r="O6962" t="s">
        <v>616</v>
      </c>
      <c r="R6962" t="s">
        <v>57</v>
      </c>
      <c r="S6962">
        <v>12</v>
      </c>
      <c r="T6962">
        <v>160</v>
      </c>
      <c r="U6962" s="1">
        <v>34582</v>
      </c>
      <c r="V6962" t="s">
        <v>80</v>
      </c>
      <c r="W6962" t="s">
        <v>81</v>
      </c>
      <c r="X6962" t="s">
        <v>58</v>
      </c>
      <c r="Y6962">
        <v>21</v>
      </c>
      <c r="Z6962" t="s">
        <v>59</v>
      </c>
      <c r="AA6962" t="s">
        <v>59</v>
      </c>
      <c r="AB6962" t="s">
        <v>59</v>
      </c>
      <c r="AC6962" t="s">
        <v>59</v>
      </c>
      <c r="AD6962" t="s">
        <v>59</v>
      </c>
      <c r="AF6962" s="1">
        <v>34582</v>
      </c>
      <c r="AG6962" t="s">
        <v>8645</v>
      </c>
      <c r="AH6962" t="s">
        <v>8646</v>
      </c>
      <c r="AI6962" t="str">
        <f>"9170205"</f>
        <v>9170205</v>
      </c>
      <c r="AJ6962" t="s">
        <v>8794</v>
      </c>
      <c r="AK6962">
        <v>2810762030</v>
      </c>
      <c r="AL6962" t="s">
        <v>8795</v>
      </c>
      <c r="AM6962" t="s">
        <v>78</v>
      </c>
      <c r="AN6962" t="s">
        <v>219</v>
      </c>
      <c r="AO6962" t="s">
        <v>297</v>
      </c>
      <c r="AP6962" t="s">
        <v>8796</v>
      </c>
      <c r="AQ6962">
        <v>7</v>
      </c>
      <c r="AR6962" t="s">
        <v>80</v>
      </c>
      <c r="AS6962" t="s">
        <v>81</v>
      </c>
      <c r="AT6962" t="s">
        <v>58</v>
      </c>
      <c r="AU6962" t="s">
        <v>68</v>
      </c>
      <c r="AV6962" t="s">
        <v>69</v>
      </c>
      <c r="AW6962" s="1">
        <v>24319</v>
      </c>
      <c r="AX6962">
        <v>1</v>
      </c>
    </row>
    <row r="6963" spans="1:50">
      <c r="A6963">
        <v>559363</v>
      </c>
      <c r="B6963" t="str">
        <f>"032640869"</f>
        <v>032640869</v>
      </c>
      <c r="C6963" t="s">
        <v>50</v>
      </c>
      <c r="D6963" t="s">
        <v>11374</v>
      </c>
      <c r="E6963" t="s">
        <v>2807</v>
      </c>
      <c r="F6963" t="s">
        <v>72</v>
      </c>
      <c r="G6963" t="s">
        <v>2719</v>
      </c>
      <c r="H6963" t="str">
        <f>"ΣΚΕΠΕΤΖΗ &amp; ΕΣΤΙΑΣ 2 ΗΡΑΚΛΕΙΟ"</f>
        <v>ΣΚΕΠΕΤΖΗ &amp; ΕΣΤΙΑΣ 2 ΗΡΑΚΛΕΙΟ</v>
      </c>
      <c r="I6963">
        <v>71307</v>
      </c>
      <c r="J6963">
        <v>2810323178</v>
      </c>
      <c r="K6963">
        <v>6947073162</v>
      </c>
      <c r="N6963" t="s">
        <v>615</v>
      </c>
      <c r="O6963" t="s">
        <v>616</v>
      </c>
      <c r="R6963" t="s">
        <v>57</v>
      </c>
      <c r="S6963">
        <v>15</v>
      </c>
      <c r="T6963">
        <v>168</v>
      </c>
      <c r="U6963" s="1">
        <v>32010</v>
      </c>
      <c r="V6963" t="s">
        <v>80</v>
      </c>
      <c r="W6963" t="s">
        <v>81</v>
      </c>
      <c r="X6963" t="s">
        <v>58</v>
      </c>
      <c r="Y6963">
        <v>21</v>
      </c>
      <c r="Z6963" t="s">
        <v>59</v>
      </c>
      <c r="AA6963" t="s">
        <v>59</v>
      </c>
      <c r="AB6963" t="s">
        <v>59</v>
      </c>
      <c r="AC6963" t="s">
        <v>59</v>
      </c>
      <c r="AD6963" t="s">
        <v>59</v>
      </c>
      <c r="AF6963" s="1">
        <v>32024</v>
      </c>
      <c r="AG6963" t="s">
        <v>8645</v>
      </c>
      <c r="AH6963" t="s">
        <v>8646</v>
      </c>
      <c r="AI6963" t="str">
        <f>"9170115"</f>
        <v>9170115</v>
      </c>
      <c r="AJ6963" t="s">
        <v>8770</v>
      </c>
      <c r="AK6963">
        <v>2810231165</v>
      </c>
      <c r="AL6963" t="s">
        <v>8771</v>
      </c>
      <c r="AM6963" t="s">
        <v>78</v>
      </c>
      <c r="AN6963" t="s">
        <v>78</v>
      </c>
      <c r="AO6963" t="s">
        <v>78</v>
      </c>
      <c r="AP6963" t="s">
        <v>141</v>
      </c>
      <c r="AQ6963">
        <v>1</v>
      </c>
      <c r="AR6963" t="s">
        <v>80</v>
      </c>
      <c r="AS6963" t="s">
        <v>81</v>
      </c>
      <c r="AT6963" t="s">
        <v>58</v>
      </c>
      <c r="AU6963" t="s">
        <v>68</v>
      </c>
      <c r="AV6963" t="s">
        <v>69</v>
      </c>
      <c r="AW6963" s="1">
        <v>24076</v>
      </c>
      <c r="AX6963">
        <v>1</v>
      </c>
    </row>
    <row r="6964" spans="1:50">
      <c r="A6964">
        <v>618761</v>
      </c>
      <c r="B6964" t="str">
        <f>"138963175"</f>
        <v>138963175</v>
      </c>
      <c r="C6964" t="s">
        <v>50</v>
      </c>
      <c r="D6964" t="s">
        <v>11375</v>
      </c>
      <c r="E6964" t="s">
        <v>52</v>
      </c>
      <c r="F6964" t="s">
        <v>95</v>
      </c>
      <c r="G6964" t="s">
        <v>250</v>
      </c>
      <c r="H6964" t="str">
        <f>"ΚΛΕΙΤΟΥ 4 ΗΡΑΚΛΕΙΟ"</f>
        <v>ΚΛΕΙΤΟΥ 4 ΗΡΑΚΛΕΙΟ</v>
      </c>
      <c r="I6964">
        <v>71306</v>
      </c>
      <c r="J6964">
        <v>2810211870</v>
      </c>
      <c r="K6964">
        <v>6934350741</v>
      </c>
      <c r="M6964" t="s">
        <v>11376</v>
      </c>
      <c r="N6964" t="s">
        <v>615</v>
      </c>
      <c r="O6964" t="s">
        <v>616</v>
      </c>
      <c r="R6964" t="s">
        <v>57</v>
      </c>
      <c r="S6964">
        <v>5</v>
      </c>
      <c r="T6964">
        <v>774</v>
      </c>
      <c r="U6964" s="1">
        <v>39680</v>
      </c>
      <c r="V6964" t="s">
        <v>80</v>
      </c>
      <c r="W6964" t="s">
        <v>81</v>
      </c>
      <c r="X6964" t="s">
        <v>58</v>
      </c>
      <c r="Y6964">
        <v>23</v>
      </c>
      <c r="Z6964" t="s">
        <v>59</v>
      </c>
      <c r="AA6964" t="s">
        <v>59</v>
      </c>
      <c r="AB6964" t="s">
        <v>59</v>
      </c>
      <c r="AC6964" t="s">
        <v>59</v>
      </c>
      <c r="AD6964" t="s">
        <v>59</v>
      </c>
      <c r="AF6964" s="1">
        <v>39681</v>
      </c>
      <c r="AG6964" t="s">
        <v>8645</v>
      </c>
      <c r="AH6964" t="s">
        <v>8646</v>
      </c>
      <c r="AI6964" t="str">
        <f>"9170254"</f>
        <v>9170254</v>
      </c>
      <c r="AJ6964" t="s">
        <v>9839</v>
      </c>
      <c r="AK6964">
        <v>2810245069</v>
      </c>
      <c r="AL6964" t="s">
        <v>9840</v>
      </c>
      <c r="AM6964" t="s">
        <v>78</v>
      </c>
      <c r="AN6964" t="s">
        <v>78</v>
      </c>
      <c r="AO6964" t="s">
        <v>78</v>
      </c>
      <c r="AP6964" t="s">
        <v>213</v>
      </c>
      <c r="AQ6964">
        <v>1</v>
      </c>
      <c r="AR6964" t="s">
        <v>80</v>
      </c>
      <c r="AS6964" t="s">
        <v>81</v>
      </c>
      <c r="AT6964" t="s">
        <v>58</v>
      </c>
      <c r="AU6964" t="s">
        <v>68</v>
      </c>
      <c r="AV6964" t="s">
        <v>69</v>
      </c>
      <c r="AW6964" s="1">
        <v>31171</v>
      </c>
      <c r="AX6964">
        <v>1</v>
      </c>
    </row>
    <row r="6965" spans="1:50">
      <c r="A6965">
        <v>582704</v>
      </c>
      <c r="B6965" t="str">
        <f>"100102370"</f>
        <v>100102370</v>
      </c>
      <c r="C6965" t="s">
        <v>50</v>
      </c>
      <c r="D6965" t="s">
        <v>11375</v>
      </c>
      <c r="E6965" t="s">
        <v>52</v>
      </c>
      <c r="F6965" t="s">
        <v>166</v>
      </c>
      <c r="G6965" t="s">
        <v>83</v>
      </c>
      <c r="H6965" t="str">
        <f>" "</f>
        <v xml:space="preserve"> </v>
      </c>
      <c r="K6965">
        <v>6974724564</v>
      </c>
      <c r="N6965" t="s">
        <v>615</v>
      </c>
      <c r="O6965" t="s">
        <v>616</v>
      </c>
      <c r="R6965" t="s">
        <v>57</v>
      </c>
      <c r="S6965">
        <v>11</v>
      </c>
      <c r="T6965">
        <v>179</v>
      </c>
      <c r="U6965" s="1">
        <v>35674</v>
      </c>
      <c r="V6965" t="s">
        <v>80</v>
      </c>
      <c r="W6965" t="s">
        <v>81</v>
      </c>
      <c r="X6965" t="s">
        <v>58</v>
      </c>
      <c r="Y6965">
        <v>21</v>
      </c>
      <c r="Z6965" t="s">
        <v>59</v>
      </c>
      <c r="AA6965" t="s">
        <v>59</v>
      </c>
      <c r="AB6965" t="s">
        <v>59</v>
      </c>
      <c r="AC6965" t="s">
        <v>59</v>
      </c>
      <c r="AD6965" t="s">
        <v>59</v>
      </c>
      <c r="AF6965" s="1">
        <v>35677</v>
      </c>
      <c r="AG6965" t="s">
        <v>8645</v>
      </c>
      <c r="AH6965" t="s">
        <v>8646</v>
      </c>
      <c r="AI6965" t="str">
        <f>"9170009"</f>
        <v>9170009</v>
      </c>
      <c r="AJ6965" t="s">
        <v>8683</v>
      </c>
      <c r="AK6965">
        <v>2810861612</v>
      </c>
      <c r="AL6965" t="s">
        <v>8684</v>
      </c>
      <c r="AM6965" t="s">
        <v>78</v>
      </c>
      <c r="AN6965" t="s">
        <v>78</v>
      </c>
      <c r="AO6965" t="s">
        <v>185</v>
      </c>
      <c r="AP6965" t="s">
        <v>8685</v>
      </c>
      <c r="AQ6965">
        <v>4</v>
      </c>
      <c r="AR6965" t="s">
        <v>80</v>
      </c>
      <c r="AS6965" t="s">
        <v>81</v>
      </c>
      <c r="AT6965" t="s">
        <v>58</v>
      </c>
      <c r="AU6965" t="s">
        <v>68</v>
      </c>
      <c r="AV6965" t="s">
        <v>69</v>
      </c>
      <c r="AW6965" s="1">
        <v>24985</v>
      </c>
      <c r="AX6965">
        <v>1</v>
      </c>
    </row>
    <row r="6966" spans="1:50">
      <c r="A6966">
        <v>579894</v>
      </c>
      <c r="B6966" t="str">
        <f>"063289119"</f>
        <v>063289119</v>
      </c>
      <c r="C6966" t="s">
        <v>50</v>
      </c>
      <c r="D6966" t="s">
        <v>11377</v>
      </c>
      <c r="E6966" t="s">
        <v>71</v>
      </c>
      <c r="F6966" t="s">
        <v>1516</v>
      </c>
      <c r="G6966" t="s">
        <v>191</v>
      </c>
      <c r="H6966" t="str">
        <f>"ΑΓΙΟΣ ΒΑΣΙΛΕΙΟΣ ΑΡΧΑΝΕΣ"</f>
        <v>ΑΓΙΟΣ ΒΑΣΙΛΕΙΟΣ ΑΡΧΑΝΕΣ</v>
      </c>
      <c r="I6966">
        <v>70100</v>
      </c>
      <c r="J6966">
        <v>2810741975</v>
      </c>
      <c r="K6966">
        <v>6980530034</v>
      </c>
      <c r="M6966" t="s">
        <v>11378</v>
      </c>
      <c r="N6966" t="s">
        <v>1525</v>
      </c>
      <c r="O6966" t="s">
        <v>1526</v>
      </c>
      <c r="R6966" t="s">
        <v>57</v>
      </c>
      <c r="S6966">
        <v>13</v>
      </c>
      <c r="T6966">
        <v>165</v>
      </c>
      <c r="U6966" s="1">
        <v>35300</v>
      </c>
      <c r="V6966" t="s">
        <v>80</v>
      </c>
      <c r="W6966" t="s">
        <v>81</v>
      </c>
      <c r="X6966" t="s">
        <v>58</v>
      </c>
      <c r="Y6966">
        <v>25</v>
      </c>
      <c r="Z6966" t="s">
        <v>59</v>
      </c>
      <c r="AA6966" t="s">
        <v>59</v>
      </c>
      <c r="AB6966" t="s">
        <v>59</v>
      </c>
      <c r="AC6966" t="s">
        <v>59</v>
      </c>
      <c r="AD6966" t="s">
        <v>59</v>
      </c>
      <c r="AF6966" s="1">
        <v>35311</v>
      </c>
      <c r="AG6966" t="s">
        <v>8651</v>
      </c>
      <c r="AH6966" t="s">
        <v>8652</v>
      </c>
      <c r="AI6966" t="str">
        <f>"9170441"</f>
        <v>9170441</v>
      </c>
      <c r="AJ6966" t="s">
        <v>10839</v>
      </c>
      <c r="AK6966">
        <v>2810741759</v>
      </c>
      <c r="AL6966" t="s">
        <v>10840</v>
      </c>
      <c r="AM6966" t="s">
        <v>78</v>
      </c>
      <c r="AN6966" t="s">
        <v>424</v>
      </c>
      <c r="AO6966" t="s">
        <v>428</v>
      </c>
      <c r="AP6966" t="s">
        <v>8766</v>
      </c>
      <c r="AQ6966">
        <v>11</v>
      </c>
      <c r="AR6966" t="s">
        <v>80</v>
      </c>
      <c r="AS6966" t="s">
        <v>81</v>
      </c>
      <c r="AT6966" t="s">
        <v>58</v>
      </c>
      <c r="AU6966" t="s">
        <v>68</v>
      </c>
      <c r="AV6966" t="s">
        <v>69</v>
      </c>
      <c r="AW6966" s="1">
        <v>23913</v>
      </c>
      <c r="AX6966">
        <v>1</v>
      </c>
    </row>
    <row r="6967" spans="1:50">
      <c r="B6967" t="str">
        <f>"110735826"</f>
        <v>110735826</v>
      </c>
      <c r="C6967" t="s">
        <v>50</v>
      </c>
      <c r="D6967" t="s">
        <v>11379</v>
      </c>
      <c r="E6967" t="s">
        <v>83</v>
      </c>
      <c r="F6967" t="s">
        <v>106</v>
      </c>
      <c r="G6967" t="s">
        <v>250</v>
      </c>
      <c r="H6967" t="str">
        <f>"ΚΥΒΕΛΗΣ 25 ΚΑΜΙΝΑ"</f>
        <v>ΚΥΒΕΛΗΣ 25 ΚΑΜΙΝΑ</v>
      </c>
      <c r="I6967">
        <v>71303</v>
      </c>
      <c r="J6967">
        <v>2810528295</v>
      </c>
      <c r="K6967">
        <v>6973168159</v>
      </c>
      <c r="N6967" t="s">
        <v>1525</v>
      </c>
      <c r="O6967" t="s">
        <v>1526</v>
      </c>
      <c r="R6967" t="s">
        <v>159</v>
      </c>
      <c r="S6967">
        <v>4</v>
      </c>
      <c r="T6967" t="s">
        <v>8670</v>
      </c>
      <c r="U6967" s="1">
        <v>43348</v>
      </c>
      <c r="V6967" t="s">
        <v>80</v>
      </c>
      <c r="W6967" t="s">
        <v>81</v>
      </c>
      <c r="X6967" t="s">
        <v>58</v>
      </c>
      <c r="Y6967">
        <v>25</v>
      </c>
      <c r="Z6967" t="s">
        <v>59</v>
      </c>
      <c r="AA6967" t="s">
        <v>59</v>
      </c>
      <c r="AB6967" t="s">
        <v>59</v>
      </c>
      <c r="AC6967" t="s">
        <v>59</v>
      </c>
      <c r="AD6967" t="s">
        <v>59</v>
      </c>
      <c r="AF6967" s="1">
        <v>43348</v>
      </c>
      <c r="AG6967" t="s">
        <v>8651</v>
      </c>
      <c r="AH6967" t="s">
        <v>8652</v>
      </c>
      <c r="AI6967" t="str">
        <f>"9170406"</f>
        <v>9170406</v>
      </c>
      <c r="AJ6967" t="s">
        <v>10608</v>
      </c>
      <c r="AK6967">
        <v>2810223855</v>
      </c>
      <c r="AL6967" t="s">
        <v>10609</v>
      </c>
      <c r="AM6967" t="s">
        <v>78</v>
      </c>
      <c r="AN6967" t="s">
        <v>78</v>
      </c>
      <c r="AO6967" t="s">
        <v>78</v>
      </c>
      <c r="AP6967" t="s">
        <v>79</v>
      </c>
      <c r="AQ6967">
        <v>1</v>
      </c>
      <c r="AR6967" t="s">
        <v>80</v>
      </c>
      <c r="AS6967" t="s">
        <v>81</v>
      </c>
      <c r="AT6967" t="s">
        <v>58</v>
      </c>
      <c r="AU6967" t="s">
        <v>8673</v>
      </c>
      <c r="AV6967" t="s">
        <v>132</v>
      </c>
      <c r="AW6967" s="1">
        <v>32161</v>
      </c>
      <c r="AX6967">
        <v>1</v>
      </c>
    </row>
    <row r="6968" spans="1:50">
      <c r="A6968">
        <v>617726</v>
      </c>
      <c r="B6968" t="str">
        <f>"054559060"</f>
        <v>054559060</v>
      </c>
      <c r="C6968" t="s">
        <v>105</v>
      </c>
      <c r="D6968" t="s">
        <v>11380</v>
      </c>
      <c r="E6968" t="s">
        <v>450</v>
      </c>
      <c r="F6968" t="s">
        <v>995</v>
      </c>
      <c r="G6968" t="s">
        <v>11381</v>
      </c>
      <c r="H6968" t="str">
        <f>"ΠΑΥΛΟΥ ΜΕΛΑ 9 ΗΡΑΚΛΕΙΟ ΗΡΑΚΛΕΙΟ"</f>
        <v>ΠΑΥΛΟΥ ΜΕΛΑ 9 ΗΡΑΚΛΕΙΟ ΗΡΑΚΛΕΙΟ</v>
      </c>
      <c r="I6968">
        <v>71304</v>
      </c>
      <c r="J6968">
        <v>2810319955</v>
      </c>
      <c r="K6968">
        <v>6944280876</v>
      </c>
      <c r="N6968" t="s">
        <v>615</v>
      </c>
      <c r="O6968" t="s">
        <v>616</v>
      </c>
      <c r="R6968" t="s">
        <v>57</v>
      </c>
      <c r="S6968">
        <v>5</v>
      </c>
      <c r="T6968">
        <v>774</v>
      </c>
      <c r="U6968" s="1">
        <v>39680</v>
      </c>
      <c r="V6968" t="s">
        <v>80</v>
      </c>
      <c r="W6968" t="s">
        <v>81</v>
      </c>
      <c r="X6968" t="s">
        <v>58</v>
      </c>
      <c r="Y6968">
        <v>23</v>
      </c>
      <c r="Z6968" t="s">
        <v>59</v>
      </c>
      <c r="AA6968" t="s">
        <v>59</v>
      </c>
      <c r="AB6968" t="s">
        <v>59</v>
      </c>
      <c r="AC6968" t="s">
        <v>59</v>
      </c>
      <c r="AD6968" t="s">
        <v>59</v>
      </c>
      <c r="AF6968" s="1">
        <v>39681</v>
      </c>
      <c r="AG6968" t="s">
        <v>8645</v>
      </c>
      <c r="AH6968" t="s">
        <v>8646</v>
      </c>
      <c r="AI6968" t="str">
        <f>"9170057"</f>
        <v>9170057</v>
      </c>
      <c r="AJ6968" t="s">
        <v>8929</v>
      </c>
      <c r="AK6968">
        <v>2810251505</v>
      </c>
      <c r="AL6968" t="s">
        <v>8930</v>
      </c>
      <c r="AM6968" t="s">
        <v>78</v>
      </c>
      <c r="AN6968" t="s">
        <v>78</v>
      </c>
      <c r="AO6968" t="s">
        <v>78</v>
      </c>
      <c r="AP6968" t="s">
        <v>141</v>
      </c>
      <c r="AQ6968">
        <v>1</v>
      </c>
      <c r="AR6968" t="s">
        <v>80</v>
      </c>
      <c r="AS6968" t="s">
        <v>81</v>
      </c>
      <c r="AT6968" t="s">
        <v>58</v>
      </c>
      <c r="AU6968" t="s">
        <v>68</v>
      </c>
      <c r="AV6968" t="s">
        <v>69</v>
      </c>
      <c r="AW6968" s="1">
        <v>25542</v>
      </c>
      <c r="AX6968">
        <v>1</v>
      </c>
    </row>
    <row r="6969" spans="1:50">
      <c r="A6969">
        <v>618861</v>
      </c>
      <c r="B6969" t="str">
        <f>"070349774"</f>
        <v>070349774</v>
      </c>
      <c r="C6969" t="s">
        <v>50</v>
      </c>
      <c r="D6969" t="s">
        <v>11382</v>
      </c>
      <c r="E6969" t="s">
        <v>372</v>
      </c>
      <c r="F6969" t="s">
        <v>92</v>
      </c>
      <c r="G6969" t="s">
        <v>83</v>
      </c>
      <c r="H6969" t="str">
        <f>"ΣΤΕΦΑΝΟΓΙΑΝΝΗ 93 ΓΑΖΙ ΗΡΑΚΛΕΙΟΥ"</f>
        <v>ΣΤΕΦΑΝΟΓΙΑΝΝΗ 93 ΓΑΖΙ ΗΡΑΚΛΕΙΟΥ</v>
      </c>
      <c r="I6969">
        <v>71414</v>
      </c>
      <c r="J6969">
        <v>2810250866</v>
      </c>
      <c r="K6969">
        <v>6973202062</v>
      </c>
      <c r="M6969" t="s">
        <v>11383</v>
      </c>
      <c r="N6969" t="s">
        <v>615</v>
      </c>
      <c r="O6969" t="s">
        <v>616</v>
      </c>
      <c r="R6969" t="s">
        <v>57</v>
      </c>
      <c r="S6969">
        <v>5</v>
      </c>
      <c r="T6969">
        <v>774</v>
      </c>
      <c r="U6969" s="1">
        <v>39680</v>
      </c>
      <c r="V6969" t="s">
        <v>80</v>
      </c>
      <c r="W6969" t="s">
        <v>81</v>
      </c>
      <c r="X6969" t="s">
        <v>58</v>
      </c>
      <c r="Y6969">
        <v>23</v>
      </c>
      <c r="Z6969" t="s">
        <v>59</v>
      </c>
      <c r="AA6969" t="s">
        <v>59</v>
      </c>
      <c r="AB6969" t="s">
        <v>59</v>
      </c>
      <c r="AC6969" t="s">
        <v>59</v>
      </c>
      <c r="AD6969" t="s">
        <v>59</v>
      </c>
      <c r="AF6969" s="1">
        <v>39681</v>
      </c>
      <c r="AG6969" t="s">
        <v>8645</v>
      </c>
      <c r="AH6969" t="s">
        <v>8646</v>
      </c>
      <c r="AI6969" t="str">
        <f>"9170575"</f>
        <v>9170575</v>
      </c>
      <c r="AJ6969" t="s">
        <v>8748</v>
      </c>
      <c r="AK6969">
        <v>2810260772</v>
      </c>
      <c r="AL6969" t="s">
        <v>8749</v>
      </c>
      <c r="AM6969" t="s">
        <v>78</v>
      </c>
      <c r="AN6969" t="s">
        <v>78</v>
      </c>
      <c r="AO6969" t="s">
        <v>78</v>
      </c>
      <c r="AP6969" t="s">
        <v>141</v>
      </c>
      <c r="AQ6969">
        <v>1</v>
      </c>
      <c r="AR6969" t="s">
        <v>80</v>
      </c>
      <c r="AS6969" t="s">
        <v>81</v>
      </c>
      <c r="AT6969" t="s">
        <v>58</v>
      </c>
      <c r="AU6969" t="s">
        <v>68</v>
      </c>
      <c r="AV6969" t="s">
        <v>69</v>
      </c>
      <c r="AW6969" s="1">
        <v>31406</v>
      </c>
      <c r="AX6969">
        <v>1</v>
      </c>
    </row>
    <row r="6970" spans="1:50">
      <c r="A6970">
        <v>703338</v>
      </c>
      <c r="B6970" t="str">
        <f>"128947561"</f>
        <v>128947561</v>
      </c>
      <c r="C6970" t="s">
        <v>50</v>
      </c>
      <c r="D6970" t="s">
        <v>11384</v>
      </c>
      <c r="E6970" t="s">
        <v>237</v>
      </c>
      <c r="F6970" t="s">
        <v>450</v>
      </c>
      <c r="G6970" t="s">
        <v>801</v>
      </c>
      <c r="H6970" t="str">
        <f>"Κ.ΔΑΜΑΣΚΟΥ ΜΕΣΗΜΒΡΙΑΣ ΘΕΣΣΑΛΟΝΙΚΗΣ"</f>
        <v>Κ.ΔΑΜΑΣΚΟΥ ΜΕΣΗΜΒΡΙΑΣ ΘΕΣΣΑΛΟΝΙΚΗΣ</v>
      </c>
      <c r="I6970">
        <v>57011</v>
      </c>
      <c r="J6970">
        <v>2310713195</v>
      </c>
      <c r="K6970">
        <v>6944913289</v>
      </c>
      <c r="L6970">
        <v>2310952442</v>
      </c>
      <c r="M6970" t="s">
        <v>11385</v>
      </c>
      <c r="N6970" t="s">
        <v>615</v>
      </c>
      <c r="O6970" t="s">
        <v>616</v>
      </c>
      <c r="P6970" t="s">
        <v>257</v>
      </c>
      <c r="Q6970" t="s">
        <v>258</v>
      </c>
      <c r="R6970" t="s">
        <v>57</v>
      </c>
      <c r="S6970">
        <v>10</v>
      </c>
      <c r="T6970">
        <v>588</v>
      </c>
      <c r="U6970" s="1">
        <v>40778</v>
      </c>
      <c r="V6970" t="s">
        <v>80</v>
      </c>
      <c r="W6970" t="s">
        <v>81</v>
      </c>
      <c r="X6970" t="s">
        <v>58</v>
      </c>
      <c r="Y6970">
        <v>24</v>
      </c>
      <c r="Z6970" t="s">
        <v>59</v>
      </c>
      <c r="AA6970" t="s">
        <v>59</v>
      </c>
      <c r="AB6970" t="s">
        <v>59</v>
      </c>
      <c r="AC6970" t="s">
        <v>59</v>
      </c>
      <c r="AD6970" t="s">
        <v>59</v>
      </c>
      <c r="AF6970" s="1">
        <v>40781</v>
      </c>
      <c r="AG6970" t="s">
        <v>8645</v>
      </c>
      <c r="AH6970" t="s">
        <v>8676</v>
      </c>
      <c r="AI6970" t="str">
        <f>"9170279"</f>
        <v>9170279</v>
      </c>
      <c r="AJ6970" t="s">
        <v>9327</v>
      </c>
      <c r="AK6970">
        <v>2894031022</v>
      </c>
      <c r="AL6970" t="s">
        <v>9328</v>
      </c>
      <c r="AM6970" t="s">
        <v>78</v>
      </c>
      <c r="AN6970" t="s">
        <v>242</v>
      </c>
      <c r="AO6970" t="s">
        <v>999</v>
      </c>
      <c r="AP6970" t="s">
        <v>9222</v>
      </c>
      <c r="AQ6970">
        <v>21</v>
      </c>
      <c r="AR6970" t="s">
        <v>80</v>
      </c>
      <c r="AS6970" t="s">
        <v>81</v>
      </c>
      <c r="AT6970" t="s">
        <v>58</v>
      </c>
      <c r="AU6970" t="s">
        <v>68</v>
      </c>
      <c r="AV6970" t="s">
        <v>69</v>
      </c>
      <c r="AW6970" s="1">
        <v>30365</v>
      </c>
      <c r="AX6970">
        <v>1</v>
      </c>
    </row>
    <row r="6971" spans="1:50">
      <c r="A6971">
        <v>570914</v>
      </c>
      <c r="B6971" t="str">
        <f>"036486287"</f>
        <v>036486287</v>
      </c>
      <c r="C6971" t="s">
        <v>105</v>
      </c>
      <c r="D6971" t="s">
        <v>8292</v>
      </c>
      <c r="E6971" t="s">
        <v>53</v>
      </c>
      <c r="F6971" t="s">
        <v>95</v>
      </c>
      <c r="G6971" t="s">
        <v>620</v>
      </c>
      <c r="H6971" t="str">
        <f>"ΖΩΡΖΗ 17 ΗΡΑΚΛΕΙΟ"</f>
        <v>ΖΩΡΖΗ 17 ΗΡΑΚΛΕΙΟ</v>
      </c>
      <c r="I6971">
        <v>41409</v>
      </c>
      <c r="J6971">
        <v>2810313458</v>
      </c>
      <c r="K6971">
        <v>6939292540</v>
      </c>
      <c r="M6971" t="s">
        <v>11386</v>
      </c>
      <c r="N6971" t="s">
        <v>615</v>
      </c>
      <c r="O6971" t="s">
        <v>616</v>
      </c>
      <c r="R6971" t="s">
        <v>57</v>
      </c>
      <c r="S6971">
        <v>14</v>
      </c>
      <c r="T6971">
        <v>138</v>
      </c>
      <c r="U6971" s="1">
        <v>34206</v>
      </c>
      <c r="V6971" t="s">
        <v>80</v>
      </c>
      <c r="W6971" t="s">
        <v>81</v>
      </c>
      <c r="X6971" t="s">
        <v>58</v>
      </c>
      <c r="Y6971">
        <v>21</v>
      </c>
      <c r="Z6971" t="s">
        <v>59</v>
      </c>
      <c r="AA6971" t="s">
        <v>59</v>
      </c>
      <c r="AB6971" t="s">
        <v>59</v>
      </c>
      <c r="AC6971" t="s">
        <v>59</v>
      </c>
      <c r="AD6971" t="s">
        <v>59</v>
      </c>
      <c r="AF6971" s="1">
        <v>34215</v>
      </c>
      <c r="AG6971" t="s">
        <v>8645</v>
      </c>
      <c r="AH6971" t="s">
        <v>8646</v>
      </c>
      <c r="AI6971" t="str">
        <f>"9170535"</f>
        <v>9170535</v>
      </c>
      <c r="AJ6971" t="s">
        <v>9330</v>
      </c>
      <c r="AK6971">
        <v>2810222629</v>
      </c>
      <c r="AL6971" t="s">
        <v>9331</v>
      </c>
      <c r="AM6971" t="s">
        <v>78</v>
      </c>
      <c r="AN6971" t="s">
        <v>78</v>
      </c>
      <c r="AO6971" t="s">
        <v>78</v>
      </c>
      <c r="AP6971" t="s">
        <v>213</v>
      </c>
      <c r="AQ6971">
        <v>1</v>
      </c>
      <c r="AR6971" t="s">
        <v>80</v>
      </c>
      <c r="AS6971" t="s">
        <v>81</v>
      </c>
      <c r="AT6971" t="s">
        <v>58</v>
      </c>
      <c r="AU6971" t="s">
        <v>68</v>
      </c>
      <c r="AV6971" t="s">
        <v>69</v>
      </c>
      <c r="AW6971" s="1">
        <v>24460</v>
      </c>
      <c r="AX6971">
        <v>1</v>
      </c>
    </row>
    <row r="6972" spans="1:50">
      <c r="A6972">
        <v>618477</v>
      </c>
      <c r="B6972" t="str">
        <f>"138982800"</f>
        <v>138982800</v>
      </c>
      <c r="C6972" t="s">
        <v>50</v>
      </c>
      <c r="D6972" t="s">
        <v>11387</v>
      </c>
      <c r="E6972" t="s">
        <v>566</v>
      </c>
      <c r="F6972" t="s">
        <v>510</v>
      </c>
      <c r="G6972" t="s">
        <v>181</v>
      </c>
      <c r="H6972" t="str">
        <f>"ΜΙΝΩΙΤΩΝ 3 ΗΡΑΚΛΕΙΟ"</f>
        <v>ΜΙΝΩΙΤΩΝ 3 ΗΡΑΚΛΕΙΟ</v>
      </c>
      <c r="I6972">
        <v>71409</v>
      </c>
      <c r="J6972">
        <v>2810326748</v>
      </c>
      <c r="K6972">
        <v>6944902744</v>
      </c>
      <c r="M6972" t="s">
        <v>11388</v>
      </c>
      <c r="N6972" t="s">
        <v>615</v>
      </c>
      <c r="O6972" t="s">
        <v>616</v>
      </c>
      <c r="R6972" t="s">
        <v>57</v>
      </c>
      <c r="S6972">
        <v>5</v>
      </c>
      <c r="T6972">
        <v>774</v>
      </c>
      <c r="U6972" s="1">
        <v>39680</v>
      </c>
      <c r="V6972" t="s">
        <v>80</v>
      </c>
      <c r="W6972" t="s">
        <v>81</v>
      </c>
      <c r="X6972" t="s">
        <v>58</v>
      </c>
      <c r="Y6972">
        <v>23</v>
      </c>
      <c r="Z6972" t="s">
        <v>59</v>
      </c>
      <c r="AA6972" t="s">
        <v>59</v>
      </c>
      <c r="AB6972" t="s">
        <v>59</v>
      </c>
      <c r="AC6972" t="s">
        <v>59</v>
      </c>
      <c r="AD6972" t="s">
        <v>59</v>
      </c>
      <c r="AF6972" s="1">
        <v>39681</v>
      </c>
      <c r="AG6972" t="s">
        <v>8645</v>
      </c>
      <c r="AH6972" t="s">
        <v>8646</v>
      </c>
      <c r="AI6972" t="str">
        <f>"9170191"</f>
        <v>9170191</v>
      </c>
      <c r="AJ6972" t="s">
        <v>8667</v>
      </c>
      <c r="AK6972">
        <v>2810231459</v>
      </c>
      <c r="AL6972" t="s">
        <v>8668</v>
      </c>
      <c r="AM6972" t="s">
        <v>78</v>
      </c>
      <c r="AN6972" t="s">
        <v>78</v>
      </c>
      <c r="AO6972" t="s">
        <v>78</v>
      </c>
      <c r="AP6972" t="s">
        <v>163</v>
      </c>
      <c r="AQ6972">
        <v>1</v>
      </c>
      <c r="AR6972" t="s">
        <v>80</v>
      </c>
      <c r="AS6972" t="s">
        <v>81</v>
      </c>
      <c r="AT6972" t="s">
        <v>58</v>
      </c>
      <c r="AU6972" t="s">
        <v>68</v>
      </c>
      <c r="AV6972" t="s">
        <v>69</v>
      </c>
      <c r="AW6972" s="1">
        <v>30899</v>
      </c>
      <c r="AX6972">
        <v>1</v>
      </c>
    </row>
    <row r="6973" spans="1:50">
      <c r="A6973">
        <v>588015</v>
      </c>
      <c r="B6973" t="str">
        <f>"064353027"</f>
        <v>064353027</v>
      </c>
      <c r="C6973" t="s">
        <v>50</v>
      </c>
      <c r="D6973" t="s">
        <v>3721</v>
      </c>
      <c r="E6973" t="s">
        <v>250</v>
      </c>
      <c r="F6973" t="s">
        <v>949</v>
      </c>
      <c r="G6973" t="s">
        <v>255</v>
      </c>
      <c r="H6973" t="str">
        <f>"ΓΕΩΡΓ. ΑΜΑΡΓΙΑΝΝΑΚΗ 15 ΗΡΑΚΛΕΙΟ"</f>
        <v>ΓΕΩΡΓ. ΑΜΑΡΓΙΑΝΝΑΚΗ 15 ΗΡΑΚΛΕΙΟ</v>
      </c>
      <c r="I6973">
        <v>71409</v>
      </c>
      <c r="J6973">
        <v>2810320836</v>
      </c>
      <c r="K6973">
        <v>6972828387</v>
      </c>
      <c r="N6973" t="s">
        <v>1525</v>
      </c>
      <c r="O6973" t="s">
        <v>1526</v>
      </c>
      <c r="R6973" t="s">
        <v>57</v>
      </c>
      <c r="S6973">
        <v>9</v>
      </c>
      <c r="T6973">
        <v>250</v>
      </c>
      <c r="U6973" s="1">
        <v>36160</v>
      </c>
      <c r="V6973" t="s">
        <v>80</v>
      </c>
      <c r="W6973" t="s">
        <v>81</v>
      </c>
      <c r="X6973" t="s">
        <v>58</v>
      </c>
      <c r="Y6973">
        <v>25</v>
      </c>
      <c r="Z6973" t="s">
        <v>59</v>
      </c>
      <c r="AA6973" t="s">
        <v>59</v>
      </c>
      <c r="AB6973" t="s">
        <v>59</v>
      </c>
      <c r="AC6973" t="s">
        <v>59</v>
      </c>
      <c r="AD6973" t="s">
        <v>59</v>
      </c>
      <c r="AF6973" s="1">
        <v>36174</v>
      </c>
      <c r="AG6973" t="s">
        <v>8651</v>
      </c>
      <c r="AH6973" t="s">
        <v>8652</v>
      </c>
      <c r="AI6973" t="str">
        <f>"9170539"</f>
        <v>9170539</v>
      </c>
      <c r="AJ6973" t="s">
        <v>11389</v>
      </c>
      <c r="AK6973">
        <v>2810212420</v>
      </c>
      <c r="AL6973" t="s">
        <v>11390</v>
      </c>
      <c r="AM6973" t="s">
        <v>78</v>
      </c>
      <c r="AN6973" t="s">
        <v>78</v>
      </c>
      <c r="AO6973" t="s">
        <v>78</v>
      </c>
      <c r="AP6973" t="s">
        <v>163</v>
      </c>
      <c r="AQ6973">
        <v>1</v>
      </c>
      <c r="AR6973" t="s">
        <v>80</v>
      </c>
      <c r="AS6973" t="s">
        <v>81</v>
      </c>
      <c r="AT6973" t="s">
        <v>58</v>
      </c>
      <c r="AU6973" t="s">
        <v>68</v>
      </c>
      <c r="AV6973" t="s">
        <v>69</v>
      </c>
      <c r="AW6973" s="1">
        <v>25274</v>
      </c>
      <c r="AX6973">
        <v>1</v>
      </c>
    </row>
    <row r="6974" spans="1:50">
      <c r="A6974">
        <v>612736</v>
      </c>
      <c r="B6974" t="str">
        <f>"131722567"</f>
        <v>131722567</v>
      </c>
      <c r="C6974" t="s">
        <v>50</v>
      </c>
      <c r="D6974" t="s">
        <v>11391</v>
      </c>
      <c r="E6974" t="s">
        <v>476</v>
      </c>
      <c r="F6974" t="s">
        <v>202</v>
      </c>
      <c r="G6974" t="s">
        <v>237</v>
      </c>
      <c r="H6974" t="str">
        <f>"ΑΓΡΑΦΩΝ 31 ΚΑΤΕΡΙΝΗ"</f>
        <v>ΑΓΡΑΦΩΝ 31 ΚΑΤΕΡΙΝΗ</v>
      </c>
      <c r="I6974">
        <v>60100</v>
      </c>
      <c r="J6974">
        <v>2351038533</v>
      </c>
      <c r="K6974">
        <v>6972222965</v>
      </c>
      <c r="N6974" t="s">
        <v>1525</v>
      </c>
      <c r="O6974" t="s">
        <v>1526</v>
      </c>
      <c r="R6974" t="s">
        <v>57</v>
      </c>
      <c r="S6974">
        <v>6</v>
      </c>
      <c r="T6974">
        <v>254</v>
      </c>
      <c r="U6974" s="1">
        <v>38973</v>
      </c>
      <c r="V6974" t="s">
        <v>80</v>
      </c>
      <c r="W6974" t="s">
        <v>81</v>
      </c>
      <c r="X6974" t="s">
        <v>58</v>
      </c>
      <c r="Y6974">
        <v>25</v>
      </c>
      <c r="Z6974" t="s">
        <v>59</v>
      </c>
      <c r="AA6974" t="s">
        <v>59</v>
      </c>
      <c r="AB6974" t="s">
        <v>59</v>
      </c>
      <c r="AC6974" t="s">
        <v>59</v>
      </c>
      <c r="AD6974" t="s">
        <v>59</v>
      </c>
      <c r="AF6974" s="1">
        <v>38973</v>
      </c>
      <c r="AG6974" t="s">
        <v>8651</v>
      </c>
      <c r="AH6974" t="s">
        <v>8652</v>
      </c>
      <c r="AI6974" t="str">
        <f>"9170253"</f>
        <v>9170253</v>
      </c>
      <c r="AJ6974" t="s">
        <v>9551</v>
      </c>
      <c r="AK6974">
        <v>2810245816</v>
      </c>
      <c r="AL6974" t="s">
        <v>9552</v>
      </c>
      <c r="AM6974" t="s">
        <v>78</v>
      </c>
      <c r="AN6974" t="s">
        <v>78</v>
      </c>
      <c r="AO6974" t="s">
        <v>78</v>
      </c>
      <c r="AP6974" t="s">
        <v>213</v>
      </c>
      <c r="AQ6974">
        <v>1</v>
      </c>
      <c r="AR6974" t="s">
        <v>80</v>
      </c>
      <c r="AS6974" t="s">
        <v>81</v>
      </c>
      <c r="AT6974" t="s">
        <v>58</v>
      </c>
      <c r="AU6974" t="s">
        <v>68</v>
      </c>
      <c r="AV6974" t="s">
        <v>69</v>
      </c>
      <c r="AW6974" s="1">
        <v>30355</v>
      </c>
      <c r="AX6974">
        <v>1</v>
      </c>
    </row>
    <row r="6975" spans="1:50">
      <c r="A6975">
        <v>615871</v>
      </c>
      <c r="B6975" t="str">
        <f>"076864562"</f>
        <v>076864562</v>
      </c>
      <c r="C6975" t="s">
        <v>50</v>
      </c>
      <c r="D6975" t="s">
        <v>11392</v>
      </c>
      <c r="E6975" t="s">
        <v>52</v>
      </c>
      <c r="F6975" t="s">
        <v>995</v>
      </c>
      <c r="G6975" t="s">
        <v>563</v>
      </c>
      <c r="H6975" t="str">
        <f>"ΕΡΩΦΙΛΗΣ 14 ΗΡΑΚΛΕΙΟ"</f>
        <v>ΕΡΩΦΙΛΗΣ 14 ΗΡΑΚΛΕΙΟ</v>
      </c>
      <c r="I6975">
        <v>71305</v>
      </c>
      <c r="J6975">
        <v>2810327423</v>
      </c>
      <c r="K6975">
        <v>6947813651</v>
      </c>
      <c r="N6975" t="s">
        <v>176</v>
      </c>
      <c r="O6975" t="s">
        <v>177</v>
      </c>
      <c r="R6975" t="s">
        <v>57</v>
      </c>
      <c r="S6975">
        <v>10</v>
      </c>
      <c r="T6975">
        <v>600</v>
      </c>
      <c r="U6975" s="1">
        <v>39310</v>
      </c>
      <c r="V6975" t="s">
        <v>80</v>
      </c>
      <c r="W6975" t="s">
        <v>81</v>
      </c>
      <c r="X6975" t="s">
        <v>58</v>
      </c>
      <c r="Y6975">
        <v>21</v>
      </c>
      <c r="Z6975" t="s">
        <v>59</v>
      </c>
      <c r="AA6975" t="s">
        <v>59</v>
      </c>
      <c r="AB6975" t="s">
        <v>59</v>
      </c>
      <c r="AC6975" t="s">
        <v>59</v>
      </c>
      <c r="AD6975" t="s">
        <v>59</v>
      </c>
      <c r="AF6975" s="1">
        <v>39328</v>
      </c>
      <c r="AG6975" t="s">
        <v>8645</v>
      </c>
      <c r="AH6975" t="s">
        <v>8697</v>
      </c>
      <c r="AI6975" t="str">
        <f>"9170372"</f>
        <v>9170372</v>
      </c>
      <c r="AJ6975" t="s">
        <v>9296</v>
      </c>
      <c r="AK6975">
        <v>2810281754</v>
      </c>
      <c r="AL6975" t="s">
        <v>9297</v>
      </c>
      <c r="AM6975" t="s">
        <v>78</v>
      </c>
      <c r="AN6975" t="s">
        <v>78</v>
      </c>
      <c r="AO6975" t="s">
        <v>78</v>
      </c>
      <c r="AP6975" t="s">
        <v>79</v>
      </c>
      <c r="AQ6975">
        <v>1</v>
      </c>
      <c r="AR6975" t="s">
        <v>80</v>
      </c>
      <c r="AS6975" t="s">
        <v>81</v>
      </c>
      <c r="AT6975" t="s">
        <v>58</v>
      </c>
      <c r="AU6975" t="s">
        <v>68</v>
      </c>
      <c r="AV6975" t="s">
        <v>69</v>
      </c>
      <c r="AW6975" s="1">
        <v>25245</v>
      </c>
      <c r="AX6975">
        <v>1</v>
      </c>
    </row>
    <row r="6976" spans="1:50">
      <c r="B6976" t="str">
        <f>"137464143"</f>
        <v>137464143</v>
      </c>
      <c r="C6976" t="s">
        <v>50</v>
      </c>
      <c r="D6976" t="s">
        <v>3726</v>
      </c>
      <c r="E6976" t="s">
        <v>181</v>
      </c>
      <c r="F6976" t="s">
        <v>99</v>
      </c>
      <c r="G6976" t="s">
        <v>191</v>
      </c>
      <c r="H6976" t="str">
        <f>"ΓΡ. ΛΑΜΠΡΑΚΗ Κ ΚΑΡΑΪΣΚΑΚΗ ΓΩΝΙΑ ΓΑΖΙ"</f>
        <v>ΓΡ. ΛΑΜΠΡΑΚΗ Κ ΚΑΡΑΪΣΚΑΚΗ ΓΩΝΙΑ ΓΑΖΙ</v>
      </c>
      <c r="I6976">
        <v>71414</v>
      </c>
      <c r="J6976">
        <v>2810824844</v>
      </c>
      <c r="K6976">
        <v>6944188174</v>
      </c>
      <c r="N6976" t="s">
        <v>1525</v>
      </c>
      <c r="O6976" t="s">
        <v>1526</v>
      </c>
      <c r="R6976" t="s">
        <v>159</v>
      </c>
      <c r="S6976">
        <v>3</v>
      </c>
      <c r="T6976" t="s">
        <v>8670</v>
      </c>
      <c r="U6976" s="1">
        <v>43348</v>
      </c>
      <c r="V6976" t="s">
        <v>80</v>
      </c>
      <c r="W6976" t="s">
        <v>81</v>
      </c>
      <c r="X6976" t="s">
        <v>58</v>
      </c>
      <c r="Y6976">
        <v>25</v>
      </c>
      <c r="Z6976" t="s">
        <v>59</v>
      </c>
      <c r="AA6976" t="s">
        <v>59</v>
      </c>
      <c r="AB6976" t="s">
        <v>59</v>
      </c>
      <c r="AC6976" t="s">
        <v>59</v>
      </c>
      <c r="AD6976" t="s">
        <v>59</v>
      </c>
      <c r="AF6976" s="1">
        <v>43348</v>
      </c>
      <c r="AG6976" t="s">
        <v>8651</v>
      </c>
      <c r="AH6976" t="s">
        <v>8652</v>
      </c>
      <c r="AI6976" t="str">
        <f>"9170570"</f>
        <v>9170570</v>
      </c>
      <c r="AJ6976" t="s">
        <v>10584</v>
      </c>
      <c r="AK6976">
        <v>2810318507</v>
      </c>
      <c r="AL6976" t="s">
        <v>10585</v>
      </c>
      <c r="AM6976" t="s">
        <v>78</v>
      </c>
      <c r="AN6976" t="s">
        <v>129</v>
      </c>
      <c r="AO6976" t="s">
        <v>130</v>
      </c>
      <c r="AP6976" t="s">
        <v>130</v>
      </c>
      <c r="AQ6976">
        <v>1</v>
      </c>
      <c r="AR6976" t="s">
        <v>80</v>
      </c>
      <c r="AS6976" t="s">
        <v>81</v>
      </c>
      <c r="AT6976" t="s">
        <v>58</v>
      </c>
      <c r="AU6976" t="s">
        <v>8673</v>
      </c>
      <c r="AV6976" t="s">
        <v>132</v>
      </c>
      <c r="AW6976" s="1">
        <v>31264</v>
      </c>
      <c r="AX6976">
        <v>1</v>
      </c>
    </row>
    <row r="6977" spans="1:50">
      <c r="B6977" t="str">
        <f>"133738106"</f>
        <v>133738106</v>
      </c>
      <c r="C6977" t="s">
        <v>105</v>
      </c>
      <c r="D6977" t="s">
        <v>11393</v>
      </c>
      <c r="E6977" t="s">
        <v>609</v>
      </c>
      <c r="F6977" t="s">
        <v>99</v>
      </c>
      <c r="G6977" t="s">
        <v>11394</v>
      </c>
      <c r="H6977" t="str">
        <f>" "</f>
        <v xml:space="preserve"> </v>
      </c>
      <c r="N6977" t="s">
        <v>615</v>
      </c>
      <c r="O6977" t="s">
        <v>616</v>
      </c>
      <c r="R6977" t="s">
        <v>121</v>
      </c>
      <c r="S6977">
        <v>1</v>
      </c>
      <c r="T6977" t="s">
        <v>8675</v>
      </c>
      <c r="U6977" s="1">
        <v>43348</v>
      </c>
      <c r="V6977" t="s">
        <v>80</v>
      </c>
      <c r="W6977" t="s">
        <v>81</v>
      </c>
      <c r="X6977" t="s">
        <v>58</v>
      </c>
      <c r="Y6977">
        <v>24</v>
      </c>
      <c r="Z6977" t="s">
        <v>59</v>
      </c>
      <c r="AA6977" t="s">
        <v>59</v>
      </c>
      <c r="AB6977" t="s">
        <v>59</v>
      </c>
      <c r="AD6977" t="s">
        <v>59</v>
      </c>
      <c r="AF6977" s="1">
        <v>43348</v>
      </c>
      <c r="AG6977" t="s">
        <v>8645</v>
      </c>
      <c r="AH6977" t="s">
        <v>8646</v>
      </c>
      <c r="AI6977" t="str">
        <f>"9170194"</f>
        <v>9170194</v>
      </c>
      <c r="AJ6977" t="s">
        <v>8768</v>
      </c>
      <c r="AK6977">
        <v>2810239611</v>
      </c>
      <c r="AL6977" t="s">
        <v>8769</v>
      </c>
      <c r="AM6977" t="s">
        <v>78</v>
      </c>
      <c r="AN6977" t="s">
        <v>78</v>
      </c>
      <c r="AO6977" t="s">
        <v>78</v>
      </c>
      <c r="AP6977" t="s">
        <v>213</v>
      </c>
      <c r="AQ6977">
        <v>1</v>
      </c>
      <c r="AR6977" t="s">
        <v>80</v>
      </c>
      <c r="AS6977" t="s">
        <v>81</v>
      </c>
      <c r="AT6977" t="s">
        <v>58</v>
      </c>
      <c r="AU6977" t="s">
        <v>8673</v>
      </c>
      <c r="AV6977" t="s">
        <v>132</v>
      </c>
      <c r="AW6977" s="1">
        <v>32703</v>
      </c>
      <c r="AX6977">
        <v>1</v>
      </c>
    </row>
    <row r="6978" spans="1:50">
      <c r="A6978">
        <v>592590</v>
      </c>
      <c r="B6978" t="str">
        <f>"071130497"</f>
        <v>071130497</v>
      </c>
      <c r="C6978" t="s">
        <v>105</v>
      </c>
      <c r="D6978" t="s">
        <v>11395</v>
      </c>
      <c r="E6978" t="s">
        <v>949</v>
      </c>
      <c r="F6978" t="s">
        <v>99</v>
      </c>
      <c r="G6978" t="s">
        <v>237</v>
      </c>
      <c r="H6978" t="str">
        <f>"ΜΕΛΙΣΣΑΣ  11 ΠΟΡΟΣ"</f>
        <v>ΜΕΛΙΣΣΑΣ  11 ΠΟΡΟΣ</v>
      </c>
      <c r="I6978">
        <v>71307</v>
      </c>
      <c r="J6978">
        <v>2810280459</v>
      </c>
      <c r="K6978">
        <v>6997134107</v>
      </c>
      <c r="N6978" t="s">
        <v>176</v>
      </c>
      <c r="O6978" t="s">
        <v>177</v>
      </c>
      <c r="R6978" t="s">
        <v>57</v>
      </c>
      <c r="S6978">
        <v>11</v>
      </c>
      <c r="T6978">
        <v>250</v>
      </c>
      <c r="U6978" s="1">
        <v>36770</v>
      </c>
      <c r="V6978" t="s">
        <v>80</v>
      </c>
      <c r="W6978" t="s">
        <v>81</v>
      </c>
      <c r="X6978" t="s">
        <v>58</v>
      </c>
      <c r="Y6978">
        <v>22</v>
      </c>
      <c r="Z6978" t="s">
        <v>59</v>
      </c>
      <c r="AA6978" t="s">
        <v>59</v>
      </c>
      <c r="AB6978" t="s">
        <v>59</v>
      </c>
      <c r="AC6978" t="s">
        <v>59</v>
      </c>
      <c r="AD6978" t="s">
        <v>59</v>
      </c>
      <c r="AF6978" s="1">
        <v>36770</v>
      </c>
      <c r="AG6978" t="s">
        <v>8645</v>
      </c>
      <c r="AH6978" t="s">
        <v>8646</v>
      </c>
      <c r="AI6978" t="str">
        <f>"9170427"</f>
        <v>9170427</v>
      </c>
      <c r="AJ6978" t="s">
        <v>8817</v>
      </c>
      <c r="AK6978">
        <v>2810220998</v>
      </c>
      <c r="AL6978" t="s">
        <v>8818</v>
      </c>
      <c r="AM6978" t="s">
        <v>78</v>
      </c>
      <c r="AN6978" t="s">
        <v>78</v>
      </c>
      <c r="AO6978" t="s">
        <v>286</v>
      </c>
      <c r="AP6978" t="s">
        <v>286</v>
      </c>
      <c r="AQ6978">
        <v>1</v>
      </c>
      <c r="AR6978" t="s">
        <v>80</v>
      </c>
      <c r="AS6978" t="s">
        <v>81</v>
      </c>
      <c r="AT6978" t="s">
        <v>58</v>
      </c>
      <c r="AU6978" t="s">
        <v>68</v>
      </c>
      <c r="AV6978" t="s">
        <v>69</v>
      </c>
      <c r="AW6978" s="1">
        <v>25374</v>
      </c>
      <c r="AX6978">
        <v>1</v>
      </c>
    </row>
    <row r="6979" spans="1:50">
      <c r="A6979">
        <v>570208</v>
      </c>
      <c r="B6979" t="str">
        <f>"054090701"</f>
        <v>054090701</v>
      </c>
      <c r="C6979" t="s">
        <v>50</v>
      </c>
      <c r="D6979" t="s">
        <v>3734</v>
      </c>
      <c r="E6979" t="s">
        <v>237</v>
      </c>
      <c r="F6979" t="s">
        <v>53</v>
      </c>
      <c r="G6979" t="s">
        <v>860</v>
      </c>
      <c r="H6979" t="str">
        <f>"ΜΟΝΗΣ ΓΟΥΒΕΡΝΕΤΟΥ 30,ΠΑΤΕΛΕΣ ΗΡΑΚΛΕΙΟ"</f>
        <v>ΜΟΝΗΣ ΓΟΥΒΕΡΝΕΤΟΥ 30,ΠΑΤΕΛΕΣ ΗΡΑΚΛΕΙΟ</v>
      </c>
      <c r="I6979">
        <v>71307</v>
      </c>
      <c r="J6979">
        <v>2810242371</v>
      </c>
      <c r="K6979">
        <v>6938132521</v>
      </c>
      <c r="N6979" t="s">
        <v>306</v>
      </c>
      <c r="O6979" t="s">
        <v>307</v>
      </c>
      <c r="R6979" t="s">
        <v>57</v>
      </c>
      <c r="S6979">
        <v>14</v>
      </c>
      <c r="T6979">
        <v>239</v>
      </c>
      <c r="U6979" s="1">
        <v>33969</v>
      </c>
      <c r="V6979" t="s">
        <v>80</v>
      </c>
      <c r="W6979" t="s">
        <v>81</v>
      </c>
      <c r="X6979" t="s">
        <v>58</v>
      </c>
      <c r="Y6979">
        <v>21</v>
      </c>
      <c r="Z6979" t="s">
        <v>59</v>
      </c>
      <c r="AA6979" t="s">
        <v>59</v>
      </c>
      <c r="AB6979" t="s">
        <v>59</v>
      </c>
      <c r="AC6979" t="s">
        <v>59</v>
      </c>
      <c r="AD6979" t="s">
        <v>59</v>
      </c>
      <c r="AF6979" s="1">
        <v>33977</v>
      </c>
      <c r="AG6979" t="s">
        <v>8645</v>
      </c>
      <c r="AH6979" t="s">
        <v>8646</v>
      </c>
      <c r="AI6979" t="str">
        <f>"9170546"</f>
        <v>9170546</v>
      </c>
      <c r="AJ6979" t="s">
        <v>8953</v>
      </c>
      <c r="AK6979">
        <v>2810261362</v>
      </c>
      <c r="AL6979" t="s">
        <v>8954</v>
      </c>
      <c r="AM6979" t="s">
        <v>78</v>
      </c>
      <c r="AN6979" t="s">
        <v>78</v>
      </c>
      <c r="AO6979" t="s">
        <v>78</v>
      </c>
      <c r="AP6979" t="s">
        <v>141</v>
      </c>
      <c r="AQ6979">
        <v>1</v>
      </c>
      <c r="AR6979" t="s">
        <v>80</v>
      </c>
      <c r="AS6979" t="s">
        <v>81</v>
      </c>
      <c r="AT6979" t="s">
        <v>58</v>
      </c>
      <c r="AU6979" t="s">
        <v>68</v>
      </c>
      <c r="AV6979" t="s">
        <v>69</v>
      </c>
      <c r="AW6979" s="1">
        <v>24007</v>
      </c>
      <c r="AX6979">
        <v>1</v>
      </c>
    </row>
    <row r="6980" spans="1:50">
      <c r="A6980">
        <v>611053</v>
      </c>
      <c r="B6980" t="str">
        <f>"132346278"</f>
        <v>132346278</v>
      </c>
      <c r="C6980" t="s">
        <v>50</v>
      </c>
      <c r="D6980" t="s">
        <v>11396</v>
      </c>
      <c r="E6980" t="s">
        <v>250</v>
      </c>
      <c r="F6980" t="s">
        <v>99</v>
      </c>
      <c r="G6980" t="s">
        <v>1068</v>
      </c>
      <c r="H6980" t="str">
        <f>"ΠΑΠΑΠΕΤΡΟΥ ΓΑΒΑΛΑ 90 ΗΡΑΚΛΕΙΟ"</f>
        <v>ΠΑΠΑΠΕΤΡΟΥ ΓΑΒΑΛΑ 90 ΗΡΑΚΛΕΙΟ</v>
      </c>
      <c r="I6980">
        <v>71309</v>
      </c>
      <c r="J6980">
        <v>2810213947</v>
      </c>
      <c r="K6980">
        <v>6946554190</v>
      </c>
      <c r="M6980" t="s">
        <v>11397</v>
      </c>
      <c r="N6980" t="s">
        <v>615</v>
      </c>
      <c r="O6980" t="s">
        <v>616</v>
      </c>
      <c r="R6980" t="s">
        <v>57</v>
      </c>
      <c r="S6980">
        <v>6</v>
      </c>
      <c r="T6980">
        <v>233</v>
      </c>
      <c r="U6980" s="1">
        <v>38960</v>
      </c>
      <c r="V6980" t="s">
        <v>80</v>
      </c>
      <c r="W6980" t="s">
        <v>81</v>
      </c>
      <c r="X6980" t="s">
        <v>58</v>
      </c>
      <c r="Y6980">
        <v>23</v>
      </c>
      <c r="Z6980" t="s">
        <v>59</v>
      </c>
      <c r="AA6980" t="s">
        <v>59</v>
      </c>
      <c r="AB6980" t="s">
        <v>59</v>
      </c>
      <c r="AC6980" t="s">
        <v>59</v>
      </c>
      <c r="AD6980" t="s">
        <v>59</v>
      </c>
      <c r="AF6980" s="1">
        <v>38961</v>
      </c>
      <c r="AG6980" t="s">
        <v>8645</v>
      </c>
      <c r="AH6980" t="s">
        <v>8646</v>
      </c>
      <c r="AI6980" t="str">
        <f>"9170516"</f>
        <v>9170516</v>
      </c>
      <c r="AJ6980" t="s">
        <v>8746</v>
      </c>
      <c r="AK6980">
        <v>2810236861</v>
      </c>
      <c r="AL6980" t="s">
        <v>8747</v>
      </c>
      <c r="AM6980" t="s">
        <v>78</v>
      </c>
      <c r="AN6980" t="s">
        <v>78</v>
      </c>
      <c r="AO6980" t="s">
        <v>78</v>
      </c>
      <c r="AP6980" t="s">
        <v>163</v>
      </c>
      <c r="AQ6980">
        <v>1</v>
      </c>
      <c r="AR6980" t="s">
        <v>80</v>
      </c>
      <c r="AS6980" t="s">
        <v>81</v>
      </c>
      <c r="AT6980" t="s">
        <v>58</v>
      </c>
      <c r="AU6980" t="s">
        <v>68</v>
      </c>
      <c r="AV6980" t="s">
        <v>69</v>
      </c>
      <c r="AW6980" s="1">
        <v>30058</v>
      </c>
      <c r="AX6980">
        <v>1</v>
      </c>
    </row>
    <row r="6981" spans="1:50">
      <c r="A6981">
        <v>617422</v>
      </c>
      <c r="B6981" t="str">
        <f>"141374320"</f>
        <v>141374320</v>
      </c>
      <c r="C6981" t="s">
        <v>50</v>
      </c>
      <c r="D6981" t="s">
        <v>5439</v>
      </c>
      <c r="E6981" t="s">
        <v>255</v>
      </c>
      <c r="F6981" t="s">
        <v>166</v>
      </c>
      <c r="G6981" t="s">
        <v>10110</v>
      </c>
      <c r="H6981" t="str">
        <f>"ΒΑΣΙΛΕΙΕΣ ΗΡΑΚΛΕΙΟ"</f>
        <v>ΒΑΣΙΛΕΙΕΣ ΗΡΑΚΛΕΙΟ</v>
      </c>
      <c r="I6981">
        <v>75100</v>
      </c>
      <c r="J6981">
        <v>2814007363</v>
      </c>
      <c r="K6981">
        <v>6936793184</v>
      </c>
      <c r="N6981" t="s">
        <v>615</v>
      </c>
      <c r="O6981" t="s">
        <v>616</v>
      </c>
      <c r="R6981" t="s">
        <v>57</v>
      </c>
      <c r="S6981">
        <v>6</v>
      </c>
      <c r="T6981">
        <v>774</v>
      </c>
      <c r="U6981" s="1">
        <v>39680</v>
      </c>
      <c r="V6981" t="s">
        <v>80</v>
      </c>
      <c r="W6981" t="s">
        <v>81</v>
      </c>
      <c r="X6981" t="s">
        <v>58</v>
      </c>
      <c r="Y6981">
        <v>23</v>
      </c>
      <c r="Z6981" t="s">
        <v>59</v>
      </c>
      <c r="AA6981" t="s">
        <v>59</v>
      </c>
      <c r="AB6981" t="s">
        <v>59</v>
      </c>
      <c r="AC6981" t="s">
        <v>59</v>
      </c>
      <c r="AD6981" t="s">
        <v>59</v>
      </c>
      <c r="AF6981" s="1">
        <v>39681</v>
      </c>
      <c r="AG6981" t="s">
        <v>8645</v>
      </c>
      <c r="AH6981" t="s">
        <v>8646</v>
      </c>
      <c r="AI6981" t="str">
        <f>"9170109"</f>
        <v>9170109</v>
      </c>
      <c r="AJ6981" t="s">
        <v>9056</v>
      </c>
      <c r="AK6981">
        <v>2810212659</v>
      </c>
      <c r="AL6981" t="s">
        <v>9057</v>
      </c>
      <c r="AM6981" t="s">
        <v>78</v>
      </c>
      <c r="AN6981" t="s">
        <v>78</v>
      </c>
      <c r="AO6981" t="s">
        <v>78</v>
      </c>
      <c r="AP6981" t="s">
        <v>163</v>
      </c>
      <c r="AQ6981">
        <v>1</v>
      </c>
      <c r="AR6981" t="s">
        <v>80</v>
      </c>
      <c r="AS6981" t="s">
        <v>81</v>
      </c>
      <c r="AT6981" t="s">
        <v>58</v>
      </c>
      <c r="AU6981" t="s">
        <v>68</v>
      </c>
      <c r="AV6981" t="s">
        <v>69</v>
      </c>
      <c r="AW6981" s="1">
        <v>30527</v>
      </c>
      <c r="AX6981">
        <v>1</v>
      </c>
    </row>
    <row r="6982" spans="1:50">
      <c r="A6982">
        <v>551428</v>
      </c>
      <c r="B6982" t="str">
        <f>"028566331"</f>
        <v>028566331</v>
      </c>
      <c r="C6982" t="s">
        <v>105</v>
      </c>
      <c r="D6982" t="s">
        <v>11398</v>
      </c>
      <c r="E6982" t="s">
        <v>166</v>
      </c>
      <c r="F6982" t="s">
        <v>95</v>
      </c>
      <c r="G6982" t="s">
        <v>215</v>
      </c>
      <c r="H6982" t="str">
        <f>"ΒΑΣΙΛΕΙΕΣ ΗΡΑΚΛΕΙΟ"</f>
        <v>ΒΑΣΙΛΕΙΕΣ ΗΡΑΚΛΕΙΟ</v>
      </c>
      <c r="I6982">
        <v>71500</v>
      </c>
      <c r="J6982">
        <v>2810881980</v>
      </c>
      <c r="K6982">
        <v>6936871054</v>
      </c>
      <c r="M6982" t="s">
        <v>11399</v>
      </c>
      <c r="N6982" t="s">
        <v>615</v>
      </c>
      <c r="O6982" t="s">
        <v>616</v>
      </c>
      <c r="R6982" t="s">
        <v>57</v>
      </c>
      <c r="S6982">
        <v>19</v>
      </c>
      <c r="T6982">
        <v>217</v>
      </c>
      <c r="U6982" s="1">
        <v>30923</v>
      </c>
      <c r="V6982" t="s">
        <v>80</v>
      </c>
      <c r="W6982" t="s">
        <v>81</v>
      </c>
      <c r="X6982" t="s">
        <v>58</v>
      </c>
      <c r="Y6982">
        <v>21</v>
      </c>
      <c r="Z6982" t="s">
        <v>59</v>
      </c>
      <c r="AA6982" t="s">
        <v>59</v>
      </c>
      <c r="AB6982" t="s">
        <v>59</v>
      </c>
      <c r="AC6982" t="s">
        <v>59</v>
      </c>
      <c r="AD6982" t="s">
        <v>59</v>
      </c>
      <c r="AF6982" s="1">
        <v>30929</v>
      </c>
      <c r="AG6982" t="s">
        <v>8645</v>
      </c>
      <c r="AH6982" t="s">
        <v>8646</v>
      </c>
      <c r="AI6982" t="str">
        <f>"9170120"</f>
        <v>9170120</v>
      </c>
      <c r="AJ6982" t="s">
        <v>9237</v>
      </c>
      <c r="AK6982">
        <v>2810881577</v>
      </c>
      <c r="AL6982" t="s">
        <v>9238</v>
      </c>
      <c r="AM6982" t="s">
        <v>78</v>
      </c>
      <c r="AN6982" t="s">
        <v>78</v>
      </c>
      <c r="AO6982" t="s">
        <v>78</v>
      </c>
      <c r="AP6982" t="s">
        <v>9239</v>
      </c>
      <c r="AQ6982">
        <v>1</v>
      </c>
      <c r="AR6982" t="s">
        <v>80</v>
      </c>
      <c r="AS6982" t="s">
        <v>81</v>
      </c>
      <c r="AT6982" t="s">
        <v>58</v>
      </c>
      <c r="AU6982" t="s">
        <v>68</v>
      </c>
      <c r="AV6982" t="s">
        <v>69</v>
      </c>
      <c r="AW6982" s="1">
        <v>21993</v>
      </c>
      <c r="AX6982">
        <v>1</v>
      </c>
    </row>
    <row r="6983" spans="1:50">
      <c r="B6983" t="str">
        <f>"101260333"</f>
        <v>101260333</v>
      </c>
      <c r="C6983" t="s">
        <v>50</v>
      </c>
      <c r="D6983" t="s">
        <v>11400</v>
      </c>
      <c r="E6983" t="s">
        <v>460</v>
      </c>
      <c r="F6983" t="s">
        <v>84</v>
      </c>
      <c r="G6983" t="s">
        <v>54</v>
      </c>
      <c r="H6983" t="str">
        <f>"Α.ΠΑΠΑΝΔΡΕΟΥ 77 ΗΡΑΚΛΕΙΟ"</f>
        <v>Α.ΠΑΠΑΝΔΡΕΟΥ 77 ΗΡΑΚΛΕΙΟ</v>
      </c>
      <c r="I6983">
        <v>71305</v>
      </c>
      <c r="J6983">
        <v>2810211844</v>
      </c>
      <c r="K6983">
        <v>6976622140</v>
      </c>
      <c r="M6983" t="s">
        <v>11401</v>
      </c>
      <c r="N6983" t="s">
        <v>384</v>
      </c>
      <c r="O6983" t="s">
        <v>385</v>
      </c>
      <c r="R6983" t="s">
        <v>159</v>
      </c>
      <c r="S6983">
        <v>3</v>
      </c>
      <c r="T6983" t="s">
        <v>8675</v>
      </c>
      <c r="U6983" s="1">
        <v>43348</v>
      </c>
      <c r="V6983" t="s">
        <v>80</v>
      </c>
      <c r="W6983" t="s">
        <v>81</v>
      </c>
      <c r="X6983" t="s">
        <v>58</v>
      </c>
      <c r="Y6983">
        <v>24</v>
      </c>
      <c r="Z6983" t="s">
        <v>59</v>
      </c>
      <c r="AA6983" t="s">
        <v>59</v>
      </c>
      <c r="AB6983" t="s">
        <v>59</v>
      </c>
      <c r="AC6983" t="s">
        <v>59</v>
      </c>
      <c r="AD6983" t="s">
        <v>59</v>
      </c>
      <c r="AF6983" s="1">
        <v>43348</v>
      </c>
      <c r="AG6983" t="s">
        <v>8645</v>
      </c>
      <c r="AH6983" t="s">
        <v>8646</v>
      </c>
      <c r="AI6983" t="str">
        <f>"9170425"</f>
        <v>9170425</v>
      </c>
      <c r="AJ6983" t="s">
        <v>9350</v>
      </c>
      <c r="AK6983">
        <v>2810250261</v>
      </c>
      <c r="AL6983" t="s">
        <v>9351</v>
      </c>
      <c r="AM6983" t="s">
        <v>78</v>
      </c>
      <c r="AN6983" t="s">
        <v>78</v>
      </c>
      <c r="AO6983" t="s">
        <v>78</v>
      </c>
      <c r="AP6983" t="s">
        <v>141</v>
      </c>
      <c r="AQ6983">
        <v>1</v>
      </c>
      <c r="AR6983" t="s">
        <v>80</v>
      </c>
      <c r="AS6983" t="s">
        <v>81</v>
      </c>
      <c r="AT6983" t="s">
        <v>58</v>
      </c>
      <c r="AU6983" t="s">
        <v>8673</v>
      </c>
      <c r="AV6983" t="s">
        <v>132</v>
      </c>
      <c r="AW6983" s="1">
        <v>27358</v>
      </c>
      <c r="AX6983">
        <v>1</v>
      </c>
    </row>
    <row r="6984" spans="1:50">
      <c r="A6984">
        <v>579531</v>
      </c>
      <c r="B6984" t="str">
        <f>"059652790"</f>
        <v>059652790</v>
      </c>
      <c r="C6984" t="s">
        <v>50</v>
      </c>
      <c r="D6984" t="s">
        <v>11402</v>
      </c>
      <c r="E6984" t="s">
        <v>181</v>
      </c>
      <c r="F6984" t="s">
        <v>99</v>
      </c>
      <c r="G6984" t="s">
        <v>314</v>
      </c>
      <c r="H6984" t="str">
        <f>"ΚΕΡΑΜΟΥ 11 ΝΕΑ ΑΛΙΚΑΡΝΑΣΣΟΣ"</f>
        <v>ΚΕΡΑΜΟΥ 11 ΝΕΑ ΑΛΙΚΑΡΝΑΣΣΟΣ</v>
      </c>
      <c r="I6984">
        <v>71601</v>
      </c>
      <c r="J6984">
        <v>2810224081</v>
      </c>
      <c r="K6984">
        <v>6978494440</v>
      </c>
      <c r="N6984" t="s">
        <v>615</v>
      </c>
      <c r="O6984" t="s">
        <v>616</v>
      </c>
      <c r="R6984" t="s">
        <v>57</v>
      </c>
      <c r="S6984">
        <v>11</v>
      </c>
      <c r="T6984">
        <v>165</v>
      </c>
      <c r="U6984" s="1">
        <v>35300</v>
      </c>
      <c r="V6984" t="s">
        <v>80</v>
      </c>
      <c r="W6984" t="s">
        <v>81</v>
      </c>
      <c r="X6984" t="s">
        <v>58</v>
      </c>
      <c r="Y6984">
        <v>21</v>
      </c>
      <c r="Z6984" t="s">
        <v>59</v>
      </c>
      <c r="AA6984" t="s">
        <v>59</v>
      </c>
      <c r="AB6984" t="s">
        <v>59</v>
      </c>
      <c r="AC6984" t="s">
        <v>59</v>
      </c>
      <c r="AD6984" t="s">
        <v>59</v>
      </c>
      <c r="AF6984" s="1">
        <v>35310</v>
      </c>
      <c r="AG6984" t="s">
        <v>8645</v>
      </c>
      <c r="AH6984" t="s">
        <v>8646</v>
      </c>
      <c r="AI6984" t="str">
        <f>"9170520"</f>
        <v>9170520</v>
      </c>
      <c r="AJ6984" t="s">
        <v>8738</v>
      </c>
      <c r="AK6984">
        <v>2810281317</v>
      </c>
      <c r="AL6984" t="s">
        <v>8739</v>
      </c>
      <c r="AM6984" t="s">
        <v>78</v>
      </c>
      <c r="AN6984" t="s">
        <v>78</v>
      </c>
      <c r="AO6984" t="s">
        <v>286</v>
      </c>
      <c r="AP6984" t="s">
        <v>286</v>
      </c>
      <c r="AQ6984">
        <v>1</v>
      </c>
      <c r="AR6984" t="s">
        <v>80</v>
      </c>
      <c r="AS6984" t="s">
        <v>81</v>
      </c>
      <c r="AT6984" t="s">
        <v>58</v>
      </c>
      <c r="AU6984" t="s">
        <v>68</v>
      </c>
      <c r="AV6984" t="s">
        <v>69</v>
      </c>
      <c r="AW6984" s="1">
        <v>23641</v>
      </c>
      <c r="AX6984">
        <v>1</v>
      </c>
    </row>
    <row r="6985" spans="1:50">
      <c r="A6985">
        <v>599958</v>
      </c>
      <c r="B6985" t="str">
        <f>"039267613"</f>
        <v>039267613</v>
      </c>
      <c r="C6985" t="s">
        <v>50</v>
      </c>
      <c r="D6985" t="s">
        <v>3744</v>
      </c>
      <c r="E6985" t="s">
        <v>255</v>
      </c>
      <c r="F6985" t="s">
        <v>53</v>
      </c>
      <c r="G6985" t="s">
        <v>52</v>
      </c>
      <c r="H6985" t="str">
        <f>"ΚΑΜΠΟΣ ΑΓ. ΣΥΛΛΑ  ΗΡΑΚΛΕΙΟ"</f>
        <v>ΚΑΜΠΟΣ ΑΓ. ΣΥΛΛΑ  ΗΡΑΚΛΕΙΟ</v>
      </c>
      <c r="I6985">
        <v>71500</v>
      </c>
      <c r="J6985">
        <v>2810881878</v>
      </c>
      <c r="K6985">
        <v>6942241350</v>
      </c>
      <c r="L6985">
        <v>2810871640</v>
      </c>
      <c r="M6985" t="s">
        <v>11403</v>
      </c>
      <c r="N6985" t="s">
        <v>1525</v>
      </c>
      <c r="O6985" t="s">
        <v>1526</v>
      </c>
      <c r="R6985" t="s">
        <v>57</v>
      </c>
      <c r="S6985">
        <v>11</v>
      </c>
      <c r="T6985">
        <v>195</v>
      </c>
      <c r="U6985" s="1">
        <v>37497</v>
      </c>
      <c r="V6985" t="s">
        <v>80</v>
      </c>
      <c r="W6985" t="s">
        <v>81</v>
      </c>
      <c r="X6985" t="s">
        <v>58</v>
      </c>
      <c r="Y6985">
        <v>25</v>
      </c>
      <c r="Z6985" t="s">
        <v>59</v>
      </c>
      <c r="AA6985" t="s">
        <v>59</v>
      </c>
      <c r="AB6985" t="s">
        <v>59</v>
      </c>
      <c r="AC6985" t="s">
        <v>59</v>
      </c>
      <c r="AD6985" t="s">
        <v>59</v>
      </c>
      <c r="AF6985" s="1">
        <v>37502</v>
      </c>
      <c r="AG6985" t="s">
        <v>8651</v>
      </c>
      <c r="AH6985" t="s">
        <v>8652</v>
      </c>
      <c r="AI6985" t="str">
        <f>"9170127"</f>
        <v>9170127</v>
      </c>
      <c r="AJ6985" t="s">
        <v>10201</v>
      </c>
      <c r="AK6985">
        <v>2810871640</v>
      </c>
      <c r="AL6985" t="s">
        <v>10202</v>
      </c>
      <c r="AM6985" t="s">
        <v>78</v>
      </c>
      <c r="AN6985" t="s">
        <v>78</v>
      </c>
      <c r="AO6985" t="s">
        <v>437</v>
      </c>
      <c r="AP6985" t="s">
        <v>438</v>
      </c>
      <c r="AQ6985">
        <v>5</v>
      </c>
      <c r="AR6985" t="s">
        <v>80</v>
      </c>
      <c r="AS6985" t="s">
        <v>81</v>
      </c>
      <c r="AT6985" t="s">
        <v>58</v>
      </c>
      <c r="AU6985" t="s">
        <v>68</v>
      </c>
      <c r="AV6985" t="s">
        <v>69</v>
      </c>
      <c r="AW6985" s="1">
        <v>24025</v>
      </c>
      <c r="AX6985">
        <v>1</v>
      </c>
    </row>
    <row r="6986" spans="1:50">
      <c r="B6986" t="str">
        <f>"074560780"</f>
        <v>074560780</v>
      </c>
      <c r="C6986" t="s">
        <v>105</v>
      </c>
      <c r="D6986" t="s">
        <v>6519</v>
      </c>
      <c r="E6986" t="s">
        <v>53</v>
      </c>
      <c r="F6986" t="s">
        <v>304</v>
      </c>
      <c r="G6986" t="s">
        <v>280</v>
      </c>
      <c r="H6986" t="str">
        <f>"ΠΡΑΙΣΟΥ 25 ΗΡΑΚΛΕΙΟ"</f>
        <v>ΠΡΑΙΣΟΥ 25 ΗΡΑΚΛΕΙΟ</v>
      </c>
      <c r="I6986">
        <v>71305</v>
      </c>
      <c r="J6986">
        <v>2810370333</v>
      </c>
      <c r="K6986">
        <v>6973358256</v>
      </c>
      <c r="N6986" t="s">
        <v>176</v>
      </c>
      <c r="O6986" t="s">
        <v>177</v>
      </c>
      <c r="R6986" t="s">
        <v>159</v>
      </c>
      <c r="S6986">
        <v>4</v>
      </c>
      <c r="T6986" t="s">
        <v>8675</v>
      </c>
      <c r="U6986" s="1">
        <v>43348</v>
      </c>
      <c r="V6986" t="s">
        <v>80</v>
      </c>
      <c r="W6986" t="s">
        <v>81</v>
      </c>
      <c r="X6986" t="s">
        <v>58</v>
      </c>
      <c r="Y6986">
        <v>24</v>
      </c>
      <c r="Z6986" t="s">
        <v>59</v>
      </c>
      <c r="AA6986" t="s">
        <v>59</v>
      </c>
      <c r="AB6986" t="s">
        <v>59</v>
      </c>
      <c r="AC6986" t="s">
        <v>59</v>
      </c>
      <c r="AD6986" t="s">
        <v>59</v>
      </c>
      <c r="AF6986" s="1">
        <v>43348</v>
      </c>
      <c r="AG6986" t="s">
        <v>8645</v>
      </c>
      <c r="AH6986" t="s">
        <v>8646</v>
      </c>
      <c r="AI6986" t="str">
        <f>"9170107"</f>
        <v>9170107</v>
      </c>
      <c r="AJ6986" t="s">
        <v>8798</v>
      </c>
      <c r="AK6986">
        <v>2810282405</v>
      </c>
      <c r="AL6986" t="s">
        <v>8799</v>
      </c>
      <c r="AM6986" t="s">
        <v>78</v>
      </c>
      <c r="AN6986" t="s">
        <v>78</v>
      </c>
      <c r="AO6986" t="s">
        <v>78</v>
      </c>
      <c r="AP6986" t="s">
        <v>79</v>
      </c>
      <c r="AQ6986">
        <v>1</v>
      </c>
      <c r="AR6986" t="s">
        <v>80</v>
      </c>
      <c r="AS6986" t="s">
        <v>81</v>
      </c>
      <c r="AT6986" t="s">
        <v>58</v>
      </c>
      <c r="AU6986" t="s">
        <v>8673</v>
      </c>
      <c r="AV6986" t="s">
        <v>132</v>
      </c>
      <c r="AW6986" s="1">
        <v>25588</v>
      </c>
      <c r="AX6986">
        <v>1</v>
      </c>
    </row>
    <row r="6987" spans="1:50">
      <c r="A6987">
        <v>558771</v>
      </c>
      <c r="B6987" t="str">
        <f>"030271289"</f>
        <v>030271289</v>
      </c>
      <c r="C6987" t="s">
        <v>50</v>
      </c>
      <c r="D6987" t="s">
        <v>11404</v>
      </c>
      <c r="E6987" t="s">
        <v>580</v>
      </c>
      <c r="F6987" t="s">
        <v>450</v>
      </c>
      <c r="G6987" t="s">
        <v>237</v>
      </c>
      <c r="H6987" t="str">
        <f>" "</f>
        <v xml:space="preserve"> </v>
      </c>
      <c r="K6987">
        <v>6934832374</v>
      </c>
      <c r="N6987" t="s">
        <v>615</v>
      </c>
      <c r="O6987" t="s">
        <v>616</v>
      </c>
      <c r="R6987" t="s">
        <v>57</v>
      </c>
      <c r="S6987">
        <v>19</v>
      </c>
      <c r="T6987">
        <v>168</v>
      </c>
      <c r="U6987" s="1">
        <v>32010</v>
      </c>
      <c r="V6987" t="s">
        <v>80</v>
      </c>
      <c r="W6987" t="s">
        <v>81</v>
      </c>
      <c r="X6987" t="s">
        <v>58</v>
      </c>
      <c r="Y6987">
        <v>21</v>
      </c>
      <c r="Z6987" t="s">
        <v>59</v>
      </c>
      <c r="AA6987" t="s">
        <v>59</v>
      </c>
      <c r="AB6987" t="s">
        <v>59</v>
      </c>
      <c r="AC6987" t="s">
        <v>59</v>
      </c>
      <c r="AD6987" t="s">
        <v>59</v>
      </c>
      <c r="AF6987" s="1">
        <v>32022</v>
      </c>
      <c r="AG6987" t="s">
        <v>8645</v>
      </c>
      <c r="AH6987" t="s">
        <v>8646</v>
      </c>
      <c r="AI6987" t="str">
        <f>"9170196"</f>
        <v>9170196</v>
      </c>
      <c r="AJ6987" t="s">
        <v>9255</v>
      </c>
      <c r="AK6987">
        <v>2810283356</v>
      </c>
      <c r="AL6987" t="s">
        <v>9256</v>
      </c>
      <c r="AM6987" t="s">
        <v>78</v>
      </c>
      <c r="AN6987" t="s">
        <v>78</v>
      </c>
      <c r="AO6987" t="s">
        <v>78</v>
      </c>
      <c r="AP6987" t="s">
        <v>79</v>
      </c>
      <c r="AQ6987">
        <v>1</v>
      </c>
      <c r="AR6987" t="s">
        <v>80</v>
      </c>
      <c r="AS6987" t="s">
        <v>81</v>
      </c>
      <c r="AT6987" t="s">
        <v>58</v>
      </c>
      <c r="AU6987" t="s">
        <v>68</v>
      </c>
      <c r="AV6987" t="s">
        <v>69</v>
      </c>
      <c r="AW6987" s="1">
        <v>23658</v>
      </c>
      <c r="AX6987">
        <v>1</v>
      </c>
    </row>
    <row r="6988" spans="1:50">
      <c r="A6988">
        <v>603173</v>
      </c>
      <c r="B6988" t="str">
        <f>"076982007"</f>
        <v>076982007</v>
      </c>
      <c r="C6988" t="s">
        <v>50</v>
      </c>
      <c r="D6988" t="s">
        <v>3747</v>
      </c>
      <c r="E6988" t="s">
        <v>73</v>
      </c>
      <c r="F6988" t="s">
        <v>166</v>
      </c>
      <c r="G6988" t="s">
        <v>83</v>
      </c>
      <c r="H6988" t="str">
        <f>" "</f>
        <v xml:space="preserve"> </v>
      </c>
      <c r="J6988">
        <v>2810344930</v>
      </c>
      <c r="K6988">
        <v>6944780177</v>
      </c>
      <c r="N6988" t="s">
        <v>1525</v>
      </c>
      <c r="O6988" t="s">
        <v>1526</v>
      </c>
      <c r="R6988" t="s">
        <v>57</v>
      </c>
      <c r="S6988">
        <v>7</v>
      </c>
      <c r="T6988">
        <v>207</v>
      </c>
      <c r="U6988" s="1">
        <v>37866</v>
      </c>
      <c r="V6988" t="s">
        <v>80</v>
      </c>
      <c r="W6988" t="s">
        <v>81</v>
      </c>
      <c r="X6988" t="s">
        <v>58</v>
      </c>
      <c r="Y6988">
        <v>25</v>
      </c>
      <c r="Z6988" t="s">
        <v>59</v>
      </c>
      <c r="AA6988" t="s">
        <v>59</v>
      </c>
      <c r="AB6988" t="s">
        <v>59</v>
      </c>
      <c r="AC6988" t="s">
        <v>59</v>
      </c>
      <c r="AD6988" t="s">
        <v>59</v>
      </c>
      <c r="AF6988" s="1">
        <v>37866</v>
      </c>
      <c r="AG6988" t="s">
        <v>8651</v>
      </c>
      <c r="AH6988" t="s">
        <v>8652</v>
      </c>
      <c r="AI6988" t="str">
        <f>"9170186"</f>
        <v>9170186</v>
      </c>
      <c r="AJ6988" t="s">
        <v>9902</v>
      </c>
      <c r="AK6988">
        <v>2810211547</v>
      </c>
      <c r="AL6988" t="s">
        <v>9903</v>
      </c>
      <c r="AM6988" t="s">
        <v>78</v>
      </c>
      <c r="AN6988" t="s">
        <v>78</v>
      </c>
      <c r="AO6988" t="s">
        <v>78</v>
      </c>
      <c r="AP6988" t="s">
        <v>213</v>
      </c>
      <c r="AQ6988">
        <v>1</v>
      </c>
      <c r="AR6988" t="s">
        <v>80</v>
      </c>
      <c r="AS6988" t="s">
        <v>81</v>
      </c>
      <c r="AT6988" t="s">
        <v>58</v>
      </c>
      <c r="AU6988" t="s">
        <v>68</v>
      </c>
      <c r="AV6988" t="s">
        <v>69</v>
      </c>
      <c r="AW6988" s="1">
        <v>28237</v>
      </c>
      <c r="AX6988">
        <v>1</v>
      </c>
    </row>
    <row r="6989" spans="1:50">
      <c r="A6989">
        <v>586159</v>
      </c>
      <c r="B6989" t="str">
        <f>"068062749"</f>
        <v>068062749</v>
      </c>
      <c r="C6989" t="s">
        <v>50</v>
      </c>
      <c r="D6989" t="s">
        <v>3747</v>
      </c>
      <c r="E6989" t="s">
        <v>250</v>
      </c>
      <c r="F6989" t="s">
        <v>154</v>
      </c>
      <c r="G6989" t="s">
        <v>52</v>
      </c>
      <c r="H6989" t="str">
        <f>"ΑΡΙΣΤΟΤΕΛΗ ΩΝΑΣΗ 6 ΑΓΙΟΣ ΙΩΑΝΝΗΣ"</f>
        <v>ΑΡΙΣΤΟΤΕΛΗ ΩΝΑΣΗ 6 ΑΓΙΟΣ ΙΩΑΝΝΗΣ</v>
      </c>
      <c r="I6989">
        <v>71409</v>
      </c>
      <c r="J6989">
        <v>2810360072</v>
      </c>
      <c r="K6989">
        <v>6937311699</v>
      </c>
      <c r="N6989" t="s">
        <v>615</v>
      </c>
      <c r="O6989" t="s">
        <v>616</v>
      </c>
      <c r="R6989" t="s">
        <v>57</v>
      </c>
      <c r="S6989">
        <v>11</v>
      </c>
      <c r="T6989">
        <v>165</v>
      </c>
      <c r="U6989" s="1">
        <v>36040</v>
      </c>
      <c r="V6989" t="s">
        <v>80</v>
      </c>
      <c r="W6989" t="s">
        <v>81</v>
      </c>
      <c r="X6989" t="s">
        <v>58</v>
      </c>
      <c r="Y6989">
        <v>21</v>
      </c>
      <c r="Z6989" t="s">
        <v>59</v>
      </c>
      <c r="AA6989" t="s">
        <v>59</v>
      </c>
      <c r="AB6989" t="s">
        <v>59</v>
      </c>
      <c r="AC6989" t="s">
        <v>59</v>
      </c>
      <c r="AD6989" t="s">
        <v>59</v>
      </c>
      <c r="AF6989" s="1">
        <v>36045</v>
      </c>
      <c r="AG6989" t="s">
        <v>8645</v>
      </c>
      <c r="AH6989" t="s">
        <v>8646</v>
      </c>
      <c r="AI6989" t="str">
        <f>"9170534"</f>
        <v>9170534</v>
      </c>
      <c r="AJ6989" t="s">
        <v>8701</v>
      </c>
      <c r="AK6989">
        <v>2810323225</v>
      </c>
      <c r="AL6989" t="s">
        <v>8702</v>
      </c>
      <c r="AM6989" t="s">
        <v>78</v>
      </c>
      <c r="AN6989" t="s">
        <v>78</v>
      </c>
      <c r="AO6989" t="s">
        <v>78</v>
      </c>
      <c r="AP6989" t="s">
        <v>163</v>
      </c>
      <c r="AQ6989">
        <v>1</v>
      </c>
      <c r="AR6989" t="s">
        <v>80</v>
      </c>
      <c r="AS6989" t="s">
        <v>81</v>
      </c>
      <c r="AT6989" t="s">
        <v>58</v>
      </c>
      <c r="AU6989" t="s">
        <v>68</v>
      </c>
      <c r="AV6989" t="s">
        <v>69</v>
      </c>
      <c r="AW6989" s="1">
        <v>23369</v>
      </c>
      <c r="AX6989">
        <v>1</v>
      </c>
    </row>
    <row r="6990" spans="1:50">
      <c r="A6990">
        <v>597081</v>
      </c>
      <c r="B6990" t="str">
        <f>"079594194"</f>
        <v>079594194</v>
      </c>
      <c r="C6990" t="s">
        <v>50</v>
      </c>
      <c r="D6990" t="s">
        <v>3747</v>
      </c>
      <c r="E6990" t="s">
        <v>250</v>
      </c>
      <c r="F6990" t="s">
        <v>166</v>
      </c>
      <c r="G6990" t="s">
        <v>52</v>
      </c>
      <c r="H6990" t="str">
        <f>" "</f>
        <v xml:space="preserve"> </v>
      </c>
      <c r="N6990" t="s">
        <v>1525</v>
      </c>
      <c r="O6990" t="s">
        <v>1526</v>
      </c>
      <c r="R6990" t="s">
        <v>57</v>
      </c>
      <c r="S6990">
        <v>14</v>
      </c>
      <c r="T6990">
        <v>195</v>
      </c>
      <c r="U6990" s="1">
        <v>37497</v>
      </c>
      <c r="V6990" t="s">
        <v>80</v>
      </c>
      <c r="W6990" t="s">
        <v>81</v>
      </c>
      <c r="X6990" t="s">
        <v>58</v>
      </c>
      <c r="Y6990">
        <v>25</v>
      </c>
      <c r="Z6990" t="s">
        <v>59</v>
      </c>
      <c r="AA6990" t="s">
        <v>59</v>
      </c>
      <c r="AB6990" t="s">
        <v>59</v>
      </c>
      <c r="AC6990" t="s">
        <v>59</v>
      </c>
      <c r="AD6990" t="s">
        <v>59</v>
      </c>
      <c r="AF6990" s="1">
        <v>37501</v>
      </c>
      <c r="AG6990" t="s">
        <v>8651</v>
      </c>
      <c r="AH6990" t="s">
        <v>8652</v>
      </c>
      <c r="AI6990" t="str">
        <f>"9170443"</f>
        <v>9170443</v>
      </c>
      <c r="AJ6990" t="s">
        <v>10395</v>
      </c>
      <c r="AK6990">
        <v>2810731370</v>
      </c>
      <c r="AL6990" t="s">
        <v>10396</v>
      </c>
      <c r="AM6990" t="s">
        <v>78</v>
      </c>
      <c r="AN6990" t="s">
        <v>78</v>
      </c>
      <c r="AO6990" t="s">
        <v>78</v>
      </c>
      <c r="AP6990" t="s">
        <v>9198</v>
      </c>
      <c r="AQ6990">
        <v>11</v>
      </c>
      <c r="AR6990" t="s">
        <v>80</v>
      </c>
      <c r="AS6990" t="s">
        <v>81</v>
      </c>
      <c r="AT6990" t="s">
        <v>58</v>
      </c>
      <c r="AU6990" t="s">
        <v>68</v>
      </c>
      <c r="AV6990" t="s">
        <v>69</v>
      </c>
      <c r="AW6990" s="1">
        <v>26910</v>
      </c>
      <c r="AX6990">
        <v>1</v>
      </c>
    </row>
    <row r="6991" spans="1:50">
      <c r="A6991">
        <v>571354</v>
      </c>
      <c r="B6991" t="str">
        <f>"038890870"</f>
        <v>038890870</v>
      </c>
      <c r="C6991" t="s">
        <v>105</v>
      </c>
      <c r="D6991" t="s">
        <v>11405</v>
      </c>
      <c r="E6991" t="s">
        <v>166</v>
      </c>
      <c r="F6991" t="s">
        <v>5437</v>
      </c>
      <c r="G6991" t="s">
        <v>237</v>
      </c>
      <c r="H6991" t="str">
        <f>"ΣΟΛΩΝΟΣ 21 ΗΡΑΚΛΕΙΟ"</f>
        <v>ΣΟΛΩΝΟΣ 21 ΗΡΑΚΛΕΙΟ</v>
      </c>
      <c r="I6991">
        <v>71414</v>
      </c>
      <c r="J6991">
        <v>2810823059</v>
      </c>
      <c r="K6991">
        <v>6974041438</v>
      </c>
      <c r="N6991" t="s">
        <v>615</v>
      </c>
      <c r="O6991" t="s">
        <v>616</v>
      </c>
      <c r="R6991" t="s">
        <v>57</v>
      </c>
      <c r="S6991">
        <v>14</v>
      </c>
      <c r="T6991">
        <v>138</v>
      </c>
      <c r="U6991" s="1">
        <v>34206</v>
      </c>
      <c r="V6991" t="s">
        <v>80</v>
      </c>
      <c r="W6991" t="s">
        <v>81</v>
      </c>
      <c r="X6991" t="s">
        <v>58</v>
      </c>
      <c r="Y6991">
        <v>21</v>
      </c>
      <c r="Z6991" t="s">
        <v>59</v>
      </c>
      <c r="AA6991" t="s">
        <v>59</v>
      </c>
      <c r="AB6991" t="s">
        <v>59</v>
      </c>
      <c r="AC6991" t="s">
        <v>59</v>
      </c>
      <c r="AD6991" t="s">
        <v>59</v>
      </c>
      <c r="AF6991" s="1">
        <v>34213</v>
      </c>
      <c r="AG6991" t="s">
        <v>8645</v>
      </c>
      <c r="AH6991" t="s">
        <v>8646</v>
      </c>
      <c r="AI6991" t="str">
        <f>"9170580"</f>
        <v>9170580</v>
      </c>
      <c r="AJ6991" t="s">
        <v>9076</v>
      </c>
      <c r="AK6991">
        <v>2810542809</v>
      </c>
      <c r="AL6991" t="s">
        <v>9077</v>
      </c>
      <c r="AM6991" t="s">
        <v>78</v>
      </c>
      <c r="AN6991" t="s">
        <v>78</v>
      </c>
      <c r="AO6991" t="s">
        <v>78</v>
      </c>
      <c r="AP6991" t="s">
        <v>9053</v>
      </c>
      <c r="AQ6991">
        <v>1</v>
      </c>
      <c r="AR6991" t="s">
        <v>80</v>
      </c>
      <c r="AS6991" t="s">
        <v>81</v>
      </c>
      <c r="AT6991" t="s">
        <v>58</v>
      </c>
      <c r="AU6991" t="s">
        <v>68</v>
      </c>
      <c r="AV6991" t="s">
        <v>69</v>
      </c>
      <c r="AW6991" s="1">
        <v>24459</v>
      </c>
      <c r="AX6991">
        <v>1</v>
      </c>
    </row>
    <row r="6992" spans="1:50">
      <c r="A6992">
        <v>148004</v>
      </c>
      <c r="B6992" t="str">
        <f>"028666250"</f>
        <v>028666250</v>
      </c>
      <c r="C6992" t="s">
        <v>105</v>
      </c>
      <c r="D6992" t="s">
        <v>11406</v>
      </c>
      <c r="E6992" t="s">
        <v>309</v>
      </c>
      <c r="F6992" t="s">
        <v>383</v>
      </c>
      <c r="G6992" t="s">
        <v>980</v>
      </c>
      <c r="H6992" t="str">
        <f>"ΣΗΦΑΚΑ 82 "</f>
        <v xml:space="preserve">ΣΗΦΑΚΑ 82 </v>
      </c>
      <c r="I6992">
        <v>71306</v>
      </c>
      <c r="J6992">
        <v>2810320323</v>
      </c>
      <c r="K6992">
        <v>6945235183</v>
      </c>
      <c r="N6992" t="s">
        <v>176</v>
      </c>
      <c r="O6992" t="s">
        <v>177</v>
      </c>
      <c r="R6992" t="s">
        <v>57</v>
      </c>
      <c r="S6992">
        <v>16</v>
      </c>
      <c r="T6992">
        <v>237</v>
      </c>
      <c r="U6992" s="1">
        <v>31293</v>
      </c>
      <c r="V6992" t="s">
        <v>80</v>
      </c>
      <c r="W6992" t="s">
        <v>81</v>
      </c>
      <c r="X6992" t="s">
        <v>58</v>
      </c>
      <c r="Y6992">
        <v>21</v>
      </c>
      <c r="Z6992" t="s">
        <v>59</v>
      </c>
      <c r="AA6992" t="s">
        <v>59</v>
      </c>
      <c r="AB6992" t="s">
        <v>59</v>
      </c>
      <c r="AC6992" t="s">
        <v>59</v>
      </c>
      <c r="AD6992" t="s">
        <v>59</v>
      </c>
      <c r="AF6992" s="1">
        <v>31302</v>
      </c>
      <c r="AG6992" t="s">
        <v>8645</v>
      </c>
      <c r="AH6992" t="s">
        <v>8646</v>
      </c>
      <c r="AI6992" t="str">
        <f>"9170108"</f>
        <v>9170108</v>
      </c>
      <c r="AJ6992" t="s">
        <v>8863</v>
      </c>
      <c r="AK6992">
        <v>2810232111</v>
      </c>
      <c r="AL6992" t="s">
        <v>8864</v>
      </c>
      <c r="AM6992" t="s">
        <v>78</v>
      </c>
      <c r="AN6992" t="s">
        <v>78</v>
      </c>
      <c r="AO6992" t="s">
        <v>78</v>
      </c>
      <c r="AP6992" t="s">
        <v>163</v>
      </c>
      <c r="AQ6992">
        <v>1</v>
      </c>
      <c r="AR6992" t="s">
        <v>80</v>
      </c>
      <c r="AS6992" t="s">
        <v>81</v>
      </c>
      <c r="AT6992" t="s">
        <v>58</v>
      </c>
      <c r="AU6992" t="s">
        <v>68</v>
      </c>
      <c r="AV6992" t="s">
        <v>69</v>
      </c>
      <c r="AW6992" s="1">
        <v>21916</v>
      </c>
      <c r="AX6992">
        <v>1</v>
      </c>
    </row>
    <row r="6993" spans="1:50">
      <c r="A6993">
        <v>612554</v>
      </c>
      <c r="B6993" t="str">
        <f>"055725573"</f>
        <v>055725573</v>
      </c>
      <c r="C6993" t="s">
        <v>105</v>
      </c>
      <c r="D6993" t="s">
        <v>11406</v>
      </c>
      <c r="E6993" t="s">
        <v>84</v>
      </c>
      <c r="F6993" t="s">
        <v>53</v>
      </c>
      <c r="G6993" t="s">
        <v>484</v>
      </c>
      <c r="H6993" t="str">
        <f>" "</f>
        <v xml:space="preserve"> </v>
      </c>
      <c r="J6993">
        <v>2810390671</v>
      </c>
      <c r="K6993">
        <v>6932132556</v>
      </c>
      <c r="N6993" t="s">
        <v>176</v>
      </c>
      <c r="O6993" t="s">
        <v>177</v>
      </c>
      <c r="R6993" t="s">
        <v>57</v>
      </c>
      <c r="S6993">
        <v>8</v>
      </c>
      <c r="T6993">
        <v>234</v>
      </c>
      <c r="U6993" s="1">
        <v>38960</v>
      </c>
      <c r="V6993" t="s">
        <v>80</v>
      </c>
      <c r="W6993" t="s">
        <v>81</v>
      </c>
      <c r="X6993" t="s">
        <v>58</v>
      </c>
      <c r="Y6993">
        <v>22</v>
      </c>
      <c r="Z6993" t="s">
        <v>59</v>
      </c>
      <c r="AA6993" t="s">
        <v>59</v>
      </c>
      <c r="AB6993" t="s">
        <v>59</v>
      </c>
      <c r="AC6993" t="s">
        <v>59</v>
      </c>
      <c r="AD6993" t="s">
        <v>59</v>
      </c>
      <c r="AF6993" s="1">
        <v>38961</v>
      </c>
      <c r="AG6993" t="s">
        <v>8645</v>
      </c>
      <c r="AH6993" t="s">
        <v>8646</v>
      </c>
      <c r="AI6993" t="str">
        <f>"9170255"</f>
        <v>9170255</v>
      </c>
      <c r="AJ6993" t="s">
        <v>8915</v>
      </c>
      <c r="AK6993">
        <v>2810220750</v>
      </c>
      <c r="AL6993" t="s">
        <v>8916</v>
      </c>
      <c r="AM6993" t="s">
        <v>78</v>
      </c>
      <c r="AN6993" t="s">
        <v>78</v>
      </c>
      <c r="AO6993" t="s">
        <v>78</v>
      </c>
      <c r="AP6993" t="s">
        <v>213</v>
      </c>
      <c r="AQ6993">
        <v>1</v>
      </c>
      <c r="AR6993" t="s">
        <v>80</v>
      </c>
      <c r="AS6993" t="s">
        <v>81</v>
      </c>
      <c r="AT6993" t="s">
        <v>58</v>
      </c>
      <c r="AU6993" t="s">
        <v>68</v>
      </c>
      <c r="AV6993" t="s">
        <v>69</v>
      </c>
      <c r="AW6993" s="1">
        <v>24977</v>
      </c>
      <c r="AX6993">
        <v>1</v>
      </c>
    </row>
    <row r="6994" spans="1:50">
      <c r="A6994">
        <v>575771</v>
      </c>
      <c r="B6994" t="str">
        <f>"100694451"</f>
        <v>100694451</v>
      </c>
      <c r="C6994" t="s">
        <v>50</v>
      </c>
      <c r="D6994" t="s">
        <v>11407</v>
      </c>
      <c r="E6994" t="s">
        <v>5887</v>
      </c>
      <c r="F6994" t="s">
        <v>760</v>
      </c>
      <c r="G6994" t="s">
        <v>1744</v>
      </c>
      <c r="H6994" t="str">
        <f>" "</f>
        <v xml:space="preserve"> </v>
      </c>
      <c r="N6994" t="s">
        <v>615</v>
      </c>
      <c r="O6994" t="s">
        <v>616</v>
      </c>
      <c r="R6994" t="s">
        <v>57</v>
      </c>
      <c r="S6994">
        <v>11</v>
      </c>
      <c r="T6994">
        <v>184</v>
      </c>
      <c r="U6994" s="1">
        <v>34941</v>
      </c>
      <c r="V6994" t="s">
        <v>80</v>
      </c>
      <c r="W6994" t="s">
        <v>81</v>
      </c>
      <c r="X6994" t="s">
        <v>58</v>
      </c>
      <c r="Y6994">
        <v>21</v>
      </c>
      <c r="Z6994" t="s">
        <v>59</v>
      </c>
      <c r="AA6994" t="s">
        <v>59</v>
      </c>
      <c r="AB6994" t="s">
        <v>59</v>
      </c>
      <c r="AC6994" t="s">
        <v>59</v>
      </c>
      <c r="AD6994" t="s">
        <v>59</v>
      </c>
      <c r="AF6994" s="1">
        <v>34943</v>
      </c>
      <c r="AG6994" t="s">
        <v>8645</v>
      </c>
      <c r="AH6994" t="s">
        <v>8646</v>
      </c>
      <c r="AI6994" t="str">
        <f>"9170191"</f>
        <v>9170191</v>
      </c>
      <c r="AJ6994" t="s">
        <v>8667</v>
      </c>
      <c r="AK6994">
        <v>2810231459</v>
      </c>
      <c r="AL6994" t="s">
        <v>8668</v>
      </c>
      <c r="AM6994" t="s">
        <v>78</v>
      </c>
      <c r="AN6994" t="s">
        <v>78</v>
      </c>
      <c r="AO6994" t="s">
        <v>78</v>
      </c>
      <c r="AP6994" t="s">
        <v>163</v>
      </c>
      <c r="AQ6994">
        <v>1</v>
      </c>
      <c r="AR6994" t="s">
        <v>80</v>
      </c>
      <c r="AS6994" t="s">
        <v>81</v>
      </c>
      <c r="AT6994" t="s">
        <v>58</v>
      </c>
      <c r="AU6994" t="s">
        <v>68</v>
      </c>
      <c r="AV6994" t="s">
        <v>69</v>
      </c>
      <c r="AW6994" s="1">
        <v>24243</v>
      </c>
      <c r="AX6994">
        <v>1</v>
      </c>
    </row>
    <row r="6995" spans="1:50">
      <c r="B6995" t="str">
        <f>"119101348"</f>
        <v>119101348</v>
      </c>
      <c r="C6995" t="s">
        <v>50</v>
      </c>
      <c r="D6995" t="s">
        <v>11407</v>
      </c>
      <c r="E6995" t="s">
        <v>52</v>
      </c>
      <c r="F6995" t="s">
        <v>99</v>
      </c>
      <c r="G6995" t="s">
        <v>263</v>
      </c>
      <c r="H6995" t="str">
        <f>"ΚΟΡΟΜΗΛΑ 18 "</f>
        <v xml:space="preserve">ΚΟΡΟΜΗΛΑ 18 </v>
      </c>
      <c r="I6995">
        <v>54645</v>
      </c>
      <c r="J6995">
        <v>2310853878</v>
      </c>
      <c r="K6995">
        <v>6945966155</v>
      </c>
      <c r="M6995" t="s">
        <v>11408</v>
      </c>
      <c r="N6995" t="s">
        <v>1525</v>
      </c>
      <c r="O6995" t="s">
        <v>1526</v>
      </c>
      <c r="R6995" t="s">
        <v>159</v>
      </c>
      <c r="S6995">
        <v>3</v>
      </c>
      <c r="T6995" t="s">
        <v>8670</v>
      </c>
      <c r="U6995" s="1">
        <v>43348</v>
      </c>
      <c r="V6995" t="s">
        <v>80</v>
      </c>
      <c r="W6995" t="s">
        <v>81</v>
      </c>
      <c r="X6995" t="s">
        <v>58</v>
      </c>
      <c r="Y6995">
        <v>25</v>
      </c>
      <c r="Z6995" t="s">
        <v>59</v>
      </c>
      <c r="AA6995" t="s">
        <v>59</v>
      </c>
      <c r="AB6995" t="s">
        <v>59</v>
      </c>
      <c r="AC6995" t="s">
        <v>59</v>
      </c>
      <c r="AD6995" t="s">
        <v>59</v>
      </c>
      <c r="AF6995" s="1">
        <v>43348</v>
      </c>
      <c r="AG6995" t="s">
        <v>8651</v>
      </c>
      <c r="AH6995" t="s">
        <v>8652</v>
      </c>
      <c r="AI6995" t="str">
        <f>"9170371"</f>
        <v>9170371</v>
      </c>
      <c r="AJ6995" t="s">
        <v>9526</v>
      </c>
      <c r="AK6995">
        <v>2891031438</v>
      </c>
      <c r="AL6995" t="s">
        <v>9527</v>
      </c>
      <c r="AM6995" t="s">
        <v>78</v>
      </c>
      <c r="AN6995" t="s">
        <v>276</v>
      </c>
      <c r="AO6995" t="s">
        <v>277</v>
      </c>
      <c r="AP6995" t="s">
        <v>277</v>
      </c>
      <c r="AQ6995">
        <v>13</v>
      </c>
      <c r="AR6995" t="s">
        <v>80</v>
      </c>
      <c r="AS6995" t="s">
        <v>81</v>
      </c>
      <c r="AT6995" t="s">
        <v>58</v>
      </c>
      <c r="AU6995" t="s">
        <v>8673</v>
      </c>
      <c r="AV6995" t="s">
        <v>132</v>
      </c>
      <c r="AW6995" s="1">
        <v>29297</v>
      </c>
      <c r="AX6995">
        <v>1</v>
      </c>
    </row>
    <row r="6996" spans="1:50">
      <c r="B6996" t="str">
        <f>"114145565"</f>
        <v>114145565</v>
      </c>
      <c r="C6996" t="s">
        <v>50</v>
      </c>
      <c r="D6996" t="s">
        <v>11407</v>
      </c>
      <c r="E6996" t="s">
        <v>372</v>
      </c>
      <c r="F6996" t="s">
        <v>309</v>
      </c>
      <c r="H6996" t="str">
        <f>" "</f>
        <v xml:space="preserve"> </v>
      </c>
      <c r="N6996" t="s">
        <v>615</v>
      </c>
      <c r="O6996" t="s">
        <v>616</v>
      </c>
      <c r="R6996" t="s">
        <v>159</v>
      </c>
      <c r="S6996">
        <v>2</v>
      </c>
      <c r="T6996" t="s">
        <v>8675</v>
      </c>
      <c r="U6996" s="1">
        <v>43348</v>
      </c>
      <c r="V6996" t="s">
        <v>80</v>
      </c>
      <c r="W6996" t="s">
        <v>81</v>
      </c>
      <c r="X6996" t="s">
        <v>58</v>
      </c>
      <c r="Y6996">
        <v>24</v>
      </c>
      <c r="Z6996" t="s">
        <v>59</v>
      </c>
      <c r="AA6996" t="s">
        <v>59</v>
      </c>
      <c r="AB6996" t="s">
        <v>59</v>
      </c>
      <c r="AC6996" t="s">
        <v>59</v>
      </c>
      <c r="AD6996" t="s">
        <v>59</v>
      </c>
      <c r="AF6996" s="1">
        <v>43348</v>
      </c>
      <c r="AG6996" t="s">
        <v>8645</v>
      </c>
      <c r="AH6996" t="s">
        <v>8646</v>
      </c>
      <c r="AI6996" t="str">
        <f>"9170196"</f>
        <v>9170196</v>
      </c>
      <c r="AJ6996" t="s">
        <v>9255</v>
      </c>
      <c r="AK6996">
        <v>2810283356</v>
      </c>
      <c r="AL6996" t="s">
        <v>9256</v>
      </c>
      <c r="AM6996" t="s">
        <v>78</v>
      </c>
      <c r="AN6996" t="s">
        <v>78</v>
      </c>
      <c r="AO6996" t="s">
        <v>78</v>
      </c>
      <c r="AP6996" t="s">
        <v>79</v>
      </c>
      <c r="AQ6996">
        <v>1</v>
      </c>
      <c r="AR6996" t="s">
        <v>80</v>
      </c>
      <c r="AS6996" t="s">
        <v>81</v>
      </c>
      <c r="AT6996" t="s">
        <v>58</v>
      </c>
      <c r="AU6996" t="s">
        <v>8673</v>
      </c>
      <c r="AV6996" t="s">
        <v>132</v>
      </c>
      <c r="AW6996" s="1">
        <v>32928</v>
      </c>
      <c r="AX6996">
        <v>1</v>
      </c>
    </row>
    <row r="6997" spans="1:50">
      <c r="B6997" t="str">
        <f>"119657098"</f>
        <v>119657098</v>
      </c>
      <c r="C6997" t="s">
        <v>50</v>
      </c>
      <c r="D6997" t="s">
        <v>3755</v>
      </c>
      <c r="E6997" t="s">
        <v>54</v>
      </c>
      <c r="F6997" t="s">
        <v>106</v>
      </c>
      <c r="G6997" t="s">
        <v>255</v>
      </c>
      <c r="H6997" t="str">
        <f>"ΠΑΡΜΕΝΙΩΝΟΣ 5 ΗΡΑΚΛΕΙΟ"</f>
        <v>ΠΑΡΜΕΝΙΩΝΟΣ 5 ΗΡΑΚΛΕΙΟ</v>
      </c>
      <c r="I6997">
        <v>71307</v>
      </c>
      <c r="J6997">
        <v>2810239637</v>
      </c>
      <c r="K6997">
        <v>6972437607</v>
      </c>
      <c r="N6997" t="s">
        <v>306</v>
      </c>
      <c r="O6997" t="s">
        <v>307</v>
      </c>
      <c r="R6997" t="s">
        <v>159</v>
      </c>
      <c r="S6997">
        <v>3</v>
      </c>
      <c r="T6997" t="s">
        <v>8675</v>
      </c>
      <c r="U6997" s="1">
        <v>43348</v>
      </c>
      <c r="V6997" t="s">
        <v>80</v>
      </c>
      <c r="W6997" t="s">
        <v>81</v>
      </c>
      <c r="X6997" t="s">
        <v>58</v>
      </c>
      <c r="Y6997">
        <v>24</v>
      </c>
      <c r="Z6997" t="s">
        <v>59</v>
      </c>
      <c r="AA6997" t="s">
        <v>59</v>
      </c>
      <c r="AB6997" t="s">
        <v>59</v>
      </c>
      <c r="AC6997" t="s">
        <v>59</v>
      </c>
      <c r="AD6997" t="s">
        <v>59</v>
      </c>
      <c r="AF6997" s="1">
        <v>43348</v>
      </c>
      <c r="AG6997" t="s">
        <v>8645</v>
      </c>
      <c r="AH6997" t="s">
        <v>8646</v>
      </c>
      <c r="AI6997" t="str">
        <f>"9170002"</f>
        <v>9170002</v>
      </c>
      <c r="AJ6997" t="s">
        <v>9368</v>
      </c>
      <c r="AK6997">
        <v>2894041207</v>
      </c>
      <c r="AL6997" t="s">
        <v>9369</v>
      </c>
      <c r="AM6997" t="s">
        <v>78</v>
      </c>
      <c r="AN6997" t="s">
        <v>405</v>
      </c>
      <c r="AO6997" t="s">
        <v>551</v>
      </c>
      <c r="AP6997" t="s">
        <v>552</v>
      </c>
      <c r="AQ6997">
        <v>21</v>
      </c>
      <c r="AR6997" t="s">
        <v>80</v>
      </c>
      <c r="AS6997" t="s">
        <v>81</v>
      </c>
      <c r="AT6997" t="s">
        <v>58</v>
      </c>
      <c r="AU6997" t="s">
        <v>8673</v>
      </c>
      <c r="AV6997" t="s">
        <v>132</v>
      </c>
      <c r="AW6997" s="1">
        <v>30333</v>
      </c>
      <c r="AX6997">
        <v>1</v>
      </c>
    </row>
    <row r="6998" spans="1:50">
      <c r="A6998">
        <v>194086</v>
      </c>
      <c r="B6998" t="str">
        <f>"054675703"</f>
        <v>054675703</v>
      </c>
      <c r="C6998" t="s">
        <v>50</v>
      </c>
      <c r="D6998" t="s">
        <v>3765</v>
      </c>
      <c r="E6998" t="s">
        <v>476</v>
      </c>
      <c r="F6998" t="s">
        <v>4071</v>
      </c>
      <c r="G6998" t="s">
        <v>52</v>
      </c>
      <c r="H6998" t="str">
        <f>"ΧΑΡ. ΤΡΙΚΟΥΠΗ 19 "</f>
        <v xml:space="preserve">ΧΑΡ. ΤΡΙΚΟΥΠΗ 19 </v>
      </c>
      <c r="J6998">
        <v>2810280587</v>
      </c>
      <c r="K6998">
        <v>6977882520</v>
      </c>
      <c r="N6998" t="s">
        <v>306</v>
      </c>
      <c r="O6998" t="s">
        <v>307</v>
      </c>
      <c r="R6998" t="s">
        <v>57</v>
      </c>
      <c r="S6998">
        <v>11</v>
      </c>
      <c r="T6998">
        <v>193</v>
      </c>
      <c r="U6998" s="1">
        <v>37497</v>
      </c>
      <c r="V6998" t="s">
        <v>80</v>
      </c>
      <c r="W6998" t="s">
        <v>81</v>
      </c>
      <c r="X6998" t="s">
        <v>58</v>
      </c>
      <c r="Y6998">
        <v>21</v>
      </c>
      <c r="Z6998" t="s">
        <v>59</v>
      </c>
      <c r="AA6998" t="s">
        <v>59</v>
      </c>
      <c r="AB6998" t="s">
        <v>59</v>
      </c>
      <c r="AC6998" t="s">
        <v>59</v>
      </c>
      <c r="AD6998" t="s">
        <v>59</v>
      </c>
      <c r="AF6998" s="1">
        <v>37501</v>
      </c>
      <c r="AG6998" t="s">
        <v>8645</v>
      </c>
      <c r="AH6998" t="s">
        <v>8646</v>
      </c>
      <c r="AI6998" t="str">
        <f>"9170196"</f>
        <v>9170196</v>
      </c>
      <c r="AJ6998" t="s">
        <v>9255</v>
      </c>
      <c r="AK6998">
        <v>2810283356</v>
      </c>
      <c r="AL6998" t="s">
        <v>9256</v>
      </c>
      <c r="AM6998" t="s">
        <v>78</v>
      </c>
      <c r="AN6998" t="s">
        <v>78</v>
      </c>
      <c r="AO6998" t="s">
        <v>78</v>
      </c>
      <c r="AP6998" t="s">
        <v>79</v>
      </c>
      <c r="AQ6998">
        <v>1</v>
      </c>
      <c r="AR6998" t="s">
        <v>80</v>
      </c>
      <c r="AS6998" t="s">
        <v>81</v>
      </c>
      <c r="AT6998" t="s">
        <v>58</v>
      </c>
      <c r="AU6998" t="s">
        <v>68</v>
      </c>
      <c r="AV6998" t="s">
        <v>69</v>
      </c>
      <c r="AW6998" s="1">
        <v>24309</v>
      </c>
      <c r="AX6998">
        <v>1</v>
      </c>
    </row>
    <row r="6999" spans="1:50">
      <c r="B6999" t="str">
        <f>"137245284"</f>
        <v>137245284</v>
      </c>
      <c r="C6999" t="s">
        <v>50</v>
      </c>
      <c r="D6999" t="s">
        <v>3769</v>
      </c>
      <c r="E6999" t="s">
        <v>250</v>
      </c>
      <c r="F6999" t="s">
        <v>99</v>
      </c>
      <c r="G6999" t="s">
        <v>52</v>
      </c>
      <c r="H6999" t="str">
        <f>"Μαργουνίου 21 "</f>
        <v xml:space="preserve">Μαργουνίου 21 </v>
      </c>
      <c r="I6999">
        <v>71306</v>
      </c>
      <c r="J6999">
        <v>2813009733</v>
      </c>
      <c r="K6999">
        <v>6973215007</v>
      </c>
      <c r="M6999" t="s">
        <v>11409</v>
      </c>
      <c r="N6999" t="s">
        <v>1525</v>
      </c>
      <c r="O6999" t="s">
        <v>1526</v>
      </c>
      <c r="R6999" t="s">
        <v>159</v>
      </c>
      <c r="S6999">
        <v>3</v>
      </c>
      <c r="T6999" t="s">
        <v>8670</v>
      </c>
      <c r="U6999" s="1">
        <v>43348</v>
      </c>
      <c r="V6999" t="s">
        <v>80</v>
      </c>
      <c r="W6999" t="s">
        <v>81</v>
      </c>
      <c r="X6999" t="s">
        <v>58</v>
      </c>
      <c r="Y6999">
        <v>25</v>
      </c>
      <c r="Z6999" t="s">
        <v>59</v>
      </c>
      <c r="AA6999" t="s">
        <v>59</v>
      </c>
      <c r="AB6999" t="s">
        <v>59</v>
      </c>
      <c r="AC6999" t="s">
        <v>59</v>
      </c>
      <c r="AD6999" t="s">
        <v>59</v>
      </c>
      <c r="AF6999" s="1">
        <v>43348</v>
      </c>
      <c r="AG6999" t="s">
        <v>8651</v>
      </c>
      <c r="AH6999" t="s">
        <v>9202</v>
      </c>
      <c r="AI6999" t="str">
        <f>"9521477"</f>
        <v>9521477</v>
      </c>
      <c r="AJ6999" t="s">
        <v>9203</v>
      </c>
      <c r="AK6999">
        <v>2810301780</v>
      </c>
      <c r="AL6999" t="s">
        <v>9204</v>
      </c>
      <c r="AM6999" t="s">
        <v>78</v>
      </c>
      <c r="AN6999" t="s">
        <v>78</v>
      </c>
      <c r="AO6999" t="s">
        <v>78</v>
      </c>
      <c r="AP6999" t="s">
        <v>79</v>
      </c>
      <c r="AQ6999">
        <v>1</v>
      </c>
      <c r="AR6999" t="s">
        <v>80</v>
      </c>
      <c r="AS6999" t="s">
        <v>81</v>
      </c>
      <c r="AT6999" t="s">
        <v>58</v>
      </c>
      <c r="AU6999" t="s">
        <v>8673</v>
      </c>
      <c r="AV6999" t="s">
        <v>132</v>
      </c>
      <c r="AW6999" s="1">
        <v>31172</v>
      </c>
      <c r="AX6999">
        <v>1</v>
      </c>
    </row>
    <row r="7000" spans="1:50">
      <c r="A7000">
        <v>585697</v>
      </c>
      <c r="B7000" t="str">
        <f>"054147027"</f>
        <v>054147027</v>
      </c>
      <c r="C7000" t="s">
        <v>50</v>
      </c>
      <c r="D7000" t="s">
        <v>3769</v>
      </c>
      <c r="E7000" t="s">
        <v>215</v>
      </c>
      <c r="F7000" t="s">
        <v>95</v>
      </c>
      <c r="G7000" t="s">
        <v>96</v>
      </c>
      <c r="H7000" t="str">
        <f>"Γ. ΜΑΡΗΣ 5 ΗΡΑΚΛΕΙΟ"</f>
        <v>Γ. ΜΑΡΗΣ 5 ΗΡΑΚΛΕΙΟ</v>
      </c>
      <c r="J7000">
        <v>2810263732</v>
      </c>
      <c r="K7000">
        <v>6979045516</v>
      </c>
      <c r="N7000" t="s">
        <v>615</v>
      </c>
      <c r="O7000" t="s">
        <v>616</v>
      </c>
      <c r="R7000" t="s">
        <v>57</v>
      </c>
      <c r="S7000">
        <v>11</v>
      </c>
      <c r="T7000">
        <v>165</v>
      </c>
      <c r="U7000" s="1">
        <v>36040</v>
      </c>
      <c r="V7000" t="s">
        <v>80</v>
      </c>
      <c r="W7000" t="s">
        <v>81</v>
      </c>
      <c r="X7000" t="s">
        <v>58</v>
      </c>
      <c r="Y7000">
        <v>21</v>
      </c>
      <c r="Z7000" t="s">
        <v>59</v>
      </c>
      <c r="AA7000" t="s">
        <v>59</v>
      </c>
      <c r="AB7000" t="s">
        <v>59</v>
      </c>
      <c r="AC7000" t="s">
        <v>59</v>
      </c>
      <c r="AD7000" t="s">
        <v>59</v>
      </c>
      <c r="AF7000" s="1">
        <v>36045</v>
      </c>
      <c r="AG7000" t="s">
        <v>8645</v>
      </c>
      <c r="AH7000" t="s">
        <v>8646</v>
      </c>
      <c r="AI7000" t="str">
        <f>"9170017"</f>
        <v>9170017</v>
      </c>
      <c r="AJ7000" t="s">
        <v>9114</v>
      </c>
      <c r="AK7000">
        <v>2810250746</v>
      </c>
      <c r="AL7000" t="s">
        <v>9115</v>
      </c>
      <c r="AM7000" t="s">
        <v>78</v>
      </c>
      <c r="AN7000" t="s">
        <v>129</v>
      </c>
      <c r="AO7000" t="s">
        <v>130</v>
      </c>
      <c r="AP7000" t="s">
        <v>130</v>
      </c>
      <c r="AQ7000">
        <v>1</v>
      </c>
      <c r="AR7000" t="s">
        <v>80</v>
      </c>
      <c r="AS7000" t="s">
        <v>81</v>
      </c>
      <c r="AT7000" t="s">
        <v>58</v>
      </c>
      <c r="AU7000" t="s">
        <v>68</v>
      </c>
      <c r="AV7000" t="s">
        <v>69</v>
      </c>
      <c r="AW7000" s="1">
        <v>24469</v>
      </c>
      <c r="AX7000">
        <v>1</v>
      </c>
    </row>
    <row r="7001" spans="1:50">
      <c r="A7001">
        <v>618971</v>
      </c>
      <c r="B7001" t="str">
        <f>"076981312"</f>
        <v>076981312</v>
      </c>
      <c r="C7001" t="s">
        <v>50</v>
      </c>
      <c r="D7001" t="s">
        <v>3769</v>
      </c>
      <c r="E7001" t="s">
        <v>52</v>
      </c>
      <c r="F7001" t="s">
        <v>4622</v>
      </c>
      <c r="G7001" t="s">
        <v>54</v>
      </c>
      <c r="H7001" t="str">
        <f>"Γ ΚΟΥΡΜΟΥΛΗ 7 ΗΡΑΚΛΕΙΟ"</f>
        <v>Γ ΚΟΥΡΜΟΥΛΗ 7 ΗΡΑΚΛΕΙΟ</v>
      </c>
      <c r="I7001">
        <v>71409</v>
      </c>
      <c r="J7001">
        <v>2810213359</v>
      </c>
      <c r="K7001">
        <v>6972842692</v>
      </c>
      <c r="N7001" t="s">
        <v>1525</v>
      </c>
      <c r="O7001" t="s">
        <v>1526</v>
      </c>
      <c r="R7001" t="s">
        <v>57</v>
      </c>
      <c r="S7001">
        <v>6</v>
      </c>
      <c r="T7001">
        <v>774</v>
      </c>
      <c r="U7001" s="1">
        <v>39680</v>
      </c>
      <c r="V7001" t="s">
        <v>80</v>
      </c>
      <c r="W7001" t="s">
        <v>81</v>
      </c>
      <c r="X7001" t="s">
        <v>58</v>
      </c>
      <c r="Y7001">
        <v>25</v>
      </c>
      <c r="Z7001" t="s">
        <v>59</v>
      </c>
      <c r="AA7001" t="s">
        <v>59</v>
      </c>
      <c r="AB7001" t="s">
        <v>59</v>
      </c>
      <c r="AC7001" t="s">
        <v>59</v>
      </c>
      <c r="AD7001" t="s">
        <v>59</v>
      </c>
      <c r="AF7001" s="1">
        <v>39681</v>
      </c>
      <c r="AG7001" t="s">
        <v>8651</v>
      </c>
      <c r="AH7001" t="s">
        <v>8652</v>
      </c>
      <c r="AI7001" t="str">
        <f>"9170473"</f>
        <v>9170473</v>
      </c>
      <c r="AJ7001" t="s">
        <v>9567</v>
      </c>
      <c r="AK7001">
        <v>2810812103</v>
      </c>
      <c r="AL7001" t="s">
        <v>9568</v>
      </c>
      <c r="AM7001" t="s">
        <v>78</v>
      </c>
      <c r="AN7001" t="s">
        <v>129</v>
      </c>
      <c r="AO7001" t="s">
        <v>130</v>
      </c>
      <c r="AP7001" t="s">
        <v>8867</v>
      </c>
      <c r="AQ7001">
        <v>2</v>
      </c>
      <c r="AR7001" t="s">
        <v>80</v>
      </c>
      <c r="AS7001" t="s">
        <v>81</v>
      </c>
      <c r="AT7001" t="s">
        <v>58</v>
      </c>
      <c r="AU7001" t="s">
        <v>68</v>
      </c>
      <c r="AV7001" t="s">
        <v>69</v>
      </c>
      <c r="AW7001" s="1">
        <v>26323</v>
      </c>
      <c r="AX7001">
        <v>1</v>
      </c>
    </row>
    <row r="7002" spans="1:50">
      <c r="A7002">
        <v>570309</v>
      </c>
      <c r="B7002" t="str">
        <f>"103524523"</f>
        <v>103524523</v>
      </c>
      <c r="C7002" t="s">
        <v>50</v>
      </c>
      <c r="D7002" t="s">
        <v>3769</v>
      </c>
      <c r="E7002" t="s">
        <v>801</v>
      </c>
      <c r="F7002" t="s">
        <v>99</v>
      </c>
      <c r="G7002" t="s">
        <v>314</v>
      </c>
      <c r="H7002" t="str">
        <f>"ΕΦΕΔΡΩΝ ΑΞΙΩΜΑΤΙΚΩΝ 8 ΗΡΑΚΛΕΙΟ"</f>
        <v>ΕΦΕΔΡΩΝ ΑΞΙΩΜΑΤΙΚΩΝ 8 ΗΡΑΚΛΕΙΟ</v>
      </c>
      <c r="I7002">
        <v>71307</v>
      </c>
      <c r="J7002">
        <v>2810221452</v>
      </c>
      <c r="K7002">
        <v>6946397718</v>
      </c>
      <c r="N7002" t="s">
        <v>306</v>
      </c>
      <c r="O7002" t="s">
        <v>307</v>
      </c>
      <c r="R7002" t="s">
        <v>57</v>
      </c>
      <c r="S7002">
        <v>14</v>
      </c>
      <c r="T7002">
        <v>239</v>
      </c>
      <c r="U7002" s="1">
        <v>33969</v>
      </c>
      <c r="V7002" t="s">
        <v>80</v>
      </c>
      <c r="W7002" t="s">
        <v>81</v>
      </c>
      <c r="X7002" t="s">
        <v>58</v>
      </c>
      <c r="Y7002">
        <v>21</v>
      </c>
      <c r="Z7002" t="s">
        <v>59</v>
      </c>
      <c r="AA7002" t="s">
        <v>59</v>
      </c>
      <c r="AB7002" t="s">
        <v>59</v>
      </c>
      <c r="AC7002" t="s">
        <v>59</v>
      </c>
      <c r="AD7002" t="s">
        <v>59</v>
      </c>
      <c r="AF7002" s="1">
        <v>33977</v>
      </c>
      <c r="AG7002" t="s">
        <v>8645</v>
      </c>
      <c r="AH7002" t="s">
        <v>8646</v>
      </c>
      <c r="AI7002" t="str">
        <f>"9170431"</f>
        <v>9170431</v>
      </c>
      <c r="AJ7002" t="s">
        <v>8658</v>
      </c>
      <c r="AK7002">
        <v>2810250952</v>
      </c>
      <c r="AL7002" t="s">
        <v>8659</v>
      </c>
      <c r="AM7002" t="s">
        <v>78</v>
      </c>
      <c r="AN7002" t="s">
        <v>78</v>
      </c>
      <c r="AO7002" t="s">
        <v>78</v>
      </c>
      <c r="AP7002" t="s">
        <v>141</v>
      </c>
      <c r="AQ7002">
        <v>1</v>
      </c>
      <c r="AR7002" t="s">
        <v>80</v>
      </c>
      <c r="AS7002" t="s">
        <v>81</v>
      </c>
      <c r="AT7002" t="s">
        <v>58</v>
      </c>
      <c r="AU7002" t="s">
        <v>68</v>
      </c>
      <c r="AV7002" t="s">
        <v>69</v>
      </c>
      <c r="AW7002" s="1">
        <v>24014</v>
      </c>
      <c r="AX7002">
        <v>1</v>
      </c>
    </row>
    <row r="7003" spans="1:50">
      <c r="B7003" t="str">
        <f>"138994324"</f>
        <v>138994324</v>
      </c>
      <c r="C7003" t="s">
        <v>105</v>
      </c>
      <c r="D7003" t="s">
        <v>3776</v>
      </c>
      <c r="E7003" t="s">
        <v>760</v>
      </c>
      <c r="F7003" t="s">
        <v>166</v>
      </c>
      <c r="G7003" t="s">
        <v>2031</v>
      </c>
      <c r="H7003" t="str">
        <f>"ΠΑΠΑΓΙΑΝΝΗ ΣΚΟΥΛΑ 33 "</f>
        <v xml:space="preserve">ΠΑΠΑΓΙΑΝΝΗ ΣΚΟΥΛΑ 33 </v>
      </c>
      <c r="I7003">
        <v>71305</v>
      </c>
      <c r="J7003">
        <v>2810259382</v>
      </c>
      <c r="K7003">
        <v>6971885001</v>
      </c>
      <c r="N7003" t="s">
        <v>615</v>
      </c>
      <c r="O7003" t="s">
        <v>616</v>
      </c>
      <c r="R7003" t="s">
        <v>159</v>
      </c>
      <c r="S7003">
        <v>2</v>
      </c>
      <c r="T7003" t="s">
        <v>8675</v>
      </c>
      <c r="U7003" s="1">
        <v>43348</v>
      </c>
      <c r="V7003" t="s">
        <v>80</v>
      </c>
      <c r="W7003" t="s">
        <v>81</v>
      </c>
      <c r="X7003" t="s">
        <v>58</v>
      </c>
      <c r="Y7003">
        <v>24</v>
      </c>
      <c r="Z7003" t="s">
        <v>59</v>
      </c>
      <c r="AA7003" t="s">
        <v>59</v>
      </c>
      <c r="AB7003" t="s">
        <v>59</v>
      </c>
      <c r="AC7003" t="s">
        <v>59</v>
      </c>
      <c r="AD7003" t="s">
        <v>59</v>
      </c>
      <c r="AF7003" s="1">
        <v>43348</v>
      </c>
      <c r="AG7003" t="s">
        <v>8645</v>
      </c>
      <c r="AH7003" t="s">
        <v>8646</v>
      </c>
      <c r="AI7003" t="str">
        <f>"9170086"</f>
        <v>9170086</v>
      </c>
      <c r="AJ7003" t="s">
        <v>9319</v>
      </c>
      <c r="AK7003">
        <v>2893051257</v>
      </c>
      <c r="AL7003" t="s">
        <v>9320</v>
      </c>
      <c r="AM7003" t="s">
        <v>78</v>
      </c>
      <c r="AN7003" t="s">
        <v>424</v>
      </c>
      <c r="AO7003" t="s">
        <v>577</v>
      </c>
      <c r="AP7003" t="s">
        <v>723</v>
      </c>
      <c r="AQ7003">
        <v>9</v>
      </c>
      <c r="AR7003" t="s">
        <v>80</v>
      </c>
      <c r="AS7003" t="s">
        <v>81</v>
      </c>
      <c r="AT7003" t="s">
        <v>58</v>
      </c>
      <c r="AU7003" t="s">
        <v>8673</v>
      </c>
      <c r="AV7003" t="s">
        <v>132</v>
      </c>
      <c r="AW7003" s="1">
        <v>31817</v>
      </c>
      <c r="AX7003">
        <v>1</v>
      </c>
    </row>
    <row r="7004" spans="1:50">
      <c r="A7004">
        <v>616851</v>
      </c>
      <c r="B7004" t="str">
        <f>"110723932"</f>
        <v>110723932</v>
      </c>
      <c r="C7004" t="s">
        <v>105</v>
      </c>
      <c r="D7004" t="s">
        <v>3776</v>
      </c>
      <c r="E7004" t="s">
        <v>95</v>
      </c>
      <c r="F7004" t="s">
        <v>99</v>
      </c>
      <c r="G7004" t="s">
        <v>52</v>
      </c>
      <c r="H7004" t="str">
        <f>" "</f>
        <v xml:space="preserve"> </v>
      </c>
      <c r="J7004">
        <v>2810234504</v>
      </c>
      <c r="K7004">
        <v>6983369886</v>
      </c>
      <c r="N7004" t="s">
        <v>615</v>
      </c>
      <c r="O7004" t="s">
        <v>616</v>
      </c>
      <c r="R7004" t="s">
        <v>57</v>
      </c>
      <c r="S7004">
        <v>8</v>
      </c>
      <c r="T7004">
        <v>774</v>
      </c>
      <c r="U7004" s="1">
        <v>39680</v>
      </c>
      <c r="V7004" t="s">
        <v>80</v>
      </c>
      <c r="W7004" t="s">
        <v>81</v>
      </c>
      <c r="X7004" t="s">
        <v>58</v>
      </c>
      <c r="Y7004">
        <v>23</v>
      </c>
      <c r="Z7004" t="s">
        <v>59</v>
      </c>
      <c r="AA7004" t="s">
        <v>59</v>
      </c>
      <c r="AB7004" t="s">
        <v>59</v>
      </c>
      <c r="AC7004" t="s">
        <v>59</v>
      </c>
      <c r="AD7004" t="s">
        <v>59</v>
      </c>
      <c r="AF7004" s="1">
        <v>39681</v>
      </c>
      <c r="AG7004" t="s">
        <v>8645</v>
      </c>
      <c r="AH7004" t="s">
        <v>8646</v>
      </c>
      <c r="AI7004" t="str">
        <f>"9170531"</f>
        <v>9170531</v>
      </c>
      <c r="AJ7004" t="s">
        <v>8980</v>
      </c>
      <c r="AK7004">
        <v>2810229104</v>
      </c>
      <c r="AL7004" t="s">
        <v>8981</v>
      </c>
      <c r="AM7004" t="s">
        <v>78</v>
      </c>
      <c r="AN7004" t="s">
        <v>78</v>
      </c>
      <c r="AO7004" t="s">
        <v>78</v>
      </c>
      <c r="AP7004" t="s">
        <v>79</v>
      </c>
      <c r="AQ7004">
        <v>1</v>
      </c>
      <c r="AR7004" t="s">
        <v>80</v>
      </c>
      <c r="AS7004" t="s">
        <v>81</v>
      </c>
      <c r="AT7004" t="s">
        <v>58</v>
      </c>
      <c r="AU7004" t="s">
        <v>68</v>
      </c>
      <c r="AV7004" t="s">
        <v>69</v>
      </c>
      <c r="AW7004" s="1">
        <v>27663</v>
      </c>
      <c r="AX7004">
        <v>1</v>
      </c>
    </row>
    <row r="7005" spans="1:50">
      <c r="A7005">
        <v>581978</v>
      </c>
      <c r="B7005" t="str">
        <f>"039287060"</f>
        <v>039287060</v>
      </c>
      <c r="C7005" t="s">
        <v>50</v>
      </c>
      <c r="D7005" t="s">
        <v>11410</v>
      </c>
      <c r="E7005" t="s">
        <v>1440</v>
      </c>
      <c r="F7005" t="s">
        <v>95</v>
      </c>
      <c r="G7005" t="s">
        <v>255</v>
      </c>
      <c r="H7005" t="str">
        <f>"Καστοριάς 10 Κατσαμπάς"</f>
        <v>Καστοριάς 10 Κατσαμπάς</v>
      </c>
      <c r="I7005">
        <v>71307</v>
      </c>
      <c r="J7005">
        <v>2810240171</v>
      </c>
      <c r="K7005">
        <v>6948216945</v>
      </c>
      <c r="M7005" t="s">
        <v>11411</v>
      </c>
      <c r="N7005" t="s">
        <v>615</v>
      </c>
      <c r="O7005" t="s">
        <v>616</v>
      </c>
      <c r="R7005" t="s">
        <v>57</v>
      </c>
      <c r="S7005">
        <v>12</v>
      </c>
      <c r="T7005" t="s">
        <v>11412</v>
      </c>
      <c r="U7005" s="1">
        <v>35674</v>
      </c>
      <c r="V7005" t="s">
        <v>80</v>
      </c>
      <c r="W7005" t="s">
        <v>81</v>
      </c>
      <c r="X7005" t="s">
        <v>58</v>
      </c>
      <c r="Y7005">
        <v>21</v>
      </c>
      <c r="Z7005" t="s">
        <v>59</v>
      </c>
      <c r="AA7005" t="s">
        <v>59</v>
      </c>
      <c r="AB7005" t="s">
        <v>59</v>
      </c>
      <c r="AC7005" t="s">
        <v>59</v>
      </c>
      <c r="AD7005" t="s">
        <v>59</v>
      </c>
      <c r="AF7005" s="1">
        <v>35675</v>
      </c>
      <c r="AG7005" t="s">
        <v>8645</v>
      </c>
      <c r="AH7005" t="s">
        <v>8646</v>
      </c>
      <c r="AI7005" t="str">
        <f>"9170257"</f>
        <v>9170257</v>
      </c>
      <c r="AJ7005" t="s">
        <v>8710</v>
      </c>
      <c r="AK7005">
        <v>2810245513</v>
      </c>
      <c r="AL7005" t="s">
        <v>8711</v>
      </c>
      <c r="AM7005" t="s">
        <v>78</v>
      </c>
      <c r="AN7005" t="s">
        <v>78</v>
      </c>
      <c r="AO7005" t="s">
        <v>78</v>
      </c>
      <c r="AP7005" t="s">
        <v>213</v>
      </c>
      <c r="AQ7005">
        <v>1</v>
      </c>
      <c r="AR7005" t="s">
        <v>80</v>
      </c>
      <c r="AS7005" t="s">
        <v>81</v>
      </c>
      <c r="AT7005" t="s">
        <v>58</v>
      </c>
      <c r="AU7005" t="s">
        <v>68</v>
      </c>
      <c r="AV7005" t="s">
        <v>69</v>
      </c>
      <c r="AW7005" s="1">
        <v>24360</v>
      </c>
      <c r="AX7005">
        <v>1</v>
      </c>
    </row>
    <row r="7006" spans="1:50">
      <c r="A7006">
        <v>564910</v>
      </c>
      <c r="B7006" t="str">
        <f>"034874356"</f>
        <v>034874356</v>
      </c>
      <c r="C7006" t="s">
        <v>50</v>
      </c>
      <c r="D7006" t="s">
        <v>6532</v>
      </c>
      <c r="E7006" t="s">
        <v>11413</v>
      </c>
      <c r="F7006" t="s">
        <v>10013</v>
      </c>
      <c r="G7006" t="s">
        <v>610</v>
      </c>
      <c r="H7006" t="str">
        <f>" "</f>
        <v xml:space="preserve"> </v>
      </c>
      <c r="N7006" t="s">
        <v>615</v>
      </c>
      <c r="O7006" t="s">
        <v>616</v>
      </c>
      <c r="R7006" t="s">
        <v>57</v>
      </c>
      <c r="S7006">
        <v>15</v>
      </c>
      <c r="T7006">
        <v>161</v>
      </c>
      <c r="U7006" s="1">
        <v>33119</v>
      </c>
      <c r="V7006" t="s">
        <v>80</v>
      </c>
      <c r="W7006" t="s">
        <v>81</v>
      </c>
      <c r="X7006" t="s">
        <v>58</v>
      </c>
      <c r="Y7006">
        <v>21</v>
      </c>
      <c r="Z7006" t="s">
        <v>59</v>
      </c>
      <c r="AA7006" t="s">
        <v>59</v>
      </c>
      <c r="AB7006" t="s">
        <v>59</v>
      </c>
      <c r="AC7006" t="s">
        <v>59</v>
      </c>
      <c r="AD7006" t="s">
        <v>59</v>
      </c>
      <c r="AF7006" s="1">
        <v>33119</v>
      </c>
      <c r="AG7006" t="s">
        <v>8645</v>
      </c>
      <c r="AH7006" t="s">
        <v>8646</v>
      </c>
      <c r="AI7006" t="str">
        <f>"9170206"</f>
        <v>9170206</v>
      </c>
      <c r="AJ7006" t="s">
        <v>8972</v>
      </c>
      <c r="AK7006">
        <v>2810761137</v>
      </c>
      <c r="AL7006" t="s">
        <v>8973</v>
      </c>
      <c r="AM7006" t="s">
        <v>78</v>
      </c>
      <c r="AN7006" t="s">
        <v>219</v>
      </c>
      <c r="AO7006" t="s">
        <v>297</v>
      </c>
      <c r="AP7006" t="s">
        <v>8796</v>
      </c>
      <c r="AQ7006">
        <v>7</v>
      </c>
      <c r="AR7006" t="s">
        <v>80</v>
      </c>
      <c r="AS7006" t="s">
        <v>81</v>
      </c>
      <c r="AT7006" t="s">
        <v>58</v>
      </c>
      <c r="AU7006" t="s">
        <v>68</v>
      </c>
      <c r="AV7006" t="s">
        <v>69</v>
      </c>
      <c r="AW7006" s="1">
        <v>24297</v>
      </c>
      <c r="AX7006">
        <v>1</v>
      </c>
    </row>
    <row r="7007" spans="1:50">
      <c r="B7007" t="str">
        <f>"070840215"</f>
        <v>070840215</v>
      </c>
      <c r="C7007" t="s">
        <v>105</v>
      </c>
      <c r="D7007" t="s">
        <v>11414</v>
      </c>
      <c r="E7007" t="s">
        <v>72</v>
      </c>
      <c r="F7007" t="s">
        <v>99</v>
      </c>
      <c r="G7007" t="s">
        <v>1484</v>
      </c>
      <c r="H7007" t="str">
        <f>"ΕΥΦΡΟΝΙΟΥ 15  3 ΒΑΓΙΕΣ"</f>
        <v>ΕΥΦΡΟΝΙΟΥ 15  3 ΒΑΓΙΕΣ</v>
      </c>
      <c r="K7007">
        <v>6945371988</v>
      </c>
      <c r="M7007" t="s">
        <v>11415</v>
      </c>
      <c r="N7007" t="s">
        <v>683</v>
      </c>
      <c r="O7007" t="s">
        <v>684</v>
      </c>
      <c r="R7007" t="s">
        <v>159</v>
      </c>
      <c r="S7007">
        <v>3</v>
      </c>
      <c r="T7007" t="s">
        <v>8675</v>
      </c>
      <c r="U7007" s="1">
        <v>43348</v>
      </c>
      <c r="V7007" t="s">
        <v>80</v>
      </c>
      <c r="W7007" t="s">
        <v>81</v>
      </c>
      <c r="X7007" t="s">
        <v>58</v>
      </c>
      <c r="Y7007">
        <v>24</v>
      </c>
      <c r="Z7007" t="s">
        <v>59</v>
      </c>
      <c r="AA7007" t="s">
        <v>59</v>
      </c>
      <c r="AB7007" t="s">
        <v>59</v>
      </c>
      <c r="AC7007" t="s">
        <v>59</v>
      </c>
      <c r="AD7007" t="s">
        <v>59</v>
      </c>
      <c r="AF7007" s="1">
        <v>43348</v>
      </c>
      <c r="AG7007" t="s">
        <v>8645</v>
      </c>
      <c r="AH7007" t="s">
        <v>8646</v>
      </c>
      <c r="AI7007" t="str">
        <f>"9170192"</f>
        <v>9170192</v>
      </c>
      <c r="AJ7007" t="s">
        <v>8661</v>
      </c>
      <c r="AK7007">
        <v>2810231985</v>
      </c>
      <c r="AL7007" t="s">
        <v>8662</v>
      </c>
      <c r="AM7007" t="s">
        <v>78</v>
      </c>
      <c r="AN7007" t="s">
        <v>78</v>
      </c>
      <c r="AO7007" t="s">
        <v>78</v>
      </c>
      <c r="AP7007" t="s">
        <v>163</v>
      </c>
      <c r="AQ7007">
        <v>1</v>
      </c>
      <c r="AR7007" t="s">
        <v>80</v>
      </c>
      <c r="AS7007" t="s">
        <v>81</v>
      </c>
      <c r="AT7007" t="s">
        <v>58</v>
      </c>
      <c r="AU7007" t="s">
        <v>8673</v>
      </c>
      <c r="AV7007" t="s">
        <v>132</v>
      </c>
      <c r="AW7007" s="1">
        <v>28519</v>
      </c>
      <c r="AX7007">
        <v>1</v>
      </c>
    </row>
    <row r="7008" spans="1:50">
      <c r="B7008" t="str">
        <f>"149619763"</f>
        <v>149619763</v>
      </c>
      <c r="C7008" t="s">
        <v>50</v>
      </c>
      <c r="D7008" t="s">
        <v>3788</v>
      </c>
      <c r="E7008" t="s">
        <v>237</v>
      </c>
      <c r="F7008" t="s">
        <v>377</v>
      </c>
      <c r="G7008" t="s">
        <v>52</v>
      </c>
      <c r="H7008" t="str">
        <f>"ΚΑΡΠΕΝΗΣΙΟΥ  15 "</f>
        <v xml:space="preserve">ΚΑΡΠΕΝΗΣΙΟΥ  15 </v>
      </c>
      <c r="I7008">
        <v>71409</v>
      </c>
      <c r="J7008">
        <v>2810236728</v>
      </c>
      <c r="K7008">
        <v>6984386010</v>
      </c>
      <c r="N7008" t="s">
        <v>615</v>
      </c>
      <c r="O7008" t="s">
        <v>616</v>
      </c>
      <c r="R7008" t="s">
        <v>159</v>
      </c>
      <c r="S7008">
        <v>5</v>
      </c>
      <c r="T7008" t="s">
        <v>8675</v>
      </c>
      <c r="U7008" s="1">
        <v>43348</v>
      </c>
      <c r="V7008" t="s">
        <v>80</v>
      </c>
      <c r="W7008" t="s">
        <v>81</v>
      </c>
      <c r="X7008" t="s">
        <v>58</v>
      </c>
      <c r="Y7008">
        <v>24</v>
      </c>
      <c r="Z7008" t="s">
        <v>59</v>
      </c>
      <c r="AA7008" t="s">
        <v>59</v>
      </c>
      <c r="AB7008" t="s">
        <v>59</v>
      </c>
      <c r="AC7008" t="s">
        <v>59</v>
      </c>
      <c r="AD7008" t="s">
        <v>59</v>
      </c>
      <c r="AF7008" s="1">
        <v>43348</v>
      </c>
      <c r="AG7008" t="s">
        <v>8645</v>
      </c>
      <c r="AH7008" t="s">
        <v>8646</v>
      </c>
      <c r="AI7008" t="str">
        <f>"9170580"</f>
        <v>9170580</v>
      </c>
      <c r="AJ7008" t="s">
        <v>9076</v>
      </c>
      <c r="AK7008">
        <v>2810542809</v>
      </c>
      <c r="AL7008" t="s">
        <v>9077</v>
      </c>
      <c r="AM7008" t="s">
        <v>78</v>
      </c>
      <c r="AN7008" t="s">
        <v>78</v>
      </c>
      <c r="AO7008" t="s">
        <v>78</v>
      </c>
      <c r="AP7008" t="s">
        <v>9053</v>
      </c>
      <c r="AQ7008">
        <v>1</v>
      </c>
      <c r="AR7008" t="s">
        <v>80</v>
      </c>
      <c r="AS7008" t="s">
        <v>81</v>
      </c>
      <c r="AT7008" t="s">
        <v>58</v>
      </c>
      <c r="AU7008" t="s">
        <v>8673</v>
      </c>
      <c r="AV7008" t="s">
        <v>132</v>
      </c>
      <c r="AW7008" s="1">
        <v>32162</v>
      </c>
      <c r="AX7008">
        <v>1</v>
      </c>
    </row>
    <row r="7009" spans="1:50">
      <c r="A7009">
        <v>609896</v>
      </c>
      <c r="B7009" t="str">
        <f>"075475663"</f>
        <v>075475663</v>
      </c>
      <c r="C7009" t="s">
        <v>50</v>
      </c>
      <c r="D7009" t="s">
        <v>3788</v>
      </c>
      <c r="E7009" t="s">
        <v>3159</v>
      </c>
      <c r="F7009" t="s">
        <v>72</v>
      </c>
      <c r="G7009" t="s">
        <v>181</v>
      </c>
      <c r="H7009" t="str">
        <f>"ΘΩΜΑΔΙΑΝΟ ΠΕΔΙΑΔΟΣ ΗΡΑΚΛΕΙΟ"</f>
        <v>ΘΩΜΑΔΙΑΝΟ ΠΕΔΙΑΔΟΣ ΗΡΑΚΛΕΙΟ</v>
      </c>
      <c r="I7009">
        <v>70015</v>
      </c>
      <c r="J7009">
        <v>2895041108</v>
      </c>
      <c r="K7009">
        <v>491771369517</v>
      </c>
      <c r="L7009">
        <v>6973882756</v>
      </c>
      <c r="M7009" t="s">
        <v>11416</v>
      </c>
      <c r="N7009" t="s">
        <v>306</v>
      </c>
      <c r="O7009" t="s">
        <v>307</v>
      </c>
      <c r="R7009" t="s">
        <v>57</v>
      </c>
      <c r="S7009">
        <v>6</v>
      </c>
      <c r="T7009">
        <v>249</v>
      </c>
      <c r="U7009" s="1">
        <v>38617</v>
      </c>
      <c r="V7009" t="s">
        <v>80</v>
      </c>
      <c r="W7009" t="s">
        <v>81</v>
      </c>
      <c r="X7009" t="s">
        <v>58</v>
      </c>
      <c r="Y7009">
        <v>23</v>
      </c>
      <c r="Z7009" t="s">
        <v>59</v>
      </c>
      <c r="AA7009" t="s">
        <v>59</v>
      </c>
      <c r="AB7009" t="s">
        <v>59</v>
      </c>
      <c r="AC7009" t="s">
        <v>59</v>
      </c>
      <c r="AD7009" t="s">
        <v>59</v>
      </c>
      <c r="AF7009" s="1">
        <v>38621</v>
      </c>
      <c r="AG7009" t="s">
        <v>8645</v>
      </c>
      <c r="AH7009" t="s">
        <v>8646</v>
      </c>
      <c r="AI7009" t="str">
        <f>"9170144"</f>
        <v>9170144</v>
      </c>
      <c r="AJ7009" t="s">
        <v>8729</v>
      </c>
      <c r="AK7009">
        <v>2891022244</v>
      </c>
      <c r="AL7009" t="s">
        <v>8730</v>
      </c>
      <c r="AM7009" t="s">
        <v>78</v>
      </c>
      <c r="AN7009" t="s">
        <v>276</v>
      </c>
      <c r="AO7009" t="s">
        <v>490</v>
      </c>
      <c r="AP7009" t="s">
        <v>490</v>
      </c>
      <c r="AQ7009">
        <v>12</v>
      </c>
      <c r="AR7009" t="s">
        <v>80</v>
      </c>
      <c r="AS7009" t="s">
        <v>81</v>
      </c>
      <c r="AT7009" t="s">
        <v>58</v>
      </c>
      <c r="AU7009" t="s">
        <v>68</v>
      </c>
      <c r="AV7009" t="s">
        <v>69</v>
      </c>
      <c r="AW7009" s="1">
        <v>27355</v>
      </c>
      <c r="AX7009">
        <v>1</v>
      </c>
    </row>
    <row r="7010" spans="1:50">
      <c r="A7010">
        <v>582044</v>
      </c>
      <c r="B7010" t="str">
        <f>"062094748"</f>
        <v>062094748</v>
      </c>
      <c r="C7010" t="s">
        <v>50</v>
      </c>
      <c r="D7010" t="s">
        <v>3788</v>
      </c>
      <c r="E7010" t="s">
        <v>83</v>
      </c>
      <c r="F7010" t="s">
        <v>72</v>
      </c>
      <c r="G7010" t="s">
        <v>52</v>
      </c>
      <c r="H7010" t="str">
        <f>"ΜΝΗΣΙΚΛΗ 34 ΗΡΑΚΛΕΙΟ"</f>
        <v>ΜΝΗΣΙΚΛΗ 34 ΗΡΑΚΛΕΙΟ</v>
      </c>
      <c r="I7010">
        <v>71305</v>
      </c>
      <c r="J7010">
        <v>2810251392</v>
      </c>
      <c r="K7010">
        <v>6971700918</v>
      </c>
      <c r="N7010" t="s">
        <v>615</v>
      </c>
      <c r="O7010" t="s">
        <v>616</v>
      </c>
      <c r="R7010" t="s">
        <v>57</v>
      </c>
      <c r="S7010">
        <v>12</v>
      </c>
      <c r="T7010">
        <v>179</v>
      </c>
      <c r="U7010" s="1">
        <v>35674</v>
      </c>
      <c r="V7010" t="s">
        <v>80</v>
      </c>
      <c r="W7010" t="s">
        <v>81</v>
      </c>
      <c r="X7010" t="s">
        <v>58</v>
      </c>
      <c r="Y7010">
        <v>21</v>
      </c>
      <c r="Z7010" t="s">
        <v>59</v>
      </c>
      <c r="AA7010" t="s">
        <v>59</v>
      </c>
      <c r="AB7010" t="s">
        <v>59</v>
      </c>
      <c r="AC7010" t="s">
        <v>59</v>
      </c>
      <c r="AD7010" t="s">
        <v>59</v>
      </c>
      <c r="AF7010" s="1">
        <v>35674</v>
      </c>
      <c r="AG7010" t="s">
        <v>8645</v>
      </c>
      <c r="AH7010" t="s">
        <v>8646</v>
      </c>
      <c r="AI7010" t="str">
        <f>"9170115"</f>
        <v>9170115</v>
      </c>
      <c r="AJ7010" t="s">
        <v>8770</v>
      </c>
      <c r="AK7010">
        <v>2810231165</v>
      </c>
      <c r="AL7010" t="s">
        <v>8771</v>
      </c>
      <c r="AM7010" t="s">
        <v>78</v>
      </c>
      <c r="AN7010" t="s">
        <v>78</v>
      </c>
      <c r="AO7010" t="s">
        <v>78</v>
      </c>
      <c r="AP7010" t="s">
        <v>141</v>
      </c>
      <c r="AQ7010">
        <v>1</v>
      </c>
      <c r="AR7010" t="s">
        <v>80</v>
      </c>
      <c r="AS7010" t="s">
        <v>81</v>
      </c>
      <c r="AT7010" t="s">
        <v>58</v>
      </c>
      <c r="AU7010" t="s">
        <v>68</v>
      </c>
      <c r="AV7010" t="s">
        <v>69</v>
      </c>
      <c r="AW7010" s="1">
        <v>24138</v>
      </c>
      <c r="AX7010">
        <v>1</v>
      </c>
    </row>
    <row r="7011" spans="1:50">
      <c r="B7011" t="str">
        <f>"039218796"</f>
        <v>039218796</v>
      </c>
      <c r="C7011" t="s">
        <v>50</v>
      </c>
      <c r="D7011" t="s">
        <v>3788</v>
      </c>
      <c r="E7011" t="s">
        <v>52</v>
      </c>
      <c r="F7011" t="s">
        <v>72</v>
      </c>
      <c r="G7011" t="s">
        <v>5446</v>
      </c>
      <c r="H7011" t="str">
        <f>"ΙΜΒΡΟΥ 11 ΗΡΑΚΛΕΙΟ"</f>
        <v>ΙΜΒΡΟΥ 11 ΗΡΑΚΛΕΙΟ</v>
      </c>
      <c r="I7011">
        <v>71306</v>
      </c>
      <c r="J7011">
        <v>2810226864</v>
      </c>
      <c r="K7011">
        <v>6942276690</v>
      </c>
      <c r="N7011" t="s">
        <v>306</v>
      </c>
      <c r="O7011" t="s">
        <v>307</v>
      </c>
      <c r="R7011" t="s">
        <v>159</v>
      </c>
      <c r="S7011">
        <v>3</v>
      </c>
      <c r="T7011" t="s">
        <v>8675</v>
      </c>
      <c r="U7011" s="1">
        <v>43348</v>
      </c>
      <c r="V7011" t="s">
        <v>80</v>
      </c>
      <c r="W7011" t="s">
        <v>81</v>
      </c>
      <c r="X7011" t="s">
        <v>58</v>
      </c>
      <c r="Y7011">
        <v>24</v>
      </c>
      <c r="Z7011" t="s">
        <v>59</v>
      </c>
      <c r="AA7011" t="s">
        <v>59</v>
      </c>
      <c r="AB7011" t="s">
        <v>59</v>
      </c>
      <c r="AC7011" t="s">
        <v>59</v>
      </c>
      <c r="AD7011" t="s">
        <v>59</v>
      </c>
      <c r="AF7011" s="1">
        <v>43348</v>
      </c>
      <c r="AG7011" t="s">
        <v>8645</v>
      </c>
      <c r="AH7011" t="s">
        <v>8646</v>
      </c>
      <c r="AI7011" t="str">
        <f>"9521412"</f>
        <v>9521412</v>
      </c>
      <c r="AJ7011" t="s">
        <v>8787</v>
      </c>
      <c r="AK7011">
        <v>2897025680</v>
      </c>
      <c r="AL7011" t="s">
        <v>8788</v>
      </c>
      <c r="AM7011" t="s">
        <v>78</v>
      </c>
      <c r="AN7011" t="s">
        <v>219</v>
      </c>
      <c r="AO7011" t="s">
        <v>219</v>
      </c>
      <c r="AP7011" t="s">
        <v>219</v>
      </c>
      <c r="AQ7011">
        <v>8</v>
      </c>
      <c r="AR7011" t="s">
        <v>80</v>
      </c>
      <c r="AS7011" t="s">
        <v>81</v>
      </c>
      <c r="AT7011" t="s">
        <v>58</v>
      </c>
      <c r="AU7011" t="s">
        <v>8673</v>
      </c>
      <c r="AV7011" t="s">
        <v>132</v>
      </c>
      <c r="AW7011" s="1">
        <v>30409</v>
      </c>
      <c r="AX7011">
        <v>1</v>
      </c>
    </row>
    <row r="7012" spans="1:50">
      <c r="A7012">
        <v>214657</v>
      </c>
      <c r="B7012" t="str">
        <f>"055351398"</f>
        <v>055351398</v>
      </c>
      <c r="C7012" t="s">
        <v>105</v>
      </c>
      <c r="D7012" t="s">
        <v>3792</v>
      </c>
      <c r="E7012" t="s">
        <v>95</v>
      </c>
      <c r="F7012" t="s">
        <v>900</v>
      </c>
      <c r="G7012" t="s">
        <v>215</v>
      </c>
      <c r="H7012" t="str">
        <f>" "</f>
        <v xml:space="preserve"> </v>
      </c>
      <c r="J7012">
        <v>2810228368</v>
      </c>
      <c r="K7012">
        <v>6937427962</v>
      </c>
      <c r="N7012" t="s">
        <v>176</v>
      </c>
      <c r="O7012" t="s">
        <v>177</v>
      </c>
      <c r="R7012" t="s">
        <v>57</v>
      </c>
      <c r="S7012">
        <v>8</v>
      </c>
      <c r="T7012">
        <v>231</v>
      </c>
      <c r="U7012" s="1">
        <v>38960</v>
      </c>
      <c r="V7012" t="s">
        <v>80</v>
      </c>
      <c r="W7012" t="s">
        <v>81</v>
      </c>
      <c r="X7012" t="s">
        <v>58</v>
      </c>
      <c r="Y7012">
        <v>22</v>
      </c>
      <c r="Z7012" t="s">
        <v>59</v>
      </c>
      <c r="AA7012" t="s">
        <v>59</v>
      </c>
      <c r="AB7012" t="s">
        <v>59</v>
      </c>
      <c r="AC7012" t="s">
        <v>59</v>
      </c>
      <c r="AD7012" t="s">
        <v>59</v>
      </c>
      <c r="AF7012" s="1">
        <v>38961</v>
      </c>
      <c r="AG7012" t="s">
        <v>8645</v>
      </c>
      <c r="AH7012" t="s">
        <v>8646</v>
      </c>
      <c r="AI7012" t="str">
        <f>"9170086"</f>
        <v>9170086</v>
      </c>
      <c r="AJ7012" t="s">
        <v>9319</v>
      </c>
      <c r="AK7012">
        <v>2893051257</v>
      </c>
      <c r="AL7012" t="s">
        <v>9320</v>
      </c>
      <c r="AM7012" t="s">
        <v>78</v>
      </c>
      <c r="AN7012" t="s">
        <v>424</v>
      </c>
      <c r="AO7012" t="s">
        <v>577</v>
      </c>
      <c r="AP7012" t="s">
        <v>723</v>
      </c>
      <c r="AQ7012">
        <v>9</v>
      </c>
      <c r="AR7012" t="s">
        <v>80</v>
      </c>
      <c r="AS7012" t="s">
        <v>81</v>
      </c>
      <c r="AT7012" t="s">
        <v>58</v>
      </c>
      <c r="AU7012" t="s">
        <v>68</v>
      </c>
      <c r="AV7012" t="s">
        <v>69</v>
      </c>
      <c r="AW7012" s="1">
        <v>24442</v>
      </c>
      <c r="AX7012">
        <v>1</v>
      </c>
    </row>
    <row r="7013" spans="1:50">
      <c r="A7013">
        <v>599981</v>
      </c>
      <c r="B7013" t="str">
        <f>"075903000"</f>
        <v>075903000</v>
      </c>
      <c r="C7013" t="s">
        <v>105</v>
      </c>
      <c r="D7013" t="s">
        <v>3792</v>
      </c>
      <c r="E7013" t="s">
        <v>72</v>
      </c>
      <c r="F7013" t="s">
        <v>53</v>
      </c>
      <c r="G7013" t="s">
        <v>114</v>
      </c>
      <c r="H7013" t="str">
        <f>"ΕΚΑΒΗΣ 4 ΝΕΟΣ ΚΟΣΜΟΣ"</f>
        <v>ΕΚΑΒΗΣ 4 ΝΕΟΣ ΚΟΣΜΟΣ</v>
      </c>
      <c r="I7013">
        <v>71304</v>
      </c>
      <c r="J7013">
        <v>2810260415</v>
      </c>
      <c r="K7013">
        <v>6977397878</v>
      </c>
      <c r="N7013" t="s">
        <v>615</v>
      </c>
      <c r="O7013" t="s">
        <v>616</v>
      </c>
      <c r="R7013" t="s">
        <v>57</v>
      </c>
      <c r="S7013">
        <v>9</v>
      </c>
      <c r="T7013" t="s">
        <v>8688</v>
      </c>
      <c r="U7013" s="1">
        <v>37497</v>
      </c>
      <c r="V7013" t="s">
        <v>80</v>
      </c>
      <c r="W7013" t="s">
        <v>81</v>
      </c>
      <c r="X7013" t="s">
        <v>58</v>
      </c>
      <c r="Y7013">
        <v>22</v>
      </c>
      <c r="Z7013" t="s">
        <v>59</v>
      </c>
      <c r="AA7013" t="s">
        <v>59</v>
      </c>
      <c r="AB7013" t="s">
        <v>59</v>
      </c>
      <c r="AC7013" t="s">
        <v>59</v>
      </c>
      <c r="AD7013" t="s">
        <v>59</v>
      </c>
      <c r="AF7013" s="1">
        <v>37501</v>
      </c>
      <c r="AG7013" t="s">
        <v>8645</v>
      </c>
      <c r="AH7013" t="s">
        <v>8646</v>
      </c>
      <c r="AI7013" t="str">
        <f>"9170425"</f>
        <v>9170425</v>
      </c>
      <c r="AJ7013" t="s">
        <v>9350</v>
      </c>
      <c r="AK7013">
        <v>2810250261</v>
      </c>
      <c r="AL7013" t="s">
        <v>9351</v>
      </c>
      <c r="AM7013" t="s">
        <v>78</v>
      </c>
      <c r="AN7013" t="s">
        <v>78</v>
      </c>
      <c r="AO7013" t="s">
        <v>78</v>
      </c>
      <c r="AP7013" t="s">
        <v>141</v>
      </c>
      <c r="AQ7013">
        <v>1</v>
      </c>
      <c r="AR7013" t="s">
        <v>80</v>
      </c>
      <c r="AS7013" t="s">
        <v>81</v>
      </c>
      <c r="AT7013" t="s">
        <v>58</v>
      </c>
      <c r="AU7013" t="s">
        <v>68</v>
      </c>
      <c r="AV7013" t="s">
        <v>69</v>
      </c>
      <c r="AW7013" s="1">
        <v>24632</v>
      </c>
      <c r="AX7013">
        <v>1</v>
      </c>
    </row>
    <row r="7014" spans="1:50">
      <c r="A7014">
        <v>579204</v>
      </c>
      <c r="B7014" t="str">
        <f>"043132358"</f>
        <v>043132358</v>
      </c>
      <c r="C7014" t="s">
        <v>50</v>
      </c>
      <c r="D7014" t="s">
        <v>11417</v>
      </c>
      <c r="E7014" t="s">
        <v>237</v>
      </c>
      <c r="F7014" t="s">
        <v>450</v>
      </c>
      <c r="G7014" t="s">
        <v>188</v>
      </c>
      <c r="H7014" t="str">
        <f>"ΛΑΠΠΑΣ 12 ΗΡΑΚΛΕΙΟ"</f>
        <v>ΛΑΠΠΑΣ 12 ΗΡΑΚΛΕΙΟ</v>
      </c>
      <c r="I7014">
        <v>71305</v>
      </c>
      <c r="J7014">
        <v>2810370778</v>
      </c>
      <c r="K7014">
        <v>6944899533</v>
      </c>
      <c r="N7014" t="s">
        <v>615</v>
      </c>
      <c r="O7014" t="s">
        <v>616</v>
      </c>
      <c r="R7014" t="s">
        <v>57</v>
      </c>
      <c r="S7014">
        <v>12</v>
      </c>
      <c r="T7014">
        <v>165</v>
      </c>
      <c r="U7014" s="1">
        <v>35300</v>
      </c>
      <c r="V7014" t="s">
        <v>80</v>
      </c>
      <c r="W7014" t="s">
        <v>81</v>
      </c>
      <c r="X7014" t="s">
        <v>58</v>
      </c>
      <c r="Y7014">
        <v>21</v>
      </c>
      <c r="Z7014" t="s">
        <v>59</v>
      </c>
      <c r="AA7014" t="s">
        <v>59</v>
      </c>
      <c r="AB7014" t="s">
        <v>59</v>
      </c>
      <c r="AC7014" t="s">
        <v>59</v>
      </c>
      <c r="AD7014" t="s">
        <v>59</v>
      </c>
      <c r="AF7014" s="1">
        <v>35310</v>
      </c>
      <c r="AG7014" t="s">
        <v>8645</v>
      </c>
      <c r="AH7014" t="s">
        <v>8646</v>
      </c>
      <c r="AI7014" t="str">
        <f>"9170058"</f>
        <v>9170058</v>
      </c>
      <c r="AJ7014" t="s">
        <v>8735</v>
      </c>
      <c r="AK7014">
        <v>2810252903</v>
      </c>
      <c r="AL7014" t="s">
        <v>8736</v>
      </c>
      <c r="AM7014" t="s">
        <v>78</v>
      </c>
      <c r="AN7014" t="s">
        <v>78</v>
      </c>
      <c r="AO7014" t="s">
        <v>78</v>
      </c>
      <c r="AP7014" t="s">
        <v>163</v>
      </c>
      <c r="AQ7014">
        <v>1</v>
      </c>
      <c r="AR7014" t="s">
        <v>80</v>
      </c>
      <c r="AS7014" t="s">
        <v>81</v>
      </c>
      <c r="AT7014" t="s">
        <v>58</v>
      </c>
      <c r="AU7014" t="s">
        <v>68</v>
      </c>
      <c r="AV7014" t="s">
        <v>69</v>
      </c>
      <c r="AW7014" s="1">
        <v>23223</v>
      </c>
      <c r="AX7014">
        <v>1</v>
      </c>
    </row>
    <row r="7015" spans="1:50">
      <c r="A7015">
        <v>587653</v>
      </c>
      <c r="B7015" t="str">
        <f>"032429081"</f>
        <v>032429081</v>
      </c>
      <c r="C7015" t="s">
        <v>50</v>
      </c>
      <c r="D7015" t="s">
        <v>11417</v>
      </c>
      <c r="E7015" t="s">
        <v>1157</v>
      </c>
      <c r="F7015" t="s">
        <v>995</v>
      </c>
      <c r="G7015" t="s">
        <v>1068</v>
      </c>
      <c r="H7015" t="str">
        <f>"Λ. 62 ΜΑΡΤΥΡΩΝ ΗΡΑΚΛΕΙΟ"</f>
        <v>Λ. 62 ΜΑΡΤΥΡΩΝ ΗΡΑΚΛΕΙΟ</v>
      </c>
      <c r="K7015">
        <v>6986535367</v>
      </c>
      <c r="N7015" t="s">
        <v>337</v>
      </c>
      <c r="O7015" t="s">
        <v>338</v>
      </c>
      <c r="R7015" t="s">
        <v>57</v>
      </c>
      <c r="S7015">
        <v>10</v>
      </c>
      <c r="T7015">
        <v>164</v>
      </c>
      <c r="U7015" s="1">
        <v>36040</v>
      </c>
      <c r="V7015" t="s">
        <v>80</v>
      </c>
      <c r="W7015" t="s">
        <v>81</v>
      </c>
      <c r="X7015" t="s">
        <v>58</v>
      </c>
      <c r="Y7015">
        <v>21</v>
      </c>
      <c r="Z7015" t="s">
        <v>59</v>
      </c>
      <c r="AA7015" t="s">
        <v>59</v>
      </c>
      <c r="AB7015" t="s">
        <v>59</v>
      </c>
      <c r="AC7015" t="s">
        <v>59</v>
      </c>
      <c r="AD7015" t="s">
        <v>59</v>
      </c>
      <c r="AF7015" s="1">
        <v>36045</v>
      </c>
      <c r="AG7015" t="s">
        <v>8645</v>
      </c>
      <c r="AH7015" t="s">
        <v>8646</v>
      </c>
      <c r="AI7015" t="str">
        <f>"9170113"</f>
        <v>9170113</v>
      </c>
      <c r="AJ7015" t="s">
        <v>8846</v>
      </c>
      <c r="AK7015">
        <v>2810226174</v>
      </c>
      <c r="AL7015" t="s">
        <v>8847</v>
      </c>
      <c r="AM7015" t="s">
        <v>78</v>
      </c>
      <c r="AN7015" t="s">
        <v>78</v>
      </c>
      <c r="AO7015" t="s">
        <v>78</v>
      </c>
      <c r="AP7015" t="s">
        <v>79</v>
      </c>
      <c r="AQ7015">
        <v>1</v>
      </c>
      <c r="AR7015" t="s">
        <v>80</v>
      </c>
      <c r="AS7015" t="s">
        <v>81</v>
      </c>
      <c r="AT7015" t="s">
        <v>58</v>
      </c>
      <c r="AU7015" t="s">
        <v>68</v>
      </c>
      <c r="AV7015" t="s">
        <v>69</v>
      </c>
      <c r="AW7015" s="1">
        <v>21643</v>
      </c>
      <c r="AX7015">
        <v>1</v>
      </c>
    </row>
    <row r="7016" spans="1:50">
      <c r="A7016">
        <v>613477</v>
      </c>
      <c r="B7016" t="str">
        <f>"114268645"</f>
        <v>114268645</v>
      </c>
      <c r="C7016" t="s">
        <v>105</v>
      </c>
      <c r="D7016" t="s">
        <v>11418</v>
      </c>
      <c r="E7016" t="s">
        <v>920</v>
      </c>
      <c r="F7016" t="s">
        <v>166</v>
      </c>
      <c r="G7016" t="s">
        <v>250</v>
      </c>
      <c r="H7016" t="str">
        <f>"ΠΡΟΦΗΤΗΣ ΗΛΙΑΣ-ΗΡΑΚΛΕΙΟ ΗΡΑΚΛΕΙΟ"</f>
        <v>ΠΡΟΦΗΤΗΣ ΗΛΙΑΣ-ΗΡΑΚΛΕΙΟ ΗΡΑΚΛΕΙΟ</v>
      </c>
      <c r="I7016">
        <v>71500</v>
      </c>
      <c r="J7016">
        <v>2894051083</v>
      </c>
      <c r="K7016">
        <v>6948401350</v>
      </c>
      <c r="N7016" t="s">
        <v>615</v>
      </c>
      <c r="O7016" t="s">
        <v>616</v>
      </c>
      <c r="R7016" t="s">
        <v>57</v>
      </c>
      <c r="S7016">
        <v>6</v>
      </c>
      <c r="T7016">
        <v>598</v>
      </c>
      <c r="U7016" s="1">
        <v>39341</v>
      </c>
      <c r="V7016" t="s">
        <v>80</v>
      </c>
      <c r="W7016" t="s">
        <v>81</v>
      </c>
      <c r="X7016" t="s">
        <v>58</v>
      </c>
      <c r="Y7016">
        <v>23</v>
      </c>
      <c r="Z7016" t="s">
        <v>59</v>
      </c>
      <c r="AA7016" t="s">
        <v>59</v>
      </c>
      <c r="AB7016" t="s">
        <v>59</v>
      </c>
      <c r="AC7016" t="s">
        <v>59</v>
      </c>
      <c r="AD7016" t="s">
        <v>59</v>
      </c>
      <c r="AF7016" s="1">
        <v>39341</v>
      </c>
      <c r="AG7016" t="s">
        <v>8645</v>
      </c>
      <c r="AH7016" t="s">
        <v>8646</v>
      </c>
      <c r="AI7016" t="str">
        <f>"9170126"</f>
        <v>9170126</v>
      </c>
      <c r="AJ7016" t="s">
        <v>9041</v>
      </c>
      <c r="AK7016">
        <v>2810871213</v>
      </c>
      <c r="AL7016" t="s">
        <v>9042</v>
      </c>
      <c r="AM7016" t="s">
        <v>78</v>
      </c>
      <c r="AN7016" t="s">
        <v>78</v>
      </c>
      <c r="AO7016" t="s">
        <v>437</v>
      </c>
      <c r="AP7016" t="s">
        <v>438</v>
      </c>
      <c r="AQ7016">
        <v>5</v>
      </c>
      <c r="AR7016" t="s">
        <v>80</v>
      </c>
      <c r="AS7016" t="s">
        <v>81</v>
      </c>
      <c r="AT7016" t="s">
        <v>58</v>
      </c>
      <c r="AU7016" t="s">
        <v>68</v>
      </c>
      <c r="AV7016" t="s">
        <v>69</v>
      </c>
      <c r="AW7016" s="1">
        <v>29013</v>
      </c>
      <c r="AX7016">
        <v>1</v>
      </c>
    </row>
    <row r="7017" spans="1:50">
      <c r="B7017" t="str">
        <f>"151961324"</f>
        <v>151961324</v>
      </c>
      <c r="C7017" t="s">
        <v>50</v>
      </c>
      <c r="D7017" t="s">
        <v>3806</v>
      </c>
      <c r="E7017" t="s">
        <v>255</v>
      </c>
      <c r="F7017" t="s">
        <v>99</v>
      </c>
      <c r="G7017" t="s">
        <v>1345</v>
      </c>
      <c r="H7017" t="str">
        <f>" "</f>
        <v xml:space="preserve"> </v>
      </c>
      <c r="N7017" t="s">
        <v>8834</v>
      </c>
      <c r="O7017" t="s">
        <v>8695</v>
      </c>
      <c r="R7017" t="s">
        <v>121</v>
      </c>
      <c r="S7017">
        <v>3</v>
      </c>
      <c r="T7017" t="s">
        <v>8835</v>
      </c>
      <c r="U7017" s="1">
        <v>43348</v>
      </c>
      <c r="V7017" t="s">
        <v>80</v>
      </c>
      <c r="W7017" t="s">
        <v>81</v>
      </c>
      <c r="X7017" t="s">
        <v>58</v>
      </c>
      <c r="Y7017">
        <v>24</v>
      </c>
      <c r="Z7017" t="s">
        <v>59</v>
      </c>
      <c r="AA7017" t="s">
        <v>59</v>
      </c>
      <c r="AB7017" t="s">
        <v>59</v>
      </c>
      <c r="AD7017" t="s">
        <v>59</v>
      </c>
      <c r="AF7017" s="1">
        <v>43348</v>
      </c>
      <c r="AG7017" t="s">
        <v>8645</v>
      </c>
      <c r="AH7017" t="s">
        <v>8646</v>
      </c>
      <c r="AI7017" t="str">
        <f>"9170224"</f>
        <v>9170224</v>
      </c>
      <c r="AJ7017" t="s">
        <v>9212</v>
      </c>
      <c r="AK7017">
        <v>2810771214</v>
      </c>
      <c r="AL7017" t="s">
        <v>9213</v>
      </c>
      <c r="AM7017" t="s">
        <v>78</v>
      </c>
      <c r="AN7017" t="s">
        <v>219</v>
      </c>
      <c r="AO7017" t="s">
        <v>1437</v>
      </c>
      <c r="AP7017" t="s">
        <v>1437</v>
      </c>
      <c r="AQ7017">
        <v>7</v>
      </c>
      <c r="AR7017" t="s">
        <v>80</v>
      </c>
      <c r="AS7017" t="s">
        <v>81</v>
      </c>
      <c r="AT7017" t="s">
        <v>58</v>
      </c>
      <c r="AU7017" t="s">
        <v>131</v>
      </c>
      <c r="AV7017" t="s">
        <v>132</v>
      </c>
      <c r="AW7017" s="1">
        <v>32650</v>
      </c>
      <c r="AX7017">
        <v>1</v>
      </c>
    </row>
    <row r="7018" spans="1:50">
      <c r="B7018" t="str">
        <f>"073454438"</f>
        <v>073454438</v>
      </c>
      <c r="C7018" t="s">
        <v>50</v>
      </c>
      <c r="D7018" t="s">
        <v>11419</v>
      </c>
      <c r="E7018" t="s">
        <v>181</v>
      </c>
      <c r="F7018" t="s">
        <v>95</v>
      </c>
      <c r="G7018" t="s">
        <v>4515</v>
      </c>
      <c r="H7018" t="str">
        <f>"ΔΗΜΟΚΡΑΤΙΑΣ 45 ΚΟΖΑΝΗ"</f>
        <v>ΔΗΜΟΚΡΑΤΙΑΣ 45 ΚΟΖΑΝΗ</v>
      </c>
      <c r="I7018">
        <v>50100</v>
      </c>
      <c r="J7018">
        <v>2461041246</v>
      </c>
      <c r="K7018">
        <v>6974316576</v>
      </c>
      <c r="M7018" t="s">
        <v>11420</v>
      </c>
      <c r="N7018" t="s">
        <v>176</v>
      </c>
      <c r="O7018" t="s">
        <v>177</v>
      </c>
      <c r="R7018" t="s">
        <v>159</v>
      </c>
      <c r="S7018">
        <v>1</v>
      </c>
      <c r="T7018" t="s">
        <v>8675</v>
      </c>
      <c r="U7018" s="1">
        <v>43348</v>
      </c>
      <c r="V7018" t="s">
        <v>80</v>
      </c>
      <c r="W7018" t="s">
        <v>81</v>
      </c>
      <c r="X7018" t="s">
        <v>58</v>
      </c>
      <c r="Y7018">
        <v>24</v>
      </c>
      <c r="Z7018" t="s">
        <v>59</v>
      </c>
      <c r="AA7018" t="s">
        <v>59</v>
      </c>
      <c r="AB7018" t="s">
        <v>59</v>
      </c>
      <c r="AC7018" t="s">
        <v>59</v>
      </c>
      <c r="AD7018" t="s">
        <v>59</v>
      </c>
      <c r="AF7018" s="1">
        <v>43348</v>
      </c>
      <c r="AG7018" t="s">
        <v>8645</v>
      </c>
      <c r="AH7018" t="s">
        <v>8646</v>
      </c>
      <c r="AI7018" t="str">
        <f>"9170091"</f>
        <v>9170091</v>
      </c>
      <c r="AJ7018" t="s">
        <v>8764</v>
      </c>
      <c r="AK7018">
        <v>2810741381</v>
      </c>
      <c r="AL7018" t="s">
        <v>8765</v>
      </c>
      <c r="AM7018" t="s">
        <v>78</v>
      </c>
      <c r="AN7018" t="s">
        <v>424</v>
      </c>
      <c r="AO7018" t="s">
        <v>428</v>
      </c>
      <c r="AP7018" t="s">
        <v>8766</v>
      </c>
      <c r="AQ7018">
        <v>11</v>
      </c>
      <c r="AR7018" t="s">
        <v>80</v>
      </c>
      <c r="AS7018" t="s">
        <v>81</v>
      </c>
      <c r="AT7018" t="s">
        <v>58</v>
      </c>
      <c r="AU7018" t="s">
        <v>8673</v>
      </c>
      <c r="AV7018" t="s">
        <v>132</v>
      </c>
      <c r="AW7018" s="1">
        <v>27822</v>
      </c>
      <c r="AX7018">
        <v>1</v>
      </c>
    </row>
    <row r="7019" spans="1:50">
      <c r="A7019">
        <v>573828</v>
      </c>
      <c r="B7019" t="str">
        <f>"118903300"</f>
        <v>118903300</v>
      </c>
      <c r="C7019" t="s">
        <v>50</v>
      </c>
      <c r="D7019" t="s">
        <v>11421</v>
      </c>
      <c r="E7019" t="s">
        <v>109</v>
      </c>
      <c r="F7019" t="s">
        <v>383</v>
      </c>
      <c r="G7019" t="s">
        <v>52</v>
      </c>
      <c r="H7019" t="str">
        <f>"ΡΟΔΟΠΗΣ &amp; ΟΛΥΜΠΙΟΝΙΚΩΝ ΗΡΑΚΛΕΙΟ"</f>
        <v>ΡΟΔΟΠΗΣ &amp; ΟΛΥΜΠΙΟΝΙΚΩΝ ΗΡΑΚΛΕΙΟ</v>
      </c>
      <c r="I7019">
        <v>71304</v>
      </c>
      <c r="J7019">
        <v>2810315950</v>
      </c>
      <c r="K7019">
        <v>6945359586</v>
      </c>
      <c r="N7019" t="s">
        <v>615</v>
      </c>
      <c r="O7019" t="s">
        <v>616</v>
      </c>
      <c r="R7019" t="s">
        <v>57</v>
      </c>
      <c r="S7019">
        <v>12</v>
      </c>
      <c r="T7019">
        <v>160</v>
      </c>
      <c r="U7019" s="1">
        <v>34582</v>
      </c>
      <c r="V7019" t="s">
        <v>80</v>
      </c>
      <c r="W7019" t="s">
        <v>81</v>
      </c>
      <c r="X7019" t="s">
        <v>58</v>
      </c>
      <c r="Y7019">
        <v>21</v>
      </c>
      <c r="Z7019" t="s">
        <v>59</v>
      </c>
      <c r="AA7019" t="s">
        <v>59</v>
      </c>
      <c r="AB7019" t="s">
        <v>59</v>
      </c>
      <c r="AC7019" t="s">
        <v>59</v>
      </c>
      <c r="AD7019" t="s">
        <v>59</v>
      </c>
      <c r="AF7019" s="1">
        <v>34582</v>
      </c>
      <c r="AG7019" t="s">
        <v>8645</v>
      </c>
      <c r="AH7019" t="s">
        <v>8646</v>
      </c>
      <c r="AI7019" t="str">
        <f>"9170431"</f>
        <v>9170431</v>
      </c>
      <c r="AJ7019" t="s">
        <v>8658</v>
      </c>
      <c r="AK7019">
        <v>2810250952</v>
      </c>
      <c r="AL7019" t="s">
        <v>8659</v>
      </c>
      <c r="AM7019" t="s">
        <v>78</v>
      </c>
      <c r="AN7019" t="s">
        <v>78</v>
      </c>
      <c r="AO7019" t="s">
        <v>78</v>
      </c>
      <c r="AP7019" t="s">
        <v>141</v>
      </c>
      <c r="AQ7019">
        <v>1</v>
      </c>
      <c r="AR7019" t="s">
        <v>80</v>
      </c>
      <c r="AS7019" t="s">
        <v>81</v>
      </c>
      <c r="AT7019" t="s">
        <v>58</v>
      </c>
      <c r="AU7019" t="s">
        <v>68</v>
      </c>
      <c r="AV7019" t="s">
        <v>69</v>
      </c>
      <c r="AW7019" s="1">
        <v>24521</v>
      </c>
      <c r="AX7019">
        <v>1</v>
      </c>
    </row>
    <row r="7020" spans="1:50">
      <c r="A7020">
        <v>584931</v>
      </c>
      <c r="B7020" t="str">
        <f>"051437720"</f>
        <v>051437720</v>
      </c>
      <c r="C7020" t="s">
        <v>50</v>
      </c>
      <c r="D7020" t="s">
        <v>11422</v>
      </c>
      <c r="E7020" t="s">
        <v>1001</v>
      </c>
      <c r="F7020" t="s">
        <v>53</v>
      </c>
      <c r="G7020" t="s">
        <v>112</v>
      </c>
      <c r="H7020" t="str">
        <f>"ΙΣΜΗΝΗΣ 3 ΗΡΑΚΛΕΙΟ"</f>
        <v>ΙΣΜΗΝΗΣ 3 ΗΡΑΚΛΕΙΟ</v>
      </c>
      <c r="I7020">
        <v>71305</v>
      </c>
      <c r="J7020">
        <v>2810312492</v>
      </c>
      <c r="K7020">
        <v>6975618014</v>
      </c>
      <c r="N7020" t="s">
        <v>615</v>
      </c>
      <c r="O7020" t="s">
        <v>616</v>
      </c>
      <c r="R7020" t="s">
        <v>57</v>
      </c>
      <c r="S7020">
        <v>12</v>
      </c>
      <c r="T7020">
        <v>165</v>
      </c>
      <c r="U7020" s="1">
        <v>36040</v>
      </c>
      <c r="V7020" t="s">
        <v>80</v>
      </c>
      <c r="W7020" t="s">
        <v>81</v>
      </c>
      <c r="X7020" t="s">
        <v>58</v>
      </c>
      <c r="Y7020">
        <v>21</v>
      </c>
      <c r="Z7020" t="s">
        <v>59</v>
      </c>
      <c r="AA7020" t="s">
        <v>59</v>
      </c>
      <c r="AB7020" t="s">
        <v>59</v>
      </c>
      <c r="AC7020" t="s">
        <v>59</v>
      </c>
      <c r="AD7020" t="s">
        <v>59</v>
      </c>
      <c r="AF7020" s="1">
        <v>36045</v>
      </c>
      <c r="AG7020" t="s">
        <v>8645</v>
      </c>
      <c r="AH7020" t="s">
        <v>8646</v>
      </c>
      <c r="AI7020" t="str">
        <f>"9170056"</f>
        <v>9170056</v>
      </c>
      <c r="AJ7020" t="s">
        <v>9137</v>
      </c>
      <c r="AK7020">
        <v>2810253392</v>
      </c>
      <c r="AL7020" t="s">
        <v>9138</v>
      </c>
      <c r="AM7020" t="s">
        <v>78</v>
      </c>
      <c r="AN7020" t="s">
        <v>78</v>
      </c>
      <c r="AO7020" t="s">
        <v>78</v>
      </c>
      <c r="AP7020" t="s">
        <v>141</v>
      </c>
      <c r="AQ7020">
        <v>1</v>
      </c>
      <c r="AR7020" t="s">
        <v>80</v>
      </c>
      <c r="AS7020" t="s">
        <v>81</v>
      </c>
      <c r="AT7020" t="s">
        <v>58</v>
      </c>
      <c r="AU7020" t="s">
        <v>68</v>
      </c>
      <c r="AV7020" t="s">
        <v>69</v>
      </c>
      <c r="AW7020" s="1">
        <v>24220</v>
      </c>
      <c r="AX7020">
        <v>1</v>
      </c>
    </row>
    <row r="7021" spans="1:50">
      <c r="A7021">
        <v>613973</v>
      </c>
      <c r="B7021" t="str">
        <f>"132323437"</f>
        <v>132323437</v>
      </c>
      <c r="C7021" t="s">
        <v>50</v>
      </c>
      <c r="D7021" t="s">
        <v>3807</v>
      </c>
      <c r="E7021" t="s">
        <v>237</v>
      </c>
      <c r="F7021" t="s">
        <v>95</v>
      </c>
      <c r="G7021" t="s">
        <v>3866</v>
      </c>
      <c r="H7021" t="str">
        <f>"ΜΕΝΕΞΕΔΩΝ 4 ΗΡΑΚΛΕΙΟ"</f>
        <v>ΜΕΝΕΞΕΔΩΝ 4 ΗΡΑΚΛΕΙΟ</v>
      </c>
      <c r="I7021">
        <v>71409</v>
      </c>
      <c r="J7021">
        <v>2810232034</v>
      </c>
      <c r="K7021">
        <v>6976112381</v>
      </c>
      <c r="N7021" t="s">
        <v>615</v>
      </c>
      <c r="O7021" t="s">
        <v>616</v>
      </c>
      <c r="R7021" t="s">
        <v>57</v>
      </c>
      <c r="S7021">
        <v>5</v>
      </c>
      <c r="T7021">
        <v>598</v>
      </c>
      <c r="U7021" s="1">
        <v>39310</v>
      </c>
      <c r="V7021" t="s">
        <v>80</v>
      </c>
      <c r="W7021" t="s">
        <v>81</v>
      </c>
      <c r="X7021" t="s">
        <v>58</v>
      </c>
      <c r="Y7021">
        <v>23</v>
      </c>
      <c r="Z7021" t="s">
        <v>59</v>
      </c>
      <c r="AA7021" t="s">
        <v>59</v>
      </c>
      <c r="AB7021" t="s">
        <v>59</v>
      </c>
      <c r="AC7021" t="s">
        <v>59</v>
      </c>
      <c r="AD7021" t="s">
        <v>59</v>
      </c>
      <c r="AF7021" s="1">
        <v>39328</v>
      </c>
      <c r="AG7021" t="s">
        <v>8645</v>
      </c>
      <c r="AH7021" t="s">
        <v>8646</v>
      </c>
      <c r="AI7021" t="str">
        <f>"9170549"</f>
        <v>9170549</v>
      </c>
      <c r="AJ7021" t="s">
        <v>8778</v>
      </c>
      <c r="AK7021">
        <v>2810751800</v>
      </c>
      <c r="AL7021" t="s">
        <v>8779</v>
      </c>
      <c r="AM7021" t="s">
        <v>78</v>
      </c>
      <c r="AN7021" t="s">
        <v>424</v>
      </c>
      <c r="AO7021" t="s">
        <v>425</v>
      </c>
      <c r="AP7021" t="s">
        <v>425</v>
      </c>
      <c r="AQ7021">
        <v>11</v>
      </c>
      <c r="AR7021" t="s">
        <v>80</v>
      </c>
      <c r="AS7021" t="s">
        <v>81</v>
      </c>
      <c r="AT7021" t="s">
        <v>58</v>
      </c>
      <c r="AU7021" t="s">
        <v>68</v>
      </c>
      <c r="AV7021" t="s">
        <v>69</v>
      </c>
      <c r="AW7021" s="1">
        <v>30988</v>
      </c>
      <c r="AX7021">
        <v>1</v>
      </c>
    </row>
    <row r="7022" spans="1:50">
      <c r="A7022">
        <v>621400</v>
      </c>
      <c r="B7022" t="str">
        <f>"028112486"</f>
        <v>028112486</v>
      </c>
      <c r="C7022" t="s">
        <v>50</v>
      </c>
      <c r="D7022" t="s">
        <v>3807</v>
      </c>
      <c r="E7022" t="s">
        <v>143</v>
      </c>
      <c r="F7022" t="s">
        <v>166</v>
      </c>
      <c r="G7022" t="s">
        <v>52</v>
      </c>
      <c r="H7022" t="str">
        <f>"ΣΤ. ΝΙΚΟΛΑΪΔΗ 3 ΗΡΑΚΛΕΙΟ ΚΡΗΤΗΣ"</f>
        <v>ΣΤ. ΝΙΚΟΛΑΪΔΗ 3 ΗΡΑΚΛΕΙΟ ΚΡΗΤΗΣ</v>
      </c>
      <c r="I7022">
        <v>71305</v>
      </c>
      <c r="J7022">
        <v>2810318569</v>
      </c>
      <c r="K7022">
        <v>6974427659</v>
      </c>
      <c r="M7022" t="s">
        <v>11423</v>
      </c>
      <c r="N7022" t="s">
        <v>615</v>
      </c>
      <c r="O7022" t="s">
        <v>616</v>
      </c>
      <c r="P7022" t="s">
        <v>232</v>
      </c>
      <c r="Q7022" t="s">
        <v>233</v>
      </c>
      <c r="R7022" t="s">
        <v>57</v>
      </c>
      <c r="S7022">
        <v>5</v>
      </c>
      <c r="T7022">
        <v>653</v>
      </c>
      <c r="U7022" s="1">
        <v>40043</v>
      </c>
      <c r="V7022" t="s">
        <v>80</v>
      </c>
      <c r="W7022" t="s">
        <v>81</v>
      </c>
      <c r="X7022" t="s">
        <v>58</v>
      </c>
      <c r="Y7022">
        <v>23</v>
      </c>
      <c r="Z7022" t="s">
        <v>59</v>
      </c>
      <c r="AA7022" t="s">
        <v>59</v>
      </c>
      <c r="AB7022" t="s">
        <v>59</v>
      </c>
      <c r="AC7022" t="s">
        <v>59</v>
      </c>
      <c r="AD7022" t="s">
        <v>59</v>
      </c>
      <c r="AF7022" s="1">
        <v>40043</v>
      </c>
      <c r="AG7022" t="s">
        <v>8645</v>
      </c>
      <c r="AH7022" t="s">
        <v>8646</v>
      </c>
      <c r="AI7022" t="str">
        <f>"9170362"</f>
        <v>9170362</v>
      </c>
      <c r="AJ7022" t="s">
        <v>8681</v>
      </c>
      <c r="AK7022">
        <v>2810255261</v>
      </c>
      <c r="AL7022" t="s">
        <v>8682</v>
      </c>
      <c r="AM7022" t="s">
        <v>78</v>
      </c>
      <c r="AN7022" t="s">
        <v>78</v>
      </c>
      <c r="AO7022" t="s">
        <v>78</v>
      </c>
      <c r="AP7022" t="s">
        <v>141</v>
      </c>
      <c r="AQ7022">
        <v>1</v>
      </c>
      <c r="AR7022" t="s">
        <v>80</v>
      </c>
      <c r="AS7022" t="s">
        <v>81</v>
      </c>
      <c r="AT7022" t="s">
        <v>58</v>
      </c>
      <c r="AU7022" t="s">
        <v>68</v>
      </c>
      <c r="AV7022" t="s">
        <v>69</v>
      </c>
      <c r="AW7022" s="1">
        <v>24267</v>
      </c>
      <c r="AX7022">
        <v>1</v>
      </c>
    </row>
    <row r="7023" spans="1:50">
      <c r="A7023">
        <v>608696</v>
      </c>
      <c r="B7023" t="str">
        <f>"114588272"</f>
        <v>114588272</v>
      </c>
      <c r="C7023" t="s">
        <v>50</v>
      </c>
      <c r="D7023" t="s">
        <v>3807</v>
      </c>
      <c r="E7023" t="s">
        <v>340</v>
      </c>
      <c r="F7023" t="s">
        <v>53</v>
      </c>
      <c r="G7023" t="s">
        <v>1114</v>
      </c>
      <c r="H7023" t="str">
        <f>"ΚΟΚΚΙΝΗ ΧΑΝΙ ΚΟΚΚΙΝΗ ΧΑΝΙ"</f>
        <v>ΚΟΚΚΙΝΗ ΧΑΝΙ ΚΟΚΚΙΝΗ ΧΑΝΙ</v>
      </c>
      <c r="I7023">
        <v>71500</v>
      </c>
      <c r="J7023">
        <v>2810762873</v>
      </c>
      <c r="K7023">
        <v>6972582822</v>
      </c>
      <c r="M7023" t="s">
        <v>11424</v>
      </c>
      <c r="N7023" t="s">
        <v>1525</v>
      </c>
      <c r="O7023" t="s">
        <v>1526</v>
      </c>
      <c r="R7023" t="s">
        <v>57</v>
      </c>
      <c r="S7023">
        <v>8</v>
      </c>
      <c r="T7023">
        <v>217</v>
      </c>
      <c r="U7023" s="1">
        <v>38596</v>
      </c>
      <c r="V7023" t="s">
        <v>80</v>
      </c>
      <c r="W7023" t="s">
        <v>81</v>
      </c>
      <c r="X7023" t="s">
        <v>58</v>
      </c>
      <c r="Y7023">
        <v>25</v>
      </c>
      <c r="Z7023" t="s">
        <v>59</v>
      </c>
      <c r="AA7023" t="s">
        <v>59</v>
      </c>
      <c r="AB7023" t="s">
        <v>59</v>
      </c>
      <c r="AC7023" t="s">
        <v>59</v>
      </c>
      <c r="AD7023" t="s">
        <v>59</v>
      </c>
      <c r="AF7023" s="1">
        <v>38602</v>
      </c>
      <c r="AG7023" t="s">
        <v>8651</v>
      </c>
      <c r="AH7023" t="s">
        <v>8652</v>
      </c>
      <c r="AI7023" t="str">
        <f>"9170500"</f>
        <v>9170500</v>
      </c>
      <c r="AJ7023" t="s">
        <v>10433</v>
      </c>
      <c r="AK7023">
        <v>2810332170</v>
      </c>
      <c r="AL7023" t="s">
        <v>10434</v>
      </c>
      <c r="AM7023" t="s">
        <v>78</v>
      </c>
      <c r="AN7023" t="s">
        <v>219</v>
      </c>
      <c r="AO7023" t="s">
        <v>297</v>
      </c>
      <c r="AP7023" t="s">
        <v>8796</v>
      </c>
      <c r="AQ7023">
        <v>7</v>
      </c>
      <c r="AR7023" t="s">
        <v>80</v>
      </c>
      <c r="AS7023" t="s">
        <v>81</v>
      </c>
      <c r="AT7023" t="s">
        <v>58</v>
      </c>
      <c r="AU7023" t="s">
        <v>68</v>
      </c>
      <c r="AV7023" t="s">
        <v>69</v>
      </c>
      <c r="AW7023" s="1">
        <v>29956</v>
      </c>
      <c r="AX7023">
        <v>1</v>
      </c>
    </row>
    <row r="7024" spans="1:50">
      <c r="A7024">
        <v>190424</v>
      </c>
      <c r="B7024" t="str">
        <f>"070362932"</f>
        <v>070362932</v>
      </c>
      <c r="C7024" t="s">
        <v>50</v>
      </c>
      <c r="D7024" t="s">
        <v>3807</v>
      </c>
      <c r="E7024" t="s">
        <v>842</v>
      </c>
      <c r="F7024" t="s">
        <v>95</v>
      </c>
      <c r="G7024" t="s">
        <v>11425</v>
      </c>
      <c r="H7024" t="str">
        <f>"ΣΜΠΩΚΟΥ 20 "</f>
        <v xml:space="preserve">ΣΜΠΩΚΟΥ 20 </v>
      </c>
      <c r="J7024">
        <v>2810322895</v>
      </c>
      <c r="K7024">
        <v>6974593053</v>
      </c>
      <c r="N7024" t="s">
        <v>306</v>
      </c>
      <c r="O7024" t="s">
        <v>307</v>
      </c>
      <c r="R7024" t="s">
        <v>57</v>
      </c>
      <c r="S7024">
        <v>8</v>
      </c>
      <c r="T7024">
        <v>219</v>
      </c>
      <c r="U7024" s="1">
        <v>37134</v>
      </c>
      <c r="V7024" t="s">
        <v>80</v>
      </c>
      <c r="W7024" t="s">
        <v>81</v>
      </c>
      <c r="X7024" t="s">
        <v>58</v>
      </c>
      <c r="Y7024">
        <v>22</v>
      </c>
      <c r="Z7024" t="s">
        <v>59</v>
      </c>
      <c r="AA7024" t="s">
        <v>59</v>
      </c>
      <c r="AB7024" t="s">
        <v>59</v>
      </c>
      <c r="AC7024" t="s">
        <v>59</v>
      </c>
      <c r="AD7024" t="s">
        <v>59</v>
      </c>
      <c r="AF7024" s="1">
        <v>37138</v>
      </c>
      <c r="AG7024" t="s">
        <v>8645</v>
      </c>
      <c r="AH7024" t="s">
        <v>8646</v>
      </c>
      <c r="AI7024" t="str">
        <f>"9170517"</f>
        <v>9170517</v>
      </c>
      <c r="AJ7024" t="s">
        <v>9248</v>
      </c>
      <c r="AK7024">
        <v>2810238757</v>
      </c>
      <c r="AL7024" t="s">
        <v>9249</v>
      </c>
      <c r="AM7024" t="s">
        <v>78</v>
      </c>
      <c r="AN7024" t="s">
        <v>78</v>
      </c>
      <c r="AO7024" t="s">
        <v>78</v>
      </c>
      <c r="AP7024" t="s">
        <v>163</v>
      </c>
      <c r="AQ7024">
        <v>1</v>
      </c>
      <c r="AR7024" t="s">
        <v>80</v>
      </c>
      <c r="AS7024" t="s">
        <v>81</v>
      </c>
      <c r="AT7024" t="s">
        <v>58</v>
      </c>
      <c r="AU7024" t="s">
        <v>68</v>
      </c>
      <c r="AV7024" t="s">
        <v>69</v>
      </c>
      <c r="AW7024" s="1">
        <v>28210</v>
      </c>
      <c r="AX7024">
        <v>1</v>
      </c>
    </row>
    <row r="7025" spans="1:50">
      <c r="A7025">
        <v>617187</v>
      </c>
      <c r="B7025" t="str">
        <f>"113315040"</f>
        <v>113315040</v>
      </c>
      <c r="C7025" t="s">
        <v>50</v>
      </c>
      <c r="D7025" t="s">
        <v>3807</v>
      </c>
      <c r="E7025" t="s">
        <v>52</v>
      </c>
      <c r="F7025" t="s">
        <v>304</v>
      </c>
      <c r="G7025" t="s">
        <v>237</v>
      </c>
      <c r="H7025" t="str">
        <f>"ΗΣΙΟΔΟΥ 8 "</f>
        <v xml:space="preserve">ΗΣΙΟΔΟΥ 8 </v>
      </c>
      <c r="I7025">
        <v>71307</v>
      </c>
      <c r="J7025">
        <v>2810233003</v>
      </c>
      <c r="K7025">
        <v>6973994280</v>
      </c>
      <c r="N7025" t="s">
        <v>615</v>
      </c>
      <c r="O7025" t="s">
        <v>616</v>
      </c>
      <c r="R7025" t="s">
        <v>57</v>
      </c>
      <c r="S7025">
        <v>6</v>
      </c>
      <c r="T7025">
        <v>774</v>
      </c>
      <c r="U7025" s="1">
        <v>39680</v>
      </c>
      <c r="V7025" t="s">
        <v>80</v>
      </c>
      <c r="W7025" t="s">
        <v>81</v>
      </c>
      <c r="X7025" t="s">
        <v>58</v>
      </c>
      <c r="Y7025">
        <v>23</v>
      </c>
      <c r="Z7025" t="s">
        <v>59</v>
      </c>
      <c r="AA7025" t="s">
        <v>59</v>
      </c>
      <c r="AB7025" t="s">
        <v>59</v>
      </c>
      <c r="AC7025" t="s">
        <v>59</v>
      </c>
      <c r="AD7025" t="s">
        <v>59</v>
      </c>
      <c r="AF7025" s="1">
        <v>39681</v>
      </c>
      <c r="AG7025" t="s">
        <v>8645</v>
      </c>
      <c r="AH7025" t="s">
        <v>8646</v>
      </c>
      <c r="AI7025" t="str">
        <f>"9170535"</f>
        <v>9170535</v>
      </c>
      <c r="AJ7025" t="s">
        <v>9330</v>
      </c>
      <c r="AK7025">
        <v>2810222629</v>
      </c>
      <c r="AL7025" t="s">
        <v>9331</v>
      </c>
      <c r="AM7025" t="s">
        <v>78</v>
      </c>
      <c r="AN7025" t="s">
        <v>78</v>
      </c>
      <c r="AO7025" t="s">
        <v>78</v>
      </c>
      <c r="AP7025" t="s">
        <v>213</v>
      </c>
      <c r="AQ7025">
        <v>1</v>
      </c>
      <c r="AR7025" t="s">
        <v>80</v>
      </c>
      <c r="AS7025" t="s">
        <v>81</v>
      </c>
      <c r="AT7025" t="s">
        <v>58</v>
      </c>
      <c r="AU7025" t="s">
        <v>68</v>
      </c>
      <c r="AV7025" t="s">
        <v>69</v>
      </c>
      <c r="AW7025" s="1">
        <v>30458</v>
      </c>
      <c r="AX7025">
        <v>1</v>
      </c>
    </row>
    <row r="7026" spans="1:50">
      <c r="A7026">
        <v>570536</v>
      </c>
      <c r="B7026" t="str">
        <f>"048354313"</f>
        <v>048354313</v>
      </c>
      <c r="C7026" t="s">
        <v>50</v>
      </c>
      <c r="D7026" t="s">
        <v>3807</v>
      </c>
      <c r="E7026" t="s">
        <v>52</v>
      </c>
      <c r="F7026" t="s">
        <v>2233</v>
      </c>
      <c r="G7026" t="s">
        <v>96</v>
      </c>
      <c r="H7026" t="str">
        <f>"ΚΩΣΤΗ ΠΑΛΑΜΑ 21 ΗΡΑΚΛΕΙΟ"</f>
        <v>ΚΩΣΤΗ ΠΑΛΑΜΑ 21 ΗΡΑΚΛΕΙΟ</v>
      </c>
      <c r="I7026">
        <v>71306</v>
      </c>
      <c r="J7026">
        <v>2810226542</v>
      </c>
      <c r="K7026">
        <v>6948081360</v>
      </c>
      <c r="M7026" t="s">
        <v>11426</v>
      </c>
      <c r="N7026" t="s">
        <v>615</v>
      </c>
      <c r="O7026" t="s">
        <v>616</v>
      </c>
      <c r="R7026" t="s">
        <v>57</v>
      </c>
      <c r="S7026">
        <v>14</v>
      </c>
      <c r="T7026">
        <v>138</v>
      </c>
      <c r="U7026" s="1">
        <v>34206</v>
      </c>
      <c r="V7026" t="s">
        <v>80</v>
      </c>
      <c r="W7026" t="s">
        <v>81</v>
      </c>
      <c r="X7026" t="s">
        <v>58</v>
      </c>
      <c r="Y7026">
        <v>21</v>
      </c>
      <c r="Z7026" t="s">
        <v>59</v>
      </c>
      <c r="AA7026" t="s">
        <v>59</v>
      </c>
      <c r="AB7026" t="s">
        <v>59</v>
      </c>
      <c r="AC7026" t="s">
        <v>59</v>
      </c>
      <c r="AD7026" t="s">
        <v>59</v>
      </c>
      <c r="AF7026" s="1">
        <v>34213</v>
      </c>
      <c r="AG7026" t="s">
        <v>8645</v>
      </c>
      <c r="AH7026" t="s">
        <v>8646</v>
      </c>
      <c r="AI7026" t="str">
        <f>"9170262"</f>
        <v>9170262</v>
      </c>
      <c r="AJ7026" t="s">
        <v>9224</v>
      </c>
      <c r="AK7026">
        <v>2810245912</v>
      </c>
      <c r="AL7026" t="s">
        <v>9225</v>
      </c>
      <c r="AM7026" t="s">
        <v>78</v>
      </c>
      <c r="AN7026" t="s">
        <v>78</v>
      </c>
      <c r="AO7026" t="s">
        <v>286</v>
      </c>
      <c r="AP7026" t="s">
        <v>286</v>
      </c>
      <c r="AQ7026">
        <v>1</v>
      </c>
      <c r="AR7026" t="s">
        <v>80</v>
      </c>
      <c r="AS7026" t="s">
        <v>81</v>
      </c>
      <c r="AT7026" t="s">
        <v>58</v>
      </c>
      <c r="AU7026" t="s">
        <v>68</v>
      </c>
      <c r="AV7026" t="s">
        <v>69</v>
      </c>
      <c r="AW7026" s="1">
        <v>23707</v>
      </c>
      <c r="AX7026">
        <v>1</v>
      </c>
    </row>
    <row r="7027" spans="1:50">
      <c r="A7027">
        <v>554806</v>
      </c>
      <c r="B7027" t="str">
        <f>"030748489"</f>
        <v>030748489</v>
      </c>
      <c r="C7027" t="s">
        <v>105</v>
      </c>
      <c r="D7027" t="s">
        <v>3808</v>
      </c>
      <c r="E7027" t="s">
        <v>782</v>
      </c>
      <c r="F7027" t="s">
        <v>72</v>
      </c>
      <c r="G7027" t="s">
        <v>610</v>
      </c>
      <c r="H7027" t="str">
        <f>" "</f>
        <v xml:space="preserve"> </v>
      </c>
      <c r="N7027" t="s">
        <v>615</v>
      </c>
      <c r="O7027" t="s">
        <v>616</v>
      </c>
      <c r="R7027" t="s">
        <v>57</v>
      </c>
      <c r="S7027">
        <v>16</v>
      </c>
      <c r="T7027">
        <v>200</v>
      </c>
      <c r="U7027" s="1">
        <v>31657</v>
      </c>
      <c r="V7027" t="s">
        <v>80</v>
      </c>
      <c r="W7027" t="s">
        <v>81</v>
      </c>
      <c r="X7027" t="s">
        <v>58</v>
      </c>
      <c r="Y7027">
        <v>21</v>
      </c>
      <c r="Z7027" t="s">
        <v>59</v>
      </c>
      <c r="AA7027" t="s">
        <v>59</v>
      </c>
      <c r="AB7027" t="s">
        <v>452</v>
      </c>
      <c r="AC7027" t="s">
        <v>59</v>
      </c>
      <c r="AD7027" t="s">
        <v>59</v>
      </c>
      <c r="AF7027" s="1">
        <v>31666</v>
      </c>
      <c r="AG7027" t="s">
        <v>8645</v>
      </c>
      <c r="AH7027" t="s">
        <v>8646</v>
      </c>
      <c r="AI7027" t="str">
        <f>"9170338"</f>
        <v>9170338</v>
      </c>
      <c r="AJ7027" t="s">
        <v>8849</v>
      </c>
      <c r="AK7027">
        <v>2892051377</v>
      </c>
      <c r="AL7027" t="s">
        <v>8850</v>
      </c>
      <c r="AM7027" t="s">
        <v>78</v>
      </c>
      <c r="AN7027" t="s">
        <v>242</v>
      </c>
      <c r="AO7027" t="s">
        <v>349</v>
      </c>
      <c r="AP7027" t="s">
        <v>349</v>
      </c>
      <c r="AQ7027">
        <v>19</v>
      </c>
      <c r="AR7027" t="s">
        <v>80</v>
      </c>
      <c r="AS7027" t="s">
        <v>81</v>
      </c>
      <c r="AT7027" t="s">
        <v>58</v>
      </c>
      <c r="AU7027" t="s">
        <v>68</v>
      </c>
      <c r="AV7027" t="s">
        <v>69</v>
      </c>
      <c r="AW7027" s="1">
        <v>22796</v>
      </c>
      <c r="AX7027">
        <v>1</v>
      </c>
    </row>
    <row r="7028" spans="1:50">
      <c r="B7028" t="str">
        <f>"138953169"</f>
        <v>138953169</v>
      </c>
      <c r="C7028" t="s">
        <v>105</v>
      </c>
      <c r="D7028" t="s">
        <v>3808</v>
      </c>
      <c r="E7028" t="s">
        <v>72</v>
      </c>
      <c r="F7028" t="s">
        <v>106</v>
      </c>
      <c r="G7028" t="s">
        <v>513</v>
      </c>
      <c r="H7028" t="str">
        <f>" "</f>
        <v xml:space="preserve"> </v>
      </c>
      <c r="N7028" t="s">
        <v>615</v>
      </c>
      <c r="O7028" t="s">
        <v>616</v>
      </c>
      <c r="R7028" t="s">
        <v>159</v>
      </c>
      <c r="S7028">
        <v>1</v>
      </c>
      <c r="T7028" t="s">
        <v>8675</v>
      </c>
      <c r="U7028" s="1">
        <v>43348</v>
      </c>
      <c r="V7028" t="s">
        <v>80</v>
      </c>
      <c r="W7028" t="s">
        <v>81</v>
      </c>
      <c r="X7028" t="s">
        <v>58</v>
      </c>
      <c r="Y7028">
        <v>25</v>
      </c>
      <c r="Z7028" t="s">
        <v>59</v>
      </c>
      <c r="AA7028" t="s">
        <v>59</v>
      </c>
      <c r="AB7028" t="s">
        <v>59</v>
      </c>
      <c r="AC7028" t="s">
        <v>59</v>
      </c>
      <c r="AD7028" t="s">
        <v>59</v>
      </c>
      <c r="AF7028" s="1">
        <v>43348</v>
      </c>
      <c r="AG7028" t="s">
        <v>8645</v>
      </c>
      <c r="AH7028" t="s">
        <v>8676</v>
      </c>
      <c r="AI7028" t="str">
        <f>"9170314"</f>
        <v>9170314</v>
      </c>
      <c r="AJ7028" t="s">
        <v>10614</v>
      </c>
      <c r="AK7028">
        <v>2893022742</v>
      </c>
      <c r="AL7028" t="s">
        <v>10615</v>
      </c>
      <c r="AM7028" t="s">
        <v>78</v>
      </c>
      <c r="AN7028" t="s">
        <v>424</v>
      </c>
      <c r="AO7028" t="s">
        <v>577</v>
      </c>
      <c r="AP7028" t="s">
        <v>10447</v>
      </c>
      <c r="AQ7028">
        <v>10</v>
      </c>
      <c r="AR7028" t="s">
        <v>80</v>
      </c>
      <c r="AS7028" t="s">
        <v>81</v>
      </c>
      <c r="AT7028" t="s">
        <v>58</v>
      </c>
      <c r="AU7028" t="s">
        <v>8673</v>
      </c>
      <c r="AV7028" t="s">
        <v>132</v>
      </c>
      <c r="AW7028" s="1">
        <v>32627</v>
      </c>
      <c r="AX7028">
        <v>1</v>
      </c>
    </row>
    <row r="7029" spans="1:50">
      <c r="A7029">
        <v>617514</v>
      </c>
      <c r="B7029" t="str">
        <f>"110729008"</f>
        <v>110729008</v>
      </c>
      <c r="C7029" t="s">
        <v>105</v>
      </c>
      <c r="D7029" t="s">
        <v>11427</v>
      </c>
      <c r="E7029" t="s">
        <v>106</v>
      </c>
      <c r="F7029" t="s">
        <v>95</v>
      </c>
      <c r="G7029" t="s">
        <v>964</v>
      </c>
      <c r="H7029" t="str">
        <f>"ΜΟΧΟΣ ΗΡΑΚΛΕΙΟΥ ΗΡΑΚΛΕΙΟΥ"</f>
        <v>ΜΟΧΟΣ ΗΡΑΚΛΕΙΟΥ ΗΡΑΚΛΕΙΟΥ</v>
      </c>
      <c r="I7029">
        <v>70005</v>
      </c>
      <c r="J7029">
        <v>2897061554</v>
      </c>
      <c r="K7029">
        <v>6974304388</v>
      </c>
      <c r="N7029" t="s">
        <v>615</v>
      </c>
      <c r="O7029" t="s">
        <v>616</v>
      </c>
      <c r="R7029" t="s">
        <v>57</v>
      </c>
      <c r="S7029">
        <v>5</v>
      </c>
      <c r="T7029">
        <v>774</v>
      </c>
      <c r="U7029" s="1">
        <v>39680</v>
      </c>
      <c r="V7029" t="s">
        <v>80</v>
      </c>
      <c r="W7029" t="s">
        <v>81</v>
      </c>
      <c r="X7029" t="s">
        <v>58</v>
      </c>
      <c r="Y7029">
        <v>23</v>
      </c>
      <c r="Z7029" t="s">
        <v>59</v>
      </c>
      <c r="AA7029" t="s">
        <v>59</v>
      </c>
      <c r="AB7029" t="s">
        <v>59</v>
      </c>
      <c r="AC7029" t="s">
        <v>59</v>
      </c>
      <c r="AD7029" t="s">
        <v>59</v>
      </c>
      <c r="AF7029" s="1">
        <v>39681</v>
      </c>
      <c r="AG7029" t="s">
        <v>8645</v>
      </c>
      <c r="AH7029" t="s">
        <v>8646</v>
      </c>
      <c r="AI7029" t="str">
        <f>"9170054"</f>
        <v>9170054</v>
      </c>
      <c r="AJ7029" t="s">
        <v>9106</v>
      </c>
      <c r="AK7029">
        <v>2810254527</v>
      </c>
      <c r="AL7029" t="s">
        <v>9107</v>
      </c>
      <c r="AM7029" t="s">
        <v>78</v>
      </c>
      <c r="AN7029" t="s">
        <v>78</v>
      </c>
      <c r="AO7029" t="s">
        <v>78</v>
      </c>
      <c r="AP7029" t="s">
        <v>163</v>
      </c>
      <c r="AQ7029">
        <v>1</v>
      </c>
      <c r="AR7029" t="s">
        <v>80</v>
      </c>
      <c r="AS7029" t="s">
        <v>81</v>
      </c>
      <c r="AT7029" t="s">
        <v>58</v>
      </c>
      <c r="AU7029" t="s">
        <v>68</v>
      </c>
      <c r="AV7029" t="s">
        <v>69</v>
      </c>
      <c r="AW7029" s="1">
        <v>30048</v>
      </c>
      <c r="AX7029">
        <v>1</v>
      </c>
    </row>
    <row r="7030" spans="1:50">
      <c r="A7030">
        <v>587670</v>
      </c>
      <c r="B7030" t="str">
        <f>"041559094"</f>
        <v>041559094</v>
      </c>
      <c r="C7030" t="s">
        <v>50</v>
      </c>
      <c r="D7030" t="s">
        <v>11428</v>
      </c>
      <c r="E7030" t="s">
        <v>1189</v>
      </c>
      <c r="F7030" t="s">
        <v>670</v>
      </c>
      <c r="G7030" t="s">
        <v>237</v>
      </c>
      <c r="H7030" t="str">
        <f>" "</f>
        <v xml:space="preserve"> </v>
      </c>
      <c r="N7030" t="s">
        <v>337</v>
      </c>
      <c r="O7030" t="s">
        <v>338</v>
      </c>
      <c r="R7030" t="s">
        <v>57</v>
      </c>
      <c r="S7030">
        <v>10</v>
      </c>
      <c r="T7030">
        <v>164</v>
      </c>
      <c r="U7030" s="1">
        <v>36040</v>
      </c>
      <c r="V7030" t="s">
        <v>80</v>
      </c>
      <c r="W7030" t="s">
        <v>81</v>
      </c>
      <c r="X7030" t="s">
        <v>58</v>
      </c>
      <c r="Y7030">
        <v>21</v>
      </c>
      <c r="Z7030" t="s">
        <v>59</v>
      </c>
      <c r="AA7030" t="s">
        <v>59</v>
      </c>
      <c r="AB7030" t="s">
        <v>59</v>
      </c>
      <c r="AC7030" t="s">
        <v>59</v>
      </c>
      <c r="AD7030" t="s">
        <v>59</v>
      </c>
      <c r="AF7030" s="1">
        <v>36045</v>
      </c>
      <c r="AG7030" t="s">
        <v>8645</v>
      </c>
      <c r="AH7030" t="s">
        <v>8646</v>
      </c>
      <c r="AI7030" t="str">
        <f>"9170198"</f>
        <v>9170198</v>
      </c>
      <c r="AJ7030" t="s">
        <v>8665</v>
      </c>
      <c r="AK7030">
        <v>2810227379</v>
      </c>
      <c r="AL7030" t="s">
        <v>8666</v>
      </c>
      <c r="AM7030" t="s">
        <v>78</v>
      </c>
      <c r="AN7030" t="s">
        <v>78</v>
      </c>
      <c r="AO7030" t="s">
        <v>78</v>
      </c>
      <c r="AP7030" t="s">
        <v>79</v>
      </c>
      <c r="AQ7030">
        <v>1</v>
      </c>
      <c r="AR7030" t="s">
        <v>80</v>
      </c>
      <c r="AS7030" t="s">
        <v>81</v>
      </c>
      <c r="AT7030" t="s">
        <v>58</v>
      </c>
      <c r="AU7030" t="s">
        <v>68</v>
      </c>
      <c r="AV7030" t="s">
        <v>69</v>
      </c>
      <c r="AW7030" s="1">
        <v>26375</v>
      </c>
      <c r="AX7030">
        <v>1</v>
      </c>
    </row>
    <row r="7031" spans="1:50">
      <c r="A7031">
        <v>618585</v>
      </c>
      <c r="B7031" t="str">
        <f>"118193911"</f>
        <v>118193911</v>
      </c>
      <c r="C7031" t="s">
        <v>105</v>
      </c>
      <c r="D7031" t="s">
        <v>11429</v>
      </c>
      <c r="E7031" t="s">
        <v>995</v>
      </c>
      <c r="F7031" t="s">
        <v>72</v>
      </c>
      <c r="G7031" t="s">
        <v>372</v>
      </c>
      <c r="H7031" t="str">
        <f>"ΤΡΙΑ ΜΟΝΑΣΤΗΡΙΑ "</f>
        <v xml:space="preserve">ΤΡΙΑ ΜΟΝΑΣΤΗΡΙΑ </v>
      </c>
      <c r="I7031">
        <v>74100</v>
      </c>
      <c r="J7031">
        <v>2105147257</v>
      </c>
      <c r="K7031">
        <v>6974001203</v>
      </c>
      <c r="N7031" t="s">
        <v>615</v>
      </c>
      <c r="O7031" t="s">
        <v>616</v>
      </c>
      <c r="R7031" t="s">
        <v>57</v>
      </c>
      <c r="S7031">
        <v>5</v>
      </c>
      <c r="T7031">
        <v>774</v>
      </c>
      <c r="U7031" s="1">
        <v>39680</v>
      </c>
      <c r="V7031" t="s">
        <v>80</v>
      </c>
      <c r="W7031" t="s">
        <v>81</v>
      </c>
      <c r="X7031" t="s">
        <v>58</v>
      </c>
      <c r="Y7031">
        <v>23</v>
      </c>
      <c r="Z7031" t="s">
        <v>59</v>
      </c>
      <c r="AA7031" t="s">
        <v>59</v>
      </c>
      <c r="AB7031" t="s">
        <v>59</v>
      </c>
      <c r="AC7031" t="s">
        <v>59</v>
      </c>
      <c r="AD7031" t="s">
        <v>59</v>
      </c>
      <c r="AF7031" s="1">
        <v>39681</v>
      </c>
      <c r="AG7031" t="s">
        <v>8645</v>
      </c>
      <c r="AH7031" t="s">
        <v>8646</v>
      </c>
      <c r="AI7031" t="str">
        <f>"9170560"</f>
        <v>9170560</v>
      </c>
      <c r="AJ7031" t="s">
        <v>9022</v>
      </c>
      <c r="AK7031">
        <v>2810821816</v>
      </c>
      <c r="AL7031" t="s">
        <v>9023</v>
      </c>
      <c r="AM7031" t="s">
        <v>78</v>
      </c>
      <c r="AN7031" t="s">
        <v>129</v>
      </c>
      <c r="AO7031" t="s">
        <v>130</v>
      </c>
      <c r="AP7031" t="s">
        <v>130</v>
      </c>
      <c r="AQ7031">
        <v>1</v>
      </c>
      <c r="AR7031" t="s">
        <v>80</v>
      </c>
      <c r="AS7031" t="s">
        <v>81</v>
      </c>
      <c r="AT7031" t="s">
        <v>58</v>
      </c>
      <c r="AU7031" t="s">
        <v>68</v>
      </c>
      <c r="AV7031" t="s">
        <v>69</v>
      </c>
      <c r="AW7031" s="1">
        <v>30420</v>
      </c>
      <c r="AX7031">
        <v>1</v>
      </c>
    </row>
    <row r="7032" spans="1:50">
      <c r="B7032" t="str">
        <f>"038076859"</f>
        <v>038076859</v>
      </c>
      <c r="C7032" t="s">
        <v>105</v>
      </c>
      <c r="D7032" t="s">
        <v>11429</v>
      </c>
      <c r="E7032" t="s">
        <v>95</v>
      </c>
      <c r="F7032" t="s">
        <v>84</v>
      </c>
      <c r="G7032" t="s">
        <v>255</v>
      </c>
      <c r="H7032" t="str">
        <f>"ΚΑΛΛΙΠΟΛΕΩΣ 198 ΟΡΕΣΤΙΑΔΑ"</f>
        <v>ΚΑΛΛΙΠΟΛΕΩΣ 198 ΟΡΕΣΤΙΑΔΑ</v>
      </c>
      <c r="I7032">
        <v>68200</v>
      </c>
      <c r="J7032">
        <v>2552023697</v>
      </c>
      <c r="K7032">
        <v>6944280138</v>
      </c>
      <c r="N7032" t="s">
        <v>176</v>
      </c>
      <c r="O7032" t="s">
        <v>177</v>
      </c>
      <c r="R7032" t="s">
        <v>159</v>
      </c>
      <c r="S7032">
        <v>4</v>
      </c>
      <c r="T7032" t="s">
        <v>8675</v>
      </c>
      <c r="U7032" s="1">
        <v>43348</v>
      </c>
      <c r="V7032" t="s">
        <v>80</v>
      </c>
      <c r="W7032" t="s">
        <v>81</v>
      </c>
      <c r="X7032" t="s">
        <v>58</v>
      </c>
      <c r="Y7032">
        <v>24</v>
      </c>
      <c r="Z7032" t="s">
        <v>59</v>
      </c>
      <c r="AA7032" t="s">
        <v>59</v>
      </c>
      <c r="AB7032" t="s">
        <v>59</v>
      </c>
      <c r="AC7032" t="s">
        <v>59</v>
      </c>
      <c r="AD7032" t="s">
        <v>59</v>
      </c>
      <c r="AF7032" s="1">
        <v>43348</v>
      </c>
      <c r="AG7032" t="s">
        <v>8645</v>
      </c>
      <c r="AH7032" t="s">
        <v>8646</v>
      </c>
      <c r="AI7032" t="str">
        <f>"9170257"</f>
        <v>9170257</v>
      </c>
      <c r="AJ7032" t="s">
        <v>8710</v>
      </c>
      <c r="AK7032">
        <v>2810245513</v>
      </c>
      <c r="AL7032" t="s">
        <v>8711</v>
      </c>
      <c r="AM7032" t="s">
        <v>78</v>
      </c>
      <c r="AN7032" t="s">
        <v>78</v>
      </c>
      <c r="AO7032" t="s">
        <v>78</v>
      </c>
      <c r="AP7032" t="s">
        <v>213</v>
      </c>
      <c r="AQ7032">
        <v>1</v>
      </c>
      <c r="AR7032" t="s">
        <v>80</v>
      </c>
      <c r="AS7032" t="s">
        <v>81</v>
      </c>
      <c r="AT7032" t="s">
        <v>58</v>
      </c>
      <c r="AU7032" t="s">
        <v>8673</v>
      </c>
      <c r="AV7032" t="s">
        <v>132</v>
      </c>
      <c r="AW7032" s="1">
        <v>25674</v>
      </c>
      <c r="AX7032">
        <v>1</v>
      </c>
    </row>
    <row r="7033" spans="1:50">
      <c r="A7033">
        <v>194550</v>
      </c>
      <c r="B7033" t="str">
        <f>"042019710"</f>
        <v>042019710</v>
      </c>
      <c r="C7033" t="s">
        <v>50</v>
      </c>
      <c r="D7033" t="s">
        <v>3819</v>
      </c>
      <c r="E7033" t="s">
        <v>3444</v>
      </c>
      <c r="F7033" t="s">
        <v>589</v>
      </c>
      <c r="G7033" t="s">
        <v>52</v>
      </c>
      <c r="H7033" t="str">
        <f>"ΑΓ. ΑΛΕΞΑΝΔΡΟΥ &amp; ΑΡΙΣΤΕΙΔΟΥ ΚΑΡΤΕΡΟΣ Ν. ΑΛΙΚΑΡΝΑΣΣΟΣ"</f>
        <v>ΑΓ. ΑΛΕΞΑΝΔΡΟΥ &amp; ΑΡΙΣΤΕΙΔΟΥ ΚΑΡΤΕΡΟΣ Ν. ΑΛΙΚΑΡΝΑΣΣΟΣ</v>
      </c>
      <c r="I7033">
        <v>71601</v>
      </c>
      <c r="J7033">
        <v>2810244157</v>
      </c>
      <c r="K7033">
        <v>6936851331</v>
      </c>
      <c r="L7033">
        <v>2810243697</v>
      </c>
      <c r="N7033" t="s">
        <v>176</v>
      </c>
      <c r="O7033" t="s">
        <v>177</v>
      </c>
      <c r="R7033" t="s">
        <v>57</v>
      </c>
      <c r="S7033">
        <v>13</v>
      </c>
      <c r="T7033">
        <v>193</v>
      </c>
      <c r="U7033" s="1">
        <v>37497</v>
      </c>
      <c r="V7033" t="s">
        <v>80</v>
      </c>
      <c r="W7033" t="s">
        <v>81</v>
      </c>
      <c r="X7033" t="s">
        <v>58</v>
      </c>
      <c r="Y7033">
        <v>21</v>
      </c>
      <c r="Z7033" t="s">
        <v>59</v>
      </c>
      <c r="AA7033" t="s">
        <v>59</v>
      </c>
      <c r="AB7033" t="s">
        <v>59</v>
      </c>
      <c r="AC7033" t="s">
        <v>59</v>
      </c>
      <c r="AD7033" t="s">
        <v>59</v>
      </c>
      <c r="AF7033" s="1">
        <v>37501</v>
      </c>
      <c r="AG7033" t="s">
        <v>8645</v>
      </c>
      <c r="AH7033" t="s">
        <v>8646</v>
      </c>
      <c r="AI7033" t="str">
        <f>"9170532"</f>
        <v>9170532</v>
      </c>
      <c r="AJ7033" t="s">
        <v>8945</v>
      </c>
      <c r="AK7033">
        <v>2810250330</v>
      </c>
      <c r="AL7033" t="s">
        <v>8946</v>
      </c>
      <c r="AM7033" t="s">
        <v>78</v>
      </c>
      <c r="AN7033" t="s">
        <v>78</v>
      </c>
      <c r="AO7033" t="s">
        <v>78</v>
      </c>
      <c r="AP7033" t="s">
        <v>141</v>
      </c>
      <c r="AQ7033">
        <v>1</v>
      </c>
      <c r="AR7033" t="s">
        <v>80</v>
      </c>
      <c r="AS7033" t="s">
        <v>81</v>
      </c>
      <c r="AT7033" t="s">
        <v>58</v>
      </c>
      <c r="AU7033" t="s">
        <v>68</v>
      </c>
      <c r="AV7033" t="s">
        <v>69</v>
      </c>
      <c r="AW7033" s="1">
        <v>24332</v>
      </c>
      <c r="AX7033">
        <v>1</v>
      </c>
    </row>
    <row r="7034" spans="1:50">
      <c r="B7034" t="str">
        <f>"136981230"</f>
        <v>136981230</v>
      </c>
      <c r="C7034" t="s">
        <v>50</v>
      </c>
      <c r="D7034" t="s">
        <v>7681</v>
      </c>
      <c r="E7034" t="s">
        <v>52</v>
      </c>
      <c r="F7034" t="s">
        <v>564</v>
      </c>
      <c r="G7034" t="s">
        <v>215</v>
      </c>
      <c r="H7034" t="str">
        <f>"ΠΗΝΕΙΟΥ 3 "</f>
        <v xml:space="preserve">ΠΗΝΕΙΟΥ 3 </v>
      </c>
      <c r="I7034">
        <v>13122</v>
      </c>
      <c r="J7034">
        <v>2102631554</v>
      </c>
      <c r="K7034">
        <v>6973805395</v>
      </c>
      <c r="N7034" t="s">
        <v>615</v>
      </c>
      <c r="O7034" t="s">
        <v>616</v>
      </c>
      <c r="R7034" t="s">
        <v>159</v>
      </c>
      <c r="S7034">
        <v>3</v>
      </c>
      <c r="T7034" t="s">
        <v>8675</v>
      </c>
      <c r="U7034" s="1">
        <v>43348</v>
      </c>
      <c r="V7034" t="s">
        <v>80</v>
      </c>
      <c r="W7034" t="s">
        <v>81</v>
      </c>
      <c r="X7034" t="s">
        <v>58</v>
      </c>
      <c r="Y7034">
        <v>24</v>
      </c>
      <c r="Z7034" t="s">
        <v>59</v>
      </c>
      <c r="AA7034" t="s">
        <v>59</v>
      </c>
      <c r="AB7034" t="s">
        <v>59</v>
      </c>
      <c r="AC7034" t="s">
        <v>59</v>
      </c>
      <c r="AD7034" t="s">
        <v>59</v>
      </c>
      <c r="AF7034" s="1">
        <v>43348</v>
      </c>
      <c r="AG7034" t="s">
        <v>8645</v>
      </c>
      <c r="AH7034" t="s">
        <v>8646</v>
      </c>
      <c r="AI7034" t="str">
        <f>"9170228"</f>
        <v>9170228</v>
      </c>
      <c r="AJ7034" t="s">
        <v>8898</v>
      </c>
      <c r="AK7034">
        <v>2891041210</v>
      </c>
      <c r="AL7034" t="s">
        <v>8899</v>
      </c>
      <c r="AM7034" t="s">
        <v>78</v>
      </c>
      <c r="AN7034" t="s">
        <v>276</v>
      </c>
      <c r="AO7034" t="s">
        <v>1936</v>
      </c>
      <c r="AP7034" t="s">
        <v>1936</v>
      </c>
      <c r="AQ7034">
        <v>13</v>
      </c>
      <c r="AR7034" t="s">
        <v>80</v>
      </c>
      <c r="AS7034" t="s">
        <v>81</v>
      </c>
      <c r="AT7034" t="s">
        <v>58</v>
      </c>
      <c r="AU7034" t="s">
        <v>8673</v>
      </c>
      <c r="AV7034" t="s">
        <v>132</v>
      </c>
      <c r="AW7034" s="1">
        <v>30827</v>
      </c>
      <c r="AX7034">
        <v>1</v>
      </c>
    </row>
    <row r="7035" spans="1:50">
      <c r="A7035">
        <v>612853</v>
      </c>
      <c r="B7035" t="str">
        <f>"074208213"</f>
        <v>074208213</v>
      </c>
      <c r="C7035" t="s">
        <v>50</v>
      </c>
      <c r="D7035" t="s">
        <v>6550</v>
      </c>
      <c r="E7035" t="s">
        <v>237</v>
      </c>
      <c r="F7035" t="s">
        <v>106</v>
      </c>
      <c r="G7035" t="s">
        <v>3444</v>
      </c>
      <c r="H7035" t="str">
        <f>"ΣΟΥΡΗ 7 ΧΑΛΑΝΔΡΙ"</f>
        <v>ΣΟΥΡΗ 7 ΧΑΛΑΝΔΡΙ</v>
      </c>
      <c r="I7035">
        <v>15232</v>
      </c>
      <c r="J7035">
        <v>2106839923</v>
      </c>
      <c r="K7035">
        <v>6934105477</v>
      </c>
      <c r="N7035" t="s">
        <v>306</v>
      </c>
      <c r="O7035" t="s">
        <v>307</v>
      </c>
      <c r="R7035" t="s">
        <v>57</v>
      </c>
      <c r="S7035">
        <v>6</v>
      </c>
      <c r="T7035">
        <v>298</v>
      </c>
      <c r="U7035" s="1">
        <v>38985</v>
      </c>
      <c r="V7035" t="s">
        <v>80</v>
      </c>
      <c r="W7035" t="s">
        <v>81</v>
      </c>
      <c r="X7035" t="s">
        <v>58</v>
      </c>
      <c r="Y7035">
        <v>23</v>
      </c>
      <c r="Z7035" t="s">
        <v>59</v>
      </c>
      <c r="AA7035" t="s">
        <v>59</v>
      </c>
      <c r="AB7035" t="s">
        <v>59</v>
      </c>
      <c r="AC7035" t="s">
        <v>59</v>
      </c>
      <c r="AD7035" t="s">
        <v>59</v>
      </c>
      <c r="AF7035" s="1">
        <v>38986</v>
      </c>
      <c r="AG7035" t="s">
        <v>8645</v>
      </c>
      <c r="AH7035" t="s">
        <v>8646</v>
      </c>
      <c r="AI7035" t="str">
        <f>"9170549"</f>
        <v>9170549</v>
      </c>
      <c r="AJ7035" t="s">
        <v>8778</v>
      </c>
      <c r="AK7035">
        <v>2810751800</v>
      </c>
      <c r="AL7035" t="s">
        <v>8779</v>
      </c>
      <c r="AM7035" t="s">
        <v>78</v>
      </c>
      <c r="AN7035" t="s">
        <v>424</v>
      </c>
      <c r="AO7035" t="s">
        <v>425</v>
      </c>
      <c r="AP7035" t="s">
        <v>425</v>
      </c>
      <c r="AQ7035">
        <v>11</v>
      </c>
      <c r="AR7035" t="s">
        <v>80</v>
      </c>
      <c r="AS7035" t="s">
        <v>81</v>
      </c>
      <c r="AT7035" t="s">
        <v>58</v>
      </c>
      <c r="AU7035" t="s">
        <v>68</v>
      </c>
      <c r="AV7035" t="s">
        <v>69</v>
      </c>
      <c r="AW7035" s="1">
        <v>25414</v>
      </c>
      <c r="AX7035">
        <v>1</v>
      </c>
    </row>
    <row r="7036" spans="1:50">
      <c r="A7036">
        <v>593525</v>
      </c>
      <c r="B7036" t="str">
        <f>"055216686"</f>
        <v>055216686</v>
      </c>
      <c r="C7036" t="s">
        <v>50</v>
      </c>
      <c r="D7036" t="s">
        <v>6550</v>
      </c>
      <c r="E7036" t="s">
        <v>73</v>
      </c>
      <c r="F7036" t="s">
        <v>166</v>
      </c>
      <c r="G7036" t="s">
        <v>237</v>
      </c>
      <c r="H7036" t="str">
        <f>"EΠΙΣΚΟΠΗ ΗΡΑΚΛΕΙΟ"</f>
        <v>EΠΙΣΚΟΠΗ ΗΡΑΚΛΕΙΟ</v>
      </c>
      <c r="I7036">
        <v>70008</v>
      </c>
      <c r="J7036">
        <v>2810771115</v>
      </c>
      <c r="K7036">
        <v>6972263170</v>
      </c>
      <c r="M7036" t="s">
        <v>3063</v>
      </c>
      <c r="N7036" t="s">
        <v>615</v>
      </c>
      <c r="O7036" t="s">
        <v>616</v>
      </c>
      <c r="R7036" t="s">
        <v>57</v>
      </c>
      <c r="S7036">
        <v>9</v>
      </c>
      <c r="T7036">
        <v>218</v>
      </c>
      <c r="U7036" s="1">
        <v>37134</v>
      </c>
      <c r="V7036" t="s">
        <v>80</v>
      </c>
      <c r="W7036" t="s">
        <v>81</v>
      </c>
      <c r="X7036" t="s">
        <v>58</v>
      </c>
      <c r="Y7036">
        <v>22</v>
      </c>
      <c r="Z7036" t="s">
        <v>59</v>
      </c>
      <c r="AA7036" t="s">
        <v>59</v>
      </c>
      <c r="AB7036" t="s">
        <v>59</v>
      </c>
      <c r="AC7036" t="s">
        <v>59</v>
      </c>
      <c r="AD7036" t="s">
        <v>59</v>
      </c>
      <c r="AF7036" s="1">
        <v>37137</v>
      </c>
      <c r="AG7036" t="s">
        <v>8645</v>
      </c>
      <c r="AH7036" t="s">
        <v>8646</v>
      </c>
      <c r="AI7036" t="str">
        <f>"9170224"</f>
        <v>9170224</v>
      </c>
      <c r="AJ7036" t="s">
        <v>9212</v>
      </c>
      <c r="AK7036">
        <v>2810771214</v>
      </c>
      <c r="AL7036" t="s">
        <v>9213</v>
      </c>
      <c r="AM7036" t="s">
        <v>78</v>
      </c>
      <c r="AN7036" t="s">
        <v>219</v>
      </c>
      <c r="AO7036" t="s">
        <v>1437</v>
      </c>
      <c r="AP7036" t="s">
        <v>1437</v>
      </c>
      <c r="AQ7036">
        <v>7</v>
      </c>
      <c r="AR7036" t="s">
        <v>80</v>
      </c>
      <c r="AS7036" t="s">
        <v>81</v>
      </c>
      <c r="AT7036" t="s">
        <v>58</v>
      </c>
      <c r="AU7036" t="s">
        <v>68</v>
      </c>
      <c r="AV7036" t="s">
        <v>69</v>
      </c>
      <c r="AW7036" s="1">
        <v>25381</v>
      </c>
      <c r="AX7036">
        <v>1</v>
      </c>
    </row>
    <row r="7037" spans="1:50">
      <c r="A7037">
        <v>571680</v>
      </c>
      <c r="B7037" t="str">
        <f>"034822790"</f>
        <v>034822790</v>
      </c>
      <c r="C7037" t="s">
        <v>50</v>
      </c>
      <c r="D7037" t="s">
        <v>6550</v>
      </c>
      <c r="E7037" t="s">
        <v>566</v>
      </c>
      <c r="F7037" t="s">
        <v>11430</v>
      </c>
      <c r="G7037" t="s">
        <v>52</v>
      </c>
      <c r="H7037" t="str">
        <f>"Ν.ΣΠΑΘΑΡΙΟΥ 7 ΗΡΑΚΛΕΙΟ"</f>
        <v>Ν.ΣΠΑΘΑΡΙΟΥ 7 ΗΡΑΚΛΕΙΟ</v>
      </c>
      <c r="I7037">
        <v>71307</v>
      </c>
      <c r="J7037">
        <v>2810210747</v>
      </c>
      <c r="K7037">
        <v>6937217852</v>
      </c>
      <c r="M7037" t="s">
        <v>11431</v>
      </c>
      <c r="N7037" t="s">
        <v>1525</v>
      </c>
      <c r="O7037" t="s">
        <v>1526</v>
      </c>
      <c r="R7037" t="s">
        <v>57</v>
      </c>
      <c r="S7037">
        <v>14</v>
      </c>
      <c r="T7037">
        <v>138</v>
      </c>
      <c r="U7037" s="1">
        <v>34206</v>
      </c>
      <c r="V7037" t="s">
        <v>80</v>
      </c>
      <c r="W7037" t="s">
        <v>81</v>
      </c>
      <c r="X7037" t="s">
        <v>58</v>
      </c>
      <c r="Y7037">
        <v>25</v>
      </c>
      <c r="Z7037" t="s">
        <v>59</v>
      </c>
      <c r="AA7037" t="s">
        <v>59</v>
      </c>
      <c r="AB7037" t="s">
        <v>59</v>
      </c>
      <c r="AC7037" t="s">
        <v>59</v>
      </c>
      <c r="AD7037" t="s">
        <v>59</v>
      </c>
      <c r="AF7037" s="1">
        <v>34213</v>
      </c>
      <c r="AG7037" t="s">
        <v>8651</v>
      </c>
      <c r="AH7037" t="s">
        <v>8652</v>
      </c>
      <c r="AI7037" t="str">
        <f>"9170537"</f>
        <v>9170537</v>
      </c>
      <c r="AJ7037" t="s">
        <v>10308</v>
      </c>
      <c r="AK7037">
        <v>2810262801</v>
      </c>
      <c r="AL7037" t="s">
        <v>10309</v>
      </c>
      <c r="AM7037" t="s">
        <v>78</v>
      </c>
      <c r="AN7037" t="s">
        <v>78</v>
      </c>
      <c r="AO7037" t="s">
        <v>78</v>
      </c>
      <c r="AP7037" t="s">
        <v>141</v>
      </c>
      <c r="AQ7037">
        <v>1</v>
      </c>
      <c r="AR7037" t="s">
        <v>80</v>
      </c>
      <c r="AS7037" t="s">
        <v>81</v>
      </c>
      <c r="AT7037" t="s">
        <v>58</v>
      </c>
      <c r="AU7037" t="s">
        <v>68</v>
      </c>
      <c r="AV7037" t="s">
        <v>69</v>
      </c>
      <c r="AW7037" s="1">
        <v>22867</v>
      </c>
      <c r="AX7037">
        <v>1</v>
      </c>
    </row>
    <row r="7038" spans="1:50">
      <c r="A7038">
        <v>560416</v>
      </c>
      <c r="B7038" t="str">
        <f>"032123805"</f>
        <v>032123805</v>
      </c>
      <c r="C7038" t="s">
        <v>50</v>
      </c>
      <c r="D7038" t="s">
        <v>6550</v>
      </c>
      <c r="E7038" t="s">
        <v>250</v>
      </c>
      <c r="F7038" t="s">
        <v>5394</v>
      </c>
      <c r="G7038" t="s">
        <v>83</v>
      </c>
      <c r="H7038" t="str">
        <f>" "</f>
        <v xml:space="preserve"> </v>
      </c>
      <c r="J7038">
        <v>2890231359</v>
      </c>
      <c r="K7038">
        <v>6976157381</v>
      </c>
      <c r="N7038" t="s">
        <v>615</v>
      </c>
      <c r="O7038" t="s">
        <v>616</v>
      </c>
      <c r="R7038" t="s">
        <v>57</v>
      </c>
      <c r="S7038">
        <v>15</v>
      </c>
      <c r="T7038">
        <v>185</v>
      </c>
      <c r="U7038" s="1">
        <v>32034</v>
      </c>
      <c r="V7038" t="s">
        <v>80</v>
      </c>
      <c r="W7038" t="s">
        <v>81</v>
      </c>
      <c r="X7038" t="s">
        <v>58</v>
      </c>
      <c r="Y7038">
        <v>21</v>
      </c>
      <c r="Z7038" t="s">
        <v>59</v>
      </c>
      <c r="AA7038" t="s">
        <v>59</v>
      </c>
      <c r="AB7038" t="s">
        <v>59</v>
      </c>
      <c r="AC7038" t="s">
        <v>59</v>
      </c>
      <c r="AD7038" t="s">
        <v>59</v>
      </c>
      <c r="AF7038" s="1">
        <v>32038</v>
      </c>
      <c r="AG7038" t="s">
        <v>8645</v>
      </c>
      <c r="AH7038" t="s">
        <v>8646</v>
      </c>
      <c r="AI7038" t="str">
        <f>"9170056"</f>
        <v>9170056</v>
      </c>
      <c r="AJ7038" t="s">
        <v>9137</v>
      </c>
      <c r="AK7038">
        <v>2810253392</v>
      </c>
      <c r="AL7038" t="s">
        <v>9138</v>
      </c>
      <c r="AM7038" t="s">
        <v>78</v>
      </c>
      <c r="AN7038" t="s">
        <v>78</v>
      </c>
      <c r="AO7038" t="s">
        <v>78</v>
      </c>
      <c r="AP7038" t="s">
        <v>141</v>
      </c>
      <c r="AQ7038">
        <v>1</v>
      </c>
      <c r="AR7038" t="s">
        <v>80</v>
      </c>
      <c r="AS7038" t="s">
        <v>81</v>
      </c>
      <c r="AT7038" t="s">
        <v>58</v>
      </c>
      <c r="AU7038" t="s">
        <v>68</v>
      </c>
      <c r="AV7038" t="s">
        <v>69</v>
      </c>
      <c r="AW7038" s="1">
        <v>23957</v>
      </c>
      <c r="AX7038">
        <v>1</v>
      </c>
    </row>
    <row r="7039" spans="1:50">
      <c r="B7039" t="str">
        <f>"118925493"</f>
        <v>118925493</v>
      </c>
      <c r="C7039" t="s">
        <v>50</v>
      </c>
      <c r="D7039" t="s">
        <v>6550</v>
      </c>
      <c r="E7039" t="s">
        <v>255</v>
      </c>
      <c r="F7039" t="s">
        <v>202</v>
      </c>
      <c r="G7039" t="s">
        <v>52</v>
      </c>
      <c r="H7039" t="str">
        <f>" "</f>
        <v xml:space="preserve"> </v>
      </c>
      <c r="N7039" t="s">
        <v>1525</v>
      </c>
      <c r="O7039" t="s">
        <v>1526</v>
      </c>
      <c r="R7039" t="s">
        <v>121</v>
      </c>
      <c r="S7039">
        <v>1</v>
      </c>
      <c r="T7039" t="s">
        <v>8670</v>
      </c>
      <c r="U7039" s="1">
        <v>43348</v>
      </c>
      <c r="V7039" t="s">
        <v>80</v>
      </c>
      <c r="W7039" t="s">
        <v>81</v>
      </c>
      <c r="X7039" t="s">
        <v>58</v>
      </c>
      <c r="Y7039">
        <v>25</v>
      </c>
      <c r="Z7039" t="s">
        <v>59</v>
      </c>
      <c r="AA7039" t="s">
        <v>59</v>
      </c>
      <c r="AB7039" t="s">
        <v>59</v>
      </c>
      <c r="AD7039" t="s">
        <v>59</v>
      </c>
      <c r="AF7039" s="1">
        <v>43348</v>
      </c>
      <c r="AG7039" t="s">
        <v>8651</v>
      </c>
      <c r="AH7039" t="s">
        <v>8652</v>
      </c>
      <c r="AI7039" t="str">
        <f>"9520921"</f>
        <v>9520921</v>
      </c>
      <c r="AJ7039" t="s">
        <v>10810</v>
      </c>
      <c r="AK7039">
        <v>2897033119</v>
      </c>
      <c r="AL7039" t="s">
        <v>10811</v>
      </c>
      <c r="AM7039" t="s">
        <v>78</v>
      </c>
      <c r="AN7039" t="s">
        <v>219</v>
      </c>
      <c r="AO7039" t="s">
        <v>527</v>
      </c>
      <c r="AP7039" t="s">
        <v>527</v>
      </c>
      <c r="AQ7039">
        <v>8</v>
      </c>
      <c r="AR7039" t="s">
        <v>80</v>
      </c>
      <c r="AS7039" t="s">
        <v>81</v>
      </c>
      <c r="AT7039" t="s">
        <v>58</v>
      </c>
      <c r="AU7039" t="s">
        <v>8673</v>
      </c>
      <c r="AV7039" t="s">
        <v>132</v>
      </c>
      <c r="AW7039" s="1">
        <v>28791</v>
      </c>
      <c r="AX7039">
        <v>1</v>
      </c>
    </row>
    <row r="7040" spans="1:50">
      <c r="A7040">
        <v>613160</v>
      </c>
      <c r="B7040" t="str">
        <f>"123952453"</f>
        <v>123952453</v>
      </c>
      <c r="C7040" t="s">
        <v>50</v>
      </c>
      <c r="D7040" t="s">
        <v>6550</v>
      </c>
      <c r="E7040" t="s">
        <v>52</v>
      </c>
      <c r="F7040" t="s">
        <v>84</v>
      </c>
      <c r="G7040" t="s">
        <v>314</v>
      </c>
      <c r="H7040" t="str">
        <f>"ΚΟΚΚΙΝΗ ΧΑΝΙ "</f>
        <v xml:space="preserve">ΚΟΚΚΙΝΗ ΧΑΝΙ </v>
      </c>
      <c r="I7040">
        <v>71500</v>
      </c>
      <c r="J7040">
        <v>2810761334</v>
      </c>
      <c r="K7040">
        <v>6979226239</v>
      </c>
      <c r="N7040" t="s">
        <v>615</v>
      </c>
      <c r="O7040" t="s">
        <v>616</v>
      </c>
      <c r="R7040" t="s">
        <v>57</v>
      </c>
      <c r="S7040">
        <v>6</v>
      </c>
      <c r="T7040">
        <v>598</v>
      </c>
      <c r="U7040" s="1">
        <v>39310</v>
      </c>
      <c r="V7040" t="s">
        <v>80</v>
      </c>
      <c r="W7040" t="s">
        <v>81</v>
      </c>
      <c r="X7040" t="s">
        <v>58</v>
      </c>
      <c r="Y7040">
        <v>23</v>
      </c>
      <c r="Z7040" t="s">
        <v>59</v>
      </c>
      <c r="AA7040" t="s">
        <v>59</v>
      </c>
      <c r="AB7040" t="s">
        <v>59</v>
      </c>
      <c r="AC7040" t="s">
        <v>59</v>
      </c>
      <c r="AD7040" t="s">
        <v>59</v>
      </c>
      <c r="AF7040" s="1">
        <v>39328</v>
      </c>
      <c r="AG7040" t="s">
        <v>8645</v>
      </c>
      <c r="AH7040" t="s">
        <v>8646</v>
      </c>
      <c r="AI7040" t="str">
        <f>"9170206"</f>
        <v>9170206</v>
      </c>
      <c r="AJ7040" t="s">
        <v>8972</v>
      </c>
      <c r="AK7040">
        <v>2810761137</v>
      </c>
      <c r="AL7040" t="s">
        <v>8973</v>
      </c>
      <c r="AM7040" t="s">
        <v>78</v>
      </c>
      <c r="AN7040" t="s">
        <v>219</v>
      </c>
      <c r="AO7040" t="s">
        <v>297</v>
      </c>
      <c r="AP7040" t="s">
        <v>8796</v>
      </c>
      <c r="AQ7040">
        <v>7</v>
      </c>
      <c r="AR7040" t="s">
        <v>80</v>
      </c>
      <c r="AS7040" t="s">
        <v>81</v>
      </c>
      <c r="AT7040" t="s">
        <v>58</v>
      </c>
      <c r="AU7040" t="s">
        <v>68</v>
      </c>
      <c r="AV7040" t="s">
        <v>69</v>
      </c>
      <c r="AW7040" s="1">
        <v>29924</v>
      </c>
      <c r="AX7040">
        <v>1</v>
      </c>
    </row>
    <row r="7041" spans="1:50">
      <c r="A7041">
        <v>562347</v>
      </c>
      <c r="B7041" t="str">
        <f>"032892759"</f>
        <v>032892759</v>
      </c>
      <c r="C7041" t="s">
        <v>105</v>
      </c>
      <c r="D7041" t="s">
        <v>3821</v>
      </c>
      <c r="E7041" t="s">
        <v>760</v>
      </c>
      <c r="F7041" t="s">
        <v>84</v>
      </c>
      <c r="G7041" t="s">
        <v>9342</v>
      </c>
      <c r="H7041" t="str">
        <f>"ΙΕΡΟΛΟΧΙΤΩΝ 13 ΗΡΑΚΛΕΙΟ"</f>
        <v>ΙΕΡΟΛΟΧΙΤΩΝ 13 ΗΡΑΚΛΕΙΟ</v>
      </c>
      <c r="I7041">
        <v>71305</v>
      </c>
      <c r="J7041">
        <v>2810325445</v>
      </c>
      <c r="K7041">
        <v>6948368975</v>
      </c>
      <c r="M7041" t="s">
        <v>11432</v>
      </c>
      <c r="N7041" t="s">
        <v>615</v>
      </c>
      <c r="O7041" t="s">
        <v>616</v>
      </c>
      <c r="R7041" t="s">
        <v>57</v>
      </c>
      <c r="S7041">
        <v>14</v>
      </c>
      <c r="T7041">
        <v>187</v>
      </c>
      <c r="U7041" s="1">
        <v>32750</v>
      </c>
      <c r="V7041" t="s">
        <v>80</v>
      </c>
      <c r="W7041" t="s">
        <v>81</v>
      </c>
      <c r="X7041" t="s">
        <v>58</v>
      </c>
      <c r="Y7041">
        <v>21</v>
      </c>
      <c r="Z7041" t="s">
        <v>59</v>
      </c>
      <c r="AA7041" t="s">
        <v>59</v>
      </c>
      <c r="AB7041" t="s">
        <v>59</v>
      </c>
      <c r="AC7041" t="s">
        <v>59</v>
      </c>
      <c r="AD7041" t="s">
        <v>59</v>
      </c>
      <c r="AF7041" s="1">
        <v>32756</v>
      </c>
      <c r="AG7041" t="s">
        <v>8645</v>
      </c>
      <c r="AH7041" t="s">
        <v>8646</v>
      </c>
      <c r="AI7041" t="str">
        <f>"9170056"</f>
        <v>9170056</v>
      </c>
      <c r="AJ7041" t="s">
        <v>9137</v>
      </c>
      <c r="AK7041">
        <v>2810253392</v>
      </c>
      <c r="AL7041" t="s">
        <v>9138</v>
      </c>
      <c r="AM7041" t="s">
        <v>78</v>
      </c>
      <c r="AN7041" t="s">
        <v>78</v>
      </c>
      <c r="AO7041" t="s">
        <v>78</v>
      </c>
      <c r="AP7041" t="s">
        <v>141</v>
      </c>
      <c r="AQ7041">
        <v>1</v>
      </c>
      <c r="AR7041" t="s">
        <v>80</v>
      </c>
      <c r="AS7041" t="s">
        <v>81</v>
      </c>
      <c r="AT7041" t="s">
        <v>58</v>
      </c>
      <c r="AU7041" t="s">
        <v>68</v>
      </c>
      <c r="AV7041" t="s">
        <v>69</v>
      </c>
      <c r="AW7041" s="1">
        <v>22783</v>
      </c>
      <c r="AX7041">
        <v>1</v>
      </c>
    </row>
    <row r="7042" spans="1:50">
      <c r="A7042">
        <v>700360</v>
      </c>
      <c r="B7042" t="str">
        <f>"065078975"</f>
        <v>065078975</v>
      </c>
      <c r="C7042" t="s">
        <v>105</v>
      </c>
      <c r="D7042" t="s">
        <v>3821</v>
      </c>
      <c r="E7042" t="s">
        <v>521</v>
      </c>
      <c r="F7042" t="s">
        <v>84</v>
      </c>
      <c r="G7042" t="s">
        <v>215</v>
      </c>
      <c r="H7042" t="str">
        <f>"ΑΝΘΕΩΝ-ΙΡΙΔΑΣ 1 ΗΡΑΚΛΕΙΟ"</f>
        <v>ΑΝΘΕΩΝ-ΙΡΙΔΑΣ 1 ΗΡΑΚΛΕΙΟ</v>
      </c>
      <c r="I7042">
        <v>71409</v>
      </c>
      <c r="J7042">
        <v>2810238333</v>
      </c>
      <c r="K7042">
        <v>6932395330</v>
      </c>
      <c r="N7042" t="s">
        <v>615</v>
      </c>
      <c r="O7042" t="s">
        <v>616</v>
      </c>
      <c r="R7042" t="s">
        <v>57</v>
      </c>
      <c r="S7042">
        <v>4</v>
      </c>
      <c r="T7042">
        <v>772</v>
      </c>
      <c r="U7042" s="1">
        <v>40413</v>
      </c>
      <c r="V7042" t="s">
        <v>80</v>
      </c>
      <c r="W7042" t="s">
        <v>81</v>
      </c>
      <c r="X7042" t="s">
        <v>58</v>
      </c>
      <c r="Y7042">
        <v>24</v>
      </c>
      <c r="Z7042" t="s">
        <v>59</v>
      </c>
      <c r="AA7042" t="s">
        <v>59</v>
      </c>
      <c r="AB7042" t="s">
        <v>59</v>
      </c>
      <c r="AC7042" t="s">
        <v>59</v>
      </c>
      <c r="AD7042" t="s">
        <v>59</v>
      </c>
      <c r="AF7042" s="1">
        <v>40413</v>
      </c>
      <c r="AG7042" t="s">
        <v>8645</v>
      </c>
      <c r="AH7042" t="s">
        <v>8646</v>
      </c>
      <c r="AI7042" t="str">
        <f>"9170533"</f>
        <v>9170533</v>
      </c>
      <c r="AJ7042" t="s">
        <v>9091</v>
      </c>
      <c r="AK7042">
        <v>2810239434</v>
      </c>
      <c r="AL7042" t="s">
        <v>9092</v>
      </c>
      <c r="AM7042" t="s">
        <v>78</v>
      </c>
      <c r="AN7042" t="s">
        <v>78</v>
      </c>
      <c r="AO7042" t="s">
        <v>78</v>
      </c>
      <c r="AP7042" t="s">
        <v>163</v>
      </c>
      <c r="AQ7042">
        <v>1</v>
      </c>
      <c r="AR7042" t="s">
        <v>80</v>
      </c>
      <c r="AS7042" t="s">
        <v>81</v>
      </c>
      <c r="AT7042" t="s">
        <v>58</v>
      </c>
      <c r="AU7042" t="s">
        <v>68</v>
      </c>
      <c r="AV7042" t="s">
        <v>69</v>
      </c>
      <c r="AW7042" s="1">
        <v>30128</v>
      </c>
      <c r="AX7042">
        <v>1</v>
      </c>
    </row>
    <row r="7043" spans="1:50">
      <c r="B7043" t="str">
        <f>"144330352"</f>
        <v>144330352</v>
      </c>
      <c r="C7043" t="s">
        <v>50</v>
      </c>
      <c r="D7043" t="s">
        <v>11433</v>
      </c>
      <c r="E7043" t="s">
        <v>600</v>
      </c>
      <c r="F7043" t="s">
        <v>202</v>
      </c>
      <c r="G7043" t="s">
        <v>191</v>
      </c>
      <c r="H7043" t="str">
        <f>" "</f>
        <v xml:space="preserve"> </v>
      </c>
      <c r="J7043">
        <v>2810328562</v>
      </c>
      <c r="K7043">
        <v>6988064370</v>
      </c>
      <c r="N7043" t="s">
        <v>615</v>
      </c>
      <c r="O7043" t="s">
        <v>616</v>
      </c>
      <c r="R7043" t="s">
        <v>121</v>
      </c>
      <c r="S7043">
        <v>3</v>
      </c>
      <c r="T7043" t="s">
        <v>8675</v>
      </c>
      <c r="U7043" s="1">
        <v>43348</v>
      </c>
      <c r="V7043" t="s">
        <v>80</v>
      </c>
      <c r="W7043" t="s">
        <v>81</v>
      </c>
      <c r="X7043" t="s">
        <v>58</v>
      </c>
      <c r="Y7043">
        <v>24</v>
      </c>
      <c r="Z7043" t="s">
        <v>59</v>
      </c>
      <c r="AA7043" t="s">
        <v>59</v>
      </c>
      <c r="AB7043" t="s">
        <v>59</v>
      </c>
      <c r="AD7043" t="s">
        <v>59</v>
      </c>
      <c r="AF7043" s="1">
        <v>43348</v>
      </c>
      <c r="AG7043" t="s">
        <v>8645</v>
      </c>
      <c r="AH7043" t="s">
        <v>8646</v>
      </c>
      <c r="AI7043" t="str">
        <f>"9170516"</f>
        <v>9170516</v>
      </c>
      <c r="AJ7043" t="s">
        <v>8746</v>
      </c>
      <c r="AK7043">
        <v>2810236861</v>
      </c>
      <c r="AL7043" t="s">
        <v>8747</v>
      </c>
      <c r="AM7043" t="s">
        <v>78</v>
      </c>
      <c r="AN7043" t="s">
        <v>78</v>
      </c>
      <c r="AO7043" t="s">
        <v>78</v>
      </c>
      <c r="AP7043" t="s">
        <v>163</v>
      </c>
      <c r="AQ7043">
        <v>1</v>
      </c>
      <c r="AR7043" t="s">
        <v>80</v>
      </c>
      <c r="AS7043" t="s">
        <v>81</v>
      </c>
      <c r="AT7043" t="s">
        <v>58</v>
      </c>
      <c r="AU7043" t="s">
        <v>8673</v>
      </c>
      <c r="AV7043" t="s">
        <v>132</v>
      </c>
      <c r="AW7043" s="1">
        <v>32807</v>
      </c>
      <c r="AX7043">
        <v>1</v>
      </c>
    </row>
    <row r="7044" spans="1:50">
      <c r="A7044">
        <v>566445</v>
      </c>
      <c r="B7044" t="str">
        <f>"032124826"</f>
        <v>032124826</v>
      </c>
      <c r="C7044" t="s">
        <v>50</v>
      </c>
      <c r="D7044" t="s">
        <v>3823</v>
      </c>
      <c r="E7044" t="s">
        <v>73</v>
      </c>
      <c r="F7044" t="s">
        <v>108</v>
      </c>
      <c r="G7044" t="s">
        <v>181</v>
      </c>
      <c r="H7044" t="str">
        <f>"ΑΝΤ.ΚΑΣΤΡΙΝΑΚΗ 17 ΗΡΑΚΛΕΙΟ"</f>
        <v>ΑΝΤ.ΚΑΣΤΡΙΝΑΚΗ 17 ΗΡΑΚΛΕΙΟ</v>
      </c>
      <c r="I7044">
        <v>71305</v>
      </c>
      <c r="J7044">
        <v>2810324715</v>
      </c>
      <c r="K7044">
        <v>6948208031</v>
      </c>
      <c r="N7044" t="s">
        <v>1525</v>
      </c>
      <c r="O7044" t="s">
        <v>1526</v>
      </c>
      <c r="R7044" t="s">
        <v>57</v>
      </c>
      <c r="S7044">
        <v>15</v>
      </c>
      <c r="T7044">
        <v>161</v>
      </c>
      <c r="U7044" s="1">
        <v>33119</v>
      </c>
      <c r="V7044" t="s">
        <v>80</v>
      </c>
      <c r="W7044" t="s">
        <v>81</v>
      </c>
      <c r="X7044" t="s">
        <v>58</v>
      </c>
      <c r="Y7044">
        <v>25</v>
      </c>
      <c r="Z7044" t="s">
        <v>59</v>
      </c>
      <c r="AA7044" t="s">
        <v>59</v>
      </c>
      <c r="AB7044" t="s">
        <v>59</v>
      </c>
      <c r="AC7044" t="s">
        <v>59</v>
      </c>
      <c r="AD7044" t="s">
        <v>59</v>
      </c>
      <c r="AF7044" s="1">
        <v>33119</v>
      </c>
      <c r="AG7044" t="s">
        <v>8651</v>
      </c>
      <c r="AH7044" t="s">
        <v>8652</v>
      </c>
      <c r="AI7044" t="str">
        <f>"9170556"</f>
        <v>9170556</v>
      </c>
      <c r="AJ7044" t="s">
        <v>9850</v>
      </c>
      <c r="AK7044">
        <v>2810239763</v>
      </c>
      <c r="AL7044" t="s">
        <v>9851</v>
      </c>
      <c r="AM7044" t="s">
        <v>78</v>
      </c>
      <c r="AN7044" t="s">
        <v>78</v>
      </c>
      <c r="AO7044" t="s">
        <v>78</v>
      </c>
      <c r="AP7044" t="s">
        <v>163</v>
      </c>
      <c r="AQ7044">
        <v>1</v>
      </c>
      <c r="AR7044" t="s">
        <v>80</v>
      </c>
      <c r="AS7044" t="s">
        <v>81</v>
      </c>
      <c r="AT7044" t="s">
        <v>58</v>
      </c>
      <c r="AU7044" t="s">
        <v>68</v>
      </c>
      <c r="AV7044" t="s">
        <v>69</v>
      </c>
      <c r="AW7044" s="1">
        <v>23541</v>
      </c>
      <c r="AX7044">
        <v>1</v>
      </c>
    </row>
    <row r="7045" spans="1:50">
      <c r="B7045" t="str">
        <f>"132328814"</f>
        <v>132328814</v>
      </c>
      <c r="C7045" t="s">
        <v>50</v>
      </c>
      <c r="D7045" t="s">
        <v>3823</v>
      </c>
      <c r="E7045" t="s">
        <v>83</v>
      </c>
      <c r="F7045" t="s">
        <v>95</v>
      </c>
      <c r="G7045" t="s">
        <v>112</v>
      </c>
      <c r="H7045" t="str">
        <f>" "</f>
        <v xml:space="preserve"> </v>
      </c>
      <c r="N7045" t="s">
        <v>1525</v>
      </c>
      <c r="O7045" t="s">
        <v>1526</v>
      </c>
      <c r="R7045" t="s">
        <v>159</v>
      </c>
      <c r="S7045">
        <v>2</v>
      </c>
      <c r="T7045" t="s">
        <v>8670</v>
      </c>
      <c r="U7045" s="1">
        <v>43348</v>
      </c>
      <c r="V7045" t="s">
        <v>80</v>
      </c>
      <c r="W7045" t="s">
        <v>81</v>
      </c>
      <c r="X7045" t="s">
        <v>58</v>
      </c>
      <c r="Y7045">
        <v>25</v>
      </c>
      <c r="Z7045" t="s">
        <v>59</v>
      </c>
      <c r="AA7045" t="s">
        <v>59</v>
      </c>
      <c r="AB7045" t="s">
        <v>59</v>
      </c>
      <c r="AD7045" t="s">
        <v>59</v>
      </c>
      <c r="AF7045" s="1">
        <v>43348</v>
      </c>
      <c r="AG7045" t="s">
        <v>8651</v>
      </c>
      <c r="AH7045" t="s">
        <v>8652</v>
      </c>
      <c r="AI7045" t="str">
        <f>"9170347"</f>
        <v>9170347</v>
      </c>
      <c r="AJ7045" t="s">
        <v>9158</v>
      </c>
      <c r="AK7045">
        <v>2893031831</v>
      </c>
      <c r="AL7045" t="s">
        <v>9159</v>
      </c>
      <c r="AM7045" t="s">
        <v>78</v>
      </c>
      <c r="AN7045" t="s">
        <v>405</v>
      </c>
      <c r="AO7045" t="s">
        <v>805</v>
      </c>
      <c r="AP7045" t="s">
        <v>806</v>
      </c>
      <c r="AQ7045">
        <v>15</v>
      </c>
      <c r="AR7045" t="s">
        <v>80</v>
      </c>
      <c r="AS7045" t="s">
        <v>81</v>
      </c>
      <c r="AT7045" t="s">
        <v>58</v>
      </c>
      <c r="AU7045" t="s">
        <v>8673</v>
      </c>
      <c r="AV7045" t="s">
        <v>132</v>
      </c>
      <c r="AW7045" s="1">
        <v>30100</v>
      </c>
      <c r="AX7045">
        <v>1</v>
      </c>
    </row>
    <row r="7046" spans="1:50">
      <c r="A7046">
        <v>561027</v>
      </c>
      <c r="B7046" t="str">
        <f>"031359562"</f>
        <v>031359562</v>
      </c>
      <c r="C7046" t="s">
        <v>105</v>
      </c>
      <c r="D7046" t="s">
        <v>3825</v>
      </c>
      <c r="E7046" t="s">
        <v>95</v>
      </c>
      <c r="F7046" t="s">
        <v>2847</v>
      </c>
      <c r="G7046" t="s">
        <v>237</v>
      </c>
      <c r="H7046" t="str">
        <f>"ΚΩΝΣΤΑΝΤΙΝΟΥΠΟΛΕΩΣ 45 ΗΡΑΚΛΕΙΟ"</f>
        <v>ΚΩΝΣΤΑΝΤΙΝΟΥΠΟΛΕΩΣ 45 ΗΡΑΚΛΕΙΟ</v>
      </c>
      <c r="I7046">
        <v>71414</v>
      </c>
      <c r="J7046">
        <v>2810542117</v>
      </c>
      <c r="K7046">
        <v>6945863299</v>
      </c>
      <c r="M7046" t="s">
        <v>11434</v>
      </c>
      <c r="N7046" t="s">
        <v>615</v>
      </c>
      <c r="O7046" t="s">
        <v>616</v>
      </c>
      <c r="R7046" t="s">
        <v>57</v>
      </c>
      <c r="S7046">
        <v>16</v>
      </c>
      <c r="T7046">
        <v>159</v>
      </c>
      <c r="U7046" s="1">
        <v>32385</v>
      </c>
      <c r="V7046" t="s">
        <v>80</v>
      </c>
      <c r="W7046" t="s">
        <v>81</v>
      </c>
      <c r="X7046" t="s">
        <v>58</v>
      </c>
      <c r="Y7046">
        <v>21</v>
      </c>
      <c r="Z7046" t="s">
        <v>59</v>
      </c>
      <c r="AA7046" t="s">
        <v>59</v>
      </c>
      <c r="AB7046" t="s">
        <v>59</v>
      </c>
      <c r="AC7046" t="s">
        <v>59</v>
      </c>
      <c r="AD7046" t="s">
        <v>59</v>
      </c>
      <c r="AF7046" s="1">
        <v>32387</v>
      </c>
      <c r="AG7046" t="s">
        <v>8645</v>
      </c>
      <c r="AH7046" t="s">
        <v>8646</v>
      </c>
      <c r="AI7046" t="str">
        <f>"9170431"</f>
        <v>9170431</v>
      </c>
      <c r="AJ7046" t="s">
        <v>8658</v>
      </c>
      <c r="AK7046">
        <v>2810250952</v>
      </c>
      <c r="AL7046" t="s">
        <v>8659</v>
      </c>
      <c r="AM7046" t="s">
        <v>78</v>
      </c>
      <c r="AN7046" t="s">
        <v>78</v>
      </c>
      <c r="AO7046" t="s">
        <v>78</v>
      </c>
      <c r="AP7046" t="s">
        <v>141</v>
      </c>
      <c r="AQ7046">
        <v>1</v>
      </c>
      <c r="AR7046" t="s">
        <v>80</v>
      </c>
      <c r="AS7046" t="s">
        <v>81</v>
      </c>
      <c r="AT7046" t="s">
        <v>58</v>
      </c>
      <c r="AU7046" t="s">
        <v>68</v>
      </c>
      <c r="AV7046" t="s">
        <v>69</v>
      </c>
      <c r="AW7046" s="1">
        <v>23579</v>
      </c>
      <c r="AX7046">
        <v>1</v>
      </c>
    </row>
    <row r="7047" spans="1:50">
      <c r="B7047" t="str">
        <f>"149606417"</f>
        <v>149606417</v>
      </c>
      <c r="C7047" t="s">
        <v>50</v>
      </c>
      <c r="D7047" t="s">
        <v>11435</v>
      </c>
      <c r="E7047" t="s">
        <v>396</v>
      </c>
      <c r="F7047" t="s">
        <v>474</v>
      </c>
      <c r="G7047" t="s">
        <v>1588</v>
      </c>
      <c r="H7047" t="str">
        <f>"ΜΑΧΗΣ ΚΡΗΤΗΣ 109 ΠΕΘΥΜΝΟ"</f>
        <v>ΜΑΧΗΣ ΚΡΗΤΗΣ 109 ΠΕΘΥΜΝΟ</v>
      </c>
      <c r="I7047">
        <v>74100</v>
      </c>
      <c r="J7047">
        <v>2831055664</v>
      </c>
      <c r="K7047">
        <v>6978347736</v>
      </c>
      <c r="N7047" t="s">
        <v>8834</v>
      </c>
      <c r="O7047" t="s">
        <v>8695</v>
      </c>
      <c r="R7047" t="s">
        <v>159</v>
      </c>
      <c r="S7047">
        <v>5</v>
      </c>
      <c r="T7047" t="s">
        <v>8835</v>
      </c>
      <c r="U7047" s="1">
        <v>43348</v>
      </c>
      <c r="V7047" t="s">
        <v>80</v>
      </c>
      <c r="W7047" t="s">
        <v>81</v>
      </c>
      <c r="X7047" t="s">
        <v>58</v>
      </c>
      <c r="Y7047">
        <v>24</v>
      </c>
      <c r="Z7047" t="s">
        <v>59</v>
      </c>
      <c r="AA7047" t="s">
        <v>59</v>
      </c>
      <c r="AB7047" t="s">
        <v>59</v>
      </c>
      <c r="AC7047" t="s">
        <v>59</v>
      </c>
      <c r="AD7047" t="s">
        <v>59</v>
      </c>
      <c r="AF7047" s="1">
        <v>43348</v>
      </c>
      <c r="AG7047" t="s">
        <v>8645</v>
      </c>
      <c r="AH7047" t="s">
        <v>8646</v>
      </c>
      <c r="AI7047" t="str">
        <f>"9170515"</f>
        <v>9170515</v>
      </c>
      <c r="AJ7047" t="s">
        <v>8790</v>
      </c>
      <c r="AK7047">
        <v>2810254821</v>
      </c>
      <c r="AL7047" t="s">
        <v>8791</v>
      </c>
      <c r="AM7047" t="s">
        <v>78</v>
      </c>
      <c r="AN7047" t="s">
        <v>78</v>
      </c>
      <c r="AO7047" t="s">
        <v>78</v>
      </c>
      <c r="AP7047" t="s">
        <v>163</v>
      </c>
      <c r="AQ7047">
        <v>1</v>
      </c>
      <c r="AR7047" t="s">
        <v>80</v>
      </c>
      <c r="AS7047" t="s">
        <v>81</v>
      </c>
      <c r="AT7047" t="s">
        <v>58</v>
      </c>
      <c r="AU7047" t="s">
        <v>131</v>
      </c>
      <c r="AV7047" t="s">
        <v>132</v>
      </c>
      <c r="AW7047" s="1">
        <v>32558</v>
      </c>
      <c r="AX7047">
        <v>1</v>
      </c>
    </row>
    <row r="7048" spans="1:50">
      <c r="B7048" t="str">
        <f>"110335892"</f>
        <v>110335892</v>
      </c>
      <c r="C7048" t="s">
        <v>50</v>
      </c>
      <c r="D7048" t="s">
        <v>11436</v>
      </c>
      <c r="E7048" t="s">
        <v>11437</v>
      </c>
      <c r="F7048" t="s">
        <v>72</v>
      </c>
      <c r="G7048" t="s">
        <v>52</v>
      </c>
      <c r="H7048" t="str">
        <f>"ΑΡΧΙΜΗΔΟΥΣ 20 ΗΡΑΚΛΕΙΟ"</f>
        <v>ΑΡΧΙΜΗΔΟΥΣ 20 ΗΡΑΚΛΕΙΟ</v>
      </c>
      <c r="I7048">
        <v>71306</v>
      </c>
      <c r="J7048">
        <v>2810228597</v>
      </c>
      <c r="K7048">
        <v>6974479426</v>
      </c>
      <c r="N7048" t="s">
        <v>683</v>
      </c>
      <c r="O7048" t="s">
        <v>684</v>
      </c>
      <c r="R7048" t="s">
        <v>159</v>
      </c>
      <c r="S7048">
        <v>3</v>
      </c>
      <c r="T7048" t="s">
        <v>8675</v>
      </c>
      <c r="U7048" s="1">
        <v>43348</v>
      </c>
      <c r="V7048" t="s">
        <v>80</v>
      </c>
      <c r="W7048" t="s">
        <v>81</v>
      </c>
      <c r="X7048" t="s">
        <v>58</v>
      </c>
      <c r="Y7048">
        <v>24</v>
      </c>
      <c r="Z7048" t="s">
        <v>59</v>
      </c>
      <c r="AA7048" t="s">
        <v>59</v>
      </c>
      <c r="AB7048" t="s">
        <v>59</v>
      </c>
      <c r="AC7048" t="s">
        <v>59</v>
      </c>
      <c r="AD7048" t="s">
        <v>59</v>
      </c>
      <c r="AF7048" s="1">
        <v>43348</v>
      </c>
      <c r="AG7048" t="s">
        <v>8645</v>
      </c>
      <c r="AH7048" t="s">
        <v>8646</v>
      </c>
      <c r="AI7048" t="str">
        <f>"9170264"</f>
        <v>9170264</v>
      </c>
      <c r="AJ7048" t="s">
        <v>8718</v>
      </c>
      <c r="AK7048">
        <v>2810332030</v>
      </c>
      <c r="AL7048" t="s">
        <v>8719</v>
      </c>
      <c r="AM7048" t="s">
        <v>78</v>
      </c>
      <c r="AN7048" t="s">
        <v>78</v>
      </c>
      <c r="AO7048" t="s">
        <v>286</v>
      </c>
      <c r="AP7048" t="s">
        <v>286</v>
      </c>
      <c r="AQ7048">
        <v>1</v>
      </c>
      <c r="AR7048" t="s">
        <v>80</v>
      </c>
      <c r="AS7048" t="s">
        <v>81</v>
      </c>
      <c r="AT7048" t="s">
        <v>58</v>
      </c>
      <c r="AU7048" t="s">
        <v>8673</v>
      </c>
      <c r="AV7048" t="s">
        <v>132</v>
      </c>
      <c r="AW7048" s="1">
        <v>30325</v>
      </c>
      <c r="AX7048">
        <v>1</v>
      </c>
    </row>
    <row r="7049" spans="1:50">
      <c r="A7049">
        <v>704014</v>
      </c>
      <c r="B7049" t="str">
        <f>"122135836"</f>
        <v>122135836</v>
      </c>
      <c r="C7049" t="s">
        <v>50</v>
      </c>
      <c r="D7049" t="s">
        <v>6554</v>
      </c>
      <c r="E7049" t="s">
        <v>396</v>
      </c>
      <c r="F7049" t="s">
        <v>72</v>
      </c>
      <c r="G7049" t="s">
        <v>1068</v>
      </c>
      <c r="H7049" t="str">
        <f>"ΣΜΥΡΝΗΣ 70 "</f>
        <v xml:space="preserve">ΣΜΥΡΝΗΣ 70 </v>
      </c>
      <c r="I7049">
        <v>55132</v>
      </c>
      <c r="J7049">
        <v>2310451371</v>
      </c>
      <c r="K7049">
        <v>6947024873</v>
      </c>
      <c r="N7049" t="s">
        <v>1525</v>
      </c>
      <c r="O7049" t="s">
        <v>1526</v>
      </c>
      <c r="R7049" t="s">
        <v>57</v>
      </c>
      <c r="S7049">
        <v>3</v>
      </c>
      <c r="T7049">
        <v>1350</v>
      </c>
      <c r="U7049" s="1">
        <v>42732</v>
      </c>
      <c r="V7049" t="s">
        <v>80</v>
      </c>
      <c r="W7049" t="s">
        <v>81</v>
      </c>
      <c r="X7049" t="s">
        <v>58</v>
      </c>
      <c r="Y7049">
        <v>25</v>
      </c>
      <c r="Z7049" t="s">
        <v>59</v>
      </c>
      <c r="AA7049" t="s">
        <v>59</v>
      </c>
      <c r="AB7049" t="s">
        <v>59</v>
      </c>
      <c r="AC7049" t="s">
        <v>59</v>
      </c>
      <c r="AD7049" t="s">
        <v>59</v>
      </c>
      <c r="AF7049" s="1">
        <v>42734</v>
      </c>
      <c r="AG7049" t="s">
        <v>8651</v>
      </c>
      <c r="AH7049" t="s">
        <v>8652</v>
      </c>
      <c r="AI7049" t="str">
        <f>"9170110"</f>
        <v>9170110</v>
      </c>
      <c r="AJ7049" t="s">
        <v>10273</v>
      </c>
      <c r="AK7049">
        <v>2810282944</v>
      </c>
      <c r="AL7049" t="s">
        <v>10274</v>
      </c>
      <c r="AM7049" t="s">
        <v>78</v>
      </c>
      <c r="AN7049" t="s">
        <v>78</v>
      </c>
      <c r="AO7049" t="s">
        <v>78</v>
      </c>
      <c r="AP7049" t="s">
        <v>79</v>
      </c>
      <c r="AQ7049">
        <v>1</v>
      </c>
      <c r="AR7049" t="s">
        <v>80</v>
      </c>
      <c r="AS7049" t="s">
        <v>81</v>
      </c>
      <c r="AT7049" t="s">
        <v>58</v>
      </c>
      <c r="AU7049" t="s">
        <v>68</v>
      </c>
      <c r="AV7049" t="s">
        <v>69</v>
      </c>
      <c r="AW7049" s="1">
        <v>30317</v>
      </c>
      <c r="AX7049">
        <v>1</v>
      </c>
    </row>
    <row r="7050" spans="1:50">
      <c r="A7050">
        <v>560531</v>
      </c>
      <c r="B7050" t="str">
        <f>"103523890"</f>
        <v>103523890</v>
      </c>
      <c r="C7050" t="s">
        <v>50</v>
      </c>
      <c r="D7050" t="s">
        <v>6554</v>
      </c>
      <c r="E7050" t="s">
        <v>801</v>
      </c>
      <c r="F7050" t="s">
        <v>95</v>
      </c>
      <c r="G7050" t="s">
        <v>83</v>
      </c>
      <c r="H7050" t="str">
        <f>" "</f>
        <v xml:space="preserve"> </v>
      </c>
      <c r="N7050" t="s">
        <v>1525</v>
      </c>
      <c r="O7050" t="s">
        <v>1526</v>
      </c>
      <c r="R7050" t="s">
        <v>57</v>
      </c>
      <c r="S7050">
        <v>17</v>
      </c>
      <c r="T7050">
        <v>185</v>
      </c>
      <c r="U7050" s="1">
        <v>32035</v>
      </c>
      <c r="V7050" t="s">
        <v>80</v>
      </c>
      <c r="W7050" t="s">
        <v>81</v>
      </c>
      <c r="X7050" t="s">
        <v>58</v>
      </c>
      <c r="Y7050">
        <v>25</v>
      </c>
      <c r="Z7050" t="s">
        <v>59</v>
      </c>
      <c r="AA7050" t="s">
        <v>59</v>
      </c>
      <c r="AB7050" t="s">
        <v>59</v>
      </c>
      <c r="AC7050" t="s">
        <v>59</v>
      </c>
      <c r="AD7050" t="s">
        <v>59</v>
      </c>
      <c r="AF7050" s="1">
        <v>32041</v>
      </c>
      <c r="AG7050" t="s">
        <v>8651</v>
      </c>
      <c r="AH7050" t="s">
        <v>8652</v>
      </c>
      <c r="AI7050" t="str">
        <f>"9170252"</f>
        <v>9170252</v>
      </c>
      <c r="AJ7050" t="s">
        <v>9563</v>
      </c>
      <c r="AK7050">
        <v>2810220386</v>
      </c>
      <c r="AL7050" t="s">
        <v>9564</v>
      </c>
      <c r="AM7050" t="s">
        <v>78</v>
      </c>
      <c r="AN7050" t="s">
        <v>78</v>
      </c>
      <c r="AO7050" t="s">
        <v>78</v>
      </c>
      <c r="AP7050" t="s">
        <v>213</v>
      </c>
      <c r="AQ7050">
        <v>1</v>
      </c>
      <c r="AR7050" t="s">
        <v>80</v>
      </c>
      <c r="AS7050" t="s">
        <v>81</v>
      </c>
      <c r="AT7050" t="s">
        <v>58</v>
      </c>
      <c r="AU7050" t="s">
        <v>68</v>
      </c>
      <c r="AV7050" t="s">
        <v>69</v>
      </c>
      <c r="AW7050" s="1">
        <v>23011</v>
      </c>
      <c r="AX7050">
        <v>1</v>
      </c>
    </row>
    <row r="7051" spans="1:50">
      <c r="A7051">
        <v>601586</v>
      </c>
      <c r="B7051" t="str">
        <f>"116812454"</f>
        <v>116812454</v>
      </c>
      <c r="C7051" t="s">
        <v>50</v>
      </c>
      <c r="D7051" t="s">
        <v>11438</v>
      </c>
      <c r="E7051" t="s">
        <v>255</v>
      </c>
      <c r="F7051" t="s">
        <v>995</v>
      </c>
      <c r="G7051" t="s">
        <v>1358</v>
      </c>
      <c r="H7051" t="str">
        <f>" "</f>
        <v xml:space="preserve"> </v>
      </c>
      <c r="J7051">
        <v>2104628551</v>
      </c>
      <c r="K7051">
        <v>6972793869</v>
      </c>
      <c r="N7051" t="s">
        <v>615</v>
      </c>
      <c r="O7051" t="s">
        <v>616</v>
      </c>
      <c r="R7051" t="s">
        <v>57</v>
      </c>
      <c r="S7051">
        <v>7</v>
      </c>
      <c r="T7051">
        <v>207</v>
      </c>
      <c r="U7051" s="1">
        <v>37866</v>
      </c>
      <c r="V7051" t="s">
        <v>80</v>
      </c>
      <c r="W7051" t="s">
        <v>81</v>
      </c>
      <c r="X7051" t="s">
        <v>58</v>
      </c>
      <c r="Y7051">
        <v>22</v>
      </c>
      <c r="Z7051" t="s">
        <v>59</v>
      </c>
      <c r="AA7051" t="s">
        <v>59</v>
      </c>
      <c r="AB7051" t="s">
        <v>59</v>
      </c>
      <c r="AC7051" t="s">
        <v>59</v>
      </c>
      <c r="AD7051" t="s">
        <v>59</v>
      </c>
      <c r="AF7051" s="1">
        <v>37866</v>
      </c>
      <c r="AG7051" t="s">
        <v>8645</v>
      </c>
      <c r="AH7051" t="s">
        <v>8646</v>
      </c>
      <c r="AI7051" t="str">
        <f>"9170130"</f>
        <v>9170130</v>
      </c>
      <c r="AJ7051" t="s">
        <v>10267</v>
      </c>
      <c r="AK7051">
        <v>2895071251</v>
      </c>
      <c r="AL7051" t="s">
        <v>10268</v>
      </c>
      <c r="AM7051" t="s">
        <v>78</v>
      </c>
      <c r="AN7051" t="s">
        <v>482</v>
      </c>
      <c r="AO7051" t="s">
        <v>482</v>
      </c>
      <c r="AP7051" t="s">
        <v>9002</v>
      </c>
      <c r="AQ7051">
        <v>14</v>
      </c>
      <c r="AR7051" t="s">
        <v>80</v>
      </c>
      <c r="AS7051" t="s">
        <v>81</v>
      </c>
      <c r="AT7051" t="s">
        <v>58</v>
      </c>
      <c r="AU7051" t="s">
        <v>68</v>
      </c>
      <c r="AV7051" t="s">
        <v>69</v>
      </c>
      <c r="AW7051" s="1">
        <v>28780</v>
      </c>
      <c r="AX7051">
        <v>1</v>
      </c>
    </row>
    <row r="7052" spans="1:50">
      <c r="A7052">
        <v>600009</v>
      </c>
      <c r="B7052" t="str">
        <f>"078999741"</f>
        <v>078999741</v>
      </c>
      <c r="C7052" t="s">
        <v>50</v>
      </c>
      <c r="D7052" t="s">
        <v>3827</v>
      </c>
      <c r="E7052" t="s">
        <v>237</v>
      </c>
      <c r="F7052" t="s">
        <v>202</v>
      </c>
      <c r="G7052" t="s">
        <v>507</v>
      </c>
      <c r="H7052" t="str">
        <f>"ΓΕΡΩΝΥΜΑΚΗ 58 "</f>
        <v xml:space="preserve">ΓΕΡΩΝΥΜΑΚΗ 58 </v>
      </c>
      <c r="I7052">
        <v>71307</v>
      </c>
      <c r="J7052">
        <v>2813007711</v>
      </c>
      <c r="K7052">
        <v>6974029223</v>
      </c>
      <c r="N7052" t="s">
        <v>615</v>
      </c>
      <c r="O7052" t="s">
        <v>616</v>
      </c>
      <c r="R7052" t="s">
        <v>57</v>
      </c>
      <c r="S7052">
        <v>8</v>
      </c>
      <c r="T7052">
        <v>195</v>
      </c>
      <c r="U7052" s="1">
        <v>37497</v>
      </c>
      <c r="V7052" t="s">
        <v>80</v>
      </c>
      <c r="W7052" t="s">
        <v>81</v>
      </c>
      <c r="X7052" t="s">
        <v>58</v>
      </c>
      <c r="Y7052">
        <v>22</v>
      </c>
      <c r="Z7052" t="s">
        <v>59</v>
      </c>
      <c r="AA7052" t="s">
        <v>59</v>
      </c>
      <c r="AB7052" t="s">
        <v>59</v>
      </c>
      <c r="AC7052" t="s">
        <v>59</v>
      </c>
      <c r="AD7052" t="s">
        <v>59</v>
      </c>
      <c r="AF7052" s="1">
        <v>37497</v>
      </c>
      <c r="AG7052" t="s">
        <v>8645</v>
      </c>
      <c r="AH7052" t="s">
        <v>8646</v>
      </c>
      <c r="AI7052" t="str">
        <f>"9170198"</f>
        <v>9170198</v>
      </c>
      <c r="AJ7052" t="s">
        <v>8665</v>
      </c>
      <c r="AK7052">
        <v>2810227379</v>
      </c>
      <c r="AL7052" t="s">
        <v>8666</v>
      </c>
      <c r="AM7052" t="s">
        <v>78</v>
      </c>
      <c r="AN7052" t="s">
        <v>78</v>
      </c>
      <c r="AO7052" t="s">
        <v>78</v>
      </c>
      <c r="AP7052" t="s">
        <v>79</v>
      </c>
      <c r="AQ7052">
        <v>1</v>
      </c>
      <c r="AR7052" t="s">
        <v>80</v>
      </c>
      <c r="AS7052" t="s">
        <v>81</v>
      </c>
      <c r="AT7052" t="s">
        <v>58</v>
      </c>
      <c r="AU7052" t="s">
        <v>68</v>
      </c>
      <c r="AV7052" t="s">
        <v>69</v>
      </c>
      <c r="AW7052" s="1">
        <v>26194</v>
      </c>
      <c r="AX7052">
        <v>1</v>
      </c>
    </row>
    <row r="7053" spans="1:50">
      <c r="A7053">
        <v>618495</v>
      </c>
      <c r="B7053" t="str">
        <f>"128338313"</f>
        <v>128338313</v>
      </c>
      <c r="C7053" t="s">
        <v>50</v>
      </c>
      <c r="D7053" t="s">
        <v>3827</v>
      </c>
      <c r="E7053" t="s">
        <v>52</v>
      </c>
      <c r="F7053" t="s">
        <v>383</v>
      </c>
      <c r="G7053" t="s">
        <v>73</v>
      </c>
      <c r="H7053" t="str">
        <f>"ΣΠΙΝΑΛΟΓΚΑΣ 9 ΓΑΖΙ"</f>
        <v>ΣΠΙΝΑΛΟΓΚΑΣ 9 ΓΑΖΙ</v>
      </c>
      <c r="I7053">
        <v>71414</v>
      </c>
      <c r="J7053">
        <v>2810250561</v>
      </c>
      <c r="K7053">
        <v>6973308020</v>
      </c>
      <c r="M7053" t="s">
        <v>11439</v>
      </c>
      <c r="N7053" t="s">
        <v>615</v>
      </c>
      <c r="O7053" t="s">
        <v>616</v>
      </c>
      <c r="R7053" t="s">
        <v>57</v>
      </c>
      <c r="S7053">
        <v>5</v>
      </c>
      <c r="T7053">
        <v>774</v>
      </c>
      <c r="U7053" s="1">
        <v>39680</v>
      </c>
      <c r="V7053" t="s">
        <v>80</v>
      </c>
      <c r="W7053" t="s">
        <v>81</v>
      </c>
      <c r="X7053" t="s">
        <v>58</v>
      </c>
      <c r="Y7053">
        <v>23</v>
      </c>
      <c r="Z7053" t="s">
        <v>59</v>
      </c>
      <c r="AA7053" t="s">
        <v>59</v>
      </c>
      <c r="AB7053" t="s">
        <v>59</v>
      </c>
      <c r="AC7053" t="s">
        <v>59</v>
      </c>
      <c r="AD7053" t="s">
        <v>59</v>
      </c>
      <c r="AF7053" s="1">
        <v>39681</v>
      </c>
      <c r="AG7053" t="s">
        <v>8645</v>
      </c>
      <c r="AH7053" t="s">
        <v>8646</v>
      </c>
      <c r="AI7053" t="str">
        <f>"9170017"</f>
        <v>9170017</v>
      </c>
      <c r="AJ7053" t="s">
        <v>9114</v>
      </c>
      <c r="AK7053">
        <v>2810250746</v>
      </c>
      <c r="AL7053" t="s">
        <v>9115</v>
      </c>
      <c r="AM7053" t="s">
        <v>78</v>
      </c>
      <c r="AN7053" t="s">
        <v>129</v>
      </c>
      <c r="AO7053" t="s">
        <v>130</v>
      </c>
      <c r="AP7053" t="s">
        <v>130</v>
      </c>
      <c r="AQ7053">
        <v>1</v>
      </c>
      <c r="AR7053" t="s">
        <v>80</v>
      </c>
      <c r="AS7053" t="s">
        <v>81</v>
      </c>
      <c r="AT7053" t="s">
        <v>58</v>
      </c>
      <c r="AU7053" t="s">
        <v>68</v>
      </c>
      <c r="AV7053" t="s">
        <v>69</v>
      </c>
      <c r="AW7053" s="1">
        <v>30924</v>
      </c>
      <c r="AX7053">
        <v>1</v>
      </c>
    </row>
    <row r="7054" spans="1:50">
      <c r="A7054">
        <v>616801</v>
      </c>
      <c r="B7054" t="str">
        <f>"065077247"</f>
        <v>065077247</v>
      </c>
      <c r="C7054" t="s">
        <v>50</v>
      </c>
      <c r="D7054" t="s">
        <v>3827</v>
      </c>
      <c r="E7054" t="s">
        <v>52</v>
      </c>
      <c r="F7054" t="s">
        <v>95</v>
      </c>
      <c r="G7054" t="s">
        <v>620</v>
      </c>
      <c r="H7054" t="str">
        <f>"ΓΛΑΥΚΟΥ 23 ΗΡΑΚΛΕΙΟ"</f>
        <v>ΓΛΑΥΚΟΥ 23 ΗΡΑΚΛΕΙΟ</v>
      </c>
      <c r="I7054">
        <v>71305</v>
      </c>
      <c r="J7054">
        <v>2810252113</v>
      </c>
      <c r="K7054">
        <v>6974868134</v>
      </c>
      <c r="N7054" t="s">
        <v>615</v>
      </c>
      <c r="O7054" t="s">
        <v>616</v>
      </c>
      <c r="R7054" t="s">
        <v>57</v>
      </c>
      <c r="S7054">
        <v>7</v>
      </c>
      <c r="T7054">
        <v>774</v>
      </c>
      <c r="U7054" s="1">
        <v>39680</v>
      </c>
      <c r="V7054" t="s">
        <v>80</v>
      </c>
      <c r="W7054" t="s">
        <v>81</v>
      </c>
      <c r="X7054" t="s">
        <v>58</v>
      </c>
      <c r="Y7054">
        <v>23</v>
      </c>
      <c r="Z7054" t="s">
        <v>59</v>
      </c>
      <c r="AA7054" t="s">
        <v>59</v>
      </c>
      <c r="AB7054" t="s">
        <v>59</v>
      </c>
      <c r="AC7054" t="s">
        <v>59</v>
      </c>
      <c r="AD7054" t="s">
        <v>59</v>
      </c>
      <c r="AF7054" s="1">
        <v>39681</v>
      </c>
      <c r="AG7054" t="s">
        <v>8645</v>
      </c>
      <c r="AH7054" t="s">
        <v>8646</v>
      </c>
      <c r="AI7054" t="str">
        <f>"9170514"</f>
        <v>9170514</v>
      </c>
      <c r="AJ7054" t="s">
        <v>8801</v>
      </c>
      <c r="AK7054">
        <v>2810238666</v>
      </c>
      <c r="AL7054" t="s">
        <v>8802</v>
      </c>
      <c r="AM7054" t="s">
        <v>78</v>
      </c>
      <c r="AN7054" t="s">
        <v>78</v>
      </c>
      <c r="AO7054" t="s">
        <v>78</v>
      </c>
      <c r="AP7054" t="s">
        <v>163</v>
      </c>
      <c r="AQ7054">
        <v>1</v>
      </c>
      <c r="AR7054" t="s">
        <v>80</v>
      </c>
      <c r="AS7054" t="s">
        <v>81</v>
      </c>
      <c r="AT7054" t="s">
        <v>58</v>
      </c>
      <c r="AU7054" t="s">
        <v>68</v>
      </c>
      <c r="AV7054" t="s">
        <v>69</v>
      </c>
      <c r="AW7054" s="1">
        <v>29651</v>
      </c>
      <c r="AX7054">
        <v>1</v>
      </c>
    </row>
    <row r="7055" spans="1:50">
      <c r="A7055">
        <v>613182</v>
      </c>
      <c r="B7055" t="str">
        <f>"118928944"</f>
        <v>118928944</v>
      </c>
      <c r="C7055" t="s">
        <v>50</v>
      </c>
      <c r="D7055" t="s">
        <v>3827</v>
      </c>
      <c r="E7055" t="s">
        <v>52</v>
      </c>
      <c r="F7055" t="s">
        <v>166</v>
      </c>
      <c r="G7055" t="s">
        <v>237</v>
      </c>
      <c r="H7055" t="str">
        <f>"ΑΝΩ ΑΡΧΑΝΕΣ - ΨΑΡΑΔΑΚΗ 10 ΗΡΑΚΛΕΙΟ"</f>
        <v>ΑΝΩ ΑΡΧΑΝΕΣ - ΨΑΡΑΔΑΚΗ 10 ΗΡΑΚΛΕΙΟ</v>
      </c>
      <c r="I7055">
        <v>70100</v>
      </c>
      <c r="J7055">
        <v>2897041284</v>
      </c>
      <c r="K7055">
        <v>6948600464</v>
      </c>
      <c r="N7055" t="s">
        <v>615</v>
      </c>
      <c r="O7055" t="s">
        <v>616</v>
      </c>
      <c r="R7055" t="s">
        <v>57</v>
      </c>
      <c r="S7055">
        <v>6</v>
      </c>
      <c r="T7055">
        <v>598</v>
      </c>
      <c r="U7055" s="1">
        <v>39310</v>
      </c>
      <c r="V7055" t="s">
        <v>80</v>
      </c>
      <c r="W7055" t="s">
        <v>81</v>
      </c>
      <c r="X7055" t="s">
        <v>58</v>
      </c>
      <c r="Y7055">
        <v>23</v>
      </c>
      <c r="Z7055" t="s">
        <v>59</v>
      </c>
      <c r="AA7055" t="s">
        <v>59</v>
      </c>
      <c r="AB7055" t="s">
        <v>59</v>
      </c>
      <c r="AC7055" t="s">
        <v>59</v>
      </c>
      <c r="AD7055" t="s">
        <v>59</v>
      </c>
      <c r="AF7055" s="1">
        <v>39328</v>
      </c>
      <c r="AG7055" t="s">
        <v>8645</v>
      </c>
      <c r="AH7055" t="s">
        <v>8646</v>
      </c>
      <c r="AI7055" t="str">
        <f>"9170549"</f>
        <v>9170549</v>
      </c>
      <c r="AJ7055" t="s">
        <v>8778</v>
      </c>
      <c r="AK7055">
        <v>2810751800</v>
      </c>
      <c r="AL7055" t="s">
        <v>8779</v>
      </c>
      <c r="AM7055" t="s">
        <v>78</v>
      </c>
      <c r="AN7055" t="s">
        <v>424</v>
      </c>
      <c r="AO7055" t="s">
        <v>425</v>
      </c>
      <c r="AP7055" t="s">
        <v>425</v>
      </c>
      <c r="AQ7055">
        <v>11</v>
      </c>
      <c r="AR7055" t="s">
        <v>80</v>
      </c>
      <c r="AS7055" t="s">
        <v>81</v>
      </c>
      <c r="AT7055" t="s">
        <v>58</v>
      </c>
      <c r="AU7055" t="s">
        <v>68</v>
      </c>
      <c r="AV7055" t="s">
        <v>69</v>
      </c>
      <c r="AW7055" s="1">
        <v>30263</v>
      </c>
      <c r="AX7055">
        <v>1</v>
      </c>
    </row>
    <row r="7056" spans="1:50">
      <c r="A7056">
        <v>618440</v>
      </c>
      <c r="B7056" t="str">
        <f>"131467890"</f>
        <v>131467890</v>
      </c>
      <c r="C7056" t="s">
        <v>50</v>
      </c>
      <c r="D7056" t="s">
        <v>3827</v>
      </c>
      <c r="E7056" t="s">
        <v>52</v>
      </c>
      <c r="F7056" t="s">
        <v>2847</v>
      </c>
      <c r="G7056" t="s">
        <v>96</v>
      </c>
      <c r="H7056" t="str">
        <f>"ΤΥΛΙΣΟΣ ΗΡΑΚΛΕΙΟΥ ΤΥΛΙΣΟΣ"</f>
        <v>ΤΥΛΙΣΟΣ ΗΡΑΚΛΕΙΟΥ ΤΥΛΙΣΟΣ</v>
      </c>
      <c r="I7056">
        <v>71500</v>
      </c>
      <c r="J7056">
        <v>2810831119</v>
      </c>
      <c r="K7056">
        <v>6947274113</v>
      </c>
      <c r="N7056" t="s">
        <v>615</v>
      </c>
      <c r="O7056" t="s">
        <v>616</v>
      </c>
      <c r="R7056" t="s">
        <v>57</v>
      </c>
      <c r="S7056">
        <v>5</v>
      </c>
      <c r="T7056">
        <v>774</v>
      </c>
      <c r="U7056" s="1">
        <v>39680</v>
      </c>
      <c r="V7056" t="s">
        <v>80</v>
      </c>
      <c r="W7056" t="s">
        <v>81</v>
      </c>
      <c r="X7056" t="s">
        <v>58</v>
      </c>
      <c r="Y7056">
        <v>23</v>
      </c>
      <c r="Z7056" t="s">
        <v>59</v>
      </c>
      <c r="AA7056" t="s">
        <v>59</v>
      </c>
      <c r="AB7056" t="s">
        <v>59</v>
      </c>
      <c r="AC7056" t="s">
        <v>59</v>
      </c>
      <c r="AD7056" t="s">
        <v>59</v>
      </c>
      <c r="AF7056" s="1">
        <v>39681</v>
      </c>
      <c r="AG7056" t="s">
        <v>8645</v>
      </c>
      <c r="AH7056" t="s">
        <v>8646</v>
      </c>
      <c r="AI7056" t="str">
        <f>"9170560"</f>
        <v>9170560</v>
      </c>
      <c r="AJ7056" t="s">
        <v>9022</v>
      </c>
      <c r="AK7056">
        <v>2810821816</v>
      </c>
      <c r="AL7056" t="s">
        <v>9023</v>
      </c>
      <c r="AM7056" t="s">
        <v>78</v>
      </c>
      <c r="AN7056" t="s">
        <v>129</v>
      </c>
      <c r="AO7056" t="s">
        <v>130</v>
      </c>
      <c r="AP7056" t="s">
        <v>130</v>
      </c>
      <c r="AQ7056">
        <v>1</v>
      </c>
      <c r="AR7056" t="s">
        <v>80</v>
      </c>
      <c r="AS7056" t="s">
        <v>81</v>
      </c>
      <c r="AT7056" t="s">
        <v>58</v>
      </c>
      <c r="AU7056" t="s">
        <v>68</v>
      </c>
      <c r="AV7056" t="s">
        <v>69</v>
      </c>
      <c r="AW7056" s="1">
        <v>30999</v>
      </c>
      <c r="AX7056">
        <v>1</v>
      </c>
    </row>
    <row r="7057" spans="1:50">
      <c r="A7057">
        <v>605801</v>
      </c>
      <c r="B7057" t="str">
        <f>"113622690"</f>
        <v>113622690</v>
      </c>
      <c r="C7057" t="s">
        <v>105</v>
      </c>
      <c r="D7057" t="s">
        <v>3830</v>
      </c>
      <c r="E7057" t="s">
        <v>72</v>
      </c>
      <c r="F7057" t="s">
        <v>95</v>
      </c>
      <c r="G7057" t="s">
        <v>215</v>
      </c>
      <c r="H7057" t="str">
        <f>"ΑΝΤ. ΜΠΕΤΕΙΝΑΚΗ 10 ΜΑΣΤΑΜΠΑΣ"</f>
        <v>ΑΝΤ. ΜΠΕΤΕΙΝΑΚΗ 10 ΜΑΣΤΑΜΠΑΣ</v>
      </c>
      <c r="I7057">
        <v>71305</v>
      </c>
      <c r="J7057">
        <v>2810237256</v>
      </c>
      <c r="K7057">
        <v>6972430043</v>
      </c>
      <c r="N7057" t="s">
        <v>615</v>
      </c>
      <c r="O7057" t="s">
        <v>616</v>
      </c>
      <c r="R7057" t="s">
        <v>57</v>
      </c>
      <c r="S7057">
        <v>9</v>
      </c>
      <c r="T7057">
        <v>231</v>
      </c>
      <c r="U7057" s="1">
        <v>38230</v>
      </c>
      <c r="V7057" t="s">
        <v>80</v>
      </c>
      <c r="W7057" t="s">
        <v>81</v>
      </c>
      <c r="X7057" t="s">
        <v>58</v>
      </c>
      <c r="Y7057">
        <v>22</v>
      </c>
      <c r="Z7057" t="s">
        <v>59</v>
      </c>
      <c r="AA7057" t="s">
        <v>59</v>
      </c>
      <c r="AB7057" t="s">
        <v>59</v>
      </c>
      <c r="AC7057" t="s">
        <v>59</v>
      </c>
      <c r="AD7057" t="s">
        <v>59</v>
      </c>
      <c r="AF7057" s="1">
        <v>38231</v>
      </c>
      <c r="AG7057" t="s">
        <v>8645</v>
      </c>
      <c r="AH7057" t="s">
        <v>8646</v>
      </c>
      <c r="AI7057" t="str">
        <f>"9170531"</f>
        <v>9170531</v>
      </c>
      <c r="AJ7057" t="s">
        <v>8980</v>
      </c>
      <c r="AK7057">
        <v>2810229104</v>
      </c>
      <c r="AL7057" t="s">
        <v>8981</v>
      </c>
      <c r="AM7057" t="s">
        <v>78</v>
      </c>
      <c r="AN7057" t="s">
        <v>78</v>
      </c>
      <c r="AO7057" t="s">
        <v>78</v>
      </c>
      <c r="AP7057" t="s">
        <v>79</v>
      </c>
      <c r="AQ7057">
        <v>1</v>
      </c>
      <c r="AR7057" t="s">
        <v>80</v>
      </c>
      <c r="AS7057" t="s">
        <v>81</v>
      </c>
      <c r="AT7057" t="s">
        <v>58</v>
      </c>
      <c r="AU7057" t="s">
        <v>68</v>
      </c>
      <c r="AV7057" t="s">
        <v>69</v>
      </c>
      <c r="AW7057" s="1">
        <v>27316</v>
      </c>
      <c r="AX7057">
        <v>1</v>
      </c>
    </row>
    <row r="7058" spans="1:50">
      <c r="B7058" t="str">
        <f>"073312400"</f>
        <v>073312400</v>
      </c>
      <c r="C7058" t="s">
        <v>105</v>
      </c>
      <c r="D7058" t="s">
        <v>3830</v>
      </c>
      <c r="E7058" t="s">
        <v>3756</v>
      </c>
      <c r="F7058" t="s">
        <v>154</v>
      </c>
      <c r="G7058" t="s">
        <v>250</v>
      </c>
      <c r="H7058" t="str">
        <f>"ΑΔΑΜΑΚΗ 39 ΗΡΑΚΛΕΙΟ"</f>
        <v>ΑΔΑΜΑΚΗ 39 ΗΡΑΚΛΕΙΟ</v>
      </c>
      <c r="I7058">
        <v>71305</v>
      </c>
      <c r="J7058">
        <v>2810372790</v>
      </c>
      <c r="K7058">
        <v>6944553895</v>
      </c>
      <c r="N7058" t="s">
        <v>176</v>
      </c>
      <c r="O7058" t="s">
        <v>177</v>
      </c>
      <c r="R7058" t="s">
        <v>159</v>
      </c>
      <c r="S7058">
        <v>3</v>
      </c>
      <c r="T7058" t="s">
        <v>8675</v>
      </c>
      <c r="U7058" s="1">
        <v>43348</v>
      </c>
      <c r="V7058" t="s">
        <v>80</v>
      </c>
      <c r="W7058" t="s">
        <v>81</v>
      </c>
      <c r="X7058" t="s">
        <v>58</v>
      </c>
      <c r="Y7058">
        <v>24</v>
      </c>
      <c r="Z7058" t="s">
        <v>59</v>
      </c>
      <c r="AA7058" t="s">
        <v>59</v>
      </c>
      <c r="AB7058" t="s">
        <v>59</v>
      </c>
      <c r="AC7058" t="s">
        <v>59</v>
      </c>
      <c r="AD7058" t="s">
        <v>59</v>
      </c>
      <c r="AF7058" s="1">
        <v>43348</v>
      </c>
      <c r="AG7058" t="s">
        <v>8645</v>
      </c>
      <c r="AH7058" t="s">
        <v>8646</v>
      </c>
      <c r="AI7058" t="str">
        <f>"9170515"</f>
        <v>9170515</v>
      </c>
      <c r="AJ7058" t="s">
        <v>8790</v>
      </c>
      <c r="AK7058">
        <v>2810254821</v>
      </c>
      <c r="AL7058" t="s">
        <v>8791</v>
      </c>
      <c r="AM7058" t="s">
        <v>78</v>
      </c>
      <c r="AN7058" t="s">
        <v>78</v>
      </c>
      <c r="AO7058" t="s">
        <v>78</v>
      </c>
      <c r="AP7058" t="s">
        <v>163</v>
      </c>
      <c r="AQ7058">
        <v>1</v>
      </c>
      <c r="AR7058" t="s">
        <v>80</v>
      </c>
      <c r="AS7058" t="s">
        <v>81</v>
      </c>
      <c r="AT7058" t="s">
        <v>58</v>
      </c>
      <c r="AU7058" t="s">
        <v>8673</v>
      </c>
      <c r="AV7058" t="s">
        <v>132</v>
      </c>
      <c r="AW7058" s="1">
        <v>27431</v>
      </c>
      <c r="AX7058">
        <v>1</v>
      </c>
    </row>
    <row r="7059" spans="1:50">
      <c r="A7059">
        <v>575578</v>
      </c>
      <c r="B7059" t="str">
        <f>"043086884"</f>
        <v>043086884</v>
      </c>
      <c r="C7059" t="s">
        <v>105</v>
      </c>
      <c r="D7059" t="s">
        <v>11440</v>
      </c>
      <c r="E7059" t="s">
        <v>108</v>
      </c>
      <c r="F7059" t="s">
        <v>53</v>
      </c>
      <c r="G7059" t="s">
        <v>905</v>
      </c>
      <c r="H7059" t="str">
        <f>"ΝΑΘΕΝΑ 8 ΗΡΑΚΛΕΙΟ"</f>
        <v>ΝΑΘΕΝΑ 8 ΗΡΑΚΛΕΙΟ</v>
      </c>
      <c r="I7059">
        <v>71414</v>
      </c>
      <c r="J7059">
        <v>2810821029</v>
      </c>
      <c r="K7059">
        <v>6972262486</v>
      </c>
      <c r="N7059" t="s">
        <v>615</v>
      </c>
      <c r="O7059" t="s">
        <v>616</v>
      </c>
      <c r="R7059" t="s">
        <v>57</v>
      </c>
      <c r="S7059">
        <v>15</v>
      </c>
      <c r="T7059" t="s">
        <v>11441</v>
      </c>
      <c r="U7059" s="1">
        <v>34941</v>
      </c>
      <c r="V7059" t="s">
        <v>80</v>
      </c>
      <c r="W7059" t="s">
        <v>81</v>
      </c>
      <c r="X7059" t="s">
        <v>58</v>
      </c>
      <c r="Y7059">
        <v>21</v>
      </c>
      <c r="Z7059" t="s">
        <v>59</v>
      </c>
      <c r="AA7059" t="s">
        <v>59</v>
      </c>
      <c r="AB7059" t="s">
        <v>59</v>
      </c>
      <c r="AC7059" t="s">
        <v>59</v>
      </c>
      <c r="AD7059" t="s">
        <v>59</v>
      </c>
      <c r="AF7059" s="1">
        <v>34943</v>
      </c>
      <c r="AG7059" t="s">
        <v>8645</v>
      </c>
      <c r="AH7059" t="s">
        <v>8646</v>
      </c>
      <c r="AI7059" t="str">
        <f>"9170575"</f>
        <v>9170575</v>
      </c>
      <c r="AJ7059" t="s">
        <v>8748</v>
      </c>
      <c r="AK7059">
        <v>2810260772</v>
      </c>
      <c r="AL7059" t="s">
        <v>8749</v>
      </c>
      <c r="AM7059" t="s">
        <v>78</v>
      </c>
      <c r="AN7059" t="s">
        <v>78</v>
      </c>
      <c r="AO7059" t="s">
        <v>78</v>
      </c>
      <c r="AP7059" t="s">
        <v>141</v>
      </c>
      <c r="AQ7059">
        <v>1</v>
      </c>
      <c r="AR7059" t="s">
        <v>80</v>
      </c>
      <c r="AS7059" t="s">
        <v>81</v>
      </c>
      <c r="AT7059" t="s">
        <v>58</v>
      </c>
      <c r="AU7059" t="s">
        <v>68</v>
      </c>
      <c r="AV7059" t="s">
        <v>69</v>
      </c>
      <c r="AW7059" s="1">
        <v>22313</v>
      </c>
      <c r="AX7059">
        <v>1</v>
      </c>
    </row>
    <row r="7060" spans="1:50">
      <c r="A7060">
        <v>580304</v>
      </c>
      <c r="B7060" t="str">
        <f>"035954827"</f>
        <v>035954827</v>
      </c>
      <c r="C7060" t="s">
        <v>50</v>
      </c>
      <c r="D7060" t="s">
        <v>5459</v>
      </c>
      <c r="E7060" t="s">
        <v>52</v>
      </c>
      <c r="F7060" t="s">
        <v>609</v>
      </c>
      <c r="G7060" t="s">
        <v>1448</v>
      </c>
      <c r="H7060" t="str">
        <f>"ΛΕΒΗΝΟΥ 64-66 ΗΡΑΚΛΕΙΟ"</f>
        <v>ΛΕΒΗΝΟΥ 64-66 ΗΡΑΚΛΕΙΟ</v>
      </c>
      <c r="I7060">
        <v>71304</v>
      </c>
      <c r="J7060">
        <v>2810313165</v>
      </c>
      <c r="N7060" t="s">
        <v>176</v>
      </c>
      <c r="O7060" t="s">
        <v>177</v>
      </c>
      <c r="R7060" t="s">
        <v>57</v>
      </c>
      <c r="S7060">
        <v>13</v>
      </c>
      <c r="T7060">
        <v>166</v>
      </c>
      <c r="U7060" s="1">
        <v>35300</v>
      </c>
      <c r="V7060" t="s">
        <v>80</v>
      </c>
      <c r="W7060" t="s">
        <v>81</v>
      </c>
      <c r="X7060" t="s">
        <v>58</v>
      </c>
      <c r="Y7060">
        <v>21</v>
      </c>
      <c r="Z7060" t="s">
        <v>59</v>
      </c>
      <c r="AA7060" t="s">
        <v>59</v>
      </c>
      <c r="AB7060" t="s">
        <v>59</v>
      </c>
      <c r="AC7060" t="s">
        <v>59</v>
      </c>
      <c r="AD7060" t="s">
        <v>59</v>
      </c>
      <c r="AF7060" s="1">
        <v>35310</v>
      </c>
      <c r="AG7060" t="s">
        <v>8645</v>
      </c>
      <c r="AH7060" t="s">
        <v>8646</v>
      </c>
      <c r="AI7060" t="str">
        <f>"9170425"</f>
        <v>9170425</v>
      </c>
      <c r="AJ7060" t="s">
        <v>9350</v>
      </c>
      <c r="AK7060">
        <v>2810250261</v>
      </c>
      <c r="AL7060" t="s">
        <v>9351</v>
      </c>
      <c r="AM7060" t="s">
        <v>78</v>
      </c>
      <c r="AN7060" t="s">
        <v>78</v>
      </c>
      <c r="AO7060" t="s">
        <v>78</v>
      </c>
      <c r="AP7060" t="s">
        <v>141</v>
      </c>
      <c r="AQ7060">
        <v>1</v>
      </c>
      <c r="AR7060" t="s">
        <v>80</v>
      </c>
      <c r="AS7060" t="s">
        <v>81</v>
      </c>
      <c r="AT7060" t="s">
        <v>58</v>
      </c>
      <c r="AU7060" t="s">
        <v>68</v>
      </c>
      <c r="AV7060" t="s">
        <v>69</v>
      </c>
      <c r="AW7060" s="1">
        <v>24408</v>
      </c>
      <c r="AX7060">
        <v>1</v>
      </c>
    </row>
    <row r="7061" spans="1:50">
      <c r="A7061">
        <v>619993</v>
      </c>
      <c r="B7061" t="str">
        <f>"053725055"</f>
        <v>053725055</v>
      </c>
      <c r="C7061" t="s">
        <v>105</v>
      </c>
      <c r="D7061" t="s">
        <v>5459</v>
      </c>
      <c r="E7061" t="s">
        <v>53</v>
      </c>
      <c r="F7061" t="s">
        <v>609</v>
      </c>
      <c r="G7061" t="s">
        <v>1448</v>
      </c>
      <c r="H7061" t="s">
        <v>11442</v>
      </c>
      <c r="I7061">
        <v>65500</v>
      </c>
      <c r="J7061">
        <v>2510442230</v>
      </c>
      <c r="K7061">
        <v>6972332860</v>
      </c>
      <c r="N7061" t="s">
        <v>176</v>
      </c>
      <c r="O7061" t="s">
        <v>177</v>
      </c>
      <c r="R7061" t="s">
        <v>57</v>
      </c>
      <c r="S7061">
        <v>6</v>
      </c>
      <c r="T7061">
        <v>775</v>
      </c>
      <c r="U7061" s="1">
        <v>39680</v>
      </c>
      <c r="V7061" t="s">
        <v>80</v>
      </c>
      <c r="W7061" t="s">
        <v>81</v>
      </c>
      <c r="X7061" t="s">
        <v>58</v>
      </c>
      <c r="Y7061">
        <v>23</v>
      </c>
      <c r="Z7061" t="s">
        <v>59</v>
      </c>
      <c r="AA7061" t="s">
        <v>59</v>
      </c>
      <c r="AB7061" t="s">
        <v>59</v>
      </c>
      <c r="AC7061" t="s">
        <v>59</v>
      </c>
      <c r="AD7061" t="s">
        <v>59</v>
      </c>
      <c r="AF7061" s="1">
        <v>39681</v>
      </c>
      <c r="AG7061" t="s">
        <v>8645</v>
      </c>
      <c r="AH7061" t="s">
        <v>8646</v>
      </c>
      <c r="AI7061" t="str">
        <f>"9170224"</f>
        <v>9170224</v>
      </c>
      <c r="AJ7061" t="s">
        <v>9212</v>
      </c>
      <c r="AK7061">
        <v>2810771214</v>
      </c>
      <c r="AL7061" t="s">
        <v>9213</v>
      </c>
      <c r="AM7061" t="s">
        <v>78</v>
      </c>
      <c r="AN7061" t="s">
        <v>219</v>
      </c>
      <c r="AO7061" t="s">
        <v>1437</v>
      </c>
      <c r="AP7061" t="s">
        <v>1437</v>
      </c>
      <c r="AQ7061">
        <v>7</v>
      </c>
      <c r="AR7061" t="s">
        <v>80</v>
      </c>
      <c r="AS7061" t="s">
        <v>81</v>
      </c>
      <c r="AT7061" t="s">
        <v>58</v>
      </c>
      <c r="AU7061" t="s">
        <v>68</v>
      </c>
      <c r="AV7061" t="s">
        <v>69</v>
      </c>
      <c r="AW7061" s="1">
        <v>25247</v>
      </c>
      <c r="AX7061">
        <v>1</v>
      </c>
    </row>
    <row r="7062" spans="1:50">
      <c r="A7062">
        <v>702460</v>
      </c>
      <c r="B7062" t="str">
        <f>"123698028"</f>
        <v>123698028</v>
      </c>
      <c r="C7062" t="s">
        <v>50</v>
      </c>
      <c r="D7062" t="s">
        <v>11443</v>
      </c>
      <c r="E7062" t="s">
        <v>96</v>
      </c>
      <c r="F7062" t="s">
        <v>2049</v>
      </c>
      <c r="G7062" t="s">
        <v>314</v>
      </c>
      <c r="H7062" t="str">
        <f>"ΓΑΛΙΑ ΓΑΛΙΑ ΚΑΙΝΟΥΡΓΙΟΥ ΗΡΑΚΛΕΙΟΥ ΚΡ"</f>
        <v>ΓΑΛΙΑ ΓΑΛΙΑ ΚΑΙΝΟΥΡΓΙΟΥ ΗΡΑΚΛΕΙΟΥ ΚΡ</v>
      </c>
      <c r="I7062">
        <v>70400</v>
      </c>
      <c r="J7062">
        <v>2892023132</v>
      </c>
      <c r="K7062">
        <v>6957691719</v>
      </c>
      <c r="N7062" t="s">
        <v>615</v>
      </c>
      <c r="O7062" t="s">
        <v>616</v>
      </c>
      <c r="R7062" t="s">
        <v>57</v>
      </c>
      <c r="S7062">
        <v>5</v>
      </c>
      <c r="T7062">
        <v>772</v>
      </c>
      <c r="U7062" s="1">
        <v>40413</v>
      </c>
      <c r="V7062" t="s">
        <v>80</v>
      </c>
      <c r="W7062" t="s">
        <v>81</v>
      </c>
      <c r="X7062" t="s">
        <v>58</v>
      </c>
      <c r="Y7062">
        <v>23</v>
      </c>
      <c r="Z7062" t="s">
        <v>59</v>
      </c>
      <c r="AA7062" t="s">
        <v>59</v>
      </c>
      <c r="AB7062" t="s">
        <v>59</v>
      </c>
      <c r="AC7062" t="s">
        <v>59</v>
      </c>
      <c r="AD7062" t="s">
        <v>59</v>
      </c>
      <c r="AF7062" s="1">
        <v>40415</v>
      </c>
      <c r="AG7062" t="s">
        <v>8645</v>
      </c>
      <c r="AH7062" t="s">
        <v>8646</v>
      </c>
      <c r="AI7062" t="str">
        <f>"9170036"</f>
        <v>9170036</v>
      </c>
      <c r="AJ7062" t="s">
        <v>8911</v>
      </c>
      <c r="AK7062">
        <v>2810721466</v>
      </c>
      <c r="AL7062" t="s">
        <v>8912</v>
      </c>
      <c r="AM7062" t="s">
        <v>78</v>
      </c>
      <c r="AN7062" t="s">
        <v>78</v>
      </c>
      <c r="AO7062" t="s">
        <v>78</v>
      </c>
      <c r="AP7062" t="s">
        <v>8913</v>
      </c>
      <c r="AQ7062">
        <v>1</v>
      </c>
      <c r="AR7062" t="s">
        <v>80</v>
      </c>
      <c r="AS7062" t="s">
        <v>81</v>
      </c>
      <c r="AT7062" t="s">
        <v>58</v>
      </c>
      <c r="AU7062" t="s">
        <v>68</v>
      </c>
      <c r="AV7062" t="s">
        <v>69</v>
      </c>
      <c r="AW7062" s="1">
        <v>30569</v>
      </c>
      <c r="AX7062">
        <v>1</v>
      </c>
    </row>
    <row r="7063" spans="1:50">
      <c r="A7063">
        <v>575287</v>
      </c>
      <c r="B7063" t="str">
        <f>"079742576"</f>
        <v>079742576</v>
      </c>
      <c r="C7063" t="s">
        <v>50</v>
      </c>
      <c r="D7063" t="s">
        <v>3837</v>
      </c>
      <c r="E7063" t="s">
        <v>681</v>
      </c>
      <c r="F7063" t="s">
        <v>53</v>
      </c>
      <c r="G7063" t="s">
        <v>83</v>
      </c>
      <c r="H7063" t="str">
        <f>"ΣΤΕΝΗΜΑΧΟΥ 47 ΗΡΑΚΛΕΙΟ"</f>
        <v>ΣΤΕΝΗΜΑΧΟΥ 47 ΗΡΑΚΛΕΙΟ</v>
      </c>
      <c r="I7063">
        <v>71305</v>
      </c>
      <c r="K7063">
        <v>6949536458</v>
      </c>
      <c r="N7063" t="s">
        <v>615</v>
      </c>
      <c r="O7063" t="s">
        <v>616</v>
      </c>
      <c r="R7063" t="s">
        <v>57</v>
      </c>
      <c r="S7063">
        <v>12</v>
      </c>
      <c r="T7063">
        <v>184</v>
      </c>
      <c r="U7063" s="1">
        <v>34941</v>
      </c>
      <c r="V7063" t="s">
        <v>80</v>
      </c>
      <c r="W7063" t="s">
        <v>81</v>
      </c>
      <c r="X7063" t="s">
        <v>58</v>
      </c>
      <c r="Y7063">
        <v>21</v>
      </c>
      <c r="Z7063" t="s">
        <v>59</v>
      </c>
      <c r="AA7063" t="s">
        <v>59</v>
      </c>
      <c r="AB7063" t="s">
        <v>59</v>
      </c>
      <c r="AC7063" t="s">
        <v>59</v>
      </c>
      <c r="AD7063" t="s">
        <v>59</v>
      </c>
      <c r="AF7063" s="1">
        <v>34943</v>
      </c>
      <c r="AG7063" t="s">
        <v>8645</v>
      </c>
      <c r="AH7063" t="s">
        <v>8646</v>
      </c>
      <c r="AI7063" t="str">
        <f>"9170425"</f>
        <v>9170425</v>
      </c>
      <c r="AJ7063" t="s">
        <v>9350</v>
      </c>
      <c r="AK7063">
        <v>2810250261</v>
      </c>
      <c r="AL7063" t="s">
        <v>9351</v>
      </c>
      <c r="AM7063" t="s">
        <v>78</v>
      </c>
      <c r="AN7063" t="s">
        <v>78</v>
      </c>
      <c r="AO7063" t="s">
        <v>78</v>
      </c>
      <c r="AP7063" t="s">
        <v>141</v>
      </c>
      <c r="AQ7063">
        <v>1</v>
      </c>
      <c r="AR7063" t="s">
        <v>80</v>
      </c>
      <c r="AS7063" t="s">
        <v>81</v>
      </c>
      <c r="AT7063" t="s">
        <v>58</v>
      </c>
      <c r="AU7063" t="s">
        <v>68</v>
      </c>
      <c r="AV7063" t="s">
        <v>69</v>
      </c>
      <c r="AW7063" s="1">
        <v>24525</v>
      </c>
      <c r="AX7063">
        <v>1</v>
      </c>
    </row>
    <row r="7064" spans="1:50">
      <c r="A7064">
        <v>546223</v>
      </c>
      <c r="B7064" t="str">
        <f>"031029536"</f>
        <v>031029536</v>
      </c>
      <c r="C7064" t="s">
        <v>105</v>
      </c>
      <c r="D7064" t="s">
        <v>11444</v>
      </c>
      <c r="E7064" t="s">
        <v>1493</v>
      </c>
      <c r="F7064" t="s">
        <v>166</v>
      </c>
      <c r="G7064" t="s">
        <v>112</v>
      </c>
      <c r="H7064" t="str">
        <f>" "</f>
        <v xml:space="preserve"> </v>
      </c>
      <c r="J7064">
        <v>2810315848</v>
      </c>
      <c r="N7064" t="s">
        <v>615</v>
      </c>
      <c r="O7064" t="s">
        <v>616</v>
      </c>
      <c r="R7064" t="s">
        <v>57</v>
      </c>
      <c r="S7064">
        <v>19</v>
      </c>
      <c r="T7064">
        <v>263</v>
      </c>
      <c r="U7064" s="1">
        <v>29844</v>
      </c>
      <c r="V7064" t="s">
        <v>80</v>
      </c>
      <c r="W7064" t="s">
        <v>81</v>
      </c>
      <c r="X7064" t="s">
        <v>58</v>
      </c>
      <c r="Y7064">
        <v>21</v>
      </c>
      <c r="Z7064" t="s">
        <v>59</v>
      </c>
      <c r="AA7064" t="s">
        <v>59</v>
      </c>
      <c r="AB7064" t="s">
        <v>59</v>
      </c>
      <c r="AC7064" t="s">
        <v>59</v>
      </c>
      <c r="AD7064" t="s">
        <v>59</v>
      </c>
      <c r="AF7064" s="1">
        <v>29847</v>
      </c>
      <c r="AG7064" t="s">
        <v>8645</v>
      </c>
      <c r="AH7064" t="s">
        <v>8646</v>
      </c>
      <c r="AI7064" t="str">
        <f>"9170515"</f>
        <v>9170515</v>
      </c>
      <c r="AJ7064" t="s">
        <v>8790</v>
      </c>
      <c r="AK7064">
        <v>2810254821</v>
      </c>
      <c r="AL7064" t="s">
        <v>8791</v>
      </c>
      <c r="AM7064" t="s">
        <v>78</v>
      </c>
      <c r="AN7064" t="s">
        <v>78</v>
      </c>
      <c r="AO7064" t="s">
        <v>78</v>
      </c>
      <c r="AP7064" t="s">
        <v>163</v>
      </c>
      <c r="AQ7064">
        <v>1</v>
      </c>
      <c r="AR7064" t="s">
        <v>80</v>
      </c>
      <c r="AS7064" t="s">
        <v>81</v>
      </c>
      <c r="AT7064" t="s">
        <v>58</v>
      </c>
      <c r="AU7064" t="s">
        <v>68</v>
      </c>
      <c r="AV7064" t="s">
        <v>69</v>
      </c>
      <c r="AW7064" s="1">
        <v>20380</v>
      </c>
      <c r="AX7064">
        <v>1</v>
      </c>
    </row>
    <row r="7065" spans="1:50">
      <c r="A7065">
        <v>575165</v>
      </c>
      <c r="B7065" t="str">
        <f>"036381430"</f>
        <v>036381430</v>
      </c>
      <c r="C7065" t="s">
        <v>105</v>
      </c>
      <c r="D7065" t="s">
        <v>11444</v>
      </c>
      <c r="E7065" t="s">
        <v>311</v>
      </c>
      <c r="F7065" t="s">
        <v>95</v>
      </c>
      <c r="G7065" t="s">
        <v>255</v>
      </c>
      <c r="H7065" t="str">
        <f>"ΑΜΜΟΥΔΑΡΑ ΗΡΑΚΛΕΙΟ"</f>
        <v>ΑΜΜΟΥΔΑΡΑ ΗΡΑΚΛΕΙΟ</v>
      </c>
      <c r="I7065">
        <v>71414</v>
      </c>
      <c r="J7065">
        <v>2810821962</v>
      </c>
      <c r="K7065">
        <v>6932229862</v>
      </c>
      <c r="M7065" t="s">
        <v>11445</v>
      </c>
      <c r="N7065" t="s">
        <v>615</v>
      </c>
      <c r="O7065" t="s">
        <v>616</v>
      </c>
      <c r="R7065" t="s">
        <v>57</v>
      </c>
      <c r="S7065">
        <v>13</v>
      </c>
      <c r="T7065" t="s">
        <v>11446</v>
      </c>
      <c r="U7065" s="1">
        <v>34941</v>
      </c>
      <c r="V7065" t="s">
        <v>80</v>
      </c>
      <c r="W7065" t="s">
        <v>81</v>
      </c>
      <c r="X7065" t="s">
        <v>58</v>
      </c>
      <c r="Y7065">
        <v>21</v>
      </c>
      <c r="Z7065" t="s">
        <v>59</v>
      </c>
      <c r="AA7065" t="s">
        <v>59</v>
      </c>
      <c r="AB7065" t="s">
        <v>59</v>
      </c>
      <c r="AC7065" t="s">
        <v>59</v>
      </c>
      <c r="AD7065" t="s">
        <v>59</v>
      </c>
      <c r="AF7065" s="1">
        <v>34953</v>
      </c>
      <c r="AG7065" t="s">
        <v>8645</v>
      </c>
      <c r="AH7065" t="s">
        <v>8646</v>
      </c>
      <c r="AI7065" t="str">
        <f>"9170338"</f>
        <v>9170338</v>
      </c>
      <c r="AJ7065" t="s">
        <v>8849</v>
      </c>
      <c r="AK7065">
        <v>2892051377</v>
      </c>
      <c r="AL7065" t="s">
        <v>8850</v>
      </c>
      <c r="AM7065" t="s">
        <v>78</v>
      </c>
      <c r="AN7065" t="s">
        <v>242</v>
      </c>
      <c r="AO7065" t="s">
        <v>349</v>
      </c>
      <c r="AP7065" t="s">
        <v>349</v>
      </c>
      <c r="AQ7065">
        <v>19</v>
      </c>
      <c r="AR7065" t="s">
        <v>80</v>
      </c>
      <c r="AS7065" t="s">
        <v>81</v>
      </c>
      <c r="AT7065" t="s">
        <v>58</v>
      </c>
      <c r="AU7065" t="s">
        <v>68</v>
      </c>
      <c r="AV7065" t="s">
        <v>69</v>
      </c>
      <c r="AW7065" s="1">
        <v>23872</v>
      </c>
      <c r="AX7065">
        <v>1</v>
      </c>
    </row>
    <row r="7066" spans="1:50">
      <c r="A7066">
        <v>575340</v>
      </c>
      <c r="B7066" t="str">
        <f>"038976390"</f>
        <v>038976390</v>
      </c>
      <c r="C7066" t="s">
        <v>105</v>
      </c>
      <c r="D7066" t="s">
        <v>11444</v>
      </c>
      <c r="E7066" t="s">
        <v>72</v>
      </c>
      <c r="F7066" t="s">
        <v>95</v>
      </c>
      <c r="G7066" t="s">
        <v>52</v>
      </c>
      <c r="H7066" t="str">
        <f>" "</f>
        <v xml:space="preserve"> </v>
      </c>
      <c r="N7066" t="s">
        <v>615</v>
      </c>
      <c r="O7066" t="s">
        <v>616</v>
      </c>
      <c r="R7066" t="s">
        <v>57</v>
      </c>
      <c r="S7066">
        <v>13</v>
      </c>
      <c r="T7066">
        <v>184</v>
      </c>
      <c r="U7066" s="1">
        <v>34941</v>
      </c>
      <c r="V7066" t="s">
        <v>80</v>
      </c>
      <c r="W7066" t="s">
        <v>81</v>
      </c>
      <c r="X7066" t="s">
        <v>58</v>
      </c>
      <c r="Y7066">
        <v>21</v>
      </c>
      <c r="Z7066" t="s">
        <v>59</v>
      </c>
      <c r="AA7066" t="s">
        <v>59</v>
      </c>
      <c r="AB7066" t="s">
        <v>59</v>
      </c>
      <c r="AC7066" t="s">
        <v>59</v>
      </c>
      <c r="AD7066" t="s">
        <v>59</v>
      </c>
      <c r="AF7066" s="1">
        <v>34946</v>
      </c>
      <c r="AG7066" t="s">
        <v>8645</v>
      </c>
      <c r="AH7066" t="s">
        <v>8646</v>
      </c>
      <c r="AI7066" t="str">
        <f>"9170097"</f>
        <v>9170097</v>
      </c>
      <c r="AJ7066" t="s">
        <v>8826</v>
      </c>
      <c r="AK7066">
        <v>2810751807</v>
      </c>
      <c r="AL7066" t="s">
        <v>8827</v>
      </c>
      <c r="AM7066" t="s">
        <v>78</v>
      </c>
      <c r="AN7066" t="s">
        <v>424</v>
      </c>
      <c r="AO7066" t="s">
        <v>425</v>
      </c>
      <c r="AP7066" t="s">
        <v>425</v>
      </c>
      <c r="AQ7066">
        <v>11</v>
      </c>
      <c r="AR7066" t="s">
        <v>80</v>
      </c>
      <c r="AS7066" t="s">
        <v>81</v>
      </c>
      <c r="AT7066" t="s">
        <v>58</v>
      </c>
      <c r="AU7066" t="s">
        <v>68</v>
      </c>
      <c r="AV7066" t="s">
        <v>69</v>
      </c>
      <c r="AW7066" s="1">
        <v>24317</v>
      </c>
      <c r="AX7066">
        <v>1</v>
      </c>
    </row>
    <row r="7067" spans="1:50">
      <c r="A7067">
        <v>153679</v>
      </c>
      <c r="B7067" t="str">
        <f>"031339944"</f>
        <v>031339944</v>
      </c>
      <c r="C7067" t="s">
        <v>105</v>
      </c>
      <c r="D7067" t="s">
        <v>11444</v>
      </c>
      <c r="E7067" t="s">
        <v>510</v>
      </c>
      <c r="F7067" t="s">
        <v>95</v>
      </c>
      <c r="G7067" t="s">
        <v>52</v>
      </c>
      <c r="H7067" t="str">
        <f>"Ν. Κατεχάκη 52 Ηράκλειο"</f>
        <v>Ν. Κατεχάκη 52 Ηράκλειο</v>
      </c>
      <c r="I7067">
        <v>71307</v>
      </c>
      <c r="J7067">
        <v>2810241331</v>
      </c>
      <c r="K7067">
        <v>6945336636</v>
      </c>
      <c r="N7067" t="s">
        <v>176</v>
      </c>
      <c r="O7067" t="s">
        <v>177</v>
      </c>
      <c r="R7067" t="s">
        <v>57</v>
      </c>
      <c r="S7067">
        <v>15</v>
      </c>
      <c r="T7067">
        <v>139</v>
      </c>
      <c r="U7067" s="1">
        <v>32366</v>
      </c>
      <c r="V7067" t="s">
        <v>80</v>
      </c>
      <c r="W7067" t="s">
        <v>81</v>
      </c>
      <c r="X7067" t="s">
        <v>58</v>
      </c>
      <c r="Y7067">
        <v>21</v>
      </c>
      <c r="Z7067" t="s">
        <v>59</v>
      </c>
      <c r="AA7067" t="s">
        <v>59</v>
      </c>
      <c r="AB7067" t="s">
        <v>59</v>
      </c>
      <c r="AC7067" t="s">
        <v>59</v>
      </c>
      <c r="AD7067" t="s">
        <v>59</v>
      </c>
      <c r="AF7067" s="1">
        <v>32388</v>
      </c>
      <c r="AG7067" t="s">
        <v>8645</v>
      </c>
      <c r="AH7067" t="s">
        <v>8646</v>
      </c>
      <c r="AI7067" t="str">
        <f>"9170423"</f>
        <v>9170423</v>
      </c>
      <c r="AJ7067" t="s">
        <v>8808</v>
      </c>
      <c r="AK7067">
        <v>2810239612</v>
      </c>
      <c r="AL7067" t="s">
        <v>8809</v>
      </c>
      <c r="AM7067" t="s">
        <v>78</v>
      </c>
      <c r="AN7067" t="s">
        <v>78</v>
      </c>
      <c r="AO7067" t="s">
        <v>78</v>
      </c>
      <c r="AP7067" t="s">
        <v>163</v>
      </c>
      <c r="AQ7067">
        <v>1</v>
      </c>
      <c r="AR7067" t="s">
        <v>80</v>
      </c>
      <c r="AS7067" t="s">
        <v>81</v>
      </c>
      <c r="AT7067" t="s">
        <v>58</v>
      </c>
      <c r="AU7067" t="s">
        <v>68</v>
      </c>
      <c r="AV7067" t="s">
        <v>69</v>
      </c>
      <c r="AW7067" s="1">
        <v>22815</v>
      </c>
      <c r="AX7067">
        <v>1</v>
      </c>
    </row>
    <row r="7068" spans="1:50">
      <c r="A7068">
        <v>617380</v>
      </c>
      <c r="B7068" t="str">
        <f>"033329100"</f>
        <v>033329100</v>
      </c>
      <c r="C7068" t="s">
        <v>105</v>
      </c>
      <c r="D7068" t="s">
        <v>11447</v>
      </c>
      <c r="E7068" t="s">
        <v>72</v>
      </c>
      <c r="F7068" t="s">
        <v>459</v>
      </c>
      <c r="G7068" t="s">
        <v>740</v>
      </c>
      <c r="H7068" t="str">
        <f>" "</f>
        <v xml:space="preserve"> </v>
      </c>
      <c r="J7068">
        <v>2321045859</v>
      </c>
      <c r="K7068">
        <v>6973049044</v>
      </c>
      <c r="N7068" t="s">
        <v>615</v>
      </c>
      <c r="O7068" t="s">
        <v>616</v>
      </c>
      <c r="R7068" t="s">
        <v>57</v>
      </c>
      <c r="S7068">
        <v>6</v>
      </c>
      <c r="T7068">
        <v>774</v>
      </c>
      <c r="U7068" s="1">
        <v>39680</v>
      </c>
      <c r="V7068" t="s">
        <v>80</v>
      </c>
      <c r="W7068" t="s">
        <v>81</v>
      </c>
      <c r="X7068" t="s">
        <v>58</v>
      </c>
      <c r="Y7068">
        <v>23</v>
      </c>
      <c r="Z7068" t="s">
        <v>59</v>
      </c>
      <c r="AA7068" t="s">
        <v>59</v>
      </c>
      <c r="AB7068" t="s">
        <v>59</v>
      </c>
      <c r="AC7068" t="s">
        <v>59</v>
      </c>
      <c r="AD7068" t="s">
        <v>59</v>
      </c>
      <c r="AF7068" s="1">
        <v>39681</v>
      </c>
      <c r="AG7068" t="s">
        <v>8645</v>
      </c>
      <c r="AH7068" t="s">
        <v>8646</v>
      </c>
      <c r="AI7068" t="str">
        <f>"9170244"</f>
        <v>9170244</v>
      </c>
      <c r="AJ7068" t="s">
        <v>8933</v>
      </c>
      <c r="AK7068">
        <v>2897061213</v>
      </c>
      <c r="AL7068" t="s">
        <v>8934</v>
      </c>
      <c r="AM7068" t="s">
        <v>78</v>
      </c>
      <c r="AN7068" t="s">
        <v>219</v>
      </c>
      <c r="AO7068" t="s">
        <v>527</v>
      </c>
      <c r="AP7068" t="s">
        <v>528</v>
      </c>
      <c r="AQ7068">
        <v>8</v>
      </c>
      <c r="AR7068" t="s">
        <v>80</v>
      </c>
      <c r="AS7068" t="s">
        <v>81</v>
      </c>
      <c r="AT7068" t="s">
        <v>58</v>
      </c>
      <c r="AU7068" t="s">
        <v>68</v>
      </c>
      <c r="AV7068" t="s">
        <v>69</v>
      </c>
      <c r="AW7068" s="1">
        <v>24039</v>
      </c>
      <c r="AX7068">
        <v>1</v>
      </c>
    </row>
    <row r="7069" spans="1:50">
      <c r="B7069" t="str">
        <f>"149863711"</f>
        <v>149863711</v>
      </c>
      <c r="C7069" t="s">
        <v>50</v>
      </c>
      <c r="D7069" t="s">
        <v>11448</v>
      </c>
      <c r="E7069" t="s">
        <v>181</v>
      </c>
      <c r="F7069" t="s">
        <v>989</v>
      </c>
      <c r="G7069" t="s">
        <v>237</v>
      </c>
      <c r="H7069" t="str">
        <f>"Δ. ΠΑΡΟΔΟΣ ΓΡ. ΛΟΓΓΟΥ 8 "</f>
        <v xml:space="preserve">Δ. ΠΑΡΟΔΟΣ ΓΡ. ΛΟΓΓΟΥ 8 </v>
      </c>
      <c r="I7069">
        <v>59200</v>
      </c>
      <c r="J7069">
        <v>2332021759</v>
      </c>
      <c r="K7069">
        <v>6944932654</v>
      </c>
      <c r="N7069" t="s">
        <v>615</v>
      </c>
      <c r="O7069" t="s">
        <v>616</v>
      </c>
      <c r="R7069" t="s">
        <v>159</v>
      </c>
      <c r="S7069">
        <v>2</v>
      </c>
      <c r="T7069" t="s">
        <v>8675</v>
      </c>
      <c r="U7069" s="1">
        <v>43348</v>
      </c>
      <c r="V7069" t="s">
        <v>80</v>
      </c>
      <c r="W7069" t="s">
        <v>81</v>
      </c>
      <c r="X7069" t="s">
        <v>58</v>
      </c>
      <c r="Y7069">
        <v>24</v>
      </c>
      <c r="Z7069" t="s">
        <v>59</v>
      </c>
      <c r="AA7069" t="s">
        <v>59</v>
      </c>
      <c r="AB7069" t="s">
        <v>59</v>
      </c>
      <c r="AC7069" t="s">
        <v>59</v>
      </c>
      <c r="AD7069" t="s">
        <v>59</v>
      </c>
      <c r="AF7069" s="1">
        <v>43348</v>
      </c>
      <c r="AG7069" t="s">
        <v>8645</v>
      </c>
      <c r="AH7069" t="s">
        <v>8646</v>
      </c>
      <c r="AI7069" t="str">
        <f>"9170580"</f>
        <v>9170580</v>
      </c>
      <c r="AJ7069" t="s">
        <v>9076</v>
      </c>
      <c r="AK7069">
        <v>2810542809</v>
      </c>
      <c r="AL7069" t="s">
        <v>9077</v>
      </c>
      <c r="AM7069" t="s">
        <v>78</v>
      </c>
      <c r="AN7069" t="s">
        <v>78</v>
      </c>
      <c r="AO7069" t="s">
        <v>78</v>
      </c>
      <c r="AP7069" t="s">
        <v>9053</v>
      </c>
      <c r="AQ7069">
        <v>1</v>
      </c>
      <c r="AR7069" t="s">
        <v>80</v>
      </c>
      <c r="AS7069" t="s">
        <v>81</v>
      </c>
      <c r="AT7069" t="s">
        <v>58</v>
      </c>
      <c r="AU7069" t="s">
        <v>8673</v>
      </c>
      <c r="AV7069" t="s">
        <v>132</v>
      </c>
      <c r="AW7069" s="1">
        <v>32275</v>
      </c>
      <c r="AX7069">
        <v>1</v>
      </c>
    </row>
    <row r="7070" spans="1:50">
      <c r="B7070" t="str">
        <f>"135049425"</f>
        <v>135049425</v>
      </c>
      <c r="C7070" t="s">
        <v>50</v>
      </c>
      <c r="D7070" t="s">
        <v>11449</v>
      </c>
      <c r="E7070" t="s">
        <v>513</v>
      </c>
      <c r="F7070" t="s">
        <v>72</v>
      </c>
      <c r="G7070" t="s">
        <v>335</v>
      </c>
      <c r="H7070" t="str">
        <f>"ΦΙΛΙΠΠΟΥΠΟΛΕΩΣ 19Α ΕΔΕΣΣΑ"</f>
        <v>ΦΙΛΙΠΠΟΥΠΟΛΕΩΣ 19Α ΕΔΕΣΣΑ</v>
      </c>
      <c r="I7070">
        <v>58200</v>
      </c>
      <c r="J7070">
        <v>2381028468</v>
      </c>
      <c r="K7070">
        <v>6978081967</v>
      </c>
      <c r="M7070" t="s">
        <v>11450</v>
      </c>
      <c r="N7070" t="s">
        <v>615</v>
      </c>
      <c r="O7070" t="s">
        <v>616</v>
      </c>
      <c r="R7070" t="s">
        <v>121</v>
      </c>
      <c r="S7070">
        <v>1</v>
      </c>
      <c r="T7070" t="s">
        <v>8675</v>
      </c>
      <c r="U7070" s="1">
        <v>43348</v>
      </c>
      <c r="V7070" t="s">
        <v>80</v>
      </c>
      <c r="W7070" t="s">
        <v>81</v>
      </c>
      <c r="X7070" t="s">
        <v>58</v>
      </c>
      <c r="Y7070">
        <v>25</v>
      </c>
      <c r="Z7070" t="s">
        <v>59</v>
      </c>
      <c r="AA7070" t="s">
        <v>59</v>
      </c>
      <c r="AB7070" t="s">
        <v>59</v>
      </c>
      <c r="AC7070" t="s">
        <v>59</v>
      </c>
      <c r="AD7070" t="s">
        <v>59</v>
      </c>
      <c r="AF7070" s="1">
        <v>43348</v>
      </c>
      <c r="AG7070" t="s">
        <v>8645</v>
      </c>
      <c r="AH7070" t="s">
        <v>8676</v>
      </c>
      <c r="AI7070" t="str">
        <f>"9170279"</f>
        <v>9170279</v>
      </c>
      <c r="AJ7070" t="s">
        <v>9327</v>
      </c>
      <c r="AK7070">
        <v>2894031022</v>
      </c>
      <c r="AL7070" t="s">
        <v>9328</v>
      </c>
      <c r="AM7070" t="s">
        <v>78</v>
      </c>
      <c r="AN7070" t="s">
        <v>242</v>
      </c>
      <c r="AO7070" t="s">
        <v>999</v>
      </c>
      <c r="AP7070" t="s">
        <v>9222</v>
      </c>
      <c r="AQ7070">
        <v>21</v>
      </c>
      <c r="AR7070" t="s">
        <v>80</v>
      </c>
      <c r="AS7070" t="s">
        <v>81</v>
      </c>
      <c r="AT7070" t="s">
        <v>58</v>
      </c>
      <c r="AU7070" t="s">
        <v>8673</v>
      </c>
      <c r="AV7070" t="s">
        <v>132</v>
      </c>
      <c r="AW7070" s="1">
        <v>32800</v>
      </c>
      <c r="AX7070">
        <v>1</v>
      </c>
    </row>
    <row r="7071" spans="1:50">
      <c r="A7071">
        <v>620147</v>
      </c>
      <c r="B7071" t="str">
        <f>"125552072"</f>
        <v>125552072</v>
      </c>
      <c r="C7071" t="s">
        <v>50</v>
      </c>
      <c r="D7071" t="s">
        <v>11451</v>
      </c>
      <c r="E7071" t="s">
        <v>73</v>
      </c>
      <c r="F7071" t="s">
        <v>95</v>
      </c>
      <c r="G7071" t="s">
        <v>396</v>
      </c>
      <c r="H7071" t="str">
        <f>"Π.ΚΕΛΑΙΔΗ 13 ΗΡΑΚΛΕΙΟ"</f>
        <v>Π.ΚΕΛΑΙΔΗ 13 ΗΡΑΚΛΕΙΟ</v>
      </c>
      <c r="I7071">
        <v>71306</v>
      </c>
      <c r="J7071">
        <v>2810238521</v>
      </c>
      <c r="K7071">
        <v>6948462847</v>
      </c>
      <c r="N7071" t="s">
        <v>1525</v>
      </c>
      <c r="O7071" t="s">
        <v>1526</v>
      </c>
      <c r="R7071" t="s">
        <v>57</v>
      </c>
      <c r="S7071">
        <v>5</v>
      </c>
      <c r="T7071">
        <v>794</v>
      </c>
      <c r="U7071" s="1">
        <v>39680</v>
      </c>
      <c r="V7071" t="s">
        <v>80</v>
      </c>
      <c r="W7071" t="s">
        <v>81</v>
      </c>
      <c r="X7071" t="s">
        <v>58</v>
      </c>
      <c r="Y7071">
        <v>25</v>
      </c>
      <c r="Z7071" t="s">
        <v>59</v>
      </c>
      <c r="AA7071" t="s">
        <v>59</v>
      </c>
      <c r="AB7071" t="s">
        <v>59</v>
      </c>
      <c r="AC7071" t="s">
        <v>59</v>
      </c>
      <c r="AD7071" t="s">
        <v>59</v>
      </c>
      <c r="AF7071" s="1">
        <v>39689</v>
      </c>
      <c r="AG7071" t="s">
        <v>8651</v>
      </c>
      <c r="AH7071" t="s">
        <v>8652</v>
      </c>
      <c r="AI7071" t="str">
        <f>"9170487"</f>
        <v>9170487</v>
      </c>
      <c r="AJ7071" t="s">
        <v>10566</v>
      </c>
      <c r="AK7071">
        <v>2810232045</v>
      </c>
      <c r="AL7071" t="s">
        <v>10567</v>
      </c>
      <c r="AM7071" t="s">
        <v>78</v>
      </c>
      <c r="AN7071" t="s">
        <v>78</v>
      </c>
      <c r="AO7071" t="s">
        <v>78</v>
      </c>
      <c r="AP7071" t="s">
        <v>79</v>
      </c>
      <c r="AQ7071">
        <v>1</v>
      </c>
      <c r="AR7071" t="s">
        <v>80</v>
      </c>
      <c r="AS7071" t="s">
        <v>81</v>
      </c>
      <c r="AT7071" t="s">
        <v>58</v>
      </c>
      <c r="AU7071" t="s">
        <v>68</v>
      </c>
      <c r="AV7071" t="s">
        <v>69</v>
      </c>
      <c r="AW7071" s="1">
        <v>30118</v>
      </c>
      <c r="AX7071">
        <v>1</v>
      </c>
    </row>
    <row r="7072" spans="1:50">
      <c r="A7072">
        <v>595892</v>
      </c>
      <c r="B7072" t="str">
        <f>"031359513"</f>
        <v>031359513</v>
      </c>
      <c r="C7072" t="s">
        <v>50</v>
      </c>
      <c r="D7072" t="s">
        <v>11452</v>
      </c>
      <c r="E7072" t="s">
        <v>52</v>
      </c>
      <c r="F7072" t="s">
        <v>99</v>
      </c>
      <c r="G7072" t="s">
        <v>484</v>
      </c>
      <c r="H7072" t="str">
        <f>"ΝΗΡΕΩΣ ΣΠΑΝΑΚΗ ΓΩΝΙΑ ΗΡΑΚΛΕΙΟ"</f>
        <v>ΝΗΡΕΩΣ ΣΠΑΝΑΚΗ ΓΩΝΙΑ ΗΡΑΚΛΕΙΟ</v>
      </c>
      <c r="I7072">
        <v>71307</v>
      </c>
      <c r="J7072">
        <v>2810221771</v>
      </c>
      <c r="K7072">
        <v>6944960701</v>
      </c>
      <c r="N7072" t="s">
        <v>615</v>
      </c>
      <c r="O7072" t="s">
        <v>616</v>
      </c>
      <c r="R7072" t="s">
        <v>57</v>
      </c>
      <c r="S7072">
        <v>8</v>
      </c>
      <c r="T7072">
        <v>218</v>
      </c>
      <c r="U7072" s="1">
        <v>37139</v>
      </c>
      <c r="V7072" t="s">
        <v>80</v>
      </c>
      <c r="W7072" t="s">
        <v>81</v>
      </c>
      <c r="X7072" t="s">
        <v>58</v>
      </c>
      <c r="Y7072">
        <v>22</v>
      </c>
      <c r="Z7072" t="s">
        <v>59</v>
      </c>
      <c r="AA7072" t="s">
        <v>59</v>
      </c>
      <c r="AB7072" t="s">
        <v>59</v>
      </c>
      <c r="AC7072" t="s">
        <v>59</v>
      </c>
      <c r="AD7072" t="s">
        <v>59</v>
      </c>
      <c r="AF7072" s="1">
        <v>37141</v>
      </c>
      <c r="AG7072" t="s">
        <v>8645</v>
      </c>
      <c r="AH7072" t="s">
        <v>8646</v>
      </c>
      <c r="AI7072" t="str">
        <f>"9170514"</f>
        <v>9170514</v>
      </c>
      <c r="AJ7072" t="s">
        <v>8801</v>
      </c>
      <c r="AK7072">
        <v>2810238666</v>
      </c>
      <c r="AL7072" t="s">
        <v>8802</v>
      </c>
      <c r="AM7072" t="s">
        <v>78</v>
      </c>
      <c r="AN7072" t="s">
        <v>78</v>
      </c>
      <c r="AO7072" t="s">
        <v>78</v>
      </c>
      <c r="AP7072" t="s">
        <v>163</v>
      </c>
      <c r="AQ7072">
        <v>1</v>
      </c>
      <c r="AR7072" t="s">
        <v>80</v>
      </c>
      <c r="AS7072" t="s">
        <v>81</v>
      </c>
      <c r="AT7072" t="s">
        <v>58</v>
      </c>
      <c r="AU7072" t="s">
        <v>68</v>
      </c>
      <c r="AV7072" t="s">
        <v>69</v>
      </c>
      <c r="AW7072" s="1">
        <v>22060</v>
      </c>
      <c r="AX7072">
        <v>1</v>
      </c>
    </row>
    <row r="7073" spans="1:50">
      <c r="A7073">
        <v>616560</v>
      </c>
      <c r="B7073" t="str">
        <f>"045606908"</f>
        <v>045606908</v>
      </c>
      <c r="C7073" t="s">
        <v>50</v>
      </c>
      <c r="D7073" t="s">
        <v>3845</v>
      </c>
      <c r="E7073" t="s">
        <v>529</v>
      </c>
      <c r="F7073" t="s">
        <v>106</v>
      </c>
      <c r="G7073" t="s">
        <v>237</v>
      </c>
      <c r="H7073" t="str">
        <f>"ΔΑΛΛΑ  6 "</f>
        <v xml:space="preserve">ΔΑΛΛΑ  6 </v>
      </c>
      <c r="I7073">
        <v>41335</v>
      </c>
      <c r="J7073">
        <v>2411102423</v>
      </c>
      <c r="K7073">
        <v>6932863872</v>
      </c>
      <c r="M7073" t="s">
        <v>11453</v>
      </c>
      <c r="N7073" t="s">
        <v>1525</v>
      </c>
      <c r="O7073" t="s">
        <v>1526</v>
      </c>
      <c r="R7073" t="s">
        <v>57</v>
      </c>
      <c r="S7073">
        <v>5</v>
      </c>
      <c r="T7073">
        <v>660</v>
      </c>
      <c r="U7073" s="1">
        <v>39311</v>
      </c>
      <c r="V7073" t="s">
        <v>80</v>
      </c>
      <c r="W7073" t="s">
        <v>81</v>
      </c>
      <c r="X7073" t="s">
        <v>58</v>
      </c>
      <c r="Y7073">
        <v>25</v>
      </c>
      <c r="Z7073" t="s">
        <v>59</v>
      </c>
      <c r="AA7073" t="s">
        <v>59</v>
      </c>
      <c r="AB7073" t="s">
        <v>59</v>
      </c>
      <c r="AC7073" t="s">
        <v>59</v>
      </c>
      <c r="AD7073" t="s">
        <v>59</v>
      </c>
      <c r="AF7073" s="1">
        <v>39328</v>
      </c>
      <c r="AG7073" t="s">
        <v>8651</v>
      </c>
      <c r="AH7073" t="s">
        <v>8652</v>
      </c>
      <c r="AI7073" t="str">
        <f>"9170389"</f>
        <v>9170389</v>
      </c>
      <c r="AJ7073" t="s">
        <v>9013</v>
      </c>
      <c r="AK7073">
        <v>2891023312</v>
      </c>
      <c r="AL7073" t="s">
        <v>9014</v>
      </c>
      <c r="AM7073" t="s">
        <v>78</v>
      </c>
      <c r="AN7073" t="s">
        <v>276</v>
      </c>
      <c r="AO7073" t="s">
        <v>490</v>
      </c>
      <c r="AP7073" t="s">
        <v>490</v>
      </c>
      <c r="AQ7073">
        <v>12</v>
      </c>
      <c r="AR7073" t="s">
        <v>80</v>
      </c>
      <c r="AS7073" t="s">
        <v>81</v>
      </c>
      <c r="AT7073" t="s">
        <v>58</v>
      </c>
      <c r="AU7073" t="s">
        <v>68</v>
      </c>
      <c r="AV7073" t="s">
        <v>69</v>
      </c>
      <c r="AW7073" s="1">
        <v>25281</v>
      </c>
      <c r="AX7073">
        <v>1</v>
      </c>
    </row>
    <row r="7074" spans="1:50">
      <c r="A7074">
        <v>609073</v>
      </c>
      <c r="B7074" t="str">
        <f>"047275324"</f>
        <v>047275324</v>
      </c>
      <c r="C7074" t="s">
        <v>50</v>
      </c>
      <c r="D7074" t="s">
        <v>3845</v>
      </c>
      <c r="E7074" t="s">
        <v>215</v>
      </c>
      <c r="F7074" t="s">
        <v>99</v>
      </c>
      <c r="G7074" t="s">
        <v>699</v>
      </c>
      <c r="H7074" t="str">
        <f>"ΔΑΦΝΕΣ ΔΑΦΝΕΣ ΗΡΑΚΛΕΙΟΥ"</f>
        <v>ΔΑΦΝΕΣ ΔΑΦΝΕΣ ΗΡΑΚΛΕΙΟΥ</v>
      </c>
      <c r="I7074">
        <v>70001</v>
      </c>
      <c r="J7074">
        <v>2810791325</v>
      </c>
      <c r="K7074">
        <v>6959695190</v>
      </c>
      <c r="N7074" t="s">
        <v>306</v>
      </c>
      <c r="O7074" t="s">
        <v>307</v>
      </c>
      <c r="R7074" t="s">
        <v>57</v>
      </c>
      <c r="S7074">
        <v>8</v>
      </c>
      <c r="T7074">
        <v>218</v>
      </c>
      <c r="U7074" s="1">
        <v>38596</v>
      </c>
      <c r="V7074" t="s">
        <v>80</v>
      </c>
      <c r="W7074" t="s">
        <v>81</v>
      </c>
      <c r="X7074" t="s">
        <v>58</v>
      </c>
      <c r="Y7074">
        <v>22</v>
      </c>
      <c r="Z7074" t="s">
        <v>59</v>
      </c>
      <c r="AA7074" t="s">
        <v>59</v>
      </c>
      <c r="AB7074" t="s">
        <v>59</v>
      </c>
      <c r="AC7074" t="s">
        <v>59</v>
      </c>
      <c r="AD7074" t="s">
        <v>59</v>
      </c>
      <c r="AF7074" s="1">
        <v>38600</v>
      </c>
      <c r="AG7074" t="s">
        <v>8645</v>
      </c>
      <c r="AH7074" t="s">
        <v>8646</v>
      </c>
      <c r="AI7074" t="str">
        <f>"9170532"</f>
        <v>9170532</v>
      </c>
      <c r="AJ7074" t="s">
        <v>8945</v>
      </c>
      <c r="AK7074">
        <v>2810250330</v>
      </c>
      <c r="AL7074" t="s">
        <v>8946</v>
      </c>
      <c r="AM7074" t="s">
        <v>78</v>
      </c>
      <c r="AN7074" t="s">
        <v>78</v>
      </c>
      <c r="AO7074" t="s">
        <v>78</v>
      </c>
      <c r="AP7074" t="s">
        <v>141</v>
      </c>
      <c r="AQ7074">
        <v>1</v>
      </c>
      <c r="AR7074" t="s">
        <v>80</v>
      </c>
      <c r="AS7074" t="s">
        <v>81</v>
      </c>
      <c r="AT7074" t="s">
        <v>58</v>
      </c>
      <c r="AU7074" t="s">
        <v>68</v>
      </c>
      <c r="AV7074" t="s">
        <v>69</v>
      </c>
      <c r="AW7074" s="1">
        <v>24510</v>
      </c>
      <c r="AX7074">
        <v>1</v>
      </c>
    </row>
    <row r="7075" spans="1:50">
      <c r="A7075">
        <v>608377</v>
      </c>
      <c r="B7075" t="str">
        <f>"125556810"</f>
        <v>125556810</v>
      </c>
      <c r="C7075" t="s">
        <v>50</v>
      </c>
      <c r="D7075" t="s">
        <v>11454</v>
      </c>
      <c r="E7075" t="s">
        <v>1752</v>
      </c>
      <c r="F7075" t="s">
        <v>5974</v>
      </c>
      <c r="G7075" t="s">
        <v>801</v>
      </c>
      <c r="H7075" t="str">
        <f>"ΚΩΝ/ΝΟΥ ΚΥΠΡΑΙΟΥ 11 Ν.ΑΛΙΚΑΡΝΑΣΣΟΣ"</f>
        <v>ΚΩΝ/ΝΟΥ ΚΥΠΡΑΙΟΥ 11 Ν.ΑΛΙΚΑΡΝΑΣΣΟΣ</v>
      </c>
      <c r="I7075">
        <v>71601</v>
      </c>
      <c r="J7075">
        <v>2810243764</v>
      </c>
      <c r="K7075">
        <v>6947824180</v>
      </c>
      <c r="N7075" t="s">
        <v>1525</v>
      </c>
      <c r="O7075" t="s">
        <v>1526</v>
      </c>
      <c r="R7075" t="s">
        <v>57</v>
      </c>
      <c r="S7075">
        <v>8</v>
      </c>
      <c r="T7075">
        <v>217</v>
      </c>
      <c r="U7075" s="1">
        <v>38596</v>
      </c>
      <c r="V7075" t="s">
        <v>80</v>
      </c>
      <c r="W7075" t="s">
        <v>81</v>
      </c>
      <c r="X7075" t="s">
        <v>58</v>
      </c>
      <c r="Y7075">
        <v>25</v>
      </c>
      <c r="Z7075" t="s">
        <v>59</v>
      </c>
      <c r="AA7075" t="s">
        <v>59</v>
      </c>
      <c r="AB7075" t="s">
        <v>59</v>
      </c>
      <c r="AC7075" t="s">
        <v>59</v>
      </c>
      <c r="AD7075" t="s">
        <v>59</v>
      </c>
      <c r="AF7075" s="1">
        <v>38600</v>
      </c>
      <c r="AG7075" t="s">
        <v>8651</v>
      </c>
      <c r="AH7075" t="s">
        <v>8652</v>
      </c>
      <c r="AI7075" t="str">
        <f>"9170596"</f>
        <v>9170596</v>
      </c>
      <c r="AJ7075" t="s">
        <v>10422</v>
      </c>
      <c r="AK7075">
        <v>2810341285</v>
      </c>
      <c r="AL7075" t="s">
        <v>10423</v>
      </c>
      <c r="AM7075" t="s">
        <v>78</v>
      </c>
      <c r="AN7075" t="s">
        <v>78</v>
      </c>
      <c r="AO7075" t="s">
        <v>286</v>
      </c>
      <c r="AP7075" t="s">
        <v>286</v>
      </c>
      <c r="AQ7075">
        <v>1</v>
      </c>
      <c r="AR7075" t="s">
        <v>80</v>
      </c>
      <c r="AS7075" t="s">
        <v>81</v>
      </c>
      <c r="AT7075" t="s">
        <v>58</v>
      </c>
      <c r="AU7075" t="s">
        <v>68</v>
      </c>
      <c r="AV7075" t="s">
        <v>69</v>
      </c>
      <c r="AW7075" s="1">
        <v>21807</v>
      </c>
      <c r="AX7075">
        <v>1</v>
      </c>
    </row>
    <row r="7076" spans="1:50">
      <c r="A7076">
        <v>555172</v>
      </c>
      <c r="B7076" t="str">
        <f>"023513674"</f>
        <v>023513674</v>
      </c>
      <c r="C7076" t="s">
        <v>50</v>
      </c>
      <c r="D7076" t="s">
        <v>11455</v>
      </c>
      <c r="E7076" t="s">
        <v>83</v>
      </c>
      <c r="F7076" t="s">
        <v>95</v>
      </c>
      <c r="G7076" t="s">
        <v>2235</v>
      </c>
      <c r="H7076" t="str">
        <f>"ΜΑΧΗΣ ΚΡΗΤΗΣ 10 ΗΡΑΚΛΕΙΟ"</f>
        <v>ΜΑΧΗΣ ΚΡΗΤΗΣ 10 ΗΡΑΚΛΕΙΟ</v>
      </c>
      <c r="I7076">
        <v>71303</v>
      </c>
      <c r="J7076">
        <v>2810312361</v>
      </c>
      <c r="K7076">
        <v>6937457599</v>
      </c>
      <c r="N7076" t="s">
        <v>615</v>
      </c>
      <c r="O7076" t="s">
        <v>616</v>
      </c>
      <c r="R7076" t="s">
        <v>57</v>
      </c>
      <c r="S7076">
        <v>16</v>
      </c>
      <c r="T7076">
        <v>200</v>
      </c>
      <c r="U7076" s="1">
        <v>31657</v>
      </c>
      <c r="V7076" t="s">
        <v>80</v>
      </c>
      <c r="W7076" t="s">
        <v>81</v>
      </c>
      <c r="X7076" t="s">
        <v>58</v>
      </c>
      <c r="Y7076">
        <v>21</v>
      </c>
      <c r="Z7076" t="s">
        <v>59</v>
      </c>
      <c r="AA7076" t="s">
        <v>59</v>
      </c>
      <c r="AB7076" t="s">
        <v>59</v>
      </c>
      <c r="AC7076" t="s">
        <v>59</v>
      </c>
      <c r="AD7076" t="s">
        <v>59</v>
      </c>
      <c r="AF7076" s="1">
        <v>31666</v>
      </c>
      <c r="AG7076" t="s">
        <v>8645</v>
      </c>
      <c r="AH7076" t="s">
        <v>8646</v>
      </c>
      <c r="AI7076" t="str">
        <f>"9170113"</f>
        <v>9170113</v>
      </c>
      <c r="AJ7076" t="s">
        <v>8846</v>
      </c>
      <c r="AK7076">
        <v>2810226174</v>
      </c>
      <c r="AL7076" t="s">
        <v>8847</v>
      </c>
      <c r="AM7076" t="s">
        <v>78</v>
      </c>
      <c r="AN7076" t="s">
        <v>78</v>
      </c>
      <c r="AO7076" t="s">
        <v>78</v>
      </c>
      <c r="AP7076" t="s">
        <v>79</v>
      </c>
      <c r="AQ7076">
        <v>1</v>
      </c>
      <c r="AR7076" t="s">
        <v>80</v>
      </c>
      <c r="AS7076" t="s">
        <v>81</v>
      </c>
      <c r="AT7076" t="s">
        <v>58</v>
      </c>
      <c r="AU7076" t="s">
        <v>68</v>
      </c>
      <c r="AV7076" t="s">
        <v>69</v>
      </c>
      <c r="AW7076" s="1">
        <v>21108</v>
      </c>
      <c r="AX7076">
        <v>1</v>
      </c>
    </row>
    <row r="7077" spans="1:50">
      <c r="A7077">
        <v>584274</v>
      </c>
      <c r="B7077" t="str">
        <f>"063844691"</f>
        <v>063844691</v>
      </c>
      <c r="C7077" t="s">
        <v>50</v>
      </c>
      <c r="D7077" t="s">
        <v>11456</v>
      </c>
      <c r="E7077" t="s">
        <v>1418</v>
      </c>
      <c r="F7077" t="s">
        <v>154</v>
      </c>
      <c r="G7077" t="s">
        <v>250</v>
      </c>
      <c r="H7077" t="str">
        <f>"Μ. ΚΡΗΤΗΣ 101 ΗΡΑΚΛΕΙΟ"</f>
        <v>Μ. ΚΡΗΤΗΣ 101 ΗΡΑΚΛΕΙΟ</v>
      </c>
      <c r="I7077">
        <v>71303</v>
      </c>
      <c r="J7077">
        <v>2810317191</v>
      </c>
      <c r="K7077">
        <v>6998461431</v>
      </c>
      <c r="N7077" t="s">
        <v>615</v>
      </c>
      <c r="O7077" t="s">
        <v>616</v>
      </c>
      <c r="R7077" t="s">
        <v>57</v>
      </c>
      <c r="S7077">
        <v>11</v>
      </c>
      <c r="T7077">
        <v>165</v>
      </c>
      <c r="U7077" s="1">
        <v>36040</v>
      </c>
      <c r="V7077" t="s">
        <v>80</v>
      </c>
      <c r="W7077" t="s">
        <v>81</v>
      </c>
      <c r="X7077" t="s">
        <v>58</v>
      </c>
      <c r="Y7077">
        <v>21</v>
      </c>
      <c r="Z7077" t="s">
        <v>59</v>
      </c>
      <c r="AA7077" t="s">
        <v>59</v>
      </c>
      <c r="AB7077" t="s">
        <v>59</v>
      </c>
      <c r="AC7077" t="s">
        <v>59</v>
      </c>
      <c r="AD7077" t="s">
        <v>59</v>
      </c>
      <c r="AF7077" s="1">
        <v>36045</v>
      </c>
      <c r="AG7077" t="s">
        <v>8645</v>
      </c>
      <c r="AH7077" t="s">
        <v>8646</v>
      </c>
      <c r="AI7077" t="str">
        <f>"9170362"</f>
        <v>9170362</v>
      </c>
      <c r="AJ7077" t="s">
        <v>8681</v>
      </c>
      <c r="AK7077">
        <v>2810255261</v>
      </c>
      <c r="AL7077" t="s">
        <v>8682</v>
      </c>
      <c r="AM7077" t="s">
        <v>78</v>
      </c>
      <c r="AN7077" t="s">
        <v>78</v>
      </c>
      <c r="AO7077" t="s">
        <v>78</v>
      </c>
      <c r="AP7077" t="s">
        <v>141</v>
      </c>
      <c r="AQ7077">
        <v>1</v>
      </c>
      <c r="AR7077" t="s">
        <v>80</v>
      </c>
      <c r="AS7077" t="s">
        <v>81</v>
      </c>
      <c r="AT7077" t="s">
        <v>58</v>
      </c>
      <c r="AU7077" t="s">
        <v>68</v>
      </c>
      <c r="AV7077" t="s">
        <v>69</v>
      </c>
      <c r="AW7077" s="1">
        <v>24209</v>
      </c>
      <c r="AX7077">
        <v>1</v>
      </c>
    </row>
    <row r="7078" spans="1:50">
      <c r="A7078">
        <v>595894</v>
      </c>
      <c r="B7078" t="str">
        <f>"042713757"</f>
        <v>042713757</v>
      </c>
      <c r="C7078" t="s">
        <v>50</v>
      </c>
      <c r="D7078" t="s">
        <v>11456</v>
      </c>
      <c r="E7078" t="s">
        <v>181</v>
      </c>
      <c r="F7078" t="s">
        <v>53</v>
      </c>
      <c r="G7078" t="s">
        <v>112</v>
      </c>
      <c r="H7078" t="str">
        <f>"ΦΙΛΙΠΠΑ ΓΙΩΤΗ 5Γ3 ΙΩΑΝΝΙΝΑ"</f>
        <v>ΦΙΛΙΠΠΑ ΓΙΩΤΗ 5Γ3 ΙΩΑΝΝΙΝΑ</v>
      </c>
      <c r="I7078">
        <v>45500</v>
      </c>
      <c r="J7078">
        <v>2651026924</v>
      </c>
      <c r="K7078">
        <v>6973839696</v>
      </c>
      <c r="M7078" t="s">
        <v>11457</v>
      </c>
      <c r="N7078" t="s">
        <v>615</v>
      </c>
      <c r="O7078" t="s">
        <v>616</v>
      </c>
      <c r="R7078" t="s">
        <v>57</v>
      </c>
      <c r="S7078">
        <v>2</v>
      </c>
      <c r="T7078">
        <v>218</v>
      </c>
      <c r="U7078" s="1">
        <v>37134</v>
      </c>
      <c r="V7078" t="s">
        <v>80</v>
      </c>
      <c r="W7078" t="s">
        <v>81</v>
      </c>
      <c r="X7078" t="s">
        <v>58</v>
      </c>
      <c r="Y7078">
        <v>22</v>
      </c>
      <c r="Z7078" t="s">
        <v>59</v>
      </c>
      <c r="AA7078" t="s">
        <v>59</v>
      </c>
      <c r="AB7078" t="s">
        <v>59</v>
      </c>
      <c r="AC7078" t="s">
        <v>59</v>
      </c>
      <c r="AD7078" t="s">
        <v>452</v>
      </c>
      <c r="AE7078" s="1">
        <v>43708</v>
      </c>
      <c r="AF7078" s="1">
        <v>37137</v>
      </c>
      <c r="AG7078" t="s">
        <v>8645</v>
      </c>
      <c r="AH7078" t="s">
        <v>8646</v>
      </c>
      <c r="AI7078" t="str">
        <f>"9170431"</f>
        <v>9170431</v>
      </c>
      <c r="AJ7078" t="s">
        <v>8658</v>
      </c>
      <c r="AK7078">
        <v>2810250952</v>
      </c>
      <c r="AL7078" t="s">
        <v>8659</v>
      </c>
      <c r="AM7078" t="s">
        <v>78</v>
      </c>
      <c r="AN7078" t="s">
        <v>78</v>
      </c>
      <c r="AO7078" t="s">
        <v>78</v>
      </c>
      <c r="AP7078" t="s">
        <v>141</v>
      </c>
      <c r="AQ7078">
        <v>1</v>
      </c>
      <c r="AR7078" t="s">
        <v>80</v>
      </c>
      <c r="AS7078" t="s">
        <v>81</v>
      </c>
      <c r="AT7078" t="s">
        <v>58</v>
      </c>
      <c r="AU7078" t="s">
        <v>68</v>
      </c>
      <c r="AV7078" t="s">
        <v>69</v>
      </c>
      <c r="AW7078" s="1">
        <v>23397</v>
      </c>
      <c r="AX7078">
        <v>1</v>
      </c>
    </row>
    <row r="7079" spans="1:50">
      <c r="A7079">
        <v>618324</v>
      </c>
      <c r="B7079" t="str">
        <f>"143667516"</f>
        <v>143667516</v>
      </c>
      <c r="C7079" t="s">
        <v>50</v>
      </c>
      <c r="D7079" t="s">
        <v>11458</v>
      </c>
      <c r="E7079" t="s">
        <v>255</v>
      </c>
      <c r="F7079" t="s">
        <v>84</v>
      </c>
      <c r="G7079" t="s">
        <v>1588</v>
      </c>
      <c r="H7079" t="str">
        <f>"ΜΥΚΗΝΩΝ  8 ΗΡΑΚΛΕΙΟ"</f>
        <v>ΜΥΚΗΝΩΝ  8 ΗΡΑΚΛΕΙΟ</v>
      </c>
      <c r="I7079">
        <v>71409</v>
      </c>
      <c r="J7079">
        <v>2810325819</v>
      </c>
      <c r="K7079">
        <v>6972979132</v>
      </c>
      <c r="M7079" t="s">
        <v>11459</v>
      </c>
      <c r="N7079" t="s">
        <v>615</v>
      </c>
      <c r="O7079" t="s">
        <v>616</v>
      </c>
      <c r="R7079" t="s">
        <v>57</v>
      </c>
      <c r="S7079">
        <v>5</v>
      </c>
      <c r="T7079">
        <v>774</v>
      </c>
      <c r="U7079" s="1">
        <v>39680</v>
      </c>
      <c r="V7079" t="s">
        <v>80</v>
      </c>
      <c r="W7079" t="s">
        <v>81</v>
      </c>
      <c r="X7079" t="s">
        <v>58</v>
      </c>
      <c r="Y7079">
        <v>23</v>
      </c>
      <c r="Z7079" t="s">
        <v>59</v>
      </c>
      <c r="AA7079" t="s">
        <v>59</v>
      </c>
      <c r="AB7079" t="s">
        <v>59</v>
      </c>
      <c r="AC7079" t="s">
        <v>59</v>
      </c>
      <c r="AD7079" t="s">
        <v>59</v>
      </c>
      <c r="AF7079" s="1">
        <v>39681</v>
      </c>
      <c r="AG7079" t="s">
        <v>8645</v>
      </c>
      <c r="AH7079" t="s">
        <v>8646</v>
      </c>
      <c r="AI7079" t="str">
        <f>"9170547"</f>
        <v>9170547</v>
      </c>
      <c r="AJ7079" t="s">
        <v>9175</v>
      </c>
      <c r="AK7079">
        <v>2810250886</v>
      </c>
      <c r="AL7079" t="s">
        <v>9176</v>
      </c>
      <c r="AM7079" t="s">
        <v>78</v>
      </c>
      <c r="AN7079" t="s">
        <v>78</v>
      </c>
      <c r="AO7079" t="s">
        <v>78</v>
      </c>
      <c r="AP7079" t="s">
        <v>141</v>
      </c>
      <c r="AQ7079">
        <v>1</v>
      </c>
      <c r="AR7079" t="s">
        <v>80</v>
      </c>
      <c r="AS7079" t="s">
        <v>81</v>
      </c>
      <c r="AT7079" t="s">
        <v>58</v>
      </c>
      <c r="AU7079" t="s">
        <v>68</v>
      </c>
      <c r="AV7079" t="s">
        <v>69</v>
      </c>
      <c r="AW7079" s="1">
        <v>31122</v>
      </c>
      <c r="AX7079">
        <v>1</v>
      </c>
    </row>
    <row r="7080" spans="1:50">
      <c r="A7080">
        <v>593214</v>
      </c>
      <c r="B7080" t="str">
        <f>"073220820"</f>
        <v>073220820</v>
      </c>
      <c r="C7080" t="s">
        <v>50</v>
      </c>
      <c r="D7080" t="s">
        <v>11460</v>
      </c>
      <c r="E7080" t="s">
        <v>250</v>
      </c>
      <c r="F7080" t="s">
        <v>111</v>
      </c>
      <c r="G7080" t="s">
        <v>52</v>
      </c>
      <c r="H7080" t="str">
        <f>"ΒΑΡΝΗΣ 12 ΗΡΑΚΛΕΙΟ"</f>
        <v>ΒΑΡΝΗΣ 12 ΗΡΑΚΛΕΙΟ</v>
      </c>
      <c r="J7080">
        <v>2810312682</v>
      </c>
      <c r="K7080">
        <v>6979634459</v>
      </c>
      <c r="M7080" t="s">
        <v>11461</v>
      </c>
      <c r="N7080" t="s">
        <v>615</v>
      </c>
      <c r="O7080" t="s">
        <v>616</v>
      </c>
      <c r="R7080" t="s">
        <v>57</v>
      </c>
      <c r="S7080">
        <v>8</v>
      </c>
      <c r="T7080">
        <v>218</v>
      </c>
      <c r="U7080" s="1">
        <v>37134</v>
      </c>
      <c r="V7080" t="s">
        <v>80</v>
      </c>
      <c r="W7080" t="s">
        <v>81</v>
      </c>
      <c r="X7080" t="s">
        <v>58</v>
      </c>
      <c r="Y7080">
        <v>22</v>
      </c>
      <c r="Z7080" t="s">
        <v>59</v>
      </c>
      <c r="AA7080" t="s">
        <v>59</v>
      </c>
      <c r="AB7080" t="s">
        <v>59</v>
      </c>
      <c r="AC7080" t="s">
        <v>59</v>
      </c>
      <c r="AD7080" t="s">
        <v>59</v>
      </c>
      <c r="AF7080" s="1">
        <v>37138</v>
      </c>
      <c r="AG7080" t="s">
        <v>8645</v>
      </c>
      <c r="AH7080" t="s">
        <v>8646</v>
      </c>
      <c r="AI7080" t="str">
        <f>"9170192"</f>
        <v>9170192</v>
      </c>
      <c r="AJ7080" t="s">
        <v>8661</v>
      </c>
      <c r="AK7080">
        <v>2810231985</v>
      </c>
      <c r="AL7080" t="s">
        <v>8662</v>
      </c>
      <c r="AM7080" t="s">
        <v>78</v>
      </c>
      <c r="AN7080" t="s">
        <v>78</v>
      </c>
      <c r="AO7080" t="s">
        <v>78</v>
      </c>
      <c r="AP7080" t="s">
        <v>163</v>
      </c>
      <c r="AQ7080">
        <v>1</v>
      </c>
      <c r="AR7080" t="s">
        <v>80</v>
      </c>
      <c r="AS7080" t="s">
        <v>81</v>
      </c>
      <c r="AT7080" t="s">
        <v>58</v>
      </c>
      <c r="AU7080" t="s">
        <v>68</v>
      </c>
      <c r="AV7080" t="s">
        <v>69</v>
      </c>
      <c r="AW7080" s="1">
        <v>27364</v>
      </c>
      <c r="AX7080">
        <v>1</v>
      </c>
    </row>
    <row r="7081" spans="1:50">
      <c r="B7081" t="str">
        <f>"147171655"</f>
        <v>147171655</v>
      </c>
      <c r="C7081" t="s">
        <v>50</v>
      </c>
      <c r="D7081" t="s">
        <v>11462</v>
      </c>
      <c r="E7081" t="s">
        <v>1744</v>
      </c>
      <c r="F7081" t="s">
        <v>760</v>
      </c>
      <c r="G7081" t="s">
        <v>6093</v>
      </c>
      <c r="H7081" t="str">
        <f>"ΟΛΥΜΠΟΥ 33 "</f>
        <v xml:space="preserve">ΟΛΥΜΠΟΥ 33 </v>
      </c>
      <c r="I7081">
        <v>15234</v>
      </c>
      <c r="J7081">
        <v>2106853904</v>
      </c>
      <c r="K7081">
        <v>6945859301</v>
      </c>
      <c r="N7081" t="s">
        <v>615</v>
      </c>
      <c r="O7081" t="s">
        <v>616</v>
      </c>
      <c r="R7081" t="s">
        <v>159</v>
      </c>
      <c r="S7081">
        <v>3</v>
      </c>
      <c r="T7081" t="s">
        <v>8675</v>
      </c>
      <c r="U7081" s="1">
        <v>43348</v>
      </c>
      <c r="V7081" t="s">
        <v>80</v>
      </c>
      <c r="W7081" t="s">
        <v>81</v>
      </c>
      <c r="X7081" t="s">
        <v>58</v>
      </c>
      <c r="Y7081">
        <v>24</v>
      </c>
      <c r="Z7081" t="s">
        <v>59</v>
      </c>
      <c r="AA7081" t="s">
        <v>59</v>
      </c>
      <c r="AB7081" t="s">
        <v>59</v>
      </c>
      <c r="AC7081" t="s">
        <v>59</v>
      </c>
      <c r="AD7081" t="s">
        <v>59</v>
      </c>
      <c r="AF7081" s="1">
        <v>43348</v>
      </c>
      <c r="AG7081" t="s">
        <v>8645</v>
      </c>
      <c r="AH7081" t="s">
        <v>8646</v>
      </c>
      <c r="AI7081" t="str">
        <f>"9170097"</f>
        <v>9170097</v>
      </c>
      <c r="AJ7081" t="s">
        <v>8826</v>
      </c>
      <c r="AK7081">
        <v>2810751807</v>
      </c>
      <c r="AL7081" t="s">
        <v>8827</v>
      </c>
      <c r="AM7081" t="s">
        <v>78</v>
      </c>
      <c r="AN7081" t="s">
        <v>424</v>
      </c>
      <c r="AO7081" t="s">
        <v>425</v>
      </c>
      <c r="AP7081" t="s">
        <v>425</v>
      </c>
      <c r="AQ7081">
        <v>11</v>
      </c>
      <c r="AR7081" t="s">
        <v>80</v>
      </c>
      <c r="AS7081" t="s">
        <v>81</v>
      </c>
      <c r="AT7081" t="s">
        <v>58</v>
      </c>
      <c r="AU7081" t="s">
        <v>8673</v>
      </c>
      <c r="AV7081" t="s">
        <v>132</v>
      </c>
      <c r="AW7081" s="1">
        <v>32470</v>
      </c>
      <c r="AX7081">
        <v>1</v>
      </c>
    </row>
    <row r="7082" spans="1:50">
      <c r="A7082">
        <v>618331</v>
      </c>
      <c r="B7082" t="str">
        <f>"137229813"</f>
        <v>137229813</v>
      </c>
      <c r="C7082" t="s">
        <v>50</v>
      </c>
      <c r="D7082" t="s">
        <v>11463</v>
      </c>
      <c r="E7082" t="s">
        <v>553</v>
      </c>
      <c r="F7082" t="s">
        <v>95</v>
      </c>
      <c r="G7082" t="s">
        <v>237</v>
      </c>
      <c r="H7082" t="str">
        <f>"ΠΑΠΑΠΕΤΡΟΥ ΓΑΒΑΛΑ 54 ΗΡΑΚΛΕΙΟ ΗΡΑΚΛΕΙΟ"</f>
        <v>ΠΑΠΑΠΕΤΡΟΥ ΓΑΒΑΛΑ 54 ΗΡΑΚΛΕΙΟ ΗΡΑΚΛΕΙΟ</v>
      </c>
      <c r="I7082">
        <v>71409</v>
      </c>
      <c r="J7082">
        <v>2811101971</v>
      </c>
      <c r="K7082">
        <v>6948686315</v>
      </c>
      <c r="N7082" t="s">
        <v>615</v>
      </c>
      <c r="O7082" t="s">
        <v>616</v>
      </c>
      <c r="R7082" t="s">
        <v>57</v>
      </c>
      <c r="S7082">
        <v>5</v>
      </c>
      <c r="T7082">
        <v>774</v>
      </c>
      <c r="U7082" s="1">
        <v>39680</v>
      </c>
      <c r="V7082" t="s">
        <v>80</v>
      </c>
      <c r="W7082" t="s">
        <v>81</v>
      </c>
      <c r="X7082" t="s">
        <v>58</v>
      </c>
      <c r="Y7082">
        <v>23</v>
      </c>
      <c r="Z7082" t="s">
        <v>59</v>
      </c>
      <c r="AA7082" t="s">
        <v>59</v>
      </c>
      <c r="AB7082" t="s">
        <v>59</v>
      </c>
      <c r="AC7082" t="s">
        <v>59</v>
      </c>
      <c r="AD7082" t="s">
        <v>59</v>
      </c>
      <c r="AF7082" s="1">
        <v>39681</v>
      </c>
      <c r="AG7082" t="s">
        <v>8645</v>
      </c>
      <c r="AH7082" t="s">
        <v>8646</v>
      </c>
      <c r="AI7082" t="str">
        <f>"9170264"</f>
        <v>9170264</v>
      </c>
      <c r="AJ7082" t="s">
        <v>8718</v>
      </c>
      <c r="AK7082">
        <v>2810332030</v>
      </c>
      <c r="AL7082" t="s">
        <v>8719</v>
      </c>
      <c r="AM7082" t="s">
        <v>78</v>
      </c>
      <c r="AN7082" t="s">
        <v>78</v>
      </c>
      <c r="AO7082" t="s">
        <v>286</v>
      </c>
      <c r="AP7082" t="s">
        <v>286</v>
      </c>
      <c r="AQ7082">
        <v>1</v>
      </c>
      <c r="AR7082" t="s">
        <v>80</v>
      </c>
      <c r="AS7082" t="s">
        <v>81</v>
      </c>
      <c r="AT7082" t="s">
        <v>58</v>
      </c>
      <c r="AU7082" t="s">
        <v>68</v>
      </c>
      <c r="AV7082" t="s">
        <v>69</v>
      </c>
      <c r="AW7082" s="1">
        <v>30966</v>
      </c>
      <c r="AX7082">
        <v>1</v>
      </c>
    </row>
    <row r="7083" spans="1:50">
      <c r="A7083">
        <v>591151</v>
      </c>
      <c r="B7083" t="str">
        <f>"057790249"</f>
        <v>057790249</v>
      </c>
      <c r="C7083" t="s">
        <v>105</v>
      </c>
      <c r="D7083" t="s">
        <v>3856</v>
      </c>
      <c r="E7083" t="s">
        <v>95</v>
      </c>
      <c r="F7083" t="s">
        <v>53</v>
      </c>
      <c r="G7083" t="s">
        <v>112</v>
      </c>
      <c r="H7083" t="str">
        <f>"ΣΟΡΒΟΛΟΥ 27 ΗΡΑΚΛΕΙΟ  ΗΡΑΚΛΕΙΟ"</f>
        <v>ΣΟΡΒΟΛΟΥ 27 ΗΡΑΚΛΕΙΟ  ΗΡΑΚΛΕΙΟ</v>
      </c>
      <c r="I7083">
        <v>73305</v>
      </c>
      <c r="J7083">
        <v>2810233891</v>
      </c>
      <c r="K7083">
        <v>6944692363</v>
      </c>
      <c r="N7083" t="s">
        <v>615</v>
      </c>
      <c r="O7083" t="s">
        <v>616</v>
      </c>
      <c r="R7083" t="s">
        <v>57</v>
      </c>
      <c r="S7083">
        <v>10</v>
      </c>
      <c r="T7083">
        <v>249</v>
      </c>
      <c r="U7083" s="1">
        <v>36769</v>
      </c>
      <c r="V7083" t="s">
        <v>80</v>
      </c>
      <c r="W7083" t="s">
        <v>81</v>
      </c>
      <c r="X7083" t="s">
        <v>58</v>
      </c>
      <c r="Y7083">
        <v>21</v>
      </c>
      <c r="Z7083" t="s">
        <v>59</v>
      </c>
      <c r="AA7083" t="s">
        <v>59</v>
      </c>
      <c r="AB7083" t="s">
        <v>59</v>
      </c>
      <c r="AC7083" t="s">
        <v>59</v>
      </c>
      <c r="AD7083" t="s">
        <v>59</v>
      </c>
      <c r="AF7083" s="1">
        <v>36770</v>
      </c>
      <c r="AG7083" t="s">
        <v>8645</v>
      </c>
      <c r="AH7083" t="s">
        <v>8646</v>
      </c>
      <c r="AI7083" t="str">
        <f>"9170514"</f>
        <v>9170514</v>
      </c>
      <c r="AJ7083" t="s">
        <v>8801</v>
      </c>
      <c r="AK7083">
        <v>2810238666</v>
      </c>
      <c r="AL7083" t="s">
        <v>8802</v>
      </c>
      <c r="AM7083" t="s">
        <v>78</v>
      </c>
      <c r="AN7083" t="s">
        <v>78</v>
      </c>
      <c r="AO7083" t="s">
        <v>78</v>
      </c>
      <c r="AP7083" t="s">
        <v>163</v>
      </c>
      <c r="AQ7083">
        <v>1</v>
      </c>
      <c r="AR7083" t="s">
        <v>80</v>
      </c>
      <c r="AS7083" t="s">
        <v>81</v>
      </c>
      <c r="AT7083" t="s">
        <v>58</v>
      </c>
      <c r="AU7083" t="s">
        <v>68</v>
      </c>
      <c r="AV7083" t="s">
        <v>69</v>
      </c>
      <c r="AW7083" s="1">
        <v>22575</v>
      </c>
      <c r="AX7083">
        <v>1</v>
      </c>
    </row>
    <row r="7084" spans="1:50">
      <c r="B7084" t="str">
        <f>"049713674"</f>
        <v>049713674</v>
      </c>
      <c r="C7084" t="s">
        <v>50</v>
      </c>
      <c r="D7084" t="s">
        <v>11464</v>
      </c>
      <c r="E7084" t="s">
        <v>620</v>
      </c>
      <c r="F7084" t="s">
        <v>53</v>
      </c>
      <c r="H7084" t="str">
        <f>" "</f>
        <v xml:space="preserve"> </v>
      </c>
      <c r="N7084" t="s">
        <v>1525</v>
      </c>
      <c r="O7084" t="s">
        <v>1526</v>
      </c>
      <c r="R7084" t="s">
        <v>121</v>
      </c>
      <c r="S7084">
        <v>1</v>
      </c>
      <c r="T7084" t="s">
        <v>8670</v>
      </c>
      <c r="U7084" s="1">
        <v>43348</v>
      </c>
      <c r="V7084" t="s">
        <v>80</v>
      </c>
      <c r="W7084" t="s">
        <v>81</v>
      </c>
      <c r="X7084" t="s">
        <v>58</v>
      </c>
      <c r="Y7084">
        <v>25</v>
      </c>
      <c r="Z7084" t="s">
        <v>59</v>
      </c>
      <c r="AA7084" t="s">
        <v>59</v>
      </c>
      <c r="AB7084" t="s">
        <v>59</v>
      </c>
      <c r="AC7084" t="s">
        <v>59</v>
      </c>
      <c r="AD7084" t="s">
        <v>59</v>
      </c>
      <c r="AF7084" s="1">
        <v>43348</v>
      </c>
      <c r="AG7084" t="s">
        <v>8651</v>
      </c>
      <c r="AH7084" t="s">
        <v>8652</v>
      </c>
      <c r="AI7084" t="str">
        <f>"9170352"</f>
        <v>9170352</v>
      </c>
      <c r="AJ7084" t="s">
        <v>10442</v>
      </c>
      <c r="AK7084">
        <v>2810831204</v>
      </c>
      <c r="AL7084" t="s">
        <v>10443</v>
      </c>
      <c r="AM7084" t="s">
        <v>78</v>
      </c>
      <c r="AN7084" t="s">
        <v>129</v>
      </c>
      <c r="AO7084" t="s">
        <v>267</v>
      </c>
      <c r="AP7084" t="s">
        <v>267</v>
      </c>
      <c r="AQ7084">
        <v>2</v>
      </c>
      <c r="AR7084" t="s">
        <v>80</v>
      </c>
      <c r="AS7084" t="s">
        <v>81</v>
      </c>
      <c r="AT7084" t="s">
        <v>58</v>
      </c>
      <c r="AU7084" t="s">
        <v>8673</v>
      </c>
      <c r="AV7084" t="s">
        <v>132</v>
      </c>
      <c r="AW7084" s="1">
        <v>29848</v>
      </c>
      <c r="AX7084">
        <v>1</v>
      </c>
    </row>
    <row r="7085" spans="1:50">
      <c r="A7085">
        <v>605776</v>
      </c>
      <c r="B7085" t="str">
        <f>"103521188"</f>
        <v>103521188</v>
      </c>
      <c r="C7085" t="s">
        <v>50</v>
      </c>
      <c r="D7085" t="s">
        <v>11465</v>
      </c>
      <c r="E7085" t="s">
        <v>10858</v>
      </c>
      <c r="F7085" t="s">
        <v>95</v>
      </c>
      <c r="G7085" t="s">
        <v>83</v>
      </c>
      <c r="H7085" t="str">
        <f>"ΣΚΛΑΒΟΚΑΜΠΟΥ 53 ΗΡΑΚΛΕΙΟ"</f>
        <v>ΣΚΛΑΒΟΚΑΜΠΟΥ 53 ΗΡΑΚΛΕΙΟ</v>
      </c>
      <c r="I7085">
        <v>71307</v>
      </c>
      <c r="J7085">
        <v>2810323749</v>
      </c>
      <c r="K7085">
        <v>6940988977</v>
      </c>
      <c r="N7085" t="s">
        <v>615</v>
      </c>
      <c r="O7085" t="s">
        <v>616</v>
      </c>
      <c r="R7085" t="s">
        <v>57</v>
      </c>
      <c r="S7085">
        <v>7</v>
      </c>
      <c r="T7085">
        <v>231</v>
      </c>
      <c r="U7085" s="1">
        <v>38230</v>
      </c>
      <c r="V7085" t="s">
        <v>80</v>
      </c>
      <c r="W7085" t="s">
        <v>81</v>
      </c>
      <c r="X7085" t="s">
        <v>58</v>
      </c>
      <c r="Y7085">
        <v>22</v>
      </c>
      <c r="Z7085" t="s">
        <v>59</v>
      </c>
      <c r="AA7085" t="s">
        <v>59</v>
      </c>
      <c r="AB7085" t="s">
        <v>59</v>
      </c>
      <c r="AC7085" t="s">
        <v>59</v>
      </c>
      <c r="AD7085" t="s">
        <v>59</v>
      </c>
      <c r="AF7085" s="1">
        <v>38231</v>
      </c>
      <c r="AG7085" t="s">
        <v>8645</v>
      </c>
      <c r="AH7085" t="s">
        <v>8646</v>
      </c>
      <c r="AI7085" t="str">
        <f>"9170108"</f>
        <v>9170108</v>
      </c>
      <c r="AJ7085" t="s">
        <v>8863</v>
      </c>
      <c r="AK7085">
        <v>2810232111</v>
      </c>
      <c r="AL7085" t="s">
        <v>8864</v>
      </c>
      <c r="AM7085" t="s">
        <v>78</v>
      </c>
      <c r="AN7085" t="s">
        <v>78</v>
      </c>
      <c r="AO7085" t="s">
        <v>78</v>
      </c>
      <c r="AP7085" t="s">
        <v>163</v>
      </c>
      <c r="AQ7085">
        <v>1</v>
      </c>
      <c r="AR7085" t="s">
        <v>80</v>
      </c>
      <c r="AS7085" t="s">
        <v>81</v>
      </c>
      <c r="AT7085" t="s">
        <v>58</v>
      </c>
      <c r="AU7085" t="s">
        <v>68</v>
      </c>
      <c r="AV7085" t="s">
        <v>69</v>
      </c>
      <c r="AW7085" s="1">
        <v>26943</v>
      </c>
      <c r="AX7085">
        <v>1</v>
      </c>
    </row>
    <row r="7086" spans="1:50">
      <c r="A7086">
        <v>607319</v>
      </c>
      <c r="B7086" t="str">
        <f>"132320460"</f>
        <v>132320460</v>
      </c>
      <c r="C7086" t="s">
        <v>50</v>
      </c>
      <c r="D7086" t="s">
        <v>11465</v>
      </c>
      <c r="E7086" t="s">
        <v>52</v>
      </c>
      <c r="F7086" t="s">
        <v>95</v>
      </c>
      <c r="G7086" t="s">
        <v>83</v>
      </c>
      <c r="H7086" t="str">
        <f>"ΣΗΦΑΚΑ 57 ΗΡΑΚΛΕΙΟ"</f>
        <v>ΣΗΦΑΚΑ 57 ΗΡΑΚΛΕΙΟ</v>
      </c>
      <c r="J7086">
        <v>2810213519</v>
      </c>
      <c r="K7086">
        <v>6946039668</v>
      </c>
      <c r="N7086" t="s">
        <v>615</v>
      </c>
      <c r="O7086" t="s">
        <v>616</v>
      </c>
      <c r="R7086" t="s">
        <v>57</v>
      </c>
      <c r="S7086">
        <v>7</v>
      </c>
      <c r="T7086">
        <v>217</v>
      </c>
      <c r="U7086" s="1">
        <v>38596</v>
      </c>
      <c r="V7086" t="s">
        <v>80</v>
      </c>
      <c r="W7086" t="s">
        <v>81</v>
      </c>
      <c r="X7086" t="s">
        <v>58</v>
      </c>
      <c r="Y7086">
        <v>23</v>
      </c>
      <c r="Z7086" t="s">
        <v>59</v>
      </c>
      <c r="AA7086" t="s">
        <v>59</v>
      </c>
      <c r="AB7086" t="s">
        <v>59</v>
      </c>
      <c r="AC7086" t="s">
        <v>59</v>
      </c>
      <c r="AD7086" t="s">
        <v>59</v>
      </c>
      <c r="AF7086" s="1">
        <v>38600</v>
      </c>
      <c r="AG7086" t="s">
        <v>8645</v>
      </c>
      <c r="AH7086" t="s">
        <v>8646</v>
      </c>
      <c r="AI7086" t="str">
        <f>"9170257"</f>
        <v>9170257</v>
      </c>
      <c r="AJ7086" t="s">
        <v>8710</v>
      </c>
      <c r="AK7086">
        <v>2810245513</v>
      </c>
      <c r="AL7086" t="s">
        <v>8711</v>
      </c>
      <c r="AM7086" t="s">
        <v>78</v>
      </c>
      <c r="AN7086" t="s">
        <v>78</v>
      </c>
      <c r="AO7086" t="s">
        <v>78</v>
      </c>
      <c r="AP7086" t="s">
        <v>213</v>
      </c>
      <c r="AQ7086">
        <v>1</v>
      </c>
      <c r="AR7086" t="s">
        <v>80</v>
      </c>
      <c r="AS7086" t="s">
        <v>81</v>
      </c>
      <c r="AT7086" t="s">
        <v>58</v>
      </c>
      <c r="AU7086" t="s">
        <v>68</v>
      </c>
      <c r="AV7086" t="s">
        <v>69</v>
      </c>
      <c r="AW7086" s="1">
        <v>29490</v>
      </c>
      <c r="AX7086">
        <v>1</v>
      </c>
    </row>
    <row r="7087" spans="1:50">
      <c r="B7087" t="str">
        <f>"057457084"</f>
        <v>057457084</v>
      </c>
      <c r="C7087" t="s">
        <v>50</v>
      </c>
      <c r="D7087" t="s">
        <v>11466</v>
      </c>
      <c r="E7087" t="s">
        <v>103</v>
      </c>
      <c r="F7087" t="s">
        <v>95</v>
      </c>
      <c r="G7087" t="s">
        <v>215</v>
      </c>
      <c r="H7087" t="str">
        <f>"ΤΡΙΚΟΥΠΗ ΚΑΙ ΠΑΠΑΝΔΡΕΟΥ ΙΕΡΑΠΕΤΡΑ"</f>
        <v>ΤΡΙΚΟΥΠΗ ΚΑΙ ΠΑΠΑΝΔΡΕΟΥ ΙΕΡΑΠΕΤΡΑ</v>
      </c>
      <c r="I7087">
        <v>72200</v>
      </c>
      <c r="J7087">
        <v>2842027305</v>
      </c>
      <c r="K7087">
        <v>6937181398</v>
      </c>
      <c r="N7087" t="s">
        <v>176</v>
      </c>
      <c r="O7087" t="s">
        <v>177</v>
      </c>
      <c r="R7087" t="s">
        <v>57</v>
      </c>
      <c r="S7087">
        <v>5</v>
      </c>
      <c r="T7087" t="s">
        <v>8675</v>
      </c>
      <c r="U7087" s="1">
        <v>43348</v>
      </c>
      <c r="V7087" t="s">
        <v>80</v>
      </c>
      <c r="W7087" t="s">
        <v>81</v>
      </c>
      <c r="X7087" t="s">
        <v>58</v>
      </c>
      <c r="Y7087">
        <v>23</v>
      </c>
      <c r="Z7087" t="s">
        <v>59</v>
      </c>
      <c r="AA7087" t="s">
        <v>59</v>
      </c>
      <c r="AB7087" t="s">
        <v>59</v>
      </c>
      <c r="AC7087" t="s">
        <v>59</v>
      </c>
      <c r="AD7087" t="s">
        <v>59</v>
      </c>
      <c r="AF7087" s="1">
        <v>43348</v>
      </c>
      <c r="AG7087" t="s">
        <v>8645</v>
      </c>
      <c r="AH7087" t="s">
        <v>8646</v>
      </c>
      <c r="AI7087" t="str">
        <f>"9170006"</f>
        <v>9170006</v>
      </c>
      <c r="AJ7087" t="s">
        <v>10060</v>
      </c>
      <c r="AK7087">
        <v>2810721207</v>
      </c>
      <c r="AL7087" t="s">
        <v>10061</v>
      </c>
      <c r="AM7087" t="s">
        <v>78</v>
      </c>
      <c r="AN7087" t="s">
        <v>78</v>
      </c>
      <c r="AO7087" t="s">
        <v>185</v>
      </c>
      <c r="AP7087" t="s">
        <v>186</v>
      </c>
      <c r="AQ7087">
        <v>4</v>
      </c>
      <c r="AR7087" t="s">
        <v>80</v>
      </c>
      <c r="AS7087" t="s">
        <v>81</v>
      </c>
      <c r="AT7087" t="s">
        <v>58</v>
      </c>
      <c r="AU7087" t="s">
        <v>8673</v>
      </c>
      <c r="AV7087" t="s">
        <v>132</v>
      </c>
      <c r="AW7087" s="1">
        <v>25718</v>
      </c>
      <c r="AX7087">
        <v>1</v>
      </c>
    </row>
    <row r="7088" spans="1:50">
      <c r="B7088" t="str">
        <f>"143788511"</f>
        <v>143788511</v>
      </c>
      <c r="C7088" t="s">
        <v>50</v>
      </c>
      <c r="D7088" t="s">
        <v>11467</v>
      </c>
      <c r="E7088" t="s">
        <v>52</v>
      </c>
      <c r="F7088" t="s">
        <v>3499</v>
      </c>
      <c r="G7088" t="s">
        <v>155</v>
      </c>
      <c r="H7088" t="str">
        <f>"ΑΝΔΡΕΟΠΟΥΛΟΥ 14 ΘΕΣΣΑΛΟΝΙΚΗ"</f>
        <v>ΑΝΔΡΕΟΠΟΥΛΟΥ 14 ΘΕΣΣΑΛΟΝΙΚΗ</v>
      </c>
      <c r="I7088">
        <v>54643</v>
      </c>
      <c r="J7088">
        <v>2310848587</v>
      </c>
      <c r="K7088">
        <v>6945908820</v>
      </c>
      <c r="N7088" t="s">
        <v>615</v>
      </c>
      <c r="O7088" t="s">
        <v>616</v>
      </c>
      <c r="R7088" t="s">
        <v>159</v>
      </c>
      <c r="S7088">
        <v>3</v>
      </c>
      <c r="T7088" t="s">
        <v>8675</v>
      </c>
      <c r="U7088" s="1">
        <v>43348</v>
      </c>
      <c r="V7088" t="s">
        <v>80</v>
      </c>
      <c r="W7088" t="s">
        <v>81</v>
      </c>
      <c r="X7088" t="s">
        <v>58</v>
      </c>
      <c r="Y7088">
        <v>24</v>
      </c>
      <c r="Z7088" t="s">
        <v>59</v>
      </c>
      <c r="AA7088" t="s">
        <v>59</v>
      </c>
      <c r="AB7088" t="s">
        <v>59</v>
      </c>
      <c r="AC7088" t="s">
        <v>59</v>
      </c>
      <c r="AD7088" t="s">
        <v>59</v>
      </c>
      <c r="AF7088" s="1">
        <v>43348</v>
      </c>
      <c r="AG7088" t="s">
        <v>8645</v>
      </c>
      <c r="AH7088" t="s">
        <v>8646</v>
      </c>
      <c r="AI7088" t="str">
        <f>"9170575"</f>
        <v>9170575</v>
      </c>
      <c r="AJ7088" t="s">
        <v>8748</v>
      </c>
      <c r="AK7088">
        <v>2810260772</v>
      </c>
      <c r="AL7088" t="s">
        <v>8749</v>
      </c>
      <c r="AM7088" t="s">
        <v>78</v>
      </c>
      <c r="AN7088" t="s">
        <v>78</v>
      </c>
      <c r="AO7088" t="s">
        <v>78</v>
      </c>
      <c r="AP7088" t="s">
        <v>141</v>
      </c>
      <c r="AQ7088">
        <v>1</v>
      </c>
      <c r="AR7088" t="s">
        <v>80</v>
      </c>
      <c r="AS7088" t="s">
        <v>81</v>
      </c>
      <c r="AT7088" t="s">
        <v>58</v>
      </c>
      <c r="AU7088" t="s">
        <v>8673</v>
      </c>
      <c r="AV7088" t="s">
        <v>132</v>
      </c>
      <c r="AW7088" s="1">
        <v>32125</v>
      </c>
      <c r="AX7088">
        <v>1</v>
      </c>
    </row>
    <row r="7089" spans="1:50">
      <c r="A7089">
        <v>600038</v>
      </c>
      <c r="B7089" t="str">
        <f>"055145566"</f>
        <v>055145566</v>
      </c>
      <c r="C7089" t="s">
        <v>50</v>
      </c>
      <c r="D7089" t="s">
        <v>11468</v>
      </c>
      <c r="E7089" t="s">
        <v>314</v>
      </c>
      <c r="F7089" t="s">
        <v>99</v>
      </c>
      <c r="G7089" t="s">
        <v>96</v>
      </c>
      <c r="H7089" t="str">
        <f>" "</f>
        <v xml:space="preserve"> </v>
      </c>
      <c r="J7089">
        <v>2844031221</v>
      </c>
      <c r="L7089">
        <v>2810224202</v>
      </c>
      <c r="N7089" t="s">
        <v>615</v>
      </c>
      <c r="O7089" t="s">
        <v>616</v>
      </c>
      <c r="R7089" t="s">
        <v>57</v>
      </c>
      <c r="S7089">
        <v>9</v>
      </c>
      <c r="T7089">
        <v>195</v>
      </c>
      <c r="U7089" s="1">
        <v>37497</v>
      </c>
      <c r="V7089" t="s">
        <v>80</v>
      </c>
      <c r="W7089" t="s">
        <v>81</v>
      </c>
      <c r="X7089" t="s">
        <v>58</v>
      </c>
      <c r="Y7089">
        <v>22</v>
      </c>
      <c r="Z7089" t="s">
        <v>59</v>
      </c>
      <c r="AA7089" t="s">
        <v>59</v>
      </c>
      <c r="AB7089" t="s">
        <v>59</v>
      </c>
      <c r="AC7089" t="s">
        <v>59</v>
      </c>
      <c r="AD7089" t="s">
        <v>59</v>
      </c>
      <c r="AF7089" s="1">
        <v>37501</v>
      </c>
      <c r="AG7089" t="s">
        <v>8645</v>
      </c>
      <c r="AH7089" t="s">
        <v>8646</v>
      </c>
      <c r="AI7089" t="str">
        <f>"9170257"</f>
        <v>9170257</v>
      </c>
      <c r="AJ7089" t="s">
        <v>8710</v>
      </c>
      <c r="AK7089">
        <v>2810245513</v>
      </c>
      <c r="AL7089" t="s">
        <v>8711</v>
      </c>
      <c r="AM7089" t="s">
        <v>78</v>
      </c>
      <c r="AN7089" t="s">
        <v>78</v>
      </c>
      <c r="AO7089" t="s">
        <v>78</v>
      </c>
      <c r="AP7089" t="s">
        <v>213</v>
      </c>
      <c r="AQ7089">
        <v>1</v>
      </c>
      <c r="AR7089" t="s">
        <v>80</v>
      </c>
      <c r="AS7089" t="s">
        <v>81</v>
      </c>
      <c r="AT7089" t="s">
        <v>58</v>
      </c>
      <c r="AU7089" t="s">
        <v>68</v>
      </c>
      <c r="AV7089" t="s">
        <v>69</v>
      </c>
      <c r="AW7089" s="1">
        <v>25234</v>
      </c>
      <c r="AX7089">
        <v>1</v>
      </c>
    </row>
    <row r="7090" spans="1:50">
      <c r="B7090" t="str">
        <f>"138964356"</f>
        <v>138964356</v>
      </c>
      <c r="C7090" t="s">
        <v>50</v>
      </c>
      <c r="D7090" t="s">
        <v>11469</v>
      </c>
      <c r="E7090" t="s">
        <v>964</v>
      </c>
      <c r="F7090" t="s">
        <v>106</v>
      </c>
      <c r="G7090" t="s">
        <v>52</v>
      </c>
      <c r="H7090" t="str">
        <f>"ΕΛΙΑ ΠΕΔΙΑΔΟΣ ΕΛΙΑ"</f>
        <v>ΕΛΙΑ ΠΕΔΙΑΔΟΣ ΕΛΙΑ</v>
      </c>
      <c r="I7090">
        <v>70008</v>
      </c>
      <c r="J7090">
        <v>2810781369</v>
      </c>
      <c r="K7090">
        <v>6945145724</v>
      </c>
      <c r="L7090">
        <v>6936260431</v>
      </c>
      <c r="N7090" t="s">
        <v>615</v>
      </c>
      <c r="O7090" t="s">
        <v>616</v>
      </c>
      <c r="R7090" t="s">
        <v>159</v>
      </c>
      <c r="S7090">
        <v>4</v>
      </c>
      <c r="T7090" t="s">
        <v>8675</v>
      </c>
      <c r="U7090" s="1">
        <v>43348</v>
      </c>
      <c r="V7090" t="s">
        <v>80</v>
      </c>
      <c r="W7090" t="s">
        <v>81</v>
      </c>
      <c r="X7090" t="s">
        <v>58</v>
      </c>
      <c r="Y7090">
        <v>24</v>
      </c>
      <c r="Z7090" t="s">
        <v>59</v>
      </c>
      <c r="AA7090" t="s">
        <v>59</v>
      </c>
      <c r="AB7090" t="s">
        <v>59</v>
      </c>
      <c r="AC7090" t="s">
        <v>59</v>
      </c>
      <c r="AD7090" t="s">
        <v>59</v>
      </c>
      <c r="AF7090" s="1">
        <v>43348</v>
      </c>
      <c r="AG7090" t="s">
        <v>8645</v>
      </c>
      <c r="AH7090" t="s">
        <v>8646</v>
      </c>
      <c r="AI7090" t="str">
        <f>"9170239"</f>
        <v>9170239</v>
      </c>
      <c r="AJ7090" t="s">
        <v>8814</v>
      </c>
      <c r="AK7090">
        <v>2897022076</v>
      </c>
      <c r="AL7090" t="s">
        <v>8815</v>
      </c>
      <c r="AM7090" t="s">
        <v>78</v>
      </c>
      <c r="AN7090" t="s">
        <v>219</v>
      </c>
      <c r="AO7090" t="s">
        <v>219</v>
      </c>
      <c r="AP7090" t="s">
        <v>220</v>
      </c>
      <c r="AQ7090">
        <v>8</v>
      </c>
      <c r="AR7090" t="s">
        <v>80</v>
      </c>
      <c r="AS7090" t="s">
        <v>81</v>
      </c>
      <c r="AT7090" t="s">
        <v>58</v>
      </c>
      <c r="AU7090" t="s">
        <v>8673</v>
      </c>
      <c r="AV7090" t="s">
        <v>132</v>
      </c>
      <c r="AW7090" s="1">
        <v>31581</v>
      </c>
      <c r="AX7090">
        <v>1</v>
      </c>
    </row>
    <row r="7091" spans="1:50">
      <c r="A7091">
        <v>591598</v>
      </c>
      <c r="B7091" t="str">
        <f>"114260291"</f>
        <v>114260291</v>
      </c>
      <c r="C7091" t="s">
        <v>50</v>
      </c>
      <c r="D7091" t="s">
        <v>11469</v>
      </c>
      <c r="E7091" t="s">
        <v>801</v>
      </c>
      <c r="F7091" t="s">
        <v>786</v>
      </c>
      <c r="G7091" t="s">
        <v>73</v>
      </c>
      <c r="H7091" t="str">
        <f>"Ι. ΨΥΧΑΡΗ 46  ΗΡΑΚΛΕΙΟ "</f>
        <v xml:space="preserve">Ι. ΨΥΧΑΡΗ 46  ΗΡΑΚΛΕΙΟ </v>
      </c>
      <c r="I7091">
        <v>71305</v>
      </c>
      <c r="J7091">
        <v>2810259383</v>
      </c>
      <c r="K7091">
        <v>6973488279</v>
      </c>
      <c r="N7091" t="s">
        <v>1525</v>
      </c>
      <c r="O7091" t="s">
        <v>1526</v>
      </c>
      <c r="R7091" t="s">
        <v>57</v>
      </c>
      <c r="S7091">
        <v>10</v>
      </c>
      <c r="T7091">
        <v>249</v>
      </c>
      <c r="U7091" s="1">
        <v>36769</v>
      </c>
      <c r="V7091" t="s">
        <v>80</v>
      </c>
      <c r="W7091" t="s">
        <v>81</v>
      </c>
      <c r="X7091" t="s">
        <v>58</v>
      </c>
      <c r="Y7091">
        <v>25</v>
      </c>
      <c r="Z7091" t="s">
        <v>59</v>
      </c>
      <c r="AA7091" t="s">
        <v>59</v>
      </c>
      <c r="AB7091" t="s">
        <v>59</v>
      </c>
      <c r="AC7091" t="s">
        <v>59</v>
      </c>
      <c r="AD7091" t="s">
        <v>59</v>
      </c>
      <c r="AF7091" s="1">
        <v>36770</v>
      </c>
      <c r="AG7091" t="s">
        <v>8651</v>
      </c>
      <c r="AH7091" t="s">
        <v>8652</v>
      </c>
      <c r="AI7091" t="str">
        <f>"9170103"</f>
        <v>9170103</v>
      </c>
      <c r="AJ7091" t="s">
        <v>9992</v>
      </c>
      <c r="AK7091">
        <v>2810233184</v>
      </c>
      <c r="AL7091" t="s">
        <v>9993</v>
      </c>
      <c r="AM7091" t="s">
        <v>78</v>
      </c>
      <c r="AN7091" t="s">
        <v>78</v>
      </c>
      <c r="AO7091" t="s">
        <v>78</v>
      </c>
      <c r="AP7091" t="s">
        <v>79</v>
      </c>
      <c r="AQ7091">
        <v>1</v>
      </c>
      <c r="AR7091" t="s">
        <v>80</v>
      </c>
      <c r="AS7091" t="s">
        <v>81</v>
      </c>
      <c r="AT7091" t="s">
        <v>58</v>
      </c>
      <c r="AU7091" t="s">
        <v>68</v>
      </c>
      <c r="AV7091" t="s">
        <v>69</v>
      </c>
      <c r="AW7091" s="1">
        <v>24313</v>
      </c>
      <c r="AX7091">
        <v>1</v>
      </c>
    </row>
    <row r="7092" spans="1:50">
      <c r="A7092">
        <v>574655</v>
      </c>
      <c r="B7092" t="str">
        <f>"066366958"</f>
        <v>066366958</v>
      </c>
      <c r="C7092" t="s">
        <v>50</v>
      </c>
      <c r="D7092" t="s">
        <v>3861</v>
      </c>
      <c r="E7092" t="s">
        <v>143</v>
      </c>
      <c r="F7092" t="s">
        <v>106</v>
      </c>
      <c r="G7092" t="s">
        <v>52</v>
      </c>
      <c r="H7092" t="str">
        <f>"ΛΙΣΣΟΥ 18 ΘΕΡΙΣΣΟΣ"</f>
        <v>ΛΙΣΣΟΥ 18 ΘΕΡΙΣΣΟΣ</v>
      </c>
      <c r="I7092">
        <v>71304</v>
      </c>
      <c r="J7092">
        <v>2810261080</v>
      </c>
      <c r="K7092">
        <v>6944675164</v>
      </c>
      <c r="N7092" t="s">
        <v>306</v>
      </c>
      <c r="O7092" t="s">
        <v>307</v>
      </c>
      <c r="R7092" t="s">
        <v>57</v>
      </c>
      <c r="S7092">
        <v>12</v>
      </c>
      <c r="T7092">
        <v>158</v>
      </c>
      <c r="U7092" s="1">
        <v>34582</v>
      </c>
      <c r="V7092" t="s">
        <v>80</v>
      </c>
      <c r="W7092" t="s">
        <v>81</v>
      </c>
      <c r="X7092" t="s">
        <v>58</v>
      </c>
      <c r="Y7092">
        <v>21</v>
      </c>
      <c r="Z7092" t="s">
        <v>59</v>
      </c>
      <c r="AA7092" t="s">
        <v>59</v>
      </c>
      <c r="AB7092" t="s">
        <v>59</v>
      </c>
      <c r="AC7092" t="s">
        <v>59</v>
      </c>
      <c r="AD7092" t="s">
        <v>59</v>
      </c>
      <c r="AF7092" s="1">
        <v>34582</v>
      </c>
      <c r="AG7092" t="s">
        <v>8645</v>
      </c>
      <c r="AH7092" t="s">
        <v>8646</v>
      </c>
      <c r="AI7092" t="str">
        <f>"9170057"</f>
        <v>9170057</v>
      </c>
      <c r="AJ7092" t="s">
        <v>8929</v>
      </c>
      <c r="AK7092">
        <v>2810251505</v>
      </c>
      <c r="AL7092" t="s">
        <v>8930</v>
      </c>
      <c r="AM7092" t="s">
        <v>78</v>
      </c>
      <c r="AN7092" t="s">
        <v>78</v>
      </c>
      <c r="AO7092" t="s">
        <v>78</v>
      </c>
      <c r="AP7092" t="s">
        <v>141</v>
      </c>
      <c r="AQ7092">
        <v>1</v>
      </c>
      <c r="AR7092" t="s">
        <v>80</v>
      </c>
      <c r="AS7092" t="s">
        <v>81</v>
      </c>
      <c r="AT7092" t="s">
        <v>58</v>
      </c>
      <c r="AU7092" t="s">
        <v>68</v>
      </c>
      <c r="AV7092" t="s">
        <v>69</v>
      </c>
      <c r="AW7092" s="1">
        <v>24692</v>
      </c>
      <c r="AX7092">
        <v>1</v>
      </c>
    </row>
    <row r="7093" spans="1:50">
      <c r="A7093">
        <v>617737</v>
      </c>
      <c r="B7093" t="str">
        <f>"103271122"</f>
        <v>103271122</v>
      </c>
      <c r="C7093" t="s">
        <v>105</v>
      </c>
      <c r="D7093" t="s">
        <v>11470</v>
      </c>
      <c r="E7093" t="s">
        <v>106</v>
      </c>
      <c r="F7093" t="s">
        <v>99</v>
      </c>
      <c r="G7093" t="s">
        <v>280</v>
      </c>
      <c r="H7093" t="str">
        <f>"ΠΑΥΛΟΥ ΜΕΛΑ 49 ΜΑΛΙΑ"</f>
        <v>ΠΑΥΛΟΥ ΜΕΛΑ 49 ΜΑΛΙΑ</v>
      </c>
      <c r="I7093">
        <v>70007</v>
      </c>
      <c r="J7093">
        <v>2897032051</v>
      </c>
      <c r="K7093">
        <v>6974568453</v>
      </c>
      <c r="N7093" t="s">
        <v>615</v>
      </c>
      <c r="O7093" t="s">
        <v>616</v>
      </c>
      <c r="R7093" t="s">
        <v>57</v>
      </c>
      <c r="S7093">
        <v>5</v>
      </c>
      <c r="T7093">
        <v>774</v>
      </c>
      <c r="U7093" s="1">
        <v>39680</v>
      </c>
      <c r="V7093" t="s">
        <v>80</v>
      </c>
      <c r="W7093" t="s">
        <v>81</v>
      </c>
      <c r="X7093" t="s">
        <v>58</v>
      </c>
      <c r="Y7093">
        <v>23</v>
      </c>
      <c r="Z7093" t="s">
        <v>59</v>
      </c>
      <c r="AA7093" t="s">
        <v>59</v>
      </c>
      <c r="AB7093" t="s">
        <v>59</v>
      </c>
      <c r="AC7093" t="s">
        <v>59</v>
      </c>
      <c r="AD7093" t="s">
        <v>59</v>
      </c>
      <c r="AF7093" s="1">
        <v>39681</v>
      </c>
      <c r="AG7093" t="s">
        <v>8645</v>
      </c>
      <c r="AH7093" t="s">
        <v>8646</v>
      </c>
      <c r="AI7093" t="str">
        <f>"9170242"</f>
        <v>9170242</v>
      </c>
      <c r="AJ7093" t="s">
        <v>9314</v>
      </c>
      <c r="AK7093">
        <v>2897031254</v>
      </c>
      <c r="AL7093" t="s">
        <v>9315</v>
      </c>
      <c r="AM7093" t="s">
        <v>78</v>
      </c>
      <c r="AN7093" t="s">
        <v>219</v>
      </c>
      <c r="AO7093" t="s">
        <v>527</v>
      </c>
      <c r="AP7093" t="s">
        <v>527</v>
      </c>
      <c r="AQ7093">
        <v>8</v>
      </c>
      <c r="AR7093" t="s">
        <v>80</v>
      </c>
      <c r="AS7093" t="s">
        <v>81</v>
      </c>
      <c r="AT7093" t="s">
        <v>58</v>
      </c>
      <c r="AU7093" t="s">
        <v>68</v>
      </c>
      <c r="AV7093" t="s">
        <v>69</v>
      </c>
      <c r="AW7093" s="1">
        <v>30957</v>
      </c>
      <c r="AX7093">
        <v>1</v>
      </c>
    </row>
    <row r="7094" spans="1:50">
      <c r="A7094">
        <v>614404</v>
      </c>
      <c r="B7094" t="str">
        <f>"132327196"</f>
        <v>132327196</v>
      </c>
      <c r="C7094" t="s">
        <v>50</v>
      </c>
      <c r="D7094" t="s">
        <v>11471</v>
      </c>
      <c r="E7094" t="s">
        <v>255</v>
      </c>
      <c r="F7094" t="s">
        <v>383</v>
      </c>
      <c r="G7094" t="s">
        <v>11472</v>
      </c>
      <c r="H7094" t="str">
        <f>"Λ.ΙΩΝΙΑΣ 223 ΗΡΑΚΛΕΙΟ"</f>
        <v>Λ.ΙΩΝΙΑΣ 223 ΗΡΑΚΛΕΙΟ</v>
      </c>
      <c r="I7094">
        <v>71306</v>
      </c>
      <c r="J7094">
        <v>2810238304</v>
      </c>
      <c r="K7094">
        <v>6946883882</v>
      </c>
      <c r="M7094" t="s">
        <v>11473</v>
      </c>
      <c r="N7094" t="s">
        <v>615</v>
      </c>
      <c r="O7094" t="s">
        <v>616</v>
      </c>
      <c r="R7094" t="s">
        <v>57</v>
      </c>
      <c r="S7094">
        <v>5</v>
      </c>
      <c r="T7094">
        <v>598</v>
      </c>
      <c r="U7094" s="1">
        <v>39310</v>
      </c>
      <c r="V7094" t="s">
        <v>80</v>
      </c>
      <c r="W7094" t="s">
        <v>81</v>
      </c>
      <c r="X7094" t="s">
        <v>58</v>
      </c>
      <c r="Y7094">
        <v>23</v>
      </c>
      <c r="Z7094" t="s">
        <v>59</v>
      </c>
      <c r="AA7094" t="s">
        <v>59</v>
      </c>
      <c r="AB7094" t="s">
        <v>59</v>
      </c>
      <c r="AC7094" t="s">
        <v>59</v>
      </c>
      <c r="AD7094" t="s">
        <v>59</v>
      </c>
      <c r="AF7094" s="1">
        <v>39328</v>
      </c>
      <c r="AG7094" t="s">
        <v>8645</v>
      </c>
      <c r="AH7094" t="s">
        <v>8646</v>
      </c>
      <c r="AI7094" t="str">
        <f>"9170516"</f>
        <v>9170516</v>
      </c>
      <c r="AJ7094" t="s">
        <v>8746</v>
      </c>
      <c r="AK7094">
        <v>2810236861</v>
      </c>
      <c r="AL7094" t="s">
        <v>8747</v>
      </c>
      <c r="AM7094" t="s">
        <v>78</v>
      </c>
      <c r="AN7094" t="s">
        <v>78</v>
      </c>
      <c r="AO7094" t="s">
        <v>78</v>
      </c>
      <c r="AP7094" t="s">
        <v>163</v>
      </c>
      <c r="AQ7094">
        <v>1</v>
      </c>
      <c r="AR7094" t="s">
        <v>80</v>
      </c>
      <c r="AS7094" t="s">
        <v>81</v>
      </c>
      <c r="AT7094" t="s">
        <v>58</v>
      </c>
      <c r="AU7094" t="s">
        <v>68</v>
      </c>
      <c r="AV7094" t="s">
        <v>69</v>
      </c>
      <c r="AW7094" s="1">
        <v>31059</v>
      </c>
      <c r="AX7094">
        <v>1</v>
      </c>
    </row>
    <row r="7095" spans="1:50">
      <c r="A7095">
        <v>620386</v>
      </c>
      <c r="B7095" t="str">
        <f>"123153876"</f>
        <v>123153876</v>
      </c>
      <c r="C7095" t="s">
        <v>105</v>
      </c>
      <c r="D7095" t="s">
        <v>11474</v>
      </c>
      <c r="E7095" t="s">
        <v>84</v>
      </c>
      <c r="F7095" t="s">
        <v>72</v>
      </c>
      <c r="G7095" t="s">
        <v>52</v>
      </c>
      <c r="H7095" t="str">
        <f>"ΕΛΕΩΝΟΡΑΣ ΚΑΤΕΧΑΚΗ 12  ΗΡΑΚΛΕΙΟ"</f>
        <v>ΕΛΕΩΝΟΡΑΣ ΚΑΤΕΧΑΚΗ 12  ΗΡΑΚΛΕΙΟ</v>
      </c>
      <c r="I7095">
        <v>71410</v>
      </c>
      <c r="J7095">
        <v>2810251063</v>
      </c>
      <c r="K7095">
        <v>6974431347</v>
      </c>
      <c r="N7095" t="s">
        <v>615</v>
      </c>
      <c r="O7095" t="s">
        <v>616</v>
      </c>
      <c r="R7095" t="s">
        <v>57</v>
      </c>
      <c r="S7095">
        <v>8</v>
      </c>
      <c r="T7095">
        <v>653</v>
      </c>
      <c r="U7095" s="1">
        <v>40043</v>
      </c>
      <c r="V7095" t="s">
        <v>80</v>
      </c>
      <c r="W7095" t="s">
        <v>81</v>
      </c>
      <c r="X7095" t="s">
        <v>58</v>
      </c>
      <c r="Y7095">
        <v>23</v>
      </c>
      <c r="Z7095" t="s">
        <v>59</v>
      </c>
      <c r="AA7095" t="s">
        <v>59</v>
      </c>
      <c r="AB7095" t="s">
        <v>59</v>
      </c>
      <c r="AC7095" t="s">
        <v>59</v>
      </c>
      <c r="AD7095" t="s">
        <v>59</v>
      </c>
      <c r="AF7095" s="1">
        <v>40043</v>
      </c>
      <c r="AG7095" t="s">
        <v>8645</v>
      </c>
      <c r="AH7095" t="s">
        <v>8646</v>
      </c>
      <c r="AI7095" t="str">
        <f>"9170431"</f>
        <v>9170431</v>
      </c>
      <c r="AJ7095" t="s">
        <v>8658</v>
      </c>
      <c r="AK7095">
        <v>2810250952</v>
      </c>
      <c r="AL7095" t="s">
        <v>8659</v>
      </c>
      <c r="AM7095" t="s">
        <v>78</v>
      </c>
      <c r="AN7095" t="s">
        <v>78</v>
      </c>
      <c r="AO7095" t="s">
        <v>78</v>
      </c>
      <c r="AP7095" t="s">
        <v>141</v>
      </c>
      <c r="AQ7095">
        <v>1</v>
      </c>
      <c r="AR7095" t="s">
        <v>80</v>
      </c>
      <c r="AS7095" t="s">
        <v>81</v>
      </c>
      <c r="AT7095" t="s">
        <v>58</v>
      </c>
      <c r="AU7095" t="s">
        <v>68</v>
      </c>
      <c r="AV7095" t="s">
        <v>69</v>
      </c>
      <c r="AW7095" s="1">
        <v>30221</v>
      </c>
      <c r="AX7095">
        <v>1</v>
      </c>
    </row>
    <row r="7096" spans="1:50">
      <c r="A7096">
        <v>588532</v>
      </c>
      <c r="B7096" t="str">
        <f>"038820394"</f>
        <v>038820394</v>
      </c>
      <c r="C7096" t="s">
        <v>50</v>
      </c>
      <c r="D7096" t="s">
        <v>3865</v>
      </c>
      <c r="E7096" t="s">
        <v>237</v>
      </c>
      <c r="F7096" t="s">
        <v>166</v>
      </c>
      <c r="G7096" t="s">
        <v>610</v>
      </c>
      <c r="H7096" t="str">
        <f>"ΑΝΑΛΗΨΗ ΧΕΡΣΟΝΗΣΟΥ ΑΝΑΛΗΨΗ ΧΕΡΣΟΝΗΣΟΥ"</f>
        <v>ΑΝΑΛΗΨΗ ΧΕΡΣΟΝΗΣΟΥ ΑΝΑΛΗΨΗ ΧΕΡΣΟΝΗΣΟΥ</v>
      </c>
      <c r="I7096">
        <v>70014</v>
      </c>
      <c r="J7096">
        <v>2897021620</v>
      </c>
      <c r="K7096">
        <v>6973690728</v>
      </c>
      <c r="M7096" t="s">
        <v>11475</v>
      </c>
      <c r="N7096" t="s">
        <v>615</v>
      </c>
      <c r="O7096" t="s">
        <v>616</v>
      </c>
      <c r="R7096" t="s">
        <v>57</v>
      </c>
      <c r="S7096">
        <v>10</v>
      </c>
      <c r="T7096">
        <v>176</v>
      </c>
      <c r="U7096" s="1">
        <v>36403</v>
      </c>
      <c r="V7096" t="s">
        <v>80</v>
      </c>
      <c r="W7096" t="s">
        <v>81</v>
      </c>
      <c r="X7096" t="s">
        <v>58</v>
      </c>
      <c r="Y7096">
        <v>21</v>
      </c>
      <c r="Z7096" t="s">
        <v>59</v>
      </c>
      <c r="AA7096" t="s">
        <v>59</v>
      </c>
      <c r="AB7096" t="s">
        <v>59</v>
      </c>
      <c r="AC7096" t="s">
        <v>59</v>
      </c>
      <c r="AD7096" t="s">
        <v>59</v>
      </c>
      <c r="AF7096" s="1">
        <v>36404</v>
      </c>
      <c r="AG7096" t="s">
        <v>8645</v>
      </c>
      <c r="AH7096" t="s">
        <v>8646</v>
      </c>
      <c r="AI7096" t="str">
        <f>"9521412"</f>
        <v>9521412</v>
      </c>
      <c r="AJ7096" t="s">
        <v>8787</v>
      </c>
      <c r="AK7096">
        <v>2897025680</v>
      </c>
      <c r="AL7096" t="s">
        <v>8788</v>
      </c>
      <c r="AM7096" t="s">
        <v>78</v>
      </c>
      <c r="AN7096" t="s">
        <v>219</v>
      </c>
      <c r="AO7096" t="s">
        <v>219</v>
      </c>
      <c r="AP7096" t="s">
        <v>219</v>
      </c>
      <c r="AQ7096">
        <v>8</v>
      </c>
      <c r="AR7096" t="s">
        <v>80</v>
      </c>
      <c r="AS7096" t="s">
        <v>81</v>
      </c>
      <c r="AT7096" t="s">
        <v>58</v>
      </c>
      <c r="AU7096" t="s">
        <v>68</v>
      </c>
      <c r="AV7096" t="s">
        <v>69</v>
      </c>
      <c r="AW7096" s="1">
        <v>24695</v>
      </c>
      <c r="AX7096">
        <v>1</v>
      </c>
    </row>
    <row r="7097" spans="1:50">
      <c r="B7097" t="str">
        <f>"155354945"</f>
        <v>155354945</v>
      </c>
      <c r="C7097" t="s">
        <v>50</v>
      </c>
      <c r="D7097" t="s">
        <v>3865</v>
      </c>
      <c r="E7097" t="s">
        <v>155</v>
      </c>
      <c r="F7097" t="s">
        <v>95</v>
      </c>
      <c r="G7097" t="s">
        <v>742</v>
      </c>
      <c r="H7097" t="str">
        <f>" "</f>
        <v xml:space="preserve"> </v>
      </c>
      <c r="N7097" t="s">
        <v>8834</v>
      </c>
      <c r="O7097" t="s">
        <v>8695</v>
      </c>
      <c r="R7097" t="s">
        <v>121</v>
      </c>
      <c r="S7097">
        <v>3</v>
      </c>
      <c r="T7097" t="s">
        <v>8835</v>
      </c>
      <c r="U7097" s="1">
        <v>43348</v>
      </c>
      <c r="V7097" t="s">
        <v>80</v>
      </c>
      <c r="W7097" t="s">
        <v>81</v>
      </c>
      <c r="X7097" t="s">
        <v>58</v>
      </c>
      <c r="Y7097">
        <v>24</v>
      </c>
      <c r="Z7097" t="s">
        <v>59</v>
      </c>
      <c r="AA7097" t="s">
        <v>59</v>
      </c>
      <c r="AB7097" t="s">
        <v>59</v>
      </c>
      <c r="AD7097" t="s">
        <v>59</v>
      </c>
      <c r="AF7097" s="1">
        <v>43348</v>
      </c>
      <c r="AG7097" t="s">
        <v>8645</v>
      </c>
      <c r="AH7097" t="s">
        <v>8646</v>
      </c>
      <c r="AI7097" t="str">
        <f>"9170494"</f>
        <v>9170494</v>
      </c>
      <c r="AJ7097" t="s">
        <v>9125</v>
      </c>
      <c r="AK7097">
        <v>2810228361</v>
      </c>
      <c r="AL7097" t="s">
        <v>9126</v>
      </c>
      <c r="AM7097" t="s">
        <v>78</v>
      </c>
      <c r="AN7097" t="s">
        <v>78</v>
      </c>
      <c r="AO7097" t="s">
        <v>78</v>
      </c>
      <c r="AP7097" t="s">
        <v>79</v>
      </c>
      <c r="AQ7097">
        <v>1</v>
      </c>
      <c r="AR7097" t="s">
        <v>80</v>
      </c>
      <c r="AS7097" t="s">
        <v>81</v>
      </c>
      <c r="AT7097" t="s">
        <v>58</v>
      </c>
      <c r="AU7097" t="s">
        <v>131</v>
      </c>
      <c r="AV7097" t="s">
        <v>132</v>
      </c>
      <c r="AW7097" s="1">
        <v>33311</v>
      </c>
      <c r="AX7097">
        <v>1</v>
      </c>
    </row>
    <row r="7098" spans="1:50">
      <c r="A7098">
        <v>608773</v>
      </c>
      <c r="B7098" t="str">
        <f>"106790658"</f>
        <v>106790658</v>
      </c>
      <c r="C7098" t="s">
        <v>50</v>
      </c>
      <c r="D7098" t="s">
        <v>3865</v>
      </c>
      <c r="E7098" t="s">
        <v>250</v>
      </c>
      <c r="F7098" t="s">
        <v>304</v>
      </c>
      <c r="G7098" t="s">
        <v>3585</v>
      </c>
      <c r="H7098" t="str">
        <f>"ΚΑΜΠΟΣ ΑΓΙΟΥ ΣΥΛΛΑ ΗΡΑΚΛΕΙΟ"</f>
        <v>ΚΑΜΠΟΣ ΑΓΙΟΥ ΣΥΛΛΑ ΗΡΑΚΛΕΙΟ</v>
      </c>
      <c r="I7098">
        <v>71500</v>
      </c>
      <c r="J7098">
        <v>2810881376</v>
      </c>
      <c r="K7098">
        <v>6932812127</v>
      </c>
      <c r="N7098" t="s">
        <v>1525</v>
      </c>
      <c r="O7098" t="s">
        <v>1526</v>
      </c>
      <c r="R7098" t="s">
        <v>57</v>
      </c>
      <c r="S7098">
        <v>6</v>
      </c>
      <c r="T7098">
        <v>217</v>
      </c>
      <c r="U7098" s="1">
        <v>38596</v>
      </c>
      <c r="V7098" t="s">
        <v>80</v>
      </c>
      <c r="W7098" t="s">
        <v>81</v>
      </c>
      <c r="X7098" t="s">
        <v>58</v>
      </c>
      <c r="Y7098">
        <v>25</v>
      </c>
      <c r="Z7098" t="s">
        <v>59</v>
      </c>
      <c r="AA7098" t="s">
        <v>59</v>
      </c>
      <c r="AB7098" t="s">
        <v>59</v>
      </c>
      <c r="AC7098" t="s">
        <v>59</v>
      </c>
      <c r="AD7098" t="s">
        <v>59</v>
      </c>
      <c r="AF7098" s="1">
        <v>38601</v>
      </c>
      <c r="AG7098" t="s">
        <v>8651</v>
      </c>
      <c r="AH7098" t="s">
        <v>8652</v>
      </c>
      <c r="AI7098" t="str">
        <f>"9170053"</f>
        <v>9170053</v>
      </c>
      <c r="AJ7098" t="s">
        <v>10579</v>
      </c>
      <c r="AK7098">
        <v>2810262835</v>
      </c>
      <c r="AL7098" t="s">
        <v>10580</v>
      </c>
      <c r="AM7098" t="s">
        <v>78</v>
      </c>
      <c r="AN7098" t="s">
        <v>78</v>
      </c>
      <c r="AO7098" t="s">
        <v>78</v>
      </c>
      <c r="AP7098" t="s">
        <v>141</v>
      </c>
      <c r="AQ7098">
        <v>1</v>
      </c>
      <c r="AR7098" t="s">
        <v>80</v>
      </c>
      <c r="AS7098" t="s">
        <v>81</v>
      </c>
      <c r="AT7098" t="s">
        <v>58</v>
      </c>
      <c r="AU7098" t="s">
        <v>68</v>
      </c>
      <c r="AV7098" t="s">
        <v>69</v>
      </c>
      <c r="AW7098" s="1">
        <v>27968</v>
      </c>
      <c r="AX7098">
        <v>1</v>
      </c>
    </row>
    <row r="7099" spans="1:50">
      <c r="A7099">
        <v>603632</v>
      </c>
      <c r="B7099" t="str">
        <f>"039843553"</f>
        <v>039843553</v>
      </c>
      <c r="C7099" t="s">
        <v>50</v>
      </c>
      <c r="D7099" t="s">
        <v>3865</v>
      </c>
      <c r="E7099" t="s">
        <v>52</v>
      </c>
      <c r="F7099" t="s">
        <v>95</v>
      </c>
      <c r="G7099" t="s">
        <v>341</v>
      </c>
      <c r="H7099" t="str">
        <f>"Μ. ΓΑΠΕΝΙΑΝΟΥ 12 "</f>
        <v xml:space="preserve">Μ. ΓΑΠΕΝΙΑΝΟΥ 12 </v>
      </c>
      <c r="I7099">
        <v>71305</v>
      </c>
      <c r="J7099">
        <v>2810263237</v>
      </c>
      <c r="K7099">
        <v>6948492303</v>
      </c>
      <c r="N7099" t="s">
        <v>55</v>
      </c>
      <c r="O7099" t="s">
        <v>56</v>
      </c>
      <c r="R7099" t="s">
        <v>57</v>
      </c>
      <c r="S7099">
        <v>13</v>
      </c>
      <c r="T7099">
        <v>201</v>
      </c>
      <c r="U7099" s="1">
        <v>37503</v>
      </c>
      <c r="V7099" t="s">
        <v>80</v>
      </c>
      <c r="W7099" t="s">
        <v>81</v>
      </c>
      <c r="X7099" t="s">
        <v>58</v>
      </c>
      <c r="Y7099">
        <v>22</v>
      </c>
      <c r="Z7099" t="s">
        <v>59</v>
      </c>
      <c r="AA7099" t="s">
        <v>59</v>
      </c>
      <c r="AB7099" t="s">
        <v>59</v>
      </c>
      <c r="AC7099" t="s">
        <v>59</v>
      </c>
      <c r="AD7099" t="s">
        <v>59</v>
      </c>
      <c r="AF7099" s="1">
        <v>37508</v>
      </c>
      <c r="AG7099" t="s">
        <v>8645</v>
      </c>
      <c r="AH7099" t="s">
        <v>8697</v>
      </c>
      <c r="AI7099" t="str">
        <f>"9170358"</f>
        <v>9170358</v>
      </c>
      <c r="AJ7099" t="s">
        <v>9378</v>
      </c>
      <c r="AK7099">
        <v>2810282028</v>
      </c>
      <c r="AL7099" t="s">
        <v>9379</v>
      </c>
      <c r="AM7099" t="s">
        <v>78</v>
      </c>
      <c r="AN7099" t="s">
        <v>78</v>
      </c>
      <c r="AO7099" t="s">
        <v>78</v>
      </c>
      <c r="AP7099" t="s">
        <v>141</v>
      </c>
      <c r="AQ7099">
        <v>1</v>
      </c>
      <c r="AR7099" t="s">
        <v>80</v>
      </c>
      <c r="AS7099" t="s">
        <v>81</v>
      </c>
      <c r="AT7099" t="s">
        <v>58</v>
      </c>
      <c r="AU7099" t="s">
        <v>68</v>
      </c>
      <c r="AV7099" t="s">
        <v>69</v>
      </c>
      <c r="AW7099" s="1">
        <v>24263</v>
      </c>
      <c r="AX7099">
        <v>1</v>
      </c>
    </row>
    <row r="7100" spans="1:50">
      <c r="A7100">
        <v>562220</v>
      </c>
      <c r="B7100" t="str">
        <f>"119691737"</f>
        <v>119691737</v>
      </c>
      <c r="C7100" t="s">
        <v>50</v>
      </c>
      <c r="D7100" t="s">
        <v>3865</v>
      </c>
      <c r="E7100" t="s">
        <v>52</v>
      </c>
      <c r="F7100" t="s">
        <v>84</v>
      </c>
      <c r="G7100" t="s">
        <v>134</v>
      </c>
      <c r="H7100" t="str">
        <f>"ΠΕΤΡΑΚΟΓΙΩΡΓΗ 2Β  ΗΡΑΚΛΕΙΟ "</f>
        <v xml:space="preserve">ΠΕΤΡΑΚΟΓΙΩΡΓΗ 2Β  ΗΡΑΚΛΕΙΟ </v>
      </c>
      <c r="I7100">
        <v>71305</v>
      </c>
      <c r="J7100">
        <v>2810311909</v>
      </c>
      <c r="K7100">
        <v>6999841693</v>
      </c>
      <c r="N7100" t="s">
        <v>615</v>
      </c>
      <c r="O7100" t="s">
        <v>616</v>
      </c>
      <c r="R7100" t="s">
        <v>57</v>
      </c>
      <c r="S7100">
        <v>16</v>
      </c>
      <c r="T7100">
        <v>187</v>
      </c>
      <c r="U7100" s="1">
        <v>32385</v>
      </c>
      <c r="V7100" t="s">
        <v>80</v>
      </c>
      <c r="W7100" t="s">
        <v>81</v>
      </c>
      <c r="X7100" t="s">
        <v>58</v>
      </c>
      <c r="Y7100">
        <v>21</v>
      </c>
      <c r="Z7100" t="s">
        <v>59</v>
      </c>
      <c r="AA7100" t="s">
        <v>59</v>
      </c>
      <c r="AB7100" t="s">
        <v>59</v>
      </c>
      <c r="AC7100" t="s">
        <v>59</v>
      </c>
      <c r="AD7100" t="s">
        <v>59</v>
      </c>
      <c r="AF7100" s="1">
        <v>32755</v>
      </c>
      <c r="AG7100" t="s">
        <v>8645</v>
      </c>
      <c r="AH7100" t="s">
        <v>8646</v>
      </c>
      <c r="AI7100" t="str">
        <f>"9170115"</f>
        <v>9170115</v>
      </c>
      <c r="AJ7100" t="s">
        <v>8770</v>
      </c>
      <c r="AK7100">
        <v>2810231165</v>
      </c>
      <c r="AL7100" t="s">
        <v>8771</v>
      </c>
      <c r="AM7100" t="s">
        <v>78</v>
      </c>
      <c r="AN7100" t="s">
        <v>78</v>
      </c>
      <c r="AO7100" t="s">
        <v>78</v>
      </c>
      <c r="AP7100" t="s">
        <v>141</v>
      </c>
      <c r="AQ7100">
        <v>1</v>
      </c>
      <c r="AR7100" t="s">
        <v>80</v>
      </c>
      <c r="AS7100" t="s">
        <v>81</v>
      </c>
      <c r="AT7100" t="s">
        <v>58</v>
      </c>
      <c r="AU7100" t="s">
        <v>68</v>
      </c>
      <c r="AV7100" t="s">
        <v>69</v>
      </c>
      <c r="AW7100" s="1">
        <v>23468</v>
      </c>
      <c r="AX7100">
        <v>1</v>
      </c>
    </row>
    <row r="7101" spans="1:50">
      <c r="A7101">
        <v>600042</v>
      </c>
      <c r="B7101" t="str">
        <f>"054558013"</f>
        <v>054558013</v>
      </c>
      <c r="C7101" t="s">
        <v>50</v>
      </c>
      <c r="D7101" t="s">
        <v>3865</v>
      </c>
      <c r="E7101" t="s">
        <v>681</v>
      </c>
      <c r="F7101" t="s">
        <v>95</v>
      </c>
      <c r="G7101" t="s">
        <v>73</v>
      </c>
      <c r="H7101" t="str">
        <f>"ΑΛΕΞΑΝΔΡΕΙΑΣ 45 ΗΡΑΚΛΕΙΟ"</f>
        <v>ΑΛΕΞΑΝΔΡΕΙΑΣ 45 ΗΡΑΚΛΕΙΟ</v>
      </c>
      <c r="I7101">
        <v>71306</v>
      </c>
      <c r="J7101">
        <v>2810325864</v>
      </c>
      <c r="K7101">
        <v>6973264887</v>
      </c>
      <c r="N7101" t="s">
        <v>615</v>
      </c>
      <c r="O7101" t="s">
        <v>616</v>
      </c>
      <c r="R7101" t="s">
        <v>57</v>
      </c>
      <c r="S7101">
        <v>9</v>
      </c>
      <c r="T7101" t="s">
        <v>8688</v>
      </c>
      <c r="U7101" s="1">
        <v>37497</v>
      </c>
      <c r="V7101" t="s">
        <v>80</v>
      </c>
      <c r="W7101" t="s">
        <v>81</v>
      </c>
      <c r="X7101" t="s">
        <v>58</v>
      </c>
      <c r="Y7101">
        <v>22</v>
      </c>
      <c r="Z7101" t="s">
        <v>59</v>
      </c>
      <c r="AA7101" t="s">
        <v>59</v>
      </c>
      <c r="AB7101" t="s">
        <v>59</v>
      </c>
      <c r="AC7101" t="s">
        <v>59</v>
      </c>
      <c r="AD7101" t="s">
        <v>59</v>
      </c>
      <c r="AF7101" s="1">
        <v>37501</v>
      </c>
      <c r="AG7101" t="s">
        <v>8645</v>
      </c>
      <c r="AH7101" t="s">
        <v>8646</v>
      </c>
      <c r="AI7101" t="str">
        <f>"9170190"</f>
        <v>9170190</v>
      </c>
      <c r="AJ7101" t="s">
        <v>8689</v>
      </c>
      <c r="AK7101">
        <v>2810232169</v>
      </c>
      <c r="AL7101" t="s">
        <v>8690</v>
      </c>
      <c r="AM7101" t="s">
        <v>78</v>
      </c>
      <c r="AN7101" t="s">
        <v>78</v>
      </c>
      <c r="AO7101" t="s">
        <v>78</v>
      </c>
      <c r="AP7101" t="s">
        <v>163</v>
      </c>
      <c r="AQ7101">
        <v>1</v>
      </c>
      <c r="AR7101" t="s">
        <v>80</v>
      </c>
      <c r="AS7101" t="s">
        <v>81</v>
      </c>
      <c r="AT7101" t="s">
        <v>58</v>
      </c>
      <c r="AU7101" t="s">
        <v>68</v>
      </c>
      <c r="AV7101" t="s">
        <v>69</v>
      </c>
      <c r="AW7101" s="1">
        <v>24873</v>
      </c>
      <c r="AX7101">
        <v>1</v>
      </c>
    </row>
    <row r="7102" spans="1:50">
      <c r="B7102" t="str">
        <f>"132986325"</f>
        <v>132986325</v>
      </c>
      <c r="C7102" t="s">
        <v>50</v>
      </c>
      <c r="D7102" t="s">
        <v>3865</v>
      </c>
      <c r="E7102" t="s">
        <v>54</v>
      </c>
      <c r="F7102" t="s">
        <v>395</v>
      </c>
      <c r="G7102" t="s">
        <v>215</v>
      </c>
      <c r="H7102" t="str">
        <f>"Κοκκίνη Χάνι Βραχόκηπος "</f>
        <v xml:space="preserve">Κοκκίνη Χάνι Βραχόκηπος </v>
      </c>
      <c r="K7102">
        <v>6976561905</v>
      </c>
      <c r="N7102" t="s">
        <v>8834</v>
      </c>
      <c r="O7102" t="s">
        <v>8695</v>
      </c>
      <c r="R7102" t="s">
        <v>159</v>
      </c>
      <c r="S7102">
        <v>3</v>
      </c>
      <c r="T7102" t="s">
        <v>8835</v>
      </c>
      <c r="U7102" s="1">
        <v>43348</v>
      </c>
      <c r="V7102" t="s">
        <v>80</v>
      </c>
      <c r="W7102" t="s">
        <v>81</v>
      </c>
      <c r="X7102" t="s">
        <v>58</v>
      </c>
      <c r="Y7102">
        <v>24</v>
      </c>
      <c r="Z7102" t="s">
        <v>59</v>
      </c>
      <c r="AA7102" t="s">
        <v>59</v>
      </c>
      <c r="AB7102" t="s">
        <v>59</v>
      </c>
      <c r="AD7102" t="s">
        <v>59</v>
      </c>
      <c r="AF7102" s="1">
        <v>43348</v>
      </c>
      <c r="AG7102" t="s">
        <v>8645</v>
      </c>
      <c r="AH7102" t="s">
        <v>8646</v>
      </c>
      <c r="AI7102" t="str">
        <f>"9170264"</f>
        <v>9170264</v>
      </c>
      <c r="AJ7102" t="s">
        <v>8718</v>
      </c>
      <c r="AK7102">
        <v>2810332030</v>
      </c>
      <c r="AL7102" t="s">
        <v>8719</v>
      </c>
      <c r="AM7102" t="s">
        <v>78</v>
      </c>
      <c r="AN7102" t="s">
        <v>78</v>
      </c>
      <c r="AO7102" t="s">
        <v>286</v>
      </c>
      <c r="AP7102" t="s">
        <v>286</v>
      </c>
      <c r="AQ7102">
        <v>1</v>
      </c>
      <c r="AR7102" t="s">
        <v>80</v>
      </c>
      <c r="AS7102" t="s">
        <v>81</v>
      </c>
      <c r="AT7102" t="s">
        <v>58</v>
      </c>
      <c r="AU7102" t="s">
        <v>131</v>
      </c>
      <c r="AV7102" t="s">
        <v>132</v>
      </c>
      <c r="AW7102" s="1">
        <v>31602</v>
      </c>
      <c r="AX7102">
        <v>1</v>
      </c>
    </row>
    <row r="7103" spans="1:50">
      <c r="A7103">
        <v>568622</v>
      </c>
      <c r="B7103" t="str">
        <f>"034260149"</f>
        <v>034260149</v>
      </c>
      <c r="C7103" t="s">
        <v>105</v>
      </c>
      <c r="D7103" t="s">
        <v>3874</v>
      </c>
      <c r="E7103" t="s">
        <v>760</v>
      </c>
      <c r="F7103" t="s">
        <v>95</v>
      </c>
      <c r="G7103" t="s">
        <v>52</v>
      </c>
      <c r="H7103" t="str">
        <f>"ΕΜΜΑΝ.ΤΖΑΝΕ 12 Κατσαμπάς"</f>
        <v>ΕΜΜΑΝ.ΤΖΑΝΕ 12 Κατσαμπάς</v>
      </c>
      <c r="I7103">
        <v>71307</v>
      </c>
      <c r="J7103">
        <v>2810227122</v>
      </c>
      <c r="K7103">
        <v>6947435548</v>
      </c>
      <c r="M7103" t="s">
        <v>11476</v>
      </c>
      <c r="N7103" t="s">
        <v>615</v>
      </c>
      <c r="O7103" t="s">
        <v>616</v>
      </c>
      <c r="R7103" t="s">
        <v>57</v>
      </c>
      <c r="S7103">
        <v>14</v>
      </c>
      <c r="T7103">
        <v>162</v>
      </c>
      <c r="U7103" s="1">
        <v>33844</v>
      </c>
      <c r="V7103" t="s">
        <v>80</v>
      </c>
      <c r="W7103" t="s">
        <v>81</v>
      </c>
      <c r="X7103" t="s">
        <v>58</v>
      </c>
      <c r="Y7103">
        <v>21</v>
      </c>
      <c r="Z7103" t="s">
        <v>59</v>
      </c>
      <c r="AA7103" t="s">
        <v>59</v>
      </c>
      <c r="AB7103" t="s">
        <v>59</v>
      </c>
      <c r="AC7103" t="s">
        <v>59</v>
      </c>
      <c r="AD7103" t="s">
        <v>59</v>
      </c>
      <c r="AF7103" s="1">
        <v>33848</v>
      </c>
      <c r="AG7103" t="s">
        <v>8645</v>
      </c>
      <c r="AH7103" t="s">
        <v>8646</v>
      </c>
      <c r="AI7103" t="str">
        <f>"9170262"</f>
        <v>9170262</v>
      </c>
      <c r="AJ7103" t="s">
        <v>9224</v>
      </c>
      <c r="AK7103">
        <v>2810245912</v>
      </c>
      <c r="AL7103" t="s">
        <v>9225</v>
      </c>
      <c r="AM7103" t="s">
        <v>78</v>
      </c>
      <c r="AN7103" t="s">
        <v>78</v>
      </c>
      <c r="AO7103" t="s">
        <v>286</v>
      </c>
      <c r="AP7103" t="s">
        <v>286</v>
      </c>
      <c r="AQ7103">
        <v>1</v>
      </c>
      <c r="AR7103" t="s">
        <v>80</v>
      </c>
      <c r="AS7103" t="s">
        <v>81</v>
      </c>
      <c r="AT7103" t="s">
        <v>58</v>
      </c>
      <c r="AU7103" t="s">
        <v>68</v>
      </c>
      <c r="AV7103" t="s">
        <v>69</v>
      </c>
      <c r="AW7103" s="1">
        <v>23478</v>
      </c>
      <c r="AX7103">
        <v>1</v>
      </c>
    </row>
    <row r="7104" spans="1:50">
      <c r="A7104">
        <v>560107</v>
      </c>
      <c r="B7104" t="str">
        <f>"032721043"</f>
        <v>032721043</v>
      </c>
      <c r="C7104" t="s">
        <v>105</v>
      </c>
      <c r="D7104" t="s">
        <v>3874</v>
      </c>
      <c r="E7104" t="s">
        <v>166</v>
      </c>
      <c r="F7104" t="s">
        <v>99</v>
      </c>
      <c r="G7104" t="s">
        <v>11477</v>
      </c>
      <c r="H7104" t="str">
        <f>"ΜΑΛΛΑΣ 6 ΗΡΑΚΛΕΙΟ "</f>
        <v xml:space="preserve">ΜΑΛΛΑΣ 6 ΗΡΑΚΛΕΙΟ </v>
      </c>
      <c r="J7104">
        <v>2810320227</v>
      </c>
      <c r="K7104">
        <v>6944467692</v>
      </c>
      <c r="N7104" t="s">
        <v>615</v>
      </c>
      <c r="O7104" t="s">
        <v>616</v>
      </c>
      <c r="R7104" t="s">
        <v>57</v>
      </c>
      <c r="S7104">
        <v>15</v>
      </c>
      <c r="T7104">
        <v>185</v>
      </c>
      <c r="U7104" s="1">
        <v>32035</v>
      </c>
      <c r="V7104" t="s">
        <v>80</v>
      </c>
      <c r="W7104" t="s">
        <v>81</v>
      </c>
      <c r="X7104" t="s">
        <v>58</v>
      </c>
      <c r="Y7104">
        <v>21</v>
      </c>
      <c r="Z7104" t="s">
        <v>59</v>
      </c>
      <c r="AA7104" t="s">
        <v>59</v>
      </c>
      <c r="AB7104" t="s">
        <v>59</v>
      </c>
      <c r="AC7104" t="s">
        <v>59</v>
      </c>
      <c r="AD7104" t="s">
        <v>59</v>
      </c>
      <c r="AF7104" s="1">
        <v>32037</v>
      </c>
      <c r="AG7104" t="s">
        <v>8645</v>
      </c>
      <c r="AH7104" t="s">
        <v>8646</v>
      </c>
      <c r="AI7104" t="str">
        <f>"9170423"</f>
        <v>9170423</v>
      </c>
      <c r="AJ7104" t="s">
        <v>8808</v>
      </c>
      <c r="AK7104">
        <v>2810239612</v>
      </c>
      <c r="AL7104" t="s">
        <v>8809</v>
      </c>
      <c r="AM7104" t="s">
        <v>78</v>
      </c>
      <c r="AN7104" t="s">
        <v>78</v>
      </c>
      <c r="AO7104" t="s">
        <v>78</v>
      </c>
      <c r="AP7104" t="s">
        <v>163</v>
      </c>
      <c r="AQ7104">
        <v>1</v>
      </c>
      <c r="AR7104" t="s">
        <v>80</v>
      </c>
      <c r="AS7104" t="s">
        <v>81</v>
      </c>
      <c r="AT7104" t="s">
        <v>58</v>
      </c>
      <c r="AU7104" t="s">
        <v>68</v>
      </c>
      <c r="AV7104" t="s">
        <v>69</v>
      </c>
      <c r="AW7104" s="1">
        <v>23501</v>
      </c>
      <c r="AX7104">
        <v>1</v>
      </c>
    </row>
    <row r="7105" spans="1:50">
      <c r="A7105">
        <v>615011</v>
      </c>
      <c r="B7105" t="str">
        <f>"114567497"</f>
        <v>114567497</v>
      </c>
      <c r="C7105" t="s">
        <v>105</v>
      </c>
      <c r="D7105" t="s">
        <v>3874</v>
      </c>
      <c r="E7105" t="s">
        <v>106</v>
      </c>
      <c r="F7105" t="s">
        <v>154</v>
      </c>
      <c r="G7105" t="s">
        <v>314</v>
      </c>
      <c r="H7105" t="str">
        <f>"ΕΛ. ΒΕΝΙΖΕΛΟΥ 83 ΗΡΑΚΛΕΙΟ"</f>
        <v>ΕΛ. ΒΕΝΙΖΕΛΟΥ 83 ΗΡΑΚΛΕΙΟ</v>
      </c>
      <c r="I7105">
        <v>71414</v>
      </c>
      <c r="J7105">
        <v>2810237847</v>
      </c>
      <c r="K7105">
        <v>6976787890</v>
      </c>
      <c r="N7105" t="s">
        <v>615</v>
      </c>
      <c r="O7105" t="s">
        <v>616</v>
      </c>
      <c r="R7105" t="s">
        <v>57</v>
      </c>
      <c r="S7105">
        <v>6</v>
      </c>
      <c r="T7105">
        <v>598</v>
      </c>
      <c r="U7105" s="1">
        <v>39310</v>
      </c>
      <c r="V7105" t="s">
        <v>80</v>
      </c>
      <c r="W7105" t="s">
        <v>81</v>
      </c>
      <c r="X7105" t="s">
        <v>58</v>
      </c>
      <c r="Y7105">
        <v>23</v>
      </c>
      <c r="Z7105" t="s">
        <v>59</v>
      </c>
      <c r="AA7105" t="s">
        <v>59</v>
      </c>
      <c r="AB7105" t="s">
        <v>59</v>
      </c>
      <c r="AC7105" t="s">
        <v>59</v>
      </c>
      <c r="AD7105" t="s">
        <v>59</v>
      </c>
      <c r="AF7105" s="1">
        <v>39328</v>
      </c>
      <c r="AG7105" t="s">
        <v>8645</v>
      </c>
      <c r="AH7105" t="s">
        <v>8646</v>
      </c>
      <c r="AI7105" t="str">
        <f>"9170191"</f>
        <v>9170191</v>
      </c>
      <c r="AJ7105" t="s">
        <v>8667</v>
      </c>
      <c r="AK7105">
        <v>2810231459</v>
      </c>
      <c r="AL7105" t="s">
        <v>8668</v>
      </c>
      <c r="AM7105" t="s">
        <v>78</v>
      </c>
      <c r="AN7105" t="s">
        <v>78</v>
      </c>
      <c r="AO7105" t="s">
        <v>78</v>
      </c>
      <c r="AP7105" t="s">
        <v>163</v>
      </c>
      <c r="AQ7105">
        <v>1</v>
      </c>
      <c r="AR7105" t="s">
        <v>80</v>
      </c>
      <c r="AS7105" t="s">
        <v>81</v>
      </c>
      <c r="AT7105" t="s">
        <v>58</v>
      </c>
      <c r="AU7105" t="s">
        <v>68</v>
      </c>
      <c r="AV7105" t="s">
        <v>69</v>
      </c>
      <c r="AW7105" s="1">
        <v>29197</v>
      </c>
      <c r="AX7105">
        <v>1</v>
      </c>
    </row>
    <row r="7106" spans="1:50">
      <c r="B7106" t="str">
        <f>"103546982"</f>
        <v>103546982</v>
      </c>
      <c r="C7106" t="s">
        <v>50</v>
      </c>
      <c r="D7106" t="s">
        <v>3896</v>
      </c>
      <c r="E7106" t="s">
        <v>600</v>
      </c>
      <c r="F7106" t="s">
        <v>383</v>
      </c>
      <c r="G7106" t="s">
        <v>109</v>
      </c>
      <c r="H7106" t="str">
        <f>"ΔΡΑΚΟΝΤΟΠΟΥΛΟΥ 26 ΗΡΑΚΛΕΙΟ"</f>
        <v>ΔΡΑΚΟΝΤΟΠΟΥΛΟΥ 26 ΗΡΑΚΛΕΙΟ</v>
      </c>
      <c r="I7106">
        <v>71306</v>
      </c>
      <c r="J7106">
        <v>2810226393</v>
      </c>
      <c r="K7106">
        <v>6945468184</v>
      </c>
      <c r="N7106" t="s">
        <v>384</v>
      </c>
      <c r="O7106" t="s">
        <v>385</v>
      </c>
      <c r="R7106" t="s">
        <v>159</v>
      </c>
      <c r="S7106">
        <v>6</v>
      </c>
      <c r="T7106" t="s">
        <v>8675</v>
      </c>
      <c r="U7106" s="1">
        <v>43348</v>
      </c>
      <c r="V7106" t="s">
        <v>80</v>
      </c>
      <c r="W7106" t="s">
        <v>81</v>
      </c>
      <c r="X7106" t="s">
        <v>58</v>
      </c>
      <c r="Y7106">
        <v>24</v>
      </c>
      <c r="Z7106" t="s">
        <v>59</v>
      </c>
      <c r="AA7106" t="s">
        <v>59</v>
      </c>
      <c r="AB7106" t="s">
        <v>59</v>
      </c>
      <c r="AC7106" t="s">
        <v>59</v>
      </c>
      <c r="AD7106" t="s">
        <v>59</v>
      </c>
      <c r="AF7106" s="1">
        <v>43348</v>
      </c>
      <c r="AG7106" t="s">
        <v>8645</v>
      </c>
      <c r="AH7106" t="s">
        <v>8646</v>
      </c>
      <c r="AI7106" t="str">
        <f>"9170196"</f>
        <v>9170196</v>
      </c>
      <c r="AJ7106" t="s">
        <v>9255</v>
      </c>
      <c r="AK7106">
        <v>2810283356</v>
      </c>
      <c r="AL7106" t="s">
        <v>9256</v>
      </c>
      <c r="AM7106" t="s">
        <v>78</v>
      </c>
      <c r="AN7106" t="s">
        <v>78</v>
      </c>
      <c r="AO7106" t="s">
        <v>78</v>
      </c>
      <c r="AP7106" t="s">
        <v>79</v>
      </c>
      <c r="AQ7106">
        <v>1</v>
      </c>
      <c r="AR7106" t="s">
        <v>80</v>
      </c>
      <c r="AS7106" t="s">
        <v>81</v>
      </c>
      <c r="AT7106" t="s">
        <v>58</v>
      </c>
      <c r="AU7106" t="s">
        <v>8673</v>
      </c>
      <c r="AV7106" t="s">
        <v>132</v>
      </c>
      <c r="AW7106" s="1">
        <v>30265</v>
      </c>
      <c r="AX7106">
        <v>1</v>
      </c>
    </row>
    <row r="7107" spans="1:50">
      <c r="B7107" t="str">
        <f>"151250262"</f>
        <v>151250262</v>
      </c>
      <c r="C7107" t="s">
        <v>50</v>
      </c>
      <c r="D7107" t="s">
        <v>3896</v>
      </c>
      <c r="E7107" t="s">
        <v>250</v>
      </c>
      <c r="F7107" t="s">
        <v>95</v>
      </c>
      <c r="G7107" t="s">
        <v>237</v>
      </c>
      <c r="H7107" t="str">
        <f>" "</f>
        <v xml:space="preserve"> </v>
      </c>
      <c r="N7107" t="s">
        <v>615</v>
      </c>
      <c r="O7107" t="s">
        <v>616</v>
      </c>
      <c r="R7107" t="s">
        <v>159</v>
      </c>
      <c r="S7107">
        <v>1</v>
      </c>
      <c r="T7107" t="s">
        <v>8675</v>
      </c>
      <c r="U7107" s="1">
        <v>43348</v>
      </c>
      <c r="V7107" t="s">
        <v>80</v>
      </c>
      <c r="W7107" t="s">
        <v>81</v>
      </c>
      <c r="X7107" t="s">
        <v>58</v>
      </c>
      <c r="Y7107">
        <v>25</v>
      </c>
      <c r="Z7107" t="s">
        <v>59</v>
      </c>
      <c r="AA7107" t="s">
        <v>59</v>
      </c>
      <c r="AB7107" t="s">
        <v>59</v>
      </c>
      <c r="AC7107" t="s">
        <v>59</v>
      </c>
      <c r="AD7107" t="s">
        <v>59</v>
      </c>
      <c r="AF7107" s="1">
        <v>43348</v>
      </c>
      <c r="AG7107" t="s">
        <v>8645</v>
      </c>
      <c r="AH7107" t="s">
        <v>8676</v>
      </c>
      <c r="AI7107" t="str">
        <f>"9170279"</f>
        <v>9170279</v>
      </c>
      <c r="AJ7107" t="s">
        <v>9327</v>
      </c>
      <c r="AK7107">
        <v>2894031022</v>
      </c>
      <c r="AL7107" t="s">
        <v>9328</v>
      </c>
      <c r="AM7107" t="s">
        <v>78</v>
      </c>
      <c r="AN7107" t="s">
        <v>242</v>
      </c>
      <c r="AO7107" t="s">
        <v>999</v>
      </c>
      <c r="AP7107" t="s">
        <v>9222</v>
      </c>
      <c r="AQ7107">
        <v>21</v>
      </c>
      <c r="AR7107" t="s">
        <v>80</v>
      </c>
      <c r="AS7107" t="s">
        <v>81</v>
      </c>
      <c r="AT7107" t="s">
        <v>58</v>
      </c>
      <c r="AU7107" t="s">
        <v>8673</v>
      </c>
      <c r="AV7107" t="s">
        <v>132</v>
      </c>
      <c r="AW7107" s="1">
        <v>32664</v>
      </c>
      <c r="AX7107">
        <v>1</v>
      </c>
    </row>
    <row r="7108" spans="1:50">
      <c r="A7108">
        <v>622812</v>
      </c>
      <c r="B7108" t="str">
        <f>"100140454"</f>
        <v>100140454</v>
      </c>
      <c r="C7108" t="s">
        <v>50</v>
      </c>
      <c r="D7108" t="s">
        <v>3896</v>
      </c>
      <c r="E7108" t="s">
        <v>112</v>
      </c>
      <c r="F7108" t="s">
        <v>95</v>
      </c>
      <c r="G7108" t="s">
        <v>73</v>
      </c>
      <c r="H7108" t="str">
        <f>"ΣΠΑΡΤΗΣ 15 ΗΡΑΚΛΕΙΟ"</f>
        <v>ΣΠΑΡΤΗΣ 15 ΗΡΑΚΛΕΙΟ</v>
      </c>
      <c r="I7108">
        <v>71409</v>
      </c>
      <c r="J7108">
        <v>2810237358</v>
      </c>
      <c r="K7108">
        <v>6976338065</v>
      </c>
      <c r="N7108" t="s">
        <v>1525</v>
      </c>
      <c r="O7108" t="s">
        <v>1526</v>
      </c>
      <c r="R7108" t="s">
        <v>57</v>
      </c>
      <c r="S7108">
        <v>4</v>
      </c>
      <c r="T7108">
        <v>653</v>
      </c>
      <c r="U7108" s="1">
        <v>40043</v>
      </c>
      <c r="V7108" t="s">
        <v>80</v>
      </c>
      <c r="W7108" t="s">
        <v>81</v>
      </c>
      <c r="X7108" t="s">
        <v>58</v>
      </c>
      <c r="Y7108">
        <v>25</v>
      </c>
      <c r="Z7108" t="s">
        <v>59</v>
      </c>
      <c r="AA7108" t="s">
        <v>59</v>
      </c>
      <c r="AB7108" t="s">
        <v>59</v>
      </c>
      <c r="AC7108" t="s">
        <v>59</v>
      </c>
      <c r="AD7108" t="s">
        <v>59</v>
      </c>
      <c r="AF7108" s="1">
        <v>40043</v>
      </c>
      <c r="AG7108" t="s">
        <v>8651</v>
      </c>
      <c r="AH7108" t="s">
        <v>8652</v>
      </c>
      <c r="AI7108" t="str">
        <f>"9170417"</f>
        <v>9170417</v>
      </c>
      <c r="AJ7108" t="s">
        <v>8755</v>
      </c>
      <c r="AK7108">
        <v>2810752140</v>
      </c>
      <c r="AL7108" t="s">
        <v>8756</v>
      </c>
      <c r="AM7108" t="s">
        <v>78</v>
      </c>
      <c r="AN7108" t="s">
        <v>424</v>
      </c>
      <c r="AO7108" t="s">
        <v>425</v>
      </c>
      <c r="AP7108" t="s">
        <v>8757</v>
      </c>
      <c r="AQ7108">
        <v>11</v>
      </c>
      <c r="AR7108" t="s">
        <v>80</v>
      </c>
      <c r="AS7108" t="s">
        <v>81</v>
      </c>
      <c r="AT7108" t="s">
        <v>58</v>
      </c>
      <c r="AU7108" t="s">
        <v>68</v>
      </c>
      <c r="AV7108" t="s">
        <v>69</v>
      </c>
      <c r="AW7108" s="1">
        <v>27143</v>
      </c>
      <c r="AX7108">
        <v>1</v>
      </c>
    </row>
    <row r="7109" spans="1:50">
      <c r="B7109" t="str">
        <f>"122045726"</f>
        <v>122045726</v>
      </c>
      <c r="C7109" t="s">
        <v>50</v>
      </c>
      <c r="D7109" t="s">
        <v>11478</v>
      </c>
      <c r="E7109" t="s">
        <v>155</v>
      </c>
      <c r="F7109" t="s">
        <v>1320</v>
      </c>
      <c r="G7109" t="s">
        <v>191</v>
      </c>
      <c r="H7109" t="str">
        <f>"ΚΑΛΑΒΡΥΤΩΝ 10 ΛΑΡΙΣΑ"</f>
        <v>ΚΑΛΑΒΡΥΤΩΝ 10 ΛΑΡΙΣΑ</v>
      </c>
      <c r="I7109">
        <v>41336</v>
      </c>
      <c r="J7109">
        <v>2410231920</v>
      </c>
      <c r="K7109">
        <v>6977733323</v>
      </c>
      <c r="N7109" t="s">
        <v>5128</v>
      </c>
      <c r="O7109" t="s">
        <v>5129</v>
      </c>
      <c r="R7109" t="s">
        <v>159</v>
      </c>
      <c r="S7109">
        <v>5</v>
      </c>
      <c r="T7109" t="s">
        <v>8696</v>
      </c>
      <c r="U7109" s="1">
        <v>43348</v>
      </c>
      <c r="V7109" t="s">
        <v>80</v>
      </c>
      <c r="W7109" t="s">
        <v>81</v>
      </c>
      <c r="X7109" t="s">
        <v>58</v>
      </c>
      <c r="Y7109">
        <v>24</v>
      </c>
      <c r="Z7109" t="s">
        <v>59</v>
      </c>
      <c r="AA7109" t="s">
        <v>59</v>
      </c>
      <c r="AB7109" t="s">
        <v>59</v>
      </c>
      <c r="AC7109" t="s">
        <v>59</v>
      </c>
      <c r="AD7109" t="s">
        <v>59</v>
      </c>
      <c r="AF7109" s="1">
        <v>43348</v>
      </c>
      <c r="AG7109" t="s">
        <v>8645</v>
      </c>
      <c r="AH7109" t="s">
        <v>8697</v>
      </c>
      <c r="AI7109" t="str">
        <f>"9170372"</f>
        <v>9170372</v>
      </c>
      <c r="AJ7109" t="s">
        <v>9296</v>
      </c>
      <c r="AK7109">
        <v>2810281754</v>
      </c>
      <c r="AL7109" t="s">
        <v>9297</v>
      </c>
      <c r="AM7109" t="s">
        <v>78</v>
      </c>
      <c r="AN7109" t="s">
        <v>78</v>
      </c>
      <c r="AO7109" t="s">
        <v>78</v>
      </c>
      <c r="AP7109" t="s">
        <v>79</v>
      </c>
      <c r="AQ7109">
        <v>1</v>
      </c>
      <c r="AR7109" t="s">
        <v>80</v>
      </c>
      <c r="AS7109" t="s">
        <v>81</v>
      </c>
      <c r="AT7109" t="s">
        <v>58</v>
      </c>
      <c r="AU7109" t="s">
        <v>350</v>
      </c>
      <c r="AV7109" t="s">
        <v>132</v>
      </c>
      <c r="AW7109" s="1">
        <v>29314</v>
      </c>
      <c r="AX7109">
        <v>1</v>
      </c>
    </row>
    <row r="7110" spans="1:50">
      <c r="A7110">
        <v>224555</v>
      </c>
      <c r="B7110" t="str">
        <f>"046849781"</f>
        <v>046849781</v>
      </c>
      <c r="C7110" t="s">
        <v>50</v>
      </c>
      <c r="D7110" t="s">
        <v>11479</v>
      </c>
      <c r="E7110" t="s">
        <v>52</v>
      </c>
      <c r="F7110" t="s">
        <v>99</v>
      </c>
      <c r="G7110" t="s">
        <v>714</v>
      </c>
      <c r="H7110" t="str">
        <f>" "</f>
        <v xml:space="preserve"> </v>
      </c>
      <c r="J7110">
        <v>2810261220</v>
      </c>
      <c r="K7110">
        <v>6978556643</v>
      </c>
      <c r="N7110" t="s">
        <v>288</v>
      </c>
      <c r="O7110" t="s">
        <v>289</v>
      </c>
      <c r="R7110" t="s">
        <v>57</v>
      </c>
      <c r="S7110">
        <v>7</v>
      </c>
      <c r="T7110">
        <v>775</v>
      </c>
      <c r="U7110" s="1">
        <v>39680</v>
      </c>
      <c r="V7110" t="s">
        <v>80</v>
      </c>
      <c r="W7110" t="s">
        <v>81</v>
      </c>
      <c r="X7110" t="s">
        <v>58</v>
      </c>
      <c r="Y7110">
        <v>23</v>
      </c>
      <c r="Z7110" t="s">
        <v>59</v>
      </c>
      <c r="AA7110" t="s">
        <v>59</v>
      </c>
      <c r="AB7110" t="s">
        <v>59</v>
      </c>
      <c r="AC7110" t="s">
        <v>59</v>
      </c>
      <c r="AD7110" t="s">
        <v>59</v>
      </c>
      <c r="AF7110" s="1">
        <v>39682</v>
      </c>
      <c r="AG7110" t="s">
        <v>8645</v>
      </c>
      <c r="AH7110" t="s">
        <v>8646</v>
      </c>
      <c r="AI7110" t="str">
        <f>"9170017"</f>
        <v>9170017</v>
      </c>
      <c r="AJ7110" t="s">
        <v>9114</v>
      </c>
      <c r="AK7110">
        <v>2810250746</v>
      </c>
      <c r="AL7110" t="s">
        <v>9115</v>
      </c>
      <c r="AM7110" t="s">
        <v>78</v>
      </c>
      <c r="AN7110" t="s">
        <v>129</v>
      </c>
      <c r="AO7110" t="s">
        <v>130</v>
      </c>
      <c r="AP7110" t="s">
        <v>130</v>
      </c>
      <c r="AQ7110">
        <v>1</v>
      </c>
      <c r="AR7110" t="s">
        <v>80</v>
      </c>
      <c r="AS7110" t="s">
        <v>81</v>
      </c>
      <c r="AT7110" t="s">
        <v>58</v>
      </c>
      <c r="AU7110" t="s">
        <v>68</v>
      </c>
      <c r="AV7110" t="s">
        <v>69</v>
      </c>
      <c r="AW7110" s="1">
        <v>26169</v>
      </c>
      <c r="AX7110">
        <v>1</v>
      </c>
    </row>
    <row r="7111" spans="1:50">
      <c r="A7111">
        <v>586628</v>
      </c>
      <c r="B7111" t="str">
        <f>"055233486"</f>
        <v>055233486</v>
      </c>
      <c r="C7111" t="s">
        <v>50</v>
      </c>
      <c r="D7111" t="s">
        <v>3904</v>
      </c>
      <c r="E7111" t="s">
        <v>255</v>
      </c>
      <c r="F7111" t="s">
        <v>949</v>
      </c>
      <c r="G7111" t="s">
        <v>83</v>
      </c>
      <c r="H7111" t="str">
        <f>"ΠΑΡΟΔΟΣ ΠΕΛΛΗΣ 25 ΗΡΑΚΛΕΙΟ"</f>
        <v>ΠΑΡΟΔΟΣ ΠΕΛΛΗΣ 25 ΗΡΑΚΛΕΙΟ</v>
      </c>
      <c r="I7111">
        <v>71307</v>
      </c>
      <c r="J7111">
        <v>2810241695</v>
      </c>
      <c r="K7111">
        <v>6932450875</v>
      </c>
      <c r="M7111" t="s">
        <v>11480</v>
      </c>
      <c r="N7111" t="s">
        <v>615</v>
      </c>
      <c r="O7111" t="s">
        <v>616</v>
      </c>
      <c r="R7111" t="s">
        <v>57</v>
      </c>
      <c r="S7111">
        <v>10</v>
      </c>
      <c r="T7111">
        <v>165</v>
      </c>
      <c r="U7111" s="1">
        <v>36040</v>
      </c>
      <c r="V7111" t="s">
        <v>80</v>
      </c>
      <c r="W7111" t="s">
        <v>81</v>
      </c>
      <c r="X7111" t="s">
        <v>58</v>
      </c>
      <c r="Y7111">
        <v>21</v>
      </c>
      <c r="Z7111" t="s">
        <v>59</v>
      </c>
      <c r="AA7111" t="s">
        <v>59</v>
      </c>
      <c r="AB7111" t="s">
        <v>59</v>
      </c>
      <c r="AC7111" t="s">
        <v>59</v>
      </c>
      <c r="AD7111" t="s">
        <v>59</v>
      </c>
      <c r="AF7111" s="1">
        <v>36042</v>
      </c>
      <c r="AG7111" t="s">
        <v>8645</v>
      </c>
      <c r="AH7111" t="s">
        <v>8646</v>
      </c>
      <c r="AI7111" t="str">
        <f>"9170531"</f>
        <v>9170531</v>
      </c>
      <c r="AJ7111" t="s">
        <v>8980</v>
      </c>
      <c r="AK7111">
        <v>2810229104</v>
      </c>
      <c r="AL7111" t="s">
        <v>8981</v>
      </c>
      <c r="AM7111" t="s">
        <v>78</v>
      </c>
      <c r="AN7111" t="s">
        <v>78</v>
      </c>
      <c r="AO7111" t="s">
        <v>78</v>
      </c>
      <c r="AP7111" t="s">
        <v>79</v>
      </c>
      <c r="AQ7111">
        <v>1</v>
      </c>
      <c r="AR7111" t="s">
        <v>80</v>
      </c>
      <c r="AS7111" t="s">
        <v>81</v>
      </c>
      <c r="AT7111" t="s">
        <v>58</v>
      </c>
      <c r="AU7111" t="s">
        <v>68</v>
      </c>
      <c r="AV7111" t="s">
        <v>69</v>
      </c>
      <c r="AW7111" s="1">
        <v>25559</v>
      </c>
      <c r="AX7111">
        <v>1</v>
      </c>
    </row>
    <row r="7112" spans="1:50">
      <c r="B7112" t="str">
        <f>"136005440"</f>
        <v>136005440</v>
      </c>
      <c r="C7112" t="s">
        <v>50</v>
      </c>
      <c r="D7112" t="s">
        <v>3904</v>
      </c>
      <c r="E7112" t="s">
        <v>714</v>
      </c>
      <c r="F7112" t="s">
        <v>95</v>
      </c>
      <c r="G7112" t="s">
        <v>73</v>
      </c>
      <c r="H7112" t="str">
        <f>"ΚΟΚΚΙΝΗ ΧΑΝΙ "</f>
        <v xml:space="preserve">ΚΟΚΚΙΝΗ ΧΑΝΙ </v>
      </c>
      <c r="I7112">
        <v>71500</v>
      </c>
      <c r="J7112">
        <v>2810763062</v>
      </c>
      <c r="K7112">
        <v>6974279323</v>
      </c>
      <c r="N7112" t="s">
        <v>1525</v>
      </c>
      <c r="O7112" t="s">
        <v>1526</v>
      </c>
      <c r="R7112" t="s">
        <v>159</v>
      </c>
      <c r="S7112">
        <v>3</v>
      </c>
      <c r="T7112" t="s">
        <v>8670</v>
      </c>
      <c r="U7112" s="1">
        <v>43348</v>
      </c>
      <c r="V7112" t="s">
        <v>80</v>
      </c>
      <c r="W7112" t="s">
        <v>81</v>
      </c>
      <c r="X7112" t="s">
        <v>58</v>
      </c>
      <c r="Y7112">
        <v>25</v>
      </c>
      <c r="Z7112" t="s">
        <v>59</v>
      </c>
      <c r="AA7112" t="s">
        <v>59</v>
      </c>
      <c r="AB7112" t="s">
        <v>59</v>
      </c>
      <c r="AC7112" t="s">
        <v>59</v>
      </c>
      <c r="AD7112" t="s">
        <v>59</v>
      </c>
      <c r="AF7112" s="1">
        <v>43348</v>
      </c>
      <c r="AG7112" t="s">
        <v>8651</v>
      </c>
      <c r="AH7112" t="s">
        <v>8652</v>
      </c>
      <c r="AI7112" t="str">
        <f>"9170201"</f>
        <v>9170201</v>
      </c>
      <c r="AJ7112" t="s">
        <v>10067</v>
      </c>
      <c r="AK7112">
        <v>2810741564</v>
      </c>
      <c r="AL7112" t="s">
        <v>10068</v>
      </c>
      <c r="AM7112" t="s">
        <v>78</v>
      </c>
      <c r="AN7112" t="s">
        <v>424</v>
      </c>
      <c r="AO7112" t="s">
        <v>428</v>
      </c>
      <c r="AP7112" t="s">
        <v>9591</v>
      </c>
      <c r="AQ7112">
        <v>11</v>
      </c>
      <c r="AR7112" t="s">
        <v>80</v>
      </c>
      <c r="AS7112" t="s">
        <v>81</v>
      </c>
      <c r="AT7112" t="s">
        <v>58</v>
      </c>
      <c r="AU7112" t="s">
        <v>8673</v>
      </c>
      <c r="AV7112" t="s">
        <v>132</v>
      </c>
      <c r="AW7112" s="1">
        <v>30043</v>
      </c>
      <c r="AX7112">
        <v>1</v>
      </c>
    </row>
    <row r="7113" spans="1:50">
      <c r="B7113" t="str">
        <f>"151902059"</f>
        <v>151902059</v>
      </c>
      <c r="C7113" t="s">
        <v>105</v>
      </c>
      <c r="D7113" t="s">
        <v>11481</v>
      </c>
      <c r="E7113" t="s">
        <v>84</v>
      </c>
      <c r="F7113" t="s">
        <v>95</v>
      </c>
      <c r="G7113" t="s">
        <v>620</v>
      </c>
      <c r="H7113" t="str">
        <f>"ΠΟΝΤΟΥ 36 "</f>
        <v xml:space="preserve">ΠΟΝΤΟΥ 36 </v>
      </c>
      <c r="I7113">
        <v>40200</v>
      </c>
      <c r="J7113">
        <v>2493024206</v>
      </c>
      <c r="K7113">
        <v>6947761156</v>
      </c>
      <c r="N7113" t="s">
        <v>615</v>
      </c>
      <c r="O7113" t="s">
        <v>616</v>
      </c>
      <c r="R7113" t="s">
        <v>159</v>
      </c>
      <c r="S7113">
        <v>3</v>
      </c>
      <c r="T7113" t="s">
        <v>8675</v>
      </c>
      <c r="U7113" s="1">
        <v>43348</v>
      </c>
      <c r="V7113" t="s">
        <v>80</v>
      </c>
      <c r="W7113" t="s">
        <v>81</v>
      </c>
      <c r="X7113" t="s">
        <v>58</v>
      </c>
      <c r="Y7113">
        <v>24</v>
      </c>
      <c r="Z7113" t="s">
        <v>59</v>
      </c>
      <c r="AA7113" t="s">
        <v>59</v>
      </c>
      <c r="AB7113" t="s">
        <v>59</v>
      </c>
      <c r="AC7113" t="s">
        <v>59</v>
      </c>
      <c r="AD7113" t="s">
        <v>59</v>
      </c>
      <c r="AF7113" s="1">
        <v>43348</v>
      </c>
      <c r="AG7113" t="s">
        <v>8645</v>
      </c>
      <c r="AH7113" t="s">
        <v>8646</v>
      </c>
      <c r="AI7113" t="str">
        <f>"9170515"</f>
        <v>9170515</v>
      </c>
      <c r="AJ7113" t="s">
        <v>8790</v>
      </c>
      <c r="AK7113">
        <v>2810254821</v>
      </c>
      <c r="AL7113" t="s">
        <v>8791</v>
      </c>
      <c r="AM7113" t="s">
        <v>78</v>
      </c>
      <c r="AN7113" t="s">
        <v>78</v>
      </c>
      <c r="AO7113" t="s">
        <v>78</v>
      </c>
      <c r="AP7113" t="s">
        <v>163</v>
      </c>
      <c r="AQ7113">
        <v>1</v>
      </c>
      <c r="AR7113" t="s">
        <v>80</v>
      </c>
      <c r="AS7113" t="s">
        <v>81</v>
      </c>
      <c r="AT7113" t="s">
        <v>58</v>
      </c>
      <c r="AU7113" t="s">
        <v>8673</v>
      </c>
      <c r="AV7113" t="s">
        <v>132</v>
      </c>
      <c r="AW7113" s="1">
        <v>31796</v>
      </c>
      <c r="AX7113">
        <v>1</v>
      </c>
    </row>
    <row r="7114" spans="1:50">
      <c r="B7114" t="str">
        <f>"144321816"</f>
        <v>144321816</v>
      </c>
      <c r="C7114" t="s">
        <v>50</v>
      </c>
      <c r="D7114" t="s">
        <v>3911</v>
      </c>
      <c r="E7114" t="s">
        <v>1694</v>
      </c>
      <c r="F7114" t="s">
        <v>95</v>
      </c>
      <c r="G7114" t="s">
        <v>52</v>
      </c>
      <c r="H7114" t="str">
        <f>"ΑΡΙΣΤΕΙΔΟΥ ΧΑΙΡΕΤΗ 2 ΗΡΑΚΛΕΙΟ"</f>
        <v>ΑΡΙΣΤΕΙΔΟΥ ΧΑΙΡΕΤΗ 2 ΗΡΑΚΛΕΙΟ</v>
      </c>
      <c r="I7114">
        <v>71307</v>
      </c>
      <c r="J7114">
        <v>2810233668</v>
      </c>
      <c r="K7114">
        <v>6946624371</v>
      </c>
      <c r="M7114" t="s">
        <v>11482</v>
      </c>
      <c r="N7114" t="s">
        <v>615</v>
      </c>
      <c r="O7114" t="s">
        <v>616</v>
      </c>
      <c r="R7114" t="s">
        <v>159</v>
      </c>
      <c r="S7114">
        <v>5</v>
      </c>
      <c r="T7114" t="s">
        <v>8675</v>
      </c>
      <c r="U7114" s="1">
        <v>43348</v>
      </c>
      <c r="V7114" t="s">
        <v>80</v>
      </c>
      <c r="W7114" t="s">
        <v>81</v>
      </c>
      <c r="X7114" t="s">
        <v>58</v>
      </c>
      <c r="Y7114">
        <v>24</v>
      </c>
      <c r="Z7114" t="s">
        <v>59</v>
      </c>
      <c r="AA7114" t="s">
        <v>59</v>
      </c>
      <c r="AB7114" t="s">
        <v>59</v>
      </c>
      <c r="AC7114" t="s">
        <v>59</v>
      </c>
      <c r="AD7114" t="s">
        <v>59</v>
      </c>
      <c r="AF7114" s="1">
        <v>43348</v>
      </c>
      <c r="AG7114" t="s">
        <v>8645</v>
      </c>
      <c r="AH7114" t="s">
        <v>8646</v>
      </c>
      <c r="AI7114" t="str">
        <f>"9170068"</f>
        <v>9170068</v>
      </c>
      <c r="AJ7114" t="s">
        <v>8773</v>
      </c>
      <c r="AK7114">
        <v>2893031217</v>
      </c>
      <c r="AL7114" t="s">
        <v>8774</v>
      </c>
      <c r="AM7114" t="s">
        <v>78</v>
      </c>
      <c r="AN7114" t="s">
        <v>405</v>
      </c>
      <c r="AO7114" t="s">
        <v>805</v>
      </c>
      <c r="AP7114" t="s">
        <v>806</v>
      </c>
      <c r="AQ7114">
        <v>15</v>
      </c>
      <c r="AR7114" t="s">
        <v>80</v>
      </c>
      <c r="AS7114" t="s">
        <v>81</v>
      </c>
      <c r="AT7114" t="s">
        <v>58</v>
      </c>
      <c r="AU7114" t="s">
        <v>8673</v>
      </c>
      <c r="AV7114" t="s">
        <v>132</v>
      </c>
      <c r="AW7114" s="1">
        <v>32363</v>
      </c>
      <c r="AX7114">
        <v>1</v>
      </c>
    </row>
    <row r="7115" spans="1:50">
      <c r="A7115">
        <v>700765</v>
      </c>
      <c r="B7115" t="str">
        <f>"078711946"</f>
        <v>078711946</v>
      </c>
      <c r="C7115" t="s">
        <v>50</v>
      </c>
      <c r="D7115" t="s">
        <v>3911</v>
      </c>
      <c r="E7115" t="s">
        <v>842</v>
      </c>
      <c r="F7115" t="s">
        <v>95</v>
      </c>
      <c r="G7115" t="s">
        <v>112</v>
      </c>
      <c r="H7115" t="str">
        <f>"ΡΙΘΥΜΝΑΣ 3 ΗΡΑΚΛΕΙΟ"</f>
        <v>ΡΙΘΥΜΝΑΣ 3 ΗΡΑΚΛΕΙΟ</v>
      </c>
      <c r="I7115">
        <v>71409</v>
      </c>
      <c r="J7115">
        <v>2810286508</v>
      </c>
      <c r="K7115">
        <v>6971898123</v>
      </c>
      <c r="N7115" t="s">
        <v>615</v>
      </c>
      <c r="O7115" t="s">
        <v>616</v>
      </c>
      <c r="R7115" t="s">
        <v>57</v>
      </c>
      <c r="S7115">
        <v>4</v>
      </c>
      <c r="T7115">
        <v>772</v>
      </c>
      <c r="U7115" s="1">
        <v>40413</v>
      </c>
      <c r="V7115" t="s">
        <v>80</v>
      </c>
      <c r="W7115" t="s">
        <v>81</v>
      </c>
      <c r="X7115" t="s">
        <v>58</v>
      </c>
      <c r="Y7115">
        <v>24</v>
      </c>
      <c r="Z7115" t="s">
        <v>59</v>
      </c>
      <c r="AA7115" t="s">
        <v>59</v>
      </c>
      <c r="AB7115" t="s">
        <v>59</v>
      </c>
      <c r="AC7115" t="s">
        <v>59</v>
      </c>
      <c r="AD7115" t="s">
        <v>59</v>
      </c>
      <c r="AF7115" s="1">
        <v>40413</v>
      </c>
      <c r="AG7115" t="s">
        <v>8645</v>
      </c>
      <c r="AH7115" t="s">
        <v>8646</v>
      </c>
      <c r="AI7115" t="str">
        <f>"9170144"</f>
        <v>9170144</v>
      </c>
      <c r="AJ7115" t="s">
        <v>8729</v>
      </c>
      <c r="AK7115">
        <v>2891022244</v>
      </c>
      <c r="AL7115" t="s">
        <v>8730</v>
      </c>
      <c r="AM7115" t="s">
        <v>78</v>
      </c>
      <c r="AN7115" t="s">
        <v>276</v>
      </c>
      <c r="AO7115" t="s">
        <v>490</v>
      </c>
      <c r="AP7115" t="s">
        <v>490</v>
      </c>
      <c r="AQ7115">
        <v>12</v>
      </c>
      <c r="AR7115" t="s">
        <v>80</v>
      </c>
      <c r="AS7115" t="s">
        <v>81</v>
      </c>
      <c r="AT7115" t="s">
        <v>58</v>
      </c>
      <c r="AU7115" t="s">
        <v>68</v>
      </c>
      <c r="AV7115" t="s">
        <v>69</v>
      </c>
      <c r="AW7115" s="1">
        <v>31754</v>
      </c>
      <c r="AX7115">
        <v>1</v>
      </c>
    </row>
    <row r="7116" spans="1:50">
      <c r="A7116">
        <v>556274</v>
      </c>
      <c r="B7116" t="str">
        <f>"032358121"</f>
        <v>032358121</v>
      </c>
      <c r="C7116" t="s">
        <v>50</v>
      </c>
      <c r="D7116" t="s">
        <v>3911</v>
      </c>
      <c r="E7116" t="s">
        <v>52</v>
      </c>
      <c r="F7116" t="s">
        <v>72</v>
      </c>
      <c r="G7116" t="s">
        <v>610</v>
      </c>
      <c r="H7116" t="str">
        <f>" "</f>
        <v xml:space="preserve"> </v>
      </c>
      <c r="N7116" t="s">
        <v>615</v>
      </c>
      <c r="O7116" t="s">
        <v>616</v>
      </c>
      <c r="R7116" t="s">
        <v>57</v>
      </c>
      <c r="S7116">
        <v>17</v>
      </c>
      <c r="T7116">
        <v>200</v>
      </c>
      <c r="U7116" s="1">
        <v>31657</v>
      </c>
      <c r="V7116" t="s">
        <v>80</v>
      </c>
      <c r="W7116" t="s">
        <v>81</v>
      </c>
      <c r="X7116" t="s">
        <v>58</v>
      </c>
      <c r="Y7116">
        <v>21</v>
      </c>
      <c r="Z7116" t="s">
        <v>59</v>
      </c>
      <c r="AA7116" t="s">
        <v>59</v>
      </c>
      <c r="AB7116" t="s">
        <v>59</v>
      </c>
      <c r="AC7116" t="s">
        <v>59</v>
      </c>
      <c r="AD7116" t="s">
        <v>59</v>
      </c>
      <c r="AF7116" s="1">
        <v>31663</v>
      </c>
      <c r="AG7116" t="s">
        <v>8645</v>
      </c>
      <c r="AH7116" t="s">
        <v>8646</v>
      </c>
      <c r="AI7116" t="str">
        <f>"9170519"</f>
        <v>9170519</v>
      </c>
      <c r="AJ7116" t="s">
        <v>8647</v>
      </c>
      <c r="AK7116">
        <v>2810244075</v>
      </c>
      <c r="AL7116" t="s">
        <v>8648</v>
      </c>
      <c r="AM7116" t="s">
        <v>78</v>
      </c>
      <c r="AN7116" t="s">
        <v>78</v>
      </c>
      <c r="AO7116" t="s">
        <v>78</v>
      </c>
      <c r="AP7116" t="s">
        <v>213</v>
      </c>
      <c r="AQ7116">
        <v>1</v>
      </c>
      <c r="AR7116" t="s">
        <v>80</v>
      </c>
      <c r="AS7116" t="s">
        <v>81</v>
      </c>
      <c r="AT7116" t="s">
        <v>58</v>
      </c>
      <c r="AU7116" t="s">
        <v>68</v>
      </c>
      <c r="AV7116" t="s">
        <v>69</v>
      </c>
      <c r="AW7116" s="1">
        <v>23176</v>
      </c>
      <c r="AX7116">
        <v>1</v>
      </c>
    </row>
    <row r="7117" spans="1:50">
      <c r="A7117">
        <v>604816</v>
      </c>
      <c r="B7117" t="str">
        <f>"047466061"</f>
        <v>047466061</v>
      </c>
      <c r="C7117" t="s">
        <v>50</v>
      </c>
      <c r="D7117" t="s">
        <v>3911</v>
      </c>
      <c r="E7117" t="s">
        <v>52</v>
      </c>
      <c r="F7117" t="s">
        <v>53</v>
      </c>
      <c r="G7117" t="s">
        <v>191</v>
      </c>
      <c r="H7117" t="str">
        <f>"ΔΑΜΑΣΚΗΝΟΥ 41 ΜΑΣΤΑΜΠΑΣ"</f>
        <v>ΔΑΜΑΣΚΗΝΟΥ 41 ΜΑΣΤΑΜΠΑΣ</v>
      </c>
      <c r="I7117">
        <v>71305</v>
      </c>
      <c r="K7117">
        <v>6978931108</v>
      </c>
      <c r="N7117" t="s">
        <v>615</v>
      </c>
      <c r="O7117" t="s">
        <v>616</v>
      </c>
      <c r="R7117" t="s">
        <v>57</v>
      </c>
      <c r="S7117">
        <v>8</v>
      </c>
      <c r="T7117">
        <v>231</v>
      </c>
      <c r="U7117" s="1">
        <v>38230</v>
      </c>
      <c r="V7117" t="s">
        <v>80</v>
      </c>
      <c r="W7117" t="s">
        <v>81</v>
      </c>
      <c r="X7117" t="s">
        <v>58</v>
      </c>
      <c r="Y7117">
        <v>22</v>
      </c>
      <c r="Z7117" t="s">
        <v>59</v>
      </c>
      <c r="AA7117" t="s">
        <v>59</v>
      </c>
      <c r="AB7117" t="s">
        <v>59</v>
      </c>
      <c r="AC7117" t="s">
        <v>59</v>
      </c>
      <c r="AD7117" t="s">
        <v>59</v>
      </c>
      <c r="AF7117" s="1">
        <v>38231</v>
      </c>
      <c r="AG7117" t="s">
        <v>8645</v>
      </c>
      <c r="AH7117" t="s">
        <v>8646</v>
      </c>
      <c r="AI7117" t="str">
        <f>"9170512"</f>
        <v>9170512</v>
      </c>
      <c r="AJ7117" t="s">
        <v>8986</v>
      </c>
      <c r="AK7117">
        <v>2810253082</v>
      </c>
      <c r="AL7117" t="s">
        <v>8987</v>
      </c>
      <c r="AM7117" t="s">
        <v>78</v>
      </c>
      <c r="AN7117" t="s">
        <v>78</v>
      </c>
      <c r="AO7117" t="s">
        <v>78</v>
      </c>
      <c r="AP7117" t="s">
        <v>141</v>
      </c>
      <c r="AQ7117">
        <v>1</v>
      </c>
      <c r="AR7117" t="s">
        <v>80</v>
      </c>
      <c r="AS7117" t="s">
        <v>81</v>
      </c>
      <c r="AT7117" t="s">
        <v>58</v>
      </c>
      <c r="AU7117" t="s">
        <v>68</v>
      </c>
      <c r="AV7117" t="s">
        <v>69</v>
      </c>
      <c r="AW7117" s="1">
        <v>26175</v>
      </c>
      <c r="AX7117">
        <v>1</v>
      </c>
    </row>
    <row r="7118" spans="1:50">
      <c r="A7118">
        <v>577413</v>
      </c>
      <c r="B7118" t="str">
        <f>"034765176"</f>
        <v>034765176</v>
      </c>
      <c r="C7118" t="s">
        <v>105</v>
      </c>
      <c r="D7118" t="s">
        <v>3913</v>
      </c>
      <c r="E7118" t="s">
        <v>95</v>
      </c>
      <c r="F7118" t="s">
        <v>166</v>
      </c>
      <c r="G7118" t="s">
        <v>1694</v>
      </c>
      <c r="H7118" t="str">
        <f>"ΑΡΙΣΤΕΙΔΗ ΧΑΙΡΕΤΗ 2 ΗΡΑΚΛΕΙΟ"</f>
        <v>ΑΡΙΣΤΕΙΔΗ ΧΑΙΡΕΤΗ 2 ΗΡΑΚΛΕΙΟ</v>
      </c>
      <c r="I7118">
        <v>71307</v>
      </c>
      <c r="J7118">
        <v>2810233668</v>
      </c>
      <c r="K7118">
        <v>6955253215</v>
      </c>
      <c r="N7118" t="s">
        <v>176</v>
      </c>
      <c r="O7118" t="s">
        <v>177</v>
      </c>
      <c r="R7118" t="s">
        <v>57</v>
      </c>
      <c r="S7118">
        <v>14</v>
      </c>
      <c r="T7118">
        <v>184</v>
      </c>
      <c r="U7118" s="1">
        <v>34941</v>
      </c>
      <c r="V7118" t="s">
        <v>80</v>
      </c>
      <c r="W7118" t="s">
        <v>81</v>
      </c>
      <c r="X7118" t="s">
        <v>58</v>
      </c>
      <c r="Y7118">
        <v>21</v>
      </c>
      <c r="Z7118" t="s">
        <v>59</v>
      </c>
      <c r="AA7118" t="s">
        <v>59</v>
      </c>
      <c r="AB7118" t="s">
        <v>59</v>
      </c>
      <c r="AC7118" t="s">
        <v>59</v>
      </c>
      <c r="AD7118" t="s">
        <v>59</v>
      </c>
      <c r="AF7118" s="1">
        <v>34943</v>
      </c>
      <c r="AG7118" t="s">
        <v>8645</v>
      </c>
      <c r="AH7118" t="s">
        <v>8646</v>
      </c>
      <c r="AI7118" t="str">
        <f>"9170190"</f>
        <v>9170190</v>
      </c>
      <c r="AJ7118" t="s">
        <v>8689</v>
      </c>
      <c r="AK7118">
        <v>2810232169</v>
      </c>
      <c r="AL7118" t="s">
        <v>8690</v>
      </c>
      <c r="AM7118" t="s">
        <v>78</v>
      </c>
      <c r="AN7118" t="s">
        <v>78</v>
      </c>
      <c r="AO7118" t="s">
        <v>78</v>
      </c>
      <c r="AP7118" t="s">
        <v>163</v>
      </c>
      <c r="AQ7118">
        <v>1</v>
      </c>
      <c r="AR7118" t="s">
        <v>80</v>
      </c>
      <c r="AS7118" t="s">
        <v>81</v>
      </c>
      <c r="AT7118" t="s">
        <v>58</v>
      </c>
      <c r="AU7118" t="s">
        <v>68</v>
      </c>
      <c r="AV7118" t="s">
        <v>69</v>
      </c>
      <c r="AW7118" s="1">
        <v>22611</v>
      </c>
      <c r="AX7118">
        <v>1</v>
      </c>
    </row>
    <row r="7119" spans="1:50">
      <c r="A7119">
        <v>593872</v>
      </c>
      <c r="B7119" t="str">
        <f>"055497535"</f>
        <v>055497535</v>
      </c>
      <c r="C7119" t="s">
        <v>105</v>
      </c>
      <c r="D7119" t="s">
        <v>3913</v>
      </c>
      <c r="E7119" t="s">
        <v>95</v>
      </c>
      <c r="F7119" t="s">
        <v>106</v>
      </c>
      <c r="G7119" t="s">
        <v>52</v>
      </c>
      <c r="H7119" t="str">
        <f>"ΠΑΛΑΙΟΚΑΠΑ 59 ΗΡΑΚΛΕΙΟ"</f>
        <v>ΠΑΛΑΙΟΚΑΠΑ 59 ΗΡΑΚΛΕΙΟ</v>
      </c>
      <c r="I7119">
        <v>71305</v>
      </c>
      <c r="J7119">
        <v>2810314693</v>
      </c>
      <c r="K7119">
        <v>6974567228</v>
      </c>
      <c r="N7119" t="s">
        <v>615</v>
      </c>
      <c r="O7119" t="s">
        <v>616</v>
      </c>
      <c r="R7119" t="s">
        <v>57</v>
      </c>
      <c r="S7119">
        <v>9</v>
      </c>
      <c r="T7119">
        <v>218</v>
      </c>
      <c r="U7119" s="1">
        <v>37134</v>
      </c>
      <c r="V7119" t="s">
        <v>80</v>
      </c>
      <c r="W7119" t="s">
        <v>81</v>
      </c>
      <c r="X7119" t="s">
        <v>58</v>
      </c>
      <c r="Y7119">
        <v>22</v>
      </c>
      <c r="Z7119" t="s">
        <v>59</v>
      </c>
      <c r="AA7119" t="s">
        <v>59</v>
      </c>
      <c r="AB7119" t="s">
        <v>59</v>
      </c>
      <c r="AC7119" t="s">
        <v>59</v>
      </c>
      <c r="AD7119" t="s">
        <v>59</v>
      </c>
      <c r="AF7119" s="1">
        <v>37137</v>
      </c>
      <c r="AG7119" t="s">
        <v>8645</v>
      </c>
      <c r="AH7119" t="s">
        <v>8646</v>
      </c>
      <c r="AI7119" t="str">
        <f>"9170058"</f>
        <v>9170058</v>
      </c>
      <c r="AJ7119" t="s">
        <v>8735</v>
      </c>
      <c r="AK7119">
        <v>2810252903</v>
      </c>
      <c r="AL7119" t="s">
        <v>8736</v>
      </c>
      <c r="AM7119" t="s">
        <v>78</v>
      </c>
      <c r="AN7119" t="s">
        <v>78</v>
      </c>
      <c r="AO7119" t="s">
        <v>78</v>
      </c>
      <c r="AP7119" t="s">
        <v>163</v>
      </c>
      <c r="AQ7119">
        <v>1</v>
      </c>
      <c r="AR7119" t="s">
        <v>80</v>
      </c>
      <c r="AS7119" t="s">
        <v>81</v>
      </c>
      <c r="AT7119" t="s">
        <v>58</v>
      </c>
      <c r="AU7119" t="s">
        <v>68</v>
      </c>
      <c r="AV7119" t="s">
        <v>69</v>
      </c>
      <c r="AW7119" s="1">
        <v>23933</v>
      </c>
      <c r="AX7119">
        <v>1</v>
      </c>
    </row>
    <row r="7120" spans="1:50">
      <c r="A7120">
        <v>621637</v>
      </c>
      <c r="B7120" t="str">
        <f>"138970013"</f>
        <v>138970013</v>
      </c>
      <c r="C7120" t="s">
        <v>50</v>
      </c>
      <c r="D7120" t="s">
        <v>3915</v>
      </c>
      <c r="E7120" t="s">
        <v>610</v>
      </c>
      <c r="F7120" t="s">
        <v>609</v>
      </c>
      <c r="G7120" t="s">
        <v>1078</v>
      </c>
      <c r="H7120" t="str">
        <f>"ΠΛΙΝΙΟΥ 21 ΗΡΑΚΛΕΙΟ"</f>
        <v>ΠΛΙΝΙΟΥ 21 ΗΡΑΚΛΕΙΟ</v>
      </c>
      <c r="I7120">
        <v>71307</v>
      </c>
      <c r="J7120">
        <v>2810220458</v>
      </c>
      <c r="K7120">
        <v>6982461286</v>
      </c>
      <c r="M7120" t="s">
        <v>11483</v>
      </c>
      <c r="N7120" t="s">
        <v>615</v>
      </c>
      <c r="O7120" t="s">
        <v>616</v>
      </c>
      <c r="R7120" t="s">
        <v>57</v>
      </c>
      <c r="S7120">
        <v>4</v>
      </c>
      <c r="T7120">
        <v>653</v>
      </c>
      <c r="U7120" s="1">
        <v>40043</v>
      </c>
      <c r="V7120" t="s">
        <v>80</v>
      </c>
      <c r="W7120" t="s">
        <v>81</v>
      </c>
      <c r="X7120" t="s">
        <v>58</v>
      </c>
      <c r="Y7120">
        <v>24</v>
      </c>
      <c r="Z7120" t="s">
        <v>59</v>
      </c>
      <c r="AA7120" t="s">
        <v>59</v>
      </c>
      <c r="AB7120" t="s">
        <v>59</v>
      </c>
      <c r="AC7120" t="s">
        <v>59</v>
      </c>
      <c r="AD7120" t="s">
        <v>59</v>
      </c>
      <c r="AF7120" s="1">
        <v>40043</v>
      </c>
      <c r="AG7120" t="s">
        <v>8645</v>
      </c>
      <c r="AH7120" t="s">
        <v>8646</v>
      </c>
      <c r="AI7120" t="str">
        <f>"9170494"</f>
        <v>9170494</v>
      </c>
      <c r="AJ7120" t="s">
        <v>9125</v>
      </c>
      <c r="AK7120">
        <v>2810228361</v>
      </c>
      <c r="AL7120" t="s">
        <v>9126</v>
      </c>
      <c r="AM7120" t="s">
        <v>78</v>
      </c>
      <c r="AN7120" t="s">
        <v>78</v>
      </c>
      <c r="AO7120" t="s">
        <v>78</v>
      </c>
      <c r="AP7120" t="s">
        <v>79</v>
      </c>
      <c r="AQ7120">
        <v>1</v>
      </c>
      <c r="AR7120" t="s">
        <v>80</v>
      </c>
      <c r="AS7120" t="s">
        <v>81</v>
      </c>
      <c r="AT7120" t="s">
        <v>58</v>
      </c>
      <c r="AU7120" t="s">
        <v>68</v>
      </c>
      <c r="AV7120" t="s">
        <v>69</v>
      </c>
      <c r="AW7120" s="1">
        <v>31854</v>
      </c>
      <c r="AX7120">
        <v>1</v>
      </c>
    </row>
    <row r="7121" spans="1:50">
      <c r="A7121">
        <v>579859</v>
      </c>
      <c r="B7121" t="str">
        <f>"063895642"</f>
        <v>063895642</v>
      </c>
      <c r="C7121" t="s">
        <v>50</v>
      </c>
      <c r="D7121" t="s">
        <v>3915</v>
      </c>
      <c r="E7121" t="s">
        <v>1078</v>
      </c>
      <c r="F7121" t="s">
        <v>95</v>
      </c>
      <c r="G7121" t="s">
        <v>6415</v>
      </c>
      <c r="H7121" t="str">
        <f>"Μ. ΛΟΥΝΤΕΜΗ 15 ΑΓ. ΜΑΡΙΝΑ ΓΑΖΙΟΥ"</f>
        <v>Μ. ΛΟΥΝΤΕΜΗ 15 ΑΓ. ΜΑΡΙΝΑ ΓΑΖΙΟΥ</v>
      </c>
      <c r="I7121">
        <v>71414</v>
      </c>
      <c r="J7121">
        <v>2810262993</v>
      </c>
      <c r="K7121">
        <v>6973821351</v>
      </c>
      <c r="N7121" t="s">
        <v>1525</v>
      </c>
      <c r="O7121" t="s">
        <v>1526</v>
      </c>
      <c r="R7121" t="s">
        <v>57</v>
      </c>
      <c r="S7121">
        <v>13</v>
      </c>
      <c r="T7121">
        <v>165</v>
      </c>
      <c r="U7121" s="1">
        <v>35300</v>
      </c>
      <c r="V7121" t="s">
        <v>80</v>
      </c>
      <c r="W7121" t="s">
        <v>81</v>
      </c>
      <c r="X7121" t="s">
        <v>58</v>
      </c>
      <c r="Y7121">
        <v>25</v>
      </c>
      <c r="Z7121" t="s">
        <v>59</v>
      </c>
      <c r="AA7121" t="s">
        <v>59</v>
      </c>
      <c r="AB7121" t="s">
        <v>59</v>
      </c>
      <c r="AC7121" t="s">
        <v>59</v>
      </c>
      <c r="AD7121" t="s">
        <v>59</v>
      </c>
      <c r="AF7121" s="1">
        <v>35310</v>
      </c>
      <c r="AG7121" t="s">
        <v>8651</v>
      </c>
      <c r="AH7121" t="s">
        <v>8652</v>
      </c>
      <c r="AI7121" t="str">
        <f>"9521443"</f>
        <v>9521443</v>
      </c>
      <c r="AJ7121" t="s">
        <v>9986</v>
      </c>
      <c r="AK7121">
        <v>2810528607</v>
      </c>
      <c r="AL7121" t="s">
        <v>9987</v>
      </c>
      <c r="AM7121" t="s">
        <v>78</v>
      </c>
      <c r="AN7121" t="s">
        <v>78</v>
      </c>
      <c r="AO7121" t="s">
        <v>78</v>
      </c>
      <c r="AP7121" t="s">
        <v>141</v>
      </c>
      <c r="AQ7121">
        <v>1</v>
      </c>
      <c r="AR7121" t="s">
        <v>80</v>
      </c>
      <c r="AS7121" t="s">
        <v>81</v>
      </c>
      <c r="AT7121" t="s">
        <v>58</v>
      </c>
      <c r="AU7121" t="s">
        <v>68</v>
      </c>
      <c r="AV7121" t="s">
        <v>69</v>
      </c>
      <c r="AW7121" s="1">
        <v>23904</v>
      </c>
      <c r="AX7121">
        <v>1</v>
      </c>
    </row>
    <row r="7122" spans="1:50">
      <c r="A7122">
        <v>580183</v>
      </c>
      <c r="B7122" t="str">
        <f>"049145814"</f>
        <v>049145814</v>
      </c>
      <c r="C7122" t="s">
        <v>50</v>
      </c>
      <c r="D7122" t="s">
        <v>11484</v>
      </c>
      <c r="E7122" t="s">
        <v>314</v>
      </c>
      <c r="F7122" t="s">
        <v>92</v>
      </c>
      <c r="G7122" t="s">
        <v>8692</v>
      </c>
      <c r="H7122" t="str">
        <f>" "</f>
        <v xml:space="preserve"> </v>
      </c>
      <c r="J7122">
        <v>2810328391</v>
      </c>
      <c r="K7122">
        <v>6945746010</v>
      </c>
      <c r="N7122" t="s">
        <v>306</v>
      </c>
      <c r="O7122" t="s">
        <v>307</v>
      </c>
      <c r="R7122" t="s">
        <v>57</v>
      </c>
      <c r="S7122">
        <v>12</v>
      </c>
      <c r="T7122">
        <v>166</v>
      </c>
      <c r="U7122" s="1">
        <v>35300</v>
      </c>
      <c r="V7122" t="s">
        <v>80</v>
      </c>
      <c r="W7122" t="s">
        <v>81</v>
      </c>
      <c r="X7122" t="s">
        <v>58</v>
      </c>
      <c r="Y7122">
        <v>21</v>
      </c>
      <c r="Z7122" t="s">
        <v>59</v>
      </c>
      <c r="AA7122" t="s">
        <v>59</v>
      </c>
      <c r="AB7122" t="s">
        <v>59</v>
      </c>
      <c r="AC7122" t="s">
        <v>59</v>
      </c>
      <c r="AD7122" t="s">
        <v>59</v>
      </c>
      <c r="AF7122" s="1">
        <v>35311</v>
      </c>
      <c r="AG7122" t="s">
        <v>8645</v>
      </c>
      <c r="AH7122" t="s">
        <v>8646</v>
      </c>
      <c r="AI7122" t="str">
        <f>"9170115"</f>
        <v>9170115</v>
      </c>
      <c r="AJ7122" t="s">
        <v>8770</v>
      </c>
      <c r="AK7122">
        <v>2810231165</v>
      </c>
      <c r="AL7122" t="s">
        <v>8771</v>
      </c>
      <c r="AM7122" t="s">
        <v>78</v>
      </c>
      <c r="AN7122" t="s">
        <v>78</v>
      </c>
      <c r="AO7122" t="s">
        <v>78</v>
      </c>
      <c r="AP7122" t="s">
        <v>141</v>
      </c>
      <c r="AQ7122">
        <v>1</v>
      </c>
      <c r="AR7122" t="s">
        <v>80</v>
      </c>
      <c r="AS7122" t="s">
        <v>81</v>
      </c>
      <c r="AT7122" t="s">
        <v>58</v>
      </c>
      <c r="AU7122" t="s">
        <v>68</v>
      </c>
      <c r="AV7122" t="s">
        <v>69</v>
      </c>
      <c r="AW7122" s="1">
        <v>24624</v>
      </c>
      <c r="AX7122">
        <v>1</v>
      </c>
    </row>
    <row r="7123" spans="1:50">
      <c r="A7123">
        <v>600072</v>
      </c>
      <c r="B7123" t="str">
        <f>"105987783"</f>
        <v>105987783</v>
      </c>
      <c r="C7123" t="s">
        <v>105</v>
      </c>
      <c r="D7123" t="s">
        <v>11485</v>
      </c>
      <c r="E7123" t="s">
        <v>936</v>
      </c>
      <c r="F7123" t="s">
        <v>670</v>
      </c>
      <c r="G7123" t="s">
        <v>714</v>
      </c>
      <c r="H7123" t="str">
        <f>"ΜΩΔΑΙΑΣ 24 ΗΡΑΚΛΕΙΟ"</f>
        <v>ΜΩΔΑΙΑΣ 24 ΗΡΑΚΛΕΙΟ</v>
      </c>
      <c r="I7123">
        <v>71409</v>
      </c>
      <c r="J7123">
        <v>2810321694</v>
      </c>
      <c r="K7123">
        <v>6974077051</v>
      </c>
      <c r="N7123" t="s">
        <v>615</v>
      </c>
      <c r="O7123" t="s">
        <v>616</v>
      </c>
      <c r="R7123" t="s">
        <v>57</v>
      </c>
      <c r="S7123">
        <v>14</v>
      </c>
      <c r="T7123">
        <v>195</v>
      </c>
      <c r="U7123" s="1">
        <v>37497</v>
      </c>
      <c r="V7123" t="s">
        <v>80</v>
      </c>
      <c r="W7123" t="s">
        <v>81</v>
      </c>
      <c r="X7123" t="s">
        <v>58</v>
      </c>
      <c r="Y7123">
        <v>22</v>
      </c>
      <c r="Z7123" t="s">
        <v>59</v>
      </c>
      <c r="AA7123" t="s">
        <v>59</v>
      </c>
      <c r="AB7123" t="s">
        <v>59</v>
      </c>
      <c r="AC7123" t="s">
        <v>59</v>
      </c>
      <c r="AD7123" t="s">
        <v>59</v>
      </c>
      <c r="AF7123" s="1">
        <v>37501</v>
      </c>
      <c r="AG7123" t="s">
        <v>8645</v>
      </c>
      <c r="AH7123" t="s">
        <v>8646</v>
      </c>
      <c r="AI7123" t="str">
        <f>"9170190"</f>
        <v>9170190</v>
      </c>
      <c r="AJ7123" t="s">
        <v>8689</v>
      </c>
      <c r="AK7123">
        <v>2810232169</v>
      </c>
      <c r="AL7123" t="s">
        <v>8690</v>
      </c>
      <c r="AM7123" t="s">
        <v>78</v>
      </c>
      <c r="AN7123" t="s">
        <v>78</v>
      </c>
      <c r="AO7123" t="s">
        <v>78</v>
      </c>
      <c r="AP7123" t="s">
        <v>163</v>
      </c>
      <c r="AQ7123">
        <v>1</v>
      </c>
      <c r="AR7123" t="s">
        <v>80</v>
      </c>
      <c r="AS7123" t="s">
        <v>81</v>
      </c>
      <c r="AT7123" t="s">
        <v>58</v>
      </c>
      <c r="AU7123" t="s">
        <v>68</v>
      </c>
      <c r="AV7123" t="s">
        <v>69</v>
      </c>
      <c r="AW7123" s="1">
        <v>25540</v>
      </c>
      <c r="AX7123">
        <v>1</v>
      </c>
    </row>
    <row r="7124" spans="1:50">
      <c r="B7124" t="str">
        <f>"137340816"</f>
        <v>137340816</v>
      </c>
      <c r="C7124" t="s">
        <v>50</v>
      </c>
      <c r="D7124" t="s">
        <v>11486</v>
      </c>
      <c r="E7124" t="s">
        <v>237</v>
      </c>
      <c r="F7124" t="s">
        <v>84</v>
      </c>
      <c r="G7124" t="s">
        <v>484</v>
      </c>
      <c r="H7124" t="str">
        <f>"ΣΤΡΑΤΗΓΗ 38 "</f>
        <v xml:space="preserve">ΣΤΡΑΤΗΓΗ 38 </v>
      </c>
      <c r="I7124">
        <v>54352</v>
      </c>
      <c r="J7124">
        <v>2310914233</v>
      </c>
      <c r="K7124">
        <v>6973926755</v>
      </c>
      <c r="N7124" t="s">
        <v>8694</v>
      </c>
      <c r="O7124" t="s">
        <v>8695</v>
      </c>
      <c r="R7124" t="s">
        <v>159</v>
      </c>
      <c r="S7124">
        <v>3</v>
      </c>
      <c r="T7124" t="s">
        <v>8696</v>
      </c>
      <c r="U7124" s="1">
        <v>43348</v>
      </c>
      <c r="V7124" t="s">
        <v>80</v>
      </c>
      <c r="W7124" t="s">
        <v>81</v>
      </c>
      <c r="X7124" t="s">
        <v>58</v>
      </c>
      <c r="Y7124">
        <v>24</v>
      </c>
      <c r="Z7124" t="s">
        <v>59</v>
      </c>
      <c r="AA7124" t="s">
        <v>59</v>
      </c>
      <c r="AB7124" t="s">
        <v>59</v>
      </c>
      <c r="AC7124" t="s">
        <v>59</v>
      </c>
      <c r="AD7124" t="s">
        <v>59</v>
      </c>
      <c r="AF7124" s="1">
        <v>43348</v>
      </c>
      <c r="AG7124" t="s">
        <v>8645</v>
      </c>
      <c r="AH7124" t="s">
        <v>8697</v>
      </c>
      <c r="AI7124" t="str">
        <f>"9170358"</f>
        <v>9170358</v>
      </c>
      <c r="AJ7124" t="s">
        <v>9378</v>
      </c>
      <c r="AK7124">
        <v>2810282028</v>
      </c>
      <c r="AL7124" t="s">
        <v>9379</v>
      </c>
      <c r="AM7124" t="s">
        <v>78</v>
      </c>
      <c r="AN7124" t="s">
        <v>78</v>
      </c>
      <c r="AO7124" t="s">
        <v>78</v>
      </c>
      <c r="AP7124" t="s">
        <v>141</v>
      </c>
      <c r="AQ7124">
        <v>1</v>
      </c>
      <c r="AR7124" t="s">
        <v>80</v>
      </c>
      <c r="AS7124" t="s">
        <v>81</v>
      </c>
      <c r="AT7124" t="s">
        <v>58</v>
      </c>
      <c r="AU7124" t="s">
        <v>350</v>
      </c>
      <c r="AV7124" t="s">
        <v>132</v>
      </c>
      <c r="AW7124" s="1">
        <v>32108</v>
      </c>
      <c r="AX7124">
        <v>1</v>
      </c>
    </row>
    <row r="7125" spans="1:50">
      <c r="A7125">
        <v>562394</v>
      </c>
      <c r="B7125" t="str">
        <f>"033039760"</f>
        <v>033039760</v>
      </c>
      <c r="C7125" t="s">
        <v>50</v>
      </c>
      <c r="D7125" t="s">
        <v>11487</v>
      </c>
      <c r="E7125" t="s">
        <v>809</v>
      </c>
      <c r="F7125" t="s">
        <v>900</v>
      </c>
      <c r="G7125" t="s">
        <v>1497</v>
      </c>
      <c r="H7125" t="str">
        <f>"ΜΝΗΣΙΚΛΗ 28 ΗΡΑΚΛΕΙΟ"</f>
        <v>ΜΝΗΣΙΚΛΗ 28 ΗΡΑΚΛΕΙΟ</v>
      </c>
      <c r="I7125">
        <v>71305</v>
      </c>
      <c r="J7125">
        <v>2810252112</v>
      </c>
      <c r="K7125">
        <v>6979071860</v>
      </c>
      <c r="N7125" t="s">
        <v>615</v>
      </c>
      <c r="O7125" t="s">
        <v>616</v>
      </c>
      <c r="R7125" t="s">
        <v>57</v>
      </c>
      <c r="S7125">
        <v>15</v>
      </c>
      <c r="T7125">
        <v>187</v>
      </c>
      <c r="U7125" s="1">
        <v>32750</v>
      </c>
      <c r="V7125" t="s">
        <v>80</v>
      </c>
      <c r="W7125" t="s">
        <v>81</v>
      </c>
      <c r="X7125" t="s">
        <v>58</v>
      </c>
      <c r="Y7125">
        <v>21</v>
      </c>
      <c r="Z7125" t="s">
        <v>59</v>
      </c>
      <c r="AA7125" t="s">
        <v>59</v>
      </c>
      <c r="AB7125" t="s">
        <v>59</v>
      </c>
      <c r="AC7125" t="s">
        <v>59</v>
      </c>
      <c r="AD7125" t="s">
        <v>59</v>
      </c>
      <c r="AF7125" s="1">
        <v>32752</v>
      </c>
      <c r="AG7125" t="s">
        <v>8645</v>
      </c>
      <c r="AH7125" t="s">
        <v>8646</v>
      </c>
      <c r="AI7125" t="str">
        <f>"9170058"</f>
        <v>9170058</v>
      </c>
      <c r="AJ7125" t="s">
        <v>8735</v>
      </c>
      <c r="AK7125">
        <v>2810252903</v>
      </c>
      <c r="AL7125" t="s">
        <v>8736</v>
      </c>
      <c r="AM7125" t="s">
        <v>78</v>
      </c>
      <c r="AN7125" t="s">
        <v>78</v>
      </c>
      <c r="AO7125" t="s">
        <v>78</v>
      </c>
      <c r="AP7125" t="s">
        <v>163</v>
      </c>
      <c r="AQ7125">
        <v>1</v>
      </c>
      <c r="AR7125" t="s">
        <v>80</v>
      </c>
      <c r="AS7125" t="s">
        <v>81</v>
      </c>
      <c r="AT7125" t="s">
        <v>58</v>
      </c>
      <c r="AU7125" t="s">
        <v>68</v>
      </c>
      <c r="AV7125" t="s">
        <v>69</v>
      </c>
      <c r="AW7125" s="1">
        <v>23282</v>
      </c>
      <c r="AX7125">
        <v>1</v>
      </c>
    </row>
    <row r="7126" spans="1:50">
      <c r="B7126" t="str">
        <f>"070956814"</f>
        <v>070956814</v>
      </c>
      <c r="C7126" t="s">
        <v>50</v>
      </c>
      <c r="D7126" t="s">
        <v>11488</v>
      </c>
      <c r="E7126" t="s">
        <v>714</v>
      </c>
      <c r="F7126" t="s">
        <v>99</v>
      </c>
      <c r="G7126" t="s">
        <v>250</v>
      </c>
      <c r="H7126" t="str">
        <f>"ΝΑΠ.ΣΟΥΚΑΤΖΙΔΗ 22 ΗΡΑΚΛΕΙΟ"</f>
        <v>ΝΑΠ.ΣΟΥΚΑΤΖΙΔΗ 22 ΗΡΑΚΛΕΙΟ</v>
      </c>
      <c r="I7126">
        <v>71305</v>
      </c>
      <c r="J7126">
        <v>2810318398</v>
      </c>
      <c r="K7126">
        <v>6974141589</v>
      </c>
      <c r="N7126" t="s">
        <v>288</v>
      </c>
      <c r="O7126" t="s">
        <v>289</v>
      </c>
      <c r="R7126" t="s">
        <v>159</v>
      </c>
      <c r="S7126">
        <v>4</v>
      </c>
      <c r="T7126" t="s">
        <v>8675</v>
      </c>
      <c r="U7126" s="1">
        <v>43348</v>
      </c>
      <c r="V7126" t="s">
        <v>80</v>
      </c>
      <c r="W7126" t="s">
        <v>81</v>
      </c>
      <c r="X7126" t="s">
        <v>58</v>
      </c>
      <c r="Y7126">
        <v>14</v>
      </c>
      <c r="Z7126" t="s">
        <v>59</v>
      </c>
      <c r="AA7126" t="s">
        <v>59</v>
      </c>
      <c r="AB7126" t="s">
        <v>59</v>
      </c>
      <c r="AC7126" t="s">
        <v>59</v>
      </c>
      <c r="AD7126" t="s">
        <v>59</v>
      </c>
      <c r="AF7126" s="1">
        <v>43348</v>
      </c>
      <c r="AG7126" t="s">
        <v>8645</v>
      </c>
      <c r="AH7126" t="s">
        <v>8646</v>
      </c>
      <c r="AI7126" t="str">
        <f>"9170512"</f>
        <v>9170512</v>
      </c>
      <c r="AJ7126" t="s">
        <v>8986</v>
      </c>
      <c r="AK7126">
        <v>2810253082</v>
      </c>
      <c r="AL7126" t="s">
        <v>8987</v>
      </c>
      <c r="AM7126" t="s">
        <v>78</v>
      </c>
      <c r="AN7126" t="s">
        <v>78</v>
      </c>
      <c r="AO7126" t="s">
        <v>78</v>
      </c>
      <c r="AP7126" t="s">
        <v>141</v>
      </c>
      <c r="AQ7126">
        <v>1</v>
      </c>
      <c r="AR7126" t="s">
        <v>80</v>
      </c>
      <c r="AS7126" t="s">
        <v>81</v>
      </c>
      <c r="AT7126" t="s">
        <v>58</v>
      </c>
      <c r="AU7126" t="s">
        <v>8686</v>
      </c>
      <c r="AV7126" t="s">
        <v>132</v>
      </c>
      <c r="AW7126" s="1">
        <v>28532</v>
      </c>
      <c r="AX7126">
        <v>1</v>
      </c>
    </row>
    <row r="7127" spans="1:50">
      <c r="B7127" t="str">
        <f>"142258342"</f>
        <v>142258342</v>
      </c>
      <c r="C7127" t="s">
        <v>105</v>
      </c>
      <c r="D7127" t="s">
        <v>11489</v>
      </c>
      <c r="E7127" t="s">
        <v>72</v>
      </c>
      <c r="F7127" t="s">
        <v>936</v>
      </c>
      <c r="G7127" t="s">
        <v>755</v>
      </c>
      <c r="H7127" t="str">
        <f>"ΣΟΛΩΜΟΥ 3 ΑΡΙΔΑΙΑ"</f>
        <v>ΣΟΛΩΜΟΥ 3 ΑΡΙΔΑΙΑ</v>
      </c>
      <c r="I7127">
        <v>58400</v>
      </c>
      <c r="J7127">
        <v>2384022672</v>
      </c>
      <c r="K7127">
        <v>6946611691</v>
      </c>
      <c r="L7127">
        <v>6946611691</v>
      </c>
      <c r="M7127" t="s">
        <v>11490</v>
      </c>
      <c r="N7127" t="s">
        <v>615</v>
      </c>
      <c r="O7127" t="s">
        <v>616</v>
      </c>
      <c r="R7127" t="s">
        <v>159</v>
      </c>
      <c r="S7127">
        <v>4</v>
      </c>
      <c r="T7127" t="s">
        <v>8675</v>
      </c>
      <c r="U7127" s="1">
        <v>43348</v>
      </c>
      <c r="V7127" t="s">
        <v>80</v>
      </c>
      <c r="W7127" t="s">
        <v>81</v>
      </c>
      <c r="X7127" t="s">
        <v>58</v>
      </c>
      <c r="Y7127">
        <v>24</v>
      </c>
      <c r="Z7127" t="s">
        <v>59</v>
      </c>
      <c r="AA7127" t="s">
        <v>59</v>
      </c>
      <c r="AB7127" t="s">
        <v>59</v>
      </c>
      <c r="AC7127" t="s">
        <v>59</v>
      </c>
      <c r="AD7127" t="s">
        <v>59</v>
      </c>
      <c r="AF7127" s="1">
        <v>43348</v>
      </c>
      <c r="AG7127" t="s">
        <v>8645</v>
      </c>
      <c r="AH7127" t="s">
        <v>8646</v>
      </c>
      <c r="AI7127" t="str">
        <f>"9170068"</f>
        <v>9170068</v>
      </c>
      <c r="AJ7127" t="s">
        <v>8773</v>
      </c>
      <c r="AK7127">
        <v>2893031217</v>
      </c>
      <c r="AL7127" t="s">
        <v>8774</v>
      </c>
      <c r="AM7127" t="s">
        <v>78</v>
      </c>
      <c r="AN7127" t="s">
        <v>405</v>
      </c>
      <c r="AO7127" t="s">
        <v>805</v>
      </c>
      <c r="AP7127" t="s">
        <v>806</v>
      </c>
      <c r="AQ7127">
        <v>15</v>
      </c>
      <c r="AR7127" t="s">
        <v>80</v>
      </c>
      <c r="AS7127" t="s">
        <v>81</v>
      </c>
      <c r="AT7127" t="s">
        <v>58</v>
      </c>
      <c r="AU7127" t="s">
        <v>8673</v>
      </c>
      <c r="AV7127" t="s">
        <v>132</v>
      </c>
      <c r="AW7127" s="1">
        <v>32511</v>
      </c>
      <c r="AX7127">
        <v>1</v>
      </c>
    </row>
    <row r="7128" spans="1:50">
      <c r="A7128">
        <v>587970</v>
      </c>
      <c r="B7128" t="str">
        <f>"062472008"</f>
        <v>062472008</v>
      </c>
      <c r="C7128" t="s">
        <v>50</v>
      </c>
      <c r="D7128" t="s">
        <v>3928</v>
      </c>
      <c r="E7128" t="s">
        <v>181</v>
      </c>
      <c r="F7128" t="s">
        <v>72</v>
      </c>
      <c r="G7128" t="s">
        <v>52</v>
      </c>
      <c r="H7128" t="str">
        <f>"ΦΕΙΔΩΝΟΣ 13 ΜΠΕΝΤΕΒΗ ΗΡΑΚΛΕΙΟΥ"</f>
        <v>ΦΕΙΔΩΝΟΣ 13 ΜΠΕΝΤΕΒΗ ΗΡΑΚΛΕΙΟΥ</v>
      </c>
      <c r="I7128">
        <v>71307</v>
      </c>
      <c r="J7128">
        <v>2810322039</v>
      </c>
      <c r="K7128">
        <v>6977254966</v>
      </c>
      <c r="M7128" t="s">
        <v>11491</v>
      </c>
      <c r="N7128" t="s">
        <v>615</v>
      </c>
      <c r="O7128" t="s">
        <v>616</v>
      </c>
      <c r="R7128" t="s">
        <v>57</v>
      </c>
      <c r="S7128">
        <v>9</v>
      </c>
      <c r="T7128">
        <v>250</v>
      </c>
      <c r="U7128" s="1">
        <v>36151</v>
      </c>
      <c r="V7128" t="s">
        <v>80</v>
      </c>
      <c r="W7128" t="s">
        <v>81</v>
      </c>
      <c r="X7128" t="s">
        <v>58</v>
      </c>
      <c r="Y7128">
        <v>22</v>
      </c>
      <c r="Z7128" t="s">
        <v>59</v>
      </c>
      <c r="AA7128" t="s">
        <v>59</v>
      </c>
      <c r="AB7128" t="s">
        <v>59</v>
      </c>
      <c r="AC7128" t="s">
        <v>59</v>
      </c>
      <c r="AD7128" t="s">
        <v>59</v>
      </c>
      <c r="AF7128" s="1">
        <v>36171</v>
      </c>
      <c r="AG7128" t="s">
        <v>8645</v>
      </c>
      <c r="AH7128" t="s">
        <v>8646</v>
      </c>
      <c r="AI7128" t="str">
        <f>"9170534"</f>
        <v>9170534</v>
      </c>
      <c r="AJ7128" t="s">
        <v>8701</v>
      </c>
      <c r="AK7128">
        <v>2810323225</v>
      </c>
      <c r="AL7128" t="s">
        <v>8702</v>
      </c>
      <c r="AM7128" t="s">
        <v>78</v>
      </c>
      <c r="AN7128" t="s">
        <v>78</v>
      </c>
      <c r="AO7128" t="s">
        <v>78</v>
      </c>
      <c r="AP7128" t="s">
        <v>163</v>
      </c>
      <c r="AQ7128">
        <v>1</v>
      </c>
      <c r="AR7128" t="s">
        <v>80</v>
      </c>
      <c r="AS7128" t="s">
        <v>81</v>
      </c>
      <c r="AT7128" t="s">
        <v>58</v>
      </c>
      <c r="AU7128" t="s">
        <v>68</v>
      </c>
      <c r="AV7128" t="s">
        <v>69</v>
      </c>
      <c r="AW7128" s="1">
        <v>26571</v>
      </c>
      <c r="AX7128">
        <v>1</v>
      </c>
    </row>
    <row r="7129" spans="1:50">
      <c r="A7129">
        <v>592567</v>
      </c>
      <c r="B7129" t="str">
        <f>"039625549"</f>
        <v>039625549</v>
      </c>
      <c r="C7129" t="s">
        <v>50</v>
      </c>
      <c r="D7129" t="s">
        <v>3930</v>
      </c>
      <c r="E7129" t="s">
        <v>237</v>
      </c>
      <c r="F7129" t="s">
        <v>95</v>
      </c>
      <c r="G7129" t="s">
        <v>314</v>
      </c>
      <c r="H7129" t="str">
        <f>"ΝΙΟΒΗΣ 12 ΗΡΑΚΛΕΙΟ"</f>
        <v>ΝΙΟΒΗΣ 12 ΗΡΑΚΛΕΙΟ</v>
      </c>
      <c r="I7129">
        <v>71305</v>
      </c>
      <c r="J7129">
        <v>2810315422</v>
      </c>
      <c r="K7129">
        <v>6978742866</v>
      </c>
      <c r="M7129" t="s">
        <v>11492</v>
      </c>
      <c r="N7129" t="s">
        <v>176</v>
      </c>
      <c r="O7129" t="s">
        <v>177</v>
      </c>
      <c r="R7129" t="s">
        <v>57</v>
      </c>
      <c r="S7129">
        <v>9</v>
      </c>
      <c r="T7129">
        <v>250</v>
      </c>
      <c r="U7129" s="1">
        <v>36769</v>
      </c>
      <c r="V7129" t="s">
        <v>80</v>
      </c>
      <c r="W7129" t="s">
        <v>81</v>
      </c>
      <c r="X7129" t="s">
        <v>58</v>
      </c>
      <c r="Y7129">
        <v>22</v>
      </c>
      <c r="Z7129" t="s">
        <v>59</v>
      </c>
      <c r="AA7129" t="s">
        <v>59</v>
      </c>
      <c r="AB7129" t="s">
        <v>59</v>
      </c>
      <c r="AC7129" t="s">
        <v>59</v>
      </c>
      <c r="AD7129" t="s">
        <v>59</v>
      </c>
      <c r="AF7129" s="1">
        <v>36770</v>
      </c>
      <c r="AG7129" t="s">
        <v>8645</v>
      </c>
      <c r="AH7129" t="s">
        <v>8646</v>
      </c>
      <c r="AI7129" t="str">
        <f>"9170532"</f>
        <v>9170532</v>
      </c>
      <c r="AJ7129" t="s">
        <v>8945</v>
      </c>
      <c r="AK7129">
        <v>2810250330</v>
      </c>
      <c r="AL7129" t="s">
        <v>8946</v>
      </c>
      <c r="AM7129" t="s">
        <v>78</v>
      </c>
      <c r="AN7129" t="s">
        <v>78</v>
      </c>
      <c r="AO7129" t="s">
        <v>78</v>
      </c>
      <c r="AP7129" t="s">
        <v>141</v>
      </c>
      <c r="AQ7129">
        <v>1</v>
      </c>
      <c r="AR7129" t="s">
        <v>80</v>
      </c>
      <c r="AS7129" t="s">
        <v>81</v>
      </c>
      <c r="AT7129" t="s">
        <v>58</v>
      </c>
      <c r="AU7129" t="s">
        <v>68</v>
      </c>
      <c r="AV7129" t="s">
        <v>69</v>
      </c>
      <c r="AW7129" s="1">
        <v>24678</v>
      </c>
      <c r="AX7129">
        <v>1</v>
      </c>
    </row>
    <row r="7130" spans="1:50">
      <c r="A7130">
        <v>614186</v>
      </c>
      <c r="B7130" t="str">
        <f>"100134251"</f>
        <v>100134251</v>
      </c>
      <c r="C7130" t="s">
        <v>50</v>
      </c>
      <c r="D7130" t="s">
        <v>3930</v>
      </c>
      <c r="E7130" t="s">
        <v>237</v>
      </c>
      <c r="F7130" t="s">
        <v>99</v>
      </c>
      <c r="G7130" t="s">
        <v>3297</v>
      </c>
      <c r="H7130" t="str">
        <f>"ΡΗΓΑ ΦΕΡΡΑΙΟΥ 5 ΑΡΚΑΛΟΧΩΡΙ"</f>
        <v>ΡΗΓΑ ΦΕΡΡΑΙΟΥ 5 ΑΡΚΑΛΟΧΩΡΙ</v>
      </c>
      <c r="I7130">
        <v>70300</v>
      </c>
      <c r="K7130">
        <v>6948833740</v>
      </c>
      <c r="M7130" t="s">
        <v>11493</v>
      </c>
      <c r="N7130" t="s">
        <v>615</v>
      </c>
      <c r="O7130" t="s">
        <v>616</v>
      </c>
      <c r="R7130" t="s">
        <v>57</v>
      </c>
      <c r="S7130">
        <v>6</v>
      </c>
      <c r="T7130">
        <v>598</v>
      </c>
      <c r="U7130" s="1">
        <v>39310</v>
      </c>
      <c r="V7130" t="s">
        <v>80</v>
      </c>
      <c r="W7130" t="s">
        <v>81</v>
      </c>
      <c r="X7130" t="s">
        <v>58</v>
      </c>
      <c r="Y7130">
        <v>23</v>
      </c>
      <c r="Z7130" t="s">
        <v>59</v>
      </c>
      <c r="AA7130" t="s">
        <v>59</v>
      </c>
      <c r="AB7130" t="s">
        <v>59</v>
      </c>
      <c r="AC7130" t="s">
        <v>59</v>
      </c>
      <c r="AD7130" t="s">
        <v>59</v>
      </c>
      <c r="AF7130" s="1">
        <v>39328</v>
      </c>
      <c r="AG7130" t="s">
        <v>8645</v>
      </c>
      <c r="AH7130" t="s">
        <v>8646</v>
      </c>
      <c r="AI7130" t="str">
        <f>"9170561"</f>
        <v>9170561</v>
      </c>
      <c r="AJ7130" t="s">
        <v>8708</v>
      </c>
      <c r="AK7130">
        <v>2891023609</v>
      </c>
      <c r="AL7130" t="s">
        <v>8709</v>
      </c>
      <c r="AM7130" t="s">
        <v>78</v>
      </c>
      <c r="AN7130" t="s">
        <v>276</v>
      </c>
      <c r="AO7130" t="s">
        <v>490</v>
      </c>
      <c r="AP7130" t="s">
        <v>490</v>
      </c>
      <c r="AQ7130">
        <v>12</v>
      </c>
      <c r="AR7130" t="s">
        <v>80</v>
      </c>
      <c r="AS7130" t="s">
        <v>81</v>
      </c>
      <c r="AT7130" t="s">
        <v>58</v>
      </c>
      <c r="AU7130" t="s">
        <v>68</v>
      </c>
      <c r="AV7130" t="s">
        <v>69</v>
      </c>
      <c r="AW7130" s="1">
        <v>30431</v>
      </c>
      <c r="AX7130">
        <v>1</v>
      </c>
    </row>
    <row r="7131" spans="1:50">
      <c r="A7131">
        <v>566644</v>
      </c>
      <c r="B7131" t="str">
        <f>"031576452"</f>
        <v>031576452</v>
      </c>
      <c r="C7131" t="s">
        <v>50</v>
      </c>
      <c r="D7131" t="s">
        <v>3930</v>
      </c>
      <c r="E7131" t="s">
        <v>250</v>
      </c>
      <c r="F7131" t="s">
        <v>99</v>
      </c>
      <c r="G7131" t="s">
        <v>215</v>
      </c>
      <c r="H7131" t="str">
        <f>"ΠΑΡΑΣΚΕΥΟΠΟΥΛΟΥ 8   ΗΡΑΚΛΕΙΟ"</f>
        <v>ΠΑΡΑΣΚΕΥΟΠΟΥΛΟΥ 8   ΗΡΑΚΛΕΙΟ</v>
      </c>
      <c r="I7131">
        <v>71306</v>
      </c>
      <c r="J7131">
        <v>2810322719</v>
      </c>
      <c r="K7131">
        <v>6984507307</v>
      </c>
      <c r="N7131" t="s">
        <v>1525</v>
      </c>
      <c r="O7131" t="s">
        <v>1526</v>
      </c>
      <c r="R7131" t="s">
        <v>57</v>
      </c>
      <c r="S7131">
        <v>14</v>
      </c>
      <c r="T7131">
        <v>161</v>
      </c>
      <c r="U7131" s="1">
        <v>33119</v>
      </c>
      <c r="V7131" t="s">
        <v>80</v>
      </c>
      <c r="W7131" t="s">
        <v>81</v>
      </c>
      <c r="X7131" t="s">
        <v>58</v>
      </c>
      <c r="Y7131">
        <v>25</v>
      </c>
      <c r="Z7131" t="s">
        <v>59</v>
      </c>
      <c r="AA7131" t="s">
        <v>59</v>
      </c>
      <c r="AB7131" t="s">
        <v>59</v>
      </c>
      <c r="AC7131" t="s">
        <v>59</v>
      </c>
      <c r="AD7131" t="s">
        <v>59</v>
      </c>
      <c r="AF7131" s="1">
        <v>33121</v>
      </c>
      <c r="AG7131" t="s">
        <v>8651</v>
      </c>
      <c r="AH7131" t="s">
        <v>8652</v>
      </c>
      <c r="AI7131" t="str">
        <f>"9170507"</f>
        <v>9170507</v>
      </c>
      <c r="AJ7131" t="s">
        <v>9081</v>
      </c>
      <c r="AK7131">
        <v>2810236132</v>
      </c>
      <c r="AL7131" t="s">
        <v>9082</v>
      </c>
      <c r="AM7131" t="s">
        <v>78</v>
      </c>
      <c r="AN7131" t="s">
        <v>78</v>
      </c>
      <c r="AO7131" t="s">
        <v>78</v>
      </c>
      <c r="AP7131" t="s">
        <v>79</v>
      </c>
      <c r="AQ7131">
        <v>1</v>
      </c>
      <c r="AR7131" t="s">
        <v>80</v>
      </c>
      <c r="AS7131" t="s">
        <v>81</v>
      </c>
      <c r="AT7131" t="s">
        <v>58</v>
      </c>
      <c r="AU7131" t="s">
        <v>68</v>
      </c>
      <c r="AV7131" t="s">
        <v>69</v>
      </c>
      <c r="AW7131" s="1">
        <v>23824</v>
      </c>
      <c r="AX7131">
        <v>1</v>
      </c>
    </row>
    <row r="7132" spans="1:50">
      <c r="A7132">
        <v>580146</v>
      </c>
      <c r="B7132" t="str">
        <f>"038511468"</f>
        <v>038511468</v>
      </c>
      <c r="C7132" t="s">
        <v>50</v>
      </c>
      <c r="D7132" t="s">
        <v>3930</v>
      </c>
      <c r="E7132" t="s">
        <v>83</v>
      </c>
      <c r="F7132" t="s">
        <v>106</v>
      </c>
      <c r="G7132" t="s">
        <v>143</v>
      </c>
      <c r="H7132" t="str">
        <f>"ΙΕΡΑΠΕΤΡΑΣ 10 ΗΡΑΚΛΕΙΟ  ΜΕΣΑΜΠΕΛΙΕΣ"</f>
        <v>ΙΕΡΑΠΕΤΡΑΣ 10 ΗΡΑΚΛΕΙΟ  ΜΕΣΑΜΠΕΛΙΕΣ</v>
      </c>
      <c r="I7132">
        <v>71409</v>
      </c>
      <c r="J7132">
        <v>2810237382</v>
      </c>
      <c r="K7132">
        <v>6942254552</v>
      </c>
      <c r="L7132">
        <v>2810232111</v>
      </c>
      <c r="M7132" t="s">
        <v>11494</v>
      </c>
      <c r="N7132" t="s">
        <v>306</v>
      </c>
      <c r="O7132" t="s">
        <v>307</v>
      </c>
      <c r="P7132" t="s">
        <v>146</v>
      </c>
      <c r="Q7132" t="s">
        <v>147</v>
      </c>
      <c r="R7132" t="s">
        <v>57</v>
      </c>
      <c r="S7132">
        <v>14</v>
      </c>
      <c r="T7132">
        <v>166</v>
      </c>
      <c r="U7132" s="1">
        <v>35300</v>
      </c>
      <c r="V7132" t="s">
        <v>80</v>
      </c>
      <c r="W7132" t="s">
        <v>81</v>
      </c>
      <c r="X7132" t="s">
        <v>58</v>
      </c>
      <c r="Y7132">
        <v>21</v>
      </c>
      <c r="Z7132" t="s">
        <v>59</v>
      </c>
      <c r="AA7132" t="s">
        <v>59</v>
      </c>
      <c r="AB7132" t="s">
        <v>59</v>
      </c>
      <c r="AC7132" t="s">
        <v>59</v>
      </c>
      <c r="AD7132" t="s">
        <v>59</v>
      </c>
      <c r="AF7132" s="1">
        <v>35310</v>
      </c>
      <c r="AG7132" t="s">
        <v>8645</v>
      </c>
      <c r="AH7132" t="s">
        <v>8646</v>
      </c>
      <c r="AI7132" t="str">
        <f>"9170423"</f>
        <v>9170423</v>
      </c>
      <c r="AJ7132" t="s">
        <v>8808</v>
      </c>
      <c r="AK7132">
        <v>2810239612</v>
      </c>
      <c r="AL7132" t="s">
        <v>8809</v>
      </c>
      <c r="AM7132" t="s">
        <v>78</v>
      </c>
      <c r="AN7132" t="s">
        <v>78</v>
      </c>
      <c r="AO7132" t="s">
        <v>78</v>
      </c>
      <c r="AP7132" t="s">
        <v>163</v>
      </c>
      <c r="AQ7132">
        <v>1</v>
      </c>
      <c r="AR7132" t="s">
        <v>80</v>
      </c>
      <c r="AS7132" t="s">
        <v>81</v>
      </c>
      <c r="AT7132" t="s">
        <v>58</v>
      </c>
      <c r="AU7132" t="s">
        <v>68</v>
      </c>
      <c r="AV7132" t="s">
        <v>69</v>
      </c>
      <c r="AW7132" s="1">
        <v>24657</v>
      </c>
      <c r="AX7132">
        <v>1</v>
      </c>
    </row>
    <row r="7133" spans="1:50">
      <c r="A7133">
        <v>609161</v>
      </c>
      <c r="B7133" t="str">
        <f>"079136576"</f>
        <v>079136576</v>
      </c>
      <c r="C7133" t="s">
        <v>50</v>
      </c>
      <c r="D7133" t="s">
        <v>3930</v>
      </c>
      <c r="E7133" t="s">
        <v>372</v>
      </c>
      <c r="F7133" t="s">
        <v>670</v>
      </c>
      <c r="G7133" t="s">
        <v>314</v>
      </c>
      <c r="H7133" t="str">
        <f>" "</f>
        <v xml:space="preserve"> </v>
      </c>
      <c r="J7133">
        <v>2106723985</v>
      </c>
      <c r="K7133">
        <v>6974827974</v>
      </c>
      <c r="M7133" t="s">
        <v>11495</v>
      </c>
      <c r="N7133" t="s">
        <v>306</v>
      </c>
      <c r="O7133" t="s">
        <v>307</v>
      </c>
      <c r="R7133" t="s">
        <v>57</v>
      </c>
      <c r="S7133">
        <v>8</v>
      </c>
      <c r="T7133" t="s">
        <v>11496</v>
      </c>
      <c r="U7133" s="1">
        <v>38600</v>
      </c>
      <c r="V7133" t="s">
        <v>80</v>
      </c>
      <c r="W7133" t="s">
        <v>81</v>
      </c>
      <c r="X7133" t="s">
        <v>58</v>
      </c>
      <c r="Y7133">
        <v>22</v>
      </c>
      <c r="Z7133" t="s">
        <v>59</v>
      </c>
      <c r="AA7133" t="s">
        <v>59</v>
      </c>
      <c r="AB7133" t="s">
        <v>59</v>
      </c>
      <c r="AC7133" t="s">
        <v>59</v>
      </c>
      <c r="AD7133" t="s">
        <v>59</v>
      </c>
      <c r="AF7133" s="1">
        <v>38600</v>
      </c>
      <c r="AG7133" t="s">
        <v>8645</v>
      </c>
      <c r="AH7133" t="s">
        <v>8646</v>
      </c>
      <c r="AI7133" t="str">
        <f>"9170424"</f>
        <v>9170424</v>
      </c>
      <c r="AJ7133" t="s">
        <v>8860</v>
      </c>
      <c r="AK7133">
        <v>2810254530</v>
      </c>
      <c r="AL7133" t="s">
        <v>8861</v>
      </c>
      <c r="AM7133" t="s">
        <v>78</v>
      </c>
      <c r="AN7133" t="s">
        <v>78</v>
      </c>
      <c r="AO7133" t="s">
        <v>78</v>
      </c>
      <c r="AP7133" t="s">
        <v>163</v>
      </c>
      <c r="AQ7133">
        <v>1</v>
      </c>
      <c r="AR7133" t="s">
        <v>80</v>
      </c>
      <c r="AS7133" t="s">
        <v>81</v>
      </c>
      <c r="AT7133" t="s">
        <v>58</v>
      </c>
      <c r="AU7133" t="s">
        <v>68</v>
      </c>
      <c r="AV7133" t="s">
        <v>69</v>
      </c>
      <c r="AW7133" s="1">
        <v>26427</v>
      </c>
      <c r="AX7133">
        <v>1</v>
      </c>
    </row>
    <row r="7134" spans="1:50">
      <c r="A7134">
        <v>561959</v>
      </c>
      <c r="B7134" t="str">
        <f>"031249521"</f>
        <v>031249521</v>
      </c>
      <c r="C7134" t="s">
        <v>105</v>
      </c>
      <c r="D7134" t="s">
        <v>3932</v>
      </c>
      <c r="E7134" t="s">
        <v>95</v>
      </c>
      <c r="F7134" t="s">
        <v>106</v>
      </c>
      <c r="G7134" t="s">
        <v>143</v>
      </c>
      <c r="H7134" t="str">
        <f>"ΔΕΛΜΟΥΖΟΥ 2 ΗΡΑΚΛΕΙΟ"</f>
        <v>ΔΕΛΜΟΥΖΟΥ 2 ΗΡΑΚΛΕΙΟ</v>
      </c>
      <c r="I7134">
        <v>71500</v>
      </c>
      <c r="J7134">
        <v>2810259489</v>
      </c>
      <c r="K7134">
        <v>6946594940</v>
      </c>
      <c r="M7134" t="s">
        <v>11497</v>
      </c>
      <c r="N7134" t="s">
        <v>615</v>
      </c>
      <c r="O7134" t="s">
        <v>616</v>
      </c>
      <c r="R7134" t="s">
        <v>57</v>
      </c>
      <c r="S7134">
        <v>19</v>
      </c>
      <c r="T7134">
        <v>187</v>
      </c>
      <c r="U7134" s="1">
        <v>32723</v>
      </c>
      <c r="V7134" t="s">
        <v>80</v>
      </c>
      <c r="W7134" t="s">
        <v>81</v>
      </c>
      <c r="X7134" t="s">
        <v>58</v>
      </c>
      <c r="Y7134">
        <v>21</v>
      </c>
      <c r="Z7134" t="s">
        <v>59</v>
      </c>
      <c r="AA7134" t="s">
        <v>59</v>
      </c>
      <c r="AB7134" t="s">
        <v>59</v>
      </c>
      <c r="AC7134" t="s">
        <v>59</v>
      </c>
      <c r="AD7134" t="s">
        <v>59</v>
      </c>
      <c r="AF7134" s="1">
        <v>32752</v>
      </c>
      <c r="AG7134" t="s">
        <v>8645</v>
      </c>
      <c r="AH7134" t="s">
        <v>8646</v>
      </c>
      <c r="AI7134" t="str">
        <f>"9170120"</f>
        <v>9170120</v>
      </c>
      <c r="AJ7134" t="s">
        <v>9237</v>
      </c>
      <c r="AK7134">
        <v>2810881577</v>
      </c>
      <c r="AL7134" t="s">
        <v>9238</v>
      </c>
      <c r="AM7134" t="s">
        <v>78</v>
      </c>
      <c r="AN7134" t="s">
        <v>78</v>
      </c>
      <c r="AO7134" t="s">
        <v>78</v>
      </c>
      <c r="AP7134" t="s">
        <v>9239</v>
      </c>
      <c r="AQ7134">
        <v>1</v>
      </c>
      <c r="AR7134" t="s">
        <v>80</v>
      </c>
      <c r="AS7134" t="s">
        <v>81</v>
      </c>
      <c r="AT7134" t="s">
        <v>58</v>
      </c>
      <c r="AU7134" t="s">
        <v>68</v>
      </c>
      <c r="AV7134" t="s">
        <v>69</v>
      </c>
      <c r="AW7134" s="1">
        <v>23427</v>
      </c>
      <c r="AX7134">
        <v>1</v>
      </c>
    </row>
    <row r="7135" spans="1:50">
      <c r="A7135">
        <v>617861</v>
      </c>
      <c r="B7135" t="str">
        <f>"103516326"</f>
        <v>103516326</v>
      </c>
      <c r="C7135" t="s">
        <v>105</v>
      </c>
      <c r="D7135" t="s">
        <v>3932</v>
      </c>
      <c r="E7135" t="s">
        <v>72</v>
      </c>
      <c r="F7135" t="s">
        <v>95</v>
      </c>
      <c r="G7135" t="s">
        <v>263</v>
      </c>
      <c r="H7135" t="str">
        <f>"ΜΕΛΙΣΣΕΑ 3 ΗΡΑΚΛΕΙΟ ΚΡΗΤΗΣ"</f>
        <v>ΜΕΛΙΣΣΕΑ 3 ΗΡΑΚΛΕΙΟ ΚΡΗΤΗΣ</v>
      </c>
      <c r="I7135">
        <v>71305</v>
      </c>
      <c r="J7135">
        <v>2810319423</v>
      </c>
      <c r="K7135">
        <v>6981442189</v>
      </c>
      <c r="N7135" t="s">
        <v>615</v>
      </c>
      <c r="O7135" t="s">
        <v>616</v>
      </c>
      <c r="R7135" t="s">
        <v>57</v>
      </c>
      <c r="S7135">
        <v>5</v>
      </c>
      <c r="T7135">
        <v>774</v>
      </c>
      <c r="U7135" s="1">
        <v>39680</v>
      </c>
      <c r="V7135" t="s">
        <v>80</v>
      </c>
      <c r="W7135" t="s">
        <v>81</v>
      </c>
      <c r="X7135" t="s">
        <v>58</v>
      </c>
      <c r="Y7135">
        <v>23</v>
      </c>
      <c r="Z7135" t="s">
        <v>59</v>
      </c>
      <c r="AA7135" t="s">
        <v>59</v>
      </c>
      <c r="AB7135" t="s">
        <v>59</v>
      </c>
      <c r="AC7135" t="s">
        <v>59</v>
      </c>
      <c r="AD7135" t="s">
        <v>59</v>
      </c>
      <c r="AF7135" s="1">
        <v>39681</v>
      </c>
      <c r="AG7135" t="s">
        <v>8645</v>
      </c>
      <c r="AH7135" t="s">
        <v>8646</v>
      </c>
      <c r="AI7135" t="str">
        <f>"9170262"</f>
        <v>9170262</v>
      </c>
      <c r="AJ7135" t="s">
        <v>9224</v>
      </c>
      <c r="AK7135">
        <v>2810245912</v>
      </c>
      <c r="AL7135" t="s">
        <v>9225</v>
      </c>
      <c r="AM7135" t="s">
        <v>78</v>
      </c>
      <c r="AN7135" t="s">
        <v>78</v>
      </c>
      <c r="AO7135" t="s">
        <v>286</v>
      </c>
      <c r="AP7135" t="s">
        <v>286</v>
      </c>
      <c r="AQ7135">
        <v>1</v>
      </c>
      <c r="AR7135" t="s">
        <v>80</v>
      </c>
      <c r="AS7135" t="s">
        <v>81</v>
      </c>
      <c r="AT7135" t="s">
        <v>58</v>
      </c>
      <c r="AU7135" t="s">
        <v>68</v>
      </c>
      <c r="AV7135" t="s">
        <v>69</v>
      </c>
      <c r="AW7135" s="1">
        <v>29639</v>
      </c>
      <c r="AX7135">
        <v>1</v>
      </c>
    </row>
    <row r="7136" spans="1:50">
      <c r="A7136">
        <v>617929</v>
      </c>
      <c r="B7136" t="str">
        <f>"137468418"</f>
        <v>137468418</v>
      </c>
      <c r="C7136" t="s">
        <v>105</v>
      </c>
      <c r="D7136" t="s">
        <v>3932</v>
      </c>
      <c r="E7136" t="s">
        <v>230</v>
      </c>
      <c r="F7136" t="s">
        <v>95</v>
      </c>
      <c r="G7136" t="s">
        <v>263</v>
      </c>
      <c r="H7136" t="str">
        <f>"ΠΥΡΓΟΣ ΜΟΝΟΦΑΤΣΙΟΥ  ΠΥΡΓΟΣ ΜΟΝΟΦΑΤΣΙΟΥ"</f>
        <v>ΠΥΡΓΟΣ ΜΟΝΟΦΑΤΣΙΟΥ  ΠΥΡΓΟΣ ΜΟΝΟΦΑΤΣΙΟΥ</v>
      </c>
      <c r="I7136">
        <v>70010</v>
      </c>
      <c r="J7136">
        <v>2893023262</v>
      </c>
      <c r="K7136">
        <v>6932971134</v>
      </c>
      <c r="N7136" t="s">
        <v>615</v>
      </c>
      <c r="O7136" t="s">
        <v>616</v>
      </c>
      <c r="R7136" t="s">
        <v>57</v>
      </c>
      <c r="S7136">
        <v>5</v>
      </c>
      <c r="T7136">
        <v>774</v>
      </c>
      <c r="U7136" s="1">
        <v>39680</v>
      </c>
      <c r="V7136" t="s">
        <v>80</v>
      </c>
      <c r="W7136" t="s">
        <v>81</v>
      </c>
      <c r="X7136" t="s">
        <v>58</v>
      </c>
      <c r="Y7136">
        <v>23</v>
      </c>
      <c r="Z7136" t="s">
        <v>59</v>
      </c>
      <c r="AA7136" t="s">
        <v>59</v>
      </c>
      <c r="AB7136" t="s">
        <v>59</v>
      </c>
      <c r="AC7136" t="s">
        <v>59</v>
      </c>
      <c r="AD7136" t="s">
        <v>59</v>
      </c>
      <c r="AF7136" s="1">
        <v>39681</v>
      </c>
      <c r="AG7136" t="s">
        <v>8645</v>
      </c>
      <c r="AH7136" t="s">
        <v>8646</v>
      </c>
      <c r="AI7136" t="str">
        <f>"9170255"</f>
        <v>9170255</v>
      </c>
      <c r="AJ7136" t="s">
        <v>8915</v>
      </c>
      <c r="AK7136">
        <v>2810220750</v>
      </c>
      <c r="AL7136" t="s">
        <v>8916</v>
      </c>
      <c r="AM7136" t="s">
        <v>78</v>
      </c>
      <c r="AN7136" t="s">
        <v>78</v>
      </c>
      <c r="AO7136" t="s">
        <v>78</v>
      </c>
      <c r="AP7136" t="s">
        <v>213</v>
      </c>
      <c r="AQ7136">
        <v>1</v>
      </c>
      <c r="AR7136" t="s">
        <v>80</v>
      </c>
      <c r="AS7136" t="s">
        <v>81</v>
      </c>
      <c r="AT7136" t="s">
        <v>58</v>
      </c>
      <c r="AU7136" t="s">
        <v>68</v>
      </c>
      <c r="AV7136" t="s">
        <v>69</v>
      </c>
      <c r="AW7136" s="1">
        <v>30459</v>
      </c>
      <c r="AX7136">
        <v>1</v>
      </c>
    </row>
    <row r="7137" spans="1:50">
      <c r="B7137" t="str">
        <f>"063997947"</f>
        <v>063997947</v>
      </c>
      <c r="C7137" t="s">
        <v>105</v>
      </c>
      <c r="D7137" t="s">
        <v>11498</v>
      </c>
      <c r="E7137" t="s">
        <v>72</v>
      </c>
      <c r="F7137" t="s">
        <v>95</v>
      </c>
      <c r="G7137" t="s">
        <v>73</v>
      </c>
      <c r="H7137" t="str">
        <f>"ΑΧΑΪΑΣ  38 ΠΑΛΛΗΝΗ"</f>
        <v>ΑΧΑΪΑΣ  38 ΠΑΛΛΗΝΗ</v>
      </c>
      <c r="I7137">
        <v>15351</v>
      </c>
      <c r="J7137">
        <v>2106030823</v>
      </c>
      <c r="K7137">
        <v>6938271886</v>
      </c>
      <c r="M7137" t="s">
        <v>11499</v>
      </c>
      <c r="N7137" t="s">
        <v>337</v>
      </c>
      <c r="O7137" t="s">
        <v>338</v>
      </c>
      <c r="R7137" t="s">
        <v>121</v>
      </c>
      <c r="S7137">
        <v>3</v>
      </c>
      <c r="T7137" t="s">
        <v>8675</v>
      </c>
      <c r="U7137" s="1">
        <v>43348</v>
      </c>
      <c r="V7137" t="s">
        <v>80</v>
      </c>
      <c r="W7137" t="s">
        <v>81</v>
      </c>
      <c r="X7137" t="s">
        <v>58</v>
      </c>
      <c r="Y7137">
        <v>24</v>
      </c>
      <c r="Z7137" t="s">
        <v>59</v>
      </c>
      <c r="AA7137" t="s">
        <v>59</v>
      </c>
      <c r="AB7137" t="s">
        <v>59</v>
      </c>
      <c r="AD7137" t="s">
        <v>59</v>
      </c>
      <c r="AF7137" s="1">
        <v>43348</v>
      </c>
      <c r="AG7137" t="s">
        <v>8645</v>
      </c>
      <c r="AH7137" t="s">
        <v>8646</v>
      </c>
      <c r="AI7137" t="str">
        <f>"9170270"</f>
        <v>9170270</v>
      </c>
      <c r="AJ7137" t="s">
        <v>9347</v>
      </c>
      <c r="AK7137">
        <v>2892031245</v>
      </c>
      <c r="AL7137" t="s">
        <v>9348</v>
      </c>
      <c r="AM7137" t="s">
        <v>78</v>
      </c>
      <c r="AN7137" t="s">
        <v>405</v>
      </c>
      <c r="AO7137" t="s">
        <v>405</v>
      </c>
      <c r="AP7137" t="s">
        <v>464</v>
      </c>
      <c r="AQ7137">
        <v>17</v>
      </c>
      <c r="AR7137" t="s">
        <v>80</v>
      </c>
      <c r="AS7137" t="s">
        <v>81</v>
      </c>
      <c r="AT7137" t="s">
        <v>58</v>
      </c>
      <c r="AU7137" t="s">
        <v>8673</v>
      </c>
      <c r="AV7137" t="s">
        <v>132</v>
      </c>
      <c r="AW7137" s="1">
        <v>31802</v>
      </c>
      <c r="AX7137">
        <v>1</v>
      </c>
    </row>
    <row r="7138" spans="1:50">
      <c r="B7138" t="str">
        <f>"070340560"</f>
        <v>070340560</v>
      </c>
      <c r="C7138" t="s">
        <v>50</v>
      </c>
      <c r="D7138" t="s">
        <v>3938</v>
      </c>
      <c r="E7138" t="s">
        <v>83</v>
      </c>
      <c r="F7138" t="s">
        <v>95</v>
      </c>
      <c r="G7138" t="s">
        <v>396</v>
      </c>
      <c r="H7138" t="str">
        <f>"Γ. ΓΕΩΡΓΙΑΔΟΥ 2 ΗΡΑΚΛΕΙΟ"</f>
        <v>Γ. ΓΕΩΡΓΙΑΔΟΥ 2 ΗΡΑΚΛΕΙΟ</v>
      </c>
      <c r="I7138">
        <v>71305</v>
      </c>
      <c r="J7138">
        <v>2810285490</v>
      </c>
      <c r="K7138">
        <v>6932611716</v>
      </c>
      <c r="N7138" t="s">
        <v>683</v>
      </c>
      <c r="O7138" t="s">
        <v>684</v>
      </c>
      <c r="R7138" t="s">
        <v>57</v>
      </c>
      <c r="S7138">
        <v>6</v>
      </c>
      <c r="T7138" t="s">
        <v>8675</v>
      </c>
      <c r="U7138" s="1">
        <v>43348</v>
      </c>
      <c r="V7138" t="s">
        <v>80</v>
      </c>
      <c r="W7138" t="s">
        <v>81</v>
      </c>
      <c r="X7138" t="s">
        <v>58</v>
      </c>
      <c r="Y7138">
        <v>24</v>
      </c>
      <c r="Z7138" t="s">
        <v>59</v>
      </c>
      <c r="AA7138" t="s">
        <v>59</v>
      </c>
      <c r="AB7138" t="s">
        <v>59</v>
      </c>
      <c r="AC7138" t="s">
        <v>59</v>
      </c>
      <c r="AD7138" t="s">
        <v>59</v>
      </c>
      <c r="AF7138" s="1">
        <v>43348</v>
      </c>
      <c r="AG7138" t="s">
        <v>8645</v>
      </c>
      <c r="AH7138" t="s">
        <v>8646</v>
      </c>
      <c r="AI7138" t="str">
        <f>"9170431"</f>
        <v>9170431</v>
      </c>
      <c r="AJ7138" t="s">
        <v>8658</v>
      </c>
      <c r="AK7138">
        <v>2810250952</v>
      </c>
      <c r="AL7138" t="s">
        <v>8659</v>
      </c>
      <c r="AM7138" t="s">
        <v>78</v>
      </c>
      <c r="AN7138" t="s">
        <v>78</v>
      </c>
      <c r="AO7138" t="s">
        <v>78</v>
      </c>
      <c r="AP7138" t="s">
        <v>141</v>
      </c>
      <c r="AQ7138">
        <v>1</v>
      </c>
      <c r="AR7138" t="s">
        <v>80</v>
      </c>
      <c r="AS7138" t="s">
        <v>81</v>
      </c>
      <c r="AT7138" t="s">
        <v>58</v>
      </c>
      <c r="AU7138" t="s">
        <v>8673</v>
      </c>
      <c r="AV7138" t="s">
        <v>132</v>
      </c>
      <c r="AW7138" s="1">
        <v>28502</v>
      </c>
      <c r="AX7138">
        <v>1</v>
      </c>
    </row>
    <row r="7139" spans="1:50">
      <c r="A7139">
        <v>702198</v>
      </c>
      <c r="B7139" t="str">
        <f>"114563197"</f>
        <v>114563197</v>
      </c>
      <c r="C7139" t="s">
        <v>50</v>
      </c>
      <c r="D7139" t="s">
        <v>3938</v>
      </c>
      <c r="E7139" t="s">
        <v>83</v>
      </c>
      <c r="F7139" t="s">
        <v>377</v>
      </c>
      <c r="G7139" t="s">
        <v>215</v>
      </c>
      <c r="H7139" t="str">
        <f>"ΣΠΑΡΤΗΣ 21 ΗΡΑΚΛΕΙΟ"</f>
        <v>ΣΠΑΡΤΗΣ 21 ΗΡΑΚΛΕΙΟ</v>
      </c>
      <c r="I7139">
        <v>71409</v>
      </c>
      <c r="J7139">
        <v>2810235418</v>
      </c>
      <c r="K7139">
        <v>6932810917</v>
      </c>
      <c r="M7139" t="s">
        <v>11500</v>
      </c>
      <c r="N7139" t="s">
        <v>615</v>
      </c>
      <c r="O7139" t="s">
        <v>616</v>
      </c>
      <c r="R7139" t="s">
        <v>57</v>
      </c>
      <c r="S7139">
        <v>6</v>
      </c>
      <c r="T7139" t="s">
        <v>11501</v>
      </c>
      <c r="U7139" s="1">
        <v>40413</v>
      </c>
      <c r="V7139" t="s">
        <v>80</v>
      </c>
      <c r="W7139" t="s">
        <v>81</v>
      </c>
      <c r="X7139" t="s">
        <v>58</v>
      </c>
      <c r="Y7139">
        <v>24</v>
      </c>
      <c r="Z7139" t="s">
        <v>59</v>
      </c>
      <c r="AA7139" t="s">
        <v>59</v>
      </c>
      <c r="AB7139" t="s">
        <v>59</v>
      </c>
      <c r="AC7139" t="s">
        <v>59</v>
      </c>
      <c r="AD7139" t="s">
        <v>59</v>
      </c>
      <c r="AF7139" s="1">
        <v>40413</v>
      </c>
      <c r="AG7139" t="s">
        <v>8645</v>
      </c>
      <c r="AH7139" t="s">
        <v>8646</v>
      </c>
      <c r="AI7139" t="str">
        <f>"9170198"</f>
        <v>9170198</v>
      </c>
      <c r="AJ7139" t="s">
        <v>8665</v>
      </c>
      <c r="AK7139">
        <v>2810227379</v>
      </c>
      <c r="AL7139" t="s">
        <v>8666</v>
      </c>
      <c r="AM7139" t="s">
        <v>78</v>
      </c>
      <c r="AN7139" t="s">
        <v>78</v>
      </c>
      <c r="AO7139" t="s">
        <v>78</v>
      </c>
      <c r="AP7139" t="s">
        <v>79</v>
      </c>
      <c r="AQ7139">
        <v>1</v>
      </c>
      <c r="AR7139" t="s">
        <v>80</v>
      </c>
      <c r="AS7139" t="s">
        <v>81</v>
      </c>
      <c r="AT7139" t="s">
        <v>58</v>
      </c>
      <c r="AU7139" t="s">
        <v>68</v>
      </c>
      <c r="AV7139" t="s">
        <v>69</v>
      </c>
      <c r="AW7139" s="1">
        <v>31608</v>
      </c>
      <c r="AX7139">
        <v>1</v>
      </c>
    </row>
    <row r="7140" spans="1:50">
      <c r="B7140" t="str">
        <f>"111568311"</f>
        <v>111568311</v>
      </c>
      <c r="C7140" t="s">
        <v>50</v>
      </c>
      <c r="D7140" t="s">
        <v>3938</v>
      </c>
      <c r="E7140" t="s">
        <v>255</v>
      </c>
      <c r="F7140" t="s">
        <v>92</v>
      </c>
      <c r="G7140" t="s">
        <v>250</v>
      </c>
      <c r="H7140" t="str">
        <f>"ΒΑΛΑΒΑΝΗ 46 ΛΑΡΙΣΑ"</f>
        <v>ΒΑΛΑΒΑΝΗ 46 ΛΑΡΙΣΑ</v>
      </c>
      <c r="I7140">
        <v>41334</v>
      </c>
      <c r="J7140">
        <v>2410610693</v>
      </c>
      <c r="K7140">
        <v>6908682044</v>
      </c>
      <c r="N7140" t="s">
        <v>683</v>
      </c>
      <c r="O7140" t="s">
        <v>684</v>
      </c>
      <c r="R7140" t="s">
        <v>159</v>
      </c>
      <c r="S7140">
        <v>2</v>
      </c>
      <c r="T7140" t="s">
        <v>8675</v>
      </c>
      <c r="U7140" s="1">
        <v>43348</v>
      </c>
      <c r="V7140" t="s">
        <v>80</v>
      </c>
      <c r="W7140" t="s">
        <v>81</v>
      </c>
      <c r="X7140" t="s">
        <v>58</v>
      </c>
      <c r="Y7140">
        <v>24</v>
      </c>
      <c r="Z7140" t="s">
        <v>59</v>
      </c>
      <c r="AA7140" t="s">
        <v>59</v>
      </c>
      <c r="AB7140" t="s">
        <v>59</v>
      </c>
      <c r="AC7140" t="s">
        <v>59</v>
      </c>
      <c r="AD7140" t="s">
        <v>59</v>
      </c>
      <c r="AF7140" s="1">
        <v>43348</v>
      </c>
      <c r="AG7140" t="s">
        <v>8645</v>
      </c>
      <c r="AH7140" t="s">
        <v>8646</v>
      </c>
      <c r="AI7140" t="str">
        <f>"9170514"</f>
        <v>9170514</v>
      </c>
      <c r="AJ7140" t="s">
        <v>8801</v>
      </c>
      <c r="AK7140">
        <v>2810238666</v>
      </c>
      <c r="AL7140" t="s">
        <v>8802</v>
      </c>
      <c r="AM7140" t="s">
        <v>78</v>
      </c>
      <c r="AN7140" t="s">
        <v>78</v>
      </c>
      <c r="AO7140" t="s">
        <v>78</v>
      </c>
      <c r="AP7140" t="s">
        <v>163</v>
      </c>
      <c r="AQ7140">
        <v>1</v>
      </c>
      <c r="AR7140" t="s">
        <v>80</v>
      </c>
      <c r="AS7140" t="s">
        <v>81</v>
      </c>
      <c r="AT7140" t="s">
        <v>58</v>
      </c>
      <c r="AU7140" t="s">
        <v>8673</v>
      </c>
      <c r="AV7140" t="s">
        <v>132</v>
      </c>
      <c r="AW7140" s="1">
        <v>27713</v>
      </c>
      <c r="AX7140">
        <v>1</v>
      </c>
    </row>
    <row r="7141" spans="1:50">
      <c r="A7141">
        <v>618860</v>
      </c>
      <c r="B7141" t="str">
        <f>"132331610"</f>
        <v>132331610</v>
      </c>
      <c r="C7141" t="s">
        <v>50</v>
      </c>
      <c r="D7141" t="s">
        <v>3938</v>
      </c>
      <c r="E7141" t="s">
        <v>11502</v>
      </c>
      <c r="F7141" t="s">
        <v>166</v>
      </c>
      <c r="G7141" t="s">
        <v>52</v>
      </c>
      <c r="H7141" t="str">
        <f>"ΑΜΑΛΙΑΔΑΣ 11 ΗΡΑΚΛΕΙΟ"</f>
        <v>ΑΜΑΛΙΑΔΑΣ 11 ΗΡΑΚΛΕΙΟ</v>
      </c>
      <c r="I7141">
        <v>71409</v>
      </c>
      <c r="J7141">
        <v>2810233534</v>
      </c>
      <c r="K7141">
        <v>6984309333</v>
      </c>
      <c r="M7141" t="s">
        <v>11503</v>
      </c>
      <c r="N7141" t="s">
        <v>615</v>
      </c>
      <c r="O7141" t="s">
        <v>616</v>
      </c>
      <c r="R7141" t="s">
        <v>57</v>
      </c>
      <c r="S7141">
        <v>5</v>
      </c>
      <c r="T7141">
        <v>774</v>
      </c>
      <c r="U7141" s="1">
        <v>39680</v>
      </c>
      <c r="V7141" t="s">
        <v>80</v>
      </c>
      <c r="W7141" t="s">
        <v>81</v>
      </c>
      <c r="X7141" t="s">
        <v>58</v>
      </c>
      <c r="Y7141">
        <v>23</v>
      </c>
      <c r="Z7141" t="s">
        <v>59</v>
      </c>
      <c r="AA7141" t="s">
        <v>59</v>
      </c>
      <c r="AB7141" t="s">
        <v>59</v>
      </c>
      <c r="AC7141" t="s">
        <v>59</v>
      </c>
      <c r="AD7141" t="s">
        <v>59</v>
      </c>
      <c r="AF7141" s="1">
        <v>39680</v>
      </c>
      <c r="AG7141" t="s">
        <v>8645</v>
      </c>
      <c r="AH7141" t="s">
        <v>8646</v>
      </c>
      <c r="AI7141" t="str">
        <f>"9170254"</f>
        <v>9170254</v>
      </c>
      <c r="AJ7141" t="s">
        <v>9839</v>
      </c>
      <c r="AK7141">
        <v>2810245069</v>
      </c>
      <c r="AL7141" t="s">
        <v>9840</v>
      </c>
      <c r="AM7141" t="s">
        <v>78</v>
      </c>
      <c r="AN7141" t="s">
        <v>78</v>
      </c>
      <c r="AO7141" t="s">
        <v>78</v>
      </c>
      <c r="AP7141" t="s">
        <v>213</v>
      </c>
      <c r="AQ7141">
        <v>1</v>
      </c>
      <c r="AR7141" t="s">
        <v>80</v>
      </c>
      <c r="AS7141" t="s">
        <v>81</v>
      </c>
      <c r="AT7141" t="s">
        <v>58</v>
      </c>
      <c r="AU7141" t="s">
        <v>68</v>
      </c>
      <c r="AV7141" t="s">
        <v>69</v>
      </c>
      <c r="AW7141" s="1">
        <v>31262</v>
      </c>
      <c r="AX7141">
        <v>1</v>
      </c>
    </row>
    <row r="7142" spans="1:50">
      <c r="B7142" t="str">
        <f>"132994012"</f>
        <v>132994012</v>
      </c>
      <c r="C7142" t="s">
        <v>50</v>
      </c>
      <c r="D7142" t="s">
        <v>3938</v>
      </c>
      <c r="E7142" t="s">
        <v>109</v>
      </c>
      <c r="F7142" t="s">
        <v>95</v>
      </c>
      <c r="G7142" t="s">
        <v>396</v>
      </c>
      <c r="H7142" t="str">
        <f>"Γ. ΓΕΩΡΓΙΑΔΟΥ 2 "</f>
        <v xml:space="preserve">Γ. ΓΕΩΡΓΙΑΔΟΥ 2 </v>
      </c>
      <c r="I7142">
        <v>71305</v>
      </c>
      <c r="J7142">
        <v>2810285490</v>
      </c>
      <c r="K7142">
        <v>6947705406</v>
      </c>
      <c r="N7142" t="s">
        <v>1525</v>
      </c>
      <c r="O7142" t="s">
        <v>1526</v>
      </c>
      <c r="R7142" t="s">
        <v>159</v>
      </c>
      <c r="S7142">
        <v>2</v>
      </c>
      <c r="T7142" t="s">
        <v>8670</v>
      </c>
      <c r="U7142" s="1">
        <v>43348</v>
      </c>
      <c r="V7142" t="s">
        <v>80</v>
      </c>
      <c r="W7142" t="s">
        <v>81</v>
      </c>
      <c r="X7142" t="s">
        <v>58</v>
      </c>
      <c r="Y7142">
        <v>25</v>
      </c>
      <c r="Z7142" t="s">
        <v>59</v>
      </c>
      <c r="AA7142" t="s">
        <v>59</v>
      </c>
      <c r="AB7142" t="s">
        <v>59</v>
      </c>
      <c r="AC7142" t="s">
        <v>59</v>
      </c>
      <c r="AD7142" t="s">
        <v>59</v>
      </c>
      <c r="AF7142" s="1">
        <v>43348</v>
      </c>
      <c r="AG7142" t="s">
        <v>8651</v>
      </c>
      <c r="AH7142" t="s">
        <v>8652</v>
      </c>
      <c r="AI7142" t="str">
        <f>"9170280"</f>
        <v>9170280</v>
      </c>
      <c r="AJ7142" t="s">
        <v>9220</v>
      </c>
      <c r="AK7142">
        <v>2894031022</v>
      </c>
      <c r="AL7142" t="s">
        <v>9221</v>
      </c>
      <c r="AM7142" t="s">
        <v>78</v>
      </c>
      <c r="AN7142" t="s">
        <v>242</v>
      </c>
      <c r="AO7142" t="s">
        <v>999</v>
      </c>
      <c r="AP7142" t="s">
        <v>9222</v>
      </c>
      <c r="AQ7142">
        <v>21</v>
      </c>
      <c r="AR7142" t="s">
        <v>80</v>
      </c>
      <c r="AS7142" t="s">
        <v>81</v>
      </c>
      <c r="AT7142" t="s">
        <v>58</v>
      </c>
      <c r="AU7142" t="s">
        <v>8673</v>
      </c>
      <c r="AV7142" t="s">
        <v>132</v>
      </c>
      <c r="AW7142" s="1">
        <v>30415</v>
      </c>
      <c r="AX7142">
        <v>1</v>
      </c>
    </row>
    <row r="7143" spans="1:50">
      <c r="A7143">
        <v>566160</v>
      </c>
      <c r="B7143" t="str">
        <f>"042218433"</f>
        <v>042218433</v>
      </c>
      <c r="C7143" t="s">
        <v>50</v>
      </c>
      <c r="D7143" t="s">
        <v>3938</v>
      </c>
      <c r="E7143" t="s">
        <v>52</v>
      </c>
      <c r="F7143" t="s">
        <v>936</v>
      </c>
      <c r="G7143" t="s">
        <v>237</v>
      </c>
      <c r="H7143" t="str">
        <f>"ΚΑΠΕΤΑΝΑΚΗ ΜΕΤΟΧΙ ΗΡΑΚΛΕΙΟ"</f>
        <v>ΚΑΠΕΤΑΝΑΚΗ ΜΕΤΟΧΙ ΗΡΑΚΛΕΙΟ</v>
      </c>
      <c r="I7143">
        <v>71500</v>
      </c>
      <c r="J7143">
        <v>2810239529</v>
      </c>
      <c r="K7143">
        <v>6906265323</v>
      </c>
      <c r="N7143" t="s">
        <v>615</v>
      </c>
      <c r="O7143" t="s">
        <v>616</v>
      </c>
      <c r="R7143" t="s">
        <v>57</v>
      </c>
      <c r="S7143">
        <v>14</v>
      </c>
      <c r="T7143">
        <v>166</v>
      </c>
      <c r="U7143" s="1">
        <v>33119</v>
      </c>
      <c r="V7143" t="s">
        <v>80</v>
      </c>
      <c r="W7143" t="s">
        <v>81</v>
      </c>
      <c r="X7143" t="s">
        <v>58</v>
      </c>
      <c r="Y7143">
        <v>21</v>
      </c>
      <c r="Z7143" t="s">
        <v>59</v>
      </c>
      <c r="AA7143" t="s">
        <v>59</v>
      </c>
      <c r="AB7143" t="s">
        <v>59</v>
      </c>
      <c r="AC7143" t="s">
        <v>59</v>
      </c>
      <c r="AD7143" t="s">
        <v>59</v>
      </c>
      <c r="AF7143" s="1">
        <v>33121</v>
      </c>
      <c r="AG7143" t="s">
        <v>8645</v>
      </c>
      <c r="AH7143" t="s">
        <v>8646</v>
      </c>
      <c r="AI7143" t="str">
        <f>"9170580"</f>
        <v>9170580</v>
      </c>
      <c r="AJ7143" t="s">
        <v>9076</v>
      </c>
      <c r="AK7143">
        <v>2810542809</v>
      </c>
      <c r="AL7143" t="s">
        <v>9077</v>
      </c>
      <c r="AM7143" t="s">
        <v>78</v>
      </c>
      <c r="AN7143" t="s">
        <v>78</v>
      </c>
      <c r="AO7143" t="s">
        <v>78</v>
      </c>
      <c r="AP7143" t="s">
        <v>9053</v>
      </c>
      <c r="AQ7143">
        <v>1</v>
      </c>
      <c r="AR7143" t="s">
        <v>80</v>
      </c>
      <c r="AS7143" t="s">
        <v>81</v>
      </c>
      <c r="AT7143" t="s">
        <v>58</v>
      </c>
      <c r="AU7143" t="s">
        <v>68</v>
      </c>
      <c r="AV7143" t="s">
        <v>69</v>
      </c>
      <c r="AW7143" s="1">
        <v>23863</v>
      </c>
      <c r="AX7143">
        <v>1</v>
      </c>
    </row>
    <row r="7144" spans="1:50">
      <c r="B7144" t="str">
        <f>"132313296"</f>
        <v>132313296</v>
      </c>
      <c r="C7144" t="s">
        <v>105</v>
      </c>
      <c r="D7144" t="s">
        <v>6583</v>
      </c>
      <c r="E7144" t="s">
        <v>95</v>
      </c>
      <c r="F7144" t="s">
        <v>1062</v>
      </c>
      <c r="G7144" t="s">
        <v>181</v>
      </c>
      <c r="H7144" t="str">
        <f>"ΒΙΤΣΙ 63 "</f>
        <v xml:space="preserve">ΒΙΤΣΙ 63 </v>
      </c>
      <c r="I7144">
        <v>71307</v>
      </c>
      <c r="J7144">
        <v>2810343262</v>
      </c>
      <c r="K7144">
        <v>6945384768</v>
      </c>
      <c r="N7144" t="s">
        <v>615</v>
      </c>
      <c r="O7144" t="s">
        <v>616</v>
      </c>
      <c r="R7144" t="s">
        <v>159</v>
      </c>
      <c r="S7144">
        <v>3</v>
      </c>
      <c r="T7144" t="s">
        <v>8675</v>
      </c>
      <c r="U7144" s="1">
        <v>43348</v>
      </c>
      <c r="V7144" t="s">
        <v>80</v>
      </c>
      <c r="W7144" t="s">
        <v>81</v>
      </c>
      <c r="X7144" t="s">
        <v>58</v>
      </c>
      <c r="Y7144">
        <v>24</v>
      </c>
      <c r="Z7144" t="s">
        <v>59</v>
      </c>
      <c r="AA7144" t="s">
        <v>59</v>
      </c>
      <c r="AB7144" t="s">
        <v>59</v>
      </c>
      <c r="AC7144" t="s">
        <v>59</v>
      </c>
      <c r="AD7144" t="s">
        <v>59</v>
      </c>
      <c r="AF7144" s="1">
        <v>43348</v>
      </c>
      <c r="AG7144" t="s">
        <v>8645</v>
      </c>
      <c r="AH7144" t="s">
        <v>8676</v>
      </c>
      <c r="AI7144" t="str">
        <f>"9170383"</f>
        <v>9170383</v>
      </c>
      <c r="AJ7144" t="s">
        <v>11135</v>
      </c>
      <c r="AK7144">
        <v>2895061350</v>
      </c>
      <c r="AL7144" t="s">
        <v>11136</v>
      </c>
      <c r="AM7144" t="s">
        <v>78</v>
      </c>
      <c r="AN7144" t="s">
        <v>482</v>
      </c>
      <c r="AO7144" t="s">
        <v>482</v>
      </c>
      <c r="AP7144" t="s">
        <v>11090</v>
      </c>
      <c r="AQ7144">
        <v>14</v>
      </c>
      <c r="AR7144" t="s">
        <v>80</v>
      </c>
      <c r="AS7144" t="s">
        <v>81</v>
      </c>
      <c r="AT7144" t="s">
        <v>58</v>
      </c>
      <c r="AU7144" t="s">
        <v>8673</v>
      </c>
      <c r="AV7144" t="s">
        <v>132</v>
      </c>
      <c r="AW7144" s="1">
        <v>31672</v>
      </c>
      <c r="AX7144">
        <v>1</v>
      </c>
    </row>
    <row r="7145" spans="1:50">
      <c r="A7145">
        <v>553462</v>
      </c>
      <c r="B7145" t="str">
        <f>"030881829"</f>
        <v>030881829</v>
      </c>
      <c r="C7145" t="s">
        <v>105</v>
      </c>
      <c r="D7145" t="s">
        <v>6583</v>
      </c>
      <c r="E7145" t="s">
        <v>377</v>
      </c>
      <c r="F7145" t="s">
        <v>72</v>
      </c>
      <c r="G7145" t="s">
        <v>250</v>
      </c>
      <c r="H7145" t="str">
        <f>"ΣΠΑΡΤΗΣ 21 ΗΡΑΚΛΕΙΟ  ΗΡΑΚΛΕΙΟ"</f>
        <v>ΣΠΑΡΤΗΣ 21 ΗΡΑΚΛΕΙΟ  ΗΡΑΚΛΕΙΟ</v>
      </c>
      <c r="I7145">
        <v>71409</v>
      </c>
      <c r="J7145">
        <v>2810235418</v>
      </c>
      <c r="K7145">
        <v>6938596622</v>
      </c>
      <c r="M7145" t="s">
        <v>11504</v>
      </c>
      <c r="N7145" t="s">
        <v>615</v>
      </c>
      <c r="O7145" t="s">
        <v>616</v>
      </c>
      <c r="R7145" t="s">
        <v>57</v>
      </c>
      <c r="S7145">
        <v>18</v>
      </c>
      <c r="T7145">
        <v>235</v>
      </c>
      <c r="U7145" s="1">
        <v>31289</v>
      </c>
      <c r="V7145" t="s">
        <v>80</v>
      </c>
      <c r="W7145" t="s">
        <v>81</v>
      </c>
      <c r="X7145" t="s">
        <v>58</v>
      </c>
      <c r="Y7145">
        <v>21</v>
      </c>
      <c r="Z7145" t="s">
        <v>59</v>
      </c>
      <c r="AA7145" t="s">
        <v>59</v>
      </c>
      <c r="AB7145" t="s">
        <v>59</v>
      </c>
      <c r="AC7145" t="s">
        <v>59</v>
      </c>
      <c r="AD7145" t="s">
        <v>59</v>
      </c>
      <c r="AF7145" s="1">
        <v>31296</v>
      </c>
      <c r="AG7145" t="s">
        <v>8645</v>
      </c>
      <c r="AH7145" t="s">
        <v>8646</v>
      </c>
      <c r="AI7145" t="str">
        <f>"9170190"</f>
        <v>9170190</v>
      </c>
      <c r="AJ7145" t="s">
        <v>8689</v>
      </c>
      <c r="AK7145">
        <v>2810232169</v>
      </c>
      <c r="AL7145" t="s">
        <v>8690</v>
      </c>
      <c r="AM7145" t="s">
        <v>78</v>
      </c>
      <c r="AN7145" t="s">
        <v>78</v>
      </c>
      <c r="AO7145" t="s">
        <v>78</v>
      </c>
      <c r="AP7145" t="s">
        <v>163</v>
      </c>
      <c r="AQ7145">
        <v>1</v>
      </c>
      <c r="AR7145" t="s">
        <v>80</v>
      </c>
      <c r="AS7145" t="s">
        <v>81</v>
      </c>
      <c r="AT7145" t="s">
        <v>58</v>
      </c>
      <c r="AU7145" t="s">
        <v>68</v>
      </c>
      <c r="AV7145" t="s">
        <v>69</v>
      </c>
      <c r="AW7145" s="1">
        <v>20275</v>
      </c>
      <c r="AX7145">
        <v>1</v>
      </c>
    </row>
    <row r="7146" spans="1:50">
      <c r="B7146" t="str">
        <f>"147201302"</f>
        <v>147201302</v>
      </c>
      <c r="C7146" t="s">
        <v>105</v>
      </c>
      <c r="D7146" t="s">
        <v>6583</v>
      </c>
      <c r="E7146" t="s">
        <v>1516</v>
      </c>
      <c r="F7146" t="s">
        <v>95</v>
      </c>
      <c r="H7146" t="str">
        <f>" "</f>
        <v xml:space="preserve"> </v>
      </c>
      <c r="N7146" t="s">
        <v>615</v>
      </c>
      <c r="O7146" t="s">
        <v>616</v>
      </c>
      <c r="R7146" t="s">
        <v>159</v>
      </c>
      <c r="S7146">
        <v>2</v>
      </c>
      <c r="T7146" t="s">
        <v>8675</v>
      </c>
      <c r="U7146" s="1">
        <v>43348</v>
      </c>
      <c r="V7146" t="s">
        <v>80</v>
      </c>
      <c r="W7146" t="s">
        <v>81</v>
      </c>
      <c r="X7146" t="s">
        <v>58</v>
      </c>
      <c r="Y7146">
        <v>25</v>
      </c>
      <c r="Z7146" t="s">
        <v>59</v>
      </c>
      <c r="AA7146" t="s">
        <v>59</v>
      </c>
      <c r="AB7146" t="s">
        <v>59</v>
      </c>
      <c r="AC7146" t="s">
        <v>59</v>
      </c>
      <c r="AD7146" t="s">
        <v>59</v>
      </c>
      <c r="AF7146" s="1">
        <v>43348</v>
      </c>
      <c r="AG7146" t="s">
        <v>8645</v>
      </c>
      <c r="AH7146" t="s">
        <v>8676</v>
      </c>
      <c r="AI7146" t="str">
        <f>"9170274"</f>
        <v>9170274</v>
      </c>
      <c r="AJ7146" t="s">
        <v>9507</v>
      </c>
      <c r="AK7146">
        <v>2892097222</v>
      </c>
      <c r="AL7146" t="s">
        <v>9508</v>
      </c>
      <c r="AM7146" t="s">
        <v>78</v>
      </c>
      <c r="AN7146" t="s">
        <v>242</v>
      </c>
      <c r="AO7146" t="s">
        <v>243</v>
      </c>
      <c r="AP7146" t="s">
        <v>8831</v>
      </c>
      <c r="AQ7146">
        <v>16</v>
      </c>
      <c r="AR7146" t="s">
        <v>80</v>
      </c>
      <c r="AS7146" t="s">
        <v>81</v>
      </c>
      <c r="AT7146" t="s">
        <v>58</v>
      </c>
      <c r="AU7146" t="s">
        <v>8673</v>
      </c>
      <c r="AV7146" t="s">
        <v>132</v>
      </c>
      <c r="AW7146" s="1">
        <v>32269</v>
      </c>
      <c r="AX7146">
        <v>1</v>
      </c>
    </row>
    <row r="7147" spans="1:50">
      <c r="A7147">
        <v>225190</v>
      </c>
      <c r="B7147" t="str">
        <f>"045846941"</f>
        <v>045846941</v>
      </c>
      <c r="C7147" t="s">
        <v>50</v>
      </c>
      <c r="D7147" t="s">
        <v>11505</v>
      </c>
      <c r="E7147" t="s">
        <v>727</v>
      </c>
      <c r="F7147" t="s">
        <v>166</v>
      </c>
      <c r="G7147" t="s">
        <v>52</v>
      </c>
      <c r="H7147" t="str">
        <f>"ΣΥΒΡΙΤΟΥ 9 ΗΡΑΚΛΕΙΟ"</f>
        <v>ΣΥΒΡΙΤΟΥ 9 ΗΡΑΚΛΕΙΟ</v>
      </c>
      <c r="I7147">
        <v>71303</v>
      </c>
      <c r="J7147">
        <v>2810318256</v>
      </c>
      <c r="K7147">
        <v>6972300259</v>
      </c>
      <c r="N7147" t="s">
        <v>176</v>
      </c>
      <c r="O7147" t="s">
        <v>177</v>
      </c>
      <c r="R7147" t="s">
        <v>57</v>
      </c>
      <c r="S7147">
        <v>8</v>
      </c>
      <c r="T7147">
        <v>775</v>
      </c>
      <c r="U7147" s="1">
        <v>39680</v>
      </c>
      <c r="V7147" t="s">
        <v>80</v>
      </c>
      <c r="W7147" t="s">
        <v>81</v>
      </c>
      <c r="X7147" t="s">
        <v>58</v>
      </c>
      <c r="Y7147">
        <v>22</v>
      </c>
      <c r="Z7147" t="s">
        <v>59</v>
      </c>
      <c r="AA7147" t="s">
        <v>59</v>
      </c>
      <c r="AB7147" t="s">
        <v>59</v>
      </c>
      <c r="AC7147" t="s">
        <v>59</v>
      </c>
      <c r="AD7147" t="s">
        <v>59</v>
      </c>
      <c r="AF7147" s="1">
        <v>39682</v>
      </c>
      <c r="AG7147" t="s">
        <v>8645</v>
      </c>
      <c r="AH7147" t="s">
        <v>8646</v>
      </c>
      <c r="AI7147" t="str">
        <f>"9170580"</f>
        <v>9170580</v>
      </c>
      <c r="AJ7147" t="s">
        <v>9076</v>
      </c>
      <c r="AK7147">
        <v>2810542809</v>
      </c>
      <c r="AL7147" t="s">
        <v>9077</v>
      </c>
      <c r="AM7147" t="s">
        <v>78</v>
      </c>
      <c r="AN7147" t="s">
        <v>78</v>
      </c>
      <c r="AO7147" t="s">
        <v>78</v>
      </c>
      <c r="AP7147" t="s">
        <v>9053</v>
      </c>
      <c r="AQ7147">
        <v>1</v>
      </c>
      <c r="AR7147" t="s">
        <v>80</v>
      </c>
      <c r="AS7147" t="s">
        <v>81</v>
      </c>
      <c r="AT7147" t="s">
        <v>58</v>
      </c>
      <c r="AU7147" t="s">
        <v>68</v>
      </c>
      <c r="AV7147" t="s">
        <v>69</v>
      </c>
      <c r="AW7147" s="1">
        <v>25515</v>
      </c>
      <c r="AX7147">
        <v>1</v>
      </c>
    </row>
    <row r="7148" spans="1:50">
      <c r="B7148" t="str">
        <f>"125587489"</f>
        <v>125587489</v>
      </c>
      <c r="C7148" t="s">
        <v>50</v>
      </c>
      <c r="D7148" t="s">
        <v>11506</v>
      </c>
      <c r="E7148" t="s">
        <v>83</v>
      </c>
      <c r="F7148" t="s">
        <v>670</v>
      </c>
      <c r="H7148" t="str">
        <f>" "</f>
        <v xml:space="preserve"> </v>
      </c>
      <c r="N7148" t="s">
        <v>1525</v>
      </c>
      <c r="O7148" t="s">
        <v>1526</v>
      </c>
      <c r="R7148" t="s">
        <v>159</v>
      </c>
      <c r="S7148">
        <v>2</v>
      </c>
      <c r="T7148" t="s">
        <v>8670</v>
      </c>
      <c r="U7148" s="1">
        <v>43348</v>
      </c>
      <c r="V7148" t="s">
        <v>80</v>
      </c>
      <c r="W7148" t="s">
        <v>81</v>
      </c>
      <c r="X7148" t="s">
        <v>58</v>
      </c>
      <c r="Y7148">
        <v>25</v>
      </c>
      <c r="Z7148" t="s">
        <v>59</v>
      </c>
      <c r="AA7148" t="s">
        <v>59</v>
      </c>
      <c r="AB7148" t="s">
        <v>59</v>
      </c>
      <c r="AC7148" t="s">
        <v>59</v>
      </c>
      <c r="AD7148" t="s">
        <v>59</v>
      </c>
      <c r="AF7148" s="1">
        <v>43348</v>
      </c>
      <c r="AG7148" t="s">
        <v>8651</v>
      </c>
      <c r="AH7148" t="s">
        <v>8652</v>
      </c>
      <c r="AI7148" t="str">
        <f>"9170417"</f>
        <v>9170417</v>
      </c>
      <c r="AJ7148" t="s">
        <v>8755</v>
      </c>
      <c r="AK7148">
        <v>2810752140</v>
      </c>
      <c r="AL7148" t="s">
        <v>8756</v>
      </c>
      <c r="AM7148" t="s">
        <v>78</v>
      </c>
      <c r="AN7148" t="s">
        <v>424</v>
      </c>
      <c r="AO7148" t="s">
        <v>425</v>
      </c>
      <c r="AP7148" t="s">
        <v>8757</v>
      </c>
      <c r="AQ7148">
        <v>11</v>
      </c>
      <c r="AR7148" t="s">
        <v>80</v>
      </c>
      <c r="AS7148" t="s">
        <v>81</v>
      </c>
      <c r="AT7148" t="s">
        <v>58</v>
      </c>
      <c r="AU7148" t="s">
        <v>8673</v>
      </c>
      <c r="AV7148" t="s">
        <v>132</v>
      </c>
      <c r="AW7148" s="1">
        <v>30445</v>
      </c>
      <c r="AX7148">
        <v>1</v>
      </c>
    </row>
    <row r="7149" spans="1:50">
      <c r="B7149" t="str">
        <f>"159675953"</f>
        <v>159675953</v>
      </c>
      <c r="C7149" t="s">
        <v>50</v>
      </c>
      <c r="D7149" t="s">
        <v>11507</v>
      </c>
      <c r="E7149" t="s">
        <v>83</v>
      </c>
      <c r="F7149" t="s">
        <v>84</v>
      </c>
      <c r="H7149" t="str">
        <f>" "</f>
        <v xml:space="preserve"> </v>
      </c>
      <c r="N7149" t="s">
        <v>8694</v>
      </c>
      <c r="O7149" t="s">
        <v>8695</v>
      </c>
      <c r="R7149" t="s">
        <v>159</v>
      </c>
      <c r="S7149">
        <v>2</v>
      </c>
      <c r="T7149" t="s">
        <v>8696</v>
      </c>
      <c r="U7149" s="1">
        <v>43348</v>
      </c>
      <c r="V7149" t="s">
        <v>80</v>
      </c>
      <c r="W7149" t="s">
        <v>81</v>
      </c>
      <c r="X7149" t="s">
        <v>58</v>
      </c>
      <c r="Y7149">
        <v>24</v>
      </c>
      <c r="Z7149" t="s">
        <v>59</v>
      </c>
      <c r="AA7149" t="s">
        <v>59</v>
      </c>
      <c r="AB7149" t="s">
        <v>59</v>
      </c>
      <c r="AC7149" t="s">
        <v>59</v>
      </c>
      <c r="AD7149" t="s">
        <v>59</v>
      </c>
      <c r="AF7149" s="1">
        <v>43348</v>
      </c>
      <c r="AG7149" t="s">
        <v>8645</v>
      </c>
      <c r="AH7149" t="s">
        <v>8697</v>
      </c>
      <c r="AI7149" t="str">
        <f>"9170358"</f>
        <v>9170358</v>
      </c>
      <c r="AJ7149" t="s">
        <v>9378</v>
      </c>
      <c r="AK7149">
        <v>2810282028</v>
      </c>
      <c r="AL7149" t="s">
        <v>9379</v>
      </c>
      <c r="AM7149" t="s">
        <v>78</v>
      </c>
      <c r="AN7149" t="s">
        <v>78</v>
      </c>
      <c r="AO7149" t="s">
        <v>78</v>
      </c>
      <c r="AP7149" t="s">
        <v>141</v>
      </c>
      <c r="AQ7149">
        <v>1</v>
      </c>
      <c r="AR7149" t="s">
        <v>80</v>
      </c>
      <c r="AS7149" t="s">
        <v>81</v>
      </c>
      <c r="AT7149" t="s">
        <v>58</v>
      </c>
      <c r="AU7149" t="s">
        <v>350</v>
      </c>
      <c r="AV7149" t="s">
        <v>132</v>
      </c>
      <c r="AW7149" s="1">
        <v>33498</v>
      </c>
      <c r="AX7149">
        <v>1</v>
      </c>
    </row>
    <row r="7150" spans="1:50">
      <c r="A7150">
        <v>228151</v>
      </c>
      <c r="B7150" t="str">
        <f>"103800257"</f>
        <v>103800257</v>
      </c>
      <c r="C7150" t="s">
        <v>50</v>
      </c>
      <c r="D7150" t="s">
        <v>11508</v>
      </c>
      <c r="E7150" t="s">
        <v>545</v>
      </c>
      <c r="F7150" t="s">
        <v>53</v>
      </c>
      <c r="G7150" t="s">
        <v>699</v>
      </c>
      <c r="H7150" t="str">
        <f>"ΑΝΔΡΟΥΛΗ ΠΑΧΥΝΑΚΗ 15 ΗΡΑΚΛΕΙΟ"</f>
        <v>ΑΝΔΡΟΥΛΗ ΠΑΧΥΝΑΚΗ 15 ΗΡΑΚΛΕΙΟ</v>
      </c>
      <c r="I7150">
        <v>71309</v>
      </c>
      <c r="J7150">
        <v>2810543032</v>
      </c>
      <c r="K7150">
        <v>6977295214</v>
      </c>
      <c r="M7150" t="s">
        <v>11509</v>
      </c>
      <c r="N7150" t="s">
        <v>176</v>
      </c>
      <c r="O7150" t="s">
        <v>177</v>
      </c>
      <c r="R7150" t="s">
        <v>57</v>
      </c>
      <c r="S7150">
        <v>5</v>
      </c>
      <c r="T7150">
        <v>654</v>
      </c>
      <c r="U7150" s="1">
        <v>40043</v>
      </c>
      <c r="V7150" t="s">
        <v>80</v>
      </c>
      <c r="W7150" t="s">
        <v>81</v>
      </c>
      <c r="X7150" t="s">
        <v>58</v>
      </c>
      <c r="Y7150">
        <v>23</v>
      </c>
      <c r="Z7150" t="s">
        <v>59</v>
      </c>
      <c r="AA7150" t="s">
        <v>59</v>
      </c>
      <c r="AB7150" t="s">
        <v>59</v>
      </c>
      <c r="AC7150" t="s">
        <v>59</v>
      </c>
      <c r="AD7150" t="s">
        <v>59</v>
      </c>
      <c r="AF7150" s="1">
        <v>40043</v>
      </c>
      <c r="AG7150" t="s">
        <v>8645</v>
      </c>
      <c r="AH7150" t="s">
        <v>8646</v>
      </c>
      <c r="AI7150" t="str">
        <f>"9170018"</f>
        <v>9170018</v>
      </c>
      <c r="AJ7150" t="s">
        <v>8924</v>
      </c>
      <c r="AK7150">
        <v>2810821217</v>
      </c>
      <c r="AL7150" t="s">
        <v>8925</v>
      </c>
      <c r="AM7150" t="s">
        <v>78</v>
      </c>
      <c r="AN7150" t="s">
        <v>129</v>
      </c>
      <c r="AO7150" t="s">
        <v>130</v>
      </c>
      <c r="AP7150" t="s">
        <v>130</v>
      </c>
      <c r="AQ7150">
        <v>1</v>
      </c>
      <c r="AR7150" t="s">
        <v>80</v>
      </c>
      <c r="AS7150" t="s">
        <v>81</v>
      </c>
      <c r="AT7150" t="s">
        <v>58</v>
      </c>
      <c r="AU7150" t="s">
        <v>68</v>
      </c>
      <c r="AV7150" t="s">
        <v>69</v>
      </c>
      <c r="AW7150" s="1">
        <v>27353</v>
      </c>
      <c r="AX7150">
        <v>1</v>
      </c>
    </row>
    <row r="7151" spans="1:50">
      <c r="B7151" t="str">
        <f>"128336983"</f>
        <v>128336983</v>
      </c>
      <c r="C7151" t="s">
        <v>50</v>
      </c>
      <c r="D7151" t="s">
        <v>3940</v>
      </c>
      <c r="E7151" t="s">
        <v>255</v>
      </c>
      <c r="F7151" t="s">
        <v>95</v>
      </c>
      <c r="G7151" t="s">
        <v>52</v>
      </c>
      <c r="H7151" t="str">
        <f>"ΡΙΖΙΝΑΣ 68 ΗΡΑΚΛΕΙΟ"</f>
        <v>ΡΙΖΙΝΑΣ 68 ΗΡΑΚΛΕΙΟ</v>
      </c>
      <c r="I7151">
        <v>71305</v>
      </c>
      <c r="J7151">
        <v>2810258675</v>
      </c>
      <c r="K7151">
        <v>6973754676</v>
      </c>
      <c r="N7151" t="s">
        <v>288</v>
      </c>
      <c r="O7151" t="s">
        <v>289</v>
      </c>
      <c r="R7151" t="s">
        <v>159</v>
      </c>
      <c r="S7151">
        <v>1</v>
      </c>
      <c r="T7151" t="s">
        <v>8675</v>
      </c>
      <c r="U7151" s="1">
        <v>43348</v>
      </c>
      <c r="V7151" t="s">
        <v>80</v>
      </c>
      <c r="W7151" t="s">
        <v>81</v>
      </c>
      <c r="X7151" t="s">
        <v>58</v>
      </c>
      <c r="Y7151">
        <v>14</v>
      </c>
      <c r="Z7151" t="s">
        <v>59</v>
      </c>
      <c r="AA7151" t="s">
        <v>59</v>
      </c>
      <c r="AB7151" t="s">
        <v>59</v>
      </c>
      <c r="AC7151" t="s">
        <v>59</v>
      </c>
      <c r="AD7151" t="s">
        <v>59</v>
      </c>
      <c r="AF7151" s="1">
        <v>43348</v>
      </c>
      <c r="AG7151" t="s">
        <v>8645</v>
      </c>
      <c r="AH7151" t="s">
        <v>8646</v>
      </c>
      <c r="AI7151" t="str">
        <f>"9170338"</f>
        <v>9170338</v>
      </c>
      <c r="AJ7151" t="s">
        <v>8849</v>
      </c>
      <c r="AK7151">
        <v>2892051377</v>
      </c>
      <c r="AL7151" t="s">
        <v>8850</v>
      </c>
      <c r="AM7151" t="s">
        <v>78</v>
      </c>
      <c r="AN7151" t="s">
        <v>242</v>
      </c>
      <c r="AO7151" t="s">
        <v>349</v>
      </c>
      <c r="AP7151" t="s">
        <v>349</v>
      </c>
      <c r="AQ7151">
        <v>19</v>
      </c>
      <c r="AR7151" t="s">
        <v>80</v>
      </c>
      <c r="AS7151" t="s">
        <v>81</v>
      </c>
      <c r="AT7151" t="s">
        <v>58</v>
      </c>
      <c r="AU7151" t="s">
        <v>8686</v>
      </c>
      <c r="AV7151" t="s">
        <v>132</v>
      </c>
      <c r="AW7151" s="1">
        <v>28622</v>
      </c>
      <c r="AX7151">
        <v>1</v>
      </c>
    </row>
    <row r="7152" spans="1:50">
      <c r="A7152">
        <v>553510</v>
      </c>
      <c r="B7152" t="str">
        <f>"030881830"</f>
        <v>030881830</v>
      </c>
      <c r="C7152" t="s">
        <v>105</v>
      </c>
      <c r="D7152" t="s">
        <v>3944</v>
      </c>
      <c r="E7152" t="s">
        <v>989</v>
      </c>
      <c r="F7152" t="s">
        <v>106</v>
      </c>
      <c r="G7152" t="s">
        <v>11510</v>
      </c>
      <c r="H7152" t="str">
        <f>"Λ. ΚΝΩΣΟΥ 122 ΜΠΕΝΤΕΒΗ"</f>
        <v>Λ. ΚΝΩΣΟΥ 122 ΜΠΕΝΤΕΒΗ</v>
      </c>
      <c r="I7152">
        <v>71307</v>
      </c>
      <c r="J7152">
        <v>2810321484</v>
      </c>
      <c r="K7152">
        <v>6942019694</v>
      </c>
      <c r="N7152" t="s">
        <v>615</v>
      </c>
      <c r="O7152" t="s">
        <v>616</v>
      </c>
      <c r="R7152" t="s">
        <v>57</v>
      </c>
      <c r="S7152">
        <v>16</v>
      </c>
      <c r="T7152">
        <v>235</v>
      </c>
      <c r="U7152" s="1">
        <v>31289</v>
      </c>
      <c r="V7152" t="s">
        <v>80</v>
      </c>
      <c r="W7152" t="s">
        <v>81</v>
      </c>
      <c r="X7152" t="s">
        <v>58</v>
      </c>
      <c r="Y7152">
        <v>21</v>
      </c>
      <c r="Z7152" t="s">
        <v>59</v>
      </c>
      <c r="AA7152" t="s">
        <v>59</v>
      </c>
      <c r="AB7152" t="s">
        <v>59</v>
      </c>
      <c r="AC7152" t="s">
        <v>59</v>
      </c>
      <c r="AD7152" t="s">
        <v>59</v>
      </c>
      <c r="AF7152" s="1">
        <v>31300</v>
      </c>
      <c r="AG7152" t="s">
        <v>8645</v>
      </c>
      <c r="AH7152" t="s">
        <v>8646</v>
      </c>
      <c r="AI7152" t="str">
        <f>"9170423"</f>
        <v>9170423</v>
      </c>
      <c r="AJ7152" t="s">
        <v>8808</v>
      </c>
      <c r="AK7152">
        <v>2810239612</v>
      </c>
      <c r="AL7152" t="s">
        <v>8809</v>
      </c>
      <c r="AM7152" t="s">
        <v>78</v>
      </c>
      <c r="AN7152" t="s">
        <v>78</v>
      </c>
      <c r="AO7152" t="s">
        <v>78</v>
      </c>
      <c r="AP7152" t="s">
        <v>163</v>
      </c>
      <c r="AQ7152">
        <v>1</v>
      </c>
      <c r="AR7152" t="s">
        <v>80</v>
      </c>
      <c r="AS7152" t="s">
        <v>81</v>
      </c>
      <c r="AT7152" t="s">
        <v>58</v>
      </c>
      <c r="AU7152" t="s">
        <v>68</v>
      </c>
      <c r="AV7152" t="s">
        <v>69</v>
      </c>
      <c r="AW7152" s="1">
        <v>22261</v>
      </c>
      <c r="AX7152">
        <v>1</v>
      </c>
    </row>
    <row r="7153" spans="1:50">
      <c r="B7153" t="str">
        <f>"126783622"</f>
        <v>126783622</v>
      </c>
      <c r="C7153" t="s">
        <v>50</v>
      </c>
      <c r="D7153" t="s">
        <v>11511</v>
      </c>
      <c r="E7153" t="s">
        <v>1074</v>
      </c>
      <c r="F7153" t="s">
        <v>53</v>
      </c>
      <c r="G7153" t="s">
        <v>382</v>
      </c>
      <c r="H7153" t="str">
        <f>"ΚΥΠΑΡΙΣΣΙΑΣ 10-12 ΘΕΣΣΑΛΟΝΙΚΗ"</f>
        <v>ΚΥΠΑΡΙΣΣΙΑΣ 10-12 ΘΕΣΣΑΛΟΝΙΚΗ</v>
      </c>
      <c r="I7153">
        <v>54248</v>
      </c>
      <c r="J7153">
        <v>2310328923</v>
      </c>
      <c r="K7153">
        <v>6940992968</v>
      </c>
      <c r="M7153" t="s">
        <v>11512</v>
      </c>
      <c r="N7153" t="s">
        <v>337</v>
      </c>
      <c r="O7153" t="s">
        <v>338</v>
      </c>
      <c r="R7153" t="s">
        <v>159</v>
      </c>
      <c r="S7153">
        <v>3</v>
      </c>
      <c r="T7153" t="s">
        <v>8675</v>
      </c>
      <c r="U7153" s="1">
        <v>43348</v>
      </c>
      <c r="V7153" t="s">
        <v>80</v>
      </c>
      <c r="W7153" t="s">
        <v>81</v>
      </c>
      <c r="X7153" t="s">
        <v>58</v>
      </c>
      <c r="Y7153">
        <v>24</v>
      </c>
      <c r="Z7153" t="s">
        <v>59</v>
      </c>
      <c r="AA7153" t="s">
        <v>59</v>
      </c>
      <c r="AB7153" t="s">
        <v>59</v>
      </c>
      <c r="AC7153" t="s">
        <v>59</v>
      </c>
      <c r="AD7153" t="s">
        <v>59</v>
      </c>
      <c r="AF7153" s="1">
        <v>43348</v>
      </c>
      <c r="AG7153" t="s">
        <v>8645</v>
      </c>
      <c r="AH7153" t="s">
        <v>8646</v>
      </c>
      <c r="AI7153" t="str">
        <f>"9170194"</f>
        <v>9170194</v>
      </c>
      <c r="AJ7153" t="s">
        <v>8768</v>
      </c>
      <c r="AK7153">
        <v>2810239611</v>
      </c>
      <c r="AL7153" t="s">
        <v>8769</v>
      </c>
      <c r="AM7153" t="s">
        <v>78</v>
      </c>
      <c r="AN7153" t="s">
        <v>78</v>
      </c>
      <c r="AO7153" t="s">
        <v>78</v>
      </c>
      <c r="AP7153" t="s">
        <v>213</v>
      </c>
      <c r="AQ7153">
        <v>1</v>
      </c>
      <c r="AR7153" t="s">
        <v>80</v>
      </c>
      <c r="AS7153" t="s">
        <v>81</v>
      </c>
      <c r="AT7153" t="s">
        <v>58</v>
      </c>
      <c r="AU7153" t="s">
        <v>8673</v>
      </c>
      <c r="AV7153" t="s">
        <v>132</v>
      </c>
      <c r="AW7153" s="1">
        <v>29092</v>
      </c>
      <c r="AX7153">
        <v>1</v>
      </c>
    </row>
    <row r="7154" spans="1:50">
      <c r="B7154" t="str">
        <f>"132300381"</f>
        <v>132300381</v>
      </c>
      <c r="C7154" t="s">
        <v>50</v>
      </c>
      <c r="D7154" t="s">
        <v>11513</v>
      </c>
      <c r="E7154" t="s">
        <v>181</v>
      </c>
      <c r="F7154" t="s">
        <v>95</v>
      </c>
      <c r="G7154" t="s">
        <v>83</v>
      </c>
      <c r="H7154" t="str">
        <f>"ΡΟΔΟΚΑΝΑΚΗ 42 ΗΡΑΚΛΕΙΟ"</f>
        <v>ΡΟΔΟΚΑΝΑΚΗ 42 ΗΡΑΚΛΕΙΟ</v>
      </c>
      <c r="I7154">
        <v>71306</v>
      </c>
      <c r="J7154">
        <v>2815001636</v>
      </c>
      <c r="K7154">
        <v>6936651107</v>
      </c>
      <c r="N7154" t="s">
        <v>683</v>
      </c>
      <c r="O7154" t="s">
        <v>684</v>
      </c>
      <c r="R7154" t="s">
        <v>159</v>
      </c>
      <c r="S7154">
        <v>3</v>
      </c>
      <c r="T7154" t="s">
        <v>8675</v>
      </c>
      <c r="U7154" s="1">
        <v>43348</v>
      </c>
      <c r="V7154" t="s">
        <v>80</v>
      </c>
      <c r="W7154" t="s">
        <v>81</v>
      </c>
      <c r="X7154" t="s">
        <v>58</v>
      </c>
      <c r="Y7154">
        <v>24</v>
      </c>
      <c r="Z7154" t="s">
        <v>59</v>
      </c>
      <c r="AA7154" t="s">
        <v>59</v>
      </c>
      <c r="AB7154" t="s">
        <v>59</v>
      </c>
      <c r="AC7154" t="s">
        <v>59</v>
      </c>
      <c r="AD7154" t="s">
        <v>59</v>
      </c>
      <c r="AF7154" s="1">
        <v>43348</v>
      </c>
      <c r="AG7154" t="s">
        <v>8645</v>
      </c>
      <c r="AH7154" t="s">
        <v>8646</v>
      </c>
      <c r="AI7154" t="str">
        <f>"9170533"</f>
        <v>9170533</v>
      </c>
      <c r="AJ7154" t="s">
        <v>9091</v>
      </c>
      <c r="AK7154">
        <v>2810239434</v>
      </c>
      <c r="AL7154" t="s">
        <v>9092</v>
      </c>
      <c r="AM7154" t="s">
        <v>78</v>
      </c>
      <c r="AN7154" t="s">
        <v>78</v>
      </c>
      <c r="AO7154" t="s">
        <v>78</v>
      </c>
      <c r="AP7154" t="s">
        <v>163</v>
      </c>
      <c r="AQ7154">
        <v>1</v>
      </c>
      <c r="AR7154" t="s">
        <v>80</v>
      </c>
      <c r="AS7154" t="s">
        <v>81</v>
      </c>
      <c r="AT7154" t="s">
        <v>58</v>
      </c>
      <c r="AU7154" t="s">
        <v>8673</v>
      </c>
      <c r="AV7154" t="s">
        <v>132</v>
      </c>
      <c r="AW7154" s="1">
        <v>26558</v>
      </c>
      <c r="AX7154">
        <v>1</v>
      </c>
    </row>
    <row r="7155" spans="1:50">
      <c r="A7155">
        <v>622658</v>
      </c>
      <c r="B7155" t="str">
        <f>"138359273"</f>
        <v>138359273</v>
      </c>
      <c r="C7155" t="s">
        <v>50</v>
      </c>
      <c r="D7155" t="s">
        <v>11514</v>
      </c>
      <c r="E7155" t="s">
        <v>52</v>
      </c>
      <c r="F7155" t="s">
        <v>377</v>
      </c>
      <c r="G7155" t="s">
        <v>83</v>
      </c>
      <c r="H7155" t="str">
        <f>"ΑΖΥΜΟΥ 2 ΗΡΑΚΛΕΙΟ"</f>
        <v>ΑΖΥΜΟΥ 2 ΗΡΑΚΛΕΙΟ</v>
      </c>
      <c r="K7155">
        <v>6970809741</v>
      </c>
      <c r="L7155">
        <v>6946560479</v>
      </c>
      <c r="M7155" t="s">
        <v>11515</v>
      </c>
      <c r="N7155" t="s">
        <v>1525</v>
      </c>
      <c r="O7155" t="s">
        <v>1526</v>
      </c>
      <c r="R7155" t="s">
        <v>57</v>
      </c>
      <c r="S7155">
        <v>4</v>
      </c>
      <c r="T7155">
        <v>653</v>
      </c>
      <c r="U7155" s="1">
        <v>40043</v>
      </c>
      <c r="V7155" t="s">
        <v>80</v>
      </c>
      <c r="W7155" t="s">
        <v>81</v>
      </c>
      <c r="X7155" t="s">
        <v>58</v>
      </c>
      <c r="Y7155">
        <v>25</v>
      </c>
      <c r="Z7155" t="s">
        <v>59</v>
      </c>
      <c r="AA7155" t="s">
        <v>59</v>
      </c>
      <c r="AB7155" t="s">
        <v>59</v>
      </c>
      <c r="AC7155" t="s">
        <v>59</v>
      </c>
      <c r="AD7155" t="s">
        <v>59</v>
      </c>
      <c r="AF7155" s="1">
        <v>40044</v>
      </c>
      <c r="AG7155" t="s">
        <v>8651</v>
      </c>
      <c r="AH7155" t="s">
        <v>8652</v>
      </c>
      <c r="AI7155" t="str">
        <f>"9170414"</f>
        <v>9170414</v>
      </c>
      <c r="AJ7155" t="s">
        <v>8811</v>
      </c>
      <c r="AK7155">
        <v>2810220080</v>
      </c>
      <c r="AL7155" t="s">
        <v>8812</v>
      </c>
      <c r="AM7155" t="s">
        <v>78</v>
      </c>
      <c r="AN7155" t="s">
        <v>78</v>
      </c>
      <c r="AO7155" t="s">
        <v>78</v>
      </c>
      <c r="AP7155" t="s">
        <v>213</v>
      </c>
      <c r="AQ7155">
        <v>1</v>
      </c>
      <c r="AR7155" t="s">
        <v>80</v>
      </c>
      <c r="AS7155" t="s">
        <v>81</v>
      </c>
      <c r="AT7155" t="s">
        <v>58</v>
      </c>
      <c r="AU7155" t="s">
        <v>68</v>
      </c>
      <c r="AV7155" t="s">
        <v>69</v>
      </c>
      <c r="AW7155" s="1">
        <v>31657</v>
      </c>
      <c r="AX7155">
        <v>1</v>
      </c>
    </row>
    <row r="7156" spans="1:50">
      <c r="A7156">
        <v>605828</v>
      </c>
      <c r="B7156" t="str">
        <f>"117354934"</f>
        <v>117354934</v>
      </c>
      <c r="C7156" t="s">
        <v>50</v>
      </c>
      <c r="D7156" t="s">
        <v>11516</v>
      </c>
      <c r="E7156" t="s">
        <v>83</v>
      </c>
      <c r="F7156" t="s">
        <v>5386</v>
      </c>
      <c r="G7156" t="s">
        <v>155</v>
      </c>
      <c r="H7156" t="str">
        <f>" "</f>
        <v xml:space="preserve"> </v>
      </c>
      <c r="J7156">
        <v>2223031156</v>
      </c>
      <c r="N7156" t="s">
        <v>615</v>
      </c>
      <c r="O7156" t="s">
        <v>616</v>
      </c>
      <c r="R7156" t="s">
        <v>57</v>
      </c>
      <c r="S7156">
        <v>7</v>
      </c>
      <c r="T7156">
        <v>231</v>
      </c>
      <c r="U7156" s="1">
        <v>38230</v>
      </c>
      <c r="V7156" t="s">
        <v>80</v>
      </c>
      <c r="W7156" t="s">
        <v>81</v>
      </c>
      <c r="X7156" t="s">
        <v>58</v>
      </c>
      <c r="Y7156">
        <v>22</v>
      </c>
      <c r="Z7156" t="s">
        <v>59</v>
      </c>
      <c r="AA7156" t="s">
        <v>59</v>
      </c>
      <c r="AB7156" t="s">
        <v>59</v>
      </c>
      <c r="AC7156" t="s">
        <v>59</v>
      </c>
      <c r="AD7156" t="s">
        <v>59</v>
      </c>
      <c r="AF7156" s="1">
        <v>38236</v>
      </c>
      <c r="AG7156" t="s">
        <v>8645</v>
      </c>
      <c r="AH7156" t="s">
        <v>8646</v>
      </c>
      <c r="AI7156" t="str">
        <f>"9170495"</f>
        <v>9170495</v>
      </c>
      <c r="AJ7156" t="s">
        <v>8838</v>
      </c>
      <c r="AK7156">
        <v>2892023325</v>
      </c>
      <c r="AL7156" t="s">
        <v>8839</v>
      </c>
      <c r="AM7156" t="s">
        <v>78</v>
      </c>
      <c r="AN7156" t="s">
        <v>242</v>
      </c>
      <c r="AO7156" t="s">
        <v>243</v>
      </c>
      <c r="AP7156" t="s">
        <v>243</v>
      </c>
      <c r="AQ7156">
        <v>20</v>
      </c>
      <c r="AR7156" t="s">
        <v>80</v>
      </c>
      <c r="AS7156" t="s">
        <v>81</v>
      </c>
      <c r="AT7156" t="s">
        <v>58</v>
      </c>
      <c r="AU7156" t="s">
        <v>68</v>
      </c>
      <c r="AV7156" t="s">
        <v>69</v>
      </c>
      <c r="AW7156" s="1">
        <v>25793</v>
      </c>
      <c r="AX7156">
        <v>1</v>
      </c>
    </row>
    <row r="7157" spans="1:50">
      <c r="A7157">
        <v>604533</v>
      </c>
      <c r="B7157" t="str">
        <f>"062415247"</f>
        <v>062415247</v>
      </c>
      <c r="C7157" t="s">
        <v>50</v>
      </c>
      <c r="D7157" t="s">
        <v>11516</v>
      </c>
      <c r="E7157" t="s">
        <v>112</v>
      </c>
      <c r="F7157" t="s">
        <v>5974</v>
      </c>
      <c r="G7157" t="s">
        <v>316</v>
      </c>
      <c r="H7157" t="str">
        <f>"ΡΑΥΤΟΠΟΥΛΟΥ 43 ΗΡΑΚΛΕΙΟ"</f>
        <v>ΡΑΥΤΟΠΟΥΛΟΥ 43 ΗΡΑΚΛΕΙΟ</v>
      </c>
      <c r="I7157">
        <v>71305</v>
      </c>
      <c r="J7157">
        <v>2814001219</v>
      </c>
      <c r="K7157">
        <v>6973375130</v>
      </c>
      <c r="N7157" t="s">
        <v>615</v>
      </c>
      <c r="O7157" t="s">
        <v>616</v>
      </c>
      <c r="R7157" t="s">
        <v>57</v>
      </c>
      <c r="S7157">
        <v>7</v>
      </c>
      <c r="T7157">
        <v>231</v>
      </c>
      <c r="U7157" s="1">
        <v>38230</v>
      </c>
      <c r="V7157" t="s">
        <v>80</v>
      </c>
      <c r="W7157" t="s">
        <v>81</v>
      </c>
      <c r="X7157" t="s">
        <v>58</v>
      </c>
      <c r="Y7157">
        <v>22</v>
      </c>
      <c r="Z7157" t="s">
        <v>59</v>
      </c>
      <c r="AA7157" t="s">
        <v>59</v>
      </c>
      <c r="AB7157" t="s">
        <v>59</v>
      </c>
      <c r="AC7157" t="s">
        <v>59</v>
      </c>
      <c r="AD7157" t="s">
        <v>59</v>
      </c>
      <c r="AF7157" s="1">
        <v>38233</v>
      </c>
      <c r="AG7157" t="s">
        <v>8645</v>
      </c>
      <c r="AH7157" t="s">
        <v>8646</v>
      </c>
      <c r="AI7157" t="str">
        <f>"9170533"</f>
        <v>9170533</v>
      </c>
      <c r="AJ7157" t="s">
        <v>9091</v>
      </c>
      <c r="AK7157">
        <v>2810239434</v>
      </c>
      <c r="AL7157" t="s">
        <v>9092</v>
      </c>
      <c r="AM7157" t="s">
        <v>78</v>
      </c>
      <c r="AN7157" t="s">
        <v>78</v>
      </c>
      <c r="AO7157" t="s">
        <v>78</v>
      </c>
      <c r="AP7157" t="s">
        <v>163</v>
      </c>
      <c r="AQ7157">
        <v>1</v>
      </c>
      <c r="AR7157" t="s">
        <v>80</v>
      </c>
      <c r="AS7157" t="s">
        <v>81</v>
      </c>
      <c r="AT7157" t="s">
        <v>58</v>
      </c>
      <c r="AU7157" t="s">
        <v>68</v>
      </c>
      <c r="AV7157" t="s">
        <v>69</v>
      </c>
      <c r="AW7157" s="1">
        <v>28835</v>
      </c>
      <c r="AX7157">
        <v>1</v>
      </c>
    </row>
    <row r="7158" spans="1:50">
      <c r="B7158" t="str">
        <f>"123692398"</f>
        <v>123692398</v>
      </c>
      <c r="C7158" t="s">
        <v>50</v>
      </c>
      <c r="D7158" t="s">
        <v>11517</v>
      </c>
      <c r="E7158" t="s">
        <v>250</v>
      </c>
      <c r="F7158" t="s">
        <v>106</v>
      </c>
      <c r="G7158" t="s">
        <v>566</v>
      </c>
      <c r="H7158" t="str">
        <f>"ΕΛ.ΒΕΝΙΖΕΛΟΥ 57 "</f>
        <v xml:space="preserve">ΕΛ.ΒΕΝΙΖΕΛΟΥ 57 </v>
      </c>
      <c r="I7158">
        <v>70400</v>
      </c>
      <c r="J7158">
        <v>2892024591</v>
      </c>
      <c r="K7158">
        <v>6979158841</v>
      </c>
      <c r="L7158">
        <v>6987599739</v>
      </c>
      <c r="N7158" t="s">
        <v>615</v>
      </c>
      <c r="O7158" t="s">
        <v>616</v>
      </c>
      <c r="R7158" t="s">
        <v>159</v>
      </c>
      <c r="S7158">
        <v>2</v>
      </c>
      <c r="T7158" t="s">
        <v>8675</v>
      </c>
      <c r="U7158" s="1">
        <v>43348</v>
      </c>
      <c r="V7158" t="s">
        <v>80</v>
      </c>
      <c r="W7158" t="s">
        <v>81</v>
      </c>
      <c r="X7158" t="s">
        <v>58</v>
      </c>
      <c r="Y7158">
        <v>24</v>
      </c>
      <c r="Z7158" t="s">
        <v>59</v>
      </c>
      <c r="AA7158" t="s">
        <v>59</v>
      </c>
      <c r="AB7158" t="s">
        <v>59</v>
      </c>
      <c r="AC7158" t="s">
        <v>59</v>
      </c>
      <c r="AD7158" t="s">
        <v>59</v>
      </c>
      <c r="AF7158" s="1">
        <v>43348</v>
      </c>
      <c r="AG7158" t="s">
        <v>8645</v>
      </c>
      <c r="AH7158" t="s">
        <v>8676</v>
      </c>
      <c r="AI7158" t="str">
        <f>"9170289"</f>
        <v>9170289</v>
      </c>
      <c r="AJ7158" t="s">
        <v>10734</v>
      </c>
      <c r="AK7158">
        <v>2892031220</v>
      </c>
      <c r="AL7158" t="s">
        <v>10735</v>
      </c>
      <c r="AM7158" t="s">
        <v>78</v>
      </c>
      <c r="AN7158" t="s">
        <v>405</v>
      </c>
      <c r="AO7158" t="s">
        <v>405</v>
      </c>
      <c r="AP7158" t="s">
        <v>10736</v>
      </c>
      <c r="AQ7158">
        <v>17</v>
      </c>
      <c r="AR7158" t="s">
        <v>80</v>
      </c>
      <c r="AS7158" t="s">
        <v>81</v>
      </c>
      <c r="AT7158" t="s">
        <v>58</v>
      </c>
      <c r="AU7158" t="s">
        <v>8673</v>
      </c>
      <c r="AV7158" t="s">
        <v>132</v>
      </c>
      <c r="AW7158" s="1">
        <v>32392</v>
      </c>
      <c r="AX7158">
        <v>1</v>
      </c>
    </row>
    <row r="7159" spans="1:50">
      <c r="B7159" t="str">
        <f>"107139833"</f>
        <v>107139833</v>
      </c>
      <c r="C7159" t="s">
        <v>105</v>
      </c>
      <c r="D7159" t="s">
        <v>11518</v>
      </c>
      <c r="E7159" t="s">
        <v>6295</v>
      </c>
      <c r="F7159" t="s">
        <v>989</v>
      </c>
      <c r="G7159" t="s">
        <v>11519</v>
      </c>
      <c r="H7159" t="str">
        <f>" "</f>
        <v xml:space="preserve"> </v>
      </c>
      <c r="N7159" t="s">
        <v>615</v>
      </c>
      <c r="O7159" t="s">
        <v>616</v>
      </c>
      <c r="R7159" t="s">
        <v>159</v>
      </c>
      <c r="S7159">
        <v>3</v>
      </c>
      <c r="T7159" t="s">
        <v>8675</v>
      </c>
      <c r="U7159" s="1">
        <v>43348</v>
      </c>
      <c r="V7159" t="s">
        <v>80</v>
      </c>
      <c r="W7159" t="s">
        <v>81</v>
      </c>
      <c r="X7159" t="s">
        <v>58</v>
      </c>
      <c r="Y7159">
        <v>24</v>
      </c>
      <c r="Z7159" t="s">
        <v>59</v>
      </c>
      <c r="AA7159" t="s">
        <v>59</v>
      </c>
      <c r="AB7159" t="s">
        <v>59</v>
      </c>
      <c r="AD7159" t="s">
        <v>59</v>
      </c>
      <c r="AF7159" s="1">
        <v>43348</v>
      </c>
      <c r="AG7159" t="s">
        <v>8645</v>
      </c>
      <c r="AH7159" t="s">
        <v>8646</v>
      </c>
      <c r="AI7159" t="str">
        <f>"9170285"</f>
        <v>9170285</v>
      </c>
      <c r="AJ7159" t="s">
        <v>9186</v>
      </c>
      <c r="AK7159">
        <v>2894031223</v>
      </c>
      <c r="AL7159" t="s">
        <v>9187</v>
      </c>
      <c r="AM7159" t="s">
        <v>78</v>
      </c>
      <c r="AN7159" t="s">
        <v>242</v>
      </c>
      <c r="AO7159" t="s">
        <v>999</v>
      </c>
      <c r="AP7159" t="s">
        <v>999</v>
      </c>
      <c r="AQ7159">
        <v>21</v>
      </c>
      <c r="AR7159" t="s">
        <v>80</v>
      </c>
      <c r="AS7159" t="s">
        <v>81</v>
      </c>
      <c r="AT7159" t="s">
        <v>58</v>
      </c>
      <c r="AU7159" t="s">
        <v>8673</v>
      </c>
      <c r="AV7159" t="s">
        <v>132</v>
      </c>
      <c r="AW7159" s="1">
        <v>30251</v>
      </c>
      <c r="AX7159">
        <v>1</v>
      </c>
    </row>
    <row r="7160" spans="1:50">
      <c r="A7160">
        <v>588057</v>
      </c>
      <c r="B7160" t="str">
        <f>"064188994"</f>
        <v>064188994</v>
      </c>
      <c r="C7160" t="s">
        <v>50</v>
      </c>
      <c r="D7160" t="s">
        <v>11520</v>
      </c>
      <c r="E7160" t="s">
        <v>11521</v>
      </c>
      <c r="F7160" t="s">
        <v>72</v>
      </c>
      <c r="G7160" t="s">
        <v>367</v>
      </c>
      <c r="H7160" t="str">
        <f>"ΝΙΚΗΦ.ΦΩΚΑ 4 Ν.ΑΛΙΚΑΡΝΑΣΣΟΣ"</f>
        <v>ΝΙΚΗΦ.ΦΩΚΑ 4 Ν.ΑΛΙΚΑΡΝΑΣΣΟΣ</v>
      </c>
      <c r="I7160">
        <v>71601</v>
      </c>
      <c r="J7160">
        <v>2810228160</v>
      </c>
      <c r="K7160">
        <v>6932985051</v>
      </c>
      <c r="M7160" t="s">
        <v>11522</v>
      </c>
      <c r="N7160" t="s">
        <v>1525</v>
      </c>
      <c r="O7160" t="s">
        <v>1526</v>
      </c>
      <c r="R7160" t="s">
        <v>57</v>
      </c>
      <c r="S7160">
        <v>13</v>
      </c>
      <c r="T7160">
        <v>250</v>
      </c>
      <c r="U7160" s="1">
        <v>36160</v>
      </c>
      <c r="V7160" t="s">
        <v>80</v>
      </c>
      <c r="W7160" t="s">
        <v>81</v>
      </c>
      <c r="X7160" t="s">
        <v>58</v>
      </c>
      <c r="Y7160">
        <v>25</v>
      </c>
      <c r="Z7160" t="s">
        <v>59</v>
      </c>
      <c r="AA7160" t="s">
        <v>59</v>
      </c>
      <c r="AB7160" t="s">
        <v>59</v>
      </c>
      <c r="AC7160" t="s">
        <v>59</v>
      </c>
      <c r="AD7160" t="s">
        <v>59</v>
      </c>
      <c r="AF7160" s="1">
        <v>36174</v>
      </c>
      <c r="AG7160" t="s">
        <v>8651</v>
      </c>
      <c r="AH7160" t="s">
        <v>8652</v>
      </c>
      <c r="AI7160" t="str">
        <f>"9170452"</f>
        <v>9170452</v>
      </c>
      <c r="AJ7160" t="s">
        <v>10553</v>
      </c>
      <c r="AK7160">
        <v>2810262825</v>
      </c>
      <c r="AL7160" t="s">
        <v>10554</v>
      </c>
      <c r="AM7160" t="s">
        <v>78</v>
      </c>
      <c r="AN7160" t="s">
        <v>78</v>
      </c>
      <c r="AO7160" t="s">
        <v>78</v>
      </c>
      <c r="AP7160" t="s">
        <v>141</v>
      </c>
      <c r="AQ7160">
        <v>1</v>
      </c>
      <c r="AR7160" t="s">
        <v>80</v>
      </c>
      <c r="AS7160" t="s">
        <v>81</v>
      </c>
      <c r="AT7160" t="s">
        <v>58</v>
      </c>
      <c r="AU7160" t="s">
        <v>68</v>
      </c>
      <c r="AV7160" t="s">
        <v>69</v>
      </c>
      <c r="AW7160" s="1">
        <v>24608</v>
      </c>
      <c r="AX7160">
        <v>1</v>
      </c>
    </row>
    <row r="7161" spans="1:50">
      <c r="A7161">
        <v>618975</v>
      </c>
      <c r="B7161" t="str">
        <f>"109106127"</f>
        <v>109106127</v>
      </c>
      <c r="C7161" t="s">
        <v>50</v>
      </c>
      <c r="D7161" t="s">
        <v>6585</v>
      </c>
      <c r="E7161" t="s">
        <v>215</v>
      </c>
      <c r="F7161" t="s">
        <v>53</v>
      </c>
      <c r="G7161" t="s">
        <v>83</v>
      </c>
      <c r="H7161" t="str">
        <f>"ΑΤΣΙΠΟΠΟΥΛΟ ΡΕΘΥΜΝΟ"</f>
        <v>ΑΤΣΙΠΟΠΟΥΛΟ ΡΕΘΥΜΝΟ</v>
      </c>
      <c r="I7161">
        <v>74100</v>
      </c>
      <c r="J7161">
        <v>2831031361</v>
      </c>
      <c r="K7161">
        <v>6957662882</v>
      </c>
      <c r="N7161" t="s">
        <v>1525</v>
      </c>
      <c r="O7161" t="s">
        <v>1526</v>
      </c>
      <c r="R7161" t="s">
        <v>57</v>
      </c>
      <c r="S7161">
        <v>6</v>
      </c>
      <c r="T7161">
        <v>774</v>
      </c>
      <c r="U7161" s="1">
        <v>39680</v>
      </c>
      <c r="V7161" t="s">
        <v>80</v>
      </c>
      <c r="W7161" t="s">
        <v>81</v>
      </c>
      <c r="X7161" t="s">
        <v>58</v>
      </c>
      <c r="Y7161">
        <v>25</v>
      </c>
      <c r="Z7161" t="s">
        <v>59</v>
      </c>
      <c r="AA7161" t="s">
        <v>59</v>
      </c>
      <c r="AB7161" t="s">
        <v>59</v>
      </c>
      <c r="AC7161" t="s">
        <v>59</v>
      </c>
      <c r="AD7161" t="s">
        <v>59</v>
      </c>
      <c r="AF7161" s="1">
        <v>39681</v>
      </c>
      <c r="AG7161" t="s">
        <v>8651</v>
      </c>
      <c r="AH7161" t="s">
        <v>8652</v>
      </c>
      <c r="AI7161" t="str">
        <f>"9170569"</f>
        <v>9170569</v>
      </c>
      <c r="AJ7161" t="s">
        <v>10452</v>
      </c>
      <c r="AK7161">
        <v>2810310767</v>
      </c>
      <c r="AL7161" t="s">
        <v>10453</v>
      </c>
      <c r="AM7161" t="s">
        <v>78</v>
      </c>
      <c r="AN7161" t="s">
        <v>78</v>
      </c>
      <c r="AO7161" t="s">
        <v>78</v>
      </c>
      <c r="AP7161" t="s">
        <v>141</v>
      </c>
      <c r="AQ7161">
        <v>1</v>
      </c>
      <c r="AR7161" t="s">
        <v>80</v>
      </c>
      <c r="AS7161" t="s">
        <v>81</v>
      </c>
      <c r="AT7161" t="s">
        <v>58</v>
      </c>
      <c r="AU7161" t="s">
        <v>68</v>
      </c>
      <c r="AV7161" t="s">
        <v>69</v>
      </c>
      <c r="AW7161" s="1">
        <v>27357</v>
      </c>
      <c r="AX7161">
        <v>1</v>
      </c>
    </row>
    <row r="7162" spans="1:50">
      <c r="A7162">
        <v>561022</v>
      </c>
      <c r="B7162" t="str">
        <f>"068131378"</f>
        <v>068131378</v>
      </c>
      <c r="C7162" t="s">
        <v>50</v>
      </c>
      <c r="D7162" t="s">
        <v>11523</v>
      </c>
      <c r="E7162" t="s">
        <v>191</v>
      </c>
      <c r="F7162" t="s">
        <v>84</v>
      </c>
      <c r="G7162" t="s">
        <v>109</v>
      </c>
      <c r="H7162" t="str">
        <f>"Αυλώνος 6 Χανιόπορτα"</f>
        <v>Αυλώνος 6 Χανιόπορτα</v>
      </c>
      <c r="I7162">
        <v>71305</v>
      </c>
      <c r="K7162">
        <v>6949715625</v>
      </c>
      <c r="L7162">
        <v>6977772476</v>
      </c>
      <c r="N7162" t="s">
        <v>615</v>
      </c>
      <c r="O7162" t="s">
        <v>616</v>
      </c>
      <c r="R7162" t="s">
        <v>57</v>
      </c>
      <c r="S7162">
        <v>15</v>
      </c>
      <c r="T7162">
        <v>159</v>
      </c>
      <c r="U7162" s="1">
        <v>32385</v>
      </c>
      <c r="V7162" t="s">
        <v>80</v>
      </c>
      <c r="W7162" t="s">
        <v>81</v>
      </c>
      <c r="X7162" t="s">
        <v>58</v>
      </c>
      <c r="Y7162">
        <v>21</v>
      </c>
      <c r="Z7162" t="s">
        <v>59</v>
      </c>
      <c r="AA7162" t="s">
        <v>59</v>
      </c>
      <c r="AB7162" t="s">
        <v>59</v>
      </c>
      <c r="AC7162" t="s">
        <v>59</v>
      </c>
      <c r="AD7162" t="s">
        <v>59</v>
      </c>
      <c r="AF7162" s="1">
        <v>32398</v>
      </c>
      <c r="AG7162" t="s">
        <v>8645</v>
      </c>
      <c r="AH7162" t="s">
        <v>8646</v>
      </c>
      <c r="AI7162" t="str">
        <f>"9170495"</f>
        <v>9170495</v>
      </c>
      <c r="AJ7162" t="s">
        <v>8838</v>
      </c>
      <c r="AK7162">
        <v>2892023325</v>
      </c>
      <c r="AL7162" t="s">
        <v>8839</v>
      </c>
      <c r="AM7162" t="s">
        <v>78</v>
      </c>
      <c r="AN7162" t="s">
        <v>242</v>
      </c>
      <c r="AO7162" t="s">
        <v>243</v>
      </c>
      <c r="AP7162" t="s">
        <v>243</v>
      </c>
      <c r="AQ7162">
        <v>20</v>
      </c>
      <c r="AR7162" t="s">
        <v>80</v>
      </c>
      <c r="AS7162" t="s">
        <v>81</v>
      </c>
      <c r="AT7162" t="s">
        <v>58</v>
      </c>
      <c r="AU7162" t="s">
        <v>68</v>
      </c>
      <c r="AV7162" t="s">
        <v>69</v>
      </c>
      <c r="AW7162" s="1">
        <v>23926</v>
      </c>
      <c r="AX7162">
        <v>1</v>
      </c>
    </row>
    <row r="7163" spans="1:50">
      <c r="A7163">
        <v>573908</v>
      </c>
      <c r="B7163" t="str">
        <f>"029960067"</f>
        <v>029960067</v>
      </c>
      <c r="C7163" t="s">
        <v>105</v>
      </c>
      <c r="D7163" t="s">
        <v>11524</v>
      </c>
      <c r="E7163" t="s">
        <v>95</v>
      </c>
      <c r="F7163" t="s">
        <v>5386</v>
      </c>
      <c r="G7163" t="s">
        <v>52</v>
      </c>
      <c r="H7163" t="str">
        <f>"Γ.ΓΕΝΝΗΜΑΤΑ 32 ΗΡΑΚΛΕΙΟ"</f>
        <v>Γ.ΓΕΝΝΗΜΑΤΑ 32 ΗΡΑΚΛΕΙΟ</v>
      </c>
      <c r="I7163">
        <v>71305</v>
      </c>
      <c r="K7163">
        <v>6973201448</v>
      </c>
      <c r="M7163" t="s">
        <v>11525</v>
      </c>
      <c r="N7163" t="s">
        <v>615</v>
      </c>
      <c r="O7163" t="s">
        <v>616</v>
      </c>
      <c r="R7163" t="s">
        <v>57</v>
      </c>
      <c r="S7163">
        <v>13</v>
      </c>
      <c r="T7163">
        <v>160</v>
      </c>
      <c r="U7163" s="1">
        <v>34582</v>
      </c>
      <c r="V7163" t="s">
        <v>80</v>
      </c>
      <c r="W7163" t="s">
        <v>81</v>
      </c>
      <c r="X7163" t="s">
        <v>58</v>
      </c>
      <c r="Y7163">
        <v>21</v>
      </c>
      <c r="Z7163" t="s">
        <v>59</v>
      </c>
      <c r="AA7163" t="s">
        <v>59</v>
      </c>
      <c r="AB7163" t="s">
        <v>59</v>
      </c>
      <c r="AC7163" t="s">
        <v>59</v>
      </c>
      <c r="AD7163" t="s">
        <v>59</v>
      </c>
      <c r="AF7163" s="1">
        <v>34582</v>
      </c>
      <c r="AG7163" t="s">
        <v>8645</v>
      </c>
      <c r="AH7163" t="s">
        <v>8646</v>
      </c>
      <c r="AI7163" t="str">
        <f>"9170198"</f>
        <v>9170198</v>
      </c>
      <c r="AJ7163" t="s">
        <v>8665</v>
      </c>
      <c r="AK7163">
        <v>2810227379</v>
      </c>
      <c r="AL7163" t="s">
        <v>8666</v>
      </c>
      <c r="AM7163" t="s">
        <v>78</v>
      </c>
      <c r="AN7163" t="s">
        <v>78</v>
      </c>
      <c r="AO7163" t="s">
        <v>78</v>
      </c>
      <c r="AP7163" t="s">
        <v>79</v>
      </c>
      <c r="AQ7163">
        <v>1</v>
      </c>
      <c r="AR7163" t="s">
        <v>80</v>
      </c>
      <c r="AS7163" t="s">
        <v>81</v>
      </c>
      <c r="AT7163" t="s">
        <v>58</v>
      </c>
      <c r="AU7163" t="s">
        <v>68</v>
      </c>
      <c r="AV7163" t="s">
        <v>69</v>
      </c>
      <c r="AW7163" s="1">
        <v>24539</v>
      </c>
      <c r="AX7163">
        <v>1</v>
      </c>
    </row>
    <row r="7164" spans="1:50">
      <c r="A7164">
        <v>581297</v>
      </c>
      <c r="B7164" t="str">
        <f>"036383864"</f>
        <v>036383864</v>
      </c>
      <c r="C7164" t="s">
        <v>105</v>
      </c>
      <c r="D7164" t="s">
        <v>11526</v>
      </c>
      <c r="E7164" t="s">
        <v>72</v>
      </c>
      <c r="F7164" t="s">
        <v>11527</v>
      </c>
      <c r="G7164" t="s">
        <v>513</v>
      </c>
      <c r="H7164" t="str">
        <f>"Σθένελου 7 "</f>
        <v xml:space="preserve">Σθένελου 7 </v>
      </c>
      <c r="J7164">
        <v>2810341432</v>
      </c>
      <c r="K7164">
        <v>6972981790</v>
      </c>
      <c r="M7164" t="s">
        <v>11528</v>
      </c>
      <c r="N7164" t="s">
        <v>615</v>
      </c>
      <c r="O7164" t="s">
        <v>616</v>
      </c>
      <c r="R7164" t="s">
        <v>57</v>
      </c>
      <c r="S7164">
        <v>13</v>
      </c>
      <c r="T7164">
        <v>179</v>
      </c>
      <c r="U7164" s="1">
        <v>35674</v>
      </c>
      <c r="V7164" t="s">
        <v>80</v>
      </c>
      <c r="W7164" t="s">
        <v>81</v>
      </c>
      <c r="X7164" t="s">
        <v>58</v>
      </c>
      <c r="Y7164">
        <v>21</v>
      </c>
      <c r="Z7164" t="s">
        <v>59</v>
      </c>
      <c r="AA7164" t="s">
        <v>59</v>
      </c>
      <c r="AB7164" t="s">
        <v>59</v>
      </c>
      <c r="AC7164" t="s">
        <v>59</v>
      </c>
      <c r="AD7164" t="s">
        <v>59</v>
      </c>
      <c r="AF7164" s="1">
        <v>35677</v>
      </c>
      <c r="AG7164" t="s">
        <v>8645</v>
      </c>
      <c r="AH7164" t="s">
        <v>8646</v>
      </c>
      <c r="AI7164" t="str">
        <f>"9170263"</f>
        <v>9170263</v>
      </c>
      <c r="AJ7164" t="s">
        <v>8942</v>
      </c>
      <c r="AK7164">
        <v>2810346939</v>
      </c>
      <c r="AL7164" t="s">
        <v>8943</v>
      </c>
      <c r="AM7164" t="s">
        <v>78</v>
      </c>
      <c r="AN7164" t="s">
        <v>78</v>
      </c>
      <c r="AO7164" t="s">
        <v>286</v>
      </c>
      <c r="AP7164" t="s">
        <v>286</v>
      </c>
      <c r="AQ7164">
        <v>1</v>
      </c>
      <c r="AR7164" t="s">
        <v>80</v>
      </c>
      <c r="AS7164" t="s">
        <v>81</v>
      </c>
      <c r="AT7164" t="s">
        <v>58</v>
      </c>
      <c r="AU7164" t="s">
        <v>68</v>
      </c>
      <c r="AV7164" t="s">
        <v>69</v>
      </c>
      <c r="AW7164" s="1">
        <v>23587</v>
      </c>
      <c r="AX7164">
        <v>1</v>
      </c>
    </row>
    <row r="7165" spans="1:50">
      <c r="A7165">
        <v>592600</v>
      </c>
      <c r="B7165" t="str">
        <f>"077681767"</f>
        <v>077681767</v>
      </c>
      <c r="C7165" t="s">
        <v>50</v>
      </c>
      <c r="D7165" t="s">
        <v>11529</v>
      </c>
      <c r="E7165" t="s">
        <v>476</v>
      </c>
      <c r="F7165" t="s">
        <v>95</v>
      </c>
      <c r="G7165" t="s">
        <v>155</v>
      </c>
      <c r="H7165" t="str">
        <f>"ΜΝΗΣΙΚΛΗ 30 ΗΡΑΚΛΕΙΟ"</f>
        <v>ΜΝΗΣΙΚΛΗ 30 ΗΡΑΚΛΕΙΟ</v>
      </c>
      <c r="I7165">
        <v>71305</v>
      </c>
      <c r="J7165">
        <v>2810317856</v>
      </c>
      <c r="K7165">
        <v>6973024532</v>
      </c>
      <c r="M7165" t="s">
        <v>11530</v>
      </c>
      <c r="N7165" t="s">
        <v>176</v>
      </c>
      <c r="O7165" t="s">
        <v>177</v>
      </c>
      <c r="R7165" t="s">
        <v>57</v>
      </c>
      <c r="S7165">
        <v>9</v>
      </c>
      <c r="T7165">
        <v>250</v>
      </c>
      <c r="U7165" s="1">
        <v>36769</v>
      </c>
      <c r="V7165" t="s">
        <v>80</v>
      </c>
      <c r="W7165" t="s">
        <v>81</v>
      </c>
      <c r="X7165" t="s">
        <v>58</v>
      </c>
      <c r="Y7165">
        <v>22</v>
      </c>
      <c r="Z7165" t="s">
        <v>59</v>
      </c>
      <c r="AA7165" t="s">
        <v>59</v>
      </c>
      <c r="AB7165" t="s">
        <v>59</v>
      </c>
      <c r="AC7165" t="s">
        <v>59</v>
      </c>
      <c r="AD7165" t="s">
        <v>59</v>
      </c>
      <c r="AF7165" s="1">
        <v>36773</v>
      </c>
      <c r="AG7165" t="s">
        <v>8645</v>
      </c>
      <c r="AH7165" t="s">
        <v>8646</v>
      </c>
      <c r="AI7165" t="str">
        <f>"9170056"</f>
        <v>9170056</v>
      </c>
      <c r="AJ7165" t="s">
        <v>9137</v>
      </c>
      <c r="AK7165">
        <v>2810253392</v>
      </c>
      <c r="AL7165" t="s">
        <v>9138</v>
      </c>
      <c r="AM7165" t="s">
        <v>78</v>
      </c>
      <c r="AN7165" t="s">
        <v>78</v>
      </c>
      <c r="AO7165" t="s">
        <v>78</v>
      </c>
      <c r="AP7165" t="s">
        <v>141</v>
      </c>
      <c r="AQ7165">
        <v>1</v>
      </c>
      <c r="AR7165" t="s">
        <v>80</v>
      </c>
      <c r="AS7165" t="s">
        <v>81</v>
      </c>
      <c r="AT7165" t="s">
        <v>58</v>
      </c>
      <c r="AU7165" t="s">
        <v>68</v>
      </c>
      <c r="AV7165" t="s">
        <v>69</v>
      </c>
      <c r="AW7165" s="1">
        <v>26780</v>
      </c>
      <c r="AX7165">
        <v>1</v>
      </c>
    </row>
    <row r="7166" spans="1:50">
      <c r="B7166" t="str">
        <f>"148036142"</f>
        <v>148036142</v>
      </c>
      <c r="C7166" t="s">
        <v>50</v>
      </c>
      <c r="D7166" t="s">
        <v>11531</v>
      </c>
      <c r="E7166" t="s">
        <v>714</v>
      </c>
      <c r="F7166" t="s">
        <v>99</v>
      </c>
      <c r="G7166" t="s">
        <v>11532</v>
      </c>
      <c r="H7166" t="str">
        <f>"ΤΟΠΟΣ ΑΓΩΝΙΣΤΩΝ 10 ΧΑΛΑΣΤΡΑ "</f>
        <v xml:space="preserve">ΤΟΠΟΣ ΑΓΩΝΙΣΤΩΝ 10 ΧΑΛΑΣΤΡΑ </v>
      </c>
      <c r="I7166">
        <v>57300</v>
      </c>
      <c r="J7166">
        <v>2310793105</v>
      </c>
      <c r="K7166">
        <v>6989184048</v>
      </c>
      <c r="N7166" t="s">
        <v>1525</v>
      </c>
      <c r="O7166" t="s">
        <v>1526</v>
      </c>
      <c r="R7166" t="s">
        <v>159</v>
      </c>
      <c r="S7166">
        <v>2</v>
      </c>
      <c r="T7166" t="s">
        <v>8670</v>
      </c>
      <c r="U7166" s="1">
        <v>43348</v>
      </c>
      <c r="V7166" t="s">
        <v>80</v>
      </c>
      <c r="W7166" t="s">
        <v>81</v>
      </c>
      <c r="X7166" t="s">
        <v>58</v>
      </c>
      <c r="Y7166">
        <v>25</v>
      </c>
      <c r="Z7166" t="s">
        <v>59</v>
      </c>
      <c r="AA7166" t="s">
        <v>59</v>
      </c>
      <c r="AB7166" t="s">
        <v>59</v>
      </c>
      <c r="AC7166" t="s">
        <v>59</v>
      </c>
      <c r="AD7166" t="s">
        <v>59</v>
      </c>
      <c r="AF7166" s="1">
        <v>43348</v>
      </c>
      <c r="AG7166" t="s">
        <v>8651</v>
      </c>
      <c r="AH7166" t="s">
        <v>8652</v>
      </c>
      <c r="AI7166" t="str">
        <f>"9170446"</f>
        <v>9170446</v>
      </c>
      <c r="AJ7166" t="s">
        <v>10284</v>
      </c>
      <c r="AK7166">
        <v>2810771820</v>
      </c>
      <c r="AL7166" t="s">
        <v>10285</v>
      </c>
      <c r="AM7166" t="s">
        <v>78</v>
      </c>
      <c r="AN7166" t="s">
        <v>219</v>
      </c>
      <c r="AO7166" t="s">
        <v>1437</v>
      </c>
      <c r="AP7166" t="s">
        <v>10286</v>
      </c>
      <c r="AQ7166">
        <v>7</v>
      </c>
      <c r="AR7166" t="s">
        <v>80</v>
      </c>
      <c r="AS7166" t="s">
        <v>81</v>
      </c>
      <c r="AT7166" t="s">
        <v>58</v>
      </c>
      <c r="AU7166" t="s">
        <v>8673</v>
      </c>
      <c r="AV7166" t="s">
        <v>132</v>
      </c>
      <c r="AW7166" s="1">
        <v>31654</v>
      </c>
      <c r="AX7166">
        <v>1</v>
      </c>
    </row>
    <row r="7167" spans="1:50">
      <c r="A7167">
        <v>613179</v>
      </c>
      <c r="B7167" t="str">
        <f>"103506253"</f>
        <v>103506253</v>
      </c>
      <c r="C7167" t="s">
        <v>50</v>
      </c>
      <c r="D7167" t="s">
        <v>11533</v>
      </c>
      <c r="E7167" t="s">
        <v>215</v>
      </c>
      <c r="F7167" t="s">
        <v>900</v>
      </c>
      <c r="G7167" t="s">
        <v>52</v>
      </c>
      <c r="H7167" t="str">
        <f>"ΜΟΙΡΕΣ ΜΟΙΡΕΣ"</f>
        <v>ΜΟΙΡΕΣ ΜΟΙΡΕΣ</v>
      </c>
      <c r="I7167">
        <v>70400</v>
      </c>
      <c r="J7167">
        <v>2892023501</v>
      </c>
      <c r="K7167">
        <v>6936848438</v>
      </c>
      <c r="N7167" t="s">
        <v>615</v>
      </c>
      <c r="O7167" t="s">
        <v>616</v>
      </c>
      <c r="R7167" t="s">
        <v>57</v>
      </c>
      <c r="S7167">
        <v>6</v>
      </c>
      <c r="T7167">
        <v>598</v>
      </c>
      <c r="U7167" s="1">
        <v>39310</v>
      </c>
      <c r="V7167" t="s">
        <v>80</v>
      </c>
      <c r="W7167" t="s">
        <v>81</v>
      </c>
      <c r="X7167" t="s">
        <v>58</v>
      </c>
      <c r="Y7167">
        <v>23</v>
      </c>
      <c r="Z7167" t="s">
        <v>59</v>
      </c>
      <c r="AA7167" t="s">
        <v>59</v>
      </c>
      <c r="AB7167" t="s">
        <v>59</v>
      </c>
      <c r="AC7167" t="s">
        <v>59</v>
      </c>
      <c r="AD7167" t="s">
        <v>59</v>
      </c>
      <c r="AF7167" s="1">
        <v>39329</v>
      </c>
      <c r="AG7167" t="s">
        <v>8645</v>
      </c>
      <c r="AH7167" t="s">
        <v>8646</v>
      </c>
      <c r="AI7167" t="str">
        <f>"9170268"</f>
        <v>9170268</v>
      </c>
      <c r="AJ7167" t="s">
        <v>9301</v>
      </c>
      <c r="AK7167">
        <v>2892022710</v>
      </c>
      <c r="AL7167" t="s">
        <v>9302</v>
      </c>
      <c r="AM7167" t="s">
        <v>78</v>
      </c>
      <c r="AN7167" t="s">
        <v>242</v>
      </c>
      <c r="AO7167" t="s">
        <v>243</v>
      </c>
      <c r="AP7167" t="s">
        <v>243</v>
      </c>
      <c r="AQ7167">
        <v>20</v>
      </c>
      <c r="AR7167" t="s">
        <v>80</v>
      </c>
      <c r="AS7167" t="s">
        <v>81</v>
      </c>
      <c r="AT7167" t="s">
        <v>58</v>
      </c>
      <c r="AU7167" t="s">
        <v>68</v>
      </c>
      <c r="AV7167" t="s">
        <v>69</v>
      </c>
      <c r="AW7167" s="1">
        <v>29660</v>
      </c>
      <c r="AX7167">
        <v>1</v>
      </c>
    </row>
    <row r="7168" spans="1:50">
      <c r="A7168">
        <v>576142</v>
      </c>
      <c r="B7168" t="str">
        <f>"035226340"</f>
        <v>035226340</v>
      </c>
      <c r="C7168" t="s">
        <v>50</v>
      </c>
      <c r="D7168" t="s">
        <v>11534</v>
      </c>
      <c r="E7168" t="s">
        <v>109</v>
      </c>
      <c r="F7168" t="s">
        <v>2635</v>
      </c>
      <c r="G7168" t="s">
        <v>3150</v>
      </c>
      <c r="H7168" t="str">
        <f>"ΣΤΡ. ΒΑΣΟΥ 12  ΗΡΑΚΛΕΙΟ "</f>
        <v xml:space="preserve">ΣΤΡ. ΒΑΣΟΥ 12  ΗΡΑΚΛΕΙΟ </v>
      </c>
      <c r="I7168">
        <v>71201</v>
      </c>
      <c r="J7168">
        <v>2810313810</v>
      </c>
      <c r="K7168">
        <v>6977190392</v>
      </c>
      <c r="N7168" t="s">
        <v>1525</v>
      </c>
      <c r="O7168" t="s">
        <v>1526</v>
      </c>
      <c r="R7168" t="s">
        <v>57</v>
      </c>
      <c r="S7168">
        <v>13</v>
      </c>
      <c r="T7168">
        <v>184</v>
      </c>
      <c r="U7168" s="1">
        <v>34941</v>
      </c>
      <c r="V7168" t="s">
        <v>80</v>
      </c>
      <c r="W7168" t="s">
        <v>81</v>
      </c>
      <c r="X7168" t="s">
        <v>58</v>
      </c>
      <c r="Y7168">
        <v>25</v>
      </c>
      <c r="Z7168" t="s">
        <v>59</v>
      </c>
      <c r="AA7168" t="s">
        <v>59</v>
      </c>
      <c r="AB7168" t="s">
        <v>59</v>
      </c>
      <c r="AC7168" t="s">
        <v>59</v>
      </c>
      <c r="AD7168" t="s">
        <v>59</v>
      </c>
      <c r="AF7168" s="1">
        <v>34943</v>
      </c>
      <c r="AG7168" t="s">
        <v>8651</v>
      </c>
      <c r="AH7168" t="s">
        <v>8652</v>
      </c>
      <c r="AI7168" t="str">
        <f>"9170601"</f>
        <v>9170601</v>
      </c>
      <c r="AJ7168" t="s">
        <v>11535</v>
      </c>
      <c r="AK7168">
        <v>2810319772</v>
      </c>
      <c r="AL7168" t="s">
        <v>11536</v>
      </c>
      <c r="AM7168" t="s">
        <v>78</v>
      </c>
      <c r="AN7168" t="s">
        <v>78</v>
      </c>
      <c r="AO7168" t="s">
        <v>78</v>
      </c>
      <c r="AP7168" t="s">
        <v>141</v>
      </c>
      <c r="AQ7168">
        <v>1</v>
      </c>
      <c r="AR7168" t="s">
        <v>80</v>
      </c>
      <c r="AS7168" t="s">
        <v>81</v>
      </c>
      <c r="AT7168" t="s">
        <v>58</v>
      </c>
      <c r="AU7168" t="s">
        <v>68</v>
      </c>
      <c r="AV7168" t="s">
        <v>69</v>
      </c>
      <c r="AW7168" s="1">
        <v>24068</v>
      </c>
      <c r="AX7168">
        <v>1</v>
      </c>
    </row>
    <row r="7169" spans="1:50">
      <c r="B7169" t="str">
        <f>"140099681"</f>
        <v>140099681</v>
      </c>
      <c r="C7169" t="s">
        <v>105</v>
      </c>
      <c r="D7169" t="s">
        <v>11537</v>
      </c>
      <c r="E7169" t="s">
        <v>11538</v>
      </c>
      <c r="F7169" t="s">
        <v>309</v>
      </c>
      <c r="G7169" t="s">
        <v>83</v>
      </c>
      <c r="H7169" t="str">
        <f>" "</f>
        <v xml:space="preserve"> </v>
      </c>
      <c r="N7169" t="s">
        <v>615</v>
      </c>
      <c r="O7169" t="s">
        <v>616</v>
      </c>
      <c r="R7169" t="s">
        <v>121</v>
      </c>
      <c r="S7169">
        <v>3</v>
      </c>
      <c r="T7169" t="s">
        <v>8717</v>
      </c>
      <c r="U7169" s="1">
        <v>43348</v>
      </c>
      <c r="V7169" t="s">
        <v>80</v>
      </c>
      <c r="W7169" t="s">
        <v>81</v>
      </c>
      <c r="X7169" t="s">
        <v>58</v>
      </c>
      <c r="Y7169">
        <v>24</v>
      </c>
      <c r="Z7169" t="s">
        <v>59</v>
      </c>
      <c r="AA7169" t="s">
        <v>59</v>
      </c>
      <c r="AB7169" t="s">
        <v>59</v>
      </c>
      <c r="AD7169" t="s">
        <v>59</v>
      </c>
      <c r="AF7169" s="1">
        <v>43348</v>
      </c>
      <c r="AG7169" t="s">
        <v>8645</v>
      </c>
      <c r="AH7169" t="s">
        <v>8646</v>
      </c>
      <c r="AI7169" t="str">
        <f>"9170097"</f>
        <v>9170097</v>
      </c>
      <c r="AJ7169" t="s">
        <v>8826</v>
      </c>
      <c r="AK7169">
        <v>2810751807</v>
      </c>
      <c r="AL7169" t="s">
        <v>8827</v>
      </c>
      <c r="AM7169" t="s">
        <v>78</v>
      </c>
      <c r="AN7169" t="s">
        <v>424</v>
      </c>
      <c r="AO7169" t="s">
        <v>425</v>
      </c>
      <c r="AP7169" t="s">
        <v>425</v>
      </c>
      <c r="AQ7169">
        <v>11</v>
      </c>
      <c r="AR7169" t="s">
        <v>80</v>
      </c>
      <c r="AS7169" t="s">
        <v>81</v>
      </c>
      <c r="AT7169" t="s">
        <v>58</v>
      </c>
      <c r="AU7169" t="s">
        <v>8720</v>
      </c>
      <c r="AV7169" t="s">
        <v>132</v>
      </c>
      <c r="AW7169" s="1">
        <v>32723</v>
      </c>
      <c r="AX7169">
        <v>1</v>
      </c>
    </row>
    <row r="7170" spans="1:50">
      <c r="B7170" t="str">
        <f>"148517392"</f>
        <v>148517392</v>
      </c>
      <c r="C7170" t="s">
        <v>105</v>
      </c>
      <c r="D7170" t="s">
        <v>11537</v>
      </c>
      <c r="E7170" t="s">
        <v>2165</v>
      </c>
      <c r="F7170" t="s">
        <v>309</v>
      </c>
      <c r="G7170" t="s">
        <v>83</v>
      </c>
      <c r="H7170" t="str">
        <f>"ΚΩΣΤΗ ΜΠΑΣΤΙΑ 1 "</f>
        <v xml:space="preserve">ΚΩΣΤΗ ΜΠΑΣΤΙΑ 1 </v>
      </c>
      <c r="I7170">
        <v>50100</v>
      </c>
      <c r="J7170">
        <v>2461042304</v>
      </c>
      <c r="K7170">
        <v>6947094329</v>
      </c>
      <c r="N7170" t="s">
        <v>615</v>
      </c>
      <c r="O7170" t="s">
        <v>616</v>
      </c>
      <c r="R7170" t="s">
        <v>159</v>
      </c>
      <c r="S7170">
        <v>4</v>
      </c>
      <c r="T7170" t="s">
        <v>8675</v>
      </c>
      <c r="U7170" s="1">
        <v>43348</v>
      </c>
      <c r="V7170" t="s">
        <v>80</v>
      </c>
      <c r="W7170" t="s">
        <v>81</v>
      </c>
      <c r="X7170" t="s">
        <v>58</v>
      </c>
      <c r="Y7170">
        <v>24</v>
      </c>
      <c r="Z7170" t="s">
        <v>59</v>
      </c>
      <c r="AA7170" t="s">
        <v>59</v>
      </c>
      <c r="AB7170" t="s">
        <v>59</v>
      </c>
      <c r="AC7170" t="s">
        <v>59</v>
      </c>
      <c r="AD7170" t="s">
        <v>59</v>
      </c>
      <c r="AF7170" s="1">
        <v>43348</v>
      </c>
      <c r="AG7170" t="s">
        <v>8645</v>
      </c>
      <c r="AH7170" t="s">
        <v>8646</v>
      </c>
      <c r="AI7170" t="str">
        <f>"9170580"</f>
        <v>9170580</v>
      </c>
      <c r="AJ7170" t="s">
        <v>9076</v>
      </c>
      <c r="AK7170">
        <v>2810542809</v>
      </c>
      <c r="AL7170" t="s">
        <v>9077</v>
      </c>
      <c r="AM7170" t="s">
        <v>78</v>
      </c>
      <c r="AN7170" t="s">
        <v>78</v>
      </c>
      <c r="AO7170" t="s">
        <v>78</v>
      </c>
      <c r="AP7170" t="s">
        <v>9053</v>
      </c>
      <c r="AQ7170">
        <v>1</v>
      </c>
      <c r="AR7170" t="s">
        <v>80</v>
      </c>
      <c r="AS7170" t="s">
        <v>81</v>
      </c>
      <c r="AT7170" t="s">
        <v>58</v>
      </c>
      <c r="AU7170" t="s">
        <v>8673</v>
      </c>
      <c r="AV7170" t="s">
        <v>132</v>
      </c>
      <c r="AW7170" s="1">
        <v>32304</v>
      </c>
      <c r="AX7170">
        <v>1</v>
      </c>
    </row>
    <row r="7171" spans="1:50">
      <c r="B7171" t="str">
        <f>"106055500"</f>
        <v>106055500</v>
      </c>
      <c r="C7171" t="s">
        <v>105</v>
      </c>
      <c r="D7171" t="s">
        <v>11539</v>
      </c>
      <c r="E7171" t="s">
        <v>95</v>
      </c>
      <c r="F7171" t="s">
        <v>1316</v>
      </c>
      <c r="G7171" t="s">
        <v>83</v>
      </c>
      <c r="H7171" t="str">
        <f>"ΒΕΝΙΖΕΛΟΥ 26 ΠΥΛΑΙΑ"</f>
        <v>ΒΕΝΙΖΕΛΟΥ 26 ΠΥΛΑΙΑ</v>
      </c>
      <c r="K7171">
        <v>6978559581</v>
      </c>
      <c r="M7171" t="s">
        <v>11540</v>
      </c>
      <c r="N7171" t="s">
        <v>337</v>
      </c>
      <c r="O7171" t="s">
        <v>338</v>
      </c>
      <c r="R7171" t="s">
        <v>159</v>
      </c>
      <c r="S7171">
        <v>2</v>
      </c>
      <c r="T7171" t="s">
        <v>8675</v>
      </c>
      <c r="U7171" s="1">
        <v>43348</v>
      </c>
      <c r="V7171" t="s">
        <v>80</v>
      </c>
      <c r="W7171" t="s">
        <v>81</v>
      </c>
      <c r="X7171" t="s">
        <v>58</v>
      </c>
      <c r="Y7171">
        <v>24</v>
      </c>
      <c r="Z7171" t="s">
        <v>59</v>
      </c>
      <c r="AA7171" t="s">
        <v>59</v>
      </c>
      <c r="AB7171" t="s">
        <v>59</v>
      </c>
      <c r="AC7171" t="s">
        <v>59</v>
      </c>
      <c r="AD7171" t="s">
        <v>59</v>
      </c>
      <c r="AF7171" s="1">
        <v>43348</v>
      </c>
      <c r="AG7171" t="s">
        <v>8645</v>
      </c>
      <c r="AH7171" t="s">
        <v>8646</v>
      </c>
      <c r="AI7171" t="str">
        <f>"9170560"</f>
        <v>9170560</v>
      </c>
      <c r="AJ7171" t="s">
        <v>9022</v>
      </c>
      <c r="AK7171">
        <v>2810821816</v>
      </c>
      <c r="AL7171" t="s">
        <v>9023</v>
      </c>
      <c r="AM7171" t="s">
        <v>78</v>
      </c>
      <c r="AN7171" t="s">
        <v>129</v>
      </c>
      <c r="AO7171" t="s">
        <v>130</v>
      </c>
      <c r="AP7171" t="s">
        <v>130</v>
      </c>
      <c r="AQ7171">
        <v>1</v>
      </c>
      <c r="AR7171" t="s">
        <v>80</v>
      </c>
      <c r="AS7171" t="s">
        <v>81</v>
      </c>
      <c r="AT7171" t="s">
        <v>58</v>
      </c>
      <c r="AU7171" t="s">
        <v>8673</v>
      </c>
      <c r="AV7171" t="s">
        <v>132</v>
      </c>
      <c r="AW7171" s="1">
        <v>29842</v>
      </c>
      <c r="AX7171">
        <v>1</v>
      </c>
    </row>
    <row r="7172" spans="1:50">
      <c r="B7172" t="str">
        <f>"046274077"</f>
        <v>046274077</v>
      </c>
      <c r="C7172" t="s">
        <v>50</v>
      </c>
      <c r="D7172" t="s">
        <v>11541</v>
      </c>
      <c r="E7172" t="s">
        <v>1204</v>
      </c>
      <c r="F7172" t="s">
        <v>377</v>
      </c>
      <c r="G7172" t="s">
        <v>191</v>
      </c>
      <c r="H7172" t="str">
        <f>"ΛΟΦΟΣ ΛΕΙΒΑΔΑΣ ΗΡΑΚΛΕΙΟ"</f>
        <v>ΛΟΦΟΣ ΛΕΙΒΑΔΑΣ ΗΡΑΚΛΕΙΟ</v>
      </c>
      <c r="I7172">
        <v>70013</v>
      </c>
      <c r="J7172">
        <v>2810542711</v>
      </c>
      <c r="K7172">
        <v>6947891963</v>
      </c>
      <c r="N7172" t="s">
        <v>176</v>
      </c>
      <c r="O7172" t="s">
        <v>177</v>
      </c>
      <c r="R7172" t="s">
        <v>159</v>
      </c>
      <c r="S7172">
        <v>4</v>
      </c>
      <c r="T7172" t="s">
        <v>8675</v>
      </c>
      <c r="U7172" s="1">
        <v>43348</v>
      </c>
      <c r="V7172" t="s">
        <v>80</v>
      </c>
      <c r="W7172" t="s">
        <v>81</v>
      </c>
      <c r="X7172" t="s">
        <v>58</v>
      </c>
      <c r="Y7172">
        <v>24</v>
      </c>
      <c r="Z7172" t="s">
        <v>59</v>
      </c>
      <c r="AA7172" t="s">
        <v>59</v>
      </c>
      <c r="AB7172" t="s">
        <v>59</v>
      </c>
      <c r="AC7172" t="s">
        <v>59</v>
      </c>
      <c r="AD7172" t="s">
        <v>59</v>
      </c>
      <c r="AF7172" s="1">
        <v>43348</v>
      </c>
      <c r="AG7172" t="s">
        <v>8645</v>
      </c>
      <c r="AH7172" t="s">
        <v>8646</v>
      </c>
      <c r="AI7172" t="str">
        <f>"9170018"</f>
        <v>9170018</v>
      </c>
      <c r="AJ7172" t="s">
        <v>8924</v>
      </c>
      <c r="AK7172">
        <v>2810821217</v>
      </c>
      <c r="AL7172" t="s">
        <v>8925</v>
      </c>
      <c r="AM7172" t="s">
        <v>78</v>
      </c>
      <c r="AN7172" t="s">
        <v>129</v>
      </c>
      <c r="AO7172" t="s">
        <v>130</v>
      </c>
      <c r="AP7172" t="s">
        <v>130</v>
      </c>
      <c r="AQ7172">
        <v>1</v>
      </c>
      <c r="AR7172" t="s">
        <v>80</v>
      </c>
      <c r="AS7172" t="s">
        <v>81</v>
      </c>
      <c r="AT7172" t="s">
        <v>58</v>
      </c>
      <c r="AU7172" t="s">
        <v>8673</v>
      </c>
      <c r="AV7172" t="s">
        <v>132</v>
      </c>
      <c r="AW7172" s="1">
        <v>25477</v>
      </c>
      <c r="AX7172">
        <v>1</v>
      </c>
    </row>
    <row r="7173" spans="1:50">
      <c r="A7173">
        <v>618692</v>
      </c>
      <c r="B7173" t="str">
        <f>"061505741"</f>
        <v>061505741</v>
      </c>
      <c r="C7173" t="s">
        <v>50</v>
      </c>
      <c r="D7173" t="s">
        <v>3963</v>
      </c>
      <c r="E7173" t="s">
        <v>255</v>
      </c>
      <c r="F7173" t="s">
        <v>166</v>
      </c>
      <c r="G7173" t="s">
        <v>610</v>
      </c>
      <c r="H7173" t="str">
        <f>"ΑΝΔΡ. ΠΑΠΑΝΔΡΕΟΥ 51 ΗΡΑΚΛΕΙΟ"</f>
        <v>ΑΝΔΡ. ΠΑΠΑΝΔΡΕΟΥ 51 ΗΡΑΚΛΕΙΟ</v>
      </c>
      <c r="I7173">
        <v>71305</v>
      </c>
      <c r="J7173">
        <v>2810213608</v>
      </c>
      <c r="K7173">
        <v>6977980913</v>
      </c>
      <c r="M7173" t="s">
        <v>11542</v>
      </c>
      <c r="N7173" t="s">
        <v>615</v>
      </c>
      <c r="O7173" t="s">
        <v>616</v>
      </c>
      <c r="R7173" t="s">
        <v>57</v>
      </c>
      <c r="S7173">
        <v>5</v>
      </c>
      <c r="T7173">
        <v>774</v>
      </c>
      <c r="U7173" s="1">
        <v>39682</v>
      </c>
      <c r="V7173" t="s">
        <v>80</v>
      </c>
      <c r="W7173" t="s">
        <v>81</v>
      </c>
      <c r="X7173" t="s">
        <v>58</v>
      </c>
      <c r="Y7173">
        <v>23</v>
      </c>
      <c r="Z7173" t="s">
        <v>59</v>
      </c>
      <c r="AA7173" t="s">
        <v>59</v>
      </c>
      <c r="AB7173" t="s">
        <v>59</v>
      </c>
      <c r="AC7173" t="s">
        <v>59</v>
      </c>
      <c r="AD7173" t="s">
        <v>59</v>
      </c>
      <c r="AF7173" s="1">
        <v>39682</v>
      </c>
      <c r="AG7173" t="s">
        <v>8645</v>
      </c>
      <c r="AH7173" t="s">
        <v>8646</v>
      </c>
      <c r="AI7173" t="str">
        <f>"9170012"</f>
        <v>9170012</v>
      </c>
      <c r="AJ7173" t="s">
        <v>8865</v>
      </c>
      <c r="AK7173">
        <v>2810811304</v>
      </c>
      <c r="AL7173" t="s">
        <v>8866</v>
      </c>
      <c r="AM7173" t="s">
        <v>78</v>
      </c>
      <c r="AN7173" t="s">
        <v>129</v>
      </c>
      <c r="AO7173" t="s">
        <v>130</v>
      </c>
      <c r="AP7173" t="s">
        <v>8867</v>
      </c>
      <c r="AQ7173">
        <v>2</v>
      </c>
      <c r="AR7173" t="s">
        <v>80</v>
      </c>
      <c r="AS7173" t="s">
        <v>81</v>
      </c>
      <c r="AT7173" t="s">
        <v>58</v>
      </c>
      <c r="AU7173" t="s">
        <v>68</v>
      </c>
      <c r="AV7173" t="s">
        <v>69</v>
      </c>
      <c r="AW7173" s="1">
        <v>27066</v>
      </c>
      <c r="AX7173">
        <v>1</v>
      </c>
    </row>
    <row r="7174" spans="1:50">
      <c r="B7174" t="str">
        <f>"137248298"</f>
        <v>137248298</v>
      </c>
      <c r="C7174" t="s">
        <v>50</v>
      </c>
      <c r="D7174" t="s">
        <v>3963</v>
      </c>
      <c r="E7174" t="s">
        <v>610</v>
      </c>
      <c r="F7174" t="s">
        <v>1523</v>
      </c>
      <c r="G7174" t="s">
        <v>83</v>
      </c>
      <c r="H7174" t="str">
        <f>"ΛΥΣΣΟΥ 4 "</f>
        <v xml:space="preserve">ΛΥΣΣΟΥ 4 </v>
      </c>
      <c r="I7174">
        <v>71304</v>
      </c>
      <c r="J7174">
        <v>2810256102</v>
      </c>
      <c r="K7174">
        <v>6979648064</v>
      </c>
      <c r="N7174" t="s">
        <v>9829</v>
      </c>
      <c r="O7174" t="s">
        <v>9830</v>
      </c>
      <c r="R7174" t="s">
        <v>159</v>
      </c>
      <c r="S7174">
        <v>5</v>
      </c>
      <c r="T7174" t="s">
        <v>8696</v>
      </c>
      <c r="U7174" s="1">
        <v>43348</v>
      </c>
      <c r="V7174" t="s">
        <v>80</v>
      </c>
      <c r="W7174" t="s">
        <v>81</v>
      </c>
      <c r="X7174" t="s">
        <v>58</v>
      </c>
      <c r="Y7174">
        <v>25</v>
      </c>
      <c r="Z7174" t="s">
        <v>59</v>
      </c>
      <c r="AA7174" t="s">
        <v>59</v>
      </c>
      <c r="AB7174" t="s">
        <v>59</v>
      </c>
      <c r="AC7174" t="s">
        <v>59</v>
      </c>
      <c r="AD7174" t="s">
        <v>59</v>
      </c>
      <c r="AF7174" s="1">
        <v>43348</v>
      </c>
      <c r="AG7174" t="s">
        <v>8651</v>
      </c>
      <c r="AH7174" t="s">
        <v>9015</v>
      </c>
      <c r="AI7174" t="str">
        <f>"9170527"</f>
        <v>9170527</v>
      </c>
      <c r="AJ7174" t="s">
        <v>9016</v>
      </c>
      <c r="AK7174">
        <v>2810282486</v>
      </c>
      <c r="AL7174" t="s">
        <v>9017</v>
      </c>
      <c r="AM7174" t="s">
        <v>78</v>
      </c>
      <c r="AN7174" t="s">
        <v>78</v>
      </c>
      <c r="AO7174" t="s">
        <v>78</v>
      </c>
      <c r="AP7174" t="s">
        <v>79</v>
      </c>
      <c r="AQ7174">
        <v>1</v>
      </c>
      <c r="AR7174" t="s">
        <v>80</v>
      </c>
      <c r="AS7174" t="s">
        <v>81</v>
      </c>
      <c r="AT7174" t="s">
        <v>58</v>
      </c>
      <c r="AU7174" t="s">
        <v>350</v>
      </c>
      <c r="AV7174" t="s">
        <v>132</v>
      </c>
      <c r="AW7174" s="1">
        <v>31514</v>
      </c>
      <c r="AX7174">
        <v>1</v>
      </c>
    </row>
    <row r="7175" spans="1:50">
      <c r="A7175">
        <v>618748</v>
      </c>
      <c r="B7175" t="str">
        <f>"138952671"</f>
        <v>138952671</v>
      </c>
      <c r="C7175" t="s">
        <v>50</v>
      </c>
      <c r="D7175" t="s">
        <v>11543</v>
      </c>
      <c r="E7175" t="s">
        <v>1114</v>
      </c>
      <c r="F7175" t="s">
        <v>72</v>
      </c>
      <c r="G7175" t="s">
        <v>263</v>
      </c>
      <c r="H7175" t="str">
        <f>"ΑΡΓΥΡΟΚΑΣΤΡΟΥ 92 ΗΡΑΚΛΕΙΟ"</f>
        <v>ΑΡΓΥΡΟΚΑΣΤΡΟΥ 92 ΗΡΑΚΛΕΙΟ</v>
      </c>
      <c r="I7175">
        <v>71307</v>
      </c>
      <c r="J7175">
        <v>2810241042</v>
      </c>
      <c r="K7175">
        <v>6947432878</v>
      </c>
      <c r="M7175" t="s">
        <v>11544</v>
      </c>
      <c r="N7175" t="s">
        <v>615</v>
      </c>
      <c r="O7175" t="s">
        <v>616</v>
      </c>
      <c r="R7175" t="s">
        <v>57</v>
      </c>
      <c r="S7175">
        <v>7</v>
      </c>
      <c r="T7175">
        <v>774</v>
      </c>
      <c r="U7175" s="1">
        <v>39680</v>
      </c>
      <c r="V7175" t="s">
        <v>80</v>
      </c>
      <c r="W7175" t="s">
        <v>81</v>
      </c>
      <c r="X7175" t="s">
        <v>58</v>
      </c>
      <c r="Y7175">
        <v>23</v>
      </c>
      <c r="Z7175" t="s">
        <v>59</v>
      </c>
      <c r="AA7175" t="s">
        <v>59</v>
      </c>
      <c r="AB7175" t="s">
        <v>452</v>
      </c>
      <c r="AC7175" t="s">
        <v>59</v>
      </c>
      <c r="AD7175" t="s">
        <v>59</v>
      </c>
      <c r="AF7175" s="1">
        <v>39681</v>
      </c>
      <c r="AG7175" t="s">
        <v>8645</v>
      </c>
      <c r="AH7175" t="s">
        <v>8646</v>
      </c>
      <c r="AI7175" t="str">
        <f>"9170520"</f>
        <v>9170520</v>
      </c>
      <c r="AJ7175" t="s">
        <v>8738</v>
      </c>
      <c r="AK7175">
        <v>2810281317</v>
      </c>
      <c r="AL7175" t="s">
        <v>8739</v>
      </c>
      <c r="AM7175" t="s">
        <v>78</v>
      </c>
      <c r="AN7175" t="s">
        <v>78</v>
      </c>
      <c r="AO7175" t="s">
        <v>286</v>
      </c>
      <c r="AP7175" t="s">
        <v>286</v>
      </c>
      <c r="AQ7175">
        <v>1</v>
      </c>
      <c r="AR7175" t="s">
        <v>80</v>
      </c>
      <c r="AS7175" t="s">
        <v>81</v>
      </c>
      <c r="AT7175" t="s">
        <v>58</v>
      </c>
      <c r="AU7175" t="s">
        <v>68</v>
      </c>
      <c r="AV7175" t="s">
        <v>2039</v>
      </c>
      <c r="AW7175" s="1">
        <v>31448</v>
      </c>
      <c r="AX7175">
        <v>1</v>
      </c>
    </row>
    <row r="7176" spans="1:50">
      <c r="A7176">
        <v>571380</v>
      </c>
      <c r="B7176" t="str">
        <f>"027798304"</f>
        <v>027798304</v>
      </c>
      <c r="C7176" t="s">
        <v>50</v>
      </c>
      <c r="D7176" t="s">
        <v>6590</v>
      </c>
      <c r="E7176" t="s">
        <v>964</v>
      </c>
      <c r="F7176" t="s">
        <v>1363</v>
      </c>
      <c r="G7176" t="s">
        <v>1277</v>
      </c>
      <c r="H7176" t="str">
        <f>"ΠΟΛΥΤΕΧΝΕΙΟΥ 2 ΗΡΑΚΛΕΙΟ"</f>
        <v>ΠΟΛΥΤΕΧΝΕΙΟΥ 2 ΗΡΑΚΛΕΙΟ</v>
      </c>
      <c r="I7176">
        <v>71414</v>
      </c>
      <c r="J7176">
        <v>2810822728</v>
      </c>
      <c r="K7176">
        <v>6949082796</v>
      </c>
      <c r="N7176" t="s">
        <v>615</v>
      </c>
      <c r="O7176" t="s">
        <v>616</v>
      </c>
      <c r="R7176" t="s">
        <v>57</v>
      </c>
      <c r="S7176">
        <v>14</v>
      </c>
      <c r="T7176">
        <v>138</v>
      </c>
      <c r="U7176" s="1">
        <v>34206</v>
      </c>
      <c r="V7176" t="s">
        <v>80</v>
      </c>
      <c r="W7176" t="s">
        <v>81</v>
      </c>
      <c r="X7176" t="s">
        <v>58</v>
      </c>
      <c r="Y7176">
        <v>21</v>
      </c>
      <c r="Z7176" t="s">
        <v>59</v>
      </c>
      <c r="AA7176" t="s">
        <v>59</v>
      </c>
      <c r="AB7176" t="s">
        <v>59</v>
      </c>
      <c r="AC7176" t="s">
        <v>59</v>
      </c>
      <c r="AD7176" t="s">
        <v>59</v>
      </c>
      <c r="AF7176" s="1">
        <v>34213</v>
      </c>
      <c r="AG7176" t="s">
        <v>8645</v>
      </c>
      <c r="AH7176" t="s">
        <v>8646</v>
      </c>
      <c r="AI7176" t="str">
        <f>"9170017"</f>
        <v>9170017</v>
      </c>
      <c r="AJ7176" t="s">
        <v>9114</v>
      </c>
      <c r="AK7176">
        <v>2810250746</v>
      </c>
      <c r="AL7176" t="s">
        <v>9115</v>
      </c>
      <c r="AM7176" t="s">
        <v>78</v>
      </c>
      <c r="AN7176" t="s">
        <v>129</v>
      </c>
      <c r="AO7176" t="s">
        <v>130</v>
      </c>
      <c r="AP7176" t="s">
        <v>130</v>
      </c>
      <c r="AQ7176">
        <v>1</v>
      </c>
      <c r="AR7176" t="s">
        <v>80</v>
      </c>
      <c r="AS7176" t="s">
        <v>81</v>
      </c>
      <c r="AT7176" t="s">
        <v>58</v>
      </c>
      <c r="AU7176" t="s">
        <v>68</v>
      </c>
      <c r="AV7176" t="s">
        <v>69</v>
      </c>
      <c r="AW7176" s="1">
        <v>22689</v>
      </c>
      <c r="AX7176">
        <v>1</v>
      </c>
    </row>
    <row r="7177" spans="1:50">
      <c r="A7177">
        <v>575738</v>
      </c>
      <c r="B7177" t="str">
        <f>"031095736"</f>
        <v>031095736</v>
      </c>
      <c r="C7177" t="s">
        <v>105</v>
      </c>
      <c r="D7177" t="s">
        <v>3977</v>
      </c>
      <c r="E7177" t="s">
        <v>106</v>
      </c>
      <c r="F7177" t="s">
        <v>166</v>
      </c>
      <c r="G7177" t="s">
        <v>83</v>
      </c>
      <c r="H7177" t="str">
        <f>" "</f>
        <v xml:space="preserve"> </v>
      </c>
      <c r="N7177" t="s">
        <v>615</v>
      </c>
      <c r="O7177" t="s">
        <v>616</v>
      </c>
      <c r="R7177" t="s">
        <v>57</v>
      </c>
      <c r="S7177">
        <v>13</v>
      </c>
      <c r="T7177">
        <v>184</v>
      </c>
      <c r="U7177" s="1">
        <v>34941</v>
      </c>
      <c r="V7177" t="s">
        <v>80</v>
      </c>
      <c r="W7177" t="s">
        <v>81</v>
      </c>
      <c r="X7177" t="s">
        <v>58</v>
      </c>
      <c r="Y7177">
        <v>21</v>
      </c>
      <c r="Z7177" t="s">
        <v>59</v>
      </c>
      <c r="AA7177" t="s">
        <v>59</v>
      </c>
      <c r="AB7177" t="s">
        <v>59</v>
      </c>
      <c r="AC7177" t="s">
        <v>59</v>
      </c>
      <c r="AD7177" t="s">
        <v>59</v>
      </c>
      <c r="AF7177" s="1">
        <v>34949</v>
      </c>
      <c r="AG7177" t="s">
        <v>8645</v>
      </c>
      <c r="AH7177" t="s">
        <v>8646</v>
      </c>
      <c r="AI7177" t="str">
        <f>"9170535"</f>
        <v>9170535</v>
      </c>
      <c r="AJ7177" t="s">
        <v>9330</v>
      </c>
      <c r="AK7177">
        <v>2810222629</v>
      </c>
      <c r="AL7177" t="s">
        <v>9331</v>
      </c>
      <c r="AM7177" t="s">
        <v>78</v>
      </c>
      <c r="AN7177" t="s">
        <v>78</v>
      </c>
      <c r="AO7177" t="s">
        <v>78</v>
      </c>
      <c r="AP7177" t="s">
        <v>213</v>
      </c>
      <c r="AQ7177">
        <v>1</v>
      </c>
      <c r="AR7177" t="s">
        <v>80</v>
      </c>
      <c r="AS7177" t="s">
        <v>81</v>
      </c>
      <c r="AT7177" t="s">
        <v>58</v>
      </c>
      <c r="AU7177" t="s">
        <v>68</v>
      </c>
      <c r="AV7177" t="s">
        <v>2039</v>
      </c>
      <c r="AW7177" s="1">
        <v>24235</v>
      </c>
      <c r="AX7177">
        <v>1</v>
      </c>
    </row>
    <row r="7178" spans="1:50">
      <c r="A7178">
        <v>700940</v>
      </c>
      <c r="B7178" t="str">
        <f>"114262192"</f>
        <v>114262192</v>
      </c>
      <c r="C7178" t="s">
        <v>50</v>
      </c>
      <c r="D7178" t="s">
        <v>11545</v>
      </c>
      <c r="E7178" t="s">
        <v>155</v>
      </c>
      <c r="F7178" t="s">
        <v>166</v>
      </c>
      <c r="G7178" t="s">
        <v>263</v>
      </c>
      <c r="H7178" t="str">
        <f>"ΔΑΜΑΣΚΗΝΟΥ 24  ΓΑΖΙ"</f>
        <v>ΔΑΜΑΣΚΗΝΟΥ 24  ΓΑΖΙ</v>
      </c>
      <c r="I7178">
        <v>71414</v>
      </c>
      <c r="J7178">
        <v>2810821931</v>
      </c>
      <c r="K7178">
        <v>6973215064</v>
      </c>
      <c r="L7178">
        <v>2844031765</v>
      </c>
      <c r="M7178" t="s">
        <v>11546</v>
      </c>
      <c r="N7178" t="s">
        <v>1525</v>
      </c>
      <c r="O7178" t="s">
        <v>1526</v>
      </c>
      <c r="R7178" t="s">
        <v>57</v>
      </c>
      <c r="S7178">
        <v>6</v>
      </c>
      <c r="T7178">
        <v>772</v>
      </c>
      <c r="U7178" s="1">
        <v>40413</v>
      </c>
      <c r="V7178" t="s">
        <v>80</v>
      </c>
      <c r="W7178" t="s">
        <v>81</v>
      </c>
      <c r="X7178" t="s">
        <v>58</v>
      </c>
      <c r="Y7178">
        <v>25</v>
      </c>
      <c r="Z7178" t="s">
        <v>59</v>
      </c>
      <c r="AA7178" t="s">
        <v>59</v>
      </c>
      <c r="AB7178" t="s">
        <v>59</v>
      </c>
      <c r="AC7178" t="s">
        <v>59</v>
      </c>
      <c r="AD7178" t="s">
        <v>59</v>
      </c>
      <c r="AF7178" s="1">
        <v>40413</v>
      </c>
      <c r="AG7178" t="s">
        <v>8651</v>
      </c>
      <c r="AH7178" t="s">
        <v>8652</v>
      </c>
      <c r="AI7178" t="str">
        <f>"9170562"</f>
        <v>9170562</v>
      </c>
      <c r="AJ7178" t="s">
        <v>9470</v>
      </c>
      <c r="AK7178">
        <v>2810822781</v>
      </c>
      <c r="AL7178" t="s">
        <v>9471</v>
      </c>
      <c r="AM7178" t="s">
        <v>78</v>
      </c>
      <c r="AN7178" t="s">
        <v>129</v>
      </c>
      <c r="AO7178" t="s">
        <v>130</v>
      </c>
      <c r="AP7178" t="s">
        <v>130</v>
      </c>
      <c r="AQ7178">
        <v>1</v>
      </c>
      <c r="AR7178" t="s">
        <v>80</v>
      </c>
      <c r="AS7178" t="s">
        <v>81</v>
      </c>
      <c r="AT7178" t="s">
        <v>58</v>
      </c>
      <c r="AU7178" t="s">
        <v>68</v>
      </c>
      <c r="AV7178" t="s">
        <v>69</v>
      </c>
      <c r="AW7178" s="1">
        <v>30072</v>
      </c>
      <c r="AX7178">
        <v>1</v>
      </c>
    </row>
    <row r="7179" spans="1:50">
      <c r="A7179">
        <v>615329</v>
      </c>
      <c r="B7179" t="str">
        <f>"076851843"</f>
        <v>076851843</v>
      </c>
      <c r="C7179" t="s">
        <v>50</v>
      </c>
      <c r="D7179" t="s">
        <v>11547</v>
      </c>
      <c r="E7179" t="s">
        <v>892</v>
      </c>
      <c r="F7179" t="s">
        <v>106</v>
      </c>
      <c r="G7179" t="s">
        <v>372</v>
      </c>
      <c r="H7179" t="str">
        <f>"ΑΓΙΟΣ ΜΥΡΩΝΑΣ  ΜΑΛΕΒΥΖΙΟΥ  ΑΓΙΟΣ ΜΥΡΩΝΑΣ"</f>
        <v>ΑΓΙΟΣ ΜΥΡΩΝΑΣ  ΜΑΛΕΒΥΖΙΟΥ  ΑΓΙΟΣ ΜΥΡΩΝΑΣ</v>
      </c>
      <c r="I7179">
        <v>70013</v>
      </c>
      <c r="J7179">
        <v>2810721390</v>
      </c>
      <c r="K7179">
        <v>6977296091</v>
      </c>
      <c r="N7179" t="s">
        <v>1525</v>
      </c>
      <c r="O7179" t="s">
        <v>1526</v>
      </c>
      <c r="R7179" t="s">
        <v>57</v>
      </c>
      <c r="S7179">
        <v>6</v>
      </c>
      <c r="T7179">
        <v>598</v>
      </c>
      <c r="U7179" s="1">
        <v>39310</v>
      </c>
      <c r="V7179" t="s">
        <v>80</v>
      </c>
      <c r="W7179" t="s">
        <v>81</v>
      </c>
      <c r="X7179" t="s">
        <v>58</v>
      </c>
      <c r="Y7179">
        <v>25</v>
      </c>
      <c r="Z7179" t="s">
        <v>59</v>
      </c>
      <c r="AA7179" t="s">
        <v>59</v>
      </c>
      <c r="AB7179" t="s">
        <v>59</v>
      </c>
      <c r="AC7179" t="s">
        <v>59</v>
      </c>
      <c r="AD7179" t="s">
        <v>59</v>
      </c>
      <c r="AF7179" s="1">
        <v>39328</v>
      </c>
      <c r="AG7179" t="s">
        <v>8651</v>
      </c>
      <c r="AH7179" t="s">
        <v>8652</v>
      </c>
      <c r="AI7179" t="str">
        <f>"9170483"</f>
        <v>9170483</v>
      </c>
      <c r="AJ7179" t="s">
        <v>11548</v>
      </c>
      <c r="AK7179">
        <v>2810861166</v>
      </c>
      <c r="AL7179" t="s">
        <v>11549</v>
      </c>
      <c r="AM7179" t="s">
        <v>78</v>
      </c>
      <c r="AN7179" t="s">
        <v>78</v>
      </c>
      <c r="AO7179" t="s">
        <v>185</v>
      </c>
      <c r="AP7179" t="s">
        <v>10562</v>
      </c>
      <c r="AQ7179">
        <v>4</v>
      </c>
      <c r="AR7179" t="s">
        <v>80</v>
      </c>
      <c r="AS7179" t="s">
        <v>81</v>
      </c>
      <c r="AT7179" t="s">
        <v>58</v>
      </c>
      <c r="AU7179" t="s">
        <v>68</v>
      </c>
      <c r="AV7179" t="s">
        <v>69</v>
      </c>
      <c r="AW7179" s="1">
        <v>25032</v>
      </c>
      <c r="AX7179">
        <v>1</v>
      </c>
    </row>
    <row r="7180" spans="1:50">
      <c r="B7180" t="str">
        <f>"103832869"</f>
        <v>103832869</v>
      </c>
      <c r="C7180" t="s">
        <v>50</v>
      </c>
      <c r="D7180" t="s">
        <v>11550</v>
      </c>
      <c r="E7180" t="s">
        <v>237</v>
      </c>
      <c r="F7180" t="s">
        <v>72</v>
      </c>
      <c r="G7180" t="s">
        <v>7119</v>
      </c>
      <c r="H7180" t="str">
        <f>"ΕΙΡΗΝΗΣ ΚΑΙ ΦΙΛΙΑΣ 78 ΗΡΑΚΛΕΙΟ"</f>
        <v>ΕΙΡΗΝΗΣ ΚΑΙ ΦΙΛΙΑΣ 78 ΗΡΑΚΛΕΙΟ</v>
      </c>
      <c r="I7180">
        <v>71500</v>
      </c>
      <c r="J7180">
        <v>2810253926</v>
      </c>
      <c r="K7180">
        <v>6980082966</v>
      </c>
      <c r="N7180" t="s">
        <v>176</v>
      </c>
      <c r="O7180" t="s">
        <v>177</v>
      </c>
      <c r="R7180" t="s">
        <v>159</v>
      </c>
      <c r="S7180">
        <v>5</v>
      </c>
      <c r="T7180" t="s">
        <v>8675</v>
      </c>
      <c r="U7180" s="1">
        <v>43348</v>
      </c>
      <c r="V7180" t="s">
        <v>80</v>
      </c>
      <c r="W7180" t="s">
        <v>81</v>
      </c>
      <c r="X7180" t="s">
        <v>58</v>
      </c>
      <c r="Y7180">
        <v>24</v>
      </c>
      <c r="Z7180" t="s">
        <v>59</v>
      </c>
      <c r="AA7180" t="s">
        <v>59</v>
      </c>
      <c r="AB7180" t="s">
        <v>59</v>
      </c>
      <c r="AC7180" t="s">
        <v>59</v>
      </c>
      <c r="AD7180" t="s">
        <v>59</v>
      </c>
      <c r="AF7180" s="1">
        <v>43348</v>
      </c>
      <c r="AG7180" t="s">
        <v>8645</v>
      </c>
      <c r="AH7180" t="s">
        <v>8646</v>
      </c>
      <c r="AI7180" t="str">
        <f>"9170519"</f>
        <v>9170519</v>
      </c>
      <c r="AJ7180" t="s">
        <v>8647</v>
      </c>
      <c r="AK7180">
        <v>2810244075</v>
      </c>
      <c r="AL7180" t="s">
        <v>8648</v>
      </c>
      <c r="AM7180" t="s">
        <v>78</v>
      </c>
      <c r="AN7180" t="s">
        <v>78</v>
      </c>
      <c r="AO7180" t="s">
        <v>78</v>
      </c>
      <c r="AP7180" t="s">
        <v>213</v>
      </c>
      <c r="AQ7180">
        <v>1</v>
      </c>
      <c r="AR7180" t="s">
        <v>80</v>
      </c>
      <c r="AS7180" t="s">
        <v>81</v>
      </c>
      <c r="AT7180" t="s">
        <v>58</v>
      </c>
      <c r="AU7180" t="s">
        <v>8673</v>
      </c>
      <c r="AV7180" t="s">
        <v>132</v>
      </c>
      <c r="AW7180" s="1">
        <v>27748</v>
      </c>
      <c r="AX7180">
        <v>1</v>
      </c>
    </row>
    <row r="7181" spans="1:50">
      <c r="B7181" t="str">
        <f>"118926152"</f>
        <v>118926152</v>
      </c>
      <c r="C7181" t="s">
        <v>50</v>
      </c>
      <c r="D7181" t="s">
        <v>11550</v>
      </c>
      <c r="E7181" t="s">
        <v>52</v>
      </c>
      <c r="F7181" t="s">
        <v>53</v>
      </c>
      <c r="G7181" t="s">
        <v>2194</v>
      </c>
      <c r="H7181" t="str">
        <f>"ΙΣΑΥΡΩΝ 56 ΚΑΜΙΝΙΑ"</f>
        <v>ΙΣΑΥΡΩΝ 56 ΚΑΜΙΝΙΑ</v>
      </c>
      <c r="I7181">
        <v>71303</v>
      </c>
      <c r="J7181">
        <v>2810260744</v>
      </c>
      <c r="K7181">
        <v>6985077101</v>
      </c>
      <c r="N7181" t="s">
        <v>615</v>
      </c>
      <c r="O7181" t="s">
        <v>616</v>
      </c>
      <c r="R7181" t="s">
        <v>159</v>
      </c>
      <c r="S7181">
        <v>3</v>
      </c>
      <c r="T7181" t="s">
        <v>8675</v>
      </c>
      <c r="U7181" s="1">
        <v>43348</v>
      </c>
      <c r="V7181" t="s">
        <v>80</v>
      </c>
      <c r="W7181" t="s">
        <v>81</v>
      </c>
      <c r="X7181" t="s">
        <v>58</v>
      </c>
      <c r="Y7181">
        <v>24</v>
      </c>
      <c r="Z7181" t="s">
        <v>59</v>
      </c>
      <c r="AA7181" t="s">
        <v>59</v>
      </c>
      <c r="AB7181" t="s">
        <v>59</v>
      </c>
      <c r="AC7181" t="s">
        <v>59</v>
      </c>
      <c r="AD7181" t="s">
        <v>59</v>
      </c>
      <c r="AF7181" s="1">
        <v>43348</v>
      </c>
      <c r="AG7181" t="s">
        <v>8645</v>
      </c>
      <c r="AH7181" t="s">
        <v>8646</v>
      </c>
      <c r="AI7181" t="str">
        <f>"9170362"</f>
        <v>9170362</v>
      </c>
      <c r="AJ7181" t="s">
        <v>8681</v>
      </c>
      <c r="AK7181">
        <v>2810255261</v>
      </c>
      <c r="AL7181" t="s">
        <v>8682</v>
      </c>
      <c r="AM7181" t="s">
        <v>78</v>
      </c>
      <c r="AN7181" t="s">
        <v>78</v>
      </c>
      <c r="AO7181" t="s">
        <v>78</v>
      </c>
      <c r="AP7181" t="s">
        <v>141</v>
      </c>
      <c r="AQ7181">
        <v>1</v>
      </c>
      <c r="AR7181" t="s">
        <v>80</v>
      </c>
      <c r="AS7181" t="s">
        <v>81</v>
      </c>
      <c r="AT7181" t="s">
        <v>58</v>
      </c>
      <c r="AU7181" t="s">
        <v>8673</v>
      </c>
      <c r="AV7181" t="s">
        <v>132</v>
      </c>
      <c r="AW7181" s="1">
        <v>32161</v>
      </c>
      <c r="AX7181">
        <v>1</v>
      </c>
    </row>
    <row r="7182" spans="1:50">
      <c r="A7182">
        <v>607362</v>
      </c>
      <c r="B7182" t="str">
        <f>"103518485"</f>
        <v>103518485</v>
      </c>
      <c r="C7182" t="s">
        <v>50</v>
      </c>
      <c r="D7182" t="s">
        <v>11551</v>
      </c>
      <c r="E7182" t="s">
        <v>52</v>
      </c>
      <c r="F7182" t="s">
        <v>106</v>
      </c>
      <c r="G7182" t="s">
        <v>83</v>
      </c>
      <c r="H7182" t="str">
        <f>"ΜΕΛΕΤΙΟΥ ΠΗΓΑ 1 ΗΡΑΚΛΕΙΟ"</f>
        <v>ΜΕΛΕΤΙΟΥ ΠΗΓΑ 1 ΗΡΑΚΛΕΙΟ</v>
      </c>
      <c r="I7182">
        <v>71306</v>
      </c>
      <c r="J7182">
        <v>2810212785</v>
      </c>
      <c r="K7182">
        <v>6942673837</v>
      </c>
      <c r="N7182" t="s">
        <v>615</v>
      </c>
      <c r="O7182" t="s">
        <v>616</v>
      </c>
      <c r="R7182" t="s">
        <v>57</v>
      </c>
      <c r="S7182">
        <v>7</v>
      </c>
      <c r="T7182">
        <v>217</v>
      </c>
      <c r="U7182" s="1">
        <v>38596</v>
      </c>
      <c r="V7182" t="s">
        <v>80</v>
      </c>
      <c r="W7182" t="s">
        <v>81</v>
      </c>
      <c r="X7182" t="s">
        <v>58</v>
      </c>
      <c r="Y7182">
        <v>23</v>
      </c>
      <c r="Z7182" t="s">
        <v>59</v>
      </c>
      <c r="AA7182" t="s">
        <v>59</v>
      </c>
      <c r="AB7182" t="s">
        <v>59</v>
      </c>
      <c r="AC7182" t="s">
        <v>59</v>
      </c>
      <c r="AD7182" t="s">
        <v>59</v>
      </c>
      <c r="AF7182" s="1">
        <v>38600</v>
      </c>
      <c r="AG7182" t="s">
        <v>8645</v>
      </c>
      <c r="AH7182" t="s">
        <v>8646</v>
      </c>
      <c r="AI7182" t="str">
        <f>"9170109"</f>
        <v>9170109</v>
      </c>
      <c r="AJ7182" t="s">
        <v>9056</v>
      </c>
      <c r="AK7182">
        <v>2810212659</v>
      </c>
      <c r="AL7182" t="s">
        <v>9057</v>
      </c>
      <c r="AM7182" t="s">
        <v>78</v>
      </c>
      <c r="AN7182" t="s">
        <v>78</v>
      </c>
      <c r="AO7182" t="s">
        <v>78</v>
      </c>
      <c r="AP7182" t="s">
        <v>163</v>
      </c>
      <c r="AQ7182">
        <v>1</v>
      </c>
      <c r="AR7182" t="s">
        <v>80</v>
      </c>
      <c r="AS7182" t="s">
        <v>81</v>
      </c>
      <c r="AT7182" t="s">
        <v>58</v>
      </c>
      <c r="AU7182" t="s">
        <v>68</v>
      </c>
      <c r="AV7182" t="s">
        <v>69</v>
      </c>
      <c r="AW7182" s="1">
        <v>29753</v>
      </c>
      <c r="AX7182">
        <v>1</v>
      </c>
    </row>
    <row r="7183" spans="1:50">
      <c r="A7183">
        <v>580490</v>
      </c>
      <c r="B7183" t="str">
        <f>"039484945"</f>
        <v>039484945</v>
      </c>
      <c r="C7183" t="s">
        <v>105</v>
      </c>
      <c r="D7183" t="s">
        <v>6600</v>
      </c>
      <c r="E7183" t="s">
        <v>1357</v>
      </c>
      <c r="F7183" t="s">
        <v>72</v>
      </c>
      <c r="G7183" t="s">
        <v>215</v>
      </c>
      <c r="H7183" t="str">
        <f>"ΑΝΔΡΕΑ ΠΑΠΑΝΔΡΕΟΥ 73 ΜΑΣΤΑΜΠΑΣ ΗΡΑΚΛΕΙΟΥ"</f>
        <v>ΑΝΔΡΕΑ ΠΑΠΑΝΔΡΕΟΥ 73 ΜΑΣΤΑΜΠΑΣ ΗΡΑΚΛΕΙΟΥ</v>
      </c>
      <c r="I7183">
        <v>71305</v>
      </c>
      <c r="J7183">
        <v>2810236148</v>
      </c>
      <c r="K7183">
        <v>6945543150</v>
      </c>
      <c r="N7183" t="s">
        <v>337</v>
      </c>
      <c r="O7183" t="s">
        <v>338</v>
      </c>
      <c r="R7183" t="s">
        <v>57</v>
      </c>
      <c r="S7183">
        <v>11</v>
      </c>
      <c r="T7183">
        <v>65</v>
      </c>
      <c r="U7183" s="1">
        <v>35146</v>
      </c>
      <c r="V7183" t="s">
        <v>80</v>
      </c>
      <c r="W7183" t="s">
        <v>81</v>
      </c>
      <c r="X7183" t="s">
        <v>58</v>
      </c>
      <c r="Y7183">
        <v>21</v>
      </c>
      <c r="Z7183" t="s">
        <v>59</v>
      </c>
      <c r="AA7183" t="s">
        <v>59</v>
      </c>
      <c r="AB7183" t="s">
        <v>59</v>
      </c>
      <c r="AC7183" t="s">
        <v>59</v>
      </c>
      <c r="AD7183" t="s">
        <v>59</v>
      </c>
      <c r="AF7183" s="1">
        <v>35163</v>
      </c>
      <c r="AG7183" t="s">
        <v>8645</v>
      </c>
      <c r="AH7183" t="s">
        <v>8646</v>
      </c>
      <c r="AI7183" t="str">
        <f>"9170264"</f>
        <v>9170264</v>
      </c>
      <c r="AJ7183" t="s">
        <v>8718</v>
      </c>
      <c r="AK7183">
        <v>2810332030</v>
      </c>
      <c r="AL7183" t="s">
        <v>8719</v>
      </c>
      <c r="AM7183" t="s">
        <v>78</v>
      </c>
      <c r="AN7183" t="s">
        <v>78</v>
      </c>
      <c r="AO7183" t="s">
        <v>286</v>
      </c>
      <c r="AP7183" t="s">
        <v>286</v>
      </c>
      <c r="AQ7183">
        <v>1</v>
      </c>
      <c r="AR7183" t="s">
        <v>80</v>
      </c>
      <c r="AS7183" t="s">
        <v>81</v>
      </c>
      <c r="AT7183" t="s">
        <v>58</v>
      </c>
      <c r="AU7183" t="s">
        <v>68</v>
      </c>
      <c r="AV7183" t="s">
        <v>69</v>
      </c>
      <c r="AW7183" s="1">
        <v>26753</v>
      </c>
      <c r="AX7183">
        <v>1</v>
      </c>
    </row>
    <row r="7184" spans="1:50">
      <c r="A7184">
        <v>617332</v>
      </c>
      <c r="B7184" t="str">
        <f>"114572409"</f>
        <v>114572409</v>
      </c>
      <c r="C7184" t="s">
        <v>50</v>
      </c>
      <c r="D7184" t="s">
        <v>11552</v>
      </c>
      <c r="E7184" t="s">
        <v>922</v>
      </c>
      <c r="F7184" t="s">
        <v>53</v>
      </c>
      <c r="G7184" t="s">
        <v>181</v>
      </c>
      <c r="H7184" t="str">
        <f>"ΗΛΙΑ ΜΟΣΧΟΥ 5 ΜΑΡΑΘΙΤΗΣ ΗΡΑΚΛΕΙΟΥ"</f>
        <v>ΗΛΙΑ ΜΟΣΧΟΥ 5 ΜΑΡΑΘΙΤΗΣ ΗΡΑΚΛΕΙΟΥ</v>
      </c>
      <c r="I7184">
        <v>71500</v>
      </c>
      <c r="J7184">
        <v>2810211907</v>
      </c>
      <c r="K7184">
        <v>6937459776</v>
      </c>
      <c r="M7184" t="s">
        <v>11553</v>
      </c>
      <c r="N7184" t="s">
        <v>615</v>
      </c>
      <c r="O7184" t="s">
        <v>616</v>
      </c>
      <c r="R7184" t="s">
        <v>57</v>
      </c>
      <c r="S7184">
        <v>8</v>
      </c>
      <c r="T7184">
        <v>774</v>
      </c>
      <c r="U7184" s="1">
        <v>39680</v>
      </c>
      <c r="V7184" t="s">
        <v>80</v>
      </c>
      <c r="W7184" t="s">
        <v>81</v>
      </c>
      <c r="X7184" t="s">
        <v>58</v>
      </c>
      <c r="Y7184">
        <v>23</v>
      </c>
      <c r="Z7184" t="s">
        <v>59</v>
      </c>
      <c r="AA7184" t="s">
        <v>59</v>
      </c>
      <c r="AB7184" t="s">
        <v>59</v>
      </c>
      <c r="AC7184" t="s">
        <v>59</v>
      </c>
      <c r="AD7184" t="s">
        <v>59</v>
      </c>
      <c r="AF7184" s="1">
        <v>39681</v>
      </c>
      <c r="AG7184" t="s">
        <v>8645</v>
      </c>
      <c r="AH7184" t="s">
        <v>8646</v>
      </c>
      <c r="AI7184" t="str">
        <f>"9170108"</f>
        <v>9170108</v>
      </c>
      <c r="AJ7184" t="s">
        <v>8863</v>
      </c>
      <c r="AK7184">
        <v>2810232111</v>
      </c>
      <c r="AL7184" t="s">
        <v>8864</v>
      </c>
      <c r="AM7184" t="s">
        <v>78</v>
      </c>
      <c r="AN7184" t="s">
        <v>78</v>
      </c>
      <c r="AO7184" t="s">
        <v>78</v>
      </c>
      <c r="AP7184" t="s">
        <v>163</v>
      </c>
      <c r="AQ7184">
        <v>1</v>
      </c>
      <c r="AR7184" t="s">
        <v>80</v>
      </c>
      <c r="AS7184" t="s">
        <v>81</v>
      </c>
      <c r="AT7184" t="s">
        <v>58</v>
      </c>
      <c r="AU7184" t="s">
        <v>68</v>
      </c>
      <c r="AV7184" t="s">
        <v>69</v>
      </c>
      <c r="AW7184" s="1">
        <v>30707</v>
      </c>
      <c r="AX7184">
        <v>1</v>
      </c>
    </row>
    <row r="7185" spans="1:50">
      <c r="B7185" t="str">
        <f>"158968506"</f>
        <v>158968506</v>
      </c>
      <c r="C7185" t="s">
        <v>50</v>
      </c>
      <c r="D7185" t="s">
        <v>11554</v>
      </c>
      <c r="E7185" t="s">
        <v>52</v>
      </c>
      <c r="F7185" t="s">
        <v>230</v>
      </c>
      <c r="G7185" t="s">
        <v>727</v>
      </c>
      <c r="H7185" t="str">
        <f>" "</f>
        <v xml:space="preserve"> </v>
      </c>
      <c r="N7185" t="s">
        <v>8694</v>
      </c>
      <c r="O7185" t="s">
        <v>8695</v>
      </c>
      <c r="R7185" t="s">
        <v>159</v>
      </c>
      <c r="S7185">
        <v>1</v>
      </c>
      <c r="T7185" t="s">
        <v>8835</v>
      </c>
      <c r="U7185" s="1">
        <v>43348</v>
      </c>
      <c r="V7185" t="s">
        <v>80</v>
      </c>
      <c r="W7185" t="s">
        <v>81</v>
      </c>
      <c r="X7185" t="s">
        <v>58</v>
      </c>
      <c r="Y7185">
        <v>24</v>
      </c>
      <c r="Z7185" t="s">
        <v>59</v>
      </c>
      <c r="AA7185" t="s">
        <v>59</v>
      </c>
      <c r="AB7185" t="s">
        <v>59</v>
      </c>
      <c r="AD7185" t="s">
        <v>59</v>
      </c>
      <c r="AF7185" s="1">
        <v>43348</v>
      </c>
      <c r="AG7185" t="s">
        <v>8645</v>
      </c>
      <c r="AH7185" t="s">
        <v>8646</v>
      </c>
      <c r="AI7185" t="str">
        <f>"9170517"</f>
        <v>9170517</v>
      </c>
      <c r="AJ7185" t="s">
        <v>9248</v>
      </c>
      <c r="AK7185">
        <v>2810238757</v>
      </c>
      <c r="AL7185" t="s">
        <v>9249</v>
      </c>
      <c r="AM7185" t="s">
        <v>78</v>
      </c>
      <c r="AN7185" t="s">
        <v>78</v>
      </c>
      <c r="AO7185" t="s">
        <v>78</v>
      </c>
      <c r="AP7185" t="s">
        <v>163</v>
      </c>
      <c r="AQ7185">
        <v>1</v>
      </c>
      <c r="AR7185" t="s">
        <v>80</v>
      </c>
      <c r="AS7185" t="s">
        <v>81</v>
      </c>
      <c r="AT7185" t="s">
        <v>58</v>
      </c>
      <c r="AU7185" t="s">
        <v>131</v>
      </c>
      <c r="AV7185" t="s">
        <v>132</v>
      </c>
      <c r="AW7185" s="1">
        <v>34086</v>
      </c>
      <c r="AX7185">
        <v>1</v>
      </c>
    </row>
    <row r="7186" spans="1:50">
      <c r="A7186">
        <v>575565</v>
      </c>
      <c r="B7186" t="str">
        <f>"035181119"</f>
        <v>035181119</v>
      </c>
      <c r="C7186" t="s">
        <v>105</v>
      </c>
      <c r="D7186" t="s">
        <v>3997</v>
      </c>
      <c r="E7186" t="s">
        <v>995</v>
      </c>
      <c r="F7186" t="s">
        <v>95</v>
      </c>
      <c r="G7186" t="s">
        <v>255</v>
      </c>
      <c r="H7186" t="str">
        <f>"ΟΔ. ΑΝΔΡΟΥΤΣΟΥ 11 ΗΡΑΚΛΕΙΟ"</f>
        <v>ΟΔ. ΑΝΔΡΟΥΤΣΟΥ 11 ΗΡΑΚΛΕΙΟ</v>
      </c>
      <c r="I7186">
        <v>71304</v>
      </c>
      <c r="J7186">
        <v>2810316096</v>
      </c>
      <c r="K7186">
        <v>6972053971</v>
      </c>
      <c r="N7186" t="s">
        <v>615</v>
      </c>
      <c r="O7186" t="s">
        <v>616</v>
      </c>
      <c r="R7186" t="s">
        <v>57</v>
      </c>
      <c r="S7186">
        <v>13</v>
      </c>
      <c r="T7186">
        <v>184</v>
      </c>
      <c r="U7186" s="1">
        <v>34941</v>
      </c>
      <c r="V7186" t="s">
        <v>80</v>
      </c>
      <c r="W7186" t="s">
        <v>81</v>
      </c>
      <c r="X7186" t="s">
        <v>58</v>
      </c>
      <c r="Y7186">
        <v>21</v>
      </c>
      <c r="Z7186" t="s">
        <v>59</v>
      </c>
      <c r="AA7186" t="s">
        <v>59</v>
      </c>
      <c r="AB7186" t="s">
        <v>59</v>
      </c>
      <c r="AC7186" t="s">
        <v>59</v>
      </c>
      <c r="AD7186" t="s">
        <v>59</v>
      </c>
      <c r="AF7186" s="1">
        <v>34949</v>
      </c>
      <c r="AG7186" t="s">
        <v>8645</v>
      </c>
      <c r="AH7186" t="s">
        <v>8646</v>
      </c>
      <c r="AI7186" t="str">
        <f>"9170054"</f>
        <v>9170054</v>
      </c>
      <c r="AJ7186" t="s">
        <v>9106</v>
      </c>
      <c r="AK7186">
        <v>2810254527</v>
      </c>
      <c r="AL7186" t="s">
        <v>9107</v>
      </c>
      <c r="AM7186" t="s">
        <v>78</v>
      </c>
      <c r="AN7186" t="s">
        <v>78</v>
      </c>
      <c r="AO7186" t="s">
        <v>78</v>
      </c>
      <c r="AP7186" t="s">
        <v>163</v>
      </c>
      <c r="AQ7186">
        <v>1</v>
      </c>
      <c r="AR7186" t="s">
        <v>80</v>
      </c>
      <c r="AS7186" t="s">
        <v>81</v>
      </c>
      <c r="AT7186" t="s">
        <v>58</v>
      </c>
      <c r="AU7186" t="s">
        <v>68</v>
      </c>
      <c r="AV7186" t="s">
        <v>69</v>
      </c>
      <c r="AW7186" s="1">
        <v>24323</v>
      </c>
      <c r="AX7186">
        <v>1</v>
      </c>
    </row>
    <row r="7187" spans="1:50">
      <c r="B7187" t="str">
        <f>"145069481"</f>
        <v>145069481</v>
      </c>
      <c r="C7187" t="s">
        <v>105</v>
      </c>
      <c r="D7187" t="s">
        <v>11555</v>
      </c>
      <c r="E7187" t="s">
        <v>309</v>
      </c>
      <c r="F7187" t="s">
        <v>84</v>
      </c>
      <c r="G7187" t="s">
        <v>237</v>
      </c>
      <c r="H7187" t="str">
        <f>"ΒΕΡΓΙΝΑ "</f>
        <v xml:space="preserve">ΒΕΡΓΙΝΑ </v>
      </c>
      <c r="I7187">
        <v>59031</v>
      </c>
      <c r="J7187">
        <v>2331092145</v>
      </c>
      <c r="K7187">
        <v>6976690360</v>
      </c>
      <c r="N7187" t="s">
        <v>615</v>
      </c>
      <c r="O7187" t="s">
        <v>616</v>
      </c>
      <c r="R7187" t="s">
        <v>159</v>
      </c>
      <c r="S7187">
        <v>2</v>
      </c>
      <c r="T7187" t="s">
        <v>8675</v>
      </c>
      <c r="U7187" s="1">
        <v>43348</v>
      </c>
      <c r="V7187" t="s">
        <v>80</v>
      </c>
      <c r="W7187" t="s">
        <v>81</v>
      </c>
      <c r="X7187" t="s">
        <v>58</v>
      </c>
      <c r="Y7187">
        <v>24</v>
      </c>
      <c r="Z7187" t="s">
        <v>59</v>
      </c>
      <c r="AA7187" t="s">
        <v>59</v>
      </c>
      <c r="AB7187" t="s">
        <v>59</v>
      </c>
      <c r="AC7187" t="s">
        <v>59</v>
      </c>
      <c r="AD7187" t="s">
        <v>59</v>
      </c>
      <c r="AF7187" s="1">
        <v>43348</v>
      </c>
      <c r="AG7187" t="s">
        <v>8645</v>
      </c>
      <c r="AH7187" t="s">
        <v>8646</v>
      </c>
      <c r="AI7187" t="str">
        <f>"9170009"</f>
        <v>9170009</v>
      </c>
      <c r="AJ7187" t="s">
        <v>8683</v>
      </c>
      <c r="AK7187">
        <v>2810861612</v>
      </c>
      <c r="AL7187" t="s">
        <v>8684</v>
      </c>
      <c r="AM7187" t="s">
        <v>78</v>
      </c>
      <c r="AN7187" t="s">
        <v>78</v>
      </c>
      <c r="AO7187" t="s">
        <v>185</v>
      </c>
      <c r="AP7187" t="s">
        <v>8685</v>
      </c>
      <c r="AQ7187">
        <v>4</v>
      </c>
      <c r="AR7187" t="s">
        <v>80</v>
      </c>
      <c r="AS7187" t="s">
        <v>81</v>
      </c>
      <c r="AT7187" t="s">
        <v>58</v>
      </c>
      <c r="AU7187" t="s">
        <v>8673</v>
      </c>
      <c r="AV7187" t="s">
        <v>132</v>
      </c>
      <c r="AW7187" s="1">
        <v>32533</v>
      </c>
      <c r="AX7187">
        <v>1</v>
      </c>
    </row>
    <row r="7188" spans="1:50">
      <c r="B7188" t="str">
        <f>"109369660"</f>
        <v>109369660</v>
      </c>
      <c r="C7188" t="s">
        <v>50</v>
      </c>
      <c r="D7188" t="s">
        <v>11556</v>
      </c>
      <c r="E7188" t="s">
        <v>11557</v>
      </c>
      <c r="F7188" t="s">
        <v>11558</v>
      </c>
      <c r="G7188" t="s">
        <v>237</v>
      </c>
      <c r="H7188" t="str">
        <f>" "</f>
        <v xml:space="preserve"> </v>
      </c>
      <c r="N7188" t="s">
        <v>683</v>
      </c>
      <c r="O7188" t="s">
        <v>684</v>
      </c>
      <c r="R7188" t="s">
        <v>121</v>
      </c>
      <c r="S7188">
        <v>1</v>
      </c>
      <c r="T7188" t="s">
        <v>8675</v>
      </c>
      <c r="U7188" s="1">
        <v>43348</v>
      </c>
      <c r="V7188" t="s">
        <v>80</v>
      </c>
      <c r="W7188" t="s">
        <v>81</v>
      </c>
      <c r="X7188" t="s">
        <v>58</v>
      </c>
      <c r="Y7188">
        <v>24</v>
      </c>
      <c r="Z7188" t="s">
        <v>59</v>
      </c>
      <c r="AD7188" t="s">
        <v>59</v>
      </c>
      <c r="AF7188" s="1">
        <v>43348</v>
      </c>
      <c r="AG7188" t="s">
        <v>8645</v>
      </c>
      <c r="AH7188" t="s">
        <v>8646</v>
      </c>
      <c r="AI7188" t="str">
        <f>"9170239"</f>
        <v>9170239</v>
      </c>
      <c r="AJ7188" t="s">
        <v>8814</v>
      </c>
      <c r="AK7188">
        <v>2897022076</v>
      </c>
      <c r="AL7188" t="s">
        <v>8815</v>
      </c>
      <c r="AM7188" t="s">
        <v>78</v>
      </c>
      <c r="AN7188" t="s">
        <v>219</v>
      </c>
      <c r="AO7188" t="s">
        <v>219</v>
      </c>
      <c r="AP7188" t="s">
        <v>220</v>
      </c>
      <c r="AQ7188">
        <v>8</v>
      </c>
      <c r="AR7188" t="s">
        <v>80</v>
      </c>
      <c r="AS7188" t="s">
        <v>81</v>
      </c>
      <c r="AT7188" t="s">
        <v>58</v>
      </c>
      <c r="AU7188" t="s">
        <v>8673</v>
      </c>
      <c r="AV7188" t="s">
        <v>132</v>
      </c>
      <c r="AW7188" s="1">
        <v>30237</v>
      </c>
      <c r="AX7188">
        <v>1</v>
      </c>
    </row>
    <row r="7189" spans="1:50">
      <c r="B7189" t="str">
        <f>"120000196"</f>
        <v>120000196</v>
      </c>
      <c r="C7189" t="s">
        <v>50</v>
      </c>
      <c r="D7189" t="s">
        <v>11559</v>
      </c>
      <c r="E7189" t="s">
        <v>11560</v>
      </c>
      <c r="F7189" t="s">
        <v>3049</v>
      </c>
      <c r="G7189" t="s">
        <v>11561</v>
      </c>
      <c r="H7189" t="str">
        <f>"ΕΛΠΙΔΑΣ 6 ΗΡΑΚΛΕΙΟ"</f>
        <v>ΕΛΠΙΔΑΣ 6 ΗΡΑΚΛΕΙΟ</v>
      </c>
      <c r="I7189">
        <v>71306</v>
      </c>
      <c r="K7189">
        <v>6936775748</v>
      </c>
      <c r="N7189" t="s">
        <v>683</v>
      </c>
      <c r="O7189" t="s">
        <v>684</v>
      </c>
      <c r="R7189" t="s">
        <v>57</v>
      </c>
      <c r="S7189">
        <v>6</v>
      </c>
      <c r="T7189" t="s">
        <v>8675</v>
      </c>
      <c r="U7189" s="1">
        <v>43348</v>
      </c>
      <c r="V7189" t="s">
        <v>80</v>
      </c>
      <c r="W7189" t="s">
        <v>81</v>
      </c>
      <c r="X7189" t="s">
        <v>58</v>
      </c>
      <c r="Y7189">
        <v>23</v>
      </c>
      <c r="Z7189" t="s">
        <v>59</v>
      </c>
      <c r="AA7189" t="s">
        <v>59</v>
      </c>
      <c r="AB7189" t="s">
        <v>59</v>
      </c>
      <c r="AC7189" t="s">
        <v>59</v>
      </c>
      <c r="AD7189" t="s">
        <v>59</v>
      </c>
      <c r="AF7189" s="1">
        <v>43348</v>
      </c>
      <c r="AG7189" t="s">
        <v>8645</v>
      </c>
      <c r="AH7189" t="s">
        <v>8646</v>
      </c>
      <c r="AI7189" t="str">
        <f>"9170428"</f>
        <v>9170428</v>
      </c>
      <c r="AJ7189" t="s">
        <v>8983</v>
      </c>
      <c r="AK7189">
        <v>2810234768</v>
      </c>
      <c r="AL7189" t="s">
        <v>8984</v>
      </c>
      <c r="AM7189" t="s">
        <v>78</v>
      </c>
      <c r="AN7189" t="s">
        <v>78</v>
      </c>
      <c r="AO7189" t="s">
        <v>78</v>
      </c>
      <c r="AP7189" t="s">
        <v>79</v>
      </c>
      <c r="AQ7189">
        <v>1</v>
      </c>
      <c r="AR7189" t="s">
        <v>80</v>
      </c>
      <c r="AS7189" t="s">
        <v>81</v>
      </c>
      <c r="AT7189" t="s">
        <v>58</v>
      </c>
      <c r="AU7189" t="s">
        <v>8673</v>
      </c>
      <c r="AV7189" t="s">
        <v>132</v>
      </c>
      <c r="AW7189" s="1">
        <v>27633</v>
      </c>
      <c r="AX7189">
        <v>1</v>
      </c>
    </row>
    <row r="7190" spans="1:50">
      <c r="A7190">
        <v>575007</v>
      </c>
      <c r="B7190" t="str">
        <f>"036382517"</f>
        <v>036382517</v>
      </c>
      <c r="C7190" t="s">
        <v>105</v>
      </c>
      <c r="D7190" t="s">
        <v>11562</v>
      </c>
      <c r="E7190" t="s">
        <v>108</v>
      </c>
      <c r="F7190" t="s">
        <v>2002</v>
      </c>
      <c r="G7190" t="s">
        <v>922</v>
      </c>
      <c r="H7190" t="str">
        <f>"ΣΜΥΡΝΗΣ 18 ΗΡΑΚΛΕΙΟ"</f>
        <v>ΣΜΥΡΝΗΣ 18 ΗΡΑΚΛΕΙΟ</v>
      </c>
      <c r="I7190">
        <v>71414</v>
      </c>
      <c r="J7190">
        <v>2810542569</v>
      </c>
      <c r="K7190">
        <v>6973968863</v>
      </c>
      <c r="N7190" t="s">
        <v>615</v>
      </c>
      <c r="O7190" t="s">
        <v>616</v>
      </c>
      <c r="R7190" t="s">
        <v>57</v>
      </c>
      <c r="S7190">
        <v>13</v>
      </c>
      <c r="T7190">
        <v>184</v>
      </c>
      <c r="U7190" s="1">
        <v>34941</v>
      </c>
      <c r="V7190" t="s">
        <v>80</v>
      </c>
      <c r="W7190" t="s">
        <v>81</v>
      </c>
      <c r="X7190" t="s">
        <v>58</v>
      </c>
      <c r="Y7190">
        <v>21</v>
      </c>
      <c r="Z7190" t="s">
        <v>59</v>
      </c>
      <c r="AA7190" t="s">
        <v>59</v>
      </c>
      <c r="AB7190" t="s">
        <v>59</v>
      </c>
      <c r="AC7190" t="s">
        <v>59</v>
      </c>
      <c r="AD7190" t="s">
        <v>59</v>
      </c>
      <c r="AF7190" s="1">
        <v>34943</v>
      </c>
      <c r="AG7190" t="s">
        <v>8645</v>
      </c>
      <c r="AH7190" t="s">
        <v>8646</v>
      </c>
      <c r="AI7190" t="str">
        <f>"9170018"</f>
        <v>9170018</v>
      </c>
      <c r="AJ7190" t="s">
        <v>8924</v>
      </c>
      <c r="AK7190">
        <v>2810821217</v>
      </c>
      <c r="AL7190" t="s">
        <v>8925</v>
      </c>
      <c r="AM7190" t="s">
        <v>78</v>
      </c>
      <c r="AN7190" t="s">
        <v>129</v>
      </c>
      <c r="AO7190" t="s">
        <v>130</v>
      </c>
      <c r="AP7190" t="s">
        <v>130</v>
      </c>
      <c r="AQ7190">
        <v>1</v>
      </c>
      <c r="AR7190" t="s">
        <v>80</v>
      </c>
      <c r="AS7190" t="s">
        <v>81</v>
      </c>
      <c r="AT7190" t="s">
        <v>58</v>
      </c>
      <c r="AU7190" t="s">
        <v>68</v>
      </c>
      <c r="AV7190" t="s">
        <v>69</v>
      </c>
      <c r="AW7190" s="1">
        <v>21811</v>
      </c>
      <c r="AX7190">
        <v>1</v>
      </c>
    </row>
    <row r="7191" spans="1:50">
      <c r="B7191" t="str">
        <f>"157206004"</f>
        <v>157206004</v>
      </c>
      <c r="C7191" t="s">
        <v>50</v>
      </c>
      <c r="D7191" t="s">
        <v>11563</v>
      </c>
      <c r="E7191" t="s">
        <v>396</v>
      </c>
      <c r="F7191" t="s">
        <v>202</v>
      </c>
      <c r="G7191" t="s">
        <v>238</v>
      </c>
      <c r="H7191" t="str">
        <f>" "</f>
        <v xml:space="preserve"> </v>
      </c>
      <c r="K7191">
        <v>6986837554</v>
      </c>
      <c r="N7191" t="s">
        <v>8834</v>
      </c>
      <c r="O7191" t="s">
        <v>8695</v>
      </c>
      <c r="R7191" t="s">
        <v>121</v>
      </c>
      <c r="S7191">
        <v>3</v>
      </c>
      <c r="T7191" t="s">
        <v>8835</v>
      </c>
      <c r="U7191" s="1">
        <v>43348</v>
      </c>
      <c r="V7191" t="s">
        <v>80</v>
      </c>
      <c r="W7191" t="s">
        <v>81</v>
      </c>
      <c r="X7191" t="s">
        <v>58</v>
      </c>
      <c r="Y7191">
        <v>24</v>
      </c>
      <c r="Z7191" t="s">
        <v>59</v>
      </c>
      <c r="AA7191" t="s">
        <v>59</v>
      </c>
      <c r="AB7191" t="s">
        <v>59</v>
      </c>
      <c r="AD7191" t="s">
        <v>59</v>
      </c>
      <c r="AF7191" s="1">
        <v>43348</v>
      </c>
      <c r="AG7191" t="s">
        <v>8645</v>
      </c>
      <c r="AH7191" t="s">
        <v>8646</v>
      </c>
      <c r="AI7191" t="str">
        <f>"9170144"</f>
        <v>9170144</v>
      </c>
      <c r="AJ7191" t="s">
        <v>8729</v>
      </c>
      <c r="AK7191">
        <v>2891022244</v>
      </c>
      <c r="AL7191" t="s">
        <v>8730</v>
      </c>
      <c r="AM7191" t="s">
        <v>78</v>
      </c>
      <c r="AN7191" t="s">
        <v>276</v>
      </c>
      <c r="AO7191" t="s">
        <v>490</v>
      </c>
      <c r="AP7191" t="s">
        <v>490</v>
      </c>
      <c r="AQ7191">
        <v>12</v>
      </c>
      <c r="AR7191" t="s">
        <v>80</v>
      </c>
      <c r="AS7191" t="s">
        <v>81</v>
      </c>
      <c r="AT7191" t="s">
        <v>58</v>
      </c>
      <c r="AU7191" t="s">
        <v>131</v>
      </c>
      <c r="AV7191" t="s">
        <v>132</v>
      </c>
      <c r="AW7191" s="1">
        <v>33798</v>
      </c>
      <c r="AX7191">
        <v>1</v>
      </c>
    </row>
    <row r="7192" spans="1:50">
      <c r="B7192" t="str">
        <f>"141949420"</f>
        <v>141949420</v>
      </c>
      <c r="C7192" t="s">
        <v>50</v>
      </c>
      <c r="D7192" t="s">
        <v>11563</v>
      </c>
      <c r="E7192" t="s">
        <v>109</v>
      </c>
      <c r="F7192" t="s">
        <v>202</v>
      </c>
      <c r="G7192" t="s">
        <v>238</v>
      </c>
      <c r="H7192" t="str">
        <f>" "</f>
        <v xml:space="preserve"> </v>
      </c>
      <c r="N7192" t="s">
        <v>8834</v>
      </c>
      <c r="O7192" t="s">
        <v>8695</v>
      </c>
      <c r="R7192" t="s">
        <v>121</v>
      </c>
      <c r="S7192">
        <v>3</v>
      </c>
      <c r="T7192" t="s">
        <v>8835</v>
      </c>
      <c r="U7192" s="1">
        <v>43348</v>
      </c>
      <c r="V7192" t="s">
        <v>80</v>
      </c>
      <c r="W7192" t="s">
        <v>81</v>
      </c>
      <c r="X7192" t="s">
        <v>58</v>
      </c>
      <c r="Y7192">
        <v>24</v>
      </c>
      <c r="Z7192" t="s">
        <v>59</v>
      </c>
      <c r="AA7192" t="s">
        <v>59</v>
      </c>
      <c r="AB7192" t="s">
        <v>59</v>
      </c>
      <c r="AD7192" t="s">
        <v>59</v>
      </c>
      <c r="AF7192" s="1">
        <v>43348</v>
      </c>
      <c r="AG7192" t="s">
        <v>8645</v>
      </c>
      <c r="AH7192" t="s">
        <v>8646</v>
      </c>
      <c r="AI7192" t="str">
        <f>"9170113"</f>
        <v>9170113</v>
      </c>
      <c r="AJ7192" t="s">
        <v>8846</v>
      </c>
      <c r="AK7192">
        <v>2810226174</v>
      </c>
      <c r="AL7192" t="s">
        <v>8847</v>
      </c>
      <c r="AM7192" t="s">
        <v>78</v>
      </c>
      <c r="AN7192" t="s">
        <v>78</v>
      </c>
      <c r="AO7192" t="s">
        <v>78</v>
      </c>
      <c r="AP7192" t="s">
        <v>79</v>
      </c>
      <c r="AQ7192">
        <v>1</v>
      </c>
      <c r="AR7192" t="s">
        <v>80</v>
      </c>
      <c r="AS7192" t="s">
        <v>81</v>
      </c>
      <c r="AT7192" t="s">
        <v>58</v>
      </c>
      <c r="AU7192" t="s">
        <v>131</v>
      </c>
      <c r="AV7192" t="s">
        <v>132</v>
      </c>
      <c r="AW7192" s="1">
        <v>32948</v>
      </c>
      <c r="AX7192">
        <v>1</v>
      </c>
    </row>
    <row r="7193" spans="1:50">
      <c r="A7193">
        <v>567606</v>
      </c>
      <c r="B7193" t="str">
        <f>"024880066"</f>
        <v>024880066</v>
      </c>
      <c r="C7193" t="s">
        <v>105</v>
      </c>
      <c r="D7193" t="s">
        <v>11564</v>
      </c>
      <c r="E7193" t="s">
        <v>53</v>
      </c>
      <c r="F7193" t="s">
        <v>304</v>
      </c>
      <c r="G7193" t="s">
        <v>83</v>
      </c>
      <c r="H7193" t="str">
        <f>"ΒΑΧΟΣ ΗΡΑΚΛΕΙΟ"</f>
        <v>ΒΑΧΟΣ ΗΡΑΚΛΕΙΟ</v>
      </c>
      <c r="I7193">
        <v>70004</v>
      </c>
      <c r="J7193">
        <v>2895031542</v>
      </c>
      <c r="K7193">
        <v>6976832195</v>
      </c>
      <c r="N7193" t="s">
        <v>615</v>
      </c>
      <c r="O7193" t="s">
        <v>616</v>
      </c>
      <c r="R7193" t="s">
        <v>57</v>
      </c>
      <c r="S7193">
        <v>14</v>
      </c>
      <c r="T7193">
        <v>133</v>
      </c>
      <c r="U7193" s="1">
        <v>33456</v>
      </c>
      <c r="V7193" t="s">
        <v>80</v>
      </c>
      <c r="W7193" t="s">
        <v>81</v>
      </c>
      <c r="X7193" t="s">
        <v>58</v>
      </c>
      <c r="Y7193">
        <v>21</v>
      </c>
      <c r="Z7193" t="s">
        <v>59</v>
      </c>
      <c r="AA7193" t="s">
        <v>59</v>
      </c>
      <c r="AB7193" t="s">
        <v>59</v>
      </c>
      <c r="AC7193" t="s">
        <v>59</v>
      </c>
      <c r="AD7193" t="s">
        <v>59</v>
      </c>
      <c r="AF7193" s="1">
        <v>33483</v>
      </c>
      <c r="AG7193" t="s">
        <v>8645</v>
      </c>
      <c r="AH7193" t="s">
        <v>8646</v>
      </c>
      <c r="AI7193" t="str">
        <f>"9170132"</f>
        <v>9170132</v>
      </c>
      <c r="AJ7193" t="s">
        <v>9010</v>
      </c>
      <c r="AK7193">
        <v>2895022233</v>
      </c>
      <c r="AL7193" t="s">
        <v>9011</v>
      </c>
      <c r="AM7193" t="s">
        <v>78</v>
      </c>
      <c r="AN7193" t="s">
        <v>482</v>
      </c>
      <c r="AO7193" t="s">
        <v>482</v>
      </c>
      <c r="AP7193" t="s">
        <v>483</v>
      </c>
      <c r="AQ7193">
        <v>14</v>
      </c>
      <c r="AR7193" t="s">
        <v>80</v>
      </c>
      <c r="AS7193" t="s">
        <v>81</v>
      </c>
      <c r="AT7193" t="s">
        <v>58</v>
      </c>
      <c r="AU7193" t="s">
        <v>68</v>
      </c>
      <c r="AV7193" t="s">
        <v>69</v>
      </c>
      <c r="AW7193" s="1">
        <v>20124</v>
      </c>
      <c r="AX7193">
        <v>1</v>
      </c>
    </row>
    <row r="7194" spans="1:50">
      <c r="B7194" t="str">
        <f>"146183590"</f>
        <v>146183590</v>
      </c>
      <c r="C7194" t="s">
        <v>50</v>
      </c>
      <c r="D7194" t="s">
        <v>11565</v>
      </c>
      <c r="E7194" t="s">
        <v>396</v>
      </c>
      <c r="F7194" t="s">
        <v>1320</v>
      </c>
      <c r="G7194" t="s">
        <v>964</v>
      </c>
      <c r="H7194" t="str">
        <f>" "</f>
        <v xml:space="preserve"> </v>
      </c>
      <c r="N7194" t="s">
        <v>615</v>
      </c>
      <c r="O7194" t="s">
        <v>616</v>
      </c>
      <c r="R7194" t="s">
        <v>121</v>
      </c>
      <c r="S7194">
        <v>1</v>
      </c>
      <c r="T7194" t="s">
        <v>8675</v>
      </c>
      <c r="U7194" s="1">
        <v>43348</v>
      </c>
      <c r="V7194" t="s">
        <v>80</v>
      </c>
      <c r="W7194" t="s">
        <v>81</v>
      </c>
      <c r="X7194" t="s">
        <v>58</v>
      </c>
      <c r="Y7194">
        <v>25</v>
      </c>
      <c r="Z7194" t="s">
        <v>59</v>
      </c>
      <c r="AA7194" t="s">
        <v>59</v>
      </c>
      <c r="AB7194" t="s">
        <v>59</v>
      </c>
      <c r="AC7194" t="s">
        <v>59</v>
      </c>
      <c r="AD7194" t="s">
        <v>59</v>
      </c>
      <c r="AF7194" s="1">
        <v>43348</v>
      </c>
      <c r="AG7194" t="s">
        <v>8645</v>
      </c>
      <c r="AH7194" t="s">
        <v>8676</v>
      </c>
      <c r="AI7194" t="str">
        <f>"9170330"</f>
        <v>9170330</v>
      </c>
      <c r="AJ7194" t="s">
        <v>9035</v>
      </c>
      <c r="AK7194">
        <v>2892043274</v>
      </c>
      <c r="AL7194" t="s">
        <v>9036</v>
      </c>
      <c r="AM7194" t="s">
        <v>78</v>
      </c>
      <c r="AN7194" t="s">
        <v>242</v>
      </c>
      <c r="AO7194" t="s">
        <v>349</v>
      </c>
      <c r="AP7194" t="s">
        <v>9037</v>
      </c>
      <c r="AQ7194">
        <v>21</v>
      </c>
      <c r="AR7194" t="s">
        <v>80</v>
      </c>
      <c r="AS7194" t="s">
        <v>81</v>
      </c>
      <c r="AT7194" t="s">
        <v>58</v>
      </c>
      <c r="AU7194" t="s">
        <v>8673</v>
      </c>
      <c r="AV7194" t="s">
        <v>132</v>
      </c>
      <c r="AW7194" s="1">
        <v>32865</v>
      </c>
      <c r="AX7194">
        <v>1</v>
      </c>
    </row>
    <row r="7195" spans="1:50">
      <c r="B7195" t="str">
        <f>"077535893"</f>
        <v>077535893</v>
      </c>
      <c r="C7195" t="s">
        <v>105</v>
      </c>
      <c r="D7195" t="s">
        <v>11566</v>
      </c>
      <c r="E7195" t="s">
        <v>1316</v>
      </c>
      <c r="F7195" t="s">
        <v>4602</v>
      </c>
      <c r="G7195" t="s">
        <v>11567</v>
      </c>
      <c r="H7195" t="str">
        <f>"ΒΕΡΟΗΣ 10 ΒΕΡΟΙΑ"</f>
        <v>ΒΕΡΟΗΣ 10 ΒΕΡΟΙΑ</v>
      </c>
      <c r="I7195">
        <v>59100</v>
      </c>
      <c r="J7195">
        <v>2331061311</v>
      </c>
      <c r="K7195">
        <v>6978815796</v>
      </c>
      <c r="N7195" t="s">
        <v>176</v>
      </c>
      <c r="O7195" t="s">
        <v>177</v>
      </c>
      <c r="R7195" t="s">
        <v>57</v>
      </c>
      <c r="S7195">
        <v>4</v>
      </c>
      <c r="T7195" t="s">
        <v>8675</v>
      </c>
      <c r="U7195" s="1">
        <v>43348</v>
      </c>
      <c r="V7195" t="s">
        <v>80</v>
      </c>
      <c r="W7195" t="s">
        <v>81</v>
      </c>
      <c r="X7195" t="s">
        <v>58</v>
      </c>
      <c r="Y7195">
        <v>24</v>
      </c>
      <c r="Z7195" t="s">
        <v>59</v>
      </c>
      <c r="AA7195" t="s">
        <v>59</v>
      </c>
      <c r="AB7195" t="s">
        <v>59</v>
      </c>
      <c r="AC7195" t="s">
        <v>59</v>
      </c>
      <c r="AD7195" t="s">
        <v>59</v>
      </c>
      <c r="AF7195" s="1">
        <v>43348</v>
      </c>
      <c r="AG7195" t="s">
        <v>8645</v>
      </c>
      <c r="AH7195" t="s">
        <v>8646</v>
      </c>
      <c r="AI7195" t="str">
        <f>"9170549"</f>
        <v>9170549</v>
      </c>
      <c r="AJ7195" t="s">
        <v>8778</v>
      </c>
      <c r="AK7195">
        <v>2810751800</v>
      </c>
      <c r="AL7195" t="s">
        <v>8779</v>
      </c>
      <c r="AM7195" t="s">
        <v>78</v>
      </c>
      <c r="AN7195" t="s">
        <v>424</v>
      </c>
      <c r="AO7195" t="s">
        <v>425</v>
      </c>
      <c r="AP7195" t="s">
        <v>425</v>
      </c>
      <c r="AQ7195">
        <v>11</v>
      </c>
      <c r="AR7195" t="s">
        <v>80</v>
      </c>
      <c r="AS7195" t="s">
        <v>81</v>
      </c>
      <c r="AT7195" t="s">
        <v>58</v>
      </c>
      <c r="AU7195" t="s">
        <v>8673</v>
      </c>
      <c r="AV7195" t="s">
        <v>132</v>
      </c>
      <c r="AW7195" s="1">
        <v>25069</v>
      </c>
      <c r="AX7195">
        <v>1</v>
      </c>
    </row>
    <row r="7196" spans="1:50">
      <c r="A7196">
        <v>567572</v>
      </c>
      <c r="B7196" t="str">
        <f>"029468427"</f>
        <v>029468427</v>
      </c>
      <c r="C7196" t="s">
        <v>50</v>
      </c>
      <c r="D7196" t="s">
        <v>4019</v>
      </c>
      <c r="E7196" t="s">
        <v>52</v>
      </c>
      <c r="F7196" t="s">
        <v>309</v>
      </c>
      <c r="G7196" t="s">
        <v>83</v>
      </c>
      <c r="H7196" t="str">
        <f>"ΑΠΟΛΛΩΝΙΟΥ ΡΟΔΙΟΥ 8 ΗΡΑΚΛΕΙΟ"</f>
        <v>ΑΠΟΛΛΩΝΙΟΥ ΡΟΔΙΟΥ 8 ΗΡΑΚΛΕΙΟ</v>
      </c>
      <c r="I7196">
        <v>71305</v>
      </c>
      <c r="J7196">
        <v>2810326724</v>
      </c>
      <c r="K7196">
        <v>6974392021</v>
      </c>
      <c r="M7196" t="s">
        <v>11568</v>
      </c>
      <c r="N7196" t="s">
        <v>615</v>
      </c>
      <c r="O7196" t="s">
        <v>616</v>
      </c>
      <c r="R7196" t="s">
        <v>57</v>
      </c>
      <c r="S7196">
        <v>14</v>
      </c>
      <c r="T7196">
        <v>133</v>
      </c>
      <c r="U7196" s="1">
        <v>33456</v>
      </c>
      <c r="V7196" t="s">
        <v>80</v>
      </c>
      <c r="W7196" t="s">
        <v>81</v>
      </c>
      <c r="X7196" t="s">
        <v>58</v>
      </c>
      <c r="Y7196">
        <v>21</v>
      </c>
      <c r="Z7196" t="s">
        <v>59</v>
      </c>
      <c r="AA7196" t="s">
        <v>59</v>
      </c>
      <c r="AB7196" t="s">
        <v>59</v>
      </c>
      <c r="AC7196" t="s">
        <v>59</v>
      </c>
      <c r="AD7196" t="s">
        <v>59</v>
      </c>
      <c r="AF7196" s="1">
        <v>33485</v>
      </c>
      <c r="AG7196" t="s">
        <v>8645</v>
      </c>
      <c r="AH7196" t="s">
        <v>8646</v>
      </c>
      <c r="AI7196" t="str">
        <f>"9170109"</f>
        <v>9170109</v>
      </c>
      <c r="AJ7196" t="s">
        <v>9056</v>
      </c>
      <c r="AK7196">
        <v>2810212659</v>
      </c>
      <c r="AL7196" t="s">
        <v>9057</v>
      </c>
      <c r="AM7196" t="s">
        <v>78</v>
      </c>
      <c r="AN7196" t="s">
        <v>78</v>
      </c>
      <c r="AO7196" t="s">
        <v>78</v>
      </c>
      <c r="AP7196" t="s">
        <v>163</v>
      </c>
      <c r="AQ7196">
        <v>1</v>
      </c>
      <c r="AR7196" t="s">
        <v>80</v>
      </c>
      <c r="AS7196" t="s">
        <v>81</v>
      </c>
      <c r="AT7196" t="s">
        <v>58</v>
      </c>
      <c r="AU7196" t="s">
        <v>68</v>
      </c>
      <c r="AV7196" t="s">
        <v>69</v>
      </c>
      <c r="AW7196" s="1">
        <v>24027</v>
      </c>
      <c r="AX7196">
        <v>1</v>
      </c>
    </row>
    <row r="7197" spans="1:50">
      <c r="A7197">
        <v>565723</v>
      </c>
      <c r="B7197" t="str">
        <f>"035631798"</f>
        <v>035631798</v>
      </c>
      <c r="C7197" t="s">
        <v>105</v>
      </c>
      <c r="D7197" t="s">
        <v>11569</v>
      </c>
      <c r="E7197" t="s">
        <v>84</v>
      </c>
      <c r="F7197" t="s">
        <v>154</v>
      </c>
      <c r="G7197" t="s">
        <v>11570</v>
      </c>
      <c r="H7197" t="str">
        <f>"ΘΟΥΚΥΔΙΔΟΥ 16 ΗΡΑΚΛΕΙΟ"</f>
        <v>ΘΟΥΚΥΔΙΔΟΥ 16 ΗΡΑΚΛΕΙΟ</v>
      </c>
      <c r="I7197">
        <v>71307</v>
      </c>
      <c r="J7197">
        <v>2810225376</v>
      </c>
      <c r="K7197">
        <v>6945480388</v>
      </c>
      <c r="M7197" t="s">
        <v>11571</v>
      </c>
      <c r="N7197" t="s">
        <v>615</v>
      </c>
      <c r="O7197" t="s">
        <v>616</v>
      </c>
      <c r="R7197" t="s">
        <v>57</v>
      </c>
      <c r="S7197">
        <v>15</v>
      </c>
      <c r="T7197">
        <v>161</v>
      </c>
      <c r="U7197" s="1">
        <v>33119</v>
      </c>
      <c r="V7197" t="s">
        <v>80</v>
      </c>
      <c r="W7197" t="s">
        <v>81</v>
      </c>
      <c r="X7197" t="s">
        <v>58</v>
      </c>
      <c r="Y7197">
        <v>21</v>
      </c>
      <c r="Z7197" t="s">
        <v>59</v>
      </c>
      <c r="AA7197" t="s">
        <v>59</v>
      </c>
      <c r="AB7197" t="s">
        <v>59</v>
      </c>
      <c r="AC7197" t="s">
        <v>59</v>
      </c>
      <c r="AD7197" t="s">
        <v>59</v>
      </c>
      <c r="AF7197" s="1">
        <v>33119</v>
      </c>
      <c r="AG7197" t="s">
        <v>8645</v>
      </c>
      <c r="AH7197" t="s">
        <v>8646</v>
      </c>
      <c r="AI7197" t="str">
        <f>"9170520"</f>
        <v>9170520</v>
      </c>
      <c r="AJ7197" t="s">
        <v>8738</v>
      </c>
      <c r="AK7197">
        <v>2810281317</v>
      </c>
      <c r="AL7197" t="s">
        <v>8739</v>
      </c>
      <c r="AM7197" t="s">
        <v>78</v>
      </c>
      <c r="AN7197" t="s">
        <v>78</v>
      </c>
      <c r="AO7197" t="s">
        <v>286</v>
      </c>
      <c r="AP7197" t="s">
        <v>286</v>
      </c>
      <c r="AQ7197">
        <v>1</v>
      </c>
      <c r="AR7197" t="s">
        <v>80</v>
      </c>
      <c r="AS7197" t="s">
        <v>81</v>
      </c>
      <c r="AT7197" t="s">
        <v>58</v>
      </c>
      <c r="AU7197" t="s">
        <v>68</v>
      </c>
      <c r="AV7197" t="s">
        <v>69</v>
      </c>
      <c r="AW7197" s="1">
        <v>23784</v>
      </c>
      <c r="AX7197">
        <v>1</v>
      </c>
    </row>
    <row r="7198" spans="1:50">
      <c r="A7198">
        <v>570796</v>
      </c>
      <c r="B7198" t="str">
        <f>"103525789"</f>
        <v>103525789</v>
      </c>
      <c r="C7198" t="s">
        <v>50</v>
      </c>
      <c r="D7198" t="s">
        <v>11572</v>
      </c>
      <c r="E7198" t="s">
        <v>155</v>
      </c>
      <c r="F7198" t="s">
        <v>166</v>
      </c>
      <c r="G7198" t="s">
        <v>658</v>
      </c>
      <c r="H7198" t="str">
        <f>"Σινά 14 Πόρος"</f>
        <v>Σινά 14 Πόρος</v>
      </c>
      <c r="J7198">
        <v>2810229109</v>
      </c>
      <c r="K7198">
        <v>6945418156</v>
      </c>
      <c r="M7198" t="s">
        <v>11573</v>
      </c>
      <c r="N7198" t="s">
        <v>615</v>
      </c>
      <c r="O7198" t="s">
        <v>616</v>
      </c>
      <c r="R7198" t="s">
        <v>57</v>
      </c>
      <c r="S7198">
        <v>14</v>
      </c>
      <c r="T7198">
        <v>138</v>
      </c>
      <c r="U7198" s="1">
        <v>34206</v>
      </c>
      <c r="V7198" t="s">
        <v>80</v>
      </c>
      <c r="W7198" t="s">
        <v>81</v>
      </c>
      <c r="X7198" t="s">
        <v>58</v>
      </c>
      <c r="Y7198">
        <v>21</v>
      </c>
      <c r="Z7198" t="s">
        <v>59</v>
      </c>
      <c r="AA7198" t="s">
        <v>59</v>
      </c>
      <c r="AB7198" t="s">
        <v>59</v>
      </c>
      <c r="AC7198" t="s">
        <v>59</v>
      </c>
      <c r="AD7198" t="s">
        <v>59</v>
      </c>
      <c r="AF7198" s="1">
        <v>34213</v>
      </c>
      <c r="AG7198" t="s">
        <v>8645</v>
      </c>
      <c r="AH7198" t="s">
        <v>8646</v>
      </c>
      <c r="AI7198" t="str">
        <f>"9170257"</f>
        <v>9170257</v>
      </c>
      <c r="AJ7198" t="s">
        <v>8710</v>
      </c>
      <c r="AK7198">
        <v>2810245513</v>
      </c>
      <c r="AL7198" t="s">
        <v>8711</v>
      </c>
      <c r="AM7198" t="s">
        <v>78</v>
      </c>
      <c r="AN7198" t="s">
        <v>78</v>
      </c>
      <c r="AO7198" t="s">
        <v>78</v>
      </c>
      <c r="AP7198" t="s">
        <v>213</v>
      </c>
      <c r="AQ7198">
        <v>1</v>
      </c>
      <c r="AR7198" t="s">
        <v>80</v>
      </c>
      <c r="AS7198" t="s">
        <v>81</v>
      </c>
      <c r="AT7198" t="s">
        <v>58</v>
      </c>
      <c r="AU7198" t="s">
        <v>68</v>
      </c>
      <c r="AV7198" t="s">
        <v>69</v>
      </c>
      <c r="AW7198" s="1">
        <v>24275</v>
      </c>
      <c r="AX7198">
        <v>1</v>
      </c>
    </row>
    <row r="7199" spans="1:50">
      <c r="A7199">
        <v>618205</v>
      </c>
      <c r="B7199" t="str">
        <f>"137854471"</f>
        <v>137854471</v>
      </c>
      <c r="C7199" t="s">
        <v>50</v>
      </c>
      <c r="D7199" t="s">
        <v>11574</v>
      </c>
      <c r="E7199" t="s">
        <v>440</v>
      </c>
      <c r="F7199" t="s">
        <v>10619</v>
      </c>
      <c r="G7199" t="s">
        <v>563</v>
      </c>
      <c r="H7199" t="str">
        <f>"ΤΟΞΟΤΕΣ ΞΑΝΘΗ"</f>
        <v>ΤΟΞΟΤΕΣ ΞΑΝΘΗ</v>
      </c>
      <c r="I7199">
        <v>67100</v>
      </c>
      <c r="J7199">
        <v>2541093036</v>
      </c>
      <c r="K7199">
        <v>6936920925</v>
      </c>
      <c r="M7199" t="s">
        <v>11575</v>
      </c>
      <c r="N7199" t="s">
        <v>615</v>
      </c>
      <c r="O7199" t="s">
        <v>616</v>
      </c>
      <c r="R7199" t="s">
        <v>57</v>
      </c>
      <c r="S7199">
        <v>5</v>
      </c>
      <c r="T7199">
        <v>774</v>
      </c>
      <c r="U7199" s="1">
        <v>39680</v>
      </c>
      <c r="V7199" t="s">
        <v>80</v>
      </c>
      <c r="W7199" t="s">
        <v>81</v>
      </c>
      <c r="X7199" t="s">
        <v>58</v>
      </c>
      <c r="Y7199">
        <v>23</v>
      </c>
      <c r="Z7199" t="s">
        <v>59</v>
      </c>
      <c r="AA7199" t="s">
        <v>59</v>
      </c>
      <c r="AB7199" t="s">
        <v>59</v>
      </c>
      <c r="AC7199" t="s">
        <v>59</v>
      </c>
      <c r="AD7199" t="s">
        <v>59</v>
      </c>
      <c r="AF7199" s="1">
        <v>39681</v>
      </c>
      <c r="AG7199" t="s">
        <v>8645</v>
      </c>
      <c r="AH7199" t="s">
        <v>8646</v>
      </c>
      <c r="AI7199" t="str">
        <f>"9170339"</f>
        <v>9170339</v>
      </c>
      <c r="AJ7199" t="s">
        <v>9500</v>
      </c>
      <c r="AK7199">
        <v>2892051391</v>
      </c>
      <c r="AL7199" t="s">
        <v>9501</v>
      </c>
      <c r="AM7199" t="s">
        <v>78</v>
      </c>
      <c r="AN7199" t="s">
        <v>242</v>
      </c>
      <c r="AO7199" t="s">
        <v>349</v>
      </c>
      <c r="AP7199" t="s">
        <v>349</v>
      </c>
      <c r="AQ7199">
        <v>19</v>
      </c>
      <c r="AR7199" t="s">
        <v>80</v>
      </c>
      <c r="AS7199" t="s">
        <v>81</v>
      </c>
      <c r="AT7199" t="s">
        <v>58</v>
      </c>
      <c r="AU7199" t="s">
        <v>68</v>
      </c>
      <c r="AV7199" t="s">
        <v>69</v>
      </c>
      <c r="AW7199" s="1">
        <v>30441</v>
      </c>
      <c r="AX7199">
        <v>1</v>
      </c>
    </row>
    <row r="7200" spans="1:50">
      <c r="A7200">
        <v>574004</v>
      </c>
      <c r="B7200" t="str">
        <f>"039454989"</f>
        <v>039454989</v>
      </c>
      <c r="C7200" t="s">
        <v>50</v>
      </c>
      <c r="D7200" t="s">
        <v>11576</v>
      </c>
      <c r="E7200" t="s">
        <v>143</v>
      </c>
      <c r="F7200" t="s">
        <v>7369</v>
      </c>
      <c r="G7200" t="s">
        <v>83</v>
      </c>
      <c r="H7200" t="str">
        <f>"ΑΡΤΕΜΙΔΟΣ 15 ΑΓΙΟΣ ΙΩΑΝΝΗΣ"</f>
        <v>ΑΡΤΕΜΙΔΟΣ 15 ΑΓΙΟΣ ΙΩΑΝΝΗΣ</v>
      </c>
      <c r="I7200">
        <v>71409</v>
      </c>
      <c r="J7200">
        <v>2810213791</v>
      </c>
      <c r="M7200" t="s">
        <v>11577</v>
      </c>
      <c r="N7200" t="s">
        <v>615</v>
      </c>
      <c r="O7200" t="s">
        <v>616</v>
      </c>
      <c r="R7200" t="s">
        <v>57</v>
      </c>
      <c r="S7200">
        <v>13</v>
      </c>
      <c r="T7200">
        <v>160</v>
      </c>
      <c r="U7200" s="1">
        <v>34582</v>
      </c>
      <c r="V7200" t="s">
        <v>80</v>
      </c>
      <c r="W7200" t="s">
        <v>81</v>
      </c>
      <c r="X7200" t="s">
        <v>58</v>
      </c>
      <c r="Y7200">
        <v>21</v>
      </c>
      <c r="Z7200" t="s">
        <v>59</v>
      </c>
      <c r="AA7200" t="s">
        <v>59</v>
      </c>
      <c r="AB7200" t="s">
        <v>59</v>
      </c>
      <c r="AC7200" t="s">
        <v>59</v>
      </c>
      <c r="AD7200" t="s">
        <v>59</v>
      </c>
      <c r="AF7200" s="1">
        <v>34582</v>
      </c>
      <c r="AG7200" t="s">
        <v>8645</v>
      </c>
      <c r="AH7200" t="s">
        <v>8646</v>
      </c>
      <c r="AI7200" t="str">
        <f>"9170196"</f>
        <v>9170196</v>
      </c>
      <c r="AJ7200" t="s">
        <v>9255</v>
      </c>
      <c r="AK7200">
        <v>2810283356</v>
      </c>
      <c r="AL7200" t="s">
        <v>9256</v>
      </c>
      <c r="AM7200" t="s">
        <v>78</v>
      </c>
      <c r="AN7200" t="s">
        <v>78</v>
      </c>
      <c r="AO7200" t="s">
        <v>78</v>
      </c>
      <c r="AP7200" t="s">
        <v>79</v>
      </c>
      <c r="AQ7200">
        <v>1</v>
      </c>
      <c r="AR7200" t="s">
        <v>80</v>
      </c>
      <c r="AS7200" t="s">
        <v>81</v>
      </c>
      <c r="AT7200" t="s">
        <v>58</v>
      </c>
      <c r="AU7200" t="s">
        <v>68</v>
      </c>
      <c r="AV7200" t="s">
        <v>69</v>
      </c>
      <c r="AW7200" s="1">
        <v>24563</v>
      </c>
      <c r="AX7200">
        <v>1</v>
      </c>
    </row>
    <row r="7201" spans="1:50">
      <c r="B7201" t="str">
        <f>"147202095"</f>
        <v>147202095</v>
      </c>
      <c r="C7201" t="s">
        <v>50</v>
      </c>
      <c r="D7201" t="s">
        <v>11578</v>
      </c>
      <c r="E7201" t="s">
        <v>513</v>
      </c>
      <c r="F7201" t="s">
        <v>166</v>
      </c>
      <c r="G7201" t="s">
        <v>250</v>
      </c>
      <c r="H7201" t="str">
        <f>"ΠΑΡ. ΠΑΠΑΝΔΡΕΟΥ "</f>
        <v xml:space="preserve">ΠΑΡ. ΠΑΠΑΝΔΡΕΟΥ </v>
      </c>
      <c r="I7201">
        <v>70400</v>
      </c>
      <c r="J7201">
        <v>2892022025</v>
      </c>
      <c r="K7201">
        <v>6976504654</v>
      </c>
      <c r="N7201" t="s">
        <v>615</v>
      </c>
      <c r="O7201" t="s">
        <v>616</v>
      </c>
      <c r="R7201" t="s">
        <v>159</v>
      </c>
      <c r="S7201">
        <v>3</v>
      </c>
      <c r="T7201" t="s">
        <v>8675</v>
      </c>
      <c r="U7201" s="1">
        <v>43348</v>
      </c>
      <c r="V7201" t="s">
        <v>80</v>
      </c>
      <c r="W7201" t="s">
        <v>81</v>
      </c>
      <c r="X7201" t="s">
        <v>58</v>
      </c>
      <c r="Y7201">
        <v>24</v>
      </c>
      <c r="Z7201" t="s">
        <v>59</v>
      </c>
      <c r="AA7201" t="s">
        <v>59</v>
      </c>
      <c r="AB7201" t="s">
        <v>59</v>
      </c>
      <c r="AC7201" t="s">
        <v>59</v>
      </c>
      <c r="AD7201" t="s">
        <v>59</v>
      </c>
      <c r="AF7201" s="1">
        <v>43348</v>
      </c>
      <c r="AG7201" t="s">
        <v>8645</v>
      </c>
      <c r="AH7201" t="s">
        <v>8646</v>
      </c>
      <c r="AI7201" t="str">
        <f>"9170300"</f>
        <v>9170300</v>
      </c>
      <c r="AJ7201" t="s">
        <v>8905</v>
      </c>
      <c r="AK7201">
        <v>2892041219</v>
      </c>
      <c r="AL7201" t="s">
        <v>8906</v>
      </c>
      <c r="AM7201" t="s">
        <v>78</v>
      </c>
      <c r="AN7201" t="s">
        <v>242</v>
      </c>
      <c r="AO7201" t="s">
        <v>243</v>
      </c>
      <c r="AP7201" t="s">
        <v>244</v>
      </c>
      <c r="AQ7201">
        <v>18</v>
      </c>
      <c r="AR7201" t="s">
        <v>80</v>
      </c>
      <c r="AS7201" t="s">
        <v>81</v>
      </c>
      <c r="AT7201" t="s">
        <v>58</v>
      </c>
      <c r="AU7201" t="s">
        <v>8673</v>
      </c>
      <c r="AV7201" t="s">
        <v>132</v>
      </c>
      <c r="AW7201" s="1">
        <v>32404</v>
      </c>
      <c r="AX7201">
        <v>1</v>
      </c>
    </row>
    <row r="7202" spans="1:50">
      <c r="A7202">
        <v>581647</v>
      </c>
      <c r="B7202" t="str">
        <f>"064214421"</f>
        <v>064214421</v>
      </c>
      <c r="C7202" t="s">
        <v>50</v>
      </c>
      <c r="D7202" t="s">
        <v>11579</v>
      </c>
      <c r="E7202" t="s">
        <v>96</v>
      </c>
      <c r="F7202" t="s">
        <v>99</v>
      </c>
      <c r="G7202" t="s">
        <v>372</v>
      </c>
      <c r="H7202" t="str">
        <f>"ΑΝΔΡΕΑ ΠΑΠΑΝΔΡΕΟΥ 126 ΗΡΑΚΛΕΙΟ"</f>
        <v>ΑΝΔΡΕΑ ΠΑΠΑΝΔΡΕΟΥ 126 ΗΡΑΚΛΕΙΟ</v>
      </c>
      <c r="I7202">
        <v>71305</v>
      </c>
      <c r="J7202">
        <v>2810316234</v>
      </c>
      <c r="K7202">
        <v>6982126321</v>
      </c>
      <c r="N7202" t="s">
        <v>615</v>
      </c>
      <c r="O7202" t="s">
        <v>616</v>
      </c>
      <c r="R7202" t="s">
        <v>57</v>
      </c>
      <c r="S7202">
        <v>12</v>
      </c>
      <c r="T7202">
        <v>179</v>
      </c>
      <c r="U7202" s="1">
        <v>35674</v>
      </c>
      <c r="V7202" t="s">
        <v>80</v>
      </c>
      <c r="W7202" t="s">
        <v>81</v>
      </c>
      <c r="X7202" t="s">
        <v>58</v>
      </c>
      <c r="Y7202">
        <v>21</v>
      </c>
      <c r="Z7202" t="s">
        <v>59</v>
      </c>
      <c r="AA7202" t="s">
        <v>59</v>
      </c>
      <c r="AB7202" t="s">
        <v>59</v>
      </c>
      <c r="AC7202" t="s">
        <v>59</v>
      </c>
      <c r="AD7202" t="s">
        <v>59</v>
      </c>
      <c r="AF7202" s="1">
        <v>35674</v>
      </c>
      <c r="AG7202" t="s">
        <v>8645</v>
      </c>
      <c r="AH7202" t="s">
        <v>8646</v>
      </c>
      <c r="AI7202" t="str">
        <f>"9170054"</f>
        <v>9170054</v>
      </c>
      <c r="AJ7202" t="s">
        <v>9106</v>
      </c>
      <c r="AK7202">
        <v>2810254527</v>
      </c>
      <c r="AL7202" t="s">
        <v>9107</v>
      </c>
      <c r="AM7202" t="s">
        <v>78</v>
      </c>
      <c r="AN7202" t="s">
        <v>78</v>
      </c>
      <c r="AO7202" t="s">
        <v>78</v>
      </c>
      <c r="AP7202" t="s">
        <v>163</v>
      </c>
      <c r="AQ7202">
        <v>1</v>
      </c>
      <c r="AR7202" t="s">
        <v>80</v>
      </c>
      <c r="AS7202" t="s">
        <v>81</v>
      </c>
      <c r="AT7202" t="s">
        <v>58</v>
      </c>
      <c r="AU7202" t="s">
        <v>68</v>
      </c>
      <c r="AV7202" t="s">
        <v>69</v>
      </c>
      <c r="AW7202" s="1">
        <v>21278</v>
      </c>
      <c r="AX7202">
        <v>1</v>
      </c>
    </row>
    <row r="7203" spans="1:50">
      <c r="A7203">
        <v>623039</v>
      </c>
      <c r="B7203" t="str">
        <f>"128335490"</f>
        <v>128335490</v>
      </c>
      <c r="C7203" t="s">
        <v>50</v>
      </c>
      <c r="D7203" t="s">
        <v>11580</v>
      </c>
      <c r="E7203" t="s">
        <v>83</v>
      </c>
      <c r="F7203" t="s">
        <v>108</v>
      </c>
      <c r="G7203" t="s">
        <v>250</v>
      </c>
      <c r="H7203" t="str">
        <f>"Θεοδ. Ματθαιάκη 44 ΗΡΑΚΛΕΙΟ"</f>
        <v>Θεοδ. Ματθαιάκη 44 ΗΡΑΚΛΕΙΟ</v>
      </c>
      <c r="I7203">
        <v>71305</v>
      </c>
      <c r="K7203">
        <v>6947893672</v>
      </c>
      <c r="N7203" t="s">
        <v>306</v>
      </c>
      <c r="O7203" t="s">
        <v>307</v>
      </c>
      <c r="R7203" t="s">
        <v>57</v>
      </c>
      <c r="S7203">
        <v>6</v>
      </c>
      <c r="T7203">
        <v>720</v>
      </c>
      <c r="U7203" s="1">
        <v>40059</v>
      </c>
      <c r="V7203" t="s">
        <v>80</v>
      </c>
      <c r="W7203" t="s">
        <v>81</v>
      </c>
      <c r="X7203" t="s">
        <v>58</v>
      </c>
      <c r="Y7203">
        <v>23</v>
      </c>
      <c r="Z7203" t="s">
        <v>59</v>
      </c>
      <c r="AA7203" t="s">
        <v>59</v>
      </c>
      <c r="AB7203" t="s">
        <v>59</v>
      </c>
      <c r="AC7203" t="s">
        <v>59</v>
      </c>
      <c r="AD7203" t="s">
        <v>59</v>
      </c>
      <c r="AF7203" s="1">
        <v>40059</v>
      </c>
      <c r="AG7203" t="s">
        <v>8645</v>
      </c>
      <c r="AH7203" t="s">
        <v>8646</v>
      </c>
      <c r="AI7203" t="str">
        <f>"9170194"</f>
        <v>9170194</v>
      </c>
      <c r="AJ7203" t="s">
        <v>8768</v>
      </c>
      <c r="AK7203">
        <v>2810239611</v>
      </c>
      <c r="AL7203" t="s">
        <v>8769</v>
      </c>
      <c r="AM7203" t="s">
        <v>78</v>
      </c>
      <c r="AN7203" t="s">
        <v>78</v>
      </c>
      <c r="AO7203" t="s">
        <v>78</v>
      </c>
      <c r="AP7203" t="s">
        <v>213</v>
      </c>
      <c r="AQ7203">
        <v>1</v>
      </c>
      <c r="AR7203" t="s">
        <v>80</v>
      </c>
      <c r="AS7203" t="s">
        <v>81</v>
      </c>
      <c r="AT7203" t="s">
        <v>58</v>
      </c>
      <c r="AU7203" t="s">
        <v>68</v>
      </c>
      <c r="AV7203" t="s">
        <v>69</v>
      </c>
      <c r="AW7203" s="1">
        <v>30363</v>
      </c>
      <c r="AX7203">
        <v>1</v>
      </c>
    </row>
    <row r="7204" spans="1:50">
      <c r="B7204" t="str">
        <f>"129171788"</f>
        <v>129171788</v>
      </c>
      <c r="C7204" t="s">
        <v>50</v>
      </c>
      <c r="D7204" t="s">
        <v>11581</v>
      </c>
      <c r="E7204" t="s">
        <v>52</v>
      </c>
      <c r="F7204" t="s">
        <v>309</v>
      </c>
      <c r="G7204" t="s">
        <v>237</v>
      </c>
      <c r="H7204" t="str">
        <f>"Ν. ΜΥΛΟΤΟΠΟΣ "</f>
        <v xml:space="preserve">Ν. ΜΥΛΟΤΟΠΟΣ </v>
      </c>
      <c r="I7204">
        <v>58100</v>
      </c>
      <c r="J7204">
        <v>2382052057</v>
      </c>
      <c r="K7204">
        <v>6978614447</v>
      </c>
      <c r="N7204" t="s">
        <v>1525</v>
      </c>
      <c r="O7204" t="s">
        <v>1526</v>
      </c>
      <c r="R7204" t="s">
        <v>121</v>
      </c>
      <c r="S7204">
        <v>1</v>
      </c>
      <c r="T7204" t="s">
        <v>8670</v>
      </c>
      <c r="U7204" s="1">
        <v>43348</v>
      </c>
      <c r="V7204" t="s">
        <v>80</v>
      </c>
      <c r="W7204" t="s">
        <v>81</v>
      </c>
      <c r="X7204" t="s">
        <v>58</v>
      </c>
      <c r="Y7204">
        <v>25</v>
      </c>
      <c r="Z7204" t="s">
        <v>59</v>
      </c>
      <c r="AA7204" t="s">
        <v>59</v>
      </c>
      <c r="AB7204" t="s">
        <v>59</v>
      </c>
      <c r="AC7204" t="s">
        <v>59</v>
      </c>
      <c r="AD7204" t="s">
        <v>59</v>
      </c>
      <c r="AF7204" s="1">
        <v>43348</v>
      </c>
      <c r="AG7204" t="s">
        <v>8651</v>
      </c>
      <c r="AH7204" t="s">
        <v>8652</v>
      </c>
      <c r="AI7204" t="str">
        <f>"9170253"</f>
        <v>9170253</v>
      </c>
      <c r="AJ7204" t="s">
        <v>9551</v>
      </c>
      <c r="AK7204">
        <v>2810245816</v>
      </c>
      <c r="AL7204" t="s">
        <v>9552</v>
      </c>
      <c r="AM7204" t="s">
        <v>78</v>
      </c>
      <c r="AN7204" t="s">
        <v>78</v>
      </c>
      <c r="AO7204" t="s">
        <v>78</v>
      </c>
      <c r="AP7204" t="s">
        <v>213</v>
      </c>
      <c r="AQ7204">
        <v>1</v>
      </c>
      <c r="AR7204" t="s">
        <v>80</v>
      </c>
      <c r="AS7204" t="s">
        <v>81</v>
      </c>
      <c r="AT7204" t="s">
        <v>58</v>
      </c>
      <c r="AU7204" t="s">
        <v>8673</v>
      </c>
      <c r="AV7204" t="s">
        <v>132</v>
      </c>
      <c r="AW7204" s="1">
        <v>30782</v>
      </c>
      <c r="AX7204">
        <v>1</v>
      </c>
    </row>
    <row r="7205" spans="1:50">
      <c r="A7205">
        <v>595088</v>
      </c>
      <c r="B7205" t="str">
        <f>"104920867"</f>
        <v>104920867</v>
      </c>
      <c r="C7205" t="s">
        <v>50</v>
      </c>
      <c r="D7205" t="s">
        <v>11582</v>
      </c>
      <c r="E7205" t="s">
        <v>904</v>
      </c>
      <c r="F7205" t="s">
        <v>760</v>
      </c>
      <c r="G7205" t="s">
        <v>290</v>
      </c>
      <c r="H7205" t="str">
        <f>" Τυμπάκι"</f>
        <v xml:space="preserve"> Τυμπάκι</v>
      </c>
      <c r="I7205">
        <v>70200</v>
      </c>
      <c r="J7205">
        <v>2892051358</v>
      </c>
      <c r="K7205">
        <v>6994851102</v>
      </c>
      <c r="N7205" t="s">
        <v>615</v>
      </c>
      <c r="O7205" t="s">
        <v>616</v>
      </c>
      <c r="R7205" t="s">
        <v>57</v>
      </c>
      <c r="S7205">
        <v>8</v>
      </c>
      <c r="T7205">
        <v>218</v>
      </c>
      <c r="U7205" s="1">
        <v>37134</v>
      </c>
      <c r="V7205" t="s">
        <v>80</v>
      </c>
      <c r="W7205" t="s">
        <v>81</v>
      </c>
      <c r="X7205" t="s">
        <v>58</v>
      </c>
      <c r="Y7205">
        <v>22</v>
      </c>
      <c r="Z7205" t="s">
        <v>59</v>
      </c>
      <c r="AA7205" t="s">
        <v>59</v>
      </c>
      <c r="AB7205" t="s">
        <v>59</v>
      </c>
      <c r="AC7205" t="s">
        <v>59</v>
      </c>
      <c r="AD7205" t="s">
        <v>59</v>
      </c>
      <c r="AF7205" s="1">
        <v>37140</v>
      </c>
      <c r="AG7205" t="s">
        <v>8645</v>
      </c>
      <c r="AH7205" t="s">
        <v>8646</v>
      </c>
      <c r="AI7205" t="str">
        <f>"9170338"</f>
        <v>9170338</v>
      </c>
      <c r="AJ7205" t="s">
        <v>8849</v>
      </c>
      <c r="AK7205">
        <v>2892051377</v>
      </c>
      <c r="AL7205" t="s">
        <v>8850</v>
      </c>
      <c r="AM7205" t="s">
        <v>78</v>
      </c>
      <c r="AN7205" t="s">
        <v>242</v>
      </c>
      <c r="AO7205" t="s">
        <v>349</v>
      </c>
      <c r="AP7205" t="s">
        <v>349</v>
      </c>
      <c r="AQ7205">
        <v>19</v>
      </c>
      <c r="AR7205" t="s">
        <v>80</v>
      </c>
      <c r="AS7205" t="s">
        <v>81</v>
      </c>
      <c r="AT7205" t="s">
        <v>58</v>
      </c>
      <c r="AU7205" t="s">
        <v>68</v>
      </c>
      <c r="AV7205" t="s">
        <v>69</v>
      </c>
      <c r="AW7205" s="1">
        <v>27164</v>
      </c>
      <c r="AX7205">
        <v>1</v>
      </c>
    </row>
    <row r="7206" spans="1:50">
      <c r="A7206">
        <v>574892</v>
      </c>
      <c r="B7206" t="str">
        <f>"035225839"</f>
        <v>035225839</v>
      </c>
      <c r="C7206" t="s">
        <v>50</v>
      </c>
      <c r="D7206" t="s">
        <v>8423</v>
      </c>
      <c r="E7206" t="s">
        <v>11583</v>
      </c>
      <c r="F7206" t="s">
        <v>53</v>
      </c>
      <c r="G7206" t="s">
        <v>11584</v>
      </c>
      <c r="H7206" t="str">
        <f>"ΔΡΑΚΟΝΤΟΠΟΥΛΟΥ 32 ΗΡΑΚΛΕΙΟ"</f>
        <v>ΔΡΑΚΟΝΤΟΠΟΥΛΟΥ 32 ΗΡΑΚΛΕΙΟ</v>
      </c>
      <c r="I7206">
        <v>71306</v>
      </c>
      <c r="J7206">
        <v>2810311038</v>
      </c>
      <c r="K7206">
        <v>6944620400</v>
      </c>
      <c r="N7206" t="s">
        <v>176</v>
      </c>
      <c r="O7206" t="s">
        <v>177</v>
      </c>
      <c r="R7206" t="s">
        <v>57</v>
      </c>
      <c r="S7206">
        <v>12</v>
      </c>
      <c r="T7206">
        <v>158</v>
      </c>
      <c r="U7206" s="1">
        <v>34582</v>
      </c>
      <c r="V7206" t="s">
        <v>80</v>
      </c>
      <c r="W7206" t="s">
        <v>81</v>
      </c>
      <c r="X7206" t="s">
        <v>58</v>
      </c>
      <c r="Y7206">
        <v>21</v>
      </c>
      <c r="Z7206" t="s">
        <v>59</v>
      </c>
      <c r="AA7206" t="s">
        <v>59</v>
      </c>
      <c r="AB7206" t="s">
        <v>59</v>
      </c>
      <c r="AC7206" t="s">
        <v>59</v>
      </c>
      <c r="AD7206" t="s">
        <v>59</v>
      </c>
      <c r="AF7206" s="1">
        <v>34582</v>
      </c>
      <c r="AG7206" t="s">
        <v>8645</v>
      </c>
      <c r="AH7206" t="s">
        <v>8646</v>
      </c>
      <c r="AI7206" t="str">
        <f>"9170102"</f>
        <v>9170102</v>
      </c>
      <c r="AJ7206" t="s">
        <v>9019</v>
      </c>
      <c r="AK7206">
        <v>2810283938</v>
      </c>
      <c r="AL7206" t="s">
        <v>9020</v>
      </c>
      <c r="AM7206" t="s">
        <v>78</v>
      </c>
      <c r="AN7206" t="s">
        <v>78</v>
      </c>
      <c r="AO7206" t="s">
        <v>78</v>
      </c>
      <c r="AP7206" t="s">
        <v>79</v>
      </c>
      <c r="AQ7206">
        <v>1</v>
      </c>
      <c r="AR7206" t="s">
        <v>80</v>
      </c>
      <c r="AS7206" t="s">
        <v>81</v>
      </c>
      <c r="AT7206" t="s">
        <v>58</v>
      </c>
      <c r="AU7206" t="s">
        <v>68</v>
      </c>
      <c r="AV7206" t="s">
        <v>69</v>
      </c>
      <c r="AW7206" s="1">
        <v>23588</v>
      </c>
      <c r="AX7206">
        <v>1</v>
      </c>
    </row>
    <row r="7207" spans="1:50">
      <c r="A7207">
        <v>609114</v>
      </c>
      <c r="B7207" t="str">
        <f>"103509464"</f>
        <v>103509464</v>
      </c>
      <c r="C7207" t="s">
        <v>50</v>
      </c>
      <c r="D7207" t="s">
        <v>11585</v>
      </c>
      <c r="E7207" t="s">
        <v>52</v>
      </c>
      <c r="F7207" t="s">
        <v>95</v>
      </c>
      <c r="G7207" t="s">
        <v>215</v>
      </c>
      <c r="H7207" t="str">
        <f>" "</f>
        <v xml:space="preserve"> </v>
      </c>
      <c r="J7207">
        <v>2810731287</v>
      </c>
      <c r="K7207">
        <v>6946142780</v>
      </c>
      <c r="N7207" t="s">
        <v>306</v>
      </c>
      <c r="O7207" t="s">
        <v>307</v>
      </c>
      <c r="R7207" t="s">
        <v>57</v>
      </c>
      <c r="S7207">
        <v>8</v>
      </c>
      <c r="T7207">
        <v>218</v>
      </c>
      <c r="U7207" s="1">
        <v>38596</v>
      </c>
      <c r="V7207" t="s">
        <v>80</v>
      </c>
      <c r="W7207" t="s">
        <v>81</v>
      </c>
      <c r="X7207" t="s">
        <v>58</v>
      </c>
      <c r="Y7207">
        <v>22</v>
      </c>
      <c r="Z7207" t="s">
        <v>59</v>
      </c>
      <c r="AA7207" t="s">
        <v>59</v>
      </c>
      <c r="AB7207" t="s">
        <v>59</v>
      </c>
      <c r="AC7207" t="s">
        <v>59</v>
      </c>
      <c r="AD7207" t="s">
        <v>59</v>
      </c>
      <c r="AF7207" s="1">
        <v>38600</v>
      </c>
      <c r="AG7207" t="s">
        <v>8645</v>
      </c>
      <c r="AH7207" t="s">
        <v>8646</v>
      </c>
      <c r="AI7207" t="str">
        <f>"9170206"</f>
        <v>9170206</v>
      </c>
      <c r="AJ7207" t="s">
        <v>8972</v>
      </c>
      <c r="AK7207">
        <v>2810761137</v>
      </c>
      <c r="AL7207" t="s">
        <v>8973</v>
      </c>
      <c r="AM7207" t="s">
        <v>78</v>
      </c>
      <c r="AN7207" t="s">
        <v>219</v>
      </c>
      <c r="AO7207" t="s">
        <v>297</v>
      </c>
      <c r="AP7207" t="s">
        <v>8796</v>
      </c>
      <c r="AQ7207">
        <v>7</v>
      </c>
      <c r="AR7207" t="s">
        <v>80</v>
      </c>
      <c r="AS7207" t="s">
        <v>81</v>
      </c>
      <c r="AT7207" t="s">
        <v>58</v>
      </c>
      <c r="AU7207" t="s">
        <v>68</v>
      </c>
      <c r="AV7207" t="s">
        <v>69</v>
      </c>
      <c r="AW7207" s="1">
        <v>28509</v>
      </c>
      <c r="AX7207">
        <v>1</v>
      </c>
    </row>
    <row r="7208" spans="1:50">
      <c r="B7208" t="str">
        <f>"079670263"</f>
        <v>079670263</v>
      </c>
      <c r="C7208" t="s">
        <v>50</v>
      </c>
      <c r="D7208" t="s">
        <v>11586</v>
      </c>
      <c r="E7208" t="s">
        <v>1713</v>
      </c>
      <c r="F7208" t="s">
        <v>95</v>
      </c>
      <c r="G7208" t="s">
        <v>1179</v>
      </c>
      <c r="H7208" t="str">
        <f>"ΖΑΚΡΟΥ 8 ΠΟΡΟΣ ΗΡΑΚΛΕΙΟ"</f>
        <v>ΖΑΚΡΟΥ 8 ΠΟΡΟΣ ΗΡΑΚΛΕΙΟ</v>
      </c>
      <c r="I7208">
        <v>71307</v>
      </c>
      <c r="J7208">
        <v>2810225219</v>
      </c>
      <c r="K7208">
        <v>6976410190</v>
      </c>
      <c r="N7208" t="s">
        <v>288</v>
      </c>
      <c r="O7208" t="s">
        <v>289</v>
      </c>
      <c r="R7208" t="s">
        <v>159</v>
      </c>
      <c r="S7208">
        <v>2</v>
      </c>
      <c r="T7208" t="s">
        <v>8675</v>
      </c>
      <c r="U7208" s="1">
        <v>43348</v>
      </c>
      <c r="V7208" t="s">
        <v>80</v>
      </c>
      <c r="W7208" t="s">
        <v>81</v>
      </c>
      <c r="X7208" t="s">
        <v>58</v>
      </c>
      <c r="Y7208">
        <v>14</v>
      </c>
      <c r="Z7208" t="s">
        <v>59</v>
      </c>
      <c r="AA7208" t="s">
        <v>59</v>
      </c>
      <c r="AB7208" t="s">
        <v>59</v>
      </c>
      <c r="AC7208" t="s">
        <v>59</v>
      </c>
      <c r="AD7208" t="s">
        <v>59</v>
      </c>
      <c r="AF7208" s="1">
        <v>43348</v>
      </c>
      <c r="AG7208" t="s">
        <v>8645</v>
      </c>
      <c r="AH7208" t="s">
        <v>8646</v>
      </c>
      <c r="AI7208" t="str">
        <f>"9170037"</f>
        <v>9170037</v>
      </c>
      <c r="AJ7208" t="s">
        <v>9215</v>
      </c>
      <c r="AK7208">
        <v>2810831208</v>
      </c>
      <c r="AL7208" t="s">
        <v>9216</v>
      </c>
      <c r="AM7208" t="s">
        <v>78</v>
      </c>
      <c r="AN7208" t="s">
        <v>129</v>
      </c>
      <c r="AO7208" t="s">
        <v>267</v>
      </c>
      <c r="AP7208" t="s">
        <v>267</v>
      </c>
      <c r="AQ7208">
        <v>2</v>
      </c>
      <c r="AR7208" t="s">
        <v>80</v>
      </c>
      <c r="AS7208" t="s">
        <v>81</v>
      </c>
      <c r="AT7208" t="s">
        <v>58</v>
      </c>
      <c r="AU7208" t="s">
        <v>8686</v>
      </c>
      <c r="AV7208" t="s">
        <v>132</v>
      </c>
      <c r="AW7208" s="1">
        <v>29824</v>
      </c>
      <c r="AX7208">
        <v>1</v>
      </c>
    </row>
    <row r="7209" spans="1:50">
      <c r="A7209">
        <v>557860</v>
      </c>
      <c r="B7209" t="str">
        <f>"070951517"</f>
        <v>070951517</v>
      </c>
      <c r="C7209" t="s">
        <v>50</v>
      </c>
      <c r="D7209" t="s">
        <v>11587</v>
      </c>
      <c r="E7209" t="s">
        <v>964</v>
      </c>
      <c r="F7209" t="s">
        <v>154</v>
      </c>
      <c r="G7209" t="s">
        <v>250</v>
      </c>
      <c r="H7209" t="str">
        <f>" "</f>
        <v xml:space="preserve"> </v>
      </c>
      <c r="N7209" t="s">
        <v>615</v>
      </c>
      <c r="O7209" t="s">
        <v>616</v>
      </c>
      <c r="R7209" t="s">
        <v>57</v>
      </c>
      <c r="S7209">
        <v>15</v>
      </c>
      <c r="T7209">
        <v>168</v>
      </c>
      <c r="U7209" s="1">
        <v>32010</v>
      </c>
      <c r="V7209" t="s">
        <v>80</v>
      </c>
      <c r="W7209" t="s">
        <v>81</v>
      </c>
      <c r="X7209" t="s">
        <v>58</v>
      </c>
      <c r="Y7209">
        <v>21</v>
      </c>
      <c r="Z7209" t="s">
        <v>59</v>
      </c>
      <c r="AA7209" t="s">
        <v>59</v>
      </c>
      <c r="AB7209" t="s">
        <v>59</v>
      </c>
      <c r="AC7209" t="s">
        <v>59</v>
      </c>
      <c r="AD7209" t="s">
        <v>59</v>
      </c>
      <c r="AF7209" s="1">
        <v>32021</v>
      </c>
      <c r="AG7209" t="s">
        <v>8645</v>
      </c>
      <c r="AH7209" t="s">
        <v>8646</v>
      </c>
      <c r="AI7209" t="str">
        <f>"9170191"</f>
        <v>9170191</v>
      </c>
      <c r="AJ7209" t="s">
        <v>8667</v>
      </c>
      <c r="AK7209">
        <v>2810231459</v>
      </c>
      <c r="AL7209" t="s">
        <v>8668</v>
      </c>
      <c r="AM7209" t="s">
        <v>78</v>
      </c>
      <c r="AN7209" t="s">
        <v>78</v>
      </c>
      <c r="AO7209" t="s">
        <v>78</v>
      </c>
      <c r="AP7209" t="s">
        <v>163</v>
      </c>
      <c r="AQ7209">
        <v>1</v>
      </c>
      <c r="AR7209" t="s">
        <v>80</v>
      </c>
      <c r="AS7209" t="s">
        <v>81</v>
      </c>
      <c r="AT7209" t="s">
        <v>58</v>
      </c>
      <c r="AU7209" t="s">
        <v>68</v>
      </c>
      <c r="AV7209" t="s">
        <v>69</v>
      </c>
      <c r="AW7209" s="1">
        <v>23962</v>
      </c>
      <c r="AX7209">
        <v>1</v>
      </c>
    </row>
    <row r="7210" spans="1:50">
      <c r="A7210">
        <v>620564</v>
      </c>
      <c r="B7210" t="str">
        <f>"137481293"</f>
        <v>137481293</v>
      </c>
      <c r="C7210" t="s">
        <v>50</v>
      </c>
      <c r="D7210" t="s">
        <v>11588</v>
      </c>
      <c r="E7210" t="s">
        <v>52</v>
      </c>
      <c r="F7210" t="s">
        <v>106</v>
      </c>
      <c r="G7210" t="s">
        <v>714</v>
      </c>
      <c r="H7210" t="str">
        <f>"ΚΕΦΑΛΛΗΝΙΑΣ 14 ΑΤΤΙΚΗ"</f>
        <v>ΚΕΦΑΛΛΗΝΙΑΣ 14 ΑΤΤΙΚΗ</v>
      </c>
      <c r="I7210">
        <v>15344</v>
      </c>
      <c r="J7210">
        <v>2106611552</v>
      </c>
      <c r="K7210">
        <v>6945223560</v>
      </c>
      <c r="N7210" t="s">
        <v>615</v>
      </c>
      <c r="O7210" t="s">
        <v>616</v>
      </c>
      <c r="R7210" t="s">
        <v>57</v>
      </c>
      <c r="S7210">
        <v>5</v>
      </c>
      <c r="T7210">
        <v>653</v>
      </c>
      <c r="U7210" s="1">
        <v>40043</v>
      </c>
      <c r="V7210" t="s">
        <v>80</v>
      </c>
      <c r="W7210" t="s">
        <v>81</v>
      </c>
      <c r="X7210" t="s">
        <v>58</v>
      </c>
      <c r="Y7210">
        <v>23</v>
      </c>
      <c r="Z7210" t="s">
        <v>59</v>
      </c>
      <c r="AA7210" t="s">
        <v>59</v>
      </c>
      <c r="AB7210" t="s">
        <v>59</v>
      </c>
      <c r="AC7210" t="s">
        <v>59</v>
      </c>
      <c r="AD7210" t="s">
        <v>59</v>
      </c>
      <c r="AF7210" s="1">
        <v>40044</v>
      </c>
      <c r="AG7210" t="s">
        <v>8645</v>
      </c>
      <c r="AH7210" t="s">
        <v>8646</v>
      </c>
      <c r="AI7210" t="str">
        <f>"9170034"</f>
        <v>9170034</v>
      </c>
      <c r="AJ7210" t="s">
        <v>9179</v>
      </c>
      <c r="AK7210">
        <v>2810841217</v>
      </c>
      <c r="AL7210" t="s">
        <v>9180</v>
      </c>
      <c r="AM7210" t="s">
        <v>78</v>
      </c>
      <c r="AN7210" t="s">
        <v>129</v>
      </c>
      <c r="AO7210" t="s">
        <v>130</v>
      </c>
      <c r="AP7210" t="s">
        <v>9181</v>
      </c>
      <c r="AQ7210">
        <v>2</v>
      </c>
      <c r="AR7210" t="s">
        <v>80</v>
      </c>
      <c r="AS7210" t="s">
        <v>81</v>
      </c>
      <c r="AT7210" t="s">
        <v>58</v>
      </c>
      <c r="AU7210" t="s">
        <v>68</v>
      </c>
      <c r="AV7210" t="s">
        <v>69</v>
      </c>
      <c r="AW7210" s="1">
        <v>31089</v>
      </c>
      <c r="AX7210">
        <v>1</v>
      </c>
    </row>
    <row r="7211" spans="1:50">
      <c r="A7211">
        <v>604569</v>
      </c>
      <c r="B7211" t="str">
        <f>"070991484"</f>
        <v>070991484</v>
      </c>
      <c r="C7211" t="s">
        <v>50</v>
      </c>
      <c r="D7211" t="s">
        <v>11589</v>
      </c>
      <c r="E7211" t="s">
        <v>600</v>
      </c>
      <c r="F7211" t="s">
        <v>4097</v>
      </c>
      <c r="G7211" t="s">
        <v>473</v>
      </c>
      <c r="H7211" t="str">
        <f>" "</f>
        <v xml:space="preserve"> </v>
      </c>
      <c r="J7211">
        <v>2810230604</v>
      </c>
      <c r="N7211" t="s">
        <v>615</v>
      </c>
      <c r="O7211" t="s">
        <v>616</v>
      </c>
      <c r="R7211" t="s">
        <v>57</v>
      </c>
      <c r="S7211">
        <v>7</v>
      </c>
      <c r="T7211">
        <v>231</v>
      </c>
      <c r="U7211" s="1">
        <v>38230</v>
      </c>
      <c r="V7211" t="s">
        <v>80</v>
      </c>
      <c r="W7211" t="s">
        <v>81</v>
      </c>
      <c r="X7211" t="s">
        <v>58</v>
      </c>
      <c r="Y7211">
        <v>22</v>
      </c>
      <c r="Z7211" t="s">
        <v>59</v>
      </c>
      <c r="AA7211" t="s">
        <v>59</v>
      </c>
      <c r="AB7211" t="s">
        <v>59</v>
      </c>
      <c r="AC7211" t="s">
        <v>59</v>
      </c>
      <c r="AD7211" t="s">
        <v>59</v>
      </c>
      <c r="AF7211" s="1">
        <v>38231</v>
      </c>
      <c r="AG7211" t="s">
        <v>8645</v>
      </c>
      <c r="AH7211" t="s">
        <v>8646</v>
      </c>
      <c r="AI7211" t="str">
        <f>"9170197"</f>
        <v>9170197</v>
      </c>
      <c r="AJ7211" t="s">
        <v>8989</v>
      </c>
      <c r="AK7211">
        <v>2810232577</v>
      </c>
      <c r="AL7211" t="s">
        <v>8990</v>
      </c>
      <c r="AM7211" t="s">
        <v>78</v>
      </c>
      <c r="AN7211" t="s">
        <v>78</v>
      </c>
      <c r="AO7211" t="s">
        <v>78</v>
      </c>
      <c r="AP7211" t="s">
        <v>163</v>
      </c>
      <c r="AQ7211">
        <v>1</v>
      </c>
      <c r="AR7211" t="s">
        <v>80</v>
      </c>
      <c r="AS7211" t="s">
        <v>81</v>
      </c>
      <c r="AT7211" t="s">
        <v>58</v>
      </c>
      <c r="AU7211" t="s">
        <v>68</v>
      </c>
      <c r="AV7211" t="s">
        <v>69</v>
      </c>
      <c r="AW7211" s="1">
        <v>27253</v>
      </c>
      <c r="AX7211">
        <v>1</v>
      </c>
    </row>
    <row r="7212" spans="1:50">
      <c r="B7212" t="str">
        <f>"132345104"</f>
        <v>132345104</v>
      </c>
      <c r="C7212" t="s">
        <v>50</v>
      </c>
      <c r="D7212" t="s">
        <v>11589</v>
      </c>
      <c r="E7212" t="s">
        <v>727</v>
      </c>
      <c r="F7212" t="s">
        <v>95</v>
      </c>
      <c r="G7212" t="s">
        <v>215</v>
      </c>
      <c r="H7212" t="str">
        <f>"ΓΙΟΥΧΤΑ 3 ΚΗΠΟΥΠΟΛΗ"</f>
        <v>ΓΙΟΥΧΤΑ 3 ΚΗΠΟΥΠΟΛΗ</v>
      </c>
      <c r="I7212">
        <v>71307</v>
      </c>
      <c r="J7212">
        <v>2810230915</v>
      </c>
      <c r="K7212">
        <v>6946678168</v>
      </c>
      <c r="M7212" t="s">
        <v>11590</v>
      </c>
      <c r="N7212" t="s">
        <v>615</v>
      </c>
      <c r="O7212" t="s">
        <v>616</v>
      </c>
      <c r="R7212" t="s">
        <v>159</v>
      </c>
      <c r="S7212">
        <v>5</v>
      </c>
      <c r="T7212" t="s">
        <v>8675</v>
      </c>
      <c r="U7212" s="1">
        <v>43348</v>
      </c>
      <c r="V7212" t="s">
        <v>80</v>
      </c>
      <c r="W7212" t="s">
        <v>81</v>
      </c>
      <c r="X7212" t="s">
        <v>58</v>
      </c>
      <c r="Y7212">
        <v>24</v>
      </c>
      <c r="Z7212" t="s">
        <v>59</v>
      </c>
      <c r="AA7212" t="s">
        <v>59</v>
      </c>
      <c r="AB7212" t="s">
        <v>59</v>
      </c>
      <c r="AC7212" t="s">
        <v>59</v>
      </c>
      <c r="AD7212" t="s">
        <v>59</v>
      </c>
      <c r="AF7212" s="1">
        <v>43348</v>
      </c>
      <c r="AG7212" t="s">
        <v>8645</v>
      </c>
      <c r="AH7212" t="s">
        <v>8646</v>
      </c>
      <c r="AI7212" t="str">
        <f>"9170055"</f>
        <v>9170055</v>
      </c>
      <c r="AJ7212" t="s">
        <v>8836</v>
      </c>
      <c r="AK7212">
        <v>2810255097</v>
      </c>
      <c r="AL7212" t="s">
        <v>8837</v>
      </c>
      <c r="AM7212" t="s">
        <v>78</v>
      </c>
      <c r="AN7212" t="s">
        <v>78</v>
      </c>
      <c r="AO7212" t="s">
        <v>78</v>
      </c>
      <c r="AP7212" t="s">
        <v>141</v>
      </c>
      <c r="AQ7212">
        <v>1</v>
      </c>
      <c r="AR7212" t="s">
        <v>80</v>
      </c>
      <c r="AS7212" t="s">
        <v>81</v>
      </c>
      <c r="AT7212" t="s">
        <v>58</v>
      </c>
      <c r="AU7212" t="s">
        <v>8673</v>
      </c>
      <c r="AV7212" t="s">
        <v>132</v>
      </c>
      <c r="AW7212" s="1">
        <v>32244</v>
      </c>
      <c r="AX7212">
        <v>1</v>
      </c>
    </row>
    <row r="7213" spans="1:50">
      <c r="A7213">
        <v>205602</v>
      </c>
      <c r="B7213" t="str">
        <f>"078966709"</f>
        <v>078966709</v>
      </c>
      <c r="C7213" t="s">
        <v>50</v>
      </c>
      <c r="D7213" t="s">
        <v>11591</v>
      </c>
      <c r="E7213" t="s">
        <v>191</v>
      </c>
      <c r="F7213" t="s">
        <v>3049</v>
      </c>
      <c r="G7213" t="s">
        <v>250</v>
      </c>
      <c r="H7213" t="str">
        <f>"ΒΥΖΑΝΤΙΟΥ 12 Ν. ΑΛΙΚΑΡΝΑΣΣΟΣ ΗΡΑΚΛΕΙΟΥ"</f>
        <v>ΒΥΖΑΝΤΙΟΥ 12 Ν. ΑΛΙΚΑΡΝΑΣΣΟΣ ΗΡΑΚΛΕΙΟΥ</v>
      </c>
      <c r="I7213">
        <v>71601</v>
      </c>
      <c r="J7213">
        <v>2810227963</v>
      </c>
      <c r="K7213">
        <v>6972601109</v>
      </c>
      <c r="L7213">
        <v>2810227962</v>
      </c>
      <c r="N7213" t="s">
        <v>204</v>
      </c>
      <c r="O7213" t="s">
        <v>205</v>
      </c>
      <c r="R7213" t="s">
        <v>57</v>
      </c>
      <c r="S7213">
        <v>7</v>
      </c>
      <c r="T7213">
        <v>231</v>
      </c>
      <c r="U7213" s="1">
        <v>38230</v>
      </c>
      <c r="V7213" t="s">
        <v>80</v>
      </c>
      <c r="W7213" t="s">
        <v>81</v>
      </c>
      <c r="X7213" t="s">
        <v>58</v>
      </c>
      <c r="Y7213">
        <v>23</v>
      </c>
      <c r="Z7213" t="s">
        <v>59</v>
      </c>
      <c r="AA7213" t="s">
        <v>59</v>
      </c>
      <c r="AB7213" t="s">
        <v>59</v>
      </c>
      <c r="AC7213" t="s">
        <v>59</v>
      </c>
      <c r="AD7213" t="s">
        <v>59</v>
      </c>
      <c r="AF7213" s="1">
        <v>38231</v>
      </c>
      <c r="AG7213" t="s">
        <v>8645</v>
      </c>
      <c r="AH7213" t="s">
        <v>8646</v>
      </c>
      <c r="AI7213" t="str">
        <f>"9170017"</f>
        <v>9170017</v>
      </c>
      <c r="AJ7213" t="s">
        <v>9114</v>
      </c>
      <c r="AK7213">
        <v>2810250746</v>
      </c>
      <c r="AL7213" t="s">
        <v>9115</v>
      </c>
      <c r="AM7213" t="s">
        <v>78</v>
      </c>
      <c r="AN7213" t="s">
        <v>129</v>
      </c>
      <c r="AO7213" t="s">
        <v>130</v>
      </c>
      <c r="AP7213" t="s">
        <v>130</v>
      </c>
      <c r="AQ7213">
        <v>1</v>
      </c>
      <c r="AR7213" t="s">
        <v>80</v>
      </c>
      <c r="AS7213" t="s">
        <v>81</v>
      </c>
      <c r="AT7213" t="s">
        <v>58</v>
      </c>
      <c r="AU7213" t="s">
        <v>68</v>
      </c>
      <c r="AV7213" t="s">
        <v>69</v>
      </c>
      <c r="AW7213" s="1">
        <v>28053</v>
      </c>
      <c r="AX7213">
        <v>1</v>
      </c>
    </row>
    <row r="7214" spans="1:50">
      <c r="A7214">
        <v>587794</v>
      </c>
      <c r="B7214" t="str">
        <f>"038742387"</f>
        <v>038742387</v>
      </c>
      <c r="C7214" t="s">
        <v>50</v>
      </c>
      <c r="D7214" t="s">
        <v>11592</v>
      </c>
      <c r="E7214" t="s">
        <v>964</v>
      </c>
      <c r="F7214" t="s">
        <v>53</v>
      </c>
      <c r="G7214" t="s">
        <v>52</v>
      </c>
      <c r="H7214" t="str">
        <f>"ΤΑΓΜΑΤΑΡΧΗ ΓΙΑΚΟΥΜΑΚΗ 29 ΗΡΑΚΛΕΙΟ"</f>
        <v>ΤΑΓΜΑΤΑΡΧΗ ΓΙΑΚΟΥΜΑΚΗ 29 ΗΡΑΚΛΕΙΟ</v>
      </c>
      <c r="I7214">
        <v>71305</v>
      </c>
      <c r="J7214">
        <v>2810233889</v>
      </c>
      <c r="K7214">
        <v>6937103044</v>
      </c>
      <c r="N7214" t="s">
        <v>306</v>
      </c>
      <c r="O7214" t="s">
        <v>307</v>
      </c>
      <c r="R7214" t="s">
        <v>57</v>
      </c>
      <c r="S7214">
        <v>9</v>
      </c>
      <c r="T7214" t="s">
        <v>11593</v>
      </c>
      <c r="U7214" s="1">
        <v>36142</v>
      </c>
      <c r="V7214" t="s">
        <v>80</v>
      </c>
      <c r="W7214" t="s">
        <v>81</v>
      </c>
      <c r="X7214" t="s">
        <v>58</v>
      </c>
      <c r="Y7214">
        <v>22</v>
      </c>
      <c r="Z7214" t="s">
        <v>59</v>
      </c>
      <c r="AA7214" t="s">
        <v>59</v>
      </c>
      <c r="AB7214" t="s">
        <v>59</v>
      </c>
      <c r="AC7214" t="s">
        <v>59</v>
      </c>
      <c r="AD7214" t="s">
        <v>59</v>
      </c>
      <c r="AF7214" s="1">
        <v>36174</v>
      </c>
      <c r="AG7214" t="s">
        <v>8645</v>
      </c>
      <c r="AH7214" t="s">
        <v>8646</v>
      </c>
      <c r="AI7214" t="str">
        <f>"9170048"</f>
        <v>9170048</v>
      </c>
      <c r="AJ7214" t="s">
        <v>8977</v>
      </c>
      <c r="AK7214">
        <v>2810283303</v>
      </c>
      <c r="AL7214" t="s">
        <v>8978</v>
      </c>
      <c r="AM7214" t="s">
        <v>78</v>
      </c>
      <c r="AN7214" t="s">
        <v>78</v>
      </c>
      <c r="AO7214" t="s">
        <v>78</v>
      </c>
      <c r="AP7214" t="s">
        <v>79</v>
      </c>
      <c r="AQ7214">
        <v>1</v>
      </c>
      <c r="AR7214" t="s">
        <v>80</v>
      </c>
      <c r="AS7214" t="s">
        <v>81</v>
      </c>
      <c r="AT7214" t="s">
        <v>58</v>
      </c>
      <c r="AU7214" t="s">
        <v>68</v>
      </c>
      <c r="AV7214" t="s">
        <v>69</v>
      </c>
      <c r="AW7214" s="1">
        <v>24934</v>
      </c>
      <c r="AX7214">
        <v>1</v>
      </c>
    </row>
    <row r="7215" spans="1:50">
      <c r="B7215" t="str">
        <f>"137050536"</f>
        <v>137050536</v>
      </c>
      <c r="C7215" t="s">
        <v>50</v>
      </c>
      <c r="D7215" t="s">
        <v>11594</v>
      </c>
      <c r="E7215" t="s">
        <v>52</v>
      </c>
      <c r="F7215" t="s">
        <v>72</v>
      </c>
      <c r="G7215" t="s">
        <v>215</v>
      </c>
      <c r="H7215" t="str">
        <f>"ΑΡΙΣΤΟΤΕΛΟΥΣ 141 "</f>
        <v xml:space="preserve">ΑΡΙΣΤΟΤΕΛΟΥΣ 141 </v>
      </c>
      <c r="I7215">
        <v>59033</v>
      </c>
      <c r="N7215" t="s">
        <v>615</v>
      </c>
      <c r="O7215" t="s">
        <v>616</v>
      </c>
      <c r="R7215" t="s">
        <v>159</v>
      </c>
      <c r="S7215">
        <v>3</v>
      </c>
      <c r="T7215" t="s">
        <v>8675</v>
      </c>
      <c r="U7215" s="1">
        <v>43348</v>
      </c>
      <c r="V7215" t="s">
        <v>80</v>
      </c>
      <c r="W7215" t="s">
        <v>81</v>
      </c>
      <c r="X7215" t="s">
        <v>58</v>
      </c>
      <c r="Y7215">
        <v>24</v>
      </c>
      <c r="Z7215" t="s">
        <v>59</v>
      </c>
      <c r="AA7215" t="s">
        <v>59</v>
      </c>
      <c r="AB7215" t="s">
        <v>59</v>
      </c>
      <c r="AC7215" t="s">
        <v>59</v>
      </c>
      <c r="AD7215" t="s">
        <v>59</v>
      </c>
      <c r="AF7215" s="1">
        <v>43348</v>
      </c>
      <c r="AG7215" t="s">
        <v>8645</v>
      </c>
      <c r="AH7215" t="s">
        <v>8646</v>
      </c>
      <c r="AI7215" t="str">
        <f>"9170536"</f>
        <v>9170536</v>
      </c>
      <c r="AJ7215" t="s">
        <v>8740</v>
      </c>
      <c r="AK7215">
        <v>2892051187</v>
      </c>
      <c r="AL7215" t="s">
        <v>8741</v>
      </c>
      <c r="AM7215" t="s">
        <v>78</v>
      </c>
      <c r="AN7215" t="s">
        <v>242</v>
      </c>
      <c r="AO7215" t="s">
        <v>349</v>
      </c>
      <c r="AP7215" t="s">
        <v>349</v>
      </c>
      <c r="AQ7215">
        <v>19</v>
      </c>
      <c r="AR7215" t="s">
        <v>80</v>
      </c>
      <c r="AS7215" t="s">
        <v>81</v>
      </c>
      <c r="AT7215" t="s">
        <v>58</v>
      </c>
      <c r="AU7215" t="s">
        <v>8673</v>
      </c>
      <c r="AV7215" t="s">
        <v>132</v>
      </c>
      <c r="AW7215" s="1">
        <v>31164</v>
      </c>
      <c r="AX7215">
        <v>1</v>
      </c>
    </row>
    <row r="7216" spans="1:50">
      <c r="B7216" t="str">
        <f>"149596315"</f>
        <v>149596315</v>
      </c>
      <c r="C7216" t="s">
        <v>50</v>
      </c>
      <c r="D7216" t="s">
        <v>11595</v>
      </c>
      <c r="E7216" t="s">
        <v>11596</v>
      </c>
      <c r="F7216" t="s">
        <v>84</v>
      </c>
      <c r="G7216" t="s">
        <v>96</v>
      </c>
      <c r="H7216" t="str">
        <f>" "</f>
        <v xml:space="preserve"> </v>
      </c>
      <c r="K7216">
        <v>6981829288</v>
      </c>
      <c r="N7216" t="s">
        <v>8834</v>
      </c>
      <c r="O7216" t="s">
        <v>8695</v>
      </c>
      <c r="R7216" t="s">
        <v>121</v>
      </c>
      <c r="S7216">
        <v>3</v>
      </c>
      <c r="T7216" t="s">
        <v>8835</v>
      </c>
      <c r="U7216" s="1">
        <v>43348</v>
      </c>
      <c r="V7216" t="s">
        <v>80</v>
      </c>
      <c r="W7216" t="s">
        <v>81</v>
      </c>
      <c r="X7216" t="s">
        <v>58</v>
      </c>
      <c r="Y7216">
        <v>24</v>
      </c>
      <c r="Z7216" t="s">
        <v>59</v>
      </c>
      <c r="AA7216" t="s">
        <v>59</v>
      </c>
      <c r="AB7216" t="s">
        <v>59</v>
      </c>
      <c r="AD7216" t="s">
        <v>59</v>
      </c>
      <c r="AF7216" s="1">
        <v>43348</v>
      </c>
      <c r="AG7216" t="s">
        <v>8645</v>
      </c>
      <c r="AH7216" t="s">
        <v>8646</v>
      </c>
      <c r="AI7216" t="str">
        <f>"9170263"</f>
        <v>9170263</v>
      </c>
      <c r="AJ7216" t="s">
        <v>8942</v>
      </c>
      <c r="AK7216">
        <v>2810346939</v>
      </c>
      <c r="AL7216" t="s">
        <v>8943</v>
      </c>
      <c r="AM7216" t="s">
        <v>78</v>
      </c>
      <c r="AN7216" t="s">
        <v>78</v>
      </c>
      <c r="AO7216" t="s">
        <v>286</v>
      </c>
      <c r="AP7216" t="s">
        <v>286</v>
      </c>
      <c r="AQ7216">
        <v>1</v>
      </c>
      <c r="AR7216" t="s">
        <v>80</v>
      </c>
      <c r="AS7216" t="s">
        <v>81</v>
      </c>
      <c r="AT7216" t="s">
        <v>58</v>
      </c>
      <c r="AU7216" t="s">
        <v>131</v>
      </c>
      <c r="AV7216" t="s">
        <v>132</v>
      </c>
      <c r="AW7216" s="1">
        <v>33826</v>
      </c>
      <c r="AX7216">
        <v>1</v>
      </c>
    </row>
    <row r="7217" spans="1:50">
      <c r="B7217" t="str">
        <f>"129265210"</f>
        <v>129265210</v>
      </c>
      <c r="C7217" t="s">
        <v>105</v>
      </c>
      <c r="D7217" t="s">
        <v>11597</v>
      </c>
      <c r="E7217" t="s">
        <v>95</v>
      </c>
      <c r="F7217" t="s">
        <v>995</v>
      </c>
      <c r="G7217" t="s">
        <v>263</v>
      </c>
      <c r="H7217" t="str">
        <f>"ΦΑΝΑΡΙΟΥ  31 "</f>
        <v xml:space="preserve">ΦΑΝΑΡΙΟΥ  31 </v>
      </c>
      <c r="I7217">
        <v>65404</v>
      </c>
      <c r="J7217">
        <v>2510243376</v>
      </c>
      <c r="K7217">
        <v>6943071466</v>
      </c>
      <c r="N7217" t="s">
        <v>8694</v>
      </c>
      <c r="O7217" t="s">
        <v>8695</v>
      </c>
      <c r="R7217" t="s">
        <v>159</v>
      </c>
      <c r="S7217">
        <v>4</v>
      </c>
      <c r="T7217" t="s">
        <v>8835</v>
      </c>
      <c r="U7217" s="1">
        <v>43348</v>
      </c>
      <c r="V7217" t="s">
        <v>80</v>
      </c>
      <c r="W7217" t="s">
        <v>81</v>
      </c>
      <c r="X7217" t="s">
        <v>58</v>
      </c>
      <c r="Y7217">
        <v>24</v>
      </c>
      <c r="Z7217" t="s">
        <v>59</v>
      </c>
      <c r="AA7217" t="s">
        <v>59</v>
      </c>
      <c r="AB7217" t="s">
        <v>59</v>
      </c>
      <c r="AC7217" t="s">
        <v>59</v>
      </c>
      <c r="AD7217" t="s">
        <v>59</v>
      </c>
      <c r="AF7217" s="1">
        <v>43348</v>
      </c>
      <c r="AG7217" t="s">
        <v>8645</v>
      </c>
      <c r="AH7217" t="s">
        <v>8646</v>
      </c>
      <c r="AI7217" t="str">
        <f>"9170102"</f>
        <v>9170102</v>
      </c>
      <c r="AJ7217" t="s">
        <v>9019</v>
      </c>
      <c r="AK7217">
        <v>2810283938</v>
      </c>
      <c r="AL7217" t="s">
        <v>9020</v>
      </c>
      <c r="AM7217" t="s">
        <v>78</v>
      </c>
      <c r="AN7217" t="s">
        <v>78</v>
      </c>
      <c r="AO7217" t="s">
        <v>78</v>
      </c>
      <c r="AP7217" t="s">
        <v>79</v>
      </c>
      <c r="AQ7217">
        <v>1</v>
      </c>
      <c r="AR7217" t="s">
        <v>80</v>
      </c>
      <c r="AS7217" t="s">
        <v>81</v>
      </c>
      <c r="AT7217" t="s">
        <v>58</v>
      </c>
      <c r="AU7217" t="s">
        <v>131</v>
      </c>
      <c r="AV7217" t="s">
        <v>132</v>
      </c>
      <c r="AW7217" s="1">
        <v>32278</v>
      </c>
      <c r="AX7217">
        <v>1</v>
      </c>
    </row>
    <row r="7218" spans="1:50">
      <c r="B7218" t="str">
        <f>"078295448"</f>
        <v>078295448</v>
      </c>
      <c r="C7218" t="s">
        <v>50</v>
      </c>
      <c r="D7218" t="s">
        <v>4037</v>
      </c>
      <c r="E7218" t="s">
        <v>513</v>
      </c>
      <c r="F7218" t="s">
        <v>99</v>
      </c>
      <c r="G7218" t="s">
        <v>5041</v>
      </c>
      <c r="H7218" t="str">
        <f>"ΑΣΗΜΙ ΜΟΝΟΦΑΤΣΙΟΥ ΗΡΑΚΛΕΙΟΥ ΑΣΗΜΙ"</f>
        <v>ΑΣΗΜΙ ΜΟΝΟΦΑΤΣΙΟΥ ΗΡΑΚΛΕΙΟΥ ΑΣΗΜΙ</v>
      </c>
      <c r="I7218">
        <v>70016</v>
      </c>
      <c r="J7218">
        <v>2893031225</v>
      </c>
      <c r="K7218">
        <v>6984757499</v>
      </c>
      <c r="N7218" t="s">
        <v>1525</v>
      </c>
      <c r="O7218" t="s">
        <v>1526</v>
      </c>
      <c r="R7218" t="s">
        <v>57</v>
      </c>
      <c r="S7218">
        <v>4</v>
      </c>
      <c r="T7218" t="s">
        <v>8670</v>
      </c>
      <c r="U7218" s="1">
        <v>43348</v>
      </c>
      <c r="V7218" t="s">
        <v>80</v>
      </c>
      <c r="W7218" t="s">
        <v>81</v>
      </c>
      <c r="X7218" t="s">
        <v>58</v>
      </c>
      <c r="Y7218">
        <v>25</v>
      </c>
      <c r="Z7218" t="s">
        <v>59</v>
      </c>
      <c r="AA7218" t="s">
        <v>59</v>
      </c>
      <c r="AB7218" t="s">
        <v>59</v>
      </c>
      <c r="AC7218" t="s">
        <v>59</v>
      </c>
      <c r="AD7218" t="s">
        <v>59</v>
      </c>
      <c r="AF7218" s="1">
        <v>43348</v>
      </c>
      <c r="AG7218" t="s">
        <v>8651</v>
      </c>
      <c r="AH7218" t="s">
        <v>8652</v>
      </c>
      <c r="AI7218" t="str">
        <f>"9170370"</f>
        <v>9170370</v>
      </c>
      <c r="AJ7218" t="s">
        <v>10901</v>
      </c>
      <c r="AK7218">
        <v>2893022070</v>
      </c>
      <c r="AL7218" t="s">
        <v>10902</v>
      </c>
      <c r="AM7218" t="s">
        <v>78</v>
      </c>
      <c r="AN7218" t="s">
        <v>424</v>
      </c>
      <c r="AO7218" t="s">
        <v>577</v>
      </c>
      <c r="AP7218" t="s">
        <v>578</v>
      </c>
      <c r="AQ7218">
        <v>10</v>
      </c>
      <c r="AR7218" t="s">
        <v>80</v>
      </c>
      <c r="AS7218" t="s">
        <v>81</v>
      </c>
      <c r="AT7218" t="s">
        <v>58</v>
      </c>
      <c r="AU7218" t="s">
        <v>8673</v>
      </c>
      <c r="AV7218" t="s">
        <v>132</v>
      </c>
      <c r="AW7218" s="1">
        <v>27355</v>
      </c>
      <c r="AX7218">
        <v>1</v>
      </c>
    </row>
    <row r="7219" spans="1:50">
      <c r="A7219">
        <v>611461</v>
      </c>
      <c r="B7219" t="str">
        <f>"064553302"</f>
        <v>064553302</v>
      </c>
      <c r="C7219" t="s">
        <v>50</v>
      </c>
      <c r="D7219" t="s">
        <v>4037</v>
      </c>
      <c r="E7219" t="s">
        <v>396</v>
      </c>
      <c r="F7219" t="s">
        <v>95</v>
      </c>
      <c r="G7219" t="s">
        <v>352</v>
      </c>
      <c r="H7219" t="str">
        <f>"ΛΕΒΗΝΟΥ 64 ΗΡΑΚΛΕΙΟ"</f>
        <v>ΛΕΒΗΝΟΥ 64 ΗΡΑΚΛΕΙΟ</v>
      </c>
      <c r="I7219">
        <v>71304</v>
      </c>
      <c r="J7219">
        <v>2810261774</v>
      </c>
      <c r="K7219">
        <v>6945527411</v>
      </c>
      <c r="N7219" t="s">
        <v>1525</v>
      </c>
      <c r="O7219" t="s">
        <v>1526</v>
      </c>
      <c r="R7219" t="s">
        <v>57</v>
      </c>
      <c r="S7219">
        <v>7</v>
      </c>
      <c r="T7219">
        <v>233</v>
      </c>
      <c r="U7219" s="1">
        <v>38960</v>
      </c>
      <c r="V7219" t="s">
        <v>80</v>
      </c>
      <c r="W7219" t="s">
        <v>81</v>
      </c>
      <c r="X7219" t="s">
        <v>58</v>
      </c>
      <c r="Y7219">
        <v>25</v>
      </c>
      <c r="Z7219" t="s">
        <v>59</v>
      </c>
      <c r="AA7219" t="s">
        <v>59</v>
      </c>
      <c r="AB7219" t="s">
        <v>59</v>
      </c>
      <c r="AC7219" t="s">
        <v>59</v>
      </c>
      <c r="AD7219" t="s">
        <v>59</v>
      </c>
      <c r="AF7219" s="1">
        <v>38961</v>
      </c>
      <c r="AG7219" t="s">
        <v>8651</v>
      </c>
      <c r="AH7219" t="s">
        <v>8652</v>
      </c>
      <c r="AI7219" t="str">
        <f>"9170393"</f>
        <v>9170393</v>
      </c>
      <c r="AJ7219" t="s">
        <v>11598</v>
      </c>
      <c r="AK7219">
        <v>2810314741</v>
      </c>
      <c r="AL7219" t="s">
        <v>11599</v>
      </c>
      <c r="AM7219" t="s">
        <v>78</v>
      </c>
      <c r="AN7219" t="s">
        <v>78</v>
      </c>
      <c r="AO7219" t="s">
        <v>78</v>
      </c>
      <c r="AP7219" t="s">
        <v>141</v>
      </c>
      <c r="AQ7219">
        <v>1</v>
      </c>
      <c r="AR7219" t="s">
        <v>80</v>
      </c>
      <c r="AS7219" t="s">
        <v>81</v>
      </c>
      <c r="AT7219" t="s">
        <v>58</v>
      </c>
      <c r="AU7219" t="s">
        <v>68</v>
      </c>
      <c r="AV7219" t="s">
        <v>69</v>
      </c>
      <c r="AW7219" s="1">
        <v>27523</v>
      </c>
      <c r="AX7219">
        <v>1</v>
      </c>
    </row>
    <row r="7220" spans="1:50">
      <c r="B7220" t="str">
        <f>"132329811"</f>
        <v>132329811</v>
      </c>
      <c r="C7220" t="s">
        <v>50</v>
      </c>
      <c r="D7220" t="s">
        <v>4037</v>
      </c>
      <c r="E7220" t="s">
        <v>250</v>
      </c>
      <c r="F7220" t="s">
        <v>377</v>
      </c>
      <c r="G7220" t="s">
        <v>191</v>
      </c>
      <c r="H7220" t="str">
        <f>"ΣΚΛΑΒΟΚΑΜΠΟΥ 89 "</f>
        <v xml:space="preserve">ΣΚΛΑΒΟΚΑΜΠΟΥ 89 </v>
      </c>
      <c r="I7220">
        <v>71306</v>
      </c>
      <c r="J7220">
        <v>2810236049</v>
      </c>
      <c r="K7220">
        <v>6945431784</v>
      </c>
      <c r="N7220" t="s">
        <v>1525</v>
      </c>
      <c r="O7220" t="s">
        <v>1526</v>
      </c>
      <c r="R7220" t="s">
        <v>159</v>
      </c>
      <c r="S7220">
        <v>3</v>
      </c>
      <c r="T7220" t="s">
        <v>8670</v>
      </c>
      <c r="U7220" s="1">
        <v>43348</v>
      </c>
      <c r="V7220" t="s">
        <v>80</v>
      </c>
      <c r="W7220" t="s">
        <v>81</v>
      </c>
      <c r="X7220" t="s">
        <v>58</v>
      </c>
      <c r="Y7220">
        <v>25</v>
      </c>
      <c r="Z7220" t="s">
        <v>59</v>
      </c>
      <c r="AA7220" t="s">
        <v>59</v>
      </c>
      <c r="AB7220" t="s">
        <v>59</v>
      </c>
      <c r="AC7220" t="s">
        <v>59</v>
      </c>
      <c r="AD7220" t="s">
        <v>59</v>
      </c>
      <c r="AF7220" s="1">
        <v>43348</v>
      </c>
      <c r="AG7220" t="s">
        <v>8651</v>
      </c>
      <c r="AH7220" t="s">
        <v>8652</v>
      </c>
      <c r="AI7220" t="str">
        <f>"9170110"</f>
        <v>9170110</v>
      </c>
      <c r="AJ7220" t="s">
        <v>10273</v>
      </c>
      <c r="AK7220">
        <v>2810282944</v>
      </c>
      <c r="AL7220" t="s">
        <v>10274</v>
      </c>
      <c r="AM7220" t="s">
        <v>78</v>
      </c>
      <c r="AN7220" t="s">
        <v>78</v>
      </c>
      <c r="AO7220" t="s">
        <v>78</v>
      </c>
      <c r="AP7220" t="s">
        <v>79</v>
      </c>
      <c r="AQ7220">
        <v>1</v>
      </c>
      <c r="AR7220" t="s">
        <v>80</v>
      </c>
      <c r="AS7220" t="s">
        <v>81</v>
      </c>
      <c r="AT7220" t="s">
        <v>58</v>
      </c>
      <c r="AU7220" t="s">
        <v>8673</v>
      </c>
      <c r="AV7220" t="s">
        <v>132</v>
      </c>
      <c r="AW7220" s="1">
        <v>30669</v>
      </c>
      <c r="AX7220">
        <v>1</v>
      </c>
    </row>
    <row r="7221" spans="1:50">
      <c r="B7221" t="str">
        <f>"125990453"</f>
        <v>125990453</v>
      </c>
      <c r="C7221" t="s">
        <v>50</v>
      </c>
      <c r="D7221" t="s">
        <v>4037</v>
      </c>
      <c r="E7221" t="s">
        <v>2845</v>
      </c>
      <c r="F7221" t="s">
        <v>166</v>
      </c>
      <c r="G7221" t="s">
        <v>237</v>
      </c>
      <c r="H7221" t="str">
        <f>"ΓΟΥΒΕΣ ΠΕΔΙΑΔΟΣ "</f>
        <v xml:space="preserve">ΓΟΥΒΕΣ ΠΕΔΙΑΔΟΣ </v>
      </c>
      <c r="I7221">
        <v>70014</v>
      </c>
      <c r="J7221">
        <v>2897041985</v>
      </c>
      <c r="K7221">
        <v>6937216258</v>
      </c>
      <c r="M7221" t="s">
        <v>11600</v>
      </c>
      <c r="N7221" t="s">
        <v>384</v>
      </c>
      <c r="O7221" t="s">
        <v>385</v>
      </c>
      <c r="R7221" t="s">
        <v>159</v>
      </c>
      <c r="S7221">
        <v>3</v>
      </c>
      <c r="T7221" t="s">
        <v>8675</v>
      </c>
      <c r="U7221" s="1">
        <v>43348</v>
      </c>
      <c r="V7221" t="s">
        <v>80</v>
      </c>
      <c r="W7221" t="s">
        <v>81</v>
      </c>
      <c r="X7221" t="s">
        <v>58</v>
      </c>
      <c r="Y7221">
        <v>24</v>
      </c>
      <c r="Z7221" t="s">
        <v>59</v>
      </c>
      <c r="AA7221" t="s">
        <v>59</v>
      </c>
      <c r="AB7221" t="s">
        <v>59</v>
      </c>
      <c r="AC7221" t="s">
        <v>59</v>
      </c>
      <c r="AD7221" t="s">
        <v>59</v>
      </c>
      <c r="AF7221" s="1">
        <v>43348</v>
      </c>
      <c r="AG7221" t="s">
        <v>8645</v>
      </c>
      <c r="AH7221" t="s">
        <v>8646</v>
      </c>
      <c r="AI7221" t="str">
        <f>"9170264"</f>
        <v>9170264</v>
      </c>
      <c r="AJ7221" t="s">
        <v>8718</v>
      </c>
      <c r="AK7221">
        <v>2810332030</v>
      </c>
      <c r="AL7221" t="s">
        <v>8719</v>
      </c>
      <c r="AM7221" t="s">
        <v>78</v>
      </c>
      <c r="AN7221" t="s">
        <v>78</v>
      </c>
      <c r="AO7221" t="s">
        <v>286</v>
      </c>
      <c r="AP7221" t="s">
        <v>286</v>
      </c>
      <c r="AQ7221">
        <v>1</v>
      </c>
      <c r="AR7221" t="s">
        <v>80</v>
      </c>
      <c r="AS7221" t="s">
        <v>81</v>
      </c>
      <c r="AT7221" t="s">
        <v>58</v>
      </c>
      <c r="AU7221" t="s">
        <v>8673</v>
      </c>
      <c r="AV7221" t="s">
        <v>132</v>
      </c>
      <c r="AW7221" s="1">
        <v>31778</v>
      </c>
      <c r="AX7221">
        <v>1</v>
      </c>
    </row>
    <row r="7222" spans="1:50">
      <c r="A7222">
        <v>594276</v>
      </c>
      <c r="B7222" t="str">
        <f>"055225124"</f>
        <v>055225124</v>
      </c>
      <c r="C7222" t="s">
        <v>50</v>
      </c>
      <c r="D7222" t="s">
        <v>4037</v>
      </c>
      <c r="E7222" t="s">
        <v>255</v>
      </c>
      <c r="F7222" t="s">
        <v>1328</v>
      </c>
      <c r="G7222" t="s">
        <v>143</v>
      </c>
      <c r="H7222" t="str">
        <f>" Θερμοπυλών 12 Αγιος Βασίλειος"</f>
        <v xml:space="preserve"> Θερμοπυλών 12 Αγιος Βασίλειος</v>
      </c>
      <c r="J7222">
        <v>2610995993</v>
      </c>
      <c r="K7222">
        <v>6976085677</v>
      </c>
      <c r="M7222" t="s">
        <v>11601</v>
      </c>
      <c r="N7222" t="s">
        <v>615</v>
      </c>
      <c r="O7222" t="s">
        <v>616</v>
      </c>
      <c r="R7222" t="s">
        <v>57</v>
      </c>
      <c r="S7222">
        <v>8</v>
      </c>
      <c r="T7222">
        <v>218</v>
      </c>
      <c r="U7222" s="1">
        <v>37134</v>
      </c>
      <c r="V7222" t="s">
        <v>80</v>
      </c>
      <c r="W7222" t="s">
        <v>81</v>
      </c>
      <c r="X7222" t="s">
        <v>58</v>
      </c>
      <c r="Y7222">
        <v>22</v>
      </c>
      <c r="Z7222" t="s">
        <v>59</v>
      </c>
      <c r="AA7222" t="s">
        <v>59</v>
      </c>
      <c r="AB7222" t="s">
        <v>59</v>
      </c>
      <c r="AC7222" t="s">
        <v>59</v>
      </c>
      <c r="AD7222" t="s">
        <v>59</v>
      </c>
      <c r="AF7222" s="1">
        <v>37137</v>
      </c>
      <c r="AG7222" t="s">
        <v>8645</v>
      </c>
      <c r="AH7222" t="s">
        <v>8646</v>
      </c>
      <c r="AI7222" t="str">
        <f>"9170516"</f>
        <v>9170516</v>
      </c>
      <c r="AJ7222" t="s">
        <v>8746</v>
      </c>
      <c r="AK7222">
        <v>2810236861</v>
      </c>
      <c r="AL7222" t="s">
        <v>8747</v>
      </c>
      <c r="AM7222" t="s">
        <v>78</v>
      </c>
      <c r="AN7222" t="s">
        <v>78</v>
      </c>
      <c r="AO7222" t="s">
        <v>78</v>
      </c>
      <c r="AP7222" t="s">
        <v>163</v>
      </c>
      <c r="AQ7222">
        <v>1</v>
      </c>
      <c r="AR7222" t="s">
        <v>80</v>
      </c>
      <c r="AS7222" t="s">
        <v>81</v>
      </c>
      <c r="AT7222" t="s">
        <v>58</v>
      </c>
      <c r="AU7222" t="s">
        <v>68</v>
      </c>
      <c r="AV7222" t="s">
        <v>69</v>
      </c>
      <c r="AW7222" s="1">
        <v>24884</v>
      </c>
      <c r="AX7222">
        <v>1</v>
      </c>
    </row>
    <row r="7223" spans="1:50">
      <c r="A7223">
        <v>607879</v>
      </c>
      <c r="B7223" t="str">
        <f>"132990086"</f>
        <v>132990086</v>
      </c>
      <c r="C7223" t="s">
        <v>50</v>
      </c>
      <c r="D7223" t="s">
        <v>4037</v>
      </c>
      <c r="E7223" t="s">
        <v>181</v>
      </c>
      <c r="F7223" t="s">
        <v>95</v>
      </c>
      <c r="G7223" t="s">
        <v>52</v>
      </c>
      <c r="H7223" t="str">
        <f>" "</f>
        <v xml:space="preserve"> </v>
      </c>
      <c r="J7223">
        <v>2810260662</v>
      </c>
      <c r="K7223">
        <v>6973219850</v>
      </c>
      <c r="N7223" t="s">
        <v>615</v>
      </c>
      <c r="O7223" t="s">
        <v>616</v>
      </c>
      <c r="R7223" t="s">
        <v>57</v>
      </c>
      <c r="S7223">
        <v>7</v>
      </c>
      <c r="T7223">
        <v>217</v>
      </c>
      <c r="U7223" s="1">
        <v>38596</v>
      </c>
      <c r="V7223" t="s">
        <v>80</v>
      </c>
      <c r="W7223" t="s">
        <v>81</v>
      </c>
      <c r="X7223" t="s">
        <v>58</v>
      </c>
      <c r="Y7223">
        <v>23</v>
      </c>
      <c r="Z7223" t="s">
        <v>59</v>
      </c>
      <c r="AA7223" t="s">
        <v>59</v>
      </c>
      <c r="AB7223" t="s">
        <v>59</v>
      </c>
      <c r="AC7223" t="s">
        <v>59</v>
      </c>
      <c r="AD7223" t="s">
        <v>59</v>
      </c>
      <c r="AF7223" s="1">
        <v>38600</v>
      </c>
      <c r="AG7223" t="s">
        <v>8645</v>
      </c>
      <c r="AH7223" t="s">
        <v>8646</v>
      </c>
      <c r="AI7223" t="str">
        <f>"9170197"</f>
        <v>9170197</v>
      </c>
      <c r="AJ7223" t="s">
        <v>8989</v>
      </c>
      <c r="AK7223">
        <v>2810232577</v>
      </c>
      <c r="AL7223" t="s">
        <v>8990</v>
      </c>
      <c r="AM7223" t="s">
        <v>78</v>
      </c>
      <c r="AN7223" t="s">
        <v>78</v>
      </c>
      <c r="AO7223" t="s">
        <v>78</v>
      </c>
      <c r="AP7223" t="s">
        <v>163</v>
      </c>
      <c r="AQ7223">
        <v>1</v>
      </c>
      <c r="AR7223" t="s">
        <v>80</v>
      </c>
      <c r="AS7223" t="s">
        <v>81</v>
      </c>
      <c r="AT7223" t="s">
        <v>58</v>
      </c>
      <c r="AU7223" t="s">
        <v>68</v>
      </c>
      <c r="AV7223" t="s">
        <v>69</v>
      </c>
      <c r="AW7223" s="1">
        <v>29640</v>
      </c>
      <c r="AX7223">
        <v>1</v>
      </c>
    </row>
    <row r="7224" spans="1:50">
      <c r="A7224">
        <v>590818</v>
      </c>
      <c r="B7224" t="str">
        <f>"072597673"</f>
        <v>072597673</v>
      </c>
      <c r="C7224" t="s">
        <v>50</v>
      </c>
      <c r="D7224" t="s">
        <v>4052</v>
      </c>
      <c r="E7224" t="s">
        <v>237</v>
      </c>
      <c r="F7224" t="s">
        <v>154</v>
      </c>
      <c r="G7224" t="s">
        <v>52</v>
      </c>
      <c r="H7224" t="str">
        <f>"ΑΝΕΜΩΝΗΣ 4 ΗΡΑΚΛΕΙΟ"</f>
        <v>ΑΝΕΜΩΝΗΣ 4 ΗΡΑΚΛΕΙΟ</v>
      </c>
      <c r="I7224">
        <v>71409</v>
      </c>
      <c r="J7224">
        <v>2810313347</v>
      </c>
      <c r="K7224">
        <v>6996313345</v>
      </c>
      <c r="M7224" t="s">
        <v>11602</v>
      </c>
      <c r="N7224" t="s">
        <v>615</v>
      </c>
      <c r="O7224" t="s">
        <v>616</v>
      </c>
      <c r="R7224" t="s">
        <v>57</v>
      </c>
      <c r="S7224">
        <v>11</v>
      </c>
      <c r="T7224">
        <v>249</v>
      </c>
      <c r="U7224" s="1">
        <v>36769</v>
      </c>
      <c r="V7224" t="s">
        <v>80</v>
      </c>
      <c r="W7224" t="s">
        <v>81</v>
      </c>
      <c r="X7224" t="s">
        <v>58</v>
      </c>
      <c r="Y7224">
        <v>21</v>
      </c>
      <c r="Z7224" t="s">
        <v>59</v>
      </c>
      <c r="AA7224" t="s">
        <v>59</v>
      </c>
      <c r="AB7224" t="s">
        <v>59</v>
      </c>
      <c r="AC7224" t="s">
        <v>59</v>
      </c>
      <c r="AD7224" t="s">
        <v>59</v>
      </c>
      <c r="AF7224" s="1">
        <v>36770</v>
      </c>
      <c r="AG7224" t="s">
        <v>8645</v>
      </c>
      <c r="AH7224" t="s">
        <v>8646</v>
      </c>
      <c r="AI7224" t="str">
        <f>"9170192"</f>
        <v>9170192</v>
      </c>
      <c r="AJ7224" t="s">
        <v>8661</v>
      </c>
      <c r="AK7224">
        <v>2810231985</v>
      </c>
      <c r="AL7224" t="s">
        <v>8662</v>
      </c>
      <c r="AM7224" t="s">
        <v>78</v>
      </c>
      <c r="AN7224" t="s">
        <v>78</v>
      </c>
      <c r="AO7224" t="s">
        <v>78</v>
      </c>
      <c r="AP7224" t="s">
        <v>163</v>
      </c>
      <c r="AQ7224">
        <v>1</v>
      </c>
      <c r="AR7224" t="s">
        <v>80</v>
      </c>
      <c r="AS7224" t="s">
        <v>81</v>
      </c>
      <c r="AT7224" t="s">
        <v>58</v>
      </c>
      <c r="AU7224" t="s">
        <v>68</v>
      </c>
      <c r="AV7224" t="s">
        <v>69</v>
      </c>
      <c r="AW7224" s="1">
        <v>24735</v>
      </c>
      <c r="AX7224">
        <v>1</v>
      </c>
    </row>
    <row r="7225" spans="1:50">
      <c r="A7225">
        <v>575466</v>
      </c>
      <c r="B7225" t="str">
        <f>"054106101"</f>
        <v>054106101</v>
      </c>
      <c r="C7225" t="s">
        <v>50</v>
      </c>
      <c r="D7225" t="s">
        <v>4052</v>
      </c>
      <c r="E7225" t="s">
        <v>699</v>
      </c>
      <c r="F7225" t="s">
        <v>377</v>
      </c>
      <c r="G7225" t="s">
        <v>134</v>
      </c>
      <c r="H7225" t="str">
        <f>"ΦΙΛΙΚΗΣ ΕΤΑΙΡΙΑΣ 19 ΗΡΑΚΛΕΙΟ"</f>
        <v>ΦΙΛΙΚΗΣ ΕΤΑΙΡΙΑΣ 19 ΗΡΑΚΛΕΙΟ</v>
      </c>
      <c r="I7225">
        <v>71307</v>
      </c>
      <c r="J7225">
        <v>2810242177</v>
      </c>
      <c r="K7225">
        <v>6955481168</v>
      </c>
      <c r="M7225" t="s">
        <v>11603</v>
      </c>
      <c r="N7225" t="s">
        <v>615</v>
      </c>
      <c r="O7225" t="s">
        <v>616</v>
      </c>
      <c r="R7225" t="s">
        <v>57</v>
      </c>
      <c r="S7225">
        <v>12</v>
      </c>
      <c r="T7225">
        <v>184</v>
      </c>
      <c r="U7225" s="1">
        <v>34941</v>
      </c>
      <c r="V7225" t="s">
        <v>80</v>
      </c>
      <c r="W7225" t="s">
        <v>81</v>
      </c>
      <c r="X7225" t="s">
        <v>58</v>
      </c>
      <c r="Y7225">
        <v>21</v>
      </c>
      <c r="Z7225" t="s">
        <v>59</v>
      </c>
      <c r="AA7225" t="s">
        <v>59</v>
      </c>
      <c r="AB7225" t="s">
        <v>59</v>
      </c>
      <c r="AC7225" t="s">
        <v>59</v>
      </c>
      <c r="AD7225" t="s">
        <v>59</v>
      </c>
      <c r="AF7225" s="1">
        <v>34943</v>
      </c>
      <c r="AG7225" t="s">
        <v>8645</v>
      </c>
      <c r="AH7225" t="s">
        <v>8646</v>
      </c>
      <c r="AI7225" t="str">
        <f>"9170254"</f>
        <v>9170254</v>
      </c>
      <c r="AJ7225" t="s">
        <v>9839</v>
      </c>
      <c r="AK7225">
        <v>2810245069</v>
      </c>
      <c r="AL7225" t="s">
        <v>9840</v>
      </c>
      <c r="AM7225" t="s">
        <v>78</v>
      </c>
      <c r="AN7225" t="s">
        <v>78</v>
      </c>
      <c r="AO7225" t="s">
        <v>78</v>
      </c>
      <c r="AP7225" t="s">
        <v>213</v>
      </c>
      <c r="AQ7225">
        <v>1</v>
      </c>
      <c r="AR7225" t="s">
        <v>80</v>
      </c>
      <c r="AS7225" t="s">
        <v>81</v>
      </c>
      <c r="AT7225" t="s">
        <v>58</v>
      </c>
      <c r="AU7225" t="s">
        <v>68</v>
      </c>
      <c r="AV7225" t="s">
        <v>69</v>
      </c>
      <c r="AW7225" s="1">
        <v>24914</v>
      </c>
      <c r="AX7225">
        <v>1</v>
      </c>
    </row>
    <row r="7226" spans="1:50">
      <c r="A7226">
        <v>609703</v>
      </c>
      <c r="B7226" t="str">
        <f>"115059060"</f>
        <v>115059060</v>
      </c>
      <c r="C7226" t="s">
        <v>50</v>
      </c>
      <c r="D7226" t="s">
        <v>11604</v>
      </c>
      <c r="E7226" t="s">
        <v>250</v>
      </c>
      <c r="F7226" t="s">
        <v>99</v>
      </c>
      <c r="G7226" t="s">
        <v>714</v>
      </c>
      <c r="H7226" t="str">
        <f>"ΠΑΠΑΠΕΤΡΟΥ ΓΑΒΑΛΑ 68Β ΗΡΑΚΛΕΙΟ"</f>
        <v>ΠΑΠΑΠΕΤΡΟΥ ΓΑΒΑΛΑ 68Β ΗΡΑΚΛΕΙΟ</v>
      </c>
      <c r="I7226">
        <v>71409</v>
      </c>
      <c r="J7226">
        <v>2810324858</v>
      </c>
      <c r="K7226">
        <v>6945318030</v>
      </c>
      <c r="M7226" t="s">
        <v>11605</v>
      </c>
      <c r="N7226" t="s">
        <v>176</v>
      </c>
      <c r="O7226" t="s">
        <v>177</v>
      </c>
      <c r="R7226" t="s">
        <v>57</v>
      </c>
      <c r="S7226">
        <v>7</v>
      </c>
      <c r="T7226">
        <v>225</v>
      </c>
      <c r="U7226" s="1">
        <v>38604</v>
      </c>
      <c r="V7226" t="s">
        <v>80</v>
      </c>
      <c r="W7226" t="s">
        <v>81</v>
      </c>
      <c r="X7226" t="s">
        <v>58</v>
      </c>
      <c r="Y7226">
        <v>23</v>
      </c>
      <c r="Z7226" t="s">
        <v>59</v>
      </c>
      <c r="AA7226" t="s">
        <v>59</v>
      </c>
      <c r="AB7226" t="s">
        <v>59</v>
      </c>
      <c r="AC7226" t="s">
        <v>59</v>
      </c>
      <c r="AD7226" t="s">
        <v>59</v>
      </c>
      <c r="AF7226" s="1">
        <v>38609</v>
      </c>
      <c r="AG7226" t="s">
        <v>8645</v>
      </c>
      <c r="AH7226" t="s">
        <v>8646</v>
      </c>
      <c r="AI7226" t="str">
        <f>"9170525"</f>
        <v>9170525</v>
      </c>
      <c r="AJ7226" t="s">
        <v>8853</v>
      </c>
      <c r="AK7226">
        <v>2810256547</v>
      </c>
      <c r="AL7226" t="s">
        <v>8854</v>
      </c>
      <c r="AM7226" t="s">
        <v>78</v>
      </c>
      <c r="AN7226" t="s">
        <v>78</v>
      </c>
      <c r="AO7226" t="s">
        <v>78</v>
      </c>
      <c r="AP7226" t="s">
        <v>141</v>
      </c>
      <c r="AQ7226">
        <v>1</v>
      </c>
      <c r="AR7226" t="s">
        <v>80</v>
      </c>
      <c r="AS7226" t="s">
        <v>81</v>
      </c>
      <c r="AT7226" t="s">
        <v>58</v>
      </c>
      <c r="AU7226" t="s">
        <v>68</v>
      </c>
      <c r="AV7226" t="s">
        <v>69</v>
      </c>
      <c r="AW7226" s="1">
        <v>28366</v>
      </c>
      <c r="AX7226">
        <v>1</v>
      </c>
    </row>
    <row r="7227" spans="1:50">
      <c r="A7227">
        <v>613264</v>
      </c>
      <c r="B7227" t="str">
        <f>"103510592"</f>
        <v>103510592</v>
      </c>
      <c r="C7227" t="s">
        <v>50</v>
      </c>
      <c r="D7227" t="s">
        <v>11606</v>
      </c>
      <c r="E7227" t="s">
        <v>54</v>
      </c>
      <c r="F7227" t="s">
        <v>95</v>
      </c>
      <c r="G7227" t="s">
        <v>73</v>
      </c>
      <c r="H7227" t="str">
        <f>"ΒΡΙΟΥΛΩΝ 51 ΗΡΑΚΛΕΙΟ -ΚΡΗΤΗ"</f>
        <v>ΒΡΙΟΥΛΩΝ 51 ΗΡΑΚΛΕΙΟ -ΚΡΗΤΗ</v>
      </c>
      <c r="I7227">
        <v>71306</v>
      </c>
      <c r="J7227">
        <v>2810360402</v>
      </c>
      <c r="K7227">
        <v>6939433570</v>
      </c>
      <c r="N7227" t="s">
        <v>615</v>
      </c>
      <c r="O7227" t="s">
        <v>616</v>
      </c>
      <c r="R7227" t="s">
        <v>57</v>
      </c>
      <c r="S7227">
        <v>6</v>
      </c>
      <c r="T7227">
        <v>598</v>
      </c>
      <c r="U7227" s="1">
        <v>39310</v>
      </c>
      <c r="V7227" t="s">
        <v>80</v>
      </c>
      <c r="W7227" t="s">
        <v>81</v>
      </c>
      <c r="X7227" t="s">
        <v>58</v>
      </c>
      <c r="Y7227">
        <v>23</v>
      </c>
      <c r="Z7227" t="s">
        <v>59</v>
      </c>
      <c r="AA7227" t="s">
        <v>59</v>
      </c>
      <c r="AB7227" t="s">
        <v>59</v>
      </c>
      <c r="AC7227" t="s">
        <v>59</v>
      </c>
      <c r="AD7227" t="s">
        <v>59</v>
      </c>
      <c r="AF7227" s="1">
        <v>39328</v>
      </c>
      <c r="AG7227" t="s">
        <v>8645</v>
      </c>
      <c r="AH7227" t="s">
        <v>8646</v>
      </c>
      <c r="AI7227" t="str">
        <f>"9170108"</f>
        <v>9170108</v>
      </c>
      <c r="AJ7227" t="s">
        <v>8863</v>
      </c>
      <c r="AK7227">
        <v>2810232111</v>
      </c>
      <c r="AL7227" t="s">
        <v>8864</v>
      </c>
      <c r="AM7227" t="s">
        <v>78</v>
      </c>
      <c r="AN7227" t="s">
        <v>78</v>
      </c>
      <c r="AO7227" t="s">
        <v>78</v>
      </c>
      <c r="AP7227" t="s">
        <v>163</v>
      </c>
      <c r="AQ7227">
        <v>1</v>
      </c>
      <c r="AR7227" t="s">
        <v>80</v>
      </c>
      <c r="AS7227" t="s">
        <v>81</v>
      </c>
      <c r="AT7227" t="s">
        <v>58</v>
      </c>
      <c r="AU7227" t="s">
        <v>68</v>
      </c>
      <c r="AV7227" t="s">
        <v>69</v>
      </c>
      <c r="AW7227" s="1">
        <v>29339</v>
      </c>
      <c r="AX7227">
        <v>1</v>
      </c>
    </row>
    <row r="7228" spans="1:50">
      <c r="A7228">
        <v>622831</v>
      </c>
      <c r="B7228" t="str">
        <f>"118949731"</f>
        <v>118949731</v>
      </c>
      <c r="C7228" t="s">
        <v>50</v>
      </c>
      <c r="D7228" t="s">
        <v>11607</v>
      </c>
      <c r="E7228" t="s">
        <v>250</v>
      </c>
      <c r="F7228" t="s">
        <v>53</v>
      </c>
      <c r="G7228" t="s">
        <v>314</v>
      </c>
      <c r="H7228" t="str">
        <f>"ΑΓΙΟΥ ΜΕΘΟΔΙΟΥ 6 ΗΡΑΚΛΕΙΟ"</f>
        <v>ΑΓΙΟΥ ΜΕΘΟΔΙΟΥ 6 ΗΡΑΚΛΕΙΟ</v>
      </c>
      <c r="I7228">
        <v>71410</v>
      </c>
      <c r="J7228">
        <v>2810260343</v>
      </c>
      <c r="K7228">
        <v>6956206938</v>
      </c>
      <c r="N7228" t="s">
        <v>1525</v>
      </c>
      <c r="O7228" t="s">
        <v>1526</v>
      </c>
      <c r="R7228" t="s">
        <v>57</v>
      </c>
      <c r="S7228">
        <v>4</v>
      </c>
      <c r="T7228">
        <v>653</v>
      </c>
      <c r="U7228" s="1">
        <v>40043</v>
      </c>
      <c r="V7228" t="s">
        <v>80</v>
      </c>
      <c r="W7228" t="s">
        <v>81</v>
      </c>
      <c r="X7228" t="s">
        <v>58</v>
      </c>
      <c r="Y7228">
        <v>25</v>
      </c>
      <c r="Z7228" t="s">
        <v>59</v>
      </c>
      <c r="AA7228" t="s">
        <v>59</v>
      </c>
      <c r="AB7228" t="s">
        <v>59</v>
      </c>
      <c r="AC7228" t="s">
        <v>59</v>
      </c>
      <c r="AD7228" t="s">
        <v>59</v>
      </c>
      <c r="AF7228" s="1">
        <v>40043</v>
      </c>
      <c r="AG7228" t="s">
        <v>8651</v>
      </c>
      <c r="AH7228" t="s">
        <v>8652</v>
      </c>
      <c r="AI7228" t="str">
        <f>"9521128"</f>
        <v>9521128</v>
      </c>
      <c r="AJ7228" t="s">
        <v>11608</v>
      </c>
      <c r="AK7228">
        <v>2810310918</v>
      </c>
      <c r="AL7228" t="s">
        <v>11609</v>
      </c>
      <c r="AM7228" t="s">
        <v>78</v>
      </c>
      <c r="AN7228" t="s">
        <v>78</v>
      </c>
      <c r="AO7228" t="s">
        <v>78</v>
      </c>
      <c r="AP7228" t="s">
        <v>141</v>
      </c>
      <c r="AQ7228">
        <v>1</v>
      </c>
      <c r="AR7228" t="s">
        <v>80</v>
      </c>
      <c r="AS7228" t="s">
        <v>81</v>
      </c>
      <c r="AT7228" t="s">
        <v>58</v>
      </c>
      <c r="AU7228" t="s">
        <v>68</v>
      </c>
      <c r="AV7228" t="s">
        <v>69</v>
      </c>
      <c r="AW7228" s="1">
        <v>30495</v>
      </c>
      <c r="AX7228">
        <v>1</v>
      </c>
    </row>
    <row r="7229" spans="1:50">
      <c r="A7229">
        <v>607659</v>
      </c>
      <c r="B7229" t="str">
        <f>"134553240"</f>
        <v>134553240</v>
      </c>
      <c r="C7229" t="s">
        <v>50</v>
      </c>
      <c r="D7229" t="s">
        <v>11610</v>
      </c>
      <c r="E7229" t="s">
        <v>52</v>
      </c>
      <c r="F7229" t="s">
        <v>450</v>
      </c>
      <c r="G7229" t="s">
        <v>513</v>
      </c>
      <c r="H7229" t="str">
        <f>"ΑΒΕΡΩΦ 3 ΔΡΑΜΑ"</f>
        <v>ΑΒΕΡΩΦ 3 ΔΡΑΜΑ</v>
      </c>
      <c r="I7229">
        <v>66100</v>
      </c>
      <c r="J7229">
        <v>2521034015</v>
      </c>
      <c r="K7229">
        <v>6977047158</v>
      </c>
      <c r="M7229" t="s">
        <v>11611</v>
      </c>
      <c r="N7229" t="s">
        <v>615</v>
      </c>
      <c r="O7229" t="s">
        <v>616</v>
      </c>
      <c r="R7229" t="s">
        <v>57</v>
      </c>
      <c r="S7229">
        <v>6</v>
      </c>
      <c r="T7229" t="s">
        <v>9361</v>
      </c>
      <c r="U7229" s="1">
        <v>38596</v>
      </c>
      <c r="V7229" t="s">
        <v>80</v>
      </c>
      <c r="W7229" t="s">
        <v>81</v>
      </c>
      <c r="X7229" t="s">
        <v>58</v>
      </c>
      <c r="Y7229">
        <v>23</v>
      </c>
      <c r="Z7229" t="s">
        <v>59</v>
      </c>
      <c r="AA7229" t="s">
        <v>59</v>
      </c>
      <c r="AB7229" t="s">
        <v>59</v>
      </c>
      <c r="AC7229" t="s">
        <v>59</v>
      </c>
      <c r="AD7229" t="s">
        <v>59</v>
      </c>
      <c r="AF7229" s="1">
        <v>38600</v>
      </c>
      <c r="AG7229" t="s">
        <v>8645</v>
      </c>
      <c r="AH7229" t="s">
        <v>8646</v>
      </c>
      <c r="AI7229" t="str">
        <f>"9170338"</f>
        <v>9170338</v>
      </c>
      <c r="AJ7229" t="s">
        <v>8849</v>
      </c>
      <c r="AK7229">
        <v>2892051377</v>
      </c>
      <c r="AL7229" t="s">
        <v>8850</v>
      </c>
      <c r="AM7229" t="s">
        <v>78</v>
      </c>
      <c r="AN7229" t="s">
        <v>242</v>
      </c>
      <c r="AO7229" t="s">
        <v>349</v>
      </c>
      <c r="AP7229" t="s">
        <v>349</v>
      </c>
      <c r="AQ7229">
        <v>19</v>
      </c>
      <c r="AR7229" t="s">
        <v>80</v>
      </c>
      <c r="AS7229" t="s">
        <v>81</v>
      </c>
      <c r="AT7229" t="s">
        <v>58</v>
      </c>
      <c r="AU7229" t="s">
        <v>68</v>
      </c>
      <c r="AV7229" t="s">
        <v>69</v>
      </c>
      <c r="AW7229" s="1">
        <v>30141</v>
      </c>
      <c r="AX7229">
        <v>1</v>
      </c>
    </row>
    <row r="7230" spans="1:50">
      <c r="B7230" t="str">
        <f>"137069315"</f>
        <v>137069315</v>
      </c>
      <c r="C7230" t="s">
        <v>50</v>
      </c>
      <c r="D7230" t="s">
        <v>11612</v>
      </c>
      <c r="E7230" t="s">
        <v>534</v>
      </c>
      <c r="F7230" t="s">
        <v>202</v>
      </c>
      <c r="G7230" t="s">
        <v>181</v>
      </c>
      <c r="H7230" t="str">
        <f>" "</f>
        <v xml:space="preserve"> </v>
      </c>
      <c r="N7230" t="s">
        <v>615</v>
      </c>
      <c r="O7230" t="s">
        <v>616</v>
      </c>
      <c r="R7230" t="s">
        <v>159</v>
      </c>
      <c r="S7230">
        <v>3</v>
      </c>
      <c r="T7230" t="s">
        <v>8675</v>
      </c>
      <c r="U7230" s="1">
        <v>43348</v>
      </c>
      <c r="V7230" t="s">
        <v>80</v>
      </c>
      <c r="W7230" t="s">
        <v>81</v>
      </c>
      <c r="X7230" t="s">
        <v>58</v>
      </c>
      <c r="Y7230">
        <v>24</v>
      </c>
      <c r="Z7230" t="s">
        <v>59</v>
      </c>
      <c r="AA7230" t="s">
        <v>59</v>
      </c>
      <c r="AB7230" t="s">
        <v>59</v>
      </c>
      <c r="AD7230" t="s">
        <v>59</v>
      </c>
      <c r="AF7230" s="1">
        <v>43348</v>
      </c>
      <c r="AG7230" t="s">
        <v>8645</v>
      </c>
      <c r="AH7230" t="s">
        <v>8646</v>
      </c>
      <c r="AI7230" t="str">
        <f>"9170285"</f>
        <v>9170285</v>
      </c>
      <c r="AJ7230" t="s">
        <v>9186</v>
      </c>
      <c r="AK7230">
        <v>2894031223</v>
      </c>
      <c r="AL7230" t="s">
        <v>9187</v>
      </c>
      <c r="AM7230" t="s">
        <v>78</v>
      </c>
      <c r="AN7230" t="s">
        <v>242</v>
      </c>
      <c r="AO7230" t="s">
        <v>999</v>
      </c>
      <c r="AP7230" t="s">
        <v>999</v>
      </c>
      <c r="AQ7230">
        <v>21</v>
      </c>
      <c r="AR7230" t="s">
        <v>80</v>
      </c>
      <c r="AS7230" t="s">
        <v>81</v>
      </c>
      <c r="AT7230" t="s">
        <v>58</v>
      </c>
      <c r="AU7230" t="s">
        <v>8673</v>
      </c>
      <c r="AV7230" t="s">
        <v>132</v>
      </c>
      <c r="AW7230" s="1">
        <v>32646</v>
      </c>
      <c r="AX7230">
        <v>1</v>
      </c>
    </row>
    <row r="7231" spans="1:50">
      <c r="B7231" t="str">
        <f>"141223079"</f>
        <v>141223079</v>
      </c>
      <c r="C7231" t="s">
        <v>50</v>
      </c>
      <c r="D7231" t="s">
        <v>11613</v>
      </c>
      <c r="E7231" t="s">
        <v>783</v>
      </c>
      <c r="F7231" t="s">
        <v>95</v>
      </c>
      <c r="G7231" t="s">
        <v>181</v>
      </c>
      <c r="H7231" t="str">
        <f>" "</f>
        <v xml:space="preserve"> </v>
      </c>
      <c r="N7231" t="s">
        <v>306</v>
      </c>
      <c r="O7231" t="s">
        <v>307</v>
      </c>
      <c r="R7231" t="s">
        <v>121</v>
      </c>
      <c r="S7231">
        <v>3</v>
      </c>
      <c r="T7231" t="s">
        <v>8675</v>
      </c>
      <c r="U7231" s="1">
        <v>43348</v>
      </c>
      <c r="V7231" t="s">
        <v>80</v>
      </c>
      <c r="W7231" t="s">
        <v>81</v>
      </c>
      <c r="X7231" t="s">
        <v>58</v>
      </c>
      <c r="Y7231">
        <v>24</v>
      </c>
      <c r="Z7231" t="s">
        <v>59</v>
      </c>
      <c r="AA7231" t="s">
        <v>59</v>
      </c>
      <c r="AB7231" t="s">
        <v>59</v>
      </c>
      <c r="AD7231" t="s">
        <v>59</v>
      </c>
      <c r="AF7231" s="1">
        <v>43348</v>
      </c>
      <c r="AG7231" t="s">
        <v>8645</v>
      </c>
      <c r="AH7231" t="s">
        <v>8646</v>
      </c>
      <c r="AI7231" t="str">
        <f>"9170561"</f>
        <v>9170561</v>
      </c>
      <c r="AJ7231" t="s">
        <v>8708</v>
      </c>
      <c r="AK7231">
        <v>2891023609</v>
      </c>
      <c r="AL7231" t="s">
        <v>8709</v>
      </c>
      <c r="AM7231" t="s">
        <v>78</v>
      </c>
      <c r="AN7231" t="s">
        <v>276</v>
      </c>
      <c r="AO7231" t="s">
        <v>490</v>
      </c>
      <c r="AP7231" t="s">
        <v>490</v>
      </c>
      <c r="AQ7231">
        <v>12</v>
      </c>
      <c r="AR7231" t="s">
        <v>80</v>
      </c>
      <c r="AS7231" t="s">
        <v>81</v>
      </c>
      <c r="AT7231" t="s">
        <v>58</v>
      </c>
      <c r="AU7231" t="s">
        <v>8673</v>
      </c>
      <c r="AV7231" t="s">
        <v>132</v>
      </c>
      <c r="AW7231" s="1">
        <v>30776</v>
      </c>
      <c r="AX7231">
        <v>1</v>
      </c>
    </row>
    <row r="7232" spans="1:50">
      <c r="A7232">
        <v>544787</v>
      </c>
      <c r="B7232" t="str">
        <f>"103833290"</f>
        <v>103833290</v>
      </c>
      <c r="C7232" t="s">
        <v>50</v>
      </c>
      <c r="D7232" t="s">
        <v>11614</v>
      </c>
      <c r="E7232" t="s">
        <v>658</v>
      </c>
      <c r="F7232" t="s">
        <v>230</v>
      </c>
      <c r="G7232" t="s">
        <v>191</v>
      </c>
      <c r="H7232" t="str">
        <f>" "</f>
        <v xml:space="preserve"> </v>
      </c>
      <c r="J7232">
        <v>2811101603</v>
      </c>
      <c r="K7232">
        <v>6906944802</v>
      </c>
      <c r="N7232" t="s">
        <v>1525</v>
      </c>
      <c r="O7232" t="s">
        <v>1526</v>
      </c>
      <c r="R7232" t="s">
        <v>57</v>
      </c>
      <c r="S7232">
        <v>19</v>
      </c>
      <c r="T7232">
        <v>298</v>
      </c>
      <c r="U7232" s="1">
        <v>29503</v>
      </c>
      <c r="V7232" t="s">
        <v>80</v>
      </c>
      <c r="W7232" t="s">
        <v>81</v>
      </c>
      <c r="X7232" t="s">
        <v>58</v>
      </c>
      <c r="Y7232">
        <v>25</v>
      </c>
      <c r="Z7232" t="s">
        <v>59</v>
      </c>
      <c r="AA7232" t="s">
        <v>59</v>
      </c>
      <c r="AB7232" t="s">
        <v>59</v>
      </c>
      <c r="AC7232" t="s">
        <v>59</v>
      </c>
      <c r="AD7232" t="s">
        <v>59</v>
      </c>
      <c r="AF7232" s="1">
        <v>29510</v>
      </c>
      <c r="AG7232" t="s">
        <v>8651</v>
      </c>
      <c r="AH7232" t="s">
        <v>8652</v>
      </c>
      <c r="AI7232" t="str">
        <f>"9170509"</f>
        <v>9170509</v>
      </c>
      <c r="AJ7232" t="s">
        <v>9541</v>
      </c>
      <c r="AK7232">
        <v>2810324988</v>
      </c>
      <c r="AL7232" t="s">
        <v>9542</v>
      </c>
      <c r="AM7232" t="s">
        <v>78</v>
      </c>
      <c r="AN7232" t="s">
        <v>78</v>
      </c>
      <c r="AO7232" t="s">
        <v>78</v>
      </c>
      <c r="AP7232" t="s">
        <v>163</v>
      </c>
      <c r="AQ7232">
        <v>1</v>
      </c>
      <c r="AR7232" t="s">
        <v>80</v>
      </c>
      <c r="AS7232" t="s">
        <v>81</v>
      </c>
      <c r="AT7232" t="s">
        <v>58</v>
      </c>
      <c r="AU7232" t="s">
        <v>68</v>
      </c>
      <c r="AV7232" t="s">
        <v>69</v>
      </c>
      <c r="AW7232" s="1">
        <v>21180</v>
      </c>
      <c r="AX7232">
        <v>1</v>
      </c>
    </row>
    <row r="7233" spans="1:50">
      <c r="B7233" t="str">
        <f>"300445140"</f>
        <v>300445140</v>
      </c>
      <c r="C7233" t="s">
        <v>50</v>
      </c>
      <c r="D7233" t="s">
        <v>11615</v>
      </c>
      <c r="E7233" t="s">
        <v>237</v>
      </c>
      <c r="F7233" t="s">
        <v>72</v>
      </c>
      <c r="G7233" t="s">
        <v>2409</v>
      </c>
      <c r="H7233" t="str">
        <f>"ΠΑΡ. ΟΡΓΑΝΤΖΗ 26Β ΓΙΑΝΝΙΤΣΑ"</f>
        <v>ΠΑΡ. ΟΡΓΑΝΤΖΗ 26Β ΓΙΑΝΝΙΤΣΑ</v>
      </c>
      <c r="I7233">
        <v>58100</v>
      </c>
      <c r="J7233">
        <v>2382029619</v>
      </c>
      <c r="K7233">
        <v>6975853220</v>
      </c>
      <c r="N7233" t="s">
        <v>176</v>
      </c>
      <c r="O7233" t="s">
        <v>177</v>
      </c>
      <c r="R7233" t="s">
        <v>159</v>
      </c>
      <c r="S7233">
        <v>4</v>
      </c>
      <c r="T7233" t="s">
        <v>8675</v>
      </c>
      <c r="U7233" s="1">
        <v>43348</v>
      </c>
      <c r="V7233" t="s">
        <v>80</v>
      </c>
      <c r="W7233" t="s">
        <v>81</v>
      </c>
      <c r="X7233" t="s">
        <v>58</v>
      </c>
      <c r="Y7233">
        <v>24</v>
      </c>
      <c r="Z7233" t="s">
        <v>59</v>
      </c>
      <c r="AA7233" t="s">
        <v>59</v>
      </c>
      <c r="AB7233" t="s">
        <v>59</v>
      </c>
      <c r="AC7233" t="s">
        <v>59</v>
      </c>
      <c r="AD7233" t="s">
        <v>59</v>
      </c>
      <c r="AF7233" s="1">
        <v>43348</v>
      </c>
      <c r="AG7233" t="s">
        <v>8645</v>
      </c>
      <c r="AH7233" t="s">
        <v>8646</v>
      </c>
      <c r="AI7233" t="str">
        <f>"9170536"</f>
        <v>9170536</v>
      </c>
      <c r="AJ7233" t="s">
        <v>8740</v>
      </c>
      <c r="AK7233">
        <v>2892051187</v>
      </c>
      <c r="AL7233" t="s">
        <v>8741</v>
      </c>
      <c r="AM7233" t="s">
        <v>78</v>
      </c>
      <c r="AN7233" t="s">
        <v>242</v>
      </c>
      <c r="AO7233" t="s">
        <v>349</v>
      </c>
      <c r="AP7233" t="s">
        <v>349</v>
      </c>
      <c r="AQ7233">
        <v>19</v>
      </c>
      <c r="AR7233" t="s">
        <v>80</v>
      </c>
      <c r="AS7233" t="s">
        <v>81</v>
      </c>
      <c r="AT7233" t="s">
        <v>58</v>
      </c>
      <c r="AU7233" t="s">
        <v>8673</v>
      </c>
      <c r="AV7233" t="s">
        <v>132</v>
      </c>
      <c r="AW7233" s="1">
        <v>26877</v>
      </c>
      <c r="AX7233">
        <v>1</v>
      </c>
    </row>
    <row r="7234" spans="1:50">
      <c r="B7234" t="str">
        <f>"126311540"</f>
        <v>126311540</v>
      </c>
      <c r="C7234" t="s">
        <v>50</v>
      </c>
      <c r="D7234" t="s">
        <v>4061</v>
      </c>
      <c r="E7234" t="s">
        <v>11616</v>
      </c>
      <c r="F7234" t="s">
        <v>166</v>
      </c>
      <c r="G7234" t="s">
        <v>52</v>
      </c>
      <c r="H7234" t="str">
        <f>"Μ.ΚΟΥΔΟΥΜΑ 19 ΗΡΑΚΛΕΙΟ"</f>
        <v>Μ.ΚΟΥΔΟΥΜΑ 19 ΗΡΑΚΛΕΙΟ</v>
      </c>
      <c r="I7234">
        <v>71305</v>
      </c>
      <c r="J7234">
        <v>2815006799</v>
      </c>
      <c r="K7234">
        <v>6984604878</v>
      </c>
      <c r="N7234" t="s">
        <v>1525</v>
      </c>
      <c r="O7234" t="s">
        <v>1526</v>
      </c>
      <c r="R7234" t="s">
        <v>159</v>
      </c>
      <c r="S7234">
        <v>3</v>
      </c>
      <c r="T7234" t="s">
        <v>8670</v>
      </c>
      <c r="U7234" s="1">
        <v>43348</v>
      </c>
      <c r="V7234" t="s">
        <v>80</v>
      </c>
      <c r="W7234" t="s">
        <v>81</v>
      </c>
      <c r="X7234" t="s">
        <v>58</v>
      </c>
      <c r="Y7234">
        <v>25</v>
      </c>
      <c r="Z7234" t="s">
        <v>59</v>
      </c>
      <c r="AA7234" t="s">
        <v>59</v>
      </c>
      <c r="AB7234" t="s">
        <v>59</v>
      </c>
      <c r="AC7234" t="s">
        <v>59</v>
      </c>
      <c r="AD7234" t="s">
        <v>59</v>
      </c>
      <c r="AF7234" s="1">
        <v>43348</v>
      </c>
      <c r="AG7234" t="s">
        <v>8651</v>
      </c>
      <c r="AH7234" t="s">
        <v>8652</v>
      </c>
      <c r="AI7234" t="str">
        <f>"9170508"</f>
        <v>9170508</v>
      </c>
      <c r="AJ7234" t="s">
        <v>9073</v>
      </c>
      <c r="AK7234">
        <v>2810212076</v>
      </c>
      <c r="AL7234" t="s">
        <v>9074</v>
      </c>
      <c r="AM7234" t="s">
        <v>78</v>
      </c>
      <c r="AN7234" t="s">
        <v>78</v>
      </c>
      <c r="AO7234" t="s">
        <v>78</v>
      </c>
      <c r="AP7234" t="s">
        <v>163</v>
      </c>
      <c r="AQ7234">
        <v>1</v>
      </c>
      <c r="AR7234" t="s">
        <v>80</v>
      </c>
      <c r="AS7234" t="s">
        <v>81</v>
      </c>
      <c r="AT7234" t="s">
        <v>58</v>
      </c>
      <c r="AU7234" t="s">
        <v>8673</v>
      </c>
      <c r="AV7234" t="s">
        <v>132</v>
      </c>
      <c r="AW7234" s="1">
        <v>30714</v>
      </c>
      <c r="AX7234">
        <v>1</v>
      </c>
    </row>
    <row r="7235" spans="1:50">
      <c r="B7235" t="str">
        <f>"139962176"</f>
        <v>139962176</v>
      </c>
      <c r="C7235" t="s">
        <v>105</v>
      </c>
      <c r="D7235" t="s">
        <v>11617</v>
      </c>
      <c r="E7235" t="s">
        <v>279</v>
      </c>
      <c r="F7235" t="s">
        <v>3049</v>
      </c>
      <c r="G7235" t="s">
        <v>476</v>
      </c>
      <c r="H7235" t="str">
        <f>"ΚΩΝΣΤΑΝΤΙΝΟΥΠΟΛΕΩΣ 23 "</f>
        <v xml:space="preserve">ΚΩΝΣΤΑΝΤΙΝΟΥΠΟΛΕΩΣ 23 </v>
      </c>
      <c r="I7235">
        <v>57001</v>
      </c>
      <c r="J7235">
        <v>2310466787</v>
      </c>
      <c r="K7235">
        <v>6945891315</v>
      </c>
      <c r="N7235" t="s">
        <v>615</v>
      </c>
      <c r="O7235" t="s">
        <v>616</v>
      </c>
      <c r="R7235" t="s">
        <v>159</v>
      </c>
      <c r="S7235">
        <v>3</v>
      </c>
      <c r="T7235" t="s">
        <v>8675</v>
      </c>
      <c r="U7235" s="1">
        <v>43348</v>
      </c>
      <c r="V7235" t="s">
        <v>80</v>
      </c>
      <c r="W7235" t="s">
        <v>81</v>
      </c>
      <c r="X7235" t="s">
        <v>58</v>
      </c>
      <c r="Y7235">
        <v>24</v>
      </c>
      <c r="Z7235" t="s">
        <v>59</v>
      </c>
      <c r="AA7235" t="s">
        <v>59</v>
      </c>
      <c r="AB7235" t="s">
        <v>59</v>
      </c>
      <c r="AC7235" t="s">
        <v>59</v>
      </c>
      <c r="AD7235" t="s">
        <v>59</v>
      </c>
      <c r="AF7235" s="1">
        <v>43348</v>
      </c>
      <c r="AG7235" t="s">
        <v>8645</v>
      </c>
      <c r="AH7235" t="s">
        <v>8646</v>
      </c>
      <c r="AI7235" t="str">
        <f>"9170018"</f>
        <v>9170018</v>
      </c>
      <c r="AJ7235" t="s">
        <v>8924</v>
      </c>
      <c r="AK7235">
        <v>2810821217</v>
      </c>
      <c r="AL7235" t="s">
        <v>8925</v>
      </c>
      <c r="AM7235" t="s">
        <v>78</v>
      </c>
      <c r="AN7235" t="s">
        <v>129</v>
      </c>
      <c r="AO7235" t="s">
        <v>130</v>
      </c>
      <c r="AP7235" t="s">
        <v>130</v>
      </c>
      <c r="AQ7235">
        <v>1</v>
      </c>
      <c r="AR7235" t="s">
        <v>80</v>
      </c>
      <c r="AS7235" t="s">
        <v>81</v>
      </c>
      <c r="AT7235" t="s">
        <v>58</v>
      </c>
      <c r="AU7235" t="s">
        <v>8673</v>
      </c>
      <c r="AV7235" t="s">
        <v>132</v>
      </c>
      <c r="AW7235" s="1">
        <v>31712</v>
      </c>
      <c r="AX7235">
        <v>1</v>
      </c>
    </row>
    <row r="7236" spans="1:50">
      <c r="A7236">
        <v>562986</v>
      </c>
      <c r="B7236" t="str">
        <f>"032245777"</f>
        <v>032245777</v>
      </c>
      <c r="C7236" t="s">
        <v>50</v>
      </c>
      <c r="D7236" t="s">
        <v>11618</v>
      </c>
      <c r="E7236" t="s">
        <v>143</v>
      </c>
      <c r="F7236" t="s">
        <v>53</v>
      </c>
      <c r="G7236" t="s">
        <v>52</v>
      </c>
      <c r="H7236" t="str">
        <f>"ΑΝ. ΚΑΣΤΡΙΝΑΚΗ 30Α ΗΡΑΚΛΕΙΟΥ"</f>
        <v>ΑΝ. ΚΑΣΤΡΙΝΑΚΗ 30Α ΗΡΑΚΛΕΙΟΥ</v>
      </c>
      <c r="I7236">
        <v>71305</v>
      </c>
      <c r="J7236">
        <v>2810361514</v>
      </c>
      <c r="K7236">
        <v>6973545252</v>
      </c>
      <c r="M7236" t="s">
        <v>11619</v>
      </c>
      <c r="N7236" t="s">
        <v>615</v>
      </c>
      <c r="O7236" t="s">
        <v>616</v>
      </c>
      <c r="R7236" t="s">
        <v>57</v>
      </c>
      <c r="S7236">
        <v>15</v>
      </c>
      <c r="T7236">
        <v>187</v>
      </c>
      <c r="U7236" s="1">
        <v>32750</v>
      </c>
      <c r="V7236" t="s">
        <v>80</v>
      </c>
      <c r="W7236" t="s">
        <v>81</v>
      </c>
      <c r="X7236" t="s">
        <v>58</v>
      </c>
      <c r="Y7236">
        <v>21</v>
      </c>
      <c r="Z7236" t="s">
        <v>59</v>
      </c>
      <c r="AA7236" t="s">
        <v>59</v>
      </c>
      <c r="AB7236" t="s">
        <v>59</v>
      </c>
      <c r="AC7236" t="s">
        <v>59</v>
      </c>
      <c r="AD7236" t="s">
        <v>59</v>
      </c>
      <c r="AF7236" s="1">
        <v>32752</v>
      </c>
      <c r="AG7236" t="s">
        <v>8645</v>
      </c>
      <c r="AH7236" t="s">
        <v>8697</v>
      </c>
      <c r="AI7236" t="str">
        <f>"9170358"</f>
        <v>9170358</v>
      </c>
      <c r="AJ7236" t="s">
        <v>9378</v>
      </c>
      <c r="AK7236">
        <v>2810282028</v>
      </c>
      <c r="AL7236" t="s">
        <v>9379</v>
      </c>
      <c r="AM7236" t="s">
        <v>78</v>
      </c>
      <c r="AN7236" t="s">
        <v>78</v>
      </c>
      <c r="AO7236" t="s">
        <v>78</v>
      </c>
      <c r="AP7236" t="s">
        <v>141</v>
      </c>
      <c r="AQ7236">
        <v>1</v>
      </c>
      <c r="AR7236" t="s">
        <v>80</v>
      </c>
      <c r="AS7236" t="s">
        <v>81</v>
      </c>
      <c r="AT7236" t="s">
        <v>58</v>
      </c>
      <c r="AU7236" t="s">
        <v>68</v>
      </c>
      <c r="AV7236" t="s">
        <v>69</v>
      </c>
      <c r="AW7236" s="1">
        <v>22669</v>
      </c>
      <c r="AX7236">
        <v>1</v>
      </c>
    </row>
    <row r="7237" spans="1:50">
      <c r="B7237" t="str">
        <f>"145998780"</f>
        <v>145998780</v>
      </c>
      <c r="C7237" t="s">
        <v>105</v>
      </c>
      <c r="D7237" t="s">
        <v>6612</v>
      </c>
      <c r="E7237" t="s">
        <v>670</v>
      </c>
      <c r="F7237" t="s">
        <v>99</v>
      </c>
      <c r="G7237" t="s">
        <v>626</v>
      </c>
      <c r="H7237" t="str">
        <f>" "</f>
        <v xml:space="preserve"> </v>
      </c>
      <c r="K7237">
        <v>6976028847</v>
      </c>
      <c r="M7237" t="s">
        <v>11620</v>
      </c>
      <c r="N7237" t="s">
        <v>615</v>
      </c>
      <c r="O7237" t="s">
        <v>616</v>
      </c>
      <c r="R7237" t="s">
        <v>121</v>
      </c>
      <c r="S7237">
        <v>1</v>
      </c>
      <c r="T7237" t="s">
        <v>8717</v>
      </c>
      <c r="U7237" s="1">
        <v>43348</v>
      </c>
      <c r="V7237" t="s">
        <v>80</v>
      </c>
      <c r="W7237" t="s">
        <v>81</v>
      </c>
      <c r="X7237" t="s">
        <v>58</v>
      </c>
      <c r="Y7237">
        <v>24</v>
      </c>
      <c r="Z7237" t="s">
        <v>59</v>
      </c>
      <c r="AA7237" t="s">
        <v>59</v>
      </c>
      <c r="AB7237" t="s">
        <v>59</v>
      </c>
      <c r="AD7237" t="s">
        <v>59</v>
      </c>
      <c r="AF7237" s="1">
        <v>43348</v>
      </c>
      <c r="AG7237" t="s">
        <v>8645</v>
      </c>
      <c r="AH7237" t="s">
        <v>8646</v>
      </c>
      <c r="AI7237" t="str">
        <f>"9170525"</f>
        <v>9170525</v>
      </c>
      <c r="AJ7237" t="s">
        <v>8853</v>
      </c>
      <c r="AK7237">
        <v>2810256547</v>
      </c>
      <c r="AL7237" t="s">
        <v>8854</v>
      </c>
      <c r="AM7237" t="s">
        <v>78</v>
      </c>
      <c r="AN7237" t="s">
        <v>78</v>
      </c>
      <c r="AO7237" t="s">
        <v>78</v>
      </c>
      <c r="AP7237" t="s">
        <v>141</v>
      </c>
      <c r="AQ7237">
        <v>1</v>
      </c>
      <c r="AR7237" t="s">
        <v>80</v>
      </c>
      <c r="AS7237" t="s">
        <v>81</v>
      </c>
      <c r="AT7237" t="s">
        <v>58</v>
      </c>
      <c r="AU7237" t="s">
        <v>8720</v>
      </c>
      <c r="AV7237" t="s">
        <v>132</v>
      </c>
      <c r="AW7237" s="1">
        <v>32708</v>
      </c>
      <c r="AX7237">
        <v>1</v>
      </c>
    </row>
    <row r="7238" spans="1:50">
      <c r="A7238">
        <v>574925</v>
      </c>
      <c r="B7238" t="str">
        <f>"039057019"</f>
        <v>039057019</v>
      </c>
      <c r="C7238" t="s">
        <v>105</v>
      </c>
      <c r="D7238" t="s">
        <v>11621</v>
      </c>
      <c r="E7238" t="s">
        <v>1376</v>
      </c>
      <c r="F7238" t="s">
        <v>1336</v>
      </c>
      <c r="G7238" t="s">
        <v>181</v>
      </c>
      <c r="H7238" t="str">
        <f>"ΤΥΛΙΣΟΣ  ΤΥΛΙΣΟΣ ΗΡΑΚΛΕΙΟΥ"</f>
        <v>ΤΥΛΙΣΟΣ  ΤΥΛΙΣΟΣ ΗΡΑΚΛΕΙΟΥ</v>
      </c>
      <c r="I7238">
        <v>71500</v>
      </c>
      <c r="J7238">
        <v>2810831303</v>
      </c>
      <c r="K7238">
        <v>6945543550</v>
      </c>
      <c r="N7238" t="s">
        <v>176</v>
      </c>
      <c r="O7238" t="s">
        <v>177</v>
      </c>
      <c r="R7238" t="s">
        <v>57</v>
      </c>
      <c r="S7238">
        <v>13</v>
      </c>
      <c r="T7238" t="s">
        <v>11622</v>
      </c>
      <c r="U7238" s="1">
        <v>34582</v>
      </c>
      <c r="V7238" t="s">
        <v>80</v>
      </c>
      <c r="W7238" t="s">
        <v>81</v>
      </c>
      <c r="X7238" t="s">
        <v>58</v>
      </c>
      <c r="Y7238">
        <v>21</v>
      </c>
      <c r="Z7238" t="s">
        <v>59</v>
      </c>
      <c r="AA7238" t="s">
        <v>59</v>
      </c>
      <c r="AB7238" t="s">
        <v>59</v>
      </c>
      <c r="AC7238" t="s">
        <v>59</v>
      </c>
      <c r="AD7238" t="s">
        <v>59</v>
      </c>
      <c r="AF7238" s="1">
        <v>34582</v>
      </c>
      <c r="AG7238" t="s">
        <v>8645</v>
      </c>
      <c r="AH7238" t="s">
        <v>8646</v>
      </c>
      <c r="AI7238" t="str">
        <f>"9170580"</f>
        <v>9170580</v>
      </c>
      <c r="AJ7238" t="s">
        <v>9076</v>
      </c>
      <c r="AK7238">
        <v>2810542809</v>
      </c>
      <c r="AL7238" t="s">
        <v>9077</v>
      </c>
      <c r="AM7238" t="s">
        <v>78</v>
      </c>
      <c r="AN7238" t="s">
        <v>78</v>
      </c>
      <c r="AO7238" t="s">
        <v>78</v>
      </c>
      <c r="AP7238" t="s">
        <v>9053</v>
      </c>
      <c r="AQ7238">
        <v>1</v>
      </c>
      <c r="AR7238" t="s">
        <v>80</v>
      </c>
      <c r="AS7238" t="s">
        <v>81</v>
      </c>
      <c r="AT7238" t="s">
        <v>58</v>
      </c>
      <c r="AU7238" t="s">
        <v>68</v>
      </c>
      <c r="AV7238" t="s">
        <v>69</v>
      </c>
      <c r="AW7238" s="1">
        <v>23218</v>
      </c>
      <c r="AX7238">
        <v>1</v>
      </c>
    </row>
    <row r="7239" spans="1:50">
      <c r="A7239">
        <v>600874</v>
      </c>
      <c r="B7239" t="str">
        <f>"103804860"</f>
        <v>103804860</v>
      </c>
      <c r="C7239" t="s">
        <v>50</v>
      </c>
      <c r="D7239" t="s">
        <v>4077</v>
      </c>
      <c r="E7239" t="s">
        <v>250</v>
      </c>
      <c r="F7239" t="s">
        <v>2320</v>
      </c>
      <c r="G7239" t="s">
        <v>52</v>
      </c>
      <c r="H7239" t="str">
        <f>"ΜΑΝΟΥ ΚΑΤΡΑΚΗ 20 ΒΑΣΙΛΕΙΕΣ"</f>
        <v>ΜΑΝΟΥ ΚΑΤΡΑΚΗ 20 ΒΑΣΙΛΕΙΕΣ</v>
      </c>
      <c r="I7239">
        <v>71500</v>
      </c>
      <c r="J7239">
        <v>2810287012</v>
      </c>
      <c r="K7239">
        <v>6976864755</v>
      </c>
      <c r="M7239" t="s">
        <v>11623</v>
      </c>
      <c r="N7239" t="s">
        <v>615</v>
      </c>
      <c r="O7239" t="s">
        <v>616</v>
      </c>
      <c r="R7239" t="s">
        <v>57</v>
      </c>
      <c r="S7239">
        <v>8</v>
      </c>
      <c r="T7239">
        <v>207</v>
      </c>
      <c r="U7239" s="1">
        <v>37866</v>
      </c>
      <c r="V7239" t="s">
        <v>80</v>
      </c>
      <c r="W7239" t="s">
        <v>81</v>
      </c>
      <c r="X7239" t="s">
        <v>58</v>
      </c>
      <c r="Y7239">
        <v>22</v>
      </c>
      <c r="Z7239" t="s">
        <v>59</v>
      </c>
      <c r="AA7239" t="s">
        <v>59</v>
      </c>
      <c r="AB7239" t="s">
        <v>59</v>
      </c>
      <c r="AC7239" t="s">
        <v>59</v>
      </c>
      <c r="AD7239" t="s">
        <v>59</v>
      </c>
      <c r="AF7239" s="1">
        <v>37866</v>
      </c>
      <c r="AG7239" t="s">
        <v>8645</v>
      </c>
      <c r="AH7239" t="s">
        <v>8646</v>
      </c>
      <c r="AI7239" t="str">
        <f>"9170423"</f>
        <v>9170423</v>
      </c>
      <c r="AJ7239" t="s">
        <v>8808</v>
      </c>
      <c r="AK7239">
        <v>2810239612</v>
      </c>
      <c r="AL7239" t="s">
        <v>8809</v>
      </c>
      <c r="AM7239" t="s">
        <v>78</v>
      </c>
      <c r="AN7239" t="s">
        <v>78</v>
      </c>
      <c r="AO7239" t="s">
        <v>78</v>
      </c>
      <c r="AP7239" t="s">
        <v>163</v>
      </c>
      <c r="AQ7239">
        <v>1</v>
      </c>
      <c r="AR7239" t="s">
        <v>80</v>
      </c>
      <c r="AS7239" t="s">
        <v>81</v>
      </c>
      <c r="AT7239" t="s">
        <v>58</v>
      </c>
      <c r="AU7239" t="s">
        <v>68</v>
      </c>
      <c r="AV7239" t="s">
        <v>69</v>
      </c>
      <c r="AW7239" s="1">
        <v>27891</v>
      </c>
      <c r="AX7239">
        <v>1</v>
      </c>
    </row>
    <row r="7240" spans="1:50">
      <c r="A7240">
        <v>621529</v>
      </c>
      <c r="B7240" t="str">
        <f>"127499589"</f>
        <v>127499589</v>
      </c>
      <c r="C7240" t="s">
        <v>50</v>
      </c>
      <c r="D7240" t="s">
        <v>4077</v>
      </c>
      <c r="E7240" t="s">
        <v>112</v>
      </c>
      <c r="F7240" t="s">
        <v>7092</v>
      </c>
      <c r="G7240" t="s">
        <v>476</v>
      </c>
      <c r="H7240" t="str">
        <f>"ΠΟΛΥΤΕΧΝΕΙΟΥ 16 ΒΑΣΙΛΕΙΕΣ"</f>
        <v>ΠΟΛΥΤΕΧΝΕΙΟΥ 16 ΒΑΣΙΛΕΙΕΣ</v>
      </c>
      <c r="I7240">
        <v>71500</v>
      </c>
      <c r="J7240">
        <v>2810361226</v>
      </c>
      <c r="K7240">
        <v>6976678481</v>
      </c>
      <c r="M7240" t="s">
        <v>11624</v>
      </c>
      <c r="N7240" t="s">
        <v>615</v>
      </c>
      <c r="O7240" t="s">
        <v>616</v>
      </c>
      <c r="R7240" t="s">
        <v>57</v>
      </c>
      <c r="S7240">
        <v>4</v>
      </c>
      <c r="T7240">
        <v>653</v>
      </c>
      <c r="U7240" s="1">
        <v>40043</v>
      </c>
      <c r="V7240" t="s">
        <v>80</v>
      </c>
      <c r="W7240" t="s">
        <v>81</v>
      </c>
      <c r="X7240" t="s">
        <v>58</v>
      </c>
      <c r="Y7240">
        <v>23</v>
      </c>
      <c r="Z7240" t="s">
        <v>59</v>
      </c>
      <c r="AA7240" t="s">
        <v>59</v>
      </c>
      <c r="AB7240" t="s">
        <v>59</v>
      </c>
      <c r="AC7240" t="s">
        <v>59</v>
      </c>
      <c r="AD7240" t="s">
        <v>59</v>
      </c>
      <c r="AF7240" s="1">
        <v>40043</v>
      </c>
      <c r="AG7240" t="s">
        <v>8645</v>
      </c>
      <c r="AH7240" t="s">
        <v>8646</v>
      </c>
      <c r="AI7240" t="str">
        <f>"9170200"</f>
        <v>9170200</v>
      </c>
      <c r="AJ7240" t="s">
        <v>9589</v>
      </c>
      <c r="AK7240">
        <v>2810741264</v>
      </c>
      <c r="AL7240" t="s">
        <v>9590</v>
      </c>
      <c r="AM7240" t="s">
        <v>78</v>
      </c>
      <c r="AN7240" t="s">
        <v>424</v>
      </c>
      <c r="AO7240" t="s">
        <v>428</v>
      </c>
      <c r="AP7240" t="s">
        <v>9591</v>
      </c>
      <c r="AQ7240">
        <v>11</v>
      </c>
      <c r="AR7240" t="s">
        <v>80</v>
      </c>
      <c r="AS7240" t="s">
        <v>81</v>
      </c>
      <c r="AT7240" t="s">
        <v>58</v>
      </c>
      <c r="AU7240" t="s">
        <v>68</v>
      </c>
      <c r="AV7240" t="s">
        <v>69</v>
      </c>
      <c r="AW7240" s="1">
        <v>31140</v>
      </c>
      <c r="AX7240">
        <v>1</v>
      </c>
    </row>
    <row r="7241" spans="1:50">
      <c r="A7241">
        <v>596824</v>
      </c>
      <c r="B7241" t="str">
        <f>"078373720"</f>
        <v>078373720</v>
      </c>
      <c r="C7241" t="s">
        <v>50</v>
      </c>
      <c r="D7241" t="s">
        <v>4077</v>
      </c>
      <c r="E7241" t="s">
        <v>255</v>
      </c>
      <c r="F7241" t="s">
        <v>10258</v>
      </c>
      <c r="G7241" t="s">
        <v>52</v>
      </c>
      <c r="H7241" t="str">
        <f>"ΕΘΝ. ΑΝΤΙΣΤΑΣΕΩΣ 93 ΒΑΣΙΛΕΙΕΣ ΗΡΑΚΛΕΙΟΥ"</f>
        <v>ΕΘΝ. ΑΝΤΙΣΤΑΣΕΩΣ 93 ΒΑΣΙΛΕΙΕΣ ΗΡΑΚΛΕΙΟΥ</v>
      </c>
      <c r="I7241">
        <v>71500</v>
      </c>
      <c r="J7241">
        <v>2810213903</v>
      </c>
      <c r="K7241">
        <v>6974211931</v>
      </c>
      <c r="N7241" t="s">
        <v>1525</v>
      </c>
      <c r="O7241" t="s">
        <v>1526</v>
      </c>
      <c r="R7241" t="s">
        <v>57</v>
      </c>
      <c r="S7241">
        <v>9</v>
      </c>
      <c r="T7241">
        <v>195</v>
      </c>
      <c r="U7241" s="1">
        <v>37497</v>
      </c>
      <c r="V7241" t="s">
        <v>80</v>
      </c>
      <c r="W7241" t="s">
        <v>81</v>
      </c>
      <c r="X7241" t="s">
        <v>58</v>
      </c>
      <c r="Y7241">
        <v>25</v>
      </c>
      <c r="Z7241" t="s">
        <v>59</v>
      </c>
      <c r="AA7241" t="s">
        <v>59</v>
      </c>
      <c r="AB7241" t="s">
        <v>59</v>
      </c>
      <c r="AC7241" t="s">
        <v>59</v>
      </c>
      <c r="AD7241" t="s">
        <v>59</v>
      </c>
      <c r="AF7241" s="1">
        <v>37502</v>
      </c>
      <c r="AG7241" t="s">
        <v>8651</v>
      </c>
      <c r="AH7241" t="s">
        <v>8652</v>
      </c>
      <c r="AI7241" t="str">
        <f>"9170592"</f>
        <v>9170592</v>
      </c>
      <c r="AJ7241" t="s">
        <v>9502</v>
      </c>
      <c r="AK7241">
        <v>2810230907</v>
      </c>
      <c r="AL7241" t="s">
        <v>9503</v>
      </c>
      <c r="AM7241" t="s">
        <v>78</v>
      </c>
      <c r="AN7241" t="s">
        <v>78</v>
      </c>
      <c r="AO7241" t="s">
        <v>78</v>
      </c>
      <c r="AP7241" t="s">
        <v>9239</v>
      </c>
      <c r="AQ7241">
        <v>1</v>
      </c>
      <c r="AR7241" t="s">
        <v>80</v>
      </c>
      <c r="AS7241" t="s">
        <v>81</v>
      </c>
      <c r="AT7241" t="s">
        <v>58</v>
      </c>
      <c r="AU7241" t="s">
        <v>68</v>
      </c>
      <c r="AV7241" t="s">
        <v>69</v>
      </c>
      <c r="AW7241" s="1">
        <v>26411</v>
      </c>
      <c r="AX7241">
        <v>1</v>
      </c>
    </row>
    <row r="7242" spans="1:50">
      <c r="A7242">
        <v>602593</v>
      </c>
      <c r="B7242" t="str">
        <f>"044191448"</f>
        <v>044191448</v>
      </c>
      <c r="C7242" t="s">
        <v>50</v>
      </c>
      <c r="D7242" t="s">
        <v>11625</v>
      </c>
      <c r="E7242" t="s">
        <v>255</v>
      </c>
      <c r="F7242" t="s">
        <v>4097</v>
      </c>
      <c r="G7242" t="s">
        <v>600</v>
      </c>
      <c r="H7242" t="str">
        <f>"ΑΝΑΓΕΝΝΗΣΕΩΣ 10 ΗΡΑΚΛΕΙΟ"</f>
        <v>ΑΝΑΓΕΝΝΗΣΕΩΣ 10 ΗΡΑΚΛΕΙΟ</v>
      </c>
      <c r="I7242">
        <v>71305</v>
      </c>
      <c r="J7242">
        <v>2810238146</v>
      </c>
      <c r="K7242">
        <v>6938476714</v>
      </c>
      <c r="N7242" t="s">
        <v>615</v>
      </c>
      <c r="O7242" t="s">
        <v>616</v>
      </c>
      <c r="R7242" t="s">
        <v>57</v>
      </c>
      <c r="S7242">
        <v>7</v>
      </c>
      <c r="T7242">
        <v>207</v>
      </c>
      <c r="U7242" s="1">
        <v>37866</v>
      </c>
      <c r="V7242" t="s">
        <v>80</v>
      </c>
      <c r="W7242" t="s">
        <v>81</v>
      </c>
      <c r="X7242" t="s">
        <v>58</v>
      </c>
      <c r="Y7242">
        <v>22</v>
      </c>
      <c r="Z7242" t="s">
        <v>59</v>
      </c>
      <c r="AA7242" t="s">
        <v>59</v>
      </c>
      <c r="AB7242" t="s">
        <v>452</v>
      </c>
      <c r="AC7242" t="s">
        <v>59</v>
      </c>
      <c r="AD7242" t="s">
        <v>59</v>
      </c>
      <c r="AF7242" s="1">
        <v>37866</v>
      </c>
      <c r="AG7242" t="s">
        <v>8645</v>
      </c>
      <c r="AH7242" t="s">
        <v>8646</v>
      </c>
      <c r="AI7242" t="str">
        <f>"9170198"</f>
        <v>9170198</v>
      </c>
      <c r="AJ7242" t="s">
        <v>8665</v>
      </c>
      <c r="AK7242">
        <v>2810227379</v>
      </c>
      <c r="AL7242" t="s">
        <v>8666</v>
      </c>
      <c r="AM7242" t="s">
        <v>78</v>
      </c>
      <c r="AN7242" t="s">
        <v>78</v>
      </c>
      <c r="AO7242" t="s">
        <v>78</v>
      </c>
      <c r="AP7242" t="s">
        <v>79</v>
      </c>
      <c r="AQ7242">
        <v>1</v>
      </c>
      <c r="AR7242" t="s">
        <v>80</v>
      </c>
      <c r="AS7242" t="s">
        <v>81</v>
      </c>
      <c r="AT7242" t="s">
        <v>58</v>
      </c>
      <c r="AU7242" t="s">
        <v>68</v>
      </c>
      <c r="AV7242" t="s">
        <v>2039</v>
      </c>
      <c r="AW7242" s="1">
        <v>24920</v>
      </c>
      <c r="AX7242">
        <v>1</v>
      </c>
    </row>
    <row r="7243" spans="1:50">
      <c r="A7243">
        <v>618328</v>
      </c>
      <c r="B7243" t="str">
        <f>"137213249"</f>
        <v>137213249</v>
      </c>
      <c r="C7243" t="s">
        <v>50</v>
      </c>
      <c r="D7243" t="s">
        <v>11626</v>
      </c>
      <c r="E7243" t="s">
        <v>250</v>
      </c>
      <c r="F7243" t="s">
        <v>1679</v>
      </c>
      <c r="G7243" t="s">
        <v>83</v>
      </c>
      <c r="H7243" t="str">
        <f>"ΜΙΝΩΟΣ 109 ΗΡΑΚΛΕΙΟ"</f>
        <v>ΜΙΝΩΟΣ 109 ΗΡΑΚΛΕΙΟ</v>
      </c>
      <c r="I7243">
        <v>71305</v>
      </c>
      <c r="J7243">
        <v>2810258927</v>
      </c>
      <c r="K7243">
        <v>6974745426</v>
      </c>
      <c r="N7243" t="s">
        <v>615</v>
      </c>
      <c r="O7243" t="s">
        <v>616</v>
      </c>
      <c r="R7243" t="s">
        <v>57</v>
      </c>
      <c r="S7243">
        <v>5</v>
      </c>
      <c r="T7243">
        <v>774</v>
      </c>
      <c r="U7243" s="1">
        <v>39680</v>
      </c>
      <c r="V7243" t="s">
        <v>80</v>
      </c>
      <c r="W7243" t="s">
        <v>81</v>
      </c>
      <c r="X7243" t="s">
        <v>58</v>
      </c>
      <c r="Y7243">
        <v>23</v>
      </c>
      <c r="Z7243" t="s">
        <v>59</v>
      </c>
      <c r="AA7243" t="s">
        <v>59</v>
      </c>
      <c r="AB7243" t="s">
        <v>59</v>
      </c>
      <c r="AC7243" t="s">
        <v>59</v>
      </c>
      <c r="AD7243" t="s">
        <v>59</v>
      </c>
      <c r="AF7243" s="1">
        <v>39681</v>
      </c>
      <c r="AG7243" t="s">
        <v>8645</v>
      </c>
      <c r="AH7243" t="s">
        <v>8646</v>
      </c>
      <c r="AI7243" t="str">
        <f>"9170061"</f>
        <v>9170061</v>
      </c>
      <c r="AJ7243" t="s">
        <v>8869</v>
      </c>
      <c r="AK7243">
        <v>2810791254</v>
      </c>
      <c r="AL7243" t="s">
        <v>8870</v>
      </c>
      <c r="AM7243" t="s">
        <v>78</v>
      </c>
      <c r="AN7243" t="s">
        <v>78</v>
      </c>
      <c r="AO7243" t="s">
        <v>78</v>
      </c>
      <c r="AP7243" t="s">
        <v>8871</v>
      </c>
      <c r="AQ7243">
        <v>3</v>
      </c>
      <c r="AR7243" t="s">
        <v>80</v>
      </c>
      <c r="AS7243" t="s">
        <v>81</v>
      </c>
      <c r="AT7243" t="s">
        <v>58</v>
      </c>
      <c r="AU7243" t="s">
        <v>68</v>
      </c>
      <c r="AV7243" t="s">
        <v>69</v>
      </c>
      <c r="AW7243" s="1">
        <v>30831</v>
      </c>
      <c r="AX7243">
        <v>1</v>
      </c>
    </row>
    <row r="7244" spans="1:50">
      <c r="A7244">
        <v>615121</v>
      </c>
      <c r="B7244" t="str">
        <f>"110722610"</f>
        <v>110722610</v>
      </c>
      <c r="C7244" t="s">
        <v>50</v>
      </c>
      <c r="D7244" t="s">
        <v>11626</v>
      </c>
      <c r="E7244" t="s">
        <v>83</v>
      </c>
      <c r="F7244" t="s">
        <v>95</v>
      </c>
      <c r="G7244" t="s">
        <v>1694</v>
      </c>
      <c r="H7244" t="str">
        <f>"ΚΑΒΡΟΧΩΡΙ ΚΑΒΡΟΧΩΡΙ ΓΑΖΙΟΥ"</f>
        <v>ΚΑΒΡΟΧΩΡΙ ΚΑΒΡΟΧΩΡΙ ΓΑΖΙΟΥ</v>
      </c>
      <c r="I7244">
        <v>71500</v>
      </c>
      <c r="J7244">
        <v>2810823721</v>
      </c>
      <c r="K7244">
        <v>6947261549</v>
      </c>
      <c r="M7244" t="s">
        <v>11627</v>
      </c>
      <c r="N7244" t="s">
        <v>1525</v>
      </c>
      <c r="O7244" t="s">
        <v>1526</v>
      </c>
      <c r="R7244" t="s">
        <v>57</v>
      </c>
      <c r="S7244">
        <v>7</v>
      </c>
      <c r="T7244">
        <v>598</v>
      </c>
      <c r="U7244" s="1">
        <v>39310</v>
      </c>
      <c r="V7244" t="s">
        <v>80</v>
      </c>
      <c r="W7244" t="s">
        <v>81</v>
      </c>
      <c r="X7244" t="s">
        <v>58</v>
      </c>
      <c r="Y7244">
        <v>25</v>
      </c>
      <c r="Z7244" t="s">
        <v>59</v>
      </c>
      <c r="AA7244" t="s">
        <v>59</v>
      </c>
      <c r="AB7244" t="s">
        <v>59</v>
      </c>
      <c r="AC7244" t="s">
        <v>59</v>
      </c>
      <c r="AD7244" t="s">
        <v>59</v>
      </c>
      <c r="AF7244" s="1">
        <v>39328</v>
      </c>
      <c r="AG7244" t="s">
        <v>8651</v>
      </c>
      <c r="AH7244" t="s">
        <v>8652</v>
      </c>
      <c r="AI7244" t="str">
        <f>"9170456"</f>
        <v>9170456</v>
      </c>
      <c r="AJ7244" t="s">
        <v>11628</v>
      </c>
      <c r="AK7244">
        <v>2810841410</v>
      </c>
      <c r="AL7244" t="s">
        <v>11629</v>
      </c>
      <c r="AM7244" t="s">
        <v>78</v>
      </c>
      <c r="AN7244" t="s">
        <v>129</v>
      </c>
      <c r="AO7244" t="s">
        <v>130</v>
      </c>
      <c r="AP7244" t="s">
        <v>9181</v>
      </c>
      <c r="AQ7244">
        <v>2</v>
      </c>
      <c r="AR7244" t="s">
        <v>80</v>
      </c>
      <c r="AS7244" t="s">
        <v>81</v>
      </c>
      <c r="AT7244" t="s">
        <v>58</v>
      </c>
      <c r="AU7244" t="s">
        <v>68</v>
      </c>
      <c r="AV7244" t="s">
        <v>69</v>
      </c>
      <c r="AW7244" s="1">
        <v>27655</v>
      </c>
      <c r="AX7244">
        <v>1</v>
      </c>
    </row>
    <row r="7245" spans="1:50">
      <c r="A7245">
        <v>565146</v>
      </c>
      <c r="B7245" t="str">
        <f>"033971091"</f>
        <v>033971091</v>
      </c>
      <c r="C7245" t="s">
        <v>50</v>
      </c>
      <c r="D7245" t="s">
        <v>4086</v>
      </c>
      <c r="E7245" t="s">
        <v>54</v>
      </c>
      <c r="F7245" t="s">
        <v>106</v>
      </c>
      <c r="G7245" t="s">
        <v>367</v>
      </c>
      <c r="H7245" t="str">
        <f>"ΧΡ.ΚΟΛΟΜΒΟΥ 3 ΗΡΑΚΛΕΙΟ"</f>
        <v>ΧΡ.ΚΟΛΟΜΒΟΥ 3 ΗΡΑΚΛΕΙΟ</v>
      </c>
      <c r="I7245">
        <v>71409</v>
      </c>
      <c r="K7245">
        <v>6947943497</v>
      </c>
      <c r="M7245" t="s">
        <v>11630</v>
      </c>
      <c r="N7245" t="s">
        <v>615</v>
      </c>
      <c r="O7245" t="s">
        <v>616</v>
      </c>
      <c r="R7245" t="s">
        <v>57</v>
      </c>
      <c r="S7245">
        <v>15</v>
      </c>
      <c r="T7245" t="s">
        <v>11631</v>
      </c>
      <c r="U7245" s="1">
        <v>33119</v>
      </c>
      <c r="V7245" t="s">
        <v>80</v>
      </c>
      <c r="W7245" t="s">
        <v>81</v>
      </c>
      <c r="X7245" t="s">
        <v>58</v>
      </c>
      <c r="Y7245">
        <v>21</v>
      </c>
      <c r="Z7245" t="s">
        <v>59</v>
      </c>
      <c r="AA7245" t="s">
        <v>59</v>
      </c>
      <c r="AB7245" t="s">
        <v>59</v>
      </c>
      <c r="AC7245" t="s">
        <v>59</v>
      </c>
      <c r="AD7245" t="s">
        <v>59</v>
      </c>
      <c r="AF7245" s="1">
        <v>33121</v>
      </c>
      <c r="AG7245" t="s">
        <v>8645</v>
      </c>
      <c r="AH7245" t="s">
        <v>8646</v>
      </c>
      <c r="AI7245" t="str">
        <f>"9170517"</f>
        <v>9170517</v>
      </c>
      <c r="AJ7245" t="s">
        <v>9248</v>
      </c>
      <c r="AK7245">
        <v>2810238757</v>
      </c>
      <c r="AL7245" t="s">
        <v>9249</v>
      </c>
      <c r="AM7245" t="s">
        <v>78</v>
      </c>
      <c r="AN7245" t="s">
        <v>78</v>
      </c>
      <c r="AO7245" t="s">
        <v>78</v>
      </c>
      <c r="AP7245" t="s">
        <v>163</v>
      </c>
      <c r="AQ7245">
        <v>1</v>
      </c>
      <c r="AR7245" t="s">
        <v>80</v>
      </c>
      <c r="AS7245" t="s">
        <v>81</v>
      </c>
      <c r="AT7245" t="s">
        <v>58</v>
      </c>
      <c r="AU7245" t="s">
        <v>68</v>
      </c>
      <c r="AV7245" t="s">
        <v>2039</v>
      </c>
      <c r="AW7245" s="1">
        <v>24362</v>
      </c>
      <c r="AX7245">
        <v>1</v>
      </c>
    </row>
    <row r="7246" spans="1:50">
      <c r="A7246">
        <v>620781</v>
      </c>
      <c r="B7246" t="str">
        <f>"055498476"</f>
        <v>055498476</v>
      </c>
      <c r="C7246" t="s">
        <v>50</v>
      </c>
      <c r="D7246" t="s">
        <v>11632</v>
      </c>
      <c r="E7246" t="s">
        <v>155</v>
      </c>
      <c r="F7246" t="s">
        <v>72</v>
      </c>
      <c r="G7246" t="s">
        <v>6093</v>
      </c>
      <c r="H7246" t="str">
        <f>"16 ΜΑΡΤΥΡΩΝ 23 ΗΡΑΚΛΕΙΟ"</f>
        <v>16 ΜΑΡΤΥΡΩΝ 23 ΗΡΑΚΛΕΙΟ</v>
      </c>
      <c r="I7246">
        <v>71414</v>
      </c>
      <c r="J7246">
        <v>2810263101</v>
      </c>
      <c r="K7246">
        <v>6977181966</v>
      </c>
      <c r="N7246" t="s">
        <v>615</v>
      </c>
      <c r="O7246" t="s">
        <v>616</v>
      </c>
      <c r="R7246" t="s">
        <v>57</v>
      </c>
      <c r="S7246">
        <v>10</v>
      </c>
      <c r="T7246">
        <v>653</v>
      </c>
      <c r="U7246" s="1">
        <v>40043</v>
      </c>
      <c r="V7246" t="s">
        <v>80</v>
      </c>
      <c r="W7246" t="s">
        <v>81</v>
      </c>
      <c r="X7246" t="s">
        <v>58</v>
      </c>
      <c r="Y7246">
        <v>23</v>
      </c>
      <c r="Z7246" t="s">
        <v>59</v>
      </c>
      <c r="AA7246" t="s">
        <v>59</v>
      </c>
      <c r="AB7246" t="s">
        <v>59</v>
      </c>
      <c r="AC7246" t="s">
        <v>59</v>
      </c>
      <c r="AD7246" t="s">
        <v>59</v>
      </c>
      <c r="AF7246" s="1">
        <v>40043</v>
      </c>
      <c r="AG7246" t="s">
        <v>8645</v>
      </c>
      <c r="AH7246" t="s">
        <v>8646</v>
      </c>
      <c r="AI7246" t="str">
        <f>"9170560"</f>
        <v>9170560</v>
      </c>
      <c r="AJ7246" t="s">
        <v>9022</v>
      </c>
      <c r="AK7246">
        <v>2810821816</v>
      </c>
      <c r="AL7246" t="s">
        <v>9023</v>
      </c>
      <c r="AM7246" t="s">
        <v>78</v>
      </c>
      <c r="AN7246" t="s">
        <v>129</v>
      </c>
      <c r="AO7246" t="s">
        <v>130</v>
      </c>
      <c r="AP7246" t="s">
        <v>130</v>
      </c>
      <c r="AQ7246">
        <v>1</v>
      </c>
      <c r="AR7246" t="s">
        <v>80</v>
      </c>
      <c r="AS7246" t="s">
        <v>81</v>
      </c>
      <c r="AT7246" t="s">
        <v>58</v>
      </c>
      <c r="AU7246" t="s">
        <v>68</v>
      </c>
      <c r="AV7246" t="s">
        <v>69</v>
      </c>
      <c r="AW7246" s="1">
        <v>26703</v>
      </c>
      <c r="AX7246">
        <v>1</v>
      </c>
    </row>
    <row r="7247" spans="1:50">
      <c r="A7247">
        <v>600212</v>
      </c>
      <c r="B7247" t="str">
        <f>"073826761"</f>
        <v>073826761</v>
      </c>
      <c r="C7247" t="s">
        <v>50</v>
      </c>
      <c r="D7247" t="s">
        <v>11633</v>
      </c>
      <c r="E7247" t="s">
        <v>52</v>
      </c>
      <c r="F7247" t="s">
        <v>383</v>
      </c>
      <c r="G7247" t="s">
        <v>215</v>
      </c>
      <c r="H7247" t="str">
        <f>"ΕΥΝΙΚΙΑΝΟΥ 5 ΗΡΑΚΛΕΙΟ"</f>
        <v>ΕΥΝΙΚΙΑΝΟΥ 5 ΗΡΑΚΛΕΙΟ</v>
      </c>
      <c r="I7247">
        <v>71410</v>
      </c>
      <c r="J7247">
        <v>2810318166</v>
      </c>
      <c r="K7247">
        <v>6972733730</v>
      </c>
      <c r="N7247" t="s">
        <v>615</v>
      </c>
      <c r="O7247" t="s">
        <v>616</v>
      </c>
      <c r="R7247" t="s">
        <v>57</v>
      </c>
      <c r="S7247">
        <v>9</v>
      </c>
      <c r="T7247">
        <v>195</v>
      </c>
      <c r="U7247" s="1">
        <v>37497</v>
      </c>
      <c r="V7247" t="s">
        <v>80</v>
      </c>
      <c r="W7247" t="s">
        <v>81</v>
      </c>
      <c r="X7247" t="s">
        <v>58</v>
      </c>
      <c r="Y7247">
        <v>22</v>
      </c>
      <c r="Z7247" t="s">
        <v>59</v>
      </c>
      <c r="AA7247" t="s">
        <v>59</v>
      </c>
      <c r="AB7247" t="s">
        <v>59</v>
      </c>
      <c r="AC7247" t="s">
        <v>59</v>
      </c>
      <c r="AD7247" t="s">
        <v>59</v>
      </c>
      <c r="AF7247" s="1">
        <v>37501</v>
      </c>
      <c r="AG7247" t="s">
        <v>8645</v>
      </c>
      <c r="AH7247" t="s">
        <v>8646</v>
      </c>
      <c r="AI7247" t="str">
        <f>"9170575"</f>
        <v>9170575</v>
      </c>
      <c r="AJ7247" t="s">
        <v>8748</v>
      </c>
      <c r="AK7247">
        <v>2810260772</v>
      </c>
      <c r="AL7247" t="s">
        <v>8749</v>
      </c>
      <c r="AM7247" t="s">
        <v>78</v>
      </c>
      <c r="AN7247" t="s">
        <v>78</v>
      </c>
      <c r="AO7247" t="s">
        <v>78</v>
      </c>
      <c r="AP7247" t="s">
        <v>141</v>
      </c>
      <c r="AQ7247">
        <v>1</v>
      </c>
      <c r="AR7247" t="s">
        <v>80</v>
      </c>
      <c r="AS7247" t="s">
        <v>81</v>
      </c>
      <c r="AT7247" t="s">
        <v>58</v>
      </c>
      <c r="AU7247" t="s">
        <v>68</v>
      </c>
      <c r="AV7247" t="s">
        <v>69</v>
      </c>
      <c r="AW7247" s="1">
        <v>23929</v>
      </c>
      <c r="AX7247">
        <v>1</v>
      </c>
    </row>
    <row r="7248" spans="1:50">
      <c r="A7248">
        <v>570386</v>
      </c>
      <c r="B7248" t="str">
        <f>"034958503"</f>
        <v>034958503</v>
      </c>
      <c r="C7248" t="s">
        <v>105</v>
      </c>
      <c r="D7248" t="s">
        <v>11634</v>
      </c>
      <c r="E7248" t="s">
        <v>166</v>
      </c>
      <c r="F7248" t="s">
        <v>1373</v>
      </c>
      <c r="G7248" t="s">
        <v>255</v>
      </c>
      <c r="H7248" t="str">
        <f>"ΑΙΟΛΟΥ 13 ΗΡΑΚΛΕΙΟ"</f>
        <v>ΑΙΟΛΟΥ 13 ΗΡΑΚΛΕΙΟ</v>
      </c>
      <c r="I7248">
        <v>71304</v>
      </c>
      <c r="J7248">
        <v>2810310200</v>
      </c>
      <c r="K7248">
        <v>6977085763</v>
      </c>
      <c r="N7248" t="s">
        <v>615</v>
      </c>
      <c r="O7248" t="s">
        <v>616</v>
      </c>
      <c r="R7248" t="s">
        <v>57</v>
      </c>
      <c r="S7248">
        <v>14</v>
      </c>
      <c r="T7248">
        <v>138</v>
      </c>
      <c r="U7248" s="1">
        <v>34206</v>
      </c>
      <c r="V7248" t="s">
        <v>80</v>
      </c>
      <c r="W7248" t="s">
        <v>81</v>
      </c>
      <c r="X7248" t="s">
        <v>58</v>
      </c>
      <c r="Y7248">
        <v>21</v>
      </c>
      <c r="Z7248" t="s">
        <v>59</v>
      </c>
      <c r="AA7248" t="s">
        <v>59</v>
      </c>
      <c r="AB7248" t="s">
        <v>59</v>
      </c>
      <c r="AC7248" t="s">
        <v>59</v>
      </c>
      <c r="AD7248" t="s">
        <v>59</v>
      </c>
      <c r="AF7248" s="1">
        <v>34213</v>
      </c>
      <c r="AG7248" t="s">
        <v>8645</v>
      </c>
      <c r="AH7248" t="s">
        <v>8646</v>
      </c>
      <c r="AI7248" t="str">
        <f>"9170113"</f>
        <v>9170113</v>
      </c>
      <c r="AJ7248" t="s">
        <v>8846</v>
      </c>
      <c r="AK7248">
        <v>2810226174</v>
      </c>
      <c r="AL7248" t="s">
        <v>8847</v>
      </c>
      <c r="AM7248" t="s">
        <v>78</v>
      </c>
      <c r="AN7248" t="s">
        <v>78</v>
      </c>
      <c r="AO7248" t="s">
        <v>78</v>
      </c>
      <c r="AP7248" t="s">
        <v>79</v>
      </c>
      <c r="AQ7248">
        <v>1</v>
      </c>
      <c r="AR7248" t="s">
        <v>80</v>
      </c>
      <c r="AS7248" t="s">
        <v>81</v>
      </c>
      <c r="AT7248" t="s">
        <v>58</v>
      </c>
      <c r="AU7248" t="s">
        <v>68</v>
      </c>
      <c r="AV7248" t="s">
        <v>69</v>
      </c>
      <c r="AW7248" s="1">
        <v>23961</v>
      </c>
      <c r="AX7248">
        <v>1</v>
      </c>
    </row>
    <row r="7249" spans="1:50">
      <c r="A7249">
        <v>578306</v>
      </c>
      <c r="B7249" t="str">
        <f>"064122249"</f>
        <v>064122249</v>
      </c>
      <c r="C7249" t="s">
        <v>50</v>
      </c>
      <c r="D7249" t="s">
        <v>8442</v>
      </c>
      <c r="E7249" t="s">
        <v>783</v>
      </c>
      <c r="F7249" t="s">
        <v>72</v>
      </c>
      <c r="G7249" t="s">
        <v>372</v>
      </c>
      <c r="H7249" t="str">
        <f>" "</f>
        <v xml:space="preserve"> </v>
      </c>
      <c r="N7249" t="s">
        <v>615</v>
      </c>
      <c r="O7249" t="s">
        <v>616</v>
      </c>
      <c r="R7249" t="s">
        <v>57</v>
      </c>
      <c r="S7249">
        <v>11</v>
      </c>
      <c r="T7249">
        <v>165</v>
      </c>
      <c r="U7249" s="1">
        <v>35300</v>
      </c>
      <c r="V7249" t="s">
        <v>80</v>
      </c>
      <c r="W7249" t="s">
        <v>81</v>
      </c>
      <c r="X7249" t="s">
        <v>58</v>
      </c>
      <c r="Y7249">
        <v>21</v>
      </c>
      <c r="Z7249" t="s">
        <v>59</v>
      </c>
      <c r="AA7249" t="s">
        <v>59</v>
      </c>
      <c r="AB7249" t="s">
        <v>59</v>
      </c>
      <c r="AC7249" t="s">
        <v>59</v>
      </c>
      <c r="AD7249" t="s">
        <v>59</v>
      </c>
      <c r="AF7249" s="1">
        <v>35310</v>
      </c>
      <c r="AG7249" t="s">
        <v>8645</v>
      </c>
      <c r="AH7249" t="s">
        <v>8646</v>
      </c>
      <c r="AI7249" t="str">
        <f>"9170097"</f>
        <v>9170097</v>
      </c>
      <c r="AJ7249" t="s">
        <v>8826</v>
      </c>
      <c r="AK7249">
        <v>2810751807</v>
      </c>
      <c r="AL7249" t="s">
        <v>8827</v>
      </c>
      <c r="AM7249" t="s">
        <v>78</v>
      </c>
      <c r="AN7249" t="s">
        <v>424</v>
      </c>
      <c r="AO7249" t="s">
        <v>425</v>
      </c>
      <c r="AP7249" t="s">
        <v>425</v>
      </c>
      <c r="AQ7249">
        <v>11</v>
      </c>
      <c r="AR7249" t="s">
        <v>80</v>
      </c>
      <c r="AS7249" t="s">
        <v>81</v>
      </c>
      <c r="AT7249" t="s">
        <v>58</v>
      </c>
      <c r="AU7249" t="s">
        <v>68</v>
      </c>
      <c r="AV7249" t="s">
        <v>69</v>
      </c>
      <c r="AW7249" s="1">
        <v>24839</v>
      </c>
      <c r="AX7249">
        <v>1</v>
      </c>
    </row>
    <row r="7250" spans="1:50">
      <c r="B7250" t="str">
        <f>"140102849"</f>
        <v>140102849</v>
      </c>
      <c r="C7250" t="s">
        <v>105</v>
      </c>
      <c r="D7250" t="s">
        <v>11635</v>
      </c>
      <c r="E7250" t="s">
        <v>95</v>
      </c>
      <c r="F7250" t="s">
        <v>510</v>
      </c>
      <c r="G7250" t="s">
        <v>396</v>
      </c>
      <c r="H7250" t="str">
        <f>"ΖΩΟΔΟΧΟΣ ΠΗΓΗ "</f>
        <v xml:space="preserve">ΖΩΟΔΟΧΟΣ ΠΗΓΗ </v>
      </c>
      <c r="I7250">
        <v>40300</v>
      </c>
      <c r="J7250">
        <v>2491041443</v>
      </c>
      <c r="K7250">
        <v>6973753040</v>
      </c>
      <c r="N7250" t="s">
        <v>615</v>
      </c>
      <c r="O7250" t="s">
        <v>616</v>
      </c>
      <c r="R7250" t="s">
        <v>159</v>
      </c>
      <c r="S7250">
        <v>3</v>
      </c>
      <c r="T7250" t="s">
        <v>8675</v>
      </c>
      <c r="U7250" s="1">
        <v>43348</v>
      </c>
      <c r="V7250" t="s">
        <v>80</v>
      </c>
      <c r="W7250" t="s">
        <v>81</v>
      </c>
      <c r="X7250" t="s">
        <v>58</v>
      </c>
      <c r="Y7250">
        <v>24</v>
      </c>
      <c r="Z7250" t="s">
        <v>59</v>
      </c>
      <c r="AA7250" t="s">
        <v>59</v>
      </c>
      <c r="AB7250" t="s">
        <v>59</v>
      </c>
      <c r="AC7250" t="s">
        <v>59</v>
      </c>
      <c r="AD7250" t="s">
        <v>59</v>
      </c>
      <c r="AF7250" s="1">
        <v>43348</v>
      </c>
      <c r="AG7250" t="s">
        <v>8645</v>
      </c>
      <c r="AH7250" t="s">
        <v>8646</v>
      </c>
      <c r="AI7250" t="str">
        <f>"9170515"</f>
        <v>9170515</v>
      </c>
      <c r="AJ7250" t="s">
        <v>8790</v>
      </c>
      <c r="AK7250">
        <v>2810254821</v>
      </c>
      <c r="AL7250" t="s">
        <v>8791</v>
      </c>
      <c r="AM7250" t="s">
        <v>78</v>
      </c>
      <c r="AN7250" t="s">
        <v>78</v>
      </c>
      <c r="AO7250" t="s">
        <v>78</v>
      </c>
      <c r="AP7250" t="s">
        <v>163</v>
      </c>
      <c r="AQ7250">
        <v>1</v>
      </c>
      <c r="AR7250" t="s">
        <v>80</v>
      </c>
      <c r="AS7250" t="s">
        <v>81</v>
      </c>
      <c r="AT7250" t="s">
        <v>58</v>
      </c>
      <c r="AU7250" t="s">
        <v>8673</v>
      </c>
      <c r="AV7250" t="s">
        <v>132</v>
      </c>
      <c r="AW7250" s="1">
        <v>31668</v>
      </c>
      <c r="AX7250">
        <v>1</v>
      </c>
    </row>
    <row r="7251" spans="1:50">
      <c r="A7251">
        <v>590283</v>
      </c>
      <c r="B7251" t="str">
        <f>"037903731"</f>
        <v>037903731</v>
      </c>
      <c r="C7251" t="s">
        <v>50</v>
      </c>
      <c r="D7251" t="s">
        <v>6620</v>
      </c>
      <c r="E7251" t="s">
        <v>83</v>
      </c>
      <c r="F7251" t="s">
        <v>53</v>
      </c>
      <c r="G7251" t="s">
        <v>155</v>
      </c>
      <c r="H7251" t="str">
        <f>"ΣΕΛΕΥΚΟΥ 14 ΘΕΣΣΑΛΟΝΙΚΗ"</f>
        <v>ΣΕΛΕΥΚΟΥ 14 ΘΕΣΣΑΛΟΝΙΚΗ</v>
      </c>
      <c r="I7251">
        <v>55535</v>
      </c>
      <c r="J7251">
        <v>2310304873</v>
      </c>
      <c r="K7251">
        <v>6977866658</v>
      </c>
      <c r="M7251" t="s">
        <v>11636</v>
      </c>
      <c r="N7251" t="s">
        <v>176</v>
      </c>
      <c r="O7251" t="s">
        <v>177</v>
      </c>
      <c r="R7251" t="s">
        <v>57</v>
      </c>
      <c r="S7251">
        <v>10</v>
      </c>
      <c r="T7251">
        <v>177</v>
      </c>
      <c r="U7251" s="1">
        <v>36403</v>
      </c>
      <c r="V7251" t="s">
        <v>80</v>
      </c>
      <c r="W7251" t="s">
        <v>81</v>
      </c>
      <c r="X7251" t="s">
        <v>58</v>
      </c>
      <c r="Y7251">
        <v>21</v>
      </c>
      <c r="Z7251" t="s">
        <v>59</v>
      </c>
      <c r="AA7251" t="s">
        <v>59</v>
      </c>
      <c r="AB7251" t="s">
        <v>59</v>
      </c>
      <c r="AC7251" t="s">
        <v>59</v>
      </c>
      <c r="AD7251" t="s">
        <v>59</v>
      </c>
      <c r="AF7251" s="1">
        <v>36404</v>
      </c>
      <c r="AG7251" t="s">
        <v>8645</v>
      </c>
      <c r="AH7251" t="s">
        <v>8646</v>
      </c>
      <c r="AI7251" t="str">
        <f>"9170057"</f>
        <v>9170057</v>
      </c>
      <c r="AJ7251" t="s">
        <v>8929</v>
      </c>
      <c r="AK7251">
        <v>2810251505</v>
      </c>
      <c r="AL7251" t="s">
        <v>8930</v>
      </c>
      <c r="AM7251" t="s">
        <v>78</v>
      </c>
      <c r="AN7251" t="s">
        <v>78</v>
      </c>
      <c r="AO7251" t="s">
        <v>78</v>
      </c>
      <c r="AP7251" t="s">
        <v>141</v>
      </c>
      <c r="AQ7251">
        <v>1</v>
      </c>
      <c r="AR7251" t="s">
        <v>80</v>
      </c>
      <c r="AS7251" t="s">
        <v>81</v>
      </c>
      <c r="AT7251" t="s">
        <v>58</v>
      </c>
      <c r="AU7251" t="s">
        <v>68</v>
      </c>
      <c r="AV7251" t="s">
        <v>69</v>
      </c>
      <c r="AW7251" s="1">
        <v>24005</v>
      </c>
      <c r="AX7251">
        <v>1</v>
      </c>
    </row>
    <row r="7252" spans="1:50">
      <c r="B7252" t="str">
        <f>"132148970"</f>
        <v>132148970</v>
      </c>
      <c r="C7252" t="s">
        <v>50</v>
      </c>
      <c r="D7252" t="s">
        <v>11637</v>
      </c>
      <c r="E7252" t="s">
        <v>340</v>
      </c>
      <c r="F7252" t="s">
        <v>1841</v>
      </c>
      <c r="G7252" t="s">
        <v>11638</v>
      </c>
      <c r="H7252" t="str">
        <f>"ΚΑΖΑΝΤΖΑΚΗ 41 "</f>
        <v xml:space="preserve">ΚΑΖΑΝΤΖΑΚΗ 41 </v>
      </c>
      <c r="I7252">
        <v>59200</v>
      </c>
      <c r="J7252">
        <v>2332021058</v>
      </c>
      <c r="K7252">
        <v>6972240800</v>
      </c>
      <c r="N7252" t="s">
        <v>8694</v>
      </c>
      <c r="O7252" t="s">
        <v>8695</v>
      </c>
      <c r="R7252" t="s">
        <v>159</v>
      </c>
      <c r="S7252">
        <v>5</v>
      </c>
      <c r="T7252" t="s">
        <v>8696</v>
      </c>
      <c r="U7252" s="1">
        <v>43348</v>
      </c>
      <c r="V7252" t="s">
        <v>80</v>
      </c>
      <c r="W7252" t="s">
        <v>81</v>
      </c>
      <c r="X7252" t="s">
        <v>58</v>
      </c>
      <c r="Y7252">
        <v>24</v>
      </c>
      <c r="Z7252" t="s">
        <v>59</v>
      </c>
      <c r="AA7252" t="s">
        <v>59</v>
      </c>
      <c r="AB7252" t="s">
        <v>59</v>
      </c>
      <c r="AC7252" t="s">
        <v>59</v>
      </c>
      <c r="AD7252" t="s">
        <v>59</v>
      </c>
      <c r="AF7252" s="1">
        <v>43348</v>
      </c>
      <c r="AG7252" t="s">
        <v>8645</v>
      </c>
      <c r="AH7252" t="s">
        <v>8646</v>
      </c>
      <c r="AI7252" t="str">
        <f>"9170097"</f>
        <v>9170097</v>
      </c>
      <c r="AJ7252" t="s">
        <v>8826</v>
      </c>
      <c r="AK7252">
        <v>2810751807</v>
      </c>
      <c r="AL7252" t="s">
        <v>8827</v>
      </c>
      <c r="AM7252" t="s">
        <v>78</v>
      </c>
      <c r="AN7252" t="s">
        <v>424</v>
      </c>
      <c r="AO7252" t="s">
        <v>425</v>
      </c>
      <c r="AP7252" t="s">
        <v>425</v>
      </c>
      <c r="AQ7252">
        <v>11</v>
      </c>
      <c r="AR7252" t="s">
        <v>80</v>
      </c>
      <c r="AS7252" t="s">
        <v>81</v>
      </c>
      <c r="AT7252" t="s">
        <v>58</v>
      </c>
      <c r="AU7252" t="s">
        <v>350</v>
      </c>
      <c r="AV7252" t="s">
        <v>132</v>
      </c>
      <c r="AW7252" s="1">
        <v>32567</v>
      </c>
      <c r="AX7252">
        <v>1</v>
      </c>
    </row>
    <row r="7253" spans="1:50">
      <c r="B7253" t="str">
        <f>"102351228"</f>
        <v>102351228</v>
      </c>
      <c r="C7253" t="s">
        <v>105</v>
      </c>
      <c r="D7253" t="s">
        <v>11639</v>
      </c>
      <c r="E7253" t="s">
        <v>965</v>
      </c>
      <c r="F7253" t="s">
        <v>99</v>
      </c>
      <c r="G7253" t="s">
        <v>1085</v>
      </c>
      <c r="H7253" t="str">
        <f>"Κ. ΚΑΖΑΝΤΖΗ 5 ΑΓΡΙΝΙΟ"</f>
        <v>Κ. ΚΑΖΑΝΤΖΗ 5 ΑΓΡΙΝΙΟ</v>
      </c>
      <c r="I7253">
        <v>30100</v>
      </c>
      <c r="J7253">
        <v>2641020361</v>
      </c>
      <c r="K7253">
        <v>6937407922</v>
      </c>
      <c r="N7253" t="s">
        <v>204</v>
      </c>
      <c r="O7253" t="s">
        <v>205</v>
      </c>
      <c r="R7253" t="s">
        <v>159</v>
      </c>
      <c r="S7253">
        <v>3</v>
      </c>
      <c r="T7253" t="s">
        <v>8675</v>
      </c>
      <c r="U7253" s="1">
        <v>43348</v>
      </c>
      <c r="V7253" t="s">
        <v>80</v>
      </c>
      <c r="W7253" t="s">
        <v>81</v>
      </c>
      <c r="X7253" t="s">
        <v>58</v>
      </c>
      <c r="Y7253">
        <v>24</v>
      </c>
      <c r="Z7253" t="s">
        <v>59</v>
      </c>
      <c r="AA7253" t="s">
        <v>59</v>
      </c>
      <c r="AB7253" t="s">
        <v>59</v>
      </c>
      <c r="AC7253" t="s">
        <v>59</v>
      </c>
      <c r="AD7253" t="s">
        <v>59</v>
      </c>
      <c r="AF7253" s="1">
        <v>43348</v>
      </c>
      <c r="AG7253" t="s">
        <v>8645</v>
      </c>
      <c r="AH7253" t="s">
        <v>8646</v>
      </c>
      <c r="AI7253" t="str">
        <f>"9170338"</f>
        <v>9170338</v>
      </c>
      <c r="AJ7253" t="s">
        <v>8849</v>
      </c>
      <c r="AK7253">
        <v>2892051377</v>
      </c>
      <c r="AL7253" t="s">
        <v>8850</v>
      </c>
      <c r="AM7253" t="s">
        <v>78</v>
      </c>
      <c r="AN7253" t="s">
        <v>242</v>
      </c>
      <c r="AO7253" t="s">
        <v>349</v>
      </c>
      <c r="AP7253" t="s">
        <v>349</v>
      </c>
      <c r="AQ7253">
        <v>19</v>
      </c>
      <c r="AR7253" t="s">
        <v>80</v>
      </c>
      <c r="AS7253" t="s">
        <v>81</v>
      </c>
      <c r="AT7253" t="s">
        <v>58</v>
      </c>
      <c r="AU7253" t="s">
        <v>8673</v>
      </c>
      <c r="AV7253" t="s">
        <v>132</v>
      </c>
      <c r="AW7253" s="1">
        <v>29624</v>
      </c>
      <c r="AX7253">
        <v>1</v>
      </c>
    </row>
    <row r="7254" spans="1:50">
      <c r="A7254">
        <v>608820</v>
      </c>
      <c r="B7254" t="str">
        <f>"114136937"</f>
        <v>114136937</v>
      </c>
      <c r="C7254" t="s">
        <v>50</v>
      </c>
      <c r="D7254" t="s">
        <v>11640</v>
      </c>
      <c r="E7254" t="s">
        <v>52</v>
      </c>
      <c r="F7254" t="s">
        <v>154</v>
      </c>
      <c r="G7254" t="s">
        <v>868</v>
      </c>
      <c r="H7254" t="str">
        <f>"ΤΗΛ. ΠΛΕΥΡΗ 1 ΗΡΑΚΛΕΙΟ"</f>
        <v>ΤΗΛ. ΠΛΕΥΡΗ 1 ΗΡΑΚΛΕΙΟ</v>
      </c>
      <c r="I7254">
        <v>71306</v>
      </c>
      <c r="J7254">
        <v>2495091085</v>
      </c>
      <c r="K7254">
        <v>6943275577</v>
      </c>
      <c r="N7254" t="s">
        <v>1525</v>
      </c>
      <c r="O7254" t="s">
        <v>1526</v>
      </c>
      <c r="R7254" t="s">
        <v>57</v>
      </c>
      <c r="S7254">
        <v>7</v>
      </c>
      <c r="T7254" t="s">
        <v>10441</v>
      </c>
      <c r="U7254" s="1">
        <v>38601</v>
      </c>
      <c r="V7254" t="s">
        <v>80</v>
      </c>
      <c r="W7254" t="s">
        <v>81</v>
      </c>
      <c r="X7254" t="s">
        <v>58</v>
      </c>
      <c r="Y7254">
        <v>25</v>
      </c>
      <c r="Z7254" t="s">
        <v>59</v>
      </c>
      <c r="AA7254" t="s">
        <v>59</v>
      </c>
      <c r="AB7254" t="s">
        <v>59</v>
      </c>
      <c r="AC7254" t="s">
        <v>59</v>
      </c>
      <c r="AD7254" t="s">
        <v>59</v>
      </c>
      <c r="AF7254" s="1">
        <v>38601</v>
      </c>
      <c r="AG7254" t="s">
        <v>8651</v>
      </c>
      <c r="AH7254" t="s">
        <v>8652</v>
      </c>
      <c r="AI7254" t="str">
        <f>"9170106"</f>
        <v>9170106</v>
      </c>
      <c r="AJ7254" t="s">
        <v>9565</v>
      </c>
      <c r="AK7254">
        <v>2810341815</v>
      </c>
      <c r="AL7254" t="s">
        <v>9566</v>
      </c>
      <c r="AM7254" t="s">
        <v>78</v>
      </c>
      <c r="AN7254" t="s">
        <v>78</v>
      </c>
      <c r="AO7254" t="s">
        <v>78</v>
      </c>
      <c r="AP7254" t="s">
        <v>79</v>
      </c>
      <c r="AQ7254">
        <v>1</v>
      </c>
      <c r="AR7254" t="s">
        <v>80</v>
      </c>
      <c r="AS7254" t="s">
        <v>81</v>
      </c>
      <c r="AT7254" t="s">
        <v>58</v>
      </c>
      <c r="AU7254" t="s">
        <v>68</v>
      </c>
      <c r="AV7254" t="s">
        <v>69</v>
      </c>
      <c r="AW7254" s="1">
        <v>24140</v>
      </c>
      <c r="AX7254">
        <v>1</v>
      </c>
    </row>
    <row r="7255" spans="1:50">
      <c r="A7255">
        <v>618854</v>
      </c>
      <c r="B7255" t="str">
        <f>"144188773"</f>
        <v>144188773</v>
      </c>
      <c r="C7255" t="s">
        <v>50</v>
      </c>
      <c r="D7255" t="s">
        <v>11641</v>
      </c>
      <c r="E7255" t="s">
        <v>620</v>
      </c>
      <c r="F7255" t="s">
        <v>84</v>
      </c>
      <c r="G7255" t="s">
        <v>687</v>
      </c>
      <c r="H7255" t="str">
        <f>"ΣΜΥΡΝΗΣ 31 ΕΥΟΣΜΟΣ ΘΕΣ/ΝΙΚΗ"</f>
        <v>ΣΜΥΡΝΗΣ 31 ΕΥΟΣΜΟΣ ΘΕΣ/ΝΙΚΗ</v>
      </c>
      <c r="I7255">
        <v>56224</v>
      </c>
      <c r="J7255">
        <v>2310770119</v>
      </c>
      <c r="K7255">
        <v>6972469465</v>
      </c>
      <c r="M7255" t="s">
        <v>11642</v>
      </c>
      <c r="N7255" t="s">
        <v>615</v>
      </c>
      <c r="O7255" t="s">
        <v>616</v>
      </c>
      <c r="R7255" t="s">
        <v>57</v>
      </c>
      <c r="S7255">
        <v>5</v>
      </c>
      <c r="T7255">
        <v>774</v>
      </c>
      <c r="U7255" s="1">
        <v>39680</v>
      </c>
      <c r="V7255" t="s">
        <v>80</v>
      </c>
      <c r="W7255" t="s">
        <v>81</v>
      </c>
      <c r="X7255" t="s">
        <v>58</v>
      </c>
      <c r="Y7255">
        <v>23</v>
      </c>
      <c r="Z7255" t="s">
        <v>59</v>
      </c>
      <c r="AA7255" t="s">
        <v>59</v>
      </c>
      <c r="AB7255" t="s">
        <v>452</v>
      </c>
      <c r="AC7255" t="s">
        <v>59</v>
      </c>
      <c r="AD7255" t="s">
        <v>59</v>
      </c>
      <c r="AF7255" s="1">
        <v>39680</v>
      </c>
      <c r="AG7255" t="s">
        <v>8645</v>
      </c>
      <c r="AH7255" t="s">
        <v>8646</v>
      </c>
      <c r="AI7255" t="str">
        <f>"9170263"</f>
        <v>9170263</v>
      </c>
      <c r="AJ7255" t="s">
        <v>8942</v>
      </c>
      <c r="AK7255">
        <v>2810346939</v>
      </c>
      <c r="AL7255" t="s">
        <v>8943</v>
      </c>
      <c r="AM7255" t="s">
        <v>78</v>
      </c>
      <c r="AN7255" t="s">
        <v>78</v>
      </c>
      <c r="AO7255" t="s">
        <v>286</v>
      </c>
      <c r="AP7255" t="s">
        <v>286</v>
      </c>
      <c r="AQ7255">
        <v>1</v>
      </c>
      <c r="AR7255" t="s">
        <v>80</v>
      </c>
      <c r="AS7255" t="s">
        <v>81</v>
      </c>
      <c r="AT7255" t="s">
        <v>58</v>
      </c>
      <c r="AU7255" t="s">
        <v>68</v>
      </c>
      <c r="AV7255" t="s">
        <v>69</v>
      </c>
      <c r="AW7255" s="1">
        <v>31240</v>
      </c>
      <c r="AX7255">
        <v>1</v>
      </c>
    </row>
    <row r="7256" spans="1:50">
      <c r="A7256">
        <v>588716</v>
      </c>
      <c r="B7256" t="str">
        <f>"039456590"</f>
        <v>039456590</v>
      </c>
      <c r="C7256" t="s">
        <v>105</v>
      </c>
      <c r="D7256" t="s">
        <v>11643</v>
      </c>
      <c r="E7256" t="s">
        <v>72</v>
      </c>
      <c r="F7256" t="s">
        <v>95</v>
      </c>
      <c r="G7256" t="s">
        <v>155</v>
      </c>
      <c r="H7256" t="str">
        <f>"ΕΥΤΕΡΠΗΣ 29 ΗΡΑΚΛΕΙΟ"</f>
        <v>ΕΥΤΕΡΠΗΣ 29 ΗΡΑΚΛΕΙΟ</v>
      </c>
      <c r="I7256">
        <v>71409</v>
      </c>
      <c r="J7256">
        <v>2810237958</v>
      </c>
      <c r="K7256">
        <v>6972861826</v>
      </c>
      <c r="M7256" t="s">
        <v>11644</v>
      </c>
      <c r="N7256" t="s">
        <v>615</v>
      </c>
      <c r="O7256" t="s">
        <v>616</v>
      </c>
      <c r="R7256" t="s">
        <v>57</v>
      </c>
      <c r="S7256">
        <v>10</v>
      </c>
      <c r="T7256">
        <v>176</v>
      </c>
      <c r="U7256" s="1">
        <v>36403</v>
      </c>
      <c r="V7256" t="s">
        <v>80</v>
      </c>
      <c r="W7256" t="s">
        <v>81</v>
      </c>
      <c r="X7256" t="s">
        <v>58</v>
      </c>
      <c r="Y7256">
        <v>21</v>
      </c>
      <c r="Z7256" t="s">
        <v>59</v>
      </c>
      <c r="AA7256" t="s">
        <v>59</v>
      </c>
      <c r="AB7256" t="s">
        <v>59</v>
      </c>
      <c r="AC7256" t="s">
        <v>59</v>
      </c>
      <c r="AD7256" t="s">
        <v>59</v>
      </c>
      <c r="AF7256" s="1">
        <v>36404</v>
      </c>
      <c r="AG7256" t="s">
        <v>8645</v>
      </c>
      <c r="AH7256" t="s">
        <v>8646</v>
      </c>
      <c r="AI7256" t="str">
        <f>"9521093"</f>
        <v>9521093</v>
      </c>
      <c r="AJ7256" t="s">
        <v>9153</v>
      </c>
      <c r="AK7256">
        <v>2810322162</v>
      </c>
      <c r="AL7256" t="s">
        <v>9154</v>
      </c>
      <c r="AM7256" t="s">
        <v>78</v>
      </c>
      <c r="AN7256" t="s">
        <v>78</v>
      </c>
      <c r="AO7256" t="s">
        <v>78</v>
      </c>
      <c r="AP7256" t="s">
        <v>163</v>
      </c>
      <c r="AQ7256">
        <v>1</v>
      </c>
      <c r="AR7256" t="s">
        <v>80</v>
      </c>
      <c r="AS7256" t="s">
        <v>81</v>
      </c>
      <c r="AT7256" t="s">
        <v>58</v>
      </c>
      <c r="AU7256" t="s">
        <v>68</v>
      </c>
      <c r="AV7256" t="s">
        <v>69</v>
      </c>
      <c r="AW7256" s="1">
        <v>23264</v>
      </c>
      <c r="AX7256">
        <v>1</v>
      </c>
    </row>
    <row r="7257" spans="1:50">
      <c r="A7257">
        <v>564823</v>
      </c>
      <c r="B7257" t="str">
        <f>"032824019"</f>
        <v>032824019</v>
      </c>
      <c r="C7257" t="s">
        <v>105</v>
      </c>
      <c r="D7257" t="s">
        <v>11643</v>
      </c>
      <c r="E7257" t="s">
        <v>111</v>
      </c>
      <c r="F7257" t="s">
        <v>72</v>
      </c>
      <c r="G7257" t="s">
        <v>237</v>
      </c>
      <c r="H7257" t="str">
        <f>"ΒΑΡΝΗΣ 30 ΗΡΑΚΛΕΙΟ"</f>
        <v>ΒΑΡΝΗΣ 30 ΗΡΑΚΛΕΙΟ</v>
      </c>
      <c r="I7257">
        <v>71305</v>
      </c>
      <c r="J7257">
        <v>2810261918</v>
      </c>
      <c r="K7257">
        <v>6974385173</v>
      </c>
      <c r="N7257" t="s">
        <v>615</v>
      </c>
      <c r="O7257" t="s">
        <v>616</v>
      </c>
      <c r="R7257" t="s">
        <v>57</v>
      </c>
      <c r="S7257">
        <v>15</v>
      </c>
      <c r="T7257">
        <v>161</v>
      </c>
      <c r="U7257" s="1">
        <v>33119</v>
      </c>
      <c r="V7257" t="s">
        <v>80</v>
      </c>
      <c r="W7257" t="s">
        <v>81</v>
      </c>
      <c r="X7257" t="s">
        <v>58</v>
      </c>
      <c r="Y7257">
        <v>21</v>
      </c>
      <c r="Z7257" t="s">
        <v>59</v>
      </c>
      <c r="AA7257" t="s">
        <v>59</v>
      </c>
      <c r="AB7257" t="s">
        <v>59</v>
      </c>
      <c r="AC7257" t="s">
        <v>59</v>
      </c>
      <c r="AD7257" t="s">
        <v>59</v>
      </c>
      <c r="AF7257" s="1">
        <v>33121</v>
      </c>
      <c r="AG7257" t="s">
        <v>8645</v>
      </c>
      <c r="AH7257" t="s">
        <v>8646</v>
      </c>
      <c r="AI7257" t="str">
        <f>"9170057"</f>
        <v>9170057</v>
      </c>
      <c r="AJ7257" t="s">
        <v>8929</v>
      </c>
      <c r="AK7257">
        <v>2810251505</v>
      </c>
      <c r="AL7257" t="s">
        <v>8930</v>
      </c>
      <c r="AM7257" t="s">
        <v>78</v>
      </c>
      <c r="AN7257" t="s">
        <v>78</v>
      </c>
      <c r="AO7257" t="s">
        <v>78</v>
      </c>
      <c r="AP7257" t="s">
        <v>141</v>
      </c>
      <c r="AQ7257">
        <v>1</v>
      </c>
      <c r="AR7257" t="s">
        <v>80</v>
      </c>
      <c r="AS7257" t="s">
        <v>81</v>
      </c>
      <c r="AT7257" t="s">
        <v>58</v>
      </c>
      <c r="AU7257" t="s">
        <v>68</v>
      </c>
      <c r="AV7257" t="s">
        <v>69</v>
      </c>
      <c r="AW7257" s="1">
        <v>23760</v>
      </c>
      <c r="AX7257">
        <v>1</v>
      </c>
    </row>
    <row r="7258" spans="1:50">
      <c r="B7258" t="str">
        <f>"138959291"</f>
        <v>138959291</v>
      </c>
      <c r="C7258" t="s">
        <v>105</v>
      </c>
      <c r="D7258" t="s">
        <v>4096</v>
      </c>
      <c r="E7258" t="s">
        <v>84</v>
      </c>
      <c r="F7258" t="s">
        <v>99</v>
      </c>
      <c r="G7258" t="s">
        <v>52</v>
      </c>
      <c r="H7258" t="str">
        <f>"Τ.Θ. 18 ΒΟΥΤΕΣ ΗΡΑΚΛΕΙΟΥ"</f>
        <v>Τ.Θ. 18 ΒΟΥΤΕΣ ΗΡΑΚΛΕΙΟΥ</v>
      </c>
      <c r="I7258">
        <v>70013</v>
      </c>
      <c r="J7258">
        <v>2810542410</v>
      </c>
      <c r="K7258">
        <v>6977611202</v>
      </c>
      <c r="N7258" t="s">
        <v>615</v>
      </c>
      <c r="O7258" t="s">
        <v>616</v>
      </c>
      <c r="R7258" t="s">
        <v>159</v>
      </c>
      <c r="S7258">
        <v>5</v>
      </c>
      <c r="T7258" t="s">
        <v>8675</v>
      </c>
      <c r="U7258" s="1">
        <v>43348</v>
      </c>
      <c r="V7258" t="s">
        <v>80</v>
      </c>
      <c r="W7258" t="s">
        <v>81</v>
      </c>
      <c r="X7258" t="s">
        <v>58</v>
      </c>
      <c r="Y7258">
        <v>24</v>
      </c>
      <c r="Z7258" t="s">
        <v>59</v>
      </c>
      <c r="AA7258" t="s">
        <v>59</v>
      </c>
      <c r="AB7258" t="s">
        <v>59</v>
      </c>
      <c r="AC7258" t="s">
        <v>59</v>
      </c>
      <c r="AD7258" t="s">
        <v>59</v>
      </c>
      <c r="AF7258" s="1">
        <v>43348</v>
      </c>
      <c r="AG7258" t="s">
        <v>8645</v>
      </c>
      <c r="AH7258" t="s">
        <v>8646</v>
      </c>
      <c r="AI7258" t="str">
        <f>"9170061"</f>
        <v>9170061</v>
      </c>
      <c r="AJ7258" t="s">
        <v>8869</v>
      </c>
      <c r="AK7258">
        <v>2810791254</v>
      </c>
      <c r="AL7258" t="s">
        <v>8870</v>
      </c>
      <c r="AM7258" t="s">
        <v>78</v>
      </c>
      <c r="AN7258" t="s">
        <v>78</v>
      </c>
      <c r="AO7258" t="s">
        <v>78</v>
      </c>
      <c r="AP7258" t="s">
        <v>8871</v>
      </c>
      <c r="AQ7258">
        <v>3</v>
      </c>
      <c r="AR7258" t="s">
        <v>80</v>
      </c>
      <c r="AS7258" t="s">
        <v>81</v>
      </c>
      <c r="AT7258" t="s">
        <v>58</v>
      </c>
      <c r="AU7258" t="s">
        <v>8673</v>
      </c>
      <c r="AV7258" t="s">
        <v>132</v>
      </c>
      <c r="AW7258" s="1">
        <v>31539</v>
      </c>
      <c r="AX7258">
        <v>1</v>
      </c>
    </row>
    <row r="7259" spans="1:50">
      <c r="A7259">
        <v>574318</v>
      </c>
      <c r="B7259" t="str">
        <f>"055330145"</f>
        <v>055330145</v>
      </c>
      <c r="C7259" t="s">
        <v>50</v>
      </c>
      <c r="D7259" t="s">
        <v>4099</v>
      </c>
      <c r="E7259" t="s">
        <v>250</v>
      </c>
      <c r="F7259" t="s">
        <v>95</v>
      </c>
      <c r="G7259" t="s">
        <v>268</v>
      </c>
      <c r="H7259" t="str">
        <f>"ΑΣΤΥΡΑΚΑΚΗ 4 ΗΡΑΚΛΕΙΟ"</f>
        <v>ΑΣΤΥΡΑΚΑΚΗ 4 ΗΡΑΚΛΕΙΟ</v>
      </c>
      <c r="J7259">
        <v>2810328574</v>
      </c>
      <c r="K7259">
        <v>6975066210</v>
      </c>
      <c r="N7259" t="s">
        <v>615</v>
      </c>
      <c r="O7259" t="s">
        <v>616</v>
      </c>
      <c r="R7259" t="s">
        <v>57</v>
      </c>
      <c r="S7259">
        <v>12</v>
      </c>
      <c r="T7259">
        <v>165</v>
      </c>
      <c r="U7259" s="1">
        <v>34582</v>
      </c>
      <c r="V7259" t="s">
        <v>80</v>
      </c>
      <c r="W7259" t="s">
        <v>81</v>
      </c>
      <c r="X7259" t="s">
        <v>58</v>
      </c>
      <c r="Y7259">
        <v>21</v>
      </c>
      <c r="Z7259" t="s">
        <v>59</v>
      </c>
      <c r="AA7259" t="s">
        <v>59</v>
      </c>
      <c r="AB7259" t="s">
        <v>59</v>
      </c>
      <c r="AC7259" t="s">
        <v>59</v>
      </c>
      <c r="AD7259" t="s">
        <v>59</v>
      </c>
      <c r="AF7259" s="1">
        <v>34582</v>
      </c>
      <c r="AG7259" t="s">
        <v>8645</v>
      </c>
      <c r="AH7259" t="s">
        <v>8646</v>
      </c>
      <c r="AI7259" t="str">
        <f>"9170517"</f>
        <v>9170517</v>
      </c>
      <c r="AJ7259" t="s">
        <v>9248</v>
      </c>
      <c r="AK7259">
        <v>2810238757</v>
      </c>
      <c r="AL7259" t="s">
        <v>9249</v>
      </c>
      <c r="AM7259" t="s">
        <v>78</v>
      </c>
      <c r="AN7259" t="s">
        <v>78</v>
      </c>
      <c r="AO7259" t="s">
        <v>78</v>
      </c>
      <c r="AP7259" t="s">
        <v>163</v>
      </c>
      <c r="AQ7259">
        <v>1</v>
      </c>
      <c r="AR7259" t="s">
        <v>80</v>
      </c>
      <c r="AS7259" t="s">
        <v>81</v>
      </c>
      <c r="AT7259" t="s">
        <v>58</v>
      </c>
      <c r="AU7259" t="s">
        <v>68</v>
      </c>
      <c r="AV7259" t="s">
        <v>69</v>
      </c>
      <c r="AW7259" s="1">
        <v>23844</v>
      </c>
      <c r="AX7259">
        <v>1</v>
      </c>
    </row>
    <row r="7260" spans="1:50">
      <c r="A7260">
        <v>594985</v>
      </c>
      <c r="B7260" t="str">
        <f>"061303762"</f>
        <v>061303762</v>
      </c>
      <c r="C7260" t="s">
        <v>50</v>
      </c>
      <c r="D7260" t="s">
        <v>4099</v>
      </c>
      <c r="E7260" t="s">
        <v>215</v>
      </c>
      <c r="F7260" t="s">
        <v>95</v>
      </c>
      <c r="G7260" t="s">
        <v>553</v>
      </c>
      <c r="H7260" t="str">
        <f>"ΕΥΑΓΓΕΛΙΣΜΟΥ &amp; ΜΕΣΑΜΠΡΛΙΕΣ 2810324448"</f>
        <v>ΕΥΑΓΓΕΛΙΣΜΟΥ &amp; ΜΕΣΑΜΠΡΛΙΕΣ 2810324448</v>
      </c>
      <c r="J7260">
        <v>2810324448</v>
      </c>
      <c r="K7260">
        <v>6946583203</v>
      </c>
      <c r="N7260" t="s">
        <v>615</v>
      </c>
      <c r="O7260" t="s">
        <v>616</v>
      </c>
      <c r="R7260" t="s">
        <v>57</v>
      </c>
      <c r="S7260">
        <v>8</v>
      </c>
      <c r="T7260">
        <v>218</v>
      </c>
      <c r="U7260" s="1">
        <v>37134</v>
      </c>
      <c r="V7260" t="s">
        <v>80</v>
      </c>
      <c r="W7260" t="s">
        <v>81</v>
      </c>
      <c r="X7260" t="s">
        <v>58</v>
      </c>
      <c r="Y7260">
        <v>22</v>
      </c>
      <c r="Z7260" t="s">
        <v>59</v>
      </c>
      <c r="AA7260" t="s">
        <v>59</v>
      </c>
      <c r="AB7260" t="s">
        <v>59</v>
      </c>
      <c r="AC7260" t="s">
        <v>59</v>
      </c>
      <c r="AD7260" t="s">
        <v>59</v>
      </c>
      <c r="AF7260" s="1">
        <v>37137</v>
      </c>
      <c r="AG7260" t="s">
        <v>8645</v>
      </c>
      <c r="AH7260" t="s">
        <v>8646</v>
      </c>
      <c r="AI7260" t="str">
        <f>"9170517"</f>
        <v>9170517</v>
      </c>
      <c r="AJ7260" t="s">
        <v>9248</v>
      </c>
      <c r="AK7260">
        <v>2810238757</v>
      </c>
      <c r="AL7260" t="s">
        <v>9249</v>
      </c>
      <c r="AM7260" t="s">
        <v>78</v>
      </c>
      <c r="AN7260" t="s">
        <v>78</v>
      </c>
      <c r="AO7260" t="s">
        <v>78</v>
      </c>
      <c r="AP7260" t="s">
        <v>163</v>
      </c>
      <c r="AQ7260">
        <v>1</v>
      </c>
      <c r="AR7260" t="s">
        <v>80</v>
      </c>
      <c r="AS7260" t="s">
        <v>81</v>
      </c>
      <c r="AT7260" t="s">
        <v>58</v>
      </c>
      <c r="AU7260" t="s">
        <v>68</v>
      </c>
      <c r="AV7260" t="s">
        <v>69</v>
      </c>
      <c r="AW7260" s="1">
        <v>26893</v>
      </c>
      <c r="AX7260">
        <v>1</v>
      </c>
    </row>
    <row r="7261" spans="1:50">
      <c r="A7261">
        <v>594718</v>
      </c>
      <c r="B7261" t="str">
        <f>"068137395"</f>
        <v>068137395</v>
      </c>
      <c r="C7261" t="s">
        <v>50</v>
      </c>
      <c r="D7261" t="s">
        <v>4099</v>
      </c>
      <c r="E7261" t="s">
        <v>181</v>
      </c>
      <c r="F7261" t="s">
        <v>106</v>
      </c>
      <c r="G7261" t="s">
        <v>73</v>
      </c>
      <c r="H7261" t="str">
        <f>"ΚΑΣΤΕΛΛΙ ΚΑΙΝΟΥΡΙΟΥ "</f>
        <v xml:space="preserve">ΚΑΣΤΕΛΛΙ ΚΑΙΝΟΥΡΙΟΥ </v>
      </c>
      <c r="K7261">
        <v>6937193784</v>
      </c>
      <c r="N7261" t="s">
        <v>615</v>
      </c>
      <c r="O7261" t="s">
        <v>616</v>
      </c>
      <c r="R7261" t="s">
        <v>57</v>
      </c>
      <c r="S7261">
        <v>9</v>
      </c>
      <c r="T7261">
        <v>218</v>
      </c>
      <c r="U7261" s="1">
        <v>37134</v>
      </c>
      <c r="V7261" t="s">
        <v>80</v>
      </c>
      <c r="W7261" t="s">
        <v>81</v>
      </c>
      <c r="X7261" t="s">
        <v>58</v>
      </c>
      <c r="Y7261">
        <v>22</v>
      </c>
      <c r="Z7261" t="s">
        <v>59</v>
      </c>
      <c r="AA7261" t="s">
        <v>59</v>
      </c>
      <c r="AB7261" t="s">
        <v>59</v>
      </c>
      <c r="AC7261" t="s">
        <v>59</v>
      </c>
      <c r="AD7261" t="s">
        <v>59</v>
      </c>
      <c r="AF7261" s="1">
        <v>37137</v>
      </c>
      <c r="AG7261" t="s">
        <v>8645</v>
      </c>
      <c r="AH7261" t="s">
        <v>8646</v>
      </c>
      <c r="AI7261" t="str">
        <f>"9170495"</f>
        <v>9170495</v>
      </c>
      <c r="AJ7261" t="s">
        <v>8838</v>
      </c>
      <c r="AK7261">
        <v>2892023325</v>
      </c>
      <c r="AL7261" t="s">
        <v>8839</v>
      </c>
      <c r="AM7261" t="s">
        <v>78</v>
      </c>
      <c r="AN7261" t="s">
        <v>242</v>
      </c>
      <c r="AO7261" t="s">
        <v>243</v>
      </c>
      <c r="AP7261" t="s">
        <v>243</v>
      </c>
      <c r="AQ7261">
        <v>20</v>
      </c>
      <c r="AR7261" t="s">
        <v>80</v>
      </c>
      <c r="AS7261" t="s">
        <v>81</v>
      </c>
      <c r="AT7261" t="s">
        <v>58</v>
      </c>
      <c r="AU7261" t="s">
        <v>68</v>
      </c>
      <c r="AV7261" t="s">
        <v>69</v>
      </c>
      <c r="AW7261" s="1">
        <v>26406</v>
      </c>
      <c r="AX7261">
        <v>1</v>
      </c>
    </row>
    <row r="7262" spans="1:50">
      <c r="A7262">
        <v>618080</v>
      </c>
      <c r="B7262" t="str">
        <f>"079092262"</f>
        <v>079092262</v>
      </c>
      <c r="C7262" t="s">
        <v>50</v>
      </c>
      <c r="D7262" t="s">
        <v>4099</v>
      </c>
      <c r="E7262" t="s">
        <v>2370</v>
      </c>
      <c r="F7262" t="s">
        <v>95</v>
      </c>
      <c r="G7262" t="s">
        <v>553</v>
      </c>
      <c r="H7262" t="str">
        <f>"ΕΥΑΓΓΕΛΙΣΜΟΥ 8 ΗΡΑΚΛΕΙΟ"</f>
        <v>ΕΥΑΓΓΕΛΙΣΜΟΥ 8 ΗΡΑΚΛΕΙΟ</v>
      </c>
      <c r="I7262">
        <v>71409</v>
      </c>
      <c r="J7262">
        <v>2810320838</v>
      </c>
      <c r="K7262">
        <v>6932774624</v>
      </c>
      <c r="N7262" t="s">
        <v>615</v>
      </c>
      <c r="O7262" t="s">
        <v>616</v>
      </c>
      <c r="R7262" t="s">
        <v>57</v>
      </c>
      <c r="S7262">
        <v>8</v>
      </c>
      <c r="T7262">
        <v>774</v>
      </c>
      <c r="U7262" s="1">
        <v>39680</v>
      </c>
      <c r="V7262" t="s">
        <v>80</v>
      </c>
      <c r="W7262" t="s">
        <v>81</v>
      </c>
      <c r="X7262" t="s">
        <v>58</v>
      </c>
      <c r="Y7262">
        <v>23</v>
      </c>
      <c r="Z7262" t="s">
        <v>59</v>
      </c>
      <c r="AA7262" t="s">
        <v>59</v>
      </c>
      <c r="AB7262" t="s">
        <v>59</v>
      </c>
      <c r="AC7262" t="s">
        <v>59</v>
      </c>
      <c r="AD7262" t="s">
        <v>59</v>
      </c>
      <c r="AF7262" s="1">
        <v>39681</v>
      </c>
      <c r="AG7262" t="s">
        <v>8645</v>
      </c>
      <c r="AH7262" t="s">
        <v>8646</v>
      </c>
      <c r="AI7262" t="str">
        <f>"9170533"</f>
        <v>9170533</v>
      </c>
      <c r="AJ7262" t="s">
        <v>9091</v>
      </c>
      <c r="AK7262">
        <v>2810239434</v>
      </c>
      <c r="AL7262" t="s">
        <v>9092</v>
      </c>
      <c r="AM7262" t="s">
        <v>78</v>
      </c>
      <c r="AN7262" t="s">
        <v>78</v>
      </c>
      <c r="AO7262" t="s">
        <v>78</v>
      </c>
      <c r="AP7262" t="s">
        <v>163</v>
      </c>
      <c r="AQ7262">
        <v>1</v>
      </c>
      <c r="AR7262" t="s">
        <v>80</v>
      </c>
      <c r="AS7262" t="s">
        <v>81</v>
      </c>
      <c r="AT7262" t="s">
        <v>58</v>
      </c>
      <c r="AU7262" t="s">
        <v>68</v>
      </c>
      <c r="AV7262" t="s">
        <v>69</v>
      </c>
      <c r="AW7262" s="1">
        <v>26446</v>
      </c>
      <c r="AX7262">
        <v>1</v>
      </c>
    </row>
    <row r="7263" spans="1:50">
      <c r="A7263">
        <v>550951</v>
      </c>
      <c r="B7263" t="str">
        <f>"028255031"</f>
        <v>028255031</v>
      </c>
      <c r="C7263" t="s">
        <v>105</v>
      </c>
      <c r="D7263" t="s">
        <v>11645</v>
      </c>
      <c r="E7263" t="s">
        <v>106</v>
      </c>
      <c r="F7263" t="s">
        <v>154</v>
      </c>
      <c r="G7263" t="s">
        <v>250</v>
      </c>
      <c r="H7263" t="str">
        <f>"ΚΡΟΥΣΩΝΑ  ΗΡΑΚΛΕΙΟ"</f>
        <v>ΚΡΟΥΣΩΝΑ  ΗΡΑΚΛΕΙΟ</v>
      </c>
      <c r="I7263">
        <v>70001</v>
      </c>
      <c r="J7263">
        <v>2810711432</v>
      </c>
      <c r="K7263">
        <v>6972500033</v>
      </c>
      <c r="M7263" t="s">
        <v>11646</v>
      </c>
      <c r="N7263" t="s">
        <v>615</v>
      </c>
      <c r="O7263" t="s">
        <v>616</v>
      </c>
      <c r="R7263" t="s">
        <v>57</v>
      </c>
      <c r="S7263">
        <v>17</v>
      </c>
      <c r="T7263">
        <v>281</v>
      </c>
      <c r="U7263" s="1">
        <v>30571</v>
      </c>
      <c r="V7263" t="s">
        <v>80</v>
      </c>
      <c r="W7263" t="s">
        <v>81</v>
      </c>
      <c r="X7263" t="s">
        <v>58</v>
      </c>
      <c r="Y7263">
        <v>21</v>
      </c>
      <c r="Z7263" t="s">
        <v>59</v>
      </c>
      <c r="AA7263" t="s">
        <v>59</v>
      </c>
      <c r="AB7263" t="s">
        <v>59</v>
      </c>
      <c r="AC7263" t="s">
        <v>59</v>
      </c>
      <c r="AD7263" t="s">
        <v>59</v>
      </c>
      <c r="AF7263" s="1">
        <v>30571</v>
      </c>
      <c r="AG7263" t="s">
        <v>8645</v>
      </c>
      <c r="AH7263" t="s">
        <v>8646</v>
      </c>
      <c r="AI7263" t="str">
        <f>"9170028"</f>
        <v>9170028</v>
      </c>
      <c r="AJ7263" t="s">
        <v>9791</v>
      </c>
      <c r="AK7263">
        <v>2810711204</v>
      </c>
      <c r="AL7263" t="s">
        <v>9792</v>
      </c>
      <c r="AM7263" t="s">
        <v>78</v>
      </c>
      <c r="AN7263" t="s">
        <v>129</v>
      </c>
      <c r="AO7263" t="s">
        <v>597</v>
      </c>
      <c r="AP7263" t="s">
        <v>598</v>
      </c>
      <c r="AQ7263">
        <v>4</v>
      </c>
      <c r="AR7263" t="s">
        <v>80</v>
      </c>
      <c r="AS7263" t="s">
        <v>81</v>
      </c>
      <c r="AT7263" t="s">
        <v>58</v>
      </c>
      <c r="AU7263" t="s">
        <v>68</v>
      </c>
      <c r="AV7263" t="s">
        <v>69</v>
      </c>
      <c r="AW7263" s="1">
        <v>21400</v>
      </c>
      <c r="AX7263">
        <v>1</v>
      </c>
    </row>
    <row r="7264" spans="1:50">
      <c r="B7264" t="str">
        <f>"146904697"</f>
        <v>146904697</v>
      </c>
      <c r="C7264" t="s">
        <v>50</v>
      </c>
      <c r="D7264" t="s">
        <v>11647</v>
      </c>
      <c r="E7264" t="s">
        <v>83</v>
      </c>
      <c r="F7264" t="s">
        <v>450</v>
      </c>
      <c r="G7264" t="s">
        <v>52</v>
      </c>
      <c r="H7264" t="str">
        <f>"ΠΑΤΡΙΚΙ "</f>
        <v xml:space="preserve">ΠΑΤΡΙΚΙ </v>
      </c>
      <c r="I7264">
        <v>62200</v>
      </c>
      <c r="J7264">
        <v>2322051562</v>
      </c>
      <c r="K7264">
        <v>6974002936</v>
      </c>
      <c r="N7264" t="s">
        <v>615</v>
      </c>
      <c r="O7264" t="s">
        <v>616</v>
      </c>
      <c r="R7264" t="s">
        <v>159</v>
      </c>
      <c r="S7264">
        <v>5</v>
      </c>
      <c r="T7264" t="s">
        <v>8675</v>
      </c>
      <c r="U7264" s="1">
        <v>43348</v>
      </c>
      <c r="V7264" t="s">
        <v>80</v>
      </c>
      <c r="W7264" t="s">
        <v>81</v>
      </c>
      <c r="X7264" t="s">
        <v>58</v>
      </c>
      <c r="Y7264">
        <v>24</v>
      </c>
      <c r="Z7264" t="s">
        <v>59</v>
      </c>
      <c r="AA7264" t="s">
        <v>59</v>
      </c>
      <c r="AB7264" t="s">
        <v>59</v>
      </c>
      <c r="AC7264" t="s">
        <v>59</v>
      </c>
      <c r="AD7264" t="s">
        <v>59</v>
      </c>
      <c r="AF7264" s="1">
        <v>43348</v>
      </c>
      <c r="AG7264" t="s">
        <v>8645</v>
      </c>
      <c r="AH7264" t="s">
        <v>8646</v>
      </c>
      <c r="AI7264" t="str">
        <f>"9170068"</f>
        <v>9170068</v>
      </c>
      <c r="AJ7264" t="s">
        <v>8773</v>
      </c>
      <c r="AK7264">
        <v>2893031217</v>
      </c>
      <c r="AL7264" t="s">
        <v>8774</v>
      </c>
      <c r="AM7264" t="s">
        <v>78</v>
      </c>
      <c r="AN7264" t="s">
        <v>405</v>
      </c>
      <c r="AO7264" t="s">
        <v>805</v>
      </c>
      <c r="AP7264" t="s">
        <v>806</v>
      </c>
      <c r="AQ7264">
        <v>15</v>
      </c>
      <c r="AR7264" t="s">
        <v>80</v>
      </c>
      <c r="AS7264" t="s">
        <v>81</v>
      </c>
      <c r="AT7264" t="s">
        <v>58</v>
      </c>
      <c r="AU7264" t="s">
        <v>8673</v>
      </c>
      <c r="AV7264" t="s">
        <v>132</v>
      </c>
      <c r="AW7264" s="1">
        <v>32296</v>
      </c>
      <c r="AX7264">
        <v>1</v>
      </c>
    </row>
    <row r="7265" spans="1:50">
      <c r="B7265" t="str">
        <f>"120718628"</f>
        <v>120718628</v>
      </c>
      <c r="C7265" t="s">
        <v>50</v>
      </c>
      <c r="D7265" t="s">
        <v>11648</v>
      </c>
      <c r="E7265" t="s">
        <v>367</v>
      </c>
      <c r="F7265" t="s">
        <v>230</v>
      </c>
      <c r="G7265" t="s">
        <v>52</v>
      </c>
      <c r="H7265" t="str">
        <f>"ΘΕΣΣΑΛΟΝΙΚΗΣ 17 "</f>
        <v xml:space="preserve">ΘΕΣΣΑΛΟΝΙΚΗΣ 17 </v>
      </c>
      <c r="I7265">
        <v>60100</v>
      </c>
      <c r="J7265">
        <v>2351035695</v>
      </c>
      <c r="K7265">
        <v>6948065505</v>
      </c>
      <c r="N7265" t="s">
        <v>1525</v>
      </c>
      <c r="O7265" t="s">
        <v>1526</v>
      </c>
      <c r="R7265" t="s">
        <v>159</v>
      </c>
      <c r="S7265">
        <v>2</v>
      </c>
      <c r="T7265" t="s">
        <v>8670</v>
      </c>
      <c r="U7265" s="1">
        <v>43348</v>
      </c>
      <c r="V7265" t="s">
        <v>80</v>
      </c>
      <c r="W7265" t="s">
        <v>81</v>
      </c>
      <c r="X7265" t="s">
        <v>58</v>
      </c>
      <c r="Y7265">
        <v>25</v>
      </c>
      <c r="Z7265" t="s">
        <v>59</v>
      </c>
      <c r="AA7265" t="s">
        <v>59</v>
      </c>
      <c r="AB7265" t="s">
        <v>59</v>
      </c>
      <c r="AC7265" t="s">
        <v>59</v>
      </c>
      <c r="AD7265" t="s">
        <v>59</v>
      </c>
      <c r="AF7265" s="1">
        <v>43348</v>
      </c>
      <c r="AG7265" t="s">
        <v>8651</v>
      </c>
      <c r="AH7265" t="s">
        <v>8652</v>
      </c>
      <c r="AI7265" t="str">
        <f>"9170420"</f>
        <v>9170420</v>
      </c>
      <c r="AJ7265" t="s">
        <v>9969</v>
      </c>
      <c r="AK7265">
        <v>2892042820</v>
      </c>
      <c r="AL7265" t="s">
        <v>9970</v>
      </c>
      <c r="AM7265" t="s">
        <v>78</v>
      </c>
      <c r="AN7265" t="s">
        <v>242</v>
      </c>
      <c r="AO7265" t="s">
        <v>243</v>
      </c>
      <c r="AP7265" t="s">
        <v>9285</v>
      </c>
      <c r="AQ7265">
        <v>18</v>
      </c>
      <c r="AR7265" t="s">
        <v>80</v>
      </c>
      <c r="AS7265" t="s">
        <v>81</v>
      </c>
      <c r="AT7265" t="s">
        <v>58</v>
      </c>
      <c r="AU7265" t="s">
        <v>8673</v>
      </c>
      <c r="AV7265" t="s">
        <v>132</v>
      </c>
      <c r="AW7265" s="1">
        <v>31243</v>
      </c>
      <c r="AX7265">
        <v>1</v>
      </c>
    </row>
    <row r="7266" spans="1:50">
      <c r="A7266">
        <v>565483</v>
      </c>
      <c r="B7266" t="str">
        <f>"036745683"</f>
        <v>036745683</v>
      </c>
      <c r="C7266" t="s">
        <v>50</v>
      </c>
      <c r="D7266" t="s">
        <v>11649</v>
      </c>
      <c r="E7266" t="s">
        <v>83</v>
      </c>
      <c r="F7266" t="s">
        <v>2482</v>
      </c>
      <c r="G7266" t="s">
        <v>52</v>
      </c>
      <c r="H7266" t="str">
        <f>"ΜΑΝ. ΑΝΔΡΟΝΙΚΟΥ 20 ΗΡΑΚΛΕΙΟ"</f>
        <v>ΜΑΝ. ΑΝΔΡΟΝΙΚΟΥ 20 ΗΡΑΚΛΕΙΟ</v>
      </c>
      <c r="I7266">
        <v>71303</v>
      </c>
      <c r="J7266">
        <v>2810313728</v>
      </c>
      <c r="K7266">
        <v>6971824794</v>
      </c>
      <c r="N7266" t="s">
        <v>615</v>
      </c>
      <c r="O7266" t="s">
        <v>616</v>
      </c>
      <c r="P7266" t="s">
        <v>1647</v>
      </c>
      <c r="Q7266" t="s">
        <v>1648</v>
      </c>
      <c r="R7266" t="s">
        <v>57</v>
      </c>
      <c r="S7266">
        <v>15</v>
      </c>
      <c r="T7266">
        <v>161</v>
      </c>
      <c r="U7266" s="1">
        <v>33119</v>
      </c>
      <c r="V7266" t="s">
        <v>80</v>
      </c>
      <c r="W7266" t="s">
        <v>81</v>
      </c>
      <c r="X7266" t="s">
        <v>58</v>
      </c>
      <c r="Y7266">
        <v>21</v>
      </c>
      <c r="Z7266" t="s">
        <v>59</v>
      </c>
      <c r="AA7266" t="s">
        <v>59</v>
      </c>
      <c r="AB7266" t="s">
        <v>59</v>
      </c>
      <c r="AC7266" t="s">
        <v>59</v>
      </c>
      <c r="AD7266" t="s">
        <v>59</v>
      </c>
      <c r="AF7266" s="1">
        <v>33121</v>
      </c>
      <c r="AG7266" t="s">
        <v>8645</v>
      </c>
      <c r="AH7266" t="s">
        <v>8646</v>
      </c>
      <c r="AI7266" t="str">
        <f>"9170431"</f>
        <v>9170431</v>
      </c>
      <c r="AJ7266" t="s">
        <v>8658</v>
      </c>
      <c r="AK7266">
        <v>2810250952</v>
      </c>
      <c r="AL7266" t="s">
        <v>8659</v>
      </c>
      <c r="AM7266" t="s">
        <v>78</v>
      </c>
      <c r="AN7266" t="s">
        <v>78</v>
      </c>
      <c r="AO7266" t="s">
        <v>78</v>
      </c>
      <c r="AP7266" t="s">
        <v>141</v>
      </c>
      <c r="AQ7266">
        <v>1</v>
      </c>
      <c r="AR7266" t="s">
        <v>80</v>
      </c>
      <c r="AS7266" t="s">
        <v>81</v>
      </c>
      <c r="AT7266" t="s">
        <v>58</v>
      </c>
      <c r="AU7266" t="s">
        <v>68</v>
      </c>
      <c r="AV7266" t="s">
        <v>2039</v>
      </c>
      <c r="AW7266" s="1">
        <v>22472</v>
      </c>
      <c r="AX7266">
        <v>1</v>
      </c>
    </row>
    <row r="7267" spans="1:50">
      <c r="A7267">
        <v>618820</v>
      </c>
      <c r="B7267" t="str">
        <f>"123686183"</f>
        <v>123686183</v>
      </c>
      <c r="C7267" t="s">
        <v>50</v>
      </c>
      <c r="D7267" t="s">
        <v>11649</v>
      </c>
      <c r="E7267" t="s">
        <v>3705</v>
      </c>
      <c r="F7267" t="s">
        <v>95</v>
      </c>
      <c r="G7267" t="s">
        <v>52</v>
      </c>
      <c r="H7267" t="str">
        <f>"ΑΜΠΕΛΟΥΖΟΣ ΔΗΜΟΥ ΓΟΡΤΥΝΑΣ ΗΡΑΚΛΕΙΟ"</f>
        <v>ΑΜΠΕΛΟΥΖΟΣ ΔΗΜΟΥ ΓΟΡΤΥΝΑΣ ΗΡΑΚΛΕΙΟ</v>
      </c>
      <c r="I7267">
        <v>70012</v>
      </c>
      <c r="K7267">
        <v>6972932536</v>
      </c>
      <c r="M7267" t="s">
        <v>11650</v>
      </c>
      <c r="N7267" t="s">
        <v>615</v>
      </c>
      <c r="O7267" t="s">
        <v>616</v>
      </c>
      <c r="R7267" t="s">
        <v>57</v>
      </c>
      <c r="S7267">
        <v>5</v>
      </c>
      <c r="T7267">
        <v>774</v>
      </c>
      <c r="U7267" s="1">
        <v>39680</v>
      </c>
      <c r="V7267" t="s">
        <v>80</v>
      </c>
      <c r="W7267" t="s">
        <v>81</v>
      </c>
      <c r="X7267" t="s">
        <v>58</v>
      </c>
      <c r="Y7267">
        <v>23</v>
      </c>
      <c r="Z7267" t="s">
        <v>59</v>
      </c>
      <c r="AA7267" t="s">
        <v>59</v>
      </c>
      <c r="AB7267" t="s">
        <v>59</v>
      </c>
      <c r="AC7267" t="s">
        <v>59</v>
      </c>
      <c r="AD7267" t="s">
        <v>59</v>
      </c>
      <c r="AF7267" s="1">
        <v>39680</v>
      </c>
      <c r="AG7267" t="s">
        <v>8645</v>
      </c>
      <c r="AH7267" t="s">
        <v>8646</v>
      </c>
      <c r="AI7267" t="str">
        <f>"9170267"</f>
        <v>9170267</v>
      </c>
      <c r="AJ7267" t="s">
        <v>8840</v>
      </c>
      <c r="AK7267">
        <v>2892022320</v>
      </c>
      <c r="AL7267" t="s">
        <v>8841</v>
      </c>
      <c r="AM7267" t="s">
        <v>78</v>
      </c>
      <c r="AN7267" t="s">
        <v>242</v>
      </c>
      <c r="AO7267" t="s">
        <v>243</v>
      </c>
      <c r="AP7267" t="s">
        <v>243</v>
      </c>
      <c r="AQ7267">
        <v>20</v>
      </c>
      <c r="AR7267" t="s">
        <v>80</v>
      </c>
      <c r="AS7267" t="s">
        <v>81</v>
      </c>
      <c r="AT7267" t="s">
        <v>58</v>
      </c>
      <c r="AU7267" t="s">
        <v>68</v>
      </c>
      <c r="AV7267" t="s">
        <v>69</v>
      </c>
      <c r="AW7267" s="1">
        <v>31185</v>
      </c>
      <c r="AX7267">
        <v>1</v>
      </c>
    </row>
    <row r="7268" spans="1:50">
      <c r="B7268" t="str">
        <f>"054084675"</f>
        <v>054084675</v>
      </c>
      <c r="C7268" t="s">
        <v>105</v>
      </c>
      <c r="D7268" t="s">
        <v>11651</v>
      </c>
      <c r="E7268" t="s">
        <v>309</v>
      </c>
      <c r="F7268" t="s">
        <v>99</v>
      </c>
      <c r="G7268" t="s">
        <v>610</v>
      </c>
      <c r="H7268" t="str">
        <f>"ΚΟΡΑΗ 3 ΤΡΙΚΑΛΑ"</f>
        <v>ΚΟΡΑΗ 3 ΤΡΙΚΑΛΑ</v>
      </c>
      <c r="I7268">
        <v>42100</v>
      </c>
      <c r="J7268">
        <v>2431036927</v>
      </c>
      <c r="K7268">
        <v>6995900403</v>
      </c>
      <c r="L7268">
        <v>6995296477</v>
      </c>
      <c r="N7268" t="s">
        <v>176</v>
      </c>
      <c r="O7268" t="s">
        <v>177</v>
      </c>
      <c r="R7268" t="s">
        <v>57</v>
      </c>
      <c r="S7268">
        <v>5</v>
      </c>
      <c r="T7268" t="s">
        <v>8675</v>
      </c>
      <c r="U7268" s="1">
        <v>43348</v>
      </c>
      <c r="V7268" t="s">
        <v>80</v>
      </c>
      <c r="W7268" t="s">
        <v>81</v>
      </c>
      <c r="X7268" t="s">
        <v>58</v>
      </c>
      <c r="Y7268">
        <v>24</v>
      </c>
      <c r="Z7268" t="s">
        <v>59</v>
      </c>
      <c r="AA7268" t="s">
        <v>59</v>
      </c>
      <c r="AB7268" t="s">
        <v>59</v>
      </c>
      <c r="AC7268" t="s">
        <v>59</v>
      </c>
      <c r="AD7268" t="s">
        <v>59</v>
      </c>
      <c r="AF7268" s="1">
        <v>43348</v>
      </c>
      <c r="AG7268" t="s">
        <v>8645</v>
      </c>
      <c r="AH7268" t="s">
        <v>8646</v>
      </c>
      <c r="AI7268" t="str">
        <f>"9170206"</f>
        <v>9170206</v>
      </c>
      <c r="AJ7268" t="s">
        <v>8972</v>
      </c>
      <c r="AK7268">
        <v>2810761137</v>
      </c>
      <c r="AL7268" t="s">
        <v>8973</v>
      </c>
      <c r="AM7268" t="s">
        <v>78</v>
      </c>
      <c r="AN7268" t="s">
        <v>219</v>
      </c>
      <c r="AO7268" t="s">
        <v>297</v>
      </c>
      <c r="AP7268" t="s">
        <v>8796</v>
      </c>
      <c r="AQ7268">
        <v>7</v>
      </c>
      <c r="AR7268" t="s">
        <v>80</v>
      </c>
      <c r="AS7268" t="s">
        <v>81</v>
      </c>
      <c r="AT7268" t="s">
        <v>58</v>
      </c>
      <c r="AU7268" t="s">
        <v>8673</v>
      </c>
      <c r="AV7268" t="s">
        <v>132</v>
      </c>
      <c r="AW7268" s="1">
        <v>24661</v>
      </c>
      <c r="AX7268">
        <v>1</v>
      </c>
    </row>
    <row r="7269" spans="1:50">
      <c r="A7269">
        <v>569012</v>
      </c>
      <c r="B7269" t="str">
        <f>"034752248"</f>
        <v>034752248</v>
      </c>
      <c r="C7269" t="s">
        <v>105</v>
      </c>
      <c r="D7269" t="s">
        <v>11652</v>
      </c>
      <c r="E7269" t="s">
        <v>1559</v>
      </c>
      <c r="F7269" t="s">
        <v>5609</v>
      </c>
      <c r="G7269" t="s">
        <v>4867</v>
      </c>
      <c r="H7269" t="str">
        <f>"Κωστή παλαμά 21 Ηρακλείου"</f>
        <v>Κωστή παλαμά 21 Ηρακλείου</v>
      </c>
      <c r="I7269">
        <v>71306</v>
      </c>
      <c r="J7269">
        <v>2810226542</v>
      </c>
      <c r="K7269">
        <v>6945385029</v>
      </c>
      <c r="M7269" t="s">
        <v>11653</v>
      </c>
      <c r="N7269" t="s">
        <v>615</v>
      </c>
      <c r="O7269" t="s">
        <v>616</v>
      </c>
      <c r="R7269" t="s">
        <v>57</v>
      </c>
      <c r="S7269">
        <v>14</v>
      </c>
      <c r="T7269">
        <v>162</v>
      </c>
      <c r="U7269" s="1">
        <v>33844</v>
      </c>
      <c r="V7269" t="s">
        <v>80</v>
      </c>
      <c r="W7269" t="s">
        <v>81</v>
      </c>
      <c r="X7269" t="s">
        <v>58</v>
      </c>
      <c r="Y7269">
        <v>21</v>
      </c>
      <c r="Z7269" t="s">
        <v>59</v>
      </c>
      <c r="AA7269" t="s">
        <v>59</v>
      </c>
      <c r="AB7269" t="s">
        <v>59</v>
      </c>
      <c r="AC7269" t="s">
        <v>59</v>
      </c>
      <c r="AD7269" t="s">
        <v>59</v>
      </c>
      <c r="AF7269" s="1">
        <v>33848</v>
      </c>
      <c r="AG7269" t="s">
        <v>8645</v>
      </c>
      <c r="AH7269" t="s">
        <v>8646</v>
      </c>
      <c r="AI7269" t="str">
        <f>"9170262"</f>
        <v>9170262</v>
      </c>
      <c r="AJ7269" t="s">
        <v>9224</v>
      </c>
      <c r="AK7269">
        <v>2810245912</v>
      </c>
      <c r="AL7269" t="s">
        <v>9225</v>
      </c>
      <c r="AM7269" t="s">
        <v>78</v>
      </c>
      <c r="AN7269" t="s">
        <v>78</v>
      </c>
      <c r="AO7269" t="s">
        <v>286</v>
      </c>
      <c r="AP7269" t="s">
        <v>286</v>
      </c>
      <c r="AQ7269">
        <v>1</v>
      </c>
      <c r="AR7269" t="s">
        <v>80</v>
      </c>
      <c r="AS7269" t="s">
        <v>81</v>
      </c>
      <c r="AT7269" t="s">
        <v>58</v>
      </c>
      <c r="AU7269" t="s">
        <v>68</v>
      </c>
      <c r="AV7269" t="s">
        <v>69</v>
      </c>
      <c r="AW7269" s="1">
        <v>23911</v>
      </c>
      <c r="AX7269">
        <v>1</v>
      </c>
    </row>
    <row r="7270" spans="1:50">
      <c r="A7270">
        <v>621508</v>
      </c>
      <c r="B7270" t="str">
        <f>"152351777"</f>
        <v>152351777</v>
      </c>
      <c r="C7270" t="s">
        <v>50</v>
      </c>
      <c r="D7270" t="s">
        <v>11654</v>
      </c>
      <c r="E7270" t="s">
        <v>600</v>
      </c>
      <c r="F7270" t="s">
        <v>670</v>
      </c>
      <c r="G7270" t="s">
        <v>52</v>
      </c>
      <c r="H7270" t="str">
        <f>" "</f>
        <v xml:space="preserve"> </v>
      </c>
      <c r="N7270" t="s">
        <v>615</v>
      </c>
      <c r="O7270" t="s">
        <v>616</v>
      </c>
      <c r="R7270" t="s">
        <v>57</v>
      </c>
      <c r="S7270">
        <v>4</v>
      </c>
      <c r="T7270">
        <v>653</v>
      </c>
      <c r="U7270" s="1">
        <v>40043</v>
      </c>
      <c r="V7270" t="s">
        <v>80</v>
      </c>
      <c r="W7270" t="s">
        <v>81</v>
      </c>
      <c r="X7270" t="s">
        <v>58</v>
      </c>
      <c r="Y7270">
        <v>25</v>
      </c>
      <c r="Z7270" t="s">
        <v>59</v>
      </c>
      <c r="AA7270" t="s">
        <v>59</v>
      </c>
      <c r="AB7270" t="s">
        <v>59</v>
      </c>
      <c r="AC7270" t="s">
        <v>59</v>
      </c>
      <c r="AD7270" t="s">
        <v>59</v>
      </c>
      <c r="AF7270" s="1">
        <v>40043</v>
      </c>
      <c r="AG7270" t="s">
        <v>8645</v>
      </c>
      <c r="AH7270" t="s">
        <v>8676</v>
      </c>
      <c r="AI7270" t="str">
        <f>"9170383"</f>
        <v>9170383</v>
      </c>
      <c r="AJ7270" t="s">
        <v>11135</v>
      </c>
      <c r="AK7270">
        <v>2895061350</v>
      </c>
      <c r="AL7270" t="s">
        <v>11136</v>
      </c>
      <c r="AM7270" t="s">
        <v>78</v>
      </c>
      <c r="AN7270" t="s">
        <v>482</v>
      </c>
      <c r="AO7270" t="s">
        <v>482</v>
      </c>
      <c r="AP7270" t="s">
        <v>11090</v>
      </c>
      <c r="AQ7270">
        <v>14</v>
      </c>
      <c r="AR7270" t="s">
        <v>80</v>
      </c>
      <c r="AS7270" t="s">
        <v>81</v>
      </c>
      <c r="AT7270" t="s">
        <v>58</v>
      </c>
      <c r="AU7270" t="s">
        <v>68</v>
      </c>
      <c r="AV7270" t="s">
        <v>69</v>
      </c>
      <c r="AW7270" s="1">
        <v>31692</v>
      </c>
      <c r="AX7270">
        <v>1</v>
      </c>
    </row>
    <row r="7271" spans="1:50">
      <c r="B7271" t="str">
        <f>"100590791"</f>
        <v>100590791</v>
      </c>
      <c r="C7271" t="s">
        <v>50</v>
      </c>
      <c r="D7271" t="s">
        <v>11655</v>
      </c>
      <c r="E7271" t="s">
        <v>600</v>
      </c>
      <c r="F7271" t="s">
        <v>646</v>
      </c>
      <c r="G7271" t="s">
        <v>83</v>
      </c>
      <c r="H7271" t="str">
        <f>" "</f>
        <v xml:space="preserve"> </v>
      </c>
      <c r="N7271" t="s">
        <v>683</v>
      </c>
      <c r="O7271" t="s">
        <v>684</v>
      </c>
      <c r="R7271" t="s">
        <v>121</v>
      </c>
      <c r="S7271">
        <v>1</v>
      </c>
      <c r="T7271" t="s">
        <v>8675</v>
      </c>
      <c r="U7271" s="1">
        <v>43348</v>
      </c>
      <c r="V7271" t="s">
        <v>80</v>
      </c>
      <c r="W7271" t="s">
        <v>81</v>
      </c>
      <c r="X7271" t="s">
        <v>58</v>
      </c>
      <c r="Y7271">
        <v>24</v>
      </c>
      <c r="Z7271" t="s">
        <v>59</v>
      </c>
      <c r="AA7271" t="s">
        <v>59</v>
      </c>
      <c r="AB7271" t="s">
        <v>59</v>
      </c>
      <c r="AD7271" t="s">
        <v>59</v>
      </c>
      <c r="AF7271" s="1">
        <v>43348</v>
      </c>
      <c r="AG7271" t="s">
        <v>8645</v>
      </c>
      <c r="AH7271" t="s">
        <v>8646</v>
      </c>
      <c r="AI7271" t="str">
        <f>"9170113"</f>
        <v>9170113</v>
      </c>
      <c r="AJ7271" t="s">
        <v>8846</v>
      </c>
      <c r="AK7271">
        <v>2810226174</v>
      </c>
      <c r="AL7271" t="s">
        <v>8847</v>
      </c>
      <c r="AM7271" t="s">
        <v>78</v>
      </c>
      <c r="AN7271" t="s">
        <v>78</v>
      </c>
      <c r="AO7271" t="s">
        <v>78</v>
      </c>
      <c r="AP7271" t="s">
        <v>79</v>
      </c>
      <c r="AQ7271">
        <v>1</v>
      </c>
      <c r="AR7271" t="s">
        <v>80</v>
      </c>
      <c r="AS7271" t="s">
        <v>81</v>
      </c>
      <c r="AT7271" t="s">
        <v>58</v>
      </c>
      <c r="AU7271" t="s">
        <v>8673</v>
      </c>
      <c r="AV7271" t="s">
        <v>132</v>
      </c>
      <c r="AW7271" s="1">
        <v>29221</v>
      </c>
      <c r="AX7271">
        <v>1</v>
      </c>
    </row>
    <row r="7272" spans="1:50">
      <c r="A7272">
        <v>569187</v>
      </c>
      <c r="B7272" t="str">
        <f>"032899865"</f>
        <v>032899865</v>
      </c>
      <c r="C7272" t="s">
        <v>50</v>
      </c>
      <c r="D7272" t="s">
        <v>11656</v>
      </c>
      <c r="E7272" t="s">
        <v>1588</v>
      </c>
      <c r="F7272" t="s">
        <v>72</v>
      </c>
      <c r="G7272" t="s">
        <v>4737</v>
      </c>
      <c r="H7272" t="str">
        <f>" "</f>
        <v xml:space="preserve"> </v>
      </c>
      <c r="N7272" t="s">
        <v>1525</v>
      </c>
      <c r="O7272" t="s">
        <v>1526</v>
      </c>
      <c r="R7272" t="s">
        <v>57</v>
      </c>
      <c r="S7272">
        <v>14</v>
      </c>
      <c r="T7272">
        <v>162</v>
      </c>
      <c r="U7272" s="1">
        <v>33844</v>
      </c>
      <c r="V7272" t="s">
        <v>80</v>
      </c>
      <c r="W7272" t="s">
        <v>81</v>
      </c>
      <c r="X7272" t="s">
        <v>58</v>
      </c>
      <c r="Y7272">
        <v>25</v>
      </c>
      <c r="Z7272" t="s">
        <v>59</v>
      </c>
      <c r="AA7272" t="s">
        <v>59</v>
      </c>
      <c r="AB7272" t="s">
        <v>59</v>
      </c>
      <c r="AC7272" t="s">
        <v>59</v>
      </c>
      <c r="AD7272" t="s">
        <v>59</v>
      </c>
      <c r="AF7272" s="1">
        <v>33848</v>
      </c>
      <c r="AG7272" t="s">
        <v>8651</v>
      </c>
      <c r="AH7272" t="s">
        <v>8652</v>
      </c>
      <c r="AI7272" t="str">
        <f>"9170553"</f>
        <v>9170553</v>
      </c>
      <c r="AJ7272" t="s">
        <v>9813</v>
      </c>
      <c r="AK7272">
        <v>2892023325</v>
      </c>
      <c r="AL7272" t="s">
        <v>9814</v>
      </c>
      <c r="AM7272" t="s">
        <v>78</v>
      </c>
      <c r="AN7272" t="s">
        <v>242</v>
      </c>
      <c r="AO7272" t="s">
        <v>243</v>
      </c>
      <c r="AP7272" t="s">
        <v>243</v>
      </c>
      <c r="AQ7272">
        <v>20</v>
      </c>
      <c r="AR7272" t="s">
        <v>80</v>
      </c>
      <c r="AS7272" t="s">
        <v>81</v>
      </c>
      <c r="AT7272" t="s">
        <v>58</v>
      </c>
      <c r="AU7272" t="s">
        <v>68</v>
      </c>
      <c r="AV7272" t="s">
        <v>69</v>
      </c>
      <c r="AW7272" s="1">
        <v>23952</v>
      </c>
      <c r="AX7272">
        <v>1</v>
      </c>
    </row>
    <row r="7273" spans="1:50">
      <c r="B7273" t="str">
        <f>"139465910"</f>
        <v>139465910</v>
      </c>
      <c r="C7273" t="s">
        <v>105</v>
      </c>
      <c r="D7273" t="s">
        <v>11657</v>
      </c>
      <c r="E7273" t="s">
        <v>2933</v>
      </c>
      <c r="F7273" t="s">
        <v>315</v>
      </c>
      <c r="G7273" t="s">
        <v>255</v>
      </c>
      <c r="H7273" t="str">
        <f>"ΑΝΔΡΙΤΣΑΙΝΗΣ 9 ΑΘΗΝΑ"</f>
        <v>ΑΝΔΡΙΤΣΑΙΝΗΣ 9 ΑΘΗΝΑ</v>
      </c>
      <c r="I7273">
        <v>11142</v>
      </c>
      <c r="J7273">
        <v>2102585043</v>
      </c>
      <c r="K7273">
        <v>6948459963</v>
      </c>
      <c r="N7273" t="s">
        <v>337</v>
      </c>
      <c r="O7273" t="s">
        <v>338</v>
      </c>
      <c r="R7273" t="s">
        <v>121</v>
      </c>
      <c r="S7273">
        <v>3</v>
      </c>
      <c r="T7273" t="s">
        <v>8675</v>
      </c>
      <c r="U7273" s="1">
        <v>43348</v>
      </c>
      <c r="V7273" t="s">
        <v>80</v>
      </c>
      <c r="W7273" t="s">
        <v>81</v>
      </c>
      <c r="X7273" t="s">
        <v>58</v>
      </c>
      <c r="Y7273">
        <v>24</v>
      </c>
      <c r="Z7273" t="s">
        <v>59</v>
      </c>
      <c r="AA7273" t="s">
        <v>59</v>
      </c>
      <c r="AB7273" t="s">
        <v>59</v>
      </c>
      <c r="AC7273" t="s">
        <v>59</v>
      </c>
      <c r="AD7273" t="s">
        <v>59</v>
      </c>
      <c r="AF7273" s="1">
        <v>43348</v>
      </c>
      <c r="AG7273" t="s">
        <v>8645</v>
      </c>
      <c r="AH7273" t="s">
        <v>8646</v>
      </c>
      <c r="AI7273" t="str">
        <f>"9170262"</f>
        <v>9170262</v>
      </c>
      <c r="AJ7273" t="s">
        <v>9224</v>
      </c>
      <c r="AK7273">
        <v>2810245912</v>
      </c>
      <c r="AL7273" t="s">
        <v>9225</v>
      </c>
      <c r="AM7273" t="s">
        <v>78</v>
      </c>
      <c r="AN7273" t="s">
        <v>78</v>
      </c>
      <c r="AO7273" t="s">
        <v>286</v>
      </c>
      <c r="AP7273" t="s">
        <v>286</v>
      </c>
      <c r="AQ7273">
        <v>1</v>
      </c>
      <c r="AR7273" t="s">
        <v>80</v>
      </c>
      <c r="AS7273" t="s">
        <v>81</v>
      </c>
      <c r="AT7273" t="s">
        <v>58</v>
      </c>
      <c r="AU7273" t="s">
        <v>8673</v>
      </c>
      <c r="AV7273" t="s">
        <v>132</v>
      </c>
      <c r="AW7273" s="1">
        <v>31527</v>
      </c>
      <c r="AX7273">
        <v>1</v>
      </c>
    </row>
    <row r="7274" spans="1:50">
      <c r="B7274" t="str">
        <f>"131920500"</f>
        <v>131920500</v>
      </c>
      <c r="C7274" t="s">
        <v>105</v>
      </c>
      <c r="D7274" t="s">
        <v>11658</v>
      </c>
      <c r="E7274" t="s">
        <v>99</v>
      </c>
      <c r="F7274" t="s">
        <v>1493</v>
      </c>
      <c r="G7274" t="s">
        <v>52</v>
      </c>
      <c r="H7274" t="str">
        <f>"ΓΛΑΥΚΟΥ 5  "</f>
        <v xml:space="preserve">ΓΛΑΥΚΟΥ 5  </v>
      </c>
      <c r="I7274">
        <v>54633</v>
      </c>
      <c r="J7274">
        <v>2310266995</v>
      </c>
      <c r="K7274">
        <v>6977601921</v>
      </c>
      <c r="M7274" t="s">
        <v>11659</v>
      </c>
      <c r="N7274" t="s">
        <v>8694</v>
      </c>
      <c r="O7274" t="s">
        <v>8695</v>
      </c>
      <c r="R7274" t="s">
        <v>159</v>
      </c>
      <c r="S7274">
        <v>3</v>
      </c>
      <c r="T7274" t="s">
        <v>8696</v>
      </c>
      <c r="U7274" s="1">
        <v>43348</v>
      </c>
      <c r="V7274" t="s">
        <v>80</v>
      </c>
      <c r="W7274" t="s">
        <v>81</v>
      </c>
      <c r="X7274" t="s">
        <v>58</v>
      </c>
      <c r="Y7274">
        <v>24</v>
      </c>
      <c r="Z7274" t="s">
        <v>59</v>
      </c>
      <c r="AA7274" t="s">
        <v>59</v>
      </c>
      <c r="AB7274" t="s">
        <v>59</v>
      </c>
      <c r="AC7274" t="s">
        <v>59</v>
      </c>
      <c r="AD7274" t="s">
        <v>59</v>
      </c>
      <c r="AF7274" s="1">
        <v>43348</v>
      </c>
      <c r="AG7274" t="s">
        <v>8645</v>
      </c>
      <c r="AH7274" t="s">
        <v>8697</v>
      </c>
      <c r="AI7274" t="str">
        <f>"9170372"</f>
        <v>9170372</v>
      </c>
      <c r="AJ7274" t="s">
        <v>9296</v>
      </c>
      <c r="AK7274">
        <v>2810281754</v>
      </c>
      <c r="AL7274" t="s">
        <v>9297</v>
      </c>
      <c r="AM7274" t="s">
        <v>78</v>
      </c>
      <c r="AN7274" t="s">
        <v>78</v>
      </c>
      <c r="AO7274" t="s">
        <v>78</v>
      </c>
      <c r="AP7274" t="s">
        <v>79</v>
      </c>
      <c r="AQ7274">
        <v>1</v>
      </c>
      <c r="AR7274" t="s">
        <v>80</v>
      </c>
      <c r="AS7274" t="s">
        <v>81</v>
      </c>
      <c r="AT7274" t="s">
        <v>58</v>
      </c>
      <c r="AU7274" t="s">
        <v>350</v>
      </c>
      <c r="AV7274" t="s">
        <v>132</v>
      </c>
      <c r="AW7274" s="1">
        <v>30860</v>
      </c>
      <c r="AX7274">
        <v>1</v>
      </c>
    </row>
    <row r="7275" spans="1:50">
      <c r="B7275" t="str">
        <f>"137215323"</f>
        <v>137215323</v>
      </c>
      <c r="C7275" t="s">
        <v>50</v>
      </c>
      <c r="D7275" t="s">
        <v>11660</v>
      </c>
      <c r="E7275" t="s">
        <v>9269</v>
      </c>
      <c r="F7275" t="s">
        <v>166</v>
      </c>
      <c r="G7275" t="s">
        <v>52</v>
      </c>
      <c r="H7275" t="str">
        <f>"ΚΑΜΑΡΙΩΤΗ 43 "</f>
        <v xml:space="preserve">ΚΑΜΑΡΙΩΤΗ 43 </v>
      </c>
      <c r="I7275">
        <v>71414</v>
      </c>
      <c r="J7275">
        <v>2810823113</v>
      </c>
      <c r="K7275">
        <v>6978957234</v>
      </c>
      <c r="N7275" t="s">
        <v>1525</v>
      </c>
      <c r="O7275" t="s">
        <v>1526</v>
      </c>
      <c r="R7275" t="s">
        <v>159</v>
      </c>
      <c r="S7275">
        <v>3</v>
      </c>
      <c r="T7275" t="s">
        <v>8670</v>
      </c>
      <c r="U7275" s="1">
        <v>43348</v>
      </c>
      <c r="V7275" t="s">
        <v>80</v>
      </c>
      <c r="W7275" t="s">
        <v>81</v>
      </c>
      <c r="X7275" t="s">
        <v>58</v>
      </c>
      <c r="Y7275">
        <v>25</v>
      </c>
      <c r="Z7275" t="s">
        <v>59</v>
      </c>
      <c r="AA7275" t="s">
        <v>59</v>
      </c>
      <c r="AB7275" t="s">
        <v>59</v>
      </c>
      <c r="AC7275" t="s">
        <v>59</v>
      </c>
      <c r="AD7275" t="s">
        <v>59</v>
      </c>
      <c r="AF7275" s="1">
        <v>43348</v>
      </c>
      <c r="AG7275" t="s">
        <v>8651</v>
      </c>
      <c r="AH7275" t="s">
        <v>8652</v>
      </c>
      <c r="AI7275" t="str">
        <f>"9170411"</f>
        <v>9170411</v>
      </c>
      <c r="AJ7275" t="s">
        <v>11661</v>
      </c>
      <c r="AK7275">
        <v>2810823950</v>
      </c>
      <c r="AL7275" t="s">
        <v>11662</v>
      </c>
      <c r="AM7275" t="s">
        <v>78</v>
      </c>
      <c r="AN7275" t="s">
        <v>129</v>
      </c>
      <c r="AO7275" t="s">
        <v>130</v>
      </c>
      <c r="AP7275" t="s">
        <v>9246</v>
      </c>
      <c r="AQ7275">
        <v>2</v>
      </c>
      <c r="AR7275" t="s">
        <v>80</v>
      </c>
      <c r="AS7275" t="s">
        <v>81</v>
      </c>
      <c r="AT7275" t="s">
        <v>58</v>
      </c>
      <c r="AU7275" t="s">
        <v>8673</v>
      </c>
      <c r="AV7275" t="s">
        <v>132</v>
      </c>
      <c r="AW7275" s="1">
        <v>30317</v>
      </c>
      <c r="AX7275">
        <v>1</v>
      </c>
    </row>
    <row r="7276" spans="1:50">
      <c r="B7276" t="str">
        <f>"140509569"</f>
        <v>140509569</v>
      </c>
      <c r="C7276" t="s">
        <v>105</v>
      </c>
      <c r="D7276" t="s">
        <v>11663</v>
      </c>
      <c r="E7276" t="s">
        <v>72</v>
      </c>
      <c r="F7276" t="s">
        <v>84</v>
      </c>
      <c r="H7276" t="str">
        <f>" "</f>
        <v xml:space="preserve"> </v>
      </c>
      <c r="N7276" t="s">
        <v>8694</v>
      </c>
      <c r="O7276" t="s">
        <v>8695</v>
      </c>
      <c r="R7276" t="s">
        <v>159</v>
      </c>
      <c r="S7276">
        <v>2</v>
      </c>
      <c r="T7276" t="s">
        <v>8696</v>
      </c>
      <c r="U7276" s="1">
        <v>43348</v>
      </c>
      <c r="V7276" t="s">
        <v>80</v>
      </c>
      <c r="W7276" t="s">
        <v>81</v>
      </c>
      <c r="X7276" t="s">
        <v>58</v>
      </c>
      <c r="Y7276">
        <v>24</v>
      </c>
      <c r="Z7276" t="s">
        <v>59</v>
      </c>
      <c r="AA7276" t="s">
        <v>59</v>
      </c>
      <c r="AB7276" t="s">
        <v>59</v>
      </c>
      <c r="AC7276" t="s">
        <v>59</v>
      </c>
      <c r="AD7276" t="s">
        <v>59</v>
      </c>
      <c r="AF7276" s="1">
        <v>43348</v>
      </c>
      <c r="AG7276" t="s">
        <v>8645</v>
      </c>
      <c r="AH7276" t="s">
        <v>8646</v>
      </c>
      <c r="AI7276" t="str">
        <f>"9170027"</f>
        <v>9170027</v>
      </c>
      <c r="AJ7276" t="s">
        <v>8704</v>
      </c>
      <c r="AK7276">
        <v>2810711207</v>
      </c>
      <c r="AL7276" t="s">
        <v>8705</v>
      </c>
      <c r="AM7276" t="s">
        <v>78</v>
      </c>
      <c r="AN7276" t="s">
        <v>129</v>
      </c>
      <c r="AO7276" t="s">
        <v>597</v>
      </c>
      <c r="AP7276" t="s">
        <v>598</v>
      </c>
      <c r="AQ7276">
        <v>4</v>
      </c>
      <c r="AR7276" t="s">
        <v>80</v>
      </c>
      <c r="AS7276" t="s">
        <v>81</v>
      </c>
      <c r="AT7276" t="s">
        <v>58</v>
      </c>
      <c r="AU7276" t="s">
        <v>350</v>
      </c>
      <c r="AV7276" t="s">
        <v>132</v>
      </c>
      <c r="AW7276" s="1">
        <v>32195</v>
      </c>
      <c r="AX7276">
        <v>1</v>
      </c>
    </row>
    <row r="7277" spans="1:50">
      <c r="B7277" t="str">
        <f>"064294975"</f>
        <v>064294975</v>
      </c>
      <c r="C7277" t="s">
        <v>50</v>
      </c>
      <c r="D7277" t="s">
        <v>11664</v>
      </c>
      <c r="E7277" t="s">
        <v>52</v>
      </c>
      <c r="F7277" t="s">
        <v>1890</v>
      </c>
      <c r="G7277" t="s">
        <v>11665</v>
      </c>
      <c r="H7277" t="str">
        <f>"ΑΡΓΥΡΟΚΑΣΤΡΟΥ 24 "</f>
        <v xml:space="preserve">ΑΡΓΥΡΟΚΑΣΤΡΟΥ 24 </v>
      </c>
      <c r="I7277">
        <v>56626</v>
      </c>
      <c r="J7277">
        <v>2310613633</v>
      </c>
      <c r="K7277">
        <v>6977065876</v>
      </c>
      <c r="N7277" t="s">
        <v>1525</v>
      </c>
      <c r="O7277" t="s">
        <v>1526</v>
      </c>
      <c r="R7277" t="s">
        <v>159</v>
      </c>
      <c r="S7277">
        <v>4</v>
      </c>
      <c r="T7277" t="s">
        <v>8670</v>
      </c>
      <c r="U7277" s="1">
        <v>43348</v>
      </c>
      <c r="V7277" t="s">
        <v>80</v>
      </c>
      <c r="W7277" t="s">
        <v>81</v>
      </c>
      <c r="X7277" t="s">
        <v>58</v>
      </c>
      <c r="Y7277">
        <v>25</v>
      </c>
      <c r="Z7277" t="s">
        <v>59</v>
      </c>
      <c r="AA7277" t="s">
        <v>59</v>
      </c>
      <c r="AB7277" t="s">
        <v>59</v>
      </c>
      <c r="AC7277" t="s">
        <v>59</v>
      </c>
      <c r="AD7277" t="s">
        <v>59</v>
      </c>
      <c r="AF7277" s="1">
        <v>43348</v>
      </c>
      <c r="AG7277" t="s">
        <v>8651</v>
      </c>
      <c r="AH7277" t="s">
        <v>8652</v>
      </c>
      <c r="AI7277" t="str">
        <f>"9170458"</f>
        <v>9170458</v>
      </c>
      <c r="AJ7277" t="s">
        <v>11666</v>
      </c>
      <c r="AK7277">
        <v>2810521531</v>
      </c>
      <c r="AL7277" t="s">
        <v>11667</v>
      </c>
      <c r="AM7277" t="s">
        <v>78</v>
      </c>
      <c r="AN7277" t="s">
        <v>129</v>
      </c>
      <c r="AO7277" t="s">
        <v>130</v>
      </c>
      <c r="AP7277" t="s">
        <v>9463</v>
      </c>
      <c r="AQ7277">
        <v>2</v>
      </c>
      <c r="AR7277" t="s">
        <v>80</v>
      </c>
      <c r="AS7277" t="s">
        <v>81</v>
      </c>
      <c r="AT7277" t="s">
        <v>58</v>
      </c>
      <c r="AU7277" t="s">
        <v>8673</v>
      </c>
      <c r="AV7277" t="s">
        <v>132</v>
      </c>
      <c r="AW7277" s="1">
        <v>27994</v>
      </c>
      <c r="AX7277">
        <v>1</v>
      </c>
    </row>
    <row r="7278" spans="1:50">
      <c r="B7278" t="str">
        <f>"143797396"</f>
        <v>143797396</v>
      </c>
      <c r="C7278" t="s">
        <v>50</v>
      </c>
      <c r="D7278" t="s">
        <v>11668</v>
      </c>
      <c r="E7278" t="s">
        <v>263</v>
      </c>
      <c r="F7278" t="s">
        <v>99</v>
      </c>
      <c r="G7278" t="s">
        <v>476</v>
      </c>
      <c r="H7278" t="str">
        <f>"ΠΕΡΓΑΜΟΥ 9  ΑΙΓΑΛΕΩ"</f>
        <v>ΠΕΡΓΑΜΟΥ 9  ΑΙΓΑΛΕΩ</v>
      </c>
      <c r="I7278">
        <v>12242</v>
      </c>
      <c r="K7278">
        <v>6979010787</v>
      </c>
      <c r="N7278" t="s">
        <v>1525</v>
      </c>
      <c r="O7278" t="s">
        <v>1526</v>
      </c>
      <c r="R7278" t="s">
        <v>159</v>
      </c>
      <c r="S7278">
        <v>2</v>
      </c>
      <c r="T7278" t="s">
        <v>8670</v>
      </c>
      <c r="U7278" s="1">
        <v>43348</v>
      </c>
      <c r="V7278" t="s">
        <v>80</v>
      </c>
      <c r="W7278" t="s">
        <v>81</v>
      </c>
      <c r="X7278" t="s">
        <v>58</v>
      </c>
      <c r="Y7278">
        <v>25</v>
      </c>
      <c r="Z7278" t="s">
        <v>59</v>
      </c>
      <c r="AA7278" t="s">
        <v>59</v>
      </c>
      <c r="AB7278" t="s">
        <v>59</v>
      </c>
      <c r="AC7278" t="s">
        <v>59</v>
      </c>
      <c r="AD7278" t="s">
        <v>59</v>
      </c>
      <c r="AF7278" s="1">
        <v>43348</v>
      </c>
      <c r="AG7278" t="s">
        <v>8651</v>
      </c>
      <c r="AH7278" t="s">
        <v>8652</v>
      </c>
      <c r="AI7278" t="str">
        <f>"9170545"</f>
        <v>9170545</v>
      </c>
      <c r="AJ7278" t="s">
        <v>11669</v>
      </c>
      <c r="AK7278">
        <v>2892053479</v>
      </c>
      <c r="AL7278" t="s">
        <v>11670</v>
      </c>
      <c r="AM7278" t="s">
        <v>78</v>
      </c>
      <c r="AN7278" t="s">
        <v>242</v>
      </c>
      <c r="AO7278" t="s">
        <v>349</v>
      </c>
      <c r="AP7278" t="s">
        <v>349</v>
      </c>
      <c r="AQ7278">
        <v>19</v>
      </c>
      <c r="AR7278" t="s">
        <v>80</v>
      </c>
      <c r="AS7278" t="s">
        <v>81</v>
      </c>
      <c r="AT7278" t="s">
        <v>58</v>
      </c>
      <c r="AU7278" t="s">
        <v>8673</v>
      </c>
      <c r="AV7278" t="s">
        <v>132</v>
      </c>
      <c r="AW7278" s="1">
        <v>31606</v>
      </c>
      <c r="AX7278">
        <v>1</v>
      </c>
    </row>
    <row r="7279" spans="1:50">
      <c r="B7279" t="str">
        <f>"136717398"</f>
        <v>136717398</v>
      </c>
      <c r="C7279" t="s">
        <v>50</v>
      </c>
      <c r="D7279" t="s">
        <v>11671</v>
      </c>
      <c r="E7279" t="s">
        <v>372</v>
      </c>
      <c r="F7279" t="s">
        <v>99</v>
      </c>
      <c r="G7279" t="s">
        <v>52</v>
      </c>
      <c r="H7279" t="str">
        <f>"ΓΟΡΓΟΓΥΡΙ ΤΡΙΚΑΛΩΝ "</f>
        <v xml:space="preserve">ΓΟΡΓΟΓΥΡΙ ΤΡΙΚΑΛΩΝ </v>
      </c>
      <c r="I7279">
        <v>42100</v>
      </c>
      <c r="J7279">
        <v>2431053490</v>
      </c>
      <c r="K7279">
        <v>6938254856</v>
      </c>
      <c r="N7279" t="s">
        <v>1525</v>
      </c>
      <c r="O7279" t="s">
        <v>1526</v>
      </c>
      <c r="R7279" t="s">
        <v>159</v>
      </c>
      <c r="S7279">
        <v>4</v>
      </c>
      <c r="T7279" t="s">
        <v>8670</v>
      </c>
      <c r="U7279" s="1">
        <v>43348</v>
      </c>
      <c r="V7279" t="s">
        <v>80</v>
      </c>
      <c r="W7279" t="s">
        <v>81</v>
      </c>
      <c r="X7279" t="s">
        <v>58</v>
      </c>
      <c r="Y7279">
        <v>25</v>
      </c>
      <c r="Z7279" t="s">
        <v>59</v>
      </c>
      <c r="AA7279" t="s">
        <v>59</v>
      </c>
      <c r="AB7279" t="s">
        <v>59</v>
      </c>
      <c r="AC7279" t="s">
        <v>59</v>
      </c>
      <c r="AD7279" t="s">
        <v>59</v>
      </c>
      <c r="AF7279" s="1">
        <v>43348</v>
      </c>
      <c r="AG7279" t="s">
        <v>8651</v>
      </c>
      <c r="AH7279" t="s">
        <v>8652</v>
      </c>
      <c r="AI7279" t="str">
        <f>"9170545"</f>
        <v>9170545</v>
      </c>
      <c r="AJ7279" t="s">
        <v>11669</v>
      </c>
      <c r="AK7279">
        <v>2892053479</v>
      </c>
      <c r="AL7279" t="s">
        <v>11670</v>
      </c>
      <c r="AM7279" t="s">
        <v>78</v>
      </c>
      <c r="AN7279" t="s">
        <v>242</v>
      </c>
      <c r="AO7279" t="s">
        <v>349</v>
      </c>
      <c r="AP7279" t="s">
        <v>349</v>
      </c>
      <c r="AQ7279">
        <v>19</v>
      </c>
      <c r="AR7279" t="s">
        <v>80</v>
      </c>
      <c r="AS7279" t="s">
        <v>81</v>
      </c>
      <c r="AT7279" t="s">
        <v>58</v>
      </c>
      <c r="AU7279" t="s">
        <v>8673</v>
      </c>
      <c r="AV7279" t="s">
        <v>132</v>
      </c>
      <c r="AW7279" s="1">
        <v>31058</v>
      </c>
      <c r="AX7279">
        <v>1</v>
      </c>
    </row>
    <row r="7280" spans="1:50">
      <c r="A7280">
        <v>610709</v>
      </c>
      <c r="B7280" t="str">
        <f>"134971682"</f>
        <v>134971682</v>
      </c>
      <c r="C7280" t="s">
        <v>50</v>
      </c>
      <c r="D7280" t="s">
        <v>11672</v>
      </c>
      <c r="E7280" t="s">
        <v>52</v>
      </c>
      <c r="F7280" t="s">
        <v>989</v>
      </c>
      <c r="G7280" t="s">
        <v>367</v>
      </c>
      <c r="H7280" t="str">
        <f>"ΓΙΑΝΝΩΤΑ  ΛΑΡΙΣΑ"</f>
        <v>ΓΙΑΝΝΩΤΑ  ΛΑΡΙΣΑ</v>
      </c>
      <c r="I7280">
        <v>40200</v>
      </c>
      <c r="J7280">
        <v>2410239951</v>
      </c>
      <c r="K7280">
        <v>6932137320</v>
      </c>
      <c r="L7280">
        <v>497154805567</v>
      </c>
      <c r="N7280" t="s">
        <v>615</v>
      </c>
      <c r="O7280" t="s">
        <v>616</v>
      </c>
      <c r="R7280" t="s">
        <v>57</v>
      </c>
      <c r="S7280">
        <v>6</v>
      </c>
      <c r="T7280">
        <v>233</v>
      </c>
      <c r="U7280" s="1">
        <v>38960</v>
      </c>
      <c r="V7280" t="s">
        <v>80</v>
      </c>
      <c r="W7280" t="s">
        <v>81</v>
      </c>
      <c r="X7280" t="s">
        <v>58</v>
      </c>
      <c r="Y7280">
        <v>23</v>
      </c>
      <c r="Z7280" t="s">
        <v>59</v>
      </c>
      <c r="AA7280" t="s">
        <v>59</v>
      </c>
      <c r="AB7280" t="s">
        <v>59</v>
      </c>
      <c r="AC7280" t="s">
        <v>59</v>
      </c>
      <c r="AD7280" t="s">
        <v>59</v>
      </c>
      <c r="AF7280" s="1">
        <v>39328</v>
      </c>
      <c r="AG7280" t="s">
        <v>60</v>
      </c>
      <c r="AH7280" t="s">
        <v>453</v>
      </c>
      <c r="AI7280" t="str">
        <f>"9917101"</f>
        <v>9917101</v>
      </c>
      <c r="AJ7280" t="s">
        <v>81</v>
      </c>
      <c r="AK7280">
        <v>2810529300</v>
      </c>
      <c r="AL7280" t="s">
        <v>9173</v>
      </c>
      <c r="AM7280" t="s">
        <v>78</v>
      </c>
      <c r="AN7280" t="s">
        <v>78</v>
      </c>
      <c r="AO7280" t="s">
        <v>78</v>
      </c>
      <c r="AP7280" t="s">
        <v>79</v>
      </c>
      <c r="AS7280" t="s">
        <v>81</v>
      </c>
      <c r="AT7280" t="s">
        <v>58</v>
      </c>
      <c r="AU7280" t="s">
        <v>68</v>
      </c>
      <c r="AV7280" t="s">
        <v>4047</v>
      </c>
      <c r="AW7280" s="1">
        <v>26758</v>
      </c>
      <c r="AX7280">
        <v>1</v>
      </c>
    </row>
    <row r="7281" spans="1:50">
      <c r="A7281">
        <v>560939</v>
      </c>
      <c r="B7281" t="str">
        <f>"032457762"</f>
        <v>032457762</v>
      </c>
      <c r="C7281" t="s">
        <v>50</v>
      </c>
      <c r="D7281" t="s">
        <v>4111</v>
      </c>
      <c r="E7281" t="s">
        <v>507</v>
      </c>
      <c r="F7281" t="s">
        <v>53</v>
      </c>
      <c r="G7281" t="s">
        <v>52</v>
      </c>
      <c r="H7281" t="str">
        <f>" "</f>
        <v xml:space="preserve"> </v>
      </c>
      <c r="N7281" t="s">
        <v>615</v>
      </c>
      <c r="O7281" t="s">
        <v>616</v>
      </c>
      <c r="R7281" t="s">
        <v>57</v>
      </c>
      <c r="S7281">
        <v>15</v>
      </c>
      <c r="T7281">
        <v>159</v>
      </c>
      <c r="U7281" s="1">
        <v>32385</v>
      </c>
      <c r="V7281" t="s">
        <v>80</v>
      </c>
      <c r="W7281" t="s">
        <v>81</v>
      </c>
      <c r="X7281" t="s">
        <v>58</v>
      </c>
      <c r="Y7281">
        <v>21</v>
      </c>
      <c r="Z7281" t="s">
        <v>59</v>
      </c>
      <c r="AA7281" t="s">
        <v>59</v>
      </c>
      <c r="AB7281" t="s">
        <v>59</v>
      </c>
      <c r="AC7281" t="s">
        <v>59</v>
      </c>
      <c r="AD7281" t="s">
        <v>59</v>
      </c>
      <c r="AF7281" s="1">
        <v>32391</v>
      </c>
      <c r="AG7281" t="s">
        <v>8645</v>
      </c>
      <c r="AH7281" t="s">
        <v>8646</v>
      </c>
      <c r="AI7281" t="str">
        <f>"9170494"</f>
        <v>9170494</v>
      </c>
      <c r="AJ7281" t="s">
        <v>9125</v>
      </c>
      <c r="AK7281">
        <v>2810228361</v>
      </c>
      <c r="AL7281" t="s">
        <v>9126</v>
      </c>
      <c r="AM7281" t="s">
        <v>78</v>
      </c>
      <c r="AN7281" t="s">
        <v>78</v>
      </c>
      <c r="AO7281" t="s">
        <v>78</v>
      </c>
      <c r="AP7281" t="s">
        <v>79</v>
      </c>
      <c r="AQ7281">
        <v>1</v>
      </c>
      <c r="AR7281" t="s">
        <v>80</v>
      </c>
      <c r="AS7281" t="s">
        <v>81</v>
      </c>
      <c r="AT7281" t="s">
        <v>58</v>
      </c>
      <c r="AU7281" t="s">
        <v>68</v>
      </c>
      <c r="AV7281" t="s">
        <v>69</v>
      </c>
      <c r="AW7281" s="1">
        <v>23185</v>
      </c>
      <c r="AX7281">
        <v>1</v>
      </c>
    </row>
    <row r="7282" spans="1:50">
      <c r="A7282">
        <v>585241</v>
      </c>
      <c r="B7282" t="str">
        <f>"022635286"</f>
        <v>022635286</v>
      </c>
      <c r="C7282" t="s">
        <v>50</v>
      </c>
      <c r="D7282" t="s">
        <v>11673</v>
      </c>
      <c r="E7282" t="s">
        <v>1001</v>
      </c>
      <c r="F7282" t="s">
        <v>1868</v>
      </c>
      <c r="G7282" t="s">
        <v>2406</v>
      </c>
      <c r="H7282" t="str">
        <f>"ΜΑΥΣΩΛΟΥ 109 Ν. Αλικαρνασσού"</f>
        <v>ΜΑΥΣΩΛΟΥ 109 Ν. Αλικαρνασσού</v>
      </c>
      <c r="I7282">
        <v>71601</v>
      </c>
      <c r="J7282">
        <v>2810221821</v>
      </c>
      <c r="K7282">
        <v>6945858998</v>
      </c>
      <c r="L7282">
        <v>2810245912</v>
      </c>
      <c r="M7282" t="s">
        <v>11674</v>
      </c>
      <c r="N7282" t="s">
        <v>615</v>
      </c>
      <c r="O7282" t="s">
        <v>616</v>
      </c>
      <c r="R7282" t="s">
        <v>57</v>
      </c>
      <c r="S7282">
        <v>12</v>
      </c>
      <c r="T7282">
        <v>165</v>
      </c>
      <c r="U7282" s="1">
        <v>36040</v>
      </c>
      <c r="V7282" t="s">
        <v>80</v>
      </c>
      <c r="W7282" t="s">
        <v>81</v>
      </c>
      <c r="X7282" t="s">
        <v>58</v>
      </c>
      <c r="Y7282">
        <v>21</v>
      </c>
      <c r="Z7282" t="s">
        <v>59</v>
      </c>
      <c r="AA7282" t="s">
        <v>59</v>
      </c>
      <c r="AB7282" t="s">
        <v>59</v>
      </c>
      <c r="AC7282" t="s">
        <v>59</v>
      </c>
      <c r="AD7282" t="s">
        <v>59</v>
      </c>
      <c r="AF7282" s="1">
        <v>36045</v>
      </c>
      <c r="AG7282" t="s">
        <v>8645</v>
      </c>
      <c r="AH7282" t="s">
        <v>8646</v>
      </c>
      <c r="AI7282" t="str">
        <f>"9170262"</f>
        <v>9170262</v>
      </c>
      <c r="AJ7282" t="s">
        <v>9224</v>
      </c>
      <c r="AK7282">
        <v>2810245912</v>
      </c>
      <c r="AL7282" t="s">
        <v>9225</v>
      </c>
      <c r="AM7282" t="s">
        <v>78</v>
      </c>
      <c r="AN7282" t="s">
        <v>78</v>
      </c>
      <c r="AO7282" t="s">
        <v>286</v>
      </c>
      <c r="AP7282" t="s">
        <v>286</v>
      </c>
      <c r="AQ7282">
        <v>1</v>
      </c>
      <c r="AR7282" t="s">
        <v>80</v>
      </c>
      <c r="AS7282" t="s">
        <v>81</v>
      </c>
      <c r="AT7282" t="s">
        <v>58</v>
      </c>
      <c r="AU7282" t="s">
        <v>68</v>
      </c>
      <c r="AV7282" t="s">
        <v>69</v>
      </c>
      <c r="AW7282" s="1">
        <v>24418</v>
      </c>
      <c r="AX7282">
        <v>1</v>
      </c>
    </row>
    <row r="7283" spans="1:50">
      <c r="A7283">
        <v>576446</v>
      </c>
      <c r="B7283" t="str">
        <f>"051444410"</f>
        <v>051444410</v>
      </c>
      <c r="C7283" t="s">
        <v>50</v>
      </c>
      <c r="D7283" t="s">
        <v>11675</v>
      </c>
      <c r="E7283" t="s">
        <v>54</v>
      </c>
      <c r="F7283" t="s">
        <v>4694</v>
      </c>
      <c r="G7283" t="s">
        <v>11676</v>
      </c>
      <c r="H7283" t="str">
        <f>"ΜΙΝΩΟΣ 144 ΗΡΑΚΛΕΙΟ"</f>
        <v>ΜΙΝΩΟΣ 144 ΗΡΑΚΛΕΙΟ</v>
      </c>
      <c r="I7283">
        <v>71305</v>
      </c>
      <c r="J7283">
        <v>2810255004</v>
      </c>
      <c r="K7283">
        <v>6945736909</v>
      </c>
      <c r="M7283" t="s">
        <v>11677</v>
      </c>
      <c r="N7283" t="s">
        <v>306</v>
      </c>
      <c r="O7283" t="s">
        <v>307</v>
      </c>
      <c r="R7283" t="s">
        <v>57</v>
      </c>
      <c r="S7283">
        <v>13</v>
      </c>
      <c r="T7283">
        <v>184</v>
      </c>
      <c r="U7283" s="1">
        <v>34941</v>
      </c>
      <c r="V7283" t="s">
        <v>80</v>
      </c>
      <c r="W7283" t="s">
        <v>81</v>
      </c>
      <c r="X7283" t="s">
        <v>58</v>
      </c>
      <c r="Y7283">
        <v>21</v>
      </c>
      <c r="Z7283" t="s">
        <v>59</v>
      </c>
      <c r="AA7283" t="s">
        <v>59</v>
      </c>
      <c r="AB7283" t="s">
        <v>59</v>
      </c>
      <c r="AC7283" t="s">
        <v>59</v>
      </c>
      <c r="AD7283" t="s">
        <v>59</v>
      </c>
      <c r="AF7283" s="1">
        <v>34943</v>
      </c>
      <c r="AG7283" t="s">
        <v>8645</v>
      </c>
      <c r="AH7283" t="s">
        <v>8646</v>
      </c>
      <c r="AI7283" t="str">
        <f>"9170262"</f>
        <v>9170262</v>
      </c>
      <c r="AJ7283" t="s">
        <v>9224</v>
      </c>
      <c r="AK7283">
        <v>2810245912</v>
      </c>
      <c r="AL7283" t="s">
        <v>9225</v>
      </c>
      <c r="AM7283" t="s">
        <v>78</v>
      </c>
      <c r="AN7283" t="s">
        <v>78</v>
      </c>
      <c r="AO7283" t="s">
        <v>286</v>
      </c>
      <c r="AP7283" t="s">
        <v>286</v>
      </c>
      <c r="AQ7283">
        <v>1</v>
      </c>
      <c r="AR7283" t="s">
        <v>80</v>
      </c>
      <c r="AS7283" t="s">
        <v>81</v>
      </c>
      <c r="AT7283" t="s">
        <v>58</v>
      </c>
      <c r="AU7283" t="s">
        <v>68</v>
      </c>
      <c r="AV7283" t="s">
        <v>69</v>
      </c>
      <c r="AW7283" s="1">
        <v>25658</v>
      </c>
      <c r="AX7283">
        <v>1</v>
      </c>
    </row>
    <row r="7284" spans="1:50">
      <c r="A7284">
        <v>581971</v>
      </c>
      <c r="B7284" t="str">
        <f>"103505963"</f>
        <v>103505963</v>
      </c>
      <c r="C7284" t="s">
        <v>50</v>
      </c>
      <c r="D7284" t="s">
        <v>8463</v>
      </c>
      <c r="E7284" t="s">
        <v>341</v>
      </c>
      <c r="F7284" t="s">
        <v>949</v>
      </c>
      <c r="G7284" t="s">
        <v>860</v>
      </c>
      <c r="H7284" t="str">
        <f>" "</f>
        <v xml:space="preserve"> </v>
      </c>
      <c r="N7284" t="s">
        <v>615</v>
      </c>
      <c r="O7284" t="s">
        <v>616</v>
      </c>
      <c r="R7284" t="s">
        <v>57</v>
      </c>
      <c r="S7284">
        <v>12</v>
      </c>
      <c r="T7284">
        <v>179</v>
      </c>
      <c r="U7284" s="1">
        <v>35674</v>
      </c>
      <c r="V7284" t="s">
        <v>80</v>
      </c>
      <c r="W7284" t="s">
        <v>81</v>
      </c>
      <c r="X7284" t="s">
        <v>58</v>
      </c>
      <c r="Y7284">
        <v>21</v>
      </c>
      <c r="Z7284" t="s">
        <v>59</v>
      </c>
      <c r="AA7284" t="s">
        <v>59</v>
      </c>
      <c r="AB7284" t="s">
        <v>59</v>
      </c>
      <c r="AC7284" t="s">
        <v>59</v>
      </c>
      <c r="AD7284" t="s">
        <v>59</v>
      </c>
      <c r="AF7284" s="1">
        <v>35691</v>
      </c>
      <c r="AG7284" t="s">
        <v>8645</v>
      </c>
      <c r="AH7284" t="s">
        <v>8646</v>
      </c>
      <c r="AI7284" t="str">
        <f>"9170259"</f>
        <v>9170259</v>
      </c>
      <c r="AJ7284" t="s">
        <v>8784</v>
      </c>
      <c r="AK7284">
        <v>6994891960</v>
      </c>
      <c r="AL7284" t="s">
        <v>8785</v>
      </c>
      <c r="AM7284" t="s">
        <v>78</v>
      </c>
      <c r="AN7284" t="s">
        <v>78</v>
      </c>
      <c r="AO7284" t="s">
        <v>78</v>
      </c>
      <c r="AP7284" t="s">
        <v>213</v>
      </c>
      <c r="AQ7284">
        <v>1</v>
      </c>
      <c r="AR7284" t="s">
        <v>80</v>
      </c>
      <c r="AS7284" t="s">
        <v>81</v>
      </c>
      <c r="AT7284" t="s">
        <v>58</v>
      </c>
      <c r="AU7284" t="s">
        <v>68</v>
      </c>
      <c r="AV7284" t="s">
        <v>69</v>
      </c>
      <c r="AW7284" s="1">
        <v>21621</v>
      </c>
      <c r="AX7284">
        <v>1</v>
      </c>
    </row>
    <row r="7285" spans="1:50">
      <c r="B7285" t="str">
        <f>"133504246"</f>
        <v>133504246</v>
      </c>
      <c r="C7285" t="s">
        <v>105</v>
      </c>
      <c r="D7285" t="s">
        <v>11678</v>
      </c>
      <c r="E7285" t="s">
        <v>95</v>
      </c>
      <c r="F7285" t="s">
        <v>154</v>
      </c>
      <c r="G7285" t="s">
        <v>112</v>
      </c>
      <c r="H7285" t="str">
        <f>"ΑΓ. ΕΛΕΥΘΕΡΙΟΥ 104 "</f>
        <v xml:space="preserve">ΑΓ. ΕΛΕΥΘΕΡΙΟΥ 104 </v>
      </c>
      <c r="I7285">
        <v>67100</v>
      </c>
      <c r="J7285">
        <v>2541022370</v>
      </c>
      <c r="K7285">
        <v>6978010066</v>
      </c>
      <c r="N7285" t="s">
        <v>337</v>
      </c>
      <c r="O7285" t="s">
        <v>338</v>
      </c>
      <c r="R7285" t="s">
        <v>159</v>
      </c>
      <c r="S7285">
        <v>2</v>
      </c>
      <c r="T7285" t="s">
        <v>8675</v>
      </c>
      <c r="U7285" s="1">
        <v>43348</v>
      </c>
      <c r="V7285" t="s">
        <v>80</v>
      </c>
      <c r="W7285" t="s">
        <v>81</v>
      </c>
      <c r="X7285" t="s">
        <v>58</v>
      </c>
      <c r="Y7285">
        <v>24</v>
      </c>
      <c r="Z7285" t="s">
        <v>59</v>
      </c>
      <c r="AA7285" t="s">
        <v>59</v>
      </c>
      <c r="AB7285" t="s">
        <v>59</v>
      </c>
      <c r="AC7285" t="s">
        <v>59</v>
      </c>
      <c r="AD7285" t="s">
        <v>59</v>
      </c>
      <c r="AF7285" s="1">
        <v>43348</v>
      </c>
      <c r="AG7285" t="s">
        <v>8645</v>
      </c>
      <c r="AH7285" t="s">
        <v>8646</v>
      </c>
      <c r="AI7285" t="str">
        <f>"9170206"</f>
        <v>9170206</v>
      </c>
      <c r="AJ7285" t="s">
        <v>8972</v>
      </c>
      <c r="AK7285">
        <v>2810761137</v>
      </c>
      <c r="AL7285" t="s">
        <v>8973</v>
      </c>
      <c r="AM7285" t="s">
        <v>78</v>
      </c>
      <c r="AN7285" t="s">
        <v>219</v>
      </c>
      <c r="AO7285" t="s">
        <v>297</v>
      </c>
      <c r="AP7285" t="s">
        <v>8796</v>
      </c>
      <c r="AQ7285">
        <v>7</v>
      </c>
      <c r="AR7285" t="s">
        <v>80</v>
      </c>
      <c r="AS7285" t="s">
        <v>81</v>
      </c>
      <c r="AT7285" t="s">
        <v>58</v>
      </c>
      <c r="AU7285" t="s">
        <v>8673</v>
      </c>
      <c r="AV7285" t="s">
        <v>132</v>
      </c>
      <c r="AW7285" s="1">
        <v>31689</v>
      </c>
      <c r="AX7285">
        <v>1</v>
      </c>
    </row>
    <row r="7286" spans="1:50">
      <c r="A7286">
        <v>600282</v>
      </c>
      <c r="B7286" t="str">
        <f>"055289992"</f>
        <v>055289992</v>
      </c>
      <c r="C7286" t="s">
        <v>50</v>
      </c>
      <c r="D7286" t="s">
        <v>11679</v>
      </c>
      <c r="E7286" t="s">
        <v>484</v>
      </c>
      <c r="F7286" t="s">
        <v>782</v>
      </c>
      <c r="G7286" t="s">
        <v>237</v>
      </c>
      <c r="H7286" t="str">
        <f>"ΑΠΟΛΛΩΝΙΟΥ ΡΟΔΙΟΥ 34 ΗΡΑΚΛΕΙΟ"</f>
        <v>ΑΠΟΛΛΩΝΙΟΥ ΡΟΔΙΟΥ 34 ΗΡΑΚΛΕΙΟ</v>
      </c>
      <c r="I7286">
        <v>71305</v>
      </c>
      <c r="J7286">
        <v>2810210594</v>
      </c>
      <c r="K7286">
        <v>6945723783</v>
      </c>
      <c r="N7286" t="s">
        <v>615</v>
      </c>
      <c r="O7286" t="s">
        <v>616</v>
      </c>
      <c r="R7286" t="s">
        <v>57</v>
      </c>
      <c r="S7286">
        <v>9</v>
      </c>
      <c r="T7286">
        <v>195</v>
      </c>
      <c r="U7286" s="1">
        <v>37497</v>
      </c>
      <c r="V7286" t="s">
        <v>80</v>
      </c>
      <c r="W7286" t="s">
        <v>81</v>
      </c>
      <c r="X7286" t="s">
        <v>58</v>
      </c>
      <c r="Y7286">
        <v>21</v>
      </c>
      <c r="Z7286" t="s">
        <v>59</v>
      </c>
      <c r="AA7286" t="s">
        <v>59</v>
      </c>
      <c r="AB7286" t="s">
        <v>59</v>
      </c>
      <c r="AC7286" t="s">
        <v>59</v>
      </c>
      <c r="AD7286" t="s">
        <v>59</v>
      </c>
      <c r="AF7286" s="1">
        <v>37501</v>
      </c>
      <c r="AG7286" t="s">
        <v>8645</v>
      </c>
      <c r="AH7286" t="s">
        <v>8646</v>
      </c>
      <c r="AI7286" t="str">
        <f>"9170512"</f>
        <v>9170512</v>
      </c>
      <c r="AJ7286" t="s">
        <v>8986</v>
      </c>
      <c r="AK7286">
        <v>2810253082</v>
      </c>
      <c r="AL7286" t="s">
        <v>8987</v>
      </c>
      <c r="AM7286" t="s">
        <v>78</v>
      </c>
      <c r="AN7286" t="s">
        <v>78</v>
      </c>
      <c r="AO7286" t="s">
        <v>78</v>
      </c>
      <c r="AP7286" t="s">
        <v>141</v>
      </c>
      <c r="AQ7286">
        <v>1</v>
      </c>
      <c r="AR7286" t="s">
        <v>80</v>
      </c>
      <c r="AS7286" t="s">
        <v>81</v>
      </c>
      <c r="AT7286" t="s">
        <v>58</v>
      </c>
      <c r="AU7286" t="s">
        <v>68</v>
      </c>
      <c r="AV7286" t="s">
        <v>69</v>
      </c>
      <c r="AW7286" s="1">
        <v>24662</v>
      </c>
      <c r="AX7286">
        <v>1</v>
      </c>
    </row>
    <row r="7287" spans="1:50">
      <c r="B7287" t="str">
        <f>"145179111"</f>
        <v>145179111</v>
      </c>
      <c r="C7287" t="s">
        <v>50</v>
      </c>
      <c r="D7287" t="s">
        <v>11680</v>
      </c>
      <c r="E7287" t="s">
        <v>155</v>
      </c>
      <c r="F7287" t="s">
        <v>1023</v>
      </c>
      <c r="G7287" t="s">
        <v>742</v>
      </c>
      <c r="H7287" t="str">
        <f>"ΓΡΗΓΟΡΙΟΥ ΛΑΜΠΡΑΚΗ 2-Β Αγρίνιο"</f>
        <v>ΓΡΗΓΟΡΙΟΥ ΛΑΜΠΡΑΚΗ 2-Β Αγρίνιο</v>
      </c>
      <c r="I7287">
        <v>30100</v>
      </c>
      <c r="J7287">
        <v>2641054694</v>
      </c>
      <c r="K7287">
        <v>6908378386</v>
      </c>
      <c r="M7287" t="s">
        <v>11681</v>
      </c>
      <c r="N7287" t="s">
        <v>615</v>
      </c>
      <c r="O7287" t="s">
        <v>616</v>
      </c>
      <c r="R7287" t="s">
        <v>159</v>
      </c>
      <c r="S7287">
        <v>1</v>
      </c>
      <c r="T7287" t="s">
        <v>8675</v>
      </c>
      <c r="U7287" s="1">
        <v>43348</v>
      </c>
      <c r="V7287" t="s">
        <v>80</v>
      </c>
      <c r="W7287" t="s">
        <v>81</v>
      </c>
      <c r="X7287" t="s">
        <v>58</v>
      </c>
      <c r="Y7287">
        <v>25</v>
      </c>
      <c r="Z7287" t="s">
        <v>59</v>
      </c>
      <c r="AA7287" t="s">
        <v>59</v>
      </c>
      <c r="AB7287" t="s">
        <v>59</v>
      </c>
      <c r="AC7287" t="s">
        <v>59</v>
      </c>
      <c r="AD7287" t="s">
        <v>59</v>
      </c>
      <c r="AF7287" s="1">
        <v>43348</v>
      </c>
      <c r="AG7287" t="s">
        <v>8645</v>
      </c>
      <c r="AH7287" t="s">
        <v>8676</v>
      </c>
      <c r="AI7287" t="str">
        <f>"9170085"</f>
        <v>9170085</v>
      </c>
      <c r="AJ7287" t="s">
        <v>8724</v>
      </c>
      <c r="AK7287">
        <v>2893031176</v>
      </c>
      <c r="AL7287" t="s">
        <v>8725</v>
      </c>
      <c r="AM7287" t="s">
        <v>78</v>
      </c>
      <c r="AN7287" t="s">
        <v>405</v>
      </c>
      <c r="AO7287" t="s">
        <v>805</v>
      </c>
      <c r="AP7287" t="s">
        <v>8726</v>
      </c>
      <c r="AQ7287">
        <v>15</v>
      </c>
      <c r="AR7287" t="s">
        <v>80</v>
      </c>
      <c r="AS7287" t="s">
        <v>81</v>
      </c>
      <c r="AT7287" t="s">
        <v>58</v>
      </c>
      <c r="AU7287" t="s">
        <v>8673</v>
      </c>
      <c r="AV7287" t="s">
        <v>132</v>
      </c>
      <c r="AW7287" s="1">
        <v>32392</v>
      </c>
      <c r="AX7287">
        <v>1</v>
      </c>
    </row>
    <row r="7288" spans="1:50">
      <c r="B7288" t="str">
        <f>"139536403"</f>
        <v>139536403</v>
      </c>
      <c r="C7288" t="s">
        <v>50</v>
      </c>
      <c r="D7288" t="s">
        <v>11682</v>
      </c>
      <c r="E7288" t="s">
        <v>809</v>
      </c>
      <c r="F7288" t="s">
        <v>99</v>
      </c>
      <c r="G7288" t="s">
        <v>476</v>
      </c>
      <c r="H7288" t="str">
        <f>" "</f>
        <v xml:space="preserve"> </v>
      </c>
      <c r="N7288" t="s">
        <v>8834</v>
      </c>
      <c r="O7288" t="s">
        <v>8695</v>
      </c>
      <c r="R7288" t="s">
        <v>159</v>
      </c>
      <c r="S7288">
        <v>3</v>
      </c>
      <c r="T7288" t="s">
        <v>8835</v>
      </c>
      <c r="U7288" s="1">
        <v>43348</v>
      </c>
      <c r="V7288" t="s">
        <v>80</v>
      </c>
      <c r="W7288" t="s">
        <v>81</v>
      </c>
      <c r="X7288" t="s">
        <v>58</v>
      </c>
      <c r="Y7288">
        <v>24</v>
      </c>
      <c r="Z7288" t="s">
        <v>59</v>
      </c>
      <c r="AA7288" t="s">
        <v>59</v>
      </c>
      <c r="AB7288" t="s">
        <v>59</v>
      </c>
      <c r="AD7288" t="s">
        <v>59</v>
      </c>
      <c r="AF7288" s="1">
        <v>43348</v>
      </c>
      <c r="AG7288" t="s">
        <v>8645</v>
      </c>
      <c r="AH7288" t="s">
        <v>8646</v>
      </c>
      <c r="AI7288" t="str">
        <f>"9170561"</f>
        <v>9170561</v>
      </c>
      <c r="AJ7288" t="s">
        <v>8708</v>
      </c>
      <c r="AK7288">
        <v>2891023609</v>
      </c>
      <c r="AL7288" t="s">
        <v>8709</v>
      </c>
      <c r="AM7288" t="s">
        <v>78</v>
      </c>
      <c r="AN7288" t="s">
        <v>276</v>
      </c>
      <c r="AO7288" t="s">
        <v>490</v>
      </c>
      <c r="AP7288" t="s">
        <v>490</v>
      </c>
      <c r="AQ7288">
        <v>12</v>
      </c>
      <c r="AR7288" t="s">
        <v>80</v>
      </c>
      <c r="AS7288" t="s">
        <v>81</v>
      </c>
      <c r="AT7288" t="s">
        <v>58</v>
      </c>
      <c r="AU7288" t="s">
        <v>131</v>
      </c>
      <c r="AV7288" t="s">
        <v>132</v>
      </c>
      <c r="AW7288" s="1">
        <v>32871</v>
      </c>
      <c r="AX7288">
        <v>1</v>
      </c>
    </row>
    <row r="7289" spans="1:50">
      <c r="B7289" t="str">
        <f>"137243520"</f>
        <v>137243520</v>
      </c>
      <c r="C7289" t="s">
        <v>105</v>
      </c>
      <c r="D7289" t="s">
        <v>11683</v>
      </c>
      <c r="E7289" t="s">
        <v>670</v>
      </c>
      <c r="F7289" t="s">
        <v>106</v>
      </c>
      <c r="G7289" t="s">
        <v>1644</v>
      </c>
      <c r="H7289" t="str">
        <f>"ΒΙΚΕΛΑ 49 ΗΡΑΚΛΕΙΟ"</f>
        <v>ΒΙΚΕΛΑ 49 ΗΡΑΚΛΕΙΟ</v>
      </c>
      <c r="I7289">
        <v>71201</v>
      </c>
      <c r="J7289">
        <v>2810344479</v>
      </c>
      <c r="K7289">
        <v>6939293979</v>
      </c>
      <c r="N7289" t="s">
        <v>683</v>
      </c>
      <c r="O7289" t="s">
        <v>684</v>
      </c>
      <c r="R7289" t="s">
        <v>159</v>
      </c>
      <c r="S7289">
        <v>3</v>
      </c>
      <c r="T7289" t="s">
        <v>8675</v>
      </c>
      <c r="U7289" s="1">
        <v>43348</v>
      </c>
      <c r="V7289" t="s">
        <v>80</v>
      </c>
      <c r="W7289" t="s">
        <v>81</v>
      </c>
      <c r="X7289" t="s">
        <v>58</v>
      </c>
      <c r="Y7289">
        <v>24</v>
      </c>
      <c r="Z7289" t="s">
        <v>59</v>
      </c>
      <c r="AA7289" t="s">
        <v>59</v>
      </c>
      <c r="AB7289" t="s">
        <v>59</v>
      </c>
      <c r="AC7289" t="s">
        <v>59</v>
      </c>
      <c r="AD7289" t="s">
        <v>59</v>
      </c>
      <c r="AF7289" s="1">
        <v>43348</v>
      </c>
      <c r="AG7289" t="s">
        <v>8645</v>
      </c>
      <c r="AH7289" t="s">
        <v>8646</v>
      </c>
      <c r="AI7289" t="str">
        <f>"9170532"</f>
        <v>9170532</v>
      </c>
      <c r="AJ7289" t="s">
        <v>8945</v>
      </c>
      <c r="AK7289">
        <v>2810250330</v>
      </c>
      <c r="AL7289" t="s">
        <v>8946</v>
      </c>
      <c r="AM7289" t="s">
        <v>78</v>
      </c>
      <c r="AN7289" t="s">
        <v>78</v>
      </c>
      <c r="AO7289" t="s">
        <v>78</v>
      </c>
      <c r="AP7289" t="s">
        <v>141</v>
      </c>
      <c r="AQ7289">
        <v>1</v>
      </c>
      <c r="AR7289" t="s">
        <v>80</v>
      </c>
      <c r="AS7289" t="s">
        <v>81</v>
      </c>
      <c r="AT7289" t="s">
        <v>58</v>
      </c>
      <c r="AU7289" t="s">
        <v>8673</v>
      </c>
      <c r="AV7289" t="s">
        <v>132</v>
      </c>
      <c r="AW7289" s="1">
        <v>26960</v>
      </c>
      <c r="AX7289">
        <v>1</v>
      </c>
    </row>
    <row r="7290" spans="1:50">
      <c r="B7290" t="str">
        <f>"149421564"</f>
        <v>149421564</v>
      </c>
      <c r="C7290" t="s">
        <v>50</v>
      </c>
      <c r="D7290" t="s">
        <v>11684</v>
      </c>
      <c r="E7290" t="s">
        <v>484</v>
      </c>
      <c r="F7290" t="s">
        <v>72</v>
      </c>
      <c r="G7290" t="s">
        <v>215</v>
      </c>
      <c r="H7290" t="str">
        <f>"Αράτου 9  Αίγιο"</f>
        <v>Αράτου 9  Αίγιο</v>
      </c>
      <c r="I7290">
        <v>25100</v>
      </c>
      <c r="K7290">
        <v>6987685973</v>
      </c>
      <c r="M7290" t="s">
        <v>11685</v>
      </c>
      <c r="N7290" t="s">
        <v>8694</v>
      </c>
      <c r="O7290" t="s">
        <v>8695</v>
      </c>
      <c r="R7290" t="s">
        <v>159</v>
      </c>
      <c r="S7290">
        <v>1</v>
      </c>
      <c r="T7290" t="s">
        <v>8696</v>
      </c>
      <c r="U7290" s="1">
        <v>43348</v>
      </c>
      <c r="V7290" t="s">
        <v>80</v>
      </c>
      <c r="W7290" t="s">
        <v>81</v>
      </c>
      <c r="X7290" t="s">
        <v>58</v>
      </c>
      <c r="Y7290">
        <v>24</v>
      </c>
      <c r="Z7290" t="s">
        <v>59</v>
      </c>
      <c r="AA7290" t="s">
        <v>59</v>
      </c>
      <c r="AB7290" t="s">
        <v>59</v>
      </c>
      <c r="AC7290" t="s">
        <v>59</v>
      </c>
      <c r="AD7290" t="s">
        <v>59</v>
      </c>
      <c r="AF7290" s="1">
        <v>43348</v>
      </c>
      <c r="AG7290" t="s">
        <v>8645</v>
      </c>
      <c r="AH7290" t="s">
        <v>8646</v>
      </c>
      <c r="AI7290" t="str">
        <f>"9170319"</f>
        <v>9170319</v>
      </c>
      <c r="AJ7290" t="s">
        <v>9121</v>
      </c>
      <c r="AK7290">
        <v>2893022231</v>
      </c>
      <c r="AL7290" t="s">
        <v>9122</v>
      </c>
      <c r="AM7290" t="s">
        <v>78</v>
      </c>
      <c r="AN7290" t="s">
        <v>424</v>
      </c>
      <c r="AO7290" t="s">
        <v>577</v>
      </c>
      <c r="AP7290" t="s">
        <v>1668</v>
      </c>
      <c r="AQ7290">
        <v>10</v>
      </c>
      <c r="AR7290" t="s">
        <v>80</v>
      </c>
      <c r="AS7290" t="s">
        <v>81</v>
      </c>
      <c r="AT7290" t="s">
        <v>58</v>
      </c>
      <c r="AU7290" t="s">
        <v>350</v>
      </c>
      <c r="AV7290" t="s">
        <v>132</v>
      </c>
      <c r="AW7290" s="1">
        <v>33612</v>
      </c>
      <c r="AX7290">
        <v>1</v>
      </c>
    </row>
    <row r="7291" spans="1:50">
      <c r="A7291">
        <v>601050</v>
      </c>
      <c r="B7291" t="str">
        <f>"074249453"</f>
        <v>074249453</v>
      </c>
      <c r="C7291" t="s">
        <v>50</v>
      </c>
      <c r="D7291" t="s">
        <v>11686</v>
      </c>
      <c r="E7291" t="s">
        <v>52</v>
      </c>
      <c r="F7291" t="s">
        <v>202</v>
      </c>
      <c r="G7291" t="s">
        <v>155</v>
      </c>
      <c r="H7291" t="str">
        <f>"Θ.Ματθαιάκη 43 "</f>
        <v xml:space="preserve">Θ.Ματθαιάκη 43 </v>
      </c>
      <c r="K7291">
        <v>6945496531</v>
      </c>
      <c r="N7291" t="s">
        <v>615</v>
      </c>
      <c r="O7291" t="s">
        <v>616</v>
      </c>
      <c r="R7291" t="s">
        <v>57</v>
      </c>
      <c r="S7291">
        <v>8</v>
      </c>
      <c r="T7291">
        <v>207</v>
      </c>
      <c r="U7291" s="1">
        <v>37866</v>
      </c>
      <c r="V7291" t="s">
        <v>80</v>
      </c>
      <c r="W7291" t="s">
        <v>81</v>
      </c>
      <c r="X7291" t="s">
        <v>58</v>
      </c>
      <c r="Y7291">
        <v>22</v>
      </c>
      <c r="Z7291" t="s">
        <v>59</v>
      </c>
      <c r="AA7291" t="s">
        <v>59</v>
      </c>
      <c r="AB7291" t="s">
        <v>59</v>
      </c>
      <c r="AC7291" t="s">
        <v>59</v>
      </c>
      <c r="AD7291" t="s">
        <v>59</v>
      </c>
      <c r="AF7291" s="1">
        <v>37866</v>
      </c>
      <c r="AG7291" t="s">
        <v>8645</v>
      </c>
      <c r="AH7291" t="s">
        <v>8646</v>
      </c>
      <c r="AI7291" t="str">
        <f>"9170257"</f>
        <v>9170257</v>
      </c>
      <c r="AJ7291" t="s">
        <v>8710</v>
      </c>
      <c r="AK7291">
        <v>2810245513</v>
      </c>
      <c r="AL7291" t="s">
        <v>8711</v>
      </c>
      <c r="AM7291" t="s">
        <v>78</v>
      </c>
      <c r="AN7291" t="s">
        <v>78</v>
      </c>
      <c r="AO7291" t="s">
        <v>78</v>
      </c>
      <c r="AP7291" t="s">
        <v>213</v>
      </c>
      <c r="AQ7291">
        <v>1</v>
      </c>
      <c r="AR7291" t="s">
        <v>80</v>
      </c>
      <c r="AS7291" t="s">
        <v>81</v>
      </c>
      <c r="AT7291" t="s">
        <v>58</v>
      </c>
      <c r="AU7291" t="s">
        <v>68</v>
      </c>
      <c r="AV7291" t="s">
        <v>69</v>
      </c>
      <c r="AW7291" s="1">
        <v>25814</v>
      </c>
      <c r="AX7291">
        <v>1</v>
      </c>
    </row>
    <row r="7292" spans="1:50">
      <c r="A7292">
        <v>556995</v>
      </c>
      <c r="B7292" t="str">
        <f>"068131760"</f>
        <v>068131760</v>
      </c>
      <c r="C7292" t="s">
        <v>50</v>
      </c>
      <c r="D7292" t="s">
        <v>11687</v>
      </c>
      <c r="E7292" t="s">
        <v>600</v>
      </c>
      <c r="F7292" t="s">
        <v>995</v>
      </c>
      <c r="G7292" t="s">
        <v>1361</v>
      </c>
      <c r="H7292" t="str">
        <f>"ΟΠΙΣΘΕΝ ΕΝΩΣΗΣ ΗΡΑΚΛΕΙΟ"</f>
        <v>ΟΠΙΣΘΕΝ ΕΝΩΣΗΣ ΗΡΑΚΛΕΙΟ</v>
      </c>
      <c r="I7292">
        <v>70400</v>
      </c>
      <c r="K7292">
        <v>6942501633</v>
      </c>
      <c r="N7292" t="s">
        <v>615</v>
      </c>
      <c r="O7292" t="s">
        <v>616</v>
      </c>
      <c r="R7292" t="s">
        <v>57</v>
      </c>
      <c r="S7292">
        <v>16</v>
      </c>
      <c r="T7292">
        <v>168</v>
      </c>
      <c r="U7292" s="1">
        <v>32010</v>
      </c>
      <c r="V7292" t="s">
        <v>80</v>
      </c>
      <c r="W7292" t="s">
        <v>81</v>
      </c>
      <c r="X7292" t="s">
        <v>58</v>
      </c>
      <c r="Y7292">
        <v>21</v>
      </c>
      <c r="Z7292" t="s">
        <v>59</v>
      </c>
      <c r="AA7292" t="s">
        <v>59</v>
      </c>
      <c r="AB7292" t="s">
        <v>59</v>
      </c>
      <c r="AC7292" t="s">
        <v>59</v>
      </c>
      <c r="AD7292" t="s">
        <v>59</v>
      </c>
      <c r="AF7292" s="1">
        <v>32021</v>
      </c>
      <c r="AG7292" t="s">
        <v>8645</v>
      </c>
      <c r="AH7292" t="s">
        <v>8646</v>
      </c>
      <c r="AI7292" t="str">
        <f>"9170267"</f>
        <v>9170267</v>
      </c>
      <c r="AJ7292" t="s">
        <v>8840</v>
      </c>
      <c r="AK7292">
        <v>2892022320</v>
      </c>
      <c r="AL7292" t="s">
        <v>8841</v>
      </c>
      <c r="AM7292" t="s">
        <v>78</v>
      </c>
      <c r="AN7292" t="s">
        <v>242</v>
      </c>
      <c r="AO7292" t="s">
        <v>243</v>
      </c>
      <c r="AP7292" t="s">
        <v>243</v>
      </c>
      <c r="AQ7292">
        <v>20</v>
      </c>
      <c r="AR7292" t="s">
        <v>80</v>
      </c>
      <c r="AS7292" t="s">
        <v>81</v>
      </c>
      <c r="AT7292" t="s">
        <v>58</v>
      </c>
      <c r="AU7292" t="s">
        <v>68</v>
      </c>
      <c r="AV7292" t="s">
        <v>69</v>
      </c>
      <c r="AW7292" s="1">
        <v>21895</v>
      </c>
      <c r="AX7292">
        <v>1</v>
      </c>
    </row>
    <row r="7293" spans="1:50">
      <c r="A7293">
        <v>614709</v>
      </c>
      <c r="B7293" t="str">
        <f>"118949990"</f>
        <v>118949990</v>
      </c>
      <c r="C7293" t="s">
        <v>50</v>
      </c>
      <c r="D7293" t="s">
        <v>11688</v>
      </c>
      <c r="E7293" t="s">
        <v>109</v>
      </c>
      <c r="F7293" t="s">
        <v>95</v>
      </c>
      <c r="G7293" t="s">
        <v>83</v>
      </c>
      <c r="H7293" t="str">
        <f>"ΤΥΜΠΑΚΙΟΥ-ΗΡΑΚΛΕΙΟΥ ΚΛΗΜΑ"</f>
        <v>ΤΥΜΠΑΚΙΟΥ-ΗΡΑΚΛΕΙΟΥ ΚΛΗΜΑ</v>
      </c>
      <c r="I7293">
        <v>70200</v>
      </c>
      <c r="J7293">
        <v>2892051676</v>
      </c>
      <c r="K7293">
        <v>6949403040</v>
      </c>
      <c r="M7293" t="s">
        <v>11689</v>
      </c>
      <c r="N7293" t="s">
        <v>615</v>
      </c>
      <c r="O7293" t="s">
        <v>616</v>
      </c>
      <c r="R7293" t="s">
        <v>57</v>
      </c>
      <c r="S7293">
        <v>6</v>
      </c>
      <c r="T7293">
        <v>598</v>
      </c>
      <c r="U7293" s="1">
        <v>39310</v>
      </c>
      <c r="V7293" t="s">
        <v>80</v>
      </c>
      <c r="W7293" t="s">
        <v>81</v>
      </c>
      <c r="X7293" t="s">
        <v>58</v>
      </c>
      <c r="Y7293">
        <v>23</v>
      </c>
      <c r="Z7293" t="s">
        <v>59</v>
      </c>
      <c r="AA7293" t="s">
        <v>59</v>
      </c>
      <c r="AB7293" t="s">
        <v>59</v>
      </c>
      <c r="AC7293" t="s">
        <v>59</v>
      </c>
      <c r="AD7293" t="s">
        <v>59</v>
      </c>
      <c r="AF7293" s="1">
        <v>39328</v>
      </c>
      <c r="AG7293" t="s">
        <v>8645</v>
      </c>
      <c r="AH7293" t="s">
        <v>8646</v>
      </c>
      <c r="AI7293" t="str">
        <f>"9170515"</f>
        <v>9170515</v>
      </c>
      <c r="AJ7293" t="s">
        <v>8790</v>
      </c>
      <c r="AK7293">
        <v>2810254821</v>
      </c>
      <c r="AL7293" t="s">
        <v>8791</v>
      </c>
      <c r="AM7293" t="s">
        <v>78</v>
      </c>
      <c r="AN7293" t="s">
        <v>78</v>
      </c>
      <c r="AO7293" t="s">
        <v>78</v>
      </c>
      <c r="AP7293" t="s">
        <v>163</v>
      </c>
      <c r="AQ7293">
        <v>1</v>
      </c>
      <c r="AR7293" t="s">
        <v>80</v>
      </c>
      <c r="AS7293" t="s">
        <v>81</v>
      </c>
      <c r="AT7293" t="s">
        <v>58</v>
      </c>
      <c r="AU7293" t="s">
        <v>68</v>
      </c>
      <c r="AV7293" t="s">
        <v>69</v>
      </c>
      <c r="AW7293" s="1">
        <v>30171</v>
      </c>
      <c r="AX7293">
        <v>1</v>
      </c>
    </row>
    <row r="7294" spans="1:50">
      <c r="A7294">
        <v>576437</v>
      </c>
      <c r="B7294" t="str">
        <f>"053224943"</f>
        <v>053224943</v>
      </c>
      <c r="C7294" t="s">
        <v>50</v>
      </c>
      <c r="D7294" t="s">
        <v>6641</v>
      </c>
      <c r="E7294" t="s">
        <v>237</v>
      </c>
      <c r="F7294" t="s">
        <v>53</v>
      </c>
      <c r="G7294" t="s">
        <v>83</v>
      </c>
      <c r="H7294" t="str">
        <f>"ΒΕΝΕΡΑΤΟ  ΒΕΝΕΡΑΤΟ ΗΡΑΚΛΕΙΟΥ"</f>
        <v>ΒΕΝΕΡΑΤΟ  ΒΕΝΕΡΑΤΟ ΗΡΑΚΛΕΙΟΥ</v>
      </c>
      <c r="I7294">
        <v>70011</v>
      </c>
      <c r="J7294">
        <v>2810791657</v>
      </c>
      <c r="K7294">
        <v>6936791657</v>
      </c>
      <c r="N7294" t="s">
        <v>306</v>
      </c>
      <c r="O7294" t="s">
        <v>307</v>
      </c>
      <c r="R7294" t="s">
        <v>57</v>
      </c>
      <c r="S7294">
        <v>11</v>
      </c>
      <c r="T7294">
        <v>184</v>
      </c>
      <c r="U7294" s="1">
        <v>34941</v>
      </c>
      <c r="V7294" t="s">
        <v>80</v>
      </c>
      <c r="W7294" t="s">
        <v>81</v>
      </c>
      <c r="X7294" t="s">
        <v>58</v>
      </c>
      <c r="Y7294">
        <v>21</v>
      </c>
      <c r="Z7294" t="s">
        <v>59</v>
      </c>
      <c r="AA7294" t="s">
        <v>59</v>
      </c>
      <c r="AB7294" t="s">
        <v>59</v>
      </c>
      <c r="AC7294" t="s">
        <v>59</v>
      </c>
      <c r="AD7294" t="s">
        <v>59</v>
      </c>
      <c r="AF7294" s="1">
        <v>34943</v>
      </c>
      <c r="AG7294" t="s">
        <v>8645</v>
      </c>
      <c r="AH7294" t="s">
        <v>8646</v>
      </c>
      <c r="AI7294" t="str">
        <f>"9170039"</f>
        <v>9170039</v>
      </c>
      <c r="AJ7294" t="s">
        <v>8804</v>
      </c>
      <c r="AK7294">
        <v>2894022231</v>
      </c>
      <c r="AL7294" t="s">
        <v>8805</v>
      </c>
      <c r="AM7294" t="s">
        <v>78</v>
      </c>
      <c r="AN7294" t="s">
        <v>405</v>
      </c>
      <c r="AO7294" t="s">
        <v>406</v>
      </c>
      <c r="AP7294" t="s">
        <v>406</v>
      </c>
      <c r="AQ7294">
        <v>6</v>
      </c>
      <c r="AR7294" t="s">
        <v>80</v>
      </c>
      <c r="AS7294" t="s">
        <v>81</v>
      </c>
      <c r="AT7294" t="s">
        <v>58</v>
      </c>
      <c r="AU7294" t="s">
        <v>68</v>
      </c>
      <c r="AV7294" t="s">
        <v>69</v>
      </c>
      <c r="AW7294" s="1">
        <v>25337</v>
      </c>
      <c r="AX7294">
        <v>1</v>
      </c>
    </row>
    <row r="7295" spans="1:50">
      <c r="B7295" t="str">
        <f>"150103100"</f>
        <v>150103100</v>
      </c>
      <c r="C7295" t="s">
        <v>50</v>
      </c>
      <c r="D7295" t="s">
        <v>11690</v>
      </c>
      <c r="E7295" t="s">
        <v>188</v>
      </c>
      <c r="F7295" t="s">
        <v>631</v>
      </c>
      <c r="G7295" t="s">
        <v>52</v>
      </c>
      <c r="H7295" t="str">
        <f>"ΚΥΚΛΑΔΩΝ 2 "</f>
        <v xml:space="preserve">ΚΥΚΛΑΔΩΝ 2 </v>
      </c>
      <c r="I7295">
        <v>66100</v>
      </c>
      <c r="J7295">
        <v>2521038261</v>
      </c>
      <c r="K7295">
        <v>6981132278</v>
      </c>
      <c r="N7295" t="s">
        <v>615</v>
      </c>
      <c r="O7295" t="s">
        <v>616</v>
      </c>
      <c r="R7295" t="s">
        <v>159</v>
      </c>
      <c r="S7295">
        <v>2</v>
      </c>
      <c r="T7295" t="s">
        <v>8675</v>
      </c>
      <c r="U7295" s="1">
        <v>43348</v>
      </c>
      <c r="V7295" t="s">
        <v>80</v>
      </c>
      <c r="W7295" t="s">
        <v>81</v>
      </c>
      <c r="X7295" t="s">
        <v>58</v>
      </c>
      <c r="Y7295">
        <v>24</v>
      </c>
      <c r="Z7295" t="s">
        <v>59</v>
      </c>
      <c r="AA7295" t="s">
        <v>59</v>
      </c>
      <c r="AB7295" t="s">
        <v>59</v>
      </c>
      <c r="AC7295" t="s">
        <v>59</v>
      </c>
      <c r="AD7295" t="s">
        <v>59</v>
      </c>
      <c r="AF7295" s="1">
        <v>43348</v>
      </c>
      <c r="AG7295" t="s">
        <v>8645</v>
      </c>
      <c r="AH7295" t="s">
        <v>8646</v>
      </c>
      <c r="AI7295" t="str">
        <f>"9170285"</f>
        <v>9170285</v>
      </c>
      <c r="AJ7295" t="s">
        <v>9186</v>
      </c>
      <c r="AK7295">
        <v>2894031223</v>
      </c>
      <c r="AL7295" t="s">
        <v>9187</v>
      </c>
      <c r="AM7295" t="s">
        <v>78</v>
      </c>
      <c r="AN7295" t="s">
        <v>242</v>
      </c>
      <c r="AO7295" t="s">
        <v>999</v>
      </c>
      <c r="AP7295" t="s">
        <v>999</v>
      </c>
      <c r="AQ7295">
        <v>21</v>
      </c>
      <c r="AR7295" t="s">
        <v>80</v>
      </c>
      <c r="AS7295" t="s">
        <v>81</v>
      </c>
      <c r="AT7295" t="s">
        <v>58</v>
      </c>
      <c r="AU7295" t="s">
        <v>8673</v>
      </c>
      <c r="AV7295" t="s">
        <v>132</v>
      </c>
      <c r="AW7295" s="1">
        <v>32275</v>
      </c>
      <c r="AX7295">
        <v>1</v>
      </c>
    </row>
    <row r="7296" spans="1:50">
      <c r="A7296">
        <v>610160</v>
      </c>
      <c r="B7296" t="str">
        <f>"130254407"</f>
        <v>130254407</v>
      </c>
      <c r="C7296" t="s">
        <v>50</v>
      </c>
      <c r="D7296" t="s">
        <v>11691</v>
      </c>
      <c r="E7296" t="s">
        <v>11692</v>
      </c>
      <c r="F7296" t="s">
        <v>304</v>
      </c>
      <c r="G7296" t="s">
        <v>563</v>
      </c>
      <c r="H7296" t="str">
        <f>"ΜΙΝΩΟΣ- ΛΑΣΑΙΑΣ  2 ΗΡΑΚΛΕΙΟ"</f>
        <v>ΜΙΝΩΟΣ- ΛΑΣΑΙΑΣ  2 ΗΡΑΚΛΕΙΟ</v>
      </c>
      <c r="I7296">
        <v>71305</v>
      </c>
      <c r="J7296">
        <v>2810262867</v>
      </c>
      <c r="K7296">
        <v>6972728457</v>
      </c>
      <c r="N7296" t="s">
        <v>615</v>
      </c>
      <c r="O7296" t="s">
        <v>616</v>
      </c>
      <c r="R7296" t="s">
        <v>57</v>
      </c>
      <c r="S7296">
        <v>7</v>
      </c>
      <c r="T7296">
        <v>233</v>
      </c>
      <c r="U7296" s="1">
        <v>38960</v>
      </c>
      <c r="V7296" t="s">
        <v>80</v>
      </c>
      <c r="W7296" t="s">
        <v>81</v>
      </c>
      <c r="X7296" t="s">
        <v>58</v>
      </c>
      <c r="Y7296">
        <v>23</v>
      </c>
      <c r="Z7296" t="s">
        <v>59</v>
      </c>
      <c r="AA7296" t="s">
        <v>59</v>
      </c>
      <c r="AB7296" t="s">
        <v>59</v>
      </c>
      <c r="AC7296" t="s">
        <v>59</v>
      </c>
      <c r="AD7296" t="s">
        <v>59</v>
      </c>
      <c r="AF7296" s="1">
        <v>38961</v>
      </c>
      <c r="AG7296" t="s">
        <v>8645</v>
      </c>
      <c r="AH7296" t="s">
        <v>8646</v>
      </c>
      <c r="AI7296" t="str">
        <f>"9521092"</f>
        <v>9521092</v>
      </c>
      <c r="AJ7296" t="s">
        <v>9234</v>
      </c>
      <c r="AK7296">
        <v>2810313321</v>
      </c>
      <c r="AL7296" t="s">
        <v>9235</v>
      </c>
      <c r="AM7296" t="s">
        <v>78</v>
      </c>
      <c r="AN7296" t="s">
        <v>78</v>
      </c>
      <c r="AO7296" t="s">
        <v>78</v>
      </c>
      <c r="AP7296" t="s">
        <v>141</v>
      </c>
      <c r="AQ7296">
        <v>1</v>
      </c>
      <c r="AR7296" t="s">
        <v>80</v>
      </c>
      <c r="AS7296" t="s">
        <v>81</v>
      </c>
      <c r="AT7296" t="s">
        <v>58</v>
      </c>
      <c r="AU7296" t="s">
        <v>68</v>
      </c>
      <c r="AV7296" t="s">
        <v>69</v>
      </c>
      <c r="AW7296" s="1">
        <v>29435</v>
      </c>
      <c r="AX7296">
        <v>1</v>
      </c>
    </row>
    <row r="7297" spans="1:50">
      <c r="B7297" t="str">
        <f>"111694087"</f>
        <v>111694087</v>
      </c>
      <c r="C7297" t="s">
        <v>50</v>
      </c>
      <c r="D7297" t="s">
        <v>11693</v>
      </c>
      <c r="E7297" t="s">
        <v>52</v>
      </c>
      <c r="F7297" t="s">
        <v>84</v>
      </c>
      <c r="G7297" t="s">
        <v>809</v>
      </c>
      <c r="H7297" t="str">
        <f>"Παπατέστα 57 ΠΕΙΡΑΙΑΣ"</f>
        <v>Παπατέστα 57 ΠΕΙΡΑΙΑΣ</v>
      </c>
      <c r="I7297">
        <v>18538</v>
      </c>
      <c r="J7297">
        <v>2104520645</v>
      </c>
      <c r="K7297">
        <v>6972186028</v>
      </c>
      <c r="N7297" t="s">
        <v>1525</v>
      </c>
      <c r="O7297" t="s">
        <v>1526</v>
      </c>
      <c r="R7297" t="s">
        <v>159</v>
      </c>
      <c r="S7297">
        <v>4</v>
      </c>
      <c r="T7297" t="s">
        <v>8670</v>
      </c>
      <c r="U7297" s="1">
        <v>43348</v>
      </c>
      <c r="V7297" t="s">
        <v>80</v>
      </c>
      <c r="W7297" t="s">
        <v>81</v>
      </c>
      <c r="X7297" t="s">
        <v>58</v>
      </c>
      <c r="Y7297">
        <v>25</v>
      </c>
      <c r="Z7297" t="s">
        <v>59</v>
      </c>
      <c r="AA7297" t="s">
        <v>59</v>
      </c>
      <c r="AB7297" t="s">
        <v>59</v>
      </c>
      <c r="AC7297" t="s">
        <v>59</v>
      </c>
      <c r="AD7297" t="s">
        <v>59</v>
      </c>
      <c r="AF7297" s="1">
        <v>43348</v>
      </c>
      <c r="AG7297" t="s">
        <v>8651</v>
      </c>
      <c r="AH7297" t="s">
        <v>8652</v>
      </c>
      <c r="AI7297" t="str">
        <f>"9170562"</f>
        <v>9170562</v>
      </c>
      <c r="AJ7297" t="s">
        <v>9470</v>
      </c>
      <c r="AK7297">
        <v>2810822781</v>
      </c>
      <c r="AL7297" t="s">
        <v>9471</v>
      </c>
      <c r="AM7297" t="s">
        <v>78</v>
      </c>
      <c r="AN7297" t="s">
        <v>129</v>
      </c>
      <c r="AO7297" t="s">
        <v>130</v>
      </c>
      <c r="AP7297" t="s">
        <v>130</v>
      </c>
      <c r="AQ7297">
        <v>1</v>
      </c>
      <c r="AR7297" t="s">
        <v>80</v>
      </c>
      <c r="AS7297" t="s">
        <v>81</v>
      </c>
      <c r="AT7297" t="s">
        <v>58</v>
      </c>
      <c r="AU7297" t="s">
        <v>8673</v>
      </c>
      <c r="AV7297" t="s">
        <v>132</v>
      </c>
      <c r="AW7297" s="1">
        <v>29415</v>
      </c>
      <c r="AX7297">
        <v>1</v>
      </c>
    </row>
    <row r="7298" spans="1:50">
      <c r="A7298">
        <v>568967</v>
      </c>
      <c r="B7298" t="str">
        <f>"064558057"</f>
        <v>064558057</v>
      </c>
      <c r="C7298" t="s">
        <v>50</v>
      </c>
      <c r="D7298" t="s">
        <v>11694</v>
      </c>
      <c r="E7298" t="s">
        <v>215</v>
      </c>
      <c r="F7298" t="s">
        <v>106</v>
      </c>
      <c r="G7298" t="s">
        <v>83</v>
      </c>
      <c r="H7298" t="str">
        <f>"ΠΑΛΑΙΟΚΑΠΑ 82 ΗΡΑΚΛΕΙΟ"</f>
        <v>ΠΑΛΑΙΟΚΑΠΑ 82 ΗΡΑΚΛΕΙΟ</v>
      </c>
      <c r="I7298">
        <v>71305</v>
      </c>
      <c r="J7298">
        <v>2810319965</v>
      </c>
      <c r="N7298" t="s">
        <v>615</v>
      </c>
      <c r="O7298" t="s">
        <v>616</v>
      </c>
      <c r="R7298" t="s">
        <v>57</v>
      </c>
      <c r="S7298">
        <v>14</v>
      </c>
      <c r="T7298">
        <v>162</v>
      </c>
      <c r="U7298" s="1">
        <v>33844</v>
      </c>
      <c r="V7298" t="s">
        <v>80</v>
      </c>
      <c r="W7298" t="s">
        <v>81</v>
      </c>
      <c r="X7298" t="s">
        <v>58</v>
      </c>
      <c r="Y7298">
        <v>21</v>
      </c>
      <c r="Z7298" t="s">
        <v>59</v>
      </c>
      <c r="AA7298" t="s">
        <v>59</v>
      </c>
      <c r="AB7298" t="s">
        <v>59</v>
      </c>
      <c r="AC7298" t="s">
        <v>59</v>
      </c>
      <c r="AD7298" t="s">
        <v>59</v>
      </c>
      <c r="AF7298" s="1">
        <v>33848</v>
      </c>
      <c r="AG7298" t="s">
        <v>8645</v>
      </c>
      <c r="AH7298" t="s">
        <v>8646</v>
      </c>
      <c r="AI7298" t="str">
        <f>"9170425"</f>
        <v>9170425</v>
      </c>
      <c r="AJ7298" t="s">
        <v>9350</v>
      </c>
      <c r="AK7298">
        <v>2810250261</v>
      </c>
      <c r="AL7298" t="s">
        <v>9351</v>
      </c>
      <c r="AM7298" t="s">
        <v>78</v>
      </c>
      <c r="AN7298" t="s">
        <v>78</v>
      </c>
      <c r="AO7298" t="s">
        <v>78</v>
      </c>
      <c r="AP7298" t="s">
        <v>141</v>
      </c>
      <c r="AQ7298">
        <v>1</v>
      </c>
      <c r="AR7298" t="s">
        <v>80</v>
      </c>
      <c r="AS7298" t="s">
        <v>81</v>
      </c>
      <c r="AT7298" t="s">
        <v>58</v>
      </c>
      <c r="AU7298" t="s">
        <v>68</v>
      </c>
      <c r="AV7298" t="s">
        <v>69</v>
      </c>
      <c r="AW7298" s="1">
        <v>23893</v>
      </c>
      <c r="AX7298">
        <v>1</v>
      </c>
    </row>
    <row r="7299" spans="1:50">
      <c r="B7299" t="str">
        <f>"114283790"</f>
        <v>114283790</v>
      </c>
      <c r="C7299" t="s">
        <v>50</v>
      </c>
      <c r="D7299" t="s">
        <v>11695</v>
      </c>
      <c r="E7299" t="s">
        <v>610</v>
      </c>
      <c r="F7299" t="s">
        <v>95</v>
      </c>
      <c r="G7299" t="s">
        <v>250</v>
      </c>
      <c r="H7299" t="str">
        <f>" "</f>
        <v xml:space="preserve"> </v>
      </c>
      <c r="N7299" t="s">
        <v>615</v>
      </c>
      <c r="O7299" t="s">
        <v>616</v>
      </c>
      <c r="R7299" t="s">
        <v>121</v>
      </c>
      <c r="S7299">
        <v>1</v>
      </c>
      <c r="T7299" t="s">
        <v>9034</v>
      </c>
      <c r="U7299" s="1">
        <v>43377</v>
      </c>
      <c r="V7299" t="s">
        <v>80</v>
      </c>
      <c r="W7299" t="s">
        <v>81</v>
      </c>
      <c r="X7299" t="s">
        <v>58</v>
      </c>
      <c r="Y7299">
        <v>24</v>
      </c>
      <c r="Z7299" t="s">
        <v>59</v>
      </c>
      <c r="AA7299" t="s">
        <v>59</v>
      </c>
      <c r="AB7299" t="s">
        <v>59</v>
      </c>
      <c r="AD7299" t="s">
        <v>59</v>
      </c>
      <c r="AF7299" s="1">
        <v>43377</v>
      </c>
      <c r="AG7299" t="s">
        <v>8645</v>
      </c>
      <c r="AH7299" t="s">
        <v>8646</v>
      </c>
      <c r="AI7299" t="str">
        <f>"9170495"</f>
        <v>9170495</v>
      </c>
      <c r="AJ7299" t="s">
        <v>8838</v>
      </c>
      <c r="AK7299">
        <v>2892023325</v>
      </c>
      <c r="AL7299" t="s">
        <v>8839</v>
      </c>
      <c r="AM7299" t="s">
        <v>78</v>
      </c>
      <c r="AN7299" t="s">
        <v>242</v>
      </c>
      <c r="AO7299" t="s">
        <v>243</v>
      </c>
      <c r="AP7299" t="s">
        <v>243</v>
      </c>
      <c r="AQ7299">
        <v>20</v>
      </c>
      <c r="AR7299" t="s">
        <v>80</v>
      </c>
      <c r="AS7299" t="s">
        <v>81</v>
      </c>
      <c r="AT7299" t="s">
        <v>58</v>
      </c>
      <c r="AU7299" t="s">
        <v>8673</v>
      </c>
      <c r="AV7299" t="s">
        <v>132</v>
      </c>
      <c r="AW7299" s="1">
        <v>32987</v>
      </c>
      <c r="AX7299">
        <v>1</v>
      </c>
    </row>
    <row r="7300" spans="1:50">
      <c r="B7300" t="str">
        <f>"144322690"</f>
        <v>144322690</v>
      </c>
      <c r="C7300" t="s">
        <v>50</v>
      </c>
      <c r="D7300" t="s">
        <v>4145</v>
      </c>
      <c r="E7300" t="s">
        <v>155</v>
      </c>
      <c r="F7300" t="s">
        <v>383</v>
      </c>
      <c r="G7300" t="s">
        <v>491</v>
      </c>
      <c r="H7300" t="str">
        <f>"ΝΙΚ. ΣΠΑΘΑΡΙΟΥ 27 "</f>
        <v xml:space="preserve">ΝΙΚ. ΣΠΑΘΑΡΙΟΥ 27 </v>
      </c>
      <c r="I7300">
        <v>71307</v>
      </c>
      <c r="J7300">
        <v>2810235583</v>
      </c>
      <c r="K7300">
        <v>6942520074</v>
      </c>
      <c r="N7300" t="s">
        <v>615</v>
      </c>
      <c r="O7300" t="s">
        <v>616</v>
      </c>
      <c r="R7300" t="s">
        <v>159</v>
      </c>
      <c r="S7300">
        <v>2</v>
      </c>
      <c r="T7300" t="s">
        <v>8675</v>
      </c>
      <c r="U7300" s="1">
        <v>43348</v>
      </c>
      <c r="V7300" t="s">
        <v>80</v>
      </c>
      <c r="W7300" t="s">
        <v>81</v>
      </c>
      <c r="X7300" t="s">
        <v>58</v>
      </c>
      <c r="Y7300">
        <v>24</v>
      </c>
      <c r="Z7300" t="s">
        <v>59</v>
      </c>
      <c r="AA7300" t="s">
        <v>59</v>
      </c>
      <c r="AB7300" t="s">
        <v>59</v>
      </c>
      <c r="AC7300" t="s">
        <v>59</v>
      </c>
      <c r="AD7300" t="s">
        <v>59</v>
      </c>
      <c r="AF7300" s="1">
        <v>43348</v>
      </c>
      <c r="AG7300" t="s">
        <v>8645</v>
      </c>
      <c r="AH7300" t="s">
        <v>8646</v>
      </c>
      <c r="AI7300" t="str">
        <f>"9170534"</f>
        <v>9170534</v>
      </c>
      <c r="AJ7300" t="s">
        <v>8701</v>
      </c>
      <c r="AK7300">
        <v>2810323225</v>
      </c>
      <c r="AL7300" t="s">
        <v>8702</v>
      </c>
      <c r="AM7300" t="s">
        <v>78</v>
      </c>
      <c r="AN7300" t="s">
        <v>78</v>
      </c>
      <c r="AO7300" t="s">
        <v>78</v>
      </c>
      <c r="AP7300" t="s">
        <v>163</v>
      </c>
      <c r="AQ7300">
        <v>1</v>
      </c>
      <c r="AR7300" t="s">
        <v>80</v>
      </c>
      <c r="AS7300" t="s">
        <v>81</v>
      </c>
      <c r="AT7300" t="s">
        <v>58</v>
      </c>
      <c r="AU7300" t="s">
        <v>8673</v>
      </c>
      <c r="AV7300" t="s">
        <v>132</v>
      </c>
      <c r="AW7300" s="1">
        <v>32480</v>
      </c>
      <c r="AX7300">
        <v>1</v>
      </c>
    </row>
    <row r="7301" spans="1:50">
      <c r="A7301">
        <v>560060</v>
      </c>
      <c r="B7301" t="str">
        <f>"032850222"</f>
        <v>032850222</v>
      </c>
      <c r="C7301" t="s">
        <v>50</v>
      </c>
      <c r="D7301" t="s">
        <v>4145</v>
      </c>
      <c r="E7301" t="s">
        <v>809</v>
      </c>
      <c r="F7301" t="s">
        <v>92</v>
      </c>
      <c r="G7301" t="s">
        <v>52</v>
      </c>
      <c r="H7301" t="str">
        <f>"ΠΑΡΑΣΚΕΥΟΠΟΥΛΟΥ 12 ΗΡΑΚΛΕΙΟ"</f>
        <v>ΠΑΡΑΣΚΕΥΟΠΟΥΛΟΥ 12 ΗΡΑΚΛΕΙΟ</v>
      </c>
      <c r="I7301">
        <v>71306</v>
      </c>
      <c r="J7301">
        <v>2810238529</v>
      </c>
      <c r="K7301">
        <v>6977235115</v>
      </c>
      <c r="N7301" t="s">
        <v>1525</v>
      </c>
      <c r="O7301" t="s">
        <v>1526</v>
      </c>
      <c r="R7301" t="s">
        <v>57</v>
      </c>
      <c r="S7301">
        <v>16</v>
      </c>
      <c r="T7301">
        <v>175</v>
      </c>
      <c r="U7301" s="1">
        <v>32020</v>
      </c>
      <c r="V7301" t="s">
        <v>80</v>
      </c>
      <c r="W7301" t="s">
        <v>81</v>
      </c>
      <c r="X7301" t="s">
        <v>58</v>
      </c>
      <c r="Y7301">
        <v>25</v>
      </c>
      <c r="Z7301" t="s">
        <v>59</v>
      </c>
      <c r="AA7301" t="s">
        <v>59</v>
      </c>
      <c r="AB7301" t="s">
        <v>59</v>
      </c>
      <c r="AC7301" t="s">
        <v>59</v>
      </c>
      <c r="AD7301" t="s">
        <v>59</v>
      </c>
      <c r="AF7301" s="1">
        <v>32021</v>
      </c>
      <c r="AG7301" t="s">
        <v>8651</v>
      </c>
      <c r="AH7301" t="s">
        <v>8652</v>
      </c>
      <c r="AI7301" t="str">
        <f>"9170101"</f>
        <v>9170101</v>
      </c>
      <c r="AJ7301" t="s">
        <v>8753</v>
      </c>
      <c r="AK7301">
        <v>2810238392</v>
      </c>
      <c r="AL7301" t="s">
        <v>8754</v>
      </c>
      <c r="AM7301" t="s">
        <v>78</v>
      </c>
      <c r="AN7301" t="s">
        <v>78</v>
      </c>
      <c r="AO7301" t="s">
        <v>78</v>
      </c>
      <c r="AP7301" t="s">
        <v>163</v>
      </c>
      <c r="AQ7301">
        <v>1</v>
      </c>
      <c r="AR7301" t="s">
        <v>80</v>
      </c>
      <c r="AS7301" t="s">
        <v>81</v>
      </c>
      <c r="AT7301" t="s">
        <v>58</v>
      </c>
      <c r="AU7301" t="s">
        <v>68</v>
      </c>
      <c r="AV7301" t="s">
        <v>69</v>
      </c>
      <c r="AW7301" s="1">
        <v>23171</v>
      </c>
      <c r="AX7301">
        <v>1</v>
      </c>
    </row>
    <row r="7302" spans="1:50">
      <c r="A7302">
        <v>574288</v>
      </c>
      <c r="B7302" t="str">
        <f>"044591585"</f>
        <v>044591585</v>
      </c>
      <c r="C7302" t="s">
        <v>50</v>
      </c>
      <c r="D7302" t="s">
        <v>4145</v>
      </c>
      <c r="E7302" t="s">
        <v>52</v>
      </c>
      <c r="F7302" t="s">
        <v>166</v>
      </c>
      <c r="G7302" t="s">
        <v>109</v>
      </c>
      <c r="H7302" t="str">
        <f>"ΣΚΛΑΒΟΚΑΜΠΟΥ 25 ΓΑΖΙ-ΜΑΛΕΒΥΖΙΟΥ"</f>
        <v>ΣΚΛΑΒΟΚΑΜΠΟΥ 25 ΓΑΖΙ-ΜΑΛΕΒΥΖΙΟΥ</v>
      </c>
      <c r="I7302">
        <v>71414</v>
      </c>
      <c r="K7302">
        <v>6974246353</v>
      </c>
      <c r="M7302" t="s">
        <v>11696</v>
      </c>
      <c r="N7302" t="s">
        <v>615</v>
      </c>
      <c r="O7302" t="s">
        <v>616</v>
      </c>
      <c r="R7302" t="s">
        <v>57</v>
      </c>
      <c r="S7302">
        <v>12</v>
      </c>
      <c r="T7302">
        <v>160</v>
      </c>
      <c r="U7302" s="1">
        <v>34582</v>
      </c>
      <c r="V7302" t="s">
        <v>80</v>
      </c>
      <c r="W7302" t="s">
        <v>81</v>
      </c>
      <c r="X7302" t="s">
        <v>58</v>
      </c>
      <c r="Y7302">
        <v>21</v>
      </c>
      <c r="Z7302" t="s">
        <v>59</v>
      </c>
      <c r="AA7302" t="s">
        <v>59</v>
      </c>
      <c r="AB7302" t="s">
        <v>59</v>
      </c>
      <c r="AC7302" t="s">
        <v>59</v>
      </c>
      <c r="AD7302" t="s">
        <v>59</v>
      </c>
      <c r="AF7302" s="1">
        <v>34582</v>
      </c>
      <c r="AG7302" t="s">
        <v>8645</v>
      </c>
      <c r="AH7302" t="s">
        <v>8646</v>
      </c>
      <c r="AI7302" t="str">
        <f>"9170560"</f>
        <v>9170560</v>
      </c>
      <c r="AJ7302" t="s">
        <v>9022</v>
      </c>
      <c r="AK7302">
        <v>2810821816</v>
      </c>
      <c r="AL7302" t="s">
        <v>9023</v>
      </c>
      <c r="AM7302" t="s">
        <v>78</v>
      </c>
      <c r="AN7302" t="s">
        <v>129</v>
      </c>
      <c r="AO7302" t="s">
        <v>130</v>
      </c>
      <c r="AP7302" t="s">
        <v>130</v>
      </c>
      <c r="AQ7302">
        <v>1</v>
      </c>
      <c r="AR7302" t="s">
        <v>80</v>
      </c>
      <c r="AS7302" t="s">
        <v>81</v>
      </c>
      <c r="AT7302" t="s">
        <v>58</v>
      </c>
      <c r="AU7302" t="s">
        <v>68</v>
      </c>
      <c r="AV7302" t="s">
        <v>69</v>
      </c>
      <c r="AW7302" s="1">
        <v>24523</v>
      </c>
      <c r="AX7302">
        <v>1</v>
      </c>
    </row>
    <row r="7303" spans="1:50">
      <c r="A7303">
        <v>581913</v>
      </c>
      <c r="B7303" t="str">
        <f>"064604527"</f>
        <v>064604527</v>
      </c>
      <c r="C7303" t="s">
        <v>50</v>
      </c>
      <c r="D7303" t="s">
        <v>4148</v>
      </c>
      <c r="E7303" t="s">
        <v>237</v>
      </c>
      <c r="F7303" t="s">
        <v>166</v>
      </c>
      <c r="G7303" t="s">
        <v>600</v>
      </c>
      <c r="H7303" t="str">
        <f>"ΕΡΜΟΥΠΟΛΕΩΣ 30 ΗΡΑΚΛΕΙΟ"</f>
        <v>ΕΡΜΟΥΠΟΛΕΩΣ 30 ΗΡΑΚΛΕΙΟ</v>
      </c>
      <c r="J7303">
        <v>2810320891</v>
      </c>
      <c r="K7303">
        <v>6932633550</v>
      </c>
      <c r="N7303" t="s">
        <v>615</v>
      </c>
      <c r="O7303" t="s">
        <v>616</v>
      </c>
      <c r="R7303" t="s">
        <v>57</v>
      </c>
      <c r="S7303">
        <v>12</v>
      </c>
      <c r="T7303">
        <v>179</v>
      </c>
      <c r="U7303" s="1">
        <v>35674</v>
      </c>
      <c r="V7303" t="s">
        <v>80</v>
      </c>
      <c r="W7303" t="s">
        <v>81</v>
      </c>
      <c r="X7303" t="s">
        <v>58</v>
      </c>
      <c r="Y7303">
        <v>21</v>
      </c>
      <c r="Z7303" t="s">
        <v>59</v>
      </c>
      <c r="AA7303" t="s">
        <v>59</v>
      </c>
      <c r="AB7303" t="s">
        <v>59</v>
      </c>
      <c r="AC7303" t="s">
        <v>59</v>
      </c>
      <c r="AD7303" t="s">
        <v>59</v>
      </c>
      <c r="AF7303" s="1">
        <v>35675</v>
      </c>
      <c r="AG7303" t="s">
        <v>8645</v>
      </c>
      <c r="AH7303" t="s">
        <v>8646</v>
      </c>
      <c r="AI7303" t="str">
        <f>"9170190"</f>
        <v>9170190</v>
      </c>
      <c r="AJ7303" t="s">
        <v>8689</v>
      </c>
      <c r="AK7303">
        <v>2810232169</v>
      </c>
      <c r="AL7303" t="s">
        <v>8690</v>
      </c>
      <c r="AM7303" t="s">
        <v>78</v>
      </c>
      <c r="AN7303" t="s">
        <v>78</v>
      </c>
      <c r="AO7303" t="s">
        <v>78</v>
      </c>
      <c r="AP7303" t="s">
        <v>163</v>
      </c>
      <c r="AQ7303">
        <v>1</v>
      </c>
      <c r="AR7303" t="s">
        <v>80</v>
      </c>
      <c r="AS7303" t="s">
        <v>81</v>
      </c>
      <c r="AT7303" t="s">
        <v>58</v>
      </c>
      <c r="AU7303" t="s">
        <v>68</v>
      </c>
      <c r="AV7303" t="s">
        <v>69</v>
      </c>
      <c r="AW7303" s="1">
        <v>22867</v>
      </c>
      <c r="AX7303">
        <v>1</v>
      </c>
    </row>
    <row r="7304" spans="1:50">
      <c r="B7304" t="str">
        <f>"103663001"</f>
        <v>103663001</v>
      </c>
      <c r="C7304" t="s">
        <v>50</v>
      </c>
      <c r="D7304" t="s">
        <v>4148</v>
      </c>
      <c r="E7304" t="s">
        <v>250</v>
      </c>
      <c r="F7304" t="s">
        <v>95</v>
      </c>
      <c r="G7304" t="s">
        <v>255</v>
      </c>
      <c r="H7304" t="str">
        <f>"1 ΧΛΜ ΜΟΙΡΩΝ ΓΑΛΙΑΣ ΜΟΙΡΕΣ"</f>
        <v>1 ΧΛΜ ΜΟΙΡΩΝ ΓΑΛΙΑΣ ΜΟΙΡΕΣ</v>
      </c>
      <c r="I7304">
        <v>70400</v>
      </c>
      <c r="J7304">
        <v>2892022712</v>
      </c>
      <c r="K7304">
        <v>6936938314</v>
      </c>
      <c r="N7304" t="s">
        <v>306</v>
      </c>
      <c r="O7304" t="s">
        <v>307</v>
      </c>
      <c r="R7304" t="s">
        <v>159</v>
      </c>
      <c r="S7304">
        <v>6</v>
      </c>
      <c r="T7304" t="s">
        <v>8675</v>
      </c>
      <c r="U7304" s="1">
        <v>43348</v>
      </c>
      <c r="V7304" t="s">
        <v>80</v>
      </c>
      <c r="W7304" t="s">
        <v>81</v>
      </c>
      <c r="X7304" t="s">
        <v>58</v>
      </c>
      <c r="Y7304">
        <v>24</v>
      </c>
      <c r="Z7304" t="s">
        <v>59</v>
      </c>
      <c r="AA7304" t="s">
        <v>59</v>
      </c>
      <c r="AB7304" t="s">
        <v>59</v>
      </c>
      <c r="AC7304" t="s">
        <v>59</v>
      </c>
      <c r="AD7304" t="s">
        <v>59</v>
      </c>
      <c r="AF7304" s="1">
        <v>43348</v>
      </c>
      <c r="AG7304" t="s">
        <v>8645</v>
      </c>
      <c r="AH7304" t="s">
        <v>8646</v>
      </c>
      <c r="AI7304" t="str">
        <f>"9170268"</f>
        <v>9170268</v>
      </c>
      <c r="AJ7304" t="s">
        <v>9301</v>
      </c>
      <c r="AK7304">
        <v>2892022710</v>
      </c>
      <c r="AL7304" t="s">
        <v>9302</v>
      </c>
      <c r="AM7304" t="s">
        <v>78</v>
      </c>
      <c r="AN7304" t="s">
        <v>242</v>
      </c>
      <c r="AO7304" t="s">
        <v>243</v>
      </c>
      <c r="AP7304" t="s">
        <v>243</v>
      </c>
      <c r="AQ7304">
        <v>20</v>
      </c>
      <c r="AR7304" t="s">
        <v>80</v>
      </c>
      <c r="AS7304" t="s">
        <v>81</v>
      </c>
      <c r="AT7304" t="s">
        <v>58</v>
      </c>
      <c r="AU7304" t="s">
        <v>8673</v>
      </c>
      <c r="AV7304" t="s">
        <v>132</v>
      </c>
      <c r="AW7304" s="1">
        <v>28122</v>
      </c>
      <c r="AX7304">
        <v>1</v>
      </c>
    </row>
    <row r="7305" spans="1:50">
      <c r="B7305" t="str">
        <f>"144341030"</f>
        <v>144341030</v>
      </c>
      <c r="C7305" t="s">
        <v>50</v>
      </c>
      <c r="D7305" t="s">
        <v>4148</v>
      </c>
      <c r="E7305" t="s">
        <v>188</v>
      </c>
      <c r="F7305" t="s">
        <v>84</v>
      </c>
      <c r="G7305" t="s">
        <v>54</v>
      </c>
      <c r="H7305" t="str">
        <f>" "</f>
        <v xml:space="preserve"> </v>
      </c>
      <c r="K7305">
        <v>6982804633</v>
      </c>
      <c r="N7305" t="s">
        <v>8834</v>
      </c>
      <c r="O7305" t="s">
        <v>8695</v>
      </c>
      <c r="R7305" t="s">
        <v>159</v>
      </c>
      <c r="S7305">
        <v>3</v>
      </c>
      <c r="T7305" t="s">
        <v>8835</v>
      </c>
      <c r="U7305" s="1">
        <v>43348</v>
      </c>
      <c r="V7305" t="s">
        <v>80</v>
      </c>
      <c r="W7305" t="s">
        <v>81</v>
      </c>
      <c r="X7305" t="s">
        <v>58</v>
      </c>
      <c r="Y7305">
        <v>24</v>
      </c>
      <c r="Z7305" t="s">
        <v>59</v>
      </c>
      <c r="AA7305" t="s">
        <v>59</v>
      </c>
      <c r="AB7305" t="s">
        <v>59</v>
      </c>
      <c r="AD7305" t="s">
        <v>59</v>
      </c>
      <c r="AF7305" s="1">
        <v>43348</v>
      </c>
      <c r="AG7305" t="s">
        <v>8645</v>
      </c>
      <c r="AH7305" t="s">
        <v>8646</v>
      </c>
      <c r="AI7305" t="str">
        <f>"9170191"</f>
        <v>9170191</v>
      </c>
      <c r="AJ7305" t="s">
        <v>8667</v>
      </c>
      <c r="AK7305">
        <v>2810231459</v>
      </c>
      <c r="AL7305" t="s">
        <v>8668</v>
      </c>
      <c r="AM7305" t="s">
        <v>78</v>
      </c>
      <c r="AN7305" t="s">
        <v>78</v>
      </c>
      <c r="AO7305" t="s">
        <v>78</v>
      </c>
      <c r="AP7305" t="s">
        <v>163</v>
      </c>
      <c r="AQ7305">
        <v>1</v>
      </c>
      <c r="AR7305" t="s">
        <v>80</v>
      </c>
      <c r="AS7305" t="s">
        <v>81</v>
      </c>
      <c r="AT7305" t="s">
        <v>58</v>
      </c>
      <c r="AU7305" t="s">
        <v>131</v>
      </c>
      <c r="AV7305" t="s">
        <v>132</v>
      </c>
      <c r="AW7305" s="1">
        <v>32763</v>
      </c>
      <c r="AX7305">
        <v>1</v>
      </c>
    </row>
    <row r="7306" spans="1:50">
      <c r="B7306" t="str">
        <f>"144390858"</f>
        <v>144390858</v>
      </c>
      <c r="C7306" t="s">
        <v>50</v>
      </c>
      <c r="D7306" t="s">
        <v>4148</v>
      </c>
      <c r="E7306" t="s">
        <v>188</v>
      </c>
      <c r="F7306" t="s">
        <v>949</v>
      </c>
      <c r="G7306" t="s">
        <v>52</v>
      </c>
      <c r="H7306" t="str">
        <f>"ΠΑΜΦΙΛΟΥ 51 "</f>
        <v xml:space="preserve">ΠΑΜΦΙΛΟΥ 51 </v>
      </c>
      <c r="I7306">
        <v>71410</v>
      </c>
      <c r="J7306">
        <v>2810257653</v>
      </c>
      <c r="K7306">
        <v>6944829671</v>
      </c>
      <c r="N7306" t="s">
        <v>615</v>
      </c>
      <c r="O7306" t="s">
        <v>616</v>
      </c>
      <c r="R7306" t="s">
        <v>159</v>
      </c>
      <c r="S7306">
        <v>3</v>
      </c>
      <c r="T7306" t="s">
        <v>8675</v>
      </c>
      <c r="U7306" s="1">
        <v>43348</v>
      </c>
      <c r="V7306" t="s">
        <v>80</v>
      </c>
      <c r="W7306" t="s">
        <v>81</v>
      </c>
      <c r="X7306" t="s">
        <v>58</v>
      </c>
      <c r="Y7306">
        <v>24</v>
      </c>
      <c r="Z7306" t="s">
        <v>59</v>
      </c>
      <c r="AA7306" t="s">
        <v>59</v>
      </c>
      <c r="AB7306" t="s">
        <v>59</v>
      </c>
      <c r="AC7306" t="s">
        <v>59</v>
      </c>
      <c r="AD7306" t="s">
        <v>59</v>
      </c>
      <c r="AF7306" s="1">
        <v>43348</v>
      </c>
      <c r="AG7306" t="s">
        <v>8645</v>
      </c>
      <c r="AH7306" t="s">
        <v>8646</v>
      </c>
      <c r="AI7306" t="str">
        <f>"9170319"</f>
        <v>9170319</v>
      </c>
      <c r="AJ7306" t="s">
        <v>9121</v>
      </c>
      <c r="AK7306">
        <v>2893022231</v>
      </c>
      <c r="AL7306" t="s">
        <v>9122</v>
      </c>
      <c r="AM7306" t="s">
        <v>78</v>
      </c>
      <c r="AN7306" t="s">
        <v>424</v>
      </c>
      <c r="AO7306" t="s">
        <v>577</v>
      </c>
      <c r="AP7306" t="s">
        <v>1668</v>
      </c>
      <c r="AQ7306">
        <v>10</v>
      </c>
      <c r="AR7306" t="s">
        <v>80</v>
      </c>
      <c r="AS7306" t="s">
        <v>81</v>
      </c>
      <c r="AT7306" t="s">
        <v>58</v>
      </c>
      <c r="AU7306" t="s">
        <v>8673</v>
      </c>
      <c r="AV7306" t="s">
        <v>132</v>
      </c>
      <c r="AW7306" s="1">
        <v>31997</v>
      </c>
      <c r="AX7306">
        <v>1</v>
      </c>
    </row>
    <row r="7307" spans="1:50">
      <c r="A7307">
        <v>574173</v>
      </c>
      <c r="B7307" t="str">
        <f>"053821147"</f>
        <v>053821147</v>
      </c>
      <c r="C7307" t="s">
        <v>50</v>
      </c>
      <c r="D7307" t="s">
        <v>4148</v>
      </c>
      <c r="E7307" t="s">
        <v>188</v>
      </c>
      <c r="F7307" t="s">
        <v>2320</v>
      </c>
      <c r="G7307" t="s">
        <v>316</v>
      </c>
      <c r="H7307" t="str">
        <f>"ΧΟΡΤΑΤΣΩΝ 44 ΗΡΑΚΛΕΙΟ"</f>
        <v>ΧΟΡΤΑΤΣΩΝ 44 ΗΡΑΚΛΕΙΟ</v>
      </c>
      <c r="J7307">
        <v>2810243650</v>
      </c>
      <c r="K7307">
        <v>6946711840</v>
      </c>
      <c r="N7307" t="s">
        <v>615</v>
      </c>
      <c r="O7307" t="s">
        <v>616</v>
      </c>
      <c r="R7307" t="s">
        <v>57</v>
      </c>
      <c r="S7307">
        <v>14</v>
      </c>
      <c r="T7307">
        <v>160</v>
      </c>
      <c r="U7307" s="1">
        <v>34582</v>
      </c>
      <c r="V7307" t="s">
        <v>80</v>
      </c>
      <c r="W7307" t="s">
        <v>81</v>
      </c>
      <c r="X7307" t="s">
        <v>58</v>
      </c>
      <c r="Y7307">
        <v>21</v>
      </c>
      <c r="Z7307" t="s">
        <v>59</v>
      </c>
      <c r="AA7307" t="s">
        <v>59</v>
      </c>
      <c r="AB7307" t="s">
        <v>59</v>
      </c>
      <c r="AC7307" t="s">
        <v>59</v>
      </c>
      <c r="AD7307" t="s">
        <v>59</v>
      </c>
      <c r="AF7307" s="1">
        <v>34582</v>
      </c>
      <c r="AG7307" t="s">
        <v>8645</v>
      </c>
      <c r="AH7307" t="s">
        <v>8646</v>
      </c>
      <c r="AI7307" t="str">
        <f>"9170343"</f>
        <v>9170343</v>
      </c>
      <c r="AJ7307" t="s">
        <v>8743</v>
      </c>
      <c r="AK7307">
        <v>2810283970</v>
      </c>
      <c r="AL7307" t="s">
        <v>8744</v>
      </c>
      <c r="AM7307" t="s">
        <v>78</v>
      </c>
      <c r="AN7307" t="s">
        <v>78</v>
      </c>
      <c r="AO7307" t="s">
        <v>78</v>
      </c>
      <c r="AP7307" t="s">
        <v>79</v>
      </c>
      <c r="AQ7307">
        <v>1</v>
      </c>
      <c r="AR7307" t="s">
        <v>80</v>
      </c>
      <c r="AS7307" t="s">
        <v>81</v>
      </c>
      <c r="AT7307" t="s">
        <v>58</v>
      </c>
      <c r="AU7307" t="s">
        <v>68</v>
      </c>
      <c r="AV7307" t="s">
        <v>69</v>
      </c>
      <c r="AW7307" s="1">
        <v>24083</v>
      </c>
      <c r="AX7307">
        <v>1</v>
      </c>
    </row>
    <row r="7308" spans="1:50">
      <c r="A7308">
        <v>600788</v>
      </c>
      <c r="B7308" t="str">
        <f>"078841624"</f>
        <v>078841624</v>
      </c>
      <c r="C7308" t="s">
        <v>50</v>
      </c>
      <c r="D7308" t="s">
        <v>4148</v>
      </c>
      <c r="E7308" t="s">
        <v>1001</v>
      </c>
      <c r="F7308" t="s">
        <v>72</v>
      </c>
      <c r="G7308" t="s">
        <v>237</v>
      </c>
      <c r="H7308" t="str">
        <f>" "</f>
        <v xml:space="preserve"> </v>
      </c>
      <c r="J7308">
        <v>2810342997</v>
      </c>
      <c r="K7308">
        <v>6946633134</v>
      </c>
      <c r="N7308" t="s">
        <v>615</v>
      </c>
      <c r="O7308" t="s">
        <v>616</v>
      </c>
      <c r="R7308" t="s">
        <v>57</v>
      </c>
      <c r="S7308">
        <v>8</v>
      </c>
      <c r="T7308">
        <v>207</v>
      </c>
      <c r="U7308" s="1">
        <v>37866</v>
      </c>
      <c r="V7308" t="s">
        <v>80</v>
      </c>
      <c r="W7308" t="s">
        <v>81</v>
      </c>
      <c r="X7308" t="s">
        <v>58</v>
      </c>
      <c r="Y7308">
        <v>22</v>
      </c>
      <c r="Z7308" t="s">
        <v>59</v>
      </c>
      <c r="AA7308" t="s">
        <v>59</v>
      </c>
      <c r="AB7308" t="s">
        <v>59</v>
      </c>
      <c r="AC7308" t="s">
        <v>59</v>
      </c>
      <c r="AD7308" t="s">
        <v>59</v>
      </c>
      <c r="AF7308" s="1">
        <v>37866</v>
      </c>
      <c r="AG7308" t="s">
        <v>8645</v>
      </c>
      <c r="AH7308" t="s">
        <v>8646</v>
      </c>
      <c r="AI7308" t="str">
        <f>"9170259"</f>
        <v>9170259</v>
      </c>
      <c r="AJ7308" t="s">
        <v>8784</v>
      </c>
      <c r="AK7308">
        <v>6994891960</v>
      </c>
      <c r="AL7308" t="s">
        <v>8785</v>
      </c>
      <c r="AM7308" t="s">
        <v>78</v>
      </c>
      <c r="AN7308" t="s">
        <v>78</v>
      </c>
      <c r="AO7308" t="s">
        <v>78</v>
      </c>
      <c r="AP7308" t="s">
        <v>213</v>
      </c>
      <c r="AQ7308">
        <v>1</v>
      </c>
      <c r="AR7308" t="s">
        <v>80</v>
      </c>
      <c r="AS7308" t="s">
        <v>81</v>
      </c>
      <c r="AT7308" t="s">
        <v>58</v>
      </c>
      <c r="AU7308" t="s">
        <v>68</v>
      </c>
      <c r="AV7308" t="s">
        <v>69</v>
      </c>
      <c r="AW7308" s="1">
        <v>26664</v>
      </c>
      <c r="AX7308">
        <v>1</v>
      </c>
    </row>
    <row r="7309" spans="1:50">
      <c r="A7309">
        <v>584004</v>
      </c>
      <c r="B7309" t="str">
        <f>"050597987"</f>
        <v>050597987</v>
      </c>
      <c r="C7309" t="s">
        <v>105</v>
      </c>
      <c r="D7309" t="s">
        <v>4150</v>
      </c>
      <c r="E7309" t="s">
        <v>166</v>
      </c>
      <c r="F7309" t="s">
        <v>95</v>
      </c>
      <c r="G7309" t="s">
        <v>112</v>
      </c>
      <c r="H7309" t="str">
        <f>"ΣΥΚΟΛΟΓΟΣ ΗΡΑΚΛΕΙΟ"</f>
        <v>ΣΥΚΟΛΟΓΟΣ ΗΡΑΚΛΕΙΟ</v>
      </c>
      <c r="I7309">
        <v>70004</v>
      </c>
      <c r="K7309">
        <v>6944942182</v>
      </c>
      <c r="M7309" t="s">
        <v>11697</v>
      </c>
      <c r="N7309" t="s">
        <v>615</v>
      </c>
      <c r="O7309" t="s">
        <v>616</v>
      </c>
      <c r="R7309" t="s">
        <v>57</v>
      </c>
      <c r="S7309">
        <v>12</v>
      </c>
      <c r="T7309">
        <v>165</v>
      </c>
      <c r="U7309" s="1">
        <v>36040</v>
      </c>
      <c r="V7309" t="s">
        <v>80</v>
      </c>
      <c r="W7309" t="s">
        <v>81</v>
      </c>
      <c r="X7309" t="s">
        <v>58</v>
      </c>
      <c r="Y7309">
        <v>21</v>
      </c>
      <c r="Z7309" t="s">
        <v>59</v>
      </c>
      <c r="AA7309" t="s">
        <v>59</v>
      </c>
      <c r="AB7309" t="s">
        <v>59</v>
      </c>
      <c r="AC7309" t="s">
        <v>59</v>
      </c>
      <c r="AD7309" t="s">
        <v>59</v>
      </c>
      <c r="AF7309" s="1">
        <v>36045</v>
      </c>
      <c r="AG7309" t="s">
        <v>8645</v>
      </c>
      <c r="AH7309" t="s">
        <v>8646</v>
      </c>
      <c r="AI7309" t="str">
        <f>"9170132"</f>
        <v>9170132</v>
      </c>
      <c r="AJ7309" t="s">
        <v>9010</v>
      </c>
      <c r="AK7309">
        <v>2895022233</v>
      </c>
      <c r="AL7309" t="s">
        <v>9011</v>
      </c>
      <c r="AM7309" t="s">
        <v>78</v>
      </c>
      <c r="AN7309" t="s">
        <v>482</v>
      </c>
      <c r="AO7309" t="s">
        <v>482</v>
      </c>
      <c r="AP7309" t="s">
        <v>483</v>
      </c>
      <c r="AQ7309">
        <v>14</v>
      </c>
      <c r="AR7309" t="s">
        <v>80</v>
      </c>
      <c r="AS7309" t="s">
        <v>81</v>
      </c>
      <c r="AT7309" t="s">
        <v>58</v>
      </c>
      <c r="AU7309" t="s">
        <v>68</v>
      </c>
      <c r="AV7309" t="s">
        <v>69</v>
      </c>
      <c r="AW7309" s="1">
        <v>24118</v>
      </c>
      <c r="AX7309">
        <v>1</v>
      </c>
    </row>
    <row r="7310" spans="1:50">
      <c r="A7310">
        <v>563758</v>
      </c>
      <c r="B7310" t="str">
        <f>"030327020"</f>
        <v>030327020</v>
      </c>
      <c r="C7310" t="s">
        <v>105</v>
      </c>
      <c r="D7310" t="s">
        <v>11698</v>
      </c>
      <c r="E7310" t="s">
        <v>53</v>
      </c>
      <c r="F7310" t="s">
        <v>84</v>
      </c>
      <c r="G7310" t="s">
        <v>52</v>
      </c>
      <c r="H7310" t="str">
        <f>"ΚΟΡΦΕΣ ΗΡΑΚΛΕΙΟ"</f>
        <v>ΚΟΡΦΕΣ ΗΡΑΚΛΕΙΟ</v>
      </c>
      <c r="I7310">
        <v>71500</v>
      </c>
      <c r="J7310">
        <v>2810851223</v>
      </c>
      <c r="K7310">
        <v>6945587114</v>
      </c>
      <c r="N7310" t="s">
        <v>615</v>
      </c>
      <c r="O7310" t="s">
        <v>616</v>
      </c>
      <c r="R7310" t="s">
        <v>57</v>
      </c>
      <c r="S7310">
        <v>15</v>
      </c>
      <c r="T7310">
        <v>161</v>
      </c>
      <c r="U7310" s="1">
        <v>33119</v>
      </c>
      <c r="V7310" t="s">
        <v>80</v>
      </c>
      <c r="W7310" t="s">
        <v>81</v>
      </c>
      <c r="X7310" t="s">
        <v>58</v>
      </c>
      <c r="Y7310">
        <v>21</v>
      </c>
      <c r="Z7310" t="s">
        <v>59</v>
      </c>
      <c r="AA7310" t="s">
        <v>59</v>
      </c>
      <c r="AB7310" t="s">
        <v>59</v>
      </c>
      <c r="AC7310" t="s">
        <v>59</v>
      </c>
      <c r="AD7310" t="s">
        <v>59</v>
      </c>
      <c r="AF7310" s="1">
        <v>33120</v>
      </c>
      <c r="AG7310" t="s">
        <v>8645</v>
      </c>
      <c r="AH7310" t="s">
        <v>8646</v>
      </c>
      <c r="AI7310" t="str">
        <f>"9170027"</f>
        <v>9170027</v>
      </c>
      <c r="AJ7310" t="s">
        <v>8704</v>
      </c>
      <c r="AK7310">
        <v>2810711207</v>
      </c>
      <c r="AL7310" t="s">
        <v>8705</v>
      </c>
      <c r="AM7310" t="s">
        <v>78</v>
      </c>
      <c r="AN7310" t="s">
        <v>129</v>
      </c>
      <c r="AO7310" t="s">
        <v>597</v>
      </c>
      <c r="AP7310" t="s">
        <v>598</v>
      </c>
      <c r="AQ7310">
        <v>4</v>
      </c>
      <c r="AR7310" t="s">
        <v>80</v>
      </c>
      <c r="AS7310" t="s">
        <v>81</v>
      </c>
      <c r="AT7310" t="s">
        <v>58</v>
      </c>
      <c r="AU7310" t="s">
        <v>68</v>
      </c>
      <c r="AV7310" t="s">
        <v>69</v>
      </c>
      <c r="AW7310" s="1">
        <v>23378</v>
      </c>
      <c r="AX7310">
        <v>1</v>
      </c>
    </row>
    <row r="7311" spans="1:50">
      <c r="A7311">
        <v>621662</v>
      </c>
      <c r="B7311" t="str">
        <f>"136314040"</f>
        <v>136314040</v>
      </c>
      <c r="C7311" t="s">
        <v>50</v>
      </c>
      <c r="D7311" t="s">
        <v>11699</v>
      </c>
      <c r="E7311" t="s">
        <v>1074</v>
      </c>
      <c r="F7311" t="s">
        <v>72</v>
      </c>
      <c r="G7311" t="s">
        <v>52</v>
      </c>
      <c r="H7311" t="str">
        <f>"ΠΑΠΑΚΩΝΣΤΑΝΤΙΝΟΥ 35 ΣΕΡΡΕΣ"</f>
        <v>ΠΑΠΑΚΩΝΣΤΑΝΤΙΝΟΥ 35 ΣΕΡΡΕΣ</v>
      </c>
      <c r="I7311">
        <v>62121</v>
      </c>
      <c r="J7311">
        <v>2321063470</v>
      </c>
      <c r="K7311">
        <v>6932852584</v>
      </c>
      <c r="N7311" t="s">
        <v>615</v>
      </c>
      <c r="O7311" t="s">
        <v>616</v>
      </c>
      <c r="R7311" t="s">
        <v>57</v>
      </c>
      <c r="S7311">
        <v>5</v>
      </c>
      <c r="T7311">
        <v>653</v>
      </c>
      <c r="U7311" s="1">
        <v>40043</v>
      </c>
      <c r="V7311" t="s">
        <v>80</v>
      </c>
      <c r="W7311" t="s">
        <v>81</v>
      </c>
      <c r="X7311" t="s">
        <v>58</v>
      </c>
      <c r="Y7311">
        <v>23</v>
      </c>
      <c r="Z7311" t="s">
        <v>59</v>
      </c>
      <c r="AA7311" t="s">
        <v>59</v>
      </c>
      <c r="AB7311" t="s">
        <v>59</v>
      </c>
      <c r="AC7311" t="s">
        <v>59</v>
      </c>
      <c r="AD7311" t="s">
        <v>59</v>
      </c>
      <c r="AF7311" s="1">
        <v>40043</v>
      </c>
      <c r="AG7311" t="s">
        <v>8645</v>
      </c>
      <c r="AH7311" t="s">
        <v>8646</v>
      </c>
      <c r="AI7311" t="str">
        <f>"9170068"</f>
        <v>9170068</v>
      </c>
      <c r="AJ7311" t="s">
        <v>8773</v>
      </c>
      <c r="AK7311">
        <v>2893031217</v>
      </c>
      <c r="AL7311" t="s">
        <v>8774</v>
      </c>
      <c r="AM7311" t="s">
        <v>78</v>
      </c>
      <c r="AN7311" t="s">
        <v>405</v>
      </c>
      <c r="AO7311" t="s">
        <v>805</v>
      </c>
      <c r="AP7311" t="s">
        <v>806</v>
      </c>
      <c r="AQ7311">
        <v>15</v>
      </c>
      <c r="AR7311" t="s">
        <v>80</v>
      </c>
      <c r="AS7311" t="s">
        <v>81</v>
      </c>
      <c r="AT7311" t="s">
        <v>58</v>
      </c>
      <c r="AU7311" t="s">
        <v>68</v>
      </c>
      <c r="AV7311" t="s">
        <v>69</v>
      </c>
      <c r="AW7311" s="1">
        <v>31408</v>
      </c>
      <c r="AX7311">
        <v>1</v>
      </c>
    </row>
    <row r="7312" spans="1:50">
      <c r="A7312">
        <v>618396</v>
      </c>
      <c r="B7312" t="str">
        <f>"123153145"</f>
        <v>123153145</v>
      </c>
      <c r="C7312" t="s">
        <v>50</v>
      </c>
      <c r="D7312" t="s">
        <v>8492</v>
      </c>
      <c r="E7312" t="s">
        <v>325</v>
      </c>
      <c r="F7312" t="s">
        <v>99</v>
      </c>
      <c r="G7312" t="s">
        <v>922</v>
      </c>
      <c r="H7312" t="str">
        <f>"ΣΤΕΝΗΜΑΧΟΥ 39 ΗΡΑΚΛΕΙΟ"</f>
        <v>ΣΤΕΝΗΜΑΧΟΥ 39 ΗΡΑΚΛΕΙΟ</v>
      </c>
      <c r="I7312">
        <v>71305</v>
      </c>
      <c r="J7312">
        <v>2810259036</v>
      </c>
      <c r="K7312">
        <v>6976288496</v>
      </c>
      <c r="M7312" t="s">
        <v>11700</v>
      </c>
      <c r="N7312" t="s">
        <v>615</v>
      </c>
      <c r="O7312" t="s">
        <v>616</v>
      </c>
      <c r="R7312" t="s">
        <v>57</v>
      </c>
      <c r="S7312">
        <v>5</v>
      </c>
      <c r="T7312">
        <v>774</v>
      </c>
      <c r="U7312" s="1">
        <v>39680</v>
      </c>
      <c r="V7312" t="s">
        <v>80</v>
      </c>
      <c r="W7312" t="s">
        <v>81</v>
      </c>
      <c r="X7312" t="s">
        <v>58</v>
      </c>
      <c r="Y7312">
        <v>23</v>
      </c>
      <c r="Z7312" t="s">
        <v>59</v>
      </c>
      <c r="AA7312" t="s">
        <v>59</v>
      </c>
      <c r="AB7312" t="s">
        <v>59</v>
      </c>
      <c r="AC7312" t="s">
        <v>59</v>
      </c>
      <c r="AD7312" t="s">
        <v>59</v>
      </c>
      <c r="AF7312" s="1">
        <v>39681</v>
      </c>
      <c r="AG7312" t="s">
        <v>8645</v>
      </c>
      <c r="AH7312" t="s">
        <v>8646</v>
      </c>
      <c r="AI7312" t="str">
        <f>"9170206"</f>
        <v>9170206</v>
      </c>
      <c r="AJ7312" t="s">
        <v>8972</v>
      </c>
      <c r="AK7312">
        <v>2810761137</v>
      </c>
      <c r="AL7312" t="s">
        <v>8973</v>
      </c>
      <c r="AM7312" t="s">
        <v>78</v>
      </c>
      <c r="AN7312" t="s">
        <v>219</v>
      </c>
      <c r="AO7312" t="s">
        <v>297</v>
      </c>
      <c r="AP7312" t="s">
        <v>8796</v>
      </c>
      <c r="AQ7312">
        <v>7</v>
      </c>
      <c r="AR7312" t="s">
        <v>80</v>
      </c>
      <c r="AS7312" t="s">
        <v>81</v>
      </c>
      <c r="AT7312" t="s">
        <v>58</v>
      </c>
      <c r="AU7312" t="s">
        <v>68</v>
      </c>
      <c r="AV7312" t="s">
        <v>69</v>
      </c>
      <c r="AW7312" s="1">
        <v>30881</v>
      </c>
      <c r="AX7312">
        <v>1</v>
      </c>
    </row>
    <row r="7313" spans="1:50">
      <c r="B7313" t="str">
        <f>"149638427"</f>
        <v>149638427</v>
      </c>
      <c r="C7313" t="s">
        <v>50</v>
      </c>
      <c r="D7313" t="s">
        <v>8492</v>
      </c>
      <c r="E7313" t="s">
        <v>366</v>
      </c>
      <c r="F7313" t="s">
        <v>760</v>
      </c>
      <c r="G7313" t="s">
        <v>215</v>
      </c>
      <c r="H7313" t="str">
        <f>" "</f>
        <v xml:space="preserve"> </v>
      </c>
      <c r="N7313" t="s">
        <v>615</v>
      </c>
      <c r="O7313" t="s">
        <v>616</v>
      </c>
      <c r="R7313" t="s">
        <v>159</v>
      </c>
      <c r="S7313">
        <v>3</v>
      </c>
      <c r="T7313" t="s">
        <v>8675</v>
      </c>
      <c r="U7313" s="1">
        <v>43348</v>
      </c>
      <c r="V7313" t="s">
        <v>80</v>
      </c>
      <c r="W7313" t="s">
        <v>81</v>
      </c>
      <c r="X7313" t="s">
        <v>58</v>
      </c>
      <c r="Y7313">
        <v>24</v>
      </c>
      <c r="Z7313" t="s">
        <v>59</v>
      </c>
      <c r="AA7313" t="s">
        <v>59</v>
      </c>
      <c r="AB7313" t="s">
        <v>59</v>
      </c>
      <c r="AD7313" t="s">
        <v>59</v>
      </c>
      <c r="AF7313" s="1">
        <v>43348</v>
      </c>
      <c r="AG7313" t="s">
        <v>8645</v>
      </c>
      <c r="AH7313" t="s">
        <v>8646</v>
      </c>
      <c r="AI7313" t="str">
        <f>"9170130"</f>
        <v>9170130</v>
      </c>
      <c r="AJ7313" t="s">
        <v>10267</v>
      </c>
      <c r="AK7313">
        <v>2895071251</v>
      </c>
      <c r="AL7313" t="s">
        <v>10268</v>
      </c>
      <c r="AM7313" t="s">
        <v>78</v>
      </c>
      <c r="AN7313" t="s">
        <v>482</v>
      </c>
      <c r="AO7313" t="s">
        <v>482</v>
      </c>
      <c r="AP7313" t="s">
        <v>9002</v>
      </c>
      <c r="AQ7313">
        <v>14</v>
      </c>
      <c r="AR7313" t="s">
        <v>80</v>
      </c>
      <c r="AS7313" t="s">
        <v>81</v>
      </c>
      <c r="AT7313" t="s">
        <v>58</v>
      </c>
      <c r="AU7313" t="s">
        <v>8673</v>
      </c>
      <c r="AV7313" t="s">
        <v>132</v>
      </c>
      <c r="AW7313" s="1">
        <v>32804</v>
      </c>
      <c r="AX7313">
        <v>1</v>
      </c>
    </row>
    <row r="7314" spans="1:50">
      <c r="A7314">
        <v>589949</v>
      </c>
      <c r="B7314" t="str">
        <f>"059670155"</f>
        <v>059670155</v>
      </c>
      <c r="C7314" t="s">
        <v>50</v>
      </c>
      <c r="D7314" t="s">
        <v>8492</v>
      </c>
      <c r="E7314" t="s">
        <v>54</v>
      </c>
      <c r="F7314" t="s">
        <v>84</v>
      </c>
      <c r="G7314" t="s">
        <v>507</v>
      </c>
      <c r="H7314" t="str">
        <f>"ΝΙΚΟΛΑΟΥ ΣΠΑΘΑΡΙΟΥ 5 Β΄ΠΑΡΟΔΟΣ ΑΓΙΑ ΑΙΚΑΤΕΡΙΝΗ"</f>
        <v>ΝΙΚΟΛΑΟΥ ΣΠΑΘΑΡΙΟΥ 5 Β΄ΠΑΡΟΔΟΣ ΑΓΙΑ ΑΙΚΑΤΕΡΙΝΗ</v>
      </c>
      <c r="I7314">
        <v>71308</v>
      </c>
      <c r="J7314">
        <v>2810325225</v>
      </c>
      <c r="K7314">
        <v>6970389338</v>
      </c>
      <c r="N7314" t="s">
        <v>176</v>
      </c>
      <c r="O7314" t="s">
        <v>177</v>
      </c>
      <c r="R7314" t="s">
        <v>57</v>
      </c>
      <c r="S7314">
        <v>9</v>
      </c>
      <c r="T7314">
        <v>177</v>
      </c>
      <c r="U7314" s="1">
        <v>36403</v>
      </c>
      <c r="V7314" t="s">
        <v>80</v>
      </c>
      <c r="W7314" t="s">
        <v>81</v>
      </c>
      <c r="X7314" t="s">
        <v>58</v>
      </c>
      <c r="Y7314">
        <v>22</v>
      </c>
      <c r="Z7314" t="s">
        <v>59</v>
      </c>
      <c r="AA7314" t="s">
        <v>59</v>
      </c>
      <c r="AB7314" t="s">
        <v>59</v>
      </c>
      <c r="AC7314" t="s">
        <v>59</v>
      </c>
      <c r="AD7314" t="s">
        <v>59</v>
      </c>
      <c r="AF7314" s="1">
        <v>36404</v>
      </c>
      <c r="AG7314" t="s">
        <v>8645</v>
      </c>
      <c r="AH7314" t="s">
        <v>8646</v>
      </c>
      <c r="AI7314" t="str">
        <f>"9170534"</f>
        <v>9170534</v>
      </c>
      <c r="AJ7314" t="s">
        <v>8701</v>
      </c>
      <c r="AK7314">
        <v>2810323225</v>
      </c>
      <c r="AL7314" t="s">
        <v>8702</v>
      </c>
      <c r="AM7314" t="s">
        <v>78</v>
      </c>
      <c r="AN7314" t="s">
        <v>78</v>
      </c>
      <c r="AO7314" t="s">
        <v>78</v>
      </c>
      <c r="AP7314" t="s">
        <v>163</v>
      </c>
      <c r="AQ7314">
        <v>1</v>
      </c>
      <c r="AR7314" t="s">
        <v>80</v>
      </c>
      <c r="AS7314" t="s">
        <v>81</v>
      </c>
      <c r="AT7314" t="s">
        <v>58</v>
      </c>
      <c r="AU7314" t="s">
        <v>68</v>
      </c>
      <c r="AV7314" t="s">
        <v>69</v>
      </c>
      <c r="AW7314" s="1">
        <v>26689</v>
      </c>
      <c r="AX7314">
        <v>1</v>
      </c>
    </row>
    <row r="7315" spans="1:50">
      <c r="A7315">
        <v>579994</v>
      </c>
      <c r="B7315" t="str">
        <f>"046594859"</f>
        <v>046594859</v>
      </c>
      <c r="C7315" t="s">
        <v>50</v>
      </c>
      <c r="D7315" t="s">
        <v>8492</v>
      </c>
      <c r="E7315" t="s">
        <v>3200</v>
      </c>
      <c r="F7315" t="s">
        <v>72</v>
      </c>
      <c r="G7315" t="s">
        <v>181</v>
      </c>
      <c r="H7315" t="str">
        <f>"ΠΡΑΚΤΙΚΙΔΟΥ 36 ΗΡΑΚΛΕΙΟ"</f>
        <v>ΠΡΑΚΤΙΚΙΔΟΥ 36 ΗΡΑΚΛΕΙΟ</v>
      </c>
      <c r="I7315">
        <v>71306</v>
      </c>
      <c r="J7315">
        <v>2810239554</v>
      </c>
      <c r="K7315">
        <v>6942985998</v>
      </c>
      <c r="N7315" t="s">
        <v>1525</v>
      </c>
      <c r="O7315" t="s">
        <v>1526</v>
      </c>
      <c r="P7315" t="s">
        <v>615</v>
      </c>
      <c r="Q7315" t="s">
        <v>616</v>
      </c>
      <c r="R7315" t="s">
        <v>57</v>
      </c>
      <c r="S7315">
        <v>13</v>
      </c>
      <c r="T7315">
        <v>165</v>
      </c>
      <c r="U7315" s="1">
        <v>35300</v>
      </c>
      <c r="V7315" t="s">
        <v>80</v>
      </c>
      <c r="W7315" t="s">
        <v>81</v>
      </c>
      <c r="X7315" t="s">
        <v>58</v>
      </c>
      <c r="Y7315">
        <v>25</v>
      </c>
      <c r="Z7315" t="s">
        <v>59</v>
      </c>
      <c r="AA7315" t="s">
        <v>59</v>
      </c>
      <c r="AB7315" t="s">
        <v>59</v>
      </c>
      <c r="AC7315" t="s">
        <v>59</v>
      </c>
      <c r="AD7315" t="s">
        <v>59</v>
      </c>
      <c r="AF7315" s="1">
        <v>35310</v>
      </c>
      <c r="AG7315" t="s">
        <v>8651</v>
      </c>
      <c r="AH7315" t="s">
        <v>8652</v>
      </c>
      <c r="AI7315" t="str">
        <f>"9170487"</f>
        <v>9170487</v>
      </c>
      <c r="AJ7315" t="s">
        <v>10566</v>
      </c>
      <c r="AK7315">
        <v>2810232045</v>
      </c>
      <c r="AL7315" t="s">
        <v>10567</v>
      </c>
      <c r="AM7315" t="s">
        <v>78</v>
      </c>
      <c r="AN7315" t="s">
        <v>78</v>
      </c>
      <c r="AO7315" t="s">
        <v>78</v>
      </c>
      <c r="AP7315" t="s">
        <v>79</v>
      </c>
      <c r="AQ7315">
        <v>1</v>
      </c>
      <c r="AR7315" t="s">
        <v>80</v>
      </c>
      <c r="AS7315" t="s">
        <v>81</v>
      </c>
      <c r="AT7315" t="s">
        <v>58</v>
      </c>
      <c r="AU7315" t="s">
        <v>68</v>
      </c>
      <c r="AV7315" t="s">
        <v>69</v>
      </c>
      <c r="AW7315" s="1">
        <v>22763</v>
      </c>
      <c r="AX7315">
        <v>1</v>
      </c>
    </row>
    <row r="7316" spans="1:50">
      <c r="A7316">
        <v>608621</v>
      </c>
      <c r="B7316" t="str">
        <f>"110717010"</f>
        <v>110717010</v>
      </c>
      <c r="C7316" t="s">
        <v>50</v>
      </c>
      <c r="D7316" t="s">
        <v>4163</v>
      </c>
      <c r="E7316" t="s">
        <v>3477</v>
      </c>
      <c r="F7316" t="s">
        <v>377</v>
      </c>
      <c r="G7316" t="s">
        <v>109</v>
      </c>
      <c r="H7316" t="str">
        <f>"Γ.ΠΑΠΑΝΔΡΕΟΥ 39 ΓΑΖΙ ΗΡΑΚΛΕΙΟΥ"</f>
        <v>Γ.ΠΑΠΑΝΔΡΕΟΥ 39 ΓΑΖΙ ΗΡΑΚΛΕΙΟΥ</v>
      </c>
      <c r="I7316">
        <v>71414</v>
      </c>
      <c r="J7316">
        <v>2810822801</v>
      </c>
      <c r="K7316">
        <v>6978943590</v>
      </c>
      <c r="N7316" t="s">
        <v>1525</v>
      </c>
      <c r="O7316" t="s">
        <v>1526</v>
      </c>
      <c r="R7316" t="s">
        <v>57</v>
      </c>
      <c r="S7316">
        <v>6</v>
      </c>
      <c r="T7316">
        <v>217</v>
      </c>
      <c r="U7316" s="1">
        <v>38596</v>
      </c>
      <c r="V7316" t="s">
        <v>80</v>
      </c>
      <c r="W7316" t="s">
        <v>81</v>
      </c>
      <c r="X7316" t="s">
        <v>58</v>
      </c>
      <c r="Y7316">
        <v>25</v>
      </c>
      <c r="Z7316" t="s">
        <v>59</v>
      </c>
      <c r="AA7316" t="s">
        <v>59</v>
      </c>
      <c r="AB7316" t="s">
        <v>59</v>
      </c>
      <c r="AC7316" t="s">
        <v>59</v>
      </c>
      <c r="AD7316" t="s">
        <v>59</v>
      </c>
      <c r="AF7316" s="1">
        <v>38600</v>
      </c>
      <c r="AG7316" t="s">
        <v>8651</v>
      </c>
      <c r="AH7316" t="s">
        <v>8652</v>
      </c>
      <c r="AI7316" t="str">
        <f>"9170562"</f>
        <v>9170562</v>
      </c>
      <c r="AJ7316" t="s">
        <v>9470</v>
      </c>
      <c r="AK7316">
        <v>2810822781</v>
      </c>
      <c r="AL7316" t="s">
        <v>9471</v>
      </c>
      <c r="AM7316" t="s">
        <v>78</v>
      </c>
      <c r="AN7316" t="s">
        <v>129</v>
      </c>
      <c r="AO7316" t="s">
        <v>130</v>
      </c>
      <c r="AP7316" t="s">
        <v>130</v>
      </c>
      <c r="AQ7316">
        <v>1</v>
      </c>
      <c r="AR7316" t="s">
        <v>80</v>
      </c>
      <c r="AS7316" t="s">
        <v>81</v>
      </c>
      <c r="AT7316" t="s">
        <v>58</v>
      </c>
      <c r="AU7316" t="s">
        <v>68</v>
      </c>
      <c r="AV7316" t="s">
        <v>69</v>
      </c>
      <c r="AW7316" s="1">
        <v>29199</v>
      </c>
      <c r="AX7316">
        <v>1</v>
      </c>
    </row>
    <row r="7317" spans="1:50">
      <c r="B7317" t="str">
        <f>"124482694"</f>
        <v>124482694</v>
      </c>
      <c r="C7317" t="s">
        <v>50</v>
      </c>
      <c r="D7317" t="s">
        <v>4163</v>
      </c>
      <c r="E7317" t="s">
        <v>52</v>
      </c>
      <c r="F7317" t="s">
        <v>6428</v>
      </c>
      <c r="G7317" t="s">
        <v>11701</v>
      </c>
      <c r="H7317" t="str">
        <f>"ΣΟΡΒΟΛΟΥ 16 ΗΡΑΚΛΕΙΟΥ"</f>
        <v>ΣΟΡΒΟΛΟΥ 16 ΗΡΑΚΛΕΙΟΥ</v>
      </c>
      <c r="I7317">
        <v>71305</v>
      </c>
      <c r="J7317">
        <v>2810312905</v>
      </c>
      <c r="K7317">
        <v>6937024444</v>
      </c>
      <c r="N7317" t="s">
        <v>1525</v>
      </c>
      <c r="O7317" t="s">
        <v>1526</v>
      </c>
      <c r="R7317" t="s">
        <v>159</v>
      </c>
      <c r="S7317">
        <v>3</v>
      </c>
      <c r="T7317" t="s">
        <v>8670</v>
      </c>
      <c r="U7317" s="1">
        <v>43348</v>
      </c>
      <c r="V7317" t="s">
        <v>80</v>
      </c>
      <c r="W7317" t="s">
        <v>81</v>
      </c>
      <c r="X7317" t="s">
        <v>58</v>
      </c>
      <c r="Y7317">
        <v>25</v>
      </c>
      <c r="Z7317" t="s">
        <v>59</v>
      </c>
      <c r="AA7317" t="s">
        <v>59</v>
      </c>
      <c r="AB7317" t="s">
        <v>59</v>
      </c>
      <c r="AC7317" t="s">
        <v>59</v>
      </c>
      <c r="AD7317" t="s">
        <v>59</v>
      </c>
      <c r="AF7317" s="1">
        <v>43348</v>
      </c>
      <c r="AG7317" t="s">
        <v>8651</v>
      </c>
      <c r="AH7317" t="s">
        <v>8652</v>
      </c>
      <c r="AI7317" t="str">
        <f>"9170409"</f>
        <v>9170409</v>
      </c>
      <c r="AJ7317" t="s">
        <v>10175</v>
      </c>
      <c r="AK7317">
        <v>2810261766</v>
      </c>
      <c r="AL7317" t="s">
        <v>10176</v>
      </c>
      <c r="AM7317" t="s">
        <v>78</v>
      </c>
      <c r="AN7317" t="s">
        <v>78</v>
      </c>
      <c r="AO7317" t="s">
        <v>78</v>
      </c>
      <c r="AP7317" t="s">
        <v>141</v>
      </c>
      <c r="AQ7317">
        <v>1</v>
      </c>
      <c r="AR7317" t="s">
        <v>80</v>
      </c>
      <c r="AS7317" t="s">
        <v>81</v>
      </c>
      <c r="AT7317" t="s">
        <v>58</v>
      </c>
      <c r="AU7317" t="s">
        <v>8673</v>
      </c>
      <c r="AV7317" t="s">
        <v>132</v>
      </c>
      <c r="AW7317" s="1">
        <v>30678</v>
      </c>
      <c r="AX7317">
        <v>1</v>
      </c>
    </row>
    <row r="7318" spans="1:50">
      <c r="B7318" t="str">
        <f>"145655390"</f>
        <v>145655390</v>
      </c>
      <c r="C7318" t="s">
        <v>50</v>
      </c>
      <c r="D7318" t="s">
        <v>4163</v>
      </c>
      <c r="E7318" t="s">
        <v>620</v>
      </c>
      <c r="F7318" t="s">
        <v>53</v>
      </c>
      <c r="G7318" t="s">
        <v>52</v>
      </c>
      <c r="H7318" t="str">
        <f>"ΑΧΙΛΛΕΑ ΚΑΡΑΝΑΣΙΟΥ 10 "</f>
        <v xml:space="preserve">ΑΧΙΛΛΕΑ ΚΑΡΑΝΑΣΙΟΥ 10 </v>
      </c>
      <c r="I7318">
        <v>42100</v>
      </c>
      <c r="J7318">
        <v>2431037324</v>
      </c>
      <c r="K7318">
        <v>6982570750</v>
      </c>
      <c r="N7318" t="s">
        <v>615</v>
      </c>
      <c r="O7318" t="s">
        <v>616</v>
      </c>
      <c r="R7318" t="s">
        <v>159</v>
      </c>
      <c r="S7318">
        <v>3</v>
      </c>
      <c r="T7318" t="s">
        <v>8675</v>
      </c>
      <c r="U7318" s="1">
        <v>43348</v>
      </c>
      <c r="V7318" t="s">
        <v>80</v>
      </c>
      <c r="W7318" t="s">
        <v>81</v>
      </c>
      <c r="X7318" t="s">
        <v>58</v>
      </c>
      <c r="Y7318">
        <v>25</v>
      </c>
      <c r="Z7318" t="s">
        <v>59</v>
      </c>
      <c r="AA7318" t="s">
        <v>59</v>
      </c>
      <c r="AB7318" t="s">
        <v>59</v>
      </c>
      <c r="AC7318" t="s">
        <v>59</v>
      </c>
      <c r="AD7318" t="s">
        <v>59</v>
      </c>
      <c r="AF7318" s="1">
        <v>43348</v>
      </c>
      <c r="AG7318" t="s">
        <v>8645</v>
      </c>
      <c r="AH7318" t="s">
        <v>8676</v>
      </c>
      <c r="AI7318" t="str">
        <f>"9170274"</f>
        <v>9170274</v>
      </c>
      <c r="AJ7318" t="s">
        <v>9507</v>
      </c>
      <c r="AK7318">
        <v>2892097222</v>
      </c>
      <c r="AL7318" t="s">
        <v>9508</v>
      </c>
      <c r="AM7318" t="s">
        <v>78</v>
      </c>
      <c r="AN7318" t="s">
        <v>242</v>
      </c>
      <c r="AO7318" t="s">
        <v>243</v>
      </c>
      <c r="AP7318" t="s">
        <v>8831</v>
      </c>
      <c r="AQ7318">
        <v>16</v>
      </c>
      <c r="AR7318" t="s">
        <v>80</v>
      </c>
      <c r="AS7318" t="s">
        <v>81</v>
      </c>
      <c r="AT7318" t="s">
        <v>58</v>
      </c>
      <c r="AU7318" t="s">
        <v>8673</v>
      </c>
      <c r="AV7318" t="s">
        <v>132</v>
      </c>
      <c r="AW7318" s="1">
        <v>31990</v>
      </c>
      <c r="AX7318">
        <v>1</v>
      </c>
    </row>
    <row r="7319" spans="1:50">
      <c r="B7319" t="str">
        <f>"123162338"</f>
        <v>123162338</v>
      </c>
      <c r="C7319" t="s">
        <v>50</v>
      </c>
      <c r="D7319" t="s">
        <v>4165</v>
      </c>
      <c r="E7319" t="s">
        <v>513</v>
      </c>
      <c r="F7319" t="s">
        <v>95</v>
      </c>
      <c r="G7319" t="s">
        <v>237</v>
      </c>
      <c r="H7319" t="str">
        <f>"ΔΑΜΒΕΡΓΗΔΩΝ 39 "</f>
        <v xml:space="preserve">ΔΑΜΒΕΡΓΗΔΩΝ 39 </v>
      </c>
      <c r="I7319">
        <v>71202</v>
      </c>
      <c r="J7319">
        <v>2810341269</v>
      </c>
      <c r="K7319">
        <v>6937431218</v>
      </c>
      <c r="N7319" t="s">
        <v>1525</v>
      </c>
      <c r="O7319" t="s">
        <v>1526</v>
      </c>
      <c r="R7319" t="s">
        <v>57</v>
      </c>
      <c r="S7319">
        <v>6</v>
      </c>
      <c r="T7319" t="s">
        <v>8670</v>
      </c>
      <c r="U7319" s="1">
        <v>43348</v>
      </c>
      <c r="V7319" t="s">
        <v>80</v>
      </c>
      <c r="W7319" t="s">
        <v>81</v>
      </c>
      <c r="X7319" t="s">
        <v>58</v>
      </c>
      <c r="Y7319">
        <v>25</v>
      </c>
      <c r="Z7319" t="s">
        <v>59</v>
      </c>
      <c r="AA7319" t="s">
        <v>59</v>
      </c>
      <c r="AB7319" t="s">
        <v>59</v>
      </c>
      <c r="AC7319" t="s">
        <v>59</v>
      </c>
      <c r="AD7319" t="s">
        <v>59</v>
      </c>
      <c r="AF7319" s="1">
        <v>43348</v>
      </c>
      <c r="AG7319" t="s">
        <v>8651</v>
      </c>
      <c r="AH7319" t="s">
        <v>8652</v>
      </c>
      <c r="AI7319" t="str">
        <f>"9170201"</f>
        <v>9170201</v>
      </c>
      <c r="AJ7319" t="s">
        <v>10067</v>
      </c>
      <c r="AK7319">
        <v>2810741564</v>
      </c>
      <c r="AL7319" t="s">
        <v>10068</v>
      </c>
      <c r="AM7319" t="s">
        <v>78</v>
      </c>
      <c r="AN7319" t="s">
        <v>424</v>
      </c>
      <c r="AO7319" t="s">
        <v>428</v>
      </c>
      <c r="AP7319" t="s">
        <v>9591</v>
      </c>
      <c r="AQ7319">
        <v>11</v>
      </c>
      <c r="AR7319" t="s">
        <v>80</v>
      </c>
      <c r="AS7319" t="s">
        <v>81</v>
      </c>
      <c r="AT7319" t="s">
        <v>58</v>
      </c>
      <c r="AU7319" t="s">
        <v>8673</v>
      </c>
      <c r="AV7319" t="s">
        <v>132</v>
      </c>
      <c r="AW7319" s="1">
        <v>29397</v>
      </c>
      <c r="AX7319">
        <v>1</v>
      </c>
    </row>
    <row r="7320" spans="1:50">
      <c r="A7320">
        <v>596082</v>
      </c>
      <c r="B7320" t="str">
        <f>"103833043"</f>
        <v>103833043</v>
      </c>
      <c r="C7320" t="s">
        <v>50</v>
      </c>
      <c r="D7320" t="s">
        <v>4165</v>
      </c>
      <c r="E7320" t="s">
        <v>52</v>
      </c>
      <c r="F7320" t="s">
        <v>95</v>
      </c>
      <c r="G7320" t="s">
        <v>215</v>
      </c>
      <c r="H7320" t="str">
        <f>"ΣΩΚΡΑΤΗ 5 ΗΡΑΚΛΕΙΟ"</f>
        <v>ΣΩΚΡΑΤΗ 5 ΗΡΑΚΛΕΙΟ</v>
      </c>
      <c r="I7320">
        <v>71414</v>
      </c>
      <c r="J7320">
        <v>2810823318</v>
      </c>
      <c r="K7320">
        <v>6944325838</v>
      </c>
      <c r="N7320" t="s">
        <v>615</v>
      </c>
      <c r="O7320" t="s">
        <v>616</v>
      </c>
      <c r="R7320" t="s">
        <v>57</v>
      </c>
      <c r="S7320">
        <v>9</v>
      </c>
      <c r="T7320">
        <v>218</v>
      </c>
      <c r="U7320" s="1">
        <v>37134</v>
      </c>
      <c r="V7320" t="s">
        <v>80</v>
      </c>
      <c r="W7320" t="s">
        <v>81</v>
      </c>
      <c r="X7320" t="s">
        <v>58</v>
      </c>
      <c r="Y7320">
        <v>22</v>
      </c>
      <c r="Z7320" t="s">
        <v>59</v>
      </c>
      <c r="AA7320" t="s">
        <v>59</v>
      </c>
      <c r="AB7320" t="s">
        <v>59</v>
      </c>
      <c r="AC7320" t="s">
        <v>59</v>
      </c>
      <c r="AD7320" t="s">
        <v>59</v>
      </c>
      <c r="AF7320" s="1">
        <v>37141</v>
      </c>
      <c r="AG7320" t="s">
        <v>8645</v>
      </c>
      <c r="AH7320" t="s">
        <v>8646</v>
      </c>
      <c r="AI7320" t="str">
        <f>"9521091"</f>
        <v>9521091</v>
      </c>
      <c r="AJ7320" t="s">
        <v>8959</v>
      </c>
      <c r="AK7320">
        <v>2810370360</v>
      </c>
      <c r="AL7320" t="s">
        <v>8960</v>
      </c>
      <c r="AM7320" t="s">
        <v>78</v>
      </c>
      <c r="AN7320" t="s">
        <v>129</v>
      </c>
      <c r="AO7320" t="s">
        <v>130</v>
      </c>
      <c r="AP7320" t="s">
        <v>130</v>
      </c>
      <c r="AQ7320">
        <v>1</v>
      </c>
      <c r="AR7320" t="s">
        <v>80</v>
      </c>
      <c r="AS7320" t="s">
        <v>81</v>
      </c>
      <c r="AT7320" t="s">
        <v>58</v>
      </c>
      <c r="AU7320" t="s">
        <v>68</v>
      </c>
      <c r="AV7320" t="s">
        <v>69</v>
      </c>
      <c r="AW7320" s="1">
        <v>24703</v>
      </c>
      <c r="AX7320">
        <v>1</v>
      </c>
    </row>
    <row r="7321" spans="1:50">
      <c r="A7321">
        <v>554953</v>
      </c>
      <c r="B7321" t="str">
        <f>"028111698"</f>
        <v>028111698</v>
      </c>
      <c r="C7321" t="s">
        <v>105</v>
      </c>
      <c r="D7321" t="s">
        <v>11702</v>
      </c>
      <c r="E7321" t="s">
        <v>900</v>
      </c>
      <c r="F7321" t="s">
        <v>53</v>
      </c>
      <c r="G7321" t="s">
        <v>52</v>
      </c>
      <c r="H7321" t="str">
        <f>"ΔΙΟΣ 1 ΗΡΑΚΛΕΙΟ"</f>
        <v>ΔΙΟΣ 1 ΗΡΑΚΛΕΙΟ</v>
      </c>
      <c r="I7321">
        <v>71414</v>
      </c>
      <c r="J7321">
        <v>2810822370</v>
      </c>
      <c r="K7321">
        <v>6972556359</v>
      </c>
      <c r="N7321" t="s">
        <v>615</v>
      </c>
      <c r="O7321" t="s">
        <v>616</v>
      </c>
      <c r="R7321" t="s">
        <v>57</v>
      </c>
      <c r="S7321">
        <v>17</v>
      </c>
      <c r="T7321">
        <v>200</v>
      </c>
      <c r="U7321" s="1">
        <v>31657</v>
      </c>
      <c r="V7321" t="s">
        <v>80</v>
      </c>
      <c r="W7321" t="s">
        <v>81</v>
      </c>
      <c r="X7321" t="s">
        <v>58</v>
      </c>
      <c r="Y7321">
        <v>21</v>
      </c>
      <c r="Z7321" t="s">
        <v>59</v>
      </c>
      <c r="AA7321" t="s">
        <v>59</v>
      </c>
      <c r="AB7321" t="s">
        <v>59</v>
      </c>
      <c r="AC7321" t="s">
        <v>59</v>
      </c>
      <c r="AD7321" t="s">
        <v>59</v>
      </c>
      <c r="AF7321" s="1">
        <v>31665</v>
      </c>
      <c r="AG7321" t="s">
        <v>8645</v>
      </c>
      <c r="AH7321" t="s">
        <v>8646</v>
      </c>
      <c r="AI7321" t="str">
        <f>"9170018"</f>
        <v>9170018</v>
      </c>
      <c r="AJ7321" t="s">
        <v>8924</v>
      </c>
      <c r="AK7321">
        <v>2810821217</v>
      </c>
      <c r="AL7321" t="s">
        <v>8925</v>
      </c>
      <c r="AM7321" t="s">
        <v>78</v>
      </c>
      <c r="AN7321" t="s">
        <v>129</v>
      </c>
      <c r="AO7321" t="s">
        <v>130</v>
      </c>
      <c r="AP7321" t="s">
        <v>130</v>
      </c>
      <c r="AQ7321">
        <v>1</v>
      </c>
      <c r="AR7321" t="s">
        <v>80</v>
      </c>
      <c r="AS7321" t="s">
        <v>81</v>
      </c>
      <c r="AT7321" t="s">
        <v>58</v>
      </c>
      <c r="AU7321" t="s">
        <v>68</v>
      </c>
      <c r="AV7321" t="s">
        <v>69</v>
      </c>
      <c r="AW7321" s="1">
        <v>21977</v>
      </c>
      <c r="AX7321">
        <v>1</v>
      </c>
    </row>
    <row r="7322" spans="1:50">
      <c r="B7322" t="str">
        <f>"103532584"</f>
        <v>103532584</v>
      </c>
      <c r="C7322" t="s">
        <v>105</v>
      </c>
      <c r="D7322" t="s">
        <v>11702</v>
      </c>
      <c r="E7322" t="s">
        <v>202</v>
      </c>
      <c r="F7322" t="s">
        <v>309</v>
      </c>
      <c r="G7322" t="s">
        <v>964</v>
      </c>
      <c r="H7322" t="str">
        <f>"ΑΠΩΛΛΟΝΙΟΥ ΡΟΔΙΟΥ 46 "</f>
        <v xml:space="preserve">ΑΠΩΛΛΟΝΙΟΥ ΡΟΔΙΟΥ 46 </v>
      </c>
      <c r="I7322">
        <v>71305</v>
      </c>
      <c r="J7322">
        <v>2810211648</v>
      </c>
      <c r="K7322">
        <v>6945025801</v>
      </c>
      <c r="N7322" t="s">
        <v>615</v>
      </c>
      <c r="O7322" t="s">
        <v>616</v>
      </c>
      <c r="R7322" t="s">
        <v>159</v>
      </c>
      <c r="S7322">
        <v>3</v>
      </c>
      <c r="T7322" t="s">
        <v>8675</v>
      </c>
      <c r="U7322" s="1">
        <v>43348</v>
      </c>
      <c r="V7322" t="s">
        <v>80</v>
      </c>
      <c r="W7322" t="s">
        <v>81</v>
      </c>
      <c r="X7322" t="s">
        <v>58</v>
      </c>
      <c r="Y7322">
        <v>24</v>
      </c>
      <c r="Z7322" t="s">
        <v>59</v>
      </c>
      <c r="AA7322" t="s">
        <v>59</v>
      </c>
      <c r="AB7322" t="s">
        <v>59</v>
      </c>
      <c r="AC7322" t="s">
        <v>59</v>
      </c>
      <c r="AD7322" t="s">
        <v>59</v>
      </c>
      <c r="AF7322" s="1">
        <v>43348</v>
      </c>
      <c r="AG7322" t="s">
        <v>8645</v>
      </c>
      <c r="AH7322" t="s">
        <v>8646</v>
      </c>
      <c r="AI7322" t="str">
        <f>"9521014"</f>
        <v>9521014</v>
      </c>
      <c r="AJ7322" t="s">
        <v>8974</v>
      </c>
      <c r="AK7322">
        <v>2897029611</v>
      </c>
      <c r="AL7322" t="s">
        <v>8975</v>
      </c>
      <c r="AM7322" t="s">
        <v>78</v>
      </c>
      <c r="AN7322" t="s">
        <v>219</v>
      </c>
      <c r="AO7322" t="s">
        <v>527</v>
      </c>
      <c r="AP7322" t="s">
        <v>527</v>
      </c>
      <c r="AQ7322">
        <v>8</v>
      </c>
      <c r="AR7322" t="s">
        <v>80</v>
      </c>
      <c r="AS7322" t="s">
        <v>81</v>
      </c>
      <c r="AT7322" t="s">
        <v>58</v>
      </c>
      <c r="AU7322" t="s">
        <v>8673</v>
      </c>
      <c r="AV7322" t="s">
        <v>132</v>
      </c>
      <c r="AW7322" s="1">
        <v>32006</v>
      </c>
      <c r="AX7322">
        <v>1</v>
      </c>
    </row>
    <row r="7323" spans="1:50">
      <c r="A7323">
        <v>559791</v>
      </c>
      <c r="B7323" t="str">
        <f>"031602787"</f>
        <v>031602787</v>
      </c>
      <c r="C7323" t="s">
        <v>50</v>
      </c>
      <c r="D7323" t="s">
        <v>11703</v>
      </c>
      <c r="E7323" t="s">
        <v>563</v>
      </c>
      <c r="F7323" t="s">
        <v>230</v>
      </c>
      <c r="G7323" t="s">
        <v>237</v>
      </c>
      <c r="H7323" t="str">
        <f>"ΞΑΝΘΟΥΔΙΔΟΥ 9 ΗΡΑΚΛΕΙΟ"</f>
        <v>ΞΑΝΘΟΥΔΙΔΟΥ 9 ΗΡΑΚΛΕΙΟ</v>
      </c>
      <c r="I7323">
        <v>71202</v>
      </c>
      <c r="J7323">
        <v>2810222386</v>
      </c>
      <c r="K7323">
        <v>6941680260</v>
      </c>
      <c r="N7323" t="s">
        <v>1525</v>
      </c>
      <c r="O7323" t="s">
        <v>1526</v>
      </c>
      <c r="R7323" t="s">
        <v>57</v>
      </c>
      <c r="S7323">
        <v>16</v>
      </c>
      <c r="T7323">
        <v>175</v>
      </c>
      <c r="U7323" s="1">
        <v>32020</v>
      </c>
      <c r="V7323" t="s">
        <v>80</v>
      </c>
      <c r="W7323" t="s">
        <v>81</v>
      </c>
      <c r="X7323" t="s">
        <v>58</v>
      </c>
      <c r="Y7323">
        <v>25</v>
      </c>
      <c r="Z7323" t="s">
        <v>59</v>
      </c>
      <c r="AA7323" t="s">
        <v>59</v>
      </c>
      <c r="AB7323" t="s">
        <v>59</v>
      </c>
      <c r="AC7323" t="s">
        <v>59</v>
      </c>
      <c r="AD7323" t="s">
        <v>59</v>
      </c>
      <c r="AF7323" s="1">
        <v>32021</v>
      </c>
      <c r="AG7323" t="s">
        <v>8651</v>
      </c>
      <c r="AH7323" t="s">
        <v>8652</v>
      </c>
      <c r="AI7323" t="str">
        <f>"9170047"</f>
        <v>9170047</v>
      </c>
      <c r="AJ7323" t="s">
        <v>9945</v>
      </c>
      <c r="AK7323">
        <v>2810289645</v>
      </c>
      <c r="AL7323" t="s">
        <v>9946</v>
      </c>
      <c r="AM7323" t="s">
        <v>78</v>
      </c>
      <c r="AN7323" t="s">
        <v>78</v>
      </c>
      <c r="AO7323" t="s">
        <v>78</v>
      </c>
      <c r="AP7323" t="s">
        <v>79</v>
      </c>
      <c r="AQ7323">
        <v>1</v>
      </c>
      <c r="AR7323" t="s">
        <v>80</v>
      </c>
      <c r="AS7323" t="s">
        <v>81</v>
      </c>
      <c r="AT7323" t="s">
        <v>58</v>
      </c>
      <c r="AU7323" t="s">
        <v>68</v>
      </c>
      <c r="AV7323" t="s">
        <v>69</v>
      </c>
      <c r="AW7323" s="1">
        <v>23409</v>
      </c>
      <c r="AX7323">
        <v>1</v>
      </c>
    </row>
    <row r="7324" spans="1:50">
      <c r="A7324">
        <v>554266</v>
      </c>
      <c r="B7324" t="str">
        <f>"031029710"</f>
        <v>031029710</v>
      </c>
      <c r="C7324" t="s">
        <v>50</v>
      </c>
      <c r="D7324" t="s">
        <v>4172</v>
      </c>
      <c r="E7324" t="s">
        <v>11704</v>
      </c>
      <c r="F7324" t="s">
        <v>72</v>
      </c>
      <c r="G7324" t="s">
        <v>340</v>
      </c>
      <c r="H7324" t="str">
        <f>"ΤΥΜΠΑΚΙ ΗΡΑΚΛΕΙΟ"</f>
        <v>ΤΥΜΠΑΚΙ ΗΡΑΚΛΕΙΟ</v>
      </c>
      <c r="I7324">
        <v>70200</v>
      </c>
      <c r="J7324">
        <v>2892051675</v>
      </c>
      <c r="K7324">
        <v>6948045860</v>
      </c>
      <c r="N7324" t="s">
        <v>1525</v>
      </c>
      <c r="O7324" t="s">
        <v>1526</v>
      </c>
      <c r="R7324" t="s">
        <v>57</v>
      </c>
      <c r="S7324">
        <v>16</v>
      </c>
      <c r="T7324">
        <v>235</v>
      </c>
      <c r="U7324" s="1">
        <v>31289</v>
      </c>
      <c r="V7324" t="s">
        <v>80</v>
      </c>
      <c r="W7324" t="s">
        <v>81</v>
      </c>
      <c r="X7324" t="s">
        <v>58</v>
      </c>
      <c r="Y7324">
        <v>25</v>
      </c>
      <c r="Z7324" t="s">
        <v>59</v>
      </c>
      <c r="AA7324" t="s">
        <v>59</v>
      </c>
      <c r="AB7324" t="s">
        <v>59</v>
      </c>
      <c r="AC7324" t="s">
        <v>59</v>
      </c>
      <c r="AD7324" t="s">
        <v>59</v>
      </c>
      <c r="AF7324" s="1">
        <v>31299</v>
      </c>
      <c r="AG7324" t="s">
        <v>8651</v>
      </c>
      <c r="AH7324" t="s">
        <v>8652</v>
      </c>
      <c r="AI7324" t="str">
        <f>"9170545"</f>
        <v>9170545</v>
      </c>
      <c r="AJ7324" t="s">
        <v>11669</v>
      </c>
      <c r="AK7324">
        <v>2892053479</v>
      </c>
      <c r="AL7324" t="s">
        <v>11670</v>
      </c>
      <c r="AM7324" t="s">
        <v>78</v>
      </c>
      <c r="AN7324" t="s">
        <v>242</v>
      </c>
      <c r="AO7324" t="s">
        <v>349</v>
      </c>
      <c r="AP7324" t="s">
        <v>349</v>
      </c>
      <c r="AQ7324">
        <v>19</v>
      </c>
      <c r="AR7324" t="s">
        <v>80</v>
      </c>
      <c r="AS7324" t="s">
        <v>81</v>
      </c>
      <c r="AT7324" t="s">
        <v>58</v>
      </c>
      <c r="AU7324" t="s">
        <v>68</v>
      </c>
      <c r="AV7324" t="s">
        <v>69</v>
      </c>
      <c r="AW7324" s="1">
        <v>22740</v>
      </c>
      <c r="AX7324">
        <v>1</v>
      </c>
    </row>
    <row r="7325" spans="1:50">
      <c r="B7325" t="str">
        <f>"300448492"</f>
        <v>300448492</v>
      </c>
      <c r="C7325" t="s">
        <v>50</v>
      </c>
      <c r="D7325" t="s">
        <v>11705</v>
      </c>
      <c r="E7325" t="s">
        <v>6196</v>
      </c>
      <c r="F7325" t="s">
        <v>11706</v>
      </c>
      <c r="G7325" t="s">
        <v>3914</v>
      </c>
      <c r="H7325" t="str">
        <f>"ΑΓΙΟΥ ΓΕΩΡΓΙΟΥ 10 ΠΕΛΛΑ"</f>
        <v>ΑΓΙΟΥ ΓΕΩΡΓΙΟΥ 10 ΠΕΛΛΑ</v>
      </c>
      <c r="I7325">
        <v>58300</v>
      </c>
      <c r="J7325">
        <v>2382061459</v>
      </c>
      <c r="K7325">
        <v>6977234261</v>
      </c>
      <c r="N7325" t="s">
        <v>615</v>
      </c>
      <c r="O7325" t="s">
        <v>616</v>
      </c>
      <c r="R7325" t="s">
        <v>159</v>
      </c>
      <c r="S7325">
        <v>2</v>
      </c>
      <c r="T7325" t="s">
        <v>8675</v>
      </c>
      <c r="U7325" s="1">
        <v>43348</v>
      </c>
      <c r="V7325" t="s">
        <v>80</v>
      </c>
      <c r="W7325" t="s">
        <v>81</v>
      </c>
      <c r="X7325" t="s">
        <v>58</v>
      </c>
      <c r="Y7325">
        <v>24</v>
      </c>
      <c r="Z7325" t="s">
        <v>59</v>
      </c>
      <c r="AA7325" t="s">
        <v>59</v>
      </c>
      <c r="AB7325" t="s">
        <v>59</v>
      </c>
      <c r="AC7325" t="s">
        <v>59</v>
      </c>
      <c r="AD7325" t="s">
        <v>59</v>
      </c>
      <c r="AF7325" s="1">
        <v>43348</v>
      </c>
      <c r="AG7325" t="s">
        <v>8645</v>
      </c>
      <c r="AH7325" t="s">
        <v>8646</v>
      </c>
      <c r="AI7325" t="str">
        <f>"9170079"</f>
        <v>9170079</v>
      </c>
      <c r="AJ7325" t="s">
        <v>8874</v>
      </c>
      <c r="AK7325">
        <v>2894051292</v>
      </c>
      <c r="AL7325" t="s">
        <v>8875</v>
      </c>
      <c r="AM7325" t="s">
        <v>78</v>
      </c>
      <c r="AN7325" t="s">
        <v>424</v>
      </c>
      <c r="AO7325" t="s">
        <v>428</v>
      </c>
      <c r="AP7325" t="s">
        <v>8876</v>
      </c>
      <c r="AQ7325">
        <v>9</v>
      </c>
      <c r="AR7325" t="s">
        <v>80</v>
      </c>
      <c r="AS7325" t="s">
        <v>81</v>
      </c>
      <c r="AT7325" t="s">
        <v>58</v>
      </c>
      <c r="AU7325" t="s">
        <v>8673</v>
      </c>
      <c r="AV7325" t="s">
        <v>132</v>
      </c>
      <c r="AW7325" s="1">
        <v>28036</v>
      </c>
      <c r="AX7325">
        <v>1</v>
      </c>
    </row>
    <row r="7326" spans="1:50">
      <c r="B7326" t="str">
        <f>"118900425"</f>
        <v>118900425</v>
      </c>
      <c r="C7326" t="s">
        <v>50</v>
      </c>
      <c r="D7326" t="s">
        <v>11707</v>
      </c>
      <c r="E7326" t="s">
        <v>52</v>
      </c>
      <c r="F7326" t="s">
        <v>154</v>
      </c>
      <c r="G7326" t="s">
        <v>71</v>
      </c>
      <c r="H7326" t="str">
        <f>"ΜΕΝΕΛΑΟΥ 33 "</f>
        <v xml:space="preserve">ΜΕΝΕΛΑΟΥ 33 </v>
      </c>
      <c r="I7326">
        <v>71304</v>
      </c>
      <c r="J7326">
        <v>2810251064</v>
      </c>
      <c r="K7326">
        <v>6945826806</v>
      </c>
      <c r="N7326" t="s">
        <v>288</v>
      </c>
      <c r="O7326" t="s">
        <v>289</v>
      </c>
      <c r="R7326" t="s">
        <v>159</v>
      </c>
      <c r="S7326">
        <v>2</v>
      </c>
      <c r="T7326" t="s">
        <v>8675</v>
      </c>
      <c r="U7326" s="1">
        <v>43348</v>
      </c>
      <c r="V7326" t="s">
        <v>80</v>
      </c>
      <c r="W7326" t="s">
        <v>81</v>
      </c>
      <c r="X7326" t="s">
        <v>58</v>
      </c>
      <c r="Y7326">
        <v>14</v>
      </c>
      <c r="Z7326" t="s">
        <v>59</v>
      </c>
      <c r="AA7326" t="s">
        <v>59</v>
      </c>
      <c r="AB7326" t="s">
        <v>59</v>
      </c>
      <c r="AC7326" t="s">
        <v>59</v>
      </c>
      <c r="AD7326" t="s">
        <v>59</v>
      </c>
      <c r="AF7326" s="1">
        <v>43348</v>
      </c>
      <c r="AG7326" t="s">
        <v>8645</v>
      </c>
      <c r="AH7326" t="s">
        <v>8646</v>
      </c>
      <c r="AI7326" t="str">
        <f>"9170043"</f>
        <v>9170043</v>
      </c>
      <c r="AJ7326" t="s">
        <v>8883</v>
      </c>
      <c r="AK7326">
        <v>2894022075</v>
      </c>
      <c r="AL7326" t="s">
        <v>8884</v>
      </c>
      <c r="AM7326" t="s">
        <v>78</v>
      </c>
      <c r="AN7326" t="s">
        <v>405</v>
      </c>
      <c r="AO7326" t="s">
        <v>406</v>
      </c>
      <c r="AP7326" t="s">
        <v>8885</v>
      </c>
      <c r="AQ7326">
        <v>6</v>
      </c>
      <c r="AR7326" t="s">
        <v>80</v>
      </c>
      <c r="AS7326" t="s">
        <v>81</v>
      </c>
      <c r="AT7326" t="s">
        <v>58</v>
      </c>
      <c r="AU7326" t="s">
        <v>8686</v>
      </c>
      <c r="AV7326" t="s">
        <v>132</v>
      </c>
      <c r="AW7326" s="1">
        <v>30830</v>
      </c>
      <c r="AX7326">
        <v>1</v>
      </c>
    </row>
    <row r="7327" spans="1:50">
      <c r="A7327">
        <v>594160</v>
      </c>
      <c r="B7327" t="str">
        <f>"075570550"</f>
        <v>075570550</v>
      </c>
      <c r="C7327" t="s">
        <v>50</v>
      </c>
      <c r="D7327" t="s">
        <v>4182</v>
      </c>
      <c r="E7327" t="s">
        <v>83</v>
      </c>
      <c r="F7327" t="s">
        <v>9389</v>
      </c>
      <c r="G7327" t="s">
        <v>250</v>
      </c>
      <c r="H7327" t="str">
        <f>"ΕΡΩΦΙΛΗΣ 14 ΗΡΑΚΛΕΙΟ"</f>
        <v>ΕΡΩΦΙΛΗΣ 14 ΗΡΑΚΛΕΙΟ</v>
      </c>
      <c r="I7327">
        <v>71305</v>
      </c>
      <c r="J7327">
        <v>2810287102</v>
      </c>
      <c r="K7327">
        <v>6944951582</v>
      </c>
      <c r="N7327" t="s">
        <v>615</v>
      </c>
      <c r="O7327" t="s">
        <v>616</v>
      </c>
      <c r="R7327" t="s">
        <v>57</v>
      </c>
      <c r="S7327">
        <v>8</v>
      </c>
      <c r="T7327">
        <v>218</v>
      </c>
      <c r="U7327" s="1">
        <v>37134</v>
      </c>
      <c r="V7327" t="s">
        <v>80</v>
      </c>
      <c r="W7327" t="s">
        <v>81</v>
      </c>
      <c r="X7327" t="s">
        <v>58</v>
      </c>
      <c r="Y7327">
        <v>22</v>
      </c>
      <c r="Z7327" t="s">
        <v>59</v>
      </c>
      <c r="AA7327" t="s">
        <v>59</v>
      </c>
      <c r="AB7327" t="s">
        <v>59</v>
      </c>
      <c r="AC7327" t="s">
        <v>59</v>
      </c>
      <c r="AD7327" t="s">
        <v>59</v>
      </c>
      <c r="AF7327" s="1">
        <v>37137</v>
      </c>
      <c r="AG7327" t="s">
        <v>8645</v>
      </c>
      <c r="AH7327" t="s">
        <v>8646</v>
      </c>
      <c r="AI7327" t="str">
        <f>"9170102"</f>
        <v>9170102</v>
      </c>
      <c r="AJ7327" t="s">
        <v>9019</v>
      </c>
      <c r="AK7327">
        <v>2810283938</v>
      </c>
      <c r="AL7327" t="s">
        <v>9020</v>
      </c>
      <c r="AM7327" t="s">
        <v>78</v>
      </c>
      <c r="AN7327" t="s">
        <v>78</v>
      </c>
      <c r="AO7327" t="s">
        <v>78</v>
      </c>
      <c r="AP7327" t="s">
        <v>79</v>
      </c>
      <c r="AQ7327">
        <v>1</v>
      </c>
      <c r="AR7327" t="s">
        <v>80</v>
      </c>
      <c r="AS7327" t="s">
        <v>81</v>
      </c>
      <c r="AT7327" t="s">
        <v>58</v>
      </c>
      <c r="AU7327" t="s">
        <v>68</v>
      </c>
      <c r="AV7327" t="s">
        <v>69</v>
      </c>
      <c r="AW7327" s="1">
        <v>26629</v>
      </c>
      <c r="AX7327">
        <v>1</v>
      </c>
    </row>
    <row r="7328" spans="1:50">
      <c r="A7328">
        <v>618551</v>
      </c>
      <c r="B7328" t="str">
        <f>"114299161"</f>
        <v>114299161</v>
      </c>
      <c r="C7328" t="s">
        <v>50</v>
      </c>
      <c r="D7328" t="s">
        <v>11708</v>
      </c>
      <c r="E7328" t="s">
        <v>11709</v>
      </c>
      <c r="F7328" t="s">
        <v>95</v>
      </c>
      <c r="G7328" t="s">
        <v>2400</v>
      </c>
      <c r="H7328" t="str">
        <f>"ΣΩΣΙΚΡΑΤΗ 25 ΗΡΑΚΛΕΙΟ"</f>
        <v>ΣΩΣΙΚΡΑΤΗ 25 ΗΡΑΚΛΕΙΟ</v>
      </c>
      <c r="I7328">
        <v>71305</v>
      </c>
      <c r="J7328">
        <v>2810311943</v>
      </c>
      <c r="K7328">
        <v>6974061703</v>
      </c>
      <c r="N7328" t="s">
        <v>615</v>
      </c>
      <c r="O7328" t="s">
        <v>616</v>
      </c>
      <c r="R7328" t="s">
        <v>57</v>
      </c>
      <c r="S7328">
        <v>5</v>
      </c>
      <c r="T7328" t="s">
        <v>11710</v>
      </c>
      <c r="U7328" s="1">
        <v>39680</v>
      </c>
      <c r="V7328" t="s">
        <v>80</v>
      </c>
      <c r="W7328" t="s">
        <v>81</v>
      </c>
      <c r="X7328" t="s">
        <v>58</v>
      </c>
      <c r="Y7328">
        <v>23</v>
      </c>
      <c r="Z7328" t="s">
        <v>59</v>
      </c>
      <c r="AA7328" t="s">
        <v>59</v>
      </c>
      <c r="AB7328" t="s">
        <v>59</v>
      </c>
      <c r="AC7328" t="s">
        <v>59</v>
      </c>
      <c r="AD7328" t="s">
        <v>59</v>
      </c>
      <c r="AF7328" s="1">
        <v>39681</v>
      </c>
      <c r="AG7328" t="s">
        <v>8645</v>
      </c>
      <c r="AH7328" t="s">
        <v>8646</v>
      </c>
      <c r="AI7328" t="str">
        <f>"9170425"</f>
        <v>9170425</v>
      </c>
      <c r="AJ7328" t="s">
        <v>9350</v>
      </c>
      <c r="AK7328">
        <v>2810250261</v>
      </c>
      <c r="AL7328" t="s">
        <v>9351</v>
      </c>
      <c r="AM7328" t="s">
        <v>78</v>
      </c>
      <c r="AN7328" t="s">
        <v>78</v>
      </c>
      <c r="AO7328" t="s">
        <v>78</v>
      </c>
      <c r="AP7328" t="s">
        <v>141</v>
      </c>
      <c r="AQ7328">
        <v>1</v>
      </c>
      <c r="AR7328" t="s">
        <v>80</v>
      </c>
      <c r="AS7328" t="s">
        <v>81</v>
      </c>
      <c r="AT7328" t="s">
        <v>58</v>
      </c>
      <c r="AU7328" t="s">
        <v>68</v>
      </c>
      <c r="AV7328" t="s">
        <v>69</v>
      </c>
      <c r="AW7328" s="1">
        <v>30951</v>
      </c>
      <c r="AX7328">
        <v>1</v>
      </c>
    </row>
    <row r="7329" spans="1:50">
      <c r="A7329">
        <v>580964</v>
      </c>
      <c r="B7329" t="str">
        <f>"064125184"</f>
        <v>064125184</v>
      </c>
      <c r="C7329" t="s">
        <v>50</v>
      </c>
      <c r="D7329" t="s">
        <v>4184</v>
      </c>
      <c r="E7329" t="s">
        <v>71</v>
      </c>
      <c r="F7329" t="s">
        <v>166</v>
      </c>
      <c r="G7329" t="s">
        <v>1074</v>
      </c>
      <c r="H7329" t="str">
        <f>"ΙΕΡΟΛΟΧΙΤΩΝ 97 ΜΑΣΤΑΜΠΑΣ"</f>
        <v>ΙΕΡΟΛΟΧΙΤΩΝ 97 ΜΑΣΤΑΜΠΑΣ</v>
      </c>
      <c r="I7329">
        <v>71305</v>
      </c>
      <c r="J7329">
        <v>2810320571</v>
      </c>
      <c r="K7329">
        <v>6948237247</v>
      </c>
      <c r="N7329" t="s">
        <v>615</v>
      </c>
      <c r="O7329" t="s">
        <v>616</v>
      </c>
      <c r="R7329" t="s">
        <v>57</v>
      </c>
      <c r="S7329">
        <v>14</v>
      </c>
      <c r="T7329">
        <v>179</v>
      </c>
      <c r="U7329" s="1">
        <v>35674</v>
      </c>
      <c r="V7329" t="s">
        <v>80</v>
      </c>
      <c r="W7329" t="s">
        <v>81</v>
      </c>
      <c r="X7329" t="s">
        <v>58</v>
      </c>
      <c r="Y7329">
        <v>21</v>
      </c>
      <c r="Z7329" t="s">
        <v>59</v>
      </c>
      <c r="AA7329" t="s">
        <v>59</v>
      </c>
      <c r="AB7329" t="s">
        <v>59</v>
      </c>
      <c r="AC7329" t="s">
        <v>59</v>
      </c>
      <c r="AD7329" t="s">
        <v>59</v>
      </c>
      <c r="AF7329" s="1">
        <v>35677</v>
      </c>
      <c r="AG7329" t="s">
        <v>8645</v>
      </c>
      <c r="AH7329" t="s">
        <v>8646</v>
      </c>
      <c r="AI7329" t="str">
        <f>"9170580"</f>
        <v>9170580</v>
      </c>
      <c r="AJ7329" t="s">
        <v>9076</v>
      </c>
      <c r="AK7329">
        <v>2810542809</v>
      </c>
      <c r="AL7329" t="s">
        <v>9077</v>
      </c>
      <c r="AM7329" t="s">
        <v>78</v>
      </c>
      <c r="AN7329" t="s">
        <v>78</v>
      </c>
      <c r="AO7329" t="s">
        <v>78</v>
      </c>
      <c r="AP7329" t="s">
        <v>9053</v>
      </c>
      <c r="AQ7329">
        <v>1</v>
      </c>
      <c r="AR7329" t="s">
        <v>80</v>
      </c>
      <c r="AS7329" t="s">
        <v>81</v>
      </c>
      <c r="AT7329" t="s">
        <v>58</v>
      </c>
      <c r="AU7329" t="s">
        <v>68</v>
      </c>
      <c r="AV7329" t="s">
        <v>69</v>
      </c>
      <c r="AW7329" s="1">
        <v>24822</v>
      </c>
      <c r="AX7329">
        <v>1</v>
      </c>
    </row>
    <row r="7330" spans="1:50">
      <c r="A7330">
        <v>614525</v>
      </c>
      <c r="B7330" t="str">
        <f>"103291090"</f>
        <v>103291090</v>
      </c>
      <c r="C7330" t="s">
        <v>50</v>
      </c>
      <c r="D7330" t="s">
        <v>4184</v>
      </c>
      <c r="E7330" t="s">
        <v>11711</v>
      </c>
      <c r="F7330" t="s">
        <v>99</v>
      </c>
      <c r="G7330" t="s">
        <v>11712</v>
      </c>
      <c r="H7330" t="str">
        <f>"ΔΗΜΟΚΡΑΤΙΑΣ ΚΑΙ ΖΩΤΟΥ ΧΕΡΣΟΝΗΣΟΥ"</f>
        <v>ΔΗΜΟΚΡΑΤΙΑΣ ΚΑΙ ΖΩΤΟΥ ΧΕΡΣΟΝΗΣΟΥ</v>
      </c>
      <c r="I7330">
        <v>70014</v>
      </c>
      <c r="J7330">
        <v>2897023403</v>
      </c>
      <c r="K7330">
        <v>6973746774</v>
      </c>
      <c r="N7330" t="s">
        <v>615</v>
      </c>
      <c r="O7330" t="s">
        <v>616</v>
      </c>
      <c r="R7330" t="s">
        <v>57</v>
      </c>
      <c r="S7330">
        <v>6</v>
      </c>
      <c r="T7330">
        <v>598</v>
      </c>
      <c r="U7330" s="1">
        <v>39310</v>
      </c>
      <c r="V7330" t="s">
        <v>80</v>
      </c>
      <c r="W7330" t="s">
        <v>81</v>
      </c>
      <c r="X7330" t="s">
        <v>58</v>
      </c>
      <c r="Y7330">
        <v>23</v>
      </c>
      <c r="Z7330" t="s">
        <v>59</v>
      </c>
      <c r="AA7330" t="s">
        <v>59</v>
      </c>
      <c r="AB7330" t="s">
        <v>59</v>
      </c>
      <c r="AC7330" t="s">
        <v>59</v>
      </c>
      <c r="AD7330" t="s">
        <v>59</v>
      </c>
      <c r="AF7330" s="1">
        <v>39328</v>
      </c>
      <c r="AG7330" t="s">
        <v>8645</v>
      </c>
      <c r="AH7330" t="s">
        <v>8646</v>
      </c>
      <c r="AI7330" t="str">
        <f>"9170250"</f>
        <v>9170250</v>
      </c>
      <c r="AJ7330" t="s">
        <v>8823</v>
      </c>
      <c r="AK7330">
        <v>2897022005</v>
      </c>
      <c r="AL7330" t="s">
        <v>8824</v>
      </c>
      <c r="AM7330" t="s">
        <v>78</v>
      </c>
      <c r="AN7330" t="s">
        <v>219</v>
      </c>
      <c r="AO7330" t="s">
        <v>219</v>
      </c>
      <c r="AP7330" t="s">
        <v>219</v>
      </c>
      <c r="AQ7330">
        <v>8</v>
      </c>
      <c r="AR7330" t="s">
        <v>80</v>
      </c>
      <c r="AS7330" t="s">
        <v>81</v>
      </c>
      <c r="AT7330" t="s">
        <v>58</v>
      </c>
      <c r="AU7330" t="s">
        <v>68</v>
      </c>
      <c r="AV7330" t="s">
        <v>69</v>
      </c>
      <c r="AW7330" s="1">
        <v>30131</v>
      </c>
      <c r="AX7330">
        <v>1</v>
      </c>
    </row>
    <row r="7331" spans="1:50">
      <c r="B7331" t="str">
        <f>"147371470"</f>
        <v>147371470</v>
      </c>
      <c r="C7331" t="s">
        <v>50</v>
      </c>
      <c r="D7331" t="s">
        <v>11713</v>
      </c>
      <c r="E7331" t="s">
        <v>112</v>
      </c>
      <c r="F7331" t="s">
        <v>510</v>
      </c>
      <c r="G7331" t="s">
        <v>73</v>
      </c>
      <c r="H7331" t="str">
        <f>"ΖΕΥΞΙΔΟΣ 5 ΤΡΕΙΣ ΒΑΓΙΕΣ"</f>
        <v>ΖΕΥΞΙΔΟΣ 5 ΤΡΕΙΣ ΒΑΓΙΕΣ</v>
      </c>
      <c r="I7331">
        <v>71410</v>
      </c>
      <c r="J7331">
        <v>2810315664</v>
      </c>
      <c r="K7331">
        <v>6948103012</v>
      </c>
      <c r="N7331" t="s">
        <v>306</v>
      </c>
      <c r="O7331" t="s">
        <v>307</v>
      </c>
      <c r="R7331" t="s">
        <v>159</v>
      </c>
      <c r="S7331">
        <v>3</v>
      </c>
      <c r="T7331" t="s">
        <v>8675</v>
      </c>
      <c r="U7331" s="1">
        <v>43348</v>
      </c>
      <c r="V7331" t="s">
        <v>80</v>
      </c>
      <c r="W7331" t="s">
        <v>81</v>
      </c>
      <c r="X7331" t="s">
        <v>58</v>
      </c>
      <c r="Y7331">
        <v>24</v>
      </c>
      <c r="Z7331" t="s">
        <v>59</v>
      </c>
      <c r="AA7331" t="s">
        <v>59</v>
      </c>
      <c r="AB7331" t="s">
        <v>59</v>
      </c>
      <c r="AC7331" t="s">
        <v>59</v>
      </c>
      <c r="AD7331" t="s">
        <v>59</v>
      </c>
      <c r="AF7331" s="1">
        <v>43348</v>
      </c>
      <c r="AG7331" t="s">
        <v>8645</v>
      </c>
      <c r="AH7331" t="s">
        <v>8646</v>
      </c>
      <c r="AI7331" t="str">
        <f>"9170132"</f>
        <v>9170132</v>
      </c>
      <c r="AJ7331" t="s">
        <v>9010</v>
      </c>
      <c r="AK7331">
        <v>2895022233</v>
      </c>
      <c r="AL7331" t="s">
        <v>9011</v>
      </c>
      <c r="AM7331" t="s">
        <v>78</v>
      </c>
      <c r="AN7331" t="s">
        <v>482</v>
      </c>
      <c r="AO7331" t="s">
        <v>482</v>
      </c>
      <c r="AP7331" t="s">
        <v>483</v>
      </c>
      <c r="AQ7331">
        <v>14</v>
      </c>
      <c r="AR7331" t="s">
        <v>80</v>
      </c>
      <c r="AS7331" t="s">
        <v>81</v>
      </c>
      <c r="AT7331" t="s">
        <v>58</v>
      </c>
      <c r="AU7331" t="s">
        <v>8673</v>
      </c>
      <c r="AV7331" t="s">
        <v>132</v>
      </c>
      <c r="AW7331" s="1">
        <v>30939</v>
      </c>
      <c r="AX7331">
        <v>1</v>
      </c>
    </row>
    <row r="7332" spans="1:50">
      <c r="B7332" t="str">
        <f>"152054330"</f>
        <v>152054330</v>
      </c>
      <c r="C7332" t="s">
        <v>105</v>
      </c>
      <c r="D7332" t="s">
        <v>11714</v>
      </c>
      <c r="E7332" t="s">
        <v>95</v>
      </c>
      <c r="F7332" t="s">
        <v>84</v>
      </c>
      <c r="G7332" t="s">
        <v>340</v>
      </c>
      <c r="H7332" t="str">
        <f>" "</f>
        <v xml:space="preserve"> </v>
      </c>
      <c r="N7332" t="s">
        <v>615</v>
      </c>
      <c r="O7332" t="s">
        <v>616</v>
      </c>
      <c r="R7332" t="s">
        <v>121</v>
      </c>
      <c r="S7332">
        <v>1</v>
      </c>
      <c r="T7332" t="s">
        <v>9034</v>
      </c>
      <c r="U7332" s="1">
        <v>43377</v>
      </c>
      <c r="V7332" t="s">
        <v>80</v>
      </c>
      <c r="W7332" t="s">
        <v>81</v>
      </c>
      <c r="X7332" t="s">
        <v>58</v>
      </c>
      <c r="Y7332">
        <v>24</v>
      </c>
      <c r="Z7332" t="s">
        <v>59</v>
      </c>
      <c r="AA7332" t="s">
        <v>59</v>
      </c>
      <c r="AB7332" t="s">
        <v>59</v>
      </c>
      <c r="AD7332" t="s">
        <v>59</v>
      </c>
      <c r="AF7332" s="1">
        <v>43377</v>
      </c>
      <c r="AG7332" t="s">
        <v>8645</v>
      </c>
      <c r="AH7332" t="s">
        <v>8646</v>
      </c>
      <c r="AI7332" t="str">
        <f>"9170338"</f>
        <v>9170338</v>
      </c>
      <c r="AJ7332" t="s">
        <v>8849</v>
      </c>
      <c r="AK7332">
        <v>2892051377</v>
      </c>
      <c r="AL7332" t="s">
        <v>8850</v>
      </c>
      <c r="AM7332" t="s">
        <v>78</v>
      </c>
      <c r="AN7332" t="s">
        <v>242</v>
      </c>
      <c r="AO7332" t="s">
        <v>349</v>
      </c>
      <c r="AP7332" t="s">
        <v>349</v>
      </c>
      <c r="AQ7332">
        <v>19</v>
      </c>
      <c r="AR7332" t="s">
        <v>80</v>
      </c>
      <c r="AS7332" t="s">
        <v>81</v>
      </c>
      <c r="AT7332" t="s">
        <v>58</v>
      </c>
      <c r="AU7332" t="s">
        <v>8673</v>
      </c>
      <c r="AV7332" t="s">
        <v>132</v>
      </c>
      <c r="AW7332" s="1">
        <v>32794</v>
      </c>
      <c r="AX7332">
        <v>1</v>
      </c>
    </row>
    <row r="7333" spans="1:50">
      <c r="A7333">
        <v>612036</v>
      </c>
      <c r="B7333" t="str">
        <f>"103510881"</f>
        <v>103510881</v>
      </c>
      <c r="C7333" t="s">
        <v>50</v>
      </c>
      <c r="D7333" t="s">
        <v>11715</v>
      </c>
      <c r="E7333" t="s">
        <v>188</v>
      </c>
      <c r="F7333" t="s">
        <v>53</v>
      </c>
      <c r="G7333" t="s">
        <v>255</v>
      </c>
      <c r="H7333" t="str">
        <f>"ΜΙΝΩΟΣ ΜΟΥΝΤΡΑΚΗ 2 ΗΡΑΚΛΕΙΟ"</f>
        <v>ΜΙΝΩΟΣ ΜΟΥΝΤΡΑΚΗ 2 ΗΡΑΚΛΕΙΟ</v>
      </c>
      <c r="I7333">
        <v>71307</v>
      </c>
      <c r="J7333">
        <v>2810226906</v>
      </c>
      <c r="K7333">
        <v>6973809686</v>
      </c>
      <c r="M7333" t="s">
        <v>11716</v>
      </c>
      <c r="N7333" t="s">
        <v>306</v>
      </c>
      <c r="O7333" t="s">
        <v>307</v>
      </c>
      <c r="R7333" t="s">
        <v>57</v>
      </c>
      <c r="S7333">
        <v>7</v>
      </c>
      <c r="T7333" t="s">
        <v>11717</v>
      </c>
      <c r="U7333" s="1">
        <v>38960</v>
      </c>
      <c r="V7333" t="s">
        <v>80</v>
      </c>
      <c r="W7333" t="s">
        <v>81</v>
      </c>
      <c r="X7333" t="s">
        <v>58</v>
      </c>
      <c r="Y7333">
        <v>23</v>
      </c>
      <c r="Z7333" t="s">
        <v>59</v>
      </c>
      <c r="AA7333" t="s">
        <v>59</v>
      </c>
      <c r="AB7333" t="s">
        <v>59</v>
      </c>
      <c r="AC7333" t="s">
        <v>59</v>
      </c>
      <c r="AD7333" t="s">
        <v>59</v>
      </c>
      <c r="AF7333" s="1">
        <v>38961</v>
      </c>
      <c r="AG7333" t="s">
        <v>8645</v>
      </c>
      <c r="AH7333" t="s">
        <v>8646</v>
      </c>
      <c r="AI7333" t="str">
        <f>"9170250"</f>
        <v>9170250</v>
      </c>
      <c r="AJ7333" t="s">
        <v>8823</v>
      </c>
      <c r="AK7333">
        <v>2897022005</v>
      </c>
      <c r="AL7333" t="s">
        <v>8824</v>
      </c>
      <c r="AM7333" t="s">
        <v>78</v>
      </c>
      <c r="AN7333" t="s">
        <v>219</v>
      </c>
      <c r="AO7333" t="s">
        <v>219</v>
      </c>
      <c r="AP7333" t="s">
        <v>219</v>
      </c>
      <c r="AQ7333">
        <v>8</v>
      </c>
      <c r="AR7333" t="s">
        <v>80</v>
      </c>
      <c r="AS7333" t="s">
        <v>81</v>
      </c>
      <c r="AT7333" t="s">
        <v>58</v>
      </c>
      <c r="AU7333" t="s">
        <v>68</v>
      </c>
      <c r="AV7333" t="s">
        <v>69</v>
      </c>
      <c r="AW7333" s="1">
        <v>27618</v>
      </c>
      <c r="AX7333">
        <v>1</v>
      </c>
    </row>
    <row r="7334" spans="1:50">
      <c r="A7334">
        <v>566386</v>
      </c>
      <c r="B7334" t="str">
        <f>"031029721"</f>
        <v>031029721</v>
      </c>
      <c r="C7334" t="s">
        <v>50</v>
      </c>
      <c r="D7334" t="s">
        <v>5564</v>
      </c>
      <c r="E7334" t="s">
        <v>366</v>
      </c>
      <c r="F7334" t="s">
        <v>53</v>
      </c>
      <c r="G7334" t="s">
        <v>52</v>
      </c>
      <c r="H7334" t="str">
        <f>" "</f>
        <v xml:space="preserve"> </v>
      </c>
      <c r="N7334" t="s">
        <v>1525</v>
      </c>
      <c r="O7334" t="s">
        <v>1526</v>
      </c>
      <c r="R7334" t="s">
        <v>57</v>
      </c>
      <c r="S7334">
        <v>16</v>
      </c>
      <c r="T7334">
        <v>161</v>
      </c>
      <c r="U7334" s="1">
        <v>33119</v>
      </c>
      <c r="V7334" t="s">
        <v>80</v>
      </c>
      <c r="W7334" t="s">
        <v>81</v>
      </c>
      <c r="X7334" t="s">
        <v>58</v>
      </c>
      <c r="Y7334">
        <v>25</v>
      </c>
      <c r="Z7334" t="s">
        <v>59</v>
      </c>
      <c r="AA7334" t="s">
        <v>59</v>
      </c>
      <c r="AB7334" t="s">
        <v>59</v>
      </c>
      <c r="AC7334" t="s">
        <v>59</v>
      </c>
      <c r="AD7334" t="s">
        <v>59</v>
      </c>
      <c r="AF7334" s="1">
        <v>33119</v>
      </c>
      <c r="AG7334" t="s">
        <v>8651</v>
      </c>
      <c r="AH7334" t="s">
        <v>8652</v>
      </c>
      <c r="AI7334" t="str">
        <f>"9170576"</f>
        <v>9170576</v>
      </c>
      <c r="AJ7334" t="s">
        <v>8858</v>
      </c>
      <c r="AK7334">
        <v>2810240001</v>
      </c>
      <c r="AL7334" t="s">
        <v>8859</v>
      </c>
      <c r="AM7334" t="s">
        <v>78</v>
      </c>
      <c r="AN7334" t="s">
        <v>78</v>
      </c>
      <c r="AO7334" t="s">
        <v>286</v>
      </c>
      <c r="AP7334" t="s">
        <v>286</v>
      </c>
      <c r="AQ7334">
        <v>1</v>
      </c>
      <c r="AR7334" t="s">
        <v>80</v>
      </c>
      <c r="AS7334" t="s">
        <v>81</v>
      </c>
      <c r="AT7334" t="s">
        <v>58</v>
      </c>
      <c r="AU7334" t="s">
        <v>68</v>
      </c>
      <c r="AV7334" t="s">
        <v>69</v>
      </c>
      <c r="AW7334" s="1">
        <v>23528</v>
      </c>
      <c r="AX7334">
        <v>1</v>
      </c>
    </row>
    <row r="7335" spans="1:50">
      <c r="B7335" t="str">
        <f>"144320659"</f>
        <v>144320659</v>
      </c>
      <c r="C7335" t="s">
        <v>50</v>
      </c>
      <c r="D7335" t="s">
        <v>5564</v>
      </c>
      <c r="E7335" t="s">
        <v>52</v>
      </c>
      <c r="F7335" t="s">
        <v>95</v>
      </c>
      <c r="G7335" t="s">
        <v>250</v>
      </c>
      <c r="H7335" t="str">
        <f>"ΕΡΥΘΡΑΙΑΣ 140 ΗΡΑΚΛΕΙΟ"</f>
        <v>ΕΡΥΘΡΑΙΑΣ 140 ΗΡΑΚΛΕΙΟ</v>
      </c>
      <c r="I7335">
        <v>71409</v>
      </c>
      <c r="J7335">
        <v>2810320804</v>
      </c>
      <c r="K7335">
        <v>6948241070</v>
      </c>
      <c r="N7335" t="s">
        <v>615</v>
      </c>
      <c r="O7335" t="s">
        <v>616</v>
      </c>
      <c r="R7335" t="s">
        <v>159</v>
      </c>
      <c r="S7335">
        <v>4</v>
      </c>
      <c r="T7335" t="s">
        <v>8675</v>
      </c>
      <c r="U7335" s="1">
        <v>43348</v>
      </c>
      <c r="V7335" t="s">
        <v>80</v>
      </c>
      <c r="W7335" t="s">
        <v>81</v>
      </c>
      <c r="X7335" t="s">
        <v>58</v>
      </c>
      <c r="Y7335">
        <v>24</v>
      </c>
      <c r="Z7335" t="s">
        <v>59</v>
      </c>
      <c r="AA7335" t="s">
        <v>59</v>
      </c>
      <c r="AB7335" t="s">
        <v>59</v>
      </c>
      <c r="AC7335" t="s">
        <v>59</v>
      </c>
      <c r="AD7335" t="s">
        <v>59</v>
      </c>
      <c r="AF7335" s="1">
        <v>43348</v>
      </c>
      <c r="AG7335" t="s">
        <v>8645</v>
      </c>
      <c r="AH7335" t="s">
        <v>8646</v>
      </c>
      <c r="AI7335" t="str">
        <f>"9170144"</f>
        <v>9170144</v>
      </c>
      <c r="AJ7335" t="s">
        <v>8729</v>
      </c>
      <c r="AK7335">
        <v>2891022244</v>
      </c>
      <c r="AL7335" t="s">
        <v>8730</v>
      </c>
      <c r="AM7335" t="s">
        <v>78</v>
      </c>
      <c r="AN7335" t="s">
        <v>276</v>
      </c>
      <c r="AO7335" t="s">
        <v>490</v>
      </c>
      <c r="AP7335" t="s">
        <v>490</v>
      </c>
      <c r="AQ7335">
        <v>12</v>
      </c>
      <c r="AR7335" t="s">
        <v>80</v>
      </c>
      <c r="AS7335" t="s">
        <v>81</v>
      </c>
      <c r="AT7335" t="s">
        <v>58</v>
      </c>
      <c r="AU7335" t="s">
        <v>8673</v>
      </c>
      <c r="AV7335" t="s">
        <v>132</v>
      </c>
      <c r="AW7335" s="1">
        <v>32586</v>
      </c>
      <c r="AX7335">
        <v>1</v>
      </c>
    </row>
    <row r="7336" spans="1:50">
      <c r="A7336">
        <v>700606</v>
      </c>
      <c r="B7336" t="str">
        <f>"120229163"</f>
        <v>120229163</v>
      </c>
      <c r="C7336" t="s">
        <v>50</v>
      </c>
      <c r="D7336" t="s">
        <v>5566</v>
      </c>
      <c r="E7336" t="s">
        <v>109</v>
      </c>
      <c r="F7336" t="s">
        <v>72</v>
      </c>
      <c r="G7336" t="s">
        <v>316</v>
      </c>
      <c r="H7336" t="str">
        <f>"ΒΡΙΤΟΜΑΡΤΙΔΟΣ 4 ΗΡΑΚΛΕΙΟ"</f>
        <v>ΒΡΙΤΟΜΑΡΤΙΔΟΣ 4 ΗΡΑΚΛΕΙΟ</v>
      </c>
      <c r="I7336">
        <v>71307</v>
      </c>
      <c r="J7336">
        <v>2821052109</v>
      </c>
      <c r="K7336">
        <v>6939610194</v>
      </c>
      <c r="N7336" t="s">
        <v>337</v>
      </c>
      <c r="O7336" t="s">
        <v>338</v>
      </c>
      <c r="R7336" t="s">
        <v>57</v>
      </c>
      <c r="S7336">
        <v>6</v>
      </c>
      <c r="T7336" t="s">
        <v>11718</v>
      </c>
      <c r="U7336" s="1">
        <v>40410</v>
      </c>
      <c r="V7336" t="s">
        <v>80</v>
      </c>
      <c r="W7336" t="s">
        <v>81</v>
      </c>
      <c r="X7336" t="s">
        <v>58</v>
      </c>
      <c r="Y7336">
        <v>23</v>
      </c>
      <c r="Z7336" t="s">
        <v>59</v>
      </c>
      <c r="AA7336" t="s">
        <v>59</v>
      </c>
      <c r="AB7336" t="s">
        <v>59</v>
      </c>
      <c r="AC7336" t="s">
        <v>59</v>
      </c>
      <c r="AD7336" t="s">
        <v>59</v>
      </c>
      <c r="AF7336" s="1">
        <v>40413</v>
      </c>
      <c r="AG7336" t="s">
        <v>8645</v>
      </c>
      <c r="AH7336" t="s">
        <v>8646</v>
      </c>
      <c r="AI7336" t="str">
        <f>"9170516"</f>
        <v>9170516</v>
      </c>
      <c r="AJ7336" t="s">
        <v>8746</v>
      </c>
      <c r="AK7336">
        <v>2810236861</v>
      </c>
      <c r="AL7336" t="s">
        <v>8747</v>
      </c>
      <c r="AM7336" t="s">
        <v>78</v>
      </c>
      <c r="AN7336" t="s">
        <v>78</v>
      </c>
      <c r="AO7336" t="s">
        <v>78</v>
      </c>
      <c r="AP7336" t="s">
        <v>163</v>
      </c>
      <c r="AQ7336">
        <v>1</v>
      </c>
      <c r="AR7336" t="s">
        <v>80</v>
      </c>
      <c r="AS7336" t="s">
        <v>81</v>
      </c>
      <c r="AT7336" t="s">
        <v>58</v>
      </c>
      <c r="AU7336" t="s">
        <v>68</v>
      </c>
      <c r="AV7336" t="s">
        <v>69</v>
      </c>
      <c r="AW7336" s="1">
        <v>29677</v>
      </c>
      <c r="AX7336">
        <v>1</v>
      </c>
    </row>
    <row r="7337" spans="1:50">
      <c r="B7337" t="str">
        <f>"028398091"</f>
        <v>028398091</v>
      </c>
      <c r="C7337" t="s">
        <v>105</v>
      </c>
      <c r="D7337" t="s">
        <v>11719</v>
      </c>
      <c r="E7337" t="s">
        <v>106</v>
      </c>
      <c r="F7337" t="s">
        <v>450</v>
      </c>
      <c r="H7337" t="str">
        <f>"Ρ.Φεραίου 10 Χαϊδάρι/Αθήνα"</f>
        <v>Ρ.Φεραίου 10 Χαϊδάρι/Αθήνα</v>
      </c>
      <c r="K7337">
        <v>6979152523</v>
      </c>
      <c r="M7337" t="s">
        <v>11720</v>
      </c>
      <c r="N7337" t="s">
        <v>836</v>
      </c>
      <c r="O7337" t="s">
        <v>837</v>
      </c>
      <c r="R7337" t="s">
        <v>159</v>
      </c>
      <c r="S7337">
        <v>1</v>
      </c>
      <c r="T7337" t="s">
        <v>8675</v>
      </c>
      <c r="U7337" s="1">
        <v>43348</v>
      </c>
      <c r="V7337" t="s">
        <v>80</v>
      </c>
      <c r="W7337" t="s">
        <v>81</v>
      </c>
      <c r="X7337" t="s">
        <v>58</v>
      </c>
      <c r="Y7337">
        <v>24</v>
      </c>
      <c r="Z7337" t="s">
        <v>59</v>
      </c>
      <c r="AA7337" t="s">
        <v>59</v>
      </c>
      <c r="AB7337" t="s">
        <v>59</v>
      </c>
      <c r="AC7337" t="s">
        <v>59</v>
      </c>
      <c r="AD7337" t="s">
        <v>59</v>
      </c>
      <c r="AF7337" s="1">
        <v>43348</v>
      </c>
      <c r="AG7337" t="s">
        <v>8645</v>
      </c>
      <c r="AH7337" t="s">
        <v>8646</v>
      </c>
      <c r="AI7337" t="str">
        <f>"9170533"</f>
        <v>9170533</v>
      </c>
      <c r="AJ7337" t="s">
        <v>9091</v>
      </c>
      <c r="AK7337">
        <v>2810239434</v>
      </c>
      <c r="AL7337" t="s">
        <v>9092</v>
      </c>
      <c r="AM7337" t="s">
        <v>78</v>
      </c>
      <c r="AN7337" t="s">
        <v>78</v>
      </c>
      <c r="AO7337" t="s">
        <v>78</v>
      </c>
      <c r="AP7337" t="s">
        <v>163</v>
      </c>
      <c r="AQ7337">
        <v>1</v>
      </c>
      <c r="AR7337" t="s">
        <v>80</v>
      </c>
      <c r="AS7337" t="s">
        <v>81</v>
      </c>
      <c r="AT7337" t="s">
        <v>58</v>
      </c>
      <c r="AU7337" t="s">
        <v>8673</v>
      </c>
      <c r="AV7337" t="s">
        <v>132</v>
      </c>
      <c r="AW7337" s="1">
        <v>20336</v>
      </c>
      <c r="AX7337">
        <v>1</v>
      </c>
    </row>
    <row r="7338" spans="1:50">
      <c r="B7338" t="str">
        <f>"119793594"</f>
        <v>119793594</v>
      </c>
      <c r="C7338" t="s">
        <v>50</v>
      </c>
      <c r="D7338" t="s">
        <v>4199</v>
      </c>
      <c r="E7338" t="s">
        <v>476</v>
      </c>
      <c r="F7338" t="s">
        <v>1357</v>
      </c>
      <c r="G7338" t="s">
        <v>484</v>
      </c>
      <c r="H7338" t="str">
        <f>"ΤΥΡΟΛΟΗΣ  12 ΘΕΣΣΑΛΟΝΙΚΗ"</f>
        <v>ΤΥΡΟΛΟΗΣ  12 ΘΕΣΣΑΛΟΝΙΚΗ</v>
      </c>
      <c r="I7338">
        <v>54351</v>
      </c>
      <c r="J7338">
        <v>2310942017</v>
      </c>
      <c r="K7338">
        <v>6934027036</v>
      </c>
      <c r="L7338">
        <v>6978139905</v>
      </c>
      <c r="M7338" t="s">
        <v>11721</v>
      </c>
      <c r="N7338" t="s">
        <v>1525</v>
      </c>
      <c r="O7338" t="s">
        <v>1526</v>
      </c>
      <c r="R7338" t="s">
        <v>159</v>
      </c>
      <c r="S7338">
        <v>3</v>
      </c>
      <c r="T7338" t="s">
        <v>8670</v>
      </c>
      <c r="U7338" s="1">
        <v>43348</v>
      </c>
      <c r="V7338" t="s">
        <v>80</v>
      </c>
      <c r="W7338" t="s">
        <v>81</v>
      </c>
      <c r="X7338" t="s">
        <v>58</v>
      </c>
      <c r="Y7338">
        <v>25</v>
      </c>
      <c r="Z7338" t="s">
        <v>59</v>
      </c>
      <c r="AA7338" t="s">
        <v>59</v>
      </c>
      <c r="AB7338" t="s">
        <v>59</v>
      </c>
      <c r="AC7338" t="s">
        <v>59</v>
      </c>
      <c r="AD7338" t="s">
        <v>59</v>
      </c>
      <c r="AF7338" s="1">
        <v>43348</v>
      </c>
      <c r="AG7338" t="s">
        <v>8651</v>
      </c>
      <c r="AH7338" t="s">
        <v>8652</v>
      </c>
      <c r="AI7338" t="str">
        <f>"9170357"</f>
        <v>9170357</v>
      </c>
      <c r="AJ7338" t="s">
        <v>9323</v>
      </c>
      <c r="AK7338">
        <v>2894031009</v>
      </c>
      <c r="AL7338" t="s">
        <v>9324</v>
      </c>
      <c r="AM7338" t="s">
        <v>78</v>
      </c>
      <c r="AN7338" t="s">
        <v>242</v>
      </c>
      <c r="AO7338" t="s">
        <v>999</v>
      </c>
      <c r="AP7338" t="s">
        <v>999</v>
      </c>
      <c r="AQ7338">
        <v>21</v>
      </c>
      <c r="AR7338" t="s">
        <v>80</v>
      </c>
      <c r="AS7338" t="s">
        <v>81</v>
      </c>
      <c r="AT7338" t="s">
        <v>58</v>
      </c>
      <c r="AU7338" t="s">
        <v>8673</v>
      </c>
      <c r="AV7338" t="s">
        <v>132</v>
      </c>
      <c r="AW7338" s="1">
        <v>30599</v>
      </c>
      <c r="AX7338">
        <v>1</v>
      </c>
    </row>
    <row r="7339" spans="1:50">
      <c r="A7339">
        <v>700039</v>
      </c>
      <c r="B7339" t="str">
        <f>"072236646"</f>
        <v>072236646</v>
      </c>
      <c r="C7339" t="s">
        <v>50</v>
      </c>
      <c r="D7339" t="s">
        <v>4199</v>
      </c>
      <c r="E7339" t="s">
        <v>529</v>
      </c>
      <c r="F7339" t="s">
        <v>95</v>
      </c>
      <c r="G7339" t="s">
        <v>238</v>
      </c>
      <c r="H7339" t="str">
        <f>"ΘΕΝΩΝ ΚΑΙ ΜΙΝΩΟΣ ΗΡΑΚΛΕΙΟ"</f>
        <v>ΘΕΝΩΝ ΚΑΙ ΜΙΝΩΟΣ ΗΡΑΚΛΕΙΟ</v>
      </c>
      <c r="I7339">
        <v>71305</v>
      </c>
      <c r="J7339">
        <v>2810262007</v>
      </c>
      <c r="K7339">
        <v>6973266740</v>
      </c>
      <c r="N7339" t="s">
        <v>615</v>
      </c>
      <c r="O7339" t="s">
        <v>616</v>
      </c>
      <c r="P7339" t="s">
        <v>176</v>
      </c>
      <c r="Q7339" t="s">
        <v>177</v>
      </c>
      <c r="R7339" t="s">
        <v>57</v>
      </c>
      <c r="S7339">
        <v>4</v>
      </c>
      <c r="T7339">
        <v>772</v>
      </c>
      <c r="U7339" s="1">
        <v>40413</v>
      </c>
      <c r="V7339" t="s">
        <v>80</v>
      </c>
      <c r="W7339" t="s">
        <v>81</v>
      </c>
      <c r="X7339" t="s">
        <v>58</v>
      </c>
      <c r="Y7339">
        <v>24</v>
      </c>
      <c r="Z7339" t="s">
        <v>59</v>
      </c>
      <c r="AA7339" t="s">
        <v>59</v>
      </c>
      <c r="AB7339" t="s">
        <v>59</v>
      </c>
      <c r="AC7339" t="s">
        <v>59</v>
      </c>
      <c r="AD7339" t="s">
        <v>59</v>
      </c>
      <c r="AF7339" s="1">
        <v>40413</v>
      </c>
      <c r="AG7339" t="s">
        <v>8645</v>
      </c>
      <c r="AH7339" t="s">
        <v>8646</v>
      </c>
      <c r="AI7339" t="str">
        <f>"9170114"</f>
        <v>9170114</v>
      </c>
      <c r="AJ7339" t="s">
        <v>9613</v>
      </c>
      <c r="AK7339">
        <v>2810241054</v>
      </c>
      <c r="AL7339" t="s">
        <v>9614</v>
      </c>
      <c r="AM7339" t="s">
        <v>78</v>
      </c>
      <c r="AN7339" t="s">
        <v>78</v>
      </c>
      <c r="AO7339" t="s">
        <v>78</v>
      </c>
      <c r="AP7339" t="s">
        <v>79</v>
      </c>
      <c r="AQ7339">
        <v>1</v>
      </c>
      <c r="AR7339" t="s">
        <v>80</v>
      </c>
      <c r="AS7339" t="s">
        <v>81</v>
      </c>
      <c r="AT7339" t="s">
        <v>58</v>
      </c>
      <c r="AU7339" t="s">
        <v>68</v>
      </c>
      <c r="AV7339" t="s">
        <v>69</v>
      </c>
      <c r="AW7339" s="1">
        <v>25414</v>
      </c>
      <c r="AX7339">
        <v>1</v>
      </c>
    </row>
    <row r="7340" spans="1:50">
      <c r="A7340">
        <v>621539</v>
      </c>
      <c r="B7340" t="str">
        <f>"129444710"</f>
        <v>129444710</v>
      </c>
      <c r="C7340" t="s">
        <v>50</v>
      </c>
      <c r="D7340" t="s">
        <v>11722</v>
      </c>
      <c r="E7340" t="s">
        <v>250</v>
      </c>
      <c r="F7340" t="s">
        <v>84</v>
      </c>
      <c r="G7340" t="s">
        <v>155</v>
      </c>
      <c r="H7340" t="str">
        <f>"ΠΕΖΑ ΗΡΑΚΛΕΙΟΥ "</f>
        <v xml:space="preserve">ΠΕΖΑ ΗΡΑΚΛΕΙΟΥ </v>
      </c>
      <c r="I7340">
        <v>70100</v>
      </c>
      <c r="J7340">
        <v>2810741575</v>
      </c>
      <c r="K7340">
        <v>6947780618</v>
      </c>
      <c r="N7340" t="s">
        <v>615</v>
      </c>
      <c r="O7340" t="s">
        <v>616</v>
      </c>
      <c r="R7340" t="s">
        <v>57</v>
      </c>
      <c r="S7340">
        <v>4</v>
      </c>
      <c r="T7340">
        <v>653</v>
      </c>
      <c r="U7340" s="1">
        <v>40043</v>
      </c>
      <c r="V7340" t="s">
        <v>80</v>
      </c>
      <c r="W7340" t="s">
        <v>81</v>
      </c>
      <c r="X7340" t="s">
        <v>58</v>
      </c>
      <c r="Y7340">
        <v>23</v>
      </c>
      <c r="Z7340" t="s">
        <v>59</v>
      </c>
      <c r="AA7340" t="s">
        <v>59</v>
      </c>
      <c r="AB7340" t="s">
        <v>59</v>
      </c>
      <c r="AC7340" t="s">
        <v>59</v>
      </c>
      <c r="AD7340" t="s">
        <v>59</v>
      </c>
      <c r="AF7340" s="1">
        <v>40043</v>
      </c>
      <c r="AG7340" t="s">
        <v>8645</v>
      </c>
      <c r="AH7340" t="s">
        <v>8646</v>
      </c>
      <c r="AI7340" t="str">
        <f>"9170200"</f>
        <v>9170200</v>
      </c>
      <c r="AJ7340" t="s">
        <v>9589</v>
      </c>
      <c r="AK7340">
        <v>2810741264</v>
      </c>
      <c r="AL7340" t="s">
        <v>9590</v>
      </c>
      <c r="AM7340" t="s">
        <v>78</v>
      </c>
      <c r="AN7340" t="s">
        <v>424</v>
      </c>
      <c r="AO7340" t="s">
        <v>428</v>
      </c>
      <c r="AP7340" t="s">
        <v>9591</v>
      </c>
      <c r="AQ7340">
        <v>11</v>
      </c>
      <c r="AR7340" t="s">
        <v>80</v>
      </c>
      <c r="AS7340" t="s">
        <v>81</v>
      </c>
      <c r="AT7340" t="s">
        <v>58</v>
      </c>
      <c r="AU7340" t="s">
        <v>68</v>
      </c>
      <c r="AV7340" t="s">
        <v>69</v>
      </c>
      <c r="AW7340" s="1">
        <v>31815</v>
      </c>
      <c r="AX7340">
        <v>1</v>
      </c>
    </row>
    <row r="7341" spans="1:50">
      <c r="A7341">
        <v>600804</v>
      </c>
      <c r="B7341" t="str">
        <f>"114264609"</f>
        <v>114264609</v>
      </c>
      <c r="C7341" t="s">
        <v>50</v>
      </c>
      <c r="D7341" t="s">
        <v>11722</v>
      </c>
      <c r="E7341" t="s">
        <v>255</v>
      </c>
      <c r="F7341" t="s">
        <v>106</v>
      </c>
      <c r="G7341" t="s">
        <v>52</v>
      </c>
      <c r="H7341" t="str">
        <f>" "</f>
        <v xml:space="preserve"> </v>
      </c>
      <c r="J7341">
        <v>2810288925</v>
      </c>
      <c r="K7341">
        <v>6945339869</v>
      </c>
      <c r="N7341" t="s">
        <v>615</v>
      </c>
      <c r="O7341" t="s">
        <v>616</v>
      </c>
      <c r="R7341" t="s">
        <v>57</v>
      </c>
      <c r="S7341">
        <v>8</v>
      </c>
      <c r="T7341">
        <v>207</v>
      </c>
      <c r="U7341" s="1">
        <v>37866</v>
      </c>
      <c r="V7341" t="s">
        <v>80</v>
      </c>
      <c r="W7341" t="s">
        <v>81</v>
      </c>
      <c r="X7341" t="s">
        <v>58</v>
      </c>
      <c r="Y7341">
        <v>22</v>
      </c>
      <c r="Z7341" t="s">
        <v>59</v>
      </c>
      <c r="AA7341" t="s">
        <v>59</v>
      </c>
      <c r="AB7341" t="s">
        <v>59</v>
      </c>
      <c r="AC7341" t="s">
        <v>59</v>
      </c>
      <c r="AD7341" t="s">
        <v>59</v>
      </c>
      <c r="AF7341" s="1">
        <v>37866</v>
      </c>
      <c r="AG7341" t="s">
        <v>8645</v>
      </c>
      <c r="AH7341" t="s">
        <v>8646</v>
      </c>
      <c r="AI7341" t="str">
        <f>"9170200"</f>
        <v>9170200</v>
      </c>
      <c r="AJ7341" t="s">
        <v>9589</v>
      </c>
      <c r="AK7341">
        <v>2810741264</v>
      </c>
      <c r="AL7341" t="s">
        <v>9590</v>
      </c>
      <c r="AM7341" t="s">
        <v>78</v>
      </c>
      <c r="AN7341" t="s">
        <v>424</v>
      </c>
      <c r="AO7341" t="s">
        <v>428</v>
      </c>
      <c r="AP7341" t="s">
        <v>9591</v>
      </c>
      <c r="AQ7341">
        <v>11</v>
      </c>
      <c r="AR7341" t="s">
        <v>80</v>
      </c>
      <c r="AS7341" t="s">
        <v>81</v>
      </c>
      <c r="AT7341" t="s">
        <v>58</v>
      </c>
      <c r="AU7341" t="s">
        <v>68</v>
      </c>
      <c r="AV7341" t="s">
        <v>69</v>
      </c>
      <c r="AW7341" s="1">
        <v>26676</v>
      </c>
      <c r="AX7341">
        <v>1</v>
      </c>
    </row>
    <row r="7342" spans="1:50">
      <c r="B7342" t="str">
        <f>"074731296"</f>
        <v>074731296</v>
      </c>
      <c r="C7342" t="s">
        <v>50</v>
      </c>
      <c r="D7342" t="s">
        <v>11723</v>
      </c>
      <c r="E7342" t="s">
        <v>507</v>
      </c>
      <c r="F7342" t="s">
        <v>99</v>
      </c>
      <c r="G7342" t="s">
        <v>109</v>
      </c>
      <c r="H7342" t="str">
        <f>"ΝΑΟΥΣΗΣ 32 "</f>
        <v xml:space="preserve">ΝΑΟΥΣΗΣ 32 </v>
      </c>
      <c r="I7342">
        <v>59300</v>
      </c>
      <c r="J7342">
        <v>2333026584</v>
      </c>
      <c r="K7342">
        <v>6976047890</v>
      </c>
      <c r="N7342" t="s">
        <v>1525</v>
      </c>
      <c r="O7342" t="s">
        <v>1526</v>
      </c>
      <c r="R7342" t="s">
        <v>159</v>
      </c>
      <c r="S7342">
        <v>4</v>
      </c>
      <c r="T7342" t="s">
        <v>8670</v>
      </c>
      <c r="U7342" s="1">
        <v>43348</v>
      </c>
      <c r="V7342" t="s">
        <v>80</v>
      </c>
      <c r="W7342" t="s">
        <v>81</v>
      </c>
      <c r="X7342" t="s">
        <v>58</v>
      </c>
      <c r="Y7342">
        <v>25</v>
      </c>
      <c r="Z7342" t="s">
        <v>59</v>
      </c>
      <c r="AA7342" t="s">
        <v>59</v>
      </c>
      <c r="AB7342" t="s">
        <v>59</v>
      </c>
      <c r="AC7342" t="s">
        <v>59</v>
      </c>
      <c r="AD7342" t="s">
        <v>59</v>
      </c>
      <c r="AF7342" s="1">
        <v>43348</v>
      </c>
      <c r="AG7342" t="s">
        <v>8651</v>
      </c>
      <c r="AH7342" t="s">
        <v>8652</v>
      </c>
      <c r="AI7342" t="str">
        <f>"9170570"</f>
        <v>9170570</v>
      </c>
      <c r="AJ7342" t="s">
        <v>10584</v>
      </c>
      <c r="AK7342">
        <v>2810318507</v>
      </c>
      <c r="AL7342" t="s">
        <v>10585</v>
      </c>
      <c r="AM7342" t="s">
        <v>78</v>
      </c>
      <c r="AN7342" t="s">
        <v>129</v>
      </c>
      <c r="AO7342" t="s">
        <v>130</v>
      </c>
      <c r="AP7342" t="s">
        <v>130</v>
      </c>
      <c r="AQ7342">
        <v>1</v>
      </c>
      <c r="AR7342" t="s">
        <v>80</v>
      </c>
      <c r="AS7342" t="s">
        <v>81</v>
      </c>
      <c r="AT7342" t="s">
        <v>58</v>
      </c>
      <c r="AU7342" t="s">
        <v>8673</v>
      </c>
      <c r="AV7342" t="s">
        <v>132</v>
      </c>
      <c r="AW7342" s="1">
        <v>28429</v>
      </c>
      <c r="AX7342">
        <v>1</v>
      </c>
    </row>
    <row r="7343" spans="1:50">
      <c r="A7343">
        <v>597001</v>
      </c>
      <c r="B7343" t="str">
        <f>"077601981"</f>
        <v>077601981</v>
      </c>
      <c r="C7343" t="s">
        <v>50</v>
      </c>
      <c r="D7343" t="s">
        <v>11724</v>
      </c>
      <c r="E7343" t="s">
        <v>83</v>
      </c>
      <c r="F7343" t="s">
        <v>99</v>
      </c>
      <c r="G7343" t="s">
        <v>52</v>
      </c>
      <c r="H7343" t="str">
        <f>"ΚΟΡΙΝΘΙΟΥ 22 ΗΡΑΚΛΕΙΟ"</f>
        <v>ΚΟΡΙΝΘΙΟΥ 22 ΗΡΑΚΛΕΙΟ</v>
      </c>
      <c r="I7343">
        <v>71409</v>
      </c>
      <c r="J7343">
        <v>2810320036</v>
      </c>
      <c r="K7343">
        <v>6976511936</v>
      </c>
      <c r="N7343" t="s">
        <v>1525</v>
      </c>
      <c r="O7343" t="s">
        <v>1526</v>
      </c>
      <c r="R7343" t="s">
        <v>57</v>
      </c>
      <c r="S7343">
        <v>8</v>
      </c>
      <c r="T7343">
        <v>195</v>
      </c>
      <c r="U7343" s="1">
        <v>37503</v>
      </c>
      <c r="V7343" t="s">
        <v>80</v>
      </c>
      <c r="W7343" t="s">
        <v>81</v>
      </c>
      <c r="X7343" t="s">
        <v>58</v>
      </c>
      <c r="Y7343">
        <v>25</v>
      </c>
      <c r="Z7343" t="s">
        <v>59</v>
      </c>
      <c r="AA7343" t="s">
        <v>59</v>
      </c>
      <c r="AB7343" t="s">
        <v>59</v>
      </c>
      <c r="AC7343" t="s">
        <v>59</v>
      </c>
      <c r="AD7343" t="s">
        <v>59</v>
      </c>
      <c r="AF7343" s="1">
        <v>37503</v>
      </c>
      <c r="AG7343" t="s">
        <v>8651</v>
      </c>
      <c r="AH7343" t="s">
        <v>8652</v>
      </c>
      <c r="AI7343" t="str">
        <f>"9170563"</f>
        <v>9170563</v>
      </c>
      <c r="AJ7343" t="s">
        <v>10119</v>
      </c>
      <c r="AK7343">
        <v>2810211027</v>
      </c>
      <c r="AL7343" t="s">
        <v>10120</v>
      </c>
      <c r="AM7343" t="s">
        <v>78</v>
      </c>
      <c r="AN7343" t="s">
        <v>78</v>
      </c>
      <c r="AO7343" t="s">
        <v>78</v>
      </c>
      <c r="AP7343" t="s">
        <v>79</v>
      </c>
      <c r="AQ7343">
        <v>1</v>
      </c>
      <c r="AR7343" t="s">
        <v>80</v>
      </c>
      <c r="AS7343" t="s">
        <v>81</v>
      </c>
      <c r="AT7343" t="s">
        <v>58</v>
      </c>
      <c r="AU7343" t="s">
        <v>68</v>
      </c>
      <c r="AV7343" t="s">
        <v>69</v>
      </c>
      <c r="AW7343" s="1">
        <v>26151</v>
      </c>
      <c r="AX7343">
        <v>1</v>
      </c>
    </row>
    <row r="7344" spans="1:50">
      <c r="A7344">
        <v>581414</v>
      </c>
      <c r="B7344" t="str">
        <f>"068053046"</f>
        <v>068053046</v>
      </c>
      <c r="C7344" t="s">
        <v>50</v>
      </c>
      <c r="D7344" t="s">
        <v>11725</v>
      </c>
      <c r="E7344" t="s">
        <v>372</v>
      </c>
      <c r="F7344" t="s">
        <v>760</v>
      </c>
      <c r="G7344" t="s">
        <v>484</v>
      </c>
      <c r="H7344" t="str">
        <f>" "</f>
        <v xml:space="preserve"> </v>
      </c>
      <c r="N7344" t="s">
        <v>615</v>
      </c>
      <c r="O7344" t="s">
        <v>616</v>
      </c>
      <c r="R7344" t="s">
        <v>57</v>
      </c>
      <c r="S7344">
        <v>12</v>
      </c>
      <c r="T7344">
        <v>179</v>
      </c>
      <c r="U7344" s="1">
        <v>35674</v>
      </c>
      <c r="V7344" t="s">
        <v>80</v>
      </c>
      <c r="W7344" t="s">
        <v>81</v>
      </c>
      <c r="X7344" t="s">
        <v>58</v>
      </c>
      <c r="Y7344">
        <v>21</v>
      </c>
      <c r="Z7344" t="s">
        <v>59</v>
      </c>
      <c r="AA7344" t="s">
        <v>59</v>
      </c>
      <c r="AB7344" t="s">
        <v>59</v>
      </c>
      <c r="AC7344" t="s">
        <v>59</v>
      </c>
      <c r="AD7344" t="s">
        <v>59</v>
      </c>
      <c r="AF7344" s="1">
        <v>35678</v>
      </c>
      <c r="AG7344" t="s">
        <v>8645</v>
      </c>
      <c r="AH7344" t="s">
        <v>8646</v>
      </c>
      <c r="AI7344" t="str">
        <f>"9170132"</f>
        <v>9170132</v>
      </c>
      <c r="AJ7344" t="s">
        <v>9010</v>
      </c>
      <c r="AK7344">
        <v>2895022233</v>
      </c>
      <c r="AL7344" t="s">
        <v>9011</v>
      </c>
      <c r="AM7344" t="s">
        <v>78</v>
      </c>
      <c r="AN7344" t="s">
        <v>482</v>
      </c>
      <c r="AO7344" t="s">
        <v>482</v>
      </c>
      <c r="AP7344" t="s">
        <v>483</v>
      </c>
      <c r="AQ7344">
        <v>14</v>
      </c>
      <c r="AR7344" t="s">
        <v>80</v>
      </c>
      <c r="AS7344" t="s">
        <v>81</v>
      </c>
      <c r="AT7344" t="s">
        <v>58</v>
      </c>
      <c r="AU7344" t="s">
        <v>68</v>
      </c>
      <c r="AV7344" t="s">
        <v>69</v>
      </c>
      <c r="AW7344" s="1">
        <v>24216</v>
      </c>
      <c r="AX7344">
        <v>1</v>
      </c>
    </row>
    <row r="7345" spans="1:50">
      <c r="B7345" t="str">
        <f>"110742983"</f>
        <v>110742983</v>
      </c>
      <c r="C7345" t="s">
        <v>50</v>
      </c>
      <c r="D7345" t="s">
        <v>4204</v>
      </c>
      <c r="E7345" t="s">
        <v>316</v>
      </c>
      <c r="F7345" t="s">
        <v>95</v>
      </c>
      <c r="G7345" t="s">
        <v>52</v>
      </c>
      <c r="H7345" t="str">
        <f>"ΜΕΓΑΛΗ ΒΡΥΣΗ "</f>
        <v xml:space="preserve">ΜΕΓΑΛΗ ΒΡΥΣΗ </v>
      </c>
      <c r="I7345">
        <v>70003</v>
      </c>
      <c r="J7345">
        <v>2894023284</v>
      </c>
      <c r="K7345">
        <v>6974015487</v>
      </c>
      <c r="N7345" t="s">
        <v>1525</v>
      </c>
      <c r="O7345" t="s">
        <v>1526</v>
      </c>
      <c r="R7345" t="s">
        <v>159</v>
      </c>
      <c r="S7345">
        <v>4</v>
      </c>
      <c r="T7345" t="s">
        <v>8670</v>
      </c>
      <c r="U7345" s="1">
        <v>43348</v>
      </c>
      <c r="V7345" t="s">
        <v>80</v>
      </c>
      <c r="W7345" t="s">
        <v>81</v>
      </c>
      <c r="X7345" t="s">
        <v>58</v>
      </c>
      <c r="Y7345">
        <v>25</v>
      </c>
      <c r="Z7345" t="s">
        <v>59</v>
      </c>
      <c r="AA7345" t="s">
        <v>59</v>
      </c>
      <c r="AB7345" t="s">
        <v>59</v>
      </c>
      <c r="AC7345" t="s">
        <v>59</v>
      </c>
      <c r="AD7345" t="s">
        <v>59</v>
      </c>
      <c r="AF7345" s="1">
        <v>43348</v>
      </c>
      <c r="AG7345" t="s">
        <v>8651</v>
      </c>
      <c r="AH7345" t="s">
        <v>8652</v>
      </c>
      <c r="AI7345" t="str">
        <f>"9170584"</f>
        <v>9170584</v>
      </c>
      <c r="AJ7345" t="s">
        <v>11726</v>
      </c>
      <c r="AK7345">
        <v>2894022251</v>
      </c>
      <c r="AL7345" t="s">
        <v>11727</v>
      </c>
      <c r="AM7345" t="s">
        <v>78</v>
      </c>
      <c r="AN7345" t="s">
        <v>405</v>
      </c>
      <c r="AO7345" t="s">
        <v>406</v>
      </c>
      <c r="AP7345" t="s">
        <v>406</v>
      </c>
      <c r="AQ7345">
        <v>6</v>
      </c>
      <c r="AR7345" t="s">
        <v>80</v>
      </c>
      <c r="AS7345" t="s">
        <v>81</v>
      </c>
      <c r="AT7345" t="s">
        <v>58</v>
      </c>
      <c r="AU7345" t="s">
        <v>8673</v>
      </c>
      <c r="AV7345" t="s">
        <v>132</v>
      </c>
      <c r="AW7345" s="1">
        <v>29693</v>
      </c>
      <c r="AX7345">
        <v>1</v>
      </c>
    </row>
    <row r="7346" spans="1:50">
      <c r="A7346">
        <v>700358</v>
      </c>
      <c r="B7346" t="str">
        <f>"064564408"</f>
        <v>064564408</v>
      </c>
      <c r="C7346" t="s">
        <v>50</v>
      </c>
      <c r="D7346" t="s">
        <v>4206</v>
      </c>
      <c r="E7346" t="s">
        <v>215</v>
      </c>
      <c r="F7346" t="s">
        <v>1585</v>
      </c>
      <c r="G7346" t="s">
        <v>52</v>
      </c>
      <c r="H7346" t="str">
        <f>"ΟΛΥΜΠΙΟΝΙΚΩΝ 41 ΗΡΑΚΛΕΙΟ"</f>
        <v>ΟΛΥΜΠΙΟΝΙΚΩΝ 41 ΗΡΑΚΛΕΙΟ</v>
      </c>
      <c r="I7346">
        <v>71304</v>
      </c>
      <c r="J7346">
        <v>2810250471</v>
      </c>
      <c r="K7346">
        <v>6937372708</v>
      </c>
      <c r="N7346" t="s">
        <v>615</v>
      </c>
      <c r="O7346" t="s">
        <v>616</v>
      </c>
      <c r="R7346" t="s">
        <v>57</v>
      </c>
      <c r="S7346">
        <v>4</v>
      </c>
      <c r="T7346">
        <v>772</v>
      </c>
      <c r="U7346" s="1">
        <v>40413</v>
      </c>
      <c r="V7346" t="s">
        <v>80</v>
      </c>
      <c r="W7346" t="s">
        <v>81</v>
      </c>
      <c r="X7346" t="s">
        <v>58</v>
      </c>
      <c r="Y7346">
        <v>24</v>
      </c>
      <c r="Z7346" t="s">
        <v>59</v>
      </c>
      <c r="AA7346" t="s">
        <v>59</v>
      </c>
      <c r="AB7346" t="s">
        <v>59</v>
      </c>
      <c r="AC7346" t="s">
        <v>59</v>
      </c>
      <c r="AD7346" t="s">
        <v>59</v>
      </c>
      <c r="AF7346" s="1">
        <v>40413</v>
      </c>
      <c r="AG7346" t="s">
        <v>8645</v>
      </c>
      <c r="AH7346" t="s">
        <v>8646</v>
      </c>
      <c r="AI7346" t="str">
        <f>"9170264"</f>
        <v>9170264</v>
      </c>
      <c r="AJ7346" t="s">
        <v>8718</v>
      </c>
      <c r="AK7346">
        <v>2810332030</v>
      </c>
      <c r="AL7346" t="s">
        <v>8719</v>
      </c>
      <c r="AM7346" t="s">
        <v>78</v>
      </c>
      <c r="AN7346" t="s">
        <v>78</v>
      </c>
      <c r="AO7346" t="s">
        <v>286</v>
      </c>
      <c r="AP7346" t="s">
        <v>286</v>
      </c>
      <c r="AQ7346">
        <v>1</v>
      </c>
      <c r="AR7346" t="s">
        <v>80</v>
      </c>
      <c r="AS7346" t="s">
        <v>81</v>
      </c>
      <c r="AT7346" t="s">
        <v>58</v>
      </c>
      <c r="AU7346" t="s">
        <v>68</v>
      </c>
      <c r="AV7346" t="s">
        <v>69</v>
      </c>
      <c r="AW7346" s="1">
        <v>30758</v>
      </c>
      <c r="AX7346">
        <v>1</v>
      </c>
    </row>
    <row r="7347" spans="1:50">
      <c r="A7347">
        <v>618094</v>
      </c>
      <c r="B7347" t="str">
        <f>"061508221"</f>
        <v>061508221</v>
      </c>
      <c r="C7347" t="s">
        <v>50</v>
      </c>
      <c r="D7347" t="s">
        <v>4206</v>
      </c>
      <c r="E7347" t="s">
        <v>52</v>
      </c>
      <c r="F7347" t="s">
        <v>670</v>
      </c>
      <c r="G7347" t="s">
        <v>4207</v>
      </c>
      <c r="H7347" t="str">
        <f>"ΑΡΧΙΜΗΔΟΥΣ 45Α Ν. ΑΛΙΚΑΡΝΑΣΣΟΣ"</f>
        <v>ΑΡΧΙΜΗΔΟΥΣ 45Α Ν. ΑΛΙΚΑΡΝΑΣΣΟΣ</v>
      </c>
      <c r="I7347">
        <v>71305</v>
      </c>
      <c r="J7347">
        <v>2810288193</v>
      </c>
      <c r="K7347">
        <v>6973616770</v>
      </c>
      <c r="N7347" t="s">
        <v>615</v>
      </c>
      <c r="O7347" t="s">
        <v>616</v>
      </c>
      <c r="R7347" t="s">
        <v>57</v>
      </c>
      <c r="S7347">
        <v>8</v>
      </c>
      <c r="T7347">
        <v>774</v>
      </c>
      <c r="U7347" s="1">
        <v>39680</v>
      </c>
      <c r="V7347" t="s">
        <v>80</v>
      </c>
      <c r="W7347" t="s">
        <v>81</v>
      </c>
      <c r="X7347" t="s">
        <v>58</v>
      </c>
      <c r="Y7347">
        <v>23</v>
      </c>
      <c r="Z7347" t="s">
        <v>59</v>
      </c>
      <c r="AA7347" t="s">
        <v>59</v>
      </c>
      <c r="AB7347" t="s">
        <v>59</v>
      </c>
      <c r="AC7347" t="s">
        <v>59</v>
      </c>
      <c r="AD7347" t="s">
        <v>59</v>
      </c>
      <c r="AF7347" s="1">
        <v>39681</v>
      </c>
      <c r="AG7347" t="s">
        <v>8645</v>
      </c>
      <c r="AH7347" t="s">
        <v>8646</v>
      </c>
      <c r="AI7347" t="str">
        <f>"9170427"</f>
        <v>9170427</v>
      </c>
      <c r="AJ7347" t="s">
        <v>8817</v>
      </c>
      <c r="AK7347">
        <v>2810220998</v>
      </c>
      <c r="AL7347" t="s">
        <v>8818</v>
      </c>
      <c r="AM7347" t="s">
        <v>78</v>
      </c>
      <c r="AN7347" t="s">
        <v>78</v>
      </c>
      <c r="AO7347" t="s">
        <v>286</v>
      </c>
      <c r="AP7347" t="s">
        <v>286</v>
      </c>
      <c r="AQ7347">
        <v>1</v>
      </c>
      <c r="AR7347" t="s">
        <v>80</v>
      </c>
      <c r="AS7347" t="s">
        <v>81</v>
      </c>
      <c r="AT7347" t="s">
        <v>58</v>
      </c>
      <c r="AU7347" t="s">
        <v>68</v>
      </c>
      <c r="AV7347" t="s">
        <v>69</v>
      </c>
      <c r="AW7347" s="1">
        <v>27470</v>
      </c>
      <c r="AX7347">
        <v>1</v>
      </c>
    </row>
    <row r="7348" spans="1:50">
      <c r="A7348">
        <v>700355</v>
      </c>
      <c r="B7348" t="str">
        <f>"137458671"</f>
        <v>137458671</v>
      </c>
      <c r="C7348" t="s">
        <v>50</v>
      </c>
      <c r="D7348" t="s">
        <v>11728</v>
      </c>
      <c r="E7348" t="s">
        <v>476</v>
      </c>
      <c r="F7348" t="s">
        <v>72</v>
      </c>
      <c r="G7348" t="s">
        <v>83</v>
      </c>
      <c r="H7348" t="str">
        <f>"ΖΩΡΖΗ 5 ΗΡΑΚΛΕΙΟ"</f>
        <v>ΖΩΡΖΗ 5 ΗΡΑΚΛΕΙΟ</v>
      </c>
      <c r="I7348">
        <v>71409</v>
      </c>
      <c r="J7348">
        <v>2810361110</v>
      </c>
      <c r="K7348">
        <v>6948262247</v>
      </c>
      <c r="M7348" t="s">
        <v>11729</v>
      </c>
      <c r="N7348" t="s">
        <v>615</v>
      </c>
      <c r="O7348" t="s">
        <v>616</v>
      </c>
      <c r="R7348" t="s">
        <v>57</v>
      </c>
      <c r="S7348">
        <v>4</v>
      </c>
      <c r="T7348">
        <v>772</v>
      </c>
      <c r="U7348" s="1">
        <v>40413</v>
      </c>
      <c r="V7348" t="s">
        <v>80</v>
      </c>
      <c r="W7348" t="s">
        <v>81</v>
      </c>
      <c r="X7348" t="s">
        <v>58</v>
      </c>
      <c r="Y7348">
        <v>23</v>
      </c>
      <c r="Z7348" t="s">
        <v>59</v>
      </c>
      <c r="AA7348" t="s">
        <v>59</v>
      </c>
      <c r="AB7348" t="s">
        <v>59</v>
      </c>
      <c r="AC7348" t="s">
        <v>59</v>
      </c>
      <c r="AD7348" t="s">
        <v>59</v>
      </c>
      <c r="AF7348" s="1">
        <v>40413</v>
      </c>
      <c r="AG7348" t="s">
        <v>8645</v>
      </c>
      <c r="AH7348" t="s">
        <v>8646</v>
      </c>
      <c r="AI7348" t="str">
        <f>"9170054"</f>
        <v>9170054</v>
      </c>
      <c r="AJ7348" t="s">
        <v>9106</v>
      </c>
      <c r="AK7348">
        <v>2810254527</v>
      </c>
      <c r="AL7348" t="s">
        <v>9107</v>
      </c>
      <c r="AM7348" t="s">
        <v>78</v>
      </c>
      <c r="AN7348" t="s">
        <v>78</v>
      </c>
      <c r="AO7348" t="s">
        <v>78</v>
      </c>
      <c r="AP7348" t="s">
        <v>163</v>
      </c>
      <c r="AQ7348">
        <v>1</v>
      </c>
      <c r="AR7348" t="s">
        <v>80</v>
      </c>
      <c r="AS7348" t="s">
        <v>81</v>
      </c>
      <c r="AT7348" t="s">
        <v>58</v>
      </c>
      <c r="AU7348" t="s">
        <v>68</v>
      </c>
      <c r="AV7348" t="s">
        <v>69</v>
      </c>
      <c r="AW7348" s="1">
        <v>30956</v>
      </c>
      <c r="AX7348">
        <v>1</v>
      </c>
    </row>
    <row r="7349" spans="1:50">
      <c r="A7349">
        <v>604094</v>
      </c>
      <c r="B7349" t="str">
        <f>"067762295"</f>
        <v>067762295</v>
      </c>
      <c r="C7349" t="s">
        <v>50</v>
      </c>
      <c r="D7349" t="s">
        <v>4210</v>
      </c>
      <c r="E7349" t="s">
        <v>714</v>
      </c>
      <c r="F7349" t="s">
        <v>670</v>
      </c>
      <c r="G7349" t="s">
        <v>600</v>
      </c>
      <c r="H7349" t="str">
        <f>"ΒΕΡΓΙΝΑΣ 2 ΗΡΑΚΛΕΙΟ"</f>
        <v>ΒΕΡΓΙΝΑΣ 2 ΗΡΑΚΛΕΙΟ</v>
      </c>
      <c r="I7349">
        <v>71409</v>
      </c>
      <c r="J7349">
        <v>2810326361</v>
      </c>
      <c r="K7349">
        <v>6945702453</v>
      </c>
      <c r="N7349" t="s">
        <v>615</v>
      </c>
      <c r="O7349" t="s">
        <v>616</v>
      </c>
      <c r="R7349" t="s">
        <v>57</v>
      </c>
      <c r="S7349">
        <v>8</v>
      </c>
      <c r="T7349">
        <v>231</v>
      </c>
      <c r="U7349" s="1">
        <v>38230</v>
      </c>
      <c r="V7349" t="s">
        <v>80</v>
      </c>
      <c r="W7349" t="s">
        <v>81</v>
      </c>
      <c r="X7349" t="s">
        <v>58</v>
      </c>
      <c r="Y7349">
        <v>22</v>
      </c>
      <c r="Z7349" t="s">
        <v>59</v>
      </c>
      <c r="AA7349" t="s">
        <v>59</v>
      </c>
      <c r="AB7349" t="s">
        <v>59</v>
      </c>
      <c r="AC7349" t="s">
        <v>59</v>
      </c>
      <c r="AD7349" t="s">
        <v>59</v>
      </c>
      <c r="AF7349" s="1">
        <v>38232</v>
      </c>
      <c r="AG7349" t="s">
        <v>8645</v>
      </c>
      <c r="AH7349" t="s">
        <v>8646</v>
      </c>
      <c r="AI7349" t="str">
        <f>"9170115"</f>
        <v>9170115</v>
      </c>
      <c r="AJ7349" t="s">
        <v>8770</v>
      </c>
      <c r="AK7349">
        <v>2810231165</v>
      </c>
      <c r="AL7349" t="s">
        <v>8771</v>
      </c>
      <c r="AM7349" t="s">
        <v>78</v>
      </c>
      <c r="AN7349" t="s">
        <v>78</v>
      </c>
      <c r="AO7349" t="s">
        <v>78</v>
      </c>
      <c r="AP7349" t="s">
        <v>141</v>
      </c>
      <c r="AQ7349">
        <v>1</v>
      </c>
      <c r="AR7349" t="s">
        <v>80</v>
      </c>
      <c r="AS7349" t="s">
        <v>81</v>
      </c>
      <c r="AT7349" t="s">
        <v>58</v>
      </c>
      <c r="AU7349" t="s">
        <v>68</v>
      </c>
      <c r="AV7349" t="s">
        <v>69</v>
      </c>
      <c r="AW7349" s="1">
        <v>27653</v>
      </c>
      <c r="AX7349">
        <v>1</v>
      </c>
    </row>
    <row r="7350" spans="1:50">
      <c r="A7350">
        <v>600334</v>
      </c>
      <c r="B7350" t="str">
        <f>"079605084"</f>
        <v>079605084</v>
      </c>
      <c r="C7350" t="s">
        <v>105</v>
      </c>
      <c r="D7350" t="s">
        <v>11730</v>
      </c>
      <c r="E7350" t="s">
        <v>309</v>
      </c>
      <c r="F7350" t="s">
        <v>670</v>
      </c>
      <c r="G7350" t="s">
        <v>335</v>
      </c>
      <c r="H7350" t="str">
        <f>" "</f>
        <v xml:space="preserve"> </v>
      </c>
      <c r="J7350">
        <v>2810238902</v>
      </c>
      <c r="K7350">
        <v>6977659448</v>
      </c>
      <c r="N7350" t="s">
        <v>615</v>
      </c>
      <c r="O7350" t="s">
        <v>616</v>
      </c>
      <c r="R7350" t="s">
        <v>57</v>
      </c>
      <c r="S7350">
        <v>9</v>
      </c>
      <c r="T7350">
        <v>195</v>
      </c>
      <c r="U7350" s="1">
        <v>37497</v>
      </c>
      <c r="V7350" t="s">
        <v>80</v>
      </c>
      <c r="W7350" t="s">
        <v>81</v>
      </c>
      <c r="X7350" t="s">
        <v>58</v>
      </c>
      <c r="Y7350">
        <v>22</v>
      </c>
      <c r="Z7350" t="s">
        <v>59</v>
      </c>
      <c r="AA7350" t="s">
        <v>59</v>
      </c>
      <c r="AB7350" t="s">
        <v>59</v>
      </c>
      <c r="AC7350" t="s">
        <v>59</v>
      </c>
      <c r="AD7350" t="s">
        <v>59</v>
      </c>
      <c r="AF7350" s="1">
        <v>37501</v>
      </c>
      <c r="AG7350" t="s">
        <v>8645</v>
      </c>
      <c r="AH7350" t="s">
        <v>8646</v>
      </c>
      <c r="AI7350" t="str">
        <f>"9170200"</f>
        <v>9170200</v>
      </c>
      <c r="AJ7350" t="s">
        <v>9589</v>
      </c>
      <c r="AK7350">
        <v>2810741264</v>
      </c>
      <c r="AL7350" t="s">
        <v>9590</v>
      </c>
      <c r="AM7350" t="s">
        <v>78</v>
      </c>
      <c r="AN7350" t="s">
        <v>424</v>
      </c>
      <c r="AO7350" t="s">
        <v>428</v>
      </c>
      <c r="AP7350" t="s">
        <v>9591</v>
      </c>
      <c r="AQ7350">
        <v>11</v>
      </c>
      <c r="AR7350" t="s">
        <v>80</v>
      </c>
      <c r="AS7350" t="s">
        <v>81</v>
      </c>
      <c r="AT7350" t="s">
        <v>58</v>
      </c>
      <c r="AU7350" t="s">
        <v>68</v>
      </c>
      <c r="AV7350" t="s">
        <v>69</v>
      </c>
      <c r="AW7350" s="1">
        <v>21493</v>
      </c>
      <c r="AX7350">
        <v>1</v>
      </c>
    </row>
    <row r="7351" spans="1:50">
      <c r="A7351">
        <v>602407</v>
      </c>
      <c r="B7351" t="str">
        <f>"046595438"</f>
        <v>046595438</v>
      </c>
      <c r="C7351" t="s">
        <v>50</v>
      </c>
      <c r="D7351" t="s">
        <v>4212</v>
      </c>
      <c r="E7351" t="s">
        <v>237</v>
      </c>
      <c r="F7351" t="s">
        <v>53</v>
      </c>
      <c r="G7351" t="s">
        <v>73</v>
      </c>
      <c r="H7351" t="str">
        <f>"ΣΜΠΩΚΟΥ 69 ΗΡΑΚΛΕΙΟ"</f>
        <v>ΣΜΠΩΚΟΥ 69 ΗΡΑΚΛΕΙΟ</v>
      </c>
      <c r="J7351">
        <v>2810327617</v>
      </c>
      <c r="K7351">
        <v>6972559721</v>
      </c>
      <c r="M7351" t="s">
        <v>11731</v>
      </c>
      <c r="N7351" t="s">
        <v>615</v>
      </c>
      <c r="O7351" t="s">
        <v>616</v>
      </c>
      <c r="R7351" t="s">
        <v>57</v>
      </c>
      <c r="S7351">
        <v>8</v>
      </c>
      <c r="T7351">
        <v>207</v>
      </c>
      <c r="U7351" s="1">
        <v>37866</v>
      </c>
      <c r="V7351" t="s">
        <v>80</v>
      </c>
      <c r="W7351" t="s">
        <v>81</v>
      </c>
      <c r="X7351" t="s">
        <v>58</v>
      </c>
      <c r="Y7351">
        <v>22</v>
      </c>
      <c r="Z7351" t="s">
        <v>59</v>
      </c>
      <c r="AA7351" t="s">
        <v>59</v>
      </c>
      <c r="AB7351" t="s">
        <v>59</v>
      </c>
      <c r="AC7351" t="s">
        <v>59</v>
      </c>
      <c r="AD7351" t="s">
        <v>59</v>
      </c>
      <c r="AF7351" s="1">
        <v>37866</v>
      </c>
      <c r="AG7351" t="s">
        <v>8645</v>
      </c>
      <c r="AH7351" t="s">
        <v>8646</v>
      </c>
      <c r="AI7351" t="str">
        <f>"9170494"</f>
        <v>9170494</v>
      </c>
      <c r="AJ7351" t="s">
        <v>9125</v>
      </c>
      <c r="AK7351">
        <v>2810228361</v>
      </c>
      <c r="AL7351" t="s">
        <v>9126</v>
      </c>
      <c r="AM7351" t="s">
        <v>78</v>
      </c>
      <c r="AN7351" t="s">
        <v>78</v>
      </c>
      <c r="AO7351" t="s">
        <v>78</v>
      </c>
      <c r="AP7351" t="s">
        <v>79</v>
      </c>
      <c r="AQ7351">
        <v>1</v>
      </c>
      <c r="AR7351" t="s">
        <v>80</v>
      </c>
      <c r="AS7351" t="s">
        <v>81</v>
      </c>
      <c r="AT7351" t="s">
        <v>58</v>
      </c>
      <c r="AU7351" t="s">
        <v>68</v>
      </c>
      <c r="AV7351" t="s">
        <v>69</v>
      </c>
      <c r="AW7351" s="1">
        <v>26375</v>
      </c>
      <c r="AX7351">
        <v>1</v>
      </c>
    </row>
    <row r="7352" spans="1:50">
      <c r="A7352">
        <v>596220</v>
      </c>
      <c r="B7352" t="str">
        <f>"054545367"</f>
        <v>054545367</v>
      </c>
      <c r="C7352" t="s">
        <v>50</v>
      </c>
      <c r="D7352" t="s">
        <v>4212</v>
      </c>
      <c r="E7352" t="s">
        <v>476</v>
      </c>
      <c r="F7352" t="s">
        <v>1070</v>
      </c>
      <c r="G7352" t="s">
        <v>237</v>
      </c>
      <c r="H7352" t="str">
        <f>" "</f>
        <v xml:space="preserve"> </v>
      </c>
      <c r="N7352" t="s">
        <v>1525</v>
      </c>
      <c r="O7352" t="s">
        <v>1526</v>
      </c>
      <c r="R7352" t="s">
        <v>57</v>
      </c>
      <c r="S7352">
        <v>11</v>
      </c>
      <c r="T7352">
        <v>218</v>
      </c>
      <c r="U7352" s="1">
        <v>37134</v>
      </c>
      <c r="V7352" t="s">
        <v>80</v>
      </c>
      <c r="W7352" t="s">
        <v>81</v>
      </c>
      <c r="X7352" t="s">
        <v>58</v>
      </c>
      <c r="Y7352">
        <v>25</v>
      </c>
      <c r="Z7352" t="s">
        <v>59</v>
      </c>
      <c r="AA7352" t="s">
        <v>59</v>
      </c>
      <c r="AB7352" t="s">
        <v>59</v>
      </c>
      <c r="AC7352" t="s">
        <v>59</v>
      </c>
      <c r="AD7352" t="s">
        <v>59</v>
      </c>
      <c r="AF7352" s="1">
        <v>37138</v>
      </c>
      <c r="AG7352" t="s">
        <v>8651</v>
      </c>
      <c r="AH7352" t="s">
        <v>8652</v>
      </c>
      <c r="AI7352" t="str">
        <f>"9170567"</f>
        <v>9170567</v>
      </c>
      <c r="AJ7352" t="s">
        <v>10776</v>
      </c>
      <c r="AK7352">
        <v>2897024060</v>
      </c>
      <c r="AL7352" t="s">
        <v>10777</v>
      </c>
      <c r="AM7352" t="s">
        <v>78</v>
      </c>
      <c r="AN7352" t="s">
        <v>219</v>
      </c>
      <c r="AO7352" t="s">
        <v>219</v>
      </c>
      <c r="AP7352" t="s">
        <v>219</v>
      </c>
      <c r="AQ7352">
        <v>8</v>
      </c>
      <c r="AR7352" t="s">
        <v>80</v>
      </c>
      <c r="AS7352" t="s">
        <v>81</v>
      </c>
      <c r="AT7352" t="s">
        <v>58</v>
      </c>
      <c r="AU7352" t="s">
        <v>68</v>
      </c>
      <c r="AV7352" t="s">
        <v>69</v>
      </c>
      <c r="AW7352" s="1">
        <v>24385</v>
      </c>
      <c r="AX7352">
        <v>1</v>
      </c>
    </row>
    <row r="7353" spans="1:50">
      <c r="B7353" t="str">
        <f>"103510069"</f>
        <v>103510069</v>
      </c>
      <c r="C7353" t="s">
        <v>50</v>
      </c>
      <c r="D7353" t="s">
        <v>4212</v>
      </c>
      <c r="E7353" t="s">
        <v>73</v>
      </c>
      <c r="F7353" t="s">
        <v>760</v>
      </c>
      <c r="G7353" t="s">
        <v>83</v>
      </c>
      <c r="H7353" t="str">
        <f>"ΑΤΛΑΝΤΙΔΟΣ 22 ΗΡΑΚΛΕΙΟ"</f>
        <v>ΑΤΛΑΝΤΙΔΟΣ 22 ΗΡΑΚΛΕΙΟ</v>
      </c>
      <c r="I7353">
        <v>71305</v>
      </c>
      <c r="J7353">
        <v>2810262123</v>
      </c>
      <c r="K7353">
        <v>6974418993</v>
      </c>
      <c r="N7353" t="s">
        <v>337</v>
      </c>
      <c r="O7353" t="s">
        <v>338</v>
      </c>
      <c r="R7353" t="s">
        <v>159</v>
      </c>
      <c r="S7353">
        <v>3</v>
      </c>
      <c r="T7353" t="s">
        <v>8675</v>
      </c>
      <c r="U7353" s="1">
        <v>43348</v>
      </c>
      <c r="V7353" t="s">
        <v>80</v>
      </c>
      <c r="W7353" t="s">
        <v>81</v>
      </c>
      <c r="X7353" t="s">
        <v>58</v>
      </c>
      <c r="Y7353">
        <v>24</v>
      </c>
      <c r="Z7353" t="s">
        <v>59</v>
      </c>
      <c r="AA7353" t="s">
        <v>59</v>
      </c>
      <c r="AB7353" t="s">
        <v>59</v>
      </c>
      <c r="AC7353" t="s">
        <v>59</v>
      </c>
      <c r="AD7353" t="s">
        <v>59</v>
      </c>
      <c r="AF7353" s="1">
        <v>43348</v>
      </c>
      <c r="AG7353" t="s">
        <v>8645</v>
      </c>
      <c r="AH7353" t="s">
        <v>8646</v>
      </c>
      <c r="AI7353" t="str">
        <f>"9170282"</f>
        <v>9170282</v>
      </c>
      <c r="AJ7353" t="s">
        <v>8938</v>
      </c>
      <c r="AK7353">
        <v>2892022120</v>
      </c>
      <c r="AL7353" t="s">
        <v>8939</v>
      </c>
      <c r="AM7353" t="s">
        <v>78</v>
      </c>
      <c r="AN7353" t="s">
        <v>242</v>
      </c>
      <c r="AO7353" t="s">
        <v>243</v>
      </c>
      <c r="AP7353" t="s">
        <v>8940</v>
      </c>
      <c r="AQ7353">
        <v>20</v>
      </c>
      <c r="AR7353" t="s">
        <v>80</v>
      </c>
      <c r="AS7353" t="s">
        <v>81</v>
      </c>
      <c r="AT7353" t="s">
        <v>58</v>
      </c>
      <c r="AU7353" t="s">
        <v>8673</v>
      </c>
      <c r="AV7353" t="s">
        <v>132</v>
      </c>
      <c r="AW7353" s="1">
        <v>29407</v>
      </c>
      <c r="AX7353">
        <v>1</v>
      </c>
    </row>
    <row r="7354" spans="1:50">
      <c r="A7354">
        <v>593182</v>
      </c>
      <c r="B7354" t="str">
        <f>"074693957"</f>
        <v>074693957</v>
      </c>
      <c r="C7354" t="s">
        <v>50</v>
      </c>
      <c r="D7354" t="s">
        <v>4212</v>
      </c>
      <c r="E7354" t="s">
        <v>83</v>
      </c>
      <c r="F7354" t="s">
        <v>53</v>
      </c>
      <c r="G7354" t="s">
        <v>73</v>
      </c>
      <c r="H7354" t="str">
        <f>"ΛΟΥΚΑ ΠΕΤΡΑΚΗ 33 ΗΡΑΚΛΕΙΟΥ"</f>
        <v>ΛΟΥΚΑ ΠΕΤΡΑΚΗ 33 ΗΡΑΚΛΕΙΟΥ</v>
      </c>
      <c r="I7354">
        <v>71305</v>
      </c>
      <c r="J7354">
        <v>2810343270</v>
      </c>
      <c r="K7354">
        <v>6985022668</v>
      </c>
      <c r="N7354" t="s">
        <v>615</v>
      </c>
      <c r="O7354" t="s">
        <v>616</v>
      </c>
      <c r="R7354" t="s">
        <v>57</v>
      </c>
      <c r="S7354">
        <v>9</v>
      </c>
      <c r="T7354">
        <v>218</v>
      </c>
      <c r="U7354" s="1">
        <v>37134</v>
      </c>
      <c r="V7354" t="s">
        <v>80</v>
      </c>
      <c r="W7354" t="s">
        <v>81</v>
      </c>
      <c r="X7354" t="s">
        <v>58</v>
      </c>
      <c r="Y7354">
        <v>22</v>
      </c>
      <c r="Z7354" t="s">
        <v>59</v>
      </c>
      <c r="AA7354" t="s">
        <v>59</v>
      </c>
      <c r="AB7354" t="s">
        <v>59</v>
      </c>
      <c r="AC7354" t="s">
        <v>59</v>
      </c>
      <c r="AD7354" t="s">
        <v>59</v>
      </c>
      <c r="AF7354" s="1">
        <v>37137</v>
      </c>
      <c r="AG7354" t="s">
        <v>8645</v>
      </c>
      <c r="AH7354" t="s">
        <v>8646</v>
      </c>
      <c r="AI7354" t="str">
        <f>"9170345"</f>
        <v>9170345</v>
      </c>
      <c r="AJ7354" t="s">
        <v>9429</v>
      </c>
      <c r="AK7354">
        <v>2810289563</v>
      </c>
      <c r="AL7354" t="s">
        <v>9430</v>
      </c>
      <c r="AM7354" t="s">
        <v>78</v>
      </c>
      <c r="AN7354" t="s">
        <v>78</v>
      </c>
      <c r="AO7354" t="s">
        <v>78</v>
      </c>
      <c r="AP7354" t="s">
        <v>79</v>
      </c>
      <c r="AQ7354">
        <v>1</v>
      </c>
      <c r="AR7354" t="s">
        <v>80</v>
      </c>
      <c r="AS7354" t="s">
        <v>81</v>
      </c>
      <c r="AT7354" t="s">
        <v>58</v>
      </c>
      <c r="AU7354" t="s">
        <v>68</v>
      </c>
      <c r="AV7354" t="s">
        <v>69</v>
      </c>
      <c r="AW7354" s="1">
        <v>25449</v>
      </c>
      <c r="AX7354">
        <v>1</v>
      </c>
    </row>
    <row r="7355" spans="1:50">
      <c r="A7355">
        <v>601540</v>
      </c>
      <c r="B7355" t="str">
        <f>"132952463"</f>
        <v>132952463</v>
      </c>
      <c r="C7355" t="s">
        <v>50</v>
      </c>
      <c r="D7355" t="s">
        <v>4212</v>
      </c>
      <c r="E7355" t="s">
        <v>255</v>
      </c>
      <c r="F7355" t="s">
        <v>53</v>
      </c>
      <c r="G7355" t="s">
        <v>83</v>
      </c>
      <c r="H7355" t="str">
        <f>" "</f>
        <v xml:space="preserve"> </v>
      </c>
      <c r="J7355">
        <v>2810711030</v>
      </c>
      <c r="K7355">
        <v>6978013021</v>
      </c>
      <c r="N7355" t="s">
        <v>615</v>
      </c>
      <c r="O7355" t="s">
        <v>616</v>
      </c>
      <c r="R7355" t="s">
        <v>57</v>
      </c>
      <c r="S7355">
        <v>7</v>
      </c>
      <c r="T7355">
        <v>207</v>
      </c>
      <c r="U7355" s="1">
        <v>37866</v>
      </c>
      <c r="V7355" t="s">
        <v>80</v>
      </c>
      <c r="W7355" t="s">
        <v>81</v>
      </c>
      <c r="X7355" t="s">
        <v>58</v>
      </c>
      <c r="Y7355">
        <v>22</v>
      </c>
      <c r="Z7355" t="s">
        <v>59</v>
      </c>
      <c r="AA7355" t="s">
        <v>59</v>
      </c>
      <c r="AB7355" t="s">
        <v>59</v>
      </c>
      <c r="AC7355" t="s">
        <v>59</v>
      </c>
      <c r="AD7355" t="s">
        <v>59</v>
      </c>
      <c r="AF7355" s="1">
        <v>37866</v>
      </c>
      <c r="AG7355" t="s">
        <v>8645</v>
      </c>
      <c r="AH7355" t="s">
        <v>8646</v>
      </c>
      <c r="AI7355" t="str">
        <f>"9170017"</f>
        <v>9170017</v>
      </c>
      <c r="AJ7355" t="s">
        <v>9114</v>
      </c>
      <c r="AK7355">
        <v>2810250746</v>
      </c>
      <c r="AL7355" t="s">
        <v>9115</v>
      </c>
      <c r="AM7355" t="s">
        <v>78</v>
      </c>
      <c r="AN7355" t="s">
        <v>129</v>
      </c>
      <c r="AO7355" t="s">
        <v>130</v>
      </c>
      <c r="AP7355" t="s">
        <v>130</v>
      </c>
      <c r="AQ7355">
        <v>1</v>
      </c>
      <c r="AR7355" t="s">
        <v>80</v>
      </c>
      <c r="AS7355" t="s">
        <v>81</v>
      </c>
      <c r="AT7355" t="s">
        <v>58</v>
      </c>
      <c r="AU7355" t="s">
        <v>68</v>
      </c>
      <c r="AV7355" t="s">
        <v>69</v>
      </c>
      <c r="AW7355" s="1">
        <v>28648</v>
      </c>
      <c r="AX7355">
        <v>1</v>
      </c>
    </row>
    <row r="7356" spans="1:50">
      <c r="A7356">
        <v>565132</v>
      </c>
      <c r="B7356" t="str">
        <f>"036806564"</f>
        <v>036806564</v>
      </c>
      <c r="C7356" t="s">
        <v>50</v>
      </c>
      <c r="D7356" t="s">
        <v>4212</v>
      </c>
      <c r="E7356" t="s">
        <v>52</v>
      </c>
      <c r="F7356" t="s">
        <v>53</v>
      </c>
      <c r="G7356" t="s">
        <v>73</v>
      </c>
      <c r="H7356" t="str">
        <f>" "</f>
        <v xml:space="preserve"> </v>
      </c>
      <c r="N7356" t="s">
        <v>615</v>
      </c>
      <c r="O7356" t="s">
        <v>616</v>
      </c>
      <c r="R7356" t="s">
        <v>57</v>
      </c>
      <c r="S7356">
        <v>15</v>
      </c>
      <c r="T7356">
        <v>161</v>
      </c>
      <c r="U7356" s="1">
        <v>33119</v>
      </c>
      <c r="V7356" t="s">
        <v>80</v>
      </c>
      <c r="W7356" t="s">
        <v>81</v>
      </c>
      <c r="X7356" t="s">
        <v>58</v>
      </c>
      <c r="Y7356">
        <v>21</v>
      </c>
      <c r="Z7356" t="s">
        <v>59</v>
      </c>
      <c r="AA7356" t="s">
        <v>59</v>
      </c>
      <c r="AB7356" t="s">
        <v>59</v>
      </c>
      <c r="AC7356" t="s">
        <v>59</v>
      </c>
      <c r="AD7356" t="s">
        <v>59</v>
      </c>
      <c r="AF7356" s="1">
        <v>33119</v>
      </c>
      <c r="AG7356" t="s">
        <v>8645</v>
      </c>
      <c r="AH7356" t="s">
        <v>8646</v>
      </c>
      <c r="AI7356" t="str">
        <f>"9170494"</f>
        <v>9170494</v>
      </c>
      <c r="AJ7356" t="s">
        <v>9125</v>
      </c>
      <c r="AK7356">
        <v>2810228361</v>
      </c>
      <c r="AL7356" t="s">
        <v>9126</v>
      </c>
      <c r="AM7356" t="s">
        <v>78</v>
      </c>
      <c r="AN7356" t="s">
        <v>78</v>
      </c>
      <c r="AO7356" t="s">
        <v>78</v>
      </c>
      <c r="AP7356" t="s">
        <v>79</v>
      </c>
      <c r="AQ7356">
        <v>1</v>
      </c>
      <c r="AR7356" t="s">
        <v>80</v>
      </c>
      <c r="AS7356" t="s">
        <v>81</v>
      </c>
      <c r="AT7356" t="s">
        <v>58</v>
      </c>
      <c r="AU7356" t="s">
        <v>68</v>
      </c>
      <c r="AV7356" t="s">
        <v>69</v>
      </c>
      <c r="AW7356" s="1">
        <v>24257</v>
      </c>
      <c r="AX7356">
        <v>1</v>
      </c>
    </row>
    <row r="7357" spans="1:50">
      <c r="B7357" t="str">
        <f>"139600509"</f>
        <v>139600509</v>
      </c>
      <c r="C7357" t="s">
        <v>50</v>
      </c>
      <c r="D7357" t="s">
        <v>4212</v>
      </c>
      <c r="E7357" t="s">
        <v>181</v>
      </c>
      <c r="F7357" t="s">
        <v>11732</v>
      </c>
      <c r="G7357" t="s">
        <v>52</v>
      </c>
      <c r="H7357" t="str">
        <f>"ΚΟΣΚΙΝΟΥ ΚΟΣΚΙΝΟΥ ΡΟΔΟΥ"</f>
        <v>ΚΟΣΚΙΝΟΥ ΚΟΣΚΙΝΟΥ ΡΟΔΟΥ</v>
      </c>
      <c r="I7357">
        <v>85100</v>
      </c>
      <c r="K7357">
        <v>6942477112</v>
      </c>
      <c r="M7357" t="s">
        <v>11733</v>
      </c>
      <c r="N7357" t="s">
        <v>683</v>
      </c>
      <c r="O7357" t="s">
        <v>684</v>
      </c>
      <c r="R7357" t="s">
        <v>159</v>
      </c>
      <c r="S7357">
        <v>2</v>
      </c>
      <c r="T7357" t="s">
        <v>8675</v>
      </c>
      <c r="U7357" s="1">
        <v>43348</v>
      </c>
      <c r="V7357" t="s">
        <v>80</v>
      </c>
      <c r="W7357" t="s">
        <v>81</v>
      </c>
      <c r="X7357" t="s">
        <v>58</v>
      </c>
      <c r="Y7357">
        <v>24</v>
      </c>
      <c r="Z7357" t="s">
        <v>59</v>
      </c>
      <c r="AA7357" t="s">
        <v>59</v>
      </c>
      <c r="AB7357" t="s">
        <v>59</v>
      </c>
      <c r="AC7357" t="s">
        <v>59</v>
      </c>
      <c r="AD7357" t="s">
        <v>59</v>
      </c>
      <c r="AF7357" s="1">
        <v>43348</v>
      </c>
      <c r="AG7357" t="s">
        <v>8645</v>
      </c>
      <c r="AH7357" t="s">
        <v>8646</v>
      </c>
      <c r="AI7357" t="str">
        <f>"9170255"</f>
        <v>9170255</v>
      </c>
      <c r="AJ7357" t="s">
        <v>8915</v>
      </c>
      <c r="AK7357">
        <v>2810220750</v>
      </c>
      <c r="AL7357" t="s">
        <v>8916</v>
      </c>
      <c r="AM7357" t="s">
        <v>78</v>
      </c>
      <c r="AN7357" t="s">
        <v>78</v>
      </c>
      <c r="AO7357" t="s">
        <v>78</v>
      </c>
      <c r="AP7357" t="s">
        <v>213</v>
      </c>
      <c r="AQ7357">
        <v>1</v>
      </c>
      <c r="AR7357" t="s">
        <v>80</v>
      </c>
      <c r="AS7357" t="s">
        <v>81</v>
      </c>
      <c r="AT7357" t="s">
        <v>58</v>
      </c>
      <c r="AU7357" t="s">
        <v>8673</v>
      </c>
      <c r="AV7357" t="s">
        <v>132</v>
      </c>
      <c r="AW7357" s="1">
        <v>28211</v>
      </c>
      <c r="AX7357">
        <v>1</v>
      </c>
    </row>
    <row r="7358" spans="1:50">
      <c r="A7358">
        <v>617133</v>
      </c>
      <c r="B7358" t="str">
        <f>"132333560"</f>
        <v>132333560</v>
      </c>
      <c r="C7358" t="s">
        <v>50</v>
      </c>
      <c r="D7358" t="s">
        <v>4212</v>
      </c>
      <c r="E7358" t="s">
        <v>181</v>
      </c>
      <c r="F7358" t="s">
        <v>166</v>
      </c>
      <c r="G7358" t="s">
        <v>191</v>
      </c>
      <c r="H7358" t="str">
        <f>"Ε[ΙΣΚΟΠΗ ΗΡΑΚΛΕΙΟ"</f>
        <v>Ε[ΙΣΚΟΠΗ ΗΡΑΚΛΕΙΟ</v>
      </c>
      <c r="I7358">
        <v>70008</v>
      </c>
      <c r="J7358">
        <v>2810771524</v>
      </c>
      <c r="K7358">
        <v>6932719121</v>
      </c>
      <c r="M7358" t="s">
        <v>11734</v>
      </c>
      <c r="N7358" t="s">
        <v>615</v>
      </c>
      <c r="O7358" t="s">
        <v>616</v>
      </c>
      <c r="R7358" t="s">
        <v>57</v>
      </c>
      <c r="S7358">
        <v>6</v>
      </c>
      <c r="T7358">
        <v>774</v>
      </c>
      <c r="U7358" s="1">
        <v>39680</v>
      </c>
      <c r="V7358" t="s">
        <v>80</v>
      </c>
      <c r="W7358" t="s">
        <v>81</v>
      </c>
      <c r="X7358" t="s">
        <v>58</v>
      </c>
      <c r="Y7358">
        <v>23</v>
      </c>
      <c r="Z7358" t="s">
        <v>59</v>
      </c>
      <c r="AA7358" t="s">
        <v>59</v>
      </c>
      <c r="AB7358" t="s">
        <v>59</v>
      </c>
      <c r="AC7358" t="s">
        <v>59</v>
      </c>
      <c r="AD7358" t="s">
        <v>59</v>
      </c>
      <c r="AF7358" s="1">
        <v>39681</v>
      </c>
      <c r="AG7358" t="s">
        <v>8645</v>
      </c>
      <c r="AH7358" t="s">
        <v>8646</v>
      </c>
      <c r="AI7358" t="str">
        <f>"9170224"</f>
        <v>9170224</v>
      </c>
      <c r="AJ7358" t="s">
        <v>9212</v>
      </c>
      <c r="AK7358">
        <v>2810771214</v>
      </c>
      <c r="AL7358" t="s">
        <v>9213</v>
      </c>
      <c r="AM7358" t="s">
        <v>78</v>
      </c>
      <c r="AN7358" t="s">
        <v>219</v>
      </c>
      <c r="AO7358" t="s">
        <v>1437</v>
      </c>
      <c r="AP7358" t="s">
        <v>1437</v>
      </c>
      <c r="AQ7358">
        <v>7</v>
      </c>
      <c r="AR7358" t="s">
        <v>80</v>
      </c>
      <c r="AS7358" t="s">
        <v>81</v>
      </c>
      <c r="AT7358" t="s">
        <v>58</v>
      </c>
      <c r="AU7358" t="s">
        <v>68</v>
      </c>
      <c r="AV7358" t="s">
        <v>69</v>
      </c>
      <c r="AW7358" s="1">
        <v>30709</v>
      </c>
      <c r="AX7358">
        <v>1</v>
      </c>
    </row>
    <row r="7359" spans="1:50">
      <c r="B7359" t="str">
        <f>"149620565"</f>
        <v>149620565</v>
      </c>
      <c r="C7359" t="s">
        <v>50</v>
      </c>
      <c r="D7359" t="s">
        <v>4212</v>
      </c>
      <c r="E7359" t="s">
        <v>191</v>
      </c>
      <c r="F7359" t="s">
        <v>450</v>
      </c>
      <c r="G7359" t="s">
        <v>268</v>
      </c>
      <c r="H7359" t="str">
        <f>"ΑΧΛΑΔΑΣ 3 "</f>
        <v xml:space="preserve">ΑΧΛΑΔΑΣ 3 </v>
      </c>
      <c r="I7359">
        <v>71414</v>
      </c>
      <c r="J7359">
        <v>2810314447</v>
      </c>
      <c r="K7359">
        <v>6932093347</v>
      </c>
      <c r="N7359" t="s">
        <v>615</v>
      </c>
      <c r="O7359" t="s">
        <v>616</v>
      </c>
      <c r="R7359" t="s">
        <v>159</v>
      </c>
      <c r="S7359">
        <v>2</v>
      </c>
      <c r="T7359" t="s">
        <v>8675</v>
      </c>
      <c r="U7359" s="1">
        <v>43348</v>
      </c>
      <c r="V7359" t="s">
        <v>80</v>
      </c>
      <c r="W7359" t="s">
        <v>81</v>
      </c>
      <c r="X7359" t="s">
        <v>58</v>
      </c>
      <c r="Y7359">
        <v>24</v>
      </c>
      <c r="Z7359" t="s">
        <v>59</v>
      </c>
      <c r="AA7359" t="s">
        <v>59</v>
      </c>
      <c r="AB7359" t="s">
        <v>59</v>
      </c>
      <c r="AC7359" t="s">
        <v>59</v>
      </c>
      <c r="AD7359" t="s">
        <v>59</v>
      </c>
      <c r="AF7359" s="1">
        <v>43348</v>
      </c>
      <c r="AG7359" t="s">
        <v>8645</v>
      </c>
      <c r="AH7359" t="s">
        <v>8646</v>
      </c>
      <c r="AI7359" t="str">
        <f>"9170525"</f>
        <v>9170525</v>
      </c>
      <c r="AJ7359" t="s">
        <v>8853</v>
      </c>
      <c r="AK7359">
        <v>2810256547</v>
      </c>
      <c r="AL7359" t="s">
        <v>8854</v>
      </c>
      <c r="AM7359" t="s">
        <v>78</v>
      </c>
      <c r="AN7359" t="s">
        <v>78</v>
      </c>
      <c r="AO7359" t="s">
        <v>78</v>
      </c>
      <c r="AP7359" t="s">
        <v>141</v>
      </c>
      <c r="AQ7359">
        <v>1</v>
      </c>
      <c r="AR7359" t="s">
        <v>80</v>
      </c>
      <c r="AS7359" t="s">
        <v>81</v>
      </c>
      <c r="AT7359" t="s">
        <v>58</v>
      </c>
      <c r="AU7359" t="s">
        <v>8673</v>
      </c>
      <c r="AV7359" t="s">
        <v>132</v>
      </c>
      <c r="AW7359" s="1">
        <v>32352</v>
      </c>
      <c r="AX7359">
        <v>1</v>
      </c>
    </row>
    <row r="7360" spans="1:50">
      <c r="A7360">
        <v>549378</v>
      </c>
      <c r="B7360" t="str">
        <f>"028868855"</f>
        <v>028868855</v>
      </c>
      <c r="C7360" t="s">
        <v>105</v>
      </c>
      <c r="D7360" t="s">
        <v>5573</v>
      </c>
      <c r="E7360" t="s">
        <v>166</v>
      </c>
      <c r="F7360" t="s">
        <v>72</v>
      </c>
      <c r="G7360" t="s">
        <v>181</v>
      </c>
      <c r="H7360" t="str">
        <f>"Ε[ΙΣΚΟΠΗ ΗΡΑΚΛΕΙΟ"</f>
        <v>Ε[ΙΣΚΟΠΗ ΗΡΑΚΛΕΙΟ</v>
      </c>
      <c r="I7360">
        <v>70008</v>
      </c>
      <c r="J7360">
        <v>2810771524</v>
      </c>
      <c r="K7360">
        <v>6932560492</v>
      </c>
      <c r="M7360" t="s">
        <v>11735</v>
      </c>
      <c r="N7360" t="s">
        <v>615</v>
      </c>
      <c r="O7360" t="s">
        <v>616</v>
      </c>
      <c r="R7360" t="s">
        <v>57</v>
      </c>
      <c r="S7360">
        <v>17</v>
      </c>
      <c r="T7360">
        <v>281</v>
      </c>
      <c r="U7360" s="1">
        <v>30558</v>
      </c>
      <c r="V7360" t="s">
        <v>80</v>
      </c>
      <c r="W7360" t="s">
        <v>81</v>
      </c>
      <c r="X7360" t="s">
        <v>58</v>
      </c>
      <c r="Y7360">
        <v>21</v>
      </c>
      <c r="Z7360" t="s">
        <v>59</v>
      </c>
      <c r="AA7360" t="s">
        <v>59</v>
      </c>
      <c r="AB7360" t="s">
        <v>59</v>
      </c>
      <c r="AC7360" t="s">
        <v>59</v>
      </c>
      <c r="AD7360" t="s">
        <v>59</v>
      </c>
      <c r="AF7360" s="1">
        <v>30566</v>
      </c>
      <c r="AG7360" t="s">
        <v>8645</v>
      </c>
      <c r="AH7360" t="s">
        <v>8646</v>
      </c>
      <c r="AI7360" t="str">
        <f>"9170224"</f>
        <v>9170224</v>
      </c>
      <c r="AJ7360" t="s">
        <v>9212</v>
      </c>
      <c r="AK7360">
        <v>2810771214</v>
      </c>
      <c r="AL7360" t="s">
        <v>9213</v>
      </c>
      <c r="AM7360" t="s">
        <v>78</v>
      </c>
      <c r="AN7360" t="s">
        <v>219</v>
      </c>
      <c r="AO7360" t="s">
        <v>1437</v>
      </c>
      <c r="AP7360" t="s">
        <v>1437</v>
      </c>
      <c r="AQ7360">
        <v>7</v>
      </c>
      <c r="AR7360" t="s">
        <v>80</v>
      </c>
      <c r="AS7360" t="s">
        <v>81</v>
      </c>
      <c r="AT7360" t="s">
        <v>58</v>
      </c>
      <c r="AU7360" t="s">
        <v>68</v>
      </c>
      <c r="AV7360" t="s">
        <v>69</v>
      </c>
      <c r="AW7360" s="1">
        <v>21940</v>
      </c>
      <c r="AX7360">
        <v>1</v>
      </c>
    </row>
    <row r="7361" spans="1:50">
      <c r="B7361" t="str">
        <f>"070951740"</f>
        <v>070951740</v>
      </c>
      <c r="C7361" t="s">
        <v>105</v>
      </c>
      <c r="D7361" t="s">
        <v>5573</v>
      </c>
      <c r="E7361" t="s">
        <v>53</v>
      </c>
      <c r="F7361" t="s">
        <v>95</v>
      </c>
      <c r="G7361" t="s">
        <v>250</v>
      </c>
      <c r="H7361" t="str">
        <f>"ΜΙΧΑΗΛ ΒΛΑΧΟΥ 4 ΜΑΣΤΑΜΠΑΣ"</f>
        <v>ΜΙΧΑΗΛ ΒΛΑΧΟΥ 4 ΜΑΣΤΑΜΠΑΣ</v>
      </c>
      <c r="I7361">
        <v>71305</v>
      </c>
      <c r="J7361">
        <v>2810234423</v>
      </c>
      <c r="K7361">
        <v>6973443071</v>
      </c>
      <c r="N7361" t="s">
        <v>204</v>
      </c>
      <c r="O7361" t="s">
        <v>205</v>
      </c>
      <c r="R7361" t="s">
        <v>159</v>
      </c>
      <c r="S7361">
        <v>6</v>
      </c>
      <c r="T7361" t="s">
        <v>8675</v>
      </c>
      <c r="U7361" s="1">
        <v>43348</v>
      </c>
      <c r="V7361" t="s">
        <v>80</v>
      </c>
      <c r="W7361" t="s">
        <v>81</v>
      </c>
      <c r="X7361" t="s">
        <v>58</v>
      </c>
      <c r="Y7361">
        <v>24</v>
      </c>
      <c r="Z7361" t="s">
        <v>59</v>
      </c>
      <c r="AA7361" t="s">
        <v>59</v>
      </c>
      <c r="AB7361" t="s">
        <v>59</v>
      </c>
      <c r="AC7361" t="s">
        <v>59</v>
      </c>
      <c r="AD7361" t="s">
        <v>59</v>
      </c>
      <c r="AF7361" s="1">
        <v>43348</v>
      </c>
      <c r="AG7361" t="s">
        <v>8645</v>
      </c>
      <c r="AH7361" t="s">
        <v>8646</v>
      </c>
      <c r="AI7361" t="str">
        <f>"9170242"</f>
        <v>9170242</v>
      </c>
      <c r="AJ7361" t="s">
        <v>9314</v>
      </c>
      <c r="AK7361">
        <v>2897031254</v>
      </c>
      <c r="AL7361" t="s">
        <v>9315</v>
      </c>
      <c r="AM7361" t="s">
        <v>78</v>
      </c>
      <c r="AN7361" t="s">
        <v>219</v>
      </c>
      <c r="AO7361" t="s">
        <v>527</v>
      </c>
      <c r="AP7361" t="s">
        <v>527</v>
      </c>
      <c r="AQ7361">
        <v>8</v>
      </c>
      <c r="AR7361" t="s">
        <v>80</v>
      </c>
      <c r="AS7361" t="s">
        <v>81</v>
      </c>
      <c r="AT7361" t="s">
        <v>58</v>
      </c>
      <c r="AU7361" t="s">
        <v>8673</v>
      </c>
      <c r="AV7361" t="s">
        <v>132</v>
      </c>
      <c r="AW7361" s="1">
        <v>28786</v>
      </c>
      <c r="AX7361">
        <v>1</v>
      </c>
    </row>
    <row r="7362" spans="1:50">
      <c r="A7362">
        <v>581987</v>
      </c>
      <c r="B7362" t="str">
        <f>"050286362"</f>
        <v>050286362</v>
      </c>
      <c r="C7362" t="s">
        <v>50</v>
      </c>
      <c r="D7362" t="s">
        <v>11736</v>
      </c>
      <c r="E7362" t="s">
        <v>801</v>
      </c>
      <c r="F7362" t="s">
        <v>111</v>
      </c>
      <c r="G7362" t="s">
        <v>11737</v>
      </c>
      <c r="H7362" t="str">
        <f>" "</f>
        <v xml:space="preserve"> </v>
      </c>
      <c r="N7362" t="s">
        <v>615</v>
      </c>
      <c r="O7362" t="s">
        <v>616</v>
      </c>
      <c r="R7362" t="s">
        <v>57</v>
      </c>
      <c r="S7362">
        <v>11</v>
      </c>
      <c r="T7362">
        <v>179</v>
      </c>
      <c r="U7362" s="1">
        <v>35674</v>
      </c>
      <c r="V7362" t="s">
        <v>80</v>
      </c>
      <c r="W7362" t="s">
        <v>81</v>
      </c>
      <c r="X7362" t="s">
        <v>58</v>
      </c>
      <c r="Y7362">
        <v>21</v>
      </c>
      <c r="Z7362" t="s">
        <v>59</v>
      </c>
      <c r="AA7362" t="s">
        <v>59</v>
      </c>
      <c r="AB7362" t="s">
        <v>59</v>
      </c>
      <c r="AC7362" t="s">
        <v>59</v>
      </c>
      <c r="AD7362" t="s">
        <v>59</v>
      </c>
      <c r="AF7362" s="1">
        <v>35677</v>
      </c>
      <c r="AG7362" t="s">
        <v>8645</v>
      </c>
      <c r="AH7362" t="s">
        <v>8646</v>
      </c>
      <c r="AI7362" t="str">
        <f>"9170191"</f>
        <v>9170191</v>
      </c>
      <c r="AJ7362" t="s">
        <v>8667</v>
      </c>
      <c r="AK7362">
        <v>2810231459</v>
      </c>
      <c r="AL7362" t="s">
        <v>8668</v>
      </c>
      <c r="AM7362" t="s">
        <v>78</v>
      </c>
      <c r="AN7362" t="s">
        <v>78</v>
      </c>
      <c r="AO7362" t="s">
        <v>78</v>
      </c>
      <c r="AP7362" t="s">
        <v>163</v>
      </c>
      <c r="AQ7362">
        <v>1</v>
      </c>
      <c r="AR7362" t="s">
        <v>80</v>
      </c>
      <c r="AS7362" t="s">
        <v>81</v>
      </c>
      <c r="AT7362" t="s">
        <v>58</v>
      </c>
      <c r="AU7362" t="s">
        <v>68</v>
      </c>
      <c r="AV7362" t="s">
        <v>69</v>
      </c>
      <c r="AW7362" s="1">
        <v>23878</v>
      </c>
      <c r="AX7362">
        <v>1</v>
      </c>
    </row>
    <row r="7363" spans="1:50">
      <c r="A7363">
        <v>600878</v>
      </c>
      <c r="B7363" t="str">
        <f>"050286454"</f>
        <v>050286454</v>
      </c>
      <c r="C7363" t="s">
        <v>50</v>
      </c>
      <c r="D7363" t="s">
        <v>11738</v>
      </c>
      <c r="E7363" t="s">
        <v>440</v>
      </c>
      <c r="F7363" t="s">
        <v>84</v>
      </c>
      <c r="G7363" t="s">
        <v>52</v>
      </c>
      <c r="H7363" t="str">
        <f>"ΕΟΚ 27Β ΜΑΣΤΑΜΠΑΣ ΗΡΑΚΛΕΙΟΥ"</f>
        <v>ΕΟΚ 27Β ΜΑΣΤΑΜΠΑΣ ΗΡΑΚΛΕΙΟΥ</v>
      </c>
      <c r="I7363">
        <v>71305</v>
      </c>
      <c r="J7363">
        <v>2810250991</v>
      </c>
      <c r="K7363">
        <v>6945310957</v>
      </c>
      <c r="N7363" t="s">
        <v>615</v>
      </c>
      <c r="O7363" t="s">
        <v>616</v>
      </c>
      <c r="R7363" t="s">
        <v>57</v>
      </c>
      <c r="S7363">
        <v>8</v>
      </c>
      <c r="T7363">
        <v>207</v>
      </c>
      <c r="U7363" s="1">
        <v>37866</v>
      </c>
      <c r="V7363" t="s">
        <v>80</v>
      </c>
      <c r="W7363" t="s">
        <v>81</v>
      </c>
      <c r="X7363" t="s">
        <v>58</v>
      </c>
      <c r="Y7363">
        <v>22</v>
      </c>
      <c r="Z7363" t="s">
        <v>59</v>
      </c>
      <c r="AA7363" t="s">
        <v>59</v>
      </c>
      <c r="AB7363" t="s">
        <v>59</v>
      </c>
      <c r="AC7363" t="s">
        <v>59</v>
      </c>
      <c r="AD7363" t="s">
        <v>59</v>
      </c>
      <c r="AF7363" s="1">
        <v>37866</v>
      </c>
      <c r="AG7363" t="s">
        <v>8645</v>
      </c>
      <c r="AH7363" t="s">
        <v>8646</v>
      </c>
      <c r="AI7363" t="str">
        <f>"9170532"</f>
        <v>9170532</v>
      </c>
      <c r="AJ7363" t="s">
        <v>8945</v>
      </c>
      <c r="AK7363">
        <v>2810250330</v>
      </c>
      <c r="AL7363" t="s">
        <v>8946</v>
      </c>
      <c r="AM7363" t="s">
        <v>78</v>
      </c>
      <c r="AN7363" t="s">
        <v>78</v>
      </c>
      <c r="AO7363" t="s">
        <v>78</v>
      </c>
      <c r="AP7363" t="s">
        <v>141</v>
      </c>
      <c r="AQ7363">
        <v>1</v>
      </c>
      <c r="AR7363" t="s">
        <v>80</v>
      </c>
      <c r="AS7363" t="s">
        <v>81</v>
      </c>
      <c r="AT7363" t="s">
        <v>58</v>
      </c>
      <c r="AU7363" t="s">
        <v>68</v>
      </c>
      <c r="AV7363" t="s">
        <v>69</v>
      </c>
      <c r="AW7363" s="1">
        <v>26612</v>
      </c>
      <c r="AX7363">
        <v>1</v>
      </c>
    </row>
    <row r="7364" spans="1:50">
      <c r="B7364" t="str">
        <f>"076030383"</f>
        <v>076030383</v>
      </c>
      <c r="C7364" t="s">
        <v>105</v>
      </c>
      <c r="D7364" t="s">
        <v>4221</v>
      </c>
      <c r="E7364" t="s">
        <v>84</v>
      </c>
      <c r="F7364" t="s">
        <v>92</v>
      </c>
      <c r="G7364" t="s">
        <v>109</v>
      </c>
      <c r="H7364" t="str">
        <f>"ΗΛΕΚΤΡΑΣ 12 ΗΡΑΚΛΕΙΟ"</f>
        <v>ΗΛΕΚΤΡΑΣ 12 ΗΡΑΚΛΕΙΟ</v>
      </c>
      <c r="I7364">
        <v>71305</v>
      </c>
      <c r="J7364">
        <v>2810318855</v>
      </c>
      <c r="K7364">
        <v>6942466638</v>
      </c>
      <c r="N7364" t="s">
        <v>176</v>
      </c>
      <c r="O7364" t="s">
        <v>177</v>
      </c>
      <c r="R7364" t="s">
        <v>159</v>
      </c>
      <c r="S7364">
        <v>4</v>
      </c>
      <c r="T7364" t="s">
        <v>8675</v>
      </c>
      <c r="U7364" s="1">
        <v>43348</v>
      </c>
      <c r="V7364" t="s">
        <v>80</v>
      </c>
      <c r="W7364" t="s">
        <v>81</v>
      </c>
      <c r="X7364" t="s">
        <v>58</v>
      </c>
      <c r="Y7364">
        <v>24</v>
      </c>
      <c r="Z7364" t="s">
        <v>59</v>
      </c>
      <c r="AA7364" t="s">
        <v>59</v>
      </c>
      <c r="AB7364" t="s">
        <v>59</v>
      </c>
      <c r="AC7364" t="s">
        <v>59</v>
      </c>
      <c r="AD7364" t="s">
        <v>59</v>
      </c>
      <c r="AF7364" s="1">
        <v>43348</v>
      </c>
      <c r="AG7364" t="s">
        <v>8645</v>
      </c>
      <c r="AH7364" t="s">
        <v>8646</v>
      </c>
      <c r="AI7364" t="str">
        <f>"9170339"</f>
        <v>9170339</v>
      </c>
      <c r="AJ7364" t="s">
        <v>9500</v>
      </c>
      <c r="AK7364">
        <v>2892051391</v>
      </c>
      <c r="AL7364" t="s">
        <v>9501</v>
      </c>
      <c r="AM7364" t="s">
        <v>78</v>
      </c>
      <c r="AN7364" t="s">
        <v>242</v>
      </c>
      <c r="AO7364" t="s">
        <v>349</v>
      </c>
      <c r="AP7364" t="s">
        <v>349</v>
      </c>
      <c r="AQ7364">
        <v>19</v>
      </c>
      <c r="AR7364" t="s">
        <v>80</v>
      </c>
      <c r="AS7364" t="s">
        <v>81</v>
      </c>
      <c r="AT7364" t="s">
        <v>58</v>
      </c>
      <c r="AU7364" t="s">
        <v>8673</v>
      </c>
      <c r="AV7364" t="s">
        <v>132</v>
      </c>
      <c r="AW7364" s="1">
        <v>25061</v>
      </c>
      <c r="AX7364">
        <v>1</v>
      </c>
    </row>
    <row r="7365" spans="1:50">
      <c r="A7365">
        <v>618394</v>
      </c>
      <c r="B7365" t="str">
        <f>"137451713"</f>
        <v>137451713</v>
      </c>
      <c r="C7365" t="s">
        <v>50</v>
      </c>
      <c r="D7365" t="s">
        <v>6651</v>
      </c>
      <c r="E7365" t="s">
        <v>11739</v>
      </c>
      <c r="F7365" t="s">
        <v>95</v>
      </c>
      <c r="G7365" t="s">
        <v>11740</v>
      </c>
      <c r="H7365" t="str">
        <f>"ΚΥΠΡΟΥ 21 ΜΑΛΙΑ"</f>
        <v>ΚΥΠΡΟΥ 21 ΜΑΛΙΑ</v>
      </c>
      <c r="I7365">
        <v>70007</v>
      </c>
      <c r="J7365">
        <v>2897031766</v>
      </c>
      <c r="K7365">
        <v>6977448531</v>
      </c>
      <c r="N7365" t="s">
        <v>615</v>
      </c>
      <c r="O7365" t="s">
        <v>616</v>
      </c>
      <c r="R7365" t="s">
        <v>57</v>
      </c>
      <c r="S7365">
        <v>5</v>
      </c>
      <c r="T7365">
        <v>774</v>
      </c>
      <c r="U7365" s="1">
        <v>39680</v>
      </c>
      <c r="V7365" t="s">
        <v>80</v>
      </c>
      <c r="W7365" t="s">
        <v>81</v>
      </c>
      <c r="X7365" t="s">
        <v>58</v>
      </c>
      <c r="Y7365">
        <v>23</v>
      </c>
      <c r="Z7365" t="s">
        <v>59</v>
      </c>
      <c r="AA7365" t="s">
        <v>59</v>
      </c>
      <c r="AB7365" t="s">
        <v>59</v>
      </c>
      <c r="AC7365" t="s">
        <v>59</v>
      </c>
      <c r="AD7365" t="s">
        <v>59</v>
      </c>
      <c r="AF7365" s="1">
        <v>39681</v>
      </c>
      <c r="AG7365" t="s">
        <v>8645</v>
      </c>
      <c r="AH7365" t="s">
        <v>8646</v>
      </c>
      <c r="AI7365" t="str">
        <f>"9170242"</f>
        <v>9170242</v>
      </c>
      <c r="AJ7365" t="s">
        <v>9314</v>
      </c>
      <c r="AK7365">
        <v>2897031254</v>
      </c>
      <c r="AL7365" t="s">
        <v>9315</v>
      </c>
      <c r="AM7365" t="s">
        <v>78</v>
      </c>
      <c r="AN7365" t="s">
        <v>219</v>
      </c>
      <c r="AO7365" t="s">
        <v>527</v>
      </c>
      <c r="AP7365" t="s">
        <v>527</v>
      </c>
      <c r="AQ7365">
        <v>8</v>
      </c>
      <c r="AR7365" t="s">
        <v>80</v>
      </c>
      <c r="AS7365" t="s">
        <v>81</v>
      </c>
      <c r="AT7365" t="s">
        <v>58</v>
      </c>
      <c r="AU7365" t="s">
        <v>68</v>
      </c>
      <c r="AV7365" t="s">
        <v>69</v>
      </c>
      <c r="AW7365" s="1">
        <v>31122</v>
      </c>
      <c r="AX7365">
        <v>1</v>
      </c>
    </row>
    <row r="7366" spans="1:50">
      <c r="A7366">
        <v>611252</v>
      </c>
      <c r="B7366" t="str">
        <f>"103526381"</f>
        <v>103526381</v>
      </c>
      <c r="C7366" t="s">
        <v>50</v>
      </c>
      <c r="D7366" t="s">
        <v>6651</v>
      </c>
      <c r="E7366" t="s">
        <v>83</v>
      </c>
      <c r="F7366" t="s">
        <v>72</v>
      </c>
      <c r="G7366" t="s">
        <v>476</v>
      </c>
      <c r="H7366" t="str">
        <f>" "</f>
        <v xml:space="preserve"> </v>
      </c>
      <c r="J7366">
        <v>2810326316</v>
      </c>
      <c r="K7366">
        <v>6974312874</v>
      </c>
      <c r="N7366" t="s">
        <v>1525</v>
      </c>
      <c r="O7366" t="s">
        <v>1526</v>
      </c>
      <c r="R7366" t="s">
        <v>57</v>
      </c>
      <c r="S7366">
        <v>7</v>
      </c>
      <c r="T7366">
        <v>233</v>
      </c>
      <c r="U7366" s="1">
        <v>38960</v>
      </c>
      <c r="V7366" t="s">
        <v>80</v>
      </c>
      <c r="W7366" t="s">
        <v>81</v>
      </c>
      <c r="X7366" t="s">
        <v>58</v>
      </c>
      <c r="Y7366">
        <v>25</v>
      </c>
      <c r="Z7366" t="s">
        <v>59</v>
      </c>
      <c r="AA7366" t="s">
        <v>59</v>
      </c>
      <c r="AB7366" t="s">
        <v>59</v>
      </c>
      <c r="AC7366" t="s">
        <v>59</v>
      </c>
      <c r="AD7366" t="s">
        <v>59</v>
      </c>
      <c r="AF7366" s="1">
        <v>38961</v>
      </c>
      <c r="AG7366" t="s">
        <v>8651</v>
      </c>
      <c r="AH7366" t="s">
        <v>8652</v>
      </c>
      <c r="AI7366" t="str">
        <f>"9170509"</f>
        <v>9170509</v>
      </c>
      <c r="AJ7366" t="s">
        <v>9541</v>
      </c>
      <c r="AK7366">
        <v>2810324988</v>
      </c>
      <c r="AL7366" t="s">
        <v>9542</v>
      </c>
      <c r="AM7366" t="s">
        <v>78</v>
      </c>
      <c r="AN7366" t="s">
        <v>78</v>
      </c>
      <c r="AO7366" t="s">
        <v>78</v>
      </c>
      <c r="AP7366" t="s">
        <v>163</v>
      </c>
      <c r="AQ7366">
        <v>1</v>
      </c>
      <c r="AR7366" t="s">
        <v>80</v>
      </c>
      <c r="AS7366" t="s">
        <v>81</v>
      </c>
      <c r="AT7366" t="s">
        <v>58</v>
      </c>
      <c r="AU7366" t="s">
        <v>68</v>
      </c>
      <c r="AV7366" t="s">
        <v>69</v>
      </c>
      <c r="AW7366" s="1">
        <v>27601</v>
      </c>
      <c r="AX7366">
        <v>1</v>
      </c>
    </row>
    <row r="7367" spans="1:50">
      <c r="A7367">
        <v>581140</v>
      </c>
      <c r="B7367" t="str">
        <f>"068064859"</f>
        <v>068064859</v>
      </c>
      <c r="C7367" t="s">
        <v>50</v>
      </c>
      <c r="D7367" t="s">
        <v>6651</v>
      </c>
      <c r="E7367" t="s">
        <v>255</v>
      </c>
      <c r="F7367" t="s">
        <v>920</v>
      </c>
      <c r="G7367" t="s">
        <v>83</v>
      </c>
      <c r="H7367" t="str">
        <f>"ΠΟΛΥΘΕΑ ΠΕΔΙΑΔΟΣ"</f>
        <v>ΠΟΛΥΘΕΑ ΠΕΔΙΑΔΟΣ</v>
      </c>
      <c r="I7367">
        <v>70006</v>
      </c>
      <c r="J7367">
        <v>2891031484</v>
      </c>
      <c r="K7367">
        <v>6908609583</v>
      </c>
      <c r="N7367" t="s">
        <v>615</v>
      </c>
      <c r="O7367" t="s">
        <v>616</v>
      </c>
      <c r="R7367" t="s">
        <v>57</v>
      </c>
      <c r="S7367">
        <v>12</v>
      </c>
      <c r="T7367">
        <v>179</v>
      </c>
      <c r="U7367" s="1">
        <v>35674</v>
      </c>
      <c r="V7367" t="s">
        <v>80</v>
      </c>
      <c r="W7367" t="s">
        <v>81</v>
      </c>
      <c r="X7367" t="s">
        <v>58</v>
      </c>
      <c r="Y7367">
        <v>21</v>
      </c>
      <c r="Z7367" t="s">
        <v>59</v>
      </c>
      <c r="AA7367" t="s">
        <v>59</v>
      </c>
      <c r="AB7367" t="s">
        <v>59</v>
      </c>
      <c r="AC7367" t="s">
        <v>59</v>
      </c>
      <c r="AD7367" t="s">
        <v>59</v>
      </c>
      <c r="AF7367" s="1">
        <v>35676</v>
      </c>
      <c r="AG7367" t="s">
        <v>8645</v>
      </c>
      <c r="AH7367" t="s">
        <v>8646</v>
      </c>
      <c r="AI7367" t="str">
        <f>"9170235"</f>
        <v>9170235</v>
      </c>
      <c r="AJ7367" t="s">
        <v>8806</v>
      </c>
      <c r="AK7367">
        <v>2891031258</v>
      </c>
      <c r="AL7367" t="s">
        <v>8807</v>
      </c>
      <c r="AM7367" t="s">
        <v>78</v>
      </c>
      <c r="AN7367" t="s">
        <v>276</v>
      </c>
      <c r="AO7367" t="s">
        <v>277</v>
      </c>
      <c r="AP7367" t="s">
        <v>277</v>
      </c>
      <c r="AQ7367">
        <v>13</v>
      </c>
      <c r="AR7367" t="s">
        <v>80</v>
      </c>
      <c r="AS7367" t="s">
        <v>81</v>
      </c>
      <c r="AT7367" t="s">
        <v>58</v>
      </c>
      <c r="AU7367" t="s">
        <v>68</v>
      </c>
      <c r="AV7367" t="s">
        <v>69</v>
      </c>
      <c r="AW7367" s="1">
        <v>20981</v>
      </c>
      <c r="AX7367">
        <v>1</v>
      </c>
    </row>
    <row r="7368" spans="1:50">
      <c r="A7368">
        <v>567585</v>
      </c>
      <c r="B7368" t="str">
        <f>"068052916"</f>
        <v>068052916</v>
      </c>
      <c r="C7368" t="s">
        <v>50</v>
      </c>
      <c r="D7368" t="s">
        <v>6651</v>
      </c>
      <c r="E7368" t="s">
        <v>109</v>
      </c>
      <c r="F7368" t="s">
        <v>377</v>
      </c>
      <c r="G7368" t="s">
        <v>1830</v>
      </c>
      <c r="H7368" t="str">
        <f>"ΣΚΑΛΑΝΙ ΣΚΑΛΑΝΙ"</f>
        <v>ΣΚΑΛΑΝΙ ΣΚΑΛΑΝΙ</v>
      </c>
      <c r="I7368">
        <v>71500</v>
      </c>
      <c r="J7368">
        <v>2810731682</v>
      </c>
      <c r="N7368" t="s">
        <v>615</v>
      </c>
      <c r="O7368" t="s">
        <v>616</v>
      </c>
      <c r="R7368" t="s">
        <v>57</v>
      </c>
      <c r="S7368">
        <v>13</v>
      </c>
      <c r="T7368">
        <v>133</v>
      </c>
      <c r="U7368" s="1">
        <v>33456</v>
      </c>
      <c r="V7368" t="s">
        <v>80</v>
      </c>
      <c r="W7368" t="s">
        <v>81</v>
      </c>
      <c r="X7368" t="s">
        <v>58</v>
      </c>
      <c r="Y7368">
        <v>21</v>
      </c>
      <c r="Z7368" t="s">
        <v>59</v>
      </c>
      <c r="AA7368" t="s">
        <v>59</v>
      </c>
      <c r="AB7368" t="s">
        <v>59</v>
      </c>
      <c r="AC7368" t="s">
        <v>59</v>
      </c>
      <c r="AD7368" t="s">
        <v>59</v>
      </c>
      <c r="AF7368" s="1">
        <v>33483</v>
      </c>
      <c r="AG7368" t="s">
        <v>8645</v>
      </c>
      <c r="AH7368" t="s">
        <v>8646</v>
      </c>
      <c r="AI7368" t="str">
        <f>"9170197"</f>
        <v>9170197</v>
      </c>
      <c r="AJ7368" t="s">
        <v>8989</v>
      </c>
      <c r="AK7368">
        <v>2810232577</v>
      </c>
      <c r="AL7368" t="s">
        <v>8990</v>
      </c>
      <c r="AM7368" t="s">
        <v>78</v>
      </c>
      <c r="AN7368" t="s">
        <v>78</v>
      </c>
      <c r="AO7368" t="s">
        <v>78</v>
      </c>
      <c r="AP7368" t="s">
        <v>163</v>
      </c>
      <c r="AQ7368">
        <v>1</v>
      </c>
      <c r="AR7368" t="s">
        <v>80</v>
      </c>
      <c r="AS7368" t="s">
        <v>81</v>
      </c>
      <c r="AT7368" t="s">
        <v>58</v>
      </c>
      <c r="AU7368" t="s">
        <v>68</v>
      </c>
      <c r="AV7368" t="s">
        <v>69</v>
      </c>
      <c r="AW7368" s="1">
        <v>21226</v>
      </c>
      <c r="AX7368">
        <v>1</v>
      </c>
    </row>
    <row r="7369" spans="1:50">
      <c r="A7369">
        <v>592201</v>
      </c>
      <c r="B7369" t="str">
        <f>"078402142"</f>
        <v>078402142</v>
      </c>
      <c r="C7369" t="s">
        <v>50</v>
      </c>
      <c r="D7369" t="s">
        <v>6651</v>
      </c>
      <c r="E7369" t="s">
        <v>52</v>
      </c>
      <c r="F7369" t="s">
        <v>72</v>
      </c>
      <c r="G7369" t="s">
        <v>93</v>
      </c>
      <c r="H7369" t="str">
        <f>" "</f>
        <v xml:space="preserve"> </v>
      </c>
      <c r="N7369" t="s">
        <v>1525</v>
      </c>
      <c r="O7369" t="s">
        <v>1526</v>
      </c>
      <c r="R7369" t="s">
        <v>57</v>
      </c>
      <c r="S7369">
        <v>9</v>
      </c>
      <c r="T7369">
        <v>249</v>
      </c>
      <c r="U7369" s="1">
        <v>36769</v>
      </c>
      <c r="V7369" t="s">
        <v>80</v>
      </c>
      <c r="W7369" t="s">
        <v>81</v>
      </c>
      <c r="X7369" t="s">
        <v>58</v>
      </c>
      <c r="Y7369">
        <v>25</v>
      </c>
      <c r="Z7369" t="s">
        <v>59</v>
      </c>
      <c r="AA7369" t="s">
        <v>59</v>
      </c>
      <c r="AB7369" t="s">
        <v>59</v>
      </c>
      <c r="AC7369" t="s">
        <v>59</v>
      </c>
      <c r="AD7369" t="s">
        <v>59</v>
      </c>
      <c r="AF7369" s="1">
        <v>36770</v>
      </c>
      <c r="AG7369" t="s">
        <v>8651</v>
      </c>
      <c r="AH7369" t="s">
        <v>8652</v>
      </c>
      <c r="AI7369" t="str">
        <f>"9520920"</f>
        <v>9520920</v>
      </c>
      <c r="AJ7369" t="s">
        <v>9908</v>
      </c>
      <c r="AK7369">
        <v>2810322441</v>
      </c>
      <c r="AL7369" t="s">
        <v>9909</v>
      </c>
      <c r="AM7369" t="s">
        <v>78</v>
      </c>
      <c r="AN7369" t="s">
        <v>78</v>
      </c>
      <c r="AO7369" t="s">
        <v>78</v>
      </c>
      <c r="AP7369" t="s">
        <v>163</v>
      </c>
      <c r="AQ7369">
        <v>1</v>
      </c>
      <c r="AR7369" t="s">
        <v>80</v>
      </c>
      <c r="AS7369" t="s">
        <v>81</v>
      </c>
      <c r="AT7369" t="s">
        <v>58</v>
      </c>
      <c r="AU7369" t="s">
        <v>68</v>
      </c>
      <c r="AV7369" t="s">
        <v>69</v>
      </c>
      <c r="AW7369" s="1">
        <v>26199</v>
      </c>
      <c r="AX7369">
        <v>1</v>
      </c>
    </row>
    <row r="7370" spans="1:50">
      <c r="A7370">
        <v>550813</v>
      </c>
      <c r="B7370" t="str">
        <f>"029034300"</f>
        <v>029034300</v>
      </c>
      <c r="C7370" t="s">
        <v>50</v>
      </c>
      <c r="D7370" t="s">
        <v>6651</v>
      </c>
      <c r="E7370" t="s">
        <v>11741</v>
      </c>
      <c r="F7370" t="s">
        <v>106</v>
      </c>
      <c r="G7370" t="s">
        <v>52</v>
      </c>
      <c r="H7370" t="str">
        <f>"ΦΑΛΙΕΡΟΥ 20 ΗΡΑΚΛΕΙΟ"</f>
        <v>ΦΑΛΙΕΡΟΥ 20 ΗΡΑΚΛΕΙΟ</v>
      </c>
      <c r="I7370">
        <v>71409</v>
      </c>
      <c r="J7370">
        <v>2810212059</v>
      </c>
      <c r="K7370">
        <v>6944699490</v>
      </c>
      <c r="N7370" t="s">
        <v>615</v>
      </c>
      <c r="O7370" t="s">
        <v>616</v>
      </c>
      <c r="R7370" t="s">
        <v>57</v>
      </c>
      <c r="S7370">
        <v>18</v>
      </c>
      <c r="T7370">
        <v>393</v>
      </c>
      <c r="U7370" s="1">
        <v>30655</v>
      </c>
      <c r="V7370" t="s">
        <v>80</v>
      </c>
      <c r="W7370" t="s">
        <v>81</v>
      </c>
      <c r="X7370" t="s">
        <v>58</v>
      </c>
      <c r="Y7370">
        <v>21</v>
      </c>
      <c r="Z7370" t="s">
        <v>59</v>
      </c>
      <c r="AA7370" t="s">
        <v>59</v>
      </c>
      <c r="AB7370" t="s">
        <v>59</v>
      </c>
      <c r="AC7370" t="s">
        <v>59</v>
      </c>
      <c r="AD7370" t="s">
        <v>59</v>
      </c>
      <c r="AF7370" s="1">
        <v>30658</v>
      </c>
      <c r="AG7370" t="s">
        <v>8645</v>
      </c>
      <c r="AH7370" t="s">
        <v>8646</v>
      </c>
      <c r="AI7370" t="str">
        <f>"9170514"</f>
        <v>9170514</v>
      </c>
      <c r="AJ7370" t="s">
        <v>8801</v>
      </c>
      <c r="AK7370">
        <v>2810238666</v>
      </c>
      <c r="AL7370" t="s">
        <v>8802</v>
      </c>
      <c r="AM7370" t="s">
        <v>78</v>
      </c>
      <c r="AN7370" t="s">
        <v>78</v>
      </c>
      <c r="AO7370" t="s">
        <v>78</v>
      </c>
      <c r="AP7370" t="s">
        <v>163</v>
      </c>
      <c r="AQ7370">
        <v>1</v>
      </c>
      <c r="AR7370" t="s">
        <v>80</v>
      </c>
      <c r="AS7370" t="s">
        <v>81</v>
      </c>
      <c r="AT7370" t="s">
        <v>58</v>
      </c>
      <c r="AU7370" t="s">
        <v>68</v>
      </c>
      <c r="AV7370" t="s">
        <v>69</v>
      </c>
      <c r="AW7370" s="1">
        <v>22336</v>
      </c>
      <c r="AX7370">
        <v>1</v>
      </c>
    </row>
    <row r="7371" spans="1:50">
      <c r="A7371">
        <v>568009</v>
      </c>
      <c r="B7371" t="str">
        <f>"041858162"</f>
        <v>041858162</v>
      </c>
      <c r="C7371" t="s">
        <v>105</v>
      </c>
      <c r="D7371" t="s">
        <v>4228</v>
      </c>
      <c r="E7371" t="s">
        <v>84</v>
      </c>
      <c r="F7371" t="s">
        <v>166</v>
      </c>
      <c r="G7371" t="s">
        <v>52</v>
      </c>
      <c r="H7371" t="str">
        <f>"ΣΓΟΥΡΟΜΑΛΛΙΝΗΣ 20 ΗΡΑΚΛΕΙΟ"</f>
        <v>ΣΓΟΥΡΟΜΑΛΛΙΝΗΣ 20 ΗΡΑΚΛΕΙΟ</v>
      </c>
      <c r="I7371">
        <v>71305</v>
      </c>
      <c r="J7371">
        <v>2810341041</v>
      </c>
      <c r="K7371">
        <v>6934220980</v>
      </c>
      <c r="M7371" t="s">
        <v>11742</v>
      </c>
      <c r="N7371" t="s">
        <v>615</v>
      </c>
      <c r="O7371" t="s">
        <v>616</v>
      </c>
      <c r="R7371" t="s">
        <v>57</v>
      </c>
      <c r="S7371">
        <v>13</v>
      </c>
      <c r="T7371">
        <v>162</v>
      </c>
      <c r="U7371" s="1">
        <v>33844</v>
      </c>
      <c r="V7371" t="s">
        <v>80</v>
      </c>
      <c r="W7371" t="s">
        <v>81</v>
      </c>
      <c r="X7371" t="s">
        <v>58</v>
      </c>
      <c r="Y7371">
        <v>21</v>
      </c>
      <c r="Z7371" t="s">
        <v>59</v>
      </c>
      <c r="AA7371" t="s">
        <v>59</v>
      </c>
      <c r="AB7371" t="s">
        <v>59</v>
      </c>
      <c r="AC7371" t="s">
        <v>59</v>
      </c>
      <c r="AD7371" t="s">
        <v>59</v>
      </c>
      <c r="AF7371" s="1">
        <v>33848</v>
      </c>
      <c r="AG7371" t="s">
        <v>8645</v>
      </c>
      <c r="AH7371" t="s">
        <v>8646</v>
      </c>
      <c r="AI7371" t="str">
        <f>"9170343"</f>
        <v>9170343</v>
      </c>
      <c r="AJ7371" t="s">
        <v>8743</v>
      </c>
      <c r="AK7371">
        <v>2810283970</v>
      </c>
      <c r="AL7371" t="s">
        <v>8744</v>
      </c>
      <c r="AM7371" t="s">
        <v>78</v>
      </c>
      <c r="AN7371" t="s">
        <v>78</v>
      </c>
      <c r="AO7371" t="s">
        <v>78</v>
      </c>
      <c r="AP7371" t="s">
        <v>79</v>
      </c>
      <c r="AQ7371">
        <v>1</v>
      </c>
      <c r="AR7371" t="s">
        <v>80</v>
      </c>
      <c r="AS7371" t="s">
        <v>81</v>
      </c>
      <c r="AT7371" t="s">
        <v>58</v>
      </c>
      <c r="AU7371" t="s">
        <v>68</v>
      </c>
      <c r="AV7371" t="s">
        <v>69</v>
      </c>
      <c r="AW7371" s="1">
        <v>22991</v>
      </c>
      <c r="AX7371">
        <v>1</v>
      </c>
    </row>
    <row r="7372" spans="1:50">
      <c r="B7372" t="str">
        <f>"103523422"</f>
        <v>103523422</v>
      </c>
      <c r="C7372" t="s">
        <v>50</v>
      </c>
      <c r="D7372" t="s">
        <v>4230</v>
      </c>
      <c r="E7372" t="s">
        <v>237</v>
      </c>
      <c r="F7372" t="s">
        <v>1523</v>
      </c>
      <c r="G7372" t="s">
        <v>52</v>
      </c>
      <c r="H7372" t="str">
        <f>"ΔΡΑΚΟΝΤΟΠΟΥΛΟΥ 18 ΗΡΑΚΛΕΙΟ ΚΡΗΤΗΣ"</f>
        <v>ΔΡΑΚΟΝΤΟΠΟΥΛΟΥ 18 ΗΡΑΚΛΕΙΟ ΚΡΗΤΗΣ</v>
      </c>
      <c r="I7372">
        <v>71306</v>
      </c>
      <c r="J7372">
        <v>2810285832</v>
      </c>
      <c r="K7372">
        <v>6936768484</v>
      </c>
      <c r="N7372" t="s">
        <v>288</v>
      </c>
      <c r="O7372" t="s">
        <v>289</v>
      </c>
      <c r="R7372" t="s">
        <v>159</v>
      </c>
      <c r="S7372">
        <v>2</v>
      </c>
      <c r="T7372" t="s">
        <v>8675</v>
      </c>
      <c r="U7372" s="1">
        <v>43348</v>
      </c>
      <c r="V7372" t="s">
        <v>80</v>
      </c>
      <c r="W7372" t="s">
        <v>81</v>
      </c>
      <c r="X7372" t="s">
        <v>58</v>
      </c>
      <c r="Y7372">
        <v>14</v>
      </c>
      <c r="Z7372" t="s">
        <v>59</v>
      </c>
      <c r="AA7372" t="s">
        <v>59</v>
      </c>
      <c r="AB7372" t="s">
        <v>59</v>
      </c>
      <c r="AC7372" t="s">
        <v>59</v>
      </c>
      <c r="AD7372" t="s">
        <v>59</v>
      </c>
      <c r="AF7372" s="1">
        <v>43348</v>
      </c>
      <c r="AG7372" t="s">
        <v>8645</v>
      </c>
      <c r="AH7372" t="s">
        <v>8646</v>
      </c>
      <c r="AI7372" t="str">
        <f>"9170250"</f>
        <v>9170250</v>
      </c>
      <c r="AJ7372" t="s">
        <v>8823</v>
      </c>
      <c r="AK7372">
        <v>2897022005</v>
      </c>
      <c r="AL7372" t="s">
        <v>8824</v>
      </c>
      <c r="AM7372" t="s">
        <v>78</v>
      </c>
      <c r="AN7372" t="s">
        <v>219</v>
      </c>
      <c r="AO7372" t="s">
        <v>219</v>
      </c>
      <c r="AP7372" t="s">
        <v>219</v>
      </c>
      <c r="AQ7372">
        <v>8</v>
      </c>
      <c r="AR7372" t="s">
        <v>80</v>
      </c>
      <c r="AS7372" t="s">
        <v>81</v>
      </c>
      <c r="AT7372" t="s">
        <v>58</v>
      </c>
      <c r="AU7372" t="s">
        <v>8686</v>
      </c>
      <c r="AV7372" t="s">
        <v>132</v>
      </c>
      <c r="AW7372" s="1">
        <v>29853</v>
      </c>
      <c r="AX7372">
        <v>1</v>
      </c>
    </row>
    <row r="7373" spans="1:50">
      <c r="A7373">
        <v>614051</v>
      </c>
      <c r="B7373" t="str">
        <f>"079999253"</f>
        <v>079999253</v>
      </c>
      <c r="C7373" t="s">
        <v>50</v>
      </c>
      <c r="D7373" t="s">
        <v>4230</v>
      </c>
      <c r="E7373" t="s">
        <v>1176</v>
      </c>
      <c r="F7373" t="s">
        <v>53</v>
      </c>
      <c r="G7373" t="s">
        <v>250</v>
      </c>
      <c r="H7373" t="str">
        <f>"ΛΑΟΔΑΜΑΝΤΟΣ 8 ΗΡΑΚΛΕΙΟ"</f>
        <v>ΛΑΟΔΑΜΑΝΤΟΣ 8 ΗΡΑΚΛΕΙΟ</v>
      </c>
      <c r="I7373">
        <v>71409</v>
      </c>
      <c r="K7373">
        <v>6934890851</v>
      </c>
      <c r="M7373" t="s">
        <v>11743</v>
      </c>
      <c r="N7373" t="s">
        <v>615</v>
      </c>
      <c r="O7373" t="s">
        <v>616</v>
      </c>
      <c r="R7373" t="s">
        <v>57</v>
      </c>
      <c r="S7373">
        <v>5</v>
      </c>
      <c r="T7373">
        <v>598</v>
      </c>
      <c r="U7373" s="1">
        <v>39310</v>
      </c>
      <c r="V7373" t="s">
        <v>80</v>
      </c>
      <c r="W7373" t="s">
        <v>81</v>
      </c>
      <c r="X7373" t="s">
        <v>58</v>
      </c>
      <c r="Y7373">
        <v>23</v>
      </c>
      <c r="Z7373" t="s">
        <v>59</v>
      </c>
      <c r="AA7373" t="s">
        <v>59</v>
      </c>
      <c r="AB7373" t="s">
        <v>59</v>
      </c>
      <c r="AC7373" t="s">
        <v>59</v>
      </c>
      <c r="AD7373" t="s">
        <v>59</v>
      </c>
      <c r="AF7373" s="1">
        <v>39328</v>
      </c>
      <c r="AG7373" t="s">
        <v>8645</v>
      </c>
      <c r="AH7373" t="s">
        <v>8646</v>
      </c>
      <c r="AI7373" t="str">
        <f>"9170515"</f>
        <v>9170515</v>
      </c>
      <c r="AJ7373" t="s">
        <v>8790</v>
      </c>
      <c r="AK7373">
        <v>2810254821</v>
      </c>
      <c r="AL7373" t="s">
        <v>8791</v>
      </c>
      <c r="AM7373" t="s">
        <v>78</v>
      </c>
      <c r="AN7373" t="s">
        <v>78</v>
      </c>
      <c r="AO7373" t="s">
        <v>78</v>
      </c>
      <c r="AP7373" t="s">
        <v>163</v>
      </c>
      <c r="AQ7373">
        <v>1</v>
      </c>
      <c r="AR7373" t="s">
        <v>80</v>
      </c>
      <c r="AS7373" t="s">
        <v>81</v>
      </c>
      <c r="AT7373" t="s">
        <v>58</v>
      </c>
      <c r="AU7373" t="s">
        <v>68</v>
      </c>
      <c r="AV7373" t="s">
        <v>69</v>
      </c>
      <c r="AW7373" s="1">
        <v>31084</v>
      </c>
      <c r="AX7373">
        <v>1</v>
      </c>
    </row>
    <row r="7374" spans="1:50">
      <c r="A7374">
        <v>579953</v>
      </c>
      <c r="B7374" t="str">
        <f>"064405723"</f>
        <v>064405723</v>
      </c>
      <c r="C7374" t="s">
        <v>50</v>
      </c>
      <c r="D7374" t="s">
        <v>4230</v>
      </c>
      <c r="E7374" t="s">
        <v>73</v>
      </c>
      <c r="F7374" t="s">
        <v>53</v>
      </c>
      <c r="G7374" t="s">
        <v>250</v>
      </c>
      <c r="H7374" t="str">
        <f>"ΠΑΤΡΙΑΡΧΟΥ ΦΩΤΙΟΥ 38 ΗΡΑΚΛΕΙΟ"</f>
        <v>ΠΑΤΡΙΑΡΧΟΥ ΦΩΤΙΟΥ 38 ΗΡΑΚΛΕΙΟ</v>
      </c>
      <c r="I7374">
        <v>71305</v>
      </c>
      <c r="J7374">
        <v>2810239187</v>
      </c>
      <c r="K7374">
        <v>6988200259</v>
      </c>
      <c r="N7374" t="s">
        <v>1525</v>
      </c>
      <c r="O7374" t="s">
        <v>1526</v>
      </c>
      <c r="R7374" t="s">
        <v>57</v>
      </c>
      <c r="S7374">
        <v>13</v>
      </c>
      <c r="T7374">
        <v>165</v>
      </c>
      <c r="U7374" s="1">
        <v>35300</v>
      </c>
      <c r="V7374" t="s">
        <v>80</v>
      </c>
      <c r="W7374" t="s">
        <v>81</v>
      </c>
      <c r="X7374" t="s">
        <v>58</v>
      </c>
      <c r="Y7374">
        <v>25</v>
      </c>
      <c r="Z7374" t="s">
        <v>59</v>
      </c>
      <c r="AA7374" t="s">
        <v>59</v>
      </c>
      <c r="AB7374" t="s">
        <v>59</v>
      </c>
      <c r="AC7374" t="s">
        <v>59</v>
      </c>
      <c r="AD7374" t="s">
        <v>59</v>
      </c>
      <c r="AF7374" s="1">
        <v>35310</v>
      </c>
      <c r="AG7374" t="s">
        <v>8651</v>
      </c>
      <c r="AH7374" t="s">
        <v>8652</v>
      </c>
      <c r="AI7374" t="str">
        <f>"9170052"</f>
        <v>9170052</v>
      </c>
      <c r="AJ7374" t="s">
        <v>8714</v>
      </c>
      <c r="AK7374">
        <v>2810257486</v>
      </c>
      <c r="AL7374" t="s">
        <v>8715</v>
      </c>
      <c r="AM7374" t="s">
        <v>78</v>
      </c>
      <c r="AN7374" t="s">
        <v>78</v>
      </c>
      <c r="AO7374" t="s">
        <v>78</v>
      </c>
      <c r="AP7374" t="s">
        <v>79</v>
      </c>
      <c r="AQ7374">
        <v>1</v>
      </c>
      <c r="AR7374" t="s">
        <v>80</v>
      </c>
      <c r="AS7374" t="s">
        <v>81</v>
      </c>
      <c r="AT7374" t="s">
        <v>58</v>
      </c>
      <c r="AU7374" t="s">
        <v>68</v>
      </c>
      <c r="AV7374" t="s">
        <v>69</v>
      </c>
      <c r="AW7374" s="1">
        <v>24006</v>
      </c>
      <c r="AX7374">
        <v>1</v>
      </c>
    </row>
    <row r="7375" spans="1:50">
      <c r="A7375">
        <v>617478</v>
      </c>
      <c r="B7375" t="str">
        <f>"123695628"</f>
        <v>123695628</v>
      </c>
      <c r="C7375" t="s">
        <v>50</v>
      </c>
      <c r="D7375" t="s">
        <v>4230</v>
      </c>
      <c r="E7375" t="s">
        <v>263</v>
      </c>
      <c r="F7375" t="s">
        <v>166</v>
      </c>
      <c r="G7375" t="s">
        <v>83</v>
      </c>
      <c r="H7375" t="str">
        <f>"ΔΡΑΧΜΗΣ 34 ΗΡΑΚΛΕΙΟ"</f>
        <v>ΔΡΑΧΜΗΣ 34 ΗΡΑΚΛΕΙΟ</v>
      </c>
      <c r="I7375">
        <v>71500</v>
      </c>
      <c r="J7375">
        <v>2810543537</v>
      </c>
      <c r="K7375">
        <v>6976902202</v>
      </c>
      <c r="M7375" t="s">
        <v>11744</v>
      </c>
      <c r="N7375" t="s">
        <v>615</v>
      </c>
      <c r="O7375" t="s">
        <v>616</v>
      </c>
      <c r="R7375" t="s">
        <v>57</v>
      </c>
      <c r="S7375">
        <v>5</v>
      </c>
      <c r="T7375">
        <v>774</v>
      </c>
      <c r="U7375" s="1">
        <v>39680</v>
      </c>
      <c r="V7375" t="s">
        <v>80</v>
      </c>
      <c r="W7375" t="s">
        <v>81</v>
      </c>
      <c r="X7375" t="s">
        <v>58</v>
      </c>
      <c r="Y7375">
        <v>23</v>
      </c>
      <c r="Z7375" t="s">
        <v>59</v>
      </c>
      <c r="AA7375" t="s">
        <v>59</v>
      </c>
      <c r="AB7375" t="s">
        <v>59</v>
      </c>
      <c r="AC7375" t="s">
        <v>59</v>
      </c>
      <c r="AD7375" t="s">
        <v>59</v>
      </c>
      <c r="AF7375" s="1">
        <v>39681</v>
      </c>
      <c r="AG7375" t="s">
        <v>8645</v>
      </c>
      <c r="AH7375" t="s">
        <v>8646</v>
      </c>
      <c r="AI7375" t="str">
        <f>"9170059"</f>
        <v>9170059</v>
      </c>
      <c r="AJ7375" t="s">
        <v>9161</v>
      </c>
      <c r="AK7375">
        <v>2810791244</v>
      </c>
      <c r="AL7375" t="s">
        <v>9162</v>
      </c>
      <c r="AM7375" t="s">
        <v>78</v>
      </c>
      <c r="AN7375" t="s">
        <v>78</v>
      </c>
      <c r="AO7375" t="s">
        <v>195</v>
      </c>
      <c r="AP7375" t="s">
        <v>196</v>
      </c>
      <c r="AQ7375">
        <v>3</v>
      </c>
      <c r="AR7375" t="s">
        <v>80</v>
      </c>
      <c r="AS7375" t="s">
        <v>81</v>
      </c>
      <c r="AT7375" t="s">
        <v>58</v>
      </c>
      <c r="AU7375" t="s">
        <v>68</v>
      </c>
      <c r="AV7375" t="s">
        <v>69</v>
      </c>
      <c r="AW7375" s="1">
        <v>30615</v>
      </c>
      <c r="AX7375">
        <v>1</v>
      </c>
    </row>
    <row r="7376" spans="1:50">
      <c r="A7376">
        <v>570340</v>
      </c>
      <c r="B7376" t="str">
        <f>"050063062"</f>
        <v>050063062</v>
      </c>
      <c r="C7376" t="s">
        <v>50</v>
      </c>
      <c r="D7376" t="s">
        <v>4230</v>
      </c>
      <c r="E7376" t="s">
        <v>83</v>
      </c>
      <c r="F7376" t="s">
        <v>53</v>
      </c>
      <c r="G7376" t="s">
        <v>52</v>
      </c>
      <c r="H7376" t="str">
        <f>"ΑΝΔΡΕΑ ΠΑΠΑΝΔΡΕΟΥ 29 ΗΡΑΚΛΕΙΟ"</f>
        <v>ΑΝΔΡΕΑ ΠΑΠΑΝΔΡΕΟΥ 29 ΗΡΑΚΛΕΙΟ</v>
      </c>
      <c r="I7376">
        <v>71305</v>
      </c>
      <c r="J7376">
        <v>2810285482</v>
      </c>
      <c r="K7376">
        <v>6978555136</v>
      </c>
      <c r="M7376" t="s">
        <v>11745</v>
      </c>
      <c r="N7376" t="s">
        <v>306</v>
      </c>
      <c r="O7376" t="s">
        <v>307</v>
      </c>
      <c r="R7376" t="s">
        <v>57</v>
      </c>
      <c r="S7376">
        <v>13</v>
      </c>
      <c r="T7376">
        <v>239</v>
      </c>
      <c r="U7376" s="1">
        <v>33969</v>
      </c>
      <c r="V7376" t="s">
        <v>80</v>
      </c>
      <c r="W7376" t="s">
        <v>81</v>
      </c>
      <c r="X7376" t="s">
        <v>58</v>
      </c>
      <c r="Y7376">
        <v>21</v>
      </c>
      <c r="Z7376" t="s">
        <v>59</v>
      </c>
      <c r="AA7376" t="s">
        <v>59</v>
      </c>
      <c r="AB7376" t="s">
        <v>59</v>
      </c>
      <c r="AC7376" t="s">
        <v>59</v>
      </c>
      <c r="AD7376" t="s">
        <v>59</v>
      </c>
      <c r="AF7376" s="1">
        <v>33977</v>
      </c>
      <c r="AG7376" t="s">
        <v>8645</v>
      </c>
      <c r="AH7376" t="s">
        <v>8646</v>
      </c>
      <c r="AI7376" t="str">
        <f>"9170343"</f>
        <v>9170343</v>
      </c>
      <c r="AJ7376" t="s">
        <v>8743</v>
      </c>
      <c r="AK7376">
        <v>2810283970</v>
      </c>
      <c r="AL7376" t="s">
        <v>8744</v>
      </c>
      <c r="AM7376" t="s">
        <v>78</v>
      </c>
      <c r="AN7376" t="s">
        <v>78</v>
      </c>
      <c r="AO7376" t="s">
        <v>78</v>
      </c>
      <c r="AP7376" t="s">
        <v>79</v>
      </c>
      <c r="AQ7376">
        <v>1</v>
      </c>
      <c r="AR7376" t="s">
        <v>80</v>
      </c>
      <c r="AS7376" t="s">
        <v>81</v>
      </c>
      <c r="AT7376" t="s">
        <v>58</v>
      </c>
      <c r="AU7376" t="s">
        <v>68</v>
      </c>
      <c r="AV7376" t="s">
        <v>69</v>
      </c>
      <c r="AW7376" s="1">
        <v>24437</v>
      </c>
      <c r="AX7376">
        <v>1</v>
      </c>
    </row>
    <row r="7377" spans="1:50">
      <c r="A7377">
        <v>622236</v>
      </c>
      <c r="B7377" t="str">
        <f>"063883540"</f>
        <v>063883540</v>
      </c>
      <c r="C7377" t="s">
        <v>50</v>
      </c>
      <c r="D7377" t="s">
        <v>4230</v>
      </c>
      <c r="E7377" t="s">
        <v>3249</v>
      </c>
      <c r="F7377" t="s">
        <v>84</v>
      </c>
      <c r="G7377" t="s">
        <v>742</v>
      </c>
      <c r="H7377" t="str">
        <f>"ΠΙΤΣΟΥΛΑΚΗ 48 ΗΡΑΚΛΕΙΟ"</f>
        <v>ΠΙΤΣΟΥΛΑΚΗ 48 ΗΡΑΚΛΕΙΟ</v>
      </c>
      <c r="I7377">
        <v>71307</v>
      </c>
      <c r="J7377">
        <v>2810234561</v>
      </c>
      <c r="K7377">
        <v>6977554872</v>
      </c>
      <c r="N7377" t="s">
        <v>1525</v>
      </c>
      <c r="O7377" t="s">
        <v>1526</v>
      </c>
      <c r="R7377" t="s">
        <v>57</v>
      </c>
      <c r="S7377">
        <v>6</v>
      </c>
      <c r="T7377">
        <v>653</v>
      </c>
      <c r="U7377" s="1">
        <v>40043</v>
      </c>
      <c r="V7377" t="s">
        <v>80</v>
      </c>
      <c r="W7377" t="s">
        <v>81</v>
      </c>
      <c r="X7377" t="s">
        <v>58</v>
      </c>
      <c r="Y7377">
        <v>25</v>
      </c>
      <c r="Z7377" t="s">
        <v>59</v>
      </c>
      <c r="AA7377" t="s">
        <v>59</v>
      </c>
      <c r="AB7377" t="s">
        <v>59</v>
      </c>
      <c r="AC7377" t="s">
        <v>59</v>
      </c>
      <c r="AD7377" t="s">
        <v>59</v>
      </c>
      <c r="AF7377" s="1">
        <v>40043</v>
      </c>
      <c r="AG7377" t="s">
        <v>8651</v>
      </c>
      <c r="AH7377" t="s">
        <v>8652</v>
      </c>
      <c r="AI7377" t="str">
        <f>"9170349"</f>
        <v>9170349</v>
      </c>
      <c r="AJ7377" t="s">
        <v>9108</v>
      </c>
      <c r="AK7377">
        <v>2810282893</v>
      </c>
      <c r="AL7377" t="s">
        <v>9109</v>
      </c>
      <c r="AM7377" t="s">
        <v>78</v>
      </c>
      <c r="AN7377" t="s">
        <v>78</v>
      </c>
      <c r="AO7377" t="s">
        <v>78</v>
      </c>
      <c r="AP7377" t="s">
        <v>79</v>
      </c>
      <c r="AQ7377">
        <v>1</v>
      </c>
      <c r="AR7377" t="s">
        <v>80</v>
      </c>
      <c r="AS7377" t="s">
        <v>81</v>
      </c>
      <c r="AT7377" t="s">
        <v>58</v>
      </c>
      <c r="AU7377" t="s">
        <v>68</v>
      </c>
      <c r="AV7377" t="s">
        <v>69</v>
      </c>
      <c r="AW7377" s="1">
        <v>30102</v>
      </c>
      <c r="AX7377">
        <v>1</v>
      </c>
    </row>
    <row r="7378" spans="1:50">
      <c r="A7378">
        <v>602800</v>
      </c>
      <c r="B7378" t="str">
        <f>"128327697"</f>
        <v>128327697</v>
      </c>
      <c r="C7378" t="s">
        <v>50</v>
      </c>
      <c r="D7378" t="s">
        <v>4230</v>
      </c>
      <c r="E7378" t="s">
        <v>255</v>
      </c>
      <c r="F7378" t="s">
        <v>154</v>
      </c>
      <c r="G7378" t="s">
        <v>620</v>
      </c>
      <c r="H7378" t="str">
        <f>"ΜΩΔΑΙΑΣ 24  ΗΡΑΚΛΕΙΟ "</f>
        <v xml:space="preserve">ΜΩΔΑΙΑΣ 24  ΗΡΑΚΛΕΙΟ </v>
      </c>
      <c r="I7378">
        <v>71409</v>
      </c>
      <c r="J7378">
        <v>2810321694</v>
      </c>
      <c r="K7378">
        <v>6974007286</v>
      </c>
      <c r="N7378" t="s">
        <v>615</v>
      </c>
      <c r="O7378" t="s">
        <v>616</v>
      </c>
      <c r="R7378" t="s">
        <v>57</v>
      </c>
      <c r="S7378">
        <v>7</v>
      </c>
      <c r="T7378">
        <v>207</v>
      </c>
      <c r="U7378" s="1">
        <v>37867</v>
      </c>
      <c r="V7378" t="s">
        <v>80</v>
      </c>
      <c r="W7378" t="s">
        <v>81</v>
      </c>
      <c r="X7378" t="s">
        <v>58</v>
      </c>
      <c r="Y7378">
        <v>22</v>
      </c>
      <c r="Z7378" t="s">
        <v>59</v>
      </c>
      <c r="AA7378" t="s">
        <v>59</v>
      </c>
      <c r="AB7378" t="s">
        <v>59</v>
      </c>
      <c r="AC7378" t="s">
        <v>59</v>
      </c>
      <c r="AD7378" t="s">
        <v>59</v>
      </c>
      <c r="AF7378" s="1">
        <v>37867</v>
      </c>
      <c r="AG7378" t="s">
        <v>8645</v>
      </c>
      <c r="AH7378" t="s">
        <v>8646</v>
      </c>
      <c r="AI7378" t="str">
        <f>"9170533"</f>
        <v>9170533</v>
      </c>
      <c r="AJ7378" t="s">
        <v>9091</v>
      </c>
      <c r="AK7378">
        <v>2810239434</v>
      </c>
      <c r="AL7378" t="s">
        <v>9092</v>
      </c>
      <c r="AM7378" t="s">
        <v>78</v>
      </c>
      <c r="AN7378" t="s">
        <v>78</v>
      </c>
      <c r="AO7378" t="s">
        <v>78</v>
      </c>
      <c r="AP7378" t="s">
        <v>163</v>
      </c>
      <c r="AQ7378">
        <v>1</v>
      </c>
      <c r="AR7378" t="s">
        <v>80</v>
      </c>
      <c r="AS7378" t="s">
        <v>81</v>
      </c>
      <c r="AT7378" t="s">
        <v>58</v>
      </c>
      <c r="AU7378" t="s">
        <v>68</v>
      </c>
      <c r="AV7378" t="s">
        <v>69</v>
      </c>
      <c r="AW7378" s="1">
        <v>29011</v>
      </c>
      <c r="AX7378">
        <v>1</v>
      </c>
    </row>
    <row r="7379" spans="1:50">
      <c r="B7379" t="str">
        <f>"118912356"</f>
        <v>118912356</v>
      </c>
      <c r="C7379" t="s">
        <v>50</v>
      </c>
      <c r="D7379" t="s">
        <v>4230</v>
      </c>
      <c r="E7379" t="s">
        <v>52</v>
      </c>
      <c r="F7379" t="s">
        <v>154</v>
      </c>
      <c r="H7379" t="str">
        <f>" "</f>
        <v xml:space="preserve"> </v>
      </c>
      <c r="N7379" t="s">
        <v>1525</v>
      </c>
      <c r="O7379" t="s">
        <v>1526</v>
      </c>
      <c r="R7379" t="s">
        <v>159</v>
      </c>
      <c r="S7379">
        <v>1</v>
      </c>
      <c r="T7379" t="s">
        <v>8670</v>
      </c>
      <c r="U7379" s="1">
        <v>43348</v>
      </c>
      <c r="V7379" t="s">
        <v>80</v>
      </c>
      <c r="W7379" t="s">
        <v>81</v>
      </c>
      <c r="X7379" t="s">
        <v>58</v>
      </c>
      <c r="Y7379">
        <v>25</v>
      </c>
      <c r="Z7379" t="s">
        <v>59</v>
      </c>
      <c r="AA7379" t="s">
        <v>59</v>
      </c>
      <c r="AB7379" t="s">
        <v>59</v>
      </c>
      <c r="AC7379" t="s">
        <v>59</v>
      </c>
      <c r="AD7379" t="s">
        <v>59</v>
      </c>
      <c r="AF7379" s="1">
        <v>43348</v>
      </c>
      <c r="AG7379" t="s">
        <v>8651</v>
      </c>
      <c r="AH7379" t="s">
        <v>8652</v>
      </c>
      <c r="AI7379" t="str">
        <f>"9170570"</f>
        <v>9170570</v>
      </c>
      <c r="AJ7379" t="s">
        <v>10584</v>
      </c>
      <c r="AK7379">
        <v>2810318507</v>
      </c>
      <c r="AL7379" t="s">
        <v>10585</v>
      </c>
      <c r="AM7379" t="s">
        <v>78</v>
      </c>
      <c r="AN7379" t="s">
        <v>129</v>
      </c>
      <c r="AO7379" t="s">
        <v>130</v>
      </c>
      <c r="AP7379" t="s">
        <v>130</v>
      </c>
      <c r="AQ7379">
        <v>1</v>
      </c>
      <c r="AR7379" t="s">
        <v>80</v>
      </c>
      <c r="AS7379" t="s">
        <v>81</v>
      </c>
      <c r="AT7379" t="s">
        <v>58</v>
      </c>
      <c r="AU7379" t="s">
        <v>8673</v>
      </c>
      <c r="AV7379" t="s">
        <v>132</v>
      </c>
      <c r="AW7379" s="1">
        <v>29599</v>
      </c>
      <c r="AX7379">
        <v>1</v>
      </c>
    </row>
    <row r="7380" spans="1:50">
      <c r="A7380">
        <v>597639</v>
      </c>
      <c r="B7380" t="str">
        <f>"072627589"</f>
        <v>072627589</v>
      </c>
      <c r="C7380" t="s">
        <v>50</v>
      </c>
      <c r="D7380" t="s">
        <v>4230</v>
      </c>
      <c r="E7380" t="s">
        <v>484</v>
      </c>
      <c r="F7380" t="s">
        <v>5041</v>
      </c>
      <c r="G7380" t="s">
        <v>340</v>
      </c>
      <c r="H7380" t="str">
        <f>"Αχέπα 30 Κηπούπολη"</f>
        <v>Αχέπα 30 Κηπούπολη</v>
      </c>
      <c r="I7380">
        <v>71307</v>
      </c>
      <c r="J7380">
        <v>2810324589</v>
      </c>
      <c r="K7380">
        <v>6979410994</v>
      </c>
      <c r="M7380" t="s">
        <v>11746</v>
      </c>
      <c r="N7380" t="s">
        <v>306</v>
      </c>
      <c r="O7380" t="s">
        <v>307</v>
      </c>
      <c r="R7380" t="s">
        <v>57</v>
      </c>
      <c r="S7380">
        <v>10</v>
      </c>
      <c r="T7380">
        <v>193</v>
      </c>
      <c r="U7380" s="1">
        <v>37497</v>
      </c>
      <c r="V7380" t="s">
        <v>80</v>
      </c>
      <c r="W7380" t="s">
        <v>81</v>
      </c>
      <c r="X7380" t="s">
        <v>58</v>
      </c>
      <c r="Y7380">
        <v>21</v>
      </c>
      <c r="Z7380" t="s">
        <v>59</v>
      </c>
      <c r="AA7380" t="s">
        <v>59</v>
      </c>
      <c r="AB7380" t="s">
        <v>59</v>
      </c>
      <c r="AC7380" t="s">
        <v>59</v>
      </c>
      <c r="AD7380" t="s">
        <v>59</v>
      </c>
      <c r="AF7380" s="1">
        <v>37501</v>
      </c>
      <c r="AG7380" t="s">
        <v>8645</v>
      </c>
      <c r="AH7380" t="s">
        <v>8646</v>
      </c>
      <c r="AI7380" t="str">
        <f>"9170263"</f>
        <v>9170263</v>
      </c>
      <c r="AJ7380" t="s">
        <v>8942</v>
      </c>
      <c r="AK7380">
        <v>2810346939</v>
      </c>
      <c r="AL7380" t="s">
        <v>8943</v>
      </c>
      <c r="AM7380" t="s">
        <v>78</v>
      </c>
      <c r="AN7380" t="s">
        <v>78</v>
      </c>
      <c r="AO7380" t="s">
        <v>286</v>
      </c>
      <c r="AP7380" t="s">
        <v>286</v>
      </c>
      <c r="AQ7380">
        <v>1</v>
      </c>
      <c r="AR7380" t="s">
        <v>80</v>
      </c>
      <c r="AS7380" t="s">
        <v>81</v>
      </c>
      <c r="AT7380" t="s">
        <v>58</v>
      </c>
      <c r="AU7380" t="s">
        <v>68</v>
      </c>
      <c r="AV7380" t="s">
        <v>69</v>
      </c>
      <c r="AW7380" s="1">
        <v>26154</v>
      </c>
      <c r="AX7380">
        <v>1</v>
      </c>
    </row>
    <row r="7381" spans="1:50">
      <c r="A7381">
        <v>602226</v>
      </c>
      <c r="B7381" t="str">
        <f>"104907962"</f>
        <v>104907962</v>
      </c>
      <c r="C7381" t="s">
        <v>50</v>
      </c>
      <c r="D7381" t="s">
        <v>4230</v>
      </c>
      <c r="E7381" t="s">
        <v>563</v>
      </c>
      <c r="F7381" t="s">
        <v>84</v>
      </c>
      <c r="G7381" t="s">
        <v>52</v>
      </c>
      <c r="H7381" t="str">
        <f>"ΚΙΣΣΟΙ ΦΑΙΣΤΟΥ ΦΑΙΣΤΟΣ"</f>
        <v>ΚΙΣΣΟΙ ΦΑΙΣΤΟΥ ΦΑΙΣΤΟΣ</v>
      </c>
      <c r="J7381">
        <v>2892043028</v>
      </c>
      <c r="K7381">
        <v>6936615547</v>
      </c>
      <c r="N7381" t="s">
        <v>615</v>
      </c>
      <c r="O7381" t="s">
        <v>616</v>
      </c>
      <c r="R7381" t="s">
        <v>57</v>
      </c>
      <c r="S7381">
        <v>7</v>
      </c>
      <c r="T7381">
        <v>207</v>
      </c>
      <c r="U7381" s="1">
        <v>37866</v>
      </c>
      <c r="V7381" t="s">
        <v>80</v>
      </c>
      <c r="W7381" t="s">
        <v>81</v>
      </c>
      <c r="X7381" t="s">
        <v>58</v>
      </c>
      <c r="Y7381">
        <v>22</v>
      </c>
      <c r="Z7381" t="s">
        <v>59</v>
      </c>
      <c r="AA7381" t="s">
        <v>59</v>
      </c>
      <c r="AB7381" t="s">
        <v>59</v>
      </c>
      <c r="AC7381" t="s">
        <v>59</v>
      </c>
      <c r="AD7381" t="s">
        <v>59</v>
      </c>
      <c r="AF7381" s="1">
        <v>37868</v>
      </c>
      <c r="AG7381" t="s">
        <v>8645</v>
      </c>
      <c r="AH7381" t="s">
        <v>8646</v>
      </c>
      <c r="AI7381" t="str">
        <f>"9170339"</f>
        <v>9170339</v>
      </c>
      <c r="AJ7381" t="s">
        <v>9500</v>
      </c>
      <c r="AK7381">
        <v>2892051391</v>
      </c>
      <c r="AL7381" t="s">
        <v>9501</v>
      </c>
      <c r="AM7381" t="s">
        <v>78</v>
      </c>
      <c r="AN7381" t="s">
        <v>242</v>
      </c>
      <c r="AO7381" t="s">
        <v>349</v>
      </c>
      <c r="AP7381" t="s">
        <v>349</v>
      </c>
      <c r="AQ7381">
        <v>19</v>
      </c>
      <c r="AR7381" t="s">
        <v>80</v>
      </c>
      <c r="AS7381" t="s">
        <v>81</v>
      </c>
      <c r="AT7381" t="s">
        <v>58</v>
      </c>
      <c r="AU7381" t="s">
        <v>68</v>
      </c>
      <c r="AV7381" t="s">
        <v>69</v>
      </c>
      <c r="AW7381" s="1">
        <v>27912</v>
      </c>
      <c r="AX7381">
        <v>1</v>
      </c>
    </row>
    <row r="7382" spans="1:50">
      <c r="B7382" t="str">
        <f>"103662502"</f>
        <v>103662502</v>
      </c>
      <c r="C7382" t="s">
        <v>50</v>
      </c>
      <c r="D7382" t="s">
        <v>4230</v>
      </c>
      <c r="E7382" t="s">
        <v>460</v>
      </c>
      <c r="F7382" t="s">
        <v>99</v>
      </c>
      <c r="G7382" t="s">
        <v>109</v>
      </c>
      <c r="H7382" t="str">
        <f>" "</f>
        <v xml:space="preserve"> </v>
      </c>
      <c r="N7382" t="s">
        <v>1525</v>
      </c>
      <c r="O7382" t="s">
        <v>1526</v>
      </c>
      <c r="R7382" t="s">
        <v>159</v>
      </c>
      <c r="S7382">
        <v>1</v>
      </c>
      <c r="T7382" t="s">
        <v>8670</v>
      </c>
      <c r="U7382" s="1">
        <v>43348</v>
      </c>
      <c r="V7382" t="s">
        <v>80</v>
      </c>
      <c r="W7382" t="s">
        <v>81</v>
      </c>
      <c r="X7382" t="s">
        <v>58</v>
      </c>
      <c r="Y7382">
        <v>25</v>
      </c>
      <c r="Z7382" t="s">
        <v>59</v>
      </c>
      <c r="AA7382" t="s">
        <v>59</v>
      </c>
      <c r="AB7382" t="s">
        <v>59</v>
      </c>
      <c r="AD7382" t="s">
        <v>59</v>
      </c>
      <c r="AF7382" s="1">
        <v>43348</v>
      </c>
      <c r="AG7382" t="s">
        <v>8651</v>
      </c>
      <c r="AH7382" t="s">
        <v>8652</v>
      </c>
      <c r="AI7382" t="str">
        <f>"9170552"</f>
        <v>9170552</v>
      </c>
      <c r="AJ7382" t="s">
        <v>9183</v>
      </c>
      <c r="AK7382">
        <v>2892025131</v>
      </c>
      <c r="AL7382" t="s">
        <v>9184</v>
      </c>
      <c r="AM7382" t="s">
        <v>78</v>
      </c>
      <c r="AN7382" t="s">
        <v>242</v>
      </c>
      <c r="AO7382" t="s">
        <v>243</v>
      </c>
      <c r="AP7382" t="s">
        <v>243</v>
      </c>
      <c r="AQ7382">
        <v>20</v>
      </c>
      <c r="AR7382" t="s">
        <v>80</v>
      </c>
      <c r="AS7382" t="s">
        <v>81</v>
      </c>
      <c r="AT7382" t="s">
        <v>58</v>
      </c>
      <c r="AU7382" t="s">
        <v>8673</v>
      </c>
      <c r="AV7382" t="s">
        <v>132</v>
      </c>
      <c r="AW7382" s="1">
        <v>30230</v>
      </c>
      <c r="AX7382">
        <v>1</v>
      </c>
    </row>
    <row r="7383" spans="1:50">
      <c r="A7383">
        <v>618493</v>
      </c>
      <c r="B7383" t="str">
        <f>"065127476"</f>
        <v>065127476</v>
      </c>
      <c r="C7383" t="s">
        <v>105</v>
      </c>
      <c r="D7383" t="s">
        <v>4235</v>
      </c>
      <c r="E7383" t="s">
        <v>321</v>
      </c>
      <c r="F7383" t="s">
        <v>5437</v>
      </c>
      <c r="G7383" t="s">
        <v>237</v>
      </c>
      <c r="H7383" t="str">
        <f>"ΜΑΚΕΔΟΝΙΑΣ 17 ΗΡΑΚΛΕΙΟ"</f>
        <v>ΜΑΚΕΔΟΝΙΑΣ 17 ΗΡΑΚΛΕΙΟ</v>
      </c>
      <c r="I7383">
        <v>71414</v>
      </c>
      <c r="J7383">
        <v>2810318743</v>
      </c>
      <c r="K7383">
        <v>6936799088</v>
      </c>
      <c r="N7383" t="s">
        <v>615</v>
      </c>
      <c r="O7383" t="s">
        <v>616</v>
      </c>
      <c r="R7383" t="s">
        <v>57</v>
      </c>
      <c r="S7383">
        <v>5</v>
      </c>
      <c r="T7383">
        <v>774</v>
      </c>
      <c r="U7383" s="1">
        <v>39680</v>
      </c>
      <c r="V7383" t="s">
        <v>80</v>
      </c>
      <c r="W7383" t="s">
        <v>81</v>
      </c>
      <c r="X7383" t="s">
        <v>58</v>
      </c>
      <c r="Y7383">
        <v>23</v>
      </c>
      <c r="Z7383" t="s">
        <v>59</v>
      </c>
      <c r="AA7383" t="s">
        <v>59</v>
      </c>
      <c r="AB7383" t="s">
        <v>59</v>
      </c>
      <c r="AC7383" t="s">
        <v>59</v>
      </c>
      <c r="AD7383" t="s">
        <v>59</v>
      </c>
      <c r="AF7383" s="1">
        <v>39681</v>
      </c>
      <c r="AG7383" t="s">
        <v>8645</v>
      </c>
      <c r="AH7383" t="s">
        <v>8646</v>
      </c>
      <c r="AI7383" t="str">
        <f>"9170057"</f>
        <v>9170057</v>
      </c>
      <c r="AJ7383" t="s">
        <v>8929</v>
      </c>
      <c r="AK7383">
        <v>2810251505</v>
      </c>
      <c r="AL7383" t="s">
        <v>8930</v>
      </c>
      <c r="AM7383" t="s">
        <v>78</v>
      </c>
      <c r="AN7383" t="s">
        <v>78</v>
      </c>
      <c r="AO7383" t="s">
        <v>78</v>
      </c>
      <c r="AP7383" t="s">
        <v>141</v>
      </c>
      <c r="AQ7383">
        <v>1</v>
      </c>
      <c r="AR7383" t="s">
        <v>80</v>
      </c>
      <c r="AS7383" t="s">
        <v>81</v>
      </c>
      <c r="AT7383" t="s">
        <v>58</v>
      </c>
      <c r="AU7383" t="s">
        <v>68</v>
      </c>
      <c r="AV7383" t="s">
        <v>69</v>
      </c>
      <c r="AW7383" s="1">
        <v>30636</v>
      </c>
      <c r="AX7383">
        <v>1</v>
      </c>
    </row>
    <row r="7384" spans="1:50">
      <c r="A7384">
        <v>592939</v>
      </c>
      <c r="B7384" t="str">
        <f>"068059388"</f>
        <v>068059388</v>
      </c>
      <c r="C7384" t="s">
        <v>105</v>
      </c>
      <c r="D7384" t="s">
        <v>4235</v>
      </c>
      <c r="E7384" t="s">
        <v>72</v>
      </c>
      <c r="F7384" t="s">
        <v>166</v>
      </c>
      <c r="G7384" t="s">
        <v>96</v>
      </c>
      <c r="H7384" t="str">
        <f>"ΠΑΤΣΙΔΕΡΟΣ ΗΡΑΚΛΕΙΟ"</f>
        <v>ΠΑΤΣΙΔΕΡΟΣ ΗΡΑΚΛΕΙΟ</v>
      </c>
      <c r="I7384">
        <v>70300</v>
      </c>
      <c r="J7384">
        <v>2891024166</v>
      </c>
      <c r="K7384">
        <v>6938986821</v>
      </c>
      <c r="N7384" t="s">
        <v>615</v>
      </c>
      <c r="O7384" t="s">
        <v>616</v>
      </c>
      <c r="R7384" t="s">
        <v>57</v>
      </c>
      <c r="S7384">
        <v>9</v>
      </c>
      <c r="T7384">
        <v>218</v>
      </c>
      <c r="U7384" s="1">
        <v>37134</v>
      </c>
      <c r="V7384" t="s">
        <v>80</v>
      </c>
      <c r="W7384" t="s">
        <v>81</v>
      </c>
      <c r="X7384" t="s">
        <v>58</v>
      </c>
      <c r="Y7384">
        <v>22</v>
      </c>
      <c r="Z7384" t="s">
        <v>59</v>
      </c>
      <c r="AA7384" t="s">
        <v>59</v>
      </c>
      <c r="AB7384" t="s">
        <v>59</v>
      </c>
      <c r="AC7384" t="s">
        <v>59</v>
      </c>
      <c r="AD7384" t="s">
        <v>59</v>
      </c>
      <c r="AF7384" s="1">
        <v>37140</v>
      </c>
      <c r="AG7384" t="s">
        <v>8645</v>
      </c>
      <c r="AH7384" t="s">
        <v>8646</v>
      </c>
      <c r="AI7384" t="str">
        <f>"9170561"</f>
        <v>9170561</v>
      </c>
      <c r="AJ7384" t="s">
        <v>8708</v>
      </c>
      <c r="AK7384">
        <v>2891023609</v>
      </c>
      <c r="AL7384" t="s">
        <v>8709</v>
      </c>
      <c r="AM7384" t="s">
        <v>78</v>
      </c>
      <c r="AN7384" t="s">
        <v>276</v>
      </c>
      <c r="AO7384" t="s">
        <v>490</v>
      </c>
      <c r="AP7384" t="s">
        <v>490</v>
      </c>
      <c r="AQ7384">
        <v>12</v>
      </c>
      <c r="AR7384" t="s">
        <v>80</v>
      </c>
      <c r="AS7384" t="s">
        <v>81</v>
      </c>
      <c r="AT7384" t="s">
        <v>58</v>
      </c>
      <c r="AU7384" t="s">
        <v>68</v>
      </c>
      <c r="AV7384" t="s">
        <v>69</v>
      </c>
      <c r="AW7384" s="1">
        <v>25265</v>
      </c>
      <c r="AX7384">
        <v>1</v>
      </c>
    </row>
    <row r="7385" spans="1:50">
      <c r="A7385">
        <v>597003</v>
      </c>
      <c r="B7385" t="str">
        <f>"079975937"</f>
        <v>079975937</v>
      </c>
      <c r="C7385" t="s">
        <v>50</v>
      </c>
      <c r="D7385" t="s">
        <v>4238</v>
      </c>
      <c r="E7385" t="s">
        <v>255</v>
      </c>
      <c r="F7385" t="s">
        <v>166</v>
      </c>
      <c r="G7385" t="s">
        <v>52</v>
      </c>
      <c r="H7385" t="str">
        <f>"ΚΙΛΕΛΕΡ 11 ΓΑΖΙ"</f>
        <v>ΚΙΛΕΛΕΡ 11 ΓΑΖΙ</v>
      </c>
      <c r="I7385">
        <v>71414</v>
      </c>
      <c r="J7385">
        <v>2810372493</v>
      </c>
      <c r="K7385">
        <v>6977679050</v>
      </c>
      <c r="N7385" t="s">
        <v>1525</v>
      </c>
      <c r="O7385" t="s">
        <v>1526</v>
      </c>
      <c r="R7385" t="s">
        <v>57</v>
      </c>
      <c r="S7385">
        <v>8</v>
      </c>
      <c r="T7385">
        <v>195</v>
      </c>
      <c r="U7385" s="1">
        <v>37497</v>
      </c>
      <c r="V7385" t="s">
        <v>80</v>
      </c>
      <c r="W7385" t="s">
        <v>81</v>
      </c>
      <c r="X7385" t="s">
        <v>58</v>
      </c>
      <c r="Y7385">
        <v>25</v>
      </c>
      <c r="Z7385" t="s">
        <v>59</v>
      </c>
      <c r="AA7385" t="s">
        <v>59</v>
      </c>
      <c r="AB7385" t="s">
        <v>59</v>
      </c>
      <c r="AC7385" t="s">
        <v>59</v>
      </c>
      <c r="AD7385" t="s">
        <v>59</v>
      </c>
      <c r="AF7385" s="1">
        <v>37501</v>
      </c>
      <c r="AG7385" t="s">
        <v>8651</v>
      </c>
      <c r="AH7385" t="s">
        <v>8652</v>
      </c>
      <c r="AI7385" t="str">
        <f>"9170052"</f>
        <v>9170052</v>
      </c>
      <c r="AJ7385" t="s">
        <v>8714</v>
      </c>
      <c r="AK7385">
        <v>2810257486</v>
      </c>
      <c r="AL7385" t="s">
        <v>8715</v>
      </c>
      <c r="AM7385" t="s">
        <v>78</v>
      </c>
      <c r="AN7385" t="s">
        <v>78</v>
      </c>
      <c r="AO7385" t="s">
        <v>78</v>
      </c>
      <c r="AP7385" t="s">
        <v>79</v>
      </c>
      <c r="AQ7385">
        <v>1</v>
      </c>
      <c r="AR7385" t="s">
        <v>80</v>
      </c>
      <c r="AS7385" t="s">
        <v>81</v>
      </c>
      <c r="AT7385" t="s">
        <v>58</v>
      </c>
      <c r="AU7385" t="s">
        <v>68</v>
      </c>
      <c r="AV7385" t="s">
        <v>69</v>
      </c>
      <c r="AW7385" s="1">
        <v>27797</v>
      </c>
      <c r="AX7385">
        <v>1</v>
      </c>
    </row>
    <row r="7386" spans="1:50">
      <c r="A7386">
        <v>563090</v>
      </c>
      <c r="B7386" t="str">
        <f>"065195018"</f>
        <v>065195018</v>
      </c>
      <c r="C7386" t="s">
        <v>50</v>
      </c>
      <c r="D7386" t="s">
        <v>4238</v>
      </c>
      <c r="E7386" t="s">
        <v>52</v>
      </c>
      <c r="F7386" t="s">
        <v>99</v>
      </c>
      <c r="G7386" t="s">
        <v>181</v>
      </c>
      <c r="H7386" t="str">
        <f>"Νέστορος 6 Πόρος"</f>
        <v>Νέστορος 6 Πόρος</v>
      </c>
      <c r="I7386">
        <v>71307</v>
      </c>
      <c r="J7386">
        <v>2810344668</v>
      </c>
      <c r="K7386">
        <v>6972000620</v>
      </c>
      <c r="M7386" t="s">
        <v>11747</v>
      </c>
      <c r="N7386" t="s">
        <v>615</v>
      </c>
      <c r="O7386" t="s">
        <v>616</v>
      </c>
      <c r="R7386" t="s">
        <v>57</v>
      </c>
      <c r="S7386">
        <v>15</v>
      </c>
      <c r="T7386">
        <v>187</v>
      </c>
      <c r="U7386" s="1">
        <v>32751</v>
      </c>
      <c r="V7386" t="s">
        <v>80</v>
      </c>
      <c r="W7386" t="s">
        <v>81</v>
      </c>
      <c r="X7386" t="s">
        <v>58</v>
      </c>
      <c r="Y7386">
        <v>21</v>
      </c>
      <c r="Z7386" t="s">
        <v>59</v>
      </c>
      <c r="AA7386" t="s">
        <v>59</v>
      </c>
      <c r="AB7386" t="s">
        <v>59</v>
      </c>
      <c r="AC7386" t="s">
        <v>59</v>
      </c>
      <c r="AD7386" t="s">
        <v>59</v>
      </c>
      <c r="AF7386" s="1">
        <v>32756</v>
      </c>
      <c r="AG7386" t="s">
        <v>8645</v>
      </c>
      <c r="AH7386" t="s">
        <v>8646</v>
      </c>
      <c r="AI7386" t="str">
        <f>"9170257"</f>
        <v>9170257</v>
      </c>
      <c r="AJ7386" t="s">
        <v>8710</v>
      </c>
      <c r="AK7386">
        <v>2810245513</v>
      </c>
      <c r="AL7386" t="s">
        <v>8711</v>
      </c>
      <c r="AM7386" t="s">
        <v>78</v>
      </c>
      <c r="AN7386" t="s">
        <v>78</v>
      </c>
      <c r="AO7386" t="s">
        <v>78</v>
      </c>
      <c r="AP7386" t="s">
        <v>213</v>
      </c>
      <c r="AQ7386">
        <v>1</v>
      </c>
      <c r="AR7386" t="s">
        <v>80</v>
      </c>
      <c r="AS7386" t="s">
        <v>81</v>
      </c>
      <c r="AT7386" t="s">
        <v>58</v>
      </c>
      <c r="AU7386" t="s">
        <v>68</v>
      </c>
      <c r="AV7386" t="s">
        <v>69</v>
      </c>
      <c r="AW7386" s="1">
        <v>21822</v>
      </c>
      <c r="AX7386">
        <v>1</v>
      </c>
    </row>
    <row r="7387" spans="1:50">
      <c r="A7387">
        <v>613248</v>
      </c>
      <c r="B7387" t="str">
        <f>"137214443"</f>
        <v>137214443</v>
      </c>
      <c r="C7387" t="s">
        <v>50</v>
      </c>
      <c r="D7387" t="s">
        <v>4238</v>
      </c>
      <c r="E7387" t="s">
        <v>52</v>
      </c>
      <c r="F7387" t="s">
        <v>99</v>
      </c>
      <c r="G7387" t="s">
        <v>755</v>
      </c>
      <c r="H7387" t="str">
        <f>"ΕΡΩΦΙΛΗΣ 6 ΗΡΑΚΛΕΙΟ"</f>
        <v>ΕΡΩΦΙΛΗΣ 6 ΗΡΑΚΛΕΙΟ</v>
      </c>
      <c r="I7387">
        <v>71305</v>
      </c>
      <c r="J7387">
        <v>2810285693</v>
      </c>
      <c r="K7387">
        <v>6944335023</v>
      </c>
      <c r="N7387" t="s">
        <v>615</v>
      </c>
      <c r="O7387" t="s">
        <v>616</v>
      </c>
      <c r="R7387" t="s">
        <v>57</v>
      </c>
      <c r="S7387">
        <v>6</v>
      </c>
      <c r="T7387">
        <v>598</v>
      </c>
      <c r="U7387" s="1">
        <v>39310</v>
      </c>
      <c r="V7387" t="s">
        <v>80</v>
      </c>
      <c r="W7387" t="s">
        <v>81</v>
      </c>
      <c r="X7387" t="s">
        <v>58</v>
      </c>
      <c r="Y7387">
        <v>23</v>
      </c>
      <c r="Z7387" t="s">
        <v>59</v>
      </c>
      <c r="AA7387" t="s">
        <v>59</v>
      </c>
      <c r="AB7387" t="s">
        <v>59</v>
      </c>
      <c r="AC7387" t="s">
        <v>59</v>
      </c>
      <c r="AD7387" t="s">
        <v>59</v>
      </c>
      <c r="AF7387" s="1">
        <v>39328</v>
      </c>
      <c r="AG7387" t="s">
        <v>8645</v>
      </c>
      <c r="AH7387" t="s">
        <v>8646</v>
      </c>
      <c r="AI7387" t="str">
        <f>"9170255"</f>
        <v>9170255</v>
      </c>
      <c r="AJ7387" t="s">
        <v>8915</v>
      </c>
      <c r="AK7387">
        <v>2810220750</v>
      </c>
      <c r="AL7387" t="s">
        <v>8916</v>
      </c>
      <c r="AM7387" t="s">
        <v>78</v>
      </c>
      <c r="AN7387" t="s">
        <v>78</v>
      </c>
      <c r="AO7387" t="s">
        <v>78</v>
      </c>
      <c r="AP7387" t="s">
        <v>213</v>
      </c>
      <c r="AQ7387">
        <v>1</v>
      </c>
      <c r="AR7387" t="s">
        <v>80</v>
      </c>
      <c r="AS7387" t="s">
        <v>81</v>
      </c>
      <c r="AT7387" t="s">
        <v>58</v>
      </c>
      <c r="AU7387" t="s">
        <v>68</v>
      </c>
      <c r="AV7387" t="s">
        <v>69</v>
      </c>
      <c r="AW7387" s="1">
        <v>30378</v>
      </c>
      <c r="AX7387">
        <v>1</v>
      </c>
    </row>
    <row r="7388" spans="1:50">
      <c r="A7388">
        <v>577579</v>
      </c>
      <c r="B7388" t="str">
        <f>"044896504"</f>
        <v>044896504</v>
      </c>
      <c r="C7388" t="s">
        <v>50</v>
      </c>
      <c r="D7388" t="s">
        <v>4238</v>
      </c>
      <c r="E7388" t="s">
        <v>1078</v>
      </c>
      <c r="F7388" t="s">
        <v>377</v>
      </c>
      <c r="G7388" t="s">
        <v>3648</v>
      </c>
      <c r="H7388" t="str">
        <f>"ΚΑΣΤΕΛΛΙ ΗΡΑΚΛΕΙΟ"</f>
        <v>ΚΑΣΤΕΛΛΙ ΗΡΑΚΛΕΙΟ</v>
      </c>
      <c r="J7388">
        <v>2891041453</v>
      </c>
      <c r="N7388" t="s">
        <v>176</v>
      </c>
      <c r="O7388" t="s">
        <v>177</v>
      </c>
      <c r="R7388" t="s">
        <v>57</v>
      </c>
      <c r="S7388">
        <v>13</v>
      </c>
      <c r="T7388">
        <v>184</v>
      </c>
      <c r="U7388" s="1">
        <v>34914</v>
      </c>
      <c r="V7388" t="s">
        <v>80</v>
      </c>
      <c r="W7388" t="s">
        <v>81</v>
      </c>
      <c r="X7388" t="s">
        <v>58</v>
      </c>
      <c r="Y7388">
        <v>21</v>
      </c>
      <c r="Z7388" t="s">
        <v>59</v>
      </c>
      <c r="AA7388" t="s">
        <v>59</v>
      </c>
      <c r="AB7388" t="s">
        <v>59</v>
      </c>
      <c r="AC7388" t="s">
        <v>59</v>
      </c>
      <c r="AD7388" t="s">
        <v>59</v>
      </c>
      <c r="AF7388" s="1">
        <v>34943</v>
      </c>
      <c r="AG7388" t="s">
        <v>8645</v>
      </c>
      <c r="AH7388" t="s">
        <v>8646</v>
      </c>
      <c r="AI7388" t="str">
        <f>"9170561"</f>
        <v>9170561</v>
      </c>
      <c r="AJ7388" t="s">
        <v>8708</v>
      </c>
      <c r="AK7388">
        <v>2891023609</v>
      </c>
      <c r="AL7388" t="s">
        <v>8709</v>
      </c>
      <c r="AM7388" t="s">
        <v>78</v>
      </c>
      <c r="AN7388" t="s">
        <v>276</v>
      </c>
      <c r="AO7388" t="s">
        <v>490</v>
      </c>
      <c r="AP7388" t="s">
        <v>490</v>
      </c>
      <c r="AQ7388">
        <v>12</v>
      </c>
      <c r="AR7388" t="s">
        <v>80</v>
      </c>
      <c r="AS7388" t="s">
        <v>81</v>
      </c>
      <c r="AT7388" t="s">
        <v>58</v>
      </c>
      <c r="AU7388" t="s">
        <v>68</v>
      </c>
      <c r="AV7388" t="s">
        <v>69</v>
      </c>
      <c r="AW7388" s="1">
        <v>24148</v>
      </c>
      <c r="AX7388">
        <v>1</v>
      </c>
    </row>
    <row r="7389" spans="1:50">
      <c r="A7389">
        <v>566956</v>
      </c>
      <c r="B7389" t="str">
        <f>"064091717"</f>
        <v>064091717</v>
      </c>
      <c r="C7389" t="s">
        <v>50</v>
      </c>
      <c r="D7389" t="s">
        <v>4242</v>
      </c>
      <c r="E7389" t="s">
        <v>83</v>
      </c>
      <c r="F7389" t="s">
        <v>995</v>
      </c>
      <c r="G7389" t="s">
        <v>215</v>
      </c>
      <c r="H7389" t="str">
        <f>"ΑΝΩΓΕΙΩΝ 33-35 ΗΡΑΚΛΕΙΟ"</f>
        <v>ΑΝΩΓΕΙΩΝ 33-35 ΗΡΑΚΛΕΙΟ</v>
      </c>
      <c r="I7389">
        <v>71304</v>
      </c>
      <c r="J7389">
        <v>2810370554</v>
      </c>
      <c r="K7389">
        <v>6974355089</v>
      </c>
      <c r="N7389" t="s">
        <v>615</v>
      </c>
      <c r="O7389" t="s">
        <v>616</v>
      </c>
      <c r="R7389" t="s">
        <v>57</v>
      </c>
      <c r="S7389">
        <v>15</v>
      </c>
      <c r="T7389">
        <v>133</v>
      </c>
      <c r="U7389" s="1">
        <v>33456</v>
      </c>
      <c r="V7389" t="s">
        <v>80</v>
      </c>
      <c r="W7389" t="s">
        <v>81</v>
      </c>
      <c r="X7389" t="s">
        <v>58</v>
      </c>
      <c r="Y7389">
        <v>21</v>
      </c>
      <c r="Z7389" t="s">
        <v>59</v>
      </c>
      <c r="AA7389" t="s">
        <v>59</v>
      </c>
      <c r="AB7389" t="s">
        <v>59</v>
      </c>
      <c r="AC7389" t="s">
        <v>59</v>
      </c>
      <c r="AD7389" t="s">
        <v>59</v>
      </c>
      <c r="AF7389" s="1">
        <v>33486</v>
      </c>
      <c r="AG7389" t="s">
        <v>8645</v>
      </c>
      <c r="AH7389" t="s">
        <v>8646</v>
      </c>
      <c r="AI7389" t="str">
        <f>"9170424"</f>
        <v>9170424</v>
      </c>
      <c r="AJ7389" t="s">
        <v>8860</v>
      </c>
      <c r="AK7389">
        <v>2810254530</v>
      </c>
      <c r="AL7389" t="s">
        <v>8861</v>
      </c>
      <c r="AM7389" t="s">
        <v>78</v>
      </c>
      <c r="AN7389" t="s">
        <v>78</v>
      </c>
      <c r="AO7389" t="s">
        <v>78</v>
      </c>
      <c r="AP7389" t="s">
        <v>163</v>
      </c>
      <c r="AQ7389">
        <v>1</v>
      </c>
      <c r="AR7389" t="s">
        <v>80</v>
      </c>
      <c r="AS7389" t="s">
        <v>81</v>
      </c>
      <c r="AT7389" t="s">
        <v>58</v>
      </c>
      <c r="AU7389" t="s">
        <v>68</v>
      </c>
      <c r="AV7389" t="s">
        <v>69</v>
      </c>
      <c r="AW7389" s="1">
        <v>24348</v>
      </c>
      <c r="AX7389">
        <v>1</v>
      </c>
    </row>
    <row r="7390" spans="1:50">
      <c r="A7390">
        <v>562341</v>
      </c>
      <c r="B7390" t="str">
        <f>"032455302"</f>
        <v>032455302</v>
      </c>
      <c r="C7390" t="s">
        <v>105</v>
      </c>
      <c r="D7390" t="s">
        <v>11748</v>
      </c>
      <c r="E7390" t="s">
        <v>521</v>
      </c>
      <c r="F7390" t="s">
        <v>760</v>
      </c>
      <c r="G7390" t="s">
        <v>620</v>
      </c>
      <c r="H7390" t="str">
        <f>"Ι. ΑΝΔΡΕΑΔΑΚΗ 21 ΗΡΑΚΛΕΙΟ"</f>
        <v>Ι. ΑΝΔΡΕΑΔΑΚΗ 21 ΗΡΑΚΛΕΙΟ</v>
      </c>
      <c r="I7390">
        <v>71500</v>
      </c>
      <c r="J7390">
        <v>2810542233</v>
      </c>
      <c r="K7390">
        <v>6974122377</v>
      </c>
      <c r="N7390" t="s">
        <v>615</v>
      </c>
      <c r="O7390" t="s">
        <v>616</v>
      </c>
      <c r="R7390" t="s">
        <v>57</v>
      </c>
      <c r="S7390">
        <v>15</v>
      </c>
      <c r="T7390" t="s">
        <v>11749</v>
      </c>
      <c r="U7390" s="1">
        <v>32750</v>
      </c>
      <c r="V7390" t="s">
        <v>80</v>
      </c>
      <c r="W7390" t="s">
        <v>81</v>
      </c>
      <c r="X7390" t="s">
        <v>58</v>
      </c>
      <c r="Y7390">
        <v>21</v>
      </c>
      <c r="Z7390" t="s">
        <v>59</v>
      </c>
      <c r="AA7390" t="s">
        <v>59</v>
      </c>
      <c r="AB7390" t="s">
        <v>59</v>
      </c>
      <c r="AC7390" t="s">
        <v>59</v>
      </c>
      <c r="AD7390" t="s">
        <v>59</v>
      </c>
      <c r="AF7390" s="1">
        <v>32756</v>
      </c>
      <c r="AG7390" t="s">
        <v>8645</v>
      </c>
      <c r="AH7390" t="s">
        <v>8646</v>
      </c>
      <c r="AI7390" t="str">
        <f>"9170580"</f>
        <v>9170580</v>
      </c>
      <c r="AJ7390" t="s">
        <v>9076</v>
      </c>
      <c r="AK7390">
        <v>2810542809</v>
      </c>
      <c r="AL7390" t="s">
        <v>9077</v>
      </c>
      <c r="AM7390" t="s">
        <v>78</v>
      </c>
      <c r="AN7390" t="s">
        <v>78</v>
      </c>
      <c r="AO7390" t="s">
        <v>78</v>
      </c>
      <c r="AP7390" t="s">
        <v>9053</v>
      </c>
      <c r="AQ7390">
        <v>1</v>
      </c>
      <c r="AR7390" t="s">
        <v>80</v>
      </c>
      <c r="AS7390" t="s">
        <v>81</v>
      </c>
      <c r="AT7390" t="s">
        <v>58</v>
      </c>
      <c r="AU7390" t="s">
        <v>68</v>
      </c>
      <c r="AV7390" t="s">
        <v>2039</v>
      </c>
      <c r="AW7390" s="1">
        <v>23674</v>
      </c>
      <c r="AX7390">
        <v>1</v>
      </c>
    </row>
    <row r="7391" spans="1:50">
      <c r="B7391" t="str">
        <f>"156349379"</f>
        <v>156349379</v>
      </c>
      <c r="C7391" t="s">
        <v>50</v>
      </c>
      <c r="D7391" t="s">
        <v>11750</v>
      </c>
      <c r="E7391" t="s">
        <v>155</v>
      </c>
      <c r="F7391" t="s">
        <v>84</v>
      </c>
      <c r="G7391" t="s">
        <v>964</v>
      </c>
      <c r="H7391" t="str">
        <f>"ΔΕΛΦΩΝ 7 ΘΕΣΣΑΛΟΝΙΝΗΣ"</f>
        <v>ΔΕΛΦΩΝ 7 ΘΕΣΣΑΛΟΝΙΝΗΣ</v>
      </c>
      <c r="I7391">
        <v>55134</v>
      </c>
      <c r="J7391">
        <v>2392070049</v>
      </c>
      <c r="K7391">
        <v>6972818590</v>
      </c>
      <c r="N7391" t="s">
        <v>8694</v>
      </c>
      <c r="O7391" t="s">
        <v>8695</v>
      </c>
      <c r="R7391" t="s">
        <v>159</v>
      </c>
      <c r="S7391">
        <v>2</v>
      </c>
      <c r="T7391" t="s">
        <v>8696</v>
      </c>
      <c r="U7391" s="1">
        <v>43348</v>
      </c>
      <c r="V7391" t="s">
        <v>80</v>
      </c>
      <c r="W7391" t="s">
        <v>81</v>
      </c>
      <c r="X7391" t="s">
        <v>58</v>
      </c>
      <c r="Y7391">
        <v>24</v>
      </c>
      <c r="Z7391" t="s">
        <v>59</v>
      </c>
      <c r="AA7391" t="s">
        <v>59</v>
      </c>
      <c r="AB7391" t="s">
        <v>59</v>
      </c>
      <c r="AC7391" t="s">
        <v>59</v>
      </c>
      <c r="AD7391" t="s">
        <v>59</v>
      </c>
      <c r="AF7391" s="1">
        <v>43348</v>
      </c>
      <c r="AG7391" t="s">
        <v>8645</v>
      </c>
      <c r="AH7391" t="s">
        <v>8697</v>
      </c>
      <c r="AI7391" t="str">
        <f>"9170372"</f>
        <v>9170372</v>
      </c>
      <c r="AJ7391" t="s">
        <v>9296</v>
      </c>
      <c r="AK7391">
        <v>2810281754</v>
      </c>
      <c r="AL7391" t="s">
        <v>9297</v>
      </c>
      <c r="AM7391" t="s">
        <v>78</v>
      </c>
      <c r="AN7391" t="s">
        <v>78</v>
      </c>
      <c r="AO7391" t="s">
        <v>78</v>
      </c>
      <c r="AP7391" t="s">
        <v>79</v>
      </c>
      <c r="AQ7391">
        <v>1</v>
      </c>
      <c r="AR7391" t="s">
        <v>80</v>
      </c>
      <c r="AS7391" t="s">
        <v>81</v>
      </c>
      <c r="AT7391" t="s">
        <v>58</v>
      </c>
      <c r="AU7391" t="s">
        <v>350</v>
      </c>
      <c r="AV7391" t="s">
        <v>132</v>
      </c>
      <c r="AW7391" s="1">
        <v>27597</v>
      </c>
      <c r="AX7391">
        <v>1</v>
      </c>
    </row>
    <row r="7392" spans="1:50">
      <c r="B7392" t="str">
        <f>"070978032"</f>
        <v>070978032</v>
      </c>
      <c r="C7392" t="s">
        <v>50</v>
      </c>
      <c r="D7392" t="s">
        <v>4248</v>
      </c>
      <c r="E7392" t="s">
        <v>263</v>
      </c>
      <c r="F7392" t="s">
        <v>99</v>
      </c>
      <c r="H7392" t="str">
        <f>" "</f>
        <v xml:space="preserve"> </v>
      </c>
      <c r="N7392" t="s">
        <v>1525</v>
      </c>
      <c r="O7392" t="s">
        <v>1526</v>
      </c>
      <c r="R7392" t="s">
        <v>159</v>
      </c>
      <c r="S7392">
        <v>4</v>
      </c>
      <c r="T7392" t="s">
        <v>8670</v>
      </c>
      <c r="U7392" s="1">
        <v>43348</v>
      </c>
      <c r="V7392" t="s">
        <v>80</v>
      </c>
      <c r="W7392" t="s">
        <v>81</v>
      </c>
      <c r="X7392" t="s">
        <v>58</v>
      </c>
      <c r="Y7392">
        <v>25</v>
      </c>
      <c r="Z7392" t="s">
        <v>59</v>
      </c>
      <c r="AA7392" t="s">
        <v>59</v>
      </c>
      <c r="AB7392" t="s">
        <v>59</v>
      </c>
      <c r="AC7392" t="s">
        <v>59</v>
      </c>
      <c r="AD7392" t="s">
        <v>59</v>
      </c>
      <c r="AF7392" s="1">
        <v>43348</v>
      </c>
      <c r="AG7392" t="s">
        <v>8651</v>
      </c>
      <c r="AH7392" t="s">
        <v>8652</v>
      </c>
      <c r="AI7392" t="str">
        <f>"9170584"</f>
        <v>9170584</v>
      </c>
      <c r="AJ7392" t="s">
        <v>11726</v>
      </c>
      <c r="AK7392">
        <v>2894022251</v>
      </c>
      <c r="AL7392" t="s">
        <v>11727</v>
      </c>
      <c r="AM7392" t="s">
        <v>78</v>
      </c>
      <c r="AN7392" t="s">
        <v>405</v>
      </c>
      <c r="AO7392" t="s">
        <v>406</v>
      </c>
      <c r="AP7392" t="s">
        <v>406</v>
      </c>
      <c r="AQ7392">
        <v>6</v>
      </c>
      <c r="AR7392" t="s">
        <v>80</v>
      </c>
      <c r="AS7392" t="s">
        <v>81</v>
      </c>
      <c r="AT7392" t="s">
        <v>58</v>
      </c>
      <c r="AU7392" t="s">
        <v>8673</v>
      </c>
      <c r="AV7392" t="s">
        <v>132</v>
      </c>
      <c r="AW7392" s="1">
        <v>27801</v>
      </c>
      <c r="AX7392">
        <v>1</v>
      </c>
    </row>
    <row r="7393" spans="1:50">
      <c r="A7393">
        <v>586711</v>
      </c>
      <c r="B7393" t="str">
        <f>"034050240"</f>
        <v>034050240</v>
      </c>
      <c r="C7393" t="s">
        <v>50</v>
      </c>
      <c r="D7393" t="s">
        <v>4248</v>
      </c>
      <c r="E7393" t="s">
        <v>255</v>
      </c>
      <c r="F7393" t="s">
        <v>84</v>
      </c>
      <c r="G7393" t="s">
        <v>52</v>
      </c>
      <c r="H7393" t="str">
        <f>"Λεωφόρος Κόκκινου Πύργου Τυμπάκι"</f>
        <v>Λεωφόρος Κόκκινου Πύργου Τυμπάκι</v>
      </c>
      <c r="I7393">
        <v>70200</v>
      </c>
      <c r="J7393">
        <v>2892053322</v>
      </c>
      <c r="K7393">
        <v>6938537999</v>
      </c>
      <c r="M7393" t="s">
        <v>11751</v>
      </c>
      <c r="N7393" t="s">
        <v>615</v>
      </c>
      <c r="O7393" t="s">
        <v>616</v>
      </c>
      <c r="R7393" t="s">
        <v>57</v>
      </c>
      <c r="S7393">
        <v>10</v>
      </c>
      <c r="T7393" t="s">
        <v>10480</v>
      </c>
      <c r="U7393" s="1">
        <v>36040</v>
      </c>
      <c r="V7393" t="s">
        <v>80</v>
      </c>
      <c r="W7393" t="s">
        <v>81</v>
      </c>
      <c r="X7393" t="s">
        <v>58</v>
      </c>
      <c r="Y7393">
        <v>21</v>
      </c>
      <c r="Z7393" t="s">
        <v>59</v>
      </c>
      <c r="AA7393" t="s">
        <v>59</v>
      </c>
      <c r="AB7393" t="s">
        <v>59</v>
      </c>
      <c r="AC7393" t="s">
        <v>59</v>
      </c>
      <c r="AD7393" t="s">
        <v>59</v>
      </c>
      <c r="AF7393" s="1">
        <v>36041</v>
      </c>
      <c r="AG7393" t="s">
        <v>8645</v>
      </c>
      <c r="AH7393" t="s">
        <v>8646</v>
      </c>
      <c r="AI7393" t="str">
        <f>"9170338"</f>
        <v>9170338</v>
      </c>
      <c r="AJ7393" t="s">
        <v>8849</v>
      </c>
      <c r="AK7393">
        <v>2892051377</v>
      </c>
      <c r="AL7393" t="s">
        <v>8850</v>
      </c>
      <c r="AM7393" t="s">
        <v>78</v>
      </c>
      <c r="AN7393" t="s">
        <v>242</v>
      </c>
      <c r="AO7393" t="s">
        <v>349</v>
      </c>
      <c r="AP7393" t="s">
        <v>349</v>
      </c>
      <c r="AQ7393">
        <v>19</v>
      </c>
      <c r="AR7393" t="s">
        <v>80</v>
      </c>
      <c r="AS7393" t="s">
        <v>81</v>
      </c>
      <c r="AT7393" t="s">
        <v>58</v>
      </c>
      <c r="AU7393" t="s">
        <v>68</v>
      </c>
      <c r="AV7393" t="s">
        <v>69</v>
      </c>
      <c r="AW7393" s="1">
        <v>25022</v>
      </c>
      <c r="AX7393">
        <v>1</v>
      </c>
    </row>
    <row r="7394" spans="1:50">
      <c r="A7394">
        <v>587076</v>
      </c>
      <c r="B7394" t="str">
        <f>"022461743"</f>
        <v>022461743</v>
      </c>
      <c r="C7394" t="s">
        <v>50</v>
      </c>
      <c r="D7394" t="s">
        <v>4248</v>
      </c>
      <c r="E7394" t="s">
        <v>255</v>
      </c>
      <c r="F7394" t="s">
        <v>72</v>
      </c>
      <c r="G7394" t="s">
        <v>109</v>
      </c>
      <c r="H7394" t="str">
        <f>"ΑΡΓΥΡΑΚΗ 5   ΗΡΑΚΛΕΙΟ"</f>
        <v>ΑΡΓΥΡΑΚΗ 5   ΗΡΑΚΛΕΙΟ</v>
      </c>
      <c r="I7394">
        <v>71201</v>
      </c>
      <c r="J7394">
        <v>2810281331</v>
      </c>
      <c r="K7394">
        <v>6937657611</v>
      </c>
      <c r="N7394" t="s">
        <v>1525</v>
      </c>
      <c r="O7394" t="s">
        <v>1526</v>
      </c>
      <c r="R7394" t="s">
        <v>57</v>
      </c>
      <c r="S7394">
        <v>11</v>
      </c>
      <c r="T7394">
        <v>165</v>
      </c>
      <c r="U7394" s="1">
        <v>36040</v>
      </c>
      <c r="V7394" t="s">
        <v>80</v>
      </c>
      <c r="W7394" t="s">
        <v>81</v>
      </c>
      <c r="X7394" t="s">
        <v>58</v>
      </c>
      <c r="Y7394">
        <v>25</v>
      </c>
      <c r="Z7394" t="s">
        <v>59</v>
      </c>
      <c r="AA7394" t="s">
        <v>59</v>
      </c>
      <c r="AB7394" t="s">
        <v>59</v>
      </c>
      <c r="AC7394" t="s">
        <v>59</v>
      </c>
      <c r="AD7394" t="s">
        <v>59</v>
      </c>
      <c r="AF7394" s="1">
        <v>36045</v>
      </c>
      <c r="AG7394" t="s">
        <v>8651</v>
      </c>
      <c r="AH7394" t="s">
        <v>8652</v>
      </c>
      <c r="AI7394" t="str">
        <f>"9170595"</f>
        <v>9170595</v>
      </c>
      <c r="AJ7394" t="s">
        <v>9067</v>
      </c>
      <c r="AK7394">
        <v>2897042900</v>
      </c>
      <c r="AL7394" t="s">
        <v>9068</v>
      </c>
      <c r="AM7394" t="s">
        <v>78</v>
      </c>
      <c r="AN7394" t="s">
        <v>219</v>
      </c>
      <c r="AO7394" t="s">
        <v>297</v>
      </c>
      <c r="AP7394" t="s">
        <v>297</v>
      </c>
      <c r="AQ7394">
        <v>7</v>
      </c>
      <c r="AR7394" t="s">
        <v>80</v>
      </c>
      <c r="AS7394" t="s">
        <v>81</v>
      </c>
      <c r="AT7394" t="s">
        <v>58</v>
      </c>
      <c r="AU7394" t="s">
        <v>68</v>
      </c>
      <c r="AV7394" t="s">
        <v>69</v>
      </c>
      <c r="AW7394" s="1">
        <v>23846</v>
      </c>
      <c r="AX7394">
        <v>1</v>
      </c>
    </row>
    <row r="7395" spans="1:50">
      <c r="B7395" t="str">
        <f>"110269860"</f>
        <v>110269860</v>
      </c>
      <c r="C7395" t="s">
        <v>105</v>
      </c>
      <c r="D7395" t="s">
        <v>6237</v>
      </c>
      <c r="E7395" t="s">
        <v>72</v>
      </c>
      <c r="F7395" t="s">
        <v>53</v>
      </c>
      <c r="G7395" t="s">
        <v>580</v>
      </c>
      <c r="H7395" t="str">
        <f>"ΛΕΙΒΑΔΙΑ ΙΕΡΑΠΕΤΡΑ"</f>
        <v>ΛΕΙΒΑΔΙΑ ΙΕΡΑΠΕΤΡΑ</v>
      </c>
      <c r="I7395">
        <v>72200</v>
      </c>
      <c r="J7395">
        <v>2842022949</v>
      </c>
      <c r="K7395">
        <v>6944625618</v>
      </c>
      <c r="M7395" t="s">
        <v>11752</v>
      </c>
      <c r="N7395" t="s">
        <v>204</v>
      </c>
      <c r="O7395" t="s">
        <v>205</v>
      </c>
      <c r="R7395" t="s">
        <v>159</v>
      </c>
      <c r="S7395">
        <v>6</v>
      </c>
      <c r="T7395" t="s">
        <v>8675</v>
      </c>
      <c r="U7395" s="1">
        <v>43348</v>
      </c>
      <c r="V7395" t="s">
        <v>80</v>
      </c>
      <c r="W7395" t="s">
        <v>81</v>
      </c>
      <c r="X7395" t="s">
        <v>58</v>
      </c>
      <c r="Y7395">
        <v>24</v>
      </c>
      <c r="Z7395" t="s">
        <v>59</v>
      </c>
      <c r="AA7395" t="s">
        <v>59</v>
      </c>
      <c r="AB7395" t="s">
        <v>59</v>
      </c>
      <c r="AC7395" t="s">
        <v>59</v>
      </c>
      <c r="AD7395" t="s">
        <v>59</v>
      </c>
      <c r="AF7395" s="1">
        <v>43348</v>
      </c>
      <c r="AG7395" t="s">
        <v>8645</v>
      </c>
      <c r="AH7395" t="s">
        <v>8646</v>
      </c>
      <c r="AI7395" t="str">
        <f>"9170107"</f>
        <v>9170107</v>
      </c>
      <c r="AJ7395" t="s">
        <v>8798</v>
      </c>
      <c r="AK7395">
        <v>2810282405</v>
      </c>
      <c r="AL7395" t="s">
        <v>8799</v>
      </c>
      <c r="AM7395" t="s">
        <v>78</v>
      </c>
      <c r="AN7395" t="s">
        <v>78</v>
      </c>
      <c r="AO7395" t="s">
        <v>78</v>
      </c>
      <c r="AP7395" t="s">
        <v>79</v>
      </c>
      <c r="AQ7395">
        <v>1</v>
      </c>
      <c r="AR7395" t="s">
        <v>80</v>
      </c>
      <c r="AS7395" t="s">
        <v>81</v>
      </c>
      <c r="AT7395" t="s">
        <v>58</v>
      </c>
      <c r="AU7395" t="s">
        <v>8673</v>
      </c>
      <c r="AV7395" t="s">
        <v>132</v>
      </c>
      <c r="AW7395" s="1">
        <v>30350</v>
      </c>
      <c r="AX7395">
        <v>1</v>
      </c>
    </row>
    <row r="7396" spans="1:50">
      <c r="A7396">
        <v>582878</v>
      </c>
      <c r="B7396" t="str">
        <f>"050451600"</f>
        <v>050451600</v>
      </c>
      <c r="C7396" t="s">
        <v>50</v>
      </c>
      <c r="D7396" t="s">
        <v>6658</v>
      </c>
      <c r="E7396" t="s">
        <v>73</v>
      </c>
      <c r="F7396" t="s">
        <v>72</v>
      </c>
      <c r="G7396" t="s">
        <v>52</v>
      </c>
      <c r="H7396" t="str">
        <f>"ΑΓ. ΑΝΝΑΣ 7 (ΠΑΡΟΔΟΣ ΘΡΙΑΜΒΟΥ 85) ΓΑΖΙ ΗΡΑΚΛΕΙΟΥ"</f>
        <v>ΑΓ. ΑΝΝΑΣ 7 (ΠΑΡΟΔΟΣ ΘΡΙΑΜΒΟΥ 85) ΓΑΖΙ ΗΡΑΚΛΕΙΟΥ</v>
      </c>
      <c r="I7396">
        <v>71414</v>
      </c>
      <c r="J7396">
        <v>2810821958</v>
      </c>
      <c r="K7396">
        <v>6973498598</v>
      </c>
      <c r="M7396" t="s">
        <v>11753</v>
      </c>
      <c r="N7396" t="s">
        <v>1525</v>
      </c>
      <c r="O7396" t="s">
        <v>1526</v>
      </c>
      <c r="R7396" t="s">
        <v>57</v>
      </c>
      <c r="S7396">
        <v>13</v>
      </c>
      <c r="T7396">
        <v>179</v>
      </c>
      <c r="U7396" s="1">
        <v>35674</v>
      </c>
      <c r="V7396" t="s">
        <v>80</v>
      </c>
      <c r="W7396" t="s">
        <v>81</v>
      </c>
      <c r="X7396" t="s">
        <v>58</v>
      </c>
      <c r="Y7396">
        <v>25</v>
      </c>
      <c r="Z7396" t="s">
        <v>59</v>
      </c>
      <c r="AA7396" t="s">
        <v>59</v>
      </c>
      <c r="AB7396" t="s">
        <v>59</v>
      </c>
      <c r="AC7396" t="s">
        <v>59</v>
      </c>
      <c r="AD7396" t="s">
        <v>59</v>
      </c>
      <c r="AF7396" s="1">
        <v>35676</v>
      </c>
      <c r="AG7396" t="s">
        <v>8651</v>
      </c>
      <c r="AH7396" t="s">
        <v>8652</v>
      </c>
      <c r="AI7396" t="str">
        <f>"9170448"</f>
        <v>9170448</v>
      </c>
      <c r="AJ7396" t="s">
        <v>10654</v>
      </c>
      <c r="AK7396">
        <v>2810315229</v>
      </c>
      <c r="AL7396" t="s">
        <v>10655</v>
      </c>
      <c r="AM7396" t="s">
        <v>78</v>
      </c>
      <c r="AN7396" t="s">
        <v>129</v>
      </c>
      <c r="AO7396" t="s">
        <v>130</v>
      </c>
      <c r="AP7396" t="s">
        <v>130</v>
      </c>
      <c r="AQ7396">
        <v>1</v>
      </c>
      <c r="AR7396" t="s">
        <v>80</v>
      </c>
      <c r="AS7396" t="s">
        <v>81</v>
      </c>
      <c r="AT7396" t="s">
        <v>58</v>
      </c>
      <c r="AU7396" t="s">
        <v>68</v>
      </c>
      <c r="AV7396" t="s">
        <v>69</v>
      </c>
      <c r="AW7396" s="1">
        <v>24514</v>
      </c>
      <c r="AX7396">
        <v>1</v>
      </c>
    </row>
    <row r="7397" spans="1:50">
      <c r="A7397">
        <v>619078</v>
      </c>
      <c r="B7397" t="str">
        <f>"073784384"</f>
        <v>073784384</v>
      </c>
      <c r="C7397" t="s">
        <v>50</v>
      </c>
      <c r="D7397" t="s">
        <v>6658</v>
      </c>
      <c r="E7397" t="s">
        <v>314</v>
      </c>
      <c r="F7397" t="s">
        <v>72</v>
      </c>
      <c r="G7397" t="s">
        <v>52</v>
      </c>
      <c r="H7397" t="str">
        <f>"ΑΓ.ΑΝΝΑΣ 5  ΓΑΖΙ ΗΡΑΚΛΕΙΟΥ"</f>
        <v>ΑΓ.ΑΝΝΑΣ 5  ΓΑΖΙ ΗΡΑΚΛΕΙΟΥ</v>
      </c>
      <c r="I7397">
        <v>71414</v>
      </c>
      <c r="J7397">
        <v>2810823588</v>
      </c>
      <c r="K7397">
        <v>6972622776</v>
      </c>
      <c r="N7397" t="s">
        <v>1525</v>
      </c>
      <c r="O7397" t="s">
        <v>1526</v>
      </c>
      <c r="R7397" t="s">
        <v>57</v>
      </c>
      <c r="S7397">
        <v>5</v>
      </c>
      <c r="T7397">
        <v>774</v>
      </c>
      <c r="U7397" s="1">
        <v>39680</v>
      </c>
      <c r="V7397" t="s">
        <v>80</v>
      </c>
      <c r="W7397" t="s">
        <v>81</v>
      </c>
      <c r="X7397" t="s">
        <v>58</v>
      </c>
      <c r="Y7397">
        <v>25</v>
      </c>
      <c r="Z7397" t="s">
        <v>59</v>
      </c>
      <c r="AA7397" t="s">
        <v>59</v>
      </c>
      <c r="AB7397" t="s">
        <v>59</v>
      </c>
      <c r="AC7397" t="s">
        <v>59</v>
      </c>
      <c r="AD7397" t="s">
        <v>59</v>
      </c>
      <c r="AF7397" s="1">
        <v>39681</v>
      </c>
      <c r="AG7397" t="s">
        <v>8651</v>
      </c>
      <c r="AH7397" t="s">
        <v>8652</v>
      </c>
      <c r="AI7397" t="str">
        <f>"9170591"</f>
        <v>9170591</v>
      </c>
      <c r="AJ7397" t="s">
        <v>9762</v>
      </c>
      <c r="AK7397">
        <v>2810263596</v>
      </c>
      <c r="AL7397" t="s">
        <v>9763</v>
      </c>
      <c r="AM7397" t="s">
        <v>78</v>
      </c>
      <c r="AN7397" t="s">
        <v>129</v>
      </c>
      <c r="AO7397" t="s">
        <v>130</v>
      </c>
      <c r="AP7397" t="s">
        <v>130</v>
      </c>
      <c r="AQ7397">
        <v>1</v>
      </c>
      <c r="AR7397" t="s">
        <v>80</v>
      </c>
      <c r="AS7397" t="s">
        <v>81</v>
      </c>
      <c r="AT7397" t="s">
        <v>58</v>
      </c>
      <c r="AU7397" t="s">
        <v>68</v>
      </c>
      <c r="AV7397" t="s">
        <v>69</v>
      </c>
      <c r="AW7397" s="1">
        <v>26126</v>
      </c>
      <c r="AX7397">
        <v>1</v>
      </c>
    </row>
    <row r="7398" spans="1:50">
      <c r="A7398">
        <v>570329</v>
      </c>
      <c r="B7398" t="str">
        <f>"070361517"</f>
        <v>070361517</v>
      </c>
      <c r="C7398" t="s">
        <v>50</v>
      </c>
      <c r="D7398" t="s">
        <v>4255</v>
      </c>
      <c r="E7398" t="s">
        <v>52</v>
      </c>
      <c r="F7398" t="s">
        <v>900</v>
      </c>
      <c r="G7398" t="s">
        <v>83</v>
      </c>
      <c r="H7398" t="str">
        <f>"Μ.ΑΛΕΞΑΝΔΡΟΥ 173 ΗΡΑΚΛΕΙΟ"</f>
        <v>Μ.ΑΛΕΞΑΝΔΡΟΥ 173 ΗΡΑΚΛΕΙΟ</v>
      </c>
      <c r="I7398">
        <v>71306</v>
      </c>
      <c r="J7398">
        <v>2810322376</v>
      </c>
      <c r="K7398">
        <v>6975728848</v>
      </c>
      <c r="M7398" t="s">
        <v>11754</v>
      </c>
      <c r="N7398" t="s">
        <v>306</v>
      </c>
      <c r="O7398" t="s">
        <v>307</v>
      </c>
      <c r="R7398" t="s">
        <v>57</v>
      </c>
      <c r="S7398">
        <v>13</v>
      </c>
      <c r="T7398">
        <v>239</v>
      </c>
      <c r="U7398" s="1">
        <v>33969</v>
      </c>
      <c r="V7398" t="s">
        <v>80</v>
      </c>
      <c r="W7398" t="s">
        <v>81</v>
      </c>
      <c r="X7398" t="s">
        <v>58</v>
      </c>
      <c r="Y7398">
        <v>21</v>
      </c>
      <c r="Z7398" t="s">
        <v>59</v>
      </c>
      <c r="AA7398" t="s">
        <v>59</v>
      </c>
      <c r="AB7398" t="s">
        <v>59</v>
      </c>
      <c r="AC7398" t="s">
        <v>59</v>
      </c>
      <c r="AD7398" t="s">
        <v>59</v>
      </c>
      <c r="AF7398" s="1">
        <v>33977</v>
      </c>
      <c r="AG7398" t="s">
        <v>8645</v>
      </c>
      <c r="AH7398" t="s">
        <v>8646</v>
      </c>
      <c r="AI7398" t="str">
        <f>"9170109"</f>
        <v>9170109</v>
      </c>
      <c r="AJ7398" t="s">
        <v>9056</v>
      </c>
      <c r="AK7398">
        <v>2810212659</v>
      </c>
      <c r="AL7398" t="s">
        <v>9057</v>
      </c>
      <c r="AM7398" t="s">
        <v>78</v>
      </c>
      <c r="AN7398" t="s">
        <v>78</v>
      </c>
      <c r="AO7398" t="s">
        <v>78</v>
      </c>
      <c r="AP7398" t="s">
        <v>163</v>
      </c>
      <c r="AQ7398">
        <v>1</v>
      </c>
      <c r="AR7398" t="s">
        <v>80</v>
      </c>
      <c r="AS7398" t="s">
        <v>81</v>
      </c>
      <c r="AT7398" t="s">
        <v>58</v>
      </c>
      <c r="AU7398" t="s">
        <v>68</v>
      </c>
      <c r="AV7398" t="s">
        <v>69</v>
      </c>
      <c r="AW7398" s="1">
        <v>24554</v>
      </c>
      <c r="AX7398">
        <v>1</v>
      </c>
    </row>
    <row r="7399" spans="1:50">
      <c r="B7399" t="str">
        <f>"126078379"</f>
        <v>126078379</v>
      </c>
      <c r="C7399" t="s">
        <v>50</v>
      </c>
      <c r="D7399" t="s">
        <v>11755</v>
      </c>
      <c r="E7399" t="s">
        <v>366</v>
      </c>
      <c r="F7399" t="s">
        <v>72</v>
      </c>
      <c r="G7399" t="s">
        <v>52</v>
      </c>
      <c r="H7399" t="str">
        <f>"Π.Π.ΓΕΡΜΑΝΟΥ 14 ΝΙΚΑΙΑ"</f>
        <v>Π.Π.ΓΕΡΜΑΝΟΥ 14 ΝΙΚΑΙΑ</v>
      </c>
      <c r="I7399">
        <v>18450</v>
      </c>
      <c r="J7399">
        <v>2893051591</v>
      </c>
      <c r="K7399">
        <v>6976764794</v>
      </c>
      <c r="N7399" t="s">
        <v>204</v>
      </c>
      <c r="O7399" t="s">
        <v>205</v>
      </c>
      <c r="R7399" t="s">
        <v>159</v>
      </c>
      <c r="S7399">
        <v>4</v>
      </c>
      <c r="T7399" t="s">
        <v>8675</v>
      </c>
      <c r="U7399" s="1">
        <v>43348</v>
      </c>
      <c r="V7399" t="s">
        <v>80</v>
      </c>
      <c r="W7399" t="s">
        <v>81</v>
      </c>
      <c r="X7399" t="s">
        <v>58</v>
      </c>
      <c r="Y7399">
        <v>24</v>
      </c>
      <c r="Z7399" t="s">
        <v>59</v>
      </c>
      <c r="AA7399" t="s">
        <v>59</v>
      </c>
      <c r="AB7399" t="s">
        <v>59</v>
      </c>
      <c r="AC7399" t="s">
        <v>59</v>
      </c>
      <c r="AD7399" t="s">
        <v>59</v>
      </c>
      <c r="AF7399" s="1">
        <v>43348</v>
      </c>
      <c r="AG7399" t="s">
        <v>8645</v>
      </c>
      <c r="AH7399" t="s">
        <v>8646</v>
      </c>
      <c r="AI7399" t="str">
        <f>"9170191"</f>
        <v>9170191</v>
      </c>
      <c r="AJ7399" t="s">
        <v>8667</v>
      </c>
      <c r="AK7399">
        <v>2810231459</v>
      </c>
      <c r="AL7399" t="s">
        <v>8668</v>
      </c>
      <c r="AM7399" t="s">
        <v>78</v>
      </c>
      <c r="AN7399" t="s">
        <v>78</v>
      </c>
      <c r="AO7399" t="s">
        <v>78</v>
      </c>
      <c r="AP7399" t="s">
        <v>163</v>
      </c>
      <c r="AQ7399">
        <v>1</v>
      </c>
      <c r="AR7399" t="s">
        <v>80</v>
      </c>
      <c r="AS7399" t="s">
        <v>81</v>
      </c>
      <c r="AT7399" t="s">
        <v>58</v>
      </c>
      <c r="AU7399" t="s">
        <v>8673</v>
      </c>
      <c r="AV7399" t="s">
        <v>132</v>
      </c>
      <c r="AW7399" s="1">
        <v>30654</v>
      </c>
      <c r="AX7399">
        <v>1</v>
      </c>
    </row>
    <row r="7400" spans="1:50">
      <c r="B7400" t="str">
        <f>"151098769"</f>
        <v>151098769</v>
      </c>
      <c r="C7400" t="s">
        <v>50</v>
      </c>
      <c r="D7400" t="s">
        <v>11756</v>
      </c>
      <c r="E7400" t="s">
        <v>250</v>
      </c>
      <c r="F7400" t="s">
        <v>72</v>
      </c>
      <c r="G7400" t="s">
        <v>714</v>
      </c>
      <c r="H7400" t="str">
        <f>"ΧΑΡΙΕΣΣΑ ΑΝΘΕΜΙΩΝ  "</f>
        <v xml:space="preserve">ΧΑΡΙΕΣΣΑ ΑΝΘΕΜΙΩΝ  </v>
      </c>
      <c r="I7400">
        <v>59035</v>
      </c>
      <c r="J7400">
        <v>2331043312</v>
      </c>
      <c r="K7400">
        <v>6982485084</v>
      </c>
      <c r="N7400" t="s">
        <v>615</v>
      </c>
      <c r="O7400" t="s">
        <v>616</v>
      </c>
      <c r="R7400" t="s">
        <v>159</v>
      </c>
      <c r="S7400">
        <v>5</v>
      </c>
      <c r="T7400" t="s">
        <v>8675</v>
      </c>
      <c r="U7400" s="1">
        <v>43348</v>
      </c>
      <c r="V7400" t="s">
        <v>80</v>
      </c>
      <c r="W7400" t="s">
        <v>81</v>
      </c>
      <c r="X7400" t="s">
        <v>58</v>
      </c>
      <c r="Y7400">
        <v>24</v>
      </c>
      <c r="Z7400" t="s">
        <v>59</v>
      </c>
      <c r="AA7400" t="s">
        <v>59</v>
      </c>
      <c r="AB7400" t="s">
        <v>59</v>
      </c>
      <c r="AC7400" t="s">
        <v>59</v>
      </c>
      <c r="AD7400" t="s">
        <v>59</v>
      </c>
      <c r="AF7400" s="1">
        <v>43348</v>
      </c>
      <c r="AG7400" t="s">
        <v>8645</v>
      </c>
      <c r="AH7400" t="s">
        <v>8646</v>
      </c>
      <c r="AI7400" t="str">
        <f>"9170039"</f>
        <v>9170039</v>
      </c>
      <c r="AJ7400" t="s">
        <v>8804</v>
      </c>
      <c r="AK7400">
        <v>2894022231</v>
      </c>
      <c r="AL7400" t="s">
        <v>8805</v>
      </c>
      <c r="AM7400" t="s">
        <v>78</v>
      </c>
      <c r="AN7400" t="s">
        <v>405</v>
      </c>
      <c r="AO7400" t="s">
        <v>406</v>
      </c>
      <c r="AP7400" t="s">
        <v>406</v>
      </c>
      <c r="AQ7400">
        <v>6</v>
      </c>
      <c r="AR7400" t="s">
        <v>80</v>
      </c>
      <c r="AS7400" t="s">
        <v>81</v>
      </c>
      <c r="AT7400" t="s">
        <v>58</v>
      </c>
      <c r="AU7400" t="s">
        <v>8673</v>
      </c>
      <c r="AV7400" t="s">
        <v>132</v>
      </c>
      <c r="AW7400" s="1">
        <v>32347</v>
      </c>
      <c r="AX7400">
        <v>1</v>
      </c>
    </row>
    <row r="7401" spans="1:50">
      <c r="B7401" t="str">
        <f>"110358600"</f>
        <v>110358600</v>
      </c>
      <c r="C7401" t="s">
        <v>105</v>
      </c>
      <c r="D7401" t="s">
        <v>5582</v>
      </c>
      <c r="E7401" t="s">
        <v>383</v>
      </c>
      <c r="F7401" t="s">
        <v>11757</v>
      </c>
      <c r="G7401" t="s">
        <v>414</v>
      </c>
      <c r="H7401" t="str">
        <f>"ΦΛΕΜΙΓΚ 1 ΣΗΤΕΙΑ"</f>
        <v>ΦΛΕΜΙΓΚ 1 ΣΗΤΕΙΑ</v>
      </c>
      <c r="I7401">
        <v>72300</v>
      </c>
      <c r="J7401">
        <v>2843022992</v>
      </c>
      <c r="K7401">
        <v>6946064762</v>
      </c>
      <c r="N7401" t="s">
        <v>176</v>
      </c>
      <c r="O7401" t="s">
        <v>177</v>
      </c>
      <c r="R7401" t="s">
        <v>159</v>
      </c>
      <c r="S7401">
        <v>2</v>
      </c>
      <c r="T7401" t="s">
        <v>9034</v>
      </c>
      <c r="U7401" s="1">
        <v>43377</v>
      </c>
      <c r="V7401" t="s">
        <v>80</v>
      </c>
      <c r="W7401" t="s">
        <v>81</v>
      </c>
      <c r="X7401" t="s">
        <v>58</v>
      </c>
      <c r="Y7401">
        <v>24</v>
      </c>
      <c r="Z7401" t="s">
        <v>59</v>
      </c>
      <c r="AA7401" t="s">
        <v>59</v>
      </c>
      <c r="AB7401" t="s">
        <v>59</v>
      </c>
      <c r="AC7401" t="s">
        <v>59</v>
      </c>
      <c r="AD7401" t="s">
        <v>59</v>
      </c>
      <c r="AF7401" s="1">
        <v>43377</v>
      </c>
      <c r="AG7401" t="s">
        <v>8645</v>
      </c>
      <c r="AH7401" t="s">
        <v>8646</v>
      </c>
      <c r="AI7401" t="str">
        <f>"9170027"</f>
        <v>9170027</v>
      </c>
      <c r="AJ7401" t="s">
        <v>8704</v>
      </c>
      <c r="AK7401">
        <v>2810711207</v>
      </c>
      <c r="AL7401" t="s">
        <v>8705</v>
      </c>
      <c r="AM7401" t="s">
        <v>78</v>
      </c>
      <c r="AN7401" t="s">
        <v>129</v>
      </c>
      <c r="AO7401" t="s">
        <v>597</v>
      </c>
      <c r="AP7401" t="s">
        <v>598</v>
      </c>
      <c r="AQ7401">
        <v>4</v>
      </c>
      <c r="AR7401" t="s">
        <v>80</v>
      </c>
      <c r="AS7401" t="s">
        <v>81</v>
      </c>
      <c r="AT7401" t="s">
        <v>58</v>
      </c>
      <c r="AU7401" t="s">
        <v>8673</v>
      </c>
      <c r="AV7401" t="s">
        <v>132</v>
      </c>
      <c r="AW7401" s="1">
        <v>27489</v>
      </c>
      <c r="AX7401">
        <v>1</v>
      </c>
    </row>
    <row r="7402" spans="1:50">
      <c r="A7402">
        <v>582492</v>
      </c>
      <c r="B7402" t="str">
        <f>"051759849"</f>
        <v>051759849</v>
      </c>
      <c r="C7402" t="s">
        <v>105</v>
      </c>
      <c r="D7402" t="s">
        <v>11758</v>
      </c>
      <c r="E7402" t="s">
        <v>72</v>
      </c>
      <c r="F7402" t="s">
        <v>84</v>
      </c>
      <c r="G7402" t="s">
        <v>237</v>
      </c>
      <c r="H7402" t="str">
        <f>"ΑΓ. ΠΕΛΑΓΙΑ ΗΡΑΚΛΕΙΟ"</f>
        <v>ΑΓ. ΠΕΛΑΓΙΑ ΗΡΑΚΛΕΙΟ</v>
      </c>
      <c r="I7402">
        <v>71500</v>
      </c>
      <c r="J7402">
        <v>2810811635</v>
      </c>
      <c r="K7402">
        <v>6978216277</v>
      </c>
      <c r="N7402" t="s">
        <v>615</v>
      </c>
      <c r="O7402" t="s">
        <v>616</v>
      </c>
      <c r="R7402" t="s">
        <v>57</v>
      </c>
      <c r="S7402">
        <v>10</v>
      </c>
      <c r="T7402">
        <v>179</v>
      </c>
      <c r="U7402" s="1">
        <v>35674</v>
      </c>
      <c r="V7402" t="s">
        <v>80</v>
      </c>
      <c r="W7402" t="s">
        <v>81</v>
      </c>
      <c r="X7402" t="s">
        <v>58</v>
      </c>
      <c r="Y7402">
        <v>25</v>
      </c>
      <c r="Z7402" t="s">
        <v>59</v>
      </c>
      <c r="AA7402" t="s">
        <v>59</v>
      </c>
      <c r="AB7402" t="s">
        <v>59</v>
      </c>
      <c r="AC7402" t="s">
        <v>59</v>
      </c>
      <c r="AD7402" t="s">
        <v>59</v>
      </c>
      <c r="AF7402" s="1">
        <v>35677</v>
      </c>
      <c r="AG7402" t="s">
        <v>8645</v>
      </c>
      <c r="AH7402" t="s">
        <v>8676</v>
      </c>
      <c r="AI7402" t="str">
        <f>"9170013"</f>
        <v>9170013</v>
      </c>
      <c r="AJ7402" t="s">
        <v>10704</v>
      </c>
      <c r="AK7402">
        <v>2810721410</v>
      </c>
      <c r="AL7402" t="s">
        <v>10705</v>
      </c>
      <c r="AM7402" t="s">
        <v>78</v>
      </c>
      <c r="AN7402" t="s">
        <v>78</v>
      </c>
      <c r="AO7402" t="s">
        <v>78</v>
      </c>
      <c r="AP7402" t="s">
        <v>9053</v>
      </c>
      <c r="AQ7402">
        <v>1</v>
      </c>
      <c r="AR7402" t="s">
        <v>80</v>
      </c>
      <c r="AS7402" t="s">
        <v>81</v>
      </c>
      <c r="AT7402" t="s">
        <v>58</v>
      </c>
      <c r="AU7402" t="s">
        <v>68</v>
      </c>
      <c r="AV7402" t="s">
        <v>2039</v>
      </c>
      <c r="AW7402" s="1">
        <v>24774</v>
      </c>
      <c r="AX7402">
        <v>1</v>
      </c>
    </row>
    <row r="7403" spans="1:50">
      <c r="B7403" t="str">
        <f>"138163995"</f>
        <v>138163995</v>
      </c>
      <c r="C7403" t="s">
        <v>50</v>
      </c>
      <c r="D7403" t="s">
        <v>11759</v>
      </c>
      <c r="E7403" t="s">
        <v>52</v>
      </c>
      <c r="F7403" t="s">
        <v>670</v>
      </c>
      <c r="G7403" t="s">
        <v>341</v>
      </c>
      <c r="H7403" t="str">
        <f>"ΠΡΑΣΙΝΟ ΑΛΙΒΕΡΙΟΥ "</f>
        <v xml:space="preserve">ΠΡΑΣΙΝΟ ΑΛΙΒΕΡΙΟΥ </v>
      </c>
      <c r="I7403">
        <v>34500</v>
      </c>
      <c r="J7403">
        <v>2223057210</v>
      </c>
      <c r="K7403">
        <v>6974705118</v>
      </c>
      <c r="N7403" t="s">
        <v>1525</v>
      </c>
      <c r="O7403" t="s">
        <v>1526</v>
      </c>
      <c r="R7403" t="s">
        <v>159</v>
      </c>
      <c r="S7403">
        <v>5</v>
      </c>
      <c r="T7403" t="s">
        <v>8670</v>
      </c>
      <c r="U7403" s="1">
        <v>43348</v>
      </c>
      <c r="V7403" t="s">
        <v>80</v>
      </c>
      <c r="W7403" t="s">
        <v>81</v>
      </c>
      <c r="X7403" t="s">
        <v>58</v>
      </c>
      <c r="Y7403">
        <v>25</v>
      </c>
      <c r="Z7403" t="s">
        <v>59</v>
      </c>
      <c r="AA7403" t="s">
        <v>59</v>
      </c>
      <c r="AB7403" t="s">
        <v>59</v>
      </c>
      <c r="AC7403" t="s">
        <v>59</v>
      </c>
      <c r="AD7403" t="s">
        <v>59</v>
      </c>
      <c r="AF7403" s="1">
        <v>43348</v>
      </c>
      <c r="AG7403" t="s">
        <v>8651</v>
      </c>
      <c r="AH7403" t="s">
        <v>8652</v>
      </c>
      <c r="AI7403" t="str">
        <f>"9520583"</f>
        <v>9520583</v>
      </c>
      <c r="AJ7403" t="s">
        <v>11760</v>
      </c>
      <c r="AK7403">
        <v>2892023333</v>
      </c>
      <c r="AL7403" t="s">
        <v>11761</v>
      </c>
      <c r="AM7403" t="s">
        <v>78</v>
      </c>
      <c r="AN7403" t="s">
        <v>242</v>
      </c>
      <c r="AO7403" t="s">
        <v>349</v>
      </c>
      <c r="AP7403" t="s">
        <v>10868</v>
      </c>
      <c r="AQ7403">
        <v>19</v>
      </c>
      <c r="AR7403" t="s">
        <v>80</v>
      </c>
      <c r="AS7403" t="s">
        <v>81</v>
      </c>
      <c r="AT7403" t="s">
        <v>58</v>
      </c>
      <c r="AU7403" t="s">
        <v>8673</v>
      </c>
      <c r="AV7403" t="s">
        <v>132</v>
      </c>
      <c r="AW7403" s="1">
        <v>30740</v>
      </c>
      <c r="AX7403">
        <v>1</v>
      </c>
    </row>
    <row r="7404" spans="1:50">
      <c r="A7404">
        <v>563968</v>
      </c>
      <c r="B7404" t="str">
        <f>"035051595"</f>
        <v>035051595</v>
      </c>
      <c r="C7404" t="s">
        <v>50</v>
      </c>
      <c r="D7404" t="s">
        <v>11762</v>
      </c>
      <c r="E7404" t="s">
        <v>155</v>
      </c>
      <c r="F7404" t="s">
        <v>6198</v>
      </c>
      <c r="G7404" t="s">
        <v>83</v>
      </c>
      <c r="H7404" t="str">
        <f>"ΣΤΡΑΒΩΝΟΣ 39Α ΗΡΑΚΛΕΙΟ"</f>
        <v>ΣΤΡΑΒΩΝΟΣ 39Α ΗΡΑΚΛΕΙΟ</v>
      </c>
      <c r="I7404">
        <v>71305</v>
      </c>
      <c r="J7404">
        <v>2810237594</v>
      </c>
      <c r="K7404">
        <v>6973844111</v>
      </c>
      <c r="N7404" t="s">
        <v>615</v>
      </c>
      <c r="O7404" t="s">
        <v>616</v>
      </c>
      <c r="R7404" t="s">
        <v>57</v>
      </c>
      <c r="S7404">
        <v>15</v>
      </c>
      <c r="T7404">
        <v>161</v>
      </c>
      <c r="U7404" s="1">
        <v>33119</v>
      </c>
      <c r="V7404" t="s">
        <v>80</v>
      </c>
      <c r="W7404" t="s">
        <v>81</v>
      </c>
      <c r="X7404" t="s">
        <v>58</v>
      </c>
      <c r="Y7404">
        <v>21</v>
      </c>
      <c r="Z7404" t="s">
        <v>59</v>
      </c>
      <c r="AA7404" t="s">
        <v>59</v>
      </c>
      <c r="AB7404" t="s">
        <v>59</v>
      </c>
      <c r="AC7404" t="s">
        <v>59</v>
      </c>
      <c r="AD7404" t="s">
        <v>59</v>
      </c>
      <c r="AF7404" s="1">
        <v>33121</v>
      </c>
      <c r="AG7404" t="s">
        <v>8645</v>
      </c>
      <c r="AH7404" t="s">
        <v>8646</v>
      </c>
      <c r="AI7404" t="str">
        <f>"9170512"</f>
        <v>9170512</v>
      </c>
      <c r="AJ7404" t="s">
        <v>8986</v>
      </c>
      <c r="AK7404">
        <v>2810253082</v>
      </c>
      <c r="AL7404" t="s">
        <v>8987</v>
      </c>
      <c r="AM7404" t="s">
        <v>78</v>
      </c>
      <c r="AN7404" t="s">
        <v>78</v>
      </c>
      <c r="AO7404" t="s">
        <v>78</v>
      </c>
      <c r="AP7404" t="s">
        <v>141</v>
      </c>
      <c r="AQ7404">
        <v>1</v>
      </c>
      <c r="AR7404" t="s">
        <v>80</v>
      </c>
      <c r="AS7404" t="s">
        <v>81</v>
      </c>
      <c r="AT7404" t="s">
        <v>58</v>
      </c>
      <c r="AU7404" t="s">
        <v>68</v>
      </c>
      <c r="AV7404" t="s">
        <v>69</v>
      </c>
      <c r="AW7404" s="1">
        <v>23766</v>
      </c>
      <c r="AX7404">
        <v>1</v>
      </c>
    </row>
    <row r="7405" spans="1:50">
      <c r="B7405" t="str">
        <f>"147448280"</f>
        <v>147448280</v>
      </c>
      <c r="C7405" t="s">
        <v>50</v>
      </c>
      <c r="D7405" t="s">
        <v>6664</v>
      </c>
      <c r="E7405" t="s">
        <v>600</v>
      </c>
      <c r="F7405" t="s">
        <v>84</v>
      </c>
      <c r="G7405" t="s">
        <v>476</v>
      </c>
      <c r="H7405" t="str">
        <f>" "</f>
        <v xml:space="preserve"> </v>
      </c>
      <c r="N7405" t="s">
        <v>615</v>
      </c>
      <c r="O7405" t="s">
        <v>616</v>
      </c>
      <c r="R7405" t="s">
        <v>121</v>
      </c>
      <c r="S7405">
        <v>3</v>
      </c>
      <c r="T7405" t="s">
        <v>8675</v>
      </c>
      <c r="U7405" s="1">
        <v>43348</v>
      </c>
      <c r="V7405" t="s">
        <v>80</v>
      </c>
      <c r="W7405" t="s">
        <v>81</v>
      </c>
      <c r="X7405" t="s">
        <v>58</v>
      </c>
      <c r="Y7405">
        <v>24</v>
      </c>
      <c r="Z7405" t="s">
        <v>59</v>
      </c>
      <c r="AA7405" t="s">
        <v>59</v>
      </c>
      <c r="AB7405" t="s">
        <v>59</v>
      </c>
      <c r="AD7405" t="s">
        <v>59</v>
      </c>
      <c r="AF7405" s="1">
        <v>43348</v>
      </c>
      <c r="AG7405" t="s">
        <v>8645</v>
      </c>
      <c r="AH7405" t="s">
        <v>8646</v>
      </c>
      <c r="AI7405" t="str">
        <f>"9170244"</f>
        <v>9170244</v>
      </c>
      <c r="AJ7405" t="s">
        <v>8933</v>
      </c>
      <c r="AK7405">
        <v>2897061213</v>
      </c>
      <c r="AL7405" t="s">
        <v>8934</v>
      </c>
      <c r="AM7405" t="s">
        <v>78</v>
      </c>
      <c r="AN7405" t="s">
        <v>219</v>
      </c>
      <c r="AO7405" t="s">
        <v>527</v>
      </c>
      <c r="AP7405" t="s">
        <v>528</v>
      </c>
      <c r="AQ7405">
        <v>8</v>
      </c>
      <c r="AR7405" t="s">
        <v>80</v>
      </c>
      <c r="AS7405" t="s">
        <v>81</v>
      </c>
      <c r="AT7405" t="s">
        <v>58</v>
      </c>
      <c r="AU7405" t="s">
        <v>8673</v>
      </c>
      <c r="AV7405" t="s">
        <v>132</v>
      </c>
      <c r="AW7405" s="1">
        <v>32748</v>
      </c>
      <c r="AX7405">
        <v>1</v>
      </c>
    </row>
    <row r="7406" spans="1:50">
      <c r="A7406">
        <v>572807</v>
      </c>
      <c r="B7406" t="str">
        <f>"041837615"</f>
        <v>041837615</v>
      </c>
      <c r="C7406" t="s">
        <v>50</v>
      </c>
      <c r="D7406" t="s">
        <v>6664</v>
      </c>
      <c r="E7406" t="s">
        <v>181</v>
      </c>
      <c r="F7406" t="s">
        <v>309</v>
      </c>
      <c r="G7406" t="s">
        <v>250</v>
      </c>
      <c r="H7406" t="str">
        <f>"ΙΚΑΡΙΑΣ 9 ΗΡΑΚΛΕΙΟ"</f>
        <v>ΙΚΑΡΙΑΣ 9 ΗΡΑΚΛΕΙΟ</v>
      </c>
      <c r="I7406">
        <v>71409</v>
      </c>
      <c r="J7406">
        <v>2810210926</v>
      </c>
      <c r="K7406">
        <v>6945623317</v>
      </c>
      <c r="N7406" t="s">
        <v>337</v>
      </c>
      <c r="O7406" t="s">
        <v>338</v>
      </c>
      <c r="R7406" t="s">
        <v>57</v>
      </c>
      <c r="S7406">
        <v>13</v>
      </c>
      <c r="T7406">
        <v>96</v>
      </c>
      <c r="U7406" s="1">
        <v>33393</v>
      </c>
      <c r="V7406" t="s">
        <v>80</v>
      </c>
      <c r="W7406" t="s">
        <v>81</v>
      </c>
      <c r="X7406" t="s">
        <v>58</v>
      </c>
      <c r="Y7406">
        <v>21</v>
      </c>
      <c r="Z7406" t="s">
        <v>59</v>
      </c>
      <c r="AA7406" t="s">
        <v>59</v>
      </c>
      <c r="AB7406" t="s">
        <v>59</v>
      </c>
      <c r="AC7406" t="s">
        <v>59</v>
      </c>
      <c r="AD7406" t="s">
        <v>59</v>
      </c>
      <c r="AF7406" s="1">
        <v>33485</v>
      </c>
      <c r="AG7406" t="s">
        <v>8645</v>
      </c>
      <c r="AH7406" t="s">
        <v>8646</v>
      </c>
      <c r="AI7406" t="str">
        <f>"9170514"</f>
        <v>9170514</v>
      </c>
      <c r="AJ7406" t="s">
        <v>8801</v>
      </c>
      <c r="AK7406">
        <v>2810238666</v>
      </c>
      <c r="AL7406" t="s">
        <v>8802</v>
      </c>
      <c r="AM7406" t="s">
        <v>78</v>
      </c>
      <c r="AN7406" t="s">
        <v>78</v>
      </c>
      <c r="AO7406" t="s">
        <v>78</v>
      </c>
      <c r="AP7406" t="s">
        <v>163</v>
      </c>
      <c r="AQ7406">
        <v>1</v>
      </c>
      <c r="AR7406" t="s">
        <v>80</v>
      </c>
      <c r="AS7406" t="s">
        <v>81</v>
      </c>
      <c r="AT7406" t="s">
        <v>58</v>
      </c>
      <c r="AU7406" t="s">
        <v>68</v>
      </c>
      <c r="AV7406" t="s">
        <v>69</v>
      </c>
      <c r="AW7406" s="1">
        <v>23470</v>
      </c>
      <c r="AX7406">
        <v>1</v>
      </c>
    </row>
    <row r="7407" spans="1:50">
      <c r="A7407">
        <v>613897</v>
      </c>
      <c r="B7407" t="str">
        <f>"137475852"</f>
        <v>137475852</v>
      </c>
      <c r="C7407" t="s">
        <v>50</v>
      </c>
      <c r="D7407" t="s">
        <v>11763</v>
      </c>
      <c r="E7407" t="s">
        <v>112</v>
      </c>
      <c r="F7407" t="s">
        <v>95</v>
      </c>
      <c r="G7407" t="s">
        <v>215</v>
      </c>
      <c r="H7407" t="str">
        <f>"ΜΟΥΣΣΩΝ  44 ΗΡΑΚΛΕΙΟ"</f>
        <v>ΜΟΥΣΣΩΝ  44 ΗΡΑΚΛΕΙΟ</v>
      </c>
      <c r="I7407">
        <v>71307</v>
      </c>
      <c r="J7407">
        <v>2810239412</v>
      </c>
      <c r="K7407">
        <v>6976535722</v>
      </c>
      <c r="M7407" t="s">
        <v>11764</v>
      </c>
      <c r="N7407" t="s">
        <v>615</v>
      </c>
      <c r="O7407" t="s">
        <v>616</v>
      </c>
      <c r="R7407" t="s">
        <v>57</v>
      </c>
      <c r="S7407">
        <v>7</v>
      </c>
      <c r="T7407">
        <v>598</v>
      </c>
      <c r="U7407" s="1">
        <v>39310</v>
      </c>
      <c r="V7407" t="s">
        <v>80</v>
      </c>
      <c r="W7407" t="s">
        <v>81</v>
      </c>
      <c r="X7407" t="s">
        <v>58</v>
      </c>
      <c r="Y7407">
        <v>23</v>
      </c>
      <c r="Z7407" t="s">
        <v>59</v>
      </c>
      <c r="AA7407" t="s">
        <v>59</v>
      </c>
      <c r="AB7407" t="s">
        <v>59</v>
      </c>
      <c r="AC7407" t="s">
        <v>59</v>
      </c>
      <c r="AD7407" t="s">
        <v>59</v>
      </c>
      <c r="AF7407" s="1">
        <v>39328</v>
      </c>
      <c r="AG7407" t="s">
        <v>8645</v>
      </c>
      <c r="AH7407" t="s">
        <v>8646</v>
      </c>
      <c r="AI7407" t="str">
        <f>"9170547"</f>
        <v>9170547</v>
      </c>
      <c r="AJ7407" t="s">
        <v>9175</v>
      </c>
      <c r="AK7407">
        <v>2810250886</v>
      </c>
      <c r="AL7407" t="s">
        <v>9176</v>
      </c>
      <c r="AM7407" t="s">
        <v>78</v>
      </c>
      <c r="AN7407" t="s">
        <v>78</v>
      </c>
      <c r="AO7407" t="s">
        <v>78</v>
      </c>
      <c r="AP7407" t="s">
        <v>141</v>
      </c>
      <c r="AQ7407">
        <v>1</v>
      </c>
      <c r="AR7407" t="s">
        <v>80</v>
      </c>
      <c r="AS7407" t="s">
        <v>81</v>
      </c>
      <c r="AT7407" t="s">
        <v>58</v>
      </c>
      <c r="AU7407" t="s">
        <v>68</v>
      </c>
      <c r="AV7407" t="s">
        <v>69</v>
      </c>
      <c r="AW7407" s="1">
        <v>30862</v>
      </c>
      <c r="AX7407">
        <v>1</v>
      </c>
    </row>
    <row r="7408" spans="1:50">
      <c r="A7408">
        <v>561074</v>
      </c>
      <c r="B7408" t="str">
        <f>"028662712"</f>
        <v>028662712</v>
      </c>
      <c r="C7408" t="s">
        <v>105</v>
      </c>
      <c r="D7408" t="s">
        <v>5584</v>
      </c>
      <c r="E7408" t="s">
        <v>166</v>
      </c>
      <c r="F7408" t="s">
        <v>154</v>
      </c>
      <c r="G7408" t="s">
        <v>255</v>
      </c>
      <c r="H7408" t="str">
        <f>"Δ.ΣΟΛΩΜΟΥ 27 ΤΡΙΑ ΠΕΥΚΑ"</f>
        <v>Δ.ΣΟΛΩΜΟΥ 27 ΤΡΙΑ ΠΕΥΚΑ</v>
      </c>
      <c r="I7408">
        <v>71306</v>
      </c>
      <c r="J7408">
        <v>2810323067</v>
      </c>
      <c r="K7408">
        <v>6945339154</v>
      </c>
      <c r="N7408" t="s">
        <v>615</v>
      </c>
      <c r="O7408" t="s">
        <v>616</v>
      </c>
      <c r="R7408" t="s">
        <v>57</v>
      </c>
      <c r="S7408">
        <v>15</v>
      </c>
      <c r="T7408">
        <v>159</v>
      </c>
      <c r="U7408" s="1">
        <v>32385</v>
      </c>
      <c r="V7408" t="s">
        <v>80</v>
      </c>
      <c r="W7408" t="s">
        <v>81</v>
      </c>
      <c r="X7408" t="s">
        <v>58</v>
      </c>
      <c r="Y7408">
        <v>21</v>
      </c>
      <c r="Z7408" t="s">
        <v>59</v>
      </c>
      <c r="AA7408" t="s">
        <v>59</v>
      </c>
      <c r="AB7408" t="s">
        <v>59</v>
      </c>
      <c r="AC7408" t="s">
        <v>59</v>
      </c>
      <c r="AD7408" t="s">
        <v>59</v>
      </c>
      <c r="AF7408" s="1">
        <v>32387</v>
      </c>
      <c r="AG7408" t="s">
        <v>8645</v>
      </c>
      <c r="AH7408" t="s">
        <v>8646</v>
      </c>
      <c r="AI7408" t="str">
        <f>"9170196"</f>
        <v>9170196</v>
      </c>
      <c r="AJ7408" t="s">
        <v>9255</v>
      </c>
      <c r="AK7408">
        <v>2810283356</v>
      </c>
      <c r="AL7408" t="s">
        <v>9256</v>
      </c>
      <c r="AM7408" t="s">
        <v>78</v>
      </c>
      <c r="AN7408" t="s">
        <v>78</v>
      </c>
      <c r="AO7408" t="s">
        <v>78</v>
      </c>
      <c r="AP7408" t="s">
        <v>79</v>
      </c>
      <c r="AQ7408">
        <v>1</v>
      </c>
      <c r="AR7408" t="s">
        <v>80</v>
      </c>
      <c r="AS7408" t="s">
        <v>81</v>
      </c>
      <c r="AT7408" t="s">
        <v>58</v>
      </c>
      <c r="AU7408" t="s">
        <v>68</v>
      </c>
      <c r="AV7408" t="s">
        <v>69</v>
      </c>
      <c r="AW7408" s="1">
        <v>23622</v>
      </c>
      <c r="AX7408">
        <v>1</v>
      </c>
    </row>
    <row r="7409" spans="1:50">
      <c r="B7409" t="str">
        <f>"139894937"</f>
        <v>139894937</v>
      </c>
      <c r="C7409" t="s">
        <v>50</v>
      </c>
      <c r="D7409" t="s">
        <v>11765</v>
      </c>
      <c r="E7409" t="s">
        <v>83</v>
      </c>
      <c r="F7409" t="s">
        <v>84</v>
      </c>
      <c r="G7409" t="s">
        <v>255</v>
      </c>
      <c r="H7409" t="str">
        <f>"Κωστή Παλαμά ΧΑΝΙΩΝ"</f>
        <v>Κωστή Παλαμά ΧΑΝΙΩΝ</v>
      </c>
      <c r="I7409">
        <v>73100</v>
      </c>
      <c r="K7409">
        <v>6970834627</v>
      </c>
      <c r="N7409" t="s">
        <v>615</v>
      </c>
      <c r="O7409" t="s">
        <v>616</v>
      </c>
      <c r="R7409" t="s">
        <v>121</v>
      </c>
      <c r="S7409">
        <v>1</v>
      </c>
      <c r="T7409" t="s">
        <v>8717</v>
      </c>
      <c r="U7409" s="1">
        <v>43348</v>
      </c>
      <c r="V7409" t="s">
        <v>80</v>
      </c>
      <c r="W7409" t="s">
        <v>81</v>
      </c>
      <c r="X7409" t="s">
        <v>58</v>
      </c>
      <c r="Y7409">
        <v>24</v>
      </c>
      <c r="Z7409" t="s">
        <v>59</v>
      </c>
      <c r="AA7409" t="s">
        <v>59</v>
      </c>
      <c r="AB7409" t="s">
        <v>59</v>
      </c>
      <c r="AD7409" t="s">
        <v>59</v>
      </c>
      <c r="AF7409" s="1">
        <v>43348</v>
      </c>
      <c r="AG7409" t="s">
        <v>8645</v>
      </c>
      <c r="AH7409" t="s">
        <v>8646</v>
      </c>
      <c r="AI7409" t="str">
        <f>"9170107"</f>
        <v>9170107</v>
      </c>
      <c r="AJ7409" t="s">
        <v>8798</v>
      </c>
      <c r="AK7409">
        <v>2810282405</v>
      </c>
      <c r="AL7409" t="s">
        <v>8799</v>
      </c>
      <c r="AM7409" t="s">
        <v>78</v>
      </c>
      <c r="AN7409" t="s">
        <v>78</v>
      </c>
      <c r="AO7409" t="s">
        <v>78</v>
      </c>
      <c r="AP7409" t="s">
        <v>79</v>
      </c>
      <c r="AQ7409">
        <v>1</v>
      </c>
      <c r="AR7409" t="s">
        <v>80</v>
      </c>
      <c r="AS7409" t="s">
        <v>81</v>
      </c>
      <c r="AT7409" t="s">
        <v>58</v>
      </c>
      <c r="AU7409" t="s">
        <v>8720</v>
      </c>
      <c r="AV7409" t="s">
        <v>132</v>
      </c>
      <c r="AW7409" s="1">
        <v>32947</v>
      </c>
      <c r="AX7409">
        <v>1</v>
      </c>
    </row>
    <row r="7410" spans="1:50">
      <c r="A7410">
        <v>582152</v>
      </c>
      <c r="B7410" t="str">
        <f>"070343099"</f>
        <v>070343099</v>
      </c>
      <c r="C7410" t="s">
        <v>50</v>
      </c>
      <c r="D7410" t="s">
        <v>4272</v>
      </c>
      <c r="E7410" t="s">
        <v>237</v>
      </c>
      <c r="F7410" t="s">
        <v>166</v>
      </c>
      <c r="G7410" t="s">
        <v>181</v>
      </c>
      <c r="H7410" t="str">
        <f>"ΡΙΖΗΝΙΑΣ 62 ΘΕΡΙΣΣΟΣ"</f>
        <v>ΡΙΖΗΝΙΑΣ 62 ΘΕΡΙΣΣΟΣ</v>
      </c>
      <c r="I7410">
        <v>71305</v>
      </c>
      <c r="J7410">
        <v>2810259361</v>
      </c>
      <c r="K7410">
        <v>6972821686</v>
      </c>
      <c r="N7410" t="s">
        <v>615</v>
      </c>
      <c r="O7410" t="s">
        <v>616</v>
      </c>
      <c r="R7410" t="s">
        <v>57</v>
      </c>
      <c r="S7410">
        <v>15</v>
      </c>
      <c r="T7410">
        <v>179</v>
      </c>
      <c r="U7410" s="1">
        <v>35674</v>
      </c>
      <c r="V7410" t="s">
        <v>80</v>
      </c>
      <c r="W7410" t="s">
        <v>81</v>
      </c>
      <c r="X7410" t="s">
        <v>58</v>
      </c>
      <c r="Y7410">
        <v>21</v>
      </c>
      <c r="Z7410" t="s">
        <v>59</v>
      </c>
      <c r="AA7410" t="s">
        <v>59</v>
      </c>
      <c r="AB7410" t="s">
        <v>59</v>
      </c>
      <c r="AC7410" t="s">
        <v>59</v>
      </c>
      <c r="AD7410" t="s">
        <v>59</v>
      </c>
      <c r="AF7410" s="1">
        <v>35677</v>
      </c>
      <c r="AG7410" t="s">
        <v>8645</v>
      </c>
      <c r="AH7410" t="s">
        <v>8646</v>
      </c>
      <c r="AI7410" t="str">
        <f>"9170196"</f>
        <v>9170196</v>
      </c>
      <c r="AJ7410" t="s">
        <v>9255</v>
      </c>
      <c r="AK7410">
        <v>2810283356</v>
      </c>
      <c r="AL7410" t="s">
        <v>9256</v>
      </c>
      <c r="AM7410" t="s">
        <v>78</v>
      </c>
      <c r="AN7410" t="s">
        <v>78</v>
      </c>
      <c r="AO7410" t="s">
        <v>78</v>
      </c>
      <c r="AP7410" t="s">
        <v>79</v>
      </c>
      <c r="AQ7410">
        <v>1</v>
      </c>
      <c r="AR7410" t="s">
        <v>80</v>
      </c>
      <c r="AS7410" t="s">
        <v>81</v>
      </c>
      <c r="AT7410" t="s">
        <v>58</v>
      </c>
      <c r="AU7410" t="s">
        <v>68</v>
      </c>
      <c r="AV7410" t="s">
        <v>69</v>
      </c>
      <c r="AW7410" s="1">
        <v>21624</v>
      </c>
      <c r="AX7410">
        <v>1</v>
      </c>
    </row>
    <row r="7411" spans="1:50">
      <c r="A7411">
        <v>621385</v>
      </c>
      <c r="B7411" t="str">
        <f>"103530959"</f>
        <v>103530959</v>
      </c>
      <c r="C7411" t="s">
        <v>50</v>
      </c>
      <c r="D7411" t="s">
        <v>4272</v>
      </c>
      <c r="E7411" t="s">
        <v>83</v>
      </c>
      <c r="F7411" t="s">
        <v>84</v>
      </c>
      <c r="G7411" t="s">
        <v>237</v>
      </c>
      <c r="H7411" t="str">
        <f>"ΜΗΝΑ ΓΕΩΡΓΙΑΔΟΥ 36 ΗΡΑΚΛΕΙΟ"</f>
        <v>ΜΗΝΑ ΓΕΩΡΓΙΑΔΟΥ 36 ΗΡΑΚΛΕΙΟ</v>
      </c>
      <c r="I7411">
        <v>71306</v>
      </c>
      <c r="N7411" t="s">
        <v>615</v>
      </c>
      <c r="O7411" t="s">
        <v>616</v>
      </c>
      <c r="R7411" t="s">
        <v>57</v>
      </c>
      <c r="S7411">
        <v>6</v>
      </c>
      <c r="T7411">
        <v>653</v>
      </c>
      <c r="U7411" s="1">
        <v>40043</v>
      </c>
      <c r="V7411" t="s">
        <v>80</v>
      </c>
      <c r="W7411" t="s">
        <v>81</v>
      </c>
      <c r="X7411" t="s">
        <v>58</v>
      </c>
      <c r="Y7411">
        <v>23</v>
      </c>
      <c r="Z7411" t="s">
        <v>59</v>
      </c>
      <c r="AA7411" t="s">
        <v>59</v>
      </c>
      <c r="AB7411" t="s">
        <v>59</v>
      </c>
      <c r="AC7411" t="s">
        <v>59</v>
      </c>
      <c r="AD7411" t="s">
        <v>59</v>
      </c>
      <c r="AF7411" s="1">
        <v>40043</v>
      </c>
      <c r="AG7411" t="s">
        <v>8645</v>
      </c>
      <c r="AH7411" t="s">
        <v>8646</v>
      </c>
      <c r="AI7411" t="str">
        <f>"9170107"</f>
        <v>9170107</v>
      </c>
      <c r="AJ7411" t="s">
        <v>8798</v>
      </c>
      <c r="AK7411">
        <v>2810282405</v>
      </c>
      <c r="AL7411" t="s">
        <v>8799</v>
      </c>
      <c r="AM7411" t="s">
        <v>78</v>
      </c>
      <c r="AN7411" t="s">
        <v>78</v>
      </c>
      <c r="AO7411" t="s">
        <v>78</v>
      </c>
      <c r="AP7411" t="s">
        <v>79</v>
      </c>
      <c r="AQ7411">
        <v>1</v>
      </c>
      <c r="AR7411" t="s">
        <v>80</v>
      </c>
      <c r="AS7411" t="s">
        <v>81</v>
      </c>
      <c r="AT7411" t="s">
        <v>58</v>
      </c>
      <c r="AU7411" t="s">
        <v>68</v>
      </c>
      <c r="AV7411" t="s">
        <v>69</v>
      </c>
      <c r="AW7411" s="1">
        <v>28216</v>
      </c>
      <c r="AX7411">
        <v>1</v>
      </c>
    </row>
    <row r="7412" spans="1:50">
      <c r="A7412">
        <v>596650</v>
      </c>
      <c r="B7412" t="str">
        <f>"079646527"</f>
        <v>079646527</v>
      </c>
      <c r="C7412" t="s">
        <v>50</v>
      </c>
      <c r="D7412" t="s">
        <v>4272</v>
      </c>
      <c r="E7412" t="s">
        <v>3249</v>
      </c>
      <c r="F7412" t="s">
        <v>95</v>
      </c>
      <c r="G7412" t="s">
        <v>52</v>
      </c>
      <c r="H7412" t="str">
        <f>" "</f>
        <v xml:space="preserve"> </v>
      </c>
      <c r="N7412" t="s">
        <v>1525</v>
      </c>
      <c r="O7412" t="s">
        <v>1526</v>
      </c>
      <c r="R7412" t="s">
        <v>57</v>
      </c>
      <c r="S7412">
        <v>15</v>
      </c>
      <c r="T7412">
        <v>195</v>
      </c>
      <c r="U7412" s="1">
        <v>37497</v>
      </c>
      <c r="V7412" t="s">
        <v>80</v>
      </c>
      <c r="W7412" t="s">
        <v>81</v>
      </c>
      <c r="X7412" t="s">
        <v>58</v>
      </c>
      <c r="Y7412">
        <v>25</v>
      </c>
      <c r="Z7412" t="s">
        <v>59</v>
      </c>
      <c r="AA7412" t="s">
        <v>59</v>
      </c>
      <c r="AB7412" t="s">
        <v>59</v>
      </c>
      <c r="AC7412" t="s">
        <v>59</v>
      </c>
      <c r="AD7412" t="s">
        <v>59</v>
      </c>
      <c r="AF7412" s="1">
        <v>37501</v>
      </c>
      <c r="AG7412" t="s">
        <v>8651</v>
      </c>
      <c r="AH7412" t="s">
        <v>8652</v>
      </c>
      <c r="AI7412" t="str">
        <f>"9170096"</f>
        <v>9170096</v>
      </c>
      <c r="AJ7412" t="s">
        <v>9742</v>
      </c>
      <c r="AK7412">
        <v>2810751200</v>
      </c>
      <c r="AL7412" t="s">
        <v>9743</v>
      </c>
      <c r="AM7412" t="s">
        <v>78</v>
      </c>
      <c r="AN7412" t="s">
        <v>424</v>
      </c>
      <c r="AO7412" t="s">
        <v>425</v>
      </c>
      <c r="AP7412" t="s">
        <v>425</v>
      </c>
      <c r="AQ7412">
        <v>11</v>
      </c>
      <c r="AR7412" t="s">
        <v>80</v>
      </c>
      <c r="AS7412" t="s">
        <v>81</v>
      </c>
      <c r="AT7412" t="s">
        <v>58</v>
      </c>
      <c r="AU7412" t="s">
        <v>68</v>
      </c>
      <c r="AV7412" t="s">
        <v>69</v>
      </c>
      <c r="AW7412" s="1">
        <v>24521</v>
      </c>
      <c r="AX7412">
        <v>1</v>
      </c>
    </row>
    <row r="7413" spans="1:50">
      <c r="A7413">
        <v>601352</v>
      </c>
      <c r="B7413" t="str">
        <f>"114552054"</f>
        <v>114552054</v>
      </c>
      <c r="C7413" t="s">
        <v>50</v>
      </c>
      <c r="D7413" t="s">
        <v>4272</v>
      </c>
      <c r="E7413" t="s">
        <v>96</v>
      </c>
      <c r="F7413" t="s">
        <v>95</v>
      </c>
      <c r="G7413" t="s">
        <v>83</v>
      </c>
      <c r="H7413" t="str">
        <f>" "</f>
        <v xml:space="preserve"> </v>
      </c>
      <c r="J7413">
        <v>2810210643</v>
      </c>
      <c r="K7413">
        <v>6974192287</v>
      </c>
      <c r="N7413" t="s">
        <v>615</v>
      </c>
      <c r="O7413" t="s">
        <v>616</v>
      </c>
      <c r="R7413" t="s">
        <v>57</v>
      </c>
      <c r="S7413">
        <v>8</v>
      </c>
      <c r="T7413">
        <v>207</v>
      </c>
      <c r="U7413" s="1">
        <v>37866</v>
      </c>
      <c r="V7413" t="s">
        <v>80</v>
      </c>
      <c r="W7413" t="s">
        <v>81</v>
      </c>
      <c r="X7413" t="s">
        <v>58</v>
      </c>
      <c r="Y7413">
        <v>22</v>
      </c>
      <c r="Z7413" t="s">
        <v>59</v>
      </c>
      <c r="AA7413" t="s">
        <v>59</v>
      </c>
      <c r="AB7413" t="s">
        <v>59</v>
      </c>
      <c r="AC7413" t="s">
        <v>59</v>
      </c>
      <c r="AD7413" t="s">
        <v>59</v>
      </c>
      <c r="AF7413" s="1">
        <v>37866</v>
      </c>
      <c r="AG7413" t="s">
        <v>8645</v>
      </c>
      <c r="AH7413" t="s">
        <v>8646</v>
      </c>
      <c r="AI7413" t="str">
        <f>"9170255"</f>
        <v>9170255</v>
      </c>
      <c r="AJ7413" t="s">
        <v>8915</v>
      </c>
      <c r="AK7413">
        <v>2810220750</v>
      </c>
      <c r="AL7413" t="s">
        <v>8916</v>
      </c>
      <c r="AM7413" t="s">
        <v>78</v>
      </c>
      <c r="AN7413" t="s">
        <v>78</v>
      </c>
      <c r="AO7413" t="s">
        <v>78</v>
      </c>
      <c r="AP7413" t="s">
        <v>213</v>
      </c>
      <c r="AQ7413">
        <v>1</v>
      </c>
      <c r="AR7413" t="s">
        <v>80</v>
      </c>
      <c r="AS7413" t="s">
        <v>81</v>
      </c>
      <c r="AT7413" t="s">
        <v>58</v>
      </c>
      <c r="AU7413" t="s">
        <v>68</v>
      </c>
      <c r="AV7413" t="s">
        <v>69</v>
      </c>
      <c r="AW7413" s="1">
        <v>26816</v>
      </c>
      <c r="AX7413">
        <v>1</v>
      </c>
    </row>
    <row r="7414" spans="1:50">
      <c r="A7414">
        <v>617590</v>
      </c>
      <c r="B7414" t="str">
        <f>"125592635"</f>
        <v>125592635</v>
      </c>
      <c r="C7414" t="s">
        <v>50</v>
      </c>
      <c r="D7414" t="s">
        <v>11766</v>
      </c>
      <c r="E7414" t="s">
        <v>707</v>
      </c>
      <c r="F7414" t="s">
        <v>166</v>
      </c>
      <c r="G7414" t="s">
        <v>2923</v>
      </c>
      <c r="H7414" t="str">
        <f>"ΑΛΚΙΒΙΑΔΟΥ 20 ΗΡΑΚΛΕΙΟ"</f>
        <v>ΑΛΚΙΒΙΑΔΟΥ 20 ΗΡΑΚΛΕΙΟ</v>
      </c>
      <c r="I7414">
        <v>71307</v>
      </c>
      <c r="J7414">
        <v>2810237047</v>
      </c>
      <c r="K7414">
        <v>6948833668</v>
      </c>
      <c r="N7414" t="s">
        <v>615</v>
      </c>
      <c r="O7414" t="s">
        <v>616</v>
      </c>
      <c r="R7414" t="s">
        <v>57</v>
      </c>
      <c r="S7414">
        <v>7</v>
      </c>
      <c r="T7414">
        <v>774</v>
      </c>
      <c r="U7414" s="1">
        <v>39680</v>
      </c>
      <c r="V7414" t="s">
        <v>80</v>
      </c>
      <c r="W7414" t="s">
        <v>81</v>
      </c>
      <c r="X7414" t="s">
        <v>58</v>
      </c>
      <c r="Y7414">
        <v>23</v>
      </c>
      <c r="Z7414" t="s">
        <v>59</v>
      </c>
      <c r="AA7414" t="s">
        <v>59</v>
      </c>
      <c r="AB7414" t="s">
        <v>59</v>
      </c>
      <c r="AC7414" t="s">
        <v>59</v>
      </c>
      <c r="AD7414" t="s">
        <v>59</v>
      </c>
      <c r="AF7414" s="1">
        <v>39681</v>
      </c>
      <c r="AG7414" t="s">
        <v>8645</v>
      </c>
      <c r="AH7414" t="s">
        <v>8646</v>
      </c>
      <c r="AI7414" t="str">
        <f>"9170494"</f>
        <v>9170494</v>
      </c>
      <c r="AJ7414" t="s">
        <v>9125</v>
      </c>
      <c r="AK7414">
        <v>2810228361</v>
      </c>
      <c r="AL7414" t="s">
        <v>9126</v>
      </c>
      <c r="AM7414" t="s">
        <v>78</v>
      </c>
      <c r="AN7414" t="s">
        <v>78</v>
      </c>
      <c r="AO7414" t="s">
        <v>78</v>
      </c>
      <c r="AP7414" t="s">
        <v>79</v>
      </c>
      <c r="AQ7414">
        <v>1</v>
      </c>
      <c r="AR7414" t="s">
        <v>80</v>
      </c>
      <c r="AS7414" t="s">
        <v>81</v>
      </c>
      <c r="AT7414" t="s">
        <v>58</v>
      </c>
      <c r="AU7414" t="s">
        <v>68</v>
      </c>
      <c r="AV7414" t="s">
        <v>69</v>
      </c>
      <c r="AW7414" s="1">
        <v>30897</v>
      </c>
      <c r="AX7414">
        <v>1</v>
      </c>
    </row>
    <row r="7415" spans="1:50">
      <c r="A7415">
        <v>616005</v>
      </c>
      <c r="B7415" t="str">
        <f>"045746087"</f>
        <v>045746087</v>
      </c>
      <c r="C7415" t="s">
        <v>105</v>
      </c>
      <c r="D7415" t="s">
        <v>4277</v>
      </c>
      <c r="E7415" t="s">
        <v>95</v>
      </c>
      <c r="F7415" t="s">
        <v>53</v>
      </c>
      <c r="G7415" t="s">
        <v>250</v>
      </c>
      <c r="H7415" t="str">
        <f>"ΑΡΚΑΛΟΧΩΡΙ ΑΡΚΑΛΟΧΩΡΙΟΥ"</f>
        <v>ΑΡΚΑΛΟΧΩΡΙ ΑΡΚΑΛΟΧΩΡΙΟΥ</v>
      </c>
      <c r="I7415">
        <v>70300</v>
      </c>
      <c r="J7415">
        <v>2102531516</v>
      </c>
      <c r="K7415">
        <v>6946724048</v>
      </c>
      <c r="M7415" t="s">
        <v>11767</v>
      </c>
      <c r="N7415" t="s">
        <v>176</v>
      </c>
      <c r="O7415" t="s">
        <v>177</v>
      </c>
      <c r="R7415" t="s">
        <v>57</v>
      </c>
      <c r="S7415">
        <v>7</v>
      </c>
      <c r="T7415">
        <v>600</v>
      </c>
      <c r="U7415" s="1">
        <v>39329</v>
      </c>
      <c r="V7415" t="s">
        <v>80</v>
      </c>
      <c r="W7415" t="s">
        <v>81</v>
      </c>
      <c r="X7415" t="s">
        <v>58</v>
      </c>
      <c r="Y7415">
        <v>22</v>
      </c>
      <c r="Z7415" t="s">
        <v>59</v>
      </c>
      <c r="AA7415" t="s">
        <v>59</v>
      </c>
      <c r="AB7415" t="s">
        <v>59</v>
      </c>
      <c r="AC7415" t="s">
        <v>59</v>
      </c>
      <c r="AD7415" t="s">
        <v>59</v>
      </c>
      <c r="AF7415" s="1">
        <v>39330</v>
      </c>
      <c r="AG7415" t="s">
        <v>8645</v>
      </c>
      <c r="AH7415" t="s">
        <v>8646</v>
      </c>
      <c r="AI7415" t="str">
        <f>"9170345"</f>
        <v>9170345</v>
      </c>
      <c r="AJ7415" t="s">
        <v>9429</v>
      </c>
      <c r="AK7415">
        <v>2810289563</v>
      </c>
      <c r="AL7415" t="s">
        <v>9430</v>
      </c>
      <c r="AM7415" t="s">
        <v>78</v>
      </c>
      <c r="AN7415" t="s">
        <v>78</v>
      </c>
      <c r="AO7415" t="s">
        <v>78</v>
      </c>
      <c r="AP7415" t="s">
        <v>79</v>
      </c>
      <c r="AQ7415">
        <v>1</v>
      </c>
      <c r="AR7415" t="s">
        <v>80</v>
      </c>
      <c r="AS7415" t="s">
        <v>81</v>
      </c>
      <c r="AT7415" t="s">
        <v>58</v>
      </c>
      <c r="AU7415" t="s">
        <v>68</v>
      </c>
      <c r="AV7415" t="s">
        <v>1092</v>
      </c>
      <c r="AW7415" s="1">
        <v>24748</v>
      </c>
      <c r="AX7415">
        <v>1</v>
      </c>
    </row>
    <row r="7416" spans="1:50">
      <c r="A7416">
        <v>589896</v>
      </c>
      <c r="B7416" t="str">
        <f>"065195817"</f>
        <v>065195817</v>
      </c>
      <c r="C7416" t="s">
        <v>105</v>
      </c>
      <c r="D7416" t="s">
        <v>4277</v>
      </c>
      <c r="E7416" t="s">
        <v>95</v>
      </c>
      <c r="F7416" t="s">
        <v>53</v>
      </c>
      <c r="G7416" t="s">
        <v>52</v>
      </c>
      <c r="H7416" t="str">
        <f>" "</f>
        <v xml:space="preserve"> </v>
      </c>
      <c r="N7416" t="s">
        <v>176</v>
      </c>
      <c r="O7416" t="s">
        <v>177</v>
      </c>
      <c r="R7416" t="s">
        <v>57</v>
      </c>
      <c r="S7416">
        <v>9</v>
      </c>
      <c r="T7416">
        <v>177</v>
      </c>
      <c r="U7416" s="1">
        <v>36403</v>
      </c>
      <c r="V7416" t="s">
        <v>80</v>
      </c>
      <c r="W7416" t="s">
        <v>81</v>
      </c>
      <c r="X7416" t="s">
        <v>58</v>
      </c>
      <c r="Y7416">
        <v>22</v>
      </c>
      <c r="Z7416" t="s">
        <v>59</v>
      </c>
      <c r="AA7416" t="s">
        <v>59</v>
      </c>
      <c r="AB7416" t="s">
        <v>59</v>
      </c>
      <c r="AC7416" t="s">
        <v>59</v>
      </c>
      <c r="AD7416" t="s">
        <v>59</v>
      </c>
      <c r="AF7416" s="1">
        <v>36405</v>
      </c>
      <c r="AG7416" t="s">
        <v>8645</v>
      </c>
      <c r="AH7416" t="s">
        <v>8646</v>
      </c>
      <c r="AI7416" t="str">
        <f>"9170198"</f>
        <v>9170198</v>
      </c>
      <c r="AJ7416" t="s">
        <v>8665</v>
      </c>
      <c r="AK7416">
        <v>2810227379</v>
      </c>
      <c r="AL7416" t="s">
        <v>8666</v>
      </c>
      <c r="AM7416" t="s">
        <v>78</v>
      </c>
      <c r="AN7416" t="s">
        <v>78</v>
      </c>
      <c r="AO7416" t="s">
        <v>78</v>
      </c>
      <c r="AP7416" t="s">
        <v>79</v>
      </c>
      <c r="AQ7416">
        <v>1</v>
      </c>
      <c r="AR7416" t="s">
        <v>80</v>
      </c>
      <c r="AS7416" t="s">
        <v>81</v>
      </c>
      <c r="AT7416" t="s">
        <v>58</v>
      </c>
      <c r="AU7416" t="s">
        <v>68</v>
      </c>
      <c r="AV7416" t="s">
        <v>69</v>
      </c>
      <c r="AW7416" s="1">
        <v>25784</v>
      </c>
      <c r="AX7416">
        <v>1</v>
      </c>
    </row>
    <row r="7417" spans="1:50">
      <c r="A7417">
        <v>618097</v>
      </c>
      <c r="B7417" t="str">
        <f>"137216589"</f>
        <v>137216589</v>
      </c>
      <c r="C7417" t="s">
        <v>50</v>
      </c>
      <c r="D7417" t="s">
        <v>5591</v>
      </c>
      <c r="E7417" t="s">
        <v>109</v>
      </c>
      <c r="F7417" t="s">
        <v>111</v>
      </c>
      <c r="G7417" t="s">
        <v>52</v>
      </c>
      <c r="H7417" t="str">
        <f>"ΣΤΕΡΓΙΟΓΙΑΝΝΗ 75 ΗΡΑΚΛΕΙΟ"</f>
        <v>ΣΤΕΡΓΙΟΓΙΑΝΝΗ 75 ΗΡΑΚΛΕΙΟ</v>
      </c>
      <c r="I7417">
        <v>71305</v>
      </c>
      <c r="K7417">
        <v>6932293637</v>
      </c>
      <c r="M7417" t="s">
        <v>11768</v>
      </c>
      <c r="N7417" t="s">
        <v>615</v>
      </c>
      <c r="O7417" t="s">
        <v>616</v>
      </c>
      <c r="R7417" t="s">
        <v>57</v>
      </c>
      <c r="S7417">
        <v>5</v>
      </c>
      <c r="T7417">
        <v>774</v>
      </c>
      <c r="U7417" s="1">
        <v>39681</v>
      </c>
      <c r="V7417" t="s">
        <v>80</v>
      </c>
      <c r="W7417" t="s">
        <v>81</v>
      </c>
      <c r="X7417" t="s">
        <v>58</v>
      </c>
      <c r="Y7417">
        <v>23</v>
      </c>
      <c r="Z7417" t="s">
        <v>59</v>
      </c>
      <c r="AA7417" t="s">
        <v>59</v>
      </c>
      <c r="AB7417" t="s">
        <v>59</v>
      </c>
      <c r="AC7417" t="s">
        <v>59</v>
      </c>
      <c r="AD7417" t="s">
        <v>59</v>
      </c>
      <c r="AF7417" s="1">
        <v>39681</v>
      </c>
      <c r="AG7417" t="s">
        <v>8645</v>
      </c>
      <c r="AH7417" t="s">
        <v>8646</v>
      </c>
      <c r="AI7417" t="str">
        <f>"9170012"</f>
        <v>9170012</v>
      </c>
      <c r="AJ7417" t="s">
        <v>8865</v>
      </c>
      <c r="AK7417">
        <v>2810811304</v>
      </c>
      <c r="AL7417" t="s">
        <v>8866</v>
      </c>
      <c r="AM7417" t="s">
        <v>78</v>
      </c>
      <c r="AN7417" t="s">
        <v>129</v>
      </c>
      <c r="AO7417" t="s">
        <v>130</v>
      </c>
      <c r="AP7417" t="s">
        <v>8867</v>
      </c>
      <c r="AQ7417">
        <v>2</v>
      </c>
      <c r="AR7417" t="s">
        <v>80</v>
      </c>
      <c r="AS7417" t="s">
        <v>81</v>
      </c>
      <c r="AT7417" t="s">
        <v>58</v>
      </c>
      <c r="AU7417" t="s">
        <v>68</v>
      </c>
      <c r="AV7417" t="s">
        <v>69</v>
      </c>
      <c r="AW7417" s="1">
        <v>30175</v>
      </c>
      <c r="AX7417">
        <v>1</v>
      </c>
    </row>
    <row r="7418" spans="1:50">
      <c r="A7418">
        <v>587887</v>
      </c>
      <c r="B7418" t="str">
        <f>"059913840"</f>
        <v>059913840</v>
      </c>
      <c r="C7418" t="s">
        <v>50</v>
      </c>
      <c r="D7418" t="s">
        <v>11769</v>
      </c>
      <c r="E7418" t="s">
        <v>263</v>
      </c>
      <c r="F7418" t="s">
        <v>975</v>
      </c>
      <c r="G7418" t="s">
        <v>73</v>
      </c>
      <c r="H7418" t="str">
        <f>"ΜΕΓΑΛΟΧΑΡΗΣ 5 ΗΡΑΚΛΕΙΟ"</f>
        <v>ΜΕΓΑΛΟΧΑΡΗΣ 5 ΗΡΑΚΛΕΙΟ</v>
      </c>
      <c r="I7418">
        <v>71307</v>
      </c>
      <c r="J7418">
        <v>2810236819</v>
      </c>
      <c r="K7418">
        <v>6977986876</v>
      </c>
      <c r="M7418" t="s">
        <v>11770</v>
      </c>
      <c r="N7418" t="s">
        <v>615</v>
      </c>
      <c r="O7418" t="s">
        <v>616</v>
      </c>
      <c r="P7418" t="s">
        <v>292</v>
      </c>
      <c r="Q7418" t="s">
        <v>293</v>
      </c>
      <c r="R7418" t="s">
        <v>57</v>
      </c>
      <c r="S7418">
        <v>15</v>
      </c>
      <c r="T7418">
        <v>250</v>
      </c>
      <c r="U7418" s="1">
        <v>36160</v>
      </c>
      <c r="V7418" t="s">
        <v>80</v>
      </c>
      <c r="W7418" t="s">
        <v>81</v>
      </c>
      <c r="X7418" t="s">
        <v>58</v>
      </c>
      <c r="Y7418">
        <v>21</v>
      </c>
      <c r="Z7418" t="s">
        <v>59</v>
      </c>
      <c r="AA7418" t="s">
        <v>59</v>
      </c>
      <c r="AB7418" t="s">
        <v>59</v>
      </c>
      <c r="AC7418" t="s">
        <v>59</v>
      </c>
      <c r="AD7418" t="s">
        <v>59</v>
      </c>
      <c r="AF7418" s="1">
        <v>36171</v>
      </c>
      <c r="AG7418" t="s">
        <v>8645</v>
      </c>
      <c r="AH7418" t="s">
        <v>8646</v>
      </c>
      <c r="AI7418" t="str">
        <f>"9170423"</f>
        <v>9170423</v>
      </c>
      <c r="AJ7418" t="s">
        <v>8808</v>
      </c>
      <c r="AK7418">
        <v>2810239612</v>
      </c>
      <c r="AL7418" t="s">
        <v>8809</v>
      </c>
      <c r="AM7418" t="s">
        <v>78</v>
      </c>
      <c r="AN7418" t="s">
        <v>78</v>
      </c>
      <c r="AO7418" t="s">
        <v>78</v>
      </c>
      <c r="AP7418" t="s">
        <v>163</v>
      </c>
      <c r="AQ7418">
        <v>1</v>
      </c>
      <c r="AR7418" t="s">
        <v>80</v>
      </c>
      <c r="AS7418" t="s">
        <v>81</v>
      </c>
      <c r="AT7418" t="s">
        <v>58</v>
      </c>
      <c r="AU7418" t="s">
        <v>68</v>
      </c>
      <c r="AV7418" t="s">
        <v>69</v>
      </c>
      <c r="AW7418" s="1">
        <v>26996</v>
      </c>
      <c r="AX7418">
        <v>1</v>
      </c>
    </row>
    <row r="7419" spans="1:50">
      <c r="B7419" t="str">
        <f>"150423690"</f>
        <v>150423690</v>
      </c>
      <c r="C7419" t="s">
        <v>50</v>
      </c>
      <c r="D7419" t="s">
        <v>11769</v>
      </c>
      <c r="E7419" t="s">
        <v>396</v>
      </c>
      <c r="F7419" t="s">
        <v>95</v>
      </c>
      <c r="G7419" t="s">
        <v>52</v>
      </c>
      <c r="H7419" t="str">
        <f>"Γιαμπουδή 34 Ηρακλείου"</f>
        <v>Γιαμπουδή 34 Ηρακλείου</v>
      </c>
      <c r="I7419">
        <v>71201</v>
      </c>
      <c r="J7419">
        <v>2810289838</v>
      </c>
      <c r="K7419">
        <v>6948486240</v>
      </c>
      <c r="M7419" t="s">
        <v>11771</v>
      </c>
      <c r="N7419" t="s">
        <v>615</v>
      </c>
      <c r="O7419" t="s">
        <v>616</v>
      </c>
      <c r="R7419" t="s">
        <v>159</v>
      </c>
      <c r="S7419">
        <v>1</v>
      </c>
      <c r="T7419" t="s">
        <v>8675</v>
      </c>
      <c r="U7419" s="1">
        <v>43348</v>
      </c>
      <c r="V7419" t="s">
        <v>80</v>
      </c>
      <c r="W7419" t="s">
        <v>81</v>
      </c>
      <c r="X7419" t="s">
        <v>58</v>
      </c>
      <c r="Y7419">
        <v>24</v>
      </c>
      <c r="Z7419" t="s">
        <v>59</v>
      </c>
      <c r="AA7419" t="s">
        <v>59</v>
      </c>
      <c r="AB7419" t="s">
        <v>59</v>
      </c>
      <c r="AC7419" t="s">
        <v>59</v>
      </c>
      <c r="AD7419" t="s">
        <v>59</v>
      </c>
      <c r="AF7419" s="1">
        <v>43348</v>
      </c>
      <c r="AG7419" t="s">
        <v>8645</v>
      </c>
      <c r="AH7419" t="s">
        <v>8646</v>
      </c>
      <c r="AI7419" t="str">
        <f>"9170264"</f>
        <v>9170264</v>
      </c>
      <c r="AJ7419" t="s">
        <v>8718</v>
      </c>
      <c r="AK7419">
        <v>2810332030</v>
      </c>
      <c r="AL7419" t="s">
        <v>8719</v>
      </c>
      <c r="AM7419" t="s">
        <v>78</v>
      </c>
      <c r="AN7419" t="s">
        <v>78</v>
      </c>
      <c r="AO7419" t="s">
        <v>286</v>
      </c>
      <c r="AP7419" t="s">
        <v>286</v>
      </c>
      <c r="AQ7419">
        <v>1</v>
      </c>
      <c r="AR7419" t="s">
        <v>80</v>
      </c>
      <c r="AS7419" t="s">
        <v>81</v>
      </c>
      <c r="AT7419" t="s">
        <v>58</v>
      </c>
      <c r="AU7419" t="s">
        <v>8673</v>
      </c>
      <c r="AV7419" t="s">
        <v>132</v>
      </c>
      <c r="AW7419" s="1">
        <v>32831</v>
      </c>
      <c r="AX7419">
        <v>1</v>
      </c>
    </row>
    <row r="7420" spans="1:50">
      <c r="A7420">
        <v>582102</v>
      </c>
      <c r="B7420" t="str">
        <f>"039286431"</f>
        <v>039286431</v>
      </c>
      <c r="C7420" t="s">
        <v>50</v>
      </c>
      <c r="D7420" t="s">
        <v>11769</v>
      </c>
      <c r="E7420" t="s">
        <v>52</v>
      </c>
      <c r="F7420" t="s">
        <v>975</v>
      </c>
      <c r="G7420" t="s">
        <v>73</v>
      </c>
      <c r="H7420" t="str">
        <f>"ΑΓΙΕΣ ΠΑΡΑΣΚΙΕΣ "</f>
        <v xml:space="preserve">ΑΓΙΕΣ ΠΑΡΑΣΚΙΕΣ </v>
      </c>
      <c r="I7420">
        <v>70100</v>
      </c>
      <c r="J7420">
        <v>2810236308</v>
      </c>
      <c r="K7420">
        <v>6974556853</v>
      </c>
      <c r="N7420" t="s">
        <v>615</v>
      </c>
      <c r="O7420" t="s">
        <v>616</v>
      </c>
      <c r="R7420" t="s">
        <v>57</v>
      </c>
      <c r="S7420">
        <v>14</v>
      </c>
      <c r="T7420">
        <v>179</v>
      </c>
      <c r="U7420" s="1">
        <v>35674</v>
      </c>
      <c r="V7420" t="s">
        <v>80</v>
      </c>
      <c r="W7420" t="s">
        <v>81</v>
      </c>
      <c r="X7420" t="s">
        <v>58</v>
      </c>
      <c r="Y7420">
        <v>21</v>
      </c>
      <c r="Z7420" t="s">
        <v>59</v>
      </c>
      <c r="AA7420" t="s">
        <v>59</v>
      </c>
      <c r="AB7420" t="s">
        <v>59</v>
      </c>
      <c r="AC7420" t="s">
        <v>59</v>
      </c>
      <c r="AD7420" t="s">
        <v>59</v>
      </c>
      <c r="AF7420" s="1">
        <v>35675</v>
      </c>
      <c r="AG7420" t="s">
        <v>8645</v>
      </c>
      <c r="AH7420" t="s">
        <v>8646</v>
      </c>
      <c r="AI7420" t="str">
        <f>"9170191"</f>
        <v>9170191</v>
      </c>
      <c r="AJ7420" t="s">
        <v>8667</v>
      </c>
      <c r="AK7420">
        <v>2810231459</v>
      </c>
      <c r="AL7420" t="s">
        <v>8668</v>
      </c>
      <c r="AM7420" t="s">
        <v>78</v>
      </c>
      <c r="AN7420" t="s">
        <v>78</v>
      </c>
      <c r="AO7420" t="s">
        <v>78</v>
      </c>
      <c r="AP7420" t="s">
        <v>163</v>
      </c>
      <c r="AQ7420">
        <v>1</v>
      </c>
      <c r="AR7420" t="s">
        <v>80</v>
      </c>
      <c r="AS7420" t="s">
        <v>81</v>
      </c>
      <c r="AT7420" t="s">
        <v>58</v>
      </c>
      <c r="AU7420" t="s">
        <v>68</v>
      </c>
      <c r="AV7420" t="s">
        <v>69</v>
      </c>
      <c r="AW7420" s="1">
        <v>24354</v>
      </c>
      <c r="AX7420">
        <v>1</v>
      </c>
    </row>
    <row r="7421" spans="1:50">
      <c r="A7421">
        <v>584888</v>
      </c>
      <c r="B7421" t="str">
        <f>"065137107"</f>
        <v>065137107</v>
      </c>
      <c r="C7421" t="s">
        <v>50</v>
      </c>
      <c r="D7421" t="s">
        <v>4281</v>
      </c>
      <c r="E7421" t="s">
        <v>513</v>
      </c>
      <c r="F7421" t="s">
        <v>166</v>
      </c>
      <c r="G7421" t="s">
        <v>263</v>
      </c>
      <c r="H7421" t="str">
        <f>" "</f>
        <v xml:space="preserve"> </v>
      </c>
      <c r="N7421" t="s">
        <v>615</v>
      </c>
      <c r="O7421" t="s">
        <v>616</v>
      </c>
      <c r="R7421" t="s">
        <v>57</v>
      </c>
      <c r="S7421">
        <v>11</v>
      </c>
      <c r="T7421">
        <v>165</v>
      </c>
      <c r="U7421" s="1">
        <v>36040</v>
      </c>
      <c r="V7421" t="s">
        <v>80</v>
      </c>
      <c r="W7421" t="s">
        <v>81</v>
      </c>
      <c r="X7421" t="s">
        <v>58</v>
      </c>
      <c r="Y7421">
        <v>21</v>
      </c>
      <c r="Z7421" t="s">
        <v>59</v>
      </c>
      <c r="AA7421" t="s">
        <v>59</v>
      </c>
      <c r="AB7421" t="s">
        <v>59</v>
      </c>
      <c r="AC7421" t="s">
        <v>59</v>
      </c>
      <c r="AD7421" t="s">
        <v>59</v>
      </c>
      <c r="AF7421" s="1">
        <v>36041</v>
      </c>
      <c r="AG7421" t="s">
        <v>8645</v>
      </c>
      <c r="AH7421" t="s">
        <v>8646</v>
      </c>
      <c r="AI7421" t="str">
        <f>"9170494"</f>
        <v>9170494</v>
      </c>
      <c r="AJ7421" t="s">
        <v>9125</v>
      </c>
      <c r="AK7421">
        <v>2810228361</v>
      </c>
      <c r="AL7421" t="s">
        <v>9126</v>
      </c>
      <c r="AM7421" t="s">
        <v>78</v>
      </c>
      <c r="AN7421" t="s">
        <v>78</v>
      </c>
      <c r="AO7421" t="s">
        <v>78</v>
      </c>
      <c r="AP7421" t="s">
        <v>79</v>
      </c>
      <c r="AQ7421">
        <v>1</v>
      </c>
      <c r="AR7421" t="s">
        <v>80</v>
      </c>
      <c r="AS7421" t="s">
        <v>81</v>
      </c>
      <c r="AT7421" t="s">
        <v>58</v>
      </c>
      <c r="AU7421" t="s">
        <v>68</v>
      </c>
      <c r="AV7421" t="s">
        <v>69</v>
      </c>
      <c r="AW7421" s="1">
        <v>24419</v>
      </c>
      <c r="AX7421">
        <v>1</v>
      </c>
    </row>
    <row r="7422" spans="1:50">
      <c r="B7422" t="str">
        <f>"137465625"</f>
        <v>137465625</v>
      </c>
      <c r="C7422" t="s">
        <v>50</v>
      </c>
      <c r="D7422" t="s">
        <v>4281</v>
      </c>
      <c r="E7422" t="s">
        <v>237</v>
      </c>
      <c r="F7422" t="s">
        <v>166</v>
      </c>
      <c r="G7422" t="s">
        <v>52</v>
      </c>
      <c r="H7422" t="str">
        <f>"ΖΑΡΟΣ ΗΡΑΚΛΕΙΟΥ ΚΡΗΤΗΣ "</f>
        <v xml:space="preserve">ΖΑΡΟΣ ΗΡΑΚΛΕΙΟΥ ΚΡΗΤΗΣ </v>
      </c>
      <c r="I7422">
        <v>70002</v>
      </c>
      <c r="J7422">
        <v>2894031180</v>
      </c>
      <c r="K7422">
        <v>6979171014</v>
      </c>
      <c r="N7422" t="s">
        <v>9829</v>
      </c>
      <c r="O7422" t="s">
        <v>9830</v>
      </c>
      <c r="R7422" t="s">
        <v>159</v>
      </c>
      <c r="S7422">
        <v>5</v>
      </c>
      <c r="T7422" t="s">
        <v>8835</v>
      </c>
      <c r="U7422" s="1">
        <v>43348</v>
      </c>
      <c r="V7422" t="s">
        <v>80</v>
      </c>
      <c r="W7422" t="s">
        <v>81</v>
      </c>
      <c r="X7422" t="s">
        <v>58</v>
      </c>
      <c r="Y7422">
        <v>25</v>
      </c>
      <c r="Z7422" t="s">
        <v>59</v>
      </c>
      <c r="AA7422" t="s">
        <v>59</v>
      </c>
      <c r="AB7422" t="s">
        <v>59</v>
      </c>
      <c r="AC7422" t="s">
        <v>59</v>
      </c>
      <c r="AD7422" t="s">
        <v>59</v>
      </c>
      <c r="AF7422" s="1">
        <v>43348</v>
      </c>
      <c r="AG7422" t="s">
        <v>8651</v>
      </c>
      <c r="AH7422" t="s">
        <v>8652</v>
      </c>
      <c r="AI7422" t="str">
        <f>"9170353"</f>
        <v>9170353</v>
      </c>
      <c r="AJ7422" t="s">
        <v>9119</v>
      </c>
      <c r="AK7422">
        <v>2810861585</v>
      </c>
      <c r="AL7422" t="s">
        <v>9120</v>
      </c>
      <c r="AM7422" t="s">
        <v>78</v>
      </c>
      <c r="AN7422" t="s">
        <v>78</v>
      </c>
      <c r="AO7422" t="s">
        <v>185</v>
      </c>
      <c r="AP7422" t="s">
        <v>8685</v>
      </c>
      <c r="AQ7422">
        <v>4</v>
      </c>
      <c r="AR7422" t="s">
        <v>80</v>
      </c>
      <c r="AS7422" t="s">
        <v>81</v>
      </c>
      <c r="AT7422" t="s">
        <v>58</v>
      </c>
      <c r="AU7422" t="s">
        <v>131</v>
      </c>
      <c r="AV7422" t="s">
        <v>132</v>
      </c>
      <c r="AW7422" s="1">
        <v>30623</v>
      </c>
      <c r="AX7422">
        <v>1</v>
      </c>
    </row>
    <row r="7423" spans="1:50">
      <c r="A7423">
        <v>619745</v>
      </c>
      <c r="B7423" t="str">
        <f>"123152714"</f>
        <v>123152714</v>
      </c>
      <c r="C7423" t="s">
        <v>50</v>
      </c>
      <c r="D7423" t="s">
        <v>4281</v>
      </c>
      <c r="E7423" t="s">
        <v>221</v>
      </c>
      <c r="F7423" t="s">
        <v>95</v>
      </c>
      <c r="G7423" t="s">
        <v>83</v>
      </c>
      <c r="H7423" t="str">
        <f>"Μ.ΑΡΒΑΝΙΤΑΚΗ 4 ΗΡΑΚΛΕΙΟ"</f>
        <v>Μ.ΑΡΒΑΝΙΤΑΚΗ 4 ΗΡΑΚΛΕΙΟ</v>
      </c>
      <c r="I7423">
        <v>71304</v>
      </c>
      <c r="J7423">
        <v>2810253112</v>
      </c>
      <c r="K7423">
        <v>6948753482</v>
      </c>
      <c r="L7423">
        <v>2810254848</v>
      </c>
      <c r="M7423" t="s">
        <v>11772</v>
      </c>
      <c r="N7423" t="s">
        <v>306</v>
      </c>
      <c r="O7423" t="s">
        <v>307</v>
      </c>
      <c r="R7423" t="s">
        <v>57</v>
      </c>
      <c r="S7423">
        <v>6</v>
      </c>
      <c r="T7423">
        <v>775</v>
      </c>
      <c r="U7423" s="1">
        <v>39680</v>
      </c>
      <c r="V7423" t="s">
        <v>80</v>
      </c>
      <c r="W7423" t="s">
        <v>81</v>
      </c>
      <c r="X7423" t="s">
        <v>58</v>
      </c>
      <c r="Y7423">
        <v>24</v>
      </c>
      <c r="Z7423" t="s">
        <v>59</v>
      </c>
      <c r="AA7423" t="s">
        <v>59</v>
      </c>
      <c r="AB7423" t="s">
        <v>59</v>
      </c>
      <c r="AC7423" t="s">
        <v>59</v>
      </c>
      <c r="AD7423" t="s">
        <v>59</v>
      </c>
      <c r="AF7423" s="1">
        <v>39681</v>
      </c>
      <c r="AG7423" t="s">
        <v>8645</v>
      </c>
      <c r="AH7423" t="s">
        <v>8646</v>
      </c>
      <c r="AI7423" t="str">
        <f>"9170107"</f>
        <v>9170107</v>
      </c>
      <c r="AJ7423" t="s">
        <v>8798</v>
      </c>
      <c r="AK7423">
        <v>2810282405</v>
      </c>
      <c r="AL7423" t="s">
        <v>8799</v>
      </c>
      <c r="AM7423" t="s">
        <v>78</v>
      </c>
      <c r="AN7423" t="s">
        <v>78</v>
      </c>
      <c r="AO7423" t="s">
        <v>78</v>
      </c>
      <c r="AP7423" t="s">
        <v>79</v>
      </c>
      <c r="AQ7423">
        <v>1</v>
      </c>
      <c r="AR7423" t="s">
        <v>80</v>
      </c>
      <c r="AS7423" t="s">
        <v>81</v>
      </c>
      <c r="AT7423" t="s">
        <v>58</v>
      </c>
      <c r="AU7423" t="s">
        <v>68</v>
      </c>
      <c r="AV7423" t="s">
        <v>69</v>
      </c>
      <c r="AW7423" s="1">
        <v>30499</v>
      </c>
      <c r="AX7423">
        <v>1</v>
      </c>
    </row>
    <row r="7424" spans="1:50">
      <c r="A7424">
        <v>613190</v>
      </c>
      <c r="B7424" t="str">
        <f>"128310316"</f>
        <v>128310316</v>
      </c>
      <c r="C7424" t="s">
        <v>50</v>
      </c>
      <c r="D7424" t="s">
        <v>4281</v>
      </c>
      <c r="E7424" t="s">
        <v>280</v>
      </c>
      <c r="F7424" t="s">
        <v>166</v>
      </c>
      <c r="G7424" t="s">
        <v>255</v>
      </c>
      <c r="H7424" t="str">
        <f>"ΜΕΣΟΛΟΓΓΙΟΥ 8 ΗΡΑΚΛΕΙΟ"</f>
        <v>ΜΕΣΟΛΟΓΓΙΟΥ 8 ΗΡΑΚΛΕΙΟ</v>
      </c>
      <c r="I7424">
        <v>71409</v>
      </c>
      <c r="J7424">
        <v>2813007500</v>
      </c>
      <c r="K7424">
        <v>6974123282</v>
      </c>
      <c r="N7424" t="s">
        <v>615</v>
      </c>
      <c r="O7424" t="s">
        <v>616</v>
      </c>
      <c r="R7424" t="s">
        <v>57</v>
      </c>
      <c r="S7424">
        <v>6</v>
      </c>
      <c r="T7424">
        <v>598</v>
      </c>
      <c r="U7424" s="1">
        <v>39337</v>
      </c>
      <c r="V7424" t="s">
        <v>80</v>
      </c>
      <c r="W7424" t="s">
        <v>81</v>
      </c>
      <c r="X7424" t="s">
        <v>58</v>
      </c>
      <c r="Y7424">
        <v>23</v>
      </c>
      <c r="Z7424" t="s">
        <v>59</v>
      </c>
      <c r="AA7424" t="s">
        <v>59</v>
      </c>
      <c r="AB7424" t="s">
        <v>59</v>
      </c>
      <c r="AC7424" t="s">
        <v>59</v>
      </c>
      <c r="AD7424" t="s">
        <v>59</v>
      </c>
      <c r="AF7424" s="1">
        <v>39337</v>
      </c>
      <c r="AG7424" t="s">
        <v>8645</v>
      </c>
      <c r="AH7424" t="s">
        <v>8646</v>
      </c>
      <c r="AI7424" t="str">
        <f>"9170144"</f>
        <v>9170144</v>
      </c>
      <c r="AJ7424" t="s">
        <v>8729</v>
      </c>
      <c r="AK7424">
        <v>2891022244</v>
      </c>
      <c r="AL7424" t="s">
        <v>8730</v>
      </c>
      <c r="AM7424" t="s">
        <v>78</v>
      </c>
      <c r="AN7424" t="s">
        <v>276</v>
      </c>
      <c r="AO7424" t="s">
        <v>490</v>
      </c>
      <c r="AP7424" t="s">
        <v>490</v>
      </c>
      <c r="AQ7424">
        <v>12</v>
      </c>
      <c r="AR7424" t="s">
        <v>80</v>
      </c>
      <c r="AS7424" t="s">
        <v>81</v>
      </c>
      <c r="AT7424" t="s">
        <v>58</v>
      </c>
      <c r="AU7424" t="s">
        <v>68</v>
      </c>
      <c r="AV7424" t="s">
        <v>69</v>
      </c>
      <c r="AW7424" s="1">
        <v>30140</v>
      </c>
      <c r="AX7424">
        <v>1</v>
      </c>
    </row>
    <row r="7425" spans="1:50">
      <c r="A7425">
        <v>560128</v>
      </c>
      <c r="B7425" t="str">
        <f>"031661609"</f>
        <v>031661609</v>
      </c>
      <c r="C7425" t="s">
        <v>50</v>
      </c>
      <c r="D7425" t="s">
        <v>4281</v>
      </c>
      <c r="E7425" t="s">
        <v>263</v>
      </c>
      <c r="F7425" t="s">
        <v>95</v>
      </c>
      <c r="G7425" t="s">
        <v>52</v>
      </c>
      <c r="H7425" t="str">
        <f>"ΚΙΣΣΑΜΟΥ 26 ΗΡΑΚΛΕΙΟ"</f>
        <v>ΚΙΣΣΑΜΟΥ 26 ΗΡΑΚΛΕΙΟ</v>
      </c>
      <c r="I7425">
        <v>71202</v>
      </c>
      <c r="J7425">
        <v>2810220604</v>
      </c>
      <c r="K7425">
        <v>6972739751</v>
      </c>
      <c r="N7425" t="s">
        <v>615</v>
      </c>
      <c r="O7425" t="s">
        <v>616</v>
      </c>
      <c r="R7425" t="s">
        <v>57</v>
      </c>
      <c r="S7425">
        <v>16</v>
      </c>
      <c r="T7425">
        <v>185</v>
      </c>
      <c r="U7425" s="1">
        <v>32035</v>
      </c>
      <c r="V7425" t="s">
        <v>80</v>
      </c>
      <c r="W7425" t="s">
        <v>81</v>
      </c>
      <c r="X7425" t="s">
        <v>58</v>
      </c>
      <c r="Y7425">
        <v>21</v>
      </c>
      <c r="Z7425" t="s">
        <v>59</v>
      </c>
      <c r="AA7425" t="s">
        <v>59</v>
      </c>
      <c r="AB7425" t="s">
        <v>59</v>
      </c>
      <c r="AC7425" t="s">
        <v>59</v>
      </c>
      <c r="AD7425" t="s">
        <v>59</v>
      </c>
      <c r="AF7425" s="1">
        <v>32038</v>
      </c>
      <c r="AG7425" t="s">
        <v>8645</v>
      </c>
      <c r="AH7425" t="s">
        <v>8646</v>
      </c>
      <c r="AI7425" t="str">
        <f>"9521092"</f>
        <v>9521092</v>
      </c>
      <c r="AJ7425" t="s">
        <v>9234</v>
      </c>
      <c r="AK7425">
        <v>2810313321</v>
      </c>
      <c r="AL7425" t="s">
        <v>9235</v>
      </c>
      <c r="AM7425" t="s">
        <v>78</v>
      </c>
      <c r="AN7425" t="s">
        <v>78</v>
      </c>
      <c r="AO7425" t="s">
        <v>78</v>
      </c>
      <c r="AP7425" t="s">
        <v>141</v>
      </c>
      <c r="AQ7425">
        <v>1</v>
      </c>
      <c r="AR7425" t="s">
        <v>80</v>
      </c>
      <c r="AS7425" t="s">
        <v>81</v>
      </c>
      <c r="AT7425" t="s">
        <v>58</v>
      </c>
      <c r="AU7425" t="s">
        <v>68</v>
      </c>
      <c r="AV7425" t="s">
        <v>69</v>
      </c>
      <c r="AW7425" s="1">
        <v>24057</v>
      </c>
      <c r="AX7425">
        <v>1</v>
      </c>
    </row>
    <row r="7426" spans="1:50">
      <c r="A7426">
        <v>600366</v>
      </c>
      <c r="B7426" t="str">
        <f>"059958894"</f>
        <v>059958894</v>
      </c>
      <c r="C7426" t="s">
        <v>50</v>
      </c>
      <c r="D7426" t="s">
        <v>4281</v>
      </c>
      <c r="E7426" t="s">
        <v>473</v>
      </c>
      <c r="F7426" t="s">
        <v>95</v>
      </c>
      <c r="G7426" t="s">
        <v>52</v>
      </c>
      <c r="H7426" t="str">
        <f>" "</f>
        <v xml:space="preserve"> </v>
      </c>
      <c r="J7426">
        <v>2810281876</v>
      </c>
      <c r="K7426">
        <v>6937423151</v>
      </c>
      <c r="N7426" t="s">
        <v>615</v>
      </c>
      <c r="O7426" t="s">
        <v>616</v>
      </c>
      <c r="R7426" t="s">
        <v>57</v>
      </c>
      <c r="S7426">
        <v>10</v>
      </c>
      <c r="T7426">
        <v>195</v>
      </c>
      <c r="U7426" s="1">
        <v>37497</v>
      </c>
      <c r="V7426" t="s">
        <v>80</v>
      </c>
      <c r="W7426" t="s">
        <v>81</v>
      </c>
      <c r="X7426" t="s">
        <v>58</v>
      </c>
      <c r="Y7426">
        <v>22</v>
      </c>
      <c r="Z7426" t="s">
        <v>59</v>
      </c>
      <c r="AA7426" t="s">
        <v>59</v>
      </c>
      <c r="AB7426" t="s">
        <v>59</v>
      </c>
      <c r="AC7426" t="s">
        <v>59</v>
      </c>
      <c r="AD7426" t="s">
        <v>59</v>
      </c>
      <c r="AF7426" s="1">
        <v>37502</v>
      </c>
      <c r="AG7426" t="s">
        <v>8645</v>
      </c>
      <c r="AH7426" t="s">
        <v>8646</v>
      </c>
      <c r="AI7426" t="str">
        <f>"9170494"</f>
        <v>9170494</v>
      </c>
      <c r="AJ7426" t="s">
        <v>9125</v>
      </c>
      <c r="AK7426">
        <v>2810228361</v>
      </c>
      <c r="AL7426" t="s">
        <v>9126</v>
      </c>
      <c r="AM7426" t="s">
        <v>78</v>
      </c>
      <c r="AN7426" t="s">
        <v>78</v>
      </c>
      <c r="AO7426" t="s">
        <v>78</v>
      </c>
      <c r="AP7426" t="s">
        <v>79</v>
      </c>
      <c r="AQ7426">
        <v>1</v>
      </c>
      <c r="AR7426" t="s">
        <v>80</v>
      </c>
      <c r="AS7426" t="s">
        <v>81</v>
      </c>
      <c r="AT7426" t="s">
        <v>58</v>
      </c>
      <c r="AU7426" t="s">
        <v>68</v>
      </c>
      <c r="AV7426" t="s">
        <v>69</v>
      </c>
      <c r="AW7426" s="1">
        <v>25775</v>
      </c>
      <c r="AX7426">
        <v>1</v>
      </c>
    </row>
    <row r="7427" spans="1:50">
      <c r="A7427">
        <v>700097</v>
      </c>
      <c r="B7427" t="str">
        <f>"133571744"</f>
        <v>133571744</v>
      </c>
      <c r="C7427" t="s">
        <v>50</v>
      </c>
      <c r="D7427" t="s">
        <v>4281</v>
      </c>
      <c r="E7427" t="s">
        <v>52</v>
      </c>
      <c r="F7427" t="s">
        <v>72</v>
      </c>
      <c r="G7427" t="s">
        <v>1074</v>
      </c>
      <c r="H7427" t="str">
        <f>"ΣΑΝΤΑ ΑΡΚΑΛΟΧΩΡΙ"</f>
        <v>ΣΑΝΤΑ ΑΡΚΑΛΟΧΩΡΙ</v>
      </c>
      <c r="I7427">
        <v>70300</v>
      </c>
      <c r="J7427">
        <v>2891022892</v>
      </c>
      <c r="K7427">
        <v>6970382871</v>
      </c>
      <c r="N7427" t="s">
        <v>1525</v>
      </c>
      <c r="O7427" t="s">
        <v>1526</v>
      </c>
      <c r="R7427" t="s">
        <v>57</v>
      </c>
      <c r="S7427">
        <v>4</v>
      </c>
      <c r="T7427">
        <v>772</v>
      </c>
      <c r="U7427" s="1">
        <v>40413</v>
      </c>
      <c r="V7427" t="s">
        <v>80</v>
      </c>
      <c r="W7427" t="s">
        <v>81</v>
      </c>
      <c r="X7427" t="s">
        <v>58</v>
      </c>
      <c r="Y7427">
        <v>25</v>
      </c>
      <c r="Z7427" t="s">
        <v>59</v>
      </c>
      <c r="AA7427" t="s">
        <v>59</v>
      </c>
      <c r="AB7427" t="s">
        <v>59</v>
      </c>
      <c r="AC7427" t="s">
        <v>59</v>
      </c>
      <c r="AD7427" t="s">
        <v>59</v>
      </c>
      <c r="AF7427" s="1">
        <v>40413</v>
      </c>
      <c r="AG7427" t="s">
        <v>8651</v>
      </c>
      <c r="AH7427" t="s">
        <v>8652</v>
      </c>
      <c r="AI7427" t="str">
        <f>"9170559"</f>
        <v>9170559</v>
      </c>
      <c r="AJ7427" t="s">
        <v>11773</v>
      </c>
      <c r="AK7427">
        <v>2895041441</v>
      </c>
      <c r="AL7427" t="s">
        <v>11774</v>
      </c>
      <c r="AM7427" t="s">
        <v>78</v>
      </c>
      <c r="AN7427" t="s">
        <v>482</v>
      </c>
      <c r="AO7427" t="s">
        <v>482</v>
      </c>
      <c r="AP7427" t="s">
        <v>10096</v>
      </c>
      <c r="AQ7427">
        <v>12</v>
      </c>
      <c r="AR7427" t="s">
        <v>80</v>
      </c>
      <c r="AS7427" t="s">
        <v>81</v>
      </c>
      <c r="AT7427" t="s">
        <v>58</v>
      </c>
      <c r="AU7427" t="s">
        <v>68</v>
      </c>
      <c r="AV7427" t="s">
        <v>69</v>
      </c>
      <c r="AW7427" s="1">
        <v>30999</v>
      </c>
      <c r="AX7427">
        <v>1</v>
      </c>
    </row>
    <row r="7428" spans="1:50">
      <c r="A7428">
        <v>602656</v>
      </c>
      <c r="B7428" t="str">
        <f>"045552705"</f>
        <v>045552705</v>
      </c>
      <c r="C7428" t="s">
        <v>50</v>
      </c>
      <c r="D7428" t="s">
        <v>4281</v>
      </c>
      <c r="E7428" t="s">
        <v>52</v>
      </c>
      <c r="F7428" t="s">
        <v>989</v>
      </c>
      <c r="G7428" t="s">
        <v>237</v>
      </c>
      <c r="H7428" t="str">
        <f>"ΠΑΡΟΔΟΣ ΠΟΣΕΙΔΩΝΟΣ 1 ΗΡΑΚΛΕΙΟ"</f>
        <v>ΠΑΡΟΔΟΣ ΠΟΣΕΙΔΩΝΟΣ 1 ΗΡΑΚΛΕΙΟ</v>
      </c>
      <c r="I7428">
        <v>71307</v>
      </c>
      <c r="J7428">
        <v>2810281863</v>
      </c>
      <c r="K7428">
        <v>6945882244</v>
      </c>
      <c r="N7428" t="s">
        <v>615</v>
      </c>
      <c r="O7428" t="s">
        <v>616</v>
      </c>
      <c r="R7428" t="s">
        <v>57</v>
      </c>
      <c r="S7428">
        <v>8</v>
      </c>
      <c r="T7428">
        <v>207</v>
      </c>
      <c r="U7428" s="1">
        <v>37866</v>
      </c>
      <c r="V7428" t="s">
        <v>80</v>
      </c>
      <c r="W7428" t="s">
        <v>81</v>
      </c>
      <c r="X7428" t="s">
        <v>58</v>
      </c>
      <c r="Y7428">
        <v>22</v>
      </c>
      <c r="Z7428" t="s">
        <v>59</v>
      </c>
      <c r="AA7428" t="s">
        <v>59</v>
      </c>
      <c r="AB7428" t="s">
        <v>452</v>
      </c>
      <c r="AC7428" t="s">
        <v>59</v>
      </c>
      <c r="AD7428" t="s">
        <v>59</v>
      </c>
      <c r="AF7428" s="1">
        <v>37866</v>
      </c>
      <c r="AG7428" t="s">
        <v>8645</v>
      </c>
      <c r="AH7428" t="s">
        <v>8646</v>
      </c>
      <c r="AI7428" t="str">
        <f>"9170525"</f>
        <v>9170525</v>
      </c>
      <c r="AJ7428" t="s">
        <v>8853</v>
      </c>
      <c r="AK7428">
        <v>2810256547</v>
      </c>
      <c r="AL7428" t="s">
        <v>8854</v>
      </c>
      <c r="AM7428" t="s">
        <v>78</v>
      </c>
      <c r="AN7428" t="s">
        <v>78</v>
      </c>
      <c r="AO7428" t="s">
        <v>78</v>
      </c>
      <c r="AP7428" t="s">
        <v>141</v>
      </c>
      <c r="AQ7428">
        <v>1</v>
      </c>
      <c r="AR7428" t="s">
        <v>80</v>
      </c>
      <c r="AS7428" t="s">
        <v>81</v>
      </c>
      <c r="AT7428" t="s">
        <v>58</v>
      </c>
      <c r="AU7428" t="s">
        <v>68</v>
      </c>
      <c r="AV7428" t="s">
        <v>2039</v>
      </c>
      <c r="AW7428" s="1">
        <v>25908</v>
      </c>
      <c r="AX7428">
        <v>1</v>
      </c>
    </row>
    <row r="7429" spans="1:50">
      <c r="A7429">
        <v>606326</v>
      </c>
      <c r="B7429" t="str">
        <f>"103548754"</f>
        <v>103548754</v>
      </c>
      <c r="C7429" t="s">
        <v>50</v>
      </c>
      <c r="D7429" t="s">
        <v>4281</v>
      </c>
      <c r="E7429" t="s">
        <v>620</v>
      </c>
      <c r="F7429" t="s">
        <v>1848</v>
      </c>
      <c r="G7429" t="s">
        <v>155</v>
      </c>
      <c r="H7429" t="str">
        <f>"Π. ΦΟΥΜΗ 26 ΗΡΑΚΛΕΙΟ"</f>
        <v>Π. ΦΟΥΜΗ 26 ΗΡΑΚΛΕΙΟ</v>
      </c>
      <c r="I7429">
        <v>71307</v>
      </c>
      <c r="J7429">
        <v>2813007469</v>
      </c>
      <c r="K7429">
        <v>6944295075</v>
      </c>
      <c r="N7429" t="s">
        <v>1525</v>
      </c>
      <c r="O7429" t="s">
        <v>1526</v>
      </c>
      <c r="R7429" t="s">
        <v>57</v>
      </c>
      <c r="S7429">
        <v>9</v>
      </c>
      <c r="T7429">
        <v>231</v>
      </c>
      <c r="U7429" s="1">
        <v>38230</v>
      </c>
      <c r="V7429" t="s">
        <v>80</v>
      </c>
      <c r="W7429" t="s">
        <v>81</v>
      </c>
      <c r="X7429" t="s">
        <v>58</v>
      </c>
      <c r="Y7429">
        <v>25</v>
      </c>
      <c r="Z7429" t="s">
        <v>59</v>
      </c>
      <c r="AA7429" t="s">
        <v>59</v>
      </c>
      <c r="AB7429" t="s">
        <v>59</v>
      </c>
      <c r="AC7429" t="s">
        <v>59</v>
      </c>
      <c r="AD7429" t="s">
        <v>59</v>
      </c>
      <c r="AF7429" s="1">
        <v>38236</v>
      </c>
      <c r="AG7429" t="s">
        <v>8651</v>
      </c>
      <c r="AH7429" t="s">
        <v>8652</v>
      </c>
      <c r="AI7429" t="str">
        <f>"9170188"</f>
        <v>9170188</v>
      </c>
      <c r="AJ7429" t="s">
        <v>10149</v>
      </c>
      <c r="AK7429">
        <v>2810212635</v>
      </c>
      <c r="AL7429" t="s">
        <v>10150</v>
      </c>
      <c r="AM7429" t="s">
        <v>78</v>
      </c>
      <c r="AN7429" t="s">
        <v>78</v>
      </c>
      <c r="AO7429" t="s">
        <v>78</v>
      </c>
      <c r="AP7429" t="s">
        <v>79</v>
      </c>
      <c r="AQ7429">
        <v>1</v>
      </c>
      <c r="AR7429" t="s">
        <v>80</v>
      </c>
      <c r="AS7429" t="s">
        <v>81</v>
      </c>
      <c r="AT7429" t="s">
        <v>58</v>
      </c>
      <c r="AU7429" t="s">
        <v>68</v>
      </c>
      <c r="AV7429" t="s">
        <v>69</v>
      </c>
      <c r="AW7429" s="1">
        <v>27461</v>
      </c>
      <c r="AX7429">
        <v>1</v>
      </c>
    </row>
    <row r="7430" spans="1:50">
      <c r="B7430" t="str">
        <f>"132185872"</f>
        <v>132185872</v>
      </c>
      <c r="C7430" t="s">
        <v>50</v>
      </c>
      <c r="D7430" t="s">
        <v>4281</v>
      </c>
      <c r="E7430" t="s">
        <v>96</v>
      </c>
      <c r="F7430" t="s">
        <v>166</v>
      </c>
      <c r="G7430" t="s">
        <v>1108</v>
      </c>
      <c r="H7430" t="str">
        <f>"ΑΡΧΙΜΗΔΟΥΣ 23  ΗΡΑΚΛΕΙΟ"</f>
        <v>ΑΡΧΙΜΗΔΟΥΣ 23  ΗΡΑΚΛΕΙΟ</v>
      </c>
      <c r="I7430">
        <v>71306</v>
      </c>
      <c r="J7430">
        <v>2811108107</v>
      </c>
      <c r="K7430">
        <v>6980862980</v>
      </c>
      <c r="N7430" t="s">
        <v>204</v>
      </c>
      <c r="O7430" t="s">
        <v>205</v>
      </c>
      <c r="R7430" t="s">
        <v>159</v>
      </c>
      <c r="S7430">
        <v>2</v>
      </c>
      <c r="T7430" t="s">
        <v>8675</v>
      </c>
      <c r="U7430" s="1">
        <v>43348</v>
      </c>
      <c r="V7430" t="s">
        <v>80</v>
      </c>
      <c r="W7430" t="s">
        <v>81</v>
      </c>
      <c r="X7430" t="s">
        <v>58</v>
      </c>
      <c r="Y7430">
        <v>14</v>
      </c>
      <c r="Z7430" t="s">
        <v>59</v>
      </c>
      <c r="AA7430" t="s">
        <v>59</v>
      </c>
      <c r="AB7430" t="s">
        <v>59</v>
      </c>
      <c r="AC7430" t="s">
        <v>59</v>
      </c>
      <c r="AD7430" t="s">
        <v>59</v>
      </c>
      <c r="AF7430" s="1">
        <v>43348</v>
      </c>
      <c r="AG7430" t="s">
        <v>8645</v>
      </c>
      <c r="AH7430" t="s">
        <v>8646</v>
      </c>
      <c r="AI7430" t="str">
        <f>"9170205"</f>
        <v>9170205</v>
      </c>
      <c r="AJ7430" t="s">
        <v>8794</v>
      </c>
      <c r="AK7430">
        <v>2810762030</v>
      </c>
      <c r="AL7430" t="s">
        <v>8795</v>
      </c>
      <c r="AM7430" t="s">
        <v>78</v>
      </c>
      <c r="AN7430" t="s">
        <v>219</v>
      </c>
      <c r="AO7430" t="s">
        <v>297</v>
      </c>
      <c r="AP7430" t="s">
        <v>8796</v>
      </c>
      <c r="AQ7430">
        <v>7</v>
      </c>
      <c r="AR7430" t="s">
        <v>80</v>
      </c>
      <c r="AS7430" t="s">
        <v>81</v>
      </c>
      <c r="AT7430" t="s">
        <v>58</v>
      </c>
      <c r="AU7430" t="s">
        <v>8686</v>
      </c>
      <c r="AV7430" t="s">
        <v>132</v>
      </c>
      <c r="AW7430" s="1">
        <v>31010</v>
      </c>
      <c r="AX7430">
        <v>1</v>
      </c>
    </row>
    <row r="7431" spans="1:50">
      <c r="A7431">
        <v>702027</v>
      </c>
      <c r="B7431" t="str">
        <f>"110149710"</f>
        <v>110149710</v>
      </c>
      <c r="C7431" t="s">
        <v>105</v>
      </c>
      <c r="D7431" t="s">
        <v>4286</v>
      </c>
      <c r="E7431" t="s">
        <v>99</v>
      </c>
      <c r="F7431" t="s">
        <v>2165</v>
      </c>
      <c r="G7431" t="s">
        <v>83</v>
      </c>
      <c r="H7431" t="str">
        <f>"Λ. ΑΚΑΔΗΜΙΑΣ 5 "</f>
        <v xml:space="preserve">Λ. ΑΚΑΔΗΜΙΑΣ 5 </v>
      </c>
      <c r="I7431">
        <v>71305</v>
      </c>
      <c r="J7431">
        <v>2810316032</v>
      </c>
      <c r="K7431">
        <v>6973313519</v>
      </c>
      <c r="M7431" t="s">
        <v>11775</v>
      </c>
      <c r="N7431" t="s">
        <v>615</v>
      </c>
      <c r="O7431" t="s">
        <v>616</v>
      </c>
      <c r="R7431" t="s">
        <v>57</v>
      </c>
      <c r="S7431">
        <v>4</v>
      </c>
      <c r="T7431">
        <v>772</v>
      </c>
      <c r="U7431" s="1">
        <v>40413</v>
      </c>
      <c r="V7431" t="s">
        <v>80</v>
      </c>
      <c r="W7431" t="s">
        <v>81</v>
      </c>
      <c r="X7431" t="s">
        <v>58</v>
      </c>
      <c r="Y7431">
        <v>24</v>
      </c>
      <c r="Z7431" t="s">
        <v>59</v>
      </c>
      <c r="AA7431" t="s">
        <v>59</v>
      </c>
      <c r="AB7431" t="s">
        <v>59</v>
      </c>
      <c r="AC7431" t="s">
        <v>59</v>
      </c>
      <c r="AD7431" t="s">
        <v>59</v>
      </c>
      <c r="AF7431" s="1">
        <v>40413</v>
      </c>
      <c r="AG7431" t="s">
        <v>8645</v>
      </c>
      <c r="AH7431" t="s">
        <v>8646</v>
      </c>
      <c r="AI7431" t="str">
        <f>"9170525"</f>
        <v>9170525</v>
      </c>
      <c r="AJ7431" t="s">
        <v>8853</v>
      </c>
      <c r="AK7431">
        <v>2810256547</v>
      </c>
      <c r="AL7431" t="s">
        <v>8854</v>
      </c>
      <c r="AM7431" t="s">
        <v>78</v>
      </c>
      <c r="AN7431" t="s">
        <v>78</v>
      </c>
      <c r="AO7431" t="s">
        <v>78</v>
      </c>
      <c r="AP7431" t="s">
        <v>141</v>
      </c>
      <c r="AQ7431">
        <v>1</v>
      </c>
      <c r="AR7431" t="s">
        <v>80</v>
      </c>
      <c r="AS7431" t="s">
        <v>81</v>
      </c>
      <c r="AT7431" t="s">
        <v>58</v>
      </c>
      <c r="AU7431" t="s">
        <v>68</v>
      </c>
      <c r="AV7431" t="s">
        <v>69</v>
      </c>
      <c r="AW7431" s="1">
        <v>31310</v>
      </c>
      <c r="AX7431">
        <v>1</v>
      </c>
    </row>
    <row r="7432" spans="1:50">
      <c r="A7432">
        <v>701087</v>
      </c>
      <c r="B7432" t="str">
        <f>"143677048"</f>
        <v>143677048</v>
      </c>
      <c r="C7432" t="s">
        <v>105</v>
      </c>
      <c r="D7432" t="s">
        <v>4286</v>
      </c>
      <c r="E7432" t="s">
        <v>1357</v>
      </c>
      <c r="F7432" t="s">
        <v>95</v>
      </c>
      <c r="G7432" t="s">
        <v>83</v>
      </c>
      <c r="H7432" t="str">
        <f>"Μ. ΑΡΒΑΝΙΤΑΚΗ 4 ΗΡΑΚΛΕΙΟ"</f>
        <v>Μ. ΑΡΒΑΝΙΤΑΚΗ 4 ΗΡΑΚΛΕΙΟ</v>
      </c>
      <c r="I7432">
        <v>71304</v>
      </c>
      <c r="J7432">
        <v>2810253112</v>
      </c>
      <c r="K7432">
        <v>6948753484</v>
      </c>
      <c r="N7432" t="s">
        <v>615</v>
      </c>
      <c r="O7432" t="s">
        <v>616</v>
      </c>
      <c r="R7432" t="s">
        <v>57</v>
      </c>
      <c r="S7432">
        <v>6</v>
      </c>
      <c r="T7432" t="s">
        <v>6575</v>
      </c>
      <c r="U7432" s="1">
        <v>40413</v>
      </c>
      <c r="V7432" t="s">
        <v>80</v>
      </c>
      <c r="W7432" t="s">
        <v>81</v>
      </c>
      <c r="X7432" t="s">
        <v>58</v>
      </c>
      <c r="Y7432">
        <v>24</v>
      </c>
      <c r="Z7432" t="s">
        <v>59</v>
      </c>
      <c r="AA7432" t="s">
        <v>59</v>
      </c>
      <c r="AB7432" t="s">
        <v>59</v>
      </c>
      <c r="AC7432" t="s">
        <v>59</v>
      </c>
      <c r="AD7432" t="s">
        <v>59</v>
      </c>
      <c r="AF7432" s="1">
        <v>40413</v>
      </c>
      <c r="AG7432" t="s">
        <v>8645</v>
      </c>
      <c r="AH7432" t="s">
        <v>8646</v>
      </c>
      <c r="AI7432" t="str">
        <f>"9170512"</f>
        <v>9170512</v>
      </c>
      <c r="AJ7432" t="s">
        <v>8986</v>
      </c>
      <c r="AK7432">
        <v>2810253082</v>
      </c>
      <c r="AL7432" t="s">
        <v>8987</v>
      </c>
      <c r="AM7432" t="s">
        <v>78</v>
      </c>
      <c r="AN7432" t="s">
        <v>78</v>
      </c>
      <c r="AO7432" t="s">
        <v>78</v>
      </c>
      <c r="AP7432" t="s">
        <v>141</v>
      </c>
      <c r="AQ7432">
        <v>1</v>
      </c>
      <c r="AR7432" t="s">
        <v>80</v>
      </c>
      <c r="AS7432" t="s">
        <v>81</v>
      </c>
      <c r="AT7432" t="s">
        <v>58</v>
      </c>
      <c r="AU7432" t="s">
        <v>68</v>
      </c>
      <c r="AV7432" t="s">
        <v>69</v>
      </c>
      <c r="AW7432" s="1">
        <v>31626</v>
      </c>
      <c r="AX7432">
        <v>1</v>
      </c>
    </row>
    <row r="7433" spans="1:50">
      <c r="A7433">
        <v>614489</v>
      </c>
      <c r="B7433" t="str">
        <f>"132014770"</f>
        <v>132014770</v>
      </c>
      <c r="C7433" t="s">
        <v>50</v>
      </c>
      <c r="D7433" t="s">
        <v>4292</v>
      </c>
      <c r="E7433" t="s">
        <v>263</v>
      </c>
      <c r="F7433" t="s">
        <v>99</v>
      </c>
      <c r="G7433" t="s">
        <v>255</v>
      </c>
      <c r="H7433" t="str">
        <f>"ΤΥΜΠΑΚΙ ΤΥΜΠΑΚΙ - ΗΡΑΚΛΕΙΟΥ"</f>
        <v>ΤΥΜΠΑΚΙ ΤΥΜΠΑΚΙ - ΗΡΑΚΛΕΙΟΥ</v>
      </c>
      <c r="I7433">
        <v>70200</v>
      </c>
      <c r="J7433">
        <v>2892053513</v>
      </c>
      <c r="K7433">
        <v>6983249270</v>
      </c>
      <c r="M7433" t="s">
        <v>11776</v>
      </c>
      <c r="N7433" t="s">
        <v>615</v>
      </c>
      <c r="O7433" t="s">
        <v>616</v>
      </c>
      <c r="R7433" t="s">
        <v>57</v>
      </c>
      <c r="S7433">
        <v>5</v>
      </c>
      <c r="T7433">
        <v>598</v>
      </c>
      <c r="U7433" s="1">
        <v>39310</v>
      </c>
      <c r="V7433" t="s">
        <v>80</v>
      </c>
      <c r="W7433" t="s">
        <v>81</v>
      </c>
      <c r="X7433" t="s">
        <v>58</v>
      </c>
      <c r="Y7433">
        <v>23</v>
      </c>
      <c r="Z7433" t="s">
        <v>59</v>
      </c>
      <c r="AA7433" t="s">
        <v>59</v>
      </c>
      <c r="AB7433" t="s">
        <v>59</v>
      </c>
      <c r="AC7433" t="s">
        <v>59</v>
      </c>
      <c r="AD7433" t="s">
        <v>59</v>
      </c>
      <c r="AF7433" s="1">
        <v>39328</v>
      </c>
      <c r="AG7433" t="s">
        <v>8645</v>
      </c>
      <c r="AH7433" t="s">
        <v>8646</v>
      </c>
      <c r="AI7433" t="str">
        <f>"9170536"</f>
        <v>9170536</v>
      </c>
      <c r="AJ7433" t="s">
        <v>8740</v>
      </c>
      <c r="AK7433">
        <v>2892051187</v>
      </c>
      <c r="AL7433" t="s">
        <v>8741</v>
      </c>
      <c r="AM7433" t="s">
        <v>78</v>
      </c>
      <c r="AN7433" t="s">
        <v>242</v>
      </c>
      <c r="AO7433" t="s">
        <v>349</v>
      </c>
      <c r="AP7433" t="s">
        <v>349</v>
      </c>
      <c r="AQ7433">
        <v>19</v>
      </c>
      <c r="AR7433" t="s">
        <v>80</v>
      </c>
      <c r="AS7433" t="s">
        <v>81</v>
      </c>
      <c r="AT7433" t="s">
        <v>58</v>
      </c>
      <c r="AU7433" t="s">
        <v>68</v>
      </c>
      <c r="AV7433" t="s">
        <v>69</v>
      </c>
      <c r="AW7433" s="1">
        <v>31008</v>
      </c>
      <c r="AX7433">
        <v>1</v>
      </c>
    </row>
    <row r="7434" spans="1:50">
      <c r="A7434">
        <v>701657</v>
      </c>
      <c r="B7434" t="str">
        <f>"137487838"</f>
        <v>137487838</v>
      </c>
      <c r="C7434" t="s">
        <v>50</v>
      </c>
      <c r="D7434" t="s">
        <v>4292</v>
      </c>
      <c r="E7434" t="s">
        <v>83</v>
      </c>
      <c r="F7434" t="s">
        <v>315</v>
      </c>
      <c r="G7434" t="s">
        <v>52</v>
      </c>
      <c r="H7434" t="str">
        <f>"ΑΙΝΕΙΑΣ 7 ΗΡΑΚΛΕΙΟ"</f>
        <v>ΑΙΝΕΙΑΣ 7 ΗΡΑΚΛΕΙΟ</v>
      </c>
      <c r="I7434">
        <v>71303</v>
      </c>
      <c r="J7434">
        <v>2810317439</v>
      </c>
      <c r="K7434">
        <v>6970251831</v>
      </c>
      <c r="M7434" t="s">
        <v>11777</v>
      </c>
      <c r="N7434" t="s">
        <v>615</v>
      </c>
      <c r="O7434" t="s">
        <v>616</v>
      </c>
      <c r="R7434" t="s">
        <v>57</v>
      </c>
      <c r="S7434">
        <v>5</v>
      </c>
      <c r="T7434">
        <v>772</v>
      </c>
      <c r="U7434" s="1">
        <v>40413</v>
      </c>
      <c r="V7434" t="s">
        <v>80</v>
      </c>
      <c r="W7434" t="s">
        <v>81</v>
      </c>
      <c r="X7434" t="s">
        <v>58</v>
      </c>
      <c r="Y7434">
        <v>23</v>
      </c>
      <c r="Z7434" t="s">
        <v>59</v>
      </c>
      <c r="AA7434" t="s">
        <v>59</v>
      </c>
      <c r="AB7434" t="s">
        <v>59</v>
      </c>
      <c r="AC7434" t="s">
        <v>59</v>
      </c>
      <c r="AD7434" t="s">
        <v>59</v>
      </c>
      <c r="AF7434" s="1">
        <v>40413</v>
      </c>
      <c r="AG7434" t="s">
        <v>8645</v>
      </c>
      <c r="AH7434" t="s">
        <v>8646</v>
      </c>
      <c r="AI7434" t="str">
        <f>"9170059"</f>
        <v>9170059</v>
      </c>
      <c r="AJ7434" t="s">
        <v>9161</v>
      </c>
      <c r="AK7434">
        <v>2810791244</v>
      </c>
      <c r="AL7434" t="s">
        <v>9162</v>
      </c>
      <c r="AM7434" t="s">
        <v>78</v>
      </c>
      <c r="AN7434" t="s">
        <v>78</v>
      </c>
      <c r="AO7434" t="s">
        <v>195</v>
      </c>
      <c r="AP7434" t="s">
        <v>196</v>
      </c>
      <c r="AQ7434">
        <v>3</v>
      </c>
      <c r="AR7434" t="s">
        <v>80</v>
      </c>
      <c r="AS7434" t="s">
        <v>81</v>
      </c>
      <c r="AT7434" t="s">
        <v>58</v>
      </c>
      <c r="AU7434" t="s">
        <v>68</v>
      </c>
      <c r="AV7434" t="s">
        <v>69</v>
      </c>
      <c r="AW7434" s="1">
        <v>30763</v>
      </c>
      <c r="AX7434">
        <v>1</v>
      </c>
    </row>
    <row r="7435" spans="1:50">
      <c r="A7435">
        <v>611554</v>
      </c>
      <c r="B7435" t="str">
        <f>"073436052"</f>
        <v>073436052</v>
      </c>
      <c r="C7435" t="s">
        <v>50</v>
      </c>
      <c r="D7435" t="s">
        <v>4292</v>
      </c>
      <c r="E7435" t="s">
        <v>83</v>
      </c>
      <c r="F7435" t="s">
        <v>11778</v>
      </c>
      <c r="G7435" t="s">
        <v>1029</v>
      </c>
      <c r="H7435" t="str">
        <f>"ΟΥΛΑΦ ΠΑΛΜΕ 81Β ΗΡΑΚΛΕΙΟ"</f>
        <v>ΟΥΛΑΦ ΠΑΛΜΕ 81Β ΗΡΑΚΛΕΙΟ</v>
      </c>
      <c r="J7435">
        <v>2810361519</v>
      </c>
      <c r="K7435">
        <v>6955698656</v>
      </c>
      <c r="N7435" t="s">
        <v>1525</v>
      </c>
      <c r="O7435" t="s">
        <v>1526</v>
      </c>
      <c r="R7435" t="s">
        <v>57</v>
      </c>
      <c r="S7435">
        <v>7</v>
      </c>
      <c r="T7435">
        <v>233</v>
      </c>
      <c r="U7435" s="1">
        <v>38960</v>
      </c>
      <c r="V7435" t="s">
        <v>80</v>
      </c>
      <c r="W7435" t="s">
        <v>81</v>
      </c>
      <c r="X7435" t="s">
        <v>58</v>
      </c>
      <c r="Y7435">
        <v>25</v>
      </c>
      <c r="Z7435" t="s">
        <v>59</v>
      </c>
      <c r="AA7435" t="s">
        <v>59</v>
      </c>
      <c r="AB7435" t="s">
        <v>59</v>
      </c>
      <c r="AC7435" t="s">
        <v>59</v>
      </c>
      <c r="AD7435" t="s">
        <v>59</v>
      </c>
      <c r="AF7435" s="1">
        <v>38961</v>
      </c>
      <c r="AG7435" t="s">
        <v>8651</v>
      </c>
      <c r="AH7435" t="s">
        <v>8652</v>
      </c>
      <c r="AI7435" t="str">
        <f>"9170539"</f>
        <v>9170539</v>
      </c>
      <c r="AJ7435" t="s">
        <v>11389</v>
      </c>
      <c r="AK7435">
        <v>2810212420</v>
      </c>
      <c r="AL7435" t="s">
        <v>11390</v>
      </c>
      <c r="AM7435" t="s">
        <v>78</v>
      </c>
      <c r="AN7435" t="s">
        <v>78</v>
      </c>
      <c r="AO7435" t="s">
        <v>78</v>
      </c>
      <c r="AP7435" t="s">
        <v>163</v>
      </c>
      <c r="AQ7435">
        <v>1</v>
      </c>
      <c r="AR7435" t="s">
        <v>80</v>
      </c>
      <c r="AS7435" t="s">
        <v>81</v>
      </c>
      <c r="AT7435" t="s">
        <v>58</v>
      </c>
      <c r="AU7435" t="s">
        <v>68</v>
      </c>
      <c r="AV7435" t="s">
        <v>69</v>
      </c>
      <c r="AW7435" s="1">
        <v>25988</v>
      </c>
      <c r="AX7435">
        <v>1</v>
      </c>
    </row>
    <row r="7436" spans="1:50">
      <c r="A7436">
        <v>613121</v>
      </c>
      <c r="B7436" t="str">
        <f>"132982234"</f>
        <v>132982234</v>
      </c>
      <c r="C7436" t="s">
        <v>50</v>
      </c>
      <c r="D7436" t="s">
        <v>4292</v>
      </c>
      <c r="E7436" t="s">
        <v>181</v>
      </c>
      <c r="F7436" t="s">
        <v>53</v>
      </c>
      <c r="G7436" t="s">
        <v>52</v>
      </c>
      <c r="H7436" t="str">
        <f>"ΛΕΟΝΑΡΔΟΥ ΔΕΛΑΠΟΡΤΑ 15 ΗΡΑΚΛΕΙΟ"</f>
        <v>ΛΕΟΝΑΡΔΟΥ ΔΕΛΑΠΟΡΤΑ 15 ΗΡΑΚΛΕΙΟ</v>
      </c>
      <c r="J7436">
        <v>2811107795</v>
      </c>
      <c r="K7436">
        <v>6946456547</v>
      </c>
      <c r="N7436" t="s">
        <v>615</v>
      </c>
      <c r="O7436" t="s">
        <v>616</v>
      </c>
      <c r="R7436" t="s">
        <v>57</v>
      </c>
      <c r="S7436">
        <v>6</v>
      </c>
      <c r="T7436">
        <v>598</v>
      </c>
      <c r="U7436" s="1">
        <v>39328</v>
      </c>
      <c r="V7436" t="s">
        <v>80</v>
      </c>
      <c r="W7436" t="s">
        <v>81</v>
      </c>
      <c r="X7436" t="s">
        <v>58</v>
      </c>
      <c r="Y7436">
        <v>23</v>
      </c>
      <c r="Z7436" t="s">
        <v>59</v>
      </c>
      <c r="AA7436" t="s">
        <v>59</v>
      </c>
      <c r="AB7436" t="s">
        <v>59</v>
      </c>
      <c r="AC7436" t="s">
        <v>59</v>
      </c>
      <c r="AD7436" t="s">
        <v>59</v>
      </c>
      <c r="AF7436" s="1">
        <v>39328</v>
      </c>
      <c r="AG7436" t="s">
        <v>8645</v>
      </c>
      <c r="AH7436" t="s">
        <v>8646</v>
      </c>
      <c r="AI7436" t="str">
        <f>"9170057"</f>
        <v>9170057</v>
      </c>
      <c r="AJ7436" t="s">
        <v>8929</v>
      </c>
      <c r="AK7436">
        <v>2810251505</v>
      </c>
      <c r="AL7436" t="s">
        <v>8930</v>
      </c>
      <c r="AM7436" t="s">
        <v>78</v>
      </c>
      <c r="AN7436" t="s">
        <v>78</v>
      </c>
      <c r="AO7436" t="s">
        <v>78</v>
      </c>
      <c r="AP7436" t="s">
        <v>141</v>
      </c>
      <c r="AQ7436">
        <v>1</v>
      </c>
      <c r="AR7436" t="s">
        <v>80</v>
      </c>
      <c r="AS7436" t="s">
        <v>81</v>
      </c>
      <c r="AT7436" t="s">
        <v>58</v>
      </c>
      <c r="AU7436" t="s">
        <v>68</v>
      </c>
      <c r="AV7436" t="s">
        <v>69</v>
      </c>
      <c r="AW7436" s="1">
        <v>30143</v>
      </c>
      <c r="AX7436">
        <v>1</v>
      </c>
    </row>
    <row r="7437" spans="1:50">
      <c r="A7437">
        <v>557733</v>
      </c>
      <c r="B7437" t="str">
        <f>"034124084"</f>
        <v>034124084</v>
      </c>
      <c r="C7437" t="s">
        <v>50</v>
      </c>
      <c r="D7437" t="s">
        <v>4296</v>
      </c>
      <c r="E7437" t="s">
        <v>1176</v>
      </c>
      <c r="F7437" t="s">
        <v>154</v>
      </c>
      <c r="G7437" t="s">
        <v>52</v>
      </c>
      <c r="H7437" t="str">
        <f>"ΑΝΩ ΑΣΙΤΕΣ ΗΡΑΚΛΕΙΟ"</f>
        <v>ΑΝΩ ΑΣΙΤΕΣ ΗΡΑΚΛΕΙΟ</v>
      </c>
      <c r="I7437">
        <v>70013</v>
      </c>
      <c r="J7437">
        <v>2810861413</v>
      </c>
      <c r="K7437">
        <v>6973768706</v>
      </c>
      <c r="N7437" t="s">
        <v>615</v>
      </c>
      <c r="O7437" t="s">
        <v>616</v>
      </c>
      <c r="R7437" t="s">
        <v>57</v>
      </c>
      <c r="S7437">
        <v>15</v>
      </c>
      <c r="T7437">
        <v>168</v>
      </c>
      <c r="U7437" s="1">
        <v>32010</v>
      </c>
      <c r="V7437" t="s">
        <v>80</v>
      </c>
      <c r="W7437" t="s">
        <v>81</v>
      </c>
      <c r="X7437" t="s">
        <v>58</v>
      </c>
      <c r="Y7437">
        <v>21</v>
      </c>
      <c r="Z7437" t="s">
        <v>59</v>
      </c>
      <c r="AA7437" t="s">
        <v>59</v>
      </c>
      <c r="AB7437" t="s">
        <v>59</v>
      </c>
      <c r="AC7437" t="s">
        <v>59</v>
      </c>
      <c r="AD7437" t="s">
        <v>59</v>
      </c>
      <c r="AF7437" s="1">
        <v>32021</v>
      </c>
      <c r="AG7437" t="s">
        <v>8645</v>
      </c>
      <c r="AH7437" t="s">
        <v>8646</v>
      </c>
      <c r="AI7437" t="str">
        <f>"9170009"</f>
        <v>9170009</v>
      </c>
      <c r="AJ7437" t="s">
        <v>8683</v>
      </c>
      <c r="AK7437">
        <v>2810861612</v>
      </c>
      <c r="AL7437" t="s">
        <v>8684</v>
      </c>
      <c r="AM7437" t="s">
        <v>78</v>
      </c>
      <c r="AN7437" t="s">
        <v>78</v>
      </c>
      <c r="AO7437" t="s">
        <v>185</v>
      </c>
      <c r="AP7437" t="s">
        <v>8685</v>
      </c>
      <c r="AQ7437">
        <v>4</v>
      </c>
      <c r="AR7437" t="s">
        <v>80</v>
      </c>
      <c r="AS7437" t="s">
        <v>81</v>
      </c>
      <c r="AT7437" t="s">
        <v>58</v>
      </c>
      <c r="AU7437" t="s">
        <v>68</v>
      </c>
      <c r="AV7437" t="s">
        <v>69</v>
      </c>
      <c r="AW7437" s="1">
        <v>21715</v>
      </c>
      <c r="AX7437">
        <v>1</v>
      </c>
    </row>
    <row r="7438" spans="1:50">
      <c r="A7438">
        <v>618884</v>
      </c>
      <c r="B7438" t="str">
        <f>"138958466"</f>
        <v>138958466</v>
      </c>
      <c r="C7438" t="s">
        <v>50</v>
      </c>
      <c r="D7438" t="s">
        <v>4296</v>
      </c>
      <c r="E7438" t="s">
        <v>473</v>
      </c>
      <c r="F7438" t="s">
        <v>166</v>
      </c>
      <c r="G7438" t="s">
        <v>143</v>
      </c>
      <c r="H7438" t="str">
        <f>"ΠΑΥΛΟΥ ΝΙΡΒΑΝΑ 14 ΗΡΑΚΛΕΙΟ"</f>
        <v>ΠΑΥΛΟΥ ΝΙΡΒΑΝΑ 14 ΗΡΑΚΛΕΙΟ</v>
      </c>
      <c r="I7438">
        <v>71409</v>
      </c>
      <c r="J7438">
        <v>2811107513</v>
      </c>
      <c r="K7438">
        <v>6977621025</v>
      </c>
      <c r="M7438" t="s">
        <v>11779</v>
      </c>
      <c r="N7438" t="s">
        <v>615</v>
      </c>
      <c r="O7438" t="s">
        <v>616</v>
      </c>
      <c r="R7438" t="s">
        <v>57</v>
      </c>
      <c r="S7438">
        <v>5</v>
      </c>
      <c r="T7438">
        <v>774</v>
      </c>
      <c r="U7438" s="1">
        <v>39680</v>
      </c>
      <c r="V7438" t="s">
        <v>80</v>
      </c>
      <c r="W7438" t="s">
        <v>81</v>
      </c>
      <c r="X7438" t="s">
        <v>58</v>
      </c>
      <c r="Y7438">
        <v>23</v>
      </c>
      <c r="Z7438" t="s">
        <v>59</v>
      </c>
      <c r="AA7438" t="s">
        <v>59</v>
      </c>
      <c r="AB7438" t="s">
        <v>59</v>
      </c>
      <c r="AC7438" t="s">
        <v>59</v>
      </c>
      <c r="AD7438" t="s">
        <v>59</v>
      </c>
      <c r="AF7438" s="1">
        <v>39681</v>
      </c>
      <c r="AG7438" t="s">
        <v>8645</v>
      </c>
      <c r="AH7438" t="s">
        <v>8646</v>
      </c>
      <c r="AI7438" t="str">
        <f>"9170126"</f>
        <v>9170126</v>
      </c>
      <c r="AJ7438" t="s">
        <v>9041</v>
      </c>
      <c r="AK7438">
        <v>2810871213</v>
      </c>
      <c r="AL7438" t="s">
        <v>9042</v>
      </c>
      <c r="AM7438" t="s">
        <v>78</v>
      </c>
      <c r="AN7438" t="s">
        <v>78</v>
      </c>
      <c r="AO7438" t="s">
        <v>437</v>
      </c>
      <c r="AP7438" t="s">
        <v>438</v>
      </c>
      <c r="AQ7438">
        <v>5</v>
      </c>
      <c r="AR7438" t="s">
        <v>80</v>
      </c>
      <c r="AS7438" t="s">
        <v>81</v>
      </c>
      <c r="AT7438" t="s">
        <v>58</v>
      </c>
      <c r="AU7438" t="s">
        <v>68</v>
      </c>
      <c r="AV7438" t="s">
        <v>69</v>
      </c>
      <c r="AW7438" s="1">
        <v>31169</v>
      </c>
      <c r="AX7438">
        <v>1</v>
      </c>
    </row>
    <row r="7439" spans="1:50">
      <c r="B7439" t="str">
        <f>"137218165"</f>
        <v>137218165</v>
      </c>
      <c r="C7439" t="s">
        <v>50</v>
      </c>
      <c r="D7439" t="s">
        <v>4296</v>
      </c>
      <c r="E7439" t="s">
        <v>610</v>
      </c>
      <c r="F7439" t="s">
        <v>95</v>
      </c>
      <c r="G7439" t="s">
        <v>215</v>
      </c>
      <c r="H7439" t="str">
        <f>" "</f>
        <v xml:space="preserve"> </v>
      </c>
      <c r="N7439" t="s">
        <v>615</v>
      </c>
      <c r="O7439" t="s">
        <v>616</v>
      </c>
      <c r="R7439" t="s">
        <v>121</v>
      </c>
      <c r="S7439">
        <v>1</v>
      </c>
      <c r="T7439" t="s">
        <v>8717</v>
      </c>
      <c r="U7439" s="1">
        <v>43348</v>
      </c>
      <c r="V7439" t="s">
        <v>80</v>
      </c>
      <c r="W7439" t="s">
        <v>81</v>
      </c>
      <c r="X7439" t="s">
        <v>58</v>
      </c>
      <c r="Y7439">
        <v>24</v>
      </c>
      <c r="Z7439" t="s">
        <v>59</v>
      </c>
      <c r="AA7439" t="s">
        <v>59</v>
      </c>
      <c r="AB7439" t="s">
        <v>59</v>
      </c>
      <c r="AD7439" t="s">
        <v>59</v>
      </c>
      <c r="AF7439" s="1">
        <v>43348</v>
      </c>
      <c r="AG7439" t="s">
        <v>8645</v>
      </c>
      <c r="AH7439" t="s">
        <v>8646</v>
      </c>
      <c r="AI7439" t="str">
        <f>"9170055"</f>
        <v>9170055</v>
      </c>
      <c r="AJ7439" t="s">
        <v>8836</v>
      </c>
      <c r="AK7439">
        <v>2810255097</v>
      </c>
      <c r="AL7439" t="s">
        <v>8837</v>
      </c>
      <c r="AM7439" t="s">
        <v>78</v>
      </c>
      <c r="AN7439" t="s">
        <v>78</v>
      </c>
      <c r="AO7439" t="s">
        <v>78</v>
      </c>
      <c r="AP7439" t="s">
        <v>141</v>
      </c>
      <c r="AQ7439">
        <v>1</v>
      </c>
      <c r="AR7439" t="s">
        <v>80</v>
      </c>
      <c r="AS7439" t="s">
        <v>81</v>
      </c>
      <c r="AT7439" t="s">
        <v>58</v>
      </c>
      <c r="AU7439" t="s">
        <v>8720</v>
      </c>
      <c r="AV7439" t="s">
        <v>132</v>
      </c>
      <c r="AW7439" s="1">
        <v>32936</v>
      </c>
      <c r="AX7439">
        <v>1</v>
      </c>
    </row>
    <row r="7440" spans="1:50">
      <c r="B7440" t="str">
        <f>"141963045"</f>
        <v>141963045</v>
      </c>
      <c r="C7440" t="s">
        <v>50</v>
      </c>
      <c r="D7440" t="s">
        <v>4303</v>
      </c>
      <c r="E7440" t="s">
        <v>237</v>
      </c>
      <c r="F7440" t="s">
        <v>609</v>
      </c>
      <c r="G7440" t="s">
        <v>52</v>
      </c>
      <c r="H7440" t="str">
        <f>" "</f>
        <v xml:space="preserve"> </v>
      </c>
      <c r="N7440" t="s">
        <v>8834</v>
      </c>
      <c r="O7440" t="s">
        <v>8695</v>
      </c>
      <c r="R7440" t="s">
        <v>159</v>
      </c>
      <c r="S7440">
        <v>3</v>
      </c>
      <c r="T7440" t="s">
        <v>8835</v>
      </c>
      <c r="U7440" s="1">
        <v>43348</v>
      </c>
      <c r="V7440" t="s">
        <v>80</v>
      </c>
      <c r="W7440" t="s">
        <v>81</v>
      </c>
      <c r="X7440" t="s">
        <v>58</v>
      </c>
      <c r="Y7440">
        <v>24</v>
      </c>
      <c r="Z7440" t="s">
        <v>59</v>
      </c>
      <c r="AA7440" t="s">
        <v>59</v>
      </c>
      <c r="AB7440" t="s">
        <v>59</v>
      </c>
      <c r="AD7440" t="s">
        <v>59</v>
      </c>
      <c r="AF7440" s="1">
        <v>43348</v>
      </c>
      <c r="AG7440" t="s">
        <v>8645</v>
      </c>
      <c r="AH7440" t="s">
        <v>8646</v>
      </c>
      <c r="AI7440" t="str">
        <f>"9170097"</f>
        <v>9170097</v>
      </c>
      <c r="AJ7440" t="s">
        <v>8826</v>
      </c>
      <c r="AK7440">
        <v>2810751807</v>
      </c>
      <c r="AL7440" t="s">
        <v>8827</v>
      </c>
      <c r="AM7440" t="s">
        <v>78</v>
      </c>
      <c r="AN7440" t="s">
        <v>424</v>
      </c>
      <c r="AO7440" t="s">
        <v>425</v>
      </c>
      <c r="AP7440" t="s">
        <v>425</v>
      </c>
      <c r="AQ7440">
        <v>11</v>
      </c>
      <c r="AR7440" t="s">
        <v>80</v>
      </c>
      <c r="AS7440" t="s">
        <v>81</v>
      </c>
      <c r="AT7440" t="s">
        <v>58</v>
      </c>
      <c r="AU7440" t="s">
        <v>131</v>
      </c>
      <c r="AV7440" t="s">
        <v>132</v>
      </c>
      <c r="AW7440" s="1">
        <v>32770</v>
      </c>
      <c r="AX7440">
        <v>1</v>
      </c>
    </row>
    <row r="7441" spans="1:50">
      <c r="A7441">
        <v>610247</v>
      </c>
      <c r="B7441" t="str">
        <f>"101019615"</f>
        <v>101019615</v>
      </c>
      <c r="C7441" t="s">
        <v>50</v>
      </c>
      <c r="D7441" t="s">
        <v>4303</v>
      </c>
      <c r="E7441" t="s">
        <v>600</v>
      </c>
      <c r="F7441" t="s">
        <v>6198</v>
      </c>
      <c r="G7441" t="s">
        <v>11596</v>
      </c>
      <c r="H7441" t="str">
        <f>"ΑΝΔΡ. ΠΑΠΑΝΔΡΕΟΥ 54 ΗΡΑΚΛΕΙΟ"</f>
        <v>ΑΝΔΡ. ΠΑΠΑΝΔΡΕΟΥ 54 ΗΡΑΚΛΕΙΟ</v>
      </c>
      <c r="I7441">
        <v>71414</v>
      </c>
      <c r="J7441">
        <v>2810315702</v>
      </c>
      <c r="K7441">
        <v>6944376516</v>
      </c>
      <c r="M7441" t="s">
        <v>11780</v>
      </c>
      <c r="N7441" t="s">
        <v>615</v>
      </c>
      <c r="O7441" t="s">
        <v>616</v>
      </c>
      <c r="R7441" t="s">
        <v>57</v>
      </c>
      <c r="S7441">
        <v>7</v>
      </c>
      <c r="T7441">
        <v>233</v>
      </c>
      <c r="U7441" s="1">
        <v>38960</v>
      </c>
      <c r="V7441" t="s">
        <v>80</v>
      </c>
      <c r="W7441" t="s">
        <v>81</v>
      </c>
      <c r="X7441" t="s">
        <v>58</v>
      </c>
      <c r="Y7441">
        <v>23</v>
      </c>
      <c r="Z7441" t="s">
        <v>59</v>
      </c>
      <c r="AA7441" t="s">
        <v>59</v>
      </c>
      <c r="AB7441" t="s">
        <v>59</v>
      </c>
      <c r="AC7441" t="s">
        <v>59</v>
      </c>
      <c r="AD7441" t="s">
        <v>59</v>
      </c>
      <c r="AF7441" s="1">
        <v>38961</v>
      </c>
      <c r="AG7441" t="s">
        <v>8645</v>
      </c>
      <c r="AH7441" t="s">
        <v>8646</v>
      </c>
      <c r="AI7441" t="str">
        <f>"9170055"</f>
        <v>9170055</v>
      </c>
      <c r="AJ7441" t="s">
        <v>8836</v>
      </c>
      <c r="AK7441">
        <v>2810255097</v>
      </c>
      <c r="AL7441" t="s">
        <v>8837</v>
      </c>
      <c r="AM7441" t="s">
        <v>78</v>
      </c>
      <c r="AN7441" t="s">
        <v>78</v>
      </c>
      <c r="AO7441" t="s">
        <v>78</v>
      </c>
      <c r="AP7441" t="s">
        <v>141</v>
      </c>
      <c r="AQ7441">
        <v>1</v>
      </c>
      <c r="AR7441" t="s">
        <v>80</v>
      </c>
      <c r="AS7441" t="s">
        <v>81</v>
      </c>
      <c r="AT7441" t="s">
        <v>58</v>
      </c>
      <c r="AU7441" t="s">
        <v>68</v>
      </c>
      <c r="AV7441" t="s">
        <v>69</v>
      </c>
      <c r="AW7441" s="1">
        <v>28158</v>
      </c>
      <c r="AX7441">
        <v>1</v>
      </c>
    </row>
    <row r="7442" spans="1:50">
      <c r="B7442" t="str">
        <f>"159657530"</f>
        <v>159657530</v>
      </c>
      <c r="C7442" t="s">
        <v>50</v>
      </c>
      <c r="D7442" t="s">
        <v>4303</v>
      </c>
      <c r="E7442" t="s">
        <v>626</v>
      </c>
      <c r="F7442" t="s">
        <v>72</v>
      </c>
      <c r="G7442" t="s">
        <v>11781</v>
      </c>
      <c r="H7442" t="str">
        <f>" "</f>
        <v xml:space="preserve"> </v>
      </c>
      <c r="M7442" t="s">
        <v>11782</v>
      </c>
      <c r="N7442" t="s">
        <v>8694</v>
      </c>
      <c r="O7442" t="s">
        <v>8695</v>
      </c>
      <c r="R7442" t="s">
        <v>159</v>
      </c>
      <c r="S7442">
        <v>1</v>
      </c>
      <c r="T7442" t="s">
        <v>8835</v>
      </c>
      <c r="U7442" s="1">
        <v>43348</v>
      </c>
      <c r="V7442" t="s">
        <v>80</v>
      </c>
      <c r="W7442" t="s">
        <v>81</v>
      </c>
      <c r="X7442" t="s">
        <v>58</v>
      </c>
      <c r="Y7442">
        <v>24</v>
      </c>
      <c r="Z7442" t="s">
        <v>59</v>
      </c>
      <c r="AA7442" t="s">
        <v>59</v>
      </c>
      <c r="AB7442" t="s">
        <v>59</v>
      </c>
      <c r="AD7442" t="s">
        <v>59</v>
      </c>
      <c r="AF7442" s="1">
        <v>43348</v>
      </c>
      <c r="AG7442" t="s">
        <v>8645</v>
      </c>
      <c r="AH7442" t="s">
        <v>8646</v>
      </c>
      <c r="AI7442" t="str">
        <f>"9170102"</f>
        <v>9170102</v>
      </c>
      <c r="AJ7442" t="s">
        <v>9019</v>
      </c>
      <c r="AK7442">
        <v>2810283938</v>
      </c>
      <c r="AL7442" t="s">
        <v>9020</v>
      </c>
      <c r="AM7442" t="s">
        <v>78</v>
      </c>
      <c r="AN7442" t="s">
        <v>78</v>
      </c>
      <c r="AO7442" t="s">
        <v>78</v>
      </c>
      <c r="AP7442" t="s">
        <v>79</v>
      </c>
      <c r="AQ7442">
        <v>1</v>
      </c>
      <c r="AR7442" t="s">
        <v>80</v>
      </c>
      <c r="AS7442" t="s">
        <v>81</v>
      </c>
      <c r="AT7442" t="s">
        <v>58</v>
      </c>
      <c r="AU7442" t="s">
        <v>131</v>
      </c>
      <c r="AV7442" t="s">
        <v>132</v>
      </c>
      <c r="AW7442" s="1">
        <v>33971</v>
      </c>
      <c r="AX7442">
        <v>1</v>
      </c>
    </row>
    <row r="7443" spans="1:50">
      <c r="A7443">
        <v>600383</v>
      </c>
      <c r="B7443" t="str">
        <f>"103820858"</f>
        <v>103820858</v>
      </c>
      <c r="C7443" t="s">
        <v>50</v>
      </c>
      <c r="D7443" t="s">
        <v>11783</v>
      </c>
      <c r="E7443" t="s">
        <v>73</v>
      </c>
      <c r="F7443" t="s">
        <v>95</v>
      </c>
      <c r="G7443" t="s">
        <v>484</v>
      </c>
      <c r="H7443" t="str">
        <f>"ΑΝΤ.ΚΑΣΤΡΙΝΑΚΗ 49 ΗΡΑΚΛΕΙΟ"</f>
        <v>ΑΝΤ.ΚΑΣΤΡΙΝΑΚΗ 49 ΗΡΑΚΛΕΙΟ</v>
      </c>
      <c r="K7443">
        <v>6937022779</v>
      </c>
      <c r="N7443" t="s">
        <v>615</v>
      </c>
      <c r="O7443" t="s">
        <v>616</v>
      </c>
      <c r="R7443" t="s">
        <v>57</v>
      </c>
      <c r="S7443">
        <v>9</v>
      </c>
      <c r="T7443">
        <v>195</v>
      </c>
      <c r="U7443" s="1">
        <v>37497</v>
      </c>
      <c r="V7443" t="s">
        <v>80</v>
      </c>
      <c r="W7443" t="s">
        <v>81</v>
      </c>
      <c r="X7443" t="s">
        <v>58</v>
      </c>
      <c r="Y7443">
        <v>22</v>
      </c>
      <c r="Z7443" t="s">
        <v>59</v>
      </c>
      <c r="AA7443" t="s">
        <v>59</v>
      </c>
      <c r="AB7443" t="s">
        <v>59</v>
      </c>
      <c r="AC7443" t="s">
        <v>59</v>
      </c>
      <c r="AD7443" t="s">
        <v>59</v>
      </c>
      <c r="AF7443" s="1">
        <v>37501</v>
      </c>
      <c r="AG7443" t="s">
        <v>8645</v>
      </c>
      <c r="AH7443" t="s">
        <v>8646</v>
      </c>
      <c r="AI7443" t="str">
        <f>"9170048"</f>
        <v>9170048</v>
      </c>
      <c r="AJ7443" t="s">
        <v>8977</v>
      </c>
      <c r="AK7443">
        <v>2810283303</v>
      </c>
      <c r="AL7443" t="s">
        <v>8978</v>
      </c>
      <c r="AM7443" t="s">
        <v>78</v>
      </c>
      <c r="AN7443" t="s">
        <v>78</v>
      </c>
      <c r="AO7443" t="s">
        <v>78</v>
      </c>
      <c r="AP7443" t="s">
        <v>79</v>
      </c>
      <c r="AQ7443">
        <v>1</v>
      </c>
      <c r="AR7443" t="s">
        <v>80</v>
      </c>
      <c r="AS7443" t="s">
        <v>81</v>
      </c>
      <c r="AT7443" t="s">
        <v>58</v>
      </c>
      <c r="AU7443" t="s">
        <v>68</v>
      </c>
      <c r="AV7443" t="s">
        <v>69</v>
      </c>
      <c r="AW7443" s="1">
        <v>24701</v>
      </c>
      <c r="AX7443">
        <v>1</v>
      </c>
    </row>
    <row r="7444" spans="1:50">
      <c r="A7444">
        <v>579895</v>
      </c>
      <c r="B7444" t="str">
        <f>"035855167"</f>
        <v>035855167</v>
      </c>
      <c r="C7444" t="s">
        <v>50</v>
      </c>
      <c r="D7444" t="s">
        <v>4315</v>
      </c>
      <c r="E7444" t="s">
        <v>263</v>
      </c>
      <c r="F7444" t="s">
        <v>166</v>
      </c>
      <c r="G7444" t="s">
        <v>411</v>
      </c>
      <c r="H7444" t="str">
        <f>" "</f>
        <v xml:space="preserve"> </v>
      </c>
      <c r="N7444" t="s">
        <v>1525</v>
      </c>
      <c r="O7444" t="s">
        <v>1526</v>
      </c>
      <c r="R7444" t="s">
        <v>57</v>
      </c>
      <c r="S7444">
        <v>13</v>
      </c>
      <c r="T7444">
        <v>165</v>
      </c>
      <c r="U7444" s="1">
        <v>35310</v>
      </c>
      <c r="V7444" t="s">
        <v>80</v>
      </c>
      <c r="W7444" t="s">
        <v>81</v>
      </c>
      <c r="X7444" t="s">
        <v>58</v>
      </c>
      <c r="Y7444">
        <v>25</v>
      </c>
      <c r="Z7444" t="s">
        <v>59</v>
      </c>
      <c r="AA7444" t="s">
        <v>59</v>
      </c>
      <c r="AB7444" t="s">
        <v>59</v>
      </c>
      <c r="AC7444" t="s">
        <v>59</v>
      </c>
      <c r="AD7444" t="s">
        <v>59</v>
      </c>
      <c r="AF7444" s="1">
        <v>35310</v>
      </c>
      <c r="AG7444" t="s">
        <v>8651</v>
      </c>
      <c r="AH7444" t="s">
        <v>8652</v>
      </c>
      <c r="AI7444" t="str">
        <f>"9170145"</f>
        <v>9170145</v>
      </c>
      <c r="AJ7444" t="s">
        <v>11153</v>
      </c>
      <c r="AK7444">
        <v>2891023133</v>
      </c>
      <c r="AL7444" t="s">
        <v>11154</v>
      </c>
      <c r="AM7444" t="s">
        <v>78</v>
      </c>
      <c r="AN7444" t="s">
        <v>276</v>
      </c>
      <c r="AO7444" t="s">
        <v>490</v>
      </c>
      <c r="AP7444" t="s">
        <v>490</v>
      </c>
      <c r="AQ7444">
        <v>12</v>
      </c>
      <c r="AR7444" t="s">
        <v>80</v>
      </c>
      <c r="AS7444" t="s">
        <v>81</v>
      </c>
      <c r="AT7444" t="s">
        <v>58</v>
      </c>
      <c r="AU7444" t="s">
        <v>68</v>
      </c>
      <c r="AV7444" t="s">
        <v>69</v>
      </c>
      <c r="AW7444" s="1">
        <v>23214</v>
      </c>
      <c r="AX7444">
        <v>1</v>
      </c>
    </row>
    <row r="7445" spans="1:50">
      <c r="A7445">
        <v>588210</v>
      </c>
      <c r="B7445" t="str">
        <f>"035811238"</f>
        <v>035811238</v>
      </c>
      <c r="C7445" t="s">
        <v>50</v>
      </c>
      <c r="D7445" t="s">
        <v>4315</v>
      </c>
      <c r="E7445" t="s">
        <v>52</v>
      </c>
      <c r="F7445" t="s">
        <v>5896</v>
      </c>
      <c r="G7445" t="s">
        <v>1355</v>
      </c>
      <c r="H7445" t="str">
        <f>"ΔΩΔΕΚΑΝΗΣΟΥ 73 ΗΡΑΚΛΕΙΟ"</f>
        <v>ΔΩΔΕΚΑΝΗΣΟΥ 73 ΗΡΑΚΛΕΙΟ</v>
      </c>
      <c r="I7445">
        <v>71601</v>
      </c>
      <c r="J7445">
        <v>2810222497</v>
      </c>
      <c r="K7445">
        <v>6945664297</v>
      </c>
      <c r="M7445" t="s">
        <v>11784</v>
      </c>
      <c r="N7445" t="s">
        <v>615</v>
      </c>
      <c r="O7445" t="s">
        <v>616</v>
      </c>
      <c r="R7445" t="s">
        <v>57</v>
      </c>
      <c r="S7445">
        <v>14</v>
      </c>
      <c r="T7445">
        <v>176</v>
      </c>
      <c r="U7445" s="1">
        <v>32650</v>
      </c>
      <c r="V7445" t="s">
        <v>80</v>
      </c>
      <c r="W7445" t="s">
        <v>81</v>
      </c>
      <c r="X7445" t="s">
        <v>58</v>
      </c>
      <c r="Y7445">
        <v>22</v>
      </c>
      <c r="Z7445" t="s">
        <v>59</v>
      </c>
      <c r="AA7445" t="s">
        <v>59</v>
      </c>
      <c r="AB7445" t="s">
        <v>59</v>
      </c>
      <c r="AC7445" t="s">
        <v>59</v>
      </c>
      <c r="AD7445" t="s">
        <v>59</v>
      </c>
      <c r="AF7445" s="1">
        <v>36404</v>
      </c>
      <c r="AG7445" t="s">
        <v>8645</v>
      </c>
      <c r="AH7445" t="s">
        <v>8646</v>
      </c>
      <c r="AI7445" t="str">
        <f>"9170109"</f>
        <v>9170109</v>
      </c>
      <c r="AJ7445" t="s">
        <v>9056</v>
      </c>
      <c r="AK7445">
        <v>2810212659</v>
      </c>
      <c r="AL7445" t="s">
        <v>9057</v>
      </c>
      <c r="AM7445" t="s">
        <v>78</v>
      </c>
      <c r="AN7445" t="s">
        <v>78</v>
      </c>
      <c r="AO7445" t="s">
        <v>78</v>
      </c>
      <c r="AP7445" t="s">
        <v>163</v>
      </c>
      <c r="AQ7445">
        <v>1</v>
      </c>
      <c r="AR7445" t="s">
        <v>80</v>
      </c>
      <c r="AS7445" t="s">
        <v>81</v>
      </c>
      <c r="AT7445" t="s">
        <v>58</v>
      </c>
      <c r="AU7445" t="s">
        <v>68</v>
      </c>
      <c r="AV7445" t="s">
        <v>69</v>
      </c>
      <c r="AW7445" s="1">
        <v>23602</v>
      </c>
      <c r="AX7445">
        <v>1</v>
      </c>
    </row>
    <row r="7446" spans="1:50">
      <c r="A7446">
        <v>605517</v>
      </c>
      <c r="B7446" t="str">
        <f>"106706441"</f>
        <v>106706441</v>
      </c>
      <c r="C7446" t="s">
        <v>50</v>
      </c>
      <c r="D7446" t="s">
        <v>4315</v>
      </c>
      <c r="E7446" t="s">
        <v>372</v>
      </c>
      <c r="F7446" t="s">
        <v>72</v>
      </c>
      <c r="G7446" t="s">
        <v>237</v>
      </c>
      <c r="H7446" t="str">
        <f>"ΙΕΡΟΛΟΧΙΤΩΝ 152  ΗΡΑΚΛΕΙΟ"</f>
        <v>ΙΕΡΟΛΟΧΙΤΩΝ 152  ΗΡΑΚΛΕΙΟ</v>
      </c>
      <c r="I7446">
        <v>71305</v>
      </c>
      <c r="J7446">
        <v>2810238697</v>
      </c>
      <c r="K7446">
        <v>6972478938</v>
      </c>
      <c r="N7446" t="s">
        <v>615</v>
      </c>
      <c r="O7446" t="s">
        <v>616</v>
      </c>
      <c r="R7446" t="s">
        <v>57</v>
      </c>
      <c r="S7446">
        <v>9</v>
      </c>
      <c r="T7446">
        <v>231</v>
      </c>
      <c r="U7446" s="1">
        <v>38231</v>
      </c>
      <c r="V7446" t="s">
        <v>80</v>
      </c>
      <c r="W7446" t="s">
        <v>81</v>
      </c>
      <c r="X7446" t="s">
        <v>58</v>
      </c>
      <c r="Y7446">
        <v>22</v>
      </c>
      <c r="Z7446" t="s">
        <v>59</v>
      </c>
      <c r="AA7446" t="s">
        <v>59</v>
      </c>
      <c r="AB7446" t="s">
        <v>59</v>
      </c>
      <c r="AC7446" t="s">
        <v>59</v>
      </c>
      <c r="AD7446" t="s">
        <v>59</v>
      </c>
      <c r="AF7446" s="1">
        <v>38231</v>
      </c>
      <c r="AG7446" t="s">
        <v>8645</v>
      </c>
      <c r="AH7446" t="s">
        <v>8646</v>
      </c>
      <c r="AI7446" t="str">
        <f>"9170514"</f>
        <v>9170514</v>
      </c>
      <c r="AJ7446" t="s">
        <v>8801</v>
      </c>
      <c r="AK7446">
        <v>2810238666</v>
      </c>
      <c r="AL7446" t="s">
        <v>8802</v>
      </c>
      <c r="AM7446" t="s">
        <v>78</v>
      </c>
      <c r="AN7446" t="s">
        <v>78</v>
      </c>
      <c r="AO7446" t="s">
        <v>78</v>
      </c>
      <c r="AP7446" t="s">
        <v>163</v>
      </c>
      <c r="AQ7446">
        <v>1</v>
      </c>
      <c r="AR7446" t="s">
        <v>80</v>
      </c>
      <c r="AS7446" t="s">
        <v>81</v>
      </c>
      <c r="AT7446" t="s">
        <v>58</v>
      </c>
      <c r="AU7446" t="s">
        <v>68</v>
      </c>
      <c r="AV7446" t="s">
        <v>69</v>
      </c>
      <c r="AW7446" s="1">
        <v>26784</v>
      </c>
      <c r="AX7446">
        <v>1</v>
      </c>
    </row>
    <row r="7447" spans="1:50">
      <c r="B7447" t="str">
        <f>"146194996"</f>
        <v>146194996</v>
      </c>
      <c r="C7447" t="s">
        <v>50</v>
      </c>
      <c r="D7447" t="s">
        <v>4315</v>
      </c>
      <c r="E7447" t="s">
        <v>1562</v>
      </c>
      <c r="F7447" t="s">
        <v>377</v>
      </c>
      <c r="G7447" t="s">
        <v>52</v>
      </c>
      <c r="H7447" t="str">
        <f>"ΑΣΚΛΗΠΙΟΥ 14 "</f>
        <v xml:space="preserve">ΑΣΚΛΗΠΙΟΥ 14 </v>
      </c>
      <c r="I7447">
        <v>68100</v>
      </c>
      <c r="J7447">
        <v>2551080765</v>
      </c>
      <c r="K7447">
        <v>6942534652</v>
      </c>
      <c r="N7447" t="s">
        <v>615</v>
      </c>
      <c r="O7447" t="s">
        <v>616</v>
      </c>
      <c r="R7447" t="s">
        <v>159</v>
      </c>
      <c r="S7447">
        <v>4</v>
      </c>
      <c r="T7447" t="s">
        <v>8675</v>
      </c>
      <c r="U7447" s="1">
        <v>43348</v>
      </c>
      <c r="V7447" t="s">
        <v>80</v>
      </c>
      <c r="W7447" t="s">
        <v>81</v>
      </c>
      <c r="X7447" t="s">
        <v>58</v>
      </c>
      <c r="Y7447">
        <v>24</v>
      </c>
      <c r="Z7447" t="s">
        <v>59</v>
      </c>
      <c r="AA7447" t="s">
        <v>59</v>
      </c>
      <c r="AB7447" t="s">
        <v>59</v>
      </c>
      <c r="AC7447" t="s">
        <v>59</v>
      </c>
      <c r="AD7447" t="s">
        <v>59</v>
      </c>
      <c r="AF7447" s="1">
        <v>43348</v>
      </c>
      <c r="AG7447" t="s">
        <v>8645</v>
      </c>
      <c r="AH7447" t="s">
        <v>8646</v>
      </c>
      <c r="AI7447" t="str">
        <f>"9170028"</f>
        <v>9170028</v>
      </c>
      <c r="AJ7447" t="s">
        <v>9791</v>
      </c>
      <c r="AK7447">
        <v>2810711204</v>
      </c>
      <c r="AL7447" t="s">
        <v>9792</v>
      </c>
      <c r="AM7447" t="s">
        <v>78</v>
      </c>
      <c r="AN7447" t="s">
        <v>129</v>
      </c>
      <c r="AO7447" t="s">
        <v>597</v>
      </c>
      <c r="AP7447" t="s">
        <v>598</v>
      </c>
      <c r="AQ7447">
        <v>4</v>
      </c>
      <c r="AR7447" t="s">
        <v>80</v>
      </c>
      <c r="AS7447" t="s">
        <v>81</v>
      </c>
      <c r="AT7447" t="s">
        <v>58</v>
      </c>
      <c r="AU7447" t="s">
        <v>8673</v>
      </c>
      <c r="AV7447" t="s">
        <v>132</v>
      </c>
      <c r="AW7447" s="1">
        <v>32340</v>
      </c>
      <c r="AX7447">
        <v>1</v>
      </c>
    </row>
    <row r="7448" spans="1:50">
      <c r="A7448">
        <v>620044</v>
      </c>
      <c r="B7448" t="str">
        <f>"064900642"</f>
        <v>064900642</v>
      </c>
      <c r="C7448" t="s">
        <v>105</v>
      </c>
      <c r="D7448" t="s">
        <v>11785</v>
      </c>
      <c r="E7448" t="s">
        <v>1316</v>
      </c>
      <c r="F7448" t="s">
        <v>53</v>
      </c>
      <c r="G7448" t="s">
        <v>114</v>
      </c>
      <c r="H7448" t="str">
        <f>"ΑΓΙΩΝ ΠΑΝΤΩΝ 45 ΘΕΣΣΑΛΟΝΙΚΗ ΘΕΣΣΑΛΟΝΙΚΗ"</f>
        <v>ΑΓΙΩΝ ΠΑΝΤΩΝ 45 ΘΕΣΣΑΛΟΝΙΚΗ ΘΕΣΣΑΛΟΝΙΚΗ</v>
      </c>
      <c r="I7448">
        <v>57010</v>
      </c>
      <c r="J7448">
        <v>2310524279</v>
      </c>
      <c r="K7448">
        <v>6972800331</v>
      </c>
      <c r="M7448" t="s">
        <v>11786</v>
      </c>
      <c r="N7448" t="s">
        <v>176</v>
      </c>
      <c r="O7448" t="s">
        <v>177</v>
      </c>
      <c r="R7448" t="s">
        <v>57</v>
      </c>
      <c r="S7448">
        <v>11</v>
      </c>
      <c r="T7448">
        <v>775</v>
      </c>
      <c r="U7448" s="1">
        <v>39680</v>
      </c>
      <c r="V7448" t="s">
        <v>80</v>
      </c>
      <c r="W7448" t="s">
        <v>81</v>
      </c>
      <c r="X7448" t="s">
        <v>58</v>
      </c>
      <c r="Y7448">
        <v>23</v>
      </c>
      <c r="Z7448" t="s">
        <v>59</v>
      </c>
      <c r="AA7448" t="s">
        <v>59</v>
      </c>
      <c r="AB7448" t="s">
        <v>59</v>
      </c>
      <c r="AC7448" t="s">
        <v>59</v>
      </c>
      <c r="AD7448" t="s">
        <v>59</v>
      </c>
      <c r="AF7448" s="1">
        <v>39685</v>
      </c>
      <c r="AG7448" t="s">
        <v>8645</v>
      </c>
      <c r="AH7448" t="s">
        <v>8646</v>
      </c>
      <c r="AI7448" t="str">
        <f>"9170041"</f>
        <v>9170041</v>
      </c>
      <c r="AJ7448" t="s">
        <v>9638</v>
      </c>
      <c r="AK7448">
        <v>2894022150</v>
      </c>
      <c r="AL7448" t="s">
        <v>9639</v>
      </c>
      <c r="AM7448" t="s">
        <v>78</v>
      </c>
      <c r="AN7448" t="s">
        <v>405</v>
      </c>
      <c r="AO7448" t="s">
        <v>406</v>
      </c>
      <c r="AP7448" t="s">
        <v>8893</v>
      </c>
      <c r="AQ7448">
        <v>6</v>
      </c>
      <c r="AR7448" t="s">
        <v>80</v>
      </c>
      <c r="AS7448" t="s">
        <v>81</v>
      </c>
      <c r="AT7448" t="s">
        <v>58</v>
      </c>
      <c r="AU7448" t="s">
        <v>68</v>
      </c>
      <c r="AV7448" t="s">
        <v>69</v>
      </c>
      <c r="AW7448" s="1">
        <v>26949</v>
      </c>
      <c r="AX7448">
        <v>1</v>
      </c>
    </row>
    <row r="7449" spans="1:50">
      <c r="A7449">
        <v>588672</v>
      </c>
      <c r="B7449" t="str">
        <f>"051750310"</f>
        <v>051750310</v>
      </c>
      <c r="C7449" t="s">
        <v>105</v>
      </c>
      <c r="D7449" t="s">
        <v>11787</v>
      </c>
      <c r="E7449" t="s">
        <v>670</v>
      </c>
      <c r="F7449" t="s">
        <v>4730</v>
      </c>
      <c r="G7449" t="s">
        <v>934</v>
      </c>
      <c r="H7449" t="str">
        <f>" "</f>
        <v xml:space="preserve"> </v>
      </c>
      <c r="N7449" t="s">
        <v>615</v>
      </c>
      <c r="O7449" t="s">
        <v>616</v>
      </c>
      <c r="R7449" t="s">
        <v>57</v>
      </c>
      <c r="S7449">
        <v>11</v>
      </c>
      <c r="T7449">
        <v>176</v>
      </c>
      <c r="U7449" s="1">
        <v>36403</v>
      </c>
      <c r="V7449" t="s">
        <v>80</v>
      </c>
      <c r="W7449" t="s">
        <v>81</v>
      </c>
      <c r="X7449" t="s">
        <v>58</v>
      </c>
      <c r="Y7449">
        <v>21</v>
      </c>
      <c r="Z7449" t="s">
        <v>59</v>
      </c>
      <c r="AA7449" t="s">
        <v>59</v>
      </c>
      <c r="AB7449" t="s">
        <v>59</v>
      </c>
      <c r="AC7449" t="s">
        <v>59</v>
      </c>
      <c r="AD7449" t="s">
        <v>59</v>
      </c>
      <c r="AF7449" s="1">
        <v>36404</v>
      </c>
      <c r="AG7449" t="s">
        <v>8645</v>
      </c>
      <c r="AH7449" t="s">
        <v>8646</v>
      </c>
      <c r="AI7449" t="str">
        <f>"9170549"</f>
        <v>9170549</v>
      </c>
      <c r="AJ7449" t="s">
        <v>8778</v>
      </c>
      <c r="AK7449">
        <v>2810751800</v>
      </c>
      <c r="AL7449" t="s">
        <v>8779</v>
      </c>
      <c r="AM7449" t="s">
        <v>78</v>
      </c>
      <c r="AN7449" t="s">
        <v>424</v>
      </c>
      <c r="AO7449" t="s">
        <v>425</v>
      </c>
      <c r="AP7449" t="s">
        <v>425</v>
      </c>
      <c r="AQ7449">
        <v>11</v>
      </c>
      <c r="AR7449" t="s">
        <v>80</v>
      </c>
      <c r="AS7449" t="s">
        <v>81</v>
      </c>
      <c r="AT7449" t="s">
        <v>58</v>
      </c>
      <c r="AU7449" t="s">
        <v>68</v>
      </c>
      <c r="AV7449" t="s">
        <v>69</v>
      </c>
      <c r="AW7449" s="1">
        <v>25078</v>
      </c>
      <c r="AX7449">
        <v>1</v>
      </c>
    </row>
    <row r="7450" spans="1:50">
      <c r="A7450">
        <v>578320</v>
      </c>
      <c r="B7450" t="str">
        <f>"035223582"</f>
        <v>035223582</v>
      </c>
      <c r="C7450" t="s">
        <v>50</v>
      </c>
      <c r="D7450" t="s">
        <v>11788</v>
      </c>
      <c r="E7450" t="s">
        <v>52</v>
      </c>
      <c r="F7450" t="s">
        <v>311</v>
      </c>
      <c r="G7450" t="s">
        <v>396</v>
      </c>
      <c r="H7450" t="str">
        <f>"ΓΙΑΚΟΥΜΑΚΗ 8 ΗΡΑΚΛΕΙΟ"</f>
        <v>ΓΙΑΚΟΥΜΑΚΗ 8 ΗΡΑΚΛΕΙΟ</v>
      </c>
      <c r="I7450">
        <v>71305</v>
      </c>
      <c r="J7450">
        <v>2810324548</v>
      </c>
      <c r="K7450">
        <v>6978843910</v>
      </c>
      <c r="M7450" t="s">
        <v>9349</v>
      </c>
      <c r="N7450" t="s">
        <v>615</v>
      </c>
      <c r="O7450" t="s">
        <v>616</v>
      </c>
      <c r="R7450" t="s">
        <v>57</v>
      </c>
      <c r="S7450">
        <v>13</v>
      </c>
      <c r="T7450">
        <v>165</v>
      </c>
      <c r="U7450" s="1">
        <v>35300</v>
      </c>
      <c r="V7450" t="s">
        <v>80</v>
      </c>
      <c r="W7450" t="s">
        <v>81</v>
      </c>
      <c r="X7450" t="s">
        <v>58</v>
      </c>
      <c r="Y7450">
        <v>21</v>
      </c>
      <c r="Z7450" t="s">
        <v>59</v>
      </c>
      <c r="AA7450" t="s">
        <v>59</v>
      </c>
      <c r="AB7450" t="s">
        <v>59</v>
      </c>
      <c r="AC7450" t="s">
        <v>59</v>
      </c>
      <c r="AD7450" t="s">
        <v>59</v>
      </c>
      <c r="AF7450" s="1">
        <v>35310</v>
      </c>
      <c r="AG7450" t="s">
        <v>8645</v>
      </c>
      <c r="AH7450" t="s">
        <v>8646</v>
      </c>
      <c r="AI7450" t="str">
        <f>"9170115"</f>
        <v>9170115</v>
      </c>
      <c r="AJ7450" t="s">
        <v>8770</v>
      </c>
      <c r="AK7450">
        <v>2810231165</v>
      </c>
      <c r="AL7450" t="s">
        <v>8771</v>
      </c>
      <c r="AM7450" t="s">
        <v>78</v>
      </c>
      <c r="AN7450" t="s">
        <v>78</v>
      </c>
      <c r="AO7450" t="s">
        <v>78</v>
      </c>
      <c r="AP7450" t="s">
        <v>141</v>
      </c>
      <c r="AQ7450">
        <v>1</v>
      </c>
      <c r="AR7450" t="s">
        <v>80</v>
      </c>
      <c r="AS7450" t="s">
        <v>81</v>
      </c>
      <c r="AT7450" t="s">
        <v>58</v>
      </c>
      <c r="AU7450" t="s">
        <v>68</v>
      </c>
      <c r="AV7450" t="s">
        <v>69</v>
      </c>
      <c r="AW7450" s="1">
        <v>24670</v>
      </c>
      <c r="AX7450">
        <v>1</v>
      </c>
    </row>
    <row r="7451" spans="1:50">
      <c r="A7451">
        <v>584761</v>
      </c>
      <c r="B7451" t="str">
        <f>"100102486"</f>
        <v>100102486</v>
      </c>
      <c r="C7451" t="s">
        <v>50</v>
      </c>
      <c r="D7451" t="s">
        <v>11789</v>
      </c>
      <c r="E7451" t="s">
        <v>553</v>
      </c>
      <c r="F7451" t="s">
        <v>383</v>
      </c>
      <c r="G7451" t="s">
        <v>372</v>
      </c>
      <c r="H7451" t="str">
        <f>" "</f>
        <v xml:space="preserve"> </v>
      </c>
      <c r="N7451" t="s">
        <v>615</v>
      </c>
      <c r="O7451" t="s">
        <v>616</v>
      </c>
      <c r="R7451" t="s">
        <v>57</v>
      </c>
      <c r="S7451">
        <v>11</v>
      </c>
      <c r="T7451">
        <v>165</v>
      </c>
      <c r="U7451" s="1">
        <v>36040</v>
      </c>
      <c r="V7451" t="s">
        <v>80</v>
      </c>
      <c r="W7451" t="s">
        <v>81</v>
      </c>
      <c r="X7451" t="s">
        <v>58</v>
      </c>
      <c r="Y7451">
        <v>21</v>
      </c>
      <c r="Z7451" t="s">
        <v>59</v>
      </c>
      <c r="AA7451" t="s">
        <v>59</v>
      </c>
      <c r="AB7451" t="s">
        <v>59</v>
      </c>
      <c r="AC7451" t="s">
        <v>59</v>
      </c>
      <c r="AD7451" t="s">
        <v>59</v>
      </c>
      <c r="AF7451" s="1">
        <v>36042</v>
      </c>
      <c r="AG7451" t="s">
        <v>8645</v>
      </c>
      <c r="AH7451" t="s">
        <v>8646</v>
      </c>
      <c r="AI7451" t="str">
        <f>"9170561"</f>
        <v>9170561</v>
      </c>
      <c r="AJ7451" t="s">
        <v>8708</v>
      </c>
      <c r="AK7451">
        <v>2891023609</v>
      </c>
      <c r="AL7451" t="s">
        <v>8709</v>
      </c>
      <c r="AM7451" t="s">
        <v>78</v>
      </c>
      <c r="AN7451" t="s">
        <v>276</v>
      </c>
      <c r="AO7451" t="s">
        <v>490</v>
      </c>
      <c r="AP7451" t="s">
        <v>490</v>
      </c>
      <c r="AQ7451">
        <v>12</v>
      </c>
      <c r="AR7451" t="s">
        <v>80</v>
      </c>
      <c r="AS7451" t="s">
        <v>81</v>
      </c>
      <c r="AT7451" t="s">
        <v>58</v>
      </c>
      <c r="AU7451" t="s">
        <v>68</v>
      </c>
      <c r="AV7451" t="s">
        <v>69</v>
      </c>
      <c r="AW7451" s="1">
        <v>24006</v>
      </c>
      <c r="AX7451">
        <v>1</v>
      </c>
    </row>
    <row r="7452" spans="1:50">
      <c r="A7452">
        <v>605782</v>
      </c>
      <c r="B7452" t="str">
        <f>"120430590"</f>
        <v>120430590</v>
      </c>
      <c r="C7452" t="s">
        <v>50</v>
      </c>
      <c r="D7452" t="s">
        <v>11790</v>
      </c>
      <c r="E7452" t="s">
        <v>620</v>
      </c>
      <c r="F7452" t="s">
        <v>99</v>
      </c>
      <c r="G7452" t="s">
        <v>83</v>
      </c>
      <c r="H7452" t="str">
        <f>" ΓΕΝΝΗΜΑΤΑ 6 ΗΡΑΚΛΕΙΟ"</f>
        <v xml:space="preserve"> ΓΕΝΝΗΜΑΤΑ 6 ΗΡΑΚΛΕΙΟ</v>
      </c>
      <c r="I7452">
        <v>71414</v>
      </c>
      <c r="J7452">
        <v>2810314397</v>
      </c>
      <c r="K7452">
        <v>6973051895</v>
      </c>
      <c r="L7452">
        <v>6937164241</v>
      </c>
      <c r="M7452" t="s">
        <v>3562</v>
      </c>
      <c r="N7452" t="s">
        <v>615</v>
      </c>
      <c r="O7452" t="s">
        <v>616</v>
      </c>
      <c r="R7452" t="s">
        <v>57</v>
      </c>
      <c r="S7452">
        <v>8</v>
      </c>
      <c r="T7452">
        <v>231</v>
      </c>
      <c r="U7452" s="1">
        <v>38230</v>
      </c>
      <c r="V7452" t="s">
        <v>80</v>
      </c>
      <c r="W7452" t="s">
        <v>81</v>
      </c>
      <c r="X7452" t="s">
        <v>58</v>
      </c>
      <c r="Y7452">
        <v>22</v>
      </c>
      <c r="Z7452" t="s">
        <v>59</v>
      </c>
      <c r="AA7452" t="s">
        <v>59</v>
      </c>
      <c r="AB7452" t="s">
        <v>59</v>
      </c>
      <c r="AC7452" t="s">
        <v>59</v>
      </c>
      <c r="AD7452" t="s">
        <v>59</v>
      </c>
      <c r="AF7452" s="1">
        <v>38231</v>
      </c>
      <c r="AG7452" t="s">
        <v>8645</v>
      </c>
      <c r="AH7452" t="s">
        <v>8646</v>
      </c>
      <c r="AI7452" t="str">
        <f>"9521091"</f>
        <v>9521091</v>
      </c>
      <c r="AJ7452" t="s">
        <v>8959</v>
      </c>
      <c r="AK7452">
        <v>2810370360</v>
      </c>
      <c r="AL7452" t="s">
        <v>8960</v>
      </c>
      <c r="AM7452" t="s">
        <v>78</v>
      </c>
      <c r="AN7452" t="s">
        <v>129</v>
      </c>
      <c r="AO7452" t="s">
        <v>130</v>
      </c>
      <c r="AP7452" t="s">
        <v>130</v>
      </c>
      <c r="AQ7452">
        <v>1</v>
      </c>
      <c r="AR7452" t="s">
        <v>80</v>
      </c>
      <c r="AS7452" t="s">
        <v>81</v>
      </c>
      <c r="AT7452" t="s">
        <v>58</v>
      </c>
      <c r="AU7452" t="s">
        <v>68</v>
      </c>
      <c r="AV7452" t="s">
        <v>69</v>
      </c>
      <c r="AW7452" s="1">
        <v>28410</v>
      </c>
      <c r="AX7452">
        <v>1</v>
      </c>
    </row>
    <row r="7453" spans="1:50">
      <c r="B7453" t="str">
        <f>"101280891"</f>
        <v>101280891</v>
      </c>
      <c r="C7453" t="s">
        <v>105</v>
      </c>
      <c r="D7453" t="s">
        <v>11791</v>
      </c>
      <c r="E7453" t="s">
        <v>9387</v>
      </c>
      <c r="F7453" t="s">
        <v>510</v>
      </c>
      <c r="G7453" t="s">
        <v>85</v>
      </c>
      <c r="H7453" t="str">
        <f>"25 ΜΑΡΤΙΟΥ 290 ΜΟΙΡΕΣ ΗΡΑΚΛΕΙΟ"</f>
        <v>25 ΜΑΡΤΙΟΥ 290 ΜΟΙΡΕΣ ΗΡΑΚΛΕΙΟ</v>
      </c>
      <c r="I7453">
        <v>70400</v>
      </c>
      <c r="J7453">
        <v>2892023902</v>
      </c>
      <c r="K7453">
        <v>6974948192</v>
      </c>
      <c r="M7453" t="s">
        <v>11792</v>
      </c>
      <c r="N7453" t="s">
        <v>478</v>
      </c>
      <c r="O7453" t="s">
        <v>479</v>
      </c>
      <c r="R7453" t="s">
        <v>159</v>
      </c>
      <c r="S7453">
        <v>4</v>
      </c>
      <c r="T7453" t="s">
        <v>8675</v>
      </c>
      <c r="U7453" s="1">
        <v>43348</v>
      </c>
      <c r="V7453" t="s">
        <v>80</v>
      </c>
      <c r="W7453" t="s">
        <v>81</v>
      </c>
      <c r="X7453" t="s">
        <v>58</v>
      </c>
      <c r="Y7453">
        <v>14</v>
      </c>
      <c r="Z7453" t="s">
        <v>59</v>
      </c>
      <c r="AA7453" t="s">
        <v>59</v>
      </c>
      <c r="AB7453" t="s">
        <v>59</v>
      </c>
      <c r="AC7453" t="s">
        <v>59</v>
      </c>
      <c r="AD7453" t="s">
        <v>59</v>
      </c>
      <c r="AF7453" s="1">
        <v>43348</v>
      </c>
      <c r="AG7453" t="s">
        <v>8645</v>
      </c>
      <c r="AH7453" t="s">
        <v>8646</v>
      </c>
      <c r="AI7453" t="str">
        <f>"9170270"</f>
        <v>9170270</v>
      </c>
      <c r="AJ7453" t="s">
        <v>9347</v>
      </c>
      <c r="AK7453">
        <v>2892031245</v>
      </c>
      <c r="AL7453" t="s">
        <v>9348</v>
      </c>
      <c r="AM7453" t="s">
        <v>78</v>
      </c>
      <c r="AN7453" t="s">
        <v>405</v>
      </c>
      <c r="AO7453" t="s">
        <v>405</v>
      </c>
      <c r="AP7453" t="s">
        <v>464</v>
      </c>
      <c r="AQ7453">
        <v>17</v>
      </c>
      <c r="AR7453" t="s">
        <v>80</v>
      </c>
      <c r="AS7453" t="s">
        <v>81</v>
      </c>
      <c r="AT7453" t="s">
        <v>58</v>
      </c>
      <c r="AU7453" t="s">
        <v>8686</v>
      </c>
      <c r="AV7453" t="s">
        <v>132</v>
      </c>
      <c r="AW7453" s="1">
        <v>27612</v>
      </c>
      <c r="AX7453">
        <v>1</v>
      </c>
    </row>
    <row r="7454" spans="1:50">
      <c r="A7454">
        <v>556453</v>
      </c>
      <c r="B7454" t="str">
        <f>"063883108"</f>
        <v>063883108</v>
      </c>
      <c r="C7454" t="s">
        <v>50</v>
      </c>
      <c r="D7454" t="s">
        <v>11793</v>
      </c>
      <c r="E7454" t="s">
        <v>11794</v>
      </c>
      <c r="F7454" t="s">
        <v>72</v>
      </c>
      <c r="G7454" t="s">
        <v>658</v>
      </c>
      <c r="H7454" t="str">
        <f>" "</f>
        <v xml:space="preserve"> </v>
      </c>
      <c r="J7454">
        <v>2810230040</v>
      </c>
      <c r="K7454">
        <v>6988623169</v>
      </c>
      <c r="N7454" t="s">
        <v>1525</v>
      </c>
      <c r="O7454" t="s">
        <v>1526</v>
      </c>
      <c r="R7454" t="s">
        <v>57</v>
      </c>
      <c r="S7454">
        <v>14</v>
      </c>
      <c r="T7454">
        <v>161</v>
      </c>
      <c r="U7454" s="1">
        <v>33119</v>
      </c>
      <c r="V7454" t="s">
        <v>80</v>
      </c>
      <c r="W7454" t="s">
        <v>81</v>
      </c>
      <c r="X7454" t="s">
        <v>58</v>
      </c>
      <c r="Y7454">
        <v>25</v>
      </c>
      <c r="Z7454" t="s">
        <v>59</v>
      </c>
      <c r="AA7454" t="s">
        <v>59</v>
      </c>
      <c r="AB7454" t="s">
        <v>59</v>
      </c>
      <c r="AC7454" t="s">
        <v>59</v>
      </c>
      <c r="AD7454" t="s">
        <v>59</v>
      </c>
      <c r="AF7454" s="1">
        <v>33120</v>
      </c>
      <c r="AG7454" t="s">
        <v>8651</v>
      </c>
      <c r="AH7454" t="s">
        <v>8652</v>
      </c>
      <c r="AI7454" t="str">
        <f>"9170105"</f>
        <v>9170105</v>
      </c>
      <c r="AJ7454" t="s">
        <v>10029</v>
      </c>
      <c r="AK7454">
        <v>2810234712</v>
      </c>
      <c r="AL7454" t="s">
        <v>10030</v>
      </c>
      <c r="AM7454" t="s">
        <v>78</v>
      </c>
      <c r="AN7454" t="s">
        <v>78</v>
      </c>
      <c r="AO7454" t="s">
        <v>78</v>
      </c>
      <c r="AP7454" t="s">
        <v>213</v>
      </c>
      <c r="AQ7454">
        <v>1</v>
      </c>
      <c r="AR7454" t="s">
        <v>80</v>
      </c>
      <c r="AS7454" t="s">
        <v>81</v>
      </c>
      <c r="AT7454" t="s">
        <v>58</v>
      </c>
      <c r="AU7454" t="s">
        <v>68</v>
      </c>
      <c r="AV7454" t="s">
        <v>69</v>
      </c>
      <c r="AW7454" s="1">
        <v>23642</v>
      </c>
      <c r="AX7454">
        <v>1</v>
      </c>
    </row>
    <row r="7455" spans="1:50">
      <c r="B7455" t="str">
        <f>"137242872"</f>
        <v>137242872</v>
      </c>
      <c r="C7455" t="s">
        <v>50</v>
      </c>
      <c r="D7455" t="s">
        <v>4329</v>
      </c>
      <c r="E7455" t="s">
        <v>237</v>
      </c>
      <c r="F7455" t="s">
        <v>106</v>
      </c>
      <c r="G7455" t="s">
        <v>52</v>
      </c>
      <c r="H7455" t="str">
        <f>"ΜΑΡΚΟΥ ΚΑΡΑΝΑΣΤΑΣΗ 26 "</f>
        <v xml:space="preserve">ΜΑΡΚΟΥ ΚΑΡΑΝΑΣΤΑΣΗ 26 </v>
      </c>
      <c r="I7455">
        <v>71409</v>
      </c>
      <c r="J7455">
        <v>2810212672</v>
      </c>
      <c r="K7455">
        <v>6932787861</v>
      </c>
      <c r="N7455" t="s">
        <v>337</v>
      </c>
      <c r="O7455" t="s">
        <v>338</v>
      </c>
      <c r="R7455" t="s">
        <v>121</v>
      </c>
      <c r="S7455">
        <v>1</v>
      </c>
      <c r="T7455" t="s">
        <v>9034</v>
      </c>
      <c r="U7455" s="1">
        <v>43377</v>
      </c>
      <c r="V7455" t="s">
        <v>80</v>
      </c>
      <c r="W7455" t="s">
        <v>81</v>
      </c>
      <c r="X7455" t="s">
        <v>58</v>
      </c>
      <c r="Y7455">
        <v>14</v>
      </c>
      <c r="Z7455" t="s">
        <v>59</v>
      </c>
      <c r="AA7455" t="s">
        <v>59</v>
      </c>
      <c r="AB7455" t="s">
        <v>59</v>
      </c>
      <c r="AC7455" t="s">
        <v>59</v>
      </c>
      <c r="AD7455" t="s">
        <v>59</v>
      </c>
      <c r="AF7455" s="1">
        <v>43377</v>
      </c>
      <c r="AG7455" t="s">
        <v>8645</v>
      </c>
      <c r="AH7455" t="s">
        <v>8646</v>
      </c>
      <c r="AI7455" t="str">
        <f>"9170494"</f>
        <v>9170494</v>
      </c>
      <c r="AJ7455" t="s">
        <v>9125</v>
      </c>
      <c r="AK7455">
        <v>2810228361</v>
      </c>
      <c r="AL7455" t="s">
        <v>9126</v>
      </c>
      <c r="AM7455" t="s">
        <v>78</v>
      </c>
      <c r="AN7455" t="s">
        <v>78</v>
      </c>
      <c r="AO7455" t="s">
        <v>78</v>
      </c>
      <c r="AP7455" t="s">
        <v>79</v>
      </c>
      <c r="AQ7455">
        <v>1</v>
      </c>
      <c r="AR7455" t="s">
        <v>80</v>
      </c>
      <c r="AS7455" t="s">
        <v>81</v>
      </c>
      <c r="AT7455" t="s">
        <v>58</v>
      </c>
      <c r="AU7455" t="s">
        <v>8686</v>
      </c>
      <c r="AV7455" t="s">
        <v>132</v>
      </c>
      <c r="AW7455" s="1">
        <v>31689</v>
      </c>
      <c r="AX7455">
        <v>1</v>
      </c>
    </row>
    <row r="7456" spans="1:50">
      <c r="B7456" t="str">
        <f>"078480783"</f>
        <v>078480783</v>
      </c>
      <c r="C7456" t="s">
        <v>50</v>
      </c>
      <c r="D7456" t="s">
        <v>4329</v>
      </c>
      <c r="E7456" t="s">
        <v>263</v>
      </c>
      <c r="F7456" t="s">
        <v>99</v>
      </c>
      <c r="G7456" t="s">
        <v>2409</v>
      </c>
      <c r="H7456" t="str">
        <f>"ΚΑΤΡΕ 9 ΠΟΡΟΣ ΗΡΑΚΛΕΙΟ"</f>
        <v>ΚΑΤΡΕ 9 ΠΟΡΟΣ ΗΡΑΚΛΕΙΟ</v>
      </c>
      <c r="I7456">
        <v>71307</v>
      </c>
      <c r="J7456">
        <v>2810301966</v>
      </c>
      <c r="K7456">
        <v>6944412312</v>
      </c>
      <c r="N7456" t="s">
        <v>1525</v>
      </c>
      <c r="O7456" t="s">
        <v>1526</v>
      </c>
      <c r="R7456" t="s">
        <v>159</v>
      </c>
      <c r="S7456">
        <v>3</v>
      </c>
      <c r="T7456" t="s">
        <v>8670</v>
      </c>
      <c r="U7456" s="1">
        <v>43348</v>
      </c>
      <c r="V7456" t="s">
        <v>80</v>
      </c>
      <c r="W7456" t="s">
        <v>81</v>
      </c>
      <c r="X7456" t="s">
        <v>58</v>
      </c>
      <c r="Y7456">
        <v>25</v>
      </c>
      <c r="Z7456" t="s">
        <v>59</v>
      </c>
      <c r="AA7456" t="s">
        <v>59</v>
      </c>
      <c r="AB7456" t="s">
        <v>59</v>
      </c>
      <c r="AC7456" t="s">
        <v>59</v>
      </c>
      <c r="AD7456" t="s">
        <v>59</v>
      </c>
      <c r="AF7456" s="1">
        <v>43348</v>
      </c>
      <c r="AG7456" t="s">
        <v>8651</v>
      </c>
      <c r="AH7456" t="s">
        <v>8652</v>
      </c>
      <c r="AI7456" t="str">
        <f>"9170390"</f>
        <v>9170390</v>
      </c>
      <c r="AJ7456" t="s">
        <v>10206</v>
      </c>
      <c r="AK7456">
        <v>2810238601</v>
      </c>
      <c r="AL7456" t="s">
        <v>10207</v>
      </c>
      <c r="AM7456" t="s">
        <v>78</v>
      </c>
      <c r="AN7456" t="s">
        <v>78</v>
      </c>
      <c r="AO7456" t="s">
        <v>78</v>
      </c>
      <c r="AP7456" t="s">
        <v>213</v>
      </c>
      <c r="AQ7456">
        <v>1</v>
      </c>
      <c r="AR7456" t="s">
        <v>80</v>
      </c>
      <c r="AS7456" t="s">
        <v>81</v>
      </c>
      <c r="AT7456" t="s">
        <v>58</v>
      </c>
      <c r="AU7456" t="s">
        <v>8673</v>
      </c>
      <c r="AV7456" t="s">
        <v>132</v>
      </c>
      <c r="AW7456" s="1">
        <v>27562</v>
      </c>
      <c r="AX7456">
        <v>1</v>
      </c>
    </row>
    <row r="7457" spans="1:50">
      <c r="A7457">
        <v>621808</v>
      </c>
      <c r="B7457" t="str">
        <f>"150427086"</f>
        <v>150427086</v>
      </c>
      <c r="C7457" t="s">
        <v>50</v>
      </c>
      <c r="D7457" t="s">
        <v>4329</v>
      </c>
      <c r="E7457" t="s">
        <v>52</v>
      </c>
      <c r="F7457" t="s">
        <v>1229</v>
      </c>
      <c r="G7457" t="s">
        <v>801</v>
      </c>
      <c r="H7457" t="str">
        <f>"ΑΣΗΜΙ ΜΟΝΟΦΑΤΣΙΟΥ ΚΟΦΙΝΑΣ-ΗΡΑΚΛΕΙΟΥ"</f>
        <v>ΑΣΗΜΙ ΜΟΝΟΦΑΤΣΙΟΥ ΚΟΦΙΝΑΣ-ΗΡΑΚΛΕΙΟΥ</v>
      </c>
      <c r="I7457">
        <v>70016</v>
      </c>
      <c r="J7457">
        <v>2893032304</v>
      </c>
      <c r="K7457">
        <v>6977272537</v>
      </c>
      <c r="M7457" t="s">
        <v>11795</v>
      </c>
      <c r="N7457" t="s">
        <v>615</v>
      </c>
      <c r="O7457" t="s">
        <v>616</v>
      </c>
      <c r="R7457" t="s">
        <v>57</v>
      </c>
      <c r="S7457">
        <v>4</v>
      </c>
      <c r="T7457">
        <v>653</v>
      </c>
      <c r="U7457" s="1">
        <v>40043</v>
      </c>
      <c r="V7457" t="s">
        <v>80</v>
      </c>
      <c r="W7457" t="s">
        <v>81</v>
      </c>
      <c r="X7457" t="s">
        <v>58</v>
      </c>
      <c r="Y7457">
        <v>24</v>
      </c>
      <c r="Z7457" t="s">
        <v>59</v>
      </c>
      <c r="AA7457" t="s">
        <v>59</v>
      </c>
      <c r="AB7457" t="s">
        <v>59</v>
      </c>
      <c r="AC7457" t="s">
        <v>59</v>
      </c>
      <c r="AD7457" t="s">
        <v>59</v>
      </c>
      <c r="AF7457" s="1">
        <v>40043</v>
      </c>
      <c r="AG7457" t="s">
        <v>8645</v>
      </c>
      <c r="AH7457" t="s">
        <v>8646</v>
      </c>
      <c r="AI7457" t="str">
        <f>"9170126"</f>
        <v>9170126</v>
      </c>
      <c r="AJ7457" t="s">
        <v>9041</v>
      </c>
      <c r="AK7457">
        <v>2810871213</v>
      </c>
      <c r="AL7457" t="s">
        <v>9042</v>
      </c>
      <c r="AM7457" t="s">
        <v>78</v>
      </c>
      <c r="AN7457" t="s">
        <v>78</v>
      </c>
      <c r="AO7457" t="s">
        <v>437</v>
      </c>
      <c r="AP7457" t="s">
        <v>438</v>
      </c>
      <c r="AQ7457">
        <v>5</v>
      </c>
      <c r="AR7457" t="s">
        <v>80</v>
      </c>
      <c r="AS7457" t="s">
        <v>81</v>
      </c>
      <c r="AT7457" t="s">
        <v>58</v>
      </c>
      <c r="AU7457" t="s">
        <v>68</v>
      </c>
      <c r="AV7457" t="s">
        <v>69</v>
      </c>
      <c r="AW7457" s="1">
        <v>31820</v>
      </c>
      <c r="AX7457">
        <v>1</v>
      </c>
    </row>
    <row r="7458" spans="1:50">
      <c r="B7458" t="str">
        <f>"100132374"</f>
        <v>100132374</v>
      </c>
      <c r="C7458" t="s">
        <v>50</v>
      </c>
      <c r="D7458" t="s">
        <v>4329</v>
      </c>
      <c r="E7458" t="s">
        <v>11796</v>
      </c>
      <c r="F7458" t="s">
        <v>166</v>
      </c>
      <c r="G7458" t="s">
        <v>181</v>
      </c>
      <c r="H7458" t="str">
        <f>"ΑΡΒΗ-ΒΙΑΝΝΟΥ ΗΡΑΚΛΕΙΟΥ "</f>
        <v xml:space="preserve">ΑΡΒΗ-ΒΙΑΝΝΟΥ ΗΡΑΚΛΕΙΟΥ </v>
      </c>
      <c r="I7458">
        <v>70004</v>
      </c>
      <c r="J7458">
        <v>2895071298</v>
      </c>
      <c r="K7458">
        <v>6974326864</v>
      </c>
      <c r="N7458" t="s">
        <v>615</v>
      </c>
      <c r="O7458" t="s">
        <v>616</v>
      </c>
      <c r="R7458" t="s">
        <v>159</v>
      </c>
      <c r="S7458">
        <v>1</v>
      </c>
      <c r="T7458" t="s">
        <v>8675</v>
      </c>
      <c r="U7458" s="1">
        <v>43348</v>
      </c>
      <c r="V7458" t="s">
        <v>80</v>
      </c>
      <c r="W7458" t="s">
        <v>81</v>
      </c>
      <c r="X7458" t="s">
        <v>58</v>
      </c>
      <c r="Y7458">
        <v>25</v>
      </c>
      <c r="Z7458" t="s">
        <v>59</v>
      </c>
      <c r="AA7458" t="s">
        <v>59</v>
      </c>
      <c r="AB7458" t="s">
        <v>59</v>
      </c>
      <c r="AC7458" t="s">
        <v>59</v>
      </c>
      <c r="AD7458" t="s">
        <v>59</v>
      </c>
      <c r="AF7458" s="1">
        <v>43348</v>
      </c>
      <c r="AG7458" t="s">
        <v>8645</v>
      </c>
      <c r="AH7458" t="s">
        <v>8676</v>
      </c>
      <c r="AI7458" t="str">
        <f>"9170173"</f>
        <v>9170173</v>
      </c>
      <c r="AJ7458" t="s">
        <v>10094</v>
      </c>
      <c r="AK7458">
        <v>2895041441</v>
      </c>
      <c r="AL7458" t="s">
        <v>10095</v>
      </c>
      <c r="AM7458" t="s">
        <v>78</v>
      </c>
      <c r="AN7458" t="s">
        <v>482</v>
      </c>
      <c r="AO7458" t="s">
        <v>482</v>
      </c>
      <c r="AP7458" t="s">
        <v>10096</v>
      </c>
      <c r="AQ7458">
        <v>12</v>
      </c>
      <c r="AR7458" t="s">
        <v>80</v>
      </c>
      <c r="AS7458" t="s">
        <v>81</v>
      </c>
      <c r="AT7458" t="s">
        <v>58</v>
      </c>
      <c r="AU7458" t="s">
        <v>8673</v>
      </c>
      <c r="AV7458" t="s">
        <v>132</v>
      </c>
      <c r="AW7458" s="1">
        <v>30435</v>
      </c>
      <c r="AX7458">
        <v>1</v>
      </c>
    </row>
    <row r="7459" spans="1:50">
      <c r="A7459">
        <v>605796</v>
      </c>
      <c r="B7459" t="str">
        <f>"110113400"</f>
        <v>110113400</v>
      </c>
      <c r="C7459" t="s">
        <v>50</v>
      </c>
      <c r="D7459" t="s">
        <v>11797</v>
      </c>
      <c r="E7459" t="s">
        <v>513</v>
      </c>
      <c r="F7459" t="s">
        <v>84</v>
      </c>
      <c r="G7459" t="s">
        <v>83</v>
      </c>
      <c r="H7459" t="str">
        <f>"ΣΚΑΡΛΑΦΤΗ 4 Ν. ΑΛΙΚΑΡΝΑΣΣΟΣ"</f>
        <v>ΣΚΑΡΛΑΦΤΗ 4 Ν. ΑΛΙΚΑΡΝΑΣΣΟΣ</v>
      </c>
      <c r="I7459">
        <v>71601</v>
      </c>
      <c r="J7459">
        <v>2813010965</v>
      </c>
      <c r="K7459">
        <v>6973229485</v>
      </c>
      <c r="N7459" t="s">
        <v>615</v>
      </c>
      <c r="O7459" t="s">
        <v>616</v>
      </c>
      <c r="R7459" t="s">
        <v>57</v>
      </c>
      <c r="S7459">
        <v>7</v>
      </c>
      <c r="T7459">
        <v>231</v>
      </c>
      <c r="U7459" s="1">
        <v>38230</v>
      </c>
      <c r="V7459" t="s">
        <v>80</v>
      </c>
      <c r="W7459" t="s">
        <v>81</v>
      </c>
      <c r="X7459" t="s">
        <v>58</v>
      </c>
      <c r="Y7459">
        <v>22</v>
      </c>
      <c r="Z7459" t="s">
        <v>59</v>
      </c>
      <c r="AA7459" t="s">
        <v>59</v>
      </c>
      <c r="AB7459" t="s">
        <v>59</v>
      </c>
      <c r="AC7459" t="s">
        <v>59</v>
      </c>
      <c r="AD7459" t="s">
        <v>59</v>
      </c>
      <c r="AF7459" s="1">
        <v>38231</v>
      </c>
      <c r="AG7459" t="s">
        <v>8645</v>
      </c>
      <c r="AH7459" t="s">
        <v>8646</v>
      </c>
      <c r="AI7459" t="str">
        <f>"9170198"</f>
        <v>9170198</v>
      </c>
      <c r="AJ7459" t="s">
        <v>8665</v>
      </c>
      <c r="AK7459">
        <v>2810227379</v>
      </c>
      <c r="AL7459" t="s">
        <v>8666</v>
      </c>
      <c r="AM7459" t="s">
        <v>78</v>
      </c>
      <c r="AN7459" t="s">
        <v>78</v>
      </c>
      <c r="AO7459" t="s">
        <v>78</v>
      </c>
      <c r="AP7459" t="s">
        <v>79</v>
      </c>
      <c r="AQ7459">
        <v>1</v>
      </c>
      <c r="AR7459" t="s">
        <v>80</v>
      </c>
      <c r="AS7459" t="s">
        <v>81</v>
      </c>
      <c r="AT7459" t="s">
        <v>58</v>
      </c>
      <c r="AU7459" t="s">
        <v>68</v>
      </c>
      <c r="AV7459" t="s">
        <v>69</v>
      </c>
      <c r="AW7459" s="1">
        <v>28907</v>
      </c>
      <c r="AX7459">
        <v>1</v>
      </c>
    </row>
    <row r="7460" spans="1:50">
      <c r="A7460">
        <v>604391</v>
      </c>
      <c r="B7460" t="str">
        <f>"064164081"</f>
        <v>064164081</v>
      </c>
      <c r="C7460" t="s">
        <v>105</v>
      </c>
      <c r="D7460" t="s">
        <v>4332</v>
      </c>
      <c r="E7460" t="s">
        <v>631</v>
      </c>
      <c r="F7460" t="s">
        <v>154</v>
      </c>
      <c r="G7460" t="s">
        <v>52</v>
      </c>
      <c r="H7460" t="str">
        <f>"ΔΗΜΗΤΡΙΟΥ ΓΛΗΝΟΥ 42 ΗΡΑΚΛΕΙΟ"</f>
        <v>ΔΗΜΗΤΡΙΟΥ ΓΛΗΝΟΥ 42 ΗΡΑΚΛΕΙΟ</v>
      </c>
      <c r="I7460">
        <v>71304</v>
      </c>
      <c r="J7460">
        <v>2810250188</v>
      </c>
      <c r="K7460">
        <v>6942640075</v>
      </c>
      <c r="N7460" t="s">
        <v>615</v>
      </c>
      <c r="O7460" t="s">
        <v>616</v>
      </c>
      <c r="P7460" t="s">
        <v>246</v>
      </c>
      <c r="Q7460" t="s">
        <v>247</v>
      </c>
      <c r="R7460" t="s">
        <v>57</v>
      </c>
      <c r="S7460">
        <v>9</v>
      </c>
      <c r="T7460">
        <v>231</v>
      </c>
      <c r="U7460" s="1">
        <v>38230</v>
      </c>
      <c r="V7460" t="s">
        <v>80</v>
      </c>
      <c r="W7460" t="s">
        <v>81</v>
      </c>
      <c r="X7460" t="s">
        <v>58</v>
      </c>
      <c r="Y7460">
        <v>23</v>
      </c>
      <c r="Z7460" t="s">
        <v>59</v>
      </c>
      <c r="AA7460" t="s">
        <v>59</v>
      </c>
      <c r="AB7460" t="s">
        <v>59</v>
      </c>
      <c r="AC7460" t="s">
        <v>59</v>
      </c>
      <c r="AD7460" t="s">
        <v>59</v>
      </c>
      <c r="AF7460" s="1">
        <v>38231</v>
      </c>
      <c r="AG7460" t="s">
        <v>8645</v>
      </c>
      <c r="AH7460" t="s">
        <v>8646</v>
      </c>
      <c r="AI7460" t="str">
        <f>"9170425"</f>
        <v>9170425</v>
      </c>
      <c r="AJ7460" t="s">
        <v>9350</v>
      </c>
      <c r="AK7460">
        <v>2810250261</v>
      </c>
      <c r="AL7460" t="s">
        <v>9351</v>
      </c>
      <c r="AM7460" t="s">
        <v>78</v>
      </c>
      <c r="AN7460" t="s">
        <v>78</v>
      </c>
      <c r="AO7460" t="s">
        <v>78</v>
      </c>
      <c r="AP7460" t="s">
        <v>141</v>
      </c>
      <c r="AQ7460">
        <v>1</v>
      </c>
      <c r="AR7460" t="s">
        <v>80</v>
      </c>
      <c r="AS7460" t="s">
        <v>81</v>
      </c>
      <c r="AT7460" t="s">
        <v>58</v>
      </c>
      <c r="AU7460" t="s">
        <v>68</v>
      </c>
      <c r="AV7460" t="s">
        <v>69</v>
      </c>
      <c r="AW7460" s="1">
        <v>27481</v>
      </c>
      <c r="AX7460">
        <v>1</v>
      </c>
    </row>
    <row r="7461" spans="1:50">
      <c r="A7461">
        <v>566912</v>
      </c>
      <c r="B7461" t="str">
        <f>"043091140"</f>
        <v>043091140</v>
      </c>
      <c r="C7461" t="s">
        <v>50</v>
      </c>
      <c r="D7461" t="s">
        <v>11798</v>
      </c>
      <c r="E7461" t="s">
        <v>83</v>
      </c>
      <c r="F7461" t="s">
        <v>794</v>
      </c>
      <c r="G7461" t="s">
        <v>181</v>
      </c>
      <c r="H7461" t="str">
        <f>"ΦΟΙΝΙΚΟΣ 12 ΗΡΑΚΛΕΙΟ"</f>
        <v>ΦΟΙΝΙΚΟΣ 12 ΗΡΑΚΛΕΙΟ</v>
      </c>
      <c r="I7461">
        <v>71305</v>
      </c>
      <c r="J7461">
        <v>2810253456</v>
      </c>
      <c r="N7461" t="s">
        <v>615</v>
      </c>
      <c r="O7461" t="s">
        <v>616</v>
      </c>
      <c r="R7461" t="s">
        <v>57</v>
      </c>
      <c r="S7461">
        <v>14</v>
      </c>
      <c r="T7461">
        <v>133</v>
      </c>
      <c r="U7461" s="1">
        <v>33456</v>
      </c>
      <c r="V7461" t="s">
        <v>80</v>
      </c>
      <c r="W7461" t="s">
        <v>81</v>
      </c>
      <c r="X7461" t="s">
        <v>58</v>
      </c>
      <c r="Y7461">
        <v>21</v>
      </c>
      <c r="Z7461" t="s">
        <v>59</v>
      </c>
      <c r="AA7461" t="s">
        <v>59</v>
      </c>
      <c r="AB7461" t="s">
        <v>59</v>
      </c>
      <c r="AC7461" t="s">
        <v>59</v>
      </c>
      <c r="AD7461" t="s">
        <v>59</v>
      </c>
      <c r="AF7461" s="1">
        <v>33485</v>
      </c>
      <c r="AG7461" t="s">
        <v>8645</v>
      </c>
      <c r="AH7461" t="s">
        <v>8646</v>
      </c>
      <c r="AI7461" t="str">
        <f>"9170532"</f>
        <v>9170532</v>
      </c>
      <c r="AJ7461" t="s">
        <v>8945</v>
      </c>
      <c r="AK7461">
        <v>2810250330</v>
      </c>
      <c r="AL7461" t="s">
        <v>8946</v>
      </c>
      <c r="AM7461" t="s">
        <v>78</v>
      </c>
      <c r="AN7461" t="s">
        <v>78</v>
      </c>
      <c r="AO7461" t="s">
        <v>78</v>
      </c>
      <c r="AP7461" t="s">
        <v>141</v>
      </c>
      <c r="AQ7461">
        <v>1</v>
      </c>
      <c r="AR7461" t="s">
        <v>80</v>
      </c>
      <c r="AS7461" t="s">
        <v>81</v>
      </c>
      <c r="AT7461" t="s">
        <v>58</v>
      </c>
      <c r="AU7461" t="s">
        <v>68</v>
      </c>
      <c r="AV7461" t="s">
        <v>69</v>
      </c>
      <c r="AW7461" s="1">
        <v>20847</v>
      </c>
      <c r="AX7461">
        <v>1</v>
      </c>
    </row>
    <row r="7462" spans="1:50">
      <c r="A7462">
        <v>618788</v>
      </c>
      <c r="B7462" t="str">
        <f>"135751892"</f>
        <v>135751892</v>
      </c>
      <c r="C7462" t="s">
        <v>50</v>
      </c>
      <c r="D7462" t="s">
        <v>11798</v>
      </c>
      <c r="E7462" t="s">
        <v>52</v>
      </c>
      <c r="F7462" t="s">
        <v>84</v>
      </c>
      <c r="G7462" t="s">
        <v>155</v>
      </c>
      <c r="H7462" t="str">
        <f>"ΚΑΡΑΟΛΗ-ΔΗΜΗΤΡΙΟΥ 157Β ΘΕΣΣΑΛΟΝΙΚΗ"</f>
        <v>ΚΑΡΑΟΛΗ-ΔΗΜΗΤΡΙΟΥ 157Β ΘΕΣΣΑΛΟΝΙΚΗ</v>
      </c>
      <c r="I7462">
        <v>56224</v>
      </c>
      <c r="J7462">
        <v>2310607122</v>
      </c>
      <c r="K7462">
        <v>6945170647</v>
      </c>
      <c r="M7462" t="s">
        <v>11799</v>
      </c>
      <c r="N7462" t="s">
        <v>615</v>
      </c>
      <c r="O7462" t="s">
        <v>616</v>
      </c>
      <c r="R7462" t="s">
        <v>57</v>
      </c>
      <c r="S7462">
        <v>7</v>
      </c>
      <c r="T7462">
        <v>774</v>
      </c>
      <c r="U7462" s="1">
        <v>39680</v>
      </c>
      <c r="V7462" t="s">
        <v>80</v>
      </c>
      <c r="W7462" t="s">
        <v>81</v>
      </c>
      <c r="X7462" t="s">
        <v>58</v>
      </c>
      <c r="Y7462">
        <v>23</v>
      </c>
      <c r="Z7462" t="s">
        <v>59</v>
      </c>
      <c r="AA7462" t="s">
        <v>59</v>
      </c>
      <c r="AB7462" t="s">
        <v>59</v>
      </c>
      <c r="AC7462" t="s">
        <v>59</v>
      </c>
      <c r="AD7462" t="s">
        <v>452</v>
      </c>
      <c r="AE7462" s="1">
        <v>43708</v>
      </c>
      <c r="AF7462" s="1">
        <v>39681</v>
      </c>
      <c r="AG7462" t="s">
        <v>8645</v>
      </c>
      <c r="AH7462" t="s">
        <v>8646</v>
      </c>
      <c r="AI7462" t="str">
        <f>"9170285"</f>
        <v>9170285</v>
      </c>
      <c r="AJ7462" t="s">
        <v>9186</v>
      </c>
      <c r="AK7462">
        <v>2894031223</v>
      </c>
      <c r="AL7462" t="s">
        <v>9187</v>
      </c>
      <c r="AM7462" t="s">
        <v>78</v>
      </c>
      <c r="AN7462" t="s">
        <v>242</v>
      </c>
      <c r="AO7462" t="s">
        <v>999</v>
      </c>
      <c r="AP7462" t="s">
        <v>999</v>
      </c>
      <c r="AQ7462">
        <v>21</v>
      </c>
      <c r="AR7462" t="s">
        <v>80</v>
      </c>
      <c r="AS7462" t="s">
        <v>81</v>
      </c>
      <c r="AT7462" t="s">
        <v>58</v>
      </c>
      <c r="AU7462" t="s">
        <v>68</v>
      </c>
      <c r="AV7462" t="s">
        <v>69</v>
      </c>
      <c r="AW7462" s="1">
        <v>31187</v>
      </c>
      <c r="AX7462">
        <v>1</v>
      </c>
    </row>
    <row r="7463" spans="1:50">
      <c r="A7463">
        <v>600392</v>
      </c>
      <c r="B7463" t="str">
        <f>"054827659"</f>
        <v>054827659</v>
      </c>
      <c r="C7463" t="s">
        <v>50</v>
      </c>
      <c r="D7463" t="s">
        <v>11798</v>
      </c>
      <c r="E7463" t="s">
        <v>3172</v>
      </c>
      <c r="F7463" t="s">
        <v>72</v>
      </c>
      <c r="G7463" t="s">
        <v>221</v>
      </c>
      <c r="H7463" t="str">
        <f>"ΙΟΣ ΚΥΚΛΑΔΕΣ"</f>
        <v>ΙΟΣ ΚΥΚΛΑΔΕΣ</v>
      </c>
      <c r="J7463">
        <v>2286091541</v>
      </c>
      <c r="K7463">
        <v>6934217888</v>
      </c>
      <c r="N7463" t="s">
        <v>615</v>
      </c>
      <c r="O7463" t="s">
        <v>616</v>
      </c>
      <c r="R7463" t="s">
        <v>57</v>
      </c>
      <c r="S7463">
        <v>11</v>
      </c>
      <c r="T7463" t="s">
        <v>11800</v>
      </c>
      <c r="U7463" s="1">
        <v>37497</v>
      </c>
      <c r="V7463" t="s">
        <v>80</v>
      </c>
      <c r="W7463" t="s">
        <v>81</v>
      </c>
      <c r="X7463" t="s">
        <v>58</v>
      </c>
      <c r="Y7463">
        <v>21</v>
      </c>
      <c r="Z7463" t="s">
        <v>59</v>
      </c>
      <c r="AA7463" t="s">
        <v>59</v>
      </c>
      <c r="AB7463" t="s">
        <v>59</v>
      </c>
      <c r="AC7463" t="s">
        <v>59</v>
      </c>
      <c r="AD7463" t="s">
        <v>59</v>
      </c>
      <c r="AF7463" s="1">
        <v>37501</v>
      </c>
      <c r="AG7463" t="s">
        <v>8645</v>
      </c>
      <c r="AH7463" t="s">
        <v>8646</v>
      </c>
      <c r="AI7463" t="str">
        <f>"9170516"</f>
        <v>9170516</v>
      </c>
      <c r="AJ7463" t="s">
        <v>8746</v>
      </c>
      <c r="AK7463">
        <v>2810236861</v>
      </c>
      <c r="AL7463" t="s">
        <v>8747</v>
      </c>
      <c r="AM7463" t="s">
        <v>78</v>
      </c>
      <c r="AN7463" t="s">
        <v>78</v>
      </c>
      <c r="AO7463" t="s">
        <v>78</v>
      </c>
      <c r="AP7463" t="s">
        <v>163</v>
      </c>
      <c r="AQ7463">
        <v>1</v>
      </c>
      <c r="AR7463" t="s">
        <v>80</v>
      </c>
      <c r="AS7463" t="s">
        <v>81</v>
      </c>
      <c r="AT7463" t="s">
        <v>58</v>
      </c>
      <c r="AU7463" t="s">
        <v>68</v>
      </c>
      <c r="AV7463" t="s">
        <v>69</v>
      </c>
      <c r="AW7463" s="1">
        <v>24321</v>
      </c>
      <c r="AX7463">
        <v>1</v>
      </c>
    </row>
    <row r="7464" spans="1:50">
      <c r="B7464" t="str">
        <f>"112720950"</f>
        <v>112720950</v>
      </c>
      <c r="C7464" t="s">
        <v>50</v>
      </c>
      <c r="D7464" t="s">
        <v>11801</v>
      </c>
      <c r="E7464" t="s">
        <v>112</v>
      </c>
      <c r="F7464" t="s">
        <v>230</v>
      </c>
      <c r="G7464" t="s">
        <v>484</v>
      </c>
      <c r="H7464" t="str">
        <f>"ΑΓ ΤΡΙΑΔΟΣ 32Β ΠΕΥΚΑ ΘΕΣΣΑΛΟΝΙΚΗ"</f>
        <v>ΑΓ ΤΡΙΑΔΟΣ 32Β ΠΕΥΚΑ ΘΕΣΣΑΛΟΝΙΚΗ</v>
      </c>
      <c r="I7464">
        <v>57010</v>
      </c>
      <c r="J7464">
        <v>2310676561</v>
      </c>
      <c r="K7464">
        <v>6937106363</v>
      </c>
      <c r="N7464" t="s">
        <v>478</v>
      </c>
      <c r="O7464" t="s">
        <v>479</v>
      </c>
      <c r="R7464" t="s">
        <v>121</v>
      </c>
      <c r="S7464">
        <v>1</v>
      </c>
      <c r="T7464" t="s">
        <v>8675</v>
      </c>
      <c r="U7464" s="1">
        <v>43348</v>
      </c>
      <c r="V7464" t="s">
        <v>80</v>
      </c>
      <c r="W7464" t="s">
        <v>81</v>
      </c>
      <c r="X7464" t="s">
        <v>58</v>
      </c>
      <c r="Y7464">
        <v>14</v>
      </c>
      <c r="Z7464" t="s">
        <v>59</v>
      </c>
      <c r="AA7464" t="s">
        <v>59</v>
      </c>
      <c r="AB7464" t="s">
        <v>59</v>
      </c>
      <c r="AC7464" t="s">
        <v>59</v>
      </c>
      <c r="AD7464" t="s">
        <v>59</v>
      </c>
      <c r="AF7464" s="1">
        <v>43348</v>
      </c>
      <c r="AG7464" t="s">
        <v>8645</v>
      </c>
      <c r="AH7464" t="s">
        <v>8646</v>
      </c>
      <c r="AI7464" t="str">
        <f>"9170205"</f>
        <v>9170205</v>
      </c>
      <c r="AJ7464" t="s">
        <v>8794</v>
      </c>
      <c r="AK7464">
        <v>2810762030</v>
      </c>
      <c r="AL7464" t="s">
        <v>8795</v>
      </c>
      <c r="AM7464" t="s">
        <v>78</v>
      </c>
      <c r="AN7464" t="s">
        <v>219</v>
      </c>
      <c r="AO7464" t="s">
        <v>297</v>
      </c>
      <c r="AP7464" t="s">
        <v>8796</v>
      </c>
      <c r="AQ7464">
        <v>7</v>
      </c>
      <c r="AR7464" t="s">
        <v>80</v>
      </c>
      <c r="AS7464" t="s">
        <v>81</v>
      </c>
      <c r="AT7464" t="s">
        <v>58</v>
      </c>
      <c r="AU7464" t="s">
        <v>8686</v>
      </c>
      <c r="AV7464" t="s">
        <v>132</v>
      </c>
      <c r="AW7464" s="1">
        <v>29030</v>
      </c>
      <c r="AX7464">
        <v>1</v>
      </c>
    </row>
    <row r="7465" spans="1:50">
      <c r="A7465">
        <v>574664</v>
      </c>
      <c r="B7465" t="str">
        <f>"039451902"</f>
        <v>039451902</v>
      </c>
      <c r="C7465" t="s">
        <v>105</v>
      </c>
      <c r="D7465" t="s">
        <v>4337</v>
      </c>
      <c r="E7465" t="s">
        <v>108</v>
      </c>
      <c r="F7465" t="s">
        <v>95</v>
      </c>
      <c r="G7465" t="s">
        <v>842</v>
      </c>
      <c r="H7465" t="str">
        <f>"ΑΓ. ΓΕΩΡΓΙΟΣ Τ.Θ. 20 ΓΑΖΙ ΗΡΑΚΛΕΙΟΥ"</f>
        <v>ΑΓ. ΓΕΩΡΓΙΟΣ Τ.Θ. 20 ΓΑΖΙ ΗΡΑΚΛΕΙΟΥ</v>
      </c>
      <c r="I7465">
        <v>71500</v>
      </c>
      <c r="J7465">
        <v>2810822661</v>
      </c>
      <c r="K7465">
        <v>6948570418</v>
      </c>
      <c r="M7465" t="s">
        <v>11802</v>
      </c>
      <c r="N7465" t="s">
        <v>306</v>
      </c>
      <c r="O7465" t="s">
        <v>307</v>
      </c>
      <c r="R7465" t="s">
        <v>57</v>
      </c>
      <c r="S7465">
        <v>12</v>
      </c>
      <c r="T7465">
        <v>158</v>
      </c>
      <c r="U7465" s="1">
        <v>34582</v>
      </c>
      <c r="V7465" t="s">
        <v>80</v>
      </c>
      <c r="W7465" t="s">
        <v>81</v>
      </c>
      <c r="X7465" t="s">
        <v>58</v>
      </c>
      <c r="Y7465">
        <v>21</v>
      </c>
      <c r="Z7465" t="s">
        <v>59</v>
      </c>
      <c r="AA7465" t="s">
        <v>59</v>
      </c>
      <c r="AB7465" t="s">
        <v>59</v>
      </c>
      <c r="AC7465" t="s">
        <v>59</v>
      </c>
      <c r="AD7465" t="s">
        <v>59</v>
      </c>
      <c r="AF7465" s="1">
        <v>34582</v>
      </c>
      <c r="AG7465" t="s">
        <v>8645</v>
      </c>
      <c r="AH7465" t="s">
        <v>8646</v>
      </c>
      <c r="AI7465" t="str">
        <f>"9170547"</f>
        <v>9170547</v>
      </c>
      <c r="AJ7465" t="s">
        <v>9175</v>
      </c>
      <c r="AK7465">
        <v>2810250886</v>
      </c>
      <c r="AL7465" t="s">
        <v>9176</v>
      </c>
      <c r="AM7465" t="s">
        <v>78</v>
      </c>
      <c r="AN7465" t="s">
        <v>78</v>
      </c>
      <c r="AO7465" t="s">
        <v>78</v>
      </c>
      <c r="AP7465" t="s">
        <v>141</v>
      </c>
      <c r="AQ7465">
        <v>1</v>
      </c>
      <c r="AR7465" t="s">
        <v>80</v>
      </c>
      <c r="AS7465" t="s">
        <v>81</v>
      </c>
      <c r="AT7465" t="s">
        <v>58</v>
      </c>
      <c r="AU7465" t="s">
        <v>68</v>
      </c>
      <c r="AV7465" t="s">
        <v>69</v>
      </c>
      <c r="AW7465" s="1">
        <v>25405</v>
      </c>
      <c r="AX7465">
        <v>1</v>
      </c>
    </row>
    <row r="7466" spans="1:50">
      <c r="A7466">
        <v>618644</v>
      </c>
      <c r="B7466" t="str">
        <f>"137748428"</f>
        <v>137748428</v>
      </c>
      <c r="C7466" t="s">
        <v>50</v>
      </c>
      <c r="D7466" t="s">
        <v>11803</v>
      </c>
      <c r="E7466" t="s">
        <v>109</v>
      </c>
      <c r="F7466" t="s">
        <v>92</v>
      </c>
      <c r="G7466" t="s">
        <v>710</v>
      </c>
      <c r="H7466" t="str">
        <f>"ΑΝ.ΝΙΚΟΛΑΪΔΗ 18 ΠΤΟΛΕΜΑΪΔΑ"</f>
        <v>ΑΝ.ΝΙΚΟΛΑΪΔΗ 18 ΠΤΟΛΕΜΑΪΔΑ</v>
      </c>
      <c r="I7466">
        <v>50200</v>
      </c>
      <c r="J7466">
        <v>2463024972</v>
      </c>
      <c r="K7466">
        <v>6949203530</v>
      </c>
      <c r="N7466" t="s">
        <v>615</v>
      </c>
      <c r="O7466" t="s">
        <v>616</v>
      </c>
      <c r="R7466" t="s">
        <v>57</v>
      </c>
      <c r="S7466">
        <v>5</v>
      </c>
      <c r="T7466">
        <v>774</v>
      </c>
      <c r="U7466" s="1">
        <v>39680</v>
      </c>
      <c r="V7466" t="s">
        <v>80</v>
      </c>
      <c r="W7466" t="s">
        <v>81</v>
      </c>
      <c r="X7466" t="s">
        <v>58</v>
      </c>
      <c r="Y7466">
        <v>23</v>
      </c>
      <c r="Z7466" t="s">
        <v>59</v>
      </c>
      <c r="AA7466" t="s">
        <v>59</v>
      </c>
      <c r="AB7466" t="s">
        <v>59</v>
      </c>
      <c r="AC7466" t="s">
        <v>59</v>
      </c>
      <c r="AD7466" t="s">
        <v>59</v>
      </c>
      <c r="AF7466" s="1">
        <v>39685</v>
      </c>
      <c r="AG7466" t="s">
        <v>8645</v>
      </c>
      <c r="AH7466" t="s">
        <v>8646</v>
      </c>
      <c r="AI7466" t="str">
        <f>"9170039"</f>
        <v>9170039</v>
      </c>
      <c r="AJ7466" t="s">
        <v>8804</v>
      </c>
      <c r="AK7466">
        <v>2894022231</v>
      </c>
      <c r="AL7466" t="s">
        <v>8805</v>
      </c>
      <c r="AM7466" t="s">
        <v>78</v>
      </c>
      <c r="AN7466" t="s">
        <v>405</v>
      </c>
      <c r="AO7466" t="s">
        <v>406</v>
      </c>
      <c r="AP7466" t="s">
        <v>406</v>
      </c>
      <c r="AQ7466">
        <v>6</v>
      </c>
      <c r="AR7466" t="s">
        <v>80</v>
      </c>
      <c r="AS7466" t="s">
        <v>81</v>
      </c>
      <c r="AT7466" t="s">
        <v>58</v>
      </c>
      <c r="AU7466" t="s">
        <v>68</v>
      </c>
      <c r="AV7466" t="s">
        <v>69</v>
      </c>
      <c r="AW7466" s="1">
        <v>30877</v>
      </c>
      <c r="AX7466">
        <v>1</v>
      </c>
    </row>
    <row r="7467" spans="1:50">
      <c r="A7467">
        <v>568874</v>
      </c>
      <c r="B7467" t="str">
        <f>"066364770"</f>
        <v>066364770</v>
      </c>
      <c r="C7467" t="s">
        <v>50</v>
      </c>
      <c r="D7467" t="s">
        <v>4341</v>
      </c>
      <c r="E7467" t="s">
        <v>181</v>
      </c>
      <c r="F7467" t="s">
        <v>99</v>
      </c>
      <c r="G7467" t="s">
        <v>52</v>
      </c>
      <c r="H7467" t="str">
        <f>"ΛΕΒΗΝΟΥ 6 ΗΡΑΚΛΕΙΟ"</f>
        <v>ΛΕΒΗΝΟΥ 6 ΗΡΑΚΛΕΙΟ</v>
      </c>
      <c r="I7467">
        <v>71304</v>
      </c>
      <c r="J7467">
        <v>2810310508</v>
      </c>
      <c r="K7467">
        <v>6977411036</v>
      </c>
      <c r="N7467" t="s">
        <v>615</v>
      </c>
      <c r="O7467" t="s">
        <v>616</v>
      </c>
      <c r="R7467" t="s">
        <v>57</v>
      </c>
      <c r="S7467">
        <v>14</v>
      </c>
      <c r="T7467">
        <v>162</v>
      </c>
      <c r="U7467" s="1">
        <v>33844</v>
      </c>
      <c r="V7467" t="s">
        <v>80</v>
      </c>
      <c r="W7467" t="s">
        <v>81</v>
      </c>
      <c r="X7467" t="s">
        <v>58</v>
      </c>
      <c r="Y7467">
        <v>21</v>
      </c>
      <c r="Z7467" t="s">
        <v>59</v>
      </c>
      <c r="AA7467" t="s">
        <v>59</v>
      </c>
      <c r="AB7467" t="s">
        <v>59</v>
      </c>
      <c r="AC7467" t="s">
        <v>59</v>
      </c>
      <c r="AD7467" t="s">
        <v>59</v>
      </c>
      <c r="AF7467" s="1">
        <v>33848</v>
      </c>
      <c r="AG7467" t="s">
        <v>8645</v>
      </c>
      <c r="AH7467" t="s">
        <v>8646</v>
      </c>
      <c r="AI7467" t="str">
        <f>"9170054"</f>
        <v>9170054</v>
      </c>
      <c r="AJ7467" t="s">
        <v>9106</v>
      </c>
      <c r="AK7467">
        <v>2810254527</v>
      </c>
      <c r="AL7467" t="s">
        <v>9107</v>
      </c>
      <c r="AM7467" t="s">
        <v>78</v>
      </c>
      <c r="AN7467" t="s">
        <v>78</v>
      </c>
      <c r="AO7467" t="s">
        <v>78</v>
      </c>
      <c r="AP7467" t="s">
        <v>163</v>
      </c>
      <c r="AQ7467">
        <v>1</v>
      </c>
      <c r="AR7467" t="s">
        <v>80</v>
      </c>
      <c r="AS7467" t="s">
        <v>81</v>
      </c>
      <c r="AT7467" t="s">
        <v>58</v>
      </c>
      <c r="AU7467" t="s">
        <v>68</v>
      </c>
      <c r="AV7467" t="s">
        <v>69</v>
      </c>
      <c r="AW7467" s="1">
        <v>24144</v>
      </c>
      <c r="AX7467">
        <v>1</v>
      </c>
    </row>
    <row r="7468" spans="1:50">
      <c r="A7468">
        <v>565033</v>
      </c>
      <c r="B7468" t="str">
        <f>"033407086"</f>
        <v>033407086</v>
      </c>
      <c r="C7468" t="s">
        <v>50</v>
      </c>
      <c r="D7468" t="s">
        <v>11804</v>
      </c>
      <c r="E7468" t="s">
        <v>1520</v>
      </c>
      <c r="F7468" t="s">
        <v>53</v>
      </c>
      <c r="G7468" t="s">
        <v>11805</v>
      </c>
      <c r="H7468" t="str">
        <f>"ΑΡΙΔΑΙΑΣ 15 ΗΡΑΚΛΕΙΟ"</f>
        <v>ΑΡΙΔΑΙΑΣ 15 ΗΡΑΚΛΕΙΟ</v>
      </c>
      <c r="I7468">
        <v>71409</v>
      </c>
      <c r="J7468">
        <v>2810212944</v>
      </c>
      <c r="K7468">
        <v>6949121072</v>
      </c>
      <c r="M7468" t="s">
        <v>11806</v>
      </c>
      <c r="N7468" t="s">
        <v>615</v>
      </c>
      <c r="O7468" t="s">
        <v>616</v>
      </c>
      <c r="R7468" t="s">
        <v>57</v>
      </c>
      <c r="S7468">
        <v>15</v>
      </c>
      <c r="T7468">
        <v>161</v>
      </c>
      <c r="U7468" s="1">
        <v>33119</v>
      </c>
      <c r="V7468" t="s">
        <v>80</v>
      </c>
      <c r="W7468" t="s">
        <v>81</v>
      </c>
      <c r="X7468" t="s">
        <v>58</v>
      </c>
      <c r="Y7468">
        <v>21</v>
      </c>
      <c r="Z7468" t="s">
        <v>59</v>
      </c>
      <c r="AA7468" t="s">
        <v>59</v>
      </c>
      <c r="AB7468" t="s">
        <v>59</v>
      </c>
      <c r="AC7468" t="s">
        <v>59</v>
      </c>
      <c r="AD7468" t="s">
        <v>59</v>
      </c>
      <c r="AF7468" s="1">
        <v>33119</v>
      </c>
      <c r="AG7468" t="s">
        <v>8645</v>
      </c>
      <c r="AH7468" t="s">
        <v>8646</v>
      </c>
      <c r="AI7468" t="str">
        <f>"9170517"</f>
        <v>9170517</v>
      </c>
      <c r="AJ7468" t="s">
        <v>9248</v>
      </c>
      <c r="AK7468">
        <v>2810238757</v>
      </c>
      <c r="AL7468" t="s">
        <v>9249</v>
      </c>
      <c r="AM7468" t="s">
        <v>78</v>
      </c>
      <c r="AN7468" t="s">
        <v>78</v>
      </c>
      <c r="AO7468" t="s">
        <v>78</v>
      </c>
      <c r="AP7468" t="s">
        <v>163</v>
      </c>
      <c r="AQ7468">
        <v>1</v>
      </c>
      <c r="AR7468" t="s">
        <v>80</v>
      </c>
      <c r="AS7468" t="s">
        <v>81</v>
      </c>
      <c r="AT7468" t="s">
        <v>58</v>
      </c>
      <c r="AU7468" t="s">
        <v>68</v>
      </c>
      <c r="AV7468" t="s">
        <v>69</v>
      </c>
      <c r="AW7468" s="1">
        <v>24317</v>
      </c>
      <c r="AX7468">
        <v>1</v>
      </c>
    </row>
    <row r="7469" spans="1:50">
      <c r="A7469">
        <v>227779</v>
      </c>
      <c r="B7469" t="str">
        <f>"066363968"</f>
        <v>066363968</v>
      </c>
      <c r="C7469" t="s">
        <v>50</v>
      </c>
      <c r="D7469" t="s">
        <v>4343</v>
      </c>
      <c r="E7469" t="s">
        <v>237</v>
      </c>
      <c r="F7469" t="s">
        <v>95</v>
      </c>
      <c r="G7469" t="s">
        <v>52</v>
      </c>
      <c r="H7469" t="str">
        <f>"ΚΥΔΩΝΙΑΣ 16 ΗΡΑΚΛΕΙΟ"</f>
        <v>ΚΥΔΩΝΙΑΣ 16 ΗΡΑΚΛΕΙΟ</v>
      </c>
      <c r="I7469">
        <v>71202</v>
      </c>
      <c r="J7469">
        <v>2810283061</v>
      </c>
      <c r="K7469">
        <v>6978318228</v>
      </c>
      <c r="N7469" t="s">
        <v>288</v>
      </c>
      <c r="O7469" t="s">
        <v>289</v>
      </c>
      <c r="P7469" t="s">
        <v>157</v>
      </c>
      <c r="Q7469" t="s">
        <v>158</v>
      </c>
      <c r="R7469" t="s">
        <v>57</v>
      </c>
      <c r="S7469">
        <v>7</v>
      </c>
      <c r="T7469">
        <v>654</v>
      </c>
      <c r="U7469" s="1">
        <v>40043</v>
      </c>
      <c r="V7469" t="s">
        <v>80</v>
      </c>
      <c r="W7469" t="s">
        <v>81</v>
      </c>
      <c r="X7469" t="s">
        <v>58</v>
      </c>
      <c r="Y7469">
        <v>23</v>
      </c>
      <c r="Z7469" t="s">
        <v>59</v>
      </c>
      <c r="AA7469" t="s">
        <v>59</v>
      </c>
      <c r="AB7469" t="s">
        <v>59</v>
      </c>
      <c r="AC7469" t="s">
        <v>59</v>
      </c>
      <c r="AD7469" t="s">
        <v>59</v>
      </c>
      <c r="AF7469" s="1">
        <v>40043</v>
      </c>
      <c r="AG7469" t="s">
        <v>8645</v>
      </c>
      <c r="AH7469" t="s">
        <v>8646</v>
      </c>
      <c r="AI7469" t="str">
        <f>"9170519"</f>
        <v>9170519</v>
      </c>
      <c r="AJ7469" t="s">
        <v>8647</v>
      </c>
      <c r="AK7469">
        <v>2810244075</v>
      </c>
      <c r="AL7469" t="s">
        <v>8648</v>
      </c>
      <c r="AM7469" t="s">
        <v>78</v>
      </c>
      <c r="AN7469" t="s">
        <v>78</v>
      </c>
      <c r="AO7469" t="s">
        <v>78</v>
      </c>
      <c r="AP7469" t="s">
        <v>213</v>
      </c>
      <c r="AQ7469">
        <v>1</v>
      </c>
      <c r="AR7469" t="s">
        <v>80</v>
      </c>
      <c r="AS7469" t="s">
        <v>81</v>
      </c>
      <c r="AT7469" t="s">
        <v>58</v>
      </c>
      <c r="AU7469" t="s">
        <v>68</v>
      </c>
      <c r="AV7469" t="s">
        <v>69</v>
      </c>
      <c r="AW7469" s="1">
        <v>27403</v>
      </c>
      <c r="AX7469">
        <v>1</v>
      </c>
    </row>
    <row r="7470" spans="1:50">
      <c r="B7470" t="str">
        <f>"147205210"</f>
        <v>147205210</v>
      </c>
      <c r="C7470" t="s">
        <v>50</v>
      </c>
      <c r="D7470" t="s">
        <v>4343</v>
      </c>
      <c r="E7470" t="s">
        <v>2406</v>
      </c>
      <c r="F7470" t="s">
        <v>95</v>
      </c>
      <c r="G7470" t="s">
        <v>54</v>
      </c>
      <c r="H7470" t="str">
        <f>"25ΗΣ ΜΑΡΤΙΟΥ 107 "</f>
        <v xml:space="preserve">25ΗΣ ΜΑΡΤΙΟΥ 107 </v>
      </c>
      <c r="I7470">
        <v>70400</v>
      </c>
      <c r="J7470">
        <v>2892022229</v>
      </c>
      <c r="K7470">
        <v>6975859803</v>
      </c>
      <c r="N7470" t="s">
        <v>615</v>
      </c>
      <c r="O7470" t="s">
        <v>616</v>
      </c>
      <c r="R7470" t="s">
        <v>159</v>
      </c>
      <c r="S7470">
        <v>3</v>
      </c>
      <c r="T7470" t="s">
        <v>8675</v>
      </c>
      <c r="U7470" s="1">
        <v>43348</v>
      </c>
      <c r="V7470" t="s">
        <v>80</v>
      </c>
      <c r="W7470" t="s">
        <v>81</v>
      </c>
      <c r="X7470" t="s">
        <v>58</v>
      </c>
      <c r="Y7470">
        <v>24</v>
      </c>
      <c r="Z7470" t="s">
        <v>59</v>
      </c>
      <c r="AA7470" t="s">
        <v>59</v>
      </c>
      <c r="AB7470" t="s">
        <v>59</v>
      </c>
      <c r="AC7470" t="s">
        <v>59</v>
      </c>
      <c r="AD7470" t="s">
        <v>59</v>
      </c>
      <c r="AF7470" s="1">
        <v>43348</v>
      </c>
      <c r="AG7470" t="s">
        <v>8645</v>
      </c>
      <c r="AH7470" t="s">
        <v>8646</v>
      </c>
      <c r="AI7470" t="str">
        <f>"9170495"</f>
        <v>9170495</v>
      </c>
      <c r="AJ7470" t="s">
        <v>8838</v>
      </c>
      <c r="AK7470">
        <v>2892023325</v>
      </c>
      <c r="AL7470" t="s">
        <v>8839</v>
      </c>
      <c r="AM7470" t="s">
        <v>78</v>
      </c>
      <c r="AN7470" t="s">
        <v>242</v>
      </c>
      <c r="AO7470" t="s">
        <v>243</v>
      </c>
      <c r="AP7470" t="s">
        <v>243</v>
      </c>
      <c r="AQ7470">
        <v>20</v>
      </c>
      <c r="AR7470" t="s">
        <v>80</v>
      </c>
      <c r="AS7470" t="s">
        <v>81</v>
      </c>
      <c r="AT7470" t="s">
        <v>58</v>
      </c>
      <c r="AU7470" t="s">
        <v>8673</v>
      </c>
      <c r="AV7470" t="s">
        <v>132</v>
      </c>
      <c r="AW7470" s="1">
        <v>31707</v>
      </c>
      <c r="AX7470">
        <v>1</v>
      </c>
    </row>
    <row r="7471" spans="1:50">
      <c r="A7471">
        <v>582480</v>
      </c>
      <c r="B7471" t="str">
        <f>"072556920"</f>
        <v>072556920</v>
      </c>
      <c r="C7471" t="s">
        <v>50</v>
      </c>
      <c r="D7471" t="s">
        <v>4343</v>
      </c>
      <c r="E7471" t="s">
        <v>181</v>
      </c>
      <c r="F7471" t="s">
        <v>53</v>
      </c>
      <c r="G7471" t="s">
        <v>580</v>
      </c>
      <c r="H7471" t="str">
        <f>"ΜΑΥΣΩΛΟΥ 154 ΝΕΑ ΑΛΙΚΑΡΝΑΣΣΟΣ"</f>
        <v>ΜΑΥΣΩΛΟΥ 154 ΝΕΑ ΑΛΙΚΑΡΝΑΣΣΟΣ</v>
      </c>
      <c r="I7471">
        <v>71601</v>
      </c>
      <c r="J7471">
        <v>2810285034</v>
      </c>
      <c r="K7471">
        <v>6946748601</v>
      </c>
      <c r="N7471" t="s">
        <v>615</v>
      </c>
      <c r="O7471" t="s">
        <v>616</v>
      </c>
      <c r="R7471" t="s">
        <v>57</v>
      </c>
      <c r="S7471">
        <v>10</v>
      </c>
      <c r="T7471">
        <v>179</v>
      </c>
      <c r="U7471" s="1">
        <v>35674</v>
      </c>
      <c r="V7471" t="s">
        <v>80</v>
      </c>
      <c r="W7471" t="s">
        <v>81</v>
      </c>
      <c r="X7471" t="s">
        <v>58</v>
      </c>
      <c r="Y7471">
        <v>21</v>
      </c>
      <c r="Z7471" t="s">
        <v>59</v>
      </c>
      <c r="AA7471" t="s">
        <v>59</v>
      </c>
      <c r="AB7471" t="s">
        <v>59</v>
      </c>
      <c r="AC7471" t="s">
        <v>59</v>
      </c>
      <c r="AD7471" t="s">
        <v>59</v>
      </c>
      <c r="AF7471" s="1">
        <v>35675</v>
      </c>
      <c r="AG7471" t="s">
        <v>8645</v>
      </c>
      <c r="AH7471" t="s">
        <v>8646</v>
      </c>
      <c r="AI7471" t="str">
        <f>"9170427"</f>
        <v>9170427</v>
      </c>
      <c r="AJ7471" t="s">
        <v>8817</v>
      </c>
      <c r="AK7471">
        <v>2810220998</v>
      </c>
      <c r="AL7471" t="s">
        <v>8818</v>
      </c>
      <c r="AM7471" t="s">
        <v>78</v>
      </c>
      <c r="AN7471" t="s">
        <v>78</v>
      </c>
      <c r="AO7471" t="s">
        <v>286</v>
      </c>
      <c r="AP7471" t="s">
        <v>286</v>
      </c>
      <c r="AQ7471">
        <v>1</v>
      </c>
      <c r="AR7471" t="s">
        <v>80</v>
      </c>
      <c r="AS7471" t="s">
        <v>81</v>
      </c>
      <c r="AT7471" t="s">
        <v>58</v>
      </c>
      <c r="AU7471" t="s">
        <v>68</v>
      </c>
      <c r="AV7471" t="s">
        <v>69</v>
      </c>
      <c r="AW7471" s="1">
        <v>25084</v>
      </c>
      <c r="AX7471">
        <v>1</v>
      </c>
    </row>
    <row r="7472" spans="1:50">
      <c r="A7472">
        <v>577575</v>
      </c>
      <c r="B7472" t="str">
        <f>"050597011"</f>
        <v>050597011</v>
      </c>
      <c r="C7472" t="s">
        <v>105</v>
      </c>
      <c r="D7472" t="s">
        <v>11807</v>
      </c>
      <c r="E7472" t="s">
        <v>309</v>
      </c>
      <c r="F7472" t="s">
        <v>11808</v>
      </c>
      <c r="G7472" t="s">
        <v>237</v>
      </c>
      <c r="H7472" t="str">
        <f>"ΖΩΦΟΡΟΙ ΠΕΔΙΑΔΟΣ ΚΑΣΤΕΛΛΙΟΥ"</f>
        <v>ΖΩΦΟΡΟΙ ΠΕΔΙΑΔΟΣ ΚΑΣΤΕΛΛΙΟΥ</v>
      </c>
      <c r="K7472">
        <v>6971852054</v>
      </c>
      <c r="N7472" t="s">
        <v>176</v>
      </c>
      <c r="O7472" t="s">
        <v>177</v>
      </c>
      <c r="R7472" t="s">
        <v>57</v>
      </c>
      <c r="S7472">
        <v>13</v>
      </c>
      <c r="T7472">
        <v>184</v>
      </c>
      <c r="U7472" s="1">
        <v>34941</v>
      </c>
      <c r="V7472" t="s">
        <v>80</v>
      </c>
      <c r="W7472" t="s">
        <v>81</v>
      </c>
      <c r="X7472" t="s">
        <v>58</v>
      </c>
      <c r="Y7472">
        <v>21</v>
      </c>
      <c r="Z7472" t="s">
        <v>59</v>
      </c>
      <c r="AA7472" t="s">
        <v>59</v>
      </c>
      <c r="AB7472" t="s">
        <v>59</v>
      </c>
      <c r="AC7472" t="s">
        <v>59</v>
      </c>
      <c r="AD7472" t="s">
        <v>59</v>
      </c>
      <c r="AF7472" s="1">
        <v>34943</v>
      </c>
      <c r="AG7472" t="s">
        <v>8645</v>
      </c>
      <c r="AH7472" t="s">
        <v>8646</v>
      </c>
      <c r="AI7472" t="str">
        <f>"9170144"</f>
        <v>9170144</v>
      </c>
      <c r="AJ7472" t="s">
        <v>8729</v>
      </c>
      <c r="AK7472">
        <v>2891022244</v>
      </c>
      <c r="AL7472" t="s">
        <v>8730</v>
      </c>
      <c r="AM7472" t="s">
        <v>78</v>
      </c>
      <c r="AN7472" t="s">
        <v>276</v>
      </c>
      <c r="AO7472" t="s">
        <v>490</v>
      </c>
      <c r="AP7472" t="s">
        <v>490</v>
      </c>
      <c r="AQ7472">
        <v>12</v>
      </c>
      <c r="AR7472" t="s">
        <v>80</v>
      </c>
      <c r="AS7472" t="s">
        <v>81</v>
      </c>
      <c r="AT7472" t="s">
        <v>58</v>
      </c>
      <c r="AU7472" t="s">
        <v>68</v>
      </c>
      <c r="AV7472" t="s">
        <v>69</v>
      </c>
      <c r="AW7472" s="1">
        <v>24186</v>
      </c>
      <c r="AX7472">
        <v>1</v>
      </c>
    </row>
    <row r="7473" spans="1:50">
      <c r="B7473" t="str">
        <f>"141428602"</f>
        <v>141428602</v>
      </c>
      <c r="C7473" t="s">
        <v>105</v>
      </c>
      <c r="D7473" t="s">
        <v>11809</v>
      </c>
      <c r="E7473" t="s">
        <v>84</v>
      </c>
      <c r="F7473" t="s">
        <v>1357</v>
      </c>
      <c r="G7473" t="s">
        <v>52</v>
      </c>
      <c r="H7473" t="str">
        <f>" "</f>
        <v xml:space="preserve"> </v>
      </c>
      <c r="N7473" t="s">
        <v>615</v>
      </c>
      <c r="O7473" t="s">
        <v>616</v>
      </c>
      <c r="R7473" t="s">
        <v>159</v>
      </c>
      <c r="S7473">
        <v>1</v>
      </c>
      <c r="T7473" t="s">
        <v>8675</v>
      </c>
      <c r="U7473" s="1">
        <v>43348</v>
      </c>
      <c r="V7473" t="s">
        <v>80</v>
      </c>
      <c r="W7473" t="s">
        <v>81</v>
      </c>
      <c r="X7473" t="s">
        <v>58</v>
      </c>
      <c r="Y7473">
        <v>25</v>
      </c>
      <c r="Z7473" t="s">
        <v>59</v>
      </c>
      <c r="AA7473" t="s">
        <v>59</v>
      </c>
      <c r="AB7473" t="s">
        <v>59</v>
      </c>
      <c r="AC7473" t="s">
        <v>59</v>
      </c>
      <c r="AD7473" t="s">
        <v>59</v>
      </c>
      <c r="AF7473" s="1">
        <v>43348</v>
      </c>
      <c r="AG7473" t="s">
        <v>8645</v>
      </c>
      <c r="AH7473" t="s">
        <v>8676</v>
      </c>
      <c r="AI7473" t="str">
        <f>"9170304"</f>
        <v>9170304</v>
      </c>
      <c r="AJ7473" t="s">
        <v>9163</v>
      </c>
      <c r="AK7473">
        <v>2892043385</v>
      </c>
      <c r="AL7473" t="s">
        <v>9164</v>
      </c>
      <c r="AM7473" t="s">
        <v>78</v>
      </c>
      <c r="AN7473" t="s">
        <v>242</v>
      </c>
      <c r="AO7473" t="s">
        <v>243</v>
      </c>
      <c r="AP7473" t="s">
        <v>8762</v>
      </c>
      <c r="AQ7473">
        <v>19</v>
      </c>
      <c r="AR7473" t="s">
        <v>80</v>
      </c>
      <c r="AS7473" t="s">
        <v>81</v>
      </c>
      <c r="AT7473" t="s">
        <v>58</v>
      </c>
      <c r="AU7473" t="s">
        <v>8673</v>
      </c>
      <c r="AV7473" t="s">
        <v>132</v>
      </c>
      <c r="AW7473" s="1">
        <v>32408</v>
      </c>
      <c r="AX7473">
        <v>1</v>
      </c>
    </row>
    <row r="7474" spans="1:50">
      <c r="A7474">
        <v>602275</v>
      </c>
      <c r="B7474" t="str">
        <f>"066539849"</f>
        <v>066539849</v>
      </c>
      <c r="C7474" t="s">
        <v>50</v>
      </c>
      <c r="D7474" t="s">
        <v>5619</v>
      </c>
      <c r="E7474" t="s">
        <v>396</v>
      </c>
      <c r="F7474" t="s">
        <v>99</v>
      </c>
      <c r="G7474" t="s">
        <v>263</v>
      </c>
      <c r="H7474" t="str">
        <f>"ΔΙΑΓΟΡΑ 5 ΘΕΡΙΣΣΟΣ ΗΡΑΚΛΕΙΟΥ"</f>
        <v>ΔΙΑΓΟΡΑ 5 ΘΕΡΙΣΣΟΣ ΗΡΑΚΛΕΙΟΥ</v>
      </c>
      <c r="I7474">
        <v>71304</v>
      </c>
      <c r="J7474">
        <v>2810311997</v>
      </c>
      <c r="K7474">
        <v>6972998638</v>
      </c>
      <c r="M7474" t="s">
        <v>11810</v>
      </c>
      <c r="N7474" t="s">
        <v>615</v>
      </c>
      <c r="O7474" t="s">
        <v>616</v>
      </c>
      <c r="R7474" t="s">
        <v>57</v>
      </c>
      <c r="S7474">
        <v>7</v>
      </c>
      <c r="T7474">
        <v>207</v>
      </c>
      <c r="U7474" s="1">
        <v>37866</v>
      </c>
      <c r="V7474" t="s">
        <v>80</v>
      </c>
      <c r="W7474" t="s">
        <v>81</v>
      </c>
      <c r="X7474" t="s">
        <v>58</v>
      </c>
      <c r="Y7474">
        <v>22</v>
      </c>
      <c r="Z7474" t="s">
        <v>59</v>
      </c>
      <c r="AA7474" t="s">
        <v>59</v>
      </c>
      <c r="AB7474" t="s">
        <v>59</v>
      </c>
      <c r="AC7474" t="s">
        <v>59</v>
      </c>
      <c r="AD7474" t="s">
        <v>59</v>
      </c>
      <c r="AF7474" s="1">
        <v>37866</v>
      </c>
      <c r="AG7474" t="s">
        <v>8645</v>
      </c>
      <c r="AH7474" t="s">
        <v>8646</v>
      </c>
      <c r="AI7474" t="str">
        <f>"9170424"</f>
        <v>9170424</v>
      </c>
      <c r="AJ7474" t="s">
        <v>8860</v>
      </c>
      <c r="AK7474">
        <v>2810254530</v>
      </c>
      <c r="AL7474" t="s">
        <v>8861</v>
      </c>
      <c r="AM7474" t="s">
        <v>78</v>
      </c>
      <c r="AN7474" t="s">
        <v>78</v>
      </c>
      <c r="AO7474" t="s">
        <v>78</v>
      </c>
      <c r="AP7474" t="s">
        <v>163</v>
      </c>
      <c r="AQ7474">
        <v>1</v>
      </c>
      <c r="AR7474" t="s">
        <v>80</v>
      </c>
      <c r="AS7474" t="s">
        <v>81</v>
      </c>
      <c r="AT7474" t="s">
        <v>58</v>
      </c>
      <c r="AU7474" t="s">
        <v>68</v>
      </c>
      <c r="AV7474" t="s">
        <v>69</v>
      </c>
      <c r="AW7474" s="1">
        <v>29530</v>
      </c>
      <c r="AX7474">
        <v>1</v>
      </c>
    </row>
    <row r="7475" spans="1:50">
      <c r="B7475" t="str">
        <f>"152233908"</f>
        <v>152233908</v>
      </c>
      <c r="C7475" t="s">
        <v>50</v>
      </c>
      <c r="D7475" t="s">
        <v>11811</v>
      </c>
      <c r="E7475" t="s">
        <v>382</v>
      </c>
      <c r="F7475" t="s">
        <v>309</v>
      </c>
      <c r="G7475" t="s">
        <v>1694</v>
      </c>
      <c r="H7475" t="str">
        <f>"ΚΑΥΚΑΣΟΥ "</f>
        <v xml:space="preserve">ΚΑΥΚΑΣΟΥ </v>
      </c>
      <c r="I7475">
        <v>11362</v>
      </c>
      <c r="J7475">
        <v>2108819647</v>
      </c>
      <c r="K7475">
        <v>6937254096</v>
      </c>
      <c r="N7475" t="s">
        <v>615</v>
      </c>
      <c r="O7475" t="s">
        <v>616</v>
      </c>
      <c r="R7475" t="s">
        <v>159</v>
      </c>
      <c r="S7475">
        <v>2</v>
      </c>
      <c r="T7475" t="s">
        <v>8675</v>
      </c>
      <c r="U7475" s="1">
        <v>43348</v>
      </c>
      <c r="V7475" t="s">
        <v>80</v>
      </c>
      <c r="W7475" t="s">
        <v>81</v>
      </c>
      <c r="X7475" t="s">
        <v>58</v>
      </c>
      <c r="Y7475">
        <v>24</v>
      </c>
      <c r="Z7475" t="s">
        <v>59</v>
      </c>
      <c r="AA7475" t="s">
        <v>59</v>
      </c>
      <c r="AB7475" t="s">
        <v>59</v>
      </c>
      <c r="AC7475" t="s">
        <v>59</v>
      </c>
      <c r="AD7475" t="s">
        <v>59</v>
      </c>
      <c r="AF7475" s="1">
        <v>43348</v>
      </c>
      <c r="AG7475" t="s">
        <v>8645</v>
      </c>
      <c r="AH7475" t="s">
        <v>8676</v>
      </c>
      <c r="AI7475" t="str">
        <f>"9170383"</f>
        <v>9170383</v>
      </c>
      <c r="AJ7475" t="s">
        <v>11135</v>
      </c>
      <c r="AK7475">
        <v>2895061350</v>
      </c>
      <c r="AL7475" t="s">
        <v>11136</v>
      </c>
      <c r="AM7475" t="s">
        <v>78</v>
      </c>
      <c r="AN7475" t="s">
        <v>482</v>
      </c>
      <c r="AO7475" t="s">
        <v>482</v>
      </c>
      <c r="AP7475" t="s">
        <v>11090</v>
      </c>
      <c r="AQ7475">
        <v>14</v>
      </c>
      <c r="AR7475" t="s">
        <v>80</v>
      </c>
      <c r="AS7475" t="s">
        <v>81</v>
      </c>
      <c r="AT7475" t="s">
        <v>58</v>
      </c>
      <c r="AU7475" t="s">
        <v>8673</v>
      </c>
      <c r="AV7475" t="s">
        <v>132</v>
      </c>
      <c r="AW7475" s="1">
        <v>29047</v>
      </c>
      <c r="AX7475">
        <v>1</v>
      </c>
    </row>
    <row r="7476" spans="1:50">
      <c r="B7476" t="str">
        <f>"120126820"</f>
        <v>120126820</v>
      </c>
      <c r="C7476" t="s">
        <v>50</v>
      </c>
      <c r="D7476" t="s">
        <v>11812</v>
      </c>
      <c r="E7476" t="s">
        <v>396</v>
      </c>
      <c r="F7476" t="s">
        <v>84</v>
      </c>
      <c r="G7476" t="s">
        <v>191</v>
      </c>
      <c r="H7476" t="str">
        <f>"ΚΟΛΟΚΟΤΡΩΝΗ 6 "</f>
        <v xml:space="preserve">ΚΟΛΟΚΟΤΡΩΝΗ 6 </v>
      </c>
      <c r="I7476">
        <v>62125</v>
      </c>
      <c r="J7476">
        <v>2321046391</v>
      </c>
      <c r="K7476">
        <v>6976970548</v>
      </c>
      <c r="N7476" t="s">
        <v>615</v>
      </c>
      <c r="O7476" t="s">
        <v>616</v>
      </c>
      <c r="R7476" t="s">
        <v>159</v>
      </c>
      <c r="S7476">
        <v>3</v>
      </c>
      <c r="T7476" t="s">
        <v>8675</v>
      </c>
      <c r="U7476" s="1">
        <v>43348</v>
      </c>
      <c r="V7476" t="s">
        <v>80</v>
      </c>
      <c r="W7476" t="s">
        <v>81</v>
      </c>
      <c r="X7476" t="s">
        <v>58</v>
      </c>
      <c r="Y7476">
        <v>24</v>
      </c>
      <c r="Z7476" t="s">
        <v>59</v>
      </c>
      <c r="AA7476" t="s">
        <v>59</v>
      </c>
      <c r="AB7476" t="s">
        <v>59</v>
      </c>
      <c r="AC7476" t="s">
        <v>59</v>
      </c>
      <c r="AD7476" t="s">
        <v>59</v>
      </c>
      <c r="AF7476" s="1">
        <v>43348</v>
      </c>
      <c r="AG7476" t="s">
        <v>8645</v>
      </c>
      <c r="AH7476" t="s">
        <v>8646</v>
      </c>
      <c r="AI7476" t="str">
        <f>"9170244"</f>
        <v>9170244</v>
      </c>
      <c r="AJ7476" t="s">
        <v>8933</v>
      </c>
      <c r="AK7476">
        <v>2897061213</v>
      </c>
      <c r="AL7476" t="s">
        <v>8934</v>
      </c>
      <c r="AM7476" t="s">
        <v>78</v>
      </c>
      <c r="AN7476" t="s">
        <v>219</v>
      </c>
      <c r="AO7476" t="s">
        <v>527</v>
      </c>
      <c r="AP7476" t="s">
        <v>528</v>
      </c>
      <c r="AQ7476">
        <v>8</v>
      </c>
      <c r="AR7476" t="s">
        <v>80</v>
      </c>
      <c r="AS7476" t="s">
        <v>81</v>
      </c>
      <c r="AT7476" t="s">
        <v>58</v>
      </c>
      <c r="AU7476" t="s">
        <v>8673</v>
      </c>
      <c r="AV7476" t="s">
        <v>132</v>
      </c>
      <c r="AW7476" s="1">
        <v>32054</v>
      </c>
      <c r="AX7476">
        <v>1</v>
      </c>
    </row>
    <row r="7477" spans="1:50">
      <c r="B7477" t="str">
        <f>"141288895"</f>
        <v>141288895</v>
      </c>
      <c r="C7477" t="s">
        <v>105</v>
      </c>
      <c r="D7477" t="s">
        <v>11813</v>
      </c>
      <c r="E7477" t="s">
        <v>11814</v>
      </c>
      <c r="F7477" t="s">
        <v>53</v>
      </c>
      <c r="G7477" t="s">
        <v>569</v>
      </c>
      <c r="H7477" t="str">
        <f>"ΠΑΛΑΙΟΚΗΠΟΣ  "</f>
        <v xml:space="preserve">ΠΑΛΑΙΟΚΗΠΟΣ  </v>
      </c>
      <c r="I7477">
        <v>81106</v>
      </c>
      <c r="J7477">
        <v>2251083244</v>
      </c>
      <c r="K7477">
        <v>6976987950</v>
      </c>
      <c r="N7477" t="s">
        <v>615</v>
      </c>
      <c r="O7477" t="s">
        <v>616</v>
      </c>
      <c r="R7477" t="s">
        <v>159</v>
      </c>
      <c r="S7477">
        <v>3</v>
      </c>
      <c r="T7477" t="s">
        <v>8675</v>
      </c>
      <c r="U7477" s="1">
        <v>43348</v>
      </c>
      <c r="V7477" t="s">
        <v>80</v>
      </c>
      <c r="W7477" t="s">
        <v>81</v>
      </c>
      <c r="X7477" t="s">
        <v>58</v>
      </c>
      <c r="Y7477">
        <v>24</v>
      </c>
      <c r="Z7477" t="s">
        <v>59</v>
      </c>
      <c r="AA7477" t="s">
        <v>59</v>
      </c>
      <c r="AB7477" t="s">
        <v>59</v>
      </c>
      <c r="AC7477" t="s">
        <v>59</v>
      </c>
      <c r="AD7477" t="s">
        <v>59</v>
      </c>
      <c r="AF7477" s="1">
        <v>43348</v>
      </c>
      <c r="AG7477" t="s">
        <v>8645</v>
      </c>
      <c r="AH7477" t="s">
        <v>8646</v>
      </c>
      <c r="AI7477" t="str">
        <f>"9170326"</f>
        <v>9170326</v>
      </c>
      <c r="AJ7477" t="s">
        <v>9708</v>
      </c>
      <c r="AK7477">
        <v>2893022213</v>
      </c>
      <c r="AL7477" t="s">
        <v>9709</v>
      </c>
      <c r="AM7477" t="s">
        <v>78</v>
      </c>
      <c r="AN7477" t="s">
        <v>424</v>
      </c>
      <c r="AO7477" t="s">
        <v>577</v>
      </c>
      <c r="AP7477" t="s">
        <v>578</v>
      </c>
      <c r="AQ7477">
        <v>10</v>
      </c>
      <c r="AR7477" t="s">
        <v>80</v>
      </c>
      <c r="AS7477" t="s">
        <v>81</v>
      </c>
      <c r="AT7477" t="s">
        <v>58</v>
      </c>
      <c r="AU7477" t="s">
        <v>8673</v>
      </c>
      <c r="AV7477" t="s">
        <v>132</v>
      </c>
      <c r="AW7477" s="1">
        <v>32206</v>
      </c>
      <c r="AX7477">
        <v>1</v>
      </c>
    </row>
    <row r="7478" spans="1:50">
      <c r="A7478">
        <v>701242</v>
      </c>
      <c r="B7478" t="str">
        <f>"132320736"</f>
        <v>132320736</v>
      </c>
      <c r="C7478" t="s">
        <v>50</v>
      </c>
      <c r="D7478" t="s">
        <v>4370</v>
      </c>
      <c r="E7478" t="s">
        <v>476</v>
      </c>
      <c r="F7478" t="s">
        <v>1320</v>
      </c>
      <c r="G7478" t="s">
        <v>11815</v>
      </c>
      <c r="H7478" t="str">
        <f>"ΘΗΒΑΣ 2 ΗΡΑΚΛΕΙΟ"</f>
        <v>ΘΗΒΑΣ 2 ΗΡΑΚΛΕΙΟ</v>
      </c>
      <c r="I7478">
        <v>71409</v>
      </c>
      <c r="J7478">
        <v>2810237376</v>
      </c>
      <c r="K7478">
        <v>6977229492</v>
      </c>
      <c r="N7478" t="s">
        <v>683</v>
      </c>
      <c r="O7478" t="s">
        <v>684</v>
      </c>
      <c r="R7478" t="s">
        <v>57</v>
      </c>
      <c r="S7478">
        <v>5</v>
      </c>
      <c r="T7478">
        <v>772</v>
      </c>
      <c r="U7478" s="1">
        <v>40413</v>
      </c>
      <c r="V7478" t="s">
        <v>80</v>
      </c>
      <c r="W7478" t="s">
        <v>81</v>
      </c>
      <c r="X7478" t="s">
        <v>58</v>
      </c>
      <c r="Y7478">
        <v>23</v>
      </c>
      <c r="Z7478" t="s">
        <v>59</v>
      </c>
      <c r="AA7478" t="s">
        <v>59</v>
      </c>
      <c r="AB7478" t="s">
        <v>59</v>
      </c>
      <c r="AC7478" t="s">
        <v>59</v>
      </c>
      <c r="AD7478" t="s">
        <v>59</v>
      </c>
      <c r="AF7478" s="1">
        <v>40413</v>
      </c>
      <c r="AG7478" t="s">
        <v>8645</v>
      </c>
      <c r="AH7478" t="s">
        <v>8646</v>
      </c>
      <c r="AI7478" t="str">
        <f>"9170534"</f>
        <v>9170534</v>
      </c>
      <c r="AJ7478" t="s">
        <v>8701</v>
      </c>
      <c r="AK7478">
        <v>2810323225</v>
      </c>
      <c r="AL7478" t="s">
        <v>8702</v>
      </c>
      <c r="AM7478" t="s">
        <v>78</v>
      </c>
      <c r="AN7478" t="s">
        <v>78</v>
      </c>
      <c r="AO7478" t="s">
        <v>78</v>
      </c>
      <c r="AP7478" t="s">
        <v>163</v>
      </c>
      <c r="AQ7478">
        <v>1</v>
      </c>
      <c r="AR7478" t="s">
        <v>80</v>
      </c>
      <c r="AS7478" t="s">
        <v>81</v>
      </c>
      <c r="AT7478" t="s">
        <v>58</v>
      </c>
      <c r="AU7478" t="s">
        <v>68</v>
      </c>
      <c r="AV7478" t="s">
        <v>69</v>
      </c>
      <c r="AW7478" s="1">
        <v>28747</v>
      </c>
      <c r="AX7478">
        <v>1</v>
      </c>
    </row>
    <row r="7479" spans="1:50">
      <c r="A7479">
        <v>564600</v>
      </c>
      <c r="B7479" t="str">
        <f>"061888587"</f>
        <v>061888587</v>
      </c>
      <c r="C7479" t="s">
        <v>50</v>
      </c>
      <c r="D7479" t="s">
        <v>4374</v>
      </c>
      <c r="E7479" t="s">
        <v>52</v>
      </c>
      <c r="F7479" t="s">
        <v>95</v>
      </c>
      <c r="G7479" t="s">
        <v>1189</v>
      </c>
      <c r="H7479" t="str">
        <f>"62 ΜΑΡΤΥΡΩΝ 11 ΗΡΑΚΛΕΙΟ"</f>
        <v>62 ΜΑΡΤΥΡΩΝ 11 ΗΡΑΚΛΕΙΟ</v>
      </c>
      <c r="I7479">
        <v>71304</v>
      </c>
      <c r="J7479">
        <v>2810256316</v>
      </c>
      <c r="K7479">
        <v>6948596365</v>
      </c>
      <c r="L7479">
        <v>2810823663</v>
      </c>
      <c r="M7479" t="s">
        <v>11816</v>
      </c>
      <c r="N7479" t="s">
        <v>615</v>
      </c>
      <c r="O7479" t="s">
        <v>616</v>
      </c>
      <c r="R7479" t="s">
        <v>57</v>
      </c>
      <c r="S7479">
        <v>16</v>
      </c>
      <c r="T7479">
        <v>161</v>
      </c>
      <c r="U7479" s="1">
        <v>33119</v>
      </c>
      <c r="V7479" t="s">
        <v>80</v>
      </c>
      <c r="W7479" t="s">
        <v>81</v>
      </c>
      <c r="X7479" t="s">
        <v>58</v>
      </c>
      <c r="Y7479">
        <v>21</v>
      </c>
      <c r="Z7479" t="s">
        <v>59</v>
      </c>
      <c r="AA7479" t="s">
        <v>59</v>
      </c>
      <c r="AB7479" t="s">
        <v>59</v>
      </c>
      <c r="AC7479" t="s">
        <v>59</v>
      </c>
      <c r="AD7479" t="s">
        <v>59</v>
      </c>
      <c r="AF7479" s="1">
        <v>33121</v>
      </c>
      <c r="AG7479" t="s">
        <v>8645</v>
      </c>
      <c r="AH7479" t="s">
        <v>8646</v>
      </c>
      <c r="AI7479" t="str">
        <f>"9170546"</f>
        <v>9170546</v>
      </c>
      <c r="AJ7479" t="s">
        <v>8953</v>
      </c>
      <c r="AK7479">
        <v>2810261362</v>
      </c>
      <c r="AL7479" t="s">
        <v>8954</v>
      </c>
      <c r="AM7479" t="s">
        <v>78</v>
      </c>
      <c r="AN7479" t="s">
        <v>78</v>
      </c>
      <c r="AO7479" t="s">
        <v>78</v>
      </c>
      <c r="AP7479" t="s">
        <v>141</v>
      </c>
      <c r="AQ7479">
        <v>1</v>
      </c>
      <c r="AR7479" t="s">
        <v>80</v>
      </c>
      <c r="AS7479" t="s">
        <v>81</v>
      </c>
      <c r="AT7479" t="s">
        <v>58</v>
      </c>
      <c r="AU7479" t="s">
        <v>68</v>
      </c>
      <c r="AV7479" t="s">
        <v>69</v>
      </c>
      <c r="AW7479" s="1">
        <v>23821</v>
      </c>
      <c r="AX7479">
        <v>1</v>
      </c>
    </row>
    <row r="7480" spans="1:50">
      <c r="A7480">
        <v>615926</v>
      </c>
      <c r="B7480" t="str">
        <f>"071154133"</f>
        <v>071154133</v>
      </c>
      <c r="C7480" t="s">
        <v>105</v>
      </c>
      <c r="D7480" t="s">
        <v>11817</v>
      </c>
      <c r="E7480" t="s">
        <v>450</v>
      </c>
      <c r="F7480" t="s">
        <v>459</v>
      </c>
      <c r="G7480" t="s">
        <v>476</v>
      </c>
      <c r="H7480" t="str">
        <f>"ΠΛ. ΑΓ. ΓΕΩΡΓΙΟΥ-ΓΟΥΡΝΕΣ ΗΡΑΚΛΕΙΟ"</f>
        <v>ΠΛ. ΑΓ. ΓΕΩΡΓΙΟΥ-ΓΟΥΡΝΕΣ ΗΡΑΚΛΕΙΟ</v>
      </c>
      <c r="J7480">
        <v>2810822589</v>
      </c>
      <c r="K7480">
        <v>6978207387</v>
      </c>
      <c r="N7480" t="s">
        <v>176</v>
      </c>
      <c r="O7480" t="s">
        <v>177</v>
      </c>
      <c r="R7480" t="s">
        <v>57</v>
      </c>
      <c r="S7480">
        <v>8</v>
      </c>
      <c r="T7480">
        <v>600</v>
      </c>
      <c r="U7480" s="1">
        <v>39310</v>
      </c>
      <c r="V7480" t="s">
        <v>80</v>
      </c>
      <c r="W7480" t="s">
        <v>81</v>
      </c>
      <c r="X7480" t="s">
        <v>58</v>
      </c>
      <c r="Y7480">
        <v>22</v>
      </c>
      <c r="Z7480" t="s">
        <v>59</v>
      </c>
      <c r="AA7480" t="s">
        <v>59</v>
      </c>
      <c r="AB7480" t="s">
        <v>59</v>
      </c>
      <c r="AC7480" t="s">
        <v>59</v>
      </c>
      <c r="AD7480" t="s">
        <v>59</v>
      </c>
      <c r="AF7480" s="1">
        <v>39328</v>
      </c>
      <c r="AG7480" t="s">
        <v>8645</v>
      </c>
      <c r="AH7480" t="s">
        <v>8646</v>
      </c>
      <c r="AI7480" t="str">
        <f>"9170009"</f>
        <v>9170009</v>
      </c>
      <c r="AJ7480" t="s">
        <v>8683</v>
      </c>
      <c r="AK7480">
        <v>2810861612</v>
      </c>
      <c r="AL7480" t="s">
        <v>8684</v>
      </c>
      <c r="AM7480" t="s">
        <v>78</v>
      </c>
      <c r="AN7480" t="s">
        <v>78</v>
      </c>
      <c r="AO7480" t="s">
        <v>185</v>
      </c>
      <c r="AP7480" t="s">
        <v>8685</v>
      </c>
      <c r="AQ7480">
        <v>4</v>
      </c>
      <c r="AR7480" t="s">
        <v>80</v>
      </c>
      <c r="AS7480" t="s">
        <v>81</v>
      </c>
      <c r="AT7480" t="s">
        <v>58</v>
      </c>
      <c r="AU7480" t="s">
        <v>68</v>
      </c>
      <c r="AV7480" t="s">
        <v>69</v>
      </c>
      <c r="AW7480" s="1">
        <v>23554</v>
      </c>
      <c r="AX7480">
        <v>1</v>
      </c>
    </row>
    <row r="7481" spans="1:50">
      <c r="A7481">
        <v>561457</v>
      </c>
      <c r="B7481" t="str">
        <f>"034135375"</f>
        <v>034135375</v>
      </c>
      <c r="C7481" t="s">
        <v>105</v>
      </c>
      <c r="D7481" t="s">
        <v>4383</v>
      </c>
      <c r="E7481" t="s">
        <v>72</v>
      </c>
      <c r="F7481" t="s">
        <v>166</v>
      </c>
      <c r="G7481" t="s">
        <v>250</v>
      </c>
      <c r="H7481" t="str">
        <f>"ΑΡΙΔΑΙΑΣ 15 ΗΡΑΚΛΕΙΟ"</f>
        <v>ΑΡΙΔΑΙΑΣ 15 ΗΡΑΚΛΕΙΟ</v>
      </c>
      <c r="I7481">
        <v>71409</v>
      </c>
      <c r="J7481">
        <v>2810212944</v>
      </c>
      <c r="K7481">
        <v>6947800295</v>
      </c>
      <c r="N7481" t="s">
        <v>615</v>
      </c>
      <c r="O7481" t="s">
        <v>616</v>
      </c>
      <c r="R7481" t="s">
        <v>57</v>
      </c>
      <c r="S7481">
        <v>15</v>
      </c>
      <c r="T7481">
        <v>159</v>
      </c>
      <c r="U7481" s="1">
        <v>32385</v>
      </c>
      <c r="V7481" t="s">
        <v>80</v>
      </c>
      <c r="W7481" t="s">
        <v>81</v>
      </c>
      <c r="X7481" t="s">
        <v>58</v>
      </c>
      <c r="Y7481">
        <v>21</v>
      </c>
      <c r="Z7481" t="s">
        <v>59</v>
      </c>
      <c r="AA7481" t="s">
        <v>59</v>
      </c>
      <c r="AB7481" t="s">
        <v>59</v>
      </c>
      <c r="AC7481" t="s">
        <v>59</v>
      </c>
      <c r="AD7481" t="s">
        <v>59</v>
      </c>
      <c r="AF7481" s="1">
        <v>32387</v>
      </c>
      <c r="AG7481" t="s">
        <v>8645</v>
      </c>
      <c r="AH7481" t="s">
        <v>8646</v>
      </c>
      <c r="AI7481" t="str">
        <f>"9170517"</f>
        <v>9170517</v>
      </c>
      <c r="AJ7481" t="s">
        <v>9248</v>
      </c>
      <c r="AK7481">
        <v>2810238757</v>
      </c>
      <c r="AL7481" t="s">
        <v>9249</v>
      </c>
      <c r="AM7481" t="s">
        <v>78</v>
      </c>
      <c r="AN7481" t="s">
        <v>78</v>
      </c>
      <c r="AO7481" t="s">
        <v>78</v>
      </c>
      <c r="AP7481" t="s">
        <v>163</v>
      </c>
      <c r="AQ7481">
        <v>1</v>
      </c>
      <c r="AR7481" t="s">
        <v>80</v>
      </c>
      <c r="AS7481" t="s">
        <v>81</v>
      </c>
      <c r="AT7481" t="s">
        <v>58</v>
      </c>
      <c r="AU7481" t="s">
        <v>68</v>
      </c>
      <c r="AV7481" t="s">
        <v>69</v>
      </c>
      <c r="AW7481" s="1">
        <v>23682</v>
      </c>
      <c r="AX7481">
        <v>1</v>
      </c>
    </row>
    <row r="7482" spans="1:50">
      <c r="A7482">
        <v>600908</v>
      </c>
      <c r="B7482" t="str">
        <f>"114299310"</f>
        <v>114299310</v>
      </c>
      <c r="C7482" t="s">
        <v>50</v>
      </c>
      <c r="D7482" t="s">
        <v>11818</v>
      </c>
      <c r="E7482" t="s">
        <v>215</v>
      </c>
      <c r="F7482" t="s">
        <v>1506</v>
      </c>
      <c r="G7482" t="s">
        <v>181</v>
      </c>
      <c r="H7482" t="str">
        <f>"ΠΑΝΔΑΡΕΩ 51, ΑΓΙΟΣ ΙΩΑΝΝΗΣ ΗΡΑΚΛΕΙΟ"</f>
        <v>ΠΑΝΔΑΡΕΩ 51, ΑΓΙΟΣ ΙΩΑΝΝΗΣ ΗΡΑΚΛΕΙΟ</v>
      </c>
      <c r="I7482">
        <v>71303</v>
      </c>
      <c r="J7482">
        <v>2810311157</v>
      </c>
      <c r="K7482">
        <v>6972717144</v>
      </c>
      <c r="N7482" t="s">
        <v>615</v>
      </c>
      <c r="O7482" t="s">
        <v>616</v>
      </c>
      <c r="R7482" t="s">
        <v>57</v>
      </c>
      <c r="S7482">
        <v>8</v>
      </c>
      <c r="T7482">
        <v>207</v>
      </c>
      <c r="U7482" s="1">
        <v>37866</v>
      </c>
      <c r="V7482" t="s">
        <v>80</v>
      </c>
      <c r="W7482" t="s">
        <v>81</v>
      </c>
      <c r="X7482" t="s">
        <v>58</v>
      </c>
      <c r="Y7482">
        <v>22</v>
      </c>
      <c r="Z7482" t="s">
        <v>59</v>
      </c>
      <c r="AA7482" t="s">
        <v>59</v>
      </c>
      <c r="AB7482" t="s">
        <v>59</v>
      </c>
      <c r="AC7482" t="s">
        <v>59</v>
      </c>
      <c r="AD7482" t="s">
        <v>59</v>
      </c>
      <c r="AF7482" s="1">
        <v>37866</v>
      </c>
      <c r="AG7482" t="s">
        <v>8645</v>
      </c>
      <c r="AH7482" t="s">
        <v>8646</v>
      </c>
      <c r="AI7482" t="str">
        <f>"9170515"</f>
        <v>9170515</v>
      </c>
      <c r="AJ7482" t="s">
        <v>8790</v>
      </c>
      <c r="AK7482">
        <v>2810254821</v>
      </c>
      <c r="AL7482" t="s">
        <v>8791</v>
      </c>
      <c r="AM7482" t="s">
        <v>78</v>
      </c>
      <c r="AN7482" t="s">
        <v>78</v>
      </c>
      <c r="AO7482" t="s">
        <v>78</v>
      </c>
      <c r="AP7482" t="s">
        <v>163</v>
      </c>
      <c r="AQ7482">
        <v>1</v>
      </c>
      <c r="AR7482" t="s">
        <v>80</v>
      </c>
      <c r="AS7482" t="s">
        <v>81</v>
      </c>
      <c r="AT7482" t="s">
        <v>58</v>
      </c>
      <c r="AU7482" t="s">
        <v>68</v>
      </c>
      <c r="AV7482" t="s">
        <v>69</v>
      </c>
      <c r="AW7482" s="1">
        <v>27954</v>
      </c>
      <c r="AX7482">
        <v>1</v>
      </c>
    </row>
    <row r="7483" spans="1:50">
      <c r="A7483">
        <v>613191</v>
      </c>
      <c r="B7483" t="str">
        <f>"103531723"</f>
        <v>103531723</v>
      </c>
      <c r="C7483" t="s">
        <v>50</v>
      </c>
      <c r="D7483" t="s">
        <v>11819</v>
      </c>
      <c r="E7483" t="s">
        <v>83</v>
      </c>
      <c r="F7483" t="s">
        <v>53</v>
      </c>
      <c r="G7483" t="s">
        <v>52</v>
      </c>
      <c r="H7483" t="str">
        <f>"ΜΟΝΗ ΓΩΝΙΑΣ 31 ΗΡΑΚΛΕΙΟ"</f>
        <v>ΜΟΝΗ ΓΩΝΙΑΣ 31 ΗΡΑΚΛΕΙΟ</v>
      </c>
      <c r="I7483">
        <v>71307</v>
      </c>
      <c r="J7483">
        <v>2815004314</v>
      </c>
      <c r="K7483">
        <v>6993929764</v>
      </c>
      <c r="N7483" t="s">
        <v>615</v>
      </c>
      <c r="O7483" t="s">
        <v>616</v>
      </c>
      <c r="R7483" t="s">
        <v>57</v>
      </c>
      <c r="S7483">
        <v>6</v>
      </c>
      <c r="T7483">
        <v>598</v>
      </c>
      <c r="U7483" s="1">
        <v>39310</v>
      </c>
      <c r="V7483" t="s">
        <v>80</v>
      </c>
      <c r="W7483" t="s">
        <v>81</v>
      </c>
      <c r="X7483" t="s">
        <v>58</v>
      </c>
      <c r="Y7483">
        <v>23</v>
      </c>
      <c r="Z7483" t="s">
        <v>59</v>
      </c>
      <c r="AA7483" t="s">
        <v>59</v>
      </c>
      <c r="AB7483" t="s">
        <v>59</v>
      </c>
      <c r="AC7483" t="s">
        <v>59</v>
      </c>
      <c r="AD7483" t="s">
        <v>59</v>
      </c>
      <c r="AF7483" s="1">
        <v>39328</v>
      </c>
      <c r="AG7483" t="s">
        <v>8645</v>
      </c>
      <c r="AH7483" t="s">
        <v>8646</v>
      </c>
      <c r="AI7483" t="str">
        <f>"9170109"</f>
        <v>9170109</v>
      </c>
      <c r="AJ7483" t="s">
        <v>9056</v>
      </c>
      <c r="AK7483">
        <v>2810212659</v>
      </c>
      <c r="AL7483" t="s">
        <v>9057</v>
      </c>
      <c r="AM7483" t="s">
        <v>78</v>
      </c>
      <c r="AN7483" t="s">
        <v>78</v>
      </c>
      <c r="AO7483" t="s">
        <v>78</v>
      </c>
      <c r="AP7483" t="s">
        <v>163</v>
      </c>
      <c r="AQ7483">
        <v>1</v>
      </c>
      <c r="AR7483" t="s">
        <v>80</v>
      </c>
      <c r="AS7483" t="s">
        <v>81</v>
      </c>
      <c r="AT7483" t="s">
        <v>58</v>
      </c>
      <c r="AU7483" t="s">
        <v>68</v>
      </c>
      <c r="AV7483" t="s">
        <v>69</v>
      </c>
      <c r="AW7483" s="1">
        <v>30069</v>
      </c>
      <c r="AX7483">
        <v>1</v>
      </c>
    </row>
    <row r="7484" spans="1:50">
      <c r="B7484" t="str">
        <f>"159654750"</f>
        <v>159654750</v>
      </c>
      <c r="C7484" t="s">
        <v>50</v>
      </c>
      <c r="D7484" t="s">
        <v>11820</v>
      </c>
      <c r="E7484" t="s">
        <v>143</v>
      </c>
      <c r="F7484" t="s">
        <v>995</v>
      </c>
      <c r="G7484" t="s">
        <v>372</v>
      </c>
      <c r="H7484" t="str">
        <f>"ΠΤΟΛΕΜΑΙΩΝ 3 "</f>
        <v xml:space="preserve">ΠΤΟΛΕΜΑΙΩΝ 3 </v>
      </c>
      <c r="K7484">
        <v>6978861721</v>
      </c>
      <c r="N7484" t="s">
        <v>8694</v>
      </c>
      <c r="O7484" t="s">
        <v>8695</v>
      </c>
      <c r="R7484" t="s">
        <v>159</v>
      </c>
      <c r="S7484">
        <v>1</v>
      </c>
      <c r="T7484" t="s">
        <v>8835</v>
      </c>
      <c r="U7484" s="1">
        <v>43348</v>
      </c>
      <c r="V7484" t="s">
        <v>80</v>
      </c>
      <c r="W7484" t="s">
        <v>81</v>
      </c>
      <c r="X7484" t="s">
        <v>58</v>
      </c>
      <c r="Y7484">
        <v>24</v>
      </c>
      <c r="Z7484" t="s">
        <v>59</v>
      </c>
      <c r="AA7484" t="s">
        <v>59</v>
      </c>
      <c r="AB7484" t="s">
        <v>59</v>
      </c>
      <c r="AD7484" t="s">
        <v>59</v>
      </c>
      <c r="AF7484" s="1">
        <v>43348</v>
      </c>
      <c r="AG7484" t="s">
        <v>8645</v>
      </c>
      <c r="AH7484" t="s">
        <v>8646</v>
      </c>
      <c r="AI7484" t="str">
        <f>"9170531"</f>
        <v>9170531</v>
      </c>
      <c r="AJ7484" t="s">
        <v>8980</v>
      </c>
      <c r="AK7484">
        <v>2810229104</v>
      </c>
      <c r="AL7484" t="s">
        <v>8981</v>
      </c>
      <c r="AM7484" t="s">
        <v>78</v>
      </c>
      <c r="AN7484" t="s">
        <v>78</v>
      </c>
      <c r="AO7484" t="s">
        <v>78</v>
      </c>
      <c r="AP7484" t="s">
        <v>79</v>
      </c>
      <c r="AQ7484">
        <v>1</v>
      </c>
      <c r="AR7484" t="s">
        <v>80</v>
      </c>
      <c r="AS7484" t="s">
        <v>81</v>
      </c>
      <c r="AT7484" t="s">
        <v>58</v>
      </c>
      <c r="AU7484" t="s">
        <v>131</v>
      </c>
      <c r="AV7484" t="s">
        <v>132</v>
      </c>
      <c r="AW7484" s="1">
        <v>34136</v>
      </c>
      <c r="AX7484">
        <v>1</v>
      </c>
    </row>
    <row r="7485" spans="1:50">
      <c r="A7485">
        <v>614540</v>
      </c>
      <c r="B7485" t="str">
        <f>"133562090"</f>
        <v>133562090</v>
      </c>
      <c r="C7485" t="s">
        <v>50</v>
      </c>
      <c r="D7485" t="s">
        <v>11821</v>
      </c>
      <c r="E7485" t="s">
        <v>11822</v>
      </c>
      <c r="F7485" t="s">
        <v>166</v>
      </c>
      <c r="G7485" t="s">
        <v>221</v>
      </c>
      <c r="H7485" t="str">
        <f>"Μ. ΑΝΔΡΟΝΙΚΟΥ 3 ΗΡΑΚΛΕΙΟ"</f>
        <v>Μ. ΑΝΔΡΟΝΙΚΟΥ 3 ΗΡΑΚΛΕΙΟ</v>
      </c>
      <c r="I7485">
        <v>71400</v>
      </c>
      <c r="J7485">
        <v>2810230198</v>
      </c>
      <c r="K7485">
        <v>6972031209</v>
      </c>
      <c r="N7485" t="s">
        <v>615</v>
      </c>
      <c r="O7485" t="s">
        <v>616</v>
      </c>
      <c r="R7485" t="s">
        <v>57</v>
      </c>
      <c r="S7485">
        <v>6</v>
      </c>
      <c r="T7485">
        <v>598</v>
      </c>
      <c r="U7485" s="1">
        <v>39310</v>
      </c>
      <c r="V7485" t="s">
        <v>80</v>
      </c>
      <c r="W7485" t="s">
        <v>81</v>
      </c>
      <c r="X7485" t="s">
        <v>58</v>
      </c>
      <c r="Y7485">
        <v>23</v>
      </c>
      <c r="Z7485" t="s">
        <v>59</v>
      </c>
      <c r="AA7485" t="s">
        <v>59</v>
      </c>
      <c r="AB7485" t="s">
        <v>59</v>
      </c>
      <c r="AC7485" t="s">
        <v>59</v>
      </c>
      <c r="AD7485" t="s">
        <v>59</v>
      </c>
      <c r="AF7485" s="1">
        <v>39328</v>
      </c>
      <c r="AG7485" t="s">
        <v>8645</v>
      </c>
      <c r="AH7485" t="s">
        <v>8646</v>
      </c>
      <c r="AI7485" t="str">
        <f>"9170268"</f>
        <v>9170268</v>
      </c>
      <c r="AJ7485" t="s">
        <v>9301</v>
      </c>
      <c r="AK7485">
        <v>2892022710</v>
      </c>
      <c r="AL7485" t="s">
        <v>9302</v>
      </c>
      <c r="AM7485" t="s">
        <v>78</v>
      </c>
      <c r="AN7485" t="s">
        <v>242</v>
      </c>
      <c r="AO7485" t="s">
        <v>243</v>
      </c>
      <c r="AP7485" t="s">
        <v>243</v>
      </c>
      <c r="AQ7485">
        <v>20</v>
      </c>
      <c r="AR7485" t="s">
        <v>80</v>
      </c>
      <c r="AS7485" t="s">
        <v>81</v>
      </c>
      <c r="AT7485" t="s">
        <v>58</v>
      </c>
      <c r="AU7485" t="s">
        <v>68</v>
      </c>
      <c r="AV7485" t="s">
        <v>69</v>
      </c>
      <c r="AW7485" s="1">
        <v>30717</v>
      </c>
      <c r="AX7485">
        <v>1</v>
      </c>
    </row>
    <row r="7486" spans="1:50">
      <c r="B7486" t="str">
        <f>"131041880"</f>
        <v>131041880</v>
      </c>
      <c r="C7486" t="s">
        <v>50</v>
      </c>
      <c r="D7486" t="s">
        <v>11823</v>
      </c>
      <c r="E7486" t="s">
        <v>52</v>
      </c>
      <c r="F7486" t="s">
        <v>153</v>
      </c>
      <c r="G7486" t="s">
        <v>460</v>
      </c>
      <c r="H7486" t="str">
        <f>" "</f>
        <v xml:space="preserve"> </v>
      </c>
      <c r="K7486">
        <v>6973713115</v>
      </c>
      <c r="M7486" t="s">
        <v>11824</v>
      </c>
      <c r="N7486" t="s">
        <v>1525</v>
      </c>
      <c r="O7486" t="s">
        <v>1526</v>
      </c>
      <c r="R7486" t="s">
        <v>159</v>
      </c>
      <c r="S7486">
        <v>3</v>
      </c>
      <c r="T7486" t="s">
        <v>10716</v>
      </c>
      <c r="U7486" s="1">
        <v>43377</v>
      </c>
      <c r="V7486" t="s">
        <v>80</v>
      </c>
      <c r="W7486" t="s">
        <v>81</v>
      </c>
      <c r="X7486" t="s">
        <v>58</v>
      </c>
      <c r="Y7486">
        <v>25</v>
      </c>
      <c r="Z7486" t="s">
        <v>59</v>
      </c>
      <c r="AA7486" t="s">
        <v>59</v>
      </c>
      <c r="AB7486" t="s">
        <v>59</v>
      </c>
      <c r="AD7486" t="s">
        <v>59</v>
      </c>
      <c r="AF7486" s="1">
        <v>43377</v>
      </c>
      <c r="AG7486" t="s">
        <v>8651</v>
      </c>
      <c r="AH7486" t="s">
        <v>8652</v>
      </c>
      <c r="AI7486" t="str">
        <f>"9170398"</f>
        <v>9170398</v>
      </c>
      <c r="AJ7486" t="s">
        <v>9593</v>
      </c>
      <c r="AK7486">
        <v>2892053478</v>
      </c>
      <c r="AL7486" t="s">
        <v>9594</v>
      </c>
      <c r="AM7486" t="s">
        <v>78</v>
      </c>
      <c r="AN7486" t="s">
        <v>242</v>
      </c>
      <c r="AO7486" t="s">
        <v>349</v>
      </c>
      <c r="AP7486" t="s">
        <v>349</v>
      </c>
      <c r="AQ7486">
        <v>19</v>
      </c>
      <c r="AR7486" t="s">
        <v>80</v>
      </c>
      <c r="AS7486" t="s">
        <v>81</v>
      </c>
      <c r="AT7486" t="s">
        <v>58</v>
      </c>
      <c r="AU7486" t="s">
        <v>8673</v>
      </c>
      <c r="AV7486" t="s">
        <v>132</v>
      </c>
      <c r="AW7486" s="1">
        <v>30082</v>
      </c>
      <c r="AX7486">
        <v>1</v>
      </c>
    </row>
    <row r="7487" spans="1:50">
      <c r="A7487">
        <v>702854</v>
      </c>
      <c r="B7487" t="str">
        <f>"047213893"</f>
        <v>047213893</v>
      </c>
      <c r="C7487" t="s">
        <v>105</v>
      </c>
      <c r="D7487" t="s">
        <v>8612</v>
      </c>
      <c r="E7487" t="s">
        <v>154</v>
      </c>
      <c r="F7487" t="s">
        <v>5013</v>
      </c>
      <c r="G7487" t="s">
        <v>83</v>
      </c>
      <c r="H7487" t="str">
        <f>"ΣΤΑΥΡΑΚΙΑ ΣΤΑΥΡΑΚΙΑ"</f>
        <v>ΣΤΑΥΡΑΚΙΑ ΣΤΑΥΡΑΚΙΑ</v>
      </c>
      <c r="I7487">
        <v>70013</v>
      </c>
      <c r="K7487">
        <v>6945810292</v>
      </c>
      <c r="N7487" t="s">
        <v>9457</v>
      </c>
      <c r="O7487" t="s">
        <v>9458</v>
      </c>
      <c r="R7487" t="s">
        <v>57</v>
      </c>
      <c r="S7487">
        <v>9</v>
      </c>
      <c r="T7487">
        <v>1208</v>
      </c>
      <c r="U7487" s="1">
        <v>40533</v>
      </c>
      <c r="V7487" t="s">
        <v>80</v>
      </c>
      <c r="W7487" t="s">
        <v>81</v>
      </c>
      <c r="X7487" t="s">
        <v>58</v>
      </c>
      <c r="Y7487">
        <v>24</v>
      </c>
      <c r="Z7487" t="s">
        <v>59</v>
      </c>
      <c r="AA7487" t="s">
        <v>59</v>
      </c>
      <c r="AB7487" t="s">
        <v>59</v>
      </c>
      <c r="AC7487" t="s">
        <v>59</v>
      </c>
      <c r="AD7487" t="s">
        <v>59</v>
      </c>
      <c r="AF7487" s="1">
        <v>40542</v>
      </c>
      <c r="AG7487" t="s">
        <v>8645</v>
      </c>
      <c r="AH7487" t="s">
        <v>8697</v>
      </c>
      <c r="AI7487" t="str">
        <f>"9170511"</f>
        <v>9170511</v>
      </c>
      <c r="AJ7487" t="s">
        <v>8698</v>
      </c>
      <c r="AK7487">
        <v>2810316275</v>
      </c>
      <c r="AL7487" t="s">
        <v>8699</v>
      </c>
      <c r="AM7487" t="s">
        <v>78</v>
      </c>
      <c r="AN7487" t="s">
        <v>78</v>
      </c>
      <c r="AO7487" t="s">
        <v>78</v>
      </c>
      <c r="AP7487" t="s">
        <v>141</v>
      </c>
      <c r="AQ7487">
        <v>1</v>
      </c>
      <c r="AR7487" t="s">
        <v>80</v>
      </c>
      <c r="AS7487" t="s">
        <v>81</v>
      </c>
      <c r="AT7487" t="s">
        <v>58</v>
      </c>
      <c r="AU7487" t="s">
        <v>68</v>
      </c>
      <c r="AV7487" t="s">
        <v>69</v>
      </c>
      <c r="AW7487" s="1">
        <v>26301</v>
      </c>
      <c r="AX7487">
        <v>1</v>
      </c>
    </row>
    <row r="7488" spans="1:50">
      <c r="A7488">
        <v>565268</v>
      </c>
      <c r="B7488" t="str">
        <f>"103818261"</f>
        <v>103818261</v>
      </c>
      <c r="C7488" t="s">
        <v>50</v>
      </c>
      <c r="D7488" t="s">
        <v>11825</v>
      </c>
      <c r="E7488" t="s">
        <v>237</v>
      </c>
      <c r="F7488" t="s">
        <v>95</v>
      </c>
      <c r="G7488" t="s">
        <v>563</v>
      </c>
      <c r="H7488" t="str">
        <f>"ΠΑΠΑΠΕΤΡΟΥ ΓΑΒΑΛΑ 8 ΗΡΑΚΛΕΙΟ"</f>
        <v>ΠΑΠΑΠΕΤΡΟΥ ΓΑΒΑΛΑ 8 ΗΡΑΚΛΕΙΟ</v>
      </c>
      <c r="I7488">
        <v>71409</v>
      </c>
      <c r="J7488">
        <v>2810212402</v>
      </c>
      <c r="K7488">
        <v>6976695310</v>
      </c>
      <c r="N7488" t="s">
        <v>615</v>
      </c>
      <c r="O7488" t="s">
        <v>616</v>
      </c>
      <c r="R7488" t="s">
        <v>57</v>
      </c>
      <c r="S7488">
        <v>15</v>
      </c>
      <c r="T7488">
        <v>161</v>
      </c>
      <c r="U7488" s="1">
        <v>33146</v>
      </c>
      <c r="V7488" t="s">
        <v>80</v>
      </c>
      <c r="W7488" t="s">
        <v>81</v>
      </c>
      <c r="X7488" t="s">
        <v>58</v>
      </c>
      <c r="Y7488">
        <v>21</v>
      </c>
      <c r="Z7488" t="s">
        <v>59</v>
      </c>
      <c r="AA7488" t="s">
        <v>59</v>
      </c>
      <c r="AB7488" t="s">
        <v>59</v>
      </c>
      <c r="AC7488" t="s">
        <v>59</v>
      </c>
      <c r="AD7488" t="s">
        <v>59</v>
      </c>
      <c r="AF7488" s="1">
        <v>33146</v>
      </c>
      <c r="AG7488" t="s">
        <v>8645</v>
      </c>
      <c r="AH7488" t="s">
        <v>8646</v>
      </c>
      <c r="AI7488" t="str">
        <f>"9170108"</f>
        <v>9170108</v>
      </c>
      <c r="AJ7488" t="s">
        <v>8863</v>
      </c>
      <c r="AK7488">
        <v>2810232111</v>
      </c>
      <c r="AL7488" t="s">
        <v>8864</v>
      </c>
      <c r="AM7488" t="s">
        <v>78</v>
      </c>
      <c r="AN7488" t="s">
        <v>78</v>
      </c>
      <c r="AO7488" t="s">
        <v>78</v>
      </c>
      <c r="AP7488" t="s">
        <v>163</v>
      </c>
      <c r="AQ7488">
        <v>1</v>
      </c>
      <c r="AR7488" t="s">
        <v>80</v>
      </c>
      <c r="AS7488" t="s">
        <v>81</v>
      </c>
      <c r="AT7488" t="s">
        <v>58</v>
      </c>
      <c r="AU7488" t="s">
        <v>68</v>
      </c>
      <c r="AV7488" t="s">
        <v>69</v>
      </c>
      <c r="AW7488" s="1">
        <v>24314</v>
      </c>
      <c r="AX7488">
        <v>1</v>
      </c>
    </row>
    <row r="7489" spans="1:50">
      <c r="A7489">
        <v>578554</v>
      </c>
      <c r="B7489" t="str">
        <f>"025954973"</f>
        <v>025954973</v>
      </c>
      <c r="C7489" t="s">
        <v>50</v>
      </c>
      <c r="D7489" t="s">
        <v>11825</v>
      </c>
      <c r="E7489" t="s">
        <v>52</v>
      </c>
      <c r="F7489" t="s">
        <v>95</v>
      </c>
      <c r="G7489" t="s">
        <v>566</v>
      </c>
      <c r="H7489" t="str">
        <f>" "</f>
        <v xml:space="preserve"> </v>
      </c>
      <c r="N7489" t="s">
        <v>615</v>
      </c>
      <c r="O7489" t="s">
        <v>616</v>
      </c>
      <c r="R7489" t="s">
        <v>57</v>
      </c>
      <c r="S7489">
        <v>13</v>
      </c>
      <c r="T7489">
        <v>165</v>
      </c>
      <c r="U7489" s="1">
        <v>35300</v>
      </c>
      <c r="V7489" t="s">
        <v>80</v>
      </c>
      <c r="W7489" t="s">
        <v>81</v>
      </c>
      <c r="X7489" t="s">
        <v>58</v>
      </c>
      <c r="Y7489">
        <v>21</v>
      </c>
      <c r="Z7489" t="s">
        <v>59</v>
      </c>
      <c r="AA7489" t="s">
        <v>59</v>
      </c>
      <c r="AB7489" t="s">
        <v>59</v>
      </c>
      <c r="AC7489" t="s">
        <v>59</v>
      </c>
      <c r="AD7489" t="s">
        <v>59</v>
      </c>
      <c r="AF7489" s="1">
        <v>35313</v>
      </c>
      <c r="AG7489" t="s">
        <v>8645</v>
      </c>
      <c r="AH7489" t="s">
        <v>8646</v>
      </c>
      <c r="AI7489" t="str">
        <f>"9170516"</f>
        <v>9170516</v>
      </c>
      <c r="AJ7489" t="s">
        <v>8746</v>
      </c>
      <c r="AK7489">
        <v>2810236861</v>
      </c>
      <c r="AL7489" t="s">
        <v>8747</v>
      </c>
      <c r="AM7489" t="s">
        <v>78</v>
      </c>
      <c r="AN7489" t="s">
        <v>78</v>
      </c>
      <c r="AO7489" t="s">
        <v>78</v>
      </c>
      <c r="AP7489" t="s">
        <v>163</v>
      </c>
      <c r="AQ7489">
        <v>1</v>
      </c>
      <c r="AR7489" t="s">
        <v>80</v>
      </c>
      <c r="AS7489" t="s">
        <v>81</v>
      </c>
      <c r="AT7489" t="s">
        <v>58</v>
      </c>
      <c r="AU7489" t="s">
        <v>68</v>
      </c>
      <c r="AV7489" t="s">
        <v>69</v>
      </c>
      <c r="AW7489" s="1">
        <v>22971</v>
      </c>
      <c r="AX7489">
        <v>1</v>
      </c>
    </row>
    <row r="7490" spans="1:50">
      <c r="A7490">
        <v>704249</v>
      </c>
      <c r="B7490" t="str">
        <f>"066961213"</f>
        <v>066961213</v>
      </c>
      <c r="C7490" t="s">
        <v>50</v>
      </c>
      <c r="D7490" t="s">
        <v>11826</v>
      </c>
      <c r="E7490" t="s">
        <v>11827</v>
      </c>
      <c r="F7490" t="s">
        <v>1041</v>
      </c>
      <c r="G7490" t="s">
        <v>263</v>
      </c>
      <c r="H7490" t="str">
        <f>"ΜΑΝΤΙΝΕΙΑΣ 17-19 ΘΕΣΣΑΛΟΝΙΚΗ"</f>
        <v>ΜΑΝΤΙΝΕΙΑΣ 17-19 ΘΕΣΣΑΛΟΝΙΚΗ</v>
      </c>
      <c r="I7490">
        <v>54644</v>
      </c>
      <c r="J7490">
        <v>2310824127</v>
      </c>
      <c r="K7490">
        <v>6972358309</v>
      </c>
      <c r="N7490" t="s">
        <v>306</v>
      </c>
      <c r="O7490" t="s">
        <v>307</v>
      </c>
      <c r="R7490" t="s">
        <v>121</v>
      </c>
      <c r="S7490">
        <v>5</v>
      </c>
      <c r="T7490">
        <v>796</v>
      </c>
      <c r="U7490" s="1">
        <v>42968</v>
      </c>
      <c r="V7490" t="s">
        <v>80</v>
      </c>
      <c r="W7490" t="s">
        <v>81</v>
      </c>
      <c r="X7490" t="s">
        <v>58</v>
      </c>
      <c r="Y7490">
        <v>24</v>
      </c>
      <c r="Z7490" t="s">
        <v>59</v>
      </c>
      <c r="AA7490" t="s">
        <v>59</v>
      </c>
      <c r="AB7490" t="s">
        <v>59</v>
      </c>
      <c r="AC7490" t="s">
        <v>59</v>
      </c>
      <c r="AD7490" t="s">
        <v>59</v>
      </c>
      <c r="AF7490" s="1">
        <v>42968</v>
      </c>
      <c r="AG7490" t="s">
        <v>8645</v>
      </c>
      <c r="AH7490" t="s">
        <v>8646</v>
      </c>
      <c r="AI7490" t="str">
        <f>"9170034"</f>
        <v>9170034</v>
      </c>
      <c r="AJ7490" t="s">
        <v>9179</v>
      </c>
      <c r="AK7490">
        <v>2810841217</v>
      </c>
      <c r="AL7490" t="s">
        <v>9180</v>
      </c>
      <c r="AM7490" t="s">
        <v>78</v>
      </c>
      <c r="AN7490" t="s">
        <v>129</v>
      </c>
      <c r="AO7490" t="s">
        <v>130</v>
      </c>
      <c r="AP7490" t="s">
        <v>9181</v>
      </c>
      <c r="AQ7490">
        <v>2</v>
      </c>
      <c r="AR7490" t="s">
        <v>80</v>
      </c>
      <c r="AS7490" t="s">
        <v>81</v>
      </c>
      <c r="AT7490" t="s">
        <v>58</v>
      </c>
      <c r="AU7490" t="s">
        <v>68</v>
      </c>
      <c r="AV7490" t="s">
        <v>69</v>
      </c>
      <c r="AW7490" s="1">
        <v>28126</v>
      </c>
      <c r="AX7490">
        <v>1</v>
      </c>
    </row>
    <row r="7491" spans="1:50">
      <c r="B7491" t="str">
        <f>"141352627"</f>
        <v>141352627</v>
      </c>
      <c r="C7491" t="s">
        <v>50</v>
      </c>
      <c r="D7491" t="s">
        <v>11828</v>
      </c>
      <c r="E7491" t="s">
        <v>905</v>
      </c>
      <c r="F7491" t="s">
        <v>95</v>
      </c>
      <c r="G7491" t="s">
        <v>54</v>
      </c>
      <c r="H7491" t="str">
        <f>"ΤΑΛΩΣ 7 "</f>
        <v xml:space="preserve">ΤΑΛΩΣ 7 </v>
      </c>
      <c r="I7491">
        <v>71201</v>
      </c>
      <c r="J7491">
        <v>2810283941</v>
      </c>
      <c r="K7491">
        <v>6948836987</v>
      </c>
      <c r="N7491" t="s">
        <v>1525</v>
      </c>
      <c r="O7491" t="s">
        <v>1526</v>
      </c>
      <c r="R7491" t="s">
        <v>159</v>
      </c>
      <c r="S7491">
        <v>3</v>
      </c>
      <c r="T7491" t="s">
        <v>8670</v>
      </c>
      <c r="U7491" s="1">
        <v>43348</v>
      </c>
      <c r="V7491" t="s">
        <v>80</v>
      </c>
      <c r="W7491" t="s">
        <v>81</v>
      </c>
      <c r="X7491" t="s">
        <v>58</v>
      </c>
      <c r="Y7491">
        <v>25</v>
      </c>
      <c r="Z7491" t="s">
        <v>59</v>
      </c>
      <c r="AA7491" t="s">
        <v>59</v>
      </c>
      <c r="AB7491" t="s">
        <v>59</v>
      </c>
      <c r="AC7491" t="s">
        <v>59</v>
      </c>
      <c r="AD7491" t="s">
        <v>59</v>
      </c>
      <c r="AF7491" s="1">
        <v>43348</v>
      </c>
      <c r="AG7491" t="s">
        <v>8651</v>
      </c>
      <c r="AH7491" t="s">
        <v>8652</v>
      </c>
      <c r="AI7491" t="str">
        <f>"9170457"</f>
        <v>9170457</v>
      </c>
      <c r="AJ7491" t="s">
        <v>10081</v>
      </c>
      <c r="AK7491">
        <v>2810823321</v>
      </c>
      <c r="AL7491" t="s">
        <v>10082</v>
      </c>
      <c r="AM7491" t="s">
        <v>78</v>
      </c>
      <c r="AN7491" t="s">
        <v>129</v>
      </c>
      <c r="AO7491" t="s">
        <v>130</v>
      </c>
      <c r="AP7491" t="s">
        <v>130</v>
      </c>
      <c r="AQ7491">
        <v>1</v>
      </c>
      <c r="AR7491" t="s">
        <v>80</v>
      </c>
      <c r="AS7491" t="s">
        <v>81</v>
      </c>
      <c r="AT7491" t="s">
        <v>58</v>
      </c>
      <c r="AU7491" t="s">
        <v>8673</v>
      </c>
      <c r="AV7491" t="s">
        <v>132</v>
      </c>
      <c r="AW7491" s="1">
        <v>31732</v>
      </c>
      <c r="AX7491">
        <v>1</v>
      </c>
    </row>
    <row r="7492" spans="1:50">
      <c r="A7492">
        <v>609917</v>
      </c>
      <c r="B7492" t="str">
        <f>"064583078"</f>
        <v>064583078</v>
      </c>
      <c r="C7492" t="s">
        <v>50</v>
      </c>
      <c r="D7492" t="s">
        <v>11828</v>
      </c>
      <c r="E7492" t="s">
        <v>3604</v>
      </c>
      <c r="F7492" t="s">
        <v>95</v>
      </c>
      <c r="G7492" t="s">
        <v>566</v>
      </c>
      <c r="H7492" t="str">
        <f>"ΑΝΘΕΩΝ 12 ΗΡΑΚΛΕΙΟ"</f>
        <v>ΑΝΘΕΩΝ 12 ΗΡΑΚΛΕΙΟ</v>
      </c>
      <c r="I7492">
        <v>71409</v>
      </c>
      <c r="J7492">
        <v>2810210532</v>
      </c>
      <c r="K7492">
        <v>6974003946</v>
      </c>
      <c r="N7492" t="s">
        <v>306</v>
      </c>
      <c r="O7492" t="s">
        <v>307</v>
      </c>
      <c r="R7492" t="s">
        <v>57</v>
      </c>
      <c r="S7492">
        <v>8</v>
      </c>
      <c r="T7492">
        <v>249</v>
      </c>
      <c r="U7492" s="1">
        <v>38617</v>
      </c>
      <c r="V7492" t="s">
        <v>80</v>
      </c>
      <c r="W7492" t="s">
        <v>81</v>
      </c>
      <c r="X7492" t="s">
        <v>58</v>
      </c>
      <c r="Y7492">
        <v>23</v>
      </c>
      <c r="Z7492" t="s">
        <v>59</v>
      </c>
      <c r="AA7492" t="s">
        <v>59</v>
      </c>
      <c r="AB7492" t="s">
        <v>59</v>
      </c>
      <c r="AC7492" t="s">
        <v>59</v>
      </c>
      <c r="AD7492" t="s">
        <v>59</v>
      </c>
      <c r="AF7492" s="1">
        <v>38621</v>
      </c>
      <c r="AG7492" t="s">
        <v>8645</v>
      </c>
      <c r="AH7492" t="s">
        <v>8646</v>
      </c>
      <c r="AI7492" t="str">
        <f>"9170535"</f>
        <v>9170535</v>
      </c>
      <c r="AJ7492" t="s">
        <v>9330</v>
      </c>
      <c r="AK7492">
        <v>2810222629</v>
      </c>
      <c r="AL7492" t="s">
        <v>9331</v>
      </c>
      <c r="AM7492" t="s">
        <v>78</v>
      </c>
      <c r="AN7492" t="s">
        <v>78</v>
      </c>
      <c r="AO7492" t="s">
        <v>78</v>
      </c>
      <c r="AP7492" t="s">
        <v>213</v>
      </c>
      <c r="AQ7492">
        <v>1</v>
      </c>
      <c r="AR7492" t="s">
        <v>80</v>
      </c>
      <c r="AS7492" t="s">
        <v>81</v>
      </c>
      <c r="AT7492" t="s">
        <v>58</v>
      </c>
      <c r="AU7492" t="s">
        <v>68</v>
      </c>
      <c r="AV7492" t="s">
        <v>69</v>
      </c>
      <c r="AW7492" s="1">
        <v>28749</v>
      </c>
      <c r="AX7492">
        <v>1</v>
      </c>
    </row>
    <row r="7493" spans="1:50">
      <c r="A7493">
        <v>559110</v>
      </c>
      <c r="B7493" t="str">
        <f>"031600757"</f>
        <v>031600757</v>
      </c>
      <c r="C7493" t="s">
        <v>50</v>
      </c>
      <c r="D7493" t="s">
        <v>11828</v>
      </c>
      <c r="E7493" t="s">
        <v>52</v>
      </c>
      <c r="F7493" t="s">
        <v>106</v>
      </c>
      <c r="G7493" t="s">
        <v>54</v>
      </c>
      <c r="H7493" t="str">
        <f>"ΔΕΛΑΠΟΡΤΑ 16 ΑΓΙΟΣ ΙΩΑΝΝΗΣ"</f>
        <v>ΔΕΛΑΠΟΡΤΑ 16 ΑΓΙΟΣ ΙΩΑΝΝΗΣ</v>
      </c>
      <c r="I7493">
        <v>71409</v>
      </c>
      <c r="J7493">
        <v>2810211767</v>
      </c>
      <c r="K7493">
        <v>6993979620</v>
      </c>
      <c r="N7493" t="s">
        <v>615</v>
      </c>
      <c r="O7493" t="s">
        <v>616</v>
      </c>
      <c r="R7493" t="s">
        <v>57</v>
      </c>
      <c r="S7493">
        <v>16</v>
      </c>
      <c r="T7493">
        <v>168</v>
      </c>
      <c r="U7493" s="1">
        <v>32010</v>
      </c>
      <c r="V7493" t="s">
        <v>80</v>
      </c>
      <c r="W7493" t="s">
        <v>81</v>
      </c>
      <c r="X7493" t="s">
        <v>58</v>
      </c>
      <c r="Y7493">
        <v>21</v>
      </c>
      <c r="Z7493" t="s">
        <v>59</v>
      </c>
      <c r="AA7493" t="s">
        <v>59</v>
      </c>
      <c r="AB7493" t="s">
        <v>59</v>
      </c>
      <c r="AC7493" t="s">
        <v>59</v>
      </c>
      <c r="AD7493" t="s">
        <v>59</v>
      </c>
      <c r="AF7493" s="1">
        <v>32023</v>
      </c>
      <c r="AG7493" t="s">
        <v>8645</v>
      </c>
      <c r="AH7493" t="s">
        <v>8646</v>
      </c>
      <c r="AI7493" t="str">
        <f>"9170534"</f>
        <v>9170534</v>
      </c>
      <c r="AJ7493" t="s">
        <v>8701</v>
      </c>
      <c r="AK7493">
        <v>2810323225</v>
      </c>
      <c r="AL7493" t="s">
        <v>8702</v>
      </c>
      <c r="AM7493" t="s">
        <v>78</v>
      </c>
      <c r="AN7493" t="s">
        <v>78</v>
      </c>
      <c r="AO7493" t="s">
        <v>78</v>
      </c>
      <c r="AP7493" t="s">
        <v>163</v>
      </c>
      <c r="AQ7493">
        <v>1</v>
      </c>
      <c r="AR7493" t="s">
        <v>80</v>
      </c>
      <c r="AS7493" t="s">
        <v>81</v>
      </c>
      <c r="AT7493" t="s">
        <v>58</v>
      </c>
      <c r="AU7493" t="s">
        <v>68</v>
      </c>
      <c r="AV7493" t="s">
        <v>69</v>
      </c>
      <c r="AW7493" s="1">
        <v>23368</v>
      </c>
      <c r="AX7493">
        <v>1</v>
      </c>
    </row>
    <row r="7494" spans="1:50">
      <c r="A7494">
        <v>567099</v>
      </c>
      <c r="B7494" t="str">
        <f>"110114352"</f>
        <v>110114352</v>
      </c>
      <c r="C7494" t="s">
        <v>50</v>
      </c>
      <c r="D7494" t="s">
        <v>11829</v>
      </c>
      <c r="E7494" t="s">
        <v>11830</v>
      </c>
      <c r="F7494" t="s">
        <v>670</v>
      </c>
      <c r="G7494" t="s">
        <v>1306</v>
      </c>
      <c r="H7494" t="str">
        <f>"ΣΤΕΦΑΝΟΓΙΑΝΝΗ &amp; ΣΟΦ. ΒΕΜΠΟ  ΑΓΙΑ ΜΑΡΙΝΑ ΤΣΑΛΙΚΑΚΙ"</f>
        <v>ΣΤΕΦΑΝΟΓΙΑΝΝΗ &amp; ΣΟΦ. ΒΕΜΠΟ  ΑΓΙΑ ΜΑΡΙΝΑ ΤΣΑΛΙΚΑΚΙ</v>
      </c>
      <c r="I7494">
        <v>71414</v>
      </c>
      <c r="J7494">
        <v>2810313423</v>
      </c>
      <c r="K7494">
        <v>6972232286</v>
      </c>
      <c r="N7494" t="s">
        <v>615</v>
      </c>
      <c r="O7494" t="s">
        <v>616</v>
      </c>
      <c r="R7494" t="s">
        <v>57</v>
      </c>
      <c r="S7494">
        <v>17</v>
      </c>
      <c r="T7494">
        <v>133</v>
      </c>
      <c r="U7494" s="1">
        <v>33456</v>
      </c>
      <c r="V7494" t="s">
        <v>80</v>
      </c>
      <c r="W7494" t="s">
        <v>81</v>
      </c>
      <c r="X7494" t="s">
        <v>58</v>
      </c>
      <c r="Y7494">
        <v>21</v>
      </c>
      <c r="Z7494" t="s">
        <v>59</v>
      </c>
      <c r="AA7494" t="s">
        <v>59</v>
      </c>
      <c r="AB7494" t="s">
        <v>59</v>
      </c>
      <c r="AC7494" t="s">
        <v>59</v>
      </c>
      <c r="AD7494" t="s">
        <v>59</v>
      </c>
      <c r="AF7494" s="1">
        <v>33483</v>
      </c>
      <c r="AG7494" t="s">
        <v>8645</v>
      </c>
      <c r="AH7494" t="s">
        <v>8646</v>
      </c>
      <c r="AI7494" t="str">
        <f>"9170017"</f>
        <v>9170017</v>
      </c>
      <c r="AJ7494" t="s">
        <v>9114</v>
      </c>
      <c r="AK7494">
        <v>2810250746</v>
      </c>
      <c r="AL7494" t="s">
        <v>9115</v>
      </c>
      <c r="AM7494" t="s">
        <v>78</v>
      </c>
      <c r="AN7494" t="s">
        <v>129</v>
      </c>
      <c r="AO7494" t="s">
        <v>130</v>
      </c>
      <c r="AP7494" t="s">
        <v>130</v>
      </c>
      <c r="AQ7494">
        <v>1</v>
      </c>
      <c r="AR7494" t="s">
        <v>80</v>
      </c>
      <c r="AS7494" t="s">
        <v>81</v>
      </c>
      <c r="AT7494" t="s">
        <v>58</v>
      </c>
      <c r="AU7494" t="s">
        <v>68</v>
      </c>
      <c r="AV7494" t="s">
        <v>69</v>
      </c>
      <c r="AW7494" s="1">
        <v>24116</v>
      </c>
      <c r="AX7494">
        <v>1</v>
      </c>
    </row>
    <row r="7495" spans="1:50">
      <c r="A7495">
        <v>604843</v>
      </c>
      <c r="B7495" t="str">
        <f>"054148478"</f>
        <v>054148478</v>
      </c>
      <c r="C7495" t="s">
        <v>50</v>
      </c>
      <c r="D7495" t="s">
        <v>11831</v>
      </c>
      <c r="E7495" t="s">
        <v>52</v>
      </c>
      <c r="F7495" t="s">
        <v>72</v>
      </c>
      <c r="G7495" t="s">
        <v>314</v>
      </c>
      <c r="H7495" t="str">
        <f>"Ι. ΚΟΝΔΥΛΑΚΗ 34 ΗΡΑΚΛΕΙΟ"</f>
        <v>Ι. ΚΟΝΔΥΛΑΚΗ 34 ΗΡΑΚΛΕΙΟ</v>
      </c>
      <c r="I7495">
        <v>71305</v>
      </c>
      <c r="J7495">
        <v>2810262061</v>
      </c>
      <c r="K7495">
        <v>6973290504</v>
      </c>
      <c r="M7495" t="s">
        <v>11832</v>
      </c>
      <c r="N7495" t="s">
        <v>615</v>
      </c>
      <c r="O7495" t="s">
        <v>616</v>
      </c>
      <c r="R7495" t="s">
        <v>57</v>
      </c>
      <c r="S7495">
        <v>10</v>
      </c>
      <c r="T7495">
        <v>231</v>
      </c>
      <c r="U7495" s="1">
        <v>38230</v>
      </c>
      <c r="V7495" t="s">
        <v>80</v>
      </c>
      <c r="W7495" t="s">
        <v>81</v>
      </c>
      <c r="X7495" t="s">
        <v>58</v>
      </c>
      <c r="Y7495">
        <v>22</v>
      </c>
      <c r="Z7495" t="s">
        <v>59</v>
      </c>
      <c r="AA7495" t="s">
        <v>59</v>
      </c>
      <c r="AB7495" t="s">
        <v>59</v>
      </c>
      <c r="AC7495" t="s">
        <v>59</v>
      </c>
      <c r="AD7495" t="s">
        <v>59</v>
      </c>
      <c r="AF7495" s="1">
        <v>38231</v>
      </c>
      <c r="AG7495" t="s">
        <v>8645</v>
      </c>
      <c r="AH7495" t="s">
        <v>8646</v>
      </c>
      <c r="AI7495" t="str">
        <f>"9170424"</f>
        <v>9170424</v>
      </c>
      <c r="AJ7495" t="s">
        <v>8860</v>
      </c>
      <c r="AK7495">
        <v>2810254530</v>
      </c>
      <c r="AL7495" t="s">
        <v>8861</v>
      </c>
      <c r="AM7495" t="s">
        <v>78</v>
      </c>
      <c r="AN7495" t="s">
        <v>78</v>
      </c>
      <c r="AO7495" t="s">
        <v>78</v>
      </c>
      <c r="AP7495" t="s">
        <v>163</v>
      </c>
      <c r="AQ7495">
        <v>1</v>
      </c>
      <c r="AR7495" t="s">
        <v>80</v>
      </c>
      <c r="AS7495" t="s">
        <v>81</v>
      </c>
      <c r="AT7495" t="s">
        <v>58</v>
      </c>
      <c r="AU7495" t="s">
        <v>68</v>
      </c>
      <c r="AV7495" t="s">
        <v>69</v>
      </c>
      <c r="AW7495" s="1">
        <v>26567</v>
      </c>
      <c r="AX7495">
        <v>1</v>
      </c>
    </row>
    <row r="7496" spans="1:50">
      <c r="B7496" t="str">
        <f>"132343436"</f>
        <v>132343436</v>
      </c>
      <c r="C7496" t="s">
        <v>50</v>
      </c>
      <c r="D7496" t="s">
        <v>4400</v>
      </c>
      <c r="E7496" t="s">
        <v>237</v>
      </c>
      <c r="F7496" t="s">
        <v>166</v>
      </c>
      <c r="G7496" t="s">
        <v>52</v>
      </c>
      <c r="H7496" t="str">
        <f>"ΚΟΜΟΤΗΝΗΣ 2 "</f>
        <v xml:space="preserve">ΚΟΜΟΤΗΝΗΣ 2 </v>
      </c>
      <c r="I7496">
        <v>71409</v>
      </c>
      <c r="J7496">
        <v>2810237331</v>
      </c>
      <c r="K7496">
        <v>6973232690</v>
      </c>
      <c r="N7496" t="s">
        <v>9829</v>
      </c>
      <c r="O7496" t="s">
        <v>9830</v>
      </c>
      <c r="R7496" t="s">
        <v>159</v>
      </c>
      <c r="S7496">
        <v>5</v>
      </c>
      <c r="T7496" t="s">
        <v>8696</v>
      </c>
      <c r="U7496" s="1">
        <v>43348</v>
      </c>
      <c r="V7496" t="s">
        <v>80</v>
      </c>
      <c r="W7496" t="s">
        <v>81</v>
      </c>
      <c r="X7496" t="s">
        <v>58</v>
      </c>
      <c r="Y7496">
        <v>25</v>
      </c>
      <c r="Z7496" t="s">
        <v>59</v>
      </c>
      <c r="AA7496" t="s">
        <v>59</v>
      </c>
      <c r="AB7496" t="s">
        <v>59</v>
      </c>
      <c r="AC7496" t="s">
        <v>59</v>
      </c>
      <c r="AD7496" t="s">
        <v>59</v>
      </c>
      <c r="AF7496" s="1">
        <v>43348</v>
      </c>
      <c r="AG7496" t="s">
        <v>8651</v>
      </c>
      <c r="AH7496" t="s">
        <v>9015</v>
      </c>
      <c r="AI7496" t="str">
        <f>"9170527"</f>
        <v>9170527</v>
      </c>
      <c r="AJ7496" t="s">
        <v>9016</v>
      </c>
      <c r="AK7496">
        <v>2810282486</v>
      </c>
      <c r="AL7496" t="s">
        <v>9017</v>
      </c>
      <c r="AM7496" t="s">
        <v>78</v>
      </c>
      <c r="AN7496" t="s">
        <v>78</v>
      </c>
      <c r="AO7496" t="s">
        <v>78</v>
      </c>
      <c r="AP7496" t="s">
        <v>79</v>
      </c>
      <c r="AQ7496">
        <v>1</v>
      </c>
      <c r="AR7496" t="s">
        <v>80</v>
      </c>
      <c r="AS7496" t="s">
        <v>81</v>
      </c>
      <c r="AT7496" t="s">
        <v>58</v>
      </c>
      <c r="AU7496" t="s">
        <v>350</v>
      </c>
      <c r="AV7496" t="s">
        <v>132</v>
      </c>
      <c r="AW7496" s="1">
        <v>30506</v>
      </c>
      <c r="AX7496">
        <v>1</v>
      </c>
    </row>
    <row r="7497" spans="1:50">
      <c r="A7497">
        <v>572286</v>
      </c>
      <c r="B7497" t="str">
        <f>"039626780"</f>
        <v>039626780</v>
      </c>
      <c r="C7497" t="s">
        <v>50</v>
      </c>
      <c r="D7497" t="s">
        <v>4400</v>
      </c>
      <c r="E7497" t="s">
        <v>52</v>
      </c>
      <c r="F7497" t="s">
        <v>108</v>
      </c>
      <c r="G7497" t="s">
        <v>215</v>
      </c>
      <c r="H7497" t="str">
        <f>" "</f>
        <v xml:space="preserve"> </v>
      </c>
      <c r="N7497" t="s">
        <v>306</v>
      </c>
      <c r="O7497" t="s">
        <v>307</v>
      </c>
      <c r="R7497" t="s">
        <v>57</v>
      </c>
      <c r="S7497">
        <v>13</v>
      </c>
      <c r="T7497">
        <v>154</v>
      </c>
      <c r="U7497" s="1">
        <v>34225</v>
      </c>
      <c r="V7497" t="s">
        <v>80</v>
      </c>
      <c r="W7497" t="s">
        <v>81</v>
      </c>
      <c r="X7497" t="s">
        <v>58</v>
      </c>
      <c r="Y7497">
        <v>21</v>
      </c>
      <c r="Z7497" t="s">
        <v>59</v>
      </c>
      <c r="AA7497" t="s">
        <v>59</v>
      </c>
      <c r="AB7497" t="s">
        <v>59</v>
      </c>
      <c r="AC7497" t="s">
        <v>59</v>
      </c>
      <c r="AD7497" t="s">
        <v>59</v>
      </c>
      <c r="AF7497" s="1">
        <v>34226</v>
      </c>
      <c r="AG7497" t="s">
        <v>8645</v>
      </c>
      <c r="AH7497" t="s">
        <v>8646</v>
      </c>
      <c r="AI7497" t="str">
        <f>"9170516"</f>
        <v>9170516</v>
      </c>
      <c r="AJ7497" t="s">
        <v>8746</v>
      </c>
      <c r="AK7497">
        <v>2810236861</v>
      </c>
      <c r="AL7497" t="s">
        <v>8747</v>
      </c>
      <c r="AM7497" t="s">
        <v>78</v>
      </c>
      <c r="AN7497" t="s">
        <v>78</v>
      </c>
      <c r="AO7497" t="s">
        <v>78</v>
      </c>
      <c r="AP7497" t="s">
        <v>163</v>
      </c>
      <c r="AQ7497">
        <v>1</v>
      </c>
      <c r="AR7497" t="s">
        <v>80</v>
      </c>
      <c r="AS7497" t="s">
        <v>81</v>
      </c>
      <c r="AT7497" t="s">
        <v>58</v>
      </c>
      <c r="AU7497" t="s">
        <v>68</v>
      </c>
      <c r="AV7497" t="s">
        <v>69</v>
      </c>
      <c r="AW7497" s="1">
        <v>24452</v>
      </c>
      <c r="AX7497">
        <v>1</v>
      </c>
    </row>
    <row r="7498" spans="1:50">
      <c r="A7498">
        <v>193900</v>
      </c>
      <c r="B7498" t="str">
        <f>"029088511"</f>
        <v>029088511</v>
      </c>
      <c r="C7498" t="s">
        <v>50</v>
      </c>
      <c r="D7498" t="s">
        <v>11833</v>
      </c>
      <c r="E7498" t="s">
        <v>109</v>
      </c>
      <c r="F7498" t="s">
        <v>936</v>
      </c>
      <c r="G7498" t="s">
        <v>181</v>
      </c>
      <c r="H7498" t="str">
        <f>"ΧΑΝΔΑΚΟΣ 37 ΚΕΝΤΡΟ"</f>
        <v>ΧΑΝΔΑΚΟΣ 37 ΚΕΝΤΡΟ</v>
      </c>
      <c r="I7498">
        <v>71202</v>
      </c>
      <c r="J7498">
        <v>2810811401</v>
      </c>
      <c r="K7498">
        <v>6936060800</v>
      </c>
      <c r="M7498" t="s">
        <v>11834</v>
      </c>
      <c r="N7498" t="s">
        <v>478</v>
      </c>
      <c r="O7498" t="s">
        <v>479</v>
      </c>
      <c r="R7498" t="s">
        <v>57</v>
      </c>
      <c r="S7498">
        <v>10</v>
      </c>
      <c r="T7498">
        <v>193</v>
      </c>
      <c r="U7498" s="1">
        <v>37497</v>
      </c>
      <c r="V7498" t="s">
        <v>80</v>
      </c>
      <c r="W7498" t="s">
        <v>81</v>
      </c>
      <c r="X7498" t="s">
        <v>58</v>
      </c>
      <c r="Y7498">
        <v>21</v>
      </c>
      <c r="Z7498" t="s">
        <v>59</v>
      </c>
      <c r="AA7498" t="s">
        <v>59</v>
      </c>
      <c r="AB7498" t="s">
        <v>59</v>
      </c>
      <c r="AC7498" t="s">
        <v>59</v>
      </c>
      <c r="AD7498" t="s">
        <v>59</v>
      </c>
      <c r="AF7498" s="1">
        <v>37502</v>
      </c>
      <c r="AG7498" t="s">
        <v>8645</v>
      </c>
      <c r="AH7498" t="s">
        <v>8646</v>
      </c>
      <c r="AI7498" t="str">
        <f>"9170343"</f>
        <v>9170343</v>
      </c>
      <c r="AJ7498" t="s">
        <v>8743</v>
      </c>
      <c r="AK7498">
        <v>2810283970</v>
      </c>
      <c r="AL7498" t="s">
        <v>8744</v>
      </c>
      <c r="AM7498" t="s">
        <v>78</v>
      </c>
      <c r="AN7498" t="s">
        <v>78</v>
      </c>
      <c r="AO7498" t="s">
        <v>78</v>
      </c>
      <c r="AP7498" t="s">
        <v>79</v>
      </c>
      <c r="AQ7498">
        <v>1</v>
      </c>
      <c r="AR7498" t="s">
        <v>80</v>
      </c>
      <c r="AS7498" t="s">
        <v>81</v>
      </c>
      <c r="AT7498" t="s">
        <v>58</v>
      </c>
      <c r="AU7498" t="s">
        <v>68</v>
      </c>
      <c r="AV7498" t="s">
        <v>69</v>
      </c>
      <c r="AW7498" s="1">
        <v>23802</v>
      </c>
      <c r="AX7498">
        <v>1</v>
      </c>
    </row>
    <row r="7499" spans="1:50">
      <c r="A7499">
        <v>701897</v>
      </c>
      <c r="B7499" t="str">
        <f>"066374880"</f>
        <v>066374880</v>
      </c>
      <c r="C7499" t="s">
        <v>50</v>
      </c>
      <c r="D7499" t="s">
        <v>113</v>
      </c>
      <c r="E7499" t="s">
        <v>52</v>
      </c>
      <c r="F7499" t="s">
        <v>154</v>
      </c>
      <c r="G7499" t="s">
        <v>255</v>
      </c>
      <c r="H7499" t="str">
        <f>"ΕΚΑΛΗΣ  49 ΗΡΑΚΛΕΙΟ"</f>
        <v>ΕΚΑΛΗΣ  49 ΗΡΑΚΛΕΙΟ</v>
      </c>
      <c r="I7499">
        <v>71409</v>
      </c>
      <c r="J7499">
        <v>2810322862</v>
      </c>
      <c r="K7499">
        <v>6932848656</v>
      </c>
      <c r="L7499">
        <v>2810328519</v>
      </c>
      <c r="N7499" t="s">
        <v>1525</v>
      </c>
      <c r="O7499" t="s">
        <v>1526</v>
      </c>
      <c r="R7499" t="s">
        <v>57</v>
      </c>
      <c r="S7499">
        <v>4</v>
      </c>
      <c r="T7499">
        <v>772</v>
      </c>
      <c r="U7499" s="1">
        <v>40413</v>
      </c>
      <c r="V7499" t="s">
        <v>80</v>
      </c>
      <c r="W7499" t="s">
        <v>81</v>
      </c>
      <c r="X7499" t="s">
        <v>58</v>
      </c>
      <c r="Y7499">
        <v>25</v>
      </c>
      <c r="Z7499" t="s">
        <v>59</v>
      </c>
      <c r="AA7499" t="s">
        <v>59</v>
      </c>
      <c r="AB7499" t="s">
        <v>59</v>
      </c>
      <c r="AC7499" t="s">
        <v>59</v>
      </c>
      <c r="AD7499" t="s">
        <v>59</v>
      </c>
      <c r="AF7499" s="1">
        <v>40413</v>
      </c>
      <c r="AG7499" t="s">
        <v>8651</v>
      </c>
      <c r="AH7499" t="s">
        <v>8652</v>
      </c>
      <c r="AI7499" t="str">
        <f>"9170253"</f>
        <v>9170253</v>
      </c>
      <c r="AJ7499" t="s">
        <v>9551</v>
      </c>
      <c r="AK7499">
        <v>2810245816</v>
      </c>
      <c r="AL7499" t="s">
        <v>9552</v>
      </c>
      <c r="AM7499" t="s">
        <v>78</v>
      </c>
      <c r="AN7499" t="s">
        <v>78</v>
      </c>
      <c r="AO7499" t="s">
        <v>78</v>
      </c>
      <c r="AP7499" t="s">
        <v>213</v>
      </c>
      <c r="AQ7499">
        <v>1</v>
      </c>
      <c r="AR7499" t="s">
        <v>80</v>
      </c>
      <c r="AS7499" t="s">
        <v>81</v>
      </c>
      <c r="AT7499" t="s">
        <v>58</v>
      </c>
      <c r="AU7499" t="s">
        <v>68</v>
      </c>
      <c r="AV7499" t="s">
        <v>69</v>
      </c>
      <c r="AW7499" s="1">
        <v>28836</v>
      </c>
      <c r="AX7499">
        <v>1</v>
      </c>
    </row>
    <row r="7500" spans="1:50">
      <c r="A7500">
        <v>564681</v>
      </c>
      <c r="B7500" t="str">
        <f>"030326533"</f>
        <v>030326533</v>
      </c>
      <c r="C7500" t="s">
        <v>105</v>
      </c>
      <c r="D7500" t="s">
        <v>4410</v>
      </c>
      <c r="E7500" t="s">
        <v>95</v>
      </c>
      <c r="F7500" t="s">
        <v>11835</v>
      </c>
      <c r="G7500" t="s">
        <v>143</v>
      </c>
      <c r="H7500" t="str">
        <f>" "</f>
        <v xml:space="preserve"> </v>
      </c>
      <c r="N7500" t="s">
        <v>615</v>
      </c>
      <c r="O7500" t="s">
        <v>616</v>
      </c>
      <c r="R7500" t="s">
        <v>57</v>
      </c>
      <c r="S7500">
        <v>19</v>
      </c>
      <c r="T7500">
        <v>161</v>
      </c>
      <c r="U7500" s="1">
        <v>33119</v>
      </c>
      <c r="V7500" t="s">
        <v>80</v>
      </c>
      <c r="W7500" t="s">
        <v>81</v>
      </c>
      <c r="X7500" t="s">
        <v>58</v>
      </c>
      <c r="Y7500">
        <v>21</v>
      </c>
      <c r="Z7500" t="s">
        <v>59</v>
      </c>
      <c r="AA7500" t="s">
        <v>59</v>
      </c>
      <c r="AB7500" t="s">
        <v>59</v>
      </c>
      <c r="AC7500" t="s">
        <v>59</v>
      </c>
      <c r="AD7500" t="s">
        <v>59</v>
      </c>
      <c r="AF7500" s="1">
        <v>33121</v>
      </c>
      <c r="AG7500" t="s">
        <v>8645</v>
      </c>
      <c r="AH7500" t="s">
        <v>8646</v>
      </c>
      <c r="AI7500" t="str">
        <f>"9170259"</f>
        <v>9170259</v>
      </c>
      <c r="AJ7500" t="s">
        <v>8784</v>
      </c>
      <c r="AK7500">
        <v>6994891960</v>
      </c>
      <c r="AL7500" t="s">
        <v>8785</v>
      </c>
      <c r="AM7500" t="s">
        <v>78</v>
      </c>
      <c r="AN7500" t="s">
        <v>78</v>
      </c>
      <c r="AO7500" t="s">
        <v>78</v>
      </c>
      <c r="AP7500" t="s">
        <v>213</v>
      </c>
      <c r="AQ7500">
        <v>1</v>
      </c>
      <c r="AR7500" t="s">
        <v>80</v>
      </c>
      <c r="AS7500" t="s">
        <v>81</v>
      </c>
      <c r="AT7500" t="s">
        <v>58</v>
      </c>
      <c r="AU7500" t="s">
        <v>68</v>
      </c>
      <c r="AV7500" t="s">
        <v>69</v>
      </c>
      <c r="AW7500" s="1">
        <v>24115</v>
      </c>
      <c r="AX7500">
        <v>1</v>
      </c>
    </row>
    <row r="7501" spans="1:50">
      <c r="B7501" t="str">
        <f>"125595103"</f>
        <v>125595103</v>
      </c>
      <c r="C7501" t="s">
        <v>105</v>
      </c>
      <c r="D7501" t="s">
        <v>4410</v>
      </c>
      <c r="E7501" t="s">
        <v>53</v>
      </c>
      <c r="F7501" t="s">
        <v>95</v>
      </c>
      <c r="G7501" t="s">
        <v>372</v>
      </c>
      <c r="H7501" t="str">
        <f>"ΙΓΝΑΤΙΟΥ 8 ΗΡΑΚΛΕΙΟ"</f>
        <v>ΙΓΝΑΤΙΟΥ 8 ΗΡΑΚΛΕΙΟ</v>
      </c>
      <c r="I7501">
        <v>71410</v>
      </c>
      <c r="J7501">
        <v>2810323325</v>
      </c>
      <c r="K7501">
        <v>6972029067</v>
      </c>
      <c r="N7501" t="s">
        <v>204</v>
      </c>
      <c r="O7501" t="s">
        <v>205</v>
      </c>
      <c r="R7501" t="s">
        <v>159</v>
      </c>
      <c r="S7501">
        <v>7</v>
      </c>
      <c r="T7501" t="s">
        <v>8675</v>
      </c>
      <c r="U7501" s="1">
        <v>43348</v>
      </c>
      <c r="V7501" t="s">
        <v>80</v>
      </c>
      <c r="W7501" t="s">
        <v>81</v>
      </c>
      <c r="X7501" t="s">
        <v>58</v>
      </c>
      <c r="Y7501">
        <v>24</v>
      </c>
      <c r="Z7501" t="s">
        <v>59</v>
      </c>
      <c r="AA7501" t="s">
        <v>59</v>
      </c>
      <c r="AB7501" t="s">
        <v>59</v>
      </c>
      <c r="AC7501" t="s">
        <v>59</v>
      </c>
      <c r="AD7501" t="s">
        <v>59</v>
      </c>
      <c r="AF7501" s="1">
        <v>43348</v>
      </c>
      <c r="AG7501" t="s">
        <v>8645</v>
      </c>
      <c r="AH7501" t="s">
        <v>8646</v>
      </c>
      <c r="AI7501" t="str">
        <f>"9170425"</f>
        <v>9170425</v>
      </c>
      <c r="AJ7501" t="s">
        <v>9350</v>
      </c>
      <c r="AK7501">
        <v>2810250261</v>
      </c>
      <c r="AL7501" t="s">
        <v>9351</v>
      </c>
      <c r="AM7501" t="s">
        <v>78</v>
      </c>
      <c r="AN7501" t="s">
        <v>78</v>
      </c>
      <c r="AO7501" t="s">
        <v>78</v>
      </c>
      <c r="AP7501" t="s">
        <v>141</v>
      </c>
      <c r="AQ7501">
        <v>1</v>
      </c>
      <c r="AR7501" t="s">
        <v>80</v>
      </c>
      <c r="AS7501" t="s">
        <v>81</v>
      </c>
      <c r="AT7501" t="s">
        <v>58</v>
      </c>
      <c r="AU7501" t="s">
        <v>8673</v>
      </c>
      <c r="AV7501" t="s">
        <v>132</v>
      </c>
      <c r="AW7501" s="1">
        <v>29429</v>
      </c>
      <c r="AX7501">
        <v>1</v>
      </c>
    </row>
    <row r="7502" spans="1:50">
      <c r="A7502">
        <v>622039</v>
      </c>
      <c r="B7502" t="str">
        <f>"121614327"</f>
        <v>121614327</v>
      </c>
      <c r="C7502" t="s">
        <v>50</v>
      </c>
      <c r="D7502" t="s">
        <v>4418</v>
      </c>
      <c r="E7502" t="s">
        <v>255</v>
      </c>
      <c r="F7502" t="s">
        <v>72</v>
      </c>
      <c r="G7502" t="s">
        <v>85</v>
      </c>
      <c r="H7502" t="str">
        <f>"ΤΣΑΡΟΥΧΗ  7 ΑΧΑΡΝΕΣ"</f>
        <v>ΤΣΑΡΟΥΧΗ  7 ΑΧΑΡΝΕΣ</v>
      </c>
      <c r="I7502">
        <v>13678</v>
      </c>
      <c r="K7502">
        <v>6940945457</v>
      </c>
      <c r="M7502" t="s">
        <v>11836</v>
      </c>
      <c r="N7502" t="s">
        <v>615</v>
      </c>
      <c r="O7502" t="s">
        <v>616</v>
      </c>
      <c r="R7502" t="s">
        <v>57</v>
      </c>
      <c r="S7502">
        <v>5</v>
      </c>
      <c r="T7502">
        <v>653</v>
      </c>
      <c r="U7502" s="1">
        <v>40043</v>
      </c>
      <c r="V7502" t="s">
        <v>80</v>
      </c>
      <c r="W7502" t="s">
        <v>81</v>
      </c>
      <c r="X7502" t="s">
        <v>58</v>
      </c>
      <c r="Y7502">
        <v>23</v>
      </c>
      <c r="Z7502" t="s">
        <v>59</v>
      </c>
      <c r="AA7502" t="s">
        <v>59</v>
      </c>
      <c r="AB7502" t="s">
        <v>59</v>
      </c>
      <c r="AC7502" t="s">
        <v>59</v>
      </c>
      <c r="AD7502" t="s">
        <v>59</v>
      </c>
      <c r="AF7502" s="1">
        <v>40057</v>
      </c>
      <c r="AG7502" t="s">
        <v>8645</v>
      </c>
      <c r="AH7502" t="s">
        <v>8646</v>
      </c>
      <c r="AI7502" t="str">
        <f>"9170268"</f>
        <v>9170268</v>
      </c>
      <c r="AJ7502" t="s">
        <v>9301</v>
      </c>
      <c r="AK7502">
        <v>2892022710</v>
      </c>
      <c r="AL7502" t="s">
        <v>9302</v>
      </c>
      <c r="AM7502" t="s">
        <v>78</v>
      </c>
      <c r="AN7502" t="s">
        <v>242</v>
      </c>
      <c r="AO7502" t="s">
        <v>243</v>
      </c>
      <c r="AP7502" t="s">
        <v>243</v>
      </c>
      <c r="AQ7502">
        <v>20</v>
      </c>
      <c r="AR7502" t="s">
        <v>80</v>
      </c>
      <c r="AS7502" t="s">
        <v>81</v>
      </c>
      <c r="AT7502" t="s">
        <v>58</v>
      </c>
      <c r="AU7502" t="s">
        <v>68</v>
      </c>
      <c r="AV7502" t="s">
        <v>69</v>
      </c>
      <c r="AW7502" s="1">
        <v>30216</v>
      </c>
      <c r="AX7502">
        <v>1</v>
      </c>
    </row>
    <row r="7503" spans="1:50">
      <c r="B7503" t="str">
        <f>"126482051"</f>
        <v>126482051</v>
      </c>
      <c r="C7503" t="s">
        <v>50</v>
      </c>
      <c r="D7503" t="s">
        <v>4418</v>
      </c>
      <c r="E7503" t="s">
        <v>52</v>
      </c>
      <c r="F7503" t="s">
        <v>166</v>
      </c>
      <c r="G7503" t="s">
        <v>263</v>
      </c>
      <c r="H7503" t="str">
        <f>"Κ. ΒΑΡΝΑΛΗ 2 ΗΡΑΚΛΕΙΟ"</f>
        <v>Κ. ΒΑΡΝΑΛΗ 2 ΗΡΑΚΛΕΙΟ</v>
      </c>
      <c r="I7503">
        <v>71305</v>
      </c>
      <c r="J7503">
        <v>2810253201</v>
      </c>
      <c r="K7503">
        <v>6979886714</v>
      </c>
      <c r="M7503" t="s">
        <v>11837</v>
      </c>
      <c r="N7503" t="s">
        <v>306</v>
      </c>
      <c r="O7503" t="s">
        <v>307</v>
      </c>
      <c r="R7503" t="s">
        <v>159</v>
      </c>
      <c r="S7503">
        <v>3</v>
      </c>
      <c r="T7503" t="s">
        <v>8675</v>
      </c>
      <c r="U7503" s="1">
        <v>43348</v>
      </c>
      <c r="V7503" t="s">
        <v>80</v>
      </c>
      <c r="W7503" t="s">
        <v>81</v>
      </c>
      <c r="X7503" t="s">
        <v>58</v>
      </c>
      <c r="Y7503">
        <v>24</v>
      </c>
      <c r="Z7503" t="s">
        <v>59</v>
      </c>
      <c r="AA7503" t="s">
        <v>59</v>
      </c>
      <c r="AB7503" t="s">
        <v>59</v>
      </c>
      <c r="AC7503" t="s">
        <v>59</v>
      </c>
      <c r="AD7503" t="s">
        <v>59</v>
      </c>
      <c r="AF7503" s="1">
        <v>43348</v>
      </c>
      <c r="AG7503" t="s">
        <v>8645</v>
      </c>
      <c r="AH7503" t="s">
        <v>8646</v>
      </c>
      <c r="AI7503" t="str">
        <f>"9170300"</f>
        <v>9170300</v>
      </c>
      <c r="AJ7503" t="s">
        <v>8905</v>
      </c>
      <c r="AK7503">
        <v>2892041219</v>
      </c>
      <c r="AL7503" t="s">
        <v>8906</v>
      </c>
      <c r="AM7503" t="s">
        <v>78</v>
      </c>
      <c r="AN7503" t="s">
        <v>242</v>
      </c>
      <c r="AO7503" t="s">
        <v>243</v>
      </c>
      <c r="AP7503" t="s">
        <v>244</v>
      </c>
      <c r="AQ7503">
        <v>18</v>
      </c>
      <c r="AR7503" t="s">
        <v>80</v>
      </c>
      <c r="AS7503" t="s">
        <v>81</v>
      </c>
      <c r="AT7503" t="s">
        <v>58</v>
      </c>
      <c r="AU7503" t="s">
        <v>8673</v>
      </c>
      <c r="AV7503" t="s">
        <v>132</v>
      </c>
      <c r="AW7503" s="1">
        <v>29333</v>
      </c>
      <c r="AX7503">
        <v>1</v>
      </c>
    </row>
    <row r="7504" spans="1:50">
      <c r="B7504" t="str">
        <f>"144325876"</f>
        <v>144325876</v>
      </c>
      <c r="C7504" t="s">
        <v>50</v>
      </c>
      <c r="D7504" t="s">
        <v>4424</v>
      </c>
      <c r="E7504" t="s">
        <v>367</v>
      </c>
      <c r="F7504" t="s">
        <v>154</v>
      </c>
      <c r="G7504" t="s">
        <v>215</v>
      </c>
      <c r="H7504" t="str">
        <f>"ΣΕΡΡΩΝ 4 "</f>
        <v xml:space="preserve">ΣΕΡΡΩΝ 4 </v>
      </c>
      <c r="I7504">
        <v>71307</v>
      </c>
      <c r="J7504">
        <v>2810243619</v>
      </c>
      <c r="K7504">
        <v>6982939048</v>
      </c>
      <c r="N7504" t="s">
        <v>615</v>
      </c>
      <c r="O7504" t="s">
        <v>616</v>
      </c>
      <c r="R7504" t="s">
        <v>159</v>
      </c>
      <c r="S7504">
        <v>5</v>
      </c>
      <c r="T7504" t="s">
        <v>8675</v>
      </c>
      <c r="U7504" s="1">
        <v>43348</v>
      </c>
      <c r="V7504" t="s">
        <v>80</v>
      </c>
      <c r="W7504" t="s">
        <v>81</v>
      </c>
      <c r="X7504" t="s">
        <v>58</v>
      </c>
      <c r="Y7504">
        <v>24</v>
      </c>
      <c r="Z7504" t="s">
        <v>59</v>
      </c>
      <c r="AA7504" t="s">
        <v>59</v>
      </c>
      <c r="AB7504" t="s">
        <v>59</v>
      </c>
      <c r="AC7504" t="s">
        <v>59</v>
      </c>
      <c r="AD7504" t="s">
        <v>59</v>
      </c>
      <c r="AF7504" s="1">
        <v>43348</v>
      </c>
      <c r="AG7504" t="s">
        <v>8645</v>
      </c>
      <c r="AH7504" t="s">
        <v>8646</v>
      </c>
      <c r="AI7504" t="str">
        <f>"9170425"</f>
        <v>9170425</v>
      </c>
      <c r="AJ7504" t="s">
        <v>9350</v>
      </c>
      <c r="AK7504">
        <v>2810250261</v>
      </c>
      <c r="AL7504" t="s">
        <v>9351</v>
      </c>
      <c r="AM7504" t="s">
        <v>78</v>
      </c>
      <c r="AN7504" t="s">
        <v>78</v>
      </c>
      <c r="AO7504" t="s">
        <v>78</v>
      </c>
      <c r="AP7504" t="s">
        <v>141</v>
      </c>
      <c r="AQ7504">
        <v>1</v>
      </c>
      <c r="AR7504" t="s">
        <v>80</v>
      </c>
      <c r="AS7504" t="s">
        <v>81</v>
      </c>
      <c r="AT7504" t="s">
        <v>58</v>
      </c>
      <c r="AU7504" t="s">
        <v>8673</v>
      </c>
      <c r="AV7504" t="s">
        <v>132</v>
      </c>
      <c r="AW7504" s="1">
        <v>32503</v>
      </c>
      <c r="AX7504">
        <v>1</v>
      </c>
    </row>
    <row r="7505" spans="1:50">
      <c r="A7505">
        <v>568337</v>
      </c>
      <c r="B7505" t="str">
        <f>"118900382"</f>
        <v>118900382</v>
      </c>
      <c r="C7505" t="s">
        <v>50</v>
      </c>
      <c r="D7505" t="s">
        <v>4424</v>
      </c>
      <c r="E7505" t="s">
        <v>52</v>
      </c>
      <c r="F7505" t="s">
        <v>72</v>
      </c>
      <c r="G7505" t="s">
        <v>215</v>
      </c>
      <c r="H7505" t="str">
        <f>"ΘΕΡΙΣΟΥ 6   ΗΡΑΚΛΕΙΟ"</f>
        <v>ΘΕΡΙΣΟΥ 6   ΗΡΑΚΛΕΙΟ</v>
      </c>
      <c r="I7505">
        <v>71304</v>
      </c>
      <c r="J7505">
        <v>2810253494</v>
      </c>
      <c r="K7505">
        <v>6944251214</v>
      </c>
      <c r="M7505" t="s">
        <v>11838</v>
      </c>
      <c r="N7505" t="s">
        <v>615</v>
      </c>
      <c r="O7505" t="s">
        <v>616</v>
      </c>
      <c r="R7505" t="s">
        <v>57</v>
      </c>
      <c r="S7505">
        <v>14</v>
      </c>
      <c r="T7505">
        <v>162</v>
      </c>
      <c r="U7505" s="1">
        <v>33844</v>
      </c>
      <c r="V7505" t="s">
        <v>80</v>
      </c>
      <c r="W7505" t="s">
        <v>81</v>
      </c>
      <c r="X7505" t="s">
        <v>58</v>
      </c>
      <c r="Y7505">
        <v>21</v>
      </c>
      <c r="Z7505" t="s">
        <v>59</v>
      </c>
      <c r="AA7505" t="s">
        <v>59</v>
      </c>
      <c r="AB7505" t="s">
        <v>59</v>
      </c>
      <c r="AC7505" t="s">
        <v>59</v>
      </c>
      <c r="AD7505" t="s">
        <v>59</v>
      </c>
      <c r="AF7505" s="1">
        <v>33848</v>
      </c>
      <c r="AG7505" t="s">
        <v>8645</v>
      </c>
      <c r="AH7505" t="s">
        <v>8646</v>
      </c>
      <c r="AI7505" t="str">
        <f>"9170525"</f>
        <v>9170525</v>
      </c>
      <c r="AJ7505" t="s">
        <v>8853</v>
      </c>
      <c r="AK7505">
        <v>2810256547</v>
      </c>
      <c r="AL7505" t="s">
        <v>8854</v>
      </c>
      <c r="AM7505" t="s">
        <v>78</v>
      </c>
      <c r="AN7505" t="s">
        <v>78</v>
      </c>
      <c r="AO7505" t="s">
        <v>78</v>
      </c>
      <c r="AP7505" t="s">
        <v>141</v>
      </c>
      <c r="AQ7505">
        <v>1</v>
      </c>
      <c r="AR7505" t="s">
        <v>80</v>
      </c>
      <c r="AS7505" t="s">
        <v>81</v>
      </c>
      <c r="AT7505" t="s">
        <v>58</v>
      </c>
      <c r="AU7505" t="s">
        <v>68</v>
      </c>
      <c r="AV7505" t="s">
        <v>69</v>
      </c>
      <c r="AW7505" s="1">
        <v>23660</v>
      </c>
      <c r="AX7505">
        <v>1</v>
      </c>
    </row>
    <row r="7506" spans="1:50">
      <c r="A7506">
        <v>611874</v>
      </c>
      <c r="B7506" t="str">
        <f>"100118816"</f>
        <v>100118816</v>
      </c>
      <c r="C7506" t="s">
        <v>50</v>
      </c>
      <c r="D7506" t="s">
        <v>4424</v>
      </c>
      <c r="E7506" t="s">
        <v>3200</v>
      </c>
      <c r="F7506" t="s">
        <v>166</v>
      </c>
      <c r="G7506" t="s">
        <v>801</v>
      </c>
      <c r="H7506" t="str">
        <f>"Γ.ΨΑΡΑΚΗ 12 ΑΡΚΑΛΟΧΩΡΙ"</f>
        <v>Γ.ΨΑΡΑΚΗ 12 ΑΡΚΑΛΟΧΩΡΙ</v>
      </c>
      <c r="I7506">
        <v>70300</v>
      </c>
      <c r="J7506">
        <v>2891023355</v>
      </c>
      <c r="K7506">
        <v>6988250159</v>
      </c>
      <c r="M7506" t="s">
        <v>11839</v>
      </c>
      <c r="N7506" t="s">
        <v>1525</v>
      </c>
      <c r="O7506" t="s">
        <v>1526</v>
      </c>
      <c r="R7506" t="s">
        <v>57</v>
      </c>
      <c r="S7506">
        <v>6</v>
      </c>
      <c r="T7506">
        <v>233</v>
      </c>
      <c r="U7506" s="1">
        <v>38960</v>
      </c>
      <c r="V7506" t="s">
        <v>80</v>
      </c>
      <c r="W7506" t="s">
        <v>81</v>
      </c>
      <c r="X7506" t="s">
        <v>58</v>
      </c>
      <c r="Y7506">
        <v>25</v>
      </c>
      <c r="Z7506" t="s">
        <v>59</v>
      </c>
      <c r="AA7506" t="s">
        <v>59</v>
      </c>
      <c r="AB7506" t="s">
        <v>59</v>
      </c>
      <c r="AC7506" t="s">
        <v>59</v>
      </c>
      <c r="AD7506" t="s">
        <v>59</v>
      </c>
      <c r="AF7506" s="1">
        <v>38961</v>
      </c>
      <c r="AG7506" t="s">
        <v>8651</v>
      </c>
      <c r="AH7506" t="s">
        <v>8652</v>
      </c>
      <c r="AI7506" t="str">
        <f>"9170481"</f>
        <v>9170481</v>
      </c>
      <c r="AJ7506" t="s">
        <v>10988</v>
      </c>
      <c r="AK7506">
        <v>2810250560</v>
      </c>
      <c r="AL7506" t="s">
        <v>10989</v>
      </c>
      <c r="AM7506" t="s">
        <v>78</v>
      </c>
      <c r="AN7506" t="s">
        <v>78</v>
      </c>
      <c r="AO7506" t="s">
        <v>78</v>
      </c>
      <c r="AP7506" t="s">
        <v>141</v>
      </c>
      <c r="AQ7506">
        <v>1</v>
      </c>
      <c r="AR7506" t="s">
        <v>80</v>
      </c>
      <c r="AS7506" t="s">
        <v>81</v>
      </c>
      <c r="AT7506" t="s">
        <v>58</v>
      </c>
      <c r="AU7506" t="s">
        <v>68</v>
      </c>
      <c r="AV7506" t="s">
        <v>69</v>
      </c>
      <c r="AW7506" s="1">
        <v>29479</v>
      </c>
      <c r="AX7506">
        <v>1</v>
      </c>
    </row>
    <row r="7507" spans="1:50">
      <c r="A7507">
        <v>583998</v>
      </c>
      <c r="B7507" t="str">
        <f>"064118709"</f>
        <v>064118709</v>
      </c>
      <c r="C7507" t="s">
        <v>50</v>
      </c>
      <c r="D7507" t="s">
        <v>11840</v>
      </c>
      <c r="E7507" t="s">
        <v>83</v>
      </c>
      <c r="F7507" t="s">
        <v>2933</v>
      </c>
      <c r="G7507" t="s">
        <v>52</v>
      </c>
      <c r="H7507" t="str">
        <f>"ΚΡΟΥΣΩΝΑΣ ΗΡΑΚΛΕΙΟ"</f>
        <v>ΚΡΟΥΣΩΝΑΣ ΗΡΑΚΛΕΙΟ</v>
      </c>
      <c r="I7507">
        <v>70001</v>
      </c>
      <c r="J7507">
        <v>2810711421</v>
      </c>
      <c r="K7507">
        <v>6986208311</v>
      </c>
      <c r="N7507" t="s">
        <v>615</v>
      </c>
      <c r="O7507" t="s">
        <v>616</v>
      </c>
      <c r="R7507" t="s">
        <v>57</v>
      </c>
      <c r="S7507">
        <v>11</v>
      </c>
      <c r="T7507">
        <v>165</v>
      </c>
      <c r="U7507" s="1">
        <v>36040</v>
      </c>
      <c r="V7507" t="s">
        <v>80</v>
      </c>
      <c r="W7507" t="s">
        <v>81</v>
      </c>
      <c r="X7507" t="s">
        <v>58</v>
      </c>
      <c r="Y7507">
        <v>21</v>
      </c>
      <c r="Z7507" t="s">
        <v>59</v>
      </c>
      <c r="AA7507" t="s">
        <v>59</v>
      </c>
      <c r="AB7507" t="s">
        <v>59</v>
      </c>
      <c r="AC7507" t="s">
        <v>59</v>
      </c>
      <c r="AD7507" t="s">
        <v>59</v>
      </c>
      <c r="AF7507" s="1">
        <v>36040</v>
      </c>
      <c r="AG7507" t="s">
        <v>8645</v>
      </c>
      <c r="AH7507" t="s">
        <v>8646</v>
      </c>
      <c r="AI7507" t="str">
        <f>"9170028"</f>
        <v>9170028</v>
      </c>
      <c r="AJ7507" t="s">
        <v>9791</v>
      </c>
      <c r="AK7507">
        <v>2810711204</v>
      </c>
      <c r="AL7507" t="s">
        <v>9792</v>
      </c>
      <c r="AM7507" t="s">
        <v>78</v>
      </c>
      <c r="AN7507" t="s">
        <v>129</v>
      </c>
      <c r="AO7507" t="s">
        <v>597</v>
      </c>
      <c r="AP7507" t="s">
        <v>598</v>
      </c>
      <c r="AQ7507">
        <v>4</v>
      </c>
      <c r="AR7507" t="s">
        <v>80</v>
      </c>
      <c r="AS7507" t="s">
        <v>81</v>
      </c>
      <c r="AT7507" t="s">
        <v>58</v>
      </c>
      <c r="AU7507" t="s">
        <v>68</v>
      </c>
      <c r="AV7507" t="s">
        <v>69</v>
      </c>
      <c r="AW7507" s="1">
        <v>24496</v>
      </c>
      <c r="AX7507">
        <v>1</v>
      </c>
    </row>
    <row r="7508" spans="1:50">
      <c r="A7508">
        <v>617812</v>
      </c>
      <c r="B7508" t="str">
        <f>"136125713"</f>
        <v>136125713</v>
      </c>
      <c r="C7508" t="s">
        <v>50</v>
      </c>
      <c r="D7508" t="s">
        <v>4434</v>
      </c>
      <c r="E7508" t="s">
        <v>237</v>
      </c>
      <c r="F7508" t="s">
        <v>166</v>
      </c>
      <c r="G7508" t="s">
        <v>52</v>
      </c>
      <c r="H7508" t="str">
        <f>"ΚΑΡΑΝΔΕΙΝΟΥ 8 ΙΕΡΑΠΕΤΡΑ"</f>
        <v>ΚΑΡΑΝΔΕΙΝΟΥ 8 ΙΕΡΑΠΕΤΡΑ</v>
      </c>
      <c r="I7508">
        <v>72200</v>
      </c>
      <c r="J7508">
        <v>2842024386</v>
      </c>
      <c r="K7508">
        <v>6973048324</v>
      </c>
      <c r="M7508" t="s">
        <v>11841</v>
      </c>
      <c r="N7508" t="s">
        <v>615</v>
      </c>
      <c r="O7508" t="s">
        <v>616</v>
      </c>
      <c r="R7508" t="s">
        <v>57</v>
      </c>
      <c r="S7508">
        <v>5</v>
      </c>
      <c r="T7508">
        <v>774</v>
      </c>
      <c r="U7508" s="1">
        <v>39680</v>
      </c>
      <c r="V7508" t="s">
        <v>80</v>
      </c>
      <c r="W7508" t="s">
        <v>81</v>
      </c>
      <c r="X7508" t="s">
        <v>58</v>
      </c>
      <c r="Y7508">
        <v>23</v>
      </c>
      <c r="Z7508" t="s">
        <v>59</v>
      </c>
      <c r="AA7508" t="s">
        <v>59</v>
      </c>
      <c r="AB7508" t="s">
        <v>59</v>
      </c>
      <c r="AC7508" t="s">
        <v>59</v>
      </c>
      <c r="AD7508" t="s">
        <v>59</v>
      </c>
      <c r="AF7508" s="1">
        <v>39681</v>
      </c>
      <c r="AG7508" t="s">
        <v>8645</v>
      </c>
      <c r="AH7508" t="s">
        <v>8646</v>
      </c>
      <c r="AI7508" t="str">
        <f>"9170113"</f>
        <v>9170113</v>
      </c>
      <c r="AJ7508" t="s">
        <v>8846</v>
      </c>
      <c r="AK7508">
        <v>2810226174</v>
      </c>
      <c r="AL7508" t="s">
        <v>8847</v>
      </c>
      <c r="AM7508" t="s">
        <v>78</v>
      </c>
      <c r="AN7508" t="s">
        <v>78</v>
      </c>
      <c r="AO7508" t="s">
        <v>78</v>
      </c>
      <c r="AP7508" t="s">
        <v>79</v>
      </c>
      <c r="AQ7508">
        <v>1</v>
      </c>
      <c r="AR7508" t="s">
        <v>80</v>
      </c>
      <c r="AS7508" t="s">
        <v>81</v>
      </c>
      <c r="AT7508" t="s">
        <v>58</v>
      </c>
      <c r="AU7508" t="s">
        <v>68</v>
      </c>
      <c r="AV7508" t="s">
        <v>69</v>
      </c>
      <c r="AW7508" s="1">
        <v>30648</v>
      </c>
      <c r="AX7508">
        <v>1</v>
      </c>
    </row>
    <row r="7509" spans="1:50">
      <c r="B7509" t="str">
        <f>"122299960"</f>
        <v>122299960</v>
      </c>
      <c r="C7509" t="s">
        <v>50</v>
      </c>
      <c r="D7509" t="s">
        <v>4434</v>
      </c>
      <c r="E7509" t="s">
        <v>143</v>
      </c>
      <c r="F7509" t="s">
        <v>166</v>
      </c>
      <c r="G7509" t="s">
        <v>52</v>
      </c>
      <c r="H7509" t="str">
        <f>"ΚΑΡΑΝΔΕΙΝΟΥ 8 "</f>
        <v xml:space="preserve">ΚΑΡΑΝΔΕΙΝΟΥ 8 </v>
      </c>
      <c r="I7509">
        <v>72200</v>
      </c>
      <c r="J7509">
        <v>2842024386</v>
      </c>
      <c r="K7509">
        <v>6945265219</v>
      </c>
      <c r="N7509" t="s">
        <v>1525</v>
      </c>
      <c r="O7509" t="s">
        <v>1526</v>
      </c>
      <c r="R7509" t="s">
        <v>159</v>
      </c>
      <c r="S7509">
        <v>5</v>
      </c>
      <c r="T7509" t="s">
        <v>8670</v>
      </c>
      <c r="U7509" s="1">
        <v>43348</v>
      </c>
      <c r="V7509" t="s">
        <v>80</v>
      </c>
      <c r="W7509" t="s">
        <v>81</v>
      </c>
      <c r="X7509" t="s">
        <v>58</v>
      </c>
      <c r="Y7509">
        <v>25</v>
      </c>
      <c r="Z7509" t="s">
        <v>59</v>
      </c>
      <c r="AA7509" t="s">
        <v>59</v>
      </c>
      <c r="AB7509" t="s">
        <v>59</v>
      </c>
      <c r="AC7509" t="s">
        <v>59</v>
      </c>
      <c r="AD7509" t="s">
        <v>59</v>
      </c>
      <c r="AF7509" s="1">
        <v>43348</v>
      </c>
      <c r="AG7509" t="s">
        <v>8651</v>
      </c>
      <c r="AH7509" t="s">
        <v>8652</v>
      </c>
      <c r="AI7509" t="str">
        <f>"9170356"</f>
        <v>9170356</v>
      </c>
      <c r="AJ7509" t="s">
        <v>11017</v>
      </c>
      <c r="AK7509">
        <v>2897031698</v>
      </c>
      <c r="AL7509" t="s">
        <v>11018</v>
      </c>
      <c r="AM7509" t="s">
        <v>78</v>
      </c>
      <c r="AN7509" t="s">
        <v>219</v>
      </c>
      <c r="AO7509" t="s">
        <v>527</v>
      </c>
      <c r="AP7509" t="s">
        <v>527</v>
      </c>
      <c r="AQ7509">
        <v>8</v>
      </c>
      <c r="AR7509" t="s">
        <v>80</v>
      </c>
      <c r="AS7509" t="s">
        <v>81</v>
      </c>
      <c r="AT7509" t="s">
        <v>58</v>
      </c>
      <c r="AU7509" t="s">
        <v>8673</v>
      </c>
      <c r="AV7509" t="s">
        <v>132</v>
      </c>
      <c r="AW7509" s="1">
        <v>29861</v>
      </c>
      <c r="AX7509">
        <v>1</v>
      </c>
    </row>
    <row r="7510" spans="1:50">
      <c r="B7510" t="str">
        <f>"064123420"</f>
        <v>064123420</v>
      </c>
      <c r="C7510" t="s">
        <v>50</v>
      </c>
      <c r="D7510" t="s">
        <v>4441</v>
      </c>
      <c r="E7510" t="s">
        <v>52</v>
      </c>
      <c r="F7510" t="s">
        <v>53</v>
      </c>
      <c r="G7510" t="s">
        <v>83</v>
      </c>
      <c r="H7510" t="str">
        <f>"ΠΑΠΑΝΑΣΤΑΣΙΟΥ 54 "</f>
        <v xml:space="preserve">ΠΑΠΑΝΑΣΤΑΣΙΟΥ 54 </v>
      </c>
      <c r="I7510">
        <v>71306</v>
      </c>
      <c r="J7510">
        <v>2810327175</v>
      </c>
      <c r="K7510">
        <v>6974706018</v>
      </c>
      <c r="N7510" t="s">
        <v>306</v>
      </c>
      <c r="O7510" t="s">
        <v>307</v>
      </c>
      <c r="R7510" t="s">
        <v>159</v>
      </c>
      <c r="S7510">
        <v>2</v>
      </c>
      <c r="T7510" t="s">
        <v>8675</v>
      </c>
      <c r="U7510" s="1">
        <v>43348</v>
      </c>
      <c r="V7510" t="s">
        <v>80</v>
      </c>
      <c r="W7510" t="s">
        <v>81</v>
      </c>
      <c r="X7510" t="s">
        <v>58</v>
      </c>
      <c r="Y7510">
        <v>24</v>
      </c>
      <c r="Z7510" t="s">
        <v>59</v>
      </c>
      <c r="AA7510" t="s">
        <v>59</v>
      </c>
      <c r="AB7510" t="s">
        <v>59</v>
      </c>
      <c r="AC7510" t="s">
        <v>59</v>
      </c>
      <c r="AD7510" t="s">
        <v>59</v>
      </c>
      <c r="AF7510" s="1">
        <v>43348</v>
      </c>
      <c r="AG7510" t="s">
        <v>8645</v>
      </c>
      <c r="AH7510" t="s">
        <v>8646</v>
      </c>
      <c r="AI7510" t="str">
        <f>"9170037"</f>
        <v>9170037</v>
      </c>
      <c r="AJ7510" t="s">
        <v>9215</v>
      </c>
      <c r="AK7510">
        <v>2810831208</v>
      </c>
      <c r="AL7510" t="s">
        <v>9216</v>
      </c>
      <c r="AM7510" t="s">
        <v>78</v>
      </c>
      <c r="AN7510" t="s">
        <v>129</v>
      </c>
      <c r="AO7510" t="s">
        <v>267</v>
      </c>
      <c r="AP7510" t="s">
        <v>267</v>
      </c>
      <c r="AQ7510">
        <v>2</v>
      </c>
      <c r="AR7510" t="s">
        <v>80</v>
      </c>
      <c r="AS7510" t="s">
        <v>81</v>
      </c>
      <c r="AT7510" t="s">
        <v>58</v>
      </c>
      <c r="AU7510" t="s">
        <v>8673</v>
      </c>
      <c r="AV7510" t="s">
        <v>132</v>
      </c>
      <c r="AW7510" s="1">
        <v>27405</v>
      </c>
      <c r="AX7510">
        <v>1</v>
      </c>
    </row>
    <row r="7511" spans="1:50">
      <c r="A7511">
        <v>566481</v>
      </c>
      <c r="B7511" t="str">
        <f>"110706714"</f>
        <v>110706714</v>
      </c>
      <c r="C7511" t="s">
        <v>50</v>
      </c>
      <c r="D7511" t="s">
        <v>4441</v>
      </c>
      <c r="E7511" t="s">
        <v>52</v>
      </c>
      <c r="F7511" t="s">
        <v>670</v>
      </c>
      <c r="G7511" t="s">
        <v>658</v>
      </c>
      <c r="H7511" t="str">
        <f>"ΚΡΟΥΣΩΝΑΣ ΚΡΟΥΣΩΝΑΣ ΗΡΑΚΛΕΙΟΥ"</f>
        <v>ΚΡΟΥΣΩΝΑΣ ΚΡΟΥΣΩΝΑΣ ΗΡΑΚΛΕΙΟΥ</v>
      </c>
      <c r="I7511">
        <v>70001</v>
      </c>
      <c r="J7511">
        <v>2810711546</v>
      </c>
      <c r="K7511">
        <v>6973802517</v>
      </c>
      <c r="N7511" t="s">
        <v>1525</v>
      </c>
      <c r="O7511" t="s">
        <v>1526</v>
      </c>
      <c r="R7511" t="s">
        <v>57</v>
      </c>
      <c r="S7511">
        <v>14</v>
      </c>
      <c r="T7511">
        <v>161</v>
      </c>
      <c r="U7511" s="1">
        <v>33119</v>
      </c>
      <c r="V7511" t="s">
        <v>80</v>
      </c>
      <c r="W7511" t="s">
        <v>81</v>
      </c>
      <c r="X7511" t="s">
        <v>58</v>
      </c>
      <c r="Y7511">
        <v>25</v>
      </c>
      <c r="Z7511" t="s">
        <v>59</v>
      </c>
      <c r="AA7511" t="s">
        <v>59</v>
      </c>
      <c r="AB7511" t="s">
        <v>59</v>
      </c>
      <c r="AC7511" t="s">
        <v>59</v>
      </c>
      <c r="AD7511" t="s">
        <v>59</v>
      </c>
      <c r="AF7511" s="1">
        <v>33119</v>
      </c>
      <c r="AG7511" t="s">
        <v>8651</v>
      </c>
      <c r="AH7511" t="s">
        <v>8652</v>
      </c>
      <c r="AI7511" t="str">
        <f>"9170453"</f>
        <v>9170453</v>
      </c>
      <c r="AJ7511" t="s">
        <v>10509</v>
      </c>
      <c r="AK7511">
        <v>2810711205</v>
      </c>
      <c r="AL7511" t="s">
        <v>10510</v>
      </c>
      <c r="AM7511" t="s">
        <v>78</v>
      </c>
      <c r="AN7511" t="s">
        <v>129</v>
      </c>
      <c r="AO7511" t="s">
        <v>597</v>
      </c>
      <c r="AP7511" t="s">
        <v>598</v>
      </c>
      <c r="AQ7511">
        <v>4</v>
      </c>
      <c r="AR7511" t="s">
        <v>80</v>
      </c>
      <c r="AS7511" t="s">
        <v>81</v>
      </c>
      <c r="AT7511" t="s">
        <v>58</v>
      </c>
      <c r="AU7511" t="s">
        <v>68</v>
      </c>
      <c r="AV7511" t="s">
        <v>69</v>
      </c>
      <c r="AW7511" s="1">
        <v>23820</v>
      </c>
      <c r="AX7511">
        <v>1</v>
      </c>
    </row>
    <row r="7512" spans="1:50">
      <c r="A7512">
        <v>613232</v>
      </c>
      <c r="B7512" t="str">
        <f>"110736190"</f>
        <v>110736190</v>
      </c>
      <c r="C7512" t="s">
        <v>50</v>
      </c>
      <c r="D7512" t="s">
        <v>4441</v>
      </c>
      <c r="E7512" t="s">
        <v>372</v>
      </c>
      <c r="F7512" t="s">
        <v>95</v>
      </c>
      <c r="G7512" t="s">
        <v>620</v>
      </c>
      <c r="H7512" t="str">
        <f>"Οδυσσέως 21 Πόρος"</f>
        <v>Οδυσσέως 21 Πόρος</v>
      </c>
      <c r="I7512">
        <v>71307</v>
      </c>
      <c r="J7512">
        <v>2811757449</v>
      </c>
      <c r="K7512">
        <v>6937002262</v>
      </c>
      <c r="M7512" t="s">
        <v>11842</v>
      </c>
      <c r="N7512" t="s">
        <v>615</v>
      </c>
      <c r="O7512" t="s">
        <v>616</v>
      </c>
      <c r="R7512" t="s">
        <v>57</v>
      </c>
      <c r="S7512">
        <v>6</v>
      </c>
      <c r="T7512">
        <v>598</v>
      </c>
      <c r="U7512" s="1">
        <v>39310</v>
      </c>
      <c r="V7512" t="s">
        <v>80</v>
      </c>
      <c r="W7512" t="s">
        <v>81</v>
      </c>
      <c r="X7512" t="s">
        <v>58</v>
      </c>
      <c r="Y7512">
        <v>23</v>
      </c>
      <c r="Z7512" t="s">
        <v>59</v>
      </c>
      <c r="AA7512" t="s">
        <v>59</v>
      </c>
      <c r="AB7512" t="s">
        <v>59</v>
      </c>
      <c r="AC7512" t="s">
        <v>59</v>
      </c>
      <c r="AD7512" t="s">
        <v>59</v>
      </c>
      <c r="AF7512" s="1">
        <v>39328</v>
      </c>
      <c r="AG7512" t="s">
        <v>8645</v>
      </c>
      <c r="AH7512" t="s">
        <v>8646</v>
      </c>
      <c r="AI7512" t="str">
        <f>"9170257"</f>
        <v>9170257</v>
      </c>
      <c r="AJ7512" t="s">
        <v>8710</v>
      </c>
      <c r="AK7512">
        <v>2810245513</v>
      </c>
      <c r="AL7512" t="s">
        <v>8711</v>
      </c>
      <c r="AM7512" t="s">
        <v>78</v>
      </c>
      <c r="AN7512" t="s">
        <v>78</v>
      </c>
      <c r="AO7512" t="s">
        <v>78</v>
      </c>
      <c r="AP7512" t="s">
        <v>213</v>
      </c>
      <c r="AQ7512">
        <v>1</v>
      </c>
      <c r="AR7512" t="s">
        <v>80</v>
      </c>
      <c r="AS7512" t="s">
        <v>81</v>
      </c>
      <c r="AT7512" t="s">
        <v>58</v>
      </c>
      <c r="AU7512" t="s">
        <v>68</v>
      </c>
      <c r="AV7512" t="s">
        <v>69</v>
      </c>
      <c r="AW7512" s="1">
        <v>30026</v>
      </c>
      <c r="AX7512">
        <v>1</v>
      </c>
    </row>
    <row r="7513" spans="1:50">
      <c r="A7513">
        <v>614137</v>
      </c>
      <c r="B7513" t="str">
        <f>"103651470"</f>
        <v>103651470</v>
      </c>
      <c r="C7513" t="s">
        <v>50</v>
      </c>
      <c r="D7513" t="s">
        <v>4441</v>
      </c>
      <c r="E7513" t="s">
        <v>372</v>
      </c>
      <c r="F7513" t="s">
        <v>1229</v>
      </c>
      <c r="G7513" t="s">
        <v>250</v>
      </c>
      <c r="H7513" t="str">
        <f>"ΑΓΙΟΙ ΔΕΚΑ ΑΓΙΟΙ ΔΕΚΑ"</f>
        <v>ΑΓΙΟΙ ΔΕΚΑ ΑΓΙΟΙ ΔΕΚΑ</v>
      </c>
      <c r="I7513">
        <v>70012</v>
      </c>
      <c r="J7513">
        <v>2892031775</v>
      </c>
      <c r="K7513">
        <v>6932571846</v>
      </c>
      <c r="N7513" t="s">
        <v>615</v>
      </c>
      <c r="O7513" t="s">
        <v>616</v>
      </c>
      <c r="R7513" t="s">
        <v>57</v>
      </c>
      <c r="S7513">
        <v>5</v>
      </c>
      <c r="T7513">
        <v>598</v>
      </c>
      <c r="U7513" s="1">
        <v>39310</v>
      </c>
      <c r="V7513" t="s">
        <v>80</v>
      </c>
      <c r="W7513" t="s">
        <v>81</v>
      </c>
      <c r="X7513" t="s">
        <v>58</v>
      </c>
      <c r="Y7513">
        <v>23</v>
      </c>
      <c r="Z7513" t="s">
        <v>59</v>
      </c>
      <c r="AA7513" t="s">
        <v>59</v>
      </c>
      <c r="AB7513" t="s">
        <v>59</v>
      </c>
      <c r="AC7513" t="s">
        <v>59</v>
      </c>
      <c r="AD7513" t="s">
        <v>59</v>
      </c>
      <c r="AF7513" s="1">
        <v>39328</v>
      </c>
      <c r="AG7513" t="s">
        <v>8645</v>
      </c>
      <c r="AH7513" t="s">
        <v>8646</v>
      </c>
      <c r="AI7513" t="str">
        <f>"9170039"</f>
        <v>9170039</v>
      </c>
      <c r="AJ7513" t="s">
        <v>8804</v>
      </c>
      <c r="AK7513">
        <v>2894022231</v>
      </c>
      <c r="AL7513" t="s">
        <v>8805</v>
      </c>
      <c r="AM7513" t="s">
        <v>78</v>
      </c>
      <c r="AN7513" t="s">
        <v>405</v>
      </c>
      <c r="AO7513" t="s">
        <v>406</v>
      </c>
      <c r="AP7513" t="s">
        <v>406</v>
      </c>
      <c r="AQ7513">
        <v>6</v>
      </c>
      <c r="AR7513" t="s">
        <v>80</v>
      </c>
      <c r="AS7513" t="s">
        <v>81</v>
      </c>
      <c r="AT7513" t="s">
        <v>58</v>
      </c>
      <c r="AU7513" t="s">
        <v>68</v>
      </c>
      <c r="AV7513" t="s">
        <v>69</v>
      </c>
      <c r="AW7513" s="1">
        <v>29227</v>
      </c>
      <c r="AX7513">
        <v>1</v>
      </c>
    </row>
    <row r="7514" spans="1:50">
      <c r="A7514">
        <v>619731</v>
      </c>
      <c r="B7514" t="str">
        <f>"104919309"</f>
        <v>104919309</v>
      </c>
      <c r="C7514" t="s">
        <v>50</v>
      </c>
      <c r="D7514" t="s">
        <v>4441</v>
      </c>
      <c r="E7514" t="s">
        <v>801</v>
      </c>
      <c r="F7514" t="s">
        <v>936</v>
      </c>
      <c r="G7514" t="s">
        <v>250</v>
      </c>
      <c r="H7514" t="str">
        <f>"ΑΓ. ΝΕΚΤΑΡΙΟΥ ΗΡΑΚΛΕΙΟ"</f>
        <v>ΑΓ. ΝΕΚΤΑΡΙΟΥ ΗΡΑΚΛΕΙΟ</v>
      </c>
      <c r="I7514">
        <v>70200</v>
      </c>
      <c r="J7514">
        <v>2892051540</v>
      </c>
      <c r="K7514">
        <v>6937162490</v>
      </c>
      <c r="M7514" t="s">
        <v>11843</v>
      </c>
      <c r="N7514" t="s">
        <v>306</v>
      </c>
      <c r="O7514" t="s">
        <v>307</v>
      </c>
      <c r="R7514" t="s">
        <v>57</v>
      </c>
      <c r="S7514">
        <v>5</v>
      </c>
      <c r="T7514">
        <v>775</v>
      </c>
      <c r="U7514" s="1">
        <v>39680</v>
      </c>
      <c r="V7514" t="s">
        <v>80</v>
      </c>
      <c r="W7514" t="s">
        <v>81</v>
      </c>
      <c r="X7514" t="s">
        <v>58</v>
      </c>
      <c r="Y7514">
        <v>23</v>
      </c>
      <c r="Z7514" t="s">
        <v>59</v>
      </c>
      <c r="AA7514" t="s">
        <v>59</v>
      </c>
      <c r="AB7514" t="s">
        <v>59</v>
      </c>
      <c r="AC7514" t="s">
        <v>59</v>
      </c>
      <c r="AD7514" t="s">
        <v>59</v>
      </c>
      <c r="AF7514" s="1">
        <v>39681</v>
      </c>
      <c r="AG7514" t="s">
        <v>8645</v>
      </c>
      <c r="AH7514" t="s">
        <v>8646</v>
      </c>
      <c r="AI7514" t="str">
        <f>"9170267"</f>
        <v>9170267</v>
      </c>
      <c r="AJ7514" t="s">
        <v>8840</v>
      </c>
      <c r="AK7514">
        <v>2892022320</v>
      </c>
      <c r="AL7514" t="s">
        <v>8841</v>
      </c>
      <c r="AM7514" t="s">
        <v>78</v>
      </c>
      <c r="AN7514" t="s">
        <v>242</v>
      </c>
      <c r="AO7514" t="s">
        <v>243</v>
      </c>
      <c r="AP7514" t="s">
        <v>243</v>
      </c>
      <c r="AQ7514">
        <v>20</v>
      </c>
      <c r="AR7514" t="s">
        <v>80</v>
      </c>
      <c r="AS7514" t="s">
        <v>81</v>
      </c>
      <c r="AT7514" t="s">
        <v>58</v>
      </c>
      <c r="AU7514" t="s">
        <v>68</v>
      </c>
      <c r="AV7514" t="s">
        <v>69</v>
      </c>
      <c r="AW7514" s="1">
        <v>28888</v>
      </c>
      <c r="AX7514">
        <v>1</v>
      </c>
    </row>
    <row r="7515" spans="1:50">
      <c r="B7515" t="str">
        <f>"064244554"</f>
        <v>064244554</v>
      </c>
      <c r="C7515" t="s">
        <v>50</v>
      </c>
      <c r="D7515" t="s">
        <v>4441</v>
      </c>
      <c r="E7515" t="s">
        <v>620</v>
      </c>
      <c r="F7515" t="s">
        <v>72</v>
      </c>
      <c r="G7515" t="s">
        <v>2097</v>
      </c>
      <c r="H7515" t="str">
        <f>"Μ. ΓΕΩΡΓΙΑΔΗ 59 "</f>
        <v xml:space="preserve">Μ. ΓΕΩΡΓΙΑΔΗ 59 </v>
      </c>
      <c r="I7515">
        <v>71306</v>
      </c>
      <c r="J7515">
        <v>2810230681</v>
      </c>
      <c r="K7515">
        <v>6948603931</v>
      </c>
      <c r="M7515" t="s">
        <v>11844</v>
      </c>
      <c r="N7515" t="s">
        <v>1525</v>
      </c>
      <c r="O7515" t="s">
        <v>1526</v>
      </c>
      <c r="R7515" t="s">
        <v>159</v>
      </c>
      <c r="S7515">
        <v>3</v>
      </c>
      <c r="T7515" t="s">
        <v>8670</v>
      </c>
      <c r="U7515" s="1">
        <v>43348</v>
      </c>
      <c r="V7515" t="s">
        <v>80</v>
      </c>
      <c r="W7515" t="s">
        <v>81</v>
      </c>
      <c r="X7515" t="s">
        <v>58</v>
      </c>
      <c r="Y7515">
        <v>25</v>
      </c>
      <c r="Z7515" t="s">
        <v>59</v>
      </c>
      <c r="AA7515" t="s">
        <v>59</v>
      </c>
      <c r="AB7515" t="s">
        <v>59</v>
      </c>
      <c r="AC7515" t="s">
        <v>59</v>
      </c>
      <c r="AD7515" t="s">
        <v>59</v>
      </c>
      <c r="AF7515" s="1">
        <v>43348</v>
      </c>
      <c r="AG7515" t="s">
        <v>8651</v>
      </c>
      <c r="AH7515" t="s">
        <v>8652</v>
      </c>
      <c r="AI7515" t="str">
        <f>"9170353"</f>
        <v>9170353</v>
      </c>
      <c r="AJ7515" t="s">
        <v>9119</v>
      </c>
      <c r="AK7515">
        <v>2810861585</v>
      </c>
      <c r="AL7515" t="s">
        <v>9120</v>
      </c>
      <c r="AM7515" t="s">
        <v>78</v>
      </c>
      <c r="AN7515" t="s">
        <v>78</v>
      </c>
      <c r="AO7515" t="s">
        <v>185</v>
      </c>
      <c r="AP7515" t="s">
        <v>8685</v>
      </c>
      <c r="AQ7515">
        <v>4</v>
      </c>
      <c r="AR7515" t="s">
        <v>80</v>
      </c>
      <c r="AS7515" t="s">
        <v>81</v>
      </c>
      <c r="AT7515" t="s">
        <v>58</v>
      </c>
      <c r="AU7515" t="s">
        <v>8673</v>
      </c>
      <c r="AV7515" t="s">
        <v>132</v>
      </c>
      <c r="AW7515" s="1">
        <v>28828</v>
      </c>
      <c r="AX7515">
        <v>1</v>
      </c>
    </row>
    <row r="7516" spans="1:50">
      <c r="B7516" t="str">
        <f>"072066432"</f>
        <v>072066432</v>
      </c>
      <c r="C7516" t="s">
        <v>105</v>
      </c>
      <c r="D7516" t="s">
        <v>4443</v>
      </c>
      <c r="E7516" t="s">
        <v>900</v>
      </c>
      <c r="F7516" t="s">
        <v>395</v>
      </c>
      <c r="G7516" t="s">
        <v>54</v>
      </c>
      <c r="H7516" t="str">
        <f>"Γ. ΡΙΤΣΟΥ 27  ΗΡΑΚΛΕΙΟ"</f>
        <v>Γ. ΡΙΤΣΟΥ 27  ΗΡΑΚΛΕΙΟ</v>
      </c>
      <c r="I7516">
        <v>71500</v>
      </c>
      <c r="K7516">
        <v>6932239192</v>
      </c>
      <c r="N7516" t="s">
        <v>204</v>
      </c>
      <c r="O7516" t="s">
        <v>205</v>
      </c>
      <c r="R7516" t="s">
        <v>159</v>
      </c>
      <c r="S7516">
        <v>2</v>
      </c>
      <c r="T7516" t="s">
        <v>8675</v>
      </c>
      <c r="U7516" s="1">
        <v>43348</v>
      </c>
      <c r="V7516" t="s">
        <v>80</v>
      </c>
      <c r="W7516" t="s">
        <v>81</v>
      </c>
      <c r="X7516" t="s">
        <v>58</v>
      </c>
      <c r="Y7516">
        <v>24</v>
      </c>
      <c r="Z7516" t="s">
        <v>59</v>
      </c>
      <c r="AA7516" t="s">
        <v>59</v>
      </c>
      <c r="AB7516" t="s">
        <v>59</v>
      </c>
      <c r="AC7516" t="s">
        <v>59</v>
      </c>
      <c r="AD7516" t="s">
        <v>59</v>
      </c>
      <c r="AF7516" s="1">
        <v>43348</v>
      </c>
      <c r="AG7516" t="s">
        <v>8645</v>
      </c>
      <c r="AH7516" t="s">
        <v>8646</v>
      </c>
      <c r="AI7516" t="str">
        <f>"9170532"</f>
        <v>9170532</v>
      </c>
      <c r="AJ7516" t="s">
        <v>8945</v>
      </c>
      <c r="AK7516">
        <v>2810250330</v>
      </c>
      <c r="AL7516" t="s">
        <v>8946</v>
      </c>
      <c r="AM7516" t="s">
        <v>78</v>
      </c>
      <c r="AN7516" t="s">
        <v>78</v>
      </c>
      <c r="AO7516" t="s">
        <v>78</v>
      </c>
      <c r="AP7516" t="s">
        <v>141</v>
      </c>
      <c r="AQ7516">
        <v>1</v>
      </c>
      <c r="AR7516" t="s">
        <v>80</v>
      </c>
      <c r="AS7516" t="s">
        <v>81</v>
      </c>
      <c r="AT7516" t="s">
        <v>58</v>
      </c>
      <c r="AU7516" t="s">
        <v>8673</v>
      </c>
      <c r="AV7516" t="s">
        <v>132</v>
      </c>
      <c r="AW7516" s="1">
        <v>24506</v>
      </c>
      <c r="AX7516">
        <v>1</v>
      </c>
    </row>
    <row r="7517" spans="1:50">
      <c r="B7517" t="str">
        <f>"128319464"</f>
        <v>128319464</v>
      </c>
      <c r="C7517" t="s">
        <v>105</v>
      </c>
      <c r="D7517" t="s">
        <v>4443</v>
      </c>
      <c r="E7517" t="s">
        <v>99</v>
      </c>
      <c r="F7517" t="s">
        <v>95</v>
      </c>
      <c r="G7517" t="s">
        <v>367</v>
      </c>
      <c r="H7517" t="str">
        <f>"ΣΑΡΧΟΣ ΗΡΑΚΛΕΙΟΥ "</f>
        <v xml:space="preserve">ΣΑΡΧΟΣ ΗΡΑΚΛΕΙΟΥ </v>
      </c>
      <c r="I7517">
        <v>70013</v>
      </c>
      <c r="J7517">
        <v>2810711690</v>
      </c>
      <c r="K7517">
        <v>6974248504</v>
      </c>
      <c r="N7517" t="s">
        <v>615</v>
      </c>
      <c r="O7517" t="s">
        <v>616</v>
      </c>
      <c r="R7517" t="s">
        <v>159</v>
      </c>
      <c r="S7517">
        <v>2</v>
      </c>
      <c r="T7517" t="s">
        <v>8675</v>
      </c>
      <c r="U7517" s="1">
        <v>43348</v>
      </c>
      <c r="V7517" t="s">
        <v>80</v>
      </c>
      <c r="W7517" t="s">
        <v>81</v>
      </c>
      <c r="X7517" t="s">
        <v>58</v>
      </c>
      <c r="Y7517">
        <v>24</v>
      </c>
      <c r="Z7517" t="s">
        <v>59</v>
      </c>
      <c r="AA7517" t="s">
        <v>59</v>
      </c>
      <c r="AB7517" t="s">
        <v>59</v>
      </c>
      <c r="AC7517" t="s">
        <v>59</v>
      </c>
      <c r="AD7517" t="s">
        <v>59</v>
      </c>
      <c r="AF7517" s="1">
        <v>43348</v>
      </c>
      <c r="AG7517" t="s">
        <v>8645</v>
      </c>
      <c r="AH7517" t="s">
        <v>8646</v>
      </c>
      <c r="AI7517" t="str">
        <f>"9170575"</f>
        <v>9170575</v>
      </c>
      <c r="AJ7517" t="s">
        <v>8748</v>
      </c>
      <c r="AK7517">
        <v>2810260772</v>
      </c>
      <c r="AL7517" t="s">
        <v>8749</v>
      </c>
      <c r="AM7517" t="s">
        <v>78</v>
      </c>
      <c r="AN7517" t="s">
        <v>78</v>
      </c>
      <c r="AO7517" t="s">
        <v>78</v>
      </c>
      <c r="AP7517" t="s">
        <v>141</v>
      </c>
      <c r="AQ7517">
        <v>1</v>
      </c>
      <c r="AR7517" t="s">
        <v>80</v>
      </c>
      <c r="AS7517" t="s">
        <v>81</v>
      </c>
      <c r="AT7517" t="s">
        <v>58</v>
      </c>
      <c r="AU7517" t="s">
        <v>8673</v>
      </c>
      <c r="AV7517" t="s">
        <v>132</v>
      </c>
      <c r="AW7517" s="1">
        <v>27957</v>
      </c>
      <c r="AX7517">
        <v>1</v>
      </c>
    </row>
    <row r="7518" spans="1:50">
      <c r="B7518" t="str">
        <f>"142872182"</f>
        <v>142872182</v>
      </c>
      <c r="C7518" t="s">
        <v>50</v>
      </c>
      <c r="D7518" t="s">
        <v>11845</v>
      </c>
      <c r="E7518" t="s">
        <v>600</v>
      </c>
      <c r="F7518" t="s">
        <v>53</v>
      </c>
      <c r="G7518" t="s">
        <v>83</v>
      </c>
      <c r="H7518" t="str">
        <f>" "</f>
        <v xml:space="preserve"> </v>
      </c>
      <c r="N7518" t="s">
        <v>384</v>
      </c>
      <c r="O7518" t="s">
        <v>385</v>
      </c>
      <c r="R7518" t="s">
        <v>121</v>
      </c>
      <c r="S7518">
        <v>1</v>
      </c>
      <c r="T7518" t="s">
        <v>8675</v>
      </c>
      <c r="U7518" s="1">
        <v>43348</v>
      </c>
      <c r="V7518" t="s">
        <v>80</v>
      </c>
      <c r="W7518" t="s">
        <v>81</v>
      </c>
      <c r="X7518" t="s">
        <v>58</v>
      </c>
      <c r="Y7518">
        <v>24</v>
      </c>
      <c r="Z7518" t="s">
        <v>59</v>
      </c>
      <c r="AA7518" t="s">
        <v>59</v>
      </c>
      <c r="AB7518" t="s">
        <v>59</v>
      </c>
      <c r="AD7518" t="s">
        <v>59</v>
      </c>
      <c r="AF7518" s="1">
        <v>43348</v>
      </c>
      <c r="AG7518" t="s">
        <v>8645</v>
      </c>
      <c r="AH7518" t="s">
        <v>8646</v>
      </c>
      <c r="AI7518" t="str">
        <f>"9521412"</f>
        <v>9521412</v>
      </c>
      <c r="AJ7518" t="s">
        <v>8787</v>
      </c>
      <c r="AK7518">
        <v>2897025680</v>
      </c>
      <c r="AL7518" t="s">
        <v>8788</v>
      </c>
      <c r="AM7518" t="s">
        <v>78</v>
      </c>
      <c r="AN7518" t="s">
        <v>219</v>
      </c>
      <c r="AO7518" t="s">
        <v>219</v>
      </c>
      <c r="AP7518" t="s">
        <v>219</v>
      </c>
      <c r="AQ7518">
        <v>8</v>
      </c>
      <c r="AR7518" t="s">
        <v>80</v>
      </c>
      <c r="AS7518" t="s">
        <v>81</v>
      </c>
      <c r="AT7518" t="s">
        <v>58</v>
      </c>
      <c r="AU7518" t="s">
        <v>8673</v>
      </c>
      <c r="AV7518" t="s">
        <v>132</v>
      </c>
      <c r="AW7518" s="1">
        <v>33217</v>
      </c>
      <c r="AX7518">
        <v>1</v>
      </c>
    </row>
    <row r="7519" spans="1:50">
      <c r="A7519">
        <v>609484</v>
      </c>
      <c r="B7519" t="str">
        <f>"050062711"</f>
        <v>050062711</v>
      </c>
      <c r="C7519" t="s">
        <v>105</v>
      </c>
      <c r="D7519" t="s">
        <v>4445</v>
      </c>
      <c r="E7519" t="s">
        <v>900</v>
      </c>
      <c r="F7519" t="s">
        <v>5013</v>
      </c>
      <c r="G7519" t="s">
        <v>507</v>
      </c>
      <c r="H7519" t="str">
        <f>"ΔΙΓΕΝΗ 15 ΗΡΑΚΛΕΙΟ"</f>
        <v>ΔΙΓΕΝΗ 15 ΗΡΑΚΛΕΙΟ</v>
      </c>
      <c r="I7519">
        <v>71306</v>
      </c>
      <c r="J7519">
        <v>2810323232</v>
      </c>
      <c r="K7519">
        <v>6936805791</v>
      </c>
      <c r="N7519" t="s">
        <v>176</v>
      </c>
      <c r="O7519" t="s">
        <v>177</v>
      </c>
      <c r="R7519" t="s">
        <v>57</v>
      </c>
      <c r="S7519">
        <v>8</v>
      </c>
      <c r="T7519" t="s">
        <v>11846</v>
      </c>
      <c r="U7519" s="1">
        <v>38596</v>
      </c>
      <c r="V7519" t="s">
        <v>80</v>
      </c>
      <c r="W7519" t="s">
        <v>81</v>
      </c>
      <c r="X7519" t="s">
        <v>58</v>
      </c>
      <c r="Y7519">
        <v>22</v>
      </c>
      <c r="Z7519" t="s">
        <v>59</v>
      </c>
      <c r="AA7519" t="s">
        <v>59</v>
      </c>
      <c r="AB7519" t="s">
        <v>59</v>
      </c>
      <c r="AC7519" t="s">
        <v>59</v>
      </c>
      <c r="AD7519" t="s">
        <v>59</v>
      </c>
      <c r="AF7519" s="1">
        <v>38600</v>
      </c>
      <c r="AG7519" t="s">
        <v>8645</v>
      </c>
      <c r="AH7519" t="s">
        <v>8646</v>
      </c>
      <c r="AI7519" t="str">
        <f>"9170115"</f>
        <v>9170115</v>
      </c>
      <c r="AJ7519" t="s">
        <v>8770</v>
      </c>
      <c r="AK7519">
        <v>2810231165</v>
      </c>
      <c r="AL7519" t="s">
        <v>8771</v>
      </c>
      <c r="AM7519" t="s">
        <v>78</v>
      </c>
      <c r="AN7519" t="s">
        <v>78</v>
      </c>
      <c r="AO7519" t="s">
        <v>78</v>
      </c>
      <c r="AP7519" t="s">
        <v>141</v>
      </c>
      <c r="AQ7519">
        <v>1</v>
      </c>
      <c r="AR7519" t="s">
        <v>80</v>
      </c>
      <c r="AS7519" t="s">
        <v>81</v>
      </c>
      <c r="AT7519" t="s">
        <v>58</v>
      </c>
      <c r="AU7519" t="s">
        <v>68</v>
      </c>
      <c r="AV7519" t="s">
        <v>69</v>
      </c>
      <c r="AW7519" s="1">
        <v>24520</v>
      </c>
      <c r="AX7519">
        <v>1</v>
      </c>
    </row>
    <row r="7520" spans="1:50">
      <c r="B7520" t="str">
        <f>"143470210"</f>
        <v>143470210</v>
      </c>
      <c r="C7520" t="s">
        <v>50</v>
      </c>
      <c r="D7520" t="s">
        <v>4445</v>
      </c>
      <c r="E7520" t="s">
        <v>11847</v>
      </c>
      <c r="F7520" t="s">
        <v>201</v>
      </c>
      <c r="G7520" t="s">
        <v>237</v>
      </c>
      <c r="H7520" t="str">
        <f>"ΑΡΧΙΕΠΙΣΚΟΠΟΥ ΚΥΠΡΙΑΝΟΥ 10 "</f>
        <v xml:space="preserve">ΑΡΧΙΕΠΙΣΚΟΠΟΥ ΚΥΠΡΙΑΝΟΥ 10 </v>
      </c>
      <c r="I7520">
        <v>2643</v>
      </c>
      <c r="J7520">
        <v>5722622627</v>
      </c>
      <c r="K7520">
        <v>6972579388</v>
      </c>
      <c r="N7520" t="s">
        <v>8694</v>
      </c>
      <c r="O7520" t="s">
        <v>8695</v>
      </c>
      <c r="R7520" t="s">
        <v>159</v>
      </c>
      <c r="S7520">
        <v>3</v>
      </c>
      <c r="T7520" t="s">
        <v>8696</v>
      </c>
      <c r="U7520" s="1">
        <v>43348</v>
      </c>
      <c r="V7520" t="s">
        <v>80</v>
      </c>
      <c r="W7520" t="s">
        <v>81</v>
      </c>
      <c r="X7520" t="s">
        <v>58</v>
      </c>
      <c r="Y7520">
        <v>24</v>
      </c>
      <c r="Z7520" t="s">
        <v>59</v>
      </c>
      <c r="AA7520" t="s">
        <v>59</v>
      </c>
      <c r="AB7520" t="s">
        <v>59</v>
      </c>
      <c r="AC7520" t="s">
        <v>59</v>
      </c>
      <c r="AD7520" t="s">
        <v>59</v>
      </c>
      <c r="AF7520" s="1">
        <v>43348</v>
      </c>
      <c r="AG7520" t="s">
        <v>8645</v>
      </c>
      <c r="AH7520" t="s">
        <v>8697</v>
      </c>
      <c r="AI7520" t="str">
        <f>"9170358"</f>
        <v>9170358</v>
      </c>
      <c r="AJ7520" t="s">
        <v>9378</v>
      </c>
      <c r="AK7520">
        <v>2810282028</v>
      </c>
      <c r="AL7520" t="s">
        <v>9379</v>
      </c>
      <c r="AM7520" t="s">
        <v>78</v>
      </c>
      <c r="AN7520" t="s">
        <v>78</v>
      </c>
      <c r="AO7520" t="s">
        <v>78</v>
      </c>
      <c r="AP7520" t="s">
        <v>141</v>
      </c>
      <c r="AQ7520">
        <v>1</v>
      </c>
      <c r="AR7520" t="s">
        <v>80</v>
      </c>
      <c r="AS7520" t="s">
        <v>81</v>
      </c>
      <c r="AT7520" t="s">
        <v>58</v>
      </c>
      <c r="AU7520" t="s">
        <v>350</v>
      </c>
      <c r="AV7520" t="s">
        <v>132</v>
      </c>
      <c r="AW7520" s="1">
        <v>31847</v>
      </c>
      <c r="AX7520">
        <v>1</v>
      </c>
    </row>
    <row r="7521" spans="1:50">
      <c r="A7521">
        <v>572306</v>
      </c>
      <c r="B7521" t="str">
        <f>"051341040"</f>
        <v>051341040</v>
      </c>
      <c r="C7521" t="s">
        <v>50</v>
      </c>
      <c r="D7521" t="s">
        <v>4445</v>
      </c>
      <c r="E7521" t="s">
        <v>52</v>
      </c>
      <c r="F7521" t="s">
        <v>450</v>
      </c>
      <c r="G7521" t="s">
        <v>73</v>
      </c>
      <c r="H7521" t="str">
        <f>"ΔΗΜΗΤΡΙΟΥ ΑΝΔΡΙΩΤΗ 5 ΗΡΑΚΛΕΙΟ"</f>
        <v>ΔΗΜΗΤΡΙΟΥ ΑΝΔΡΙΩΤΗ 5 ΗΡΑΚΛΕΙΟ</v>
      </c>
      <c r="I7521">
        <v>71409</v>
      </c>
      <c r="J7521">
        <v>2810213313</v>
      </c>
      <c r="K7521">
        <v>6977773550</v>
      </c>
      <c r="N7521" t="s">
        <v>306</v>
      </c>
      <c r="O7521" t="s">
        <v>307</v>
      </c>
      <c r="R7521" t="s">
        <v>57</v>
      </c>
      <c r="S7521">
        <v>12</v>
      </c>
      <c r="T7521">
        <v>154</v>
      </c>
      <c r="U7521" s="1">
        <v>34225</v>
      </c>
      <c r="V7521" t="s">
        <v>80</v>
      </c>
      <c r="W7521" t="s">
        <v>81</v>
      </c>
      <c r="X7521" t="s">
        <v>58</v>
      </c>
      <c r="Y7521">
        <v>21</v>
      </c>
      <c r="Z7521" t="s">
        <v>59</v>
      </c>
      <c r="AA7521" t="s">
        <v>59</v>
      </c>
      <c r="AB7521" t="s">
        <v>59</v>
      </c>
      <c r="AC7521" t="s">
        <v>59</v>
      </c>
      <c r="AD7521" t="s">
        <v>59</v>
      </c>
      <c r="AF7521" s="1">
        <v>34227</v>
      </c>
      <c r="AG7521" t="s">
        <v>8645</v>
      </c>
      <c r="AH7521" t="s">
        <v>8646</v>
      </c>
      <c r="AI7521" t="str">
        <f>"9170108"</f>
        <v>9170108</v>
      </c>
      <c r="AJ7521" t="s">
        <v>8863</v>
      </c>
      <c r="AK7521">
        <v>2810232111</v>
      </c>
      <c r="AL7521" t="s">
        <v>8864</v>
      </c>
      <c r="AM7521" t="s">
        <v>78</v>
      </c>
      <c r="AN7521" t="s">
        <v>78</v>
      </c>
      <c r="AO7521" t="s">
        <v>78</v>
      </c>
      <c r="AP7521" t="s">
        <v>163</v>
      </c>
      <c r="AQ7521">
        <v>1</v>
      </c>
      <c r="AR7521" t="s">
        <v>80</v>
      </c>
      <c r="AS7521" t="s">
        <v>81</v>
      </c>
      <c r="AT7521" t="s">
        <v>58</v>
      </c>
      <c r="AU7521" t="s">
        <v>68</v>
      </c>
      <c r="AV7521" t="s">
        <v>69</v>
      </c>
      <c r="AW7521" s="1">
        <v>25158</v>
      </c>
      <c r="AX7521">
        <v>1</v>
      </c>
    </row>
    <row r="7522" spans="1:50">
      <c r="B7522" t="str">
        <f>"048292644"</f>
        <v>048292644</v>
      </c>
      <c r="C7522" t="s">
        <v>50</v>
      </c>
      <c r="D7522" t="s">
        <v>11848</v>
      </c>
      <c r="E7522" t="s">
        <v>396</v>
      </c>
      <c r="F7522" t="s">
        <v>99</v>
      </c>
      <c r="G7522" t="s">
        <v>4715</v>
      </c>
      <c r="H7522" t="str">
        <f>"Ι. ΠΑΠΑΝΙΚΟΛΑΟΥ 1 ΑΤΤΙΚΗ"</f>
        <v>Ι. ΠΑΠΑΝΙΚΟΛΑΟΥ 1 ΑΤΤΙΚΗ</v>
      </c>
      <c r="I7522">
        <v>15126</v>
      </c>
      <c r="J7522">
        <v>2108051630</v>
      </c>
      <c r="K7522">
        <v>6948576449</v>
      </c>
      <c r="N7522" t="s">
        <v>1525</v>
      </c>
      <c r="O7522" t="s">
        <v>1526</v>
      </c>
      <c r="R7522" t="s">
        <v>159</v>
      </c>
      <c r="S7522">
        <v>2</v>
      </c>
      <c r="T7522" t="s">
        <v>8670</v>
      </c>
      <c r="U7522" s="1">
        <v>43348</v>
      </c>
      <c r="V7522" t="s">
        <v>80</v>
      </c>
      <c r="W7522" t="s">
        <v>81</v>
      </c>
      <c r="X7522" t="s">
        <v>58</v>
      </c>
      <c r="Y7522">
        <v>25</v>
      </c>
      <c r="Z7522" t="s">
        <v>59</v>
      </c>
      <c r="AA7522" t="s">
        <v>59</v>
      </c>
      <c r="AB7522" t="s">
        <v>59</v>
      </c>
      <c r="AC7522" t="s">
        <v>59</v>
      </c>
      <c r="AD7522" t="s">
        <v>59</v>
      </c>
      <c r="AF7522" s="1">
        <v>43348</v>
      </c>
      <c r="AG7522" t="s">
        <v>8651</v>
      </c>
      <c r="AH7522" t="s">
        <v>8652</v>
      </c>
      <c r="AI7522" t="str">
        <f>"9170459"</f>
        <v>9170459</v>
      </c>
      <c r="AJ7522" t="s">
        <v>11849</v>
      </c>
      <c r="AK7522">
        <v>2810521240</v>
      </c>
      <c r="AL7522" t="s">
        <v>11850</v>
      </c>
      <c r="AM7522" t="s">
        <v>78</v>
      </c>
      <c r="AN7522" t="s">
        <v>129</v>
      </c>
      <c r="AO7522" t="s">
        <v>267</v>
      </c>
      <c r="AP7522" t="s">
        <v>10831</v>
      </c>
      <c r="AQ7522">
        <v>2</v>
      </c>
      <c r="AR7522" t="s">
        <v>80</v>
      </c>
      <c r="AS7522" t="s">
        <v>81</v>
      </c>
      <c r="AT7522" t="s">
        <v>58</v>
      </c>
      <c r="AU7522" t="s">
        <v>8673</v>
      </c>
      <c r="AV7522" t="s">
        <v>132</v>
      </c>
      <c r="AW7522" s="1">
        <v>27017</v>
      </c>
      <c r="AX7522">
        <v>1</v>
      </c>
    </row>
    <row r="7523" spans="1:50">
      <c r="B7523" t="str">
        <f>"062995041"</f>
        <v>062995041</v>
      </c>
      <c r="C7523" t="s">
        <v>50</v>
      </c>
      <c r="D7523" t="s">
        <v>4447</v>
      </c>
      <c r="E7523" t="s">
        <v>396</v>
      </c>
      <c r="F7523" t="s">
        <v>166</v>
      </c>
      <c r="G7523" t="s">
        <v>83</v>
      </c>
      <c r="H7523" t="str">
        <f>"ΕΜ. ΠΕΤΡΑΚΗ 9 ΗΡΑΚΛΕΙΟ"</f>
        <v>ΕΜ. ΠΕΤΡΑΚΗ 9 ΗΡΑΚΛΕΙΟ</v>
      </c>
      <c r="I7523">
        <v>71409</v>
      </c>
      <c r="J7523">
        <v>2810237315</v>
      </c>
      <c r="K7523">
        <v>6932426261</v>
      </c>
      <c r="N7523" t="s">
        <v>8694</v>
      </c>
      <c r="O7523" t="s">
        <v>8695</v>
      </c>
      <c r="R7523" t="s">
        <v>57</v>
      </c>
      <c r="S7523">
        <v>6</v>
      </c>
      <c r="T7523" t="s">
        <v>8696</v>
      </c>
      <c r="U7523" s="1">
        <v>43348</v>
      </c>
      <c r="V7523" t="s">
        <v>80</v>
      </c>
      <c r="W7523" t="s">
        <v>81</v>
      </c>
      <c r="X7523" t="s">
        <v>58</v>
      </c>
      <c r="Y7523">
        <v>24</v>
      </c>
      <c r="Z7523" t="s">
        <v>59</v>
      </c>
      <c r="AA7523" t="s">
        <v>59</v>
      </c>
      <c r="AB7523" t="s">
        <v>59</v>
      </c>
      <c r="AC7523" t="s">
        <v>59</v>
      </c>
      <c r="AD7523" t="s">
        <v>59</v>
      </c>
      <c r="AF7523" s="1">
        <v>43348</v>
      </c>
      <c r="AG7523" t="s">
        <v>8645</v>
      </c>
      <c r="AH7523" t="s">
        <v>8697</v>
      </c>
      <c r="AI7523" t="str">
        <f>"9170358"</f>
        <v>9170358</v>
      </c>
      <c r="AJ7523" t="s">
        <v>9378</v>
      </c>
      <c r="AK7523">
        <v>2810282028</v>
      </c>
      <c r="AL7523" t="s">
        <v>9379</v>
      </c>
      <c r="AM7523" t="s">
        <v>78</v>
      </c>
      <c r="AN7523" t="s">
        <v>78</v>
      </c>
      <c r="AO7523" t="s">
        <v>78</v>
      </c>
      <c r="AP7523" t="s">
        <v>141</v>
      </c>
      <c r="AQ7523">
        <v>1</v>
      </c>
      <c r="AR7523" t="s">
        <v>80</v>
      </c>
      <c r="AS7523" t="s">
        <v>81</v>
      </c>
      <c r="AT7523" t="s">
        <v>58</v>
      </c>
      <c r="AU7523" t="s">
        <v>350</v>
      </c>
      <c r="AV7523" t="s">
        <v>132</v>
      </c>
      <c r="AW7523" s="1">
        <v>31078</v>
      </c>
      <c r="AX7523">
        <v>1</v>
      </c>
    </row>
    <row r="7524" spans="1:50">
      <c r="B7524" t="str">
        <f>"139904498"</f>
        <v>139904498</v>
      </c>
      <c r="C7524" t="s">
        <v>50</v>
      </c>
      <c r="D7524" t="s">
        <v>11851</v>
      </c>
      <c r="E7524" t="s">
        <v>2737</v>
      </c>
      <c r="F7524" t="s">
        <v>53</v>
      </c>
      <c r="G7524" t="s">
        <v>10643</v>
      </c>
      <c r="H7524" t="str">
        <f>"Μακεδονίας 1 Πατέλες"</f>
        <v>Μακεδονίας 1 Πατέλες</v>
      </c>
      <c r="K7524">
        <v>6971742032</v>
      </c>
      <c r="M7524" t="s">
        <v>11852</v>
      </c>
      <c r="N7524" t="s">
        <v>683</v>
      </c>
      <c r="O7524" t="s">
        <v>684</v>
      </c>
      <c r="R7524" t="s">
        <v>121</v>
      </c>
      <c r="S7524">
        <v>1</v>
      </c>
      <c r="T7524" t="s">
        <v>8675</v>
      </c>
      <c r="U7524" s="1">
        <v>43348</v>
      </c>
      <c r="V7524" t="s">
        <v>80</v>
      </c>
      <c r="W7524" t="s">
        <v>81</v>
      </c>
      <c r="X7524" t="s">
        <v>58</v>
      </c>
      <c r="Y7524">
        <v>24</v>
      </c>
      <c r="Z7524" t="s">
        <v>59</v>
      </c>
      <c r="AA7524" t="s">
        <v>59</v>
      </c>
      <c r="AB7524" t="s">
        <v>59</v>
      </c>
      <c r="AD7524" t="s">
        <v>59</v>
      </c>
      <c r="AF7524" s="1">
        <v>43348</v>
      </c>
      <c r="AG7524" t="s">
        <v>8645</v>
      </c>
      <c r="AH7524" t="s">
        <v>8646</v>
      </c>
      <c r="AI7524" t="str">
        <f>"9170219"</f>
        <v>9170219</v>
      </c>
      <c r="AJ7524" t="s">
        <v>8967</v>
      </c>
      <c r="AK7524">
        <v>2897041357</v>
      </c>
      <c r="AL7524" t="s">
        <v>8968</v>
      </c>
      <c r="AM7524" t="s">
        <v>78</v>
      </c>
      <c r="AN7524" t="s">
        <v>219</v>
      </c>
      <c r="AO7524" t="s">
        <v>297</v>
      </c>
      <c r="AP7524" t="s">
        <v>297</v>
      </c>
      <c r="AQ7524">
        <v>7</v>
      </c>
      <c r="AR7524" t="s">
        <v>80</v>
      </c>
      <c r="AS7524" t="s">
        <v>81</v>
      </c>
      <c r="AT7524" t="s">
        <v>58</v>
      </c>
      <c r="AU7524" t="s">
        <v>8673</v>
      </c>
      <c r="AV7524" t="s">
        <v>132</v>
      </c>
      <c r="AW7524" s="1">
        <v>31651</v>
      </c>
      <c r="AX7524">
        <v>1</v>
      </c>
    </row>
    <row r="7525" spans="1:50">
      <c r="A7525">
        <v>701359</v>
      </c>
      <c r="B7525" t="str">
        <f>"133495903"</f>
        <v>133495903</v>
      </c>
      <c r="C7525" t="s">
        <v>50</v>
      </c>
      <c r="D7525" t="s">
        <v>11853</v>
      </c>
      <c r="E7525" t="s">
        <v>52</v>
      </c>
      <c r="F7525" t="s">
        <v>72</v>
      </c>
      <c r="G7525" t="s">
        <v>109</v>
      </c>
      <c r="H7525" t="str">
        <f>"ΝΕΑ ΣΕΒΑΣΤΕΙΑ ΔΡΑΜΑ"</f>
        <v>ΝΕΑ ΣΕΒΑΣΤΕΙΑ ΔΡΑΜΑ</v>
      </c>
      <c r="I7525">
        <v>66100</v>
      </c>
      <c r="J7525">
        <v>2521083246</v>
      </c>
      <c r="K7525">
        <v>6906226650</v>
      </c>
      <c r="M7525" t="s">
        <v>11854</v>
      </c>
      <c r="N7525" t="s">
        <v>615</v>
      </c>
      <c r="O7525" t="s">
        <v>616</v>
      </c>
      <c r="R7525" t="s">
        <v>57</v>
      </c>
      <c r="S7525">
        <v>5</v>
      </c>
      <c r="T7525">
        <v>772</v>
      </c>
      <c r="U7525" s="1">
        <v>40413</v>
      </c>
      <c r="V7525" t="s">
        <v>80</v>
      </c>
      <c r="W7525" t="s">
        <v>81</v>
      </c>
      <c r="X7525" t="s">
        <v>58</v>
      </c>
      <c r="Y7525">
        <v>23</v>
      </c>
      <c r="Z7525" t="s">
        <v>59</v>
      </c>
      <c r="AA7525" t="s">
        <v>59</v>
      </c>
      <c r="AB7525" t="s">
        <v>59</v>
      </c>
      <c r="AC7525" t="s">
        <v>59</v>
      </c>
      <c r="AD7525" t="s">
        <v>59</v>
      </c>
      <c r="AF7525" s="1">
        <v>40413</v>
      </c>
      <c r="AG7525" t="s">
        <v>8645</v>
      </c>
      <c r="AH7525" t="s">
        <v>8646</v>
      </c>
      <c r="AI7525" t="str">
        <f>"9170262"</f>
        <v>9170262</v>
      </c>
      <c r="AJ7525" t="s">
        <v>9224</v>
      </c>
      <c r="AK7525">
        <v>2810245912</v>
      </c>
      <c r="AL7525" t="s">
        <v>9225</v>
      </c>
      <c r="AM7525" t="s">
        <v>78</v>
      </c>
      <c r="AN7525" t="s">
        <v>78</v>
      </c>
      <c r="AO7525" t="s">
        <v>286</v>
      </c>
      <c r="AP7525" t="s">
        <v>286</v>
      </c>
      <c r="AQ7525">
        <v>1</v>
      </c>
      <c r="AR7525" t="s">
        <v>80</v>
      </c>
      <c r="AS7525" t="s">
        <v>81</v>
      </c>
      <c r="AT7525" t="s">
        <v>58</v>
      </c>
      <c r="AU7525" t="s">
        <v>68</v>
      </c>
      <c r="AV7525" t="s">
        <v>69</v>
      </c>
      <c r="AW7525" s="1">
        <v>31430</v>
      </c>
      <c r="AX7525">
        <v>1</v>
      </c>
    </row>
    <row r="7526" spans="1:50">
      <c r="A7526">
        <v>557616</v>
      </c>
      <c r="B7526" t="str">
        <f>"070364231"</f>
        <v>070364231</v>
      </c>
      <c r="C7526" t="s">
        <v>50</v>
      </c>
      <c r="D7526" t="s">
        <v>4463</v>
      </c>
      <c r="E7526" t="s">
        <v>922</v>
      </c>
      <c r="F7526" t="s">
        <v>106</v>
      </c>
      <c r="G7526" t="s">
        <v>112</v>
      </c>
      <c r="H7526" t="str">
        <f>" "</f>
        <v xml:space="preserve"> </v>
      </c>
      <c r="K7526">
        <v>6949199354</v>
      </c>
      <c r="M7526" t="s">
        <v>11855</v>
      </c>
      <c r="N7526" t="s">
        <v>615</v>
      </c>
      <c r="O7526" t="s">
        <v>616</v>
      </c>
      <c r="R7526" t="s">
        <v>57</v>
      </c>
      <c r="S7526">
        <v>16</v>
      </c>
      <c r="T7526">
        <v>168</v>
      </c>
      <c r="U7526" s="1">
        <v>32010</v>
      </c>
      <c r="V7526" t="s">
        <v>80</v>
      </c>
      <c r="W7526" t="s">
        <v>81</v>
      </c>
      <c r="X7526" t="s">
        <v>58</v>
      </c>
      <c r="Y7526">
        <v>21</v>
      </c>
      <c r="Z7526" t="s">
        <v>59</v>
      </c>
      <c r="AA7526" t="s">
        <v>59</v>
      </c>
      <c r="AB7526" t="s">
        <v>59</v>
      </c>
      <c r="AC7526" t="s">
        <v>59</v>
      </c>
      <c r="AD7526" t="s">
        <v>59</v>
      </c>
      <c r="AF7526" s="1">
        <v>32021</v>
      </c>
      <c r="AG7526" t="s">
        <v>8645</v>
      </c>
      <c r="AH7526" t="s">
        <v>8646</v>
      </c>
      <c r="AI7526" t="str">
        <f>"9170494"</f>
        <v>9170494</v>
      </c>
      <c r="AJ7526" t="s">
        <v>9125</v>
      </c>
      <c r="AK7526">
        <v>2810228361</v>
      </c>
      <c r="AL7526" t="s">
        <v>9126</v>
      </c>
      <c r="AM7526" t="s">
        <v>78</v>
      </c>
      <c r="AN7526" t="s">
        <v>78</v>
      </c>
      <c r="AO7526" t="s">
        <v>78</v>
      </c>
      <c r="AP7526" t="s">
        <v>79</v>
      </c>
      <c r="AQ7526">
        <v>1</v>
      </c>
      <c r="AR7526" t="s">
        <v>80</v>
      </c>
      <c r="AS7526" t="s">
        <v>81</v>
      </c>
      <c r="AT7526" t="s">
        <v>58</v>
      </c>
      <c r="AU7526" t="s">
        <v>68</v>
      </c>
      <c r="AV7526" t="s">
        <v>69</v>
      </c>
      <c r="AW7526" s="1">
        <v>21567</v>
      </c>
      <c r="AX7526">
        <v>1</v>
      </c>
    </row>
    <row r="7527" spans="1:50">
      <c r="B7527" t="str">
        <f>"079809310"</f>
        <v>079809310</v>
      </c>
      <c r="C7527" t="s">
        <v>50</v>
      </c>
      <c r="D7527" t="s">
        <v>4463</v>
      </c>
      <c r="E7527" t="s">
        <v>52</v>
      </c>
      <c r="F7527" t="s">
        <v>72</v>
      </c>
      <c r="G7527" t="s">
        <v>237</v>
      </c>
      <c r="H7527" t="str">
        <f>"ΚΑΣΤΕΛΙ ΠΕΔΙΑΔΟΣ "</f>
        <v xml:space="preserve">ΚΑΣΤΕΛΙ ΠΕΔΙΑΔΟΣ </v>
      </c>
      <c r="I7527">
        <v>70006</v>
      </c>
      <c r="K7527">
        <v>6976682794</v>
      </c>
      <c r="N7527" t="s">
        <v>8694</v>
      </c>
      <c r="O7527" t="s">
        <v>8695</v>
      </c>
      <c r="R7527" t="s">
        <v>159</v>
      </c>
      <c r="S7527">
        <v>3</v>
      </c>
      <c r="T7527" t="s">
        <v>8696</v>
      </c>
      <c r="U7527" s="1">
        <v>43348</v>
      </c>
      <c r="V7527" t="s">
        <v>80</v>
      </c>
      <c r="W7527" t="s">
        <v>81</v>
      </c>
      <c r="X7527" t="s">
        <v>58</v>
      </c>
      <c r="Y7527">
        <v>24</v>
      </c>
      <c r="Z7527" t="s">
        <v>59</v>
      </c>
      <c r="AA7527" t="s">
        <v>59</v>
      </c>
      <c r="AB7527" t="s">
        <v>59</v>
      </c>
      <c r="AC7527" t="s">
        <v>59</v>
      </c>
      <c r="AD7527" t="s">
        <v>59</v>
      </c>
      <c r="AF7527" s="1">
        <v>43348</v>
      </c>
      <c r="AG7527" t="s">
        <v>8645</v>
      </c>
      <c r="AH7527" t="s">
        <v>8646</v>
      </c>
      <c r="AI7527" t="str">
        <f>"9170200"</f>
        <v>9170200</v>
      </c>
      <c r="AJ7527" t="s">
        <v>9589</v>
      </c>
      <c r="AK7527">
        <v>2810741264</v>
      </c>
      <c r="AL7527" t="s">
        <v>9590</v>
      </c>
      <c r="AM7527" t="s">
        <v>78</v>
      </c>
      <c r="AN7527" t="s">
        <v>424</v>
      </c>
      <c r="AO7527" t="s">
        <v>428</v>
      </c>
      <c r="AP7527" t="s">
        <v>9591</v>
      </c>
      <c r="AQ7527">
        <v>11</v>
      </c>
      <c r="AR7527" t="s">
        <v>80</v>
      </c>
      <c r="AS7527" t="s">
        <v>81</v>
      </c>
      <c r="AT7527" t="s">
        <v>58</v>
      </c>
      <c r="AU7527" t="s">
        <v>350</v>
      </c>
      <c r="AV7527" t="s">
        <v>132</v>
      </c>
      <c r="AW7527" s="1">
        <v>32066</v>
      </c>
      <c r="AX7527">
        <v>1</v>
      </c>
    </row>
    <row r="7528" spans="1:50">
      <c r="A7528">
        <v>614030</v>
      </c>
      <c r="B7528" t="str">
        <f>"110142260"</f>
        <v>110142260</v>
      </c>
      <c r="C7528" t="s">
        <v>50</v>
      </c>
      <c r="D7528" t="s">
        <v>4463</v>
      </c>
      <c r="E7528" t="s">
        <v>1713</v>
      </c>
      <c r="F7528" t="s">
        <v>11856</v>
      </c>
      <c r="G7528" t="s">
        <v>52</v>
      </c>
      <c r="H7528" t="str">
        <f>"ΚΟΥΝΑΒΟΙ ΗΡΑΚΛΕΙΟΥ  ΚΟΥΝΑΒΟΙ"</f>
        <v>ΚΟΥΝΑΒΟΙ ΗΡΑΚΛΕΙΟΥ  ΚΟΥΝΑΒΟΙ</v>
      </c>
      <c r="I7528">
        <v>70100</v>
      </c>
      <c r="J7528">
        <v>2810742059</v>
      </c>
      <c r="K7528">
        <v>6947687091</v>
      </c>
      <c r="N7528" t="s">
        <v>615</v>
      </c>
      <c r="O7528" t="s">
        <v>616</v>
      </c>
      <c r="R7528" t="s">
        <v>57</v>
      </c>
      <c r="S7528">
        <v>5</v>
      </c>
      <c r="T7528">
        <v>598</v>
      </c>
      <c r="U7528" s="1">
        <v>39310</v>
      </c>
      <c r="V7528" t="s">
        <v>80</v>
      </c>
      <c r="W7528" t="s">
        <v>81</v>
      </c>
      <c r="X7528" t="s">
        <v>58</v>
      </c>
      <c r="Y7528">
        <v>23</v>
      </c>
      <c r="Z7528" t="s">
        <v>59</v>
      </c>
      <c r="AA7528" t="s">
        <v>59</v>
      </c>
      <c r="AB7528" t="s">
        <v>59</v>
      </c>
      <c r="AC7528" t="s">
        <v>59</v>
      </c>
      <c r="AD7528" t="s">
        <v>59</v>
      </c>
      <c r="AF7528" s="1">
        <v>39329</v>
      </c>
      <c r="AG7528" t="s">
        <v>8645</v>
      </c>
      <c r="AH7528" t="s">
        <v>8646</v>
      </c>
      <c r="AI7528" t="str">
        <f>"9170549"</f>
        <v>9170549</v>
      </c>
      <c r="AJ7528" t="s">
        <v>8778</v>
      </c>
      <c r="AK7528">
        <v>2810751800</v>
      </c>
      <c r="AL7528" t="s">
        <v>8779</v>
      </c>
      <c r="AM7528" t="s">
        <v>78</v>
      </c>
      <c r="AN7528" t="s">
        <v>424</v>
      </c>
      <c r="AO7528" t="s">
        <v>425</v>
      </c>
      <c r="AP7528" t="s">
        <v>425</v>
      </c>
      <c r="AQ7528">
        <v>11</v>
      </c>
      <c r="AR7528" t="s">
        <v>80</v>
      </c>
      <c r="AS7528" t="s">
        <v>81</v>
      </c>
      <c r="AT7528" t="s">
        <v>58</v>
      </c>
      <c r="AU7528" t="s">
        <v>68</v>
      </c>
      <c r="AV7528" t="s">
        <v>69</v>
      </c>
      <c r="AW7528" s="1">
        <v>30998</v>
      </c>
      <c r="AX7528">
        <v>1</v>
      </c>
    </row>
    <row r="7529" spans="1:50">
      <c r="A7529">
        <v>601045</v>
      </c>
      <c r="B7529" t="str">
        <f>"073302180"</f>
        <v>073302180</v>
      </c>
      <c r="C7529" t="s">
        <v>50</v>
      </c>
      <c r="D7529" t="s">
        <v>4463</v>
      </c>
      <c r="E7529" t="s">
        <v>1001</v>
      </c>
      <c r="F7529" t="s">
        <v>5041</v>
      </c>
      <c r="G7529" t="s">
        <v>8985</v>
      </c>
      <c r="H7529" t="str">
        <f>"ΜΗΝΑ ΓΕΩΡΓΙΑΔΟΥ 69 ΗΡΑΚΛΕΙΟ"</f>
        <v>ΜΗΝΑ ΓΕΩΡΓΙΑΔΟΥ 69 ΗΡΑΚΛΕΙΟ</v>
      </c>
      <c r="I7529">
        <v>71306</v>
      </c>
      <c r="J7529">
        <v>2810213601</v>
      </c>
      <c r="K7529">
        <v>6973623010</v>
      </c>
      <c r="N7529" t="s">
        <v>615</v>
      </c>
      <c r="O7529" t="s">
        <v>616</v>
      </c>
      <c r="R7529" t="s">
        <v>57</v>
      </c>
      <c r="S7529">
        <v>8</v>
      </c>
      <c r="T7529">
        <v>207</v>
      </c>
      <c r="U7529" s="1">
        <v>37866</v>
      </c>
      <c r="V7529" t="s">
        <v>80</v>
      </c>
      <c r="W7529" t="s">
        <v>81</v>
      </c>
      <c r="X7529" t="s">
        <v>58</v>
      </c>
      <c r="Y7529">
        <v>22</v>
      </c>
      <c r="Z7529" t="s">
        <v>59</v>
      </c>
      <c r="AA7529" t="s">
        <v>59</v>
      </c>
      <c r="AB7529" t="s">
        <v>59</v>
      </c>
      <c r="AC7529" t="s">
        <v>59</v>
      </c>
      <c r="AD7529" t="s">
        <v>59</v>
      </c>
      <c r="AF7529" s="1">
        <v>37866</v>
      </c>
      <c r="AG7529" t="s">
        <v>8645</v>
      </c>
      <c r="AH7529" t="s">
        <v>8646</v>
      </c>
      <c r="AI7529" t="str">
        <f>"9170428"</f>
        <v>9170428</v>
      </c>
      <c r="AJ7529" t="s">
        <v>8983</v>
      </c>
      <c r="AK7529">
        <v>2810234768</v>
      </c>
      <c r="AL7529" t="s">
        <v>8984</v>
      </c>
      <c r="AM7529" t="s">
        <v>78</v>
      </c>
      <c r="AN7529" t="s">
        <v>78</v>
      </c>
      <c r="AO7529" t="s">
        <v>78</v>
      </c>
      <c r="AP7529" t="s">
        <v>79</v>
      </c>
      <c r="AQ7529">
        <v>1</v>
      </c>
      <c r="AR7529" t="s">
        <v>80</v>
      </c>
      <c r="AS7529" t="s">
        <v>81</v>
      </c>
      <c r="AT7529" t="s">
        <v>58</v>
      </c>
      <c r="AU7529" t="s">
        <v>68</v>
      </c>
      <c r="AV7529" t="s">
        <v>69</v>
      </c>
      <c r="AW7529" s="1">
        <v>25769</v>
      </c>
      <c r="AX7529">
        <v>1</v>
      </c>
    </row>
    <row r="7530" spans="1:50">
      <c r="B7530" t="str">
        <f>"113238262"</f>
        <v>113238262</v>
      </c>
      <c r="C7530" t="s">
        <v>50</v>
      </c>
      <c r="D7530" t="s">
        <v>11857</v>
      </c>
      <c r="E7530" t="s">
        <v>237</v>
      </c>
      <c r="F7530" t="s">
        <v>72</v>
      </c>
      <c r="G7530" t="s">
        <v>263</v>
      </c>
      <c r="H7530" t="str">
        <f>"ΜΑΙΖΩΝΟΣ 7-9 "</f>
        <v xml:space="preserve">ΜΑΙΖΩΝΟΣ 7-9 </v>
      </c>
      <c r="I7530">
        <v>26223</v>
      </c>
      <c r="J7530">
        <v>2610270849</v>
      </c>
      <c r="K7530">
        <v>6944875379</v>
      </c>
      <c r="N7530" t="s">
        <v>615</v>
      </c>
      <c r="O7530" t="s">
        <v>616</v>
      </c>
      <c r="R7530" t="s">
        <v>159</v>
      </c>
      <c r="S7530">
        <v>3</v>
      </c>
      <c r="T7530" t="s">
        <v>8675</v>
      </c>
      <c r="U7530" s="1">
        <v>43348</v>
      </c>
      <c r="V7530" t="s">
        <v>80</v>
      </c>
      <c r="W7530" t="s">
        <v>81</v>
      </c>
      <c r="X7530" t="s">
        <v>58</v>
      </c>
      <c r="Y7530">
        <v>24</v>
      </c>
      <c r="Z7530" t="s">
        <v>59</v>
      </c>
      <c r="AA7530" t="s">
        <v>59</v>
      </c>
      <c r="AB7530" t="s">
        <v>59</v>
      </c>
      <c r="AC7530" t="s">
        <v>59</v>
      </c>
      <c r="AD7530" t="s">
        <v>59</v>
      </c>
      <c r="AF7530" s="1">
        <v>43348</v>
      </c>
      <c r="AG7530" t="s">
        <v>8645</v>
      </c>
      <c r="AH7530" t="s">
        <v>8646</v>
      </c>
      <c r="AI7530" t="str">
        <f>"9170190"</f>
        <v>9170190</v>
      </c>
      <c r="AJ7530" t="s">
        <v>8689</v>
      </c>
      <c r="AK7530">
        <v>2810232169</v>
      </c>
      <c r="AL7530" t="s">
        <v>8690</v>
      </c>
      <c r="AM7530" t="s">
        <v>78</v>
      </c>
      <c r="AN7530" t="s">
        <v>78</v>
      </c>
      <c r="AO7530" t="s">
        <v>78</v>
      </c>
      <c r="AP7530" t="s">
        <v>163</v>
      </c>
      <c r="AQ7530">
        <v>1</v>
      </c>
      <c r="AR7530" t="s">
        <v>80</v>
      </c>
      <c r="AS7530" t="s">
        <v>81</v>
      </c>
      <c r="AT7530" t="s">
        <v>58</v>
      </c>
      <c r="AU7530" t="s">
        <v>8673</v>
      </c>
      <c r="AV7530" t="s">
        <v>132</v>
      </c>
      <c r="AW7530" s="1">
        <v>32196</v>
      </c>
      <c r="AX7530">
        <v>1</v>
      </c>
    </row>
    <row r="7531" spans="1:50">
      <c r="A7531">
        <v>618082</v>
      </c>
      <c r="B7531" t="str">
        <f>"138986139"</f>
        <v>138986139</v>
      </c>
      <c r="C7531" t="s">
        <v>50</v>
      </c>
      <c r="D7531" t="s">
        <v>11858</v>
      </c>
      <c r="E7531" t="s">
        <v>109</v>
      </c>
      <c r="F7531" t="s">
        <v>106</v>
      </c>
      <c r="G7531" t="s">
        <v>11859</v>
      </c>
      <c r="H7531" t="str">
        <f>"ΑΝΩΠΟΛΗ ΠΕΔΙΑΔΟΣ  ΑΝΩΠΟΛΗ ΠΕΔΙΑΔΟΣ Τ.Θ.76"</f>
        <v>ΑΝΩΠΟΛΗ ΠΕΔΙΑΔΟΣ  ΑΝΩΠΟΛΗ ΠΕΔΙΑΔΟΣ Τ.Θ.76</v>
      </c>
      <c r="I7531">
        <v>70008</v>
      </c>
      <c r="J7531">
        <v>2810781223</v>
      </c>
      <c r="K7531">
        <v>6946942073</v>
      </c>
      <c r="M7531" t="s">
        <v>11860</v>
      </c>
      <c r="N7531" t="s">
        <v>615</v>
      </c>
      <c r="O7531" t="s">
        <v>616</v>
      </c>
      <c r="R7531" t="s">
        <v>57</v>
      </c>
      <c r="S7531">
        <v>6</v>
      </c>
      <c r="T7531">
        <v>774</v>
      </c>
      <c r="U7531" s="1">
        <v>39680</v>
      </c>
      <c r="V7531" t="s">
        <v>80</v>
      </c>
      <c r="W7531" t="s">
        <v>81</v>
      </c>
      <c r="X7531" t="s">
        <v>58</v>
      </c>
      <c r="Y7531">
        <v>23</v>
      </c>
      <c r="Z7531" t="s">
        <v>59</v>
      </c>
      <c r="AA7531" t="s">
        <v>59</v>
      </c>
      <c r="AB7531" t="s">
        <v>59</v>
      </c>
      <c r="AC7531" t="s">
        <v>59</v>
      </c>
      <c r="AD7531" t="s">
        <v>59</v>
      </c>
      <c r="AF7531" s="1">
        <v>39681</v>
      </c>
      <c r="AG7531" t="s">
        <v>8645</v>
      </c>
      <c r="AH7531" t="s">
        <v>8646</v>
      </c>
      <c r="AI7531" t="str">
        <f>"9170205"</f>
        <v>9170205</v>
      </c>
      <c r="AJ7531" t="s">
        <v>8794</v>
      </c>
      <c r="AK7531">
        <v>2810762030</v>
      </c>
      <c r="AL7531" t="s">
        <v>8795</v>
      </c>
      <c r="AM7531" t="s">
        <v>78</v>
      </c>
      <c r="AN7531" t="s">
        <v>219</v>
      </c>
      <c r="AO7531" t="s">
        <v>297</v>
      </c>
      <c r="AP7531" t="s">
        <v>8796</v>
      </c>
      <c r="AQ7531">
        <v>7</v>
      </c>
      <c r="AR7531" t="s">
        <v>80</v>
      </c>
      <c r="AS7531" t="s">
        <v>81</v>
      </c>
      <c r="AT7531" t="s">
        <v>58</v>
      </c>
      <c r="AU7531" t="s">
        <v>68</v>
      </c>
      <c r="AV7531" t="s">
        <v>69</v>
      </c>
      <c r="AW7531" s="1">
        <v>29078</v>
      </c>
      <c r="AX7531">
        <v>1</v>
      </c>
    </row>
    <row r="7532" spans="1:50">
      <c r="A7532">
        <v>559324</v>
      </c>
      <c r="B7532" t="str">
        <f>"030974260"</f>
        <v>030974260</v>
      </c>
      <c r="C7532" t="s">
        <v>105</v>
      </c>
      <c r="D7532" t="s">
        <v>11861</v>
      </c>
      <c r="E7532" t="s">
        <v>166</v>
      </c>
      <c r="F7532" t="s">
        <v>1336</v>
      </c>
      <c r="G7532" t="s">
        <v>1204</v>
      </c>
      <c r="H7532" t="str">
        <f>" "</f>
        <v xml:space="preserve"> </v>
      </c>
      <c r="N7532" t="s">
        <v>615</v>
      </c>
      <c r="O7532" t="s">
        <v>616</v>
      </c>
      <c r="R7532" t="s">
        <v>57</v>
      </c>
      <c r="S7532">
        <v>16</v>
      </c>
      <c r="T7532">
        <v>168</v>
      </c>
      <c r="U7532" s="1">
        <v>32010</v>
      </c>
      <c r="V7532" t="s">
        <v>80</v>
      </c>
      <c r="W7532" t="s">
        <v>81</v>
      </c>
      <c r="X7532" t="s">
        <v>58</v>
      </c>
      <c r="Y7532">
        <v>21</v>
      </c>
      <c r="Z7532" t="s">
        <v>59</v>
      </c>
      <c r="AA7532" t="s">
        <v>59</v>
      </c>
      <c r="AB7532" t="s">
        <v>59</v>
      </c>
      <c r="AC7532" t="s">
        <v>59</v>
      </c>
      <c r="AD7532" t="s">
        <v>59</v>
      </c>
      <c r="AF7532" s="1">
        <v>32021</v>
      </c>
      <c r="AG7532" t="s">
        <v>8645</v>
      </c>
      <c r="AH7532" t="s">
        <v>8646</v>
      </c>
      <c r="AI7532" t="str">
        <f>"9170219"</f>
        <v>9170219</v>
      </c>
      <c r="AJ7532" t="s">
        <v>8967</v>
      </c>
      <c r="AK7532">
        <v>2897041357</v>
      </c>
      <c r="AL7532" t="s">
        <v>8968</v>
      </c>
      <c r="AM7532" t="s">
        <v>78</v>
      </c>
      <c r="AN7532" t="s">
        <v>219</v>
      </c>
      <c r="AO7532" t="s">
        <v>297</v>
      </c>
      <c r="AP7532" t="s">
        <v>297</v>
      </c>
      <c r="AQ7532">
        <v>7</v>
      </c>
      <c r="AR7532" t="s">
        <v>80</v>
      </c>
      <c r="AS7532" t="s">
        <v>81</v>
      </c>
      <c r="AT7532" t="s">
        <v>58</v>
      </c>
      <c r="AU7532" t="s">
        <v>68</v>
      </c>
      <c r="AV7532" t="s">
        <v>69</v>
      </c>
      <c r="AW7532" s="1">
        <v>21743</v>
      </c>
      <c r="AX7532">
        <v>1</v>
      </c>
    </row>
    <row r="7533" spans="1:50">
      <c r="A7533">
        <v>214134</v>
      </c>
      <c r="B7533" t="str">
        <f>"078404092"</f>
        <v>078404092</v>
      </c>
      <c r="C7533" t="s">
        <v>105</v>
      </c>
      <c r="D7533" t="s">
        <v>11862</v>
      </c>
      <c r="E7533" t="s">
        <v>95</v>
      </c>
      <c r="F7533" t="s">
        <v>2320</v>
      </c>
      <c r="G7533" t="s">
        <v>892</v>
      </c>
      <c r="H7533" t="str">
        <f>"ΛΟΥΚΑ ΠΕΤΡΑΚΗ 5 ΤΡΙΑ ΠΕΥΚΑ"</f>
        <v>ΛΟΥΚΑ ΠΕΤΡΑΚΗ 5 ΤΡΙΑ ΠΕΥΚΑ</v>
      </c>
      <c r="I7533">
        <v>71306</v>
      </c>
      <c r="J7533">
        <v>2810228829</v>
      </c>
      <c r="K7533">
        <v>6945189516</v>
      </c>
      <c r="M7533" t="s">
        <v>11863</v>
      </c>
      <c r="N7533" t="s">
        <v>288</v>
      </c>
      <c r="O7533" t="s">
        <v>289</v>
      </c>
      <c r="R7533" t="s">
        <v>57</v>
      </c>
      <c r="S7533">
        <v>8</v>
      </c>
      <c r="T7533">
        <v>231</v>
      </c>
      <c r="U7533" s="1">
        <v>38960</v>
      </c>
      <c r="V7533" t="s">
        <v>80</v>
      </c>
      <c r="W7533" t="s">
        <v>81</v>
      </c>
      <c r="X7533" t="s">
        <v>58</v>
      </c>
      <c r="Y7533">
        <v>22</v>
      </c>
      <c r="Z7533" t="s">
        <v>59</v>
      </c>
      <c r="AA7533" t="s">
        <v>59</v>
      </c>
      <c r="AB7533" t="s">
        <v>59</v>
      </c>
      <c r="AC7533" t="s">
        <v>59</v>
      </c>
      <c r="AD7533" t="s">
        <v>59</v>
      </c>
      <c r="AF7533" s="1">
        <v>38961</v>
      </c>
      <c r="AG7533" t="s">
        <v>8645</v>
      </c>
      <c r="AH7533" t="s">
        <v>8646</v>
      </c>
      <c r="AI7533" t="str">
        <f>"9170345"</f>
        <v>9170345</v>
      </c>
      <c r="AJ7533" t="s">
        <v>9429</v>
      </c>
      <c r="AK7533">
        <v>2810289563</v>
      </c>
      <c r="AL7533" t="s">
        <v>9430</v>
      </c>
      <c r="AM7533" t="s">
        <v>78</v>
      </c>
      <c r="AN7533" t="s">
        <v>78</v>
      </c>
      <c r="AO7533" t="s">
        <v>78</v>
      </c>
      <c r="AP7533" t="s">
        <v>79</v>
      </c>
      <c r="AQ7533">
        <v>1</v>
      </c>
      <c r="AR7533" t="s">
        <v>80</v>
      </c>
      <c r="AS7533" t="s">
        <v>81</v>
      </c>
      <c r="AT7533" t="s">
        <v>58</v>
      </c>
      <c r="AU7533" t="s">
        <v>68</v>
      </c>
      <c r="AV7533" t="s">
        <v>69</v>
      </c>
      <c r="AW7533" s="1">
        <v>25119</v>
      </c>
      <c r="AX7533">
        <v>1</v>
      </c>
    </row>
    <row r="7534" spans="1:50">
      <c r="A7534">
        <v>565349</v>
      </c>
      <c r="B7534" t="str">
        <f>"035911970"</f>
        <v>035911970</v>
      </c>
      <c r="C7534" t="s">
        <v>50</v>
      </c>
      <c r="D7534" t="s">
        <v>11864</v>
      </c>
      <c r="E7534" t="s">
        <v>215</v>
      </c>
      <c r="F7534" t="s">
        <v>166</v>
      </c>
      <c r="G7534" t="s">
        <v>255</v>
      </c>
      <c r="H7534" t="str">
        <f>" "</f>
        <v xml:space="preserve"> </v>
      </c>
      <c r="N7534" t="s">
        <v>615</v>
      </c>
      <c r="O7534" t="s">
        <v>616</v>
      </c>
      <c r="R7534" t="s">
        <v>57</v>
      </c>
      <c r="S7534">
        <v>14</v>
      </c>
      <c r="T7534">
        <v>161</v>
      </c>
      <c r="U7534" s="1">
        <v>33119</v>
      </c>
      <c r="V7534" t="s">
        <v>80</v>
      </c>
      <c r="W7534" t="s">
        <v>81</v>
      </c>
      <c r="X7534" t="s">
        <v>58</v>
      </c>
      <c r="Y7534">
        <v>21</v>
      </c>
      <c r="Z7534" t="s">
        <v>59</v>
      </c>
      <c r="AA7534" t="s">
        <v>59</v>
      </c>
      <c r="AB7534" t="s">
        <v>59</v>
      </c>
      <c r="AC7534" t="s">
        <v>59</v>
      </c>
      <c r="AD7534" t="s">
        <v>59</v>
      </c>
      <c r="AF7534" s="1">
        <v>33123</v>
      </c>
      <c r="AG7534" t="s">
        <v>8645</v>
      </c>
      <c r="AH7534" t="s">
        <v>8646</v>
      </c>
      <c r="AI7534" t="str">
        <f>"9170535"</f>
        <v>9170535</v>
      </c>
      <c r="AJ7534" t="s">
        <v>9330</v>
      </c>
      <c r="AK7534">
        <v>2810222629</v>
      </c>
      <c r="AL7534" t="s">
        <v>9331</v>
      </c>
      <c r="AM7534" t="s">
        <v>78</v>
      </c>
      <c r="AN7534" t="s">
        <v>78</v>
      </c>
      <c r="AO7534" t="s">
        <v>78</v>
      </c>
      <c r="AP7534" t="s">
        <v>213</v>
      </c>
      <c r="AQ7534">
        <v>1</v>
      </c>
      <c r="AR7534" t="s">
        <v>80</v>
      </c>
      <c r="AS7534" t="s">
        <v>81</v>
      </c>
      <c r="AT7534" t="s">
        <v>58</v>
      </c>
      <c r="AU7534" t="s">
        <v>68</v>
      </c>
      <c r="AV7534" t="s">
        <v>69</v>
      </c>
      <c r="AW7534" s="1">
        <v>24163</v>
      </c>
      <c r="AX7534">
        <v>1</v>
      </c>
    </row>
    <row r="7535" spans="1:50">
      <c r="A7535">
        <v>600458</v>
      </c>
      <c r="B7535" t="str">
        <f>"071248790"</f>
        <v>071248790</v>
      </c>
      <c r="C7535" t="s">
        <v>50</v>
      </c>
      <c r="D7535" t="s">
        <v>11865</v>
      </c>
      <c r="E7535" t="s">
        <v>687</v>
      </c>
      <c r="F7535" t="s">
        <v>95</v>
      </c>
      <c r="G7535" t="s">
        <v>11866</v>
      </c>
      <c r="H7535" t="str">
        <f>" "</f>
        <v xml:space="preserve"> </v>
      </c>
      <c r="J7535">
        <v>2463091368</v>
      </c>
      <c r="K7535">
        <v>6973482043</v>
      </c>
      <c r="N7535" t="s">
        <v>615</v>
      </c>
      <c r="O7535" t="s">
        <v>616</v>
      </c>
      <c r="R7535" t="s">
        <v>57</v>
      </c>
      <c r="S7535">
        <v>9</v>
      </c>
      <c r="T7535">
        <v>195</v>
      </c>
      <c r="U7535" s="1">
        <v>37497</v>
      </c>
      <c r="V7535" t="s">
        <v>80</v>
      </c>
      <c r="W7535" t="s">
        <v>81</v>
      </c>
      <c r="X7535" t="s">
        <v>58</v>
      </c>
      <c r="Y7535">
        <v>25</v>
      </c>
      <c r="Z7535" t="s">
        <v>59</v>
      </c>
      <c r="AA7535" t="s">
        <v>59</v>
      </c>
      <c r="AB7535" t="s">
        <v>59</v>
      </c>
      <c r="AC7535" t="s">
        <v>59</v>
      </c>
      <c r="AD7535" t="s">
        <v>59</v>
      </c>
      <c r="AF7535" s="1">
        <v>37501</v>
      </c>
      <c r="AG7535" t="s">
        <v>8645</v>
      </c>
      <c r="AH7535" t="s">
        <v>8697</v>
      </c>
      <c r="AI7535" t="str">
        <f>"9170566"</f>
        <v>9170566</v>
      </c>
      <c r="AJ7535" t="s">
        <v>10293</v>
      </c>
      <c r="AK7535">
        <v>2810230139</v>
      </c>
      <c r="AL7535" t="s">
        <v>10294</v>
      </c>
      <c r="AM7535" t="s">
        <v>78</v>
      </c>
      <c r="AN7535" t="s">
        <v>78</v>
      </c>
      <c r="AO7535" t="s">
        <v>78</v>
      </c>
      <c r="AP7535" t="s">
        <v>163</v>
      </c>
      <c r="AQ7535">
        <v>1</v>
      </c>
      <c r="AR7535" t="s">
        <v>80</v>
      </c>
      <c r="AS7535" t="s">
        <v>81</v>
      </c>
      <c r="AT7535" t="s">
        <v>58</v>
      </c>
      <c r="AU7535" t="s">
        <v>68</v>
      </c>
      <c r="AV7535" t="s">
        <v>69</v>
      </c>
      <c r="AW7535" s="1">
        <v>24633</v>
      </c>
      <c r="AX7535">
        <v>1</v>
      </c>
    </row>
    <row r="7536" spans="1:50">
      <c r="B7536" t="str">
        <f>"127103970"</f>
        <v>127103970</v>
      </c>
      <c r="C7536" t="s">
        <v>50</v>
      </c>
      <c r="D7536" t="s">
        <v>11867</v>
      </c>
      <c r="E7536" t="s">
        <v>382</v>
      </c>
      <c r="F7536" t="s">
        <v>84</v>
      </c>
      <c r="G7536" t="s">
        <v>237</v>
      </c>
      <c r="H7536" t="str">
        <f>" "</f>
        <v xml:space="preserve"> </v>
      </c>
      <c r="N7536" t="s">
        <v>8834</v>
      </c>
      <c r="O7536" t="s">
        <v>8695</v>
      </c>
      <c r="R7536" t="s">
        <v>121</v>
      </c>
      <c r="S7536">
        <v>3</v>
      </c>
      <c r="T7536" t="s">
        <v>8835</v>
      </c>
      <c r="U7536" s="1">
        <v>43348</v>
      </c>
      <c r="V7536" t="s">
        <v>80</v>
      </c>
      <c r="W7536" t="s">
        <v>81</v>
      </c>
      <c r="X7536" t="s">
        <v>58</v>
      </c>
      <c r="Y7536">
        <v>24</v>
      </c>
      <c r="Z7536" t="s">
        <v>59</v>
      </c>
      <c r="AA7536" t="s">
        <v>59</v>
      </c>
      <c r="AB7536" t="s">
        <v>59</v>
      </c>
      <c r="AD7536" t="s">
        <v>59</v>
      </c>
      <c r="AF7536" s="1">
        <v>43348</v>
      </c>
      <c r="AG7536" t="s">
        <v>8645</v>
      </c>
      <c r="AH7536" t="s">
        <v>8676</v>
      </c>
      <c r="AI7536" t="str">
        <f>"9170304"</f>
        <v>9170304</v>
      </c>
      <c r="AJ7536" t="s">
        <v>9163</v>
      </c>
      <c r="AK7536">
        <v>2892043385</v>
      </c>
      <c r="AL7536" t="s">
        <v>9164</v>
      </c>
      <c r="AM7536" t="s">
        <v>78</v>
      </c>
      <c r="AN7536" t="s">
        <v>242</v>
      </c>
      <c r="AO7536" t="s">
        <v>243</v>
      </c>
      <c r="AP7536" t="s">
        <v>8762</v>
      </c>
      <c r="AQ7536">
        <v>19</v>
      </c>
      <c r="AR7536" t="s">
        <v>80</v>
      </c>
      <c r="AS7536" t="s">
        <v>81</v>
      </c>
      <c r="AT7536" t="s">
        <v>58</v>
      </c>
      <c r="AU7536" t="s">
        <v>131</v>
      </c>
      <c r="AV7536" t="s">
        <v>132</v>
      </c>
      <c r="AW7536" s="1">
        <v>33260</v>
      </c>
      <c r="AX7536">
        <v>1</v>
      </c>
    </row>
    <row r="7537" spans="1:50">
      <c r="B7537" t="str">
        <f>"146211487"</f>
        <v>146211487</v>
      </c>
      <c r="C7537" t="s">
        <v>50</v>
      </c>
      <c r="D7537" t="s">
        <v>11868</v>
      </c>
      <c r="E7537" t="s">
        <v>714</v>
      </c>
      <c r="F7537" t="s">
        <v>166</v>
      </c>
      <c r="G7537" t="s">
        <v>11869</v>
      </c>
      <c r="H7537" t="str">
        <f>"ΑΝΑΓΕΝΝΗΣΕΩΣ 14 ΗΡΑΚΛΕΙΟ"</f>
        <v>ΑΝΑΓΕΝΝΗΣΕΩΣ 14 ΗΡΑΚΛΕΙΟ</v>
      </c>
      <c r="I7537">
        <v>71305</v>
      </c>
      <c r="J7537">
        <v>2810321835</v>
      </c>
      <c r="K7537">
        <v>6946101971</v>
      </c>
      <c r="N7537" t="s">
        <v>384</v>
      </c>
      <c r="O7537" t="s">
        <v>385</v>
      </c>
      <c r="R7537" t="s">
        <v>159</v>
      </c>
      <c r="S7537">
        <v>2</v>
      </c>
      <c r="T7537" t="s">
        <v>8675</v>
      </c>
      <c r="U7537" s="1">
        <v>43348</v>
      </c>
      <c r="V7537" t="s">
        <v>80</v>
      </c>
      <c r="W7537" t="s">
        <v>81</v>
      </c>
      <c r="X7537" t="s">
        <v>58</v>
      </c>
      <c r="Y7537">
        <v>24</v>
      </c>
      <c r="Z7537" t="s">
        <v>59</v>
      </c>
      <c r="AA7537" t="s">
        <v>59</v>
      </c>
      <c r="AB7537" t="s">
        <v>59</v>
      </c>
      <c r="AC7537" t="s">
        <v>59</v>
      </c>
      <c r="AD7537" t="s">
        <v>59</v>
      </c>
      <c r="AF7537" s="1">
        <v>43348</v>
      </c>
      <c r="AG7537" t="s">
        <v>8645</v>
      </c>
      <c r="AH7537" t="s">
        <v>8646</v>
      </c>
      <c r="AI7537" t="str">
        <f>"9170561"</f>
        <v>9170561</v>
      </c>
      <c r="AJ7537" t="s">
        <v>8708</v>
      </c>
      <c r="AK7537">
        <v>2891023609</v>
      </c>
      <c r="AL7537" t="s">
        <v>8709</v>
      </c>
      <c r="AM7537" t="s">
        <v>78</v>
      </c>
      <c r="AN7537" t="s">
        <v>276</v>
      </c>
      <c r="AO7537" t="s">
        <v>490</v>
      </c>
      <c r="AP7537" t="s">
        <v>490</v>
      </c>
      <c r="AQ7537">
        <v>12</v>
      </c>
      <c r="AR7537" t="s">
        <v>80</v>
      </c>
      <c r="AS7537" t="s">
        <v>81</v>
      </c>
      <c r="AT7537" t="s">
        <v>58</v>
      </c>
      <c r="AU7537" t="s">
        <v>8673</v>
      </c>
      <c r="AV7537" t="s">
        <v>132</v>
      </c>
      <c r="AW7537" s="1">
        <v>31495</v>
      </c>
      <c r="AX7537">
        <v>1</v>
      </c>
    </row>
    <row r="7538" spans="1:50">
      <c r="A7538">
        <v>589607</v>
      </c>
      <c r="B7538" t="str">
        <f>"033236809"</f>
        <v>033236809</v>
      </c>
      <c r="C7538" t="s">
        <v>50</v>
      </c>
      <c r="D7538" t="s">
        <v>4478</v>
      </c>
      <c r="E7538" t="s">
        <v>367</v>
      </c>
      <c r="F7538" t="s">
        <v>377</v>
      </c>
      <c r="G7538" t="s">
        <v>112</v>
      </c>
      <c r="H7538" t="str">
        <f>"ΠΑΣΙΦΑΗΣ 7 ΗΡΑΚΛΕΙΟ"</f>
        <v>ΠΑΣΙΦΑΗΣ 7 ΗΡΑΚΛΕΙΟ</v>
      </c>
      <c r="I7538">
        <v>71202</v>
      </c>
      <c r="J7538">
        <v>2810223939</v>
      </c>
      <c r="K7538">
        <v>6945973436</v>
      </c>
      <c r="N7538" t="s">
        <v>1525</v>
      </c>
      <c r="O7538" t="s">
        <v>1526</v>
      </c>
      <c r="P7538" t="s">
        <v>615</v>
      </c>
      <c r="Q7538" t="s">
        <v>616</v>
      </c>
      <c r="R7538" t="s">
        <v>57</v>
      </c>
      <c r="S7538">
        <v>16</v>
      </c>
      <c r="T7538">
        <v>176</v>
      </c>
      <c r="U7538" s="1">
        <v>36403</v>
      </c>
      <c r="V7538" t="s">
        <v>80</v>
      </c>
      <c r="W7538" t="s">
        <v>81</v>
      </c>
      <c r="X7538" t="s">
        <v>58</v>
      </c>
      <c r="Y7538">
        <v>25</v>
      </c>
      <c r="Z7538" t="s">
        <v>59</v>
      </c>
      <c r="AA7538" t="s">
        <v>59</v>
      </c>
      <c r="AB7538" t="s">
        <v>59</v>
      </c>
      <c r="AC7538" t="s">
        <v>59</v>
      </c>
      <c r="AD7538" t="s">
        <v>59</v>
      </c>
      <c r="AF7538" s="1">
        <v>36404</v>
      </c>
      <c r="AG7538" t="s">
        <v>8651</v>
      </c>
      <c r="AH7538" t="s">
        <v>8652</v>
      </c>
      <c r="AI7538" t="str">
        <f>"9520921"</f>
        <v>9520921</v>
      </c>
      <c r="AJ7538" t="s">
        <v>10810</v>
      </c>
      <c r="AK7538">
        <v>2897033119</v>
      </c>
      <c r="AL7538" t="s">
        <v>10811</v>
      </c>
      <c r="AM7538" t="s">
        <v>78</v>
      </c>
      <c r="AN7538" t="s">
        <v>219</v>
      </c>
      <c r="AO7538" t="s">
        <v>527</v>
      </c>
      <c r="AP7538" t="s">
        <v>527</v>
      </c>
      <c r="AQ7538">
        <v>8</v>
      </c>
      <c r="AR7538" t="s">
        <v>80</v>
      </c>
      <c r="AS7538" t="s">
        <v>81</v>
      </c>
      <c r="AT7538" t="s">
        <v>58</v>
      </c>
      <c r="AU7538" t="s">
        <v>68</v>
      </c>
      <c r="AV7538" t="s">
        <v>69</v>
      </c>
      <c r="AW7538" s="1">
        <v>23835</v>
      </c>
      <c r="AX7538">
        <v>1</v>
      </c>
    </row>
    <row r="7539" spans="1:50">
      <c r="A7539">
        <v>621765</v>
      </c>
      <c r="B7539" t="str">
        <f>"144347623"</f>
        <v>144347623</v>
      </c>
      <c r="C7539" t="s">
        <v>50</v>
      </c>
      <c r="D7539" t="s">
        <v>4482</v>
      </c>
      <c r="E7539" t="s">
        <v>237</v>
      </c>
      <c r="F7539" t="s">
        <v>72</v>
      </c>
      <c r="G7539" t="s">
        <v>714</v>
      </c>
      <c r="H7539" t="str">
        <f>"ΕΡΥΘΡΑΙΑΣ 107 ΗΡΑΚΛΕΙΟ"</f>
        <v>ΕΡΥΘΡΑΙΑΣ 107 ΗΡΑΚΛΕΙΟ</v>
      </c>
      <c r="I7539">
        <v>71409</v>
      </c>
      <c r="J7539">
        <v>2810211524</v>
      </c>
      <c r="K7539">
        <v>6974873602</v>
      </c>
      <c r="M7539" t="s">
        <v>11870</v>
      </c>
      <c r="N7539" t="s">
        <v>615</v>
      </c>
      <c r="O7539" t="s">
        <v>616</v>
      </c>
      <c r="R7539" t="s">
        <v>57</v>
      </c>
      <c r="S7539">
        <v>5</v>
      </c>
      <c r="T7539">
        <v>653</v>
      </c>
      <c r="U7539" s="1">
        <v>40043</v>
      </c>
      <c r="V7539" t="s">
        <v>80</v>
      </c>
      <c r="W7539" t="s">
        <v>81</v>
      </c>
      <c r="X7539" t="s">
        <v>58</v>
      </c>
      <c r="Y7539">
        <v>23</v>
      </c>
      <c r="Z7539" t="s">
        <v>59</v>
      </c>
      <c r="AA7539" t="s">
        <v>59</v>
      </c>
      <c r="AB7539" t="s">
        <v>59</v>
      </c>
      <c r="AC7539" t="s">
        <v>59</v>
      </c>
      <c r="AD7539" t="s">
        <v>59</v>
      </c>
      <c r="AF7539" s="1">
        <v>40043</v>
      </c>
      <c r="AG7539" t="s">
        <v>8645</v>
      </c>
      <c r="AH7539" t="s">
        <v>8646</v>
      </c>
      <c r="AI7539" t="str">
        <f>"9170205"</f>
        <v>9170205</v>
      </c>
      <c r="AJ7539" t="s">
        <v>8794</v>
      </c>
      <c r="AK7539">
        <v>2810762030</v>
      </c>
      <c r="AL7539" t="s">
        <v>8795</v>
      </c>
      <c r="AM7539" t="s">
        <v>78</v>
      </c>
      <c r="AN7539" t="s">
        <v>219</v>
      </c>
      <c r="AO7539" t="s">
        <v>297</v>
      </c>
      <c r="AP7539" t="s">
        <v>8796</v>
      </c>
      <c r="AQ7539">
        <v>7</v>
      </c>
      <c r="AR7539" t="s">
        <v>80</v>
      </c>
      <c r="AS7539" t="s">
        <v>81</v>
      </c>
      <c r="AT7539" t="s">
        <v>58</v>
      </c>
      <c r="AU7539" t="s">
        <v>68</v>
      </c>
      <c r="AV7539" t="s">
        <v>69</v>
      </c>
      <c r="AW7539" s="1">
        <v>31270</v>
      </c>
      <c r="AX7539">
        <v>1</v>
      </c>
    </row>
    <row r="7540" spans="1:50">
      <c r="A7540">
        <v>610307</v>
      </c>
      <c r="B7540" t="str">
        <f>"132331867"</f>
        <v>132331867</v>
      </c>
      <c r="C7540" t="s">
        <v>50</v>
      </c>
      <c r="D7540" t="s">
        <v>4482</v>
      </c>
      <c r="E7540" t="s">
        <v>1179</v>
      </c>
      <c r="F7540" t="s">
        <v>72</v>
      </c>
      <c r="G7540" t="s">
        <v>52</v>
      </c>
      <c r="H7540" t="str">
        <f>" "</f>
        <v xml:space="preserve"> </v>
      </c>
      <c r="J7540">
        <v>2810223632</v>
      </c>
      <c r="K7540">
        <v>6979338944</v>
      </c>
      <c r="N7540" t="s">
        <v>615</v>
      </c>
      <c r="O7540" t="s">
        <v>616</v>
      </c>
      <c r="R7540" t="s">
        <v>57</v>
      </c>
      <c r="S7540">
        <v>7</v>
      </c>
      <c r="T7540">
        <v>233</v>
      </c>
      <c r="U7540" s="1">
        <v>38960</v>
      </c>
      <c r="V7540" t="s">
        <v>80</v>
      </c>
      <c r="W7540" t="s">
        <v>81</v>
      </c>
      <c r="X7540" t="s">
        <v>58</v>
      </c>
      <c r="Y7540">
        <v>23</v>
      </c>
      <c r="Z7540" t="s">
        <v>59</v>
      </c>
      <c r="AA7540" t="s">
        <v>59</v>
      </c>
      <c r="AB7540" t="s">
        <v>59</v>
      </c>
      <c r="AC7540" t="s">
        <v>59</v>
      </c>
      <c r="AD7540" t="s">
        <v>59</v>
      </c>
      <c r="AF7540" s="1">
        <v>38961</v>
      </c>
      <c r="AG7540" t="s">
        <v>8645</v>
      </c>
      <c r="AH7540" t="s">
        <v>8646</v>
      </c>
      <c r="AI7540" t="str">
        <f>"9170519"</f>
        <v>9170519</v>
      </c>
      <c r="AJ7540" t="s">
        <v>8647</v>
      </c>
      <c r="AK7540">
        <v>2810244075</v>
      </c>
      <c r="AL7540" t="s">
        <v>8648</v>
      </c>
      <c r="AM7540" t="s">
        <v>78</v>
      </c>
      <c r="AN7540" t="s">
        <v>78</v>
      </c>
      <c r="AO7540" t="s">
        <v>78</v>
      </c>
      <c r="AP7540" t="s">
        <v>213</v>
      </c>
      <c r="AQ7540">
        <v>1</v>
      </c>
      <c r="AR7540" t="s">
        <v>80</v>
      </c>
      <c r="AS7540" t="s">
        <v>81</v>
      </c>
      <c r="AT7540" t="s">
        <v>58</v>
      </c>
      <c r="AU7540" t="s">
        <v>68</v>
      </c>
      <c r="AV7540" t="s">
        <v>69</v>
      </c>
      <c r="AW7540" s="1">
        <v>29662</v>
      </c>
      <c r="AX7540">
        <v>1</v>
      </c>
    </row>
    <row r="7541" spans="1:50">
      <c r="A7541">
        <v>558989</v>
      </c>
      <c r="B7541" t="str">
        <f>"031453950"</f>
        <v>031453950</v>
      </c>
      <c r="C7541" t="s">
        <v>105</v>
      </c>
      <c r="D7541" t="s">
        <v>4485</v>
      </c>
      <c r="E7541" t="s">
        <v>166</v>
      </c>
      <c r="F7541" t="s">
        <v>1070</v>
      </c>
      <c r="G7541" t="s">
        <v>52</v>
      </c>
      <c r="H7541" t="str">
        <f>" "</f>
        <v xml:space="preserve"> </v>
      </c>
      <c r="N7541" t="s">
        <v>615</v>
      </c>
      <c r="O7541" t="s">
        <v>616</v>
      </c>
      <c r="R7541" t="s">
        <v>57</v>
      </c>
      <c r="S7541">
        <v>16</v>
      </c>
      <c r="T7541">
        <v>168</v>
      </c>
      <c r="U7541" s="1">
        <v>32010</v>
      </c>
      <c r="V7541" t="s">
        <v>80</v>
      </c>
      <c r="W7541" t="s">
        <v>81</v>
      </c>
      <c r="X7541" t="s">
        <v>58</v>
      </c>
      <c r="Y7541">
        <v>21</v>
      </c>
      <c r="Z7541" t="s">
        <v>59</v>
      </c>
      <c r="AA7541" t="s">
        <v>59</v>
      </c>
      <c r="AB7541" t="s">
        <v>59</v>
      </c>
      <c r="AC7541" t="s">
        <v>59</v>
      </c>
      <c r="AD7541" t="s">
        <v>59</v>
      </c>
      <c r="AF7541" s="1">
        <v>32021</v>
      </c>
      <c r="AG7541" t="s">
        <v>8645</v>
      </c>
      <c r="AH7541" t="s">
        <v>8646</v>
      </c>
      <c r="AI7541" t="str">
        <f>"9170255"</f>
        <v>9170255</v>
      </c>
      <c r="AJ7541" t="s">
        <v>8915</v>
      </c>
      <c r="AK7541">
        <v>2810220750</v>
      </c>
      <c r="AL7541" t="s">
        <v>8916</v>
      </c>
      <c r="AM7541" t="s">
        <v>78</v>
      </c>
      <c r="AN7541" t="s">
        <v>78</v>
      </c>
      <c r="AO7541" t="s">
        <v>78</v>
      </c>
      <c r="AP7541" t="s">
        <v>213</v>
      </c>
      <c r="AQ7541">
        <v>1</v>
      </c>
      <c r="AR7541" t="s">
        <v>80</v>
      </c>
      <c r="AS7541" t="s">
        <v>81</v>
      </c>
      <c r="AT7541" t="s">
        <v>58</v>
      </c>
      <c r="AU7541" t="s">
        <v>68</v>
      </c>
      <c r="AV7541" t="s">
        <v>69</v>
      </c>
      <c r="AW7541" s="1">
        <v>23657</v>
      </c>
      <c r="AX7541">
        <v>1</v>
      </c>
    </row>
    <row r="7542" spans="1:50">
      <c r="A7542">
        <v>564325</v>
      </c>
      <c r="B7542" t="str">
        <f>"033803765"</f>
        <v>033803765</v>
      </c>
      <c r="C7542" t="s">
        <v>105</v>
      </c>
      <c r="D7542" t="s">
        <v>4485</v>
      </c>
      <c r="E7542" t="s">
        <v>1493</v>
      </c>
      <c r="F7542" t="s">
        <v>92</v>
      </c>
      <c r="G7542" t="s">
        <v>52</v>
      </c>
      <c r="H7542" t="str">
        <f>"Ολούντος 5 Πόρος Ηράκλειο"</f>
        <v>Ολούντος 5 Πόρος Ηράκλειο</v>
      </c>
      <c r="I7542">
        <v>71307</v>
      </c>
      <c r="J7542">
        <v>2891051266</v>
      </c>
      <c r="K7542">
        <v>6940698499</v>
      </c>
      <c r="M7542" t="s">
        <v>11871</v>
      </c>
      <c r="N7542" t="s">
        <v>615</v>
      </c>
      <c r="O7542" t="s">
        <v>616</v>
      </c>
      <c r="R7542" t="s">
        <v>57</v>
      </c>
      <c r="S7542">
        <v>15</v>
      </c>
      <c r="T7542">
        <v>161</v>
      </c>
      <c r="U7542" s="1">
        <v>33119</v>
      </c>
      <c r="V7542" t="s">
        <v>80</v>
      </c>
      <c r="W7542" t="s">
        <v>81</v>
      </c>
      <c r="X7542" t="s">
        <v>58</v>
      </c>
      <c r="Y7542">
        <v>21</v>
      </c>
      <c r="Z7542" t="s">
        <v>59</v>
      </c>
      <c r="AA7542" t="s">
        <v>59</v>
      </c>
      <c r="AB7542" t="s">
        <v>59</v>
      </c>
      <c r="AC7542" t="s">
        <v>59</v>
      </c>
      <c r="AD7542" t="s">
        <v>59</v>
      </c>
      <c r="AF7542" s="1">
        <v>33121</v>
      </c>
      <c r="AG7542" t="s">
        <v>8645</v>
      </c>
      <c r="AH7542" t="s">
        <v>8646</v>
      </c>
      <c r="AI7542" t="str">
        <f>"9170426"</f>
        <v>9170426</v>
      </c>
      <c r="AJ7542" t="s">
        <v>9142</v>
      </c>
      <c r="AK7542">
        <v>2810222289</v>
      </c>
      <c r="AL7542" t="s">
        <v>9143</v>
      </c>
      <c r="AM7542" t="s">
        <v>78</v>
      </c>
      <c r="AN7542" t="s">
        <v>78</v>
      </c>
      <c r="AO7542" t="s">
        <v>78</v>
      </c>
      <c r="AP7542" t="s">
        <v>213</v>
      </c>
      <c r="AQ7542">
        <v>1</v>
      </c>
      <c r="AR7542" t="s">
        <v>80</v>
      </c>
      <c r="AS7542" t="s">
        <v>81</v>
      </c>
      <c r="AT7542" t="s">
        <v>58</v>
      </c>
      <c r="AU7542" t="s">
        <v>68</v>
      </c>
      <c r="AV7542" t="s">
        <v>69</v>
      </c>
      <c r="AW7542" s="1">
        <v>20979</v>
      </c>
      <c r="AX7542">
        <v>1</v>
      </c>
    </row>
    <row r="7543" spans="1:50">
      <c r="B7543" t="str">
        <f>"123179308"</f>
        <v>123179308</v>
      </c>
      <c r="C7543" t="s">
        <v>50</v>
      </c>
      <c r="D7543" t="s">
        <v>4490</v>
      </c>
      <c r="E7543" t="s">
        <v>1108</v>
      </c>
      <c r="F7543" t="s">
        <v>95</v>
      </c>
      <c r="G7543" t="s">
        <v>2248</v>
      </c>
      <c r="H7543" t="str">
        <f>"ΑΓΙΑΣ ΣΟΦΙΑΣ 129 "</f>
        <v xml:space="preserve">ΑΓΙΑΣ ΣΟΦΙΑΣ 129 </v>
      </c>
      <c r="I7543">
        <v>17123</v>
      </c>
      <c r="J7543">
        <v>2109357757</v>
      </c>
      <c r="K7543">
        <v>6942700107</v>
      </c>
      <c r="N7543" t="s">
        <v>384</v>
      </c>
      <c r="O7543" t="s">
        <v>385</v>
      </c>
      <c r="R7543" t="s">
        <v>159</v>
      </c>
      <c r="S7543">
        <v>5</v>
      </c>
      <c r="T7543" t="s">
        <v>8675</v>
      </c>
      <c r="U7543" s="1">
        <v>43348</v>
      </c>
      <c r="V7543" t="s">
        <v>80</v>
      </c>
      <c r="W7543" t="s">
        <v>81</v>
      </c>
      <c r="X7543" t="s">
        <v>58</v>
      </c>
      <c r="Y7543">
        <v>24</v>
      </c>
      <c r="Z7543" t="s">
        <v>59</v>
      </c>
      <c r="AA7543" t="s">
        <v>59</v>
      </c>
      <c r="AB7543" t="s">
        <v>59</v>
      </c>
      <c r="AC7543" t="s">
        <v>59</v>
      </c>
      <c r="AD7543" t="s">
        <v>59</v>
      </c>
      <c r="AF7543" s="1">
        <v>43348</v>
      </c>
      <c r="AG7543" t="s">
        <v>8645</v>
      </c>
      <c r="AH7543" t="s">
        <v>8646</v>
      </c>
      <c r="AI7543" t="str">
        <f>"9170532"</f>
        <v>9170532</v>
      </c>
      <c r="AJ7543" t="s">
        <v>8945</v>
      </c>
      <c r="AK7543">
        <v>2810250330</v>
      </c>
      <c r="AL7543" t="s">
        <v>8946</v>
      </c>
      <c r="AM7543" t="s">
        <v>78</v>
      </c>
      <c r="AN7543" t="s">
        <v>78</v>
      </c>
      <c r="AO7543" t="s">
        <v>78</v>
      </c>
      <c r="AP7543" t="s">
        <v>141</v>
      </c>
      <c r="AQ7543">
        <v>1</v>
      </c>
      <c r="AR7543" t="s">
        <v>80</v>
      </c>
      <c r="AS7543" t="s">
        <v>81</v>
      </c>
      <c r="AT7543" t="s">
        <v>58</v>
      </c>
      <c r="AU7543" t="s">
        <v>8673</v>
      </c>
      <c r="AV7543" t="s">
        <v>132</v>
      </c>
      <c r="AW7543" s="1">
        <v>31441</v>
      </c>
      <c r="AX7543">
        <v>1</v>
      </c>
    </row>
    <row r="7544" spans="1:50">
      <c r="A7544">
        <v>560187</v>
      </c>
      <c r="B7544" t="str">
        <f>"031633113"</f>
        <v>031633113</v>
      </c>
      <c r="C7544" t="s">
        <v>50</v>
      </c>
      <c r="D7544" t="s">
        <v>4490</v>
      </c>
      <c r="E7544" t="s">
        <v>9332</v>
      </c>
      <c r="F7544" t="s">
        <v>72</v>
      </c>
      <c r="G7544" t="s">
        <v>114</v>
      </c>
      <c r="H7544" t="str">
        <f>"ΑΜΠΕΛΟΥΖΟΣ ΓΟΡΤΥΝΑ"</f>
        <v>ΑΜΠΕΛΟΥΖΟΣ ΓΟΡΤΥΝΑ</v>
      </c>
      <c r="J7544">
        <v>2892031064</v>
      </c>
      <c r="K7544">
        <v>6977276430</v>
      </c>
      <c r="M7544" t="s">
        <v>11872</v>
      </c>
      <c r="N7544" t="s">
        <v>615</v>
      </c>
      <c r="O7544" t="s">
        <v>616</v>
      </c>
      <c r="R7544" t="s">
        <v>57</v>
      </c>
      <c r="S7544">
        <v>17</v>
      </c>
      <c r="T7544">
        <v>185</v>
      </c>
      <c r="U7544" s="1">
        <v>32035</v>
      </c>
      <c r="V7544" t="s">
        <v>80</v>
      </c>
      <c r="W7544" t="s">
        <v>81</v>
      </c>
      <c r="X7544" t="s">
        <v>58</v>
      </c>
      <c r="Y7544">
        <v>25</v>
      </c>
      <c r="Z7544" t="s">
        <v>59</v>
      </c>
      <c r="AA7544" t="s">
        <v>59</v>
      </c>
      <c r="AB7544" t="s">
        <v>59</v>
      </c>
      <c r="AC7544" t="s">
        <v>59</v>
      </c>
      <c r="AD7544" t="s">
        <v>59</v>
      </c>
      <c r="AF7544" s="1">
        <v>32170</v>
      </c>
      <c r="AG7544" t="s">
        <v>8645</v>
      </c>
      <c r="AH7544" t="s">
        <v>8646</v>
      </c>
      <c r="AI7544" t="str">
        <f>"9170192"</f>
        <v>9170192</v>
      </c>
      <c r="AJ7544" t="s">
        <v>8661</v>
      </c>
      <c r="AK7544">
        <v>2810231985</v>
      </c>
      <c r="AL7544" t="s">
        <v>8662</v>
      </c>
      <c r="AM7544" t="s">
        <v>78</v>
      </c>
      <c r="AN7544" t="s">
        <v>78</v>
      </c>
      <c r="AO7544" t="s">
        <v>78</v>
      </c>
      <c r="AP7544" t="s">
        <v>163</v>
      </c>
      <c r="AQ7544">
        <v>1</v>
      </c>
      <c r="AR7544" t="s">
        <v>80</v>
      </c>
      <c r="AS7544" t="s">
        <v>81</v>
      </c>
      <c r="AT7544" t="s">
        <v>58</v>
      </c>
      <c r="AU7544" t="s">
        <v>68</v>
      </c>
      <c r="AV7544" t="s">
        <v>69</v>
      </c>
      <c r="AW7544" s="1">
        <v>21940</v>
      </c>
      <c r="AX7544">
        <v>1</v>
      </c>
    </row>
    <row r="7545" spans="1:50">
      <c r="A7545">
        <v>580882</v>
      </c>
      <c r="B7545" t="str">
        <f>"103533009"</f>
        <v>103533009</v>
      </c>
      <c r="C7545" t="s">
        <v>50</v>
      </c>
      <c r="D7545" t="s">
        <v>11873</v>
      </c>
      <c r="E7545" t="s">
        <v>11874</v>
      </c>
      <c r="F7545" t="s">
        <v>53</v>
      </c>
      <c r="G7545" t="s">
        <v>440</v>
      </c>
      <c r="H7545" t="str">
        <f>"ΚΕΡΑΜΕΙΚΟΥ 3 ΗΡΑΚΛΕΙΟΥ"</f>
        <v>ΚΕΡΑΜΕΙΚΟΥ 3 ΗΡΑΚΛΕΙΟΥ</v>
      </c>
      <c r="I7545">
        <v>71409</v>
      </c>
      <c r="J7545">
        <v>2810238415</v>
      </c>
      <c r="N7545" t="s">
        <v>615</v>
      </c>
      <c r="O7545" t="s">
        <v>616</v>
      </c>
      <c r="R7545" t="s">
        <v>57</v>
      </c>
      <c r="S7545">
        <v>17</v>
      </c>
      <c r="T7545">
        <v>179</v>
      </c>
      <c r="U7545" s="1">
        <v>35674</v>
      </c>
      <c r="V7545" t="s">
        <v>80</v>
      </c>
      <c r="W7545" t="s">
        <v>81</v>
      </c>
      <c r="X7545" t="s">
        <v>58</v>
      </c>
      <c r="Y7545">
        <v>21</v>
      </c>
      <c r="Z7545" t="s">
        <v>59</v>
      </c>
      <c r="AA7545" t="s">
        <v>59</v>
      </c>
      <c r="AB7545" t="s">
        <v>59</v>
      </c>
      <c r="AC7545" t="s">
        <v>59</v>
      </c>
      <c r="AD7545" t="s">
        <v>59</v>
      </c>
      <c r="AF7545" s="1">
        <v>35677</v>
      </c>
      <c r="AG7545" t="s">
        <v>8645</v>
      </c>
      <c r="AH7545" t="s">
        <v>8646</v>
      </c>
      <c r="AI7545" t="str">
        <f>"9170190"</f>
        <v>9170190</v>
      </c>
      <c r="AJ7545" t="s">
        <v>8689</v>
      </c>
      <c r="AK7545">
        <v>2810232169</v>
      </c>
      <c r="AL7545" t="s">
        <v>8690</v>
      </c>
      <c r="AM7545" t="s">
        <v>78</v>
      </c>
      <c r="AN7545" t="s">
        <v>78</v>
      </c>
      <c r="AO7545" t="s">
        <v>78</v>
      </c>
      <c r="AP7545" t="s">
        <v>163</v>
      </c>
      <c r="AQ7545">
        <v>1</v>
      </c>
      <c r="AR7545" t="s">
        <v>80</v>
      </c>
      <c r="AS7545" t="s">
        <v>81</v>
      </c>
      <c r="AT7545" t="s">
        <v>58</v>
      </c>
      <c r="AU7545" t="s">
        <v>68</v>
      </c>
      <c r="AV7545" t="s">
        <v>69</v>
      </c>
      <c r="AW7545" s="1">
        <v>22811</v>
      </c>
      <c r="AX7545">
        <v>1</v>
      </c>
    </row>
    <row r="7546" spans="1:50">
      <c r="A7546">
        <v>566188</v>
      </c>
      <c r="B7546" t="str">
        <f>"038135839"</f>
        <v>038135839</v>
      </c>
      <c r="C7546" t="s">
        <v>50</v>
      </c>
      <c r="D7546" t="s">
        <v>4500</v>
      </c>
      <c r="E7546" t="s">
        <v>52</v>
      </c>
      <c r="F7546" t="s">
        <v>154</v>
      </c>
      <c r="G7546" t="s">
        <v>114</v>
      </c>
      <c r="H7546" t="str">
        <f>"ΚΟΚΚΙΝΗ ΧΑΝΙ ΗΡΑΚΛΕΙΟ"</f>
        <v>ΚΟΚΚΙΝΗ ΧΑΝΙ ΗΡΑΚΛΕΙΟ</v>
      </c>
      <c r="I7546">
        <v>71500</v>
      </c>
      <c r="J7546">
        <v>2810762725</v>
      </c>
      <c r="K7546">
        <v>6973070970</v>
      </c>
      <c r="N7546" t="s">
        <v>615</v>
      </c>
      <c r="O7546" t="s">
        <v>616</v>
      </c>
      <c r="R7546" t="s">
        <v>57</v>
      </c>
      <c r="S7546">
        <v>14</v>
      </c>
      <c r="T7546" t="s">
        <v>6572</v>
      </c>
      <c r="U7546" s="1">
        <v>33119</v>
      </c>
      <c r="V7546" t="s">
        <v>80</v>
      </c>
      <c r="W7546" t="s">
        <v>81</v>
      </c>
      <c r="X7546" t="s">
        <v>58</v>
      </c>
      <c r="Y7546">
        <v>21</v>
      </c>
      <c r="Z7546" t="s">
        <v>59</v>
      </c>
      <c r="AA7546" t="s">
        <v>59</v>
      </c>
      <c r="AB7546" t="s">
        <v>59</v>
      </c>
      <c r="AC7546" t="s">
        <v>59</v>
      </c>
      <c r="AD7546" t="s">
        <v>59</v>
      </c>
      <c r="AF7546" s="1">
        <v>33119</v>
      </c>
      <c r="AG7546" t="s">
        <v>8645</v>
      </c>
      <c r="AH7546" t="s">
        <v>8646</v>
      </c>
      <c r="AI7546" t="str">
        <f>"9170250"</f>
        <v>9170250</v>
      </c>
      <c r="AJ7546" t="s">
        <v>8823</v>
      </c>
      <c r="AK7546">
        <v>2897022005</v>
      </c>
      <c r="AL7546" t="s">
        <v>8824</v>
      </c>
      <c r="AM7546" t="s">
        <v>78</v>
      </c>
      <c r="AN7546" t="s">
        <v>219</v>
      </c>
      <c r="AO7546" t="s">
        <v>219</v>
      </c>
      <c r="AP7546" t="s">
        <v>219</v>
      </c>
      <c r="AQ7546">
        <v>8</v>
      </c>
      <c r="AR7546" t="s">
        <v>80</v>
      </c>
      <c r="AS7546" t="s">
        <v>81</v>
      </c>
      <c r="AT7546" t="s">
        <v>58</v>
      </c>
      <c r="AU7546" t="s">
        <v>68</v>
      </c>
      <c r="AV7546" t="s">
        <v>69</v>
      </c>
      <c r="AW7546" s="1">
        <v>24023</v>
      </c>
      <c r="AX7546">
        <v>1</v>
      </c>
    </row>
    <row r="7547" spans="1:50">
      <c r="A7547">
        <v>579138</v>
      </c>
      <c r="B7547" t="str">
        <f>"036923326"</f>
        <v>036923326</v>
      </c>
      <c r="C7547" t="s">
        <v>50</v>
      </c>
      <c r="D7547" t="s">
        <v>4500</v>
      </c>
      <c r="E7547" t="s">
        <v>52</v>
      </c>
      <c r="F7547" t="s">
        <v>166</v>
      </c>
      <c r="G7547" t="s">
        <v>181</v>
      </c>
      <c r="H7547" t="str">
        <f>"Ν. ΜΠΕΛΟΓΙΑΝΝΗ ΗΡΑΚΛΕΙΟ"</f>
        <v>Ν. ΜΠΕΛΟΓΙΑΝΝΗ ΗΡΑΚΛΕΙΟ</v>
      </c>
      <c r="I7547">
        <v>70300</v>
      </c>
      <c r="J7547">
        <v>2891022785</v>
      </c>
      <c r="N7547" t="s">
        <v>615</v>
      </c>
      <c r="O7547" t="s">
        <v>616</v>
      </c>
      <c r="R7547" t="s">
        <v>57</v>
      </c>
      <c r="S7547">
        <v>13</v>
      </c>
      <c r="T7547">
        <v>165</v>
      </c>
      <c r="U7547" s="1">
        <v>35300</v>
      </c>
      <c r="V7547" t="s">
        <v>80</v>
      </c>
      <c r="W7547" t="s">
        <v>81</v>
      </c>
      <c r="X7547" t="s">
        <v>58</v>
      </c>
      <c r="Y7547">
        <v>21</v>
      </c>
      <c r="Z7547" t="s">
        <v>59</v>
      </c>
      <c r="AA7547" t="s">
        <v>59</v>
      </c>
      <c r="AB7547" t="s">
        <v>59</v>
      </c>
      <c r="AC7547" t="s">
        <v>59</v>
      </c>
      <c r="AD7547" t="s">
        <v>59</v>
      </c>
      <c r="AF7547" s="1">
        <v>35313</v>
      </c>
      <c r="AG7547" t="s">
        <v>8645</v>
      </c>
      <c r="AH7547" t="s">
        <v>8646</v>
      </c>
      <c r="AI7547" t="str">
        <f>"9170561"</f>
        <v>9170561</v>
      </c>
      <c r="AJ7547" t="s">
        <v>8708</v>
      </c>
      <c r="AK7547">
        <v>2891023609</v>
      </c>
      <c r="AL7547" t="s">
        <v>8709</v>
      </c>
      <c r="AM7547" t="s">
        <v>78</v>
      </c>
      <c r="AN7547" t="s">
        <v>276</v>
      </c>
      <c r="AO7547" t="s">
        <v>490</v>
      </c>
      <c r="AP7547" t="s">
        <v>490</v>
      </c>
      <c r="AQ7547">
        <v>12</v>
      </c>
      <c r="AR7547" t="s">
        <v>80</v>
      </c>
      <c r="AS7547" t="s">
        <v>81</v>
      </c>
      <c r="AT7547" t="s">
        <v>58</v>
      </c>
      <c r="AU7547" t="s">
        <v>68</v>
      </c>
      <c r="AV7547" t="s">
        <v>69</v>
      </c>
      <c r="AW7547" s="1">
        <v>24503</v>
      </c>
      <c r="AX7547">
        <v>1</v>
      </c>
    </row>
    <row r="7548" spans="1:50">
      <c r="A7548">
        <v>224607</v>
      </c>
      <c r="B7548" t="str">
        <f>"064551578"</f>
        <v>064551578</v>
      </c>
      <c r="C7548" t="s">
        <v>50</v>
      </c>
      <c r="D7548" t="s">
        <v>4500</v>
      </c>
      <c r="E7548" t="s">
        <v>1179</v>
      </c>
      <c r="F7548" t="s">
        <v>72</v>
      </c>
      <c r="G7548" t="s">
        <v>476</v>
      </c>
      <c r="H7548" t="str">
        <f>"ΑΚΡΟΠΟΛΕΩΣ 8 "</f>
        <v xml:space="preserve">ΑΚΡΟΠΟΛΕΩΣ 8 </v>
      </c>
      <c r="I7548">
        <v>71409</v>
      </c>
      <c r="J7548">
        <v>2810213919</v>
      </c>
      <c r="K7548">
        <v>6974841213</v>
      </c>
      <c r="N7548" t="s">
        <v>288</v>
      </c>
      <c r="O7548" t="s">
        <v>289</v>
      </c>
      <c r="R7548" t="s">
        <v>57</v>
      </c>
      <c r="S7548">
        <v>8</v>
      </c>
      <c r="T7548">
        <v>775</v>
      </c>
      <c r="U7548" s="1">
        <v>39680</v>
      </c>
      <c r="V7548" t="s">
        <v>80</v>
      </c>
      <c r="W7548" t="s">
        <v>81</v>
      </c>
      <c r="X7548" t="s">
        <v>58</v>
      </c>
      <c r="Y7548">
        <v>23</v>
      </c>
      <c r="Z7548" t="s">
        <v>59</v>
      </c>
      <c r="AA7548" t="s">
        <v>59</v>
      </c>
      <c r="AB7548" t="s">
        <v>59</v>
      </c>
      <c r="AC7548" t="s">
        <v>59</v>
      </c>
      <c r="AD7548" t="s">
        <v>59</v>
      </c>
      <c r="AF7548" s="1">
        <v>39682</v>
      </c>
      <c r="AG7548" t="s">
        <v>8645</v>
      </c>
      <c r="AH7548" t="s">
        <v>8646</v>
      </c>
      <c r="AI7548" t="str">
        <f>"9170517"</f>
        <v>9170517</v>
      </c>
      <c r="AJ7548" t="s">
        <v>9248</v>
      </c>
      <c r="AK7548">
        <v>2810238757</v>
      </c>
      <c r="AL7548" t="s">
        <v>9249</v>
      </c>
      <c r="AM7548" t="s">
        <v>78</v>
      </c>
      <c r="AN7548" t="s">
        <v>78</v>
      </c>
      <c r="AO7548" t="s">
        <v>78</v>
      </c>
      <c r="AP7548" t="s">
        <v>163</v>
      </c>
      <c r="AQ7548">
        <v>1</v>
      </c>
      <c r="AR7548" t="s">
        <v>80</v>
      </c>
      <c r="AS7548" t="s">
        <v>81</v>
      </c>
      <c r="AT7548" t="s">
        <v>58</v>
      </c>
      <c r="AU7548" t="s">
        <v>68</v>
      </c>
      <c r="AV7548" t="s">
        <v>69</v>
      </c>
      <c r="AW7548" s="1">
        <v>29055</v>
      </c>
      <c r="AX7548">
        <v>1</v>
      </c>
    </row>
    <row r="7549" spans="1:50">
      <c r="A7549">
        <v>607185</v>
      </c>
      <c r="B7549" t="str">
        <f>"100104756"</f>
        <v>100104756</v>
      </c>
      <c r="C7549" t="s">
        <v>105</v>
      </c>
      <c r="D7549" t="s">
        <v>4502</v>
      </c>
      <c r="E7549" t="s">
        <v>153</v>
      </c>
      <c r="F7549" t="s">
        <v>989</v>
      </c>
      <c r="G7549" t="s">
        <v>52</v>
      </c>
      <c r="H7549" t="str">
        <f>"ΑΡΚΑΛΟΧΩΡΙ ΗΡΑΚΛΕΙΟ"</f>
        <v>ΑΡΚΑΛΟΧΩΡΙ ΗΡΑΚΛΕΙΟ</v>
      </c>
      <c r="I7549">
        <v>70300</v>
      </c>
      <c r="J7549">
        <v>2891024955</v>
      </c>
      <c r="K7549">
        <v>6937005192</v>
      </c>
      <c r="M7549" t="s">
        <v>11875</v>
      </c>
      <c r="N7549" t="s">
        <v>615</v>
      </c>
      <c r="O7549" t="s">
        <v>616</v>
      </c>
      <c r="R7549" t="s">
        <v>57</v>
      </c>
      <c r="S7549">
        <v>9</v>
      </c>
      <c r="T7549">
        <v>217</v>
      </c>
      <c r="U7549" s="1">
        <v>38596</v>
      </c>
      <c r="V7549" t="s">
        <v>80</v>
      </c>
      <c r="W7549" t="s">
        <v>81</v>
      </c>
      <c r="X7549" t="s">
        <v>58</v>
      </c>
      <c r="Y7549">
        <v>22</v>
      </c>
      <c r="Z7549" t="s">
        <v>59</v>
      </c>
      <c r="AA7549" t="s">
        <v>59</v>
      </c>
      <c r="AB7549" t="s">
        <v>59</v>
      </c>
      <c r="AC7549" t="s">
        <v>59</v>
      </c>
      <c r="AD7549" t="s">
        <v>59</v>
      </c>
      <c r="AF7549" s="1">
        <v>38600</v>
      </c>
      <c r="AG7549" t="s">
        <v>8645</v>
      </c>
      <c r="AH7549" t="s">
        <v>8646</v>
      </c>
      <c r="AI7549" t="str">
        <f>"9170561"</f>
        <v>9170561</v>
      </c>
      <c r="AJ7549" t="s">
        <v>8708</v>
      </c>
      <c r="AK7549">
        <v>2891023609</v>
      </c>
      <c r="AL7549" t="s">
        <v>8709</v>
      </c>
      <c r="AM7549" t="s">
        <v>78</v>
      </c>
      <c r="AN7549" t="s">
        <v>276</v>
      </c>
      <c r="AO7549" t="s">
        <v>490</v>
      </c>
      <c r="AP7549" t="s">
        <v>490</v>
      </c>
      <c r="AQ7549">
        <v>12</v>
      </c>
      <c r="AR7549" t="s">
        <v>80</v>
      </c>
      <c r="AS7549" t="s">
        <v>81</v>
      </c>
      <c r="AT7549" t="s">
        <v>58</v>
      </c>
      <c r="AU7549" t="s">
        <v>68</v>
      </c>
      <c r="AV7549" t="s">
        <v>69</v>
      </c>
      <c r="AW7549" s="1">
        <v>29379</v>
      </c>
      <c r="AX7549">
        <v>1</v>
      </c>
    </row>
    <row r="7550" spans="1:50">
      <c r="B7550" t="str">
        <f>"137827770"</f>
        <v>137827770</v>
      </c>
      <c r="C7550" t="s">
        <v>105</v>
      </c>
      <c r="D7550" t="s">
        <v>11876</v>
      </c>
      <c r="E7550" t="s">
        <v>95</v>
      </c>
      <c r="F7550" t="s">
        <v>1258</v>
      </c>
      <c r="G7550" t="s">
        <v>181</v>
      </c>
      <c r="H7550" t="str">
        <f>"ΣΟΥΝΙΟΥ   7 "</f>
        <v xml:space="preserve">ΣΟΥΝΙΟΥ   7 </v>
      </c>
      <c r="I7550">
        <v>35100</v>
      </c>
      <c r="J7550">
        <v>2231036401</v>
      </c>
      <c r="K7550">
        <v>6986278580</v>
      </c>
      <c r="N7550" t="s">
        <v>615</v>
      </c>
      <c r="O7550" t="s">
        <v>616</v>
      </c>
      <c r="R7550" t="s">
        <v>159</v>
      </c>
      <c r="S7550">
        <v>1</v>
      </c>
      <c r="T7550" t="s">
        <v>8675</v>
      </c>
      <c r="U7550" s="1">
        <v>43348</v>
      </c>
      <c r="V7550" t="s">
        <v>80</v>
      </c>
      <c r="W7550" t="s">
        <v>81</v>
      </c>
      <c r="X7550" t="s">
        <v>58</v>
      </c>
      <c r="Y7550">
        <v>24</v>
      </c>
      <c r="Z7550" t="s">
        <v>59</v>
      </c>
      <c r="AA7550" t="s">
        <v>59</v>
      </c>
      <c r="AB7550" t="s">
        <v>59</v>
      </c>
      <c r="AC7550" t="s">
        <v>59</v>
      </c>
      <c r="AD7550" t="s">
        <v>59</v>
      </c>
      <c r="AF7550" s="1">
        <v>43348</v>
      </c>
      <c r="AG7550" t="s">
        <v>8645</v>
      </c>
      <c r="AH7550" t="s">
        <v>8646</v>
      </c>
      <c r="AI7550" t="str">
        <f>"9170285"</f>
        <v>9170285</v>
      </c>
      <c r="AJ7550" t="s">
        <v>9186</v>
      </c>
      <c r="AK7550">
        <v>2894031223</v>
      </c>
      <c r="AL7550" t="s">
        <v>9187</v>
      </c>
      <c r="AM7550" t="s">
        <v>78</v>
      </c>
      <c r="AN7550" t="s">
        <v>242</v>
      </c>
      <c r="AO7550" t="s">
        <v>999</v>
      </c>
      <c r="AP7550" t="s">
        <v>999</v>
      </c>
      <c r="AQ7550">
        <v>21</v>
      </c>
      <c r="AR7550" t="s">
        <v>80</v>
      </c>
      <c r="AS7550" t="s">
        <v>81</v>
      </c>
      <c r="AT7550" t="s">
        <v>58</v>
      </c>
      <c r="AU7550" t="s">
        <v>8673</v>
      </c>
      <c r="AV7550" t="s">
        <v>132</v>
      </c>
      <c r="AW7550" s="1">
        <v>30608</v>
      </c>
      <c r="AX7550">
        <v>1</v>
      </c>
    </row>
    <row r="7551" spans="1:50">
      <c r="B7551" t="str">
        <f>"140095504"</f>
        <v>140095504</v>
      </c>
      <c r="C7551" t="s">
        <v>50</v>
      </c>
      <c r="D7551" t="s">
        <v>11877</v>
      </c>
      <c r="E7551" t="s">
        <v>476</v>
      </c>
      <c r="F7551" t="s">
        <v>95</v>
      </c>
      <c r="H7551" t="str">
        <f>" "</f>
        <v xml:space="preserve"> </v>
      </c>
      <c r="N7551" t="s">
        <v>1525</v>
      </c>
      <c r="O7551" t="s">
        <v>1526</v>
      </c>
      <c r="R7551" t="s">
        <v>159</v>
      </c>
      <c r="S7551">
        <v>1</v>
      </c>
      <c r="T7551" t="s">
        <v>8670</v>
      </c>
      <c r="U7551" s="1">
        <v>43348</v>
      </c>
      <c r="V7551" t="s">
        <v>80</v>
      </c>
      <c r="W7551" t="s">
        <v>81</v>
      </c>
      <c r="X7551" t="s">
        <v>58</v>
      </c>
      <c r="Y7551">
        <v>25</v>
      </c>
      <c r="Z7551" t="s">
        <v>59</v>
      </c>
      <c r="AA7551" t="s">
        <v>59</v>
      </c>
      <c r="AB7551" t="s">
        <v>59</v>
      </c>
      <c r="AC7551" t="s">
        <v>59</v>
      </c>
      <c r="AD7551" t="s">
        <v>59</v>
      </c>
      <c r="AF7551" s="1">
        <v>43348</v>
      </c>
      <c r="AG7551" t="s">
        <v>8651</v>
      </c>
      <c r="AH7551" t="s">
        <v>8652</v>
      </c>
      <c r="AI7551" t="str">
        <f>"9170571"</f>
        <v>9170571</v>
      </c>
      <c r="AJ7551" t="s">
        <v>9854</v>
      </c>
      <c r="AK7551">
        <v>2891023446</v>
      </c>
      <c r="AL7551" t="s">
        <v>9855</v>
      </c>
      <c r="AM7551" t="s">
        <v>78</v>
      </c>
      <c r="AN7551" t="s">
        <v>276</v>
      </c>
      <c r="AO7551" t="s">
        <v>490</v>
      </c>
      <c r="AP7551" t="s">
        <v>490</v>
      </c>
      <c r="AQ7551">
        <v>12</v>
      </c>
      <c r="AR7551" t="s">
        <v>80</v>
      </c>
      <c r="AS7551" t="s">
        <v>81</v>
      </c>
      <c r="AT7551" t="s">
        <v>58</v>
      </c>
      <c r="AU7551" t="s">
        <v>8673</v>
      </c>
      <c r="AV7551" t="s">
        <v>132</v>
      </c>
      <c r="AW7551" s="1">
        <v>31217</v>
      </c>
      <c r="AX7551">
        <v>1</v>
      </c>
    </row>
    <row r="7552" spans="1:50">
      <c r="A7552">
        <v>621312</v>
      </c>
      <c r="B7552" t="str">
        <f>"135211980"</f>
        <v>135211980</v>
      </c>
      <c r="C7552" t="s">
        <v>50</v>
      </c>
      <c r="D7552" t="s">
        <v>8640</v>
      </c>
      <c r="E7552" t="s">
        <v>714</v>
      </c>
      <c r="F7552" t="s">
        <v>450</v>
      </c>
      <c r="G7552" t="s">
        <v>1562</v>
      </c>
      <c r="H7552" t="str">
        <f>"ΧΡ.ΨΑΡΑΚΗ 8 ΒΑΜΒΑΚΟΠΟΥΛΟ ΧΑΝΙΩΝ"</f>
        <v>ΧΡ.ΨΑΡΑΚΗ 8 ΒΑΜΒΑΚΟΠΟΥΛΟ ΧΑΝΙΩΝ</v>
      </c>
      <c r="I7552">
        <v>73100</v>
      </c>
      <c r="J7552">
        <v>2821079183</v>
      </c>
      <c r="K7552">
        <v>6984487883</v>
      </c>
      <c r="N7552" t="s">
        <v>615</v>
      </c>
      <c r="O7552" t="s">
        <v>616</v>
      </c>
      <c r="R7552" t="s">
        <v>57</v>
      </c>
      <c r="S7552">
        <v>4</v>
      </c>
      <c r="T7552">
        <v>653</v>
      </c>
      <c r="U7552" s="1">
        <v>40043</v>
      </c>
      <c r="V7552" t="s">
        <v>80</v>
      </c>
      <c r="W7552" t="s">
        <v>81</v>
      </c>
      <c r="X7552" t="s">
        <v>58</v>
      </c>
      <c r="Y7552">
        <v>23</v>
      </c>
      <c r="Z7552" t="s">
        <v>59</v>
      </c>
      <c r="AA7552" t="s">
        <v>59</v>
      </c>
      <c r="AB7552" t="s">
        <v>59</v>
      </c>
      <c r="AC7552" t="s">
        <v>59</v>
      </c>
      <c r="AD7552" t="s">
        <v>59</v>
      </c>
      <c r="AF7552" s="1">
        <v>40043</v>
      </c>
      <c r="AG7552" t="s">
        <v>8645</v>
      </c>
      <c r="AH7552" t="s">
        <v>8646</v>
      </c>
      <c r="AI7552" t="str">
        <f>"9170534"</f>
        <v>9170534</v>
      </c>
      <c r="AJ7552" t="s">
        <v>8701</v>
      </c>
      <c r="AK7552">
        <v>2810323225</v>
      </c>
      <c r="AL7552" t="s">
        <v>8702</v>
      </c>
      <c r="AM7552" t="s">
        <v>78</v>
      </c>
      <c r="AN7552" t="s">
        <v>78</v>
      </c>
      <c r="AO7552" t="s">
        <v>78</v>
      </c>
      <c r="AP7552" t="s">
        <v>163</v>
      </c>
      <c r="AQ7552">
        <v>1</v>
      </c>
      <c r="AR7552" t="s">
        <v>80</v>
      </c>
      <c r="AS7552" t="s">
        <v>81</v>
      </c>
      <c r="AT7552" t="s">
        <v>58</v>
      </c>
      <c r="AU7552" t="s">
        <v>68</v>
      </c>
      <c r="AV7552" t="s">
        <v>69</v>
      </c>
      <c r="AW7552" s="1">
        <v>31180</v>
      </c>
      <c r="AX7552">
        <v>1</v>
      </c>
    </row>
    <row r="7553" spans="1:50">
      <c r="A7553">
        <v>614922</v>
      </c>
      <c r="B7553" t="str">
        <f>"132981089"</f>
        <v>132981089</v>
      </c>
      <c r="C7553" t="s">
        <v>50</v>
      </c>
      <c r="D7553" t="s">
        <v>8640</v>
      </c>
      <c r="E7553" t="s">
        <v>52</v>
      </c>
      <c r="F7553" t="s">
        <v>166</v>
      </c>
      <c r="G7553" t="s">
        <v>263</v>
      </c>
      <c r="H7553" t="str">
        <f>"ΜΥΡΤΙΑ ΠΕΔΙΑΔΟΣ ΗΡΑΚΛΕΙΟ"</f>
        <v>ΜΥΡΤΙΑ ΠΕΔΙΑΔΟΣ ΗΡΑΚΛΕΙΟ</v>
      </c>
      <c r="I7553">
        <v>70100</v>
      </c>
      <c r="J7553">
        <v>2810743613</v>
      </c>
      <c r="K7553">
        <v>6973775794</v>
      </c>
      <c r="N7553" t="s">
        <v>615</v>
      </c>
      <c r="O7553" t="s">
        <v>616</v>
      </c>
      <c r="R7553" t="s">
        <v>57</v>
      </c>
      <c r="S7553">
        <v>5</v>
      </c>
      <c r="T7553">
        <v>598</v>
      </c>
      <c r="U7553" s="1">
        <v>39310</v>
      </c>
      <c r="V7553" t="s">
        <v>80</v>
      </c>
      <c r="W7553" t="s">
        <v>81</v>
      </c>
      <c r="X7553" t="s">
        <v>58</v>
      </c>
      <c r="Y7553">
        <v>23</v>
      </c>
      <c r="Z7553" t="s">
        <v>59</v>
      </c>
      <c r="AA7553" t="s">
        <v>59</v>
      </c>
      <c r="AB7553" t="s">
        <v>59</v>
      </c>
      <c r="AC7553" t="s">
        <v>59</v>
      </c>
      <c r="AD7553" t="s">
        <v>59</v>
      </c>
      <c r="AF7553" s="1">
        <v>39328</v>
      </c>
      <c r="AG7553" t="s">
        <v>8645</v>
      </c>
      <c r="AH7553" t="s">
        <v>8646</v>
      </c>
      <c r="AI7553" t="str">
        <f>"9170211"</f>
        <v>9170211</v>
      </c>
      <c r="AJ7553" t="s">
        <v>9533</v>
      </c>
      <c r="AK7553">
        <v>2810741283</v>
      </c>
      <c r="AL7553" t="s">
        <v>9534</v>
      </c>
      <c r="AM7553" t="s">
        <v>78</v>
      </c>
      <c r="AN7553" t="s">
        <v>424</v>
      </c>
      <c r="AO7553" t="s">
        <v>428</v>
      </c>
      <c r="AP7553" t="s">
        <v>9535</v>
      </c>
      <c r="AQ7553">
        <v>11</v>
      </c>
      <c r="AR7553" t="s">
        <v>80</v>
      </c>
      <c r="AS7553" t="s">
        <v>81</v>
      </c>
      <c r="AT7553" t="s">
        <v>58</v>
      </c>
      <c r="AU7553" t="s">
        <v>68</v>
      </c>
      <c r="AV7553" t="s">
        <v>69</v>
      </c>
      <c r="AW7553" s="1">
        <v>30898</v>
      </c>
      <c r="AX7553">
        <v>1</v>
      </c>
    </row>
    <row r="7554" spans="1:50">
      <c r="A7554">
        <v>620480</v>
      </c>
      <c r="B7554" t="str">
        <f>"141355887"</f>
        <v>141355887</v>
      </c>
      <c r="C7554" t="s">
        <v>50</v>
      </c>
      <c r="D7554" t="s">
        <v>6721</v>
      </c>
      <c r="E7554" t="s">
        <v>671</v>
      </c>
      <c r="F7554" t="s">
        <v>99</v>
      </c>
      <c r="G7554" t="s">
        <v>52</v>
      </c>
      <c r="H7554" t="str">
        <f>"ΜΑΚΕΔΟΝΙΑΣ 17 ΗΡΑΚΛΕΙΟ"</f>
        <v>ΜΑΚΕΔΟΝΙΑΣ 17 ΗΡΑΚΛΕΙΟ</v>
      </c>
      <c r="I7554">
        <v>71414</v>
      </c>
      <c r="J7554">
        <v>2810823226</v>
      </c>
      <c r="K7554">
        <v>6940729672</v>
      </c>
      <c r="N7554" t="s">
        <v>615</v>
      </c>
      <c r="O7554" t="s">
        <v>616</v>
      </c>
      <c r="R7554" t="s">
        <v>57</v>
      </c>
      <c r="S7554">
        <v>5</v>
      </c>
      <c r="T7554">
        <v>653</v>
      </c>
      <c r="U7554" s="1">
        <v>40043</v>
      </c>
      <c r="V7554" t="s">
        <v>80</v>
      </c>
      <c r="W7554" t="s">
        <v>81</v>
      </c>
      <c r="X7554" t="s">
        <v>58</v>
      </c>
      <c r="Y7554">
        <v>23</v>
      </c>
      <c r="Z7554" t="s">
        <v>59</v>
      </c>
      <c r="AA7554" t="s">
        <v>59</v>
      </c>
      <c r="AB7554" t="s">
        <v>59</v>
      </c>
      <c r="AC7554" t="s">
        <v>59</v>
      </c>
      <c r="AD7554" t="s">
        <v>59</v>
      </c>
      <c r="AF7554" s="1">
        <v>40043</v>
      </c>
      <c r="AG7554" t="s">
        <v>8645</v>
      </c>
      <c r="AH7554" t="s">
        <v>8646</v>
      </c>
      <c r="AI7554" t="str">
        <f>"9170018"</f>
        <v>9170018</v>
      </c>
      <c r="AJ7554" t="s">
        <v>8924</v>
      </c>
      <c r="AK7554">
        <v>2810821217</v>
      </c>
      <c r="AL7554" t="s">
        <v>8925</v>
      </c>
      <c r="AM7554" t="s">
        <v>78</v>
      </c>
      <c r="AN7554" t="s">
        <v>129</v>
      </c>
      <c r="AO7554" t="s">
        <v>130</v>
      </c>
      <c r="AP7554" t="s">
        <v>130</v>
      </c>
      <c r="AQ7554">
        <v>1</v>
      </c>
      <c r="AR7554" t="s">
        <v>80</v>
      </c>
      <c r="AS7554" t="s">
        <v>81</v>
      </c>
      <c r="AT7554" t="s">
        <v>58</v>
      </c>
      <c r="AU7554" t="s">
        <v>68</v>
      </c>
      <c r="AV7554" t="s">
        <v>69</v>
      </c>
      <c r="AW7554" s="1">
        <v>30108</v>
      </c>
      <c r="AX7554">
        <v>1</v>
      </c>
    </row>
    <row r="7555" spans="1:50">
      <c r="A7555">
        <v>621324</v>
      </c>
      <c r="B7555" t="str">
        <f>"114294430"</f>
        <v>114294430</v>
      </c>
      <c r="C7555" t="s">
        <v>50</v>
      </c>
      <c r="D7555" t="s">
        <v>6721</v>
      </c>
      <c r="E7555" t="s">
        <v>52</v>
      </c>
      <c r="F7555" t="s">
        <v>95</v>
      </c>
      <c r="G7555" t="s">
        <v>5820</v>
      </c>
      <c r="H7555" t="str">
        <f>"ΙΣΜΗΝΗΣ 8 ΗΡΑΚΛΕΙΟ"</f>
        <v>ΙΣΜΗΝΗΣ 8 ΗΡΑΚΛΕΙΟ</v>
      </c>
      <c r="I7555">
        <v>71305</v>
      </c>
      <c r="J7555">
        <v>2810252094</v>
      </c>
      <c r="K7555">
        <v>6949508268</v>
      </c>
      <c r="N7555" t="s">
        <v>615</v>
      </c>
      <c r="O7555" t="s">
        <v>616</v>
      </c>
      <c r="R7555" t="s">
        <v>57</v>
      </c>
      <c r="S7555">
        <v>4</v>
      </c>
      <c r="T7555">
        <v>653</v>
      </c>
      <c r="U7555" s="1">
        <v>40043</v>
      </c>
      <c r="V7555" t="s">
        <v>80</v>
      </c>
      <c r="W7555" t="s">
        <v>81</v>
      </c>
      <c r="X7555" t="s">
        <v>58</v>
      </c>
      <c r="Y7555">
        <v>23</v>
      </c>
      <c r="Z7555" t="s">
        <v>59</v>
      </c>
      <c r="AA7555" t="s">
        <v>59</v>
      </c>
      <c r="AB7555" t="s">
        <v>59</v>
      </c>
      <c r="AC7555" t="s">
        <v>59</v>
      </c>
      <c r="AD7555" t="s">
        <v>59</v>
      </c>
      <c r="AF7555" s="1">
        <v>40043</v>
      </c>
      <c r="AG7555" t="s">
        <v>8645</v>
      </c>
      <c r="AH7555" t="s">
        <v>8646</v>
      </c>
      <c r="AI7555" t="str">
        <f>"9170247"</f>
        <v>9170247</v>
      </c>
      <c r="AJ7555" t="s">
        <v>9196</v>
      </c>
      <c r="AK7555">
        <v>2810731278</v>
      </c>
      <c r="AL7555" t="s">
        <v>9197</v>
      </c>
      <c r="AM7555" t="s">
        <v>78</v>
      </c>
      <c r="AN7555" t="s">
        <v>78</v>
      </c>
      <c r="AO7555" t="s">
        <v>78</v>
      </c>
      <c r="AP7555" t="s">
        <v>9198</v>
      </c>
      <c r="AQ7555">
        <v>11</v>
      </c>
      <c r="AR7555" t="s">
        <v>80</v>
      </c>
      <c r="AS7555" t="s">
        <v>81</v>
      </c>
      <c r="AT7555" t="s">
        <v>58</v>
      </c>
      <c r="AU7555" t="s">
        <v>68</v>
      </c>
      <c r="AV7555" t="s">
        <v>69</v>
      </c>
      <c r="AW7555" s="1">
        <v>30113</v>
      </c>
      <c r="AX7555">
        <v>1</v>
      </c>
    </row>
    <row r="7556" spans="1:50">
      <c r="A7556">
        <v>607869</v>
      </c>
      <c r="B7556" t="str">
        <f>"138959021"</f>
        <v>138959021</v>
      </c>
      <c r="C7556" t="s">
        <v>50</v>
      </c>
      <c r="D7556" t="s">
        <v>11878</v>
      </c>
      <c r="E7556" t="s">
        <v>215</v>
      </c>
      <c r="F7556" t="s">
        <v>510</v>
      </c>
      <c r="G7556" t="s">
        <v>476</v>
      </c>
      <c r="H7556" t="str">
        <f>"ΕΛΕΩΝ.ΚΑΤΕΧΑΚΗ 12 ΗΡΑΚΛΕΙΟ"</f>
        <v>ΕΛΕΩΝ.ΚΑΤΕΧΑΚΗ 12 ΗΡΑΚΛΕΙΟ</v>
      </c>
      <c r="I7556">
        <v>71409</v>
      </c>
      <c r="J7556">
        <v>2810229385</v>
      </c>
      <c r="K7556">
        <v>6944187476</v>
      </c>
      <c r="M7556" t="s">
        <v>11879</v>
      </c>
      <c r="N7556" t="s">
        <v>615</v>
      </c>
      <c r="O7556" t="s">
        <v>616</v>
      </c>
      <c r="R7556" t="s">
        <v>57</v>
      </c>
      <c r="S7556">
        <v>6</v>
      </c>
      <c r="T7556">
        <v>217</v>
      </c>
      <c r="U7556" s="1">
        <v>38596</v>
      </c>
      <c r="V7556" t="s">
        <v>80</v>
      </c>
      <c r="W7556" t="s">
        <v>81</v>
      </c>
      <c r="X7556" t="s">
        <v>58</v>
      </c>
      <c r="Y7556">
        <v>23</v>
      </c>
      <c r="Z7556" t="s">
        <v>59</v>
      </c>
      <c r="AA7556" t="s">
        <v>59</v>
      </c>
      <c r="AB7556" t="s">
        <v>59</v>
      </c>
      <c r="AC7556" t="s">
        <v>59</v>
      </c>
      <c r="AD7556" t="s">
        <v>59</v>
      </c>
      <c r="AF7556" s="1">
        <v>38600</v>
      </c>
      <c r="AG7556" t="s">
        <v>8645</v>
      </c>
      <c r="AH7556" t="s">
        <v>8646</v>
      </c>
      <c r="AI7556" t="str">
        <f>"9170254"</f>
        <v>9170254</v>
      </c>
      <c r="AJ7556" t="s">
        <v>9839</v>
      </c>
      <c r="AK7556">
        <v>2810245069</v>
      </c>
      <c r="AL7556" t="s">
        <v>9840</v>
      </c>
      <c r="AM7556" t="s">
        <v>78</v>
      </c>
      <c r="AN7556" t="s">
        <v>78</v>
      </c>
      <c r="AO7556" t="s">
        <v>78</v>
      </c>
      <c r="AP7556" t="s">
        <v>213</v>
      </c>
      <c r="AQ7556">
        <v>1</v>
      </c>
      <c r="AR7556" t="s">
        <v>80</v>
      </c>
      <c r="AS7556" t="s">
        <v>81</v>
      </c>
      <c r="AT7556" t="s">
        <v>58</v>
      </c>
      <c r="AU7556" t="s">
        <v>68</v>
      </c>
      <c r="AV7556" t="s">
        <v>69</v>
      </c>
      <c r="AW7556" s="1">
        <v>30183</v>
      </c>
      <c r="AX7556">
        <v>1</v>
      </c>
    </row>
    <row r="7557" spans="1:50">
      <c r="B7557" t="str">
        <f>"150242516"</f>
        <v>150242516</v>
      </c>
      <c r="C7557" t="s">
        <v>50</v>
      </c>
      <c r="D7557" t="s">
        <v>11880</v>
      </c>
      <c r="E7557" t="s">
        <v>181</v>
      </c>
      <c r="F7557" t="s">
        <v>84</v>
      </c>
      <c r="G7557" t="s">
        <v>630</v>
      </c>
      <c r="H7557" t="str">
        <f>"ΘΡΥΛΟΡΙΟ "</f>
        <v xml:space="preserve">ΘΡΥΛΟΡΙΟ </v>
      </c>
      <c r="I7557">
        <v>69100</v>
      </c>
      <c r="J7557">
        <v>2531098152</v>
      </c>
      <c r="K7557">
        <v>6984894900</v>
      </c>
      <c r="N7557" t="s">
        <v>615</v>
      </c>
      <c r="O7557" t="s">
        <v>616</v>
      </c>
      <c r="R7557" t="s">
        <v>159</v>
      </c>
      <c r="S7557">
        <v>3</v>
      </c>
      <c r="T7557" t="s">
        <v>8675</v>
      </c>
      <c r="U7557" s="1">
        <v>43348</v>
      </c>
      <c r="V7557" t="s">
        <v>5177</v>
      </c>
      <c r="W7557" t="s">
        <v>5178</v>
      </c>
      <c r="X7557" t="s">
        <v>58</v>
      </c>
      <c r="Y7557">
        <v>25</v>
      </c>
      <c r="Z7557" t="s">
        <v>59</v>
      </c>
      <c r="AA7557" t="s">
        <v>59</v>
      </c>
      <c r="AB7557" t="s">
        <v>59</v>
      </c>
      <c r="AC7557" t="s">
        <v>59</v>
      </c>
      <c r="AD7557" t="s">
        <v>59</v>
      </c>
      <c r="AF7557" s="1">
        <v>43348</v>
      </c>
      <c r="AG7557" t="s">
        <v>8645</v>
      </c>
      <c r="AH7557" t="s">
        <v>8676</v>
      </c>
      <c r="AI7557" t="str">
        <f>"9320099"</f>
        <v>9320099</v>
      </c>
      <c r="AJ7557" t="s">
        <v>11881</v>
      </c>
      <c r="AK7557">
        <v>2843031331</v>
      </c>
      <c r="AL7557" t="s">
        <v>11882</v>
      </c>
      <c r="AM7557" t="s">
        <v>4513</v>
      </c>
      <c r="AN7557" t="s">
        <v>4540</v>
      </c>
      <c r="AO7557" t="s">
        <v>4547</v>
      </c>
      <c r="AP7557" t="s">
        <v>11883</v>
      </c>
      <c r="AQ7557">
        <v>11</v>
      </c>
      <c r="AR7557" t="s">
        <v>5177</v>
      </c>
      <c r="AS7557" t="s">
        <v>5178</v>
      </c>
      <c r="AT7557" t="s">
        <v>58</v>
      </c>
      <c r="AU7557" t="s">
        <v>8673</v>
      </c>
      <c r="AV7557" t="s">
        <v>132</v>
      </c>
      <c r="AW7557" s="1">
        <v>31830</v>
      </c>
      <c r="AX7557">
        <v>1</v>
      </c>
    </row>
    <row r="7558" spans="1:50">
      <c r="A7558">
        <v>618382</v>
      </c>
      <c r="B7558" t="str">
        <f>"133554354"</f>
        <v>133554354</v>
      </c>
      <c r="C7558" t="s">
        <v>50</v>
      </c>
      <c r="D7558" t="s">
        <v>11884</v>
      </c>
      <c r="E7558" t="s">
        <v>96</v>
      </c>
      <c r="F7558" t="s">
        <v>166</v>
      </c>
      <c r="G7558" t="s">
        <v>181</v>
      </c>
      <c r="H7558" t="str">
        <f>"ΕΜΜ.ΜΑΣΤΟΡΑΚΗ 2 ΙΕΡΑΠΕΤΡΑΣ"</f>
        <v>ΕΜΜ.ΜΑΣΤΟΡΑΚΗ 2 ΙΕΡΑΠΕΤΡΑΣ</v>
      </c>
      <c r="I7558">
        <v>72200</v>
      </c>
      <c r="J7558">
        <v>2895061229</v>
      </c>
      <c r="K7558">
        <v>6971895793</v>
      </c>
      <c r="M7558" t="s">
        <v>11885</v>
      </c>
      <c r="N7558" t="s">
        <v>615</v>
      </c>
      <c r="O7558" t="s">
        <v>616</v>
      </c>
      <c r="R7558" t="s">
        <v>57</v>
      </c>
      <c r="S7558">
        <v>5</v>
      </c>
      <c r="T7558">
        <v>774</v>
      </c>
      <c r="U7558" s="1">
        <v>39680</v>
      </c>
      <c r="V7558" t="s">
        <v>5177</v>
      </c>
      <c r="W7558" t="s">
        <v>5178</v>
      </c>
      <c r="X7558" t="s">
        <v>58</v>
      </c>
      <c r="Y7558">
        <v>23</v>
      </c>
      <c r="Z7558" t="s">
        <v>59</v>
      </c>
      <c r="AA7558" t="s">
        <v>59</v>
      </c>
      <c r="AB7558" t="s">
        <v>59</v>
      </c>
      <c r="AC7558" t="s">
        <v>59</v>
      </c>
      <c r="AD7558" t="s">
        <v>59</v>
      </c>
      <c r="AF7558" s="1">
        <v>39682</v>
      </c>
      <c r="AG7558" t="s">
        <v>8645</v>
      </c>
      <c r="AH7558" t="s">
        <v>8646</v>
      </c>
      <c r="AI7558" t="str">
        <f>"9320003"</f>
        <v>9320003</v>
      </c>
      <c r="AJ7558" t="s">
        <v>11886</v>
      </c>
      <c r="AK7558">
        <v>2842089830</v>
      </c>
      <c r="AL7558" t="s">
        <v>11887</v>
      </c>
      <c r="AM7558" t="s">
        <v>4513</v>
      </c>
      <c r="AN7558" t="s">
        <v>4519</v>
      </c>
      <c r="AO7558" t="s">
        <v>4519</v>
      </c>
      <c r="AP7558" t="s">
        <v>4519</v>
      </c>
      <c r="AQ7558">
        <v>4</v>
      </c>
      <c r="AR7558" t="s">
        <v>5177</v>
      </c>
      <c r="AS7558" t="s">
        <v>5178</v>
      </c>
      <c r="AT7558" t="s">
        <v>58</v>
      </c>
      <c r="AU7558" t="s">
        <v>68</v>
      </c>
      <c r="AV7558" t="s">
        <v>69</v>
      </c>
      <c r="AW7558" s="1">
        <v>30813</v>
      </c>
      <c r="AX7558">
        <v>1</v>
      </c>
    </row>
    <row r="7559" spans="1:50">
      <c r="A7559">
        <v>591624</v>
      </c>
      <c r="B7559" t="str">
        <f>"036379482"</f>
        <v>036379482</v>
      </c>
      <c r="C7559" t="s">
        <v>50</v>
      </c>
      <c r="D7559" t="s">
        <v>187</v>
      </c>
      <c r="E7559" t="s">
        <v>52</v>
      </c>
      <c r="F7559" t="s">
        <v>166</v>
      </c>
      <c r="G7559" t="s">
        <v>964</v>
      </c>
      <c r="H7559" t="str">
        <f>"ΚΑΤΩ ΧΩΡΙΟ "</f>
        <v xml:space="preserve">ΚΑΤΩ ΧΩΡΙΟ </v>
      </c>
      <c r="I7559">
        <v>72200</v>
      </c>
      <c r="J7559">
        <v>2842111629</v>
      </c>
      <c r="K7559">
        <v>6976869158</v>
      </c>
      <c r="N7559" t="s">
        <v>1525</v>
      </c>
      <c r="O7559" t="s">
        <v>1526</v>
      </c>
      <c r="R7559" t="s">
        <v>57</v>
      </c>
      <c r="S7559">
        <v>9</v>
      </c>
      <c r="T7559">
        <v>249</v>
      </c>
      <c r="U7559" s="1">
        <v>36769</v>
      </c>
      <c r="V7559" t="s">
        <v>5177</v>
      </c>
      <c r="W7559" t="s">
        <v>5178</v>
      </c>
      <c r="X7559" t="s">
        <v>58</v>
      </c>
      <c r="Y7559">
        <v>25</v>
      </c>
      <c r="Z7559" t="s">
        <v>59</v>
      </c>
      <c r="AA7559" t="s">
        <v>59</v>
      </c>
      <c r="AB7559" t="s">
        <v>59</v>
      </c>
      <c r="AC7559" t="s">
        <v>59</v>
      </c>
      <c r="AD7559" t="s">
        <v>59</v>
      </c>
      <c r="AF7559" s="1">
        <v>36770</v>
      </c>
      <c r="AG7559" t="s">
        <v>8651</v>
      </c>
      <c r="AH7559" t="s">
        <v>8652</v>
      </c>
      <c r="AI7559" t="str">
        <f>"9320143"</f>
        <v>9320143</v>
      </c>
      <c r="AJ7559" t="s">
        <v>11888</v>
      </c>
      <c r="AK7559">
        <v>2842027151</v>
      </c>
      <c r="AL7559" t="s">
        <v>11889</v>
      </c>
      <c r="AM7559" t="s">
        <v>4513</v>
      </c>
      <c r="AN7559" t="s">
        <v>4519</v>
      </c>
      <c r="AO7559" t="s">
        <v>4519</v>
      </c>
      <c r="AP7559" t="s">
        <v>4519</v>
      </c>
      <c r="AQ7559">
        <v>5</v>
      </c>
      <c r="AR7559" t="s">
        <v>5177</v>
      </c>
      <c r="AS7559" t="s">
        <v>5178</v>
      </c>
      <c r="AT7559" t="s">
        <v>58</v>
      </c>
      <c r="AU7559" t="s">
        <v>68</v>
      </c>
      <c r="AV7559" t="s">
        <v>69</v>
      </c>
      <c r="AW7559" s="1">
        <v>22690</v>
      </c>
      <c r="AX7559">
        <v>1</v>
      </c>
    </row>
    <row r="7560" spans="1:50">
      <c r="A7560">
        <v>575179</v>
      </c>
      <c r="B7560" t="str">
        <f>"035695303"</f>
        <v>035695303</v>
      </c>
      <c r="C7560" t="s">
        <v>105</v>
      </c>
      <c r="D7560" t="s">
        <v>197</v>
      </c>
      <c r="E7560" t="s">
        <v>450</v>
      </c>
      <c r="F7560" t="s">
        <v>106</v>
      </c>
      <c r="G7560" t="s">
        <v>1452</v>
      </c>
      <c r="H7560" t="str">
        <f>"Κ. ΛΟΥΚΑΡΕΩΣ 10 ΑΓΙΟΣ ΝΙΚΟΛΑΟΣ"</f>
        <v>Κ. ΛΟΥΚΑΡΕΩΣ 10 ΑΓΙΟΣ ΝΙΚΟΛΑΟΣ</v>
      </c>
      <c r="I7560">
        <v>72100</v>
      </c>
      <c r="J7560">
        <v>2841082592</v>
      </c>
      <c r="K7560">
        <v>6972906533</v>
      </c>
      <c r="N7560" t="s">
        <v>615</v>
      </c>
      <c r="O7560" t="s">
        <v>616</v>
      </c>
      <c r="R7560" t="s">
        <v>57</v>
      </c>
      <c r="S7560">
        <v>13</v>
      </c>
      <c r="T7560">
        <v>184</v>
      </c>
      <c r="U7560" s="1">
        <v>34941</v>
      </c>
      <c r="V7560" t="s">
        <v>5177</v>
      </c>
      <c r="W7560" t="s">
        <v>5178</v>
      </c>
      <c r="X7560" t="s">
        <v>58</v>
      </c>
      <c r="Y7560">
        <v>21</v>
      </c>
      <c r="Z7560" t="s">
        <v>59</v>
      </c>
      <c r="AA7560" t="s">
        <v>59</v>
      </c>
      <c r="AB7560" t="s">
        <v>59</v>
      </c>
      <c r="AC7560" t="s">
        <v>59</v>
      </c>
      <c r="AD7560" t="s">
        <v>59</v>
      </c>
      <c r="AF7560" s="1">
        <v>34943</v>
      </c>
      <c r="AG7560" t="s">
        <v>8645</v>
      </c>
      <c r="AH7560" t="s">
        <v>8646</v>
      </c>
      <c r="AI7560" t="str">
        <f>"9320210"</f>
        <v>9320210</v>
      </c>
      <c r="AJ7560" t="s">
        <v>11890</v>
      </c>
      <c r="AK7560">
        <v>2841026705</v>
      </c>
      <c r="AL7560" t="s">
        <v>11891</v>
      </c>
      <c r="AM7560" t="s">
        <v>4513</v>
      </c>
      <c r="AN7560" t="s">
        <v>4514</v>
      </c>
      <c r="AO7560" t="s">
        <v>4514</v>
      </c>
      <c r="AP7560" t="s">
        <v>4514</v>
      </c>
      <c r="AQ7560">
        <v>1</v>
      </c>
      <c r="AR7560" t="s">
        <v>5177</v>
      </c>
      <c r="AS7560" t="s">
        <v>5178</v>
      </c>
      <c r="AT7560" t="s">
        <v>58</v>
      </c>
      <c r="AU7560" t="s">
        <v>68</v>
      </c>
      <c r="AV7560" t="s">
        <v>69</v>
      </c>
      <c r="AW7560" s="1">
        <v>24083</v>
      </c>
      <c r="AX7560">
        <v>1</v>
      </c>
    </row>
    <row r="7561" spans="1:50">
      <c r="A7561">
        <v>591283</v>
      </c>
      <c r="B7561" t="str">
        <f>"044206990"</f>
        <v>044206990</v>
      </c>
      <c r="C7561" t="s">
        <v>50</v>
      </c>
      <c r="D7561" t="s">
        <v>11892</v>
      </c>
      <c r="E7561" t="s">
        <v>366</v>
      </c>
      <c r="F7561" t="s">
        <v>53</v>
      </c>
      <c r="G7561" t="s">
        <v>1361</v>
      </c>
      <c r="H7561" t="str">
        <f>"ΑΜΜΟΥΔΙ (ΟΙΚΙΑ ΚΟΤΖΙΑ) ΑΓΙΟΣ ΝΙΚΟΛΑΟΣ"</f>
        <v>ΑΜΜΟΥΔΙ (ΟΙΚΙΑ ΚΟΤΖΙΑ) ΑΓΙΟΣ ΝΙΚΟΛΑΟΣ</v>
      </c>
      <c r="I7561">
        <v>72100</v>
      </c>
      <c r="J7561">
        <v>2841023827</v>
      </c>
      <c r="K7561">
        <v>6980557585</v>
      </c>
      <c r="N7561" t="s">
        <v>615</v>
      </c>
      <c r="O7561" t="s">
        <v>616</v>
      </c>
      <c r="R7561" t="s">
        <v>57</v>
      </c>
      <c r="S7561">
        <v>11</v>
      </c>
      <c r="T7561">
        <v>249</v>
      </c>
      <c r="U7561" s="1">
        <v>36769</v>
      </c>
      <c r="V7561" t="s">
        <v>5177</v>
      </c>
      <c r="W7561" t="s">
        <v>5178</v>
      </c>
      <c r="X7561" t="s">
        <v>58</v>
      </c>
      <c r="Y7561">
        <v>21</v>
      </c>
      <c r="Z7561" t="s">
        <v>59</v>
      </c>
      <c r="AA7561" t="s">
        <v>59</v>
      </c>
      <c r="AB7561" t="s">
        <v>59</v>
      </c>
      <c r="AC7561" t="s">
        <v>59</v>
      </c>
      <c r="AD7561" t="s">
        <v>59</v>
      </c>
      <c r="AF7561" s="1">
        <v>36770</v>
      </c>
      <c r="AG7561" t="s">
        <v>8645</v>
      </c>
      <c r="AH7561" t="s">
        <v>8646</v>
      </c>
      <c r="AI7561" t="str">
        <f>"9320058"</f>
        <v>9320058</v>
      </c>
      <c r="AJ7561" t="s">
        <v>11893</v>
      </c>
      <c r="AK7561">
        <v>2841022496</v>
      </c>
      <c r="AL7561" t="s">
        <v>11894</v>
      </c>
      <c r="AM7561" t="s">
        <v>4513</v>
      </c>
      <c r="AN7561" t="s">
        <v>4514</v>
      </c>
      <c r="AO7561" t="s">
        <v>4514</v>
      </c>
      <c r="AP7561" t="s">
        <v>4514</v>
      </c>
      <c r="AQ7561">
        <v>1</v>
      </c>
      <c r="AR7561" t="s">
        <v>5177</v>
      </c>
      <c r="AS7561" t="s">
        <v>5178</v>
      </c>
      <c r="AT7561" t="s">
        <v>58</v>
      </c>
      <c r="AU7561" t="s">
        <v>68</v>
      </c>
      <c r="AV7561" t="s">
        <v>69</v>
      </c>
      <c r="AW7561" s="1">
        <v>23075</v>
      </c>
      <c r="AX7561">
        <v>1</v>
      </c>
    </row>
    <row r="7562" spans="1:50">
      <c r="A7562">
        <v>622166</v>
      </c>
      <c r="B7562" t="str">
        <f>"124018418"</f>
        <v>124018418</v>
      </c>
      <c r="C7562" t="s">
        <v>50</v>
      </c>
      <c r="D7562" t="s">
        <v>11895</v>
      </c>
      <c r="E7562" t="s">
        <v>396</v>
      </c>
      <c r="F7562" t="s">
        <v>995</v>
      </c>
      <c r="G7562" t="s">
        <v>11896</v>
      </c>
      <c r="H7562" t="str">
        <f>"ΟΜΗΡΟΥ 12 ΙΕΡΑΠΕΤΡΑ"</f>
        <v>ΟΜΗΡΟΥ 12 ΙΕΡΑΠΕΤΡΑ</v>
      </c>
      <c r="I7562">
        <v>72200</v>
      </c>
      <c r="J7562">
        <v>2842025645</v>
      </c>
      <c r="K7562">
        <v>6979836873</v>
      </c>
      <c r="N7562" t="s">
        <v>1525</v>
      </c>
      <c r="O7562" t="s">
        <v>1526</v>
      </c>
      <c r="R7562" t="s">
        <v>57</v>
      </c>
      <c r="S7562">
        <v>5</v>
      </c>
      <c r="T7562">
        <v>653</v>
      </c>
      <c r="U7562" s="1">
        <v>40043</v>
      </c>
      <c r="V7562" t="s">
        <v>5177</v>
      </c>
      <c r="W7562" t="s">
        <v>5178</v>
      </c>
      <c r="X7562" t="s">
        <v>58</v>
      </c>
      <c r="Y7562">
        <v>25</v>
      </c>
      <c r="Z7562" t="s">
        <v>59</v>
      </c>
      <c r="AA7562" t="s">
        <v>59</v>
      </c>
      <c r="AB7562" t="s">
        <v>59</v>
      </c>
      <c r="AC7562" t="s">
        <v>59</v>
      </c>
      <c r="AD7562" t="s">
        <v>59</v>
      </c>
      <c r="AF7562" s="1">
        <v>40043</v>
      </c>
      <c r="AG7562" t="s">
        <v>8651</v>
      </c>
      <c r="AH7562" t="s">
        <v>8652</v>
      </c>
      <c r="AI7562" t="str">
        <f>"9320137"</f>
        <v>9320137</v>
      </c>
      <c r="AJ7562" t="s">
        <v>11897</v>
      </c>
      <c r="AK7562">
        <v>2842041152</v>
      </c>
      <c r="AL7562" t="s">
        <v>11898</v>
      </c>
      <c r="AM7562" t="s">
        <v>4513</v>
      </c>
      <c r="AN7562" t="s">
        <v>4519</v>
      </c>
      <c r="AO7562" t="s">
        <v>4519</v>
      </c>
      <c r="AP7562" t="s">
        <v>11899</v>
      </c>
      <c r="AQ7562">
        <v>7</v>
      </c>
      <c r="AR7562" t="s">
        <v>5177</v>
      </c>
      <c r="AS7562" t="s">
        <v>5178</v>
      </c>
      <c r="AT7562" t="s">
        <v>58</v>
      </c>
      <c r="AU7562" t="s">
        <v>68</v>
      </c>
      <c r="AV7562" t="s">
        <v>69</v>
      </c>
      <c r="AW7562" s="1">
        <v>30259</v>
      </c>
      <c r="AX7562">
        <v>1</v>
      </c>
    </row>
    <row r="7563" spans="1:50">
      <c r="B7563" t="str">
        <f>"157261195"</f>
        <v>157261195</v>
      </c>
      <c r="C7563" t="s">
        <v>50</v>
      </c>
      <c r="D7563" t="s">
        <v>8669</v>
      </c>
      <c r="E7563" t="s">
        <v>250</v>
      </c>
      <c r="F7563" t="s">
        <v>900</v>
      </c>
      <c r="G7563" t="s">
        <v>52</v>
      </c>
      <c r="H7563" t="str">
        <f>" "</f>
        <v xml:space="preserve"> </v>
      </c>
      <c r="N7563" t="s">
        <v>9829</v>
      </c>
      <c r="O7563" t="s">
        <v>9830</v>
      </c>
      <c r="R7563" t="s">
        <v>121</v>
      </c>
      <c r="S7563">
        <v>3</v>
      </c>
      <c r="T7563" t="s">
        <v>8696</v>
      </c>
      <c r="U7563" s="1">
        <v>43348</v>
      </c>
      <c r="V7563" t="s">
        <v>5177</v>
      </c>
      <c r="W7563" t="s">
        <v>5178</v>
      </c>
      <c r="X7563" t="s">
        <v>58</v>
      </c>
      <c r="Y7563">
        <v>25</v>
      </c>
      <c r="Z7563" t="s">
        <v>59</v>
      </c>
      <c r="AA7563" t="s">
        <v>59</v>
      </c>
      <c r="AB7563" t="s">
        <v>59</v>
      </c>
      <c r="AD7563" t="s">
        <v>59</v>
      </c>
      <c r="AF7563" s="1">
        <v>43348</v>
      </c>
      <c r="AG7563" t="s">
        <v>8651</v>
      </c>
      <c r="AH7563" t="s">
        <v>8652</v>
      </c>
      <c r="AI7563" t="str">
        <f>"9320146"</f>
        <v>9320146</v>
      </c>
      <c r="AJ7563" t="s">
        <v>11900</v>
      </c>
      <c r="AK7563">
        <v>2842024440</v>
      </c>
      <c r="AL7563" t="s">
        <v>11901</v>
      </c>
      <c r="AM7563" t="s">
        <v>4513</v>
      </c>
      <c r="AN7563" t="s">
        <v>4519</v>
      </c>
      <c r="AO7563" t="s">
        <v>4519</v>
      </c>
      <c r="AP7563" t="s">
        <v>4519</v>
      </c>
      <c r="AQ7563">
        <v>4</v>
      </c>
      <c r="AR7563" t="s">
        <v>5177</v>
      </c>
      <c r="AS7563" t="s">
        <v>5178</v>
      </c>
      <c r="AT7563" t="s">
        <v>58</v>
      </c>
      <c r="AU7563" t="s">
        <v>350</v>
      </c>
      <c r="AV7563" t="s">
        <v>132</v>
      </c>
      <c r="AW7563" s="1">
        <v>33633</v>
      </c>
      <c r="AX7563">
        <v>1</v>
      </c>
    </row>
    <row r="7564" spans="1:50">
      <c r="A7564">
        <v>587817</v>
      </c>
      <c r="B7564" t="str">
        <f>"036502636"</f>
        <v>036502636</v>
      </c>
      <c r="C7564" t="s">
        <v>50</v>
      </c>
      <c r="D7564" t="s">
        <v>214</v>
      </c>
      <c r="E7564" t="s">
        <v>188</v>
      </c>
      <c r="F7564" t="s">
        <v>84</v>
      </c>
      <c r="G7564" t="s">
        <v>9342</v>
      </c>
      <c r="H7564" t="str">
        <f>"I.ΚΟΝΔΥΛΑΚΗ 21 ΣΗΤΕΙΑ"</f>
        <v>I.ΚΟΝΔΥΛΑΚΗ 21 ΣΗΤΕΙΑ</v>
      </c>
      <c r="I7564">
        <v>72300</v>
      </c>
      <c r="J7564">
        <v>2843025616</v>
      </c>
      <c r="N7564" t="s">
        <v>176</v>
      </c>
      <c r="O7564" t="s">
        <v>177</v>
      </c>
      <c r="R7564" t="s">
        <v>57</v>
      </c>
      <c r="S7564">
        <v>11</v>
      </c>
      <c r="T7564">
        <v>249</v>
      </c>
      <c r="U7564" s="1">
        <v>36160</v>
      </c>
      <c r="V7564" t="s">
        <v>5177</v>
      </c>
      <c r="W7564" t="s">
        <v>5178</v>
      </c>
      <c r="X7564" t="s">
        <v>58</v>
      </c>
      <c r="Y7564">
        <v>21</v>
      </c>
      <c r="Z7564" t="s">
        <v>59</v>
      </c>
      <c r="AA7564" t="s">
        <v>59</v>
      </c>
      <c r="AB7564" t="s">
        <v>59</v>
      </c>
      <c r="AC7564" t="s">
        <v>59</v>
      </c>
      <c r="AD7564" t="s">
        <v>59</v>
      </c>
      <c r="AF7564" s="1">
        <v>36160</v>
      </c>
      <c r="AG7564" t="s">
        <v>8645</v>
      </c>
      <c r="AH7564" t="s">
        <v>8646</v>
      </c>
      <c r="AI7564" t="str">
        <f>"9320205"</f>
        <v>9320205</v>
      </c>
      <c r="AJ7564" t="s">
        <v>11902</v>
      </c>
      <c r="AK7564">
        <v>2843024509</v>
      </c>
      <c r="AL7564" t="s">
        <v>11903</v>
      </c>
      <c r="AM7564" t="s">
        <v>4513</v>
      </c>
      <c r="AN7564" t="s">
        <v>4540</v>
      </c>
      <c r="AO7564" t="s">
        <v>4540</v>
      </c>
      <c r="AP7564" t="s">
        <v>4540</v>
      </c>
      <c r="AQ7564">
        <v>8</v>
      </c>
      <c r="AR7564" t="s">
        <v>5177</v>
      </c>
      <c r="AS7564" t="s">
        <v>5178</v>
      </c>
      <c r="AT7564" t="s">
        <v>58</v>
      </c>
      <c r="AU7564" t="s">
        <v>68</v>
      </c>
      <c r="AV7564" t="s">
        <v>69</v>
      </c>
      <c r="AW7564" s="1">
        <v>24538</v>
      </c>
      <c r="AX7564">
        <v>1</v>
      </c>
    </row>
    <row r="7565" spans="1:50">
      <c r="B7565" t="str">
        <f>"154221930"</f>
        <v>154221930</v>
      </c>
      <c r="C7565" t="s">
        <v>50</v>
      </c>
      <c r="D7565" t="s">
        <v>11904</v>
      </c>
      <c r="E7565" t="s">
        <v>620</v>
      </c>
      <c r="F7565" t="s">
        <v>53</v>
      </c>
      <c r="G7565" t="s">
        <v>255</v>
      </c>
      <c r="H7565" t="str">
        <f>"Σπάρτης - 44  Θεσσαλονίκη"</f>
        <v>Σπάρτης - 44  Θεσσαλονίκη</v>
      </c>
      <c r="I7565">
        <v>54646</v>
      </c>
      <c r="K7565">
        <v>6951917739</v>
      </c>
      <c r="L7565">
        <v>2221028905</v>
      </c>
      <c r="M7565" t="s">
        <v>11905</v>
      </c>
      <c r="N7565" t="s">
        <v>337</v>
      </c>
      <c r="O7565" t="s">
        <v>338</v>
      </c>
      <c r="R7565" t="s">
        <v>121</v>
      </c>
      <c r="S7565">
        <v>1</v>
      </c>
      <c r="T7565" t="s">
        <v>8675</v>
      </c>
      <c r="U7565" s="1">
        <v>43348</v>
      </c>
      <c r="V7565" t="s">
        <v>5177</v>
      </c>
      <c r="W7565" t="s">
        <v>5178</v>
      </c>
      <c r="X7565" t="s">
        <v>58</v>
      </c>
      <c r="Y7565">
        <v>24</v>
      </c>
      <c r="Z7565" t="s">
        <v>59</v>
      </c>
      <c r="AA7565" t="s">
        <v>59</v>
      </c>
      <c r="AB7565" t="s">
        <v>59</v>
      </c>
      <c r="AD7565" t="s">
        <v>59</v>
      </c>
      <c r="AF7565" s="1">
        <v>43348</v>
      </c>
      <c r="AG7565" t="s">
        <v>8645</v>
      </c>
      <c r="AH7565" t="s">
        <v>8646</v>
      </c>
      <c r="AI7565" t="str">
        <f>"9320121"</f>
        <v>9320121</v>
      </c>
      <c r="AJ7565" t="s">
        <v>11906</v>
      </c>
      <c r="AK7565">
        <v>2843022036</v>
      </c>
      <c r="AL7565" t="s">
        <v>11907</v>
      </c>
      <c r="AM7565" t="s">
        <v>4513</v>
      </c>
      <c r="AN7565" t="s">
        <v>4540</v>
      </c>
      <c r="AO7565" t="s">
        <v>4540</v>
      </c>
      <c r="AP7565" t="s">
        <v>11908</v>
      </c>
      <c r="AQ7565">
        <v>8</v>
      </c>
      <c r="AR7565" t="s">
        <v>5177</v>
      </c>
      <c r="AS7565" t="s">
        <v>5178</v>
      </c>
      <c r="AT7565" t="s">
        <v>58</v>
      </c>
      <c r="AU7565" t="s">
        <v>8673</v>
      </c>
      <c r="AV7565" t="s">
        <v>132</v>
      </c>
      <c r="AW7565" s="1">
        <v>33714</v>
      </c>
      <c r="AX7565">
        <v>1</v>
      </c>
    </row>
    <row r="7566" spans="1:50">
      <c r="B7566" t="str">
        <f>"140100807"</f>
        <v>140100807</v>
      </c>
      <c r="C7566" t="s">
        <v>105</v>
      </c>
      <c r="D7566" t="s">
        <v>11909</v>
      </c>
      <c r="E7566" t="s">
        <v>99</v>
      </c>
      <c r="F7566" t="s">
        <v>3246</v>
      </c>
      <c r="G7566" t="s">
        <v>52</v>
      </c>
      <c r="H7566" t="str">
        <f>"ΘΕΜΙΣΤΟΚΛΕΟΥΣ 24 ΦΑΡΣΑΛΑ"</f>
        <v>ΘΕΜΙΣΤΟΚΛΕΟΥΣ 24 ΦΑΡΣΑΛΑ</v>
      </c>
      <c r="I7566">
        <v>40300</v>
      </c>
      <c r="J7566">
        <v>2491025758</v>
      </c>
      <c r="K7566">
        <v>6957044988</v>
      </c>
      <c r="L7566">
        <v>6986945743</v>
      </c>
      <c r="M7566" t="s">
        <v>11910</v>
      </c>
      <c r="N7566" t="s">
        <v>8694</v>
      </c>
      <c r="O7566" t="s">
        <v>8695</v>
      </c>
      <c r="R7566" t="s">
        <v>159</v>
      </c>
      <c r="S7566">
        <v>3</v>
      </c>
      <c r="T7566" t="s">
        <v>8696</v>
      </c>
      <c r="U7566" s="1">
        <v>43348</v>
      </c>
      <c r="V7566" t="s">
        <v>5177</v>
      </c>
      <c r="W7566" t="s">
        <v>5178</v>
      </c>
      <c r="X7566" t="s">
        <v>58</v>
      </c>
      <c r="Y7566">
        <v>25</v>
      </c>
      <c r="Z7566" t="s">
        <v>59</v>
      </c>
      <c r="AA7566" t="s">
        <v>59</v>
      </c>
      <c r="AB7566" t="s">
        <v>59</v>
      </c>
      <c r="AC7566" t="s">
        <v>59</v>
      </c>
      <c r="AD7566" t="s">
        <v>59</v>
      </c>
      <c r="AF7566" s="1">
        <v>43348</v>
      </c>
      <c r="AG7566" t="s">
        <v>8645</v>
      </c>
      <c r="AH7566" t="s">
        <v>8697</v>
      </c>
      <c r="AI7566" t="str">
        <f>"9320213"</f>
        <v>9320213</v>
      </c>
      <c r="AJ7566" t="s">
        <v>11911</v>
      </c>
      <c r="AK7566">
        <v>2842089087</v>
      </c>
      <c r="AL7566" t="s">
        <v>11912</v>
      </c>
      <c r="AM7566" t="s">
        <v>4513</v>
      </c>
      <c r="AN7566" t="s">
        <v>4519</v>
      </c>
      <c r="AO7566" t="s">
        <v>4519</v>
      </c>
      <c r="AP7566" t="s">
        <v>4519</v>
      </c>
      <c r="AQ7566">
        <v>4</v>
      </c>
      <c r="AR7566" t="s">
        <v>5177</v>
      </c>
      <c r="AS7566" t="s">
        <v>5178</v>
      </c>
      <c r="AT7566" t="s">
        <v>58</v>
      </c>
      <c r="AU7566" t="s">
        <v>350</v>
      </c>
      <c r="AV7566" t="s">
        <v>132</v>
      </c>
      <c r="AW7566" s="1">
        <v>31413</v>
      </c>
      <c r="AX7566">
        <v>1</v>
      </c>
    </row>
    <row r="7567" spans="1:50">
      <c r="B7567" t="str">
        <f>"131061318"</f>
        <v>131061318</v>
      </c>
      <c r="C7567" t="s">
        <v>105</v>
      </c>
      <c r="D7567" t="s">
        <v>11913</v>
      </c>
      <c r="E7567" t="s">
        <v>309</v>
      </c>
      <c r="F7567" t="s">
        <v>202</v>
      </c>
      <c r="G7567" t="s">
        <v>563</v>
      </c>
      <c r="H7567" t="str">
        <f>"Παλαιόχωρα Παιλαιόχωρα"</f>
        <v>Παλαιόχωρα Παιλαιόχωρα</v>
      </c>
      <c r="I7567">
        <v>73001</v>
      </c>
      <c r="K7567">
        <v>6978272950</v>
      </c>
      <c r="M7567" t="s">
        <v>11914</v>
      </c>
      <c r="N7567" t="s">
        <v>204</v>
      </c>
      <c r="O7567" t="s">
        <v>205</v>
      </c>
      <c r="R7567" t="s">
        <v>159</v>
      </c>
      <c r="S7567">
        <v>5</v>
      </c>
      <c r="T7567" t="s">
        <v>8675</v>
      </c>
      <c r="U7567" s="1">
        <v>43348</v>
      </c>
      <c r="V7567" t="s">
        <v>5177</v>
      </c>
      <c r="W7567" t="s">
        <v>5178</v>
      </c>
      <c r="X7567" t="s">
        <v>58</v>
      </c>
      <c r="Y7567">
        <v>24</v>
      </c>
      <c r="Z7567" t="s">
        <v>59</v>
      </c>
      <c r="AA7567" t="s">
        <v>59</v>
      </c>
      <c r="AB7567" t="s">
        <v>59</v>
      </c>
      <c r="AC7567" t="s">
        <v>59</v>
      </c>
      <c r="AD7567" t="s">
        <v>59</v>
      </c>
      <c r="AF7567" s="1">
        <v>43348</v>
      </c>
      <c r="AG7567" t="s">
        <v>8645</v>
      </c>
      <c r="AH7567" t="s">
        <v>8646</v>
      </c>
      <c r="AI7567" t="str">
        <f>"9320138"</f>
        <v>9320138</v>
      </c>
      <c r="AJ7567" t="s">
        <v>11915</v>
      </c>
      <c r="AK7567">
        <v>2841022104</v>
      </c>
      <c r="AL7567" t="s">
        <v>11916</v>
      </c>
      <c r="AM7567" t="s">
        <v>4513</v>
      </c>
      <c r="AN7567" t="s">
        <v>4514</v>
      </c>
      <c r="AO7567" t="s">
        <v>4514</v>
      </c>
      <c r="AP7567" t="s">
        <v>4514</v>
      </c>
      <c r="AQ7567">
        <v>1</v>
      </c>
      <c r="AR7567" t="s">
        <v>5177</v>
      </c>
      <c r="AS7567" t="s">
        <v>5178</v>
      </c>
      <c r="AT7567" t="s">
        <v>58</v>
      </c>
      <c r="AU7567" t="s">
        <v>8673</v>
      </c>
      <c r="AV7567" t="s">
        <v>132</v>
      </c>
      <c r="AW7567" s="1">
        <v>30538</v>
      </c>
      <c r="AX7567">
        <v>1</v>
      </c>
    </row>
    <row r="7568" spans="1:50">
      <c r="B7568" t="str">
        <f>"117886188"</f>
        <v>117886188</v>
      </c>
      <c r="C7568" t="s">
        <v>50</v>
      </c>
      <c r="D7568" t="s">
        <v>11917</v>
      </c>
      <c r="E7568" t="s">
        <v>237</v>
      </c>
      <c r="F7568" t="s">
        <v>53</v>
      </c>
      <c r="G7568" t="s">
        <v>11918</v>
      </c>
      <c r="H7568" t="str">
        <f>"ΙΑΚΩΒΟΥ ΜΕΛΑ ΙΕΡΑΠΕΤΡΑ ΚΡΗΤΗΣ"</f>
        <v>ΙΑΚΩΒΟΥ ΜΕΛΑ ΙΕΡΑΠΕΤΡΑ ΚΡΗΤΗΣ</v>
      </c>
      <c r="I7568">
        <v>72200</v>
      </c>
      <c r="J7568">
        <v>2310766193</v>
      </c>
      <c r="K7568">
        <v>6945161658</v>
      </c>
      <c r="N7568" t="s">
        <v>8694</v>
      </c>
      <c r="O7568" t="s">
        <v>8695</v>
      </c>
      <c r="R7568" t="s">
        <v>57</v>
      </c>
      <c r="S7568">
        <v>5</v>
      </c>
      <c r="T7568" t="s">
        <v>8696</v>
      </c>
      <c r="U7568" s="1">
        <v>43348</v>
      </c>
      <c r="V7568" t="s">
        <v>5177</v>
      </c>
      <c r="W7568" t="s">
        <v>5178</v>
      </c>
      <c r="X7568" t="s">
        <v>58</v>
      </c>
      <c r="Y7568">
        <v>23</v>
      </c>
      <c r="Z7568" t="s">
        <v>59</v>
      </c>
      <c r="AA7568" t="s">
        <v>59</v>
      </c>
      <c r="AB7568" t="s">
        <v>59</v>
      </c>
      <c r="AC7568" t="s">
        <v>59</v>
      </c>
      <c r="AD7568" t="s">
        <v>59</v>
      </c>
      <c r="AF7568" s="1">
        <v>43348</v>
      </c>
      <c r="AG7568" t="s">
        <v>8645</v>
      </c>
      <c r="AH7568" t="s">
        <v>8646</v>
      </c>
      <c r="AI7568" t="str">
        <f>"9320006"</f>
        <v>9320006</v>
      </c>
      <c r="AJ7568" t="s">
        <v>11919</v>
      </c>
      <c r="AK7568">
        <v>2842022359</v>
      </c>
      <c r="AL7568" t="s">
        <v>11920</v>
      </c>
      <c r="AM7568" t="s">
        <v>4513</v>
      </c>
      <c r="AN7568" t="s">
        <v>4519</v>
      </c>
      <c r="AO7568" t="s">
        <v>4519</v>
      </c>
      <c r="AP7568" t="s">
        <v>4519</v>
      </c>
      <c r="AQ7568">
        <v>4</v>
      </c>
      <c r="AR7568" t="s">
        <v>5177</v>
      </c>
      <c r="AS7568" t="s">
        <v>5178</v>
      </c>
      <c r="AT7568" t="s">
        <v>58</v>
      </c>
      <c r="AU7568" t="s">
        <v>350</v>
      </c>
      <c r="AV7568" t="s">
        <v>132</v>
      </c>
      <c r="AW7568" s="1">
        <v>28970</v>
      </c>
      <c r="AX7568">
        <v>1</v>
      </c>
    </row>
    <row r="7569" spans="1:50">
      <c r="B7569" t="str">
        <f>"148963017"</f>
        <v>148963017</v>
      </c>
      <c r="C7569" t="s">
        <v>50</v>
      </c>
      <c r="D7569" t="s">
        <v>313</v>
      </c>
      <c r="E7569" t="s">
        <v>73</v>
      </c>
      <c r="F7569" t="s">
        <v>2990</v>
      </c>
      <c r="G7569" t="s">
        <v>484</v>
      </c>
      <c r="H7569" t="str">
        <f>" "</f>
        <v xml:space="preserve"> </v>
      </c>
      <c r="N7569" t="s">
        <v>615</v>
      </c>
      <c r="O7569" t="s">
        <v>616</v>
      </c>
      <c r="R7569" t="s">
        <v>121</v>
      </c>
      <c r="S7569">
        <v>1</v>
      </c>
      <c r="T7569" t="s">
        <v>8717</v>
      </c>
      <c r="U7569" s="1">
        <v>43348</v>
      </c>
      <c r="V7569" t="s">
        <v>5177</v>
      </c>
      <c r="W7569" t="s">
        <v>5178</v>
      </c>
      <c r="X7569" t="s">
        <v>58</v>
      </c>
      <c r="Y7569">
        <v>24</v>
      </c>
      <c r="Z7569" t="s">
        <v>59</v>
      </c>
      <c r="AA7569" t="s">
        <v>59</v>
      </c>
      <c r="AB7569" t="s">
        <v>59</v>
      </c>
      <c r="AC7569" t="s">
        <v>59</v>
      </c>
      <c r="AD7569" t="s">
        <v>59</v>
      </c>
      <c r="AF7569" s="1">
        <v>43348</v>
      </c>
      <c r="AG7569" t="s">
        <v>8645</v>
      </c>
      <c r="AH7569" t="s">
        <v>8646</v>
      </c>
      <c r="AI7569" t="str">
        <f>"9320012"</f>
        <v>9320012</v>
      </c>
      <c r="AJ7569" t="s">
        <v>11921</v>
      </c>
      <c r="AK7569">
        <v>2842041253</v>
      </c>
      <c r="AL7569" t="s">
        <v>11922</v>
      </c>
      <c r="AM7569" t="s">
        <v>4513</v>
      </c>
      <c r="AN7569" t="s">
        <v>4519</v>
      </c>
      <c r="AO7569" t="s">
        <v>4519</v>
      </c>
      <c r="AP7569" t="s">
        <v>11899</v>
      </c>
      <c r="AQ7569">
        <v>7</v>
      </c>
      <c r="AR7569" t="s">
        <v>5177</v>
      </c>
      <c r="AS7569" t="s">
        <v>5178</v>
      </c>
      <c r="AT7569" t="s">
        <v>58</v>
      </c>
      <c r="AU7569" t="s">
        <v>8720</v>
      </c>
      <c r="AV7569" t="s">
        <v>132</v>
      </c>
      <c r="AW7569" s="1">
        <v>32907</v>
      </c>
      <c r="AX7569">
        <v>1</v>
      </c>
    </row>
    <row r="7570" spans="1:50">
      <c r="A7570">
        <v>210415</v>
      </c>
      <c r="B7570" t="str">
        <f>"065652535"</f>
        <v>065652535</v>
      </c>
      <c r="C7570" t="s">
        <v>50</v>
      </c>
      <c r="D7570" t="s">
        <v>11923</v>
      </c>
      <c r="E7570" t="s">
        <v>52</v>
      </c>
      <c r="F7570" t="s">
        <v>95</v>
      </c>
      <c r="G7570" t="s">
        <v>1029</v>
      </c>
      <c r="H7570" t="str">
        <f>"Ρήγα Φεραίου 18Α Σητείας"</f>
        <v>Ρήγα Φεραίου 18Α Σητείας</v>
      </c>
      <c r="I7570">
        <v>72300</v>
      </c>
      <c r="J7570">
        <v>2843022774</v>
      </c>
      <c r="K7570">
        <v>6972893799</v>
      </c>
      <c r="N7570" t="s">
        <v>306</v>
      </c>
      <c r="O7570" t="s">
        <v>307</v>
      </c>
      <c r="R7570" t="s">
        <v>57</v>
      </c>
      <c r="S7570">
        <v>11</v>
      </c>
      <c r="T7570" t="s">
        <v>11924</v>
      </c>
      <c r="U7570" s="1">
        <v>38621</v>
      </c>
      <c r="V7570" t="s">
        <v>5177</v>
      </c>
      <c r="W7570" t="s">
        <v>5178</v>
      </c>
      <c r="X7570" t="s">
        <v>58</v>
      </c>
      <c r="Y7570">
        <v>22</v>
      </c>
      <c r="Z7570" t="s">
        <v>59</v>
      </c>
      <c r="AA7570" t="s">
        <v>59</v>
      </c>
      <c r="AB7570" t="s">
        <v>59</v>
      </c>
      <c r="AC7570" t="s">
        <v>59</v>
      </c>
      <c r="AD7570" t="s">
        <v>59</v>
      </c>
      <c r="AF7570" s="1">
        <v>38621</v>
      </c>
      <c r="AG7570" t="s">
        <v>8645</v>
      </c>
      <c r="AH7570" t="s">
        <v>8646</v>
      </c>
      <c r="AI7570" t="str">
        <f>"9320121"</f>
        <v>9320121</v>
      </c>
      <c r="AJ7570" t="s">
        <v>11906</v>
      </c>
      <c r="AK7570">
        <v>2843022036</v>
      </c>
      <c r="AL7570" t="s">
        <v>11907</v>
      </c>
      <c r="AM7570" t="s">
        <v>4513</v>
      </c>
      <c r="AN7570" t="s">
        <v>4540</v>
      </c>
      <c r="AO7570" t="s">
        <v>4540</v>
      </c>
      <c r="AP7570" t="s">
        <v>11908</v>
      </c>
      <c r="AQ7570">
        <v>8</v>
      </c>
      <c r="AR7570" t="s">
        <v>5177</v>
      </c>
      <c r="AS7570" t="s">
        <v>5178</v>
      </c>
      <c r="AT7570" t="s">
        <v>58</v>
      </c>
      <c r="AU7570" t="s">
        <v>68</v>
      </c>
      <c r="AV7570" t="s">
        <v>69</v>
      </c>
      <c r="AW7570" s="1">
        <v>27269</v>
      </c>
      <c r="AX7570">
        <v>1</v>
      </c>
    </row>
    <row r="7571" spans="1:50">
      <c r="A7571">
        <v>579478</v>
      </c>
      <c r="B7571" t="str">
        <f>"051892126"</f>
        <v>051892126</v>
      </c>
      <c r="C7571" t="s">
        <v>105</v>
      </c>
      <c r="D7571" t="s">
        <v>11925</v>
      </c>
      <c r="E7571" t="s">
        <v>377</v>
      </c>
      <c r="F7571" t="s">
        <v>53</v>
      </c>
      <c r="G7571" t="s">
        <v>83</v>
      </c>
      <c r="H7571" t="str">
        <f>"Γ. ΚΟΝΔΥΛΗ 73 ΑΤΤΙΚΗ"</f>
        <v>Γ. ΚΟΝΔΥΛΗ 73 ΑΤΤΙΚΗ</v>
      </c>
      <c r="I7571">
        <v>17342</v>
      </c>
      <c r="J7571">
        <v>2109969177</v>
      </c>
      <c r="K7571">
        <v>6973383889</v>
      </c>
      <c r="L7571">
        <v>4979409829238</v>
      </c>
      <c r="N7571" t="s">
        <v>615</v>
      </c>
      <c r="O7571" t="s">
        <v>616</v>
      </c>
      <c r="R7571" t="s">
        <v>57</v>
      </c>
      <c r="S7571">
        <v>12</v>
      </c>
      <c r="T7571">
        <v>165</v>
      </c>
      <c r="U7571" s="1">
        <v>35300</v>
      </c>
      <c r="V7571" t="s">
        <v>5177</v>
      </c>
      <c r="W7571" t="s">
        <v>5178</v>
      </c>
      <c r="X7571" t="s">
        <v>58</v>
      </c>
      <c r="Y7571">
        <v>21</v>
      </c>
      <c r="Z7571" t="s">
        <v>59</v>
      </c>
      <c r="AA7571" t="s">
        <v>59</v>
      </c>
      <c r="AB7571" t="s">
        <v>59</v>
      </c>
      <c r="AC7571" t="s">
        <v>59</v>
      </c>
      <c r="AD7571" t="s">
        <v>59</v>
      </c>
      <c r="AF7571" s="1">
        <v>35310</v>
      </c>
      <c r="AG7571" t="s">
        <v>8645</v>
      </c>
      <c r="AH7571" t="s">
        <v>8646</v>
      </c>
      <c r="AI7571" t="str">
        <f>"9320090"</f>
        <v>9320090</v>
      </c>
      <c r="AJ7571" t="s">
        <v>11926</v>
      </c>
      <c r="AK7571">
        <v>2843022385</v>
      </c>
      <c r="AL7571" t="s">
        <v>11927</v>
      </c>
      <c r="AM7571" t="s">
        <v>4513</v>
      </c>
      <c r="AN7571" t="s">
        <v>4540</v>
      </c>
      <c r="AO7571" t="s">
        <v>4540</v>
      </c>
      <c r="AP7571" t="s">
        <v>4540</v>
      </c>
      <c r="AQ7571">
        <v>8</v>
      </c>
      <c r="AR7571" t="s">
        <v>5177</v>
      </c>
      <c r="AS7571" t="s">
        <v>5178</v>
      </c>
      <c r="AT7571" t="s">
        <v>58</v>
      </c>
      <c r="AU7571" t="s">
        <v>68</v>
      </c>
      <c r="AV7571" t="s">
        <v>357</v>
      </c>
      <c r="AW7571" s="1">
        <v>24113</v>
      </c>
      <c r="AX7571">
        <v>1</v>
      </c>
    </row>
    <row r="7572" spans="1:50">
      <c r="A7572">
        <v>186192</v>
      </c>
      <c r="B7572" t="str">
        <f>"054987796"</f>
        <v>054987796</v>
      </c>
      <c r="C7572" t="s">
        <v>50</v>
      </c>
      <c r="D7572" t="s">
        <v>8737</v>
      </c>
      <c r="E7572" t="s">
        <v>2406</v>
      </c>
      <c r="F7572" t="s">
        <v>670</v>
      </c>
      <c r="G7572" t="s">
        <v>335</v>
      </c>
      <c r="H7572" t="str">
        <f>" "</f>
        <v xml:space="preserve"> </v>
      </c>
      <c r="N7572" t="s">
        <v>176</v>
      </c>
      <c r="O7572" t="s">
        <v>177</v>
      </c>
      <c r="R7572" t="s">
        <v>57</v>
      </c>
      <c r="S7572">
        <v>8</v>
      </c>
      <c r="T7572">
        <v>250</v>
      </c>
      <c r="U7572" s="1">
        <v>36769</v>
      </c>
      <c r="V7572" t="s">
        <v>5177</v>
      </c>
      <c r="W7572" t="s">
        <v>5178</v>
      </c>
      <c r="X7572" t="s">
        <v>58</v>
      </c>
      <c r="Y7572">
        <v>22</v>
      </c>
      <c r="Z7572" t="s">
        <v>59</v>
      </c>
      <c r="AA7572" t="s">
        <v>59</v>
      </c>
      <c r="AB7572" t="s">
        <v>59</v>
      </c>
      <c r="AC7572" t="s">
        <v>59</v>
      </c>
      <c r="AD7572" t="s">
        <v>59</v>
      </c>
      <c r="AF7572" s="1">
        <v>36770</v>
      </c>
      <c r="AG7572" t="s">
        <v>8645</v>
      </c>
      <c r="AH7572" t="s">
        <v>8646</v>
      </c>
      <c r="AI7572" t="str">
        <f>"9320030"</f>
        <v>9320030</v>
      </c>
      <c r="AJ7572" t="s">
        <v>11928</v>
      </c>
      <c r="AK7572">
        <v>2842093264</v>
      </c>
      <c r="AL7572" t="s">
        <v>11929</v>
      </c>
      <c r="AM7572" t="s">
        <v>4513</v>
      </c>
      <c r="AN7572" t="s">
        <v>4519</v>
      </c>
      <c r="AO7572" t="s">
        <v>4519</v>
      </c>
      <c r="AP7572" t="s">
        <v>11930</v>
      </c>
      <c r="AQ7572">
        <v>5</v>
      </c>
      <c r="AR7572" t="s">
        <v>5177</v>
      </c>
      <c r="AS7572" t="s">
        <v>5178</v>
      </c>
      <c r="AT7572" t="s">
        <v>58</v>
      </c>
      <c r="AU7572" t="s">
        <v>68</v>
      </c>
      <c r="AV7572" t="s">
        <v>69</v>
      </c>
      <c r="AW7572" s="1">
        <v>25502</v>
      </c>
      <c r="AX7572">
        <v>1</v>
      </c>
    </row>
    <row r="7573" spans="1:50">
      <c r="B7573" t="str">
        <f>"110271880"</f>
        <v>110271880</v>
      </c>
      <c r="C7573" t="s">
        <v>105</v>
      </c>
      <c r="D7573" t="s">
        <v>11931</v>
      </c>
      <c r="E7573" t="s">
        <v>3018</v>
      </c>
      <c r="F7573" t="s">
        <v>95</v>
      </c>
      <c r="G7573" t="s">
        <v>255</v>
      </c>
      <c r="H7573" t="str">
        <f>"ΙΑΤΡΟΥ ΠΑΠΑΓΕΩΡΓΙΟΥ 25 "</f>
        <v xml:space="preserve">ΙΑΤΡΟΥ ΠΑΠΑΓΕΩΡΓΙΟΥ 25 </v>
      </c>
      <c r="I7573">
        <v>72200</v>
      </c>
      <c r="J7573">
        <v>2842025797</v>
      </c>
      <c r="K7573">
        <v>6977024803</v>
      </c>
      <c r="N7573" t="s">
        <v>204</v>
      </c>
      <c r="O7573" t="s">
        <v>205</v>
      </c>
      <c r="R7573" t="s">
        <v>159</v>
      </c>
      <c r="S7573">
        <v>3</v>
      </c>
      <c r="T7573" t="s">
        <v>8675</v>
      </c>
      <c r="U7573" s="1">
        <v>43348</v>
      </c>
      <c r="V7573" t="s">
        <v>5177</v>
      </c>
      <c r="W7573" t="s">
        <v>5178</v>
      </c>
      <c r="X7573" t="s">
        <v>58</v>
      </c>
      <c r="Y7573">
        <v>24</v>
      </c>
      <c r="Z7573" t="s">
        <v>59</v>
      </c>
      <c r="AA7573" t="s">
        <v>59</v>
      </c>
      <c r="AB7573" t="s">
        <v>59</v>
      </c>
      <c r="AC7573" t="s">
        <v>59</v>
      </c>
      <c r="AD7573" t="s">
        <v>59</v>
      </c>
      <c r="AF7573" s="1">
        <v>43348</v>
      </c>
      <c r="AG7573" t="s">
        <v>8645</v>
      </c>
      <c r="AH7573" t="s">
        <v>8646</v>
      </c>
      <c r="AI7573" t="str">
        <f>"9320003"</f>
        <v>9320003</v>
      </c>
      <c r="AJ7573" t="s">
        <v>11886</v>
      </c>
      <c r="AK7573">
        <v>2842089830</v>
      </c>
      <c r="AL7573" t="s">
        <v>11887</v>
      </c>
      <c r="AM7573" t="s">
        <v>4513</v>
      </c>
      <c r="AN7573" t="s">
        <v>4519</v>
      </c>
      <c r="AO7573" t="s">
        <v>4519</v>
      </c>
      <c r="AP7573" t="s">
        <v>4519</v>
      </c>
      <c r="AQ7573">
        <v>4</v>
      </c>
      <c r="AR7573" t="s">
        <v>5177</v>
      </c>
      <c r="AS7573" t="s">
        <v>5178</v>
      </c>
      <c r="AT7573" t="s">
        <v>58</v>
      </c>
      <c r="AU7573" t="s">
        <v>8673</v>
      </c>
      <c r="AV7573" t="s">
        <v>132</v>
      </c>
      <c r="AW7573" s="1">
        <v>30006</v>
      </c>
      <c r="AX7573">
        <v>1</v>
      </c>
    </row>
    <row r="7574" spans="1:50">
      <c r="B7574" t="str">
        <f>"110356980"</f>
        <v>110356980</v>
      </c>
      <c r="C7574" t="s">
        <v>50</v>
      </c>
      <c r="D7574" t="s">
        <v>413</v>
      </c>
      <c r="E7574" t="s">
        <v>255</v>
      </c>
      <c r="F7574" t="s">
        <v>99</v>
      </c>
      <c r="G7574" t="s">
        <v>52</v>
      </c>
      <c r="H7574" t="str">
        <f>"ΞΕΡΟΚΑΜΑΡΕΣ "</f>
        <v xml:space="preserve">ΞΕΡΟΚΑΜΑΡΕΣ </v>
      </c>
      <c r="I7574">
        <v>72300</v>
      </c>
      <c r="J7574">
        <v>2843026439</v>
      </c>
      <c r="K7574">
        <v>6976782079</v>
      </c>
      <c r="N7574" t="s">
        <v>1525</v>
      </c>
      <c r="O7574" t="s">
        <v>1526</v>
      </c>
      <c r="R7574" t="s">
        <v>159</v>
      </c>
      <c r="S7574">
        <v>4</v>
      </c>
      <c r="T7574" t="s">
        <v>8670</v>
      </c>
      <c r="U7574" s="1">
        <v>43348</v>
      </c>
      <c r="V7574" t="s">
        <v>5177</v>
      </c>
      <c r="W7574" t="s">
        <v>5178</v>
      </c>
      <c r="X7574" t="s">
        <v>58</v>
      </c>
      <c r="Y7574">
        <v>25</v>
      </c>
      <c r="Z7574" t="s">
        <v>59</v>
      </c>
      <c r="AA7574" t="s">
        <v>59</v>
      </c>
      <c r="AB7574" t="s">
        <v>59</v>
      </c>
      <c r="AC7574" t="s">
        <v>59</v>
      </c>
      <c r="AD7574" t="s">
        <v>59</v>
      </c>
      <c r="AF7574" s="1">
        <v>43348</v>
      </c>
      <c r="AG7574" t="s">
        <v>8651</v>
      </c>
      <c r="AH7574" t="s">
        <v>8652</v>
      </c>
      <c r="AI7574" t="str">
        <f>"9320147"</f>
        <v>9320147</v>
      </c>
      <c r="AJ7574" t="s">
        <v>11932</v>
      </c>
      <c r="AK7574">
        <v>2843023474</v>
      </c>
      <c r="AL7574" t="s">
        <v>11933</v>
      </c>
      <c r="AM7574" t="s">
        <v>4513</v>
      </c>
      <c r="AN7574" t="s">
        <v>4540</v>
      </c>
      <c r="AO7574" t="s">
        <v>4540</v>
      </c>
      <c r="AP7574" t="s">
        <v>4540</v>
      </c>
      <c r="AQ7574">
        <v>8</v>
      </c>
      <c r="AR7574" t="s">
        <v>5177</v>
      </c>
      <c r="AS7574" t="s">
        <v>5178</v>
      </c>
      <c r="AT7574" t="s">
        <v>58</v>
      </c>
      <c r="AU7574" t="s">
        <v>8673</v>
      </c>
      <c r="AV7574" t="s">
        <v>132</v>
      </c>
      <c r="AW7574" s="1">
        <v>27529</v>
      </c>
      <c r="AX7574">
        <v>1</v>
      </c>
    </row>
    <row r="7575" spans="1:50">
      <c r="A7575">
        <v>621762</v>
      </c>
      <c r="B7575" t="str">
        <f>"125277266"</f>
        <v>125277266</v>
      </c>
      <c r="C7575" t="s">
        <v>105</v>
      </c>
      <c r="D7575" t="s">
        <v>430</v>
      </c>
      <c r="E7575" t="s">
        <v>900</v>
      </c>
      <c r="F7575" t="s">
        <v>53</v>
      </c>
      <c r="G7575" t="s">
        <v>52</v>
      </c>
      <c r="H7575" t="str">
        <f>"Ιδομενέως 0 ΣΗΤΕΙΑ"</f>
        <v>Ιδομενέως 0 ΣΗΤΕΙΑ</v>
      </c>
      <c r="I7575">
        <v>72300</v>
      </c>
      <c r="J7575">
        <v>2843025190</v>
      </c>
      <c r="K7575">
        <v>6976970367</v>
      </c>
      <c r="M7575" t="s">
        <v>11934</v>
      </c>
      <c r="N7575" t="s">
        <v>615</v>
      </c>
      <c r="O7575" t="s">
        <v>616</v>
      </c>
      <c r="R7575" t="s">
        <v>57</v>
      </c>
      <c r="S7575">
        <v>4</v>
      </c>
      <c r="T7575">
        <v>653</v>
      </c>
      <c r="U7575" s="1">
        <v>40043</v>
      </c>
      <c r="V7575" t="s">
        <v>5177</v>
      </c>
      <c r="W7575" t="s">
        <v>5178</v>
      </c>
      <c r="X7575" t="s">
        <v>58</v>
      </c>
      <c r="Y7575">
        <v>23</v>
      </c>
      <c r="Z7575" t="s">
        <v>59</v>
      </c>
      <c r="AA7575" t="s">
        <v>59</v>
      </c>
      <c r="AB7575" t="s">
        <v>59</v>
      </c>
      <c r="AC7575" t="s">
        <v>59</v>
      </c>
      <c r="AD7575" t="s">
        <v>59</v>
      </c>
      <c r="AF7575" s="1">
        <v>40043</v>
      </c>
      <c r="AG7575" t="s">
        <v>8645</v>
      </c>
      <c r="AH7575" t="s">
        <v>8646</v>
      </c>
      <c r="AI7575" t="str">
        <f>"9320115"</f>
        <v>9320115</v>
      </c>
      <c r="AJ7575" t="s">
        <v>11935</v>
      </c>
      <c r="AK7575">
        <v>2843061213</v>
      </c>
      <c r="AL7575" t="s">
        <v>11936</v>
      </c>
      <c r="AM7575" t="s">
        <v>4513</v>
      </c>
      <c r="AN7575" t="s">
        <v>4540</v>
      </c>
      <c r="AO7575" t="s">
        <v>4700</v>
      </c>
      <c r="AP7575" t="s">
        <v>4701</v>
      </c>
      <c r="AQ7575">
        <v>9</v>
      </c>
      <c r="AR7575" t="s">
        <v>5177</v>
      </c>
      <c r="AS7575" t="s">
        <v>5178</v>
      </c>
      <c r="AT7575" t="s">
        <v>58</v>
      </c>
      <c r="AU7575" t="s">
        <v>68</v>
      </c>
      <c r="AV7575" t="s">
        <v>69</v>
      </c>
      <c r="AW7575" s="1">
        <v>31226</v>
      </c>
      <c r="AX7575">
        <v>1</v>
      </c>
    </row>
    <row r="7576" spans="1:50">
      <c r="A7576">
        <v>610907</v>
      </c>
      <c r="B7576" t="str">
        <f>"301959345"</f>
        <v>301959345</v>
      </c>
      <c r="C7576" t="s">
        <v>105</v>
      </c>
      <c r="D7576" t="s">
        <v>430</v>
      </c>
      <c r="E7576" t="s">
        <v>108</v>
      </c>
      <c r="F7576" t="s">
        <v>72</v>
      </c>
      <c r="G7576" t="s">
        <v>103</v>
      </c>
      <c r="H7576" t="str">
        <f>"Γ. ΔΙΑΛΥΝΑ 36 ΝΕΑΠΟΛΗ"</f>
        <v>Γ. ΔΙΑΛΥΝΑ 36 ΝΕΑΠΟΛΗ</v>
      </c>
      <c r="I7576">
        <v>72400</v>
      </c>
      <c r="J7576">
        <v>2841031436</v>
      </c>
      <c r="K7576">
        <v>6976786121</v>
      </c>
      <c r="N7576" t="s">
        <v>615</v>
      </c>
      <c r="O7576" t="s">
        <v>616</v>
      </c>
      <c r="R7576" t="s">
        <v>57</v>
      </c>
      <c r="S7576">
        <v>8</v>
      </c>
      <c r="T7576">
        <v>233</v>
      </c>
      <c r="U7576" s="1">
        <v>38960</v>
      </c>
      <c r="V7576" t="s">
        <v>5177</v>
      </c>
      <c r="W7576" t="s">
        <v>5178</v>
      </c>
      <c r="X7576" t="s">
        <v>58</v>
      </c>
      <c r="Y7576">
        <v>23</v>
      </c>
      <c r="Z7576" t="s">
        <v>59</v>
      </c>
      <c r="AA7576" t="s">
        <v>59</v>
      </c>
      <c r="AB7576" t="s">
        <v>59</v>
      </c>
      <c r="AC7576" t="s">
        <v>59</v>
      </c>
      <c r="AD7576" t="s">
        <v>59</v>
      </c>
      <c r="AF7576" s="1">
        <v>39328</v>
      </c>
      <c r="AG7576" t="s">
        <v>8645</v>
      </c>
      <c r="AH7576" t="s">
        <v>8646</v>
      </c>
      <c r="AI7576" t="str">
        <f>"9320055"</f>
        <v>9320055</v>
      </c>
      <c r="AJ7576" t="s">
        <v>11937</v>
      </c>
      <c r="AK7576">
        <v>2841022326</v>
      </c>
      <c r="AL7576" t="s">
        <v>11938</v>
      </c>
      <c r="AM7576" t="s">
        <v>4513</v>
      </c>
      <c r="AN7576" t="s">
        <v>4514</v>
      </c>
      <c r="AO7576" t="s">
        <v>4514</v>
      </c>
      <c r="AP7576" t="s">
        <v>4514</v>
      </c>
      <c r="AQ7576">
        <v>1</v>
      </c>
      <c r="AR7576" t="s">
        <v>5177</v>
      </c>
      <c r="AS7576" t="s">
        <v>5178</v>
      </c>
      <c r="AT7576" t="s">
        <v>58</v>
      </c>
      <c r="AU7576" t="s">
        <v>68</v>
      </c>
      <c r="AV7576" t="s">
        <v>69</v>
      </c>
      <c r="AW7576" s="1">
        <v>30220</v>
      </c>
      <c r="AX7576">
        <v>1</v>
      </c>
    </row>
    <row r="7577" spans="1:50">
      <c r="B7577" t="str">
        <f>"143797175"</f>
        <v>143797175</v>
      </c>
      <c r="C7577" t="s">
        <v>50</v>
      </c>
      <c r="D7577" t="s">
        <v>11939</v>
      </c>
      <c r="E7577" t="s">
        <v>112</v>
      </c>
      <c r="F7577" t="s">
        <v>900</v>
      </c>
      <c r="G7577" t="s">
        <v>955</v>
      </c>
      <c r="H7577" t="str">
        <f>"ΠΑΝΤΕΛΗ ΚΟΣΜΙΔΗ 4Β "</f>
        <v xml:space="preserve">ΠΑΝΤΕΛΗ ΚΟΣΜΙΔΗ 4Β </v>
      </c>
      <c r="I7577">
        <v>54453</v>
      </c>
      <c r="J7577">
        <v>2310947055</v>
      </c>
      <c r="K7577">
        <v>6972127559</v>
      </c>
      <c r="N7577" t="s">
        <v>1525</v>
      </c>
      <c r="O7577" t="s">
        <v>1526</v>
      </c>
      <c r="R7577" t="s">
        <v>159</v>
      </c>
      <c r="S7577">
        <v>2</v>
      </c>
      <c r="T7577" t="s">
        <v>8670</v>
      </c>
      <c r="U7577" s="1">
        <v>43348</v>
      </c>
      <c r="V7577" t="s">
        <v>5177</v>
      </c>
      <c r="W7577" t="s">
        <v>5178</v>
      </c>
      <c r="X7577" t="s">
        <v>58</v>
      </c>
      <c r="Y7577">
        <v>25</v>
      </c>
      <c r="Z7577" t="s">
        <v>59</v>
      </c>
      <c r="AA7577" t="s">
        <v>59</v>
      </c>
      <c r="AB7577" t="s">
        <v>59</v>
      </c>
      <c r="AC7577" t="s">
        <v>59</v>
      </c>
      <c r="AD7577" t="s">
        <v>59</v>
      </c>
      <c r="AF7577" s="1">
        <v>43348</v>
      </c>
      <c r="AG7577" t="s">
        <v>8651</v>
      </c>
      <c r="AH7577" t="s">
        <v>8652</v>
      </c>
      <c r="AI7577" t="str">
        <f>"9320146"</f>
        <v>9320146</v>
      </c>
      <c r="AJ7577" t="s">
        <v>11900</v>
      </c>
      <c r="AK7577">
        <v>2842024440</v>
      </c>
      <c r="AL7577" t="s">
        <v>11901</v>
      </c>
      <c r="AM7577" t="s">
        <v>4513</v>
      </c>
      <c r="AN7577" t="s">
        <v>4519</v>
      </c>
      <c r="AO7577" t="s">
        <v>4519</v>
      </c>
      <c r="AP7577" t="s">
        <v>4519</v>
      </c>
      <c r="AQ7577">
        <v>4</v>
      </c>
      <c r="AR7577" t="s">
        <v>5177</v>
      </c>
      <c r="AS7577" t="s">
        <v>5178</v>
      </c>
      <c r="AT7577" t="s">
        <v>58</v>
      </c>
      <c r="AU7577" t="s">
        <v>8673</v>
      </c>
      <c r="AV7577" t="s">
        <v>132</v>
      </c>
      <c r="AW7577" s="1">
        <v>31534</v>
      </c>
      <c r="AX7577">
        <v>1</v>
      </c>
    </row>
    <row r="7578" spans="1:50">
      <c r="B7578" t="str">
        <f>"151864550"</f>
        <v>151864550</v>
      </c>
      <c r="C7578" t="s">
        <v>105</v>
      </c>
      <c r="D7578" t="s">
        <v>11940</v>
      </c>
      <c r="E7578" t="s">
        <v>84</v>
      </c>
      <c r="F7578" t="s">
        <v>53</v>
      </c>
      <c r="G7578" t="s">
        <v>11941</v>
      </c>
      <c r="H7578" t="str">
        <f>"Κουμουνδούρου 18 Τρίκαλα"</f>
        <v>Κουμουνδούρου 18 Τρίκαλα</v>
      </c>
      <c r="I7578">
        <v>42100</v>
      </c>
      <c r="J7578">
        <v>2431030659</v>
      </c>
      <c r="K7578">
        <v>6986170423</v>
      </c>
      <c r="N7578" t="s">
        <v>615</v>
      </c>
      <c r="O7578" t="s">
        <v>616</v>
      </c>
      <c r="R7578" t="s">
        <v>159</v>
      </c>
      <c r="S7578">
        <v>2</v>
      </c>
      <c r="T7578" t="s">
        <v>8675</v>
      </c>
      <c r="U7578" s="1">
        <v>43348</v>
      </c>
      <c r="V7578" t="s">
        <v>5177</v>
      </c>
      <c r="W7578" t="s">
        <v>5178</v>
      </c>
      <c r="X7578" t="s">
        <v>58</v>
      </c>
      <c r="Y7578">
        <v>24</v>
      </c>
      <c r="Z7578" t="s">
        <v>59</v>
      </c>
      <c r="AA7578" t="s">
        <v>59</v>
      </c>
      <c r="AB7578" t="s">
        <v>59</v>
      </c>
      <c r="AC7578" t="s">
        <v>59</v>
      </c>
      <c r="AD7578" t="s">
        <v>59</v>
      </c>
      <c r="AF7578" s="1">
        <v>43348</v>
      </c>
      <c r="AG7578" t="s">
        <v>8645</v>
      </c>
      <c r="AH7578" t="s">
        <v>8646</v>
      </c>
      <c r="AI7578" t="str">
        <f>"9320042"</f>
        <v>9320042</v>
      </c>
      <c r="AJ7578" t="s">
        <v>11942</v>
      </c>
      <c r="AK7578">
        <v>2844031250</v>
      </c>
      <c r="AL7578" t="s">
        <v>11943</v>
      </c>
      <c r="AM7578" t="s">
        <v>4513</v>
      </c>
      <c r="AN7578" t="s">
        <v>4592</v>
      </c>
      <c r="AO7578" t="s">
        <v>4592</v>
      </c>
      <c r="AP7578" t="s">
        <v>11944</v>
      </c>
      <c r="AQ7578">
        <v>3</v>
      </c>
      <c r="AR7578" t="s">
        <v>5177</v>
      </c>
      <c r="AS7578" t="s">
        <v>5178</v>
      </c>
      <c r="AT7578" t="s">
        <v>58</v>
      </c>
      <c r="AU7578" t="s">
        <v>8673</v>
      </c>
      <c r="AV7578" t="s">
        <v>132</v>
      </c>
      <c r="AW7578" s="1">
        <v>32338</v>
      </c>
      <c r="AX7578">
        <v>1</v>
      </c>
    </row>
    <row r="7579" spans="1:50">
      <c r="A7579">
        <v>581621</v>
      </c>
      <c r="B7579" t="str">
        <f>"037496438"</f>
        <v>037496438</v>
      </c>
      <c r="C7579" t="s">
        <v>50</v>
      </c>
      <c r="D7579" t="s">
        <v>11945</v>
      </c>
      <c r="E7579" t="s">
        <v>52</v>
      </c>
      <c r="F7579" t="s">
        <v>95</v>
      </c>
      <c r="G7579" t="s">
        <v>610</v>
      </c>
      <c r="H7579" t="str">
        <f>"ΕΙΣΟΔΟΣ ΞΗΡΟΚΑΜΠΟΥ ΑΓΙΟΣ ΝΙΚΟΛΑΟΣ"</f>
        <v>ΕΙΣΟΔΟΣ ΞΗΡΟΚΑΜΠΟΥ ΑΓΙΟΣ ΝΙΚΟΛΑΟΣ</v>
      </c>
      <c r="I7579">
        <v>72100</v>
      </c>
      <c r="J7579">
        <v>2841026630</v>
      </c>
      <c r="K7579">
        <v>6949478257</v>
      </c>
      <c r="N7579" t="s">
        <v>615</v>
      </c>
      <c r="O7579" t="s">
        <v>616</v>
      </c>
      <c r="R7579" t="s">
        <v>57</v>
      </c>
      <c r="S7579">
        <v>11</v>
      </c>
      <c r="T7579">
        <v>179</v>
      </c>
      <c r="U7579" s="1">
        <v>35674</v>
      </c>
      <c r="V7579" t="s">
        <v>5177</v>
      </c>
      <c r="W7579" t="s">
        <v>5178</v>
      </c>
      <c r="X7579" t="s">
        <v>58</v>
      </c>
      <c r="Y7579">
        <v>21</v>
      </c>
      <c r="Z7579" t="s">
        <v>59</v>
      </c>
      <c r="AA7579" t="s">
        <v>59</v>
      </c>
      <c r="AB7579" t="s">
        <v>59</v>
      </c>
      <c r="AC7579" t="s">
        <v>59</v>
      </c>
      <c r="AD7579" t="s">
        <v>59</v>
      </c>
      <c r="AF7579" s="1">
        <v>35677</v>
      </c>
      <c r="AG7579" t="s">
        <v>8645</v>
      </c>
      <c r="AH7579" t="s">
        <v>8646</v>
      </c>
      <c r="AI7579" t="str">
        <f>"9320058"</f>
        <v>9320058</v>
      </c>
      <c r="AJ7579" t="s">
        <v>11893</v>
      </c>
      <c r="AK7579">
        <v>2841022496</v>
      </c>
      <c r="AL7579" t="s">
        <v>11894</v>
      </c>
      <c r="AM7579" t="s">
        <v>4513</v>
      </c>
      <c r="AN7579" t="s">
        <v>4514</v>
      </c>
      <c r="AO7579" t="s">
        <v>4514</v>
      </c>
      <c r="AP7579" t="s">
        <v>4514</v>
      </c>
      <c r="AQ7579">
        <v>1</v>
      </c>
      <c r="AR7579" t="s">
        <v>5177</v>
      </c>
      <c r="AS7579" t="s">
        <v>5178</v>
      </c>
      <c r="AT7579" t="s">
        <v>58</v>
      </c>
      <c r="AU7579" t="s">
        <v>68</v>
      </c>
      <c r="AV7579" t="s">
        <v>69</v>
      </c>
      <c r="AW7579" s="1">
        <v>23160</v>
      </c>
      <c r="AX7579">
        <v>1</v>
      </c>
    </row>
    <row r="7580" spans="1:50">
      <c r="A7580">
        <v>560876</v>
      </c>
      <c r="B7580" t="str">
        <f>"032498873"</f>
        <v>032498873</v>
      </c>
      <c r="C7580" t="s">
        <v>50</v>
      </c>
      <c r="D7580" t="s">
        <v>458</v>
      </c>
      <c r="E7580" t="s">
        <v>11946</v>
      </c>
      <c r="F7580" t="s">
        <v>315</v>
      </c>
      <c r="G7580" t="s">
        <v>2088</v>
      </c>
      <c r="H7580" t="str">
        <f>"ΔΑΜΑΣΚΗΝΟΥ 40 ΡΟΔΟΣ"</f>
        <v>ΔΑΜΑΣΚΗΝΟΥ 40 ΡΟΔΟΣ</v>
      </c>
      <c r="I7580">
        <v>85100</v>
      </c>
      <c r="K7580">
        <v>6958458798</v>
      </c>
      <c r="N7580" t="s">
        <v>615</v>
      </c>
      <c r="O7580" t="s">
        <v>616</v>
      </c>
      <c r="R7580" t="s">
        <v>57</v>
      </c>
      <c r="S7580">
        <v>15</v>
      </c>
      <c r="T7580">
        <v>159</v>
      </c>
      <c r="U7580" s="1">
        <v>32385</v>
      </c>
      <c r="V7580" t="s">
        <v>5177</v>
      </c>
      <c r="W7580" t="s">
        <v>5178</v>
      </c>
      <c r="X7580" t="s">
        <v>58</v>
      </c>
      <c r="Y7580">
        <v>21</v>
      </c>
      <c r="Z7580" t="s">
        <v>59</v>
      </c>
      <c r="AA7580" t="s">
        <v>59</v>
      </c>
      <c r="AB7580" t="s">
        <v>59</v>
      </c>
      <c r="AC7580" t="s">
        <v>59</v>
      </c>
      <c r="AD7580" t="s">
        <v>59</v>
      </c>
      <c r="AF7580" s="1">
        <v>32388</v>
      </c>
      <c r="AG7580" t="s">
        <v>8645</v>
      </c>
      <c r="AH7580" t="s">
        <v>8646</v>
      </c>
      <c r="AI7580" t="str">
        <f>"9521420"</f>
        <v>9521420</v>
      </c>
      <c r="AJ7580" t="s">
        <v>11947</v>
      </c>
      <c r="AK7580">
        <v>2841021022</v>
      </c>
      <c r="AL7580" t="s">
        <v>11948</v>
      </c>
      <c r="AM7580" t="s">
        <v>4513</v>
      </c>
      <c r="AN7580" t="s">
        <v>4514</v>
      </c>
      <c r="AO7580" t="s">
        <v>4514</v>
      </c>
      <c r="AP7580" t="s">
        <v>4514</v>
      </c>
      <c r="AQ7580">
        <v>1</v>
      </c>
      <c r="AR7580" t="s">
        <v>5177</v>
      </c>
      <c r="AS7580" t="s">
        <v>5178</v>
      </c>
      <c r="AT7580" t="s">
        <v>58</v>
      </c>
      <c r="AU7580" t="s">
        <v>68</v>
      </c>
      <c r="AV7580" t="s">
        <v>69</v>
      </c>
      <c r="AW7580" s="1">
        <v>21765</v>
      </c>
      <c r="AX7580">
        <v>1</v>
      </c>
    </row>
    <row r="7581" spans="1:50">
      <c r="A7581">
        <v>622054</v>
      </c>
      <c r="B7581" t="str">
        <f>"125327378"</f>
        <v>125327378</v>
      </c>
      <c r="C7581" t="s">
        <v>50</v>
      </c>
      <c r="D7581" t="s">
        <v>467</v>
      </c>
      <c r="E7581" t="s">
        <v>610</v>
      </c>
      <c r="F7581" t="s">
        <v>72</v>
      </c>
      <c r="G7581" t="s">
        <v>340</v>
      </c>
      <c r="H7581" t="str">
        <f>"Δ. ΚΡΟΚΟΥ 18 ΠΡΕΒΕΖΑ"</f>
        <v>Δ. ΚΡΟΚΟΥ 18 ΠΡΕΒΕΖΑ</v>
      </c>
      <c r="I7581">
        <v>48100</v>
      </c>
      <c r="J7581">
        <v>2682028442</v>
      </c>
      <c r="K7581">
        <v>6979066389</v>
      </c>
      <c r="M7581" t="s">
        <v>11949</v>
      </c>
      <c r="N7581" t="s">
        <v>615</v>
      </c>
      <c r="O7581" t="s">
        <v>616</v>
      </c>
      <c r="R7581" t="s">
        <v>57</v>
      </c>
      <c r="S7581">
        <v>5</v>
      </c>
      <c r="T7581">
        <v>653</v>
      </c>
      <c r="U7581" s="1">
        <v>40043</v>
      </c>
      <c r="V7581" t="s">
        <v>5177</v>
      </c>
      <c r="W7581" t="s">
        <v>5178</v>
      </c>
      <c r="X7581" t="s">
        <v>58</v>
      </c>
      <c r="Y7581">
        <v>23</v>
      </c>
      <c r="Z7581" t="s">
        <v>59</v>
      </c>
      <c r="AA7581" t="s">
        <v>59</v>
      </c>
      <c r="AB7581" t="s">
        <v>59</v>
      </c>
      <c r="AC7581" t="s">
        <v>59</v>
      </c>
      <c r="AD7581" t="s">
        <v>59</v>
      </c>
      <c r="AF7581" s="1">
        <v>40044</v>
      </c>
      <c r="AG7581" t="s">
        <v>8645</v>
      </c>
      <c r="AH7581" t="s">
        <v>8646</v>
      </c>
      <c r="AI7581" t="str">
        <f>"9320121"</f>
        <v>9320121</v>
      </c>
      <c r="AJ7581" t="s">
        <v>11906</v>
      </c>
      <c r="AK7581">
        <v>2843022036</v>
      </c>
      <c r="AL7581" t="s">
        <v>11907</v>
      </c>
      <c r="AM7581" t="s">
        <v>4513</v>
      </c>
      <c r="AN7581" t="s">
        <v>4540</v>
      </c>
      <c r="AO7581" t="s">
        <v>4540</v>
      </c>
      <c r="AP7581" t="s">
        <v>11908</v>
      </c>
      <c r="AQ7581">
        <v>8</v>
      </c>
      <c r="AR7581" t="s">
        <v>5177</v>
      </c>
      <c r="AS7581" t="s">
        <v>5178</v>
      </c>
      <c r="AT7581" t="s">
        <v>58</v>
      </c>
      <c r="AU7581" t="s">
        <v>68</v>
      </c>
      <c r="AV7581" t="s">
        <v>69</v>
      </c>
      <c r="AW7581" s="1">
        <v>31494</v>
      </c>
      <c r="AX7581">
        <v>1</v>
      </c>
    </row>
    <row r="7582" spans="1:50">
      <c r="B7582" t="str">
        <f>"130756179"</f>
        <v>130756179</v>
      </c>
      <c r="C7582" t="s">
        <v>50</v>
      </c>
      <c r="D7582" t="s">
        <v>475</v>
      </c>
      <c r="E7582" t="s">
        <v>11950</v>
      </c>
      <c r="F7582" t="s">
        <v>670</v>
      </c>
      <c r="G7582" t="s">
        <v>11951</v>
      </c>
      <c r="H7582" t="str">
        <f>"ΘΕΟΦΙΛΟΥ 4Α "</f>
        <v xml:space="preserve">ΘΕΟΦΙΛΟΥ 4Α </v>
      </c>
      <c r="I7582">
        <v>59100</v>
      </c>
      <c r="J7582">
        <v>2331063218</v>
      </c>
      <c r="K7582">
        <v>6978592550</v>
      </c>
      <c r="N7582" t="s">
        <v>615</v>
      </c>
      <c r="O7582" t="s">
        <v>616</v>
      </c>
      <c r="R7582" t="s">
        <v>159</v>
      </c>
      <c r="S7582">
        <v>2</v>
      </c>
      <c r="T7582" t="s">
        <v>8675</v>
      </c>
      <c r="U7582" s="1">
        <v>43348</v>
      </c>
      <c r="V7582" t="s">
        <v>5177</v>
      </c>
      <c r="W7582" t="s">
        <v>5178</v>
      </c>
      <c r="X7582" t="s">
        <v>58</v>
      </c>
      <c r="Y7582">
        <v>24</v>
      </c>
      <c r="Z7582" t="s">
        <v>59</v>
      </c>
      <c r="AA7582" t="s">
        <v>59</v>
      </c>
      <c r="AB7582" t="s">
        <v>59</v>
      </c>
      <c r="AC7582" t="s">
        <v>59</v>
      </c>
      <c r="AD7582" t="s">
        <v>59</v>
      </c>
      <c r="AF7582" s="1">
        <v>43348</v>
      </c>
      <c r="AG7582" t="s">
        <v>8645</v>
      </c>
      <c r="AH7582" t="s">
        <v>8646</v>
      </c>
      <c r="AI7582" t="str">
        <f>"9320079"</f>
        <v>9320079</v>
      </c>
      <c r="AJ7582" t="s">
        <v>11952</v>
      </c>
      <c r="AK7582">
        <v>2841051211</v>
      </c>
      <c r="AL7582" t="s">
        <v>11953</v>
      </c>
      <c r="AM7582" t="s">
        <v>4513</v>
      </c>
      <c r="AN7582" t="s">
        <v>4514</v>
      </c>
      <c r="AO7582" t="s">
        <v>4514</v>
      </c>
      <c r="AP7582" t="s">
        <v>4757</v>
      </c>
      <c r="AQ7582">
        <v>2</v>
      </c>
      <c r="AR7582" t="s">
        <v>5177</v>
      </c>
      <c r="AS7582" t="s">
        <v>5178</v>
      </c>
      <c r="AT7582" t="s">
        <v>58</v>
      </c>
      <c r="AU7582" t="s">
        <v>8673</v>
      </c>
      <c r="AV7582" t="s">
        <v>132</v>
      </c>
      <c r="AW7582" s="1">
        <v>31603</v>
      </c>
      <c r="AX7582">
        <v>1</v>
      </c>
    </row>
    <row r="7583" spans="1:50">
      <c r="B7583" t="str">
        <f>"147307772"</f>
        <v>147307772</v>
      </c>
      <c r="C7583" t="s">
        <v>105</v>
      </c>
      <c r="D7583" t="s">
        <v>8868</v>
      </c>
      <c r="E7583" t="s">
        <v>3049</v>
      </c>
      <c r="F7583" t="s">
        <v>383</v>
      </c>
      <c r="G7583" t="s">
        <v>396</v>
      </c>
      <c r="H7583" t="str">
        <f>"ΠΕΡΑΣΜΑ "</f>
        <v xml:space="preserve">ΠΕΡΑΣΜΑ </v>
      </c>
      <c r="I7583">
        <v>53100</v>
      </c>
      <c r="J7583">
        <v>2385030727</v>
      </c>
      <c r="K7583">
        <v>6976882708</v>
      </c>
      <c r="N7583" t="s">
        <v>615</v>
      </c>
      <c r="O7583" t="s">
        <v>616</v>
      </c>
      <c r="R7583" t="s">
        <v>159</v>
      </c>
      <c r="S7583">
        <v>2</v>
      </c>
      <c r="T7583" t="s">
        <v>8675</v>
      </c>
      <c r="U7583" s="1">
        <v>43348</v>
      </c>
      <c r="V7583" t="s">
        <v>5177</v>
      </c>
      <c r="W7583" t="s">
        <v>5178</v>
      </c>
      <c r="X7583" t="s">
        <v>58</v>
      </c>
      <c r="Y7583">
        <v>24</v>
      </c>
      <c r="Z7583" t="s">
        <v>59</v>
      </c>
      <c r="AA7583" t="s">
        <v>59</v>
      </c>
      <c r="AB7583" t="s">
        <v>59</v>
      </c>
      <c r="AC7583" t="s">
        <v>59</v>
      </c>
      <c r="AD7583" t="s">
        <v>59</v>
      </c>
      <c r="AF7583" s="1">
        <v>43348</v>
      </c>
      <c r="AG7583" t="s">
        <v>8645</v>
      </c>
      <c r="AH7583" t="s">
        <v>8646</v>
      </c>
      <c r="AI7583" t="str">
        <f>"9320001"</f>
        <v>9320001</v>
      </c>
      <c r="AJ7583" t="s">
        <v>11954</v>
      </c>
      <c r="AK7583">
        <v>2842022505</v>
      </c>
      <c r="AL7583" t="s">
        <v>11955</v>
      </c>
      <c r="AM7583" t="s">
        <v>4513</v>
      </c>
      <c r="AN7583" t="s">
        <v>4519</v>
      </c>
      <c r="AO7583" t="s">
        <v>4519</v>
      </c>
      <c r="AP7583" t="s">
        <v>4519</v>
      </c>
      <c r="AQ7583">
        <v>4</v>
      </c>
      <c r="AR7583" t="s">
        <v>5177</v>
      </c>
      <c r="AS7583" t="s">
        <v>5178</v>
      </c>
      <c r="AT7583" t="s">
        <v>58</v>
      </c>
      <c r="AU7583" t="s">
        <v>8673</v>
      </c>
      <c r="AV7583" t="s">
        <v>132</v>
      </c>
      <c r="AW7583" s="1">
        <v>32419</v>
      </c>
      <c r="AX7583">
        <v>1</v>
      </c>
    </row>
    <row r="7584" spans="1:50">
      <c r="A7584">
        <v>606515</v>
      </c>
      <c r="B7584" t="str">
        <f>"054970697"</f>
        <v>054970697</v>
      </c>
      <c r="C7584" t="s">
        <v>50</v>
      </c>
      <c r="D7584" t="s">
        <v>499</v>
      </c>
      <c r="E7584" t="s">
        <v>83</v>
      </c>
      <c r="F7584" t="s">
        <v>510</v>
      </c>
      <c r="G7584" t="s">
        <v>4573</v>
      </c>
      <c r="H7584" t="str">
        <f>"Ι. ΚΑΝΟΥΠΑΚΗ 6 ΙΕΡΑΠΕΤΡΑ"</f>
        <v>Ι. ΚΑΝΟΥΠΑΚΗ 6 ΙΕΡΑΠΕΤΡΑ</v>
      </c>
      <c r="I7584">
        <v>72200</v>
      </c>
      <c r="J7584">
        <v>2842080225</v>
      </c>
      <c r="K7584">
        <v>6932491636</v>
      </c>
      <c r="N7584" t="s">
        <v>306</v>
      </c>
      <c r="O7584" t="s">
        <v>307</v>
      </c>
      <c r="R7584" t="s">
        <v>57</v>
      </c>
      <c r="S7584">
        <v>8</v>
      </c>
      <c r="T7584">
        <v>231</v>
      </c>
      <c r="U7584" s="1">
        <v>38230</v>
      </c>
      <c r="V7584" t="s">
        <v>5177</v>
      </c>
      <c r="W7584" t="s">
        <v>5178</v>
      </c>
      <c r="X7584" t="s">
        <v>58</v>
      </c>
      <c r="Y7584">
        <v>22</v>
      </c>
      <c r="Z7584" t="s">
        <v>59</v>
      </c>
      <c r="AA7584" t="s">
        <v>59</v>
      </c>
      <c r="AB7584" t="s">
        <v>59</v>
      </c>
      <c r="AC7584" t="s">
        <v>59</v>
      </c>
      <c r="AD7584" t="s">
        <v>59</v>
      </c>
      <c r="AF7584" s="1">
        <v>38236</v>
      </c>
      <c r="AG7584" t="s">
        <v>8645</v>
      </c>
      <c r="AH7584" t="s">
        <v>8646</v>
      </c>
      <c r="AI7584" t="str">
        <f>"9320021"</f>
        <v>9320021</v>
      </c>
      <c r="AJ7584" t="s">
        <v>11956</v>
      </c>
      <c r="AK7584">
        <v>2842022557</v>
      </c>
      <c r="AL7584" t="s">
        <v>11957</v>
      </c>
      <c r="AM7584" t="s">
        <v>4513</v>
      </c>
      <c r="AN7584" t="s">
        <v>4519</v>
      </c>
      <c r="AO7584" t="s">
        <v>4519</v>
      </c>
      <c r="AP7584" t="s">
        <v>4519</v>
      </c>
      <c r="AQ7584">
        <v>5</v>
      </c>
      <c r="AR7584" t="s">
        <v>5177</v>
      </c>
      <c r="AS7584" t="s">
        <v>5178</v>
      </c>
      <c r="AT7584" t="s">
        <v>58</v>
      </c>
      <c r="AU7584" t="s">
        <v>68</v>
      </c>
      <c r="AV7584" t="s">
        <v>69</v>
      </c>
      <c r="AW7584" s="1">
        <v>24506</v>
      </c>
      <c r="AX7584">
        <v>1</v>
      </c>
    </row>
    <row r="7585" spans="1:50">
      <c r="A7585">
        <v>210419</v>
      </c>
      <c r="B7585" t="str">
        <f>"073570401"</f>
        <v>073570401</v>
      </c>
      <c r="C7585" t="s">
        <v>50</v>
      </c>
      <c r="D7585" t="s">
        <v>11958</v>
      </c>
      <c r="E7585" t="s">
        <v>221</v>
      </c>
      <c r="F7585" t="s">
        <v>84</v>
      </c>
      <c r="G7585" t="s">
        <v>589</v>
      </c>
      <c r="H7585" t="str">
        <f>"ΙΩΝΙΑΣ 16 ΣΗΤΕΙΑ"</f>
        <v>ΙΩΝΙΑΣ 16 ΣΗΤΕΙΑ</v>
      </c>
      <c r="J7585">
        <v>2310215995</v>
      </c>
      <c r="K7585">
        <v>6972316175</v>
      </c>
      <c r="N7585" t="s">
        <v>306</v>
      </c>
      <c r="O7585" t="s">
        <v>307</v>
      </c>
      <c r="R7585" t="s">
        <v>57</v>
      </c>
      <c r="S7585">
        <v>6</v>
      </c>
      <c r="T7585">
        <v>249</v>
      </c>
      <c r="U7585" s="1">
        <v>38617</v>
      </c>
      <c r="V7585" t="s">
        <v>5177</v>
      </c>
      <c r="W7585" t="s">
        <v>5178</v>
      </c>
      <c r="X7585" t="s">
        <v>58</v>
      </c>
      <c r="Y7585">
        <v>23</v>
      </c>
      <c r="Z7585" t="s">
        <v>59</v>
      </c>
      <c r="AA7585" t="s">
        <v>59</v>
      </c>
      <c r="AB7585" t="s">
        <v>59</v>
      </c>
      <c r="AC7585" t="s">
        <v>59</v>
      </c>
      <c r="AD7585" t="s">
        <v>59</v>
      </c>
      <c r="AF7585" s="1">
        <v>38621</v>
      </c>
      <c r="AG7585" t="s">
        <v>8645</v>
      </c>
      <c r="AH7585" t="s">
        <v>8646</v>
      </c>
      <c r="AI7585" t="str">
        <f>"9320009"</f>
        <v>9320009</v>
      </c>
      <c r="AJ7585" t="s">
        <v>11959</v>
      </c>
      <c r="AK7585">
        <v>2842061261</v>
      </c>
      <c r="AL7585" t="s">
        <v>11960</v>
      </c>
      <c r="AM7585" t="s">
        <v>4513</v>
      </c>
      <c r="AN7585" t="s">
        <v>4519</v>
      </c>
      <c r="AO7585" t="s">
        <v>4519</v>
      </c>
      <c r="AP7585" t="s">
        <v>11961</v>
      </c>
      <c r="AQ7585">
        <v>6</v>
      </c>
      <c r="AR7585" t="s">
        <v>5177</v>
      </c>
      <c r="AS7585" t="s">
        <v>5178</v>
      </c>
      <c r="AT7585" t="s">
        <v>58</v>
      </c>
      <c r="AU7585" t="s">
        <v>68</v>
      </c>
      <c r="AV7585" t="s">
        <v>69</v>
      </c>
      <c r="AW7585" s="1">
        <v>25677</v>
      </c>
      <c r="AX7585">
        <v>1</v>
      </c>
    </row>
    <row r="7586" spans="1:50">
      <c r="B7586" t="str">
        <f>"057924477"</f>
        <v>057924477</v>
      </c>
      <c r="C7586" t="s">
        <v>50</v>
      </c>
      <c r="D7586" t="s">
        <v>11962</v>
      </c>
      <c r="E7586" t="s">
        <v>250</v>
      </c>
      <c r="F7586" t="s">
        <v>53</v>
      </c>
      <c r="G7586" t="s">
        <v>541</v>
      </c>
      <c r="H7586" t="str">
        <f>"ΡΕΜΟΥΝΤΑΚΗ 3 ΣΗΤΕΙΑ ΚΡΗΤΗΣ"</f>
        <v>ΡΕΜΟΥΝΤΑΚΗ 3 ΣΗΤΕΙΑ ΚΡΗΤΗΣ</v>
      </c>
      <c r="I7586">
        <v>72300</v>
      </c>
      <c r="J7586">
        <v>2843022412</v>
      </c>
      <c r="K7586">
        <v>6944546786</v>
      </c>
      <c r="N7586" t="s">
        <v>478</v>
      </c>
      <c r="O7586" t="s">
        <v>479</v>
      </c>
      <c r="R7586" t="s">
        <v>159</v>
      </c>
      <c r="S7586">
        <v>2</v>
      </c>
      <c r="T7586" t="s">
        <v>8675</v>
      </c>
      <c r="U7586" s="1">
        <v>43348</v>
      </c>
      <c r="V7586" t="s">
        <v>5177</v>
      </c>
      <c r="W7586" t="s">
        <v>5178</v>
      </c>
      <c r="X7586" t="s">
        <v>58</v>
      </c>
      <c r="Y7586">
        <v>14</v>
      </c>
      <c r="Z7586" t="s">
        <v>59</v>
      </c>
      <c r="AA7586" t="s">
        <v>59</v>
      </c>
      <c r="AB7586" t="s">
        <v>59</v>
      </c>
      <c r="AC7586" t="s">
        <v>59</v>
      </c>
      <c r="AD7586" t="s">
        <v>59</v>
      </c>
      <c r="AF7586" s="1">
        <v>43348</v>
      </c>
      <c r="AG7586" t="s">
        <v>8645</v>
      </c>
      <c r="AH7586" t="s">
        <v>8646</v>
      </c>
      <c r="AI7586" t="str">
        <f>"9320205"</f>
        <v>9320205</v>
      </c>
      <c r="AJ7586" t="s">
        <v>11902</v>
      </c>
      <c r="AK7586">
        <v>2843024509</v>
      </c>
      <c r="AL7586" t="s">
        <v>11903</v>
      </c>
      <c r="AM7586" t="s">
        <v>4513</v>
      </c>
      <c r="AN7586" t="s">
        <v>4540</v>
      </c>
      <c r="AO7586" t="s">
        <v>4540</v>
      </c>
      <c r="AP7586" t="s">
        <v>4540</v>
      </c>
      <c r="AQ7586">
        <v>8</v>
      </c>
      <c r="AR7586" t="s">
        <v>5177</v>
      </c>
      <c r="AS7586" t="s">
        <v>5178</v>
      </c>
      <c r="AT7586" t="s">
        <v>58</v>
      </c>
      <c r="AU7586" t="s">
        <v>8686</v>
      </c>
      <c r="AV7586" t="s">
        <v>132</v>
      </c>
      <c r="AW7586" s="1">
        <v>26670</v>
      </c>
      <c r="AX7586">
        <v>1</v>
      </c>
    </row>
    <row r="7587" spans="1:50">
      <c r="A7587">
        <v>592066</v>
      </c>
      <c r="B7587" t="str">
        <f>"061716140"</f>
        <v>061716140</v>
      </c>
      <c r="C7587" t="s">
        <v>50</v>
      </c>
      <c r="D7587" t="s">
        <v>11963</v>
      </c>
      <c r="E7587" t="s">
        <v>215</v>
      </c>
      <c r="F7587" t="s">
        <v>166</v>
      </c>
      <c r="G7587" t="s">
        <v>181</v>
      </c>
      <c r="H7587" t="str">
        <f>"ΗΡΩΩΝ ΠΟΛΥΤΕΧΝΕΙΟΥ 10 ΙΕΡΑΠΕΤΡΑ"</f>
        <v>ΗΡΩΩΝ ΠΟΛΥΤΕΧΝΕΙΟΥ 10 ΙΕΡΑΠΕΤΡΑ</v>
      </c>
      <c r="I7587">
        <v>72200</v>
      </c>
      <c r="J7587">
        <v>2842022149</v>
      </c>
      <c r="K7587">
        <v>6974659226</v>
      </c>
      <c r="M7587" t="s">
        <v>11964</v>
      </c>
      <c r="N7587" t="s">
        <v>1525</v>
      </c>
      <c r="O7587" t="s">
        <v>1526</v>
      </c>
      <c r="R7587" t="s">
        <v>57</v>
      </c>
      <c r="S7587">
        <v>9</v>
      </c>
      <c r="T7587">
        <v>249</v>
      </c>
      <c r="U7587" s="1">
        <v>36769</v>
      </c>
      <c r="V7587" t="s">
        <v>5177</v>
      </c>
      <c r="W7587" t="s">
        <v>5178</v>
      </c>
      <c r="X7587" t="s">
        <v>58</v>
      </c>
      <c r="Y7587">
        <v>25</v>
      </c>
      <c r="Z7587" t="s">
        <v>59</v>
      </c>
      <c r="AA7587" t="s">
        <v>59</v>
      </c>
      <c r="AB7587" t="s">
        <v>59</v>
      </c>
      <c r="AC7587" t="s">
        <v>59</v>
      </c>
      <c r="AD7587" t="s">
        <v>59</v>
      </c>
      <c r="AF7587" s="1">
        <v>36770</v>
      </c>
      <c r="AG7587" t="s">
        <v>8651</v>
      </c>
      <c r="AH7587" t="s">
        <v>8652</v>
      </c>
      <c r="AI7587" t="str">
        <f>"9320211"</f>
        <v>9320211</v>
      </c>
      <c r="AJ7587" t="s">
        <v>11965</v>
      </c>
      <c r="AK7587">
        <v>2842024333</v>
      </c>
      <c r="AL7587" t="s">
        <v>11966</v>
      </c>
      <c r="AM7587" t="s">
        <v>4513</v>
      </c>
      <c r="AN7587" t="s">
        <v>4519</v>
      </c>
      <c r="AO7587" t="s">
        <v>4519</v>
      </c>
      <c r="AP7587" t="s">
        <v>4519</v>
      </c>
      <c r="AQ7587">
        <v>4</v>
      </c>
      <c r="AR7587" t="s">
        <v>5177</v>
      </c>
      <c r="AS7587" t="s">
        <v>5178</v>
      </c>
      <c r="AT7587" t="s">
        <v>58</v>
      </c>
      <c r="AU7587" t="s">
        <v>68</v>
      </c>
      <c r="AV7587" t="s">
        <v>69</v>
      </c>
      <c r="AW7587" s="1">
        <v>25019</v>
      </c>
      <c r="AX7587">
        <v>1</v>
      </c>
    </row>
    <row r="7588" spans="1:50">
      <c r="A7588">
        <v>585877</v>
      </c>
      <c r="B7588" t="str">
        <f>"046634708"</f>
        <v>046634708</v>
      </c>
      <c r="C7588" t="s">
        <v>50</v>
      </c>
      <c r="D7588" t="s">
        <v>523</v>
      </c>
      <c r="E7588" t="s">
        <v>83</v>
      </c>
      <c r="F7588" t="s">
        <v>106</v>
      </c>
      <c r="G7588" t="s">
        <v>52</v>
      </c>
      <c r="H7588" t="str">
        <f>"ΙΔΟΜΕΝΕΩΣ 13 ΑΓΙΟΣ ΝΙΚΟΛΑΟΣ"</f>
        <v>ΙΔΟΜΕΝΕΩΣ 13 ΑΓΙΟΣ ΝΙΚΟΛΑΟΣ</v>
      </c>
      <c r="I7588">
        <v>72100</v>
      </c>
      <c r="J7588">
        <v>2841025575</v>
      </c>
      <c r="N7588" t="s">
        <v>615</v>
      </c>
      <c r="O7588" t="s">
        <v>616</v>
      </c>
      <c r="R7588" t="s">
        <v>57</v>
      </c>
      <c r="S7588">
        <v>9</v>
      </c>
      <c r="T7588">
        <v>165</v>
      </c>
      <c r="U7588" s="1">
        <v>36040</v>
      </c>
      <c r="V7588" t="s">
        <v>5177</v>
      </c>
      <c r="W7588" t="s">
        <v>5178</v>
      </c>
      <c r="X7588" t="s">
        <v>58</v>
      </c>
      <c r="Y7588">
        <v>21</v>
      </c>
      <c r="Z7588" t="s">
        <v>59</v>
      </c>
      <c r="AA7588" t="s">
        <v>59</v>
      </c>
      <c r="AB7588" t="s">
        <v>59</v>
      </c>
      <c r="AC7588" t="s">
        <v>59</v>
      </c>
      <c r="AD7588" t="s">
        <v>59</v>
      </c>
      <c r="AF7588" s="1">
        <v>36042</v>
      </c>
      <c r="AG7588" t="s">
        <v>8645</v>
      </c>
      <c r="AH7588" t="s">
        <v>8646</v>
      </c>
      <c r="AI7588" t="str">
        <f>"9320138"</f>
        <v>9320138</v>
      </c>
      <c r="AJ7588" t="s">
        <v>11915</v>
      </c>
      <c r="AK7588">
        <v>2841022104</v>
      </c>
      <c r="AL7588" t="s">
        <v>11916</v>
      </c>
      <c r="AM7588" t="s">
        <v>4513</v>
      </c>
      <c r="AN7588" t="s">
        <v>4514</v>
      </c>
      <c r="AO7588" t="s">
        <v>4514</v>
      </c>
      <c r="AP7588" t="s">
        <v>4514</v>
      </c>
      <c r="AQ7588">
        <v>1</v>
      </c>
      <c r="AR7588" t="s">
        <v>5177</v>
      </c>
      <c r="AS7588" t="s">
        <v>5178</v>
      </c>
      <c r="AT7588" t="s">
        <v>58</v>
      </c>
      <c r="AU7588" t="s">
        <v>68</v>
      </c>
      <c r="AV7588" t="s">
        <v>69</v>
      </c>
      <c r="AW7588" s="1">
        <v>24859</v>
      </c>
      <c r="AX7588">
        <v>1</v>
      </c>
    </row>
    <row r="7589" spans="1:50">
      <c r="A7589">
        <v>205669</v>
      </c>
      <c r="B7589" t="str">
        <f>"112987527"</f>
        <v>112987527</v>
      </c>
      <c r="C7589" t="s">
        <v>105</v>
      </c>
      <c r="D7589" t="s">
        <v>543</v>
      </c>
      <c r="E7589" t="s">
        <v>72</v>
      </c>
      <c r="F7589" t="s">
        <v>92</v>
      </c>
      <c r="G7589" t="s">
        <v>714</v>
      </c>
      <c r="H7589" t="str">
        <f>" "</f>
        <v xml:space="preserve"> </v>
      </c>
      <c r="J7589">
        <v>2109319103</v>
      </c>
      <c r="K7589">
        <v>6972907204</v>
      </c>
      <c r="N7589" t="s">
        <v>204</v>
      </c>
      <c r="O7589" t="s">
        <v>205</v>
      </c>
      <c r="R7589" t="s">
        <v>57</v>
      </c>
      <c r="S7589">
        <v>7</v>
      </c>
      <c r="T7589">
        <v>231</v>
      </c>
      <c r="U7589" s="1">
        <v>38230</v>
      </c>
      <c r="V7589" t="s">
        <v>5177</v>
      </c>
      <c r="W7589" t="s">
        <v>5178</v>
      </c>
      <c r="X7589" t="s">
        <v>58</v>
      </c>
      <c r="Y7589">
        <v>23</v>
      </c>
      <c r="Z7589" t="s">
        <v>59</v>
      </c>
      <c r="AA7589" t="s">
        <v>59</v>
      </c>
      <c r="AB7589" t="s">
        <v>59</v>
      </c>
      <c r="AC7589" t="s">
        <v>59</v>
      </c>
      <c r="AD7589" t="s">
        <v>59</v>
      </c>
      <c r="AF7589" s="1">
        <v>38231</v>
      </c>
      <c r="AG7589" t="s">
        <v>8645</v>
      </c>
      <c r="AH7589" t="s">
        <v>8646</v>
      </c>
      <c r="AI7589" t="str">
        <f>"9320093"</f>
        <v>9320093</v>
      </c>
      <c r="AJ7589" t="s">
        <v>11967</v>
      </c>
      <c r="AK7589">
        <v>2843025130</v>
      </c>
      <c r="AL7589" t="s">
        <v>11968</v>
      </c>
      <c r="AM7589" t="s">
        <v>4513</v>
      </c>
      <c r="AN7589" t="s">
        <v>4540</v>
      </c>
      <c r="AO7589" t="s">
        <v>4540</v>
      </c>
      <c r="AP7589" t="s">
        <v>4540</v>
      </c>
      <c r="AQ7589">
        <v>8</v>
      </c>
      <c r="AR7589" t="s">
        <v>5177</v>
      </c>
      <c r="AS7589" t="s">
        <v>5178</v>
      </c>
      <c r="AT7589" t="s">
        <v>58</v>
      </c>
      <c r="AU7589" t="s">
        <v>68</v>
      </c>
      <c r="AV7589" t="s">
        <v>69</v>
      </c>
      <c r="AW7589" s="1">
        <v>28204</v>
      </c>
      <c r="AX7589">
        <v>1</v>
      </c>
    </row>
    <row r="7590" spans="1:50">
      <c r="A7590">
        <v>618629</v>
      </c>
      <c r="B7590" t="str">
        <f>"147052899"</f>
        <v>147052899</v>
      </c>
      <c r="C7590" t="s">
        <v>50</v>
      </c>
      <c r="D7590" t="s">
        <v>544</v>
      </c>
      <c r="E7590" t="s">
        <v>263</v>
      </c>
      <c r="F7590" t="s">
        <v>106</v>
      </c>
      <c r="G7590" t="s">
        <v>473</v>
      </c>
      <c r="H7590" t="str">
        <f>"ΔΙΟΜΗΔΟΥΣ 17 ΣΗΤΕΙΑ"</f>
        <v>ΔΙΟΜΗΔΟΥΣ 17 ΣΗΤΕΙΑ</v>
      </c>
      <c r="I7590">
        <v>72300</v>
      </c>
      <c r="J7590">
        <v>2843028455</v>
      </c>
      <c r="K7590">
        <v>6934867720</v>
      </c>
      <c r="N7590" t="s">
        <v>615</v>
      </c>
      <c r="O7590" t="s">
        <v>616</v>
      </c>
      <c r="R7590" t="s">
        <v>57</v>
      </c>
      <c r="S7590">
        <v>5</v>
      </c>
      <c r="T7590">
        <v>774</v>
      </c>
      <c r="U7590" s="1">
        <v>39680</v>
      </c>
      <c r="V7590" t="s">
        <v>5177</v>
      </c>
      <c r="W7590" t="s">
        <v>5178</v>
      </c>
      <c r="X7590" t="s">
        <v>58</v>
      </c>
      <c r="Y7590">
        <v>23</v>
      </c>
      <c r="Z7590" t="s">
        <v>59</v>
      </c>
      <c r="AA7590" t="s">
        <v>59</v>
      </c>
      <c r="AB7590" t="s">
        <v>59</v>
      </c>
      <c r="AC7590" t="s">
        <v>59</v>
      </c>
      <c r="AD7590" t="s">
        <v>59</v>
      </c>
      <c r="AF7590" s="1">
        <v>39680</v>
      </c>
      <c r="AG7590" t="s">
        <v>8645</v>
      </c>
      <c r="AH7590" t="s">
        <v>8646</v>
      </c>
      <c r="AI7590" t="str">
        <f>"9320205"</f>
        <v>9320205</v>
      </c>
      <c r="AJ7590" t="s">
        <v>11902</v>
      </c>
      <c r="AK7590">
        <v>2843024509</v>
      </c>
      <c r="AL7590" t="s">
        <v>11903</v>
      </c>
      <c r="AM7590" t="s">
        <v>4513</v>
      </c>
      <c r="AN7590" t="s">
        <v>4540</v>
      </c>
      <c r="AO7590" t="s">
        <v>4540</v>
      </c>
      <c r="AP7590" t="s">
        <v>4540</v>
      </c>
      <c r="AQ7590">
        <v>8</v>
      </c>
      <c r="AR7590" t="s">
        <v>5177</v>
      </c>
      <c r="AS7590" t="s">
        <v>5178</v>
      </c>
      <c r="AT7590" t="s">
        <v>58</v>
      </c>
      <c r="AU7590" t="s">
        <v>68</v>
      </c>
      <c r="AV7590" t="s">
        <v>69</v>
      </c>
      <c r="AW7590" s="1">
        <v>30960</v>
      </c>
      <c r="AX7590">
        <v>1</v>
      </c>
    </row>
    <row r="7591" spans="1:50">
      <c r="A7591">
        <v>617254</v>
      </c>
      <c r="B7591" t="str">
        <f>"051066928"</f>
        <v>051066928</v>
      </c>
      <c r="C7591" t="s">
        <v>50</v>
      </c>
      <c r="D7591" t="s">
        <v>8932</v>
      </c>
      <c r="E7591" t="s">
        <v>52</v>
      </c>
      <c r="F7591" t="s">
        <v>95</v>
      </c>
      <c r="G7591" t="s">
        <v>215</v>
      </c>
      <c r="H7591" t="str">
        <f>" "</f>
        <v xml:space="preserve"> </v>
      </c>
      <c r="J7591">
        <v>2841023120</v>
      </c>
      <c r="K7591">
        <v>6973662212</v>
      </c>
      <c r="N7591" t="s">
        <v>615</v>
      </c>
      <c r="O7591" t="s">
        <v>616</v>
      </c>
      <c r="R7591" t="s">
        <v>57</v>
      </c>
      <c r="S7591">
        <v>6</v>
      </c>
      <c r="T7591">
        <v>774</v>
      </c>
      <c r="U7591" s="1">
        <v>39680</v>
      </c>
      <c r="V7591" t="s">
        <v>5177</v>
      </c>
      <c r="W7591" t="s">
        <v>5178</v>
      </c>
      <c r="X7591" t="s">
        <v>58</v>
      </c>
      <c r="Y7591">
        <v>23</v>
      </c>
      <c r="Z7591" t="s">
        <v>59</v>
      </c>
      <c r="AA7591" t="s">
        <v>59</v>
      </c>
      <c r="AB7591" t="s">
        <v>59</v>
      </c>
      <c r="AC7591" t="s">
        <v>59</v>
      </c>
      <c r="AD7591" t="s">
        <v>59</v>
      </c>
      <c r="AF7591" s="1">
        <v>39681</v>
      </c>
      <c r="AG7591" t="s">
        <v>8645</v>
      </c>
      <c r="AH7591" t="s">
        <v>8646</v>
      </c>
      <c r="AI7591" t="str">
        <f>"9320210"</f>
        <v>9320210</v>
      </c>
      <c r="AJ7591" t="s">
        <v>11890</v>
      </c>
      <c r="AK7591">
        <v>2841026705</v>
      </c>
      <c r="AL7591" t="s">
        <v>11891</v>
      </c>
      <c r="AM7591" t="s">
        <v>4513</v>
      </c>
      <c r="AN7591" t="s">
        <v>4514</v>
      </c>
      <c r="AO7591" t="s">
        <v>4514</v>
      </c>
      <c r="AP7591" t="s">
        <v>4514</v>
      </c>
      <c r="AQ7591">
        <v>1</v>
      </c>
      <c r="AR7591" t="s">
        <v>5177</v>
      </c>
      <c r="AS7591" t="s">
        <v>5178</v>
      </c>
      <c r="AT7591" t="s">
        <v>58</v>
      </c>
      <c r="AU7591" t="s">
        <v>68</v>
      </c>
      <c r="AV7591" t="s">
        <v>69</v>
      </c>
      <c r="AW7591" s="1">
        <v>30766</v>
      </c>
      <c r="AX7591">
        <v>1</v>
      </c>
    </row>
    <row r="7592" spans="1:50">
      <c r="A7592">
        <v>602066</v>
      </c>
      <c r="B7592" t="str">
        <f>"049486910"</f>
        <v>049486910</v>
      </c>
      <c r="C7592" t="s">
        <v>50</v>
      </c>
      <c r="D7592" t="s">
        <v>11969</v>
      </c>
      <c r="E7592" t="s">
        <v>52</v>
      </c>
      <c r="F7592" t="s">
        <v>4097</v>
      </c>
      <c r="G7592" t="s">
        <v>215</v>
      </c>
      <c r="H7592" t="str">
        <f>"ΘΕΡΙΣΣΟΥ 28 ΣΗΤΕΙΑ"</f>
        <v>ΘΕΡΙΣΣΟΥ 28 ΣΗΤΕΙΑ</v>
      </c>
      <c r="I7592">
        <v>72300</v>
      </c>
      <c r="J7592">
        <v>2843022955</v>
      </c>
      <c r="K7592">
        <v>6974466799</v>
      </c>
      <c r="N7592" t="s">
        <v>615</v>
      </c>
      <c r="O7592" t="s">
        <v>616</v>
      </c>
      <c r="R7592" t="s">
        <v>57</v>
      </c>
      <c r="S7592">
        <v>7</v>
      </c>
      <c r="T7592">
        <v>207</v>
      </c>
      <c r="U7592" s="1">
        <v>37502</v>
      </c>
      <c r="V7592" t="s">
        <v>5177</v>
      </c>
      <c r="W7592" t="s">
        <v>5178</v>
      </c>
      <c r="X7592" t="s">
        <v>58</v>
      </c>
      <c r="Y7592">
        <v>22</v>
      </c>
      <c r="Z7592" t="s">
        <v>59</v>
      </c>
      <c r="AA7592" t="s">
        <v>59</v>
      </c>
      <c r="AB7592" t="s">
        <v>59</v>
      </c>
      <c r="AC7592" t="s">
        <v>59</v>
      </c>
      <c r="AD7592" t="s">
        <v>59</v>
      </c>
      <c r="AF7592" s="1">
        <v>37866</v>
      </c>
      <c r="AG7592" t="s">
        <v>8645</v>
      </c>
      <c r="AH7592" t="s">
        <v>8646</v>
      </c>
      <c r="AI7592" t="str">
        <f>"9320205"</f>
        <v>9320205</v>
      </c>
      <c r="AJ7592" t="s">
        <v>11902</v>
      </c>
      <c r="AK7592">
        <v>2843024509</v>
      </c>
      <c r="AL7592" t="s">
        <v>11903</v>
      </c>
      <c r="AM7592" t="s">
        <v>4513</v>
      </c>
      <c r="AN7592" t="s">
        <v>4540</v>
      </c>
      <c r="AO7592" t="s">
        <v>4540</v>
      </c>
      <c r="AP7592" t="s">
        <v>4540</v>
      </c>
      <c r="AQ7592">
        <v>8</v>
      </c>
      <c r="AR7592" t="s">
        <v>5177</v>
      </c>
      <c r="AS7592" t="s">
        <v>5178</v>
      </c>
      <c r="AT7592" t="s">
        <v>58</v>
      </c>
      <c r="AU7592" t="s">
        <v>68</v>
      </c>
      <c r="AV7592" t="s">
        <v>69</v>
      </c>
      <c r="AW7592" s="1">
        <v>29175</v>
      </c>
      <c r="AX7592">
        <v>1</v>
      </c>
    </row>
    <row r="7593" spans="1:50">
      <c r="A7593">
        <v>603470</v>
      </c>
      <c r="B7593" t="str">
        <f>"050203500"</f>
        <v>050203500</v>
      </c>
      <c r="C7593" t="s">
        <v>50</v>
      </c>
      <c r="D7593" t="s">
        <v>4594</v>
      </c>
      <c r="E7593" t="s">
        <v>11970</v>
      </c>
      <c r="F7593" t="s">
        <v>95</v>
      </c>
      <c r="G7593" t="s">
        <v>73</v>
      </c>
      <c r="H7593" t="str">
        <f>"ΙΩΣΗΦ ΚΟΥΝΔΟΥΡΟΥ 1 ΑΓΙΟΣ ΝΙΚΟΛΑΟΣ"</f>
        <v>ΙΩΣΗΦ ΚΟΥΝΔΟΥΡΟΥ 1 ΑΓΙΟΣ ΝΙΚΟΛΑΟΣ</v>
      </c>
      <c r="I7593">
        <v>72100</v>
      </c>
      <c r="J7593">
        <v>2841023917</v>
      </c>
      <c r="K7593">
        <v>6937594211</v>
      </c>
      <c r="N7593" t="s">
        <v>337</v>
      </c>
      <c r="O7593" t="s">
        <v>338</v>
      </c>
      <c r="R7593" t="s">
        <v>57</v>
      </c>
      <c r="S7593">
        <v>7</v>
      </c>
      <c r="T7593">
        <v>46</v>
      </c>
      <c r="U7593" s="1">
        <v>37684</v>
      </c>
      <c r="V7593" t="s">
        <v>5177</v>
      </c>
      <c r="W7593" t="s">
        <v>5178</v>
      </c>
      <c r="X7593" t="s">
        <v>58</v>
      </c>
      <c r="Y7593">
        <v>22</v>
      </c>
      <c r="Z7593" t="s">
        <v>59</v>
      </c>
      <c r="AA7593" t="s">
        <v>59</v>
      </c>
      <c r="AB7593" t="s">
        <v>59</v>
      </c>
      <c r="AC7593" t="s">
        <v>59</v>
      </c>
      <c r="AD7593" t="s">
        <v>59</v>
      </c>
      <c r="AF7593" s="1">
        <v>37698</v>
      </c>
      <c r="AG7593" t="s">
        <v>8645</v>
      </c>
      <c r="AH7593" t="s">
        <v>8646</v>
      </c>
      <c r="AI7593" t="str">
        <f>"9320058"</f>
        <v>9320058</v>
      </c>
      <c r="AJ7593" t="s">
        <v>11893</v>
      </c>
      <c r="AK7593">
        <v>2841022496</v>
      </c>
      <c r="AL7593" t="s">
        <v>11894</v>
      </c>
      <c r="AM7593" t="s">
        <v>4513</v>
      </c>
      <c r="AN7593" t="s">
        <v>4514</v>
      </c>
      <c r="AO7593" t="s">
        <v>4514</v>
      </c>
      <c r="AP7593" t="s">
        <v>4514</v>
      </c>
      <c r="AQ7593">
        <v>1</v>
      </c>
      <c r="AR7593" t="s">
        <v>5177</v>
      </c>
      <c r="AS7593" t="s">
        <v>5178</v>
      </c>
      <c r="AT7593" t="s">
        <v>58</v>
      </c>
      <c r="AU7593" t="s">
        <v>68</v>
      </c>
      <c r="AV7593" t="s">
        <v>69</v>
      </c>
      <c r="AW7593" s="1">
        <v>26687</v>
      </c>
      <c r="AX7593">
        <v>1</v>
      </c>
    </row>
    <row r="7594" spans="1:50">
      <c r="A7594">
        <v>702053</v>
      </c>
      <c r="B7594" t="str">
        <f>"146907558"</f>
        <v>146907558</v>
      </c>
      <c r="C7594" t="s">
        <v>50</v>
      </c>
      <c r="D7594" t="s">
        <v>606</v>
      </c>
      <c r="E7594" t="s">
        <v>250</v>
      </c>
      <c r="F7594" t="s">
        <v>794</v>
      </c>
      <c r="G7594" t="s">
        <v>484</v>
      </c>
      <c r="H7594" t="str">
        <f>"ΓΡ. ΑΥΞΕΝΤΙΟΥ 22 ΙΕΡΑΠΕΤΡΑ"</f>
        <v>ΓΡ. ΑΥΞΕΝΤΙΟΥ 22 ΙΕΡΑΠΕΤΡΑ</v>
      </c>
      <c r="I7594">
        <v>72200</v>
      </c>
      <c r="J7594">
        <v>2322064241</v>
      </c>
      <c r="K7594">
        <v>6971894146</v>
      </c>
      <c r="N7594" t="s">
        <v>615</v>
      </c>
      <c r="O7594" t="s">
        <v>616</v>
      </c>
      <c r="R7594" t="s">
        <v>57</v>
      </c>
      <c r="S7594">
        <v>4</v>
      </c>
      <c r="T7594">
        <v>772</v>
      </c>
      <c r="U7594" s="1">
        <v>40413</v>
      </c>
      <c r="V7594" t="s">
        <v>5177</v>
      </c>
      <c r="W7594" t="s">
        <v>5178</v>
      </c>
      <c r="X7594" t="s">
        <v>58</v>
      </c>
      <c r="Y7594">
        <v>25</v>
      </c>
      <c r="Z7594" t="s">
        <v>59</v>
      </c>
      <c r="AA7594" t="s">
        <v>59</v>
      </c>
      <c r="AB7594" t="s">
        <v>59</v>
      </c>
      <c r="AC7594" t="s">
        <v>59</v>
      </c>
      <c r="AD7594" t="s">
        <v>59</v>
      </c>
      <c r="AF7594" s="1">
        <v>40413</v>
      </c>
      <c r="AG7594" t="s">
        <v>8645</v>
      </c>
      <c r="AH7594" t="s">
        <v>8676</v>
      </c>
      <c r="AI7594" t="str">
        <f>"9320112"</f>
        <v>9320112</v>
      </c>
      <c r="AJ7594" t="s">
        <v>11971</v>
      </c>
      <c r="AK7594">
        <v>2843051115</v>
      </c>
      <c r="AL7594" t="s">
        <v>11972</v>
      </c>
      <c r="AM7594" t="s">
        <v>4513</v>
      </c>
      <c r="AN7594" t="s">
        <v>4540</v>
      </c>
      <c r="AO7594" t="s">
        <v>4547</v>
      </c>
      <c r="AP7594" t="s">
        <v>11973</v>
      </c>
      <c r="AQ7594">
        <v>11</v>
      </c>
      <c r="AR7594" t="s">
        <v>5177</v>
      </c>
      <c r="AS7594" t="s">
        <v>5178</v>
      </c>
      <c r="AT7594" t="s">
        <v>58</v>
      </c>
      <c r="AU7594" t="s">
        <v>68</v>
      </c>
      <c r="AV7594" t="s">
        <v>69</v>
      </c>
      <c r="AW7594" s="1">
        <v>31553</v>
      </c>
      <c r="AX7594">
        <v>1</v>
      </c>
    </row>
    <row r="7595" spans="1:50">
      <c r="A7595">
        <v>568589</v>
      </c>
      <c r="B7595" t="str">
        <f>"036316540"</f>
        <v>036316540</v>
      </c>
      <c r="C7595" t="s">
        <v>50</v>
      </c>
      <c r="D7595" t="s">
        <v>5743</v>
      </c>
      <c r="E7595" t="s">
        <v>11974</v>
      </c>
      <c r="F7595" t="s">
        <v>84</v>
      </c>
      <c r="G7595" t="s">
        <v>484</v>
      </c>
      <c r="H7595" t="str">
        <f>"ΔΗΜΟΚΡΑΤΙΑΣ 10 ΣΗΤΕΙΑ"</f>
        <v>ΔΗΜΟΚΡΑΤΙΑΣ 10 ΣΗΤΕΙΑ</v>
      </c>
      <c r="I7595">
        <v>72300</v>
      </c>
      <c r="J7595">
        <v>2843029240</v>
      </c>
      <c r="K7595">
        <v>6977390168</v>
      </c>
      <c r="M7595" t="s">
        <v>11975</v>
      </c>
      <c r="N7595" t="s">
        <v>615</v>
      </c>
      <c r="O7595" t="s">
        <v>616</v>
      </c>
      <c r="R7595" t="s">
        <v>57</v>
      </c>
      <c r="S7595">
        <v>16</v>
      </c>
      <c r="T7595">
        <v>162</v>
      </c>
      <c r="U7595" s="1">
        <v>33844</v>
      </c>
      <c r="V7595" t="s">
        <v>5177</v>
      </c>
      <c r="W7595" t="s">
        <v>5178</v>
      </c>
      <c r="X7595" t="s">
        <v>58</v>
      </c>
      <c r="Y7595">
        <v>21</v>
      </c>
      <c r="Z7595" t="s">
        <v>59</v>
      </c>
      <c r="AA7595" t="s">
        <v>59</v>
      </c>
      <c r="AB7595" t="s">
        <v>59</v>
      </c>
      <c r="AC7595" t="s">
        <v>59</v>
      </c>
      <c r="AD7595" t="s">
        <v>59</v>
      </c>
      <c r="AF7595" s="1">
        <v>33848</v>
      </c>
      <c r="AG7595" t="s">
        <v>8645</v>
      </c>
      <c r="AH7595" t="s">
        <v>8646</v>
      </c>
      <c r="AI7595" t="str">
        <f>"9520629"</f>
        <v>9520629</v>
      </c>
      <c r="AJ7595" t="s">
        <v>11976</v>
      </c>
      <c r="AK7595">
        <v>2843026678</v>
      </c>
      <c r="AL7595" t="s">
        <v>11977</v>
      </c>
      <c r="AM7595" t="s">
        <v>4513</v>
      </c>
      <c r="AN7595" t="s">
        <v>4540</v>
      </c>
      <c r="AO7595" t="s">
        <v>4540</v>
      </c>
      <c r="AP7595" t="s">
        <v>4540</v>
      </c>
      <c r="AQ7595">
        <v>8</v>
      </c>
      <c r="AR7595" t="s">
        <v>5177</v>
      </c>
      <c r="AS7595" t="s">
        <v>5178</v>
      </c>
      <c r="AT7595" t="s">
        <v>58</v>
      </c>
      <c r="AU7595" t="s">
        <v>68</v>
      </c>
      <c r="AV7595" t="s">
        <v>69</v>
      </c>
      <c r="AW7595" s="1">
        <v>24123</v>
      </c>
      <c r="AX7595">
        <v>1</v>
      </c>
    </row>
    <row r="7596" spans="1:50">
      <c r="A7596">
        <v>609972</v>
      </c>
      <c r="B7596" t="str">
        <f>"110308078"</f>
        <v>110308078</v>
      </c>
      <c r="C7596" t="s">
        <v>50</v>
      </c>
      <c r="D7596" t="s">
        <v>11978</v>
      </c>
      <c r="E7596" t="s">
        <v>513</v>
      </c>
      <c r="F7596" t="s">
        <v>1679</v>
      </c>
      <c r="G7596" t="s">
        <v>52</v>
      </c>
      <c r="H7596" t="str">
        <f>"Επιμενείδου 25 ¶γιος Νικόλαος"</f>
        <v>Επιμενείδου 25 ¶γιος Νικόλαος</v>
      </c>
      <c r="I7596">
        <v>72100</v>
      </c>
      <c r="J7596">
        <v>2841026290</v>
      </c>
      <c r="K7596">
        <v>6973495491</v>
      </c>
      <c r="M7596" t="s">
        <v>11979</v>
      </c>
      <c r="N7596" t="s">
        <v>1525</v>
      </c>
      <c r="O7596" t="s">
        <v>1526</v>
      </c>
      <c r="R7596" t="s">
        <v>57</v>
      </c>
      <c r="S7596">
        <v>5</v>
      </c>
      <c r="T7596">
        <v>232</v>
      </c>
      <c r="U7596" s="1">
        <v>38960</v>
      </c>
      <c r="V7596" t="s">
        <v>5177</v>
      </c>
      <c r="W7596" t="s">
        <v>5178</v>
      </c>
      <c r="X7596" t="s">
        <v>58</v>
      </c>
      <c r="Y7596">
        <v>25</v>
      </c>
      <c r="Z7596" t="s">
        <v>59</v>
      </c>
      <c r="AA7596" t="s">
        <v>59</v>
      </c>
      <c r="AB7596" t="s">
        <v>59</v>
      </c>
      <c r="AC7596" t="s">
        <v>59</v>
      </c>
      <c r="AD7596" t="s">
        <v>59</v>
      </c>
      <c r="AF7596" s="1">
        <v>38961</v>
      </c>
      <c r="AG7596" t="s">
        <v>8651</v>
      </c>
      <c r="AH7596" t="s">
        <v>8652</v>
      </c>
      <c r="AI7596" t="str">
        <f>"9320056"</f>
        <v>9320056</v>
      </c>
      <c r="AJ7596" t="s">
        <v>11980</v>
      </c>
      <c r="AK7596">
        <v>2841028260</v>
      </c>
      <c r="AL7596" t="s">
        <v>11981</v>
      </c>
      <c r="AM7596" t="s">
        <v>4513</v>
      </c>
      <c r="AN7596" t="s">
        <v>4514</v>
      </c>
      <c r="AO7596" t="s">
        <v>4514</v>
      </c>
      <c r="AP7596" t="s">
        <v>4514</v>
      </c>
      <c r="AQ7596">
        <v>1</v>
      </c>
      <c r="AR7596" t="s">
        <v>5177</v>
      </c>
      <c r="AS7596" t="s">
        <v>5178</v>
      </c>
      <c r="AT7596" t="s">
        <v>58</v>
      </c>
      <c r="AU7596" t="s">
        <v>68</v>
      </c>
      <c r="AV7596" t="s">
        <v>69</v>
      </c>
      <c r="AW7596" s="1">
        <v>25617</v>
      </c>
      <c r="AX7596">
        <v>1</v>
      </c>
    </row>
    <row r="7597" spans="1:50">
      <c r="B7597" t="str">
        <f>"116135069"</f>
        <v>116135069</v>
      </c>
      <c r="C7597" t="s">
        <v>50</v>
      </c>
      <c r="D7597" t="s">
        <v>11982</v>
      </c>
      <c r="E7597" t="s">
        <v>5342</v>
      </c>
      <c r="F7597" t="s">
        <v>1316</v>
      </c>
      <c r="G7597" t="s">
        <v>221</v>
      </c>
      <c r="H7597" t="str">
        <f>" "</f>
        <v xml:space="preserve"> </v>
      </c>
      <c r="N7597" t="s">
        <v>1525</v>
      </c>
      <c r="O7597" t="s">
        <v>1526</v>
      </c>
      <c r="R7597" t="s">
        <v>159</v>
      </c>
      <c r="S7597">
        <v>2</v>
      </c>
      <c r="T7597" t="s">
        <v>8670</v>
      </c>
      <c r="U7597" s="1">
        <v>43348</v>
      </c>
      <c r="V7597" t="s">
        <v>5177</v>
      </c>
      <c r="W7597" t="s">
        <v>5178</v>
      </c>
      <c r="X7597" t="s">
        <v>58</v>
      </c>
      <c r="Y7597">
        <v>25</v>
      </c>
      <c r="Z7597" t="s">
        <v>59</v>
      </c>
      <c r="AA7597" t="s">
        <v>59</v>
      </c>
      <c r="AB7597" t="s">
        <v>59</v>
      </c>
      <c r="AD7597" t="s">
        <v>59</v>
      </c>
      <c r="AF7597" s="1">
        <v>43348</v>
      </c>
      <c r="AG7597" t="s">
        <v>8651</v>
      </c>
      <c r="AH7597" t="s">
        <v>8652</v>
      </c>
      <c r="AI7597" t="str">
        <f>"9320056"</f>
        <v>9320056</v>
      </c>
      <c r="AJ7597" t="s">
        <v>11980</v>
      </c>
      <c r="AK7597">
        <v>2841028260</v>
      </c>
      <c r="AL7597" t="s">
        <v>11981</v>
      </c>
      <c r="AM7597" t="s">
        <v>4513</v>
      </c>
      <c r="AN7597" t="s">
        <v>4514</v>
      </c>
      <c r="AO7597" t="s">
        <v>4514</v>
      </c>
      <c r="AP7597" t="s">
        <v>4514</v>
      </c>
      <c r="AQ7597">
        <v>1</v>
      </c>
      <c r="AR7597" t="s">
        <v>5177</v>
      </c>
      <c r="AS7597" t="s">
        <v>5178</v>
      </c>
      <c r="AT7597" t="s">
        <v>58</v>
      </c>
      <c r="AU7597" t="s">
        <v>8673</v>
      </c>
      <c r="AV7597" t="s">
        <v>132</v>
      </c>
      <c r="AW7597" s="1">
        <v>29862</v>
      </c>
      <c r="AX7597">
        <v>1</v>
      </c>
    </row>
    <row r="7598" spans="1:50">
      <c r="A7598">
        <v>605495</v>
      </c>
      <c r="B7598" t="str">
        <f>"126301582"</f>
        <v>126301582</v>
      </c>
      <c r="C7598" t="s">
        <v>50</v>
      </c>
      <c r="D7598" t="s">
        <v>9029</v>
      </c>
      <c r="E7598" t="s">
        <v>1108</v>
      </c>
      <c r="F7598" t="s">
        <v>975</v>
      </c>
      <c r="G7598" t="s">
        <v>2409</v>
      </c>
      <c r="H7598" t="str">
        <f>"ΕΛ. ΒΕΝΙΖΕΛΟΥ 48 ΜΟΙΡΕΣ"</f>
        <v>ΕΛ. ΒΕΝΙΖΕΛΟΥ 48 ΜΟΙΡΕΣ</v>
      </c>
      <c r="I7598">
        <v>70400</v>
      </c>
      <c r="J7598">
        <v>2841061118</v>
      </c>
      <c r="K7598">
        <v>6932466653</v>
      </c>
      <c r="N7598" t="s">
        <v>615</v>
      </c>
      <c r="O7598" t="s">
        <v>616</v>
      </c>
      <c r="R7598" t="s">
        <v>57</v>
      </c>
      <c r="S7598">
        <v>7</v>
      </c>
      <c r="T7598" t="s">
        <v>11983</v>
      </c>
      <c r="U7598" s="1">
        <v>38230</v>
      </c>
      <c r="V7598" t="s">
        <v>5177</v>
      </c>
      <c r="W7598" t="s">
        <v>5178</v>
      </c>
      <c r="X7598" t="s">
        <v>58</v>
      </c>
      <c r="Y7598">
        <v>22</v>
      </c>
      <c r="Z7598" t="s">
        <v>59</v>
      </c>
      <c r="AA7598" t="s">
        <v>59</v>
      </c>
      <c r="AB7598" t="s">
        <v>59</v>
      </c>
      <c r="AC7598" t="s">
        <v>59</v>
      </c>
      <c r="AD7598" t="s">
        <v>59</v>
      </c>
      <c r="AF7598" s="1">
        <v>38231</v>
      </c>
      <c r="AG7598" t="s">
        <v>8645</v>
      </c>
      <c r="AH7598" t="s">
        <v>8646</v>
      </c>
      <c r="AI7598" t="str">
        <f>"9320034"</f>
        <v>9320034</v>
      </c>
      <c r="AJ7598" t="s">
        <v>11984</v>
      </c>
      <c r="AK7598">
        <v>2841061401</v>
      </c>
      <c r="AL7598" t="s">
        <v>11985</v>
      </c>
      <c r="AM7598" t="s">
        <v>4513</v>
      </c>
      <c r="AN7598" t="s">
        <v>4514</v>
      </c>
      <c r="AO7598" t="s">
        <v>4514</v>
      </c>
      <c r="AP7598" t="s">
        <v>11986</v>
      </c>
      <c r="AQ7598">
        <v>2</v>
      </c>
      <c r="AR7598" t="s">
        <v>5177</v>
      </c>
      <c r="AS7598" t="s">
        <v>5178</v>
      </c>
      <c r="AT7598" t="s">
        <v>58</v>
      </c>
      <c r="AU7598" t="s">
        <v>68</v>
      </c>
      <c r="AV7598" t="s">
        <v>69</v>
      </c>
      <c r="AW7598" s="1">
        <v>28612</v>
      </c>
      <c r="AX7598">
        <v>1</v>
      </c>
    </row>
    <row r="7599" spans="1:50">
      <c r="B7599" t="str">
        <f>"106916794"</f>
        <v>106916794</v>
      </c>
      <c r="C7599" t="s">
        <v>105</v>
      </c>
      <c r="D7599" t="s">
        <v>4607</v>
      </c>
      <c r="E7599" t="s">
        <v>95</v>
      </c>
      <c r="F7599" t="s">
        <v>5907</v>
      </c>
      <c r="G7599" t="s">
        <v>52</v>
      </c>
      <c r="H7599" t="str">
        <f>"ΚΑΡΑΝΔΙΝΟΥ 11  ΙΕΡΑΠΕΤΡΑ"</f>
        <v>ΚΑΡΑΝΔΙΝΟΥ 11  ΙΕΡΑΠΕΤΡΑ</v>
      </c>
      <c r="I7599">
        <v>72200</v>
      </c>
      <c r="J7599">
        <v>2842025011</v>
      </c>
      <c r="K7599">
        <v>6932908325</v>
      </c>
      <c r="N7599" t="s">
        <v>176</v>
      </c>
      <c r="O7599" t="s">
        <v>177</v>
      </c>
      <c r="R7599" t="s">
        <v>159</v>
      </c>
      <c r="S7599">
        <v>3</v>
      </c>
      <c r="T7599" t="s">
        <v>9034</v>
      </c>
      <c r="U7599" s="1">
        <v>43377</v>
      </c>
      <c r="V7599" t="s">
        <v>5177</v>
      </c>
      <c r="W7599" t="s">
        <v>5178</v>
      </c>
      <c r="X7599" t="s">
        <v>58</v>
      </c>
      <c r="Y7599">
        <v>24</v>
      </c>
      <c r="Z7599" t="s">
        <v>59</v>
      </c>
      <c r="AA7599" t="s">
        <v>59</v>
      </c>
      <c r="AB7599" t="s">
        <v>59</v>
      </c>
      <c r="AC7599" t="s">
        <v>59</v>
      </c>
      <c r="AD7599" t="s">
        <v>59</v>
      </c>
      <c r="AF7599" s="1">
        <v>43377</v>
      </c>
      <c r="AI7599" t="str">
        <f>""</f>
        <v/>
      </c>
      <c r="AS7599" t="s">
        <v>5178</v>
      </c>
      <c r="AT7599" t="s">
        <v>58</v>
      </c>
      <c r="AU7599" t="s">
        <v>8673</v>
      </c>
      <c r="AW7599" s="1">
        <v>27719</v>
      </c>
      <c r="AX7599">
        <v>1</v>
      </c>
    </row>
    <row r="7600" spans="1:50">
      <c r="B7600" t="str">
        <f>"110268943"</f>
        <v>110268943</v>
      </c>
      <c r="C7600" t="s">
        <v>50</v>
      </c>
      <c r="D7600" t="s">
        <v>4610</v>
      </c>
      <c r="E7600" t="s">
        <v>181</v>
      </c>
      <c r="F7600" t="s">
        <v>95</v>
      </c>
      <c r="G7600" t="s">
        <v>4127</v>
      </c>
      <c r="H7600" t="str">
        <f>"ΚΑΤΩ ΧΩΡΙΟ ΙΕΡΑΠΕΤΡΑ"</f>
        <v>ΚΑΤΩ ΧΩΡΙΟ ΙΕΡΑΠΕΤΡΑ</v>
      </c>
      <c r="I7600">
        <v>72200</v>
      </c>
      <c r="J7600">
        <v>2843052236</v>
      </c>
      <c r="K7600">
        <v>6979142417</v>
      </c>
      <c r="M7600" t="s">
        <v>11987</v>
      </c>
      <c r="N7600" t="s">
        <v>1525</v>
      </c>
      <c r="O7600" t="s">
        <v>1526</v>
      </c>
      <c r="R7600" t="s">
        <v>159</v>
      </c>
      <c r="S7600">
        <v>3</v>
      </c>
      <c r="T7600" t="s">
        <v>8670</v>
      </c>
      <c r="U7600" s="1">
        <v>43348</v>
      </c>
      <c r="V7600" t="s">
        <v>5177</v>
      </c>
      <c r="W7600" t="s">
        <v>5178</v>
      </c>
      <c r="X7600" t="s">
        <v>58</v>
      </c>
      <c r="Y7600">
        <v>25</v>
      </c>
      <c r="Z7600" t="s">
        <v>59</v>
      </c>
      <c r="AA7600" t="s">
        <v>59</v>
      </c>
      <c r="AB7600" t="s">
        <v>59</v>
      </c>
      <c r="AC7600" t="s">
        <v>59</v>
      </c>
      <c r="AD7600" t="s">
        <v>59</v>
      </c>
      <c r="AF7600" s="1">
        <v>43348</v>
      </c>
      <c r="AG7600" t="s">
        <v>8651</v>
      </c>
      <c r="AH7600" t="s">
        <v>8652</v>
      </c>
      <c r="AI7600" t="str">
        <f>"9320217"</f>
        <v>9320217</v>
      </c>
      <c r="AJ7600" t="s">
        <v>11988</v>
      </c>
      <c r="AK7600">
        <v>2843051412</v>
      </c>
      <c r="AL7600" t="s">
        <v>11989</v>
      </c>
      <c r="AM7600" t="s">
        <v>4513</v>
      </c>
      <c r="AN7600" t="s">
        <v>4540</v>
      </c>
      <c r="AO7600" t="s">
        <v>4547</v>
      </c>
      <c r="AP7600" t="s">
        <v>11973</v>
      </c>
      <c r="AQ7600">
        <v>11</v>
      </c>
      <c r="AR7600" t="s">
        <v>5177</v>
      </c>
      <c r="AS7600" t="s">
        <v>5178</v>
      </c>
      <c r="AT7600" t="s">
        <v>58</v>
      </c>
      <c r="AU7600" t="s">
        <v>8673</v>
      </c>
      <c r="AV7600" t="s">
        <v>132</v>
      </c>
      <c r="AW7600" s="1">
        <v>28339</v>
      </c>
      <c r="AX7600">
        <v>1</v>
      </c>
    </row>
    <row r="7601" spans="1:50">
      <c r="A7601">
        <v>610141</v>
      </c>
      <c r="B7601" t="str">
        <f>"118125244"</f>
        <v>118125244</v>
      </c>
      <c r="C7601" t="s">
        <v>50</v>
      </c>
      <c r="D7601" t="s">
        <v>11990</v>
      </c>
      <c r="E7601" t="s">
        <v>1644</v>
      </c>
      <c r="F7601" t="s">
        <v>95</v>
      </c>
      <c r="G7601" t="s">
        <v>3290</v>
      </c>
      <c r="H7601" t="str">
        <f>"ΑΓΓΕΛΑΚΗ 4 ΣΗΤΕΙΑ"</f>
        <v>ΑΓΓΕΛΑΚΗ 4 ΣΗΤΕΙΑ</v>
      </c>
      <c r="I7601">
        <v>72300</v>
      </c>
      <c r="K7601">
        <v>6939530140</v>
      </c>
      <c r="M7601" t="s">
        <v>11991</v>
      </c>
      <c r="N7601" t="s">
        <v>615</v>
      </c>
      <c r="O7601" t="s">
        <v>616</v>
      </c>
      <c r="R7601" t="s">
        <v>57</v>
      </c>
      <c r="S7601">
        <v>7</v>
      </c>
      <c r="T7601">
        <v>233</v>
      </c>
      <c r="U7601" s="1">
        <v>38960</v>
      </c>
      <c r="V7601" t="s">
        <v>5177</v>
      </c>
      <c r="W7601" t="s">
        <v>5178</v>
      </c>
      <c r="X7601" t="s">
        <v>58</v>
      </c>
      <c r="Y7601">
        <v>23</v>
      </c>
      <c r="Z7601" t="s">
        <v>59</v>
      </c>
      <c r="AA7601" t="s">
        <v>59</v>
      </c>
      <c r="AB7601" t="s">
        <v>59</v>
      </c>
      <c r="AC7601" t="s">
        <v>59</v>
      </c>
      <c r="AD7601" t="s">
        <v>59</v>
      </c>
      <c r="AF7601" s="1">
        <v>38960</v>
      </c>
      <c r="AG7601" t="s">
        <v>8645</v>
      </c>
      <c r="AH7601" t="s">
        <v>8646</v>
      </c>
      <c r="AI7601" t="str">
        <f>"9320205"</f>
        <v>9320205</v>
      </c>
      <c r="AJ7601" t="s">
        <v>11902</v>
      </c>
      <c r="AK7601">
        <v>2843024509</v>
      </c>
      <c r="AL7601" t="s">
        <v>11903</v>
      </c>
      <c r="AM7601" t="s">
        <v>4513</v>
      </c>
      <c r="AN7601" t="s">
        <v>4540</v>
      </c>
      <c r="AO7601" t="s">
        <v>4540</v>
      </c>
      <c r="AP7601" t="s">
        <v>4540</v>
      </c>
      <c r="AQ7601">
        <v>8</v>
      </c>
      <c r="AR7601" t="s">
        <v>5177</v>
      </c>
      <c r="AS7601" t="s">
        <v>5178</v>
      </c>
      <c r="AT7601" t="s">
        <v>58</v>
      </c>
      <c r="AU7601" t="s">
        <v>68</v>
      </c>
      <c r="AV7601" t="s">
        <v>69</v>
      </c>
      <c r="AW7601" s="1">
        <v>28538</v>
      </c>
      <c r="AX7601">
        <v>1</v>
      </c>
    </row>
    <row r="7602" spans="1:50">
      <c r="A7602">
        <v>622059</v>
      </c>
      <c r="B7602" t="str">
        <f>"044354844"</f>
        <v>044354844</v>
      </c>
      <c r="C7602" t="s">
        <v>50</v>
      </c>
      <c r="D7602" t="s">
        <v>11992</v>
      </c>
      <c r="E7602" t="s">
        <v>73</v>
      </c>
      <c r="F7602" t="s">
        <v>459</v>
      </c>
      <c r="G7602" t="s">
        <v>11993</v>
      </c>
      <c r="H7602" t="str">
        <f>"ΚΩΝΣΤΑΝΤΙΝΟΥΠΟΛΕΩΣ 38 ΙΑΣΜΟΣ"</f>
        <v>ΚΩΝΣΤΑΝΤΙΝΟΥΠΟΛΕΩΣ 38 ΙΑΣΜΟΣ</v>
      </c>
      <c r="I7602">
        <v>69200</v>
      </c>
      <c r="J7602">
        <v>2534022359</v>
      </c>
      <c r="K7602">
        <v>6945455859</v>
      </c>
      <c r="N7602" t="s">
        <v>615</v>
      </c>
      <c r="O7602" t="s">
        <v>616</v>
      </c>
      <c r="R7602" t="s">
        <v>57</v>
      </c>
      <c r="S7602">
        <v>5</v>
      </c>
      <c r="T7602">
        <v>653</v>
      </c>
      <c r="U7602" s="1">
        <v>40043</v>
      </c>
      <c r="V7602" t="s">
        <v>5177</v>
      </c>
      <c r="W7602" t="s">
        <v>5178</v>
      </c>
      <c r="X7602" t="s">
        <v>58</v>
      </c>
      <c r="Y7602">
        <v>23</v>
      </c>
      <c r="Z7602" t="s">
        <v>59</v>
      </c>
      <c r="AA7602" t="s">
        <v>59</v>
      </c>
      <c r="AB7602" t="s">
        <v>59</v>
      </c>
      <c r="AC7602" t="s">
        <v>59</v>
      </c>
      <c r="AD7602" t="s">
        <v>59</v>
      </c>
      <c r="AF7602" s="1">
        <v>40045</v>
      </c>
      <c r="AG7602" t="s">
        <v>8645</v>
      </c>
      <c r="AH7602" t="s">
        <v>8646</v>
      </c>
      <c r="AI7602" t="str">
        <f>"9320001"</f>
        <v>9320001</v>
      </c>
      <c r="AJ7602" t="s">
        <v>11954</v>
      </c>
      <c r="AK7602">
        <v>2842022505</v>
      </c>
      <c r="AL7602" t="s">
        <v>11955</v>
      </c>
      <c r="AM7602" t="s">
        <v>4513</v>
      </c>
      <c r="AN7602" t="s">
        <v>4519</v>
      </c>
      <c r="AO7602" t="s">
        <v>4519</v>
      </c>
      <c r="AP7602" t="s">
        <v>4519</v>
      </c>
      <c r="AQ7602">
        <v>4</v>
      </c>
      <c r="AR7602" t="s">
        <v>5177</v>
      </c>
      <c r="AS7602" t="s">
        <v>5178</v>
      </c>
      <c r="AT7602" t="s">
        <v>58</v>
      </c>
      <c r="AU7602" t="s">
        <v>68</v>
      </c>
      <c r="AV7602" t="s">
        <v>69</v>
      </c>
      <c r="AW7602" s="1">
        <v>23830</v>
      </c>
      <c r="AX7602">
        <v>1</v>
      </c>
    </row>
    <row r="7603" spans="1:50">
      <c r="B7603" t="str">
        <f>"129439005"</f>
        <v>129439005</v>
      </c>
      <c r="C7603" t="s">
        <v>50</v>
      </c>
      <c r="D7603" t="s">
        <v>11994</v>
      </c>
      <c r="E7603" t="s">
        <v>109</v>
      </c>
      <c r="F7603" t="s">
        <v>459</v>
      </c>
      <c r="H7603" t="str">
        <f>" "</f>
        <v xml:space="preserve"> </v>
      </c>
      <c r="N7603" t="s">
        <v>1525</v>
      </c>
      <c r="O7603" t="s">
        <v>1526</v>
      </c>
      <c r="R7603" t="s">
        <v>159</v>
      </c>
      <c r="S7603">
        <v>2</v>
      </c>
      <c r="T7603" t="s">
        <v>8670</v>
      </c>
      <c r="U7603" s="1">
        <v>43348</v>
      </c>
      <c r="V7603" t="s">
        <v>5177</v>
      </c>
      <c r="W7603" t="s">
        <v>5178</v>
      </c>
      <c r="X7603" t="s">
        <v>58</v>
      </c>
      <c r="Y7603">
        <v>25</v>
      </c>
      <c r="Z7603" t="s">
        <v>59</v>
      </c>
      <c r="AA7603" t="s">
        <v>59</v>
      </c>
      <c r="AB7603" t="s">
        <v>59</v>
      </c>
      <c r="AC7603" t="s">
        <v>59</v>
      </c>
      <c r="AD7603" t="s">
        <v>59</v>
      </c>
      <c r="AF7603" s="1">
        <v>43348</v>
      </c>
      <c r="AG7603" t="s">
        <v>8651</v>
      </c>
      <c r="AH7603" t="s">
        <v>8652</v>
      </c>
      <c r="AI7603" t="str">
        <f>"9320002"</f>
        <v>9320002</v>
      </c>
      <c r="AJ7603" t="s">
        <v>11995</v>
      </c>
      <c r="AK7603">
        <v>2842022966</v>
      </c>
      <c r="AL7603" t="s">
        <v>11996</v>
      </c>
      <c r="AM7603" t="s">
        <v>4513</v>
      </c>
      <c r="AN7603" t="s">
        <v>4519</v>
      </c>
      <c r="AO7603" t="s">
        <v>4519</v>
      </c>
      <c r="AP7603" t="s">
        <v>4519</v>
      </c>
      <c r="AQ7603">
        <v>4</v>
      </c>
      <c r="AR7603" t="s">
        <v>5177</v>
      </c>
      <c r="AS7603" t="s">
        <v>5178</v>
      </c>
      <c r="AT7603" t="s">
        <v>58</v>
      </c>
      <c r="AU7603" t="s">
        <v>8673</v>
      </c>
      <c r="AV7603" t="s">
        <v>132</v>
      </c>
      <c r="AW7603" s="1">
        <v>30241</v>
      </c>
      <c r="AX7603">
        <v>1</v>
      </c>
    </row>
    <row r="7604" spans="1:50">
      <c r="A7604">
        <v>597256</v>
      </c>
      <c r="B7604" t="str">
        <f>"122493222"</f>
        <v>122493222</v>
      </c>
      <c r="C7604" t="s">
        <v>50</v>
      </c>
      <c r="D7604" t="s">
        <v>9065</v>
      </c>
      <c r="E7604" t="s">
        <v>237</v>
      </c>
      <c r="F7604" t="s">
        <v>315</v>
      </c>
      <c r="G7604" t="s">
        <v>1361</v>
      </c>
      <c r="H7604" t="str">
        <f>"ΙΣΤΙΑΙΑΣ 33-35 ΧΑΛΚΙΔΑ"</f>
        <v>ΙΣΤΙΑΙΑΣ 33-35 ΧΑΛΚΙΔΑ</v>
      </c>
      <c r="I7604">
        <v>34100</v>
      </c>
      <c r="J7604">
        <v>2221400231</v>
      </c>
      <c r="N7604" t="s">
        <v>1525</v>
      </c>
      <c r="O7604" t="s">
        <v>1526</v>
      </c>
      <c r="R7604" t="s">
        <v>57</v>
      </c>
      <c r="S7604">
        <v>8</v>
      </c>
      <c r="T7604">
        <v>195</v>
      </c>
      <c r="U7604" s="1">
        <v>37497</v>
      </c>
      <c r="V7604" t="s">
        <v>5177</v>
      </c>
      <c r="W7604" t="s">
        <v>5178</v>
      </c>
      <c r="X7604" t="s">
        <v>58</v>
      </c>
      <c r="Y7604">
        <v>25</v>
      </c>
      <c r="Z7604" t="s">
        <v>59</v>
      </c>
      <c r="AA7604" t="s">
        <v>59</v>
      </c>
      <c r="AB7604" t="s">
        <v>59</v>
      </c>
      <c r="AC7604" t="s">
        <v>59</v>
      </c>
      <c r="AD7604" t="s">
        <v>59</v>
      </c>
      <c r="AF7604" s="1">
        <v>37502</v>
      </c>
      <c r="AG7604" t="s">
        <v>8651</v>
      </c>
      <c r="AH7604" t="s">
        <v>8652</v>
      </c>
      <c r="AI7604" t="str">
        <f>"9320062"</f>
        <v>9320062</v>
      </c>
      <c r="AJ7604" t="s">
        <v>11997</v>
      </c>
      <c r="AK7604">
        <v>2841032366</v>
      </c>
      <c r="AL7604" t="s">
        <v>11998</v>
      </c>
      <c r="AM7604" t="s">
        <v>4513</v>
      </c>
      <c r="AN7604" t="s">
        <v>4514</v>
      </c>
      <c r="AO7604" t="s">
        <v>4524</v>
      </c>
      <c r="AP7604" t="s">
        <v>4525</v>
      </c>
      <c r="AQ7604">
        <v>1</v>
      </c>
      <c r="AR7604" t="s">
        <v>5177</v>
      </c>
      <c r="AS7604" t="s">
        <v>5178</v>
      </c>
      <c r="AT7604" t="s">
        <v>58</v>
      </c>
      <c r="AU7604" t="s">
        <v>68</v>
      </c>
      <c r="AV7604" t="s">
        <v>69</v>
      </c>
      <c r="AW7604" s="1">
        <v>26924</v>
      </c>
      <c r="AX7604">
        <v>1</v>
      </c>
    </row>
    <row r="7605" spans="1:50">
      <c r="B7605" t="str">
        <f>"161205840"</f>
        <v>161205840</v>
      </c>
      <c r="C7605" t="s">
        <v>50</v>
      </c>
      <c r="D7605" t="s">
        <v>11999</v>
      </c>
      <c r="E7605" t="s">
        <v>1001</v>
      </c>
      <c r="F7605" t="s">
        <v>450</v>
      </c>
      <c r="G7605" t="s">
        <v>3480</v>
      </c>
      <c r="H7605" t="str">
        <f>" "</f>
        <v xml:space="preserve"> </v>
      </c>
      <c r="N7605" t="s">
        <v>683</v>
      </c>
      <c r="O7605" t="s">
        <v>684</v>
      </c>
      <c r="R7605" t="s">
        <v>121</v>
      </c>
      <c r="S7605">
        <v>1</v>
      </c>
      <c r="T7605" t="s">
        <v>8675</v>
      </c>
      <c r="U7605" s="1">
        <v>43348</v>
      </c>
      <c r="V7605" t="s">
        <v>5177</v>
      </c>
      <c r="W7605" t="s">
        <v>5178</v>
      </c>
      <c r="X7605" t="s">
        <v>58</v>
      </c>
      <c r="Y7605">
        <v>24</v>
      </c>
      <c r="Z7605" t="s">
        <v>59</v>
      </c>
      <c r="AD7605" t="s">
        <v>59</v>
      </c>
      <c r="AF7605" s="1">
        <v>43348</v>
      </c>
      <c r="AG7605" t="s">
        <v>8645</v>
      </c>
      <c r="AH7605" t="s">
        <v>8646</v>
      </c>
      <c r="AI7605" t="str">
        <f>"9320210"</f>
        <v>9320210</v>
      </c>
      <c r="AJ7605" t="s">
        <v>11890</v>
      </c>
      <c r="AK7605">
        <v>2841026705</v>
      </c>
      <c r="AL7605" t="s">
        <v>11891</v>
      </c>
      <c r="AM7605" t="s">
        <v>4513</v>
      </c>
      <c r="AN7605" t="s">
        <v>4514</v>
      </c>
      <c r="AO7605" t="s">
        <v>4514</v>
      </c>
      <c r="AP7605" t="s">
        <v>4514</v>
      </c>
      <c r="AQ7605">
        <v>1</v>
      </c>
      <c r="AR7605" t="s">
        <v>5177</v>
      </c>
      <c r="AS7605" t="s">
        <v>5178</v>
      </c>
      <c r="AT7605" t="s">
        <v>58</v>
      </c>
      <c r="AU7605" t="s">
        <v>8673</v>
      </c>
      <c r="AV7605" t="s">
        <v>132</v>
      </c>
      <c r="AW7605" s="1">
        <v>34022</v>
      </c>
      <c r="AX7605">
        <v>1</v>
      </c>
    </row>
    <row r="7606" spans="1:50">
      <c r="A7606">
        <v>620617</v>
      </c>
      <c r="B7606" t="str">
        <f>"137481385"</f>
        <v>137481385</v>
      </c>
      <c r="C7606" t="s">
        <v>50</v>
      </c>
      <c r="D7606" t="s">
        <v>12000</v>
      </c>
      <c r="E7606" t="s">
        <v>12001</v>
      </c>
      <c r="F7606" t="s">
        <v>9550</v>
      </c>
      <c r="G7606" t="s">
        <v>1588</v>
      </c>
      <c r="H7606" t="str">
        <f>"ΛΕΥΚΩΣΙΑΣ 56 ΗΡΑΚΛΕΙΟ"</f>
        <v>ΛΕΥΚΩΣΙΑΣ 56 ΗΡΑΚΛΕΙΟ</v>
      </c>
      <c r="I7606">
        <v>71304</v>
      </c>
      <c r="K7606">
        <v>6934131846</v>
      </c>
      <c r="N7606" t="s">
        <v>615</v>
      </c>
      <c r="O7606" t="s">
        <v>616</v>
      </c>
      <c r="R7606" t="s">
        <v>57</v>
      </c>
      <c r="S7606">
        <v>7</v>
      </c>
      <c r="T7606">
        <v>653</v>
      </c>
      <c r="U7606" s="1">
        <v>40043</v>
      </c>
      <c r="V7606" t="s">
        <v>5177</v>
      </c>
      <c r="W7606" t="s">
        <v>5178</v>
      </c>
      <c r="X7606" t="s">
        <v>58</v>
      </c>
      <c r="Y7606">
        <v>23</v>
      </c>
      <c r="Z7606" t="s">
        <v>59</v>
      </c>
      <c r="AA7606" t="s">
        <v>59</v>
      </c>
      <c r="AB7606" t="s">
        <v>59</v>
      </c>
      <c r="AC7606" t="s">
        <v>59</v>
      </c>
      <c r="AD7606" t="s">
        <v>59</v>
      </c>
      <c r="AF7606" s="1">
        <v>40045</v>
      </c>
      <c r="AG7606" t="s">
        <v>8645</v>
      </c>
      <c r="AH7606" t="s">
        <v>8646</v>
      </c>
      <c r="AI7606" t="str">
        <f>"9320115"</f>
        <v>9320115</v>
      </c>
      <c r="AJ7606" t="s">
        <v>11935</v>
      </c>
      <c r="AK7606">
        <v>2843061213</v>
      </c>
      <c r="AL7606" t="s">
        <v>11936</v>
      </c>
      <c r="AM7606" t="s">
        <v>4513</v>
      </c>
      <c r="AN7606" t="s">
        <v>4540</v>
      </c>
      <c r="AO7606" t="s">
        <v>4700</v>
      </c>
      <c r="AP7606" t="s">
        <v>4701</v>
      </c>
      <c r="AQ7606">
        <v>9</v>
      </c>
      <c r="AR7606" t="s">
        <v>5177</v>
      </c>
      <c r="AS7606" t="s">
        <v>5178</v>
      </c>
      <c r="AT7606" t="s">
        <v>58</v>
      </c>
      <c r="AU7606" t="s">
        <v>68</v>
      </c>
      <c r="AV7606" t="s">
        <v>69</v>
      </c>
      <c r="AW7606" s="1">
        <v>30743</v>
      </c>
      <c r="AX7606">
        <v>1</v>
      </c>
    </row>
    <row r="7607" spans="1:50">
      <c r="A7607">
        <v>590461</v>
      </c>
      <c r="B7607" t="str">
        <f>"079896368"</f>
        <v>079896368</v>
      </c>
      <c r="C7607" t="s">
        <v>50</v>
      </c>
      <c r="D7607" t="s">
        <v>12002</v>
      </c>
      <c r="E7607" t="s">
        <v>707</v>
      </c>
      <c r="F7607" t="s">
        <v>459</v>
      </c>
      <c r="G7607" t="s">
        <v>52</v>
      </c>
      <c r="H7607" t="str">
        <f>"ΔΗΜΑΡΧΟΥ ΓΕΩΡΓΙΑΔΟΥ 17 ΜΑΓΝΗΣΙΑ"</f>
        <v>ΔΗΜΑΡΧΟΥ ΓΕΩΡΓΙΑΔΟΥ 17 ΜΑΓΝΗΣΙΑ</v>
      </c>
      <c r="I7607">
        <v>38333</v>
      </c>
      <c r="J7607">
        <v>2421048259</v>
      </c>
      <c r="K7607">
        <v>6981201632</v>
      </c>
      <c r="N7607" t="s">
        <v>337</v>
      </c>
      <c r="O7607" t="s">
        <v>338</v>
      </c>
      <c r="R7607" t="s">
        <v>57</v>
      </c>
      <c r="S7607">
        <v>9</v>
      </c>
      <c r="T7607">
        <v>177</v>
      </c>
      <c r="U7607" s="1">
        <v>36403</v>
      </c>
      <c r="V7607" t="s">
        <v>5177</v>
      </c>
      <c r="W7607" t="s">
        <v>5178</v>
      </c>
      <c r="X7607" t="s">
        <v>58</v>
      </c>
      <c r="Y7607">
        <v>22</v>
      </c>
      <c r="Z7607" t="s">
        <v>59</v>
      </c>
      <c r="AA7607" t="s">
        <v>59</v>
      </c>
      <c r="AB7607" t="s">
        <v>59</v>
      </c>
      <c r="AC7607" t="s">
        <v>59</v>
      </c>
      <c r="AD7607" t="s">
        <v>59</v>
      </c>
      <c r="AF7607" s="1">
        <v>36405</v>
      </c>
      <c r="AG7607" t="s">
        <v>8645</v>
      </c>
      <c r="AH7607" t="s">
        <v>8646</v>
      </c>
      <c r="AI7607" t="str">
        <f>"9320138"</f>
        <v>9320138</v>
      </c>
      <c r="AJ7607" t="s">
        <v>11915</v>
      </c>
      <c r="AK7607">
        <v>2841022104</v>
      </c>
      <c r="AL7607" t="s">
        <v>11916</v>
      </c>
      <c r="AM7607" t="s">
        <v>4513</v>
      </c>
      <c r="AN7607" t="s">
        <v>4514</v>
      </c>
      <c r="AO7607" t="s">
        <v>4514</v>
      </c>
      <c r="AP7607" t="s">
        <v>4514</v>
      </c>
      <c r="AQ7607">
        <v>1</v>
      </c>
      <c r="AR7607" t="s">
        <v>5177</v>
      </c>
      <c r="AS7607" t="s">
        <v>5178</v>
      </c>
      <c r="AT7607" t="s">
        <v>58</v>
      </c>
      <c r="AU7607" t="s">
        <v>68</v>
      </c>
      <c r="AV7607" t="s">
        <v>69</v>
      </c>
      <c r="AW7607" s="1">
        <v>27006</v>
      </c>
      <c r="AX7607">
        <v>1</v>
      </c>
    </row>
    <row r="7608" spans="1:50">
      <c r="B7608" t="str">
        <f>"141433114"</f>
        <v>141433114</v>
      </c>
      <c r="C7608" t="s">
        <v>50</v>
      </c>
      <c r="D7608" t="s">
        <v>12003</v>
      </c>
      <c r="E7608" t="s">
        <v>507</v>
      </c>
      <c r="F7608" t="s">
        <v>315</v>
      </c>
      <c r="G7608" t="s">
        <v>1068</v>
      </c>
      <c r="H7608" t="str">
        <f>"Ν.ΕΡΓΑΤΙΚΕΣ ΚΑΤΟΙΚΙΕΣ 47 "</f>
        <v xml:space="preserve">Ν.ΕΡΓΑΤΙΚΕΣ ΚΑΤΟΙΚΙΕΣ 47 </v>
      </c>
      <c r="I7608">
        <v>53200</v>
      </c>
      <c r="J7608">
        <v>2386023804</v>
      </c>
      <c r="K7608">
        <v>6977438433</v>
      </c>
      <c r="N7608" t="s">
        <v>615</v>
      </c>
      <c r="O7608" t="s">
        <v>616</v>
      </c>
      <c r="R7608" t="s">
        <v>159</v>
      </c>
      <c r="S7608">
        <v>2</v>
      </c>
      <c r="T7608" t="s">
        <v>8675</v>
      </c>
      <c r="U7608" s="1">
        <v>43348</v>
      </c>
      <c r="V7608" t="s">
        <v>5177</v>
      </c>
      <c r="W7608" t="s">
        <v>5178</v>
      </c>
      <c r="X7608" t="s">
        <v>58</v>
      </c>
      <c r="Y7608">
        <v>24</v>
      </c>
      <c r="Z7608" t="s">
        <v>59</v>
      </c>
      <c r="AA7608" t="s">
        <v>59</v>
      </c>
      <c r="AB7608" t="s">
        <v>59</v>
      </c>
      <c r="AC7608" t="s">
        <v>59</v>
      </c>
      <c r="AD7608" t="s">
        <v>59</v>
      </c>
      <c r="AF7608" s="1">
        <v>43348</v>
      </c>
      <c r="AG7608" t="s">
        <v>8645</v>
      </c>
      <c r="AH7608" t="s">
        <v>8646</v>
      </c>
      <c r="AI7608" t="str">
        <f>"9320005"</f>
        <v>9320005</v>
      </c>
      <c r="AJ7608" t="s">
        <v>12004</v>
      </c>
      <c r="AK7608">
        <v>2842022202</v>
      </c>
      <c r="AL7608" t="s">
        <v>12005</v>
      </c>
      <c r="AM7608" t="s">
        <v>4513</v>
      </c>
      <c r="AN7608" t="s">
        <v>4519</v>
      </c>
      <c r="AO7608" t="s">
        <v>4519</v>
      </c>
      <c r="AP7608" t="s">
        <v>4519</v>
      </c>
      <c r="AQ7608">
        <v>4</v>
      </c>
      <c r="AR7608" t="s">
        <v>5177</v>
      </c>
      <c r="AS7608" t="s">
        <v>5178</v>
      </c>
      <c r="AT7608" t="s">
        <v>58</v>
      </c>
      <c r="AU7608" t="s">
        <v>8673</v>
      </c>
      <c r="AV7608" t="s">
        <v>132</v>
      </c>
      <c r="AW7608" s="1">
        <v>32308</v>
      </c>
      <c r="AX7608">
        <v>1</v>
      </c>
    </row>
    <row r="7609" spans="1:50">
      <c r="A7609">
        <v>610665</v>
      </c>
      <c r="B7609" t="str">
        <f>"117607470"</f>
        <v>117607470</v>
      </c>
      <c r="C7609" t="s">
        <v>50</v>
      </c>
      <c r="D7609" t="s">
        <v>5763</v>
      </c>
      <c r="E7609" t="s">
        <v>114</v>
      </c>
      <c r="F7609" t="s">
        <v>53</v>
      </c>
      <c r="G7609" t="s">
        <v>1068</v>
      </c>
      <c r="H7609" t="str">
        <f>"ΒΕΝΙΖΕΛΟΥ 8 ΠΕΡΑΙΑ ΘΕΣΣΑΛΟΝΙΚΗ"</f>
        <v>ΒΕΝΙΖΕΛΟΥ 8 ΠΕΡΑΙΑ ΘΕΣΣΑΛΟΝΙΚΗ</v>
      </c>
      <c r="I7609">
        <v>57019</v>
      </c>
      <c r="J7609">
        <v>2392022555</v>
      </c>
      <c r="K7609">
        <v>6973221507</v>
      </c>
      <c r="N7609" t="s">
        <v>615</v>
      </c>
      <c r="O7609" t="s">
        <v>616</v>
      </c>
      <c r="R7609" t="s">
        <v>57</v>
      </c>
      <c r="S7609">
        <v>6</v>
      </c>
      <c r="T7609">
        <v>233</v>
      </c>
      <c r="U7609" s="1">
        <v>38960</v>
      </c>
      <c r="V7609" t="s">
        <v>5177</v>
      </c>
      <c r="W7609" t="s">
        <v>5178</v>
      </c>
      <c r="X7609" t="s">
        <v>58</v>
      </c>
      <c r="Y7609">
        <v>25</v>
      </c>
      <c r="Z7609" t="s">
        <v>59</v>
      </c>
      <c r="AA7609" t="s">
        <v>59</v>
      </c>
      <c r="AB7609" t="s">
        <v>59</v>
      </c>
      <c r="AC7609" t="s">
        <v>59</v>
      </c>
      <c r="AD7609" t="s">
        <v>59</v>
      </c>
      <c r="AF7609" s="1">
        <v>38961</v>
      </c>
      <c r="AG7609" t="s">
        <v>8645</v>
      </c>
      <c r="AH7609" t="s">
        <v>8676</v>
      </c>
      <c r="AI7609" t="str">
        <f>"9320018"</f>
        <v>9320018</v>
      </c>
      <c r="AJ7609" t="s">
        <v>12006</v>
      </c>
      <c r="AK7609">
        <v>2842092292</v>
      </c>
      <c r="AL7609" t="s">
        <v>12007</v>
      </c>
      <c r="AM7609" t="s">
        <v>4513</v>
      </c>
      <c r="AN7609" t="s">
        <v>4519</v>
      </c>
      <c r="AO7609" t="s">
        <v>4519</v>
      </c>
      <c r="AP7609" t="s">
        <v>12008</v>
      </c>
      <c r="AQ7609">
        <v>7</v>
      </c>
      <c r="AR7609" t="s">
        <v>5177</v>
      </c>
      <c r="AS7609" t="s">
        <v>5178</v>
      </c>
      <c r="AT7609" t="s">
        <v>58</v>
      </c>
      <c r="AU7609" t="s">
        <v>68</v>
      </c>
      <c r="AV7609" t="s">
        <v>69</v>
      </c>
      <c r="AW7609" s="1">
        <v>30247</v>
      </c>
      <c r="AX7609">
        <v>1</v>
      </c>
    </row>
    <row r="7610" spans="1:50">
      <c r="B7610" t="str">
        <f>"131102121"</f>
        <v>131102121</v>
      </c>
      <c r="C7610" t="s">
        <v>105</v>
      </c>
      <c r="D7610" t="s">
        <v>9123</v>
      </c>
      <c r="E7610" t="s">
        <v>72</v>
      </c>
      <c r="F7610" t="s">
        <v>309</v>
      </c>
      <c r="G7610" t="s">
        <v>237</v>
      </c>
      <c r="H7610" t="str">
        <f>"ΑΓΙΑΣ ΣΟΦΙΑΣ 4 "</f>
        <v xml:space="preserve">ΑΓΙΑΣ ΣΟΦΙΑΣ 4 </v>
      </c>
      <c r="I7610">
        <v>55132</v>
      </c>
      <c r="J7610">
        <v>2310434070</v>
      </c>
      <c r="K7610">
        <v>6932544836</v>
      </c>
      <c r="N7610" t="s">
        <v>337</v>
      </c>
      <c r="O7610" t="s">
        <v>338</v>
      </c>
      <c r="R7610" t="s">
        <v>121</v>
      </c>
      <c r="S7610">
        <v>1</v>
      </c>
      <c r="T7610" t="s">
        <v>8675</v>
      </c>
      <c r="U7610" s="1">
        <v>43348</v>
      </c>
      <c r="V7610" t="s">
        <v>5177</v>
      </c>
      <c r="W7610" t="s">
        <v>5178</v>
      </c>
      <c r="X7610" t="s">
        <v>58</v>
      </c>
      <c r="Y7610">
        <v>24</v>
      </c>
      <c r="Z7610" t="s">
        <v>59</v>
      </c>
      <c r="AA7610" t="s">
        <v>59</v>
      </c>
      <c r="AB7610" t="s">
        <v>59</v>
      </c>
      <c r="AC7610" t="s">
        <v>59</v>
      </c>
      <c r="AD7610" t="s">
        <v>59</v>
      </c>
      <c r="AF7610" s="1">
        <v>43348</v>
      </c>
      <c r="AG7610" t="s">
        <v>8645</v>
      </c>
      <c r="AH7610" t="s">
        <v>8646</v>
      </c>
      <c r="AI7610" t="str">
        <f>"9320005"</f>
        <v>9320005</v>
      </c>
      <c r="AJ7610" t="s">
        <v>12004</v>
      </c>
      <c r="AK7610">
        <v>2842022202</v>
      </c>
      <c r="AL7610" t="s">
        <v>12005</v>
      </c>
      <c r="AM7610" t="s">
        <v>4513</v>
      </c>
      <c r="AN7610" t="s">
        <v>4519</v>
      </c>
      <c r="AO7610" t="s">
        <v>4519</v>
      </c>
      <c r="AP7610" t="s">
        <v>4519</v>
      </c>
      <c r="AQ7610">
        <v>4</v>
      </c>
      <c r="AR7610" t="s">
        <v>5177</v>
      </c>
      <c r="AS7610" t="s">
        <v>5178</v>
      </c>
      <c r="AT7610" t="s">
        <v>58</v>
      </c>
      <c r="AU7610" t="s">
        <v>8673</v>
      </c>
      <c r="AV7610" t="s">
        <v>132</v>
      </c>
      <c r="AW7610" s="1">
        <v>30782</v>
      </c>
      <c r="AX7610">
        <v>1</v>
      </c>
    </row>
    <row r="7611" spans="1:50">
      <c r="A7611">
        <v>592564</v>
      </c>
      <c r="B7611" t="str">
        <f>"044366702"</f>
        <v>044366702</v>
      </c>
      <c r="C7611" t="s">
        <v>50</v>
      </c>
      <c r="D7611" t="s">
        <v>754</v>
      </c>
      <c r="E7611" t="s">
        <v>54</v>
      </c>
      <c r="F7611" t="s">
        <v>166</v>
      </c>
      <c r="G7611" t="s">
        <v>1108</v>
      </c>
      <c r="H7611" t="str">
        <f>"ΕΜΜ. ΠΙΜΠΛΗ 15 ΣΗΤΕΙΑ"</f>
        <v>ΕΜΜ. ΠΙΜΠΛΗ 15 ΣΗΤΕΙΑ</v>
      </c>
      <c r="I7611">
        <v>72300</v>
      </c>
      <c r="N7611" t="s">
        <v>176</v>
      </c>
      <c r="O7611" t="s">
        <v>177</v>
      </c>
      <c r="R7611" t="s">
        <v>57</v>
      </c>
      <c r="S7611">
        <v>9</v>
      </c>
      <c r="T7611">
        <v>250</v>
      </c>
      <c r="U7611" s="1">
        <v>36769</v>
      </c>
      <c r="V7611" t="s">
        <v>5177</v>
      </c>
      <c r="W7611" t="s">
        <v>5178</v>
      </c>
      <c r="X7611" t="s">
        <v>58</v>
      </c>
      <c r="Y7611">
        <v>22</v>
      </c>
      <c r="Z7611" t="s">
        <v>59</v>
      </c>
      <c r="AA7611" t="s">
        <v>59</v>
      </c>
      <c r="AB7611" t="s">
        <v>59</v>
      </c>
      <c r="AC7611" t="s">
        <v>59</v>
      </c>
      <c r="AD7611" t="s">
        <v>59</v>
      </c>
      <c r="AF7611" s="1">
        <v>36769</v>
      </c>
      <c r="AG7611" t="s">
        <v>8645</v>
      </c>
      <c r="AH7611" t="s">
        <v>8646</v>
      </c>
      <c r="AI7611" t="str">
        <f>"9320090"</f>
        <v>9320090</v>
      </c>
      <c r="AJ7611" t="s">
        <v>11926</v>
      </c>
      <c r="AK7611">
        <v>2843022385</v>
      </c>
      <c r="AL7611" t="s">
        <v>11927</v>
      </c>
      <c r="AM7611" t="s">
        <v>4513</v>
      </c>
      <c r="AN7611" t="s">
        <v>4540</v>
      </c>
      <c r="AO7611" t="s">
        <v>4540</v>
      </c>
      <c r="AP7611" t="s">
        <v>4540</v>
      </c>
      <c r="AQ7611">
        <v>8</v>
      </c>
      <c r="AR7611" t="s">
        <v>5177</v>
      </c>
      <c r="AS7611" t="s">
        <v>5178</v>
      </c>
      <c r="AT7611" t="s">
        <v>58</v>
      </c>
      <c r="AU7611" t="s">
        <v>68</v>
      </c>
      <c r="AV7611" t="s">
        <v>69</v>
      </c>
      <c r="AW7611" s="1">
        <v>25171</v>
      </c>
      <c r="AX7611">
        <v>1</v>
      </c>
    </row>
    <row r="7612" spans="1:50">
      <c r="B7612" t="str">
        <f>"110306000"</f>
        <v>110306000</v>
      </c>
      <c r="C7612" t="s">
        <v>50</v>
      </c>
      <c r="D7612" t="s">
        <v>767</v>
      </c>
      <c r="E7612" t="s">
        <v>109</v>
      </c>
      <c r="F7612" t="s">
        <v>106</v>
      </c>
      <c r="G7612" t="s">
        <v>52</v>
      </c>
      <c r="H7612" t="str">
        <f>"ΚΡΙΤΣΑ ΑΓΙΟΣ ΝΙΚΟΛΑΟΣ"</f>
        <v>ΚΡΙΤΣΑ ΑΓΙΟΣ ΝΙΚΟΛΑΟΣ</v>
      </c>
      <c r="I7612">
        <v>72051</v>
      </c>
      <c r="J7612">
        <v>2841051551</v>
      </c>
      <c r="K7612">
        <v>6948067532</v>
      </c>
      <c r="N7612" t="s">
        <v>8694</v>
      </c>
      <c r="O7612" t="s">
        <v>8695</v>
      </c>
      <c r="R7612" t="s">
        <v>57</v>
      </c>
      <c r="S7612">
        <v>5</v>
      </c>
      <c r="T7612" t="s">
        <v>8696</v>
      </c>
      <c r="U7612" s="1">
        <v>43348</v>
      </c>
      <c r="V7612" t="s">
        <v>5177</v>
      </c>
      <c r="W7612" t="s">
        <v>5178</v>
      </c>
      <c r="X7612" t="s">
        <v>58</v>
      </c>
      <c r="Y7612">
        <v>25</v>
      </c>
      <c r="Z7612" t="s">
        <v>59</v>
      </c>
      <c r="AA7612" t="s">
        <v>59</v>
      </c>
      <c r="AB7612" t="s">
        <v>59</v>
      </c>
      <c r="AC7612" t="s">
        <v>59</v>
      </c>
      <c r="AD7612" t="s">
        <v>59</v>
      </c>
      <c r="AF7612" s="1">
        <v>43348</v>
      </c>
      <c r="AG7612" t="s">
        <v>8645</v>
      </c>
      <c r="AH7612" t="s">
        <v>8697</v>
      </c>
      <c r="AI7612" t="str">
        <f>"9320209"</f>
        <v>9320209</v>
      </c>
      <c r="AJ7612" t="s">
        <v>12009</v>
      </c>
      <c r="AK7612">
        <v>2841026803</v>
      </c>
      <c r="AL7612" t="s">
        <v>12010</v>
      </c>
      <c r="AM7612" t="s">
        <v>4513</v>
      </c>
      <c r="AN7612" t="s">
        <v>4514</v>
      </c>
      <c r="AO7612" t="s">
        <v>4514</v>
      </c>
      <c r="AP7612" t="s">
        <v>4514</v>
      </c>
      <c r="AQ7612">
        <v>1</v>
      </c>
      <c r="AR7612" t="s">
        <v>5177</v>
      </c>
      <c r="AS7612" t="s">
        <v>5178</v>
      </c>
      <c r="AT7612" t="s">
        <v>58</v>
      </c>
      <c r="AU7612" t="s">
        <v>350</v>
      </c>
      <c r="AV7612" t="s">
        <v>132</v>
      </c>
      <c r="AW7612" s="1">
        <v>30575</v>
      </c>
      <c r="AX7612">
        <v>1</v>
      </c>
    </row>
    <row r="7613" spans="1:50">
      <c r="A7613">
        <v>581702</v>
      </c>
      <c r="B7613" t="str">
        <f>"039241081"</f>
        <v>039241081</v>
      </c>
      <c r="C7613" t="s">
        <v>105</v>
      </c>
      <c r="D7613" t="s">
        <v>12011</v>
      </c>
      <c r="E7613" t="s">
        <v>72</v>
      </c>
      <c r="F7613" t="s">
        <v>166</v>
      </c>
      <c r="G7613" t="s">
        <v>143</v>
      </c>
      <c r="H7613" t="str">
        <f>"ΕΠΙΣΚΟΠΗ ΙΕΡΑΠΕΤΡΑΣ"</f>
        <v>ΕΠΙΣΚΟΠΗ ΙΕΡΑΠΕΤΡΑΣ</v>
      </c>
      <c r="I7613">
        <v>72200</v>
      </c>
      <c r="J7613">
        <v>2842031167</v>
      </c>
      <c r="N7613" t="s">
        <v>615</v>
      </c>
      <c r="O7613" t="s">
        <v>616</v>
      </c>
      <c r="R7613" t="s">
        <v>57</v>
      </c>
      <c r="S7613">
        <v>13</v>
      </c>
      <c r="T7613">
        <v>179</v>
      </c>
      <c r="U7613" s="1">
        <v>35674</v>
      </c>
      <c r="V7613" t="s">
        <v>5177</v>
      </c>
      <c r="W7613" t="s">
        <v>5178</v>
      </c>
      <c r="X7613" t="s">
        <v>58</v>
      </c>
      <c r="Y7613">
        <v>21</v>
      </c>
      <c r="Z7613" t="s">
        <v>59</v>
      </c>
      <c r="AA7613" t="s">
        <v>59</v>
      </c>
      <c r="AB7613" t="s">
        <v>59</v>
      </c>
      <c r="AC7613" t="s">
        <v>59</v>
      </c>
      <c r="AD7613" t="s">
        <v>59</v>
      </c>
      <c r="AF7613" s="1">
        <v>35675</v>
      </c>
      <c r="AG7613" t="s">
        <v>8645</v>
      </c>
      <c r="AH7613" t="s">
        <v>8646</v>
      </c>
      <c r="AI7613" t="str">
        <f>"9320163"</f>
        <v>9320163</v>
      </c>
      <c r="AJ7613" t="s">
        <v>12012</v>
      </c>
      <c r="AK7613">
        <v>2842024595</v>
      </c>
      <c r="AL7613" t="s">
        <v>12013</v>
      </c>
      <c r="AM7613" t="s">
        <v>4513</v>
      </c>
      <c r="AN7613" t="s">
        <v>4519</v>
      </c>
      <c r="AO7613" t="s">
        <v>4519</v>
      </c>
      <c r="AP7613" t="s">
        <v>4519</v>
      </c>
      <c r="AQ7613">
        <v>4</v>
      </c>
      <c r="AR7613" t="s">
        <v>5177</v>
      </c>
      <c r="AS7613" t="s">
        <v>5178</v>
      </c>
      <c r="AT7613" t="s">
        <v>58</v>
      </c>
      <c r="AU7613" t="s">
        <v>68</v>
      </c>
      <c r="AV7613" t="s">
        <v>69</v>
      </c>
      <c r="AW7613" s="1">
        <v>24699</v>
      </c>
      <c r="AX7613">
        <v>1</v>
      </c>
    </row>
    <row r="7614" spans="1:50">
      <c r="B7614" t="str">
        <f>"152869880"</f>
        <v>152869880</v>
      </c>
      <c r="C7614" t="s">
        <v>50</v>
      </c>
      <c r="D7614" t="s">
        <v>12014</v>
      </c>
      <c r="E7614" t="s">
        <v>181</v>
      </c>
      <c r="F7614" t="s">
        <v>1258</v>
      </c>
      <c r="G7614" t="s">
        <v>52</v>
      </c>
      <c r="H7614" t="str">
        <f>"ΣΙΜΩΝΙΔΟΥ 47 ΣΠΑΡΤΗ"</f>
        <v>ΣΙΜΩΝΙΔΟΥ 47 ΣΠΑΡΤΗ</v>
      </c>
      <c r="I7614">
        <v>23100</v>
      </c>
      <c r="J7614">
        <v>2731024835</v>
      </c>
      <c r="K7614">
        <v>6983271397</v>
      </c>
      <c r="N7614" t="s">
        <v>615</v>
      </c>
      <c r="O7614" t="s">
        <v>616</v>
      </c>
      <c r="R7614" t="s">
        <v>159</v>
      </c>
      <c r="S7614">
        <v>3</v>
      </c>
      <c r="T7614" t="s">
        <v>8675</v>
      </c>
      <c r="U7614" s="1">
        <v>43348</v>
      </c>
      <c r="V7614" t="s">
        <v>5177</v>
      </c>
      <c r="W7614" t="s">
        <v>5178</v>
      </c>
      <c r="X7614" t="s">
        <v>58</v>
      </c>
      <c r="Y7614">
        <v>24</v>
      </c>
      <c r="Z7614" t="s">
        <v>59</v>
      </c>
      <c r="AA7614" t="s">
        <v>59</v>
      </c>
      <c r="AB7614" t="s">
        <v>59</v>
      </c>
      <c r="AC7614" t="s">
        <v>59</v>
      </c>
      <c r="AD7614" t="s">
        <v>59</v>
      </c>
      <c r="AF7614" s="1">
        <v>43348</v>
      </c>
      <c r="AG7614" t="s">
        <v>8645</v>
      </c>
      <c r="AH7614" t="s">
        <v>8646</v>
      </c>
      <c r="AI7614" t="str">
        <f>"9320009"</f>
        <v>9320009</v>
      </c>
      <c r="AJ7614" t="s">
        <v>11959</v>
      </c>
      <c r="AK7614">
        <v>2842061261</v>
      </c>
      <c r="AL7614" t="s">
        <v>11960</v>
      </c>
      <c r="AM7614" t="s">
        <v>4513</v>
      </c>
      <c r="AN7614" t="s">
        <v>4519</v>
      </c>
      <c r="AO7614" t="s">
        <v>4519</v>
      </c>
      <c r="AP7614" t="s">
        <v>11961</v>
      </c>
      <c r="AQ7614">
        <v>6</v>
      </c>
      <c r="AR7614" t="s">
        <v>5177</v>
      </c>
      <c r="AS7614" t="s">
        <v>5178</v>
      </c>
      <c r="AT7614" t="s">
        <v>58</v>
      </c>
      <c r="AU7614" t="s">
        <v>8673</v>
      </c>
      <c r="AV7614" t="s">
        <v>132</v>
      </c>
      <c r="AW7614" s="1">
        <v>32366</v>
      </c>
      <c r="AX7614">
        <v>1</v>
      </c>
    </row>
    <row r="7615" spans="1:50">
      <c r="A7615">
        <v>565150</v>
      </c>
      <c r="B7615" t="str">
        <f>"035354188"</f>
        <v>035354188</v>
      </c>
      <c r="C7615" t="s">
        <v>50</v>
      </c>
      <c r="D7615" t="s">
        <v>12015</v>
      </c>
      <c r="E7615" t="s">
        <v>659</v>
      </c>
      <c r="F7615" t="s">
        <v>166</v>
      </c>
      <c r="G7615" t="s">
        <v>1588</v>
      </c>
      <c r="H7615" t="str">
        <f>"ΠΙΣΚΟΚΕΦΑΛΟ ΣΗΤΕΙΑΣ"</f>
        <v>ΠΙΣΚΟΚΕΦΑΛΟ ΣΗΤΕΙΑΣ</v>
      </c>
      <c r="I7615">
        <v>72300</v>
      </c>
      <c r="J7615">
        <v>2843025507</v>
      </c>
      <c r="K7615">
        <v>6976404715</v>
      </c>
      <c r="N7615" t="s">
        <v>615</v>
      </c>
      <c r="O7615" t="s">
        <v>616</v>
      </c>
      <c r="R7615" t="s">
        <v>57</v>
      </c>
      <c r="S7615">
        <v>16</v>
      </c>
      <c r="T7615">
        <v>161</v>
      </c>
      <c r="U7615" s="1">
        <v>33119</v>
      </c>
      <c r="V7615" t="s">
        <v>5177</v>
      </c>
      <c r="W7615" t="s">
        <v>5178</v>
      </c>
      <c r="X7615" t="s">
        <v>58</v>
      </c>
      <c r="Y7615">
        <v>21</v>
      </c>
      <c r="Z7615" t="s">
        <v>59</v>
      </c>
      <c r="AA7615" t="s">
        <v>59</v>
      </c>
      <c r="AB7615" t="s">
        <v>59</v>
      </c>
      <c r="AC7615" t="s">
        <v>59</v>
      </c>
      <c r="AD7615" t="s">
        <v>59</v>
      </c>
      <c r="AF7615" s="1">
        <v>33119</v>
      </c>
      <c r="AG7615" t="s">
        <v>8645</v>
      </c>
      <c r="AH7615" t="s">
        <v>8646</v>
      </c>
      <c r="AI7615" t="str">
        <f>"9320090"</f>
        <v>9320090</v>
      </c>
      <c r="AJ7615" t="s">
        <v>11926</v>
      </c>
      <c r="AK7615">
        <v>2843022385</v>
      </c>
      <c r="AL7615" t="s">
        <v>11927</v>
      </c>
      <c r="AM7615" t="s">
        <v>4513</v>
      </c>
      <c r="AN7615" t="s">
        <v>4540</v>
      </c>
      <c r="AO7615" t="s">
        <v>4540</v>
      </c>
      <c r="AP7615" t="s">
        <v>4540</v>
      </c>
      <c r="AQ7615">
        <v>8</v>
      </c>
      <c r="AR7615" t="s">
        <v>5177</v>
      </c>
      <c r="AS7615" t="s">
        <v>5178</v>
      </c>
      <c r="AT7615" t="s">
        <v>58</v>
      </c>
      <c r="AU7615" t="s">
        <v>68</v>
      </c>
      <c r="AV7615" t="s">
        <v>69</v>
      </c>
      <c r="AW7615" s="1">
        <v>24208</v>
      </c>
      <c r="AX7615">
        <v>1</v>
      </c>
    </row>
    <row r="7616" spans="1:50">
      <c r="B7616" t="str">
        <f>"110254190"</f>
        <v>110254190</v>
      </c>
      <c r="C7616" t="s">
        <v>50</v>
      </c>
      <c r="D7616" t="s">
        <v>12015</v>
      </c>
      <c r="E7616" t="s">
        <v>109</v>
      </c>
      <c r="F7616" t="s">
        <v>166</v>
      </c>
      <c r="G7616" t="s">
        <v>181</v>
      </c>
      <c r="H7616" t="str">
        <f>"ΚΛΕΟΜΕΝΗΣ 4 ΗΡΑΚΛΕΙΟ"</f>
        <v>ΚΛΕΟΜΕΝΗΣ 4 ΗΡΑΚΛΕΙΟ</v>
      </c>
      <c r="J7616">
        <v>2811110466</v>
      </c>
      <c r="K7616">
        <v>6974140708</v>
      </c>
      <c r="N7616" t="s">
        <v>204</v>
      </c>
      <c r="O7616" t="s">
        <v>205</v>
      </c>
      <c r="R7616" t="s">
        <v>159</v>
      </c>
      <c r="S7616">
        <v>4</v>
      </c>
      <c r="T7616" t="s">
        <v>8675</v>
      </c>
      <c r="U7616" s="1">
        <v>43348</v>
      </c>
      <c r="V7616" t="s">
        <v>5177</v>
      </c>
      <c r="W7616" t="s">
        <v>5178</v>
      </c>
      <c r="X7616" t="s">
        <v>58</v>
      </c>
      <c r="Y7616">
        <v>24</v>
      </c>
      <c r="Z7616" t="s">
        <v>59</v>
      </c>
      <c r="AA7616" t="s">
        <v>59</v>
      </c>
      <c r="AB7616" t="s">
        <v>59</v>
      </c>
      <c r="AC7616" t="s">
        <v>59</v>
      </c>
      <c r="AD7616" t="s">
        <v>59</v>
      </c>
      <c r="AF7616" s="1">
        <v>43348</v>
      </c>
      <c r="AG7616" t="s">
        <v>8645</v>
      </c>
      <c r="AH7616" t="s">
        <v>8646</v>
      </c>
      <c r="AI7616" t="str">
        <f>"9320163"</f>
        <v>9320163</v>
      </c>
      <c r="AJ7616" t="s">
        <v>12012</v>
      </c>
      <c r="AK7616">
        <v>2842024595</v>
      </c>
      <c r="AL7616" t="s">
        <v>12013</v>
      </c>
      <c r="AM7616" t="s">
        <v>4513</v>
      </c>
      <c r="AN7616" t="s">
        <v>4519</v>
      </c>
      <c r="AO7616" t="s">
        <v>4519</v>
      </c>
      <c r="AP7616" t="s">
        <v>4519</v>
      </c>
      <c r="AQ7616">
        <v>4</v>
      </c>
      <c r="AR7616" t="s">
        <v>5177</v>
      </c>
      <c r="AS7616" t="s">
        <v>5178</v>
      </c>
      <c r="AT7616" t="s">
        <v>58</v>
      </c>
      <c r="AU7616" t="s">
        <v>8673</v>
      </c>
      <c r="AV7616" t="s">
        <v>132</v>
      </c>
      <c r="AW7616" s="1">
        <v>29957</v>
      </c>
      <c r="AX7616">
        <v>1</v>
      </c>
    </row>
    <row r="7617" spans="1:50">
      <c r="A7617">
        <v>226014</v>
      </c>
      <c r="B7617" t="str">
        <f>"073271911"</f>
        <v>073271911</v>
      </c>
      <c r="C7617" t="s">
        <v>50</v>
      </c>
      <c r="D7617" t="s">
        <v>4636</v>
      </c>
      <c r="E7617" t="s">
        <v>52</v>
      </c>
      <c r="F7617" t="s">
        <v>106</v>
      </c>
      <c r="G7617" t="s">
        <v>367</v>
      </c>
      <c r="H7617" t="str">
        <f>"ΜΑΚΡΗ 12 ΙΕΡΑΠΕΤΡΑ"</f>
        <v>ΜΑΚΡΗ 12 ΙΕΡΑΠΕΤΡΑ</v>
      </c>
      <c r="I7617">
        <v>72200</v>
      </c>
      <c r="J7617">
        <v>2842080361</v>
      </c>
      <c r="K7617">
        <v>6947712571</v>
      </c>
      <c r="M7617" t="s">
        <v>12016</v>
      </c>
      <c r="N7617" t="s">
        <v>176</v>
      </c>
      <c r="O7617" t="s">
        <v>177</v>
      </c>
      <c r="R7617" t="s">
        <v>57</v>
      </c>
      <c r="S7617">
        <v>10</v>
      </c>
      <c r="T7617">
        <v>177</v>
      </c>
      <c r="U7617" s="1">
        <v>36403</v>
      </c>
      <c r="V7617" t="s">
        <v>5177</v>
      </c>
      <c r="W7617" t="s">
        <v>5178</v>
      </c>
      <c r="X7617" t="s">
        <v>58</v>
      </c>
      <c r="Y7617">
        <v>22</v>
      </c>
      <c r="Z7617" t="s">
        <v>59</v>
      </c>
      <c r="AA7617" t="s">
        <v>59</v>
      </c>
      <c r="AB7617" t="s">
        <v>59</v>
      </c>
      <c r="AC7617" t="s">
        <v>59</v>
      </c>
      <c r="AD7617" t="s">
        <v>59</v>
      </c>
      <c r="AF7617" s="1">
        <v>36404</v>
      </c>
      <c r="AG7617" t="s">
        <v>8645</v>
      </c>
      <c r="AH7617" t="s">
        <v>8646</v>
      </c>
      <c r="AI7617" t="str">
        <f>"9320001"</f>
        <v>9320001</v>
      </c>
      <c r="AJ7617" t="s">
        <v>11954</v>
      </c>
      <c r="AK7617">
        <v>2842022505</v>
      </c>
      <c r="AL7617" t="s">
        <v>11955</v>
      </c>
      <c r="AM7617" t="s">
        <v>4513</v>
      </c>
      <c r="AN7617" t="s">
        <v>4519</v>
      </c>
      <c r="AO7617" t="s">
        <v>4519</v>
      </c>
      <c r="AP7617" t="s">
        <v>4519</v>
      </c>
      <c r="AQ7617">
        <v>4</v>
      </c>
      <c r="AR7617" t="s">
        <v>5177</v>
      </c>
      <c r="AS7617" t="s">
        <v>5178</v>
      </c>
      <c r="AT7617" t="s">
        <v>58</v>
      </c>
      <c r="AU7617" t="s">
        <v>68</v>
      </c>
      <c r="AV7617" t="s">
        <v>69</v>
      </c>
      <c r="AW7617" s="1">
        <v>25290</v>
      </c>
      <c r="AX7617">
        <v>1</v>
      </c>
    </row>
    <row r="7618" spans="1:50">
      <c r="A7618">
        <v>595601</v>
      </c>
      <c r="B7618" t="str">
        <f>"064113984"</f>
        <v>064113984</v>
      </c>
      <c r="C7618" t="s">
        <v>50</v>
      </c>
      <c r="D7618" t="s">
        <v>796</v>
      </c>
      <c r="E7618" t="s">
        <v>250</v>
      </c>
      <c r="F7618" t="s">
        <v>166</v>
      </c>
      <c r="G7618" t="s">
        <v>1306</v>
      </c>
      <c r="H7618" t="str">
        <f>"ΠΑΧΕΙΑ ΑΜΜΟΣ "</f>
        <v xml:space="preserve">ΠΑΧΕΙΑ ΑΜΜΟΣ </v>
      </c>
      <c r="I7618">
        <v>72200</v>
      </c>
      <c r="J7618">
        <v>2842093339</v>
      </c>
      <c r="N7618" t="s">
        <v>1525</v>
      </c>
      <c r="O7618" t="s">
        <v>1526</v>
      </c>
      <c r="R7618" t="s">
        <v>57</v>
      </c>
      <c r="S7618">
        <v>8</v>
      </c>
      <c r="T7618">
        <v>218</v>
      </c>
      <c r="U7618" s="1">
        <v>37134</v>
      </c>
      <c r="V7618" t="s">
        <v>5177</v>
      </c>
      <c r="W7618" t="s">
        <v>5178</v>
      </c>
      <c r="X7618" t="s">
        <v>58</v>
      </c>
      <c r="Y7618">
        <v>25</v>
      </c>
      <c r="Z7618" t="s">
        <v>59</v>
      </c>
      <c r="AA7618" t="s">
        <v>59</v>
      </c>
      <c r="AB7618" t="s">
        <v>59</v>
      </c>
      <c r="AC7618" t="s">
        <v>59</v>
      </c>
      <c r="AD7618" t="s">
        <v>59</v>
      </c>
      <c r="AF7618" s="1">
        <v>37140</v>
      </c>
      <c r="AG7618" t="s">
        <v>8651</v>
      </c>
      <c r="AH7618" t="s">
        <v>8652</v>
      </c>
      <c r="AI7618" t="str">
        <f>"9521466"</f>
        <v>9521466</v>
      </c>
      <c r="AJ7618" t="s">
        <v>12017</v>
      </c>
      <c r="AK7618">
        <v>2842025606</v>
      </c>
      <c r="AL7618" t="s">
        <v>12018</v>
      </c>
      <c r="AM7618" t="s">
        <v>4513</v>
      </c>
      <c r="AN7618" t="s">
        <v>4519</v>
      </c>
      <c r="AO7618" t="s">
        <v>4519</v>
      </c>
      <c r="AP7618" t="s">
        <v>4519</v>
      </c>
      <c r="AQ7618">
        <v>4</v>
      </c>
      <c r="AR7618" t="s">
        <v>5177</v>
      </c>
      <c r="AS7618" t="s">
        <v>5178</v>
      </c>
      <c r="AT7618" t="s">
        <v>58</v>
      </c>
      <c r="AU7618" t="s">
        <v>68</v>
      </c>
      <c r="AV7618" t="s">
        <v>69</v>
      </c>
      <c r="AW7618" s="1">
        <v>27641</v>
      </c>
      <c r="AX7618">
        <v>1</v>
      </c>
    </row>
    <row r="7619" spans="1:50">
      <c r="A7619">
        <v>584699</v>
      </c>
      <c r="B7619" t="str">
        <f>"056059397"</f>
        <v>056059397</v>
      </c>
      <c r="C7619" t="s">
        <v>105</v>
      </c>
      <c r="D7619" t="s">
        <v>12019</v>
      </c>
      <c r="E7619" t="s">
        <v>3049</v>
      </c>
      <c r="F7619" t="s">
        <v>309</v>
      </c>
      <c r="G7619" t="s">
        <v>714</v>
      </c>
      <c r="H7619" t="str">
        <f>"ΔΙΑΚΟΠΤΟ  ΑΧΑΪΑΣ ΔΙΑΚΟΠΤΟ  ΑΧΑΪΑΣ"</f>
        <v>ΔΙΑΚΟΠΤΟ  ΑΧΑΪΑΣ ΔΙΑΚΟΠΤΟ  ΑΧΑΪΑΣ</v>
      </c>
      <c r="I7619">
        <v>25003</v>
      </c>
      <c r="J7619">
        <v>2691041315</v>
      </c>
      <c r="K7619">
        <v>6938490308</v>
      </c>
      <c r="N7619" t="s">
        <v>615</v>
      </c>
      <c r="O7619" t="s">
        <v>616</v>
      </c>
      <c r="R7619" t="s">
        <v>57</v>
      </c>
      <c r="S7619">
        <v>11</v>
      </c>
      <c r="T7619">
        <v>165</v>
      </c>
      <c r="U7619" s="1">
        <v>36040</v>
      </c>
      <c r="V7619" t="s">
        <v>5177</v>
      </c>
      <c r="W7619" t="s">
        <v>5178</v>
      </c>
      <c r="X7619" t="s">
        <v>58</v>
      </c>
      <c r="Y7619">
        <v>21</v>
      </c>
      <c r="Z7619" t="s">
        <v>59</v>
      </c>
      <c r="AA7619" t="s">
        <v>59</v>
      </c>
      <c r="AB7619" t="s">
        <v>59</v>
      </c>
      <c r="AC7619" t="s">
        <v>59</v>
      </c>
      <c r="AD7619" t="s">
        <v>59</v>
      </c>
      <c r="AF7619" s="1">
        <v>36045</v>
      </c>
      <c r="AG7619" t="s">
        <v>8645</v>
      </c>
      <c r="AH7619" t="s">
        <v>8646</v>
      </c>
      <c r="AI7619" t="str">
        <f>"9320055"</f>
        <v>9320055</v>
      </c>
      <c r="AJ7619" t="s">
        <v>11937</v>
      </c>
      <c r="AK7619">
        <v>2841022326</v>
      </c>
      <c r="AL7619" t="s">
        <v>11938</v>
      </c>
      <c r="AM7619" t="s">
        <v>4513</v>
      </c>
      <c r="AN7619" t="s">
        <v>4514</v>
      </c>
      <c r="AO7619" t="s">
        <v>4514</v>
      </c>
      <c r="AP7619" t="s">
        <v>4514</v>
      </c>
      <c r="AQ7619">
        <v>1</v>
      </c>
      <c r="AR7619" t="s">
        <v>5177</v>
      </c>
      <c r="AS7619" t="s">
        <v>5178</v>
      </c>
      <c r="AT7619" t="s">
        <v>58</v>
      </c>
      <c r="AU7619" t="s">
        <v>68</v>
      </c>
      <c r="AV7619" t="s">
        <v>69</v>
      </c>
      <c r="AW7619" s="1">
        <v>24832</v>
      </c>
      <c r="AX7619">
        <v>1</v>
      </c>
    </row>
    <row r="7620" spans="1:50">
      <c r="B7620" t="str">
        <f>"106959296"</f>
        <v>106959296</v>
      </c>
      <c r="C7620" t="s">
        <v>50</v>
      </c>
      <c r="D7620" t="s">
        <v>818</v>
      </c>
      <c r="E7620" t="s">
        <v>52</v>
      </c>
      <c r="F7620" t="s">
        <v>304</v>
      </c>
      <c r="G7620" t="s">
        <v>1074</v>
      </c>
      <c r="H7620" t="str">
        <f>"ΑΡΤΑΚΗΣ 79 "</f>
        <v xml:space="preserve">ΑΡΤΑΚΗΣ 79 </v>
      </c>
      <c r="I7620">
        <v>17124</v>
      </c>
      <c r="J7620">
        <v>2130147003</v>
      </c>
      <c r="K7620">
        <v>6977293358</v>
      </c>
      <c r="N7620" t="s">
        <v>683</v>
      </c>
      <c r="O7620" t="s">
        <v>684</v>
      </c>
      <c r="R7620" t="s">
        <v>121</v>
      </c>
      <c r="S7620">
        <v>1</v>
      </c>
      <c r="T7620" t="s">
        <v>8675</v>
      </c>
      <c r="U7620" s="1">
        <v>43348</v>
      </c>
      <c r="V7620" t="s">
        <v>5177</v>
      </c>
      <c r="W7620" t="s">
        <v>5178</v>
      </c>
      <c r="X7620" t="s">
        <v>58</v>
      </c>
      <c r="Y7620">
        <v>24</v>
      </c>
      <c r="Z7620" t="s">
        <v>59</v>
      </c>
      <c r="AA7620" t="s">
        <v>59</v>
      </c>
      <c r="AB7620" t="s">
        <v>59</v>
      </c>
      <c r="AC7620" t="s">
        <v>59</v>
      </c>
      <c r="AD7620" t="s">
        <v>59</v>
      </c>
      <c r="AF7620" s="1">
        <v>43348</v>
      </c>
      <c r="AG7620" t="s">
        <v>8645</v>
      </c>
      <c r="AH7620" t="s">
        <v>8646</v>
      </c>
      <c r="AI7620" t="str">
        <f>"9320205"</f>
        <v>9320205</v>
      </c>
      <c r="AJ7620" t="s">
        <v>11902</v>
      </c>
      <c r="AK7620">
        <v>2843024509</v>
      </c>
      <c r="AL7620" t="s">
        <v>11903</v>
      </c>
      <c r="AM7620" t="s">
        <v>4513</v>
      </c>
      <c r="AN7620" t="s">
        <v>4540</v>
      </c>
      <c r="AO7620" t="s">
        <v>4540</v>
      </c>
      <c r="AP7620" t="s">
        <v>4540</v>
      </c>
      <c r="AQ7620">
        <v>8</v>
      </c>
      <c r="AR7620" t="s">
        <v>5177</v>
      </c>
      <c r="AS7620" t="s">
        <v>5178</v>
      </c>
      <c r="AT7620" t="s">
        <v>58</v>
      </c>
      <c r="AU7620" t="s">
        <v>8673</v>
      </c>
      <c r="AV7620" t="s">
        <v>132</v>
      </c>
      <c r="AW7620" s="1">
        <v>28926</v>
      </c>
      <c r="AX7620">
        <v>1</v>
      </c>
    </row>
    <row r="7621" spans="1:50">
      <c r="B7621" t="str">
        <f>"055303782"</f>
        <v>055303782</v>
      </c>
      <c r="C7621" t="s">
        <v>50</v>
      </c>
      <c r="D7621" t="s">
        <v>822</v>
      </c>
      <c r="E7621" t="s">
        <v>1355</v>
      </c>
      <c r="F7621" t="s">
        <v>99</v>
      </c>
      <c r="G7621" t="s">
        <v>155</v>
      </c>
      <c r="H7621" t="str">
        <f>" "</f>
        <v xml:space="preserve"> </v>
      </c>
      <c r="N7621" t="s">
        <v>1525</v>
      </c>
      <c r="O7621" t="s">
        <v>1526</v>
      </c>
      <c r="R7621" t="s">
        <v>57</v>
      </c>
      <c r="S7621">
        <v>4</v>
      </c>
      <c r="T7621" t="s">
        <v>8670</v>
      </c>
      <c r="U7621" s="1">
        <v>43348</v>
      </c>
      <c r="V7621" t="s">
        <v>5177</v>
      </c>
      <c r="W7621" t="s">
        <v>5178</v>
      </c>
      <c r="X7621" t="s">
        <v>58</v>
      </c>
      <c r="Y7621">
        <v>25</v>
      </c>
      <c r="Z7621" t="s">
        <v>59</v>
      </c>
      <c r="AA7621" t="s">
        <v>59</v>
      </c>
      <c r="AB7621" t="s">
        <v>59</v>
      </c>
      <c r="AD7621" t="s">
        <v>59</v>
      </c>
      <c r="AF7621" s="1">
        <v>43348</v>
      </c>
      <c r="AG7621" t="s">
        <v>8651</v>
      </c>
      <c r="AH7621" t="s">
        <v>8652</v>
      </c>
      <c r="AI7621" t="str">
        <f>"9320222"</f>
        <v>9320222</v>
      </c>
      <c r="AJ7621" t="s">
        <v>12020</v>
      </c>
      <c r="AK7621">
        <v>2841022857</v>
      </c>
      <c r="AL7621" t="s">
        <v>12021</v>
      </c>
      <c r="AM7621" t="s">
        <v>4513</v>
      </c>
      <c r="AN7621" t="s">
        <v>4514</v>
      </c>
      <c r="AO7621" t="s">
        <v>4514</v>
      </c>
      <c r="AP7621" t="s">
        <v>4514</v>
      </c>
      <c r="AQ7621">
        <v>1</v>
      </c>
      <c r="AR7621" t="s">
        <v>5177</v>
      </c>
      <c r="AS7621" t="s">
        <v>5178</v>
      </c>
      <c r="AT7621" t="s">
        <v>58</v>
      </c>
      <c r="AU7621" t="s">
        <v>8673</v>
      </c>
      <c r="AV7621" t="s">
        <v>132</v>
      </c>
      <c r="AW7621" s="1">
        <v>25569</v>
      </c>
      <c r="AX7621">
        <v>1</v>
      </c>
    </row>
    <row r="7622" spans="1:50">
      <c r="B7622" t="str">
        <f>"070996222"</f>
        <v>070996222</v>
      </c>
      <c r="C7622" t="s">
        <v>50</v>
      </c>
      <c r="D7622" t="s">
        <v>9182</v>
      </c>
      <c r="E7622" t="s">
        <v>155</v>
      </c>
      <c r="F7622" t="s">
        <v>95</v>
      </c>
      <c r="G7622" t="s">
        <v>181</v>
      </c>
      <c r="H7622" t="str">
        <f>" "</f>
        <v xml:space="preserve"> </v>
      </c>
      <c r="N7622" t="s">
        <v>1525</v>
      </c>
      <c r="O7622" t="s">
        <v>1526</v>
      </c>
      <c r="R7622" t="s">
        <v>121</v>
      </c>
      <c r="S7622">
        <v>1</v>
      </c>
      <c r="T7622" t="s">
        <v>10716</v>
      </c>
      <c r="U7622" s="1">
        <v>43377</v>
      </c>
      <c r="V7622" t="s">
        <v>5177</v>
      </c>
      <c r="W7622" t="s">
        <v>5178</v>
      </c>
      <c r="X7622" t="s">
        <v>58</v>
      </c>
      <c r="Y7622">
        <v>25</v>
      </c>
      <c r="Z7622" t="s">
        <v>59</v>
      </c>
      <c r="AD7622" t="s">
        <v>59</v>
      </c>
      <c r="AF7622" s="1">
        <v>43377</v>
      </c>
      <c r="AG7622" t="s">
        <v>8651</v>
      </c>
      <c r="AH7622" t="s">
        <v>8652</v>
      </c>
      <c r="AI7622" t="str">
        <f>"9320142"</f>
        <v>9320142</v>
      </c>
      <c r="AJ7622" t="s">
        <v>12022</v>
      </c>
      <c r="AK7622">
        <v>2842026776</v>
      </c>
      <c r="AL7622" t="s">
        <v>12023</v>
      </c>
      <c r="AM7622" t="s">
        <v>4513</v>
      </c>
      <c r="AN7622" t="s">
        <v>4519</v>
      </c>
      <c r="AO7622" t="s">
        <v>4519</v>
      </c>
      <c r="AP7622" t="s">
        <v>4519</v>
      </c>
      <c r="AQ7622">
        <v>4</v>
      </c>
      <c r="AR7622" t="s">
        <v>5177</v>
      </c>
      <c r="AS7622" t="s">
        <v>5178</v>
      </c>
      <c r="AT7622" t="s">
        <v>58</v>
      </c>
      <c r="AU7622" t="s">
        <v>8673</v>
      </c>
      <c r="AV7622" t="s">
        <v>132</v>
      </c>
      <c r="AW7622" s="1">
        <v>29853</v>
      </c>
      <c r="AX7622">
        <v>1</v>
      </c>
    </row>
    <row r="7623" spans="1:50">
      <c r="B7623" t="str">
        <f>"142642849"</f>
        <v>142642849</v>
      </c>
      <c r="C7623" t="s">
        <v>50</v>
      </c>
      <c r="D7623" t="s">
        <v>12024</v>
      </c>
      <c r="E7623" t="s">
        <v>237</v>
      </c>
      <c r="F7623" t="s">
        <v>99</v>
      </c>
      <c r="G7623" t="s">
        <v>372</v>
      </c>
      <c r="H7623" t="str">
        <f>"Αρκαδίου 9 Πρέβεζα"</f>
        <v>Αρκαδίου 9 Πρέβεζα</v>
      </c>
      <c r="I7623">
        <v>48100</v>
      </c>
      <c r="K7623">
        <v>6946763303</v>
      </c>
      <c r="N7623" t="s">
        <v>615</v>
      </c>
      <c r="O7623" t="s">
        <v>616</v>
      </c>
      <c r="R7623" t="s">
        <v>121</v>
      </c>
      <c r="S7623">
        <v>3</v>
      </c>
      <c r="T7623" t="s">
        <v>8717</v>
      </c>
      <c r="U7623" s="1">
        <v>43348</v>
      </c>
      <c r="V7623" t="s">
        <v>5177</v>
      </c>
      <c r="W7623" t="s">
        <v>5178</v>
      </c>
      <c r="X7623" t="s">
        <v>58</v>
      </c>
      <c r="Y7623">
        <v>24</v>
      </c>
      <c r="Z7623" t="s">
        <v>59</v>
      </c>
      <c r="AA7623" t="s">
        <v>59</v>
      </c>
      <c r="AB7623" t="s">
        <v>59</v>
      </c>
      <c r="AC7623" t="s">
        <v>59</v>
      </c>
      <c r="AD7623" t="s">
        <v>59</v>
      </c>
      <c r="AF7623" s="1">
        <v>43348</v>
      </c>
      <c r="AG7623" t="s">
        <v>8645</v>
      </c>
      <c r="AH7623" t="s">
        <v>8646</v>
      </c>
      <c r="AI7623" t="str">
        <f>"9320205"</f>
        <v>9320205</v>
      </c>
      <c r="AJ7623" t="s">
        <v>11902</v>
      </c>
      <c r="AK7623">
        <v>2843024509</v>
      </c>
      <c r="AL7623" t="s">
        <v>11903</v>
      </c>
      <c r="AM7623" t="s">
        <v>4513</v>
      </c>
      <c r="AN7623" t="s">
        <v>4540</v>
      </c>
      <c r="AO7623" t="s">
        <v>4540</v>
      </c>
      <c r="AP7623" t="s">
        <v>4540</v>
      </c>
      <c r="AQ7623">
        <v>8</v>
      </c>
      <c r="AR7623" t="s">
        <v>5177</v>
      </c>
      <c r="AS7623" t="s">
        <v>5178</v>
      </c>
      <c r="AT7623" t="s">
        <v>58</v>
      </c>
      <c r="AU7623" t="s">
        <v>8720</v>
      </c>
      <c r="AV7623" t="s">
        <v>132</v>
      </c>
      <c r="AW7623" s="1">
        <v>32659</v>
      </c>
      <c r="AX7623">
        <v>1</v>
      </c>
    </row>
    <row r="7624" spans="1:50">
      <c r="A7624">
        <v>602195</v>
      </c>
      <c r="B7624" t="str">
        <f>"105584379"</f>
        <v>105584379</v>
      </c>
      <c r="C7624" t="s">
        <v>105</v>
      </c>
      <c r="D7624" t="s">
        <v>12025</v>
      </c>
      <c r="E7624" t="s">
        <v>99</v>
      </c>
      <c r="F7624" t="s">
        <v>53</v>
      </c>
      <c r="G7624" t="s">
        <v>340</v>
      </c>
      <c r="H7624" t="str">
        <f>"ΜΟΝΗΣ ΦΡΑΡΟΥ 29 ΝΕΑΠΟΛΗ ΛΑΣΙΘΙΟΥ"</f>
        <v>ΜΟΝΗΣ ΦΡΑΡΟΥ 29 ΝΕΑΠΟΛΗ ΛΑΣΙΘΙΟΥ</v>
      </c>
      <c r="I7624">
        <v>72400</v>
      </c>
      <c r="J7624">
        <v>2105548607</v>
      </c>
      <c r="K7624">
        <v>6977594977</v>
      </c>
      <c r="L7624">
        <v>2841033083</v>
      </c>
      <c r="N7624" t="s">
        <v>615</v>
      </c>
      <c r="O7624" t="s">
        <v>616</v>
      </c>
      <c r="R7624" t="s">
        <v>57</v>
      </c>
      <c r="S7624">
        <v>7</v>
      </c>
      <c r="T7624">
        <v>207</v>
      </c>
      <c r="U7624" s="1">
        <v>37866</v>
      </c>
      <c r="V7624" t="s">
        <v>5177</v>
      </c>
      <c r="W7624" t="s">
        <v>5178</v>
      </c>
      <c r="X7624" t="s">
        <v>58</v>
      </c>
      <c r="Y7624">
        <v>22</v>
      </c>
      <c r="Z7624" t="s">
        <v>59</v>
      </c>
      <c r="AA7624" t="s">
        <v>59</v>
      </c>
      <c r="AB7624" t="s">
        <v>59</v>
      </c>
      <c r="AC7624" t="s">
        <v>59</v>
      </c>
      <c r="AD7624" t="s">
        <v>59</v>
      </c>
      <c r="AF7624" s="1">
        <v>37866</v>
      </c>
      <c r="AG7624" t="s">
        <v>8645</v>
      </c>
      <c r="AH7624" t="s">
        <v>8646</v>
      </c>
      <c r="AI7624" t="str">
        <f>"9320063"</f>
        <v>9320063</v>
      </c>
      <c r="AJ7624" t="s">
        <v>12026</v>
      </c>
      <c r="AK7624">
        <v>2841032369</v>
      </c>
      <c r="AL7624" t="s">
        <v>12027</v>
      </c>
      <c r="AM7624" t="s">
        <v>4513</v>
      </c>
      <c r="AN7624" t="s">
        <v>4514</v>
      </c>
      <c r="AO7624" t="s">
        <v>4524</v>
      </c>
      <c r="AP7624" t="s">
        <v>4525</v>
      </c>
      <c r="AQ7624">
        <v>1</v>
      </c>
      <c r="AR7624" t="s">
        <v>5177</v>
      </c>
      <c r="AS7624" t="s">
        <v>5178</v>
      </c>
      <c r="AT7624" t="s">
        <v>58</v>
      </c>
      <c r="AU7624" t="s">
        <v>68</v>
      </c>
      <c r="AV7624" t="s">
        <v>69</v>
      </c>
      <c r="AW7624" s="1">
        <v>28259</v>
      </c>
      <c r="AX7624">
        <v>1</v>
      </c>
    </row>
    <row r="7625" spans="1:50">
      <c r="B7625" t="str">
        <f>"126311274"</f>
        <v>126311274</v>
      </c>
      <c r="C7625" t="s">
        <v>50</v>
      </c>
      <c r="D7625" t="s">
        <v>12028</v>
      </c>
      <c r="E7625" t="s">
        <v>325</v>
      </c>
      <c r="F7625" t="s">
        <v>106</v>
      </c>
      <c r="G7625" t="s">
        <v>255</v>
      </c>
      <c r="H7625" t="str">
        <f>"ΛΑΣΙΘΙΟΥ "</f>
        <v xml:space="preserve">ΛΑΣΙΘΙΟΥ </v>
      </c>
      <c r="I7625">
        <v>72052</v>
      </c>
      <c r="J7625">
        <v>2844022300</v>
      </c>
      <c r="K7625">
        <v>6976498378</v>
      </c>
      <c r="N7625" t="s">
        <v>9829</v>
      </c>
      <c r="O7625" t="s">
        <v>9830</v>
      </c>
      <c r="R7625" t="s">
        <v>159</v>
      </c>
      <c r="S7625">
        <v>3</v>
      </c>
      <c r="T7625" t="s">
        <v>8696</v>
      </c>
      <c r="U7625" s="1">
        <v>43348</v>
      </c>
      <c r="V7625" t="s">
        <v>5177</v>
      </c>
      <c r="W7625" t="s">
        <v>5178</v>
      </c>
      <c r="X7625" t="s">
        <v>58</v>
      </c>
      <c r="Y7625">
        <v>25</v>
      </c>
      <c r="Z7625" t="s">
        <v>59</v>
      </c>
      <c r="AA7625" t="s">
        <v>59</v>
      </c>
      <c r="AB7625" t="s">
        <v>59</v>
      </c>
      <c r="AC7625" t="s">
        <v>59</v>
      </c>
      <c r="AD7625" t="s">
        <v>59</v>
      </c>
      <c r="AF7625" s="1">
        <v>43348</v>
      </c>
      <c r="AG7625" t="s">
        <v>8651</v>
      </c>
      <c r="AH7625" t="s">
        <v>8652</v>
      </c>
      <c r="AI7625" t="str">
        <f>"9320062"</f>
        <v>9320062</v>
      </c>
      <c r="AJ7625" t="s">
        <v>11997</v>
      </c>
      <c r="AK7625">
        <v>2841032366</v>
      </c>
      <c r="AL7625" t="s">
        <v>11998</v>
      </c>
      <c r="AM7625" t="s">
        <v>4513</v>
      </c>
      <c r="AN7625" t="s">
        <v>4514</v>
      </c>
      <c r="AO7625" t="s">
        <v>4524</v>
      </c>
      <c r="AP7625" t="s">
        <v>4525</v>
      </c>
      <c r="AQ7625">
        <v>1</v>
      </c>
      <c r="AR7625" t="s">
        <v>5177</v>
      </c>
      <c r="AS7625" t="s">
        <v>5178</v>
      </c>
      <c r="AT7625" t="s">
        <v>58</v>
      </c>
      <c r="AU7625" t="s">
        <v>350</v>
      </c>
      <c r="AV7625" t="s">
        <v>132</v>
      </c>
      <c r="AW7625" s="1">
        <v>30808</v>
      </c>
      <c r="AX7625">
        <v>1</v>
      </c>
    </row>
    <row r="7626" spans="1:50">
      <c r="A7626">
        <v>593810</v>
      </c>
      <c r="B7626" t="str">
        <f>"061974810"</f>
        <v>061974810</v>
      </c>
      <c r="C7626" t="s">
        <v>50</v>
      </c>
      <c r="D7626" t="s">
        <v>928</v>
      </c>
      <c r="E7626" t="s">
        <v>250</v>
      </c>
      <c r="F7626" t="s">
        <v>166</v>
      </c>
      <c r="G7626" t="s">
        <v>52</v>
      </c>
      <c r="H7626" t="str">
        <f>"ΚΕΝΤΡΙ ΙΕΡΑΠΕΤΡΑ"</f>
        <v>ΚΕΝΤΡΙ ΙΕΡΑΠΕΤΡΑ</v>
      </c>
      <c r="I7626">
        <v>72200</v>
      </c>
      <c r="J7626">
        <v>2842089690</v>
      </c>
      <c r="K7626">
        <v>6944430645</v>
      </c>
      <c r="M7626" t="s">
        <v>12029</v>
      </c>
      <c r="N7626" t="s">
        <v>615</v>
      </c>
      <c r="O7626" t="s">
        <v>616</v>
      </c>
      <c r="R7626" t="s">
        <v>57</v>
      </c>
      <c r="S7626">
        <v>8</v>
      </c>
      <c r="T7626">
        <v>218</v>
      </c>
      <c r="U7626" s="1">
        <v>37134</v>
      </c>
      <c r="V7626" t="s">
        <v>5177</v>
      </c>
      <c r="W7626" t="s">
        <v>5178</v>
      </c>
      <c r="X7626" t="s">
        <v>58</v>
      </c>
      <c r="Y7626">
        <v>22</v>
      </c>
      <c r="Z7626" t="s">
        <v>59</v>
      </c>
      <c r="AA7626" t="s">
        <v>59</v>
      </c>
      <c r="AB7626" t="s">
        <v>59</v>
      </c>
      <c r="AC7626" t="s">
        <v>59</v>
      </c>
      <c r="AD7626" t="s">
        <v>59</v>
      </c>
      <c r="AF7626" s="1">
        <v>37140</v>
      </c>
      <c r="AG7626" t="s">
        <v>8645</v>
      </c>
      <c r="AH7626" t="s">
        <v>8646</v>
      </c>
      <c r="AI7626" t="str">
        <f>"9320006"</f>
        <v>9320006</v>
      </c>
      <c r="AJ7626" t="s">
        <v>11919</v>
      </c>
      <c r="AK7626">
        <v>2842022359</v>
      </c>
      <c r="AL7626" t="s">
        <v>11920</v>
      </c>
      <c r="AM7626" t="s">
        <v>4513</v>
      </c>
      <c r="AN7626" t="s">
        <v>4519</v>
      </c>
      <c r="AO7626" t="s">
        <v>4519</v>
      </c>
      <c r="AP7626" t="s">
        <v>4519</v>
      </c>
      <c r="AQ7626">
        <v>4</v>
      </c>
      <c r="AR7626" t="s">
        <v>5177</v>
      </c>
      <c r="AS7626" t="s">
        <v>5178</v>
      </c>
      <c r="AT7626" t="s">
        <v>58</v>
      </c>
      <c r="AU7626" t="s">
        <v>68</v>
      </c>
      <c r="AV7626" t="s">
        <v>69</v>
      </c>
      <c r="AW7626" s="1">
        <v>27470</v>
      </c>
      <c r="AX7626">
        <v>1</v>
      </c>
    </row>
    <row r="7627" spans="1:50">
      <c r="A7627">
        <v>562930</v>
      </c>
      <c r="B7627" t="str">
        <f>"065624364"</f>
        <v>065624364</v>
      </c>
      <c r="C7627" t="s">
        <v>50</v>
      </c>
      <c r="D7627" t="s">
        <v>12030</v>
      </c>
      <c r="E7627" t="s">
        <v>109</v>
      </c>
      <c r="F7627" t="s">
        <v>106</v>
      </c>
      <c r="G7627" t="s">
        <v>1065</v>
      </c>
      <c r="H7627" t="str">
        <f>"ΚΑΛΗΜΕΡΑΚΗ 32 ΙΕΡΑΠΕΤΡΑ"</f>
        <v>ΚΑΛΗΜΕΡΑΚΗ 32 ΙΕΡΑΠΕΤΡΑ</v>
      </c>
      <c r="I7627">
        <v>72200</v>
      </c>
      <c r="J7627">
        <v>2842027311</v>
      </c>
      <c r="K7627">
        <v>6946688827</v>
      </c>
      <c r="N7627" t="s">
        <v>615</v>
      </c>
      <c r="O7627" t="s">
        <v>616</v>
      </c>
      <c r="R7627" t="s">
        <v>57</v>
      </c>
      <c r="S7627">
        <v>15</v>
      </c>
      <c r="T7627">
        <v>187</v>
      </c>
      <c r="U7627" s="1">
        <v>32750</v>
      </c>
      <c r="V7627" t="s">
        <v>5177</v>
      </c>
      <c r="W7627" t="s">
        <v>5178</v>
      </c>
      <c r="X7627" t="s">
        <v>58</v>
      </c>
      <c r="Y7627">
        <v>21</v>
      </c>
      <c r="Z7627" t="s">
        <v>59</v>
      </c>
      <c r="AA7627" t="s">
        <v>59</v>
      </c>
      <c r="AB7627" t="s">
        <v>59</v>
      </c>
      <c r="AC7627" t="s">
        <v>59</v>
      </c>
      <c r="AD7627" t="s">
        <v>59</v>
      </c>
      <c r="AF7627" s="1">
        <v>32756</v>
      </c>
      <c r="AG7627" t="s">
        <v>8645</v>
      </c>
      <c r="AH7627" t="s">
        <v>8646</v>
      </c>
      <c r="AI7627" t="str">
        <f>"9320005"</f>
        <v>9320005</v>
      </c>
      <c r="AJ7627" t="s">
        <v>12004</v>
      </c>
      <c r="AK7627">
        <v>2842022202</v>
      </c>
      <c r="AL7627" t="s">
        <v>12005</v>
      </c>
      <c r="AM7627" t="s">
        <v>4513</v>
      </c>
      <c r="AN7627" t="s">
        <v>4519</v>
      </c>
      <c r="AO7627" t="s">
        <v>4519</v>
      </c>
      <c r="AP7627" t="s">
        <v>4519</v>
      </c>
      <c r="AQ7627">
        <v>4</v>
      </c>
      <c r="AR7627" t="s">
        <v>5177</v>
      </c>
      <c r="AS7627" t="s">
        <v>5178</v>
      </c>
      <c r="AT7627" t="s">
        <v>58</v>
      </c>
      <c r="AU7627" t="s">
        <v>68</v>
      </c>
      <c r="AV7627" t="s">
        <v>69</v>
      </c>
      <c r="AW7627" s="1">
        <v>23572</v>
      </c>
      <c r="AX7627">
        <v>1</v>
      </c>
    </row>
    <row r="7628" spans="1:50">
      <c r="A7628">
        <v>608640</v>
      </c>
      <c r="B7628" t="str">
        <f>"108565045"</f>
        <v>108565045</v>
      </c>
      <c r="C7628" t="s">
        <v>50</v>
      </c>
      <c r="D7628" t="s">
        <v>12031</v>
      </c>
      <c r="E7628" t="s">
        <v>12032</v>
      </c>
      <c r="F7628" t="s">
        <v>989</v>
      </c>
      <c r="G7628" t="s">
        <v>143</v>
      </c>
      <c r="H7628" t="str">
        <f>"ΣΚΟΥΛΟΥΔΗ 11 ΣΗΤΕΙΑ ΚΡΗΤΗ"</f>
        <v>ΣΚΟΥΛΟΥΔΗ 11 ΣΗΤΕΙΑ ΚΡΗΤΗ</v>
      </c>
      <c r="I7628">
        <v>72300</v>
      </c>
      <c r="J7628">
        <v>2843029677</v>
      </c>
      <c r="K7628">
        <v>6945702455</v>
      </c>
      <c r="N7628" t="s">
        <v>1525</v>
      </c>
      <c r="O7628" t="s">
        <v>1526</v>
      </c>
      <c r="R7628" t="s">
        <v>57</v>
      </c>
      <c r="S7628">
        <v>9</v>
      </c>
      <c r="T7628">
        <v>217</v>
      </c>
      <c r="U7628" s="1">
        <v>38596</v>
      </c>
      <c r="V7628" t="s">
        <v>5177</v>
      </c>
      <c r="W7628" t="s">
        <v>5178</v>
      </c>
      <c r="X7628" t="s">
        <v>58</v>
      </c>
      <c r="Y7628">
        <v>25</v>
      </c>
      <c r="Z7628" t="s">
        <v>59</v>
      </c>
      <c r="AA7628" t="s">
        <v>59</v>
      </c>
      <c r="AB7628" t="s">
        <v>59</v>
      </c>
      <c r="AC7628" t="s">
        <v>59</v>
      </c>
      <c r="AD7628" t="s">
        <v>59</v>
      </c>
      <c r="AF7628" s="1">
        <v>38601</v>
      </c>
      <c r="AG7628" t="s">
        <v>8651</v>
      </c>
      <c r="AH7628" t="s">
        <v>8652</v>
      </c>
      <c r="AI7628" t="str">
        <f>"9320147"</f>
        <v>9320147</v>
      </c>
      <c r="AJ7628" t="s">
        <v>11932</v>
      </c>
      <c r="AK7628">
        <v>2843023474</v>
      </c>
      <c r="AL7628" t="s">
        <v>11933</v>
      </c>
      <c r="AM7628" t="s">
        <v>4513</v>
      </c>
      <c r="AN7628" t="s">
        <v>4540</v>
      </c>
      <c r="AO7628" t="s">
        <v>4540</v>
      </c>
      <c r="AP7628" t="s">
        <v>4540</v>
      </c>
      <c r="AQ7628">
        <v>8</v>
      </c>
      <c r="AR7628" t="s">
        <v>5177</v>
      </c>
      <c r="AS7628" t="s">
        <v>5178</v>
      </c>
      <c r="AT7628" t="s">
        <v>58</v>
      </c>
      <c r="AU7628" t="s">
        <v>68</v>
      </c>
      <c r="AV7628" t="s">
        <v>69</v>
      </c>
      <c r="AW7628" s="1">
        <v>27488</v>
      </c>
      <c r="AX7628">
        <v>1</v>
      </c>
    </row>
    <row r="7629" spans="1:50">
      <c r="B7629" t="str">
        <f>"124591782"</f>
        <v>124591782</v>
      </c>
      <c r="C7629" t="s">
        <v>105</v>
      </c>
      <c r="D7629" t="s">
        <v>12033</v>
      </c>
      <c r="E7629" t="s">
        <v>154</v>
      </c>
      <c r="F7629" t="s">
        <v>95</v>
      </c>
      <c r="G7629" t="s">
        <v>52</v>
      </c>
      <c r="H7629" t="str">
        <f>" "</f>
        <v xml:space="preserve"> </v>
      </c>
      <c r="N7629" t="s">
        <v>683</v>
      </c>
      <c r="O7629" t="s">
        <v>684</v>
      </c>
      <c r="R7629" t="s">
        <v>121</v>
      </c>
      <c r="S7629">
        <v>1</v>
      </c>
      <c r="T7629" t="s">
        <v>8675</v>
      </c>
      <c r="U7629" s="1">
        <v>43348</v>
      </c>
      <c r="V7629" t="s">
        <v>5177</v>
      </c>
      <c r="W7629" t="s">
        <v>5178</v>
      </c>
      <c r="X7629" t="s">
        <v>58</v>
      </c>
      <c r="Y7629">
        <v>24</v>
      </c>
      <c r="Z7629" t="s">
        <v>59</v>
      </c>
      <c r="AD7629" t="s">
        <v>59</v>
      </c>
      <c r="AF7629" s="1">
        <v>43348</v>
      </c>
      <c r="AG7629" t="s">
        <v>8645</v>
      </c>
      <c r="AH7629" t="s">
        <v>8646</v>
      </c>
      <c r="AI7629" t="str">
        <f>"9521420"</f>
        <v>9521420</v>
      </c>
      <c r="AJ7629" t="s">
        <v>11947</v>
      </c>
      <c r="AK7629">
        <v>2841021022</v>
      </c>
      <c r="AL7629" t="s">
        <v>11948</v>
      </c>
      <c r="AM7629" t="s">
        <v>4513</v>
      </c>
      <c r="AN7629" t="s">
        <v>4514</v>
      </c>
      <c r="AO7629" t="s">
        <v>4514</v>
      </c>
      <c r="AP7629" t="s">
        <v>4514</v>
      </c>
      <c r="AQ7629">
        <v>1</v>
      </c>
      <c r="AR7629" t="s">
        <v>5177</v>
      </c>
      <c r="AS7629" t="s">
        <v>5178</v>
      </c>
      <c r="AT7629" t="s">
        <v>58</v>
      </c>
      <c r="AU7629" t="s">
        <v>8673</v>
      </c>
      <c r="AV7629" t="s">
        <v>132</v>
      </c>
      <c r="AW7629" s="1">
        <v>29327</v>
      </c>
      <c r="AX7629">
        <v>1</v>
      </c>
    </row>
    <row r="7630" spans="1:50">
      <c r="A7630">
        <v>604220</v>
      </c>
      <c r="B7630" t="str">
        <f>"063969531"</f>
        <v>063969531</v>
      </c>
      <c r="C7630" t="s">
        <v>50</v>
      </c>
      <c r="D7630" t="s">
        <v>12034</v>
      </c>
      <c r="E7630" t="s">
        <v>52</v>
      </c>
      <c r="F7630" t="s">
        <v>1286</v>
      </c>
      <c r="G7630" t="s">
        <v>513</v>
      </c>
      <c r="H7630" t="str">
        <f>"ΕΛ. ΟΛΥΜΠΙΟΝΙΚΩΝ 43 ΙΕΡΑΠΕΤΡΑ"</f>
        <v>ΕΛ. ΟΛΥΜΠΙΟΝΙΚΩΝ 43 ΙΕΡΑΠΕΤΡΑ</v>
      </c>
      <c r="I7630">
        <v>72200</v>
      </c>
      <c r="J7630">
        <v>2842028301</v>
      </c>
      <c r="K7630">
        <v>6985983424</v>
      </c>
      <c r="N7630" t="s">
        <v>615</v>
      </c>
      <c r="O7630" t="s">
        <v>616</v>
      </c>
      <c r="R7630" t="s">
        <v>57</v>
      </c>
      <c r="S7630">
        <v>8</v>
      </c>
      <c r="T7630">
        <v>231</v>
      </c>
      <c r="U7630" s="1">
        <v>38230</v>
      </c>
      <c r="V7630" t="s">
        <v>5177</v>
      </c>
      <c r="W7630" t="s">
        <v>5178</v>
      </c>
      <c r="X7630" t="s">
        <v>58</v>
      </c>
      <c r="Y7630">
        <v>22</v>
      </c>
      <c r="Z7630" t="s">
        <v>59</v>
      </c>
      <c r="AA7630" t="s">
        <v>59</v>
      </c>
      <c r="AB7630" t="s">
        <v>59</v>
      </c>
      <c r="AC7630" t="s">
        <v>59</v>
      </c>
      <c r="AD7630" t="s">
        <v>59</v>
      </c>
      <c r="AF7630" s="1">
        <v>38232</v>
      </c>
      <c r="AG7630" t="s">
        <v>8645</v>
      </c>
      <c r="AH7630" t="s">
        <v>8646</v>
      </c>
      <c r="AI7630" t="str">
        <f>"9320163"</f>
        <v>9320163</v>
      </c>
      <c r="AJ7630" t="s">
        <v>12012</v>
      </c>
      <c r="AK7630">
        <v>2842024595</v>
      </c>
      <c r="AL7630" t="s">
        <v>12013</v>
      </c>
      <c r="AM7630" t="s">
        <v>4513</v>
      </c>
      <c r="AN7630" t="s">
        <v>4519</v>
      </c>
      <c r="AO7630" t="s">
        <v>4519</v>
      </c>
      <c r="AP7630" t="s">
        <v>4519</v>
      </c>
      <c r="AQ7630">
        <v>4</v>
      </c>
      <c r="AR7630" t="s">
        <v>5177</v>
      </c>
      <c r="AS7630" t="s">
        <v>5178</v>
      </c>
      <c r="AT7630" t="s">
        <v>58</v>
      </c>
      <c r="AU7630" t="s">
        <v>68</v>
      </c>
      <c r="AV7630" t="s">
        <v>69</v>
      </c>
      <c r="AW7630" s="1">
        <v>24433</v>
      </c>
      <c r="AX7630">
        <v>1</v>
      </c>
    </row>
    <row r="7631" spans="1:50">
      <c r="A7631">
        <v>560637</v>
      </c>
      <c r="B7631" t="str">
        <f>"032070555"</f>
        <v>032070555</v>
      </c>
      <c r="C7631" t="s">
        <v>105</v>
      </c>
      <c r="D7631" t="s">
        <v>12035</v>
      </c>
      <c r="E7631" t="s">
        <v>84</v>
      </c>
      <c r="F7631" t="s">
        <v>53</v>
      </c>
      <c r="G7631" t="s">
        <v>783</v>
      </c>
      <c r="H7631" t="str">
        <f>"ΘΕΡΙΣΣΟΥ 17Α ΣΗΤΕΙΑ"</f>
        <v>ΘΕΡΙΣΣΟΥ 17Α ΣΗΤΕΙΑ</v>
      </c>
      <c r="I7631">
        <v>72300</v>
      </c>
      <c r="J7631">
        <v>2843025040</v>
      </c>
      <c r="K7631">
        <v>6944989160</v>
      </c>
      <c r="N7631" t="s">
        <v>615</v>
      </c>
      <c r="O7631" t="s">
        <v>616</v>
      </c>
      <c r="R7631" t="s">
        <v>57</v>
      </c>
      <c r="S7631">
        <v>15</v>
      </c>
      <c r="T7631">
        <v>159</v>
      </c>
      <c r="U7631" s="1">
        <v>32385</v>
      </c>
      <c r="V7631" t="s">
        <v>5177</v>
      </c>
      <c r="W7631" t="s">
        <v>5178</v>
      </c>
      <c r="X7631" t="s">
        <v>58</v>
      </c>
      <c r="Y7631">
        <v>25</v>
      </c>
      <c r="Z7631" t="s">
        <v>59</v>
      </c>
      <c r="AA7631" t="s">
        <v>59</v>
      </c>
      <c r="AB7631" t="s">
        <v>59</v>
      </c>
      <c r="AC7631" t="s">
        <v>59</v>
      </c>
      <c r="AD7631" t="s">
        <v>59</v>
      </c>
      <c r="AF7631" s="1">
        <v>32388</v>
      </c>
      <c r="AG7631" t="s">
        <v>8645</v>
      </c>
      <c r="AH7631" t="s">
        <v>8697</v>
      </c>
      <c r="AI7631" t="str">
        <f>"9320216"</f>
        <v>9320216</v>
      </c>
      <c r="AJ7631" t="s">
        <v>12036</v>
      </c>
      <c r="AK7631">
        <v>2843023003</v>
      </c>
      <c r="AL7631" t="s">
        <v>12037</v>
      </c>
      <c r="AM7631" t="s">
        <v>4513</v>
      </c>
      <c r="AN7631" t="s">
        <v>4540</v>
      </c>
      <c r="AO7631" t="s">
        <v>4540</v>
      </c>
      <c r="AP7631" t="s">
        <v>4540</v>
      </c>
      <c r="AQ7631">
        <v>8</v>
      </c>
      <c r="AR7631" t="s">
        <v>5177</v>
      </c>
      <c r="AS7631" t="s">
        <v>5178</v>
      </c>
      <c r="AT7631" t="s">
        <v>58</v>
      </c>
      <c r="AU7631" t="s">
        <v>68</v>
      </c>
      <c r="AV7631" t="s">
        <v>69</v>
      </c>
      <c r="AW7631" s="1">
        <v>22893</v>
      </c>
      <c r="AX7631">
        <v>1</v>
      </c>
    </row>
    <row r="7632" spans="1:50">
      <c r="A7632">
        <v>610776</v>
      </c>
      <c r="B7632" t="str">
        <f>"137467502"</f>
        <v>137467502</v>
      </c>
      <c r="C7632" t="s">
        <v>50</v>
      </c>
      <c r="D7632" t="s">
        <v>1003</v>
      </c>
      <c r="E7632" t="s">
        <v>215</v>
      </c>
      <c r="F7632" t="s">
        <v>154</v>
      </c>
      <c r="G7632" t="s">
        <v>237</v>
      </c>
      <c r="H7632" t="str">
        <f>"Β. ΚΟΡΝΑΡΟΥ 51 ΙΕΡΑΠΕΤΡΑ"</f>
        <v>Β. ΚΟΡΝΑΡΟΥ 51 ΙΕΡΑΠΕΤΡΑ</v>
      </c>
      <c r="I7632">
        <v>72200</v>
      </c>
      <c r="J7632">
        <v>2842023886</v>
      </c>
      <c r="K7632">
        <v>6948686694</v>
      </c>
      <c r="N7632" t="s">
        <v>615</v>
      </c>
      <c r="O7632" t="s">
        <v>616</v>
      </c>
      <c r="R7632" t="s">
        <v>57</v>
      </c>
      <c r="S7632">
        <v>6</v>
      </c>
      <c r="T7632">
        <v>233</v>
      </c>
      <c r="U7632" s="1">
        <v>38960</v>
      </c>
      <c r="V7632" t="s">
        <v>5177</v>
      </c>
      <c r="W7632" t="s">
        <v>5178</v>
      </c>
      <c r="X7632" t="s">
        <v>58</v>
      </c>
      <c r="Y7632">
        <v>23</v>
      </c>
      <c r="Z7632" t="s">
        <v>59</v>
      </c>
      <c r="AA7632" t="s">
        <v>59</v>
      </c>
      <c r="AB7632" t="s">
        <v>59</v>
      </c>
      <c r="AC7632" t="s">
        <v>59</v>
      </c>
      <c r="AD7632" t="s">
        <v>59</v>
      </c>
      <c r="AF7632" s="1">
        <v>38961</v>
      </c>
      <c r="AG7632" t="s">
        <v>8645</v>
      </c>
      <c r="AH7632" t="s">
        <v>8646</v>
      </c>
      <c r="AI7632" t="str">
        <f>"9320009"</f>
        <v>9320009</v>
      </c>
      <c r="AJ7632" t="s">
        <v>11959</v>
      </c>
      <c r="AK7632">
        <v>2842061261</v>
      </c>
      <c r="AL7632" t="s">
        <v>11960</v>
      </c>
      <c r="AM7632" t="s">
        <v>4513</v>
      </c>
      <c r="AN7632" t="s">
        <v>4519</v>
      </c>
      <c r="AO7632" t="s">
        <v>4519</v>
      </c>
      <c r="AP7632" t="s">
        <v>11961</v>
      </c>
      <c r="AQ7632">
        <v>6</v>
      </c>
      <c r="AR7632" t="s">
        <v>5177</v>
      </c>
      <c r="AS7632" t="s">
        <v>5178</v>
      </c>
      <c r="AT7632" t="s">
        <v>58</v>
      </c>
      <c r="AU7632" t="s">
        <v>68</v>
      </c>
      <c r="AV7632" t="s">
        <v>69</v>
      </c>
      <c r="AW7632" s="1">
        <v>30252</v>
      </c>
      <c r="AX7632">
        <v>1</v>
      </c>
    </row>
    <row r="7633" spans="1:50">
      <c r="A7633">
        <v>607907</v>
      </c>
      <c r="B7633" t="str">
        <f>"126366992"</f>
        <v>126366992</v>
      </c>
      <c r="C7633" t="s">
        <v>50</v>
      </c>
      <c r="D7633" t="s">
        <v>12038</v>
      </c>
      <c r="E7633" t="s">
        <v>460</v>
      </c>
      <c r="F7633" t="s">
        <v>95</v>
      </c>
      <c r="G7633" t="s">
        <v>73</v>
      </c>
      <c r="H7633" t="str">
        <f>"Γραμ./Θυρ. 3-16 ΠΕΡΑΙΑ ΘΕΣΣΑΛΟΝΙΚΗΣ"</f>
        <v>Γραμ./Θυρ. 3-16 ΠΕΡΑΙΑ ΘΕΣΣΑΛΟΝΙΚΗΣ</v>
      </c>
      <c r="I7633">
        <v>57019</v>
      </c>
      <c r="J7633">
        <v>2392021165</v>
      </c>
      <c r="K7633">
        <v>6977206863</v>
      </c>
      <c r="M7633" t="s">
        <v>12039</v>
      </c>
      <c r="N7633" t="s">
        <v>615</v>
      </c>
      <c r="O7633" t="s">
        <v>616</v>
      </c>
      <c r="R7633" t="s">
        <v>57</v>
      </c>
      <c r="S7633">
        <v>8</v>
      </c>
      <c r="T7633">
        <v>217</v>
      </c>
      <c r="U7633" s="1">
        <v>38596</v>
      </c>
      <c r="V7633" t="s">
        <v>5177</v>
      </c>
      <c r="W7633" t="s">
        <v>5178</v>
      </c>
      <c r="X7633" t="s">
        <v>58</v>
      </c>
      <c r="Y7633">
        <v>23</v>
      </c>
      <c r="Z7633" t="s">
        <v>59</v>
      </c>
      <c r="AA7633" t="s">
        <v>59</v>
      </c>
      <c r="AB7633" t="s">
        <v>59</v>
      </c>
      <c r="AC7633" t="s">
        <v>59</v>
      </c>
      <c r="AD7633" t="s">
        <v>59</v>
      </c>
      <c r="AF7633" s="1">
        <v>38600</v>
      </c>
      <c r="AG7633" t="s">
        <v>8645</v>
      </c>
      <c r="AH7633" t="s">
        <v>8646</v>
      </c>
      <c r="AI7633" t="str">
        <f>"9320127"</f>
        <v>9320127</v>
      </c>
      <c r="AJ7633" t="s">
        <v>12040</v>
      </c>
      <c r="AK7633">
        <v>2843051221</v>
      </c>
      <c r="AL7633" t="s">
        <v>12041</v>
      </c>
      <c r="AM7633" t="s">
        <v>4513</v>
      </c>
      <c r="AN7633" t="s">
        <v>4519</v>
      </c>
      <c r="AO7633" t="s">
        <v>4766</v>
      </c>
      <c r="AP7633" t="s">
        <v>4767</v>
      </c>
      <c r="AQ7633">
        <v>6</v>
      </c>
      <c r="AR7633" t="s">
        <v>5177</v>
      </c>
      <c r="AS7633" t="s">
        <v>5178</v>
      </c>
      <c r="AT7633" t="s">
        <v>58</v>
      </c>
      <c r="AU7633" t="s">
        <v>68</v>
      </c>
      <c r="AV7633" t="s">
        <v>69</v>
      </c>
      <c r="AW7633" s="1">
        <v>30099</v>
      </c>
      <c r="AX7633">
        <v>1</v>
      </c>
    </row>
    <row r="7634" spans="1:50">
      <c r="A7634">
        <v>609226</v>
      </c>
      <c r="B7634" t="str">
        <f>"059674234"</f>
        <v>059674234</v>
      </c>
      <c r="C7634" t="s">
        <v>50</v>
      </c>
      <c r="D7634" t="s">
        <v>12042</v>
      </c>
      <c r="E7634" t="s">
        <v>143</v>
      </c>
      <c r="F7634" t="s">
        <v>72</v>
      </c>
      <c r="G7634" t="s">
        <v>783</v>
      </c>
      <c r="H7634" t="str">
        <f>"ΠΑΠΑΝΙΚΟΛΑΟΥ ΑΓΙΟΣ ΝΙΚΟΛΑΟΣ"</f>
        <v>ΠΑΠΑΝΙΚΟΛΑΟΥ ΑΓΙΟΣ ΝΙΚΟΛΑΟΣ</v>
      </c>
      <c r="I7634">
        <v>72100</v>
      </c>
      <c r="J7634">
        <v>2841082530</v>
      </c>
      <c r="K7634">
        <v>6979501418</v>
      </c>
      <c r="N7634" t="s">
        <v>306</v>
      </c>
      <c r="O7634" t="s">
        <v>307</v>
      </c>
      <c r="R7634" t="s">
        <v>57</v>
      </c>
      <c r="S7634">
        <v>9</v>
      </c>
      <c r="T7634">
        <v>218</v>
      </c>
      <c r="U7634" s="1">
        <v>38596</v>
      </c>
      <c r="V7634" t="s">
        <v>5177</v>
      </c>
      <c r="W7634" t="s">
        <v>5178</v>
      </c>
      <c r="X7634" t="s">
        <v>58</v>
      </c>
      <c r="Y7634">
        <v>22</v>
      </c>
      <c r="Z7634" t="s">
        <v>59</v>
      </c>
      <c r="AA7634" t="s">
        <v>59</v>
      </c>
      <c r="AB7634" t="s">
        <v>59</v>
      </c>
      <c r="AC7634" t="s">
        <v>59</v>
      </c>
      <c r="AD7634" t="s">
        <v>59</v>
      </c>
      <c r="AF7634" s="1">
        <v>38600</v>
      </c>
      <c r="AG7634" t="s">
        <v>8645</v>
      </c>
      <c r="AH7634" t="s">
        <v>8646</v>
      </c>
      <c r="AI7634" t="str">
        <f>"9521420"</f>
        <v>9521420</v>
      </c>
      <c r="AJ7634" t="s">
        <v>11947</v>
      </c>
      <c r="AK7634">
        <v>2841021022</v>
      </c>
      <c r="AL7634" t="s">
        <v>11948</v>
      </c>
      <c r="AM7634" t="s">
        <v>4513</v>
      </c>
      <c r="AN7634" t="s">
        <v>4514</v>
      </c>
      <c r="AO7634" t="s">
        <v>4514</v>
      </c>
      <c r="AP7634" t="s">
        <v>4514</v>
      </c>
      <c r="AQ7634">
        <v>1</v>
      </c>
      <c r="AR7634" t="s">
        <v>5177</v>
      </c>
      <c r="AS7634" t="s">
        <v>5178</v>
      </c>
      <c r="AT7634" t="s">
        <v>58</v>
      </c>
      <c r="AU7634" t="s">
        <v>68</v>
      </c>
      <c r="AV7634" t="s">
        <v>69</v>
      </c>
      <c r="AW7634" s="1">
        <v>25756</v>
      </c>
      <c r="AX7634">
        <v>1</v>
      </c>
    </row>
    <row r="7635" spans="1:50">
      <c r="A7635">
        <v>621956</v>
      </c>
      <c r="B7635" t="str">
        <f>"140006118"</f>
        <v>140006118</v>
      </c>
      <c r="C7635" t="s">
        <v>50</v>
      </c>
      <c r="D7635" t="s">
        <v>1014</v>
      </c>
      <c r="E7635" t="s">
        <v>52</v>
      </c>
      <c r="F7635" t="s">
        <v>95</v>
      </c>
      <c r="G7635" t="s">
        <v>215</v>
      </c>
      <c r="H7635" t="str">
        <f>"ΜΠΟΥΝΤΟΥΛΕΣ ΙΕΡΑΠΕΤΡΑ"</f>
        <v>ΜΠΟΥΝΤΟΥΛΕΣ ΙΕΡΑΠΕΤΡΑ</v>
      </c>
      <c r="I7635">
        <v>72200</v>
      </c>
      <c r="J7635">
        <v>2842024478</v>
      </c>
      <c r="K7635">
        <v>6944387613</v>
      </c>
      <c r="M7635" t="s">
        <v>12043</v>
      </c>
      <c r="N7635" t="s">
        <v>615</v>
      </c>
      <c r="O7635" t="s">
        <v>616</v>
      </c>
      <c r="R7635" t="s">
        <v>57</v>
      </c>
      <c r="S7635">
        <v>5</v>
      </c>
      <c r="T7635">
        <v>653</v>
      </c>
      <c r="U7635" s="1">
        <v>40043</v>
      </c>
      <c r="V7635" t="s">
        <v>5177</v>
      </c>
      <c r="W7635" t="s">
        <v>5178</v>
      </c>
      <c r="X7635" t="s">
        <v>58</v>
      </c>
      <c r="Y7635">
        <v>23</v>
      </c>
      <c r="Z7635" t="s">
        <v>59</v>
      </c>
      <c r="AA7635" t="s">
        <v>59</v>
      </c>
      <c r="AB7635" t="s">
        <v>59</v>
      </c>
      <c r="AC7635" t="s">
        <v>59</v>
      </c>
      <c r="AD7635" t="s">
        <v>59</v>
      </c>
      <c r="AF7635" s="1">
        <v>40043</v>
      </c>
      <c r="AG7635" t="s">
        <v>8645</v>
      </c>
      <c r="AH7635" t="s">
        <v>8646</v>
      </c>
      <c r="AI7635" t="str">
        <f>"9320163"</f>
        <v>9320163</v>
      </c>
      <c r="AJ7635" t="s">
        <v>12012</v>
      </c>
      <c r="AK7635">
        <v>2842024595</v>
      </c>
      <c r="AL7635" t="s">
        <v>12013</v>
      </c>
      <c r="AM7635" t="s">
        <v>4513</v>
      </c>
      <c r="AN7635" t="s">
        <v>4519</v>
      </c>
      <c r="AO7635" t="s">
        <v>4519</v>
      </c>
      <c r="AP7635" t="s">
        <v>4519</v>
      </c>
      <c r="AQ7635">
        <v>4</v>
      </c>
      <c r="AR7635" t="s">
        <v>5177</v>
      </c>
      <c r="AS7635" t="s">
        <v>5178</v>
      </c>
      <c r="AT7635" t="s">
        <v>58</v>
      </c>
      <c r="AU7635" t="s">
        <v>68</v>
      </c>
      <c r="AV7635" t="s">
        <v>69</v>
      </c>
      <c r="AW7635" s="1">
        <v>31475</v>
      </c>
      <c r="AX7635">
        <v>1</v>
      </c>
    </row>
    <row r="7636" spans="1:50">
      <c r="A7636">
        <v>592334</v>
      </c>
      <c r="B7636" t="str">
        <f>"061620767"</f>
        <v>061620767</v>
      </c>
      <c r="C7636" t="s">
        <v>50</v>
      </c>
      <c r="D7636" t="s">
        <v>12044</v>
      </c>
      <c r="E7636" t="s">
        <v>52</v>
      </c>
      <c r="F7636" t="s">
        <v>166</v>
      </c>
      <c r="G7636" t="s">
        <v>12045</v>
      </c>
      <c r="H7636" t="str">
        <f>"ΡΟΥΣΑ ΛΙΜΝΗ ΑΓΙΟΣ ΝΙΚΟΛΑΟΣ"</f>
        <v>ΡΟΥΣΑ ΛΙΜΝΗ ΑΓΙΟΣ ΝΙΚΟΛΑΟΣ</v>
      </c>
      <c r="I7636">
        <v>72100</v>
      </c>
      <c r="J7636">
        <v>2841025077</v>
      </c>
      <c r="K7636">
        <v>6972967314</v>
      </c>
      <c r="N7636" t="s">
        <v>1525</v>
      </c>
      <c r="O7636" t="s">
        <v>1526</v>
      </c>
      <c r="R7636" t="s">
        <v>57</v>
      </c>
      <c r="S7636">
        <v>9</v>
      </c>
      <c r="T7636">
        <v>249</v>
      </c>
      <c r="U7636" s="1">
        <v>36769</v>
      </c>
      <c r="V7636" t="s">
        <v>5177</v>
      </c>
      <c r="W7636" t="s">
        <v>5178</v>
      </c>
      <c r="X7636" t="s">
        <v>58</v>
      </c>
      <c r="Y7636">
        <v>25</v>
      </c>
      <c r="Z7636" t="s">
        <v>59</v>
      </c>
      <c r="AA7636" t="s">
        <v>59</v>
      </c>
      <c r="AB7636" t="s">
        <v>59</v>
      </c>
      <c r="AC7636" t="s">
        <v>59</v>
      </c>
      <c r="AD7636" t="s">
        <v>59</v>
      </c>
      <c r="AF7636" s="1">
        <v>36770</v>
      </c>
      <c r="AG7636" t="s">
        <v>8651</v>
      </c>
      <c r="AH7636" t="s">
        <v>8652</v>
      </c>
      <c r="AI7636" t="str">
        <f>"9320057"</f>
        <v>9320057</v>
      </c>
      <c r="AJ7636" t="s">
        <v>12046</v>
      </c>
      <c r="AK7636">
        <v>2841022111</v>
      </c>
      <c r="AL7636" t="s">
        <v>12047</v>
      </c>
      <c r="AM7636" t="s">
        <v>4513</v>
      </c>
      <c r="AN7636" t="s">
        <v>4514</v>
      </c>
      <c r="AO7636" t="s">
        <v>4514</v>
      </c>
      <c r="AP7636" t="s">
        <v>4514</v>
      </c>
      <c r="AQ7636">
        <v>1</v>
      </c>
      <c r="AR7636" t="s">
        <v>5177</v>
      </c>
      <c r="AS7636" t="s">
        <v>5178</v>
      </c>
      <c r="AT7636" t="s">
        <v>58</v>
      </c>
      <c r="AU7636" t="s">
        <v>68</v>
      </c>
      <c r="AV7636" t="s">
        <v>69</v>
      </c>
      <c r="AW7636" s="1">
        <v>26882</v>
      </c>
      <c r="AX7636">
        <v>1</v>
      </c>
    </row>
    <row r="7637" spans="1:50">
      <c r="A7637">
        <v>602403</v>
      </c>
      <c r="B7637" t="str">
        <f>"064559982"</f>
        <v>064559982</v>
      </c>
      <c r="C7637" t="s">
        <v>50</v>
      </c>
      <c r="D7637" t="s">
        <v>12048</v>
      </c>
      <c r="E7637" t="s">
        <v>250</v>
      </c>
      <c r="F7637" t="s">
        <v>95</v>
      </c>
      <c r="G7637" t="s">
        <v>869</v>
      </c>
      <c r="H7637" t="str">
        <f>" "</f>
        <v xml:space="preserve"> </v>
      </c>
      <c r="J7637">
        <v>2810238714</v>
      </c>
      <c r="K7637">
        <v>6947845336</v>
      </c>
      <c r="N7637" t="s">
        <v>615</v>
      </c>
      <c r="O7637" t="s">
        <v>616</v>
      </c>
      <c r="R7637" t="s">
        <v>57</v>
      </c>
      <c r="S7637">
        <v>7</v>
      </c>
      <c r="T7637">
        <v>207</v>
      </c>
      <c r="U7637" s="1">
        <v>37502</v>
      </c>
      <c r="V7637" t="s">
        <v>5177</v>
      </c>
      <c r="W7637" t="s">
        <v>5178</v>
      </c>
      <c r="X7637" t="s">
        <v>58</v>
      </c>
      <c r="Y7637">
        <v>22</v>
      </c>
      <c r="Z7637" t="s">
        <v>59</v>
      </c>
      <c r="AA7637" t="s">
        <v>59</v>
      </c>
      <c r="AB7637" t="s">
        <v>59</v>
      </c>
      <c r="AC7637" t="s">
        <v>59</v>
      </c>
      <c r="AD7637" t="s">
        <v>59</v>
      </c>
      <c r="AF7637" s="1">
        <v>37866</v>
      </c>
      <c r="AG7637" t="s">
        <v>8645</v>
      </c>
      <c r="AH7637" t="s">
        <v>8646</v>
      </c>
      <c r="AI7637" t="str">
        <f>"9320210"</f>
        <v>9320210</v>
      </c>
      <c r="AJ7637" t="s">
        <v>11890</v>
      </c>
      <c r="AK7637">
        <v>2841026705</v>
      </c>
      <c r="AL7637" t="s">
        <v>11891</v>
      </c>
      <c r="AM7637" t="s">
        <v>4513</v>
      </c>
      <c r="AN7637" t="s">
        <v>4514</v>
      </c>
      <c r="AO7637" t="s">
        <v>4514</v>
      </c>
      <c r="AP7637" t="s">
        <v>4514</v>
      </c>
      <c r="AQ7637">
        <v>1</v>
      </c>
      <c r="AR7637" t="s">
        <v>5177</v>
      </c>
      <c r="AS7637" t="s">
        <v>5178</v>
      </c>
      <c r="AT7637" t="s">
        <v>58</v>
      </c>
      <c r="AU7637" t="s">
        <v>68</v>
      </c>
      <c r="AV7637" t="s">
        <v>69</v>
      </c>
      <c r="AW7637" s="1">
        <v>28746</v>
      </c>
      <c r="AX7637">
        <v>1</v>
      </c>
    </row>
    <row r="7638" spans="1:50">
      <c r="A7638">
        <v>702552</v>
      </c>
      <c r="B7638" t="str">
        <f>"120055712"</f>
        <v>120055712</v>
      </c>
      <c r="C7638" t="s">
        <v>50</v>
      </c>
      <c r="D7638" t="s">
        <v>4693</v>
      </c>
      <c r="E7638" t="s">
        <v>1588</v>
      </c>
      <c r="F7638" t="s">
        <v>564</v>
      </c>
      <c r="G7638" t="s">
        <v>83</v>
      </c>
      <c r="H7638" t="str">
        <f>"ΑΘΗΝΩΝ 22 ΚΙΛΚΙΣ"</f>
        <v>ΑΘΗΝΩΝ 22 ΚΙΛΚΙΣ</v>
      </c>
      <c r="I7638">
        <v>61100</v>
      </c>
      <c r="J7638">
        <v>2341023427</v>
      </c>
      <c r="K7638">
        <v>6981660594</v>
      </c>
      <c r="M7638" t="s">
        <v>12049</v>
      </c>
      <c r="N7638" t="s">
        <v>615</v>
      </c>
      <c r="O7638" t="s">
        <v>616</v>
      </c>
      <c r="R7638" t="s">
        <v>57</v>
      </c>
      <c r="S7638">
        <v>4</v>
      </c>
      <c r="T7638" t="s">
        <v>12050</v>
      </c>
      <c r="U7638" s="1">
        <v>40413</v>
      </c>
      <c r="V7638" t="s">
        <v>5177</v>
      </c>
      <c r="W7638" t="s">
        <v>5178</v>
      </c>
      <c r="X7638" t="s">
        <v>58</v>
      </c>
      <c r="Y7638">
        <v>24</v>
      </c>
      <c r="Z7638" t="s">
        <v>59</v>
      </c>
      <c r="AA7638" t="s">
        <v>59</v>
      </c>
      <c r="AB7638" t="s">
        <v>59</v>
      </c>
      <c r="AC7638" t="s">
        <v>59</v>
      </c>
      <c r="AD7638" t="s">
        <v>59</v>
      </c>
      <c r="AF7638" s="1">
        <v>40413</v>
      </c>
      <c r="AG7638" t="s">
        <v>8645</v>
      </c>
      <c r="AH7638" t="s">
        <v>8646</v>
      </c>
      <c r="AI7638" t="str">
        <f>"9320138"</f>
        <v>9320138</v>
      </c>
      <c r="AJ7638" t="s">
        <v>11915</v>
      </c>
      <c r="AK7638">
        <v>2841022104</v>
      </c>
      <c r="AL7638" t="s">
        <v>11916</v>
      </c>
      <c r="AM7638" t="s">
        <v>4513</v>
      </c>
      <c r="AN7638" t="s">
        <v>4514</v>
      </c>
      <c r="AO7638" t="s">
        <v>4514</v>
      </c>
      <c r="AP7638" t="s">
        <v>4514</v>
      </c>
      <c r="AQ7638">
        <v>1</v>
      </c>
      <c r="AR7638" t="s">
        <v>5177</v>
      </c>
      <c r="AS7638" t="s">
        <v>5178</v>
      </c>
      <c r="AT7638" t="s">
        <v>58</v>
      </c>
      <c r="AU7638" t="s">
        <v>68</v>
      </c>
      <c r="AV7638" t="s">
        <v>69</v>
      </c>
      <c r="AW7638" s="1">
        <v>31850</v>
      </c>
      <c r="AX7638">
        <v>1</v>
      </c>
    </row>
    <row r="7639" spans="1:50">
      <c r="A7639">
        <v>614735</v>
      </c>
      <c r="B7639" t="str">
        <f>"100142299"</f>
        <v>100142299</v>
      </c>
      <c r="C7639" t="s">
        <v>105</v>
      </c>
      <c r="D7639" t="s">
        <v>12051</v>
      </c>
      <c r="E7639" t="s">
        <v>53</v>
      </c>
      <c r="F7639" t="s">
        <v>92</v>
      </c>
      <c r="G7639" t="s">
        <v>250</v>
      </c>
      <c r="H7639" t="str">
        <f>"ΑΡΒΗ ΒΙΑΝΝΟΥ ΒΙΑΝΝΟΣ"</f>
        <v>ΑΡΒΗ ΒΙΑΝΝΟΥ ΒΙΑΝΝΟΣ</v>
      </c>
      <c r="I7639">
        <v>70004</v>
      </c>
      <c r="J7639">
        <v>2895071428</v>
      </c>
      <c r="K7639">
        <v>6973689861</v>
      </c>
      <c r="N7639" t="s">
        <v>615</v>
      </c>
      <c r="O7639" t="s">
        <v>616</v>
      </c>
      <c r="R7639" t="s">
        <v>57</v>
      </c>
      <c r="S7639">
        <v>7</v>
      </c>
      <c r="T7639">
        <v>598</v>
      </c>
      <c r="U7639" s="1">
        <v>39310</v>
      </c>
      <c r="V7639" t="s">
        <v>5177</v>
      </c>
      <c r="W7639" t="s">
        <v>5178</v>
      </c>
      <c r="X7639" t="s">
        <v>58</v>
      </c>
      <c r="Y7639">
        <v>23</v>
      </c>
      <c r="Z7639" t="s">
        <v>59</v>
      </c>
      <c r="AA7639" t="s">
        <v>59</v>
      </c>
      <c r="AB7639" t="s">
        <v>59</v>
      </c>
      <c r="AC7639" t="s">
        <v>59</v>
      </c>
      <c r="AD7639" t="s">
        <v>59</v>
      </c>
      <c r="AF7639" s="1">
        <v>39328</v>
      </c>
      <c r="AG7639" t="s">
        <v>8645</v>
      </c>
      <c r="AH7639" t="s">
        <v>8646</v>
      </c>
      <c r="AI7639" t="str">
        <f>"9320138"</f>
        <v>9320138</v>
      </c>
      <c r="AJ7639" t="s">
        <v>11915</v>
      </c>
      <c r="AK7639">
        <v>2841022104</v>
      </c>
      <c r="AL7639" t="s">
        <v>11916</v>
      </c>
      <c r="AM7639" t="s">
        <v>4513</v>
      </c>
      <c r="AN7639" t="s">
        <v>4514</v>
      </c>
      <c r="AO7639" t="s">
        <v>4514</v>
      </c>
      <c r="AP7639" t="s">
        <v>4514</v>
      </c>
      <c r="AQ7639">
        <v>1</v>
      </c>
      <c r="AR7639" t="s">
        <v>5177</v>
      </c>
      <c r="AS7639" t="s">
        <v>5178</v>
      </c>
      <c r="AT7639" t="s">
        <v>58</v>
      </c>
      <c r="AU7639" t="s">
        <v>68</v>
      </c>
      <c r="AV7639" t="s">
        <v>69</v>
      </c>
      <c r="AW7639" s="1">
        <v>30847</v>
      </c>
      <c r="AX7639">
        <v>1</v>
      </c>
    </row>
    <row r="7640" spans="1:50">
      <c r="A7640">
        <v>560395</v>
      </c>
      <c r="B7640" t="str">
        <f>"033799514"</f>
        <v>033799514</v>
      </c>
      <c r="C7640" t="s">
        <v>50</v>
      </c>
      <c r="D7640" t="s">
        <v>12052</v>
      </c>
      <c r="E7640" t="s">
        <v>52</v>
      </c>
      <c r="F7640" t="s">
        <v>920</v>
      </c>
      <c r="G7640" t="s">
        <v>845</v>
      </c>
      <c r="H7640" t="str">
        <f>"ΚΟΥΤΣΟΥΡΑΣ ΣΠΗΛΙΑΡΙΔΙΑ"</f>
        <v>ΚΟΥΤΣΟΥΡΑΣ ΣΠΗΛΙΑΡΙΔΙΑ</v>
      </c>
      <c r="I7640">
        <v>72055</v>
      </c>
      <c r="J7640">
        <v>2843051909</v>
      </c>
      <c r="K7640">
        <v>6977254017</v>
      </c>
      <c r="N7640" t="s">
        <v>615</v>
      </c>
      <c r="O7640" t="s">
        <v>616</v>
      </c>
      <c r="R7640" t="s">
        <v>57</v>
      </c>
      <c r="S7640">
        <v>15</v>
      </c>
      <c r="T7640">
        <v>185</v>
      </c>
      <c r="U7640" s="1">
        <v>32035</v>
      </c>
      <c r="V7640" t="s">
        <v>5177</v>
      </c>
      <c r="W7640" t="s">
        <v>5178</v>
      </c>
      <c r="X7640" t="s">
        <v>58</v>
      </c>
      <c r="Y7640">
        <v>21</v>
      </c>
      <c r="Z7640" t="s">
        <v>59</v>
      </c>
      <c r="AA7640" t="s">
        <v>59</v>
      </c>
      <c r="AB7640" t="s">
        <v>59</v>
      </c>
      <c r="AC7640" t="s">
        <v>59</v>
      </c>
      <c r="AD7640" t="s">
        <v>59</v>
      </c>
      <c r="AF7640" s="1">
        <v>32038</v>
      </c>
      <c r="AG7640" t="s">
        <v>8645</v>
      </c>
      <c r="AH7640" t="s">
        <v>8646</v>
      </c>
      <c r="AI7640" t="str">
        <f>"9320098"</f>
        <v>9320098</v>
      </c>
      <c r="AJ7640" t="s">
        <v>12053</v>
      </c>
      <c r="AK7640">
        <v>2843051475</v>
      </c>
      <c r="AL7640" t="s">
        <v>12054</v>
      </c>
      <c r="AM7640" t="s">
        <v>4513</v>
      </c>
      <c r="AN7640" t="s">
        <v>4519</v>
      </c>
      <c r="AO7640" t="s">
        <v>4766</v>
      </c>
      <c r="AP7640" t="s">
        <v>12055</v>
      </c>
      <c r="AQ7640">
        <v>6</v>
      </c>
      <c r="AR7640" t="s">
        <v>5177</v>
      </c>
      <c r="AS7640" t="s">
        <v>5178</v>
      </c>
      <c r="AT7640" t="s">
        <v>58</v>
      </c>
      <c r="AU7640" t="s">
        <v>68</v>
      </c>
      <c r="AV7640" t="s">
        <v>69</v>
      </c>
      <c r="AW7640" s="1">
        <v>23932</v>
      </c>
      <c r="AX7640">
        <v>1</v>
      </c>
    </row>
    <row r="7641" spans="1:50">
      <c r="B7641" t="str">
        <f>"029598049"</f>
        <v>029598049</v>
      </c>
      <c r="C7641" t="s">
        <v>50</v>
      </c>
      <c r="D7641" t="s">
        <v>12056</v>
      </c>
      <c r="E7641" t="s">
        <v>12057</v>
      </c>
      <c r="F7641" t="s">
        <v>760</v>
      </c>
      <c r="G7641" t="s">
        <v>191</v>
      </c>
      <c r="H7641" t="str">
        <f>"ΜΑΚΡΥΛΙΑ ΙΕΡΑΠΕΤΡΑ ΚΡΗΤΗΣ"</f>
        <v>ΜΑΚΡΥΛΙΑ ΙΕΡΑΠΕΤΡΑ ΚΡΗΤΗΣ</v>
      </c>
      <c r="I7641">
        <v>72200</v>
      </c>
      <c r="J7641">
        <v>2842024302</v>
      </c>
      <c r="K7641">
        <v>6948505693</v>
      </c>
      <c r="N7641" t="s">
        <v>683</v>
      </c>
      <c r="O7641" t="s">
        <v>684</v>
      </c>
      <c r="R7641" t="s">
        <v>159</v>
      </c>
      <c r="S7641">
        <v>4</v>
      </c>
      <c r="T7641" t="s">
        <v>8675</v>
      </c>
      <c r="U7641" s="1">
        <v>43348</v>
      </c>
      <c r="V7641" t="s">
        <v>5177</v>
      </c>
      <c r="W7641" t="s">
        <v>5178</v>
      </c>
      <c r="X7641" t="s">
        <v>58</v>
      </c>
      <c r="Y7641">
        <v>24</v>
      </c>
      <c r="Z7641" t="s">
        <v>59</v>
      </c>
      <c r="AA7641" t="s">
        <v>59</v>
      </c>
      <c r="AB7641" t="s">
        <v>59</v>
      </c>
      <c r="AC7641" t="s">
        <v>59</v>
      </c>
      <c r="AD7641" t="s">
        <v>59</v>
      </c>
      <c r="AF7641" s="1">
        <v>43348</v>
      </c>
      <c r="AG7641" t="s">
        <v>8645</v>
      </c>
      <c r="AH7641" t="s">
        <v>8646</v>
      </c>
      <c r="AI7641" t="str">
        <f>"9320163"</f>
        <v>9320163</v>
      </c>
      <c r="AJ7641" t="s">
        <v>12012</v>
      </c>
      <c r="AK7641">
        <v>2842024595</v>
      </c>
      <c r="AL7641" t="s">
        <v>12013</v>
      </c>
      <c r="AM7641" t="s">
        <v>4513</v>
      </c>
      <c r="AN7641" t="s">
        <v>4519</v>
      </c>
      <c r="AO7641" t="s">
        <v>4519</v>
      </c>
      <c r="AP7641" t="s">
        <v>4519</v>
      </c>
      <c r="AQ7641">
        <v>4</v>
      </c>
      <c r="AR7641" t="s">
        <v>5177</v>
      </c>
      <c r="AS7641" t="s">
        <v>5178</v>
      </c>
      <c r="AT7641" t="s">
        <v>58</v>
      </c>
      <c r="AU7641" t="s">
        <v>8673</v>
      </c>
      <c r="AV7641" t="s">
        <v>132</v>
      </c>
      <c r="AW7641" s="1">
        <v>21899</v>
      </c>
      <c r="AX7641">
        <v>1</v>
      </c>
    </row>
    <row r="7642" spans="1:50">
      <c r="A7642">
        <v>597351</v>
      </c>
      <c r="B7642" t="str">
        <f>"055224047"</f>
        <v>055224047</v>
      </c>
      <c r="C7642" t="s">
        <v>50</v>
      </c>
      <c r="D7642" t="s">
        <v>12058</v>
      </c>
      <c r="E7642" t="s">
        <v>52</v>
      </c>
      <c r="F7642" t="s">
        <v>92</v>
      </c>
      <c r="G7642" t="s">
        <v>5180</v>
      </c>
      <c r="H7642" t="str">
        <f>"ΘΡΑΚΗΣ ΝΕΟ ΣΧΕΔΙΟ ΙΕΡΑΠΕΤΡΑ"</f>
        <v>ΘΡΑΚΗΣ ΝΕΟ ΣΧΕΔΙΟ ΙΕΡΑΠΕΤΡΑ</v>
      </c>
      <c r="I7642">
        <v>72200</v>
      </c>
      <c r="J7642">
        <v>2842020174</v>
      </c>
      <c r="K7642">
        <v>6945047361</v>
      </c>
      <c r="L7642">
        <v>2842025394</v>
      </c>
      <c r="M7642" t="s">
        <v>12059</v>
      </c>
      <c r="N7642" t="s">
        <v>306</v>
      </c>
      <c r="O7642" t="s">
        <v>307</v>
      </c>
      <c r="R7642" t="s">
        <v>57</v>
      </c>
      <c r="S7642">
        <v>10</v>
      </c>
      <c r="T7642">
        <v>193</v>
      </c>
      <c r="U7642" s="1">
        <v>37497</v>
      </c>
      <c r="V7642" t="s">
        <v>5177</v>
      </c>
      <c r="W7642" t="s">
        <v>5178</v>
      </c>
      <c r="X7642" t="s">
        <v>58</v>
      </c>
      <c r="Y7642">
        <v>21</v>
      </c>
      <c r="Z7642" t="s">
        <v>59</v>
      </c>
      <c r="AA7642" t="s">
        <v>59</v>
      </c>
      <c r="AB7642" t="s">
        <v>59</v>
      </c>
      <c r="AC7642" t="s">
        <v>59</v>
      </c>
      <c r="AD7642" t="s">
        <v>59</v>
      </c>
      <c r="AF7642" s="1">
        <v>37501</v>
      </c>
      <c r="AG7642" t="s">
        <v>8645</v>
      </c>
      <c r="AH7642" t="s">
        <v>8646</v>
      </c>
      <c r="AI7642" t="str">
        <f>"9320003"</f>
        <v>9320003</v>
      </c>
      <c r="AJ7642" t="s">
        <v>11886</v>
      </c>
      <c r="AK7642">
        <v>2842089830</v>
      </c>
      <c r="AL7642" t="s">
        <v>11887</v>
      </c>
      <c r="AM7642" t="s">
        <v>4513</v>
      </c>
      <c r="AN7642" t="s">
        <v>4519</v>
      </c>
      <c r="AO7642" t="s">
        <v>4519</v>
      </c>
      <c r="AP7642" t="s">
        <v>4519</v>
      </c>
      <c r="AQ7642">
        <v>4</v>
      </c>
      <c r="AR7642" t="s">
        <v>5177</v>
      </c>
      <c r="AS7642" t="s">
        <v>5178</v>
      </c>
      <c r="AT7642" t="s">
        <v>58</v>
      </c>
      <c r="AU7642" t="s">
        <v>68</v>
      </c>
      <c r="AV7642" t="s">
        <v>69</v>
      </c>
      <c r="AW7642" s="1">
        <v>25856</v>
      </c>
      <c r="AX7642">
        <v>1</v>
      </c>
    </row>
    <row r="7643" spans="1:50">
      <c r="A7643">
        <v>563508</v>
      </c>
      <c r="B7643" t="str">
        <f>"036160908"</f>
        <v>036160908</v>
      </c>
      <c r="C7643" t="s">
        <v>105</v>
      </c>
      <c r="D7643" t="s">
        <v>12060</v>
      </c>
      <c r="E7643" t="s">
        <v>53</v>
      </c>
      <c r="F7643" t="s">
        <v>72</v>
      </c>
      <c r="G7643" t="s">
        <v>237</v>
      </c>
      <c r="H7643" t="str">
        <f>"ΓΡΗΓΟΡΙΟΥ ΑΥΞΕΝΤΙΟΥ 49 ΙΕΡΑΠΕΤΡΑ"</f>
        <v>ΓΡΗΓΟΡΙΟΥ ΑΥΞΕΝΤΙΟΥ 49 ΙΕΡΑΠΕΤΡΑ</v>
      </c>
      <c r="I7643">
        <v>72200</v>
      </c>
      <c r="J7643">
        <v>2842080186</v>
      </c>
      <c r="N7643" t="s">
        <v>615</v>
      </c>
      <c r="O7643" t="s">
        <v>616</v>
      </c>
      <c r="R7643" t="s">
        <v>57</v>
      </c>
      <c r="S7643">
        <v>14</v>
      </c>
      <c r="T7643">
        <v>194</v>
      </c>
      <c r="U7643" s="1">
        <v>32762</v>
      </c>
      <c r="V7643" t="s">
        <v>5177</v>
      </c>
      <c r="W7643" t="s">
        <v>5178</v>
      </c>
      <c r="X7643" t="s">
        <v>58</v>
      </c>
      <c r="Y7643">
        <v>21</v>
      </c>
      <c r="Z7643" t="s">
        <v>59</v>
      </c>
      <c r="AA7643" t="s">
        <v>59</v>
      </c>
      <c r="AB7643" t="s">
        <v>59</v>
      </c>
      <c r="AC7643" t="s">
        <v>59</v>
      </c>
      <c r="AD7643" t="s">
        <v>59</v>
      </c>
      <c r="AF7643" s="1">
        <v>32763</v>
      </c>
      <c r="AG7643" t="s">
        <v>8645</v>
      </c>
      <c r="AH7643" t="s">
        <v>8646</v>
      </c>
      <c r="AI7643" t="str">
        <f>"9320021"</f>
        <v>9320021</v>
      </c>
      <c r="AJ7643" t="s">
        <v>11956</v>
      </c>
      <c r="AK7643">
        <v>2842022557</v>
      </c>
      <c r="AL7643" t="s">
        <v>11957</v>
      </c>
      <c r="AM7643" t="s">
        <v>4513</v>
      </c>
      <c r="AN7643" t="s">
        <v>4519</v>
      </c>
      <c r="AO7643" t="s">
        <v>4519</v>
      </c>
      <c r="AP7643" t="s">
        <v>4519</v>
      </c>
      <c r="AQ7643">
        <v>5</v>
      </c>
      <c r="AR7643" t="s">
        <v>5177</v>
      </c>
      <c r="AS7643" t="s">
        <v>5178</v>
      </c>
      <c r="AT7643" t="s">
        <v>58</v>
      </c>
      <c r="AU7643" t="s">
        <v>68</v>
      </c>
      <c r="AV7643" t="s">
        <v>69</v>
      </c>
      <c r="AW7643" s="1">
        <v>23436</v>
      </c>
      <c r="AX7643">
        <v>1</v>
      </c>
    </row>
    <row r="7644" spans="1:50">
      <c r="A7644">
        <v>616135</v>
      </c>
      <c r="B7644" t="str">
        <f>"143476158"</f>
        <v>143476158</v>
      </c>
      <c r="C7644" t="s">
        <v>50</v>
      </c>
      <c r="D7644" t="s">
        <v>5870</v>
      </c>
      <c r="E7644" t="s">
        <v>12061</v>
      </c>
      <c r="F7644" t="s">
        <v>450</v>
      </c>
      <c r="G7644" t="s">
        <v>1440</v>
      </c>
      <c r="H7644" t="str">
        <f>"ΠΟΣΕΙΔΩΝΟΣ 36 Α ΒΟΛΟΣ"</f>
        <v>ΠΟΣΕΙΔΩΝΟΣ 36 Α ΒΟΛΟΣ</v>
      </c>
      <c r="I7644">
        <v>38222</v>
      </c>
      <c r="J7644">
        <v>2421044725</v>
      </c>
      <c r="K7644">
        <v>6944914038</v>
      </c>
      <c r="M7644" t="s">
        <v>12062</v>
      </c>
      <c r="N7644" t="s">
        <v>1525</v>
      </c>
      <c r="O7644" t="s">
        <v>1526</v>
      </c>
      <c r="R7644" t="s">
        <v>57</v>
      </c>
      <c r="S7644">
        <v>5</v>
      </c>
      <c r="T7644" t="s">
        <v>12063</v>
      </c>
      <c r="U7644" s="1">
        <v>39328</v>
      </c>
      <c r="V7644" t="s">
        <v>5177</v>
      </c>
      <c r="W7644" t="s">
        <v>5178</v>
      </c>
      <c r="X7644" t="s">
        <v>58</v>
      </c>
      <c r="Y7644">
        <v>25</v>
      </c>
      <c r="Z7644" t="s">
        <v>59</v>
      </c>
      <c r="AA7644" t="s">
        <v>59</v>
      </c>
      <c r="AB7644" t="s">
        <v>59</v>
      </c>
      <c r="AC7644" t="s">
        <v>59</v>
      </c>
      <c r="AD7644" t="s">
        <v>59</v>
      </c>
      <c r="AF7644" s="1">
        <v>39328</v>
      </c>
      <c r="AG7644" t="s">
        <v>8651</v>
      </c>
      <c r="AH7644" t="s">
        <v>8652</v>
      </c>
      <c r="AI7644" t="str">
        <f>"9320092"</f>
        <v>9320092</v>
      </c>
      <c r="AJ7644" t="s">
        <v>12064</v>
      </c>
      <c r="AK7644">
        <v>2843022724</v>
      </c>
      <c r="AL7644" t="s">
        <v>12065</v>
      </c>
      <c r="AM7644" t="s">
        <v>4513</v>
      </c>
      <c r="AN7644" t="s">
        <v>4540</v>
      </c>
      <c r="AO7644" t="s">
        <v>4540</v>
      </c>
      <c r="AP7644" t="s">
        <v>4540</v>
      </c>
      <c r="AQ7644">
        <v>8</v>
      </c>
      <c r="AR7644" t="s">
        <v>5177</v>
      </c>
      <c r="AS7644" t="s">
        <v>5178</v>
      </c>
      <c r="AT7644" t="s">
        <v>58</v>
      </c>
      <c r="AU7644" t="s">
        <v>68</v>
      </c>
      <c r="AV7644" t="s">
        <v>69</v>
      </c>
      <c r="AW7644" s="1">
        <v>30882</v>
      </c>
      <c r="AX7644">
        <v>1</v>
      </c>
    </row>
    <row r="7645" spans="1:50">
      <c r="A7645">
        <v>565291</v>
      </c>
      <c r="B7645" t="str">
        <f>"037464293"</f>
        <v>037464293</v>
      </c>
      <c r="C7645" t="s">
        <v>50</v>
      </c>
      <c r="D7645" t="s">
        <v>12066</v>
      </c>
      <c r="E7645" t="s">
        <v>860</v>
      </c>
      <c r="F7645" t="s">
        <v>154</v>
      </c>
      <c r="G7645" t="s">
        <v>85</v>
      </c>
      <c r="H7645" t="str">
        <f>"Μ. ΣΦΑΚΙΑΝΝΑΚΗ 15 ΣΗΤΕΙΑ"</f>
        <v>Μ. ΣΦΑΚΙΑΝΝΑΚΗ 15 ΣΗΤΕΙΑ</v>
      </c>
      <c r="I7645">
        <v>72300</v>
      </c>
      <c r="N7645" t="s">
        <v>615</v>
      </c>
      <c r="O7645" t="s">
        <v>616</v>
      </c>
      <c r="R7645" t="s">
        <v>57</v>
      </c>
      <c r="S7645">
        <v>15</v>
      </c>
      <c r="T7645">
        <v>161</v>
      </c>
      <c r="U7645" s="1">
        <v>33119</v>
      </c>
      <c r="V7645" t="s">
        <v>5177</v>
      </c>
      <c r="W7645" t="s">
        <v>5178</v>
      </c>
      <c r="X7645" t="s">
        <v>58</v>
      </c>
      <c r="Y7645">
        <v>21</v>
      </c>
      <c r="Z7645" t="s">
        <v>59</v>
      </c>
      <c r="AA7645" t="s">
        <v>59</v>
      </c>
      <c r="AB7645" t="s">
        <v>59</v>
      </c>
      <c r="AC7645" t="s">
        <v>59</v>
      </c>
      <c r="AD7645" t="s">
        <v>59</v>
      </c>
      <c r="AF7645" s="1">
        <v>33120</v>
      </c>
      <c r="AG7645" t="s">
        <v>8645</v>
      </c>
      <c r="AH7645" t="s">
        <v>8646</v>
      </c>
      <c r="AI7645" t="str">
        <f>"9320205"</f>
        <v>9320205</v>
      </c>
      <c r="AJ7645" t="s">
        <v>11902</v>
      </c>
      <c r="AK7645">
        <v>2843024509</v>
      </c>
      <c r="AL7645" t="s">
        <v>11903</v>
      </c>
      <c r="AM7645" t="s">
        <v>4513</v>
      </c>
      <c r="AN7645" t="s">
        <v>4540</v>
      </c>
      <c r="AO7645" t="s">
        <v>4540</v>
      </c>
      <c r="AP7645" t="s">
        <v>4540</v>
      </c>
      <c r="AQ7645">
        <v>8</v>
      </c>
      <c r="AR7645" t="s">
        <v>5177</v>
      </c>
      <c r="AS7645" t="s">
        <v>5178</v>
      </c>
      <c r="AT7645" t="s">
        <v>58</v>
      </c>
      <c r="AU7645" t="s">
        <v>68</v>
      </c>
      <c r="AV7645" t="s">
        <v>69</v>
      </c>
      <c r="AW7645" s="1">
        <v>23987</v>
      </c>
      <c r="AX7645">
        <v>1</v>
      </c>
    </row>
    <row r="7646" spans="1:50">
      <c r="A7646">
        <v>622688</v>
      </c>
      <c r="B7646" t="str">
        <f>"131501899"</f>
        <v>131501899</v>
      </c>
      <c r="C7646" t="s">
        <v>50</v>
      </c>
      <c r="D7646" t="s">
        <v>12067</v>
      </c>
      <c r="E7646" t="s">
        <v>109</v>
      </c>
      <c r="F7646" t="s">
        <v>95</v>
      </c>
      <c r="G7646" t="s">
        <v>484</v>
      </c>
      <c r="H7646" t="str">
        <f>"ΜΟΥΣΩΝ 41 ΘΕΣΣΑΛΟΝΙΚΗ"</f>
        <v>ΜΟΥΣΩΝ 41 ΘΕΣΣΑΛΟΝΙΚΗ</v>
      </c>
      <c r="I7646">
        <v>54634</v>
      </c>
      <c r="J7646">
        <v>2310245246</v>
      </c>
      <c r="K7646">
        <v>6978276548</v>
      </c>
      <c r="N7646" t="s">
        <v>1525</v>
      </c>
      <c r="O7646" t="s">
        <v>1526</v>
      </c>
      <c r="R7646" t="s">
        <v>57</v>
      </c>
      <c r="S7646">
        <v>6</v>
      </c>
      <c r="T7646">
        <v>653</v>
      </c>
      <c r="U7646" s="1">
        <v>40043</v>
      </c>
      <c r="V7646" t="s">
        <v>5177</v>
      </c>
      <c r="W7646" t="s">
        <v>5178</v>
      </c>
      <c r="X7646" t="s">
        <v>58</v>
      </c>
      <c r="Y7646">
        <v>25</v>
      </c>
      <c r="Z7646" t="s">
        <v>59</v>
      </c>
      <c r="AA7646" t="s">
        <v>59</v>
      </c>
      <c r="AB7646" t="s">
        <v>59</v>
      </c>
      <c r="AC7646" t="s">
        <v>59</v>
      </c>
      <c r="AD7646" t="s">
        <v>59</v>
      </c>
      <c r="AF7646" s="1">
        <v>40043</v>
      </c>
      <c r="AG7646" t="s">
        <v>8651</v>
      </c>
      <c r="AH7646" t="s">
        <v>8652</v>
      </c>
      <c r="AI7646" t="str">
        <f>"9320033"</f>
        <v>9320033</v>
      </c>
      <c r="AJ7646" t="s">
        <v>12068</v>
      </c>
      <c r="AK7646">
        <v>2841061328</v>
      </c>
      <c r="AL7646" t="s">
        <v>12069</v>
      </c>
      <c r="AM7646" t="s">
        <v>4513</v>
      </c>
      <c r="AN7646" t="s">
        <v>4514</v>
      </c>
      <c r="AO7646" t="s">
        <v>4514</v>
      </c>
      <c r="AP7646" t="s">
        <v>11986</v>
      </c>
      <c r="AQ7646">
        <v>2</v>
      </c>
      <c r="AR7646" t="s">
        <v>5177</v>
      </c>
      <c r="AS7646" t="s">
        <v>5178</v>
      </c>
      <c r="AT7646" t="s">
        <v>58</v>
      </c>
      <c r="AU7646" t="s">
        <v>68</v>
      </c>
      <c r="AV7646" t="s">
        <v>69</v>
      </c>
      <c r="AW7646" s="1">
        <v>30935</v>
      </c>
      <c r="AX7646">
        <v>1</v>
      </c>
    </row>
    <row r="7647" spans="1:50">
      <c r="A7647">
        <v>571426</v>
      </c>
      <c r="B7647" t="str">
        <f>"110284445"</f>
        <v>110284445</v>
      </c>
      <c r="C7647" t="s">
        <v>50</v>
      </c>
      <c r="D7647" t="s">
        <v>12070</v>
      </c>
      <c r="E7647" t="s">
        <v>1078</v>
      </c>
      <c r="F7647" t="s">
        <v>72</v>
      </c>
      <c r="G7647" t="s">
        <v>250</v>
      </c>
      <c r="H7647" t="str">
        <f>"ΚΟΥΤΣΟΥΝΑΡΙ ΙΕΡΑΠΕΤΡΑ"</f>
        <v>ΚΟΥΤΣΟΥΝΑΡΙ ΙΕΡΑΠΕΤΡΑ</v>
      </c>
      <c r="I7647">
        <v>72200</v>
      </c>
      <c r="J7647">
        <v>2842061842</v>
      </c>
      <c r="N7647" t="s">
        <v>615</v>
      </c>
      <c r="O7647" t="s">
        <v>616</v>
      </c>
      <c r="R7647" t="s">
        <v>57</v>
      </c>
      <c r="S7647">
        <v>13</v>
      </c>
      <c r="T7647">
        <v>138</v>
      </c>
      <c r="U7647" s="1">
        <v>34206</v>
      </c>
      <c r="V7647" t="s">
        <v>5177</v>
      </c>
      <c r="W7647" t="s">
        <v>5178</v>
      </c>
      <c r="X7647" t="s">
        <v>58</v>
      </c>
      <c r="Y7647">
        <v>21</v>
      </c>
      <c r="Z7647" t="s">
        <v>59</v>
      </c>
      <c r="AA7647" t="s">
        <v>59</v>
      </c>
      <c r="AB7647" t="s">
        <v>59</v>
      </c>
      <c r="AC7647" t="s">
        <v>59</v>
      </c>
      <c r="AD7647" t="s">
        <v>59</v>
      </c>
      <c r="AF7647" s="1">
        <v>34215</v>
      </c>
      <c r="AG7647" t="s">
        <v>8645</v>
      </c>
      <c r="AH7647" t="s">
        <v>8646</v>
      </c>
      <c r="AI7647" t="str">
        <f>"9320009"</f>
        <v>9320009</v>
      </c>
      <c r="AJ7647" t="s">
        <v>11959</v>
      </c>
      <c r="AK7647">
        <v>2842061261</v>
      </c>
      <c r="AL7647" t="s">
        <v>11960</v>
      </c>
      <c r="AM7647" t="s">
        <v>4513</v>
      </c>
      <c r="AN7647" t="s">
        <v>4519</v>
      </c>
      <c r="AO7647" t="s">
        <v>4519</v>
      </c>
      <c r="AP7647" t="s">
        <v>11961</v>
      </c>
      <c r="AQ7647">
        <v>6</v>
      </c>
      <c r="AR7647" t="s">
        <v>5177</v>
      </c>
      <c r="AS7647" t="s">
        <v>5178</v>
      </c>
      <c r="AT7647" t="s">
        <v>58</v>
      </c>
      <c r="AU7647" t="s">
        <v>68</v>
      </c>
      <c r="AV7647" t="s">
        <v>69</v>
      </c>
      <c r="AW7647" s="1">
        <v>23768</v>
      </c>
      <c r="AX7647">
        <v>1</v>
      </c>
    </row>
    <row r="7648" spans="1:50">
      <c r="B7648" t="str">
        <f>"113966007"</f>
        <v>113966007</v>
      </c>
      <c r="C7648" t="s">
        <v>50</v>
      </c>
      <c r="D7648" t="s">
        <v>12071</v>
      </c>
      <c r="E7648" t="s">
        <v>476</v>
      </c>
      <c r="F7648" t="s">
        <v>377</v>
      </c>
      <c r="G7648" t="s">
        <v>73</v>
      </c>
      <c r="H7648" t="str">
        <f>"ΖΥΜΒΡΑΚΑΚΗ 2 ΚΟΜΟΤΗΝΗ"</f>
        <v>ΖΥΜΒΡΑΚΑΚΗ 2 ΚΟΜΟΤΗΝΗ</v>
      </c>
      <c r="I7648">
        <v>69100</v>
      </c>
      <c r="J7648">
        <v>2531038819</v>
      </c>
      <c r="K7648">
        <v>6934522100</v>
      </c>
      <c r="N7648" t="s">
        <v>306</v>
      </c>
      <c r="O7648" t="s">
        <v>307</v>
      </c>
      <c r="R7648" t="s">
        <v>159</v>
      </c>
      <c r="S7648">
        <v>2</v>
      </c>
      <c r="T7648" t="s">
        <v>8675</v>
      </c>
      <c r="U7648" s="1">
        <v>43348</v>
      </c>
      <c r="V7648" t="s">
        <v>5177</v>
      </c>
      <c r="W7648" t="s">
        <v>5178</v>
      </c>
      <c r="X7648" t="s">
        <v>58</v>
      </c>
      <c r="Y7648">
        <v>24</v>
      </c>
      <c r="Z7648" t="s">
        <v>59</v>
      </c>
      <c r="AA7648" t="s">
        <v>59</v>
      </c>
      <c r="AB7648" t="s">
        <v>59</v>
      </c>
      <c r="AC7648" t="s">
        <v>59</v>
      </c>
      <c r="AD7648" t="s">
        <v>59</v>
      </c>
      <c r="AF7648" s="1">
        <v>43348</v>
      </c>
      <c r="AG7648" t="s">
        <v>8645</v>
      </c>
      <c r="AH7648" t="s">
        <v>8646</v>
      </c>
      <c r="AI7648" t="str">
        <f>"9320132"</f>
        <v>9320132</v>
      </c>
      <c r="AJ7648" t="s">
        <v>12072</v>
      </c>
      <c r="AK7648">
        <v>2843094341</v>
      </c>
      <c r="AL7648" t="s">
        <v>12073</v>
      </c>
      <c r="AM7648" t="s">
        <v>4513</v>
      </c>
      <c r="AN7648" t="s">
        <v>4540</v>
      </c>
      <c r="AO7648" t="s">
        <v>4540</v>
      </c>
      <c r="AP7648" t="s">
        <v>12074</v>
      </c>
      <c r="AQ7648">
        <v>10</v>
      </c>
      <c r="AR7648" t="s">
        <v>5177</v>
      </c>
      <c r="AS7648" t="s">
        <v>5178</v>
      </c>
      <c r="AT7648" t="s">
        <v>58</v>
      </c>
      <c r="AU7648" t="s">
        <v>8673</v>
      </c>
      <c r="AV7648" t="s">
        <v>132</v>
      </c>
      <c r="AW7648" s="1">
        <v>27574</v>
      </c>
      <c r="AX7648">
        <v>1</v>
      </c>
    </row>
    <row r="7649" spans="1:50">
      <c r="B7649" t="str">
        <f>"125284720"</f>
        <v>125284720</v>
      </c>
      <c r="C7649" t="s">
        <v>105</v>
      </c>
      <c r="D7649" t="s">
        <v>12075</v>
      </c>
      <c r="E7649" t="s">
        <v>72</v>
      </c>
      <c r="F7649" t="s">
        <v>383</v>
      </c>
      <c r="G7649" t="s">
        <v>83</v>
      </c>
      <c r="H7649" t="str">
        <f>"ΣΚΟΥΛΟΥΔΗ 11 ΣΗΤΕΙΑ"</f>
        <v>ΣΚΟΥΛΟΥΔΗ 11 ΣΗΤΕΙΑ</v>
      </c>
      <c r="I7649">
        <v>72300</v>
      </c>
      <c r="J7649">
        <v>2843110418</v>
      </c>
      <c r="K7649">
        <v>6979509533</v>
      </c>
      <c r="M7649" t="s">
        <v>12076</v>
      </c>
      <c r="N7649" t="s">
        <v>615</v>
      </c>
      <c r="O7649" t="s">
        <v>616</v>
      </c>
      <c r="R7649" t="s">
        <v>159</v>
      </c>
      <c r="S7649">
        <v>3</v>
      </c>
      <c r="T7649" t="s">
        <v>8675</v>
      </c>
      <c r="U7649" s="1">
        <v>43348</v>
      </c>
      <c r="V7649" t="s">
        <v>5177</v>
      </c>
      <c r="W7649" t="s">
        <v>5178</v>
      </c>
      <c r="X7649" t="s">
        <v>58</v>
      </c>
      <c r="Y7649">
        <v>24</v>
      </c>
      <c r="Z7649" t="s">
        <v>59</v>
      </c>
      <c r="AA7649" t="s">
        <v>59</v>
      </c>
      <c r="AB7649" t="s">
        <v>59</v>
      </c>
      <c r="AC7649" t="s">
        <v>59</v>
      </c>
      <c r="AD7649" t="s">
        <v>59</v>
      </c>
      <c r="AF7649" s="1">
        <v>43348</v>
      </c>
      <c r="AG7649" t="s">
        <v>8645</v>
      </c>
      <c r="AH7649" t="s">
        <v>8646</v>
      </c>
      <c r="AI7649" t="str">
        <f>"9320115"</f>
        <v>9320115</v>
      </c>
      <c r="AJ7649" t="s">
        <v>11935</v>
      </c>
      <c r="AK7649">
        <v>2843061213</v>
      </c>
      <c r="AL7649" t="s">
        <v>11936</v>
      </c>
      <c r="AM7649" t="s">
        <v>4513</v>
      </c>
      <c r="AN7649" t="s">
        <v>4540</v>
      </c>
      <c r="AO7649" t="s">
        <v>4700</v>
      </c>
      <c r="AP7649" t="s">
        <v>4701</v>
      </c>
      <c r="AQ7649">
        <v>9</v>
      </c>
      <c r="AR7649" t="s">
        <v>5177</v>
      </c>
      <c r="AS7649" t="s">
        <v>5178</v>
      </c>
      <c r="AT7649" t="s">
        <v>58</v>
      </c>
      <c r="AU7649" t="s">
        <v>8673</v>
      </c>
      <c r="AV7649" t="s">
        <v>132</v>
      </c>
      <c r="AW7649" s="1">
        <v>31764</v>
      </c>
      <c r="AX7649">
        <v>1</v>
      </c>
    </row>
    <row r="7650" spans="1:50">
      <c r="A7650">
        <v>622841</v>
      </c>
      <c r="B7650" t="str">
        <f>"046069764"</f>
        <v>046069764</v>
      </c>
      <c r="C7650" t="s">
        <v>105</v>
      </c>
      <c r="D7650" t="s">
        <v>12077</v>
      </c>
      <c r="E7650" t="s">
        <v>92</v>
      </c>
      <c r="F7650" t="s">
        <v>383</v>
      </c>
      <c r="G7650" t="s">
        <v>83</v>
      </c>
      <c r="H7650" t="str">
        <f>"ΑΜΑΖΟΝΩΝ 12 ΘΕΣΣΑΛΟΝΙΚΗ"</f>
        <v>ΑΜΑΖΟΝΩΝ 12 ΘΕΣΣΑΛΟΝΙΚΗ</v>
      </c>
      <c r="I7650">
        <v>55133</v>
      </c>
      <c r="J7650">
        <v>2310437698</v>
      </c>
      <c r="K7650">
        <v>6947520798</v>
      </c>
      <c r="L7650">
        <v>2841021374</v>
      </c>
      <c r="M7650" t="s">
        <v>12078</v>
      </c>
      <c r="N7650" t="s">
        <v>1525</v>
      </c>
      <c r="O7650" t="s">
        <v>1526</v>
      </c>
      <c r="R7650" t="s">
        <v>57</v>
      </c>
      <c r="S7650">
        <v>10</v>
      </c>
      <c r="T7650">
        <v>653</v>
      </c>
      <c r="U7650" s="1">
        <v>40043</v>
      </c>
      <c r="V7650" t="s">
        <v>5177</v>
      </c>
      <c r="W7650" t="s">
        <v>5178</v>
      </c>
      <c r="X7650" t="s">
        <v>58</v>
      </c>
      <c r="Y7650">
        <v>25</v>
      </c>
      <c r="Z7650" t="s">
        <v>59</v>
      </c>
      <c r="AA7650" t="s">
        <v>59</v>
      </c>
      <c r="AB7650" t="s">
        <v>59</v>
      </c>
      <c r="AC7650" t="s">
        <v>59</v>
      </c>
      <c r="AD7650" t="s">
        <v>59</v>
      </c>
      <c r="AF7650" s="1">
        <v>40046</v>
      </c>
      <c r="AG7650" t="s">
        <v>8651</v>
      </c>
      <c r="AH7650" t="s">
        <v>8652</v>
      </c>
      <c r="AI7650" t="str">
        <f>"9320033"</f>
        <v>9320033</v>
      </c>
      <c r="AJ7650" t="s">
        <v>12068</v>
      </c>
      <c r="AK7650">
        <v>2841061328</v>
      </c>
      <c r="AL7650" t="s">
        <v>12069</v>
      </c>
      <c r="AM7650" t="s">
        <v>4513</v>
      </c>
      <c r="AN7650" t="s">
        <v>4514</v>
      </c>
      <c r="AO7650" t="s">
        <v>4514</v>
      </c>
      <c r="AP7650" t="s">
        <v>11986</v>
      </c>
      <c r="AQ7650">
        <v>2</v>
      </c>
      <c r="AR7650" t="s">
        <v>5177</v>
      </c>
      <c r="AS7650" t="s">
        <v>5178</v>
      </c>
      <c r="AT7650" t="s">
        <v>58</v>
      </c>
      <c r="AU7650" t="s">
        <v>68</v>
      </c>
      <c r="AV7650" t="s">
        <v>69</v>
      </c>
      <c r="AW7650" s="1">
        <v>27762</v>
      </c>
      <c r="AX7650">
        <v>1</v>
      </c>
    </row>
    <row r="7651" spans="1:50">
      <c r="B7651" t="str">
        <f>"157460424"</f>
        <v>157460424</v>
      </c>
      <c r="C7651" t="s">
        <v>50</v>
      </c>
      <c r="D7651" t="s">
        <v>12079</v>
      </c>
      <c r="E7651" t="s">
        <v>341</v>
      </c>
      <c r="F7651" t="s">
        <v>99</v>
      </c>
      <c r="G7651" t="s">
        <v>215</v>
      </c>
      <c r="H7651" t="str">
        <f>" "</f>
        <v xml:space="preserve"> </v>
      </c>
      <c r="N7651" t="s">
        <v>384</v>
      </c>
      <c r="O7651" t="s">
        <v>385</v>
      </c>
      <c r="R7651" t="s">
        <v>121</v>
      </c>
      <c r="S7651">
        <v>1</v>
      </c>
      <c r="T7651" t="s">
        <v>8675</v>
      </c>
      <c r="U7651" s="1">
        <v>43348</v>
      </c>
      <c r="V7651" t="s">
        <v>5177</v>
      </c>
      <c r="W7651" t="s">
        <v>5178</v>
      </c>
      <c r="X7651" t="s">
        <v>58</v>
      </c>
      <c r="Y7651">
        <v>24</v>
      </c>
      <c r="Z7651" t="s">
        <v>59</v>
      </c>
      <c r="AA7651" t="s">
        <v>59</v>
      </c>
      <c r="AB7651" t="s">
        <v>59</v>
      </c>
      <c r="AD7651" t="s">
        <v>59</v>
      </c>
      <c r="AF7651" s="1">
        <v>43348</v>
      </c>
      <c r="AG7651" t="s">
        <v>8645</v>
      </c>
      <c r="AH7651" t="s">
        <v>8646</v>
      </c>
      <c r="AI7651" t="str">
        <f>"9320138"</f>
        <v>9320138</v>
      </c>
      <c r="AJ7651" t="s">
        <v>11915</v>
      </c>
      <c r="AK7651">
        <v>2841022104</v>
      </c>
      <c r="AL7651" t="s">
        <v>11916</v>
      </c>
      <c r="AM7651" t="s">
        <v>4513</v>
      </c>
      <c r="AN7651" t="s">
        <v>4514</v>
      </c>
      <c r="AO7651" t="s">
        <v>4514</v>
      </c>
      <c r="AP7651" t="s">
        <v>4514</v>
      </c>
      <c r="AQ7651">
        <v>1</v>
      </c>
      <c r="AR7651" t="s">
        <v>5177</v>
      </c>
      <c r="AS7651" t="s">
        <v>5178</v>
      </c>
      <c r="AT7651" t="s">
        <v>58</v>
      </c>
      <c r="AU7651" t="s">
        <v>8673</v>
      </c>
      <c r="AV7651" t="s">
        <v>132</v>
      </c>
      <c r="AW7651" s="1">
        <v>33559</v>
      </c>
      <c r="AX7651">
        <v>1</v>
      </c>
    </row>
    <row r="7652" spans="1:50">
      <c r="A7652">
        <v>604147</v>
      </c>
      <c r="B7652" t="str">
        <f>"073788870"</f>
        <v>073788870</v>
      </c>
      <c r="C7652" t="s">
        <v>50</v>
      </c>
      <c r="D7652" t="s">
        <v>9393</v>
      </c>
      <c r="E7652" t="s">
        <v>476</v>
      </c>
      <c r="F7652" t="s">
        <v>383</v>
      </c>
      <c r="G7652" t="s">
        <v>2409</v>
      </c>
      <c r="H7652" t="str">
        <f>"Κ. ΠΑΛΑΙΟΛΟΓΟΥ 37 ΑΓΙΟΣ ΝΙΚΟΛΑΟΣ"</f>
        <v>Κ. ΠΑΛΑΙΟΛΟΓΟΥ 37 ΑΓΙΟΣ ΝΙΚΟΛΑΟΣ</v>
      </c>
      <c r="I7652">
        <v>72100</v>
      </c>
      <c r="J7652">
        <v>2102627646</v>
      </c>
      <c r="K7652">
        <v>6972006646</v>
      </c>
      <c r="L7652">
        <v>2841102060</v>
      </c>
      <c r="N7652" t="s">
        <v>615</v>
      </c>
      <c r="O7652" t="s">
        <v>616</v>
      </c>
      <c r="R7652" t="s">
        <v>57</v>
      </c>
      <c r="S7652">
        <v>8</v>
      </c>
      <c r="T7652">
        <v>231</v>
      </c>
      <c r="U7652" s="1">
        <v>38230</v>
      </c>
      <c r="V7652" t="s">
        <v>5177</v>
      </c>
      <c r="W7652" t="s">
        <v>5178</v>
      </c>
      <c r="X7652" t="s">
        <v>58</v>
      </c>
      <c r="Y7652">
        <v>22</v>
      </c>
      <c r="Z7652" t="s">
        <v>59</v>
      </c>
      <c r="AA7652" t="s">
        <v>59</v>
      </c>
      <c r="AB7652" t="s">
        <v>59</v>
      </c>
      <c r="AC7652" t="s">
        <v>59</v>
      </c>
      <c r="AD7652" t="s">
        <v>59</v>
      </c>
      <c r="AF7652" s="1">
        <v>38231</v>
      </c>
      <c r="AG7652" t="s">
        <v>8645</v>
      </c>
      <c r="AH7652" t="s">
        <v>8646</v>
      </c>
      <c r="AI7652" t="str">
        <f>"9320058"</f>
        <v>9320058</v>
      </c>
      <c r="AJ7652" t="s">
        <v>11893</v>
      </c>
      <c r="AK7652">
        <v>2841022496</v>
      </c>
      <c r="AL7652" t="s">
        <v>11894</v>
      </c>
      <c r="AM7652" t="s">
        <v>4513</v>
      </c>
      <c r="AN7652" t="s">
        <v>4514</v>
      </c>
      <c r="AO7652" t="s">
        <v>4514</v>
      </c>
      <c r="AP7652" t="s">
        <v>4514</v>
      </c>
      <c r="AQ7652">
        <v>1</v>
      </c>
      <c r="AR7652" t="s">
        <v>5177</v>
      </c>
      <c r="AS7652" t="s">
        <v>5178</v>
      </c>
      <c r="AT7652" t="s">
        <v>58</v>
      </c>
      <c r="AU7652" t="s">
        <v>68</v>
      </c>
      <c r="AV7652" t="s">
        <v>69</v>
      </c>
      <c r="AW7652" s="1">
        <v>25965</v>
      </c>
      <c r="AX7652">
        <v>1</v>
      </c>
    </row>
    <row r="7653" spans="1:50">
      <c r="A7653">
        <v>551233</v>
      </c>
      <c r="B7653" t="str">
        <f>"028739941"</f>
        <v>028739941</v>
      </c>
      <c r="C7653" t="s">
        <v>105</v>
      </c>
      <c r="D7653" t="s">
        <v>12080</v>
      </c>
      <c r="E7653" t="s">
        <v>309</v>
      </c>
      <c r="F7653" t="s">
        <v>202</v>
      </c>
      <c r="G7653" t="s">
        <v>52</v>
      </c>
      <c r="H7653" t="str">
        <f>" "</f>
        <v xml:space="preserve"> </v>
      </c>
      <c r="N7653" t="s">
        <v>615</v>
      </c>
      <c r="O7653" t="s">
        <v>616</v>
      </c>
      <c r="R7653" t="s">
        <v>57</v>
      </c>
      <c r="S7653">
        <v>17</v>
      </c>
      <c r="T7653">
        <v>171</v>
      </c>
      <c r="U7653" s="1">
        <v>30923</v>
      </c>
      <c r="V7653" t="s">
        <v>5177</v>
      </c>
      <c r="W7653" t="s">
        <v>5178</v>
      </c>
      <c r="X7653" t="s">
        <v>58</v>
      </c>
      <c r="Y7653">
        <v>21</v>
      </c>
      <c r="Z7653" t="s">
        <v>59</v>
      </c>
      <c r="AA7653" t="s">
        <v>59</v>
      </c>
      <c r="AB7653" t="s">
        <v>59</v>
      </c>
      <c r="AC7653" t="s">
        <v>59</v>
      </c>
      <c r="AD7653" t="s">
        <v>59</v>
      </c>
      <c r="AF7653" s="1">
        <v>30926</v>
      </c>
      <c r="AG7653" t="s">
        <v>8645</v>
      </c>
      <c r="AH7653" t="s">
        <v>8697</v>
      </c>
      <c r="AI7653" t="str">
        <f>"9320209"</f>
        <v>9320209</v>
      </c>
      <c r="AJ7653" t="s">
        <v>12009</v>
      </c>
      <c r="AK7653">
        <v>2841026803</v>
      </c>
      <c r="AL7653" t="s">
        <v>12010</v>
      </c>
      <c r="AM7653" t="s">
        <v>4513</v>
      </c>
      <c r="AN7653" t="s">
        <v>4514</v>
      </c>
      <c r="AO7653" t="s">
        <v>4514</v>
      </c>
      <c r="AP7653" t="s">
        <v>4514</v>
      </c>
      <c r="AQ7653">
        <v>1</v>
      </c>
      <c r="AR7653" t="s">
        <v>5177</v>
      </c>
      <c r="AS7653" t="s">
        <v>5178</v>
      </c>
      <c r="AT7653" t="s">
        <v>58</v>
      </c>
      <c r="AU7653" t="s">
        <v>68</v>
      </c>
      <c r="AV7653" t="s">
        <v>69</v>
      </c>
      <c r="AW7653" s="1">
        <v>21661</v>
      </c>
      <c r="AX7653">
        <v>1</v>
      </c>
    </row>
    <row r="7654" spans="1:50">
      <c r="B7654" t="str">
        <f>"142032875"</f>
        <v>142032875</v>
      </c>
      <c r="C7654" t="s">
        <v>105</v>
      </c>
      <c r="D7654" t="s">
        <v>12081</v>
      </c>
      <c r="E7654" t="s">
        <v>95</v>
      </c>
      <c r="F7654" t="s">
        <v>309</v>
      </c>
      <c r="H7654" t="str">
        <f>"ΟΔΕΜΗΣΙΟΥ 31 ΒΥΡΩΝΑΣ"</f>
        <v>ΟΔΕΜΗΣΙΟΥ 31 ΒΥΡΩΝΑΣ</v>
      </c>
      <c r="I7654">
        <v>16231</v>
      </c>
      <c r="J7654">
        <v>2621033187</v>
      </c>
      <c r="K7654">
        <v>6983381468</v>
      </c>
      <c r="N7654" t="s">
        <v>615</v>
      </c>
      <c r="O7654" t="s">
        <v>616</v>
      </c>
      <c r="R7654" t="s">
        <v>159</v>
      </c>
      <c r="S7654">
        <v>1</v>
      </c>
      <c r="T7654" t="s">
        <v>8675</v>
      </c>
      <c r="U7654" s="1">
        <v>43348</v>
      </c>
      <c r="V7654" t="s">
        <v>5177</v>
      </c>
      <c r="W7654" t="s">
        <v>5178</v>
      </c>
      <c r="X7654" t="s">
        <v>58</v>
      </c>
      <c r="Y7654">
        <v>24</v>
      </c>
      <c r="Z7654" t="s">
        <v>59</v>
      </c>
      <c r="AA7654" t="s">
        <v>59</v>
      </c>
      <c r="AB7654" t="s">
        <v>59</v>
      </c>
      <c r="AC7654" t="s">
        <v>59</v>
      </c>
      <c r="AD7654" t="s">
        <v>59</v>
      </c>
      <c r="AF7654" s="1">
        <v>43348</v>
      </c>
      <c r="AG7654" t="s">
        <v>8645</v>
      </c>
      <c r="AH7654" t="s">
        <v>8646</v>
      </c>
      <c r="AI7654" t="str">
        <f>"9320063"</f>
        <v>9320063</v>
      </c>
      <c r="AJ7654" t="s">
        <v>12026</v>
      </c>
      <c r="AK7654">
        <v>2841032369</v>
      </c>
      <c r="AL7654" t="s">
        <v>12027</v>
      </c>
      <c r="AM7654" t="s">
        <v>4513</v>
      </c>
      <c r="AN7654" t="s">
        <v>4514</v>
      </c>
      <c r="AO7654" t="s">
        <v>4524</v>
      </c>
      <c r="AP7654" t="s">
        <v>4525</v>
      </c>
      <c r="AQ7654">
        <v>1</v>
      </c>
      <c r="AR7654" t="s">
        <v>5177</v>
      </c>
      <c r="AS7654" t="s">
        <v>5178</v>
      </c>
      <c r="AT7654" t="s">
        <v>58</v>
      </c>
      <c r="AU7654" t="s">
        <v>8673</v>
      </c>
      <c r="AV7654" t="s">
        <v>132</v>
      </c>
      <c r="AW7654" s="1">
        <v>32559</v>
      </c>
      <c r="AX7654">
        <v>1</v>
      </c>
    </row>
    <row r="7655" spans="1:50">
      <c r="B7655" t="str">
        <f>"133714471"</f>
        <v>133714471</v>
      </c>
      <c r="C7655" t="s">
        <v>50</v>
      </c>
      <c r="D7655" t="s">
        <v>12082</v>
      </c>
      <c r="E7655" t="s">
        <v>255</v>
      </c>
      <c r="F7655" t="s">
        <v>383</v>
      </c>
      <c r="G7655" t="s">
        <v>263</v>
      </c>
      <c r="H7655" t="str">
        <f>"ΚΟΜΝΗΝΩΝ 58 "</f>
        <v xml:space="preserve">ΚΟΜΝΗΝΩΝ 58 </v>
      </c>
      <c r="I7655">
        <v>57013</v>
      </c>
      <c r="J7655">
        <v>2310698591</v>
      </c>
      <c r="K7655">
        <v>6979042889</v>
      </c>
      <c r="N7655" t="s">
        <v>1525</v>
      </c>
      <c r="O7655" t="s">
        <v>1526</v>
      </c>
      <c r="R7655" t="s">
        <v>159</v>
      </c>
      <c r="S7655">
        <v>1</v>
      </c>
      <c r="T7655" t="s">
        <v>8670</v>
      </c>
      <c r="U7655" s="1">
        <v>43348</v>
      </c>
      <c r="V7655" t="s">
        <v>5177</v>
      </c>
      <c r="W7655" t="s">
        <v>5178</v>
      </c>
      <c r="X7655" t="s">
        <v>58</v>
      </c>
      <c r="Y7655">
        <v>25</v>
      </c>
      <c r="Z7655" t="s">
        <v>59</v>
      </c>
      <c r="AA7655" t="s">
        <v>59</v>
      </c>
      <c r="AB7655" t="s">
        <v>59</v>
      </c>
      <c r="AC7655" t="s">
        <v>59</v>
      </c>
      <c r="AD7655" t="s">
        <v>59</v>
      </c>
      <c r="AF7655" s="1">
        <v>43348</v>
      </c>
      <c r="AG7655" t="s">
        <v>8651</v>
      </c>
      <c r="AH7655" t="s">
        <v>8652</v>
      </c>
      <c r="AI7655" t="str">
        <f>"9320215"</f>
        <v>9320215</v>
      </c>
      <c r="AJ7655" t="s">
        <v>12083</v>
      </c>
      <c r="AK7655">
        <v>2841071393</v>
      </c>
      <c r="AL7655" t="s">
        <v>12084</v>
      </c>
      <c r="AM7655" t="s">
        <v>4513</v>
      </c>
      <c r="AN7655" t="s">
        <v>4514</v>
      </c>
      <c r="AO7655" t="s">
        <v>12085</v>
      </c>
      <c r="AP7655" t="s">
        <v>12085</v>
      </c>
      <c r="AQ7655">
        <v>2</v>
      </c>
      <c r="AR7655" t="s">
        <v>5177</v>
      </c>
      <c r="AS7655" t="s">
        <v>5178</v>
      </c>
      <c r="AT7655" t="s">
        <v>58</v>
      </c>
      <c r="AU7655" t="s">
        <v>8673</v>
      </c>
      <c r="AV7655" t="s">
        <v>132</v>
      </c>
      <c r="AW7655" s="1">
        <v>30532</v>
      </c>
      <c r="AX7655">
        <v>1</v>
      </c>
    </row>
    <row r="7656" spans="1:50">
      <c r="B7656" t="str">
        <f>"139158854"</f>
        <v>139158854</v>
      </c>
      <c r="C7656" t="s">
        <v>50</v>
      </c>
      <c r="D7656" t="s">
        <v>12086</v>
      </c>
      <c r="E7656" t="s">
        <v>1078</v>
      </c>
      <c r="F7656" t="s">
        <v>95</v>
      </c>
      <c r="G7656" t="s">
        <v>12087</v>
      </c>
      <c r="H7656" t="str">
        <f>"ΗΡΑΚΛΕΙΤΟΥ 3 "</f>
        <v xml:space="preserve">ΗΡΑΚΛΕΙΤΟΥ 3 </v>
      </c>
      <c r="I7656">
        <v>12137</v>
      </c>
      <c r="J7656">
        <v>2105734725</v>
      </c>
      <c r="K7656">
        <v>6972351715</v>
      </c>
      <c r="N7656" t="s">
        <v>1525</v>
      </c>
      <c r="O7656" t="s">
        <v>1526</v>
      </c>
      <c r="R7656" t="s">
        <v>159</v>
      </c>
      <c r="S7656">
        <v>5</v>
      </c>
      <c r="T7656" t="s">
        <v>8670</v>
      </c>
      <c r="U7656" s="1">
        <v>43348</v>
      </c>
      <c r="V7656" t="s">
        <v>5177</v>
      </c>
      <c r="W7656" t="s">
        <v>5178</v>
      </c>
      <c r="X7656" t="s">
        <v>58</v>
      </c>
      <c r="Y7656">
        <v>25</v>
      </c>
      <c r="Z7656" t="s">
        <v>59</v>
      </c>
      <c r="AA7656" t="s">
        <v>59</v>
      </c>
      <c r="AB7656" t="s">
        <v>59</v>
      </c>
      <c r="AC7656" t="s">
        <v>59</v>
      </c>
      <c r="AD7656" t="s">
        <v>59</v>
      </c>
      <c r="AF7656" s="1">
        <v>43348</v>
      </c>
      <c r="AG7656" t="s">
        <v>8651</v>
      </c>
      <c r="AH7656" t="s">
        <v>8652</v>
      </c>
      <c r="AI7656" t="str">
        <f>"9320019"</f>
        <v>9320019</v>
      </c>
      <c r="AJ7656" t="s">
        <v>12088</v>
      </c>
      <c r="AK7656">
        <v>2842031284</v>
      </c>
      <c r="AL7656" t="s">
        <v>12089</v>
      </c>
      <c r="AM7656" t="s">
        <v>4513</v>
      </c>
      <c r="AN7656" t="s">
        <v>4519</v>
      </c>
      <c r="AO7656" t="s">
        <v>4519</v>
      </c>
      <c r="AP7656" t="s">
        <v>12090</v>
      </c>
      <c r="AQ7656">
        <v>5</v>
      </c>
      <c r="AR7656" t="s">
        <v>5177</v>
      </c>
      <c r="AS7656" t="s">
        <v>5178</v>
      </c>
      <c r="AT7656" t="s">
        <v>58</v>
      </c>
      <c r="AU7656" t="s">
        <v>8673</v>
      </c>
      <c r="AV7656" t="s">
        <v>132</v>
      </c>
      <c r="AW7656" s="1">
        <v>30387</v>
      </c>
      <c r="AX7656">
        <v>1</v>
      </c>
    </row>
    <row r="7657" spans="1:50">
      <c r="B7657" t="str">
        <f>"147320481"</f>
        <v>147320481</v>
      </c>
      <c r="C7657" t="s">
        <v>105</v>
      </c>
      <c r="D7657" t="s">
        <v>12091</v>
      </c>
      <c r="E7657" t="s">
        <v>202</v>
      </c>
      <c r="F7657" t="s">
        <v>99</v>
      </c>
      <c r="G7657" t="s">
        <v>620</v>
      </c>
      <c r="H7657" t="str">
        <f>" "</f>
        <v xml:space="preserve"> </v>
      </c>
      <c r="M7657" t="s">
        <v>12092</v>
      </c>
      <c r="N7657" t="s">
        <v>615</v>
      </c>
      <c r="O7657" t="s">
        <v>616</v>
      </c>
      <c r="R7657" t="s">
        <v>159</v>
      </c>
      <c r="S7657">
        <v>4</v>
      </c>
      <c r="T7657" t="s">
        <v>8675</v>
      </c>
      <c r="U7657" s="1">
        <v>43348</v>
      </c>
      <c r="V7657" t="s">
        <v>5177</v>
      </c>
      <c r="W7657" t="s">
        <v>5178</v>
      </c>
      <c r="X7657" t="s">
        <v>58</v>
      </c>
      <c r="Y7657">
        <v>24</v>
      </c>
      <c r="Z7657" t="s">
        <v>59</v>
      </c>
      <c r="AA7657" t="s">
        <v>59</v>
      </c>
      <c r="AB7657" t="s">
        <v>59</v>
      </c>
      <c r="AC7657" t="s">
        <v>59</v>
      </c>
      <c r="AD7657" t="s">
        <v>59</v>
      </c>
      <c r="AF7657" s="1">
        <v>43348</v>
      </c>
      <c r="AG7657" t="s">
        <v>8645</v>
      </c>
      <c r="AH7657" t="s">
        <v>8646</v>
      </c>
      <c r="AI7657" t="str">
        <f>"9320001"</f>
        <v>9320001</v>
      </c>
      <c r="AJ7657" t="s">
        <v>11954</v>
      </c>
      <c r="AK7657">
        <v>2842022505</v>
      </c>
      <c r="AL7657" t="s">
        <v>11955</v>
      </c>
      <c r="AM7657" t="s">
        <v>4513</v>
      </c>
      <c r="AN7657" t="s">
        <v>4519</v>
      </c>
      <c r="AO7657" t="s">
        <v>4519</v>
      </c>
      <c r="AP7657" t="s">
        <v>4519</v>
      </c>
      <c r="AQ7657">
        <v>4</v>
      </c>
      <c r="AR7657" t="s">
        <v>5177</v>
      </c>
      <c r="AS7657" t="s">
        <v>5178</v>
      </c>
      <c r="AT7657" t="s">
        <v>58</v>
      </c>
      <c r="AU7657" t="s">
        <v>8673</v>
      </c>
      <c r="AV7657" t="s">
        <v>132</v>
      </c>
      <c r="AW7657" s="1">
        <v>32587</v>
      </c>
      <c r="AX7657">
        <v>1</v>
      </c>
    </row>
    <row r="7658" spans="1:50">
      <c r="B7658" t="str">
        <f>"128989539"</f>
        <v>128989539</v>
      </c>
      <c r="C7658" t="s">
        <v>50</v>
      </c>
      <c r="D7658" t="s">
        <v>9435</v>
      </c>
      <c r="E7658" t="s">
        <v>188</v>
      </c>
      <c r="F7658" t="s">
        <v>84</v>
      </c>
      <c r="G7658" t="s">
        <v>73</v>
      </c>
      <c r="H7658" t="str">
        <f>" "</f>
        <v xml:space="preserve"> </v>
      </c>
      <c r="N7658" t="s">
        <v>683</v>
      </c>
      <c r="O7658" t="s">
        <v>684</v>
      </c>
      <c r="R7658" t="s">
        <v>121</v>
      </c>
      <c r="S7658">
        <v>1</v>
      </c>
      <c r="T7658" t="s">
        <v>8675</v>
      </c>
      <c r="U7658" s="1">
        <v>43348</v>
      </c>
      <c r="V7658" t="s">
        <v>5177</v>
      </c>
      <c r="W7658" t="s">
        <v>5178</v>
      </c>
      <c r="X7658" t="s">
        <v>58</v>
      </c>
      <c r="Y7658">
        <v>24</v>
      </c>
      <c r="Z7658" t="s">
        <v>59</v>
      </c>
      <c r="AD7658" t="s">
        <v>59</v>
      </c>
      <c r="AF7658" s="1">
        <v>43348</v>
      </c>
      <c r="AG7658" t="s">
        <v>8645</v>
      </c>
      <c r="AH7658" t="s">
        <v>8646</v>
      </c>
      <c r="AI7658" t="str">
        <f>"9320005"</f>
        <v>9320005</v>
      </c>
      <c r="AJ7658" t="s">
        <v>12004</v>
      </c>
      <c r="AK7658">
        <v>2842022202</v>
      </c>
      <c r="AL7658" t="s">
        <v>12005</v>
      </c>
      <c r="AM7658" t="s">
        <v>4513</v>
      </c>
      <c r="AN7658" t="s">
        <v>4519</v>
      </c>
      <c r="AO7658" t="s">
        <v>4519</v>
      </c>
      <c r="AP7658" t="s">
        <v>4519</v>
      </c>
      <c r="AQ7658">
        <v>4</v>
      </c>
      <c r="AR7658" t="s">
        <v>5177</v>
      </c>
      <c r="AS7658" t="s">
        <v>5178</v>
      </c>
      <c r="AT7658" t="s">
        <v>58</v>
      </c>
      <c r="AU7658" t="s">
        <v>8673</v>
      </c>
      <c r="AV7658" t="s">
        <v>132</v>
      </c>
      <c r="AW7658" s="1">
        <v>31585</v>
      </c>
      <c r="AX7658">
        <v>1</v>
      </c>
    </row>
    <row r="7659" spans="1:50">
      <c r="B7659" t="str">
        <f>"139163410"</f>
        <v>139163410</v>
      </c>
      <c r="C7659" t="s">
        <v>50</v>
      </c>
      <c r="D7659" t="s">
        <v>9435</v>
      </c>
      <c r="E7659" t="s">
        <v>181</v>
      </c>
      <c r="F7659" t="s">
        <v>309</v>
      </c>
      <c r="G7659" t="s">
        <v>237</v>
      </c>
      <c r="H7659" t="str">
        <f>"ΓΙΑΝΝΙΤΣΩΝ 13 "</f>
        <v xml:space="preserve">ΓΙΑΝΝΙΤΣΩΝ 13 </v>
      </c>
      <c r="I7659">
        <v>12131</v>
      </c>
      <c r="J7659">
        <v>2105767080</v>
      </c>
      <c r="K7659">
        <v>6947682224</v>
      </c>
      <c r="N7659" t="s">
        <v>615</v>
      </c>
      <c r="O7659" t="s">
        <v>616</v>
      </c>
      <c r="R7659" t="s">
        <v>159</v>
      </c>
      <c r="S7659">
        <v>4</v>
      </c>
      <c r="T7659" t="s">
        <v>8675</v>
      </c>
      <c r="U7659" s="1">
        <v>43348</v>
      </c>
      <c r="V7659" t="s">
        <v>5177</v>
      </c>
      <c r="W7659" t="s">
        <v>5178</v>
      </c>
      <c r="X7659" t="s">
        <v>58</v>
      </c>
      <c r="Y7659">
        <v>24</v>
      </c>
      <c r="Z7659" t="s">
        <v>59</v>
      </c>
      <c r="AA7659" t="s">
        <v>59</v>
      </c>
      <c r="AB7659" t="s">
        <v>59</v>
      </c>
      <c r="AC7659" t="s">
        <v>59</v>
      </c>
      <c r="AD7659" t="s">
        <v>59</v>
      </c>
      <c r="AF7659" s="1">
        <v>43348</v>
      </c>
      <c r="AG7659" t="s">
        <v>8645</v>
      </c>
      <c r="AH7659" t="s">
        <v>8646</v>
      </c>
      <c r="AI7659" t="str">
        <f>"9320020"</f>
        <v>9320020</v>
      </c>
      <c r="AJ7659" t="s">
        <v>12093</v>
      </c>
      <c r="AK7659">
        <v>2842031284</v>
      </c>
      <c r="AL7659" t="s">
        <v>12094</v>
      </c>
      <c r="AM7659" t="s">
        <v>4513</v>
      </c>
      <c r="AN7659" t="s">
        <v>4519</v>
      </c>
      <c r="AO7659" t="s">
        <v>4519</v>
      </c>
      <c r="AP7659" t="s">
        <v>12090</v>
      </c>
      <c r="AQ7659">
        <v>5</v>
      </c>
      <c r="AR7659" t="s">
        <v>5177</v>
      </c>
      <c r="AS7659" t="s">
        <v>5178</v>
      </c>
      <c r="AT7659" t="s">
        <v>58</v>
      </c>
      <c r="AU7659" t="s">
        <v>8673</v>
      </c>
      <c r="AV7659" t="s">
        <v>132</v>
      </c>
      <c r="AW7659" s="1">
        <v>31481</v>
      </c>
      <c r="AX7659">
        <v>1</v>
      </c>
    </row>
    <row r="7660" spans="1:50">
      <c r="A7660">
        <v>585385</v>
      </c>
      <c r="B7660" t="str">
        <f>"074890596"</f>
        <v>074890596</v>
      </c>
      <c r="C7660" t="s">
        <v>105</v>
      </c>
      <c r="D7660" t="s">
        <v>12095</v>
      </c>
      <c r="E7660" t="s">
        <v>106</v>
      </c>
      <c r="F7660" t="s">
        <v>95</v>
      </c>
      <c r="G7660" t="s">
        <v>83</v>
      </c>
      <c r="H7660" t="str">
        <f>"ΚΟΥΤΣΟΥΡΑΣ ΜΑΚΡΥ ΓΙΑΛΟΥ"</f>
        <v>ΚΟΥΤΣΟΥΡΑΣ ΜΑΚΡΥ ΓΙΑΛΟΥ</v>
      </c>
      <c r="I7660">
        <v>72055</v>
      </c>
      <c r="J7660">
        <v>2842071212</v>
      </c>
      <c r="K7660">
        <v>6974545688</v>
      </c>
      <c r="M7660" t="s">
        <v>12096</v>
      </c>
      <c r="N7660" t="s">
        <v>615</v>
      </c>
      <c r="O7660" t="s">
        <v>616</v>
      </c>
      <c r="R7660" t="s">
        <v>57</v>
      </c>
      <c r="S7660">
        <v>11</v>
      </c>
      <c r="T7660">
        <v>165</v>
      </c>
      <c r="U7660" s="1">
        <v>36040</v>
      </c>
      <c r="V7660" t="s">
        <v>5177</v>
      </c>
      <c r="W7660" t="s">
        <v>5178</v>
      </c>
      <c r="X7660" t="s">
        <v>58</v>
      </c>
      <c r="Y7660">
        <v>21</v>
      </c>
      <c r="Z7660" t="s">
        <v>59</v>
      </c>
      <c r="AA7660" t="s">
        <v>59</v>
      </c>
      <c r="AB7660" t="s">
        <v>59</v>
      </c>
      <c r="AC7660" t="s">
        <v>59</v>
      </c>
      <c r="AD7660" t="s">
        <v>59</v>
      </c>
      <c r="AF7660" s="1">
        <v>36040</v>
      </c>
      <c r="AG7660" t="s">
        <v>8645</v>
      </c>
      <c r="AH7660" t="s">
        <v>8646</v>
      </c>
      <c r="AI7660" t="str">
        <f>"9320127"</f>
        <v>9320127</v>
      </c>
      <c r="AJ7660" t="s">
        <v>12040</v>
      </c>
      <c r="AK7660">
        <v>2843051221</v>
      </c>
      <c r="AL7660" t="s">
        <v>12041</v>
      </c>
      <c r="AM7660" t="s">
        <v>4513</v>
      </c>
      <c r="AN7660" t="s">
        <v>4519</v>
      </c>
      <c r="AO7660" t="s">
        <v>4766</v>
      </c>
      <c r="AP7660" t="s">
        <v>4767</v>
      </c>
      <c r="AQ7660">
        <v>6</v>
      </c>
      <c r="AR7660" t="s">
        <v>5177</v>
      </c>
      <c r="AS7660" t="s">
        <v>5178</v>
      </c>
      <c r="AT7660" t="s">
        <v>58</v>
      </c>
      <c r="AU7660" t="s">
        <v>68</v>
      </c>
      <c r="AV7660" t="s">
        <v>69</v>
      </c>
      <c r="AW7660" s="1">
        <v>25084</v>
      </c>
      <c r="AX7660">
        <v>1</v>
      </c>
    </row>
    <row r="7661" spans="1:50">
      <c r="B7661" t="str">
        <f>"137057617"</f>
        <v>137057617</v>
      </c>
      <c r="C7661" t="s">
        <v>105</v>
      </c>
      <c r="D7661" t="s">
        <v>12097</v>
      </c>
      <c r="E7661" t="s">
        <v>3499</v>
      </c>
      <c r="F7661" t="s">
        <v>53</v>
      </c>
      <c r="G7661" t="s">
        <v>181</v>
      </c>
      <c r="H7661" t="str">
        <f>"ΜΑΝΩΛΑΚΗ ΚΥΡΙΑΚΟΥ 9 Βόλος"</f>
        <v>ΜΑΝΩΛΑΚΗ ΚΥΡΙΑΚΟΥ 9 Βόλος</v>
      </c>
      <c r="I7661">
        <v>54635</v>
      </c>
      <c r="J7661">
        <v>2310514522</v>
      </c>
      <c r="K7661">
        <v>6944941273</v>
      </c>
      <c r="N7661" t="s">
        <v>306</v>
      </c>
      <c r="O7661" t="s">
        <v>307</v>
      </c>
      <c r="R7661" t="s">
        <v>159</v>
      </c>
      <c r="S7661">
        <v>3</v>
      </c>
      <c r="T7661" t="s">
        <v>8675</v>
      </c>
      <c r="U7661" s="1">
        <v>43348</v>
      </c>
      <c r="V7661" t="s">
        <v>5177</v>
      </c>
      <c r="W7661" t="s">
        <v>5178</v>
      </c>
      <c r="X7661" t="s">
        <v>58</v>
      </c>
      <c r="Y7661">
        <v>24</v>
      </c>
      <c r="Z7661" t="s">
        <v>59</v>
      </c>
      <c r="AA7661" t="s">
        <v>59</v>
      </c>
      <c r="AB7661" t="s">
        <v>59</v>
      </c>
      <c r="AC7661" t="s">
        <v>59</v>
      </c>
      <c r="AD7661" t="s">
        <v>59</v>
      </c>
      <c r="AF7661" s="1">
        <v>43348</v>
      </c>
      <c r="AG7661" t="s">
        <v>8645</v>
      </c>
      <c r="AH7661" t="s">
        <v>8646</v>
      </c>
      <c r="AI7661" t="str">
        <f>"9320071"</f>
        <v>9320071</v>
      </c>
      <c r="AJ7661" t="s">
        <v>12098</v>
      </c>
      <c r="AK7661">
        <v>2841041234</v>
      </c>
      <c r="AL7661" t="s">
        <v>12099</v>
      </c>
      <c r="AM7661" t="s">
        <v>4513</v>
      </c>
      <c r="AN7661" t="s">
        <v>4514</v>
      </c>
      <c r="AO7661" t="s">
        <v>4514</v>
      </c>
      <c r="AP7661" t="s">
        <v>12100</v>
      </c>
      <c r="AQ7661">
        <v>2</v>
      </c>
      <c r="AR7661" t="s">
        <v>5177</v>
      </c>
      <c r="AS7661" t="s">
        <v>5178</v>
      </c>
      <c r="AT7661" t="s">
        <v>58</v>
      </c>
      <c r="AU7661" t="s">
        <v>8673</v>
      </c>
      <c r="AV7661" t="s">
        <v>132</v>
      </c>
      <c r="AW7661" s="1">
        <v>30675</v>
      </c>
      <c r="AX7661">
        <v>1</v>
      </c>
    </row>
    <row r="7662" spans="1:50">
      <c r="A7662">
        <v>701431</v>
      </c>
      <c r="B7662" t="str">
        <f>"141761263"</f>
        <v>141761263</v>
      </c>
      <c r="C7662" t="s">
        <v>50</v>
      </c>
      <c r="D7662" t="s">
        <v>12101</v>
      </c>
      <c r="E7662" t="s">
        <v>650</v>
      </c>
      <c r="F7662" t="s">
        <v>12102</v>
      </c>
      <c r="G7662" t="s">
        <v>109</v>
      </c>
      <c r="H7662" t="str">
        <f>"ΘΕΜΙΣΤΟΚΛΕΟΥΣ 9 ΑΘΗΝΑ"</f>
        <v>ΘΕΜΙΣΤΟΚΛΕΟΥΣ 9 ΑΘΗΝΑ</v>
      </c>
      <c r="I7662">
        <v>13341</v>
      </c>
      <c r="J7662">
        <v>2102319091</v>
      </c>
      <c r="K7662">
        <v>6932379046</v>
      </c>
      <c r="L7662">
        <v>2841089688</v>
      </c>
      <c r="N7662" t="s">
        <v>615</v>
      </c>
      <c r="O7662" t="s">
        <v>616</v>
      </c>
      <c r="R7662" t="s">
        <v>57</v>
      </c>
      <c r="S7662">
        <v>4</v>
      </c>
      <c r="T7662">
        <v>772</v>
      </c>
      <c r="U7662" s="1">
        <v>40413</v>
      </c>
      <c r="V7662" t="s">
        <v>5177</v>
      </c>
      <c r="W7662" t="s">
        <v>5178</v>
      </c>
      <c r="X7662" t="s">
        <v>58</v>
      </c>
      <c r="Y7662">
        <v>24</v>
      </c>
      <c r="Z7662" t="s">
        <v>59</v>
      </c>
      <c r="AA7662" t="s">
        <v>59</v>
      </c>
      <c r="AB7662" t="s">
        <v>59</v>
      </c>
      <c r="AC7662" t="s">
        <v>59</v>
      </c>
      <c r="AD7662" t="s">
        <v>59</v>
      </c>
      <c r="AF7662" s="1">
        <v>40413</v>
      </c>
      <c r="AG7662" t="s">
        <v>8645</v>
      </c>
      <c r="AH7662" t="s">
        <v>8646</v>
      </c>
      <c r="AI7662" t="str">
        <f>"9320058"</f>
        <v>9320058</v>
      </c>
      <c r="AJ7662" t="s">
        <v>11893</v>
      </c>
      <c r="AK7662">
        <v>2841022496</v>
      </c>
      <c r="AL7662" t="s">
        <v>11894</v>
      </c>
      <c r="AM7662" t="s">
        <v>4513</v>
      </c>
      <c r="AN7662" t="s">
        <v>4514</v>
      </c>
      <c r="AO7662" t="s">
        <v>4514</v>
      </c>
      <c r="AP7662" t="s">
        <v>4514</v>
      </c>
      <c r="AQ7662">
        <v>1</v>
      </c>
      <c r="AR7662" t="s">
        <v>5177</v>
      </c>
      <c r="AS7662" t="s">
        <v>5178</v>
      </c>
      <c r="AT7662" t="s">
        <v>58</v>
      </c>
      <c r="AU7662" t="s">
        <v>68</v>
      </c>
      <c r="AV7662" t="s">
        <v>69</v>
      </c>
      <c r="AW7662" s="1">
        <v>31837</v>
      </c>
      <c r="AX7662">
        <v>1</v>
      </c>
    </row>
    <row r="7663" spans="1:50">
      <c r="A7663">
        <v>616064</v>
      </c>
      <c r="B7663" t="str">
        <f>"100925050"</f>
        <v>100925050</v>
      </c>
      <c r="C7663" t="s">
        <v>50</v>
      </c>
      <c r="D7663" t="s">
        <v>12103</v>
      </c>
      <c r="E7663" t="s">
        <v>155</v>
      </c>
      <c r="F7663" t="s">
        <v>99</v>
      </c>
      <c r="G7663" t="s">
        <v>476</v>
      </c>
      <c r="H7663" t="str">
        <f>"ΤΣΕΚΟΥΡΑ 32Α ΛΑΡΙΣΑ"</f>
        <v>ΤΣΕΚΟΥΡΑ 32Α ΛΑΡΙΣΑ</v>
      </c>
      <c r="I7663">
        <v>41447</v>
      </c>
      <c r="J7663">
        <v>2410258428</v>
      </c>
      <c r="K7663">
        <v>6937602860</v>
      </c>
      <c r="N7663" t="s">
        <v>176</v>
      </c>
      <c r="O7663" t="s">
        <v>177</v>
      </c>
      <c r="R7663" t="s">
        <v>57</v>
      </c>
      <c r="S7663">
        <v>7</v>
      </c>
      <c r="T7663">
        <v>600</v>
      </c>
      <c r="U7663" s="1">
        <v>39328</v>
      </c>
      <c r="V7663" t="s">
        <v>5177</v>
      </c>
      <c r="W7663" t="s">
        <v>5178</v>
      </c>
      <c r="X7663" t="s">
        <v>58</v>
      </c>
      <c r="Y7663">
        <v>22</v>
      </c>
      <c r="Z7663" t="s">
        <v>59</v>
      </c>
      <c r="AA7663" t="s">
        <v>59</v>
      </c>
      <c r="AB7663" t="s">
        <v>59</v>
      </c>
      <c r="AC7663" t="s">
        <v>59</v>
      </c>
      <c r="AD7663" t="s">
        <v>59</v>
      </c>
      <c r="AF7663" s="1">
        <v>39328</v>
      </c>
      <c r="AG7663" t="s">
        <v>8645</v>
      </c>
      <c r="AH7663" t="s">
        <v>8646</v>
      </c>
      <c r="AI7663" t="str">
        <f>"9320005"</f>
        <v>9320005</v>
      </c>
      <c r="AJ7663" t="s">
        <v>12004</v>
      </c>
      <c r="AK7663">
        <v>2842022202</v>
      </c>
      <c r="AL7663" t="s">
        <v>12005</v>
      </c>
      <c r="AM7663" t="s">
        <v>4513</v>
      </c>
      <c r="AN7663" t="s">
        <v>4519</v>
      </c>
      <c r="AO7663" t="s">
        <v>4519</v>
      </c>
      <c r="AP7663" t="s">
        <v>4519</v>
      </c>
      <c r="AQ7663">
        <v>4</v>
      </c>
      <c r="AR7663" t="s">
        <v>5177</v>
      </c>
      <c r="AS7663" t="s">
        <v>5178</v>
      </c>
      <c r="AT7663" t="s">
        <v>58</v>
      </c>
      <c r="AU7663" t="s">
        <v>68</v>
      </c>
      <c r="AV7663" t="s">
        <v>69</v>
      </c>
      <c r="AW7663" s="1">
        <v>27447</v>
      </c>
      <c r="AX7663">
        <v>1</v>
      </c>
    </row>
    <row r="7664" spans="1:50">
      <c r="A7664">
        <v>601768</v>
      </c>
      <c r="B7664" t="str">
        <f>"049012648"</f>
        <v>049012648</v>
      </c>
      <c r="C7664" t="s">
        <v>50</v>
      </c>
      <c r="D7664" t="s">
        <v>7137</v>
      </c>
      <c r="E7664" t="s">
        <v>191</v>
      </c>
      <c r="F7664" t="s">
        <v>106</v>
      </c>
      <c r="G7664" t="s">
        <v>3477</v>
      </c>
      <c r="H7664" t="str">
        <f>"Ρ. ΚΑΠΕΤΑΝΑΚΗ 2 ΑΓΙΟΣ ΝΙΚΟΛΑΟΣ"</f>
        <v>Ρ. ΚΑΠΕΤΑΝΑΚΗ 2 ΑΓΙΟΣ ΝΙΚΟΛΑΟΣ</v>
      </c>
      <c r="I7664">
        <v>72100</v>
      </c>
      <c r="J7664">
        <v>2107788445</v>
      </c>
      <c r="K7664">
        <v>6976364236</v>
      </c>
      <c r="N7664" t="s">
        <v>615</v>
      </c>
      <c r="O7664" t="s">
        <v>616</v>
      </c>
      <c r="R7664" t="s">
        <v>57</v>
      </c>
      <c r="S7664">
        <v>9</v>
      </c>
      <c r="T7664">
        <v>207</v>
      </c>
      <c r="U7664" s="1">
        <v>37866</v>
      </c>
      <c r="V7664" t="s">
        <v>5177</v>
      </c>
      <c r="W7664" t="s">
        <v>5178</v>
      </c>
      <c r="X7664" t="s">
        <v>58</v>
      </c>
      <c r="Y7664">
        <v>22</v>
      </c>
      <c r="Z7664" t="s">
        <v>59</v>
      </c>
      <c r="AA7664" t="s">
        <v>59</v>
      </c>
      <c r="AB7664" t="s">
        <v>59</v>
      </c>
      <c r="AC7664" t="s">
        <v>59</v>
      </c>
      <c r="AD7664" t="s">
        <v>59</v>
      </c>
      <c r="AF7664" s="1">
        <v>37866</v>
      </c>
      <c r="AG7664" t="s">
        <v>8645</v>
      </c>
      <c r="AH7664" t="s">
        <v>8646</v>
      </c>
      <c r="AI7664" t="str">
        <f>"9320055"</f>
        <v>9320055</v>
      </c>
      <c r="AJ7664" t="s">
        <v>11937</v>
      </c>
      <c r="AK7664">
        <v>2841022326</v>
      </c>
      <c r="AL7664" t="s">
        <v>11938</v>
      </c>
      <c r="AM7664" t="s">
        <v>4513</v>
      </c>
      <c r="AN7664" t="s">
        <v>4514</v>
      </c>
      <c r="AO7664" t="s">
        <v>4514</v>
      </c>
      <c r="AP7664" t="s">
        <v>4514</v>
      </c>
      <c r="AQ7664">
        <v>1</v>
      </c>
      <c r="AR7664" t="s">
        <v>5177</v>
      </c>
      <c r="AS7664" t="s">
        <v>5178</v>
      </c>
      <c r="AT7664" t="s">
        <v>58</v>
      </c>
      <c r="AU7664" t="s">
        <v>68</v>
      </c>
      <c r="AV7664" t="s">
        <v>69</v>
      </c>
      <c r="AW7664" s="1">
        <v>29403</v>
      </c>
      <c r="AX7664">
        <v>1</v>
      </c>
    </row>
    <row r="7665" spans="1:50">
      <c r="B7665" t="str">
        <f>"128340660"</f>
        <v>128340660</v>
      </c>
      <c r="C7665" t="s">
        <v>50</v>
      </c>
      <c r="D7665" t="s">
        <v>9476</v>
      </c>
      <c r="E7665" t="s">
        <v>255</v>
      </c>
      <c r="F7665" t="s">
        <v>72</v>
      </c>
      <c r="G7665" t="s">
        <v>52</v>
      </c>
      <c r="H7665" t="str">
        <f>"ΛΥΣΙΑ 12 "</f>
        <v xml:space="preserve">ΛΥΣΙΑ 12 </v>
      </c>
      <c r="I7665">
        <v>71409</v>
      </c>
      <c r="J7665">
        <v>2810237457</v>
      </c>
      <c r="K7665">
        <v>6985087764</v>
      </c>
      <c r="N7665" t="s">
        <v>1525</v>
      </c>
      <c r="O7665" t="s">
        <v>1526</v>
      </c>
      <c r="R7665" t="s">
        <v>159</v>
      </c>
      <c r="S7665">
        <v>3</v>
      </c>
      <c r="T7665" t="s">
        <v>8670</v>
      </c>
      <c r="U7665" s="1">
        <v>43348</v>
      </c>
      <c r="V7665" t="s">
        <v>5177</v>
      </c>
      <c r="W7665" t="s">
        <v>5178</v>
      </c>
      <c r="X7665" t="s">
        <v>58</v>
      </c>
      <c r="Y7665">
        <v>25</v>
      </c>
      <c r="Z7665" t="s">
        <v>59</v>
      </c>
      <c r="AA7665" t="s">
        <v>59</v>
      </c>
      <c r="AB7665" t="s">
        <v>59</v>
      </c>
      <c r="AC7665" t="s">
        <v>59</v>
      </c>
      <c r="AD7665" t="s">
        <v>59</v>
      </c>
      <c r="AF7665" s="1">
        <v>43348</v>
      </c>
      <c r="AG7665" t="s">
        <v>8651</v>
      </c>
      <c r="AH7665" t="s">
        <v>8652</v>
      </c>
      <c r="AI7665" t="str">
        <f>"9320141"</f>
        <v>9320141</v>
      </c>
      <c r="AJ7665" t="s">
        <v>12104</v>
      </c>
      <c r="AK7665">
        <v>2841041557</v>
      </c>
      <c r="AL7665" t="s">
        <v>12105</v>
      </c>
      <c r="AM7665" t="s">
        <v>4513</v>
      </c>
      <c r="AN7665" t="s">
        <v>4514</v>
      </c>
      <c r="AO7665" t="s">
        <v>4514</v>
      </c>
      <c r="AP7665" t="s">
        <v>12100</v>
      </c>
      <c r="AQ7665">
        <v>2</v>
      </c>
      <c r="AR7665" t="s">
        <v>5177</v>
      </c>
      <c r="AS7665" t="s">
        <v>5178</v>
      </c>
      <c r="AT7665" t="s">
        <v>58</v>
      </c>
      <c r="AU7665" t="s">
        <v>8673</v>
      </c>
      <c r="AV7665" t="s">
        <v>132</v>
      </c>
      <c r="AW7665" s="1">
        <v>31266</v>
      </c>
      <c r="AX7665">
        <v>1</v>
      </c>
    </row>
    <row r="7666" spans="1:50">
      <c r="A7666">
        <v>608686</v>
      </c>
      <c r="B7666" t="str">
        <f>"125285832"</f>
        <v>125285832</v>
      </c>
      <c r="C7666" t="s">
        <v>50</v>
      </c>
      <c r="D7666" t="s">
        <v>5902</v>
      </c>
      <c r="E7666" t="s">
        <v>9580</v>
      </c>
      <c r="F7666" t="s">
        <v>72</v>
      </c>
      <c r="G7666" t="s">
        <v>52</v>
      </c>
      <c r="H7666" t="str">
        <f>"ΚΝΩΣΟΥ 5 ΣΗΤΕΙΑ"</f>
        <v>ΚΝΩΣΟΥ 5 ΣΗΤΕΙΑ</v>
      </c>
      <c r="I7666">
        <v>72300</v>
      </c>
      <c r="J7666">
        <v>2843023973</v>
      </c>
      <c r="K7666">
        <v>6977748662</v>
      </c>
      <c r="N7666" t="s">
        <v>1525</v>
      </c>
      <c r="O7666" t="s">
        <v>1526</v>
      </c>
      <c r="R7666" t="s">
        <v>57</v>
      </c>
      <c r="S7666">
        <v>6</v>
      </c>
      <c r="T7666">
        <v>217</v>
      </c>
      <c r="U7666" s="1">
        <v>38596</v>
      </c>
      <c r="V7666" t="s">
        <v>5177</v>
      </c>
      <c r="W7666" t="s">
        <v>5178</v>
      </c>
      <c r="X7666" t="s">
        <v>58</v>
      </c>
      <c r="Y7666">
        <v>25</v>
      </c>
      <c r="Z7666" t="s">
        <v>59</v>
      </c>
      <c r="AA7666" t="s">
        <v>59</v>
      </c>
      <c r="AB7666" t="s">
        <v>59</v>
      </c>
      <c r="AC7666" t="s">
        <v>59</v>
      </c>
      <c r="AD7666" t="s">
        <v>59</v>
      </c>
      <c r="AF7666" s="1">
        <v>38600</v>
      </c>
      <c r="AG7666" t="s">
        <v>8651</v>
      </c>
      <c r="AH7666" t="s">
        <v>8652</v>
      </c>
      <c r="AI7666" t="str">
        <f>"9320147"</f>
        <v>9320147</v>
      </c>
      <c r="AJ7666" t="s">
        <v>11932</v>
      </c>
      <c r="AK7666">
        <v>2843023474</v>
      </c>
      <c r="AL7666" t="s">
        <v>11933</v>
      </c>
      <c r="AM7666" t="s">
        <v>4513</v>
      </c>
      <c r="AN7666" t="s">
        <v>4540</v>
      </c>
      <c r="AO7666" t="s">
        <v>4540</v>
      </c>
      <c r="AP7666" t="s">
        <v>4540</v>
      </c>
      <c r="AQ7666">
        <v>8</v>
      </c>
      <c r="AR7666" t="s">
        <v>5177</v>
      </c>
      <c r="AS7666" t="s">
        <v>5178</v>
      </c>
      <c r="AT7666" t="s">
        <v>58</v>
      </c>
      <c r="AU7666" t="s">
        <v>68</v>
      </c>
      <c r="AV7666" t="s">
        <v>69</v>
      </c>
      <c r="AW7666" s="1">
        <v>30275</v>
      </c>
      <c r="AX7666">
        <v>1</v>
      </c>
    </row>
    <row r="7667" spans="1:50">
      <c r="A7667">
        <v>605764</v>
      </c>
      <c r="B7667" t="str">
        <f>"110272827"</f>
        <v>110272827</v>
      </c>
      <c r="C7667" t="s">
        <v>50</v>
      </c>
      <c r="D7667" t="s">
        <v>1221</v>
      </c>
      <c r="E7667" t="s">
        <v>545</v>
      </c>
      <c r="F7667" t="s">
        <v>53</v>
      </c>
      <c r="G7667" t="s">
        <v>181</v>
      </c>
      <c r="H7667" t="str">
        <f>"ΜΥΡΤΟΣ ΙΕΡΑΠΕΤΡΑΣ"</f>
        <v>ΜΥΡΤΟΣ ΙΕΡΑΠΕΤΡΑΣ</v>
      </c>
      <c r="I7667">
        <v>72200</v>
      </c>
      <c r="J7667">
        <v>2842027664</v>
      </c>
      <c r="K7667">
        <v>6972235073</v>
      </c>
      <c r="M7667" t="s">
        <v>12106</v>
      </c>
      <c r="N7667" t="s">
        <v>615</v>
      </c>
      <c r="O7667" t="s">
        <v>616</v>
      </c>
      <c r="R7667" t="s">
        <v>57</v>
      </c>
      <c r="S7667">
        <v>9</v>
      </c>
      <c r="T7667">
        <v>231</v>
      </c>
      <c r="U7667" s="1">
        <v>38230</v>
      </c>
      <c r="V7667" t="s">
        <v>5177</v>
      </c>
      <c r="W7667" t="s">
        <v>5178</v>
      </c>
      <c r="X7667" t="s">
        <v>58</v>
      </c>
      <c r="Y7667">
        <v>22</v>
      </c>
      <c r="Z7667" t="s">
        <v>59</v>
      </c>
      <c r="AA7667" t="s">
        <v>59</v>
      </c>
      <c r="AB7667" t="s">
        <v>59</v>
      </c>
      <c r="AC7667" t="s">
        <v>59</v>
      </c>
      <c r="AD7667" t="s">
        <v>59</v>
      </c>
      <c r="AF7667" s="1">
        <v>38233</v>
      </c>
      <c r="AG7667" t="s">
        <v>8645</v>
      </c>
      <c r="AH7667" t="s">
        <v>8646</v>
      </c>
      <c r="AI7667" t="str">
        <f>"9320012"</f>
        <v>9320012</v>
      </c>
      <c r="AJ7667" t="s">
        <v>11921</v>
      </c>
      <c r="AK7667">
        <v>2842041253</v>
      </c>
      <c r="AL7667" t="s">
        <v>11922</v>
      </c>
      <c r="AM7667" t="s">
        <v>4513</v>
      </c>
      <c r="AN7667" t="s">
        <v>4519</v>
      </c>
      <c r="AO7667" t="s">
        <v>4519</v>
      </c>
      <c r="AP7667" t="s">
        <v>11899</v>
      </c>
      <c r="AQ7667">
        <v>7</v>
      </c>
      <c r="AR7667" t="s">
        <v>5177</v>
      </c>
      <c r="AS7667" t="s">
        <v>5178</v>
      </c>
      <c r="AT7667" t="s">
        <v>58</v>
      </c>
      <c r="AU7667" t="s">
        <v>68</v>
      </c>
      <c r="AV7667" t="s">
        <v>69</v>
      </c>
      <c r="AW7667" s="1">
        <v>29241</v>
      </c>
      <c r="AX7667">
        <v>1</v>
      </c>
    </row>
    <row r="7668" spans="1:50">
      <c r="B7668" t="str">
        <f>"141436940"</f>
        <v>141436940</v>
      </c>
      <c r="C7668" t="s">
        <v>50</v>
      </c>
      <c r="D7668" t="s">
        <v>1221</v>
      </c>
      <c r="E7668" t="s">
        <v>52</v>
      </c>
      <c r="F7668" t="s">
        <v>53</v>
      </c>
      <c r="G7668" t="s">
        <v>155</v>
      </c>
      <c r="H7668" t="str">
        <f>" "</f>
        <v xml:space="preserve"> </v>
      </c>
      <c r="N7668" t="s">
        <v>615</v>
      </c>
      <c r="O7668" t="s">
        <v>616</v>
      </c>
      <c r="R7668" t="s">
        <v>159</v>
      </c>
      <c r="S7668">
        <v>1</v>
      </c>
      <c r="T7668" t="s">
        <v>8675</v>
      </c>
      <c r="U7668" s="1">
        <v>43348</v>
      </c>
      <c r="V7668" t="s">
        <v>5177</v>
      </c>
      <c r="W7668" t="s">
        <v>5178</v>
      </c>
      <c r="X7668" t="s">
        <v>58</v>
      </c>
      <c r="Y7668">
        <v>24</v>
      </c>
      <c r="Z7668" t="s">
        <v>59</v>
      </c>
      <c r="AA7668" t="s">
        <v>59</v>
      </c>
      <c r="AB7668" t="s">
        <v>59</v>
      </c>
      <c r="AD7668" t="s">
        <v>59</v>
      </c>
      <c r="AF7668" s="1">
        <v>43348</v>
      </c>
      <c r="AG7668" t="s">
        <v>8645</v>
      </c>
      <c r="AH7668" t="s">
        <v>8646</v>
      </c>
      <c r="AI7668" t="str">
        <f>"9320042"</f>
        <v>9320042</v>
      </c>
      <c r="AJ7668" t="s">
        <v>11942</v>
      </c>
      <c r="AK7668">
        <v>2844031250</v>
      </c>
      <c r="AL7668" t="s">
        <v>11943</v>
      </c>
      <c r="AM7668" t="s">
        <v>4513</v>
      </c>
      <c r="AN7668" t="s">
        <v>4592</v>
      </c>
      <c r="AO7668" t="s">
        <v>4592</v>
      </c>
      <c r="AP7668" t="s">
        <v>11944</v>
      </c>
      <c r="AQ7668">
        <v>3</v>
      </c>
      <c r="AR7668" t="s">
        <v>5177</v>
      </c>
      <c r="AS7668" t="s">
        <v>5178</v>
      </c>
      <c r="AT7668" t="s">
        <v>58</v>
      </c>
      <c r="AU7668" t="s">
        <v>8673</v>
      </c>
      <c r="AV7668" t="s">
        <v>132</v>
      </c>
      <c r="AW7668" s="1">
        <v>32632</v>
      </c>
      <c r="AX7668">
        <v>1</v>
      </c>
    </row>
    <row r="7669" spans="1:50">
      <c r="A7669">
        <v>613735</v>
      </c>
      <c r="B7669" t="str">
        <f>"110373104"</f>
        <v>110373104</v>
      </c>
      <c r="C7669" t="s">
        <v>50</v>
      </c>
      <c r="D7669" t="s">
        <v>1221</v>
      </c>
      <c r="E7669" t="s">
        <v>1029</v>
      </c>
      <c r="F7669" t="s">
        <v>95</v>
      </c>
      <c r="G7669" t="s">
        <v>372</v>
      </c>
      <c r="H7669" t="str">
        <f>"ΖΑΚΡΟΣ ΣΗΤΕΙΑΣ ΖΑΚΡΟΣ ΣΗΤΕΙΑΣ"</f>
        <v>ΖΑΚΡΟΣ ΣΗΤΕΙΑΣ ΖΑΚΡΟΣ ΣΗΤΕΙΑΣ</v>
      </c>
      <c r="J7669">
        <v>2843093086</v>
      </c>
      <c r="K7669">
        <v>6977288796</v>
      </c>
      <c r="N7669" t="s">
        <v>615</v>
      </c>
      <c r="O7669" t="s">
        <v>616</v>
      </c>
      <c r="R7669" t="s">
        <v>57</v>
      </c>
      <c r="S7669">
        <v>6</v>
      </c>
      <c r="T7669">
        <v>598</v>
      </c>
      <c r="U7669" s="1">
        <v>39310</v>
      </c>
      <c r="V7669" t="s">
        <v>5177</v>
      </c>
      <c r="W7669" t="s">
        <v>5178</v>
      </c>
      <c r="X7669" t="s">
        <v>58</v>
      </c>
      <c r="Y7669">
        <v>25</v>
      </c>
      <c r="Z7669" t="s">
        <v>59</v>
      </c>
      <c r="AA7669" t="s">
        <v>59</v>
      </c>
      <c r="AB7669" t="s">
        <v>59</v>
      </c>
      <c r="AC7669" t="s">
        <v>59</v>
      </c>
      <c r="AD7669" t="s">
        <v>59</v>
      </c>
      <c r="AF7669" s="1">
        <v>39310</v>
      </c>
      <c r="AG7669" t="s">
        <v>8645</v>
      </c>
      <c r="AH7669" t="s">
        <v>8676</v>
      </c>
      <c r="AI7669" t="str">
        <f>"9320102"</f>
        <v>9320102</v>
      </c>
      <c r="AJ7669" t="s">
        <v>12107</v>
      </c>
      <c r="AK7669">
        <v>2843093202</v>
      </c>
      <c r="AL7669" t="s">
        <v>12108</v>
      </c>
      <c r="AM7669" t="s">
        <v>4513</v>
      </c>
      <c r="AN7669" t="s">
        <v>4540</v>
      </c>
      <c r="AO7669" t="s">
        <v>4700</v>
      </c>
      <c r="AP7669" t="s">
        <v>12109</v>
      </c>
      <c r="AQ7669">
        <v>9</v>
      </c>
      <c r="AR7669" t="s">
        <v>5177</v>
      </c>
      <c r="AS7669" t="s">
        <v>5178</v>
      </c>
      <c r="AT7669" t="s">
        <v>58</v>
      </c>
      <c r="AU7669" t="s">
        <v>68</v>
      </c>
      <c r="AV7669" t="s">
        <v>69</v>
      </c>
      <c r="AW7669" s="1">
        <v>28399</v>
      </c>
      <c r="AX7669">
        <v>1</v>
      </c>
    </row>
    <row r="7670" spans="1:50">
      <c r="A7670">
        <v>565364</v>
      </c>
      <c r="B7670" t="str">
        <f>"064534281"</f>
        <v>064534281</v>
      </c>
      <c r="C7670" t="s">
        <v>50</v>
      </c>
      <c r="D7670" t="s">
        <v>12110</v>
      </c>
      <c r="E7670" t="s">
        <v>52</v>
      </c>
      <c r="F7670" t="s">
        <v>95</v>
      </c>
      <c r="G7670" t="s">
        <v>1588</v>
      </c>
      <c r="H7670" t="str">
        <f>"ΚΑΛΛΙΘΕΑ ΙΕΡΑΠΕΤΡΑΣ ΙΕΡΑΠΕΤΡΑ"</f>
        <v>ΚΑΛΛΙΘΕΑ ΙΕΡΑΠΕΤΡΑΣ ΙΕΡΑΠΕΤΡΑ</v>
      </c>
      <c r="I7670">
        <v>72200</v>
      </c>
      <c r="N7670" t="s">
        <v>615</v>
      </c>
      <c r="O7670" t="s">
        <v>616</v>
      </c>
      <c r="R7670" t="s">
        <v>57</v>
      </c>
      <c r="S7670">
        <v>14</v>
      </c>
      <c r="T7670">
        <v>161</v>
      </c>
      <c r="U7670" s="1">
        <v>33119</v>
      </c>
      <c r="V7670" t="s">
        <v>5177</v>
      </c>
      <c r="W7670" t="s">
        <v>5178</v>
      </c>
      <c r="X7670" t="s">
        <v>58</v>
      </c>
      <c r="Y7670">
        <v>21</v>
      </c>
      <c r="Z7670" t="s">
        <v>59</v>
      </c>
      <c r="AA7670" t="s">
        <v>59</v>
      </c>
      <c r="AB7670" t="s">
        <v>59</v>
      </c>
      <c r="AC7670" t="s">
        <v>59</v>
      </c>
      <c r="AD7670" t="s">
        <v>59</v>
      </c>
      <c r="AF7670" s="1">
        <v>33122</v>
      </c>
      <c r="AG7670" t="s">
        <v>8645</v>
      </c>
      <c r="AH7670" t="s">
        <v>8646</v>
      </c>
      <c r="AI7670" t="str">
        <f>"9320005"</f>
        <v>9320005</v>
      </c>
      <c r="AJ7670" t="s">
        <v>12004</v>
      </c>
      <c r="AK7670">
        <v>2842022202</v>
      </c>
      <c r="AL7670" t="s">
        <v>12005</v>
      </c>
      <c r="AM7670" t="s">
        <v>4513</v>
      </c>
      <c r="AN7670" t="s">
        <v>4519</v>
      </c>
      <c r="AO7670" t="s">
        <v>4519</v>
      </c>
      <c r="AP7670" t="s">
        <v>4519</v>
      </c>
      <c r="AQ7670">
        <v>4</v>
      </c>
      <c r="AR7670" t="s">
        <v>5177</v>
      </c>
      <c r="AS7670" t="s">
        <v>5178</v>
      </c>
      <c r="AT7670" t="s">
        <v>58</v>
      </c>
      <c r="AU7670" t="s">
        <v>68</v>
      </c>
      <c r="AV7670" t="s">
        <v>69</v>
      </c>
      <c r="AW7670" s="1">
        <v>24167</v>
      </c>
      <c r="AX7670">
        <v>1</v>
      </c>
    </row>
    <row r="7671" spans="1:50">
      <c r="A7671">
        <v>601040</v>
      </c>
      <c r="B7671" t="str">
        <f>"062230634"</f>
        <v>062230634</v>
      </c>
      <c r="C7671" t="s">
        <v>50</v>
      </c>
      <c r="D7671" t="s">
        <v>12111</v>
      </c>
      <c r="E7671" t="s">
        <v>237</v>
      </c>
      <c r="F7671" t="s">
        <v>3285</v>
      </c>
      <c r="G7671" t="s">
        <v>4622</v>
      </c>
      <c r="H7671" t="str">
        <f>"ΛΑΤΣΙΔΑ ΛΑΤΣΙΔΑ"</f>
        <v>ΛΑΤΣΙΔΑ ΛΑΤΣΙΔΑ</v>
      </c>
      <c r="I7671">
        <v>72400</v>
      </c>
      <c r="J7671">
        <v>2841031304</v>
      </c>
      <c r="K7671">
        <v>6974414429</v>
      </c>
      <c r="N7671" t="s">
        <v>615</v>
      </c>
      <c r="O7671" t="s">
        <v>616</v>
      </c>
      <c r="R7671" t="s">
        <v>57</v>
      </c>
      <c r="S7671">
        <v>8</v>
      </c>
      <c r="T7671">
        <v>207</v>
      </c>
      <c r="U7671" s="1">
        <v>37866</v>
      </c>
      <c r="V7671" t="s">
        <v>5177</v>
      </c>
      <c r="W7671" t="s">
        <v>5178</v>
      </c>
      <c r="X7671" t="s">
        <v>58</v>
      </c>
      <c r="Y7671">
        <v>22</v>
      </c>
      <c r="Z7671" t="s">
        <v>59</v>
      </c>
      <c r="AA7671" t="s">
        <v>59</v>
      </c>
      <c r="AB7671" t="s">
        <v>59</v>
      </c>
      <c r="AC7671" t="s">
        <v>59</v>
      </c>
      <c r="AD7671" t="s">
        <v>59</v>
      </c>
      <c r="AF7671" s="1">
        <v>37866</v>
      </c>
      <c r="AG7671" t="s">
        <v>8645</v>
      </c>
      <c r="AH7671" t="s">
        <v>8646</v>
      </c>
      <c r="AI7671" t="str">
        <f>"9320058"</f>
        <v>9320058</v>
      </c>
      <c r="AJ7671" t="s">
        <v>11893</v>
      </c>
      <c r="AK7671">
        <v>2841022496</v>
      </c>
      <c r="AL7671" t="s">
        <v>11894</v>
      </c>
      <c r="AM7671" t="s">
        <v>4513</v>
      </c>
      <c r="AN7671" t="s">
        <v>4514</v>
      </c>
      <c r="AO7671" t="s">
        <v>4514</v>
      </c>
      <c r="AP7671" t="s">
        <v>4514</v>
      </c>
      <c r="AQ7671">
        <v>1</v>
      </c>
      <c r="AR7671" t="s">
        <v>5177</v>
      </c>
      <c r="AS7671" t="s">
        <v>5178</v>
      </c>
      <c r="AT7671" t="s">
        <v>58</v>
      </c>
      <c r="AU7671" t="s">
        <v>68</v>
      </c>
      <c r="AV7671" t="s">
        <v>69</v>
      </c>
      <c r="AW7671" s="1">
        <v>26592</v>
      </c>
      <c r="AX7671">
        <v>1</v>
      </c>
    </row>
    <row r="7672" spans="1:50">
      <c r="B7672" t="str">
        <f>"140000949"</f>
        <v>140000949</v>
      </c>
      <c r="C7672" t="s">
        <v>50</v>
      </c>
      <c r="D7672" t="s">
        <v>12111</v>
      </c>
      <c r="E7672" t="s">
        <v>563</v>
      </c>
      <c r="F7672" t="s">
        <v>95</v>
      </c>
      <c r="G7672" t="s">
        <v>83</v>
      </c>
      <c r="H7672" t="str">
        <f>"ΚΑΛΗΜΕΡΑΚΗ 73 "</f>
        <v xml:space="preserve">ΚΑΛΗΜΕΡΑΚΗ 73 </v>
      </c>
      <c r="I7672">
        <v>72200</v>
      </c>
      <c r="K7672">
        <v>6947439590</v>
      </c>
      <c r="N7672" t="s">
        <v>615</v>
      </c>
      <c r="O7672" t="s">
        <v>616</v>
      </c>
      <c r="R7672" t="s">
        <v>159</v>
      </c>
      <c r="S7672">
        <v>6</v>
      </c>
      <c r="T7672" t="s">
        <v>8675</v>
      </c>
      <c r="U7672" s="1">
        <v>43348</v>
      </c>
      <c r="V7672" t="s">
        <v>5177</v>
      </c>
      <c r="W7672" t="s">
        <v>5178</v>
      </c>
      <c r="X7672" t="s">
        <v>58</v>
      </c>
      <c r="Y7672">
        <v>25</v>
      </c>
      <c r="Z7672" t="s">
        <v>59</v>
      </c>
      <c r="AA7672" t="s">
        <v>59</v>
      </c>
      <c r="AB7672" t="s">
        <v>59</v>
      </c>
      <c r="AC7672" t="s">
        <v>59</v>
      </c>
      <c r="AD7672" t="s">
        <v>59</v>
      </c>
      <c r="AF7672" s="1">
        <v>43348</v>
      </c>
      <c r="AG7672" t="s">
        <v>8645</v>
      </c>
      <c r="AH7672" t="s">
        <v>8676</v>
      </c>
      <c r="AI7672" t="str">
        <f>"9320112"</f>
        <v>9320112</v>
      </c>
      <c r="AJ7672" t="s">
        <v>11971</v>
      </c>
      <c r="AK7672">
        <v>2843051115</v>
      </c>
      <c r="AL7672" t="s">
        <v>11972</v>
      </c>
      <c r="AM7672" t="s">
        <v>4513</v>
      </c>
      <c r="AN7672" t="s">
        <v>4540</v>
      </c>
      <c r="AO7672" t="s">
        <v>4547</v>
      </c>
      <c r="AP7672" t="s">
        <v>11973</v>
      </c>
      <c r="AQ7672">
        <v>11</v>
      </c>
      <c r="AR7672" t="s">
        <v>5177</v>
      </c>
      <c r="AS7672" t="s">
        <v>5178</v>
      </c>
      <c r="AT7672" t="s">
        <v>58</v>
      </c>
      <c r="AU7672" t="s">
        <v>8673</v>
      </c>
      <c r="AV7672" t="s">
        <v>132</v>
      </c>
      <c r="AW7672" s="1">
        <v>31508</v>
      </c>
      <c r="AX7672">
        <v>1</v>
      </c>
    </row>
    <row r="7673" spans="1:50">
      <c r="B7673" t="str">
        <f>"137435608"</f>
        <v>137435608</v>
      </c>
      <c r="C7673" t="s">
        <v>50</v>
      </c>
      <c r="D7673" t="s">
        <v>12112</v>
      </c>
      <c r="E7673" t="s">
        <v>237</v>
      </c>
      <c r="F7673" t="s">
        <v>459</v>
      </c>
      <c r="G7673" t="s">
        <v>12113</v>
      </c>
      <c r="H7673" t="str">
        <f>"ΣΩΤΗΡΙΟΥ ΜΑΛΛΑ 14 Νέα Καλικράτεια ΧΑΛΚΙΔΙΚΗΣ"</f>
        <v>ΣΩΤΗΡΙΟΥ ΜΑΛΛΑ 14 Νέα Καλικράτεια ΧΑΛΚΙΔΙΚΗΣ</v>
      </c>
      <c r="I7673">
        <v>63080</v>
      </c>
      <c r="J7673">
        <v>2399023838</v>
      </c>
      <c r="K7673">
        <v>6986597814</v>
      </c>
      <c r="M7673" t="s">
        <v>12114</v>
      </c>
      <c r="N7673" t="s">
        <v>615</v>
      </c>
      <c r="O7673" t="s">
        <v>616</v>
      </c>
      <c r="R7673" t="s">
        <v>159</v>
      </c>
      <c r="S7673">
        <v>3</v>
      </c>
      <c r="T7673" t="s">
        <v>8675</v>
      </c>
      <c r="U7673" s="1">
        <v>43348</v>
      </c>
      <c r="V7673" t="s">
        <v>5177</v>
      </c>
      <c r="W7673" t="s">
        <v>5178</v>
      </c>
      <c r="X7673" t="s">
        <v>58</v>
      </c>
      <c r="Y7673">
        <v>24</v>
      </c>
      <c r="Z7673" t="s">
        <v>59</v>
      </c>
      <c r="AA7673" t="s">
        <v>59</v>
      </c>
      <c r="AB7673" t="s">
        <v>59</v>
      </c>
      <c r="AC7673" t="s">
        <v>59</v>
      </c>
      <c r="AD7673" t="s">
        <v>59</v>
      </c>
      <c r="AF7673" s="1">
        <v>43348</v>
      </c>
      <c r="AG7673" t="s">
        <v>8645</v>
      </c>
      <c r="AH7673" t="s">
        <v>8646</v>
      </c>
      <c r="AI7673" t="str">
        <f>"9320163"</f>
        <v>9320163</v>
      </c>
      <c r="AJ7673" t="s">
        <v>12012</v>
      </c>
      <c r="AK7673">
        <v>2842024595</v>
      </c>
      <c r="AL7673" t="s">
        <v>12013</v>
      </c>
      <c r="AM7673" t="s">
        <v>4513</v>
      </c>
      <c r="AN7673" t="s">
        <v>4519</v>
      </c>
      <c r="AO7673" t="s">
        <v>4519</v>
      </c>
      <c r="AP7673" t="s">
        <v>4519</v>
      </c>
      <c r="AQ7673">
        <v>4</v>
      </c>
      <c r="AR7673" t="s">
        <v>5177</v>
      </c>
      <c r="AS7673" t="s">
        <v>5178</v>
      </c>
      <c r="AT7673" t="s">
        <v>58</v>
      </c>
      <c r="AU7673" t="s">
        <v>8673</v>
      </c>
      <c r="AV7673" t="s">
        <v>132</v>
      </c>
      <c r="AW7673" s="1">
        <v>32472</v>
      </c>
      <c r="AX7673">
        <v>1</v>
      </c>
    </row>
    <row r="7674" spans="1:50">
      <c r="B7674" t="str">
        <f>"150150007"</f>
        <v>150150007</v>
      </c>
      <c r="C7674" t="s">
        <v>105</v>
      </c>
      <c r="D7674" t="s">
        <v>12115</v>
      </c>
      <c r="E7674" t="s">
        <v>1543</v>
      </c>
      <c r="F7674" t="s">
        <v>408</v>
      </c>
      <c r="G7674" t="s">
        <v>83</v>
      </c>
      <c r="H7674" t="str">
        <f>" "</f>
        <v xml:space="preserve"> </v>
      </c>
      <c r="N7674" t="s">
        <v>615</v>
      </c>
      <c r="O7674" t="s">
        <v>616</v>
      </c>
      <c r="R7674" t="s">
        <v>159</v>
      </c>
      <c r="S7674">
        <v>2</v>
      </c>
      <c r="T7674" t="s">
        <v>8675</v>
      </c>
      <c r="U7674" s="1">
        <v>43348</v>
      </c>
      <c r="V7674" t="s">
        <v>5177</v>
      </c>
      <c r="W7674" t="s">
        <v>5178</v>
      </c>
      <c r="X7674" t="s">
        <v>58</v>
      </c>
      <c r="Y7674">
        <v>24</v>
      </c>
      <c r="Z7674" t="s">
        <v>59</v>
      </c>
      <c r="AA7674" t="s">
        <v>59</v>
      </c>
      <c r="AB7674" t="s">
        <v>59</v>
      </c>
      <c r="AC7674" t="s">
        <v>59</v>
      </c>
      <c r="AD7674" t="s">
        <v>59</v>
      </c>
      <c r="AF7674" s="1">
        <v>43348</v>
      </c>
      <c r="AG7674" t="s">
        <v>8645</v>
      </c>
      <c r="AH7674" t="s">
        <v>8646</v>
      </c>
      <c r="AI7674" t="str">
        <f>"9320071"</f>
        <v>9320071</v>
      </c>
      <c r="AJ7674" t="s">
        <v>12098</v>
      </c>
      <c r="AK7674">
        <v>2841041234</v>
      </c>
      <c r="AL7674" t="s">
        <v>12099</v>
      </c>
      <c r="AM7674" t="s">
        <v>4513</v>
      </c>
      <c r="AN7674" t="s">
        <v>4514</v>
      </c>
      <c r="AO7674" t="s">
        <v>4514</v>
      </c>
      <c r="AP7674" t="s">
        <v>12100</v>
      </c>
      <c r="AQ7674">
        <v>2</v>
      </c>
      <c r="AR7674" t="s">
        <v>5177</v>
      </c>
      <c r="AS7674" t="s">
        <v>5178</v>
      </c>
      <c r="AT7674" t="s">
        <v>58</v>
      </c>
      <c r="AU7674" t="s">
        <v>8673</v>
      </c>
      <c r="AV7674" t="s">
        <v>132</v>
      </c>
      <c r="AW7674" s="1">
        <v>33096</v>
      </c>
      <c r="AX7674">
        <v>1</v>
      </c>
    </row>
    <row r="7675" spans="1:50">
      <c r="A7675">
        <v>619467</v>
      </c>
      <c r="B7675" t="str">
        <f>"074890492"</f>
        <v>074890492</v>
      </c>
      <c r="C7675" t="s">
        <v>50</v>
      </c>
      <c r="D7675" t="s">
        <v>1251</v>
      </c>
      <c r="E7675" t="s">
        <v>1227</v>
      </c>
      <c r="F7675" t="s">
        <v>84</v>
      </c>
      <c r="G7675" t="s">
        <v>52</v>
      </c>
      <c r="H7675" t="str">
        <f>" "</f>
        <v xml:space="preserve"> </v>
      </c>
      <c r="J7675">
        <v>2843022542</v>
      </c>
      <c r="K7675">
        <v>6948057142</v>
      </c>
      <c r="N7675" t="s">
        <v>1525</v>
      </c>
      <c r="O7675" t="s">
        <v>1526</v>
      </c>
      <c r="R7675" t="s">
        <v>57</v>
      </c>
      <c r="S7675">
        <v>5</v>
      </c>
      <c r="T7675">
        <v>774</v>
      </c>
      <c r="U7675" s="1">
        <v>39680</v>
      </c>
      <c r="V7675" t="s">
        <v>5177</v>
      </c>
      <c r="W7675" t="s">
        <v>5178</v>
      </c>
      <c r="X7675" t="s">
        <v>58</v>
      </c>
      <c r="Y7675">
        <v>25</v>
      </c>
      <c r="Z7675" t="s">
        <v>59</v>
      </c>
      <c r="AA7675" t="s">
        <v>59</v>
      </c>
      <c r="AB7675" t="s">
        <v>59</v>
      </c>
      <c r="AC7675" t="s">
        <v>59</v>
      </c>
      <c r="AD7675" t="s">
        <v>59</v>
      </c>
      <c r="AF7675" s="1">
        <v>39682</v>
      </c>
      <c r="AG7675" t="s">
        <v>8651</v>
      </c>
      <c r="AH7675" t="s">
        <v>8652</v>
      </c>
      <c r="AI7675" t="str">
        <f>"9320147"</f>
        <v>9320147</v>
      </c>
      <c r="AJ7675" t="s">
        <v>11932</v>
      </c>
      <c r="AK7675">
        <v>2843023474</v>
      </c>
      <c r="AL7675" t="s">
        <v>11933</v>
      </c>
      <c r="AM7675" t="s">
        <v>4513</v>
      </c>
      <c r="AN7675" t="s">
        <v>4540</v>
      </c>
      <c r="AO7675" t="s">
        <v>4540</v>
      </c>
      <c r="AP7675" t="s">
        <v>4540</v>
      </c>
      <c r="AQ7675">
        <v>8</v>
      </c>
      <c r="AR7675" t="s">
        <v>5177</v>
      </c>
      <c r="AS7675" t="s">
        <v>5178</v>
      </c>
      <c r="AT7675" t="s">
        <v>58</v>
      </c>
      <c r="AU7675" t="s">
        <v>68</v>
      </c>
      <c r="AV7675" t="s">
        <v>69</v>
      </c>
      <c r="AW7675" s="1">
        <v>26100</v>
      </c>
      <c r="AX7675">
        <v>1</v>
      </c>
    </row>
    <row r="7676" spans="1:50">
      <c r="A7676">
        <v>561216</v>
      </c>
      <c r="B7676" t="str">
        <f>"033799169"</f>
        <v>033799169</v>
      </c>
      <c r="C7676" t="s">
        <v>105</v>
      </c>
      <c r="D7676" t="s">
        <v>1256</v>
      </c>
      <c r="E7676" t="s">
        <v>166</v>
      </c>
      <c r="F7676" t="s">
        <v>84</v>
      </c>
      <c r="G7676" t="s">
        <v>52</v>
      </c>
      <c r="H7676" t="str">
        <f>" Μίνωος 7 Σητείας"</f>
        <v xml:space="preserve"> Μίνωος 7 Σητείας</v>
      </c>
      <c r="I7676">
        <v>72300</v>
      </c>
      <c r="J7676">
        <v>2843022542</v>
      </c>
      <c r="K7676">
        <v>6978588378</v>
      </c>
      <c r="L7676">
        <v>6948057142</v>
      </c>
      <c r="N7676" t="s">
        <v>615</v>
      </c>
      <c r="O7676" t="s">
        <v>616</v>
      </c>
      <c r="R7676" t="s">
        <v>57</v>
      </c>
      <c r="S7676">
        <v>15</v>
      </c>
      <c r="T7676">
        <v>159</v>
      </c>
      <c r="U7676" s="1">
        <v>32385</v>
      </c>
      <c r="V7676" t="s">
        <v>5177</v>
      </c>
      <c r="W7676" t="s">
        <v>5178</v>
      </c>
      <c r="X7676" t="s">
        <v>58</v>
      </c>
      <c r="Y7676">
        <v>21</v>
      </c>
      <c r="Z7676" t="s">
        <v>59</v>
      </c>
      <c r="AA7676" t="s">
        <v>59</v>
      </c>
      <c r="AB7676" t="s">
        <v>59</v>
      </c>
      <c r="AC7676" t="s">
        <v>59</v>
      </c>
      <c r="AD7676" t="s">
        <v>59</v>
      </c>
      <c r="AF7676" s="1">
        <v>32388</v>
      </c>
      <c r="AG7676" t="s">
        <v>8645</v>
      </c>
      <c r="AH7676" t="s">
        <v>8646</v>
      </c>
      <c r="AI7676" t="str">
        <f>"9320093"</f>
        <v>9320093</v>
      </c>
      <c r="AJ7676" t="s">
        <v>11967</v>
      </c>
      <c r="AK7676">
        <v>2843025130</v>
      </c>
      <c r="AL7676" t="s">
        <v>11968</v>
      </c>
      <c r="AM7676" t="s">
        <v>4513</v>
      </c>
      <c r="AN7676" t="s">
        <v>4540</v>
      </c>
      <c r="AO7676" t="s">
        <v>4540</v>
      </c>
      <c r="AP7676" t="s">
        <v>4540</v>
      </c>
      <c r="AQ7676">
        <v>8</v>
      </c>
      <c r="AR7676" t="s">
        <v>5177</v>
      </c>
      <c r="AS7676" t="s">
        <v>5178</v>
      </c>
      <c r="AT7676" t="s">
        <v>58</v>
      </c>
      <c r="AU7676" t="s">
        <v>68</v>
      </c>
      <c r="AV7676" t="s">
        <v>69</v>
      </c>
      <c r="AW7676" s="1">
        <v>23596</v>
      </c>
      <c r="AX7676">
        <v>1</v>
      </c>
    </row>
    <row r="7677" spans="1:50">
      <c r="B7677" t="str">
        <f>"140031060"</f>
        <v>140031060</v>
      </c>
      <c r="C7677" t="s">
        <v>50</v>
      </c>
      <c r="D7677" t="s">
        <v>12116</v>
      </c>
      <c r="E7677" t="s">
        <v>52</v>
      </c>
      <c r="F7677" t="s">
        <v>106</v>
      </c>
      <c r="G7677" t="s">
        <v>476</v>
      </c>
      <c r="H7677" t="str">
        <f>" "</f>
        <v xml:space="preserve"> </v>
      </c>
      <c r="N7677" t="s">
        <v>615</v>
      </c>
      <c r="O7677" t="s">
        <v>616</v>
      </c>
      <c r="R7677" t="s">
        <v>159</v>
      </c>
      <c r="S7677">
        <v>3</v>
      </c>
      <c r="T7677" t="s">
        <v>8675</v>
      </c>
      <c r="U7677" s="1">
        <v>43348</v>
      </c>
      <c r="V7677" t="s">
        <v>5177</v>
      </c>
      <c r="W7677" t="s">
        <v>5178</v>
      </c>
      <c r="X7677" t="s">
        <v>58</v>
      </c>
      <c r="Y7677">
        <v>24</v>
      </c>
      <c r="Z7677" t="s">
        <v>59</v>
      </c>
      <c r="AA7677" t="s">
        <v>59</v>
      </c>
      <c r="AB7677" t="s">
        <v>59</v>
      </c>
      <c r="AC7677" t="s">
        <v>59</v>
      </c>
      <c r="AD7677" t="s">
        <v>59</v>
      </c>
      <c r="AF7677" s="1">
        <v>43348</v>
      </c>
      <c r="AG7677" t="s">
        <v>8645</v>
      </c>
      <c r="AH7677" t="s">
        <v>8646</v>
      </c>
      <c r="AI7677" t="str">
        <f>"9320210"</f>
        <v>9320210</v>
      </c>
      <c r="AJ7677" t="s">
        <v>11890</v>
      </c>
      <c r="AK7677">
        <v>2841026705</v>
      </c>
      <c r="AL7677" t="s">
        <v>11891</v>
      </c>
      <c r="AM7677" t="s">
        <v>4513</v>
      </c>
      <c r="AN7677" t="s">
        <v>4514</v>
      </c>
      <c r="AO7677" t="s">
        <v>4514</v>
      </c>
      <c r="AP7677" t="s">
        <v>4514</v>
      </c>
      <c r="AQ7677">
        <v>1</v>
      </c>
      <c r="AR7677" t="s">
        <v>5177</v>
      </c>
      <c r="AS7677" t="s">
        <v>5178</v>
      </c>
      <c r="AT7677" t="s">
        <v>58</v>
      </c>
      <c r="AU7677" t="s">
        <v>8673</v>
      </c>
      <c r="AV7677" t="s">
        <v>132</v>
      </c>
      <c r="AW7677" s="1">
        <v>33152</v>
      </c>
      <c r="AX7677">
        <v>1</v>
      </c>
    </row>
    <row r="7678" spans="1:50">
      <c r="A7678">
        <v>618472</v>
      </c>
      <c r="B7678" t="str">
        <f>"126833758"</f>
        <v>126833758</v>
      </c>
      <c r="C7678" t="s">
        <v>50</v>
      </c>
      <c r="D7678" t="s">
        <v>5931</v>
      </c>
      <c r="E7678" t="s">
        <v>83</v>
      </c>
      <c r="F7678" t="s">
        <v>84</v>
      </c>
      <c r="G7678" t="s">
        <v>155</v>
      </c>
      <c r="H7678" t="str">
        <f>"ΚΟΡΩΝΕΙΑΣ 3 ΑΘΗΝΑ"</f>
        <v>ΚΟΡΩΝΕΙΑΣ 3 ΑΘΗΝΑ</v>
      </c>
      <c r="I7678">
        <v>11142</v>
      </c>
      <c r="J7678">
        <v>2102132486</v>
      </c>
      <c r="K7678">
        <v>6939852181</v>
      </c>
      <c r="N7678" t="s">
        <v>615</v>
      </c>
      <c r="O7678" t="s">
        <v>616</v>
      </c>
      <c r="R7678" t="s">
        <v>57</v>
      </c>
      <c r="S7678">
        <v>5</v>
      </c>
      <c r="T7678">
        <v>774</v>
      </c>
      <c r="U7678" s="1">
        <v>39680</v>
      </c>
      <c r="V7678" t="s">
        <v>5177</v>
      </c>
      <c r="W7678" t="s">
        <v>5178</v>
      </c>
      <c r="X7678" t="s">
        <v>58</v>
      </c>
      <c r="Y7678">
        <v>23</v>
      </c>
      <c r="Z7678" t="s">
        <v>59</v>
      </c>
      <c r="AA7678" t="s">
        <v>59</v>
      </c>
      <c r="AB7678" t="s">
        <v>59</v>
      </c>
      <c r="AC7678" t="s">
        <v>59</v>
      </c>
      <c r="AD7678" t="s">
        <v>59</v>
      </c>
      <c r="AF7678" s="1">
        <v>39681</v>
      </c>
      <c r="AG7678" t="s">
        <v>8645</v>
      </c>
      <c r="AH7678" t="s">
        <v>8646</v>
      </c>
      <c r="AI7678" t="str">
        <f>"9320121"</f>
        <v>9320121</v>
      </c>
      <c r="AJ7678" t="s">
        <v>11906</v>
      </c>
      <c r="AK7678">
        <v>2843022036</v>
      </c>
      <c r="AL7678" t="s">
        <v>11907</v>
      </c>
      <c r="AM7678" t="s">
        <v>4513</v>
      </c>
      <c r="AN7678" t="s">
        <v>4540</v>
      </c>
      <c r="AO7678" t="s">
        <v>4540</v>
      </c>
      <c r="AP7678" t="s">
        <v>11908</v>
      </c>
      <c r="AQ7678">
        <v>8</v>
      </c>
      <c r="AR7678" t="s">
        <v>5177</v>
      </c>
      <c r="AS7678" t="s">
        <v>5178</v>
      </c>
      <c r="AT7678" t="s">
        <v>58</v>
      </c>
      <c r="AU7678" t="s">
        <v>68</v>
      </c>
      <c r="AV7678" t="s">
        <v>69</v>
      </c>
      <c r="AW7678" s="1">
        <v>30671</v>
      </c>
      <c r="AX7678">
        <v>1</v>
      </c>
    </row>
    <row r="7679" spans="1:50">
      <c r="A7679">
        <v>622869</v>
      </c>
      <c r="B7679" t="str">
        <f>"077091362"</f>
        <v>077091362</v>
      </c>
      <c r="C7679" t="s">
        <v>50</v>
      </c>
      <c r="D7679" t="s">
        <v>1287</v>
      </c>
      <c r="E7679" t="s">
        <v>143</v>
      </c>
      <c r="F7679" t="s">
        <v>72</v>
      </c>
      <c r="G7679" t="s">
        <v>1345</v>
      </c>
      <c r="H7679" t="str">
        <f>"ΔΗΜΗΤΡΙΟΥ ΣΤΕΦΑΝΟΥ 7 ΘΕΣΣΑΛΟΝΙΚΗ"</f>
        <v>ΔΗΜΗΤΡΙΟΥ ΣΤΕΦΑΝΟΥ 7 ΘΕΣΣΑΛΟΝΙΚΗ</v>
      </c>
      <c r="I7679">
        <v>54250</v>
      </c>
      <c r="J7679">
        <v>2310307543</v>
      </c>
      <c r="K7679">
        <v>6944477277</v>
      </c>
      <c r="L7679">
        <v>6976740883</v>
      </c>
      <c r="M7679" t="s">
        <v>12117</v>
      </c>
      <c r="N7679" t="s">
        <v>176</v>
      </c>
      <c r="O7679" t="s">
        <v>177</v>
      </c>
      <c r="R7679" t="s">
        <v>57</v>
      </c>
      <c r="S7679">
        <v>7</v>
      </c>
      <c r="T7679">
        <v>654</v>
      </c>
      <c r="U7679" s="1">
        <v>40043</v>
      </c>
      <c r="V7679" t="s">
        <v>5177</v>
      </c>
      <c r="W7679" t="s">
        <v>5178</v>
      </c>
      <c r="X7679" t="s">
        <v>58</v>
      </c>
      <c r="Y7679">
        <v>23</v>
      </c>
      <c r="Z7679" t="s">
        <v>59</v>
      </c>
      <c r="AA7679" t="s">
        <v>59</v>
      </c>
      <c r="AB7679" t="s">
        <v>59</v>
      </c>
      <c r="AC7679" t="s">
        <v>59</v>
      </c>
      <c r="AD7679" t="s">
        <v>59</v>
      </c>
      <c r="AF7679" s="1">
        <v>40045</v>
      </c>
      <c r="AG7679" t="s">
        <v>8645</v>
      </c>
      <c r="AH7679" t="s">
        <v>8646</v>
      </c>
      <c r="AI7679" t="str">
        <f>"9320127"</f>
        <v>9320127</v>
      </c>
      <c r="AJ7679" t="s">
        <v>12040</v>
      </c>
      <c r="AK7679">
        <v>2843051221</v>
      </c>
      <c r="AL7679" t="s">
        <v>12041</v>
      </c>
      <c r="AM7679" t="s">
        <v>4513</v>
      </c>
      <c r="AN7679" t="s">
        <v>4519</v>
      </c>
      <c r="AO7679" t="s">
        <v>4766</v>
      </c>
      <c r="AP7679" t="s">
        <v>4767</v>
      </c>
      <c r="AQ7679">
        <v>6</v>
      </c>
      <c r="AR7679" t="s">
        <v>5177</v>
      </c>
      <c r="AS7679" t="s">
        <v>5178</v>
      </c>
      <c r="AT7679" t="s">
        <v>58</v>
      </c>
      <c r="AU7679" t="s">
        <v>68</v>
      </c>
      <c r="AV7679" t="s">
        <v>69</v>
      </c>
      <c r="AW7679" s="1">
        <v>26560</v>
      </c>
      <c r="AX7679">
        <v>1</v>
      </c>
    </row>
    <row r="7680" spans="1:50">
      <c r="B7680" t="str">
        <f>"142111239"</f>
        <v>142111239</v>
      </c>
      <c r="C7680" t="s">
        <v>50</v>
      </c>
      <c r="D7680" t="s">
        <v>1287</v>
      </c>
      <c r="E7680" t="s">
        <v>12118</v>
      </c>
      <c r="F7680" t="s">
        <v>53</v>
      </c>
      <c r="G7680" t="s">
        <v>714</v>
      </c>
      <c r="H7680" t="str">
        <f>"ΚΟΝΤΟΓΙΑΝΝΑΙΩΝ 16-18 "</f>
        <v xml:space="preserve">ΚΟΝΤΟΓΙΑΝΝΑΙΩΝ 16-18 </v>
      </c>
      <c r="I7680">
        <v>11475</v>
      </c>
      <c r="J7680">
        <v>2106429024</v>
      </c>
      <c r="K7680">
        <v>6976871673</v>
      </c>
      <c r="N7680" t="s">
        <v>615</v>
      </c>
      <c r="O7680" t="s">
        <v>616</v>
      </c>
      <c r="R7680" t="s">
        <v>159</v>
      </c>
      <c r="S7680">
        <v>6</v>
      </c>
      <c r="T7680" t="s">
        <v>8675</v>
      </c>
      <c r="U7680" s="1">
        <v>43348</v>
      </c>
      <c r="V7680" t="s">
        <v>5177</v>
      </c>
      <c r="W7680" t="s">
        <v>5178</v>
      </c>
      <c r="X7680" t="s">
        <v>58</v>
      </c>
      <c r="Y7680">
        <v>24</v>
      </c>
      <c r="Z7680" t="s">
        <v>59</v>
      </c>
      <c r="AA7680" t="s">
        <v>59</v>
      </c>
      <c r="AB7680" t="s">
        <v>59</v>
      </c>
      <c r="AC7680" t="s">
        <v>59</v>
      </c>
      <c r="AD7680" t="s">
        <v>59</v>
      </c>
      <c r="AF7680" s="1">
        <v>43348</v>
      </c>
      <c r="AG7680" t="s">
        <v>8645</v>
      </c>
      <c r="AH7680" t="s">
        <v>8676</v>
      </c>
      <c r="AI7680" t="str">
        <f>"9320081"</f>
        <v>9320081</v>
      </c>
      <c r="AJ7680" t="s">
        <v>12119</v>
      </c>
      <c r="AK7680">
        <v>2841051404</v>
      </c>
      <c r="AL7680" t="s">
        <v>12120</v>
      </c>
      <c r="AM7680" t="s">
        <v>4513</v>
      </c>
      <c r="AN7680" t="s">
        <v>4514</v>
      </c>
      <c r="AO7680" t="s">
        <v>4514</v>
      </c>
      <c r="AP7680" t="s">
        <v>12121</v>
      </c>
      <c r="AQ7680">
        <v>2</v>
      </c>
      <c r="AR7680" t="s">
        <v>5177</v>
      </c>
      <c r="AS7680" t="s">
        <v>5178</v>
      </c>
      <c r="AT7680" t="s">
        <v>58</v>
      </c>
      <c r="AU7680" t="s">
        <v>8673</v>
      </c>
      <c r="AV7680" t="s">
        <v>132</v>
      </c>
      <c r="AW7680" s="1">
        <v>31727</v>
      </c>
      <c r="AX7680">
        <v>1</v>
      </c>
    </row>
    <row r="7681" spans="1:50">
      <c r="A7681">
        <v>579957</v>
      </c>
      <c r="B7681" t="str">
        <f>"032062518"</f>
        <v>032062518</v>
      </c>
      <c r="C7681" t="s">
        <v>50</v>
      </c>
      <c r="D7681" t="s">
        <v>12122</v>
      </c>
      <c r="E7681" t="s">
        <v>73</v>
      </c>
      <c r="F7681" t="s">
        <v>106</v>
      </c>
      <c r="G7681" t="s">
        <v>3802</v>
      </c>
      <c r="H7681" t="str">
        <f>"ΓΛΥΜΜΑΤΑ ΑΓΙΟΣ ΝΙΚΟΛΑΟΣ"</f>
        <v>ΓΛΥΜΜΑΤΑ ΑΓΙΟΣ ΝΙΚΟΛΑΟΣ</v>
      </c>
      <c r="I7681">
        <v>72100</v>
      </c>
      <c r="J7681">
        <v>2841082145</v>
      </c>
      <c r="K7681">
        <v>6970836867</v>
      </c>
      <c r="N7681" t="s">
        <v>1525</v>
      </c>
      <c r="O7681" t="s">
        <v>1526</v>
      </c>
      <c r="R7681" t="s">
        <v>57</v>
      </c>
      <c r="S7681">
        <v>13</v>
      </c>
      <c r="T7681">
        <v>165</v>
      </c>
      <c r="U7681" s="1">
        <v>35300</v>
      </c>
      <c r="V7681" t="s">
        <v>5177</v>
      </c>
      <c r="W7681" t="s">
        <v>5178</v>
      </c>
      <c r="X7681" t="s">
        <v>58</v>
      </c>
      <c r="Y7681">
        <v>25</v>
      </c>
      <c r="Z7681" t="s">
        <v>59</v>
      </c>
      <c r="AA7681" t="s">
        <v>59</v>
      </c>
      <c r="AB7681" t="s">
        <v>59</v>
      </c>
      <c r="AC7681" t="s">
        <v>59</v>
      </c>
      <c r="AD7681" t="s">
        <v>59</v>
      </c>
      <c r="AF7681" s="1">
        <v>35310</v>
      </c>
      <c r="AG7681" t="s">
        <v>8651</v>
      </c>
      <c r="AH7681" t="s">
        <v>8652</v>
      </c>
      <c r="AI7681" t="str">
        <f>"9320222"</f>
        <v>9320222</v>
      </c>
      <c r="AJ7681" t="s">
        <v>12020</v>
      </c>
      <c r="AK7681">
        <v>2841022857</v>
      </c>
      <c r="AL7681" t="s">
        <v>12021</v>
      </c>
      <c r="AM7681" t="s">
        <v>4513</v>
      </c>
      <c r="AN7681" t="s">
        <v>4514</v>
      </c>
      <c r="AO7681" t="s">
        <v>4514</v>
      </c>
      <c r="AP7681" t="s">
        <v>4514</v>
      </c>
      <c r="AQ7681">
        <v>1</v>
      </c>
      <c r="AR7681" t="s">
        <v>5177</v>
      </c>
      <c r="AS7681" t="s">
        <v>5178</v>
      </c>
      <c r="AT7681" t="s">
        <v>58</v>
      </c>
      <c r="AU7681" t="s">
        <v>68</v>
      </c>
      <c r="AV7681" t="s">
        <v>69</v>
      </c>
      <c r="AW7681" s="1">
        <v>24103</v>
      </c>
      <c r="AX7681">
        <v>1</v>
      </c>
    </row>
    <row r="7682" spans="1:50">
      <c r="A7682">
        <v>615172</v>
      </c>
      <c r="B7682" t="str">
        <f>"301962466"</f>
        <v>301962466</v>
      </c>
      <c r="C7682" t="s">
        <v>50</v>
      </c>
      <c r="D7682" t="s">
        <v>1295</v>
      </c>
      <c r="E7682" t="s">
        <v>255</v>
      </c>
      <c r="F7682" t="s">
        <v>4097</v>
      </c>
      <c r="G7682" t="s">
        <v>1450</v>
      </c>
      <c r="H7682" t="str">
        <f>"ΕΡΓΑΤΙΚΕΣ ΚΑΤΟΙΚΙΕΣ ΑΓΙΑΣ ΒΑΡΒΑΡΑΣ 24 ΝΕΑΠΟΛΗ"</f>
        <v>ΕΡΓΑΤΙΚΕΣ ΚΑΤΟΙΚΙΕΣ ΑΓΙΑΣ ΒΑΡΒΑΡΑΣ 24 ΝΕΑΠΟΛΗ</v>
      </c>
      <c r="I7682">
        <v>72400</v>
      </c>
      <c r="J7682">
        <v>2841032030</v>
      </c>
      <c r="K7682">
        <v>6946338454</v>
      </c>
      <c r="N7682" t="s">
        <v>1525</v>
      </c>
      <c r="O7682" t="s">
        <v>1526</v>
      </c>
      <c r="R7682" t="s">
        <v>57</v>
      </c>
      <c r="S7682">
        <v>6</v>
      </c>
      <c r="T7682">
        <v>598</v>
      </c>
      <c r="U7682" s="1">
        <v>39310</v>
      </c>
      <c r="V7682" t="s">
        <v>5177</v>
      </c>
      <c r="W7682" t="s">
        <v>5178</v>
      </c>
      <c r="X7682" t="s">
        <v>58</v>
      </c>
      <c r="Y7682">
        <v>25</v>
      </c>
      <c r="Z7682" t="s">
        <v>59</v>
      </c>
      <c r="AA7682" t="s">
        <v>59</v>
      </c>
      <c r="AB7682" t="s">
        <v>59</v>
      </c>
      <c r="AC7682" t="s">
        <v>59</v>
      </c>
      <c r="AD7682" t="s">
        <v>59</v>
      </c>
      <c r="AF7682" s="1">
        <v>39328</v>
      </c>
      <c r="AG7682" t="s">
        <v>8651</v>
      </c>
      <c r="AH7682" t="s">
        <v>8652</v>
      </c>
      <c r="AI7682" t="str">
        <f>"9320062"</f>
        <v>9320062</v>
      </c>
      <c r="AJ7682" t="s">
        <v>11997</v>
      </c>
      <c r="AK7682">
        <v>2841032366</v>
      </c>
      <c r="AL7682" t="s">
        <v>11998</v>
      </c>
      <c r="AM7682" t="s">
        <v>4513</v>
      </c>
      <c r="AN7682" t="s">
        <v>4514</v>
      </c>
      <c r="AO7682" t="s">
        <v>4524</v>
      </c>
      <c r="AP7682" t="s">
        <v>4525</v>
      </c>
      <c r="AQ7682">
        <v>1</v>
      </c>
      <c r="AR7682" t="s">
        <v>5177</v>
      </c>
      <c r="AS7682" t="s">
        <v>5178</v>
      </c>
      <c r="AT7682" t="s">
        <v>58</v>
      </c>
      <c r="AU7682" t="s">
        <v>68</v>
      </c>
      <c r="AV7682" t="s">
        <v>69</v>
      </c>
      <c r="AW7682" s="1">
        <v>28665</v>
      </c>
      <c r="AX7682">
        <v>1</v>
      </c>
    </row>
    <row r="7683" spans="1:50">
      <c r="A7683">
        <v>571574</v>
      </c>
      <c r="B7683" t="str">
        <f>"034937544"</f>
        <v>034937544</v>
      </c>
      <c r="C7683" t="s">
        <v>50</v>
      </c>
      <c r="D7683" t="s">
        <v>12123</v>
      </c>
      <c r="E7683" t="s">
        <v>52</v>
      </c>
      <c r="F7683" t="s">
        <v>311</v>
      </c>
      <c r="G7683" t="s">
        <v>83</v>
      </c>
      <c r="H7683" t="str">
        <f>"ΓΙΑΜΠΟΥΔΑΚΗ 7 ΑΓΙΟΣ ΝΙΚΟΛΑΟΣ"</f>
        <v>ΓΙΑΜΠΟΥΔΑΚΗ 7 ΑΓΙΟΣ ΝΙΚΟΛΑΟΣ</v>
      </c>
      <c r="I7683">
        <v>72100</v>
      </c>
      <c r="J7683">
        <v>2841024942</v>
      </c>
      <c r="K7683">
        <v>6974088075</v>
      </c>
      <c r="N7683" t="s">
        <v>1525</v>
      </c>
      <c r="O7683" t="s">
        <v>1526</v>
      </c>
      <c r="R7683" t="s">
        <v>57</v>
      </c>
      <c r="S7683">
        <v>15</v>
      </c>
      <c r="T7683">
        <v>138</v>
      </c>
      <c r="U7683" s="1">
        <v>34206</v>
      </c>
      <c r="V7683" t="s">
        <v>5177</v>
      </c>
      <c r="W7683" t="s">
        <v>5178</v>
      </c>
      <c r="X7683" t="s">
        <v>58</v>
      </c>
      <c r="Y7683">
        <v>21</v>
      </c>
      <c r="Z7683" t="s">
        <v>59</v>
      </c>
      <c r="AA7683" t="s">
        <v>59</v>
      </c>
      <c r="AB7683" t="s">
        <v>59</v>
      </c>
      <c r="AC7683" t="s">
        <v>59</v>
      </c>
      <c r="AD7683" t="s">
        <v>59</v>
      </c>
      <c r="AF7683" s="1">
        <v>34213</v>
      </c>
      <c r="AG7683" t="s">
        <v>8651</v>
      </c>
      <c r="AH7683" t="s">
        <v>8652</v>
      </c>
      <c r="AI7683" t="str">
        <f>"9320161"</f>
        <v>9320161</v>
      </c>
      <c r="AJ7683" t="s">
        <v>12124</v>
      </c>
      <c r="AK7683">
        <v>2841028686</v>
      </c>
      <c r="AL7683" t="s">
        <v>12125</v>
      </c>
      <c r="AM7683" t="s">
        <v>4513</v>
      </c>
      <c r="AN7683" t="s">
        <v>4514</v>
      </c>
      <c r="AO7683" t="s">
        <v>4514</v>
      </c>
      <c r="AP7683" t="s">
        <v>4514</v>
      </c>
      <c r="AQ7683">
        <v>1</v>
      </c>
      <c r="AR7683" t="s">
        <v>5177</v>
      </c>
      <c r="AS7683" t="s">
        <v>5178</v>
      </c>
      <c r="AT7683" t="s">
        <v>58</v>
      </c>
      <c r="AU7683" t="s">
        <v>68</v>
      </c>
      <c r="AV7683" t="s">
        <v>69</v>
      </c>
      <c r="AW7683" s="1">
        <v>24050</v>
      </c>
      <c r="AX7683">
        <v>1</v>
      </c>
    </row>
    <row r="7684" spans="1:50">
      <c r="B7684" t="str">
        <f>"139897301"</f>
        <v>139897301</v>
      </c>
      <c r="C7684" t="s">
        <v>50</v>
      </c>
      <c r="D7684" t="s">
        <v>12126</v>
      </c>
      <c r="E7684" t="s">
        <v>12127</v>
      </c>
      <c r="F7684" t="s">
        <v>72</v>
      </c>
      <c r="G7684" t="s">
        <v>1306</v>
      </c>
      <c r="H7684" t="str">
        <f>"ΚΟΜΝΗΝΩΝ  40 "</f>
        <v xml:space="preserve">ΚΟΜΝΗΝΩΝ  40 </v>
      </c>
      <c r="I7684">
        <v>65403</v>
      </c>
      <c r="J7684">
        <v>2510837576</v>
      </c>
      <c r="K7684">
        <v>6947682986</v>
      </c>
      <c r="N7684" t="s">
        <v>615</v>
      </c>
      <c r="O7684" t="s">
        <v>616</v>
      </c>
      <c r="R7684" t="s">
        <v>159</v>
      </c>
      <c r="S7684">
        <v>4</v>
      </c>
      <c r="T7684" t="s">
        <v>8675</v>
      </c>
      <c r="U7684" s="1">
        <v>43348</v>
      </c>
      <c r="V7684" t="s">
        <v>5177</v>
      </c>
      <c r="W7684" t="s">
        <v>5178</v>
      </c>
      <c r="X7684" t="s">
        <v>58</v>
      </c>
      <c r="Y7684">
        <v>24</v>
      </c>
      <c r="Z7684" t="s">
        <v>59</v>
      </c>
      <c r="AA7684" t="s">
        <v>59</v>
      </c>
      <c r="AB7684" t="s">
        <v>59</v>
      </c>
      <c r="AC7684" t="s">
        <v>59</v>
      </c>
      <c r="AD7684" t="s">
        <v>59</v>
      </c>
      <c r="AF7684" s="1">
        <v>43348</v>
      </c>
      <c r="AG7684" t="s">
        <v>8645</v>
      </c>
      <c r="AH7684" t="s">
        <v>8646</v>
      </c>
      <c r="AI7684" t="str">
        <f>"9320020"</f>
        <v>9320020</v>
      </c>
      <c r="AJ7684" t="s">
        <v>12093</v>
      </c>
      <c r="AK7684">
        <v>2842031284</v>
      </c>
      <c r="AL7684" t="s">
        <v>12094</v>
      </c>
      <c r="AM7684" t="s">
        <v>4513</v>
      </c>
      <c r="AN7684" t="s">
        <v>4519</v>
      </c>
      <c r="AO7684" t="s">
        <v>4519</v>
      </c>
      <c r="AP7684" t="s">
        <v>12090</v>
      </c>
      <c r="AQ7684">
        <v>5</v>
      </c>
      <c r="AR7684" t="s">
        <v>5177</v>
      </c>
      <c r="AS7684" t="s">
        <v>5178</v>
      </c>
      <c r="AT7684" t="s">
        <v>58</v>
      </c>
      <c r="AU7684" t="s">
        <v>8673</v>
      </c>
      <c r="AV7684" t="s">
        <v>132</v>
      </c>
      <c r="AW7684" s="1">
        <v>32471</v>
      </c>
      <c r="AX7684">
        <v>1</v>
      </c>
    </row>
    <row r="7685" spans="1:50">
      <c r="B7685" t="str">
        <f>"146440063"</f>
        <v>146440063</v>
      </c>
      <c r="C7685" t="s">
        <v>50</v>
      </c>
      <c r="D7685" t="s">
        <v>9578</v>
      </c>
      <c r="E7685" t="s">
        <v>476</v>
      </c>
      <c r="F7685" t="s">
        <v>53</v>
      </c>
      <c r="G7685" t="s">
        <v>9336</v>
      </c>
      <c r="H7685" t="str">
        <f>" "</f>
        <v xml:space="preserve"> </v>
      </c>
      <c r="N7685" t="s">
        <v>615</v>
      </c>
      <c r="O7685" t="s">
        <v>616</v>
      </c>
      <c r="R7685" t="s">
        <v>159</v>
      </c>
      <c r="S7685">
        <v>1</v>
      </c>
      <c r="T7685" t="s">
        <v>8675</v>
      </c>
      <c r="U7685" s="1">
        <v>43348</v>
      </c>
      <c r="V7685" t="s">
        <v>5177</v>
      </c>
      <c r="W7685" t="s">
        <v>5178</v>
      </c>
      <c r="X7685" t="s">
        <v>58</v>
      </c>
      <c r="Y7685">
        <v>24</v>
      </c>
      <c r="Z7685" t="s">
        <v>59</v>
      </c>
      <c r="AA7685" t="s">
        <v>59</v>
      </c>
      <c r="AB7685" t="s">
        <v>59</v>
      </c>
      <c r="AC7685" t="s">
        <v>59</v>
      </c>
      <c r="AD7685" t="s">
        <v>59</v>
      </c>
      <c r="AF7685" s="1">
        <v>43348</v>
      </c>
      <c r="AG7685" t="s">
        <v>8645</v>
      </c>
      <c r="AH7685" t="s">
        <v>8646</v>
      </c>
      <c r="AI7685" t="str">
        <f>"9320210"</f>
        <v>9320210</v>
      </c>
      <c r="AJ7685" t="s">
        <v>11890</v>
      </c>
      <c r="AK7685">
        <v>2841026705</v>
      </c>
      <c r="AL7685" t="s">
        <v>11891</v>
      </c>
      <c r="AM7685" t="s">
        <v>4513</v>
      </c>
      <c r="AN7685" t="s">
        <v>4514</v>
      </c>
      <c r="AO7685" t="s">
        <v>4514</v>
      </c>
      <c r="AP7685" t="s">
        <v>4514</v>
      </c>
      <c r="AQ7685">
        <v>1</v>
      </c>
      <c r="AR7685" t="s">
        <v>5177</v>
      </c>
      <c r="AS7685" t="s">
        <v>5178</v>
      </c>
      <c r="AT7685" t="s">
        <v>58</v>
      </c>
      <c r="AU7685" t="s">
        <v>8673</v>
      </c>
      <c r="AV7685" t="s">
        <v>132</v>
      </c>
      <c r="AW7685" s="1">
        <v>32944</v>
      </c>
      <c r="AX7685">
        <v>1</v>
      </c>
    </row>
    <row r="7686" spans="1:50">
      <c r="B7686" t="str">
        <f>"147315133"</f>
        <v>147315133</v>
      </c>
      <c r="C7686" t="s">
        <v>50</v>
      </c>
      <c r="D7686" t="s">
        <v>4787</v>
      </c>
      <c r="E7686" t="s">
        <v>1306</v>
      </c>
      <c r="F7686" t="s">
        <v>1543</v>
      </c>
      <c r="G7686" t="s">
        <v>610</v>
      </c>
      <c r="H7686" t="str">
        <f>"ΚΑΣΤΡΙΣΙΑΝΑΚΗ 33 "</f>
        <v xml:space="preserve">ΚΑΣΤΡΙΣΙΑΝΑΚΗ 33 </v>
      </c>
      <c r="I7686">
        <v>53100</v>
      </c>
      <c r="J7686">
        <v>2385026462</v>
      </c>
      <c r="K7686">
        <v>6936633089</v>
      </c>
      <c r="N7686" t="s">
        <v>8694</v>
      </c>
      <c r="O7686" t="s">
        <v>8695</v>
      </c>
      <c r="R7686" t="s">
        <v>159</v>
      </c>
      <c r="S7686">
        <v>5</v>
      </c>
      <c r="T7686" t="s">
        <v>8696</v>
      </c>
      <c r="U7686" s="1">
        <v>43348</v>
      </c>
      <c r="V7686" t="s">
        <v>5177</v>
      </c>
      <c r="W7686" t="s">
        <v>5178</v>
      </c>
      <c r="X7686" t="s">
        <v>58</v>
      </c>
      <c r="Y7686">
        <v>25</v>
      </c>
      <c r="Z7686" t="s">
        <v>59</v>
      </c>
      <c r="AA7686" t="s">
        <v>59</v>
      </c>
      <c r="AB7686" t="s">
        <v>59</v>
      </c>
      <c r="AC7686" t="s">
        <v>59</v>
      </c>
      <c r="AD7686" t="s">
        <v>59</v>
      </c>
      <c r="AF7686" s="1">
        <v>43348</v>
      </c>
      <c r="AG7686" t="s">
        <v>8645</v>
      </c>
      <c r="AH7686" t="s">
        <v>8697</v>
      </c>
      <c r="AI7686" t="str">
        <f>"9320213"</f>
        <v>9320213</v>
      </c>
      <c r="AJ7686" t="s">
        <v>11911</v>
      </c>
      <c r="AK7686">
        <v>2842089087</v>
      </c>
      <c r="AL7686" t="s">
        <v>11912</v>
      </c>
      <c r="AM7686" t="s">
        <v>4513</v>
      </c>
      <c r="AN7686" t="s">
        <v>4519</v>
      </c>
      <c r="AO7686" t="s">
        <v>4519</v>
      </c>
      <c r="AP7686" t="s">
        <v>4519</v>
      </c>
      <c r="AQ7686">
        <v>4</v>
      </c>
      <c r="AR7686" t="s">
        <v>5177</v>
      </c>
      <c r="AS7686" t="s">
        <v>5178</v>
      </c>
      <c r="AT7686" t="s">
        <v>58</v>
      </c>
      <c r="AU7686" t="s">
        <v>350</v>
      </c>
      <c r="AV7686" t="s">
        <v>132</v>
      </c>
      <c r="AW7686" s="1">
        <v>32596</v>
      </c>
      <c r="AX7686">
        <v>1</v>
      </c>
    </row>
    <row r="7687" spans="1:50">
      <c r="B7687" t="str">
        <f>"141920948"</f>
        <v>141920948</v>
      </c>
      <c r="C7687" t="s">
        <v>50</v>
      </c>
      <c r="D7687" t="s">
        <v>12128</v>
      </c>
      <c r="E7687" t="s">
        <v>250</v>
      </c>
      <c r="F7687" t="s">
        <v>309</v>
      </c>
      <c r="G7687" t="s">
        <v>215</v>
      </c>
      <c r="H7687" t="str">
        <f>"ΜΑΙΑΝΔΡΟΥ 70Α ΝΕΑ ΙΩΝΙΑ ΜΑΓΝΗΣΙΑΣ"</f>
        <v>ΜΑΙΑΝΔΡΟΥ 70Α ΝΕΑ ΙΩΝΙΑ ΜΑΓΝΗΣΙΑΣ</v>
      </c>
      <c r="I7687">
        <v>38445</v>
      </c>
      <c r="J7687">
        <v>2421065487</v>
      </c>
      <c r="K7687">
        <v>6976392432</v>
      </c>
      <c r="M7687" t="s">
        <v>12129</v>
      </c>
      <c r="N7687" t="s">
        <v>615</v>
      </c>
      <c r="O7687" t="s">
        <v>616</v>
      </c>
      <c r="R7687" t="s">
        <v>159</v>
      </c>
      <c r="S7687">
        <v>5</v>
      </c>
      <c r="T7687" t="s">
        <v>8675</v>
      </c>
      <c r="U7687" s="1">
        <v>43348</v>
      </c>
      <c r="V7687" t="s">
        <v>5177</v>
      </c>
      <c r="W7687" t="s">
        <v>5178</v>
      </c>
      <c r="X7687" t="s">
        <v>58</v>
      </c>
      <c r="Y7687">
        <v>24</v>
      </c>
      <c r="Z7687" t="s">
        <v>59</v>
      </c>
      <c r="AA7687" t="s">
        <v>59</v>
      </c>
      <c r="AB7687" t="s">
        <v>59</v>
      </c>
      <c r="AC7687" t="s">
        <v>59</v>
      </c>
      <c r="AD7687" t="s">
        <v>59</v>
      </c>
      <c r="AF7687" s="1">
        <v>43348</v>
      </c>
      <c r="AG7687" t="s">
        <v>8645</v>
      </c>
      <c r="AH7687" t="s">
        <v>8646</v>
      </c>
      <c r="AI7687" t="str">
        <f>"9320005"</f>
        <v>9320005</v>
      </c>
      <c r="AJ7687" t="s">
        <v>12004</v>
      </c>
      <c r="AK7687">
        <v>2842022202</v>
      </c>
      <c r="AL7687" t="s">
        <v>12005</v>
      </c>
      <c r="AM7687" t="s">
        <v>4513</v>
      </c>
      <c r="AN7687" t="s">
        <v>4519</v>
      </c>
      <c r="AO7687" t="s">
        <v>4519</v>
      </c>
      <c r="AP7687" t="s">
        <v>4519</v>
      </c>
      <c r="AQ7687">
        <v>4</v>
      </c>
      <c r="AR7687" t="s">
        <v>5177</v>
      </c>
      <c r="AS7687" t="s">
        <v>5178</v>
      </c>
      <c r="AT7687" t="s">
        <v>58</v>
      </c>
      <c r="AU7687" t="s">
        <v>8673</v>
      </c>
      <c r="AV7687" t="s">
        <v>132</v>
      </c>
      <c r="AW7687" s="1">
        <v>32559</v>
      </c>
      <c r="AX7687">
        <v>1</v>
      </c>
    </row>
    <row r="7688" spans="1:50">
      <c r="A7688">
        <v>545022</v>
      </c>
      <c r="B7688" t="str">
        <f>"110393373"</f>
        <v>110393373</v>
      </c>
      <c r="C7688" t="s">
        <v>50</v>
      </c>
      <c r="D7688" t="s">
        <v>12130</v>
      </c>
      <c r="E7688" t="s">
        <v>714</v>
      </c>
      <c r="F7688" t="s">
        <v>95</v>
      </c>
      <c r="G7688" t="s">
        <v>255</v>
      </c>
      <c r="H7688" t="str">
        <f>"ΣΜΥΡΝΗΣ 12 ΣΗΤΕΙΑ"</f>
        <v>ΣΜΥΡΝΗΣ 12 ΣΗΤΕΙΑ</v>
      </c>
      <c r="I7688">
        <v>72300</v>
      </c>
      <c r="N7688" t="s">
        <v>1525</v>
      </c>
      <c r="O7688" t="s">
        <v>1526</v>
      </c>
      <c r="R7688" t="s">
        <v>57</v>
      </c>
      <c r="S7688">
        <v>19</v>
      </c>
      <c r="T7688">
        <v>298</v>
      </c>
      <c r="U7688" s="1">
        <v>29503</v>
      </c>
      <c r="V7688" t="s">
        <v>5177</v>
      </c>
      <c r="W7688" t="s">
        <v>5178</v>
      </c>
      <c r="X7688" t="s">
        <v>58</v>
      </c>
      <c r="Y7688">
        <v>25</v>
      </c>
      <c r="Z7688" t="s">
        <v>59</v>
      </c>
      <c r="AA7688" t="s">
        <v>59</v>
      </c>
      <c r="AB7688" t="s">
        <v>59</v>
      </c>
      <c r="AC7688" t="s">
        <v>59</v>
      </c>
      <c r="AD7688" t="s">
        <v>59</v>
      </c>
      <c r="AF7688" s="1">
        <v>29509</v>
      </c>
      <c r="AG7688" t="s">
        <v>8651</v>
      </c>
      <c r="AH7688" t="s">
        <v>8652</v>
      </c>
      <c r="AI7688" t="str">
        <f>"9320122"</f>
        <v>9320122</v>
      </c>
      <c r="AJ7688" t="s">
        <v>12131</v>
      </c>
      <c r="AK7688">
        <v>2843028504</v>
      </c>
      <c r="AL7688" t="s">
        <v>12132</v>
      </c>
      <c r="AM7688" t="s">
        <v>4513</v>
      </c>
      <c r="AN7688" t="s">
        <v>4540</v>
      </c>
      <c r="AO7688" t="s">
        <v>4540</v>
      </c>
      <c r="AP7688" t="s">
        <v>11908</v>
      </c>
      <c r="AQ7688">
        <v>8</v>
      </c>
      <c r="AR7688" t="s">
        <v>5177</v>
      </c>
      <c r="AS7688" t="s">
        <v>5178</v>
      </c>
      <c r="AT7688" t="s">
        <v>58</v>
      </c>
      <c r="AU7688" t="s">
        <v>68</v>
      </c>
      <c r="AV7688" t="s">
        <v>69</v>
      </c>
      <c r="AW7688" s="1">
        <v>21206</v>
      </c>
      <c r="AX7688">
        <v>1</v>
      </c>
    </row>
    <row r="7689" spans="1:50">
      <c r="A7689">
        <v>702073</v>
      </c>
      <c r="B7689" t="str">
        <f>"124012659"</f>
        <v>124012659</v>
      </c>
      <c r="C7689" t="s">
        <v>50</v>
      </c>
      <c r="D7689" t="s">
        <v>1350</v>
      </c>
      <c r="E7689" t="s">
        <v>143</v>
      </c>
      <c r="F7689" t="s">
        <v>166</v>
      </c>
      <c r="G7689" t="s">
        <v>52</v>
      </c>
      <c r="H7689" t="str">
        <f>"ΑΝ. ΠΑΠΑΝΔΡΕΟΥ 53 ΑΓ ΝΙΚΟΛΑΟΣ"</f>
        <v>ΑΝ. ΠΑΠΑΝΔΡΕΟΥ 53 ΑΓ ΝΙΚΟΛΑΟΣ</v>
      </c>
      <c r="I7689">
        <v>72100</v>
      </c>
      <c r="J7689">
        <v>2841026348</v>
      </c>
      <c r="K7689">
        <v>6981164164</v>
      </c>
      <c r="N7689" t="s">
        <v>615</v>
      </c>
      <c r="O7689" t="s">
        <v>616</v>
      </c>
      <c r="R7689" t="s">
        <v>57</v>
      </c>
      <c r="S7689">
        <v>6</v>
      </c>
      <c r="T7689">
        <v>727</v>
      </c>
      <c r="U7689" s="1">
        <v>40418</v>
      </c>
      <c r="V7689" t="s">
        <v>5177</v>
      </c>
      <c r="W7689" t="s">
        <v>5178</v>
      </c>
      <c r="X7689" t="s">
        <v>58</v>
      </c>
      <c r="Y7689">
        <v>24</v>
      </c>
      <c r="Z7689" t="s">
        <v>59</v>
      </c>
      <c r="AA7689" t="s">
        <v>59</v>
      </c>
      <c r="AB7689" t="s">
        <v>59</v>
      </c>
      <c r="AC7689" t="s">
        <v>59</v>
      </c>
      <c r="AD7689" t="s">
        <v>59</v>
      </c>
      <c r="AF7689" s="1">
        <v>40418</v>
      </c>
      <c r="AG7689" t="s">
        <v>8645</v>
      </c>
      <c r="AH7689" t="s">
        <v>8646</v>
      </c>
      <c r="AI7689" t="str">
        <f>"9320138"</f>
        <v>9320138</v>
      </c>
      <c r="AJ7689" t="s">
        <v>11915</v>
      </c>
      <c r="AK7689">
        <v>2841022104</v>
      </c>
      <c r="AL7689" t="s">
        <v>11916</v>
      </c>
      <c r="AM7689" t="s">
        <v>4513</v>
      </c>
      <c r="AN7689" t="s">
        <v>4514</v>
      </c>
      <c r="AO7689" t="s">
        <v>4514</v>
      </c>
      <c r="AP7689" t="s">
        <v>4514</v>
      </c>
      <c r="AQ7689">
        <v>1</v>
      </c>
      <c r="AR7689" t="s">
        <v>5177</v>
      </c>
      <c r="AS7689" t="s">
        <v>5178</v>
      </c>
      <c r="AT7689" t="s">
        <v>58</v>
      </c>
      <c r="AU7689" t="s">
        <v>68</v>
      </c>
      <c r="AV7689" t="s">
        <v>69</v>
      </c>
      <c r="AW7689" s="1">
        <v>31668</v>
      </c>
      <c r="AX7689">
        <v>1</v>
      </c>
    </row>
    <row r="7690" spans="1:50">
      <c r="A7690">
        <v>622919</v>
      </c>
      <c r="B7690" t="str">
        <f>"064941427"</f>
        <v>064941427</v>
      </c>
      <c r="C7690" t="s">
        <v>50</v>
      </c>
      <c r="D7690" t="s">
        <v>1350</v>
      </c>
      <c r="E7690" t="s">
        <v>109</v>
      </c>
      <c r="F7690" t="s">
        <v>95</v>
      </c>
      <c r="G7690" t="s">
        <v>52</v>
      </c>
      <c r="H7690" t="str">
        <f>"Δ.ΠΑΠΑΔΑΚΗ 2Α ΣΗΤΕΙΑ "</f>
        <v xml:space="preserve">Δ.ΠΑΠΑΔΑΚΗ 2Α ΣΗΤΕΙΑ </v>
      </c>
      <c r="I7690">
        <v>72300</v>
      </c>
      <c r="J7690">
        <v>2843026456</v>
      </c>
      <c r="K7690">
        <v>6974455596</v>
      </c>
      <c r="N7690" t="s">
        <v>306</v>
      </c>
      <c r="O7690" t="s">
        <v>307</v>
      </c>
      <c r="R7690" t="s">
        <v>57</v>
      </c>
      <c r="S7690">
        <v>5</v>
      </c>
      <c r="T7690">
        <v>720</v>
      </c>
      <c r="U7690" s="1">
        <v>40059</v>
      </c>
      <c r="V7690" t="s">
        <v>5177</v>
      </c>
      <c r="W7690" t="s">
        <v>5178</v>
      </c>
      <c r="X7690" t="s">
        <v>58</v>
      </c>
      <c r="Y7690">
        <v>23</v>
      </c>
      <c r="Z7690" t="s">
        <v>59</v>
      </c>
      <c r="AA7690" t="s">
        <v>59</v>
      </c>
      <c r="AB7690" t="s">
        <v>59</v>
      </c>
      <c r="AC7690" t="s">
        <v>59</v>
      </c>
      <c r="AD7690" t="s">
        <v>59</v>
      </c>
      <c r="AF7690" s="1">
        <v>40063</v>
      </c>
      <c r="AG7690" t="s">
        <v>8645</v>
      </c>
      <c r="AH7690" t="s">
        <v>8646</v>
      </c>
      <c r="AI7690" t="str">
        <f>"9320205"</f>
        <v>9320205</v>
      </c>
      <c r="AJ7690" t="s">
        <v>11902</v>
      </c>
      <c r="AK7690">
        <v>2843024509</v>
      </c>
      <c r="AL7690" t="s">
        <v>11903</v>
      </c>
      <c r="AM7690" t="s">
        <v>4513</v>
      </c>
      <c r="AN7690" t="s">
        <v>4540</v>
      </c>
      <c r="AO7690" t="s">
        <v>4540</v>
      </c>
      <c r="AP7690" t="s">
        <v>4540</v>
      </c>
      <c r="AQ7690">
        <v>8</v>
      </c>
      <c r="AR7690" t="s">
        <v>5177</v>
      </c>
      <c r="AS7690" t="s">
        <v>5178</v>
      </c>
      <c r="AT7690" t="s">
        <v>58</v>
      </c>
      <c r="AU7690" t="s">
        <v>68</v>
      </c>
      <c r="AV7690" t="s">
        <v>69</v>
      </c>
      <c r="AW7690" s="1">
        <v>28911</v>
      </c>
      <c r="AX7690">
        <v>1</v>
      </c>
    </row>
    <row r="7691" spans="1:50">
      <c r="A7691">
        <v>216776</v>
      </c>
      <c r="B7691" t="str">
        <f>"049349675"</f>
        <v>049349675</v>
      </c>
      <c r="C7691" t="s">
        <v>50</v>
      </c>
      <c r="D7691" t="s">
        <v>1354</v>
      </c>
      <c r="E7691" t="s">
        <v>868</v>
      </c>
      <c r="F7691" t="s">
        <v>166</v>
      </c>
      <c r="G7691" t="s">
        <v>255</v>
      </c>
      <c r="H7691" t="str">
        <f>" "</f>
        <v xml:space="preserve"> </v>
      </c>
      <c r="J7691">
        <v>2843023954</v>
      </c>
      <c r="K7691">
        <v>6979553769</v>
      </c>
      <c r="N7691" t="s">
        <v>306</v>
      </c>
      <c r="O7691" t="s">
        <v>307</v>
      </c>
      <c r="R7691" t="s">
        <v>57</v>
      </c>
      <c r="S7691">
        <v>6</v>
      </c>
      <c r="T7691">
        <v>298</v>
      </c>
      <c r="U7691" s="1">
        <v>38985</v>
      </c>
      <c r="V7691" t="s">
        <v>5177</v>
      </c>
      <c r="W7691" t="s">
        <v>5178</v>
      </c>
      <c r="X7691" t="s">
        <v>58</v>
      </c>
      <c r="Y7691">
        <v>23</v>
      </c>
      <c r="Z7691" t="s">
        <v>59</v>
      </c>
      <c r="AA7691" t="s">
        <v>59</v>
      </c>
      <c r="AB7691" t="s">
        <v>59</v>
      </c>
      <c r="AC7691" t="s">
        <v>59</v>
      </c>
      <c r="AD7691" t="s">
        <v>59</v>
      </c>
      <c r="AF7691" s="1">
        <v>38987</v>
      </c>
      <c r="AG7691" t="s">
        <v>8645</v>
      </c>
      <c r="AH7691" t="s">
        <v>8646</v>
      </c>
      <c r="AI7691" t="str">
        <f>"9520629"</f>
        <v>9520629</v>
      </c>
      <c r="AJ7691" t="s">
        <v>11976</v>
      </c>
      <c r="AK7691">
        <v>2843026678</v>
      </c>
      <c r="AL7691" t="s">
        <v>11977</v>
      </c>
      <c r="AM7691" t="s">
        <v>4513</v>
      </c>
      <c r="AN7691" t="s">
        <v>4540</v>
      </c>
      <c r="AO7691" t="s">
        <v>4540</v>
      </c>
      <c r="AP7691" t="s">
        <v>4540</v>
      </c>
      <c r="AQ7691">
        <v>8</v>
      </c>
      <c r="AR7691" t="s">
        <v>5177</v>
      </c>
      <c r="AS7691" t="s">
        <v>5178</v>
      </c>
      <c r="AT7691" t="s">
        <v>58</v>
      </c>
      <c r="AU7691" t="s">
        <v>68</v>
      </c>
      <c r="AV7691" t="s">
        <v>69</v>
      </c>
      <c r="AW7691" s="1">
        <v>29432</v>
      </c>
      <c r="AX7691">
        <v>1</v>
      </c>
    </row>
    <row r="7692" spans="1:50">
      <c r="A7692">
        <v>608518</v>
      </c>
      <c r="B7692" t="str">
        <f>"113498023"</f>
        <v>113498023</v>
      </c>
      <c r="C7692" t="s">
        <v>50</v>
      </c>
      <c r="D7692" t="s">
        <v>9622</v>
      </c>
      <c r="E7692" t="s">
        <v>699</v>
      </c>
      <c r="F7692" t="s">
        <v>1868</v>
      </c>
      <c r="G7692" t="s">
        <v>1902</v>
      </c>
      <c r="H7692" t="str">
        <f>"ΚΑΛΗΜΕΡΑΚΗ 46 ΙΕΡΑΠΕΤΡΑ"</f>
        <v>ΚΑΛΗΜΕΡΑΚΗ 46 ΙΕΡΑΠΕΤΡΑ</v>
      </c>
      <c r="I7692">
        <v>72200</v>
      </c>
      <c r="J7692">
        <v>2842023918</v>
      </c>
      <c r="K7692">
        <v>6974661905</v>
      </c>
      <c r="N7692" t="s">
        <v>1525</v>
      </c>
      <c r="O7692" t="s">
        <v>1526</v>
      </c>
      <c r="R7692" t="s">
        <v>57</v>
      </c>
      <c r="S7692">
        <v>9</v>
      </c>
      <c r="T7692" t="s">
        <v>10441</v>
      </c>
      <c r="U7692" s="1">
        <v>38600</v>
      </c>
      <c r="V7692" t="s">
        <v>5177</v>
      </c>
      <c r="W7692" t="s">
        <v>5178</v>
      </c>
      <c r="X7692" t="s">
        <v>58</v>
      </c>
      <c r="Y7692">
        <v>25</v>
      </c>
      <c r="Z7692" t="s">
        <v>59</v>
      </c>
      <c r="AA7692" t="s">
        <v>59</v>
      </c>
      <c r="AB7692" t="s">
        <v>59</v>
      </c>
      <c r="AC7692" t="s">
        <v>59</v>
      </c>
      <c r="AD7692" t="s">
        <v>59</v>
      </c>
      <c r="AF7692" s="1">
        <v>38600</v>
      </c>
      <c r="AG7692" t="s">
        <v>8651</v>
      </c>
      <c r="AH7692" t="s">
        <v>9015</v>
      </c>
      <c r="AI7692" t="str">
        <f>"9320221"</f>
        <v>9320221</v>
      </c>
      <c r="AJ7692" t="s">
        <v>12133</v>
      </c>
      <c r="AK7692">
        <v>2842089087</v>
      </c>
      <c r="AL7692" t="s">
        <v>12134</v>
      </c>
      <c r="AM7692" t="s">
        <v>4513</v>
      </c>
      <c r="AN7692" t="s">
        <v>4519</v>
      </c>
      <c r="AO7692" t="s">
        <v>4519</v>
      </c>
      <c r="AP7692" t="s">
        <v>4519</v>
      </c>
      <c r="AQ7692">
        <v>4</v>
      </c>
      <c r="AR7692" t="s">
        <v>5177</v>
      </c>
      <c r="AS7692" t="s">
        <v>5178</v>
      </c>
      <c r="AT7692" t="s">
        <v>58</v>
      </c>
      <c r="AU7692" t="s">
        <v>68</v>
      </c>
      <c r="AV7692" t="s">
        <v>69</v>
      </c>
      <c r="AW7692" s="1">
        <v>28126</v>
      </c>
      <c r="AX7692">
        <v>1</v>
      </c>
    </row>
    <row r="7693" spans="1:50">
      <c r="A7693">
        <v>603396</v>
      </c>
      <c r="B7693" t="str">
        <f>"074862315"</f>
        <v>074862315</v>
      </c>
      <c r="C7693" t="s">
        <v>50</v>
      </c>
      <c r="D7693" t="s">
        <v>1371</v>
      </c>
      <c r="E7693" t="s">
        <v>215</v>
      </c>
      <c r="F7693" t="s">
        <v>166</v>
      </c>
      <c r="G7693" t="s">
        <v>250</v>
      </c>
      <c r="H7693" t="str">
        <f>" ΣΗΤΕΙΑΣ"</f>
        <v xml:space="preserve"> ΣΗΤΕΙΑΣ</v>
      </c>
      <c r="I7693">
        <v>72300</v>
      </c>
      <c r="J7693">
        <v>2843022225</v>
      </c>
      <c r="K7693">
        <v>6977224949</v>
      </c>
      <c r="L7693">
        <v>2843020594</v>
      </c>
      <c r="N7693" t="s">
        <v>176</v>
      </c>
      <c r="O7693" t="s">
        <v>177</v>
      </c>
      <c r="R7693" t="s">
        <v>57</v>
      </c>
      <c r="S7693">
        <v>7</v>
      </c>
      <c r="T7693">
        <v>206</v>
      </c>
      <c r="U7693" s="1">
        <v>37866</v>
      </c>
      <c r="V7693" t="s">
        <v>5177</v>
      </c>
      <c r="W7693" t="s">
        <v>5178</v>
      </c>
      <c r="X7693" t="s">
        <v>58</v>
      </c>
      <c r="Y7693">
        <v>22</v>
      </c>
      <c r="Z7693" t="s">
        <v>59</v>
      </c>
      <c r="AA7693" t="s">
        <v>59</v>
      </c>
      <c r="AB7693" t="s">
        <v>59</v>
      </c>
      <c r="AC7693" t="s">
        <v>59</v>
      </c>
      <c r="AD7693" t="s">
        <v>59</v>
      </c>
      <c r="AF7693" s="1">
        <v>37866</v>
      </c>
      <c r="AG7693" t="s">
        <v>8645</v>
      </c>
      <c r="AH7693" t="s">
        <v>8646</v>
      </c>
      <c r="AI7693" t="str">
        <f>"9320093"</f>
        <v>9320093</v>
      </c>
      <c r="AJ7693" t="s">
        <v>11967</v>
      </c>
      <c r="AK7693">
        <v>2843025130</v>
      </c>
      <c r="AL7693" t="s">
        <v>11968</v>
      </c>
      <c r="AM7693" t="s">
        <v>4513</v>
      </c>
      <c r="AN7693" t="s">
        <v>4540</v>
      </c>
      <c r="AO7693" t="s">
        <v>4540</v>
      </c>
      <c r="AP7693" t="s">
        <v>4540</v>
      </c>
      <c r="AQ7693">
        <v>8</v>
      </c>
      <c r="AR7693" t="s">
        <v>5177</v>
      </c>
      <c r="AS7693" t="s">
        <v>5178</v>
      </c>
      <c r="AT7693" t="s">
        <v>58</v>
      </c>
      <c r="AU7693" t="s">
        <v>68</v>
      </c>
      <c r="AV7693" t="s">
        <v>69</v>
      </c>
      <c r="AW7693" s="1">
        <v>25845</v>
      </c>
      <c r="AX7693">
        <v>1</v>
      </c>
    </row>
    <row r="7694" spans="1:50">
      <c r="A7694">
        <v>586248</v>
      </c>
      <c r="B7694" t="str">
        <f>"037815177"</f>
        <v>037815177</v>
      </c>
      <c r="C7694" t="s">
        <v>50</v>
      </c>
      <c r="D7694" t="s">
        <v>9629</v>
      </c>
      <c r="E7694" t="s">
        <v>1155</v>
      </c>
      <c r="F7694" t="s">
        <v>166</v>
      </c>
      <c r="G7694" t="s">
        <v>83</v>
      </c>
      <c r="H7694" t="str">
        <f>"ΣΑΚΚΑΔΑΚΗ 21 ΣΗΤΕΙΑ"</f>
        <v>ΣΑΚΚΑΔΑΚΗ 21 ΣΗΤΕΙΑ</v>
      </c>
      <c r="I7694">
        <v>72300</v>
      </c>
      <c r="J7694">
        <v>2843026481</v>
      </c>
      <c r="K7694">
        <v>6977916166</v>
      </c>
      <c r="N7694" t="s">
        <v>615</v>
      </c>
      <c r="O7694" t="s">
        <v>616</v>
      </c>
      <c r="R7694" t="s">
        <v>57</v>
      </c>
      <c r="S7694">
        <v>11</v>
      </c>
      <c r="T7694">
        <v>165</v>
      </c>
      <c r="U7694" s="1">
        <v>36040</v>
      </c>
      <c r="V7694" t="s">
        <v>5177</v>
      </c>
      <c r="W7694" t="s">
        <v>5178</v>
      </c>
      <c r="X7694" t="s">
        <v>58</v>
      </c>
      <c r="Y7694">
        <v>21</v>
      </c>
      <c r="Z7694" t="s">
        <v>59</v>
      </c>
      <c r="AA7694" t="s">
        <v>59</v>
      </c>
      <c r="AB7694" t="s">
        <v>59</v>
      </c>
      <c r="AC7694" t="s">
        <v>59</v>
      </c>
      <c r="AD7694" t="s">
        <v>59</v>
      </c>
      <c r="AF7694" s="1">
        <v>36045</v>
      </c>
      <c r="AG7694" t="s">
        <v>8645</v>
      </c>
      <c r="AH7694" t="s">
        <v>8646</v>
      </c>
      <c r="AI7694" t="str">
        <f>"9520629"</f>
        <v>9520629</v>
      </c>
      <c r="AJ7694" t="s">
        <v>11976</v>
      </c>
      <c r="AK7694">
        <v>2843026678</v>
      </c>
      <c r="AL7694" t="s">
        <v>11977</v>
      </c>
      <c r="AM7694" t="s">
        <v>4513</v>
      </c>
      <c r="AN7694" t="s">
        <v>4540</v>
      </c>
      <c r="AO7694" t="s">
        <v>4540</v>
      </c>
      <c r="AP7694" t="s">
        <v>4540</v>
      </c>
      <c r="AQ7694">
        <v>8</v>
      </c>
      <c r="AR7694" t="s">
        <v>5177</v>
      </c>
      <c r="AS7694" t="s">
        <v>5178</v>
      </c>
      <c r="AT7694" t="s">
        <v>58</v>
      </c>
      <c r="AU7694" t="s">
        <v>68</v>
      </c>
      <c r="AV7694" t="s">
        <v>69</v>
      </c>
      <c r="AW7694" s="1">
        <v>25198</v>
      </c>
      <c r="AX7694">
        <v>1</v>
      </c>
    </row>
    <row r="7695" spans="1:50">
      <c r="A7695">
        <v>549876</v>
      </c>
      <c r="B7695" t="str">
        <f>"027161354"</f>
        <v>027161354</v>
      </c>
      <c r="C7695" t="s">
        <v>105</v>
      </c>
      <c r="D7695" t="s">
        <v>12135</v>
      </c>
      <c r="E7695" t="s">
        <v>72</v>
      </c>
      <c r="F7695" t="s">
        <v>53</v>
      </c>
      <c r="G7695" t="s">
        <v>255</v>
      </c>
      <c r="H7695" t="str">
        <f>"ΤΖΙΒΕΡΙ "</f>
        <v xml:space="preserve">ΤΖΙΒΕΡΙ </v>
      </c>
      <c r="I7695">
        <v>72200</v>
      </c>
      <c r="J7695">
        <v>2842026808</v>
      </c>
      <c r="M7695" t="s">
        <v>12136</v>
      </c>
      <c r="N7695" t="s">
        <v>615</v>
      </c>
      <c r="O7695" t="s">
        <v>616</v>
      </c>
      <c r="R7695" t="s">
        <v>57</v>
      </c>
      <c r="S7695">
        <v>17</v>
      </c>
      <c r="T7695">
        <v>281</v>
      </c>
      <c r="U7695" s="1">
        <v>30558</v>
      </c>
      <c r="V7695" t="s">
        <v>5177</v>
      </c>
      <c r="W7695" t="s">
        <v>5178</v>
      </c>
      <c r="X7695" t="s">
        <v>58</v>
      </c>
      <c r="Y7695">
        <v>21</v>
      </c>
      <c r="Z7695" t="s">
        <v>59</v>
      </c>
      <c r="AA7695" t="s">
        <v>59</v>
      </c>
      <c r="AB7695" t="s">
        <v>59</v>
      </c>
      <c r="AC7695" t="s">
        <v>59</v>
      </c>
      <c r="AD7695" t="s">
        <v>59</v>
      </c>
      <c r="AF7695" s="1">
        <v>30568</v>
      </c>
      <c r="AG7695" t="s">
        <v>8645</v>
      </c>
      <c r="AH7695" t="s">
        <v>8646</v>
      </c>
      <c r="AI7695" t="str">
        <f>"9320021"</f>
        <v>9320021</v>
      </c>
      <c r="AJ7695" t="s">
        <v>11956</v>
      </c>
      <c r="AK7695">
        <v>2842022557</v>
      </c>
      <c r="AL7695" t="s">
        <v>11957</v>
      </c>
      <c r="AM7695" t="s">
        <v>4513</v>
      </c>
      <c r="AN7695" t="s">
        <v>4519</v>
      </c>
      <c r="AO7695" t="s">
        <v>4519</v>
      </c>
      <c r="AP7695" t="s">
        <v>4519</v>
      </c>
      <c r="AQ7695">
        <v>5</v>
      </c>
      <c r="AR7695" t="s">
        <v>5177</v>
      </c>
      <c r="AS7695" t="s">
        <v>5178</v>
      </c>
      <c r="AT7695" t="s">
        <v>58</v>
      </c>
      <c r="AU7695" t="s">
        <v>68</v>
      </c>
      <c r="AV7695" t="s">
        <v>69</v>
      </c>
      <c r="AW7695" s="1">
        <v>21890</v>
      </c>
      <c r="AX7695">
        <v>1</v>
      </c>
    </row>
    <row r="7696" spans="1:50">
      <c r="A7696">
        <v>585732</v>
      </c>
      <c r="B7696" t="str">
        <f>"044248469"</f>
        <v>044248469</v>
      </c>
      <c r="C7696" t="s">
        <v>50</v>
      </c>
      <c r="D7696" t="s">
        <v>12137</v>
      </c>
      <c r="E7696" t="s">
        <v>476</v>
      </c>
      <c r="F7696" t="s">
        <v>95</v>
      </c>
      <c r="G7696" t="s">
        <v>96</v>
      </c>
      <c r="H7696" t="str">
        <f>"ΕΜΜ. ΛΑΜΠΡΑΚΗ 48 ΙΕΡΑΠΕΤΡΑ"</f>
        <v>ΕΜΜ. ΛΑΜΠΡΑΚΗ 48 ΙΕΡΑΠΕΤΡΑ</v>
      </c>
      <c r="I7696">
        <v>72200</v>
      </c>
      <c r="J7696">
        <v>2842025631</v>
      </c>
      <c r="N7696" t="s">
        <v>615</v>
      </c>
      <c r="O7696" t="s">
        <v>616</v>
      </c>
      <c r="R7696" t="s">
        <v>57</v>
      </c>
      <c r="S7696">
        <v>11</v>
      </c>
      <c r="T7696">
        <v>165</v>
      </c>
      <c r="U7696" s="1">
        <v>36040</v>
      </c>
      <c r="V7696" t="s">
        <v>5177</v>
      </c>
      <c r="W7696" t="s">
        <v>5178</v>
      </c>
      <c r="X7696" t="s">
        <v>58</v>
      </c>
      <c r="Y7696">
        <v>21</v>
      </c>
      <c r="Z7696" t="s">
        <v>59</v>
      </c>
      <c r="AA7696" t="s">
        <v>59</v>
      </c>
      <c r="AB7696" t="s">
        <v>59</v>
      </c>
      <c r="AC7696" t="s">
        <v>59</v>
      </c>
      <c r="AD7696" t="s">
        <v>59</v>
      </c>
      <c r="AF7696" s="1">
        <v>36045</v>
      </c>
      <c r="AG7696" t="s">
        <v>8645</v>
      </c>
      <c r="AH7696" t="s">
        <v>8646</v>
      </c>
      <c r="AI7696" t="str">
        <f>"9320006"</f>
        <v>9320006</v>
      </c>
      <c r="AJ7696" t="s">
        <v>11919</v>
      </c>
      <c r="AK7696">
        <v>2842022359</v>
      </c>
      <c r="AL7696" t="s">
        <v>11920</v>
      </c>
      <c r="AM7696" t="s">
        <v>4513</v>
      </c>
      <c r="AN7696" t="s">
        <v>4519</v>
      </c>
      <c r="AO7696" t="s">
        <v>4519</v>
      </c>
      <c r="AP7696" t="s">
        <v>4519</v>
      </c>
      <c r="AQ7696">
        <v>4</v>
      </c>
      <c r="AR7696" t="s">
        <v>5177</v>
      </c>
      <c r="AS7696" t="s">
        <v>5178</v>
      </c>
      <c r="AT7696" t="s">
        <v>58</v>
      </c>
      <c r="AU7696" t="s">
        <v>68</v>
      </c>
      <c r="AV7696" t="s">
        <v>69</v>
      </c>
      <c r="AW7696" s="1">
        <v>24786</v>
      </c>
      <c r="AX7696">
        <v>1</v>
      </c>
    </row>
    <row r="7697" spans="1:50">
      <c r="B7697" t="str">
        <f>"110381104"</f>
        <v>110381104</v>
      </c>
      <c r="C7697" t="s">
        <v>50</v>
      </c>
      <c r="D7697" t="s">
        <v>12138</v>
      </c>
      <c r="E7697" t="s">
        <v>620</v>
      </c>
      <c r="F7697" t="s">
        <v>53</v>
      </c>
      <c r="G7697" t="s">
        <v>541</v>
      </c>
      <c r="H7697" t="str">
        <f>"ΠΙΣΚΟΚΕΦΑΛΟ ΣΗΤΕΙΑ ΛΑΣΙΘΙΟΥ"</f>
        <v>ΠΙΣΚΟΚΕΦΑΛΟ ΣΗΤΕΙΑ ΛΑΣΙΘΙΟΥ</v>
      </c>
      <c r="I7697">
        <v>72300</v>
      </c>
      <c r="J7697">
        <v>2843023190</v>
      </c>
      <c r="K7697">
        <v>6973357875</v>
      </c>
      <c r="N7697" t="s">
        <v>615</v>
      </c>
      <c r="O7697" t="s">
        <v>616</v>
      </c>
      <c r="R7697" t="s">
        <v>159</v>
      </c>
      <c r="S7697">
        <v>3</v>
      </c>
      <c r="T7697" t="s">
        <v>8675</v>
      </c>
      <c r="U7697" s="1">
        <v>43348</v>
      </c>
      <c r="V7697" t="s">
        <v>5177</v>
      </c>
      <c r="W7697" t="s">
        <v>5178</v>
      </c>
      <c r="X7697" t="s">
        <v>58</v>
      </c>
      <c r="Y7697">
        <v>24</v>
      </c>
      <c r="Z7697" t="s">
        <v>59</v>
      </c>
      <c r="AA7697" t="s">
        <v>59</v>
      </c>
      <c r="AB7697" t="s">
        <v>59</v>
      </c>
      <c r="AC7697" t="s">
        <v>59</v>
      </c>
      <c r="AD7697" t="s">
        <v>59</v>
      </c>
      <c r="AF7697" s="1">
        <v>43348</v>
      </c>
      <c r="AG7697" t="s">
        <v>8645</v>
      </c>
      <c r="AH7697" t="s">
        <v>8646</v>
      </c>
      <c r="AI7697" t="str">
        <f>"9320115"</f>
        <v>9320115</v>
      </c>
      <c r="AJ7697" t="s">
        <v>11935</v>
      </c>
      <c r="AK7697">
        <v>2843061213</v>
      </c>
      <c r="AL7697" t="s">
        <v>11936</v>
      </c>
      <c r="AM7697" t="s">
        <v>4513</v>
      </c>
      <c r="AN7697" t="s">
        <v>4540</v>
      </c>
      <c r="AO7697" t="s">
        <v>4700</v>
      </c>
      <c r="AP7697" t="s">
        <v>4701</v>
      </c>
      <c r="AQ7697">
        <v>9</v>
      </c>
      <c r="AR7697" t="s">
        <v>5177</v>
      </c>
      <c r="AS7697" t="s">
        <v>5178</v>
      </c>
      <c r="AT7697" t="s">
        <v>58</v>
      </c>
      <c r="AU7697" t="s">
        <v>8673</v>
      </c>
      <c r="AV7697" t="s">
        <v>132</v>
      </c>
      <c r="AW7697" s="1">
        <v>31968</v>
      </c>
      <c r="AX7697">
        <v>1</v>
      </c>
    </row>
    <row r="7698" spans="1:50">
      <c r="B7698" t="str">
        <f>"145478006"</f>
        <v>145478006</v>
      </c>
      <c r="C7698" t="s">
        <v>50</v>
      </c>
      <c r="D7698" t="s">
        <v>12139</v>
      </c>
      <c r="E7698" t="s">
        <v>11638</v>
      </c>
      <c r="F7698" t="s">
        <v>99</v>
      </c>
      <c r="G7698" t="s">
        <v>83</v>
      </c>
      <c r="H7698" t="str">
        <f>" "</f>
        <v xml:space="preserve"> </v>
      </c>
      <c r="N7698" t="s">
        <v>9829</v>
      </c>
      <c r="O7698" t="s">
        <v>9830</v>
      </c>
      <c r="R7698" t="s">
        <v>121</v>
      </c>
      <c r="S7698">
        <v>3</v>
      </c>
      <c r="T7698" t="s">
        <v>8835</v>
      </c>
      <c r="U7698" s="1">
        <v>43348</v>
      </c>
      <c r="V7698" t="s">
        <v>5177</v>
      </c>
      <c r="W7698" t="s">
        <v>5178</v>
      </c>
      <c r="X7698" t="s">
        <v>58</v>
      </c>
      <c r="Y7698">
        <v>25</v>
      </c>
      <c r="Z7698" t="s">
        <v>59</v>
      </c>
      <c r="AA7698" t="s">
        <v>59</v>
      </c>
      <c r="AB7698" t="s">
        <v>59</v>
      </c>
      <c r="AD7698" t="s">
        <v>59</v>
      </c>
      <c r="AF7698" s="1">
        <v>43348</v>
      </c>
      <c r="AG7698" t="s">
        <v>8651</v>
      </c>
      <c r="AH7698" t="s">
        <v>8652</v>
      </c>
      <c r="AI7698" t="str">
        <f>"9320056"</f>
        <v>9320056</v>
      </c>
      <c r="AJ7698" t="s">
        <v>11980</v>
      </c>
      <c r="AK7698">
        <v>2841028260</v>
      </c>
      <c r="AL7698" t="s">
        <v>11981</v>
      </c>
      <c r="AM7698" t="s">
        <v>4513</v>
      </c>
      <c r="AN7698" t="s">
        <v>4514</v>
      </c>
      <c r="AO7698" t="s">
        <v>4514</v>
      </c>
      <c r="AP7698" t="s">
        <v>4514</v>
      </c>
      <c r="AQ7698">
        <v>1</v>
      </c>
      <c r="AR7698" t="s">
        <v>5177</v>
      </c>
      <c r="AS7698" t="s">
        <v>5178</v>
      </c>
      <c r="AT7698" t="s">
        <v>58</v>
      </c>
      <c r="AU7698" t="s">
        <v>131</v>
      </c>
      <c r="AV7698" t="s">
        <v>132</v>
      </c>
      <c r="AW7698" s="1">
        <v>32419</v>
      </c>
      <c r="AX7698">
        <v>1</v>
      </c>
    </row>
    <row r="7699" spans="1:50">
      <c r="A7699">
        <v>594605</v>
      </c>
      <c r="B7699" t="str">
        <f>"049203791"</f>
        <v>049203791</v>
      </c>
      <c r="C7699" t="s">
        <v>105</v>
      </c>
      <c r="D7699" t="s">
        <v>12140</v>
      </c>
      <c r="E7699" t="s">
        <v>84</v>
      </c>
      <c r="F7699" t="s">
        <v>99</v>
      </c>
      <c r="G7699" t="s">
        <v>12141</v>
      </c>
      <c r="H7699" t="str">
        <f>"ΜΙΧ. ΛΑΝΤΖΑΝΑΚΗ 17 ΣΗΤΕΙΑ"</f>
        <v>ΜΙΧ. ΛΑΝΤΖΑΝΑΚΗ 17 ΣΗΤΕΙΑ</v>
      </c>
      <c r="I7699">
        <v>72300</v>
      </c>
      <c r="J7699">
        <v>2843025053</v>
      </c>
      <c r="K7699">
        <v>6977611927</v>
      </c>
      <c r="N7699" t="s">
        <v>615</v>
      </c>
      <c r="O7699" t="s">
        <v>616</v>
      </c>
      <c r="R7699" t="s">
        <v>57</v>
      </c>
      <c r="S7699">
        <v>8</v>
      </c>
      <c r="T7699">
        <v>218</v>
      </c>
      <c r="U7699" s="1">
        <v>37134</v>
      </c>
      <c r="V7699" t="s">
        <v>5177</v>
      </c>
      <c r="W7699" t="s">
        <v>5178</v>
      </c>
      <c r="X7699" t="s">
        <v>58</v>
      </c>
      <c r="Y7699">
        <v>22</v>
      </c>
      <c r="Z7699" t="s">
        <v>59</v>
      </c>
      <c r="AA7699" t="s">
        <v>59</v>
      </c>
      <c r="AB7699" t="s">
        <v>59</v>
      </c>
      <c r="AC7699" t="s">
        <v>59</v>
      </c>
      <c r="AD7699" t="s">
        <v>59</v>
      </c>
      <c r="AF7699" s="1">
        <v>37140</v>
      </c>
      <c r="AG7699" t="s">
        <v>8645</v>
      </c>
      <c r="AH7699" t="s">
        <v>8646</v>
      </c>
      <c r="AI7699" t="str">
        <f>"9320205"</f>
        <v>9320205</v>
      </c>
      <c r="AJ7699" t="s">
        <v>11902</v>
      </c>
      <c r="AK7699">
        <v>2843024509</v>
      </c>
      <c r="AL7699" t="s">
        <v>11903</v>
      </c>
      <c r="AM7699" t="s">
        <v>4513</v>
      </c>
      <c r="AN7699" t="s">
        <v>4540</v>
      </c>
      <c r="AO7699" t="s">
        <v>4540</v>
      </c>
      <c r="AP7699" t="s">
        <v>4540</v>
      </c>
      <c r="AQ7699">
        <v>8</v>
      </c>
      <c r="AR7699" t="s">
        <v>5177</v>
      </c>
      <c r="AS7699" t="s">
        <v>5178</v>
      </c>
      <c r="AT7699" t="s">
        <v>58</v>
      </c>
      <c r="AU7699" t="s">
        <v>68</v>
      </c>
      <c r="AV7699" t="s">
        <v>69</v>
      </c>
      <c r="AW7699" s="1">
        <v>27847</v>
      </c>
      <c r="AX7699">
        <v>1</v>
      </c>
    </row>
    <row r="7700" spans="1:50">
      <c r="A7700">
        <v>701451</v>
      </c>
      <c r="B7700" t="str">
        <f>"147436810"</f>
        <v>147436810</v>
      </c>
      <c r="C7700" t="s">
        <v>50</v>
      </c>
      <c r="D7700" t="s">
        <v>12142</v>
      </c>
      <c r="E7700" t="s">
        <v>155</v>
      </c>
      <c r="F7700" t="s">
        <v>459</v>
      </c>
      <c r="G7700" t="s">
        <v>52</v>
      </c>
      <c r="H7700" t="str">
        <f>"ΑΛ. ΜΩΡΑΪΤΙΔΗ  6 ΘΕΣΣΑΛΟΝΙΚΗ"</f>
        <v>ΑΛ. ΜΩΡΑΪΤΙΔΗ  6 ΘΕΣΣΑΛΟΝΙΚΗ</v>
      </c>
      <c r="I7700">
        <v>54655</v>
      </c>
      <c r="J7700">
        <v>2310428064</v>
      </c>
      <c r="K7700">
        <v>6948510394</v>
      </c>
      <c r="M7700" t="s">
        <v>12143</v>
      </c>
      <c r="N7700" t="s">
        <v>615</v>
      </c>
      <c r="O7700" t="s">
        <v>616</v>
      </c>
      <c r="R7700" t="s">
        <v>57</v>
      </c>
      <c r="S7700">
        <v>6</v>
      </c>
      <c r="T7700" t="s">
        <v>12050</v>
      </c>
      <c r="U7700" s="1">
        <v>40413</v>
      </c>
      <c r="V7700" t="s">
        <v>5177</v>
      </c>
      <c r="W7700" t="s">
        <v>5178</v>
      </c>
      <c r="X7700" t="s">
        <v>58</v>
      </c>
      <c r="Y7700">
        <v>24</v>
      </c>
      <c r="Z7700" t="s">
        <v>59</v>
      </c>
      <c r="AA7700" t="s">
        <v>59</v>
      </c>
      <c r="AB7700" t="s">
        <v>59</v>
      </c>
      <c r="AC7700" t="s">
        <v>59</v>
      </c>
      <c r="AD7700" t="s">
        <v>59</v>
      </c>
      <c r="AF7700" s="1">
        <v>40413</v>
      </c>
      <c r="AG7700" t="s">
        <v>8645</v>
      </c>
      <c r="AH7700" t="s">
        <v>8646</v>
      </c>
      <c r="AI7700" t="str">
        <f>"9320127"</f>
        <v>9320127</v>
      </c>
      <c r="AJ7700" t="s">
        <v>12040</v>
      </c>
      <c r="AK7700">
        <v>2843051221</v>
      </c>
      <c r="AL7700" t="s">
        <v>12041</v>
      </c>
      <c r="AM7700" t="s">
        <v>4513</v>
      </c>
      <c r="AN7700" t="s">
        <v>4519</v>
      </c>
      <c r="AO7700" t="s">
        <v>4766</v>
      </c>
      <c r="AP7700" t="s">
        <v>4767</v>
      </c>
      <c r="AQ7700">
        <v>6</v>
      </c>
      <c r="AR7700" t="s">
        <v>5177</v>
      </c>
      <c r="AS7700" t="s">
        <v>5178</v>
      </c>
      <c r="AT7700" t="s">
        <v>58</v>
      </c>
      <c r="AU7700" t="s">
        <v>68</v>
      </c>
      <c r="AV7700" t="s">
        <v>69</v>
      </c>
      <c r="AW7700" s="1">
        <v>31719</v>
      </c>
      <c r="AX7700">
        <v>1</v>
      </c>
    </row>
    <row r="7701" spans="1:50">
      <c r="B7701" t="str">
        <f>"142471466"</f>
        <v>142471466</v>
      </c>
      <c r="C7701" t="s">
        <v>50</v>
      </c>
      <c r="D7701" t="s">
        <v>12144</v>
      </c>
      <c r="E7701" t="s">
        <v>255</v>
      </c>
      <c r="F7701" t="s">
        <v>450</v>
      </c>
      <c r="G7701" t="s">
        <v>52</v>
      </c>
      <c r="H7701" t="str">
        <f>"ΚΑΛΛΙΠΟΛΕΩΣ 140 "</f>
        <v xml:space="preserve">ΚΑΛΛΙΠΟΛΕΩΣ 140 </v>
      </c>
      <c r="I7701">
        <v>68200</v>
      </c>
      <c r="J7701">
        <v>2552025417</v>
      </c>
      <c r="K7701">
        <v>6948102427</v>
      </c>
      <c r="M7701" t="s">
        <v>12145</v>
      </c>
      <c r="N7701" t="s">
        <v>615</v>
      </c>
      <c r="O7701" t="s">
        <v>616</v>
      </c>
      <c r="R7701" t="s">
        <v>159</v>
      </c>
      <c r="S7701">
        <v>2</v>
      </c>
      <c r="T7701" t="s">
        <v>8675</v>
      </c>
      <c r="U7701" s="1">
        <v>43348</v>
      </c>
      <c r="V7701" t="s">
        <v>5177</v>
      </c>
      <c r="W7701" t="s">
        <v>5178</v>
      </c>
      <c r="X7701" t="s">
        <v>58</v>
      </c>
      <c r="Y7701">
        <v>24</v>
      </c>
      <c r="Z7701" t="s">
        <v>59</v>
      </c>
      <c r="AA7701" t="s">
        <v>59</v>
      </c>
      <c r="AB7701" t="s">
        <v>59</v>
      </c>
      <c r="AC7701" t="s">
        <v>59</v>
      </c>
      <c r="AD7701" t="s">
        <v>59</v>
      </c>
      <c r="AF7701" s="1">
        <v>43348</v>
      </c>
      <c r="AG7701" t="s">
        <v>8645</v>
      </c>
      <c r="AH7701" t="s">
        <v>8646</v>
      </c>
      <c r="AI7701" t="str">
        <f>"9320001"</f>
        <v>9320001</v>
      </c>
      <c r="AJ7701" t="s">
        <v>11954</v>
      </c>
      <c r="AK7701">
        <v>2842022505</v>
      </c>
      <c r="AL7701" t="s">
        <v>11955</v>
      </c>
      <c r="AM7701" t="s">
        <v>4513</v>
      </c>
      <c r="AN7701" t="s">
        <v>4519</v>
      </c>
      <c r="AO7701" t="s">
        <v>4519</v>
      </c>
      <c r="AP7701" t="s">
        <v>4519</v>
      </c>
      <c r="AQ7701">
        <v>4</v>
      </c>
      <c r="AR7701" t="s">
        <v>5177</v>
      </c>
      <c r="AS7701" t="s">
        <v>5178</v>
      </c>
      <c r="AT7701" t="s">
        <v>58</v>
      </c>
      <c r="AU7701" t="s">
        <v>8673</v>
      </c>
      <c r="AV7701" t="s">
        <v>132</v>
      </c>
      <c r="AW7701" s="1">
        <v>32401</v>
      </c>
      <c r="AX7701">
        <v>1</v>
      </c>
    </row>
    <row r="7702" spans="1:50">
      <c r="B7702" t="str">
        <f>"067766208"</f>
        <v>067766208</v>
      </c>
      <c r="C7702" t="s">
        <v>50</v>
      </c>
      <c r="D7702" t="s">
        <v>12146</v>
      </c>
      <c r="E7702" t="s">
        <v>396</v>
      </c>
      <c r="F7702" t="s">
        <v>84</v>
      </c>
      <c r="G7702" t="s">
        <v>5764</v>
      </c>
      <c r="H7702" t="str">
        <f>"Γ ΖΩΓΡΑΦΟΥ 102 ΖΩΓΡΑΦΟΥ"</f>
        <v>Γ ΖΩΓΡΑΦΟΥ 102 ΖΩΓΡΑΦΟΥ</v>
      </c>
      <c r="I7702">
        <v>15772</v>
      </c>
      <c r="J7702">
        <v>2261027559</v>
      </c>
      <c r="K7702">
        <v>6945674649</v>
      </c>
      <c r="N7702" t="s">
        <v>1525</v>
      </c>
      <c r="O7702" t="s">
        <v>1526</v>
      </c>
      <c r="R7702" t="s">
        <v>121</v>
      </c>
      <c r="S7702">
        <v>1</v>
      </c>
      <c r="T7702" t="s">
        <v>10716</v>
      </c>
      <c r="U7702" s="1">
        <v>43377</v>
      </c>
      <c r="V7702" t="s">
        <v>5177</v>
      </c>
      <c r="W7702" t="s">
        <v>5178</v>
      </c>
      <c r="X7702" t="s">
        <v>58</v>
      </c>
      <c r="Y7702">
        <v>25</v>
      </c>
      <c r="Z7702" t="s">
        <v>59</v>
      </c>
      <c r="AA7702" t="s">
        <v>59</v>
      </c>
      <c r="AB7702" t="s">
        <v>59</v>
      </c>
      <c r="AC7702" t="s">
        <v>59</v>
      </c>
      <c r="AD7702" t="s">
        <v>59</v>
      </c>
      <c r="AF7702" s="1">
        <v>43377</v>
      </c>
      <c r="AG7702" t="s">
        <v>8651</v>
      </c>
      <c r="AH7702" t="s">
        <v>8652</v>
      </c>
      <c r="AI7702" t="str">
        <f>"9320002"</f>
        <v>9320002</v>
      </c>
      <c r="AJ7702" t="s">
        <v>11995</v>
      </c>
      <c r="AK7702">
        <v>2842022966</v>
      </c>
      <c r="AL7702" t="s">
        <v>11996</v>
      </c>
      <c r="AM7702" t="s">
        <v>4513</v>
      </c>
      <c r="AN7702" t="s">
        <v>4519</v>
      </c>
      <c r="AO7702" t="s">
        <v>4519</v>
      </c>
      <c r="AP7702" t="s">
        <v>4519</v>
      </c>
      <c r="AQ7702">
        <v>4</v>
      </c>
      <c r="AR7702" t="s">
        <v>5177</v>
      </c>
      <c r="AS7702" t="s">
        <v>5178</v>
      </c>
      <c r="AT7702" t="s">
        <v>58</v>
      </c>
      <c r="AU7702" t="s">
        <v>8673</v>
      </c>
      <c r="AV7702" t="s">
        <v>132</v>
      </c>
      <c r="AW7702" s="1">
        <v>28812</v>
      </c>
      <c r="AX7702">
        <v>1</v>
      </c>
    </row>
    <row r="7703" spans="1:50">
      <c r="A7703">
        <v>613976</v>
      </c>
      <c r="B7703" t="str">
        <f>"110396744"</f>
        <v>110396744</v>
      </c>
      <c r="C7703" t="s">
        <v>50</v>
      </c>
      <c r="D7703" t="s">
        <v>12147</v>
      </c>
      <c r="E7703" t="s">
        <v>1744</v>
      </c>
      <c r="F7703" t="s">
        <v>166</v>
      </c>
      <c r="G7703" t="s">
        <v>237</v>
      </c>
      <c r="H7703" t="str">
        <f>"ΑΝΘΕΩΝ &amp; ΕΠ. ΖΑΧΑΡΙΑ  ΣΗΤΕΙΑ"</f>
        <v>ΑΝΘΕΩΝ &amp; ΕΠ. ΖΑΧΑΡΙΑ  ΣΗΤΕΙΑ</v>
      </c>
      <c r="I7703">
        <v>72300</v>
      </c>
      <c r="J7703">
        <v>2843024773</v>
      </c>
      <c r="K7703">
        <v>6977606273</v>
      </c>
      <c r="N7703" t="s">
        <v>615</v>
      </c>
      <c r="O7703" t="s">
        <v>616</v>
      </c>
      <c r="R7703" t="s">
        <v>57</v>
      </c>
      <c r="S7703">
        <v>6</v>
      </c>
      <c r="T7703">
        <v>598</v>
      </c>
      <c r="U7703" s="1">
        <v>39310</v>
      </c>
      <c r="V7703" t="s">
        <v>5177</v>
      </c>
      <c r="W7703" t="s">
        <v>5178</v>
      </c>
      <c r="X7703" t="s">
        <v>58</v>
      </c>
      <c r="Y7703">
        <v>23</v>
      </c>
      <c r="Z7703" t="s">
        <v>59</v>
      </c>
      <c r="AA7703" t="s">
        <v>59</v>
      </c>
      <c r="AB7703" t="s">
        <v>59</v>
      </c>
      <c r="AC7703" t="s">
        <v>59</v>
      </c>
      <c r="AD7703" t="s">
        <v>59</v>
      </c>
      <c r="AF7703" s="1">
        <v>39328</v>
      </c>
      <c r="AG7703" t="s">
        <v>8645</v>
      </c>
      <c r="AH7703" t="s">
        <v>8646</v>
      </c>
      <c r="AI7703" t="str">
        <f>"9320093"</f>
        <v>9320093</v>
      </c>
      <c r="AJ7703" t="s">
        <v>11967</v>
      </c>
      <c r="AK7703">
        <v>2843025130</v>
      </c>
      <c r="AL7703" t="s">
        <v>11968</v>
      </c>
      <c r="AM7703" t="s">
        <v>4513</v>
      </c>
      <c r="AN7703" t="s">
        <v>4540</v>
      </c>
      <c r="AO7703" t="s">
        <v>4540</v>
      </c>
      <c r="AP7703" t="s">
        <v>4540</v>
      </c>
      <c r="AQ7703">
        <v>8</v>
      </c>
      <c r="AR7703" t="s">
        <v>5177</v>
      </c>
      <c r="AS7703" t="s">
        <v>5178</v>
      </c>
      <c r="AT7703" t="s">
        <v>58</v>
      </c>
      <c r="AU7703" t="s">
        <v>68</v>
      </c>
      <c r="AV7703" t="s">
        <v>69</v>
      </c>
      <c r="AW7703" s="1">
        <v>30440</v>
      </c>
      <c r="AX7703">
        <v>1</v>
      </c>
    </row>
    <row r="7704" spans="1:50">
      <c r="A7704">
        <v>593268</v>
      </c>
      <c r="B7704" t="str">
        <f>"103980725"</f>
        <v>103980725</v>
      </c>
      <c r="C7704" t="s">
        <v>50</v>
      </c>
      <c r="D7704" t="s">
        <v>12147</v>
      </c>
      <c r="E7704" t="s">
        <v>52</v>
      </c>
      <c r="F7704" t="s">
        <v>166</v>
      </c>
      <c r="G7704" t="s">
        <v>237</v>
      </c>
      <c r="H7704" t="str">
        <f>"ΑΝΘΕΩΝ ΚΑΙ ΕΠΙΣΚΟΠΟΥ ΖΑΧΑΡΙΑ ΣΗΤΕΙΑ"</f>
        <v>ΑΝΘΕΩΝ ΚΑΙ ΕΠΙΣΚΟΠΟΥ ΖΑΧΑΡΙΑ ΣΗΤΕΙΑ</v>
      </c>
      <c r="I7704">
        <v>72300</v>
      </c>
      <c r="J7704">
        <v>2843022682</v>
      </c>
      <c r="K7704">
        <v>6976908093</v>
      </c>
      <c r="N7704" t="s">
        <v>615</v>
      </c>
      <c r="O7704" t="s">
        <v>616</v>
      </c>
      <c r="R7704" t="s">
        <v>57</v>
      </c>
      <c r="S7704">
        <v>8</v>
      </c>
      <c r="T7704">
        <v>218</v>
      </c>
      <c r="U7704" s="1">
        <v>37134</v>
      </c>
      <c r="V7704" t="s">
        <v>5177</v>
      </c>
      <c r="W7704" t="s">
        <v>5178</v>
      </c>
      <c r="X7704" t="s">
        <v>58</v>
      </c>
      <c r="Y7704">
        <v>22</v>
      </c>
      <c r="Z7704" t="s">
        <v>59</v>
      </c>
      <c r="AA7704" t="s">
        <v>59</v>
      </c>
      <c r="AB7704" t="s">
        <v>59</v>
      </c>
      <c r="AC7704" t="s">
        <v>59</v>
      </c>
      <c r="AD7704" t="s">
        <v>59</v>
      </c>
      <c r="AF7704" s="1">
        <v>37140</v>
      </c>
      <c r="AG7704" t="s">
        <v>8645</v>
      </c>
      <c r="AH7704" t="s">
        <v>8646</v>
      </c>
      <c r="AI7704" t="str">
        <f>"9320090"</f>
        <v>9320090</v>
      </c>
      <c r="AJ7704" t="s">
        <v>11926</v>
      </c>
      <c r="AK7704">
        <v>2843022385</v>
      </c>
      <c r="AL7704" t="s">
        <v>11927</v>
      </c>
      <c r="AM7704" t="s">
        <v>4513</v>
      </c>
      <c r="AN7704" t="s">
        <v>4540</v>
      </c>
      <c r="AO7704" t="s">
        <v>4540</v>
      </c>
      <c r="AP7704" t="s">
        <v>4540</v>
      </c>
      <c r="AQ7704">
        <v>8</v>
      </c>
      <c r="AR7704" t="s">
        <v>5177</v>
      </c>
      <c r="AS7704" t="s">
        <v>5178</v>
      </c>
      <c r="AT7704" t="s">
        <v>58</v>
      </c>
      <c r="AU7704" t="s">
        <v>68</v>
      </c>
      <c r="AV7704" t="s">
        <v>357</v>
      </c>
      <c r="AW7704" s="1">
        <v>28173</v>
      </c>
      <c r="AX7704">
        <v>1</v>
      </c>
    </row>
    <row r="7705" spans="1:50">
      <c r="A7705">
        <v>607221</v>
      </c>
      <c r="B7705" t="str">
        <f>"109125652"</f>
        <v>109125652</v>
      </c>
      <c r="C7705" t="s">
        <v>105</v>
      </c>
      <c r="D7705" t="s">
        <v>12148</v>
      </c>
      <c r="E7705" t="s">
        <v>99</v>
      </c>
      <c r="F7705" t="s">
        <v>309</v>
      </c>
      <c r="G7705" t="s">
        <v>238</v>
      </c>
      <c r="H7705" t="str">
        <f>"ΠΕΡΙΟΧΗ ΠΟΤΑΜΟΣ(ΜΙΚΡΟ ΚΤΙΡΙΟ) ΑΓΙΟΣ ΝΙΚΟΛΑΟΣ"</f>
        <v>ΠΕΡΙΟΧΗ ΠΟΤΑΜΟΣ(ΜΙΚΡΟ ΚΤΙΡΙΟ) ΑΓΙΟΣ ΝΙΚΟΛΑΟΣ</v>
      </c>
      <c r="I7705">
        <v>72100</v>
      </c>
      <c r="J7705">
        <v>2841340410</v>
      </c>
      <c r="K7705">
        <v>6972272562</v>
      </c>
      <c r="M7705" t="s">
        <v>12149</v>
      </c>
      <c r="N7705" t="s">
        <v>615</v>
      </c>
      <c r="O7705" t="s">
        <v>616</v>
      </c>
      <c r="R7705" t="s">
        <v>57</v>
      </c>
      <c r="S7705">
        <v>7</v>
      </c>
      <c r="T7705">
        <v>217</v>
      </c>
      <c r="U7705" s="1">
        <v>38596</v>
      </c>
      <c r="V7705" t="s">
        <v>5177</v>
      </c>
      <c r="W7705" t="s">
        <v>5178</v>
      </c>
      <c r="X7705" t="s">
        <v>58</v>
      </c>
      <c r="Y7705">
        <v>22</v>
      </c>
      <c r="Z7705" t="s">
        <v>59</v>
      </c>
      <c r="AA7705" t="s">
        <v>59</v>
      </c>
      <c r="AB7705" t="s">
        <v>59</v>
      </c>
      <c r="AC7705" t="s">
        <v>59</v>
      </c>
      <c r="AD7705" t="s">
        <v>59</v>
      </c>
      <c r="AF7705" s="1">
        <v>38601</v>
      </c>
      <c r="AG7705" t="s">
        <v>8645</v>
      </c>
      <c r="AH7705" t="s">
        <v>8646</v>
      </c>
      <c r="AI7705" t="str">
        <f>"9320055"</f>
        <v>9320055</v>
      </c>
      <c r="AJ7705" t="s">
        <v>11937</v>
      </c>
      <c r="AK7705">
        <v>2841022326</v>
      </c>
      <c r="AL7705" t="s">
        <v>11938</v>
      </c>
      <c r="AM7705" t="s">
        <v>4513</v>
      </c>
      <c r="AN7705" t="s">
        <v>4514</v>
      </c>
      <c r="AO7705" t="s">
        <v>4514</v>
      </c>
      <c r="AP7705" t="s">
        <v>4514</v>
      </c>
      <c r="AQ7705">
        <v>1</v>
      </c>
      <c r="AR7705" t="s">
        <v>5177</v>
      </c>
      <c r="AS7705" t="s">
        <v>5178</v>
      </c>
      <c r="AT7705" t="s">
        <v>58</v>
      </c>
      <c r="AU7705" t="s">
        <v>68</v>
      </c>
      <c r="AV7705" t="s">
        <v>69</v>
      </c>
      <c r="AW7705" s="1">
        <v>27770</v>
      </c>
      <c r="AX7705">
        <v>1</v>
      </c>
    </row>
    <row r="7706" spans="1:50">
      <c r="B7706" t="str">
        <f>"125976169"</f>
        <v>125976169</v>
      </c>
      <c r="C7706" t="s">
        <v>50</v>
      </c>
      <c r="D7706" t="s">
        <v>1447</v>
      </c>
      <c r="E7706" t="s">
        <v>83</v>
      </c>
      <c r="F7706" t="s">
        <v>95</v>
      </c>
      <c r="H7706" t="str">
        <f>" "</f>
        <v xml:space="preserve"> </v>
      </c>
      <c r="N7706" t="s">
        <v>1525</v>
      </c>
      <c r="O7706" t="s">
        <v>1526</v>
      </c>
      <c r="R7706" t="s">
        <v>159</v>
      </c>
      <c r="S7706">
        <v>1</v>
      </c>
      <c r="T7706" t="s">
        <v>8670</v>
      </c>
      <c r="U7706" s="1">
        <v>43348</v>
      </c>
      <c r="V7706" t="s">
        <v>5177</v>
      </c>
      <c r="W7706" t="s">
        <v>5178</v>
      </c>
      <c r="X7706" t="s">
        <v>58</v>
      </c>
      <c r="Y7706">
        <v>25</v>
      </c>
      <c r="Z7706" t="s">
        <v>59</v>
      </c>
      <c r="AA7706" t="s">
        <v>59</v>
      </c>
      <c r="AB7706" t="s">
        <v>59</v>
      </c>
      <c r="AC7706" t="s">
        <v>59</v>
      </c>
      <c r="AD7706" t="s">
        <v>59</v>
      </c>
      <c r="AF7706" s="1">
        <v>43348</v>
      </c>
      <c r="AG7706" t="s">
        <v>8651</v>
      </c>
      <c r="AH7706" t="s">
        <v>8652</v>
      </c>
      <c r="AI7706" t="str">
        <f>"9320215"</f>
        <v>9320215</v>
      </c>
      <c r="AJ7706" t="s">
        <v>12083</v>
      </c>
      <c r="AK7706">
        <v>2841071393</v>
      </c>
      <c r="AL7706" t="s">
        <v>12084</v>
      </c>
      <c r="AM7706" t="s">
        <v>4513</v>
      </c>
      <c r="AN7706" t="s">
        <v>4514</v>
      </c>
      <c r="AO7706" t="s">
        <v>12085</v>
      </c>
      <c r="AP7706" t="s">
        <v>12085</v>
      </c>
      <c r="AQ7706">
        <v>2</v>
      </c>
      <c r="AR7706" t="s">
        <v>5177</v>
      </c>
      <c r="AS7706" t="s">
        <v>5178</v>
      </c>
      <c r="AT7706" t="s">
        <v>58</v>
      </c>
      <c r="AU7706" t="s">
        <v>8673</v>
      </c>
      <c r="AV7706" t="s">
        <v>132</v>
      </c>
      <c r="AW7706" s="1">
        <v>31167</v>
      </c>
      <c r="AX7706">
        <v>1</v>
      </c>
    </row>
    <row r="7707" spans="1:50">
      <c r="A7707">
        <v>572016</v>
      </c>
      <c r="B7707" t="str">
        <f>"036924279"</f>
        <v>036924279</v>
      </c>
      <c r="C7707" t="s">
        <v>50</v>
      </c>
      <c r="D7707" t="s">
        <v>1447</v>
      </c>
      <c r="E7707" t="s">
        <v>52</v>
      </c>
      <c r="F7707" t="s">
        <v>99</v>
      </c>
      <c r="G7707" t="s">
        <v>1108</v>
      </c>
      <c r="H7707" t="str">
        <f>"ΙΚΑΡΟΥ 6 ΑΓΙΟΣ ΝΙΚΟΛΑΟΣ"</f>
        <v>ΙΚΑΡΟΥ 6 ΑΓΙΟΣ ΝΙΚΟΛΑΟΣ</v>
      </c>
      <c r="I7707">
        <v>72100</v>
      </c>
      <c r="J7707">
        <v>2841028891</v>
      </c>
      <c r="K7707">
        <v>6944563920</v>
      </c>
      <c r="N7707" t="s">
        <v>306</v>
      </c>
      <c r="O7707" t="s">
        <v>307</v>
      </c>
      <c r="R7707" t="s">
        <v>57</v>
      </c>
      <c r="S7707">
        <v>12</v>
      </c>
      <c r="T7707">
        <v>154</v>
      </c>
      <c r="U7707" s="1">
        <v>34225</v>
      </c>
      <c r="V7707" t="s">
        <v>5177</v>
      </c>
      <c r="W7707" t="s">
        <v>5178</v>
      </c>
      <c r="X7707" t="s">
        <v>58</v>
      </c>
      <c r="Y7707">
        <v>21</v>
      </c>
      <c r="Z7707" t="s">
        <v>59</v>
      </c>
      <c r="AA7707" t="s">
        <v>59</v>
      </c>
      <c r="AB7707" t="s">
        <v>59</v>
      </c>
      <c r="AC7707" t="s">
        <v>59</v>
      </c>
      <c r="AD7707" t="s">
        <v>59</v>
      </c>
      <c r="AF7707" s="1">
        <v>34226</v>
      </c>
      <c r="AG7707" t="s">
        <v>8645</v>
      </c>
      <c r="AH7707" t="s">
        <v>8646</v>
      </c>
      <c r="AI7707" t="str">
        <f>"9320079"</f>
        <v>9320079</v>
      </c>
      <c r="AJ7707" t="s">
        <v>11952</v>
      </c>
      <c r="AK7707">
        <v>2841051211</v>
      </c>
      <c r="AL7707" t="s">
        <v>11953</v>
      </c>
      <c r="AM7707" t="s">
        <v>4513</v>
      </c>
      <c r="AN7707" t="s">
        <v>4514</v>
      </c>
      <c r="AO7707" t="s">
        <v>4514</v>
      </c>
      <c r="AP7707" t="s">
        <v>4757</v>
      </c>
      <c r="AQ7707">
        <v>2</v>
      </c>
      <c r="AR7707" t="s">
        <v>5177</v>
      </c>
      <c r="AS7707" t="s">
        <v>5178</v>
      </c>
      <c r="AT7707" t="s">
        <v>58</v>
      </c>
      <c r="AU7707" t="s">
        <v>68</v>
      </c>
      <c r="AV7707" t="s">
        <v>69</v>
      </c>
      <c r="AW7707" s="1">
        <v>23613</v>
      </c>
      <c r="AX7707">
        <v>1</v>
      </c>
    </row>
    <row r="7708" spans="1:50">
      <c r="B7708" t="str">
        <f>"117449683"</f>
        <v>117449683</v>
      </c>
      <c r="C7708" t="s">
        <v>50</v>
      </c>
      <c r="D7708" t="s">
        <v>1447</v>
      </c>
      <c r="E7708" t="s">
        <v>12150</v>
      </c>
      <c r="F7708" t="s">
        <v>12151</v>
      </c>
      <c r="G7708" t="s">
        <v>3739</v>
      </c>
      <c r="H7708" t="str">
        <f>"ΑΓ.ΝΙΚΟΛΑΟΥ 29 "</f>
        <v xml:space="preserve">ΑΓ.ΝΙΚΟΛΑΟΥ 29 </v>
      </c>
      <c r="I7708">
        <v>15772</v>
      </c>
      <c r="J7708">
        <v>6946917036</v>
      </c>
      <c r="K7708">
        <v>1</v>
      </c>
      <c r="N7708" t="s">
        <v>683</v>
      </c>
      <c r="O7708" t="s">
        <v>684</v>
      </c>
      <c r="R7708" t="s">
        <v>121</v>
      </c>
      <c r="S7708">
        <v>1</v>
      </c>
      <c r="T7708" t="s">
        <v>8675</v>
      </c>
      <c r="U7708" s="1">
        <v>43348</v>
      </c>
      <c r="V7708" t="s">
        <v>5177</v>
      </c>
      <c r="W7708" t="s">
        <v>5178</v>
      </c>
      <c r="X7708" t="s">
        <v>58</v>
      </c>
      <c r="Y7708">
        <v>24</v>
      </c>
      <c r="Z7708" t="s">
        <v>59</v>
      </c>
      <c r="AA7708" t="s">
        <v>59</v>
      </c>
      <c r="AB7708" t="s">
        <v>59</v>
      </c>
      <c r="AC7708" t="s">
        <v>59</v>
      </c>
      <c r="AD7708" t="s">
        <v>59</v>
      </c>
      <c r="AF7708" s="1">
        <v>43348</v>
      </c>
      <c r="AG7708" t="s">
        <v>8645</v>
      </c>
      <c r="AH7708" t="s">
        <v>8646</v>
      </c>
      <c r="AI7708" t="str">
        <f>"9320055"</f>
        <v>9320055</v>
      </c>
      <c r="AJ7708" t="s">
        <v>11937</v>
      </c>
      <c r="AK7708">
        <v>2841022326</v>
      </c>
      <c r="AL7708" t="s">
        <v>11938</v>
      </c>
      <c r="AM7708" t="s">
        <v>4513</v>
      </c>
      <c r="AN7708" t="s">
        <v>4514</v>
      </c>
      <c r="AO7708" t="s">
        <v>4514</v>
      </c>
      <c r="AP7708" t="s">
        <v>4514</v>
      </c>
      <c r="AQ7708">
        <v>1</v>
      </c>
      <c r="AR7708" t="s">
        <v>5177</v>
      </c>
      <c r="AS7708" t="s">
        <v>5178</v>
      </c>
      <c r="AT7708" t="s">
        <v>58</v>
      </c>
      <c r="AU7708" t="s">
        <v>8673</v>
      </c>
      <c r="AV7708" t="s">
        <v>132</v>
      </c>
      <c r="AW7708" s="1">
        <v>28534</v>
      </c>
      <c r="AX7708">
        <v>1</v>
      </c>
    </row>
    <row r="7709" spans="1:50">
      <c r="A7709">
        <v>555029</v>
      </c>
      <c r="B7709" t="str">
        <f>"030500017"</f>
        <v>030500017</v>
      </c>
      <c r="C7709" t="s">
        <v>105</v>
      </c>
      <c r="D7709" t="s">
        <v>1453</v>
      </c>
      <c r="E7709" t="s">
        <v>166</v>
      </c>
      <c r="F7709" t="s">
        <v>989</v>
      </c>
      <c r="G7709" t="s">
        <v>1452</v>
      </c>
      <c r="H7709" t="str">
        <f>"ΑΓΙΟΣ ΚΩΝΣΤΑΝΤΙΝΟΣ ΑΓΙΟΣ ΚΩΝΣΤΑΝΤΙΝΟΣ ΛΑΣΙΘΙΟΥ"</f>
        <v>ΑΓΙΟΣ ΚΩΝΣΤΑΝΤΙΝΟΣ ΑΓΙΟΣ ΚΩΝΣΤΑΝΤΙΝΟΣ ΛΑΣΙΘΙΟΥ</v>
      </c>
      <c r="I7709">
        <v>72052</v>
      </c>
      <c r="J7709">
        <v>2844031316</v>
      </c>
      <c r="K7709">
        <v>6947022216</v>
      </c>
      <c r="L7709">
        <v>2844031600</v>
      </c>
      <c r="M7709" t="s">
        <v>12152</v>
      </c>
      <c r="N7709" t="s">
        <v>615</v>
      </c>
      <c r="O7709" t="s">
        <v>616</v>
      </c>
      <c r="R7709" t="s">
        <v>57</v>
      </c>
      <c r="S7709">
        <v>16</v>
      </c>
      <c r="T7709">
        <v>200</v>
      </c>
      <c r="U7709" s="1">
        <v>31657</v>
      </c>
      <c r="V7709" t="s">
        <v>5177</v>
      </c>
      <c r="W7709" t="s">
        <v>5178</v>
      </c>
      <c r="X7709" t="s">
        <v>58</v>
      </c>
      <c r="Y7709">
        <v>21</v>
      </c>
      <c r="Z7709" t="s">
        <v>59</v>
      </c>
      <c r="AA7709" t="s">
        <v>59</v>
      </c>
      <c r="AB7709" t="s">
        <v>59</v>
      </c>
      <c r="AC7709" t="s">
        <v>59</v>
      </c>
      <c r="AD7709" t="s">
        <v>59</v>
      </c>
      <c r="AF7709" s="1">
        <v>31665</v>
      </c>
      <c r="AG7709" t="s">
        <v>8645</v>
      </c>
      <c r="AH7709" t="s">
        <v>8646</v>
      </c>
      <c r="AI7709" t="str">
        <f>"9320042"</f>
        <v>9320042</v>
      </c>
      <c r="AJ7709" t="s">
        <v>11942</v>
      </c>
      <c r="AK7709">
        <v>2844031250</v>
      </c>
      <c r="AL7709" t="s">
        <v>11943</v>
      </c>
      <c r="AM7709" t="s">
        <v>4513</v>
      </c>
      <c r="AN7709" t="s">
        <v>4592</v>
      </c>
      <c r="AO7709" t="s">
        <v>4592</v>
      </c>
      <c r="AP7709" t="s">
        <v>11944</v>
      </c>
      <c r="AQ7709">
        <v>3</v>
      </c>
      <c r="AR7709" t="s">
        <v>5177</v>
      </c>
      <c r="AS7709" t="s">
        <v>5178</v>
      </c>
      <c r="AT7709" t="s">
        <v>58</v>
      </c>
      <c r="AU7709" t="s">
        <v>68</v>
      </c>
      <c r="AV7709" t="s">
        <v>69</v>
      </c>
      <c r="AW7709" s="1">
        <v>22996</v>
      </c>
      <c r="AX7709">
        <v>1</v>
      </c>
    </row>
    <row r="7710" spans="1:50">
      <c r="A7710">
        <v>621322</v>
      </c>
      <c r="B7710" t="str">
        <f>"061193490"</f>
        <v>061193490</v>
      </c>
      <c r="C7710" t="s">
        <v>50</v>
      </c>
      <c r="D7710" t="s">
        <v>1455</v>
      </c>
      <c r="E7710" t="s">
        <v>707</v>
      </c>
      <c r="F7710" t="s">
        <v>72</v>
      </c>
      <c r="G7710" t="s">
        <v>12153</v>
      </c>
      <c r="H7710" t="str">
        <f>"ΕΛΟΥΝΤΑ ΕΛΟΥΝΤΑ"</f>
        <v>ΕΛΟΥΝΤΑ ΕΛΟΥΝΤΑ</v>
      </c>
      <c r="I7710">
        <v>72100</v>
      </c>
      <c r="J7710">
        <v>2841042162</v>
      </c>
      <c r="K7710">
        <v>6946521127</v>
      </c>
      <c r="L7710">
        <v>6948678446</v>
      </c>
      <c r="N7710" t="s">
        <v>615</v>
      </c>
      <c r="O7710" t="s">
        <v>616</v>
      </c>
      <c r="R7710" t="s">
        <v>57</v>
      </c>
      <c r="S7710">
        <v>8</v>
      </c>
      <c r="T7710">
        <v>653</v>
      </c>
      <c r="U7710" s="1">
        <v>40043</v>
      </c>
      <c r="V7710" t="s">
        <v>5177</v>
      </c>
      <c r="W7710" t="s">
        <v>5178</v>
      </c>
      <c r="X7710" t="s">
        <v>58</v>
      </c>
      <c r="Y7710">
        <v>24</v>
      </c>
      <c r="Z7710" t="s">
        <v>59</v>
      </c>
      <c r="AA7710" t="s">
        <v>59</v>
      </c>
      <c r="AB7710" t="s">
        <v>59</v>
      </c>
      <c r="AC7710" t="s">
        <v>59</v>
      </c>
      <c r="AD7710" t="s">
        <v>59</v>
      </c>
      <c r="AF7710" s="1">
        <v>40043</v>
      </c>
      <c r="AG7710" t="s">
        <v>8645</v>
      </c>
      <c r="AH7710" t="s">
        <v>8646</v>
      </c>
      <c r="AI7710" t="str">
        <f>"9320071"</f>
        <v>9320071</v>
      </c>
      <c r="AJ7710" t="s">
        <v>12098</v>
      </c>
      <c r="AK7710">
        <v>2841041234</v>
      </c>
      <c r="AL7710" t="s">
        <v>12099</v>
      </c>
      <c r="AM7710" t="s">
        <v>4513</v>
      </c>
      <c r="AN7710" t="s">
        <v>4514</v>
      </c>
      <c r="AO7710" t="s">
        <v>4514</v>
      </c>
      <c r="AP7710" t="s">
        <v>12100</v>
      </c>
      <c r="AQ7710">
        <v>2</v>
      </c>
      <c r="AR7710" t="s">
        <v>5177</v>
      </c>
      <c r="AS7710" t="s">
        <v>5178</v>
      </c>
      <c r="AT7710" t="s">
        <v>58</v>
      </c>
      <c r="AU7710" t="s">
        <v>68</v>
      </c>
      <c r="AV7710" t="s">
        <v>69</v>
      </c>
      <c r="AW7710" s="1">
        <v>26426</v>
      </c>
      <c r="AX7710">
        <v>1</v>
      </c>
    </row>
    <row r="7711" spans="1:50">
      <c r="B7711" t="str">
        <f>"127118460"</f>
        <v>127118460</v>
      </c>
      <c r="C7711" t="s">
        <v>50</v>
      </c>
      <c r="D7711" t="s">
        <v>9715</v>
      </c>
      <c r="E7711" t="s">
        <v>566</v>
      </c>
      <c r="F7711" t="s">
        <v>309</v>
      </c>
      <c r="G7711" t="s">
        <v>191</v>
      </c>
      <c r="H7711" t="str">
        <f>"20ΗΣ  ΣΕΠΤΕΜΒΡΙΟΥ 5 "</f>
        <v xml:space="preserve">20ΗΣ  ΣΕΠΤΕΜΒΡΙΟΥ 5 </v>
      </c>
      <c r="I7711">
        <v>62122</v>
      </c>
      <c r="J7711">
        <v>2321054207</v>
      </c>
      <c r="K7711">
        <v>6958611085</v>
      </c>
      <c r="N7711" t="s">
        <v>1525</v>
      </c>
      <c r="O7711" t="s">
        <v>1526</v>
      </c>
      <c r="R7711" t="s">
        <v>159</v>
      </c>
      <c r="S7711">
        <v>2</v>
      </c>
      <c r="T7711" t="s">
        <v>8670</v>
      </c>
      <c r="U7711" s="1">
        <v>43348</v>
      </c>
      <c r="V7711" t="s">
        <v>5177</v>
      </c>
      <c r="W7711" t="s">
        <v>5178</v>
      </c>
      <c r="X7711" t="s">
        <v>58</v>
      </c>
      <c r="Y7711">
        <v>25</v>
      </c>
      <c r="Z7711" t="s">
        <v>59</v>
      </c>
      <c r="AA7711" t="s">
        <v>59</v>
      </c>
      <c r="AB7711" t="s">
        <v>59</v>
      </c>
      <c r="AC7711" t="s">
        <v>59</v>
      </c>
      <c r="AD7711" t="s">
        <v>59</v>
      </c>
      <c r="AF7711" s="1">
        <v>43348</v>
      </c>
      <c r="AG7711" t="s">
        <v>8651</v>
      </c>
      <c r="AH7711" t="s">
        <v>8652</v>
      </c>
      <c r="AI7711" t="str">
        <f>"9521466"</f>
        <v>9521466</v>
      </c>
      <c r="AJ7711" t="s">
        <v>12017</v>
      </c>
      <c r="AK7711">
        <v>2842025606</v>
      </c>
      <c r="AL7711" t="s">
        <v>12018</v>
      </c>
      <c r="AM7711" t="s">
        <v>4513</v>
      </c>
      <c r="AN7711" t="s">
        <v>4519</v>
      </c>
      <c r="AO7711" t="s">
        <v>4519</v>
      </c>
      <c r="AP7711" t="s">
        <v>4519</v>
      </c>
      <c r="AQ7711">
        <v>4</v>
      </c>
      <c r="AR7711" t="s">
        <v>5177</v>
      </c>
      <c r="AS7711" t="s">
        <v>5178</v>
      </c>
      <c r="AT7711" t="s">
        <v>58</v>
      </c>
      <c r="AU7711" t="s">
        <v>8673</v>
      </c>
      <c r="AV7711" t="s">
        <v>132</v>
      </c>
      <c r="AW7711" s="1">
        <v>29929</v>
      </c>
      <c r="AX7711">
        <v>1</v>
      </c>
    </row>
    <row r="7712" spans="1:50">
      <c r="B7712" t="str">
        <f>"152516797"</f>
        <v>152516797</v>
      </c>
      <c r="C7712" t="s">
        <v>50</v>
      </c>
      <c r="D7712" t="s">
        <v>12154</v>
      </c>
      <c r="E7712" t="s">
        <v>52</v>
      </c>
      <c r="F7712" t="s">
        <v>309</v>
      </c>
      <c r="G7712" t="s">
        <v>1484</v>
      </c>
      <c r="H7712" t="str">
        <f>" "</f>
        <v xml:space="preserve"> </v>
      </c>
      <c r="N7712" t="s">
        <v>8694</v>
      </c>
      <c r="O7712" t="s">
        <v>8695</v>
      </c>
      <c r="R7712" t="s">
        <v>159</v>
      </c>
      <c r="S7712">
        <v>1</v>
      </c>
      <c r="T7712" t="s">
        <v>8835</v>
      </c>
      <c r="U7712" s="1">
        <v>43348</v>
      </c>
      <c r="V7712" t="s">
        <v>5177</v>
      </c>
      <c r="W7712" t="s">
        <v>5178</v>
      </c>
      <c r="X7712" t="s">
        <v>58</v>
      </c>
      <c r="Y7712">
        <v>24</v>
      </c>
      <c r="Z7712" t="s">
        <v>59</v>
      </c>
      <c r="AA7712" t="s">
        <v>59</v>
      </c>
      <c r="AB7712" t="s">
        <v>59</v>
      </c>
      <c r="AC7712" t="s">
        <v>59</v>
      </c>
      <c r="AD7712" t="s">
        <v>59</v>
      </c>
      <c r="AF7712" s="1">
        <v>43348</v>
      </c>
      <c r="AG7712" t="s">
        <v>8645</v>
      </c>
      <c r="AH7712" t="s">
        <v>8646</v>
      </c>
      <c r="AI7712" t="str">
        <f>"9320090"</f>
        <v>9320090</v>
      </c>
      <c r="AJ7712" t="s">
        <v>11926</v>
      </c>
      <c r="AK7712">
        <v>2843022385</v>
      </c>
      <c r="AL7712" t="s">
        <v>11927</v>
      </c>
      <c r="AM7712" t="s">
        <v>4513</v>
      </c>
      <c r="AN7712" t="s">
        <v>4540</v>
      </c>
      <c r="AO7712" t="s">
        <v>4540</v>
      </c>
      <c r="AP7712" t="s">
        <v>4540</v>
      </c>
      <c r="AQ7712">
        <v>8</v>
      </c>
      <c r="AR7712" t="s">
        <v>5177</v>
      </c>
      <c r="AS7712" t="s">
        <v>5178</v>
      </c>
      <c r="AT7712" t="s">
        <v>58</v>
      </c>
      <c r="AU7712" t="s">
        <v>131</v>
      </c>
      <c r="AV7712" t="s">
        <v>132</v>
      </c>
      <c r="AW7712" s="1">
        <v>33140</v>
      </c>
      <c r="AX7712">
        <v>1</v>
      </c>
    </row>
    <row r="7713" spans="1:50">
      <c r="B7713" t="str">
        <f>"140951780"</f>
        <v>140951780</v>
      </c>
      <c r="C7713" t="s">
        <v>50</v>
      </c>
      <c r="D7713" t="s">
        <v>12155</v>
      </c>
      <c r="E7713" t="s">
        <v>237</v>
      </c>
      <c r="F7713" t="s">
        <v>99</v>
      </c>
      <c r="G7713" t="s">
        <v>6093</v>
      </c>
      <c r="H7713" t="str">
        <f>"ΙΑΣΩΝΟΣ 19 "</f>
        <v xml:space="preserve">ΙΑΣΩΝΟΣ 19 </v>
      </c>
      <c r="I7713">
        <v>42100</v>
      </c>
      <c r="J7713">
        <v>2431300204</v>
      </c>
      <c r="K7713">
        <v>6970808556</v>
      </c>
      <c r="N7713" t="s">
        <v>1525</v>
      </c>
      <c r="O7713" t="s">
        <v>1526</v>
      </c>
      <c r="R7713" t="s">
        <v>159</v>
      </c>
      <c r="S7713">
        <v>2</v>
      </c>
      <c r="T7713" t="s">
        <v>8670</v>
      </c>
      <c r="U7713" s="1">
        <v>43348</v>
      </c>
      <c r="V7713" t="s">
        <v>5177</v>
      </c>
      <c r="W7713" t="s">
        <v>5178</v>
      </c>
      <c r="X7713" t="s">
        <v>58</v>
      </c>
      <c r="Y7713">
        <v>25</v>
      </c>
      <c r="Z7713" t="s">
        <v>59</v>
      </c>
      <c r="AA7713" t="s">
        <v>59</v>
      </c>
      <c r="AB7713" t="s">
        <v>59</v>
      </c>
      <c r="AC7713" t="s">
        <v>59</v>
      </c>
      <c r="AD7713" t="s">
        <v>59</v>
      </c>
      <c r="AF7713" s="1">
        <v>43348</v>
      </c>
      <c r="AG7713" t="s">
        <v>8651</v>
      </c>
      <c r="AH7713" t="s">
        <v>8652</v>
      </c>
      <c r="AI7713" t="str">
        <f>"9320222"</f>
        <v>9320222</v>
      </c>
      <c r="AJ7713" t="s">
        <v>12020</v>
      </c>
      <c r="AK7713">
        <v>2841022857</v>
      </c>
      <c r="AL7713" t="s">
        <v>12021</v>
      </c>
      <c r="AM7713" t="s">
        <v>4513</v>
      </c>
      <c r="AN7713" t="s">
        <v>4514</v>
      </c>
      <c r="AO7713" t="s">
        <v>4514</v>
      </c>
      <c r="AP7713" t="s">
        <v>4514</v>
      </c>
      <c r="AQ7713">
        <v>1</v>
      </c>
      <c r="AR7713" t="s">
        <v>5177</v>
      </c>
      <c r="AS7713" t="s">
        <v>5178</v>
      </c>
      <c r="AT7713" t="s">
        <v>58</v>
      </c>
      <c r="AU7713" t="s">
        <v>8673</v>
      </c>
      <c r="AV7713" t="s">
        <v>132</v>
      </c>
      <c r="AW7713" s="1">
        <v>31741</v>
      </c>
      <c r="AX7713">
        <v>1</v>
      </c>
    </row>
    <row r="7714" spans="1:50">
      <c r="A7714">
        <v>610637</v>
      </c>
      <c r="B7714" t="str">
        <f>"124019151"</f>
        <v>124019151</v>
      </c>
      <c r="C7714" t="s">
        <v>50</v>
      </c>
      <c r="D7714" t="s">
        <v>12156</v>
      </c>
      <c r="E7714" t="s">
        <v>250</v>
      </c>
      <c r="F7714" t="s">
        <v>166</v>
      </c>
      <c r="G7714" t="s">
        <v>658</v>
      </c>
      <c r="H7714" t="str">
        <f>"ΑΝΤΙΓΟΝΗΣ 46 ΝΕΟ ΗΡΑΚΛΕΙΟ"</f>
        <v>ΑΝΤΙΓΟΝΗΣ 46 ΝΕΟ ΗΡΑΚΛΕΙΟ</v>
      </c>
      <c r="I7714">
        <v>14122</v>
      </c>
      <c r="K7714">
        <v>6944635884</v>
      </c>
      <c r="L7714">
        <v>2842024124</v>
      </c>
      <c r="M7714" t="s">
        <v>12157</v>
      </c>
      <c r="N7714" t="s">
        <v>615</v>
      </c>
      <c r="O7714" t="s">
        <v>616</v>
      </c>
      <c r="R7714" t="s">
        <v>57</v>
      </c>
      <c r="S7714">
        <v>6</v>
      </c>
      <c r="T7714">
        <v>233</v>
      </c>
      <c r="U7714" s="1">
        <v>38960</v>
      </c>
      <c r="V7714" t="s">
        <v>5177</v>
      </c>
      <c r="W7714" t="s">
        <v>5178</v>
      </c>
      <c r="X7714" t="s">
        <v>58</v>
      </c>
      <c r="Y7714">
        <v>23</v>
      </c>
      <c r="Z7714" t="s">
        <v>59</v>
      </c>
      <c r="AA7714" t="s">
        <v>59</v>
      </c>
      <c r="AB7714" t="s">
        <v>59</v>
      </c>
      <c r="AC7714" t="s">
        <v>59</v>
      </c>
      <c r="AD7714" t="s">
        <v>59</v>
      </c>
      <c r="AF7714" s="1">
        <v>38961</v>
      </c>
      <c r="AG7714" t="s">
        <v>8645</v>
      </c>
      <c r="AH7714" t="s">
        <v>8646</v>
      </c>
      <c r="AI7714" t="str">
        <f>"9320021"</f>
        <v>9320021</v>
      </c>
      <c r="AJ7714" t="s">
        <v>11956</v>
      </c>
      <c r="AK7714">
        <v>2842022557</v>
      </c>
      <c r="AL7714" t="s">
        <v>11957</v>
      </c>
      <c r="AM7714" t="s">
        <v>4513</v>
      </c>
      <c r="AN7714" t="s">
        <v>4519</v>
      </c>
      <c r="AO7714" t="s">
        <v>4519</v>
      </c>
      <c r="AP7714" t="s">
        <v>4519</v>
      </c>
      <c r="AQ7714">
        <v>5</v>
      </c>
      <c r="AR7714" t="s">
        <v>5177</v>
      </c>
      <c r="AS7714" t="s">
        <v>5178</v>
      </c>
      <c r="AT7714" t="s">
        <v>58</v>
      </c>
      <c r="AU7714" t="s">
        <v>68</v>
      </c>
      <c r="AV7714" t="s">
        <v>69</v>
      </c>
      <c r="AW7714" s="1">
        <v>30183</v>
      </c>
      <c r="AX7714">
        <v>1</v>
      </c>
    </row>
    <row r="7715" spans="1:50">
      <c r="B7715" t="str">
        <f>"149565990"</f>
        <v>149565990</v>
      </c>
      <c r="C7715" t="s">
        <v>50</v>
      </c>
      <c r="D7715" t="s">
        <v>12158</v>
      </c>
      <c r="E7715" t="s">
        <v>563</v>
      </c>
      <c r="F7715" t="s">
        <v>670</v>
      </c>
      <c r="G7715" t="s">
        <v>476</v>
      </c>
      <c r="H7715" t="str">
        <f>"ΜΕΛΙΣΣΙ ΓΙΑΝΝΙΤΣΩΝ "</f>
        <v xml:space="preserve">ΜΕΛΙΣΣΙ ΓΙΑΝΝΙΤΣΩΝ </v>
      </c>
      <c r="I7715">
        <v>58100</v>
      </c>
      <c r="J7715">
        <v>2382042512</v>
      </c>
      <c r="K7715">
        <v>6972866953</v>
      </c>
      <c r="N7715" t="s">
        <v>615</v>
      </c>
      <c r="O7715" t="s">
        <v>616</v>
      </c>
      <c r="R7715" t="s">
        <v>159</v>
      </c>
      <c r="S7715">
        <v>2</v>
      </c>
      <c r="T7715" t="s">
        <v>8675</v>
      </c>
      <c r="U7715" s="1">
        <v>43348</v>
      </c>
      <c r="V7715" t="s">
        <v>5177</v>
      </c>
      <c r="W7715" t="s">
        <v>5178</v>
      </c>
      <c r="X7715" t="s">
        <v>58</v>
      </c>
      <c r="Y7715">
        <v>24</v>
      </c>
      <c r="Z7715" t="s">
        <v>59</v>
      </c>
      <c r="AA7715" t="s">
        <v>59</v>
      </c>
      <c r="AB7715" t="s">
        <v>59</v>
      </c>
      <c r="AC7715" t="s">
        <v>59</v>
      </c>
      <c r="AD7715" t="s">
        <v>59</v>
      </c>
      <c r="AF7715" s="1">
        <v>43348</v>
      </c>
      <c r="AG7715" t="s">
        <v>8645</v>
      </c>
      <c r="AH7715" t="s">
        <v>8646</v>
      </c>
      <c r="AI7715" t="str">
        <f>"9320071"</f>
        <v>9320071</v>
      </c>
      <c r="AJ7715" t="s">
        <v>12098</v>
      </c>
      <c r="AK7715">
        <v>2841041234</v>
      </c>
      <c r="AL7715" t="s">
        <v>12099</v>
      </c>
      <c r="AM7715" t="s">
        <v>4513</v>
      </c>
      <c r="AN7715" t="s">
        <v>4514</v>
      </c>
      <c r="AO7715" t="s">
        <v>4514</v>
      </c>
      <c r="AP7715" t="s">
        <v>12100</v>
      </c>
      <c r="AQ7715">
        <v>2</v>
      </c>
      <c r="AR7715" t="s">
        <v>5177</v>
      </c>
      <c r="AS7715" t="s">
        <v>5178</v>
      </c>
      <c r="AT7715" t="s">
        <v>58</v>
      </c>
      <c r="AU7715" t="s">
        <v>8673</v>
      </c>
      <c r="AV7715" t="s">
        <v>132</v>
      </c>
      <c r="AW7715" s="1">
        <v>32590</v>
      </c>
      <c r="AX7715">
        <v>1</v>
      </c>
    </row>
    <row r="7716" spans="1:50">
      <c r="A7716">
        <v>611548</v>
      </c>
      <c r="B7716" t="str">
        <f>"053467062"</f>
        <v>053467062</v>
      </c>
      <c r="C7716" t="s">
        <v>50</v>
      </c>
      <c r="D7716" t="s">
        <v>12159</v>
      </c>
      <c r="E7716" t="s">
        <v>2923</v>
      </c>
      <c r="F7716" t="s">
        <v>53</v>
      </c>
      <c r="G7716" t="s">
        <v>237</v>
      </c>
      <c r="H7716" t="str">
        <f>" "</f>
        <v xml:space="preserve"> </v>
      </c>
      <c r="J7716">
        <v>2310947552</v>
      </c>
      <c r="K7716">
        <v>6945235253</v>
      </c>
      <c r="N7716" t="s">
        <v>1525</v>
      </c>
      <c r="O7716" t="s">
        <v>1526</v>
      </c>
      <c r="R7716" t="s">
        <v>57</v>
      </c>
      <c r="S7716">
        <v>6</v>
      </c>
      <c r="T7716">
        <v>233</v>
      </c>
      <c r="U7716" s="1">
        <v>38960</v>
      </c>
      <c r="V7716" t="s">
        <v>5177</v>
      </c>
      <c r="W7716" t="s">
        <v>5178</v>
      </c>
      <c r="X7716" t="s">
        <v>58</v>
      </c>
      <c r="Y7716">
        <v>25</v>
      </c>
      <c r="Z7716" t="s">
        <v>59</v>
      </c>
      <c r="AA7716" t="s">
        <v>59</v>
      </c>
      <c r="AB7716" t="s">
        <v>59</v>
      </c>
      <c r="AC7716" t="s">
        <v>59</v>
      </c>
      <c r="AD7716" t="s">
        <v>59</v>
      </c>
      <c r="AF7716" s="1">
        <v>38960</v>
      </c>
      <c r="AG7716" t="s">
        <v>8651</v>
      </c>
      <c r="AH7716" t="s">
        <v>8652</v>
      </c>
      <c r="AI7716" t="str">
        <f>"9320162"</f>
        <v>9320162</v>
      </c>
      <c r="AJ7716" t="s">
        <v>12160</v>
      </c>
      <c r="AK7716">
        <v>2842091214</v>
      </c>
      <c r="AL7716" t="s">
        <v>12161</v>
      </c>
      <c r="AM7716" t="s">
        <v>4513</v>
      </c>
      <c r="AN7716" t="s">
        <v>4519</v>
      </c>
      <c r="AO7716" t="s">
        <v>4519</v>
      </c>
      <c r="AP7716" t="s">
        <v>12162</v>
      </c>
      <c r="AQ7716">
        <v>7</v>
      </c>
      <c r="AR7716" t="s">
        <v>5177</v>
      </c>
      <c r="AS7716" t="s">
        <v>5178</v>
      </c>
      <c r="AT7716" t="s">
        <v>58</v>
      </c>
      <c r="AU7716" t="s">
        <v>68</v>
      </c>
      <c r="AV7716" t="s">
        <v>69</v>
      </c>
      <c r="AW7716" s="1">
        <v>25280</v>
      </c>
      <c r="AX7716">
        <v>1</v>
      </c>
    </row>
    <row r="7717" spans="1:50">
      <c r="A7717">
        <v>605109</v>
      </c>
      <c r="B7717" t="str">
        <f>"109117848"</f>
        <v>109117848</v>
      </c>
      <c r="C7717" t="s">
        <v>50</v>
      </c>
      <c r="D7717" t="s">
        <v>12163</v>
      </c>
      <c r="E7717" t="s">
        <v>671</v>
      </c>
      <c r="F7717" t="s">
        <v>95</v>
      </c>
      <c r="G7717" t="s">
        <v>52</v>
      </c>
      <c r="H7717" t="str">
        <f>"ΗΡΩΩΝ ΠΟΛΥΤΕΧΝΕΙΟΥ 15 ΙΕΡΑΠΕΤΡΑ"</f>
        <v>ΗΡΩΩΝ ΠΟΛΥΤΕΧΝΕΙΟΥ 15 ΙΕΡΑΠΕΤΡΑ</v>
      </c>
      <c r="I7717">
        <v>72220</v>
      </c>
      <c r="J7717">
        <v>2842024636</v>
      </c>
      <c r="K7717">
        <v>6976403840</v>
      </c>
      <c r="N7717" t="s">
        <v>615</v>
      </c>
      <c r="O7717" t="s">
        <v>616</v>
      </c>
      <c r="R7717" t="s">
        <v>57</v>
      </c>
      <c r="S7717">
        <v>7</v>
      </c>
      <c r="T7717">
        <v>231</v>
      </c>
      <c r="U7717" s="1">
        <v>38230</v>
      </c>
      <c r="V7717" t="s">
        <v>5177</v>
      </c>
      <c r="W7717" t="s">
        <v>5178</v>
      </c>
      <c r="X7717" t="s">
        <v>58</v>
      </c>
      <c r="Y7717">
        <v>22</v>
      </c>
      <c r="Z7717" t="s">
        <v>59</v>
      </c>
      <c r="AA7717" t="s">
        <v>59</v>
      </c>
      <c r="AB7717" t="s">
        <v>59</v>
      </c>
      <c r="AC7717" t="s">
        <v>59</v>
      </c>
      <c r="AD7717" t="s">
        <v>59</v>
      </c>
      <c r="AF7717" s="1">
        <v>38231</v>
      </c>
      <c r="AG7717" t="s">
        <v>8645</v>
      </c>
      <c r="AH7717" t="s">
        <v>8646</v>
      </c>
      <c r="AI7717" t="str">
        <f>"9320003"</f>
        <v>9320003</v>
      </c>
      <c r="AJ7717" t="s">
        <v>11886</v>
      </c>
      <c r="AK7717">
        <v>2842089830</v>
      </c>
      <c r="AL7717" t="s">
        <v>11887</v>
      </c>
      <c r="AM7717" t="s">
        <v>4513</v>
      </c>
      <c r="AN7717" t="s">
        <v>4519</v>
      </c>
      <c r="AO7717" t="s">
        <v>4519</v>
      </c>
      <c r="AP7717" t="s">
        <v>4519</v>
      </c>
      <c r="AQ7717">
        <v>4</v>
      </c>
      <c r="AR7717" t="s">
        <v>5177</v>
      </c>
      <c r="AS7717" t="s">
        <v>5178</v>
      </c>
      <c r="AT7717" t="s">
        <v>58</v>
      </c>
      <c r="AU7717" t="s">
        <v>68</v>
      </c>
      <c r="AV7717" t="s">
        <v>69</v>
      </c>
      <c r="AW7717" s="1">
        <v>27180</v>
      </c>
      <c r="AX7717">
        <v>1</v>
      </c>
    </row>
    <row r="7718" spans="1:50">
      <c r="B7718" t="str">
        <f>"149632748"</f>
        <v>149632748</v>
      </c>
      <c r="C7718" t="s">
        <v>50</v>
      </c>
      <c r="D7718" t="s">
        <v>7233</v>
      </c>
      <c r="E7718" t="s">
        <v>83</v>
      </c>
      <c r="F7718" t="s">
        <v>106</v>
      </c>
      <c r="G7718" t="s">
        <v>52</v>
      </c>
      <c r="H7718" t="str">
        <f>"ΣΚΙΑΘΟΥ 11 "</f>
        <v xml:space="preserve">ΣΚΙΑΘΟΥ 11 </v>
      </c>
      <c r="I7718">
        <v>16561</v>
      </c>
      <c r="J7718">
        <v>2843022584</v>
      </c>
      <c r="K7718">
        <v>6970656957</v>
      </c>
      <c r="N7718" t="s">
        <v>615</v>
      </c>
      <c r="O7718" t="s">
        <v>616</v>
      </c>
      <c r="R7718" t="s">
        <v>159</v>
      </c>
      <c r="S7718">
        <v>3</v>
      </c>
      <c r="T7718" t="s">
        <v>8675</v>
      </c>
      <c r="U7718" s="1">
        <v>43348</v>
      </c>
      <c r="V7718" t="s">
        <v>5177</v>
      </c>
      <c r="W7718" t="s">
        <v>5178</v>
      </c>
      <c r="X7718" t="s">
        <v>58</v>
      </c>
      <c r="Y7718">
        <v>24</v>
      </c>
      <c r="Z7718" t="s">
        <v>59</v>
      </c>
      <c r="AA7718" t="s">
        <v>59</v>
      </c>
      <c r="AB7718" t="s">
        <v>59</v>
      </c>
      <c r="AC7718" t="s">
        <v>59</v>
      </c>
      <c r="AD7718" t="s">
        <v>59</v>
      </c>
      <c r="AF7718" s="1">
        <v>43348</v>
      </c>
      <c r="AG7718" t="s">
        <v>8645</v>
      </c>
      <c r="AH7718" t="s">
        <v>8646</v>
      </c>
      <c r="AI7718" t="str">
        <f>"9320132"</f>
        <v>9320132</v>
      </c>
      <c r="AJ7718" t="s">
        <v>12072</v>
      </c>
      <c r="AK7718">
        <v>2843094341</v>
      </c>
      <c r="AL7718" t="s">
        <v>12073</v>
      </c>
      <c r="AM7718" t="s">
        <v>4513</v>
      </c>
      <c r="AN7718" t="s">
        <v>4540</v>
      </c>
      <c r="AO7718" t="s">
        <v>4540</v>
      </c>
      <c r="AP7718" t="s">
        <v>12074</v>
      </c>
      <c r="AQ7718">
        <v>10</v>
      </c>
      <c r="AR7718" t="s">
        <v>5177</v>
      </c>
      <c r="AS7718" t="s">
        <v>5178</v>
      </c>
      <c r="AT7718" t="s">
        <v>58</v>
      </c>
      <c r="AU7718" t="s">
        <v>8673</v>
      </c>
      <c r="AV7718" t="s">
        <v>132</v>
      </c>
      <c r="AW7718" s="1">
        <v>31044</v>
      </c>
      <c r="AX7718">
        <v>1</v>
      </c>
    </row>
    <row r="7719" spans="1:50">
      <c r="A7719">
        <v>593465</v>
      </c>
      <c r="B7719" t="str">
        <f>"110367644"</f>
        <v>110367644</v>
      </c>
      <c r="C7719" t="s">
        <v>50</v>
      </c>
      <c r="D7719" t="s">
        <v>7233</v>
      </c>
      <c r="E7719" t="s">
        <v>52</v>
      </c>
      <c r="F7719" t="s">
        <v>53</v>
      </c>
      <c r="G7719" t="s">
        <v>7030</v>
      </c>
      <c r="H7719" t="str">
        <f>"ΔΙΟΝΥΣΑΔΩΝ 24 ΣΗΤΕΙΑ ΛΑΣΙΘΙΟΥ"</f>
        <v>ΔΙΟΝΥΣΑΔΩΝ 24 ΣΗΤΕΙΑ ΛΑΣΙΘΙΟΥ</v>
      </c>
      <c r="I7719">
        <v>72300</v>
      </c>
      <c r="J7719">
        <v>2843024902</v>
      </c>
      <c r="K7719">
        <v>6941670739</v>
      </c>
      <c r="M7719" t="s">
        <v>12164</v>
      </c>
      <c r="N7719" t="s">
        <v>615</v>
      </c>
      <c r="O7719" t="s">
        <v>616</v>
      </c>
      <c r="R7719" t="s">
        <v>57</v>
      </c>
      <c r="S7719">
        <v>8</v>
      </c>
      <c r="T7719">
        <v>218</v>
      </c>
      <c r="U7719" s="1">
        <v>37134</v>
      </c>
      <c r="V7719" t="s">
        <v>5177</v>
      </c>
      <c r="W7719" t="s">
        <v>5178</v>
      </c>
      <c r="X7719" t="s">
        <v>58</v>
      </c>
      <c r="Y7719">
        <v>22</v>
      </c>
      <c r="Z7719" t="s">
        <v>59</v>
      </c>
      <c r="AA7719" t="s">
        <v>59</v>
      </c>
      <c r="AB7719" t="s">
        <v>59</v>
      </c>
      <c r="AC7719" t="s">
        <v>59</v>
      </c>
      <c r="AD7719" t="s">
        <v>59</v>
      </c>
      <c r="AF7719" s="1">
        <v>37140</v>
      </c>
      <c r="AG7719" t="s">
        <v>8645</v>
      </c>
      <c r="AH7719" t="s">
        <v>8646</v>
      </c>
      <c r="AI7719" t="str">
        <f>"9320093"</f>
        <v>9320093</v>
      </c>
      <c r="AJ7719" t="s">
        <v>11967</v>
      </c>
      <c r="AK7719">
        <v>2843025130</v>
      </c>
      <c r="AL7719" t="s">
        <v>11968</v>
      </c>
      <c r="AM7719" t="s">
        <v>4513</v>
      </c>
      <c r="AN7719" t="s">
        <v>4540</v>
      </c>
      <c r="AO7719" t="s">
        <v>4540</v>
      </c>
      <c r="AP7719" t="s">
        <v>4540</v>
      </c>
      <c r="AQ7719">
        <v>8</v>
      </c>
      <c r="AR7719" t="s">
        <v>5177</v>
      </c>
      <c r="AS7719" t="s">
        <v>5178</v>
      </c>
      <c r="AT7719" t="s">
        <v>58</v>
      </c>
      <c r="AU7719" t="s">
        <v>68</v>
      </c>
      <c r="AV7719" t="s">
        <v>69</v>
      </c>
      <c r="AW7719" s="1">
        <v>24221</v>
      </c>
      <c r="AX7719">
        <v>1</v>
      </c>
    </row>
    <row r="7720" spans="1:50">
      <c r="A7720">
        <v>557681</v>
      </c>
      <c r="B7720" t="str">
        <f>"032158092"</f>
        <v>032158092</v>
      </c>
      <c r="C7720" t="s">
        <v>105</v>
      </c>
      <c r="D7720" t="s">
        <v>7236</v>
      </c>
      <c r="E7720" t="s">
        <v>5043</v>
      </c>
      <c r="F7720" t="s">
        <v>99</v>
      </c>
      <c r="G7720" t="s">
        <v>366</v>
      </c>
      <c r="H7720" t="str">
        <f>"ΠΛΑΤΕΙΑ ΜΕΜΟΥ ΜΑΚΡΗ ΙΕΡΑΠΕΤΡΑ"</f>
        <v>ΠΛΑΤΕΙΑ ΜΕΜΟΥ ΜΑΚΡΗ ΙΕΡΑΠΕΤΡΑ</v>
      </c>
      <c r="I7720">
        <v>72200</v>
      </c>
      <c r="J7720">
        <v>2842024595</v>
      </c>
      <c r="K7720">
        <v>6984522380</v>
      </c>
      <c r="L7720">
        <v>2842080468</v>
      </c>
      <c r="N7720" t="s">
        <v>615</v>
      </c>
      <c r="O7720" t="s">
        <v>616</v>
      </c>
      <c r="R7720" t="s">
        <v>57</v>
      </c>
      <c r="S7720">
        <v>15</v>
      </c>
      <c r="T7720">
        <v>168</v>
      </c>
      <c r="U7720" s="1">
        <v>32010</v>
      </c>
      <c r="V7720" t="s">
        <v>5177</v>
      </c>
      <c r="W7720" t="s">
        <v>5178</v>
      </c>
      <c r="X7720" t="s">
        <v>58</v>
      </c>
      <c r="Y7720">
        <v>21</v>
      </c>
      <c r="Z7720" t="s">
        <v>59</v>
      </c>
      <c r="AA7720" t="s">
        <v>59</v>
      </c>
      <c r="AB7720" t="s">
        <v>59</v>
      </c>
      <c r="AC7720" t="s">
        <v>59</v>
      </c>
      <c r="AD7720" t="s">
        <v>59</v>
      </c>
      <c r="AF7720" s="1">
        <v>32021</v>
      </c>
      <c r="AG7720" t="s">
        <v>8645</v>
      </c>
      <c r="AH7720" t="s">
        <v>8646</v>
      </c>
      <c r="AI7720" t="str">
        <f>"9320163"</f>
        <v>9320163</v>
      </c>
      <c r="AJ7720" t="s">
        <v>12012</v>
      </c>
      <c r="AK7720">
        <v>2842024595</v>
      </c>
      <c r="AL7720" t="s">
        <v>12013</v>
      </c>
      <c r="AM7720" t="s">
        <v>4513</v>
      </c>
      <c r="AN7720" t="s">
        <v>4519</v>
      </c>
      <c r="AO7720" t="s">
        <v>4519</v>
      </c>
      <c r="AP7720" t="s">
        <v>4519</v>
      </c>
      <c r="AQ7720">
        <v>4</v>
      </c>
      <c r="AR7720" t="s">
        <v>5177</v>
      </c>
      <c r="AS7720" t="s">
        <v>5178</v>
      </c>
      <c r="AT7720" t="s">
        <v>58</v>
      </c>
      <c r="AU7720" t="s">
        <v>68</v>
      </c>
      <c r="AV7720" t="s">
        <v>69</v>
      </c>
      <c r="AW7720" s="1">
        <v>21816</v>
      </c>
      <c r="AX7720">
        <v>1</v>
      </c>
    </row>
    <row r="7721" spans="1:50">
      <c r="A7721">
        <v>610817</v>
      </c>
      <c r="B7721" t="str">
        <f>"138501233"</f>
        <v>138501233</v>
      </c>
      <c r="C7721" t="s">
        <v>50</v>
      </c>
      <c r="D7721" t="s">
        <v>1494</v>
      </c>
      <c r="E7721" t="s">
        <v>143</v>
      </c>
      <c r="F7721" t="s">
        <v>5833</v>
      </c>
      <c r="G7721" t="s">
        <v>83</v>
      </c>
      <c r="H7721" t="str">
        <f>"ΠΕΤΡΟΠΟΥΛΟΥ 2 ΚΟΡΙΝΟΣ ΠΙΕΡΙΑΣ"</f>
        <v>ΠΕΤΡΟΠΟΥΛΟΥ 2 ΚΟΡΙΝΟΣ ΠΙΕΡΙΑΣ</v>
      </c>
      <c r="I7721">
        <v>60062</v>
      </c>
      <c r="J7721">
        <v>2351041581</v>
      </c>
      <c r="K7721">
        <v>6972014315</v>
      </c>
      <c r="N7721" t="s">
        <v>615</v>
      </c>
      <c r="O7721" t="s">
        <v>616</v>
      </c>
      <c r="R7721" t="s">
        <v>57</v>
      </c>
      <c r="S7721">
        <v>6</v>
      </c>
      <c r="T7721">
        <v>233</v>
      </c>
      <c r="U7721" s="1">
        <v>38960</v>
      </c>
      <c r="V7721" t="s">
        <v>5177</v>
      </c>
      <c r="W7721" t="s">
        <v>5178</v>
      </c>
      <c r="X7721" t="s">
        <v>58</v>
      </c>
      <c r="Y7721">
        <v>23</v>
      </c>
      <c r="Z7721" t="s">
        <v>59</v>
      </c>
      <c r="AA7721" t="s">
        <v>59</v>
      </c>
      <c r="AB7721" t="s">
        <v>59</v>
      </c>
      <c r="AC7721" t="s">
        <v>59</v>
      </c>
      <c r="AD7721" t="s">
        <v>59</v>
      </c>
      <c r="AF7721" s="1">
        <v>38961</v>
      </c>
      <c r="AG7721" t="s">
        <v>8645</v>
      </c>
      <c r="AH7721" t="s">
        <v>8646</v>
      </c>
      <c r="AI7721" t="str">
        <f>"9320034"</f>
        <v>9320034</v>
      </c>
      <c r="AJ7721" t="s">
        <v>11984</v>
      </c>
      <c r="AK7721">
        <v>2841061401</v>
      </c>
      <c r="AL7721" t="s">
        <v>11985</v>
      </c>
      <c r="AM7721" t="s">
        <v>4513</v>
      </c>
      <c r="AN7721" t="s">
        <v>4514</v>
      </c>
      <c r="AO7721" t="s">
        <v>4514</v>
      </c>
      <c r="AP7721" t="s">
        <v>11986</v>
      </c>
      <c r="AQ7721">
        <v>2</v>
      </c>
      <c r="AR7721" t="s">
        <v>5177</v>
      </c>
      <c r="AS7721" t="s">
        <v>5178</v>
      </c>
      <c r="AT7721" t="s">
        <v>58</v>
      </c>
      <c r="AU7721" t="s">
        <v>68</v>
      </c>
      <c r="AV7721" t="s">
        <v>69</v>
      </c>
      <c r="AW7721" s="1">
        <v>30223</v>
      </c>
      <c r="AX7721">
        <v>1</v>
      </c>
    </row>
    <row r="7722" spans="1:50">
      <c r="A7722">
        <v>607325</v>
      </c>
      <c r="B7722" t="str">
        <f>"124041016"</f>
        <v>124041016</v>
      </c>
      <c r="C7722" t="s">
        <v>50</v>
      </c>
      <c r="D7722" t="s">
        <v>1505</v>
      </c>
      <c r="E7722" t="s">
        <v>255</v>
      </c>
      <c r="F7722" t="s">
        <v>53</v>
      </c>
      <c r="G7722" t="s">
        <v>610</v>
      </c>
      <c r="H7722" t="str">
        <f>"Α.ΠΑΠΑΝΔΡΕΟΥ 42 ΙΕΡΑΠΕΤΡΑ"</f>
        <v>Α.ΠΑΠΑΝΔΡΕΟΥ 42 ΙΕΡΑΠΕΤΡΑ</v>
      </c>
      <c r="I7722">
        <v>72200</v>
      </c>
      <c r="J7722">
        <v>2842023867</v>
      </c>
      <c r="K7722">
        <v>6977260180</v>
      </c>
      <c r="N7722" t="s">
        <v>615</v>
      </c>
      <c r="O7722" t="s">
        <v>616</v>
      </c>
      <c r="R7722" t="s">
        <v>57</v>
      </c>
      <c r="S7722">
        <v>7</v>
      </c>
      <c r="T7722">
        <v>217</v>
      </c>
      <c r="U7722" s="1">
        <v>38596</v>
      </c>
      <c r="V7722" t="s">
        <v>5177</v>
      </c>
      <c r="W7722" t="s">
        <v>5178</v>
      </c>
      <c r="X7722" t="s">
        <v>58</v>
      </c>
      <c r="Y7722">
        <v>23</v>
      </c>
      <c r="Z7722" t="s">
        <v>59</v>
      </c>
      <c r="AA7722" t="s">
        <v>59</v>
      </c>
      <c r="AB7722" t="s">
        <v>59</v>
      </c>
      <c r="AC7722" t="s">
        <v>59</v>
      </c>
      <c r="AD7722" t="s">
        <v>59</v>
      </c>
      <c r="AF7722" s="1">
        <v>38600</v>
      </c>
      <c r="AG7722" t="s">
        <v>8645</v>
      </c>
      <c r="AH7722" t="s">
        <v>8646</v>
      </c>
      <c r="AI7722" t="str">
        <f>"9320005"</f>
        <v>9320005</v>
      </c>
      <c r="AJ7722" t="s">
        <v>12004</v>
      </c>
      <c r="AK7722">
        <v>2842022202</v>
      </c>
      <c r="AL7722" t="s">
        <v>12005</v>
      </c>
      <c r="AM7722" t="s">
        <v>4513</v>
      </c>
      <c r="AN7722" t="s">
        <v>4519</v>
      </c>
      <c r="AO7722" t="s">
        <v>4519</v>
      </c>
      <c r="AP7722" t="s">
        <v>4519</v>
      </c>
      <c r="AQ7722">
        <v>4</v>
      </c>
      <c r="AR7722" t="s">
        <v>5177</v>
      </c>
      <c r="AS7722" t="s">
        <v>5178</v>
      </c>
      <c r="AT7722" t="s">
        <v>58</v>
      </c>
      <c r="AU7722" t="s">
        <v>68</v>
      </c>
      <c r="AV7722" t="s">
        <v>69</v>
      </c>
      <c r="AW7722" s="1">
        <v>29723</v>
      </c>
      <c r="AX7722">
        <v>1</v>
      </c>
    </row>
    <row r="7723" spans="1:50">
      <c r="A7723">
        <v>621986</v>
      </c>
      <c r="B7723" t="str">
        <f>"138362517"</f>
        <v>138362517</v>
      </c>
      <c r="C7723" t="s">
        <v>50</v>
      </c>
      <c r="D7723" t="s">
        <v>1532</v>
      </c>
      <c r="E7723" t="s">
        <v>12165</v>
      </c>
      <c r="F7723" t="s">
        <v>995</v>
      </c>
      <c r="G7723" t="s">
        <v>372</v>
      </c>
      <c r="H7723" t="str">
        <f>"ΠΛΑΤΑΡΙΑ ΘΕΣΠΡΩΤΙΑΣ ΗΓΟΥΜΕΝΙΤΣΑ"</f>
        <v>ΠΛΑΤΑΡΙΑ ΘΕΣΠΡΩΤΙΑΣ ΗΓΟΥΜΕΝΙΤΣΑ</v>
      </c>
      <c r="I7723">
        <v>46100</v>
      </c>
      <c r="J7723">
        <v>2665071858</v>
      </c>
      <c r="K7723">
        <v>6976134872</v>
      </c>
      <c r="N7723" t="s">
        <v>615</v>
      </c>
      <c r="O7723" t="s">
        <v>616</v>
      </c>
      <c r="R7723" t="s">
        <v>57</v>
      </c>
      <c r="S7723">
        <v>5</v>
      </c>
      <c r="T7723">
        <v>653</v>
      </c>
      <c r="U7723" s="1">
        <v>40043</v>
      </c>
      <c r="V7723" t="s">
        <v>5177</v>
      </c>
      <c r="W7723" t="s">
        <v>5178</v>
      </c>
      <c r="X7723" t="s">
        <v>58</v>
      </c>
      <c r="Y7723">
        <v>23</v>
      </c>
      <c r="Z7723" t="s">
        <v>59</v>
      </c>
      <c r="AA7723" t="s">
        <v>59</v>
      </c>
      <c r="AB7723" t="s">
        <v>59</v>
      </c>
      <c r="AC7723" t="s">
        <v>59</v>
      </c>
      <c r="AD7723" t="s">
        <v>59</v>
      </c>
      <c r="AF7723" s="1">
        <v>40044</v>
      </c>
      <c r="AG7723" t="s">
        <v>8645</v>
      </c>
      <c r="AH7723" t="s">
        <v>8646</v>
      </c>
      <c r="AI7723" t="str">
        <f>"9320042"</f>
        <v>9320042</v>
      </c>
      <c r="AJ7723" t="s">
        <v>11942</v>
      </c>
      <c r="AK7723">
        <v>2844031250</v>
      </c>
      <c r="AL7723" t="s">
        <v>11943</v>
      </c>
      <c r="AM7723" t="s">
        <v>4513</v>
      </c>
      <c r="AN7723" t="s">
        <v>4592</v>
      </c>
      <c r="AO7723" t="s">
        <v>4592</v>
      </c>
      <c r="AP7723" t="s">
        <v>11944</v>
      </c>
      <c r="AQ7723">
        <v>3</v>
      </c>
      <c r="AR7723" t="s">
        <v>5177</v>
      </c>
      <c r="AS7723" t="s">
        <v>5178</v>
      </c>
      <c r="AT7723" t="s">
        <v>58</v>
      </c>
      <c r="AU7723" t="s">
        <v>68</v>
      </c>
      <c r="AV7723" t="s">
        <v>69</v>
      </c>
      <c r="AW7723" s="1">
        <v>31352</v>
      </c>
      <c r="AX7723">
        <v>1</v>
      </c>
    </row>
    <row r="7724" spans="1:50">
      <c r="B7724" t="str">
        <f>"128475909"</f>
        <v>128475909</v>
      </c>
      <c r="C7724" t="s">
        <v>50</v>
      </c>
      <c r="D7724" t="s">
        <v>12166</v>
      </c>
      <c r="E7724" t="s">
        <v>2097</v>
      </c>
      <c r="F7724" t="s">
        <v>4694</v>
      </c>
      <c r="G7724" t="s">
        <v>1085</v>
      </c>
      <c r="H7724" t="str">
        <f>"ΑΛΕΞΑΝΔΡΑΣ 55 ΔΑΦΝΗ ΑΘΗΝΑΣ"</f>
        <v>ΑΛΕΞΑΝΔΡΑΣ 55 ΔΑΦΝΗ ΑΘΗΝΑΣ</v>
      </c>
      <c r="I7724">
        <v>17235</v>
      </c>
      <c r="J7724">
        <v>2645092056</v>
      </c>
      <c r="K7724">
        <v>6973517863</v>
      </c>
      <c r="N7724" t="s">
        <v>306</v>
      </c>
      <c r="O7724" t="s">
        <v>307</v>
      </c>
      <c r="R7724" t="s">
        <v>159</v>
      </c>
      <c r="S7724">
        <v>2</v>
      </c>
      <c r="T7724" t="s">
        <v>8675</v>
      </c>
      <c r="U7724" s="1">
        <v>43348</v>
      </c>
      <c r="V7724" t="s">
        <v>5177</v>
      </c>
      <c r="W7724" t="s">
        <v>5178</v>
      </c>
      <c r="X7724" t="s">
        <v>58</v>
      </c>
      <c r="Y7724">
        <v>24</v>
      </c>
      <c r="Z7724" t="s">
        <v>59</v>
      </c>
      <c r="AA7724" t="s">
        <v>59</v>
      </c>
      <c r="AB7724" t="s">
        <v>59</v>
      </c>
      <c r="AC7724" t="s">
        <v>59</v>
      </c>
      <c r="AD7724" t="s">
        <v>59</v>
      </c>
      <c r="AF7724" s="1">
        <v>43348</v>
      </c>
      <c r="AG7724" t="s">
        <v>8645</v>
      </c>
      <c r="AH7724" t="s">
        <v>8646</v>
      </c>
      <c r="AI7724" t="str">
        <f>"9320001"</f>
        <v>9320001</v>
      </c>
      <c r="AJ7724" t="s">
        <v>11954</v>
      </c>
      <c r="AK7724">
        <v>2842022505</v>
      </c>
      <c r="AL7724" t="s">
        <v>11955</v>
      </c>
      <c r="AM7724" t="s">
        <v>4513</v>
      </c>
      <c r="AN7724" t="s">
        <v>4519</v>
      </c>
      <c r="AO7724" t="s">
        <v>4519</v>
      </c>
      <c r="AP7724" t="s">
        <v>4519</v>
      </c>
      <c r="AQ7724">
        <v>4</v>
      </c>
      <c r="AR7724" t="s">
        <v>5177</v>
      </c>
      <c r="AS7724" t="s">
        <v>5178</v>
      </c>
      <c r="AT7724" t="s">
        <v>58</v>
      </c>
      <c r="AU7724" t="s">
        <v>8673</v>
      </c>
      <c r="AV7724" t="s">
        <v>132</v>
      </c>
      <c r="AW7724" s="1">
        <v>30775</v>
      </c>
      <c r="AX7724">
        <v>1</v>
      </c>
    </row>
    <row r="7725" spans="1:50">
      <c r="A7725">
        <v>620158</v>
      </c>
      <c r="B7725" t="str">
        <f>"067930572"</f>
        <v>067930572</v>
      </c>
      <c r="C7725" t="s">
        <v>50</v>
      </c>
      <c r="D7725" t="s">
        <v>12167</v>
      </c>
      <c r="E7725" t="s">
        <v>1443</v>
      </c>
      <c r="F7725" t="s">
        <v>581</v>
      </c>
      <c r="G7725" t="s">
        <v>4671</v>
      </c>
      <c r="H7725" t="str">
        <f>"ΒΑΡΒΑΚΗ 3 ΘΕΣΣΑΛΟΝΙΚΗ"</f>
        <v>ΒΑΡΒΑΚΗ 3 ΘΕΣΣΑΛΟΝΙΚΗ</v>
      </c>
      <c r="I7725">
        <v>54663</v>
      </c>
      <c r="J7725">
        <v>2310221534</v>
      </c>
      <c r="K7725">
        <v>6972440500</v>
      </c>
      <c r="N7725" t="s">
        <v>1525</v>
      </c>
      <c r="O7725" t="s">
        <v>1526</v>
      </c>
      <c r="R7725" t="s">
        <v>57</v>
      </c>
      <c r="S7725">
        <v>5</v>
      </c>
      <c r="T7725">
        <v>794</v>
      </c>
      <c r="U7725" s="1">
        <v>39680</v>
      </c>
      <c r="V7725" t="s">
        <v>5177</v>
      </c>
      <c r="W7725" t="s">
        <v>5178</v>
      </c>
      <c r="X7725" t="s">
        <v>58</v>
      </c>
      <c r="Y7725">
        <v>25</v>
      </c>
      <c r="Z7725" t="s">
        <v>59</v>
      </c>
      <c r="AA7725" t="s">
        <v>59</v>
      </c>
      <c r="AB7725" t="s">
        <v>59</v>
      </c>
      <c r="AC7725" t="s">
        <v>59</v>
      </c>
      <c r="AD7725" t="s">
        <v>59</v>
      </c>
      <c r="AF7725" s="1">
        <v>39692</v>
      </c>
      <c r="AG7725" t="s">
        <v>8651</v>
      </c>
      <c r="AH7725" t="s">
        <v>8652</v>
      </c>
      <c r="AI7725" t="str">
        <f>"9320223"</f>
        <v>9320223</v>
      </c>
      <c r="AJ7725" t="s">
        <v>12168</v>
      </c>
      <c r="AK7725">
        <v>2843026063</v>
      </c>
      <c r="AL7725" t="s">
        <v>12169</v>
      </c>
      <c r="AM7725" t="s">
        <v>4513</v>
      </c>
      <c r="AN7725" t="s">
        <v>4540</v>
      </c>
      <c r="AO7725" t="s">
        <v>4540</v>
      </c>
      <c r="AP7725" t="s">
        <v>4540</v>
      </c>
      <c r="AQ7725">
        <v>8</v>
      </c>
      <c r="AR7725" t="s">
        <v>5177</v>
      </c>
      <c r="AS7725" t="s">
        <v>5178</v>
      </c>
      <c r="AT7725" t="s">
        <v>58</v>
      </c>
      <c r="AU7725" t="s">
        <v>68</v>
      </c>
      <c r="AV7725" t="s">
        <v>69</v>
      </c>
      <c r="AW7725" s="1">
        <v>27040</v>
      </c>
      <c r="AX7725">
        <v>1</v>
      </c>
    </row>
    <row r="7726" spans="1:50">
      <c r="A7726">
        <v>587537</v>
      </c>
      <c r="B7726" t="str">
        <f>"035299994"</f>
        <v>035299994</v>
      </c>
      <c r="C7726" t="s">
        <v>50</v>
      </c>
      <c r="D7726" t="s">
        <v>12170</v>
      </c>
      <c r="E7726" t="s">
        <v>52</v>
      </c>
      <c r="F7726" t="s">
        <v>95</v>
      </c>
      <c r="G7726" t="s">
        <v>5556</v>
      </c>
      <c r="H7726" t="str">
        <f>"Τ. ΠΑΠΑΓΙΑΝΝΗ 9 ΜΥΤΙΛΗΝΗ"</f>
        <v>Τ. ΠΑΠΑΓΙΑΝΝΗ 9 ΜΥΤΙΛΗΝΗ</v>
      </c>
      <c r="I7726">
        <v>81100</v>
      </c>
      <c r="J7726">
        <v>2251027659</v>
      </c>
      <c r="K7726">
        <v>6985611175</v>
      </c>
      <c r="N7726" t="s">
        <v>176</v>
      </c>
      <c r="O7726" t="s">
        <v>177</v>
      </c>
      <c r="R7726" t="s">
        <v>57</v>
      </c>
      <c r="S7726">
        <v>12</v>
      </c>
      <c r="T7726">
        <v>164</v>
      </c>
      <c r="U7726" s="1">
        <v>36040</v>
      </c>
      <c r="V7726" t="s">
        <v>5177</v>
      </c>
      <c r="W7726" t="s">
        <v>5178</v>
      </c>
      <c r="X7726" t="s">
        <v>58</v>
      </c>
      <c r="Y7726">
        <v>21</v>
      </c>
      <c r="Z7726" t="s">
        <v>59</v>
      </c>
      <c r="AA7726" t="s">
        <v>59</v>
      </c>
      <c r="AB7726" t="s">
        <v>59</v>
      </c>
      <c r="AC7726" t="s">
        <v>59</v>
      </c>
      <c r="AD7726" t="s">
        <v>59</v>
      </c>
      <c r="AF7726" s="1">
        <v>36045</v>
      </c>
      <c r="AG7726" t="s">
        <v>8645</v>
      </c>
      <c r="AH7726" t="s">
        <v>8646</v>
      </c>
      <c r="AI7726" t="str">
        <f>"9320163"</f>
        <v>9320163</v>
      </c>
      <c r="AJ7726" t="s">
        <v>12012</v>
      </c>
      <c r="AK7726">
        <v>2842024595</v>
      </c>
      <c r="AL7726" t="s">
        <v>12013</v>
      </c>
      <c r="AM7726" t="s">
        <v>4513</v>
      </c>
      <c r="AN7726" t="s">
        <v>4519</v>
      </c>
      <c r="AO7726" t="s">
        <v>4519</v>
      </c>
      <c r="AP7726" t="s">
        <v>4519</v>
      </c>
      <c r="AQ7726">
        <v>4</v>
      </c>
      <c r="AR7726" t="s">
        <v>5177</v>
      </c>
      <c r="AS7726" t="s">
        <v>5178</v>
      </c>
      <c r="AT7726" t="s">
        <v>58</v>
      </c>
      <c r="AU7726" t="s">
        <v>68</v>
      </c>
      <c r="AV7726" t="s">
        <v>69</v>
      </c>
      <c r="AW7726" s="1">
        <v>22915</v>
      </c>
      <c r="AX7726">
        <v>1</v>
      </c>
    </row>
    <row r="7727" spans="1:50">
      <c r="B7727" t="str">
        <f>"114409213"</f>
        <v>114409213</v>
      </c>
      <c r="C7727" t="s">
        <v>50</v>
      </c>
      <c r="D7727" t="s">
        <v>5985</v>
      </c>
      <c r="E7727" t="s">
        <v>52</v>
      </c>
      <c r="F7727" t="s">
        <v>95</v>
      </c>
      <c r="G7727" t="s">
        <v>134</v>
      </c>
      <c r="H7727" t="str">
        <f>"ΚΥΘΝΟΥ 20 "</f>
        <v xml:space="preserve">ΚΥΘΝΟΥ 20 </v>
      </c>
      <c r="I7727">
        <v>67100</v>
      </c>
      <c r="J7727">
        <v>2541020748</v>
      </c>
      <c r="K7727">
        <v>6932385418</v>
      </c>
      <c r="N7727" t="s">
        <v>615</v>
      </c>
      <c r="O7727" t="s">
        <v>616</v>
      </c>
      <c r="R7727" t="s">
        <v>159</v>
      </c>
      <c r="S7727">
        <v>2</v>
      </c>
      <c r="T7727" t="s">
        <v>8675</v>
      </c>
      <c r="U7727" s="1">
        <v>43348</v>
      </c>
      <c r="V7727" t="s">
        <v>5177</v>
      </c>
      <c r="W7727" t="s">
        <v>5178</v>
      </c>
      <c r="X7727" t="s">
        <v>58</v>
      </c>
      <c r="Y7727">
        <v>24</v>
      </c>
      <c r="Z7727" t="s">
        <v>59</v>
      </c>
      <c r="AA7727" t="s">
        <v>59</v>
      </c>
      <c r="AB7727" t="s">
        <v>59</v>
      </c>
      <c r="AC7727" t="s">
        <v>59</v>
      </c>
      <c r="AD7727" t="s">
        <v>59</v>
      </c>
      <c r="AF7727" s="1">
        <v>43348</v>
      </c>
      <c r="AG7727" t="s">
        <v>8645</v>
      </c>
      <c r="AH7727" t="s">
        <v>8646</v>
      </c>
      <c r="AI7727" t="str">
        <f>"9320145"</f>
        <v>9320145</v>
      </c>
      <c r="AJ7727" t="s">
        <v>12171</v>
      </c>
      <c r="AK7727">
        <v>2841071309</v>
      </c>
      <c r="AL7727" t="s">
        <v>12172</v>
      </c>
      <c r="AM7727" t="s">
        <v>4513</v>
      </c>
      <c r="AN7727" t="s">
        <v>4514</v>
      </c>
      <c r="AO7727" t="s">
        <v>12085</v>
      </c>
      <c r="AP7727" t="s">
        <v>12085</v>
      </c>
      <c r="AQ7727">
        <v>2</v>
      </c>
      <c r="AR7727" t="s">
        <v>5177</v>
      </c>
      <c r="AS7727" t="s">
        <v>5178</v>
      </c>
      <c r="AT7727" t="s">
        <v>58</v>
      </c>
      <c r="AU7727" t="s">
        <v>8673</v>
      </c>
      <c r="AV7727" t="s">
        <v>132</v>
      </c>
      <c r="AW7727" s="1">
        <v>27579</v>
      </c>
      <c r="AX7727">
        <v>1</v>
      </c>
    </row>
    <row r="7728" spans="1:50">
      <c r="B7728" t="str">
        <f>"074390633"</f>
        <v>074390633</v>
      </c>
      <c r="C7728" t="s">
        <v>105</v>
      </c>
      <c r="D7728" t="s">
        <v>1555</v>
      </c>
      <c r="E7728" t="s">
        <v>609</v>
      </c>
      <c r="F7728" t="s">
        <v>202</v>
      </c>
      <c r="G7728" t="s">
        <v>52</v>
      </c>
      <c r="H7728" t="str">
        <f>"ΚΡΟΚΙΔΑ 6 "</f>
        <v xml:space="preserve">ΚΡΟΚΙΔΑ 6 </v>
      </c>
      <c r="I7728">
        <v>20200</v>
      </c>
      <c r="J7728">
        <v>2742020839</v>
      </c>
      <c r="K7728">
        <v>6979643695</v>
      </c>
      <c r="N7728" t="s">
        <v>337</v>
      </c>
      <c r="O7728" t="s">
        <v>338</v>
      </c>
      <c r="R7728" t="s">
        <v>159</v>
      </c>
      <c r="S7728">
        <v>1</v>
      </c>
      <c r="T7728" t="s">
        <v>8675</v>
      </c>
      <c r="U7728" s="1">
        <v>43348</v>
      </c>
      <c r="V7728" t="s">
        <v>5177</v>
      </c>
      <c r="W7728" t="s">
        <v>5178</v>
      </c>
      <c r="X7728" t="s">
        <v>58</v>
      </c>
      <c r="Y7728">
        <v>24</v>
      </c>
      <c r="Z7728" t="s">
        <v>59</v>
      </c>
      <c r="AA7728" t="s">
        <v>59</v>
      </c>
      <c r="AB7728" t="s">
        <v>59</v>
      </c>
      <c r="AC7728" t="s">
        <v>59</v>
      </c>
      <c r="AD7728" t="s">
        <v>59</v>
      </c>
      <c r="AF7728" s="1">
        <v>43348</v>
      </c>
      <c r="AG7728" t="s">
        <v>8645</v>
      </c>
      <c r="AH7728" t="s">
        <v>8646</v>
      </c>
      <c r="AI7728" t="str">
        <f>"9320003"</f>
        <v>9320003</v>
      </c>
      <c r="AJ7728" t="s">
        <v>11886</v>
      </c>
      <c r="AK7728">
        <v>2842089830</v>
      </c>
      <c r="AL7728" t="s">
        <v>11887</v>
      </c>
      <c r="AM7728" t="s">
        <v>4513</v>
      </c>
      <c r="AN7728" t="s">
        <v>4519</v>
      </c>
      <c r="AO7728" t="s">
        <v>4519</v>
      </c>
      <c r="AP7728" t="s">
        <v>4519</v>
      </c>
      <c r="AQ7728">
        <v>4</v>
      </c>
      <c r="AR7728" t="s">
        <v>5177</v>
      </c>
      <c r="AS7728" t="s">
        <v>5178</v>
      </c>
      <c r="AT7728" t="s">
        <v>58</v>
      </c>
      <c r="AU7728" t="s">
        <v>8673</v>
      </c>
      <c r="AV7728" t="s">
        <v>132</v>
      </c>
      <c r="AW7728" s="1">
        <v>30807</v>
      </c>
      <c r="AX7728">
        <v>1</v>
      </c>
    </row>
    <row r="7729" spans="1:50">
      <c r="B7729" t="str">
        <f>"146066255"</f>
        <v>146066255</v>
      </c>
      <c r="C7729" t="s">
        <v>50</v>
      </c>
      <c r="D7729" t="s">
        <v>4851</v>
      </c>
      <c r="E7729" t="s">
        <v>12173</v>
      </c>
      <c r="F7729" t="s">
        <v>377</v>
      </c>
      <c r="H7729" t="str">
        <f>"Λιμνοχώρι ΗΡΑΚΛΕΙΑΣ"</f>
        <v>Λιμνοχώρι ΗΡΑΚΛΕΙΑΣ</v>
      </c>
      <c r="I7729">
        <v>62400</v>
      </c>
      <c r="J7729">
        <v>2325051180</v>
      </c>
      <c r="N7729" t="s">
        <v>8694</v>
      </c>
      <c r="O7729" t="s">
        <v>8695</v>
      </c>
      <c r="R7729" t="s">
        <v>159</v>
      </c>
      <c r="S7729">
        <v>1</v>
      </c>
      <c r="T7729" t="s">
        <v>8835</v>
      </c>
      <c r="U7729" s="1">
        <v>43348</v>
      </c>
      <c r="V7729" t="s">
        <v>5177</v>
      </c>
      <c r="W7729" t="s">
        <v>5178</v>
      </c>
      <c r="X7729" t="s">
        <v>58</v>
      </c>
      <c r="Y7729">
        <v>24</v>
      </c>
      <c r="Z7729" t="s">
        <v>59</v>
      </c>
      <c r="AA7729" t="s">
        <v>59</v>
      </c>
      <c r="AB7729" t="s">
        <v>59</v>
      </c>
      <c r="AC7729" t="s">
        <v>59</v>
      </c>
      <c r="AD7729" t="s">
        <v>59</v>
      </c>
      <c r="AF7729" s="1">
        <v>43348</v>
      </c>
      <c r="AG7729" t="s">
        <v>8645</v>
      </c>
      <c r="AH7729" t="s">
        <v>8646</v>
      </c>
      <c r="AI7729" t="str">
        <f>"9320005"</f>
        <v>9320005</v>
      </c>
      <c r="AJ7729" t="s">
        <v>12004</v>
      </c>
      <c r="AK7729">
        <v>2842022202</v>
      </c>
      <c r="AL7729" t="s">
        <v>12005</v>
      </c>
      <c r="AM7729" t="s">
        <v>4513</v>
      </c>
      <c r="AN7729" t="s">
        <v>4519</v>
      </c>
      <c r="AO7729" t="s">
        <v>4519</v>
      </c>
      <c r="AP7729" t="s">
        <v>4519</v>
      </c>
      <c r="AQ7729">
        <v>4</v>
      </c>
      <c r="AR7729" t="s">
        <v>5177</v>
      </c>
      <c r="AS7729" t="s">
        <v>5178</v>
      </c>
      <c r="AT7729" t="s">
        <v>58</v>
      </c>
      <c r="AU7729" t="s">
        <v>131</v>
      </c>
      <c r="AV7729" t="s">
        <v>132</v>
      </c>
      <c r="AW7729" s="1">
        <v>33462</v>
      </c>
      <c r="AX7729">
        <v>1</v>
      </c>
    </row>
    <row r="7730" spans="1:50">
      <c r="A7730">
        <v>606043</v>
      </c>
      <c r="B7730" t="str">
        <f>"036728883"</f>
        <v>036728883</v>
      </c>
      <c r="C7730" t="s">
        <v>50</v>
      </c>
      <c r="D7730" t="s">
        <v>12174</v>
      </c>
      <c r="E7730" t="s">
        <v>83</v>
      </c>
      <c r="F7730" t="s">
        <v>72</v>
      </c>
      <c r="G7730" t="s">
        <v>112</v>
      </c>
      <c r="H7730" t="str">
        <f>"ΑΚΤΗ ΠΟΣΕΙΔΩΝΟΣ 8 ΕΛΟΥΝΤΑ"</f>
        <v>ΑΚΤΗ ΠΟΣΕΙΔΩΝΟΣ 8 ΕΛΟΥΝΤΑ</v>
      </c>
      <c r="I7730">
        <v>72053</v>
      </c>
      <c r="J7730">
        <v>2299084367</v>
      </c>
      <c r="K7730">
        <v>6979470712</v>
      </c>
      <c r="N7730" t="s">
        <v>1525</v>
      </c>
      <c r="O7730" t="s">
        <v>1526</v>
      </c>
      <c r="R7730" t="s">
        <v>57</v>
      </c>
      <c r="S7730">
        <v>9</v>
      </c>
      <c r="T7730">
        <v>231</v>
      </c>
      <c r="U7730" s="1">
        <v>38230</v>
      </c>
      <c r="V7730" t="s">
        <v>5177</v>
      </c>
      <c r="W7730" t="s">
        <v>5178</v>
      </c>
      <c r="X7730" t="s">
        <v>58</v>
      </c>
      <c r="Y7730">
        <v>25</v>
      </c>
      <c r="Z7730" t="s">
        <v>59</v>
      </c>
      <c r="AA7730" t="s">
        <v>59</v>
      </c>
      <c r="AB7730" t="s">
        <v>59</v>
      </c>
      <c r="AC7730" t="s">
        <v>59</v>
      </c>
      <c r="AD7730" t="s">
        <v>59</v>
      </c>
      <c r="AF7730" s="1">
        <v>38231</v>
      </c>
      <c r="AG7730" t="s">
        <v>8651</v>
      </c>
      <c r="AH7730" t="s">
        <v>8652</v>
      </c>
      <c r="AI7730" t="str">
        <f>"9320056"</f>
        <v>9320056</v>
      </c>
      <c r="AJ7730" t="s">
        <v>11980</v>
      </c>
      <c r="AK7730">
        <v>2841028260</v>
      </c>
      <c r="AL7730" t="s">
        <v>11981</v>
      </c>
      <c r="AM7730" t="s">
        <v>4513</v>
      </c>
      <c r="AN7730" t="s">
        <v>4514</v>
      </c>
      <c r="AO7730" t="s">
        <v>4514</v>
      </c>
      <c r="AP7730" t="s">
        <v>4514</v>
      </c>
      <c r="AQ7730">
        <v>1</v>
      </c>
      <c r="AR7730" t="s">
        <v>5177</v>
      </c>
      <c r="AS7730" t="s">
        <v>5178</v>
      </c>
      <c r="AT7730" t="s">
        <v>58</v>
      </c>
      <c r="AU7730" t="s">
        <v>68</v>
      </c>
      <c r="AV7730" t="s">
        <v>69</v>
      </c>
      <c r="AW7730" s="1">
        <v>24473</v>
      </c>
      <c r="AX7730">
        <v>1</v>
      </c>
    </row>
    <row r="7731" spans="1:50">
      <c r="A7731">
        <v>621864</v>
      </c>
      <c r="B7731" t="str">
        <f>"124048620"</f>
        <v>124048620</v>
      </c>
      <c r="C7731" t="s">
        <v>50</v>
      </c>
      <c r="D7731" t="s">
        <v>12175</v>
      </c>
      <c r="E7731" t="s">
        <v>3290</v>
      </c>
      <c r="F7731" t="s">
        <v>95</v>
      </c>
      <c r="G7731" t="s">
        <v>134</v>
      </c>
      <c r="H7731" t="str">
        <f>"ΣΑΡΕΙΔΑΚΗ 16 ΙΕΡΑΠΕΤΡΑ"</f>
        <v>ΣΑΡΕΙΔΑΚΗ 16 ΙΕΡΑΠΕΤΡΑ</v>
      </c>
      <c r="I7731">
        <v>72200</v>
      </c>
      <c r="J7731">
        <v>2842028613</v>
      </c>
      <c r="K7731">
        <v>6972981803</v>
      </c>
      <c r="M7731" t="s">
        <v>12176</v>
      </c>
      <c r="N7731" t="s">
        <v>615</v>
      </c>
      <c r="O7731" t="s">
        <v>616</v>
      </c>
      <c r="R7731" t="s">
        <v>57</v>
      </c>
      <c r="S7731">
        <v>5</v>
      </c>
      <c r="T7731">
        <v>653</v>
      </c>
      <c r="U7731" s="1">
        <v>40043</v>
      </c>
      <c r="V7731" t="s">
        <v>5177</v>
      </c>
      <c r="W7731" t="s">
        <v>5178</v>
      </c>
      <c r="X7731" t="s">
        <v>58</v>
      </c>
      <c r="Y7731">
        <v>23</v>
      </c>
      <c r="Z7731" t="s">
        <v>59</v>
      </c>
      <c r="AA7731" t="s">
        <v>59</v>
      </c>
      <c r="AB7731" t="s">
        <v>59</v>
      </c>
      <c r="AC7731" t="s">
        <v>59</v>
      </c>
      <c r="AD7731" t="s">
        <v>59</v>
      </c>
      <c r="AF7731" s="1">
        <v>40043</v>
      </c>
      <c r="AG7731" t="s">
        <v>8645</v>
      </c>
      <c r="AH7731" t="s">
        <v>8646</v>
      </c>
      <c r="AI7731" t="str">
        <f>"9320030"</f>
        <v>9320030</v>
      </c>
      <c r="AJ7731" t="s">
        <v>11928</v>
      </c>
      <c r="AK7731">
        <v>2842093264</v>
      </c>
      <c r="AL7731" t="s">
        <v>11929</v>
      </c>
      <c r="AM7731" t="s">
        <v>4513</v>
      </c>
      <c r="AN7731" t="s">
        <v>4519</v>
      </c>
      <c r="AO7731" t="s">
        <v>4519</v>
      </c>
      <c r="AP7731" t="s">
        <v>11930</v>
      </c>
      <c r="AQ7731">
        <v>5</v>
      </c>
      <c r="AR7731" t="s">
        <v>5177</v>
      </c>
      <c r="AS7731" t="s">
        <v>5178</v>
      </c>
      <c r="AT7731" t="s">
        <v>58</v>
      </c>
      <c r="AU7731" t="s">
        <v>68</v>
      </c>
      <c r="AV7731" t="s">
        <v>69</v>
      </c>
      <c r="AW7731" s="1">
        <v>31089</v>
      </c>
      <c r="AX7731">
        <v>1</v>
      </c>
    </row>
    <row r="7732" spans="1:50">
      <c r="A7732">
        <v>181053</v>
      </c>
      <c r="B7732" t="str">
        <f>"035412960"</f>
        <v>035412960</v>
      </c>
      <c r="C7732" t="s">
        <v>50</v>
      </c>
      <c r="D7732" t="s">
        <v>12177</v>
      </c>
      <c r="E7732" t="s">
        <v>143</v>
      </c>
      <c r="F7732" t="s">
        <v>53</v>
      </c>
      <c r="G7732" t="s">
        <v>52</v>
      </c>
      <c r="H7732" t="str">
        <f>" "</f>
        <v xml:space="preserve"> </v>
      </c>
      <c r="N7732" t="s">
        <v>306</v>
      </c>
      <c r="O7732" t="s">
        <v>307</v>
      </c>
      <c r="R7732" t="s">
        <v>57</v>
      </c>
      <c r="S7732">
        <v>12</v>
      </c>
      <c r="T7732">
        <v>181</v>
      </c>
      <c r="U7732" s="1">
        <v>36039</v>
      </c>
      <c r="V7732" t="s">
        <v>5177</v>
      </c>
      <c r="W7732" t="s">
        <v>5178</v>
      </c>
      <c r="X7732" t="s">
        <v>58</v>
      </c>
      <c r="Y7732">
        <v>21</v>
      </c>
      <c r="Z7732" t="s">
        <v>59</v>
      </c>
      <c r="AA7732" t="s">
        <v>59</v>
      </c>
      <c r="AB7732" t="s">
        <v>59</v>
      </c>
      <c r="AC7732" t="s">
        <v>59</v>
      </c>
      <c r="AD7732" t="s">
        <v>59</v>
      </c>
      <c r="AF7732" s="1">
        <v>36042</v>
      </c>
      <c r="AG7732" t="s">
        <v>8645</v>
      </c>
      <c r="AH7732" t="s">
        <v>8646</v>
      </c>
      <c r="AI7732" t="str">
        <f>"9320115"</f>
        <v>9320115</v>
      </c>
      <c r="AJ7732" t="s">
        <v>11935</v>
      </c>
      <c r="AK7732">
        <v>2843061213</v>
      </c>
      <c r="AL7732" t="s">
        <v>11936</v>
      </c>
      <c r="AM7732" t="s">
        <v>4513</v>
      </c>
      <c r="AN7732" t="s">
        <v>4540</v>
      </c>
      <c r="AO7732" t="s">
        <v>4700</v>
      </c>
      <c r="AP7732" t="s">
        <v>4701</v>
      </c>
      <c r="AQ7732">
        <v>9</v>
      </c>
      <c r="AR7732" t="s">
        <v>5177</v>
      </c>
      <c r="AS7732" t="s">
        <v>5178</v>
      </c>
      <c r="AT7732" t="s">
        <v>58</v>
      </c>
      <c r="AU7732" t="s">
        <v>68</v>
      </c>
      <c r="AV7732" t="s">
        <v>69</v>
      </c>
      <c r="AW7732" s="1">
        <v>24521</v>
      </c>
      <c r="AX7732">
        <v>1</v>
      </c>
    </row>
    <row r="7733" spans="1:50">
      <c r="B7733" t="str">
        <f>"138294159"</f>
        <v>138294159</v>
      </c>
      <c r="C7733" t="s">
        <v>50</v>
      </c>
      <c r="D7733" t="s">
        <v>12178</v>
      </c>
      <c r="E7733" t="s">
        <v>263</v>
      </c>
      <c r="F7733" t="s">
        <v>995</v>
      </c>
      <c r="G7733" t="s">
        <v>1001</v>
      </c>
      <c r="H7733" t="str">
        <f>" "</f>
        <v xml:space="preserve"> </v>
      </c>
      <c r="N7733" t="s">
        <v>384</v>
      </c>
      <c r="O7733" t="s">
        <v>385</v>
      </c>
      <c r="R7733" t="s">
        <v>121</v>
      </c>
      <c r="S7733">
        <v>1</v>
      </c>
      <c r="T7733" t="s">
        <v>8675</v>
      </c>
      <c r="U7733" s="1">
        <v>43348</v>
      </c>
      <c r="V7733" t="s">
        <v>5177</v>
      </c>
      <c r="W7733" t="s">
        <v>5178</v>
      </c>
      <c r="X7733" t="s">
        <v>58</v>
      </c>
      <c r="Y7733">
        <v>24</v>
      </c>
      <c r="Z7733" t="s">
        <v>59</v>
      </c>
      <c r="AD7733" t="s">
        <v>59</v>
      </c>
      <c r="AF7733" s="1">
        <v>43348</v>
      </c>
      <c r="AG7733" t="s">
        <v>8645</v>
      </c>
      <c r="AH7733" t="s">
        <v>8646</v>
      </c>
      <c r="AI7733" t="str">
        <f>"9320163"</f>
        <v>9320163</v>
      </c>
      <c r="AJ7733" t="s">
        <v>12012</v>
      </c>
      <c r="AK7733">
        <v>2842024595</v>
      </c>
      <c r="AL7733" t="s">
        <v>12013</v>
      </c>
      <c r="AM7733" t="s">
        <v>4513</v>
      </c>
      <c r="AN7733" t="s">
        <v>4519</v>
      </c>
      <c r="AO7733" t="s">
        <v>4519</v>
      </c>
      <c r="AP7733" t="s">
        <v>4519</v>
      </c>
      <c r="AQ7733">
        <v>4</v>
      </c>
      <c r="AR7733" t="s">
        <v>5177</v>
      </c>
      <c r="AS7733" t="s">
        <v>5178</v>
      </c>
      <c r="AT7733" t="s">
        <v>58</v>
      </c>
      <c r="AU7733" t="s">
        <v>8673</v>
      </c>
      <c r="AV7733" t="s">
        <v>132</v>
      </c>
      <c r="AW7733" s="1">
        <v>31450</v>
      </c>
      <c r="AX7733">
        <v>1</v>
      </c>
    </row>
    <row r="7734" spans="1:50">
      <c r="A7734">
        <v>226026</v>
      </c>
      <c r="B7734" t="str">
        <f>"030700236"</f>
        <v>030700236</v>
      </c>
      <c r="C7734" t="s">
        <v>50</v>
      </c>
      <c r="D7734" t="s">
        <v>12179</v>
      </c>
      <c r="E7734" t="s">
        <v>658</v>
      </c>
      <c r="F7734" t="s">
        <v>95</v>
      </c>
      <c r="G7734" t="s">
        <v>659</v>
      </c>
      <c r="H7734" t="str">
        <f>"ΚΑΛΟ ΧΩΡΙΟ ΑΓΙΟΣ ΝΙΚΟΛΑΟΣ"</f>
        <v>ΚΑΛΟ ΧΩΡΙΟ ΑΓΙΟΣ ΝΙΚΟΛΑΟΣ</v>
      </c>
      <c r="I7734">
        <v>72100</v>
      </c>
      <c r="J7734">
        <v>2841061404</v>
      </c>
      <c r="K7734">
        <v>6973661188</v>
      </c>
      <c r="N7734" t="s">
        <v>176</v>
      </c>
      <c r="O7734" t="s">
        <v>177</v>
      </c>
      <c r="R7734" t="s">
        <v>57</v>
      </c>
      <c r="S7734">
        <v>9</v>
      </c>
      <c r="T7734">
        <v>250</v>
      </c>
      <c r="U7734" s="1">
        <v>36769</v>
      </c>
      <c r="V7734" t="s">
        <v>5177</v>
      </c>
      <c r="W7734" t="s">
        <v>5178</v>
      </c>
      <c r="X7734" t="s">
        <v>58</v>
      </c>
      <c r="Y7734">
        <v>22</v>
      </c>
      <c r="Z7734" t="s">
        <v>59</v>
      </c>
      <c r="AA7734" t="s">
        <v>59</v>
      </c>
      <c r="AB7734" t="s">
        <v>59</v>
      </c>
      <c r="AC7734" t="s">
        <v>59</v>
      </c>
      <c r="AD7734" t="s">
        <v>59</v>
      </c>
      <c r="AF7734" s="1">
        <v>36770</v>
      </c>
      <c r="AG7734" t="s">
        <v>8645</v>
      </c>
      <c r="AH7734" t="s">
        <v>8646</v>
      </c>
      <c r="AI7734" t="str">
        <f>"9320034"</f>
        <v>9320034</v>
      </c>
      <c r="AJ7734" t="s">
        <v>11984</v>
      </c>
      <c r="AK7734">
        <v>2841061401</v>
      </c>
      <c r="AL7734" t="s">
        <v>11985</v>
      </c>
      <c r="AM7734" t="s">
        <v>4513</v>
      </c>
      <c r="AN7734" t="s">
        <v>4514</v>
      </c>
      <c r="AO7734" t="s">
        <v>4514</v>
      </c>
      <c r="AP7734" t="s">
        <v>11986</v>
      </c>
      <c r="AQ7734">
        <v>2</v>
      </c>
      <c r="AR7734" t="s">
        <v>5177</v>
      </c>
      <c r="AS7734" t="s">
        <v>5178</v>
      </c>
      <c r="AT7734" t="s">
        <v>58</v>
      </c>
      <c r="AU7734" t="s">
        <v>68</v>
      </c>
      <c r="AV7734" t="s">
        <v>69</v>
      </c>
      <c r="AW7734" s="1">
        <v>24413</v>
      </c>
      <c r="AX7734">
        <v>1</v>
      </c>
    </row>
    <row r="7735" spans="1:50">
      <c r="A7735">
        <v>587030</v>
      </c>
      <c r="B7735" t="str">
        <f>"037249102"</f>
        <v>037249102</v>
      </c>
      <c r="C7735" t="s">
        <v>50</v>
      </c>
      <c r="D7735" t="s">
        <v>12180</v>
      </c>
      <c r="E7735" t="s">
        <v>563</v>
      </c>
      <c r="F7735" t="s">
        <v>95</v>
      </c>
      <c r="G7735" t="s">
        <v>52</v>
      </c>
      <c r="H7735" t="str">
        <f>"Ι. ΚΟΝΔΥΛΑΚΗ 52 ΣΗΤΕΙΑ"</f>
        <v>Ι. ΚΟΝΔΥΛΑΚΗ 52 ΣΗΤΕΙΑ</v>
      </c>
      <c r="I7735">
        <v>72300</v>
      </c>
      <c r="J7735">
        <v>2843110642</v>
      </c>
      <c r="K7735">
        <v>6972645236</v>
      </c>
      <c r="M7735" t="s">
        <v>12181</v>
      </c>
      <c r="N7735" t="s">
        <v>1525</v>
      </c>
      <c r="O7735" t="s">
        <v>1526</v>
      </c>
      <c r="R7735" t="s">
        <v>57</v>
      </c>
      <c r="S7735">
        <v>13</v>
      </c>
      <c r="T7735">
        <v>165</v>
      </c>
      <c r="U7735" s="1">
        <v>36040</v>
      </c>
      <c r="V7735" t="s">
        <v>5177</v>
      </c>
      <c r="W7735" t="s">
        <v>5178</v>
      </c>
      <c r="X7735" t="s">
        <v>58</v>
      </c>
      <c r="Y7735">
        <v>25</v>
      </c>
      <c r="Z7735" t="s">
        <v>59</v>
      </c>
      <c r="AA7735" t="s">
        <v>59</v>
      </c>
      <c r="AB7735" t="s">
        <v>59</v>
      </c>
      <c r="AC7735" t="s">
        <v>59</v>
      </c>
      <c r="AD7735" t="s">
        <v>59</v>
      </c>
      <c r="AF7735" s="1">
        <v>36042</v>
      </c>
      <c r="AG7735" t="s">
        <v>8651</v>
      </c>
      <c r="AH7735" t="s">
        <v>8652</v>
      </c>
      <c r="AI7735" t="str">
        <f>"9320091"</f>
        <v>9320091</v>
      </c>
      <c r="AJ7735" t="s">
        <v>12182</v>
      </c>
      <c r="AK7735">
        <v>2843022685</v>
      </c>
      <c r="AL7735" t="s">
        <v>12183</v>
      </c>
      <c r="AM7735" t="s">
        <v>4513</v>
      </c>
      <c r="AN7735" t="s">
        <v>4540</v>
      </c>
      <c r="AO7735" t="s">
        <v>4540</v>
      </c>
      <c r="AP7735" t="s">
        <v>4540</v>
      </c>
      <c r="AQ7735">
        <v>8</v>
      </c>
      <c r="AR7735" t="s">
        <v>5177</v>
      </c>
      <c r="AS7735" t="s">
        <v>5178</v>
      </c>
      <c r="AT7735" t="s">
        <v>58</v>
      </c>
      <c r="AU7735" t="s">
        <v>68</v>
      </c>
      <c r="AV7735" t="s">
        <v>69</v>
      </c>
      <c r="AW7735" s="1">
        <v>24319</v>
      </c>
      <c r="AX7735">
        <v>1</v>
      </c>
    </row>
    <row r="7736" spans="1:50">
      <c r="A7736">
        <v>587803</v>
      </c>
      <c r="B7736" t="str">
        <f>"110382807"</f>
        <v>110382807</v>
      </c>
      <c r="C7736" t="s">
        <v>50</v>
      </c>
      <c r="D7736" t="s">
        <v>12184</v>
      </c>
      <c r="E7736" t="s">
        <v>396</v>
      </c>
      <c r="F7736" t="s">
        <v>95</v>
      </c>
      <c r="G7736" t="s">
        <v>73</v>
      </c>
      <c r="H7736" t="str">
        <f>"Μάχης Κρήτης 3 ΣΗΤΕΙΑ"</f>
        <v>Μάχης Κρήτης 3 ΣΗΤΕΙΑ</v>
      </c>
      <c r="I7736">
        <v>72300</v>
      </c>
      <c r="J7736">
        <v>2843029388</v>
      </c>
      <c r="K7736">
        <v>6977281326</v>
      </c>
      <c r="N7736" t="s">
        <v>176</v>
      </c>
      <c r="O7736" t="s">
        <v>177</v>
      </c>
      <c r="R7736" t="s">
        <v>57</v>
      </c>
      <c r="S7736">
        <v>9</v>
      </c>
      <c r="T7736">
        <v>249</v>
      </c>
      <c r="U7736" s="1">
        <v>36160</v>
      </c>
      <c r="V7736" t="s">
        <v>5177</v>
      </c>
      <c r="W7736" t="s">
        <v>5178</v>
      </c>
      <c r="X7736" t="s">
        <v>58</v>
      </c>
      <c r="Y7736">
        <v>21</v>
      </c>
      <c r="Z7736" t="s">
        <v>59</v>
      </c>
      <c r="AA7736" t="s">
        <v>59</v>
      </c>
      <c r="AB7736" t="s">
        <v>59</v>
      </c>
      <c r="AC7736" t="s">
        <v>59</v>
      </c>
      <c r="AD7736" t="s">
        <v>59</v>
      </c>
      <c r="AF7736" s="1">
        <v>36171</v>
      </c>
      <c r="AG7736" t="s">
        <v>8645</v>
      </c>
      <c r="AH7736" t="s">
        <v>8646</v>
      </c>
      <c r="AI7736" t="str">
        <f>"9320093"</f>
        <v>9320093</v>
      </c>
      <c r="AJ7736" t="s">
        <v>11967</v>
      </c>
      <c r="AK7736">
        <v>2843025130</v>
      </c>
      <c r="AL7736" t="s">
        <v>11968</v>
      </c>
      <c r="AM7736" t="s">
        <v>4513</v>
      </c>
      <c r="AN7736" t="s">
        <v>4540</v>
      </c>
      <c r="AO7736" t="s">
        <v>4540</v>
      </c>
      <c r="AP7736" t="s">
        <v>4540</v>
      </c>
      <c r="AQ7736">
        <v>8</v>
      </c>
      <c r="AR7736" t="s">
        <v>5177</v>
      </c>
      <c r="AS7736" t="s">
        <v>5178</v>
      </c>
      <c r="AT7736" t="s">
        <v>58</v>
      </c>
      <c r="AU7736" t="s">
        <v>68</v>
      </c>
      <c r="AV7736" t="s">
        <v>69</v>
      </c>
      <c r="AW7736" s="1">
        <v>27344</v>
      </c>
      <c r="AX7736">
        <v>1</v>
      </c>
    </row>
    <row r="7737" spans="1:50">
      <c r="B7737" t="str">
        <f>"124019857"</f>
        <v>124019857</v>
      </c>
      <c r="C7737" t="s">
        <v>50</v>
      </c>
      <c r="D7737" t="s">
        <v>9796</v>
      </c>
      <c r="E7737" t="s">
        <v>12185</v>
      </c>
      <c r="F7737" t="s">
        <v>154</v>
      </c>
      <c r="G7737" t="s">
        <v>52</v>
      </c>
      <c r="H7737" t="str">
        <f>"ΡΟΖΑΣ ΙΜΒΡΙΩΤΗ 10 "</f>
        <v xml:space="preserve">ΡΟΖΑΣ ΙΜΒΡΙΩΤΗ 10 </v>
      </c>
      <c r="I7737">
        <v>72200</v>
      </c>
      <c r="J7737">
        <v>2842027089</v>
      </c>
      <c r="K7737">
        <v>6944906817</v>
      </c>
      <c r="N7737" t="s">
        <v>1525</v>
      </c>
      <c r="O7737" t="s">
        <v>1526</v>
      </c>
      <c r="R7737" t="s">
        <v>159</v>
      </c>
      <c r="S7737">
        <v>4</v>
      </c>
      <c r="T7737" t="s">
        <v>8670</v>
      </c>
      <c r="U7737" s="1">
        <v>43348</v>
      </c>
      <c r="V7737" t="s">
        <v>5177</v>
      </c>
      <c r="W7737" t="s">
        <v>5178</v>
      </c>
      <c r="X7737" t="s">
        <v>58</v>
      </c>
      <c r="Y7737">
        <v>25</v>
      </c>
      <c r="Z7737" t="s">
        <v>59</v>
      </c>
      <c r="AA7737" t="s">
        <v>59</v>
      </c>
      <c r="AB7737" t="s">
        <v>59</v>
      </c>
      <c r="AC7737" t="s">
        <v>59</v>
      </c>
      <c r="AD7737" t="s">
        <v>59</v>
      </c>
      <c r="AF7737" s="1">
        <v>43348</v>
      </c>
      <c r="AG7737" t="s">
        <v>8651</v>
      </c>
      <c r="AH7737" t="s">
        <v>8652</v>
      </c>
      <c r="AI7737" t="str">
        <f>"9320153"</f>
        <v>9320153</v>
      </c>
      <c r="AJ7737" t="s">
        <v>12186</v>
      </c>
      <c r="AK7737">
        <v>2842061212</v>
      </c>
      <c r="AL7737" t="s">
        <v>12187</v>
      </c>
      <c r="AM7737" t="s">
        <v>4513</v>
      </c>
      <c r="AN7737" t="s">
        <v>4519</v>
      </c>
      <c r="AO7737" t="s">
        <v>4519</v>
      </c>
      <c r="AP7737" t="s">
        <v>11961</v>
      </c>
      <c r="AQ7737">
        <v>6</v>
      </c>
      <c r="AR7737" t="s">
        <v>5177</v>
      </c>
      <c r="AS7737" t="s">
        <v>5178</v>
      </c>
      <c r="AT7737" t="s">
        <v>58</v>
      </c>
      <c r="AU7737" t="s">
        <v>8673</v>
      </c>
      <c r="AV7737" t="s">
        <v>132</v>
      </c>
      <c r="AW7737" s="1">
        <v>30545</v>
      </c>
      <c r="AX7737">
        <v>1</v>
      </c>
    </row>
    <row r="7738" spans="1:50">
      <c r="A7738">
        <v>704107</v>
      </c>
      <c r="B7738" t="str">
        <f>"125599986"</f>
        <v>125599986</v>
      </c>
      <c r="C7738" t="s">
        <v>50</v>
      </c>
      <c r="D7738" t="s">
        <v>12188</v>
      </c>
      <c r="E7738" t="s">
        <v>83</v>
      </c>
      <c r="F7738" t="s">
        <v>95</v>
      </c>
      <c r="G7738" t="s">
        <v>52</v>
      </c>
      <c r="H7738" t="str">
        <f>"ΣΕΡΡΩΝ 76 "</f>
        <v xml:space="preserve">ΣΕΡΡΩΝ 76 </v>
      </c>
      <c r="I7738">
        <v>71307</v>
      </c>
      <c r="J7738">
        <v>2810231228</v>
      </c>
      <c r="K7738">
        <v>6973415476</v>
      </c>
      <c r="N7738" t="s">
        <v>288</v>
      </c>
      <c r="O7738" t="s">
        <v>289</v>
      </c>
      <c r="R7738" t="s">
        <v>121</v>
      </c>
      <c r="S7738">
        <v>1</v>
      </c>
      <c r="T7738">
        <v>1350</v>
      </c>
      <c r="U7738" s="1">
        <v>42732</v>
      </c>
      <c r="V7738" t="s">
        <v>5177</v>
      </c>
      <c r="W7738" t="s">
        <v>5178</v>
      </c>
      <c r="X7738" t="s">
        <v>58</v>
      </c>
      <c r="Y7738">
        <v>24</v>
      </c>
      <c r="Z7738" t="s">
        <v>59</v>
      </c>
      <c r="AA7738" t="s">
        <v>59</v>
      </c>
      <c r="AB7738" t="s">
        <v>59</v>
      </c>
      <c r="AC7738" t="s">
        <v>59</v>
      </c>
      <c r="AD7738" t="s">
        <v>59</v>
      </c>
      <c r="AF7738" s="1">
        <v>42979</v>
      </c>
      <c r="AG7738" t="s">
        <v>8645</v>
      </c>
      <c r="AH7738" t="s">
        <v>8646</v>
      </c>
      <c r="AI7738" t="str">
        <f>"9320005"</f>
        <v>9320005</v>
      </c>
      <c r="AJ7738" t="s">
        <v>12004</v>
      </c>
      <c r="AK7738">
        <v>2842022202</v>
      </c>
      <c r="AL7738" t="s">
        <v>12005</v>
      </c>
      <c r="AM7738" t="s">
        <v>4513</v>
      </c>
      <c r="AN7738" t="s">
        <v>4519</v>
      </c>
      <c r="AO7738" t="s">
        <v>4519</v>
      </c>
      <c r="AP7738" t="s">
        <v>4519</v>
      </c>
      <c r="AQ7738">
        <v>4</v>
      </c>
      <c r="AR7738" t="s">
        <v>5177</v>
      </c>
      <c r="AS7738" t="s">
        <v>5178</v>
      </c>
      <c r="AT7738" t="s">
        <v>58</v>
      </c>
      <c r="AU7738" t="s">
        <v>68</v>
      </c>
      <c r="AV7738" t="s">
        <v>69</v>
      </c>
      <c r="AW7738" s="1">
        <v>30937</v>
      </c>
      <c r="AX7738">
        <v>1</v>
      </c>
    </row>
    <row r="7739" spans="1:50">
      <c r="A7739">
        <v>613497</v>
      </c>
      <c r="B7739" t="str">
        <f>"110354083"</f>
        <v>110354083</v>
      </c>
      <c r="C7739" t="s">
        <v>50</v>
      </c>
      <c r="D7739" t="s">
        <v>6000</v>
      </c>
      <c r="E7739" t="s">
        <v>707</v>
      </c>
      <c r="F7739" t="s">
        <v>936</v>
      </c>
      <c r="G7739" t="s">
        <v>52</v>
      </c>
      <c r="H7739" t="str">
        <f>"ΚΩΝ/ΝΟΥ ΦΡΑΓΚΟΥΛΗ 27 ΣΗΤΕΙΑ"</f>
        <v>ΚΩΝ/ΝΟΥ ΦΡΑΓΚΟΥΛΗ 27 ΣΗΤΕΙΑ</v>
      </c>
      <c r="I7739">
        <v>72300</v>
      </c>
      <c r="J7739">
        <v>2843022098</v>
      </c>
      <c r="K7739">
        <v>6976760335</v>
      </c>
      <c r="N7739" t="s">
        <v>615</v>
      </c>
      <c r="O7739" t="s">
        <v>616</v>
      </c>
      <c r="R7739" t="s">
        <v>57</v>
      </c>
      <c r="S7739">
        <v>8</v>
      </c>
      <c r="T7739">
        <v>598</v>
      </c>
      <c r="U7739" s="1">
        <v>39310</v>
      </c>
      <c r="V7739" t="s">
        <v>5177</v>
      </c>
      <c r="W7739" t="s">
        <v>5178</v>
      </c>
      <c r="X7739" t="s">
        <v>58</v>
      </c>
      <c r="Y7739">
        <v>23</v>
      </c>
      <c r="Z7739" t="s">
        <v>59</v>
      </c>
      <c r="AA7739" t="s">
        <v>59</v>
      </c>
      <c r="AB7739" t="s">
        <v>59</v>
      </c>
      <c r="AC7739" t="s">
        <v>59</v>
      </c>
      <c r="AD7739" t="s">
        <v>59</v>
      </c>
      <c r="AF7739" s="1">
        <v>39310</v>
      </c>
      <c r="AG7739" t="s">
        <v>8645</v>
      </c>
      <c r="AH7739" t="s">
        <v>8646</v>
      </c>
      <c r="AI7739" t="str">
        <f>"9320093"</f>
        <v>9320093</v>
      </c>
      <c r="AJ7739" t="s">
        <v>11967</v>
      </c>
      <c r="AK7739">
        <v>2843025130</v>
      </c>
      <c r="AL7739" t="s">
        <v>11968</v>
      </c>
      <c r="AM7739" t="s">
        <v>4513</v>
      </c>
      <c r="AN7739" t="s">
        <v>4540</v>
      </c>
      <c r="AO7739" t="s">
        <v>4540</v>
      </c>
      <c r="AP7739" t="s">
        <v>4540</v>
      </c>
      <c r="AQ7739">
        <v>8</v>
      </c>
      <c r="AR7739" t="s">
        <v>5177</v>
      </c>
      <c r="AS7739" t="s">
        <v>5178</v>
      </c>
      <c r="AT7739" t="s">
        <v>58</v>
      </c>
      <c r="AU7739" t="s">
        <v>68</v>
      </c>
      <c r="AV7739" t="s">
        <v>69</v>
      </c>
      <c r="AW7739" s="1">
        <v>29881</v>
      </c>
      <c r="AX7739">
        <v>1</v>
      </c>
    </row>
    <row r="7740" spans="1:50">
      <c r="B7740" t="str">
        <f>"131847641"</f>
        <v>131847641</v>
      </c>
      <c r="C7740" t="s">
        <v>50</v>
      </c>
      <c r="D7740" t="s">
        <v>12189</v>
      </c>
      <c r="E7740" t="s">
        <v>10487</v>
      </c>
      <c r="F7740" t="s">
        <v>92</v>
      </c>
      <c r="G7740" t="s">
        <v>484</v>
      </c>
      <c r="H7740" t="str">
        <f>" "</f>
        <v xml:space="preserve"> </v>
      </c>
      <c r="N7740" t="s">
        <v>384</v>
      </c>
      <c r="O7740" t="s">
        <v>385</v>
      </c>
      <c r="R7740" t="s">
        <v>121</v>
      </c>
      <c r="S7740">
        <v>1</v>
      </c>
      <c r="T7740" t="s">
        <v>8675</v>
      </c>
      <c r="U7740" s="1">
        <v>43348</v>
      </c>
      <c r="V7740" t="s">
        <v>5177</v>
      </c>
      <c r="W7740" t="s">
        <v>5178</v>
      </c>
      <c r="X7740" t="s">
        <v>58</v>
      </c>
      <c r="Y7740">
        <v>24</v>
      </c>
      <c r="Z7740" t="s">
        <v>59</v>
      </c>
      <c r="AA7740" t="s">
        <v>59</v>
      </c>
      <c r="AB7740" t="s">
        <v>59</v>
      </c>
      <c r="AD7740" t="s">
        <v>59</v>
      </c>
      <c r="AF7740" s="1">
        <v>43348</v>
      </c>
      <c r="AG7740" t="s">
        <v>8645</v>
      </c>
      <c r="AH7740" t="s">
        <v>8646</v>
      </c>
      <c r="AI7740" t="str">
        <f>"9320003"</f>
        <v>9320003</v>
      </c>
      <c r="AJ7740" t="s">
        <v>11886</v>
      </c>
      <c r="AK7740">
        <v>2842089830</v>
      </c>
      <c r="AL7740" t="s">
        <v>11887</v>
      </c>
      <c r="AM7740" t="s">
        <v>4513</v>
      </c>
      <c r="AN7740" t="s">
        <v>4519</v>
      </c>
      <c r="AO7740" t="s">
        <v>4519</v>
      </c>
      <c r="AP7740" t="s">
        <v>4519</v>
      </c>
      <c r="AQ7740">
        <v>4</v>
      </c>
      <c r="AR7740" t="s">
        <v>5177</v>
      </c>
      <c r="AS7740" t="s">
        <v>5178</v>
      </c>
      <c r="AT7740" t="s">
        <v>58</v>
      </c>
      <c r="AU7740" t="s">
        <v>8673</v>
      </c>
      <c r="AV7740" t="s">
        <v>132</v>
      </c>
      <c r="AW7740" s="1">
        <v>31360</v>
      </c>
      <c r="AX7740">
        <v>1</v>
      </c>
    </row>
    <row r="7741" spans="1:50">
      <c r="A7741">
        <v>608186</v>
      </c>
      <c r="B7741" t="str">
        <f>"062677512"</f>
        <v>062677512</v>
      </c>
      <c r="C7741" t="s">
        <v>50</v>
      </c>
      <c r="D7741" t="s">
        <v>12190</v>
      </c>
      <c r="E7741" t="s">
        <v>263</v>
      </c>
      <c r="F7741" t="s">
        <v>166</v>
      </c>
      <c r="G7741" t="s">
        <v>1358</v>
      </c>
      <c r="H7741" t="str">
        <f>"ΠΙΣΣΙΔΕΣ (Τ.Θ. 4) ΑΓΙΟΣ ΝΙΚΟΛΑΟΣ"</f>
        <v>ΠΙΣΣΙΔΕΣ (Τ.Θ. 4) ΑΓΙΟΣ ΝΙΚΟΛΑΟΣ</v>
      </c>
      <c r="I7741">
        <v>72100</v>
      </c>
      <c r="J7741">
        <v>2841090011</v>
      </c>
      <c r="K7741">
        <v>6972313258</v>
      </c>
      <c r="N7741" t="s">
        <v>1525</v>
      </c>
      <c r="O7741" t="s">
        <v>1526</v>
      </c>
      <c r="R7741" t="s">
        <v>57</v>
      </c>
      <c r="S7741">
        <v>8</v>
      </c>
      <c r="T7741">
        <v>217</v>
      </c>
      <c r="U7741" s="1">
        <v>38596</v>
      </c>
      <c r="V7741" t="s">
        <v>5177</v>
      </c>
      <c r="W7741" t="s">
        <v>5178</v>
      </c>
      <c r="X7741" t="s">
        <v>58</v>
      </c>
      <c r="Y7741">
        <v>22</v>
      </c>
      <c r="Z7741" t="s">
        <v>59</v>
      </c>
      <c r="AA7741" t="s">
        <v>59</v>
      </c>
      <c r="AB7741" t="s">
        <v>59</v>
      </c>
      <c r="AC7741" t="s">
        <v>59</v>
      </c>
      <c r="AD7741" t="s">
        <v>59</v>
      </c>
      <c r="AF7741" s="1">
        <v>38600</v>
      </c>
      <c r="AG7741" t="s">
        <v>8651</v>
      </c>
      <c r="AH7741" t="s">
        <v>8652</v>
      </c>
      <c r="AI7741" t="str">
        <f>"9320161"</f>
        <v>9320161</v>
      </c>
      <c r="AJ7741" t="s">
        <v>12124</v>
      </c>
      <c r="AK7741">
        <v>2841028686</v>
      </c>
      <c r="AL7741" t="s">
        <v>12125</v>
      </c>
      <c r="AM7741" t="s">
        <v>4513</v>
      </c>
      <c r="AN7741" t="s">
        <v>4514</v>
      </c>
      <c r="AO7741" t="s">
        <v>4514</v>
      </c>
      <c r="AP7741" t="s">
        <v>4514</v>
      </c>
      <c r="AQ7741">
        <v>1</v>
      </c>
      <c r="AR7741" t="s">
        <v>5177</v>
      </c>
      <c r="AS7741" t="s">
        <v>5178</v>
      </c>
      <c r="AT7741" t="s">
        <v>58</v>
      </c>
      <c r="AU7741" t="s">
        <v>68</v>
      </c>
      <c r="AV7741" t="s">
        <v>69</v>
      </c>
      <c r="AW7741" s="1">
        <v>26526</v>
      </c>
      <c r="AX7741">
        <v>1</v>
      </c>
    </row>
    <row r="7742" spans="1:50">
      <c r="A7742">
        <v>549928</v>
      </c>
      <c r="B7742" t="str">
        <f>"027446300"</f>
        <v>027446300</v>
      </c>
      <c r="C7742" t="s">
        <v>105</v>
      </c>
      <c r="D7742" t="s">
        <v>12191</v>
      </c>
      <c r="E7742" t="s">
        <v>99</v>
      </c>
      <c r="F7742" t="s">
        <v>84</v>
      </c>
      <c r="G7742" t="s">
        <v>7662</v>
      </c>
      <c r="H7742" t="str">
        <f>"ΕΥΡΩΠΗΣ 13 ΑΓΙΟΣ ΝΙΚΟΛΑΟΣ"</f>
        <v>ΕΥΡΩΠΗΣ 13 ΑΓΙΟΣ ΝΙΚΟΛΑΟΣ</v>
      </c>
      <c r="I7742">
        <v>72100</v>
      </c>
      <c r="J7742">
        <v>2841022104</v>
      </c>
      <c r="K7742">
        <v>6932111225</v>
      </c>
      <c r="N7742" t="s">
        <v>615</v>
      </c>
      <c r="O7742" t="s">
        <v>616</v>
      </c>
      <c r="R7742" t="s">
        <v>57</v>
      </c>
      <c r="S7742">
        <v>17</v>
      </c>
      <c r="T7742">
        <v>281</v>
      </c>
      <c r="U7742" s="1">
        <v>30558</v>
      </c>
      <c r="V7742" t="s">
        <v>5177</v>
      </c>
      <c r="W7742" t="s">
        <v>5178</v>
      </c>
      <c r="X7742" t="s">
        <v>58</v>
      </c>
      <c r="Y7742">
        <v>21</v>
      </c>
      <c r="Z7742" t="s">
        <v>59</v>
      </c>
      <c r="AA7742" t="s">
        <v>59</v>
      </c>
      <c r="AB7742" t="s">
        <v>59</v>
      </c>
      <c r="AC7742" t="s">
        <v>59</v>
      </c>
      <c r="AD7742" t="s">
        <v>59</v>
      </c>
      <c r="AF7742" s="1">
        <v>30566</v>
      </c>
      <c r="AG7742" t="s">
        <v>8645</v>
      </c>
      <c r="AH7742" t="s">
        <v>8646</v>
      </c>
      <c r="AI7742" t="str">
        <f>"9320138"</f>
        <v>9320138</v>
      </c>
      <c r="AJ7742" t="s">
        <v>11915</v>
      </c>
      <c r="AK7742">
        <v>2841022104</v>
      </c>
      <c r="AL7742" t="s">
        <v>11916</v>
      </c>
      <c r="AM7742" t="s">
        <v>4513</v>
      </c>
      <c r="AN7742" t="s">
        <v>4514</v>
      </c>
      <c r="AO7742" t="s">
        <v>4514</v>
      </c>
      <c r="AP7742" t="s">
        <v>4514</v>
      </c>
      <c r="AQ7742">
        <v>1</v>
      </c>
      <c r="AR7742" t="s">
        <v>5177</v>
      </c>
      <c r="AS7742" t="s">
        <v>5178</v>
      </c>
      <c r="AT7742" t="s">
        <v>58</v>
      </c>
      <c r="AU7742" t="s">
        <v>68</v>
      </c>
      <c r="AV7742" t="s">
        <v>69</v>
      </c>
      <c r="AW7742" s="1">
        <v>22165</v>
      </c>
      <c r="AX7742">
        <v>1</v>
      </c>
    </row>
    <row r="7743" spans="1:50">
      <c r="A7743">
        <v>564258</v>
      </c>
      <c r="B7743" t="str">
        <f>"034379265"</f>
        <v>034379265</v>
      </c>
      <c r="C7743" t="s">
        <v>50</v>
      </c>
      <c r="D7743" t="s">
        <v>9869</v>
      </c>
      <c r="E7743" t="s">
        <v>52</v>
      </c>
      <c r="F7743" t="s">
        <v>106</v>
      </c>
      <c r="G7743" t="s">
        <v>255</v>
      </c>
      <c r="H7743" t="str">
        <f>" "</f>
        <v xml:space="preserve"> </v>
      </c>
      <c r="N7743" t="s">
        <v>615</v>
      </c>
      <c r="O7743" t="s">
        <v>616</v>
      </c>
      <c r="R7743" t="s">
        <v>57</v>
      </c>
      <c r="S7743">
        <v>14</v>
      </c>
      <c r="T7743">
        <v>161</v>
      </c>
      <c r="U7743" s="1">
        <v>33119</v>
      </c>
      <c r="V7743" t="s">
        <v>5177</v>
      </c>
      <c r="W7743" t="s">
        <v>5178</v>
      </c>
      <c r="X7743" t="s">
        <v>58</v>
      </c>
      <c r="Y7743">
        <v>21</v>
      </c>
      <c r="Z7743" t="s">
        <v>59</v>
      </c>
      <c r="AA7743" t="s">
        <v>59</v>
      </c>
      <c r="AB7743" t="s">
        <v>59</v>
      </c>
      <c r="AC7743" t="s">
        <v>59</v>
      </c>
      <c r="AD7743" t="s">
        <v>59</v>
      </c>
      <c r="AF7743" s="1">
        <v>33121</v>
      </c>
      <c r="AG7743" t="s">
        <v>60</v>
      </c>
      <c r="AH7743" t="s">
        <v>61</v>
      </c>
      <c r="AI7743" t="str">
        <f>"9000638"</f>
        <v>9000638</v>
      </c>
      <c r="AJ7743" t="s">
        <v>5175</v>
      </c>
      <c r="AK7743">
        <v>2841082480</v>
      </c>
      <c r="AL7743" t="s">
        <v>5176</v>
      </c>
      <c r="AM7743" t="s">
        <v>4513</v>
      </c>
      <c r="AN7743" t="s">
        <v>4514</v>
      </c>
      <c r="AO7743" t="s">
        <v>4514</v>
      </c>
      <c r="AP7743" t="s">
        <v>4514</v>
      </c>
      <c r="AR7743" t="s">
        <v>5177</v>
      </c>
      <c r="AS7743" t="s">
        <v>5178</v>
      </c>
      <c r="AT7743" t="s">
        <v>58</v>
      </c>
      <c r="AU7743" t="s">
        <v>68</v>
      </c>
      <c r="AV7743" t="s">
        <v>69</v>
      </c>
      <c r="AW7743" s="1">
        <v>23570</v>
      </c>
      <c r="AX7743">
        <v>0</v>
      </c>
    </row>
    <row r="7744" spans="1:50">
      <c r="A7744">
        <v>621987</v>
      </c>
      <c r="B7744" t="str">
        <f>"128899313"</f>
        <v>128899313</v>
      </c>
      <c r="C7744" t="s">
        <v>50</v>
      </c>
      <c r="D7744" t="s">
        <v>12192</v>
      </c>
      <c r="E7744" t="s">
        <v>460</v>
      </c>
      <c r="F7744" t="s">
        <v>3049</v>
      </c>
      <c r="G7744" t="s">
        <v>12193</v>
      </c>
      <c r="H7744" t="str">
        <f>"ΣΧΟΛΕΙΩΝ 7 ΝΕΟΙ ΕΠΙΒΑΤΕΣ ΘΕΣΣΑΛΟΝΙΚΗΣ"</f>
        <v>ΣΧΟΛΕΙΩΝ 7 ΝΕΟΙ ΕΠΙΒΑΤΕΣ ΘΕΣΣΑΛΟΝΙΚΗΣ</v>
      </c>
      <c r="I7744">
        <v>57019</v>
      </c>
      <c r="J7744">
        <v>2392022906</v>
      </c>
      <c r="K7744">
        <v>6946955463</v>
      </c>
      <c r="N7744" t="s">
        <v>615</v>
      </c>
      <c r="O7744" t="s">
        <v>616</v>
      </c>
      <c r="R7744" t="s">
        <v>57</v>
      </c>
      <c r="S7744">
        <v>5</v>
      </c>
      <c r="T7744">
        <v>653</v>
      </c>
      <c r="U7744" s="1">
        <v>40043</v>
      </c>
      <c r="V7744" t="s">
        <v>5177</v>
      </c>
      <c r="W7744" t="s">
        <v>5178</v>
      </c>
      <c r="X7744" t="s">
        <v>58</v>
      </c>
      <c r="Y7744">
        <v>23</v>
      </c>
      <c r="Z7744" t="s">
        <v>59</v>
      </c>
      <c r="AA7744" t="s">
        <v>59</v>
      </c>
      <c r="AB7744" t="s">
        <v>59</v>
      </c>
      <c r="AC7744" t="s">
        <v>59</v>
      </c>
      <c r="AD7744" t="s">
        <v>59</v>
      </c>
      <c r="AF7744" s="1">
        <v>40057</v>
      </c>
      <c r="AG7744" t="s">
        <v>8645</v>
      </c>
      <c r="AH7744" t="s">
        <v>8646</v>
      </c>
      <c r="AI7744" t="str">
        <f>"9320009"</f>
        <v>9320009</v>
      </c>
      <c r="AJ7744" t="s">
        <v>11959</v>
      </c>
      <c r="AK7744">
        <v>2842061261</v>
      </c>
      <c r="AL7744" t="s">
        <v>11960</v>
      </c>
      <c r="AM7744" t="s">
        <v>4513</v>
      </c>
      <c r="AN7744" t="s">
        <v>4519</v>
      </c>
      <c r="AO7744" t="s">
        <v>4519</v>
      </c>
      <c r="AP7744" t="s">
        <v>11961</v>
      </c>
      <c r="AQ7744">
        <v>6</v>
      </c>
      <c r="AR7744" t="s">
        <v>5177</v>
      </c>
      <c r="AS7744" t="s">
        <v>5178</v>
      </c>
      <c r="AT7744" t="s">
        <v>58</v>
      </c>
      <c r="AU7744" t="s">
        <v>68</v>
      </c>
      <c r="AV7744" t="s">
        <v>69</v>
      </c>
      <c r="AW7744" s="1">
        <v>31425</v>
      </c>
      <c r="AX7744">
        <v>1</v>
      </c>
    </row>
    <row r="7745" spans="1:50">
      <c r="A7745">
        <v>609452</v>
      </c>
      <c r="B7745" t="str">
        <f>"044795545"</f>
        <v>044795545</v>
      </c>
      <c r="C7745" t="s">
        <v>50</v>
      </c>
      <c r="D7745" t="s">
        <v>4884</v>
      </c>
      <c r="E7745" t="s">
        <v>112</v>
      </c>
      <c r="F7745" t="s">
        <v>4612</v>
      </c>
      <c r="G7745" t="s">
        <v>52</v>
      </c>
      <c r="H7745" t="str">
        <f>"ΛΑΜΠΙΡΗ 16Α ΣΗΤΕΙΑ"</f>
        <v>ΛΑΜΠΙΡΗ 16Α ΣΗΤΕΙΑ</v>
      </c>
      <c r="I7745">
        <v>72300</v>
      </c>
      <c r="J7745">
        <v>2843025707</v>
      </c>
      <c r="K7745">
        <v>6946293921</v>
      </c>
      <c r="N7745" t="s">
        <v>176</v>
      </c>
      <c r="O7745" t="s">
        <v>177</v>
      </c>
      <c r="R7745" t="s">
        <v>57</v>
      </c>
      <c r="S7745">
        <v>8</v>
      </c>
      <c r="T7745">
        <v>218</v>
      </c>
      <c r="U7745" s="1">
        <v>38604</v>
      </c>
      <c r="V7745" t="s">
        <v>5177</v>
      </c>
      <c r="W7745" t="s">
        <v>5178</v>
      </c>
      <c r="X7745" t="s">
        <v>58</v>
      </c>
      <c r="Y7745">
        <v>22</v>
      </c>
      <c r="Z7745" t="s">
        <v>59</v>
      </c>
      <c r="AA7745" t="s">
        <v>59</v>
      </c>
      <c r="AB7745" t="s">
        <v>59</v>
      </c>
      <c r="AC7745" t="s">
        <v>59</v>
      </c>
      <c r="AD7745" t="s">
        <v>59</v>
      </c>
      <c r="AF7745" s="1">
        <v>38604</v>
      </c>
      <c r="AG7745" t="s">
        <v>8645</v>
      </c>
      <c r="AH7745" t="s">
        <v>8646</v>
      </c>
      <c r="AI7745" t="str">
        <f>"9520629"</f>
        <v>9520629</v>
      </c>
      <c r="AJ7745" t="s">
        <v>11976</v>
      </c>
      <c r="AK7745">
        <v>2843026678</v>
      </c>
      <c r="AL7745" t="s">
        <v>11977</v>
      </c>
      <c r="AM7745" t="s">
        <v>4513</v>
      </c>
      <c r="AN7745" t="s">
        <v>4540</v>
      </c>
      <c r="AO7745" t="s">
        <v>4540</v>
      </c>
      <c r="AP7745" t="s">
        <v>4540</v>
      </c>
      <c r="AQ7745">
        <v>8</v>
      </c>
      <c r="AR7745" t="s">
        <v>5177</v>
      </c>
      <c r="AS7745" t="s">
        <v>5178</v>
      </c>
      <c r="AT7745" t="s">
        <v>58</v>
      </c>
      <c r="AU7745" t="s">
        <v>68</v>
      </c>
      <c r="AV7745" t="s">
        <v>69</v>
      </c>
      <c r="AW7745" s="1">
        <v>24435</v>
      </c>
      <c r="AX7745">
        <v>1</v>
      </c>
    </row>
    <row r="7746" spans="1:50">
      <c r="A7746">
        <v>608726</v>
      </c>
      <c r="B7746" t="str">
        <f>"110332496"</f>
        <v>110332496</v>
      </c>
      <c r="C7746" t="s">
        <v>50</v>
      </c>
      <c r="D7746" t="s">
        <v>4884</v>
      </c>
      <c r="E7746" t="s">
        <v>181</v>
      </c>
      <c r="F7746" t="s">
        <v>95</v>
      </c>
      <c r="G7746" t="s">
        <v>12194</v>
      </c>
      <c r="H7746" t="str">
        <f>"ΣΟΥΛΙΟΥ 32 ΑΓΙΟΣ ΝΙΚΟΛΑΟΣ"</f>
        <v>ΣΟΥΛΙΟΥ 32 ΑΓΙΟΣ ΝΙΚΟΛΑΟΣ</v>
      </c>
      <c r="I7746">
        <v>72100</v>
      </c>
      <c r="J7746">
        <v>2841024902</v>
      </c>
      <c r="K7746">
        <v>6945265015</v>
      </c>
      <c r="M7746" t="s">
        <v>12195</v>
      </c>
      <c r="N7746" t="s">
        <v>1525</v>
      </c>
      <c r="O7746" t="s">
        <v>1526</v>
      </c>
      <c r="R7746" t="s">
        <v>57</v>
      </c>
      <c r="S7746">
        <v>6</v>
      </c>
      <c r="T7746" t="s">
        <v>10441</v>
      </c>
      <c r="U7746" s="1">
        <v>38600</v>
      </c>
      <c r="V7746" t="s">
        <v>5177</v>
      </c>
      <c r="W7746" t="s">
        <v>5178</v>
      </c>
      <c r="X7746" t="s">
        <v>58</v>
      </c>
      <c r="Y7746">
        <v>25</v>
      </c>
      <c r="Z7746" t="s">
        <v>59</v>
      </c>
      <c r="AA7746" t="s">
        <v>59</v>
      </c>
      <c r="AB7746" t="s">
        <v>59</v>
      </c>
      <c r="AC7746" t="s">
        <v>59</v>
      </c>
      <c r="AD7746" t="s">
        <v>59</v>
      </c>
      <c r="AF7746" s="1">
        <v>38600</v>
      </c>
      <c r="AG7746" t="s">
        <v>8651</v>
      </c>
      <c r="AH7746" t="s">
        <v>8652</v>
      </c>
      <c r="AI7746" t="str">
        <f>"9320139"</f>
        <v>9320139</v>
      </c>
      <c r="AJ7746" t="s">
        <v>12196</v>
      </c>
      <c r="AK7746">
        <v>2841024219</v>
      </c>
      <c r="AL7746" t="s">
        <v>12197</v>
      </c>
      <c r="AM7746" t="s">
        <v>4513</v>
      </c>
      <c r="AN7746" t="s">
        <v>4514</v>
      </c>
      <c r="AO7746" t="s">
        <v>4514</v>
      </c>
      <c r="AP7746" t="s">
        <v>4514</v>
      </c>
      <c r="AQ7746">
        <v>1</v>
      </c>
      <c r="AR7746" t="s">
        <v>5177</v>
      </c>
      <c r="AS7746" t="s">
        <v>5178</v>
      </c>
      <c r="AT7746" t="s">
        <v>58</v>
      </c>
      <c r="AU7746" t="s">
        <v>68</v>
      </c>
      <c r="AV7746" t="s">
        <v>69</v>
      </c>
      <c r="AW7746" s="1">
        <v>30185</v>
      </c>
      <c r="AX7746">
        <v>1</v>
      </c>
    </row>
    <row r="7747" spans="1:50">
      <c r="A7747">
        <v>601266</v>
      </c>
      <c r="B7747" t="str">
        <f>"071621796"</f>
        <v>071621796</v>
      </c>
      <c r="C7747" t="s">
        <v>50</v>
      </c>
      <c r="D7747" t="s">
        <v>1699</v>
      </c>
      <c r="E7747" t="s">
        <v>83</v>
      </c>
      <c r="F7747" t="s">
        <v>1286</v>
      </c>
      <c r="G7747" t="s">
        <v>52</v>
      </c>
      <c r="H7747" t="str">
        <f>"4ΗΣ ΣΕΠΤΕΜΒΡΙΟΥ 24 ΣΗΤΕΙΑ"</f>
        <v>4ΗΣ ΣΕΠΤΕΜΒΡΙΟΥ 24 ΣΗΤΕΙΑ</v>
      </c>
      <c r="I7747">
        <v>72300</v>
      </c>
      <c r="J7747">
        <v>2843025627</v>
      </c>
      <c r="K7747">
        <v>6977368218</v>
      </c>
      <c r="N7747" t="s">
        <v>615</v>
      </c>
      <c r="O7747" t="s">
        <v>616</v>
      </c>
      <c r="R7747" t="s">
        <v>57</v>
      </c>
      <c r="S7747">
        <v>8</v>
      </c>
      <c r="T7747">
        <v>207</v>
      </c>
      <c r="U7747" s="1">
        <v>37866</v>
      </c>
      <c r="V7747" t="s">
        <v>5177</v>
      </c>
      <c r="W7747" t="s">
        <v>5178</v>
      </c>
      <c r="X7747" t="s">
        <v>58</v>
      </c>
      <c r="Y7747">
        <v>22</v>
      </c>
      <c r="Z7747" t="s">
        <v>59</v>
      </c>
      <c r="AA7747" t="s">
        <v>59</v>
      </c>
      <c r="AB7747" t="s">
        <v>59</v>
      </c>
      <c r="AC7747" t="s">
        <v>59</v>
      </c>
      <c r="AD7747" t="s">
        <v>59</v>
      </c>
      <c r="AF7747" s="1">
        <v>37866</v>
      </c>
      <c r="AG7747" t="s">
        <v>8645</v>
      </c>
      <c r="AH7747" t="s">
        <v>8646</v>
      </c>
      <c r="AI7747" t="str">
        <f>"9520629"</f>
        <v>9520629</v>
      </c>
      <c r="AJ7747" t="s">
        <v>11976</v>
      </c>
      <c r="AK7747">
        <v>2843026678</v>
      </c>
      <c r="AL7747" t="s">
        <v>11977</v>
      </c>
      <c r="AM7747" t="s">
        <v>4513</v>
      </c>
      <c r="AN7747" t="s">
        <v>4540</v>
      </c>
      <c r="AO7747" t="s">
        <v>4540</v>
      </c>
      <c r="AP7747" t="s">
        <v>4540</v>
      </c>
      <c r="AQ7747">
        <v>8</v>
      </c>
      <c r="AR7747" t="s">
        <v>5177</v>
      </c>
      <c r="AS7747" t="s">
        <v>5178</v>
      </c>
      <c r="AT7747" t="s">
        <v>58</v>
      </c>
      <c r="AU7747" t="s">
        <v>68</v>
      </c>
      <c r="AV7747" t="s">
        <v>69</v>
      </c>
      <c r="AW7747" s="1">
        <v>25408</v>
      </c>
      <c r="AX7747">
        <v>1</v>
      </c>
    </row>
    <row r="7748" spans="1:50">
      <c r="B7748" t="str">
        <f>"157266314"</f>
        <v>157266314</v>
      </c>
      <c r="C7748" t="s">
        <v>50</v>
      </c>
      <c r="D7748" t="s">
        <v>12198</v>
      </c>
      <c r="E7748" t="s">
        <v>112</v>
      </c>
      <c r="F7748" t="s">
        <v>166</v>
      </c>
      <c r="G7748" t="s">
        <v>7632</v>
      </c>
      <c r="H7748" t="str">
        <f>" "</f>
        <v xml:space="preserve"> </v>
      </c>
      <c r="N7748" t="s">
        <v>384</v>
      </c>
      <c r="O7748" t="s">
        <v>385</v>
      </c>
      <c r="R7748" t="s">
        <v>121</v>
      </c>
      <c r="S7748">
        <v>1</v>
      </c>
      <c r="T7748" t="s">
        <v>8675</v>
      </c>
      <c r="U7748" s="1">
        <v>43348</v>
      </c>
      <c r="V7748" t="s">
        <v>5177</v>
      </c>
      <c r="W7748" t="s">
        <v>5178</v>
      </c>
      <c r="X7748" t="s">
        <v>58</v>
      </c>
      <c r="Y7748">
        <v>24</v>
      </c>
      <c r="Z7748" t="s">
        <v>59</v>
      </c>
      <c r="AA7748" t="s">
        <v>59</v>
      </c>
      <c r="AB7748" t="s">
        <v>59</v>
      </c>
      <c r="AD7748" t="s">
        <v>59</v>
      </c>
      <c r="AF7748" s="1">
        <v>43348</v>
      </c>
      <c r="AG7748" t="s">
        <v>8645</v>
      </c>
      <c r="AH7748" t="s">
        <v>8646</v>
      </c>
      <c r="AI7748" t="str">
        <f>"9320210"</f>
        <v>9320210</v>
      </c>
      <c r="AJ7748" t="s">
        <v>11890</v>
      </c>
      <c r="AK7748">
        <v>2841026705</v>
      </c>
      <c r="AL7748" t="s">
        <v>11891</v>
      </c>
      <c r="AM7748" t="s">
        <v>4513</v>
      </c>
      <c r="AN7748" t="s">
        <v>4514</v>
      </c>
      <c r="AO7748" t="s">
        <v>4514</v>
      </c>
      <c r="AP7748" t="s">
        <v>4514</v>
      </c>
      <c r="AQ7748">
        <v>1</v>
      </c>
      <c r="AR7748" t="s">
        <v>5177</v>
      </c>
      <c r="AS7748" t="s">
        <v>5178</v>
      </c>
      <c r="AT7748" t="s">
        <v>58</v>
      </c>
      <c r="AU7748" t="s">
        <v>8673</v>
      </c>
      <c r="AV7748" t="s">
        <v>132</v>
      </c>
      <c r="AW7748" s="1">
        <v>33710</v>
      </c>
      <c r="AX7748">
        <v>1</v>
      </c>
    </row>
    <row r="7749" spans="1:50">
      <c r="A7749">
        <v>185303</v>
      </c>
      <c r="B7749" t="str">
        <f>"073664800"</f>
        <v>073664800</v>
      </c>
      <c r="C7749" t="s">
        <v>105</v>
      </c>
      <c r="D7749" t="s">
        <v>12199</v>
      </c>
      <c r="E7749" t="s">
        <v>108</v>
      </c>
      <c r="F7749" t="s">
        <v>84</v>
      </c>
      <c r="G7749" t="s">
        <v>155</v>
      </c>
      <c r="H7749" t="str">
        <f>"ΔΙΟΝΥΣΑΔΩΝ 40 ΣΗΤΕΙΑ"</f>
        <v>ΔΙΟΝΥΣΑΔΩΝ 40 ΣΗΤΕΙΑ</v>
      </c>
      <c r="I7749">
        <v>72300</v>
      </c>
      <c r="J7749">
        <v>2843026671</v>
      </c>
      <c r="K7749">
        <v>6977736878</v>
      </c>
      <c r="M7749" t="s">
        <v>12200</v>
      </c>
      <c r="N7749" t="s">
        <v>204</v>
      </c>
      <c r="O7749" t="s">
        <v>205</v>
      </c>
      <c r="R7749" t="s">
        <v>57</v>
      </c>
      <c r="S7749">
        <v>10</v>
      </c>
      <c r="T7749">
        <v>177</v>
      </c>
      <c r="U7749" s="1">
        <v>36403</v>
      </c>
      <c r="V7749" t="s">
        <v>5177</v>
      </c>
      <c r="W7749" t="s">
        <v>5178</v>
      </c>
      <c r="X7749" t="s">
        <v>58</v>
      </c>
      <c r="Y7749">
        <v>21</v>
      </c>
      <c r="Z7749" t="s">
        <v>59</v>
      </c>
      <c r="AA7749" t="s">
        <v>59</v>
      </c>
      <c r="AB7749" t="s">
        <v>59</v>
      </c>
      <c r="AC7749" t="s">
        <v>59</v>
      </c>
      <c r="AD7749" t="s">
        <v>59</v>
      </c>
      <c r="AF7749" s="1">
        <v>36409</v>
      </c>
      <c r="AG7749" t="s">
        <v>8645</v>
      </c>
      <c r="AH7749" t="s">
        <v>8646</v>
      </c>
      <c r="AI7749" t="str">
        <f>"9320205"</f>
        <v>9320205</v>
      </c>
      <c r="AJ7749" t="s">
        <v>11902</v>
      </c>
      <c r="AK7749">
        <v>2843024509</v>
      </c>
      <c r="AL7749" t="s">
        <v>11903</v>
      </c>
      <c r="AM7749" t="s">
        <v>4513</v>
      </c>
      <c r="AN7749" t="s">
        <v>4540</v>
      </c>
      <c r="AO7749" t="s">
        <v>4540</v>
      </c>
      <c r="AP7749" t="s">
        <v>4540</v>
      </c>
      <c r="AQ7749">
        <v>8</v>
      </c>
      <c r="AR7749" t="s">
        <v>5177</v>
      </c>
      <c r="AS7749" t="s">
        <v>5178</v>
      </c>
      <c r="AT7749" t="s">
        <v>58</v>
      </c>
      <c r="AU7749" t="s">
        <v>68</v>
      </c>
      <c r="AV7749" t="s">
        <v>69</v>
      </c>
      <c r="AW7749" s="1">
        <v>25733</v>
      </c>
      <c r="AX7749">
        <v>1</v>
      </c>
    </row>
    <row r="7750" spans="1:50">
      <c r="A7750">
        <v>612699</v>
      </c>
      <c r="B7750" t="str">
        <f>"131522312"</f>
        <v>131522312</v>
      </c>
      <c r="C7750" t="s">
        <v>50</v>
      </c>
      <c r="D7750" t="s">
        <v>12201</v>
      </c>
      <c r="E7750" t="s">
        <v>396</v>
      </c>
      <c r="F7750" t="s">
        <v>670</v>
      </c>
      <c r="G7750" t="s">
        <v>52</v>
      </c>
      <c r="H7750" t="str">
        <f>"ΑΓ.ΕΛΕΟΥΣΑ ΣΑΓΓΑΡΙΟΥ ΧΑΛΚΙΔΑ"</f>
        <v>ΑΓ.ΕΛΕΟΥΣΑ ΣΑΓΓΑΡΙΟΥ ΧΑΛΚΙΔΑ</v>
      </c>
      <c r="I7750">
        <v>34100</v>
      </c>
      <c r="J7750">
        <v>2221092549</v>
      </c>
      <c r="K7750">
        <v>6947040237</v>
      </c>
      <c r="N7750" t="s">
        <v>1525</v>
      </c>
      <c r="O7750" t="s">
        <v>1526</v>
      </c>
      <c r="R7750" t="s">
        <v>57</v>
      </c>
      <c r="S7750">
        <v>5</v>
      </c>
      <c r="T7750">
        <v>254</v>
      </c>
      <c r="U7750" s="1">
        <v>38973</v>
      </c>
      <c r="V7750" t="s">
        <v>5177</v>
      </c>
      <c r="W7750" t="s">
        <v>5178</v>
      </c>
      <c r="X7750" t="s">
        <v>58</v>
      </c>
      <c r="Y7750">
        <v>25</v>
      </c>
      <c r="Z7750" t="s">
        <v>59</v>
      </c>
      <c r="AA7750" t="s">
        <v>59</v>
      </c>
      <c r="AB7750" t="s">
        <v>59</v>
      </c>
      <c r="AC7750" t="s">
        <v>59</v>
      </c>
      <c r="AD7750" t="s">
        <v>59</v>
      </c>
      <c r="AF7750" s="1">
        <v>38975</v>
      </c>
      <c r="AG7750" t="s">
        <v>8651</v>
      </c>
      <c r="AH7750" t="s">
        <v>8652</v>
      </c>
      <c r="AI7750" t="str">
        <f>"9320147"</f>
        <v>9320147</v>
      </c>
      <c r="AJ7750" t="s">
        <v>11932</v>
      </c>
      <c r="AK7750">
        <v>2843023474</v>
      </c>
      <c r="AL7750" t="s">
        <v>11933</v>
      </c>
      <c r="AM7750" t="s">
        <v>4513</v>
      </c>
      <c r="AN7750" t="s">
        <v>4540</v>
      </c>
      <c r="AO7750" t="s">
        <v>4540</v>
      </c>
      <c r="AP7750" t="s">
        <v>4540</v>
      </c>
      <c r="AQ7750">
        <v>8</v>
      </c>
      <c r="AR7750" t="s">
        <v>5177</v>
      </c>
      <c r="AS7750" t="s">
        <v>5178</v>
      </c>
      <c r="AT7750" t="s">
        <v>58</v>
      </c>
      <c r="AU7750" t="s">
        <v>68</v>
      </c>
      <c r="AV7750" t="s">
        <v>69</v>
      </c>
      <c r="AW7750" s="1">
        <v>30121</v>
      </c>
      <c r="AX7750">
        <v>1</v>
      </c>
    </row>
    <row r="7751" spans="1:50">
      <c r="A7751">
        <v>618152</v>
      </c>
      <c r="B7751" t="str">
        <f>"140012623"</f>
        <v>140012623</v>
      </c>
      <c r="C7751" t="s">
        <v>50</v>
      </c>
      <c r="D7751" t="s">
        <v>9898</v>
      </c>
      <c r="E7751" t="s">
        <v>580</v>
      </c>
      <c r="F7751" t="s">
        <v>95</v>
      </c>
      <c r="G7751" t="s">
        <v>4390</v>
      </c>
      <c r="H7751" t="str">
        <f>"ΛΑΣΘΕΝΟΥΣ 81 ΙΕΡΑΠΕΤΡΑ"</f>
        <v>ΛΑΣΘΕΝΟΥΣ 81 ΙΕΡΑΠΕΤΡΑ</v>
      </c>
      <c r="I7751">
        <v>72200</v>
      </c>
      <c r="J7751">
        <v>2842028095</v>
      </c>
      <c r="K7751">
        <v>6976823677</v>
      </c>
      <c r="N7751" t="s">
        <v>615</v>
      </c>
      <c r="O7751" t="s">
        <v>616</v>
      </c>
      <c r="R7751" t="s">
        <v>57</v>
      </c>
      <c r="S7751">
        <v>5</v>
      </c>
      <c r="T7751">
        <v>774</v>
      </c>
      <c r="U7751" s="1">
        <v>39680</v>
      </c>
      <c r="V7751" t="s">
        <v>5177</v>
      </c>
      <c r="W7751" t="s">
        <v>5178</v>
      </c>
      <c r="X7751" t="s">
        <v>58</v>
      </c>
      <c r="Y7751">
        <v>23</v>
      </c>
      <c r="Z7751" t="s">
        <v>59</v>
      </c>
      <c r="AA7751" t="s">
        <v>59</v>
      </c>
      <c r="AB7751" t="s">
        <v>59</v>
      </c>
      <c r="AC7751" t="s">
        <v>59</v>
      </c>
      <c r="AD7751" t="s">
        <v>59</v>
      </c>
      <c r="AF7751" s="1">
        <v>39681</v>
      </c>
      <c r="AG7751" t="s">
        <v>8645</v>
      </c>
      <c r="AH7751" t="s">
        <v>8646</v>
      </c>
      <c r="AI7751" t="str">
        <f>"9320163"</f>
        <v>9320163</v>
      </c>
      <c r="AJ7751" t="s">
        <v>12012</v>
      </c>
      <c r="AK7751">
        <v>2842024595</v>
      </c>
      <c r="AL7751" t="s">
        <v>12013</v>
      </c>
      <c r="AM7751" t="s">
        <v>4513</v>
      </c>
      <c r="AN7751" t="s">
        <v>4519</v>
      </c>
      <c r="AO7751" t="s">
        <v>4519</v>
      </c>
      <c r="AP7751" t="s">
        <v>4519</v>
      </c>
      <c r="AQ7751">
        <v>4</v>
      </c>
      <c r="AR7751" t="s">
        <v>5177</v>
      </c>
      <c r="AS7751" t="s">
        <v>5178</v>
      </c>
      <c r="AT7751" t="s">
        <v>58</v>
      </c>
      <c r="AU7751" t="s">
        <v>68</v>
      </c>
      <c r="AV7751" t="s">
        <v>69</v>
      </c>
      <c r="AW7751" s="1">
        <v>30565</v>
      </c>
      <c r="AX7751">
        <v>1</v>
      </c>
    </row>
    <row r="7752" spans="1:50">
      <c r="A7752">
        <v>594233</v>
      </c>
      <c r="B7752" t="str">
        <f>"073741520"</f>
        <v>073741520</v>
      </c>
      <c r="C7752" t="s">
        <v>50</v>
      </c>
      <c r="D7752" t="s">
        <v>12202</v>
      </c>
      <c r="E7752" t="s">
        <v>52</v>
      </c>
      <c r="F7752" t="s">
        <v>640</v>
      </c>
      <c r="G7752" t="s">
        <v>237</v>
      </c>
      <c r="H7752" t="str">
        <f>"ΓΡΑ ΛΥΓΙΑ ΙΕΡΑΠΕΤΡΑΣ ΙΕΡΑΠΕΤΡΑ"</f>
        <v>ΓΡΑ ΛΥΓΙΑ ΙΕΡΑΠΕΤΡΑΣ ΙΕΡΑΠΕΤΡΑ</v>
      </c>
      <c r="I7752">
        <v>72200</v>
      </c>
      <c r="J7752">
        <v>2842080351</v>
      </c>
      <c r="K7752">
        <v>6974866142</v>
      </c>
      <c r="N7752" t="s">
        <v>615</v>
      </c>
      <c r="O7752" t="s">
        <v>616</v>
      </c>
      <c r="R7752" t="s">
        <v>57</v>
      </c>
      <c r="S7752">
        <v>11</v>
      </c>
      <c r="T7752">
        <v>218</v>
      </c>
      <c r="U7752" s="1">
        <v>37134</v>
      </c>
      <c r="V7752" t="s">
        <v>5177</v>
      </c>
      <c r="W7752" t="s">
        <v>5178</v>
      </c>
      <c r="X7752" t="s">
        <v>58</v>
      </c>
      <c r="Y7752">
        <v>22</v>
      </c>
      <c r="Z7752" t="s">
        <v>59</v>
      </c>
      <c r="AA7752" t="s">
        <v>59</v>
      </c>
      <c r="AB7752" t="s">
        <v>59</v>
      </c>
      <c r="AC7752" t="s">
        <v>59</v>
      </c>
      <c r="AD7752" t="s">
        <v>59</v>
      </c>
      <c r="AF7752" s="1">
        <v>37140</v>
      </c>
      <c r="AG7752" t="s">
        <v>8645</v>
      </c>
      <c r="AH7752" t="s">
        <v>8646</v>
      </c>
      <c r="AI7752" t="str">
        <f>"9320163"</f>
        <v>9320163</v>
      </c>
      <c r="AJ7752" t="s">
        <v>12012</v>
      </c>
      <c r="AK7752">
        <v>2842024595</v>
      </c>
      <c r="AL7752" t="s">
        <v>12013</v>
      </c>
      <c r="AM7752" t="s">
        <v>4513</v>
      </c>
      <c r="AN7752" t="s">
        <v>4519</v>
      </c>
      <c r="AO7752" t="s">
        <v>4519</v>
      </c>
      <c r="AP7752" t="s">
        <v>4519</v>
      </c>
      <c r="AQ7752">
        <v>4</v>
      </c>
      <c r="AR7752" t="s">
        <v>5177</v>
      </c>
      <c r="AS7752" t="s">
        <v>5178</v>
      </c>
      <c r="AT7752" t="s">
        <v>58</v>
      </c>
      <c r="AU7752" t="s">
        <v>68</v>
      </c>
      <c r="AV7752" t="s">
        <v>69</v>
      </c>
      <c r="AW7752" s="1">
        <v>26220</v>
      </c>
      <c r="AX7752">
        <v>1</v>
      </c>
    </row>
    <row r="7753" spans="1:50">
      <c r="A7753">
        <v>615046</v>
      </c>
      <c r="B7753" t="str">
        <f>"049180853"</f>
        <v>049180853</v>
      </c>
      <c r="C7753" t="s">
        <v>50</v>
      </c>
      <c r="D7753" t="s">
        <v>12202</v>
      </c>
      <c r="E7753" t="s">
        <v>54</v>
      </c>
      <c r="F7753" t="s">
        <v>95</v>
      </c>
      <c r="G7753" t="s">
        <v>143</v>
      </c>
      <c r="H7753" t="str">
        <f>"ΑΛ. ΠΑΠΑΝΑΣΤΑΣΙΟΥ 17 ΙΕΡΑΠΕΤΡΑ"</f>
        <v>ΑΛ. ΠΑΠΑΝΑΣΤΑΣΙΟΥ 17 ΙΕΡΑΠΕΤΡΑ</v>
      </c>
      <c r="I7753">
        <v>72200</v>
      </c>
      <c r="J7753">
        <v>2842089800</v>
      </c>
      <c r="K7753">
        <v>6972016017</v>
      </c>
      <c r="N7753" t="s">
        <v>615</v>
      </c>
      <c r="O7753" t="s">
        <v>616</v>
      </c>
      <c r="R7753" t="s">
        <v>57</v>
      </c>
      <c r="S7753">
        <v>6</v>
      </c>
      <c r="T7753">
        <v>598</v>
      </c>
      <c r="U7753" s="1">
        <v>39310</v>
      </c>
      <c r="V7753" t="s">
        <v>5177</v>
      </c>
      <c r="W7753" t="s">
        <v>5178</v>
      </c>
      <c r="X7753" t="s">
        <v>58</v>
      </c>
      <c r="Y7753">
        <v>23</v>
      </c>
      <c r="Z7753" t="s">
        <v>59</v>
      </c>
      <c r="AA7753" t="s">
        <v>59</v>
      </c>
      <c r="AB7753" t="s">
        <v>59</v>
      </c>
      <c r="AC7753" t="s">
        <v>59</v>
      </c>
      <c r="AD7753" t="s">
        <v>59</v>
      </c>
      <c r="AF7753" s="1">
        <v>39328</v>
      </c>
      <c r="AI7753" t="str">
        <f>""</f>
        <v/>
      </c>
      <c r="AS7753" t="s">
        <v>5178</v>
      </c>
      <c r="AT7753" t="s">
        <v>58</v>
      </c>
      <c r="AU7753" t="s">
        <v>68</v>
      </c>
      <c r="AW7753" s="1">
        <v>27479</v>
      </c>
      <c r="AX7753">
        <v>1</v>
      </c>
    </row>
    <row r="7754" spans="1:50">
      <c r="B7754" t="str">
        <f>"143491703"</f>
        <v>143491703</v>
      </c>
      <c r="C7754" t="s">
        <v>50</v>
      </c>
      <c r="D7754" t="s">
        <v>12203</v>
      </c>
      <c r="E7754" t="s">
        <v>181</v>
      </c>
      <c r="F7754" t="s">
        <v>53</v>
      </c>
      <c r="G7754" t="s">
        <v>155</v>
      </c>
      <c r="H7754" t="str">
        <f>"ΠΕΡΡΑΙΒΟΥ 18 "</f>
        <v xml:space="preserve">ΠΕΡΡΑΙΒΟΥ 18 </v>
      </c>
      <c r="I7754">
        <v>38222</v>
      </c>
      <c r="J7754">
        <v>2421030579</v>
      </c>
      <c r="K7754">
        <v>6978653138</v>
      </c>
      <c r="N7754" t="s">
        <v>615</v>
      </c>
      <c r="O7754" t="s">
        <v>616</v>
      </c>
      <c r="R7754" t="s">
        <v>159</v>
      </c>
      <c r="S7754">
        <v>3</v>
      </c>
      <c r="T7754" t="s">
        <v>8675</v>
      </c>
      <c r="U7754" s="1">
        <v>43348</v>
      </c>
      <c r="V7754" t="s">
        <v>5177</v>
      </c>
      <c r="W7754" t="s">
        <v>5178</v>
      </c>
      <c r="X7754" t="s">
        <v>58</v>
      </c>
      <c r="Y7754">
        <v>24</v>
      </c>
      <c r="Z7754" t="s">
        <v>59</v>
      </c>
      <c r="AA7754" t="s">
        <v>59</v>
      </c>
      <c r="AB7754" t="s">
        <v>59</v>
      </c>
      <c r="AC7754" t="s">
        <v>59</v>
      </c>
      <c r="AD7754" t="s">
        <v>59</v>
      </c>
      <c r="AF7754" s="1">
        <v>43348</v>
      </c>
      <c r="AG7754" t="s">
        <v>8645</v>
      </c>
      <c r="AH7754" t="s">
        <v>8646</v>
      </c>
      <c r="AI7754" t="str">
        <f>"9320009"</f>
        <v>9320009</v>
      </c>
      <c r="AJ7754" t="s">
        <v>11959</v>
      </c>
      <c r="AK7754">
        <v>2842061261</v>
      </c>
      <c r="AL7754" t="s">
        <v>11960</v>
      </c>
      <c r="AM7754" t="s">
        <v>4513</v>
      </c>
      <c r="AN7754" t="s">
        <v>4519</v>
      </c>
      <c r="AO7754" t="s">
        <v>4519</v>
      </c>
      <c r="AP7754" t="s">
        <v>11961</v>
      </c>
      <c r="AQ7754">
        <v>6</v>
      </c>
      <c r="AR7754" t="s">
        <v>5177</v>
      </c>
      <c r="AS7754" t="s">
        <v>5178</v>
      </c>
      <c r="AT7754" t="s">
        <v>58</v>
      </c>
      <c r="AU7754" t="s">
        <v>8673</v>
      </c>
      <c r="AV7754" t="s">
        <v>132</v>
      </c>
      <c r="AW7754" s="1">
        <v>32229</v>
      </c>
      <c r="AX7754">
        <v>1</v>
      </c>
    </row>
    <row r="7755" spans="1:50">
      <c r="A7755">
        <v>606117</v>
      </c>
      <c r="B7755" t="str">
        <f>"049434300"</f>
        <v>049434300</v>
      </c>
      <c r="C7755" t="s">
        <v>50</v>
      </c>
      <c r="D7755" t="s">
        <v>1723</v>
      </c>
      <c r="E7755" t="s">
        <v>215</v>
      </c>
      <c r="F7755" t="s">
        <v>166</v>
      </c>
      <c r="G7755" t="s">
        <v>255</v>
      </c>
      <c r="H7755" t="str">
        <f>"ΠΕΡΙΟΧΗ  ΟΡΜΟΣ ΑΓΙΟΣ ΝΙΚΟΛΑΟΣ"</f>
        <v>ΠΕΡΙΟΧΗ  ΟΡΜΟΣ ΑΓΙΟΣ ΝΙΚΟΛΑΟΣ</v>
      </c>
      <c r="I7755">
        <v>72100</v>
      </c>
      <c r="J7755">
        <v>2841024714</v>
      </c>
      <c r="K7755">
        <v>6948121283</v>
      </c>
      <c r="M7755" t="s">
        <v>12204</v>
      </c>
      <c r="N7755" t="s">
        <v>1525</v>
      </c>
      <c r="O7755" t="s">
        <v>1526</v>
      </c>
      <c r="R7755" t="s">
        <v>57</v>
      </c>
      <c r="S7755">
        <v>7</v>
      </c>
      <c r="T7755" t="s">
        <v>9357</v>
      </c>
      <c r="U7755" s="1">
        <v>38230</v>
      </c>
      <c r="V7755" t="s">
        <v>5177</v>
      </c>
      <c r="W7755" t="s">
        <v>5178</v>
      </c>
      <c r="X7755" t="s">
        <v>58</v>
      </c>
      <c r="Y7755">
        <v>25</v>
      </c>
      <c r="Z7755" t="s">
        <v>59</v>
      </c>
      <c r="AA7755" t="s">
        <v>59</v>
      </c>
      <c r="AB7755" t="s">
        <v>59</v>
      </c>
      <c r="AC7755" t="s">
        <v>59</v>
      </c>
      <c r="AD7755" t="s">
        <v>59</v>
      </c>
      <c r="AF7755" s="1">
        <v>38231</v>
      </c>
      <c r="AG7755" t="s">
        <v>8651</v>
      </c>
      <c r="AH7755" t="s">
        <v>8652</v>
      </c>
      <c r="AI7755" t="str">
        <f>"9320056"</f>
        <v>9320056</v>
      </c>
      <c r="AJ7755" t="s">
        <v>11980</v>
      </c>
      <c r="AK7755">
        <v>2841028260</v>
      </c>
      <c r="AL7755" t="s">
        <v>11981</v>
      </c>
      <c r="AM7755" t="s">
        <v>4513</v>
      </c>
      <c r="AN7755" t="s">
        <v>4514</v>
      </c>
      <c r="AO7755" t="s">
        <v>4514</v>
      </c>
      <c r="AP7755" t="s">
        <v>4514</v>
      </c>
      <c r="AQ7755">
        <v>1</v>
      </c>
      <c r="AR7755" t="s">
        <v>5177</v>
      </c>
      <c r="AS7755" t="s">
        <v>5178</v>
      </c>
      <c r="AT7755" t="s">
        <v>58</v>
      </c>
      <c r="AU7755" t="s">
        <v>68</v>
      </c>
      <c r="AV7755" t="s">
        <v>69</v>
      </c>
      <c r="AW7755" s="1">
        <v>28392</v>
      </c>
      <c r="AX7755">
        <v>1</v>
      </c>
    </row>
    <row r="7756" spans="1:50">
      <c r="A7756">
        <v>621012</v>
      </c>
      <c r="B7756" t="str">
        <f>"127288436"</f>
        <v>127288436</v>
      </c>
      <c r="C7756" t="s">
        <v>50</v>
      </c>
      <c r="D7756" t="s">
        <v>12205</v>
      </c>
      <c r="E7756" t="s">
        <v>600</v>
      </c>
      <c r="F7756" t="s">
        <v>459</v>
      </c>
      <c r="G7756" t="s">
        <v>143</v>
      </c>
      <c r="H7756" t="str">
        <f>"ΠΟΛΥΤΕΧΝΕΙΟΥ 46 ΑΡΙΔΑΙΑ"</f>
        <v>ΠΟΛΥΤΕΧΝΕΙΟΥ 46 ΑΡΙΔΑΙΑ</v>
      </c>
      <c r="I7756">
        <v>58400</v>
      </c>
      <c r="J7756">
        <v>2384024712</v>
      </c>
      <c r="K7756">
        <v>6906462769</v>
      </c>
      <c r="M7756" t="s">
        <v>12206</v>
      </c>
      <c r="N7756" t="s">
        <v>615</v>
      </c>
      <c r="O7756" t="s">
        <v>616</v>
      </c>
      <c r="R7756" t="s">
        <v>57</v>
      </c>
      <c r="S7756">
        <v>5</v>
      </c>
      <c r="T7756">
        <v>653</v>
      </c>
      <c r="U7756" s="1">
        <v>40043</v>
      </c>
      <c r="V7756" t="s">
        <v>5177</v>
      </c>
      <c r="W7756" t="s">
        <v>5178</v>
      </c>
      <c r="X7756" t="s">
        <v>58</v>
      </c>
      <c r="Y7756">
        <v>23</v>
      </c>
      <c r="Z7756" t="s">
        <v>59</v>
      </c>
      <c r="AA7756" t="s">
        <v>59</v>
      </c>
      <c r="AB7756" t="s">
        <v>59</v>
      </c>
      <c r="AC7756" t="s">
        <v>59</v>
      </c>
      <c r="AD7756" t="s">
        <v>59</v>
      </c>
      <c r="AF7756" s="1">
        <v>40043</v>
      </c>
      <c r="AG7756" t="s">
        <v>8645</v>
      </c>
      <c r="AH7756" t="s">
        <v>8646</v>
      </c>
      <c r="AI7756" t="str">
        <f>"9320058"</f>
        <v>9320058</v>
      </c>
      <c r="AJ7756" t="s">
        <v>11893</v>
      </c>
      <c r="AK7756">
        <v>2841022496</v>
      </c>
      <c r="AL7756" t="s">
        <v>11894</v>
      </c>
      <c r="AM7756" t="s">
        <v>4513</v>
      </c>
      <c r="AN7756" t="s">
        <v>4514</v>
      </c>
      <c r="AO7756" t="s">
        <v>4514</v>
      </c>
      <c r="AP7756" t="s">
        <v>4514</v>
      </c>
      <c r="AQ7756">
        <v>1</v>
      </c>
      <c r="AR7756" t="s">
        <v>5177</v>
      </c>
      <c r="AS7756" t="s">
        <v>5178</v>
      </c>
      <c r="AT7756" t="s">
        <v>58</v>
      </c>
      <c r="AU7756" t="s">
        <v>68</v>
      </c>
      <c r="AV7756" t="s">
        <v>69</v>
      </c>
      <c r="AW7756" s="1">
        <v>31427</v>
      </c>
      <c r="AX7756">
        <v>1</v>
      </c>
    </row>
    <row r="7757" spans="1:50">
      <c r="B7757" t="str">
        <f>"149156162"</f>
        <v>149156162</v>
      </c>
      <c r="C7757" t="s">
        <v>50</v>
      </c>
      <c r="D7757" t="s">
        <v>9924</v>
      </c>
      <c r="E7757" t="s">
        <v>191</v>
      </c>
      <c r="F7757" t="s">
        <v>1093</v>
      </c>
      <c r="G7757" t="s">
        <v>237</v>
      </c>
      <c r="H7757" t="str">
        <f>" "</f>
        <v xml:space="preserve"> </v>
      </c>
      <c r="N7757" t="s">
        <v>615</v>
      </c>
      <c r="O7757" t="s">
        <v>616</v>
      </c>
      <c r="R7757" t="s">
        <v>121</v>
      </c>
      <c r="S7757">
        <v>4</v>
      </c>
      <c r="T7757" t="s">
        <v>8675</v>
      </c>
      <c r="U7757" s="1">
        <v>43348</v>
      </c>
      <c r="V7757" t="s">
        <v>5177</v>
      </c>
      <c r="W7757" t="s">
        <v>5178</v>
      </c>
      <c r="X7757" t="s">
        <v>58</v>
      </c>
      <c r="Y7757">
        <v>24</v>
      </c>
      <c r="Z7757" t="s">
        <v>59</v>
      </c>
      <c r="AA7757" t="s">
        <v>59</v>
      </c>
      <c r="AB7757" t="s">
        <v>59</v>
      </c>
      <c r="AC7757" t="s">
        <v>59</v>
      </c>
      <c r="AD7757" t="s">
        <v>59</v>
      </c>
      <c r="AF7757" s="1">
        <v>43348</v>
      </c>
      <c r="AG7757" t="s">
        <v>8645</v>
      </c>
      <c r="AH7757" t="s">
        <v>8646</v>
      </c>
      <c r="AI7757" t="str">
        <f>"9320115"</f>
        <v>9320115</v>
      </c>
      <c r="AJ7757" t="s">
        <v>11935</v>
      </c>
      <c r="AK7757">
        <v>2843061213</v>
      </c>
      <c r="AL7757" t="s">
        <v>11936</v>
      </c>
      <c r="AM7757" t="s">
        <v>4513</v>
      </c>
      <c r="AN7757" t="s">
        <v>4540</v>
      </c>
      <c r="AO7757" t="s">
        <v>4700</v>
      </c>
      <c r="AP7757" t="s">
        <v>4701</v>
      </c>
      <c r="AQ7757">
        <v>9</v>
      </c>
      <c r="AR7757" t="s">
        <v>5177</v>
      </c>
      <c r="AS7757" t="s">
        <v>5178</v>
      </c>
      <c r="AT7757" t="s">
        <v>58</v>
      </c>
      <c r="AU7757" t="s">
        <v>8673</v>
      </c>
      <c r="AV7757" t="s">
        <v>132</v>
      </c>
      <c r="AW7757" s="1">
        <v>32862</v>
      </c>
      <c r="AX7757">
        <v>1</v>
      </c>
    </row>
    <row r="7758" spans="1:50">
      <c r="A7758">
        <v>614858</v>
      </c>
      <c r="B7758" t="str">
        <f>"118105976"</f>
        <v>118105976</v>
      </c>
      <c r="C7758" t="s">
        <v>50</v>
      </c>
      <c r="D7758" t="s">
        <v>12207</v>
      </c>
      <c r="E7758" t="s">
        <v>52</v>
      </c>
      <c r="F7758" t="s">
        <v>95</v>
      </c>
      <c r="G7758" t="s">
        <v>255</v>
      </c>
      <c r="H7758" t="str">
        <f>"ΕΥΡΥΔΙΚΗΣ 23 "</f>
        <v xml:space="preserve">ΕΥΡΥΔΙΚΗΣ 23 </v>
      </c>
      <c r="I7758">
        <v>85100</v>
      </c>
      <c r="J7758">
        <v>2241090813</v>
      </c>
      <c r="K7758">
        <v>6947521885</v>
      </c>
      <c r="N7758" t="s">
        <v>615</v>
      </c>
      <c r="O7758" t="s">
        <v>616</v>
      </c>
      <c r="R7758" t="s">
        <v>57</v>
      </c>
      <c r="S7758">
        <v>5</v>
      </c>
      <c r="T7758">
        <v>598</v>
      </c>
      <c r="U7758" s="1">
        <v>39310</v>
      </c>
      <c r="V7758" t="s">
        <v>5177</v>
      </c>
      <c r="W7758" t="s">
        <v>5178</v>
      </c>
      <c r="X7758" t="s">
        <v>58</v>
      </c>
      <c r="Y7758">
        <v>23</v>
      </c>
      <c r="Z7758" t="s">
        <v>59</v>
      </c>
      <c r="AA7758" t="s">
        <v>59</v>
      </c>
      <c r="AB7758" t="s">
        <v>59</v>
      </c>
      <c r="AC7758" t="s">
        <v>59</v>
      </c>
      <c r="AD7758" t="s">
        <v>59</v>
      </c>
      <c r="AF7758" s="1">
        <v>39328</v>
      </c>
      <c r="AG7758" t="s">
        <v>8645</v>
      </c>
      <c r="AH7758" t="s">
        <v>8646</v>
      </c>
      <c r="AI7758" t="str">
        <f>"9320055"</f>
        <v>9320055</v>
      </c>
      <c r="AJ7758" t="s">
        <v>11937</v>
      </c>
      <c r="AK7758">
        <v>2841022326</v>
      </c>
      <c r="AL7758" t="s">
        <v>11938</v>
      </c>
      <c r="AM7758" t="s">
        <v>4513</v>
      </c>
      <c r="AN7758" t="s">
        <v>4514</v>
      </c>
      <c r="AO7758" t="s">
        <v>4514</v>
      </c>
      <c r="AP7758" t="s">
        <v>4514</v>
      </c>
      <c r="AQ7758">
        <v>1</v>
      </c>
      <c r="AR7758" t="s">
        <v>5177</v>
      </c>
      <c r="AS7758" t="s">
        <v>5178</v>
      </c>
      <c r="AT7758" t="s">
        <v>58</v>
      </c>
      <c r="AU7758" t="s">
        <v>68</v>
      </c>
      <c r="AV7758" t="s">
        <v>69</v>
      </c>
      <c r="AW7758" s="1">
        <v>30151</v>
      </c>
      <c r="AX7758">
        <v>1</v>
      </c>
    </row>
    <row r="7759" spans="1:50">
      <c r="B7759" t="str">
        <f>"136713500"</f>
        <v>136713500</v>
      </c>
      <c r="C7759" t="s">
        <v>105</v>
      </c>
      <c r="D7759" t="s">
        <v>12208</v>
      </c>
      <c r="E7759" t="s">
        <v>9994</v>
      </c>
      <c r="F7759" t="s">
        <v>309</v>
      </c>
      <c r="G7759" t="s">
        <v>366</v>
      </c>
      <c r="H7759" t="str">
        <f>"ΑΛΕΞΑΝΔΡΑΣ 56 ΤΡΙΚΑΛΑ"</f>
        <v>ΑΛΕΞΑΝΔΡΑΣ 56 ΤΡΙΚΑΛΑ</v>
      </c>
      <c r="I7759">
        <v>42100</v>
      </c>
      <c r="J7759">
        <v>2431036326</v>
      </c>
      <c r="K7759">
        <v>6972891717</v>
      </c>
      <c r="N7759" t="s">
        <v>615</v>
      </c>
      <c r="O7759" t="s">
        <v>616</v>
      </c>
      <c r="R7759" t="s">
        <v>159</v>
      </c>
      <c r="S7759">
        <v>1</v>
      </c>
      <c r="T7759" t="s">
        <v>8675</v>
      </c>
      <c r="U7759" s="1">
        <v>43348</v>
      </c>
      <c r="V7759" t="s">
        <v>5177</v>
      </c>
      <c r="W7759" t="s">
        <v>5178</v>
      </c>
      <c r="X7759" t="s">
        <v>58</v>
      </c>
      <c r="Y7759">
        <v>24</v>
      </c>
      <c r="Z7759" t="s">
        <v>59</v>
      </c>
      <c r="AA7759" t="s">
        <v>59</v>
      </c>
      <c r="AB7759" t="s">
        <v>59</v>
      </c>
      <c r="AC7759" t="s">
        <v>59</v>
      </c>
      <c r="AD7759" t="s">
        <v>59</v>
      </c>
      <c r="AF7759" s="1">
        <v>43348</v>
      </c>
      <c r="AG7759" t="s">
        <v>8645</v>
      </c>
      <c r="AH7759" t="s">
        <v>8646</v>
      </c>
      <c r="AI7759" t="str">
        <f>"9320145"</f>
        <v>9320145</v>
      </c>
      <c r="AJ7759" t="s">
        <v>12171</v>
      </c>
      <c r="AK7759">
        <v>2841071309</v>
      </c>
      <c r="AL7759" t="s">
        <v>12172</v>
      </c>
      <c r="AM7759" t="s">
        <v>4513</v>
      </c>
      <c r="AN7759" t="s">
        <v>4514</v>
      </c>
      <c r="AO7759" t="s">
        <v>12085</v>
      </c>
      <c r="AP7759" t="s">
        <v>12085</v>
      </c>
      <c r="AQ7759">
        <v>2</v>
      </c>
      <c r="AR7759" t="s">
        <v>5177</v>
      </c>
      <c r="AS7759" t="s">
        <v>5178</v>
      </c>
      <c r="AT7759" t="s">
        <v>58</v>
      </c>
      <c r="AU7759" t="s">
        <v>8673</v>
      </c>
      <c r="AV7759" t="s">
        <v>132</v>
      </c>
      <c r="AW7759" s="1">
        <v>31251</v>
      </c>
      <c r="AX7759">
        <v>1</v>
      </c>
    </row>
    <row r="7760" spans="1:50">
      <c r="B7760" t="str">
        <f>"141551745"</f>
        <v>141551745</v>
      </c>
      <c r="C7760" t="s">
        <v>50</v>
      </c>
      <c r="D7760" t="s">
        <v>12209</v>
      </c>
      <c r="E7760" t="s">
        <v>238</v>
      </c>
      <c r="F7760" t="s">
        <v>760</v>
      </c>
      <c r="G7760" t="s">
        <v>809</v>
      </c>
      <c r="H7760" t="str">
        <f>" "</f>
        <v xml:space="preserve"> </v>
      </c>
      <c r="N7760" t="s">
        <v>1525</v>
      </c>
      <c r="O7760" t="s">
        <v>1526</v>
      </c>
      <c r="R7760" t="s">
        <v>159</v>
      </c>
      <c r="S7760">
        <v>1</v>
      </c>
      <c r="T7760" t="s">
        <v>8670</v>
      </c>
      <c r="U7760" s="1">
        <v>43348</v>
      </c>
      <c r="V7760" t="s">
        <v>5177</v>
      </c>
      <c r="W7760" t="s">
        <v>5178</v>
      </c>
      <c r="X7760" t="s">
        <v>58</v>
      </c>
      <c r="Y7760">
        <v>25</v>
      </c>
      <c r="Z7760" t="s">
        <v>59</v>
      </c>
      <c r="AA7760" t="s">
        <v>59</v>
      </c>
      <c r="AB7760" t="s">
        <v>59</v>
      </c>
      <c r="AC7760" t="s">
        <v>59</v>
      </c>
      <c r="AD7760" t="s">
        <v>59</v>
      </c>
      <c r="AF7760" s="1">
        <v>43348</v>
      </c>
      <c r="AG7760" t="s">
        <v>8651</v>
      </c>
      <c r="AH7760" t="s">
        <v>8652</v>
      </c>
      <c r="AI7760" t="str">
        <f>"9320206"</f>
        <v>9320206</v>
      </c>
      <c r="AJ7760" t="s">
        <v>12210</v>
      </c>
      <c r="AK7760">
        <v>2843051143</v>
      </c>
      <c r="AL7760" t="s">
        <v>12211</v>
      </c>
      <c r="AM7760" t="s">
        <v>4513</v>
      </c>
      <c r="AN7760" t="s">
        <v>4519</v>
      </c>
      <c r="AO7760" t="s">
        <v>4766</v>
      </c>
      <c r="AP7760" t="s">
        <v>12055</v>
      </c>
      <c r="AQ7760">
        <v>6</v>
      </c>
      <c r="AR7760" t="s">
        <v>5177</v>
      </c>
      <c r="AS7760" t="s">
        <v>5178</v>
      </c>
      <c r="AT7760" t="s">
        <v>58</v>
      </c>
      <c r="AU7760" t="s">
        <v>8673</v>
      </c>
      <c r="AV7760" t="s">
        <v>132</v>
      </c>
      <c r="AW7760" s="1">
        <v>31785</v>
      </c>
      <c r="AX7760">
        <v>1</v>
      </c>
    </row>
    <row r="7761" spans="1:50">
      <c r="A7761">
        <v>581023</v>
      </c>
      <c r="B7761" t="str">
        <f>"124004057"</f>
        <v>124004057</v>
      </c>
      <c r="C7761" t="s">
        <v>50</v>
      </c>
      <c r="D7761" t="s">
        <v>12212</v>
      </c>
      <c r="E7761" t="s">
        <v>506</v>
      </c>
      <c r="F7761" t="s">
        <v>609</v>
      </c>
      <c r="G7761" t="s">
        <v>250</v>
      </c>
      <c r="H7761" t="str">
        <f>"ΤΖΙΒΕΡΙ ΙΕΡΑΠΕΤΡΑ"</f>
        <v>ΤΖΙΒΕΡΙ ΙΕΡΑΠΕΤΡΑ</v>
      </c>
      <c r="I7761">
        <v>72200</v>
      </c>
      <c r="J7761">
        <v>2842026382</v>
      </c>
      <c r="K7761">
        <v>6936111834</v>
      </c>
      <c r="M7761" t="s">
        <v>12213</v>
      </c>
      <c r="N7761" t="s">
        <v>615</v>
      </c>
      <c r="O7761" t="s">
        <v>616</v>
      </c>
      <c r="R7761" t="s">
        <v>57</v>
      </c>
      <c r="S7761">
        <v>13</v>
      </c>
      <c r="T7761">
        <v>179</v>
      </c>
      <c r="U7761" s="1">
        <v>35674</v>
      </c>
      <c r="V7761" t="s">
        <v>5177</v>
      </c>
      <c r="W7761" t="s">
        <v>5178</v>
      </c>
      <c r="X7761" t="s">
        <v>58</v>
      </c>
      <c r="Y7761">
        <v>21</v>
      </c>
      <c r="Z7761" t="s">
        <v>59</v>
      </c>
      <c r="AA7761" t="s">
        <v>59</v>
      </c>
      <c r="AB7761" t="s">
        <v>59</v>
      </c>
      <c r="AC7761" t="s">
        <v>59</v>
      </c>
      <c r="AD7761" t="s">
        <v>59</v>
      </c>
      <c r="AF7761" s="1">
        <v>35676</v>
      </c>
      <c r="AG7761" t="s">
        <v>8645</v>
      </c>
      <c r="AH7761" t="s">
        <v>8646</v>
      </c>
      <c r="AI7761" t="str">
        <f>"9320028"</f>
        <v>9320028</v>
      </c>
      <c r="AJ7761" t="s">
        <v>12214</v>
      </c>
      <c r="AK7761">
        <v>2842051243</v>
      </c>
      <c r="AL7761" t="s">
        <v>12215</v>
      </c>
      <c r="AM7761" t="s">
        <v>4513</v>
      </c>
      <c r="AN7761" t="s">
        <v>4519</v>
      </c>
      <c r="AO7761" t="s">
        <v>4519</v>
      </c>
      <c r="AP7761" t="s">
        <v>12216</v>
      </c>
      <c r="AQ7761">
        <v>7</v>
      </c>
      <c r="AR7761" t="s">
        <v>5177</v>
      </c>
      <c r="AS7761" t="s">
        <v>5178</v>
      </c>
      <c r="AT7761" t="s">
        <v>58</v>
      </c>
      <c r="AU7761" t="s">
        <v>68</v>
      </c>
      <c r="AV7761" t="s">
        <v>69</v>
      </c>
      <c r="AW7761" s="1">
        <v>23085</v>
      </c>
      <c r="AX7761">
        <v>1</v>
      </c>
    </row>
    <row r="7762" spans="1:50">
      <c r="A7762">
        <v>617014</v>
      </c>
      <c r="B7762" t="str">
        <f>"131107614"</f>
        <v>131107614</v>
      </c>
      <c r="C7762" t="s">
        <v>50</v>
      </c>
      <c r="D7762" t="s">
        <v>4916</v>
      </c>
      <c r="E7762" t="s">
        <v>237</v>
      </c>
      <c r="F7762" t="s">
        <v>995</v>
      </c>
      <c r="G7762" t="s">
        <v>460</v>
      </c>
      <c r="H7762" t="str">
        <f>" "</f>
        <v xml:space="preserve"> </v>
      </c>
      <c r="J7762">
        <v>2310434437</v>
      </c>
      <c r="K7762">
        <v>6946218034</v>
      </c>
      <c r="N7762" t="s">
        <v>615</v>
      </c>
      <c r="O7762" t="s">
        <v>616</v>
      </c>
      <c r="R7762" t="s">
        <v>57</v>
      </c>
      <c r="S7762">
        <v>6</v>
      </c>
      <c r="T7762">
        <v>774</v>
      </c>
      <c r="U7762" s="1">
        <v>39680</v>
      </c>
      <c r="V7762" t="s">
        <v>5177</v>
      </c>
      <c r="W7762" t="s">
        <v>5178</v>
      </c>
      <c r="X7762" t="s">
        <v>58</v>
      </c>
      <c r="Y7762">
        <v>23</v>
      </c>
      <c r="Z7762" t="s">
        <v>59</v>
      </c>
      <c r="AA7762" t="s">
        <v>59</v>
      </c>
      <c r="AB7762" t="s">
        <v>59</v>
      </c>
      <c r="AC7762" t="s">
        <v>59</v>
      </c>
      <c r="AD7762" t="s">
        <v>59</v>
      </c>
      <c r="AF7762" s="1">
        <v>39681</v>
      </c>
      <c r="AG7762" t="s">
        <v>8645</v>
      </c>
      <c r="AH7762" t="s">
        <v>8646</v>
      </c>
      <c r="AI7762" t="str">
        <f>"9320055"</f>
        <v>9320055</v>
      </c>
      <c r="AJ7762" t="s">
        <v>11937</v>
      </c>
      <c r="AK7762">
        <v>2841022326</v>
      </c>
      <c r="AL7762" t="s">
        <v>11938</v>
      </c>
      <c r="AM7762" t="s">
        <v>4513</v>
      </c>
      <c r="AN7762" t="s">
        <v>4514</v>
      </c>
      <c r="AO7762" t="s">
        <v>4514</v>
      </c>
      <c r="AP7762" t="s">
        <v>4514</v>
      </c>
      <c r="AQ7762">
        <v>1</v>
      </c>
      <c r="AR7762" t="s">
        <v>5177</v>
      </c>
      <c r="AS7762" t="s">
        <v>5178</v>
      </c>
      <c r="AT7762" t="s">
        <v>58</v>
      </c>
      <c r="AU7762" t="s">
        <v>68</v>
      </c>
      <c r="AV7762" t="s">
        <v>69</v>
      </c>
      <c r="AW7762" s="1">
        <v>30462</v>
      </c>
      <c r="AX7762">
        <v>1</v>
      </c>
    </row>
    <row r="7763" spans="1:50">
      <c r="A7763">
        <v>593173</v>
      </c>
      <c r="B7763" t="str">
        <f>"075837630"</f>
        <v>075837630</v>
      </c>
      <c r="C7763" t="s">
        <v>50</v>
      </c>
      <c r="D7763" t="s">
        <v>9943</v>
      </c>
      <c r="E7763" t="s">
        <v>238</v>
      </c>
      <c r="F7763" t="s">
        <v>84</v>
      </c>
      <c r="G7763" t="s">
        <v>52</v>
      </c>
      <c r="H7763" t="str">
        <f>"ΡΟΥΣΟΥ ΚΟΥΝΔΟΥΡΟΥ ΙΕΡΑΠΕΤΡΑ"</f>
        <v>ΡΟΥΣΟΥ ΚΟΥΝΔΟΥΡΟΥ ΙΕΡΑΠΕΤΡΑ</v>
      </c>
      <c r="I7763">
        <v>72200</v>
      </c>
      <c r="J7763">
        <v>2842027377</v>
      </c>
      <c r="K7763">
        <v>6930399492</v>
      </c>
      <c r="N7763" t="s">
        <v>615</v>
      </c>
      <c r="O7763" t="s">
        <v>616</v>
      </c>
      <c r="R7763" t="s">
        <v>57</v>
      </c>
      <c r="S7763">
        <v>8</v>
      </c>
      <c r="T7763">
        <v>218</v>
      </c>
      <c r="U7763" s="1">
        <v>37134</v>
      </c>
      <c r="V7763" t="s">
        <v>5177</v>
      </c>
      <c r="W7763" t="s">
        <v>5178</v>
      </c>
      <c r="X7763" t="s">
        <v>58</v>
      </c>
      <c r="Y7763">
        <v>22</v>
      </c>
      <c r="Z7763" t="s">
        <v>59</v>
      </c>
      <c r="AA7763" t="s">
        <v>59</v>
      </c>
      <c r="AB7763" t="s">
        <v>59</v>
      </c>
      <c r="AC7763" t="s">
        <v>59</v>
      </c>
      <c r="AD7763" t="s">
        <v>59</v>
      </c>
      <c r="AF7763" s="1">
        <v>37137</v>
      </c>
      <c r="AG7763" t="s">
        <v>8645</v>
      </c>
      <c r="AH7763" t="s">
        <v>8646</v>
      </c>
      <c r="AI7763" t="str">
        <f>"9320163"</f>
        <v>9320163</v>
      </c>
      <c r="AJ7763" t="s">
        <v>12012</v>
      </c>
      <c r="AK7763">
        <v>2842024595</v>
      </c>
      <c r="AL7763" t="s">
        <v>12013</v>
      </c>
      <c r="AM7763" t="s">
        <v>4513</v>
      </c>
      <c r="AN7763" t="s">
        <v>4519</v>
      </c>
      <c r="AO7763" t="s">
        <v>4519</v>
      </c>
      <c r="AP7763" t="s">
        <v>4519</v>
      </c>
      <c r="AQ7763">
        <v>4</v>
      </c>
      <c r="AR7763" t="s">
        <v>5177</v>
      </c>
      <c r="AS7763" t="s">
        <v>5178</v>
      </c>
      <c r="AT7763" t="s">
        <v>58</v>
      </c>
      <c r="AU7763" t="s">
        <v>68</v>
      </c>
      <c r="AV7763" t="s">
        <v>69</v>
      </c>
      <c r="AW7763" s="1">
        <v>26287</v>
      </c>
      <c r="AX7763">
        <v>1</v>
      </c>
    </row>
    <row r="7764" spans="1:50">
      <c r="A7764">
        <v>622790</v>
      </c>
      <c r="B7764" t="str">
        <f>"139909899"</f>
        <v>139909899</v>
      </c>
      <c r="C7764" t="s">
        <v>50</v>
      </c>
      <c r="D7764" t="s">
        <v>12217</v>
      </c>
      <c r="E7764" t="s">
        <v>3477</v>
      </c>
      <c r="F7764" t="s">
        <v>377</v>
      </c>
      <c r="G7764" t="s">
        <v>167</v>
      </c>
      <c r="H7764" t="str">
        <f>"ΚΥΠΡΟΥ 22 ΠΕΝΤΕΛΗ"</f>
        <v>ΚΥΠΡΟΥ 22 ΠΕΝΤΕΛΗ</v>
      </c>
      <c r="I7764">
        <v>15127</v>
      </c>
      <c r="J7764">
        <v>2106138217</v>
      </c>
      <c r="K7764">
        <v>6986993891</v>
      </c>
      <c r="N7764" t="s">
        <v>1525</v>
      </c>
      <c r="O7764" t="s">
        <v>1526</v>
      </c>
      <c r="R7764" t="s">
        <v>57</v>
      </c>
      <c r="S7764">
        <v>4</v>
      </c>
      <c r="T7764">
        <v>653</v>
      </c>
      <c r="U7764" s="1">
        <v>40043</v>
      </c>
      <c r="V7764" t="s">
        <v>5177</v>
      </c>
      <c r="W7764" t="s">
        <v>5178</v>
      </c>
      <c r="X7764" t="s">
        <v>58</v>
      </c>
      <c r="Y7764">
        <v>25</v>
      </c>
      <c r="Z7764" t="s">
        <v>59</v>
      </c>
      <c r="AA7764" t="s">
        <v>59</v>
      </c>
      <c r="AB7764" t="s">
        <v>59</v>
      </c>
      <c r="AC7764" t="s">
        <v>59</v>
      </c>
      <c r="AD7764" t="s">
        <v>59</v>
      </c>
      <c r="AF7764" s="1">
        <v>40043</v>
      </c>
      <c r="AG7764" t="s">
        <v>8651</v>
      </c>
      <c r="AH7764" t="s">
        <v>8652</v>
      </c>
      <c r="AI7764" t="str">
        <f>"9320222"</f>
        <v>9320222</v>
      </c>
      <c r="AJ7764" t="s">
        <v>12020</v>
      </c>
      <c r="AK7764">
        <v>2841022857</v>
      </c>
      <c r="AL7764" t="s">
        <v>12021</v>
      </c>
      <c r="AM7764" t="s">
        <v>4513</v>
      </c>
      <c r="AN7764" t="s">
        <v>4514</v>
      </c>
      <c r="AO7764" t="s">
        <v>4514</v>
      </c>
      <c r="AP7764" t="s">
        <v>4514</v>
      </c>
      <c r="AQ7764">
        <v>1</v>
      </c>
      <c r="AR7764" t="s">
        <v>5177</v>
      </c>
      <c r="AS7764" t="s">
        <v>5178</v>
      </c>
      <c r="AT7764" t="s">
        <v>58</v>
      </c>
      <c r="AU7764" t="s">
        <v>68</v>
      </c>
      <c r="AV7764" t="s">
        <v>69</v>
      </c>
      <c r="AW7764" s="1">
        <v>30179</v>
      </c>
      <c r="AX7764">
        <v>1</v>
      </c>
    </row>
    <row r="7765" spans="1:50">
      <c r="A7765">
        <v>611314</v>
      </c>
      <c r="B7765" t="str">
        <f>"070787621"</f>
        <v>070787621</v>
      </c>
      <c r="C7765" t="s">
        <v>50</v>
      </c>
      <c r="D7765" t="s">
        <v>12218</v>
      </c>
      <c r="E7765" t="s">
        <v>250</v>
      </c>
      <c r="F7765" t="s">
        <v>6169</v>
      </c>
      <c r="G7765" t="s">
        <v>396</v>
      </c>
      <c r="H7765" t="str">
        <f>"ΑΓΙΑΣΜΕΝΟΣ ΙΕΡΑΠΕΤΡΑ"</f>
        <v>ΑΓΙΑΣΜΕΝΟΣ ΙΕΡΑΠΕΤΡΑ</v>
      </c>
      <c r="I7765">
        <v>72200</v>
      </c>
      <c r="J7765">
        <v>2842080492</v>
      </c>
      <c r="K7765">
        <v>6944283684</v>
      </c>
      <c r="N7765" t="s">
        <v>1525</v>
      </c>
      <c r="O7765" t="s">
        <v>1526</v>
      </c>
      <c r="R7765" t="s">
        <v>57</v>
      </c>
      <c r="S7765">
        <v>7</v>
      </c>
      <c r="T7765">
        <v>233</v>
      </c>
      <c r="U7765" s="1">
        <v>38960</v>
      </c>
      <c r="V7765" t="s">
        <v>5177</v>
      </c>
      <c r="W7765" t="s">
        <v>5178</v>
      </c>
      <c r="X7765" t="s">
        <v>58</v>
      </c>
      <c r="Y7765">
        <v>25</v>
      </c>
      <c r="Z7765" t="s">
        <v>59</v>
      </c>
      <c r="AA7765" t="s">
        <v>59</v>
      </c>
      <c r="AB7765" t="s">
        <v>59</v>
      </c>
      <c r="AC7765" t="s">
        <v>59</v>
      </c>
      <c r="AD7765" t="s">
        <v>59</v>
      </c>
      <c r="AF7765" s="1">
        <v>38961</v>
      </c>
      <c r="AG7765" t="s">
        <v>8651</v>
      </c>
      <c r="AH7765" t="s">
        <v>8652</v>
      </c>
      <c r="AI7765" t="str">
        <f>"9320007"</f>
        <v>9320007</v>
      </c>
      <c r="AJ7765" t="s">
        <v>12219</v>
      </c>
      <c r="AK7765">
        <v>2842028548</v>
      </c>
      <c r="AL7765" t="s">
        <v>12220</v>
      </c>
      <c r="AM7765" t="s">
        <v>4513</v>
      </c>
      <c r="AN7765" t="s">
        <v>4519</v>
      </c>
      <c r="AO7765" t="s">
        <v>4519</v>
      </c>
      <c r="AP7765" t="s">
        <v>4519</v>
      </c>
      <c r="AQ7765">
        <v>4</v>
      </c>
      <c r="AR7765" t="s">
        <v>5177</v>
      </c>
      <c r="AS7765" t="s">
        <v>5178</v>
      </c>
      <c r="AT7765" t="s">
        <v>58</v>
      </c>
      <c r="AU7765" t="s">
        <v>68</v>
      </c>
      <c r="AV7765" t="s">
        <v>69</v>
      </c>
      <c r="AW7765" s="1">
        <v>27601</v>
      </c>
      <c r="AX7765">
        <v>1</v>
      </c>
    </row>
    <row r="7766" spans="1:50">
      <c r="B7766" t="str">
        <f>"136307490"</f>
        <v>136307490</v>
      </c>
      <c r="C7766" t="s">
        <v>105</v>
      </c>
      <c r="D7766" t="s">
        <v>12221</v>
      </c>
      <c r="E7766" t="s">
        <v>450</v>
      </c>
      <c r="F7766" t="s">
        <v>95</v>
      </c>
      <c r="G7766" t="s">
        <v>12222</v>
      </c>
      <c r="H7766" t="str">
        <f>"Λ.ΠΑΠΑΠΑΥΛΟΥ 23 "</f>
        <v xml:space="preserve">Λ.ΠΑΠΑΠΑΥΛΟΥ 23 </v>
      </c>
      <c r="I7766">
        <v>62100</v>
      </c>
      <c r="J7766">
        <v>2321064155</v>
      </c>
      <c r="K7766">
        <v>6948211481</v>
      </c>
      <c r="N7766" t="s">
        <v>306</v>
      </c>
      <c r="O7766" t="s">
        <v>307</v>
      </c>
      <c r="R7766" t="s">
        <v>159</v>
      </c>
      <c r="S7766">
        <v>4</v>
      </c>
      <c r="T7766" t="s">
        <v>8675</v>
      </c>
      <c r="U7766" s="1">
        <v>43348</v>
      </c>
      <c r="V7766" t="s">
        <v>5177</v>
      </c>
      <c r="W7766" t="s">
        <v>5178</v>
      </c>
      <c r="X7766" t="s">
        <v>58</v>
      </c>
      <c r="Y7766">
        <v>24</v>
      </c>
      <c r="Z7766" t="s">
        <v>59</v>
      </c>
      <c r="AA7766" t="s">
        <v>59</v>
      </c>
      <c r="AB7766" t="s">
        <v>59</v>
      </c>
      <c r="AC7766" t="s">
        <v>59</v>
      </c>
      <c r="AD7766" t="s">
        <v>59</v>
      </c>
      <c r="AF7766" s="1">
        <v>43348</v>
      </c>
      <c r="AG7766" t="s">
        <v>8645</v>
      </c>
      <c r="AH7766" t="s">
        <v>8646</v>
      </c>
      <c r="AI7766" t="str">
        <f>"9320028"</f>
        <v>9320028</v>
      </c>
      <c r="AJ7766" t="s">
        <v>12214</v>
      </c>
      <c r="AK7766">
        <v>2842051243</v>
      </c>
      <c r="AL7766" t="s">
        <v>12215</v>
      </c>
      <c r="AM7766" t="s">
        <v>4513</v>
      </c>
      <c r="AN7766" t="s">
        <v>4519</v>
      </c>
      <c r="AO7766" t="s">
        <v>4519</v>
      </c>
      <c r="AP7766" t="s">
        <v>12216</v>
      </c>
      <c r="AQ7766">
        <v>7</v>
      </c>
      <c r="AR7766" t="s">
        <v>5177</v>
      </c>
      <c r="AS7766" t="s">
        <v>5178</v>
      </c>
      <c r="AT7766" t="s">
        <v>58</v>
      </c>
      <c r="AU7766" t="s">
        <v>8673</v>
      </c>
      <c r="AV7766" t="s">
        <v>132</v>
      </c>
      <c r="AW7766" s="1">
        <v>28003</v>
      </c>
      <c r="AX7766">
        <v>1</v>
      </c>
    </row>
    <row r="7767" spans="1:50">
      <c r="A7767">
        <v>582717</v>
      </c>
      <c r="B7767" t="str">
        <f>"055224570"</f>
        <v>055224570</v>
      </c>
      <c r="C7767" t="s">
        <v>105</v>
      </c>
      <c r="D7767" t="s">
        <v>4919</v>
      </c>
      <c r="E7767" t="s">
        <v>383</v>
      </c>
      <c r="F7767" t="s">
        <v>72</v>
      </c>
      <c r="G7767" t="s">
        <v>476</v>
      </c>
      <c r="H7767" t="str">
        <f>"Ν. ΚΑΖΑΝΤΖΑΚΗ 34 ΙΕΡΑΠΕΤΡΑ"</f>
        <v>Ν. ΚΑΖΑΝΤΖΑΚΗ 34 ΙΕΡΑΠΕΤΡΑ</v>
      </c>
      <c r="I7767">
        <v>72200</v>
      </c>
      <c r="N7767" t="s">
        <v>615</v>
      </c>
      <c r="O7767" t="s">
        <v>616</v>
      </c>
      <c r="R7767" t="s">
        <v>57</v>
      </c>
      <c r="S7767">
        <v>11</v>
      </c>
      <c r="T7767">
        <v>179</v>
      </c>
      <c r="U7767" s="1">
        <v>35674</v>
      </c>
      <c r="V7767" t="s">
        <v>5177</v>
      </c>
      <c r="W7767" t="s">
        <v>5178</v>
      </c>
      <c r="X7767" t="s">
        <v>58</v>
      </c>
      <c r="Y7767">
        <v>21</v>
      </c>
      <c r="Z7767" t="s">
        <v>59</v>
      </c>
      <c r="AA7767" t="s">
        <v>59</v>
      </c>
      <c r="AB7767" t="s">
        <v>59</v>
      </c>
      <c r="AC7767" t="s">
        <v>59</v>
      </c>
      <c r="AD7767" t="s">
        <v>59</v>
      </c>
      <c r="AF7767" s="1">
        <v>35675</v>
      </c>
      <c r="AG7767" t="s">
        <v>8645</v>
      </c>
      <c r="AH7767" t="s">
        <v>8646</v>
      </c>
      <c r="AI7767" t="str">
        <f>"9320006"</f>
        <v>9320006</v>
      </c>
      <c r="AJ7767" t="s">
        <v>11919</v>
      </c>
      <c r="AK7767">
        <v>2842022359</v>
      </c>
      <c r="AL7767" t="s">
        <v>11920</v>
      </c>
      <c r="AM7767" t="s">
        <v>4513</v>
      </c>
      <c r="AN7767" t="s">
        <v>4519</v>
      </c>
      <c r="AO7767" t="s">
        <v>4519</v>
      </c>
      <c r="AP7767" t="s">
        <v>4519</v>
      </c>
      <c r="AQ7767">
        <v>4</v>
      </c>
      <c r="AR7767" t="s">
        <v>5177</v>
      </c>
      <c r="AS7767" t="s">
        <v>5178</v>
      </c>
      <c r="AT7767" t="s">
        <v>58</v>
      </c>
      <c r="AU7767" t="s">
        <v>68</v>
      </c>
      <c r="AV7767" t="s">
        <v>69</v>
      </c>
      <c r="AW7767" s="1">
        <v>23889</v>
      </c>
      <c r="AX7767">
        <v>1</v>
      </c>
    </row>
    <row r="7768" spans="1:50">
      <c r="A7768">
        <v>592169</v>
      </c>
      <c r="B7768" t="str">
        <f>"053705671"</f>
        <v>053705671</v>
      </c>
      <c r="C7768" t="s">
        <v>50</v>
      </c>
      <c r="D7768" t="s">
        <v>12223</v>
      </c>
      <c r="E7768" t="s">
        <v>143</v>
      </c>
      <c r="F7768" t="s">
        <v>166</v>
      </c>
      <c r="G7768" t="s">
        <v>215</v>
      </c>
      <c r="H7768" t="str">
        <f>"Γ.ΤΖΙΚΡΙΤΖΑΚΗ 127 ΓΡΑ ΛΥΓΙΑ"</f>
        <v>Γ.ΤΖΙΚΡΙΤΖΑΚΗ 127 ΓΡΑ ΛΥΓΙΑ</v>
      </c>
      <c r="I7768">
        <v>72200</v>
      </c>
      <c r="J7768">
        <v>2842026452</v>
      </c>
      <c r="N7768" t="s">
        <v>1525</v>
      </c>
      <c r="O7768" t="s">
        <v>1526</v>
      </c>
      <c r="R7768" t="s">
        <v>57</v>
      </c>
      <c r="S7768">
        <v>8</v>
      </c>
      <c r="T7768">
        <v>249</v>
      </c>
      <c r="U7768" s="1">
        <v>36769</v>
      </c>
      <c r="V7768" t="s">
        <v>5177</v>
      </c>
      <c r="W7768" t="s">
        <v>5178</v>
      </c>
      <c r="X7768" t="s">
        <v>58</v>
      </c>
      <c r="Y7768">
        <v>25</v>
      </c>
      <c r="Z7768" t="s">
        <v>59</v>
      </c>
      <c r="AA7768" t="s">
        <v>59</v>
      </c>
      <c r="AB7768" t="s">
        <v>59</v>
      </c>
      <c r="AC7768" t="s">
        <v>59</v>
      </c>
      <c r="AD7768" t="s">
        <v>59</v>
      </c>
      <c r="AF7768" s="1">
        <v>36770</v>
      </c>
      <c r="AG7768" t="s">
        <v>8651</v>
      </c>
      <c r="AH7768" t="s">
        <v>8652</v>
      </c>
      <c r="AI7768" t="str">
        <f>"9320142"</f>
        <v>9320142</v>
      </c>
      <c r="AJ7768" t="s">
        <v>12022</v>
      </c>
      <c r="AK7768">
        <v>2842026776</v>
      </c>
      <c r="AL7768" t="s">
        <v>12023</v>
      </c>
      <c r="AM7768" t="s">
        <v>4513</v>
      </c>
      <c r="AN7768" t="s">
        <v>4519</v>
      </c>
      <c r="AO7768" t="s">
        <v>4519</v>
      </c>
      <c r="AP7768" t="s">
        <v>4519</v>
      </c>
      <c r="AQ7768">
        <v>4</v>
      </c>
      <c r="AR7768" t="s">
        <v>5177</v>
      </c>
      <c r="AS7768" t="s">
        <v>5178</v>
      </c>
      <c r="AT7768" t="s">
        <v>58</v>
      </c>
      <c r="AU7768" t="s">
        <v>68</v>
      </c>
      <c r="AV7768" t="s">
        <v>69</v>
      </c>
      <c r="AW7768" s="1">
        <v>25263</v>
      </c>
      <c r="AX7768">
        <v>1</v>
      </c>
    </row>
    <row r="7769" spans="1:50">
      <c r="A7769">
        <v>617179</v>
      </c>
      <c r="B7769" t="str">
        <f>"116666735"</f>
        <v>116666735</v>
      </c>
      <c r="C7769" t="s">
        <v>50</v>
      </c>
      <c r="D7769" t="s">
        <v>9990</v>
      </c>
      <c r="E7769" t="s">
        <v>52</v>
      </c>
      <c r="F7769" t="s">
        <v>95</v>
      </c>
      <c r="G7769" t="s">
        <v>71</v>
      </c>
      <c r="H7769" t="str">
        <f>"ΕΠΙΜΕΝΙΔΟΥ 15 ΑΓΙΟΣ ΝΙΚΟΛΑΟΣ"</f>
        <v>ΕΠΙΜΕΝΙΔΟΥ 15 ΑΓΙΟΣ ΝΙΚΟΛΑΟΣ</v>
      </c>
      <c r="I7769">
        <v>72100</v>
      </c>
      <c r="J7769">
        <v>2891032310</v>
      </c>
      <c r="K7769">
        <v>6948483471</v>
      </c>
      <c r="L7769">
        <v>2841025641</v>
      </c>
      <c r="N7769" t="s">
        <v>615</v>
      </c>
      <c r="O7769" t="s">
        <v>616</v>
      </c>
      <c r="R7769" t="s">
        <v>57</v>
      </c>
      <c r="S7769">
        <v>6</v>
      </c>
      <c r="T7769">
        <v>774</v>
      </c>
      <c r="U7769" s="1">
        <v>39680</v>
      </c>
      <c r="V7769" t="s">
        <v>5177</v>
      </c>
      <c r="W7769" t="s">
        <v>5178</v>
      </c>
      <c r="X7769" t="s">
        <v>58</v>
      </c>
      <c r="Y7769">
        <v>23</v>
      </c>
      <c r="Z7769" t="s">
        <v>59</v>
      </c>
      <c r="AA7769" t="s">
        <v>59</v>
      </c>
      <c r="AB7769" t="s">
        <v>59</v>
      </c>
      <c r="AC7769" t="s">
        <v>59</v>
      </c>
      <c r="AD7769" t="s">
        <v>59</v>
      </c>
      <c r="AF7769" s="1">
        <v>39681</v>
      </c>
      <c r="AG7769" t="s">
        <v>8645</v>
      </c>
      <c r="AH7769" t="s">
        <v>8646</v>
      </c>
      <c r="AI7769" t="str">
        <f>"9320138"</f>
        <v>9320138</v>
      </c>
      <c r="AJ7769" t="s">
        <v>11915</v>
      </c>
      <c r="AK7769">
        <v>2841022104</v>
      </c>
      <c r="AL7769" t="s">
        <v>11916</v>
      </c>
      <c r="AM7769" t="s">
        <v>4513</v>
      </c>
      <c r="AN7769" t="s">
        <v>4514</v>
      </c>
      <c r="AO7769" t="s">
        <v>4514</v>
      </c>
      <c r="AP7769" t="s">
        <v>4514</v>
      </c>
      <c r="AQ7769">
        <v>1</v>
      </c>
      <c r="AR7769" t="s">
        <v>5177</v>
      </c>
      <c r="AS7769" t="s">
        <v>5178</v>
      </c>
      <c r="AT7769" t="s">
        <v>58</v>
      </c>
      <c r="AU7769" t="s">
        <v>68</v>
      </c>
      <c r="AV7769" t="s">
        <v>69</v>
      </c>
      <c r="AW7769" s="1">
        <v>30736</v>
      </c>
      <c r="AX7769">
        <v>1</v>
      </c>
    </row>
    <row r="7770" spans="1:50">
      <c r="B7770" t="str">
        <f>"112919069"</f>
        <v>112919069</v>
      </c>
      <c r="C7770" t="s">
        <v>50</v>
      </c>
      <c r="D7770" t="s">
        <v>12224</v>
      </c>
      <c r="E7770" t="s">
        <v>237</v>
      </c>
      <c r="F7770" t="s">
        <v>166</v>
      </c>
      <c r="G7770" t="s">
        <v>801</v>
      </c>
      <c r="H7770" t="str">
        <f>"ΤΡΕΜΠΕΣΙΝΑΣ 4 ΠΕΡΙΣΤΕΡΙ"</f>
        <v>ΤΡΕΜΠΕΣΙΝΑΣ 4 ΠΕΡΙΣΤΕΡΙ</v>
      </c>
      <c r="I7770">
        <v>12131</v>
      </c>
      <c r="J7770">
        <v>2105912933</v>
      </c>
      <c r="K7770">
        <v>6976625659</v>
      </c>
      <c r="N7770" t="s">
        <v>306</v>
      </c>
      <c r="O7770" t="s">
        <v>307</v>
      </c>
      <c r="R7770" t="s">
        <v>159</v>
      </c>
      <c r="S7770">
        <v>2</v>
      </c>
      <c r="T7770" t="s">
        <v>8675</v>
      </c>
      <c r="U7770" s="1">
        <v>43348</v>
      </c>
      <c r="V7770" t="s">
        <v>5177</v>
      </c>
      <c r="W7770" t="s">
        <v>5178</v>
      </c>
      <c r="X7770" t="s">
        <v>58</v>
      </c>
      <c r="Y7770">
        <v>24</v>
      </c>
      <c r="Z7770" t="s">
        <v>59</v>
      </c>
      <c r="AA7770" t="s">
        <v>59</v>
      </c>
      <c r="AB7770" t="s">
        <v>59</v>
      </c>
      <c r="AC7770" t="s">
        <v>59</v>
      </c>
      <c r="AD7770" t="s">
        <v>59</v>
      </c>
      <c r="AF7770" s="1">
        <v>43348</v>
      </c>
      <c r="AG7770" t="s">
        <v>8645</v>
      </c>
      <c r="AH7770" t="s">
        <v>8646</v>
      </c>
      <c r="AI7770" t="str">
        <f>"9320020"</f>
        <v>9320020</v>
      </c>
      <c r="AJ7770" t="s">
        <v>12093</v>
      </c>
      <c r="AK7770">
        <v>2842031284</v>
      </c>
      <c r="AL7770" t="s">
        <v>12094</v>
      </c>
      <c r="AM7770" t="s">
        <v>4513</v>
      </c>
      <c r="AN7770" t="s">
        <v>4519</v>
      </c>
      <c r="AO7770" t="s">
        <v>4519</v>
      </c>
      <c r="AP7770" t="s">
        <v>12090</v>
      </c>
      <c r="AQ7770">
        <v>5</v>
      </c>
      <c r="AR7770" t="s">
        <v>5177</v>
      </c>
      <c r="AS7770" t="s">
        <v>5178</v>
      </c>
      <c r="AT7770" t="s">
        <v>58</v>
      </c>
      <c r="AU7770" t="s">
        <v>8673</v>
      </c>
      <c r="AV7770" t="s">
        <v>132</v>
      </c>
      <c r="AW7770" s="1">
        <v>29594</v>
      </c>
      <c r="AX7770">
        <v>1</v>
      </c>
    </row>
    <row r="7771" spans="1:50">
      <c r="A7771">
        <v>564301</v>
      </c>
      <c r="B7771" t="str">
        <f>"038789896"</f>
        <v>038789896</v>
      </c>
      <c r="C7771" t="s">
        <v>105</v>
      </c>
      <c r="D7771" t="s">
        <v>12225</v>
      </c>
      <c r="E7771" t="s">
        <v>166</v>
      </c>
      <c r="F7771" t="s">
        <v>99</v>
      </c>
      <c r="G7771" t="s">
        <v>52</v>
      </c>
      <c r="H7771" t="str">
        <f>"ΔΗΜΟΚΡΑΤΙΑΣ 17Α "</f>
        <v xml:space="preserve">ΔΗΜΟΚΡΑΤΙΑΣ 17Α </v>
      </c>
      <c r="I7771">
        <v>72100</v>
      </c>
      <c r="J7771">
        <v>2841023417</v>
      </c>
      <c r="K7771">
        <v>6944250754</v>
      </c>
      <c r="N7771" t="s">
        <v>615</v>
      </c>
      <c r="O7771" t="s">
        <v>616</v>
      </c>
      <c r="R7771" t="s">
        <v>57</v>
      </c>
      <c r="S7771">
        <v>14</v>
      </c>
      <c r="T7771">
        <v>161</v>
      </c>
      <c r="U7771" s="1">
        <v>33119</v>
      </c>
      <c r="V7771" t="s">
        <v>5177</v>
      </c>
      <c r="W7771" t="s">
        <v>5178</v>
      </c>
      <c r="X7771" t="s">
        <v>58</v>
      </c>
      <c r="Y7771">
        <v>21</v>
      </c>
      <c r="Z7771" t="s">
        <v>59</v>
      </c>
      <c r="AA7771" t="s">
        <v>59</v>
      </c>
      <c r="AB7771" t="s">
        <v>59</v>
      </c>
      <c r="AC7771" t="s">
        <v>59</v>
      </c>
      <c r="AD7771" t="s">
        <v>59</v>
      </c>
      <c r="AF7771" s="1">
        <v>33121</v>
      </c>
      <c r="AG7771" t="s">
        <v>60</v>
      </c>
      <c r="AH7771" t="s">
        <v>61</v>
      </c>
      <c r="AI7771" t="str">
        <f>"9000638"</f>
        <v>9000638</v>
      </c>
      <c r="AJ7771" t="s">
        <v>5175</v>
      </c>
      <c r="AK7771">
        <v>2841082480</v>
      </c>
      <c r="AL7771" t="s">
        <v>5176</v>
      </c>
      <c r="AM7771" t="s">
        <v>4513</v>
      </c>
      <c r="AN7771" t="s">
        <v>4514</v>
      </c>
      <c r="AO7771" t="s">
        <v>4514</v>
      </c>
      <c r="AP7771" t="s">
        <v>4514</v>
      </c>
      <c r="AR7771" t="s">
        <v>5177</v>
      </c>
      <c r="AS7771" t="s">
        <v>5178</v>
      </c>
      <c r="AT7771" t="s">
        <v>58</v>
      </c>
      <c r="AU7771" t="s">
        <v>68</v>
      </c>
      <c r="AV7771" t="s">
        <v>69</v>
      </c>
      <c r="AW7771" s="1">
        <v>23820</v>
      </c>
      <c r="AX7771">
        <v>0</v>
      </c>
    </row>
    <row r="7772" spans="1:50">
      <c r="A7772">
        <v>215464</v>
      </c>
      <c r="B7772" t="str">
        <f>"103505846"</f>
        <v>103505846</v>
      </c>
      <c r="C7772" t="s">
        <v>105</v>
      </c>
      <c r="D7772" t="s">
        <v>1829</v>
      </c>
      <c r="E7772" t="s">
        <v>2027</v>
      </c>
      <c r="F7772" t="s">
        <v>72</v>
      </c>
      <c r="G7772" t="s">
        <v>237</v>
      </c>
      <c r="H7772" t="str">
        <f>"ΑΦΕΝΤΟΥΛΗ 7 ΗΡΑΚΛΕΙΟ"</f>
        <v>ΑΦΕΝΤΟΥΛΗ 7 ΗΡΑΚΛΕΙΟ</v>
      </c>
      <c r="I7772">
        <v>71409</v>
      </c>
      <c r="J7772">
        <v>2810212619</v>
      </c>
      <c r="K7772">
        <v>6937936472</v>
      </c>
      <c r="M7772" t="s">
        <v>12226</v>
      </c>
      <c r="N7772" t="s">
        <v>204</v>
      </c>
      <c r="O7772" t="s">
        <v>205</v>
      </c>
      <c r="R7772" t="s">
        <v>57</v>
      </c>
      <c r="S7772">
        <v>6</v>
      </c>
      <c r="T7772">
        <v>231</v>
      </c>
      <c r="U7772" s="1">
        <v>38960</v>
      </c>
      <c r="V7772" t="s">
        <v>5177</v>
      </c>
      <c r="W7772" t="s">
        <v>5178</v>
      </c>
      <c r="X7772" t="s">
        <v>58</v>
      </c>
      <c r="Y7772">
        <v>23</v>
      </c>
      <c r="Z7772" t="s">
        <v>59</v>
      </c>
      <c r="AA7772" t="s">
        <v>59</v>
      </c>
      <c r="AB7772" t="s">
        <v>59</v>
      </c>
      <c r="AC7772" t="s">
        <v>59</v>
      </c>
      <c r="AD7772" t="s">
        <v>59</v>
      </c>
      <c r="AF7772" s="1">
        <v>38961</v>
      </c>
      <c r="AG7772" t="s">
        <v>8645</v>
      </c>
      <c r="AH7772" t="s">
        <v>8646</v>
      </c>
      <c r="AI7772" t="str">
        <f>"9320163"</f>
        <v>9320163</v>
      </c>
      <c r="AJ7772" t="s">
        <v>12012</v>
      </c>
      <c r="AK7772">
        <v>2842024595</v>
      </c>
      <c r="AL7772" t="s">
        <v>12013</v>
      </c>
      <c r="AM7772" t="s">
        <v>4513</v>
      </c>
      <c r="AN7772" t="s">
        <v>4519</v>
      </c>
      <c r="AO7772" t="s">
        <v>4519</v>
      </c>
      <c r="AP7772" t="s">
        <v>4519</v>
      </c>
      <c r="AQ7772">
        <v>4</v>
      </c>
      <c r="AR7772" t="s">
        <v>5177</v>
      </c>
      <c r="AS7772" t="s">
        <v>5178</v>
      </c>
      <c r="AT7772" t="s">
        <v>58</v>
      </c>
      <c r="AU7772" t="s">
        <v>68</v>
      </c>
      <c r="AV7772" t="s">
        <v>69</v>
      </c>
      <c r="AW7772" s="1">
        <v>28876</v>
      </c>
      <c r="AX7772">
        <v>1</v>
      </c>
    </row>
    <row r="7773" spans="1:50">
      <c r="A7773">
        <v>612755</v>
      </c>
      <c r="B7773" t="str">
        <f>"066436941"</f>
        <v>066436941</v>
      </c>
      <c r="C7773" t="s">
        <v>50</v>
      </c>
      <c r="D7773" t="s">
        <v>12227</v>
      </c>
      <c r="E7773" t="s">
        <v>476</v>
      </c>
      <c r="F7773" t="s">
        <v>670</v>
      </c>
      <c r="G7773" t="s">
        <v>801</v>
      </c>
      <c r="H7773" t="str">
        <f>"ΖΟΥΜΑΚΗ ΒΑΣΙΛΑΚΗ 19 ΣΗΤΕΙΑ"</f>
        <v>ΖΟΥΜΑΚΗ ΒΑΣΙΛΑΚΗ 19 ΣΗΤΕΙΑ</v>
      </c>
      <c r="I7773">
        <v>72300</v>
      </c>
      <c r="J7773">
        <v>2843025828</v>
      </c>
      <c r="K7773">
        <v>6972320660</v>
      </c>
      <c r="L7773">
        <v>2105817057</v>
      </c>
      <c r="N7773" t="s">
        <v>1525</v>
      </c>
      <c r="O7773" t="s">
        <v>1526</v>
      </c>
      <c r="R7773" t="s">
        <v>57</v>
      </c>
      <c r="S7773">
        <v>5</v>
      </c>
      <c r="T7773">
        <v>254</v>
      </c>
      <c r="U7773" s="1">
        <v>38973</v>
      </c>
      <c r="V7773" t="s">
        <v>5177</v>
      </c>
      <c r="W7773" t="s">
        <v>5178</v>
      </c>
      <c r="X7773" t="s">
        <v>58</v>
      </c>
      <c r="Y7773">
        <v>25</v>
      </c>
      <c r="Z7773" t="s">
        <v>59</v>
      </c>
      <c r="AA7773" t="s">
        <v>59</v>
      </c>
      <c r="AB7773" t="s">
        <v>59</v>
      </c>
      <c r="AC7773" t="s">
        <v>59</v>
      </c>
      <c r="AD7773" t="s">
        <v>59</v>
      </c>
      <c r="AF7773" s="1">
        <v>38975</v>
      </c>
      <c r="AG7773" t="s">
        <v>8651</v>
      </c>
      <c r="AH7773" t="s">
        <v>8652</v>
      </c>
      <c r="AI7773" t="str">
        <f>"9320208"</f>
        <v>9320208</v>
      </c>
      <c r="AJ7773" t="s">
        <v>12228</v>
      </c>
      <c r="AK7773">
        <v>2843022705</v>
      </c>
      <c r="AL7773" t="s">
        <v>12229</v>
      </c>
      <c r="AM7773" t="s">
        <v>4513</v>
      </c>
      <c r="AN7773" t="s">
        <v>4540</v>
      </c>
      <c r="AO7773" t="s">
        <v>4540</v>
      </c>
      <c r="AP7773" t="s">
        <v>4540</v>
      </c>
      <c r="AQ7773">
        <v>8</v>
      </c>
      <c r="AR7773" t="s">
        <v>5177</v>
      </c>
      <c r="AS7773" t="s">
        <v>5178</v>
      </c>
      <c r="AT7773" t="s">
        <v>58</v>
      </c>
      <c r="AU7773" t="s">
        <v>68</v>
      </c>
      <c r="AV7773" t="s">
        <v>69</v>
      </c>
      <c r="AW7773" s="1">
        <v>29278</v>
      </c>
      <c r="AX7773">
        <v>1</v>
      </c>
    </row>
    <row r="7774" spans="1:50">
      <c r="A7774">
        <v>612746</v>
      </c>
      <c r="B7774" t="str">
        <f>"132453754"</f>
        <v>132453754</v>
      </c>
      <c r="C7774" t="s">
        <v>50</v>
      </c>
      <c r="D7774" t="s">
        <v>12230</v>
      </c>
      <c r="E7774" t="s">
        <v>1227</v>
      </c>
      <c r="F7774" t="s">
        <v>95</v>
      </c>
      <c r="G7774" t="s">
        <v>255</v>
      </c>
      <c r="H7774" t="str">
        <f>"ΜΑΡΙΕΣ ΛΙΜΕΝΑΡΙΑ"</f>
        <v>ΜΑΡΙΕΣ ΛΙΜΕΝΑΡΙΑ</v>
      </c>
      <c r="I7774">
        <v>64002</v>
      </c>
      <c r="K7774">
        <v>6944277379</v>
      </c>
      <c r="M7774" t="s">
        <v>12231</v>
      </c>
      <c r="N7774" t="s">
        <v>1525</v>
      </c>
      <c r="O7774" t="s">
        <v>1526</v>
      </c>
      <c r="R7774" t="s">
        <v>57</v>
      </c>
      <c r="S7774">
        <v>7</v>
      </c>
      <c r="T7774">
        <v>254</v>
      </c>
      <c r="U7774" s="1">
        <v>38973</v>
      </c>
      <c r="V7774" t="s">
        <v>5177</v>
      </c>
      <c r="W7774" t="s">
        <v>5178</v>
      </c>
      <c r="X7774" t="s">
        <v>58</v>
      </c>
      <c r="Y7774">
        <v>25</v>
      </c>
      <c r="Z7774" t="s">
        <v>59</v>
      </c>
      <c r="AA7774" t="s">
        <v>59</v>
      </c>
      <c r="AB7774" t="s">
        <v>59</v>
      </c>
      <c r="AC7774" t="s">
        <v>59</v>
      </c>
      <c r="AD7774" t="s">
        <v>59</v>
      </c>
      <c r="AF7774" s="1">
        <v>38974</v>
      </c>
      <c r="AG7774" t="s">
        <v>8651</v>
      </c>
      <c r="AH7774" t="s">
        <v>8652</v>
      </c>
      <c r="AI7774" t="str">
        <f>"9320223"</f>
        <v>9320223</v>
      </c>
      <c r="AJ7774" t="s">
        <v>12168</v>
      </c>
      <c r="AK7774">
        <v>2843026063</v>
      </c>
      <c r="AL7774" t="s">
        <v>12169</v>
      </c>
      <c r="AM7774" t="s">
        <v>4513</v>
      </c>
      <c r="AN7774" t="s">
        <v>4540</v>
      </c>
      <c r="AO7774" t="s">
        <v>4540</v>
      </c>
      <c r="AP7774" t="s">
        <v>4540</v>
      </c>
      <c r="AQ7774">
        <v>8</v>
      </c>
      <c r="AR7774" t="s">
        <v>5177</v>
      </c>
      <c r="AS7774" t="s">
        <v>5178</v>
      </c>
      <c r="AT7774" t="s">
        <v>58</v>
      </c>
      <c r="AU7774" t="s">
        <v>68</v>
      </c>
      <c r="AV7774" t="s">
        <v>69</v>
      </c>
      <c r="AW7774" s="1">
        <v>29403</v>
      </c>
      <c r="AX7774">
        <v>1</v>
      </c>
    </row>
    <row r="7775" spans="1:50">
      <c r="B7775" t="str">
        <f>"140029630"</f>
        <v>140029630</v>
      </c>
      <c r="C7775" t="s">
        <v>50</v>
      </c>
      <c r="D7775" t="s">
        <v>1858</v>
      </c>
      <c r="E7775" t="s">
        <v>114</v>
      </c>
      <c r="F7775" t="s">
        <v>900</v>
      </c>
      <c r="G7775" t="s">
        <v>143</v>
      </c>
      <c r="H7775" t="str">
        <f>" "</f>
        <v xml:space="preserve"> </v>
      </c>
      <c r="N7775" t="s">
        <v>8834</v>
      </c>
      <c r="O7775" t="s">
        <v>8695</v>
      </c>
      <c r="R7775" t="s">
        <v>159</v>
      </c>
      <c r="S7775">
        <v>3</v>
      </c>
      <c r="T7775" t="s">
        <v>8835</v>
      </c>
      <c r="U7775" s="1">
        <v>43348</v>
      </c>
      <c r="V7775" t="s">
        <v>5177</v>
      </c>
      <c r="W7775" t="s">
        <v>5178</v>
      </c>
      <c r="X7775" t="s">
        <v>58</v>
      </c>
      <c r="Y7775">
        <v>24</v>
      </c>
      <c r="Z7775" t="s">
        <v>59</v>
      </c>
      <c r="AA7775" t="s">
        <v>59</v>
      </c>
      <c r="AB7775" t="s">
        <v>59</v>
      </c>
      <c r="AD7775" t="s">
        <v>59</v>
      </c>
      <c r="AF7775" s="1">
        <v>43348</v>
      </c>
      <c r="AG7775" t="s">
        <v>8645</v>
      </c>
      <c r="AH7775" t="s">
        <v>8646</v>
      </c>
      <c r="AI7775" t="str">
        <f>"9320006"</f>
        <v>9320006</v>
      </c>
      <c r="AJ7775" t="s">
        <v>11919</v>
      </c>
      <c r="AK7775">
        <v>2842022359</v>
      </c>
      <c r="AL7775" t="s">
        <v>11920</v>
      </c>
      <c r="AM7775" t="s">
        <v>4513</v>
      </c>
      <c r="AN7775" t="s">
        <v>4519</v>
      </c>
      <c r="AO7775" t="s">
        <v>4519</v>
      </c>
      <c r="AP7775" t="s">
        <v>4519</v>
      </c>
      <c r="AQ7775">
        <v>4</v>
      </c>
      <c r="AR7775" t="s">
        <v>5177</v>
      </c>
      <c r="AS7775" t="s">
        <v>5178</v>
      </c>
      <c r="AT7775" t="s">
        <v>58</v>
      </c>
      <c r="AU7775" t="s">
        <v>131</v>
      </c>
      <c r="AV7775" t="s">
        <v>132</v>
      </c>
      <c r="AW7775" s="1">
        <v>32897</v>
      </c>
      <c r="AX7775">
        <v>1</v>
      </c>
    </row>
    <row r="7776" spans="1:50">
      <c r="B7776" t="str">
        <f>"072182037"</f>
        <v>072182037</v>
      </c>
      <c r="C7776" t="s">
        <v>50</v>
      </c>
      <c r="D7776" t="s">
        <v>12232</v>
      </c>
      <c r="E7776" t="s">
        <v>215</v>
      </c>
      <c r="F7776" t="s">
        <v>106</v>
      </c>
      <c r="G7776" t="s">
        <v>109</v>
      </c>
      <c r="H7776" t="str">
        <f>"ΔΗΜΟΚΡΑΤΙΑΣ 87 "</f>
        <v xml:space="preserve">ΔΗΜΟΚΡΑΤΙΑΣ 87 </v>
      </c>
      <c r="I7776">
        <v>72100</v>
      </c>
      <c r="J7776">
        <v>2841500678</v>
      </c>
      <c r="K7776">
        <v>6945950400</v>
      </c>
      <c r="N7776" t="s">
        <v>9829</v>
      </c>
      <c r="O7776" t="s">
        <v>9830</v>
      </c>
      <c r="R7776" t="s">
        <v>159</v>
      </c>
      <c r="S7776">
        <v>5</v>
      </c>
      <c r="T7776" t="s">
        <v>8696</v>
      </c>
      <c r="U7776" s="1">
        <v>43348</v>
      </c>
      <c r="V7776" t="s">
        <v>5177</v>
      </c>
      <c r="W7776" t="s">
        <v>5178</v>
      </c>
      <c r="X7776" t="s">
        <v>58</v>
      </c>
      <c r="Y7776">
        <v>25</v>
      </c>
      <c r="Z7776" t="s">
        <v>59</v>
      </c>
      <c r="AA7776" t="s">
        <v>59</v>
      </c>
      <c r="AB7776" t="s">
        <v>59</v>
      </c>
      <c r="AC7776" t="s">
        <v>59</v>
      </c>
      <c r="AD7776" t="s">
        <v>59</v>
      </c>
      <c r="AF7776" s="1">
        <v>43348</v>
      </c>
      <c r="AG7776" t="s">
        <v>8651</v>
      </c>
      <c r="AH7776" t="s">
        <v>9015</v>
      </c>
      <c r="AI7776" t="str">
        <f>"9320225"</f>
        <v>9320225</v>
      </c>
      <c r="AJ7776" t="s">
        <v>12233</v>
      </c>
      <c r="AK7776">
        <v>2841026803</v>
      </c>
      <c r="AL7776" t="s">
        <v>12234</v>
      </c>
      <c r="AM7776" t="s">
        <v>4513</v>
      </c>
      <c r="AN7776" t="s">
        <v>4514</v>
      </c>
      <c r="AO7776" t="s">
        <v>4514</v>
      </c>
      <c r="AP7776" t="s">
        <v>4514</v>
      </c>
      <c r="AQ7776">
        <v>1</v>
      </c>
      <c r="AR7776" t="s">
        <v>5177</v>
      </c>
      <c r="AS7776" t="s">
        <v>5178</v>
      </c>
      <c r="AT7776" t="s">
        <v>58</v>
      </c>
      <c r="AU7776" t="s">
        <v>350</v>
      </c>
      <c r="AV7776" t="s">
        <v>132</v>
      </c>
      <c r="AW7776" s="1">
        <v>31619</v>
      </c>
      <c r="AX7776">
        <v>1</v>
      </c>
    </row>
    <row r="7777" spans="1:50">
      <c r="A7777">
        <v>594752</v>
      </c>
      <c r="B7777" t="str">
        <f>"077645001"</f>
        <v>077645001</v>
      </c>
      <c r="C7777" t="s">
        <v>50</v>
      </c>
      <c r="D7777" t="s">
        <v>1871</v>
      </c>
      <c r="E7777" t="s">
        <v>188</v>
      </c>
      <c r="F7777" t="s">
        <v>72</v>
      </c>
      <c r="G7777" t="s">
        <v>52</v>
      </c>
      <c r="H7777" t="str">
        <f>"ΣΕΙΣΙ ΣΕΙΣΙ ΛΑΣΙΘΙΟΥ"</f>
        <v>ΣΕΙΣΙ ΣΕΙΣΙ ΛΑΣΙΘΙΟΥ</v>
      </c>
      <c r="I7777">
        <v>72400</v>
      </c>
      <c r="J7777">
        <v>2841071072</v>
      </c>
      <c r="K7777">
        <v>6932804441</v>
      </c>
      <c r="N7777" t="s">
        <v>615</v>
      </c>
      <c r="O7777" t="s">
        <v>616</v>
      </c>
      <c r="R7777" t="s">
        <v>57</v>
      </c>
      <c r="S7777">
        <v>8</v>
      </c>
      <c r="T7777">
        <v>218</v>
      </c>
      <c r="U7777" s="1">
        <v>37134</v>
      </c>
      <c r="V7777" t="s">
        <v>5177</v>
      </c>
      <c r="W7777" t="s">
        <v>5178</v>
      </c>
      <c r="X7777" t="s">
        <v>58</v>
      </c>
      <c r="Y7777">
        <v>22</v>
      </c>
      <c r="Z7777" t="s">
        <v>59</v>
      </c>
      <c r="AA7777" t="s">
        <v>59</v>
      </c>
      <c r="AB7777" t="s">
        <v>59</v>
      </c>
      <c r="AC7777" t="s">
        <v>59</v>
      </c>
      <c r="AD7777" t="s">
        <v>59</v>
      </c>
      <c r="AF7777" s="1">
        <v>37140</v>
      </c>
      <c r="AG7777" t="s">
        <v>8645</v>
      </c>
      <c r="AH7777" t="s">
        <v>8646</v>
      </c>
      <c r="AI7777" t="str">
        <f>"9320145"</f>
        <v>9320145</v>
      </c>
      <c r="AJ7777" t="s">
        <v>12171</v>
      </c>
      <c r="AK7777">
        <v>2841071309</v>
      </c>
      <c r="AL7777" t="s">
        <v>12172</v>
      </c>
      <c r="AM7777" t="s">
        <v>4513</v>
      </c>
      <c r="AN7777" t="s">
        <v>4514</v>
      </c>
      <c r="AO7777" t="s">
        <v>12085</v>
      </c>
      <c r="AP7777" t="s">
        <v>12085</v>
      </c>
      <c r="AQ7777">
        <v>2</v>
      </c>
      <c r="AR7777" t="s">
        <v>5177</v>
      </c>
      <c r="AS7777" t="s">
        <v>5178</v>
      </c>
      <c r="AT7777" t="s">
        <v>58</v>
      </c>
      <c r="AU7777" t="s">
        <v>68</v>
      </c>
      <c r="AV7777" t="s">
        <v>69</v>
      </c>
      <c r="AW7777" s="1">
        <v>26094</v>
      </c>
      <c r="AX7777">
        <v>1</v>
      </c>
    </row>
    <row r="7778" spans="1:50">
      <c r="B7778" t="str">
        <f>"146449137"</f>
        <v>146449137</v>
      </c>
      <c r="C7778" t="s">
        <v>50</v>
      </c>
      <c r="D7778" t="s">
        <v>12235</v>
      </c>
      <c r="E7778" t="s">
        <v>237</v>
      </c>
      <c r="F7778" t="s">
        <v>166</v>
      </c>
      <c r="G7778" t="s">
        <v>52</v>
      </c>
      <c r="H7778" t="str">
        <f>" "</f>
        <v xml:space="preserve"> </v>
      </c>
      <c r="N7778" t="s">
        <v>615</v>
      </c>
      <c r="O7778" t="s">
        <v>616</v>
      </c>
      <c r="R7778" t="s">
        <v>159</v>
      </c>
      <c r="S7778">
        <v>1</v>
      </c>
      <c r="T7778" t="s">
        <v>8675</v>
      </c>
      <c r="U7778" s="1">
        <v>43348</v>
      </c>
      <c r="V7778" t="s">
        <v>5177</v>
      </c>
      <c r="W7778" t="s">
        <v>5178</v>
      </c>
      <c r="X7778" t="s">
        <v>58</v>
      </c>
      <c r="Y7778">
        <v>24</v>
      </c>
      <c r="Z7778" t="s">
        <v>59</v>
      </c>
      <c r="AA7778" t="s">
        <v>59</v>
      </c>
      <c r="AB7778" t="s">
        <v>59</v>
      </c>
      <c r="AD7778" t="s">
        <v>59</v>
      </c>
      <c r="AF7778" s="1">
        <v>43348</v>
      </c>
      <c r="AG7778" t="s">
        <v>8645</v>
      </c>
      <c r="AH7778" t="s">
        <v>8646</v>
      </c>
      <c r="AI7778" t="str">
        <f>"9320028"</f>
        <v>9320028</v>
      </c>
      <c r="AJ7778" t="s">
        <v>12214</v>
      </c>
      <c r="AK7778">
        <v>2842051243</v>
      </c>
      <c r="AL7778" t="s">
        <v>12215</v>
      </c>
      <c r="AM7778" t="s">
        <v>4513</v>
      </c>
      <c r="AN7778" t="s">
        <v>4519</v>
      </c>
      <c r="AO7778" t="s">
        <v>4519</v>
      </c>
      <c r="AP7778" t="s">
        <v>12216</v>
      </c>
      <c r="AQ7778">
        <v>7</v>
      </c>
      <c r="AR7778" t="s">
        <v>5177</v>
      </c>
      <c r="AS7778" t="s">
        <v>5178</v>
      </c>
      <c r="AT7778" t="s">
        <v>58</v>
      </c>
      <c r="AU7778" t="s">
        <v>8673</v>
      </c>
      <c r="AV7778" t="s">
        <v>132</v>
      </c>
      <c r="AW7778" s="1">
        <v>32727</v>
      </c>
      <c r="AX7778">
        <v>1</v>
      </c>
    </row>
    <row r="7779" spans="1:50">
      <c r="A7779">
        <v>701047</v>
      </c>
      <c r="B7779" t="str">
        <f>"110288930"</f>
        <v>110288930</v>
      </c>
      <c r="C7779" t="s">
        <v>50</v>
      </c>
      <c r="D7779" t="s">
        <v>12236</v>
      </c>
      <c r="E7779" t="s">
        <v>545</v>
      </c>
      <c r="F7779" t="s">
        <v>72</v>
      </c>
      <c r="G7779" t="s">
        <v>476</v>
      </c>
      <c r="H7779" t="str">
        <f>"ΕΛΥΤΗ 18 ΙΕΡΑΠΕΤΡΑ"</f>
        <v>ΕΛΥΤΗ 18 ΙΕΡΑΠΕΤΡΑ</v>
      </c>
      <c r="I7779">
        <v>72200</v>
      </c>
      <c r="J7779">
        <v>2842023089</v>
      </c>
      <c r="K7779">
        <v>6947779684</v>
      </c>
      <c r="L7779">
        <v>2842500835</v>
      </c>
      <c r="M7779" t="s">
        <v>12237</v>
      </c>
      <c r="N7779" t="s">
        <v>615</v>
      </c>
      <c r="O7779" t="s">
        <v>616</v>
      </c>
      <c r="R7779" t="s">
        <v>57</v>
      </c>
      <c r="S7779">
        <v>4</v>
      </c>
      <c r="T7779">
        <v>772</v>
      </c>
      <c r="U7779" s="1">
        <v>40413</v>
      </c>
      <c r="V7779" t="s">
        <v>5177</v>
      </c>
      <c r="W7779" t="s">
        <v>5178</v>
      </c>
      <c r="X7779" t="s">
        <v>58</v>
      </c>
      <c r="Y7779">
        <v>24</v>
      </c>
      <c r="Z7779" t="s">
        <v>59</v>
      </c>
      <c r="AA7779" t="s">
        <v>59</v>
      </c>
      <c r="AB7779" t="s">
        <v>59</v>
      </c>
      <c r="AC7779" t="s">
        <v>59</v>
      </c>
      <c r="AD7779" t="s">
        <v>59</v>
      </c>
      <c r="AF7779" s="1">
        <v>40413</v>
      </c>
      <c r="AG7779" t="s">
        <v>8645</v>
      </c>
      <c r="AH7779" t="s">
        <v>8646</v>
      </c>
      <c r="AI7779" t="str">
        <f>"9320003"</f>
        <v>9320003</v>
      </c>
      <c r="AJ7779" t="s">
        <v>11886</v>
      </c>
      <c r="AK7779">
        <v>2842089830</v>
      </c>
      <c r="AL7779" t="s">
        <v>11887</v>
      </c>
      <c r="AM7779" t="s">
        <v>4513</v>
      </c>
      <c r="AN7779" t="s">
        <v>4519</v>
      </c>
      <c r="AO7779" t="s">
        <v>4519</v>
      </c>
      <c r="AP7779" t="s">
        <v>4519</v>
      </c>
      <c r="AQ7779">
        <v>4</v>
      </c>
      <c r="AR7779" t="s">
        <v>5177</v>
      </c>
      <c r="AS7779" t="s">
        <v>5178</v>
      </c>
      <c r="AT7779" t="s">
        <v>58</v>
      </c>
      <c r="AU7779" t="s">
        <v>68</v>
      </c>
      <c r="AV7779" t="s">
        <v>69</v>
      </c>
      <c r="AW7779" s="1">
        <v>31109</v>
      </c>
      <c r="AX7779">
        <v>1</v>
      </c>
    </row>
    <row r="7780" spans="1:50">
      <c r="A7780">
        <v>704111</v>
      </c>
      <c r="B7780" t="str">
        <f>"130537653"</f>
        <v>130537653</v>
      </c>
      <c r="C7780" t="s">
        <v>50</v>
      </c>
      <c r="D7780" t="s">
        <v>1915</v>
      </c>
      <c r="E7780" t="s">
        <v>109</v>
      </c>
      <c r="F7780" t="s">
        <v>95</v>
      </c>
      <c r="G7780" t="s">
        <v>9520</v>
      </c>
      <c r="H7780" t="str">
        <f>"ΠΕΡΙΚΛΕΟΥΣ 91 ΓΕΡΑΚΑΣ"</f>
        <v>ΠΕΡΙΚΛΕΟΥΣ 91 ΓΕΡΑΚΑΣ</v>
      </c>
      <c r="I7780">
        <v>15344</v>
      </c>
      <c r="J7780">
        <v>2106613965</v>
      </c>
      <c r="K7780">
        <v>6974155028</v>
      </c>
      <c r="M7780" t="s">
        <v>12238</v>
      </c>
      <c r="N7780" t="s">
        <v>288</v>
      </c>
      <c r="O7780" t="s">
        <v>289</v>
      </c>
      <c r="R7780" t="s">
        <v>121</v>
      </c>
      <c r="S7780">
        <v>3</v>
      </c>
      <c r="T7780">
        <v>1350</v>
      </c>
      <c r="U7780" s="1">
        <v>42732</v>
      </c>
      <c r="V7780" t="s">
        <v>5177</v>
      </c>
      <c r="W7780" t="s">
        <v>5178</v>
      </c>
      <c r="X7780" t="s">
        <v>58</v>
      </c>
      <c r="Y7780">
        <v>24</v>
      </c>
      <c r="Z7780" t="s">
        <v>59</v>
      </c>
      <c r="AA7780" t="s">
        <v>59</v>
      </c>
      <c r="AB7780" t="s">
        <v>59</v>
      </c>
      <c r="AC7780" t="s">
        <v>59</v>
      </c>
      <c r="AD7780" t="s">
        <v>59</v>
      </c>
      <c r="AF7780" s="1">
        <v>42737</v>
      </c>
      <c r="AG7780" t="s">
        <v>8645</v>
      </c>
      <c r="AH7780" t="s">
        <v>8646</v>
      </c>
      <c r="AI7780" t="str">
        <f>"9320138"</f>
        <v>9320138</v>
      </c>
      <c r="AJ7780" t="s">
        <v>11915</v>
      </c>
      <c r="AK7780">
        <v>2841022104</v>
      </c>
      <c r="AL7780" t="s">
        <v>11916</v>
      </c>
      <c r="AM7780" t="s">
        <v>4513</v>
      </c>
      <c r="AN7780" t="s">
        <v>4514</v>
      </c>
      <c r="AO7780" t="s">
        <v>4514</v>
      </c>
      <c r="AP7780" t="s">
        <v>4514</v>
      </c>
      <c r="AQ7780">
        <v>1</v>
      </c>
      <c r="AR7780" t="s">
        <v>5177</v>
      </c>
      <c r="AS7780" t="s">
        <v>5178</v>
      </c>
      <c r="AT7780" t="s">
        <v>58</v>
      </c>
      <c r="AU7780" t="s">
        <v>68</v>
      </c>
      <c r="AV7780" t="s">
        <v>69</v>
      </c>
      <c r="AW7780" s="1">
        <v>30968</v>
      </c>
      <c r="AX7780">
        <v>1</v>
      </c>
    </row>
    <row r="7781" spans="1:50">
      <c r="B7781" t="str">
        <f>"126536936"</f>
        <v>126536936</v>
      </c>
      <c r="C7781" t="s">
        <v>50</v>
      </c>
      <c r="D7781" t="s">
        <v>12239</v>
      </c>
      <c r="E7781" t="s">
        <v>340</v>
      </c>
      <c r="F7781" t="s">
        <v>95</v>
      </c>
      <c r="G7781" t="s">
        <v>155</v>
      </c>
      <c r="H7781" t="str">
        <f>"ΠΑΝΕΠΙΣΤΗΜΙΟΥ 372 "</f>
        <v xml:space="preserve">ΠΑΝΕΠΙΣΤΗΜΙΟΥ 372 </v>
      </c>
      <c r="I7781">
        <v>26443</v>
      </c>
      <c r="J7781">
        <v>2610424571</v>
      </c>
      <c r="K7781">
        <v>6976672853</v>
      </c>
      <c r="N7781" t="s">
        <v>337</v>
      </c>
      <c r="O7781" t="s">
        <v>338</v>
      </c>
      <c r="R7781" t="s">
        <v>159</v>
      </c>
      <c r="S7781">
        <v>1</v>
      </c>
      <c r="T7781" t="s">
        <v>8675</v>
      </c>
      <c r="U7781" s="1">
        <v>43348</v>
      </c>
      <c r="V7781" t="s">
        <v>5177</v>
      </c>
      <c r="W7781" t="s">
        <v>5178</v>
      </c>
      <c r="X7781" t="s">
        <v>58</v>
      </c>
      <c r="Y7781">
        <v>24</v>
      </c>
      <c r="Z7781" t="s">
        <v>59</v>
      </c>
      <c r="AA7781" t="s">
        <v>59</v>
      </c>
      <c r="AB7781" t="s">
        <v>59</v>
      </c>
      <c r="AC7781" t="s">
        <v>59</v>
      </c>
      <c r="AD7781" t="s">
        <v>59</v>
      </c>
      <c r="AF7781" s="1">
        <v>43348</v>
      </c>
      <c r="AG7781" t="s">
        <v>8645</v>
      </c>
      <c r="AH7781" t="s">
        <v>8646</v>
      </c>
      <c r="AI7781" t="str">
        <f>"9320163"</f>
        <v>9320163</v>
      </c>
      <c r="AJ7781" t="s">
        <v>12012</v>
      </c>
      <c r="AK7781">
        <v>2842024595</v>
      </c>
      <c r="AL7781" t="s">
        <v>12013</v>
      </c>
      <c r="AM7781" t="s">
        <v>4513</v>
      </c>
      <c r="AN7781" t="s">
        <v>4519</v>
      </c>
      <c r="AO7781" t="s">
        <v>4519</v>
      </c>
      <c r="AP7781" t="s">
        <v>4519</v>
      </c>
      <c r="AQ7781">
        <v>4</v>
      </c>
      <c r="AR7781" t="s">
        <v>5177</v>
      </c>
      <c r="AS7781" t="s">
        <v>5178</v>
      </c>
      <c r="AT7781" t="s">
        <v>58</v>
      </c>
      <c r="AU7781" t="s">
        <v>8673</v>
      </c>
      <c r="AV7781" t="s">
        <v>132</v>
      </c>
      <c r="AW7781" s="1">
        <v>31850</v>
      </c>
      <c r="AX7781">
        <v>1</v>
      </c>
    </row>
    <row r="7782" spans="1:50">
      <c r="A7782">
        <v>564514</v>
      </c>
      <c r="B7782" t="str">
        <f>"064993123"</f>
        <v>064993123</v>
      </c>
      <c r="C7782" t="s">
        <v>50</v>
      </c>
      <c r="D7782" t="s">
        <v>12240</v>
      </c>
      <c r="E7782" t="s">
        <v>215</v>
      </c>
      <c r="F7782" t="s">
        <v>95</v>
      </c>
      <c r="G7782" t="s">
        <v>52</v>
      </c>
      <c r="H7782" t="str">
        <f>"Γ. ΜΑΥΡΙΚΑΚΗ 15 ΣΗΤΕΙΑ"</f>
        <v>Γ. ΜΑΥΡΙΚΑΚΗ 15 ΣΗΤΕΙΑ</v>
      </c>
      <c r="I7782">
        <v>72300</v>
      </c>
      <c r="J7782">
        <v>2843022629</v>
      </c>
      <c r="K7782">
        <v>6944423475</v>
      </c>
      <c r="N7782" t="s">
        <v>615</v>
      </c>
      <c r="O7782" t="s">
        <v>616</v>
      </c>
      <c r="R7782" t="s">
        <v>57</v>
      </c>
      <c r="S7782">
        <v>14</v>
      </c>
      <c r="T7782">
        <v>161</v>
      </c>
      <c r="U7782" s="1">
        <v>33119</v>
      </c>
      <c r="V7782" t="s">
        <v>5177</v>
      </c>
      <c r="W7782" t="s">
        <v>5178</v>
      </c>
      <c r="X7782" t="s">
        <v>58</v>
      </c>
      <c r="Y7782">
        <v>21</v>
      </c>
      <c r="Z7782" t="s">
        <v>59</v>
      </c>
      <c r="AA7782" t="s">
        <v>59</v>
      </c>
      <c r="AB7782" t="s">
        <v>59</v>
      </c>
      <c r="AC7782" t="s">
        <v>59</v>
      </c>
      <c r="AD7782" t="s">
        <v>59</v>
      </c>
      <c r="AF7782" s="1">
        <v>33120</v>
      </c>
      <c r="AG7782" t="s">
        <v>8645</v>
      </c>
      <c r="AH7782" t="s">
        <v>8646</v>
      </c>
      <c r="AI7782" t="str">
        <f>"9520629"</f>
        <v>9520629</v>
      </c>
      <c r="AJ7782" t="s">
        <v>11976</v>
      </c>
      <c r="AK7782">
        <v>2843026678</v>
      </c>
      <c r="AL7782" t="s">
        <v>11977</v>
      </c>
      <c r="AM7782" t="s">
        <v>4513</v>
      </c>
      <c r="AN7782" t="s">
        <v>4540</v>
      </c>
      <c r="AO7782" t="s">
        <v>4540</v>
      </c>
      <c r="AP7782" t="s">
        <v>4540</v>
      </c>
      <c r="AQ7782">
        <v>8</v>
      </c>
      <c r="AR7782" t="s">
        <v>5177</v>
      </c>
      <c r="AS7782" t="s">
        <v>5178</v>
      </c>
      <c r="AT7782" t="s">
        <v>58</v>
      </c>
      <c r="AU7782" t="s">
        <v>68</v>
      </c>
      <c r="AV7782" t="s">
        <v>69</v>
      </c>
      <c r="AW7782" s="1">
        <v>22554</v>
      </c>
      <c r="AX7782">
        <v>1</v>
      </c>
    </row>
    <row r="7783" spans="1:50">
      <c r="A7783">
        <v>602572</v>
      </c>
      <c r="B7783" t="str">
        <f>"077645326"</f>
        <v>077645326</v>
      </c>
      <c r="C7783" t="s">
        <v>50</v>
      </c>
      <c r="D7783" t="s">
        <v>1923</v>
      </c>
      <c r="E7783" t="s">
        <v>215</v>
      </c>
      <c r="F7783" t="s">
        <v>154</v>
      </c>
      <c r="G7783" t="s">
        <v>73</v>
      </c>
      <c r="H7783" t="str">
        <f>"ΑΚΤΗ ΝΕΑΡΧΟΥ 9 ΑΓΙΟΣ ΝΙΚΟΛΑΟΣ"</f>
        <v>ΑΚΤΗ ΝΕΑΡΧΟΥ 9 ΑΓΙΟΣ ΝΙΚΟΛΑΟΣ</v>
      </c>
      <c r="I7783">
        <v>72100</v>
      </c>
      <c r="J7783">
        <v>2841024052</v>
      </c>
      <c r="K7783">
        <v>6947685422</v>
      </c>
      <c r="N7783" t="s">
        <v>615</v>
      </c>
      <c r="O7783" t="s">
        <v>616</v>
      </c>
      <c r="R7783" t="s">
        <v>57</v>
      </c>
      <c r="S7783">
        <v>7</v>
      </c>
      <c r="T7783">
        <v>207</v>
      </c>
      <c r="U7783" s="1">
        <v>37866</v>
      </c>
      <c r="V7783" t="s">
        <v>5177</v>
      </c>
      <c r="W7783" t="s">
        <v>5178</v>
      </c>
      <c r="X7783" t="s">
        <v>58</v>
      </c>
      <c r="Y7783">
        <v>22</v>
      </c>
      <c r="Z7783" t="s">
        <v>59</v>
      </c>
      <c r="AA7783" t="s">
        <v>59</v>
      </c>
      <c r="AB7783" t="s">
        <v>59</v>
      </c>
      <c r="AC7783" t="s">
        <v>59</v>
      </c>
      <c r="AD7783" t="s">
        <v>59</v>
      </c>
      <c r="AF7783" s="1">
        <v>37866</v>
      </c>
      <c r="AG7783" t="s">
        <v>8645</v>
      </c>
      <c r="AH7783" t="s">
        <v>8646</v>
      </c>
      <c r="AI7783" t="str">
        <f>"9320210"</f>
        <v>9320210</v>
      </c>
      <c r="AJ7783" t="s">
        <v>11890</v>
      </c>
      <c r="AK7783">
        <v>2841026705</v>
      </c>
      <c r="AL7783" t="s">
        <v>11891</v>
      </c>
      <c r="AM7783" t="s">
        <v>4513</v>
      </c>
      <c r="AN7783" t="s">
        <v>4514</v>
      </c>
      <c r="AO7783" t="s">
        <v>4514</v>
      </c>
      <c r="AP7783" t="s">
        <v>4514</v>
      </c>
      <c r="AQ7783">
        <v>1</v>
      </c>
      <c r="AR7783" t="s">
        <v>5177</v>
      </c>
      <c r="AS7783" t="s">
        <v>5178</v>
      </c>
      <c r="AT7783" t="s">
        <v>58</v>
      </c>
      <c r="AU7783" t="s">
        <v>68</v>
      </c>
      <c r="AV7783" t="s">
        <v>69</v>
      </c>
      <c r="AW7783" s="1">
        <v>28161</v>
      </c>
      <c r="AX7783">
        <v>1</v>
      </c>
    </row>
    <row r="7784" spans="1:50">
      <c r="A7784">
        <v>574169</v>
      </c>
      <c r="B7784" t="str">
        <f>"035320820"</f>
        <v>035320820</v>
      </c>
      <c r="C7784" t="s">
        <v>50</v>
      </c>
      <c r="D7784" t="s">
        <v>12241</v>
      </c>
      <c r="E7784" t="s">
        <v>52</v>
      </c>
      <c r="F7784" t="s">
        <v>95</v>
      </c>
      <c r="G7784" t="s">
        <v>109</v>
      </c>
      <c r="H7784" t="str">
        <f>"ΠΑΧΕΙΑ ΑΜΜΟΣ ΙΕΡΑΠΕΤΡΑ"</f>
        <v>ΠΑΧΕΙΑ ΑΜΜΟΣ ΙΕΡΑΠΕΤΡΑ</v>
      </c>
      <c r="I7784">
        <v>72200</v>
      </c>
      <c r="J7784">
        <v>2842093557</v>
      </c>
      <c r="K7784">
        <v>6909932011</v>
      </c>
      <c r="L7784">
        <v>6949140773</v>
      </c>
      <c r="M7784" t="s">
        <v>12242</v>
      </c>
      <c r="N7784" t="s">
        <v>615</v>
      </c>
      <c r="O7784" t="s">
        <v>616</v>
      </c>
      <c r="R7784" t="s">
        <v>57</v>
      </c>
      <c r="S7784">
        <v>14</v>
      </c>
      <c r="T7784">
        <v>160</v>
      </c>
      <c r="U7784" s="1">
        <v>34582</v>
      </c>
      <c r="V7784" t="s">
        <v>5177</v>
      </c>
      <c r="W7784" t="s">
        <v>5178</v>
      </c>
      <c r="X7784" t="s">
        <v>58</v>
      </c>
      <c r="Y7784">
        <v>21</v>
      </c>
      <c r="Z7784" t="s">
        <v>59</v>
      </c>
      <c r="AA7784" t="s">
        <v>59</v>
      </c>
      <c r="AB7784" t="s">
        <v>59</v>
      </c>
      <c r="AC7784" t="s">
        <v>59</v>
      </c>
      <c r="AD7784" t="s">
        <v>59</v>
      </c>
      <c r="AF7784" s="1">
        <v>34583</v>
      </c>
      <c r="AG7784" t="s">
        <v>8645</v>
      </c>
      <c r="AH7784" t="s">
        <v>8646</v>
      </c>
      <c r="AI7784" t="str">
        <f>"9320003"</f>
        <v>9320003</v>
      </c>
      <c r="AJ7784" t="s">
        <v>11886</v>
      </c>
      <c r="AK7784">
        <v>2842089830</v>
      </c>
      <c r="AL7784" t="s">
        <v>11887</v>
      </c>
      <c r="AM7784" t="s">
        <v>4513</v>
      </c>
      <c r="AN7784" t="s">
        <v>4519</v>
      </c>
      <c r="AO7784" t="s">
        <v>4519</v>
      </c>
      <c r="AP7784" t="s">
        <v>4519</v>
      </c>
      <c r="AQ7784">
        <v>4</v>
      </c>
      <c r="AR7784" t="s">
        <v>5177</v>
      </c>
      <c r="AS7784" t="s">
        <v>5178</v>
      </c>
      <c r="AT7784" t="s">
        <v>58</v>
      </c>
      <c r="AU7784" t="s">
        <v>68</v>
      </c>
      <c r="AV7784" t="s">
        <v>69</v>
      </c>
      <c r="AW7784" s="1">
        <v>23903</v>
      </c>
      <c r="AX7784">
        <v>1</v>
      </c>
    </row>
    <row r="7785" spans="1:50">
      <c r="A7785">
        <v>572382</v>
      </c>
      <c r="B7785" t="str">
        <f>"051920492"</f>
        <v>051920492</v>
      </c>
      <c r="C7785" t="s">
        <v>50</v>
      </c>
      <c r="D7785" t="s">
        <v>1937</v>
      </c>
      <c r="E7785" t="s">
        <v>215</v>
      </c>
      <c r="F7785" t="s">
        <v>166</v>
      </c>
      <c r="G7785" t="s">
        <v>1065</v>
      </c>
      <c r="H7785" t="str">
        <f>"ΣΤΑΥΡΟΣ ΑΓΙΟΣ ΝΙΚΟΛΑΟΣ"</f>
        <v>ΣΤΑΥΡΟΣ ΑΓΙΟΣ ΝΙΚΟΛΑΟΣ</v>
      </c>
      <c r="I7785">
        <v>72100</v>
      </c>
      <c r="J7785">
        <v>2841082359</v>
      </c>
      <c r="K7785">
        <v>6972292082</v>
      </c>
      <c r="N7785" t="s">
        <v>306</v>
      </c>
      <c r="O7785" t="s">
        <v>307</v>
      </c>
      <c r="R7785" t="s">
        <v>57</v>
      </c>
      <c r="S7785">
        <v>12</v>
      </c>
      <c r="T7785">
        <v>154</v>
      </c>
      <c r="U7785" s="1">
        <v>34225</v>
      </c>
      <c r="V7785" t="s">
        <v>5177</v>
      </c>
      <c r="W7785" t="s">
        <v>5178</v>
      </c>
      <c r="X7785" t="s">
        <v>58</v>
      </c>
      <c r="Y7785">
        <v>21</v>
      </c>
      <c r="Z7785" t="s">
        <v>59</v>
      </c>
      <c r="AA7785" t="s">
        <v>59</v>
      </c>
      <c r="AB7785" t="s">
        <v>59</v>
      </c>
      <c r="AC7785" t="s">
        <v>59</v>
      </c>
      <c r="AD7785" t="s">
        <v>59</v>
      </c>
      <c r="AF7785" s="1">
        <v>34227</v>
      </c>
      <c r="AG7785" t="s">
        <v>8645</v>
      </c>
      <c r="AH7785" t="s">
        <v>8646</v>
      </c>
      <c r="AI7785" t="str">
        <f>"9320058"</f>
        <v>9320058</v>
      </c>
      <c r="AJ7785" t="s">
        <v>11893</v>
      </c>
      <c r="AK7785">
        <v>2841022496</v>
      </c>
      <c r="AL7785" t="s">
        <v>11894</v>
      </c>
      <c r="AM7785" t="s">
        <v>4513</v>
      </c>
      <c r="AN7785" t="s">
        <v>4514</v>
      </c>
      <c r="AO7785" t="s">
        <v>4514</v>
      </c>
      <c r="AP7785" t="s">
        <v>4514</v>
      </c>
      <c r="AQ7785">
        <v>1</v>
      </c>
      <c r="AR7785" t="s">
        <v>5177</v>
      </c>
      <c r="AS7785" t="s">
        <v>5178</v>
      </c>
      <c r="AT7785" t="s">
        <v>58</v>
      </c>
      <c r="AU7785" t="s">
        <v>68</v>
      </c>
      <c r="AV7785" t="s">
        <v>69</v>
      </c>
      <c r="AW7785" s="1">
        <v>24932</v>
      </c>
      <c r="AX7785">
        <v>1</v>
      </c>
    </row>
    <row r="7786" spans="1:50">
      <c r="B7786" t="str">
        <f>"147320419"</f>
        <v>147320419</v>
      </c>
      <c r="C7786" t="s">
        <v>50</v>
      </c>
      <c r="D7786" t="s">
        <v>7395</v>
      </c>
      <c r="E7786" t="s">
        <v>52</v>
      </c>
      <c r="F7786" t="s">
        <v>53</v>
      </c>
      <c r="G7786" t="s">
        <v>513</v>
      </c>
      <c r="H7786" t="str">
        <f>"ΑΘ.ΔΙΑΚΟΥ 52 "</f>
        <v xml:space="preserve">ΑΘ.ΔΙΑΚΟΥ 52 </v>
      </c>
      <c r="I7786">
        <v>55438</v>
      </c>
      <c r="J7786">
        <v>2310215534</v>
      </c>
      <c r="K7786">
        <v>6976150198</v>
      </c>
      <c r="N7786" t="s">
        <v>615</v>
      </c>
      <c r="O7786" t="s">
        <v>616</v>
      </c>
      <c r="R7786" t="s">
        <v>159</v>
      </c>
      <c r="S7786">
        <v>2</v>
      </c>
      <c r="T7786" t="s">
        <v>8675</v>
      </c>
      <c r="U7786" s="1">
        <v>43348</v>
      </c>
      <c r="V7786" t="s">
        <v>5177</v>
      </c>
      <c r="W7786" t="s">
        <v>5178</v>
      </c>
      <c r="X7786" t="s">
        <v>58</v>
      </c>
      <c r="Y7786">
        <v>24</v>
      </c>
      <c r="Z7786" t="s">
        <v>59</v>
      </c>
      <c r="AA7786" t="s">
        <v>59</v>
      </c>
      <c r="AB7786" t="s">
        <v>59</v>
      </c>
      <c r="AC7786" t="s">
        <v>59</v>
      </c>
      <c r="AD7786" t="s">
        <v>59</v>
      </c>
      <c r="AF7786" s="1">
        <v>43348</v>
      </c>
      <c r="AG7786" t="s">
        <v>8645</v>
      </c>
      <c r="AH7786" t="s">
        <v>8646</v>
      </c>
      <c r="AI7786" t="str">
        <f>"9320012"</f>
        <v>9320012</v>
      </c>
      <c r="AJ7786" t="s">
        <v>11921</v>
      </c>
      <c r="AK7786">
        <v>2842041253</v>
      </c>
      <c r="AL7786" t="s">
        <v>11922</v>
      </c>
      <c r="AM7786" t="s">
        <v>4513</v>
      </c>
      <c r="AN7786" t="s">
        <v>4519</v>
      </c>
      <c r="AO7786" t="s">
        <v>4519</v>
      </c>
      <c r="AP7786" t="s">
        <v>11899</v>
      </c>
      <c r="AQ7786">
        <v>7</v>
      </c>
      <c r="AR7786" t="s">
        <v>5177</v>
      </c>
      <c r="AS7786" t="s">
        <v>5178</v>
      </c>
      <c r="AT7786" t="s">
        <v>58</v>
      </c>
      <c r="AU7786" t="s">
        <v>8673</v>
      </c>
      <c r="AV7786" t="s">
        <v>132</v>
      </c>
      <c r="AW7786" s="1">
        <v>32427</v>
      </c>
      <c r="AX7786">
        <v>1</v>
      </c>
    </row>
    <row r="7787" spans="1:50">
      <c r="B7787" t="str">
        <f>"126300118"</f>
        <v>126300118</v>
      </c>
      <c r="C7787" t="s">
        <v>50</v>
      </c>
      <c r="D7787" t="s">
        <v>10132</v>
      </c>
      <c r="E7787" t="s">
        <v>250</v>
      </c>
      <c r="F7787" t="s">
        <v>53</v>
      </c>
      <c r="G7787" t="s">
        <v>2297</v>
      </c>
      <c r="H7787" t="str">
        <f>"ΚΑΜΙΝΑΚΙ ΟΡΟΠΕΔΙΟΥ ΛΑΣΙΘΙΟΥ ΛΑΣΙΘΙ"</f>
        <v>ΚΑΜΙΝΑΚΙ ΟΡΟΠΕΔΙΟΥ ΛΑΣΙΘΙΟΥ ΛΑΣΙΘΙ</v>
      </c>
      <c r="I7787">
        <v>72052</v>
      </c>
      <c r="J7787">
        <v>2844032011</v>
      </c>
      <c r="K7787">
        <v>6971932723</v>
      </c>
      <c r="N7787" t="s">
        <v>1525</v>
      </c>
      <c r="O7787" t="s">
        <v>1526</v>
      </c>
      <c r="R7787" t="s">
        <v>159</v>
      </c>
      <c r="S7787">
        <v>3</v>
      </c>
      <c r="T7787" t="s">
        <v>8670</v>
      </c>
      <c r="U7787" s="1">
        <v>43348</v>
      </c>
      <c r="V7787" t="s">
        <v>5177</v>
      </c>
      <c r="W7787" t="s">
        <v>5178</v>
      </c>
      <c r="X7787" t="s">
        <v>58</v>
      </c>
      <c r="Y7787">
        <v>25</v>
      </c>
      <c r="Z7787" t="s">
        <v>59</v>
      </c>
      <c r="AA7787" t="s">
        <v>59</v>
      </c>
      <c r="AB7787" t="s">
        <v>59</v>
      </c>
      <c r="AC7787" t="s">
        <v>59</v>
      </c>
      <c r="AD7787" t="s">
        <v>59</v>
      </c>
      <c r="AF7787" s="1">
        <v>43348</v>
      </c>
      <c r="AG7787" t="s">
        <v>8651</v>
      </c>
      <c r="AH7787" t="s">
        <v>8652</v>
      </c>
      <c r="AI7787" t="str">
        <f>"9520762"</f>
        <v>9520762</v>
      </c>
      <c r="AJ7787" t="s">
        <v>12243</v>
      </c>
      <c r="AK7787">
        <v>2841024447</v>
      </c>
      <c r="AL7787" t="s">
        <v>12244</v>
      </c>
      <c r="AM7787" t="s">
        <v>4513</v>
      </c>
      <c r="AN7787" t="s">
        <v>4514</v>
      </c>
      <c r="AO7787" t="s">
        <v>4514</v>
      </c>
      <c r="AP7787" t="s">
        <v>4514</v>
      </c>
      <c r="AQ7787">
        <v>1</v>
      </c>
      <c r="AR7787" t="s">
        <v>5177</v>
      </c>
      <c r="AS7787" t="s">
        <v>5178</v>
      </c>
      <c r="AT7787" t="s">
        <v>58</v>
      </c>
      <c r="AU7787" t="s">
        <v>8673</v>
      </c>
      <c r="AV7787" t="s">
        <v>132</v>
      </c>
      <c r="AW7787" s="1">
        <v>32252</v>
      </c>
      <c r="AX7787">
        <v>1</v>
      </c>
    </row>
    <row r="7788" spans="1:50">
      <c r="A7788">
        <v>558265</v>
      </c>
      <c r="B7788" t="str">
        <f>"030025620"</f>
        <v>030025620</v>
      </c>
      <c r="C7788" t="s">
        <v>50</v>
      </c>
      <c r="D7788" t="s">
        <v>10144</v>
      </c>
      <c r="E7788" t="s">
        <v>367</v>
      </c>
      <c r="F7788" t="s">
        <v>166</v>
      </c>
      <c r="G7788" t="s">
        <v>52</v>
      </c>
      <c r="H7788" t="str">
        <f>"2ο χιλ. ΞΗΡΟΚΑΜΠΟΥ-ΕΛΟΥΝΤΑΣ ΑΓΙΟΣ ΝΙΚΟΛΑΟΣ"</f>
        <v>2ο χιλ. ΞΗΡΟΚΑΜΠΟΥ-ΕΛΟΥΝΤΑΣ ΑΓΙΟΣ ΝΙΚΟΛΑΟΣ</v>
      </c>
      <c r="I7788">
        <v>72100</v>
      </c>
      <c r="J7788">
        <v>2841025789</v>
      </c>
      <c r="K7788">
        <v>6945333154</v>
      </c>
      <c r="M7788" t="s">
        <v>12245</v>
      </c>
      <c r="N7788" t="s">
        <v>615</v>
      </c>
      <c r="O7788" t="s">
        <v>616</v>
      </c>
      <c r="R7788" t="s">
        <v>57</v>
      </c>
      <c r="S7788">
        <v>16</v>
      </c>
      <c r="T7788">
        <v>168</v>
      </c>
      <c r="U7788" s="1">
        <v>32010</v>
      </c>
      <c r="V7788" t="s">
        <v>5177</v>
      </c>
      <c r="W7788" t="s">
        <v>5178</v>
      </c>
      <c r="X7788" t="s">
        <v>58</v>
      </c>
      <c r="Y7788">
        <v>21</v>
      </c>
      <c r="Z7788" t="s">
        <v>59</v>
      </c>
      <c r="AA7788" t="s">
        <v>59</v>
      </c>
      <c r="AB7788" t="s">
        <v>59</v>
      </c>
      <c r="AC7788" t="s">
        <v>59</v>
      </c>
      <c r="AD7788" t="s">
        <v>59</v>
      </c>
      <c r="AF7788" s="1">
        <v>32021</v>
      </c>
      <c r="AG7788" t="s">
        <v>8645</v>
      </c>
      <c r="AH7788" t="s">
        <v>8646</v>
      </c>
      <c r="AI7788" t="str">
        <f>"9320055"</f>
        <v>9320055</v>
      </c>
      <c r="AJ7788" t="s">
        <v>11937</v>
      </c>
      <c r="AK7788">
        <v>2841022326</v>
      </c>
      <c r="AL7788" t="s">
        <v>11938</v>
      </c>
      <c r="AM7788" t="s">
        <v>4513</v>
      </c>
      <c r="AN7788" t="s">
        <v>4514</v>
      </c>
      <c r="AO7788" t="s">
        <v>4514</v>
      </c>
      <c r="AP7788" t="s">
        <v>4514</v>
      </c>
      <c r="AQ7788">
        <v>1</v>
      </c>
      <c r="AR7788" t="s">
        <v>5177</v>
      </c>
      <c r="AS7788" t="s">
        <v>5178</v>
      </c>
      <c r="AT7788" t="s">
        <v>58</v>
      </c>
      <c r="AU7788" t="s">
        <v>68</v>
      </c>
      <c r="AV7788" t="s">
        <v>69</v>
      </c>
      <c r="AW7788" s="1">
        <v>23703</v>
      </c>
      <c r="AX7788">
        <v>1</v>
      </c>
    </row>
    <row r="7789" spans="1:50">
      <c r="A7789">
        <v>578225</v>
      </c>
      <c r="B7789" t="str">
        <f>"035694447"</f>
        <v>035694447</v>
      </c>
      <c r="C7789" t="s">
        <v>50</v>
      </c>
      <c r="D7789" t="s">
        <v>4946</v>
      </c>
      <c r="E7789" t="s">
        <v>1755</v>
      </c>
      <c r="F7789" t="s">
        <v>2635</v>
      </c>
      <c r="G7789" t="s">
        <v>93</v>
      </c>
      <c r="H7789" t="str">
        <f>"ΜΙΚΡΟ ΒΑΘΥ ΑΓΙΟΥ ΝΙΚΟΛΑΟΥ ΑΓΙΟΣ ΝΙΚΟΛΑΟΣ"</f>
        <v>ΜΙΚΡΟ ΒΑΘΥ ΑΓΙΟΥ ΝΙΚΟΛΑΟΥ ΑΓΙΟΣ ΝΙΚΟΛΑΟΣ</v>
      </c>
      <c r="I7789">
        <v>72100</v>
      </c>
      <c r="J7789">
        <v>2841061110</v>
      </c>
      <c r="K7789">
        <v>6932525593</v>
      </c>
      <c r="N7789" t="s">
        <v>615</v>
      </c>
      <c r="O7789" t="s">
        <v>616</v>
      </c>
      <c r="R7789" t="s">
        <v>57</v>
      </c>
      <c r="S7789">
        <v>13</v>
      </c>
      <c r="T7789">
        <v>165</v>
      </c>
      <c r="U7789" s="1">
        <v>35300</v>
      </c>
      <c r="V7789" t="s">
        <v>5177</v>
      </c>
      <c r="W7789" t="s">
        <v>5178</v>
      </c>
      <c r="X7789" t="s">
        <v>58</v>
      </c>
      <c r="Y7789">
        <v>21</v>
      </c>
      <c r="Z7789" t="s">
        <v>59</v>
      </c>
      <c r="AA7789" t="s">
        <v>59</v>
      </c>
      <c r="AB7789" t="s">
        <v>59</v>
      </c>
      <c r="AC7789" t="s">
        <v>59</v>
      </c>
      <c r="AD7789" t="s">
        <v>59</v>
      </c>
      <c r="AF7789" s="1">
        <v>35312</v>
      </c>
      <c r="AG7789" t="s">
        <v>8645</v>
      </c>
      <c r="AH7789" t="s">
        <v>8646</v>
      </c>
      <c r="AI7789" t="str">
        <f>"9320058"</f>
        <v>9320058</v>
      </c>
      <c r="AJ7789" t="s">
        <v>11893</v>
      </c>
      <c r="AK7789">
        <v>2841022496</v>
      </c>
      <c r="AL7789" t="s">
        <v>11894</v>
      </c>
      <c r="AM7789" t="s">
        <v>4513</v>
      </c>
      <c r="AN7789" t="s">
        <v>4514</v>
      </c>
      <c r="AO7789" t="s">
        <v>4514</v>
      </c>
      <c r="AP7789" t="s">
        <v>4514</v>
      </c>
      <c r="AQ7789">
        <v>1</v>
      </c>
      <c r="AR7789" t="s">
        <v>5177</v>
      </c>
      <c r="AS7789" t="s">
        <v>5178</v>
      </c>
      <c r="AT7789" t="s">
        <v>58</v>
      </c>
      <c r="AU7789" t="s">
        <v>68</v>
      </c>
      <c r="AV7789" t="s">
        <v>69</v>
      </c>
      <c r="AW7789" s="1">
        <v>24696</v>
      </c>
      <c r="AX7789">
        <v>1</v>
      </c>
    </row>
    <row r="7790" spans="1:50">
      <c r="B7790" t="str">
        <f>"146185650"</f>
        <v>146185650</v>
      </c>
      <c r="C7790" t="s">
        <v>50</v>
      </c>
      <c r="D7790" t="s">
        <v>10154</v>
      </c>
      <c r="E7790" t="s">
        <v>73</v>
      </c>
      <c r="F7790" t="s">
        <v>106</v>
      </c>
      <c r="G7790" t="s">
        <v>83</v>
      </c>
      <c r="H7790" t="str">
        <f>"ΥΨΗΛΑΝΤΟΥ 30 "</f>
        <v xml:space="preserve">ΥΨΗΛΑΝΤΟΥ 30 </v>
      </c>
      <c r="I7790">
        <v>68100</v>
      </c>
      <c r="J7790">
        <v>2551083994</v>
      </c>
      <c r="K7790">
        <v>6942440483</v>
      </c>
      <c r="N7790" t="s">
        <v>615</v>
      </c>
      <c r="O7790" t="s">
        <v>616</v>
      </c>
      <c r="R7790" t="s">
        <v>159</v>
      </c>
      <c r="S7790">
        <v>4</v>
      </c>
      <c r="T7790" t="s">
        <v>8675</v>
      </c>
      <c r="U7790" s="1">
        <v>43348</v>
      </c>
      <c r="V7790" t="s">
        <v>5177</v>
      </c>
      <c r="W7790" t="s">
        <v>5178</v>
      </c>
      <c r="X7790" t="s">
        <v>58</v>
      </c>
      <c r="Y7790">
        <v>24</v>
      </c>
      <c r="Z7790" t="s">
        <v>59</v>
      </c>
      <c r="AA7790" t="s">
        <v>59</v>
      </c>
      <c r="AB7790" t="s">
        <v>59</v>
      </c>
      <c r="AC7790" t="s">
        <v>59</v>
      </c>
      <c r="AD7790" t="s">
        <v>59</v>
      </c>
      <c r="AF7790" s="1">
        <v>43348</v>
      </c>
      <c r="AG7790" t="s">
        <v>8645</v>
      </c>
      <c r="AH7790" t="s">
        <v>8646</v>
      </c>
      <c r="AI7790" t="str">
        <f>"9320060"</f>
        <v>9320060</v>
      </c>
      <c r="AJ7790" t="s">
        <v>12246</v>
      </c>
      <c r="AK7790">
        <v>2841032319</v>
      </c>
      <c r="AL7790" t="s">
        <v>12247</v>
      </c>
      <c r="AM7790" t="s">
        <v>4513</v>
      </c>
      <c r="AN7790" t="s">
        <v>4514</v>
      </c>
      <c r="AO7790" t="s">
        <v>4524</v>
      </c>
      <c r="AP7790" t="s">
        <v>4525</v>
      </c>
      <c r="AQ7790">
        <v>1</v>
      </c>
      <c r="AR7790" t="s">
        <v>5177</v>
      </c>
      <c r="AS7790" t="s">
        <v>5178</v>
      </c>
      <c r="AT7790" t="s">
        <v>58</v>
      </c>
      <c r="AU7790" t="s">
        <v>8673</v>
      </c>
      <c r="AV7790" t="s">
        <v>132</v>
      </c>
      <c r="AW7790" s="1">
        <v>31559</v>
      </c>
      <c r="AX7790">
        <v>1</v>
      </c>
    </row>
    <row r="7791" spans="1:50">
      <c r="A7791">
        <v>701674</v>
      </c>
      <c r="B7791" t="str">
        <f>"140017540"</f>
        <v>140017540</v>
      </c>
      <c r="C7791" t="s">
        <v>50</v>
      </c>
      <c r="D7791" t="s">
        <v>1987</v>
      </c>
      <c r="E7791" t="s">
        <v>545</v>
      </c>
      <c r="F7791" t="s">
        <v>95</v>
      </c>
      <c r="G7791" t="s">
        <v>85</v>
      </c>
      <c r="H7791" t="str">
        <f>"ΠΑΧΕΙΑ ΑΜΜΟΣ "</f>
        <v xml:space="preserve">ΠΑΧΕΙΑ ΑΜΜΟΣ </v>
      </c>
      <c r="I7791">
        <v>72200</v>
      </c>
      <c r="J7791">
        <v>2842093282</v>
      </c>
      <c r="K7791">
        <v>6984186919</v>
      </c>
      <c r="M7791" t="s">
        <v>12248</v>
      </c>
      <c r="N7791" t="s">
        <v>1525</v>
      </c>
      <c r="O7791" t="s">
        <v>1526</v>
      </c>
      <c r="R7791" t="s">
        <v>57</v>
      </c>
      <c r="S7791">
        <v>4</v>
      </c>
      <c r="T7791">
        <v>772</v>
      </c>
      <c r="U7791" s="1">
        <v>40413</v>
      </c>
      <c r="V7791" t="s">
        <v>5177</v>
      </c>
      <c r="W7791" t="s">
        <v>5178</v>
      </c>
      <c r="X7791" t="s">
        <v>58</v>
      </c>
      <c r="Y7791">
        <v>25</v>
      </c>
      <c r="Z7791" t="s">
        <v>59</v>
      </c>
      <c r="AA7791" t="s">
        <v>59</v>
      </c>
      <c r="AB7791" t="s">
        <v>59</v>
      </c>
      <c r="AC7791" t="s">
        <v>59</v>
      </c>
      <c r="AD7791" t="s">
        <v>59</v>
      </c>
      <c r="AF7791" s="1">
        <v>40413</v>
      </c>
      <c r="AG7791" t="s">
        <v>8651</v>
      </c>
      <c r="AH7791" t="s">
        <v>8652</v>
      </c>
      <c r="AI7791" t="str">
        <f>"9320146"</f>
        <v>9320146</v>
      </c>
      <c r="AJ7791" t="s">
        <v>11900</v>
      </c>
      <c r="AK7791">
        <v>2842024440</v>
      </c>
      <c r="AL7791" t="s">
        <v>11901</v>
      </c>
      <c r="AM7791" t="s">
        <v>4513</v>
      </c>
      <c r="AN7791" t="s">
        <v>4519</v>
      </c>
      <c r="AO7791" t="s">
        <v>4519</v>
      </c>
      <c r="AP7791" t="s">
        <v>4519</v>
      </c>
      <c r="AQ7791">
        <v>4</v>
      </c>
      <c r="AR7791" t="s">
        <v>5177</v>
      </c>
      <c r="AS7791" t="s">
        <v>5178</v>
      </c>
      <c r="AT7791" t="s">
        <v>58</v>
      </c>
      <c r="AU7791" t="s">
        <v>68</v>
      </c>
      <c r="AV7791" t="s">
        <v>69</v>
      </c>
      <c r="AW7791" s="1">
        <v>31488</v>
      </c>
      <c r="AX7791">
        <v>1</v>
      </c>
    </row>
    <row r="7792" spans="1:50">
      <c r="A7792">
        <v>614553</v>
      </c>
      <c r="B7792" t="str">
        <f>"103516941"</f>
        <v>103516941</v>
      </c>
      <c r="C7792" t="s">
        <v>50</v>
      </c>
      <c r="D7792" t="s">
        <v>10159</v>
      </c>
      <c r="E7792" t="s">
        <v>52</v>
      </c>
      <c r="F7792" t="s">
        <v>5386</v>
      </c>
      <c r="G7792" t="s">
        <v>96</v>
      </c>
      <c r="H7792" t="str">
        <f>"ΖΩΟΔΟΧΟΥ ΠΗΓΗΣ 65 ΗΡΑΚΛΕΙΟ"</f>
        <v>ΖΩΟΔΟΧΟΥ ΠΗΓΗΣ 65 ΗΡΑΚΛΕΙΟ</v>
      </c>
      <c r="I7792">
        <v>71307</v>
      </c>
      <c r="J7792">
        <v>2810224845</v>
      </c>
      <c r="K7792">
        <v>6936833880</v>
      </c>
      <c r="N7792" t="s">
        <v>615</v>
      </c>
      <c r="O7792" t="s">
        <v>616</v>
      </c>
      <c r="R7792" t="s">
        <v>57</v>
      </c>
      <c r="S7792">
        <v>7</v>
      </c>
      <c r="T7792">
        <v>598</v>
      </c>
      <c r="U7792" s="1">
        <v>39310</v>
      </c>
      <c r="V7792" t="s">
        <v>5177</v>
      </c>
      <c r="W7792" t="s">
        <v>5178</v>
      </c>
      <c r="X7792" t="s">
        <v>58</v>
      </c>
      <c r="Y7792">
        <v>22</v>
      </c>
      <c r="Z7792" t="s">
        <v>59</v>
      </c>
      <c r="AA7792" t="s">
        <v>59</v>
      </c>
      <c r="AB7792" t="s">
        <v>59</v>
      </c>
      <c r="AC7792" t="s">
        <v>59</v>
      </c>
      <c r="AD7792" t="s">
        <v>59</v>
      </c>
      <c r="AF7792" s="1">
        <v>39328</v>
      </c>
      <c r="AG7792" t="s">
        <v>8645</v>
      </c>
      <c r="AH7792" t="s">
        <v>8646</v>
      </c>
      <c r="AI7792" t="str">
        <f>"9320210"</f>
        <v>9320210</v>
      </c>
      <c r="AJ7792" t="s">
        <v>11890</v>
      </c>
      <c r="AK7792">
        <v>2841026705</v>
      </c>
      <c r="AL7792" t="s">
        <v>11891</v>
      </c>
      <c r="AM7792" t="s">
        <v>4513</v>
      </c>
      <c r="AN7792" t="s">
        <v>4514</v>
      </c>
      <c r="AO7792" t="s">
        <v>4514</v>
      </c>
      <c r="AP7792" t="s">
        <v>4514</v>
      </c>
      <c r="AQ7792">
        <v>1</v>
      </c>
      <c r="AR7792" t="s">
        <v>5177</v>
      </c>
      <c r="AS7792" t="s">
        <v>5178</v>
      </c>
      <c r="AT7792" t="s">
        <v>58</v>
      </c>
      <c r="AU7792" t="s">
        <v>68</v>
      </c>
      <c r="AV7792" t="s">
        <v>69</v>
      </c>
      <c r="AW7792" s="1">
        <v>29037</v>
      </c>
      <c r="AX7792">
        <v>1</v>
      </c>
    </row>
    <row r="7793" spans="1:50">
      <c r="A7793">
        <v>617322</v>
      </c>
      <c r="B7793" t="str">
        <f>"126303631"</f>
        <v>126303631</v>
      </c>
      <c r="C7793" t="s">
        <v>50</v>
      </c>
      <c r="D7793" t="s">
        <v>2015</v>
      </c>
      <c r="E7793" t="s">
        <v>12249</v>
      </c>
      <c r="F7793" t="s">
        <v>5896</v>
      </c>
      <c r="G7793" t="s">
        <v>255</v>
      </c>
      <c r="H7793" t="str">
        <f>"ΕΡΥΘΡΟΥ ΣΤΑΥΡΟΥ 120 ΑΓΙΟΣ ΝΙΚΟΛΑΟΣ"</f>
        <v>ΕΡΥΘΡΟΥ ΣΤΑΥΡΟΥ 120 ΑΓΙΟΣ ΝΙΚΟΛΑΟΣ</v>
      </c>
      <c r="I7793">
        <v>72100</v>
      </c>
      <c r="J7793">
        <v>2841023632</v>
      </c>
      <c r="K7793">
        <v>6948087325</v>
      </c>
      <c r="N7793" t="s">
        <v>615</v>
      </c>
      <c r="O7793" t="s">
        <v>616</v>
      </c>
      <c r="R7793" t="s">
        <v>57</v>
      </c>
      <c r="S7793">
        <v>6</v>
      </c>
      <c r="T7793">
        <v>774</v>
      </c>
      <c r="U7793" s="1">
        <v>39680</v>
      </c>
      <c r="V7793" t="s">
        <v>5177</v>
      </c>
      <c r="W7793" t="s">
        <v>5178</v>
      </c>
      <c r="X7793" t="s">
        <v>58</v>
      </c>
      <c r="Y7793">
        <v>23</v>
      </c>
      <c r="Z7793" t="s">
        <v>59</v>
      </c>
      <c r="AA7793" t="s">
        <v>59</v>
      </c>
      <c r="AB7793" t="s">
        <v>59</v>
      </c>
      <c r="AC7793" t="s">
        <v>59</v>
      </c>
      <c r="AD7793" t="s">
        <v>59</v>
      </c>
      <c r="AF7793" s="1">
        <v>39681</v>
      </c>
      <c r="AG7793" t="s">
        <v>8645</v>
      </c>
      <c r="AH7793" t="s">
        <v>8646</v>
      </c>
      <c r="AI7793" t="str">
        <f>"9521420"</f>
        <v>9521420</v>
      </c>
      <c r="AJ7793" t="s">
        <v>11947</v>
      </c>
      <c r="AK7793">
        <v>2841021022</v>
      </c>
      <c r="AL7793" t="s">
        <v>11948</v>
      </c>
      <c r="AM7793" t="s">
        <v>4513</v>
      </c>
      <c r="AN7793" t="s">
        <v>4514</v>
      </c>
      <c r="AO7793" t="s">
        <v>4514</v>
      </c>
      <c r="AP7793" t="s">
        <v>4514</v>
      </c>
      <c r="AQ7793">
        <v>1</v>
      </c>
      <c r="AR7793" t="s">
        <v>5177</v>
      </c>
      <c r="AS7793" t="s">
        <v>5178</v>
      </c>
      <c r="AT7793" t="s">
        <v>58</v>
      </c>
      <c r="AU7793" t="s">
        <v>68</v>
      </c>
      <c r="AV7793" t="s">
        <v>69</v>
      </c>
      <c r="AW7793" s="1">
        <v>30753</v>
      </c>
      <c r="AX7793">
        <v>1</v>
      </c>
    </row>
    <row r="7794" spans="1:50">
      <c r="B7794" t="str">
        <f>"126339191"</f>
        <v>126339191</v>
      </c>
      <c r="C7794" t="s">
        <v>50</v>
      </c>
      <c r="D7794" t="s">
        <v>2015</v>
      </c>
      <c r="E7794" t="s">
        <v>263</v>
      </c>
      <c r="F7794" t="s">
        <v>377</v>
      </c>
      <c r="G7794" t="s">
        <v>155</v>
      </c>
      <c r="H7794" t="str">
        <f>"ΜΕΓΑΛΟΣ ΜΩΛΟΣ ΑΓΙΟΣ ΝΙΚΟΛΑΟΣ"</f>
        <v>ΜΕΓΑΛΟΣ ΜΩΛΟΣ ΑΓΙΟΣ ΝΙΚΟΛΑΟΣ</v>
      </c>
      <c r="I7794">
        <v>72100</v>
      </c>
      <c r="J7794">
        <v>2841025071</v>
      </c>
      <c r="K7794">
        <v>6942803287</v>
      </c>
      <c r="M7794" t="s">
        <v>12250</v>
      </c>
      <c r="N7794" t="s">
        <v>204</v>
      </c>
      <c r="O7794" t="s">
        <v>205</v>
      </c>
      <c r="R7794" t="s">
        <v>159</v>
      </c>
      <c r="S7794">
        <v>3</v>
      </c>
      <c r="T7794" t="s">
        <v>8675</v>
      </c>
      <c r="U7794" s="1">
        <v>43348</v>
      </c>
      <c r="V7794" t="s">
        <v>5177</v>
      </c>
      <c r="W7794" t="s">
        <v>5178</v>
      </c>
      <c r="X7794" t="s">
        <v>58</v>
      </c>
      <c r="Y7794">
        <v>24</v>
      </c>
      <c r="Z7794" t="s">
        <v>59</v>
      </c>
      <c r="AA7794" t="s">
        <v>59</v>
      </c>
      <c r="AB7794" t="s">
        <v>59</v>
      </c>
      <c r="AC7794" t="s">
        <v>59</v>
      </c>
      <c r="AD7794" t="s">
        <v>59</v>
      </c>
      <c r="AF7794" s="1">
        <v>43348</v>
      </c>
      <c r="AG7794" t="s">
        <v>8645</v>
      </c>
      <c r="AH7794" t="s">
        <v>8646</v>
      </c>
      <c r="AI7794" t="str">
        <f>"9320055"</f>
        <v>9320055</v>
      </c>
      <c r="AJ7794" t="s">
        <v>11937</v>
      </c>
      <c r="AK7794">
        <v>2841022326</v>
      </c>
      <c r="AL7794" t="s">
        <v>11938</v>
      </c>
      <c r="AM7794" t="s">
        <v>4513</v>
      </c>
      <c r="AN7794" t="s">
        <v>4514</v>
      </c>
      <c r="AO7794" t="s">
        <v>4514</v>
      </c>
      <c r="AP7794" t="s">
        <v>4514</v>
      </c>
      <c r="AQ7794">
        <v>1</v>
      </c>
      <c r="AR7794" t="s">
        <v>5177</v>
      </c>
      <c r="AS7794" t="s">
        <v>5178</v>
      </c>
      <c r="AT7794" t="s">
        <v>58</v>
      </c>
      <c r="AU7794" t="s">
        <v>8673</v>
      </c>
      <c r="AV7794" t="s">
        <v>132</v>
      </c>
      <c r="AW7794" s="1">
        <v>29535</v>
      </c>
      <c r="AX7794">
        <v>1</v>
      </c>
    </row>
    <row r="7795" spans="1:50">
      <c r="B7795" t="str">
        <f>"138985493"</f>
        <v>138985493</v>
      </c>
      <c r="C7795" t="s">
        <v>50</v>
      </c>
      <c r="D7795" t="s">
        <v>2015</v>
      </c>
      <c r="E7795" t="s">
        <v>52</v>
      </c>
      <c r="F7795" t="s">
        <v>72</v>
      </c>
      <c r="G7795" t="s">
        <v>83</v>
      </c>
      <c r="H7795" t="str">
        <f>"ΘΕΜΟΥ ΚΟΡΝΑΡΟΥ 10 "</f>
        <v xml:space="preserve">ΘΕΜΟΥ ΚΟΡΝΑΡΟΥ 10 </v>
      </c>
      <c r="I7795">
        <v>71306</v>
      </c>
      <c r="J7795">
        <v>2810235421</v>
      </c>
      <c r="K7795">
        <v>6979044711</v>
      </c>
      <c r="N7795" t="s">
        <v>615</v>
      </c>
      <c r="O7795" t="s">
        <v>616</v>
      </c>
      <c r="R7795" t="s">
        <v>159</v>
      </c>
      <c r="S7795">
        <v>1</v>
      </c>
      <c r="T7795" t="s">
        <v>8675</v>
      </c>
      <c r="U7795" s="1">
        <v>43348</v>
      </c>
      <c r="V7795" t="s">
        <v>5177</v>
      </c>
      <c r="W7795" t="s">
        <v>5178</v>
      </c>
      <c r="X7795" t="s">
        <v>58</v>
      </c>
      <c r="Y7795">
        <v>24</v>
      </c>
      <c r="Z7795" t="s">
        <v>59</v>
      </c>
      <c r="AA7795" t="s">
        <v>59</v>
      </c>
      <c r="AB7795" t="s">
        <v>59</v>
      </c>
      <c r="AC7795" t="s">
        <v>59</v>
      </c>
      <c r="AD7795" t="s">
        <v>59</v>
      </c>
      <c r="AF7795" s="1">
        <v>43348</v>
      </c>
      <c r="AG7795" t="s">
        <v>8645</v>
      </c>
      <c r="AH7795" t="s">
        <v>8646</v>
      </c>
      <c r="AI7795" t="str">
        <f>"9320012"</f>
        <v>9320012</v>
      </c>
      <c r="AJ7795" t="s">
        <v>11921</v>
      </c>
      <c r="AK7795">
        <v>2842041253</v>
      </c>
      <c r="AL7795" t="s">
        <v>11922</v>
      </c>
      <c r="AM7795" t="s">
        <v>4513</v>
      </c>
      <c r="AN7795" t="s">
        <v>4519</v>
      </c>
      <c r="AO7795" t="s">
        <v>4519</v>
      </c>
      <c r="AP7795" t="s">
        <v>11899</v>
      </c>
      <c r="AQ7795">
        <v>7</v>
      </c>
      <c r="AR7795" t="s">
        <v>5177</v>
      </c>
      <c r="AS7795" t="s">
        <v>5178</v>
      </c>
      <c r="AT7795" t="s">
        <v>58</v>
      </c>
      <c r="AU7795" t="s">
        <v>8673</v>
      </c>
      <c r="AV7795" t="s">
        <v>132</v>
      </c>
      <c r="AW7795" s="1">
        <v>32274</v>
      </c>
      <c r="AX7795">
        <v>1</v>
      </c>
    </row>
    <row r="7796" spans="1:50">
      <c r="A7796">
        <v>600817</v>
      </c>
      <c r="B7796" t="str">
        <f>"049686502"</f>
        <v>049686502</v>
      </c>
      <c r="C7796" t="s">
        <v>50</v>
      </c>
      <c r="D7796" t="s">
        <v>7438</v>
      </c>
      <c r="E7796" t="s">
        <v>12251</v>
      </c>
      <c r="F7796" t="s">
        <v>84</v>
      </c>
      <c r="G7796" t="s">
        <v>250</v>
      </c>
      <c r="H7796" t="str">
        <f>"Β. ΚΟΡΝΑΡΟΥ 102 ΣΗΤΕΙΑ"</f>
        <v>Β. ΚΟΡΝΑΡΟΥ 102 ΣΗΤΕΙΑ</v>
      </c>
      <c r="I7796">
        <v>72300</v>
      </c>
      <c r="J7796">
        <v>2843022460</v>
      </c>
      <c r="K7796">
        <v>6972683771</v>
      </c>
      <c r="N7796" t="s">
        <v>615</v>
      </c>
      <c r="O7796" t="s">
        <v>616</v>
      </c>
      <c r="R7796" t="s">
        <v>57</v>
      </c>
      <c r="S7796">
        <v>8</v>
      </c>
      <c r="T7796">
        <v>207</v>
      </c>
      <c r="U7796" s="1">
        <v>37866</v>
      </c>
      <c r="V7796" t="s">
        <v>5177</v>
      </c>
      <c r="W7796" t="s">
        <v>5178</v>
      </c>
      <c r="X7796" t="s">
        <v>58</v>
      </c>
      <c r="Y7796">
        <v>22</v>
      </c>
      <c r="Z7796" t="s">
        <v>59</v>
      </c>
      <c r="AA7796" t="s">
        <v>59</v>
      </c>
      <c r="AB7796" t="s">
        <v>59</v>
      </c>
      <c r="AC7796" t="s">
        <v>59</v>
      </c>
      <c r="AD7796" t="s">
        <v>59</v>
      </c>
      <c r="AF7796" s="1">
        <v>37866</v>
      </c>
      <c r="AG7796" t="s">
        <v>8645</v>
      </c>
      <c r="AH7796" t="s">
        <v>8646</v>
      </c>
      <c r="AI7796" t="str">
        <f>"9320205"</f>
        <v>9320205</v>
      </c>
      <c r="AJ7796" t="s">
        <v>11902</v>
      </c>
      <c r="AK7796">
        <v>2843024509</v>
      </c>
      <c r="AL7796" t="s">
        <v>11903</v>
      </c>
      <c r="AM7796" t="s">
        <v>4513</v>
      </c>
      <c r="AN7796" t="s">
        <v>4540</v>
      </c>
      <c r="AO7796" t="s">
        <v>4540</v>
      </c>
      <c r="AP7796" t="s">
        <v>4540</v>
      </c>
      <c r="AQ7796">
        <v>8</v>
      </c>
      <c r="AR7796" t="s">
        <v>5177</v>
      </c>
      <c r="AS7796" t="s">
        <v>5178</v>
      </c>
      <c r="AT7796" t="s">
        <v>58</v>
      </c>
      <c r="AU7796" t="s">
        <v>68</v>
      </c>
      <c r="AV7796" t="s">
        <v>69</v>
      </c>
      <c r="AW7796" s="1">
        <v>28370</v>
      </c>
      <c r="AX7796">
        <v>1</v>
      </c>
    </row>
    <row r="7797" spans="1:50">
      <c r="A7797">
        <v>617977</v>
      </c>
      <c r="B7797" t="str">
        <f>"124018209"</f>
        <v>124018209</v>
      </c>
      <c r="C7797" t="s">
        <v>105</v>
      </c>
      <c r="D7797" t="s">
        <v>12252</v>
      </c>
      <c r="E7797" t="s">
        <v>166</v>
      </c>
      <c r="F7797" t="s">
        <v>12253</v>
      </c>
      <c r="G7797" t="s">
        <v>54</v>
      </c>
      <c r="H7797" t="str">
        <f>"ΚΟΡΑΚΑ 34 ΙΕΡΑΠΕΤΡΑ"</f>
        <v>ΚΟΡΑΚΑ 34 ΙΕΡΑΠΕΤΡΑ</v>
      </c>
      <c r="I7797">
        <v>72200</v>
      </c>
      <c r="J7797">
        <v>2842028058</v>
      </c>
      <c r="K7797">
        <v>6939320190</v>
      </c>
      <c r="N7797" t="s">
        <v>615</v>
      </c>
      <c r="O7797" t="s">
        <v>616</v>
      </c>
      <c r="R7797" t="s">
        <v>57</v>
      </c>
      <c r="S7797">
        <v>5</v>
      </c>
      <c r="T7797">
        <v>774</v>
      </c>
      <c r="U7797" s="1">
        <v>39680</v>
      </c>
      <c r="V7797" t="s">
        <v>5177</v>
      </c>
      <c r="W7797" t="s">
        <v>5178</v>
      </c>
      <c r="X7797" t="s">
        <v>58</v>
      </c>
      <c r="Y7797">
        <v>23</v>
      </c>
      <c r="Z7797" t="s">
        <v>59</v>
      </c>
      <c r="AA7797" t="s">
        <v>59</v>
      </c>
      <c r="AB7797" t="s">
        <v>59</v>
      </c>
      <c r="AC7797" t="s">
        <v>59</v>
      </c>
      <c r="AD7797" t="s">
        <v>59</v>
      </c>
      <c r="AF7797" s="1">
        <v>39680</v>
      </c>
      <c r="AG7797" t="s">
        <v>8645</v>
      </c>
      <c r="AH7797" t="s">
        <v>8646</v>
      </c>
      <c r="AI7797" t="str">
        <f>"9320003"</f>
        <v>9320003</v>
      </c>
      <c r="AJ7797" t="s">
        <v>11886</v>
      </c>
      <c r="AK7797">
        <v>2842089830</v>
      </c>
      <c r="AL7797" t="s">
        <v>11887</v>
      </c>
      <c r="AM7797" t="s">
        <v>4513</v>
      </c>
      <c r="AN7797" t="s">
        <v>4519</v>
      </c>
      <c r="AO7797" t="s">
        <v>4519</v>
      </c>
      <c r="AP7797" t="s">
        <v>4519</v>
      </c>
      <c r="AQ7797">
        <v>4</v>
      </c>
      <c r="AR7797" t="s">
        <v>5177</v>
      </c>
      <c r="AS7797" t="s">
        <v>5178</v>
      </c>
      <c r="AT7797" t="s">
        <v>58</v>
      </c>
      <c r="AU7797" t="s">
        <v>68</v>
      </c>
      <c r="AV7797" t="s">
        <v>69</v>
      </c>
      <c r="AW7797" s="1">
        <v>30091</v>
      </c>
      <c r="AX7797">
        <v>1</v>
      </c>
    </row>
    <row r="7798" spans="1:50">
      <c r="A7798">
        <v>567697</v>
      </c>
      <c r="B7798" t="str">
        <f>"037250309"</f>
        <v>037250309</v>
      </c>
      <c r="C7798" t="s">
        <v>105</v>
      </c>
      <c r="D7798" t="s">
        <v>10182</v>
      </c>
      <c r="E7798" t="s">
        <v>166</v>
      </c>
      <c r="F7798" t="s">
        <v>95</v>
      </c>
      <c r="G7798" t="s">
        <v>610</v>
      </c>
      <c r="H7798" t="str">
        <f>"ΦΛΕΜΙΓΚ 1Κάτω Επισκοπή, Τ.Θ. 614 ΣΗΤΕΙΑ"</f>
        <v>ΦΛΕΜΙΓΚ 1Κάτω Επισκοπή, Τ.Θ. 614 ΣΗΤΕΙΑ</v>
      </c>
      <c r="I7798">
        <v>72300</v>
      </c>
      <c r="J7798">
        <v>2843024324</v>
      </c>
      <c r="K7798">
        <v>6937031479</v>
      </c>
      <c r="L7798">
        <v>2843061213</v>
      </c>
      <c r="M7798" t="s">
        <v>12254</v>
      </c>
      <c r="N7798" t="s">
        <v>615</v>
      </c>
      <c r="O7798" t="s">
        <v>616</v>
      </c>
      <c r="R7798" t="s">
        <v>57</v>
      </c>
      <c r="S7798">
        <v>15</v>
      </c>
      <c r="T7798">
        <v>133</v>
      </c>
      <c r="U7798" s="1">
        <v>33456</v>
      </c>
      <c r="V7798" t="s">
        <v>5177</v>
      </c>
      <c r="W7798" t="s">
        <v>5178</v>
      </c>
      <c r="X7798" t="s">
        <v>58</v>
      </c>
      <c r="Y7798">
        <v>21</v>
      </c>
      <c r="Z7798" t="s">
        <v>59</v>
      </c>
      <c r="AA7798" t="s">
        <v>59</v>
      </c>
      <c r="AB7798" t="s">
        <v>59</v>
      </c>
      <c r="AC7798" t="s">
        <v>59</v>
      </c>
      <c r="AD7798" t="s">
        <v>59</v>
      </c>
      <c r="AF7798" s="1">
        <v>33485</v>
      </c>
      <c r="AG7798" t="s">
        <v>8645</v>
      </c>
      <c r="AH7798" t="s">
        <v>8646</v>
      </c>
      <c r="AI7798" t="str">
        <f>"9320115"</f>
        <v>9320115</v>
      </c>
      <c r="AJ7798" t="s">
        <v>11935</v>
      </c>
      <c r="AK7798">
        <v>2843061213</v>
      </c>
      <c r="AL7798" t="s">
        <v>11936</v>
      </c>
      <c r="AM7798" t="s">
        <v>4513</v>
      </c>
      <c r="AN7798" t="s">
        <v>4540</v>
      </c>
      <c r="AO7798" t="s">
        <v>4700</v>
      </c>
      <c r="AP7798" t="s">
        <v>4701</v>
      </c>
      <c r="AQ7798">
        <v>9</v>
      </c>
      <c r="AR7798" t="s">
        <v>5177</v>
      </c>
      <c r="AS7798" t="s">
        <v>5178</v>
      </c>
      <c r="AT7798" t="s">
        <v>58</v>
      </c>
      <c r="AU7798" t="s">
        <v>68</v>
      </c>
      <c r="AV7798" t="s">
        <v>69</v>
      </c>
      <c r="AW7798" s="1">
        <v>23735</v>
      </c>
      <c r="AX7798">
        <v>1</v>
      </c>
    </row>
    <row r="7799" spans="1:50">
      <c r="A7799">
        <v>605895</v>
      </c>
      <c r="B7799" t="str">
        <f>"102277269"</f>
        <v>102277269</v>
      </c>
      <c r="C7799" t="s">
        <v>50</v>
      </c>
      <c r="D7799" t="s">
        <v>12255</v>
      </c>
      <c r="E7799" t="s">
        <v>2248</v>
      </c>
      <c r="F7799" t="s">
        <v>72</v>
      </c>
      <c r="G7799" t="s">
        <v>237</v>
      </c>
      <c r="H7799" t="str">
        <f>"Καραμανλή 16 Σητεία"</f>
        <v>Καραμανλή 16 Σητεία</v>
      </c>
      <c r="I7799">
        <v>72300</v>
      </c>
      <c r="J7799">
        <v>2843020252</v>
      </c>
      <c r="K7799">
        <v>6948806639</v>
      </c>
      <c r="N7799" t="s">
        <v>615</v>
      </c>
      <c r="O7799" t="s">
        <v>616</v>
      </c>
      <c r="R7799" t="s">
        <v>57</v>
      </c>
      <c r="S7799">
        <v>7</v>
      </c>
      <c r="T7799">
        <v>231</v>
      </c>
      <c r="U7799" s="1">
        <v>38230</v>
      </c>
      <c r="V7799" t="s">
        <v>5177</v>
      </c>
      <c r="W7799" t="s">
        <v>5178</v>
      </c>
      <c r="X7799" t="s">
        <v>58</v>
      </c>
      <c r="Y7799">
        <v>22</v>
      </c>
      <c r="Z7799" t="s">
        <v>59</v>
      </c>
      <c r="AA7799" t="s">
        <v>59</v>
      </c>
      <c r="AB7799" t="s">
        <v>59</v>
      </c>
      <c r="AC7799" t="s">
        <v>59</v>
      </c>
      <c r="AD7799" t="s">
        <v>59</v>
      </c>
      <c r="AF7799" s="1">
        <v>38230</v>
      </c>
      <c r="AG7799" t="s">
        <v>8645</v>
      </c>
      <c r="AH7799" t="s">
        <v>8646</v>
      </c>
      <c r="AI7799" t="str">
        <f>"9320093"</f>
        <v>9320093</v>
      </c>
      <c r="AJ7799" t="s">
        <v>11967</v>
      </c>
      <c r="AK7799">
        <v>2843025130</v>
      </c>
      <c r="AL7799" t="s">
        <v>11968</v>
      </c>
      <c r="AM7799" t="s">
        <v>4513</v>
      </c>
      <c r="AN7799" t="s">
        <v>4540</v>
      </c>
      <c r="AO7799" t="s">
        <v>4540</v>
      </c>
      <c r="AP7799" t="s">
        <v>4540</v>
      </c>
      <c r="AQ7799">
        <v>8</v>
      </c>
      <c r="AR7799" t="s">
        <v>5177</v>
      </c>
      <c r="AS7799" t="s">
        <v>5178</v>
      </c>
      <c r="AT7799" t="s">
        <v>58</v>
      </c>
      <c r="AU7799" t="s">
        <v>68</v>
      </c>
      <c r="AV7799" t="s">
        <v>69</v>
      </c>
      <c r="AW7799" s="1">
        <v>29035</v>
      </c>
      <c r="AX7799">
        <v>1</v>
      </c>
    </row>
    <row r="7800" spans="1:50">
      <c r="A7800">
        <v>618866</v>
      </c>
      <c r="B7800" t="str">
        <f>"126343339"</f>
        <v>126343339</v>
      </c>
      <c r="C7800" t="s">
        <v>50</v>
      </c>
      <c r="D7800" t="s">
        <v>12256</v>
      </c>
      <c r="E7800" t="s">
        <v>620</v>
      </c>
      <c r="F7800" t="s">
        <v>84</v>
      </c>
      <c r="G7800" t="s">
        <v>52</v>
      </c>
      <c r="H7800" t="str">
        <f>"ΚΟΡΥΤΣΑΣ 20 ΑΓΙΟΣ ΝΙΚΟΛΑΟΣ"</f>
        <v>ΚΟΡΥΤΣΑΣ 20 ΑΓΙΟΣ ΝΙΚΟΛΑΟΣ</v>
      </c>
      <c r="I7800">
        <v>72100</v>
      </c>
      <c r="J7800">
        <v>2841025943</v>
      </c>
      <c r="K7800">
        <v>6979011905</v>
      </c>
      <c r="N7800" t="s">
        <v>615</v>
      </c>
      <c r="O7800" t="s">
        <v>616</v>
      </c>
      <c r="R7800" t="s">
        <v>57</v>
      </c>
      <c r="S7800">
        <v>5</v>
      </c>
      <c r="T7800">
        <v>774</v>
      </c>
      <c r="U7800" s="1">
        <v>39680</v>
      </c>
      <c r="V7800" t="s">
        <v>5177</v>
      </c>
      <c r="W7800" t="s">
        <v>5178</v>
      </c>
      <c r="X7800" t="s">
        <v>58</v>
      </c>
      <c r="Y7800">
        <v>23</v>
      </c>
      <c r="Z7800" t="s">
        <v>59</v>
      </c>
      <c r="AA7800" t="s">
        <v>59</v>
      </c>
      <c r="AB7800" t="s">
        <v>59</v>
      </c>
      <c r="AC7800" t="s">
        <v>59</v>
      </c>
      <c r="AD7800" t="s">
        <v>59</v>
      </c>
      <c r="AF7800" s="1">
        <v>39681</v>
      </c>
      <c r="AG7800" t="s">
        <v>8645</v>
      </c>
      <c r="AH7800" t="s">
        <v>8646</v>
      </c>
      <c r="AI7800" t="str">
        <f>"9320003"</f>
        <v>9320003</v>
      </c>
      <c r="AJ7800" t="s">
        <v>11886</v>
      </c>
      <c r="AK7800">
        <v>2842089830</v>
      </c>
      <c r="AL7800" t="s">
        <v>11887</v>
      </c>
      <c r="AM7800" t="s">
        <v>4513</v>
      </c>
      <c r="AN7800" t="s">
        <v>4519</v>
      </c>
      <c r="AO7800" t="s">
        <v>4519</v>
      </c>
      <c r="AP7800" t="s">
        <v>4519</v>
      </c>
      <c r="AQ7800">
        <v>4</v>
      </c>
      <c r="AR7800" t="s">
        <v>5177</v>
      </c>
      <c r="AS7800" t="s">
        <v>5178</v>
      </c>
      <c r="AT7800" t="s">
        <v>58</v>
      </c>
      <c r="AU7800" t="s">
        <v>68</v>
      </c>
      <c r="AV7800" t="s">
        <v>69</v>
      </c>
      <c r="AW7800" s="1">
        <v>31181</v>
      </c>
      <c r="AX7800">
        <v>1</v>
      </c>
    </row>
    <row r="7801" spans="1:50">
      <c r="B7801" t="str">
        <f>"124526554"</f>
        <v>124526554</v>
      </c>
      <c r="C7801" t="s">
        <v>50</v>
      </c>
      <c r="D7801" t="s">
        <v>12257</v>
      </c>
      <c r="E7801" t="s">
        <v>620</v>
      </c>
      <c r="F7801" t="s">
        <v>53</v>
      </c>
      <c r="H7801" t="str">
        <f>"Μιλτιάδου 25 Αιγάλεω"</f>
        <v>Μιλτιάδου 25 Αιγάλεω</v>
      </c>
      <c r="J7801">
        <v>2731024132</v>
      </c>
      <c r="K7801">
        <v>6955215016</v>
      </c>
      <c r="M7801" t="s">
        <v>12258</v>
      </c>
      <c r="N7801" t="s">
        <v>1525</v>
      </c>
      <c r="O7801" t="s">
        <v>1526</v>
      </c>
      <c r="R7801" t="s">
        <v>159</v>
      </c>
      <c r="S7801">
        <v>2</v>
      </c>
      <c r="T7801" t="s">
        <v>8670</v>
      </c>
      <c r="U7801" s="1">
        <v>43348</v>
      </c>
      <c r="V7801" t="s">
        <v>5177</v>
      </c>
      <c r="W7801" t="s">
        <v>5178</v>
      </c>
      <c r="X7801" t="s">
        <v>58</v>
      </c>
      <c r="Y7801">
        <v>25</v>
      </c>
      <c r="Z7801" t="s">
        <v>59</v>
      </c>
      <c r="AA7801" t="s">
        <v>59</v>
      </c>
      <c r="AB7801" t="s">
        <v>59</v>
      </c>
      <c r="AC7801" t="s">
        <v>59</v>
      </c>
      <c r="AD7801" t="s">
        <v>59</v>
      </c>
      <c r="AF7801" s="1">
        <v>43348</v>
      </c>
      <c r="AG7801" t="s">
        <v>8651</v>
      </c>
      <c r="AH7801" t="s">
        <v>8652</v>
      </c>
      <c r="AI7801" t="str">
        <f>"9320207"</f>
        <v>9320207</v>
      </c>
      <c r="AJ7801" t="s">
        <v>12259</v>
      </c>
      <c r="AK7801">
        <v>2842051282</v>
      </c>
      <c r="AL7801" t="s">
        <v>12260</v>
      </c>
      <c r="AM7801" t="s">
        <v>4513</v>
      </c>
      <c r="AN7801" t="s">
        <v>4519</v>
      </c>
      <c r="AO7801" t="s">
        <v>4519</v>
      </c>
      <c r="AP7801" t="s">
        <v>12216</v>
      </c>
      <c r="AQ7801">
        <v>7</v>
      </c>
      <c r="AR7801" t="s">
        <v>5177</v>
      </c>
      <c r="AS7801" t="s">
        <v>5178</v>
      </c>
      <c r="AT7801" t="s">
        <v>58</v>
      </c>
      <c r="AU7801" t="s">
        <v>8673</v>
      </c>
      <c r="AV7801" t="s">
        <v>132</v>
      </c>
      <c r="AW7801" s="1">
        <v>30743</v>
      </c>
      <c r="AX7801">
        <v>1</v>
      </c>
    </row>
    <row r="7802" spans="1:50">
      <c r="A7802">
        <v>561021</v>
      </c>
      <c r="B7802" t="str">
        <f>"032069243"</f>
        <v>032069243</v>
      </c>
      <c r="C7802" t="s">
        <v>50</v>
      </c>
      <c r="D7802" t="s">
        <v>12261</v>
      </c>
      <c r="E7802" t="s">
        <v>73</v>
      </c>
      <c r="F7802" t="s">
        <v>72</v>
      </c>
      <c r="G7802" t="s">
        <v>237</v>
      </c>
      <c r="H7802" t="str">
        <f>"ΚΑΡΑΟΛΗ 2 ΣΗΤΕΙΑ"</f>
        <v>ΚΑΡΑΟΛΗ 2 ΣΗΤΕΙΑ</v>
      </c>
      <c r="I7802">
        <v>72300</v>
      </c>
      <c r="J7802">
        <v>2843025354</v>
      </c>
      <c r="K7802">
        <v>6986198387</v>
      </c>
      <c r="N7802" t="s">
        <v>615</v>
      </c>
      <c r="O7802" t="s">
        <v>616</v>
      </c>
      <c r="R7802" t="s">
        <v>57</v>
      </c>
      <c r="S7802">
        <v>15</v>
      </c>
      <c r="T7802">
        <v>159</v>
      </c>
      <c r="U7802" s="1">
        <v>32385</v>
      </c>
      <c r="V7802" t="s">
        <v>5177</v>
      </c>
      <c r="W7802" t="s">
        <v>5178</v>
      </c>
      <c r="X7802" t="s">
        <v>58</v>
      </c>
      <c r="Y7802">
        <v>21</v>
      </c>
      <c r="Z7802" t="s">
        <v>59</v>
      </c>
      <c r="AA7802" t="s">
        <v>59</v>
      </c>
      <c r="AB7802" t="s">
        <v>59</v>
      </c>
      <c r="AC7802" t="s">
        <v>59</v>
      </c>
      <c r="AD7802" t="s">
        <v>59</v>
      </c>
      <c r="AF7802" s="1">
        <v>32388</v>
      </c>
      <c r="AG7802" t="s">
        <v>8645</v>
      </c>
      <c r="AH7802" t="s">
        <v>8646</v>
      </c>
      <c r="AI7802" t="str">
        <f>"9320093"</f>
        <v>9320093</v>
      </c>
      <c r="AJ7802" t="s">
        <v>11967</v>
      </c>
      <c r="AK7802">
        <v>2843025130</v>
      </c>
      <c r="AL7802" t="s">
        <v>11968</v>
      </c>
      <c r="AM7802" t="s">
        <v>4513</v>
      </c>
      <c r="AN7802" t="s">
        <v>4540</v>
      </c>
      <c r="AO7802" t="s">
        <v>4540</v>
      </c>
      <c r="AP7802" t="s">
        <v>4540</v>
      </c>
      <c r="AQ7802">
        <v>8</v>
      </c>
      <c r="AR7802" t="s">
        <v>5177</v>
      </c>
      <c r="AS7802" t="s">
        <v>5178</v>
      </c>
      <c r="AT7802" t="s">
        <v>58</v>
      </c>
      <c r="AU7802" t="s">
        <v>68</v>
      </c>
      <c r="AV7802" t="s">
        <v>69</v>
      </c>
      <c r="AW7802" s="1">
        <v>23993</v>
      </c>
      <c r="AX7802">
        <v>1</v>
      </c>
    </row>
    <row r="7803" spans="1:50">
      <c r="B7803" t="str">
        <f>"049601178"</f>
        <v>049601178</v>
      </c>
      <c r="C7803" t="s">
        <v>50</v>
      </c>
      <c r="D7803" t="s">
        <v>12262</v>
      </c>
      <c r="E7803" t="s">
        <v>541</v>
      </c>
      <c r="F7803" t="s">
        <v>95</v>
      </c>
      <c r="G7803" t="s">
        <v>52</v>
      </c>
      <c r="H7803" t="str">
        <f>"ΦΡΥΝΗΣ  10 ΑΘΗΝΑ"</f>
        <v>ΦΡΥΝΗΣ  10 ΑΘΗΝΑ</v>
      </c>
      <c r="I7803">
        <v>11634</v>
      </c>
      <c r="J7803">
        <v>2843024389</v>
      </c>
      <c r="K7803">
        <v>6975908449</v>
      </c>
      <c r="M7803" t="s">
        <v>12263</v>
      </c>
      <c r="N7803" t="s">
        <v>306</v>
      </c>
      <c r="O7803" t="s">
        <v>307</v>
      </c>
      <c r="R7803" t="s">
        <v>57</v>
      </c>
      <c r="S7803">
        <v>6</v>
      </c>
      <c r="T7803" t="s">
        <v>8675</v>
      </c>
      <c r="U7803" s="1">
        <v>43348</v>
      </c>
      <c r="V7803" t="s">
        <v>5177</v>
      </c>
      <c r="W7803" t="s">
        <v>5178</v>
      </c>
      <c r="X7803" t="s">
        <v>58</v>
      </c>
      <c r="Y7803">
        <v>24</v>
      </c>
      <c r="Z7803" t="s">
        <v>59</v>
      </c>
      <c r="AA7803" t="s">
        <v>59</v>
      </c>
      <c r="AB7803" t="s">
        <v>59</v>
      </c>
      <c r="AC7803" t="s">
        <v>59</v>
      </c>
      <c r="AD7803" t="s">
        <v>59</v>
      </c>
      <c r="AF7803" s="1">
        <v>43348</v>
      </c>
      <c r="AG7803" t="s">
        <v>8645</v>
      </c>
      <c r="AH7803" t="s">
        <v>8646</v>
      </c>
      <c r="AI7803" t="str">
        <f>"9320034"</f>
        <v>9320034</v>
      </c>
      <c r="AJ7803" t="s">
        <v>11984</v>
      </c>
      <c r="AK7803">
        <v>2841061401</v>
      </c>
      <c r="AL7803" t="s">
        <v>11985</v>
      </c>
      <c r="AM7803" t="s">
        <v>4513</v>
      </c>
      <c r="AN7803" t="s">
        <v>4514</v>
      </c>
      <c r="AO7803" t="s">
        <v>4514</v>
      </c>
      <c r="AP7803" t="s">
        <v>11986</v>
      </c>
      <c r="AQ7803">
        <v>2</v>
      </c>
      <c r="AR7803" t="s">
        <v>5177</v>
      </c>
      <c r="AS7803" t="s">
        <v>5178</v>
      </c>
      <c r="AT7803" t="s">
        <v>58</v>
      </c>
      <c r="AU7803" t="s">
        <v>8673</v>
      </c>
      <c r="AV7803" t="s">
        <v>132</v>
      </c>
      <c r="AW7803" s="1">
        <v>29741</v>
      </c>
      <c r="AX7803">
        <v>1</v>
      </c>
    </row>
    <row r="7804" spans="1:50">
      <c r="A7804">
        <v>565130</v>
      </c>
      <c r="B7804" t="str">
        <f>"110354685"</f>
        <v>110354685</v>
      </c>
      <c r="C7804" t="s">
        <v>50</v>
      </c>
      <c r="D7804" t="s">
        <v>10196</v>
      </c>
      <c r="E7804" t="s">
        <v>52</v>
      </c>
      <c r="F7804" t="s">
        <v>153</v>
      </c>
      <c r="G7804" t="s">
        <v>143</v>
      </c>
      <c r="H7804" t="str">
        <f>"Λ. ΒΥΡΩΝΑ 21Α ΣΗΤΕΙΑ"</f>
        <v>Λ. ΒΥΡΩΝΑ 21Α ΣΗΤΕΙΑ</v>
      </c>
      <c r="I7804">
        <v>72300</v>
      </c>
      <c r="N7804" t="s">
        <v>615</v>
      </c>
      <c r="O7804" t="s">
        <v>616</v>
      </c>
      <c r="R7804" t="s">
        <v>57</v>
      </c>
      <c r="S7804">
        <v>14</v>
      </c>
      <c r="T7804">
        <v>161</v>
      </c>
      <c r="U7804" s="1">
        <v>33119</v>
      </c>
      <c r="V7804" t="s">
        <v>5177</v>
      </c>
      <c r="W7804" t="s">
        <v>5178</v>
      </c>
      <c r="X7804" t="s">
        <v>58</v>
      </c>
      <c r="Y7804">
        <v>21</v>
      </c>
      <c r="Z7804" t="s">
        <v>59</v>
      </c>
      <c r="AA7804" t="s">
        <v>59</v>
      </c>
      <c r="AB7804" t="s">
        <v>59</v>
      </c>
      <c r="AC7804" t="s">
        <v>59</v>
      </c>
      <c r="AD7804" t="s">
        <v>59</v>
      </c>
      <c r="AF7804" s="1">
        <v>33120</v>
      </c>
      <c r="AG7804" t="s">
        <v>8645</v>
      </c>
      <c r="AH7804" t="s">
        <v>8646</v>
      </c>
      <c r="AI7804" t="str">
        <f>"9520629"</f>
        <v>9520629</v>
      </c>
      <c r="AJ7804" t="s">
        <v>11976</v>
      </c>
      <c r="AK7804">
        <v>2843026678</v>
      </c>
      <c r="AL7804" t="s">
        <v>11977</v>
      </c>
      <c r="AM7804" t="s">
        <v>4513</v>
      </c>
      <c r="AN7804" t="s">
        <v>4540</v>
      </c>
      <c r="AO7804" t="s">
        <v>4540</v>
      </c>
      <c r="AP7804" t="s">
        <v>4540</v>
      </c>
      <c r="AQ7804">
        <v>8</v>
      </c>
      <c r="AR7804" t="s">
        <v>5177</v>
      </c>
      <c r="AS7804" t="s">
        <v>5178</v>
      </c>
      <c r="AT7804" t="s">
        <v>58</v>
      </c>
      <c r="AU7804" t="s">
        <v>68</v>
      </c>
      <c r="AV7804" t="s">
        <v>69</v>
      </c>
      <c r="AW7804" s="1">
        <v>24293</v>
      </c>
      <c r="AX7804">
        <v>1</v>
      </c>
    </row>
    <row r="7805" spans="1:50">
      <c r="A7805">
        <v>608435</v>
      </c>
      <c r="B7805" t="str">
        <f>"065907038"</f>
        <v>065907038</v>
      </c>
      <c r="C7805" t="s">
        <v>50</v>
      </c>
      <c r="D7805" t="s">
        <v>12264</v>
      </c>
      <c r="E7805" t="s">
        <v>1355</v>
      </c>
      <c r="F7805" t="s">
        <v>84</v>
      </c>
      <c r="G7805" t="s">
        <v>263</v>
      </c>
      <c r="H7805" t="str">
        <f>"ΤΖΙΒΕΡΙ - ΙΕΡΑΠΕΤΡΑ ΙΕΡΑΠΕΤΡΑ"</f>
        <v>ΤΖΙΒΕΡΙ - ΙΕΡΑΠΕΤΡΑ ΙΕΡΑΠΕΤΡΑ</v>
      </c>
      <c r="I7805">
        <v>72200</v>
      </c>
      <c r="J7805">
        <v>2842026852</v>
      </c>
      <c r="K7805">
        <v>6974414623</v>
      </c>
      <c r="N7805" t="s">
        <v>1525</v>
      </c>
      <c r="O7805" t="s">
        <v>1526</v>
      </c>
      <c r="R7805" t="s">
        <v>57</v>
      </c>
      <c r="S7805">
        <v>8</v>
      </c>
      <c r="T7805">
        <v>217</v>
      </c>
      <c r="U7805" s="1">
        <v>38596</v>
      </c>
      <c r="V7805" t="s">
        <v>5177</v>
      </c>
      <c r="W7805" t="s">
        <v>5178</v>
      </c>
      <c r="X7805" t="s">
        <v>58</v>
      </c>
      <c r="Y7805">
        <v>25</v>
      </c>
      <c r="Z7805" t="s">
        <v>59</v>
      </c>
      <c r="AA7805" t="s">
        <v>59</v>
      </c>
      <c r="AB7805" t="s">
        <v>59</v>
      </c>
      <c r="AC7805" t="s">
        <v>59</v>
      </c>
      <c r="AD7805" t="s">
        <v>59</v>
      </c>
      <c r="AF7805" s="1">
        <v>38600</v>
      </c>
      <c r="AG7805" t="s">
        <v>8651</v>
      </c>
      <c r="AH7805" t="s">
        <v>8652</v>
      </c>
      <c r="AI7805" t="str">
        <f>"9320211"</f>
        <v>9320211</v>
      </c>
      <c r="AJ7805" t="s">
        <v>11965</v>
      </c>
      <c r="AK7805">
        <v>2842024333</v>
      </c>
      <c r="AL7805" t="s">
        <v>11966</v>
      </c>
      <c r="AM7805" t="s">
        <v>4513</v>
      </c>
      <c r="AN7805" t="s">
        <v>4519</v>
      </c>
      <c r="AO7805" t="s">
        <v>4519</v>
      </c>
      <c r="AP7805" t="s">
        <v>4519</v>
      </c>
      <c r="AQ7805">
        <v>4</v>
      </c>
      <c r="AR7805" t="s">
        <v>5177</v>
      </c>
      <c r="AS7805" t="s">
        <v>5178</v>
      </c>
      <c r="AT7805" t="s">
        <v>58</v>
      </c>
      <c r="AU7805" t="s">
        <v>68</v>
      </c>
      <c r="AV7805" t="s">
        <v>69</v>
      </c>
      <c r="AW7805" s="1">
        <v>24103</v>
      </c>
      <c r="AX7805">
        <v>1</v>
      </c>
    </row>
    <row r="7806" spans="1:50">
      <c r="A7806">
        <v>595116</v>
      </c>
      <c r="B7806" t="str">
        <f>"028008738"</f>
        <v>028008738</v>
      </c>
      <c r="C7806" t="s">
        <v>50</v>
      </c>
      <c r="D7806" t="s">
        <v>12265</v>
      </c>
      <c r="E7806" t="s">
        <v>143</v>
      </c>
      <c r="F7806" t="s">
        <v>72</v>
      </c>
      <c r="G7806" t="s">
        <v>2088</v>
      </c>
      <c r="H7806" t="str">
        <f>"ΜΥΛΟΥ 25 ΑΓΙΟΣ ΝΙΚΟΛΑΟΣ"</f>
        <v>ΜΥΛΟΥ 25 ΑΓΙΟΣ ΝΙΚΟΛΑΟΣ</v>
      </c>
      <c r="I7806">
        <v>72100</v>
      </c>
      <c r="N7806" t="s">
        <v>615</v>
      </c>
      <c r="O7806" t="s">
        <v>616</v>
      </c>
      <c r="R7806" t="s">
        <v>57</v>
      </c>
      <c r="S7806">
        <v>8</v>
      </c>
      <c r="T7806">
        <v>218</v>
      </c>
      <c r="U7806" s="1">
        <v>37140</v>
      </c>
      <c r="V7806" t="s">
        <v>5177</v>
      </c>
      <c r="W7806" t="s">
        <v>5178</v>
      </c>
      <c r="X7806" t="s">
        <v>58</v>
      </c>
      <c r="Y7806">
        <v>22</v>
      </c>
      <c r="Z7806" t="s">
        <v>59</v>
      </c>
      <c r="AA7806" t="s">
        <v>59</v>
      </c>
      <c r="AB7806" t="s">
        <v>59</v>
      </c>
      <c r="AC7806" t="s">
        <v>59</v>
      </c>
      <c r="AD7806" t="s">
        <v>59</v>
      </c>
      <c r="AF7806" s="1">
        <v>37140</v>
      </c>
      <c r="AG7806" t="s">
        <v>8645</v>
      </c>
      <c r="AH7806" t="s">
        <v>8697</v>
      </c>
      <c r="AI7806" t="str">
        <f>"9320209"</f>
        <v>9320209</v>
      </c>
      <c r="AJ7806" t="s">
        <v>12009</v>
      </c>
      <c r="AK7806">
        <v>2841026803</v>
      </c>
      <c r="AL7806" t="s">
        <v>12010</v>
      </c>
      <c r="AM7806" t="s">
        <v>4513</v>
      </c>
      <c r="AN7806" t="s">
        <v>4514</v>
      </c>
      <c r="AO7806" t="s">
        <v>4514</v>
      </c>
      <c r="AP7806" t="s">
        <v>4514</v>
      </c>
      <c r="AQ7806">
        <v>1</v>
      </c>
      <c r="AR7806" t="s">
        <v>5177</v>
      </c>
      <c r="AS7806" t="s">
        <v>5178</v>
      </c>
      <c r="AT7806" t="s">
        <v>58</v>
      </c>
      <c r="AU7806" t="s">
        <v>68</v>
      </c>
      <c r="AV7806" t="s">
        <v>69</v>
      </c>
      <c r="AW7806" s="1">
        <v>25745</v>
      </c>
      <c r="AX7806">
        <v>1</v>
      </c>
    </row>
    <row r="7807" spans="1:50">
      <c r="A7807">
        <v>700386</v>
      </c>
      <c r="B7807" t="str">
        <f>"131522951"</f>
        <v>131522951</v>
      </c>
      <c r="C7807" t="s">
        <v>50</v>
      </c>
      <c r="D7807" t="s">
        <v>12266</v>
      </c>
      <c r="E7807" t="s">
        <v>83</v>
      </c>
      <c r="F7807" t="s">
        <v>72</v>
      </c>
      <c r="G7807" t="s">
        <v>52</v>
      </c>
      <c r="H7807" t="str">
        <f>"ΑΚΡΟΠΟΛΕΩΣ 141 ΔΡΑΜΑ"</f>
        <v>ΑΚΡΟΠΟΛΕΩΣ 141 ΔΡΑΜΑ</v>
      </c>
      <c r="I7807">
        <v>66100</v>
      </c>
      <c r="J7807">
        <v>2521026088</v>
      </c>
      <c r="K7807">
        <v>6946458365</v>
      </c>
      <c r="L7807">
        <v>2842110045</v>
      </c>
      <c r="N7807" t="s">
        <v>615</v>
      </c>
      <c r="O7807" t="s">
        <v>616</v>
      </c>
      <c r="R7807" t="s">
        <v>57</v>
      </c>
      <c r="S7807">
        <v>4</v>
      </c>
      <c r="T7807" t="s">
        <v>12050</v>
      </c>
      <c r="U7807" s="1">
        <v>40413</v>
      </c>
      <c r="V7807" t="s">
        <v>5177</v>
      </c>
      <c r="W7807" t="s">
        <v>5178</v>
      </c>
      <c r="X7807" t="s">
        <v>58</v>
      </c>
      <c r="Y7807">
        <v>24</v>
      </c>
      <c r="Z7807" t="s">
        <v>59</v>
      </c>
      <c r="AA7807" t="s">
        <v>59</v>
      </c>
      <c r="AB7807" t="s">
        <v>59</v>
      </c>
      <c r="AC7807" t="s">
        <v>59</v>
      </c>
      <c r="AD7807" t="s">
        <v>59</v>
      </c>
      <c r="AF7807" s="1">
        <v>40413</v>
      </c>
      <c r="AG7807" t="s">
        <v>8645</v>
      </c>
      <c r="AH7807" t="s">
        <v>8646</v>
      </c>
      <c r="AI7807" t="str">
        <f>"9320127"</f>
        <v>9320127</v>
      </c>
      <c r="AJ7807" t="s">
        <v>12040</v>
      </c>
      <c r="AK7807">
        <v>2843051221</v>
      </c>
      <c r="AL7807" t="s">
        <v>12041</v>
      </c>
      <c r="AM7807" t="s">
        <v>4513</v>
      </c>
      <c r="AN7807" t="s">
        <v>4519</v>
      </c>
      <c r="AO7807" t="s">
        <v>4766</v>
      </c>
      <c r="AP7807" t="s">
        <v>4767</v>
      </c>
      <c r="AQ7807">
        <v>6</v>
      </c>
      <c r="AR7807" t="s">
        <v>5177</v>
      </c>
      <c r="AS7807" t="s">
        <v>5178</v>
      </c>
      <c r="AT7807" t="s">
        <v>58</v>
      </c>
      <c r="AU7807" t="s">
        <v>68</v>
      </c>
      <c r="AV7807" t="s">
        <v>69</v>
      </c>
      <c r="AW7807" s="1">
        <v>30503</v>
      </c>
      <c r="AX7807">
        <v>1</v>
      </c>
    </row>
    <row r="7808" spans="1:50">
      <c r="B7808" t="str">
        <f>"140635040"</f>
        <v>140635040</v>
      </c>
      <c r="C7808" t="s">
        <v>50</v>
      </c>
      <c r="D7808" t="s">
        <v>12267</v>
      </c>
      <c r="E7808" t="s">
        <v>155</v>
      </c>
      <c r="F7808" t="s">
        <v>900</v>
      </c>
      <c r="G7808" t="s">
        <v>4361</v>
      </c>
      <c r="H7808" t="str">
        <f>"ΣΙΑΤΙΣΤΗΣ 42-ΕΛΕΥΘΕΡΙΟ "</f>
        <v xml:space="preserve">ΣΙΑΤΙΣΤΗΣ 42-ΕΛΕΥΘΕΡΙΟ </v>
      </c>
      <c r="I7808">
        <v>56334</v>
      </c>
      <c r="J7808">
        <v>2310771774</v>
      </c>
      <c r="K7808">
        <v>6985123310</v>
      </c>
      <c r="N7808" t="s">
        <v>615</v>
      </c>
      <c r="O7808" t="s">
        <v>616</v>
      </c>
      <c r="R7808" t="s">
        <v>159</v>
      </c>
      <c r="S7808">
        <v>5</v>
      </c>
      <c r="T7808" t="s">
        <v>8675</v>
      </c>
      <c r="U7808" s="1">
        <v>43348</v>
      </c>
      <c r="V7808" t="s">
        <v>5177</v>
      </c>
      <c r="W7808" t="s">
        <v>5178</v>
      </c>
      <c r="X7808" t="s">
        <v>58</v>
      </c>
      <c r="Y7808">
        <v>24</v>
      </c>
      <c r="Z7808" t="s">
        <v>59</v>
      </c>
      <c r="AA7808" t="s">
        <v>59</v>
      </c>
      <c r="AB7808" t="s">
        <v>59</v>
      </c>
      <c r="AC7808" t="s">
        <v>59</v>
      </c>
      <c r="AD7808" t="s">
        <v>59</v>
      </c>
      <c r="AF7808" s="1">
        <v>43348</v>
      </c>
      <c r="AG7808" t="s">
        <v>8645</v>
      </c>
      <c r="AH7808" t="s">
        <v>8646</v>
      </c>
      <c r="AI7808" t="str">
        <f>"9320006"</f>
        <v>9320006</v>
      </c>
      <c r="AJ7808" t="s">
        <v>11919</v>
      </c>
      <c r="AK7808">
        <v>2842022359</v>
      </c>
      <c r="AL7808" t="s">
        <v>11920</v>
      </c>
      <c r="AM7808" t="s">
        <v>4513</v>
      </c>
      <c r="AN7808" t="s">
        <v>4519</v>
      </c>
      <c r="AO7808" t="s">
        <v>4519</v>
      </c>
      <c r="AP7808" t="s">
        <v>4519</v>
      </c>
      <c r="AQ7808">
        <v>4</v>
      </c>
      <c r="AR7808" t="s">
        <v>5177</v>
      </c>
      <c r="AS7808" t="s">
        <v>5178</v>
      </c>
      <c r="AT7808" t="s">
        <v>58</v>
      </c>
      <c r="AU7808" t="s">
        <v>8673</v>
      </c>
      <c r="AV7808" t="s">
        <v>132</v>
      </c>
      <c r="AW7808" s="1">
        <v>32233</v>
      </c>
      <c r="AX7808">
        <v>1</v>
      </c>
    </row>
    <row r="7809" spans="1:50">
      <c r="A7809">
        <v>550471</v>
      </c>
      <c r="B7809" t="str">
        <f>"026654962"</f>
        <v>026654962</v>
      </c>
      <c r="C7809" t="s">
        <v>50</v>
      </c>
      <c r="D7809" t="s">
        <v>12268</v>
      </c>
      <c r="E7809" t="s">
        <v>484</v>
      </c>
      <c r="F7809" t="s">
        <v>95</v>
      </c>
      <c r="G7809" t="s">
        <v>4717</v>
      </c>
      <c r="H7809" t="str">
        <f>"ΤΟΠΛΟΥ 4 ΣΗΤΕΙΑ"</f>
        <v>ΤΟΠΛΟΥ 4 ΣΗΤΕΙΑ</v>
      </c>
      <c r="I7809">
        <v>72300</v>
      </c>
      <c r="J7809">
        <v>2843027120</v>
      </c>
      <c r="N7809" t="s">
        <v>1525</v>
      </c>
      <c r="O7809" t="s">
        <v>1526</v>
      </c>
      <c r="R7809" t="s">
        <v>57</v>
      </c>
      <c r="S7809">
        <v>18</v>
      </c>
      <c r="T7809">
        <v>393</v>
      </c>
      <c r="U7809" s="1">
        <v>30655</v>
      </c>
      <c r="V7809" t="s">
        <v>5177</v>
      </c>
      <c r="W7809" t="s">
        <v>5178</v>
      </c>
      <c r="X7809" t="s">
        <v>58</v>
      </c>
      <c r="Y7809">
        <v>25</v>
      </c>
      <c r="Z7809" t="s">
        <v>59</v>
      </c>
      <c r="AA7809" t="s">
        <v>59</v>
      </c>
      <c r="AB7809" t="s">
        <v>59</v>
      </c>
      <c r="AC7809" t="s">
        <v>59</v>
      </c>
      <c r="AD7809" t="s">
        <v>59</v>
      </c>
      <c r="AF7809" s="1">
        <v>30657</v>
      </c>
      <c r="AG7809" t="s">
        <v>8651</v>
      </c>
      <c r="AH7809" t="s">
        <v>8652</v>
      </c>
      <c r="AI7809" t="str">
        <f>"9320224"</f>
        <v>9320224</v>
      </c>
      <c r="AJ7809" t="s">
        <v>12269</v>
      </c>
      <c r="AK7809">
        <v>2843022656</v>
      </c>
      <c r="AL7809" t="s">
        <v>12270</v>
      </c>
      <c r="AM7809" t="s">
        <v>4513</v>
      </c>
      <c r="AN7809" t="s">
        <v>4540</v>
      </c>
      <c r="AO7809" t="s">
        <v>4540</v>
      </c>
      <c r="AP7809" t="s">
        <v>4540</v>
      </c>
      <c r="AQ7809">
        <v>8</v>
      </c>
      <c r="AR7809" t="s">
        <v>5177</v>
      </c>
      <c r="AS7809" t="s">
        <v>5178</v>
      </c>
      <c r="AT7809" t="s">
        <v>58</v>
      </c>
      <c r="AU7809" t="s">
        <v>68</v>
      </c>
      <c r="AV7809" t="s">
        <v>69</v>
      </c>
      <c r="AW7809" s="1">
        <v>22693</v>
      </c>
      <c r="AX7809">
        <v>1</v>
      </c>
    </row>
    <row r="7810" spans="1:50">
      <c r="B7810" t="str">
        <f>"125281138"</f>
        <v>125281138</v>
      </c>
      <c r="C7810" t="s">
        <v>50</v>
      </c>
      <c r="D7810" t="s">
        <v>12271</v>
      </c>
      <c r="E7810" t="s">
        <v>1497</v>
      </c>
      <c r="F7810" t="s">
        <v>72</v>
      </c>
      <c r="G7810" t="s">
        <v>143</v>
      </c>
      <c r="H7810" t="str">
        <f>"ΜΕΣΟΛΟΓΓΙΟΥ 20 "</f>
        <v xml:space="preserve">ΜΕΣΟΛΟΓΓΙΟΥ 20 </v>
      </c>
      <c r="I7810">
        <v>72300</v>
      </c>
      <c r="J7810">
        <v>2843025331</v>
      </c>
      <c r="K7810">
        <v>6949333020</v>
      </c>
      <c r="N7810" t="s">
        <v>1525</v>
      </c>
      <c r="O7810" t="s">
        <v>1526</v>
      </c>
      <c r="R7810" t="s">
        <v>159</v>
      </c>
      <c r="S7810">
        <v>2</v>
      </c>
      <c r="T7810" t="s">
        <v>8670</v>
      </c>
      <c r="U7810" s="1">
        <v>43348</v>
      </c>
      <c r="V7810" t="s">
        <v>5177</v>
      </c>
      <c r="W7810" t="s">
        <v>5178</v>
      </c>
      <c r="X7810" t="s">
        <v>58</v>
      </c>
      <c r="Y7810">
        <v>25</v>
      </c>
      <c r="Z7810" t="s">
        <v>59</v>
      </c>
      <c r="AA7810" t="s">
        <v>59</v>
      </c>
      <c r="AB7810" t="s">
        <v>59</v>
      </c>
      <c r="AC7810" t="s">
        <v>59</v>
      </c>
      <c r="AD7810" t="s">
        <v>59</v>
      </c>
      <c r="AF7810" s="1">
        <v>43348</v>
      </c>
      <c r="AG7810" t="s">
        <v>8651</v>
      </c>
      <c r="AH7810" t="s">
        <v>8652</v>
      </c>
      <c r="AI7810" t="str">
        <f>"9320160"</f>
        <v>9320160</v>
      </c>
      <c r="AJ7810" t="s">
        <v>12272</v>
      </c>
      <c r="AK7810">
        <v>2843091415</v>
      </c>
      <c r="AL7810" t="s">
        <v>12273</v>
      </c>
      <c r="AM7810" t="s">
        <v>4513</v>
      </c>
      <c r="AN7810" t="s">
        <v>4540</v>
      </c>
      <c r="AO7810" t="s">
        <v>4547</v>
      </c>
      <c r="AP7810" t="s">
        <v>12274</v>
      </c>
      <c r="AQ7810">
        <v>11</v>
      </c>
      <c r="AR7810" t="s">
        <v>5177</v>
      </c>
      <c r="AS7810" t="s">
        <v>5178</v>
      </c>
      <c r="AT7810" t="s">
        <v>58</v>
      </c>
      <c r="AU7810" t="s">
        <v>8673</v>
      </c>
      <c r="AV7810" t="s">
        <v>132</v>
      </c>
      <c r="AW7810" s="1">
        <v>29883</v>
      </c>
      <c r="AX7810">
        <v>1</v>
      </c>
    </row>
    <row r="7811" spans="1:50">
      <c r="B7811" t="str">
        <f>"142065636"</f>
        <v>142065636</v>
      </c>
      <c r="C7811" t="s">
        <v>50</v>
      </c>
      <c r="D7811" t="s">
        <v>12275</v>
      </c>
      <c r="E7811" t="s">
        <v>250</v>
      </c>
      <c r="F7811" t="s">
        <v>1493</v>
      </c>
      <c r="G7811" t="s">
        <v>181</v>
      </c>
      <c r="H7811" t="str">
        <f>"ΣΑΛΑΜΙΝΟΣ 32 ΜΑΝΔΡΑ ΑΤΤΙΚΗΣ"</f>
        <v>ΣΑΛΑΜΙΝΟΣ 32 ΜΑΝΔΡΑ ΑΤΤΙΚΗΣ</v>
      </c>
      <c r="I7811">
        <v>19600</v>
      </c>
      <c r="J7811">
        <v>2105560338</v>
      </c>
      <c r="K7811">
        <v>6907591369</v>
      </c>
      <c r="M7811" t="s">
        <v>12276</v>
      </c>
      <c r="N7811" t="s">
        <v>337</v>
      </c>
      <c r="O7811" t="s">
        <v>338</v>
      </c>
      <c r="R7811" t="s">
        <v>121</v>
      </c>
      <c r="S7811">
        <v>1</v>
      </c>
      <c r="T7811" t="s">
        <v>8675</v>
      </c>
      <c r="U7811" s="1">
        <v>43348</v>
      </c>
      <c r="V7811" t="s">
        <v>5177</v>
      </c>
      <c r="W7811" t="s">
        <v>5178</v>
      </c>
      <c r="X7811" t="s">
        <v>58</v>
      </c>
      <c r="Y7811">
        <v>24</v>
      </c>
      <c r="Z7811" t="s">
        <v>59</v>
      </c>
      <c r="AA7811" t="s">
        <v>59</v>
      </c>
      <c r="AB7811" t="s">
        <v>59</v>
      </c>
      <c r="AD7811" t="s">
        <v>59</v>
      </c>
      <c r="AF7811" s="1">
        <v>43348</v>
      </c>
      <c r="AG7811" t="s">
        <v>8645</v>
      </c>
      <c r="AH7811" t="s">
        <v>8646</v>
      </c>
      <c r="AI7811" t="str">
        <f>"9320006"</f>
        <v>9320006</v>
      </c>
      <c r="AJ7811" t="s">
        <v>11919</v>
      </c>
      <c r="AK7811">
        <v>2842022359</v>
      </c>
      <c r="AL7811" t="s">
        <v>11920</v>
      </c>
      <c r="AM7811" t="s">
        <v>4513</v>
      </c>
      <c r="AN7811" t="s">
        <v>4519</v>
      </c>
      <c r="AO7811" t="s">
        <v>4519</v>
      </c>
      <c r="AP7811" t="s">
        <v>4519</v>
      </c>
      <c r="AQ7811">
        <v>4</v>
      </c>
      <c r="AR7811" t="s">
        <v>5177</v>
      </c>
      <c r="AS7811" t="s">
        <v>5178</v>
      </c>
      <c r="AT7811" t="s">
        <v>58</v>
      </c>
      <c r="AU7811" t="s">
        <v>8673</v>
      </c>
      <c r="AV7811" t="s">
        <v>132</v>
      </c>
      <c r="AW7811" s="1">
        <v>31666</v>
      </c>
      <c r="AX7811">
        <v>1</v>
      </c>
    </row>
    <row r="7812" spans="1:50">
      <c r="A7812">
        <v>595527</v>
      </c>
      <c r="B7812" t="str">
        <f>"100085971"</f>
        <v>100085971</v>
      </c>
      <c r="C7812" t="s">
        <v>50</v>
      </c>
      <c r="D7812" t="s">
        <v>7485</v>
      </c>
      <c r="E7812" t="s">
        <v>83</v>
      </c>
      <c r="F7812" t="s">
        <v>53</v>
      </c>
      <c r="G7812" t="s">
        <v>964</v>
      </c>
      <c r="H7812" t="str">
        <f>"ΜΑΚΡΥΣ ΓΙΑΛΟΣ ΙΕΡΑΠΕΤΡΑ"</f>
        <v>ΜΑΚΡΥΣ ΓΙΑΛΟΣ ΙΕΡΑΠΕΤΡΑ</v>
      </c>
      <c r="I7812">
        <v>72055</v>
      </c>
      <c r="J7812">
        <v>2843051023</v>
      </c>
      <c r="K7812">
        <v>6972571889</v>
      </c>
      <c r="M7812" t="s">
        <v>12277</v>
      </c>
      <c r="N7812" t="s">
        <v>1525</v>
      </c>
      <c r="O7812" t="s">
        <v>1526</v>
      </c>
      <c r="R7812" t="s">
        <v>57</v>
      </c>
      <c r="S7812">
        <v>9</v>
      </c>
      <c r="T7812">
        <v>218</v>
      </c>
      <c r="U7812" s="1">
        <v>37134</v>
      </c>
      <c r="V7812" t="s">
        <v>5177</v>
      </c>
      <c r="W7812" t="s">
        <v>5178</v>
      </c>
      <c r="X7812" t="s">
        <v>58</v>
      </c>
      <c r="Y7812">
        <v>25</v>
      </c>
      <c r="Z7812" t="s">
        <v>59</v>
      </c>
      <c r="AA7812" t="s">
        <v>59</v>
      </c>
      <c r="AB7812" t="s">
        <v>59</v>
      </c>
      <c r="AC7812" t="s">
        <v>59</v>
      </c>
      <c r="AD7812" t="s">
        <v>59</v>
      </c>
      <c r="AF7812" s="1">
        <v>37138</v>
      </c>
      <c r="AG7812" t="s">
        <v>8651</v>
      </c>
      <c r="AH7812" t="s">
        <v>8652</v>
      </c>
      <c r="AI7812" t="str">
        <f>"9320206"</f>
        <v>9320206</v>
      </c>
      <c r="AJ7812" t="s">
        <v>12210</v>
      </c>
      <c r="AK7812">
        <v>2843051143</v>
      </c>
      <c r="AL7812" t="s">
        <v>12211</v>
      </c>
      <c r="AM7812" t="s">
        <v>4513</v>
      </c>
      <c r="AN7812" t="s">
        <v>4519</v>
      </c>
      <c r="AO7812" t="s">
        <v>4766</v>
      </c>
      <c r="AP7812" t="s">
        <v>12055</v>
      </c>
      <c r="AQ7812">
        <v>6</v>
      </c>
      <c r="AR7812" t="s">
        <v>5177</v>
      </c>
      <c r="AS7812" t="s">
        <v>5178</v>
      </c>
      <c r="AT7812" t="s">
        <v>58</v>
      </c>
      <c r="AU7812" t="s">
        <v>68</v>
      </c>
      <c r="AV7812" t="s">
        <v>69</v>
      </c>
      <c r="AW7812" s="1">
        <v>25267</v>
      </c>
      <c r="AX7812">
        <v>1</v>
      </c>
    </row>
    <row r="7813" spans="1:50">
      <c r="A7813">
        <v>224970</v>
      </c>
      <c r="B7813" t="str">
        <f>"052012776"</f>
        <v>052012776</v>
      </c>
      <c r="C7813" t="s">
        <v>50</v>
      </c>
      <c r="D7813" t="s">
        <v>12278</v>
      </c>
      <c r="E7813" t="s">
        <v>103</v>
      </c>
      <c r="F7813" t="s">
        <v>920</v>
      </c>
      <c r="G7813" t="s">
        <v>1355</v>
      </c>
      <c r="H7813" t="str">
        <f>" "</f>
        <v xml:space="preserve"> </v>
      </c>
      <c r="J7813">
        <v>2843051804</v>
      </c>
      <c r="K7813">
        <v>6973561981</v>
      </c>
      <c r="N7813" t="s">
        <v>176</v>
      </c>
      <c r="O7813" t="s">
        <v>177</v>
      </c>
      <c r="R7813" t="s">
        <v>57</v>
      </c>
      <c r="S7813">
        <v>7</v>
      </c>
      <c r="T7813">
        <v>775</v>
      </c>
      <c r="U7813" s="1">
        <v>39680</v>
      </c>
      <c r="V7813" t="s">
        <v>5177</v>
      </c>
      <c r="W7813" t="s">
        <v>5178</v>
      </c>
      <c r="X7813" t="s">
        <v>58</v>
      </c>
      <c r="Y7813">
        <v>22</v>
      </c>
      <c r="Z7813" t="s">
        <v>59</v>
      </c>
      <c r="AA7813" t="s">
        <v>59</v>
      </c>
      <c r="AB7813" t="s">
        <v>59</v>
      </c>
      <c r="AC7813" t="s">
        <v>59</v>
      </c>
      <c r="AD7813" t="s">
        <v>59</v>
      </c>
      <c r="AF7813" s="1">
        <v>39681</v>
      </c>
      <c r="AG7813" t="s">
        <v>8645</v>
      </c>
      <c r="AH7813" t="s">
        <v>8646</v>
      </c>
      <c r="AI7813" t="str">
        <f>"9320163"</f>
        <v>9320163</v>
      </c>
      <c r="AJ7813" t="s">
        <v>12012</v>
      </c>
      <c r="AK7813">
        <v>2842024595</v>
      </c>
      <c r="AL7813" t="s">
        <v>12013</v>
      </c>
      <c r="AM7813" t="s">
        <v>4513</v>
      </c>
      <c r="AN7813" t="s">
        <v>4519</v>
      </c>
      <c r="AO7813" t="s">
        <v>4519</v>
      </c>
      <c r="AP7813" t="s">
        <v>4519</v>
      </c>
      <c r="AQ7813">
        <v>4</v>
      </c>
      <c r="AR7813" t="s">
        <v>5177</v>
      </c>
      <c r="AS7813" t="s">
        <v>5178</v>
      </c>
      <c r="AT7813" t="s">
        <v>58</v>
      </c>
      <c r="AU7813" t="s">
        <v>68</v>
      </c>
      <c r="AV7813" t="s">
        <v>69</v>
      </c>
      <c r="AW7813" s="1">
        <v>25843</v>
      </c>
      <c r="AX7813">
        <v>1</v>
      </c>
    </row>
    <row r="7814" spans="1:50">
      <c r="A7814">
        <v>568792</v>
      </c>
      <c r="B7814" t="str">
        <f>"110265418"</f>
        <v>110265418</v>
      </c>
      <c r="C7814" t="s">
        <v>50</v>
      </c>
      <c r="D7814" t="s">
        <v>10249</v>
      </c>
      <c r="E7814" t="s">
        <v>11874</v>
      </c>
      <c r="F7814" t="s">
        <v>84</v>
      </c>
      <c r="G7814" t="s">
        <v>52</v>
      </c>
      <c r="H7814" t="str">
        <f>"ΚΥΠΡΟΥ 46 ΙΕΡΑΠΕΤΡΑ"</f>
        <v>ΚΥΠΡΟΥ 46 ΙΕΡΑΠΕΤΡΑ</v>
      </c>
      <c r="I7814">
        <v>72200</v>
      </c>
      <c r="J7814">
        <v>2842025253</v>
      </c>
      <c r="N7814" t="s">
        <v>615</v>
      </c>
      <c r="O7814" t="s">
        <v>616</v>
      </c>
      <c r="R7814" t="s">
        <v>57</v>
      </c>
      <c r="S7814">
        <v>14</v>
      </c>
      <c r="T7814">
        <v>162</v>
      </c>
      <c r="U7814" s="1">
        <v>33844</v>
      </c>
      <c r="V7814" t="s">
        <v>5177</v>
      </c>
      <c r="W7814" t="s">
        <v>5178</v>
      </c>
      <c r="X7814" t="s">
        <v>58</v>
      </c>
      <c r="Y7814">
        <v>21</v>
      </c>
      <c r="Z7814" t="s">
        <v>59</v>
      </c>
      <c r="AA7814" t="s">
        <v>59</v>
      </c>
      <c r="AB7814" t="s">
        <v>59</v>
      </c>
      <c r="AC7814" t="s">
        <v>59</v>
      </c>
      <c r="AD7814" t="s">
        <v>59</v>
      </c>
      <c r="AF7814" s="1">
        <v>33848</v>
      </c>
      <c r="AG7814" t="s">
        <v>8645</v>
      </c>
      <c r="AH7814" t="s">
        <v>8646</v>
      </c>
      <c r="AI7814" t="str">
        <f>"9320005"</f>
        <v>9320005</v>
      </c>
      <c r="AJ7814" t="s">
        <v>12004</v>
      </c>
      <c r="AK7814">
        <v>2842022202</v>
      </c>
      <c r="AL7814" t="s">
        <v>12005</v>
      </c>
      <c r="AM7814" t="s">
        <v>4513</v>
      </c>
      <c r="AN7814" t="s">
        <v>4519</v>
      </c>
      <c r="AO7814" t="s">
        <v>4519</v>
      </c>
      <c r="AP7814" t="s">
        <v>4519</v>
      </c>
      <c r="AQ7814">
        <v>4</v>
      </c>
      <c r="AR7814" t="s">
        <v>5177</v>
      </c>
      <c r="AS7814" t="s">
        <v>5178</v>
      </c>
      <c r="AT7814" t="s">
        <v>58</v>
      </c>
      <c r="AU7814" t="s">
        <v>68</v>
      </c>
      <c r="AV7814" t="s">
        <v>69</v>
      </c>
      <c r="AW7814" s="1">
        <v>23994</v>
      </c>
      <c r="AX7814">
        <v>1</v>
      </c>
    </row>
    <row r="7815" spans="1:50">
      <c r="B7815" t="str">
        <f>"134598858"</f>
        <v>134598858</v>
      </c>
      <c r="C7815" t="s">
        <v>105</v>
      </c>
      <c r="D7815" t="s">
        <v>12279</v>
      </c>
      <c r="E7815" t="s">
        <v>12280</v>
      </c>
      <c r="F7815" t="s">
        <v>84</v>
      </c>
      <c r="G7815" t="s">
        <v>541</v>
      </c>
      <c r="H7815" t="str">
        <f>"ΧΩΡΙΣΤΗ "</f>
        <v xml:space="preserve">ΧΩΡΙΣΤΗ </v>
      </c>
      <c r="I7815">
        <v>66100</v>
      </c>
      <c r="J7815">
        <v>2521042595</v>
      </c>
      <c r="K7815">
        <v>6977459860</v>
      </c>
      <c r="N7815" t="s">
        <v>615</v>
      </c>
      <c r="O7815" t="s">
        <v>616</v>
      </c>
      <c r="R7815" t="s">
        <v>159</v>
      </c>
      <c r="S7815">
        <v>3</v>
      </c>
      <c r="T7815" t="s">
        <v>8675</v>
      </c>
      <c r="U7815" s="1">
        <v>43348</v>
      </c>
      <c r="V7815" t="s">
        <v>5177</v>
      </c>
      <c r="W7815" t="s">
        <v>5178</v>
      </c>
      <c r="X7815" t="s">
        <v>58</v>
      </c>
      <c r="Y7815">
        <v>25</v>
      </c>
      <c r="Z7815" t="s">
        <v>59</v>
      </c>
      <c r="AA7815" t="s">
        <v>59</v>
      </c>
      <c r="AB7815" t="s">
        <v>59</v>
      </c>
      <c r="AC7815" t="s">
        <v>59</v>
      </c>
      <c r="AD7815" t="s">
        <v>59</v>
      </c>
      <c r="AF7815" s="1">
        <v>43348</v>
      </c>
      <c r="AG7815" t="s">
        <v>8645</v>
      </c>
      <c r="AH7815" t="s">
        <v>8676</v>
      </c>
      <c r="AI7815" t="str">
        <f>"9320099"</f>
        <v>9320099</v>
      </c>
      <c r="AJ7815" t="s">
        <v>11881</v>
      </c>
      <c r="AK7815">
        <v>2843031331</v>
      </c>
      <c r="AL7815" t="s">
        <v>11882</v>
      </c>
      <c r="AM7815" t="s">
        <v>4513</v>
      </c>
      <c r="AN7815" t="s">
        <v>4540</v>
      </c>
      <c r="AO7815" t="s">
        <v>4547</v>
      </c>
      <c r="AP7815" t="s">
        <v>11883</v>
      </c>
      <c r="AQ7815">
        <v>11</v>
      </c>
      <c r="AR7815" t="s">
        <v>5177</v>
      </c>
      <c r="AS7815" t="s">
        <v>5178</v>
      </c>
      <c r="AT7815" t="s">
        <v>58</v>
      </c>
      <c r="AU7815" t="s">
        <v>8673</v>
      </c>
      <c r="AV7815" t="s">
        <v>132</v>
      </c>
      <c r="AW7815" s="1">
        <v>31512</v>
      </c>
      <c r="AX7815">
        <v>1</v>
      </c>
    </row>
    <row r="7816" spans="1:50">
      <c r="A7816">
        <v>553450</v>
      </c>
      <c r="B7816" t="str">
        <f>"029791102"</f>
        <v>029791102</v>
      </c>
      <c r="C7816" t="s">
        <v>105</v>
      </c>
      <c r="D7816" t="s">
        <v>7493</v>
      </c>
      <c r="E7816" t="s">
        <v>95</v>
      </c>
      <c r="F7816" t="s">
        <v>72</v>
      </c>
      <c r="G7816" t="s">
        <v>83</v>
      </c>
      <c r="H7816" t="str">
        <f>"Κ. ΠΑΛΑΙΟΛΟΓΟΥ 58 ΑΓΙΟΣ ΝΙΚΟΛΑΟΣ"</f>
        <v>Κ. ΠΑΛΑΙΟΛΟΓΟΥ 58 ΑΓΙΟΣ ΝΙΚΟΛΑΟΣ</v>
      </c>
      <c r="I7816">
        <v>72100</v>
      </c>
      <c r="J7816">
        <v>2841025684</v>
      </c>
      <c r="K7816">
        <v>6979027569</v>
      </c>
      <c r="M7816" t="s">
        <v>12281</v>
      </c>
      <c r="N7816" t="s">
        <v>615</v>
      </c>
      <c r="O7816" t="s">
        <v>616</v>
      </c>
      <c r="R7816" t="s">
        <v>57</v>
      </c>
      <c r="S7816">
        <v>16</v>
      </c>
      <c r="T7816">
        <v>235</v>
      </c>
      <c r="U7816" s="1">
        <v>31289</v>
      </c>
      <c r="V7816" t="s">
        <v>5177</v>
      </c>
      <c r="W7816" t="s">
        <v>5178</v>
      </c>
      <c r="X7816" t="s">
        <v>58</v>
      </c>
      <c r="Y7816">
        <v>21</v>
      </c>
      <c r="Z7816" t="s">
        <v>59</v>
      </c>
      <c r="AA7816" t="s">
        <v>59</v>
      </c>
      <c r="AB7816" t="s">
        <v>59</v>
      </c>
      <c r="AC7816" t="s">
        <v>59</v>
      </c>
      <c r="AD7816" t="s">
        <v>59</v>
      </c>
      <c r="AF7816" s="1">
        <v>31299</v>
      </c>
      <c r="AG7816" t="s">
        <v>8645</v>
      </c>
      <c r="AH7816" t="s">
        <v>8646</v>
      </c>
      <c r="AI7816" t="str">
        <f>"9320210"</f>
        <v>9320210</v>
      </c>
      <c r="AJ7816" t="s">
        <v>11890</v>
      </c>
      <c r="AK7816">
        <v>2841026705</v>
      </c>
      <c r="AL7816" t="s">
        <v>11891</v>
      </c>
      <c r="AM7816" t="s">
        <v>4513</v>
      </c>
      <c r="AN7816" t="s">
        <v>4514</v>
      </c>
      <c r="AO7816" t="s">
        <v>4514</v>
      </c>
      <c r="AP7816" t="s">
        <v>4514</v>
      </c>
      <c r="AQ7816">
        <v>1</v>
      </c>
      <c r="AR7816" t="s">
        <v>5177</v>
      </c>
      <c r="AS7816" t="s">
        <v>5178</v>
      </c>
      <c r="AT7816" t="s">
        <v>58</v>
      </c>
      <c r="AU7816" t="s">
        <v>68</v>
      </c>
      <c r="AV7816" t="s">
        <v>69</v>
      </c>
      <c r="AW7816" s="1">
        <v>22535</v>
      </c>
      <c r="AX7816">
        <v>1</v>
      </c>
    </row>
    <row r="7817" spans="1:50">
      <c r="A7817">
        <v>622842</v>
      </c>
      <c r="B7817" t="str">
        <f>"037856842"</f>
        <v>037856842</v>
      </c>
      <c r="C7817" t="s">
        <v>50</v>
      </c>
      <c r="D7817" t="s">
        <v>12282</v>
      </c>
      <c r="E7817" t="s">
        <v>237</v>
      </c>
      <c r="F7817" t="s">
        <v>202</v>
      </c>
      <c r="G7817" t="s">
        <v>4220</v>
      </c>
      <c r="H7817" t="str">
        <f>"ΑΝΑΠΑΥΣΕΩΣ(ΕΝΑΝΤΙ ΚΟΛΥΜΒΗΤΗΡΙΟΥ) ΑΓΙΟΣ ΝΙΚΟΛΑΟΣ"</f>
        <v>ΑΝΑΠΑΥΣΕΩΣ(ΕΝΑΝΤΙ ΚΟΛΥΜΒΗΤΗΡΙΟΥ) ΑΓΙΟΣ ΝΙΚΟΛΑΟΣ</v>
      </c>
      <c r="I7817">
        <v>72100</v>
      </c>
      <c r="J7817">
        <v>2841026310</v>
      </c>
      <c r="K7817">
        <v>6974421302</v>
      </c>
      <c r="N7817" t="s">
        <v>1525</v>
      </c>
      <c r="O7817" t="s">
        <v>1526</v>
      </c>
      <c r="R7817" t="s">
        <v>57</v>
      </c>
      <c r="S7817">
        <v>4</v>
      </c>
      <c r="T7817">
        <v>653</v>
      </c>
      <c r="U7817" s="1">
        <v>40043</v>
      </c>
      <c r="V7817" t="s">
        <v>5177</v>
      </c>
      <c r="W7817" t="s">
        <v>5178</v>
      </c>
      <c r="X7817" t="s">
        <v>58</v>
      </c>
      <c r="Y7817">
        <v>25</v>
      </c>
      <c r="Z7817" t="s">
        <v>59</v>
      </c>
      <c r="AA7817" t="s">
        <v>59</v>
      </c>
      <c r="AB7817" t="s">
        <v>59</v>
      </c>
      <c r="AC7817" t="s">
        <v>59</v>
      </c>
      <c r="AD7817" t="s">
        <v>59</v>
      </c>
      <c r="AF7817" s="1">
        <v>40043</v>
      </c>
      <c r="AG7817" t="s">
        <v>8651</v>
      </c>
      <c r="AH7817" t="s">
        <v>8652</v>
      </c>
      <c r="AI7817" t="str">
        <f>"9320222"</f>
        <v>9320222</v>
      </c>
      <c r="AJ7817" t="s">
        <v>12020</v>
      </c>
      <c r="AK7817">
        <v>2841022857</v>
      </c>
      <c r="AL7817" t="s">
        <v>12021</v>
      </c>
      <c r="AM7817" t="s">
        <v>4513</v>
      </c>
      <c r="AN7817" t="s">
        <v>4514</v>
      </c>
      <c r="AO7817" t="s">
        <v>4514</v>
      </c>
      <c r="AP7817" t="s">
        <v>4514</v>
      </c>
      <c r="AQ7817">
        <v>1</v>
      </c>
      <c r="AR7817" t="s">
        <v>5177</v>
      </c>
      <c r="AS7817" t="s">
        <v>5178</v>
      </c>
      <c r="AT7817" t="s">
        <v>58</v>
      </c>
      <c r="AU7817" t="s">
        <v>68</v>
      </c>
      <c r="AV7817" t="s">
        <v>69</v>
      </c>
      <c r="AW7817" s="1">
        <v>26429</v>
      </c>
      <c r="AX7817">
        <v>1</v>
      </c>
    </row>
    <row r="7818" spans="1:50">
      <c r="A7818">
        <v>595429</v>
      </c>
      <c r="B7818" t="str">
        <f>"078959800"</f>
        <v>078959800</v>
      </c>
      <c r="C7818" t="s">
        <v>50</v>
      </c>
      <c r="D7818" t="s">
        <v>7505</v>
      </c>
      <c r="E7818" t="s">
        <v>314</v>
      </c>
      <c r="F7818" t="s">
        <v>154</v>
      </c>
      <c r="G7818" t="s">
        <v>372</v>
      </c>
      <c r="H7818" t="str">
        <f>"ΔΑΙΔΑΛΟΥ 29 ΙΕΡΑΠΕΤΡΑ"</f>
        <v>ΔΑΙΔΑΛΟΥ 29 ΙΕΡΑΠΕΤΡΑ</v>
      </c>
      <c r="I7818">
        <v>72200</v>
      </c>
      <c r="J7818">
        <v>2842025996</v>
      </c>
      <c r="K7818">
        <v>6974963714</v>
      </c>
      <c r="N7818" t="s">
        <v>1525</v>
      </c>
      <c r="O7818" t="s">
        <v>1526</v>
      </c>
      <c r="R7818" t="s">
        <v>57</v>
      </c>
      <c r="S7818">
        <v>9</v>
      </c>
      <c r="T7818">
        <v>218</v>
      </c>
      <c r="U7818" s="1">
        <v>37134</v>
      </c>
      <c r="V7818" t="s">
        <v>5177</v>
      </c>
      <c r="W7818" t="s">
        <v>5178</v>
      </c>
      <c r="X7818" t="s">
        <v>58</v>
      </c>
      <c r="Y7818">
        <v>25</v>
      </c>
      <c r="Z7818" t="s">
        <v>59</v>
      </c>
      <c r="AA7818" t="s">
        <v>59</v>
      </c>
      <c r="AB7818" t="s">
        <v>59</v>
      </c>
      <c r="AC7818" t="s">
        <v>59</v>
      </c>
      <c r="AD7818" t="s">
        <v>59</v>
      </c>
      <c r="AF7818" s="1">
        <v>37137</v>
      </c>
      <c r="AG7818" t="s">
        <v>8651</v>
      </c>
      <c r="AH7818" t="s">
        <v>8652</v>
      </c>
      <c r="AI7818" t="str">
        <f>"9320146"</f>
        <v>9320146</v>
      </c>
      <c r="AJ7818" t="s">
        <v>11900</v>
      </c>
      <c r="AK7818">
        <v>2842024440</v>
      </c>
      <c r="AL7818" t="s">
        <v>11901</v>
      </c>
      <c r="AM7818" t="s">
        <v>4513</v>
      </c>
      <c r="AN7818" t="s">
        <v>4519</v>
      </c>
      <c r="AO7818" t="s">
        <v>4519</v>
      </c>
      <c r="AP7818" t="s">
        <v>4519</v>
      </c>
      <c r="AQ7818">
        <v>4</v>
      </c>
      <c r="AR7818" t="s">
        <v>5177</v>
      </c>
      <c r="AS7818" t="s">
        <v>5178</v>
      </c>
      <c r="AT7818" t="s">
        <v>58</v>
      </c>
      <c r="AU7818" t="s">
        <v>68</v>
      </c>
      <c r="AV7818" t="s">
        <v>69</v>
      </c>
      <c r="AW7818" s="1">
        <v>27566</v>
      </c>
      <c r="AX7818">
        <v>1</v>
      </c>
    </row>
    <row r="7819" spans="1:50">
      <c r="A7819">
        <v>619942</v>
      </c>
      <c r="B7819" t="str">
        <f>"073208111"</f>
        <v>073208111</v>
      </c>
      <c r="C7819" t="s">
        <v>50</v>
      </c>
      <c r="D7819" t="s">
        <v>12283</v>
      </c>
      <c r="E7819" t="s">
        <v>54</v>
      </c>
      <c r="F7819" t="s">
        <v>84</v>
      </c>
      <c r="G7819" t="s">
        <v>710</v>
      </c>
      <c r="H7819" t="str">
        <f>"ΡΟΔΟΥ 2 ΘΕΣΣΑΛΟΝΙΚΗ"</f>
        <v>ΡΟΔΟΥ 2 ΘΕΣΣΑΛΟΝΙΚΗ</v>
      </c>
      <c r="I7819">
        <v>56430</v>
      </c>
      <c r="J7819">
        <v>2310653922</v>
      </c>
      <c r="K7819">
        <v>6946706041</v>
      </c>
      <c r="N7819" t="s">
        <v>176</v>
      </c>
      <c r="O7819" t="s">
        <v>177</v>
      </c>
      <c r="R7819" t="s">
        <v>57</v>
      </c>
      <c r="S7819">
        <v>6</v>
      </c>
      <c r="T7819">
        <v>775</v>
      </c>
      <c r="U7819" s="1">
        <v>39680</v>
      </c>
      <c r="V7819" t="s">
        <v>5177</v>
      </c>
      <c r="W7819" t="s">
        <v>5178</v>
      </c>
      <c r="X7819" t="s">
        <v>58</v>
      </c>
      <c r="Y7819">
        <v>23</v>
      </c>
      <c r="Z7819" t="s">
        <v>59</v>
      </c>
      <c r="AA7819" t="s">
        <v>59</v>
      </c>
      <c r="AB7819" t="s">
        <v>59</v>
      </c>
      <c r="AC7819" t="s">
        <v>59</v>
      </c>
      <c r="AD7819" t="s">
        <v>59</v>
      </c>
      <c r="AF7819" s="1">
        <v>39685</v>
      </c>
      <c r="AG7819" t="s">
        <v>8645</v>
      </c>
      <c r="AH7819" t="s">
        <v>8646</v>
      </c>
      <c r="AI7819" t="str">
        <f>"9320003"</f>
        <v>9320003</v>
      </c>
      <c r="AJ7819" t="s">
        <v>11886</v>
      </c>
      <c r="AK7819">
        <v>2842089830</v>
      </c>
      <c r="AL7819" t="s">
        <v>11887</v>
      </c>
      <c r="AM7819" t="s">
        <v>4513</v>
      </c>
      <c r="AN7819" t="s">
        <v>4519</v>
      </c>
      <c r="AO7819" t="s">
        <v>4519</v>
      </c>
      <c r="AP7819" t="s">
        <v>4519</v>
      </c>
      <c r="AQ7819">
        <v>4</v>
      </c>
      <c r="AR7819" t="s">
        <v>5177</v>
      </c>
      <c r="AS7819" t="s">
        <v>5178</v>
      </c>
      <c r="AT7819" t="s">
        <v>58</v>
      </c>
      <c r="AU7819" t="s">
        <v>68</v>
      </c>
      <c r="AV7819" t="s">
        <v>69</v>
      </c>
      <c r="AW7819" s="1">
        <v>26594</v>
      </c>
      <c r="AX7819">
        <v>1</v>
      </c>
    </row>
    <row r="7820" spans="1:50">
      <c r="A7820">
        <v>613734</v>
      </c>
      <c r="B7820" t="str">
        <f>"049476523"</f>
        <v>049476523</v>
      </c>
      <c r="C7820" t="s">
        <v>50</v>
      </c>
      <c r="D7820" t="s">
        <v>10269</v>
      </c>
      <c r="E7820" t="s">
        <v>215</v>
      </c>
      <c r="F7820" t="s">
        <v>95</v>
      </c>
      <c r="G7820" t="s">
        <v>3297</v>
      </c>
      <c r="H7820" t="str">
        <f>"ΣΟΥΛΙΟΥ 25 ΑΓΙΟΣ ΝΙΚΟΛΑΟΣ"</f>
        <v>ΣΟΥΛΙΟΥ 25 ΑΓΙΟΣ ΝΙΚΟΛΑΟΣ</v>
      </c>
      <c r="I7820">
        <v>72100</v>
      </c>
      <c r="J7820">
        <v>2841023969</v>
      </c>
      <c r="K7820">
        <v>6947435336</v>
      </c>
      <c r="N7820" t="s">
        <v>615</v>
      </c>
      <c r="O7820" t="s">
        <v>616</v>
      </c>
      <c r="R7820" t="s">
        <v>57</v>
      </c>
      <c r="S7820">
        <v>6</v>
      </c>
      <c r="T7820">
        <v>598</v>
      </c>
      <c r="U7820" s="1">
        <v>39310</v>
      </c>
      <c r="V7820" t="s">
        <v>5177</v>
      </c>
      <c r="W7820" t="s">
        <v>5178</v>
      </c>
      <c r="X7820" t="s">
        <v>58</v>
      </c>
      <c r="Y7820">
        <v>23</v>
      </c>
      <c r="Z7820" t="s">
        <v>59</v>
      </c>
      <c r="AA7820" t="s">
        <v>59</v>
      </c>
      <c r="AB7820" t="s">
        <v>59</v>
      </c>
      <c r="AC7820" t="s">
        <v>59</v>
      </c>
      <c r="AD7820" t="s">
        <v>59</v>
      </c>
      <c r="AF7820" s="1">
        <v>39328</v>
      </c>
      <c r="AG7820" t="s">
        <v>8645</v>
      </c>
      <c r="AH7820" t="s">
        <v>8646</v>
      </c>
      <c r="AI7820" t="str">
        <f>"9320138"</f>
        <v>9320138</v>
      </c>
      <c r="AJ7820" t="s">
        <v>11915</v>
      </c>
      <c r="AK7820">
        <v>2841022104</v>
      </c>
      <c r="AL7820" t="s">
        <v>11916</v>
      </c>
      <c r="AM7820" t="s">
        <v>4513</v>
      </c>
      <c r="AN7820" t="s">
        <v>4514</v>
      </c>
      <c r="AO7820" t="s">
        <v>4514</v>
      </c>
      <c r="AP7820" t="s">
        <v>4514</v>
      </c>
      <c r="AQ7820">
        <v>1</v>
      </c>
      <c r="AR7820" t="s">
        <v>5177</v>
      </c>
      <c r="AS7820" t="s">
        <v>5178</v>
      </c>
      <c r="AT7820" t="s">
        <v>58</v>
      </c>
      <c r="AU7820" t="s">
        <v>68</v>
      </c>
      <c r="AV7820" t="s">
        <v>69</v>
      </c>
      <c r="AW7820" s="1">
        <v>27585</v>
      </c>
      <c r="AX7820">
        <v>1</v>
      </c>
    </row>
    <row r="7821" spans="1:50">
      <c r="B7821" t="str">
        <f>"300982013"</f>
        <v>300982013</v>
      </c>
      <c r="C7821" t="s">
        <v>50</v>
      </c>
      <c r="D7821" t="s">
        <v>12284</v>
      </c>
      <c r="E7821" t="s">
        <v>52</v>
      </c>
      <c r="F7821" t="s">
        <v>581</v>
      </c>
      <c r="G7821" t="s">
        <v>12285</v>
      </c>
      <c r="H7821" t="str">
        <f>" "</f>
        <v xml:space="preserve"> </v>
      </c>
      <c r="N7821" t="s">
        <v>683</v>
      </c>
      <c r="O7821" t="s">
        <v>684</v>
      </c>
      <c r="R7821" t="s">
        <v>121</v>
      </c>
      <c r="S7821">
        <v>1</v>
      </c>
      <c r="T7821" t="s">
        <v>8675</v>
      </c>
      <c r="U7821" s="1">
        <v>43348</v>
      </c>
      <c r="V7821" t="s">
        <v>5177</v>
      </c>
      <c r="W7821" t="s">
        <v>5178</v>
      </c>
      <c r="X7821" t="s">
        <v>58</v>
      </c>
      <c r="Y7821">
        <v>24</v>
      </c>
      <c r="Z7821" t="s">
        <v>59</v>
      </c>
      <c r="AD7821" t="s">
        <v>59</v>
      </c>
      <c r="AF7821" s="1">
        <v>43348</v>
      </c>
      <c r="AG7821" t="s">
        <v>8645</v>
      </c>
      <c r="AH7821" t="s">
        <v>8646</v>
      </c>
      <c r="AI7821" t="str">
        <f>"9320063"</f>
        <v>9320063</v>
      </c>
      <c r="AJ7821" t="s">
        <v>12026</v>
      </c>
      <c r="AK7821">
        <v>2841032369</v>
      </c>
      <c r="AL7821" t="s">
        <v>12027</v>
      </c>
      <c r="AM7821" t="s">
        <v>4513</v>
      </c>
      <c r="AN7821" t="s">
        <v>4514</v>
      </c>
      <c r="AO7821" t="s">
        <v>4524</v>
      </c>
      <c r="AP7821" t="s">
        <v>4525</v>
      </c>
      <c r="AQ7821">
        <v>1</v>
      </c>
      <c r="AR7821" t="s">
        <v>5177</v>
      </c>
      <c r="AS7821" t="s">
        <v>5178</v>
      </c>
      <c r="AT7821" t="s">
        <v>58</v>
      </c>
      <c r="AU7821" t="s">
        <v>8673</v>
      </c>
      <c r="AV7821" t="s">
        <v>132</v>
      </c>
      <c r="AW7821" s="1">
        <v>34322</v>
      </c>
      <c r="AX7821">
        <v>1</v>
      </c>
    </row>
    <row r="7822" spans="1:50">
      <c r="A7822">
        <v>589821</v>
      </c>
      <c r="B7822" t="str">
        <f>"042112442"</f>
        <v>042112442</v>
      </c>
      <c r="C7822" t="s">
        <v>50</v>
      </c>
      <c r="D7822" t="s">
        <v>6109</v>
      </c>
      <c r="E7822" t="s">
        <v>52</v>
      </c>
      <c r="F7822" t="s">
        <v>72</v>
      </c>
      <c r="G7822" t="s">
        <v>255</v>
      </c>
      <c r="H7822" t="str">
        <f>"ΡΟΥΣΕΛΑΚΗ 21 ΣΗΤΕΙΑ"</f>
        <v>ΡΟΥΣΕΛΑΚΗ 21 ΣΗΤΕΙΑ</v>
      </c>
      <c r="I7822">
        <v>72300</v>
      </c>
      <c r="J7822">
        <v>2843024465</v>
      </c>
      <c r="K7822">
        <v>6978647542</v>
      </c>
      <c r="N7822" t="s">
        <v>1525</v>
      </c>
      <c r="O7822" t="s">
        <v>1526</v>
      </c>
      <c r="R7822" t="s">
        <v>57</v>
      </c>
      <c r="S7822">
        <v>9</v>
      </c>
      <c r="T7822">
        <v>176</v>
      </c>
      <c r="U7822" s="1">
        <v>36403</v>
      </c>
      <c r="V7822" t="s">
        <v>5177</v>
      </c>
      <c r="W7822" t="s">
        <v>5178</v>
      </c>
      <c r="X7822" t="s">
        <v>58</v>
      </c>
      <c r="Y7822">
        <v>25</v>
      </c>
      <c r="Z7822" t="s">
        <v>59</v>
      </c>
      <c r="AA7822" t="s">
        <v>59</v>
      </c>
      <c r="AB7822" t="s">
        <v>59</v>
      </c>
      <c r="AC7822" t="s">
        <v>59</v>
      </c>
      <c r="AD7822" t="s">
        <v>59</v>
      </c>
      <c r="AF7822" s="1">
        <v>36405</v>
      </c>
      <c r="AG7822" t="s">
        <v>8651</v>
      </c>
      <c r="AH7822" t="s">
        <v>8652</v>
      </c>
      <c r="AI7822" t="str">
        <f>"9320224"</f>
        <v>9320224</v>
      </c>
      <c r="AJ7822" t="s">
        <v>12269</v>
      </c>
      <c r="AK7822">
        <v>2843022656</v>
      </c>
      <c r="AL7822" t="s">
        <v>12270</v>
      </c>
      <c r="AM7822" t="s">
        <v>4513</v>
      </c>
      <c r="AN7822" t="s">
        <v>4540</v>
      </c>
      <c r="AO7822" t="s">
        <v>4540</v>
      </c>
      <c r="AP7822" t="s">
        <v>4540</v>
      </c>
      <c r="AQ7822">
        <v>8</v>
      </c>
      <c r="AR7822" t="s">
        <v>5177</v>
      </c>
      <c r="AS7822" t="s">
        <v>5178</v>
      </c>
      <c r="AT7822" t="s">
        <v>58</v>
      </c>
      <c r="AU7822" t="s">
        <v>68</v>
      </c>
      <c r="AV7822" t="s">
        <v>69</v>
      </c>
      <c r="AW7822" s="1">
        <v>24060</v>
      </c>
      <c r="AX7822">
        <v>1</v>
      </c>
    </row>
    <row r="7823" spans="1:50">
      <c r="A7823">
        <v>574120</v>
      </c>
      <c r="B7823" t="str">
        <f>"037496021"</f>
        <v>037496021</v>
      </c>
      <c r="C7823" t="s">
        <v>105</v>
      </c>
      <c r="D7823" t="s">
        <v>12286</v>
      </c>
      <c r="E7823" t="s">
        <v>99</v>
      </c>
      <c r="F7823" t="s">
        <v>377</v>
      </c>
      <c r="G7823" t="s">
        <v>181</v>
      </c>
      <c r="H7823" t="str">
        <f>"Ι. ΚΟΖΥΡΗ 7 ΑΓΙΟΣ ΝΙΚΟΛΑΟΣ"</f>
        <v>Ι. ΚΟΖΥΡΗ 7 ΑΓΙΟΣ ΝΙΚΟΛΑΟΣ</v>
      </c>
      <c r="I7823">
        <v>72100</v>
      </c>
      <c r="J7823">
        <v>2841082463</v>
      </c>
      <c r="K7823">
        <v>6944764199</v>
      </c>
      <c r="N7823" t="s">
        <v>615</v>
      </c>
      <c r="O7823" t="s">
        <v>616</v>
      </c>
      <c r="R7823" t="s">
        <v>57</v>
      </c>
      <c r="S7823">
        <v>13</v>
      </c>
      <c r="T7823">
        <v>160</v>
      </c>
      <c r="U7823" s="1">
        <v>34582</v>
      </c>
      <c r="V7823" t="s">
        <v>5177</v>
      </c>
      <c r="W7823" t="s">
        <v>5178</v>
      </c>
      <c r="X7823" t="s">
        <v>58</v>
      </c>
      <c r="Y7823">
        <v>21</v>
      </c>
      <c r="Z7823" t="s">
        <v>59</v>
      </c>
      <c r="AA7823" t="s">
        <v>59</v>
      </c>
      <c r="AB7823" t="s">
        <v>59</v>
      </c>
      <c r="AC7823" t="s">
        <v>59</v>
      </c>
      <c r="AD7823" t="s">
        <v>59</v>
      </c>
      <c r="AF7823" s="1">
        <v>34582</v>
      </c>
      <c r="AG7823" t="s">
        <v>8645</v>
      </c>
      <c r="AH7823" t="s">
        <v>8646</v>
      </c>
      <c r="AI7823" t="str">
        <f>"9320055"</f>
        <v>9320055</v>
      </c>
      <c r="AJ7823" t="s">
        <v>11937</v>
      </c>
      <c r="AK7823">
        <v>2841022326</v>
      </c>
      <c r="AL7823" t="s">
        <v>11938</v>
      </c>
      <c r="AM7823" t="s">
        <v>4513</v>
      </c>
      <c r="AN7823" t="s">
        <v>4514</v>
      </c>
      <c r="AO7823" t="s">
        <v>4514</v>
      </c>
      <c r="AP7823" t="s">
        <v>4514</v>
      </c>
      <c r="AQ7823">
        <v>1</v>
      </c>
      <c r="AR7823" t="s">
        <v>5177</v>
      </c>
      <c r="AS7823" t="s">
        <v>5178</v>
      </c>
      <c r="AT7823" t="s">
        <v>58</v>
      </c>
      <c r="AU7823" t="s">
        <v>68</v>
      </c>
      <c r="AV7823" t="s">
        <v>69</v>
      </c>
      <c r="AW7823" s="1">
        <v>23811</v>
      </c>
      <c r="AX7823">
        <v>1</v>
      </c>
    </row>
    <row r="7824" spans="1:50">
      <c r="B7824" t="str">
        <f>"077226107"</f>
        <v>077226107</v>
      </c>
      <c r="C7824" t="s">
        <v>105</v>
      </c>
      <c r="D7824" t="s">
        <v>12286</v>
      </c>
      <c r="E7824" t="s">
        <v>1093</v>
      </c>
      <c r="F7824" t="s">
        <v>72</v>
      </c>
      <c r="G7824" t="s">
        <v>372</v>
      </c>
      <c r="H7824" t="str">
        <f>"Κ.ΣΦΑΚΙΑΝΑΚΗ 13 ΑΓΙΟΣ ΝΙΚΟΛΑΟΣ"</f>
        <v>Κ.ΣΦΑΚΙΑΝΑΚΗ 13 ΑΓΙΟΣ ΝΙΚΟΛΑΟΣ</v>
      </c>
      <c r="I7824">
        <v>72100</v>
      </c>
      <c r="J7824">
        <v>2841028454</v>
      </c>
      <c r="K7824">
        <v>6974710062</v>
      </c>
      <c r="N7824" t="s">
        <v>384</v>
      </c>
      <c r="O7824" t="s">
        <v>385</v>
      </c>
      <c r="R7824" t="s">
        <v>159</v>
      </c>
      <c r="S7824">
        <v>5</v>
      </c>
      <c r="T7824" t="s">
        <v>8675</v>
      </c>
      <c r="U7824" s="1">
        <v>43348</v>
      </c>
      <c r="V7824" t="s">
        <v>5177</v>
      </c>
      <c r="W7824" t="s">
        <v>5178</v>
      </c>
      <c r="X7824" t="s">
        <v>58</v>
      </c>
      <c r="Y7824">
        <v>24</v>
      </c>
      <c r="Z7824" t="s">
        <v>59</v>
      </c>
      <c r="AA7824" t="s">
        <v>59</v>
      </c>
      <c r="AB7824" t="s">
        <v>59</v>
      </c>
      <c r="AC7824" t="s">
        <v>59</v>
      </c>
      <c r="AD7824" t="s">
        <v>59</v>
      </c>
      <c r="AF7824" s="1">
        <v>43348</v>
      </c>
      <c r="AG7824" t="s">
        <v>8645</v>
      </c>
      <c r="AH7824" t="s">
        <v>8646</v>
      </c>
      <c r="AI7824" t="str">
        <f>"9320055"</f>
        <v>9320055</v>
      </c>
      <c r="AJ7824" t="s">
        <v>11937</v>
      </c>
      <c r="AK7824">
        <v>2841022326</v>
      </c>
      <c r="AL7824" t="s">
        <v>11938</v>
      </c>
      <c r="AM7824" t="s">
        <v>4513</v>
      </c>
      <c r="AN7824" t="s">
        <v>4514</v>
      </c>
      <c r="AO7824" t="s">
        <v>4514</v>
      </c>
      <c r="AP7824" t="s">
        <v>4514</v>
      </c>
      <c r="AQ7824">
        <v>1</v>
      </c>
      <c r="AR7824" t="s">
        <v>5177</v>
      </c>
      <c r="AS7824" t="s">
        <v>5178</v>
      </c>
      <c r="AT7824" t="s">
        <v>58</v>
      </c>
      <c r="AU7824" t="s">
        <v>8673</v>
      </c>
      <c r="AV7824" t="s">
        <v>132</v>
      </c>
      <c r="AW7824" s="1">
        <v>28249</v>
      </c>
      <c r="AX7824">
        <v>1</v>
      </c>
    </row>
    <row r="7825" spans="1:50">
      <c r="A7825">
        <v>582995</v>
      </c>
      <c r="B7825" t="str">
        <f>"044068803"</f>
        <v>044068803</v>
      </c>
      <c r="C7825" t="s">
        <v>50</v>
      </c>
      <c r="D7825" t="s">
        <v>12287</v>
      </c>
      <c r="E7825" t="s">
        <v>83</v>
      </c>
      <c r="F7825" t="s">
        <v>166</v>
      </c>
      <c r="G7825" t="s">
        <v>52</v>
      </c>
      <c r="H7825" t="str">
        <f>"ΚΥΠΡΟΥ 10 ΙΕΡΑΠΕΤΡΑ"</f>
        <v>ΚΥΠΡΟΥ 10 ΙΕΡΑΠΕΤΡΑ</v>
      </c>
      <c r="I7825">
        <v>72200</v>
      </c>
      <c r="J7825">
        <v>2842028718</v>
      </c>
      <c r="K7825">
        <v>6974711746</v>
      </c>
      <c r="M7825" t="s">
        <v>12288</v>
      </c>
      <c r="N7825" t="s">
        <v>1525</v>
      </c>
      <c r="O7825" t="s">
        <v>1526</v>
      </c>
      <c r="R7825" t="s">
        <v>57</v>
      </c>
      <c r="S7825">
        <v>10</v>
      </c>
      <c r="T7825">
        <v>179</v>
      </c>
      <c r="U7825" s="1">
        <v>35674</v>
      </c>
      <c r="V7825" t="s">
        <v>5177</v>
      </c>
      <c r="W7825" t="s">
        <v>5178</v>
      </c>
      <c r="X7825" t="s">
        <v>58</v>
      </c>
      <c r="Y7825">
        <v>25</v>
      </c>
      <c r="Z7825" t="s">
        <v>59</v>
      </c>
      <c r="AA7825" t="s">
        <v>59</v>
      </c>
      <c r="AB7825" t="s">
        <v>59</v>
      </c>
      <c r="AC7825" t="s">
        <v>59</v>
      </c>
      <c r="AD7825" t="s">
        <v>59</v>
      </c>
      <c r="AF7825" s="1">
        <v>35675</v>
      </c>
      <c r="AG7825" t="s">
        <v>8651</v>
      </c>
      <c r="AH7825" t="s">
        <v>8652</v>
      </c>
      <c r="AI7825" t="str">
        <f>"9320004"</f>
        <v>9320004</v>
      </c>
      <c r="AJ7825" t="s">
        <v>12289</v>
      </c>
      <c r="AK7825">
        <v>2842023709</v>
      </c>
      <c r="AL7825" t="s">
        <v>12290</v>
      </c>
      <c r="AM7825" t="s">
        <v>4513</v>
      </c>
      <c r="AN7825" t="s">
        <v>4519</v>
      </c>
      <c r="AO7825" t="s">
        <v>4519</v>
      </c>
      <c r="AP7825" t="s">
        <v>4519</v>
      </c>
      <c r="AQ7825">
        <v>4</v>
      </c>
      <c r="AR7825" t="s">
        <v>5177</v>
      </c>
      <c r="AS7825" t="s">
        <v>5178</v>
      </c>
      <c r="AT7825" t="s">
        <v>58</v>
      </c>
      <c r="AU7825" t="s">
        <v>68</v>
      </c>
      <c r="AV7825" t="s">
        <v>69</v>
      </c>
      <c r="AW7825" s="1">
        <v>23687</v>
      </c>
      <c r="AX7825">
        <v>1</v>
      </c>
    </row>
    <row r="7826" spans="1:50">
      <c r="B7826" t="str">
        <f>"140020402"</f>
        <v>140020402</v>
      </c>
      <c r="C7826" t="s">
        <v>50</v>
      </c>
      <c r="D7826" t="s">
        <v>12287</v>
      </c>
      <c r="E7826" t="s">
        <v>52</v>
      </c>
      <c r="F7826" t="s">
        <v>510</v>
      </c>
      <c r="G7826" t="s">
        <v>460</v>
      </c>
      <c r="H7826" t="str">
        <f>"ΨΥΛΛΙΝΑΚΗ 67 ΙΕΡΑΠΕΤΡΑΣ"</f>
        <v>ΨΥΛΛΙΝΑΚΗ 67 ΙΕΡΑΠΕΤΡΑΣ</v>
      </c>
      <c r="I7826">
        <v>72200</v>
      </c>
      <c r="J7826">
        <v>2842031128</v>
      </c>
      <c r="K7826">
        <v>6982025954</v>
      </c>
      <c r="N7826" t="s">
        <v>615</v>
      </c>
      <c r="O7826" t="s">
        <v>616</v>
      </c>
      <c r="R7826" t="s">
        <v>159</v>
      </c>
      <c r="S7826">
        <v>2</v>
      </c>
      <c r="T7826" t="s">
        <v>8675</v>
      </c>
      <c r="U7826" s="1">
        <v>43348</v>
      </c>
      <c r="V7826" t="s">
        <v>5177</v>
      </c>
      <c r="W7826" t="s">
        <v>5178</v>
      </c>
      <c r="X7826" t="s">
        <v>58</v>
      </c>
      <c r="Y7826">
        <v>24</v>
      </c>
      <c r="Z7826" t="s">
        <v>59</v>
      </c>
      <c r="AA7826" t="s">
        <v>59</v>
      </c>
      <c r="AB7826" t="s">
        <v>59</v>
      </c>
      <c r="AC7826" t="s">
        <v>59</v>
      </c>
      <c r="AD7826" t="s">
        <v>59</v>
      </c>
      <c r="AF7826" s="1">
        <v>43348</v>
      </c>
      <c r="AG7826" t="s">
        <v>8645</v>
      </c>
      <c r="AH7826" t="s">
        <v>8646</v>
      </c>
      <c r="AI7826" t="str">
        <f>"9320005"</f>
        <v>9320005</v>
      </c>
      <c r="AJ7826" t="s">
        <v>12004</v>
      </c>
      <c r="AK7826">
        <v>2842022202</v>
      </c>
      <c r="AL7826" t="s">
        <v>12005</v>
      </c>
      <c r="AM7826" t="s">
        <v>4513</v>
      </c>
      <c r="AN7826" t="s">
        <v>4519</v>
      </c>
      <c r="AO7826" t="s">
        <v>4519</v>
      </c>
      <c r="AP7826" t="s">
        <v>4519</v>
      </c>
      <c r="AQ7826">
        <v>4</v>
      </c>
      <c r="AR7826" t="s">
        <v>5177</v>
      </c>
      <c r="AS7826" t="s">
        <v>5178</v>
      </c>
      <c r="AT7826" t="s">
        <v>58</v>
      </c>
      <c r="AU7826" t="s">
        <v>8673</v>
      </c>
      <c r="AV7826" t="s">
        <v>132</v>
      </c>
      <c r="AW7826" s="1">
        <v>32240</v>
      </c>
      <c r="AX7826">
        <v>1</v>
      </c>
    </row>
    <row r="7827" spans="1:50">
      <c r="A7827">
        <v>586634</v>
      </c>
      <c r="B7827" t="str">
        <f>"051635030"</f>
        <v>051635030</v>
      </c>
      <c r="C7827" t="s">
        <v>50</v>
      </c>
      <c r="D7827" t="s">
        <v>12291</v>
      </c>
      <c r="E7827" t="s">
        <v>52</v>
      </c>
      <c r="F7827" t="s">
        <v>84</v>
      </c>
      <c r="G7827" t="s">
        <v>221</v>
      </c>
      <c r="H7827" t="str">
        <f>"Γ. ΚΟΝΔΥΛΗ 73 ΑΤΤΙΚΗ"</f>
        <v>Γ. ΚΟΝΔΥΛΗ 73 ΑΤΤΙΚΗ</v>
      </c>
      <c r="I7827">
        <v>17342</v>
      </c>
      <c r="J7827">
        <v>2109969177</v>
      </c>
      <c r="K7827">
        <v>6973383889</v>
      </c>
      <c r="L7827">
        <v>4979409829238</v>
      </c>
      <c r="N7827" t="s">
        <v>615</v>
      </c>
      <c r="O7827" t="s">
        <v>616</v>
      </c>
      <c r="R7827" t="s">
        <v>57</v>
      </c>
      <c r="S7827">
        <v>12</v>
      </c>
      <c r="T7827">
        <v>165</v>
      </c>
      <c r="U7827" s="1">
        <v>36040</v>
      </c>
      <c r="V7827" t="s">
        <v>5177</v>
      </c>
      <c r="W7827" t="s">
        <v>5178</v>
      </c>
      <c r="X7827" t="s">
        <v>58</v>
      </c>
      <c r="Y7827">
        <v>21</v>
      </c>
      <c r="Z7827" t="s">
        <v>59</v>
      </c>
      <c r="AA7827" t="s">
        <v>59</v>
      </c>
      <c r="AB7827" t="s">
        <v>59</v>
      </c>
      <c r="AC7827" t="s">
        <v>59</v>
      </c>
      <c r="AD7827" t="s">
        <v>59</v>
      </c>
      <c r="AF7827" s="1">
        <v>36045</v>
      </c>
      <c r="AG7827" t="s">
        <v>8645</v>
      </c>
      <c r="AH7827" t="s">
        <v>8646</v>
      </c>
      <c r="AI7827" t="str">
        <f>"9320205"</f>
        <v>9320205</v>
      </c>
      <c r="AJ7827" t="s">
        <v>11902</v>
      </c>
      <c r="AK7827">
        <v>2843024509</v>
      </c>
      <c r="AL7827" t="s">
        <v>11903</v>
      </c>
      <c r="AM7827" t="s">
        <v>4513</v>
      </c>
      <c r="AN7827" t="s">
        <v>4540</v>
      </c>
      <c r="AO7827" t="s">
        <v>4540</v>
      </c>
      <c r="AP7827" t="s">
        <v>4540</v>
      </c>
      <c r="AQ7827">
        <v>8</v>
      </c>
      <c r="AR7827" t="s">
        <v>5177</v>
      </c>
      <c r="AS7827" t="s">
        <v>5178</v>
      </c>
      <c r="AT7827" t="s">
        <v>58</v>
      </c>
      <c r="AU7827" t="s">
        <v>68</v>
      </c>
      <c r="AV7827" t="s">
        <v>69</v>
      </c>
      <c r="AW7827" s="1">
        <v>25041</v>
      </c>
      <c r="AX7827">
        <v>1</v>
      </c>
    </row>
    <row r="7828" spans="1:50">
      <c r="B7828" t="str">
        <f>"064082770"</f>
        <v>064082770</v>
      </c>
      <c r="C7828" t="s">
        <v>105</v>
      </c>
      <c r="D7828" t="s">
        <v>12292</v>
      </c>
      <c r="E7828" t="s">
        <v>106</v>
      </c>
      <c r="F7828" t="s">
        <v>12293</v>
      </c>
      <c r="G7828" t="s">
        <v>964</v>
      </c>
      <c r="H7828" t="str">
        <f>"ΔΗΜ. ΚΑΡΑΟΛΗ 7 Ν. ΡΑΙΔΕΣΤΟΣ ΘΕΡΜΗ"</f>
        <v>ΔΗΜ. ΚΑΡΑΟΛΗ 7 Ν. ΡΑΙΔΕΣΤΟΣ ΘΕΡΜΗ</v>
      </c>
      <c r="I7828">
        <v>57001</v>
      </c>
      <c r="J7828">
        <v>2310461149</v>
      </c>
      <c r="K7828">
        <v>6944980803</v>
      </c>
      <c r="M7828" t="s">
        <v>12294</v>
      </c>
      <c r="N7828" t="s">
        <v>204</v>
      </c>
      <c r="O7828" t="s">
        <v>205</v>
      </c>
      <c r="R7828" t="s">
        <v>159</v>
      </c>
      <c r="S7828">
        <v>4</v>
      </c>
      <c r="T7828" t="s">
        <v>8675</v>
      </c>
      <c r="U7828" s="1">
        <v>43348</v>
      </c>
      <c r="V7828" t="s">
        <v>5177</v>
      </c>
      <c r="W7828" t="s">
        <v>5178</v>
      </c>
      <c r="X7828" t="s">
        <v>58</v>
      </c>
      <c r="Y7828">
        <v>24</v>
      </c>
      <c r="Z7828" t="s">
        <v>59</v>
      </c>
      <c r="AA7828" t="s">
        <v>59</v>
      </c>
      <c r="AB7828" t="s">
        <v>59</v>
      </c>
      <c r="AC7828" t="s">
        <v>59</v>
      </c>
      <c r="AD7828" t="s">
        <v>59</v>
      </c>
      <c r="AF7828" s="1">
        <v>43348</v>
      </c>
      <c r="AG7828" t="s">
        <v>8645</v>
      </c>
      <c r="AH7828" t="s">
        <v>8646</v>
      </c>
      <c r="AI7828" t="str">
        <f>"9320071"</f>
        <v>9320071</v>
      </c>
      <c r="AJ7828" t="s">
        <v>12098</v>
      </c>
      <c r="AK7828">
        <v>2841041234</v>
      </c>
      <c r="AL7828" t="s">
        <v>12099</v>
      </c>
      <c r="AM7828" t="s">
        <v>4513</v>
      </c>
      <c r="AN7828" t="s">
        <v>4514</v>
      </c>
      <c r="AO7828" t="s">
        <v>4514</v>
      </c>
      <c r="AP7828" t="s">
        <v>12100</v>
      </c>
      <c r="AQ7828">
        <v>2</v>
      </c>
      <c r="AR7828" t="s">
        <v>5177</v>
      </c>
      <c r="AS7828" t="s">
        <v>5178</v>
      </c>
      <c r="AT7828" t="s">
        <v>58</v>
      </c>
      <c r="AU7828" t="s">
        <v>8673</v>
      </c>
      <c r="AV7828" t="s">
        <v>132</v>
      </c>
      <c r="AW7828" s="1">
        <v>27324</v>
      </c>
      <c r="AX7828">
        <v>1</v>
      </c>
    </row>
    <row r="7829" spans="1:50">
      <c r="A7829">
        <v>618872</v>
      </c>
      <c r="B7829" t="str">
        <f>"149603777"</f>
        <v>149603777</v>
      </c>
      <c r="C7829" t="s">
        <v>50</v>
      </c>
      <c r="D7829" t="s">
        <v>10287</v>
      </c>
      <c r="E7829" t="s">
        <v>6415</v>
      </c>
      <c r="F7829" t="s">
        <v>72</v>
      </c>
      <c r="G7829" t="s">
        <v>83</v>
      </c>
      <c r="H7829" t="str">
        <f>"ΓΡΑ ΛΥΓΙΑ ΙΕΡΑΠΕΤΡΑ"</f>
        <v>ΓΡΑ ΛΥΓΙΑ ΙΕΡΑΠΕΤΡΑ</v>
      </c>
      <c r="I7829">
        <v>72200</v>
      </c>
      <c r="J7829">
        <v>2842028347</v>
      </c>
      <c r="K7829">
        <v>6975654164</v>
      </c>
      <c r="M7829" t="s">
        <v>12295</v>
      </c>
      <c r="N7829" t="s">
        <v>615</v>
      </c>
      <c r="O7829" t="s">
        <v>616</v>
      </c>
      <c r="R7829" t="s">
        <v>57</v>
      </c>
      <c r="S7829">
        <v>5</v>
      </c>
      <c r="T7829">
        <v>774</v>
      </c>
      <c r="U7829" s="1">
        <v>39680</v>
      </c>
      <c r="V7829" t="s">
        <v>5177</v>
      </c>
      <c r="W7829" t="s">
        <v>5178</v>
      </c>
      <c r="X7829" t="s">
        <v>58</v>
      </c>
      <c r="Y7829">
        <v>23</v>
      </c>
      <c r="Z7829" t="s">
        <v>59</v>
      </c>
      <c r="AA7829" t="s">
        <v>59</v>
      </c>
      <c r="AB7829" t="s">
        <v>59</v>
      </c>
      <c r="AC7829" t="s">
        <v>59</v>
      </c>
      <c r="AD7829" t="s">
        <v>59</v>
      </c>
      <c r="AF7829" s="1">
        <v>39681</v>
      </c>
      <c r="AG7829" t="s">
        <v>8645</v>
      </c>
      <c r="AH7829" t="s">
        <v>8646</v>
      </c>
      <c r="AI7829" t="str">
        <f>"9320001"</f>
        <v>9320001</v>
      </c>
      <c r="AJ7829" t="s">
        <v>11954</v>
      </c>
      <c r="AK7829">
        <v>2842022505</v>
      </c>
      <c r="AL7829" t="s">
        <v>11955</v>
      </c>
      <c r="AM7829" t="s">
        <v>4513</v>
      </c>
      <c r="AN7829" t="s">
        <v>4519</v>
      </c>
      <c r="AO7829" t="s">
        <v>4519</v>
      </c>
      <c r="AP7829" t="s">
        <v>4519</v>
      </c>
      <c r="AQ7829">
        <v>4</v>
      </c>
      <c r="AR7829" t="s">
        <v>5177</v>
      </c>
      <c r="AS7829" t="s">
        <v>5178</v>
      </c>
      <c r="AT7829" t="s">
        <v>58</v>
      </c>
      <c r="AU7829" t="s">
        <v>68</v>
      </c>
      <c r="AV7829" t="s">
        <v>69</v>
      </c>
      <c r="AW7829" s="1">
        <v>31483</v>
      </c>
      <c r="AX7829">
        <v>1</v>
      </c>
    </row>
    <row r="7830" spans="1:50">
      <c r="A7830">
        <v>568389</v>
      </c>
      <c r="B7830" t="str">
        <f>"063531557"</f>
        <v>063531557</v>
      </c>
      <c r="C7830" t="s">
        <v>50</v>
      </c>
      <c r="D7830" t="s">
        <v>2170</v>
      </c>
      <c r="E7830" t="s">
        <v>52</v>
      </c>
      <c r="F7830" t="s">
        <v>166</v>
      </c>
      <c r="G7830" t="s">
        <v>237</v>
      </c>
      <c r="H7830" t="str">
        <f>"ΜΙΧ. ΚΟΛΥΒΑΚΗ 16 ΣΗΤΕΙΑ"</f>
        <v>ΜΙΧ. ΚΟΛΥΒΑΚΗ 16 ΣΗΤΕΙΑ</v>
      </c>
      <c r="I7830">
        <v>72300</v>
      </c>
      <c r="J7830">
        <v>2843024647</v>
      </c>
      <c r="K7830">
        <v>6973434089</v>
      </c>
      <c r="N7830" t="s">
        <v>615</v>
      </c>
      <c r="O7830" t="s">
        <v>616</v>
      </c>
      <c r="R7830" t="s">
        <v>57</v>
      </c>
      <c r="S7830">
        <v>16</v>
      </c>
      <c r="T7830">
        <v>162</v>
      </c>
      <c r="U7830" s="1">
        <v>33844</v>
      </c>
      <c r="V7830" t="s">
        <v>5177</v>
      </c>
      <c r="W7830" t="s">
        <v>5178</v>
      </c>
      <c r="X7830" t="s">
        <v>58</v>
      </c>
      <c r="Y7830">
        <v>21</v>
      </c>
      <c r="Z7830" t="s">
        <v>59</v>
      </c>
      <c r="AA7830" t="s">
        <v>59</v>
      </c>
      <c r="AB7830" t="s">
        <v>59</v>
      </c>
      <c r="AC7830" t="s">
        <v>59</v>
      </c>
      <c r="AD7830" t="s">
        <v>59</v>
      </c>
      <c r="AF7830" s="1">
        <v>33848</v>
      </c>
      <c r="AG7830" t="s">
        <v>8645</v>
      </c>
      <c r="AH7830" t="s">
        <v>8646</v>
      </c>
      <c r="AI7830" t="str">
        <f>"9320090"</f>
        <v>9320090</v>
      </c>
      <c r="AJ7830" t="s">
        <v>11926</v>
      </c>
      <c r="AK7830">
        <v>2843022385</v>
      </c>
      <c r="AL7830" t="s">
        <v>11927</v>
      </c>
      <c r="AM7830" t="s">
        <v>4513</v>
      </c>
      <c r="AN7830" t="s">
        <v>4540</v>
      </c>
      <c r="AO7830" t="s">
        <v>4540</v>
      </c>
      <c r="AP7830" t="s">
        <v>4540</v>
      </c>
      <c r="AQ7830">
        <v>8</v>
      </c>
      <c r="AR7830" t="s">
        <v>5177</v>
      </c>
      <c r="AS7830" t="s">
        <v>5178</v>
      </c>
      <c r="AT7830" t="s">
        <v>58</v>
      </c>
      <c r="AU7830" t="s">
        <v>68</v>
      </c>
      <c r="AV7830" t="s">
        <v>69</v>
      </c>
      <c r="AW7830" s="1">
        <v>24014</v>
      </c>
      <c r="AX7830">
        <v>1</v>
      </c>
    </row>
    <row r="7831" spans="1:50">
      <c r="A7831">
        <v>586562</v>
      </c>
      <c r="B7831" t="str">
        <f>"064834935"</f>
        <v>064834935</v>
      </c>
      <c r="C7831" t="s">
        <v>50</v>
      </c>
      <c r="D7831" t="s">
        <v>2170</v>
      </c>
      <c r="E7831" t="s">
        <v>54</v>
      </c>
      <c r="F7831" t="s">
        <v>166</v>
      </c>
      <c r="G7831" t="s">
        <v>411</v>
      </c>
      <c r="H7831" t="str">
        <f>"ΜΙΧ.ΚΟΛΥΒΑΚΗ 16 ΣΗΤΕΙΑ"</f>
        <v>ΜΙΧ.ΚΟΛΥΒΑΚΗ 16 ΣΗΤΕΙΑ</v>
      </c>
      <c r="I7831">
        <v>72300</v>
      </c>
      <c r="J7831">
        <v>2843023638</v>
      </c>
      <c r="K7831">
        <v>6973436107</v>
      </c>
      <c r="N7831" t="s">
        <v>615</v>
      </c>
      <c r="O7831" t="s">
        <v>616</v>
      </c>
      <c r="R7831" t="s">
        <v>57</v>
      </c>
      <c r="S7831">
        <v>10</v>
      </c>
      <c r="T7831">
        <v>165</v>
      </c>
      <c r="U7831" s="1">
        <v>36040</v>
      </c>
      <c r="V7831" t="s">
        <v>5177</v>
      </c>
      <c r="W7831" t="s">
        <v>5178</v>
      </c>
      <c r="X7831" t="s">
        <v>58</v>
      </c>
      <c r="Y7831">
        <v>21</v>
      </c>
      <c r="Z7831" t="s">
        <v>59</v>
      </c>
      <c r="AA7831" t="s">
        <v>59</v>
      </c>
      <c r="AB7831" t="s">
        <v>59</v>
      </c>
      <c r="AC7831" t="s">
        <v>59</v>
      </c>
      <c r="AD7831" t="s">
        <v>59</v>
      </c>
      <c r="AF7831" s="1">
        <v>36042</v>
      </c>
      <c r="AG7831" t="s">
        <v>8645</v>
      </c>
      <c r="AH7831" t="s">
        <v>8646</v>
      </c>
      <c r="AI7831" t="str">
        <f>"9320205"</f>
        <v>9320205</v>
      </c>
      <c r="AJ7831" t="s">
        <v>11902</v>
      </c>
      <c r="AK7831">
        <v>2843024509</v>
      </c>
      <c r="AL7831" t="s">
        <v>11903</v>
      </c>
      <c r="AM7831" t="s">
        <v>4513</v>
      </c>
      <c r="AN7831" t="s">
        <v>4540</v>
      </c>
      <c r="AO7831" t="s">
        <v>4540</v>
      </c>
      <c r="AP7831" t="s">
        <v>4540</v>
      </c>
      <c r="AQ7831">
        <v>8</v>
      </c>
      <c r="AR7831" t="s">
        <v>5177</v>
      </c>
      <c r="AS7831" t="s">
        <v>5178</v>
      </c>
      <c r="AT7831" t="s">
        <v>58</v>
      </c>
      <c r="AU7831" t="s">
        <v>68</v>
      </c>
      <c r="AV7831" t="s">
        <v>69</v>
      </c>
      <c r="AW7831" s="1">
        <v>25353</v>
      </c>
      <c r="AX7831">
        <v>1</v>
      </c>
    </row>
    <row r="7832" spans="1:50">
      <c r="A7832">
        <v>594158</v>
      </c>
      <c r="B7832" t="str">
        <f>"075217084"</f>
        <v>075217084</v>
      </c>
      <c r="C7832" t="s">
        <v>50</v>
      </c>
      <c r="D7832" t="s">
        <v>97</v>
      </c>
      <c r="E7832" t="s">
        <v>52</v>
      </c>
      <c r="F7832" t="s">
        <v>95</v>
      </c>
      <c r="G7832" t="s">
        <v>12296</v>
      </c>
      <c r="H7832" t="str">
        <f>"Δ. ΣΟΛΩΜΟΥ 18 ΑΓΙΟΣ ΝΙΚΟΛΑΟΣ"</f>
        <v>Δ. ΣΟΛΩΜΟΥ 18 ΑΓΙΟΣ ΝΙΚΟΛΑΟΣ</v>
      </c>
      <c r="I7832">
        <v>72100</v>
      </c>
      <c r="J7832">
        <v>2841082422</v>
      </c>
      <c r="K7832">
        <v>6948262637</v>
      </c>
      <c r="N7832" t="s">
        <v>615</v>
      </c>
      <c r="O7832" t="s">
        <v>616</v>
      </c>
      <c r="R7832" t="s">
        <v>57</v>
      </c>
      <c r="S7832">
        <v>8</v>
      </c>
      <c r="T7832">
        <v>218</v>
      </c>
      <c r="U7832" s="1">
        <v>37104</v>
      </c>
      <c r="V7832" t="s">
        <v>5177</v>
      </c>
      <c r="W7832" t="s">
        <v>5178</v>
      </c>
      <c r="X7832" t="s">
        <v>58</v>
      </c>
      <c r="Y7832">
        <v>22</v>
      </c>
      <c r="Z7832" t="s">
        <v>59</v>
      </c>
      <c r="AA7832" t="s">
        <v>59</v>
      </c>
      <c r="AB7832" t="s">
        <v>59</v>
      </c>
      <c r="AC7832" t="s">
        <v>59</v>
      </c>
      <c r="AD7832" t="s">
        <v>59</v>
      </c>
      <c r="AF7832" s="1">
        <v>37138</v>
      </c>
      <c r="AG7832" t="s">
        <v>8645</v>
      </c>
      <c r="AH7832" t="s">
        <v>8646</v>
      </c>
      <c r="AI7832" t="str">
        <f>"9320210"</f>
        <v>9320210</v>
      </c>
      <c r="AJ7832" t="s">
        <v>11890</v>
      </c>
      <c r="AK7832">
        <v>2841026705</v>
      </c>
      <c r="AL7832" t="s">
        <v>11891</v>
      </c>
      <c r="AM7832" t="s">
        <v>4513</v>
      </c>
      <c r="AN7832" t="s">
        <v>4514</v>
      </c>
      <c r="AO7832" t="s">
        <v>4514</v>
      </c>
      <c r="AP7832" t="s">
        <v>4514</v>
      </c>
      <c r="AQ7832">
        <v>1</v>
      </c>
      <c r="AR7832" t="s">
        <v>5177</v>
      </c>
      <c r="AS7832" t="s">
        <v>5178</v>
      </c>
      <c r="AT7832" t="s">
        <v>58</v>
      </c>
      <c r="AU7832" t="s">
        <v>68</v>
      </c>
      <c r="AV7832" t="s">
        <v>69</v>
      </c>
      <c r="AW7832" s="1">
        <v>26360</v>
      </c>
      <c r="AX7832">
        <v>1</v>
      </c>
    </row>
    <row r="7833" spans="1:50">
      <c r="B7833" t="str">
        <f>"144201462"</f>
        <v>144201462</v>
      </c>
      <c r="C7833" t="s">
        <v>50</v>
      </c>
      <c r="D7833" t="s">
        <v>10336</v>
      </c>
      <c r="E7833" t="s">
        <v>714</v>
      </c>
      <c r="F7833" t="s">
        <v>111</v>
      </c>
      <c r="G7833" t="s">
        <v>382</v>
      </c>
      <c r="H7833" t="str">
        <f>"ΤΣΙΜΙΣΚΗ 80 "</f>
        <v xml:space="preserve">ΤΣΙΜΙΣΚΗ 80 </v>
      </c>
      <c r="I7833">
        <v>66100</v>
      </c>
      <c r="J7833">
        <v>2521037308</v>
      </c>
      <c r="K7833">
        <v>6980959463</v>
      </c>
      <c r="N7833" t="s">
        <v>8694</v>
      </c>
      <c r="O7833" t="s">
        <v>8695</v>
      </c>
      <c r="R7833" t="s">
        <v>159</v>
      </c>
      <c r="S7833">
        <v>3</v>
      </c>
      <c r="T7833" t="s">
        <v>8696</v>
      </c>
      <c r="U7833" s="1">
        <v>43348</v>
      </c>
      <c r="V7833" t="s">
        <v>5177</v>
      </c>
      <c r="W7833" t="s">
        <v>5178</v>
      </c>
      <c r="X7833" t="s">
        <v>58</v>
      </c>
      <c r="Y7833">
        <v>24</v>
      </c>
      <c r="Z7833" t="s">
        <v>59</v>
      </c>
      <c r="AA7833" t="s">
        <v>59</v>
      </c>
      <c r="AB7833" t="s">
        <v>59</v>
      </c>
      <c r="AC7833" t="s">
        <v>59</v>
      </c>
      <c r="AD7833" t="s">
        <v>59</v>
      </c>
      <c r="AF7833" s="1">
        <v>43348</v>
      </c>
      <c r="AG7833" t="s">
        <v>8645</v>
      </c>
      <c r="AH7833" t="s">
        <v>8646</v>
      </c>
      <c r="AI7833" t="str">
        <f>"9320090"</f>
        <v>9320090</v>
      </c>
      <c r="AJ7833" t="s">
        <v>11926</v>
      </c>
      <c r="AK7833">
        <v>2843022385</v>
      </c>
      <c r="AL7833" t="s">
        <v>11927</v>
      </c>
      <c r="AM7833" t="s">
        <v>4513</v>
      </c>
      <c r="AN7833" t="s">
        <v>4540</v>
      </c>
      <c r="AO7833" t="s">
        <v>4540</v>
      </c>
      <c r="AP7833" t="s">
        <v>4540</v>
      </c>
      <c r="AQ7833">
        <v>8</v>
      </c>
      <c r="AR7833" t="s">
        <v>5177</v>
      </c>
      <c r="AS7833" t="s">
        <v>5178</v>
      </c>
      <c r="AT7833" t="s">
        <v>58</v>
      </c>
      <c r="AU7833" t="s">
        <v>350</v>
      </c>
      <c r="AV7833" t="s">
        <v>132</v>
      </c>
      <c r="AW7833" s="1">
        <v>32014</v>
      </c>
      <c r="AX7833">
        <v>1</v>
      </c>
    </row>
    <row r="7834" spans="1:50">
      <c r="B7834" t="str">
        <f>"140689240"</f>
        <v>140689240</v>
      </c>
      <c r="C7834" t="s">
        <v>50</v>
      </c>
      <c r="D7834" t="s">
        <v>10336</v>
      </c>
      <c r="E7834" t="s">
        <v>12297</v>
      </c>
      <c r="F7834" t="s">
        <v>309</v>
      </c>
      <c r="H7834" t="str">
        <f>" "</f>
        <v xml:space="preserve"> </v>
      </c>
      <c r="N7834" t="s">
        <v>1525</v>
      </c>
      <c r="O7834" t="s">
        <v>1526</v>
      </c>
      <c r="R7834" t="s">
        <v>159</v>
      </c>
      <c r="S7834">
        <v>1</v>
      </c>
      <c r="T7834" t="s">
        <v>8670</v>
      </c>
      <c r="U7834" s="1">
        <v>43348</v>
      </c>
      <c r="V7834" t="s">
        <v>5177</v>
      </c>
      <c r="W7834" t="s">
        <v>5178</v>
      </c>
      <c r="X7834" t="s">
        <v>58</v>
      </c>
      <c r="Y7834">
        <v>25</v>
      </c>
      <c r="Z7834" t="s">
        <v>59</v>
      </c>
      <c r="AA7834" t="s">
        <v>59</v>
      </c>
      <c r="AB7834" t="s">
        <v>59</v>
      </c>
      <c r="AC7834" t="s">
        <v>59</v>
      </c>
      <c r="AD7834" t="s">
        <v>59</v>
      </c>
      <c r="AF7834" s="1">
        <v>43348</v>
      </c>
      <c r="AG7834" t="s">
        <v>8651</v>
      </c>
      <c r="AH7834" t="s">
        <v>8652</v>
      </c>
      <c r="AI7834" t="str">
        <f>"9320203"</f>
        <v>9320203</v>
      </c>
      <c r="AJ7834" t="s">
        <v>12298</v>
      </c>
      <c r="AK7834">
        <v>2843052423</v>
      </c>
      <c r="AL7834" t="s">
        <v>12299</v>
      </c>
      <c r="AM7834" t="s">
        <v>4513</v>
      </c>
      <c r="AN7834" t="s">
        <v>4519</v>
      </c>
      <c r="AO7834" t="s">
        <v>4766</v>
      </c>
      <c r="AP7834" t="s">
        <v>4767</v>
      </c>
      <c r="AQ7834">
        <v>6</v>
      </c>
      <c r="AR7834" t="s">
        <v>5177</v>
      </c>
      <c r="AS7834" t="s">
        <v>5178</v>
      </c>
      <c r="AT7834" t="s">
        <v>58</v>
      </c>
      <c r="AU7834" t="s">
        <v>8673</v>
      </c>
      <c r="AV7834" t="s">
        <v>132</v>
      </c>
      <c r="AW7834" s="1">
        <v>30231</v>
      </c>
      <c r="AX7834">
        <v>1</v>
      </c>
    </row>
    <row r="7835" spans="1:50">
      <c r="A7835">
        <v>564192</v>
      </c>
      <c r="B7835" t="str">
        <f>"035423950"</f>
        <v>035423950</v>
      </c>
      <c r="C7835" t="s">
        <v>50</v>
      </c>
      <c r="D7835" t="s">
        <v>6115</v>
      </c>
      <c r="E7835" t="s">
        <v>12300</v>
      </c>
      <c r="F7835" t="s">
        <v>95</v>
      </c>
      <c r="G7835" t="s">
        <v>52</v>
      </c>
      <c r="H7835" t="str">
        <f>"ΧΑΒΓΟΥΔΙ Τ.Θ. 2302 ΑΓΙΟΣ ΝΙΚΟΛΑΟΣ"</f>
        <v>ΧΑΒΓΟΥΔΙ Τ.Θ. 2302 ΑΓΙΟΣ ΝΙΚΟΛΑΟΣ</v>
      </c>
      <c r="I7835">
        <v>72100</v>
      </c>
      <c r="J7835">
        <v>2841025920</v>
      </c>
      <c r="K7835">
        <v>6944561671</v>
      </c>
      <c r="N7835" t="s">
        <v>615</v>
      </c>
      <c r="O7835" t="s">
        <v>616</v>
      </c>
      <c r="R7835" t="s">
        <v>57</v>
      </c>
      <c r="S7835">
        <v>14</v>
      </c>
      <c r="T7835">
        <v>161</v>
      </c>
      <c r="U7835" s="1">
        <v>33119</v>
      </c>
      <c r="V7835" t="s">
        <v>5177</v>
      </c>
      <c r="W7835" t="s">
        <v>5178</v>
      </c>
      <c r="X7835" t="s">
        <v>58</v>
      </c>
      <c r="Y7835">
        <v>21</v>
      </c>
      <c r="Z7835" t="s">
        <v>59</v>
      </c>
      <c r="AA7835" t="s">
        <v>59</v>
      </c>
      <c r="AB7835" t="s">
        <v>59</v>
      </c>
      <c r="AC7835" t="s">
        <v>59</v>
      </c>
      <c r="AD7835" t="s">
        <v>59</v>
      </c>
      <c r="AF7835" s="1">
        <v>33119</v>
      </c>
      <c r="AG7835" t="s">
        <v>8645</v>
      </c>
      <c r="AH7835" t="s">
        <v>8646</v>
      </c>
      <c r="AI7835" t="str">
        <f>"9320138"</f>
        <v>9320138</v>
      </c>
      <c r="AJ7835" t="s">
        <v>11915</v>
      </c>
      <c r="AK7835">
        <v>2841022104</v>
      </c>
      <c r="AL7835" t="s">
        <v>11916</v>
      </c>
      <c r="AM7835" t="s">
        <v>4513</v>
      </c>
      <c r="AN7835" t="s">
        <v>4514</v>
      </c>
      <c r="AO7835" t="s">
        <v>4514</v>
      </c>
      <c r="AP7835" t="s">
        <v>4514</v>
      </c>
      <c r="AQ7835">
        <v>1</v>
      </c>
      <c r="AR7835" t="s">
        <v>5177</v>
      </c>
      <c r="AS7835" t="s">
        <v>5178</v>
      </c>
      <c r="AT7835" t="s">
        <v>58</v>
      </c>
      <c r="AU7835" t="s">
        <v>68</v>
      </c>
      <c r="AV7835" t="s">
        <v>69</v>
      </c>
      <c r="AW7835" s="1">
        <v>24437</v>
      </c>
      <c r="AX7835">
        <v>1</v>
      </c>
    </row>
    <row r="7836" spans="1:50">
      <c r="A7836">
        <v>602166</v>
      </c>
      <c r="B7836" t="str">
        <f>"049252158"</f>
        <v>049252158</v>
      </c>
      <c r="C7836" t="s">
        <v>50</v>
      </c>
      <c r="D7836" t="s">
        <v>12301</v>
      </c>
      <c r="E7836" t="s">
        <v>237</v>
      </c>
      <c r="F7836" t="s">
        <v>202</v>
      </c>
      <c r="G7836" t="s">
        <v>1644</v>
      </c>
      <c r="H7836" t="str">
        <f>"ΓΡ. ΜΟΥΤΣΑΚΗ 10 ΙΕΡΑΠΕΤΡΑ"</f>
        <v>ΓΡ. ΜΟΥΤΣΑΚΗ 10 ΙΕΡΑΠΕΤΡΑ</v>
      </c>
      <c r="I7836">
        <v>72200</v>
      </c>
      <c r="J7836">
        <v>2848022030</v>
      </c>
      <c r="K7836">
        <v>6977628173</v>
      </c>
      <c r="N7836" t="s">
        <v>615</v>
      </c>
      <c r="O7836" t="s">
        <v>616</v>
      </c>
      <c r="R7836" t="s">
        <v>57</v>
      </c>
      <c r="S7836">
        <v>7</v>
      </c>
      <c r="T7836">
        <v>207</v>
      </c>
      <c r="U7836" s="1">
        <v>37866</v>
      </c>
      <c r="V7836" t="s">
        <v>5177</v>
      </c>
      <c r="W7836" t="s">
        <v>5178</v>
      </c>
      <c r="X7836" t="s">
        <v>58</v>
      </c>
      <c r="Y7836">
        <v>22</v>
      </c>
      <c r="Z7836" t="s">
        <v>59</v>
      </c>
      <c r="AA7836" t="s">
        <v>59</v>
      </c>
      <c r="AB7836" t="s">
        <v>59</v>
      </c>
      <c r="AC7836" t="s">
        <v>59</v>
      </c>
      <c r="AD7836" t="s">
        <v>59</v>
      </c>
      <c r="AF7836" s="1">
        <v>37866</v>
      </c>
      <c r="AG7836" t="s">
        <v>8645</v>
      </c>
      <c r="AH7836" t="s">
        <v>8646</v>
      </c>
      <c r="AI7836" t="str">
        <f>"9320005"</f>
        <v>9320005</v>
      </c>
      <c r="AJ7836" t="s">
        <v>12004</v>
      </c>
      <c r="AK7836">
        <v>2842022202</v>
      </c>
      <c r="AL7836" t="s">
        <v>12005</v>
      </c>
      <c r="AM7836" t="s">
        <v>4513</v>
      </c>
      <c r="AN7836" t="s">
        <v>4519</v>
      </c>
      <c r="AO7836" t="s">
        <v>4519</v>
      </c>
      <c r="AP7836" t="s">
        <v>4519</v>
      </c>
      <c r="AQ7836">
        <v>4</v>
      </c>
      <c r="AR7836" t="s">
        <v>5177</v>
      </c>
      <c r="AS7836" t="s">
        <v>5178</v>
      </c>
      <c r="AT7836" t="s">
        <v>58</v>
      </c>
      <c r="AU7836" t="s">
        <v>68</v>
      </c>
      <c r="AV7836" t="s">
        <v>69</v>
      </c>
      <c r="AW7836" s="1">
        <v>29094</v>
      </c>
      <c r="AX7836">
        <v>1</v>
      </c>
    </row>
    <row r="7837" spans="1:50">
      <c r="A7837">
        <v>571089</v>
      </c>
      <c r="B7837" t="str">
        <f>"034749951"</f>
        <v>034749951</v>
      </c>
      <c r="C7837" t="s">
        <v>50</v>
      </c>
      <c r="D7837" t="s">
        <v>2250</v>
      </c>
      <c r="E7837" t="s">
        <v>52</v>
      </c>
      <c r="F7837" t="s">
        <v>95</v>
      </c>
      <c r="G7837" t="s">
        <v>54</v>
      </c>
      <c r="H7837" t="str">
        <f>"ΕΜΜ. ΜΑΣΤΟΡΑΚΗ 1 ΙΕΡΑΠΕΤΡΑ"</f>
        <v>ΕΜΜ. ΜΑΣΤΟΡΑΚΗ 1 ΙΕΡΑΠΕΤΡΑ</v>
      </c>
      <c r="I7837">
        <v>72200</v>
      </c>
      <c r="N7837" t="s">
        <v>615</v>
      </c>
      <c r="O7837" t="s">
        <v>616</v>
      </c>
      <c r="R7837" t="s">
        <v>57</v>
      </c>
      <c r="S7837">
        <v>14</v>
      </c>
      <c r="T7837">
        <v>138</v>
      </c>
      <c r="U7837" s="1">
        <v>34206</v>
      </c>
      <c r="V7837" t="s">
        <v>5177</v>
      </c>
      <c r="W7837" t="s">
        <v>5178</v>
      </c>
      <c r="X7837" t="s">
        <v>58</v>
      </c>
      <c r="Y7837">
        <v>21</v>
      </c>
      <c r="Z7837" t="s">
        <v>59</v>
      </c>
      <c r="AA7837" t="s">
        <v>59</v>
      </c>
      <c r="AB7837" t="s">
        <v>59</v>
      </c>
      <c r="AC7837" t="s">
        <v>59</v>
      </c>
      <c r="AD7837" t="s">
        <v>59</v>
      </c>
      <c r="AF7837" s="1">
        <v>34215</v>
      </c>
      <c r="AG7837" t="s">
        <v>8645</v>
      </c>
      <c r="AH7837" t="s">
        <v>8646</v>
      </c>
      <c r="AI7837" t="str">
        <f>"9320005"</f>
        <v>9320005</v>
      </c>
      <c r="AJ7837" t="s">
        <v>12004</v>
      </c>
      <c r="AK7837">
        <v>2842022202</v>
      </c>
      <c r="AL7837" t="s">
        <v>12005</v>
      </c>
      <c r="AM7837" t="s">
        <v>4513</v>
      </c>
      <c r="AN7837" t="s">
        <v>4519</v>
      </c>
      <c r="AO7837" t="s">
        <v>4519</v>
      </c>
      <c r="AP7837" t="s">
        <v>4519</v>
      </c>
      <c r="AQ7837">
        <v>4</v>
      </c>
      <c r="AR7837" t="s">
        <v>5177</v>
      </c>
      <c r="AS7837" t="s">
        <v>5178</v>
      </c>
      <c r="AT7837" t="s">
        <v>58</v>
      </c>
      <c r="AU7837" t="s">
        <v>68</v>
      </c>
      <c r="AV7837" t="s">
        <v>69</v>
      </c>
      <c r="AW7837" s="1">
        <v>23725</v>
      </c>
      <c r="AX7837">
        <v>1</v>
      </c>
    </row>
    <row r="7838" spans="1:50">
      <c r="B7838" t="str">
        <f>"150235691"</f>
        <v>150235691</v>
      </c>
      <c r="C7838" t="s">
        <v>50</v>
      </c>
      <c r="D7838" t="s">
        <v>6119</v>
      </c>
      <c r="E7838" t="s">
        <v>382</v>
      </c>
      <c r="F7838" t="s">
        <v>1523</v>
      </c>
      <c r="G7838" t="s">
        <v>174</v>
      </c>
      <c r="H7838" t="str">
        <f>" "</f>
        <v xml:space="preserve"> </v>
      </c>
      <c r="N7838" t="s">
        <v>615</v>
      </c>
      <c r="O7838" t="s">
        <v>616</v>
      </c>
      <c r="R7838" t="s">
        <v>159</v>
      </c>
      <c r="S7838">
        <v>4</v>
      </c>
      <c r="T7838" t="s">
        <v>8675</v>
      </c>
      <c r="U7838" s="1">
        <v>43348</v>
      </c>
      <c r="V7838" t="s">
        <v>5177</v>
      </c>
      <c r="W7838" t="s">
        <v>5178</v>
      </c>
      <c r="X7838" t="s">
        <v>58</v>
      </c>
      <c r="Y7838">
        <v>24</v>
      </c>
      <c r="Z7838" t="s">
        <v>59</v>
      </c>
      <c r="AA7838" t="s">
        <v>59</v>
      </c>
      <c r="AB7838" t="s">
        <v>59</v>
      </c>
      <c r="AC7838" t="s">
        <v>59</v>
      </c>
      <c r="AD7838" t="s">
        <v>59</v>
      </c>
      <c r="AF7838" s="1">
        <v>43348</v>
      </c>
      <c r="AG7838" t="s">
        <v>8645</v>
      </c>
      <c r="AH7838" t="s">
        <v>8646</v>
      </c>
      <c r="AI7838" t="str">
        <f>"9320030"</f>
        <v>9320030</v>
      </c>
      <c r="AJ7838" t="s">
        <v>11928</v>
      </c>
      <c r="AK7838">
        <v>2842093264</v>
      </c>
      <c r="AL7838" t="s">
        <v>11929</v>
      </c>
      <c r="AM7838" t="s">
        <v>4513</v>
      </c>
      <c r="AN7838" t="s">
        <v>4519</v>
      </c>
      <c r="AO7838" t="s">
        <v>4519</v>
      </c>
      <c r="AP7838" t="s">
        <v>11930</v>
      </c>
      <c r="AQ7838">
        <v>5</v>
      </c>
      <c r="AR7838" t="s">
        <v>5177</v>
      </c>
      <c r="AS7838" t="s">
        <v>5178</v>
      </c>
      <c r="AT7838" t="s">
        <v>58</v>
      </c>
      <c r="AU7838" t="s">
        <v>8673</v>
      </c>
      <c r="AV7838" t="s">
        <v>132</v>
      </c>
      <c r="AW7838" s="1">
        <v>33016</v>
      </c>
      <c r="AX7838">
        <v>1</v>
      </c>
    </row>
    <row r="7839" spans="1:50">
      <c r="B7839" t="str">
        <f>"139992470"</f>
        <v>139992470</v>
      </c>
      <c r="C7839" t="s">
        <v>105</v>
      </c>
      <c r="D7839" t="s">
        <v>2254</v>
      </c>
      <c r="E7839" t="s">
        <v>949</v>
      </c>
      <c r="F7839" t="s">
        <v>718</v>
      </c>
      <c r="G7839" t="s">
        <v>714</v>
      </c>
      <c r="H7839" t="str">
        <f>" "</f>
        <v xml:space="preserve"> </v>
      </c>
      <c r="K7839">
        <v>6972120136</v>
      </c>
      <c r="N7839" t="s">
        <v>615</v>
      </c>
      <c r="O7839" t="s">
        <v>616</v>
      </c>
      <c r="R7839" t="s">
        <v>121</v>
      </c>
      <c r="S7839">
        <v>1</v>
      </c>
      <c r="T7839" t="s">
        <v>9034</v>
      </c>
      <c r="U7839" s="1">
        <v>43377</v>
      </c>
      <c r="V7839" t="s">
        <v>5177</v>
      </c>
      <c r="W7839" t="s">
        <v>5178</v>
      </c>
      <c r="X7839" t="s">
        <v>58</v>
      </c>
      <c r="Y7839">
        <v>24</v>
      </c>
      <c r="Z7839" t="s">
        <v>59</v>
      </c>
      <c r="AA7839" t="s">
        <v>59</v>
      </c>
      <c r="AB7839" t="s">
        <v>59</v>
      </c>
      <c r="AC7839" t="s">
        <v>59</v>
      </c>
      <c r="AD7839" t="s">
        <v>59</v>
      </c>
      <c r="AF7839" s="1">
        <v>43377</v>
      </c>
      <c r="AG7839" t="s">
        <v>8645</v>
      </c>
      <c r="AH7839" t="s">
        <v>8646</v>
      </c>
      <c r="AI7839" t="str">
        <f>"9320127"</f>
        <v>9320127</v>
      </c>
      <c r="AJ7839" t="s">
        <v>12040</v>
      </c>
      <c r="AK7839">
        <v>2843051221</v>
      </c>
      <c r="AL7839" t="s">
        <v>12041</v>
      </c>
      <c r="AM7839" t="s">
        <v>4513</v>
      </c>
      <c r="AN7839" t="s">
        <v>4519</v>
      </c>
      <c r="AO7839" t="s">
        <v>4766</v>
      </c>
      <c r="AP7839" t="s">
        <v>4767</v>
      </c>
      <c r="AQ7839">
        <v>6</v>
      </c>
      <c r="AR7839" t="s">
        <v>5177</v>
      </c>
      <c r="AS7839" t="s">
        <v>5178</v>
      </c>
      <c r="AT7839" t="s">
        <v>58</v>
      </c>
      <c r="AU7839" t="s">
        <v>8673</v>
      </c>
      <c r="AV7839" t="s">
        <v>132</v>
      </c>
      <c r="AW7839" s="1">
        <v>31962</v>
      </c>
      <c r="AX7839">
        <v>1</v>
      </c>
    </row>
    <row r="7840" spans="1:50">
      <c r="B7840" t="str">
        <f>"150102777"</f>
        <v>150102777</v>
      </c>
      <c r="C7840" t="s">
        <v>50</v>
      </c>
      <c r="D7840" t="s">
        <v>12302</v>
      </c>
      <c r="E7840" t="s">
        <v>255</v>
      </c>
      <c r="F7840" t="s">
        <v>1413</v>
      </c>
      <c r="G7840" t="s">
        <v>1277</v>
      </c>
      <c r="H7840" t="str">
        <f>"Παρασκευοπούλου 14-16 Αθήνα"</f>
        <v>Παρασκευοπούλου 14-16 Αθήνα</v>
      </c>
      <c r="I7840">
        <v>10445</v>
      </c>
      <c r="J7840">
        <v>2521033773</v>
      </c>
      <c r="K7840">
        <v>6906470504</v>
      </c>
      <c r="N7840" t="s">
        <v>615</v>
      </c>
      <c r="O7840" t="s">
        <v>616</v>
      </c>
      <c r="R7840" t="s">
        <v>121</v>
      </c>
      <c r="S7840">
        <v>1</v>
      </c>
      <c r="T7840" t="s">
        <v>8675</v>
      </c>
      <c r="U7840" s="1">
        <v>43348</v>
      </c>
      <c r="V7840" t="s">
        <v>5177</v>
      </c>
      <c r="W7840" t="s">
        <v>5178</v>
      </c>
      <c r="X7840" t="s">
        <v>58</v>
      </c>
      <c r="Y7840">
        <v>24</v>
      </c>
      <c r="Z7840" t="s">
        <v>59</v>
      </c>
      <c r="AA7840" t="s">
        <v>59</v>
      </c>
      <c r="AB7840" t="s">
        <v>59</v>
      </c>
      <c r="AD7840" t="s">
        <v>59</v>
      </c>
      <c r="AF7840" s="1">
        <v>43348</v>
      </c>
      <c r="AG7840" t="s">
        <v>8645</v>
      </c>
      <c r="AH7840" t="s">
        <v>8646</v>
      </c>
      <c r="AI7840" t="str">
        <f>"9320127"</f>
        <v>9320127</v>
      </c>
      <c r="AJ7840" t="s">
        <v>12040</v>
      </c>
      <c r="AK7840">
        <v>2843051221</v>
      </c>
      <c r="AL7840" t="s">
        <v>12041</v>
      </c>
      <c r="AM7840" t="s">
        <v>4513</v>
      </c>
      <c r="AN7840" t="s">
        <v>4519</v>
      </c>
      <c r="AO7840" t="s">
        <v>4766</v>
      </c>
      <c r="AP7840" t="s">
        <v>4767</v>
      </c>
      <c r="AQ7840">
        <v>6</v>
      </c>
      <c r="AR7840" t="s">
        <v>5177</v>
      </c>
      <c r="AS7840" t="s">
        <v>5178</v>
      </c>
      <c r="AT7840" t="s">
        <v>58</v>
      </c>
      <c r="AU7840" t="s">
        <v>8673</v>
      </c>
      <c r="AV7840" t="s">
        <v>132</v>
      </c>
      <c r="AW7840" s="1">
        <v>32842</v>
      </c>
      <c r="AX7840">
        <v>1</v>
      </c>
    </row>
    <row r="7841" spans="1:50">
      <c r="A7841">
        <v>601098</v>
      </c>
      <c r="B7841" t="str">
        <f>"078584535"</f>
        <v>078584535</v>
      </c>
      <c r="C7841" t="s">
        <v>50</v>
      </c>
      <c r="D7841" t="s">
        <v>7576</v>
      </c>
      <c r="E7841" t="s">
        <v>255</v>
      </c>
      <c r="F7841" t="s">
        <v>383</v>
      </c>
      <c r="G7841" t="s">
        <v>52</v>
      </c>
      <c r="H7841" t="str">
        <f>"ΚΑΖΑΝΤΖΑΚΗ 8-10 ΙΕΡΑΠΕΤΡΑ"</f>
        <v>ΚΑΖΑΝΤΖΑΚΗ 8-10 ΙΕΡΑΠΕΤΡΑ</v>
      </c>
      <c r="I7841">
        <v>72200</v>
      </c>
      <c r="J7841">
        <v>2842025484</v>
      </c>
      <c r="K7841">
        <v>6937466270</v>
      </c>
      <c r="N7841" t="s">
        <v>615</v>
      </c>
      <c r="O7841" t="s">
        <v>616</v>
      </c>
      <c r="R7841" t="s">
        <v>57</v>
      </c>
      <c r="S7841">
        <v>8</v>
      </c>
      <c r="T7841">
        <v>207</v>
      </c>
      <c r="U7841" s="1">
        <v>37866</v>
      </c>
      <c r="V7841" t="s">
        <v>5177</v>
      </c>
      <c r="W7841" t="s">
        <v>5178</v>
      </c>
      <c r="X7841" t="s">
        <v>58</v>
      </c>
      <c r="Y7841">
        <v>22</v>
      </c>
      <c r="Z7841" t="s">
        <v>59</v>
      </c>
      <c r="AA7841" t="s">
        <v>59</v>
      </c>
      <c r="AB7841" t="s">
        <v>59</v>
      </c>
      <c r="AC7841" t="s">
        <v>59</v>
      </c>
      <c r="AD7841" t="s">
        <v>59</v>
      </c>
      <c r="AF7841" s="1">
        <v>37866</v>
      </c>
      <c r="AG7841" t="s">
        <v>8645</v>
      </c>
      <c r="AH7841" t="s">
        <v>8646</v>
      </c>
      <c r="AI7841" t="str">
        <f>"9320005"</f>
        <v>9320005</v>
      </c>
      <c r="AJ7841" t="s">
        <v>12004</v>
      </c>
      <c r="AK7841">
        <v>2842022202</v>
      </c>
      <c r="AL7841" t="s">
        <v>12005</v>
      </c>
      <c r="AM7841" t="s">
        <v>4513</v>
      </c>
      <c r="AN7841" t="s">
        <v>4519</v>
      </c>
      <c r="AO7841" t="s">
        <v>4519</v>
      </c>
      <c r="AP7841" t="s">
        <v>4519</v>
      </c>
      <c r="AQ7841">
        <v>4</v>
      </c>
      <c r="AR7841" t="s">
        <v>5177</v>
      </c>
      <c r="AS7841" t="s">
        <v>5178</v>
      </c>
      <c r="AT7841" t="s">
        <v>58</v>
      </c>
      <c r="AU7841" t="s">
        <v>68</v>
      </c>
      <c r="AV7841" t="s">
        <v>69</v>
      </c>
      <c r="AW7841" s="1">
        <v>26758</v>
      </c>
      <c r="AX7841">
        <v>1</v>
      </c>
    </row>
    <row r="7842" spans="1:50">
      <c r="A7842">
        <v>616562</v>
      </c>
      <c r="B7842" t="str">
        <f>"301966780"</f>
        <v>301966780</v>
      </c>
      <c r="C7842" t="s">
        <v>50</v>
      </c>
      <c r="D7842" t="s">
        <v>2269</v>
      </c>
      <c r="E7842" t="s">
        <v>83</v>
      </c>
      <c r="F7842" t="s">
        <v>72</v>
      </c>
      <c r="G7842" t="s">
        <v>237</v>
      </c>
      <c r="H7842" t="str">
        <f>"ΣΥΝ. ΑΓΙΑΣ ΒΑΡΒΑΡΑΣ ΝΕΑΠΟΛΗ"</f>
        <v>ΣΥΝ. ΑΓΙΑΣ ΒΑΡΒΑΡΑΣ ΝΕΑΠΟΛΗ</v>
      </c>
      <c r="I7842">
        <v>72400</v>
      </c>
      <c r="J7842">
        <v>2841033613</v>
      </c>
      <c r="K7842">
        <v>6972075664</v>
      </c>
      <c r="N7842" t="s">
        <v>1525</v>
      </c>
      <c r="O7842" t="s">
        <v>1526</v>
      </c>
      <c r="R7842" t="s">
        <v>57</v>
      </c>
      <c r="S7842">
        <v>5</v>
      </c>
      <c r="T7842">
        <v>660</v>
      </c>
      <c r="U7842" s="1">
        <v>39311</v>
      </c>
      <c r="V7842" t="s">
        <v>5177</v>
      </c>
      <c r="W7842" t="s">
        <v>5178</v>
      </c>
      <c r="X7842" t="s">
        <v>58</v>
      </c>
      <c r="Y7842">
        <v>25</v>
      </c>
      <c r="Z7842" t="s">
        <v>59</v>
      </c>
      <c r="AA7842" t="s">
        <v>59</v>
      </c>
      <c r="AB7842" t="s">
        <v>59</v>
      </c>
      <c r="AC7842" t="s">
        <v>59</v>
      </c>
      <c r="AD7842" t="s">
        <v>59</v>
      </c>
      <c r="AF7842" s="1">
        <v>39328</v>
      </c>
      <c r="AG7842" t="s">
        <v>8651</v>
      </c>
      <c r="AH7842" t="s">
        <v>8652</v>
      </c>
      <c r="AI7842" t="str">
        <f>"9320062"</f>
        <v>9320062</v>
      </c>
      <c r="AJ7842" t="s">
        <v>11997</v>
      </c>
      <c r="AK7842">
        <v>2841032366</v>
      </c>
      <c r="AL7842" t="s">
        <v>11998</v>
      </c>
      <c r="AM7842" t="s">
        <v>4513</v>
      </c>
      <c r="AN7842" t="s">
        <v>4514</v>
      </c>
      <c r="AO7842" t="s">
        <v>4524</v>
      </c>
      <c r="AP7842" t="s">
        <v>4525</v>
      </c>
      <c r="AQ7842">
        <v>1</v>
      </c>
      <c r="AR7842" t="s">
        <v>5177</v>
      </c>
      <c r="AS7842" t="s">
        <v>5178</v>
      </c>
      <c r="AT7842" t="s">
        <v>58</v>
      </c>
      <c r="AU7842" t="s">
        <v>68</v>
      </c>
      <c r="AV7842" t="s">
        <v>69</v>
      </c>
      <c r="AW7842" s="1">
        <v>30600</v>
      </c>
      <c r="AX7842">
        <v>1</v>
      </c>
    </row>
    <row r="7843" spans="1:50">
      <c r="A7843">
        <v>558965</v>
      </c>
      <c r="B7843" t="str">
        <f>"032069648"</f>
        <v>032069648</v>
      </c>
      <c r="C7843" t="s">
        <v>105</v>
      </c>
      <c r="D7843" t="s">
        <v>12303</v>
      </c>
      <c r="E7843" t="s">
        <v>95</v>
      </c>
      <c r="F7843" t="s">
        <v>53</v>
      </c>
      <c r="G7843" t="s">
        <v>181</v>
      </c>
      <c r="H7843" t="str">
        <f>"ΝΙΚΟΛΑΟΥ ΠΛΑΣΤΗΡΑ 47 ΑΓΙΟΣ ΝΙΚΟΛΑΟΣ"</f>
        <v>ΝΙΚΟΛΑΟΥ ΠΛΑΣΤΗΡΑ 47 ΑΓΙΟΣ ΝΙΚΟΛΑΟΣ</v>
      </c>
      <c r="I7843">
        <v>72100</v>
      </c>
      <c r="J7843">
        <v>2841025285</v>
      </c>
      <c r="K7843">
        <v>6979816995</v>
      </c>
      <c r="N7843" t="s">
        <v>615</v>
      </c>
      <c r="O7843" t="s">
        <v>616</v>
      </c>
      <c r="R7843" t="s">
        <v>57</v>
      </c>
      <c r="S7843">
        <v>15</v>
      </c>
      <c r="T7843">
        <v>168</v>
      </c>
      <c r="U7843" s="1">
        <v>32010</v>
      </c>
      <c r="V7843" t="s">
        <v>5177</v>
      </c>
      <c r="W7843" t="s">
        <v>5178</v>
      </c>
      <c r="X7843" t="s">
        <v>58</v>
      </c>
      <c r="Y7843">
        <v>21</v>
      </c>
      <c r="Z7843" t="s">
        <v>59</v>
      </c>
      <c r="AA7843" t="s">
        <v>59</v>
      </c>
      <c r="AB7843" t="s">
        <v>59</v>
      </c>
      <c r="AC7843" t="s">
        <v>59</v>
      </c>
      <c r="AD7843" t="s">
        <v>59</v>
      </c>
      <c r="AF7843" s="1">
        <v>32023</v>
      </c>
      <c r="AG7843" t="s">
        <v>8645</v>
      </c>
      <c r="AH7843" t="s">
        <v>8646</v>
      </c>
      <c r="AI7843" t="str">
        <f>"9320138"</f>
        <v>9320138</v>
      </c>
      <c r="AJ7843" t="s">
        <v>11915</v>
      </c>
      <c r="AK7843">
        <v>2841022104</v>
      </c>
      <c r="AL7843" t="s">
        <v>11916</v>
      </c>
      <c r="AM7843" t="s">
        <v>4513</v>
      </c>
      <c r="AN7843" t="s">
        <v>4514</v>
      </c>
      <c r="AO7843" t="s">
        <v>4514</v>
      </c>
      <c r="AP7843" t="s">
        <v>4514</v>
      </c>
      <c r="AQ7843">
        <v>1</v>
      </c>
      <c r="AR7843" t="s">
        <v>5177</v>
      </c>
      <c r="AS7843" t="s">
        <v>5178</v>
      </c>
      <c r="AT7843" t="s">
        <v>58</v>
      </c>
      <c r="AU7843" t="s">
        <v>68</v>
      </c>
      <c r="AV7843" t="s">
        <v>69</v>
      </c>
      <c r="AW7843" s="1">
        <v>23654</v>
      </c>
      <c r="AX7843">
        <v>1</v>
      </c>
    </row>
    <row r="7844" spans="1:50">
      <c r="A7844">
        <v>598862</v>
      </c>
      <c r="B7844" t="str">
        <f>"061396102"</f>
        <v>061396102</v>
      </c>
      <c r="C7844" t="s">
        <v>105</v>
      </c>
      <c r="D7844" t="s">
        <v>12304</v>
      </c>
      <c r="E7844" t="s">
        <v>166</v>
      </c>
      <c r="F7844" t="s">
        <v>84</v>
      </c>
      <c r="G7844" t="s">
        <v>52</v>
      </c>
      <c r="H7844" t="str">
        <f>"ΕΠΙΣΚΟΠΗ ΙΕΡΑΠΕΤΡΑΣ ΙΕΡΑΠΕΤΡΑΣ"</f>
        <v>ΕΠΙΣΚΟΠΗ ΙΕΡΑΠΕΤΡΑΣ ΙΕΡΑΠΕΤΡΑΣ</v>
      </c>
      <c r="I7844">
        <v>72200</v>
      </c>
      <c r="J7844">
        <v>2842031525</v>
      </c>
      <c r="K7844">
        <v>6973807606</v>
      </c>
      <c r="M7844" t="s">
        <v>12305</v>
      </c>
      <c r="N7844" t="s">
        <v>615</v>
      </c>
      <c r="O7844" t="s">
        <v>616</v>
      </c>
      <c r="R7844" t="s">
        <v>57</v>
      </c>
      <c r="S7844">
        <v>9</v>
      </c>
      <c r="T7844">
        <v>195</v>
      </c>
      <c r="U7844" s="1">
        <v>37497</v>
      </c>
      <c r="V7844" t="s">
        <v>5177</v>
      </c>
      <c r="W7844" t="s">
        <v>5178</v>
      </c>
      <c r="X7844" t="s">
        <v>58</v>
      </c>
      <c r="Y7844">
        <v>22</v>
      </c>
      <c r="Z7844" t="s">
        <v>59</v>
      </c>
      <c r="AA7844" t="s">
        <v>59</v>
      </c>
      <c r="AB7844" t="s">
        <v>59</v>
      </c>
      <c r="AC7844" t="s">
        <v>59</v>
      </c>
      <c r="AD7844" t="s">
        <v>59</v>
      </c>
      <c r="AF7844" s="1">
        <v>37501</v>
      </c>
      <c r="AG7844" t="s">
        <v>8645</v>
      </c>
      <c r="AH7844" t="s">
        <v>8646</v>
      </c>
      <c r="AI7844" t="str">
        <f>"9320021"</f>
        <v>9320021</v>
      </c>
      <c r="AJ7844" t="s">
        <v>11956</v>
      </c>
      <c r="AK7844">
        <v>2842022557</v>
      </c>
      <c r="AL7844" t="s">
        <v>11957</v>
      </c>
      <c r="AM7844" t="s">
        <v>4513</v>
      </c>
      <c r="AN7844" t="s">
        <v>4519</v>
      </c>
      <c r="AO7844" t="s">
        <v>4519</v>
      </c>
      <c r="AP7844" t="s">
        <v>4519</v>
      </c>
      <c r="AQ7844">
        <v>5</v>
      </c>
      <c r="AR7844" t="s">
        <v>5177</v>
      </c>
      <c r="AS7844" t="s">
        <v>5178</v>
      </c>
      <c r="AT7844" t="s">
        <v>58</v>
      </c>
      <c r="AU7844" t="s">
        <v>68</v>
      </c>
      <c r="AV7844" t="s">
        <v>69</v>
      </c>
      <c r="AW7844" s="1">
        <v>25986</v>
      </c>
      <c r="AX7844">
        <v>1</v>
      </c>
    </row>
    <row r="7845" spans="1:50">
      <c r="A7845">
        <v>571183</v>
      </c>
      <c r="B7845" t="str">
        <f>"042763564"</f>
        <v>042763564</v>
      </c>
      <c r="C7845" t="s">
        <v>50</v>
      </c>
      <c r="D7845" t="s">
        <v>6142</v>
      </c>
      <c r="E7845" t="s">
        <v>263</v>
      </c>
      <c r="F7845" t="s">
        <v>989</v>
      </c>
      <c r="G7845" t="s">
        <v>215</v>
      </c>
      <c r="H7845" t="str">
        <f>"ΓΙΑΝΝΑΚΟΥ 52 ΙΕΡΑΠΕΤΡΑ"</f>
        <v>ΓΙΑΝΝΑΚΟΥ 52 ΙΕΡΑΠΕΤΡΑ</v>
      </c>
      <c r="I7845">
        <v>72200</v>
      </c>
      <c r="J7845">
        <v>2842027312</v>
      </c>
      <c r="K7845">
        <v>6934424340</v>
      </c>
      <c r="N7845" t="s">
        <v>615</v>
      </c>
      <c r="O7845" t="s">
        <v>616</v>
      </c>
      <c r="R7845" t="s">
        <v>57</v>
      </c>
      <c r="S7845">
        <v>13</v>
      </c>
      <c r="T7845">
        <v>138</v>
      </c>
      <c r="U7845" s="1">
        <v>34206</v>
      </c>
      <c r="V7845" t="s">
        <v>5177</v>
      </c>
      <c r="W7845" t="s">
        <v>5178</v>
      </c>
      <c r="X7845" t="s">
        <v>58</v>
      </c>
      <c r="Y7845">
        <v>21</v>
      </c>
      <c r="Z7845" t="s">
        <v>59</v>
      </c>
      <c r="AA7845" t="s">
        <v>59</v>
      </c>
      <c r="AB7845" t="s">
        <v>59</v>
      </c>
      <c r="AC7845" t="s">
        <v>59</v>
      </c>
      <c r="AD7845" t="s">
        <v>59</v>
      </c>
      <c r="AF7845" s="1">
        <v>34215</v>
      </c>
      <c r="AG7845" t="s">
        <v>8645</v>
      </c>
      <c r="AH7845" t="s">
        <v>8646</v>
      </c>
      <c r="AI7845" t="str">
        <f>"9320163"</f>
        <v>9320163</v>
      </c>
      <c r="AJ7845" t="s">
        <v>12012</v>
      </c>
      <c r="AK7845">
        <v>2842024595</v>
      </c>
      <c r="AL7845" t="s">
        <v>12013</v>
      </c>
      <c r="AM7845" t="s">
        <v>4513</v>
      </c>
      <c r="AN7845" t="s">
        <v>4519</v>
      </c>
      <c r="AO7845" t="s">
        <v>4519</v>
      </c>
      <c r="AP7845" t="s">
        <v>4519</v>
      </c>
      <c r="AQ7845">
        <v>4</v>
      </c>
      <c r="AR7845" t="s">
        <v>5177</v>
      </c>
      <c r="AS7845" t="s">
        <v>5178</v>
      </c>
      <c r="AT7845" t="s">
        <v>58</v>
      </c>
      <c r="AU7845" t="s">
        <v>68</v>
      </c>
      <c r="AV7845" t="s">
        <v>69</v>
      </c>
      <c r="AW7845" s="1">
        <v>24077</v>
      </c>
      <c r="AX7845">
        <v>1</v>
      </c>
    </row>
    <row r="7846" spans="1:50">
      <c r="A7846">
        <v>618821</v>
      </c>
      <c r="B7846" t="str">
        <f>"143673627"</f>
        <v>143673627</v>
      </c>
      <c r="C7846" t="s">
        <v>50</v>
      </c>
      <c r="D7846" t="s">
        <v>6142</v>
      </c>
      <c r="E7846" t="s">
        <v>1345</v>
      </c>
      <c r="F7846" t="s">
        <v>166</v>
      </c>
      <c r="G7846" t="s">
        <v>181</v>
      </c>
      <c r="H7846" t="str">
        <f>"ΜΑΚΡΥΓΙΑΝΝΗ 8 ΙΕΡΑΠΕΤΡΑ"</f>
        <v>ΜΑΚΡΥΓΙΑΝΝΗ 8 ΙΕΡΑΠΕΤΡΑ</v>
      </c>
      <c r="I7846">
        <v>72200</v>
      </c>
      <c r="J7846">
        <v>2842022338</v>
      </c>
      <c r="K7846">
        <v>6979026906</v>
      </c>
      <c r="M7846" t="s">
        <v>12306</v>
      </c>
      <c r="N7846" t="s">
        <v>615</v>
      </c>
      <c r="O7846" t="s">
        <v>616</v>
      </c>
      <c r="R7846" t="s">
        <v>57</v>
      </c>
      <c r="S7846">
        <v>5</v>
      </c>
      <c r="T7846">
        <v>774</v>
      </c>
      <c r="U7846" s="1">
        <v>39680</v>
      </c>
      <c r="V7846" t="s">
        <v>5177</v>
      </c>
      <c r="W7846" t="s">
        <v>5178</v>
      </c>
      <c r="X7846" t="s">
        <v>58</v>
      </c>
      <c r="Y7846">
        <v>23</v>
      </c>
      <c r="Z7846" t="s">
        <v>59</v>
      </c>
      <c r="AA7846" t="s">
        <v>59</v>
      </c>
      <c r="AB7846" t="s">
        <v>59</v>
      </c>
      <c r="AC7846" t="s">
        <v>59</v>
      </c>
      <c r="AD7846" t="s">
        <v>59</v>
      </c>
      <c r="AF7846" s="1">
        <v>39681</v>
      </c>
      <c r="AG7846" t="s">
        <v>8645</v>
      </c>
      <c r="AH7846" t="s">
        <v>8646</v>
      </c>
      <c r="AI7846" t="str">
        <f>"9320012"</f>
        <v>9320012</v>
      </c>
      <c r="AJ7846" t="s">
        <v>11921</v>
      </c>
      <c r="AK7846">
        <v>2842041253</v>
      </c>
      <c r="AL7846" t="s">
        <v>11922</v>
      </c>
      <c r="AM7846" t="s">
        <v>4513</v>
      </c>
      <c r="AN7846" t="s">
        <v>4519</v>
      </c>
      <c r="AO7846" t="s">
        <v>4519</v>
      </c>
      <c r="AP7846" t="s">
        <v>11899</v>
      </c>
      <c r="AQ7846">
        <v>7</v>
      </c>
      <c r="AR7846" t="s">
        <v>5177</v>
      </c>
      <c r="AS7846" t="s">
        <v>5178</v>
      </c>
      <c r="AT7846" t="s">
        <v>58</v>
      </c>
      <c r="AU7846" t="s">
        <v>68</v>
      </c>
      <c r="AV7846" t="s">
        <v>69</v>
      </c>
      <c r="AW7846" s="1">
        <v>31062</v>
      </c>
      <c r="AX7846">
        <v>1</v>
      </c>
    </row>
    <row r="7847" spans="1:50">
      <c r="A7847">
        <v>591717</v>
      </c>
      <c r="B7847" t="str">
        <f>"050140385"</f>
        <v>050140385</v>
      </c>
      <c r="C7847" t="s">
        <v>50</v>
      </c>
      <c r="D7847" t="s">
        <v>6142</v>
      </c>
      <c r="E7847" t="s">
        <v>809</v>
      </c>
      <c r="F7847" t="s">
        <v>108</v>
      </c>
      <c r="G7847" t="s">
        <v>12307</v>
      </c>
      <c r="H7847" t="str">
        <f>" "</f>
        <v xml:space="preserve"> </v>
      </c>
      <c r="N7847" t="s">
        <v>1525</v>
      </c>
      <c r="O7847" t="s">
        <v>1526</v>
      </c>
      <c r="R7847" t="s">
        <v>57</v>
      </c>
      <c r="S7847">
        <v>12</v>
      </c>
      <c r="T7847">
        <v>249</v>
      </c>
      <c r="U7847" s="1">
        <v>36769</v>
      </c>
      <c r="V7847" t="s">
        <v>5177</v>
      </c>
      <c r="W7847" t="s">
        <v>5178</v>
      </c>
      <c r="X7847" t="s">
        <v>58</v>
      </c>
      <c r="Y7847">
        <v>25</v>
      </c>
      <c r="Z7847" t="s">
        <v>59</v>
      </c>
      <c r="AA7847" t="s">
        <v>59</v>
      </c>
      <c r="AB7847" t="s">
        <v>59</v>
      </c>
      <c r="AC7847" t="s">
        <v>59</v>
      </c>
      <c r="AD7847" t="s">
        <v>59</v>
      </c>
      <c r="AF7847" s="1">
        <v>36770</v>
      </c>
      <c r="AG7847" t="s">
        <v>8651</v>
      </c>
      <c r="AH7847" t="s">
        <v>8652</v>
      </c>
      <c r="AI7847" t="str">
        <f>"9320153"</f>
        <v>9320153</v>
      </c>
      <c r="AJ7847" t="s">
        <v>12186</v>
      </c>
      <c r="AK7847">
        <v>2842061212</v>
      </c>
      <c r="AL7847" t="s">
        <v>12187</v>
      </c>
      <c r="AM7847" t="s">
        <v>4513</v>
      </c>
      <c r="AN7847" t="s">
        <v>4519</v>
      </c>
      <c r="AO7847" t="s">
        <v>4519</v>
      </c>
      <c r="AP7847" t="s">
        <v>11961</v>
      </c>
      <c r="AQ7847">
        <v>6</v>
      </c>
      <c r="AR7847" t="s">
        <v>5177</v>
      </c>
      <c r="AS7847" t="s">
        <v>5178</v>
      </c>
      <c r="AT7847" t="s">
        <v>58</v>
      </c>
      <c r="AU7847" t="s">
        <v>68</v>
      </c>
      <c r="AV7847" t="s">
        <v>69</v>
      </c>
      <c r="AW7847" s="1">
        <v>23469</v>
      </c>
      <c r="AX7847">
        <v>1</v>
      </c>
    </row>
    <row r="7848" spans="1:50">
      <c r="A7848">
        <v>615584</v>
      </c>
      <c r="B7848" t="str">
        <f>"038006427"</f>
        <v>038006427</v>
      </c>
      <c r="C7848" t="s">
        <v>50</v>
      </c>
      <c r="D7848" t="s">
        <v>6142</v>
      </c>
      <c r="E7848" t="s">
        <v>52</v>
      </c>
      <c r="F7848" t="s">
        <v>989</v>
      </c>
      <c r="G7848" t="s">
        <v>215</v>
      </c>
      <c r="H7848" t="str">
        <f>"Γ. ΓΙΑΝΝΑΚΟΥ "</f>
        <v xml:space="preserve">Γ. ΓΙΑΝΝΑΚΟΥ </v>
      </c>
      <c r="I7848">
        <v>72200</v>
      </c>
      <c r="J7848">
        <v>2842026552</v>
      </c>
      <c r="K7848">
        <v>6945397831</v>
      </c>
      <c r="N7848" t="s">
        <v>1525</v>
      </c>
      <c r="O7848" t="s">
        <v>1526</v>
      </c>
      <c r="R7848" t="s">
        <v>57</v>
      </c>
      <c r="S7848">
        <v>6</v>
      </c>
      <c r="T7848">
        <v>598</v>
      </c>
      <c r="U7848" s="1">
        <v>39310</v>
      </c>
      <c r="V7848" t="s">
        <v>5177</v>
      </c>
      <c r="W7848" t="s">
        <v>5178</v>
      </c>
      <c r="X7848" t="s">
        <v>58</v>
      </c>
      <c r="Y7848">
        <v>25</v>
      </c>
      <c r="Z7848" t="s">
        <v>59</v>
      </c>
      <c r="AA7848" t="s">
        <v>59</v>
      </c>
      <c r="AB7848" t="s">
        <v>59</v>
      </c>
      <c r="AC7848" t="s">
        <v>59</v>
      </c>
      <c r="AD7848" t="s">
        <v>59</v>
      </c>
      <c r="AF7848" s="1">
        <v>39328</v>
      </c>
      <c r="AG7848" t="s">
        <v>8651</v>
      </c>
      <c r="AH7848" t="s">
        <v>8652</v>
      </c>
      <c r="AI7848" t="str">
        <f>"9521466"</f>
        <v>9521466</v>
      </c>
      <c r="AJ7848" t="s">
        <v>12017</v>
      </c>
      <c r="AK7848">
        <v>2842025606</v>
      </c>
      <c r="AL7848" t="s">
        <v>12018</v>
      </c>
      <c r="AM7848" t="s">
        <v>4513</v>
      </c>
      <c r="AN7848" t="s">
        <v>4519</v>
      </c>
      <c r="AO7848" t="s">
        <v>4519</v>
      </c>
      <c r="AP7848" t="s">
        <v>4519</v>
      </c>
      <c r="AQ7848">
        <v>4</v>
      </c>
      <c r="AR7848" t="s">
        <v>5177</v>
      </c>
      <c r="AS7848" t="s">
        <v>5178</v>
      </c>
      <c r="AT7848" t="s">
        <v>58</v>
      </c>
      <c r="AU7848" t="s">
        <v>68</v>
      </c>
      <c r="AV7848" t="s">
        <v>69</v>
      </c>
      <c r="AW7848" s="1">
        <v>25382</v>
      </c>
      <c r="AX7848">
        <v>1</v>
      </c>
    </row>
    <row r="7849" spans="1:50">
      <c r="A7849">
        <v>603260</v>
      </c>
      <c r="B7849" t="str">
        <f>"124000673"</f>
        <v>124000673</v>
      </c>
      <c r="C7849" t="s">
        <v>50</v>
      </c>
      <c r="D7849" t="s">
        <v>6142</v>
      </c>
      <c r="E7849" t="s">
        <v>191</v>
      </c>
      <c r="F7849" t="s">
        <v>53</v>
      </c>
      <c r="G7849" t="s">
        <v>215</v>
      </c>
      <c r="H7849" t="str">
        <f>"ΚΕΝΤΡΙ "</f>
        <v xml:space="preserve">ΚΕΝΤΡΙ </v>
      </c>
      <c r="I7849">
        <v>72200</v>
      </c>
      <c r="J7849">
        <v>2842023972</v>
      </c>
      <c r="K7849">
        <v>6973289283</v>
      </c>
      <c r="N7849" t="s">
        <v>1525</v>
      </c>
      <c r="O7849" t="s">
        <v>1526</v>
      </c>
      <c r="R7849" t="s">
        <v>57</v>
      </c>
      <c r="S7849">
        <v>7</v>
      </c>
      <c r="T7849">
        <v>207</v>
      </c>
      <c r="U7849" s="1">
        <v>37866</v>
      </c>
      <c r="V7849" t="s">
        <v>5177</v>
      </c>
      <c r="W7849" t="s">
        <v>5178</v>
      </c>
      <c r="X7849" t="s">
        <v>58</v>
      </c>
      <c r="Y7849">
        <v>25</v>
      </c>
      <c r="Z7849" t="s">
        <v>59</v>
      </c>
      <c r="AA7849" t="s">
        <v>59</v>
      </c>
      <c r="AB7849" t="s">
        <v>59</v>
      </c>
      <c r="AC7849" t="s">
        <v>59</v>
      </c>
      <c r="AD7849" t="s">
        <v>59</v>
      </c>
      <c r="AF7849" s="1">
        <v>37866</v>
      </c>
      <c r="AG7849" t="s">
        <v>8651</v>
      </c>
      <c r="AH7849" t="s">
        <v>8652</v>
      </c>
      <c r="AI7849" t="str">
        <f>"9320019"</f>
        <v>9320019</v>
      </c>
      <c r="AJ7849" t="s">
        <v>12088</v>
      </c>
      <c r="AK7849">
        <v>2842031284</v>
      </c>
      <c r="AL7849" t="s">
        <v>12089</v>
      </c>
      <c r="AM7849" t="s">
        <v>4513</v>
      </c>
      <c r="AN7849" t="s">
        <v>4519</v>
      </c>
      <c r="AO7849" t="s">
        <v>4519</v>
      </c>
      <c r="AP7849" t="s">
        <v>12090</v>
      </c>
      <c r="AQ7849">
        <v>5</v>
      </c>
      <c r="AR7849" t="s">
        <v>5177</v>
      </c>
      <c r="AS7849" t="s">
        <v>5178</v>
      </c>
      <c r="AT7849" t="s">
        <v>58</v>
      </c>
      <c r="AU7849" t="s">
        <v>68</v>
      </c>
      <c r="AV7849" t="s">
        <v>69</v>
      </c>
      <c r="AW7849" s="1">
        <v>28725</v>
      </c>
      <c r="AX7849">
        <v>1</v>
      </c>
    </row>
    <row r="7850" spans="1:50">
      <c r="A7850">
        <v>574392</v>
      </c>
      <c r="B7850" t="str">
        <f>"054027042"</f>
        <v>054027042</v>
      </c>
      <c r="C7850" t="s">
        <v>50</v>
      </c>
      <c r="D7850" t="s">
        <v>12308</v>
      </c>
      <c r="E7850" t="s">
        <v>1108</v>
      </c>
      <c r="F7850" t="s">
        <v>12309</v>
      </c>
      <c r="G7850" t="s">
        <v>250</v>
      </c>
      <c r="H7850" t="str">
        <f>" "</f>
        <v xml:space="preserve"> </v>
      </c>
      <c r="N7850" t="s">
        <v>1525</v>
      </c>
      <c r="O7850" t="s">
        <v>1526</v>
      </c>
      <c r="R7850" t="s">
        <v>57</v>
      </c>
      <c r="S7850">
        <v>11</v>
      </c>
      <c r="T7850">
        <v>160</v>
      </c>
      <c r="U7850" s="1">
        <v>34582</v>
      </c>
      <c r="V7850" t="s">
        <v>5177</v>
      </c>
      <c r="W7850" t="s">
        <v>5178</v>
      </c>
      <c r="X7850" t="s">
        <v>58</v>
      </c>
      <c r="Y7850">
        <v>25</v>
      </c>
      <c r="Z7850" t="s">
        <v>59</v>
      </c>
      <c r="AA7850" t="s">
        <v>59</v>
      </c>
      <c r="AB7850" t="s">
        <v>59</v>
      </c>
      <c r="AC7850" t="s">
        <v>59</v>
      </c>
      <c r="AD7850" t="s">
        <v>59</v>
      </c>
      <c r="AF7850" s="1">
        <v>34582</v>
      </c>
      <c r="AG7850" t="s">
        <v>8651</v>
      </c>
      <c r="AH7850" t="s">
        <v>8652</v>
      </c>
      <c r="AI7850" t="str">
        <f>"9320207"</f>
        <v>9320207</v>
      </c>
      <c r="AJ7850" t="s">
        <v>12259</v>
      </c>
      <c r="AK7850">
        <v>2842051282</v>
      </c>
      <c r="AL7850" t="s">
        <v>12260</v>
      </c>
      <c r="AM7850" t="s">
        <v>4513</v>
      </c>
      <c r="AN7850" t="s">
        <v>4519</v>
      </c>
      <c r="AO7850" t="s">
        <v>4519</v>
      </c>
      <c r="AP7850" t="s">
        <v>12216</v>
      </c>
      <c r="AQ7850">
        <v>7</v>
      </c>
      <c r="AR7850" t="s">
        <v>5177</v>
      </c>
      <c r="AS7850" t="s">
        <v>5178</v>
      </c>
      <c r="AT7850" t="s">
        <v>58</v>
      </c>
      <c r="AU7850" t="s">
        <v>68</v>
      </c>
      <c r="AV7850" t="s">
        <v>69</v>
      </c>
      <c r="AW7850" s="1">
        <v>24102</v>
      </c>
      <c r="AX7850">
        <v>1</v>
      </c>
    </row>
    <row r="7851" spans="1:50">
      <c r="B7851" t="str">
        <f>"145371240"</f>
        <v>145371240</v>
      </c>
      <c r="C7851" t="s">
        <v>50</v>
      </c>
      <c r="D7851" t="s">
        <v>2294</v>
      </c>
      <c r="E7851" t="s">
        <v>155</v>
      </c>
      <c r="F7851" t="s">
        <v>95</v>
      </c>
      <c r="G7851" t="s">
        <v>484</v>
      </c>
      <c r="H7851" t="str">
        <f>"Ν. ΔΟΥΚΑ 58 "</f>
        <v xml:space="preserve">Ν. ΔΟΥΚΑ 58 </v>
      </c>
      <c r="I7851">
        <v>45332</v>
      </c>
      <c r="J7851">
        <v>2651067873</v>
      </c>
      <c r="K7851">
        <v>6944589905</v>
      </c>
      <c r="N7851" t="s">
        <v>615</v>
      </c>
      <c r="O7851" t="s">
        <v>616</v>
      </c>
      <c r="R7851" t="s">
        <v>159</v>
      </c>
      <c r="S7851">
        <v>2</v>
      </c>
      <c r="T7851" t="s">
        <v>8675</v>
      </c>
      <c r="U7851" s="1">
        <v>43348</v>
      </c>
      <c r="V7851" t="s">
        <v>5177</v>
      </c>
      <c r="W7851" t="s">
        <v>5178</v>
      </c>
      <c r="X7851" t="s">
        <v>58</v>
      </c>
      <c r="Y7851">
        <v>24</v>
      </c>
      <c r="Z7851" t="s">
        <v>59</v>
      </c>
      <c r="AA7851" t="s">
        <v>59</v>
      </c>
      <c r="AB7851" t="s">
        <v>59</v>
      </c>
      <c r="AC7851" t="s">
        <v>59</v>
      </c>
      <c r="AD7851" t="s">
        <v>59</v>
      </c>
      <c r="AF7851" s="1">
        <v>43348</v>
      </c>
      <c r="AG7851" t="s">
        <v>8645</v>
      </c>
      <c r="AH7851" t="s">
        <v>8646</v>
      </c>
      <c r="AI7851" t="str">
        <f>"9320063"</f>
        <v>9320063</v>
      </c>
      <c r="AJ7851" t="s">
        <v>12026</v>
      </c>
      <c r="AK7851">
        <v>2841032369</v>
      </c>
      <c r="AL7851" t="s">
        <v>12027</v>
      </c>
      <c r="AM7851" t="s">
        <v>4513</v>
      </c>
      <c r="AN7851" t="s">
        <v>4514</v>
      </c>
      <c r="AO7851" t="s">
        <v>4524</v>
      </c>
      <c r="AP7851" t="s">
        <v>4525</v>
      </c>
      <c r="AQ7851">
        <v>1</v>
      </c>
      <c r="AR7851" t="s">
        <v>5177</v>
      </c>
      <c r="AS7851" t="s">
        <v>5178</v>
      </c>
      <c r="AT7851" t="s">
        <v>58</v>
      </c>
      <c r="AU7851" t="s">
        <v>8673</v>
      </c>
      <c r="AV7851" t="s">
        <v>132</v>
      </c>
      <c r="AW7851" s="1">
        <v>32567</v>
      </c>
      <c r="AX7851">
        <v>1</v>
      </c>
    </row>
    <row r="7852" spans="1:50">
      <c r="B7852" t="str">
        <f>"138379470"</f>
        <v>138379470</v>
      </c>
      <c r="C7852" t="s">
        <v>50</v>
      </c>
      <c r="D7852" t="s">
        <v>2294</v>
      </c>
      <c r="E7852" t="s">
        <v>12310</v>
      </c>
      <c r="F7852" t="s">
        <v>72</v>
      </c>
      <c r="G7852" t="s">
        <v>964</v>
      </c>
      <c r="H7852" t="str">
        <f>"ΠΑΡΓΑΣ 34 "</f>
        <v xml:space="preserve">ΠΑΡΓΑΣ 34 </v>
      </c>
      <c r="I7852">
        <v>46100</v>
      </c>
      <c r="J7852">
        <v>2665026303</v>
      </c>
      <c r="K7852">
        <v>6936330560</v>
      </c>
      <c r="N7852" t="s">
        <v>615</v>
      </c>
      <c r="O7852" t="s">
        <v>616</v>
      </c>
      <c r="R7852" t="s">
        <v>159</v>
      </c>
      <c r="S7852">
        <v>2</v>
      </c>
      <c r="T7852" t="s">
        <v>8675</v>
      </c>
      <c r="U7852" s="1">
        <v>43348</v>
      </c>
      <c r="V7852" t="s">
        <v>5177</v>
      </c>
      <c r="W7852" t="s">
        <v>5178</v>
      </c>
      <c r="X7852" t="s">
        <v>58</v>
      </c>
      <c r="Y7852">
        <v>24</v>
      </c>
      <c r="Z7852" t="s">
        <v>59</v>
      </c>
      <c r="AA7852" t="s">
        <v>59</v>
      </c>
      <c r="AB7852" t="s">
        <v>59</v>
      </c>
      <c r="AC7852" t="s">
        <v>59</v>
      </c>
      <c r="AD7852" t="s">
        <v>59</v>
      </c>
      <c r="AF7852" s="1">
        <v>43348</v>
      </c>
      <c r="AG7852" t="s">
        <v>8645</v>
      </c>
      <c r="AH7852" t="s">
        <v>8646</v>
      </c>
      <c r="AI7852" t="str">
        <f>"9320005"</f>
        <v>9320005</v>
      </c>
      <c r="AJ7852" t="s">
        <v>12004</v>
      </c>
      <c r="AK7852">
        <v>2842022202</v>
      </c>
      <c r="AL7852" t="s">
        <v>12005</v>
      </c>
      <c r="AM7852" t="s">
        <v>4513</v>
      </c>
      <c r="AN7852" t="s">
        <v>4519</v>
      </c>
      <c r="AO7852" t="s">
        <v>4519</v>
      </c>
      <c r="AP7852" t="s">
        <v>4519</v>
      </c>
      <c r="AQ7852">
        <v>4</v>
      </c>
      <c r="AR7852" t="s">
        <v>5177</v>
      </c>
      <c r="AS7852" t="s">
        <v>5178</v>
      </c>
      <c r="AT7852" t="s">
        <v>58</v>
      </c>
      <c r="AU7852" t="s">
        <v>8673</v>
      </c>
      <c r="AV7852" t="s">
        <v>132</v>
      </c>
      <c r="AW7852" s="1">
        <v>32244</v>
      </c>
      <c r="AX7852">
        <v>1</v>
      </c>
    </row>
    <row r="7853" spans="1:50">
      <c r="A7853">
        <v>555452</v>
      </c>
      <c r="B7853" t="str">
        <f>"030637789"</f>
        <v>030637789</v>
      </c>
      <c r="C7853" t="s">
        <v>50</v>
      </c>
      <c r="D7853" t="s">
        <v>12311</v>
      </c>
      <c r="E7853" t="s">
        <v>250</v>
      </c>
      <c r="F7853" t="s">
        <v>920</v>
      </c>
      <c r="G7853" t="s">
        <v>650</v>
      </c>
      <c r="H7853" t="str">
        <f>"ΠΑΝΤΟΓΑΛΛΩΝ 13-15 ΣΗΤΕΙΑ ΚΡΗΤΗ"</f>
        <v>ΠΑΝΤΟΓΑΛΛΩΝ 13-15 ΣΗΤΕΙΑ ΚΡΗΤΗ</v>
      </c>
      <c r="I7853">
        <v>72300</v>
      </c>
      <c r="J7853">
        <v>2843022138</v>
      </c>
      <c r="K7853">
        <v>6973984633</v>
      </c>
      <c r="N7853" t="s">
        <v>615</v>
      </c>
      <c r="O7853" t="s">
        <v>616</v>
      </c>
      <c r="R7853" t="s">
        <v>57</v>
      </c>
      <c r="S7853">
        <v>16</v>
      </c>
      <c r="T7853">
        <v>200</v>
      </c>
      <c r="U7853" s="1">
        <v>31657</v>
      </c>
      <c r="V7853" t="s">
        <v>5177</v>
      </c>
      <c r="W7853" t="s">
        <v>5178</v>
      </c>
      <c r="X7853" t="s">
        <v>58</v>
      </c>
      <c r="Y7853">
        <v>21</v>
      </c>
      <c r="Z7853" t="s">
        <v>59</v>
      </c>
      <c r="AA7853" t="s">
        <v>59</v>
      </c>
      <c r="AB7853" t="s">
        <v>59</v>
      </c>
      <c r="AC7853" t="s">
        <v>59</v>
      </c>
      <c r="AD7853" t="s">
        <v>59</v>
      </c>
      <c r="AF7853" s="1">
        <v>31663</v>
      </c>
      <c r="AG7853" t="s">
        <v>8645</v>
      </c>
      <c r="AH7853" t="s">
        <v>8646</v>
      </c>
      <c r="AI7853" t="str">
        <f>"9320205"</f>
        <v>9320205</v>
      </c>
      <c r="AJ7853" t="s">
        <v>11902</v>
      </c>
      <c r="AK7853">
        <v>2843024509</v>
      </c>
      <c r="AL7853" t="s">
        <v>11903</v>
      </c>
      <c r="AM7853" t="s">
        <v>4513</v>
      </c>
      <c r="AN7853" t="s">
        <v>4540</v>
      </c>
      <c r="AO7853" t="s">
        <v>4540</v>
      </c>
      <c r="AP7853" t="s">
        <v>4540</v>
      </c>
      <c r="AQ7853">
        <v>8</v>
      </c>
      <c r="AR7853" t="s">
        <v>5177</v>
      </c>
      <c r="AS7853" t="s">
        <v>5178</v>
      </c>
      <c r="AT7853" t="s">
        <v>58</v>
      </c>
      <c r="AU7853" t="s">
        <v>68</v>
      </c>
      <c r="AV7853" t="s">
        <v>69</v>
      </c>
      <c r="AW7853" s="1">
        <v>22364</v>
      </c>
      <c r="AX7853">
        <v>1</v>
      </c>
    </row>
    <row r="7854" spans="1:50">
      <c r="A7854">
        <v>702970</v>
      </c>
      <c r="B7854" t="str">
        <f>"068916471"</f>
        <v>068916471</v>
      </c>
      <c r="C7854" t="s">
        <v>105</v>
      </c>
      <c r="D7854" t="s">
        <v>5030</v>
      </c>
      <c r="E7854" t="s">
        <v>450</v>
      </c>
      <c r="F7854" t="s">
        <v>1868</v>
      </c>
      <c r="G7854" t="s">
        <v>396</v>
      </c>
      <c r="H7854" t="str">
        <f>"ΠΑΤΡΙΑΡΧΟΥ  ΓΡΗΓΟΡΙΟΥ  7 ΚΑΡΔΙΤΣΑ"</f>
        <v>ΠΑΤΡΙΑΡΧΟΥ  ΓΡΗΓΟΡΙΟΥ  7 ΚΑΡΔΙΤΣΑ</v>
      </c>
      <c r="I7854">
        <v>43100</v>
      </c>
      <c r="J7854">
        <v>2441024336</v>
      </c>
      <c r="K7854">
        <v>6953084243</v>
      </c>
      <c r="N7854" t="s">
        <v>176</v>
      </c>
      <c r="O7854" t="s">
        <v>177</v>
      </c>
      <c r="R7854" t="s">
        <v>57</v>
      </c>
      <c r="S7854">
        <v>3</v>
      </c>
      <c r="T7854">
        <v>588</v>
      </c>
      <c r="U7854" s="1">
        <v>40778</v>
      </c>
      <c r="V7854" t="s">
        <v>5177</v>
      </c>
      <c r="W7854" t="s">
        <v>5178</v>
      </c>
      <c r="X7854" t="s">
        <v>58</v>
      </c>
      <c r="Y7854">
        <v>24</v>
      </c>
      <c r="Z7854" t="s">
        <v>59</v>
      </c>
      <c r="AA7854" t="s">
        <v>59</v>
      </c>
      <c r="AB7854" t="s">
        <v>59</v>
      </c>
      <c r="AC7854" t="s">
        <v>59</v>
      </c>
      <c r="AD7854" t="s">
        <v>59</v>
      </c>
      <c r="AF7854" s="1">
        <v>40781</v>
      </c>
      <c r="AG7854" t="s">
        <v>8645</v>
      </c>
      <c r="AH7854" t="s">
        <v>8646</v>
      </c>
      <c r="AI7854" t="str">
        <f>"9320012"</f>
        <v>9320012</v>
      </c>
      <c r="AJ7854" t="s">
        <v>11921</v>
      </c>
      <c r="AK7854">
        <v>2842041253</v>
      </c>
      <c r="AL7854" t="s">
        <v>11922</v>
      </c>
      <c r="AM7854" t="s">
        <v>4513</v>
      </c>
      <c r="AN7854" t="s">
        <v>4519</v>
      </c>
      <c r="AO7854" t="s">
        <v>4519</v>
      </c>
      <c r="AP7854" t="s">
        <v>11899</v>
      </c>
      <c r="AQ7854">
        <v>7</v>
      </c>
      <c r="AR7854" t="s">
        <v>5177</v>
      </c>
      <c r="AS7854" t="s">
        <v>5178</v>
      </c>
      <c r="AT7854" t="s">
        <v>58</v>
      </c>
      <c r="AU7854" t="s">
        <v>68</v>
      </c>
      <c r="AV7854" t="s">
        <v>69</v>
      </c>
      <c r="AW7854" s="1">
        <v>27067</v>
      </c>
      <c r="AX7854">
        <v>1</v>
      </c>
    </row>
    <row r="7855" spans="1:50">
      <c r="A7855">
        <v>581051</v>
      </c>
      <c r="B7855" t="str">
        <f>"036504967"</f>
        <v>036504967</v>
      </c>
      <c r="C7855" t="s">
        <v>105</v>
      </c>
      <c r="D7855" t="s">
        <v>12312</v>
      </c>
      <c r="E7855" t="s">
        <v>95</v>
      </c>
      <c r="F7855" t="s">
        <v>72</v>
      </c>
      <c r="G7855" t="s">
        <v>181</v>
      </c>
      <c r="H7855" t="str">
        <f>"ΠΛΑΓΙΕΣ ΣΗΤΕΙΑΣ ΣΗΤΕΙΑ"</f>
        <v>ΠΛΑΓΙΕΣ ΣΗΤΕΙΑΣ ΣΗΤΕΙΑ</v>
      </c>
      <c r="I7855">
        <v>72300</v>
      </c>
      <c r="K7855">
        <v>6972848387</v>
      </c>
      <c r="N7855" t="s">
        <v>615</v>
      </c>
      <c r="O7855" t="s">
        <v>616</v>
      </c>
      <c r="R7855" t="s">
        <v>57</v>
      </c>
      <c r="S7855">
        <v>13</v>
      </c>
      <c r="T7855">
        <v>179</v>
      </c>
      <c r="U7855" s="1">
        <v>35674</v>
      </c>
      <c r="V7855" t="s">
        <v>5177</v>
      </c>
      <c r="W7855" t="s">
        <v>5178</v>
      </c>
      <c r="X7855" t="s">
        <v>58</v>
      </c>
      <c r="Y7855">
        <v>25</v>
      </c>
      <c r="Z7855" t="s">
        <v>59</v>
      </c>
      <c r="AA7855" t="s">
        <v>59</v>
      </c>
      <c r="AB7855" t="s">
        <v>59</v>
      </c>
      <c r="AC7855" t="s">
        <v>59</v>
      </c>
      <c r="AD7855" t="s">
        <v>59</v>
      </c>
      <c r="AF7855" s="1">
        <v>35676</v>
      </c>
      <c r="AG7855" t="s">
        <v>8645</v>
      </c>
      <c r="AH7855" t="s">
        <v>8676</v>
      </c>
      <c r="AI7855" t="str">
        <f>"9320126"</f>
        <v>9320126</v>
      </c>
      <c r="AJ7855" t="s">
        <v>12313</v>
      </c>
      <c r="AK7855">
        <v>2843071360</v>
      </c>
      <c r="AL7855" t="s">
        <v>12314</v>
      </c>
      <c r="AM7855" t="s">
        <v>4513</v>
      </c>
      <c r="AN7855" t="s">
        <v>4540</v>
      </c>
      <c r="AO7855" t="s">
        <v>4540</v>
      </c>
      <c r="AP7855" t="s">
        <v>12315</v>
      </c>
      <c r="AQ7855">
        <v>10</v>
      </c>
      <c r="AR7855" t="s">
        <v>5177</v>
      </c>
      <c r="AS7855" t="s">
        <v>5178</v>
      </c>
      <c r="AT7855" t="s">
        <v>58</v>
      </c>
      <c r="AU7855" t="s">
        <v>68</v>
      </c>
      <c r="AV7855" t="s">
        <v>69</v>
      </c>
      <c r="AW7855" s="1">
        <v>22100</v>
      </c>
      <c r="AX7855">
        <v>1</v>
      </c>
    </row>
    <row r="7856" spans="1:50">
      <c r="A7856">
        <v>611538</v>
      </c>
      <c r="B7856" t="str">
        <f>"110374229"</f>
        <v>110374229</v>
      </c>
      <c r="C7856" t="s">
        <v>50</v>
      </c>
      <c r="D7856" t="s">
        <v>12316</v>
      </c>
      <c r="E7856" t="s">
        <v>215</v>
      </c>
      <c r="F7856" t="s">
        <v>72</v>
      </c>
      <c r="G7856" t="s">
        <v>73</v>
      </c>
      <c r="H7856" t="str">
        <f>" "</f>
        <v xml:space="preserve"> </v>
      </c>
      <c r="J7856">
        <v>2843071424</v>
      </c>
      <c r="K7856">
        <v>6974096796</v>
      </c>
      <c r="N7856" t="s">
        <v>1525</v>
      </c>
      <c r="O7856" t="s">
        <v>1526</v>
      </c>
      <c r="R7856" t="s">
        <v>57</v>
      </c>
      <c r="S7856">
        <v>6</v>
      </c>
      <c r="T7856">
        <v>233</v>
      </c>
      <c r="U7856" s="1">
        <v>38960</v>
      </c>
      <c r="V7856" t="s">
        <v>5177</v>
      </c>
      <c r="W7856" t="s">
        <v>5178</v>
      </c>
      <c r="X7856" t="s">
        <v>58</v>
      </c>
      <c r="Y7856">
        <v>25</v>
      </c>
      <c r="Z7856" t="s">
        <v>59</v>
      </c>
      <c r="AA7856" t="s">
        <v>59</v>
      </c>
      <c r="AB7856" t="s">
        <v>59</v>
      </c>
      <c r="AC7856" t="s">
        <v>59</v>
      </c>
      <c r="AD7856" t="s">
        <v>59</v>
      </c>
      <c r="AF7856" s="1">
        <v>38961</v>
      </c>
      <c r="AG7856" t="s">
        <v>8651</v>
      </c>
      <c r="AH7856" t="s">
        <v>8652</v>
      </c>
      <c r="AI7856" t="str">
        <f>"9320147"</f>
        <v>9320147</v>
      </c>
      <c r="AJ7856" t="s">
        <v>11932</v>
      </c>
      <c r="AK7856">
        <v>2843023474</v>
      </c>
      <c r="AL7856" t="s">
        <v>11933</v>
      </c>
      <c r="AM7856" t="s">
        <v>4513</v>
      </c>
      <c r="AN7856" t="s">
        <v>4540</v>
      </c>
      <c r="AO7856" t="s">
        <v>4540</v>
      </c>
      <c r="AP7856" t="s">
        <v>4540</v>
      </c>
      <c r="AQ7856">
        <v>8</v>
      </c>
      <c r="AR7856" t="s">
        <v>5177</v>
      </c>
      <c r="AS7856" t="s">
        <v>5178</v>
      </c>
      <c r="AT7856" t="s">
        <v>58</v>
      </c>
      <c r="AU7856" t="s">
        <v>68</v>
      </c>
      <c r="AV7856" t="s">
        <v>69</v>
      </c>
      <c r="AW7856" s="1">
        <v>28679</v>
      </c>
      <c r="AX7856">
        <v>1</v>
      </c>
    </row>
    <row r="7857" spans="1:50">
      <c r="B7857" t="str">
        <f>"138217897"</f>
        <v>138217897</v>
      </c>
      <c r="C7857" t="s">
        <v>50</v>
      </c>
      <c r="D7857" t="s">
        <v>626</v>
      </c>
      <c r="E7857" t="s">
        <v>600</v>
      </c>
      <c r="F7857" t="s">
        <v>230</v>
      </c>
      <c r="G7857" t="s">
        <v>255</v>
      </c>
      <c r="H7857" t="str">
        <f>"ΙΑΣΩΝΟΣ 10 ΚΟΡΥΔΑΛΛΟΣ"</f>
        <v>ΙΑΣΩΝΟΣ 10 ΚΟΡΥΔΑΛΛΟΣ</v>
      </c>
      <c r="I7857">
        <v>18120</v>
      </c>
      <c r="J7857">
        <v>2104955600</v>
      </c>
      <c r="K7857">
        <v>6979121339</v>
      </c>
      <c r="L7857">
        <v>2110113559</v>
      </c>
      <c r="N7857" t="s">
        <v>204</v>
      </c>
      <c r="O7857" t="s">
        <v>205</v>
      </c>
      <c r="R7857" t="s">
        <v>159</v>
      </c>
      <c r="S7857">
        <v>5</v>
      </c>
      <c r="T7857" t="s">
        <v>8675</v>
      </c>
      <c r="U7857" s="1">
        <v>43348</v>
      </c>
      <c r="V7857" t="s">
        <v>5177</v>
      </c>
      <c r="W7857" t="s">
        <v>5178</v>
      </c>
      <c r="X7857" t="s">
        <v>58</v>
      </c>
      <c r="Y7857">
        <v>24</v>
      </c>
      <c r="Z7857" t="s">
        <v>59</v>
      </c>
      <c r="AA7857" t="s">
        <v>59</v>
      </c>
      <c r="AB7857" t="s">
        <v>59</v>
      </c>
      <c r="AC7857" t="s">
        <v>59</v>
      </c>
      <c r="AD7857" t="s">
        <v>59</v>
      </c>
      <c r="AF7857" s="1">
        <v>43348</v>
      </c>
      <c r="AG7857" t="s">
        <v>8645</v>
      </c>
      <c r="AH7857" t="s">
        <v>8646</v>
      </c>
      <c r="AI7857" t="str">
        <f>"9320093"</f>
        <v>9320093</v>
      </c>
      <c r="AJ7857" t="s">
        <v>11967</v>
      </c>
      <c r="AK7857">
        <v>2843025130</v>
      </c>
      <c r="AL7857" t="s">
        <v>11968</v>
      </c>
      <c r="AM7857" t="s">
        <v>4513</v>
      </c>
      <c r="AN7857" t="s">
        <v>4540</v>
      </c>
      <c r="AO7857" t="s">
        <v>4540</v>
      </c>
      <c r="AP7857" t="s">
        <v>4540</v>
      </c>
      <c r="AQ7857">
        <v>8</v>
      </c>
      <c r="AR7857" t="s">
        <v>5177</v>
      </c>
      <c r="AS7857" t="s">
        <v>5178</v>
      </c>
      <c r="AT7857" t="s">
        <v>58</v>
      </c>
      <c r="AU7857" t="s">
        <v>8673</v>
      </c>
      <c r="AV7857" t="s">
        <v>132</v>
      </c>
      <c r="AW7857" s="1">
        <v>30279</v>
      </c>
      <c r="AX7857">
        <v>1</v>
      </c>
    </row>
    <row r="7858" spans="1:50">
      <c r="A7858">
        <v>598887</v>
      </c>
      <c r="B7858" t="str">
        <f>"054398013"</f>
        <v>054398013</v>
      </c>
      <c r="C7858" t="s">
        <v>50</v>
      </c>
      <c r="D7858" t="s">
        <v>6149</v>
      </c>
      <c r="E7858" t="s">
        <v>112</v>
      </c>
      <c r="F7858" t="s">
        <v>95</v>
      </c>
      <c r="G7858" t="s">
        <v>52</v>
      </c>
      <c r="H7858" t="str">
        <f>"ΕΘΝΙΚΗΣ ΑΝΤΙΣΤΑΣΕΩΣ 48 ΑΓΙΟΣ ΝΙΚΟΛΑΟΣ"</f>
        <v>ΕΘΝΙΚΗΣ ΑΝΤΙΣΤΑΣΕΩΣ 48 ΑΓΙΟΣ ΝΙΚΟΛΑΟΣ</v>
      </c>
      <c r="I7858">
        <v>72100</v>
      </c>
      <c r="J7858">
        <v>2841026654</v>
      </c>
      <c r="K7858">
        <v>6942096236</v>
      </c>
      <c r="N7858" t="s">
        <v>1525</v>
      </c>
      <c r="O7858" t="s">
        <v>1526</v>
      </c>
      <c r="R7858" t="s">
        <v>57</v>
      </c>
      <c r="S7858">
        <v>8</v>
      </c>
      <c r="T7858">
        <v>195</v>
      </c>
      <c r="U7858" s="1">
        <v>37501</v>
      </c>
      <c r="V7858" t="s">
        <v>5177</v>
      </c>
      <c r="W7858" t="s">
        <v>5178</v>
      </c>
      <c r="X7858" t="s">
        <v>58</v>
      </c>
      <c r="Y7858">
        <v>25</v>
      </c>
      <c r="Z7858" t="s">
        <v>59</v>
      </c>
      <c r="AA7858" t="s">
        <v>59</v>
      </c>
      <c r="AB7858" t="s">
        <v>59</v>
      </c>
      <c r="AC7858" t="s">
        <v>59</v>
      </c>
      <c r="AD7858" t="s">
        <v>59</v>
      </c>
      <c r="AF7858" s="1">
        <v>37501</v>
      </c>
      <c r="AG7858" t="s">
        <v>8651</v>
      </c>
      <c r="AH7858" t="s">
        <v>8652</v>
      </c>
      <c r="AI7858" t="str">
        <f>"9320057"</f>
        <v>9320057</v>
      </c>
      <c r="AJ7858" t="s">
        <v>12046</v>
      </c>
      <c r="AK7858">
        <v>2841022111</v>
      </c>
      <c r="AL7858" t="s">
        <v>12047</v>
      </c>
      <c r="AM7858" t="s">
        <v>4513</v>
      </c>
      <c r="AN7858" t="s">
        <v>4514</v>
      </c>
      <c r="AO7858" t="s">
        <v>4514</v>
      </c>
      <c r="AP7858" t="s">
        <v>4514</v>
      </c>
      <c r="AQ7858">
        <v>1</v>
      </c>
      <c r="AR7858" t="s">
        <v>5177</v>
      </c>
      <c r="AS7858" t="s">
        <v>5178</v>
      </c>
      <c r="AT7858" t="s">
        <v>58</v>
      </c>
      <c r="AU7858" t="s">
        <v>68</v>
      </c>
      <c r="AV7858" t="s">
        <v>69</v>
      </c>
      <c r="AW7858" s="1">
        <v>25637</v>
      </c>
      <c r="AX7858">
        <v>1</v>
      </c>
    </row>
    <row r="7859" spans="1:50">
      <c r="B7859" t="str">
        <f>"123523671"</f>
        <v>123523671</v>
      </c>
      <c r="C7859" t="s">
        <v>50</v>
      </c>
      <c r="D7859" t="s">
        <v>12317</v>
      </c>
      <c r="E7859" t="s">
        <v>255</v>
      </c>
      <c r="F7859" t="s">
        <v>53</v>
      </c>
      <c r="G7859" t="s">
        <v>476</v>
      </c>
      <c r="H7859" t="str">
        <f>"ΠΛΑΤΩΝΟΣ 62 "</f>
        <v xml:space="preserve">ΠΛΑΤΩΝΟΣ 62 </v>
      </c>
      <c r="I7859">
        <v>50100</v>
      </c>
      <c r="J7859">
        <v>2461036205</v>
      </c>
      <c r="K7859">
        <v>6946682331</v>
      </c>
      <c r="N7859" t="s">
        <v>615</v>
      </c>
      <c r="O7859" t="s">
        <v>616</v>
      </c>
      <c r="R7859" t="s">
        <v>159</v>
      </c>
      <c r="S7859">
        <v>2</v>
      </c>
      <c r="T7859" t="s">
        <v>8675</v>
      </c>
      <c r="U7859" s="1">
        <v>43348</v>
      </c>
      <c r="V7859" t="s">
        <v>5177</v>
      </c>
      <c r="W7859" t="s">
        <v>5178</v>
      </c>
      <c r="X7859" t="s">
        <v>58</v>
      </c>
      <c r="Y7859">
        <v>24</v>
      </c>
      <c r="Z7859" t="s">
        <v>59</v>
      </c>
      <c r="AA7859" t="s">
        <v>59</v>
      </c>
      <c r="AB7859" t="s">
        <v>59</v>
      </c>
      <c r="AC7859" t="s">
        <v>59</v>
      </c>
      <c r="AD7859" t="s">
        <v>59</v>
      </c>
      <c r="AF7859" s="1">
        <v>43348</v>
      </c>
      <c r="AG7859" t="s">
        <v>8645</v>
      </c>
      <c r="AH7859" t="s">
        <v>8676</v>
      </c>
      <c r="AI7859" t="str">
        <f>"9320081"</f>
        <v>9320081</v>
      </c>
      <c r="AJ7859" t="s">
        <v>12119</v>
      </c>
      <c r="AK7859">
        <v>2841051404</v>
      </c>
      <c r="AL7859" t="s">
        <v>12120</v>
      </c>
      <c r="AM7859" t="s">
        <v>4513</v>
      </c>
      <c r="AN7859" t="s">
        <v>4514</v>
      </c>
      <c r="AO7859" t="s">
        <v>4514</v>
      </c>
      <c r="AP7859" t="s">
        <v>12121</v>
      </c>
      <c r="AQ7859">
        <v>2</v>
      </c>
      <c r="AR7859" t="s">
        <v>5177</v>
      </c>
      <c r="AS7859" t="s">
        <v>5178</v>
      </c>
      <c r="AT7859" t="s">
        <v>58</v>
      </c>
      <c r="AU7859" t="s">
        <v>8673</v>
      </c>
      <c r="AV7859" t="s">
        <v>132</v>
      </c>
      <c r="AW7859" s="1">
        <v>30339</v>
      </c>
      <c r="AX7859">
        <v>1</v>
      </c>
    </row>
    <row r="7860" spans="1:50">
      <c r="B7860" t="str">
        <f>"066083264"</f>
        <v>066083264</v>
      </c>
      <c r="C7860" t="s">
        <v>50</v>
      </c>
      <c r="D7860" t="s">
        <v>12318</v>
      </c>
      <c r="E7860" t="s">
        <v>714</v>
      </c>
      <c r="F7860" t="s">
        <v>95</v>
      </c>
      <c r="G7860" t="s">
        <v>237</v>
      </c>
      <c r="H7860" t="str">
        <f>" "</f>
        <v xml:space="preserve"> </v>
      </c>
      <c r="N7860" t="s">
        <v>683</v>
      </c>
      <c r="O7860" t="s">
        <v>684</v>
      </c>
      <c r="R7860" t="s">
        <v>121</v>
      </c>
      <c r="S7860">
        <v>1</v>
      </c>
      <c r="T7860" t="s">
        <v>8675</v>
      </c>
      <c r="U7860" s="1">
        <v>43348</v>
      </c>
      <c r="V7860" t="s">
        <v>5177</v>
      </c>
      <c r="W7860" t="s">
        <v>5178</v>
      </c>
      <c r="X7860" t="s">
        <v>58</v>
      </c>
      <c r="Y7860">
        <v>24</v>
      </c>
      <c r="Z7860" t="s">
        <v>59</v>
      </c>
      <c r="AD7860" t="s">
        <v>59</v>
      </c>
      <c r="AF7860" s="1">
        <v>43348</v>
      </c>
      <c r="AG7860" t="s">
        <v>8645</v>
      </c>
      <c r="AH7860" t="s">
        <v>8646</v>
      </c>
      <c r="AI7860" t="str">
        <f>"9320006"</f>
        <v>9320006</v>
      </c>
      <c r="AJ7860" t="s">
        <v>11919</v>
      </c>
      <c r="AK7860">
        <v>2842022359</v>
      </c>
      <c r="AL7860" t="s">
        <v>11920</v>
      </c>
      <c r="AM7860" t="s">
        <v>4513</v>
      </c>
      <c r="AN7860" t="s">
        <v>4519</v>
      </c>
      <c r="AO7860" t="s">
        <v>4519</v>
      </c>
      <c r="AP7860" t="s">
        <v>4519</v>
      </c>
      <c r="AQ7860">
        <v>4</v>
      </c>
      <c r="AR7860" t="s">
        <v>5177</v>
      </c>
      <c r="AS7860" t="s">
        <v>5178</v>
      </c>
      <c r="AT7860" t="s">
        <v>58</v>
      </c>
      <c r="AU7860" t="s">
        <v>8673</v>
      </c>
      <c r="AV7860" t="s">
        <v>132</v>
      </c>
      <c r="AW7860" s="1">
        <v>26830</v>
      </c>
      <c r="AX7860">
        <v>1</v>
      </c>
    </row>
    <row r="7861" spans="1:50">
      <c r="B7861" t="str">
        <f>"150937178"</f>
        <v>150937178</v>
      </c>
      <c r="C7861" t="s">
        <v>50</v>
      </c>
      <c r="D7861" t="s">
        <v>12319</v>
      </c>
      <c r="E7861" t="s">
        <v>109</v>
      </c>
      <c r="F7861" t="s">
        <v>72</v>
      </c>
      <c r="G7861" t="s">
        <v>191</v>
      </c>
      <c r="H7861" t="str">
        <f>" "</f>
        <v xml:space="preserve"> </v>
      </c>
      <c r="N7861" t="s">
        <v>8694</v>
      </c>
      <c r="O7861" t="s">
        <v>8695</v>
      </c>
      <c r="R7861" t="s">
        <v>159</v>
      </c>
      <c r="S7861">
        <v>1</v>
      </c>
      <c r="T7861" t="s">
        <v>8835</v>
      </c>
      <c r="U7861" s="1">
        <v>43348</v>
      </c>
      <c r="V7861" t="s">
        <v>5177</v>
      </c>
      <c r="W7861" t="s">
        <v>5178</v>
      </c>
      <c r="X7861" t="s">
        <v>58</v>
      </c>
      <c r="Y7861">
        <v>24</v>
      </c>
      <c r="Z7861" t="s">
        <v>59</v>
      </c>
      <c r="AA7861" t="s">
        <v>59</v>
      </c>
      <c r="AB7861" t="s">
        <v>59</v>
      </c>
      <c r="AC7861" t="s">
        <v>59</v>
      </c>
      <c r="AD7861" t="s">
        <v>59</v>
      </c>
      <c r="AF7861" s="1">
        <v>43348</v>
      </c>
      <c r="AG7861" t="s">
        <v>8645</v>
      </c>
      <c r="AH7861" t="s">
        <v>8646</v>
      </c>
      <c r="AI7861" t="str">
        <f>"9320006"</f>
        <v>9320006</v>
      </c>
      <c r="AJ7861" t="s">
        <v>11919</v>
      </c>
      <c r="AK7861">
        <v>2842022359</v>
      </c>
      <c r="AL7861" t="s">
        <v>11920</v>
      </c>
      <c r="AM7861" t="s">
        <v>4513</v>
      </c>
      <c r="AN7861" t="s">
        <v>4519</v>
      </c>
      <c r="AO7861" t="s">
        <v>4519</v>
      </c>
      <c r="AP7861" t="s">
        <v>4519</v>
      </c>
      <c r="AQ7861">
        <v>4</v>
      </c>
      <c r="AR7861" t="s">
        <v>5177</v>
      </c>
      <c r="AS7861" t="s">
        <v>5178</v>
      </c>
      <c r="AT7861" t="s">
        <v>58</v>
      </c>
      <c r="AU7861" t="s">
        <v>131</v>
      </c>
      <c r="AV7861" t="s">
        <v>132</v>
      </c>
      <c r="AW7861" s="1">
        <v>33424</v>
      </c>
      <c r="AX7861">
        <v>1</v>
      </c>
    </row>
    <row r="7862" spans="1:50">
      <c r="A7862">
        <v>701116</v>
      </c>
      <c r="B7862" t="str">
        <f>"140401143"</f>
        <v>140401143</v>
      </c>
      <c r="C7862" t="s">
        <v>50</v>
      </c>
      <c r="D7862" t="s">
        <v>10415</v>
      </c>
      <c r="E7862" t="s">
        <v>109</v>
      </c>
      <c r="F7862" t="s">
        <v>383</v>
      </c>
      <c r="G7862" t="s">
        <v>191</v>
      </c>
      <c r="H7862" t="str">
        <f>"Βαρβάκη 8  "</f>
        <v xml:space="preserve">Βαρβάκη 8  </v>
      </c>
      <c r="I7862">
        <v>41221</v>
      </c>
      <c r="N7862" t="s">
        <v>615</v>
      </c>
      <c r="O7862" t="s">
        <v>616</v>
      </c>
      <c r="R7862" t="s">
        <v>57</v>
      </c>
      <c r="S7862">
        <v>4</v>
      </c>
      <c r="T7862">
        <v>772</v>
      </c>
      <c r="U7862" s="1">
        <v>40413</v>
      </c>
      <c r="V7862" t="s">
        <v>5177</v>
      </c>
      <c r="W7862" t="s">
        <v>5178</v>
      </c>
      <c r="X7862" t="s">
        <v>58</v>
      </c>
      <c r="Y7862">
        <v>24</v>
      </c>
      <c r="Z7862" t="s">
        <v>59</v>
      </c>
      <c r="AA7862" t="s">
        <v>59</v>
      </c>
      <c r="AB7862" t="s">
        <v>59</v>
      </c>
      <c r="AC7862" t="s">
        <v>59</v>
      </c>
      <c r="AD7862" t="s">
        <v>59</v>
      </c>
      <c r="AF7862" s="1">
        <v>40413</v>
      </c>
      <c r="AG7862" t="s">
        <v>8645</v>
      </c>
      <c r="AH7862" t="s">
        <v>8646</v>
      </c>
      <c r="AI7862" t="str">
        <f>"9320098"</f>
        <v>9320098</v>
      </c>
      <c r="AJ7862" t="s">
        <v>12053</v>
      </c>
      <c r="AK7862">
        <v>2843051475</v>
      </c>
      <c r="AL7862" t="s">
        <v>12054</v>
      </c>
      <c r="AM7862" t="s">
        <v>4513</v>
      </c>
      <c r="AN7862" t="s">
        <v>4519</v>
      </c>
      <c r="AO7862" t="s">
        <v>4766</v>
      </c>
      <c r="AP7862" t="s">
        <v>12055</v>
      </c>
      <c r="AQ7862">
        <v>6</v>
      </c>
      <c r="AR7862" t="s">
        <v>5177</v>
      </c>
      <c r="AS7862" t="s">
        <v>5178</v>
      </c>
      <c r="AT7862" t="s">
        <v>58</v>
      </c>
      <c r="AU7862" t="s">
        <v>68</v>
      </c>
      <c r="AV7862" t="s">
        <v>69</v>
      </c>
      <c r="AW7862" s="1">
        <v>31633</v>
      </c>
      <c r="AX7862">
        <v>1</v>
      </c>
    </row>
    <row r="7863" spans="1:50">
      <c r="A7863">
        <v>592941</v>
      </c>
      <c r="B7863" t="str">
        <f>"077225240"</f>
        <v>077225240</v>
      </c>
      <c r="C7863" t="s">
        <v>50</v>
      </c>
      <c r="D7863" t="s">
        <v>12320</v>
      </c>
      <c r="E7863" t="s">
        <v>5794</v>
      </c>
      <c r="F7863" t="s">
        <v>72</v>
      </c>
      <c r="G7863" t="s">
        <v>52</v>
      </c>
      <c r="H7863" t="str">
        <f>"Λ.ΠΑΣΤΕΡ 15 ΑΓΙΟΣ ΝΙΚΟΛΑΟΣ"</f>
        <v>Λ.ΠΑΣΤΕΡ 15 ΑΓΙΟΣ ΝΙΚΟΛΑΟΣ</v>
      </c>
      <c r="I7863">
        <v>72100</v>
      </c>
      <c r="J7863">
        <v>2841028358</v>
      </c>
      <c r="K7863">
        <v>6974566151</v>
      </c>
      <c r="N7863" t="s">
        <v>615</v>
      </c>
      <c r="O7863" t="s">
        <v>616</v>
      </c>
      <c r="R7863" t="s">
        <v>57</v>
      </c>
      <c r="S7863">
        <v>11</v>
      </c>
      <c r="T7863">
        <v>218</v>
      </c>
      <c r="U7863" s="1">
        <v>37134</v>
      </c>
      <c r="V7863" t="s">
        <v>5177</v>
      </c>
      <c r="W7863" t="s">
        <v>5178</v>
      </c>
      <c r="X7863" t="s">
        <v>58</v>
      </c>
      <c r="Y7863">
        <v>22</v>
      </c>
      <c r="Z7863" t="s">
        <v>59</v>
      </c>
      <c r="AA7863" t="s">
        <v>59</v>
      </c>
      <c r="AB7863" t="s">
        <v>59</v>
      </c>
      <c r="AC7863" t="s">
        <v>59</v>
      </c>
      <c r="AD7863" t="s">
        <v>59</v>
      </c>
      <c r="AF7863" s="1">
        <v>37138</v>
      </c>
      <c r="AG7863" t="s">
        <v>8645</v>
      </c>
      <c r="AH7863" t="s">
        <v>8646</v>
      </c>
      <c r="AI7863" t="str">
        <f>"9320058"</f>
        <v>9320058</v>
      </c>
      <c r="AJ7863" t="s">
        <v>11893</v>
      </c>
      <c r="AK7863">
        <v>2841022496</v>
      </c>
      <c r="AL7863" t="s">
        <v>11894</v>
      </c>
      <c r="AM7863" t="s">
        <v>4513</v>
      </c>
      <c r="AN7863" t="s">
        <v>4514</v>
      </c>
      <c r="AO7863" t="s">
        <v>4514</v>
      </c>
      <c r="AP7863" t="s">
        <v>4514</v>
      </c>
      <c r="AQ7863">
        <v>1</v>
      </c>
      <c r="AR7863" t="s">
        <v>5177</v>
      </c>
      <c r="AS7863" t="s">
        <v>5178</v>
      </c>
      <c r="AT7863" t="s">
        <v>58</v>
      </c>
      <c r="AU7863" t="s">
        <v>68</v>
      </c>
      <c r="AV7863" t="s">
        <v>69</v>
      </c>
      <c r="AW7863" s="1">
        <v>26545</v>
      </c>
      <c r="AX7863">
        <v>1</v>
      </c>
    </row>
    <row r="7864" spans="1:50">
      <c r="A7864">
        <v>558015</v>
      </c>
      <c r="B7864" t="str">
        <f>"032354945"</f>
        <v>032354945</v>
      </c>
      <c r="C7864" t="s">
        <v>105</v>
      </c>
      <c r="D7864" t="s">
        <v>12321</v>
      </c>
      <c r="E7864" t="s">
        <v>900</v>
      </c>
      <c r="F7864" t="s">
        <v>166</v>
      </c>
      <c r="G7864" t="s">
        <v>7857</v>
      </c>
      <c r="H7864" t="str">
        <f>"ΠΕΛΟΠΟΝΝΗΣΟΥ 8 ΑΓΙΟΣ ΝΙΚΟΛΑΟΣ"</f>
        <v>ΠΕΛΟΠΟΝΝΗΣΟΥ 8 ΑΓΙΟΣ ΝΙΚΟΛΑΟΣ</v>
      </c>
      <c r="I7864">
        <v>72100</v>
      </c>
      <c r="N7864" t="s">
        <v>615</v>
      </c>
      <c r="O7864" t="s">
        <v>616</v>
      </c>
      <c r="R7864" t="s">
        <v>57</v>
      </c>
      <c r="S7864">
        <v>15</v>
      </c>
      <c r="T7864">
        <v>168</v>
      </c>
      <c r="U7864" s="1">
        <v>32010</v>
      </c>
      <c r="V7864" t="s">
        <v>5177</v>
      </c>
      <c r="W7864" t="s">
        <v>5178</v>
      </c>
      <c r="X7864" t="s">
        <v>58</v>
      </c>
      <c r="Y7864">
        <v>21</v>
      </c>
      <c r="Z7864" t="s">
        <v>59</v>
      </c>
      <c r="AA7864" t="s">
        <v>59</v>
      </c>
      <c r="AB7864" t="s">
        <v>59</v>
      </c>
      <c r="AC7864" t="s">
        <v>59</v>
      </c>
      <c r="AD7864" t="s">
        <v>59</v>
      </c>
      <c r="AF7864" s="1">
        <v>32023</v>
      </c>
      <c r="AG7864" t="s">
        <v>8645</v>
      </c>
      <c r="AH7864" t="s">
        <v>8646</v>
      </c>
      <c r="AI7864" t="str">
        <f>"9521420"</f>
        <v>9521420</v>
      </c>
      <c r="AJ7864" t="s">
        <v>11947</v>
      </c>
      <c r="AK7864">
        <v>2841021022</v>
      </c>
      <c r="AL7864" t="s">
        <v>11948</v>
      </c>
      <c r="AM7864" t="s">
        <v>4513</v>
      </c>
      <c r="AN7864" t="s">
        <v>4514</v>
      </c>
      <c r="AO7864" t="s">
        <v>4514</v>
      </c>
      <c r="AP7864" t="s">
        <v>4514</v>
      </c>
      <c r="AQ7864">
        <v>1</v>
      </c>
      <c r="AR7864" t="s">
        <v>5177</v>
      </c>
      <c r="AS7864" t="s">
        <v>5178</v>
      </c>
      <c r="AT7864" t="s">
        <v>58</v>
      </c>
      <c r="AU7864" t="s">
        <v>68</v>
      </c>
      <c r="AV7864" t="s">
        <v>69</v>
      </c>
      <c r="AW7864" s="1">
        <v>23262</v>
      </c>
      <c r="AX7864">
        <v>1</v>
      </c>
    </row>
    <row r="7865" spans="1:50">
      <c r="B7865" t="str">
        <f>"136097144"</f>
        <v>136097144</v>
      </c>
      <c r="C7865" t="s">
        <v>50</v>
      </c>
      <c r="D7865" t="s">
        <v>12322</v>
      </c>
      <c r="E7865" t="s">
        <v>263</v>
      </c>
      <c r="F7865" t="s">
        <v>95</v>
      </c>
      <c r="G7865" t="s">
        <v>1001</v>
      </c>
      <c r="H7865" t="str">
        <f>"ΑΤΤΑΛΟΥ 14 "</f>
        <v xml:space="preserve">ΑΤΤΑΛΟΥ 14 </v>
      </c>
      <c r="I7865">
        <v>56532</v>
      </c>
      <c r="J7865">
        <v>2310635948</v>
      </c>
      <c r="K7865">
        <v>6932017242</v>
      </c>
      <c r="N7865" t="s">
        <v>1525</v>
      </c>
      <c r="O7865" t="s">
        <v>1526</v>
      </c>
      <c r="R7865" t="s">
        <v>159</v>
      </c>
      <c r="S7865">
        <v>2</v>
      </c>
      <c r="T7865" t="s">
        <v>8670</v>
      </c>
      <c r="U7865" s="1">
        <v>43348</v>
      </c>
      <c r="V7865" t="s">
        <v>5177</v>
      </c>
      <c r="W7865" t="s">
        <v>5178</v>
      </c>
      <c r="X7865" t="s">
        <v>58</v>
      </c>
      <c r="Y7865">
        <v>25</v>
      </c>
      <c r="Z7865" t="s">
        <v>59</v>
      </c>
      <c r="AA7865" t="s">
        <v>59</v>
      </c>
      <c r="AB7865" t="s">
        <v>59</v>
      </c>
      <c r="AC7865" t="s">
        <v>59</v>
      </c>
      <c r="AD7865" t="s">
        <v>59</v>
      </c>
      <c r="AF7865" s="1">
        <v>43348</v>
      </c>
      <c r="AG7865" t="s">
        <v>8651</v>
      </c>
      <c r="AH7865" t="s">
        <v>8652</v>
      </c>
      <c r="AI7865" t="str">
        <f>"9320019"</f>
        <v>9320019</v>
      </c>
      <c r="AJ7865" t="s">
        <v>12088</v>
      </c>
      <c r="AK7865">
        <v>2842031284</v>
      </c>
      <c r="AL7865" t="s">
        <v>12089</v>
      </c>
      <c r="AM7865" t="s">
        <v>4513</v>
      </c>
      <c r="AN7865" t="s">
        <v>4519</v>
      </c>
      <c r="AO7865" t="s">
        <v>4519</v>
      </c>
      <c r="AP7865" t="s">
        <v>12090</v>
      </c>
      <c r="AQ7865">
        <v>5</v>
      </c>
      <c r="AR7865" t="s">
        <v>5177</v>
      </c>
      <c r="AS7865" t="s">
        <v>5178</v>
      </c>
      <c r="AT7865" t="s">
        <v>58</v>
      </c>
      <c r="AU7865" t="s">
        <v>8673</v>
      </c>
      <c r="AV7865" t="s">
        <v>132</v>
      </c>
      <c r="AW7865" s="1">
        <v>31760</v>
      </c>
      <c r="AX7865">
        <v>1</v>
      </c>
    </row>
    <row r="7866" spans="1:50">
      <c r="A7866">
        <v>605702</v>
      </c>
      <c r="B7866" t="str">
        <f>"049680583"</f>
        <v>049680583</v>
      </c>
      <c r="C7866" t="s">
        <v>50</v>
      </c>
      <c r="D7866" t="s">
        <v>2359</v>
      </c>
      <c r="E7866" t="s">
        <v>237</v>
      </c>
      <c r="F7866" t="s">
        <v>4097</v>
      </c>
      <c r="G7866" t="s">
        <v>755</v>
      </c>
      <c r="H7866" t="str">
        <f>"ΔΗΜΟΚΡΑΤΙΑΣ 23Α ΑΓΙΟΣ ΝΙΚΟΛΑΟΣ"</f>
        <v>ΔΗΜΟΚΡΑΤΙΑΣ 23Α ΑΓΙΟΣ ΝΙΚΟΛΑΟΣ</v>
      </c>
      <c r="I7866">
        <v>72100</v>
      </c>
      <c r="J7866">
        <v>2841024427</v>
      </c>
      <c r="K7866">
        <v>6974843872</v>
      </c>
      <c r="N7866" t="s">
        <v>615</v>
      </c>
      <c r="O7866" t="s">
        <v>616</v>
      </c>
      <c r="R7866" t="s">
        <v>57</v>
      </c>
      <c r="S7866">
        <v>7</v>
      </c>
      <c r="T7866">
        <v>231</v>
      </c>
      <c r="U7866" s="1">
        <v>38230</v>
      </c>
      <c r="V7866" t="s">
        <v>5177</v>
      </c>
      <c r="W7866" t="s">
        <v>5178</v>
      </c>
      <c r="X7866" t="s">
        <v>58</v>
      </c>
      <c r="Y7866">
        <v>22</v>
      </c>
      <c r="Z7866" t="s">
        <v>59</v>
      </c>
      <c r="AA7866" t="s">
        <v>59</v>
      </c>
      <c r="AB7866" t="s">
        <v>59</v>
      </c>
      <c r="AC7866" t="s">
        <v>59</v>
      </c>
      <c r="AD7866" t="s">
        <v>59</v>
      </c>
      <c r="AF7866" s="1">
        <v>38231</v>
      </c>
      <c r="AG7866" t="s">
        <v>8645</v>
      </c>
      <c r="AH7866" t="s">
        <v>8646</v>
      </c>
      <c r="AI7866" t="str">
        <f>"9320210"</f>
        <v>9320210</v>
      </c>
      <c r="AJ7866" t="s">
        <v>11890</v>
      </c>
      <c r="AK7866">
        <v>2841026705</v>
      </c>
      <c r="AL7866" t="s">
        <v>11891</v>
      </c>
      <c r="AM7866" t="s">
        <v>4513</v>
      </c>
      <c r="AN7866" t="s">
        <v>4514</v>
      </c>
      <c r="AO7866" t="s">
        <v>4514</v>
      </c>
      <c r="AP7866" t="s">
        <v>4514</v>
      </c>
      <c r="AQ7866">
        <v>1</v>
      </c>
      <c r="AR7866" t="s">
        <v>5177</v>
      </c>
      <c r="AS7866" t="s">
        <v>5178</v>
      </c>
      <c r="AT7866" t="s">
        <v>58</v>
      </c>
      <c r="AU7866" t="s">
        <v>68</v>
      </c>
      <c r="AV7866" t="s">
        <v>69</v>
      </c>
      <c r="AW7866" s="1">
        <v>28084</v>
      </c>
      <c r="AX7866">
        <v>1</v>
      </c>
    </row>
    <row r="7867" spans="1:50">
      <c r="A7867">
        <v>622031</v>
      </c>
      <c r="B7867" t="str">
        <f>"110293699"</f>
        <v>110293699</v>
      </c>
      <c r="C7867" t="s">
        <v>50</v>
      </c>
      <c r="D7867" t="s">
        <v>2361</v>
      </c>
      <c r="E7867" t="s">
        <v>620</v>
      </c>
      <c r="F7867" t="s">
        <v>166</v>
      </c>
      <c r="G7867" t="s">
        <v>52</v>
      </c>
      <c r="H7867" t="str">
        <f>"ΚΟΥΤΣΟΥΝΑΡΙ ΙΕΡΑΠΕΤΡΑ"</f>
        <v>ΚΟΥΤΣΟΥΝΑΡΙ ΙΕΡΑΠΕΤΡΑ</v>
      </c>
      <c r="I7867">
        <v>72200</v>
      </c>
      <c r="J7867">
        <v>2842061647</v>
      </c>
      <c r="K7867">
        <v>6957505753</v>
      </c>
      <c r="N7867" t="s">
        <v>615</v>
      </c>
      <c r="O7867" t="s">
        <v>616</v>
      </c>
      <c r="R7867" t="s">
        <v>57</v>
      </c>
      <c r="S7867">
        <v>4</v>
      </c>
      <c r="T7867">
        <v>653</v>
      </c>
      <c r="U7867" s="1">
        <v>40043</v>
      </c>
      <c r="V7867" t="s">
        <v>5177</v>
      </c>
      <c r="W7867" t="s">
        <v>5178</v>
      </c>
      <c r="X7867" t="s">
        <v>58</v>
      </c>
      <c r="Y7867">
        <v>24</v>
      </c>
      <c r="Z7867" t="s">
        <v>59</v>
      </c>
      <c r="AA7867" t="s">
        <v>59</v>
      </c>
      <c r="AB7867" t="s">
        <v>59</v>
      </c>
      <c r="AC7867" t="s">
        <v>59</v>
      </c>
      <c r="AD7867" t="s">
        <v>59</v>
      </c>
      <c r="AF7867" s="1">
        <v>40043</v>
      </c>
      <c r="AG7867" t="s">
        <v>8645</v>
      </c>
      <c r="AH7867" t="s">
        <v>8646</v>
      </c>
      <c r="AI7867" t="str">
        <f>"9320127"</f>
        <v>9320127</v>
      </c>
      <c r="AJ7867" t="s">
        <v>12040</v>
      </c>
      <c r="AK7867">
        <v>2843051221</v>
      </c>
      <c r="AL7867" t="s">
        <v>12041</v>
      </c>
      <c r="AM7867" t="s">
        <v>4513</v>
      </c>
      <c r="AN7867" t="s">
        <v>4519</v>
      </c>
      <c r="AO7867" t="s">
        <v>4766</v>
      </c>
      <c r="AP7867" t="s">
        <v>4767</v>
      </c>
      <c r="AQ7867">
        <v>6</v>
      </c>
      <c r="AR7867" t="s">
        <v>5177</v>
      </c>
      <c r="AS7867" t="s">
        <v>5178</v>
      </c>
      <c r="AT7867" t="s">
        <v>58</v>
      </c>
      <c r="AU7867" t="s">
        <v>68</v>
      </c>
      <c r="AV7867" t="s">
        <v>69</v>
      </c>
      <c r="AW7867" s="1">
        <v>30778</v>
      </c>
      <c r="AX7867">
        <v>1</v>
      </c>
    </row>
    <row r="7868" spans="1:50">
      <c r="B7868" t="str">
        <f>"110296327"</f>
        <v>110296327</v>
      </c>
      <c r="C7868" t="s">
        <v>105</v>
      </c>
      <c r="D7868" t="s">
        <v>12323</v>
      </c>
      <c r="E7868" t="s">
        <v>95</v>
      </c>
      <c r="F7868" t="s">
        <v>53</v>
      </c>
      <c r="G7868" t="s">
        <v>1078</v>
      </c>
      <c r="H7868" t="str">
        <f>" "</f>
        <v xml:space="preserve"> </v>
      </c>
      <c r="N7868" t="s">
        <v>615</v>
      </c>
      <c r="O7868" t="s">
        <v>616</v>
      </c>
      <c r="R7868" t="s">
        <v>159</v>
      </c>
      <c r="S7868">
        <v>1</v>
      </c>
      <c r="T7868" t="s">
        <v>8675</v>
      </c>
      <c r="U7868" s="1">
        <v>43348</v>
      </c>
      <c r="V7868" t="s">
        <v>5177</v>
      </c>
      <c r="W7868" t="s">
        <v>5178</v>
      </c>
      <c r="X7868" t="s">
        <v>58</v>
      </c>
      <c r="Y7868">
        <v>24</v>
      </c>
      <c r="Z7868" t="s">
        <v>59</v>
      </c>
      <c r="AA7868" t="s">
        <v>59</v>
      </c>
      <c r="AB7868" t="s">
        <v>59</v>
      </c>
      <c r="AD7868" t="s">
        <v>59</v>
      </c>
      <c r="AF7868" s="1">
        <v>43348</v>
      </c>
      <c r="AG7868" t="s">
        <v>8645</v>
      </c>
      <c r="AH7868" t="s">
        <v>8646</v>
      </c>
      <c r="AI7868" t="str">
        <f>"9320028"</f>
        <v>9320028</v>
      </c>
      <c r="AJ7868" t="s">
        <v>12214</v>
      </c>
      <c r="AK7868">
        <v>2842051243</v>
      </c>
      <c r="AL7868" t="s">
        <v>12215</v>
      </c>
      <c r="AM7868" t="s">
        <v>4513</v>
      </c>
      <c r="AN7868" t="s">
        <v>4519</v>
      </c>
      <c r="AO7868" t="s">
        <v>4519</v>
      </c>
      <c r="AP7868" t="s">
        <v>12216</v>
      </c>
      <c r="AQ7868">
        <v>7</v>
      </c>
      <c r="AR7868" t="s">
        <v>5177</v>
      </c>
      <c r="AS7868" t="s">
        <v>5178</v>
      </c>
      <c r="AT7868" t="s">
        <v>58</v>
      </c>
      <c r="AU7868" t="s">
        <v>8673</v>
      </c>
      <c r="AV7868" t="s">
        <v>132</v>
      </c>
      <c r="AW7868" s="1">
        <v>32155</v>
      </c>
      <c r="AX7868">
        <v>1</v>
      </c>
    </row>
    <row r="7869" spans="1:50">
      <c r="A7869">
        <v>618452</v>
      </c>
      <c r="B7869" t="str">
        <f>"125296035"</f>
        <v>125296035</v>
      </c>
      <c r="C7869" t="s">
        <v>50</v>
      </c>
      <c r="D7869" t="s">
        <v>12324</v>
      </c>
      <c r="E7869" t="s">
        <v>250</v>
      </c>
      <c r="F7869" t="s">
        <v>72</v>
      </c>
      <c r="G7869" t="s">
        <v>52</v>
      </c>
      <c r="H7869" t="str">
        <f>"ΑΡΗ ΔΙΚΤΑΙΟΥ ΣΗΤΕΙΑ"</f>
        <v>ΑΡΗ ΔΙΚΤΑΙΟΥ ΣΗΤΕΙΑ</v>
      </c>
      <c r="I7869">
        <v>72300</v>
      </c>
      <c r="J7869">
        <v>2843028459</v>
      </c>
      <c r="K7869">
        <v>6972217986</v>
      </c>
      <c r="M7869" t="s">
        <v>12325</v>
      </c>
      <c r="N7869" t="s">
        <v>615</v>
      </c>
      <c r="O7869" t="s">
        <v>616</v>
      </c>
      <c r="R7869" t="s">
        <v>57</v>
      </c>
      <c r="S7869">
        <v>5</v>
      </c>
      <c r="T7869">
        <v>774</v>
      </c>
      <c r="U7869" s="1">
        <v>39680</v>
      </c>
      <c r="V7869" t="s">
        <v>5177</v>
      </c>
      <c r="W7869" t="s">
        <v>5178</v>
      </c>
      <c r="X7869" t="s">
        <v>58</v>
      </c>
      <c r="Y7869">
        <v>23</v>
      </c>
      <c r="Z7869" t="s">
        <v>59</v>
      </c>
      <c r="AA7869" t="s">
        <v>59</v>
      </c>
      <c r="AB7869" t="s">
        <v>59</v>
      </c>
      <c r="AC7869" t="s">
        <v>59</v>
      </c>
      <c r="AD7869" t="s">
        <v>59</v>
      </c>
      <c r="AF7869" s="1">
        <v>39681</v>
      </c>
      <c r="AG7869" t="s">
        <v>8645</v>
      </c>
      <c r="AH7869" t="s">
        <v>8646</v>
      </c>
      <c r="AI7869" t="str">
        <f>"9320121"</f>
        <v>9320121</v>
      </c>
      <c r="AJ7869" t="s">
        <v>11906</v>
      </c>
      <c r="AK7869">
        <v>2843022036</v>
      </c>
      <c r="AL7869" t="s">
        <v>11907</v>
      </c>
      <c r="AM7869" t="s">
        <v>4513</v>
      </c>
      <c r="AN7869" t="s">
        <v>4540</v>
      </c>
      <c r="AO7869" t="s">
        <v>4540</v>
      </c>
      <c r="AP7869" t="s">
        <v>11908</v>
      </c>
      <c r="AQ7869">
        <v>8</v>
      </c>
      <c r="AR7869" t="s">
        <v>5177</v>
      </c>
      <c r="AS7869" t="s">
        <v>5178</v>
      </c>
      <c r="AT7869" t="s">
        <v>58</v>
      </c>
      <c r="AU7869" t="s">
        <v>68</v>
      </c>
      <c r="AV7869" t="s">
        <v>69</v>
      </c>
      <c r="AW7869" s="1">
        <v>31066</v>
      </c>
      <c r="AX7869">
        <v>1</v>
      </c>
    </row>
    <row r="7870" spans="1:50">
      <c r="A7870">
        <v>703217</v>
      </c>
      <c r="B7870" t="str">
        <f>"061551978"</f>
        <v>061551978</v>
      </c>
      <c r="C7870" t="s">
        <v>50</v>
      </c>
      <c r="D7870" t="s">
        <v>12326</v>
      </c>
      <c r="E7870" t="s">
        <v>476</v>
      </c>
      <c r="F7870" t="s">
        <v>12327</v>
      </c>
      <c r="G7870" t="s">
        <v>52</v>
      </c>
      <c r="H7870" t="str">
        <f>"ΒΑΦΕΙΟΧΩΡΙΟΥ 5-9 ΑΘΗΝΑ"</f>
        <v>ΒΑΦΕΙΟΧΩΡΙΟΥ 5-9 ΑΘΗΝΑ</v>
      </c>
      <c r="I7870">
        <v>11476</v>
      </c>
      <c r="J7870">
        <v>2108224252</v>
      </c>
      <c r="K7870">
        <v>6944862343</v>
      </c>
      <c r="N7870" t="s">
        <v>176</v>
      </c>
      <c r="O7870" t="s">
        <v>177</v>
      </c>
      <c r="R7870" t="s">
        <v>57</v>
      </c>
      <c r="S7870">
        <v>3</v>
      </c>
      <c r="T7870">
        <v>588</v>
      </c>
      <c r="U7870" s="1">
        <v>40778</v>
      </c>
      <c r="V7870" t="s">
        <v>5177</v>
      </c>
      <c r="W7870" t="s">
        <v>5178</v>
      </c>
      <c r="X7870" t="s">
        <v>58</v>
      </c>
      <c r="Y7870">
        <v>24</v>
      </c>
      <c r="Z7870" t="s">
        <v>59</v>
      </c>
      <c r="AA7870" t="s">
        <v>59</v>
      </c>
      <c r="AB7870" t="s">
        <v>59</v>
      </c>
      <c r="AC7870" t="s">
        <v>59</v>
      </c>
      <c r="AD7870" t="s">
        <v>59</v>
      </c>
      <c r="AF7870" s="1">
        <v>40784</v>
      </c>
      <c r="AG7870" t="s">
        <v>8645</v>
      </c>
      <c r="AH7870" t="s">
        <v>8646</v>
      </c>
      <c r="AI7870" t="str">
        <f>"9320079"</f>
        <v>9320079</v>
      </c>
      <c r="AJ7870" t="s">
        <v>11952</v>
      </c>
      <c r="AK7870">
        <v>2841051211</v>
      </c>
      <c r="AL7870" t="s">
        <v>11953</v>
      </c>
      <c r="AM7870" t="s">
        <v>4513</v>
      </c>
      <c r="AN7870" t="s">
        <v>4514</v>
      </c>
      <c r="AO7870" t="s">
        <v>4514</v>
      </c>
      <c r="AP7870" t="s">
        <v>4757</v>
      </c>
      <c r="AQ7870">
        <v>2</v>
      </c>
      <c r="AR7870" t="s">
        <v>5177</v>
      </c>
      <c r="AS7870" t="s">
        <v>5178</v>
      </c>
      <c r="AT7870" t="s">
        <v>58</v>
      </c>
      <c r="AU7870" t="s">
        <v>68</v>
      </c>
      <c r="AV7870" t="s">
        <v>69</v>
      </c>
      <c r="AW7870" s="1">
        <v>26310</v>
      </c>
      <c r="AX7870">
        <v>1</v>
      </c>
    </row>
    <row r="7871" spans="1:50">
      <c r="A7871">
        <v>565181</v>
      </c>
      <c r="B7871" t="str">
        <f>"034134876"</f>
        <v>034134876</v>
      </c>
      <c r="C7871" t="s">
        <v>50</v>
      </c>
      <c r="D7871" t="s">
        <v>2374</v>
      </c>
      <c r="E7871" t="s">
        <v>238</v>
      </c>
      <c r="F7871" t="s">
        <v>99</v>
      </c>
      <c r="G7871" t="s">
        <v>5506</v>
      </c>
      <c r="H7871" t="str">
        <f>"ΕΥΡΩΠΗΣ 13 ΑΓΙΟΣ ΝΙΚΟΛΑΟΣ"</f>
        <v>ΕΥΡΩΠΗΣ 13 ΑΓΙΟΣ ΝΙΚΟΛΑΟΣ</v>
      </c>
      <c r="I7871">
        <v>72100</v>
      </c>
      <c r="J7871">
        <v>2841025409</v>
      </c>
      <c r="N7871" t="s">
        <v>615</v>
      </c>
      <c r="O7871" t="s">
        <v>616</v>
      </c>
      <c r="R7871" t="s">
        <v>57</v>
      </c>
      <c r="S7871">
        <v>15</v>
      </c>
      <c r="T7871">
        <v>161</v>
      </c>
      <c r="U7871" s="1">
        <v>33119</v>
      </c>
      <c r="V7871" t="s">
        <v>5177</v>
      </c>
      <c r="W7871" t="s">
        <v>5178</v>
      </c>
      <c r="X7871" t="s">
        <v>58</v>
      </c>
      <c r="Y7871">
        <v>21</v>
      </c>
      <c r="Z7871" t="s">
        <v>59</v>
      </c>
      <c r="AA7871" t="s">
        <v>59</v>
      </c>
      <c r="AB7871" t="s">
        <v>59</v>
      </c>
      <c r="AC7871" t="s">
        <v>59</v>
      </c>
      <c r="AD7871" t="s">
        <v>59</v>
      </c>
      <c r="AF7871" s="1">
        <v>33120</v>
      </c>
      <c r="AG7871" t="s">
        <v>8645</v>
      </c>
      <c r="AH7871" t="s">
        <v>8646</v>
      </c>
      <c r="AI7871" t="str">
        <f>"9320138"</f>
        <v>9320138</v>
      </c>
      <c r="AJ7871" t="s">
        <v>11915</v>
      </c>
      <c r="AK7871">
        <v>2841022104</v>
      </c>
      <c r="AL7871" t="s">
        <v>11916</v>
      </c>
      <c r="AM7871" t="s">
        <v>4513</v>
      </c>
      <c r="AN7871" t="s">
        <v>4514</v>
      </c>
      <c r="AO7871" t="s">
        <v>4514</v>
      </c>
      <c r="AP7871" t="s">
        <v>4514</v>
      </c>
      <c r="AQ7871">
        <v>1</v>
      </c>
      <c r="AR7871" t="s">
        <v>5177</v>
      </c>
      <c r="AS7871" t="s">
        <v>5178</v>
      </c>
      <c r="AT7871" t="s">
        <v>58</v>
      </c>
      <c r="AU7871" t="s">
        <v>68</v>
      </c>
      <c r="AV7871" t="s">
        <v>69</v>
      </c>
      <c r="AW7871" s="1">
        <v>24378</v>
      </c>
      <c r="AX7871">
        <v>1</v>
      </c>
    </row>
    <row r="7872" spans="1:50">
      <c r="A7872">
        <v>595109</v>
      </c>
      <c r="B7872" t="str">
        <f>"058328456"</f>
        <v>058328456</v>
      </c>
      <c r="C7872" t="s">
        <v>105</v>
      </c>
      <c r="D7872" t="s">
        <v>12328</v>
      </c>
      <c r="E7872" t="s">
        <v>383</v>
      </c>
      <c r="F7872" t="s">
        <v>95</v>
      </c>
      <c r="G7872" t="s">
        <v>54</v>
      </c>
      <c r="H7872" t="str">
        <f>"ΦΑΡΚΑΔΟΝΑ ΤΡΙΚΑΛΩΝ ΦΑΡΚΑΔΟΝΑ ΤΡΙΚΑΛΩΝ"</f>
        <v>ΦΑΡΚΑΔΟΝΑ ΤΡΙΚΑΛΩΝ ΦΑΡΚΑΔΟΝΑ ΤΡΙΚΑΛΩΝ</v>
      </c>
      <c r="I7872">
        <v>42031</v>
      </c>
      <c r="J7872">
        <v>2433022882</v>
      </c>
      <c r="K7872">
        <v>6979787593</v>
      </c>
      <c r="N7872" t="s">
        <v>615</v>
      </c>
      <c r="O7872" t="s">
        <v>616</v>
      </c>
      <c r="R7872" t="s">
        <v>57</v>
      </c>
      <c r="S7872">
        <v>9</v>
      </c>
      <c r="T7872">
        <v>218</v>
      </c>
      <c r="U7872" s="1">
        <v>37134</v>
      </c>
      <c r="V7872" t="s">
        <v>5177</v>
      </c>
      <c r="W7872" t="s">
        <v>5178</v>
      </c>
      <c r="X7872" t="s">
        <v>58</v>
      </c>
      <c r="Y7872">
        <v>22</v>
      </c>
      <c r="Z7872" t="s">
        <v>59</v>
      </c>
      <c r="AA7872" t="s">
        <v>59</v>
      </c>
      <c r="AB7872" t="s">
        <v>59</v>
      </c>
      <c r="AC7872" t="s">
        <v>59</v>
      </c>
      <c r="AD7872" t="s">
        <v>59</v>
      </c>
      <c r="AF7872" s="1">
        <v>37141</v>
      </c>
      <c r="AG7872" t="s">
        <v>8645</v>
      </c>
      <c r="AH7872" t="s">
        <v>8646</v>
      </c>
      <c r="AI7872" t="str">
        <f>"9320098"</f>
        <v>9320098</v>
      </c>
      <c r="AJ7872" t="s">
        <v>12053</v>
      </c>
      <c r="AK7872">
        <v>2843051475</v>
      </c>
      <c r="AL7872" t="s">
        <v>12054</v>
      </c>
      <c r="AM7872" t="s">
        <v>4513</v>
      </c>
      <c r="AN7872" t="s">
        <v>4519</v>
      </c>
      <c r="AO7872" t="s">
        <v>4766</v>
      </c>
      <c r="AP7872" t="s">
        <v>12055</v>
      </c>
      <c r="AQ7872">
        <v>6</v>
      </c>
      <c r="AR7872" t="s">
        <v>5177</v>
      </c>
      <c r="AS7872" t="s">
        <v>5178</v>
      </c>
      <c r="AT7872" t="s">
        <v>58</v>
      </c>
      <c r="AU7872" t="s">
        <v>68</v>
      </c>
      <c r="AV7872" t="s">
        <v>69</v>
      </c>
      <c r="AW7872" s="1">
        <v>24924</v>
      </c>
      <c r="AX7872">
        <v>1</v>
      </c>
    </row>
    <row r="7873" spans="1:50">
      <c r="A7873">
        <v>702076</v>
      </c>
      <c r="B7873" t="str">
        <f>"139417242"</f>
        <v>139417242</v>
      </c>
      <c r="C7873" t="s">
        <v>50</v>
      </c>
      <c r="D7873" t="s">
        <v>12329</v>
      </c>
      <c r="E7873" t="s">
        <v>52</v>
      </c>
      <c r="F7873" t="s">
        <v>99</v>
      </c>
      <c r="G7873" t="s">
        <v>714</v>
      </c>
      <c r="H7873" t="str">
        <f>"Φ. ΚΑΖΑΚΟΥ 3 ΜΑΪΣΤΡΟΣ ΜΑΪΣΤΡΟΣ ΑΛΕΞΑΝΔΡΟΥΠΟΛΗΣ"</f>
        <v>Φ. ΚΑΖΑΚΟΥ 3 ΜΑΪΣΤΡΟΣ ΜΑΪΣΤΡΟΣ ΑΛΕΞΑΝΔΡΟΥΠΟΛΗΣ</v>
      </c>
      <c r="I7873">
        <v>68100</v>
      </c>
      <c r="J7873">
        <v>2551033144</v>
      </c>
      <c r="K7873">
        <v>6973882715</v>
      </c>
      <c r="N7873" t="s">
        <v>615</v>
      </c>
      <c r="O7873" t="s">
        <v>616</v>
      </c>
      <c r="R7873" t="s">
        <v>57</v>
      </c>
      <c r="S7873">
        <v>4</v>
      </c>
      <c r="T7873">
        <v>772</v>
      </c>
      <c r="U7873" s="1">
        <v>40413</v>
      </c>
      <c r="V7873" t="s">
        <v>5177</v>
      </c>
      <c r="W7873" t="s">
        <v>5178</v>
      </c>
      <c r="X7873" t="s">
        <v>58</v>
      </c>
      <c r="Y7873">
        <v>24</v>
      </c>
      <c r="Z7873" t="s">
        <v>59</v>
      </c>
      <c r="AA7873" t="s">
        <v>59</v>
      </c>
      <c r="AB7873" t="s">
        <v>59</v>
      </c>
      <c r="AC7873" t="s">
        <v>59</v>
      </c>
      <c r="AD7873" t="s">
        <v>59</v>
      </c>
      <c r="AF7873" s="1">
        <v>40414</v>
      </c>
      <c r="AG7873" t="s">
        <v>8645</v>
      </c>
      <c r="AH7873" t="s">
        <v>8646</v>
      </c>
      <c r="AI7873" t="str">
        <f>"9320055"</f>
        <v>9320055</v>
      </c>
      <c r="AJ7873" t="s">
        <v>11937</v>
      </c>
      <c r="AK7873">
        <v>2841022326</v>
      </c>
      <c r="AL7873" t="s">
        <v>11938</v>
      </c>
      <c r="AM7873" t="s">
        <v>4513</v>
      </c>
      <c r="AN7873" t="s">
        <v>4514</v>
      </c>
      <c r="AO7873" t="s">
        <v>4514</v>
      </c>
      <c r="AP7873" t="s">
        <v>4514</v>
      </c>
      <c r="AQ7873">
        <v>1</v>
      </c>
      <c r="AR7873" t="s">
        <v>5177</v>
      </c>
      <c r="AS7873" t="s">
        <v>5178</v>
      </c>
      <c r="AT7873" t="s">
        <v>58</v>
      </c>
      <c r="AU7873" t="s">
        <v>68</v>
      </c>
      <c r="AV7873" t="s">
        <v>69</v>
      </c>
      <c r="AW7873" s="1">
        <v>31685</v>
      </c>
      <c r="AX7873">
        <v>1</v>
      </c>
    </row>
    <row r="7874" spans="1:50">
      <c r="B7874" t="str">
        <f>"114783237"</f>
        <v>114783237</v>
      </c>
      <c r="C7874" t="s">
        <v>50</v>
      </c>
      <c r="D7874" t="s">
        <v>12330</v>
      </c>
      <c r="E7874" t="s">
        <v>12331</v>
      </c>
      <c r="F7874" t="s">
        <v>99</v>
      </c>
      <c r="G7874" t="s">
        <v>52</v>
      </c>
      <c r="H7874" t="str">
        <f>"ΡΟΔΩΝ 9 "</f>
        <v xml:space="preserve">ΡΟΔΩΝ 9 </v>
      </c>
      <c r="I7874">
        <v>15772</v>
      </c>
      <c r="J7874">
        <v>2107706240</v>
      </c>
      <c r="K7874">
        <v>6973001269</v>
      </c>
      <c r="N7874" t="s">
        <v>1525</v>
      </c>
      <c r="O7874" t="s">
        <v>1526</v>
      </c>
      <c r="R7874" t="s">
        <v>159</v>
      </c>
      <c r="S7874">
        <v>3</v>
      </c>
      <c r="T7874" t="s">
        <v>8670</v>
      </c>
      <c r="U7874" s="1">
        <v>43348</v>
      </c>
      <c r="V7874" t="s">
        <v>5177</v>
      </c>
      <c r="W7874" t="s">
        <v>5178</v>
      </c>
      <c r="X7874" t="s">
        <v>58</v>
      </c>
      <c r="Y7874">
        <v>25</v>
      </c>
      <c r="Z7874" t="s">
        <v>59</v>
      </c>
      <c r="AA7874" t="s">
        <v>59</v>
      </c>
      <c r="AB7874" t="s">
        <v>59</v>
      </c>
      <c r="AC7874" t="s">
        <v>59</v>
      </c>
      <c r="AD7874" t="s">
        <v>59</v>
      </c>
      <c r="AF7874" s="1">
        <v>43348</v>
      </c>
      <c r="AG7874" t="s">
        <v>8651</v>
      </c>
      <c r="AH7874" t="s">
        <v>8652</v>
      </c>
      <c r="AI7874" t="str">
        <f>"9320033"</f>
        <v>9320033</v>
      </c>
      <c r="AJ7874" t="s">
        <v>12068</v>
      </c>
      <c r="AK7874">
        <v>2841061328</v>
      </c>
      <c r="AL7874" t="s">
        <v>12069</v>
      </c>
      <c r="AM7874" t="s">
        <v>4513</v>
      </c>
      <c r="AN7874" t="s">
        <v>4514</v>
      </c>
      <c r="AO7874" t="s">
        <v>4514</v>
      </c>
      <c r="AP7874" t="s">
        <v>11986</v>
      </c>
      <c r="AQ7874">
        <v>2</v>
      </c>
      <c r="AR7874" t="s">
        <v>5177</v>
      </c>
      <c r="AS7874" t="s">
        <v>5178</v>
      </c>
      <c r="AT7874" t="s">
        <v>58</v>
      </c>
      <c r="AU7874" t="s">
        <v>8673</v>
      </c>
      <c r="AV7874" t="s">
        <v>132</v>
      </c>
      <c r="AW7874" s="1">
        <v>30125</v>
      </c>
      <c r="AX7874">
        <v>1</v>
      </c>
    </row>
    <row r="7875" spans="1:50">
      <c r="A7875">
        <v>607313</v>
      </c>
      <c r="B7875" t="str">
        <f>"049399525"</f>
        <v>049399525</v>
      </c>
      <c r="C7875" t="s">
        <v>50</v>
      </c>
      <c r="D7875" t="s">
        <v>2391</v>
      </c>
      <c r="E7875" t="s">
        <v>52</v>
      </c>
      <c r="F7875" t="s">
        <v>84</v>
      </c>
      <c r="G7875" t="s">
        <v>83</v>
      </c>
      <c r="H7875" t="str">
        <f>"ΣΩΚΡΑΤΟΥΣ 3 ΕΛΟΥΝΤΑ"</f>
        <v>ΣΩΚΡΑΤΟΥΣ 3 ΕΛΟΥΝΤΑ</v>
      </c>
      <c r="I7875">
        <v>72053</v>
      </c>
      <c r="J7875">
        <v>2841042646</v>
      </c>
      <c r="K7875">
        <v>6976806672</v>
      </c>
      <c r="N7875" t="s">
        <v>615</v>
      </c>
      <c r="O7875" t="s">
        <v>616</v>
      </c>
      <c r="R7875" t="s">
        <v>57</v>
      </c>
      <c r="S7875">
        <v>7</v>
      </c>
      <c r="T7875">
        <v>217</v>
      </c>
      <c r="U7875" s="1">
        <v>38596</v>
      </c>
      <c r="V7875" t="s">
        <v>5177</v>
      </c>
      <c r="W7875" t="s">
        <v>5178</v>
      </c>
      <c r="X7875" t="s">
        <v>58</v>
      </c>
      <c r="Y7875">
        <v>23</v>
      </c>
      <c r="Z7875" t="s">
        <v>59</v>
      </c>
      <c r="AA7875" t="s">
        <v>59</v>
      </c>
      <c r="AB7875" t="s">
        <v>59</v>
      </c>
      <c r="AC7875" t="s">
        <v>59</v>
      </c>
      <c r="AD7875" t="s">
        <v>59</v>
      </c>
      <c r="AF7875" s="1">
        <v>38600</v>
      </c>
      <c r="AG7875" t="s">
        <v>8645</v>
      </c>
      <c r="AH7875" t="s">
        <v>8646</v>
      </c>
      <c r="AI7875" t="str">
        <f>"9320071"</f>
        <v>9320071</v>
      </c>
      <c r="AJ7875" t="s">
        <v>12098</v>
      </c>
      <c r="AK7875">
        <v>2841041234</v>
      </c>
      <c r="AL7875" t="s">
        <v>12099</v>
      </c>
      <c r="AM7875" t="s">
        <v>4513</v>
      </c>
      <c r="AN7875" t="s">
        <v>4514</v>
      </c>
      <c r="AO7875" t="s">
        <v>4514</v>
      </c>
      <c r="AP7875" t="s">
        <v>12100</v>
      </c>
      <c r="AQ7875">
        <v>2</v>
      </c>
      <c r="AR7875" t="s">
        <v>5177</v>
      </c>
      <c r="AS7875" t="s">
        <v>5178</v>
      </c>
      <c r="AT7875" t="s">
        <v>58</v>
      </c>
      <c r="AU7875" t="s">
        <v>68</v>
      </c>
      <c r="AV7875" t="s">
        <v>69</v>
      </c>
      <c r="AW7875" s="1">
        <v>28978</v>
      </c>
      <c r="AX7875">
        <v>1</v>
      </c>
    </row>
    <row r="7876" spans="1:50">
      <c r="A7876">
        <v>607314</v>
      </c>
      <c r="B7876" t="str">
        <f>"049399574"</f>
        <v>049399574</v>
      </c>
      <c r="C7876" t="s">
        <v>50</v>
      </c>
      <c r="D7876" t="s">
        <v>2391</v>
      </c>
      <c r="E7876" t="s">
        <v>620</v>
      </c>
      <c r="F7876" t="s">
        <v>84</v>
      </c>
      <c r="G7876" t="s">
        <v>83</v>
      </c>
      <c r="H7876" t="str">
        <f>"ΚΑΖΑΝΤΖΑΚΗ ΕΛΟΥΝΤΑ"</f>
        <v>ΚΑΖΑΝΤΖΑΚΗ ΕΛΟΥΝΤΑ</v>
      </c>
      <c r="I7876">
        <v>72053</v>
      </c>
      <c r="J7876">
        <v>2841042042</v>
      </c>
      <c r="K7876">
        <v>6977192031</v>
      </c>
      <c r="N7876" t="s">
        <v>615</v>
      </c>
      <c r="O7876" t="s">
        <v>616</v>
      </c>
      <c r="R7876" t="s">
        <v>57</v>
      </c>
      <c r="S7876">
        <v>7</v>
      </c>
      <c r="T7876" t="s">
        <v>10441</v>
      </c>
      <c r="U7876" s="1">
        <v>38600</v>
      </c>
      <c r="V7876" t="s">
        <v>5177</v>
      </c>
      <c r="W7876" t="s">
        <v>5178</v>
      </c>
      <c r="X7876" t="s">
        <v>58</v>
      </c>
      <c r="Y7876">
        <v>23</v>
      </c>
      <c r="Z7876" t="s">
        <v>59</v>
      </c>
      <c r="AA7876" t="s">
        <v>59</v>
      </c>
      <c r="AB7876" t="s">
        <v>59</v>
      </c>
      <c r="AC7876" t="s">
        <v>59</v>
      </c>
      <c r="AD7876" t="s">
        <v>59</v>
      </c>
      <c r="AF7876" s="1">
        <v>38600</v>
      </c>
      <c r="AG7876" t="s">
        <v>8645</v>
      </c>
      <c r="AH7876" t="s">
        <v>8646</v>
      </c>
      <c r="AI7876" t="str">
        <f>"9320071"</f>
        <v>9320071</v>
      </c>
      <c r="AJ7876" t="s">
        <v>12098</v>
      </c>
      <c r="AK7876">
        <v>2841041234</v>
      </c>
      <c r="AL7876" t="s">
        <v>12099</v>
      </c>
      <c r="AM7876" t="s">
        <v>4513</v>
      </c>
      <c r="AN7876" t="s">
        <v>4514</v>
      </c>
      <c r="AO7876" t="s">
        <v>4514</v>
      </c>
      <c r="AP7876" t="s">
        <v>12100</v>
      </c>
      <c r="AQ7876">
        <v>2</v>
      </c>
      <c r="AR7876" t="s">
        <v>5177</v>
      </c>
      <c r="AS7876" t="s">
        <v>5178</v>
      </c>
      <c r="AT7876" t="s">
        <v>58</v>
      </c>
      <c r="AU7876" t="s">
        <v>68</v>
      </c>
      <c r="AV7876" t="s">
        <v>69</v>
      </c>
      <c r="AW7876" s="1">
        <v>29440</v>
      </c>
      <c r="AX7876">
        <v>1</v>
      </c>
    </row>
    <row r="7877" spans="1:50">
      <c r="A7877">
        <v>702105</v>
      </c>
      <c r="B7877" t="str">
        <f>"135298269"</f>
        <v>135298269</v>
      </c>
      <c r="C7877" t="s">
        <v>50</v>
      </c>
      <c r="D7877" t="s">
        <v>12332</v>
      </c>
      <c r="E7877" t="s">
        <v>11896</v>
      </c>
      <c r="F7877" t="s">
        <v>309</v>
      </c>
      <c r="G7877" t="s">
        <v>181</v>
      </c>
      <c r="H7877" t="str">
        <f>"ΟΡΦΕΑ 2 ΜΑΪΣΤΡΟΣ ΑΛΕΞΑΝΔΡΟΥΠΟΛΗΣ"</f>
        <v>ΟΡΦΕΑ 2 ΜΑΪΣΤΡΟΣ ΑΛΕΞΑΝΔΡΟΥΠΟΛΗΣ</v>
      </c>
      <c r="I7877">
        <v>68100</v>
      </c>
      <c r="J7877">
        <v>2551024823</v>
      </c>
      <c r="K7877">
        <v>6942211404</v>
      </c>
      <c r="N7877" t="s">
        <v>615</v>
      </c>
      <c r="O7877" t="s">
        <v>616</v>
      </c>
      <c r="R7877" t="s">
        <v>57</v>
      </c>
      <c r="S7877">
        <v>4</v>
      </c>
      <c r="T7877">
        <v>772</v>
      </c>
      <c r="U7877" s="1">
        <v>40413</v>
      </c>
      <c r="V7877" t="s">
        <v>5177</v>
      </c>
      <c r="W7877" t="s">
        <v>5178</v>
      </c>
      <c r="X7877" t="s">
        <v>58</v>
      </c>
      <c r="Y7877">
        <v>25</v>
      </c>
      <c r="Z7877" t="s">
        <v>59</v>
      </c>
      <c r="AA7877" t="s">
        <v>59</v>
      </c>
      <c r="AB7877" t="s">
        <v>59</v>
      </c>
      <c r="AC7877" t="s">
        <v>59</v>
      </c>
      <c r="AD7877" t="s">
        <v>59</v>
      </c>
      <c r="AF7877" s="1">
        <v>40414</v>
      </c>
      <c r="AG7877" t="s">
        <v>8645</v>
      </c>
      <c r="AH7877" t="s">
        <v>8676</v>
      </c>
      <c r="AI7877" t="str">
        <f>"9320126"</f>
        <v>9320126</v>
      </c>
      <c r="AJ7877" t="s">
        <v>12313</v>
      </c>
      <c r="AK7877">
        <v>2843071360</v>
      </c>
      <c r="AL7877" t="s">
        <v>12314</v>
      </c>
      <c r="AM7877" t="s">
        <v>4513</v>
      </c>
      <c r="AN7877" t="s">
        <v>4540</v>
      </c>
      <c r="AO7877" t="s">
        <v>4540</v>
      </c>
      <c r="AP7877" t="s">
        <v>12315</v>
      </c>
      <c r="AQ7877">
        <v>10</v>
      </c>
      <c r="AR7877" t="s">
        <v>5177</v>
      </c>
      <c r="AS7877" t="s">
        <v>5178</v>
      </c>
      <c r="AT7877" t="s">
        <v>58</v>
      </c>
      <c r="AU7877" t="s">
        <v>68</v>
      </c>
      <c r="AV7877" t="s">
        <v>69</v>
      </c>
      <c r="AW7877" s="1">
        <v>31620</v>
      </c>
      <c r="AX7877">
        <v>1</v>
      </c>
    </row>
    <row r="7878" spans="1:50">
      <c r="A7878">
        <v>602531</v>
      </c>
      <c r="B7878" t="str">
        <f>"049697934"</f>
        <v>049697934</v>
      </c>
      <c r="C7878" t="s">
        <v>50</v>
      </c>
      <c r="D7878" t="s">
        <v>12333</v>
      </c>
      <c r="E7878" t="s">
        <v>1644</v>
      </c>
      <c r="F7878" t="s">
        <v>920</v>
      </c>
      <c r="G7878" t="s">
        <v>52</v>
      </c>
      <c r="H7878" t="str">
        <f>"ΜΟΝΗΣ ΦΡΑΡΟΥ 29 ΝΕΑΠΟΛΗ"</f>
        <v>ΜΟΝΗΣ ΦΡΑΡΟΥ 29 ΝΕΑΠΟΛΗ</v>
      </c>
      <c r="I7878">
        <v>72400</v>
      </c>
      <c r="J7878">
        <v>2841033083</v>
      </c>
      <c r="K7878">
        <v>6973824605</v>
      </c>
      <c r="N7878" t="s">
        <v>615</v>
      </c>
      <c r="O7878" t="s">
        <v>616</v>
      </c>
      <c r="R7878" t="s">
        <v>57</v>
      </c>
      <c r="S7878">
        <v>7</v>
      </c>
      <c r="T7878">
        <v>207</v>
      </c>
      <c r="U7878" s="1">
        <v>37866</v>
      </c>
      <c r="V7878" t="s">
        <v>5177</v>
      </c>
      <c r="W7878" t="s">
        <v>5178</v>
      </c>
      <c r="X7878" t="s">
        <v>58</v>
      </c>
      <c r="Y7878">
        <v>22</v>
      </c>
      <c r="Z7878" t="s">
        <v>59</v>
      </c>
      <c r="AA7878" t="s">
        <v>59</v>
      </c>
      <c r="AB7878" t="s">
        <v>59</v>
      </c>
      <c r="AC7878" t="s">
        <v>59</v>
      </c>
      <c r="AD7878" t="s">
        <v>59</v>
      </c>
      <c r="AF7878" s="1">
        <v>37866</v>
      </c>
      <c r="AG7878" t="s">
        <v>8645</v>
      </c>
      <c r="AH7878" t="s">
        <v>8646</v>
      </c>
      <c r="AI7878" t="str">
        <f>"9320063"</f>
        <v>9320063</v>
      </c>
      <c r="AJ7878" t="s">
        <v>12026</v>
      </c>
      <c r="AK7878">
        <v>2841032369</v>
      </c>
      <c r="AL7878" t="s">
        <v>12027</v>
      </c>
      <c r="AM7878" t="s">
        <v>4513</v>
      </c>
      <c r="AN7878" t="s">
        <v>4514</v>
      </c>
      <c r="AO7878" t="s">
        <v>4524</v>
      </c>
      <c r="AP7878" t="s">
        <v>4525</v>
      </c>
      <c r="AQ7878">
        <v>1</v>
      </c>
      <c r="AR7878" t="s">
        <v>5177</v>
      </c>
      <c r="AS7878" t="s">
        <v>5178</v>
      </c>
      <c r="AT7878" t="s">
        <v>58</v>
      </c>
      <c r="AU7878" t="s">
        <v>68</v>
      </c>
      <c r="AV7878" t="s">
        <v>69</v>
      </c>
      <c r="AW7878" s="1">
        <v>29149</v>
      </c>
      <c r="AX7878">
        <v>1</v>
      </c>
    </row>
    <row r="7879" spans="1:50">
      <c r="B7879" t="str">
        <f>"140049272"</f>
        <v>140049272</v>
      </c>
      <c r="C7879" t="s">
        <v>50</v>
      </c>
      <c r="D7879" t="s">
        <v>5057</v>
      </c>
      <c r="E7879" t="s">
        <v>3705</v>
      </c>
      <c r="F7879" t="s">
        <v>166</v>
      </c>
      <c r="G7879" t="s">
        <v>3159</v>
      </c>
      <c r="H7879" t="str">
        <f>" "</f>
        <v xml:space="preserve"> </v>
      </c>
      <c r="N7879" t="s">
        <v>615</v>
      </c>
      <c r="O7879" t="s">
        <v>616</v>
      </c>
      <c r="R7879" t="s">
        <v>121</v>
      </c>
      <c r="S7879">
        <v>1</v>
      </c>
      <c r="T7879" t="s">
        <v>9034</v>
      </c>
      <c r="U7879" s="1">
        <v>43377</v>
      </c>
      <c r="V7879" t="s">
        <v>5177</v>
      </c>
      <c r="W7879" t="s">
        <v>5178</v>
      </c>
      <c r="X7879" t="s">
        <v>58</v>
      </c>
      <c r="Y7879">
        <v>24</v>
      </c>
      <c r="Z7879" t="s">
        <v>59</v>
      </c>
      <c r="AA7879" t="s">
        <v>59</v>
      </c>
      <c r="AB7879" t="s">
        <v>59</v>
      </c>
      <c r="AD7879" t="s">
        <v>59</v>
      </c>
      <c r="AF7879" s="1">
        <v>43377</v>
      </c>
      <c r="AG7879" t="s">
        <v>8645</v>
      </c>
      <c r="AH7879" t="s">
        <v>8646</v>
      </c>
      <c r="AI7879" t="str">
        <f>"9320132"</f>
        <v>9320132</v>
      </c>
      <c r="AJ7879" t="s">
        <v>12072</v>
      </c>
      <c r="AK7879">
        <v>2843094341</v>
      </c>
      <c r="AL7879" t="s">
        <v>12073</v>
      </c>
      <c r="AM7879" t="s">
        <v>4513</v>
      </c>
      <c r="AN7879" t="s">
        <v>4540</v>
      </c>
      <c r="AO7879" t="s">
        <v>4540</v>
      </c>
      <c r="AP7879" t="s">
        <v>12074</v>
      </c>
      <c r="AQ7879">
        <v>10</v>
      </c>
      <c r="AR7879" t="s">
        <v>5177</v>
      </c>
      <c r="AS7879" t="s">
        <v>5178</v>
      </c>
      <c r="AT7879" t="s">
        <v>58</v>
      </c>
      <c r="AU7879" t="s">
        <v>8673</v>
      </c>
      <c r="AV7879" t="s">
        <v>132</v>
      </c>
      <c r="AW7879" s="1">
        <v>32874</v>
      </c>
      <c r="AX7879">
        <v>1</v>
      </c>
    </row>
    <row r="7880" spans="1:50">
      <c r="A7880">
        <v>608382</v>
      </c>
      <c r="B7880" t="str">
        <f>"074128680"</f>
        <v>074128680</v>
      </c>
      <c r="C7880" t="s">
        <v>50</v>
      </c>
      <c r="D7880" t="s">
        <v>2404</v>
      </c>
      <c r="E7880" t="s">
        <v>237</v>
      </c>
      <c r="F7880" t="s">
        <v>760</v>
      </c>
      <c r="G7880" t="s">
        <v>52</v>
      </c>
      <c r="H7880" t="str">
        <f>"ΓΟΥΔΟΥΡΑΣ  ΓΟΥΔΟΥΡΑΣ"</f>
        <v>ΓΟΥΔΟΥΡΑΣ  ΓΟΥΔΟΥΡΑΣ</v>
      </c>
      <c r="J7880">
        <v>2843052256</v>
      </c>
      <c r="K7880">
        <v>6973357497</v>
      </c>
      <c r="N7880" t="s">
        <v>1525</v>
      </c>
      <c r="O7880" t="s">
        <v>1526</v>
      </c>
      <c r="R7880" t="s">
        <v>57</v>
      </c>
      <c r="S7880">
        <v>8</v>
      </c>
      <c r="T7880">
        <v>217</v>
      </c>
      <c r="U7880" s="1">
        <v>38596</v>
      </c>
      <c r="V7880" t="s">
        <v>5177</v>
      </c>
      <c r="W7880" t="s">
        <v>5178</v>
      </c>
      <c r="X7880" t="s">
        <v>58</v>
      </c>
      <c r="Y7880">
        <v>25</v>
      </c>
      <c r="Z7880" t="s">
        <v>59</v>
      </c>
      <c r="AA7880" t="s">
        <v>59</v>
      </c>
      <c r="AB7880" t="s">
        <v>59</v>
      </c>
      <c r="AC7880" t="s">
        <v>59</v>
      </c>
      <c r="AD7880" t="s">
        <v>59</v>
      </c>
      <c r="AF7880" s="1">
        <v>38600</v>
      </c>
      <c r="AG7880" t="s">
        <v>8651</v>
      </c>
      <c r="AH7880" t="s">
        <v>8652</v>
      </c>
      <c r="AI7880" t="str">
        <f>"9320217"</f>
        <v>9320217</v>
      </c>
      <c r="AJ7880" t="s">
        <v>11988</v>
      </c>
      <c r="AK7880">
        <v>2843051412</v>
      </c>
      <c r="AL7880" t="s">
        <v>11989</v>
      </c>
      <c r="AM7880" t="s">
        <v>4513</v>
      </c>
      <c r="AN7880" t="s">
        <v>4540</v>
      </c>
      <c r="AO7880" t="s">
        <v>4547</v>
      </c>
      <c r="AP7880" t="s">
        <v>11973</v>
      </c>
      <c r="AQ7880">
        <v>11</v>
      </c>
      <c r="AR7880" t="s">
        <v>5177</v>
      </c>
      <c r="AS7880" t="s">
        <v>5178</v>
      </c>
      <c r="AT7880" t="s">
        <v>58</v>
      </c>
      <c r="AU7880" t="s">
        <v>68</v>
      </c>
      <c r="AV7880" t="s">
        <v>69</v>
      </c>
      <c r="AW7880" s="1">
        <v>25015</v>
      </c>
      <c r="AX7880">
        <v>1</v>
      </c>
    </row>
    <row r="7881" spans="1:50">
      <c r="A7881">
        <v>610517</v>
      </c>
      <c r="B7881" t="str">
        <f>"113641502"</f>
        <v>113641502</v>
      </c>
      <c r="C7881" t="s">
        <v>105</v>
      </c>
      <c r="D7881" t="s">
        <v>2411</v>
      </c>
      <c r="E7881" t="s">
        <v>72</v>
      </c>
      <c r="F7881" t="s">
        <v>92</v>
      </c>
      <c r="G7881" t="s">
        <v>143</v>
      </c>
      <c r="H7881" t="str">
        <f>"ΕΠΙΜΕΝΙΔΟΥ 15 ΑΓΙΟΣ ΝΙΚΟΛΑΟΣ"</f>
        <v>ΕΠΙΜΕΝΙΔΟΥ 15 ΑΓΙΟΣ ΝΙΚΟΛΑΟΣ</v>
      </c>
      <c r="I7881">
        <v>72100</v>
      </c>
      <c r="J7881">
        <v>2841025641</v>
      </c>
      <c r="K7881">
        <v>6937157533</v>
      </c>
      <c r="N7881" t="s">
        <v>615</v>
      </c>
      <c r="O7881" t="s">
        <v>616</v>
      </c>
      <c r="R7881" t="s">
        <v>57</v>
      </c>
      <c r="S7881">
        <v>8</v>
      </c>
      <c r="T7881">
        <v>233</v>
      </c>
      <c r="U7881" s="1">
        <v>38960</v>
      </c>
      <c r="V7881" t="s">
        <v>5177</v>
      </c>
      <c r="W7881" t="s">
        <v>5178</v>
      </c>
      <c r="X7881" t="s">
        <v>58</v>
      </c>
      <c r="Y7881">
        <v>23</v>
      </c>
      <c r="Z7881" t="s">
        <v>59</v>
      </c>
      <c r="AA7881" t="s">
        <v>59</v>
      </c>
      <c r="AB7881" t="s">
        <v>59</v>
      </c>
      <c r="AC7881" t="s">
        <v>59</v>
      </c>
      <c r="AD7881" t="s">
        <v>59</v>
      </c>
      <c r="AF7881" s="1">
        <v>38961</v>
      </c>
      <c r="AG7881" t="s">
        <v>8645</v>
      </c>
      <c r="AH7881" t="s">
        <v>8646</v>
      </c>
      <c r="AI7881" t="str">
        <f>"9320055"</f>
        <v>9320055</v>
      </c>
      <c r="AJ7881" t="s">
        <v>11937</v>
      </c>
      <c r="AK7881">
        <v>2841022326</v>
      </c>
      <c r="AL7881" t="s">
        <v>11938</v>
      </c>
      <c r="AM7881" t="s">
        <v>4513</v>
      </c>
      <c r="AN7881" t="s">
        <v>4514</v>
      </c>
      <c r="AO7881" t="s">
        <v>4514</v>
      </c>
      <c r="AP7881" t="s">
        <v>4514</v>
      </c>
      <c r="AQ7881">
        <v>1</v>
      </c>
      <c r="AR7881" t="s">
        <v>5177</v>
      </c>
      <c r="AS7881" t="s">
        <v>5178</v>
      </c>
      <c r="AT7881" t="s">
        <v>58</v>
      </c>
      <c r="AU7881" t="s">
        <v>68</v>
      </c>
      <c r="AV7881" t="s">
        <v>69</v>
      </c>
      <c r="AW7881" s="1">
        <v>27676</v>
      </c>
      <c r="AX7881">
        <v>1</v>
      </c>
    </row>
    <row r="7882" spans="1:50">
      <c r="A7882">
        <v>575545</v>
      </c>
      <c r="B7882" t="str">
        <f>"035223465"</f>
        <v>035223465</v>
      </c>
      <c r="C7882" t="s">
        <v>105</v>
      </c>
      <c r="D7882" t="s">
        <v>2421</v>
      </c>
      <c r="E7882" t="s">
        <v>166</v>
      </c>
      <c r="F7882" t="s">
        <v>99</v>
      </c>
      <c r="G7882" t="s">
        <v>52</v>
      </c>
      <c r="H7882" t="str">
        <f>"ΠΗΓΑΪΔΑΚΙΑ ΕΛΟΥΝΤΑ"</f>
        <v>ΠΗΓΑΪΔΑΚΙΑ ΕΛΟΥΝΤΑ</v>
      </c>
      <c r="I7882">
        <v>72053</v>
      </c>
      <c r="J7882">
        <v>2841042386</v>
      </c>
      <c r="K7882">
        <v>6973306253</v>
      </c>
      <c r="N7882" t="s">
        <v>615</v>
      </c>
      <c r="O7882" t="s">
        <v>616</v>
      </c>
      <c r="R7882" t="s">
        <v>57</v>
      </c>
      <c r="S7882">
        <v>19</v>
      </c>
      <c r="T7882">
        <v>184</v>
      </c>
      <c r="U7882" s="1">
        <v>34941</v>
      </c>
      <c r="V7882" t="s">
        <v>5177</v>
      </c>
      <c r="W7882" t="s">
        <v>5178</v>
      </c>
      <c r="X7882" t="s">
        <v>58</v>
      </c>
      <c r="Y7882">
        <v>21</v>
      </c>
      <c r="Z7882" t="s">
        <v>59</v>
      </c>
      <c r="AA7882" t="s">
        <v>59</v>
      </c>
      <c r="AB7882" t="s">
        <v>59</v>
      </c>
      <c r="AC7882" t="s">
        <v>59</v>
      </c>
      <c r="AD7882" t="s">
        <v>59</v>
      </c>
      <c r="AF7882" s="1">
        <v>34947</v>
      </c>
      <c r="AG7882" t="s">
        <v>8645</v>
      </c>
      <c r="AH7882" t="s">
        <v>8646</v>
      </c>
      <c r="AI7882" t="str">
        <f>"9320071"</f>
        <v>9320071</v>
      </c>
      <c r="AJ7882" t="s">
        <v>12098</v>
      </c>
      <c r="AK7882">
        <v>2841041234</v>
      </c>
      <c r="AL7882" t="s">
        <v>12099</v>
      </c>
      <c r="AM7882" t="s">
        <v>4513</v>
      </c>
      <c r="AN7882" t="s">
        <v>4514</v>
      </c>
      <c r="AO7882" t="s">
        <v>4514</v>
      </c>
      <c r="AP7882" t="s">
        <v>12100</v>
      </c>
      <c r="AQ7882">
        <v>2</v>
      </c>
      <c r="AR7882" t="s">
        <v>5177</v>
      </c>
      <c r="AS7882" t="s">
        <v>5178</v>
      </c>
      <c r="AT7882" t="s">
        <v>58</v>
      </c>
      <c r="AU7882" t="s">
        <v>68</v>
      </c>
      <c r="AV7882" t="s">
        <v>69</v>
      </c>
      <c r="AW7882" s="1">
        <v>22997</v>
      </c>
      <c r="AX7882">
        <v>1</v>
      </c>
    </row>
    <row r="7883" spans="1:50">
      <c r="A7883">
        <v>560016</v>
      </c>
      <c r="B7883" t="str">
        <f>"033003805"</f>
        <v>033003805</v>
      </c>
      <c r="C7883" t="s">
        <v>50</v>
      </c>
      <c r="D7883" t="s">
        <v>2423</v>
      </c>
      <c r="E7883" t="s">
        <v>237</v>
      </c>
      <c r="F7883" t="s">
        <v>450</v>
      </c>
      <c r="G7883" t="s">
        <v>155</v>
      </c>
      <c r="H7883" t="str">
        <f>"Κ.ΚΑΡΑΜΑΝΛΗ 55 ΙΕΡΑΠΕΤΡΑ"</f>
        <v>Κ.ΚΑΡΑΜΑΝΛΗ 55 ΙΕΡΑΠΕΤΡΑ</v>
      </c>
      <c r="I7883">
        <v>72200</v>
      </c>
      <c r="J7883">
        <v>2842026518</v>
      </c>
      <c r="N7883" t="s">
        <v>1525</v>
      </c>
      <c r="O7883" t="s">
        <v>1526</v>
      </c>
      <c r="R7883" t="s">
        <v>57</v>
      </c>
      <c r="S7883">
        <v>16</v>
      </c>
      <c r="T7883">
        <v>175</v>
      </c>
      <c r="U7883" s="1">
        <v>32020</v>
      </c>
      <c r="V7883" t="s">
        <v>5177</v>
      </c>
      <c r="W7883" t="s">
        <v>5178</v>
      </c>
      <c r="X7883" t="s">
        <v>58</v>
      </c>
      <c r="Y7883">
        <v>25</v>
      </c>
      <c r="Z7883" t="s">
        <v>59</v>
      </c>
      <c r="AA7883" t="s">
        <v>59</v>
      </c>
      <c r="AB7883" t="s">
        <v>59</v>
      </c>
      <c r="AC7883" t="s">
        <v>59</v>
      </c>
      <c r="AD7883" t="s">
        <v>59</v>
      </c>
      <c r="AF7883" s="1">
        <v>32021</v>
      </c>
      <c r="AG7883" t="s">
        <v>8651</v>
      </c>
      <c r="AH7883" t="s">
        <v>8652</v>
      </c>
      <c r="AI7883" t="str">
        <f>"9320004"</f>
        <v>9320004</v>
      </c>
      <c r="AJ7883" t="s">
        <v>12289</v>
      </c>
      <c r="AK7883">
        <v>2842023709</v>
      </c>
      <c r="AL7883" t="s">
        <v>12290</v>
      </c>
      <c r="AM7883" t="s">
        <v>4513</v>
      </c>
      <c r="AN7883" t="s">
        <v>4519</v>
      </c>
      <c r="AO7883" t="s">
        <v>4519</v>
      </c>
      <c r="AP7883" t="s">
        <v>4519</v>
      </c>
      <c r="AQ7883">
        <v>4</v>
      </c>
      <c r="AR7883" t="s">
        <v>5177</v>
      </c>
      <c r="AS7883" t="s">
        <v>5178</v>
      </c>
      <c r="AT7883" t="s">
        <v>58</v>
      </c>
      <c r="AU7883" t="s">
        <v>68</v>
      </c>
      <c r="AV7883" t="s">
        <v>69</v>
      </c>
      <c r="AW7883" s="1">
        <v>23296</v>
      </c>
      <c r="AX7883">
        <v>1</v>
      </c>
    </row>
    <row r="7884" spans="1:50">
      <c r="A7884">
        <v>229520</v>
      </c>
      <c r="B7884" t="str">
        <f>"103537230"</f>
        <v>103537230</v>
      </c>
      <c r="C7884" t="s">
        <v>105</v>
      </c>
      <c r="D7884" t="s">
        <v>12334</v>
      </c>
      <c r="E7884" t="s">
        <v>84</v>
      </c>
      <c r="F7884" t="s">
        <v>154</v>
      </c>
      <c r="G7884" t="s">
        <v>3934</v>
      </c>
      <c r="H7884" t="str">
        <f>"ΚΥΑΝΗ ΑΚΤΗ 7 ΗΡΑΚΛΕΙΟ"</f>
        <v>ΚΥΑΝΗ ΑΚΤΗ 7 ΗΡΑΚΛΕΙΟ</v>
      </c>
      <c r="J7884">
        <v>2815109524</v>
      </c>
      <c r="K7884">
        <v>6972428640</v>
      </c>
      <c r="M7884" t="s">
        <v>12335</v>
      </c>
      <c r="N7884" t="s">
        <v>204</v>
      </c>
      <c r="O7884" t="s">
        <v>205</v>
      </c>
      <c r="R7884" t="s">
        <v>57</v>
      </c>
      <c r="S7884">
        <v>5</v>
      </c>
      <c r="T7884">
        <v>926</v>
      </c>
      <c r="U7884" s="1">
        <v>40130</v>
      </c>
      <c r="V7884" t="s">
        <v>5177</v>
      </c>
      <c r="W7884" t="s">
        <v>5178</v>
      </c>
      <c r="X7884" t="s">
        <v>58</v>
      </c>
      <c r="Y7884">
        <v>23</v>
      </c>
      <c r="Z7884" t="s">
        <v>59</v>
      </c>
      <c r="AA7884" t="s">
        <v>59</v>
      </c>
      <c r="AB7884" t="s">
        <v>59</v>
      </c>
      <c r="AC7884" t="s">
        <v>59</v>
      </c>
      <c r="AD7884" t="s">
        <v>59</v>
      </c>
      <c r="AF7884" s="1">
        <v>40134</v>
      </c>
      <c r="AG7884" t="s">
        <v>8645</v>
      </c>
      <c r="AH7884" t="s">
        <v>8646</v>
      </c>
      <c r="AI7884" t="str">
        <f>"9320210"</f>
        <v>9320210</v>
      </c>
      <c r="AJ7884" t="s">
        <v>11890</v>
      </c>
      <c r="AK7884">
        <v>2841026705</v>
      </c>
      <c r="AL7884" t="s">
        <v>11891</v>
      </c>
      <c r="AM7884" t="s">
        <v>4513</v>
      </c>
      <c r="AN7884" t="s">
        <v>4514</v>
      </c>
      <c r="AO7884" t="s">
        <v>4514</v>
      </c>
      <c r="AP7884" t="s">
        <v>4514</v>
      </c>
      <c r="AQ7884">
        <v>1</v>
      </c>
      <c r="AR7884" t="s">
        <v>5177</v>
      </c>
      <c r="AS7884" t="s">
        <v>5178</v>
      </c>
      <c r="AT7884" t="s">
        <v>58</v>
      </c>
      <c r="AU7884" t="s">
        <v>68</v>
      </c>
      <c r="AV7884" t="s">
        <v>69</v>
      </c>
      <c r="AW7884" s="1">
        <v>29285</v>
      </c>
      <c r="AX7884">
        <v>1</v>
      </c>
    </row>
    <row r="7885" spans="1:50">
      <c r="A7885">
        <v>598968</v>
      </c>
      <c r="B7885" t="str">
        <f>"053294540"</f>
        <v>053294540</v>
      </c>
      <c r="C7885" t="s">
        <v>105</v>
      </c>
      <c r="D7885" t="s">
        <v>12336</v>
      </c>
      <c r="E7885" t="s">
        <v>383</v>
      </c>
      <c r="F7885" t="s">
        <v>670</v>
      </c>
      <c r="G7885" t="s">
        <v>484</v>
      </c>
      <c r="H7885" t="str">
        <f>"ΜΑΚΡΥ ΓΙΑΛΟΣ ΜΑΚΡΥ ΓΙΑΛΟΣ"</f>
        <v>ΜΑΚΡΥ ΓΙΑΛΟΣ ΜΑΚΡΥ ΓΙΑΛΟΣ</v>
      </c>
      <c r="I7885">
        <v>72055</v>
      </c>
      <c r="K7885">
        <v>6976807575</v>
      </c>
      <c r="N7885" t="s">
        <v>615</v>
      </c>
      <c r="O7885" t="s">
        <v>616</v>
      </c>
      <c r="R7885" t="s">
        <v>57</v>
      </c>
      <c r="S7885">
        <v>9</v>
      </c>
      <c r="T7885">
        <v>195</v>
      </c>
      <c r="U7885" s="1">
        <v>37496</v>
      </c>
      <c r="V7885" t="s">
        <v>5177</v>
      </c>
      <c r="W7885" t="s">
        <v>5178</v>
      </c>
      <c r="X7885" t="s">
        <v>58</v>
      </c>
      <c r="Y7885">
        <v>22</v>
      </c>
      <c r="Z7885" t="s">
        <v>59</v>
      </c>
      <c r="AA7885" t="s">
        <v>59</v>
      </c>
      <c r="AB7885" t="s">
        <v>59</v>
      </c>
      <c r="AC7885" t="s">
        <v>59</v>
      </c>
      <c r="AD7885" t="s">
        <v>59</v>
      </c>
      <c r="AF7885" s="1">
        <v>37501</v>
      </c>
      <c r="AG7885" t="s">
        <v>8645</v>
      </c>
      <c r="AH7885" t="s">
        <v>8646</v>
      </c>
      <c r="AI7885" t="str">
        <f>"9320098"</f>
        <v>9320098</v>
      </c>
      <c r="AJ7885" t="s">
        <v>12053</v>
      </c>
      <c r="AK7885">
        <v>2843051475</v>
      </c>
      <c r="AL7885" t="s">
        <v>12054</v>
      </c>
      <c r="AM7885" t="s">
        <v>4513</v>
      </c>
      <c r="AN7885" t="s">
        <v>4519</v>
      </c>
      <c r="AO7885" t="s">
        <v>4766</v>
      </c>
      <c r="AP7885" t="s">
        <v>12055</v>
      </c>
      <c r="AQ7885">
        <v>6</v>
      </c>
      <c r="AR7885" t="s">
        <v>5177</v>
      </c>
      <c r="AS7885" t="s">
        <v>5178</v>
      </c>
      <c r="AT7885" t="s">
        <v>58</v>
      </c>
      <c r="AU7885" t="s">
        <v>68</v>
      </c>
      <c r="AV7885" t="s">
        <v>69</v>
      </c>
      <c r="AW7885" s="1">
        <v>24399</v>
      </c>
      <c r="AX7885">
        <v>1</v>
      </c>
    </row>
    <row r="7886" spans="1:50">
      <c r="A7886">
        <v>603469</v>
      </c>
      <c r="B7886" t="str">
        <f>"057857958"</f>
        <v>057857958</v>
      </c>
      <c r="C7886" t="s">
        <v>50</v>
      </c>
      <c r="D7886" t="s">
        <v>12337</v>
      </c>
      <c r="E7886" t="s">
        <v>1176</v>
      </c>
      <c r="F7886" t="s">
        <v>670</v>
      </c>
      <c r="G7886" t="s">
        <v>52</v>
      </c>
      <c r="H7886" t="str">
        <f>" "</f>
        <v xml:space="preserve"> </v>
      </c>
      <c r="N7886" t="s">
        <v>5035</v>
      </c>
      <c r="O7886" t="s">
        <v>5036</v>
      </c>
      <c r="R7886" t="s">
        <v>57</v>
      </c>
      <c r="S7886">
        <v>5</v>
      </c>
      <c r="T7886" t="s">
        <v>12338</v>
      </c>
      <c r="U7886" s="1">
        <v>37978</v>
      </c>
      <c r="V7886" t="s">
        <v>5177</v>
      </c>
      <c r="W7886" t="s">
        <v>5178</v>
      </c>
      <c r="X7886" t="s">
        <v>58</v>
      </c>
      <c r="Y7886">
        <v>30</v>
      </c>
      <c r="Z7886" t="s">
        <v>59</v>
      </c>
      <c r="AA7886" t="s">
        <v>59</v>
      </c>
      <c r="AB7886" t="s">
        <v>59</v>
      </c>
      <c r="AC7886" t="s">
        <v>59</v>
      </c>
      <c r="AD7886" t="s">
        <v>59</v>
      </c>
      <c r="AF7886" s="1">
        <v>37978</v>
      </c>
      <c r="AG7886" t="s">
        <v>8645</v>
      </c>
      <c r="AH7886" t="s">
        <v>8697</v>
      </c>
      <c r="AI7886" t="str">
        <f>"9320209"</f>
        <v>9320209</v>
      </c>
      <c r="AJ7886" t="s">
        <v>12009</v>
      </c>
      <c r="AK7886">
        <v>2841026803</v>
      </c>
      <c r="AL7886" t="s">
        <v>12010</v>
      </c>
      <c r="AM7886" t="s">
        <v>4513</v>
      </c>
      <c r="AN7886" t="s">
        <v>4514</v>
      </c>
      <c r="AO7886" t="s">
        <v>4514</v>
      </c>
      <c r="AP7886" t="s">
        <v>4514</v>
      </c>
      <c r="AQ7886">
        <v>1</v>
      </c>
      <c r="AR7886" t="s">
        <v>5177</v>
      </c>
      <c r="AS7886" t="s">
        <v>5178</v>
      </c>
      <c r="AT7886" t="s">
        <v>58</v>
      </c>
      <c r="AU7886" t="s">
        <v>68</v>
      </c>
      <c r="AV7886" t="s">
        <v>69</v>
      </c>
      <c r="AW7886" s="1">
        <v>27830</v>
      </c>
      <c r="AX7886">
        <v>1</v>
      </c>
    </row>
    <row r="7887" spans="1:50">
      <c r="A7887">
        <v>605710</v>
      </c>
      <c r="B7887" t="str">
        <f>"110361720"</f>
        <v>110361720</v>
      </c>
      <c r="C7887" t="s">
        <v>50</v>
      </c>
      <c r="D7887" t="s">
        <v>2448</v>
      </c>
      <c r="E7887" t="s">
        <v>52</v>
      </c>
      <c r="F7887" t="s">
        <v>95</v>
      </c>
      <c r="G7887" t="s">
        <v>2248</v>
      </c>
      <c r="H7887" t="str">
        <f>"ΑΝΤ.ΠΑΤΕΡΟΠΟΥΛΟΥ 14 ΣΗΤΕΙΑ"</f>
        <v>ΑΝΤ.ΠΑΤΕΡΟΠΟΥΛΟΥ 14 ΣΗΤΕΙΑ</v>
      </c>
      <c r="I7887">
        <v>72300</v>
      </c>
      <c r="J7887">
        <v>2843026352</v>
      </c>
      <c r="K7887">
        <v>6976766382</v>
      </c>
      <c r="N7887" t="s">
        <v>615</v>
      </c>
      <c r="O7887" t="s">
        <v>616</v>
      </c>
      <c r="R7887" t="s">
        <v>57</v>
      </c>
      <c r="S7887">
        <v>7</v>
      </c>
      <c r="T7887">
        <v>231</v>
      </c>
      <c r="U7887" s="1">
        <v>38230</v>
      </c>
      <c r="V7887" t="s">
        <v>5177</v>
      </c>
      <c r="W7887" t="s">
        <v>5178</v>
      </c>
      <c r="X7887" t="s">
        <v>58</v>
      </c>
      <c r="Y7887">
        <v>22</v>
      </c>
      <c r="Z7887" t="s">
        <v>59</v>
      </c>
      <c r="AA7887" t="s">
        <v>59</v>
      </c>
      <c r="AB7887" t="s">
        <v>59</v>
      </c>
      <c r="AC7887" t="s">
        <v>59</v>
      </c>
      <c r="AD7887" t="s">
        <v>59</v>
      </c>
      <c r="AF7887" s="1">
        <v>38232</v>
      </c>
      <c r="AG7887" t="s">
        <v>8645</v>
      </c>
      <c r="AH7887" t="s">
        <v>8646</v>
      </c>
      <c r="AI7887" t="str">
        <f>"9520629"</f>
        <v>9520629</v>
      </c>
      <c r="AJ7887" t="s">
        <v>11976</v>
      </c>
      <c r="AK7887">
        <v>2843026678</v>
      </c>
      <c r="AL7887" t="s">
        <v>11977</v>
      </c>
      <c r="AM7887" t="s">
        <v>4513</v>
      </c>
      <c r="AN7887" t="s">
        <v>4540</v>
      </c>
      <c r="AO7887" t="s">
        <v>4540</v>
      </c>
      <c r="AP7887" t="s">
        <v>4540</v>
      </c>
      <c r="AQ7887">
        <v>8</v>
      </c>
      <c r="AR7887" t="s">
        <v>5177</v>
      </c>
      <c r="AS7887" t="s">
        <v>5178</v>
      </c>
      <c r="AT7887" t="s">
        <v>58</v>
      </c>
      <c r="AU7887" t="s">
        <v>68</v>
      </c>
      <c r="AV7887" t="s">
        <v>69</v>
      </c>
      <c r="AW7887" s="1">
        <v>25850</v>
      </c>
      <c r="AX7887">
        <v>1</v>
      </c>
    </row>
    <row r="7888" spans="1:50">
      <c r="A7888">
        <v>615602</v>
      </c>
      <c r="B7888" t="str">
        <f>"052114690"</f>
        <v>052114690</v>
      </c>
      <c r="C7888" t="s">
        <v>50</v>
      </c>
      <c r="D7888" t="s">
        <v>2448</v>
      </c>
      <c r="E7888" t="s">
        <v>1074</v>
      </c>
      <c r="F7888" t="s">
        <v>95</v>
      </c>
      <c r="G7888" t="s">
        <v>2248</v>
      </c>
      <c r="H7888" t="str">
        <f>"ΑΓΙΩΝ ΑΝΑΡΓΥΡΩΝ 9-11 ΓΑΛΑΤΣΙ"</f>
        <v>ΑΓΙΩΝ ΑΝΑΡΓΥΡΩΝ 9-11 ΓΑΛΑΤΣΙ</v>
      </c>
      <c r="I7888">
        <v>11147</v>
      </c>
      <c r="J7888">
        <v>2102911585</v>
      </c>
      <c r="K7888">
        <v>6940872586</v>
      </c>
      <c r="N7888" t="s">
        <v>1525</v>
      </c>
      <c r="O7888" t="s">
        <v>1526</v>
      </c>
      <c r="R7888" t="s">
        <v>57</v>
      </c>
      <c r="S7888">
        <v>6</v>
      </c>
      <c r="T7888">
        <v>598</v>
      </c>
      <c r="U7888" s="1">
        <v>39310</v>
      </c>
      <c r="V7888" t="s">
        <v>5177</v>
      </c>
      <c r="W7888" t="s">
        <v>5178</v>
      </c>
      <c r="X7888" t="s">
        <v>58</v>
      </c>
      <c r="Y7888">
        <v>25</v>
      </c>
      <c r="Z7888" t="s">
        <v>59</v>
      </c>
      <c r="AA7888" t="s">
        <v>59</v>
      </c>
      <c r="AB7888" t="s">
        <v>59</v>
      </c>
      <c r="AC7888" t="s">
        <v>59</v>
      </c>
      <c r="AD7888" t="s">
        <v>59</v>
      </c>
      <c r="AF7888" s="1">
        <v>39328</v>
      </c>
      <c r="AG7888" t="s">
        <v>8651</v>
      </c>
      <c r="AH7888" t="s">
        <v>8652</v>
      </c>
      <c r="AI7888" t="str">
        <f>"9320092"</f>
        <v>9320092</v>
      </c>
      <c r="AJ7888" t="s">
        <v>12064</v>
      </c>
      <c r="AK7888">
        <v>2843022724</v>
      </c>
      <c r="AL7888" t="s">
        <v>12065</v>
      </c>
      <c r="AM7888" t="s">
        <v>4513</v>
      </c>
      <c r="AN7888" t="s">
        <v>4540</v>
      </c>
      <c r="AO7888" t="s">
        <v>4540</v>
      </c>
      <c r="AP7888" t="s">
        <v>4540</v>
      </c>
      <c r="AQ7888">
        <v>8</v>
      </c>
      <c r="AR7888" t="s">
        <v>5177</v>
      </c>
      <c r="AS7888" t="s">
        <v>5178</v>
      </c>
      <c r="AT7888" t="s">
        <v>58</v>
      </c>
      <c r="AU7888" t="s">
        <v>68</v>
      </c>
      <c r="AV7888" t="s">
        <v>69</v>
      </c>
      <c r="AW7888" s="1">
        <v>26401</v>
      </c>
      <c r="AX7888">
        <v>1</v>
      </c>
    </row>
    <row r="7889" spans="1:50">
      <c r="B7889" t="str">
        <f>"139702620"</f>
        <v>139702620</v>
      </c>
      <c r="C7889" t="s">
        <v>50</v>
      </c>
      <c r="D7889" t="s">
        <v>12339</v>
      </c>
      <c r="E7889" t="s">
        <v>620</v>
      </c>
      <c r="F7889" t="s">
        <v>670</v>
      </c>
      <c r="G7889" t="s">
        <v>237</v>
      </c>
      <c r="H7889" t="str">
        <f>" "</f>
        <v xml:space="preserve"> </v>
      </c>
      <c r="N7889" t="s">
        <v>1525</v>
      </c>
      <c r="O7889" t="s">
        <v>1526</v>
      </c>
      <c r="R7889" t="s">
        <v>121</v>
      </c>
      <c r="S7889">
        <v>1</v>
      </c>
      <c r="T7889" t="s">
        <v>10716</v>
      </c>
      <c r="U7889" s="1">
        <v>43377</v>
      </c>
      <c r="V7889" t="s">
        <v>5177</v>
      </c>
      <c r="W7889" t="s">
        <v>5178</v>
      </c>
      <c r="X7889" t="s">
        <v>58</v>
      </c>
      <c r="Y7889">
        <v>25</v>
      </c>
      <c r="Z7889" t="s">
        <v>59</v>
      </c>
      <c r="AD7889" t="s">
        <v>59</v>
      </c>
      <c r="AF7889" s="1">
        <v>43377</v>
      </c>
      <c r="AG7889" t="s">
        <v>8651</v>
      </c>
      <c r="AH7889" t="s">
        <v>8652</v>
      </c>
      <c r="AI7889" t="str">
        <f>"9320078"</f>
        <v>9320078</v>
      </c>
      <c r="AJ7889" t="s">
        <v>12340</v>
      </c>
      <c r="AK7889">
        <v>2841051225</v>
      </c>
      <c r="AL7889" t="s">
        <v>12341</v>
      </c>
      <c r="AM7889" t="s">
        <v>4513</v>
      </c>
      <c r="AN7889" t="s">
        <v>4514</v>
      </c>
      <c r="AO7889" t="s">
        <v>4514</v>
      </c>
      <c r="AP7889" t="s">
        <v>4757</v>
      </c>
      <c r="AQ7889">
        <v>2</v>
      </c>
      <c r="AR7889" t="s">
        <v>5177</v>
      </c>
      <c r="AS7889" t="s">
        <v>5178</v>
      </c>
      <c r="AT7889" t="s">
        <v>58</v>
      </c>
      <c r="AU7889" t="s">
        <v>8673</v>
      </c>
      <c r="AV7889" t="s">
        <v>132</v>
      </c>
      <c r="AW7889" s="1">
        <v>31296</v>
      </c>
      <c r="AX7889">
        <v>1</v>
      </c>
    </row>
    <row r="7890" spans="1:50">
      <c r="A7890">
        <v>575748</v>
      </c>
      <c r="B7890" t="str">
        <f>"035464389"</f>
        <v>035464389</v>
      </c>
      <c r="C7890" t="s">
        <v>105</v>
      </c>
      <c r="D7890" t="s">
        <v>12342</v>
      </c>
      <c r="E7890" t="s">
        <v>95</v>
      </c>
      <c r="F7890" t="s">
        <v>72</v>
      </c>
      <c r="G7890" t="s">
        <v>114</v>
      </c>
      <c r="H7890" t="str">
        <f>"Μ.ΦΡΑΡΟΥ 21 ΑΓΙΟΣ ΝΙΚΟΛΑΟΣ"</f>
        <v>Μ.ΦΡΑΡΟΥ 21 ΑΓΙΟΣ ΝΙΚΟΛΑΟΣ</v>
      </c>
      <c r="I7890">
        <v>72100</v>
      </c>
      <c r="N7890" t="s">
        <v>615</v>
      </c>
      <c r="O7890" t="s">
        <v>616</v>
      </c>
      <c r="P7890" t="s">
        <v>257</v>
      </c>
      <c r="Q7890" t="s">
        <v>258</v>
      </c>
      <c r="R7890" t="s">
        <v>57</v>
      </c>
      <c r="S7890">
        <v>18</v>
      </c>
      <c r="T7890">
        <v>184</v>
      </c>
      <c r="U7890" s="1">
        <v>34941</v>
      </c>
      <c r="V7890" t="s">
        <v>5177</v>
      </c>
      <c r="W7890" t="s">
        <v>5178</v>
      </c>
      <c r="X7890" t="s">
        <v>58</v>
      </c>
      <c r="Y7890">
        <v>21</v>
      </c>
      <c r="Z7890" t="s">
        <v>59</v>
      </c>
      <c r="AA7890" t="s">
        <v>59</v>
      </c>
      <c r="AB7890" t="s">
        <v>59</v>
      </c>
      <c r="AC7890" t="s">
        <v>59</v>
      </c>
      <c r="AD7890" t="s">
        <v>59</v>
      </c>
      <c r="AF7890" s="1">
        <v>34943</v>
      </c>
      <c r="AG7890" t="s">
        <v>8645</v>
      </c>
      <c r="AH7890" t="s">
        <v>8646</v>
      </c>
      <c r="AI7890" t="str">
        <f>"9320060"</f>
        <v>9320060</v>
      </c>
      <c r="AJ7890" t="s">
        <v>12246</v>
      </c>
      <c r="AK7890">
        <v>2841032319</v>
      </c>
      <c r="AL7890" t="s">
        <v>12247</v>
      </c>
      <c r="AM7890" t="s">
        <v>4513</v>
      </c>
      <c r="AN7890" t="s">
        <v>4514</v>
      </c>
      <c r="AO7890" t="s">
        <v>4524</v>
      </c>
      <c r="AP7890" t="s">
        <v>4525</v>
      </c>
      <c r="AQ7890">
        <v>1</v>
      </c>
      <c r="AR7890" t="s">
        <v>5177</v>
      </c>
      <c r="AS7890" t="s">
        <v>5178</v>
      </c>
      <c r="AT7890" t="s">
        <v>58</v>
      </c>
      <c r="AU7890" t="s">
        <v>68</v>
      </c>
      <c r="AV7890" t="s">
        <v>69</v>
      </c>
      <c r="AW7890" s="1">
        <v>23936</v>
      </c>
      <c r="AX7890">
        <v>1</v>
      </c>
    </row>
    <row r="7891" spans="1:50">
      <c r="A7891">
        <v>586635</v>
      </c>
      <c r="B7891" t="str">
        <f>"055224190"</f>
        <v>055224190</v>
      </c>
      <c r="C7891" t="s">
        <v>50</v>
      </c>
      <c r="D7891" t="s">
        <v>5066</v>
      </c>
      <c r="E7891" t="s">
        <v>52</v>
      </c>
      <c r="F7891" t="s">
        <v>72</v>
      </c>
      <c r="G7891" t="s">
        <v>255</v>
      </c>
      <c r="H7891" t="str">
        <f>"ΑΓΙΟΣ ΑΝΤΡΕΑΣ ΙΕΡΑΠΕΤΡΑ"</f>
        <v>ΑΓΙΟΣ ΑΝΤΡΕΑΣ ΙΕΡΑΠΕΤΡΑ</v>
      </c>
      <c r="I7891">
        <v>72200</v>
      </c>
      <c r="J7891">
        <v>2842027544</v>
      </c>
      <c r="N7891" t="s">
        <v>615</v>
      </c>
      <c r="O7891" t="s">
        <v>616</v>
      </c>
      <c r="R7891" t="s">
        <v>57</v>
      </c>
      <c r="S7891">
        <v>10</v>
      </c>
      <c r="T7891">
        <v>165</v>
      </c>
      <c r="U7891" s="1">
        <v>36040</v>
      </c>
      <c r="V7891" t="s">
        <v>5177</v>
      </c>
      <c r="W7891" t="s">
        <v>5178</v>
      </c>
      <c r="X7891" t="s">
        <v>58</v>
      </c>
      <c r="Y7891">
        <v>21</v>
      </c>
      <c r="Z7891" t="s">
        <v>59</v>
      </c>
      <c r="AA7891" t="s">
        <v>59</v>
      </c>
      <c r="AB7891" t="s">
        <v>59</v>
      </c>
      <c r="AC7891" t="s">
        <v>59</v>
      </c>
      <c r="AD7891" t="s">
        <v>59</v>
      </c>
      <c r="AF7891" s="1">
        <v>36042</v>
      </c>
      <c r="AG7891" t="s">
        <v>8645</v>
      </c>
      <c r="AH7891" t="s">
        <v>8646</v>
      </c>
      <c r="AI7891" t="str">
        <f>"9320005"</f>
        <v>9320005</v>
      </c>
      <c r="AJ7891" t="s">
        <v>12004</v>
      </c>
      <c r="AK7891">
        <v>2842022202</v>
      </c>
      <c r="AL7891" t="s">
        <v>12005</v>
      </c>
      <c r="AM7891" t="s">
        <v>4513</v>
      </c>
      <c r="AN7891" t="s">
        <v>4519</v>
      </c>
      <c r="AO7891" t="s">
        <v>4519</v>
      </c>
      <c r="AP7891" t="s">
        <v>4519</v>
      </c>
      <c r="AQ7891">
        <v>4</v>
      </c>
      <c r="AR7891" t="s">
        <v>5177</v>
      </c>
      <c r="AS7891" t="s">
        <v>5178</v>
      </c>
      <c r="AT7891" t="s">
        <v>58</v>
      </c>
      <c r="AU7891" t="s">
        <v>68</v>
      </c>
      <c r="AV7891" t="s">
        <v>69</v>
      </c>
      <c r="AW7891" s="1">
        <v>25127</v>
      </c>
      <c r="AX7891">
        <v>1</v>
      </c>
    </row>
    <row r="7892" spans="1:50">
      <c r="A7892">
        <v>595046</v>
      </c>
      <c r="B7892" t="str">
        <f>"100122111"</f>
        <v>100122111</v>
      </c>
      <c r="C7892" t="s">
        <v>50</v>
      </c>
      <c r="D7892" t="s">
        <v>12343</v>
      </c>
      <c r="E7892" t="s">
        <v>250</v>
      </c>
      <c r="F7892" t="s">
        <v>95</v>
      </c>
      <c r="G7892" t="s">
        <v>52</v>
      </c>
      <c r="H7892" t="str">
        <f>" "</f>
        <v xml:space="preserve"> </v>
      </c>
      <c r="N7892" t="s">
        <v>615</v>
      </c>
      <c r="O7892" t="s">
        <v>616</v>
      </c>
      <c r="R7892" t="s">
        <v>57</v>
      </c>
      <c r="S7892">
        <v>8</v>
      </c>
      <c r="T7892">
        <v>218</v>
      </c>
      <c r="U7892" s="1">
        <v>37134</v>
      </c>
      <c r="V7892" t="s">
        <v>5177</v>
      </c>
      <c r="W7892" t="s">
        <v>5178</v>
      </c>
      <c r="X7892" t="s">
        <v>58</v>
      </c>
      <c r="Y7892">
        <v>22</v>
      </c>
      <c r="Z7892" t="s">
        <v>59</v>
      </c>
      <c r="AA7892" t="s">
        <v>59</v>
      </c>
      <c r="AB7892" t="s">
        <v>59</v>
      </c>
      <c r="AC7892" t="s">
        <v>59</v>
      </c>
      <c r="AD7892" t="s">
        <v>59</v>
      </c>
      <c r="AF7892" s="1">
        <v>37141</v>
      </c>
      <c r="AG7892" t="s">
        <v>8645</v>
      </c>
      <c r="AH7892" t="s">
        <v>8646</v>
      </c>
      <c r="AI7892" t="str">
        <f>"9320005"</f>
        <v>9320005</v>
      </c>
      <c r="AJ7892" t="s">
        <v>12004</v>
      </c>
      <c r="AK7892">
        <v>2842022202</v>
      </c>
      <c r="AL7892" t="s">
        <v>12005</v>
      </c>
      <c r="AM7892" t="s">
        <v>4513</v>
      </c>
      <c r="AN7892" t="s">
        <v>4519</v>
      </c>
      <c r="AO7892" t="s">
        <v>4519</v>
      </c>
      <c r="AP7892" t="s">
        <v>4519</v>
      </c>
      <c r="AQ7892">
        <v>4</v>
      </c>
      <c r="AR7892" t="s">
        <v>5177</v>
      </c>
      <c r="AS7892" t="s">
        <v>5178</v>
      </c>
      <c r="AT7892" t="s">
        <v>58</v>
      </c>
      <c r="AU7892" t="s">
        <v>68</v>
      </c>
      <c r="AV7892" t="s">
        <v>69</v>
      </c>
      <c r="AW7892" s="1">
        <v>27672</v>
      </c>
      <c r="AX7892">
        <v>1</v>
      </c>
    </row>
    <row r="7893" spans="1:50">
      <c r="A7893">
        <v>618733</v>
      </c>
      <c r="B7893" t="str">
        <f>"140016148"</f>
        <v>140016148</v>
      </c>
      <c r="C7893" t="s">
        <v>50</v>
      </c>
      <c r="D7893" t="s">
        <v>2487</v>
      </c>
      <c r="E7893" t="s">
        <v>188</v>
      </c>
      <c r="F7893" t="s">
        <v>106</v>
      </c>
      <c r="G7893" t="s">
        <v>109</v>
      </c>
      <c r="H7893" t="str">
        <f>"ΚΑΛΛΙΘΕΑ ΙΕΡΑΠΕΤΡΑ"</f>
        <v>ΚΑΛΛΙΘΕΑ ΙΕΡΑΠΕΤΡΑ</v>
      </c>
      <c r="I7893">
        <v>72200</v>
      </c>
      <c r="J7893">
        <v>2842080041</v>
      </c>
      <c r="K7893">
        <v>6948083221</v>
      </c>
      <c r="M7893" t="s">
        <v>12344</v>
      </c>
      <c r="N7893" t="s">
        <v>615</v>
      </c>
      <c r="O7893" t="s">
        <v>616</v>
      </c>
      <c r="R7893" t="s">
        <v>57</v>
      </c>
      <c r="S7893">
        <v>5</v>
      </c>
      <c r="T7893">
        <v>774</v>
      </c>
      <c r="U7893" s="1">
        <v>39680</v>
      </c>
      <c r="V7893" t="s">
        <v>5177</v>
      </c>
      <c r="W7893" t="s">
        <v>5178</v>
      </c>
      <c r="X7893" t="s">
        <v>58</v>
      </c>
      <c r="Y7893">
        <v>23</v>
      </c>
      <c r="Z7893" t="s">
        <v>59</v>
      </c>
      <c r="AA7893" t="s">
        <v>59</v>
      </c>
      <c r="AB7893" t="s">
        <v>59</v>
      </c>
      <c r="AC7893" t="s">
        <v>59</v>
      </c>
      <c r="AD7893" t="s">
        <v>59</v>
      </c>
      <c r="AF7893" s="1">
        <v>39682</v>
      </c>
      <c r="AG7893" t="s">
        <v>8645</v>
      </c>
      <c r="AH7893" t="s">
        <v>8646</v>
      </c>
      <c r="AI7893" t="str">
        <f>"9320012"</f>
        <v>9320012</v>
      </c>
      <c r="AJ7893" t="s">
        <v>11921</v>
      </c>
      <c r="AK7893">
        <v>2842041253</v>
      </c>
      <c r="AL7893" t="s">
        <v>11922</v>
      </c>
      <c r="AM7893" t="s">
        <v>4513</v>
      </c>
      <c r="AN7893" t="s">
        <v>4519</v>
      </c>
      <c r="AO7893" t="s">
        <v>4519</v>
      </c>
      <c r="AP7893" t="s">
        <v>11899</v>
      </c>
      <c r="AQ7893">
        <v>7</v>
      </c>
      <c r="AR7893" t="s">
        <v>5177</v>
      </c>
      <c r="AS7893" t="s">
        <v>5178</v>
      </c>
      <c r="AT7893" t="s">
        <v>58</v>
      </c>
      <c r="AU7893" t="s">
        <v>68</v>
      </c>
      <c r="AV7893" t="s">
        <v>69</v>
      </c>
      <c r="AW7893" s="1">
        <v>30810</v>
      </c>
      <c r="AX7893">
        <v>1</v>
      </c>
    </row>
    <row r="7894" spans="1:50">
      <c r="A7894">
        <v>570366</v>
      </c>
      <c r="B7894" t="str">
        <f>"051814959"</f>
        <v>051814959</v>
      </c>
      <c r="C7894" t="s">
        <v>105</v>
      </c>
      <c r="D7894" t="s">
        <v>12345</v>
      </c>
      <c r="E7894" t="s">
        <v>72</v>
      </c>
      <c r="F7894" t="s">
        <v>95</v>
      </c>
      <c r="G7894" t="s">
        <v>54</v>
      </c>
      <c r="H7894" t="str">
        <f>"ΔΑΙΔΑΛΟΥ 8 ΙΕΡΑΠΕΤΡΑ"</f>
        <v>ΔΑΙΔΑΛΟΥ 8 ΙΕΡΑΠΕΤΡΑ</v>
      </c>
      <c r="I7894">
        <v>72200</v>
      </c>
      <c r="N7894" t="s">
        <v>615</v>
      </c>
      <c r="O7894" t="s">
        <v>616</v>
      </c>
      <c r="R7894" t="s">
        <v>57</v>
      </c>
      <c r="S7894">
        <v>13</v>
      </c>
      <c r="T7894">
        <v>138</v>
      </c>
      <c r="U7894" s="1">
        <v>34206</v>
      </c>
      <c r="V7894" t="s">
        <v>5177</v>
      </c>
      <c r="W7894" t="s">
        <v>5178</v>
      </c>
      <c r="X7894" t="s">
        <v>58</v>
      </c>
      <c r="Y7894">
        <v>21</v>
      </c>
      <c r="Z7894" t="s">
        <v>59</v>
      </c>
      <c r="AA7894" t="s">
        <v>59</v>
      </c>
      <c r="AB7894" t="s">
        <v>59</v>
      </c>
      <c r="AC7894" t="s">
        <v>59</v>
      </c>
      <c r="AD7894" t="s">
        <v>59</v>
      </c>
      <c r="AF7894" s="1">
        <v>34213</v>
      </c>
      <c r="AG7894" t="s">
        <v>8645</v>
      </c>
      <c r="AH7894" t="s">
        <v>8646</v>
      </c>
      <c r="AI7894" t="str">
        <f>"9320005"</f>
        <v>9320005</v>
      </c>
      <c r="AJ7894" t="s">
        <v>12004</v>
      </c>
      <c r="AK7894">
        <v>2842022202</v>
      </c>
      <c r="AL7894" t="s">
        <v>12005</v>
      </c>
      <c r="AM7894" t="s">
        <v>4513</v>
      </c>
      <c r="AN7894" t="s">
        <v>4519</v>
      </c>
      <c r="AO7894" t="s">
        <v>4519</v>
      </c>
      <c r="AP7894" t="s">
        <v>4519</v>
      </c>
      <c r="AQ7894">
        <v>4</v>
      </c>
      <c r="AR7894" t="s">
        <v>5177</v>
      </c>
      <c r="AS7894" t="s">
        <v>5178</v>
      </c>
      <c r="AT7894" t="s">
        <v>58</v>
      </c>
      <c r="AU7894" t="s">
        <v>68</v>
      </c>
      <c r="AV7894" t="s">
        <v>69</v>
      </c>
      <c r="AW7894" s="1">
        <v>23034</v>
      </c>
      <c r="AX7894">
        <v>1</v>
      </c>
    </row>
    <row r="7895" spans="1:50">
      <c r="A7895">
        <v>592831</v>
      </c>
      <c r="B7895" t="str">
        <f>"049612783"</f>
        <v>049612783</v>
      </c>
      <c r="C7895" t="s">
        <v>50</v>
      </c>
      <c r="D7895" t="s">
        <v>5070</v>
      </c>
      <c r="E7895" t="s">
        <v>52</v>
      </c>
      <c r="F7895" t="s">
        <v>12346</v>
      </c>
      <c r="G7895" t="s">
        <v>1361</v>
      </c>
      <c r="H7895" t="str">
        <f>"ΠΕΡΤΣΙΒΑΛΗ 9 ΣΗΤΕΙΑ"</f>
        <v>ΠΕΡΤΣΙΒΑΛΗ 9 ΣΗΤΕΙΑ</v>
      </c>
      <c r="I7895">
        <v>72300</v>
      </c>
      <c r="J7895">
        <v>2843023906</v>
      </c>
      <c r="K7895">
        <v>6938092551</v>
      </c>
      <c r="N7895" t="s">
        <v>615</v>
      </c>
      <c r="O7895" t="s">
        <v>616</v>
      </c>
      <c r="R7895" t="s">
        <v>57</v>
      </c>
      <c r="S7895">
        <v>8</v>
      </c>
      <c r="T7895">
        <v>218</v>
      </c>
      <c r="U7895" s="1">
        <v>37134</v>
      </c>
      <c r="V7895" t="s">
        <v>5177</v>
      </c>
      <c r="W7895" t="s">
        <v>5178</v>
      </c>
      <c r="X7895" t="s">
        <v>58</v>
      </c>
      <c r="Y7895">
        <v>22</v>
      </c>
      <c r="Z7895" t="s">
        <v>59</v>
      </c>
      <c r="AA7895" t="s">
        <v>59</v>
      </c>
      <c r="AB7895" t="s">
        <v>59</v>
      </c>
      <c r="AC7895" t="s">
        <v>59</v>
      </c>
      <c r="AD7895" t="s">
        <v>59</v>
      </c>
      <c r="AF7895" s="1">
        <v>37141</v>
      </c>
      <c r="AG7895" t="s">
        <v>8645</v>
      </c>
      <c r="AH7895" t="s">
        <v>8646</v>
      </c>
      <c r="AI7895" t="str">
        <f>"9320205"</f>
        <v>9320205</v>
      </c>
      <c r="AJ7895" t="s">
        <v>11902</v>
      </c>
      <c r="AK7895">
        <v>2843024509</v>
      </c>
      <c r="AL7895" t="s">
        <v>11903</v>
      </c>
      <c r="AM7895" t="s">
        <v>4513</v>
      </c>
      <c r="AN7895" t="s">
        <v>4540</v>
      </c>
      <c r="AO7895" t="s">
        <v>4540</v>
      </c>
      <c r="AP7895" t="s">
        <v>4540</v>
      </c>
      <c r="AQ7895">
        <v>8</v>
      </c>
      <c r="AR7895" t="s">
        <v>5177</v>
      </c>
      <c r="AS7895" t="s">
        <v>5178</v>
      </c>
      <c r="AT7895" t="s">
        <v>58</v>
      </c>
      <c r="AU7895" t="s">
        <v>68</v>
      </c>
      <c r="AV7895" t="s">
        <v>69</v>
      </c>
      <c r="AW7895" s="1">
        <v>27849</v>
      </c>
      <c r="AX7895">
        <v>1</v>
      </c>
    </row>
    <row r="7896" spans="1:50">
      <c r="B7896" t="str">
        <f>"147051215"</f>
        <v>147051215</v>
      </c>
      <c r="C7896" t="s">
        <v>50</v>
      </c>
      <c r="D7896" t="s">
        <v>5070</v>
      </c>
      <c r="E7896" t="s">
        <v>52</v>
      </c>
      <c r="F7896" t="s">
        <v>72</v>
      </c>
      <c r="G7896" t="s">
        <v>5469</v>
      </c>
      <c r="H7896" t="str">
        <f>" "</f>
        <v xml:space="preserve"> </v>
      </c>
      <c r="N7896" t="s">
        <v>615</v>
      </c>
      <c r="O7896" t="s">
        <v>616</v>
      </c>
      <c r="R7896" t="s">
        <v>159</v>
      </c>
      <c r="S7896">
        <v>1</v>
      </c>
      <c r="T7896" t="s">
        <v>8675</v>
      </c>
      <c r="U7896" s="1">
        <v>43348</v>
      </c>
      <c r="V7896" t="s">
        <v>5177</v>
      </c>
      <c r="W7896" t="s">
        <v>5178</v>
      </c>
      <c r="X7896" t="s">
        <v>58</v>
      </c>
      <c r="Y7896">
        <v>24</v>
      </c>
      <c r="Z7896" t="s">
        <v>59</v>
      </c>
      <c r="AA7896" t="s">
        <v>59</v>
      </c>
      <c r="AB7896" t="s">
        <v>59</v>
      </c>
      <c r="AD7896" t="s">
        <v>59</v>
      </c>
      <c r="AF7896" s="1">
        <v>43348</v>
      </c>
      <c r="AG7896" t="s">
        <v>8645</v>
      </c>
      <c r="AH7896" t="s">
        <v>8646</v>
      </c>
      <c r="AI7896" t="str">
        <f>"9320060"</f>
        <v>9320060</v>
      </c>
      <c r="AJ7896" t="s">
        <v>12246</v>
      </c>
      <c r="AK7896">
        <v>2841032319</v>
      </c>
      <c r="AL7896" t="s">
        <v>12247</v>
      </c>
      <c r="AM7896" t="s">
        <v>4513</v>
      </c>
      <c r="AN7896" t="s">
        <v>4514</v>
      </c>
      <c r="AO7896" t="s">
        <v>4524</v>
      </c>
      <c r="AP7896" t="s">
        <v>4525</v>
      </c>
      <c r="AQ7896">
        <v>1</v>
      </c>
      <c r="AR7896" t="s">
        <v>5177</v>
      </c>
      <c r="AS7896" t="s">
        <v>5178</v>
      </c>
      <c r="AT7896" t="s">
        <v>58</v>
      </c>
      <c r="AU7896" t="s">
        <v>8673</v>
      </c>
      <c r="AV7896" t="s">
        <v>132</v>
      </c>
      <c r="AW7896" s="1">
        <v>32174</v>
      </c>
      <c r="AX7896">
        <v>1</v>
      </c>
    </row>
    <row r="7897" spans="1:50">
      <c r="A7897">
        <v>593957</v>
      </c>
      <c r="B7897" t="str">
        <f>"061902734"</f>
        <v>061902734</v>
      </c>
      <c r="C7897" t="s">
        <v>50</v>
      </c>
      <c r="D7897" t="s">
        <v>12347</v>
      </c>
      <c r="E7897" t="s">
        <v>52</v>
      </c>
      <c r="F7897" t="s">
        <v>510</v>
      </c>
      <c r="G7897" t="s">
        <v>237</v>
      </c>
      <c r="H7897" t="str">
        <f>"Εμμ. Σταυρακάκη 66 Σητεία"</f>
        <v>Εμμ. Σταυρακάκη 66 Σητεία</v>
      </c>
      <c r="I7897">
        <v>72300</v>
      </c>
      <c r="J7897">
        <v>2843023720</v>
      </c>
      <c r="K7897">
        <v>6979727273</v>
      </c>
      <c r="N7897" t="s">
        <v>615</v>
      </c>
      <c r="O7897" t="s">
        <v>616</v>
      </c>
      <c r="R7897" t="s">
        <v>57</v>
      </c>
      <c r="S7897">
        <v>8</v>
      </c>
      <c r="T7897">
        <v>218</v>
      </c>
      <c r="U7897" s="1">
        <v>37134</v>
      </c>
      <c r="V7897" t="s">
        <v>5177</v>
      </c>
      <c r="W7897" t="s">
        <v>5178</v>
      </c>
      <c r="X7897" t="s">
        <v>58</v>
      </c>
      <c r="Y7897">
        <v>25</v>
      </c>
      <c r="Z7897" t="s">
        <v>59</v>
      </c>
      <c r="AA7897" t="s">
        <v>59</v>
      </c>
      <c r="AB7897" t="s">
        <v>59</v>
      </c>
      <c r="AC7897" t="s">
        <v>59</v>
      </c>
      <c r="AD7897" t="s">
        <v>59</v>
      </c>
      <c r="AF7897" s="1">
        <v>37138</v>
      </c>
      <c r="AG7897" t="s">
        <v>8645</v>
      </c>
      <c r="AH7897" t="s">
        <v>8676</v>
      </c>
      <c r="AI7897" t="str">
        <f>"9320099"</f>
        <v>9320099</v>
      </c>
      <c r="AJ7897" t="s">
        <v>11881</v>
      </c>
      <c r="AK7897">
        <v>2843031331</v>
      </c>
      <c r="AL7897" t="s">
        <v>11882</v>
      </c>
      <c r="AM7897" t="s">
        <v>4513</v>
      </c>
      <c r="AN7897" t="s">
        <v>4540</v>
      </c>
      <c r="AO7897" t="s">
        <v>4547</v>
      </c>
      <c r="AP7897" t="s">
        <v>11883</v>
      </c>
      <c r="AQ7897">
        <v>11</v>
      </c>
      <c r="AR7897" t="s">
        <v>5177</v>
      </c>
      <c r="AS7897" t="s">
        <v>5178</v>
      </c>
      <c r="AT7897" t="s">
        <v>58</v>
      </c>
      <c r="AU7897" t="s">
        <v>68</v>
      </c>
      <c r="AV7897" t="s">
        <v>69</v>
      </c>
      <c r="AW7897" s="1">
        <v>28359</v>
      </c>
      <c r="AX7897">
        <v>1</v>
      </c>
    </row>
    <row r="7898" spans="1:50">
      <c r="A7898">
        <v>593933</v>
      </c>
      <c r="B7898" t="str">
        <f>"055023759"</f>
        <v>055023759</v>
      </c>
      <c r="C7898" t="s">
        <v>50</v>
      </c>
      <c r="D7898" t="s">
        <v>12348</v>
      </c>
      <c r="E7898" t="s">
        <v>484</v>
      </c>
      <c r="F7898" t="s">
        <v>670</v>
      </c>
      <c r="G7898" t="s">
        <v>3666</v>
      </c>
      <c r="H7898" t="str">
        <f>"ΕΠΙΣΚΟΠΟΥ ΖΑΧΑΡΙΑ 8 ΣΗΤΕΙΑ"</f>
        <v>ΕΠΙΣΚΟΠΟΥ ΖΑΧΑΡΙΑ 8 ΣΗΤΕΙΑ</v>
      </c>
      <c r="I7898">
        <v>72300</v>
      </c>
      <c r="J7898">
        <v>2843025479</v>
      </c>
      <c r="K7898">
        <v>6945293623</v>
      </c>
      <c r="N7898" t="s">
        <v>615</v>
      </c>
      <c r="O7898" t="s">
        <v>616</v>
      </c>
      <c r="R7898" t="s">
        <v>57</v>
      </c>
      <c r="S7898">
        <v>9</v>
      </c>
      <c r="T7898">
        <v>218</v>
      </c>
      <c r="U7898" s="1">
        <v>37134</v>
      </c>
      <c r="V7898" t="s">
        <v>5177</v>
      </c>
      <c r="W7898" t="s">
        <v>5178</v>
      </c>
      <c r="X7898" t="s">
        <v>58</v>
      </c>
      <c r="Y7898">
        <v>22</v>
      </c>
      <c r="Z7898" t="s">
        <v>59</v>
      </c>
      <c r="AA7898" t="s">
        <v>59</v>
      </c>
      <c r="AB7898" t="s">
        <v>59</v>
      </c>
      <c r="AC7898" t="s">
        <v>59</v>
      </c>
      <c r="AD7898" t="s">
        <v>59</v>
      </c>
      <c r="AF7898" s="1">
        <v>37139</v>
      </c>
      <c r="AG7898" t="s">
        <v>8645</v>
      </c>
      <c r="AH7898" t="s">
        <v>8646</v>
      </c>
      <c r="AI7898" t="str">
        <f>"9320093"</f>
        <v>9320093</v>
      </c>
      <c r="AJ7898" t="s">
        <v>11967</v>
      </c>
      <c r="AK7898">
        <v>2843025130</v>
      </c>
      <c r="AL7898" t="s">
        <v>11968</v>
      </c>
      <c r="AM7898" t="s">
        <v>4513</v>
      </c>
      <c r="AN7898" t="s">
        <v>4540</v>
      </c>
      <c r="AO7898" t="s">
        <v>4540</v>
      </c>
      <c r="AP7898" t="s">
        <v>4540</v>
      </c>
      <c r="AQ7898">
        <v>8</v>
      </c>
      <c r="AR7898" t="s">
        <v>5177</v>
      </c>
      <c r="AS7898" t="s">
        <v>5178</v>
      </c>
      <c r="AT7898" t="s">
        <v>58</v>
      </c>
      <c r="AU7898" t="s">
        <v>68</v>
      </c>
      <c r="AV7898" t="s">
        <v>357</v>
      </c>
      <c r="AW7898" s="1">
        <v>25424</v>
      </c>
      <c r="AX7898">
        <v>1</v>
      </c>
    </row>
    <row r="7899" spans="1:50">
      <c r="B7899" t="str">
        <f>"152111782"</f>
        <v>152111782</v>
      </c>
      <c r="C7899" t="s">
        <v>50</v>
      </c>
      <c r="D7899" t="s">
        <v>12349</v>
      </c>
      <c r="E7899" t="s">
        <v>484</v>
      </c>
      <c r="F7899" t="s">
        <v>230</v>
      </c>
      <c r="G7899" t="s">
        <v>237</v>
      </c>
      <c r="H7899" t="str">
        <f>"ΚΡΙΤΣΑ ΛΑΣΙΘΙΟΥ ΚΡΙΤΣΑ ΛΑΣΙΘΙΟΥ"</f>
        <v>ΚΡΙΤΣΑ ΛΑΣΙΘΙΟΥ ΚΡΙΤΣΑ ΛΑΣΙΘΙΟΥ</v>
      </c>
      <c r="J7899">
        <v>2841052114</v>
      </c>
      <c r="K7899">
        <v>6981211804</v>
      </c>
      <c r="N7899" t="s">
        <v>615</v>
      </c>
      <c r="O7899" t="s">
        <v>616</v>
      </c>
      <c r="R7899" t="s">
        <v>159</v>
      </c>
      <c r="S7899">
        <v>1</v>
      </c>
      <c r="T7899" t="s">
        <v>8675</v>
      </c>
      <c r="U7899" s="1">
        <v>43348</v>
      </c>
      <c r="V7899" t="s">
        <v>5177</v>
      </c>
      <c r="W7899" t="s">
        <v>5178</v>
      </c>
      <c r="X7899" t="s">
        <v>58</v>
      </c>
      <c r="Y7899">
        <v>25</v>
      </c>
      <c r="Z7899" t="s">
        <v>59</v>
      </c>
      <c r="AA7899" t="s">
        <v>59</v>
      </c>
      <c r="AB7899" t="s">
        <v>59</v>
      </c>
      <c r="AC7899" t="s">
        <v>59</v>
      </c>
      <c r="AD7899" t="s">
        <v>59</v>
      </c>
      <c r="AF7899" s="1">
        <v>43348</v>
      </c>
      <c r="AG7899" t="s">
        <v>8645</v>
      </c>
      <c r="AH7899" t="s">
        <v>8676</v>
      </c>
      <c r="AI7899" t="str">
        <f>"9320081"</f>
        <v>9320081</v>
      </c>
      <c r="AJ7899" t="s">
        <v>12119</v>
      </c>
      <c r="AK7899">
        <v>2841051404</v>
      </c>
      <c r="AL7899" t="s">
        <v>12120</v>
      </c>
      <c r="AM7899" t="s">
        <v>4513</v>
      </c>
      <c r="AN7899" t="s">
        <v>4514</v>
      </c>
      <c r="AO7899" t="s">
        <v>4514</v>
      </c>
      <c r="AP7899" t="s">
        <v>12121</v>
      </c>
      <c r="AQ7899">
        <v>2</v>
      </c>
      <c r="AR7899" t="s">
        <v>5177</v>
      </c>
      <c r="AS7899" t="s">
        <v>5178</v>
      </c>
      <c r="AT7899" t="s">
        <v>58</v>
      </c>
      <c r="AU7899" t="s">
        <v>8673</v>
      </c>
      <c r="AV7899" t="s">
        <v>132</v>
      </c>
      <c r="AW7899" s="1">
        <v>32920</v>
      </c>
      <c r="AX7899">
        <v>1</v>
      </c>
    </row>
    <row r="7900" spans="1:50">
      <c r="A7900">
        <v>604523</v>
      </c>
      <c r="B7900" t="str">
        <f>"110371971"</f>
        <v>110371971</v>
      </c>
      <c r="C7900" t="s">
        <v>50</v>
      </c>
      <c r="D7900" t="s">
        <v>7742</v>
      </c>
      <c r="E7900" t="s">
        <v>237</v>
      </c>
      <c r="F7900" t="s">
        <v>95</v>
      </c>
      <c r="G7900" t="s">
        <v>563</v>
      </c>
      <c r="H7900" t="str">
        <f>"Β.ΟΥΓΚΩ 12 ΣΗΤΕΙΑ"</f>
        <v>Β.ΟΥΓΚΩ 12 ΣΗΤΕΙΑ</v>
      </c>
      <c r="I7900">
        <v>72300</v>
      </c>
      <c r="J7900">
        <v>2843024735</v>
      </c>
      <c r="K7900">
        <v>6972915277</v>
      </c>
      <c r="N7900" t="s">
        <v>615</v>
      </c>
      <c r="O7900" t="s">
        <v>616</v>
      </c>
      <c r="R7900" t="s">
        <v>57</v>
      </c>
      <c r="S7900">
        <v>7</v>
      </c>
      <c r="T7900">
        <v>231</v>
      </c>
      <c r="U7900" s="1">
        <v>38230</v>
      </c>
      <c r="V7900" t="s">
        <v>5177</v>
      </c>
      <c r="W7900" t="s">
        <v>5178</v>
      </c>
      <c r="X7900" t="s">
        <v>58</v>
      </c>
      <c r="Y7900">
        <v>22</v>
      </c>
      <c r="Z7900" t="s">
        <v>59</v>
      </c>
      <c r="AA7900" t="s">
        <v>59</v>
      </c>
      <c r="AB7900" t="s">
        <v>59</v>
      </c>
      <c r="AC7900" t="s">
        <v>59</v>
      </c>
      <c r="AD7900" t="s">
        <v>59</v>
      </c>
      <c r="AF7900" s="1">
        <v>38231</v>
      </c>
      <c r="AG7900" t="s">
        <v>8645</v>
      </c>
      <c r="AH7900" t="s">
        <v>8646</v>
      </c>
      <c r="AI7900" t="str">
        <f>"9320093"</f>
        <v>9320093</v>
      </c>
      <c r="AJ7900" t="s">
        <v>11967</v>
      </c>
      <c r="AK7900">
        <v>2843025130</v>
      </c>
      <c r="AL7900" t="s">
        <v>11968</v>
      </c>
      <c r="AM7900" t="s">
        <v>4513</v>
      </c>
      <c r="AN7900" t="s">
        <v>4540</v>
      </c>
      <c r="AO7900" t="s">
        <v>4540</v>
      </c>
      <c r="AP7900" t="s">
        <v>4540</v>
      </c>
      <c r="AQ7900">
        <v>8</v>
      </c>
      <c r="AR7900" t="s">
        <v>5177</v>
      </c>
      <c r="AS7900" t="s">
        <v>5178</v>
      </c>
      <c r="AT7900" t="s">
        <v>58</v>
      </c>
      <c r="AU7900" t="s">
        <v>68</v>
      </c>
      <c r="AV7900" t="s">
        <v>69</v>
      </c>
      <c r="AW7900" s="1">
        <v>28218</v>
      </c>
      <c r="AX7900">
        <v>1</v>
      </c>
    </row>
    <row r="7901" spans="1:50">
      <c r="A7901">
        <v>613218</v>
      </c>
      <c r="B7901" t="str">
        <f>"075839579"</f>
        <v>075839579</v>
      </c>
      <c r="C7901" t="s">
        <v>50</v>
      </c>
      <c r="D7901" t="s">
        <v>7742</v>
      </c>
      <c r="E7901" t="s">
        <v>659</v>
      </c>
      <c r="F7901" t="s">
        <v>72</v>
      </c>
      <c r="G7901" t="s">
        <v>52</v>
      </c>
      <c r="H7901" t="str">
        <f>"ΚΑΖΑΝΤΖΑΚΗ 11 ΙΕΡΑΠΕΤΡΑ"</f>
        <v>ΚΑΖΑΝΤΖΑΚΗ 11 ΙΕΡΑΠΕΤΡΑ</v>
      </c>
      <c r="I7901">
        <v>72200</v>
      </c>
      <c r="J7901">
        <v>2842026718</v>
      </c>
      <c r="K7901">
        <v>6946587814</v>
      </c>
      <c r="N7901" t="s">
        <v>615</v>
      </c>
      <c r="O7901" t="s">
        <v>616</v>
      </c>
      <c r="R7901" t="s">
        <v>57</v>
      </c>
      <c r="S7901">
        <v>8</v>
      </c>
      <c r="T7901">
        <v>598</v>
      </c>
      <c r="U7901" s="1">
        <v>39310</v>
      </c>
      <c r="V7901" t="s">
        <v>5177</v>
      </c>
      <c r="W7901" t="s">
        <v>5178</v>
      </c>
      <c r="X7901" t="s">
        <v>58</v>
      </c>
      <c r="Y7901">
        <v>22</v>
      </c>
      <c r="Z7901" t="s">
        <v>59</v>
      </c>
      <c r="AA7901" t="s">
        <v>59</v>
      </c>
      <c r="AB7901" t="s">
        <v>452</v>
      </c>
      <c r="AC7901" t="s">
        <v>59</v>
      </c>
      <c r="AD7901" t="s">
        <v>59</v>
      </c>
      <c r="AF7901" s="1">
        <v>39328</v>
      </c>
      <c r="AG7901" t="s">
        <v>8645</v>
      </c>
      <c r="AH7901" t="s">
        <v>8646</v>
      </c>
      <c r="AI7901" t="str">
        <f>"9320163"</f>
        <v>9320163</v>
      </c>
      <c r="AJ7901" t="s">
        <v>12012</v>
      </c>
      <c r="AK7901">
        <v>2842024595</v>
      </c>
      <c r="AL7901" t="s">
        <v>12013</v>
      </c>
      <c r="AM7901" t="s">
        <v>4513</v>
      </c>
      <c r="AN7901" t="s">
        <v>4519</v>
      </c>
      <c r="AO7901" t="s">
        <v>4519</v>
      </c>
      <c r="AP7901" t="s">
        <v>4519</v>
      </c>
      <c r="AQ7901">
        <v>4</v>
      </c>
      <c r="AR7901" t="s">
        <v>5177</v>
      </c>
      <c r="AS7901" t="s">
        <v>5178</v>
      </c>
      <c r="AT7901" t="s">
        <v>58</v>
      </c>
      <c r="AU7901" t="s">
        <v>68</v>
      </c>
      <c r="AV7901" t="s">
        <v>2039</v>
      </c>
      <c r="AW7901" s="1">
        <v>27080</v>
      </c>
      <c r="AX7901">
        <v>1</v>
      </c>
    </row>
    <row r="7902" spans="1:50">
      <c r="A7902">
        <v>614253</v>
      </c>
      <c r="B7902" t="str">
        <f>"110371960"</f>
        <v>110371960</v>
      </c>
      <c r="C7902" t="s">
        <v>50</v>
      </c>
      <c r="D7902" t="s">
        <v>7742</v>
      </c>
      <c r="E7902" t="s">
        <v>215</v>
      </c>
      <c r="F7902" t="s">
        <v>95</v>
      </c>
      <c r="G7902" t="s">
        <v>563</v>
      </c>
      <c r="H7902" t="str">
        <f>"ΒΙΚΤΩΡΟΣ ΟΥΓΚΩ  12 ΣΗΤΕΙΑ"</f>
        <v>ΒΙΚΤΩΡΟΣ ΟΥΓΚΩ  12 ΣΗΤΕΙΑ</v>
      </c>
      <c r="I7902">
        <v>72300</v>
      </c>
      <c r="J7902">
        <v>2843028485</v>
      </c>
      <c r="K7902">
        <v>6976977859</v>
      </c>
      <c r="N7902" t="s">
        <v>615</v>
      </c>
      <c r="O7902" t="s">
        <v>616</v>
      </c>
      <c r="R7902" t="s">
        <v>57</v>
      </c>
      <c r="S7902">
        <v>7</v>
      </c>
      <c r="T7902">
        <v>598</v>
      </c>
      <c r="U7902" s="1">
        <v>39310</v>
      </c>
      <c r="V7902" t="s">
        <v>5177</v>
      </c>
      <c r="W7902" t="s">
        <v>5178</v>
      </c>
      <c r="X7902" t="s">
        <v>58</v>
      </c>
      <c r="Y7902">
        <v>23</v>
      </c>
      <c r="Z7902" t="s">
        <v>59</v>
      </c>
      <c r="AA7902" t="s">
        <v>59</v>
      </c>
      <c r="AB7902" t="s">
        <v>59</v>
      </c>
      <c r="AC7902" t="s">
        <v>59</v>
      </c>
      <c r="AD7902" t="s">
        <v>59</v>
      </c>
      <c r="AF7902" s="1">
        <v>39325</v>
      </c>
      <c r="AG7902" t="s">
        <v>8645</v>
      </c>
      <c r="AH7902" t="s">
        <v>8646</v>
      </c>
      <c r="AI7902" t="str">
        <f>"9320093"</f>
        <v>9320093</v>
      </c>
      <c r="AJ7902" t="s">
        <v>11967</v>
      </c>
      <c r="AK7902">
        <v>2843025130</v>
      </c>
      <c r="AL7902" t="s">
        <v>11968</v>
      </c>
      <c r="AM7902" t="s">
        <v>4513</v>
      </c>
      <c r="AN7902" t="s">
        <v>4540</v>
      </c>
      <c r="AO7902" t="s">
        <v>4540</v>
      </c>
      <c r="AP7902" t="s">
        <v>4540</v>
      </c>
      <c r="AQ7902">
        <v>8</v>
      </c>
      <c r="AR7902" t="s">
        <v>5177</v>
      </c>
      <c r="AS7902" t="s">
        <v>5178</v>
      </c>
      <c r="AT7902" t="s">
        <v>58</v>
      </c>
      <c r="AU7902" t="s">
        <v>68</v>
      </c>
      <c r="AV7902" t="s">
        <v>69</v>
      </c>
      <c r="AW7902" s="1">
        <v>29183</v>
      </c>
      <c r="AX7902">
        <v>1</v>
      </c>
    </row>
    <row r="7903" spans="1:50">
      <c r="A7903">
        <v>604527</v>
      </c>
      <c r="B7903" t="str">
        <f>"065961485"</f>
        <v>065961485</v>
      </c>
      <c r="C7903" t="s">
        <v>50</v>
      </c>
      <c r="D7903" t="s">
        <v>7742</v>
      </c>
      <c r="E7903" t="s">
        <v>52</v>
      </c>
      <c r="F7903" t="s">
        <v>95</v>
      </c>
      <c r="G7903" t="s">
        <v>563</v>
      </c>
      <c r="H7903" t="str">
        <f>"Β.ΟΥΓΚΩ 12 ΣΗΤΕΙΑ"</f>
        <v>Β.ΟΥΓΚΩ 12 ΣΗΤΕΙΑ</v>
      </c>
      <c r="I7903">
        <v>72300</v>
      </c>
      <c r="J7903">
        <v>2843025588</v>
      </c>
      <c r="K7903">
        <v>6976333774</v>
      </c>
      <c r="N7903" t="s">
        <v>615</v>
      </c>
      <c r="O7903" t="s">
        <v>616</v>
      </c>
      <c r="R7903" t="s">
        <v>57</v>
      </c>
      <c r="S7903">
        <v>7</v>
      </c>
      <c r="T7903">
        <v>231</v>
      </c>
      <c r="U7903" s="1">
        <v>38230</v>
      </c>
      <c r="V7903" t="s">
        <v>5177</v>
      </c>
      <c r="W7903" t="s">
        <v>5178</v>
      </c>
      <c r="X7903" t="s">
        <v>58</v>
      </c>
      <c r="Y7903">
        <v>22</v>
      </c>
      <c r="Z7903" t="s">
        <v>59</v>
      </c>
      <c r="AA7903" t="s">
        <v>59</v>
      </c>
      <c r="AB7903" t="s">
        <v>59</v>
      </c>
      <c r="AC7903" t="s">
        <v>59</v>
      </c>
      <c r="AD7903" t="s">
        <v>59</v>
      </c>
      <c r="AF7903" s="1">
        <v>38231</v>
      </c>
      <c r="AG7903" t="s">
        <v>8645</v>
      </c>
      <c r="AH7903" t="s">
        <v>8646</v>
      </c>
      <c r="AI7903" t="str">
        <f>"9320093"</f>
        <v>9320093</v>
      </c>
      <c r="AJ7903" t="s">
        <v>11967</v>
      </c>
      <c r="AK7903">
        <v>2843025130</v>
      </c>
      <c r="AL7903" t="s">
        <v>11968</v>
      </c>
      <c r="AM7903" t="s">
        <v>4513</v>
      </c>
      <c r="AN7903" t="s">
        <v>4540</v>
      </c>
      <c r="AO7903" t="s">
        <v>4540</v>
      </c>
      <c r="AP7903" t="s">
        <v>4540</v>
      </c>
      <c r="AQ7903">
        <v>8</v>
      </c>
      <c r="AR7903" t="s">
        <v>5177</v>
      </c>
      <c r="AS7903" t="s">
        <v>5178</v>
      </c>
      <c r="AT7903" t="s">
        <v>58</v>
      </c>
      <c r="AU7903" t="s">
        <v>68</v>
      </c>
      <c r="AV7903" t="s">
        <v>69</v>
      </c>
      <c r="AW7903" s="1">
        <v>27296</v>
      </c>
      <c r="AX7903">
        <v>1</v>
      </c>
    </row>
    <row r="7904" spans="1:50">
      <c r="A7904">
        <v>555954</v>
      </c>
      <c r="B7904" t="str">
        <f>"065523497"</f>
        <v>065523497</v>
      </c>
      <c r="C7904" t="s">
        <v>50</v>
      </c>
      <c r="D7904" t="s">
        <v>2551</v>
      </c>
      <c r="E7904" t="s">
        <v>2194</v>
      </c>
      <c r="F7904" t="s">
        <v>99</v>
      </c>
      <c r="G7904" t="s">
        <v>2088</v>
      </c>
      <c r="H7904" t="str">
        <f>"ΑΓΙΟΣ ΚΩΝΣΤΑΝΤΙΝΟΣ ΛΑΣΙΘΙΟΥ ΑΓΙΟΣ ΚΩΝΣΤΑΝΤΙΝΟΣ ΛΑΣΙΘΙΟΥ"</f>
        <v>ΑΓΙΟΣ ΚΩΝΣΤΑΝΤΙΝΟΣ ΛΑΣΙΘΙΟΥ ΑΓΙΟΣ ΚΩΝΣΤΑΝΤΙΝΟΣ ΛΑΣΙΘΙΟΥ</v>
      </c>
      <c r="I7904">
        <v>72052</v>
      </c>
      <c r="J7904">
        <v>2844300306</v>
      </c>
      <c r="K7904">
        <v>6947022216</v>
      </c>
      <c r="N7904" t="s">
        <v>615</v>
      </c>
      <c r="O7904" t="s">
        <v>616</v>
      </c>
      <c r="R7904" t="s">
        <v>57</v>
      </c>
      <c r="S7904">
        <v>15</v>
      </c>
      <c r="T7904">
        <v>200</v>
      </c>
      <c r="U7904" s="1">
        <v>31657</v>
      </c>
      <c r="V7904" t="s">
        <v>5177</v>
      </c>
      <c r="W7904" t="s">
        <v>5178</v>
      </c>
      <c r="X7904" t="s">
        <v>58</v>
      </c>
      <c r="Y7904">
        <v>21</v>
      </c>
      <c r="Z7904" t="s">
        <v>59</v>
      </c>
      <c r="AA7904" t="s">
        <v>59</v>
      </c>
      <c r="AB7904" t="s">
        <v>59</v>
      </c>
      <c r="AC7904" t="s">
        <v>59</v>
      </c>
      <c r="AD7904" t="s">
        <v>59</v>
      </c>
      <c r="AF7904" s="1">
        <v>31657</v>
      </c>
      <c r="AG7904" t="s">
        <v>8645</v>
      </c>
      <c r="AH7904" t="s">
        <v>8646</v>
      </c>
      <c r="AI7904" t="str">
        <f>"9320042"</f>
        <v>9320042</v>
      </c>
      <c r="AJ7904" t="s">
        <v>11942</v>
      </c>
      <c r="AK7904">
        <v>2844031250</v>
      </c>
      <c r="AL7904" t="s">
        <v>11943</v>
      </c>
      <c r="AM7904" t="s">
        <v>4513</v>
      </c>
      <c r="AN7904" t="s">
        <v>4592</v>
      </c>
      <c r="AO7904" t="s">
        <v>4592</v>
      </c>
      <c r="AP7904" t="s">
        <v>11944</v>
      </c>
      <c r="AQ7904">
        <v>3</v>
      </c>
      <c r="AR7904" t="s">
        <v>5177</v>
      </c>
      <c r="AS7904" t="s">
        <v>5178</v>
      </c>
      <c r="AT7904" t="s">
        <v>58</v>
      </c>
      <c r="AU7904" t="s">
        <v>68</v>
      </c>
      <c r="AV7904" t="s">
        <v>69</v>
      </c>
      <c r="AW7904" s="1">
        <v>23012</v>
      </c>
      <c r="AX7904">
        <v>1</v>
      </c>
    </row>
    <row r="7905" spans="1:50">
      <c r="A7905">
        <v>582862</v>
      </c>
      <c r="B7905" t="str">
        <f>"043457050"</f>
        <v>043457050</v>
      </c>
      <c r="C7905" t="s">
        <v>50</v>
      </c>
      <c r="D7905" t="s">
        <v>2551</v>
      </c>
      <c r="E7905" t="s">
        <v>52</v>
      </c>
      <c r="F7905" t="s">
        <v>72</v>
      </c>
      <c r="G7905" t="s">
        <v>647</v>
      </c>
      <c r="H7905" t="str">
        <f>" "</f>
        <v xml:space="preserve"> </v>
      </c>
      <c r="N7905" t="s">
        <v>1525</v>
      </c>
      <c r="O7905" t="s">
        <v>1526</v>
      </c>
      <c r="R7905" t="s">
        <v>57</v>
      </c>
      <c r="S7905">
        <v>12</v>
      </c>
      <c r="T7905">
        <v>179</v>
      </c>
      <c r="U7905" s="1">
        <v>35674</v>
      </c>
      <c r="V7905" t="s">
        <v>5177</v>
      </c>
      <c r="W7905" t="s">
        <v>5178</v>
      </c>
      <c r="X7905" t="s">
        <v>58</v>
      </c>
      <c r="Y7905">
        <v>25</v>
      </c>
      <c r="Z7905" t="s">
        <v>59</v>
      </c>
      <c r="AA7905" t="s">
        <v>59</v>
      </c>
      <c r="AB7905" t="s">
        <v>59</v>
      </c>
      <c r="AC7905" t="s">
        <v>59</v>
      </c>
      <c r="AD7905" t="s">
        <v>59</v>
      </c>
      <c r="AF7905" s="1">
        <v>35674</v>
      </c>
      <c r="AG7905" t="s">
        <v>60</v>
      </c>
      <c r="AH7905" t="s">
        <v>61</v>
      </c>
      <c r="AI7905" t="str">
        <f>"9000638"</f>
        <v>9000638</v>
      </c>
      <c r="AJ7905" t="s">
        <v>5175</v>
      </c>
      <c r="AK7905">
        <v>2841082480</v>
      </c>
      <c r="AL7905" t="s">
        <v>5176</v>
      </c>
      <c r="AM7905" t="s">
        <v>4513</v>
      </c>
      <c r="AN7905" t="s">
        <v>4514</v>
      </c>
      <c r="AO7905" t="s">
        <v>4514</v>
      </c>
      <c r="AP7905" t="s">
        <v>4514</v>
      </c>
      <c r="AR7905" t="s">
        <v>5177</v>
      </c>
      <c r="AS7905" t="s">
        <v>5178</v>
      </c>
      <c r="AT7905" t="s">
        <v>58</v>
      </c>
      <c r="AU7905" t="s">
        <v>68</v>
      </c>
      <c r="AV7905" t="s">
        <v>69</v>
      </c>
      <c r="AW7905" s="1">
        <v>23141</v>
      </c>
      <c r="AX7905">
        <v>0</v>
      </c>
    </row>
    <row r="7906" spans="1:50">
      <c r="B7906" t="str">
        <f>"149098209"</f>
        <v>149098209</v>
      </c>
      <c r="C7906" t="s">
        <v>50</v>
      </c>
      <c r="D7906" t="s">
        <v>12350</v>
      </c>
      <c r="E7906" t="s">
        <v>755</v>
      </c>
      <c r="F7906" t="s">
        <v>53</v>
      </c>
      <c r="G7906" t="s">
        <v>83</v>
      </c>
      <c r="H7906" t="str">
        <f>" "</f>
        <v xml:space="preserve"> </v>
      </c>
      <c r="N7906" t="s">
        <v>384</v>
      </c>
      <c r="O7906" t="s">
        <v>385</v>
      </c>
      <c r="R7906" t="s">
        <v>121</v>
      </c>
      <c r="S7906">
        <v>1</v>
      </c>
      <c r="T7906" t="s">
        <v>8675</v>
      </c>
      <c r="U7906" s="1">
        <v>43348</v>
      </c>
      <c r="V7906" t="s">
        <v>5177</v>
      </c>
      <c r="W7906" t="s">
        <v>5178</v>
      </c>
      <c r="X7906" t="s">
        <v>58</v>
      </c>
      <c r="Y7906">
        <v>24</v>
      </c>
      <c r="Z7906" t="s">
        <v>59</v>
      </c>
      <c r="AA7906" t="s">
        <v>59</v>
      </c>
      <c r="AB7906" t="s">
        <v>59</v>
      </c>
      <c r="AD7906" t="s">
        <v>59</v>
      </c>
      <c r="AF7906" s="1">
        <v>43348</v>
      </c>
      <c r="AG7906" t="s">
        <v>8645</v>
      </c>
      <c r="AH7906" t="s">
        <v>8646</v>
      </c>
      <c r="AI7906" t="str">
        <f>"9320093"</f>
        <v>9320093</v>
      </c>
      <c r="AJ7906" t="s">
        <v>11967</v>
      </c>
      <c r="AK7906">
        <v>2843025130</v>
      </c>
      <c r="AL7906" t="s">
        <v>11968</v>
      </c>
      <c r="AM7906" t="s">
        <v>4513</v>
      </c>
      <c r="AN7906" t="s">
        <v>4540</v>
      </c>
      <c r="AO7906" t="s">
        <v>4540</v>
      </c>
      <c r="AP7906" t="s">
        <v>4540</v>
      </c>
      <c r="AQ7906">
        <v>8</v>
      </c>
      <c r="AR7906" t="s">
        <v>5177</v>
      </c>
      <c r="AS7906" t="s">
        <v>5178</v>
      </c>
      <c r="AT7906" t="s">
        <v>58</v>
      </c>
      <c r="AU7906" t="s">
        <v>8673</v>
      </c>
      <c r="AV7906" t="s">
        <v>132</v>
      </c>
      <c r="AW7906" s="1">
        <v>33340</v>
      </c>
      <c r="AX7906">
        <v>1</v>
      </c>
    </row>
    <row r="7907" spans="1:50">
      <c r="A7907">
        <v>622851</v>
      </c>
      <c r="B7907" t="str">
        <f>"042805953"</f>
        <v>042805953</v>
      </c>
      <c r="C7907" t="s">
        <v>105</v>
      </c>
      <c r="D7907" t="s">
        <v>2568</v>
      </c>
      <c r="E7907" t="s">
        <v>450</v>
      </c>
      <c r="F7907" t="s">
        <v>1679</v>
      </c>
      <c r="G7907" t="s">
        <v>9447</v>
      </c>
      <c r="H7907" t="str">
        <f>"ΙΛΑΡ.ΚΑΤΣΟΥΛΗ 17 ΜΑΛΙΑ ΗΡΑΚΛΕΙΟY"</f>
        <v>ΙΛΑΡ.ΚΑΤΣΟΥΛΗ 17 ΜΑΛΙΑ ΗΡΑΚΛΕΙΟY</v>
      </c>
      <c r="I7907">
        <v>70007</v>
      </c>
      <c r="J7907">
        <v>2897031857</v>
      </c>
      <c r="K7907">
        <v>6944358235</v>
      </c>
      <c r="N7907" t="s">
        <v>176</v>
      </c>
      <c r="O7907" t="s">
        <v>177</v>
      </c>
      <c r="R7907" t="s">
        <v>57</v>
      </c>
      <c r="S7907">
        <v>7</v>
      </c>
      <c r="T7907">
        <v>654</v>
      </c>
      <c r="U7907" s="1">
        <v>40043</v>
      </c>
      <c r="V7907" t="s">
        <v>5177</v>
      </c>
      <c r="W7907" t="s">
        <v>5178</v>
      </c>
      <c r="X7907" t="s">
        <v>58</v>
      </c>
      <c r="Y7907">
        <v>22</v>
      </c>
      <c r="Z7907" t="s">
        <v>59</v>
      </c>
      <c r="AA7907" t="s">
        <v>59</v>
      </c>
      <c r="AB7907" t="s">
        <v>59</v>
      </c>
      <c r="AC7907" t="s">
        <v>59</v>
      </c>
      <c r="AD7907" t="s">
        <v>59</v>
      </c>
      <c r="AF7907" s="1">
        <v>40043</v>
      </c>
      <c r="AG7907" t="s">
        <v>8645</v>
      </c>
      <c r="AH7907" t="s">
        <v>8646</v>
      </c>
      <c r="AI7907" t="str">
        <f>"9320063"</f>
        <v>9320063</v>
      </c>
      <c r="AJ7907" t="s">
        <v>12026</v>
      </c>
      <c r="AK7907">
        <v>2841032369</v>
      </c>
      <c r="AL7907" t="s">
        <v>12027</v>
      </c>
      <c r="AM7907" t="s">
        <v>4513</v>
      </c>
      <c r="AN7907" t="s">
        <v>4514</v>
      </c>
      <c r="AO7907" t="s">
        <v>4524</v>
      </c>
      <c r="AP7907" t="s">
        <v>4525</v>
      </c>
      <c r="AQ7907">
        <v>1</v>
      </c>
      <c r="AR7907" t="s">
        <v>5177</v>
      </c>
      <c r="AS7907" t="s">
        <v>5178</v>
      </c>
      <c r="AT7907" t="s">
        <v>58</v>
      </c>
      <c r="AU7907" t="s">
        <v>68</v>
      </c>
      <c r="AV7907" t="s">
        <v>69</v>
      </c>
      <c r="AW7907" s="1">
        <v>24914</v>
      </c>
      <c r="AX7907">
        <v>1</v>
      </c>
    </row>
    <row r="7908" spans="1:50">
      <c r="B7908" t="str">
        <f>"135480485"</f>
        <v>135480485</v>
      </c>
      <c r="C7908" t="s">
        <v>50</v>
      </c>
      <c r="D7908" t="s">
        <v>12351</v>
      </c>
      <c r="E7908" t="s">
        <v>12352</v>
      </c>
      <c r="F7908" t="s">
        <v>377</v>
      </c>
      <c r="H7908" t="str">
        <f>"25ης Μαρτίου 30Α Πέραμα"</f>
        <v>25ης Μαρτίου 30Α Πέραμα</v>
      </c>
      <c r="I7908">
        <v>45500</v>
      </c>
      <c r="K7908">
        <v>6977410313</v>
      </c>
      <c r="M7908" t="s">
        <v>12353</v>
      </c>
      <c r="N7908" t="s">
        <v>337</v>
      </c>
      <c r="O7908" t="s">
        <v>338</v>
      </c>
      <c r="R7908" t="s">
        <v>121</v>
      </c>
      <c r="S7908">
        <v>1</v>
      </c>
      <c r="T7908" t="s">
        <v>8675</v>
      </c>
      <c r="U7908" s="1">
        <v>43348</v>
      </c>
      <c r="V7908" t="s">
        <v>5177</v>
      </c>
      <c r="W7908" t="s">
        <v>5178</v>
      </c>
      <c r="X7908" t="s">
        <v>58</v>
      </c>
      <c r="Y7908">
        <v>24</v>
      </c>
      <c r="Z7908" t="s">
        <v>59</v>
      </c>
      <c r="AA7908" t="s">
        <v>59</v>
      </c>
      <c r="AB7908" t="s">
        <v>59</v>
      </c>
      <c r="AC7908" t="s">
        <v>59</v>
      </c>
      <c r="AD7908" t="s">
        <v>59</v>
      </c>
      <c r="AF7908" s="1">
        <v>43348</v>
      </c>
      <c r="AG7908" t="s">
        <v>8645</v>
      </c>
      <c r="AH7908" t="s">
        <v>8646</v>
      </c>
      <c r="AI7908" t="str">
        <f>"9320060"</f>
        <v>9320060</v>
      </c>
      <c r="AJ7908" t="s">
        <v>12246</v>
      </c>
      <c r="AK7908">
        <v>2841032319</v>
      </c>
      <c r="AL7908" t="s">
        <v>12247</v>
      </c>
      <c r="AM7908" t="s">
        <v>4513</v>
      </c>
      <c r="AN7908" t="s">
        <v>4514</v>
      </c>
      <c r="AO7908" t="s">
        <v>4524</v>
      </c>
      <c r="AP7908" t="s">
        <v>4525</v>
      </c>
      <c r="AQ7908">
        <v>1</v>
      </c>
      <c r="AR7908" t="s">
        <v>5177</v>
      </c>
      <c r="AS7908" t="s">
        <v>5178</v>
      </c>
      <c r="AT7908" t="s">
        <v>58</v>
      </c>
      <c r="AU7908" t="s">
        <v>8673</v>
      </c>
      <c r="AV7908" t="s">
        <v>132</v>
      </c>
      <c r="AW7908" s="1">
        <v>30819</v>
      </c>
      <c r="AX7908">
        <v>1</v>
      </c>
    </row>
    <row r="7909" spans="1:50">
      <c r="A7909">
        <v>617257</v>
      </c>
      <c r="B7909" t="str">
        <f>"131499931"</f>
        <v>131499931</v>
      </c>
      <c r="C7909" t="s">
        <v>50</v>
      </c>
      <c r="D7909" t="s">
        <v>12354</v>
      </c>
      <c r="E7909" t="s">
        <v>727</v>
      </c>
      <c r="F7909" t="s">
        <v>95</v>
      </c>
      <c r="G7909" t="s">
        <v>5469</v>
      </c>
      <c r="H7909" t="str">
        <f>"ΣΩΠΑΤΑ ΠΕΥΚΩΝ "</f>
        <v xml:space="preserve">ΣΩΠΑΤΑ ΠΕΥΚΩΝ </v>
      </c>
      <c r="I7909">
        <v>72055</v>
      </c>
      <c r="J7909">
        <v>2843051010</v>
      </c>
      <c r="K7909">
        <v>6973536810</v>
      </c>
      <c r="N7909" t="s">
        <v>615</v>
      </c>
      <c r="O7909" t="s">
        <v>616</v>
      </c>
      <c r="R7909" t="s">
        <v>57</v>
      </c>
      <c r="S7909">
        <v>6</v>
      </c>
      <c r="T7909" t="s">
        <v>12355</v>
      </c>
      <c r="U7909" s="1">
        <v>39680</v>
      </c>
      <c r="V7909" t="s">
        <v>5177</v>
      </c>
      <c r="W7909" t="s">
        <v>5178</v>
      </c>
      <c r="X7909" t="s">
        <v>58</v>
      </c>
      <c r="Y7909">
        <v>23</v>
      </c>
      <c r="Z7909" t="s">
        <v>59</v>
      </c>
      <c r="AA7909" t="s">
        <v>59</v>
      </c>
      <c r="AB7909" t="s">
        <v>59</v>
      </c>
      <c r="AC7909" t="s">
        <v>59</v>
      </c>
      <c r="AD7909" t="s">
        <v>59</v>
      </c>
      <c r="AF7909" s="1">
        <v>39681</v>
      </c>
      <c r="AG7909" t="s">
        <v>8645</v>
      </c>
      <c r="AH7909" t="s">
        <v>8646</v>
      </c>
      <c r="AI7909" t="str">
        <f>"9320098"</f>
        <v>9320098</v>
      </c>
      <c r="AJ7909" t="s">
        <v>12053</v>
      </c>
      <c r="AK7909">
        <v>2843051475</v>
      </c>
      <c r="AL7909" t="s">
        <v>12054</v>
      </c>
      <c r="AM7909" t="s">
        <v>4513</v>
      </c>
      <c r="AN7909" t="s">
        <v>4519</v>
      </c>
      <c r="AO7909" t="s">
        <v>4766</v>
      </c>
      <c r="AP7909" t="s">
        <v>12055</v>
      </c>
      <c r="AQ7909">
        <v>6</v>
      </c>
      <c r="AR7909" t="s">
        <v>5177</v>
      </c>
      <c r="AS7909" t="s">
        <v>5178</v>
      </c>
      <c r="AT7909" t="s">
        <v>58</v>
      </c>
      <c r="AU7909" t="s">
        <v>68</v>
      </c>
      <c r="AV7909" t="s">
        <v>69</v>
      </c>
      <c r="AW7909" s="1">
        <v>30683</v>
      </c>
      <c r="AX7909">
        <v>1</v>
      </c>
    </row>
    <row r="7910" spans="1:50">
      <c r="A7910">
        <v>605788</v>
      </c>
      <c r="B7910" t="str">
        <f>"124023441"</f>
        <v>124023441</v>
      </c>
      <c r="C7910" t="s">
        <v>50</v>
      </c>
      <c r="D7910" t="s">
        <v>2612</v>
      </c>
      <c r="E7910" t="s">
        <v>964</v>
      </c>
      <c r="F7910" t="s">
        <v>1679</v>
      </c>
      <c r="G7910" t="s">
        <v>215</v>
      </c>
      <c r="H7910" t="str">
        <f>"ΑΓΙΟ ΠΝΕΥΜΑ ΙΕΡΑΠΕΤΡΑ"</f>
        <v>ΑΓΙΟ ΠΝΕΥΜΑ ΙΕΡΑΠΕΤΡΑ</v>
      </c>
      <c r="I7910">
        <v>72200</v>
      </c>
      <c r="J7910">
        <v>2842024959</v>
      </c>
      <c r="K7910">
        <v>6977712396</v>
      </c>
      <c r="L7910">
        <v>2842023776</v>
      </c>
      <c r="M7910" t="s">
        <v>12356</v>
      </c>
      <c r="N7910" t="s">
        <v>615</v>
      </c>
      <c r="O7910" t="s">
        <v>616</v>
      </c>
      <c r="R7910" t="s">
        <v>57</v>
      </c>
      <c r="S7910">
        <v>7</v>
      </c>
      <c r="T7910">
        <v>231</v>
      </c>
      <c r="U7910" s="1">
        <v>38230</v>
      </c>
      <c r="V7910" t="s">
        <v>5177</v>
      </c>
      <c r="W7910" t="s">
        <v>5178</v>
      </c>
      <c r="X7910" t="s">
        <v>58</v>
      </c>
      <c r="Y7910">
        <v>22</v>
      </c>
      <c r="Z7910" t="s">
        <v>59</v>
      </c>
      <c r="AA7910" t="s">
        <v>59</v>
      </c>
      <c r="AB7910" t="s">
        <v>59</v>
      </c>
      <c r="AC7910" t="s">
        <v>59</v>
      </c>
      <c r="AD7910" t="s">
        <v>59</v>
      </c>
      <c r="AF7910" s="1">
        <v>38232</v>
      </c>
      <c r="AG7910" t="s">
        <v>8645</v>
      </c>
      <c r="AH7910" t="s">
        <v>8646</v>
      </c>
      <c r="AI7910" t="str">
        <f>"9320003"</f>
        <v>9320003</v>
      </c>
      <c r="AJ7910" t="s">
        <v>11886</v>
      </c>
      <c r="AK7910">
        <v>2842089830</v>
      </c>
      <c r="AL7910" t="s">
        <v>11887</v>
      </c>
      <c r="AM7910" t="s">
        <v>4513</v>
      </c>
      <c r="AN7910" t="s">
        <v>4519</v>
      </c>
      <c r="AO7910" t="s">
        <v>4519</v>
      </c>
      <c r="AP7910" t="s">
        <v>4519</v>
      </c>
      <c r="AQ7910">
        <v>4</v>
      </c>
      <c r="AR7910" t="s">
        <v>5177</v>
      </c>
      <c r="AS7910" t="s">
        <v>5178</v>
      </c>
      <c r="AT7910" t="s">
        <v>58</v>
      </c>
      <c r="AU7910" t="s">
        <v>68</v>
      </c>
      <c r="AV7910" t="s">
        <v>69</v>
      </c>
      <c r="AW7910" s="1">
        <v>29165</v>
      </c>
      <c r="AX7910">
        <v>1</v>
      </c>
    </row>
    <row r="7911" spans="1:50">
      <c r="A7911">
        <v>573941</v>
      </c>
      <c r="B7911" t="str">
        <f>"034378072"</f>
        <v>034378072</v>
      </c>
      <c r="C7911" t="s">
        <v>50</v>
      </c>
      <c r="D7911" t="s">
        <v>12357</v>
      </c>
      <c r="E7911" t="s">
        <v>215</v>
      </c>
      <c r="F7911" t="s">
        <v>99</v>
      </c>
      <c r="G7911" t="s">
        <v>250</v>
      </c>
      <c r="H7911" t="str">
        <f>"ΚΑΛΟ ΧΩΡΙΟ ΚΑΛΟ ΧΩΡΙΟ ΛΑΣΙΘΙΟΥ"</f>
        <v>ΚΑΛΟ ΧΩΡΙΟ ΚΑΛΟ ΧΩΡΙΟ ΛΑΣΙΘΙΟΥ</v>
      </c>
      <c r="I7911">
        <v>72100</v>
      </c>
      <c r="J7911">
        <v>2841061657</v>
      </c>
      <c r="K7911">
        <v>6972088619</v>
      </c>
      <c r="N7911" t="s">
        <v>615</v>
      </c>
      <c r="O7911" t="s">
        <v>616</v>
      </c>
      <c r="R7911" t="s">
        <v>57</v>
      </c>
      <c r="S7911">
        <v>13</v>
      </c>
      <c r="T7911">
        <v>160</v>
      </c>
      <c r="U7911" s="1">
        <v>34582</v>
      </c>
      <c r="V7911" t="s">
        <v>5177</v>
      </c>
      <c r="W7911" t="s">
        <v>5178</v>
      </c>
      <c r="X7911" t="s">
        <v>58</v>
      </c>
      <c r="Y7911">
        <v>21</v>
      </c>
      <c r="Z7911" t="s">
        <v>59</v>
      </c>
      <c r="AA7911" t="s">
        <v>59</v>
      </c>
      <c r="AB7911" t="s">
        <v>59</v>
      </c>
      <c r="AC7911" t="s">
        <v>59</v>
      </c>
      <c r="AD7911" t="s">
        <v>59</v>
      </c>
      <c r="AF7911" s="1">
        <v>34582</v>
      </c>
      <c r="AG7911" t="s">
        <v>8645</v>
      </c>
      <c r="AH7911" t="s">
        <v>8646</v>
      </c>
      <c r="AI7911" t="str">
        <f>"9320138"</f>
        <v>9320138</v>
      </c>
      <c r="AJ7911" t="s">
        <v>11915</v>
      </c>
      <c r="AK7911">
        <v>2841022104</v>
      </c>
      <c r="AL7911" t="s">
        <v>11916</v>
      </c>
      <c r="AM7911" t="s">
        <v>4513</v>
      </c>
      <c r="AN7911" t="s">
        <v>4514</v>
      </c>
      <c r="AO7911" t="s">
        <v>4514</v>
      </c>
      <c r="AP7911" t="s">
        <v>4514</v>
      </c>
      <c r="AQ7911">
        <v>1</v>
      </c>
      <c r="AR7911" t="s">
        <v>5177</v>
      </c>
      <c r="AS7911" t="s">
        <v>5178</v>
      </c>
      <c r="AT7911" t="s">
        <v>58</v>
      </c>
      <c r="AU7911" t="s">
        <v>68</v>
      </c>
      <c r="AV7911" t="s">
        <v>69</v>
      </c>
      <c r="AW7911" s="1">
        <v>24525</v>
      </c>
      <c r="AX7911">
        <v>1</v>
      </c>
    </row>
    <row r="7912" spans="1:50">
      <c r="B7912" t="str">
        <f>"145968738"</f>
        <v>145968738</v>
      </c>
      <c r="C7912" t="s">
        <v>50</v>
      </c>
      <c r="D7912" t="s">
        <v>10605</v>
      </c>
      <c r="E7912" t="s">
        <v>513</v>
      </c>
      <c r="F7912" t="s">
        <v>315</v>
      </c>
      <c r="G7912" t="s">
        <v>83</v>
      </c>
      <c r="H7912" t="str">
        <f>"ΚΑΤΩ ΣΧΟΛΑΡΙ "</f>
        <v xml:space="preserve">ΚΑΤΩ ΣΧΟΛΑΡΙ </v>
      </c>
      <c r="I7912">
        <v>57500</v>
      </c>
      <c r="J7912">
        <v>2392091653</v>
      </c>
      <c r="K7912">
        <v>6951929912</v>
      </c>
      <c r="N7912" t="s">
        <v>8694</v>
      </c>
      <c r="O7912" t="s">
        <v>8695</v>
      </c>
      <c r="R7912" t="s">
        <v>159</v>
      </c>
      <c r="S7912">
        <v>3</v>
      </c>
      <c r="T7912" t="s">
        <v>8696</v>
      </c>
      <c r="U7912" s="1">
        <v>43348</v>
      </c>
      <c r="V7912" t="s">
        <v>5177</v>
      </c>
      <c r="W7912" t="s">
        <v>5178</v>
      </c>
      <c r="X7912" t="s">
        <v>58</v>
      </c>
      <c r="Y7912">
        <v>25</v>
      </c>
      <c r="Z7912" t="s">
        <v>59</v>
      </c>
      <c r="AA7912" t="s">
        <v>59</v>
      </c>
      <c r="AB7912" t="s">
        <v>59</v>
      </c>
      <c r="AC7912" t="s">
        <v>59</v>
      </c>
      <c r="AD7912" t="s">
        <v>59</v>
      </c>
      <c r="AF7912" s="1">
        <v>43348</v>
      </c>
      <c r="AG7912" t="s">
        <v>8645</v>
      </c>
      <c r="AH7912" t="s">
        <v>8697</v>
      </c>
      <c r="AI7912" t="str">
        <f>"9320209"</f>
        <v>9320209</v>
      </c>
      <c r="AJ7912" t="s">
        <v>12009</v>
      </c>
      <c r="AK7912">
        <v>2841026803</v>
      </c>
      <c r="AL7912" t="s">
        <v>12010</v>
      </c>
      <c r="AM7912" t="s">
        <v>4513</v>
      </c>
      <c r="AN7912" t="s">
        <v>4514</v>
      </c>
      <c r="AO7912" t="s">
        <v>4514</v>
      </c>
      <c r="AP7912" t="s">
        <v>4514</v>
      </c>
      <c r="AQ7912">
        <v>1</v>
      </c>
      <c r="AR7912" t="s">
        <v>5177</v>
      </c>
      <c r="AS7912" t="s">
        <v>5178</v>
      </c>
      <c r="AT7912" t="s">
        <v>58</v>
      </c>
      <c r="AU7912" t="s">
        <v>350</v>
      </c>
      <c r="AV7912" t="s">
        <v>132</v>
      </c>
      <c r="AW7912" s="1">
        <v>32231</v>
      </c>
      <c r="AX7912">
        <v>1</v>
      </c>
    </row>
    <row r="7913" spans="1:50">
      <c r="A7913">
        <v>622829</v>
      </c>
      <c r="B7913" t="str">
        <f>"125500500"</f>
        <v>125500500</v>
      </c>
      <c r="C7913" t="s">
        <v>50</v>
      </c>
      <c r="D7913" t="s">
        <v>10605</v>
      </c>
      <c r="E7913" t="s">
        <v>155</v>
      </c>
      <c r="F7913" t="s">
        <v>3574</v>
      </c>
      <c r="G7913" t="s">
        <v>513</v>
      </c>
      <c r="H7913" t="str">
        <f>"ΚΑΝΑΡΗ 12 ΠΤΟΛΕΜΑΪΔΑ"</f>
        <v>ΚΑΝΑΡΗ 12 ΠΤΟΛΕΜΑΪΔΑ</v>
      </c>
      <c r="I7913">
        <v>50200</v>
      </c>
      <c r="K7913">
        <v>6948534516</v>
      </c>
      <c r="N7913" t="s">
        <v>1525</v>
      </c>
      <c r="O7913" t="s">
        <v>1526</v>
      </c>
      <c r="R7913" t="s">
        <v>57</v>
      </c>
      <c r="S7913">
        <v>4</v>
      </c>
      <c r="T7913">
        <v>653</v>
      </c>
      <c r="U7913" s="1">
        <v>40043</v>
      </c>
      <c r="V7913" t="s">
        <v>5177</v>
      </c>
      <c r="W7913" t="s">
        <v>5178</v>
      </c>
      <c r="X7913" t="s">
        <v>58</v>
      </c>
      <c r="Y7913">
        <v>25</v>
      </c>
      <c r="Z7913" t="s">
        <v>59</v>
      </c>
      <c r="AA7913" t="s">
        <v>59</v>
      </c>
      <c r="AB7913" t="s">
        <v>59</v>
      </c>
      <c r="AC7913" t="s">
        <v>59</v>
      </c>
      <c r="AD7913" t="s">
        <v>59</v>
      </c>
      <c r="AF7913" s="1">
        <v>40046</v>
      </c>
      <c r="AG7913" t="s">
        <v>8651</v>
      </c>
      <c r="AH7913" t="s">
        <v>8652</v>
      </c>
      <c r="AI7913" t="str">
        <f>"9320078"</f>
        <v>9320078</v>
      </c>
      <c r="AJ7913" t="s">
        <v>12340</v>
      </c>
      <c r="AK7913">
        <v>2841051225</v>
      </c>
      <c r="AL7913" t="s">
        <v>12341</v>
      </c>
      <c r="AM7913" t="s">
        <v>4513</v>
      </c>
      <c r="AN7913" t="s">
        <v>4514</v>
      </c>
      <c r="AO7913" t="s">
        <v>4514</v>
      </c>
      <c r="AP7913" t="s">
        <v>4757</v>
      </c>
      <c r="AQ7913">
        <v>2</v>
      </c>
      <c r="AR7913" t="s">
        <v>5177</v>
      </c>
      <c r="AS7913" t="s">
        <v>5178</v>
      </c>
      <c r="AT7913" t="s">
        <v>58</v>
      </c>
      <c r="AU7913" t="s">
        <v>68</v>
      </c>
      <c r="AV7913" t="s">
        <v>69</v>
      </c>
      <c r="AW7913" s="1">
        <v>30544</v>
      </c>
      <c r="AX7913">
        <v>1</v>
      </c>
    </row>
    <row r="7914" spans="1:50">
      <c r="A7914">
        <v>599051</v>
      </c>
      <c r="B7914" t="str">
        <f>"046100680"</f>
        <v>046100680</v>
      </c>
      <c r="C7914" t="s">
        <v>50</v>
      </c>
      <c r="D7914" t="s">
        <v>10605</v>
      </c>
      <c r="E7914" t="s">
        <v>109</v>
      </c>
      <c r="F7914" t="s">
        <v>95</v>
      </c>
      <c r="G7914" t="s">
        <v>3186</v>
      </c>
      <c r="H7914" t="str">
        <f>"Κ. ΠΑΛΙΟΛΟΓΟΥ 15 ΑΓΙΟΣ ΝΙΚΟΛΑΟΣ"</f>
        <v>Κ. ΠΑΛΙΟΛΟΓΟΥ 15 ΑΓΙΟΣ ΝΙΚΟΛΑΟΣ</v>
      </c>
      <c r="I7914">
        <v>72100</v>
      </c>
      <c r="J7914">
        <v>2841024966</v>
      </c>
      <c r="K7914">
        <v>6937867597</v>
      </c>
      <c r="L7914">
        <v>2461037544</v>
      </c>
      <c r="N7914" t="s">
        <v>615</v>
      </c>
      <c r="O7914" t="s">
        <v>616</v>
      </c>
      <c r="R7914" t="s">
        <v>57</v>
      </c>
      <c r="S7914">
        <v>9</v>
      </c>
      <c r="T7914">
        <v>195</v>
      </c>
      <c r="U7914" s="1">
        <v>37497</v>
      </c>
      <c r="V7914" t="s">
        <v>5177</v>
      </c>
      <c r="W7914" t="s">
        <v>5178</v>
      </c>
      <c r="X7914" t="s">
        <v>58</v>
      </c>
      <c r="Y7914">
        <v>22</v>
      </c>
      <c r="Z7914" t="s">
        <v>59</v>
      </c>
      <c r="AA7914" t="s">
        <v>59</v>
      </c>
      <c r="AB7914" t="s">
        <v>59</v>
      </c>
      <c r="AC7914" t="s">
        <v>59</v>
      </c>
      <c r="AD7914" t="s">
        <v>59</v>
      </c>
      <c r="AF7914" s="1">
        <v>37501</v>
      </c>
      <c r="AG7914" t="s">
        <v>8645</v>
      </c>
      <c r="AH7914" t="s">
        <v>8646</v>
      </c>
      <c r="AI7914" t="str">
        <f>"9320058"</f>
        <v>9320058</v>
      </c>
      <c r="AJ7914" t="s">
        <v>11893</v>
      </c>
      <c r="AK7914">
        <v>2841022496</v>
      </c>
      <c r="AL7914" t="s">
        <v>11894</v>
      </c>
      <c r="AM7914" t="s">
        <v>4513</v>
      </c>
      <c r="AN7914" t="s">
        <v>4514</v>
      </c>
      <c r="AO7914" t="s">
        <v>4514</v>
      </c>
      <c r="AP7914" t="s">
        <v>4514</v>
      </c>
      <c r="AQ7914">
        <v>1</v>
      </c>
      <c r="AR7914" t="s">
        <v>5177</v>
      </c>
      <c r="AS7914" t="s">
        <v>5178</v>
      </c>
      <c r="AT7914" t="s">
        <v>58</v>
      </c>
      <c r="AU7914" t="s">
        <v>68</v>
      </c>
      <c r="AV7914" t="s">
        <v>69</v>
      </c>
      <c r="AW7914" s="1">
        <v>26019</v>
      </c>
      <c r="AX7914">
        <v>1</v>
      </c>
    </row>
    <row r="7915" spans="1:50">
      <c r="A7915">
        <v>607349</v>
      </c>
      <c r="B7915" t="str">
        <f>"049205446"</f>
        <v>049205446</v>
      </c>
      <c r="C7915" t="s">
        <v>50</v>
      </c>
      <c r="D7915" t="s">
        <v>5095</v>
      </c>
      <c r="E7915" t="s">
        <v>237</v>
      </c>
      <c r="F7915" t="s">
        <v>106</v>
      </c>
      <c r="G7915" t="s">
        <v>52</v>
      </c>
      <c r="H7915" t="str">
        <f>"ΑΝΔΡΕΑ ΠΑΠΑΝΔΡΕΟΥ 27 ΕΛΟΥΝΤΑ"</f>
        <v>ΑΝΔΡΕΑ ΠΑΠΑΝΔΡΕΟΥ 27 ΕΛΟΥΝΤΑ</v>
      </c>
      <c r="I7915">
        <v>72053</v>
      </c>
      <c r="J7915">
        <v>2841041464</v>
      </c>
      <c r="K7915">
        <v>6938836803</v>
      </c>
      <c r="N7915" t="s">
        <v>615</v>
      </c>
      <c r="O7915" t="s">
        <v>616</v>
      </c>
      <c r="R7915" t="s">
        <v>57</v>
      </c>
      <c r="S7915">
        <v>7</v>
      </c>
      <c r="T7915">
        <v>217</v>
      </c>
      <c r="U7915" s="1">
        <v>38596</v>
      </c>
      <c r="V7915" t="s">
        <v>5177</v>
      </c>
      <c r="W7915" t="s">
        <v>5178</v>
      </c>
      <c r="X7915" t="s">
        <v>58</v>
      </c>
      <c r="Y7915">
        <v>23</v>
      </c>
      <c r="Z7915" t="s">
        <v>59</v>
      </c>
      <c r="AA7915" t="s">
        <v>59</v>
      </c>
      <c r="AB7915" t="s">
        <v>59</v>
      </c>
      <c r="AC7915" t="s">
        <v>59</v>
      </c>
      <c r="AD7915" t="s">
        <v>59</v>
      </c>
      <c r="AF7915" s="1">
        <v>38600</v>
      </c>
      <c r="AG7915" t="s">
        <v>8645</v>
      </c>
      <c r="AH7915" t="s">
        <v>8646</v>
      </c>
      <c r="AI7915" t="str">
        <f>"9320071"</f>
        <v>9320071</v>
      </c>
      <c r="AJ7915" t="s">
        <v>12098</v>
      </c>
      <c r="AK7915">
        <v>2841041234</v>
      </c>
      <c r="AL7915" t="s">
        <v>12099</v>
      </c>
      <c r="AM7915" t="s">
        <v>4513</v>
      </c>
      <c r="AN7915" t="s">
        <v>4514</v>
      </c>
      <c r="AO7915" t="s">
        <v>4514</v>
      </c>
      <c r="AP7915" t="s">
        <v>12100</v>
      </c>
      <c r="AQ7915">
        <v>2</v>
      </c>
      <c r="AR7915" t="s">
        <v>5177</v>
      </c>
      <c r="AS7915" t="s">
        <v>5178</v>
      </c>
      <c r="AT7915" t="s">
        <v>58</v>
      </c>
      <c r="AU7915" t="s">
        <v>68</v>
      </c>
      <c r="AV7915" t="s">
        <v>69</v>
      </c>
      <c r="AW7915" s="1">
        <v>29143</v>
      </c>
      <c r="AX7915">
        <v>1</v>
      </c>
    </row>
    <row r="7916" spans="1:50">
      <c r="A7916">
        <v>621975</v>
      </c>
      <c r="B7916" t="str">
        <f>"132234650"</f>
        <v>132234650</v>
      </c>
      <c r="C7916" t="s">
        <v>50</v>
      </c>
      <c r="D7916" t="s">
        <v>2625</v>
      </c>
      <c r="E7916" t="s">
        <v>1752</v>
      </c>
      <c r="F7916" t="s">
        <v>670</v>
      </c>
      <c r="G7916" t="s">
        <v>221</v>
      </c>
      <c r="H7916" t="str">
        <f>"ΑΝΘΙΜΟΥ ΓΑΖΗ 6 ΑΧΑΙΑΣ"</f>
        <v>ΑΝΘΙΜΟΥ ΓΑΖΗ 6 ΑΧΑΙΑΣ</v>
      </c>
      <c r="I7916">
        <v>26331</v>
      </c>
      <c r="J7916">
        <v>2610226009</v>
      </c>
      <c r="K7916">
        <v>6946302580</v>
      </c>
      <c r="N7916" t="s">
        <v>615</v>
      </c>
      <c r="O7916" t="s">
        <v>616</v>
      </c>
      <c r="R7916" t="s">
        <v>57</v>
      </c>
      <c r="S7916">
        <v>5</v>
      </c>
      <c r="T7916">
        <v>653</v>
      </c>
      <c r="U7916" s="1">
        <v>40043</v>
      </c>
      <c r="V7916" t="s">
        <v>5177</v>
      </c>
      <c r="W7916" t="s">
        <v>5178</v>
      </c>
      <c r="X7916" t="s">
        <v>58</v>
      </c>
      <c r="Y7916">
        <v>23</v>
      </c>
      <c r="Z7916" t="s">
        <v>59</v>
      </c>
      <c r="AA7916" t="s">
        <v>59</v>
      </c>
      <c r="AB7916" t="s">
        <v>452</v>
      </c>
      <c r="AC7916" t="s">
        <v>59</v>
      </c>
      <c r="AD7916" t="s">
        <v>59</v>
      </c>
      <c r="AF7916" s="1">
        <v>40057</v>
      </c>
      <c r="AG7916" t="s">
        <v>8645</v>
      </c>
      <c r="AH7916" t="s">
        <v>8646</v>
      </c>
      <c r="AI7916" t="str">
        <f>"9521420"</f>
        <v>9521420</v>
      </c>
      <c r="AJ7916" t="s">
        <v>11947</v>
      </c>
      <c r="AK7916">
        <v>2841021022</v>
      </c>
      <c r="AL7916" t="s">
        <v>11948</v>
      </c>
      <c r="AM7916" t="s">
        <v>4513</v>
      </c>
      <c r="AN7916" t="s">
        <v>4514</v>
      </c>
      <c r="AO7916" t="s">
        <v>4514</v>
      </c>
      <c r="AP7916" t="s">
        <v>4514</v>
      </c>
      <c r="AQ7916">
        <v>1</v>
      </c>
      <c r="AR7916" t="s">
        <v>5177</v>
      </c>
      <c r="AS7916" t="s">
        <v>5178</v>
      </c>
      <c r="AT7916" t="s">
        <v>58</v>
      </c>
      <c r="AU7916" t="s">
        <v>68</v>
      </c>
      <c r="AV7916" t="s">
        <v>69</v>
      </c>
      <c r="AW7916" s="1">
        <v>31377</v>
      </c>
      <c r="AX7916">
        <v>1</v>
      </c>
    </row>
    <row r="7917" spans="1:50">
      <c r="A7917">
        <v>568363</v>
      </c>
      <c r="B7917" t="str">
        <f>"064646555"</f>
        <v>064646555</v>
      </c>
      <c r="C7917" t="s">
        <v>50</v>
      </c>
      <c r="D7917" t="s">
        <v>2625</v>
      </c>
      <c r="E7917" t="s">
        <v>237</v>
      </c>
      <c r="F7917" t="s">
        <v>53</v>
      </c>
      <c r="G7917" t="s">
        <v>12358</v>
      </c>
      <c r="H7917" t="str">
        <f>"Κ. ΜΑΡΑΝΤΗ 14 ΑΓΙΟΣ ΝΙΚΟΛΑΟΣ"</f>
        <v>Κ. ΜΑΡΑΝΤΗ 14 ΑΓΙΟΣ ΝΙΚΟΛΑΟΣ</v>
      </c>
      <c r="I7917">
        <v>72100</v>
      </c>
      <c r="J7917">
        <v>2841032273</v>
      </c>
      <c r="K7917">
        <v>6973234803</v>
      </c>
      <c r="N7917" t="s">
        <v>615</v>
      </c>
      <c r="O7917" t="s">
        <v>616</v>
      </c>
      <c r="R7917" t="s">
        <v>57</v>
      </c>
      <c r="S7917">
        <v>13</v>
      </c>
      <c r="T7917">
        <v>162</v>
      </c>
      <c r="U7917" s="1">
        <v>33844</v>
      </c>
      <c r="V7917" t="s">
        <v>5177</v>
      </c>
      <c r="W7917" t="s">
        <v>5178</v>
      </c>
      <c r="X7917" t="s">
        <v>58</v>
      </c>
      <c r="Y7917">
        <v>21</v>
      </c>
      <c r="Z7917" t="s">
        <v>59</v>
      </c>
      <c r="AA7917" t="s">
        <v>59</v>
      </c>
      <c r="AB7917" t="s">
        <v>59</v>
      </c>
      <c r="AC7917" t="s">
        <v>59</v>
      </c>
      <c r="AD7917" t="s">
        <v>59</v>
      </c>
      <c r="AF7917" s="1">
        <v>33848</v>
      </c>
      <c r="AG7917" t="s">
        <v>8645</v>
      </c>
      <c r="AH7917" t="s">
        <v>8646</v>
      </c>
      <c r="AI7917" t="str">
        <f>"9320063"</f>
        <v>9320063</v>
      </c>
      <c r="AJ7917" t="s">
        <v>12026</v>
      </c>
      <c r="AK7917">
        <v>2841032369</v>
      </c>
      <c r="AL7917" t="s">
        <v>12027</v>
      </c>
      <c r="AM7917" t="s">
        <v>4513</v>
      </c>
      <c r="AN7917" t="s">
        <v>4514</v>
      </c>
      <c r="AO7917" t="s">
        <v>4524</v>
      </c>
      <c r="AP7917" t="s">
        <v>4525</v>
      </c>
      <c r="AQ7917">
        <v>1</v>
      </c>
      <c r="AR7917" t="s">
        <v>5177</v>
      </c>
      <c r="AS7917" t="s">
        <v>5178</v>
      </c>
      <c r="AT7917" t="s">
        <v>58</v>
      </c>
      <c r="AU7917" t="s">
        <v>68</v>
      </c>
      <c r="AV7917" t="s">
        <v>69</v>
      </c>
      <c r="AW7917" s="1">
        <v>21306</v>
      </c>
      <c r="AX7917">
        <v>1</v>
      </c>
    </row>
    <row r="7918" spans="1:50">
      <c r="A7918">
        <v>609503</v>
      </c>
      <c r="B7918" t="str">
        <f>"049285940"</f>
        <v>049285940</v>
      </c>
      <c r="C7918" t="s">
        <v>50</v>
      </c>
      <c r="D7918" t="s">
        <v>12359</v>
      </c>
      <c r="E7918" t="s">
        <v>600</v>
      </c>
      <c r="F7918" t="s">
        <v>995</v>
      </c>
      <c r="G7918" t="s">
        <v>12360</v>
      </c>
      <c r="H7918" t="str">
        <f>"Β. ΚΟΡΝΑΡΟΥ 19 ΑΓΙΟΣ ΝΙΚΟΛΑΟΣ"</f>
        <v>Β. ΚΟΡΝΑΡΟΥ 19 ΑΓΙΟΣ ΝΙΚΟΛΑΟΣ</v>
      </c>
      <c r="I7918">
        <v>72100</v>
      </c>
      <c r="J7918">
        <v>2841082141</v>
      </c>
      <c r="K7918">
        <v>6972981733</v>
      </c>
      <c r="N7918" t="s">
        <v>176</v>
      </c>
      <c r="O7918" t="s">
        <v>177</v>
      </c>
      <c r="R7918" t="s">
        <v>57</v>
      </c>
      <c r="S7918">
        <v>8</v>
      </c>
      <c r="T7918">
        <v>218</v>
      </c>
      <c r="U7918" s="1">
        <v>38596</v>
      </c>
      <c r="V7918" t="s">
        <v>5177</v>
      </c>
      <c r="W7918" t="s">
        <v>5178</v>
      </c>
      <c r="X7918" t="s">
        <v>58</v>
      </c>
      <c r="Y7918">
        <v>22</v>
      </c>
      <c r="Z7918" t="s">
        <v>59</v>
      </c>
      <c r="AA7918" t="s">
        <v>59</v>
      </c>
      <c r="AB7918" t="s">
        <v>59</v>
      </c>
      <c r="AC7918" t="s">
        <v>59</v>
      </c>
      <c r="AD7918" t="s">
        <v>59</v>
      </c>
      <c r="AF7918" s="1">
        <v>38600</v>
      </c>
      <c r="AG7918" t="s">
        <v>8645</v>
      </c>
      <c r="AH7918" t="s">
        <v>8646</v>
      </c>
      <c r="AI7918" t="str">
        <f>"9320055"</f>
        <v>9320055</v>
      </c>
      <c r="AJ7918" t="s">
        <v>11937</v>
      </c>
      <c r="AK7918">
        <v>2841022326</v>
      </c>
      <c r="AL7918" t="s">
        <v>11938</v>
      </c>
      <c r="AM7918" t="s">
        <v>4513</v>
      </c>
      <c r="AN7918" t="s">
        <v>4514</v>
      </c>
      <c r="AO7918" t="s">
        <v>4514</v>
      </c>
      <c r="AP7918" t="s">
        <v>4514</v>
      </c>
      <c r="AQ7918">
        <v>1</v>
      </c>
      <c r="AR7918" t="s">
        <v>5177</v>
      </c>
      <c r="AS7918" t="s">
        <v>5178</v>
      </c>
      <c r="AT7918" t="s">
        <v>58</v>
      </c>
      <c r="AU7918" t="s">
        <v>68</v>
      </c>
      <c r="AV7918" t="s">
        <v>69</v>
      </c>
      <c r="AW7918" s="1">
        <v>26063</v>
      </c>
      <c r="AX7918">
        <v>1</v>
      </c>
    </row>
    <row r="7919" spans="1:50">
      <c r="A7919">
        <v>617930</v>
      </c>
      <c r="B7919" t="str">
        <f>"110360089"</f>
        <v>110360089</v>
      </c>
      <c r="C7919" t="s">
        <v>105</v>
      </c>
      <c r="D7919" t="s">
        <v>12361</v>
      </c>
      <c r="E7919" t="s">
        <v>95</v>
      </c>
      <c r="F7919" t="s">
        <v>166</v>
      </c>
      <c r="G7919" t="s">
        <v>250</v>
      </c>
      <c r="H7919" t="str">
        <f>"ΠΑΛΑΙΚΑΣΤΡΟ ΠΑΛΑΙΚΑΣΤΡΟ"</f>
        <v>ΠΑΛΑΙΚΑΣΤΡΟ ΠΑΛΑΙΚΑΣΤΡΟ</v>
      </c>
      <c r="I7919">
        <v>72300</v>
      </c>
      <c r="J7919">
        <v>2843061247</v>
      </c>
      <c r="K7919">
        <v>6948048854</v>
      </c>
      <c r="N7919" t="s">
        <v>615</v>
      </c>
      <c r="O7919" t="s">
        <v>616</v>
      </c>
      <c r="R7919" t="s">
        <v>57</v>
      </c>
      <c r="S7919">
        <v>4</v>
      </c>
      <c r="T7919">
        <v>774</v>
      </c>
      <c r="U7919" s="1">
        <v>39681</v>
      </c>
      <c r="V7919" t="s">
        <v>5177</v>
      </c>
      <c r="W7919" t="s">
        <v>5178</v>
      </c>
      <c r="X7919" t="s">
        <v>58</v>
      </c>
      <c r="Y7919">
        <v>23</v>
      </c>
      <c r="Z7919" t="s">
        <v>59</v>
      </c>
      <c r="AA7919" t="s">
        <v>59</v>
      </c>
      <c r="AB7919" t="s">
        <v>59</v>
      </c>
      <c r="AC7919" t="s">
        <v>59</v>
      </c>
      <c r="AD7919" t="s">
        <v>59</v>
      </c>
      <c r="AF7919" s="1">
        <v>39681</v>
      </c>
      <c r="AG7919" t="s">
        <v>8645</v>
      </c>
      <c r="AH7919" t="s">
        <v>8646</v>
      </c>
      <c r="AI7919" t="str">
        <f>"9320115"</f>
        <v>9320115</v>
      </c>
      <c r="AJ7919" t="s">
        <v>11935</v>
      </c>
      <c r="AK7919">
        <v>2843061213</v>
      </c>
      <c r="AL7919" t="s">
        <v>11936</v>
      </c>
      <c r="AM7919" t="s">
        <v>4513</v>
      </c>
      <c r="AN7919" t="s">
        <v>4540</v>
      </c>
      <c r="AO7919" t="s">
        <v>4700</v>
      </c>
      <c r="AP7919" t="s">
        <v>4701</v>
      </c>
      <c r="AQ7919">
        <v>9</v>
      </c>
      <c r="AR7919" t="s">
        <v>5177</v>
      </c>
      <c r="AS7919" t="s">
        <v>5178</v>
      </c>
      <c r="AT7919" t="s">
        <v>58</v>
      </c>
      <c r="AU7919" t="s">
        <v>68</v>
      </c>
      <c r="AV7919" t="s">
        <v>69</v>
      </c>
      <c r="AW7919" s="1">
        <v>28970</v>
      </c>
      <c r="AX7919">
        <v>1</v>
      </c>
    </row>
    <row r="7920" spans="1:50">
      <c r="B7920" t="str">
        <f>"151953059"</f>
        <v>151953059</v>
      </c>
      <c r="C7920" t="s">
        <v>50</v>
      </c>
      <c r="D7920" t="s">
        <v>2634</v>
      </c>
      <c r="E7920" t="s">
        <v>12362</v>
      </c>
      <c r="F7920" t="s">
        <v>459</v>
      </c>
      <c r="G7920" t="s">
        <v>83</v>
      </c>
      <c r="H7920" t="str">
        <f>" "</f>
        <v xml:space="preserve"> </v>
      </c>
      <c r="K7920">
        <v>6987263673</v>
      </c>
      <c r="N7920" t="s">
        <v>8694</v>
      </c>
      <c r="O7920" t="s">
        <v>8695</v>
      </c>
      <c r="R7920" t="s">
        <v>159</v>
      </c>
      <c r="S7920">
        <v>2</v>
      </c>
      <c r="T7920" t="s">
        <v>8835</v>
      </c>
      <c r="U7920" s="1">
        <v>43348</v>
      </c>
      <c r="V7920" t="s">
        <v>5177</v>
      </c>
      <c r="W7920" t="s">
        <v>5178</v>
      </c>
      <c r="X7920" t="s">
        <v>58</v>
      </c>
      <c r="Y7920">
        <v>24</v>
      </c>
      <c r="Z7920" t="s">
        <v>59</v>
      </c>
      <c r="AA7920" t="s">
        <v>59</v>
      </c>
      <c r="AB7920" t="s">
        <v>59</v>
      </c>
      <c r="AC7920" t="s">
        <v>59</v>
      </c>
      <c r="AD7920" t="s">
        <v>59</v>
      </c>
      <c r="AF7920" s="1">
        <v>43348</v>
      </c>
      <c r="AG7920" t="s">
        <v>8645</v>
      </c>
      <c r="AH7920" t="s">
        <v>8646</v>
      </c>
      <c r="AI7920" t="str">
        <f>"9320138"</f>
        <v>9320138</v>
      </c>
      <c r="AJ7920" t="s">
        <v>11915</v>
      </c>
      <c r="AK7920">
        <v>2841022104</v>
      </c>
      <c r="AL7920" t="s">
        <v>11916</v>
      </c>
      <c r="AM7920" t="s">
        <v>4513</v>
      </c>
      <c r="AN7920" t="s">
        <v>4514</v>
      </c>
      <c r="AO7920" t="s">
        <v>4514</v>
      </c>
      <c r="AP7920" t="s">
        <v>4514</v>
      </c>
      <c r="AQ7920">
        <v>1</v>
      </c>
      <c r="AR7920" t="s">
        <v>5177</v>
      </c>
      <c r="AS7920" t="s">
        <v>5178</v>
      </c>
      <c r="AT7920" t="s">
        <v>58</v>
      </c>
      <c r="AU7920" t="s">
        <v>131</v>
      </c>
      <c r="AV7920" t="s">
        <v>132</v>
      </c>
      <c r="AW7920" s="1">
        <v>32990</v>
      </c>
      <c r="AX7920">
        <v>1</v>
      </c>
    </row>
    <row r="7921" spans="1:50">
      <c r="A7921">
        <v>618439</v>
      </c>
      <c r="B7921" t="str">
        <f>"126326134"</f>
        <v>126326134</v>
      </c>
      <c r="C7921" t="s">
        <v>50</v>
      </c>
      <c r="D7921" t="s">
        <v>2634</v>
      </c>
      <c r="E7921" t="s">
        <v>255</v>
      </c>
      <c r="F7921" t="s">
        <v>9532</v>
      </c>
      <c r="G7921" t="s">
        <v>1074</v>
      </c>
      <c r="H7921" t="str">
        <f>"ΕΞΩ ΛΑΚΩΝΙΑ-ΠΑΝΑΓΙΑ ΑΓΙΟΣ ΝΙΚΟΛΑΟΣ"</f>
        <v>ΕΞΩ ΛΑΚΩΝΙΑ-ΠΑΝΑΓΙΑ ΑΓΙΟΣ ΝΙΚΟΛΑΟΣ</v>
      </c>
      <c r="I7921">
        <v>72100</v>
      </c>
      <c r="J7921">
        <v>2841028852</v>
      </c>
      <c r="K7921">
        <v>6974486071</v>
      </c>
      <c r="N7921" t="s">
        <v>615</v>
      </c>
      <c r="O7921" t="s">
        <v>616</v>
      </c>
      <c r="R7921" t="s">
        <v>57</v>
      </c>
      <c r="S7921">
        <v>5</v>
      </c>
      <c r="T7921">
        <v>774</v>
      </c>
      <c r="U7921" s="1">
        <v>39680</v>
      </c>
      <c r="V7921" t="s">
        <v>5177</v>
      </c>
      <c r="W7921" t="s">
        <v>5178</v>
      </c>
      <c r="X7921" t="s">
        <v>58</v>
      </c>
      <c r="Y7921">
        <v>23</v>
      </c>
      <c r="Z7921" t="s">
        <v>59</v>
      </c>
      <c r="AA7921" t="s">
        <v>59</v>
      </c>
      <c r="AB7921" t="s">
        <v>59</v>
      </c>
      <c r="AC7921" t="s">
        <v>59</v>
      </c>
      <c r="AD7921" t="s">
        <v>59</v>
      </c>
      <c r="AF7921" s="1">
        <v>39681</v>
      </c>
      <c r="AG7921" t="s">
        <v>8645</v>
      </c>
      <c r="AH7921" t="s">
        <v>8646</v>
      </c>
      <c r="AI7921" t="str">
        <f>"9320079"</f>
        <v>9320079</v>
      </c>
      <c r="AJ7921" t="s">
        <v>11952</v>
      </c>
      <c r="AK7921">
        <v>2841051211</v>
      </c>
      <c r="AL7921" t="s">
        <v>11953</v>
      </c>
      <c r="AM7921" t="s">
        <v>4513</v>
      </c>
      <c r="AN7921" t="s">
        <v>4514</v>
      </c>
      <c r="AO7921" t="s">
        <v>4514</v>
      </c>
      <c r="AP7921" t="s">
        <v>4757</v>
      </c>
      <c r="AQ7921">
        <v>2</v>
      </c>
      <c r="AR7921" t="s">
        <v>5177</v>
      </c>
      <c r="AS7921" t="s">
        <v>5178</v>
      </c>
      <c r="AT7921" t="s">
        <v>58</v>
      </c>
      <c r="AU7921" t="s">
        <v>68</v>
      </c>
      <c r="AV7921" t="s">
        <v>69</v>
      </c>
      <c r="AW7921" s="1">
        <v>30882</v>
      </c>
      <c r="AX7921">
        <v>1</v>
      </c>
    </row>
    <row r="7922" spans="1:50">
      <c r="A7922">
        <v>219807</v>
      </c>
      <c r="B7922" t="str">
        <f>"077012523"</f>
        <v>077012523</v>
      </c>
      <c r="C7922" t="s">
        <v>50</v>
      </c>
      <c r="D7922" t="s">
        <v>2634</v>
      </c>
      <c r="E7922" t="s">
        <v>215</v>
      </c>
      <c r="F7922" t="s">
        <v>166</v>
      </c>
      <c r="G7922" t="s">
        <v>83</v>
      </c>
      <c r="H7922" t="str">
        <f>" "</f>
        <v xml:space="preserve"> </v>
      </c>
      <c r="J7922">
        <v>2841026536</v>
      </c>
      <c r="K7922">
        <v>6948517044</v>
      </c>
      <c r="N7922" t="s">
        <v>176</v>
      </c>
      <c r="O7922" t="s">
        <v>177</v>
      </c>
      <c r="R7922" t="s">
        <v>57</v>
      </c>
      <c r="S7922">
        <v>10</v>
      </c>
      <c r="T7922">
        <v>599</v>
      </c>
      <c r="U7922" s="1">
        <v>39310</v>
      </c>
      <c r="V7922" t="s">
        <v>5177</v>
      </c>
      <c r="W7922" t="s">
        <v>5178</v>
      </c>
      <c r="X7922" t="s">
        <v>58</v>
      </c>
      <c r="Y7922">
        <v>22</v>
      </c>
      <c r="Z7922" t="s">
        <v>59</v>
      </c>
      <c r="AA7922" t="s">
        <v>59</v>
      </c>
      <c r="AB7922" t="s">
        <v>59</v>
      </c>
      <c r="AC7922" t="s">
        <v>59</v>
      </c>
      <c r="AD7922" t="s">
        <v>59</v>
      </c>
      <c r="AF7922" s="1">
        <v>39328</v>
      </c>
      <c r="AG7922" t="s">
        <v>8645</v>
      </c>
      <c r="AH7922" t="s">
        <v>8646</v>
      </c>
      <c r="AI7922" t="str">
        <f>"9320138"</f>
        <v>9320138</v>
      </c>
      <c r="AJ7922" t="s">
        <v>11915</v>
      </c>
      <c r="AK7922">
        <v>2841022104</v>
      </c>
      <c r="AL7922" t="s">
        <v>11916</v>
      </c>
      <c r="AM7922" t="s">
        <v>4513</v>
      </c>
      <c r="AN7922" t="s">
        <v>4514</v>
      </c>
      <c r="AO7922" t="s">
        <v>4514</v>
      </c>
      <c r="AP7922" t="s">
        <v>4514</v>
      </c>
      <c r="AQ7922">
        <v>1</v>
      </c>
      <c r="AR7922" t="s">
        <v>5177</v>
      </c>
      <c r="AS7922" t="s">
        <v>5178</v>
      </c>
      <c r="AT7922" t="s">
        <v>58</v>
      </c>
      <c r="AU7922" t="s">
        <v>68</v>
      </c>
      <c r="AV7922" t="s">
        <v>69</v>
      </c>
      <c r="AW7922" s="1">
        <v>26627</v>
      </c>
      <c r="AX7922">
        <v>1</v>
      </c>
    </row>
    <row r="7923" spans="1:50">
      <c r="A7923">
        <v>622810</v>
      </c>
      <c r="B7923" t="str">
        <f>"140252274"</f>
        <v>140252274</v>
      </c>
      <c r="C7923" t="s">
        <v>50</v>
      </c>
      <c r="D7923" t="s">
        <v>2639</v>
      </c>
      <c r="E7923" t="s">
        <v>12363</v>
      </c>
      <c r="F7923" t="s">
        <v>957</v>
      </c>
      <c r="G7923" t="s">
        <v>12364</v>
      </c>
      <c r="H7923" t="str">
        <f>"Β΄ΠΑΡΟΔΟΣ ΕΔΕΣΣΗΣ 2 ΣΤΑΥΡΟΥΠΟΛΗ"</f>
        <v>Β΄ΠΑΡΟΔΟΣ ΕΔΕΣΣΗΣ 2 ΣΤΑΥΡΟΥΠΟΛΗ</v>
      </c>
      <c r="I7923">
        <v>56430</v>
      </c>
      <c r="J7923">
        <v>2682023432</v>
      </c>
      <c r="K7923">
        <v>6942637339</v>
      </c>
      <c r="M7923" t="s">
        <v>12365</v>
      </c>
      <c r="N7923" t="s">
        <v>1525</v>
      </c>
      <c r="O7923" t="s">
        <v>1526</v>
      </c>
      <c r="R7923" t="s">
        <v>57</v>
      </c>
      <c r="S7923">
        <v>4</v>
      </c>
      <c r="T7923">
        <v>653</v>
      </c>
      <c r="U7923" s="1">
        <v>40043</v>
      </c>
      <c r="V7923" t="s">
        <v>5177</v>
      </c>
      <c r="W7923" t="s">
        <v>5178</v>
      </c>
      <c r="X7923" t="s">
        <v>58</v>
      </c>
      <c r="Y7923">
        <v>25</v>
      </c>
      <c r="Z7923" t="s">
        <v>59</v>
      </c>
      <c r="AA7923" t="s">
        <v>59</v>
      </c>
      <c r="AB7923" t="s">
        <v>59</v>
      </c>
      <c r="AC7923" t="s">
        <v>59</v>
      </c>
      <c r="AD7923" t="s">
        <v>59</v>
      </c>
      <c r="AF7923" s="1">
        <v>40045</v>
      </c>
      <c r="AG7923" t="s">
        <v>8651</v>
      </c>
      <c r="AH7923" t="s">
        <v>8652</v>
      </c>
      <c r="AI7923" t="str">
        <f>"9320139"</f>
        <v>9320139</v>
      </c>
      <c r="AJ7923" t="s">
        <v>12196</v>
      </c>
      <c r="AK7923">
        <v>2841024219</v>
      </c>
      <c r="AL7923" t="s">
        <v>12197</v>
      </c>
      <c r="AM7923" t="s">
        <v>4513</v>
      </c>
      <c r="AN7923" t="s">
        <v>4514</v>
      </c>
      <c r="AO7923" t="s">
        <v>4514</v>
      </c>
      <c r="AP7923" t="s">
        <v>4514</v>
      </c>
      <c r="AQ7923">
        <v>1</v>
      </c>
      <c r="AR7923" t="s">
        <v>5177</v>
      </c>
      <c r="AS7923" t="s">
        <v>5178</v>
      </c>
      <c r="AT7923" t="s">
        <v>58</v>
      </c>
      <c r="AU7923" t="s">
        <v>68</v>
      </c>
      <c r="AV7923" t="s">
        <v>69</v>
      </c>
      <c r="AW7923" s="1">
        <v>31282</v>
      </c>
      <c r="AX7923">
        <v>1</v>
      </c>
    </row>
    <row r="7924" spans="1:50">
      <c r="A7924">
        <v>584049</v>
      </c>
      <c r="B7924" t="str">
        <f>"110271529"</f>
        <v>110271529</v>
      </c>
      <c r="C7924" t="s">
        <v>50</v>
      </c>
      <c r="D7924" t="s">
        <v>12366</v>
      </c>
      <c r="E7924" t="s">
        <v>143</v>
      </c>
      <c r="F7924" t="s">
        <v>1041</v>
      </c>
      <c r="G7924" t="s">
        <v>255</v>
      </c>
      <c r="H7924" t="str">
        <f>"ΓΡΗΓΟΡΙΟΥ ΑΥΞΕΝΤΙΟΥ 49 ΙΕΡΑΠΕΤΡΑ"</f>
        <v>ΓΡΗΓΟΡΙΟΥ ΑΥΞΕΝΤΙΟΥ 49 ΙΕΡΑΠΕΤΡΑ</v>
      </c>
      <c r="I7924">
        <v>72200</v>
      </c>
      <c r="J7924">
        <v>2842080186</v>
      </c>
      <c r="K7924">
        <v>6939648701</v>
      </c>
      <c r="N7924" t="s">
        <v>615</v>
      </c>
      <c r="O7924" t="s">
        <v>616</v>
      </c>
      <c r="R7924" t="s">
        <v>57</v>
      </c>
      <c r="S7924">
        <v>11</v>
      </c>
      <c r="T7924">
        <v>165</v>
      </c>
      <c r="U7924" s="1">
        <v>36040</v>
      </c>
      <c r="V7924" t="s">
        <v>5177</v>
      </c>
      <c r="W7924" t="s">
        <v>5178</v>
      </c>
      <c r="X7924" t="s">
        <v>58</v>
      </c>
      <c r="Y7924">
        <v>21</v>
      </c>
      <c r="Z7924" t="s">
        <v>59</v>
      </c>
      <c r="AA7924" t="s">
        <v>59</v>
      </c>
      <c r="AB7924" t="s">
        <v>59</v>
      </c>
      <c r="AC7924" t="s">
        <v>59</v>
      </c>
      <c r="AD7924" t="s">
        <v>59</v>
      </c>
      <c r="AF7924" s="1">
        <v>36042</v>
      </c>
      <c r="AG7924" t="s">
        <v>8645</v>
      </c>
      <c r="AH7924" t="s">
        <v>8646</v>
      </c>
      <c r="AI7924" t="str">
        <f>"9320021"</f>
        <v>9320021</v>
      </c>
      <c r="AJ7924" t="s">
        <v>11956</v>
      </c>
      <c r="AK7924">
        <v>2842022557</v>
      </c>
      <c r="AL7924" t="s">
        <v>11957</v>
      </c>
      <c r="AM7924" t="s">
        <v>4513</v>
      </c>
      <c r="AN7924" t="s">
        <v>4519</v>
      </c>
      <c r="AO7924" t="s">
        <v>4519</v>
      </c>
      <c r="AP7924" t="s">
        <v>4519</v>
      </c>
      <c r="AQ7924">
        <v>5</v>
      </c>
      <c r="AR7924" t="s">
        <v>5177</v>
      </c>
      <c r="AS7924" t="s">
        <v>5178</v>
      </c>
      <c r="AT7924" t="s">
        <v>58</v>
      </c>
      <c r="AU7924" t="s">
        <v>68</v>
      </c>
      <c r="AV7924" t="s">
        <v>69</v>
      </c>
      <c r="AW7924" s="1">
        <v>24332</v>
      </c>
      <c r="AX7924">
        <v>1</v>
      </c>
    </row>
    <row r="7925" spans="1:50">
      <c r="B7925" t="str">
        <f>"151193318"</f>
        <v>151193318</v>
      </c>
      <c r="C7925" t="s">
        <v>50</v>
      </c>
      <c r="D7925" t="s">
        <v>12367</v>
      </c>
      <c r="E7925" t="s">
        <v>3150</v>
      </c>
      <c r="F7925" t="s">
        <v>309</v>
      </c>
      <c r="G7925" t="s">
        <v>52</v>
      </c>
      <c r="H7925" t="str">
        <f>" "</f>
        <v xml:space="preserve"> </v>
      </c>
      <c r="N7925" t="s">
        <v>615</v>
      </c>
      <c r="O7925" t="s">
        <v>616</v>
      </c>
      <c r="R7925" t="s">
        <v>159</v>
      </c>
      <c r="S7925">
        <v>1</v>
      </c>
      <c r="T7925" t="s">
        <v>8675</v>
      </c>
      <c r="U7925" s="1">
        <v>43348</v>
      </c>
      <c r="V7925" t="s">
        <v>5177</v>
      </c>
      <c r="W7925" t="s">
        <v>5178</v>
      </c>
      <c r="X7925" t="s">
        <v>58</v>
      </c>
      <c r="Y7925">
        <v>24</v>
      </c>
      <c r="Z7925" t="s">
        <v>59</v>
      </c>
      <c r="AA7925" t="s">
        <v>59</v>
      </c>
      <c r="AB7925" t="s">
        <v>59</v>
      </c>
      <c r="AD7925" t="s">
        <v>59</v>
      </c>
      <c r="AF7925" s="1">
        <v>43348</v>
      </c>
      <c r="AG7925" t="s">
        <v>8645</v>
      </c>
      <c r="AH7925" t="s">
        <v>8646</v>
      </c>
      <c r="AI7925" t="str">
        <f>"9320127"</f>
        <v>9320127</v>
      </c>
      <c r="AJ7925" t="s">
        <v>12040</v>
      </c>
      <c r="AK7925">
        <v>2843051221</v>
      </c>
      <c r="AL7925" t="s">
        <v>12041</v>
      </c>
      <c r="AM7925" t="s">
        <v>4513</v>
      </c>
      <c r="AN7925" t="s">
        <v>4519</v>
      </c>
      <c r="AO7925" t="s">
        <v>4766</v>
      </c>
      <c r="AP7925" t="s">
        <v>4767</v>
      </c>
      <c r="AQ7925">
        <v>6</v>
      </c>
      <c r="AR7925" t="s">
        <v>5177</v>
      </c>
      <c r="AS7925" t="s">
        <v>5178</v>
      </c>
      <c r="AT7925" t="s">
        <v>58</v>
      </c>
      <c r="AU7925" t="s">
        <v>8673</v>
      </c>
      <c r="AV7925" t="s">
        <v>132</v>
      </c>
      <c r="AW7925" s="1">
        <v>32855</v>
      </c>
      <c r="AX7925">
        <v>1</v>
      </c>
    </row>
    <row r="7926" spans="1:50">
      <c r="B7926" t="str">
        <f>"139083201"</f>
        <v>139083201</v>
      </c>
      <c r="C7926" t="s">
        <v>50</v>
      </c>
      <c r="D7926" t="s">
        <v>10632</v>
      </c>
      <c r="E7926" t="s">
        <v>620</v>
      </c>
      <c r="F7926" t="s">
        <v>9387</v>
      </c>
      <c r="G7926" t="s">
        <v>52</v>
      </c>
      <c r="H7926" t="str">
        <f>"ΚΑΜΑΡΟΥΛΑ "</f>
        <v xml:space="preserve">ΚΑΜΑΡΟΥΛΑ </v>
      </c>
      <c r="I7926">
        <v>30100</v>
      </c>
      <c r="J7926">
        <v>2641033134</v>
      </c>
      <c r="K7926">
        <v>6984524345</v>
      </c>
      <c r="N7926" t="s">
        <v>615</v>
      </c>
      <c r="O7926" t="s">
        <v>616</v>
      </c>
      <c r="R7926" t="s">
        <v>159</v>
      </c>
      <c r="S7926">
        <v>3</v>
      </c>
      <c r="T7926" t="s">
        <v>8675</v>
      </c>
      <c r="U7926" s="1">
        <v>43348</v>
      </c>
      <c r="V7926" t="s">
        <v>5177</v>
      </c>
      <c r="W7926" t="s">
        <v>5178</v>
      </c>
      <c r="X7926" t="s">
        <v>58</v>
      </c>
      <c r="Y7926">
        <v>25</v>
      </c>
      <c r="Z7926" t="s">
        <v>59</v>
      </c>
      <c r="AA7926" t="s">
        <v>59</v>
      </c>
      <c r="AB7926" t="s">
        <v>59</v>
      </c>
      <c r="AC7926" t="s">
        <v>59</v>
      </c>
      <c r="AD7926" t="s">
        <v>59</v>
      </c>
      <c r="AF7926" s="1">
        <v>43348</v>
      </c>
      <c r="AG7926" t="s">
        <v>8645</v>
      </c>
      <c r="AH7926" t="s">
        <v>8676</v>
      </c>
      <c r="AI7926" t="str">
        <f>"9320099"</f>
        <v>9320099</v>
      </c>
      <c r="AJ7926" t="s">
        <v>11881</v>
      </c>
      <c r="AK7926">
        <v>2843031331</v>
      </c>
      <c r="AL7926" t="s">
        <v>11882</v>
      </c>
      <c r="AM7926" t="s">
        <v>4513</v>
      </c>
      <c r="AN7926" t="s">
        <v>4540</v>
      </c>
      <c r="AO7926" t="s">
        <v>4547</v>
      </c>
      <c r="AP7926" t="s">
        <v>11883</v>
      </c>
      <c r="AQ7926">
        <v>11</v>
      </c>
      <c r="AR7926" t="s">
        <v>5177</v>
      </c>
      <c r="AS7926" t="s">
        <v>5178</v>
      </c>
      <c r="AT7926" t="s">
        <v>58</v>
      </c>
      <c r="AU7926" t="s">
        <v>8673</v>
      </c>
      <c r="AV7926" t="s">
        <v>132</v>
      </c>
      <c r="AW7926" s="1">
        <v>31159</v>
      </c>
      <c r="AX7926">
        <v>1</v>
      </c>
    </row>
    <row r="7927" spans="1:50">
      <c r="A7927">
        <v>617362</v>
      </c>
      <c r="B7927" t="str">
        <f>"301972183"</f>
        <v>301972183</v>
      </c>
      <c r="C7927" t="s">
        <v>50</v>
      </c>
      <c r="D7927" t="s">
        <v>6227</v>
      </c>
      <c r="E7927" t="s">
        <v>83</v>
      </c>
      <c r="F7927" t="s">
        <v>84</v>
      </c>
      <c r="G7927" t="s">
        <v>52</v>
      </c>
      <c r="H7927" t="str">
        <f>"ΙΑΠΕΤΟΥ 1 ΚΥΨΕΛΗ"</f>
        <v>ΙΑΠΕΤΟΥ 1 ΚΥΨΕΛΗ</v>
      </c>
      <c r="I7927">
        <v>11364</v>
      </c>
      <c r="J7927">
        <v>2130248622</v>
      </c>
      <c r="K7927">
        <v>6948405815</v>
      </c>
      <c r="M7927" t="s">
        <v>12368</v>
      </c>
      <c r="N7927" t="s">
        <v>615</v>
      </c>
      <c r="O7927" t="s">
        <v>616</v>
      </c>
      <c r="R7927" t="s">
        <v>57</v>
      </c>
      <c r="S7927">
        <v>6</v>
      </c>
      <c r="T7927">
        <v>774</v>
      </c>
      <c r="U7927" s="1">
        <v>39680</v>
      </c>
      <c r="V7927" t="s">
        <v>5177</v>
      </c>
      <c r="W7927" t="s">
        <v>5178</v>
      </c>
      <c r="X7927" t="s">
        <v>58</v>
      </c>
      <c r="Y7927">
        <v>23</v>
      </c>
      <c r="Z7927" t="s">
        <v>59</v>
      </c>
      <c r="AA7927" t="s">
        <v>59</v>
      </c>
      <c r="AB7927" t="s">
        <v>59</v>
      </c>
      <c r="AC7927" t="s">
        <v>59</v>
      </c>
      <c r="AD7927" t="s">
        <v>59</v>
      </c>
      <c r="AF7927" s="1">
        <v>39681</v>
      </c>
      <c r="AG7927" t="s">
        <v>8645</v>
      </c>
      <c r="AH7927" t="s">
        <v>8646</v>
      </c>
      <c r="AI7927" t="str">
        <f>"9320060"</f>
        <v>9320060</v>
      </c>
      <c r="AJ7927" t="s">
        <v>12246</v>
      </c>
      <c r="AK7927">
        <v>2841032319</v>
      </c>
      <c r="AL7927" t="s">
        <v>12247</v>
      </c>
      <c r="AM7927" t="s">
        <v>4513</v>
      </c>
      <c r="AN7927" t="s">
        <v>4514</v>
      </c>
      <c r="AO7927" t="s">
        <v>4524</v>
      </c>
      <c r="AP7927" t="s">
        <v>4525</v>
      </c>
      <c r="AQ7927">
        <v>1</v>
      </c>
      <c r="AR7927" t="s">
        <v>5177</v>
      </c>
      <c r="AS7927" t="s">
        <v>5178</v>
      </c>
      <c r="AT7927" t="s">
        <v>58</v>
      </c>
      <c r="AU7927" t="s">
        <v>68</v>
      </c>
      <c r="AV7927" t="s">
        <v>69</v>
      </c>
      <c r="AW7927" s="1">
        <v>30501</v>
      </c>
      <c r="AX7927">
        <v>1</v>
      </c>
    </row>
    <row r="7928" spans="1:50">
      <c r="A7928">
        <v>615792</v>
      </c>
      <c r="B7928" t="str">
        <f>"049982573"</f>
        <v>049982573</v>
      </c>
      <c r="C7928" t="s">
        <v>50</v>
      </c>
      <c r="D7928" t="s">
        <v>12369</v>
      </c>
      <c r="E7928" t="s">
        <v>513</v>
      </c>
      <c r="F7928" t="s">
        <v>2184</v>
      </c>
      <c r="G7928" t="s">
        <v>705</v>
      </c>
      <c r="H7928" t="str">
        <f>" ΜΕΛΛΙΣΙ ΓΙΑΝΝΙΤΣΩΝ ΠΕΛΛΑΣ"</f>
        <v xml:space="preserve"> ΜΕΛΛΙΣΙ ΓΙΑΝΝΙΤΣΩΝ ΠΕΛΛΑΣ</v>
      </c>
      <c r="J7928">
        <v>2382042753</v>
      </c>
      <c r="K7928">
        <v>6972157172</v>
      </c>
      <c r="N7928" t="s">
        <v>306</v>
      </c>
      <c r="O7928" t="s">
        <v>307</v>
      </c>
      <c r="R7928" t="s">
        <v>57</v>
      </c>
      <c r="S7928">
        <v>5</v>
      </c>
      <c r="T7928">
        <v>600</v>
      </c>
      <c r="U7928" s="1">
        <v>39310</v>
      </c>
      <c r="V7928" t="s">
        <v>5177</v>
      </c>
      <c r="W7928" t="s">
        <v>5178</v>
      </c>
      <c r="X7928" t="s">
        <v>58</v>
      </c>
      <c r="Y7928">
        <v>23</v>
      </c>
      <c r="Z7928" t="s">
        <v>59</v>
      </c>
      <c r="AA7928" t="s">
        <v>59</v>
      </c>
      <c r="AB7928" t="s">
        <v>59</v>
      </c>
      <c r="AC7928" t="s">
        <v>59</v>
      </c>
      <c r="AD7928" t="s">
        <v>59</v>
      </c>
      <c r="AF7928" s="1">
        <v>39326</v>
      </c>
      <c r="AG7928" t="s">
        <v>8645</v>
      </c>
      <c r="AH7928" t="s">
        <v>8646</v>
      </c>
      <c r="AI7928" t="str">
        <f>"9320090"</f>
        <v>9320090</v>
      </c>
      <c r="AJ7928" t="s">
        <v>11926</v>
      </c>
      <c r="AK7928">
        <v>2843022385</v>
      </c>
      <c r="AL7928" t="s">
        <v>11927</v>
      </c>
      <c r="AM7928" t="s">
        <v>4513</v>
      </c>
      <c r="AN7928" t="s">
        <v>4540</v>
      </c>
      <c r="AO7928" t="s">
        <v>4540</v>
      </c>
      <c r="AP7928" t="s">
        <v>4540</v>
      </c>
      <c r="AQ7928">
        <v>8</v>
      </c>
      <c r="AR7928" t="s">
        <v>5177</v>
      </c>
      <c r="AS7928" t="s">
        <v>5178</v>
      </c>
      <c r="AT7928" t="s">
        <v>58</v>
      </c>
      <c r="AU7928" t="s">
        <v>68</v>
      </c>
      <c r="AV7928" t="s">
        <v>69</v>
      </c>
      <c r="AW7928" s="1">
        <v>29071</v>
      </c>
      <c r="AX7928">
        <v>1</v>
      </c>
    </row>
    <row r="7929" spans="1:50">
      <c r="A7929">
        <v>614833</v>
      </c>
      <c r="B7929" t="str">
        <f>"110383109"</f>
        <v>110383109</v>
      </c>
      <c r="C7929" t="s">
        <v>50</v>
      </c>
      <c r="D7929" t="s">
        <v>10656</v>
      </c>
      <c r="E7929" t="s">
        <v>215</v>
      </c>
      <c r="F7929" t="s">
        <v>95</v>
      </c>
      <c r="G7929" t="s">
        <v>52</v>
      </c>
      <c r="H7929" t="str">
        <f>"ΙΩΑΝ. ΣΦΑΚΙΑΝΑΚΗ 25 ΣΗΤΕΙΑ"</f>
        <v>ΙΩΑΝ. ΣΦΑΚΙΑΝΑΚΗ 25 ΣΗΤΕΙΑ</v>
      </c>
      <c r="I7929">
        <v>72300</v>
      </c>
      <c r="J7929">
        <v>2843028802</v>
      </c>
      <c r="K7929">
        <v>6978440486</v>
      </c>
      <c r="N7929" t="s">
        <v>615</v>
      </c>
      <c r="O7929" t="s">
        <v>616</v>
      </c>
      <c r="R7929" t="s">
        <v>57</v>
      </c>
      <c r="S7929">
        <v>5</v>
      </c>
      <c r="T7929">
        <v>598</v>
      </c>
      <c r="U7929" s="1">
        <v>39310</v>
      </c>
      <c r="V7929" t="s">
        <v>5177</v>
      </c>
      <c r="W7929" t="s">
        <v>5178</v>
      </c>
      <c r="X7929" t="s">
        <v>58</v>
      </c>
      <c r="Y7929">
        <v>23</v>
      </c>
      <c r="Z7929" t="s">
        <v>59</v>
      </c>
      <c r="AA7929" t="s">
        <v>59</v>
      </c>
      <c r="AB7929" t="s">
        <v>59</v>
      </c>
      <c r="AC7929" t="s">
        <v>59</v>
      </c>
      <c r="AD7929" t="s">
        <v>59</v>
      </c>
      <c r="AF7929" s="1">
        <v>39328</v>
      </c>
      <c r="AG7929" t="s">
        <v>8645</v>
      </c>
      <c r="AH7929" t="s">
        <v>8646</v>
      </c>
      <c r="AI7929" t="str">
        <f>"9320090"</f>
        <v>9320090</v>
      </c>
      <c r="AJ7929" t="s">
        <v>11926</v>
      </c>
      <c r="AK7929">
        <v>2843022385</v>
      </c>
      <c r="AL7929" t="s">
        <v>11927</v>
      </c>
      <c r="AM7929" t="s">
        <v>4513</v>
      </c>
      <c r="AN7929" t="s">
        <v>4540</v>
      </c>
      <c r="AO7929" t="s">
        <v>4540</v>
      </c>
      <c r="AP7929" t="s">
        <v>4540</v>
      </c>
      <c r="AQ7929">
        <v>8</v>
      </c>
      <c r="AR7929" t="s">
        <v>5177</v>
      </c>
      <c r="AS7929" t="s">
        <v>5178</v>
      </c>
      <c r="AT7929" t="s">
        <v>58</v>
      </c>
      <c r="AU7929" t="s">
        <v>68</v>
      </c>
      <c r="AV7929" t="s">
        <v>69</v>
      </c>
      <c r="AW7929" s="1">
        <v>30668</v>
      </c>
      <c r="AX7929">
        <v>1</v>
      </c>
    </row>
    <row r="7930" spans="1:50">
      <c r="A7930">
        <v>590503</v>
      </c>
      <c r="B7930" t="str">
        <f>"049611184"</f>
        <v>049611184</v>
      </c>
      <c r="C7930" t="s">
        <v>50</v>
      </c>
      <c r="D7930" t="s">
        <v>2679</v>
      </c>
      <c r="E7930" t="s">
        <v>681</v>
      </c>
      <c r="F7930" t="s">
        <v>95</v>
      </c>
      <c r="G7930" t="s">
        <v>52</v>
      </c>
      <c r="H7930" t="str">
        <f>"ΨΥΛΛΙΝΑΚΗ &amp; ΚΑΡΑΝΔΕΙΝΟΥ ΙΕΡΑΠΕΤΡΑ"</f>
        <v>ΨΥΛΛΙΝΑΚΗ &amp; ΚΑΡΑΝΔΕΙΝΟΥ ΙΕΡΑΠΕΤΡΑ</v>
      </c>
      <c r="I7930">
        <v>72200</v>
      </c>
      <c r="J7930">
        <v>2842027179</v>
      </c>
      <c r="N7930" t="s">
        <v>1525</v>
      </c>
      <c r="O7930" t="s">
        <v>1526</v>
      </c>
      <c r="R7930" t="s">
        <v>57</v>
      </c>
      <c r="S7930">
        <v>9</v>
      </c>
      <c r="T7930">
        <v>176</v>
      </c>
      <c r="U7930" s="1">
        <v>36403</v>
      </c>
      <c r="V7930" t="s">
        <v>5177</v>
      </c>
      <c r="W7930" t="s">
        <v>5178</v>
      </c>
      <c r="X7930" t="s">
        <v>58</v>
      </c>
      <c r="Y7930">
        <v>25</v>
      </c>
      <c r="Z7930" t="s">
        <v>59</v>
      </c>
      <c r="AA7930" t="s">
        <v>59</v>
      </c>
      <c r="AB7930" t="s">
        <v>59</v>
      </c>
      <c r="AC7930" t="s">
        <v>59</v>
      </c>
      <c r="AD7930" t="s">
        <v>59</v>
      </c>
      <c r="AF7930" s="1">
        <v>36404</v>
      </c>
      <c r="AG7930" t="s">
        <v>8651</v>
      </c>
      <c r="AH7930" t="s">
        <v>8652</v>
      </c>
      <c r="AI7930" t="str">
        <f>"9320007"</f>
        <v>9320007</v>
      </c>
      <c r="AJ7930" t="s">
        <v>12219</v>
      </c>
      <c r="AK7930">
        <v>2842028548</v>
      </c>
      <c r="AL7930" t="s">
        <v>12220</v>
      </c>
      <c r="AM7930" t="s">
        <v>4513</v>
      </c>
      <c r="AN7930" t="s">
        <v>4519</v>
      </c>
      <c r="AO7930" t="s">
        <v>4519</v>
      </c>
      <c r="AP7930" t="s">
        <v>4519</v>
      </c>
      <c r="AQ7930">
        <v>4</v>
      </c>
      <c r="AR7930" t="s">
        <v>5177</v>
      </c>
      <c r="AS7930" t="s">
        <v>5178</v>
      </c>
      <c r="AT7930" t="s">
        <v>58</v>
      </c>
      <c r="AU7930" t="s">
        <v>68</v>
      </c>
      <c r="AV7930" t="s">
        <v>69</v>
      </c>
      <c r="AW7930" s="1">
        <v>26976</v>
      </c>
      <c r="AX7930">
        <v>1</v>
      </c>
    </row>
    <row r="7931" spans="1:50">
      <c r="A7931">
        <v>219811</v>
      </c>
      <c r="B7931" t="str">
        <f>"071966018"</f>
        <v>071966018</v>
      </c>
      <c r="C7931" t="s">
        <v>105</v>
      </c>
      <c r="D7931" t="s">
        <v>12370</v>
      </c>
      <c r="E7931" t="s">
        <v>95</v>
      </c>
      <c r="F7931" t="s">
        <v>72</v>
      </c>
      <c r="G7931" t="s">
        <v>52</v>
      </c>
      <c r="H7931" t="str">
        <f>" "</f>
        <v xml:space="preserve"> </v>
      </c>
      <c r="J7931">
        <v>2841051961</v>
      </c>
      <c r="K7931">
        <v>6974396307</v>
      </c>
      <c r="N7931" t="s">
        <v>176</v>
      </c>
      <c r="O7931" t="s">
        <v>177</v>
      </c>
      <c r="R7931" t="s">
        <v>57</v>
      </c>
      <c r="S7931">
        <v>7</v>
      </c>
      <c r="T7931">
        <v>599</v>
      </c>
      <c r="U7931" s="1">
        <v>39310</v>
      </c>
      <c r="V7931" t="s">
        <v>5177</v>
      </c>
      <c r="W7931" t="s">
        <v>5178</v>
      </c>
      <c r="X7931" t="s">
        <v>58</v>
      </c>
      <c r="Y7931">
        <v>22</v>
      </c>
      <c r="Z7931" t="s">
        <v>59</v>
      </c>
      <c r="AA7931" t="s">
        <v>59</v>
      </c>
      <c r="AB7931" t="s">
        <v>59</v>
      </c>
      <c r="AC7931" t="s">
        <v>59</v>
      </c>
      <c r="AD7931" t="s">
        <v>59</v>
      </c>
      <c r="AF7931" s="1">
        <v>39328</v>
      </c>
      <c r="AG7931" t="s">
        <v>8645</v>
      </c>
      <c r="AH7931" t="s">
        <v>8646</v>
      </c>
      <c r="AI7931" t="str">
        <f>"9320071"</f>
        <v>9320071</v>
      </c>
      <c r="AJ7931" t="s">
        <v>12098</v>
      </c>
      <c r="AK7931">
        <v>2841041234</v>
      </c>
      <c r="AL7931" t="s">
        <v>12099</v>
      </c>
      <c r="AM7931" t="s">
        <v>4513</v>
      </c>
      <c r="AN7931" t="s">
        <v>4514</v>
      </c>
      <c r="AO7931" t="s">
        <v>4514</v>
      </c>
      <c r="AP7931" t="s">
        <v>12100</v>
      </c>
      <c r="AQ7931">
        <v>2</v>
      </c>
      <c r="AR7931" t="s">
        <v>5177</v>
      </c>
      <c r="AS7931" t="s">
        <v>5178</v>
      </c>
      <c r="AT7931" t="s">
        <v>58</v>
      </c>
      <c r="AU7931" t="s">
        <v>68</v>
      </c>
      <c r="AV7931" t="s">
        <v>69</v>
      </c>
      <c r="AW7931" s="1">
        <v>24598</v>
      </c>
      <c r="AX7931">
        <v>1</v>
      </c>
    </row>
    <row r="7932" spans="1:50">
      <c r="A7932">
        <v>591242</v>
      </c>
      <c r="B7932" t="str">
        <f>"073671040"</f>
        <v>073671040</v>
      </c>
      <c r="C7932" t="s">
        <v>50</v>
      </c>
      <c r="D7932" t="s">
        <v>12371</v>
      </c>
      <c r="E7932" t="s">
        <v>476</v>
      </c>
      <c r="F7932" t="s">
        <v>670</v>
      </c>
      <c r="G7932" t="s">
        <v>1155</v>
      </c>
      <c r="H7932" t="str">
        <f>"ΜΕΛΕΤΙΟΥ ΜΕΤΑΞΑΚΗ 3 ΙΕΡΑΠΕΤΡΑ"</f>
        <v>ΜΕΛΕΤΙΟΥ ΜΕΤΑΞΑΚΗ 3 ΙΕΡΑΠΕΤΡΑ</v>
      </c>
      <c r="I7932">
        <v>72200</v>
      </c>
      <c r="J7932">
        <v>2841080241</v>
      </c>
      <c r="N7932" t="s">
        <v>615</v>
      </c>
      <c r="O7932" t="s">
        <v>616</v>
      </c>
      <c r="R7932" t="s">
        <v>57</v>
      </c>
      <c r="S7932">
        <v>10</v>
      </c>
      <c r="T7932">
        <v>249</v>
      </c>
      <c r="U7932" s="1">
        <v>36769</v>
      </c>
      <c r="V7932" t="s">
        <v>5177</v>
      </c>
      <c r="W7932" t="s">
        <v>5178</v>
      </c>
      <c r="X7932" t="s">
        <v>58</v>
      </c>
      <c r="Y7932">
        <v>21</v>
      </c>
      <c r="Z7932" t="s">
        <v>59</v>
      </c>
      <c r="AA7932" t="s">
        <v>59</v>
      </c>
      <c r="AB7932" t="s">
        <v>59</v>
      </c>
      <c r="AC7932" t="s">
        <v>59</v>
      </c>
      <c r="AD7932" t="s">
        <v>59</v>
      </c>
      <c r="AF7932" s="1">
        <v>36770</v>
      </c>
      <c r="AG7932" t="s">
        <v>8645</v>
      </c>
      <c r="AH7932" t="s">
        <v>8646</v>
      </c>
      <c r="AI7932" t="str">
        <f>"9320009"</f>
        <v>9320009</v>
      </c>
      <c r="AJ7932" t="s">
        <v>11959</v>
      </c>
      <c r="AK7932">
        <v>2842061261</v>
      </c>
      <c r="AL7932" t="s">
        <v>11960</v>
      </c>
      <c r="AM7932" t="s">
        <v>4513</v>
      </c>
      <c r="AN7932" t="s">
        <v>4519</v>
      </c>
      <c r="AO7932" t="s">
        <v>4519</v>
      </c>
      <c r="AP7932" t="s">
        <v>11961</v>
      </c>
      <c r="AQ7932">
        <v>6</v>
      </c>
      <c r="AR7932" t="s">
        <v>5177</v>
      </c>
      <c r="AS7932" t="s">
        <v>5178</v>
      </c>
      <c r="AT7932" t="s">
        <v>58</v>
      </c>
      <c r="AU7932" t="s">
        <v>68</v>
      </c>
      <c r="AV7932" t="s">
        <v>69</v>
      </c>
      <c r="AW7932" s="1">
        <v>24655</v>
      </c>
      <c r="AX7932">
        <v>1</v>
      </c>
    </row>
    <row r="7933" spans="1:50">
      <c r="B7933" t="str">
        <f>"129068933"</f>
        <v>129068933</v>
      </c>
      <c r="C7933" t="s">
        <v>50</v>
      </c>
      <c r="D7933" t="s">
        <v>12372</v>
      </c>
      <c r="E7933" t="s">
        <v>9782</v>
      </c>
      <c r="F7933" t="s">
        <v>84</v>
      </c>
      <c r="G7933" t="s">
        <v>699</v>
      </c>
      <c r="H7933" t="str">
        <f>"ΑΡΧ. ΠΑΠΑΘΑΝΑΣΙΟΥ 9 "</f>
        <v xml:space="preserve">ΑΡΧ. ΠΑΠΑΘΑΝΑΣΙΟΥ 9 </v>
      </c>
      <c r="I7933">
        <v>53100</v>
      </c>
      <c r="J7933">
        <v>2385029183</v>
      </c>
      <c r="K7933">
        <v>6930901622</v>
      </c>
      <c r="N7933" t="s">
        <v>1525</v>
      </c>
      <c r="O7933" t="s">
        <v>1526</v>
      </c>
      <c r="R7933" t="s">
        <v>159</v>
      </c>
      <c r="S7933">
        <v>2</v>
      </c>
      <c r="T7933" t="s">
        <v>8670</v>
      </c>
      <c r="U7933" s="1">
        <v>43348</v>
      </c>
      <c r="V7933" t="s">
        <v>5177</v>
      </c>
      <c r="W7933" t="s">
        <v>5178</v>
      </c>
      <c r="X7933" t="s">
        <v>58</v>
      </c>
      <c r="Y7933">
        <v>25</v>
      </c>
      <c r="Z7933" t="s">
        <v>59</v>
      </c>
      <c r="AA7933" t="s">
        <v>59</v>
      </c>
      <c r="AB7933" t="s">
        <v>59</v>
      </c>
      <c r="AC7933" t="s">
        <v>59</v>
      </c>
      <c r="AD7933" t="s">
        <v>59</v>
      </c>
      <c r="AF7933" s="1">
        <v>43348</v>
      </c>
      <c r="AG7933" t="s">
        <v>8651</v>
      </c>
      <c r="AH7933" t="s">
        <v>8652</v>
      </c>
      <c r="AI7933" t="str">
        <f>"9320125"</f>
        <v>9320125</v>
      </c>
      <c r="AJ7933" t="s">
        <v>12373</v>
      </c>
      <c r="AK7933">
        <v>2843071393</v>
      </c>
      <c r="AL7933" t="s">
        <v>12374</v>
      </c>
      <c r="AM7933" t="s">
        <v>4513</v>
      </c>
      <c r="AN7933" t="s">
        <v>4540</v>
      </c>
      <c r="AO7933" t="s">
        <v>4540</v>
      </c>
      <c r="AP7933" t="s">
        <v>12315</v>
      </c>
      <c r="AQ7933">
        <v>10</v>
      </c>
      <c r="AR7933" t="s">
        <v>5177</v>
      </c>
      <c r="AS7933" t="s">
        <v>5178</v>
      </c>
      <c r="AT7933" t="s">
        <v>58</v>
      </c>
      <c r="AU7933" t="s">
        <v>8673</v>
      </c>
      <c r="AV7933" t="s">
        <v>132</v>
      </c>
      <c r="AW7933" s="1">
        <v>29776</v>
      </c>
      <c r="AX7933">
        <v>1</v>
      </c>
    </row>
    <row r="7934" spans="1:50">
      <c r="B7934" t="str">
        <f>"128593649"</f>
        <v>128593649</v>
      </c>
      <c r="C7934" t="s">
        <v>50</v>
      </c>
      <c r="D7934" t="s">
        <v>12375</v>
      </c>
      <c r="E7934" t="s">
        <v>263</v>
      </c>
      <c r="F7934" t="s">
        <v>377</v>
      </c>
      <c r="G7934" t="s">
        <v>1074</v>
      </c>
      <c r="H7934" t="str">
        <f>"ΑΝΑΛΗΨΕΩΣ 104 ΒΟΛΟΣ"</f>
        <v>ΑΝΑΛΗΨΕΩΣ 104 ΒΟΛΟΣ</v>
      </c>
      <c r="I7934">
        <v>38333</v>
      </c>
      <c r="J7934">
        <v>2421050660</v>
      </c>
      <c r="K7934">
        <v>6946230725</v>
      </c>
      <c r="L7934">
        <v>6971679025</v>
      </c>
      <c r="M7934" t="s">
        <v>12376</v>
      </c>
      <c r="N7934" t="s">
        <v>1525</v>
      </c>
      <c r="O7934" t="s">
        <v>1526</v>
      </c>
      <c r="R7934" t="s">
        <v>159</v>
      </c>
      <c r="S7934">
        <v>5</v>
      </c>
      <c r="T7934" t="s">
        <v>8670</v>
      </c>
      <c r="U7934" s="1">
        <v>43348</v>
      </c>
      <c r="V7934" t="s">
        <v>5177</v>
      </c>
      <c r="W7934" t="s">
        <v>5178</v>
      </c>
      <c r="X7934" t="s">
        <v>58</v>
      </c>
      <c r="Y7934">
        <v>25</v>
      </c>
      <c r="Z7934" t="s">
        <v>59</v>
      </c>
      <c r="AA7934" t="s">
        <v>59</v>
      </c>
      <c r="AB7934" t="s">
        <v>59</v>
      </c>
      <c r="AC7934" t="s">
        <v>59</v>
      </c>
      <c r="AD7934" t="s">
        <v>59</v>
      </c>
      <c r="AF7934" s="1">
        <v>43348</v>
      </c>
      <c r="AG7934" t="s">
        <v>8651</v>
      </c>
      <c r="AH7934" t="s">
        <v>8652</v>
      </c>
      <c r="AI7934" t="str">
        <f>"9320142"</f>
        <v>9320142</v>
      </c>
      <c r="AJ7934" t="s">
        <v>12022</v>
      </c>
      <c r="AK7934">
        <v>2842026776</v>
      </c>
      <c r="AL7934" t="s">
        <v>12023</v>
      </c>
      <c r="AM7934" t="s">
        <v>4513</v>
      </c>
      <c r="AN7934" t="s">
        <v>4519</v>
      </c>
      <c r="AO7934" t="s">
        <v>4519</v>
      </c>
      <c r="AP7934" t="s">
        <v>4519</v>
      </c>
      <c r="AQ7934">
        <v>4</v>
      </c>
      <c r="AR7934" t="s">
        <v>5177</v>
      </c>
      <c r="AS7934" t="s">
        <v>5178</v>
      </c>
      <c r="AT7934" t="s">
        <v>58</v>
      </c>
      <c r="AU7934" t="s">
        <v>8673</v>
      </c>
      <c r="AV7934" t="s">
        <v>132</v>
      </c>
      <c r="AW7934" s="1">
        <v>31065</v>
      </c>
      <c r="AX7934">
        <v>1</v>
      </c>
    </row>
    <row r="7935" spans="1:50">
      <c r="A7935">
        <v>577710</v>
      </c>
      <c r="B7935" t="str">
        <f>"074129768"</f>
        <v>074129768</v>
      </c>
      <c r="C7935" t="s">
        <v>50</v>
      </c>
      <c r="D7935" t="s">
        <v>12377</v>
      </c>
      <c r="E7935" t="s">
        <v>215</v>
      </c>
      <c r="F7935" t="s">
        <v>166</v>
      </c>
      <c r="G7935" t="s">
        <v>52</v>
      </c>
      <c r="H7935" t="str">
        <f>"Ρ.ΦΕΡΑΙΟΥ 7A ΣΗΤΕΙΑ"</f>
        <v>Ρ.ΦΕΡΑΙΟΥ 7A ΣΗΤΕΙΑ</v>
      </c>
      <c r="I7935">
        <v>72300</v>
      </c>
      <c r="J7935">
        <v>2843024259</v>
      </c>
      <c r="K7935">
        <v>6979728737</v>
      </c>
      <c r="N7935" t="s">
        <v>337</v>
      </c>
      <c r="O7935" t="s">
        <v>338</v>
      </c>
      <c r="R7935" t="s">
        <v>57</v>
      </c>
      <c r="S7935">
        <v>11</v>
      </c>
      <c r="T7935">
        <v>65</v>
      </c>
      <c r="U7935" s="1">
        <v>35146</v>
      </c>
      <c r="V7935" t="s">
        <v>5177</v>
      </c>
      <c r="W7935" t="s">
        <v>5178</v>
      </c>
      <c r="X7935" t="s">
        <v>58</v>
      </c>
      <c r="Y7935">
        <v>21</v>
      </c>
      <c r="Z7935" t="s">
        <v>59</v>
      </c>
      <c r="AA7935" t="s">
        <v>59</v>
      </c>
      <c r="AB7935" t="s">
        <v>59</v>
      </c>
      <c r="AC7935" t="s">
        <v>59</v>
      </c>
      <c r="AD7935" t="s">
        <v>59</v>
      </c>
      <c r="AF7935" s="1">
        <v>35165</v>
      </c>
      <c r="AG7935" t="s">
        <v>8645</v>
      </c>
      <c r="AH7935" t="s">
        <v>8646</v>
      </c>
      <c r="AI7935" t="str">
        <f>"9320093"</f>
        <v>9320093</v>
      </c>
      <c r="AJ7935" t="s">
        <v>11967</v>
      </c>
      <c r="AK7935">
        <v>2843025130</v>
      </c>
      <c r="AL7935" t="s">
        <v>11968</v>
      </c>
      <c r="AM7935" t="s">
        <v>4513</v>
      </c>
      <c r="AN7935" t="s">
        <v>4540</v>
      </c>
      <c r="AO7935" t="s">
        <v>4540</v>
      </c>
      <c r="AP7935" t="s">
        <v>4540</v>
      </c>
      <c r="AQ7935">
        <v>8</v>
      </c>
      <c r="AR7935" t="s">
        <v>5177</v>
      </c>
      <c r="AS7935" t="s">
        <v>5178</v>
      </c>
      <c r="AT7935" t="s">
        <v>58</v>
      </c>
      <c r="AU7935" t="s">
        <v>68</v>
      </c>
      <c r="AV7935" t="s">
        <v>69</v>
      </c>
      <c r="AW7935" s="1">
        <v>27349</v>
      </c>
      <c r="AX7935">
        <v>1</v>
      </c>
    </row>
    <row r="7936" spans="1:50">
      <c r="B7936" t="str">
        <f>"147414995"</f>
        <v>147414995</v>
      </c>
      <c r="C7936" t="s">
        <v>50</v>
      </c>
      <c r="D7936" t="s">
        <v>12378</v>
      </c>
      <c r="E7936" t="s">
        <v>12320</v>
      </c>
      <c r="F7936" t="s">
        <v>12379</v>
      </c>
      <c r="G7936" t="s">
        <v>12380</v>
      </c>
      <c r="H7936" t="str">
        <f>" "</f>
        <v xml:space="preserve"> </v>
      </c>
      <c r="N7936" t="s">
        <v>683</v>
      </c>
      <c r="O7936" t="s">
        <v>684</v>
      </c>
      <c r="R7936" t="s">
        <v>121</v>
      </c>
      <c r="S7936">
        <v>1</v>
      </c>
      <c r="T7936" t="s">
        <v>8675</v>
      </c>
      <c r="U7936" s="1">
        <v>43348</v>
      </c>
      <c r="V7936" t="s">
        <v>5177</v>
      </c>
      <c r="W7936" t="s">
        <v>5178</v>
      </c>
      <c r="X7936" t="s">
        <v>58</v>
      </c>
      <c r="Y7936">
        <v>24</v>
      </c>
      <c r="Z7936" t="s">
        <v>59</v>
      </c>
      <c r="AD7936" t="s">
        <v>59</v>
      </c>
      <c r="AF7936" s="1">
        <v>43348</v>
      </c>
      <c r="AG7936" t="s">
        <v>8645</v>
      </c>
      <c r="AH7936" t="s">
        <v>8646</v>
      </c>
      <c r="AI7936" t="str">
        <f>"9320021"</f>
        <v>9320021</v>
      </c>
      <c r="AJ7936" t="s">
        <v>11956</v>
      </c>
      <c r="AK7936">
        <v>2842022557</v>
      </c>
      <c r="AL7936" t="s">
        <v>11957</v>
      </c>
      <c r="AM7936" t="s">
        <v>4513</v>
      </c>
      <c r="AN7936" t="s">
        <v>4519</v>
      </c>
      <c r="AO7936" t="s">
        <v>4519</v>
      </c>
      <c r="AP7936" t="s">
        <v>4519</v>
      </c>
      <c r="AQ7936">
        <v>5</v>
      </c>
      <c r="AR7936" t="s">
        <v>5177</v>
      </c>
      <c r="AS7936" t="s">
        <v>5178</v>
      </c>
      <c r="AT7936" t="s">
        <v>58</v>
      </c>
      <c r="AU7936" t="s">
        <v>8673</v>
      </c>
      <c r="AV7936" t="s">
        <v>132</v>
      </c>
      <c r="AW7936" s="1">
        <v>31392</v>
      </c>
      <c r="AX7936">
        <v>1</v>
      </c>
    </row>
    <row r="7937" spans="1:50">
      <c r="A7937">
        <v>575390</v>
      </c>
      <c r="B7937" t="str">
        <f>"036186764"</f>
        <v>036186764</v>
      </c>
      <c r="C7937" t="s">
        <v>50</v>
      </c>
      <c r="D7937" t="s">
        <v>12381</v>
      </c>
      <c r="E7937" t="s">
        <v>681</v>
      </c>
      <c r="F7937" t="s">
        <v>315</v>
      </c>
      <c r="G7937" t="s">
        <v>7343</v>
      </c>
      <c r="H7937" t="str">
        <f>"ΛΑΓΓΟΣ ΑΓΙΟΣ ΝΙΚΟΛΑΟΣ"</f>
        <v>ΛΑΓΓΟΣ ΑΓΙΟΣ ΝΙΚΟΛΑΟΣ</v>
      </c>
      <c r="I7937">
        <v>72100</v>
      </c>
      <c r="J7937">
        <v>2841022497</v>
      </c>
      <c r="K7937">
        <v>6981107424</v>
      </c>
      <c r="N7937" t="s">
        <v>615</v>
      </c>
      <c r="O7937" t="s">
        <v>616</v>
      </c>
      <c r="R7937" t="s">
        <v>57</v>
      </c>
      <c r="S7937">
        <v>13</v>
      </c>
      <c r="T7937">
        <v>184</v>
      </c>
      <c r="U7937" s="1">
        <v>34941</v>
      </c>
      <c r="V7937" t="s">
        <v>5177</v>
      </c>
      <c r="W7937" t="s">
        <v>5178</v>
      </c>
      <c r="X7937" t="s">
        <v>58</v>
      </c>
      <c r="Y7937">
        <v>21</v>
      </c>
      <c r="Z7937" t="s">
        <v>59</v>
      </c>
      <c r="AA7937" t="s">
        <v>59</v>
      </c>
      <c r="AB7937" t="s">
        <v>59</v>
      </c>
      <c r="AC7937" t="s">
        <v>59</v>
      </c>
      <c r="AD7937" t="s">
        <v>59</v>
      </c>
      <c r="AF7937" s="1">
        <v>34943</v>
      </c>
      <c r="AG7937" t="s">
        <v>8645</v>
      </c>
      <c r="AH7937" t="s">
        <v>8646</v>
      </c>
      <c r="AI7937" t="str">
        <f>"9320058"</f>
        <v>9320058</v>
      </c>
      <c r="AJ7937" t="s">
        <v>11893</v>
      </c>
      <c r="AK7937">
        <v>2841022496</v>
      </c>
      <c r="AL7937" t="s">
        <v>11894</v>
      </c>
      <c r="AM7937" t="s">
        <v>4513</v>
      </c>
      <c r="AN7937" t="s">
        <v>4514</v>
      </c>
      <c r="AO7937" t="s">
        <v>4514</v>
      </c>
      <c r="AP7937" t="s">
        <v>4514</v>
      </c>
      <c r="AQ7937">
        <v>1</v>
      </c>
      <c r="AR7937" t="s">
        <v>5177</v>
      </c>
      <c r="AS7937" t="s">
        <v>5178</v>
      </c>
      <c r="AT7937" t="s">
        <v>58</v>
      </c>
      <c r="AU7937" t="s">
        <v>68</v>
      </c>
      <c r="AV7937" t="s">
        <v>69</v>
      </c>
      <c r="AW7937" s="1">
        <v>24216</v>
      </c>
      <c r="AX7937">
        <v>1</v>
      </c>
    </row>
    <row r="7938" spans="1:50">
      <c r="B7938" t="str">
        <f>"055075800"</f>
        <v>055075800</v>
      </c>
      <c r="C7938" t="s">
        <v>105</v>
      </c>
      <c r="D7938" t="s">
        <v>7815</v>
      </c>
      <c r="E7938" t="s">
        <v>99</v>
      </c>
      <c r="F7938" t="s">
        <v>53</v>
      </c>
      <c r="G7938" t="s">
        <v>52</v>
      </c>
      <c r="H7938" t="str">
        <f>"ΣΤΡΩΜΝΙΤΣΗΣ 36 "</f>
        <v xml:space="preserve">ΣΤΡΩΜΝΙΤΣΗΣ 36 </v>
      </c>
      <c r="I7938">
        <v>54248</v>
      </c>
      <c r="J7938">
        <v>2310309542</v>
      </c>
      <c r="K7938">
        <v>6942400760</v>
      </c>
      <c r="N7938" t="s">
        <v>615</v>
      </c>
      <c r="O7938" t="s">
        <v>616</v>
      </c>
      <c r="R7938" t="s">
        <v>159</v>
      </c>
      <c r="S7938">
        <v>2</v>
      </c>
      <c r="T7938" t="s">
        <v>8675</v>
      </c>
      <c r="U7938" s="1">
        <v>43348</v>
      </c>
      <c r="V7938" t="s">
        <v>5177</v>
      </c>
      <c r="W7938" t="s">
        <v>5178</v>
      </c>
      <c r="X7938" t="s">
        <v>58</v>
      </c>
      <c r="Y7938">
        <v>24</v>
      </c>
      <c r="Z7938" t="s">
        <v>59</v>
      </c>
      <c r="AA7938" t="s">
        <v>59</v>
      </c>
      <c r="AB7938" t="s">
        <v>59</v>
      </c>
      <c r="AC7938" t="s">
        <v>59</v>
      </c>
      <c r="AD7938" t="s">
        <v>59</v>
      </c>
      <c r="AF7938" s="1">
        <v>43348</v>
      </c>
      <c r="AG7938" t="s">
        <v>8645</v>
      </c>
      <c r="AH7938" t="s">
        <v>8646</v>
      </c>
      <c r="AI7938" t="str">
        <f>"9320006"</f>
        <v>9320006</v>
      </c>
      <c r="AJ7938" t="s">
        <v>11919</v>
      </c>
      <c r="AK7938">
        <v>2842022359</v>
      </c>
      <c r="AL7938" t="s">
        <v>11920</v>
      </c>
      <c r="AM7938" t="s">
        <v>4513</v>
      </c>
      <c r="AN7938" t="s">
        <v>4519</v>
      </c>
      <c r="AO7938" t="s">
        <v>4519</v>
      </c>
      <c r="AP7938" t="s">
        <v>4519</v>
      </c>
      <c r="AQ7938">
        <v>4</v>
      </c>
      <c r="AR7938" t="s">
        <v>5177</v>
      </c>
      <c r="AS7938" t="s">
        <v>5178</v>
      </c>
      <c r="AT7938" t="s">
        <v>58</v>
      </c>
      <c r="AU7938" t="s">
        <v>8673</v>
      </c>
      <c r="AV7938" t="s">
        <v>132</v>
      </c>
      <c r="AW7938" s="1">
        <v>25047</v>
      </c>
      <c r="AX7938">
        <v>1</v>
      </c>
    </row>
    <row r="7939" spans="1:50">
      <c r="A7939">
        <v>614199</v>
      </c>
      <c r="B7939" t="str">
        <f>"120783592"</f>
        <v>120783592</v>
      </c>
      <c r="C7939" t="s">
        <v>50</v>
      </c>
      <c r="D7939" t="s">
        <v>5126</v>
      </c>
      <c r="E7939" t="s">
        <v>1019</v>
      </c>
      <c r="F7939" t="s">
        <v>1062</v>
      </c>
      <c r="G7939" t="s">
        <v>12382</v>
      </c>
      <c r="H7939" t="str">
        <f>"ΜΙΚΡΑΣΙΑΤΩΝ 8 ΡΕΘΥΜΝΟ"</f>
        <v>ΜΙΚΡΑΣΙΑΤΩΝ 8 ΡΕΘΥΜΝΟ</v>
      </c>
      <c r="I7939">
        <v>74100</v>
      </c>
      <c r="J7939">
        <v>2831101014</v>
      </c>
      <c r="K7939">
        <v>6932454686</v>
      </c>
      <c r="N7939" t="s">
        <v>615</v>
      </c>
      <c r="O7939" t="s">
        <v>616</v>
      </c>
      <c r="R7939" t="s">
        <v>57</v>
      </c>
      <c r="S7939">
        <v>6</v>
      </c>
      <c r="T7939">
        <v>598</v>
      </c>
      <c r="U7939" s="1">
        <v>39310</v>
      </c>
      <c r="V7939" t="s">
        <v>5177</v>
      </c>
      <c r="W7939" t="s">
        <v>5178</v>
      </c>
      <c r="X7939" t="s">
        <v>58</v>
      </c>
      <c r="Y7939">
        <v>23</v>
      </c>
      <c r="Z7939" t="s">
        <v>59</v>
      </c>
      <c r="AA7939" t="s">
        <v>59</v>
      </c>
      <c r="AB7939" t="s">
        <v>59</v>
      </c>
      <c r="AC7939" t="s">
        <v>59</v>
      </c>
      <c r="AD7939" t="s">
        <v>59</v>
      </c>
      <c r="AF7939" s="1">
        <v>39328</v>
      </c>
      <c r="AG7939" t="s">
        <v>8645</v>
      </c>
      <c r="AH7939" t="s">
        <v>8646</v>
      </c>
      <c r="AI7939" t="str">
        <f>"9320210"</f>
        <v>9320210</v>
      </c>
      <c r="AJ7939" t="s">
        <v>11890</v>
      </c>
      <c r="AK7939">
        <v>2841026705</v>
      </c>
      <c r="AL7939" t="s">
        <v>11891</v>
      </c>
      <c r="AM7939" t="s">
        <v>4513</v>
      </c>
      <c r="AN7939" t="s">
        <v>4514</v>
      </c>
      <c r="AO7939" t="s">
        <v>4514</v>
      </c>
      <c r="AP7939" t="s">
        <v>4514</v>
      </c>
      <c r="AQ7939">
        <v>1</v>
      </c>
      <c r="AR7939" t="s">
        <v>5177</v>
      </c>
      <c r="AS7939" t="s">
        <v>5178</v>
      </c>
      <c r="AT7939" t="s">
        <v>58</v>
      </c>
      <c r="AU7939" t="s">
        <v>68</v>
      </c>
      <c r="AV7939" t="s">
        <v>69</v>
      </c>
      <c r="AW7939" s="1">
        <v>30137</v>
      </c>
      <c r="AX7939">
        <v>1</v>
      </c>
    </row>
    <row r="7940" spans="1:50">
      <c r="B7940" t="str">
        <f>"143276007"</f>
        <v>143276007</v>
      </c>
      <c r="C7940" t="s">
        <v>50</v>
      </c>
      <c r="D7940" t="s">
        <v>5126</v>
      </c>
      <c r="E7940" t="s">
        <v>181</v>
      </c>
      <c r="F7940" t="s">
        <v>72</v>
      </c>
      <c r="G7940" t="s">
        <v>366</v>
      </c>
      <c r="H7940" t="str">
        <f>"ΜΙΧΑΗΛ ΚΑΡΑΟΛΗ 38 "</f>
        <v xml:space="preserve">ΜΙΧΑΗΛ ΚΑΡΑΟΛΗ 38 </v>
      </c>
      <c r="I7940">
        <v>56728</v>
      </c>
      <c r="J7940">
        <v>2310633468</v>
      </c>
      <c r="K7940">
        <v>6988762440</v>
      </c>
      <c r="N7940" t="s">
        <v>615</v>
      </c>
      <c r="O7940" t="s">
        <v>616</v>
      </c>
      <c r="R7940" t="s">
        <v>159</v>
      </c>
      <c r="S7940">
        <v>2</v>
      </c>
      <c r="T7940" t="s">
        <v>8675</v>
      </c>
      <c r="U7940" s="1">
        <v>43348</v>
      </c>
      <c r="V7940" t="s">
        <v>5177</v>
      </c>
      <c r="W7940" t="s">
        <v>5178</v>
      </c>
      <c r="X7940" t="s">
        <v>58</v>
      </c>
      <c r="Y7940">
        <v>24</v>
      </c>
      <c r="Z7940" t="s">
        <v>59</v>
      </c>
      <c r="AA7940" t="s">
        <v>59</v>
      </c>
      <c r="AB7940" t="s">
        <v>59</v>
      </c>
      <c r="AC7940" t="s">
        <v>59</v>
      </c>
      <c r="AD7940" t="s">
        <v>59</v>
      </c>
      <c r="AF7940" s="1">
        <v>43348</v>
      </c>
      <c r="AG7940" t="s">
        <v>8645</v>
      </c>
      <c r="AH7940" t="s">
        <v>8646</v>
      </c>
      <c r="AI7940" t="str">
        <f>"9320163"</f>
        <v>9320163</v>
      </c>
      <c r="AJ7940" t="s">
        <v>12012</v>
      </c>
      <c r="AK7940">
        <v>2842024595</v>
      </c>
      <c r="AL7940" t="s">
        <v>12013</v>
      </c>
      <c r="AM7940" t="s">
        <v>4513</v>
      </c>
      <c r="AN7940" t="s">
        <v>4519</v>
      </c>
      <c r="AO7940" t="s">
        <v>4519</v>
      </c>
      <c r="AP7940" t="s">
        <v>4519</v>
      </c>
      <c r="AQ7940">
        <v>4</v>
      </c>
      <c r="AR7940" t="s">
        <v>5177</v>
      </c>
      <c r="AS7940" t="s">
        <v>5178</v>
      </c>
      <c r="AT7940" t="s">
        <v>58</v>
      </c>
      <c r="AU7940" t="s">
        <v>8673</v>
      </c>
      <c r="AV7940" t="s">
        <v>132</v>
      </c>
      <c r="AW7940" s="1">
        <v>32354</v>
      </c>
      <c r="AX7940">
        <v>1</v>
      </c>
    </row>
    <row r="7941" spans="1:50">
      <c r="B7941" t="str">
        <f>"130870020"</f>
        <v>130870020</v>
      </c>
      <c r="C7941" t="s">
        <v>50</v>
      </c>
      <c r="D7941" t="s">
        <v>12383</v>
      </c>
      <c r="E7941" t="s">
        <v>742</v>
      </c>
      <c r="F7941" t="s">
        <v>1316</v>
      </c>
      <c r="G7941" t="s">
        <v>143</v>
      </c>
      <c r="H7941" t="str">
        <f>"ΣΠΕΤΣΩΝ  54 "</f>
        <v xml:space="preserve">ΣΠΕΤΣΩΝ  54 </v>
      </c>
      <c r="I7941">
        <v>18120</v>
      </c>
      <c r="J7941">
        <v>2105699021</v>
      </c>
      <c r="K7941">
        <v>6945310909</v>
      </c>
      <c r="N7941" t="s">
        <v>1525</v>
      </c>
      <c r="O7941" t="s">
        <v>1526</v>
      </c>
      <c r="R7941" t="s">
        <v>159</v>
      </c>
      <c r="S7941">
        <v>3</v>
      </c>
      <c r="T7941" t="s">
        <v>8670</v>
      </c>
      <c r="U7941" s="1">
        <v>43348</v>
      </c>
      <c r="V7941" t="s">
        <v>5177</v>
      </c>
      <c r="W7941" t="s">
        <v>5178</v>
      </c>
      <c r="X7941" t="s">
        <v>58</v>
      </c>
      <c r="Y7941">
        <v>25</v>
      </c>
      <c r="Z7941" t="s">
        <v>59</v>
      </c>
      <c r="AA7941" t="s">
        <v>59</v>
      </c>
      <c r="AB7941" t="s">
        <v>59</v>
      </c>
      <c r="AC7941" t="s">
        <v>59</v>
      </c>
      <c r="AD7941" t="s">
        <v>59</v>
      </c>
      <c r="AF7941" s="1">
        <v>43348</v>
      </c>
      <c r="AG7941" t="s">
        <v>8651</v>
      </c>
      <c r="AH7941" t="s">
        <v>8652</v>
      </c>
      <c r="AI7941" t="str">
        <f>"9320162"</f>
        <v>9320162</v>
      </c>
      <c r="AJ7941" t="s">
        <v>12160</v>
      </c>
      <c r="AK7941">
        <v>2842091214</v>
      </c>
      <c r="AL7941" t="s">
        <v>12161</v>
      </c>
      <c r="AM7941" t="s">
        <v>4513</v>
      </c>
      <c r="AN7941" t="s">
        <v>4519</v>
      </c>
      <c r="AO7941" t="s">
        <v>4519</v>
      </c>
      <c r="AP7941" t="s">
        <v>12162</v>
      </c>
      <c r="AQ7941">
        <v>7</v>
      </c>
      <c r="AR7941" t="s">
        <v>5177</v>
      </c>
      <c r="AS7941" t="s">
        <v>5178</v>
      </c>
      <c r="AT7941" t="s">
        <v>58</v>
      </c>
      <c r="AU7941" t="s">
        <v>8673</v>
      </c>
      <c r="AV7941" t="s">
        <v>132</v>
      </c>
      <c r="AW7941" s="1">
        <v>28966</v>
      </c>
      <c r="AX7941">
        <v>1</v>
      </c>
    </row>
    <row r="7942" spans="1:50">
      <c r="B7942" t="str">
        <f>"125282320"</f>
        <v>125282320</v>
      </c>
      <c r="C7942" t="s">
        <v>50</v>
      </c>
      <c r="D7942" t="s">
        <v>10691</v>
      </c>
      <c r="E7942" t="s">
        <v>263</v>
      </c>
      <c r="F7942" t="s">
        <v>95</v>
      </c>
      <c r="G7942" t="s">
        <v>143</v>
      </c>
      <c r="H7942" t="str">
        <f>"ΙΟΥΣΤΙΝΙΑΝΟΥ 41 "</f>
        <v xml:space="preserve">ΙΟΥΣΤΙΝΙΑΝΟΥ 41 </v>
      </c>
      <c r="I7942">
        <v>11473</v>
      </c>
      <c r="J7942">
        <v>2108218019</v>
      </c>
      <c r="K7942">
        <v>6945398712</v>
      </c>
      <c r="N7942" t="s">
        <v>204</v>
      </c>
      <c r="O7942" t="s">
        <v>205</v>
      </c>
      <c r="R7942" t="s">
        <v>159</v>
      </c>
      <c r="S7942">
        <v>4</v>
      </c>
      <c r="T7942" t="s">
        <v>8675</v>
      </c>
      <c r="U7942" s="1">
        <v>43348</v>
      </c>
      <c r="V7942" t="s">
        <v>5177</v>
      </c>
      <c r="W7942" t="s">
        <v>5178</v>
      </c>
      <c r="X7942" t="s">
        <v>58</v>
      </c>
      <c r="Y7942">
        <v>24</v>
      </c>
      <c r="Z7942" t="s">
        <v>59</v>
      </c>
      <c r="AA7942" t="s">
        <v>59</v>
      </c>
      <c r="AB7942" t="s">
        <v>59</v>
      </c>
      <c r="AC7942" t="s">
        <v>59</v>
      </c>
      <c r="AD7942" t="s">
        <v>59</v>
      </c>
      <c r="AF7942" s="1">
        <v>43348</v>
      </c>
      <c r="AG7942" t="s">
        <v>8645</v>
      </c>
      <c r="AH7942" t="s">
        <v>8646</v>
      </c>
      <c r="AI7942" t="str">
        <f>"9320090"</f>
        <v>9320090</v>
      </c>
      <c r="AJ7942" t="s">
        <v>11926</v>
      </c>
      <c r="AK7942">
        <v>2843022385</v>
      </c>
      <c r="AL7942" t="s">
        <v>11927</v>
      </c>
      <c r="AM7942" t="s">
        <v>4513</v>
      </c>
      <c r="AN7942" t="s">
        <v>4540</v>
      </c>
      <c r="AO7942" t="s">
        <v>4540</v>
      </c>
      <c r="AP7942" t="s">
        <v>4540</v>
      </c>
      <c r="AQ7942">
        <v>8</v>
      </c>
      <c r="AR7942" t="s">
        <v>5177</v>
      </c>
      <c r="AS7942" t="s">
        <v>5178</v>
      </c>
      <c r="AT7942" t="s">
        <v>58</v>
      </c>
      <c r="AU7942" t="s">
        <v>8673</v>
      </c>
      <c r="AV7942" t="s">
        <v>132</v>
      </c>
      <c r="AW7942" s="1">
        <v>30506</v>
      </c>
      <c r="AX7942">
        <v>1</v>
      </c>
    </row>
    <row r="7943" spans="1:50">
      <c r="A7943">
        <v>616853</v>
      </c>
      <c r="B7943" t="str">
        <f>"137476928"</f>
        <v>137476928</v>
      </c>
      <c r="C7943" t="s">
        <v>50</v>
      </c>
      <c r="D7943" t="s">
        <v>12384</v>
      </c>
      <c r="E7943" t="s">
        <v>1562</v>
      </c>
      <c r="F7943" t="s">
        <v>154</v>
      </c>
      <c r="G7943" t="s">
        <v>340</v>
      </c>
      <c r="H7943" t="str">
        <f>"ΠΑΡΟΔΟΣ ΚΑΡΑΜΑΝΛΗ ΑΓΙΟΣ ΝΙΚΟΛΑΟΣ"</f>
        <v>ΠΑΡΟΔΟΣ ΚΑΡΑΜΑΝΛΗ ΑΓΙΟΣ ΝΙΚΟΛΑΟΣ</v>
      </c>
      <c r="I7943">
        <v>72100</v>
      </c>
      <c r="J7943">
        <v>2841028587</v>
      </c>
      <c r="K7943">
        <v>6936641526</v>
      </c>
      <c r="N7943" t="s">
        <v>615</v>
      </c>
      <c r="O7943" t="s">
        <v>616</v>
      </c>
      <c r="R7943" t="s">
        <v>57</v>
      </c>
      <c r="S7943">
        <v>6</v>
      </c>
      <c r="T7943">
        <v>774</v>
      </c>
      <c r="U7943" s="1">
        <v>39680</v>
      </c>
      <c r="V7943" t="s">
        <v>5177</v>
      </c>
      <c r="W7943" t="s">
        <v>5178</v>
      </c>
      <c r="X7943" t="s">
        <v>58</v>
      </c>
      <c r="Y7943">
        <v>23</v>
      </c>
      <c r="Z7943" t="s">
        <v>59</v>
      </c>
      <c r="AA7943" t="s">
        <v>59</v>
      </c>
      <c r="AB7943" t="s">
        <v>59</v>
      </c>
      <c r="AC7943" t="s">
        <v>59</v>
      </c>
      <c r="AD7943" t="s">
        <v>59</v>
      </c>
      <c r="AF7943" s="1">
        <v>39681</v>
      </c>
      <c r="AG7943" t="s">
        <v>8645</v>
      </c>
      <c r="AH7943" t="s">
        <v>8646</v>
      </c>
      <c r="AI7943" t="str">
        <f>"9320060"</f>
        <v>9320060</v>
      </c>
      <c r="AJ7943" t="s">
        <v>12246</v>
      </c>
      <c r="AK7943">
        <v>2841032319</v>
      </c>
      <c r="AL7943" t="s">
        <v>12247</v>
      </c>
      <c r="AM7943" t="s">
        <v>4513</v>
      </c>
      <c r="AN7943" t="s">
        <v>4514</v>
      </c>
      <c r="AO7943" t="s">
        <v>4524</v>
      </c>
      <c r="AP7943" t="s">
        <v>4525</v>
      </c>
      <c r="AQ7943">
        <v>1</v>
      </c>
      <c r="AR7943" t="s">
        <v>5177</v>
      </c>
      <c r="AS7943" t="s">
        <v>5178</v>
      </c>
      <c r="AT7943" t="s">
        <v>58</v>
      </c>
      <c r="AU7943" t="s">
        <v>68</v>
      </c>
      <c r="AV7943" t="s">
        <v>69</v>
      </c>
      <c r="AW7943" s="1">
        <v>29884</v>
      </c>
      <c r="AX7943">
        <v>1</v>
      </c>
    </row>
    <row r="7944" spans="1:50">
      <c r="B7944" t="str">
        <f>"100089693"</f>
        <v>100089693</v>
      </c>
      <c r="C7944" t="s">
        <v>50</v>
      </c>
      <c r="D7944" t="s">
        <v>12385</v>
      </c>
      <c r="E7944" t="s">
        <v>83</v>
      </c>
      <c r="F7944" t="s">
        <v>53</v>
      </c>
      <c r="G7944" t="s">
        <v>155</v>
      </c>
      <c r="H7944" t="str">
        <f>" "</f>
        <v xml:space="preserve"> </v>
      </c>
      <c r="N7944" t="s">
        <v>615</v>
      </c>
      <c r="O7944" t="s">
        <v>616</v>
      </c>
      <c r="R7944" t="s">
        <v>121</v>
      </c>
      <c r="S7944">
        <v>1</v>
      </c>
      <c r="T7944" t="s">
        <v>8717</v>
      </c>
      <c r="U7944" s="1">
        <v>43348</v>
      </c>
      <c r="V7944" t="s">
        <v>5177</v>
      </c>
      <c r="W7944" t="s">
        <v>5178</v>
      </c>
      <c r="X7944" t="s">
        <v>58</v>
      </c>
      <c r="Y7944">
        <v>24</v>
      </c>
      <c r="Z7944" t="s">
        <v>59</v>
      </c>
      <c r="AA7944" t="s">
        <v>59</v>
      </c>
      <c r="AB7944" t="s">
        <v>59</v>
      </c>
      <c r="AD7944" t="s">
        <v>59</v>
      </c>
      <c r="AF7944" s="1">
        <v>43348</v>
      </c>
      <c r="AG7944" t="s">
        <v>8645</v>
      </c>
      <c r="AH7944" t="s">
        <v>8646</v>
      </c>
      <c r="AI7944" t="str">
        <f>"9320001"</f>
        <v>9320001</v>
      </c>
      <c r="AJ7944" t="s">
        <v>11954</v>
      </c>
      <c r="AK7944">
        <v>2842022505</v>
      </c>
      <c r="AL7944" t="s">
        <v>11955</v>
      </c>
      <c r="AM7944" t="s">
        <v>4513</v>
      </c>
      <c r="AN7944" t="s">
        <v>4519</v>
      </c>
      <c r="AO7944" t="s">
        <v>4519</v>
      </c>
      <c r="AP7944" t="s">
        <v>4519</v>
      </c>
      <c r="AQ7944">
        <v>4</v>
      </c>
      <c r="AR7944" t="s">
        <v>5177</v>
      </c>
      <c r="AS7944" t="s">
        <v>5178</v>
      </c>
      <c r="AT7944" t="s">
        <v>58</v>
      </c>
      <c r="AU7944" t="s">
        <v>8720</v>
      </c>
      <c r="AV7944" t="s">
        <v>132</v>
      </c>
      <c r="AW7944" s="1">
        <v>28826</v>
      </c>
      <c r="AX7944">
        <v>1</v>
      </c>
    </row>
    <row r="7945" spans="1:50">
      <c r="A7945">
        <v>606143</v>
      </c>
      <c r="B7945" t="str">
        <f>"062660554"</f>
        <v>062660554</v>
      </c>
      <c r="C7945" t="s">
        <v>50</v>
      </c>
      <c r="D7945" t="s">
        <v>12385</v>
      </c>
      <c r="E7945" t="s">
        <v>52</v>
      </c>
      <c r="F7945" t="s">
        <v>84</v>
      </c>
      <c r="G7945" t="s">
        <v>83</v>
      </c>
      <c r="H7945" t="str">
        <f>"ΔΑΙΔΑΛΟΥ 13 ΙΕΡΑΠΕΤΡΑ ΛΑΣΙΘΙΟΥ"</f>
        <v>ΔΑΙΔΑΛΟΥ 13 ΙΕΡΑΠΕΤΡΑ ΛΑΣΙΘΙΟΥ</v>
      </c>
      <c r="I7945">
        <v>72200</v>
      </c>
      <c r="J7945">
        <v>2842096216</v>
      </c>
      <c r="K7945">
        <v>6942040177</v>
      </c>
      <c r="M7945" t="s">
        <v>12386</v>
      </c>
      <c r="N7945" t="s">
        <v>1525</v>
      </c>
      <c r="O7945" t="s">
        <v>1526</v>
      </c>
      <c r="P7945" t="s">
        <v>157</v>
      </c>
      <c r="Q7945" t="s">
        <v>158</v>
      </c>
      <c r="R7945" t="s">
        <v>57</v>
      </c>
      <c r="S7945">
        <v>7</v>
      </c>
      <c r="T7945">
        <v>231</v>
      </c>
      <c r="U7945" s="1">
        <v>38230</v>
      </c>
      <c r="V7945" t="s">
        <v>5177</v>
      </c>
      <c r="W7945" t="s">
        <v>5178</v>
      </c>
      <c r="X7945" t="s">
        <v>58</v>
      </c>
      <c r="Y7945">
        <v>25</v>
      </c>
      <c r="Z7945" t="s">
        <v>59</v>
      </c>
      <c r="AA7945" t="s">
        <v>59</v>
      </c>
      <c r="AB7945" t="s">
        <v>59</v>
      </c>
      <c r="AC7945" t="s">
        <v>59</v>
      </c>
      <c r="AD7945" t="s">
        <v>59</v>
      </c>
      <c r="AF7945" s="1">
        <v>38231</v>
      </c>
      <c r="AG7945" t="s">
        <v>8651</v>
      </c>
      <c r="AH7945" t="s">
        <v>8652</v>
      </c>
      <c r="AI7945" t="str">
        <f>"9320004"</f>
        <v>9320004</v>
      </c>
      <c r="AJ7945" t="s">
        <v>12289</v>
      </c>
      <c r="AK7945">
        <v>2842023709</v>
      </c>
      <c r="AL7945" t="s">
        <v>12290</v>
      </c>
      <c r="AM7945" t="s">
        <v>4513</v>
      </c>
      <c r="AN7945" t="s">
        <v>4519</v>
      </c>
      <c r="AO7945" t="s">
        <v>4519</v>
      </c>
      <c r="AP7945" t="s">
        <v>4519</v>
      </c>
      <c r="AQ7945">
        <v>4</v>
      </c>
      <c r="AR7945" t="s">
        <v>5177</v>
      </c>
      <c r="AS7945" t="s">
        <v>5178</v>
      </c>
      <c r="AT7945" t="s">
        <v>58</v>
      </c>
      <c r="AU7945" t="s">
        <v>68</v>
      </c>
      <c r="AV7945" t="s">
        <v>69</v>
      </c>
      <c r="AW7945" s="1">
        <v>26429</v>
      </c>
      <c r="AX7945">
        <v>1</v>
      </c>
    </row>
    <row r="7946" spans="1:50">
      <c r="B7946" t="str">
        <f>"074956485"</f>
        <v>074956485</v>
      </c>
      <c r="C7946" t="s">
        <v>105</v>
      </c>
      <c r="D7946" t="s">
        <v>12387</v>
      </c>
      <c r="E7946" t="s">
        <v>965</v>
      </c>
      <c r="F7946" t="s">
        <v>53</v>
      </c>
      <c r="G7946" t="s">
        <v>9170</v>
      </c>
      <c r="H7946" t="str">
        <f>"ΑΚΤΗ ΚΟΥΝΔΟΥΡΟΥ 31 ΑΓΙΟΣ ΝΙΚΟΛΑΟΣ ΚΡΗΤΗ"</f>
        <v>ΑΚΤΗ ΚΟΥΝΔΟΥΡΟΥ 31 ΑΓΙΟΣ ΝΙΚΟΛΑΟΣ ΚΡΗΤΗ</v>
      </c>
      <c r="I7946">
        <v>72100</v>
      </c>
      <c r="J7946">
        <v>2841082657</v>
      </c>
      <c r="K7946">
        <v>6972240891</v>
      </c>
      <c r="N7946" t="s">
        <v>176</v>
      </c>
      <c r="O7946" t="s">
        <v>177</v>
      </c>
      <c r="R7946" t="s">
        <v>159</v>
      </c>
      <c r="S7946">
        <v>4</v>
      </c>
      <c r="T7946" t="s">
        <v>8675</v>
      </c>
      <c r="U7946" s="1">
        <v>43348</v>
      </c>
      <c r="V7946" t="s">
        <v>5177</v>
      </c>
      <c r="W7946" t="s">
        <v>5178</v>
      </c>
      <c r="X7946" t="s">
        <v>58</v>
      </c>
      <c r="Y7946">
        <v>24</v>
      </c>
      <c r="Z7946" t="s">
        <v>59</v>
      </c>
      <c r="AA7946" t="s">
        <v>59</v>
      </c>
      <c r="AB7946" t="s">
        <v>59</v>
      </c>
      <c r="AC7946" t="s">
        <v>59</v>
      </c>
      <c r="AD7946" t="s">
        <v>59</v>
      </c>
      <c r="AF7946" s="1">
        <v>43348</v>
      </c>
      <c r="AG7946" t="s">
        <v>8645</v>
      </c>
      <c r="AH7946" t="s">
        <v>8646</v>
      </c>
      <c r="AI7946" t="str">
        <f>"9320012"</f>
        <v>9320012</v>
      </c>
      <c r="AJ7946" t="s">
        <v>11921</v>
      </c>
      <c r="AK7946">
        <v>2842041253</v>
      </c>
      <c r="AL7946" t="s">
        <v>11922</v>
      </c>
      <c r="AM7946" t="s">
        <v>4513</v>
      </c>
      <c r="AN7946" t="s">
        <v>4519</v>
      </c>
      <c r="AO7946" t="s">
        <v>4519</v>
      </c>
      <c r="AP7946" t="s">
        <v>11899</v>
      </c>
      <c r="AQ7946">
        <v>7</v>
      </c>
      <c r="AR7946" t="s">
        <v>5177</v>
      </c>
      <c r="AS7946" t="s">
        <v>5178</v>
      </c>
      <c r="AT7946" t="s">
        <v>58</v>
      </c>
      <c r="AU7946" t="s">
        <v>8673</v>
      </c>
      <c r="AV7946" t="s">
        <v>132</v>
      </c>
      <c r="AW7946" s="1">
        <v>26511</v>
      </c>
      <c r="AX7946">
        <v>1</v>
      </c>
    </row>
    <row r="7947" spans="1:50">
      <c r="A7947">
        <v>557397</v>
      </c>
      <c r="B7947" t="str">
        <f>"029960750"</f>
        <v>029960750</v>
      </c>
      <c r="C7947" t="s">
        <v>50</v>
      </c>
      <c r="D7947" t="s">
        <v>2776</v>
      </c>
      <c r="E7947" t="s">
        <v>73</v>
      </c>
      <c r="F7947" t="s">
        <v>111</v>
      </c>
      <c r="G7947" t="s">
        <v>2127</v>
      </c>
      <c r="H7947" t="str">
        <f>"ΚΟΛΥΜΒΗΤΗΡΙΟ ΚΟΛΥΜΒΗΤΗΡΙΟ"</f>
        <v>ΚΟΛΥΜΒΗΤΗΡΙΟ ΚΟΛΥΜΒΗΤΗΡΙΟ</v>
      </c>
      <c r="I7947">
        <v>72100</v>
      </c>
      <c r="J7947">
        <v>2841023566</v>
      </c>
      <c r="K7947">
        <v>6973287958</v>
      </c>
      <c r="N7947" t="s">
        <v>615</v>
      </c>
      <c r="O7947" t="s">
        <v>616</v>
      </c>
      <c r="R7947" t="s">
        <v>57</v>
      </c>
      <c r="S7947">
        <v>16</v>
      </c>
      <c r="T7947">
        <v>168</v>
      </c>
      <c r="U7947" s="1">
        <v>32010</v>
      </c>
      <c r="V7947" t="s">
        <v>5177</v>
      </c>
      <c r="W7947" t="s">
        <v>5178</v>
      </c>
      <c r="X7947" t="s">
        <v>58</v>
      </c>
      <c r="Y7947">
        <v>21</v>
      </c>
      <c r="Z7947" t="s">
        <v>59</v>
      </c>
      <c r="AA7947" t="s">
        <v>59</v>
      </c>
      <c r="AB7947" t="s">
        <v>59</v>
      </c>
      <c r="AC7947" t="s">
        <v>59</v>
      </c>
      <c r="AD7947" t="s">
        <v>59</v>
      </c>
      <c r="AF7947" s="1">
        <v>32021</v>
      </c>
      <c r="AG7947" t="s">
        <v>8645</v>
      </c>
      <c r="AH7947" t="s">
        <v>8646</v>
      </c>
      <c r="AI7947" t="str">
        <f>"9320138"</f>
        <v>9320138</v>
      </c>
      <c r="AJ7947" t="s">
        <v>11915</v>
      </c>
      <c r="AK7947">
        <v>2841022104</v>
      </c>
      <c r="AL7947" t="s">
        <v>11916</v>
      </c>
      <c r="AM7947" t="s">
        <v>4513</v>
      </c>
      <c r="AN7947" t="s">
        <v>4514</v>
      </c>
      <c r="AO7947" t="s">
        <v>4514</v>
      </c>
      <c r="AP7947" t="s">
        <v>4514</v>
      </c>
      <c r="AQ7947">
        <v>1</v>
      </c>
      <c r="AR7947" t="s">
        <v>5177</v>
      </c>
      <c r="AS7947" t="s">
        <v>5178</v>
      </c>
      <c r="AT7947" t="s">
        <v>58</v>
      </c>
      <c r="AU7947" t="s">
        <v>68</v>
      </c>
      <c r="AV7947" t="s">
        <v>69</v>
      </c>
      <c r="AW7947" s="1">
        <v>22356</v>
      </c>
      <c r="AX7947">
        <v>1</v>
      </c>
    </row>
    <row r="7948" spans="1:50">
      <c r="A7948">
        <v>618159</v>
      </c>
      <c r="B7948" t="str">
        <f>"126330111"</f>
        <v>126330111</v>
      </c>
      <c r="C7948" t="s">
        <v>50</v>
      </c>
      <c r="D7948" t="s">
        <v>5144</v>
      </c>
      <c r="E7948" t="s">
        <v>250</v>
      </c>
      <c r="F7948" t="s">
        <v>108</v>
      </c>
      <c r="G7948" t="s">
        <v>620</v>
      </c>
      <c r="H7948" t="str">
        <f>"ΚΑΛΟ ΧΩΡΙΟ ΑΓΙΟΣ ΝΙΚΟΛΑΟΣ"</f>
        <v>ΚΑΛΟ ΧΩΡΙΟ ΑΓΙΟΣ ΝΙΚΟΛΑΟΣ</v>
      </c>
      <c r="I7948">
        <v>72100</v>
      </c>
      <c r="J7948">
        <v>2841061737</v>
      </c>
      <c r="K7948">
        <v>6978230592</v>
      </c>
      <c r="N7948" t="s">
        <v>615</v>
      </c>
      <c r="O7948" t="s">
        <v>616</v>
      </c>
      <c r="R7948" t="s">
        <v>57</v>
      </c>
      <c r="S7948">
        <v>7</v>
      </c>
      <c r="T7948">
        <v>774</v>
      </c>
      <c r="U7948" s="1">
        <v>39680</v>
      </c>
      <c r="V7948" t="s">
        <v>5177</v>
      </c>
      <c r="W7948" t="s">
        <v>5178</v>
      </c>
      <c r="X7948" t="s">
        <v>58</v>
      </c>
      <c r="Y7948">
        <v>23</v>
      </c>
      <c r="Z7948" t="s">
        <v>59</v>
      </c>
      <c r="AA7948" t="s">
        <v>59</v>
      </c>
      <c r="AB7948" t="s">
        <v>59</v>
      </c>
      <c r="AC7948" t="s">
        <v>59</v>
      </c>
      <c r="AD7948" t="s">
        <v>59</v>
      </c>
      <c r="AF7948" s="1">
        <v>39681</v>
      </c>
      <c r="AG7948" t="s">
        <v>8645</v>
      </c>
      <c r="AH7948" t="s">
        <v>8646</v>
      </c>
      <c r="AI7948" t="str">
        <f>"9320034"</f>
        <v>9320034</v>
      </c>
      <c r="AJ7948" t="s">
        <v>11984</v>
      </c>
      <c r="AK7948">
        <v>2841061401</v>
      </c>
      <c r="AL7948" t="s">
        <v>11985</v>
      </c>
      <c r="AM7948" t="s">
        <v>4513</v>
      </c>
      <c r="AN7948" t="s">
        <v>4514</v>
      </c>
      <c r="AO7948" t="s">
        <v>4514</v>
      </c>
      <c r="AP7948" t="s">
        <v>11986</v>
      </c>
      <c r="AQ7948">
        <v>2</v>
      </c>
      <c r="AR7948" t="s">
        <v>5177</v>
      </c>
      <c r="AS7948" t="s">
        <v>5178</v>
      </c>
      <c r="AT7948" t="s">
        <v>58</v>
      </c>
      <c r="AU7948" t="s">
        <v>68</v>
      </c>
      <c r="AV7948" t="s">
        <v>69</v>
      </c>
      <c r="AW7948" s="1">
        <v>30874</v>
      </c>
      <c r="AX7948">
        <v>1</v>
      </c>
    </row>
    <row r="7949" spans="1:50">
      <c r="A7949">
        <v>703975</v>
      </c>
      <c r="B7949" t="str">
        <f>"053800453"</f>
        <v>053800453</v>
      </c>
      <c r="C7949" t="s">
        <v>50</v>
      </c>
      <c r="D7949" t="s">
        <v>5144</v>
      </c>
      <c r="E7949" t="s">
        <v>52</v>
      </c>
      <c r="F7949" t="s">
        <v>304</v>
      </c>
      <c r="G7949" t="s">
        <v>325</v>
      </c>
      <c r="H7949" t="str">
        <f>"ΚΑΒΒΑΘΑ 19 ΖΩΓΡΑΦΟΥ"</f>
        <v>ΚΑΒΒΑΘΑ 19 ΖΩΓΡΑΦΟΥ</v>
      </c>
      <c r="I7949">
        <v>15773</v>
      </c>
      <c r="J7949">
        <v>2107782763</v>
      </c>
      <c r="K7949">
        <v>6944519630</v>
      </c>
      <c r="N7949" t="s">
        <v>176</v>
      </c>
      <c r="O7949" t="s">
        <v>177</v>
      </c>
      <c r="R7949" t="s">
        <v>57</v>
      </c>
      <c r="S7949">
        <v>6</v>
      </c>
      <c r="T7949" t="s">
        <v>4900</v>
      </c>
      <c r="U7949" s="1">
        <v>40779</v>
      </c>
      <c r="V7949" t="s">
        <v>5177</v>
      </c>
      <c r="W7949" t="s">
        <v>5178</v>
      </c>
      <c r="X7949" t="s">
        <v>58</v>
      </c>
      <c r="Y7949">
        <v>24</v>
      </c>
      <c r="Z7949" t="s">
        <v>59</v>
      </c>
      <c r="AA7949" t="s">
        <v>59</v>
      </c>
      <c r="AB7949" t="s">
        <v>59</v>
      </c>
      <c r="AC7949" t="s">
        <v>59</v>
      </c>
      <c r="AD7949" t="s">
        <v>59</v>
      </c>
      <c r="AF7949" s="1">
        <v>42716</v>
      </c>
      <c r="AG7949" t="s">
        <v>8645</v>
      </c>
      <c r="AH7949" t="s">
        <v>8646</v>
      </c>
      <c r="AI7949" t="str">
        <f>"9521420"</f>
        <v>9521420</v>
      </c>
      <c r="AJ7949" t="s">
        <v>11947</v>
      </c>
      <c r="AK7949">
        <v>2841021022</v>
      </c>
      <c r="AL7949" t="s">
        <v>11948</v>
      </c>
      <c r="AM7949" t="s">
        <v>4513</v>
      </c>
      <c r="AN7949" t="s">
        <v>4514</v>
      </c>
      <c r="AO7949" t="s">
        <v>4514</v>
      </c>
      <c r="AP7949" t="s">
        <v>4514</v>
      </c>
      <c r="AQ7949">
        <v>1</v>
      </c>
      <c r="AR7949" t="s">
        <v>5177</v>
      </c>
      <c r="AS7949" t="s">
        <v>5178</v>
      </c>
      <c r="AT7949" t="s">
        <v>58</v>
      </c>
      <c r="AU7949" t="s">
        <v>68</v>
      </c>
      <c r="AV7949" t="s">
        <v>69</v>
      </c>
      <c r="AW7949" s="1">
        <v>25204</v>
      </c>
      <c r="AX7949">
        <v>1</v>
      </c>
    </row>
    <row r="7950" spans="1:50">
      <c r="A7950">
        <v>614243</v>
      </c>
      <c r="B7950" t="str">
        <f>"137476178"</f>
        <v>137476178</v>
      </c>
      <c r="C7950" t="s">
        <v>50</v>
      </c>
      <c r="D7950" t="s">
        <v>5144</v>
      </c>
      <c r="E7950" t="s">
        <v>181</v>
      </c>
      <c r="F7950" t="s">
        <v>166</v>
      </c>
      <c r="G7950" t="s">
        <v>237</v>
      </c>
      <c r="H7950" t="str">
        <f>"ΚΑΛΟ ΧΩΡΙΟ ΚΑΛΟ ΧΩΡΙΟ"</f>
        <v>ΚΑΛΟ ΧΩΡΙΟ ΚΑΛΟ ΧΩΡΙΟ</v>
      </c>
      <c r="I7950">
        <v>72100</v>
      </c>
      <c r="J7950">
        <v>2841051797</v>
      </c>
      <c r="K7950">
        <v>6979508631</v>
      </c>
      <c r="N7950" t="s">
        <v>615</v>
      </c>
      <c r="O7950" t="s">
        <v>616</v>
      </c>
      <c r="R7950" t="s">
        <v>57</v>
      </c>
      <c r="S7950">
        <v>7</v>
      </c>
      <c r="T7950">
        <v>598</v>
      </c>
      <c r="U7950" s="1">
        <v>39310</v>
      </c>
      <c r="V7950" t="s">
        <v>5177</v>
      </c>
      <c r="W7950" t="s">
        <v>5178</v>
      </c>
      <c r="X7950" t="s">
        <v>58</v>
      </c>
      <c r="Y7950">
        <v>23</v>
      </c>
      <c r="Z7950" t="s">
        <v>59</v>
      </c>
      <c r="AA7950" t="s">
        <v>59</v>
      </c>
      <c r="AB7950" t="s">
        <v>59</v>
      </c>
      <c r="AC7950" t="s">
        <v>59</v>
      </c>
      <c r="AD7950" t="s">
        <v>59</v>
      </c>
      <c r="AF7950" s="1">
        <v>39328</v>
      </c>
      <c r="AG7950" t="s">
        <v>8645</v>
      </c>
      <c r="AH7950" t="s">
        <v>8646</v>
      </c>
      <c r="AI7950" t="str">
        <f>"9521420"</f>
        <v>9521420</v>
      </c>
      <c r="AJ7950" t="s">
        <v>11947</v>
      </c>
      <c r="AK7950">
        <v>2841021022</v>
      </c>
      <c r="AL7950" t="s">
        <v>11948</v>
      </c>
      <c r="AM7950" t="s">
        <v>4513</v>
      </c>
      <c r="AN7950" t="s">
        <v>4514</v>
      </c>
      <c r="AO7950" t="s">
        <v>4514</v>
      </c>
      <c r="AP7950" t="s">
        <v>4514</v>
      </c>
      <c r="AQ7950">
        <v>1</v>
      </c>
      <c r="AR7950" t="s">
        <v>5177</v>
      </c>
      <c r="AS7950" t="s">
        <v>5178</v>
      </c>
      <c r="AT7950" t="s">
        <v>58</v>
      </c>
      <c r="AU7950" t="s">
        <v>68</v>
      </c>
      <c r="AV7950" t="s">
        <v>69</v>
      </c>
      <c r="AW7950" s="1">
        <v>31069</v>
      </c>
      <c r="AX7950">
        <v>1</v>
      </c>
    </row>
    <row r="7951" spans="1:50">
      <c r="A7951">
        <v>580013</v>
      </c>
      <c r="B7951" t="str">
        <f>"036159909"</f>
        <v>036159909</v>
      </c>
      <c r="C7951" t="s">
        <v>50</v>
      </c>
      <c r="D7951" t="s">
        <v>12388</v>
      </c>
      <c r="E7951" t="s">
        <v>964</v>
      </c>
      <c r="F7951" t="s">
        <v>510</v>
      </c>
      <c r="G7951" t="s">
        <v>52</v>
      </c>
      <c r="H7951" t="str">
        <f>"ΨΥΛΛΙΝΑΚΗ 39 ΙΕΡΑΠΕΤΡΑ"</f>
        <v>ΨΥΛΛΙΝΑΚΗ 39 ΙΕΡΑΠΕΤΡΑ</v>
      </c>
      <c r="I7951">
        <v>72200</v>
      </c>
      <c r="J7951">
        <v>2842024931</v>
      </c>
      <c r="K7951">
        <v>6977000517</v>
      </c>
      <c r="N7951" t="s">
        <v>1525</v>
      </c>
      <c r="O7951" t="s">
        <v>1526</v>
      </c>
      <c r="R7951" t="s">
        <v>57</v>
      </c>
      <c r="S7951">
        <v>14</v>
      </c>
      <c r="T7951">
        <v>165</v>
      </c>
      <c r="U7951" s="1">
        <v>35300</v>
      </c>
      <c r="V7951" t="s">
        <v>5177</v>
      </c>
      <c r="W7951" t="s">
        <v>5178</v>
      </c>
      <c r="X7951" t="s">
        <v>58</v>
      </c>
      <c r="Y7951">
        <v>25</v>
      </c>
      <c r="Z7951" t="s">
        <v>59</v>
      </c>
      <c r="AA7951" t="s">
        <v>59</v>
      </c>
      <c r="AB7951" t="s">
        <v>59</v>
      </c>
      <c r="AC7951" t="s">
        <v>59</v>
      </c>
      <c r="AD7951" t="s">
        <v>59</v>
      </c>
      <c r="AF7951" s="1">
        <v>35310</v>
      </c>
      <c r="AG7951" t="s">
        <v>8651</v>
      </c>
      <c r="AH7951" t="s">
        <v>8652</v>
      </c>
      <c r="AI7951" t="str">
        <f>"9320007"</f>
        <v>9320007</v>
      </c>
      <c r="AJ7951" t="s">
        <v>12219</v>
      </c>
      <c r="AK7951">
        <v>2842028548</v>
      </c>
      <c r="AL7951" t="s">
        <v>12220</v>
      </c>
      <c r="AM7951" t="s">
        <v>4513</v>
      </c>
      <c r="AN7951" t="s">
        <v>4519</v>
      </c>
      <c r="AO7951" t="s">
        <v>4519</v>
      </c>
      <c r="AP7951" t="s">
        <v>4519</v>
      </c>
      <c r="AQ7951">
        <v>4</v>
      </c>
      <c r="AR7951" t="s">
        <v>5177</v>
      </c>
      <c r="AS7951" t="s">
        <v>5178</v>
      </c>
      <c r="AT7951" t="s">
        <v>58</v>
      </c>
      <c r="AU7951" t="s">
        <v>68</v>
      </c>
      <c r="AV7951" t="s">
        <v>69</v>
      </c>
      <c r="AW7951" s="1">
        <v>23866</v>
      </c>
      <c r="AX7951">
        <v>1</v>
      </c>
    </row>
    <row r="7952" spans="1:50">
      <c r="A7952">
        <v>594353</v>
      </c>
      <c r="B7952" t="str">
        <f>"110274175"</f>
        <v>110274175</v>
      </c>
      <c r="C7952" t="s">
        <v>50</v>
      </c>
      <c r="D7952" t="s">
        <v>12389</v>
      </c>
      <c r="E7952" t="s">
        <v>658</v>
      </c>
      <c r="F7952" t="s">
        <v>166</v>
      </c>
      <c r="G7952" t="s">
        <v>83</v>
      </c>
      <c r="H7952" t="str">
        <f>"ΒΑΪΝΙΑ  ΙΕΡΑΠΕΤΡΑ"</f>
        <v>ΒΑΪΝΙΑ  ΙΕΡΑΠΕΤΡΑ</v>
      </c>
      <c r="I7952">
        <v>72200</v>
      </c>
      <c r="J7952">
        <v>2842080018</v>
      </c>
      <c r="N7952" t="s">
        <v>615</v>
      </c>
      <c r="O7952" t="s">
        <v>616</v>
      </c>
      <c r="R7952" t="s">
        <v>57</v>
      </c>
      <c r="S7952">
        <v>8</v>
      </c>
      <c r="T7952">
        <v>218</v>
      </c>
      <c r="U7952" s="1">
        <v>37134</v>
      </c>
      <c r="V7952" t="s">
        <v>5177</v>
      </c>
      <c r="W7952" t="s">
        <v>5178</v>
      </c>
      <c r="X7952" t="s">
        <v>58</v>
      </c>
      <c r="Y7952">
        <v>22</v>
      </c>
      <c r="Z7952" t="s">
        <v>59</v>
      </c>
      <c r="AA7952" t="s">
        <v>59</v>
      </c>
      <c r="AB7952" t="s">
        <v>59</v>
      </c>
      <c r="AC7952" t="s">
        <v>59</v>
      </c>
      <c r="AD7952" t="s">
        <v>59</v>
      </c>
      <c r="AF7952" s="1">
        <v>37137</v>
      </c>
      <c r="AG7952" t="s">
        <v>8645</v>
      </c>
      <c r="AH7952" t="s">
        <v>8646</v>
      </c>
      <c r="AI7952" t="str">
        <f>"9320006"</f>
        <v>9320006</v>
      </c>
      <c r="AJ7952" t="s">
        <v>11919</v>
      </c>
      <c r="AK7952">
        <v>2842022359</v>
      </c>
      <c r="AL7952" t="s">
        <v>11920</v>
      </c>
      <c r="AM7952" t="s">
        <v>4513</v>
      </c>
      <c r="AN7952" t="s">
        <v>4519</v>
      </c>
      <c r="AO7952" t="s">
        <v>4519</v>
      </c>
      <c r="AP7952" t="s">
        <v>4519</v>
      </c>
      <c r="AQ7952">
        <v>4</v>
      </c>
      <c r="AR7952" t="s">
        <v>5177</v>
      </c>
      <c r="AS7952" t="s">
        <v>5178</v>
      </c>
      <c r="AT7952" t="s">
        <v>58</v>
      </c>
      <c r="AU7952" t="s">
        <v>68</v>
      </c>
      <c r="AV7952" t="s">
        <v>69</v>
      </c>
      <c r="AW7952" s="1">
        <v>25333</v>
      </c>
      <c r="AX7952">
        <v>1</v>
      </c>
    </row>
    <row r="7953" spans="1:50">
      <c r="A7953">
        <v>617338</v>
      </c>
      <c r="B7953" t="str">
        <f>"114886853"</f>
        <v>114886853</v>
      </c>
      <c r="C7953" t="s">
        <v>105</v>
      </c>
      <c r="D7953" t="s">
        <v>12390</v>
      </c>
      <c r="E7953" t="s">
        <v>760</v>
      </c>
      <c r="F7953" t="s">
        <v>166</v>
      </c>
      <c r="G7953" t="s">
        <v>964</v>
      </c>
      <c r="H7953" t="str">
        <f>"ΜΑΡΩΝΙΑ ΜΑΡΩΝΙΑ"</f>
        <v>ΜΑΡΩΝΙΑ ΜΑΡΩΝΙΑ</v>
      </c>
      <c r="I7953">
        <v>72300</v>
      </c>
      <c r="J7953">
        <v>2294046002</v>
      </c>
      <c r="K7953">
        <v>6972019130</v>
      </c>
      <c r="N7953" t="s">
        <v>615</v>
      </c>
      <c r="O7953" t="s">
        <v>616</v>
      </c>
      <c r="R7953" t="s">
        <v>57</v>
      </c>
      <c r="S7953">
        <v>6</v>
      </c>
      <c r="T7953">
        <v>774</v>
      </c>
      <c r="U7953" s="1">
        <v>39680</v>
      </c>
      <c r="V7953" t="s">
        <v>5177</v>
      </c>
      <c r="W7953" t="s">
        <v>5178</v>
      </c>
      <c r="X7953" t="s">
        <v>58</v>
      </c>
      <c r="Y7953">
        <v>25</v>
      </c>
      <c r="Z7953" t="s">
        <v>59</v>
      </c>
      <c r="AA7953" t="s">
        <v>59</v>
      </c>
      <c r="AB7953" t="s">
        <v>59</v>
      </c>
      <c r="AC7953" t="s">
        <v>59</v>
      </c>
      <c r="AD7953" t="s">
        <v>59</v>
      </c>
      <c r="AF7953" s="1">
        <v>39682</v>
      </c>
      <c r="AG7953" t="s">
        <v>8645</v>
      </c>
      <c r="AH7953" t="s">
        <v>8646</v>
      </c>
      <c r="AI7953" t="str">
        <f>"9320093"</f>
        <v>9320093</v>
      </c>
      <c r="AJ7953" t="s">
        <v>11967</v>
      </c>
      <c r="AK7953">
        <v>2843025130</v>
      </c>
      <c r="AL7953" t="s">
        <v>11968</v>
      </c>
      <c r="AM7953" t="s">
        <v>4513</v>
      </c>
      <c r="AN7953" t="s">
        <v>4540</v>
      </c>
      <c r="AO7953" t="s">
        <v>4540</v>
      </c>
      <c r="AP7953" t="s">
        <v>4540</v>
      </c>
      <c r="AQ7953">
        <v>8</v>
      </c>
      <c r="AR7953" t="s">
        <v>5177</v>
      </c>
      <c r="AS7953" t="s">
        <v>5178</v>
      </c>
      <c r="AT7953" t="s">
        <v>58</v>
      </c>
      <c r="AU7953" t="s">
        <v>68</v>
      </c>
      <c r="AV7953" t="s">
        <v>69</v>
      </c>
      <c r="AW7953" s="1">
        <v>30386</v>
      </c>
      <c r="AX7953">
        <v>1</v>
      </c>
    </row>
    <row r="7954" spans="1:50">
      <c r="A7954">
        <v>609152</v>
      </c>
      <c r="B7954" t="str">
        <f>"106672200"</f>
        <v>106672200</v>
      </c>
      <c r="C7954" t="s">
        <v>50</v>
      </c>
      <c r="D7954" t="s">
        <v>12391</v>
      </c>
      <c r="E7954" t="s">
        <v>620</v>
      </c>
      <c r="F7954" t="s">
        <v>99</v>
      </c>
      <c r="G7954" t="s">
        <v>5009</v>
      </c>
      <c r="H7954" t="str">
        <f>"ΜΑΚΡΥΣ ΓΙΑΛΟΣ ΑΝΑΛΗΨΗ"</f>
        <v>ΜΑΚΡΥΣ ΓΙΑΛΟΣ ΑΝΑΛΗΨΗ</v>
      </c>
      <c r="I7954">
        <v>72055</v>
      </c>
      <c r="J7954">
        <v>2843052403</v>
      </c>
      <c r="K7954">
        <v>6946957091</v>
      </c>
      <c r="M7954" t="s">
        <v>12392</v>
      </c>
      <c r="N7954" t="s">
        <v>306</v>
      </c>
      <c r="O7954" t="s">
        <v>307</v>
      </c>
      <c r="R7954" t="s">
        <v>57</v>
      </c>
      <c r="S7954">
        <v>8</v>
      </c>
      <c r="T7954">
        <v>218</v>
      </c>
      <c r="U7954" s="1">
        <v>38596</v>
      </c>
      <c r="V7954" t="s">
        <v>5177</v>
      </c>
      <c r="W7954" t="s">
        <v>5178</v>
      </c>
      <c r="X7954" t="s">
        <v>58</v>
      </c>
      <c r="Y7954">
        <v>22</v>
      </c>
      <c r="Z7954" t="s">
        <v>59</v>
      </c>
      <c r="AA7954" t="s">
        <v>59</v>
      </c>
      <c r="AB7954" t="s">
        <v>59</v>
      </c>
      <c r="AC7954" t="s">
        <v>59</v>
      </c>
      <c r="AD7954" t="s">
        <v>59</v>
      </c>
      <c r="AF7954" s="1">
        <v>38604</v>
      </c>
      <c r="AG7954" t="s">
        <v>8645</v>
      </c>
      <c r="AH7954" t="s">
        <v>8646</v>
      </c>
      <c r="AI7954" t="str">
        <f>"9320098"</f>
        <v>9320098</v>
      </c>
      <c r="AJ7954" t="s">
        <v>12053</v>
      </c>
      <c r="AK7954">
        <v>2843051475</v>
      </c>
      <c r="AL7954" t="s">
        <v>12054</v>
      </c>
      <c r="AM7954" t="s">
        <v>4513</v>
      </c>
      <c r="AN7954" t="s">
        <v>4519</v>
      </c>
      <c r="AO7954" t="s">
        <v>4766</v>
      </c>
      <c r="AP7954" t="s">
        <v>12055</v>
      </c>
      <c r="AQ7954">
        <v>6</v>
      </c>
      <c r="AR7954" t="s">
        <v>5177</v>
      </c>
      <c r="AS7954" t="s">
        <v>5178</v>
      </c>
      <c r="AT7954" t="s">
        <v>58</v>
      </c>
      <c r="AU7954" t="s">
        <v>68</v>
      </c>
      <c r="AV7954" t="s">
        <v>69</v>
      </c>
      <c r="AW7954" s="1">
        <v>27666</v>
      </c>
      <c r="AX7954">
        <v>1</v>
      </c>
    </row>
    <row r="7955" spans="1:50">
      <c r="B7955" t="str">
        <f>"101386267"</f>
        <v>101386267</v>
      </c>
      <c r="C7955" t="s">
        <v>105</v>
      </c>
      <c r="D7955" t="s">
        <v>12393</v>
      </c>
      <c r="E7955" t="s">
        <v>510</v>
      </c>
      <c r="F7955" t="s">
        <v>309</v>
      </c>
      <c r="G7955" t="s">
        <v>1207</v>
      </c>
      <c r="H7955" t="str">
        <f>"ΑΓΙΑ ΦΑΝΕΡΩΜΕΝΗ-ΕΛΑΙΩΝΑΣ ΠΡΕΒΕΖΑ"</f>
        <v>ΑΓΙΑ ΦΑΝΕΡΩΜΕΝΗ-ΕΛΑΙΩΝΑΣ ΠΡΕΒΕΖΑ</v>
      </c>
      <c r="I7955">
        <v>48100</v>
      </c>
      <c r="J7955">
        <v>2682028976</v>
      </c>
      <c r="K7955">
        <v>6947226769</v>
      </c>
      <c r="N7955" t="s">
        <v>204</v>
      </c>
      <c r="O7955" t="s">
        <v>205</v>
      </c>
      <c r="R7955" t="s">
        <v>159</v>
      </c>
      <c r="S7955">
        <v>3</v>
      </c>
      <c r="T7955" t="s">
        <v>8675</v>
      </c>
      <c r="U7955" s="1">
        <v>43348</v>
      </c>
      <c r="V7955" t="s">
        <v>5177</v>
      </c>
      <c r="W7955" t="s">
        <v>5178</v>
      </c>
      <c r="X7955" t="s">
        <v>58</v>
      </c>
      <c r="Y7955">
        <v>24</v>
      </c>
      <c r="Z7955" t="s">
        <v>59</v>
      </c>
      <c r="AA7955" t="s">
        <v>59</v>
      </c>
      <c r="AB7955" t="s">
        <v>59</v>
      </c>
      <c r="AC7955" t="s">
        <v>59</v>
      </c>
      <c r="AD7955" t="s">
        <v>59</v>
      </c>
      <c r="AF7955" s="1">
        <v>43348</v>
      </c>
      <c r="AG7955" t="s">
        <v>8645</v>
      </c>
      <c r="AH7955" t="s">
        <v>8646</v>
      </c>
      <c r="AI7955" t="str">
        <f>"9320079"</f>
        <v>9320079</v>
      </c>
      <c r="AJ7955" t="s">
        <v>11952</v>
      </c>
      <c r="AK7955">
        <v>2841051211</v>
      </c>
      <c r="AL7955" t="s">
        <v>11953</v>
      </c>
      <c r="AM7955" t="s">
        <v>4513</v>
      </c>
      <c r="AN7955" t="s">
        <v>4514</v>
      </c>
      <c r="AO7955" t="s">
        <v>4514</v>
      </c>
      <c r="AP7955" t="s">
        <v>4757</v>
      </c>
      <c r="AQ7955">
        <v>2</v>
      </c>
      <c r="AR7955" t="s">
        <v>5177</v>
      </c>
      <c r="AS7955" t="s">
        <v>5178</v>
      </c>
      <c r="AT7955" t="s">
        <v>58</v>
      </c>
      <c r="AU7955" t="s">
        <v>8673</v>
      </c>
      <c r="AV7955" t="s">
        <v>132</v>
      </c>
      <c r="AW7955" s="1">
        <v>29373</v>
      </c>
      <c r="AX7955">
        <v>1</v>
      </c>
    </row>
    <row r="7956" spans="1:50">
      <c r="A7956">
        <v>596188</v>
      </c>
      <c r="B7956" t="str">
        <f>"043362809"</f>
        <v>043362809</v>
      </c>
      <c r="C7956" t="s">
        <v>50</v>
      </c>
      <c r="D7956" t="s">
        <v>12394</v>
      </c>
      <c r="E7956" t="s">
        <v>1001</v>
      </c>
      <c r="F7956" t="s">
        <v>377</v>
      </c>
      <c r="G7956" t="s">
        <v>280</v>
      </c>
      <c r="H7956" t="str">
        <f>" "</f>
        <v xml:space="preserve"> </v>
      </c>
      <c r="N7956" t="s">
        <v>1525</v>
      </c>
      <c r="O7956" t="s">
        <v>1526</v>
      </c>
      <c r="R7956" t="s">
        <v>57</v>
      </c>
      <c r="S7956">
        <v>11</v>
      </c>
      <c r="T7956">
        <v>218</v>
      </c>
      <c r="U7956" s="1">
        <v>37134</v>
      </c>
      <c r="V7956" t="s">
        <v>5177</v>
      </c>
      <c r="W7956" t="s">
        <v>5178</v>
      </c>
      <c r="X7956" t="s">
        <v>58</v>
      </c>
      <c r="Y7956">
        <v>25</v>
      </c>
      <c r="Z7956" t="s">
        <v>59</v>
      </c>
      <c r="AA7956" t="s">
        <v>59</v>
      </c>
      <c r="AB7956" t="s">
        <v>59</v>
      </c>
      <c r="AC7956" t="s">
        <v>59</v>
      </c>
      <c r="AD7956" t="s">
        <v>59</v>
      </c>
      <c r="AF7956" s="1">
        <v>37138</v>
      </c>
      <c r="AG7956" t="s">
        <v>8651</v>
      </c>
      <c r="AH7956" t="s">
        <v>8652</v>
      </c>
      <c r="AI7956" t="str">
        <f>"9320002"</f>
        <v>9320002</v>
      </c>
      <c r="AJ7956" t="s">
        <v>11995</v>
      </c>
      <c r="AK7956">
        <v>2842022966</v>
      </c>
      <c r="AL7956" t="s">
        <v>11996</v>
      </c>
      <c r="AM7956" t="s">
        <v>4513</v>
      </c>
      <c r="AN7956" t="s">
        <v>4519</v>
      </c>
      <c r="AO7956" t="s">
        <v>4519</v>
      </c>
      <c r="AP7956" t="s">
        <v>4519</v>
      </c>
      <c r="AQ7956">
        <v>4</v>
      </c>
      <c r="AR7956" t="s">
        <v>5177</v>
      </c>
      <c r="AS7956" t="s">
        <v>5178</v>
      </c>
      <c r="AT7956" t="s">
        <v>58</v>
      </c>
      <c r="AU7956" t="s">
        <v>68</v>
      </c>
      <c r="AV7956" t="s">
        <v>69</v>
      </c>
      <c r="AW7956" s="1">
        <v>24044</v>
      </c>
      <c r="AX7956">
        <v>1</v>
      </c>
    </row>
    <row r="7957" spans="1:50">
      <c r="A7957">
        <v>613441</v>
      </c>
      <c r="B7957" t="str">
        <f>"049362464"</f>
        <v>049362464</v>
      </c>
      <c r="C7957" t="s">
        <v>105</v>
      </c>
      <c r="D7957" t="s">
        <v>12395</v>
      </c>
      <c r="E7957" t="s">
        <v>1787</v>
      </c>
      <c r="F7957" t="s">
        <v>153</v>
      </c>
      <c r="G7957" t="s">
        <v>52</v>
      </c>
      <c r="H7957" t="str">
        <f>"ΚΑΛΗΜΕΡΑΚΗ 54 ΙΕΡΑΠΕΤΡΑ"</f>
        <v>ΚΑΛΗΜΕΡΑΚΗ 54 ΙΕΡΑΠΕΤΡΑ</v>
      </c>
      <c r="I7957">
        <v>72200</v>
      </c>
      <c r="J7957">
        <v>2842024488</v>
      </c>
      <c r="K7957">
        <v>6947194492</v>
      </c>
      <c r="N7957" t="s">
        <v>615</v>
      </c>
      <c r="O7957" t="s">
        <v>616</v>
      </c>
      <c r="R7957" t="s">
        <v>57</v>
      </c>
      <c r="S7957">
        <v>6</v>
      </c>
      <c r="T7957">
        <v>598</v>
      </c>
      <c r="U7957" s="1">
        <v>39310</v>
      </c>
      <c r="V7957" t="s">
        <v>5177</v>
      </c>
      <c r="W7957" t="s">
        <v>5178</v>
      </c>
      <c r="X7957" t="s">
        <v>58</v>
      </c>
      <c r="Y7957">
        <v>23</v>
      </c>
      <c r="Z7957" t="s">
        <v>59</v>
      </c>
      <c r="AA7957" t="s">
        <v>59</v>
      </c>
      <c r="AB7957" t="s">
        <v>59</v>
      </c>
      <c r="AC7957" t="s">
        <v>59</v>
      </c>
      <c r="AD7957" t="s">
        <v>59</v>
      </c>
      <c r="AF7957" s="1">
        <v>39310</v>
      </c>
      <c r="AG7957" t="s">
        <v>8645</v>
      </c>
      <c r="AH7957" t="s">
        <v>8646</v>
      </c>
      <c r="AI7957" t="str">
        <f>"9320030"</f>
        <v>9320030</v>
      </c>
      <c r="AJ7957" t="s">
        <v>11928</v>
      </c>
      <c r="AK7957">
        <v>2842093264</v>
      </c>
      <c r="AL7957" t="s">
        <v>11929</v>
      </c>
      <c r="AM7957" t="s">
        <v>4513</v>
      </c>
      <c r="AN7957" t="s">
        <v>4519</v>
      </c>
      <c r="AO7957" t="s">
        <v>4519</v>
      </c>
      <c r="AP7957" t="s">
        <v>11930</v>
      </c>
      <c r="AQ7957">
        <v>5</v>
      </c>
      <c r="AR7957" t="s">
        <v>5177</v>
      </c>
      <c r="AS7957" t="s">
        <v>5178</v>
      </c>
      <c r="AT7957" t="s">
        <v>58</v>
      </c>
      <c r="AU7957" t="s">
        <v>68</v>
      </c>
      <c r="AV7957" t="s">
        <v>69</v>
      </c>
      <c r="AW7957" s="1">
        <v>28012</v>
      </c>
      <c r="AX7957">
        <v>1</v>
      </c>
    </row>
    <row r="7958" spans="1:50">
      <c r="B7958" t="str">
        <f>"049771259"</f>
        <v>049771259</v>
      </c>
      <c r="C7958" t="s">
        <v>105</v>
      </c>
      <c r="D7958" t="s">
        <v>12396</v>
      </c>
      <c r="E7958" t="s">
        <v>95</v>
      </c>
      <c r="F7958" t="s">
        <v>84</v>
      </c>
      <c r="G7958" t="s">
        <v>191</v>
      </c>
      <c r="H7958" t="str">
        <f>"Τ.Θ. 1055(BOX) ΑΡΔΑΝΙΟ ΕΒΡΟΥ"</f>
        <v>Τ.Θ. 1055(BOX) ΑΡΔΑΝΙΟ ΕΒΡΟΥ</v>
      </c>
      <c r="I7958">
        <v>68500</v>
      </c>
      <c r="J7958">
        <v>2555023030</v>
      </c>
      <c r="K7958">
        <v>6976085449</v>
      </c>
      <c r="N7958" t="s">
        <v>615</v>
      </c>
      <c r="O7958" t="s">
        <v>616</v>
      </c>
      <c r="R7958" t="s">
        <v>159</v>
      </c>
      <c r="S7958">
        <v>3</v>
      </c>
      <c r="T7958" t="s">
        <v>8675</v>
      </c>
      <c r="U7958" s="1">
        <v>43348</v>
      </c>
      <c r="V7958" t="s">
        <v>5177</v>
      </c>
      <c r="W7958" t="s">
        <v>5178</v>
      </c>
      <c r="X7958" t="s">
        <v>58</v>
      </c>
      <c r="Y7958">
        <v>24</v>
      </c>
      <c r="Z7958" t="s">
        <v>59</v>
      </c>
      <c r="AA7958" t="s">
        <v>59</v>
      </c>
      <c r="AB7958" t="s">
        <v>59</v>
      </c>
      <c r="AC7958" t="s">
        <v>59</v>
      </c>
      <c r="AD7958" t="s">
        <v>59</v>
      </c>
      <c r="AF7958" s="1">
        <v>43348</v>
      </c>
      <c r="AG7958" t="s">
        <v>8645</v>
      </c>
      <c r="AH7958" t="s">
        <v>8646</v>
      </c>
      <c r="AI7958" t="str">
        <f>"9320145"</f>
        <v>9320145</v>
      </c>
      <c r="AJ7958" t="s">
        <v>12171</v>
      </c>
      <c r="AK7958">
        <v>2841071309</v>
      </c>
      <c r="AL7958" t="s">
        <v>12172</v>
      </c>
      <c r="AM7958" t="s">
        <v>4513</v>
      </c>
      <c r="AN7958" t="s">
        <v>4514</v>
      </c>
      <c r="AO7958" t="s">
        <v>12085</v>
      </c>
      <c r="AP7958" t="s">
        <v>12085</v>
      </c>
      <c r="AQ7958">
        <v>2</v>
      </c>
      <c r="AR7958" t="s">
        <v>5177</v>
      </c>
      <c r="AS7958" t="s">
        <v>5178</v>
      </c>
      <c r="AT7958" t="s">
        <v>58</v>
      </c>
      <c r="AU7958" t="s">
        <v>8673</v>
      </c>
      <c r="AV7958" t="s">
        <v>132</v>
      </c>
      <c r="AW7958" s="1">
        <v>23937</v>
      </c>
      <c r="AX7958">
        <v>1</v>
      </c>
    </row>
    <row r="7959" spans="1:50">
      <c r="A7959">
        <v>612778</v>
      </c>
      <c r="B7959" t="str">
        <f>"110342404"</f>
        <v>110342404</v>
      </c>
      <c r="C7959" t="s">
        <v>50</v>
      </c>
      <c r="D7959" t="s">
        <v>2809</v>
      </c>
      <c r="E7959" t="s">
        <v>52</v>
      </c>
      <c r="F7959" t="s">
        <v>53</v>
      </c>
      <c r="G7959" t="s">
        <v>316</v>
      </c>
      <c r="H7959" t="str">
        <f>"ΚΑΜΙΝΑΚΙ ΛΑΣΙΘΙΟΥ ΟΡΟΠΕΔΙΟ ΛΑΣΙΘΙΟΥ"</f>
        <v>ΚΑΜΙΝΑΚΙ ΛΑΣΙΘΙΟΥ ΟΡΟΠΕΔΙΟ ΛΑΣΙΘΙΟΥ</v>
      </c>
      <c r="I7959">
        <v>72052</v>
      </c>
      <c r="J7959">
        <v>2844031454</v>
      </c>
      <c r="K7959">
        <v>6974530696</v>
      </c>
      <c r="N7959" t="s">
        <v>1525</v>
      </c>
      <c r="O7959" t="s">
        <v>1526</v>
      </c>
      <c r="R7959" t="s">
        <v>57</v>
      </c>
      <c r="S7959">
        <v>5</v>
      </c>
      <c r="T7959" t="s">
        <v>12397</v>
      </c>
      <c r="U7959" s="1">
        <v>38973</v>
      </c>
      <c r="V7959" t="s">
        <v>5177</v>
      </c>
      <c r="W7959" t="s">
        <v>5178</v>
      </c>
      <c r="X7959" t="s">
        <v>58</v>
      </c>
      <c r="Y7959">
        <v>25</v>
      </c>
      <c r="Z7959" t="s">
        <v>59</v>
      </c>
      <c r="AA7959" t="s">
        <v>59</v>
      </c>
      <c r="AB7959" t="s">
        <v>59</v>
      </c>
      <c r="AC7959" t="s">
        <v>59</v>
      </c>
      <c r="AD7959" t="s">
        <v>59</v>
      </c>
      <c r="AF7959" s="1">
        <v>38975</v>
      </c>
      <c r="AG7959" t="s">
        <v>8651</v>
      </c>
      <c r="AH7959" t="s">
        <v>8652</v>
      </c>
      <c r="AI7959" t="str">
        <f>"9320041"</f>
        <v>9320041</v>
      </c>
      <c r="AJ7959" t="s">
        <v>12398</v>
      </c>
      <c r="AK7959">
        <v>2844031900</v>
      </c>
      <c r="AL7959" t="s">
        <v>12399</v>
      </c>
      <c r="AM7959" t="s">
        <v>4513</v>
      </c>
      <c r="AN7959" t="s">
        <v>4592</v>
      </c>
      <c r="AO7959" t="s">
        <v>4592</v>
      </c>
      <c r="AP7959" t="s">
        <v>11944</v>
      </c>
      <c r="AQ7959">
        <v>3</v>
      </c>
      <c r="AR7959" t="s">
        <v>5177</v>
      </c>
      <c r="AS7959" t="s">
        <v>5178</v>
      </c>
      <c r="AT7959" t="s">
        <v>58</v>
      </c>
      <c r="AU7959" t="s">
        <v>68</v>
      </c>
      <c r="AV7959" t="s">
        <v>69</v>
      </c>
      <c r="AW7959" s="1">
        <v>30404</v>
      </c>
      <c r="AX7959">
        <v>1</v>
      </c>
    </row>
    <row r="7960" spans="1:50">
      <c r="A7960">
        <v>551329</v>
      </c>
      <c r="B7960" t="str">
        <f>"028220239"</f>
        <v>028220239</v>
      </c>
      <c r="C7960" t="s">
        <v>105</v>
      </c>
      <c r="D7960" t="s">
        <v>12400</v>
      </c>
      <c r="E7960" t="s">
        <v>166</v>
      </c>
      <c r="F7960" t="s">
        <v>72</v>
      </c>
      <c r="G7960" t="s">
        <v>1078</v>
      </c>
      <c r="H7960" t="str">
        <f>"Π. ΚΟΥΠΕΡ ΙΕΡΑΠΕΤΡΑ"</f>
        <v>Π. ΚΟΥΠΕΡ ΙΕΡΑΠΕΤΡΑ</v>
      </c>
      <c r="I7960">
        <v>72200</v>
      </c>
      <c r="J7960">
        <v>2842024872</v>
      </c>
      <c r="N7960" t="s">
        <v>615</v>
      </c>
      <c r="O7960" t="s">
        <v>616</v>
      </c>
      <c r="R7960" t="s">
        <v>57</v>
      </c>
      <c r="S7960">
        <v>19</v>
      </c>
      <c r="T7960">
        <v>271</v>
      </c>
      <c r="U7960" s="1">
        <v>30923</v>
      </c>
      <c r="V7960" t="s">
        <v>5177</v>
      </c>
      <c r="W7960" t="s">
        <v>5178</v>
      </c>
      <c r="X7960" t="s">
        <v>58</v>
      </c>
      <c r="Y7960">
        <v>21</v>
      </c>
      <c r="Z7960" t="s">
        <v>59</v>
      </c>
      <c r="AA7960" t="s">
        <v>59</v>
      </c>
      <c r="AB7960" t="s">
        <v>59</v>
      </c>
      <c r="AC7960" t="s">
        <v>59</v>
      </c>
      <c r="AD7960" t="s">
        <v>59</v>
      </c>
      <c r="AF7960" s="1">
        <v>30924</v>
      </c>
      <c r="AG7960" t="s">
        <v>8645</v>
      </c>
      <c r="AH7960" t="s">
        <v>8646</v>
      </c>
      <c r="AI7960" t="str">
        <f>"9320005"</f>
        <v>9320005</v>
      </c>
      <c r="AJ7960" t="s">
        <v>12004</v>
      </c>
      <c r="AK7960">
        <v>2842022202</v>
      </c>
      <c r="AL7960" t="s">
        <v>12005</v>
      </c>
      <c r="AM7960" t="s">
        <v>4513</v>
      </c>
      <c r="AN7960" t="s">
        <v>4519</v>
      </c>
      <c r="AO7960" t="s">
        <v>4519</v>
      </c>
      <c r="AP7960" t="s">
        <v>4519</v>
      </c>
      <c r="AQ7960">
        <v>4</v>
      </c>
      <c r="AR7960" t="s">
        <v>5177</v>
      </c>
      <c r="AS7960" t="s">
        <v>5178</v>
      </c>
      <c r="AT7960" t="s">
        <v>58</v>
      </c>
      <c r="AU7960" t="s">
        <v>68</v>
      </c>
      <c r="AV7960" t="s">
        <v>69</v>
      </c>
      <c r="AW7960" s="1">
        <v>21228</v>
      </c>
      <c r="AX7960">
        <v>1</v>
      </c>
    </row>
    <row r="7961" spans="1:50">
      <c r="A7961">
        <v>595628</v>
      </c>
      <c r="B7961" t="str">
        <f>"100194388"</f>
        <v>100194388</v>
      </c>
      <c r="C7961" t="s">
        <v>50</v>
      </c>
      <c r="D7961" t="s">
        <v>12401</v>
      </c>
      <c r="E7961" t="s">
        <v>382</v>
      </c>
      <c r="F7961" t="s">
        <v>99</v>
      </c>
      <c r="G7961" t="s">
        <v>506</v>
      </c>
      <c r="H7961" t="str">
        <f>"ΝΙΚΟΛΑΟΥ ΠΛΑΣΤΗΡΑ 50 ΑΓΙΟΣ ΝΙΚΟΛΑΟΣ"</f>
        <v>ΝΙΚΟΛΑΟΥ ΠΛΑΣΤΗΡΑ 50 ΑΓΙΟΣ ΝΙΚΟΛΑΟΣ</v>
      </c>
      <c r="I7961">
        <v>72100</v>
      </c>
      <c r="J7961">
        <v>2841082845</v>
      </c>
      <c r="K7961">
        <v>6977658550</v>
      </c>
      <c r="M7961" t="s">
        <v>12402</v>
      </c>
      <c r="N7961" t="s">
        <v>1525</v>
      </c>
      <c r="O7961" t="s">
        <v>1526</v>
      </c>
      <c r="R7961" t="s">
        <v>57</v>
      </c>
      <c r="S7961">
        <v>9</v>
      </c>
      <c r="T7961" t="s">
        <v>11021</v>
      </c>
      <c r="U7961" s="1">
        <v>37134</v>
      </c>
      <c r="V7961" t="s">
        <v>5177</v>
      </c>
      <c r="W7961" t="s">
        <v>5178</v>
      </c>
      <c r="X7961" t="s">
        <v>58</v>
      </c>
      <c r="Y7961">
        <v>25</v>
      </c>
      <c r="Z7961" t="s">
        <v>59</v>
      </c>
      <c r="AA7961" t="s">
        <v>59</v>
      </c>
      <c r="AB7961" t="s">
        <v>59</v>
      </c>
      <c r="AC7961" t="s">
        <v>59</v>
      </c>
      <c r="AD7961" t="s">
        <v>59</v>
      </c>
      <c r="AF7961" s="1">
        <v>37137</v>
      </c>
      <c r="AG7961" t="s">
        <v>8651</v>
      </c>
      <c r="AH7961" t="s">
        <v>8652</v>
      </c>
      <c r="AI7961" t="str">
        <f>"9320056"</f>
        <v>9320056</v>
      </c>
      <c r="AJ7961" t="s">
        <v>11980</v>
      </c>
      <c r="AK7961">
        <v>2841028260</v>
      </c>
      <c r="AL7961" t="s">
        <v>11981</v>
      </c>
      <c r="AM7961" t="s">
        <v>4513</v>
      </c>
      <c r="AN7961" t="s">
        <v>4514</v>
      </c>
      <c r="AO7961" t="s">
        <v>4514</v>
      </c>
      <c r="AP7961" t="s">
        <v>4514</v>
      </c>
      <c r="AQ7961">
        <v>1</v>
      </c>
      <c r="AR7961" t="s">
        <v>5177</v>
      </c>
      <c r="AS7961" t="s">
        <v>5178</v>
      </c>
      <c r="AT7961" t="s">
        <v>58</v>
      </c>
      <c r="AU7961" t="s">
        <v>68</v>
      </c>
      <c r="AV7961" t="s">
        <v>69</v>
      </c>
      <c r="AW7961" s="1">
        <v>26759</v>
      </c>
      <c r="AX7961">
        <v>1</v>
      </c>
    </row>
    <row r="7962" spans="1:50">
      <c r="B7962" t="str">
        <f>"139700686"</f>
        <v>139700686</v>
      </c>
      <c r="C7962" t="s">
        <v>105</v>
      </c>
      <c r="D7962" t="s">
        <v>12403</v>
      </c>
      <c r="E7962" t="s">
        <v>670</v>
      </c>
      <c r="F7962" t="s">
        <v>936</v>
      </c>
      <c r="G7962" t="s">
        <v>316</v>
      </c>
      <c r="H7962" t="str">
        <f>"ΒΥΡΩΝΟΣ 20 "</f>
        <v xml:space="preserve">ΒΥΡΩΝΟΣ 20 </v>
      </c>
      <c r="I7962">
        <v>66100</v>
      </c>
      <c r="J7962">
        <v>2521026613</v>
      </c>
      <c r="K7962">
        <v>6978488104</v>
      </c>
      <c r="N7962" t="s">
        <v>615</v>
      </c>
      <c r="O7962" t="s">
        <v>616</v>
      </c>
      <c r="R7962" t="s">
        <v>159</v>
      </c>
      <c r="S7962">
        <v>5</v>
      </c>
      <c r="T7962" t="s">
        <v>8675</v>
      </c>
      <c r="U7962" s="1">
        <v>43348</v>
      </c>
      <c r="V7962" t="s">
        <v>5177</v>
      </c>
      <c r="W7962" t="s">
        <v>5178</v>
      </c>
      <c r="X7962" t="s">
        <v>58</v>
      </c>
      <c r="Y7962">
        <v>24</v>
      </c>
      <c r="Z7962" t="s">
        <v>59</v>
      </c>
      <c r="AA7962" t="s">
        <v>59</v>
      </c>
      <c r="AB7962" t="s">
        <v>59</v>
      </c>
      <c r="AC7962" t="s">
        <v>59</v>
      </c>
      <c r="AD7962" t="s">
        <v>59</v>
      </c>
      <c r="AF7962" s="1">
        <v>43348</v>
      </c>
      <c r="AG7962" t="s">
        <v>8645</v>
      </c>
      <c r="AH7962" t="s">
        <v>8646</v>
      </c>
      <c r="AI7962" t="str">
        <f>"9320042"</f>
        <v>9320042</v>
      </c>
      <c r="AJ7962" t="s">
        <v>11942</v>
      </c>
      <c r="AK7962">
        <v>2844031250</v>
      </c>
      <c r="AL7962" t="s">
        <v>11943</v>
      </c>
      <c r="AM7962" t="s">
        <v>4513</v>
      </c>
      <c r="AN7962" t="s">
        <v>4592</v>
      </c>
      <c r="AO7962" t="s">
        <v>4592</v>
      </c>
      <c r="AP7962" t="s">
        <v>11944</v>
      </c>
      <c r="AQ7962">
        <v>3</v>
      </c>
      <c r="AR7962" t="s">
        <v>5177</v>
      </c>
      <c r="AS7962" t="s">
        <v>5178</v>
      </c>
      <c r="AT7962" t="s">
        <v>58</v>
      </c>
      <c r="AU7962" t="s">
        <v>8673</v>
      </c>
      <c r="AV7962" t="s">
        <v>132</v>
      </c>
      <c r="AW7962" s="1">
        <v>32213</v>
      </c>
      <c r="AX7962">
        <v>1</v>
      </c>
    </row>
    <row r="7963" spans="1:50">
      <c r="A7963">
        <v>575520</v>
      </c>
      <c r="B7963" t="str">
        <f>"037742840"</f>
        <v>037742840</v>
      </c>
      <c r="C7963" t="s">
        <v>50</v>
      </c>
      <c r="D7963" t="s">
        <v>7882</v>
      </c>
      <c r="E7963" t="s">
        <v>4729</v>
      </c>
      <c r="F7963" t="s">
        <v>1328</v>
      </c>
      <c r="G7963" t="s">
        <v>860</v>
      </c>
      <c r="H7963" t="str">
        <f>"ΠΑΛΑΙΚΑΣΤΡΟ ΣΗΤΕΙΑΣ"</f>
        <v>ΠΑΛΑΙΚΑΣΤΡΟ ΣΗΤΕΙΑΣ</v>
      </c>
      <c r="I7963">
        <v>72300</v>
      </c>
      <c r="J7963">
        <v>2842061171</v>
      </c>
      <c r="K7963">
        <v>6975617639</v>
      </c>
      <c r="N7963" t="s">
        <v>615</v>
      </c>
      <c r="O7963" t="s">
        <v>616</v>
      </c>
      <c r="R7963" t="s">
        <v>57</v>
      </c>
      <c r="S7963">
        <v>13</v>
      </c>
      <c r="T7963">
        <v>184</v>
      </c>
      <c r="U7963" s="1">
        <v>34941</v>
      </c>
      <c r="V7963" t="s">
        <v>5177</v>
      </c>
      <c r="W7963" t="s">
        <v>5178</v>
      </c>
      <c r="X7963" t="s">
        <v>58</v>
      </c>
      <c r="Y7963">
        <v>21</v>
      </c>
      <c r="Z7963" t="s">
        <v>59</v>
      </c>
      <c r="AA7963" t="s">
        <v>59</v>
      </c>
      <c r="AB7963" t="s">
        <v>59</v>
      </c>
      <c r="AC7963" t="s">
        <v>59</v>
      </c>
      <c r="AD7963" t="s">
        <v>59</v>
      </c>
      <c r="AF7963" s="1">
        <v>34946</v>
      </c>
      <c r="AG7963" t="s">
        <v>8645</v>
      </c>
      <c r="AH7963" t="s">
        <v>8646</v>
      </c>
      <c r="AI7963" t="str">
        <f>"9320115"</f>
        <v>9320115</v>
      </c>
      <c r="AJ7963" t="s">
        <v>11935</v>
      </c>
      <c r="AK7963">
        <v>2843061213</v>
      </c>
      <c r="AL7963" t="s">
        <v>11936</v>
      </c>
      <c r="AM7963" t="s">
        <v>4513</v>
      </c>
      <c r="AN7963" t="s">
        <v>4540</v>
      </c>
      <c r="AO7963" t="s">
        <v>4700</v>
      </c>
      <c r="AP7963" t="s">
        <v>4701</v>
      </c>
      <c r="AQ7963">
        <v>9</v>
      </c>
      <c r="AR7963" t="s">
        <v>5177</v>
      </c>
      <c r="AS7963" t="s">
        <v>5178</v>
      </c>
      <c r="AT7963" t="s">
        <v>58</v>
      </c>
      <c r="AU7963" t="s">
        <v>68</v>
      </c>
      <c r="AV7963" t="s">
        <v>69</v>
      </c>
      <c r="AW7963" s="1">
        <v>24478</v>
      </c>
      <c r="AX7963">
        <v>1</v>
      </c>
    </row>
    <row r="7964" spans="1:50">
      <c r="A7964">
        <v>558448</v>
      </c>
      <c r="B7964" t="str">
        <f>"027543356"</f>
        <v>027543356</v>
      </c>
      <c r="C7964" t="s">
        <v>50</v>
      </c>
      <c r="D7964" t="s">
        <v>12404</v>
      </c>
      <c r="E7964" t="s">
        <v>1179</v>
      </c>
      <c r="F7964" t="s">
        <v>92</v>
      </c>
      <c r="G7964" t="s">
        <v>396</v>
      </c>
      <c r="H7964" t="str">
        <f>"ΑΡΧΑΙΟΛΟΓΟΥ ΠΑΠΑΔΑΚΗ 14 ΣΗΤΕΙΑ"</f>
        <v>ΑΡΧΑΙΟΛΟΓΟΥ ΠΑΠΑΔΑΚΗ 14 ΣΗΤΕΙΑ</v>
      </c>
      <c r="I7964">
        <v>72300</v>
      </c>
      <c r="J7964">
        <v>2843026641</v>
      </c>
      <c r="K7964">
        <v>6945244206</v>
      </c>
      <c r="L7964">
        <v>6946207281</v>
      </c>
      <c r="N7964" t="s">
        <v>615</v>
      </c>
      <c r="O7964" t="s">
        <v>616</v>
      </c>
      <c r="R7964" t="s">
        <v>57</v>
      </c>
      <c r="S7964">
        <v>16</v>
      </c>
      <c r="T7964">
        <v>168</v>
      </c>
      <c r="U7964" s="1">
        <v>32010</v>
      </c>
      <c r="V7964" t="s">
        <v>5177</v>
      </c>
      <c r="W7964" t="s">
        <v>5178</v>
      </c>
      <c r="X7964" t="s">
        <v>58</v>
      </c>
      <c r="Y7964">
        <v>21</v>
      </c>
      <c r="Z7964" t="s">
        <v>59</v>
      </c>
      <c r="AA7964" t="s">
        <v>59</v>
      </c>
      <c r="AB7964" t="s">
        <v>59</v>
      </c>
      <c r="AC7964" t="s">
        <v>59</v>
      </c>
      <c r="AD7964" t="s">
        <v>59</v>
      </c>
      <c r="AF7964" s="1">
        <v>32021</v>
      </c>
      <c r="AG7964" t="s">
        <v>8645</v>
      </c>
      <c r="AH7964" t="s">
        <v>8646</v>
      </c>
      <c r="AI7964" t="str">
        <f>"9320093"</f>
        <v>9320093</v>
      </c>
      <c r="AJ7964" t="s">
        <v>11967</v>
      </c>
      <c r="AK7964">
        <v>2843025130</v>
      </c>
      <c r="AL7964" t="s">
        <v>11968</v>
      </c>
      <c r="AM7964" t="s">
        <v>4513</v>
      </c>
      <c r="AN7964" t="s">
        <v>4540</v>
      </c>
      <c r="AO7964" t="s">
        <v>4540</v>
      </c>
      <c r="AP7964" t="s">
        <v>4540</v>
      </c>
      <c r="AQ7964">
        <v>8</v>
      </c>
      <c r="AR7964" t="s">
        <v>5177</v>
      </c>
      <c r="AS7964" t="s">
        <v>5178</v>
      </c>
      <c r="AT7964" t="s">
        <v>58</v>
      </c>
      <c r="AU7964" t="s">
        <v>68</v>
      </c>
      <c r="AV7964" t="s">
        <v>69</v>
      </c>
      <c r="AW7964" s="1">
        <v>20295</v>
      </c>
      <c r="AX7964">
        <v>1</v>
      </c>
    </row>
    <row r="7965" spans="1:50">
      <c r="A7965">
        <v>599275</v>
      </c>
      <c r="B7965" t="str">
        <f>"076864304"</f>
        <v>076864304</v>
      </c>
      <c r="C7965" t="s">
        <v>105</v>
      </c>
      <c r="D7965" t="s">
        <v>12405</v>
      </c>
      <c r="E7965" t="s">
        <v>95</v>
      </c>
      <c r="F7965" t="s">
        <v>99</v>
      </c>
      <c r="G7965" t="s">
        <v>950</v>
      </c>
      <c r="H7965" t="str">
        <f>"ΚΥΠΕΡΗ ΕΛΟΥΝΤΑ"</f>
        <v>ΚΥΠΕΡΗ ΕΛΟΥΝΤΑ</v>
      </c>
      <c r="I7965">
        <v>72053</v>
      </c>
      <c r="J7965">
        <v>2841083384</v>
      </c>
      <c r="K7965">
        <v>6946512127</v>
      </c>
      <c r="N7965" t="s">
        <v>615</v>
      </c>
      <c r="O7965" t="s">
        <v>616</v>
      </c>
      <c r="R7965" t="s">
        <v>57</v>
      </c>
      <c r="S7965">
        <v>9</v>
      </c>
      <c r="T7965">
        <v>195</v>
      </c>
      <c r="U7965" s="1">
        <v>37497</v>
      </c>
      <c r="V7965" t="s">
        <v>5177</v>
      </c>
      <c r="W7965" t="s">
        <v>5178</v>
      </c>
      <c r="X7965" t="s">
        <v>58</v>
      </c>
      <c r="Y7965">
        <v>22</v>
      </c>
      <c r="Z7965" t="s">
        <v>59</v>
      </c>
      <c r="AA7965" t="s">
        <v>59</v>
      </c>
      <c r="AB7965" t="s">
        <v>59</v>
      </c>
      <c r="AC7965" t="s">
        <v>59</v>
      </c>
      <c r="AD7965" t="s">
        <v>59</v>
      </c>
      <c r="AF7965" s="1">
        <v>37501</v>
      </c>
      <c r="AG7965" t="s">
        <v>8645</v>
      </c>
      <c r="AH7965" t="s">
        <v>8646</v>
      </c>
      <c r="AI7965" t="str">
        <f>"9320138"</f>
        <v>9320138</v>
      </c>
      <c r="AJ7965" t="s">
        <v>11915</v>
      </c>
      <c r="AK7965">
        <v>2841022104</v>
      </c>
      <c r="AL7965" t="s">
        <v>11916</v>
      </c>
      <c r="AM7965" t="s">
        <v>4513</v>
      </c>
      <c r="AN7965" t="s">
        <v>4514</v>
      </c>
      <c r="AO7965" t="s">
        <v>4514</v>
      </c>
      <c r="AP7965" t="s">
        <v>4514</v>
      </c>
      <c r="AQ7965">
        <v>1</v>
      </c>
      <c r="AR7965" t="s">
        <v>5177</v>
      </c>
      <c r="AS7965" t="s">
        <v>5178</v>
      </c>
      <c r="AT7965" t="s">
        <v>58</v>
      </c>
      <c r="AU7965" t="s">
        <v>68</v>
      </c>
      <c r="AV7965" t="s">
        <v>69</v>
      </c>
      <c r="AW7965" s="1">
        <v>25000</v>
      </c>
      <c r="AX7965">
        <v>1</v>
      </c>
    </row>
    <row r="7966" spans="1:50">
      <c r="B7966" t="str">
        <f>"142773284"</f>
        <v>142773284</v>
      </c>
      <c r="C7966" t="s">
        <v>50</v>
      </c>
      <c r="D7966" t="s">
        <v>12406</v>
      </c>
      <c r="E7966" t="s">
        <v>484</v>
      </c>
      <c r="F7966" t="s">
        <v>72</v>
      </c>
      <c r="G7966" t="s">
        <v>460</v>
      </c>
      <c r="H7966" t="str">
        <f>" "</f>
        <v xml:space="preserve"> </v>
      </c>
      <c r="N7966" t="s">
        <v>683</v>
      </c>
      <c r="O7966" t="s">
        <v>684</v>
      </c>
      <c r="R7966" t="s">
        <v>121</v>
      </c>
      <c r="S7966">
        <v>1</v>
      </c>
      <c r="T7966" t="s">
        <v>8675</v>
      </c>
      <c r="U7966" s="1">
        <v>43348</v>
      </c>
      <c r="V7966" t="s">
        <v>5177</v>
      </c>
      <c r="W7966" t="s">
        <v>5178</v>
      </c>
      <c r="X7966" t="s">
        <v>58</v>
      </c>
      <c r="Y7966">
        <v>24</v>
      </c>
      <c r="Z7966" t="s">
        <v>59</v>
      </c>
      <c r="AD7966" t="s">
        <v>59</v>
      </c>
      <c r="AF7966" s="1">
        <v>43348</v>
      </c>
      <c r="AG7966" t="s">
        <v>8645</v>
      </c>
      <c r="AH7966" t="s">
        <v>8646</v>
      </c>
      <c r="AI7966" t="str">
        <f>"9320058"</f>
        <v>9320058</v>
      </c>
      <c r="AJ7966" t="s">
        <v>11893</v>
      </c>
      <c r="AK7966">
        <v>2841022496</v>
      </c>
      <c r="AL7966" t="s">
        <v>11894</v>
      </c>
      <c r="AM7966" t="s">
        <v>4513</v>
      </c>
      <c r="AN7966" t="s">
        <v>4514</v>
      </c>
      <c r="AO7966" t="s">
        <v>4514</v>
      </c>
      <c r="AP7966" t="s">
        <v>4514</v>
      </c>
      <c r="AQ7966">
        <v>1</v>
      </c>
      <c r="AR7966" t="s">
        <v>5177</v>
      </c>
      <c r="AS7966" t="s">
        <v>5178</v>
      </c>
      <c r="AT7966" t="s">
        <v>58</v>
      </c>
      <c r="AU7966" t="s">
        <v>8673</v>
      </c>
      <c r="AV7966" t="s">
        <v>132</v>
      </c>
      <c r="AW7966" s="1">
        <v>32051</v>
      </c>
      <c r="AX7966">
        <v>1</v>
      </c>
    </row>
    <row r="7967" spans="1:50">
      <c r="A7967">
        <v>612761</v>
      </c>
      <c r="B7967" t="str">
        <f>"132845288"</f>
        <v>132845288</v>
      </c>
      <c r="C7967" t="s">
        <v>50</v>
      </c>
      <c r="D7967" t="s">
        <v>12407</v>
      </c>
      <c r="E7967" t="s">
        <v>980</v>
      </c>
      <c r="F7967" t="s">
        <v>794</v>
      </c>
      <c r="G7967" t="s">
        <v>181</v>
      </c>
      <c r="H7967" t="str">
        <f>"ΒΑΘΥ Τ.Θ.6 ΑΓΙΟΣ ΝΙΚΟΛΑΟΣ"</f>
        <v>ΒΑΘΥ Τ.Θ.6 ΑΓΙΟΣ ΝΙΚΟΛΑΟΣ</v>
      </c>
      <c r="I7967">
        <v>72100</v>
      </c>
      <c r="J7967">
        <v>2841090019</v>
      </c>
      <c r="K7967">
        <v>6980677567</v>
      </c>
      <c r="M7967" t="s">
        <v>12408</v>
      </c>
      <c r="N7967" t="s">
        <v>1525</v>
      </c>
      <c r="O7967" t="s">
        <v>1526</v>
      </c>
      <c r="R7967" t="s">
        <v>57</v>
      </c>
      <c r="S7967">
        <v>7</v>
      </c>
      <c r="T7967">
        <v>254</v>
      </c>
      <c r="U7967" s="1">
        <v>38973</v>
      </c>
      <c r="V7967" t="s">
        <v>5177</v>
      </c>
      <c r="W7967" t="s">
        <v>5178</v>
      </c>
      <c r="X7967" t="s">
        <v>58</v>
      </c>
      <c r="Y7967">
        <v>25</v>
      </c>
      <c r="Z7967" t="s">
        <v>59</v>
      </c>
      <c r="AA7967" t="s">
        <v>59</v>
      </c>
      <c r="AB7967" t="s">
        <v>59</v>
      </c>
      <c r="AC7967" t="s">
        <v>59</v>
      </c>
      <c r="AD7967" t="s">
        <v>59</v>
      </c>
      <c r="AF7967" s="1">
        <v>38974</v>
      </c>
      <c r="AG7967" t="s">
        <v>8651</v>
      </c>
      <c r="AH7967" t="s">
        <v>8652</v>
      </c>
      <c r="AI7967" t="str">
        <f>"9520762"</f>
        <v>9520762</v>
      </c>
      <c r="AJ7967" t="s">
        <v>12243</v>
      </c>
      <c r="AK7967">
        <v>2841024447</v>
      </c>
      <c r="AL7967" t="s">
        <v>12244</v>
      </c>
      <c r="AM7967" t="s">
        <v>4513</v>
      </c>
      <c r="AN7967" t="s">
        <v>4514</v>
      </c>
      <c r="AO7967" t="s">
        <v>4514</v>
      </c>
      <c r="AP7967" t="s">
        <v>4514</v>
      </c>
      <c r="AQ7967">
        <v>1</v>
      </c>
      <c r="AR7967" t="s">
        <v>5177</v>
      </c>
      <c r="AS7967" t="s">
        <v>5178</v>
      </c>
      <c r="AT7967" t="s">
        <v>58</v>
      </c>
      <c r="AU7967" t="s">
        <v>68</v>
      </c>
      <c r="AV7967" t="s">
        <v>69</v>
      </c>
      <c r="AW7967" s="1">
        <v>30002</v>
      </c>
      <c r="AX7967">
        <v>1</v>
      </c>
    </row>
    <row r="7968" spans="1:50">
      <c r="A7968">
        <v>621870</v>
      </c>
      <c r="B7968" t="str">
        <f>"148084348"</f>
        <v>148084348</v>
      </c>
      <c r="C7968" t="s">
        <v>50</v>
      </c>
      <c r="D7968" t="s">
        <v>5173</v>
      </c>
      <c r="E7968" t="s">
        <v>52</v>
      </c>
      <c r="F7968" t="s">
        <v>84</v>
      </c>
      <c r="G7968" t="s">
        <v>12409</v>
      </c>
      <c r="H7968" t="str">
        <f>"ΒΛΑΧΑΒΑ ΚΑΛΑΜΠΑΚΑΣ ΒΛΑΧΑΒΑ ΚΑΛΑΜΠΑΚΑΣ"</f>
        <v>ΒΛΑΧΑΒΑ ΚΑΛΑΜΠΑΚΑΣ ΒΛΑΧΑΒΑ ΚΑΛΑΜΠΑΚΑΣ</v>
      </c>
      <c r="I7968">
        <v>42200</v>
      </c>
      <c r="J7968">
        <v>2432076827</v>
      </c>
      <c r="K7968">
        <v>6938692717</v>
      </c>
      <c r="N7968" t="s">
        <v>615</v>
      </c>
      <c r="O7968" t="s">
        <v>616</v>
      </c>
      <c r="R7968" t="s">
        <v>57</v>
      </c>
      <c r="S7968">
        <v>5</v>
      </c>
      <c r="T7968">
        <v>653</v>
      </c>
      <c r="U7968" s="1">
        <v>40043</v>
      </c>
      <c r="V7968" t="s">
        <v>5177</v>
      </c>
      <c r="W7968" t="s">
        <v>5178</v>
      </c>
      <c r="X7968" t="s">
        <v>58</v>
      </c>
      <c r="Y7968">
        <v>23</v>
      </c>
      <c r="Z7968" t="s">
        <v>59</v>
      </c>
      <c r="AA7968" t="s">
        <v>59</v>
      </c>
      <c r="AB7968" t="s">
        <v>59</v>
      </c>
      <c r="AC7968" t="s">
        <v>59</v>
      </c>
      <c r="AD7968" t="s">
        <v>59</v>
      </c>
      <c r="AF7968" s="1">
        <v>40057</v>
      </c>
      <c r="AG7968" t="s">
        <v>8645</v>
      </c>
      <c r="AH7968" t="s">
        <v>8646</v>
      </c>
      <c r="AI7968" t="str">
        <f>"9320115"</f>
        <v>9320115</v>
      </c>
      <c r="AJ7968" t="s">
        <v>11935</v>
      </c>
      <c r="AK7968">
        <v>2843061213</v>
      </c>
      <c r="AL7968" t="s">
        <v>11936</v>
      </c>
      <c r="AM7968" t="s">
        <v>4513</v>
      </c>
      <c r="AN7968" t="s">
        <v>4540</v>
      </c>
      <c r="AO7968" t="s">
        <v>4700</v>
      </c>
      <c r="AP7968" t="s">
        <v>4701</v>
      </c>
      <c r="AQ7968">
        <v>9</v>
      </c>
      <c r="AR7968" t="s">
        <v>5177</v>
      </c>
      <c r="AS7968" t="s">
        <v>5178</v>
      </c>
      <c r="AT7968" t="s">
        <v>58</v>
      </c>
      <c r="AU7968" t="s">
        <v>68</v>
      </c>
      <c r="AV7968" t="s">
        <v>69</v>
      </c>
      <c r="AW7968" s="1">
        <v>31253</v>
      </c>
      <c r="AX7968">
        <v>1</v>
      </c>
    </row>
    <row r="7969" spans="1:50">
      <c r="B7969" t="str">
        <f>"135042774"</f>
        <v>135042774</v>
      </c>
      <c r="C7969" t="s">
        <v>105</v>
      </c>
      <c r="D7969" t="s">
        <v>12410</v>
      </c>
      <c r="E7969" t="s">
        <v>670</v>
      </c>
      <c r="F7969" t="s">
        <v>53</v>
      </c>
      <c r="G7969" t="s">
        <v>460</v>
      </c>
      <c r="H7969" t="str">
        <f>" "</f>
        <v xml:space="preserve"> </v>
      </c>
      <c r="N7969" t="s">
        <v>615</v>
      </c>
      <c r="O7969" t="s">
        <v>616</v>
      </c>
      <c r="R7969" t="s">
        <v>159</v>
      </c>
      <c r="S7969">
        <v>1</v>
      </c>
      <c r="T7969" t="s">
        <v>8675</v>
      </c>
      <c r="U7969" s="1">
        <v>43348</v>
      </c>
      <c r="V7969" t="s">
        <v>5177</v>
      </c>
      <c r="W7969" t="s">
        <v>5178</v>
      </c>
      <c r="X7969" t="s">
        <v>58</v>
      </c>
      <c r="Y7969">
        <v>25</v>
      </c>
      <c r="Z7969" t="s">
        <v>59</v>
      </c>
      <c r="AA7969" t="s">
        <v>59</v>
      </c>
      <c r="AB7969" t="s">
        <v>59</v>
      </c>
      <c r="AC7969" t="s">
        <v>59</v>
      </c>
      <c r="AD7969" t="s">
        <v>59</v>
      </c>
      <c r="AF7969" s="1">
        <v>43348</v>
      </c>
      <c r="AG7969" t="s">
        <v>8645</v>
      </c>
      <c r="AH7969" t="s">
        <v>8676</v>
      </c>
      <c r="AI7969" t="str">
        <f>"9320024"</f>
        <v>9320024</v>
      </c>
      <c r="AJ7969" t="s">
        <v>12411</v>
      </c>
      <c r="AK7969">
        <v>2842091214</v>
      </c>
      <c r="AL7969" t="s">
        <v>12412</v>
      </c>
      <c r="AM7969" t="s">
        <v>4513</v>
      </c>
      <c r="AN7969" t="s">
        <v>4519</v>
      </c>
      <c r="AO7969" t="s">
        <v>4519</v>
      </c>
      <c r="AP7969" t="s">
        <v>12162</v>
      </c>
      <c r="AQ7969">
        <v>7</v>
      </c>
      <c r="AR7969" t="s">
        <v>5177</v>
      </c>
      <c r="AS7969" t="s">
        <v>5178</v>
      </c>
      <c r="AT7969" t="s">
        <v>58</v>
      </c>
      <c r="AU7969" t="s">
        <v>8673</v>
      </c>
      <c r="AV7969" t="s">
        <v>132</v>
      </c>
      <c r="AW7969" s="1">
        <v>32407</v>
      </c>
      <c r="AX7969">
        <v>1</v>
      </c>
    </row>
    <row r="7970" spans="1:50">
      <c r="A7970">
        <v>617945</v>
      </c>
      <c r="B7970" t="str">
        <f>"134044604"</f>
        <v>134044604</v>
      </c>
      <c r="C7970" t="s">
        <v>50</v>
      </c>
      <c r="D7970" t="s">
        <v>2904</v>
      </c>
      <c r="E7970" t="s">
        <v>476</v>
      </c>
      <c r="F7970" t="s">
        <v>95</v>
      </c>
      <c r="G7970" t="s">
        <v>620</v>
      </c>
      <c r="H7970" t="str">
        <f>"ΤΕΡΜΑ ΛΑΣΘΕΝΟΥΣ 25 ΙΕΡΑΠΕΤΡΑ-ΚΡΗΤΗΣ"</f>
        <v>ΤΕΡΜΑ ΛΑΣΘΕΝΟΥΣ 25 ΙΕΡΑΠΕΤΡΑ-ΚΡΗΤΗΣ</v>
      </c>
      <c r="I7970">
        <v>72200</v>
      </c>
      <c r="J7970">
        <v>2842027340</v>
      </c>
      <c r="K7970">
        <v>6936957557</v>
      </c>
      <c r="N7970" t="s">
        <v>615</v>
      </c>
      <c r="O7970" t="s">
        <v>616</v>
      </c>
      <c r="R7970" t="s">
        <v>57</v>
      </c>
      <c r="S7970">
        <v>5</v>
      </c>
      <c r="T7970">
        <v>774</v>
      </c>
      <c r="U7970" s="1">
        <v>39680</v>
      </c>
      <c r="V7970" t="s">
        <v>5177</v>
      </c>
      <c r="W7970" t="s">
        <v>5178</v>
      </c>
      <c r="X7970" t="s">
        <v>58</v>
      </c>
      <c r="Y7970">
        <v>23</v>
      </c>
      <c r="Z7970" t="s">
        <v>59</v>
      </c>
      <c r="AA7970" t="s">
        <v>59</v>
      </c>
      <c r="AB7970" t="s">
        <v>59</v>
      </c>
      <c r="AC7970" t="s">
        <v>59</v>
      </c>
      <c r="AD7970" t="s">
        <v>59</v>
      </c>
      <c r="AF7970" s="1">
        <v>39681</v>
      </c>
      <c r="AG7970" t="s">
        <v>8645</v>
      </c>
      <c r="AH7970" t="s">
        <v>8646</v>
      </c>
      <c r="AI7970" t="str">
        <f>"9320163"</f>
        <v>9320163</v>
      </c>
      <c r="AJ7970" t="s">
        <v>12012</v>
      </c>
      <c r="AK7970">
        <v>2842024595</v>
      </c>
      <c r="AL7970" t="s">
        <v>12013</v>
      </c>
      <c r="AM7970" t="s">
        <v>4513</v>
      </c>
      <c r="AN7970" t="s">
        <v>4519</v>
      </c>
      <c r="AO7970" t="s">
        <v>4519</v>
      </c>
      <c r="AP7970" t="s">
        <v>4519</v>
      </c>
      <c r="AQ7970">
        <v>4</v>
      </c>
      <c r="AR7970" t="s">
        <v>5177</v>
      </c>
      <c r="AS7970" t="s">
        <v>5178</v>
      </c>
      <c r="AT7970" t="s">
        <v>58</v>
      </c>
      <c r="AU7970" t="s">
        <v>68</v>
      </c>
      <c r="AV7970" t="s">
        <v>69</v>
      </c>
      <c r="AW7970" s="1">
        <v>30850</v>
      </c>
      <c r="AX7970">
        <v>1</v>
      </c>
    </row>
    <row r="7971" spans="1:50">
      <c r="B7971" t="str">
        <f>"047101293"</f>
        <v>047101293</v>
      </c>
      <c r="C7971" t="s">
        <v>50</v>
      </c>
      <c r="D7971" t="s">
        <v>2904</v>
      </c>
      <c r="E7971" t="s">
        <v>181</v>
      </c>
      <c r="F7971" t="s">
        <v>53</v>
      </c>
      <c r="H7971" t="str">
        <f>" "</f>
        <v xml:space="preserve"> </v>
      </c>
      <c r="N7971" t="s">
        <v>176</v>
      </c>
      <c r="O7971" t="s">
        <v>177</v>
      </c>
      <c r="R7971" t="s">
        <v>159</v>
      </c>
      <c r="S7971">
        <v>2</v>
      </c>
      <c r="T7971" t="s">
        <v>8675</v>
      </c>
      <c r="U7971" s="1">
        <v>43348</v>
      </c>
      <c r="V7971" t="s">
        <v>5177</v>
      </c>
      <c r="W7971" t="s">
        <v>5178</v>
      </c>
      <c r="X7971" t="s">
        <v>58</v>
      </c>
      <c r="Y7971">
        <v>24</v>
      </c>
      <c r="Z7971" t="s">
        <v>59</v>
      </c>
      <c r="AA7971" t="s">
        <v>59</v>
      </c>
      <c r="AB7971" t="s">
        <v>59</v>
      </c>
      <c r="AC7971" t="s">
        <v>59</v>
      </c>
      <c r="AD7971" t="s">
        <v>59</v>
      </c>
      <c r="AF7971" s="1">
        <v>43348</v>
      </c>
      <c r="AG7971" t="s">
        <v>8645</v>
      </c>
      <c r="AH7971" t="s">
        <v>8646</v>
      </c>
      <c r="AI7971" t="str">
        <f>"9320003"</f>
        <v>9320003</v>
      </c>
      <c r="AJ7971" t="s">
        <v>11886</v>
      </c>
      <c r="AK7971">
        <v>2842089830</v>
      </c>
      <c r="AL7971" t="s">
        <v>11887</v>
      </c>
      <c r="AM7971" t="s">
        <v>4513</v>
      </c>
      <c r="AN7971" t="s">
        <v>4519</v>
      </c>
      <c r="AO7971" t="s">
        <v>4519</v>
      </c>
      <c r="AP7971" t="s">
        <v>4519</v>
      </c>
      <c r="AQ7971">
        <v>4</v>
      </c>
      <c r="AR7971" t="s">
        <v>5177</v>
      </c>
      <c r="AS7971" t="s">
        <v>5178</v>
      </c>
      <c r="AT7971" t="s">
        <v>58</v>
      </c>
      <c r="AU7971" t="s">
        <v>8673</v>
      </c>
      <c r="AV7971" t="s">
        <v>132</v>
      </c>
      <c r="AW7971" s="1">
        <v>26679</v>
      </c>
      <c r="AX7971">
        <v>1</v>
      </c>
    </row>
    <row r="7972" spans="1:50">
      <c r="A7972">
        <v>605268</v>
      </c>
      <c r="B7972" t="str">
        <f>"125256178"</f>
        <v>125256178</v>
      </c>
      <c r="C7972" t="s">
        <v>105</v>
      </c>
      <c r="D7972" t="s">
        <v>7944</v>
      </c>
      <c r="E7972" t="s">
        <v>321</v>
      </c>
      <c r="F7972" t="s">
        <v>72</v>
      </c>
      <c r="G7972" t="s">
        <v>52</v>
      </c>
      <c r="H7972" t="str">
        <f>"ΗΡΩΩΝ ΠΟΛΥΤΕΧΝΕΙΟΥ 15 ΙΕΡΑΠΕΤΡΑ"</f>
        <v>ΗΡΩΩΝ ΠΟΛΥΤΕΧΝΕΙΟΥ 15 ΙΕΡΑΠΕΤΡΑ</v>
      </c>
      <c r="I7972">
        <v>72200</v>
      </c>
      <c r="J7972">
        <v>2843051205</v>
      </c>
      <c r="K7972">
        <v>6974896880</v>
      </c>
      <c r="N7972" t="s">
        <v>615</v>
      </c>
      <c r="O7972" t="s">
        <v>616</v>
      </c>
      <c r="R7972" t="s">
        <v>57</v>
      </c>
      <c r="S7972">
        <v>9</v>
      </c>
      <c r="T7972">
        <v>231</v>
      </c>
      <c r="U7972" s="1">
        <v>38230</v>
      </c>
      <c r="V7972" t="s">
        <v>5177</v>
      </c>
      <c r="W7972" t="s">
        <v>5178</v>
      </c>
      <c r="X7972" t="s">
        <v>58</v>
      </c>
      <c r="Y7972">
        <v>22</v>
      </c>
      <c r="Z7972" t="s">
        <v>59</v>
      </c>
      <c r="AA7972" t="s">
        <v>59</v>
      </c>
      <c r="AB7972" t="s">
        <v>59</v>
      </c>
      <c r="AC7972" t="s">
        <v>59</v>
      </c>
      <c r="AD7972" t="s">
        <v>59</v>
      </c>
      <c r="AF7972" s="1">
        <v>38232</v>
      </c>
      <c r="AG7972" t="s">
        <v>8645</v>
      </c>
      <c r="AH7972" t="s">
        <v>8646</v>
      </c>
      <c r="AI7972" t="str">
        <f>"9320009"</f>
        <v>9320009</v>
      </c>
      <c r="AJ7972" t="s">
        <v>11959</v>
      </c>
      <c r="AK7972">
        <v>2842061261</v>
      </c>
      <c r="AL7972" t="s">
        <v>11960</v>
      </c>
      <c r="AM7972" t="s">
        <v>4513</v>
      </c>
      <c r="AN7972" t="s">
        <v>4519</v>
      </c>
      <c r="AO7972" t="s">
        <v>4519</v>
      </c>
      <c r="AP7972" t="s">
        <v>11961</v>
      </c>
      <c r="AQ7972">
        <v>6</v>
      </c>
      <c r="AR7972" t="s">
        <v>5177</v>
      </c>
      <c r="AS7972" t="s">
        <v>5178</v>
      </c>
      <c r="AT7972" t="s">
        <v>58</v>
      </c>
      <c r="AU7972" t="s">
        <v>68</v>
      </c>
      <c r="AV7972" t="s">
        <v>69</v>
      </c>
      <c r="AW7972" s="1">
        <v>26847</v>
      </c>
      <c r="AX7972">
        <v>1</v>
      </c>
    </row>
    <row r="7973" spans="1:50">
      <c r="A7973">
        <v>599315</v>
      </c>
      <c r="B7973" t="str">
        <f>"059785180"</f>
        <v>059785180</v>
      </c>
      <c r="C7973" t="s">
        <v>105</v>
      </c>
      <c r="D7973" t="s">
        <v>12413</v>
      </c>
      <c r="E7973" t="s">
        <v>95</v>
      </c>
      <c r="F7973" t="s">
        <v>12414</v>
      </c>
      <c r="G7973" t="s">
        <v>52</v>
      </c>
      <c r="H7973" t="str">
        <f>"ΕΛ. ΒΕΝΙΖΕΛΟΥ 11 ΚΑΡΔΙΤΣΑ"</f>
        <v>ΕΛ. ΒΕΝΙΖΕΛΟΥ 11 ΚΑΡΔΙΤΣΑ</v>
      </c>
      <c r="I7973">
        <v>43100</v>
      </c>
      <c r="J7973">
        <v>2441024251</v>
      </c>
      <c r="K7973">
        <v>6944063330</v>
      </c>
      <c r="N7973" t="s">
        <v>615</v>
      </c>
      <c r="O7973" t="s">
        <v>616</v>
      </c>
      <c r="R7973" t="s">
        <v>57</v>
      </c>
      <c r="S7973">
        <v>9</v>
      </c>
      <c r="T7973">
        <v>195</v>
      </c>
      <c r="U7973" s="1">
        <v>37497</v>
      </c>
      <c r="V7973" t="s">
        <v>5177</v>
      </c>
      <c r="W7973" t="s">
        <v>5178</v>
      </c>
      <c r="X7973" t="s">
        <v>58</v>
      </c>
      <c r="Y7973">
        <v>25</v>
      </c>
      <c r="Z7973" t="s">
        <v>59</v>
      </c>
      <c r="AA7973" t="s">
        <v>59</v>
      </c>
      <c r="AB7973" t="s">
        <v>59</v>
      </c>
      <c r="AC7973" t="s">
        <v>59</v>
      </c>
      <c r="AD7973" t="s">
        <v>59</v>
      </c>
      <c r="AF7973" s="1">
        <v>37502</v>
      </c>
      <c r="AG7973" t="s">
        <v>8645</v>
      </c>
      <c r="AH7973" t="s">
        <v>8646</v>
      </c>
      <c r="AI7973" t="str">
        <f>"9520629"</f>
        <v>9520629</v>
      </c>
      <c r="AJ7973" t="s">
        <v>11976</v>
      </c>
      <c r="AK7973">
        <v>2843026678</v>
      </c>
      <c r="AL7973" t="s">
        <v>11977</v>
      </c>
      <c r="AM7973" t="s">
        <v>4513</v>
      </c>
      <c r="AN7973" t="s">
        <v>4540</v>
      </c>
      <c r="AO7973" t="s">
        <v>4540</v>
      </c>
      <c r="AP7973" t="s">
        <v>4540</v>
      </c>
      <c r="AQ7973">
        <v>8</v>
      </c>
      <c r="AR7973" t="s">
        <v>5177</v>
      </c>
      <c r="AS7973" t="s">
        <v>5178</v>
      </c>
      <c r="AT7973" t="s">
        <v>58</v>
      </c>
      <c r="AU7973" t="s">
        <v>68</v>
      </c>
      <c r="AV7973" t="s">
        <v>69</v>
      </c>
      <c r="AW7973" s="1">
        <v>24336</v>
      </c>
      <c r="AX7973">
        <v>1</v>
      </c>
    </row>
    <row r="7974" spans="1:50">
      <c r="A7974">
        <v>618812</v>
      </c>
      <c r="B7974" t="str">
        <f>"128184368"</f>
        <v>128184368</v>
      </c>
      <c r="C7974" t="s">
        <v>50</v>
      </c>
      <c r="D7974" t="s">
        <v>12415</v>
      </c>
      <c r="E7974" t="s">
        <v>671</v>
      </c>
      <c r="F7974" t="s">
        <v>99</v>
      </c>
      <c r="G7974" t="s">
        <v>1306</v>
      </c>
      <c r="H7974" t="str">
        <f>"ΔΗΜΟΥ ΔΗΜΑΔΗ 21 ΕΛΕΥΘΕΡΟΥΠΟΛΗ ΚΑΒΑΛΑΣ"</f>
        <v>ΔΗΜΟΥ ΔΗΜΑΔΗ 21 ΕΛΕΥΘΕΡΟΥΠΟΛΗ ΚΑΒΑΛΑΣ</v>
      </c>
      <c r="I7974">
        <v>64100</v>
      </c>
      <c r="J7974">
        <v>2592022482</v>
      </c>
      <c r="K7974">
        <v>6987141267</v>
      </c>
      <c r="N7974" t="s">
        <v>615</v>
      </c>
      <c r="O7974" t="s">
        <v>616</v>
      </c>
      <c r="R7974" t="s">
        <v>57</v>
      </c>
      <c r="S7974">
        <v>5</v>
      </c>
      <c r="T7974">
        <v>774</v>
      </c>
      <c r="U7974" s="1">
        <v>39680</v>
      </c>
      <c r="V7974" t="s">
        <v>5177</v>
      </c>
      <c r="W7974" t="s">
        <v>5178</v>
      </c>
      <c r="X7974" t="s">
        <v>58</v>
      </c>
      <c r="Y7974">
        <v>23</v>
      </c>
      <c r="Z7974" t="s">
        <v>59</v>
      </c>
      <c r="AA7974" t="s">
        <v>59</v>
      </c>
      <c r="AB7974" t="s">
        <v>59</v>
      </c>
      <c r="AC7974" t="s">
        <v>59</v>
      </c>
      <c r="AD7974" t="s">
        <v>59</v>
      </c>
      <c r="AF7974" s="1">
        <v>39681</v>
      </c>
      <c r="AG7974" t="s">
        <v>8645</v>
      </c>
      <c r="AH7974" t="s">
        <v>8646</v>
      </c>
      <c r="AI7974" t="str">
        <f>"9320205"</f>
        <v>9320205</v>
      </c>
      <c r="AJ7974" t="s">
        <v>11902</v>
      </c>
      <c r="AK7974">
        <v>2843024509</v>
      </c>
      <c r="AL7974" t="s">
        <v>11903</v>
      </c>
      <c r="AM7974" t="s">
        <v>4513</v>
      </c>
      <c r="AN7974" t="s">
        <v>4540</v>
      </c>
      <c r="AO7974" t="s">
        <v>4540</v>
      </c>
      <c r="AP7974" t="s">
        <v>4540</v>
      </c>
      <c r="AQ7974">
        <v>8</v>
      </c>
      <c r="AR7974" t="s">
        <v>5177</v>
      </c>
      <c r="AS7974" t="s">
        <v>5178</v>
      </c>
      <c r="AT7974" t="s">
        <v>58</v>
      </c>
      <c r="AU7974" t="s">
        <v>68</v>
      </c>
      <c r="AV7974" t="s">
        <v>69</v>
      </c>
      <c r="AW7974" s="1">
        <v>31350</v>
      </c>
      <c r="AX7974">
        <v>1</v>
      </c>
    </row>
    <row r="7975" spans="1:50">
      <c r="A7975">
        <v>593119</v>
      </c>
      <c r="B7975" t="str">
        <f>"038445370"</f>
        <v>038445370</v>
      </c>
      <c r="C7975" t="s">
        <v>105</v>
      </c>
      <c r="D7975" t="s">
        <v>12416</v>
      </c>
      <c r="E7975" t="s">
        <v>95</v>
      </c>
      <c r="F7975" t="s">
        <v>12417</v>
      </c>
      <c r="G7975" t="s">
        <v>52</v>
      </c>
      <c r="H7975" t="str">
        <f>" "</f>
        <v xml:space="preserve"> </v>
      </c>
      <c r="N7975" t="s">
        <v>615</v>
      </c>
      <c r="O7975" t="s">
        <v>616</v>
      </c>
      <c r="R7975" t="s">
        <v>57</v>
      </c>
      <c r="S7975">
        <v>8</v>
      </c>
      <c r="T7975">
        <v>218</v>
      </c>
      <c r="U7975" s="1">
        <v>37134</v>
      </c>
      <c r="V7975" t="s">
        <v>5177</v>
      </c>
      <c r="W7975" t="s">
        <v>5178</v>
      </c>
      <c r="X7975" t="s">
        <v>58</v>
      </c>
      <c r="Y7975">
        <v>22</v>
      </c>
      <c r="Z7975" t="s">
        <v>59</v>
      </c>
      <c r="AA7975" t="s">
        <v>59</v>
      </c>
      <c r="AB7975" t="s">
        <v>452</v>
      </c>
      <c r="AC7975" t="s">
        <v>59</v>
      </c>
      <c r="AD7975" t="s">
        <v>59</v>
      </c>
      <c r="AF7975" s="1">
        <v>37138</v>
      </c>
      <c r="AG7975" t="s">
        <v>8645</v>
      </c>
      <c r="AH7975" t="s">
        <v>8646</v>
      </c>
      <c r="AI7975" t="str">
        <f>"9320145"</f>
        <v>9320145</v>
      </c>
      <c r="AJ7975" t="s">
        <v>12171</v>
      </c>
      <c r="AK7975">
        <v>2841071309</v>
      </c>
      <c r="AL7975" t="s">
        <v>12172</v>
      </c>
      <c r="AM7975" t="s">
        <v>4513</v>
      </c>
      <c r="AN7975" t="s">
        <v>4514</v>
      </c>
      <c r="AO7975" t="s">
        <v>12085</v>
      </c>
      <c r="AP7975" t="s">
        <v>12085</v>
      </c>
      <c r="AQ7975">
        <v>2</v>
      </c>
      <c r="AR7975" t="s">
        <v>5177</v>
      </c>
      <c r="AS7975" t="s">
        <v>5178</v>
      </c>
      <c r="AT7975" t="s">
        <v>58</v>
      </c>
      <c r="AU7975" t="s">
        <v>68</v>
      </c>
      <c r="AV7975" t="s">
        <v>69</v>
      </c>
      <c r="AW7975" s="1">
        <v>22951</v>
      </c>
      <c r="AX7975">
        <v>1</v>
      </c>
    </row>
    <row r="7976" spans="1:50">
      <c r="A7976">
        <v>605705</v>
      </c>
      <c r="B7976" t="str">
        <f>"124001215"</f>
        <v>124001215</v>
      </c>
      <c r="C7976" t="s">
        <v>50</v>
      </c>
      <c r="D7976" t="s">
        <v>5188</v>
      </c>
      <c r="E7976" t="s">
        <v>620</v>
      </c>
      <c r="F7976" t="s">
        <v>72</v>
      </c>
      <c r="G7976" t="s">
        <v>476</v>
      </c>
      <c r="H7976" t="str">
        <f>"ΛΕΙΒΑΔΙΑ ΙΕΡΑΠΕΤΡΑ"</f>
        <v>ΛΕΙΒΑΔΙΑ ΙΕΡΑΠΕΤΡΑ</v>
      </c>
      <c r="I7976">
        <v>72200</v>
      </c>
      <c r="J7976">
        <v>2842080364</v>
      </c>
      <c r="K7976">
        <v>6975025105</v>
      </c>
      <c r="M7976" t="s">
        <v>12418</v>
      </c>
      <c r="N7976" t="s">
        <v>615</v>
      </c>
      <c r="O7976" t="s">
        <v>616</v>
      </c>
      <c r="R7976" t="s">
        <v>57</v>
      </c>
      <c r="S7976">
        <v>7</v>
      </c>
      <c r="T7976">
        <v>231</v>
      </c>
      <c r="U7976" s="1">
        <v>38230</v>
      </c>
      <c r="V7976" t="s">
        <v>5177</v>
      </c>
      <c r="W7976" t="s">
        <v>5178</v>
      </c>
      <c r="X7976" t="s">
        <v>58</v>
      </c>
      <c r="Y7976">
        <v>22</v>
      </c>
      <c r="Z7976" t="s">
        <v>59</v>
      </c>
      <c r="AA7976" t="s">
        <v>59</v>
      </c>
      <c r="AB7976" t="s">
        <v>59</v>
      </c>
      <c r="AC7976" t="s">
        <v>59</v>
      </c>
      <c r="AD7976" t="s">
        <v>59</v>
      </c>
      <c r="AF7976" s="1">
        <v>38232</v>
      </c>
      <c r="AG7976" t="s">
        <v>8645</v>
      </c>
      <c r="AH7976" t="s">
        <v>8646</v>
      </c>
      <c r="AI7976" t="str">
        <f>"9320021"</f>
        <v>9320021</v>
      </c>
      <c r="AJ7976" t="s">
        <v>11956</v>
      </c>
      <c r="AK7976">
        <v>2842022557</v>
      </c>
      <c r="AL7976" t="s">
        <v>11957</v>
      </c>
      <c r="AM7976" t="s">
        <v>4513</v>
      </c>
      <c r="AN7976" t="s">
        <v>4519</v>
      </c>
      <c r="AO7976" t="s">
        <v>4519</v>
      </c>
      <c r="AP7976" t="s">
        <v>4519</v>
      </c>
      <c r="AQ7976">
        <v>5</v>
      </c>
      <c r="AR7976" t="s">
        <v>5177</v>
      </c>
      <c r="AS7976" t="s">
        <v>5178</v>
      </c>
      <c r="AT7976" t="s">
        <v>58</v>
      </c>
      <c r="AU7976" t="s">
        <v>68</v>
      </c>
      <c r="AV7976" t="s">
        <v>69</v>
      </c>
      <c r="AW7976" s="1">
        <v>28467</v>
      </c>
      <c r="AX7976">
        <v>1</v>
      </c>
    </row>
    <row r="7977" spans="1:50">
      <c r="A7977">
        <v>703808</v>
      </c>
      <c r="B7977" t="str">
        <f>"064260505"</f>
        <v>064260505</v>
      </c>
      <c r="C7977" t="s">
        <v>50</v>
      </c>
      <c r="D7977" t="s">
        <v>12419</v>
      </c>
      <c r="E7977" t="s">
        <v>1440</v>
      </c>
      <c r="F7977" t="s">
        <v>84</v>
      </c>
      <c r="G7977" t="s">
        <v>134</v>
      </c>
      <c r="H7977" t="str">
        <f>"ΔΕΣΚΑΤΗ ΓΡΕΒΕΝΩΝ ΔΕΣΚΑΤΗ ΓΡΕΒΕΝΩΝ"</f>
        <v>ΔΕΣΚΑΤΗ ΓΡΕΒΕΝΩΝ ΔΕΣΚΑΤΗ ΓΡΕΒΕΝΩΝ</v>
      </c>
      <c r="I7977">
        <v>51200</v>
      </c>
      <c r="J7977">
        <v>2462031051</v>
      </c>
      <c r="K7977">
        <v>6942224688</v>
      </c>
      <c r="N7977" t="s">
        <v>1525</v>
      </c>
      <c r="O7977" t="s">
        <v>1526</v>
      </c>
      <c r="R7977" t="s">
        <v>57</v>
      </c>
      <c r="S7977">
        <v>4</v>
      </c>
      <c r="T7977">
        <v>224</v>
      </c>
      <c r="U7977" s="1">
        <v>41695</v>
      </c>
      <c r="V7977" t="s">
        <v>5177</v>
      </c>
      <c r="W7977" t="s">
        <v>5178</v>
      </c>
      <c r="X7977" t="s">
        <v>58</v>
      </c>
      <c r="Y7977">
        <v>25</v>
      </c>
      <c r="Z7977" t="s">
        <v>59</v>
      </c>
      <c r="AA7977" t="s">
        <v>59</v>
      </c>
      <c r="AB7977" t="s">
        <v>59</v>
      </c>
      <c r="AC7977" t="s">
        <v>59</v>
      </c>
      <c r="AD7977" t="s">
        <v>59</v>
      </c>
      <c r="AF7977" s="1">
        <v>41695</v>
      </c>
      <c r="AG7977" t="s">
        <v>8651</v>
      </c>
      <c r="AH7977" t="s">
        <v>8652</v>
      </c>
      <c r="AI7977" t="str">
        <f>"9320224"</f>
        <v>9320224</v>
      </c>
      <c r="AJ7977" t="s">
        <v>12269</v>
      </c>
      <c r="AK7977">
        <v>2843022656</v>
      </c>
      <c r="AL7977" t="s">
        <v>12270</v>
      </c>
      <c r="AM7977" t="s">
        <v>4513</v>
      </c>
      <c r="AN7977" t="s">
        <v>4540</v>
      </c>
      <c r="AO7977" t="s">
        <v>4540</v>
      </c>
      <c r="AP7977" t="s">
        <v>4540</v>
      </c>
      <c r="AQ7977">
        <v>8</v>
      </c>
      <c r="AR7977" t="s">
        <v>5177</v>
      </c>
      <c r="AS7977" t="s">
        <v>5178</v>
      </c>
      <c r="AT7977" t="s">
        <v>58</v>
      </c>
      <c r="AU7977" t="s">
        <v>68</v>
      </c>
      <c r="AV7977" t="s">
        <v>69</v>
      </c>
      <c r="AW7977" s="1">
        <v>27760</v>
      </c>
      <c r="AX7977">
        <v>1</v>
      </c>
    </row>
    <row r="7978" spans="1:50">
      <c r="A7978">
        <v>597514</v>
      </c>
      <c r="B7978" t="str">
        <f>"063795422"</f>
        <v>063795422</v>
      </c>
      <c r="C7978" t="s">
        <v>50</v>
      </c>
      <c r="D7978" t="s">
        <v>5194</v>
      </c>
      <c r="E7978" t="s">
        <v>215</v>
      </c>
      <c r="F7978" t="s">
        <v>95</v>
      </c>
      <c r="G7978" t="s">
        <v>83</v>
      </c>
      <c r="H7978" t="str">
        <f>"ΑΜΜΟΥΔΙ ΑΓΙΟΣ ΝΙΚΟΛΑΟΣ"</f>
        <v>ΑΜΜΟΥΔΙ ΑΓΙΟΣ ΝΙΚΟΛΑΟΣ</v>
      </c>
      <c r="I7978">
        <v>72100</v>
      </c>
      <c r="J7978">
        <v>2841027346</v>
      </c>
      <c r="K7978">
        <v>6974810427</v>
      </c>
      <c r="N7978" t="s">
        <v>306</v>
      </c>
      <c r="O7978" t="s">
        <v>307</v>
      </c>
      <c r="R7978" t="s">
        <v>57</v>
      </c>
      <c r="S7978">
        <v>8</v>
      </c>
      <c r="T7978">
        <v>193</v>
      </c>
      <c r="U7978" s="1">
        <v>37497</v>
      </c>
      <c r="V7978" t="s">
        <v>5177</v>
      </c>
      <c r="W7978" t="s">
        <v>5178</v>
      </c>
      <c r="X7978" t="s">
        <v>58</v>
      </c>
      <c r="Y7978">
        <v>22</v>
      </c>
      <c r="Z7978" t="s">
        <v>59</v>
      </c>
      <c r="AA7978" t="s">
        <v>59</v>
      </c>
      <c r="AB7978" t="s">
        <v>59</v>
      </c>
      <c r="AC7978" t="s">
        <v>59</v>
      </c>
      <c r="AD7978" t="s">
        <v>59</v>
      </c>
      <c r="AF7978" s="1">
        <v>37501</v>
      </c>
      <c r="AG7978" t="s">
        <v>8645</v>
      </c>
      <c r="AH7978" t="s">
        <v>8646</v>
      </c>
      <c r="AI7978" t="str">
        <f>"9320210"</f>
        <v>9320210</v>
      </c>
      <c r="AJ7978" t="s">
        <v>11890</v>
      </c>
      <c r="AK7978">
        <v>2841026705</v>
      </c>
      <c r="AL7978" t="s">
        <v>11891</v>
      </c>
      <c r="AM7978" t="s">
        <v>4513</v>
      </c>
      <c r="AN7978" t="s">
        <v>4514</v>
      </c>
      <c r="AO7978" t="s">
        <v>4514</v>
      </c>
      <c r="AP7978" t="s">
        <v>4514</v>
      </c>
      <c r="AQ7978">
        <v>1</v>
      </c>
      <c r="AR7978" t="s">
        <v>5177</v>
      </c>
      <c r="AS7978" t="s">
        <v>5178</v>
      </c>
      <c r="AT7978" t="s">
        <v>58</v>
      </c>
      <c r="AU7978" t="s">
        <v>68</v>
      </c>
      <c r="AV7978" t="s">
        <v>69</v>
      </c>
      <c r="AW7978" s="1">
        <v>28093</v>
      </c>
      <c r="AX7978">
        <v>1</v>
      </c>
    </row>
    <row r="7979" spans="1:50">
      <c r="A7979">
        <v>607130</v>
      </c>
      <c r="B7979" t="str">
        <f>"124470695"</f>
        <v>124470695</v>
      </c>
      <c r="C7979" t="s">
        <v>50</v>
      </c>
      <c r="D7979" t="s">
        <v>12420</v>
      </c>
      <c r="E7979" t="s">
        <v>755</v>
      </c>
      <c r="F7979" t="s">
        <v>84</v>
      </c>
      <c r="G7979" t="s">
        <v>1588</v>
      </c>
      <c r="H7979" t="str">
        <f>"ΑΓΙΑ ΦΩΤΙΑ ΛΑΣΙΘΙ"</f>
        <v>ΑΓΙΑ ΦΩΤΙΑ ΛΑΣΙΘΙ</v>
      </c>
      <c r="I7979">
        <v>72300</v>
      </c>
      <c r="J7979">
        <v>2831025588</v>
      </c>
      <c r="K7979">
        <v>6974187668</v>
      </c>
      <c r="N7979" t="s">
        <v>615</v>
      </c>
      <c r="O7979" t="s">
        <v>616</v>
      </c>
      <c r="R7979" t="s">
        <v>57</v>
      </c>
      <c r="S7979">
        <v>7</v>
      </c>
      <c r="T7979">
        <v>217</v>
      </c>
      <c r="U7979" s="1">
        <v>38596</v>
      </c>
      <c r="V7979" t="s">
        <v>5177</v>
      </c>
      <c r="W7979" t="s">
        <v>5178</v>
      </c>
      <c r="X7979" t="s">
        <v>58</v>
      </c>
      <c r="Y7979">
        <v>22</v>
      </c>
      <c r="Z7979" t="s">
        <v>59</v>
      </c>
      <c r="AA7979" t="s">
        <v>59</v>
      </c>
      <c r="AB7979" t="s">
        <v>59</v>
      </c>
      <c r="AC7979" t="s">
        <v>59</v>
      </c>
      <c r="AD7979" t="s">
        <v>59</v>
      </c>
      <c r="AF7979" s="1">
        <v>38601</v>
      </c>
      <c r="AG7979" t="s">
        <v>8645</v>
      </c>
      <c r="AH7979" t="s">
        <v>8646</v>
      </c>
      <c r="AI7979" t="str">
        <f>"9320205"</f>
        <v>9320205</v>
      </c>
      <c r="AJ7979" t="s">
        <v>11902</v>
      </c>
      <c r="AK7979">
        <v>2843024509</v>
      </c>
      <c r="AL7979" t="s">
        <v>11903</v>
      </c>
      <c r="AM7979" t="s">
        <v>4513</v>
      </c>
      <c r="AN7979" t="s">
        <v>4540</v>
      </c>
      <c r="AO7979" t="s">
        <v>4540</v>
      </c>
      <c r="AP7979" t="s">
        <v>4540</v>
      </c>
      <c r="AQ7979">
        <v>8</v>
      </c>
      <c r="AR7979" t="s">
        <v>5177</v>
      </c>
      <c r="AS7979" t="s">
        <v>5178</v>
      </c>
      <c r="AT7979" t="s">
        <v>58</v>
      </c>
      <c r="AU7979" t="s">
        <v>68</v>
      </c>
      <c r="AV7979" t="s">
        <v>357</v>
      </c>
      <c r="AW7979" s="1">
        <v>26039</v>
      </c>
      <c r="AX7979">
        <v>1</v>
      </c>
    </row>
    <row r="7980" spans="1:50">
      <c r="B7980" t="str">
        <f>"132236250"</f>
        <v>132236250</v>
      </c>
      <c r="C7980" t="s">
        <v>50</v>
      </c>
      <c r="D7980" t="s">
        <v>12421</v>
      </c>
      <c r="E7980" t="s">
        <v>326</v>
      </c>
      <c r="F7980" t="s">
        <v>202</v>
      </c>
      <c r="G7980" t="s">
        <v>484</v>
      </c>
      <c r="H7980" t="str">
        <f>" "</f>
        <v xml:space="preserve"> </v>
      </c>
      <c r="N7980" t="s">
        <v>1525</v>
      </c>
      <c r="O7980" t="s">
        <v>1526</v>
      </c>
      <c r="R7980" t="s">
        <v>159</v>
      </c>
      <c r="S7980">
        <v>2</v>
      </c>
      <c r="T7980" t="s">
        <v>8670</v>
      </c>
      <c r="U7980" s="1">
        <v>43348</v>
      </c>
      <c r="V7980" t="s">
        <v>5177</v>
      </c>
      <c r="W7980" t="s">
        <v>5178</v>
      </c>
      <c r="X7980" t="s">
        <v>58</v>
      </c>
      <c r="Y7980">
        <v>25</v>
      </c>
      <c r="Z7980" t="s">
        <v>59</v>
      </c>
      <c r="AA7980" t="s">
        <v>59</v>
      </c>
      <c r="AB7980" t="s">
        <v>59</v>
      </c>
      <c r="AD7980" t="s">
        <v>59</v>
      </c>
      <c r="AF7980" s="1">
        <v>43348</v>
      </c>
      <c r="AG7980" t="s">
        <v>8651</v>
      </c>
      <c r="AH7980" t="s">
        <v>8652</v>
      </c>
      <c r="AI7980" t="str">
        <f>"9520762"</f>
        <v>9520762</v>
      </c>
      <c r="AJ7980" t="s">
        <v>12243</v>
      </c>
      <c r="AK7980">
        <v>2841024447</v>
      </c>
      <c r="AL7980" t="s">
        <v>12244</v>
      </c>
      <c r="AM7980" t="s">
        <v>4513</v>
      </c>
      <c r="AN7980" t="s">
        <v>4514</v>
      </c>
      <c r="AO7980" t="s">
        <v>4514</v>
      </c>
      <c r="AP7980" t="s">
        <v>4514</v>
      </c>
      <c r="AQ7980">
        <v>1</v>
      </c>
      <c r="AR7980" t="s">
        <v>5177</v>
      </c>
      <c r="AS7980" t="s">
        <v>5178</v>
      </c>
      <c r="AT7980" t="s">
        <v>58</v>
      </c>
      <c r="AU7980" t="s">
        <v>8673</v>
      </c>
      <c r="AV7980" t="s">
        <v>132</v>
      </c>
      <c r="AW7980" s="1">
        <v>31331</v>
      </c>
      <c r="AX7980">
        <v>1</v>
      </c>
    </row>
    <row r="7981" spans="1:50">
      <c r="B7981" t="str">
        <f>"135399124"</f>
        <v>135399124</v>
      </c>
      <c r="C7981" t="s">
        <v>50</v>
      </c>
      <c r="D7981" t="s">
        <v>12421</v>
      </c>
      <c r="E7981" t="s">
        <v>904</v>
      </c>
      <c r="F7981" t="s">
        <v>72</v>
      </c>
      <c r="G7981" t="s">
        <v>1068</v>
      </c>
      <c r="H7981" t="str">
        <f>"Ηλία Σωτήρχου 14 Αμμούδι"</f>
        <v>Ηλία Σωτήρχου 14 Αμμούδι</v>
      </c>
      <c r="I7981">
        <v>72100</v>
      </c>
      <c r="K7981">
        <v>6976769661</v>
      </c>
      <c r="M7981" t="s">
        <v>12422</v>
      </c>
      <c r="N7981" t="s">
        <v>683</v>
      </c>
      <c r="O7981" t="s">
        <v>684</v>
      </c>
      <c r="R7981" t="s">
        <v>121</v>
      </c>
      <c r="S7981">
        <v>1</v>
      </c>
      <c r="T7981" t="s">
        <v>8675</v>
      </c>
      <c r="U7981" s="1">
        <v>43348</v>
      </c>
      <c r="V7981" t="s">
        <v>5177</v>
      </c>
      <c r="W7981" t="s">
        <v>5178</v>
      </c>
      <c r="X7981" t="s">
        <v>58</v>
      </c>
      <c r="Y7981">
        <v>24</v>
      </c>
      <c r="Z7981" t="s">
        <v>59</v>
      </c>
      <c r="AA7981" t="s">
        <v>59</v>
      </c>
      <c r="AB7981" t="s">
        <v>59</v>
      </c>
      <c r="AD7981" t="s">
        <v>59</v>
      </c>
      <c r="AF7981" s="1">
        <v>43348</v>
      </c>
      <c r="AG7981" t="s">
        <v>8645</v>
      </c>
      <c r="AH7981" t="s">
        <v>8646</v>
      </c>
      <c r="AI7981" t="str">
        <f>"9320138"</f>
        <v>9320138</v>
      </c>
      <c r="AJ7981" t="s">
        <v>11915</v>
      </c>
      <c r="AK7981">
        <v>2841022104</v>
      </c>
      <c r="AL7981" t="s">
        <v>11916</v>
      </c>
      <c r="AM7981" t="s">
        <v>4513</v>
      </c>
      <c r="AN7981" t="s">
        <v>4514</v>
      </c>
      <c r="AO7981" t="s">
        <v>4514</v>
      </c>
      <c r="AP7981" t="s">
        <v>4514</v>
      </c>
      <c r="AQ7981">
        <v>1</v>
      </c>
      <c r="AR7981" t="s">
        <v>5177</v>
      </c>
      <c r="AS7981" t="s">
        <v>5178</v>
      </c>
      <c r="AT7981" t="s">
        <v>58</v>
      </c>
      <c r="AU7981" t="s">
        <v>8673</v>
      </c>
      <c r="AV7981" t="s">
        <v>132</v>
      </c>
      <c r="AW7981" s="1">
        <v>30521</v>
      </c>
      <c r="AX7981">
        <v>1</v>
      </c>
    </row>
    <row r="7982" spans="1:50">
      <c r="B7982" t="str">
        <f>"064100699"</f>
        <v>064100699</v>
      </c>
      <c r="C7982" t="s">
        <v>50</v>
      </c>
      <c r="D7982" t="s">
        <v>2972</v>
      </c>
      <c r="E7982" t="s">
        <v>366</v>
      </c>
      <c r="F7982" t="s">
        <v>309</v>
      </c>
      <c r="G7982" t="s">
        <v>801</v>
      </c>
      <c r="H7982" t="str">
        <f>"ΑΓΙΟΥ ΓΕΩΡΓΙΟΥ 6 "</f>
        <v xml:space="preserve">ΑΓΙΟΥ ΓΕΩΡΓΙΟΥ 6 </v>
      </c>
      <c r="I7982">
        <v>12461</v>
      </c>
      <c r="J7982">
        <v>2105820703</v>
      </c>
      <c r="K7982">
        <v>6974089192</v>
      </c>
      <c r="N7982" t="s">
        <v>1525</v>
      </c>
      <c r="O7982" t="s">
        <v>1526</v>
      </c>
      <c r="R7982" t="s">
        <v>159</v>
      </c>
      <c r="S7982">
        <v>2</v>
      </c>
      <c r="T7982" t="s">
        <v>8670</v>
      </c>
      <c r="U7982" s="1">
        <v>43348</v>
      </c>
      <c r="V7982" t="s">
        <v>5177</v>
      </c>
      <c r="W7982" t="s">
        <v>5178</v>
      </c>
      <c r="X7982" t="s">
        <v>58</v>
      </c>
      <c r="Y7982">
        <v>25</v>
      </c>
      <c r="Z7982" t="s">
        <v>59</v>
      </c>
      <c r="AA7982" t="s">
        <v>59</v>
      </c>
      <c r="AB7982" t="s">
        <v>59</v>
      </c>
      <c r="AC7982" t="s">
        <v>59</v>
      </c>
      <c r="AD7982" t="s">
        <v>59</v>
      </c>
      <c r="AF7982" s="1">
        <v>43348</v>
      </c>
      <c r="AG7982" t="s">
        <v>8651</v>
      </c>
      <c r="AH7982" t="s">
        <v>8652</v>
      </c>
      <c r="AI7982" t="str">
        <f>"9320062"</f>
        <v>9320062</v>
      </c>
      <c r="AJ7982" t="s">
        <v>11997</v>
      </c>
      <c r="AK7982">
        <v>2841032366</v>
      </c>
      <c r="AL7982" t="s">
        <v>11998</v>
      </c>
      <c r="AM7982" t="s">
        <v>4513</v>
      </c>
      <c r="AN7982" t="s">
        <v>4514</v>
      </c>
      <c r="AO7982" t="s">
        <v>4524</v>
      </c>
      <c r="AP7982" t="s">
        <v>4525</v>
      </c>
      <c r="AQ7982">
        <v>1</v>
      </c>
      <c r="AR7982" t="s">
        <v>5177</v>
      </c>
      <c r="AS7982" t="s">
        <v>5178</v>
      </c>
      <c r="AT7982" t="s">
        <v>58</v>
      </c>
      <c r="AU7982" t="s">
        <v>8673</v>
      </c>
      <c r="AV7982" t="s">
        <v>132</v>
      </c>
      <c r="AW7982" s="1">
        <v>31729</v>
      </c>
      <c r="AX7982">
        <v>1</v>
      </c>
    </row>
    <row r="7983" spans="1:50">
      <c r="B7983" t="str">
        <f>"126333635"</f>
        <v>126333635</v>
      </c>
      <c r="C7983" t="s">
        <v>50</v>
      </c>
      <c r="D7983" t="s">
        <v>12423</v>
      </c>
      <c r="E7983" t="s">
        <v>250</v>
      </c>
      <c r="F7983" t="s">
        <v>99</v>
      </c>
      <c r="G7983" t="s">
        <v>566</v>
      </c>
      <c r="H7983" t="str">
        <f>" "</f>
        <v xml:space="preserve"> </v>
      </c>
      <c r="N7983" t="s">
        <v>615</v>
      </c>
      <c r="O7983" t="s">
        <v>616</v>
      </c>
      <c r="R7983" t="s">
        <v>159</v>
      </c>
      <c r="S7983">
        <v>3</v>
      </c>
      <c r="T7983" t="s">
        <v>8675</v>
      </c>
      <c r="U7983" s="1">
        <v>43348</v>
      </c>
      <c r="V7983" t="s">
        <v>5177</v>
      </c>
      <c r="W7983" t="s">
        <v>5178</v>
      </c>
      <c r="X7983" t="s">
        <v>58</v>
      </c>
      <c r="Y7983">
        <v>25</v>
      </c>
      <c r="Z7983" t="s">
        <v>59</v>
      </c>
      <c r="AA7983" t="s">
        <v>59</v>
      </c>
      <c r="AB7983" t="s">
        <v>59</v>
      </c>
      <c r="AC7983" t="s">
        <v>59</v>
      </c>
      <c r="AD7983" t="s">
        <v>59</v>
      </c>
      <c r="AF7983" s="1">
        <v>43348</v>
      </c>
      <c r="AG7983" t="s">
        <v>8645</v>
      </c>
      <c r="AH7983" t="s">
        <v>8676</v>
      </c>
      <c r="AI7983" t="str">
        <f>"9320018"</f>
        <v>9320018</v>
      </c>
      <c r="AJ7983" t="s">
        <v>12006</v>
      </c>
      <c r="AK7983">
        <v>2842092292</v>
      </c>
      <c r="AL7983" t="s">
        <v>12007</v>
      </c>
      <c r="AM7983" t="s">
        <v>4513</v>
      </c>
      <c r="AN7983" t="s">
        <v>4519</v>
      </c>
      <c r="AO7983" t="s">
        <v>4519</v>
      </c>
      <c r="AP7983" t="s">
        <v>12008</v>
      </c>
      <c r="AQ7983">
        <v>7</v>
      </c>
      <c r="AR7983" t="s">
        <v>5177</v>
      </c>
      <c r="AS7983" t="s">
        <v>5178</v>
      </c>
      <c r="AT7983" t="s">
        <v>58</v>
      </c>
      <c r="AU7983" t="s">
        <v>8673</v>
      </c>
      <c r="AV7983" t="s">
        <v>132</v>
      </c>
      <c r="AW7983" s="1">
        <v>32655</v>
      </c>
      <c r="AX7983">
        <v>1</v>
      </c>
    </row>
    <row r="7984" spans="1:50">
      <c r="A7984">
        <v>599372</v>
      </c>
      <c r="B7984" t="str">
        <f>"050218992"</f>
        <v>050218992</v>
      </c>
      <c r="C7984" t="s">
        <v>105</v>
      </c>
      <c r="D7984" t="s">
        <v>12424</v>
      </c>
      <c r="E7984" t="s">
        <v>72</v>
      </c>
      <c r="F7984" t="s">
        <v>53</v>
      </c>
      <c r="G7984" t="s">
        <v>12425</v>
      </c>
      <c r="H7984" t="str">
        <f>" "</f>
        <v xml:space="preserve"> </v>
      </c>
      <c r="J7984">
        <v>2463024341</v>
      </c>
      <c r="K7984">
        <v>6932665522</v>
      </c>
      <c r="N7984" t="s">
        <v>615</v>
      </c>
      <c r="O7984" t="s">
        <v>616</v>
      </c>
      <c r="P7984" t="s">
        <v>257</v>
      </c>
      <c r="Q7984" t="s">
        <v>258</v>
      </c>
      <c r="R7984" t="s">
        <v>57</v>
      </c>
      <c r="S7984">
        <v>11</v>
      </c>
      <c r="T7984">
        <v>195</v>
      </c>
      <c r="U7984" s="1">
        <v>37497</v>
      </c>
      <c r="V7984" t="s">
        <v>5177</v>
      </c>
      <c r="W7984" t="s">
        <v>5178</v>
      </c>
      <c r="X7984" t="s">
        <v>58</v>
      </c>
      <c r="Y7984">
        <v>22</v>
      </c>
      <c r="Z7984" t="s">
        <v>59</v>
      </c>
      <c r="AA7984" t="s">
        <v>59</v>
      </c>
      <c r="AB7984" t="s">
        <v>452</v>
      </c>
      <c r="AC7984" t="s">
        <v>59</v>
      </c>
      <c r="AD7984" t="s">
        <v>59</v>
      </c>
      <c r="AF7984" s="1">
        <v>37501</v>
      </c>
      <c r="AG7984" t="s">
        <v>8645</v>
      </c>
      <c r="AH7984" t="s">
        <v>8697</v>
      </c>
      <c r="AI7984" t="str">
        <f>"9320209"</f>
        <v>9320209</v>
      </c>
      <c r="AJ7984" t="s">
        <v>12009</v>
      </c>
      <c r="AK7984">
        <v>2841026803</v>
      </c>
      <c r="AL7984" t="s">
        <v>12010</v>
      </c>
      <c r="AM7984" t="s">
        <v>4513</v>
      </c>
      <c r="AN7984" t="s">
        <v>4514</v>
      </c>
      <c r="AO7984" t="s">
        <v>4514</v>
      </c>
      <c r="AP7984" t="s">
        <v>4514</v>
      </c>
      <c r="AQ7984">
        <v>1</v>
      </c>
      <c r="AR7984" t="s">
        <v>5177</v>
      </c>
      <c r="AS7984" t="s">
        <v>5178</v>
      </c>
      <c r="AT7984" t="s">
        <v>58</v>
      </c>
      <c r="AU7984" t="s">
        <v>68</v>
      </c>
      <c r="AV7984" t="s">
        <v>69</v>
      </c>
      <c r="AW7984" s="1">
        <v>24915</v>
      </c>
      <c r="AX7984">
        <v>1</v>
      </c>
    </row>
    <row r="7985" spans="1:50">
      <c r="A7985">
        <v>613224</v>
      </c>
      <c r="B7985" t="str">
        <f>"038950545"</f>
        <v>038950545</v>
      </c>
      <c r="C7985" t="s">
        <v>105</v>
      </c>
      <c r="D7985" t="s">
        <v>12426</v>
      </c>
      <c r="E7985" t="s">
        <v>53</v>
      </c>
      <c r="F7985" t="s">
        <v>99</v>
      </c>
      <c r="G7985" t="s">
        <v>255</v>
      </c>
      <c r="H7985" t="str">
        <f>"ΚΩΣΤΗ ΠΑΛΑΜΑ 8 ΙΕΡΑΠΕΤΡΑ"</f>
        <v>ΚΩΣΤΗ ΠΑΛΑΜΑ 8 ΙΕΡΑΠΕΤΡΑ</v>
      </c>
      <c r="I7985">
        <v>72200</v>
      </c>
      <c r="J7985">
        <v>2842025086</v>
      </c>
      <c r="K7985">
        <v>6972054913</v>
      </c>
      <c r="N7985" t="s">
        <v>615</v>
      </c>
      <c r="O7985" t="s">
        <v>616</v>
      </c>
      <c r="R7985" t="s">
        <v>57</v>
      </c>
      <c r="S7985">
        <v>6</v>
      </c>
      <c r="T7985">
        <v>598</v>
      </c>
      <c r="U7985" s="1">
        <v>39310</v>
      </c>
      <c r="V7985" t="s">
        <v>5177</v>
      </c>
      <c r="W7985" t="s">
        <v>5178</v>
      </c>
      <c r="X7985" t="s">
        <v>58</v>
      </c>
      <c r="Y7985">
        <v>23</v>
      </c>
      <c r="Z7985" t="s">
        <v>59</v>
      </c>
      <c r="AA7985" t="s">
        <v>59</v>
      </c>
      <c r="AB7985" t="s">
        <v>59</v>
      </c>
      <c r="AC7985" t="s">
        <v>59</v>
      </c>
      <c r="AD7985" t="s">
        <v>59</v>
      </c>
      <c r="AF7985" s="1">
        <v>39328</v>
      </c>
      <c r="AG7985" t="s">
        <v>8645</v>
      </c>
      <c r="AH7985" t="s">
        <v>8646</v>
      </c>
      <c r="AI7985" t="str">
        <f>"9320163"</f>
        <v>9320163</v>
      </c>
      <c r="AJ7985" t="s">
        <v>12012</v>
      </c>
      <c r="AK7985">
        <v>2842024595</v>
      </c>
      <c r="AL7985" t="s">
        <v>12013</v>
      </c>
      <c r="AM7985" t="s">
        <v>4513</v>
      </c>
      <c r="AN7985" t="s">
        <v>4519</v>
      </c>
      <c r="AO7985" t="s">
        <v>4519</v>
      </c>
      <c r="AP7985" t="s">
        <v>4519</v>
      </c>
      <c r="AQ7985">
        <v>4</v>
      </c>
      <c r="AR7985" t="s">
        <v>5177</v>
      </c>
      <c r="AS7985" t="s">
        <v>5178</v>
      </c>
      <c r="AT7985" t="s">
        <v>58</v>
      </c>
      <c r="AU7985" t="s">
        <v>68</v>
      </c>
      <c r="AV7985" t="s">
        <v>69</v>
      </c>
      <c r="AW7985" s="1">
        <v>24677</v>
      </c>
      <c r="AX7985">
        <v>1</v>
      </c>
    </row>
    <row r="7986" spans="1:50">
      <c r="A7986">
        <v>604274</v>
      </c>
      <c r="B7986" t="str">
        <f>"103828881"</f>
        <v>103828881</v>
      </c>
      <c r="C7986" t="s">
        <v>50</v>
      </c>
      <c r="D7986" t="s">
        <v>10892</v>
      </c>
      <c r="E7986" t="s">
        <v>1019</v>
      </c>
      <c r="F7986" t="s">
        <v>3585</v>
      </c>
      <c r="G7986" t="s">
        <v>3914</v>
      </c>
      <c r="H7986" t="str">
        <f>"ΑΚΤΗ ΚΟΥΝΔΟΥΡΟΥ 31 ΑΓΙΟΣ ΝΙΚΟΛΑΟΣ"</f>
        <v>ΑΚΤΗ ΚΟΥΝΔΟΥΡΟΥ 31 ΑΓΙΟΣ ΝΙΚΟΛΑΟΣ</v>
      </c>
      <c r="I7986">
        <v>72100</v>
      </c>
      <c r="J7986">
        <v>2841082657</v>
      </c>
      <c r="K7986">
        <v>6974906121</v>
      </c>
      <c r="N7986" t="s">
        <v>615</v>
      </c>
      <c r="O7986" t="s">
        <v>616</v>
      </c>
      <c r="R7986" t="s">
        <v>57</v>
      </c>
      <c r="S7986">
        <v>8</v>
      </c>
      <c r="T7986">
        <v>231</v>
      </c>
      <c r="U7986" s="1">
        <v>38230</v>
      </c>
      <c r="V7986" t="s">
        <v>5177</v>
      </c>
      <c r="W7986" t="s">
        <v>5178</v>
      </c>
      <c r="X7986" t="s">
        <v>58</v>
      </c>
      <c r="Y7986">
        <v>22</v>
      </c>
      <c r="Z7986" t="s">
        <v>59</v>
      </c>
      <c r="AA7986" t="s">
        <v>59</v>
      </c>
      <c r="AB7986" t="s">
        <v>59</v>
      </c>
      <c r="AC7986" t="s">
        <v>59</v>
      </c>
      <c r="AD7986" t="s">
        <v>59</v>
      </c>
      <c r="AF7986" s="1">
        <v>38232</v>
      </c>
      <c r="AG7986" t="s">
        <v>8645</v>
      </c>
      <c r="AH7986" t="s">
        <v>8646</v>
      </c>
      <c r="AI7986" t="str">
        <f>"9320058"</f>
        <v>9320058</v>
      </c>
      <c r="AJ7986" t="s">
        <v>11893</v>
      </c>
      <c r="AK7986">
        <v>2841022496</v>
      </c>
      <c r="AL7986" t="s">
        <v>11894</v>
      </c>
      <c r="AM7986" t="s">
        <v>4513</v>
      </c>
      <c r="AN7986" t="s">
        <v>4514</v>
      </c>
      <c r="AO7986" t="s">
        <v>4514</v>
      </c>
      <c r="AP7986" t="s">
        <v>4514</v>
      </c>
      <c r="AQ7986">
        <v>1</v>
      </c>
      <c r="AR7986" t="s">
        <v>5177</v>
      </c>
      <c r="AS7986" t="s">
        <v>5178</v>
      </c>
      <c r="AT7986" t="s">
        <v>58</v>
      </c>
      <c r="AU7986" t="s">
        <v>68</v>
      </c>
      <c r="AV7986" t="s">
        <v>69</v>
      </c>
      <c r="AW7986" s="1">
        <v>27554</v>
      </c>
      <c r="AX7986">
        <v>1</v>
      </c>
    </row>
    <row r="7987" spans="1:50">
      <c r="A7987">
        <v>596815</v>
      </c>
      <c r="B7987" t="str">
        <f>"062676773"</f>
        <v>062676773</v>
      </c>
      <c r="C7987" t="s">
        <v>50</v>
      </c>
      <c r="D7987" t="s">
        <v>12427</v>
      </c>
      <c r="E7987" t="s">
        <v>340</v>
      </c>
      <c r="F7987" t="s">
        <v>99</v>
      </c>
      <c r="G7987" t="s">
        <v>83</v>
      </c>
      <c r="H7987" t="str">
        <f>"ΜΑΧΗΣ ΚΡΗΤΗΣ ΝΕΑΠΟΛΗ"</f>
        <v>ΜΑΧΗΣ ΚΡΗΤΗΣ ΝΕΑΠΟΛΗ</v>
      </c>
      <c r="I7987">
        <v>72400</v>
      </c>
      <c r="J7987">
        <v>2841032177</v>
      </c>
      <c r="N7987" t="s">
        <v>1525</v>
      </c>
      <c r="O7987" t="s">
        <v>1526</v>
      </c>
      <c r="R7987" t="s">
        <v>57</v>
      </c>
      <c r="S7987">
        <v>8</v>
      </c>
      <c r="T7987">
        <v>195</v>
      </c>
      <c r="U7987" s="1">
        <v>37497</v>
      </c>
      <c r="V7987" t="s">
        <v>5177</v>
      </c>
      <c r="W7987" t="s">
        <v>5178</v>
      </c>
      <c r="X7987" t="s">
        <v>58</v>
      </c>
      <c r="Y7987">
        <v>25</v>
      </c>
      <c r="Z7987" t="s">
        <v>59</v>
      </c>
      <c r="AA7987" t="s">
        <v>59</v>
      </c>
      <c r="AB7987" t="s">
        <v>59</v>
      </c>
      <c r="AC7987" t="s">
        <v>59</v>
      </c>
      <c r="AD7987" t="s">
        <v>59</v>
      </c>
      <c r="AF7987" s="1">
        <v>37501</v>
      </c>
      <c r="AG7987" t="s">
        <v>8651</v>
      </c>
      <c r="AH7987" t="s">
        <v>8652</v>
      </c>
      <c r="AI7987" t="str">
        <f>"9320061"</f>
        <v>9320061</v>
      </c>
      <c r="AJ7987" t="s">
        <v>12428</v>
      </c>
      <c r="AK7987">
        <v>2841032482</v>
      </c>
      <c r="AL7987" t="s">
        <v>12429</v>
      </c>
      <c r="AM7987" t="s">
        <v>4513</v>
      </c>
      <c r="AN7987" t="s">
        <v>4514</v>
      </c>
      <c r="AO7987" t="s">
        <v>4524</v>
      </c>
      <c r="AP7987" t="s">
        <v>4525</v>
      </c>
      <c r="AQ7987">
        <v>1</v>
      </c>
      <c r="AR7987" t="s">
        <v>5177</v>
      </c>
      <c r="AS7987" t="s">
        <v>5178</v>
      </c>
      <c r="AT7987" t="s">
        <v>58</v>
      </c>
      <c r="AU7987" t="s">
        <v>68</v>
      </c>
      <c r="AV7987" t="s">
        <v>69</v>
      </c>
      <c r="AW7987" s="1">
        <v>26519</v>
      </c>
      <c r="AX7987">
        <v>1</v>
      </c>
    </row>
    <row r="7988" spans="1:50">
      <c r="B7988" t="str">
        <f>"111627653"</f>
        <v>111627653</v>
      </c>
      <c r="C7988" t="s">
        <v>105</v>
      </c>
      <c r="D7988" t="s">
        <v>12430</v>
      </c>
      <c r="E7988" t="s">
        <v>309</v>
      </c>
      <c r="F7988" t="s">
        <v>153</v>
      </c>
      <c r="G7988" t="s">
        <v>352</v>
      </c>
      <c r="H7988" t="str">
        <f>"ΠΑΛΑΙΟΛΟΓΟΥ 16 "</f>
        <v xml:space="preserve">ΠΑΛΑΙΟΛΟΓΟΥ 16 </v>
      </c>
      <c r="I7988">
        <v>43100</v>
      </c>
      <c r="J7988">
        <v>2441073429</v>
      </c>
      <c r="K7988">
        <v>6977863327</v>
      </c>
      <c r="N7988" t="s">
        <v>615</v>
      </c>
      <c r="O7988" t="s">
        <v>616</v>
      </c>
      <c r="R7988" t="s">
        <v>159</v>
      </c>
      <c r="S7988">
        <v>4</v>
      </c>
      <c r="T7988" t="s">
        <v>8675</v>
      </c>
      <c r="U7988" s="1">
        <v>43348</v>
      </c>
      <c r="V7988" t="s">
        <v>5177</v>
      </c>
      <c r="W7988" t="s">
        <v>5178</v>
      </c>
      <c r="X7988" t="s">
        <v>58</v>
      </c>
      <c r="Y7988">
        <v>24</v>
      </c>
      <c r="Z7988" t="s">
        <v>59</v>
      </c>
      <c r="AA7988" t="s">
        <v>59</v>
      </c>
      <c r="AB7988" t="s">
        <v>59</v>
      </c>
      <c r="AC7988" t="s">
        <v>59</v>
      </c>
      <c r="AD7988" t="s">
        <v>59</v>
      </c>
      <c r="AF7988" s="1">
        <v>43348</v>
      </c>
      <c r="AG7988" t="s">
        <v>8645</v>
      </c>
      <c r="AH7988" t="s">
        <v>8646</v>
      </c>
      <c r="AI7988" t="str">
        <f>"9320009"</f>
        <v>9320009</v>
      </c>
      <c r="AJ7988" t="s">
        <v>11959</v>
      </c>
      <c r="AK7988">
        <v>2842061261</v>
      </c>
      <c r="AL7988" t="s">
        <v>11960</v>
      </c>
      <c r="AM7988" t="s">
        <v>4513</v>
      </c>
      <c r="AN7988" t="s">
        <v>4519</v>
      </c>
      <c r="AO7988" t="s">
        <v>4519</v>
      </c>
      <c r="AP7988" t="s">
        <v>11961</v>
      </c>
      <c r="AQ7988">
        <v>6</v>
      </c>
      <c r="AR7988" t="s">
        <v>5177</v>
      </c>
      <c r="AS7988" t="s">
        <v>5178</v>
      </c>
      <c r="AT7988" t="s">
        <v>58</v>
      </c>
      <c r="AU7988" t="s">
        <v>8673</v>
      </c>
      <c r="AV7988" t="s">
        <v>132</v>
      </c>
      <c r="AW7988" s="1">
        <v>31837</v>
      </c>
      <c r="AX7988">
        <v>1</v>
      </c>
    </row>
    <row r="7989" spans="1:50">
      <c r="B7989" t="str">
        <f>"147109731"</f>
        <v>147109731</v>
      </c>
      <c r="C7989" t="s">
        <v>105</v>
      </c>
      <c r="D7989" t="s">
        <v>12431</v>
      </c>
      <c r="E7989" t="s">
        <v>450</v>
      </c>
      <c r="F7989" t="s">
        <v>53</v>
      </c>
      <c r="G7989" t="s">
        <v>12432</v>
      </c>
      <c r="H7989" t="str">
        <f>"ΕΘΝ. ΜΑΚΑΡΙΟΥ 24 "</f>
        <v xml:space="preserve">ΕΘΝ. ΜΑΚΑΡΙΟΥ 24 </v>
      </c>
      <c r="I7989">
        <v>15125</v>
      </c>
      <c r="J7989">
        <v>2106108346</v>
      </c>
      <c r="K7989">
        <v>6942818846</v>
      </c>
      <c r="N7989" t="s">
        <v>615</v>
      </c>
      <c r="O7989" t="s">
        <v>616</v>
      </c>
      <c r="R7989" t="s">
        <v>159</v>
      </c>
      <c r="S7989">
        <v>4</v>
      </c>
      <c r="T7989" t="s">
        <v>8675</v>
      </c>
      <c r="U7989" s="1">
        <v>43348</v>
      </c>
      <c r="V7989" t="s">
        <v>5177</v>
      </c>
      <c r="W7989" t="s">
        <v>5178</v>
      </c>
      <c r="X7989" t="s">
        <v>58</v>
      </c>
      <c r="Y7989">
        <v>24</v>
      </c>
      <c r="Z7989" t="s">
        <v>59</v>
      </c>
      <c r="AA7989" t="s">
        <v>59</v>
      </c>
      <c r="AB7989" t="s">
        <v>59</v>
      </c>
      <c r="AC7989" t="s">
        <v>59</v>
      </c>
      <c r="AD7989" t="s">
        <v>59</v>
      </c>
      <c r="AF7989" s="1">
        <v>43348</v>
      </c>
      <c r="AG7989" t="s">
        <v>8645</v>
      </c>
      <c r="AH7989" t="s">
        <v>8646</v>
      </c>
      <c r="AI7989" t="str">
        <f>"9320009"</f>
        <v>9320009</v>
      </c>
      <c r="AJ7989" t="s">
        <v>11959</v>
      </c>
      <c r="AK7989">
        <v>2842061261</v>
      </c>
      <c r="AL7989" t="s">
        <v>11960</v>
      </c>
      <c r="AM7989" t="s">
        <v>4513</v>
      </c>
      <c r="AN7989" t="s">
        <v>4519</v>
      </c>
      <c r="AO7989" t="s">
        <v>4519</v>
      </c>
      <c r="AP7989" t="s">
        <v>11961</v>
      </c>
      <c r="AQ7989">
        <v>6</v>
      </c>
      <c r="AR7989" t="s">
        <v>5177</v>
      </c>
      <c r="AS7989" t="s">
        <v>5178</v>
      </c>
      <c r="AT7989" t="s">
        <v>58</v>
      </c>
      <c r="AU7989" t="s">
        <v>8673</v>
      </c>
      <c r="AV7989" t="s">
        <v>132</v>
      </c>
      <c r="AW7989" s="1">
        <v>31955</v>
      </c>
      <c r="AX7989">
        <v>1</v>
      </c>
    </row>
    <row r="7990" spans="1:50">
      <c r="A7990">
        <v>579928</v>
      </c>
      <c r="B7990" t="str">
        <f>"301952621"</f>
        <v>301952621</v>
      </c>
      <c r="C7990" t="s">
        <v>50</v>
      </c>
      <c r="D7990" t="s">
        <v>3014</v>
      </c>
      <c r="E7990" t="s">
        <v>181</v>
      </c>
      <c r="F7990" t="s">
        <v>95</v>
      </c>
      <c r="G7990" t="s">
        <v>6364</v>
      </c>
      <c r="H7990" t="str">
        <f>"ΧΟΡΤΑΤΣΩΝ 26 ΑΓΙΟΣ ΝΙΚΟΛΑΟΣ"</f>
        <v>ΧΟΡΤΑΤΣΩΝ 26 ΑΓΙΟΣ ΝΙΚΟΛΑΟΣ</v>
      </c>
      <c r="I7990">
        <v>72100</v>
      </c>
      <c r="J7990">
        <v>2841025767</v>
      </c>
      <c r="K7990">
        <v>6974904235</v>
      </c>
      <c r="N7990" t="s">
        <v>1525</v>
      </c>
      <c r="O7990" t="s">
        <v>1526</v>
      </c>
      <c r="R7990" t="s">
        <v>57</v>
      </c>
      <c r="S7990">
        <v>13</v>
      </c>
      <c r="T7990">
        <v>165</v>
      </c>
      <c r="U7990" s="1">
        <v>35300</v>
      </c>
      <c r="V7990" t="s">
        <v>5177</v>
      </c>
      <c r="W7990" t="s">
        <v>5178</v>
      </c>
      <c r="X7990" t="s">
        <v>58</v>
      </c>
      <c r="Y7990">
        <v>25</v>
      </c>
      <c r="Z7990" t="s">
        <v>59</v>
      </c>
      <c r="AA7990" t="s">
        <v>59</v>
      </c>
      <c r="AB7990" t="s">
        <v>59</v>
      </c>
      <c r="AC7990" t="s">
        <v>59</v>
      </c>
      <c r="AD7990" t="s">
        <v>59</v>
      </c>
      <c r="AF7990" s="1">
        <v>35310</v>
      </c>
      <c r="AG7990" t="s">
        <v>8651</v>
      </c>
      <c r="AH7990" t="s">
        <v>8652</v>
      </c>
      <c r="AI7990" t="str">
        <f>"9320139"</f>
        <v>9320139</v>
      </c>
      <c r="AJ7990" t="s">
        <v>12196</v>
      </c>
      <c r="AK7990">
        <v>2841024219</v>
      </c>
      <c r="AL7990" t="s">
        <v>12197</v>
      </c>
      <c r="AM7990" t="s">
        <v>4513</v>
      </c>
      <c r="AN7990" t="s">
        <v>4514</v>
      </c>
      <c r="AO7990" t="s">
        <v>4514</v>
      </c>
      <c r="AP7990" t="s">
        <v>4514</v>
      </c>
      <c r="AQ7990">
        <v>1</v>
      </c>
      <c r="AR7990" t="s">
        <v>5177</v>
      </c>
      <c r="AS7990" t="s">
        <v>5178</v>
      </c>
      <c r="AT7990" t="s">
        <v>58</v>
      </c>
      <c r="AU7990" t="s">
        <v>68</v>
      </c>
      <c r="AV7990" t="s">
        <v>69</v>
      </c>
      <c r="AW7990" s="1">
        <v>24004</v>
      </c>
      <c r="AX7990">
        <v>1</v>
      </c>
    </row>
    <row r="7991" spans="1:50">
      <c r="B7991" t="str">
        <f>"125637172"</f>
        <v>125637172</v>
      </c>
      <c r="C7991" t="s">
        <v>105</v>
      </c>
      <c r="D7991" t="s">
        <v>12433</v>
      </c>
      <c r="E7991" t="s">
        <v>12434</v>
      </c>
      <c r="F7991" t="s">
        <v>1376</v>
      </c>
      <c r="G7991" t="s">
        <v>255</v>
      </c>
      <c r="H7991" t="str">
        <f>"ΧΡΥΣΟΣΤΟΜΟΥ ΣΜΥΡΝΗΣ 41 "</f>
        <v xml:space="preserve">ΧΡΥΣΟΣΤΟΜΟΥ ΣΜΥΡΝΗΣ 41 </v>
      </c>
      <c r="I7991">
        <v>68100</v>
      </c>
      <c r="J7991">
        <v>2551020118</v>
      </c>
      <c r="K7991">
        <v>6936734084</v>
      </c>
      <c r="N7991" t="s">
        <v>615</v>
      </c>
      <c r="O7991" t="s">
        <v>616</v>
      </c>
      <c r="R7991" t="s">
        <v>159</v>
      </c>
      <c r="S7991">
        <v>3</v>
      </c>
      <c r="T7991" t="s">
        <v>8675</v>
      </c>
      <c r="U7991" s="1">
        <v>43348</v>
      </c>
      <c r="V7991" t="s">
        <v>5177</v>
      </c>
      <c r="W7991" t="s">
        <v>5178</v>
      </c>
      <c r="X7991" t="s">
        <v>58</v>
      </c>
      <c r="Y7991">
        <v>24</v>
      </c>
      <c r="Z7991" t="s">
        <v>59</v>
      </c>
      <c r="AA7991" t="s">
        <v>59</v>
      </c>
      <c r="AB7991" t="s">
        <v>59</v>
      </c>
      <c r="AC7991" t="s">
        <v>59</v>
      </c>
      <c r="AD7991" t="s">
        <v>59</v>
      </c>
      <c r="AF7991" s="1">
        <v>43348</v>
      </c>
      <c r="AG7991" t="s">
        <v>8645</v>
      </c>
      <c r="AH7991" t="s">
        <v>8646</v>
      </c>
      <c r="AI7991" t="str">
        <f>"9320060"</f>
        <v>9320060</v>
      </c>
      <c r="AJ7991" t="s">
        <v>12246</v>
      </c>
      <c r="AK7991">
        <v>2841032319</v>
      </c>
      <c r="AL7991" t="s">
        <v>12247</v>
      </c>
      <c r="AM7991" t="s">
        <v>4513</v>
      </c>
      <c r="AN7991" t="s">
        <v>4514</v>
      </c>
      <c r="AO7991" t="s">
        <v>4524</v>
      </c>
      <c r="AP7991" t="s">
        <v>4525</v>
      </c>
      <c r="AQ7991">
        <v>1</v>
      </c>
      <c r="AR7991" t="s">
        <v>5177</v>
      </c>
      <c r="AS7991" t="s">
        <v>5178</v>
      </c>
      <c r="AT7991" t="s">
        <v>58</v>
      </c>
      <c r="AU7991" t="s">
        <v>8673</v>
      </c>
      <c r="AV7991" t="s">
        <v>132</v>
      </c>
      <c r="AW7991" s="1">
        <v>32043</v>
      </c>
      <c r="AX7991">
        <v>1</v>
      </c>
    </row>
    <row r="7992" spans="1:50">
      <c r="B7992" t="str">
        <f>"125287978"</f>
        <v>125287978</v>
      </c>
      <c r="C7992" t="s">
        <v>105</v>
      </c>
      <c r="D7992" t="s">
        <v>3055</v>
      </c>
      <c r="E7992" t="s">
        <v>1679</v>
      </c>
      <c r="F7992" t="s">
        <v>53</v>
      </c>
      <c r="G7992" t="s">
        <v>316</v>
      </c>
      <c r="H7992" t="str">
        <f>"ΓΕΩΡΓΙΟΥ ΓΕΝΝΗΜΑΤΑ 45 ΣΗΤΕΙΑ"</f>
        <v>ΓΕΩΡΓΙΟΥ ΓΕΝΝΗΜΑΤΑ 45 ΣΗΤΕΙΑ</v>
      </c>
      <c r="I7992">
        <v>72300</v>
      </c>
      <c r="J7992">
        <v>2843023512</v>
      </c>
      <c r="K7992">
        <v>6972881512</v>
      </c>
      <c r="M7992" t="s">
        <v>12435</v>
      </c>
      <c r="N7992" t="s">
        <v>615</v>
      </c>
      <c r="O7992" t="s">
        <v>616</v>
      </c>
      <c r="R7992" t="s">
        <v>159</v>
      </c>
      <c r="S7992">
        <v>3</v>
      </c>
      <c r="T7992" t="s">
        <v>8675</v>
      </c>
      <c r="U7992" s="1">
        <v>43348</v>
      </c>
      <c r="V7992" t="s">
        <v>5177</v>
      </c>
      <c r="W7992" t="s">
        <v>5178</v>
      </c>
      <c r="X7992" t="s">
        <v>58</v>
      </c>
      <c r="Y7992">
        <v>25</v>
      </c>
      <c r="Z7992" t="s">
        <v>59</v>
      </c>
      <c r="AA7992" t="s">
        <v>59</v>
      </c>
      <c r="AB7992" t="s">
        <v>59</v>
      </c>
      <c r="AC7992" t="s">
        <v>59</v>
      </c>
      <c r="AD7992" t="s">
        <v>59</v>
      </c>
      <c r="AF7992" s="1">
        <v>43348</v>
      </c>
      <c r="AG7992" t="s">
        <v>8645</v>
      </c>
      <c r="AH7992" t="s">
        <v>8676</v>
      </c>
      <c r="AI7992" t="str">
        <f>"9320126"</f>
        <v>9320126</v>
      </c>
      <c r="AJ7992" t="s">
        <v>12313</v>
      </c>
      <c r="AK7992">
        <v>2843071360</v>
      </c>
      <c r="AL7992" t="s">
        <v>12314</v>
      </c>
      <c r="AM7992" t="s">
        <v>4513</v>
      </c>
      <c r="AN7992" t="s">
        <v>4540</v>
      </c>
      <c r="AO7992" t="s">
        <v>4540</v>
      </c>
      <c r="AP7992" t="s">
        <v>12315</v>
      </c>
      <c r="AQ7992">
        <v>10</v>
      </c>
      <c r="AR7992" t="s">
        <v>5177</v>
      </c>
      <c r="AS7992" t="s">
        <v>5178</v>
      </c>
      <c r="AT7992" t="s">
        <v>58</v>
      </c>
      <c r="AU7992" t="s">
        <v>8673</v>
      </c>
      <c r="AV7992" t="s">
        <v>132</v>
      </c>
      <c r="AW7992" s="1">
        <v>31205</v>
      </c>
      <c r="AX7992">
        <v>1</v>
      </c>
    </row>
    <row r="7993" spans="1:50">
      <c r="B7993" t="str">
        <f>"151859016"</f>
        <v>151859016</v>
      </c>
      <c r="C7993" t="s">
        <v>50</v>
      </c>
      <c r="D7993" t="s">
        <v>3060</v>
      </c>
      <c r="E7993" t="s">
        <v>52</v>
      </c>
      <c r="F7993" t="s">
        <v>95</v>
      </c>
      <c r="G7993" t="s">
        <v>4717</v>
      </c>
      <c r="H7993" t="str">
        <f>"ΜΕΓΑΛΟΧΩΡΙ "</f>
        <v xml:space="preserve">ΜΕΓΑΛΟΧΩΡΙ </v>
      </c>
      <c r="I7993">
        <v>42100</v>
      </c>
      <c r="J7993">
        <v>2431056010</v>
      </c>
      <c r="K7993">
        <v>6973651258</v>
      </c>
      <c r="N7993" t="s">
        <v>615</v>
      </c>
      <c r="O7993" t="s">
        <v>616</v>
      </c>
      <c r="R7993" t="s">
        <v>159</v>
      </c>
      <c r="S7993">
        <v>4</v>
      </c>
      <c r="T7993" t="s">
        <v>8675</v>
      </c>
      <c r="U7993" s="1">
        <v>43348</v>
      </c>
      <c r="V7993" t="s">
        <v>5177</v>
      </c>
      <c r="W7993" t="s">
        <v>5178</v>
      </c>
      <c r="X7993" t="s">
        <v>58</v>
      </c>
      <c r="Y7993">
        <v>24</v>
      </c>
      <c r="Z7993" t="s">
        <v>59</v>
      </c>
      <c r="AA7993" t="s">
        <v>59</v>
      </c>
      <c r="AB7993" t="s">
        <v>59</v>
      </c>
      <c r="AC7993" t="s">
        <v>59</v>
      </c>
      <c r="AD7993" t="s">
        <v>59</v>
      </c>
      <c r="AF7993" s="1">
        <v>43348</v>
      </c>
      <c r="AG7993" t="s">
        <v>8645</v>
      </c>
      <c r="AH7993" t="s">
        <v>8646</v>
      </c>
      <c r="AI7993" t="str">
        <f>"9320009"</f>
        <v>9320009</v>
      </c>
      <c r="AJ7993" t="s">
        <v>11959</v>
      </c>
      <c r="AK7993">
        <v>2842061261</v>
      </c>
      <c r="AL7993" t="s">
        <v>11960</v>
      </c>
      <c r="AM7993" t="s">
        <v>4513</v>
      </c>
      <c r="AN7993" t="s">
        <v>4519</v>
      </c>
      <c r="AO7993" t="s">
        <v>4519</v>
      </c>
      <c r="AP7993" t="s">
        <v>11961</v>
      </c>
      <c r="AQ7993">
        <v>6</v>
      </c>
      <c r="AR7993" t="s">
        <v>5177</v>
      </c>
      <c r="AS7993" t="s">
        <v>5178</v>
      </c>
      <c r="AT7993" t="s">
        <v>58</v>
      </c>
      <c r="AU7993" t="s">
        <v>8673</v>
      </c>
      <c r="AV7993" t="s">
        <v>132</v>
      </c>
      <c r="AW7993" s="1">
        <v>31664</v>
      </c>
      <c r="AX7993">
        <v>1</v>
      </c>
    </row>
    <row r="7994" spans="1:50">
      <c r="B7994" t="str">
        <f>"145483680"</f>
        <v>145483680</v>
      </c>
      <c r="C7994" t="s">
        <v>50</v>
      </c>
      <c r="D7994" t="s">
        <v>12436</v>
      </c>
      <c r="E7994" t="s">
        <v>316</v>
      </c>
      <c r="F7994" t="s">
        <v>1493</v>
      </c>
      <c r="G7994" t="s">
        <v>620</v>
      </c>
      <c r="H7994" t="str">
        <f>" "</f>
        <v xml:space="preserve"> </v>
      </c>
      <c r="N7994" t="s">
        <v>8694</v>
      </c>
      <c r="O7994" t="s">
        <v>8695</v>
      </c>
      <c r="R7994" t="s">
        <v>159</v>
      </c>
      <c r="S7994">
        <v>1</v>
      </c>
      <c r="T7994" t="s">
        <v>8835</v>
      </c>
      <c r="U7994" s="1">
        <v>43348</v>
      </c>
      <c r="V7994" t="s">
        <v>5177</v>
      </c>
      <c r="W7994" t="s">
        <v>5178</v>
      </c>
      <c r="X7994" t="s">
        <v>58</v>
      </c>
      <c r="Y7994">
        <v>24</v>
      </c>
      <c r="Z7994" t="s">
        <v>59</v>
      </c>
      <c r="AA7994" t="s">
        <v>59</v>
      </c>
      <c r="AB7994" t="s">
        <v>59</v>
      </c>
      <c r="AC7994" t="s">
        <v>59</v>
      </c>
      <c r="AD7994" t="s">
        <v>59</v>
      </c>
      <c r="AF7994" s="1">
        <v>43348</v>
      </c>
      <c r="AG7994" t="s">
        <v>8645</v>
      </c>
      <c r="AH7994" t="s">
        <v>8646</v>
      </c>
      <c r="AI7994" t="str">
        <f>"9320042"</f>
        <v>9320042</v>
      </c>
      <c r="AJ7994" t="s">
        <v>11942</v>
      </c>
      <c r="AK7994">
        <v>2844031250</v>
      </c>
      <c r="AL7994" t="s">
        <v>11943</v>
      </c>
      <c r="AM7994" t="s">
        <v>4513</v>
      </c>
      <c r="AN7994" t="s">
        <v>4592</v>
      </c>
      <c r="AO7994" t="s">
        <v>4592</v>
      </c>
      <c r="AP7994" t="s">
        <v>11944</v>
      </c>
      <c r="AQ7994">
        <v>3</v>
      </c>
      <c r="AR7994" t="s">
        <v>5177</v>
      </c>
      <c r="AS7994" t="s">
        <v>5178</v>
      </c>
      <c r="AT7994" t="s">
        <v>58</v>
      </c>
      <c r="AU7994" t="s">
        <v>131</v>
      </c>
      <c r="AV7994" t="s">
        <v>132</v>
      </c>
      <c r="AW7994" s="1">
        <v>33801</v>
      </c>
      <c r="AX7994">
        <v>1</v>
      </c>
    </row>
    <row r="7995" spans="1:50">
      <c r="A7995">
        <v>601092</v>
      </c>
      <c r="B7995" t="str">
        <f>"074890260"</f>
        <v>074890260</v>
      </c>
      <c r="C7995" t="s">
        <v>50</v>
      </c>
      <c r="D7995" t="s">
        <v>3077</v>
      </c>
      <c r="E7995" t="s">
        <v>237</v>
      </c>
      <c r="F7995" t="s">
        <v>95</v>
      </c>
      <c r="G7995" t="s">
        <v>52</v>
      </c>
      <c r="H7995" t="str">
        <f>"ΘΕΡΙΣΣΟΥ 17 ΑΓΙΟΣ ΝΙΚΟΛΑΟΣ"</f>
        <v>ΘΕΡΙΣΣΟΥ 17 ΑΓΙΟΣ ΝΙΚΟΛΑΟΣ</v>
      </c>
      <c r="I7995">
        <v>72100</v>
      </c>
      <c r="J7995">
        <v>2841082874</v>
      </c>
      <c r="K7995">
        <v>6977068787</v>
      </c>
      <c r="N7995" t="s">
        <v>615</v>
      </c>
      <c r="O7995" t="s">
        <v>616</v>
      </c>
      <c r="R7995" t="s">
        <v>57</v>
      </c>
      <c r="S7995">
        <v>8</v>
      </c>
      <c r="T7995">
        <v>207</v>
      </c>
      <c r="U7995" s="1">
        <v>37866</v>
      </c>
      <c r="V7995" t="s">
        <v>5177</v>
      </c>
      <c r="W7995" t="s">
        <v>5178</v>
      </c>
      <c r="X7995" t="s">
        <v>58</v>
      </c>
      <c r="Y7995">
        <v>22</v>
      </c>
      <c r="Z7995" t="s">
        <v>59</v>
      </c>
      <c r="AA7995" t="s">
        <v>59</v>
      </c>
      <c r="AB7995" t="s">
        <v>59</v>
      </c>
      <c r="AC7995" t="s">
        <v>59</v>
      </c>
      <c r="AD7995" t="s">
        <v>59</v>
      </c>
      <c r="AF7995" s="1">
        <v>37866</v>
      </c>
      <c r="AG7995" t="s">
        <v>8645</v>
      </c>
      <c r="AH7995" t="s">
        <v>8646</v>
      </c>
      <c r="AI7995" t="str">
        <f>"9320055"</f>
        <v>9320055</v>
      </c>
      <c r="AJ7995" t="s">
        <v>11937</v>
      </c>
      <c r="AK7995">
        <v>2841022326</v>
      </c>
      <c r="AL7995" t="s">
        <v>11938</v>
      </c>
      <c r="AM7995" t="s">
        <v>4513</v>
      </c>
      <c r="AN7995" t="s">
        <v>4514</v>
      </c>
      <c r="AO7995" t="s">
        <v>4514</v>
      </c>
      <c r="AP7995" t="s">
        <v>4514</v>
      </c>
      <c r="AQ7995">
        <v>1</v>
      </c>
      <c r="AR7995" t="s">
        <v>5177</v>
      </c>
      <c r="AS7995" t="s">
        <v>5178</v>
      </c>
      <c r="AT7995" t="s">
        <v>58</v>
      </c>
      <c r="AU7995" t="s">
        <v>68</v>
      </c>
      <c r="AV7995" t="s">
        <v>69</v>
      </c>
      <c r="AW7995" s="1">
        <v>25300</v>
      </c>
      <c r="AX7995">
        <v>1</v>
      </c>
    </row>
    <row r="7996" spans="1:50">
      <c r="A7996">
        <v>574304</v>
      </c>
      <c r="B7996" t="str">
        <f>"045580476"</f>
        <v>045580476</v>
      </c>
      <c r="C7996" t="s">
        <v>50</v>
      </c>
      <c r="D7996" t="s">
        <v>3077</v>
      </c>
      <c r="E7996" t="s">
        <v>263</v>
      </c>
      <c r="F7996" t="s">
        <v>99</v>
      </c>
      <c r="G7996" t="s">
        <v>73</v>
      </c>
      <c r="H7996" t="str">
        <f>"ΡΟΥΣΑ ΛΙΜΝΗ ΑΓΙΟΣ ΝΙΚΟΛΑΟΣ"</f>
        <v>ΡΟΥΣΑ ΛΙΜΝΗ ΑΓΙΟΣ ΝΙΚΟΛΑΟΣ</v>
      </c>
      <c r="I7996">
        <v>72100</v>
      </c>
      <c r="J7996">
        <v>2841022206</v>
      </c>
      <c r="K7996">
        <v>6979947584</v>
      </c>
      <c r="N7996" t="s">
        <v>615</v>
      </c>
      <c r="O7996" t="s">
        <v>616</v>
      </c>
      <c r="R7996" t="s">
        <v>57</v>
      </c>
      <c r="S7996">
        <v>11</v>
      </c>
      <c r="T7996">
        <v>160</v>
      </c>
      <c r="U7996" s="1">
        <v>34582</v>
      </c>
      <c r="V7996" t="s">
        <v>5177</v>
      </c>
      <c r="W7996" t="s">
        <v>5178</v>
      </c>
      <c r="X7996" t="s">
        <v>58</v>
      </c>
      <c r="Y7996">
        <v>21</v>
      </c>
      <c r="Z7996" t="s">
        <v>59</v>
      </c>
      <c r="AA7996" t="s">
        <v>59</v>
      </c>
      <c r="AB7996" t="s">
        <v>59</v>
      </c>
      <c r="AC7996" t="s">
        <v>59</v>
      </c>
      <c r="AD7996" t="s">
        <v>59</v>
      </c>
      <c r="AF7996" s="1">
        <v>34582</v>
      </c>
      <c r="AG7996" t="s">
        <v>8645</v>
      </c>
      <c r="AH7996" t="s">
        <v>8646</v>
      </c>
      <c r="AI7996" t="str">
        <f>"9320079"</f>
        <v>9320079</v>
      </c>
      <c r="AJ7996" t="s">
        <v>11952</v>
      </c>
      <c r="AK7996">
        <v>2841051211</v>
      </c>
      <c r="AL7996" t="s">
        <v>11953</v>
      </c>
      <c r="AM7996" t="s">
        <v>4513</v>
      </c>
      <c r="AN7996" t="s">
        <v>4514</v>
      </c>
      <c r="AO7996" t="s">
        <v>4514</v>
      </c>
      <c r="AP7996" t="s">
        <v>4757</v>
      </c>
      <c r="AQ7996">
        <v>2</v>
      </c>
      <c r="AR7996" t="s">
        <v>5177</v>
      </c>
      <c r="AS7996" t="s">
        <v>5178</v>
      </c>
      <c r="AT7996" t="s">
        <v>58</v>
      </c>
      <c r="AU7996" t="s">
        <v>68</v>
      </c>
      <c r="AV7996" t="s">
        <v>69</v>
      </c>
      <c r="AW7996" s="1">
        <v>24439</v>
      </c>
      <c r="AX7996">
        <v>1</v>
      </c>
    </row>
    <row r="7997" spans="1:50">
      <c r="A7997">
        <v>596793</v>
      </c>
      <c r="B7997" t="str">
        <f>"032210765"</f>
        <v>032210765</v>
      </c>
      <c r="C7997" t="s">
        <v>50</v>
      </c>
      <c r="D7997" t="s">
        <v>3077</v>
      </c>
      <c r="E7997" t="s">
        <v>143</v>
      </c>
      <c r="F7997" t="s">
        <v>72</v>
      </c>
      <c r="G7997" t="s">
        <v>52</v>
      </c>
      <c r="H7997" t="str">
        <f>"ΠΑΛΑΙΚΑΣΤΡΟ ΣΗΤΕΙΑΣ"</f>
        <v>ΠΑΛΑΙΚΑΣΤΡΟ ΣΗΤΕΙΑΣ</v>
      </c>
      <c r="I7997">
        <v>72300</v>
      </c>
      <c r="J7997">
        <v>2843061064</v>
      </c>
      <c r="K7997">
        <v>6976703183</v>
      </c>
      <c r="N7997" t="s">
        <v>1525</v>
      </c>
      <c r="O7997" t="s">
        <v>1526</v>
      </c>
      <c r="R7997" t="s">
        <v>57</v>
      </c>
      <c r="S7997">
        <v>9</v>
      </c>
      <c r="T7997">
        <v>195</v>
      </c>
      <c r="U7997" s="1">
        <v>37497</v>
      </c>
      <c r="V7997" t="s">
        <v>5177</v>
      </c>
      <c r="W7997" t="s">
        <v>5178</v>
      </c>
      <c r="X7997" t="s">
        <v>58</v>
      </c>
      <c r="Y7997">
        <v>25</v>
      </c>
      <c r="Z7997" t="s">
        <v>59</v>
      </c>
      <c r="AA7997" t="s">
        <v>59</v>
      </c>
      <c r="AB7997" t="s">
        <v>59</v>
      </c>
      <c r="AC7997" t="s">
        <v>59</v>
      </c>
      <c r="AD7997" t="s">
        <v>59</v>
      </c>
      <c r="AF7997" s="1">
        <v>37501</v>
      </c>
      <c r="AG7997" t="s">
        <v>8651</v>
      </c>
      <c r="AH7997" t="s">
        <v>8652</v>
      </c>
      <c r="AI7997" t="str">
        <f>"9320116"</f>
        <v>9320116</v>
      </c>
      <c r="AJ7997" t="s">
        <v>12437</v>
      </c>
      <c r="AK7997">
        <v>2843061439</v>
      </c>
      <c r="AL7997" t="s">
        <v>12438</v>
      </c>
      <c r="AM7997" t="s">
        <v>4513</v>
      </c>
      <c r="AN7997" t="s">
        <v>4540</v>
      </c>
      <c r="AO7997" t="s">
        <v>4700</v>
      </c>
      <c r="AP7997" t="s">
        <v>4701</v>
      </c>
      <c r="AQ7997">
        <v>9</v>
      </c>
      <c r="AR7997" t="s">
        <v>5177</v>
      </c>
      <c r="AS7997" t="s">
        <v>5178</v>
      </c>
      <c r="AT7997" t="s">
        <v>58</v>
      </c>
      <c r="AU7997" t="s">
        <v>68</v>
      </c>
      <c r="AV7997" t="s">
        <v>69</v>
      </c>
      <c r="AW7997" s="1">
        <v>26549</v>
      </c>
      <c r="AX7997">
        <v>1</v>
      </c>
    </row>
    <row r="7998" spans="1:50">
      <c r="A7998">
        <v>578171</v>
      </c>
      <c r="B7998" t="str">
        <f>"035895257"</f>
        <v>035895257</v>
      </c>
      <c r="C7998" t="s">
        <v>50</v>
      </c>
      <c r="D7998" t="s">
        <v>3077</v>
      </c>
      <c r="E7998" t="s">
        <v>52</v>
      </c>
      <c r="F7998" t="s">
        <v>99</v>
      </c>
      <c r="G7998" t="s">
        <v>191</v>
      </c>
      <c r="H7998" t="str">
        <f>"ΤΣΕΛΕΠΗ 19 ΑΓΙΟΣ ΝΙΚΟΛΑΟΣ"</f>
        <v>ΤΣΕΛΕΠΗ 19 ΑΓΙΟΣ ΝΙΚΟΛΑΟΣ</v>
      </c>
      <c r="I7998">
        <v>72100</v>
      </c>
      <c r="J7998">
        <v>2841026703</v>
      </c>
      <c r="K7998">
        <v>6940769842</v>
      </c>
      <c r="N7998" t="s">
        <v>615</v>
      </c>
      <c r="O7998" t="s">
        <v>616</v>
      </c>
      <c r="R7998" t="s">
        <v>57</v>
      </c>
      <c r="S7998">
        <v>13</v>
      </c>
      <c r="T7998">
        <v>165</v>
      </c>
      <c r="U7998" s="1">
        <v>35300</v>
      </c>
      <c r="V7998" t="s">
        <v>5177</v>
      </c>
      <c r="W7998" t="s">
        <v>5178</v>
      </c>
      <c r="X7998" t="s">
        <v>58</v>
      </c>
      <c r="Y7998">
        <v>21</v>
      </c>
      <c r="Z7998" t="s">
        <v>59</v>
      </c>
      <c r="AA7998" t="s">
        <v>59</v>
      </c>
      <c r="AB7998" t="s">
        <v>59</v>
      </c>
      <c r="AC7998" t="s">
        <v>59</v>
      </c>
      <c r="AD7998" t="s">
        <v>59</v>
      </c>
      <c r="AF7998" s="1">
        <v>35312</v>
      </c>
      <c r="AG7998" t="s">
        <v>8645</v>
      </c>
      <c r="AH7998" t="s">
        <v>8646</v>
      </c>
      <c r="AI7998" t="str">
        <f>"9320210"</f>
        <v>9320210</v>
      </c>
      <c r="AJ7998" t="s">
        <v>11890</v>
      </c>
      <c r="AK7998">
        <v>2841026705</v>
      </c>
      <c r="AL7998" t="s">
        <v>11891</v>
      </c>
      <c r="AM7998" t="s">
        <v>4513</v>
      </c>
      <c r="AN7998" t="s">
        <v>4514</v>
      </c>
      <c r="AO7998" t="s">
        <v>4514</v>
      </c>
      <c r="AP7998" t="s">
        <v>4514</v>
      </c>
      <c r="AQ7998">
        <v>1</v>
      </c>
      <c r="AR7998" t="s">
        <v>5177</v>
      </c>
      <c r="AS7998" t="s">
        <v>5178</v>
      </c>
      <c r="AT7998" t="s">
        <v>58</v>
      </c>
      <c r="AU7998" t="s">
        <v>68</v>
      </c>
      <c r="AV7998" t="s">
        <v>69</v>
      </c>
      <c r="AW7998" s="1">
        <v>24363</v>
      </c>
      <c r="AX7998">
        <v>1</v>
      </c>
    </row>
    <row r="7999" spans="1:50">
      <c r="A7999">
        <v>612119</v>
      </c>
      <c r="B7999" t="str">
        <f>"114583504"</f>
        <v>114583504</v>
      </c>
      <c r="C7999" t="s">
        <v>50</v>
      </c>
      <c r="D7999" t="s">
        <v>3077</v>
      </c>
      <c r="E7999" t="s">
        <v>372</v>
      </c>
      <c r="F7999" t="s">
        <v>383</v>
      </c>
      <c r="G7999" t="s">
        <v>4992</v>
      </c>
      <c r="H7999" t="str">
        <f>"ΑΡΓΥΡΟΠΟΥΛΩΝ 2 ΑΓΙΟΣ ΝΙΚΟΛΑΟΣ"</f>
        <v>ΑΡΓΥΡΟΠΟΥΛΩΝ 2 ΑΓΙΟΣ ΝΙΚΟΛΑΟΣ</v>
      </c>
      <c r="I7999">
        <v>72100</v>
      </c>
      <c r="J7999">
        <v>2841026142</v>
      </c>
      <c r="K7999">
        <v>6944161870</v>
      </c>
      <c r="N7999" t="s">
        <v>306</v>
      </c>
      <c r="O7999" t="s">
        <v>307</v>
      </c>
      <c r="R7999" t="s">
        <v>57</v>
      </c>
      <c r="S7999">
        <v>7</v>
      </c>
      <c r="T7999">
        <v>234</v>
      </c>
      <c r="U7999" s="1">
        <v>38960</v>
      </c>
      <c r="V7999" t="s">
        <v>5177</v>
      </c>
      <c r="W7999" t="s">
        <v>5178</v>
      </c>
      <c r="X7999" t="s">
        <v>58</v>
      </c>
      <c r="Y7999">
        <v>23</v>
      </c>
      <c r="Z7999" t="s">
        <v>59</v>
      </c>
      <c r="AA7999" t="s">
        <v>59</v>
      </c>
      <c r="AB7999" t="s">
        <v>59</v>
      </c>
      <c r="AC7999" t="s">
        <v>59</v>
      </c>
      <c r="AD7999" t="s">
        <v>59</v>
      </c>
      <c r="AF7999" s="1">
        <v>38961</v>
      </c>
      <c r="AG7999" t="s">
        <v>8645</v>
      </c>
      <c r="AH7999" t="s">
        <v>8646</v>
      </c>
      <c r="AI7999" t="str">
        <f>"9320071"</f>
        <v>9320071</v>
      </c>
      <c r="AJ7999" t="s">
        <v>12098</v>
      </c>
      <c r="AK7999">
        <v>2841041234</v>
      </c>
      <c r="AL7999" t="s">
        <v>12099</v>
      </c>
      <c r="AM7999" t="s">
        <v>4513</v>
      </c>
      <c r="AN7999" t="s">
        <v>4514</v>
      </c>
      <c r="AO7999" t="s">
        <v>4514</v>
      </c>
      <c r="AP7999" t="s">
        <v>12100</v>
      </c>
      <c r="AQ7999">
        <v>2</v>
      </c>
      <c r="AR7999" t="s">
        <v>5177</v>
      </c>
      <c r="AS7999" t="s">
        <v>5178</v>
      </c>
      <c r="AT7999" t="s">
        <v>58</v>
      </c>
      <c r="AU7999" t="s">
        <v>68</v>
      </c>
      <c r="AV7999" t="s">
        <v>69</v>
      </c>
      <c r="AW7999" s="1">
        <v>28552</v>
      </c>
      <c r="AX7999">
        <v>1</v>
      </c>
    </row>
    <row r="8000" spans="1:50">
      <c r="A8000">
        <v>595228</v>
      </c>
      <c r="B8000" t="str">
        <f>"074604105"</f>
        <v>074604105</v>
      </c>
      <c r="C8000" t="s">
        <v>50</v>
      </c>
      <c r="D8000" t="s">
        <v>3077</v>
      </c>
      <c r="E8000" t="s">
        <v>181</v>
      </c>
      <c r="F8000" t="s">
        <v>166</v>
      </c>
      <c r="G8000" t="s">
        <v>73</v>
      </c>
      <c r="H8000" t="str">
        <f>"ΛΟΥΚΑΡΕΩΣ 10 ΑΓΙΟΣ ΝΙΚΟΛΑΟΣ"</f>
        <v>ΛΟΥΚΑΡΕΩΣ 10 ΑΓΙΟΣ ΝΙΚΟΛΑΟΣ</v>
      </c>
      <c r="I8000">
        <v>72100</v>
      </c>
      <c r="J8000">
        <v>2841082592</v>
      </c>
      <c r="N8000" t="s">
        <v>615</v>
      </c>
      <c r="O8000" t="s">
        <v>616</v>
      </c>
      <c r="R8000" t="s">
        <v>57</v>
      </c>
      <c r="S8000">
        <v>11</v>
      </c>
      <c r="T8000">
        <v>218</v>
      </c>
      <c r="U8000" s="1">
        <v>37104</v>
      </c>
      <c r="V8000" t="s">
        <v>5177</v>
      </c>
      <c r="W8000" t="s">
        <v>5178</v>
      </c>
      <c r="X8000" t="s">
        <v>58</v>
      </c>
      <c r="Y8000">
        <v>22</v>
      </c>
      <c r="Z8000" t="s">
        <v>59</v>
      </c>
      <c r="AA8000" t="s">
        <v>59</v>
      </c>
      <c r="AB8000" t="s">
        <v>59</v>
      </c>
      <c r="AC8000" t="s">
        <v>59</v>
      </c>
      <c r="AD8000" t="s">
        <v>59</v>
      </c>
      <c r="AF8000" s="1">
        <v>37138</v>
      </c>
      <c r="AG8000" t="s">
        <v>8645</v>
      </c>
      <c r="AH8000" t="s">
        <v>8646</v>
      </c>
      <c r="AI8000" t="str">
        <f>"9320055"</f>
        <v>9320055</v>
      </c>
      <c r="AJ8000" t="s">
        <v>11937</v>
      </c>
      <c r="AK8000">
        <v>2841022326</v>
      </c>
      <c r="AL8000" t="s">
        <v>11938</v>
      </c>
      <c r="AM8000" t="s">
        <v>4513</v>
      </c>
      <c r="AN8000" t="s">
        <v>4514</v>
      </c>
      <c r="AO8000" t="s">
        <v>4514</v>
      </c>
      <c r="AP8000" t="s">
        <v>4514</v>
      </c>
      <c r="AQ8000">
        <v>1</v>
      </c>
      <c r="AR8000" t="s">
        <v>5177</v>
      </c>
      <c r="AS8000" t="s">
        <v>5178</v>
      </c>
      <c r="AT8000" t="s">
        <v>58</v>
      </c>
      <c r="AU8000" t="s">
        <v>68</v>
      </c>
      <c r="AV8000" t="s">
        <v>69</v>
      </c>
      <c r="AW8000" s="1">
        <v>26488</v>
      </c>
      <c r="AX8000">
        <v>1</v>
      </c>
    </row>
    <row r="8001" spans="1:50">
      <c r="A8001">
        <v>701478</v>
      </c>
      <c r="B8001" t="str">
        <f>"130255207"</f>
        <v>130255207</v>
      </c>
      <c r="C8001" t="s">
        <v>50</v>
      </c>
      <c r="D8001" t="s">
        <v>12439</v>
      </c>
      <c r="E8001" t="s">
        <v>215</v>
      </c>
      <c r="F8001" t="s">
        <v>4730</v>
      </c>
      <c r="G8001" t="s">
        <v>155</v>
      </c>
      <c r="H8001" t="str">
        <f>"ΣΣ ΡΑΨΑΝΗΣ ΛΑΡΙΣΑ"</f>
        <v>ΣΣ ΡΑΨΑΝΗΣ ΛΑΡΙΣΑ</v>
      </c>
      <c r="I8001">
        <v>40008</v>
      </c>
      <c r="J8001">
        <v>2495041474</v>
      </c>
      <c r="K8001">
        <v>6976407535</v>
      </c>
      <c r="N8001" t="s">
        <v>615</v>
      </c>
      <c r="O8001" t="s">
        <v>616</v>
      </c>
      <c r="R8001" t="s">
        <v>57</v>
      </c>
      <c r="S8001">
        <v>4</v>
      </c>
      <c r="T8001">
        <v>772</v>
      </c>
      <c r="U8001" s="1">
        <v>40413</v>
      </c>
      <c r="V8001" t="s">
        <v>5177</v>
      </c>
      <c r="W8001" t="s">
        <v>5178</v>
      </c>
      <c r="X8001" t="s">
        <v>58</v>
      </c>
      <c r="Y8001">
        <v>24</v>
      </c>
      <c r="Z8001" t="s">
        <v>59</v>
      </c>
      <c r="AA8001" t="s">
        <v>59</v>
      </c>
      <c r="AB8001" t="s">
        <v>59</v>
      </c>
      <c r="AC8001" t="s">
        <v>59</v>
      </c>
      <c r="AD8001" t="s">
        <v>59</v>
      </c>
      <c r="AF8001" s="1">
        <v>40413</v>
      </c>
      <c r="AG8001" t="s">
        <v>8645</v>
      </c>
      <c r="AH8001" t="s">
        <v>8646</v>
      </c>
      <c r="AI8001" t="str">
        <f>"9320055"</f>
        <v>9320055</v>
      </c>
      <c r="AJ8001" t="s">
        <v>11937</v>
      </c>
      <c r="AK8001">
        <v>2841022326</v>
      </c>
      <c r="AL8001" t="s">
        <v>11938</v>
      </c>
      <c r="AM8001" t="s">
        <v>4513</v>
      </c>
      <c r="AN8001" t="s">
        <v>4514</v>
      </c>
      <c r="AO8001" t="s">
        <v>4514</v>
      </c>
      <c r="AP8001" t="s">
        <v>4514</v>
      </c>
      <c r="AQ8001">
        <v>1</v>
      </c>
      <c r="AR8001" t="s">
        <v>5177</v>
      </c>
      <c r="AS8001" t="s">
        <v>5178</v>
      </c>
      <c r="AT8001" t="s">
        <v>58</v>
      </c>
      <c r="AU8001" t="s">
        <v>68</v>
      </c>
      <c r="AV8001" t="s">
        <v>69</v>
      </c>
      <c r="AW8001" s="1">
        <v>31731</v>
      </c>
      <c r="AX8001">
        <v>1</v>
      </c>
    </row>
    <row r="8002" spans="1:50">
      <c r="B8002" t="str">
        <f>"125294380"</f>
        <v>125294380</v>
      </c>
      <c r="C8002" t="s">
        <v>50</v>
      </c>
      <c r="D8002" t="s">
        <v>12440</v>
      </c>
      <c r="E8002" t="s">
        <v>52</v>
      </c>
      <c r="F8002" t="s">
        <v>315</v>
      </c>
      <c r="G8002" t="s">
        <v>181</v>
      </c>
      <c r="H8002" t="str">
        <f>"ΜΑΧΗΣ ΚΡΗΤΗΣ 23 "</f>
        <v xml:space="preserve">ΜΑΧΗΣ ΚΡΗΤΗΣ 23 </v>
      </c>
      <c r="I8002">
        <v>72300</v>
      </c>
      <c r="J8002">
        <v>2843031633</v>
      </c>
      <c r="K8002">
        <v>6973733875</v>
      </c>
      <c r="N8002" t="s">
        <v>615</v>
      </c>
      <c r="O8002" t="s">
        <v>616</v>
      </c>
      <c r="R8002" t="s">
        <v>159</v>
      </c>
      <c r="S8002">
        <v>3</v>
      </c>
      <c r="T8002" t="s">
        <v>8675</v>
      </c>
      <c r="U8002" s="1">
        <v>43348</v>
      </c>
      <c r="V8002" t="s">
        <v>5177</v>
      </c>
      <c r="W8002" t="s">
        <v>5178</v>
      </c>
      <c r="X8002" t="s">
        <v>58</v>
      </c>
      <c r="Y8002">
        <v>24</v>
      </c>
      <c r="Z8002" t="s">
        <v>59</v>
      </c>
      <c r="AA8002" t="s">
        <v>59</v>
      </c>
      <c r="AB8002" t="s">
        <v>59</v>
      </c>
      <c r="AC8002" t="s">
        <v>59</v>
      </c>
      <c r="AD8002" t="s">
        <v>59</v>
      </c>
      <c r="AF8002" s="1">
        <v>43348</v>
      </c>
      <c r="AG8002" t="s">
        <v>8645</v>
      </c>
      <c r="AH8002" t="s">
        <v>8646</v>
      </c>
      <c r="AI8002" t="str">
        <f>"9320115"</f>
        <v>9320115</v>
      </c>
      <c r="AJ8002" t="s">
        <v>11935</v>
      </c>
      <c r="AK8002">
        <v>2843061213</v>
      </c>
      <c r="AL8002" t="s">
        <v>11936</v>
      </c>
      <c r="AM8002" t="s">
        <v>4513</v>
      </c>
      <c r="AN8002" t="s">
        <v>4540</v>
      </c>
      <c r="AO8002" t="s">
        <v>4700</v>
      </c>
      <c r="AP8002" t="s">
        <v>4701</v>
      </c>
      <c r="AQ8002">
        <v>9</v>
      </c>
      <c r="AR8002" t="s">
        <v>5177</v>
      </c>
      <c r="AS8002" t="s">
        <v>5178</v>
      </c>
      <c r="AT8002" t="s">
        <v>58</v>
      </c>
      <c r="AU8002" t="s">
        <v>8673</v>
      </c>
      <c r="AV8002" t="s">
        <v>132</v>
      </c>
      <c r="AW8002" s="1">
        <v>32469</v>
      </c>
      <c r="AX8002">
        <v>1</v>
      </c>
    </row>
    <row r="8003" spans="1:50">
      <c r="A8003">
        <v>613316</v>
      </c>
      <c r="B8003" t="str">
        <f>"110352700"</f>
        <v>110352700</v>
      </c>
      <c r="C8003" t="s">
        <v>50</v>
      </c>
      <c r="D8003" t="s">
        <v>12440</v>
      </c>
      <c r="E8003" t="s">
        <v>460</v>
      </c>
      <c r="F8003" t="s">
        <v>166</v>
      </c>
      <c r="G8003" t="s">
        <v>109</v>
      </c>
      <c r="H8003" t="str">
        <f>"ΘΕΟΤΟΚΟΠΟΥΛΟΥ 8 ΣΗΤΕΙΑ"</f>
        <v>ΘΕΟΤΟΚΟΠΟΥΛΟΥ 8 ΣΗΤΕΙΑ</v>
      </c>
      <c r="I8003">
        <v>72300</v>
      </c>
      <c r="J8003">
        <v>2843027045</v>
      </c>
      <c r="K8003">
        <v>6972501031</v>
      </c>
      <c r="L8003">
        <v>2843023857</v>
      </c>
      <c r="N8003" t="s">
        <v>615</v>
      </c>
      <c r="O8003" t="s">
        <v>616</v>
      </c>
      <c r="R8003" t="s">
        <v>57</v>
      </c>
      <c r="S8003">
        <v>6</v>
      </c>
      <c r="T8003">
        <v>598</v>
      </c>
      <c r="U8003" s="1">
        <v>39310</v>
      </c>
      <c r="V8003" t="s">
        <v>5177</v>
      </c>
      <c r="W8003" t="s">
        <v>5178</v>
      </c>
      <c r="X8003" t="s">
        <v>58</v>
      </c>
      <c r="Y8003">
        <v>23</v>
      </c>
      <c r="Z8003" t="s">
        <v>59</v>
      </c>
      <c r="AA8003" t="s">
        <v>59</v>
      </c>
      <c r="AB8003" t="s">
        <v>59</v>
      </c>
      <c r="AC8003" t="s">
        <v>59</v>
      </c>
      <c r="AD8003" t="s">
        <v>59</v>
      </c>
      <c r="AF8003" s="1">
        <v>39310</v>
      </c>
      <c r="AG8003" t="s">
        <v>8645</v>
      </c>
      <c r="AH8003" t="s">
        <v>8646</v>
      </c>
      <c r="AI8003" t="str">
        <f>"9320093"</f>
        <v>9320093</v>
      </c>
      <c r="AJ8003" t="s">
        <v>11967</v>
      </c>
      <c r="AK8003">
        <v>2843025130</v>
      </c>
      <c r="AL8003" t="s">
        <v>11968</v>
      </c>
      <c r="AM8003" t="s">
        <v>4513</v>
      </c>
      <c r="AN8003" t="s">
        <v>4540</v>
      </c>
      <c r="AO8003" t="s">
        <v>4540</v>
      </c>
      <c r="AP8003" t="s">
        <v>4540</v>
      </c>
      <c r="AQ8003">
        <v>8</v>
      </c>
      <c r="AR8003" t="s">
        <v>5177</v>
      </c>
      <c r="AS8003" t="s">
        <v>5178</v>
      </c>
      <c r="AT8003" t="s">
        <v>58</v>
      </c>
      <c r="AU8003" t="s">
        <v>68</v>
      </c>
      <c r="AV8003" t="s">
        <v>69</v>
      </c>
      <c r="AW8003" s="1">
        <v>29692</v>
      </c>
      <c r="AX8003">
        <v>1</v>
      </c>
    </row>
    <row r="8004" spans="1:50">
      <c r="A8004">
        <v>599450</v>
      </c>
      <c r="B8004" t="str">
        <f>"110391908"</f>
        <v>110391908</v>
      </c>
      <c r="C8004" t="s">
        <v>105</v>
      </c>
      <c r="D8004" t="s">
        <v>12441</v>
      </c>
      <c r="E8004" t="s">
        <v>12442</v>
      </c>
      <c r="F8004" t="s">
        <v>95</v>
      </c>
      <c r="G8004" t="s">
        <v>507</v>
      </c>
      <c r="H8004" t="str">
        <f>"ΔΙΟΜΗΔΟΥΣ ΣΟΛΩΜΟΥ 8 ΣΗΤΕΙΑ"</f>
        <v>ΔΙΟΜΗΔΟΥΣ ΣΟΛΩΜΟΥ 8 ΣΗΤΕΙΑ</v>
      </c>
      <c r="I8004">
        <v>72300</v>
      </c>
      <c r="J8004">
        <v>2843025664</v>
      </c>
      <c r="K8004">
        <v>6979731480</v>
      </c>
      <c r="M8004" t="s">
        <v>12443</v>
      </c>
      <c r="N8004" t="s">
        <v>615</v>
      </c>
      <c r="O8004" t="s">
        <v>616</v>
      </c>
      <c r="R8004" t="s">
        <v>57</v>
      </c>
      <c r="S8004">
        <v>8</v>
      </c>
      <c r="T8004">
        <v>195</v>
      </c>
      <c r="U8004" s="1">
        <v>37497</v>
      </c>
      <c r="V8004" t="s">
        <v>5177</v>
      </c>
      <c r="W8004" t="s">
        <v>5178</v>
      </c>
      <c r="X8004" t="s">
        <v>58</v>
      </c>
      <c r="Y8004">
        <v>22</v>
      </c>
      <c r="Z8004" t="s">
        <v>59</v>
      </c>
      <c r="AA8004" t="s">
        <v>59</v>
      </c>
      <c r="AB8004" t="s">
        <v>59</v>
      </c>
      <c r="AC8004" t="s">
        <v>59</v>
      </c>
      <c r="AD8004" t="s">
        <v>59</v>
      </c>
      <c r="AF8004" s="1">
        <v>37503</v>
      </c>
      <c r="AG8004" t="s">
        <v>8645</v>
      </c>
      <c r="AH8004" t="s">
        <v>8646</v>
      </c>
      <c r="AI8004" t="str">
        <f>"9320093"</f>
        <v>9320093</v>
      </c>
      <c r="AJ8004" t="s">
        <v>11967</v>
      </c>
      <c r="AK8004">
        <v>2843025130</v>
      </c>
      <c r="AL8004" t="s">
        <v>11968</v>
      </c>
      <c r="AM8004" t="s">
        <v>4513</v>
      </c>
      <c r="AN8004" t="s">
        <v>4540</v>
      </c>
      <c r="AO8004" t="s">
        <v>4540</v>
      </c>
      <c r="AP8004" t="s">
        <v>4540</v>
      </c>
      <c r="AQ8004">
        <v>8</v>
      </c>
      <c r="AR8004" t="s">
        <v>5177</v>
      </c>
      <c r="AS8004" t="s">
        <v>5178</v>
      </c>
      <c r="AT8004" t="s">
        <v>58</v>
      </c>
      <c r="AU8004" t="s">
        <v>68</v>
      </c>
      <c r="AV8004" t="s">
        <v>69</v>
      </c>
      <c r="AW8004" s="1">
        <v>25994</v>
      </c>
      <c r="AX8004">
        <v>1</v>
      </c>
    </row>
    <row r="8005" spans="1:50">
      <c r="B8005" t="str">
        <f>"107965450"</f>
        <v>107965450</v>
      </c>
      <c r="C8005" t="s">
        <v>50</v>
      </c>
      <c r="D8005" t="s">
        <v>12444</v>
      </c>
      <c r="E8005" t="s">
        <v>1713</v>
      </c>
      <c r="F8005" t="s">
        <v>99</v>
      </c>
      <c r="G8005" t="s">
        <v>964</v>
      </c>
      <c r="H8005" t="str">
        <f>"ΚΡΗΤΗΣ 10 ΧΟΛΑΡΓΟΣ"</f>
        <v>ΚΡΗΤΗΣ 10 ΧΟΛΑΡΓΟΣ</v>
      </c>
      <c r="I8005">
        <v>15562</v>
      </c>
      <c r="J8005">
        <v>2106525946</v>
      </c>
      <c r="K8005">
        <v>6975063572</v>
      </c>
      <c r="N8005" t="s">
        <v>288</v>
      </c>
      <c r="O8005" t="s">
        <v>289</v>
      </c>
      <c r="R8005" t="s">
        <v>159</v>
      </c>
      <c r="S8005">
        <v>4</v>
      </c>
      <c r="T8005" t="s">
        <v>9034</v>
      </c>
      <c r="U8005" s="1">
        <v>43377</v>
      </c>
      <c r="V8005" t="s">
        <v>5177</v>
      </c>
      <c r="W8005" t="s">
        <v>5178</v>
      </c>
      <c r="X8005" t="s">
        <v>58</v>
      </c>
      <c r="Y8005">
        <v>14</v>
      </c>
      <c r="Z8005" t="s">
        <v>59</v>
      </c>
      <c r="AA8005" t="s">
        <v>59</v>
      </c>
      <c r="AB8005" t="s">
        <v>59</v>
      </c>
      <c r="AC8005" t="s">
        <v>59</v>
      </c>
      <c r="AD8005" t="s">
        <v>59</v>
      </c>
      <c r="AF8005" s="1">
        <v>43377</v>
      </c>
      <c r="AG8005" t="s">
        <v>8645</v>
      </c>
      <c r="AH8005" t="s">
        <v>8646</v>
      </c>
      <c r="AI8005" t="str">
        <f>"9320093"</f>
        <v>9320093</v>
      </c>
      <c r="AJ8005" t="s">
        <v>11967</v>
      </c>
      <c r="AK8005">
        <v>2843025130</v>
      </c>
      <c r="AL8005" t="s">
        <v>11968</v>
      </c>
      <c r="AM8005" t="s">
        <v>4513</v>
      </c>
      <c r="AN8005" t="s">
        <v>4540</v>
      </c>
      <c r="AO8005" t="s">
        <v>4540</v>
      </c>
      <c r="AP8005" t="s">
        <v>4540</v>
      </c>
      <c r="AQ8005">
        <v>8</v>
      </c>
      <c r="AR8005" t="s">
        <v>5177</v>
      </c>
      <c r="AS8005" t="s">
        <v>5178</v>
      </c>
      <c r="AT8005" t="s">
        <v>58</v>
      </c>
      <c r="AU8005" t="s">
        <v>8686</v>
      </c>
      <c r="AV8005" t="s">
        <v>132</v>
      </c>
      <c r="AW8005" s="1">
        <v>30208</v>
      </c>
      <c r="AX8005">
        <v>1</v>
      </c>
    </row>
    <row r="8006" spans="1:50">
      <c r="A8006">
        <v>612847</v>
      </c>
      <c r="B8006" t="str">
        <f>"048061878"</f>
        <v>048061878</v>
      </c>
      <c r="C8006" t="s">
        <v>50</v>
      </c>
      <c r="D8006" t="s">
        <v>12445</v>
      </c>
      <c r="E8006" t="s">
        <v>109</v>
      </c>
      <c r="F8006" t="s">
        <v>95</v>
      </c>
      <c r="G8006" t="s">
        <v>52</v>
      </c>
      <c r="H8006" t="str">
        <f>" "</f>
        <v xml:space="preserve"> </v>
      </c>
      <c r="J8006">
        <v>2841033363</v>
      </c>
      <c r="K8006">
        <v>6973480554</v>
      </c>
      <c r="N8006" t="s">
        <v>306</v>
      </c>
      <c r="O8006" t="s">
        <v>307</v>
      </c>
      <c r="R8006" t="s">
        <v>57</v>
      </c>
      <c r="S8006">
        <v>8</v>
      </c>
      <c r="T8006">
        <v>298</v>
      </c>
      <c r="U8006" s="1">
        <v>38982</v>
      </c>
      <c r="V8006" t="s">
        <v>5177</v>
      </c>
      <c r="W8006" t="s">
        <v>5178</v>
      </c>
      <c r="X8006" t="s">
        <v>58</v>
      </c>
      <c r="Y8006">
        <v>23</v>
      </c>
      <c r="Z8006" t="s">
        <v>59</v>
      </c>
      <c r="AA8006" t="s">
        <v>59</v>
      </c>
      <c r="AB8006" t="s">
        <v>59</v>
      </c>
      <c r="AC8006" t="s">
        <v>59</v>
      </c>
      <c r="AD8006" t="s">
        <v>59</v>
      </c>
      <c r="AF8006" s="1">
        <v>38985</v>
      </c>
      <c r="AG8006" t="s">
        <v>8645</v>
      </c>
      <c r="AH8006" t="s">
        <v>8646</v>
      </c>
      <c r="AI8006" t="str">
        <f>"9320060"</f>
        <v>9320060</v>
      </c>
      <c r="AJ8006" t="s">
        <v>12246</v>
      </c>
      <c r="AK8006">
        <v>2841032319</v>
      </c>
      <c r="AL8006" t="s">
        <v>12247</v>
      </c>
      <c r="AM8006" t="s">
        <v>4513</v>
      </c>
      <c r="AN8006" t="s">
        <v>4514</v>
      </c>
      <c r="AO8006" t="s">
        <v>4524</v>
      </c>
      <c r="AP8006" t="s">
        <v>4525</v>
      </c>
      <c r="AQ8006">
        <v>1</v>
      </c>
      <c r="AR8006" t="s">
        <v>5177</v>
      </c>
      <c r="AS8006" t="s">
        <v>5178</v>
      </c>
      <c r="AT8006" t="s">
        <v>58</v>
      </c>
      <c r="AU8006" t="s">
        <v>68</v>
      </c>
      <c r="AV8006" t="s">
        <v>69</v>
      </c>
      <c r="AW8006" s="1">
        <v>30036</v>
      </c>
      <c r="AX8006">
        <v>1</v>
      </c>
    </row>
    <row r="8007" spans="1:50">
      <c r="A8007">
        <v>609644</v>
      </c>
      <c r="B8007" t="str">
        <f>"045810759"</f>
        <v>045810759</v>
      </c>
      <c r="C8007" t="s">
        <v>105</v>
      </c>
      <c r="D8007" t="s">
        <v>12446</v>
      </c>
      <c r="E8007" t="s">
        <v>450</v>
      </c>
      <c r="F8007" t="s">
        <v>106</v>
      </c>
      <c r="G8007" t="s">
        <v>83</v>
      </c>
      <c r="H8007" t="str">
        <f>"ΔΙΟΜΗΔΟΥΣ 6 ΣΗΤΕΙΑ"</f>
        <v>ΔΙΟΜΗΔΟΥΣ 6 ΣΗΤΕΙΑ</v>
      </c>
      <c r="I8007">
        <v>72300</v>
      </c>
      <c r="J8007">
        <v>2229038444</v>
      </c>
      <c r="K8007">
        <v>6944616501</v>
      </c>
      <c r="L8007">
        <v>2843026253</v>
      </c>
      <c r="N8007" t="s">
        <v>176</v>
      </c>
      <c r="O8007" t="s">
        <v>177</v>
      </c>
      <c r="R8007" t="s">
        <v>57</v>
      </c>
      <c r="S8007">
        <v>6</v>
      </c>
      <c r="T8007">
        <v>225</v>
      </c>
      <c r="U8007" s="1">
        <v>38604</v>
      </c>
      <c r="V8007" t="s">
        <v>5177</v>
      </c>
      <c r="W8007" t="s">
        <v>5178</v>
      </c>
      <c r="X8007" t="s">
        <v>58</v>
      </c>
      <c r="Y8007">
        <v>23</v>
      </c>
      <c r="Z8007" t="s">
        <v>59</v>
      </c>
      <c r="AA8007" t="s">
        <v>59</v>
      </c>
      <c r="AB8007" t="s">
        <v>59</v>
      </c>
      <c r="AC8007" t="s">
        <v>59</v>
      </c>
      <c r="AD8007" t="s">
        <v>59</v>
      </c>
      <c r="AF8007" s="1">
        <v>38609</v>
      </c>
      <c r="AG8007" t="s">
        <v>8645</v>
      </c>
      <c r="AH8007" t="s">
        <v>8646</v>
      </c>
      <c r="AI8007" t="str">
        <f>"9320121"</f>
        <v>9320121</v>
      </c>
      <c r="AJ8007" t="s">
        <v>11906</v>
      </c>
      <c r="AK8007">
        <v>2843022036</v>
      </c>
      <c r="AL8007" t="s">
        <v>11907</v>
      </c>
      <c r="AM8007" t="s">
        <v>4513</v>
      </c>
      <c r="AN8007" t="s">
        <v>4540</v>
      </c>
      <c r="AO8007" t="s">
        <v>4540</v>
      </c>
      <c r="AP8007" t="s">
        <v>11908</v>
      </c>
      <c r="AQ8007">
        <v>8</v>
      </c>
      <c r="AR8007" t="s">
        <v>5177</v>
      </c>
      <c r="AS8007" t="s">
        <v>5178</v>
      </c>
      <c r="AT8007" t="s">
        <v>58</v>
      </c>
      <c r="AU8007" t="s">
        <v>68</v>
      </c>
      <c r="AV8007" t="s">
        <v>69</v>
      </c>
      <c r="AW8007" s="1">
        <v>26754</v>
      </c>
      <c r="AX8007">
        <v>1</v>
      </c>
    </row>
    <row r="8008" spans="1:50">
      <c r="B8008" t="str">
        <f>"131493385"</f>
        <v>131493385</v>
      </c>
      <c r="C8008" t="s">
        <v>50</v>
      </c>
      <c r="D8008" t="s">
        <v>3088</v>
      </c>
      <c r="E8008" t="s">
        <v>263</v>
      </c>
      <c r="F8008" t="s">
        <v>760</v>
      </c>
      <c r="G8008" t="s">
        <v>52</v>
      </c>
      <c r="H8008" t="str">
        <f>"ΒΟΥΛΙΣΜΕΝΗ ΛΑΣΙΘΙΟΥ "</f>
        <v xml:space="preserve">ΒΟΥΛΙΣΜΕΝΗ ΛΑΣΙΘΙΟΥ </v>
      </c>
      <c r="I8008">
        <v>72400</v>
      </c>
      <c r="J8008">
        <v>2841033161</v>
      </c>
      <c r="K8008">
        <v>6973200481</v>
      </c>
      <c r="N8008" t="s">
        <v>1525</v>
      </c>
      <c r="O8008" t="s">
        <v>1526</v>
      </c>
      <c r="R8008" t="s">
        <v>159</v>
      </c>
      <c r="S8008">
        <v>3</v>
      </c>
      <c r="T8008" t="s">
        <v>8670</v>
      </c>
      <c r="U8008" s="1">
        <v>43348</v>
      </c>
      <c r="V8008" t="s">
        <v>5177</v>
      </c>
      <c r="W8008" t="s">
        <v>5178</v>
      </c>
      <c r="X8008" t="s">
        <v>58</v>
      </c>
      <c r="Y8008">
        <v>25</v>
      </c>
      <c r="Z8008" t="s">
        <v>59</v>
      </c>
      <c r="AA8008" t="s">
        <v>59</v>
      </c>
      <c r="AB8008" t="s">
        <v>59</v>
      </c>
      <c r="AC8008" t="s">
        <v>59</v>
      </c>
      <c r="AD8008" t="s">
        <v>59</v>
      </c>
      <c r="AF8008" s="1">
        <v>43348</v>
      </c>
      <c r="AG8008" t="s">
        <v>8651</v>
      </c>
      <c r="AH8008" t="s">
        <v>8652</v>
      </c>
      <c r="AI8008" t="str">
        <f>"9320061"</f>
        <v>9320061</v>
      </c>
      <c r="AJ8008" t="s">
        <v>12428</v>
      </c>
      <c r="AK8008">
        <v>2841032482</v>
      </c>
      <c r="AL8008" t="s">
        <v>12429</v>
      </c>
      <c r="AM8008" t="s">
        <v>4513</v>
      </c>
      <c r="AN8008" t="s">
        <v>4514</v>
      </c>
      <c r="AO8008" t="s">
        <v>4524</v>
      </c>
      <c r="AP8008" t="s">
        <v>4525</v>
      </c>
      <c r="AQ8008">
        <v>1</v>
      </c>
      <c r="AR8008" t="s">
        <v>5177</v>
      </c>
      <c r="AS8008" t="s">
        <v>5178</v>
      </c>
      <c r="AT8008" t="s">
        <v>58</v>
      </c>
      <c r="AU8008" t="s">
        <v>8673</v>
      </c>
      <c r="AV8008" t="s">
        <v>132</v>
      </c>
      <c r="AW8008" s="1">
        <v>29794</v>
      </c>
      <c r="AX8008">
        <v>1</v>
      </c>
    </row>
    <row r="8009" spans="1:50">
      <c r="A8009">
        <v>622837</v>
      </c>
      <c r="B8009" t="str">
        <f>"300807573"</f>
        <v>300807573</v>
      </c>
      <c r="C8009" t="s">
        <v>50</v>
      </c>
      <c r="D8009" t="s">
        <v>3103</v>
      </c>
      <c r="E8009" t="s">
        <v>191</v>
      </c>
      <c r="F8009" t="s">
        <v>450</v>
      </c>
      <c r="G8009" t="s">
        <v>372</v>
      </c>
      <c r="H8009" t="str">
        <f>"ΛΙΜΕΝΑΣ ΘΑΣΟΥ ΘΑΣΟΣ"</f>
        <v>ΛΙΜΕΝΑΣ ΘΑΣΟΥ ΘΑΣΟΣ</v>
      </c>
      <c r="I8009">
        <v>64004</v>
      </c>
      <c r="J8009">
        <v>2593022645</v>
      </c>
      <c r="K8009">
        <v>6945493437</v>
      </c>
      <c r="N8009" t="s">
        <v>1525</v>
      </c>
      <c r="O8009" t="s">
        <v>1526</v>
      </c>
      <c r="R8009" t="s">
        <v>57</v>
      </c>
      <c r="S8009">
        <v>4</v>
      </c>
      <c r="T8009">
        <v>653</v>
      </c>
      <c r="U8009" s="1">
        <v>40043</v>
      </c>
      <c r="V8009" t="s">
        <v>5177</v>
      </c>
      <c r="W8009" t="s">
        <v>5178</v>
      </c>
      <c r="X8009" t="s">
        <v>58</v>
      </c>
      <c r="Y8009">
        <v>25</v>
      </c>
      <c r="Z8009" t="s">
        <v>59</v>
      </c>
      <c r="AA8009" t="s">
        <v>59</v>
      </c>
      <c r="AB8009" t="s">
        <v>59</v>
      </c>
      <c r="AC8009" t="s">
        <v>59</v>
      </c>
      <c r="AD8009" t="s">
        <v>59</v>
      </c>
      <c r="AF8009" s="1">
        <v>40043</v>
      </c>
      <c r="AG8009" t="s">
        <v>8651</v>
      </c>
      <c r="AH8009" t="s">
        <v>8652</v>
      </c>
      <c r="AI8009" t="str">
        <f>"9320091"</f>
        <v>9320091</v>
      </c>
      <c r="AJ8009" t="s">
        <v>12182</v>
      </c>
      <c r="AK8009">
        <v>2843022685</v>
      </c>
      <c r="AL8009" t="s">
        <v>12183</v>
      </c>
      <c r="AM8009" t="s">
        <v>4513</v>
      </c>
      <c r="AN8009" t="s">
        <v>4540</v>
      </c>
      <c r="AO8009" t="s">
        <v>4540</v>
      </c>
      <c r="AP8009" t="s">
        <v>4540</v>
      </c>
      <c r="AQ8009">
        <v>8</v>
      </c>
      <c r="AR8009" t="s">
        <v>5177</v>
      </c>
      <c r="AS8009" t="s">
        <v>5178</v>
      </c>
      <c r="AT8009" t="s">
        <v>58</v>
      </c>
      <c r="AU8009" t="s">
        <v>68</v>
      </c>
      <c r="AV8009" t="s">
        <v>69</v>
      </c>
      <c r="AW8009" s="1">
        <v>31026</v>
      </c>
      <c r="AX8009">
        <v>1</v>
      </c>
    </row>
    <row r="8010" spans="1:50">
      <c r="B8010" t="str">
        <f>"136577510"</f>
        <v>136577510</v>
      </c>
      <c r="C8010" t="s">
        <v>105</v>
      </c>
      <c r="D8010" t="s">
        <v>3103</v>
      </c>
      <c r="E8010" t="s">
        <v>670</v>
      </c>
      <c r="F8010" t="s">
        <v>383</v>
      </c>
      <c r="G8010" t="s">
        <v>396</v>
      </c>
      <c r="H8010" t="str">
        <f>"ΑΓΙΟΥ ΚΩΝΣΤΑΝΤΙΝΟΥ 79 "</f>
        <v xml:space="preserve">ΑΓΙΟΥ ΚΩΝΣΤΑΝΤΙΝΟΥ 79 </v>
      </c>
      <c r="I8010">
        <v>40400</v>
      </c>
      <c r="J8010">
        <v>2492033220</v>
      </c>
      <c r="K8010">
        <v>6975643252</v>
      </c>
      <c r="N8010" t="s">
        <v>615</v>
      </c>
      <c r="O8010" t="s">
        <v>616</v>
      </c>
      <c r="R8010" t="s">
        <v>159</v>
      </c>
      <c r="S8010">
        <v>3</v>
      </c>
      <c r="T8010" t="s">
        <v>8675</v>
      </c>
      <c r="U8010" s="1">
        <v>43348</v>
      </c>
      <c r="V8010" t="s">
        <v>5177</v>
      </c>
      <c r="W8010" t="s">
        <v>5178</v>
      </c>
      <c r="X8010" t="s">
        <v>58</v>
      </c>
      <c r="Y8010">
        <v>25</v>
      </c>
      <c r="Z8010" t="s">
        <v>59</v>
      </c>
      <c r="AA8010" t="s">
        <v>59</v>
      </c>
      <c r="AB8010" t="s">
        <v>59</v>
      </c>
      <c r="AC8010" t="s">
        <v>59</v>
      </c>
      <c r="AD8010" t="s">
        <v>59</v>
      </c>
      <c r="AF8010" s="1">
        <v>43348</v>
      </c>
      <c r="AG8010" t="s">
        <v>8645</v>
      </c>
      <c r="AH8010" t="s">
        <v>8676</v>
      </c>
      <c r="AI8010" t="str">
        <f>"9320024"</f>
        <v>9320024</v>
      </c>
      <c r="AJ8010" t="s">
        <v>12411</v>
      </c>
      <c r="AK8010">
        <v>2842091214</v>
      </c>
      <c r="AL8010" t="s">
        <v>12412</v>
      </c>
      <c r="AM8010" t="s">
        <v>4513</v>
      </c>
      <c r="AN8010" t="s">
        <v>4519</v>
      </c>
      <c r="AO8010" t="s">
        <v>4519</v>
      </c>
      <c r="AP8010" t="s">
        <v>12162</v>
      </c>
      <c r="AQ8010">
        <v>7</v>
      </c>
      <c r="AR8010" t="s">
        <v>5177</v>
      </c>
      <c r="AS8010" t="s">
        <v>5178</v>
      </c>
      <c r="AT8010" t="s">
        <v>58</v>
      </c>
      <c r="AU8010" t="s">
        <v>8673</v>
      </c>
      <c r="AV8010" t="s">
        <v>132</v>
      </c>
      <c r="AW8010" s="1">
        <v>32227</v>
      </c>
      <c r="AX8010">
        <v>1</v>
      </c>
    </row>
    <row r="8011" spans="1:50">
      <c r="B8011" t="str">
        <f>"134592565"</f>
        <v>134592565</v>
      </c>
      <c r="C8011" t="s">
        <v>50</v>
      </c>
      <c r="D8011" t="s">
        <v>12447</v>
      </c>
      <c r="E8011" t="s">
        <v>868</v>
      </c>
      <c r="F8011" t="s">
        <v>230</v>
      </c>
      <c r="G8011" t="s">
        <v>83</v>
      </c>
      <c r="H8011" t="str">
        <f>"1ΗΣ ΙΟΥΛΙΟΥ 5 "</f>
        <v xml:space="preserve">1ΗΣ ΙΟΥΛΙΟΥ 5 </v>
      </c>
      <c r="I8011">
        <v>66100</v>
      </c>
      <c r="J8011">
        <v>2521020985</v>
      </c>
      <c r="K8011">
        <v>6936910978</v>
      </c>
      <c r="N8011" t="s">
        <v>615</v>
      </c>
      <c r="O8011" t="s">
        <v>616</v>
      </c>
      <c r="R8011" t="s">
        <v>159</v>
      </c>
      <c r="S8011">
        <v>4</v>
      </c>
      <c r="T8011" t="s">
        <v>8675</v>
      </c>
      <c r="U8011" s="1">
        <v>43348</v>
      </c>
      <c r="V8011" t="s">
        <v>5177</v>
      </c>
      <c r="W8011" t="s">
        <v>5178</v>
      </c>
      <c r="X8011" t="s">
        <v>58</v>
      </c>
      <c r="Y8011">
        <v>24</v>
      </c>
      <c r="Z8011" t="s">
        <v>59</v>
      </c>
      <c r="AA8011" t="s">
        <v>59</v>
      </c>
      <c r="AB8011" t="s">
        <v>59</v>
      </c>
      <c r="AC8011" t="s">
        <v>59</v>
      </c>
      <c r="AD8011" t="s">
        <v>59</v>
      </c>
      <c r="AF8011" s="1">
        <v>43348</v>
      </c>
      <c r="AG8011" t="s">
        <v>8645</v>
      </c>
      <c r="AH8011" t="s">
        <v>8646</v>
      </c>
      <c r="AI8011" t="str">
        <f>"9320145"</f>
        <v>9320145</v>
      </c>
      <c r="AJ8011" t="s">
        <v>12171</v>
      </c>
      <c r="AK8011">
        <v>2841071309</v>
      </c>
      <c r="AL8011" t="s">
        <v>12172</v>
      </c>
      <c r="AM8011" t="s">
        <v>4513</v>
      </c>
      <c r="AN8011" t="s">
        <v>4514</v>
      </c>
      <c r="AO8011" t="s">
        <v>12085</v>
      </c>
      <c r="AP8011" t="s">
        <v>12085</v>
      </c>
      <c r="AQ8011">
        <v>2</v>
      </c>
      <c r="AR8011" t="s">
        <v>5177</v>
      </c>
      <c r="AS8011" t="s">
        <v>5178</v>
      </c>
      <c r="AT8011" t="s">
        <v>58</v>
      </c>
      <c r="AU8011" t="s">
        <v>8673</v>
      </c>
      <c r="AV8011" t="s">
        <v>132</v>
      </c>
      <c r="AW8011" s="1">
        <v>32343</v>
      </c>
      <c r="AX8011">
        <v>1</v>
      </c>
    </row>
    <row r="8012" spans="1:50">
      <c r="B8012" t="str">
        <f>"126329449"</f>
        <v>126329449</v>
      </c>
      <c r="C8012" t="s">
        <v>50</v>
      </c>
      <c r="D8012" t="s">
        <v>3136</v>
      </c>
      <c r="E8012" t="s">
        <v>191</v>
      </c>
      <c r="F8012" t="s">
        <v>166</v>
      </c>
      <c r="G8012" t="s">
        <v>263</v>
      </c>
      <c r="H8012" t="str">
        <f>" "</f>
        <v xml:space="preserve"> </v>
      </c>
      <c r="N8012" t="s">
        <v>615</v>
      </c>
      <c r="O8012" t="s">
        <v>616</v>
      </c>
      <c r="R8012" t="s">
        <v>121</v>
      </c>
      <c r="S8012">
        <v>1</v>
      </c>
      <c r="T8012" t="s">
        <v>9034</v>
      </c>
      <c r="U8012" s="1">
        <v>43377</v>
      </c>
      <c r="V8012" t="s">
        <v>5177</v>
      </c>
      <c r="W8012" t="s">
        <v>5178</v>
      </c>
      <c r="X8012" t="s">
        <v>58</v>
      </c>
      <c r="Y8012">
        <v>24</v>
      </c>
      <c r="Z8012" t="s">
        <v>59</v>
      </c>
      <c r="AA8012" t="s">
        <v>59</v>
      </c>
      <c r="AB8012" t="s">
        <v>59</v>
      </c>
      <c r="AD8012" t="s">
        <v>59</v>
      </c>
      <c r="AF8012" s="1">
        <v>43377</v>
      </c>
      <c r="AG8012" t="s">
        <v>8645</v>
      </c>
      <c r="AH8012" t="s">
        <v>8646</v>
      </c>
      <c r="AI8012" t="str">
        <f>"9320058"</f>
        <v>9320058</v>
      </c>
      <c r="AJ8012" t="s">
        <v>11893</v>
      </c>
      <c r="AK8012">
        <v>2841022496</v>
      </c>
      <c r="AL8012" t="s">
        <v>11894</v>
      </c>
      <c r="AM8012" t="s">
        <v>4513</v>
      </c>
      <c r="AN8012" t="s">
        <v>4514</v>
      </c>
      <c r="AO8012" t="s">
        <v>4514</v>
      </c>
      <c r="AP8012" t="s">
        <v>4514</v>
      </c>
      <c r="AQ8012">
        <v>1</v>
      </c>
      <c r="AR8012" t="s">
        <v>5177</v>
      </c>
      <c r="AS8012" t="s">
        <v>5178</v>
      </c>
      <c r="AT8012" t="s">
        <v>58</v>
      </c>
      <c r="AU8012" t="s">
        <v>8673</v>
      </c>
      <c r="AV8012" t="s">
        <v>132</v>
      </c>
      <c r="AW8012" s="1">
        <v>31342</v>
      </c>
      <c r="AX8012">
        <v>1</v>
      </c>
    </row>
    <row r="8013" spans="1:50">
      <c r="B8013" t="str">
        <f>"123683550"</f>
        <v>123683550</v>
      </c>
      <c r="C8013" t="s">
        <v>50</v>
      </c>
      <c r="D8013" t="s">
        <v>3143</v>
      </c>
      <c r="E8013" t="s">
        <v>1189</v>
      </c>
      <c r="F8013" t="s">
        <v>2227</v>
      </c>
      <c r="G8013" t="s">
        <v>83</v>
      </c>
      <c r="H8013" t="str">
        <f>"ΚΥΒΕΛΗΣ 8 ΛΟΦΟΥΠΟΛΗ ΗΡΑΚΛΕΙΟ"</f>
        <v>ΚΥΒΕΛΗΣ 8 ΛΟΦΟΥΠΟΛΗ ΗΡΑΚΛΕΙΟ</v>
      </c>
      <c r="I8013">
        <v>71500</v>
      </c>
      <c r="J8013">
        <v>2810260051</v>
      </c>
      <c r="K8013">
        <v>6932605054</v>
      </c>
      <c r="L8013">
        <v>2892045042</v>
      </c>
      <c r="M8013" t="s">
        <v>12448</v>
      </c>
      <c r="N8013" t="s">
        <v>306</v>
      </c>
      <c r="O8013" t="s">
        <v>307</v>
      </c>
      <c r="R8013" t="s">
        <v>159</v>
      </c>
      <c r="S8013">
        <v>2</v>
      </c>
      <c r="T8013" t="s">
        <v>8675</v>
      </c>
      <c r="U8013" s="1">
        <v>43348</v>
      </c>
      <c r="V8013" t="s">
        <v>5177</v>
      </c>
      <c r="W8013" t="s">
        <v>5178</v>
      </c>
      <c r="X8013" t="s">
        <v>58</v>
      </c>
      <c r="Y8013">
        <v>24</v>
      </c>
      <c r="Z8013" t="s">
        <v>59</v>
      </c>
      <c r="AA8013" t="s">
        <v>59</v>
      </c>
      <c r="AB8013" t="s">
        <v>59</v>
      </c>
      <c r="AC8013" t="s">
        <v>59</v>
      </c>
      <c r="AD8013" t="s">
        <v>59</v>
      </c>
      <c r="AF8013" s="1">
        <v>43348</v>
      </c>
      <c r="AG8013" t="s">
        <v>8645</v>
      </c>
      <c r="AH8013" t="s">
        <v>8646</v>
      </c>
      <c r="AI8013" t="str">
        <f>"9320005"</f>
        <v>9320005</v>
      </c>
      <c r="AJ8013" t="s">
        <v>12004</v>
      </c>
      <c r="AK8013">
        <v>2842022202</v>
      </c>
      <c r="AL8013" t="s">
        <v>12005</v>
      </c>
      <c r="AM8013" t="s">
        <v>4513</v>
      </c>
      <c r="AN8013" t="s">
        <v>4519</v>
      </c>
      <c r="AO8013" t="s">
        <v>4519</v>
      </c>
      <c r="AP8013" t="s">
        <v>4519</v>
      </c>
      <c r="AQ8013">
        <v>4</v>
      </c>
      <c r="AR8013" t="s">
        <v>5177</v>
      </c>
      <c r="AS8013" t="s">
        <v>5178</v>
      </c>
      <c r="AT8013" t="s">
        <v>58</v>
      </c>
      <c r="AU8013" t="s">
        <v>8673</v>
      </c>
      <c r="AV8013" t="s">
        <v>132</v>
      </c>
      <c r="AW8013" s="1">
        <v>28238</v>
      </c>
      <c r="AX8013">
        <v>1</v>
      </c>
    </row>
    <row r="8014" spans="1:50">
      <c r="A8014">
        <v>608700</v>
      </c>
      <c r="B8014" t="str">
        <f>"125277008"</f>
        <v>125277008</v>
      </c>
      <c r="C8014" t="s">
        <v>50</v>
      </c>
      <c r="D8014" t="s">
        <v>5236</v>
      </c>
      <c r="E8014" t="s">
        <v>658</v>
      </c>
      <c r="F8014" t="s">
        <v>72</v>
      </c>
      <c r="G8014" t="s">
        <v>143</v>
      </c>
      <c r="H8014" t="str">
        <f>"Γ. ΣΠΥΡΙΔΑΚΗ 7 ΣΗΤΕΙΑ"</f>
        <v>Γ. ΣΠΥΡΙΔΑΚΗ 7 ΣΗΤΕΙΑ</v>
      </c>
      <c r="I8014">
        <v>72300</v>
      </c>
      <c r="J8014">
        <v>2843025048</v>
      </c>
      <c r="K8014">
        <v>6932561104</v>
      </c>
      <c r="M8014" t="s">
        <v>12449</v>
      </c>
      <c r="N8014" t="s">
        <v>1525</v>
      </c>
      <c r="O8014" t="s">
        <v>1526</v>
      </c>
      <c r="R8014" t="s">
        <v>57</v>
      </c>
      <c r="S8014">
        <v>6</v>
      </c>
      <c r="T8014">
        <v>217</v>
      </c>
      <c r="U8014" s="1">
        <v>38596</v>
      </c>
      <c r="V8014" t="s">
        <v>5177</v>
      </c>
      <c r="W8014" t="s">
        <v>5178</v>
      </c>
      <c r="X8014" t="s">
        <v>58</v>
      </c>
      <c r="Y8014">
        <v>25</v>
      </c>
      <c r="Z8014" t="s">
        <v>59</v>
      </c>
      <c r="AA8014" t="s">
        <v>59</v>
      </c>
      <c r="AB8014" t="s">
        <v>59</v>
      </c>
      <c r="AC8014" t="s">
        <v>59</v>
      </c>
      <c r="AD8014" t="s">
        <v>59</v>
      </c>
      <c r="AF8014" s="1">
        <v>38600</v>
      </c>
      <c r="AG8014" t="s">
        <v>8651</v>
      </c>
      <c r="AH8014" t="s">
        <v>8652</v>
      </c>
      <c r="AI8014" t="str">
        <f>"9320147"</f>
        <v>9320147</v>
      </c>
      <c r="AJ8014" t="s">
        <v>11932</v>
      </c>
      <c r="AK8014">
        <v>2843023474</v>
      </c>
      <c r="AL8014" t="s">
        <v>11933</v>
      </c>
      <c r="AM8014" t="s">
        <v>4513</v>
      </c>
      <c r="AN8014" t="s">
        <v>4540</v>
      </c>
      <c r="AO8014" t="s">
        <v>4540</v>
      </c>
      <c r="AP8014" t="s">
        <v>4540</v>
      </c>
      <c r="AQ8014">
        <v>8</v>
      </c>
      <c r="AR8014" t="s">
        <v>5177</v>
      </c>
      <c r="AS8014" t="s">
        <v>5178</v>
      </c>
      <c r="AT8014" t="s">
        <v>58</v>
      </c>
      <c r="AU8014" t="s">
        <v>68</v>
      </c>
      <c r="AV8014" t="s">
        <v>69</v>
      </c>
      <c r="AW8014" s="1">
        <v>29896</v>
      </c>
      <c r="AX8014">
        <v>1</v>
      </c>
    </row>
    <row r="8015" spans="1:50">
      <c r="A8015">
        <v>610328</v>
      </c>
      <c r="B8015" t="str">
        <f>"049342834"</f>
        <v>049342834</v>
      </c>
      <c r="C8015" t="s">
        <v>50</v>
      </c>
      <c r="D8015" t="s">
        <v>3157</v>
      </c>
      <c r="E8015" t="s">
        <v>476</v>
      </c>
      <c r="F8015" t="s">
        <v>84</v>
      </c>
      <c r="G8015" t="s">
        <v>83</v>
      </c>
      <c r="H8015" t="str">
        <f>"ΕΛΛΗΝΩΝ ΟΛΥΜΠΙΟΝΙΚΩΝ 6 ΙΕΡΑΠΕΤΡΑ"</f>
        <v>ΕΛΛΗΝΩΝ ΟΛΥΜΠΙΟΝΙΚΩΝ 6 ΙΕΡΑΠΕΤΡΑ</v>
      </c>
      <c r="I8015">
        <v>72200</v>
      </c>
      <c r="J8015">
        <v>2842080613</v>
      </c>
      <c r="K8015">
        <v>6972948068</v>
      </c>
      <c r="M8015" t="s">
        <v>12450</v>
      </c>
      <c r="N8015" t="s">
        <v>615</v>
      </c>
      <c r="O8015" t="s">
        <v>616</v>
      </c>
      <c r="R8015" t="s">
        <v>57</v>
      </c>
      <c r="S8015">
        <v>7</v>
      </c>
      <c r="T8015">
        <v>233</v>
      </c>
      <c r="U8015" s="1">
        <v>38960</v>
      </c>
      <c r="V8015" t="s">
        <v>5177</v>
      </c>
      <c r="W8015" t="s">
        <v>5178</v>
      </c>
      <c r="X8015" t="s">
        <v>58</v>
      </c>
      <c r="Y8015">
        <v>23</v>
      </c>
      <c r="Z8015" t="s">
        <v>59</v>
      </c>
      <c r="AA8015" t="s">
        <v>59</v>
      </c>
      <c r="AB8015" t="s">
        <v>59</v>
      </c>
      <c r="AC8015" t="s">
        <v>59</v>
      </c>
      <c r="AD8015" t="s">
        <v>59</v>
      </c>
      <c r="AF8015" s="1">
        <v>38961</v>
      </c>
      <c r="AG8015" t="s">
        <v>8645</v>
      </c>
      <c r="AH8015" t="s">
        <v>8646</v>
      </c>
      <c r="AI8015" t="str">
        <f>"9320003"</f>
        <v>9320003</v>
      </c>
      <c r="AJ8015" t="s">
        <v>11886</v>
      </c>
      <c r="AK8015">
        <v>2842089830</v>
      </c>
      <c r="AL8015" t="s">
        <v>11887</v>
      </c>
      <c r="AM8015" t="s">
        <v>4513</v>
      </c>
      <c r="AN8015" t="s">
        <v>4519</v>
      </c>
      <c r="AO8015" t="s">
        <v>4519</v>
      </c>
      <c r="AP8015" t="s">
        <v>4519</v>
      </c>
      <c r="AQ8015">
        <v>4</v>
      </c>
      <c r="AR8015" t="s">
        <v>5177</v>
      </c>
      <c r="AS8015" t="s">
        <v>5178</v>
      </c>
      <c r="AT8015" t="s">
        <v>58</v>
      </c>
      <c r="AU8015" t="s">
        <v>68</v>
      </c>
      <c r="AV8015" t="s">
        <v>69</v>
      </c>
      <c r="AW8015" s="1">
        <v>29758</v>
      </c>
      <c r="AX8015">
        <v>1</v>
      </c>
    </row>
    <row r="8016" spans="1:50">
      <c r="A8016">
        <v>596825</v>
      </c>
      <c r="B8016" t="str">
        <f>"075312708"</f>
        <v>075312708</v>
      </c>
      <c r="C8016" t="s">
        <v>50</v>
      </c>
      <c r="D8016" t="s">
        <v>3157</v>
      </c>
      <c r="E8016" t="s">
        <v>143</v>
      </c>
      <c r="F8016" t="s">
        <v>95</v>
      </c>
      <c r="G8016" t="s">
        <v>411</v>
      </c>
      <c r="H8016" t="str">
        <f>"ΚΟΠΡΑΝΕΣ (Τ.Θ. 1113) ΑΓΙΟΣ ΝΙΚΟΛΑΟΣ"</f>
        <v>ΚΟΠΡΑΝΕΣ (Τ.Θ. 1113) ΑΓΙΟΣ ΝΙΚΟΛΑΟΣ</v>
      </c>
      <c r="I8016">
        <v>72100</v>
      </c>
      <c r="J8016">
        <v>2841021316</v>
      </c>
      <c r="K8016">
        <v>6944059472</v>
      </c>
      <c r="N8016" t="s">
        <v>1525</v>
      </c>
      <c r="O8016" t="s">
        <v>1526</v>
      </c>
      <c r="R8016" t="s">
        <v>57</v>
      </c>
      <c r="S8016">
        <v>8</v>
      </c>
      <c r="T8016">
        <v>195</v>
      </c>
      <c r="U8016" s="1">
        <v>37497</v>
      </c>
      <c r="V8016" t="s">
        <v>5177</v>
      </c>
      <c r="W8016" t="s">
        <v>5178</v>
      </c>
      <c r="X8016" t="s">
        <v>58</v>
      </c>
      <c r="Y8016">
        <v>22</v>
      </c>
      <c r="Z8016" t="s">
        <v>59</v>
      </c>
      <c r="AA8016" t="s">
        <v>59</v>
      </c>
      <c r="AB8016" t="s">
        <v>59</v>
      </c>
      <c r="AC8016" t="s">
        <v>59</v>
      </c>
      <c r="AD8016" t="s">
        <v>59</v>
      </c>
      <c r="AF8016" s="1">
        <v>37501</v>
      </c>
      <c r="AG8016" t="s">
        <v>8651</v>
      </c>
      <c r="AH8016" t="s">
        <v>8652</v>
      </c>
      <c r="AI8016" t="str">
        <f>"9320161"</f>
        <v>9320161</v>
      </c>
      <c r="AJ8016" t="s">
        <v>12124</v>
      </c>
      <c r="AK8016">
        <v>2841028686</v>
      </c>
      <c r="AL8016" t="s">
        <v>12125</v>
      </c>
      <c r="AM8016" t="s">
        <v>4513</v>
      </c>
      <c r="AN8016" t="s">
        <v>4514</v>
      </c>
      <c r="AO8016" t="s">
        <v>4514</v>
      </c>
      <c r="AP8016" t="s">
        <v>4514</v>
      </c>
      <c r="AQ8016">
        <v>1</v>
      </c>
      <c r="AR8016" t="s">
        <v>5177</v>
      </c>
      <c r="AS8016" t="s">
        <v>5178</v>
      </c>
      <c r="AT8016" t="s">
        <v>58</v>
      </c>
      <c r="AU8016" t="s">
        <v>68</v>
      </c>
      <c r="AV8016" t="s">
        <v>69</v>
      </c>
      <c r="AW8016" s="1">
        <v>26299</v>
      </c>
      <c r="AX8016">
        <v>1</v>
      </c>
    </row>
    <row r="8017" spans="1:50">
      <c r="A8017">
        <v>595469</v>
      </c>
      <c r="B8017" t="str">
        <f>"075270412"</f>
        <v>075270412</v>
      </c>
      <c r="C8017" t="s">
        <v>50</v>
      </c>
      <c r="D8017" t="s">
        <v>3157</v>
      </c>
      <c r="E8017" t="s">
        <v>396</v>
      </c>
      <c r="F8017" t="s">
        <v>72</v>
      </c>
      <c r="G8017" t="s">
        <v>52</v>
      </c>
      <c r="H8017" t="str">
        <f>"ΗΡΩΩΝ ΠΟΛΥΤΕΧΝΕΙΟΥ 15 ΙΕΡΑΠΕΤΡΑ"</f>
        <v>ΗΡΩΩΝ ΠΟΛΥΤΕΧΝΕΙΟΥ 15 ΙΕΡΑΠΕΤΡΑ</v>
      </c>
      <c r="I8017">
        <v>72200</v>
      </c>
      <c r="J8017">
        <v>2842022409</v>
      </c>
      <c r="K8017">
        <v>6976787527</v>
      </c>
      <c r="N8017" t="s">
        <v>1525</v>
      </c>
      <c r="O8017" t="s">
        <v>1526</v>
      </c>
      <c r="R8017" t="s">
        <v>57</v>
      </c>
      <c r="S8017">
        <v>8</v>
      </c>
      <c r="T8017">
        <v>218</v>
      </c>
      <c r="U8017" s="1">
        <v>37134</v>
      </c>
      <c r="V8017" t="s">
        <v>5177</v>
      </c>
      <c r="W8017" t="s">
        <v>5178</v>
      </c>
      <c r="X8017" t="s">
        <v>58</v>
      </c>
      <c r="Y8017">
        <v>25</v>
      </c>
      <c r="Z8017" t="s">
        <v>59</v>
      </c>
      <c r="AA8017" t="s">
        <v>59</v>
      </c>
      <c r="AB8017" t="s">
        <v>59</v>
      </c>
      <c r="AC8017" t="s">
        <v>59</v>
      </c>
      <c r="AD8017" t="s">
        <v>59</v>
      </c>
      <c r="AF8017" s="1">
        <v>37141</v>
      </c>
      <c r="AG8017" t="s">
        <v>8651</v>
      </c>
      <c r="AH8017" t="s">
        <v>8652</v>
      </c>
      <c r="AI8017" t="str">
        <f>"9521466"</f>
        <v>9521466</v>
      </c>
      <c r="AJ8017" t="s">
        <v>12017</v>
      </c>
      <c r="AK8017">
        <v>2842025606</v>
      </c>
      <c r="AL8017" t="s">
        <v>12018</v>
      </c>
      <c r="AM8017" t="s">
        <v>4513</v>
      </c>
      <c r="AN8017" t="s">
        <v>4519</v>
      </c>
      <c r="AO8017" t="s">
        <v>4519</v>
      </c>
      <c r="AP8017" t="s">
        <v>4519</v>
      </c>
      <c r="AQ8017">
        <v>4</v>
      </c>
      <c r="AR8017" t="s">
        <v>5177</v>
      </c>
      <c r="AS8017" t="s">
        <v>5178</v>
      </c>
      <c r="AT8017" t="s">
        <v>58</v>
      </c>
      <c r="AU8017" t="s">
        <v>68</v>
      </c>
      <c r="AV8017" t="s">
        <v>69</v>
      </c>
      <c r="AW8017" s="1">
        <v>26435</v>
      </c>
      <c r="AX8017">
        <v>1</v>
      </c>
    </row>
    <row r="8018" spans="1:50">
      <c r="A8018">
        <v>597534</v>
      </c>
      <c r="B8018" t="str">
        <f>"064283506"</f>
        <v>064283506</v>
      </c>
      <c r="C8018" t="s">
        <v>50</v>
      </c>
      <c r="D8018" t="s">
        <v>3157</v>
      </c>
      <c r="E8018" t="s">
        <v>250</v>
      </c>
      <c r="F8018" t="s">
        <v>304</v>
      </c>
      <c r="G8018" t="s">
        <v>83</v>
      </c>
      <c r="H8018" t="str">
        <f>"ΣΑΡΟΛΙΔΗ 19 ΑΓΙΟΣ ΝΙΚΟΛΑΟΣ"</f>
        <v>ΣΑΡΟΛΙΔΗ 19 ΑΓΙΟΣ ΝΙΚΟΛΑΟΣ</v>
      </c>
      <c r="I8018">
        <v>72100</v>
      </c>
      <c r="J8018">
        <v>2841083297</v>
      </c>
      <c r="K8018">
        <v>6974663870</v>
      </c>
      <c r="M8018" t="s">
        <v>12451</v>
      </c>
      <c r="N8018" t="s">
        <v>306</v>
      </c>
      <c r="O8018" t="s">
        <v>307</v>
      </c>
      <c r="R8018" t="s">
        <v>57</v>
      </c>
      <c r="S8018">
        <v>8</v>
      </c>
      <c r="T8018">
        <v>213</v>
      </c>
      <c r="U8018" s="1">
        <v>37516</v>
      </c>
      <c r="V8018" t="s">
        <v>5177</v>
      </c>
      <c r="W8018" t="s">
        <v>5178</v>
      </c>
      <c r="X8018" t="s">
        <v>58</v>
      </c>
      <c r="Y8018">
        <v>22</v>
      </c>
      <c r="Z8018" t="s">
        <v>59</v>
      </c>
      <c r="AA8018" t="s">
        <v>59</v>
      </c>
      <c r="AB8018" t="s">
        <v>59</v>
      </c>
      <c r="AC8018" t="s">
        <v>59</v>
      </c>
      <c r="AD8018" t="s">
        <v>59</v>
      </c>
      <c r="AF8018" s="1">
        <v>37519</v>
      </c>
      <c r="AG8018" t="s">
        <v>8645</v>
      </c>
      <c r="AH8018" t="s">
        <v>8646</v>
      </c>
      <c r="AI8018" t="str">
        <f>"9320055"</f>
        <v>9320055</v>
      </c>
      <c r="AJ8018" t="s">
        <v>11937</v>
      </c>
      <c r="AK8018">
        <v>2841022326</v>
      </c>
      <c r="AL8018" t="s">
        <v>11938</v>
      </c>
      <c r="AM8018" t="s">
        <v>4513</v>
      </c>
      <c r="AN8018" t="s">
        <v>4514</v>
      </c>
      <c r="AO8018" t="s">
        <v>4514</v>
      </c>
      <c r="AP8018" t="s">
        <v>4514</v>
      </c>
      <c r="AQ8018">
        <v>1</v>
      </c>
      <c r="AR8018" t="s">
        <v>5177</v>
      </c>
      <c r="AS8018" t="s">
        <v>5178</v>
      </c>
      <c r="AT8018" t="s">
        <v>58</v>
      </c>
      <c r="AU8018" t="s">
        <v>68</v>
      </c>
      <c r="AV8018" t="s">
        <v>69</v>
      </c>
      <c r="AW8018" s="1">
        <v>27361</v>
      </c>
      <c r="AX8018">
        <v>1</v>
      </c>
    </row>
    <row r="8019" spans="1:50">
      <c r="B8019" t="str">
        <f>"047192229"</f>
        <v>047192229</v>
      </c>
      <c r="C8019" t="s">
        <v>50</v>
      </c>
      <c r="D8019" t="s">
        <v>3157</v>
      </c>
      <c r="E8019" t="s">
        <v>83</v>
      </c>
      <c r="F8019" t="s">
        <v>72</v>
      </c>
      <c r="G8019" t="s">
        <v>610</v>
      </c>
      <c r="H8019" t="str">
        <f>"ΣΤΑΥΡΟΣ ΑΓ ΝΙΚΟΛΑΟΣ ΚΡΗΤΗΣ"</f>
        <v>ΣΤΑΥΡΟΣ ΑΓ ΝΙΚΟΛΑΟΣ ΚΡΗΤΗΣ</v>
      </c>
      <c r="I8019">
        <v>72100</v>
      </c>
      <c r="J8019">
        <v>2841028635</v>
      </c>
      <c r="K8019">
        <v>6977988938</v>
      </c>
      <c r="N8019" t="s">
        <v>306</v>
      </c>
      <c r="O8019" t="s">
        <v>307</v>
      </c>
      <c r="R8019" t="s">
        <v>159</v>
      </c>
      <c r="S8019">
        <v>3</v>
      </c>
      <c r="T8019" t="s">
        <v>8675</v>
      </c>
      <c r="U8019" s="1">
        <v>43348</v>
      </c>
      <c r="V8019" t="s">
        <v>5177</v>
      </c>
      <c r="W8019" t="s">
        <v>5178</v>
      </c>
      <c r="X8019" t="s">
        <v>58</v>
      </c>
      <c r="Y8019">
        <v>24</v>
      </c>
      <c r="Z8019" t="s">
        <v>59</v>
      </c>
      <c r="AA8019" t="s">
        <v>59</v>
      </c>
      <c r="AB8019" t="s">
        <v>59</v>
      </c>
      <c r="AC8019" t="s">
        <v>59</v>
      </c>
      <c r="AD8019" t="s">
        <v>59</v>
      </c>
      <c r="AF8019" s="1">
        <v>43348</v>
      </c>
      <c r="AG8019" t="s">
        <v>8645</v>
      </c>
      <c r="AH8019" t="s">
        <v>8646</v>
      </c>
      <c r="AI8019" t="str">
        <f>"9320063"</f>
        <v>9320063</v>
      </c>
      <c r="AJ8019" t="s">
        <v>12026</v>
      </c>
      <c r="AK8019">
        <v>2841032369</v>
      </c>
      <c r="AL8019" t="s">
        <v>12027</v>
      </c>
      <c r="AM8019" t="s">
        <v>4513</v>
      </c>
      <c r="AN8019" t="s">
        <v>4514</v>
      </c>
      <c r="AO8019" t="s">
        <v>4524</v>
      </c>
      <c r="AP8019" t="s">
        <v>4525</v>
      </c>
      <c r="AQ8019">
        <v>1</v>
      </c>
      <c r="AR8019" t="s">
        <v>5177</v>
      </c>
      <c r="AS8019" t="s">
        <v>5178</v>
      </c>
      <c r="AT8019" t="s">
        <v>58</v>
      </c>
      <c r="AU8019" t="s">
        <v>8673</v>
      </c>
      <c r="AV8019" t="s">
        <v>132</v>
      </c>
      <c r="AW8019" s="1">
        <v>25350</v>
      </c>
      <c r="AX8019">
        <v>1</v>
      </c>
    </row>
    <row r="8020" spans="1:50">
      <c r="A8020">
        <v>605692</v>
      </c>
      <c r="B8020" t="str">
        <f>"061623456"</f>
        <v>061623456</v>
      </c>
      <c r="C8020" t="s">
        <v>50</v>
      </c>
      <c r="D8020" t="s">
        <v>3157</v>
      </c>
      <c r="E8020" t="s">
        <v>215</v>
      </c>
      <c r="F8020" t="s">
        <v>166</v>
      </c>
      <c r="G8020" t="s">
        <v>52</v>
      </c>
      <c r="H8020" t="str">
        <f>"ΣΕΛΙ ΤΘ. 13 ΕΛΟΥΝΤΑ"</f>
        <v>ΣΕΛΙ ΤΘ. 13 ΕΛΟΥΝΤΑ</v>
      </c>
      <c r="I8020">
        <v>72053</v>
      </c>
      <c r="J8020">
        <v>2841041042</v>
      </c>
      <c r="K8020">
        <v>6944554030</v>
      </c>
      <c r="N8020" t="s">
        <v>615</v>
      </c>
      <c r="O8020" t="s">
        <v>616</v>
      </c>
      <c r="R8020" t="s">
        <v>57</v>
      </c>
      <c r="S8020">
        <v>7</v>
      </c>
      <c r="T8020">
        <v>231</v>
      </c>
      <c r="U8020" s="1">
        <v>38230</v>
      </c>
      <c r="V8020" t="s">
        <v>5177</v>
      </c>
      <c r="W8020" t="s">
        <v>5178</v>
      </c>
      <c r="X8020" t="s">
        <v>58</v>
      </c>
      <c r="Y8020">
        <v>22</v>
      </c>
      <c r="Z8020" t="s">
        <v>59</v>
      </c>
      <c r="AA8020" t="s">
        <v>59</v>
      </c>
      <c r="AB8020" t="s">
        <v>59</v>
      </c>
      <c r="AC8020" t="s">
        <v>59</v>
      </c>
      <c r="AD8020" t="s">
        <v>59</v>
      </c>
      <c r="AF8020" s="1">
        <v>38231</v>
      </c>
      <c r="AG8020" t="s">
        <v>8645</v>
      </c>
      <c r="AH8020" t="s">
        <v>8646</v>
      </c>
      <c r="AI8020" t="str">
        <f>"9320071"</f>
        <v>9320071</v>
      </c>
      <c r="AJ8020" t="s">
        <v>12098</v>
      </c>
      <c r="AK8020">
        <v>2841041234</v>
      </c>
      <c r="AL8020" t="s">
        <v>12099</v>
      </c>
      <c r="AM8020" t="s">
        <v>4513</v>
      </c>
      <c r="AN8020" t="s">
        <v>4514</v>
      </c>
      <c r="AO8020" t="s">
        <v>4514</v>
      </c>
      <c r="AP8020" t="s">
        <v>12100</v>
      </c>
      <c r="AQ8020">
        <v>2</v>
      </c>
      <c r="AR8020" t="s">
        <v>5177</v>
      </c>
      <c r="AS8020" t="s">
        <v>5178</v>
      </c>
      <c r="AT8020" t="s">
        <v>58</v>
      </c>
      <c r="AU8020" t="s">
        <v>68</v>
      </c>
      <c r="AV8020" t="s">
        <v>69</v>
      </c>
      <c r="AW8020" s="1">
        <v>26817</v>
      </c>
      <c r="AX8020">
        <v>1</v>
      </c>
    </row>
    <row r="8021" spans="1:50">
      <c r="A8021">
        <v>594996</v>
      </c>
      <c r="B8021" t="str">
        <f>"110382912"</f>
        <v>110382912</v>
      </c>
      <c r="C8021" t="s">
        <v>50</v>
      </c>
      <c r="D8021" t="s">
        <v>3157</v>
      </c>
      <c r="E8021" t="s">
        <v>52</v>
      </c>
      <c r="F8021" t="s">
        <v>12452</v>
      </c>
      <c r="G8021" t="s">
        <v>1065</v>
      </c>
      <c r="H8021" t="str">
        <f>"ΗΡΩΩΝ ΠΟΛΥΤΕΧΝΕΙΟΥ 13 ΙΕΡΑΠΕΤΡΑ"</f>
        <v>ΗΡΩΩΝ ΠΟΛΥΤΕΧΝΕΙΟΥ 13 ΙΕΡΑΠΕΤΡΑ</v>
      </c>
      <c r="I8021">
        <v>72200</v>
      </c>
      <c r="J8021">
        <v>2842025618</v>
      </c>
      <c r="K8021">
        <v>6971721976</v>
      </c>
      <c r="N8021" t="s">
        <v>615</v>
      </c>
      <c r="O8021" t="s">
        <v>616</v>
      </c>
      <c r="R8021" t="s">
        <v>57</v>
      </c>
      <c r="S8021">
        <v>8</v>
      </c>
      <c r="T8021">
        <v>218</v>
      </c>
      <c r="U8021" s="1">
        <v>37134</v>
      </c>
      <c r="V8021" t="s">
        <v>5177</v>
      </c>
      <c r="W8021" t="s">
        <v>5178</v>
      </c>
      <c r="X8021" t="s">
        <v>58</v>
      </c>
      <c r="Y8021">
        <v>22</v>
      </c>
      <c r="Z8021" t="s">
        <v>59</v>
      </c>
      <c r="AA8021" t="s">
        <v>59</v>
      </c>
      <c r="AB8021" t="s">
        <v>59</v>
      </c>
      <c r="AC8021" t="s">
        <v>59</v>
      </c>
      <c r="AD8021" t="s">
        <v>59</v>
      </c>
      <c r="AF8021" s="1">
        <v>37139</v>
      </c>
      <c r="AG8021" t="s">
        <v>8645</v>
      </c>
      <c r="AH8021" t="s">
        <v>8646</v>
      </c>
      <c r="AI8021" t="str">
        <f>"9320006"</f>
        <v>9320006</v>
      </c>
      <c r="AJ8021" t="s">
        <v>11919</v>
      </c>
      <c r="AK8021">
        <v>2842022359</v>
      </c>
      <c r="AL8021" t="s">
        <v>11920</v>
      </c>
      <c r="AM8021" t="s">
        <v>4513</v>
      </c>
      <c r="AN8021" t="s">
        <v>4519</v>
      </c>
      <c r="AO8021" t="s">
        <v>4519</v>
      </c>
      <c r="AP8021" t="s">
        <v>4519</v>
      </c>
      <c r="AQ8021">
        <v>4</v>
      </c>
      <c r="AR8021" t="s">
        <v>5177</v>
      </c>
      <c r="AS8021" t="s">
        <v>5178</v>
      </c>
      <c r="AT8021" t="s">
        <v>58</v>
      </c>
      <c r="AU8021" t="s">
        <v>68</v>
      </c>
      <c r="AV8021" t="s">
        <v>69</v>
      </c>
      <c r="AW8021" s="1">
        <v>25768</v>
      </c>
      <c r="AX8021">
        <v>1</v>
      </c>
    </row>
    <row r="8022" spans="1:50">
      <c r="A8022">
        <v>586718</v>
      </c>
      <c r="B8022" t="str">
        <f>"055223825"</f>
        <v>055223825</v>
      </c>
      <c r="C8022" t="s">
        <v>50</v>
      </c>
      <c r="D8022" t="s">
        <v>3157</v>
      </c>
      <c r="E8022" t="s">
        <v>52</v>
      </c>
      <c r="F8022" t="s">
        <v>1414</v>
      </c>
      <c r="G8022" t="s">
        <v>191</v>
      </c>
      <c r="H8022" t="str">
        <f>"ΓΙΑΝΝΑΚΟΥ 11 ΙΕΡΑΠΕΤΡΑ"</f>
        <v>ΓΙΑΝΝΑΚΟΥ 11 ΙΕΡΑΠΕΤΡΑ</v>
      </c>
      <c r="I8022">
        <v>72200</v>
      </c>
      <c r="J8022">
        <v>2842025664</v>
      </c>
      <c r="K8022">
        <v>6972314156</v>
      </c>
      <c r="N8022" t="s">
        <v>615</v>
      </c>
      <c r="O8022" t="s">
        <v>616</v>
      </c>
      <c r="R8022" t="s">
        <v>57</v>
      </c>
      <c r="S8022">
        <v>11</v>
      </c>
      <c r="T8022">
        <v>165</v>
      </c>
      <c r="U8022" s="1">
        <v>36040</v>
      </c>
      <c r="V8022" t="s">
        <v>5177</v>
      </c>
      <c r="W8022" t="s">
        <v>5178</v>
      </c>
      <c r="X8022" t="s">
        <v>58</v>
      </c>
      <c r="Y8022">
        <v>21</v>
      </c>
      <c r="Z8022" t="s">
        <v>59</v>
      </c>
      <c r="AA8022" t="s">
        <v>59</v>
      </c>
      <c r="AB8022" t="s">
        <v>59</v>
      </c>
      <c r="AC8022" t="s">
        <v>59</v>
      </c>
      <c r="AD8022" t="s">
        <v>59</v>
      </c>
      <c r="AF8022" s="1">
        <v>36045</v>
      </c>
      <c r="AG8022" t="s">
        <v>8645</v>
      </c>
      <c r="AH8022" t="s">
        <v>8646</v>
      </c>
      <c r="AI8022" t="str">
        <f>"9320006"</f>
        <v>9320006</v>
      </c>
      <c r="AJ8022" t="s">
        <v>11919</v>
      </c>
      <c r="AK8022">
        <v>2842022359</v>
      </c>
      <c r="AL8022" t="s">
        <v>11920</v>
      </c>
      <c r="AM8022" t="s">
        <v>4513</v>
      </c>
      <c r="AN8022" t="s">
        <v>4519</v>
      </c>
      <c r="AO8022" t="s">
        <v>4519</v>
      </c>
      <c r="AP8022" t="s">
        <v>4519</v>
      </c>
      <c r="AQ8022">
        <v>4</v>
      </c>
      <c r="AR8022" t="s">
        <v>5177</v>
      </c>
      <c r="AS8022" t="s">
        <v>5178</v>
      </c>
      <c r="AT8022" t="s">
        <v>58</v>
      </c>
      <c r="AU8022" t="s">
        <v>68</v>
      </c>
      <c r="AV8022" t="s">
        <v>69</v>
      </c>
      <c r="AW8022" s="1">
        <v>24988</v>
      </c>
      <c r="AX8022">
        <v>1</v>
      </c>
    </row>
    <row r="8023" spans="1:50">
      <c r="A8023">
        <v>559251</v>
      </c>
      <c r="B8023" t="str">
        <f>"110357337"</f>
        <v>110357337</v>
      </c>
      <c r="C8023" t="s">
        <v>50</v>
      </c>
      <c r="D8023" t="s">
        <v>3157</v>
      </c>
      <c r="E8023" t="s">
        <v>1078</v>
      </c>
      <c r="F8023" t="s">
        <v>564</v>
      </c>
      <c r="G8023" t="s">
        <v>52</v>
      </c>
      <c r="H8023" t="str">
        <f>"ΓΕΩΡΓΙΟΥ ΓΕΝΝΗΜΑΤΑ ΣΗΤΕΙΑ"</f>
        <v>ΓΕΩΡΓΙΟΥ ΓΕΝΝΗΜΑΤΑ ΣΗΤΕΙΑ</v>
      </c>
      <c r="I8023">
        <v>72300</v>
      </c>
      <c r="N8023" t="s">
        <v>615</v>
      </c>
      <c r="O8023" t="s">
        <v>616</v>
      </c>
      <c r="R8023" t="s">
        <v>57</v>
      </c>
      <c r="S8023">
        <v>17</v>
      </c>
      <c r="T8023">
        <v>168</v>
      </c>
      <c r="U8023" s="1">
        <v>32010</v>
      </c>
      <c r="V8023" t="s">
        <v>5177</v>
      </c>
      <c r="W8023" t="s">
        <v>5178</v>
      </c>
      <c r="X8023" t="s">
        <v>58</v>
      </c>
      <c r="Y8023">
        <v>21</v>
      </c>
      <c r="Z8023" t="s">
        <v>59</v>
      </c>
      <c r="AA8023" t="s">
        <v>59</v>
      </c>
      <c r="AB8023" t="s">
        <v>59</v>
      </c>
      <c r="AC8023" t="s">
        <v>59</v>
      </c>
      <c r="AD8023" t="s">
        <v>59</v>
      </c>
      <c r="AF8023" s="1">
        <v>32010</v>
      </c>
      <c r="AG8023" t="s">
        <v>8645</v>
      </c>
      <c r="AH8023" t="s">
        <v>8646</v>
      </c>
      <c r="AI8023" t="str">
        <f>"9320205"</f>
        <v>9320205</v>
      </c>
      <c r="AJ8023" t="s">
        <v>11902</v>
      </c>
      <c r="AK8023">
        <v>2843024509</v>
      </c>
      <c r="AL8023" t="s">
        <v>11903</v>
      </c>
      <c r="AM8023" t="s">
        <v>4513</v>
      </c>
      <c r="AN8023" t="s">
        <v>4540</v>
      </c>
      <c r="AO8023" t="s">
        <v>4540</v>
      </c>
      <c r="AP8023" t="s">
        <v>4540</v>
      </c>
      <c r="AQ8023">
        <v>8</v>
      </c>
      <c r="AR8023" t="s">
        <v>5177</v>
      </c>
      <c r="AS8023" t="s">
        <v>5178</v>
      </c>
      <c r="AT8023" t="s">
        <v>58</v>
      </c>
      <c r="AU8023" t="s">
        <v>68</v>
      </c>
      <c r="AV8023" t="s">
        <v>69</v>
      </c>
      <c r="AW8023" s="1">
        <v>22773</v>
      </c>
      <c r="AX8023">
        <v>1</v>
      </c>
    </row>
    <row r="8024" spans="1:50">
      <c r="B8024" t="str">
        <f>"136300728"</f>
        <v>136300728</v>
      </c>
      <c r="C8024" t="s">
        <v>50</v>
      </c>
      <c r="D8024" t="s">
        <v>8058</v>
      </c>
      <c r="E8024" t="s">
        <v>484</v>
      </c>
      <c r="F8024" t="s">
        <v>99</v>
      </c>
      <c r="G8024" t="s">
        <v>237</v>
      </c>
      <c r="H8024" t="str">
        <f>"ΑΡΚΑΔΙΟΥΠΟΛΕΩΣ 12 ΣΕΡΡΕΣ"</f>
        <v>ΑΡΚΑΔΙΟΥΠΟΛΕΩΣ 12 ΣΕΡΡΕΣ</v>
      </c>
      <c r="I8024">
        <v>62125</v>
      </c>
      <c r="J8024">
        <v>2321037180</v>
      </c>
      <c r="K8024">
        <v>6932552012</v>
      </c>
      <c r="N8024" t="s">
        <v>306</v>
      </c>
      <c r="O8024" t="s">
        <v>307</v>
      </c>
      <c r="R8024" t="s">
        <v>159</v>
      </c>
      <c r="S8024">
        <v>2</v>
      </c>
      <c r="T8024" t="s">
        <v>8675</v>
      </c>
      <c r="U8024" s="1">
        <v>43348</v>
      </c>
      <c r="V8024" t="s">
        <v>5177</v>
      </c>
      <c r="W8024" t="s">
        <v>5178</v>
      </c>
      <c r="X8024" t="s">
        <v>58</v>
      </c>
      <c r="Y8024">
        <v>24</v>
      </c>
      <c r="Z8024" t="s">
        <v>59</v>
      </c>
      <c r="AA8024" t="s">
        <v>59</v>
      </c>
      <c r="AB8024" t="s">
        <v>59</v>
      </c>
      <c r="AC8024" t="s">
        <v>59</v>
      </c>
      <c r="AD8024" t="s">
        <v>59</v>
      </c>
      <c r="AF8024" s="1">
        <v>43348</v>
      </c>
      <c r="AG8024" t="s">
        <v>8645</v>
      </c>
      <c r="AH8024" t="s">
        <v>8646</v>
      </c>
      <c r="AI8024" t="str">
        <f>"9320009"</f>
        <v>9320009</v>
      </c>
      <c r="AJ8024" t="s">
        <v>11959</v>
      </c>
      <c r="AK8024">
        <v>2842061261</v>
      </c>
      <c r="AL8024" t="s">
        <v>11960</v>
      </c>
      <c r="AM8024" t="s">
        <v>4513</v>
      </c>
      <c r="AN8024" t="s">
        <v>4519</v>
      </c>
      <c r="AO8024" t="s">
        <v>4519</v>
      </c>
      <c r="AP8024" t="s">
        <v>11961</v>
      </c>
      <c r="AQ8024">
        <v>6</v>
      </c>
      <c r="AR8024" t="s">
        <v>5177</v>
      </c>
      <c r="AS8024" t="s">
        <v>5178</v>
      </c>
      <c r="AT8024" t="s">
        <v>58</v>
      </c>
      <c r="AU8024" t="s">
        <v>8673</v>
      </c>
      <c r="AV8024" t="s">
        <v>132</v>
      </c>
      <c r="AW8024" s="1">
        <v>31212</v>
      </c>
      <c r="AX8024">
        <v>1</v>
      </c>
    </row>
    <row r="8025" spans="1:50">
      <c r="A8025">
        <v>618813</v>
      </c>
      <c r="B8025" t="str">
        <f>"065427080"</f>
        <v>065427080</v>
      </c>
      <c r="C8025" t="s">
        <v>105</v>
      </c>
      <c r="D8025" t="s">
        <v>3230</v>
      </c>
      <c r="E8025" t="s">
        <v>558</v>
      </c>
      <c r="F8025" t="s">
        <v>315</v>
      </c>
      <c r="G8025" t="s">
        <v>476</v>
      </c>
      <c r="H8025" t="str">
        <f>"ΠΟΝΤΟΥ 12-16 ΣΕΡΡΕΣ"</f>
        <v>ΠΟΝΤΟΥ 12-16 ΣΕΡΡΕΣ</v>
      </c>
      <c r="I8025">
        <v>62125</v>
      </c>
      <c r="J8025">
        <v>2321036100</v>
      </c>
      <c r="K8025">
        <v>6974070226</v>
      </c>
      <c r="M8025" t="s">
        <v>12453</v>
      </c>
      <c r="N8025" t="s">
        <v>615</v>
      </c>
      <c r="O8025" t="s">
        <v>616</v>
      </c>
      <c r="R8025" t="s">
        <v>57</v>
      </c>
      <c r="S8025">
        <v>5</v>
      </c>
      <c r="T8025">
        <v>774</v>
      </c>
      <c r="U8025" s="1">
        <v>39680</v>
      </c>
      <c r="V8025" t="s">
        <v>5177</v>
      </c>
      <c r="W8025" t="s">
        <v>5178</v>
      </c>
      <c r="X8025" t="s">
        <v>58</v>
      </c>
      <c r="Y8025">
        <v>23</v>
      </c>
      <c r="Z8025" t="s">
        <v>59</v>
      </c>
      <c r="AA8025" t="s">
        <v>59</v>
      </c>
      <c r="AB8025" t="s">
        <v>59</v>
      </c>
      <c r="AC8025" t="s">
        <v>59</v>
      </c>
      <c r="AD8025" t="s">
        <v>59</v>
      </c>
      <c r="AF8025" s="1">
        <v>39681</v>
      </c>
      <c r="AG8025" t="s">
        <v>8645</v>
      </c>
      <c r="AH8025" t="s">
        <v>8646</v>
      </c>
      <c r="AI8025" t="str">
        <f>"9320115"</f>
        <v>9320115</v>
      </c>
      <c r="AJ8025" t="s">
        <v>11935</v>
      </c>
      <c r="AK8025">
        <v>2843061213</v>
      </c>
      <c r="AL8025" t="s">
        <v>11936</v>
      </c>
      <c r="AM8025" t="s">
        <v>4513</v>
      </c>
      <c r="AN8025" t="s">
        <v>4540</v>
      </c>
      <c r="AO8025" t="s">
        <v>4700</v>
      </c>
      <c r="AP8025" t="s">
        <v>4701</v>
      </c>
      <c r="AQ8025">
        <v>9</v>
      </c>
      <c r="AR8025" t="s">
        <v>5177</v>
      </c>
      <c r="AS8025" t="s">
        <v>5178</v>
      </c>
      <c r="AT8025" t="s">
        <v>58</v>
      </c>
      <c r="AU8025" t="s">
        <v>68</v>
      </c>
      <c r="AV8025" t="s">
        <v>69</v>
      </c>
      <c r="AW8025" s="1">
        <v>29442</v>
      </c>
      <c r="AX8025">
        <v>1</v>
      </c>
    </row>
    <row r="8026" spans="1:50">
      <c r="B8026" t="str">
        <f>"102064450"</f>
        <v>102064450</v>
      </c>
      <c r="C8026" t="s">
        <v>105</v>
      </c>
      <c r="D8026" t="s">
        <v>3230</v>
      </c>
      <c r="E8026" t="s">
        <v>1373</v>
      </c>
      <c r="F8026" t="s">
        <v>95</v>
      </c>
      <c r="G8026" t="s">
        <v>2248</v>
      </c>
      <c r="H8026" t="str">
        <f>"ΒΟΤΣΗ 1 ΚΑΤΕΡΙΝΗ"</f>
        <v>ΒΟΤΣΗ 1 ΚΑΤΕΡΙΝΗ</v>
      </c>
      <c r="I8026">
        <v>60100</v>
      </c>
      <c r="J8026">
        <v>2351026058</v>
      </c>
      <c r="K8026">
        <v>6948943390</v>
      </c>
      <c r="N8026" t="s">
        <v>306</v>
      </c>
      <c r="O8026" t="s">
        <v>307</v>
      </c>
      <c r="R8026" t="s">
        <v>159</v>
      </c>
      <c r="S8026">
        <v>2</v>
      </c>
      <c r="T8026" t="s">
        <v>8675</v>
      </c>
      <c r="U8026" s="1">
        <v>43348</v>
      </c>
      <c r="V8026" t="s">
        <v>5177</v>
      </c>
      <c r="W8026" t="s">
        <v>5178</v>
      </c>
      <c r="X8026" t="s">
        <v>58</v>
      </c>
      <c r="Y8026">
        <v>24</v>
      </c>
      <c r="Z8026" t="s">
        <v>59</v>
      </c>
      <c r="AA8026" t="s">
        <v>59</v>
      </c>
      <c r="AB8026" t="s">
        <v>59</v>
      </c>
      <c r="AC8026" t="s">
        <v>59</v>
      </c>
      <c r="AD8026" t="s">
        <v>59</v>
      </c>
      <c r="AF8026" s="1">
        <v>43348</v>
      </c>
      <c r="AG8026" t="s">
        <v>8645</v>
      </c>
      <c r="AH8026" t="s">
        <v>8646</v>
      </c>
      <c r="AI8026" t="str">
        <f>"9320127"</f>
        <v>9320127</v>
      </c>
      <c r="AJ8026" t="s">
        <v>12040</v>
      </c>
      <c r="AK8026">
        <v>2843051221</v>
      </c>
      <c r="AL8026" t="s">
        <v>12041</v>
      </c>
      <c r="AM8026" t="s">
        <v>4513</v>
      </c>
      <c r="AN8026" t="s">
        <v>4519</v>
      </c>
      <c r="AO8026" t="s">
        <v>4766</v>
      </c>
      <c r="AP8026" t="s">
        <v>4767</v>
      </c>
      <c r="AQ8026">
        <v>6</v>
      </c>
      <c r="AR8026" t="s">
        <v>5177</v>
      </c>
      <c r="AS8026" t="s">
        <v>5178</v>
      </c>
      <c r="AT8026" t="s">
        <v>58</v>
      </c>
      <c r="AU8026" t="s">
        <v>8673</v>
      </c>
      <c r="AV8026" t="s">
        <v>132</v>
      </c>
      <c r="AW8026" s="1">
        <v>27654</v>
      </c>
      <c r="AX8026">
        <v>1</v>
      </c>
    </row>
    <row r="8027" spans="1:50">
      <c r="A8027">
        <v>602608</v>
      </c>
      <c r="B8027" t="str">
        <f>"076109243"</f>
        <v>076109243</v>
      </c>
      <c r="C8027" t="s">
        <v>50</v>
      </c>
      <c r="D8027" t="s">
        <v>3232</v>
      </c>
      <c r="E8027" t="s">
        <v>73</v>
      </c>
      <c r="F8027" t="s">
        <v>1787</v>
      </c>
      <c r="G8027" t="s">
        <v>1074</v>
      </c>
      <c r="H8027" t="str">
        <f>"ΚΑΤΣΙΚΙΑ ΑΓ. ΝΙΚΟΛΑΟΣ ΚΡΗΤΗΣ"</f>
        <v>ΚΑΤΣΙΚΙΑ ΑΓ. ΝΙΚΟΛΑΟΣ ΚΡΗΤΗΣ</v>
      </c>
      <c r="I8027">
        <v>72100</v>
      </c>
      <c r="J8027">
        <v>2841027039</v>
      </c>
      <c r="K8027">
        <v>6948547729</v>
      </c>
      <c r="N8027" t="s">
        <v>615</v>
      </c>
      <c r="O8027" t="s">
        <v>616</v>
      </c>
      <c r="R8027" t="s">
        <v>57</v>
      </c>
      <c r="S8027">
        <v>8</v>
      </c>
      <c r="T8027">
        <v>207</v>
      </c>
      <c r="U8027" s="1">
        <v>37502</v>
      </c>
      <c r="V8027" t="s">
        <v>5177</v>
      </c>
      <c r="W8027" t="s">
        <v>5178</v>
      </c>
      <c r="X8027" t="s">
        <v>58</v>
      </c>
      <c r="Y8027">
        <v>22</v>
      </c>
      <c r="Z8027" t="s">
        <v>59</v>
      </c>
      <c r="AA8027" t="s">
        <v>59</v>
      </c>
      <c r="AB8027" t="s">
        <v>59</v>
      </c>
      <c r="AC8027" t="s">
        <v>59</v>
      </c>
      <c r="AD8027" t="s">
        <v>59</v>
      </c>
      <c r="AF8027" s="1">
        <v>37866</v>
      </c>
      <c r="AG8027" t="s">
        <v>8645</v>
      </c>
      <c r="AH8027" t="s">
        <v>8646</v>
      </c>
      <c r="AI8027" t="str">
        <f>"9320210"</f>
        <v>9320210</v>
      </c>
      <c r="AJ8027" t="s">
        <v>11890</v>
      </c>
      <c r="AK8027">
        <v>2841026705</v>
      </c>
      <c r="AL8027" t="s">
        <v>11891</v>
      </c>
      <c r="AM8027" t="s">
        <v>4513</v>
      </c>
      <c r="AN8027" t="s">
        <v>4514</v>
      </c>
      <c r="AO8027" t="s">
        <v>4514</v>
      </c>
      <c r="AP8027" t="s">
        <v>4514</v>
      </c>
      <c r="AQ8027">
        <v>1</v>
      </c>
      <c r="AR8027" t="s">
        <v>5177</v>
      </c>
      <c r="AS8027" t="s">
        <v>5178</v>
      </c>
      <c r="AT8027" t="s">
        <v>58</v>
      </c>
      <c r="AU8027" t="s">
        <v>68</v>
      </c>
      <c r="AV8027" t="s">
        <v>69</v>
      </c>
      <c r="AW8027" s="1">
        <v>26095</v>
      </c>
      <c r="AX8027">
        <v>1</v>
      </c>
    </row>
    <row r="8028" spans="1:50">
      <c r="A8028">
        <v>604463</v>
      </c>
      <c r="B8028" t="str">
        <f>"035005382"</f>
        <v>035005382</v>
      </c>
      <c r="C8028" t="s">
        <v>50</v>
      </c>
      <c r="D8028" t="s">
        <v>3232</v>
      </c>
      <c r="E8028" t="s">
        <v>263</v>
      </c>
      <c r="F8028" t="s">
        <v>99</v>
      </c>
      <c r="G8028" t="s">
        <v>12454</v>
      </c>
      <c r="H8028" t="str">
        <f>"Λ. ΘΕΣΣΑΛΟΝΙΚΗΣ 1 ΝΕΑ ΜΑΛΓΑΡΑ"</f>
        <v>Λ. ΘΕΣΣΑΛΟΝΙΚΗΣ 1 ΝΕΑ ΜΑΛΓΑΡΑ</v>
      </c>
      <c r="I8028">
        <v>57300</v>
      </c>
      <c r="J8028">
        <v>2391042817</v>
      </c>
      <c r="L8028">
        <v>2391042450</v>
      </c>
      <c r="N8028" t="s">
        <v>615</v>
      </c>
      <c r="O8028" t="s">
        <v>616</v>
      </c>
      <c r="R8028" t="s">
        <v>57</v>
      </c>
      <c r="S8028">
        <v>6</v>
      </c>
      <c r="T8028">
        <v>231</v>
      </c>
      <c r="U8028" s="1">
        <v>38230</v>
      </c>
      <c r="V8028" t="s">
        <v>5177</v>
      </c>
      <c r="W8028" t="s">
        <v>5178</v>
      </c>
      <c r="X8028" t="s">
        <v>58</v>
      </c>
      <c r="Y8028">
        <v>23</v>
      </c>
      <c r="Z8028" t="s">
        <v>59</v>
      </c>
      <c r="AA8028" t="s">
        <v>59</v>
      </c>
      <c r="AB8028" t="s">
        <v>59</v>
      </c>
      <c r="AC8028" t="s">
        <v>452</v>
      </c>
      <c r="AD8028" t="s">
        <v>59</v>
      </c>
      <c r="AF8028" s="1">
        <v>38231</v>
      </c>
      <c r="AG8028" t="s">
        <v>8645</v>
      </c>
      <c r="AH8028" t="s">
        <v>8646</v>
      </c>
      <c r="AI8028" t="str">
        <f>"9320098"</f>
        <v>9320098</v>
      </c>
      <c r="AJ8028" t="s">
        <v>12053</v>
      </c>
      <c r="AK8028">
        <v>2843051475</v>
      </c>
      <c r="AL8028" t="s">
        <v>12054</v>
      </c>
      <c r="AM8028" t="s">
        <v>4513</v>
      </c>
      <c r="AN8028" t="s">
        <v>4519</v>
      </c>
      <c r="AO8028" t="s">
        <v>4766</v>
      </c>
      <c r="AP8028" t="s">
        <v>12055</v>
      </c>
      <c r="AQ8028">
        <v>6</v>
      </c>
      <c r="AR8028" t="s">
        <v>5177</v>
      </c>
      <c r="AS8028" t="s">
        <v>5178</v>
      </c>
      <c r="AT8028" t="s">
        <v>58</v>
      </c>
      <c r="AU8028" t="s">
        <v>68</v>
      </c>
      <c r="AV8028" t="s">
        <v>69</v>
      </c>
      <c r="AW8028" s="1">
        <v>23796</v>
      </c>
      <c r="AX8028">
        <v>1</v>
      </c>
    </row>
    <row r="8029" spans="1:50">
      <c r="B8029" t="str">
        <f>"146413847"</f>
        <v>146413847</v>
      </c>
      <c r="C8029" t="s">
        <v>50</v>
      </c>
      <c r="D8029" t="s">
        <v>3232</v>
      </c>
      <c r="E8029" t="s">
        <v>83</v>
      </c>
      <c r="F8029" t="s">
        <v>99</v>
      </c>
      <c r="G8029" t="s">
        <v>1752</v>
      </c>
      <c r="H8029" t="str">
        <f>"ΕΡΓΑΤΙΚΗΣ ΕΣΤΙΑΣ 13 "</f>
        <v xml:space="preserve">ΕΡΓΑΤΙΚΗΣ ΕΣΤΙΑΣ 13 </v>
      </c>
      <c r="I8029">
        <v>72100</v>
      </c>
      <c r="J8029">
        <v>2841025661</v>
      </c>
      <c r="K8029">
        <v>6979648379</v>
      </c>
      <c r="N8029" t="s">
        <v>615</v>
      </c>
      <c r="O8029" t="s">
        <v>616</v>
      </c>
      <c r="R8029" t="s">
        <v>159</v>
      </c>
      <c r="S8029">
        <v>5</v>
      </c>
      <c r="T8029" t="s">
        <v>8675</v>
      </c>
      <c r="U8029" s="1">
        <v>43348</v>
      </c>
      <c r="V8029" t="s">
        <v>5177</v>
      </c>
      <c r="W8029" t="s">
        <v>5178</v>
      </c>
      <c r="X8029" t="s">
        <v>58</v>
      </c>
      <c r="Y8029">
        <v>24</v>
      </c>
      <c r="Z8029" t="s">
        <v>59</v>
      </c>
      <c r="AA8029" t="s">
        <v>59</v>
      </c>
      <c r="AB8029" t="s">
        <v>59</v>
      </c>
      <c r="AC8029" t="s">
        <v>59</v>
      </c>
      <c r="AD8029" t="s">
        <v>59</v>
      </c>
      <c r="AF8029" s="1">
        <v>43348</v>
      </c>
      <c r="AG8029" t="s">
        <v>8645</v>
      </c>
      <c r="AH8029" t="s">
        <v>8646</v>
      </c>
      <c r="AI8029" t="str">
        <f>"9320071"</f>
        <v>9320071</v>
      </c>
      <c r="AJ8029" t="s">
        <v>12098</v>
      </c>
      <c r="AK8029">
        <v>2841041234</v>
      </c>
      <c r="AL8029" t="s">
        <v>12099</v>
      </c>
      <c r="AM8029" t="s">
        <v>4513</v>
      </c>
      <c r="AN8029" t="s">
        <v>4514</v>
      </c>
      <c r="AO8029" t="s">
        <v>4514</v>
      </c>
      <c r="AP8029" t="s">
        <v>12100</v>
      </c>
      <c r="AQ8029">
        <v>2</v>
      </c>
      <c r="AR8029" t="s">
        <v>5177</v>
      </c>
      <c r="AS8029" t="s">
        <v>5178</v>
      </c>
      <c r="AT8029" t="s">
        <v>58</v>
      </c>
      <c r="AU8029" t="s">
        <v>8673</v>
      </c>
      <c r="AV8029" t="s">
        <v>132</v>
      </c>
      <c r="AW8029" s="1">
        <v>32025</v>
      </c>
      <c r="AX8029">
        <v>1</v>
      </c>
    </row>
    <row r="8030" spans="1:50">
      <c r="B8030" t="str">
        <f>"136049496"</f>
        <v>136049496</v>
      </c>
      <c r="C8030" t="s">
        <v>50</v>
      </c>
      <c r="D8030" t="s">
        <v>3232</v>
      </c>
      <c r="E8030" t="s">
        <v>83</v>
      </c>
      <c r="F8030" t="s">
        <v>111</v>
      </c>
      <c r="G8030" t="s">
        <v>143</v>
      </c>
      <c r="H8030" t="str">
        <f>" "</f>
        <v xml:space="preserve"> </v>
      </c>
      <c r="N8030" t="s">
        <v>683</v>
      </c>
      <c r="O8030" t="s">
        <v>684</v>
      </c>
      <c r="R8030" t="s">
        <v>121</v>
      </c>
      <c r="S8030">
        <v>1</v>
      </c>
      <c r="T8030" t="s">
        <v>8675</v>
      </c>
      <c r="U8030" s="1">
        <v>43348</v>
      </c>
      <c r="V8030" t="s">
        <v>5177</v>
      </c>
      <c r="W8030" t="s">
        <v>5178</v>
      </c>
      <c r="X8030" t="s">
        <v>58</v>
      </c>
      <c r="Y8030">
        <v>24</v>
      </c>
      <c r="Z8030" t="s">
        <v>59</v>
      </c>
      <c r="AA8030" t="s">
        <v>59</v>
      </c>
      <c r="AB8030" t="s">
        <v>59</v>
      </c>
      <c r="AD8030" t="s">
        <v>59</v>
      </c>
      <c r="AF8030" s="1">
        <v>43348</v>
      </c>
      <c r="AG8030" t="s">
        <v>8645</v>
      </c>
      <c r="AH8030" t="s">
        <v>8646</v>
      </c>
      <c r="AI8030" t="str">
        <f>"9320001"</f>
        <v>9320001</v>
      </c>
      <c r="AJ8030" t="s">
        <v>11954</v>
      </c>
      <c r="AK8030">
        <v>2842022505</v>
      </c>
      <c r="AL8030" t="s">
        <v>11955</v>
      </c>
      <c r="AM8030" t="s">
        <v>4513</v>
      </c>
      <c r="AN8030" t="s">
        <v>4519</v>
      </c>
      <c r="AO8030" t="s">
        <v>4519</v>
      </c>
      <c r="AP8030" t="s">
        <v>4519</v>
      </c>
      <c r="AQ8030">
        <v>4</v>
      </c>
      <c r="AR8030" t="s">
        <v>5177</v>
      </c>
      <c r="AS8030" t="s">
        <v>5178</v>
      </c>
      <c r="AT8030" t="s">
        <v>58</v>
      </c>
      <c r="AU8030" t="s">
        <v>8673</v>
      </c>
      <c r="AV8030" t="s">
        <v>132</v>
      </c>
      <c r="AW8030" s="1">
        <v>31343</v>
      </c>
      <c r="AX8030">
        <v>1</v>
      </c>
    </row>
    <row r="8031" spans="1:50">
      <c r="B8031" t="str">
        <f>"151199384"</f>
        <v>151199384</v>
      </c>
      <c r="C8031" t="s">
        <v>50</v>
      </c>
      <c r="D8031" t="s">
        <v>3232</v>
      </c>
      <c r="E8031" t="s">
        <v>809</v>
      </c>
      <c r="F8031" t="s">
        <v>95</v>
      </c>
      <c r="G8031" t="s">
        <v>600</v>
      </c>
      <c r="H8031" t="str">
        <f>" "</f>
        <v xml:space="preserve"> </v>
      </c>
      <c r="N8031" t="s">
        <v>615</v>
      </c>
      <c r="O8031" t="s">
        <v>616</v>
      </c>
      <c r="R8031" t="s">
        <v>121</v>
      </c>
      <c r="S8031">
        <v>1</v>
      </c>
      <c r="T8031" t="s">
        <v>8675</v>
      </c>
      <c r="U8031" s="1">
        <v>43348</v>
      </c>
      <c r="V8031" t="s">
        <v>5177</v>
      </c>
      <c r="W8031" t="s">
        <v>5178</v>
      </c>
      <c r="X8031" t="s">
        <v>58</v>
      </c>
      <c r="Y8031">
        <v>24</v>
      </c>
      <c r="Z8031" t="s">
        <v>59</v>
      </c>
      <c r="AA8031" t="s">
        <v>59</v>
      </c>
      <c r="AB8031" t="s">
        <v>59</v>
      </c>
      <c r="AC8031" t="s">
        <v>59</v>
      </c>
      <c r="AD8031" t="s">
        <v>59</v>
      </c>
      <c r="AF8031" s="1">
        <v>43348</v>
      </c>
      <c r="AG8031" t="s">
        <v>8645</v>
      </c>
      <c r="AH8031" t="s">
        <v>8646</v>
      </c>
      <c r="AI8031" t="str">
        <f>"9320090"</f>
        <v>9320090</v>
      </c>
      <c r="AJ8031" t="s">
        <v>11926</v>
      </c>
      <c r="AK8031">
        <v>2843022385</v>
      </c>
      <c r="AL8031" t="s">
        <v>11927</v>
      </c>
      <c r="AM8031" t="s">
        <v>4513</v>
      </c>
      <c r="AN8031" t="s">
        <v>4540</v>
      </c>
      <c r="AO8031" t="s">
        <v>4540</v>
      </c>
      <c r="AP8031" t="s">
        <v>4540</v>
      </c>
      <c r="AQ8031">
        <v>8</v>
      </c>
      <c r="AR8031" t="s">
        <v>5177</v>
      </c>
      <c r="AS8031" t="s">
        <v>5178</v>
      </c>
      <c r="AT8031" t="s">
        <v>58</v>
      </c>
      <c r="AU8031" t="s">
        <v>8673</v>
      </c>
      <c r="AV8031" t="s">
        <v>132</v>
      </c>
      <c r="AW8031" s="1">
        <v>32930</v>
      </c>
      <c r="AX8031">
        <v>1</v>
      </c>
    </row>
    <row r="8032" spans="1:50">
      <c r="A8032">
        <v>599563</v>
      </c>
      <c r="B8032" t="str">
        <f>"076061765"</f>
        <v>076061765</v>
      </c>
      <c r="C8032" t="s">
        <v>50</v>
      </c>
      <c r="D8032" t="s">
        <v>3232</v>
      </c>
      <c r="E8032" t="s">
        <v>12455</v>
      </c>
      <c r="F8032" t="s">
        <v>383</v>
      </c>
      <c r="G8032" t="s">
        <v>1189</v>
      </c>
      <c r="H8032" t="str">
        <f>"ΝΙΚΗΣ 38 ΗΡΑΚΛΕΙΟ"</f>
        <v>ΝΙΚΗΣ 38 ΗΡΑΚΛΕΙΟ</v>
      </c>
      <c r="J8032">
        <v>2844022438</v>
      </c>
      <c r="K8032">
        <v>6947138043</v>
      </c>
      <c r="M8032" t="s">
        <v>12456</v>
      </c>
      <c r="N8032" t="s">
        <v>615</v>
      </c>
      <c r="O8032" t="s">
        <v>616</v>
      </c>
      <c r="R8032" t="s">
        <v>57</v>
      </c>
      <c r="S8032">
        <v>9</v>
      </c>
      <c r="T8032">
        <v>195</v>
      </c>
      <c r="U8032" s="1">
        <v>37497</v>
      </c>
      <c r="V8032" t="s">
        <v>5177</v>
      </c>
      <c r="W8032" t="s">
        <v>5178</v>
      </c>
      <c r="X8032" t="s">
        <v>58</v>
      </c>
      <c r="Y8032">
        <v>21</v>
      </c>
      <c r="Z8032" t="s">
        <v>59</v>
      </c>
      <c r="AA8032" t="s">
        <v>59</v>
      </c>
      <c r="AB8032" t="s">
        <v>59</v>
      </c>
      <c r="AC8032" t="s">
        <v>59</v>
      </c>
      <c r="AD8032" t="s">
        <v>59</v>
      </c>
      <c r="AF8032" s="1">
        <v>37501</v>
      </c>
      <c r="AG8032" t="s">
        <v>8645</v>
      </c>
      <c r="AH8032" t="s">
        <v>8646</v>
      </c>
      <c r="AI8032" t="str">
        <f>"9320042"</f>
        <v>9320042</v>
      </c>
      <c r="AJ8032" t="s">
        <v>11942</v>
      </c>
      <c r="AK8032">
        <v>2844031250</v>
      </c>
      <c r="AL8032" t="s">
        <v>11943</v>
      </c>
      <c r="AM8032" t="s">
        <v>4513</v>
      </c>
      <c r="AN8032" t="s">
        <v>4592</v>
      </c>
      <c r="AO8032" t="s">
        <v>4592</v>
      </c>
      <c r="AP8032" t="s">
        <v>11944</v>
      </c>
      <c r="AQ8032">
        <v>3</v>
      </c>
      <c r="AR8032" t="s">
        <v>5177</v>
      </c>
      <c r="AS8032" t="s">
        <v>5178</v>
      </c>
      <c r="AT8032" t="s">
        <v>58</v>
      </c>
      <c r="AU8032" t="s">
        <v>68</v>
      </c>
      <c r="AV8032" t="s">
        <v>69</v>
      </c>
      <c r="AW8032" s="1">
        <v>23743</v>
      </c>
      <c r="AX8032">
        <v>1</v>
      </c>
    </row>
    <row r="8033" spans="1:50">
      <c r="A8033">
        <v>609446</v>
      </c>
      <c r="B8033" t="str">
        <f>"038790662"</f>
        <v>038790662</v>
      </c>
      <c r="C8033" t="s">
        <v>105</v>
      </c>
      <c r="D8033" t="s">
        <v>12457</v>
      </c>
      <c r="E8033" t="s">
        <v>53</v>
      </c>
      <c r="F8033" t="s">
        <v>166</v>
      </c>
      <c r="G8033" t="s">
        <v>1358</v>
      </c>
      <c r="H8033" t="str">
        <f>"ΤΣΕΛΕΠΗ 19 ΑΓΙΟΣ ΝΙΚΟΛΑΟΣ"</f>
        <v>ΤΣΕΛΕΠΗ 19 ΑΓΙΟΣ ΝΙΚΟΛΑΟΣ</v>
      </c>
      <c r="I8033">
        <v>72100</v>
      </c>
      <c r="J8033">
        <v>2841026703</v>
      </c>
      <c r="K8033">
        <v>6972718158</v>
      </c>
      <c r="N8033" t="s">
        <v>176</v>
      </c>
      <c r="O8033" t="s">
        <v>177</v>
      </c>
      <c r="R8033" t="s">
        <v>57</v>
      </c>
      <c r="S8033">
        <v>8</v>
      </c>
      <c r="T8033">
        <v>218</v>
      </c>
      <c r="U8033" s="1">
        <v>38596</v>
      </c>
      <c r="V8033" t="s">
        <v>5177</v>
      </c>
      <c r="W8033" t="s">
        <v>5178</v>
      </c>
      <c r="X8033" t="s">
        <v>58</v>
      </c>
      <c r="Y8033">
        <v>22</v>
      </c>
      <c r="Z8033" t="s">
        <v>59</v>
      </c>
      <c r="AA8033" t="s">
        <v>59</v>
      </c>
      <c r="AB8033" t="s">
        <v>59</v>
      </c>
      <c r="AC8033" t="s">
        <v>59</v>
      </c>
      <c r="AD8033" t="s">
        <v>59</v>
      </c>
      <c r="AF8033" s="1">
        <v>38600</v>
      </c>
      <c r="AG8033" t="s">
        <v>8645</v>
      </c>
      <c r="AH8033" t="s">
        <v>8646</v>
      </c>
      <c r="AI8033" t="str">
        <f>"9320060"</f>
        <v>9320060</v>
      </c>
      <c r="AJ8033" t="s">
        <v>12246</v>
      </c>
      <c r="AK8033">
        <v>2841032319</v>
      </c>
      <c r="AL8033" t="s">
        <v>12247</v>
      </c>
      <c r="AM8033" t="s">
        <v>4513</v>
      </c>
      <c r="AN8033" t="s">
        <v>4514</v>
      </c>
      <c r="AO8033" t="s">
        <v>4524</v>
      </c>
      <c r="AP8033" t="s">
        <v>4525</v>
      </c>
      <c r="AQ8033">
        <v>1</v>
      </c>
      <c r="AR8033" t="s">
        <v>5177</v>
      </c>
      <c r="AS8033" t="s">
        <v>5178</v>
      </c>
      <c r="AT8033" t="s">
        <v>58</v>
      </c>
      <c r="AU8033" t="s">
        <v>68</v>
      </c>
      <c r="AV8033" t="s">
        <v>69</v>
      </c>
      <c r="AW8033" s="1">
        <v>24076</v>
      </c>
      <c r="AX8033">
        <v>1</v>
      </c>
    </row>
    <row r="8034" spans="1:50">
      <c r="B8034" t="str">
        <f>"126038425"</f>
        <v>126038425</v>
      </c>
      <c r="C8034" t="s">
        <v>50</v>
      </c>
      <c r="D8034" t="s">
        <v>12458</v>
      </c>
      <c r="E8034" t="s">
        <v>620</v>
      </c>
      <c r="F8034" t="s">
        <v>459</v>
      </c>
      <c r="G8034" t="s">
        <v>52</v>
      </c>
      <c r="H8034" t="str">
        <f>"ΔΩΔΕΚΑ ΑΠΟΣΤΟΛΩΝ 13 "</f>
        <v xml:space="preserve">ΔΩΔΕΚΑ ΑΠΟΣΤΟΛΩΝ 13 </v>
      </c>
      <c r="I8034">
        <v>37300</v>
      </c>
      <c r="J8034">
        <v>2428092867</v>
      </c>
      <c r="K8034">
        <v>6934419353</v>
      </c>
      <c r="N8034" t="s">
        <v>615</v>
      </c>
      <c r="O8034" t="s">
        <v>616</v>
      </c>
      <c r="R8034" t="s">
        <v>159</v>
      </c>
      <c r="S8034">
        <v>5</v>
      </c>
      <c r="T8034" t="s">
        <v>8675</v>
      </c>
      <c r="U8034" s="1">
        <v>43348</v>
      </c>
      <c r="V8034" t="s">
        <v>5177</v>
      </c>
      <c r="W8034" t="s">
        <v>5178</v>
      </c>
      <c r="X8034" t="s">
        <v>58</v>
      </c>
      <c r="Y8034">
        <v>24</v>
      </c>
      <c r="Z8034" t="s">
        <v>59</v>
      </c>
      <c r="AA8034" t="s">
        <v>59</v>
      </c>
      <c r="AB8034" t="s">
        <v>59</v>
      </c>
      <c r="AC8034" t="s">
        <v>59</v>
      </c>
      <c r="AD8034" t="s">
        <v>59</v>
      </c>
      <c r="AF8034" s="1">
        <v>43348</v>
      </c>
      <c r="AG8034" t="s">
        <v>8645</v>
      </c>
      <c r="AH8034" t="s">
        <v>8646</v>
      </c>
      <c r="AI8034" t="str">
        <f>"9320005"</f>
        <v>9320005</v>
      </c>
      <c r="AJ8034" t="s">
        <v>12004</v>
      </c>
      <c r="AK8034">
        <v>2842022202</v>
      </c>
      <c r="AL8034" t="s">
        <v>12005</v>
      </c>
      <c r="AM8034" t="s">
        <v>4513</v>
      </c>
      <c r="AN8034" t="s">
        <v>4519</v>
      </c>
      <c r="AO8034" t="s">
        <v>4519</v>
      </c>
      <c r="AP8034" t="s">
        <v>4519</v>
      </c>
      <c r="AQ8034">
        <v>4</v>
      </c>
      <c r="AR8034" t="s">
        <v>5177</v>
      </c>
      <c r="AS8034" t="s">
        <v>5178</v>
      </c>
      <c r="AT8034" t="s">
        <v>58</v>
      </c>
      <c r="AU8034" t="s">
        <v>8673</v>
      </c>
      <c r="AV8034" t="s">
        <v>132</v>
      </c>
      <c r="AW8034" s="1">
        <v>32568</v>
      </c>
      <c r="AX8034">
        <v>1</v>
      </c>
    </row>
    <row r="8035" spans="1:50">
      <c r="B8035" t="str">
        <f>"142631374"</f>
        <v>142631374</v>
      </c>
      <c r="C8035" t="s">
        <v>50</v>
      </c>
      <c r="D8035" t="s">
        <v>3239</v>
      </c>
      <c r="E8035" t="s">
        <v>250</v>
      </c>
      <c r="F8035" t="s">
        <v>1841</v>
      </c>
      <c r="G8035" t="s">
        <v>237</v>
      </c>
      <c r="H8035" t="str">
        <f>"3ΗΣ ΣΕΠΤΕΜΒΡΙΟΥ 21Α- ΑΝΑΤΟΛΗ "</f>
        <v xml:space="preserve">3ΗΣ ΣΕΠΤΕΜΒΡΙΟΥ 21Α- ΑΝΑΤΟΛΗ </v>
      </c>
      <c r="I8035">
        <v>45221</v>
      </c>
      <c r="J8035">
        <v>2651047759</v>
      </c>
      <c r="K8035">
        <v>6937850112</v>
      </c>
      <c r="N8035" t="s">
        <v>615</v>
      </c>
      <c r="O8035" t="s">
        <v>616</v>
      </c>
      <c r="R8035" t="s">
        <v>159</v>
      </c>
      <c r="S8035">
        <v>5</v>
      </c>
      <c r="T8035" t="s">
        <v>8675</v>
      </c>
      <c r="U8035" s="1">
        <v>43348</v>
      </c>
      <c r="V8035" t="s">
        <v>5177</v>
      </c>
      <c r="W8035" t="s">
        <v>5178</v>
      </c>
      <c r="X8035" t="s">
        <v>58</v>
      </c>
      <c r="Y8035">
        <v>24</v>
      </c>
      <c r="Z8035" t="s">
        <v>59</v>
      </c>
      <c r="AA8035" t="s">
        <v>59</v>
      </c>
      <c r="AB8035" t="s">
        <v>59</v>
      </c>
      <c r="AC8035" t="s">
        <v>59</v>
      </c>
      <c r="AD8035" t="s">
        <v>59</v>
      </c>
      <c r="AF8035" s="1">
        <v>43348</v>
      </c>
      <c r="AG8035" t="s">
        <v>8645</v>
      </c>
      <c r="AH8035" t="s">
        <v>8646</v>
      </c>
      <c r="AI8035" t="str">
        <f>"9320210"</f>
        <v>9320210</v>
      </c>
      <c r="AJ8035" t="s">
        <v>11890</v>
      </c>
      <c r="AK8035">
        <v>2841026705</v>
      </c>
      <c r="AL8035" t="s">
        <v>11891</v>
      </c>
      <c r="AM8035" t="s">
        <v>4513</v>
      </c>
      <c r="AN8035" t="s">
        <v>4514</v>
      </c>
      <c r="AO8035" t="s">
        <v>4514</v>
      </c>
      <c r="AP8035" t="s">
        <v>4514</v>
      </c>
      <c r="AQ8035">
        <v>1</v>
      </c>
      <c r="AR8035" t="s">
        <v>5177</v>
      </c>
      <c r="AS8035" t="s">
        <v>5178</v>
      </c>
      <c r="AT8035" t="s">
        <v>58</v>
      </c>
      <c r="AU8035" t="s">
        <v>8673</v>
      </c>
      <c r="AV8035" t="s">
        <v>132</v>
      </c>
      <c r="AW8035" s="1">
        <v>32268</v>
      </c>
      <c r="AX8035">
        <v>1</v>
      </c>
    </row>
    <row r="8036" spans="1:50">
      <c r="A8036">
        <v>606996</v>
      </c>
      <c r="B8036" t="str">
        <f>"026785071"</f>
        <v>026785071</v>
      </c>
      <c r="C8036" t="s">
        <v>105</v>
      </c>
      <c r="D8036" t="s">
        <v>5263</v>
      </c>
      <c r="E8036" t="s">
        <v>2320</v>
      </c>
      <c r="F8036" t="s">
        <v>304</v>
      </c>
      <c r="G8036" t="s">
        <v>4737</v>
      </c>
      <c r="H8036" t="str">
        <f>"ΚΑΒΑΦΗ 5 Ν. ΗΡΑΚΛΕΙΟ"</f>
        <v>ΚΑΒΑΦΗ 5 Ν. ΗΡΑΚΛΕΙΟ</v>
      </c>
      <c r="I8036">
        <v>14122</v>
      </c>
      <c r="J8036">
        <v>2110145356</v>
      </c>
      <c r="K8036">
        <v>6976895849</v>
      </c>
      <c r="M8036" t="s">
        <v>12459</v>
      </c>
      <c r="N8036" t="s">
        <v>615</v>
      </c>
      <c r="O8036" t="s">
        <v>616</v>
      </c>
      <c r="R8036" t="s">
        <v>57</v>
      </c>
      <c r="S8036">
        <v>11</v>
      </c>
      <c r="T8036">
        <v>217</v>
      </c>
      <c r="U8036" s="1">
        <v>38596</v>
      </c>
      <c r="V8036" t="s">
        <v>5177</v>
      </c>
      <c r="W8036" t="s">
        <v>5178</v>
      </c>
      <c r="X8036" t="s">
        <v>58</v>
      </c>
      <c r="Y8036">
        <v>23</v>
      </c>
      <c r="Z8036" t="s">
        <v>59</v>
      </c>
      <c r="AA8036" t="s">
        <v>59</v>
      </c>
      <c r="AB8036" t="s">
        <v>59</v>
      </c>
      <c r="AC8036" t="s">
        <v>59</v>
      </c>
      <c r="AD8036" t="s">
        <v>59</v>
      </c>
      <c r="AF8036" s="1">
        <v>38603</v>
      </c>
      <c r="AG8036" t="s">
        <v>8645</v>
      </c>
      <c r="AH8036" t="s">
        <v>8646</v>
      </c>
      <c r="AI8036" t="str">
        <f>"9320009"</f>
        <v>9320009</v>
      </c>
      <c r="AJ8036" t="s">
        <v>11959</v>
      </c>
      <c r="AK8036">
        <v>2842061261</v>
      </c>
      <c r="AL8036" t="s">
        <v>11960</v>
      </c>
      <c r="AM8036" t="s">
        <v>4513</v>
      </c>
      <c r="AN8036" t="s">
        <v>4519</v>
      </c>
      <c r="AO8036" t="s">
        <v>4519</v>
      </c>
      <c r="AP8036" t="s">
        <v>11961</v>
      </c>
      <c r="AQ8036">
        <v>6</v>
      </c>
      <c r="AR8036" t="s">
        <v>5177</v>
      </c>
      <c r="AS8036" t="s">
        <v>5178</v>
      </c>
      <c r="AT8036" t="s">
        <v>58</v>
      </c>
      <c r="AU8036" t="s">
        <v>68</v>
      </c>
      <c r="AV8036" t="s">
        <v>69</v>
      </c>
      <c r="AW8036" s="1">
        <v>21039</v>
      </c>
      <c r="AX8036">
        <v>1</v>
      </c>
    </row>
    <row r="8037" spans="1:50">
      <c r="A8037">
        <v>617416</v>
      </c>
      <c r="B8037" t="str">
        <f>"110375496"</f>
        <v>110375496</v>
      </c>
      <c r="C8037" t="s">
        <v>105</v>
      </c>
      <c r="D8037" t="s">
        <v>3243</v>
      </c>
      <c r="E8037" t="s">
        <v>106</v>
      </c>
      <c r="F8037" t="s">
        <v>72</v>
      </c>
      <c r="G8037" t="s">
        <v>4695</v>
      </c>
      <c r="H8037" t="str">
        <f>"ΜΑΚΡΥΣ ΓΙΑΛΟΣ ΜΑΚΡΥΣ ΓΙΑΛΟΣ ΛΑΣΙΘΙΟΥ"</f>
        <v>ΜΑΚΡΥΣ ΓΙΑΛΟΣ ΜΑΚΡΥΣ ΓΙΑΛΟΣ ΛΑΣΙΘΙΟΥ</v>
      </c>
      <c r="I8037">
        <v>72055</v>
      </c>
      <c r="J8037">
        <v>2843051515</v>
      </c>
      <c r="K8037">
        <v>6976446349</v>
      </c>
      <c r="N8037" t="s">
        <v>615</v>
      </c>
      <c r="O8037" t="s">
        <v>616</v>
      </c>
      <c r="R8037" t="s">
        <v>57</v>
      </c>
      <c r="S8037">
        <v>6</v>
      </c>
      <c r="T8037">
        <v>774</v>
      </c>
      <c r="U8037" s="1">
        <v>39680</v>
      </c>
      <c r="V8037" t="s">
        <v>5177</v>
      </c>
      <c r="W8037" t="s">
        <v>5178</v>
      </c>
      <c r="X8037" t="s">
        <v>58</v>
      </c>
      <c r="Y8037">
        <v>23</v>
      </c>
      <c r="Z8037" t="s">
        <v>59</v>
      </c>
      <c r="AA8037" t="s">
        <v>59</v>
      </c>
      <c r="AB8037" t="s">
        <v>59</v>
      </c>
      <c r="AC8037" t="s">
        <v>59</v>
      </c>
      <c r="AD8037" t="s">
        <v>59</v>
      </c>
      <c r="AF8037" s="1">
        <v>39680</v>
      </c>
      <c r="AG8037" t="s">
        <v>8645</v>
      </c>
      <c r="AH8037" t="s">
        <v>8646</v>
      </c>
      <c r="AI8037" t="str">
        <f>"9320127"</f>
        <v>9320127</v>
      </c>
      <c r="AJ8037" t="s">
        <v>12040</v>
      </c>
      <c r="AK8037">
        <v>2843051221</v>
      </c>
      <c r="AL8037" t="s">
        <v>12041</v>
      </c>
      <c r="AM8037" t="s">
        <v>4513</v>
      </c>
      <c r="AN8037" t="s">
        <v>4519</v>
      </c>
      <c r="AO8037" t="s">
        <v>4766</v>
      </c>
      <c r="AP8037" t="s">
        <v>4767</v>
      </c>
      <c r="AQ8037">
        <v>6</v>
      </c>
      <c r="AR8037" t="s">
        <v>5177</v>
      </c>
      <c r="AS8037" t="s">
        <v>5178</v>
      </c>
      <c r="AT8037" t="s">
        <v>58</v>
      </c>
      <c r="AU8037" t="s">
        <v>68</v>
      </c>
      <c r="AV8037" t="s">
        <v>69</v>
      </c>
      <c r="AW8037" s="1">
        <v>30144</v>
      </c>
      <c r="AX8037">
        <v>1</v>
      </c>
    </row>
    <row r="8038" spans="1:50">
      <c r="A8038">
        <v>622791</v>
      </c>
      <c r="B8038" t="str">
        <f>"132478748"</f>
        <v>132478748</v>
      </c>
      <c r="C8038" t="s">
        <v>50</v>
      </c>
      <c r="D8038" t="s">
        <v>6357</v>
      </c>
      <c r="E8038" t="s">
        <v>237</v>
      </c>
      <c r="F8038" t="s">
        <v>99</v>
      </c>
      <c r="G8038" t="s">
        <v>263</v>
      </c>
      <c r="H8038" t="str">
        <f>"ΜΑΚΕΔΟΝΟΜΑΧΩΝ 15Β ΣΕΡΡΕΣ"</f>
        <v>ΜΑΚΕΔΟΝΟΜΑΧΩΝ 15Β ΣΕΡΡΕΣ</v>
      </c>
      <c r="I8038">
        <v>62100</v>
      </c>
      <c r="K8038">
        <v>6946956639</v>
      </c>
      <c r="M8038" t="s">
        <v>12460</v>
      </c>
      <c r="N8038" t="s">
        <v>1525</v>
      </c>
      <c r="O8038" t="s">
        <v>1526</v>
      </c>
      <c r="R8038" t="s">
        <v>57</v>
      </c>
      <c r="S8038">
        <v>4</v>
      </c>
      <c r="T8038">
        <v>653</v>
      </c>
      <c r="U8038" s="1">
        <v>40043</v>
      </c>
      <c r="V8038" t="s">
        <v>5177</v>
      </c>
      <c r="W8038" t="s">
        <v>5178</v>
      </c>
      <c r="X8038" t="s">
        <v>58</v>
      </c>
      <c r="Y8038">
        <v>25</v>
      </c>
      <c r="Z8038" t="s">
        <v>59</v>
      </c>
      <c r="AA8038" t="s">
        <v>59</v>
      </c>
      <c r="AB8038" t="s">
        <v>59</v>
      </c>
      <c r="AC8038" t="s">
        <v>59</v>
      </c>
      <c r="AD8038" t="s">
        <v>59</v>
      </c>
      <c r="AF8038" s="1">
        <v>40044</v>
      </c>
      <c r="AG8038" t="s">
        <v>8651</v>
      </c>
      <c r="AH8038" t="s">
        <v>8652</v>
      </c>
      <c r="AI8038" t="str">
        <f>"9320206"</f>
        <v>9320206</v>
      </c>
      <c r="AJ8038" t="s">
        <v>12210</v>
      </c>
      <c r="AK8038">
        <v>2843051143</v>
      </c>
      <c r="AL8038" t="s">
        <v>12211</v>
      </c>
      <c r="AM8038" t="s">
        <v>4513</v>
      </c>
      <c r="AN8038" t="s">
        <v>4519</v>
      </c>
      <c r="AO8038" t="s">
        <v>4766</v>
      </c>
      <c r="AP8038" t="s">
        <v>12055</v>
      </c>
      <c r="AQ8038">
        <v>6</v>
      </c>
      <c r="AR8038" t="s">
        <v>5177</v>
      </c>
      <c r="AS8038" t="s">
        <v>5178</v>
      </c>
      <c r="AT8038" t="s">
        <v>58</v>
      </c>
      <c r="AU8038" t="s">
        <v>68</v>
      </c>
      <c r="AV8038" t="s">
        <v>69</v>
      </c>
      <c r="AW8038" s="1">
        <v>29655</v>
      </c>
      <c r="AX8038">
        <v>1</v>
      </c>
    </row>
    <row r="8039" spans="1:50">
      <c r="A8039">
        <v>605780</v>
      </c>
      <c r="B8039" t="str">
        <f>"124461300"</f>
        <v>124461300</v>
      </c>
      <c r="C8039" t="s">
        <v>50</v>
      </c>
      <c r="D8039" t="s">
        <v>12461</v>
      </c>
      <c r="E8039" t="s">
        <v>727</v>
      </c>
      <c r="F8039" t="s">
        <v>106</v>
      </c>
      <c r="G8039" t="s">
        <v>83</v>
      </c>
      <c r="H8039" t="str">
        <f>"ΔΡΗΡΟΥ 31 ΝΕΑΠΟΛΗ"</f>
        <v>ΔΡΗΡΟΥ 31 ΝΕΑΠΟΛΗ</v>
      </c>
      <c r="I8039">
        <v>72400</v>
      </c>
      <c r="J8039">
        <v>2841033327</v>
      </c>
      <c r="K8039">
        <v>6977085966</v>
      </c>
      <c r="N8039" t="s">
        <v>615</v>
      </c>
      <c r="O8039" t="s">
        <v>616</v>
      </c>
      <c r="R8039" t="s">
        <v>57</v>
      </c>
      <c r="S8039">
        <v>7</v>
      </c>
      <c r="T8039">
        <v>231</v>
      </c>
      <c r="U8039" s="1">
        <v>38230</v>
      </c>
      <c r="V8039" t="s">
        <v>5177</v>
      </c>
      <c r="W8039" t="s">
        <v>5178</v>
      </c>
      <c r="X8039" t="s">
        <v>58</v>
      </c>
      <c r="Y8039">
        <v>22</v>
      </c>
      <c r="Z8039" t="s">
        <v>59</v>
      </c>
      <c r="AA8039" t="s">
        <v>59</v>
      </c>
      <c r="AB8039" t="s">
        <v>59</v>
      </c>
      <c r="AC8039" t="s">
        <v>59</v>
      </c>
      <c r="AD8039" t="s">
        <v>59</v>
      </c>
      <c r="AF8039" s="1">
        <v>38231</v>
      </c>
      <c r="AG8039" t="s">
        <v>8645</v>
      </c>
      <c r="AH8039" t="s">
        <v>8646</v>
      </c>
      <c r="AI8039" t="str">
        <f>"9320060"</f>
        <v>9320060</v>
      </c>
      <c r="AJ8039" t="s">
        <v>12246</v>
      </c>
      <c r="AK8039">
        <v>2841032319</v>
      </c>
      <c r="AL8039" t="s">
        <v>12247</v>
      </c>
      <c r="AM8039" t="s">
        <v>4513</v>
      </c>
      <c r="AN8039" t="s">
        <v>4514</v>
      </c>
      <c r="AO8039" t="s">
        <v>4524</v>
      </c>
      <c r="AP8039" t="s">
        <v>4525</v>
      </c>
      <c r="AQ8039">
        <v>1</v>
      </c>
      <c r="AR8039" t="s">
        <v>5177</v>
      </c>
      <c r="AS8039" t="s">
        <v>5178</v>
      </c>
      <c r="AT8039" t="s">
        <v>58</v>
      </c>
      <c r="AU8039" t="s">
        <v>68</v>
      </c>
      <c r="AV8039" t="s">
        <v>69</v>
      </c>
      <c r="AW8039" s="1">
        <v>28901</v>
      </c>
      <c r="AX8039">
        <v>1</v>
      </c>
    </row>
    <row r="8040" spans="1:50">
      <c r="B8040" t="str">
        <f>"118122739"</f>
        <v>118122739</v>
      </c>
      <c r="C8040" t="s">
        <v>50</v>
      </c>
      <c r="D8040" t="s">
        <v>6359</v>
      </c>
      <c r="E8040" t="s">
        <v>237</v>
      </c>
      <c r="F8040" t="s">
        <v>383</v>
      </c>
      <c r="G8040" t="s">
        <v>52</v>
      </c>
      <c r="H8040" t="str">
        <f>"ΝΗΣΙΔΑΣ ΡΩ 14 ΡΟΔΟΣ"</f>
        <v>ΝΗΣΙΔΑΣ ΡΩ 14 ΡΟΔΟΣ</v>
      </c>
      <c r="I8040">
        <v>85100</v>
      </c>
      <c r="J8040">
        <v>2241030086</v>
      </c>
      <c r="K8040">
        <v>6955812164</v>
      </c>
      <c r="N8040" t="s">
        <v>1525</v>
      </c>
      <c r="O8040" t="s">
        <v>1526</v>
      </c>
      <c r="R8040" t="s">
        <v>159</v>
      </c>
      <c r="S8040">
        <v>3</v>
      </c>
      <c r="T8040" t="s">
        <v>8670</v>
      </c>
      <c r="U8040" s="1">
        <v>43348</v>
      </c>
      <c r="V8040" t="s">
        <v>5177</v>
      </c>
      <c r="W8040" t="s">
        <v>5178</v>
      </c>
      <c r="X8040" t="s">
        <v>58</v>
      </c>
      <c r="Y8040">
        <v>25</v>
      </c>
      <c r="Z8040" t="s">
        <v>59</v>
      </c>
      <c r="AA8040" t="s">
        <v>59</v>
      </c>
      <c r="AB8040" t="s">
        <v>59</v>
      </c>
      <c r="AC8040" t="s">
        <v>59</v>
      </c>
      <c r="AD8040" t="s">
        <v>59</v>
      </c>
      <c r="AF8040" s="1">
        <v>43348</v>
      </c>
      <c r="AG8040" t="s">
        <v>8651</v>
      </c>
      <c r="AH8040" t="s">
        <v>8652</v>
      </c>
      <c r="AI8040" t="str">
        <f>"9320078"</f>
        <v>9320078</v>
      </c>
      <c r="AJ8040" t="s">
        <v>12340</v>
      </c>
      <c r="AK8040">
        <v>2841051225</v>
      </c>
      <c r="AL8040" t="s">
        <v>12341</v>
      </c>
      <c r="AM8040" t="s">
        <v>4513</v>
      </c>
      <c r="AN8040" t="s">
        <v>4514</v>
      </c>
      <c r="AO8040" t="s">
        <v>4514</v>
      </c>
      <c r="AP8040" t="s">
        <v>4757</v>
      </c>
      <c r="AQ8040">
        <v>2</v>
      </c>
      <c r="AR8040" t="s">
        <v>5177</v>
      </c>
      <c r="AS8040" t="s">
        <v>5178</v>
      </c>
      <c r="AT8040" t="s">
        <v>58</v>
      </c>
      <c r="AU8040" t="s">
        <v>8673</v>
      </c>
      <c r="AV8040" t="s">
        <v>132</v>
      </c>
      <c r="AW8040" s="1">
        <v>30470</v>
      </c>
      <c r="AX8040">
        <v>1</v>
      </c>
    </row>
    <row r="8041" spans="1:50">
      <c r="A8041">
        <v>608593</v>
      </c>
      <c r="B8041" t="str">
        <f>"109259236"</f>
        <v>109259236</v>
      </c>
      <c r="C8041" t="s">
        <v>50</v>
      </c>
      <c r="D8041" t="s">
        <v>3259</v>
      </c>
      <c r="E8041" t="s">
        <v>1713</v>
      </c>
      <c r="F8041" t="s">
        <v>95</v>
      </c>
      <c r="G8041" t="s">
        <v>12462</v>
      </c>
      <c r="H8041" t="str">
        <f>"ΑΡΜΕΝΟΙ ΛΑΣΙΘΙΟΥ ΣΗΤΕΙΑ ΚΡΗΤΗΣ"</f>
        <v>ΑΡΜΕΝΟΙ ΛΑΣΙΘΙΟΥ ΣΗΤΕΙΑ ΚΡΗΤΗΣ</v>
      </c>
      <c r="I8041">
        <v>72059</v>
      </c>
      <c r="K8041">
        <v>6981266804</v>
      </c>
      <c r="N8041" t="s">
        <v>1525</v>
      </c>
      <c r="O8041" t="s">
        <v>1526</v>
      </c>
      <c r="R8041" t="s">
        <v>57</v>
      </c>
      <c r="S8041">
        <v>7</v>
      </c>
      <c r="T8041">
        <v>217</v>
      </c>
      <c r="U8041" s="1">
        <v>38596</v>
      </c>
      <c r="V8041" t="s">
        <v>5177</v>
      </c>
      <c r="W8041" t="s">
        <v>5178</v>
      </c>
      <c r="X8041" t="s">
        <v>58</v>
      </c>
      <c r="Y8041">
        <v>25</v>
      </c>
      <c r="Z8041" t="s">
        <v>59</v>
      </c>
      <c r="AA8041" t="s">
        <v>59</v>
      </c>
      <c r="AB8041" t="s">
        <v>59</v>
      </c>
      <c r="AC8041" t="s">
        <v>59</v>
      </c>
      <c r="AD8041" t="s">
        <v>59</v>
      </c>
      <c r="AF8041" s="1">
        <v>38600</v>
      </c>
      <c r="AG8041" t="s">
        <v>8651</v>
      </c>
      <c r="AH8041" t="s">
        <v>8652</v>
      </c>
      <c r="AI8041" t="str">
        <f>"9320091"</f>
        <v>9320091</v>
      </c>
      <c r="AJ8041" t="s">
        <v>12182</v>
      </c>
      <c r="AK8041">
        <v>2843022685</v>
      </c>
      <c r="AL8041" t="s">
        <v>12183</v>
      </c>
      <c r="AM8041" t="s">
        <v>4513</v>
      </c>
      <c r="AN8041" t="s">
        <v>4540</v>
      </c>
      <c r="AO8041" t="s">
        <v>4540</v>
      </c>
      <c r="AP8041" t="s">
        <v>4540</v>
      </c>
      <c r="AQ8041">
        <v>8</v>
      </c>
      <c r="AR8041" t="s">
        <v>5177</v>
      </c>
      <c r="AS8041" t="s">
        <v>5178</v>
      </c>
      <c r="AT8041" t="s">
        <v>58</v>
      </c>
      <c r="AU8041" t="s">
        <v>68</v>
      </c>
      <c r="AV8041" t="s">
        <v>69</v>
      </c>
      <c r="AW8041" s="1">
        <v>27660</v>
      </c>
      <c r="AX8041">
        <v>1</v>
      </c>
    </row>
    <row r="8042" spans="1:50">
      <c r="B8042" t="str">
        <f>"145968578"</f>
        <v>145968578</v>
      </c>
      <c r="C8042" t="s">
        <v>50</v>
      </c>
      <c r="D8042" t="s">
        <v>3259</v>
      </c>
      <c r="E8042" t="s">
        <v>783</v>
      </c>
      <c r="F8042" t="s">
        <v>92</v>
      </c>
      <c r="G8042" t="s">
        <v>237</v>
      </c>
      <c r="H8042" t="str">
        <f>"ΔΙΟΓΕΝΟΥΣ 19 ΚΑΛΑΜΑΡΙΑ"</f>
        <v>ΔΙΟΓΕΝΟΥΣ 19 ΚΑΛΑΜΑΡΙΑ</v>
      </c>
      <c r="I8042">
        <v>55133</v>
      </c>
      <c r="J8042">
        <v>2310482187</v>
      </c>
      <c r="K8042">
        <v>6973611778</v>
      </c>
      <c r="N8042" t="s">
        <v>1525</v>
      </c>
      <c r="O8042" t="s">
        <v>1526</v>
      </c>
      <c r="R8042" t="s">
        <v>159</v>
      </c>
      <c r="S8042">
        <v>2</v>
      </c>
      <c r="T8042" t="s">
        <v>8670</v>
      </c>
      <c r="U8042" s="1">
        <v>43348</v>
      </c>
      <c r="V8042" t="s">
        <v>5177</v>
      </c>
      <c r="W8042" t="s">
        <v>5178</v>
      </c>
      <c r="X8042" t="s">
        <v>58</v>
      </c>
      <c r="Y8042">
        <v>25</v>
      </c>
      <c r="Z8042" t="s">
        <v>59</v>
      </c>
      <c r="AA8042" t="s">
        <v>59</v>
      </c>
      <c r="AB8042" t="s">
        <v>59</v>
      </c>
      <c r="AC8042" t="s">
        <v>59</v>
      </c>
      <c r="AD8042" t="s">
        <v>59</v>
      </c>
      <c r="AF8042" s="1">
        <v>43348</v>
      </c>
      <c r="AG8042" t="s">
        <v>8651</v>
      </c>
      <c r="AH8042" t="s">
        <v>8652</v>
      </c>
      <c r="AI8042" t="str">
        <f>"9320061"</f>
        <v>9320061</v>
      </c>
      <c r="AJ8042" t="s">
        <v>12428</v>
      </c>
      <c r="AK8042">
        <v>2841032482</v>
      </c>
      <c r="AL8042" t="s">
        <v>12429</v>
      </c>
      <c r="AM8042" t="s">
        <v>4513</v>
      </c>
      <c r="AN8042" t="s">
        <v>4514</v>
      </c>
      <c r="AO8042" t="s">
        <v>4524</v>
      </c>
      <c r="AP8042" t="s">
        <v>4525</v>
      </c>
      <c r="AQ8042">
        <v>1</v>
      </c>
      <c r="AR8042" t="s">
        <v>5177</v>
      </c>
      <c r="AS8042" t="s">
        <v>5178</v>
      </c>
      <c r="AT8042" t="s">
        <v>58</v>
      </c>
      <c r="AU8042" t="s">
        <v>8673</v>
      </c>
      <c r="AV8042" t="s">
        <v>132</v>
      </c>
      <c r="AW8042" s="1">
        <v>31051</v>
      </c>
      <c r="AX8042">
        <v>1</v>
      </c>
    </row>
    <row r="8043" spans="1:50">
      <c r="A8043">
        <v>577816</v>
      </c>
      <c r="B8043" t="str">
        <f>"037702066"</f>
        <v>037702066</v>
      </c>
      <c r="C8043" t="s">
        <v>105</v>
      </c>
      <c r="D8043" t="s">
        <v>12463</v>
      </c>
      <c r="E8043" t="s">
        <v>95</v>
      </c>
      <c r="F8043" t="s">
        <v>5386</v>
      </c>
      <c r="G8043" t="s">
        <v>411</v>
      </c>
      <c r="H8043" t="str">
        <f>"Ι. ΣΕΡΓΑΚΗ 39 ΝΕΑΠΟΛΗ"</f>
        <v>Ι. ΣΕΡΓΑΚΗ 39 ΝΕΑΠΟΛΗ</v>
      </c>
      <c r="I8043">
        <v>72400</v>
      </c>
      <c r="J8043">
        <v>2841033581</v>
      </c>
      <c r="K8043">
        <v>6974006819</v>
      </c>
      <c r="N8043" t="s">
        <v>615</v>
      </c>
      <c r="O8043" t="s">
        <v>616</v>
      </c>
      <c r="R8043" t="s">
        <v>57</v>
      </c>
      <c r="S8043">
        <v>11</v>
      </c>
      <c r="T8043">
        <v>165</v>
      </c>
      <c r="U8043" s="1">
        <v>35300</v>
      </c>
      <c r="V8043" t="s">
        <v>5177</v>
      </c>
      <c r="W8043" t="s">
        <v>5178</v>
      </c>
      <c r="X8043" t="s">
        <v>58</v>
      </c>
      <c r="Y8043">
        <v>21</v>
      </c>
      <c r="Z8043" t="s">
        <v>59</v>
      </c>
      <c r="AA8043" t="s">
        <v>59</v>
      </c>
      <c r="AB8043" t="s">
        <v>59</v>
      </c>
      <c r="AC8043" t="s">
        <v>59</v>
      </c>
      <c r="AD8043" t="s">
        <v>59</v>
      </c>
      <c r="AF8043" s="1">
        <v>35310</v>
      </c>
      <c r="AG8043" t="s">
        <v>8645</v>
      </c>
      <c r="AH8043" t="s">
        <v>8646</v>
      </c>
      <c r="AI8043" t="str">
        <f>"9320063"</f>
        <v>9320063</v>
      </c>
      <c r="AJ8043" t="s">
        <v>12026</v>
      </c>
      <c r="AK8043">
        <v>2841032369</v>
      </c>
      <c r="AL8043" t="s">
        <v>12027</v>
      </c>
      <c r="AM8043" t="s">
        <v>4513</v>
      </c>
      <c r="AN8043" t="s">
        <v>4514</v>
      </c>
      <c r="AO8043" t="s">
        <v>4524</v>
      </c>
      <c r="AP8043" t="s">
        <v>4525</v>
      </c>
      <c r="AQ8043">
        <v>1</v>
      </c>
      <c r="AR8043" t="s">
        <v>5177</v>
      </c>
      <c r="AS8043" t="s">
        <v>5178</v>
      </c>
      <c r="AT8043" t="s">
        <v>58</v>
      </c>
      <c r="AU8043" t="s">
        <v>68</v>
      </c>
      <c r="AV8043" t="s">
        <v>69</v>
      </c>
      <c r="AW8043" s="1">
        <v>24342</v>
      </c>
      <c r="AX8043">
        <v>1</v>
      </c>
    </row>
    <row r="8044" spans="1:50">
      <c r="B8044" t="str">
        <f>"155712808"</f>
        <v>155712808</v>
      </c>
      <c r="C8044" t="s">
        <v>50</v>
      </c>
      <c r="D8044" t="s">
        <v>12464</v>
      </c>
      <c r="E8044" t="s">
        <v>191</v>
      </c>
      <c r="F8044" t="s">
        <v>995</v>
      </c>
      <c r="G8044" t="s">
        <v>215</v>
      </c>
      <c r="H8044" t="str">
        <f>" "</f>
        <v xml:space="preserve"> </v>
      </c>
      <c r="N8044" t="s">
        <v>384</v>
      </c>
      <c r="O8044" t="s">
        <v>385</v>
      </c>
      <c r="R8044" t="s">
        <v>121</v>
      </c>
      <c r="S8044">
        <v>1</v>
      </c>
      <c r="T8044" t="s">
        <v>8675</v>
      </c>
      <c r="U8044" s="1">
        <v>43348</v>
      </c>
      <c r="V8044" t="s">
        <v>5177</v>
      </c>
      <c r="W8044" t="s">
        <v>5178</v>
      </c>
      <c r="X8044" t="s">
        <v>58</v>
      </c>
      <c r="Y8044">
        <v>24</v>
      </c>
      <c r="Z8044" t="s">
        <v>59</v>
      </c>
      <c r="AA8044" t="s">
        <v>59</v>
      </c>
      <c r="AB8044" t="s">
        <v>59</v>
      </c>
      <c r="AD8044" t="s">
        <v>59</v>
      </c>
      <c r="AF8044" s="1">
        <v>43348</v>
      </c>
      <c r="AG8044" t="s">
        <v>8645</v>
      </c>
      <c r="AH8044" t="s">
        <v>8646</v>
      </c>
      <c r="AI8044" t="str">
        <f>"9320005"</f>
        <v>9320005</v>
      </c>
      <c r="AJ8044" t="s">
        <v>12004</v>
      </c>
      <c r="AK8044">
        <v>2842022202</v>
      </c>
      <c r="AL8044" t="s">
        <v>12005</v>
      </c>
      <c r="AM8044" t="s">
        <v>4513</v>
      </c>
      <c r="AN8044" t="s">
        <v>4519</v>
      </c>
      <c r="AO8044" t="s">
        <v>4519</v>
      </c>
      <c r="AP8044" t="s">
        <v>4519</v>
      </c>
      <c r="AQ8044">
        <v>4</v>
      </c>
      <c r="AR8044" t="s">
        <v>5177</v>
      </c>
      <c r="AS8044" t="s">
        <v>5178</v>
      </c>
      <c r="AT8044" t="s">
        <v>58</v>
      </c>
      <c r="AU8044" t="s">
        <v>8673</v>
      </c>
      <c r="AV8044" t="s">
        <v>132</v>
      </c>
      <c r="AW8044" s="1">
        <v>33583</v>
      </c>
      <c r="AX8044">
        <v>1</v>
      </c>
    </row>
    <row r="8045" spans="1:50">
      <c r="A8045">
        <v>595461</v>
      </c>
      <c r="B8045" t="str">
        <f>"078777394"</f>
        <v>078777394</v>
      </c>
      <c r="C8045" t="s">
        <v>50</v>
      </c>
      <c r="D8045" t="s">
        <v>3276</v>
      </c>
      <c r="E8045" t="s">
        <v>215</v>
      </c>
      <c r="F8045" t="s">
        <v>53</v>
      </c>
      <c r="G8045" t="s">
        <v>255</v>
      </c>
      <c r="H8045" t="str">
        <f>"ΚΕΝΤΡΙ "</f>
        <v xml:space="preserve">ΚΕΝΤΡΙ </v>
      </c>
      <c r="I8045">
        <v>72200</v>
      </c>
      <c r="N8045" t="s">
        <v>1525</v>
      </c>
      <c r="O8045" t="s">
        <v>1526</v>
      </c>
      <c r="R8045" t="s">
        <v>57</v>
      </c>
      <c r="S8045">
        <v>8</v>
      </c>
      <c r="T8045">
        <v>218</v>
      </c>
      <c r="U8045" s="1">
        <v>37134</v>
      </c>
      <c r="V8045" t="s">
        <v>5177</v>
      </c>
      <c r="W8045" t="s">
        <v>5178</v>
      </c>
      <c r="X8045" t="s">
        <v>58</v>
      </c>
      <c r="Y8045">
        <v>25</v>
      </c>
      <c r="Z8045" t="s">
        <v>59</v>
      </c>
      <c r="AA8045" t="s">
        <v>59</v>
      </c>
      <c r="AB8045" t="s">
        <v>59</v>
      </c>
      <c r="AC8045" t="s">
        <v>59</v>
      </c>
      <c r="AD8045" t="s">
        <v>59</v>
      </c>
      <c r="AF8045" s="1">
        <v>37137</v>
      </c>
      <c r="AG8045" t="s">
        <v>8651</v>
      </c>
      <c r="AH8045" t="s">
        <v>8652</v>
      </c>
      <c r="AI8045" t="str">
        <f>"9320143"</f>
        <v>9320143</v>
      </c>
      <c r="AJ8045" t="s">
        <v>11888</v>
      </c>
      <c r="AK8045">
        <v>2842027151</v>
      </c>
      <c r="AL8045" t="s">
        <v>11889</v>
      </c>
      <c r="AM8045" t="s">
        <v>4513</v>
      </c>
      <c r="AN8045" t="s">
        <v>4519</v>
      </c>
      <c r="AO8045" t="s">
        <v>4519</v>
      </c>
      <c r="AP8045" t="s">
        <v>4519</v>
      </c>
      <c r="AQ8045">
        <v>5</v>
      </c>
      <c r="AR8045" t="s">
        <v>5177</v>
      </c>
      <c r="AS8045" t="s">
        <v>5178</v>
      </c>
      <c r="AT8045" t="s">
        <v>58</v>
      </c>
      <c r="AU8045" t="s">
        <v>68</v>
      </c>
      <c r="AV8045" t="s">
        <v>69</v>
      </c>
      <c r="AW8045" s="1">
        <v>26556</v>
      </c>
      <c r="AX8045">
        <v>1</v>
      </c>
    </row>
    <row r="8046" spans="1:50">
      <c r="B8046" t="str">
        <f>"151854764"</f>
        <v>151854764</v>
      </c>
      <c r="C8046" t="s">
        <v>50</v>
      </c>
      <c r="D8046" t="s">
        <v>3292</v>
      </c>
      <c r="E8046" t="s">
        <v>563</v>
      </c>
      <c r="F8046" t="s">
        <v>1023</v>
      </c>
      <c r="G8046" t="s">
        <v>71</v>
      </c>
      <c r="H8046" t="str">
        <f>"ΣΠΙΝΘΑΡΟΥ 1 "</f>
        <v xml:space="preserve">ΣΠΙΝΘΑΡΟΥ 1 </v>
      </c>
      <c r="I8046">
        <v>42100</v>
      </c>
      <c r="J8046">
        <v>2431023940</v>
      </c>
      <c r="K8046">
        <v>6945973937</v>
      </c>
      <c r="N8046" t="s">
        <v>615</v>
      </c>
      <c r="O8046" t="s">
        <v>616</v>
      </c>
      <c r="R8046" t="s">
        <v>159</v>
      </c>
      <c r="S8046">
        <v>3</v>
      </c>
      <c r="T8046" t="s">
        <v>8675</v>
      </c>
      <c r="U8046" s="1">
        <v>43348</v>
      </c>
      <c r="V8046" t="s">
        <v>5177</v>
      </c>
      <c r="W8046" t="s">
        <v>5178</v>
      </c>
      <c r="X8046" t="s">
        <v>58</v>
      </c>
      <c r="Y8046">
        <v>24</v>
      </c>
      <c r="Z8046" t="s">
        <v>59</v>
      </c>
      <c r="AA8046" t="s">
        <v>59</v>
      </c>
      <c r="AB8046" t="s">
        <v>59</v>
      </c>
      <c r="AC8046" t="s">
        <v>59</v>
      </c>
      <c r="AD8046" t="s">
        <v>59</v>
      </c>
      <c r="AF8046" s="1">
        <v>43348</v>
      </c>
      <c r="AG8046" t="s">
        <v>8645</v>
      </c>
      <c r="AH8046" t="s">
        <v>8646</v>
      </c>
      <c r="AI8046" t="str">
        <f>"9320071"</f>
        <v>9320071</v>
      </c>
      <c r="AJ8046" t="s">
        <v>12098</v>
      </c>
      <c r="AK8046">
        <v>2841041234</v>
      </c>
      <c r="AL8046" t="s">
        <v>12099</v>
      </c>
      <c r="AM8046" t="s">
        <v>4513</v>
      </c>
      <c r="AN8046" t="s">
        <v>4514</v>
      </c>
      <c r="AO8046" t="s">
        <v>4514</v>
      </c>
      <c r="AP8046" t="s">
        <v>12100</v>
      </c>
      <c r="AQ8046">
        <v>2</v>
      </c>
      <c r="AR8046" t="s">
        <v>5177</v>
      </c>
      <c r="AS8046" t="s">
        <v>5178</v>
      </c>
      <c r="AT8046" t="s">
        <v>58</v>
      </c>
      <c r="AU8046" t="s">
        <v>8673</v>
      </c>
      <c r="AV8046" t="s">
        <v>132</v>
      </c>
      <c r="AW8046" s="1">
        <v>32185</v>
      </c>
      <c r="AX8046">
        <v>1</v>
      </c>
    </row>
    <row r="8047" spans="1:50">
      <c r="A8047">
        <v>573753</v>
      </c>
      <c r="B8047" t="str">
        <f>"052165130"</f>
        <v>052165130</v>
      </c>
      <c r="C8047" t="s">
        <v>105</v>
      </c>
      <c r="D8047" t="s">
        <v>12465</v>
      </c>
      <c r="E8047" t="s">
        <v>53</v>
      </c>
      <c r="F8047" t="s">
        <v>377</v>
      </c>
      <c r="G8047" t="s">
        <v>513</v>
      </c>
      <c r="H8047" t="str">
        <f>"ΕΠΑΝΩ ΧΩΡΙΟ ΙΕΡΑΠΕΤΡΑ"</f>
        <v>ΕΠΑΝΩ ΧΩΡΙΟ ΙΕΡΑΠΕΤΡΑ</v>
      </c>
      <c r="I8047">
        <v>72200</v>
      </c>
      <c r="J8047">
        <v>2842025514</v>
      </c>
      <c r="K8047">
        <v>6939342000</v>
      </c>
      <c r="M8047" t="s">
        <v>12466</v>
      </c>
      <c r="N8047" t="s">
        <v>615</v>
      </c>
      <c r="O8047" t="s">
        <v>616</v>
      </c>
      <c r="R8047" t="s">
        <v>57</v>
      </c>
      <c r="S8047">
        <v>13</v>
      </c>
      <c r="T8047">
        <v>160</v>
      </c>
      <c r="U8047" s="1">
        <v>34582</v>
      </c>
      <c r="V8047" t="s">
        <v>5177</v>
      </c>
      <c r="W8047" t="s">
        <v>5178</v>
      </c>
      <c r="X8047" t="s">
        <v>58</v>
      </c>
      <c r="Y8047">
        <v>21</v>
      </c>
      <c r="Z8047" t="s">
        <v>59</v>
      </c>
      <c r="AA8047" t="s">
        <v>59</v>
      </c>
      <c r="AB8047" t="s">
        <v>59</v>
      </c>
      <c r="AC8047" t="s">
        <v>59</v>
      </c>
      <c r="AD8047" t="s">
        <v>59</v>
      </c>
      <c r="AF8047" s="1">
        <v>34583</v>
      </c>
      <c r="AG8047" t="s">
        <v>8645</v>
      </c>
      <c r="AH8047" t="s">
        <v>8646</v>
      </c>
      <c r="AI8047" t="str">
        <f>"9320003"</f>
        <v>9320003</v>
      </c>
      <c r="AJ8047" t="s">
        <v>11886</v>
      </c>
      <c r="AK8047">
        <v>2842089830</v>
      </c>
      <c r="AL8047" t="s">
        <v>11887</v>
      </c>
      <c r="AM8047" t="s">
        <v>4513</v>
      </c>
      <c r="AN8047" t="s">
        <v>4519</v>
      </c>
      <c r="AO8047" t="s">
        <v>4519</v>
      </c>
      <c r="AP8047" t="s">
        <v>4519</v>
      </c>
      <c r="AQ8047">
        <v>4</v>
      </c>
      <c r="AR8047" t="s">
        <v>5177</v>
      </c>
      <c r="AS8047" t="s">
        <v>5178</v>
      </c>
      <c r="AT8047" t="s">
        <v>58</v>
      </c>
      <c r="AU8047" t="s">
        <v>68</v>
      </c>
      <c r="AV8047" t="s">
        <v>69</v>
      </c>
      <c r="AW8047" s="1">
        <v>24551</v>
      </c>
      <c r="AX8047">
        <v>1</v>
      </c>
    </row>
    <row r="8048" spans="1:50">
      <c r="B8048" t="str">
        <f>"149695735"</f>
        <v>149695735</v>
      </c>
      <c r="C8048" t="s">
        <v>50</v>
      </c>
      <c r="D8048" t="s">
        <v>12467</v>
      </c>
      <c r="E8048" t="s">
        <v>314</v>
      </c>
      <c r="F8048" t="s">
        <v>693</v>
      </c>
      <c r="G8048" t="s">
        <v>52</v>
      </c>
      <c r="H8048" t="str">
        <f>" "</f>
        <v xml:space="preserve"> </v>
      </c>
      <c r="N8048" t="s">
        <v>615</v>
      </c>
      <c r="O8048" t="s">
        <v>616</v>
      </c>
      <c r="R8048" t="s">
        <v>159</v>
      </c>
      <c r="S8048">
        <v>3</v>
      </c>
      <c r="T8048" t="s">
        <v>9034</v>
      </c>
      <c r="U8048" s="1">
        <v>43377</v>
      </c>
      <c r="V8048" t="s">
        <v>5177</v>
      </c>
      <c r="W8048" t="s">
        <v>5178</v>
      </c>
      <c r="X8048" t="s">
        <v>58</v>
      </c>
      <c r="Y8048">
        <v>24</v>
      </c>
      <c r="Z8048" t="s">
        <v>59</v>
      </c>
      <c r="AA8048" t="s">
        <v>59</v>
      </c>
      <c r="AB8048" t="s">
        <v>59</v>
      </c>
      <c r="AD8048" t="s">
        <v>59</v>
      </c>
      <c r="AF8048" s="1">
        <v>43377</v>
      </c>
      <c r="AG8048" t="s">
        <v>8645</v>
      </c>
      <c r="AH8048" t="s">
        <v>8646</v>
      </c>
      <c r="AI8048" t="str">
        <f>"9320006"</f>
        <v>9320006</v>
      </c>
      <c r="AJ8048" t="s">
        <v>11919</v>
      </c>
      <c r="AK8048">
        <v>2842022359</v>
      </c>
      <c r="AL8048" t="s">
        <v>11920</v>
      </c>
      <c r="AM8048" t="s">
        <v>4513</v>
      </c>
      <c r="AN8048" t="s">
        <v>4519</v>
      </c>
      <c r="AO8048" t="s">
        <v>4519</v>
      </c>
      <c r="AP8048" t="s">
        <v>4519</v>
      </c>
      <c r="AQ8048">
        <v>4</v>
      </c>
      <c r="AR8048" t="s">
        <v>5177</v>
      </c>
      <c r="AS8048" t="s">
        <v>5178</v>
      </c>
      <c r="AT8048" t="s">
        <v>58</v>
      </c>
      <c r="AU8048" t="s">
        <v>8673</v>
      </c>
      <c r="AV8048" t="s">
        <v>132</v>
      </c>
      <c r="AW8048" s="1">
        <v>33412</v>
      </c>
      <c r="AX8048">
        <v>1</v>
      </c>
    </row>
    <row r="8049" spans="1:50">
      <c r="A8049">
        <v>581236</v>
      </c>
      <c r="B8049" t="str">
        <f>"035560746"</f>
        <v>035560746</v>
      </c>
      <c r="C8049" t="s">
        <v>105</v>
      </c>
      <c r="D8049" t="s">
        <v>12468</v>
      </c>
      <c r="E8049" t="s">
        <v>72</v>
      </c>
      <c r="F8049" t="s">
        <v>7324</v>
      </c>
      <c r="G8049" t="s">
        <v>255</v>
      </c>
      <c r="H8049" t="str">
        <f>"ΒΟΘΩΝΟΙ - ΚΟΥΤΣΟΥΝΑΡΙ ΙΕΡΑΠΕΤΡΑ"</f>
        <v>ΒΟΘΩΝΟΙ - ΚΟΥΤΣΟΥΝΑΡΙ ΙΕΡΑΠΕΤΡΑ</v>
      </c>
      <c r="I8049">
        <v>72200</v>
      </c>
      <c r="N8049" t="s">
        <v>615</v>
      </c>
      <c r="O8049" t="s">
        <v>616</v>
      </c>
      <c r="R8049" t="s">
        <v>57</v>
      </c>
      <c r="S8049">
        <v>13</v>
      </c>
      <c r="T8049">
        <v>179</v>
      </c>
      <c r="U8049" s="1">
        <v>35674</v>
      </c>
      <c r="V8049" t="s">
        <v>5177</v>
      </c>
      <c r="W8049" t="s">
        <v>5178</v>
      </c>
      <c r="X8049" t="s">
        <v>58</v>
      </c>
      <c r="Y8049">
        <v>21</v>
      </c>
      <c r="Z8049" t="s">
        <v>59</v>
      </c>
      <c r="AA8049" t="s">
        <v>59</v>
      </c>
      <c r="AB8049" t="s">
        <v>59</v>
      </c>
      <c r="AC8049" t="s">
        <v>59</v>
      </c>
      <c r="AD8049" t="s">
        <v>59</v>
      </c>
      <c r="AF8049" s="1">
        <v>35676</v>
      </c>
      <c r="AG8049" t="s">
        <v>8645</v>
      </c>
      <c r="AH8049" t="s">
        <v>8646</v>
      </c>
      <c r="AI8049" t="str">
        <f>"9320009"</f>
        <v>9320009</v>
      </c>
      <c r="AJ8049" t="s">
        <v>11959</v>
      </c>
      <c r="AK8049">
        <v>2842061261</v>
      </c>
      <c r="AL8049" t="s">
        <v>11960</v>
      </c>
      <c r="AM8049" t="s">
        <v>4513</v>
      </c>
      <c r="AN8049" t="s">
        <v>4519</v>
      </c>
      <c r="AO8049" t="s">
        <v>4519</v>
      </c>
      <c r="AP8049" t="s">
        <v>11961</v>
      </c>
      <c r="AQ8049">
        <v>6</v>
      </c>
      <c r="AR8049" t="s">
        <v>5177</v>
      </c>
      <c r="AS8049" t="s">
        <v>5178</v>
      </c>
      <c r="AT8049" t="s">
        <v>58</v>
      </c>
      <c r="AU8049" t="s">
        <v>68</v>
      </c>
      <c r="AV8049" t="s">
        <v>69</v>
      </c>
      <c r="AW8049" s="1">
        <v>23494</v>
      </c>
      <c r="AX8049">
        <v>1</v>
      </c>
    </row>
    <row r="8050" spans="1:50">
      <c r="A8050">
        <v>574920</v>
      </c>
      <c r="B8050" t="str">
        <f>"035720120"</f>
        <v>035720120</v>
      </c>
      <c r="C8050" t="s">
        <v>50</v>
      </c>
      <c r="D8050" t="s">
        <v>3299</v>
      </c>
      <c r="E8050" t="s">
        <v>134</v>
      </c>
      <c r="F8050" t="s">
        <v>72</v>
      </c>
      <c r="G8050" t="s">
        <v>104</v>
      </c>
      <c r="H8050" t="str">
        <f>"ΑΜΜΟΥΔΑ ΑΓΙΟΣ ΝΙΚΟΛΑΟΣ"</f>
        <v>ΑΜΜΟΥΔΑ ΑΓΙΟΣ ΝΙΚΟΛΑΟΣ</v>
      </c>
      <c r="I8050">
        <v>72100</v>
      </c>
      <c r="J8050">
        <v>2841083284</v>
      </c>
      <c r="N8050" t="s">
        <v>176</v>
      </c>
      <c r="O8050" t="s">
        <v>177</v>
      </c>
      <c r="R8050" t="s">
        <v>57</v>
      </c>
      <c r="S8050">
        <v>13</v>
      </c>
      <c r="T8050">
        <v>158</v>
      </c>
      <c r="U8050" s="1">
        <v>34582</v>
      </c>
      <c r="V8050" t="s">
        <v>5177</v>
      </c>
      <c r="W8050" t="s">
        <v>5178</v>
      </c>
      <c r="X8050" t="s">
        <v>58</v>
      </c>
      <c r="Y8050">
        <v>21</v>
      </c>
      <c r="Z8050" t="s">
        <v>59</v>
      </c>
      <c r="AA8050" t="s">
        <v>59</v>
      </c>
      <c r="AB8050" t="s">
        <v>59</v>
      </c>
      <c r="AC8050" t="s">
        <v>59</v>
      </c>
      <c r="AD8050" t="s">
        <v>59</v>
      </c>
      <c r="AF8050" s="1">
        <v>34582</v>
      </c>
      <c r="AG8050" t="s">
        <v>8645</v>
      </c>
      <c r="AH8050" t="s">
        <v>8646</v>
      </c>
      <c r="AI8050" t="str">
        <f>"9320058"</f>
        <v>9320058</v>
      </c>
      <c r="AJ8050" t="s">
        <v>11893</v>
      </c>
      <c r="AK8050">
        <v>2841022496</v>
      </c>
      <c r="AL8050" t="s">
        <v>11894</v>
      </c>
      <c r="AM8050" t="s">
        <v>4513</v>
      </c>
      <c r="AN8050" t="s">
        <v>4514</v>
      </c>
      <c r="AO8050" t="s">
        <v>4514</v>
      </c>
      <c r="AP8050" t="s">
        <v>4514</v>
      </c>
      <c r="AQ8050">
        <v>1</v>
      </c>
      <c r="AR8050" t="s">
        <v>5177</v>
      </c>
      <c r="AS8050" t="s">
        <v>5178</v>
      </c>
      <c r="AT8050" t="s">
        <v>58</v>
      </c>
      <c r="AU8050" t="s">
        <v>68</v>
      </c>
      <c r="AV8050" t="s">
        <v>69</v>
      </c>
      <c r="AW8050" s="1">
        <v>23472</v>
      </c>
      <c r="AX8050">
        <v>1</v>
      </c>
    </row>
    <row r="8051" spans="1:50">
      <c r="A8051">
        <v>582202</v>
      </c>
      <c r="B8051" t="str">
        <f>"064337722"</f>
        <v>064337722</v>
      </c>
      <c r="C8051" t="s">
        <v>50</v>
      </c>
      <c r="D8051" t="s">
        <v>12469</v>
      </c>
      <c r="E8051" t="s">
        <v>73</v>
      </c>
      <c r="F8051" t="s">
        <v>92</v>
      </c>
      <c r="G8051" t="s">
        <v>314</v>
      </c>
      <c r="H8051" t="str">
        <f>"ΚΑΤΣΙΚΙΑ ΑΓΙΟΥ ΝΙΚΟΛΑΟΥ ΑΓΙΟΣ ΝΙΚΟΛΑΟΣ"</f>
        <v>ΚΑΤΣΙΚΙΑ ΑΓΙΟΥ ΝΙΚΟΛΑΟΥ ΑΓΙΟΣ ΝΙΚΟΛΑΟΣ</v>
      </c>
      <c r="I8051">
        <v>72100</v>
      </c>
      <c r="J8051">
        <v>2841021784</v>
      </c>
      <c r="K8051">
        <v>6982010182</v>
      </c>
      <c r="N8051" t="s">
        <v>615</v>
      </c>
      <c r="O8051" t="s">
        <v>616</v>
      </c>
      <c r="R8051" t="s">
        <v>57</v>
      </c>
      <c r="S8051">
        <v>13</v>
      </c>
      <c r="T8051">
        <v>179</v>
      </c>
      <c r="U8051" s="1">
        <v>35674</v>
      </c>
      <c r="V8051" t="s">
        <v>5177</v>
      </c>
      <c r="W8051" t="s">
        <v>5178</v>
      </c>
      <c r="X8051" t="s">
        <v>58</v>
      </c>
      <c r="Y8051">
        <v>21</v>
      </c>
      <c r="Z8051" t="s">
        <v>59</v>
      </c>
      <c r="AA8051" t="s">
        <v>59</v>
      </c>
      <c r="AB8051" t="s">
        <v>59</v>
      </c>
      <c r="AC8051" t="s">
        <v>59</v>
      </c>
      <c r="AD8051" t="s">
        <v>59</v>
      </c>
      <c r="AF8051" s="1">
        <v>35675</v>
      </c>
      <c r="AG8051" t="s">
        <v>8645</v>
      </c>
      <c r="AH8051" t="s">
        <v>8646</v>
      </c>
      <c r="AI8051" t="str">
        <f>"9320210"</f>
        <v>9320210</v>
      </c>
      <c r="AJ8051" t="s">
        <v>11890</v>
      </c>
      <c r="AK8051">
        <v>2841026705</v>
      </c>
      <c r="AL8051" t="s">
        <v>11891</v>
      </c>
      <c r="AM8051" t="s">
        <v>4513</v>
      </c>
      <c r="AN8051" t="s">
        <v>4514</v>
      </c>
      <c r="AO8051" t="s">
        <v>4514</v>
      </c>
      <c r="AP8051" t="s">
        <v>4514</v>
      </c>
      <c r="AQ8051">
        <v>1</v>
      </c>
      <c r="AR8051" t="s">
        <v>5177</v>
      </c>
      <c r="AS8051" t="s">
        <v>5178</v>
      </c>
      <c r="AT8051" t="s">
        <v>58</v>
      </c>
      <c r="AU8051" t="s">
        <v>68</v>
      </c>
      <c r="AV8051" t="s">
        <v>69</v>
      </c>
      <c r="AW8051" s="1">
        <v>24482</v>
      </c>
      <c r="AX8051">
        <v>1</v>
      </c>
    </row>
    <row r="8052" spans="1:50">
      <c r="A8052">
        <v>618591</v>
      </c>
      <c r="B8052" t="str">
        <f>"065906539"</f>
        <v>065906539</v>
      </c>
      <c r="C8052" t="s">
        <v>105</v>
      </c>
      <c r="D8052" t="s">
        <v>12470</v>
      </c>
      <c r="E8052" t="s">
        <v>84</v>
      </c>
      <c r="F8052" t="s">
        <v>230</v>
      </c>
      <c r="G8052" t="s">
        <v>855</v>
      </c>
      <c r="H8052" t="str">
        <f>"Μ.ΑΛΕΞΑΝΔΡΟΥ 1 ΝΕΑΠΟΛΗ"</f>
        <v>Μ.ΑΛΕΞΑΝΔΡΟΥ 1 ΝΕΑΠΟΛΗ</v>
      </c>
      <c r="I8052">
        <v>72400</v>
      </c>
      <c r="J8052">
        <v>2841032773</v>
      </c>
      <c r="K8052">
        <v>6941408501</v>
      </c>
      <c r="N8052" t="s">
        <v>615</v>
      </c>
      <c r="O8052" t="s">
        <v>616</v>
      </c>
      <c r="R8052" t="s">
        <v>57</v>
      </c>
      <c r="S8052">
        <v>5</v>
      </c>
      <c r="T8052">
        <v>774</v>
      </c>
      <c r="U8052" s="1">
        <v>39680</v>
      </c>
      <c r="V8052" t="s">
        <v>5177</v>
      </c>
      <c r="W8052" t="s">
        <v>5178</v>
      </c>
      <c r="X8052" t="s">
        <v>58</v>
      </c>
      <c r="Y8052">
        <v>23</v>
      </c>
      <c r="Z8052" t="s">
        <v>59</v>
      </c>
      <c r="AA8052" t="s">
        <v>59</v>
      </c>
      <c r="AB8052" t="s">
        <v>59</v>
      </c>
      <c r="AC8052" t="s">
        <v>59</v>
      </c>
      <c r="AD8052" t="s">
        <v>59</v>
      </c>
      <c r="AF8052" s="1">
        <v>39681</v>
      </c>
      <c r="AG8052" t="s">
        <v>8645</v>
      </c>
      <c r="AH8052" t="s">
        <v>8646</v>
      </c>
      <c r="AI8052" t="str">
        <f>"9320060"</f>
        <v>9320060</v>
      </c>
      <c r="AJ8052" t="s">
        <v>12246</v>
      </c>
      <c r="AK8052">
        <v>2841032319</v>
      </c>
      <c r="AL8052" t="s">
        <v>12247</v>
      </c>
      <c r="AM8052" t="s">
        <v>4513</v>
      </c>
      <c r="AN8052" t="s">
        <v>4514</v>
      </c>
      <c r="AO8052" t="s">
        <v>4524</v>
      </c>
      <c r="AP8052" t="s">
        <v>4525</v>
      </c>
      <c r="AQ8052">
        <v>1</v>
      </c>
      <c r="AR8052" t="s">
        <v>5177</v>
      </c>
      <c r="AS8052" t="s">
        <v>5178</v>
      </c>
      <c r="AT8052" t="s">
        <v>58</v>
      </c>
      <c r="AU8052" t="s">
        <v>68</v>
      </c>
      <c r="AV8052" t="s">
        <v>69</v>
      </c>
      <c r="AW8052" s="1">
        <v>29820</v>
      </c>
      <c r="AX8052">
        <v>1</v>
      </c>
    </row>
    <row r="8053" spans="1:50">
      <c r="B8053" t="str">
        <f>"144536446"</f>
        <v>144536446</v>
      </c>
      <c r="C8053" t="s">
        <v>50</v>
      </c>
      <c r="D8053" t="s">
        <v>12471</v>
      </c>
      <c r="E8053" t="s">
        <v>250</v>
      </c>
      <c r="F8053" t="s">
        <v>99</v>
      </c>
      <c r="G8053" t="s">
        <v>2945</v>
      </c>
      <c r="H8053" t="str">
        <f>" "</f>
        <v xml:space="preserve"> </v>
      </c>
      <c r="N8053" t="s">
        <v>615</v>
      </c>
      <c r="O8053" t="s">
        <v>616</v>
      </c>
      <c r="R8053" t="s">
        <v>159</v>
      </c>
      <c r="S8053">
        <v>1</v>
      </c>
      <c r="T8053" t="s">
        <v>8675</v>
      </c>
      <c r="U8053" s="1">
        <v>43348</v>
      </c>
      <c r="V8053" t="s">
        <v>5177</v>
      </c>
      <c r="W8053" t="s">
        <v>5178</v>
      </c>
      <c r="X8053" t="s">
        <v>58</v>
      </c>
      <c r="Y8053">
        <v>24</v>
      </c>
      <c r="Z8053" t="s">
        <v>59</v>
      </c>
      <c r="AA8053" t="s">
        <v>59</v>
      </c>
      <c r="AB8053" t="s">
        <v>59</v>
      </c>
      <c r="AC8053" t="s">
        <v>59</v>
      </c>
      <c r="AD8053" t="s">
        <v>59</v>
      </c>
      <c r="AF8053" s="1">
        <v>43348</v>
      </c>
      <c r="AG8053" t="s">
        <v>8645</v>
      </c>
      <c r="AH8053" t="s">
        <v>8646</v>
      </c>
      <c r="AI8053" t="str">
        <f>"9320205"</f>
        <v>9320205</v>
      </c>
      <c r="AJ8053" t="s">
        <v>11902</v>
      </c>
      <c r="AK8053">
        <v>2843024509</v>
      </c>
      <c r="AL8053" t="s">
        <v>11903</v>
      </c>
      <c r="AM8053" t="s">
        <v>4513</v>
      </c>
      <c r="AN8053" t="s">
        <v>4540</v>
      </c>
      <c r="AO8053" t="s">
        <v>4540</v>
      </c>
      <c r="AP8053" t="s">
        <v>4540</v>
      </c>
      <c r="AQ8053">
        <v>8</v>
      </c>
      <c r="AR8053" t="s">
        <v>5177</v>
      </c>
      <c r="AS8053" t="s">
        <v>5178</v>
      </c>
      <c r="AT8053" t="s">
        <v>58</v>
      </c>
      <c r="AU8053" t="s">
        <v>8673</v>
      </c>
      <c r="AV8053" t="s">
        <v>132</v>
      </c>
      <c r="AW8053" s="1">
        <v>32787</v>
      </c>
      <c r="AX8053">
        <v>1</v>
      </c>
    </row>
    <row r="8054" spans="1:50">
      <c r="A8054">
        <v>587371</v>
      </c>
      <c r="B8054" t="str">
        <f>"052825855"</f>
        <v>052825855</v>
      </c>
      <c r="C8054" t="s">
        <v>50</v>
      </c>
      <c r="D8054" t="s">
        <v>11110</v>
      </c>
      <c r="E8054" t="s">
        <v>215</v>
      </c>
      <c r="F8054" t="s">
        <v>202</v>
      </c>
      <c r="G8054" t="s">
        <v>1694</v>
      </c>
      <c r="H8054" t="str">
        <f>"ΣΤΡΑΤΗΓΟΥ ΚΟΡΑΚΑ 21 ΑΓΙΟΣ ΝΙΚΟΛΑΟΣ"</f>
        <v>ΣΤΡΑΤΗΓΟΥ ΚΟΡΑΚΑ 21 ΑΓΙΟΣ ΝΙΚΟΛΑΟΣ</v>
      </c>
      <c r="I8054">
        <v>72100</v>
      </c>
      <c r="J8054">
        <v>2841082818</v>
      </c>
      <c r="K8054">
        <v>6977592533</v>
      </c>
      <c r="N8054" t="s">
        <v>306</v>
      </c>
      <c r="O8054" t="s">
        <v>307</v>
      </c>
      <c r="R8054" t="s">
        <v>57</v>
      </c>
      <c r="S8054">
        <v>10</v>
      </c>
      <c r="T8054">
        <v>164</v>
      </c>
      <c r="U8054" s="1">
        <v>36039</v>
      </c>
      <c r="V8054" t="s">
        <v>5177</v>
      </c>
      <c r="W8054" t="s">
        <v>5178</v>
      </c>
      <c r="X8054" t="s">
        <v>58</v>
      </c>
      <c r="Y8054">
        <v>21</v>
      </c>
      <c r="Z8054" t="s">
        <v>59</v>
      </c>
      <c r="AA8054" t="s">
        <v>59</v>
      </c>
      <c r="AB8054" t="s">
        <v>59</v>
      </c>
      <c r="AC8054" t="s">
        <v>59</v>
      </c>
      <c r="AD8054" t="s">
        <v>59</v>
      </c>
      <c r="AF8054" s="1">
        <v>36042</v>
      </c>
      <c r="AG8054" t="s">
        <v>8645</v>
      </c>
      <c r="AH8054" t="s">
        <v>8646</v>
      </c>
      <c r="AI8054" t="str">
        <f>"9320210"</f>
        <v>9320210</v>
      </c>
      <c r="AJ8054" t="s">
        <v>11890</v>
      </c>
      <c r="AK8054">
        <v>2841026705</v>
      </c>
      <c r="AL8054" t="s">
        <v>11891</v>
      </c>
      <c r="AM8054" t="s">
        <v>4513</v>
      </c>
      <c r="AN8054" t="s">
        <v>4514</v>
      </c>
      <c r="AO8054" t="s">
        <v>4514</v>
      </c>
      <c r="AP8054" t="s">
        <v>4514</v>
      </c>
      <c r="AQ8054">
        <v>1</v>
      </c>
      <c r="AR8054" t="s">
        <v>5177</v>
      </c>
      <c r="AS8054" t="s">
        <v>5178</v>
      </c>
      <c r="AT8054" t="s">
        <v>58</v>
      </c>
      <c r="AU8054" t="s">
        <v>68</v>
      </c>
      <c r="AV8054" t="s">
        <v>69</v>
      </c>
      <c r="AW8054" s="1">
        <v>25541</v>
      </c>
      <c r="AX8054">
        <v>1</v>
      </c>
    </row>
    <row r="8055" spans="1:50">
      <c r="A8055">
        <v>559554</v>
      </c>
      <c r="B8055" t="str">
        <f>"032348570"</f>
        <v>032348570</v>
      </c>
      <c r="C8055" t="s">
        <v>50</v>
      </c>
      <c r="D8055" t="s">
        <v>5286</v>
      </c>
      <c r="E8055" t="s">
        <v>1448</v>
      </c>
      <c r="F8055" t="s">
        <v>377</v>
      </c>
      <c r="G8055" t="s">
        <v>52</v>
      </c>
      <c r="H8055" t="str">
        <f>"ΝΙΚΟΛΑΟΥ ΠΛΑΣΤΗΡΑ 47 ΑΓΙΟΣ ΝΙΚΟΛΑΟΣ"</f>
        <v>ΝΙΚΟΛΑΟΥ ΠΛΑΣΤΗΡΑ 47 ΑΓΙΟΣ ΝΙΚΟΛΑΟΣ</v>
      </c>
      <c r="I8055">
        <v>72100</v>
      </c>
      <c r="J8055">
        <v>2841025285</v>
      </c>
      <c r="K8055">
        <v>6978419543</v>
      </c>
      <c r="N8055" t="s">
        <v>615</v>
      </c>
      <c r="O8055" t="s">
        <v>616</v>
      </c>
      <c r="R8055" t="s">
        <v>57</v>
      </c>
      <c r="S8055">
        <v>16</v>
      </c>
      <c r="T8055">
        <v>168</v>
      </c>
      <c r="U8055" s="1">
        <v>32010</v>
      </c>
      <c r="V8055" t="s">
        <v>5177</v>
      </c>
      <c r="W8055" t="s">
        <v>5178</v>
      </c>
      <c r="X8055" t="s">
        <v>58</v>
      </c>
      <c r="Y8055">
        <v>21</v>
      </c>
      <c r="Z8055" t="s">
        <v>59</v>
      </c>
      <c r="AA8055" t="s">
        <v>59</v>
      </c>
      <c r="AB8055" t="s">
        <v>59</v>
      </c>
      <c r="AC8055" t="s">
        <v>59</v>
      </c>
      <c r="AD8055" t="s">
        <v>59</v>
      </c>
      <c r="AF8055" s="1">
        <v>32021</v>
      </c>
      <c r="AG8055" t="s">
        <v>8645</v>
      </c>
      <c r="AH8055" t="s">
        <v>8646</v>
      </c>
      <c r="AI8055" t="str">
        <f>"9320138"</f>
        <v>9320138</v>
      </c>
      <c r="AJ8055" t="s">
        <v>11915</v>
      </c>
      <c r="AK8055">
        <v>2841022104</v>
      </c>
      <c r="AL8055" t="s">
        <v>11916</v>
      </c>
      <c r="AM8055" t="s">
        <v>4513</v>
      </c>
      <c r="AN8055" t="s">
        <v>4514</v>
      </c>
      <c r="AO8055" t="s">
        <v>4514</v>
      </c>
      <c r="AP8055" t="s">
        <v>4514</v>
      </c>
      <c r="AQ8055">
        <v>1</v>
      </c>
      <c r="AR8055" t="s">
        <v>5177</v>
      </c>
      <c r="AS8055" t="s">
        <v>5178</v>
      </c>
      <c r="AT8055" t="s">
        <v>58</v>
      </c>
      <c r="AU8055" t="s">
        <v>68</v>
      </c>
      <c r="AV8055" t="s">
        <v>69</v>
      </c>
      <c r="AW8055" s="1">
        <v>23899</v>
      </c>
      <c r="AX8055">
        <v>1</v>
      </c>
    </row>
    <row r="8056" spans="1:50">
      <c r="A8056">
        <v>702248</v>
      </c>
      <c r="B8056" t="str">
        <f>"110355694"</f>
        <v>110355694</v>
      </c>
      <c r="C8056" t="s">
        <v>50</v>
      </c>
      <c r="D8056" t="s">
        <v>3348</v>
      </c>
      <c r="E8056" t="s">
        <v>325</v>
      </c>
      <c r="F8056" t="s">
        <v>72</v>
      </c>
      <c r="G8056" t="s">
        <v>658</v>
      </c>
      <c r="H8056" t="str">
        <f>"ΖΑΚΡΟΣ ΣΗΤΕΙΑΣ "</f>
        <v xml:space="preserve">ΖΑΚΡΟΣ ΣΗΤΕΙΑΣ </v>
      </c>
      <c r="I8056">
        <v>72300</v>
      </c>
      <c r="J8056">
        <v>2843093496</v>
      </c>
      <c r="K8056">
        <v>6976234382</v>
      </c>
      <c r="N8056" t="s">
        <v>1525</v>
      </c>
      <c r="O8056" t="s">
        <v>1526</v>
      </c>
      <c r="R8056" t="s">
        <v>57</v>
      </c>
      <c r="S8056">
        <v>4</v>
      </c>
      <c r="T8056">
        <v>772</v>
      </c>
      <c r="U8056" s="1">
        <v>40413</v>
      </c>
      <c r="V8056" t="s">
        <v>5177</v>
      </c>
      <c r="W8056" t="s">
        <v>5178</v>
      </c>
      <c r="X8056" t="s">
        <v>58</v>
      </c>
      <c r="Y8056">
        <v>25</v>
      </c>
      <c r="Z8056" t="s">
        <v>59</v>
      </c>
      <c r="AA8056" t="s">
        <v>59</v>
      </c>
      <c r="AB8056" t="s">
        <v>59</v>
      </c>
      <c r="AC8056" t="s">
        <v>59</v>
      </c>
      <c r="AD8056" t="s">
        <v>59</v>
      </c>
      <c r="AF8056" s="1">
        <v>40415</v>
      </c>
      <c r="AG8056" t="s">
        <v>8651</v>
      </c>
      <c r="AH8056" t="s">
        <v>8652</v>
      </c>
      <c r="AI8056" t="str">
        <f>"9320148"</f>
        <v>9320148</v>
      </c>
      <c r="AJ8056" t="s">
        <v>12472</v>
      </c>
      <c r="AK8056">
        <v>2843093395</v>
      </c>
      <c r="AL8056" t="s">
        <v>12473</v>
      </c>
      <c r="AM8056" t="s">
        <v>4513</v>
      </c>
      <c r="AN8056" t="s">
        <v>4540</v>
      </c>
      <c r="AO8056" t="s">
        <v>4700</v>
      </c>
      <c r="AP8056" t="s">
        <v>12109</v>
      </c>
      <c r="AQ8056">
        <v>9</v>
      </c>
      <c r="AR8056" t="s">
        <v>5177</v>
      </c>
      <c r="AS8056" t="s">
        <v>5178</v>
      </c>
      <c r="AT8056" t="s">
        <v>58</v>
      </c>
      <c r="AU8056" t="s">
        <v>68</v>
      </c>
      <c r="AV8056" t="s">
        <v>69</v>
      </c>
      <c r="AW8056" s="1">
        <v>26119</v>
      </c>
      <c r="AX8056">
        <v>1</v>
      </c>
    </row>
    <row r="8057" spans="1:50">
      <c r="A8057">
        <v>572390</v>
      </c>
      <c r="B8057" t="str">
        <f>"110336655"</f>
        <v>110336655</v>
      </c>
      <c r="C8057" t="s">
        <v>50</v>
      </c>
      <c r="D8057" t="s">
        <v>3377</v>
      </c>
      <c r="E8057" t="s">
        <v>52</v>
      </c>
      <c r="F8057" t="s">
        <v>53</v>
      </c>
      <c r="G8057" t="s">
        <v>1108</v>
      </c>
      <c r="H8057" t="str">
        <f>"ΠΕΡΙΟΧΗ ΜΠΟΥΖΟΥΚΙΑ ΑΓΙΟΣ ΝΙΚΟΛΑΟΣ"</f>
        <v>ΠΕΡΙΟΧΗ ΜΠΟΥΖΟΥΚΙΑ ΑΓΙΟΣ ΝΙΚΟΛΑΟΣ</v>
      </c>
      <c r="I8057">
        <v>72100</v>
      </c>
      <c r="J8057">
        <v>2841026761</v>
      </c>
      <c r="N8057" t="s">
        <v>306</v>
      </c>
      <c r="O8057" t="s">
        <v>307</v>
      </c>
      <c r="R8057" t="s">
        <v>57</v>
      </c>
      <c r="S8057">
        <v>13</v>
      </c>
      <c r="T8057">
        <v>154</v>
      </c>
      <c r="U8057" s="1">
        <v>34225</v>
      </c>
      <c r="V8057" t="s">
        <v>5177</v>
      </c>
      <c r="W8057" t="s">
        <v>5178</v>
      </c>
      <c r="X8057" t="s">
        <v>58</v>
      </c>
      <c r="Y8057">
        <v>21</v>
      </c>
      <c r="Z8057" t="s">
        <v>59</v>
      </c>
      <c r="AA8057" t="s">
        <v>59</v>
      </c>
      <c r="AB8057" t="s">
        <v>59</v>
      </c>
      <c r="AC8057" t="s">
        <v>59</v>
      </c>
      <c r="AD8057" t="s">
        <v>59</v>
      </c>
      <c r="AF8057" s="1">
        <v>34227</v>
      </c>
      <c r="AG8057" t="s">
        <v>8645</v>
      </c>
      <c r="AH8057" t="s">
        <v>8646</v>
      </c>
      <c r="AI8057" t="str">
        <f>"9320055"</f>
        <v>9320055</v>
      </c>
      <c r="AJ8057" t="s">
        <v>11937</v>
      </c>
      <c r="AK8057">
        <v>2841022326</v>
      </c>
      <c r="AL8057" t="s">
        <v>11938</v>
      </c>
      <c r="AM8057" t="s">
        <v>4513</v>
      </c>
      <c r="AN8057" t="s">
        <v>4514</v>
      </c>
      <c r="AO8057" t="s">
        <v>4514</v>
      </c>
      <c r="AP8057" t="s">
        <v>4514</v>
      </c>
      <c r="AQ8057">
        <v>1</v>
      </c>
      <c r="AR8057" t="s">
        <v>5177</v>
      </c>
      <c r="AS8057" t="s">
        <v>5178</v>
      </c>
      <c r="AT8057" t="s">
        <v>58</v>
      </c>
      <c r="AU8057" t="s">
        <v>68</v>
      </c>
      <c r="AV8057" t="s">
        <v>69</v>
      </c>
      <c r="AW8057" s="1">
        <v>25632</v>
      </c>
      <c r="AX8057">
        <v>1</v>
      </c>
    </row>
    <row r="8058" spans="1:50">
      <c r="A8058">
        <v>582039</v>
      </c>
      <c r="B8058" t="str">
        <f>"039712055"</f>
        <v>039712055</v>
      </c>
      <c r="C8058" t="s">
        <v>50</v>
      </c>
      <c r="D8058" t="s">
        <v>3377</v>
      </c>
      <c r="E8058" t="s">
        <v>191</v>
      </c>
      <c r="F8058" t="s">
        <v>72</v>
      </c>
      <c r="G8058" t="s">
        <v>181</v>
      </c>
      <c r="H8058" t="str">
        <f>"Ι. ΖΟΥΡΑΡΗ 21 ΙΕΡΑΠΕΤΡΑ"</f>
        <v>Ι. ΖΟΥΡΑΡΗ 21 ΙΕΡΑΠΕΤΡΑ</v>
      </c>
      <c r="I8058">
        <v>72200</v>
      </c>
      <c r="J8058">
        <v>2842024722</v>
      </c>
      <c r="K8058">
        <v>6981394828</v>
      </c>
      <c r="L8058">
        <v>6930593560</v>
      </c>
      <c r="M8058" t="s">
        <v>12474</v>
      </c>
      <c r="N8058" t="s">
        <v>615</v>
      </c>
      <c r="O8058" t="s">
        <v>616</v>
      </c>
      <c r="R8058" t="s">
        <v>57</v>
      </c>
      <c r="S8058">
        <v>12</v>
      </c>
      <c r="T8058">
        <v>179</v>
      </c>
      <c r="U8058" s="1">
        <v>35674</v>
      </c>
      <c r="V8058" t="s">
        <v>5177</v>
      </c>
      <c r="W8058" t="s">
        <v>5178</v>
      </c>
      <c r="X8058" t="s">
        <v>58</v>
      </c>
      <c r="Y8058">
        <v>21</v>
      </c>
      <c r="Z8058" t="s">
        <v>59</v>
      </c>
      <c r="AA8058" t="s">
        <v>59</v>
      </c>
      <c r="AB8058" t="s">
        <v>59</v>
      </c>
      <c r="AC8058" t="s">
        <v>59</v>
      </c>
      <c r="AD8058" t="s">
        <v>59</v>
      </c>
      <c r="AF8058" s="1">
        <v>35677</v>
      </c>
      <c r="AG8058" t="s">
        <v>8645</v>
      </c>
      <c r="AH8058" t="s">
        <v>8646</v>
      </c>
      <c r="AI8058" t="str">
        <f>"9320003"</f>
        <v>9320003</v>
      </c>
      <c r="AJ8058" t="s">
        <v>11886</v>
      </c>
      <c r="AK8058">
        <v>2842089830</v>
      </c>
      <c r="AL8058" t="s">
        <v>11887</v>
      </c>
      <c r="AM8058" t="s">
        <v>4513</v>
      </c>
      <c r="AN8058" t="s">
        <v>4519</v>
      </c>
      <c r="AO8058" t="s">
        <v>4519</v>
      </c>
      <c r="AP8058" t="s">
        <v>4519</v>
      </c>
      <c r="AQ8058">
        <v>4</v>
      </c>
      <c r="AR8058" t="s">
        <v>5177</v>
      </c>
      <c r="AS8058" t="s">
        <v>5178</v>
      </c>
      <c r="AT8058" t="s">
        <v>58</v>
      </c>
      <c r="AU8058" t="s">
        <v>68</v>
      </c>
      <c r="AV8058" t="s">
        <v>69</v>
      </c>
      <c r="AW8058" s="1">
        <v>24524</v>
      </c>
      <c r="AX8058">
        <v>1</v>
      </c>
    </row>
    <row r="8059" spans="1:50">
      <c r="B8059" t="str">
        <f>"150997464"</f>
        <v>150997464</v>
      </c>
      <c r="C8059" t="s">
        <v>50</v>
      </c>
      <c r="D8059" t="s">
        <v>12475</v>
      </c>
      <c r="E8059" t="s">
        <v>255</v>
      </c>
      <c r="F8059" t="s">
        <v>609</v>
      </c>
      <c r="G8059" t="s">
        <v>237</v>
      </c>
      <c r="H8059" t="str">
        <f>" "</f>
        <v xml:space="preserve"> </v>
      </c>
      <c r="N8059" t="s">
        <v>615</v>
      </c>
      <c r="O8059" t="s">
        <v>616</v>
      </c>
      <c r="R8059" t="s">
        <v>121</v>
      </c>
      <c r="S8059">
        <v>3</v>
      </c>
      <c r="T8059" t="s">
        <v>8717</v>
      </c>
      <c r="U8059" s="1">
        <v>43348</v>
      </c>
      <c r="V8059" t="s">
        <v>5177</v>
      </c>
      <c r="W8059" t="s">
        <v>5178</v>
      </c>
      <c r="X8059" t="s">
        <v>58</v>
      </c>
      <c r="Y8059">
        <v>24</v>
      </c>
      <c r="Z8059" t="s">
        <v>59</v>
      </c>
      <c r="AA8059" t="s">
        <v>59</v>
      </c>
      <c r="AB8059" t="s">
        <v>59</v>
      </c>
      <c r="AD8059" t="s">
        <v>59</v>
      </c>
      <c r="AF8059" s="1">
        <v>43348</v>
      </c>
      <c r="AG8059" t="s">
        <v>8645</v>
      </c>
      <c r="AH8059" t="s">
        <v>8646</v>
      </c>
      <c r="AI8059" t="str">
        <f>"9320058"</f>
        <v>9320058</v>
      </c>
      <c r="AJ8059" t="s">
        <v>11893</v>
      </c>
      <c r="AK8059">
        <v>2841022496</v>
      </c>
      <c r="AL8059" t="s">
        <v>11894</v>
      </c>
      <c r="AM8059" t="s">
        <v>4513</v>
      </c>
      <c r="AN8059" t="s">
        <v>4514</v>
      </c>
      <c r="AO8059" t="s">
        <v>4514</v>
      </c>
      <c r="AP8059" t="s">
        <v>4514</v>
      </c>
      <c r="AQ8059">
        <v>1</v>
      </c>
      <c r="AR8059" t="s">
        <v>5177</v>
      </c>
      <c r="AS8059" t="s">
        <v>5178</v>
      </c>
      <c r="AT8059" t="s">
        <v>58</v>
      </c>
      <c r="AU8059" t="s">
        <v>8720</v>
      </c>
      <c r="AV8059" t="s">
        <v>132</v>
      </c>
      <c r="AW8059" s="1">
        <v>32920</v>
      </c>
      <c r="AX8059">
        <v>1</v>
      </c>
    </row>
    <row r="8060" spans="1:50">
      <c r="B8060" t="str">
        <f>"100803045"</f>
        <v>100803045</v>
      </c>
      <c r="C8060" t="s">
        <v>50</v>
      </c>
      <c r="D8060" t="s">
        <v>12476</v>
      </c>
      <c r="E8060" t="s">
        <v>181</v>
      </c>
      <c r="F8060" t="s">
        <v>72</v>
      </c>
      <c r="G8060" t="s">
        <v>2091</v>
      </c>
      <c r="H8060" t="str">
        <f>" "</f>
        <v xml:space="preserve"> </v>
      </c>
      <c r="N8060" t="s">
        <v>478</v>
      </c>
      <c r="O8060" t="s">
        <v>479</v>
      </c>
      <c r="R8060" t="s">
        <v>121</v>
      </c>
      <c r="S8060">
        <v>3</v>
      </c>
      <c r="T8060" t="s">
        <v>8675</v>
      </c>
      <c r="U8060" s="1">
        <v>43348</v>
      </c>
      <c r="V8060" t="s">
        <v>5177</v>
      </c>
      <c r="W8060" t="s">
        <v>5178</v>
      </c>
      <c r="X8060" t="s">
        <v>58</v>
      </c>
      <c r="Y8060">
        <v>24</v>
      </c>
      <c r="Z8060" t="s">
        <v>59</v>
      </c>
      <c r="AA8060" t="s">
        <v>59</v>
      </c>
      <c r="AB8060" t="s">
        <v>59</v>
      </c>
      <c r="AC8060" t="s">
        <v>59</v>
      </c>
      <c r="AD8060" t="s">
        <v>59</v>
      </c>
      <c r="AF8060" s="1">
        <v>43348</v>
      </c>
      <c r="AG8060" t="s">
        <v>8645</v>
      </c>
      <c r="AH8060" t="s">
        <v>8646</v>
      </c>
      <c r="AI8060" t="str">
        <f>"9320005"</f>
        <v>9320005</v>
      </c>
      <c r="AJ8060" t="s">
        <v>12004</v>
      </c>
      <c r="AK8060">
        <v>2842022202</v>
      </c>
      <c r="AL8060" t="s">
        <v>12005</v>
      </c>
      <c r="AM8060" t="s">
        <v>4513</v>
      </c>
      <c r="AN8060" t="s">
        <v>4519</v>
      </c>
      <c r="AO8060" t="s">
        <v>4519</v>
      </c>
      <c r="AP8060" t="s">
        <v>4519</v>
      </c>
      <c r="AQ8060">
        <v>4</v>
      </c>
      <c r="AR8060" t="s">
        <v>5177</v>
      </c>
      <c r="AS8060" t="s">
        <v>5178</v>
      </c>
      <c r="AT8060" t="s">
        <v>58</v>
      </c>
      <c r="AU8060" t="s">
        <v>8673</v>
      </c>
      <c r="AV8060" t="s">
        <v>132</v>
      </c>
      <c r="AW8060" s="1">
        <v>27810</v>
      </c>
      <c r="AX8060">
        <v>1</v>
      </c>
    </row>
    <row r="8061" spans="1:50">
      <c r="A8061">
        <v>621889</v>
      </c>
      <c r="B8061" t="str">
        <f>"140002710"</f>
        <v>140002710</v>
      </c>
      <c r="C8061" t="s">
        <v>50</v>
      </c>
      <c r="D8061" t="s">
        <v>3416</v>
      </c>
      <c r="E8061" t="s">
        <v>237</v>
      </c>
      <c r="F8061" t="s">
        <v>1328</v>
      </c>
      <c r="G8061" t="s">
        <v>530</v>
      </c>
      <c r="H8061" t="str">
        <f>"Ι. ΜΑΜΟΥΝΑΚΗ 9 ΙΕΡΑΠΕΤΡΑ"</f>
        <v>Ι. ΜΑΜΟΥΝΑΚΗ 9 ΙΕΡΑΠΕΤΡΑ</v>
      </c>
      <c r="I8061">
        <v>72200</v>
      </c>
      <c r="J8061">
        <v>2842027678</v>
      </c>
      <c r="K8061">
        <v>6976631583</v>
      </c>
      <c r="N8061" t="s">
        <v>615</v>
      </c>
      <c r="O8061" t="s">
        <v>616</v>
      </c>
      <c r="R8061" t="s">
        <v>57</v>
      </c>
      <c r="S8061">
        <v>5</v>
      </c>
      <c r="T8061">
        <v>653</v>
      </c>
      <c r="U8061" s="1">
        <v>40043</v>
      </c>
      <c r="V8061" t="s">
        <v>5177</v>
      </c>
      <c r="W8061" t="s">
        <v>5178</v>
      </c>
      <c r="X8061" t="s">
        <v>58</v>
      </c>
      <c r="Y8061">
        <v>23</v>
      </c>
      <c r="Z8061" t="s">
        <v>59</v>
      </c>
      <c r="AA8061" t="s">
        <v>59</v>
      </c>
      <c r="AB8061" t="s">
        <v>59</v>
      </c>
      <c r="AC8061" t="s">
        <v>59</v>
      </c>
      <c r="AD8061" t="s">
        <v>59</v>
      </c>
      <c r="AF8061" s="1">
        <v>40043</v>
      </c>
      <c r="AG8061" t="s">
        <v>8645</v>
      </c>
      <c r="AH8061" t="s">
        <v>8646</v>
      </c>
      <c r="AI8061" t="str">
        <f>"9320021"</f>
        <v>9320021</v>
      </c>
      <c r="AJ8061" t="s">
        <v>11956</v>
      </c>
      <c r="AK8061">
        <v>2842022557</v>
      </c>
      <c r="AL8061" t="s">
        <v>11957</v>
      </c>
      <c r="AM8061" t="s">
        <v>4513</v>
      </c>
      <c r="AN8061" t="s">
        <v>4519</v>
      </c>
      <c r="AO8061" t="s">
        <v>4519</v>
      </c>
      <c r="AP8061" t="s">
        <v>4519</v>
      </c>
      <c r="AQ8061">
        <v>5</v>
      </c>
      <c r="AR8061" t="s">
        <v>5177</v>
      </c>
      <c r="AS8061" t="s">
        <v>5178</v>
      </c>
      <c r="AT8061" t="s">
        <v>58</v>
      </c>
      <c r="AU8061" t="s">
        <v>68</v>
      </c>
      <c r="AV8061" t="s">
        <v>69</v>
      </c>
      <c r="AW8061" s="1">
        <v>31339</v>
      </c>
      <c r="AX8061">
        <v>1</v>
      </c>
    </row>
    <row r="8062" spans="1:50">
      <c r="B8062" t="str">
        <f>"148627267"</f>
        <v>148627267</v>
      </c>
      <c r="C8062" t="s">
        <v>50</v>
      </c>
      <c r="D8062" t="s">
        <v>12477</v>
      </c>
      <c r="E8062" t="s">
        <v>367</v>
      </c>
      <c r="F8062" t="s">
        <v>315</v>
      </c>
      <c r="G8062" t="s">
        <v>476</v>
      </c>
      <c r="H8062" t="str">
        <f>"ΘΗΣΕΩΣ 13 "</f>
        <v xml:space="preserve">ΘΗΣΕΩΣ 13 </v>
      </c>
      <c r="I8062">
        <v>56123</v>
      </c>
      <c r="J8062">
        <v>2310749189</v>
      </c>
      <c r="K8062">
        <v>6934246323</v>
      </c>
      <c r="N8062" t="s">
        <v>615</v>
      </c>
      <c r="O8062" t="s">
        <v>616</v>
      </c>
      <c r="R8062" t="s">
        <v>159</v>
      </c>
      <c r="S8062">
        <v>2</v>
      </c>
      <c r="T8062" t="s">
        <v>8675</v>
      </c>
      <c r="U8062" s="1">
        <v>43348</v>
      </c>
      <c r="V8062" t="s">
        <v>5177</v>
      </c>
      <c r="W8062" t="s">
        <v>5178</v>
      </c>
      <c r="X8062" t="s">
        <v>58</v>
      </c>
      <c r="Y8062">
        <v>24</v>
      </c>
      <c r="Z8062" t="s">
        <v>59</v>
      </c>
      <c r="AA8062" t="s">
        <v>59</v>
      </c>
      <c r="AB8062" t="s">
        <v>59</v>
      </c>
      <c r="AC8062" t="s">
        <v>59</v>
      </c>
      <c r="AD8062" t="s">
        <v>59</v>
      </c>
      <c r="AF8062" s="1">
        <v>43348</v>
      </c>
      <c r="AG8062" t="s">
        <v>8645</v>
      </c>
      <c r="AH8062" t="s">
        <v>8646</v>
      </c>
      <c r="AI8062" t="str">
        <f>"9320060"</f>
        <v>9320060</v>
      </c>
      <c r="AJ8062" t="s">
        <v>12246</v>
      </c>
      <c r="AK8062">
        <v>2841032319</v>
      </c>
      <c r="AL8062" t="s">
        <v>12247</v>
      </c>
      <c r="AM8062" t="s">
        <v>4513</v>
      </c>
      <c r="AN8062" t="s">
        <v>4514</v>
      </c>
      <c r="AO8062" t="s">
        <v>4524</v>
      </c>
      <c r="AP8062" t="s">
        <v>4525</v>
      </c>
      <c r="AQ8062">
        <v>1</v>
      </c>
      <c r="AR8062" t="s">
        <v>5177</v>
      </c>
      <c r="AS8062" t="s">
        <v>5178</v>
      </c>
      <c r="AT8062" t="s">
        <v>58</v>
      </c>
      <c r="AU8062" t="s">
        <v>8673</v>
      </c>
      <c r="AV8062" t="s">
        <v>132</v>
      </c>
      <c r="AW8062" s="1">
        <v>32309</v>
      </c>
      <c r="AX8062">
        <v>1</v>
      </c>
    </row>
    <row r="8063" spans="1:50">
      <c r="B8063" t="str">
        <f>"144275672"</f>
        <v>144275672</v>
      </c>
      <c r="C8063" t="s">
        <v>50</v>
      </c>
      <c r="D8063" t="s">
        <v>12478</v>
      </c>
      <c r="E8063" t="s">
        <v>155</v>
      </c>
      <c r="F8063" t="s">
        <v>53</v>
      </c>
      <c r="G8063" t="s">
        <v>155</v>
      </c>
      <c r="H8063" t="str">
        <f>"ΑΝΔΡΟΝΙΚΟΥ ΑΔΙΕΞΟΔΟΣ Γ9 "</f>
        <v xml:space="preserve">ΑΝΔΡΟΝΙΚΟΥ ΑΔΙΕΞΟΔΟΣ Γ9 </v>
      </c>
      <c r="I8063">
        <v>69100</v>
      </c>
      <c r="J8063">
        <v>2531029022</v>
      </c>
      <c r="K8063">
        <v>6975614742</v>
      </c>
      <c r="M8063" t="s">
        <v>12479</v>
      </c>
      <c r="N8063" t="s">
        <v>615</v>
      </c>
      <c r="O8063" t="s">
        <v>616</v>
      </c>
      <c r="R8063" t="s">
        <v>159</v>
      </c>
      <c r="S8063">
        <v>3</v>
      </c>
      <c r="T8063" t="s">
        <v>8675</v>
      </c>
      <c r="U8063" s="1">
        <v>43348</v>
      </c>
      <c r="V8063" t="s">
        <v>5177</v>
      </c>
      <c r="W8063" t="s">
        <v>5178</v>
      </c>
      <c r="X8063" t="s">
        <v>58</v>
      </c>
      <c r="Y8063">
        <v>24</v>
      </c>
      <c r="Z8063" t="s">
        <v>59</v>
      </c>
      <c r="AA8063" t="s">
        <v>59</v>
      </c>
      <c r="AB8063" t="s">
        <v>59</v>
      </c>
      <c r="AC8063" t="s">
        <v>59</v>
      </c>
      <c r="AD8063" t="s">
        <v>59</v>
      </c>
      <c r="AF8063" s="1">
        <v>43348</v>
      </c>
      <c r="AG8063" t="s">
        <v>8645</v>
      </c>
      <c r="AH8063" t="s">
        <v>8646</v>
      </c>
      <c r="AI8063" t="str">
        <f>"9320005"</f>
        <v>9320005</v>
      </c>
      <c r="AJ8063" t="s">
        <v>12004</v>
      </c>
      <c r="AK8063">
        <v>2842022202</v>
      </c>
      <c r="AL8063" t="s">
        <v>12005</v>
      </c>
      <c r="AM8063" t="s">
        <v>4513</v>
      </c>
      <c r="AN8063" t="s">
        <v>4519</v>
      </c>
      <c r="AO8063" t="s">
        <v>4519</v>
      </c>
      <c r="AP8063" t="s">
        <v>4519</v>
      </c>
      <c r="AQ8063">
        <v>4</v>
      </c>
      <c r="AR8063" t="s">
        <v>5177</v>
      </c>
      <c r="AS8063" t="s">
        <v>5178</v>
      </c>
      <c r="AT8063" t="s">
        <v>58</v>
      </c>
      <c r="AU8063" t="s">
        <v>8673</v>
      </c>
      <c r="AV8063" t="s">
        <v>132</v>
      </c>
      <c r="AW8063" s="1">
        <v>32294</v>
      </c>
      <c r="AX8063">
        <v>1</v>
      </c>
    </row>
    <row r="8064" spans="1:50">
      <c r="B8064" t="str">
        <f>"147425346"</f>
        <v>147425346</v>
      </c>
      <c r="C8064" t="s">
        <v>50</v>
      </c>
      <c r="D8064" t="s">
        <v>12480</v>
      </c>
      <c r="E8064" t="s">
        <v>52</v>
      </c>
      <c r="F8064" t="s">
        <v>459</v>
      </c>
      <c r="G8064" t="s">
        <v>2463</v>
      </c>
      <c r="H8064" t="str">
        <f>"ΚΕΣΙΔΗ 35 "</f>
        <v xml:space="preserve">ΚΕΣΙΔΗ 35 </v>
      </c>
      <c r="I8064">
        <v>57001</v>
      </c>
      <c r="J8064">
        <v>2310463543</v>
      </c>
      <c r="K8064">
        <v>6945865053</v>
      </c>
      <c r="N8064" t="s">
        <v>615</v>
      </c>
      <c r="O8064" t="s">
        <v>616</v>
      </c>
      <c r="R8064" t="s">
        <v>159</v>
      </c>
      <c r="S8064">
        <v>3</v>
      </c>
      <c r="T8064" t="s">
        <v>8675</v>
      </c>
      <c r="U8064" s="1">
        <v>43348</v>
      </c>
      <c r="V8064" t="s">
        <v>5177</v>
      </c>
      <c r="W8064" t="s">
        <v>5178</v>
      </c>
      <c r="X8064" t="s">
        <v>58</v>
      </c>
      <c r="Y8064">
        <v>24</v>
      </c>
      <c r="Z8064" t="s">
        <v>59</v>
      </c>
      <c r="AA8064" t="s">
        <v>59</v>
      </c>
      <c r="AB8064" t="s">
        <v>59</v>
      </c>
      <c r="AC8064" t="s">
        <v>59</v>
      </c>
      <c r="AD8064" t="s">
        <v>59</v>
      </c>
      <c r="AF8064" s="1">
        <v>43348</v>
      </c>
      <c r="AG8064" t="s">
        <v>8645</v>
      </c>
      <c r="AH8064" t="s">
        <v>8646</v>
      </c>
      <c r="AI8064" t="str">
        <f>"9320006"</f>
        <v>9320006</v>
      </c>
      <c r="AJ8064" t="s">
        <v>11919</v>
      </c>
      <c r="AK8064">
        <v>2842022359</v>
      </c>
      <c r="AL8064" t="s">
        <v>11920</v>
      </c>
      <c r="AM8064" t="s">
        <v>4513</v>
      </c>
      <c r="AN8064" t="s">
        <v>4519</v>
      </c>
      <c r="AO8064" t="s">
        <v>4519</v>
      </c>
      <c r="AP8064" t="s">
        <v>4519</v>
      </c>
      <c r="AQ8064">
        <v>4</v>
      </c>
      <c r="AR8064" t="s">
        <v>5177</v>
      </c>
      <c r="AS8064" t="s">
        <v>5178</v>
      </c>
      <c r="AT8064" t="s">
        <v>58</v>
      </c>
      <c r="AU8064" t="s">
        <v>8673</v>
      </c>
      <c r="AV8064" t="s">
        <v>132</v>
      </c>
      <c r="AW8064" s="1">
        <v>32349</v>
      </c>
      <c r="AX8064">
        <v>1</v>
      </c>
    </row>
    <row r="8065" spans="1:50">
      <c r="A8065">
        <v>605093</v>
      </c>
      <c r="B8065" t="str">
        <f>"125250696"</f>
        <v>125250696</v>
      </c>
      <c r="C8065" t="s">
        <v>50</v>
      </c>
      <c r="D8065" t="s">
        <v>12481</v>
      </c>
      <c r="E8065" t="s">
        <v>809</v>
      </c>
      <c r="F8065" t="s">
        <v>72</v>
      </c>
      <c r="G8065" t="s">
        <v>250</v>
      </c>
      <c r="H8065" t="str">
        <f>"ΓΡΑ ΛΥΓΙΑ ΙΕΡΑΠΕΤΡΑ"</f>
        <v>ΓΡΑ ΛΥΓΙΑ ΙΕΡΑΠΕΤΡΑ</v>
      </c>
      <c r="I8065">
        <v>72200</v>
      </c>
      <c r="J8065">
        <v>2842027374</v>
      </c>
      <c r="K8065">
        <v>6972099686</v>
      </c>
      <c r="N8065" t="s">
        <v>615</v>
      </c>
      <c r="O8065" t="s">
        <v>616</v>
      </c>
      <c r="R8065" t="s">
        <v>57</v>
      </c>
      <c r="S8065">
        <v>7</v>
      </c>
      <c r="T8065">
        <v>231</v>
      </c>
      <c r="U8065" s="1">
        <v>38230</v>
      </c>
      <c r="V8065" t="s">
        <v>5177</v>
      </c>
      <c r="W8065" t="s">
        <v>5178</v>
      </c>
      <c r="X8065" t="s">
        <v>58</v>
      </c>
      <c r="Y8065">
        <v>22</v>
      </c>
      <c r="Z8065" t="s">
        <v>59</v>
      </c>
      <c r="AA8065" t="s">
        <v>59</v>
      </c>
      <c r="AB8065" t="s">
        <v>59</v>
      </c>
      <c r="AC8065" t="s">
        <v>59</v>
      </c>
      <c r="AD8065" t="s">
        <v>59</v>
      </c>
      <c r="AF8065" s="1">
        <v>38232</v>
      </c>
      <c r="AG8065" t="s">
        <v>8645</v>
      </c>
      <c r="AH8065" t="s">
        <v>8646</v>
      </c>
      <c r="AI8065" t="str">
        <f>"9320163"</f>
        <v>9320163</v>
      </c>
      <c r="AJ8065" t="s">
        <v>12012</v>
      </c>
      <c r="AK8065">
        <v>2842024595</v>
      </c>
      <c r="AL8065" t="s">
        <v>12013</v>
      </c>
      <c r="AM8065" t="s">
        <v>4513</v>
      </c>
      <c r="AN8065" t="s">
        <v>4519</v>
      </c>
      <c r="AO8065" t="s">
        <v>4519</v>
      </c>
      <c r="AP8065" t="s">
        <v>4519</v>
      </c>
      <c r="AQ8065">
        <v>4</v>
      </c>
      <c r="AR8065" t="s">
        <v>5177</v>
      </c>
      <c r="AS8065" t="s">
        <v>5178</v>
      </c>
      <c r="AT8065" t="s">
        <v>58</v>
      </c>
      <c r="AU8065" t="s">
        <v>68</v>
      </c>
      <c r="AV8065" t="s">
        <v>69</v>
      </c>
      <c r="AW8065" s="1">
        <v>27974</v>
      </c>
      <c r="AX8065">
        <v>1</v>
      </c>
    </row>
    <row r="8066" spans="1:50">
      <c r="B8066" t="str">
        <f>"301885930"</f>
        <v>301885930</v>
      </c>
      <c r="C8066" t="s">
        <v>105</v>
      </c>
      <c r="D8066" t="s">
        <v>12482</v>
      </c>
      <c r="E8066" t="s">
        <v>53</v>
      </c>
      <c r="F8066" t="s">
        <v>309</v>
      </c>
      <c r="G8066" t="s">
        <v>263</v>
      </c>
      <c r="H8066" t="str">
        <f>"ΜΥΡΣΙΝΗΣ  7 ΗΡΑΚΛΕΙΟ"</f>
        <v>ΜΥΡΣΙΝΗΣ  7 ΗΡΑΚΛΕΙΟ</v>
      </c>
      <c r="J8066">
        <v>2445041460</v>
      </c>
      <c r="K8066">
        <v>6972615142</v>
      </c>
      <c r="N8066" t="s">
        <v>615</v>
      </c>
      <c r="O8066" t="s">
        <v>616</v>
      </c>
      <c r="R8066" t="s">
        <v>159</v>
      </c>
      <c r="S8066">
        <v>5</v>
      </c>
      <c r="T8066" t="s">
        <v>8675</v>
      </c>
      <c r="U8066" s="1">
        <v>43348</v>
      </c>
      <c r="V8066" t="s">
        <v>5177</v>
      </c>
      <c r="W8066" t="s">
        <v>5178</v>
      </c>
      <c r="X8066" t="s">
        <v>58</v>
      </c>
      <c r="Y8066">
        <v>25</v>
      </c>
      <c r="Z8066" t="s">
        <v>59</v>
      </c>
      <c r="AA8066" t="s">
        <v>59</v>
      </c>
      <c r="AB8066" t="s">
        <v>59</v>
      </c>
      <c r="AC8066" t="s">
        <v>59</v>
      </c>
      <c r="AD8066" t="s">
        <v>59</v>
      </c>
      <c r="AF8066" s="1">
        <v>43348</v>
      </c>
      <c r="AG8066" t="s">
        <v>8645</v>
      </c>
      <c r="AH8066" t="s">
        <v>8676</v>
      </c>
      <c r="AI8066" t="str">
        <f>"9320024"</f>
        <v>9320024</v>
      </c>
      <c r="AJ8066" t="s">
        <v>12411</v>
      </c>
      <c r="AK8066">
        <v>2842091214</v>
      </c>
      <c r="AL8066" t="s">
        <v>12412</v>
      </c>
      <c r="AM8066" t="s">
        <v>4513</v>
      </c>
      <c r="AN8066" t="s">
        <v>4519</v>
      </c>
      <c r="AO8066" t="s">
        <v>4519</v>
      </c>
      <c r="AP8066" t="s">
        <v>12162</v>
      </c>
      <c r="AQ8066">
        <v>7</v>
      </c>
      <c r="AR8066" t="s">
        <v>5177</v>
      </c>
      <c r="AS8066" t="s">
        <v>5178</v>
      </c>
      <c r="AT8066" t="s">
        <v>58</v>
      </c>
      <c r="AU8066" t="s">
        <v>8673</v>
      </c>
      <c r="AV8066" t="s">
        <v>132</v>
      </c>
      <c r="AW8066" s="1">
        <v>31967</v>
      </c>
      <c r="AX8066">
        <v>1</v>
      </c>
    </row>
    <row r="8067" spans="1:50">
      <c r="A8067">
        <v>574383</v>
      </c>
      <c r="B8067" t="str">
        <f>"038009386"</f>
        <v>038009386</v>
      </c>
      <c r="C8067" t="s">
        <v>50</v>
      </c>
      <c r="D8067" t="s">
        <v>12483</v>
      </c>
      <c r="E8067" t="s">
        <v>396</v>
      </c>
      <c r="F8067" t="s">
        <v>53</v>
      </c>
      <c r="G8067" t="s">
        <v>513</v>
      </c>
      <c r="H8067" t="str">
        <f>"Σ.ΣΠΑΝΑΚΗ 12 ΑΓΙΟΣ ΝΙΚΟΛΑΟΣ"</f>
        <v>Σ.ΣΠΑΝΑΚΗ 12 ΑΓΙΟΣ ΝΙΚΟΛΑΟΣ</v>
      </c>
      <c r="I8067">
        <v>72100</v>
      </c>
      <c r="J8067">
        <v>2841026818</v>
      </c>
      <c r="K8067">
        <v>6945533647</v>
      </c>
      <c r="M8067" t="s">
        <v>12484</v>
      </c>
      <c r="N8067" t="s">
        <v>1525</v>
      </c>
      <c r="O8067" t="s">
        <v>1526</v>
      </c>
      <c r="R8067" t="s">
        <v>57</v>
      </c>
      <c r="S8067">
        <v>15</v>
      </c>
      <c r="T8067">
        <v>160</v>
      </c>
      <c r="U8067" s="1">
        <v>34582</v>
      </c>
      <c r="V8067" t="s">
        <v>5177</v>
      </c>
      <c r="W8067" t="s">
        <v>5178</v>
      </c>
      <c r="X8067" t="s">
        <v>58</v>
      </c>
      <c r="Y8067">
        <v>21</v>
      </c>
      <c r="Z8067" t="s">
        <v>59</v>
      </c>
      <c r="AA8067" t="s">
        <v>59</v>
      </c>
      <c r="AB8067" t="s">
        <v>59</v>
      </c>
      <c r="AC8067" t="s">
        <v>59</v>
      </c>
      <c r="AD8067" t="s">
        <v>59</v>
      </c>
      <c r="AF8067" s="1">
        <v>34582</v>
      </c>
      <c r="AG8067" t="s">
        <v>8651</v>
      </c>
      <c r="AH8067" t="s">
        <v>8652</v>
      </c>
      <c r="AI8067" t="str">
        <f>"9320161"</f>
        <v>9320161</v>
      </c>
      <c r="AJ8067" t="s">
        <v>12124</v>
      </c>
      <c r="AK8067">
        <v>2841028686</v>
      </c>
      <c r="AL8067" t="s">
        <v>12125</v>
      </c>
      <c r="AM8067" t="s">
        <v>4513</v>
      </c>
      <c r="AN8067" t="s">
        <v>4514</v>
      </c>
      <c r="AO8067" t="s">
        <v>4514</v>
      </c>
      <c r="AP8067" t="s">
        <v>4514</v>
      </c>
      <c r="AQ8067">
        <v>1</v>
      </c>
      <c r="AR8067" t="s">
        <v>5177</v>
      </c>
      <c r="AS8067" t="s">
        <v>5178</v>
      </c>
      <c r="AT8067" t="s">
        <v>58</v>
      </c>
      <c r="AU8067" t="s">
        <v>68</v>
      </c>
      <c r="AV8067" t="s">
        <v>2039</v>
      </c>
      <c r="AW8067" s="1">
        <v>23033</v>
      </c>
      <c r="AX8067">
        <v>1</v>
      </c>
    </row>
    <row r="8068" spans="1:50">
      <c r="B8068" t="str">
        <f>"301976213"</f>
        <v>301976213</v>
      </c>
      <c r="C8068" t="s">
        <v>50</v>
      </c>
      <c r="D8068" t="s">
        <v>12483</v>
      </c>
      <c r="E8068" t="s">
        <v>52</v>
      </c>
      <c r="F8068" t="s">
        <v>53</v>
      </c>
      <c r="G8068" t="s">
        <v>1001</v>
      </c>
      <c r="H8068" t="str">
        <f>"ΑΜΜΟΥΔΙ "</f>
        <v xml:space="preserve">ΑΜΜΟΥΔΙ </v>
      </c>
      <c r="I8068">
        <v>72100</v>
      </c>
      <c r="J8068">
        <v>2841026428</v>
      </c>
      <c r="K8068">
        <v>6982696489</v>
      </c>
      <c r="N8068" t="s">
        <v>615</v>
      </c>
      <c r="O8068" t="s">
        <v>616</v>
      </c>
      <c r="R8068" t="s">
        <v>159</v>
      </c>
      <c r="S8068">
        <v>5</v>
      </c>
      <c r="T8068" t="s">
        <v>8675</v>
      </c>
      <c r="U8068" s="1">
        <v>43348</v>
      </c>
      <c r="V8068" t="s">
        <v>5177</v>
      </c>
      <c r="W8068" t="s">
        <v>5178</v>
      </c>
      <c r="X8068" t="s">
        <v>58</v>
      </c>
      <c r="Y8068">
        <v>24</v>
      </c>
      <c r="Z8068" t="s">
        <v>59</v>
      </c>
      <c r="AA8068" t="s">
        <v>59</v>
      </c>
      <c r="AB8068" t="s">
        <v>59</v>
      </c>
      <c r="AC8068" t="s">
        <v>59</v>
      </c>
      <c r="AD8068" t="s">
        <v>59</v>
      </c>
      <c r="AF8068" s="1">
        <v>43348</v>
      </c>
      <c r="AG8068" t="s">
        <v>8645</v>
      </c>
      <c r="AH8068" t="s">
        <v>8646</v>
      </c>
      <c r="AI8068" t="str">
        <f>"9320210"</f>
        <v>9320210</v>
      </c>
      <c r="AJ8068" t="s">
        <v>11890</v>
      </c>
      <c r="AK8068">
        <v>2841026705</v>
      </c>
      <c r="AL8068" t="s">
        <v>11891</v>
      </c>
      <c r="AM8068" t="s">
        <v>4513</v>
      </c>
      <c r="AN8068" t="s">
        <v>4514</v>
      </c>
      <c r="AO8068" t="s">
        <v>4514</v>
      </c>
      <c r="AP8068" t="s">
        <v>4514</v>
      </c>
      <c r="AQ8068">
        <v>1</v>
      </c>
      <c r="AR8068" t="s">
        <v>5177</v>
      </c>
      <c r="AS8068" t="s">
        <v>5178</v>
      </c>
      <c r="AT8068" t="s">
        <v>58</v>
      </c>
      <c r="AU8068" t="s">
        <v>8673</v>
      </c>
      <c r="AV8068" t="s">
        <v>132</v>
      </c>
      <c r="AW8068" s="1">
        <v>32138</v>
      </c>
      <c r="AX8068">
        <v>1</v>
      </c>
    </row>
    <row r="8069" spans="1:50">
      <c r="B8069" t="str">
        <f>"125285008"</f>
        <v>125285008</v>
      </c>
      <c r="C8069" t="s">
        <v>50</v>
      </c>
      <c r="D8069" t="s">
        <v>11175</v>
      </c>
      <c r="E8069" t="s">
        <v>1713</v>
      </c>
      <c r="F8069" t="s">
        <v>166</v>
      </c>
      <c r="G8069" t="s">
        <v>237</v>
      </c>
      <c r="H8069" t="str">
        <f>"ΦΡΑΓΚΟΥΛΗ 8 ΣΗΤΕΙΑ"</f>
        <v>ΦΡΑΓΚΟΥΛΗ 8 ΣΗΤΕΙΑ</v>
      </c>
      <c r="J8069">
        <v>2843025141</v>
      </c>
      <c r="K8069">
        <v>6947183720</v>
      </c>
      <c r="M8069" t="s">
        <v>12485</v>
      </c>
      <c r="N8069" t="s">
        <v>337</v>
      </c>
      <c r="O8069" t="s">
        <v>338</v>
      </c>
      <c r="R8069" t="s">
        <v>159</v>
      </c>
      <c r="S8069">
        <v>3</v>
      </c>
      <c r="T8069" t="s">
        <v>8675</v>
      </c>
      <c r="U8069" s="1">
        <v>43348</v>
      </c>
      <c r="V8069" t="s">
        <v>5177</v>
      </c>
      <c r="W8069" t="s">
        <v>5178</v>
      </c>
      <c r="X8069" t="s">
        <v>58</v>
      </c>
      <c r="Y8069">
        <v>24</v>
      </c>
      <c r="Z8069" t="s">
        <v>59</v>
      </c>
      <c r="AA8069" t="s">
        <v>59</v>
      </c>
      <c r="AB8069" t="s">
        <v>59</v>
      </c>
      <c r="AC8069" t="s">
        <v>59</v>
      </c>
      <c r="AD8069" t="s">
        <v>59</v>
      </c>
      <c r="AF8069" s="1">
        <v>43348</v>
      </c>
      <c r="AG8069" t="s">
        <v>8645</v>
      </c>
      <c r="AH8069" t="s">
        <v>8646</v>
      </c>
      <c r="AI8069" t="str">
        <f>"9320090"</f>
        <v>9320090</v>
      </c>
      <c r="AJ8069" t="s">
        <v>11926</v>
      </c>
      <c r="AK8069">
        <v>2843022385</v>
      </c>
      <c r="AL8069" t="s">
        <v>11927</v>
      </c>
      <c r="AM8069" t="s">
        <v>4513</v>
      </c>
      <c r="AN8069" t="s">
        <v>4540</v>
      </c>
      <c r="AO8069" t="s">
        <v>4540</v>
      </c>
      <c r="AP8069" t="s">
        <v>4540</v>
      </c>
      <c r="AQ8069">
        <v>8</v>
      </c>
      <c r="AR8069" t="s">
        <v>5177</v>
      </c>
      <c r="AS8069" t="s">
        <v>5178</v>
      </c>
      <c r="AT8069" t="s">
        <v>58</v>
      </c>
      <c r="AU8069" t="s">
        <v>8673</v>
      </c>
      <c r="AV8069" t="s">
        <v>132</v>
      </c>
      <c r="AW8069" s="1">
        <v>30568</v>
      </c>
      <c r="AX8069">
        <v>1</v>
      </c>
    </row>
    <row r="8070" spans="1:50">
      <c r="A8070">
        <v>592981</v>
      </c>
      <c r="B8070" t="str">
        <f>"073271070"</f>
        <v>073271070</v>
      </c>
      <c r="C8070" t="s">
        <v>105</v>
      </c>
      <c r="D8070" t="s">
        <v>12486</v>
      </c>
      <c r="E8070" t="s">
        <v>166</v>
      </c>
      <c r="F8070" t="s">
        <v>1328</v>
      </c>
      <c r="G8070" t="s">
        <v>1078</v>
      </c>
      <c r="H8070" t="str">
        <f>"ΨΙΛΛΙΝΑΚΗ &amp; ΚΑΡΑΝΔΕΙΝΟΥ ΙΕΡΑΠΕΤΡΑ"</f>
        <v>ΨΙΛΛΙΝΑΚΗ &amp; ΚΑΡΑΝΔΕΙΝΟΥ ΙΕΡΑΠΕΤΡΑ</v>
      </c>
      <c r="I8070">
        <v>72200</v>
      </c>
      <c r="J8070">
        <v>2842027179</v>
      </c>
      <c r="N8070" t="s">
        <v>615</v>
      </c>
      <c r="O8070" t="s">
        <v>616</v>
      </c>
      <c r="R8070" t="s">
        <v>57</v>
      </c>
      <c r="S8070">
        <v>9</v>
      </c>
      <c r="T8070">
        <v>218</v>
      </c>
      <c r="U8070" s="1">
        <v>37137</v>
      </c>
      <c r="V8070" t="s">
        <v>5177</v>
      </c>
      <c r="W8070" t="s">
        <v>5178</v>
      </c>
      <c r="X8070" t="s">
        <v>58</v>
      </c>
      <c r="Y8070">
        <v>22</v>
      </c>
      <c r="Z8070" t="s">
        <v>59</v>
      </c>
      <c r="AA8070" t="s">
        <v>59</v>
      </c>
      <c r="AB8070" t="s">
        <v>59</v>
      </c>
      <c r="AC8070" t="s">
        <v>59</v>
      </c>
      <c r="AD8070" t="s">
        <v>59</v>
      </c>
      <c r="AF8070" s="1">
        <v>37137</v>
      </c>
      <c r="AG8070" t="s">
        <v>8645</v>
      </c>
      <c r="AH8070" t="s">
        <v>8646</v>
      </c>
      <c r="AI8070" t="str">
        <f>"9320163"</f>
        <v>9320163</v>
      </c>
      <c r="AJ8070" t="s">
        <v>12012</v>
      </c>
      <c r="AK8070">
        <v>2842024595</v>
      </c>
      <c r="AL8070" t="s">
        <v>12013</v>
      </c>
      <c r="AM8070" t="s">
        <v>4513</v>
      </c>
      <c r="AN8070" t="s">
        <v>4519</v>
      </c>
      <c r="AO8070" t="s">
        <v>4519</v>
      </c>
      <c r="AP8070" t="s">
        <v>4519</v>
      </c>
      <c r="AQ8070">
        <v>4</v>
      </c>
      <c r="AR8070" t="s">
        <v>5177</v>
      </c>
      <c r="AS8070" t="s">
        <v>5178</v>
      </c>
      <c r="AT8070" t="s">
        <v>58</v>
      </c>
      <c r="AU8070" t="s">
        <v>68</v>
      </c>
      <c r="AV8070" t="s">
        <v>69</v>
      </c>
      <c r="AW8070" s="1">
        <v>25920</v>
      </c>
      <c r="AX8070">
        <v>1</v>
      </c>
    </row>
    <row r="8071" spans="1:50">
      <c r="A8071">
        <v>608737</v>
      </c>
      <c r="B8071" t="str">
        <f>"049286985"</f>
        <v>049286985</v>
      </c>
      <c r="C8071" t="s">
        <v>50</v>
      </c>
      <c r="D8071" t="s">
        <v>12487</v>
      </c>
      <c r="E8071" t="s">
        <v>12488</v>
      </c>
      <c r="F8071" t="s">
        <v>99</v>
      </c>
      <c r="G8071" t="s">
        <v>52</v>
      </c>
      <c r="H8071" t="str">
        <f>"ΒΡΣΣΩΝ 3 ΝΕΑΠΟΛΗ"</f>
        <v>ΒΡΣΣΩΝ 3 ΝΕΑΠΟΛΗ</v>
      </c>
      <c r="I8071">
        <v>72400</v>
      </c>
      <c r="J8071">
        <v>2841033320</v>
      </c>
      <c r="K8071">
        <v>6946694839</v>
      </c>
      <c r="N8071" t="s">
        <v>1525</v>
      </c>
      <c r="O8071" t="s">
        <v>1526</v>
      </c>
      <c r="R8071" t="s">
        <v>57</v>
      </c>
      <c r="S8071">
        <v>8</v>
      </c>
      <c r="T8071">
        <v>217</v>
      </c>
      <c r="U8071" s="1">
        <v>38596</v>
      </c>
      <c r="V8071" t="s">
        <v>5177</v>
      </c>
      <c r="W8071" t="s">
        <v>5178</v>
      </c>
      <c r="X8071" t="s">
        <v>58</v>
      </c>
      <c r="Y8071">
        <v>25</v>
      </c>
      <c r="Z8071" t="s">
        <v>59</v>
      </c>
      <c r="AA8071" t="s">
        <v>59</v>
      </c>
      <c r="AB8071" t="s">
        <v>59</v>
      </c>
      <c r="AC8071" t="s">
        <v>59</v>
      </c>
      <c r="AD8071" t="s">
        <v>59</v>
      </c>
      <c r="AF8071" s="1">
        <v>38602</v>
      </c>
      <c r="AG8071" t="s">
        <v>8651</v>
      </c>
      <c r="AH8071" t="s">
        <v>8652</v>
      </c>
      <c r="AI8071" t="str">
        <f>"9320062"</f>
        <v>9320062</v>
      </c>
      <c r="AJ8071" t="s">
        <v>11997</v>
      </c>
      <c r="AK8071">
        <v>2841032366</v>
      </c>
      <c r="AL8071" t="s">
        <v>11998</v>
      </c>
      <c r="AM8071" t="s">
        <v>4513</v>
      </c>
      <c r="AN8071" t="s">
        <v>4514</v>
      </c>
      <c r="AO8071" t="s">
        <v>4524</v>
      </c>
      <c r="AP8071" t="s">
        <v>4525</v>
      </c>
      <c r="AQ8071">
        <v>1</v>
      </c>
      <c r="AR8071" t="s">
        <v>5177</v>
      </c>
      <c r="AS8071" t="s">
        <v>5178</v>
      </c>
      <c r="AT8071" t="s">
        <v>58</v>
      </c>
      <c r="AU8071" t="s">
        <v>68</v>
      </c>
      <c r="AV8071" t="s">
        <v>69</v>
      </c>
      <c r="AW8071" s="1">
        <v>29659</v>
      </c>
      <c r="AX8071">
        <v>1</v>
      </c>
    </row>
    <row r="8072" spans="1:50">
      <c r="B8072" t="str">
        <f>"136850900"</f>
        <v>136850900</v>
      </c>
      <c r="C8072" t="s">
        <v>50</v>
      </c>
      <c r="D8072" t="s">
        <v>6426</v>
      </c>
      <c r="E8072" t="s">
        <v>83</v>
      </c>
      <c r="F8072" t="s">
        <v>377</v>
      </c>
      <c r="G8072" t="s">
        <v>73</v>
      </c>
      <c r="H8072" t="str">
        <f>" "</f>
        <v xml:space="preserve"> </v>
      </c>
      <c r="K8072">
        <v>6976482841</v>
      </c>
      <c r="N8072" t="s">
        <v>306</v>
      </c>
      <c r="O8072" t="s">
        <v>307</v>
      </c>
      <c r="R8072" t="s">
        <v>159</v>
      </c>
      <c r="S8072">
        <v>4</v>
      </c>
      <c r="T8072" t="s">
        <v>8675</v>
      </c>
      <c r="U8072" s="1">
        <v>43348</v>
      </c>
      <c r="V8072" t="s">
        <v>5177</v>
      </c>
      <c r="W8072" t="s">
        <v>5178</v>
      </c>
      <c r="X8072" t="s">
        <v>58</v>
      </c>
      <c r="Y8072">
        <v>24</v>
      </c>
      <c r="Z8072" t="s">
        <v>59</v>
      </c>
      <c r="AA8072" t="s">
        <v>59</v>
      </c>
      <c r="AB8072" t="s">
        <v>59</v>
      </c>
      <c r="AC8072" t="s">
        <v>59</v>
      </c>
      <c r="AD8072" t="s">
        <v>59</v>
      </c>
      <c r="AF8072" s="1">
        <v>43348</v>
      </c>
      <c r="AG8072" t="s">
        <v>8645</v>
      </c>
      <c r="AH8072" t="s">
        <v>8646</v>
      </c>
      <c r="AI8072" t="str">
        <f>"9320042"</f>
        <v>9320042</v>
      </c>
      <c r="AJ8072" t="s">
        <v>11942</v>
      </c>
      <c r="AK8072">
        <v>2844031250</v>
      </c>
      <c r="AL8072" t="s">
        <v>11943</v>
      </c>
      <c r="AM8072" t="s">
        <v>4513</v>
      </c>
      <c r="AN8072" t="s">
        <v>4592</v>
      </c>
      <c r="AO8072" t="s">
        <v>4592</v>
      </c>
      <c r="AP8072" t="s">
        <v>11944</v>
      </c>
      <c r="AQ8072">
        <v>3</v>
      </c>
      <c r="AR8072" t="s">
        <v>5177</v>
      </c>
      <c r="AS8072" t="s">
        <v>5178</v>
      </c>
      <c r="AT8072" t="s">
        <v>58</v>
      </c>
      <c r="AU8072" t="s">
        <v>8673</v>
      </c>
      <c r="AV8072" t="s">
        <v>132</v>
      </c>
      <c r="AW8072" s="1">
        <v>31261</v>
      </c>
      <c r="AX8072">
        <v>1</v>
      </c>
    </row>
    <row r="8073" spans="1:50">
      <c r="B8073" t="str">
        <f>"145962537"</f>
        <v>145962537</v>
      </c>
      <c r="C8073" t="s">
        <v>50</v>
      </c>
      <c r="D8073" t="s">
        <v>12489</v>
      </c>
      <c r="E8073" t="s">
        <v>237</v>
      </c>
      <c r="F8073" t="s">
        <v>1493</v>
      </c>
      <c r="G8073" t="s">
        <v>191</v>
      </c>
      <c r="H8073" t="str">
        <f>"ΝΙΚΟΠΟΛΕΩΣ 23 "</f>
        <v xml:space="preserve">ΝΙΚΟΠΟΛΕΩΣ 23 </v>
      </c>
      <c r="I8073">
        <v>55131</v>
      </c>
      <c r="J8073">
        <v>2310410191</v>
      </c>
      <c r="K8073">
        <v>6974149370</v>
      </c>
      <c r="N8073" t="s">
        <v>615</v>
      </c>
      <c r="O8073" t="s">
        <v>616</v>
      </c>
      <c r="R8073" t="s">
        <v>159</v>
      </c>
      <c r="S8073">
        <v>3</v>
      </c>
      <c r="T8073" t="s">
        <v>8675</v>
      </c>
      <c r="U8073" s="1">
        <v>43348</v>
      </c>
      <c r="V8073" t="s">
        <v>5177</v>
      </c>
      <c r="W8073" t="s">
        <v>5178</v>
      </c>
      <c r="X8073" t="s">
        <v>58</v>
      </c>
      <c r="Y8073">
        <v>24</v>
      </c>
      <c r="Z8073" t="s">
        <v>59</v>
      </c>
      <c r="AA8073" t="s">
        <v>59</v>
      </c>
      <c r="AB8073" t="s">
        <v>59</v>
      </c>
      <c r="AC8073" t="s">
        <v>59</v>
      </c>
      <c r="AD8073" t="s">
        <v>59</v>
      </c>
      <c r="AF8073" s="1">
        <v>43348</v>
      </c>
      <c r="AG8073" t="s">
        <v>8645</v>
      </c>
      <c r="AH8073" t="s">
        <v>8646</v>
      </c>
      <c r="AI8073" t="str">
        <f>"9320127"</f>
        <v>9320127</v>
      </c>
      <c r="AJ8073" t="s">
        <v>12040</v>
      </c>
      <c r="AK8073">
        <v>2843051221</v>
      </c>
      <c r="AL8073" t="s">
        <v>12041</v>
      </c>
      <c r="AM8073" t="s">
        <v>4513</v>
      </c>
      <c r="AN8073" t="s">
        <v>4519</v>
      </c>
      <c r="AO8073" t="s">
        <v>4766</v>
      </c>
      <c r="AP8073" t="s">
        <v>4767</v>
      </c>
      <c r="AQ8073">
        <v>6</v>
      </c>
      <c r="AR8073" t="s">
        <v>5177</v>
      </c>
      <c r="AS8073" t="s">
        <v>5178</v>
      </c>
      <c r="AT8073" t="s">
        <v>58</v>
      </c>
      <c r="AU8073" t="s">
        <v>8673</v>
      </c>
      <c r="AV8073" t="s">
        <v>132</v>
      </c>
      <c r="AW8073" s="1">
        <v>31960</v>
      </c>
      <c r="AX8073">
        <v>1</v>
      </c>
    </row>
    <row r="8074" spans="1:50">
      <c r="A8074">
        <v>615101</v>
      </c>
      <c r="B8074" t="str">
        <f>"136288563"</f>
        <v>136288563</v>
      </c>
      <c r="C8074" t="s">
        <v>50</v>
      </c>
      <c r="D8074" t="s">
        <v>12489</v>
      </c>
      <c r="E8074" t="s">
        <v>860</v>
      </c>
      <c r="F8074" t="s">
        <v>3574</v>
      </c>
      <c r="G8074" t="s">
        <v>191</v>
      </c>
      <c r="H8074" t="str">
        <f>"ΠΑΠΑΜΑΣΤΟΡΑΚΗ 1 ΙΕΡΑΠΕΤΡΑ"</f>
        <v>ΠΑΠΑΜΑΣΤΟΡΑΚΗ 1 ΙΕΡΑΠΕΤΡΑ</v>
      </c>
      <c r="I8074">
        <v>72200</v>
      </c>
      <c r="K8074">
        <v>6932689821</v>
      </c>
      <c r="L8074">
        <v>2310410191</v>
      </c>
      <c r="M8074" t="s">
        <v>12490</v>
      </c>
      <c r="N8074" t="s">
        <v>615</v>
      </c>
      <c r="O8074" t="s">
        <v>616</v>
      </c>
      <c r="R8074" t="s">
        <v>57</v>
      </c>
      <c r="S8074">
        <v>6</v>
      </c>
      <c r="T8074">
        <v>598</v>
      </c>
      <c r="U8074" s="1">
        <v>39307</v>
      </c>
      <c r="V8074" t="s">
        <v>5177</v>
      </c>
      <c r="W8074" t="s">
        <v>5178</v>
      </c>
      <c r="X8074" t="s">
        <v>58</v>
      </c>
      <c r="Y8074">
        <v>23</v>
      </c>
      <c r="Z8074" t="s">
        <v>59</v>
      </c>
      <c r="AA8074" t="s">
        <v>59</v>
      </c>
      <c r="AB8074" t="s">
        <v>59</v>
      </c>
      <c r="AC8074" t="s">
        <v>59</v>
      </c>
      <c r="AD8074" t="s">
        <v>59</v>
      </c>
      <c r="AF8074" s="1">
        <v>39328</v>
      </c>
      <c r="AG8074" t="s">
        <v>8645</v>
      </c>
      <c r="AH8074" t="s">
        <v>8646</v>
      </c>
      <c r="AI8074" t="str">
        <f>"9320003"</f>
        <v>9320003</v>
      </c>
      <c r="AJ8074" t="s">
        <v>11886</v>
      </c>
      <c r="AK8074">
        <v>2842089830</v>
      </c>
      <c r="AL8074" t="s">
        <v>11887</v>
      </c>
      <c r="AM8074" t="s">
        <v>4513</v>
      </c>
      <c r="AN8074" t="s">
        <v>4519</v>
      </c>
      <c r="AO8074" t="s">
        <v>4519</v>
      </c>
      <c r="AP8074" t="s">
        <v>4519</v>
      </c>
      <c r="AQ8074">
        <v>4</v>
      </c>
      <c r="AR8074" t="s">
        <v>5177</v>
      </c>
      <c r="AS8074" t="s">
        <v>5178</v>
      </c>
      <c r="AT8074" t="s">
        <v>58</v>
      </c>
      <c r="AU8074" t="s">
        <v>68</v>
      </c>
      <c r="AV8074" t="s">
        <v>69</v>
      </c>
      <c r="AW8074" s="1">
        <v>30572</v>
      </c>
      <c r="AX8074">
        <v>1</v>
      </c>
    </row>
    <row r="8075" spans="1:50">
      <c r="B8075" t="str">
        <f>"106673546"</f>
        <v>106673546</v>
      </c>
      <c r="C8075" t="s">
        <v>105</v>
      </c>
      <c r="D8075" t="s">
        <v>12491</v>
      </c>
      <c r="E8075" t="s">
        <v>383</v>
      </c>
      <c r="F8075" t="s">
        <v>95</v>
      </c>
      <c r="G8075" t="s">
        <v>12492</v>
      </c>
      <c r="H8075" t="str">
        <f>"ΘΕΟΔΑΜΑΝΤΟΣ 29 ΙΛΙΣΙΑ,  ΑΘΗΝΑ"</f>
        <v>ΘΕΟΔΑΜΑΝΤΟΣ 29 ΙΛΙΣΙΑ,  ΑΘΗΝΑ</v>
      </c>
      <c r="I8075">
        <v>15771</v>
      </c>
      <c r="K8075">
        <v>6940080063</v>
      </c>
      <c r="M8075" t="s">
        <v>12493</v>
      </c>
      <c r="N8075" t="s">
        <v>683</v>
      </c>
      <c r="O8075" t="s">
        <v>684</v>
      </c>
      <c r="R8075" t="s">
        <v>121</v>
      </c>
      <c r="S8075">
        <v>1</v>
      </c>
      <c r="T8075" t="s">
        <v>8675</v>
      </c>
      <c r="U8075" s="1">
        <v>43348</v>
      </c>
      <c r="V8075" t="s">
        <v>5177</v>
      </c>
      <c r="W8075" t="s">
        <v>5178</v>
      </c>
      <c r="X8075" t="s">
        <v>58</v>
      </c>
      <c r="Y8075">
        <v>24</v>
      </c>
      <c r="Z8075" t="s">
        <v>59</v>
      </c>
      <c r="AA8075" t="s">
        <v>59</v>
      </c>
      <c r="AB8075" t="s">
        <v>59</v>
      </c>
      <c r="AD8075" t="s">
        <v>59</v>
      </c>
      <c r="AF8075" s="1">
        <v>43348</v>
      </c>
      <c r="AG8075" t="s">
        <v>8645</v>
      </c>
      <c r="AH8075" t="s">
        <v>8646</v>
      </c>
      <c r="AI8075" t="str">
        <f>"9320090"</f>
        <v>9320090</v>
      </c>
      <c r="AJ8075" t="s">
        <v>11926</v>
      </c>
      <c r="AK8075">
        <v>2843022385</v>
      </c>
      <c r="AL8075" t="s">
        <v>11927</v>
      </c>
      <c r="AM8075" t="s">
        <v>4513</v>
      </c>
      <c r="AN8075" t="s">
        <v>4540</v>
      </c>
      <c r="AO8075" t="s">
        <v>4540</v>
      </c>
      <c r="AP8075" t="s">
        <v>4540</v>
      </c>
      <c r="AQ8075">
        <v>8</v>
      </c>
      <c r="AR8075" t="s">
        <v>5177</v>
      </c>
      <c r="AS8075" t="s">
        <v>5178</v>
      </c>
      <c r="AT8075" t="s">
        <v>58</v>
      </c>
      <c r="AU8075" t="s">
        <v>8673</v>
      </c>
      <c r="AV8075" t="s">
        <v>132</v>
      </c>
      <c r="AW8075" s="1">
        <v>29575</v>
      </c>
      <c r="AX8075">
        <v>1</v>
      </c>
    </row>
    <row r="8076" spans="1:50">
      <c r="B8076" t="str">
        <f>"123245814"</f>
        <v>123245814</v>
      </c>
      <c r="C8076" t="s">
        <v>50</v>
      </c>
      <c r="D8076" t="s">
        <v>11198</v>
      </c>
      <c r="E8076" t="s">
        <v>250</v>
      </c>
      <c r="F8076" t="s">
        <v>995</v>
      </c>
      <c r="G8076" t="s">
        <v>238</v>
      </c>
      <c r="H8076" t="str">
        <f>"ΔΙΣΤΟΜΟΥ 4 ΚΑΤΕΡΙΝΗ"</f>
        <v>ΔΙΣΤΟΜΟΥ 4 ΚΑΤΕΡΙΝΗ</v>
      </c>
      <c r="I8076">
        <v>60100</v>
      </c>
      <c r="J8076">
        <v>2351032538</v>
      </c>
      <c r="K8076">
        <v>6973721556</v>
      </c>
      <c r="N8076" t="s">
        <v>306</v>
      </c>
      <c r="O8076" t="s">
        <v>307</v>
      </c>
      <c r="R8076" t="s">
        <v>159</v>
      </c>
      <c r="S8076">
        <v>2</v>
      </c>
      <c r="T8076" t="s">
        <v>8675</v>
      </c>
      <c r="U8076" s="1">
        <v>43348</v>
      </c>
      <c r="V8076" t="s">
        <v>5177</v>
      </c>
      <c r="W8076" t="s">
        <v>5178</v>
      </c>
      <c r="X8076" t="s">
        <v>58</v>
      </c>
      <c r="Y8076">
        <v>24</v>
      </c>
      <c r="Z8076" t="s">
        <v>59</v>
      </c>
      <c r="AA8076" t="s">
        <v>59</v>
      </c>
      <c r="AB8076" t="s">
        <v>59</v>
      </c>
      <c r="AC8076" t="s">
        <v>59</v>
      </c>
      <c r="AD8076" t="s">
        <v>59</v>
      </c>
      <c r="AF8076" s="1">
        <v>43348</v>
      </c>
      <c r="AG8076" t="s">
        <v>8645</v>
      </c>
      <c r="AH8076" t="s">
        <v>8646</v>
      </c>
      <c r="AI8076" t="str">
        <f>"9320145"</f>
        <v>9320145</v>
      </c>
      <c r="AJ8076" t="s">
        <v>12171</v>
      </c>
      <c r="AK8076">
        <v>2841071309</v>
      </c>
      <c r="AL8076" t="s">
        <v>12172</v>
      </c>
      <c r="AM8076" t="s">
        <v>4513</v>
      </c>
      <c r="AN8076" t="s">
        <v>4514</v>
      </c>
      <c r="AO8076" t="s">
        <v>12085</v>
      </c>
      <c r="AP8076" t="s">
        <v>12085</v>
      </c>
      <c r="AQ8076">
        <v>2</v>
      </c>
      <c r="AR8076" t="s">
        <v>5177</v>
      </c>
      <c r="AS8076" t="s">
        <v>5178</v>
      </c>
      <c r="AT8076" t="s">
        <v>58</v>
      </c>
      <c r="AU8076" t="s">
        <v>8673</v>
      </c>
      <c r="AV8076" t="s">
        <v>132</v>
      </c>
      <c r="AW8076" s="1">
        <v>30117</v>
      </c>
      <c r="AX8076">
        <v>1</v>
      </c>
    </row>
    <row r="8077" spans="1:50">
      <c r="A8077">
        <v>618707</v>
      </c>
      <c r="B8077" t="str">
        <f>"117646494"</f>
        <v>117646494</v>
      </c>
      <c r="C8077" t="s">
        <v>50</v>
      </c>
      <c r="D8077" t="s">
        <v>12494</v>
      </c>
      <c r="E8077" t="s">
        <v>1189</v>
      </c>
      <c r="F8077" t="s">
        <v>1868</v>
      </c>
      <c r="G8077" t="s">
        <v>191</v>
      </c>
      <c r="H8077" t="str">
        <f>"ΑΙΟΛΙΑΣ 14 ΘΕΣΣΑΛΟΝΙΚΗ"</f>
        <v>ΑΙΟΛΙΑΣ 14 ΘΕΣΣΑΛΟΝΙΚΗ</v>
      </c>
      <c r="I8077">
        <v>55132</v>
      </c>
      <c r="J8077">
        <v>2310435682</v>
      </c>
      <c r="K8077">
        <v>6948518900</v>
      </c>
      <c r="N8077" t="s">
        <v>615</v>
      </c>
      <c r="O8077" t="s">
        <v>616</v>
      </c>
      <c r="R8077" t="s">
        <v>57</v>
      </c>
      <c r="S8077">
        <v>5</v>
      </c>
      <c r="T8077">
        <v>774</v>
      </c>
      <c r="U8077" s="1">
        <v>39680</v>
      </c>
      <c r="V8077" t="s">
        <v>5177</v>
      </c>
      <c r="W8077" t="s">
        <v>5178</v>
      </c>
      <c r="X8077" t="s">
        <v>58</v>
      </c>
      <c r="Y8077">
        <v>23</v>
      </c>
      <c r="Z8077" t="s">
        <v>59</v>
      </c>
      <c r="AA8077" t="s">
        <v>59</v>
      </c>
      <c r="AB8077" t="s">
        <v>59</v>
      </c>
      <c r="AC8077" t="s">
        <v>59</v>
      </c>
      <c r="AD8077" t="s">
        <v>59</v>
      </c>
      <c r="AF8077" s="1">
        <v>39681</v>
      </c>
      <c r="AG8077" t="s">
        <v>8645</v>
      </c>
      <c r="AH8077" t="s">
        <v>8646</v>
      </c>
      <c r="AI8077" t="str">
        <f>"9320138"</f>
        <v>9320138</v>
      </c>
      <c r="AJ8077" t="s">
        <v>11915</v>
      </c>
      <c r="AK8077">
        <v>2841022104</v>
      </c>
      <c r="AL8077" t="s">
        <v>11916</v>
      </c>
      <c r="AM8077" t="s">
        <v>4513</v>
      </c>
      <c r="AN8077" t="s">
        <v>4514</v>
      </c>
      <c r="AO8077" t="s">
        <v>4514</v>
      </c>
      <c r="AP8077" t="s">
        <v>4514</v>
      </c>
      <c r="AQ8077">
        <v>1</v>
      </c>
      <c r="AR8077" t="s">
        <v>5177</v>
      </c>
      <c r="AS8077" t="s">
        <v>5178</v>
      </c>
      <c r="AT8077" t="s">
        <v>58</v>
      </c>
      <c r="AU8077" t="s">
        <v>68</v>
      </c>
      <c r="AV8077" t="s">
        <v>69</v>
      </c>
      <c r="AW8077" s="1">
        <v>29571</v>
      </c>
      <c r="AX8077">
        <v>1</v>
      </c>
    </row>
    <row r="8078" spans="1:50">
      <c r="A8078">
        <v>609467</v>
      </c>
      <c r="B8078" t="str">
        <f>"050412520"</f>
        <v>050412520</v>
      </c>
      <c r="C8078" t="s">
        <v>105</v>
      </c>
      <c r="D8078" t="s">
        <v>12495</v>
      </c>
      <c r="E8078" t="s">
        <v>1392</v>
      </c>
      <c r="F8078" t="s">
        <v>166</v>
      </c>
      <c r="G8078" t="s">
        <v>52</v>
      </c>
      <c r="H8078" t="str">
        <f>"ΧΑΜΕΖΙ ΣΗΤΕΙΑΣ ΣΗΤΕΙΑ ΚΡΗΤΗΣ"</f>
        <v>ΧΑΜΕΖΙ ΣΗΤΕΙΑΣ ΣΗΤΕΙΑ ΚΡΗΤΗΣ</v>
      </c>
      <c r="I8078">
        <v>72300</v>
      </c>
      <c r="J8078">
        <v>2843071027</v>
      </c>
      <c r="K8078">
        <v>6978008791</v>
      </c>
      <c r="N8078" t="s">
        <v>176</v>
      </c>
      <c r="O8078" t="s">
        <v>177</v>
      </c>
      <c r="R8078" t="s">
        <v>57</v>
      </c>
      <c r="S8078">
        <v>9</v>
      </c>
      <c r="T8078">
        <v>218</v>
      </c>
      <c r="U8078" s="1">
        <v>38596</v>
      </c>
      <c r="V8078" t="s">
        <v>5177</v>
      </c>
      <c r="W8078" t="s">
        <v>5178</v>
      </c>
      <c r="X8078" t="s">
        <v>58</v>
      </c>
      <c r="Y8078">
        <v>22</v>
      </c>
      <c r="Z8078" t="s">
        <v>59</v>
      </c>
      <c r="AA8078" t="s">
        <v>59</v>
      </c>
      <c r="AB8078" t="s">
        <v>59</v>
      </c>
      <c r="AC8078" t="s">
        <v>59</v>
      </c>
      <c r="AD8078" t="s">
        <v>59</v>
      </c>
      <c r="AF8078" s="1">
        <v>38602</v>
      </c>
      <c r="AG8078" t="s">
        <v>8645</v>
      </c>
      <c r="AH8078" t="s">
        <v>8646</v>
      </c>
      <c r="AI8078" t="str">
        <f>"9320115"</f>
        <v>9320115</v>
      </c>
      <c r="AJ8078" t="s">
        <v>11935</v>
      </c>
      <c r="AK8078">
        <v>2843061213</v>
      </c>
      <c r="AL8078" t="s">
        <v>11936</v>
      </c>
      <c r="AM8078" t="s">
        <v>4513</v>
      </c>
      <c r="AN8078" t="s">
        <v>4540</v>
      </c>
      <c r="AO8078" t="s">
        <v>4700</v>
      </c>
      <c r="AP8078" t="s">
        <v>4701</v>
      </c>
      <c r="AQ8078">
        <v>9</v>
      </c>
      <c r="AR8078" t="s">
        <v>5177</v>
      </c>
      <c r="AS8078" t="s">
        <v>5178</v>
      </c>
      <c r="AT8078" t="s">
        <v>58</v>
      </c>
      <c r="AU8078" t="s">
        <v>68</v>
      </c>
      <c r="AV8078" t="s">
        <v>69</v>
      </c>
      <c r="AW8078" s="1">
        <v>22982</v>
      </c>
      <c r="AX8078">
        <v>1</v>
      </c>
    </row>
    <row r="8079" spans="1:50">
      <c r="A8079">
        <v>596948</v>
      </c>
      <c r="B8079" t="str">
        <f>"049487039"</f>
        <v>049487039</v>
      </c>
      <c r="C8079" t="s">
        <v>50</v>
      </c>
      <c r="D8079" t="s">
        <v>5347</v>
      </c>
      <c r="E8079" t="s">
        <v>563</v>
      </c>
      <c r="F8079" t="s">
        <v>111</v>
      </c>
      <c r="G8079" t="s">
        <v>52</v>
      </c>
      <c r="H8079" t="str">
        <f>"ΠΡΑΙΣΣΟΥ 46 ΣΗΤΕΙΑ ΚΡΗΤΗ"</f>
        <v>ΠΡΑΙΣΣΟΥ 46 ΣΗΤΕΙΑ ΚΡΗΤΗ</v>
      </c>
      <c r="I8079">
        <v>72300</v>
      </c>
      <c r="J8079">
        <v>2843029790</v>
      </c>
      <c r="K8079">
        <v>6973425362</v>
      </c>
      <c r="N8079" t="s">
        <v>1525</v>
      </c>
      <c r="O8079" t="s">
        <v>1526</v>
      </c>
      <c r="R8079" t="s">
        <v>57</v>
      </c>
      <c r="S8079">
        <v>8</v>
      </c>
      <c r="T8079">
        <v>195</v>
      </c>
      <c r="U8079" s="1">
        <v>37497</v>
      </c>
      <c r="V8079" t="s">
        <v>5177</v>
      </c>
      <c r="W8079" t="s">
        <v>5178</v>
      </c>
      <c r="X8079" t="s">
        <v>58</v>
      </c>
      <c r="Y8079">
        <v>25</v>
      </c>
      <c r="Z8079" t="s">
        <v>59</v>
      </c>
      <c r="AA8079" t="s">
        <v>59</v>
      </c>
      <c r="AB8079" t="s">
        <v>59</v>
      </c>
      <c r="AC8079" t="s">
        <v>59</v>
      </c>
      <c r="AD8079" t="s">
        <v>59</v>
      </c>
      <c r="AF8079" s="1">
        <v>37502</v>
      </c>
      <c r="AG8079" t="s">
        <v>8651</v>
      </c>
      <c r="AH8079" t="s">
        <v>8652</v>
      </c>
      <c r="AI8079" t="str">
        <f>"9320092"</f>
        <v>9320092</v>
      </c>
      <c r="AJ8079" t="s">
        <v>12064</v>
      </c>
      <c r="AK8079">
        <v>2843022724</v>
      </c>
      <c r="AL8079" t="s">
        <v>12065</v>
      </c>
      <c r="AM8079" t="s">
        <v>4513</v>
      </c>
      <c r="AN8079" t="s">
        <v>4540</v>
      </c>
      <c r="AO8079" t="s">
        <v>4540</v>
      </c>
      <c r="AP8079" t="s">
        <v>4540</v>
      </c>
      <c r="AQ8079">
        <v>8</v>
      </c>
      <c r="AR8079" t="s">
        <v>5177</v>
      </c>
      <c r="AS8079" t="s">
        <v>5178</v>
      </c>
      <c r="AT8079" t="s">
        <v>58</v>
      </c>
      <c r="AU8079" t="s">
        <v>68</v>
      </c>
      <c r="AV8079" t="s">
        <v>69</v>
      </c>
      <c r="AW8079" s="1">
        <v>27682</v>
      </c>
      <c r="AX8079">
        <v>1</v>
      </c>
    </row>
    <row r="8080" spans="1:50">
      <c r="B8080" t="str">
        <f>"143477991"</f>
        <v>143477991</v>
      </c>
      <c r="C8080" t="s">
        <v>50</v>
      </c>
      <c r="D8080" t="s">
        <v>8176</v>
      </c>
      <c r="E8080" t="s">
        <v>12496</v>
      </c>
      <c r="F8080" t="s">
        <v>95</v>
      </c>
      <c r="G8080" t="s">
        <v>52</v>
      </c>
      <c r="H8080" t="str">
        <f>"ΣΤΡΑΤΗΓΟΥ ΣΑΡΑΦΗ 85 "</f>
        <v xml:space="preserve">ΣΤΡΑΤΗΓΟΥ ΣΑΡΑΦΗ 85 </v>
      </c>
      <c r="I8080">
        <v>38222</v>
      </c>
      <c r="J8080">
        <v>2421021487</v>
      </c>
      <c r="K8080">
        <v>6972327050</v>
      </c>
      <c r="M8080" t="s">
        <v>12497</v>
      </c>
      <c r="N8080" t="s">
        <v>615</v>
      </c>
      <c r="O8080" t="s">
        <v>616</v>
      </c>
      <c r="R8080" t="s">
        <v>159</v>
      </c>
      <c r="S8080">
        <v>2</v>
      </c>
      <c r="T8080" t="s">
        <v>8675</v>
      </c>
      <c r="U8080" s="1">
        <v>43348</v>
      </c>
      <c r="V8080" t="s">
        <v>5177</v>
      </c>
      <c r="W8080" t="s">
        <v>5178</v>
      </c>
      <c r="X8080" t="s">
        <v>58</v>
      </c>
      <c r="Y8080">
        <v>24</v>
      </c>
      <c r="Z8080" t="s">
        <v>59</v>
      </c>
      <c r="AA8080" t="s">
        <v>59</v>
      </c>
      <c r="AB8080" t="s">
        <v>59</v>
      </c>
      <c r="AC8080" t="s">
        <v>59</v>
      </c>
      <c r="AD8080" t="s">
        <v>59</v>
      </c>
      <c r="AF8080" s="1">
        <v>43348</v>
      </c>
      <c r="AG8080" t="s">
        <v>8645</v>
      </c>
      <c r="AH8080" t="s">
        <v>8646</v>
      </c>
      <c r="AI8080" t="str">
        <f>"9320063"</f>
        <v>9320063</v>
      </c>
      <c r="AJ8080" t="s">
        <v>12026</v>
      </c>
      <c r="AK8080">
        <v>2841032369</v>
      </c>
      <c r="AL8080" t="s">
        <v>12027</v>
      </c>
      <c r="AM8080" t="s">
        <v>4513</v>
      </c>
      <c r="AN8080" t="s">
        <v>4514</v>
      </c>
      <c r="AO8080" t="s">
        <v>4524</v>
      </c>
      <c r="AP8080" t="s">
        <v>4525</v>
      </c>
      <c r="AQ8080">
        <v>1</v>
      </c>
      <c r="AR8080" t="s">
        <v>5177</v>
      </c>
      <c r="AS8080" t="s">
        <v>5178</v>
      </c>
      <c r="AT8080" t="s">
        <v>58</v>
      </c>
      <c r="AU8080" t="s">
        <v>8673</v>
      </c>
      <c r="AV8080" t="s">
        <v>132</v>
      </c>
      <c r="AW8080" s="1">
        <v>32013</v>
      </c>
      <c r="AX8080">
        <v>1</v>
      </c>
    </row>
    <row r="8081" spans="1:50">
      <c r="A8081">
        <v>581968</v>
      </c>
      <c r="B8081" t="str">
        <f>"039228648"</f>
        <v>039228648</v>
      </c>
      <c r="C8081" t="s">
        <v>50</v>
      </c>
      <c r="D8081" t="s">
        <v>12498</v>
      </c>
      <c r="E8081" t="s">
        <v>52</v>
      </c>
      <c r="F8081" t="s">
        <v>2847</v>
      </c>
      <c r="G8081" t="s">
        <v>83</v>
      </c>
      <c r="H8081" t="str">
        <f>"ΜΑΚΕΔΟΝΟΜΑΧΩΝ 5 ΑΓΙΟΣ ΝΙΚΟΛΑΟΣ"</f>
        <v>ΜΑΚΕΔΟΝΟΜΑΧΩΝ 5 ΑΓΙΟΣ ΝΙΚΟΛΑΟΣ</v>
      </c>
      <c r="I8081">
        <v>72100</v>
      </c>
      <c r="J8081">
        <v>2841024867</v>
      </c>
      <c r="K8081">
        <v>6973397086</v>
      </c>
      <c r="N8081" t="s">
        <v>615</v>
      </c>
      <c r="O8081" t="s">
        <v>616</v>
      </c>
      <c r="R8081" t="s">
        <v>57</v>
      </c>
      <c r="S8081">
        <v>13</v>
      </c>
      <c r="T8081">
        <v>179</v>
      </c>
      <c r="U8081" s="1">
        <v>35674</v>
      </c>
      <c r="V8081" t="s">
        <v>5177</v>
      </c>
      <c r="W8081" t="s">
        <v>5178</v>
      </c>
      <c r="X8081" t="s">
        <v>58</v>
      </c>
      <c r="Y8081">
        <v>21</v>
      </c>
      <c r="Z8081" t="s">
        <v>59</v>
      </c>
      <c r="AA8081" t="s">
        <v>59</v>
      </c>
      <c r="AB8081" t="s">
        <v>59</v>
      </c>
      <c r="AC8081" t="s">
        <v>59</v>
      </c>
      <c r="AD8081" t="s">
        <v>59</v>
      </c>
      <c r="AF8081" s="1">
        <v>35677</v>
      </c>
      <c r="AG8081" t="s">
        <v>8645</v>
      </c>
      <c r="AH8081" t="s">
        <v>8646</v>
      </c>
      <c r="AI8081" t="str">
        <f>"9320058"</f>
        <v>9320058</v>
      </c>
      <c r="AJ8081" t="s">
        <v>11893</v>
      </c>
      <c r="AK8081">
        <v>2841022496</v>
      </c>
      <c r="AL8081" t="s">
        <v>11894</v>
      </c>
      <c r="AM8081" t="s">
        <v>4513</v>
      </c>
      <c r="AN8081" t="s">
        <v>4514</v>
      </c>
      <c r="AO8081" t="s">
        <v>4514</v>
      </c>
      <c r="AP8081" t="s">
        <v>4514</v>
      </c>
      <c r="AQ8081">
        <v>1</v>
      </c>
      <c r="AR8081" t="s">
        <v>5177</v>
      </c>
      <c r="AS8081" t="s">
        <v>5178</v>
      </c>
      <c r="AT8081" t="s">
        <v>58</v>
      </c>
      <c r="AU8081" t="s">
        <v>68</v>
      </c>
      <c r="AV8081" t="s">
        <v>69</v>
      </c>
      <c r="AW8081" s="1">
        <v>24891</v>
      </c>
      <c r="AX8081">
        <v>1</v>
      </c>
    </row>
    <row r="8082" spans="1:50">
      <c r="B8082" t="str">
        <f>"140002377"</f>
        <v>140002377</v>
      </c>
      <c r="C8082" t="s">
        <v>50</v>
      </c>
      <c r="D8082" t="s">
        <v>5367</v>
      </c>
      <c r="E8082" t="s">
        <v>215</v>
      </c>
      <c r="F8082" t="s">
        <v>95</v>
      </c>
      <c r="G8082" t="s">
        <v>255</v>
      </c>
      <c r="H8082" t="str">
        <f>" "</f>
        <v xml:space="preserve"> </v>
      </c>
      <c r="N8082" t="s">
        <v>8834</v>
      </c>
      <c r="O8082" t="s">
        <v>8695</v>
      </c>
      <c r="R8082" t="s">
        <v>159</v>
      </c>
      <c r="S8082">
        <v>3</v>
      </c>
      <c r="T8082" t="s">
        <v>8835</v>
      </c>
      <c r="U8082" s="1">
        <v>43348</v>
      </c>
      <c r="V8082" t="s">
        <v>5177</v>
      </c>
      <c r="W8082" t="s">
        <v>5178</v>
      </c>
      <c r="X8082" t="s">
        <v>58</v>
      </c>
      <c r="Y8082">
        <v>24</v>
      </c>
      <c r="Z8082" t="s">
        <v>59</v>
      </c>
      <c r="AA8082" t="s">
        <v>59</v>
      </c>
      <c r="AB8082" t="s">
        <v>59</v>
      </c>
      <c r="AD8082" t="s">
        <v>59</v>
      </c>
      <c r="AF8082" s="1">
        <v>43348</v>
      </c>
      <c r="AG8082" t="s">
        <v>8645</v>
      </c>
      <c r="AH8082" t="s">
        <v>8646</v>
      </c>
      <c r="AI8082" t="str">
        <f>"9320003"</f>
        <v>9320003</v>
      </c>
      <c r="AJ8082" t="s">
        <v>11886</v>
      </c>
      <c r="AK8082">
        <v>2842089830</v>
      </c>
      <c r="AL8082" t="s">
        <v>11887</v>
      </c>
      <c r="AM8082" t="s">
        <v>4513</v>
      </c>
      <c r="AN8082" t="s">
        <v>4519</v>
      </c>
      <c r="AO8082" t="s">
        <v>4519</v>
      </c>
      <c r="AP8082" t="s">
        <v>4519</v>
      </c>
      <c r="AQ8082">
        <v>4</v>
      </c>
      <c r="AR8082" t="s">
        <v>5177</v>
      </c>
      <c r="AS8082" t="s">
        <v>5178</v>
      </c>
      <c r="AT8082" t="s">
        <v>58</v>
      </c>
      <c r="AU8082" t="s">
        <v>131</v>
      </c>
      <c r="AV8082" t="s">
        <v>132</v>
      </c>
      <c r="AW8082" s="1">
        <v>32712</v>
      </c>
      <c r="AX8082">
        <v>1</v>
      </c>
    </row>
    <row r="8083" spans="1:50">
      <c r="A8083">
        <v>585926</v>
      </c>
      <c r="B8083" t="str">
        <f>"044716480"</f>
        <v>044716480</v>
      </c>
      <c r="C8083" t="s">
        <v>50</v>
      </c>
      <c r="D8083" t="s">
        <v>11228</v>
      </c>
      <c r="E8083" t="s">
        <v>143</v>
      </c>
      <c r="F8083" t="s">
        <v>84</v>
      </c>
      <c r="G8083" t="s">
        <v>83</v>
      </c>
      <c r="H8083" t="str">
        <f>"ΓΡΑ ΛΥΓΙΑ "</f>
        <v xml:space="preserve">ΓΡΑ ΛΥΓΙΑ </v>
      </c>
      <c r="I8083">
        <v>72200</v>
      </c>
      <c r="K8083">
        <v>6948541397</v>
      </c>
      <c r="N8083" t="s">
        <v>615</v>
      </c>
      <c r="O8083" t="s">
        <v>616</v>
      </c>
      <c r="R8083" t="s">
        <v>57</v>
      </c>
      <c r="S8083">
        <v>11</v>
      </c>
      <c r="T8083">
        <v>165</v>
      </c>
      <c r="U8083" s="1">
        <v>36040</v>
      </c>
      <c r="V8083" t="s">
        <v>5177</v>
      </c>
      <c r="W8083" t="s">
        <v>5178</v>
      </c>
      <c r="X8083" t="s">
        <v>58</v>
      </c>
      <c r="Y8083">
        <v>21</v>
      </c>
      <c r="Z8083" t="s">
        <v>59</v>
      </c>
      <c r="AA8083" t="s">
        <v>59</v>
      </c>
      <c r="AB8083" t="s">
        <v>59</v>
      </c>
      <c r="AC8083" t="s">
        <v>59</v>
      </c>
      <c r="AD8083" t="s">
        <v>59</v>
      </c>
      <c r="AF8083" s="1">
        <v>36041</v>
      </c>
      <c r="AG8083" t="s">
        <v>8645</v>
      </c>
      <c r="AH8083" t="s">
        <v>8646</v>
      </c>
      <c r="AI8083" t="str">
        <f>"9320001"</f>
        <v>9320001</v>
      </c>
      <c r="AJ8083" t="s">
        <v>11954</v>
      </c>
      <c r="AK8083">
        <v>2842022505</v>
      </c>
      <c r="AL8083" t="s">
        <v>11955</v>
      </c>
      <c r="AM8083" t="s">
        <v>4513</v>
      </c>
      <c r="AN8083" t="s">
        <v>4519</v>
      </c>
      <c r="AO8083" t="s">
        <v>4519</v>
      </c>
      <c r="AP8083" t="s">
        <v>4519</v>
      </c>
      <c r="AQ8083">
        <v>4</v>
      </c>
      <c r="AR8083" t="s">
        <v>5177</v>
      </c>
      <c r="AS8083" t="s">
        <v>5178</v>
      </c>
      <c r="AT8083" t="s">
        <v>58</v>
      </c>
      <c r="AU8083" t="s">
        <v>68</v>
      </c>
      <c r="AV8083" t="s">
        <v>69</v>
      </c>
      <c r="AW8083" s="1">
        <v>24120</v>
      </c>
      <c r="AX8083">
        <v>1</v>
      </c>
    </row>
    <row r="8084" spans="1:50">
      <c r="A8084">
        <v>582136</v>
      </c>
      <c r="B8084" t="str">
        <f>"044070706"</f>
        <v>044070706</v>
      </c>
      <c r="C8084" t="s">
        <v>50</v>
      </c>
      <c r="D8084" t="s">
        <v>12499</v>
      </c>
      <c r="E8084" t="s">
        <v>191</v>
      </c>
      <c r="F8084" t="s">
        <v>154</v>
      </c>
      <c r="G8084" t="s">
        <v>237</v>
      </c>
      <c r="H8084" t="str">
        <f>"ΠΑΧΕΙΑ ΑΜΜΟΣ ΠΑΧΕΙΑ ΑΜΜΟΣ ΙΕΡΑΠΕΤΡΑΣ"</f>
        <v>ΠΑΧΕΙΑ ΑΜΜΟΣ ΠΑΧΕΙΑ ΑΜΜΟΣ ΙΕΡΑΠΕΤΡΑΣ</v>
      </c>
      <c r="I8084">
        <v>72200</v>
      </c>
      <c r="J8084">
        <v>2842093496</v>
      </c>
      <c r="K8084">
        <v>6970963758</v>
      </c>
      <c r="M8084" t="s">
        <v>12500</v>
      </c>
      <c r="N8084" t="s">
        <v>615</v>
      </c>
      <c r="O8084" t="s">
        <v>616</v>
      </c>
      <c r="R8084" t="s">
        <v>57</v>
      </c>
      <c r="S8084">
        <v>12</v>
      </c>
      <c r="T8084">
        <v>179</v>
      </c>
      <c r="U8084" s="1">
        <v>35674</v>
      </c>
      <c r="V8084" t="s">
        <v>5177</v>
      </c>
      <c r="W8084" t="s">
        <v>5178</v>
      </c>
      <c r="X8084" t="s">
        <v>58</v>
      </c>
      <c r="Y8084">
        <v>21</v>
      </c>
      <c r="Z8084" t="s">
        <v>59</v>
      </c>
      <c r="AA8084" t="s">
        <v>59</v>
      </c>
      <c r="AB8084" t="s">
        <v>59</v>
      </c>
      <c r="AC8084" t="s">
        <v>59</v>
      </c>
      <c r="AD8084" t="s">
        <v>59</v>
      </c>
      <c r="AF8084" s="1">
        <v>35675</v>
      </c>
      <c r="AG8084" t="s">
        <v>8645</v>
      </c>
      <c r="AH8084" t="s">
        <v>8646</v>
      </c>
      <c r="AI8084" t="str">
        <f>"9320006"</f>
        <v>9320006</v>
      </c>
      <c r="AJ8084" t="s">
        <v>11919</v>
      </c>
      <c r="AK8084">
        <v>2842022359</v>
      </c>
      <c r="AL8084" t="s">
        <v>11920</v>
      </c>
      <c r="AM8084" t="s">
        <v>4513</v>
      </c>
      <c r="AN8084" t="s">
        <v>4519</v>
      </c>
      <c r="AO8084" t="s">
        <v>4519</v>
      </c>
      <c r="AP8084" t="s">
        <v>4519</v>
      </c>
      <c r="AQ8084">
        <v>4</v>
      </c>
      <c r="AR8084" t="s">
        <v>5177</v>
      </c>
      <c r="AS8084" t="s">
        <v>5178</v>
      </c>
      <c r="AT8084" t="s">
        <v>58</v>
      </c>
      <c r="AU8084" t="s">
        <v>68</v>
      </c>
      <c r="AV8084" t="s">
        <v>69</v>
      </c>
      <c r="AW8084" s="1">
        <v>24123</v>
      </c>
      <c r="AX8084">
        <v>1</v>
      </c>
    </row>
    <row r="8085" spans="1:50">
      <c r="A8085">
        <v>597078</v>
      </c>
      <c r="B8085" t="str">
        <f>"100114842"</f>
        <v>100114842</v>
      </c>
      <c r="C8085" t="s">
        <v>50</v>
      </c>
      <c r="D8085" t="s">
        <v>6451</v>
      </c>
      <c r="E8085" t="s">
        <v>250</v>
      </c>
      <c r="F8085" t="s">
        <v>108</v>
      </c>
      <c r="G8085" t="s">
        <v>181</v>
      </c>
      <c r="H8085" t="str">
        <f>"ΚΟΡΑΚΑ 3 ΙΕΡΑΠΕΤΡΑ"</f>
        <v>ΚΟΡΑΚΑ 3 ΙΕΡΑΠΕΤΡΑ</v>
      </c>
      <c r="I8085">
        <v>72200</v>
      </c>
      <c r="N8085" t="s">
        <v>1525</v>
      </c>
      <c r="O8085" t="s">
        <v>1526</v>
      </c>
      <c r="R8085" t="s">
        <v>57</v>
      </c>
      <c r="S8085">
        <v>8</v>
      </c>
      <c r="T8085">
        <v>195</v>
      </c>
      <c r="U8085" s="1">
        <v>37497</v>
      </c>
      <c r="V8085" t="s">
        <v>5177</v>
      </c>
      <c r="W8085" t="s">
        <v>5178</v>
      </c>
      <c r="X8085" t="s">
        <v>58</v>
      </c>
      <c r="Y8085">
        <v>25</v>
      </c>
      <c r="Z8085" t="s">
        <v>59</v>
      </c>
      <c r="AA8085" t="s">
        <v>59</v>
      </c>
      <c r="AB8085" t="s">
        <v>59</v>
      </c>
      <c r="AC8085" t="s">
        <v>59</v>
      </c>
      <c r="AD8085" t="s">
        <v>59</v>
      </c>
      <c r="AF8085" s="1">
        <v>37501</v>
      </c>
      <c r="AG8085" t="s">
        <v>8651</v>
      </c>
      <c r="AH8085" t="s">
        <v>8652</v>
      </c>
      <c r="AI8085" t="str">
        <f>"9320137"</f>
        <v>9320137</v>
      </c>
      <c r="AJ8085" t="s">
        <v>11897</v>
      </c>
      <c r="AK8085">
        <v>2842041152</v>
      </c>
      <c r="AL8085" t="s">
        <v>11898</v>
      </c>
      <c r="AM8085" t="s">
        <v>4513</v>
      </c>
      <c r="AN8085" t="s">
        <v>4519</v>
      </c>
      <c r="AO8085" t="s">
        <v>4519</v>
      </c>
      <c r="AP8085" t="s">
        <v>11899</v>
      </c>
      <c r="AQ8085">
        <v>7</v>
      </c>
      <c r="AR8085" t="s">
        <v>5177</v>
      </c>
      <c r="AS8085" t="s">
        <v>5178</v>
      </c>
      <c r="AT8085" t="s">
        <v>58</v>
      </c>
      <c r="AU8085" t="s">
        <v>68</v>
      </c>
      <c r="AV8085" t="s">
        <v>69</v>
      </c>
      <c r="AW8085" s="1">
        <v>27947</v>
      </c>
      <c r="AX8085">
        <v>1</v>
      </c>
    </row>
    <row r="8086" spans="1:50">
      <c r="A8086">
        <v>587650</v>
      </c>
      <c r="B8086" t="str">
        <f>"044796112"</f>
        <v>044796112</v>
      </c>
      <c r="C8086" t="s">
        <v>50</v>
      </c>
      <c r="D8086" t="s">
        <v>12501</v>
      </c>
      <c r="E8086" t="s">
        <v>52</v>
      </c>
      <c r="F8086" t="s">
        <v>95</v>
      </c>
      <c r="G8086" t="s">
        <v>290</v>
      </c>
      <c r="H8086" t="str">
        <f>"ΜΙΧΑΗΛ ΚΑΤΑΠΟΤΗ 88 ΣΗΤΕΙΑ"</f>
        <v>ΜΙΧΑΗΛ ΚΑΤΑΠΟΤΗ 88 ΣΗΤΕΙΑ</v>
      </c>
      <c r="I8086">
        <v>72300</v>
      </c>
      <c r="J8086">
        <v>2843025715</v>
      </c>
      <c r="K8086">
        <v>6977010667</v>
      </c>
      <c r="N8086" t="s">
        <v>337</v>
      </c>
      <c r="O8086" t="s">
        <v>338</v>
      </c>
      <c r="R8086" t="s">
        <v>57</v>
      </c>
      <c r="S8086">
        <v>11</v>
      </c>
      <c r="T8086">
        <v>164</v>
      </c>
      <c r="U8086" s="1">
        <v>36040</v>
      </c>
      <c r="V8086" t="s">
        <v>5177</v>
      </c>
      <c r="W8086" t="s">
        <v>5178</v>
      </c>
      <c r="X8086" t="s">
        <v>58</v>
      </c>
      <c r="Y8086">
        <v>21</v>
      </c>
      <c r="Z8086" t="s">
        <v>59</v>
      </c>
      <c r="AA8086" t="s">
        <v>59</v>
      </c>
      <c r="AB8086" t="s">
        <v>59</v>
      </c>
      <c r="AC8086" t="s">
        <v>59</v>
      </c>
      <c r="AD8086" t="s">
        <v>59</v>
      </c>
      <c r="AF8086" s="1">
        <v>36045</v>
      </c>
      <c r="AG8086" t="s">
        <v>8645</v>
      </c>
      <c r="AH8086" t="s">
        <v>8646</v>
      </c>
      <c r="AI8086" t="str">
        <f>"9320205"</f>
        <v>9320205</v>
      </c>
      <c r="AJ8086" t="s">
        <v>11902</v>
      </c>
      <c r="AK8086">
        <v>2843024509</v>
      </c>
      <c r="AL8086" t="s">
        <v>11903</v>
      </c>
      <c r="AM8086" t="s">
        <v>4513</v>
      </c>
      <c r="AN8086" t="s">
        <v>4540</v>
      </c>
      <c r="AO8086" t="s">
        <v>4540</v>
      </c>
      <c r="AP8086" t="s">
        <v>4540</v>
      </c>
      <c r="AQ8086">
        <v>8</v>
      </c>
      <c r="AR8086" t="s">
        <v>5177</v>
      </c>
      <c r="AS8086" t="s">
        <v>5178</v>
      </c>
      <c r="AT8086" t="s">
        <v>58</v>
      </c>
      <c r="AU8086" t="s">
        <v>68</v>
      </c>
      <c r="AV8086" t="s">
        <v>69</v>
      </c>
      <c r="AW8086" s="1">
        <v>24584</v>
      </c>
      <c r="AX8086">
        <v>1</v>
      </c>
    </row>
    <row r="8087" spans="1:50">
      <c r="A8087">
        <v>565972</v>
      </c>
      <c r="B8087" t="str">
        <f>"064533733"</f>
        <v>064533733</v>
      </c>
      <c r="C8087" t="s">
        <v>50</v>
      </c>
      <c r="D8087" t="s">
        <v>12502</v>
      </c>
      <c r="E8087" t="s">
        <v>73</v>
      </c>
      <c r="F8087" t="s">
        <v>4861</v>
      </c>
      <c r="G8087" t="s">
        <v>71</v>
      </c>
      <c r="H8087" t="str">
        <f>"ΣΤΑΥΡΑΚΑΚΗ 10 ΣΗΤΕΙΑ"</f>
        <v>ΣΤΑΥΡΑΚΑΚΗ 10 ΣΗΤΕΙΑ</v>
      </c>
      <c r="I8087">
        <v>72200</v>
      </c>
      <c r="N8087" t="s">
        <v>615</v>
      </c>
      <c r="O8087" t="s">
        <v>616</v>
      </c>
      <c r="R8087" t="s">
        <v>57</v>
      </c>
      <c r="S8087">
        <v>15</v>
      </c>
      <c r="T8087">
        <v>161</v>
      </c>
      <c r="U8087" s="1">
        <v>33119</v>
      </c>
      <c r="V8087" t="s">
        <v>5177</v>
      </c>
      <c r="W8087" t="s">
        <v>5178</v>
      </c>
      <c r="X8087" t="s">
        <v>58</v>
      </c>
      <c r="Y8087">
        <v>21</v>
      </c>
      <c r="Z8087" t="s">
        <v>59</v>
      </c>
      <c r="AA8087" t="s">
        <v>59</v>
      </c>
      <c r="AB8087" t="s">
        <v>59</v>
      </c>
      <c r="AC8087" t="s">
        <v>59</v>
      </c>
      <c r="AD8087" t="s">
        <v>59</v>
      </c>
      <c r="AF8087" s="1">
        <v>33120</v>
      </c>
      <c r="AG8087" t="s">
        <v>8645</v>
      </c>
      <c r="AH8087" t="s">
        <v>8646</v>
      </c>
      <c r="AI8087" t="str">
        <f>"9320205"</f>
        <v>9320205</v>
      </c>
      <c r="AJ8087" t="s">
        <v>11902</v>
      </c>
      <c r="AK8087">
        <v>2843024509</v>
      </c>
      <c r="AL8087" t="s">
        <v>11903</v>
      </c>
      <c r="AM8087" t="s">
        <v>4513</v>
      </c>
      <c r="AN8087" t="s">
        <v>4540</v>
      </c>
      <c r="AO8087" t="s">
        <v>4540</v>
      </c>
      <c r="AP8087" t="s">
        <v>4540</v>
      </c>
      <c r="AQ8087">
        <v>8</v>
      </c>
      <c r="AR8087" t="s">
        <v>5177</v>
      </c>
      <c r="AS8087" t="s">
        <v>5178</v>
      </c>
      <c r="AT8087" t="s">
        <v>58</v>
      </c>
      <c r="AU8087" t="s">
        <v>68</v>
      </c>
      <c r="AV8087" t="s">
        <v>69</v>
      </c>
      <c r="AW8087" s="1">
        <v>24076</v>
      </c>
      <c r="AX8087">
        <v>1</v>
      </c>
    </row>
    <row r="8088" spans="1:50">
      <c r="B8088" t="str">
        <f>"140021318"</f>
        <v>140021318</v>
      </c>
      <c r="C8088" t="s">
        <v>50</v>
      </c>
      <c r="D8088" t="s">
        <v>3567</v>
      </c>
      <c r="E8088" t="s">
        <v>255</v>
      </c>
      <c r="F8088" t="s">
        <v>99</v>
      </c>
      <c r="G8088" t="s">
        <v>580</v>
      </c>
      <c r="H8088" t="str">
        <f>"ΙΩΑΝΝΟΥ ΖΟΥΡΑΡΗ 8 "</f>
        <v xml:space="preserve">ΙΩΑΝΝΟΥ ΖΟΥΡΑΡΗ 8 </v>
      </c>
      <c r="I8088">
        <v>72200</v>
      </c>
      <c r="J8088">
        <v>2842027243</v>
      </c>
      <c r="K8088">
        <v>6945100363</v>
      </c>
      <c r="N8088" t="s">
        <v>615</v>
      </c>
      <c r="O8088" t="s">
        <v>616</v>
      </c>
      <c r="R8088" t="s">
        <v>159</v>
      </c>
      <c r="S8088">
        <v>3</v>
      </c>
      <c r="T8088" t="s">
        <v>8675</v>
      </c>
      <c r="U8088" s="1">
        <v>43348</v>
      </c>
      <c r="V8088" t="s">
        <v>5177</v>
      </c>
      <c r="W8088" t="s">
        <v>5178</v>
      </c>
      <c r="X8088" t="s">
        <v>58</v>
      </c>
      <c r="Y8088">
        <v>24</v>
      </c>
      <c r="Z8088" t="s">
        <v>59</v>
      </c>
      <c r="AA8088" t="s">
        <v>59</v>
      </c>
      <c r="AB8088" t="s">
        <v>59</v>
      </c>
      <c r="AC8088" t="s">
        <v>59</v>
      </c>
      <c r="AD8088" t="s">
        <v>59</v>
      </c>
      <c r="AF8088" s="1">
        <v>43348</v>
      </c>
      <c r="AG8088" t="s">
        <v>8645</v>
      </c>
      <c r="AH8088" t="s">
        <v>8646</v>
      </c>
      <c r="AI8088" t="str">
        <f>"9320001"</f>
        <v>9320001</v>
      </c>
      <c r="AJ8088" t="s">
        <v>11954</v>
      </c>
      <c r="AK8088">
        <v>2842022505</v>
      </c>
      <c r="AL8088" t="s">
        <v>11955</v>
      </c>
      <c r="AM8088" t="s">
        <v>4513</v>
      </c>
      <c r="AN8088" t="s">
        <v>4519</v>
      </c>
      <c r="AO8088" t="s">
        <v>4519</v>
      </c>
      <c r="AP8088" t="s">
        <v>4519</v>
      </c>
      <c r="AQ8088">
        <v>4</v>
      </c>
      <c r="AR8088" t="s">
        <v>5177</v>
      </c>
      <c r="AS8088" t="s">
        <v>5178</v>
      </c>
      <c r="AT8088" t="s">
        <v>58</v>
      </c>
      <c r="AU8088" t="s">
        <v>8673</v>
      </c>
      <c r="AV8088" t="s">
        <v>132</v>
      </c>
      <c r="AW8088" s="1">
        <v>32406</v>
      </c>
      <c r="AX8088">
        <v>1</v>
      </c>
    </row>
    <row r="8089" spans="1:50">
      <c r="A8089">
        <v>581915</v>
      </c>
      <c r="B8089" t="str">
        <f>"034378791"</f>
        <v>034378791</v>
      </c>
      <c r="C8089" t="s">
        <v>50</v>
      </c>
      <c r="D8089" t="s">
        <v>12503</v>
      </c>
      <c r="E8089" t="s">
        <v>52</v>
      </c>
      <c r="F8089" t="s">
        <v>53</v>
      </c>
      <c r="G8089" t="s">
        <v>83</v>
      </c>
      <c r="H8089" t="str">
        <f>"Ι. ΚΟΖΥΡΗ 7 ΑΓΙΟΣ ΝΙΚΟΛΑΟΣ"</f>
        <v>Ι. ΚΟΖΥΡΗ 7 ΑΓΙΟΣ ΝΙΚΟΛΑΟΣ</v>
      </c>
      <c r="I8089">
        <v>72100</v>
      </c>
      <c r="J8089">
        <v>2841082463</v>
      </c>
      <c r="N8089" t="s">
        <v>615</v>
      </c>
      <c r="O8089" t="s">
        <v>616</v>
      </c>
      <c r="R8089" t="s">
        <v>57</v>
      </c>
      <c r="S8089">
        <v>12</v>
      </c>
      <c r="T8089">
        <v>179</v>
      </c>
      <c r="U8089" s="1">
        <v>35674</v>
      </c>
      <c r="V8089" t="s">
        <v>5177</v>
      </c>
      <c r="W8089" t="s">
        <v>5178</v>
      </c>
      <c r="X8089" t="s">
        <v>58</v>
      </c>
      <c r="Y8089">
        <v>21</v>
      </c>
      <c r="Z8089" t="s">
        <v>59</v>
      </c>
      <c r="AA8089" t="s">
        <v>59</v>
      </c>
      <c r="AB8089" t="s">
        <v>59</v>
      </c>
      <c r="AC8089" t="s">
        <v>59</v>
      </c>
      <c r="AD8089" t="s">
        <v>59</v>
      </c>
      <c r="AF8089" s="1">
        <v>35676</v>
      </c>
      <c r="AG8089" t="s">
        <v>8645</v>
      </c>
      <c r="AH8089" t="s">
        <v>8646</v>
      </c>
      <c r="AI8089" t="str">
        <f>"9320055"</f>
        <v>9320055</v>
      </c>
      <c r="AJ8089" t="s">
        <v>11937</v>
      </c>
      <c r="AK8089">
        <v>2841022326</v>
      </c>
      <c r="AL8089" t="s">
        <v>11938</v>
      </c>
      <c r="AM8089" t="s">
        <v>4513</v>
      </c>
      <c r="AN8089" t="s">
        <v>4514</v>
      </c>
      <c r="AO8089" t="s">
        <v>4514</v>
      </c>
      <c r="AP8089" t="s">
        <v>4514</v>
      </c>
      <c r="AQ8089">
        <v>1</v>
      </c>
      <c r="AR8089" t="s">
        <v>5177</v>
      </c>
      <c r="AS8089" t="s">
        <v>5178</v>
      </c>
      <c r="AT8089" t="s">
        <v>58</v>
      </c>
      <c r="AU8089" t="s">
        <v>68</v>
      </c>
      <c r="AV8089" t="s">
        <v>69</v>
      </c>
      <c r="AW8089" s="1">
        <v>24550</v>
      </c>
      <c r="AX8089">
        <v>1</v>
      </c>
    </row>
    <row r="8090" spans="1:50">
      <c r="A8090">
        <v>618796</v>
      </c>
      <c r="B8090" t="str">
        <f>"134591949"</f>
        <v>134591949</v>
      </c>
      <c r="C8090" t="s">
        <v>50</v>
      </c>
      <c r="D8090" t="s">
        <v>11297</v>
      </c>
      <c r="E8090" t="s">
        <v>109</v>
      </c>
      <c r="F8090" t="s">
        <v>202</v>
      </c>
      <c r="G8090" t="s">
        <v>52</v>
      </c>
      <c r="H8090" t="str">
        <f>"ΜΟΝΑΣΤΗΡΑΚΙ ΔΡΑΜΑΣ ΔΡΑΜΑ"</f>
        <v>ΜΟΝΑΣΤΗΡΑΚΙ ΔΡΑΜΑΣ ΔΡΑΜΑ</v>
      </c>
      <c r="I8090">
        <v>66100</v>
      </c>
      <c r="J8090">
        <v>2521085246</v>
      </c>
      <c r="K8090">
        <v>6947190051</v>
      </c>
      <c r="L8090">
        <v>2842024065</v>
      </c>
      <c r="M8090" t="s">
        <v>12504</v>
      </c>
      <c r="N8090" t="s">
        <v>615</v>
      </c>
      <c r="O8090" t="s">
        <v>616</v>
      </c>
      <c r="R8090" t="s">
        <v>57</v>
      </c>
      <c r="S8090">
        <v>5</v>
      </c>
      <c r="T8090">
        <v>774</v>
      </c>
      <c r="U8090" s="1">
        <v>39680</v>
      </c>
      <c r="V8090" t="s">
        <v>5177</v>
      </c>
      <c r="W8090" t="s">
        <v>5178</v>
      </c>
      <c r="X8090" t="s">
        <v>58</v>
      </c>
      <c r="Y8090">
        <v>23</v>
      </c>
      <c r="Z8090" t="s">
        <v>59</v>
      </c>
      <c r="AA8090" t="s">
        <v>59</v>
      </c>
      <c r="AB8090" t="s">
        <v>59</v>
      </c>
      <c r="AC8090" t="s">
        <v>59</v>
      </c>
      <c r="AD8090" t="s">
        <v>59</v>
      </c>
      <c r="AF8090" s="1">
        <v>39681</v>
      </c>
      <c r="AG8090" t="s">
        <v>8645</v>
      </c>
      <c r="AH8090" t="s">
        <v>8646</v>
      </c>
      <c r="AI8090" t="str">
        <f>"9320001"</f>
        <v>9320001</v>
      </c>
      <c r="AJ8090" t="s">
        <v>11954</v>
      </c>
      <c r="AK8090">
        <v>2842022505</v>
      </c>
      <c r="AL8090" t="s">
        <v>11955</v>
      </c>
      <c r="AM8090" t="s">
        <v>4513</v>
      </c>
      <c r="AN8090" t="s">
        <v>4519</v>
      </c>
      <c r="AO8090" t="s">
        <v>4519</v>
      </c>
      <c r="AP8090" t="s">
        <v>4519</v>
      </c>
      <c r="AQ8090">
        <v>4</v>
      </c>
      <c r="AR8090" t="s">
        <v>5177</v>
      </c>
      <c r="AS8090" t="s">
        <v>5178</v>
      </c>
      <c r="AT8090" t="s">
        <v>58</v>
      </c>
      <c r="AU8090" t="s">
        <v>68</v>
      </c>
      <c r="AV8090" t="s">
        <v>69</v>
      </c>
      <c r="AW8090" s="1">
        <v>31397</v>
      </c>
      <c r="AX8090">
        <v>1</v>
      </c>
    </row>
    <row r="8091" spans="1:50">
      <c r="A8091">
        <v>599845</v>
      </c>
      <c r="B8091" t="str">
        <f>"065978025"</f>
        <v>065978025</v>
      </c>
      <c r="C8091" t="s">
        <v>50</v>
      </c>
      <c r="D8091" t="s">
        <v>12505</v>
      </c>
      <c r="E8091" t="s">
        <v>83</v>
      </c>
      <c r="F8091" t="s">
        <v>53</v>
      </c>
      <c r="G8091" t="s">
        <v>367</v>
      </c>
      <c r="H8091" t="str">
        <f>"ΜΙΧ. ΚΑΤΑΠΟΤΗ 39 ΣΗΤΕΙΑ"</f>
        <v>ΜΙΧ. ΚΑΤΑΠΟΤΗ 39 ΣΗΤΕΙΑ</v>
      </c>
      <c r="I8091">
        <v>72300</v>
      </c>
      <c r="J8091">
        <v>2843028545</v>
      </c>
      <c r="L8091">
        <v>2843027121</v>
      </c>
      <c r="N8091" t="s">
        <v>615</v>
      </c>
      <c r="O8091" t="s">
        <v>616</v>
      </c>
      <c r="R8091" t="s">
        <v>57</v>
      </c>
      <c r="S8091">
        <v>9</v>
      </c>
      <c r="T8091">
        <v>195</v>
      </c>
      <c r="U8091" s="1">
        <v>37497</v>
      </c>
      <c r="V8091" t="s">
        <v>5177</v>
      </c>
      <c r="W8091" t="s">
        <v>5178</v>
      </c>
      <c r="X8091" t="s">
        <v>58</v>
      </c>
      <c r="Y8091">
        <v>22</v>
      </c>
      <c r="Z8091" t="s">
        <v>59</v>
      </c>
      <c r="AA8091" t="s">
        <v>59</v>
      </c>
      <c r="AB8091" t="s">
        <v>59</v>
      </c>
      <c r="AC8091" t="s">
        <v>59</v>
      </c>
      <c r="AD8091" t="s">
        <v>59</v>
      </c>
      <c r="AF8091" s="1">
        <v>37501</v>
      </c>
      <c r="AG8091" t="s">
        <v>8645</v>
      </c>
      <c r="AH8091" t="s">
        <v>8646</v>
      </c>
      <c r="AI8091" t="str">
        <f>"9520629"</f>
        <v>9520629</v>
      </c>
      <c r="AJ8091" t="s">
        <v>11976</v>
      </c>
      <c r="AK8091">
        <v>2843026678</v>
      </c>
      <c r="AL8091" t="s">
        <v>11977</v>
      </c>
      <c r="AM8091" t="s">
        <v>4513</v>
      </c>
      <c r="AN8091" t="s">
        <v>4540</v>
      </c>
      <c r="AO8091" t="s">
        <v>4540</v>
      </c>
      <c r="AP8091" t="s">
        <v>4540</v>
      </c>
      <c r="AQ8091">
        <v>8</v>
      </c>
      <c r="AR8091" t="s">
        <v>5177</v>
      </c>
      <c r="AS8091" t="s">
        <v>5178</v>
      </c>
      <c r="AT8091" t="s">
        <v>58</v>
      </c>
      <c r="AU8091" t="s">
        <v>68</v>
      </c>
      <c r="AV8091" t="s">
        <v>69</v>
      </c>
      <c r="AW8091" s="1">
        <v>25572</v>
      </c>
      <c r="AX8091">
        <v>1</v>
      </c>
    </row>
    <row r="8092" spans="1:50">
      <c r="B8092" t="str">
        <f>"104733287"</f>
        <v>104733287</v>
      </c>
      <c r="C8092" t="s">
        <v>105</v>
      </c>
      <c r="D8092" t="s">
        <v>12506</v>
      </c>
      <c r="E8092" t="s">
        <v>12507</v>
      </c>
      <c r="F8092" t="s">
        <v>95</v>
      </c>
      <c r="G8092" t="s">
        <v>54</v>
      </c>
      <c r="H8092" t="str">
        <f>"ΖΑΒΑΛΙΔΗ 8 "</f>
        <v xml:space="preserve">ΖΑΒΑΛΙΔΗ 8 </v>
      </c>
      <c r="I8092">
        <v>41335</v>
      </c>
      <c r="J8092">
        <v>2410238297</v>
      </c>
      <c r="K8092">
        <v>6945855069</v>
      </c>
      <c r="N8092" t="s">
        <v>337</v>
      </c>
      <c r="O8092" t="s">
        <v>338</v>
      </c>
      <c r="R8092" t="s">
        <v>121</v>
      </c>
      <c r="S8092">
        <v>1</v>
      </c>
      <c r="T8092" t="s">
        <v>8675</v>
      </c>
      <c r="U8092" s="1">
        <v>43348</v>
      </c>
      <c r="V8092" t="s">
        <v>5177</v>
      </c>
      <c r="W8092" t="s">
        <v>5178</v>
      </c>
      <c r="X8092" t="s">
        <v>58</v>
      </c>
      <c r="Y8092">
        <v>24</v>
      </c>
      <c r="Z8092" t="s">
        <v>59</v>
      </c>
      <c r="AA8092" t="s">
        <v>59</v>
      </c>
      <c r="AB8092" t="s">
        <v>59</v>
      </c>
      <c r="AC8092" t="s">
        <v>59</v>
      </c>
      <c r="AD8092" t="s">
        <v>59</v>
      </c>
      <c r="AF8092" s="1">
        <v>43348</v>
      </c>
      <c r="AG8092" t="s">
        <v>8645</v>
      </c>
      <c r="AH8092" t="s">
        <v>8646</v>
      </c>
      <c r="AI8092" t="str">
        <f>"9320098"</f>
        <v>9320098</v>
      </c>
      <c r="AJ8092" t="s">
        <v>12053</v>
      </c>
      <c r="AK8092">
        <v>2843051475</v>
      </c>
      <c r="AL8092" t="s">
        <v>12054</v>
      </c>
      <c r="AM8092" t="s">
        <v>4513</v>
      </c>
      <c r="AN8092" t="s">
        <v>4519</v>
      </c>
      <c r="AO8092" t="s">
        <v>4766</v>
      </c>
      <c r="AP8092" t="s">
        <v>12055</v>
      </c>
      <c r="AQ8092">
        <v>6</v>
      </c>
      <c r="AR8092" t="s">
        <v>5177</v>
      </c>
      <c r="AS8092" t="s">
        <v>5178</v>
      </c>
      <c r="AT8092" t="s">
        <v>58</v>
      </c>
      <c r="AU8092" t="s">
        <v>8673</v>
      </c>
      <c r="AV8092" t="s">
        <v>132</v>
      </c>
      <c r="AW8092" s="1">
        <v>29525</v>
      </c>
      <c r="AX8092">
        <v>1</v>
      </c>
    </row>
    <row r="8093" spans="1:50">
      <c r="A8093">
        <v>582491</v>
      </c>
      <c r="B8093" t="str">
        <f>"074955175"</f>
        <v>074955175</v>
      </c>
      <c r="C8093" t="s">
        <v>105</v>
      </c>
      <c r="D8093" t="s">
        <v>6491</v>
      </c>
      <c r="E8093" t="s">
        <v>1392</v>
      </c>
      <c r="F8093" t="s">
        <v>2847</v>
      </c>
      <c r="G8093" t="s">
        <v>12508</v>
      </c>
      <c r="H8093" t="str">
        <f>"ΣΩΚΡΑΤΟΥΣ 2 ΑΓΙΟΣ ΝΙΚΟΛΑΟΣ"</f>
        <v>ΣΩΚΡΑΤΟΥΣ 2 ΑΓΙΟΣ ΝΙΚΟΛΑΟΣ</v>
      </c>
      <c r="I8093">
        <v>72100</v>
      </c>
      <c r="J8093">
        <v>2841022293</v>
      </c>
      <c r="K8093">
        <v>6977699507</v>
      </c>
      <c r="N8093" t="s">
        <v>615</v>
      </c>
      <c r="O8093" t="s">
        <v>616</v>
      </c>
      <c r="R8093" t="s">
        <v>57</v>
      </c>
      <c r="S8093">
        <v>11</v>
      </c>
      <c r="T8093">
        <v>179</v>
      </c>
      <c r="U8093" s="1">
        <v>35674</v>
      </c>
      <c r="V8093" t="s">
        <v>5177</v>
      </c>
      <c r="W8093" t="s">
        <v>5178</v>
      </c>
      <c r="X8093" t="s">
        <v>58</v>
      </c>
      <c r="Y8093">
        <v>21</v>
      </c>
      <c r="Z8093" t="s">
        <v>59</v>
      </c>
      <c r="AA8093" t="s">
        <v>59</v>
      </c>
      <c r="AB8093" t="s">
        <v>59</v>
      </c>
      <c r="AC8093" t="s">
        <v>59</v>
      </c>
      <c r="AD8093" t="s">
        <v>59</v>
      </c>
      <c r="AF8093" s="1">
        <v>35677</v>
      </c>
      <c r="AG8093" t="s">
        <v>8645</v>
      </c>
      <c r="AH8093" t="s">
        <v>8646</v>
      </c>
      <c r="AI8093" t="str">
        <f>"9320055"</f>
        <v>9320055</v>
      </c>
      <c r="AJ8093" t="s">
        <v>11937</v>
      </c>
      <c r="AK8093">
        <v>2841022326</v>
      </c>
      <c r="AL8093" t="s">
        <v>11938</v>
      </c>
      <c r="AM8093" t="s">
        <v>4513</v>
      </c>
      <c r="AN8093" t="s">
        <v>4514</v>
      </c>
      <c r="AO8093" t="s">
        <v>4514</v>
      </c>
      <c r="AP8093" t="s">
        <v>4514</v>
      </c>
      <c r="AQ8093">
        <v>1</v>
      </c>
      <c r="AR8093" t="s">
        <v>5177</v>
      </c>
      <c r="AS8093" t="s">
        <v>5178</v>
      </c>
      <c r="AT8093" t="s">
        <v>58</v>
      </c>
      <c r="AU8093" t="s">
        <v>68</v>
      </c>
      <c r="AV8093" t="s">
        <v>69</v>
      </c>
      <c r="AW8093" s="1">
        <v>24950</v>
      </c>
      <c r="AX8093">
        <v>1</v>
      </c>
    </row>
    <row r="8094" spans="1:50">
      <c r="B8094" t="str">
        <f>"128621259"</f>
        <v>128621259</v>
      </c>
      <c r="C8094" t="s">
        <v>105</v>
      </c>
      <c r="D8094" t="s">
        <v>12509</v>
      </c>
      <c r="E8094" t="s">
        <v>1392</v>
      </c>
      <c r="F8094" t="s">
        <v>2320</v>
      </c>
      <c r="G8094" t="s">
        <v>3172</v>
      </c>
      <c r="H8094" t="str">
        <f>" "</f>
        <v xml:space="preserve"> </v>
      </c>
      <c r="K8094">
        <v>6987461046</v>
      </c>
      <c r="N8094" t="s">
        <v>683</v>
      </c>
      <c r="O8094" t="s">
        <v>684</v>
      </c>
      <c r="R8094" t="s">
        <v>121</v>
      </c>
      <c r="S8094">
        <v>1</v>
      </c>
      <c r="T8094" t="s">
        <v>8675</v>
      </c>
      <c r="U8094" s="1">
        <v>43348</v>
      </c>
      <c r="V8094" t="s">
        <v>5177</v>
      </c>
      <c r="W8094" t="s">
        <v>5178</v>
      </c>
      <c r="X8094" t="s">
        <v>58</v>
      </c>
      <c r="Y8094">
        <v>24</v>
      </c>
      <c r="Z8094" t="s">
        <v>59</v>
      </c>
      <c r="AA8094" t="s">
        <v>59</v>
      </c>
      <c r="AB8094" t="s">
        <v>59</v>
      </c>
      <c r="AD8094" t="s">
        <v>59</v>
      </c>
      <c r="AF8094" s="1">
        <v>43348</v>
      </c>
      <c r="AG8094" t="s">
        <v>8645</v>
      </c>
      <c r="AH8094" t="s">
        <v>8646</v>
      </c>
      <c r="AI8094" t="str">
        <f>"9320093"</f>
        <v>9320093</v>
      </c>
      <c r="AJ8094" t="s">
        <v>11967</v>
      </c>
      <c r="AK8094">
        <v>2843025130</v>
      </c>
      <c r="AL8094" t="s">
        <v>11968</v>
      </c>
      <c r="AM8094" t="s">
        <v>4513</v>
      </c>
      <c r="AN8094" t="s">
        <v>4540</v>
      </c>
      <c r="AO8094" t="s">
        <v>4540</v>
      </c>
      <c r="AP8094" t="s">
        <v>4540</v>
      </c>
      <c r="AQ8094">
        <v>8</v>
      </c>
      <c r="AR8094" t="s">
        <v>5177</v>
      </c>
      <c r="AS8094" t="s">
        <v>5178</v>
      </c>
      <c r="AT8094" t="s">
        <v>58</v>
      </c>
      <c r="AU8094" t="s">
        <v>8673</v>
      </c>
      <c r="AV8094" t="s">
        <v>132</v>
      </c>
      <c r="AW8094" s="1">
        <v>30415</v>
      </c>
      <c r="AX8094">
        <v>1</v>
      </c>
    </row>
    <row r="8095" spans="1:50">
      <c r="A8095">
        <v>560086</v>
      </c>
      <c r="B8095" t="str">
        <f>"032348674"</f>
        <v>032348674</v>
      </c>
      <c r="C8095" t="s">
        <v>105</v>
      </c>
      <c r="D8095" t="s">
        <v>12509</v>
      </c>
      <c r="E8095" t="s">
        <v>72</v>
      </c>
      <c r="F8095" t="s">
        <v>106</v>
      </c>
      <c r="G8095" t="s">
        <v>191</v>
      </c>
      <c r="H8095" t="str">
        <f>"ΕΜΜΑΝΟΥΗΛ ΤΣΟΥΔΕΡΟΥ 1 ΣΗΤΕΙΑ"</f>
        <v>ΕΜΜΑΝΟΥΗΛ ΤΣΟΥΔΕΡΟΥ 1 ΣΗΤΕΙΑ</v>
      </c>
      <c r="I8095">
        <v>72300</v>
      </c>
      <c r="J8095">
        <v>2843093422</v>
      </c>
      <c r="K8095">
        <v>6974439183</v>
      </c>
      <c r="N8095" t="s">
        <v>615</v>
      </c>
      <c r="O8095" t="s">
        <v>616</v>
      </c>
      <c r="R8095" t="s">
        <v>57</v>
      </c>
      <c r="S8095">
        <v>16</v>
      </c>
      <c r="T8095">
        <v>185</v>
      </c>
      <c r="U8095" s="1">
        <v>32035</v>
      </c>
      <c r="V8095" t="s">
        <v>5177</v>
      </c>
      <c r="W8095" t="s">
        <v>5178</v>
      </c>
      <c r="X8095" t="s">
        <v>58</v>
      </c>
      <c r="Y8095">
        <v>21</v>
      </c>
      <c r="Z8095" t="s">
        <v>59</v>
      </c>
      <c r="AA8095" t="s">
        <v>59</v>
      </c>
      <c r="AB8095" t="s">
        <v>59</v>
      </c>
      <c r="AC8095" t="s">
        <v>59</v>
      </c>
      <c r="AD8095" t="s">
        <v>59</v>
      </c>
      <c r="AF8095" s="1">
        <v>32038</v>
      </c>
      <c r="AG8095" t="s">
        <v>8645</v>
      </c>
      <c r="AH8095" t="s">
        <v>8646</v>
      </c>
      <c r="AI8095" t="str">
        <f>"9320121"</f>
        <v>9320121</v>
      </c>
      <c r="AJ8095" t="s">
        <v>11906</v>
      </c>
      <c r="AK8095">
        <v>2843022036</v>
      </c>
      <c r="AL8095" t="s">
        <v>11907</v>
      </c>
      <c r="AM8095" t="s">
        <v>4513</v>
      </c>
      <c r="AN8095" t="s">
        <v>4540</v>
      </c>
      <c r="AO8095" t="s">
        <v>4540</v>
      </c>
      <c r="AP8095" t="s">
        <v>11908</v>
      </c>
      <c r="AQ8095">
        <v>8</v>
      </c>
      <c r="AR8095" t="s">
        <v>5177</v>
      </c>
      <c r="AS8095" t="s">
        <v>5178</v>
      </c>
      <c r="AT8095" t="s">
        <v>58</v>
      </c>
      <c r="AU8095" t="s">
        <v>68</v>
      </c>
      <c r="AV8095" t="s">
        <v>69</v>
      </c>
      <c r="AW8095" s="1">
        <v>23454</v>
      </c>
      <c r="AX8095">
        <v>1</v>
      </c>
    </row>
    <row r="8096" spans="1:50">
      <c r="A8096">
        <v>584334</v>
      </c>
      <c r="B8096" t="str">
        <f>"038516360"</f>
        <v>038516360</v>
      </c>
      <c r="C8096" t="s">
        <v>50</v>
      </c>
      <c r="D8096" t="s">
        <v>3656</v>
      </c>
      <c r="E8096" t="s">
        <v>143</v>
      </c>
      <c r="F8096" t="s">
        <v>53</v>
      </c>
      <c r="G8096" t="s">
        <v>2248</v>
      </c>
      <c r="H8096" t="str">
        <f>"ΠΑΣΤΕΡ 2 ΑΓΙΟΣ ΝΙΚΟΛΑΟΣ"</f>
        <v>ΠΑΣΤΕΡ 2 ΑΓΙΟΣ ΝΙΚΟΛΑΟΣ</v>
      </c>
      <c r="I8096">
        <v>72100</v>
      </c>
      <c r="J8096">
        <v>2841022052</v>
      </c>
      <c r="N8096" t="s">
        <v>615</v>
      </c>
      <c r="O8096" t="s">
        <v>616</v>
      </c>
      <c r="R8096" t="s">
        <v>57</v>
      </c>
      <c r="S8096">
        <v>12</v>
      </c>
      <c r="T8096">
        <v>165</v>
      </c>
      <c r="U8096" s="1">
        <v>36040</v>
      </c>
      <c r="V8096" t="s">
        <v>5177</v>
      </c>
      <c r="W8096" t="s">
        <v>5178</v>
      </c>
      <c r="X8096" t="s">
        <v>58</v>
      </c>
      <c r="Y8096">
        <v>21</v>
      </c>
      <c r="Z8096" t="s">
        <v>59</v>
      </c>
      <c r="AA8096" t="s">
        <v>59</v>
      </c>
      <c r="AB8096" t="s">
        <v>59</v>
      </c>
      <c r="AC8096" t="s">
        <v>59</v>
      </c>
      <c r="AD8096" t="s">
        <v>59</v>
      </c>
      <c r="AF8096" s="1">
        <v>36042</v>
      </c>
      <c r="AG8096" t="s">
        <v>8645</v>
      </c>
      <c r="AH8096" t="s">
        <v>8646</v>
      </c>
      <c r="AI8096" t="str">
        <f>"9320055"</f>
        <v>9320055</v>
      </c>
      <c r="AJ8096" t="s">
        <v>11937</v>
      </c>
      <c r="AK8096">
        <v>2841022326</v>
      </c>
      <c r="AL8096" t="s">
        <v>11938</v>
      </c>
      <c r="AM8096" t="s">
        <v>4513</v>
      </c>
      <c r="AN8096" t="s">
        <v>4514</v>
      </c>
      <c r="AO8096" t="s">
        <v>4514</v>
      </c>
      <c r="AP8096" t="s">
        <v>4514</v>
      </c>
      <c r="AQ8096">
        <v>1</v>
      </c>
      <c r="AR8096" t="s">
        <v>5177</v>
      </c>
      <c r="AS8096" t="s">
        <v>5178</v>
      </c>
      <c r="AT8096" t="s">
        <v>58</v>
      </c>
      <c r="AU8096" t="s">
        <v>68</v>
      </c>
      <c r="AV8096" t="s">
        <v>69</v>
      </c>
      <c r="AW8096" s="1">
        <v>24359</v>
      </c>
      <c r="AX8096">
        <v>1</v>
      </c>
    </row>
    <row r="8097" spans="1:50">
      <c r="B8097" t="str">
        <f>"125295770"</f>
        <v>125295770</v>
      </c>
      <c r="C8097" t="s">
        <v>50</v>
      </c>
      <c r="D8097" t="s">
        <v>3656</v>
      </c>
      <c r="E8097" t="s">
        <v>250</v>
      </c>
      <c r="F8097" t="s">
        <v>166</v>
      </c>
      <c r="G8097" t="s">
        <v>507</v>
      </c>
      <c r="H8097" t="str">
        <f>"ΒΑΡΔΙΝΟΓΙΑΝΝΗ 16 ΡΕΘΥΜΝΟ"</f>
        <v>ΒΑΡΔΙΝΟΓΙΑΝΝΗ 16 ΡΕΘΥΜΝΟ</v>
      </c>
      <c r="I8097">
        <v>74100</v>
      </c>
      <c r="J8097">
        <v>2843031161</v>
      </c>
      <c r="K8097">
        <v>6974716627</v>
      </c>
      <c r="N8097" t="s">
        <v>1525</v>
      </c>
      <c r="O8097" t="s">
        <v>1526</v>
      </c>
      <c r="R8097" t="s">
        <v>159</v>
      </c>
      <c r="S8097">
        <v>4</v>
      </c>
      <c r="T8097" t="s">
        <v>8670</v>
      </c>
      <c r="U8097" s="1">
        <v>43348</v>
      </c>
      <c r="V8097" t="s">
        <v>5177</v>
      </c>
      <c r="W8097" t="s">
        <v>5178</v>
      </c>
      <c r="X8097" t="s">
        <v>58</v>
      </c>
      <c r="Y8097">
        <v>25</v>
      </c>
      <c r="Z8097" t="s">
        <v>59</v>
      </c>
      <c r="AA8097" t="s">
        <v>59</v>
      </c>
      <c r="AB8097" t="s">
        <v>59</v>
      </c>
      <c r="AC8097" t="s">
        <v>59</v>
      </c>
      <c r="AD8097" t="s">
        <v>59</v>
      </c>
      <c r="AF8097" s="1">
        <v>43348</v>
      </c>
      <c r="AG8097" t="s">
        <v>8651</v>
      </c>
      <c r="AH8097" t="s">
        <v>8652</v>
      </c>
      <c r="AI8097" t="str">
        <f>"9320203"</f>
        <v>9320203</v>
      </c>
      <c r="AJ8097" t="s">
        <v>12298</v>
      </c>
      <c r="AK8097">
        <v>2843052423</v>
      </c>
      <c r="AL8097" t="s">
        <v>12299</v>
      </c>
      <c r="AM8097" t="s">
        <v>4513</v>
      </c>
      <c r="AN8097" t="s">
        <v>4519</v>
      </c>
      <c r="AO8097" t="s">
        <v>4766</v>
      </c>
      <c r="AP8097" t="s">
        <v>4767</v>
      </c>
      <c r="AQ8097">
        <v>6</v>
      </c>
      <c r="AR8097" t="s">
        <v>5177</v>
      </c>
      <c r="AS8097" t="s">
        <v>5178</v>
      </c>
      <c r="AT8097" t="s">
        <v>58</v>
      </c>
      <c r="AU8097" t="s">
        <v>8673</v>
      </c>
      <c r="AV8097" t="s">
        <v>132</v>
      </c>
      <c r="AW8097" s="1">
        <v>30631</v>
      </c>
      <c r="AX8097">
        <v>1</v>
      </c>
    </row>
    <row r="8098" spans="1:50">
      <c r="B8098" t="str">
        <f>"144880130"</f>
        <v>144880130</v>
      </c>
      <c r="C8098" t="s">
        <v>50</v>
      </c>
      <c r="D8098" t="s">
        <v>12510</v>
      </c>
      <c r="E8098" t="s">
        <v>2208</v>
      </c>
      <c r="F8098" t="s">
        <v>920</v>
      </c>
      <c r="G8098" t="s">
        <v>12511</v>
      </c>
      <c r="H8098" t="str">
        <f>"ΠΑΠΑΔΙΑΜΑΝΤΟΠΟΥΛΟΥ 136 "</f>
        <v xml:space="preserve">ΠΑΠΑΔΙΑΜΑΝΤΟΠΟΥΛΟΥ 136 </v>
      </c>
      <c r="I8098">
        <v>15773</v>
      </c>
      <c r="J8098">
        <v>2431034572</v>
      </c>
      <c r="K8098">
        <v>6934300237</v>
      </c>
      <c r="N8098" t="s">
        <v>615</v>
      </c>
      <c r="O8098" t="s">
        <v>616</v>
      </c>
      <c r="R8098" t="s">
        <v>159</v>
      </c>
      <c r="S8098">
        <v>2</v>
      </c>
      <c r="T8098" t="s">
        <v>8675</v>
      </c>
      <c r="U8098" s="1">
        <v>43348</v>
      </c>
      <c r="V8098" t="s">
        <v>5177</v>
      </c>
      <c r="W8098" t="s">
        <v>5178</v>
      </c>
      <c r="X8098" t="s">
        <v>58</v>
      </c>
      <c r="Y8098">
        <v>24</v>
      </c>
      <c r="Z8098" t="s">
        <v>59</v>
      </c>
      <c r="AA8098" t="s">
        <v>59</v>
      </c>
      <c r="AB8098" t="s">
        <v>59</v>
      </c>
      <c r="AC8098" t="s">
        <v>59</v>
      </c>
      <c r="AD8098" t="s">
        <v>59</v>
      </c>
      <c r="AF8098" s="1">
        <v>43348</v>
      </c>
      <c r="AG8098" t="s">
        <v>8645</v>
      </c>
      <c r="AH8098" t="s">
        <v>8646</v>
      </c>
      <c r="AI8098" t="str">
        <f>"9320012"</f>
        <v>9320012</v>
      </c>
      <c r="AJ8098" t="s">
        <v>11921</v>
      </c>
      <c r="AK8098">
        <v>2842041253</v>
      </c>
      <c r="AL8098" t="s">
        <v>11922</v>
      </c>
      <c r="AM8098" t="s">
        <v>4513</v>
      </c>
      <c r="AN8098" t="s">
        <v>4519</v>
      </c>
      <c r="AO8098" t="s">
        <v>4519</v>
      </c>
      <c r="AP8098" t="s">
        <v>11899</v>
      </c>
      <c r="AQ8098">
        <v>7</v>
      </c>
      <c r="AR8098" t="s">
        <v>5177</v>
      </c>
      <c r="AS8098" t="s">
        <v>5178</v>
      </c>
      <c r="AT8098" t="s">
        <v>58</v>
      </c>
      <c r="AU8098" t="s">
        <v>8673</v>
      </c>
      <c r="AV8098" t="s">
        <v>132</v>
      </c>
      <c r="AW8098" s="1">
        <v>32358</v>
      </c>
      <c r="AX8098">
        <v>1</v>
      </c>
    </row>
    <row r="8099" spans="1:50">
      <c r="B8099" t="str">
        <f>"142658988"</f>
        <v>142658988</v>
      </c>
      <c r="C8099" t="s">
        <v>105</v>
      </c>
      <c r="D8099" t="s">
        <v>12512</v>
      </c>
      <c r="E8099" t="s">
        <v>53</v>
      </c>
      <c r="F8099" t="s">
        <v>95</v>
      </c>
      <c r="G8099" t="s">
        <v>83</v>
      </c>
      <c r="H8099" t="str">
        <f>"ΚΥΘΗΡΩΝ 10 "</f>
        <v xml:space="preserve">ΚΥΘΗΡΩΝ 10 </v>
      </c>
      <c r="I8099">
        <v>62125</v>
      </c>
      <c r="J8099">
        <v>2321045907</v>
      </c>
      <c r="K8099">
        <v>6945352489</v>
      </c>
      <c r="N8099" t="s">
        <v>615</v>
      </c>
      <c r="O8099" t="s">
        <v>616</v>
      </c>
      <c r="R8099" t="s">
        <v>159</v>
      </c>
      <c r="S8099">
        <v>2</v>
      </c>
      <c r="T8099" t="s">
        <v>8675</v>
      </c>
      <c r="U8099" s="1">
        <v>43348</v>
      </c>
      <c r="V8099" t="s">
        <v>5177</v>
      </c>
      <c r="W8099" t="s">
        <v>5178</v>
      </c>
      <c r="X8099" t="s">
        <v>58</v>
      </c>
      <c r="Y8099">
        <v>24</v>
      </c>
      <c r="Z8099" t="s">
        <v>59</v>
      </c>
      <c r="AA8099" t="s">
        <v>59</v>
      </c>
      <c r="AB8099" t="s">
        <v>59</v>
      </c>
      <c r="AC8099" t="s">
        <v>59</v>
      </c>
      <c r="AD8099" t="s">
        <v>59</v>
      </c>
      <c r="AF8099" s="1">
        <v>43348</v>
      </c>
      <c r="AG8099" t="s">
        <v>8645</v>
      </c>
      <c r="AH8099" t="s">
        <v>8646</v>
      </c>
      <c r="AI8099" t="str">
        <f>"9320005"</f>
        <v>9320005</v>
      </c>
      <c r="AJ8099" t="s">
        <v>12004</v>
      </c>
      <c r="AK8099">
        <v>2842022202</v>
      </c>
      <c r="AL8099" t="s">
        <v>12005</v>
      </c>
      <c r="AM8099" t="s">
        <v>4513</v>
      </c>
      <c r="AN8099" t="s">
        <v>4519</v>
      </c>
      <c r="AO8099" t="s">
        <v>4519</v>
      </c>
      <c r="AP8099" t="s">
        <v>4519</v>
      </c>
      <c r="AQ8099">
        <v>4</v>
      </c>
      <c r="AR8099" t="s">
        <v>5177</v>
      </c>
      <c r="AS8099" t="s">
        <v>5178</v>
      </c>
      <c r="AT8099" t="s">
        <v>58</v>
      </c>
      <c r="AU8099" t="s">
        <v>8673</v>
      </c>
      <c r="AV8099" t="s">
        <v>132</v>
      </c>
      <c r="AW8099" s="1">
        <v>32238</v>
      </c>
      <c r="AX8099">
        <v>1</v>
      </c>
    </row>
    <row r="8100" spans="1:50">
      <c r="A8100">
        <v>599923</v>
      </c>
      <c r="B8100" t="str">
        <f>"079064853"</f>
        <v>079064853</v>
      </c>
      <c r="C8100" t="s">
        <v>50</v>
      </c>
      <c r="D8100" t="s">
        <v>12513</v>
      </c>
      <c r="E8100" t="s">
        <v>237</v>
      </c>
      <c r="F8100" t="s">
        <v>95</v>
      </c>
      <c r="G8100" t="s">
        <v>382</v>
      </c>
      <c r="H8100" t="str">
        <f>"ΚΑΛΛΙΘΕΑ ΙΕΡΑΠΕΤΡΑ"</f>
        <v>ΚΑΛΛΙΘΕΑ ΙΕΡΑΠΕΤΡΑ</v>
      </c>
      <c r="I8100">
        <v>72200</v>
      </c>
      <c r="J8100">
        <v>2842026810</v>
      </c>
      <c r="K8100">
        <v>6974198401</v>
      </c>
      <c r="M8100" t="s">
        <v>12514</v>
      </c>
      <c r="N8100" t="s">
        <v>615</v>
      </c>
      <c r="O8100" t="s">
        <v>616</v>
      </c>
      <c r="R8100" t="s">
        <v>57</v>
      </c>
      <c r="S8100">
        <v>8</v>
      </c>
      <c r="T8100">
        <v>195</v>
      </c>
      <c r="U8100" s="1">
        <v>37497</v>
      </c>
      <c r="V8100" t="s">
        <v>5177</v>
      </c>
      <c r="W8100" t="s">
        <v>5178</v>
      </c>
      <c r="X8100" t="s">
        <v>58</v>
      </c>
      <c r="Y8100">
        <v>22</v>
      </c>
      <c r="Z8100" t="s">
        <v>59</v>
      </c>
      <c r="AA8100" t="s">
        <v>59</v>
      </c>
      <c r="AB8100" t="s">
        <v>59</v>
      </c>
      <c r="AC8100" t="s">
        <v>59</v>
      </c>
      <c r="AD8100" t="s">
        <v>59</v>
      </c>
      <c r="AF8100" s="1">
        <v>37502</v>
      </c>
      <c r="AG8100" t="s">
        <v>8645</v>
      </c>
      <c r="AH8100" t="s">
        <v>8646</v>
      </c>
      <c r="AI8100" t="str">
        <f>"9320003"</f>
        <v>9320003</v>
      </c>
      <c r="AJ8100" t="s">
        <v>11886</v>
      </c>
      <c r="AK8100">
        <v>2842089830</v>
      </c>
      <c r="AL8100" t="s">
        <v>11887</v>
      </c>
      <c r="AM8100" t="s">
        <v>4513</v>
      </c>
      <c r="AN8100" t="s">
        <v>4519</v>
      </c>
      <c r="AO8100" t="s">
        <v>4519</v>
      </c>
      <c r="AP8100" t="s">
        <v>4519</v>
      </c>
      <c r="AQ8100">
        <v>4</v>
      </c>
      <c r="AR8100" t="s">
        <v>5177</v>
      </c>
      <c r="AS8100" t="s">
        <v>5178</v>
      </c>
      <c r="AT8100" t="s">
        <v>58</v>
      </c>
      <c r="AU8100" t="s">
        <v>68</v>
      </c>
      <c r="AV8100" t="s">
        <v>69</v>
      </c>
      <c r="AW8100" s="1">
        <v>25710</v>
      </c>
      <c r="AX8100">
        <v>1</v>
      </c>
    </row>
    <row r="8101" spans="1:50">
      <c r="A8101">
        <v>593624</v>
      </c>
      <c r="B8101" t="str">
        <f>"110389661"</f>
        <v>110389661</v>
      </c>
      <c r="C8101" t="s">
        <v>50</v>
      </c>
      <c r="D8101" t="s">
        <v>12515</v>
      </c>
      <c r="E8101" t="s">
        <v>3809</v>
      </c>
      <c r="F8101" t="s">
        <v>53</v>
      </c>
      <c r="G8101" t="s">
        <v>83</v>
      </c>
      <c r="H8101" t="str">
        <f>"ΔΕΡΜΙΤΖΟΓΙΑΝΝΗ 13 ΣΗΤΕΙΑ"</f>
        <v>ΔΕΡΜΙΤΖΟΓΙΑΝΝΗ 13 ΣΗΤΕΙΑ</v>
      </c>
      <c r="I8101">
        <v>72300</v>
      </c>
      <c r="J8101">
        <v>2843022087</v>
      </c>
      <c r="K8101">
        <v>6972915527</v>
      </c>
      <c r="N8101" t="s">
        <v>615</v>
      </c>
      <c r="O8101" t="s">
        <v>616</v>
      </c>
      <c r="R8101" t="s">
        <v>57</v>
      </c>
      <c r="S8101">
        <v>8</v>
      </c>
      <c r="T8101">
        <v>218</v>
      </c>
      <c r="U8101" s="1">
        <v>37134</v>
      </c>
      <c r="V8101" t="s">
        <v>5177</v>
      </c>
      <c r="W8101" t="s">
        <v>5178</v>
      </c>
      <c r="X8101" t="s">
        <v>58</v>
      </c>
      <c r="Y8101">
        <v>22</v>
      </c>
      <c r="Z8101" t="s">
        <v>59</v>
      </c>
      <c r="AA8101" t="s">
        <v>59</v>
      </c>
      <c r="AB8101" t="s">
        <v>59</v>
      </c>
      <c r="AC8101" t="s">
        <v>59</v>
      </c>
      <c r="AD8101" t="s">
        <v>59</v>
      </c>
      <c r="AF8101" s="1">
        <v>37140</v>
      </c>
      <c r="AG8101" t="s">
        <v>8645</v>
      </c>
      <c r="AH8101" t="s">
        <v>8646</v>
      </c>
      <c r="AI8101" t="str">
        <f>"9320205"</f>
        <v>9320205</v>
      </c>
      <c r="AJ8101" t="s">
        <v>11902</v>
      </c>
      <c r="AK8101">
        <v>2843024509</v>
      </c>
      <c r="AL8101" t="s">
        <v>11903</v>
      </c>
      <c r="AM8101" t="s">
        <v>4513</v>
      </c>
      <c r="AN8101" t="s">
        <v>4540</v>
      </c>
      <c r="AO8101" t="s">
        <v>4540</v>
      </c>
      <c r="AP8101" t="s">
        <v>4540</v>
      </c>
      <c r="AQ8101">
        <v>8</v>
      </c>
      <c r="AR8101" t="s">
        <v>5177</v>
      </c>
      <c r="AS8101" t="s">
        <v>5178</v>
      </c>
      <c r="AT8101" t="s">
        <v>58</v>
      </c>
      <c r="AU8101" t="s">
        <v>68</v>
      </c>
      <c r="AV8101" t="s">
        <v>69</v>
      </c>
      <c r="AW8101" s="1">
        <v>28320</v>
      </c>
      <c r="AX8101">
        <v>1</v>
      </c>
    </row>
    <row r="8102" spans="1:50">
      <c r="B8102" t="str">
        <f>"124024867"</f>
        <v>124024867</v>
      </c>
      <c r="C8102" t="s">
        <v>50</v>
      </c>
      <c r="D8102" t="s">
        <v>12516</v>
      </c>
      <c r="E8102" t="s">
        <v>12517</v>
      </c>
      <c r="F8102" t="s">
        <v>153</v>
      </c>
      <c r="G8102" t="s">
        <v>215</v>
      </c>
      <c r="H8102" t="str">
        <f>"ΚΟΥΤΣΟΥΝΑΡΙ ΙΕΡΑΠΕΤΡΑ"</f>
        <v>ΚΟΥΤΣΟΥΝΑΡΙ ΙΕΡΑΠΕΤΡΑ</v>
      </c>
      <c r="I8102">
        <v>72200</v>
      </c>
      <c r="J8102">
        <v>2842061491</v>
      </c>
      <c r="K8102">
        <v>6973207144</v>
      </c>
      <c r="N8102" t="s">
        <v>615</v>
      </c>
      <c r="O8102" t="s">
        <v>616</v>
      </c>
      <c r="R8102" t="s">
        <v>159</v>
      </c>
      <c r="S8102">
        <v>3</v>
      </c>
      <c r="T8102" t="s">
        <v>8675</v>
      </c>
      <c r="U8102" s="1">
        <v>43348</v>
      </c>
      <c r="V8102" t="s">
        <v>5177</v>
      </c>
      <c r="W8102" t="s">
        <v>5178</v>
      </c>
      <c r="X8102" t="s">
        <v>58</v>
      </c>
      <c r="Y8102">
        <v>24</v>
      </c>
      <c r="Z8102" t="s">
        <v>59</v>
      </c>
      <c r="AA8102" t="s">
        <v>59</v>
      </c>
      <c r="AB8102" t="s">
        <v>59</v>
      </c>
      <c r="AC8102" t="s">
        <v>59</v>
      </c>
      <c r="AD8102" t="s">
        <v>59</v>
      </c>
      <c r="AF8102" s="1">
        <v>43348</v>
      </c>
      <c r="AG8102" t="s">
        <v>8645</v>
      </c>
      <c r="AH8102" t="s">
        <v>8646</v>
      </c>
      <c r="AI8102" t="str">
        <f>"9320163"</f>
        <v>9320163</v>
      </c>
      <c r="AJ8102" t="s">
        <v>12012</v>
      </c>
      <c r="AK8102">
        <v>2842024595</v>
      </c>
      <c r="AL8102" t="s">
        <v>12013</v>
      </c>
      <c r="AM8102" t="s">
        <v>4513</v>
      </c>
      <c r="AN8102" t="s">
        <v>4519</v>
      </c>
      <c r="AO8102" t="s">
        <v>4519</v>
      </c>
      <c r="AP8102" t="s">
        <v>4519</v>
      </c>
      <c r="AQ8102">
        <v>4</v>
      </c>
      <c r="AR8102" t="s">
        <v>5177</v>
      </c>
      <c r="AS8102" t="s">
        <v>5178</v>
      </c>
      <c r="AT8102" t="s">
        <v>58</v>
      </c>
      <c r="AU8102" t="s">
        <v>8673</v>
      </c>
      <c r="AV8102" t="s">
        <v>132</v>
      </c>
      <c r="AW8102" s="1">
        <v>32277</v>
      </c>
      <c r="AX8102">
        <v>1</v>
      </c>
    </row>
    <row r="8103" spans="1:50">
      <c r="A8103">
        <v>614326</v>
      </c>
      <c r="B8103" t="str">
        <f>"126303655"</f>
        <v>126303655</v>
      </c>
      <c r="C8103" t="s">
        <v>50</v>
      </c>
      <c r="D8103" t="s">
        <v>12518</v>
      </c>
      <c r="E8103" t="s">
        <v>215</v>
      </c>
      <c r="F8103" t="s">
        <v>53</v>
      </c>
      <c r="G8103" t="s">
        <v>52</v>
      </c>
      <c r="H8103" t="str">
        <f>"ΚΡΙΤΣΑ ΑΓΙΟΣ ΝΙΚΟΛΑΟΣ"</f>
        <v>ΚΡΙΤΣΑ ΑΓΙΟΣ ΝΙΚΟΛΑΟΣ</v>
      </c>
      <c r="I8103">
        <v>72051</v>
      </c>
      <c r="J8103">
        <v>2841051522</v>
      </c>
      <c r="K8103">
        <v>6944416672</v>
      </c>
      <c r="N8103" t="s">
        <v>615</v>
      </c>
      <c r="O8103" t="s">
        <v>616</v>
      </c>
      <c r="R8103" t="s">
        <v>57</v>
      </c>
      <c r="S8103">
        <v>5</v>
      </c>
      <c r="T8103">
        <v>598</v>
      </c>
      <c r="U8103" s="1">
        <v>39310</v>
      </c>
      <c r="V8103" t="s">
        <v>5177</v>
      </c>
      <c r="W8103" t="s">
        <v>5178</v>
      </c>
      <c r="X8103" t="s">
        <v>58</v>
      </c>
      <c r="Y8103">
        <v>23</v>
      </c>
      <c r="Z8103" t="s">
        <v>59</v>
      </c>
      <c r="AA8103" t="s">
        <v>59</v>
      </c>
      <c r="AB8103" t="s">
        <v>59</v>
      </c>
      <c r="AC8103" t="s">
        <v>59</v>
      </c>
      <c r="AD8103" t="s">
        <v>59</v>
      </c>
      <c r="AF8103" s="1">
        <v>39328</v>
      </c>
      <c r="AG8103" t="s">
        <v>8645</v>
      </c>
      <c r="AH8103" t="s">
        <v>8646</v>
      </c>
      <c r="AI8103" t="str">
        <f>"9320058"</f>
        <v>9320058</v>
      </c>
      <c r="AJ8103" t="s">
        <v>11893</v>
      </c>
      <c r="AK8103">
        <v>2841022496</v>
      </c>
      <c r="AL8103" t="s">
        <v>11894</v>
      </c>
      <c r="AM8103" t="s">
        <v>4513</v>
      </c>
      <c r="AN8103" t="s">
        <v>4514</v>
      </c>
      <c r="AO8103" t="s">
        <v>4514</v>
      </c>
      <c r="AP8103" t="s">
        <v>4514</v>
      </c>
      <c r="AQ8103">
        <v>1</v>
      </c>
      <c r="AR8103" t="s">
        <v>5177</v>
      </c>
      <c r="AS8103" t="s">
        <v>5178</v>
      </c>
      <c r="AT8103" t="s">
        <v>58</v>
      </c>
      <c r="AU8103" t="s">
        <v>68</v>
      </c>
      <c r="AV8103" t="s">
        <v>69</v>
      </c>
      <c r="AW8103" s="1">
        <v>30605</v>
      </c>
      <c r="AX8103">
        <v>1</v>
      </c>
    </row>
    <row r="8104" spans="1:50">
      <c r="A8104">
        <v>615293</v>
      </c>
      <c r="B8104" t="str">
        <f>"055445317"</f>
        <v>055445317</v>
      </c>
      <c r="C8104" t="s">
        <v>50</v>
      </c>
      <c r="D8104" t="s">
        <v>12518</v>
      </c>
      <c r="E8104" t="s">
        <v>188</v>
      </c>
      <c r="F8104" t="s">
        <v>95</v>
      </c>
      <c r="G8104" t="s">
        <v>823</v>
      </c>
      <c r="H8104" t="str">
        <f>"ΚΑΒΟΥΣΑ (ΚΡΙΤΣΑ) ΚΡΙΤΣΑ"</f>
        <v>ΚΑΒΟΥΣΑ (ΚΡΙΤΣΑ) ΚΡΙΤΣΑ</v>
      </c>
      <c r="I8104">
        <v>72051</v>
      </c>
      <c r="J8104">
        <v>2841051558</v>
      </c>
      <c r="K8104">
        <v>6936725820</v>
      </c>
      <c r="N8104" t="s">
        <v>1525</v>
      </c>
      <c r="O8104" t="s">
        <v>1526</v>
      </c>
      <c r="R8104" t="s">
        <v>57</v>
      </c>
      <c r="S8104">
        <v>9</v>
      </c>
      <c r="T8104">
        <v>598</v>
      </c>
      <c r="U8104" s="1">
        <v>39310</v>
      </c>
      <c r="V8104" t="s">
        <v>5177</v>
      </c>
      <c r="W8104" t="s">
        <v>5178</v>
      </c>
      <c r="X8104" t="s">
        <v>58</v>
      </c>
      <c r="Y8104">
        <v>25</v>
      </c>
      <c r="Z8104" t="s">
        <v>59</v>
      </c>
      <c r="AA8104" t="s">
        <v>59</v>
      </c>
      <c r="AB8104" t="s">
        <v>59</v>
      </c>
      <c r="AC8104" t="s">
        <v>59</v>
      </c>
      <c r="AD8104" t="s">
        <v>59</v>
      </c>
      <c r="AF8104" s="1">
        <v>39328</v>
      </c>
      <c r="AG8104" t="s">
        <v>8651</v>
      </c>
      <c r="AH8104" t="s">
        <v>8652</v>
      </c>
      <c r="AI8104" t="str">
        <f>"9320078"</f>
        <v>9320078</v>
      </c>
      <c r="AJ8104" t="s">
        <v>12340</v>
      </c>
      <c r="AK8104">
        <v>2841051225</v>
      </c>
      <c r="AL8104" t="s">
        <v>12341</v>
      </c>
      <c r="AM8104" t="s">
        <v>4513</v>
      </c>
      <c r="AN8104" t="s">
        <v>4514</v>
      </c>
      <c r="AO8104" t="s">
        <v>4514</v>
      </c>
      <c r="AP8104" t="s">
        <v>4757</v>
      </c>
      <c r="AQ8104">
        <v>2</v>
      </c>
      <c r="AR8104" t="s">
        <v>5177</v>
      </c>
      <c r="AS8104" t="s">
        <v>5178</v>
      </c>
      <c r="AT8104" t="s">
        <v>58</v>
      </c>
      <c r="AU8104" t="s">
        <v>68</v>
      </c>
      <c r="AV8104" t="s">
        <v>69</v>
      </c>
      <c r="AW8104" s="1">
        <v>26732</v>
      </c>
      <c r="AX8104">
        <v>1</v>
      </c>
    </row>
    <row r="8105" spans="1:50">
      <c r="A8105">
        <v>593555</v>
      </c>
      <c r="B8105" t="str">
        <f>"045737877"</f>
        <v>045737877</v>
      </c>
      <c r="C8105" t="s">
        <v>50</v>
      </c>
      <c r="D8105" t="s">
        <v>11375</v>
      </c>
      <c r="E8105" t="s">
        <v>237</v>
      </c>
      <c r="F8105" t="s">
        <v>111</v>
      </c>
      <c r="G8105" t="s">
        <v>52</v>
      </c>
      <c r="H8105" t="str">
        <f>"Γερολάκη 2  Σητεία"</f>
        <v>Γερολάκη 2  Σητεία</v>
      </c>
      <c r="I8105">
        <v>72300</v>
      </c>
      <c r="K8105">
        <v>6985655598</v>
      </c>
      <c r="N8105" t="s">
        <v>615</v>
      </c>
      <c r="O8105" t="s">
        <v>616</v>
      </c>
      <c r="R8105" t="s">
        <v>57</v>
      </c>
      <c r="S8105">
        <v>8</v>
      </c>
      <c r="T8105">
        <v>218</v>
      </c>
      <c r="U8105" s="1">
        <v>37134</v>
      </c>
      <c r="V8105" t="s">
        <v>5177</v>
      </c>
      <c r="W8105" t="s">
        <v>5178</v>
      </c>
      <c r="X8105" t="s">
        <v>58</v>
      </c>
      <c r="Y8105">
        <v>22</v>
      </c>
      <c r="Z8105" t="s">
        <v>59</v>
      </c>
      <c r="AA8105" t="s">
        <v>59</v>
      </c>
      <c r="AB8105" t="s">
        <v>59</v>
      </c>
      <c r="AC8105" t="s">
        <v>59</v>
      </c>
      <c r="AD8105" t="s">
        <v>59</v>
      </c>
      <c r="AF8105" s="1">
        <v>37137</v>
      </c>
      <c r="AG8105" t="s">
        <v>8645</v>
      </c>
      <c r="AH8105" t="s">
        <v>8646</v>
      </c>
      <c r="AI8105" t="str">
        <f>"9320093"</f>
        <v>9320093</v>
      </c>
      <c r="AJ8105" t="s">
        <v>11967</v>
      </c>
      <c r="AK8105">
        <v>2843025130</v>
      </c>
      <c r="AL8105" t="s">
        <v>11968</v>
      </c>
      <c r="AM8105" t="s">
        <v>4513</v>
      </c>
      <c r="AN8105" t="s">
        <v>4540</v>
      </c>
      <c r="AO8105" t="s">
        <v>4540</v>
      </c>
      <c r="AP8105" t="s">
        <v>4540</v>
      </c>
      <c r="AQ8105">
        <v>8</v>
      </c>
      <c r="AR8105" t="s">
        <v>5177</v>
      </c>
      <c r="AS8105" t="s">
        <v>5178</v>
      </c>
      <c r="AT8105" t="s">
        <v>58</v>
      </c>
      <c r="AU8105" t="s">
        <v>68</v>
      </c>
      <c r="AV8105" t="s">
        <v>2039</v>
      </c>
      <c r="AW8105" s="1">
        <v>25769</v>
      </c>
      <c r="AX8105">
        <v>1</v>
      </c>
    </row>
    <row r="8106" spans="1:50">
      <c r="A8106">
        <v>584182</v>
      </c>
      <c r="B8106" t="str">
        <f>"056785150"</f>
        <v>056785150</v>
      </c>
      <c r="C8106" t="s">
        <v>105</v>
      </c>
      <c r="D8106" t="s">
        <v>12519</v>
      </c>
      <c r="E8106" t="s">
        <v>166</v>
      </c>
      <c r="F8106" t="s">
        <v>459</v>
      </c>
      <c r="G8106" t="s">
        <v>143</v>
      </c>
      <c r="H8106" t="str">
        <f>"ΕΜΜ. ΛΑΜΠΡΑΚΗ 32 ΙΕΡΑΠΕΤΤΡΑ"</f>
        <v>ΕΜΜ. ΛΑΜΠΡΑΚΗ 32 ΙΕΡΑΠΕΤΤΡΑ</v>
      </c>
      <c r="I8106">
        <v>72200</v>
      </c>
      <c r="J8106">
        <v>2842023109</v>
      </c>
      <c r="N8106" t="s">
        <v>615</v>
      </c>
      <c r="O8106" t="s">
        <v>616</v>
      </c>
      <c r="R8106" t="s">
        <v>57</v>
      </c>
      <c r="S8106">
        <v>11</v>
      </c>
      <c r="T8106">
        <v>165</v>
      </c>
      <c r="U8106" s="1">
        <v>36040</v>
      </c>
      <c r="V8106" t="s">
        <v>5177</v>
      </c>
      <c r="W8106" t="s">
        <v>5178</v>
      </c>
      <c r="X8106" t="s">
        <v>58</v>
      </c>
      <c r="Y8106">
        <v>21</v>
      </c>
      <c r="Z8106" t="s">
        <v>59</v>
      </c>
      <c r="AA8106" t="s">
        <v>59</v>
      </c>
      <c r="AB8106" t="s">
        <v>59</v>
      </c>
      <c r="AC8106" t="s">
        <v>59</v>
      </c>
      <c r="AD8106" t="s">
        <v>59</v>
      </c>
      <c r="AF8106" s="1">
        <v>36045</v>
      </c>
      <c r="AG8106" t="s">
        <v>8645</v>
      </c>
      <c r="AH8106" t="s">
        <v>8646</v>
      </c>
      <c r="AI8106" t="str">
        <f>"9320006"</f>
        <v>9320006</v>
      </c>
      <c r="AJ8106" t="s">
        <v>11919</v>
      </c>
      <c r="AK8106">
        <v>2842022359</v>
      </c>
      <c r="AL8106" t="s">
        <v>11920</v>
      </c>
      <c r="AM8106" t="s">
        <v>4513</v>
      </c>
      <c r="AN8106" t="s">
        <v>4519</v>
      </c>
      <c r="AO8106" t="s">
        <v>4519</v>
      </c>
      <c r="AP8106" t="s">
        <v>4519</v>
      </c>
      <c r="AQ8106">
        <v>4</v>
      </c>
      <c r="AR8106" t="s">
        <v>5177</v>
      </c>
      <c r="AS8106" t="s">
        <v>5178</v>
      </c>
      <c r="AT8106" t="s">
        <v>58</v>
      </c>
      <c r="AU8106" t="s">
        <v>68</v>
      </c>
      <c r="AV8106" t="s">
        <v>69</v>
      </c>
      <c r="AW8106" s="1">
        <v>24867</v>
      </c>
      <c r="AX8106">
        <v>1</v>
      </c>
    </row>
    <row r="8107" spans="1:50">
      <c r="B8107" t="str">
        <f>"137081107"</f>
        <v>137081107</v>
      </c>
      <c r="C8107" t="s">
        <v>50</v>
      </c>
      <c r="D8107" t="s">
        <v>12520</v>
      </c>
      <c r="E8107" t="s">
        <v>460</v>
      </c>
      <c r="F8107" t="s">
        <v>95</v>
      </c>
      <c r="G8107" t="s">
        <v>484</v>
      </c>
      <c r="H8107" t="str">
        <f>"ΘΕΟΔΟΣΙΟΥ 2 "</f>
        <v xml:space="preserve">ΘΕΟΔΟΣΙΟΥ 2 </v>
      </c>
      <c r="I8107">
        <v>59100</v>
      </c>
      <c r="J8107">
        <v>2331028969</v>
      </c>
      <c r="K8107">
        <v>6944625400</v>
      </c>
      <c r="N8107" t="s">
        <v>1525</v>
      </c>
      <c r="O8107" t="s">
        <v>1526</v>
      </c>
      <c r="R8107" t="s">
        <v>159</v>
      </c>
      <c r="S8107">
        <v>1</v>
      </c>
      <c r="T8107" t="s">
        <v>8670</v>
      </c>
      <c r="U8107" s="1">
        <v>43348</v>
      </c>
      <c r="V8107" t="s">
        <v>5177</v>
      </c>
      <c r="W8107" t="s">
        <v>5178</v>
      </c>
      <c r="X8107" t="s">
        <v>58</v>
      </c>
      <c r="Y8107">
        <v>25</v>
      </c>
      <c r="Z8107" t="s">
        <v>59</v>
      </c>
      <c r="AA8107" t="s">
        <v>59</v>
      </c>
      <c r="AB8107" t="s">
        <v>59</v>
      </c>
      <c r="AC8107" t="s">
        <v>59</v>
      </c>
      <c r="AD8107" t="s">
        <v>59</v>
      </c>
      <c r="AF8107" s="1">
        <v>43348</v>
      </c>
      <c r="AG8107" t="s">
        <v>8651</v>
      </c>
      <c r="AH8107" t="s">
        <v>8652</v>
      </c>
      <c r="AI8107" t="str">
        <f>"9320141"</f>
        <v>9320141</v>
      </c>
      <c r="AJ8107" t="s">
        <v>12104</v>
      </c>
      <c r="AK8107">
        <v>2841041557</v>
      </c>
      <c r="AL8107" t="s">
        <v>12105</v>
      </c>
      <c r="AM8107" t="s">
        <v>4513</v>
      </c>
      <c r="AN8107" t="s">
        <v>4514</v>
      </c>
      <c r="AO8107" t="s">
        <v>4514</v>
      </c>
      <c r="AP8107" t="s">
        <v>12100</v>
      </c>
      <c r="AQ8107">
        <v>2</v>
      </c>
      <c r="AR8107" t="s">
        <v>5177</v>
      </c>
      <c r="AS8107" t="s">
        <v>5178</v>
      </c>
      <c r="AT8107" t="s">
        <v>58</v>
      </c>
      <c r="AU8107" t="s">
        <v>8673</v>
      </c>
      <c r="AV8107" t="s">
        <v>132</v>
      </c>
      <c r="AW8107" s="1">
        <v>31320</v>
      </c>
      <c r="AX8107">
        <v>1</v>
      </c>
    </row>
    <row r="8108" spans="1:50">
      <c r="B8108" t="str">
        <f>"157455021"</f>
        <v>157455021</v>
      </c>
      <c r="C8108" t="s">
        <v>50</v>
      </c>
      <c r="D8108" t="s">
        <v>12521</v>
      </c>
      <c r="E8108" t="s">
        <v>12522</v>
      </c>
      <c r="F8108" t="s">
        <v>53</v>
      </c>
      <c r="G8108" t="s">
        <v>181</v>
      </c>
      <c r="H8108" t="str">
        <f>" "</f>
        <v xml:space="preserve"> </v>
      </c>
      <c r="K8108">
        <v>6984501648</v>
      </c>
      <c r="N8108" t="s">
        <v>615</v>
      </c>
      <c r="O8108" t="s">
        <v>616</v>
      </c>
      <c r="R8108" t="s">
        <v>159</v>
      </c>
      <c r="S8108">
        <v>4</v>
      </c>
      <c r="T8108" t="s">
        <v>8675</v>
      </c>
      <c r="U8108" s="1">
        <v>43348</v>
      </c>
      <c r="V8108" t="s">
        <v>5177</v>
      </c>
      <c r="W8108" t="s">
        <v>5178</v>
      </c>
      <c r="X8108" t="s">
        <v>58</v>
      </c>
      <c r="Y8108">
        <v>24</v>
      </c>
      <c r="Z8108" t="s">
        <v>59</v>
      </c>
      <c r="AA8108" t="s">
        <v>59</v>
      </c>
      <c r="AB8108" t="s">
        <v>59</v>
      </c>
      <c r="AC8108" t="s">
        <v>59</v>
      </c>
      <c r="AD8108" t="s">
        <v>59</v>
      </c>
      <c r="AF8108" s="1">
        <v>43348</v>
      </c>
      <c r="AG8108" t="s">
        <v>8645</v>
      </c>
      <c r="AH8108" t="s">
        <v>8646</v>
      </c>
      <c r="AI8108" t="str">
        <f>"9320098"</f>
        <v>9320098</v>
      </c>
      <c r="AJ8108" t="s">
        <v>12053</v>
      </c>
      <c r="AK8108">
        <v>2843051475</v>
      </c>
      <c r="AL8108" t="s">
        <v>12054</v>
      </c>
      <c r="AM8108" t="s">
        <v>4513</v>
      </c>
      <c r="AN8108" t="s">
        <v>4519</v>
      </c>
      <c r="AO8108" t="s">
        <v>4766</v>
      </c>
      <c r="AP8108" t="s">
        <v>12055</v>
      </c>
      <c r="AQ8108">
        <v>6</v>
      </c>
      <c r="AR8108" t="s">
        <v>5177</v>
      </c>
      <c r="AS8108" t="s">
        <v>5178</v>
      </c>
      <c r="AT8108" t="s">
        <v>58</v>
      </c>
      <c r="AU8108" t="s">
        <v>8673</v>
      </c>
      <c r="AV8108" t="s">
        <v>132</v>
      </c>
      <c r="AW8108" s="1">
        <v>32532</v>
      </c>
      <c r="AX8108">
        <v>1</v>
      </c>
    </row>
    <row r="8109" spans="1:50">
      <c r="A8109">
        <v>221492</v>
      </c>
      <c r="B8109" t="str">
        <f>"049675420"</f>
        <v>049675420</v>
      </c>
      <c r="C8109" t="s">
        <v>50</v>
      </c>
      <c r="D8109" t="s">
        <v>12523</v>
      </c>
      <c r="E8109" t="s">
        <v>52</v>
      </c>
      <c r="F8109" t="s">
        <v>2227</v>
      </c>
      <c r="G8109" t="s">
        <v>215</v>
      </c>
      <c r="H8109" t="str">
        <f>"Ασπραδάκη 24 Σητείας"</f>
        <v>Ασπραδάκη 24 Σητείας</v>
      </c>
      <c r="I8109">
        <v>72300</v>
      </c>
      <c r="J8109">
        <v>2843024070</v>
      </c>
      <c r="N8109" t="s">
        <v>306</v>
      </c>
      <c r="O8109" t="s">
        <v>307</v>
      </c>
      <c r="R8109" t="s">
        <v>57</v>
      </c>
      <c r="S8109">
        <v>15</v>
      </c>
      <c r="T8109">
        <v>188</v>
      </c>
      <c r="U8109" s="1">
        <v>32752</v>
      </c>
      <c r="V8109" t="s">
        <v>5177</v>
      </c>
      <c r="W8109" t="s">
        <v>5178</v>
      </c>
      <c r="X8109" t="s">
        <v>58</v>
      </c>
      <c r="Y8109">
        <v>21</v>
      </c>
      <c r="Z8109" t="s">
        <v>59</v>
      </c>
      <c r="AA8109" t="s">
        <v>59</v>
      </c>
      <c r="AB8109" t="s">
        <v>59</v>
      </c>
      <c r="AC8109" t="s">
        <v>59</v>
      </c>
      <c r="AD8109" t="s">
        <v>59</v>
      </c>
      <c r="AF8109" s="1">
        <v>32756</v>
      </c>
      <c r="AG8109" t="s">
        <v>8645</v>
      </c>
      <c r="AH8109" t="s">
        <v>8646</v>
      </c>
      <c r="AI8109" t="str">
        <f>"9320093"</f>
        <v>9320093</v>
      </c>
      <c r="AJ8109" t="s">
        <v>11967</v>
      </c>
      <c r="AK8109">
        <v>2843025130</v>
      </c>
      <c r="AL8109" t="s">
        <v>11968</v>
      </c>
      <c r="AM8109" t="s">
        <v>4513</v>
      </c>
      <c r="AN8109" t="s">
        <v>4540</v>
      </c>
      <c r="AO8109" t="s">
        <v>4540</v>
      </c>
      <c r="AP8109" t="s">
        <v>4540</v>
      </c>
      <c r="AQ8109">
        <v>8</v>
      </c>
      <c r="AR8109" t="s">
        <v>5177</v>
      </c>
      <c r="AS8109" t="s">
        <v>5178</v>
      </c>
      <c r="AT8109" t="s">
        <v>58</v>
      </c>
      <c r="AU8109" t="s">
        <v>68</v>
      </c>
      <c r="AV8109" t="s">
        <v>69</v>
      </c>
      <c r="AW8109" s="1">
        <v>22848</v>
      </c>
      <c r="AX8109">
        <v>1</v>
      </c>
    </row>
    <row r="8110" spans="1:50">
      <c r="B8110" t="str">
        <f>"145070535"</f>
        <v>145070535</v>
      </c>
      <c r="C8110" t="s">
        <v>50</v>
      </c>
      <c r="D8110" t="s">
        <v>12524</v>
      </c>
      <c r="E8110" t="s">
        <v>114</v>
      </c>
      <c r="F8110" t="s">
        <v>99</v>
      </c>
      <c r="G8110" t="s">
        <v>52</v>
      </c>
      <c r="H8110" t="str">
        <f>"ΕΘΝΙΚΗΣ ΑΝΤΙΣΤΑΣΗΣ 11 "</f>
        <v xml:space="preserve">ΕΘΝΙΚΗΣ ΑΝΤΙΣΤΑΣΗΣ 11 </v>
      </c>
      <c r="I8110">
        <v>59100</v>
      </c>
      <c r="J8110">
        <v>2331066215</v>
      </c>
      <c r="K8110">
        <v>6945054324</v>
      </c>
      <c r="N8110" t="s">
        <v>615</v>
      </c>
      <c r="O8110" t="s">
        <v>616</v>
      </c>
      <c r="R8110" t="s">
        <v>159</v>
      </c>
      <c r="S8110">
        <v>3</v>
      </c>
      <c r="T8110" t="s">
        <v>8675</v>
      </c>
      <c r="U8110" s="1">
        <v>43348</v>
      </c>
      <c r="V8110" t="s">
        <v>5177</v>
      </c>
      <c r="W8110" t="s">
        <v>5178</v>
      </c>
      <c r="X8110" t="s">
        <v>58</v>
      </c>
      <c r="Y8110">
        <v>24</v>
      </c>
      <c r="Z8110" t="s">
        <v>59</v>
      </c>
      <c r="AA8110" t="s">
        <v>59</v>
      </c>
      <c r="AB8110" t="s">
        <v>59</v>
      </c>
      <c r="AC8110" t="s">
        <v>59</v>
      </c>
      <c r="AD8110" t="s">
        <v>59</v>
      </c>
      <c r="AF8110" s="1">
        <v>43348</v>
      </c>
      <c r="AG8110" t="s">
        <v>8645</v>
      </c>
      <c r="AH8110" t="s">
        <v>8646</v>
      </c>
      <c r="AI8110" t="str">
        <f>"9320132"</f>
        <v>9320132</v>
      </c>
      <c r="AJ8110" t="s">
        <v>12072</v>
      </c>
      <c r="AK8110">
        <v>2843094341</v>
      </c>
      <c r="AL8110" t="s">
        <v>12073</v>
      </c>
      <c r="AM8110" t="s">
        <v>4513</v>
      </c>
      <c r="AN8110" t="s">
        <v>4540</v>
      </c>
      <c r="AO8110" t="s">
        <v>4540</v>
      </c>
      <c r="AP8110" t="s">
        <v>12074</v>
      </c>
      <c r="AQ8110">
        <v>10</v>
      </c>
      <c r="AR8110" t="s">
        <v>5177</v>
      </c>
      <c r="AS8110" t="s">
        <v>5178</v>
      </c>
      <c r="AT8110" t="s">
        <v>58</v>
      </c>
      <c r="AU8110" t="s">
        <v>8673</v>
      </c>
      <c r="AV8110" t="s">
        <v>132</v>
      </c>
      <c r="AW8110" s="1">
        <v>32561</v>
      </c>
      <c r="AX8110">
        <v>1</v>
      </c>
    </row>
    <row r="8111" spans="1:50">
      <c r="A8111">
        <v>622086</v>
      </c>
      <c r="B8111" t="str">
        <f>"130289548"</f>
        <v>130289548</v>
      </c>
      <c r="C8111" t="s">
        <v>50</v>
      </c>
      <c r="D8111" t="s">
        <v>12525</v>
      </c>
      <c r="E8111" t="s">
        <v>316</v>
      </c>
      <c r="F8111" t="s">
        <v>581</v>
      </c>
      <c r="G8111" t="s">
        <v>620</v>
      </c>
      <c r="H8111" t="str">
        <f>"ΒΟΥΤΥΡΑ 2Α ΛΑΡΙΣΑ"</f>
        <v>ΒΟΥΤΥΡΑ 2Α ΛΑΡΙΣΑ</v>
      </c>
      <c r="I8111">
        <v>41221</v>
      </c>
      <c r="J8111">
        <v>2410550935</v>
      </c>
      <c r="K8111">
        <v>6957210424</v>
      </c>
      <c r="N8111" t="s">
        <v>615</v>
      </c>
      <c r="O8111" t="s">
        <v>616</v>
      </c>
      <c r="R8111" t="s">
        <v>57</v>
      </c>
      <c r="S8111">
        <v>5</v>
      </c>
      <c r="T8111">
        <v>653</v>
      </c>
      <c r="U8111" s="1">
        <v>40043</v>
      </c>
      <c r="V8111" t="s">
        <v>5177</v>
      </c>
      <c r="W8111" t="s">
        <v>5178</v>
      </c>
      <c r="X8111" t="s">
        <v>58</v>
      </c>
      <c r="Y8111">
        <v>23</v>
      </c>
      <c r="Z8111" t="s">
        <v>59</v>
      </c>
      <c r="AA8111" t="s">
        <v>59</v>
      </c>
      <c r="AB8111" t="s">
        <v>59</v>
      </c>
      <c r="AC8111" t="s">
        <v>59</v>
      </c>
      <c r="AD8111" t="s">
        <v>59</v>
      </c>
      <c r="AF8111" s="1">
        <v>40057</v>
      </c>
      <c r="AG8111" t="s">
        <v>8645</v>
      </c>
      <c r="AH8111" t="s">
        <v>8646</v>
      </c>
      <c r="AI8111" t="str">
        <f>"9320210"</f>
        <v>9320210</v>
      </c>
      <c r="AJ8111" t="s">
        <v>11890</v>
      </c>
      <c r="AK8111">
        <v>2841026705</v>
      </c>
      <c r="AL8111" t="s">
        <v>11891</v>
      </c>
      <c r="AM8111" t="s">
        <v>4513</v>
      </c>
      <c r="AN8111" t="s">
        <v>4514</v>
      </c>
      <c r="AO8111" t="s">
        <v>4514</v>
      </c>
      <c r="AP8111" t="s">
        <v>4514</v>
      </c>
      <c r="AQ8111">
        <v>1</v>
      </c>
      <c r="AR8111" t="s">
        <v>5177</v>
      </c>
      <c r="AS8111" t="s">
        <v>5178</v>
      </c>
      <c r="AT8111" t="s">
        <v>58</v>
      </c>
      <c r="AU8111" t="s">
        <v>68</v>
      </c>
      <c r="AV8111" t="s">
        <v>69</v>
      </c>
      <c r="AW8111" s="1">
        <v>31400</v>
      </c>
      <c r="AX8111">
        <v>1</v>
      </c>
    </row>
    <row r="8112" spans="1:50">
      <c r="A8112">
        <v>587899</v>
      </c>
      <c r="B8112" t="str">
        <f>"110362570"</f>
        <v>110362570</v>
      </c>
      <c r="C8112" t="s">
        <v>50</v>
      </c>
      <c r="D8112" t="s">
        <v>3744</v>
      </c>
      <c r="E8112" t="s">
        <v>922</v>
      </c>
      <c r="F8112" t="s">
        <v>108</v>
      </c>
      <c r="G8112" t="s">
        <v>2088</v>
      </c>
      <c r="H8112" t="str">
        <f>" ΠΑΛΑΙΚΑΣΤΡΟ"</f>
        <v xml:space="preserve"> ΠΑΛΑΙΚΑΣΤΡΟ</v>
      </c>
      <c r="I8112">
        <v>72300</v>
      </c>
      <c r="J8112">
        <v>2843061170</v>
      </c>
      <c r="K8112">
        <v>6937237325</v>
      </c>
      <c r="N8112" t="s">
        <v>615</v>
      </c>
      <c r="O8112" t="s">
        <v>616</v>
      </c>
      <c r="R8112" t="s">
        <v>57</v>
      </c>
      <c r="S8112">
        <v>9</v>
      </c>
      <c r="T8112">
        <v>250</v>
      </c>
      <c r="U8112" s="1">
        <v>36160</v>
      </c>
      <c r="V8112" t="s">
        <v>5177</v>
      </c>
      <c r="W8112" t="s">
        <v>5178</v>
      </c>
      <c r="X8112" t="s">
        <v>58</v>
      </c>
      <c r="Y8112">
        <v>21</v>
      </c>
      <c r="Z8112" t="s">
        <v>59</v>
      </c>
      <c r="AA8112" t="s">
        <v>59</v>
      </c>
      <c r="AB8112" t="s">
        <v>59</v>
      </c>
      <c r="AC8112" t="s">
        <v>59</v>
      </c>
      <c r="AD8112" t="s">
        <v>59</v>
      </c>
      <c r="AF8112" s="1">
        <v>36168</v>
      </c>
      <c r="AG8112" t="s">
        <v>8645</v>
      </c>
      <c r="AH8112" t="s">
        <v>8646</v>
      </c>
      <c r="AI8112" t="str">
        <f>"9320093"</f>
        <v>9320093</v>
      </c>
      <c r="AJ8112" t="s">
        <v>11967</v>
      </c>
      <c r="AK8112">
        <v>2843025130</v>
      </c>
      <c r="AL8112" t="s">
        <v>11968</v>
      </c>
      <c r="AM8112" t="s">
        <v>4513</v>
      </c>
      <c r="AN8112" t="s">
        <v>4540</v>
      </c>
      <c r="AO8112" t="s">
        <v>4540</v>
      </c>
      <c r="AP8112" t="s">
        <v>4540</v>
      </c>
      <c r="AQ8112">
        <v>8</v>
      </c>
      <c r="AR8112" t="s">
        <v>5177</v>
      </c>
      <c r="AS8112" t="s">
        <v>5178</v>
      </c>
      <c r="AT8112" t="s">
        <v>58</v>
      </c>
      <c r="AU8112" t="s">
        <v>68</v>
      </c>
      <c r="AV8112" t="s">
        <v>69</v>
      </c>
      <c r="AW8112" s="1">
        <v>26173</v>
      </c>
      <c r="AX8112">
        <v>1</v>
      </c>
    </row>
    <row r="8113" spans="1:50">
      <c r="A8113">
        <v>597026</v>
      </c>
      <c r="B8113" t="str">
        <f>"110309235"</f>
        <v>110309235</v>
      </c>
      <c r="C8113" t="s">
        <v>50</v>
      </c>
      <c r="D8113" t="s">
        <v>3747</v>
      </c>
      <c r="E8113" t="s">
        <v>52</v>
      </c>
      <c r="F8113" t="s">
        <v>459</v>
      </c>
      <c r="G8113" t="s">
        <v>263</v>
      </c>
      <c r="H8113" t="str">
        <f>"ΑΓΙΟΣ ΓΕΩΡΓΙΟΣ ΟΡΟΠΕΔΙΟΥ ΛΑΣΙΘΙΟΥ ΟΡΟΠΕΔΙΟ ΛΑΣΙΘΙΟΥ"</f>
        <v>ΑΓΙΟΣ ΓΕΩΡΓΙΟΣ ΟΡΟΠΕΔΙΟΥ ΛΑΣΙΘΙΟΥ ΟΡΟΠΕΔΙΟ ΛΑΣΙΘΙΟΥ</v>
      </c>
      <c r="I8113">
        <v>72052</v>
      </c>
      <c r="J8113">
        <v>2841031446</v>
      </c>
      <c r="K8113">
        <v>6977934922</v>
      </c>
      <c r="N8113" t="s">
        <v>1525</v>
      </c>
      <c r="O8113" t="s">
        <v>1526</v>
      </c>
      <c r="R8113" t="s">
        <v>57</v>
      </c>
      <c r="S8113">
        <v>8</v>
      </c>
      <c r="T8113" t="s">
        <v>8688</v>
      </c>
      <c r="U8113" s="1">
        <v>37501</v>
      </c>
      <c r="V8113" t="s">
        <v>5177</v>
      </c>
      <c r="W8113" t="s">
        <v>5178</v>
      </c>
      <c r="X8113" t="s">
        <v>58</v>
      </c>
      <c r="Y8113">
        <v>25</v>
      </c>
      <c r="Z8113" t="s">
        <v>59</v>
      </c>
      <c r="AA8113" t="s">
        <v>59</v>
      </c>
      <c r="AB8113" t="s">
        <v>59</v>
      </c>
      <c r="AC8113" t="s">
        <v>59</v>
      </c>
      <c r="AD8113" t="s">
        <v>59</v>
      </c>
      <c r="AF8113" s="1">
        <v>37501</v>
      </c>
      <c r="AG8113" t="s">
        <v>8651</v>
      </c>
      <c r="AH8113" t="s">
        <v>8652</v>
      </c>
      <c r="AI8113" t="str">
        <f>"9320041"</f>
        <v>9320041</v>
      </c>
      <c r="AJ8113" t="s">
        <v>12398</v>
      </c>
      <c r="AK8113">
        <v>2844031900</v>
      </c>
      <c r="AL8113" t="s">
        <v>12399</v>
      </c>
      <c r="AM8113" t="s">
        <v>4513</v>
      </c>
      <c r="AN8113" t="s">
        <v>4592</v>
      </c>
      <c r="AO8113" t="s">
        <v>4592</v>
      </c>
      <c r="AP8113" t="s">
        <v>11944</v>
      </c>
      <c r="AQ8113">
        <v>3</v>
      </c>
      <c r="AR8113" t="s">
        <v>5177</v>
      </c>
      <c r="AS8113" t="s">
        <v>5178</v>
      </c>
      <c r="AT8113" t="s">
        <v>58</v>
      </c>
      <c r="AU8113" t="s">
        <v>68</v>
      </c>
      <c r="AV8113" t="s">
        <v>69</v>
      </c>
      <c r="AW8113" s="1">
        <v>27093</v>
      </c>
      <c r="AX8113">
        <v>1</v>
      </c>
    </row>
    <row r="8114" spans="1:50">
      <c r="B8114" t="str">
        <f>"149066680"</f>
        <v>149066680</v>
      </c>
      <c r="C8114" t="s">
        <v>105</v>
      </c>
      <c r="D8114" t="s">
        <v>12526</v>
      </c>
      <c r="E8114" t="s">
        <v>95</v>
      </c>
      <c r="F8114" t="s">
        <v>564</v>
      </c>
      <c r="G8114" t="s">
        <v>215</v>
      </c>
      <c r="H8114" t="str">
        <f>" "</f>
        <v xml:space="preserve"> </v>
      </c>
      <c r="N8114" t="s">
        <v>384</v>
      </c>
      <c r="O8114" t="s">
        <v>385</v>
      </c>
      <c r="R8114" t="s">
        <v>121</v>
      </c>
      <c r="S8114">
        <v>1</v>
      </c>
      <c r="T8114" t="s">
        <v>8675</v>
      </c>
      <c r="U8114" s="1">
        <v>43348</v>
      </c>
      <c r="V8114" t="s">
        <v>5177</v>
      </c>
      <c r="W8114" t="s">
        <v>5178</v>
      </c>
      <c r="X8114" t="s">
        <v>58</v>
      </c>
      <c r="Y8114">
        <v>24</v>
      </c>
      <c r="Z8114" t="s">
        <v>59</v>
      </c>
      <c r="AA8114" t="s">
        <v>59</v>
      </c>
      <c r="AB8114" t="s">
        <v>59</v>
      </c>
      <c r="AD8114" t="s">
        <v>59</v>
      </c>
      <c r="AF8114" s="1">
        <v>43348</v>
      </c>
      <c r="AG8114" t="s">
        <v>8645</v>
      </c>
      <c r="AH8114" t="s">
        <v>8646</v>
      </c>
      <c r="AI8114" t="str">
        <f>"9520629"</f>
        <v>9520629</v>
      </c>
      <c r="AJ8114" t="s">
        <v>11976</v>
      </c>
      <c r="AK8114">
        <v>2843026678</v>
      </c>
      <c r="AL8114" t="s">
        <v>11977</v>
      </c>
      <c r="AM8114" t="s">
        <v>4513</v>
      </c>
      <c r="AN8114" t="s">
        <v>4540</v>
      </c>
      <c r="AO8114" t="s">
        <v>4540</v>
      </c>
      <c r="AP8114" t="s">
        <v>4540</v>
      </c>
      <c r="AQ8114">
        <v>8</v>
      </c>
      <c r="AR8114" t="s">
        <v>5177</v>
      </c>
      <c r="AS8114" t="s">
        <v>5178</v>
      </c>
      <c r="AT8114" t="s">
        <v>58</v>
      </c>
      <c r="AU8114" t="s">
        <v>8673</v>
      </c>
      <c r="AV8114" t="s">
        <v>132</v>
      </c>
      <c r="AW8114" s="1">
        <v>32910</v>
      </c>
      <c r="AX8114">
        <v>1</v>
      </c>
    </row>
    <row r="8115" spans="1:50">
      <c r="B8115" t="str">
        <f>"149603741"</f>
        <v>149603741</v>
      </c>
      <c r="C8115" t="s">
        <v>50</v>
      </c>
      <c r="D8115" t="s">
        <v>3769</v>
      </c>
      <c r="E8115" t="s">
        <v>476</v>
      </c>
      <c r="F8115" t="s">
        <v>166</v>
      </c>
      <c r="G8115" t="s">
        <v>372</v>
      </c>
      <c r="H8115" t="str">
        <f>" "</f>
        <v xml:space="preserve"> </v>
      </c>
      <c r="N8115" t="s">
        <v>9829</v>
      </c>
      <c r="O8115" t="s">
        <v>9830</v>
      </c>
      <c r="R8115" t="s">
        <v>121</v>
      </c>
      <c r="S8115">
        <v>3</v>
      </c>
      <c r="T8115" t="s">
        <v>8835</v>
      </c>
      <c r="U8115" s="1">
        <v>43348</v>
      </c>
      <c r="V8115" t="s">
        <v>5177</v>
      </c>
      <c r="W8115" t="s">
        <v>5178</v>
      </c>
      <c r="X8115" t="s">
        <v>58</v>
      </c>
      <c r="Y8115">
        <v>25</v>
      </c>
      <c r="Z8115" t="s">
        <v>59</v>
      </c>
      <c r="AA8115" t="s">
        <v>59</v>
      </c>
      <c r="AB8115" t="s">
        <v>59</v>
      </c>
      <c r="AD8115" t="s">
        <v>59</v>
      </c>
      <c r="AF8115" s="1">
        <v>43348</v>
      </c>
      <c r="AG8115" t="s">
        <v>8651</v>
      </c>
      <c r="AH8115" t="s">
        <v>8652</v>
      </c>
      <c r="AI8115" t="str">
        <f>"9320141"</f>
        <v>9320141</v>
      </c>
      <c r="AJ8115" t="s">
        <v>12104</v>
      </c>
      <c r="AK8115">
        <v>2841041557</v>
      </c>
      <c r="AL8115" t="s">
        <v>12105</v>
      </c>
      <c r="AM8115" t="s">
        <v>4513</v>
      </c>
      <c r="AN8115" t="s">
        <v>4514</v>
      </c>
      <c r="AO8115" t="s">
        <v>4514</v>
      </c>
      <c r="AP8115" t="s">
        <v>12100</v>
      </c>
      <c r="AQ8115">
        <v>2</v>
      </c>
      <c r="AR8115" t="s">
        <v>5177</v>
      </c>
      <c r="AS8115" t="s">
        <v>5178</v>
      </c>
      <c r="AT8115" t="s">
        <v>58</v>
      </c>
      <c r="AU8115" t="s">
        <v>131</v>
      </c>
      <c r="AV8115" t="s">
        <v>132</v>
      </c>
      <c r="AW8115" s="1">
        <v>33377</v>
      </c>
      <c r="AX8115">
        <v>1</v>
      </c>
    </row>
    <row r="8116" spans="1:50">
      <c r="A8116">
        <v>579896</v>
      </c>
      <c r="B8116" t="str">
        <f>"037372534"</f>
        <v>037372534</v>
      </c>
      <c r="C8116" t="s">
        <v>50</v>
      </c>
      <c r="D8116" t="s">
        <v>3786</v>
      </c>
      <c r="E8116" t="s">
        <v>3604</v>
      </c>
      <c r="F8116" t="s">
        <v>95</v>
      </c>
      <c r="G8116" t="s">
        <v>255</v>
      </c>
      <c r="H8116" t="str">
        <f>"ΕΠΙΣΚΟΠΗ ΙΕΡΑΠΕΤΡΑ"</f>
        <v>ΕΠΙΣΚΟΠΗ ΙΕΡΑΠΕΤΡΑ</v>
      </c>
      <c r="I8116">
        <v>72200</v>
      </c>
      <c r="J8116">
        <v>2842031167</v>
      </c>
      <c r="N8116" t="s">
        <v>1525</v>
      </c>
      <c r="O8116" t="s">
        <v>1526</v>
      </c>
      <c r="R8116" t="s">
        <v>57</v>
      </c>
      <c r="S8116">
        <v>13</v>
      </c>
      <c r="T8116">
        <v>165</v>
      </c>
      <c r="U8116" s="1">
        <v>35300</v>
      </c>
      <c r="V8116" t="s">
        <v>5177</v>
      </c>
      <c r="W8116" t="s">
        <v>5178</v>
      </c>
      <c r="X8116" t="s">
        <v>58</v>
      </c>
      <c r="Y8116">
        <v>25</v>
      </c>
      <c r="Z8116" t="s">
        <v>59</v>
      </c>
      <c r="AA8116" t="s">
        <v>59</v>
      </c>
      <c r="AB8116" t="s">
        <v>59</v>
      </c>
      <c r="AC8116" t="s">
        <v>59</v>
      </c>
      <c r="AD8116" t="s">
        <v>59</v>
      </c>
      <c r="AF8116" s="1">
        <v>35310</v>
      </c>
      <c r="AG8116" t="s">
        <v>8651</v>
      </c>
      <c r="AH8116" t="s">
        <v>8652</v>
      </c>
      <c r="AI8116" t="str">
        <f>"9320211"</f>
        <v>9320211</v>
      </c>
      <c r="AJ8116" t="s">
        <v>11965</v>
      </c>
      <c r="AK8116">
        <v>2842024333</v>
      </c>
      <c r="AL8116" t="s">
        <v>11966</v>
      </c>
      <c r="AM8116" t="s">
        <v>4513</v>
      </c>
      <c r="AN8116" t="s">
        <v>4519</v>
      </c>
      <c r="AO8116" t="s">
        <v>4519</v>
      </c>
      <c r="AP8116" t="s">
        <v>4519</v>
      </c>
      <c r="AQ8116">
        <v>4</v>
      </c>
      <c r="AR8116" t="s">
        <v>5177</v>
      </c>
      <c r="AS8116" t="s">
        <v>5178</v>
      </c>
      <c r="AT8116" t="s">
        <v>58</v>
      </c>
      <c r="AU8116" t="s">
        <v>68</v>
      </c>
      <c r="AV8116" t="s">
        <v>69</v>
      </c>
      <c r="AW8116" s="1">
        <v>24131</v>
      </c>
      <c r="AX8116">
        <v>1</v>
      </c>
    </row>
    <row r="8117" spans="1:50">
      <c r="A8117">
        <v>703798</v>
      </c>
      <c r="B8117" t="str">
        <f>"067147618"</f>
        <v>067147618</v>
      </c>
      <c r="C8117" t="s">
        <v>50</v>
      </c>
      <c r="D8117" t="s">
        <v>12527</v>
      </c>
      <c r="E8117" t="s">
        <v>83</v>
      </c>
      <c r="F8117" t="s">
        <v>202</v>
      </c>
      <c r="G8117" t="s">
        <v>2945</v>
      </c>
      <c r="H8117" t="str">
        <f>"ΑΣΠΡΑΔΑΚΗ 12 ΣΗΤΕΙΑ"</f>
        <v>ΑΣΠΡΑΔΑΚΗ 12 ΣΗΤΕΙΑ</v>
      </c>
      <c r="I8117">
        <v>72300</v>
      </c>
      <c r="J8117">
        <v>2843025182</v>
      </c>
      <c r="K8117">
        <v>6973666116</v>
      </c>
      <c r="N8117" t="s">
        <v>1525</v>
      </c>
      <c r="O8117" t="s">
        <v>1526</v>
      </c>
      <c r="R8117" t="s">
        <v>57</v>
      </c>
      <c r="S8117">
        <v>7</v>
      </c>
      <c r="T8117">
        <v>224</v>
      </c>
      <c r="U8117" s="1">
        <v>41695</v>
      </c>
      <c r="V8117" t="s">
        <v>5177</v>
      </c>
      <c r="W8117" t="s">
        <v>5178</v>
      </c>
      <c r="X8117" t="s">
        <v>58</v>
      </c>
      <c r="Y8117">
        <v>25</v>
      </c>
      <c r="Z8117" t="s">
        <v>59</v>
      </c>
      <c r="AA8117" t="s">
        <v>59</v>
      </c>
      <c r="AB8117" t="s">
        <v>59</v>
      </c>
      <c r="AC8117" t="s">
        <v>59</v>
      </c>
      <c r="AD8117" t="s">
        <v>59</v>
      </c>
      <c r="AF8117" s="1">
        <v>41695</v>
      </c>
      <c r="AG8117" t="s">
        <v>8651</v>
      </c>
      <c r="AH8117" t="s">
        <v>8652</v>
      </c>
      <c r="AI8117" t="str">
        <f>"9320224"</f>
        <v>9320224</v>
      </c>
      <c r="AJ8117" t="s">
        <v>12269</v>
      </c>
      <c r="AK8117">
        <v>2843022656</v>
      </c>
      <c r="AL8117" t="s">
        <v>12270</v>
      </c>
      <c r="AM8117" t="s">
        <v>4513</v>
      </c>
      <c r="AN8117" t="s">
        <v>4540</v>
      </c>
      <c r="AO8117" t="s">
        <v>4540</v>
      </c>
      <c r="AP8117" t="s">
        <v>4540</v>
      </c>
      <c r="AQ8117">
        <v>8</v>
      </c>
      <c r="AR8117" t="s">
        <v>5177</v>
      </c>
      <c r="AS8117" t="s">
        <v>5178</v>
      </c>
      <c r="AT8117" t="s">
        <v>58</v>
      </c>
      <c r="AU8117" t="s">
        <v>68</v>
      </c>
      <c r="AV8117" t="s">
        <v>69</v>
      </c>
      <c r="AW8117" s="1">
        <v>28491</v>
      </c>
      <c r="AX8117">
        <v>1</v>
      </c>
    </row>
    <row r="8118" spans="1:50">
      <c r="B8118" t="str">
        <f>"126307795"</f>
        <v>126307795</v>
      </c>
      <c r="C8118" t="s">
        <v>50</v>
      </c>
      <c r="D8118" t="s">
        <v>12528</v>
      </c>
      <c r="E8118" t="s">
        <v>513</v>
      </c>
      <c r="F8118" t="s">
        <v>95</v>
      </c>
      <c r="G8118" t="s">
        <v>143</v>
      </c>
      <c r="H8118" t="str">
        <f>"ΠΑΠΑΝΔΡΕΟΥ 67 "</f>
        <v xml:space="preserve">ΠΑΠΑΝΔΡΕΟΥ 67 </v>
      </c>
      <c r="I8118">
        <v>72100</v>
      </c>
      <c r="J8118">
        <v>2841023398</v>
      </c>
      <c r="K8118">
        <v>6979919695</v>
      </c>
      <c r="N8118" t="s">
        <v>1525</v>
      </c>
      <c r="O8118" t="s">
        <v>1526</v>
      </c>
      <c r="R8118" t="s">
        <v>159</v>
      </c>
      <c r="S8118">
        <v>3</v>
      </c>
      <c r="T8118" t="s">
        <v>8670</v>
      </c>
      <c r="U8118" s="1">
        <v>43348</v>
      </c>
      <c r="V8118" t="s">
        <v>5177</v>
      </c>
      <c r="W8118" t="s">
        <v>5178</v>
      </c>
      <c r="X8118" t="s">
        <v>58</v>
      </c>
      <c r="Y8118">
        <v>25</v>
      </c>
      <c r="Z8118" t="s">
        <v>59</v>
      </c>
      <c r="AA8118" t="s">
        <v>59</v>
      </c>
      <c r="AB8118" t="s">
        <v>59</v>
      </c>
      <c r="AC8118" t="s">
        <v>59</v>
      </c>
      <c r="AD8118" t="s">
        <v>59</v>
      </c>
      <c r="AF8118" s="1">
        <v>43348</v>
      </c>
      <c r="AG8118" t="s">
        <v>8651</v>
      </c>
      <c r="AH8118" t="s">
        <v>8652</v>
      </c>
      <c r="AI8118" t="str">
        <f>"9320139"</f>
        <v>9320139</v>
      </c>
      <c r="AJ8118" t="s">
        <v>12196</v>
      </c>
      <c r="AK8118">
        <v>2841024219</v>
      </c>
      <c r="AL8118" t="s">
        <v>12197</v>
      </c>
      <c r="AM8118" t="s">
        <v>4513</v>
      </c>
      <c r="AN8118" t="s">
        <v>4514</v>
      </c>
      <c r="AO8118" t="s">
        <v>4514</v>
      </c>
      <c r="AP8118" t="s">
        <v>4514</v>
      </c>
      <c r="AQ8118">
        <v>1</v>
      </c>
      <c r="AR8118" t="s">
        <v>5177</v>
      </c>
      <c r="AS8118" t="s">
        <v>5178</v>
      </c>
      <c r="AT8118" t="s">
        <v>58</v>
      </c>
      <c r="AU8118" t="s">
        <v>8673</v>
      </c>
      <c r="AV8118" t="s">
        <v>132</v>
      </c>
      <c r="AW8118" s="1">
        <v>30590</v>
      </c>
      <c r="AX8118">
        <v>1</v>
      </c>
    </row>
    <row r="8119" spans="1:50">
      <c r="B8119" t="str">
        <f>"124043114"</f>
        <v>124043114</v>
      </c>
      <c r="C8119" t="s">
        <v>50</v>
      </c>
      <c r="D8119" t="s">
        <v>3788</v>
      </c>
      <c r="E8119" t="s">
        <v>52</v>
      </c>
      <c r="F8119" t="s">
        <v>106</v>
      </c>
      <c r="G8119" t="s">
        <v>237</v>
      </c>
      <c r="H8119" t="str">
        <f>"Ι.ΔΑΣΚΑΛΟΓΙΑΝΝΗ ΙΕΡΑΠΕΤΡΑ"</f>
        <v>Ι.ΔΑΣΚΑΛΟΓΙΑΝΝΗ ΙΕΡΑΠΕΤΡΑ</v>
      </c>
      <c r="I8119">
        <v>72200</v>
      </c>
      <c r="J8119">
        <v>2842080162</v>
      </c>
      <c r="K8119">
        <v>6936743384</v>
      </c>
      <c r="N8119" t="s">
        <v>1525</v>
      </c>
      <c r="O8119" t="s">
        <v>1526</v>
      </c>
      <c r="R8119" t="s">
        <v>159</v>
      </c>
      <c r="S8119">
        <v>3</v>
      </c>
      <c r="T8119" t="s">
        <v>8670</v>
      </c>
      <c r="U8119" s="1">
        <v>43348</v>
      </c>
      <c r="V8119" t="s">
        <v>5177</v>
      </c>
      <c r="W8119" t="s">
        <v>5178</v>
      </c>
      <c r="X8119" t="s">
        <v>58</v>
      </c>
      <c r="Y8119">
        <v>25</v>
      </c>
      <c r="Z8119" t="s">
        <v>59</v>
      </c>
      <c r="AA8119" t="s">
        <v>59</v>
      </c>
      <c r="AB8119" t="s">
        <v>59</v>
      </c>
      <c r="AC8119" t="s">
        <v>59</v>
      </c>
      <c r="AD8119" t="s">
        <v>59</v>
      </c>
      <c r="AF8119" s="1">
        <v>43348</v>
      </c>
      <c r="AG8119" t="s">
        <v>8651</v>
      </c>
      <c r="AH8119" t="s">
        <v>8652</v>
      </c>
      <c r="AI8119" t="str">
        <f>"9320211"</f>
        <v>9320211</v>
      </c>
      <c r="AJ8119" t="s">
        <v>11965</v>
      </c>
      <c r="AK8119">
        <v>2842024333</v>
      </c>
      <c r="AL8119" t="s">
        <v>11966</v>
      </c>
      <c r="AM8119" t="s">
        <v>4513</v>
      </c>
      <c r="AN8119" t="s">
        <v>4519</v>
      </c>
      <c r="AO8119" t="s">
        <v>4519</v>
      </c>
      <c r="AP8119" t="s">
        <v>4519</v>
      </c>
      <c r="AQ8119">
        <v>4</v>
      </c>
      <c r="AR8119" t="s">
        <v>5177</v>
      </c>
      <c r="AS8119" t="s">
        <v>5178</v>
      </c>
      <c r="AT8119" t="s">
        <v>58</v>
      </c>
      <c r="AU8119" t="s">
        <v>8673</v>
      </c>
      <c r="AV8119" t="s">
        <v>132</v>
      </c>
      <c r="AW8119" s="1">
        <v>29603</v>
      </c>
      <c r="AX8119">
        <v>1</v>
      </c>
    </row>
    <row r="8120" spans="1:50">
      <c r="A8120">
        <v>572118</v>
      </c>
      <c r="B8120" t="str">
        <f>"110271996"</f>
        <v>110271996</v>
      </c>
      <c r="C8120" t="s">
        <v>50</v>
      </c>
      <c r="D8120" t="s">
        <v>12529</v>
      </c>
      <c r="E8120" t="s">
        <v>215</v>
      </c>
      <c r="F8120" t="s">
        <v>72</v>
      </c>
      <c r="G8120" t="s">
        <v>52</v>
      </c>
      <c r="H8120" t="str">
        <f>"ΝΕΑΡΧΟΥ 28 ΙΕΡΑΠΕΤΡΑ"</f>
        <v>ΝΕΑΡΧΟΥ 28 ΙΕΡΑΠΕΤΡΑ</v>
      </c>
      <c r="I8120">
        <v>72200</v>
      </c>
      <c r="J8120">
        <v>2842024895</v>
      </c>
      <c r="K8120">
        <v>6988250911</v>
      </c>
      <c r="N8120" t="s">
        <v>306</v>
      </c>
      <c r="O8120" t="s">
        <v>307</v>
      </c>
      <c r="R8120" t="s">
        <v>57</v>
      </c>
      <c r="S8120">
        <v>12</v>
      </c>
      <c r="T8120">
        <v>154</v>
      </c>
      <c r="U8120" s="1">
        <v>34225</v>
      </c>
      <c r="V8120" t="s">
        <v>5177</v>
      </c>
      <c r="W8120" t="s">
        <v>5178</v>
      </c>
      <c r="X8120" t="s">
        <v>58</v>
      </c>
      <c r="Y8120">
        <v>21</v>
      </c>
      <c r="Z8120" t="s">
        <v>59</v>
      </c>
      <c r="AA8120" t="s">
        <v>59</v>
      </c>
      <c r="AB8120" t="s">
        <v>59</v>
      </c>
      <c r="AC8120" t="s">
        <v>59</v>
      </c>
      <c r="AD8120" t="s">
        <v>59</v>
      </c>
      <c r="AF8120" s="1">
        <v>34228</v>
      </c>
      <c r="AG8120" t="s">
        <v>8645</v>
      </c>
      <c r="AH8120" t="s">
        <v>8646</v>
      </c>
      <c r="AI8120" t="str">
        <f>"9320163"</f>
        <v>9320163</v>
      </c>
      <c r="AJ8120" t="s">
        <v>12012</v>
      </c>
      <c r="AK8120">
        <v>2842024595</v>
      </c>
      <c r="AL8120" t="s">
        <v>12013</v>
      </c>
      <c r="AM8120" t="s">
        <v>4513</v>
      </c>
      <c r="AN8120" t="s">
        <v>4519</v>
      </c>
      <c r="AO8120" t="s">
        <v>4519</v>
      </c>
      <c r="AP8120" t="s">
        <v>4519</v>
      </c>
      <c r="AQ8120">
        <v>4</v>
      </c>
      <c r="AR8120" t="s">
        <v>5177</v>
      </c>
      <c r="AS8120" t="s">
        <v>5178</v>
      </c>
      <c r="AT8120" t="s">
        <v>58</v>
      </c>
      <c r="AU8120" t="s">
        <v>68</v>
      </c>
      <c r="AV8120" t="s">
        <v>69</v>
      </c>
      <c r="AW8120" s="1">
        <v>20650</v>
      </c>
      <c r="AX8120">
        <v>1</v>
      </c>
    </row>
    <row r="8121" spans="1:50">
      <c r="A8121">
        <v>616492</v>
      </c>
      <c r="B8121" t="str">
        <f>"132462818"</f>
        <v>132462818</v>
      </c>
      <c r="C8121" t="s">
        <v>50</v>
      </c>
      <c r="D8121" t="s">
        <v>12530</v>
      </c>
      <c r="E8121" t="s">
        <v>1157</v>
      </c>
      <c r="F8121" t="s">
        <v>12531</v>
      </c>
      <c r="G8121" t="s">
        <v>238</v>
      </c>
      <c r="H8121" t="str">
        <f>"ΡΟΥΣΑ ΛΙΜΝΗ ΛΑΣΙΘΙ"</f>
        <v>ΡΟΥΣΑ ΛΙΜΝΗ ΛΑΣΙΘΙ</v>
      </c>
      <c r="I8121">
        <v>72100</v>
      </c>
      <c r="J8121">
        <v>2841025882</v>
      </c>
      <c r="K8121">
        <v>6947829278</v>
      </c>
      <c r="M8121" t="s">
        <v>12532</v>
      </c>
      <c r="N8121" t="s">
        <v>1525</v>
      </c>
      <c r="O8121" t="s">
        <v>1526</v>
      </c>
      <c r="R8121" t="s">
        <v>57</v>
      </c>
      <c r="S8121">
        <v>5</v>
      </c>
      <c r="T8121">
        <v>660</v>
      </c>
      <c r="U8121" s="1">
        <v>39311</v>
      </c>
      <c r="V8121" t="s">
        <v>5177</v>
      </c>
      <c r="W8121" t="s">
        <v>5178</v>
      </c>
      <c r="X8121" t="s">
        <v>58</v>
      </c>
      <c r="Y8121">
        <v>25</v>
      </c>
      <c r="Z8121" t="s">
        <v>59</v>
      </c>
      <c r="AA8121" t="s">
        <v>59</v>
      </c>
      <c r="AB8121" t="s">
        <v>59</v>
      </c>
      <c r="AC8121" t="s">
        <v>59</v>
      </c>
      <c r="AD8121" t="s">
        <v>59</v>
      </c>
      <c r="AF8121" s="1">
        <v>39330</v>
      </c>
      <c r="AG8121" t="s">
        <v>8651</v>
      </c>
      <c r="AH8121" t="s">
        <v>8652</v>
      </c>
      <c r="AI8121" t="str">
        <f>"9320215"</f>
        <v>9320215</v>
      </c>
      <c r="AJ8121" t="s">
        <v>12083</v>
      </c>
      <c r="AK8121">
        <v>2841071393</v>
      </c>
      <c r="AL8121" t="s">
        <v>12084</v>
      </c>
      <c r="AM8121" t="s">
        <v>4513</v>
      </c>
      <c r="AN8121" t="s">
        <v>4514</v>
      </c>
      <c r="AO8121" t="s">
        <v>12085</v>
      </c>
      <c r="AP8121" t="s">
        <v>12085</v>
      </c>
      <c r="AQ8121">
        <v>2</v>
      </c>
      <c r="AR8121" t="s">
        <v>5177</v>
      </c>
      <c r="AS8121" t="s">
        <v>5178</v>
      </c>
      <c r="AT8121" t="s">
        <v>58</v>
      </c>
      <c r="AU8121" t="s">
        <v>68</v>
      </c>
      <c r="AV8121" t="s">
        <v>69</v>
      </c>
      <c r="AW8121" s="1">
        <v>29884</v>
      </c>
      <c r="AX8121">
        <v>1</v>
      </c>
    </row>
    <row r="8122" spans="1:50">
      <c r="B8122" t="str">
        <f>"124022745"</f>
        <v>124022745</v>
      </c>
      <c r="C8122" t="s">
        <v>50</v>
      </c>
      <c r="D8122" t="s">
        <v>3807</v>
      </c>
      <c r="E8122" t="s">
        <v>255</v>
      </c>
      <c r="F8122" t="s">
        <v>53</v>
      </c>
      <c r="G8122" t="s">
        <v>215</v>
      </c>
      <c r="H8122" t="str">
        <f>"ΡΟΥΣΟΥ ΚΟΥΝΔΟΥΡΟΥ   44 ΙΕΡΑΠΕΤΡΑ"</f>
        <v>ΡΟΥΣΟΥ ΚΟΥΝΔΟΥΡΟΥ   44 ΙΕΡΑΠΕΤΡΑ</v>
      </c>
      <c r="I8122">
        <v>72200</v>
      </c>
      <c r="J8122">
        <v>2842023743</v>
      </c>
      <c r="K8122">
        <v>6973655763</v>
      </c>
      <c r="N8122" t="s">
        <v>306</v>
      </c>
      <c r="O8122" t="s">
        <v>307</v>
      </c>
      <c r="R8122" t="s">
        <v>159</v>
      </c>
      <c r="S8122">
        <v>5</v>
      </c>
      <c r="T8122" t="s">
        <v>8675</v>
      </c>
      <c r="U8122" s="1">
        <v>43348</v>
      </c>
      <c r="V8122" t="s">
        <v>5177</v>
      </c>
      <c r="W8122" t="s">
        <v>5178</v>
      </c>
      <c r="X8122" t="s">
        <v>58</v>
      </c>
      <c r="Y8122">
        <v>24</v>
      </c>
      <c r="Z8122" t="s">
        <v>59</v>
      </c>
      <c r="AA8122" t="s">
        <v>59</v>
      </c>
      <c r="AB8122" t="s">
        <v>59</v>
      </c>
      <c r="AC8122" t="s">
        <v>59</v>
      </c>
      <c r="AD8122" t="s">
        <v>59</v>
      </c>
      <c r="AF8122" s="1">
        <v>43348</v>
      </c>
      <c r="AG8122" t="s">
        <v>8645</v>
      </c>
      <c r="AH8122" t="s">
        <v>8646</v>
      </c>
      <c r="AI8122" t="str">
        <f>"9320163"</f>
        <v>9320163</v>
      </c>
      <c r="AJ8122" t="s">
        <v>12012</v>
      </c>
      <c r="AK8122">
        <v>2842024595</v>
      </c>
      <c r="AL8122" t="s">
        <v>12013</v>
      </c>
      <c r="AM8122" t="s">
        <v>4513</v>
      </c>
      <c r="AN8122" t="s">
        <v>4519</v>
      </c>
      <c r="AO8122" t="s">
        <v>4519</v>
      </c>
      <c r="AP8122" t="s">
        <v>4519</v>
      </c>
      <c r="AQ8122">
        <v>4</v>
      </c>
      <c r="AR8122" t="s">
        <v>5177</v>
      </c>
      <c r="AS8122" t="s">
        <v>5178</v>
      </c>
      <c r="AT8122" t="s">
        <v>58</v>
      </c>
      <c r="AU8122" t="s">
        <v>8673</v>
      </c>
      <c r="AV8122" t="s">
        <v>132</v>
      </c>
      <c r="AW8122" s="1">
        <v>28872</v>
      </c>
      <c r="AX8122">
        <v>1</v>
      </c>
    </row>
    <row r="8123" spans="1:50">
      <c r="A8123">
        <v>618390</v>
      </c>
      <c r="B8123" t="str">
        <f>"072791838"</f>
        <v>072791838</v>
      </c>
      <c r="C8123" t="s">
        <v>50</v>
      </c>
      <c r="D8123" t="s">
        <v>6550</v>
      </c>
      <c r="E8123" t="s">
        <v>12533</v>
      </c>
      <c r="F8123" t="s">
        <v>92</v>
      </c>
      <c r="G8123" t="s">
        <v>52</v>
      </c>
      <c r="H8123" t="str">
        <f>"ΝΙΚΟΛΑΟΥ ΠΛΑΣΤΗΡΑ 41 ΑΓΙΟΣ ΝΙΚΟΛΑΟΣ"</f>
        <v>ΝΙΚΟΛΑΟΥ ΠΛΑΣΤΗΡΑ 41 ΑΓΙΟΣ ΝΙΚΟΛΑΟΣ</v>
      </c>
      <c r="I8123">
        <v>72100</v>
      </c>
      <c r="J8123">
        <v>2841028426</v>
      </c>
      <c r="K8123">
        <v>6938962739</v>
      </c>
      <c r="N8123" t="s">
        <v>615</v>
      </c>
      <c r="O8123" t="s">
        <v>616</v>
      </c>
      <c r="R8123" t="s">
        <v>57</v>
      </c>
      <c r="S8123">
        <v>5</v>
      </c>
      <c r="T8123">
        <v>774</v>
      </c>
      <c r="U8123" s="1">
        <v>39680</v>
      </c>
      <c r="V8123" t="s">
        <v>5177</v>
      </c>
      <c r="W8123" t="s">
        <v>5178</v>
      </c>
      <c r="X8123" t="s">
        <v>58</v>
      </c>
      <c r="Y8123">
        <v>23</v>
      </c>
      <c r="Z8123" t="s">
        <v>59</v>
      </c>
      <c r="AA8123" t="s">
        <v>59</v>
      </c>
      <c r="AB8123" t="s">
        <v>59</v>
      </c>
      <c r="AC8123" t="s">
        <v>59</v>
      </c>
      <c r="AD8123" t="s">
        <v>59</v>
      </c>
      <c r="AF8123" s="1">
        <v>39685</v>
      </c>
      <c r="AG8123" t="s">
        <v>8645</v>
      </c>
      <c r="AH8123" t="s">
        <v>8646</v>
      </c>
      <c r="AI8123" t="str">
        <f>"9521420"</f>
        <v>9521420</v>
      </c>
      <c r="AJ8123" t="s">
        <v>11947</v>
      </c>
      <c r="AK8123">
        <v>2841021022</v>
      </c>
      <c r="AL8123" t="s">
        <v>11948</v>
      </c>
      <c r="AM8123" t="s">
        <v>4513</v>
      </c>
      <c r="AN8123" t="s">
        <v>4514</v>
      </c>
      <c r="AO8123" t="s">
        <v>4514</v>
      </c>
      <c r="AP8123" t="s">
        <v>4514</v>
      </c>
      <c r="AQ8123">
        <v>1</v>
      </c>
      <c r="AR8123" t="s">
        <v>5177</v>
      </c>
      <c r="AS8123" t="s">
        <v>5178</v>
      </c>
      <c r="AT8123" t="s">
        <v>58</v>
      </c>
      <c r="AU8123" t="s">
        <v>68</v>
      </c>
      <c r="AV8123" t="s">
        <v>69</v>
      </c>
      <c r="AW8123" s="1">
        <v>30917</v>
      </c>
      <c r="AX8123">
        <v>1</v>
      </c>
    </row>
    <row r="8124" spans="1:50">
      <c r="A8124">
        <v>596828</v>
      </c>
      <c r="B8124" t="str">
        <f>"110302492"</f>
        <v>110302492</v>
      </c>
      <c r="C8124" t="s">
        <v>50</v>
      </c>
      <c r="D8124" t="s">
        <v>3827</v>
      </c>
      <c r="E8124" t="s">
        <v>109</v>
      </c>
      <c r="F8124" t="s">
        <v>95</v>
      </c>
      <c r="G8124" t="s">
        <v>250</v>
      </c>
      <c r="H8124" t="str">
        <f>"ΑΝΑΠΑΥΣΕΩΣ 18 ΑΓΙΟΣ ΝΙΚΟΛΑΟΣ"</f>
        <v>ΑΝΑΠΑΥΣΕΩΣ 18 ΑΓΙΟΣ ΝΙΚΟΛΑΟΣ</v>
      </c>
      <c r="I8124">
        <v>72100</v>
      </c>
      <c r="J8124">
        <v>2841026394</v>
      </c>
      <c r="K8124">
        <v>6976016703</v>
      </c>
      <c r="N8124" t="s">
        <v>1525</v>
      </c>
      <c r="O8124" t="s">
        <v>1526</v>
      </c>
      <c r="R8124" t="s">
        <v>57</v>
      </c>
      <c r="S8124">
        <v>11</v>
      </c>
      <c r="T8124">
        <v>195</v>
      </c>
      <c r="U8124" s="1">
        <v>37497</v>
      </c>
      <c r="V8124" t="s">
        <v>5177</v>
      </c>
      <c r="W8124" t="s">
        <v>5178</v>
      </c>
      <c r="X8124" t="s">
        <v>58</v>
      </c>
      <c r="Y8124">
        <v>21</v>
      </c>
      <c r="Z8124" t="s">
        <v>59</v>
      </c>
      <c r="AA8124" t="s">
        <v>59</v>
      </c>
      <c r="AB8124" t="s">
        <v>59</v>
      </c>
      <c r="AC8124" t="s">
        <v>59</v>
      </c>
      <c r="AD8124" t="s">
        <v>59</v>
      </c>
      <c r="AF8124" s="1">
        <v>37501</v>
      </c>
      <c r="AG8124" t="s">
        <v>8651</v>
      </c>
      <c r="AH8124" t="s">
        <v>8652</v>
      </c>
      <c r="AI8124" t="str">
        <f>"9320161"</f>
        <v>9320161</v>
      </c>
      <c r="AJ8124" t="s">
        <v>12124</v>
      </c>
      <c r="AK8124">
        <v>2841028686</v>
      </c>
      <c r="AL8124" t="s">
        <v>12125</v>
      </c>
      <c r="AM8124" t="s">
        <v>4513</v>
      </c>
      <c r="AN8124" t="s">
        <v>4514</v>
      </c>
      <c r="AO8124" t="s">
        <v>4514</v>
      </c>
      <c r="AP8124" t="s">
        <v>4514</v>
      </c>
      <c r="AQ8124">
        <v>1</v>
      </c>
      <c r="AR8124" t="s">
        <v>5177</v>
      </c>
      <c r="AS8124" t="s">
        <v>5178</v>
      </c>
      <c r="AT8124" t="s">
        <v>58</v>
      </c>
      <c r="AU8124" t="s">
        <v>68</v>
      </c>
      <c r="AV8124" t="s">
        <v>69</v>
      </c>
      <c r="AW8124" s="1">
        <v>24547</v>
      </c>
      <c r="AX8124">
        <v>1</v>
      </c>
    </row>
    <row r="8125" spans="1:50">
      <c r="A8125">
        <v>576673</v>
      </c>
      <c r="B8125" t="str">
        <f>"041820393"</f>
        <v>041820393</v>
      </c>
      <c r="C8125" t="s">
        <v>50</v>
      </c>
      <c r="D8125" t="s">
        <v>3827</v>
      </c>
      <c r="E8125" t="s">
        <v>52</v>
      </c>
      <c r="F8125" t="s">
        <v>309</v>
      </c>
      <c r="G8125" t="s">
        <v>1452</v>
      </c>
      <c r="H8125" t="str">
        <f>"ΠΕΡΙΟΧΗ ΓΑΡΓΑΔΟΡΟΥ ΑΓΙΟΣ ΝΙΚΟΛΑΟΣ"</f>
        <v>ΠΕΡΙΟΧΗ ΓΑΡΓΑΔΟΡΟΥ ΑΓΙΟΣ ΝΙΚΟΛΑΟΣ</v>
      </c>
      <c r="I8125">
        <v>72100</v>
      </c>
      <c r="J8125">
        <v>2841028557</v>
      </c>
      <c r="K8125">
        <v>6973334602</v>
      </c>
      <c r="N8125" t="s">
        <v>176</v>
      </c>
      <c r="O8125" t="s">
        <v>177</v>
      </c>
      <c r="R8125" t="s">
        <v>57</v>
      </c>
      <c r="S8125">
        <v>13</v>
      </c>
      <c r="T8125">
        <v>184</v>
      </c>
      <c r="U8125" s="1">
        <v>34941</v>
      </c>
      <c r="V8125" t="s">
        <v>5177</v>
      </c>
      <c r="W8125" t="s">
        <v>5178</v>
      </c>
      <c r="X8125" t="s">
        <v>58</v>
      </c>
      <c r="Y8125">
        <v>21</v>
      </c>
      <c r="Z8125" t="s">
        <v>59</v>
      </c>
      <c r="AA8125" t="s">
        <v>59</v>
      </c>
      <c r="AB8125" t="s">
        <v>59</v>
      </c>
      <c r="AC8125" t="s">
        <v>59</v>
      </c>
      <c r="AD8125" t="s">
        <v>59</v>
      </c>
      <c r="AF8125" s="1">
        <v>34943</v>
      </c>
      <c r="AG8125" t="s">
        <v>8645</v>
      </c>
      <c r="AH8125" t="s">
        <v>8646</v>
      </c>
      <c r="AI8125" t="str">
        <f>"9320138"</f>
        <v>9320138</v>
      </c>
      <c r="AJ8125" t="s">
        <v>11915</v>
      </c>
      <c r="AK8125">
        <v>2841022104</v>
      </c>
      <c r="AL8125" t="s">
        <v>11916</v>
      </c>
      <c r="AM8125" t="s">
        <v>4513</v>
      </c>
      <c r="AN8125" t="s">
        <v>4514</v>
      </c>
      <c r="AO8125" t="s">
        <v>4514</v>
      </c>
      <c r="AP8125" t="s">
        <v>4514</v>
      </c>
      <c r="AQ8125">
        <v>1</v>
      </c>
      <c r="AR8125" t="s">
        <v>5177</v>
      </c>
      <c r="AS8125" t="s">
        <v>5178</v>
      </c>
      <c r="AT8125" t="s">
        <v>58</v>
      </c>
      <c r="AU8125" t="s">
        <v>68</v>
      </c>
      <c r="AV8125" t="s">
        <v>69</v>
      </c>
      <c r="AW8125" s="1">
        <v>22818</v>
      </c>
      <c r="AX8125">
        <v>1</v>
      </c>
    </row>
    <row r="8126" spans="1:50">
      <c r="A8126">
        <v>607881</v>
      </c>
      <c r="B8126" t="str">
        <f>"131677623"</f>
        <v>131677623</v>
      </c>
      <c r="C8126" t="s">
        <v>50</v>
      </c>
      <c r="D8126" t="s">
        <v>3827</v>
      </c>
      <c r="E8126" t="s">
        <v>12534</v>
      </c>
      <c r="F8126" t="s">
        <v>95</v>
      </c>
      <c r="G8126" t="s">
        <v>250</v>
      </c>
      <c r="H8126" t="str">
        <f>"ΣΚΟΥΛΟΥΔΗ 11 ΣΗΤΕΙΑ"</f>
        <v>ΣΚΟΥΛΟΥΔΗ 11 ΣΗΤΕΙΑ</v>
      </c>
      <c r="I8126">
        <v>72300</v>
      </c>
      <c r="J8126">
        <v>2843027017</v>
      </c>
      <c r="K8126">
        <v>6973772559</v>
      </c>
      <c r="N8126" t="s">
        <v>615</v>
      </c>
      <c r="O8126" t="s">
        <v>616</v>
      </c>
      <c r="R8126" t="s">
        <v>57</v>
      </c>
      <c r="S8126">
        <v>6</v>
      </c>
      <c r="T8126">
        <v>217</v>
      </c>
      <c r="U8126" s="1">
        <v>38596</v>
      </c>
      <c r="V8126" t="s">
        <v>5177</v>
      </c>
      <c r="W8126" t="s">
        <v>5178</v>
      </c>
      <c r="X8126" t="s">
        <v>58</v>
      </c>
      <c r="Y8126">
        <v>23</v>
      </c>
      <c r="Z8126" t="s">
        <v>59</v>
      </c>
      <c r="AA8126" t="s">
        <v>59</v>
      </c>
      <c r="AB8126" t="s">
        <v>59</v>
      </c>
      <c r="AC8126" t="s">
        <v>59</v>
      </c>
      <c r="AD8126" t="s">
        <v>59</v>
      </c>
      <c r="AF8126" s="1">
        <v>38601</v>
      </c>
      <c r="AG8126" t="s">
        <v>8645</v>
      </c>
      <c r="AH8126" t="s">
        <v>8646</v>
      </c>
      <c r="AI8126" t="str">
        <f>"9320205"</f>
        <v>9320205</v>
      </c>
      <c r="AJ8126" t="s">
        <v>11902</v>
      </c>
      <c r="AK8126">
        <v>2843024509</v>
      </c>
      <c r="AL8126" t="s">
        <v>11903</v>
      </c>
      <c r="AM8126" t="s">
        <v>4513</v>
      </c>
      <c r="AN8126" t="s">
        <v>4540</v>
      </c>
      <c r="AO8126" t="s">
        <v>4540</v>
      </c>
      <c r="AP8126" t="s">
        <v>4540</v>
      </c>
      <c r="AQ8126">
        <v>8</v>
      </c>
      <c r="AR8126" t="s">
        <v>5177</v>
      </c>
      <c r="AS8126" t="s">
        <v>5178</v>
      </c>
      <c r="AT8126" t="s">
        <v>58</v>
      </c>
      <c r="AU8126" t="s">
        <v>68</v>
      </c>
      <c r="AV8126" t="s">
        <v>69</v>
      </c>
      <c r="AW8126" s="1">
        <v>30156</v>
      </c>
      <c r="AX8126">
        <v>1</v>
      </c>
    </row>
    <row r="8127" spans="1:50">
      <c r="B8127" t="str">
        <f>"142454899"</f>
        <v>142454899</v>
      </c>
      <c r="C8127" t="s">
        <v>105</v>
      </c>
      <c r="D8127" t="s">
        <v>12535</v>
      </c>
      <c r="E8127" t="s">
        <v>670</v>
      </c>
      <c r="F8127" t="s">
        <v>383</v>
      </c>
      <c r="G8127" t="s">
        <v>476</v>
      </c>
      <c r="H8127" t="str">
        <f>"ΑΝΑΓΕΝΝΗΣΕΩΣ 153 "</f>
        <v xml:space="preserve">ΑΝΑΓΕΝΝΗΣΕΩΣ 153 </v>
      </c>
      <c r="I8127">
        <v>68200</v>
      </c>
      <c r="J8127">
        <v>2552026194</v>
      </c>
      <c r="K8127">
        <v>6937292188</v>
      </c>
      <c r="M8127" t="s">
        <v>12536</v>
      </c>
      <c r="N8127" t="s">
        <v>615</v>
      </c>
      <c r="O8127" t="s">
        <v>616</v>
      </c>
      <c r="R8127" t="s">
        <v>159</v>
      </c>
      <c r="S8127">
        <v>3</v>
      </c>
      <c r="T8127" t="s">
        <v>8675</v>
      </c>
      <c r="U8127" s="1">
        <v>43348</v>
      </c>
      <c r="V8127" t="s">
        <v>5177</v>
      </c>
      <c r="W8127" t="s">
        <v>5178</v>
      </c>
      <c r="X8127" t="s">
        <v>58</v>
      </c>
      <c r="Y8127">
        <v>24</v>
      </c>
      <c r="Z8127" t="s">
        <v>59</v>
      </c>
      <c r="AA8127" t="s">
        <v>59</v>
      </c>
      <c r="AB8127" t="s">
        <v>59</v>
      </c>
      <c r="AC8127" t="s">
        <v>59</v>
      </c>
      <c r="AD8127" t="s">
        <v>59</v>
      </c>
      <c r="AF8127" s="1">
        <v>43348</v>
      </c>
      <c r="AG8127" t="s">
        <v>8645</v>
      </c>
      <c r="AH8127" t="s">
        <v>8646</v>
      </c>
      <c r="AI8127" t="str">
        <f>"9320063"</f>
        <v>9320063</v>
      </c>
      <c r="AJ8127" t="s">
        <v>12026</v>
      </c>
      <c r="AK8127">
        <v>2841032369</v>
      </c>
      <c r="AL8127" t="s">
        <v>12027</v>
      </c>
      <c r="AM8127" t="s">
        <v>4513</v>
      </c>
      <c r="AN8127" t="s">
        <v>4514</v>
      </c>
      <c r="AO8127" t="s">
        <v>4524</v>
      </c>
      <c r="AP8127" t="s">
        <v>4525</v>
      </c>
      <c r="AQ8127">
        <v>1</v>
      </c>
      <c r="AR8127" t="s">
        <v>5177</v>
      </c>
      <c r="AS8127" t="s">
        <v>5178</v>
      </c>
      <c r="AT8127" t="s">
        <v>58</v>
      </c>
      <c r="AU8127" t="s">
        <v>8673</v>
      </c>
      <c r="AV8127" t="s">
        <v>132</v>
      </c>
      <c r="AW8127" s="1">
        <v>31674</v>
      </c>
      <c r="AX8127">
        <v>1</v>
      </c>
    </row>
    <row r="8128" spans="1:50">
      <c r="A8128">
        <v>702085</v>
      </c>
      <c r="B8128" t="str">
        <f>"108136670"</f>
        <v>108136670</v>
      </c>
      <c r="C8128" t="s">
        <v>50</v>
      </c>
      <c r="D8128" t="s">
        <v>12537</v>
      </c>
      <c r="E8128" t="s">
        <v>52</v>
      </c>
      <c r="F8128" t="s">
        <v>154</v>
      </c>
      <c r="G8128" t="s">
        <v>191</v>
      </c>
      <c r="H8128" t="str">
        <f>"ΓΡΟΙΚΟΣ ΠΑΤΜΟΣ"</f>
        <v>ΓΡΟΙΚΟΣ ΠΑΤΜΟΣ</v>
      </c>
      <c r="I8128">
        <v>85500</v>
      </c>
      <c r="J8128">
        <v>2247031777</v>
      </c>
      <c r="K8128">
        <v>6981898914</v>
      </c>
      <c r="N8128" t="s">
        <v>615</v>
      </c>
      <c r="O8128" t="s">
        <v>616</v>
      </c>
      <c r="R8128" t="s">
        <v>57</v>
      </c>
      <c r="S8128">
        <v>4</v>
      </c>
      <c r="T8128">
        <v>772</v>
      </c>
      <c r="U8128" s="1">
        <v>40413</v>
      </c>
      <c r="V8128" t="s">
        <v>5177</v>
      </c>
      <c r="W8128" t="s">
        <v>5178</v>
      </c>
      <c r="X8128" t="s">
        <v>58</v>
      </c>
      <c r="Y8128">
        <v>24</v>
      </c>
      <c r="Z8128" t="s">
        <v>59</v>
      </c>
      <c r="AA8128" t="s">
        <v>59</v>
      </c>
      <c r="AB8128" t="s">
        <v>59</v>
      </c>
      <c r="AC8128" t="s">
        <v>59</v>
      </c>
      <c r="AD8128" t="s">
        <v>59</v>
      </c>
      <c r="AF8128" s="1">
        <v>40413</v>
      </c>
      <c r="AG8128" t="s">
        <v>8645</v>
      </c>
      <c r="AH8128" t="s">
        <v>8646</v>
      </c>
      <c r="AI8128" t="str">
        <f>"9320071"</f>
        <v>9320071</v>
      </c>
      <c r="AJ8128" t="s">
        <v>12098</v>
      </c>
      <c r="AK8128">
        <v>2841041234</v>
      </c>
      <c r="AL8128" t="s">
        <v>12099</v>
      </c>
      <c r="AM8128" t="s">
        <v>4513</v>
      </c>
      <c r="AN8128" t="s">
        <v>4514</v>
      </c>
      <c r="AO8128" t="s">
        <v>4514</v>
      </c>
      <c r="AP8128" t="s">
        <v>12100</v>
      </c>
      <c r="AQ8128">
        <v>2</v>
      </c>
      <c r="AR8128" t="s">
        <v>5177</v>
      </c>
      <c r="AS8128" t="s">
        <v>5178</v>
      </c>
      <c r="AT8128" t="s">
        <v>58</v>
      </c>
      <c r="AU8128" t="s">
        <v>68</v>
      </c>
      <c r="AV8128" t="s">
        <v>69</v>
      </c>
      <c r="AW8128" s="1">
        <v>31568</v>
      </c>
      <c r="AX8128">
        <v>1</v>
      </c>
    </row>
    <row r="8129" spans="1:50">
      <c r="A8129">
        <v>701358</v>
      </c>
      <c r="B8129" t="str">
        <f>"124033692"</f>
        <v>124033692</v>
      </c>
      <c r="C8129" t="s">
        <v>50</v>
      </c>
      <c r="D8129" t="s">
        <v>3845</v>
      </c>
      <c r="E8129" t="s">
        <v>52</v>
      </c>
      <c r="F8129" t="s">
        <v>72</v>
      </c>
      <c r="G8129" t="s">
        <v>143</v>
      </c>
      <c r="H8129" t="str">
        <f>"ΤΑΛΑΙΟΥ 3 ΕΛΟΥΝΤΑ"</f>
        <v>ΤΑΛΑΙΟΥ 3 ΕΛΟΥΝΤΑ</v>
      </c>
      <c r="I8129">
        <v>72053</v>
      </c>
      <c r="J8129">
        <v>2841041402</v>
      </c>
      <c r="K8129">
        <v>6948372798</v>
      </c>
      <c r="N8129" t="s">
        <v>615</v>
      </c>
      <c r="O8129" t="s">
        <v>616</v>
      </c>
      <c r="R8129" t="s">
        <v>57</v>
      </c>
      <c r="S8129">
        <v>5</v>
      </c>
      <c r="T8129">
        <v>772</v>
      </c>
      <c r="U8129" s="1">
        <v>40413</v>
      </c>
      <c r="V8129" t="s">
        <v>5177</v>
      </c>
      <c r="W8129" t="s">
        <v>5178</v>
      </c>
      <c r="X8129" t="s">
        <v>58</v>
      </c>
      <c r="Y8129">
        <v>23</v>
      </c>
      <c r="Z8129" t="s">
        <v>59</v>
      </c>
      <c r="AA8129" t="s">
        <v>59</v>
      </c>
      <c r="AB8129" t="s">
        <v>59</v>
      </c>
      <c r="AC8129" t="s">
        <v>59</v>
      </c>
      <c r="AD8129" t="s">
        <v>59</v>
      </c>
      <c r="AF8129" s="1">
        <v>40413</v>
      </c>
      <c r="AG8129" t="s">
        <v>8645</v>
      </c>
      <c r="AH8129" t="s">
        <v>8646</v>
      </c>
      <c r="AI8129" t="str">
        <f>"9320071"</f>
        <v>9320071</v>
      </c>
      <c r="AJ8129" t="s">
        <v>12098</v>
      </c>
      <c r="AK8129">
        <v>2841041234</v>
      </c>
      <c r="AL8129" t="s">
        <v>12099</v>
      </c>
      <c r="AM8129" t="s">
        <v>4513</v>
      </c>
      <c r="AN8129" t="s">
        <v>4514</v>
      </c>
      <c r="AO8129" t="s">
        <v>4514</v>
      </c>
      <c r="AP8129" t="s">
        <v>12100</v>
      </c>
      <c r="AQ8129">
        <v>2</v>
      </c>
      <c r="AR8129" t="s">
        <v>5177</v>
      </c>
      <c r="AS8129" t="s">
        <v>5178</v>
      </c>
      <c r="AT8129" t="s">
        <v>58</v>
      </c>
      <c r="AU8129" t="s">
        <v>68</v>
      </c>
      <c r="AV8129" t="s">
        <v>69</v>
      </c>
      <c r="AW8129" s="1">
        <v>30923</v>
      </c>
      <c r="AX8129">
        <v>1</v>
      </c>
    </row>
    <row r="8130" spans="1:50">
      <c r="B8130" t="str">
        <f>"124008265"</f>
        <v>124008265</v>
      </c>
      <c r="C8130" t="s">
        <v>105</v>
      </c>
      <c r="D8130" t="s">
        <v>12538</v>
      </c>
      <c r="E8130" t="s">
        <v>760</v>
      </c>
      <c r="F8130" t="s">
        <v>609</v>
      </c>
      <c r="H8130" t="str">
        <f>" "</f>
        <v xml:space="preserve"> </v>
      </c>
      <c r="N8130" t="s">
        <v>683</v>
      </c>
      <c r="O8130" t="s">
        <v>684</v>
      </c>
      <c r="R8130" t="s">
        <v>121</v>
      </c>
      <c r="S8130">
        <v>1</v>
      </c>
      <c r="T8130" t="s">
        <v>8675</v>
      </c>
      <c r="U8130" s="1">
        <v>43348</v>
      </c>
      <c r="V8130" t="s">
        <v>5177</v>
      </c>
      <c r="W8130" t="s">
        <v>5178</v>
      </c>
      <c r="X8130" t="s">
        <v>58</v>
      </c>
      <c r="Y8130">
        <v>24</v>
      </c>
      <c r="Z8130" t="s">
        <v>59</v>
      </c>
      <c r="AA8130" t="s">
        <v>59</v>
      </c>
      <c r="AB8130" t="s">
        <v>59</v>
      </c>
      <c r="AC8130" t="s">
        <v>59</v>
      </c>
      <c r="AD8130" t="s">
        <v>59</v>
      </c>
      <c r="AF8130" s="1">
        <v>43348</v>
      </c>
      <c r="AG8130" t="s">
        <v>8645</v>
      </c>
      <c r="AH8130" t="s">
        <v>8646</v>
      </c>
      <c r="AI8130" t="str">
        <f>"9320003"</f>
        <v>9320003</v>
      </c>
      <c r="AJ8130" t="s">
        <v>11886</v>
      </c>
      <c r="AK8130">
        <v>2842089830</v>
      </c>
      <c r="AL8130" t="s">
        <v>11887</v>
      </c>
      <c r="AM8130" t="s">
        <v>4513</v>
      </c>
      <c r="AN8130" t="s">
        <v>4519</v>
      </c>
      <c r="AO8130" t="s">
        <v>4519</v>
      </c>
      <c r="AP8130" t="s">
        <v>4519</v>
      </c>
      <c r="AQ8130">
        <v>4</v>
      </c>
      <c r="AR8130" t="s">
        <v>5177</v>
      </c>
      <c r="AS8130" t="s">
        <v>5178</v>
      </c>
      <c r="AT8130" t="s">
        <v>58</v>
      </c>
      <c r="AU8130" t="s">
        <v>8673</v>
      </c>
      <c r="AV8130" t="s">
        <v>132</v>
      </c>
      <c r="AW8130" s="1">
        <v>30627</v>
      </c>
      <c r="AX8130">
        <v>1</v>
      </c>
    </row>
    <row r="8131" spans="1:50">
      <c r="A8131">
        <v>229554</v>
      </c>
      <c r="B8131" t="str">
        <f>"048004835"</f>
        <v>048004835</v>
      </c>
      <c r="C8131" t="s">
        <v>50</v>
      </c>
      <c r="D8131" t="s">
        <v>12539</v>
      </c>
      <c r="E8131" t="s">
        <v>191</v>
      </c>
      <c r="F8131" t="s">
        <v>72</v>
      </c>
      <c r="G8131" t="s">
        <v>4695</v>
      </c>
      <c r="H8131" t="str">
        <f>"ΕΥΜΕΝΙΔΩΝ 2 ΗΡΑΚΛΕΙΟ"</f>
        <v>ΕΥΜΕΝΙΔΩΝ 2 ΗΡΑΚΛΕΙΟ</v>
      </c>
      <c r="I8131">
        <v>71410</v>
      </c>
      <c r="J8131">
        <v>2810261117</v>
      </c>
      <c r="K8131">
        <v>6973693832</v>
      </c>
      <c r="M8131" t="s">
        <v>12540</v>
      </c>
      <c r="N8131" t="s">
        <v>204</v>
      </c>
      <c r="O8131" t="s">
        <v>205</v>
      </c>
      <c r="P8131" t="s">
        <v>232</v>
      </c>
      <c r="Q8131" t="s">
        <v>233</v>
      </c>
      <c r="R8131" t="s">
        <v>57</v>
      </c>
      <c r="S8131">
        <v>7</v>
      </c>
      <c r="T8131">
        <v>926</v>
      </c>
      <c r="U8131" s="1">
        <v>40129</v>
      </c>
      <c r="V8131" t="s">
        <v>5177</v>
      </c>
      <c r="W8131" t="s">
        <v>5178</v>
      </c>
      <c r="X8131" t="s">
        <v>58</v>
      </c>
      <c r="Y8131">
        <v>23</v>
      </c>
      <c r="Z8131" t="s">
        <v>59</v>
      </c>
      <c r="AA8131" t="s">
        <v>59</v>
      </c>
      <c r="AB8131" t="s">
        <v>59</v>
      </c>
      <c r="AC8131" t="s">
        <v>59</v>
      </c>
      <c r="AD8131" t="s">
        <v>59</v>
      </c>
      <c r="AF8131" s="1">
        <v>40135</v>
      </c>
      <c r="AG8131" t="s">
        <v>8645</v>
      </c>
      <c r="AH8131" t="s">
        <v>8646</v>
      </c>
      <c r="AI8131" t="str">
        <f>"9320006"</f>
        <v>9320006</v>
      </c>
      <c r="AJ8131" t="s">
        <v>11919</v>
      </c>
      <c r="AK8131">
        <v>2842022359</v>
      </c>
      <c r="AL8131" t="s">
        <v>11920</v>
      </c>
      <c r="AM8131" t="s">
        <v>4513</v>
      </c>
      <c r="AN8131" t="s">
        <v>4519</v>
      </c>
      <c r="AO8131" t="s">
        <v>4519</v>
      </c>
      <c r="AP8131" t="s">
        <v>4519</v>
      </c>
      <c r="AQ8131">
        <v>4</v>
      </c>
      <c r="AR8131" t="s">
        <v>5177</v>
      </c>
      <c r="AS8131" t="s">
        <v>5178</v>
      </c>
      <c r="AT8131" t="s">
        <v>58</v>
      </c>
      <c r="AU8131" t="s">
        <v>68</v>
      </c>
      <c r="AV8131" t="s">
        <v>69</v>
      </c>
      <c r="AW8131" s="1">
        <v>27445</v>
      </c>
      <c r="AX8131">
        <v>1</v>
      </c>
    </row>
    <row r="8132" spans="1:50">
      <c r="A8132">
        <v>602495</v>
      </c>
      <c r="B8132" t="str">
        <f>"102008543"</f>
        <v>102008543</v>
      </c>
      <c r="C8132" t="s">
        <v>50</v>
      </c>
      <c r="D8132" t="s">
        <v>3861</v>
      </c>
      <c r="E8132" t="s">
        <v>143</v>
      </c>
      <c r="F8132" t="s">
        <v>1573</v>
      </c>
      <c r="G8132" t="s">
        <v>1358</v>
      </c>
      <c r="H8132" t="str">
        <f>"ΤΟΥΡΛΩΤΗ ΣΗΤΕΙΑΣ ΤΟΥΡΛΩΤΗ ΣΗΤΕΙΑΣ"</f>
        <v>ΤΟΥΡΛΩΤΗ ΣΗΤΕΙΑΣ ΤΟΥΡΛΩΤΗ ΣΗΤΕΙΑΣ</v>
      </c>
      <c r="I8132">
        <v>72057</v>
      </c>
      <c r="J8132">
        <v>2843094267</v>
      </c>
      <c r="K8132">
        <v>6981300539</v>
      </c>
      <c r="M8132" t="s">
        <v>4868</v>
      </c>
      <c r="N8132" t="s">
        <v>615</v>
      </c>
      <c r="O8132" t="s">
        <v>616</v>
      </c>
      <c r="R8132" t="s">
        <v>57</v>
      </c>
      <c r="S8132">
        <v>8</v>
      </c>
      <c r="T8132">
        <v>207</v>
      </c>
      <c r="U8132" s="1">
        <v>37502</v>
      </c>
      <c r="V8132" t="s">
        <v>5177</v>
      </c>
      <c r="W8132" t="s">
        <v>5178</v>
      </c>
      <c r="X8132" t="s">
        <v>58</v>
      </c>
      <c r="Y8132">
        <v>22</v>
      </c>
      <c r="Z8132" t="s">
        <v>59</v>
      </c>
      <c r="AA8132" t="s">
        <v>59</v>
      </c>
      <c r="AB8132" t="s">
        <v>59</v>
      </c>
      <c r="AC8132" t="s">
        <v>59</v>
      </c>
      <c r="AD8132" t="s">
        <v>59</v>
      </c>
      <c r="AF8132" s="1">
        <v>37866</v>
      </c>
      <c r="AG8132" t="s">
        <v>8645</v>
      </c>
      <c r="AH8132" t="s">
        <v>8646</v>
      </c>
      <c r="AI8132" t="str">
        <f>"9320132"</f>
        <v>9320132</v>
      </c>
      <c r="AJ8132" t="s">
        <v>12072</v>
      </c>
      <c r="AK8132">
        <v>2843094341</v>
      </c>
      <c r="AL8132" t="s">
        <v>12073</v>
      </c>
      <c r="AM8132" t="s">
        <v>4513</v>
      </c>
      <c r="AN8132" t="s">
        <v>4540</v>
      </c>
      <c r="AO8132" t="s">
        <v>4540</v>
      </c>
      <c r="AP8132" t="s">
        <v>12074</v>
      </c>
      <c r="AQ8132">
        <v>10</v>
      </c>
      <c r="AR8132" t="s">
        <v>5177</v>
      </c>
      <c r="AS8132" t="s">
        <v>5178</v>
      </c>
      <c r="AT8132" t="s">
        <v>58</v>
      </c>
      <c r="AU8132" t="s">
        <v>68</v>
      </c>
      <c r="AV8132" t="s">
        <v>69</v>
      </c>
      <c r="AW8132" s="1">
        <v>27223</v>
      </c>
      <c r="AX8132">
        <v>1</v>
      </c>
    </row>
    <row r="8133" spans="1:50">
      <c r="B8133" t="str">
        <f>"141399050"</f>
        <v>141399050</v>
      </c>
      <c r="C8133" t="s">
        <v>50</v>
      </c>
      <c r="D8133" t="s">
        <v>3865</v>
      </c>
      <c r="E8133" t="s">
        <v>52</v>
      </c>
      <c r="F8133" t="s">
        <v>166</v>
      </c>
      <c r="G8133" t="s">
        <v>9342</v>
      </c>
      <c r="H8133" t="str">
        <f>" "</f>
        <v xml:space="preserve"> </v>
      </c>
      <c r="N8133" t="s">
        <v>9829</v>
      </c>
      <c r="O8133" t="s">
        <v>9830</v>
      </c>
      <c r="R8133" t="s">
        <v>159</v>
      </c>
      <c r="S8133">
        <v>3</v>
      </c>
      <c r="T8133" t="s">
        <v>8696</v>
      </c>
      <c r="U8133" s="1">
        <v>43348</v>
      </c>
      <c r="V8133" t="s">
        <v>5177</v>
      </c>
      <c r="W8133" t="s">
        <v>5178</v>
      </c>
      <c r="X8133" t="s">
        <v>58</v>
      </c>
      <c r="Y8133">
        <v>25</v>
      </c>
      <c r="Z8133" t="s">
        <v>59</v>
      </c>
      <c r="AA8133" t="s">
        <v>59</v>
      </c>
      <c r="AB8133" t="s">
        <v>59</v>
      </c>
      <c r="AC8133" t="s">
        <v>59</v>
      </c>
      <c r="AD8133" t="s">
        <v>59</v>
      </c>
      <c r="AF8133" s="1">
        <v>43348</v>
      </c>
      <c r="AG8133" t="s">
        <v>8651</v>
      </c>
      <c r="AH8133" t="s">
        <v>8652</v>
      </c>
      <c r="AI8133" t="str">
        <f>"9320203"</f>
        <v>9320203</v>
      </c>
      <c r="AJ8133" t="s">
        <v>12298</v>
      </c>
      <c r="AK8133">
        <v>2843052423</v>
      </c>
      <c r="AL8133" t="s">
        <v>12299</v>
      </c>
      <c r="AM8133" t="s">
        <v>4513</v>
      </c>
      <c r="AN8133" t="s">
        <v>4519</v>
      </c>
      <c r="AO8133" t="s">
        <v>4766</v>
      </c>
      <c r="AP8133" t="s">
        <v>4767</v>
      </c>
      <c r="AQ8133">
        <v>6</v>
      </c>
      <c r="AR8133" t="s">
        <v>5177</v>
      </c>
      <c r="AS8133" t="s">
        <v>5178</v>
      </c>
      <c r="AT8133" t="s">
        <v>58</v>
      </c>
      <c r="AU8133" t="s">
        <v>350</v>
      </c>
      <c r="AV8133" t="s">
        <v>132</v>
      </c>
      <c r="AW8133" s="1">
        <v>32494</v>
      </c>
      <c r="AX8133">
        <v>1</v>
      </c>
    </row>
    <row r="8134" spans="1:50">
      <c r="B8134" t="str">
        <f>"137225586"</f>
        <v>137225586</v>
      </c>
      <c r="C8134" t="s">
        <v>105</v>
      </c>
      <c r="D8134" t="s">
        <v>5475</v>
      </c>
      <c r="E8134" t="s">
        <v>72</v>
      </c>
      <c r="F8134" t="s">
        <v>311</v>
      </c>
      <c r="G8134" t="s">
        <v>52</v>
      </c>
      <c r="H8134" t="str">
        <f>"ΛΑΣΙΘΙΟΥ 28 "</f>
        <v xml:space="preserve">ΛΑΣΙΘΙΟΥ 28 </v>
      </c>
      <c r="I8134">
        <v>71201</v>
      </c>
      <c r="J8134">
        <v>2810289832</v>
      </c>
      <c r="K8134">
        <v>6937166906</v>
      </c>
      <c r="N8134" t="s">
        <v>615</v>
      </c>
      <c r="O8134" t="s">
        <v>616</v>
      </c>
      <c r="R8134" t="s">
        <v>159</v>
      </c>
      <c r="S8134">
        <v>3</v>
      </c>
      <c r="T8134" t="s">
        <v>8675</v>
      </c>
      <c r="U8134" s="1">
        <v>43348</v>
      </c>
      <c r="V8134" t="s">
        <v>5177</v>
      </c>
      <c r="W8134" t="s">
        <v>5178</v>
      </c>
      <c r="X8134" t="s">
        <v>58</v>
      </c>
      <c r="Y8134">
        <v>25</v>
      </c>
      <c r="Z8134" t="s">
        <v>59</v>
      </c>
      <c r="AA8134" t="s">
        <v>59</v>
      </c>
      <c r="AB8134" t="s">
        <v>59</v>
      </c>
      <c r="AC8134" t="s">
        <v>59</v>
      </c>
      <c r="AD8134" t="s">
        <v>59</v>
      </c>
      <c r="AF8134" s="1">
        <v>43348</v>
      </c>
      <c r="AG8134" t="s">
        <v>8645</v>
      </c>
      <c r="AH8134" t="s">
        <v>8676</v>
      </c>
      <c r="AI8134" t="str">
        <f>"9320102"</f>
        <v>9320102</v>
      </c>
      <c r="AJ8134" t="s">
        <v>12107</v>
      </c>
      <c r="AK8134">
        <v>2843093202</v>
      </c>
      <c r="AL8134" t="s">
        <v>12108</v>
      </c>
      <c r="AM8134" t="s">
        <v>4513</v>
      </c>
      <c r="AN8134" t="s">
        <v>4540</v>
      </c>
      <c r="AO8134" t="s">
        <v>4700</v>
      </c>
      <c r="AP8134" t="s">
        <v>12109</v>
      </c>
      <c r="AQ8134">
        <v>9</v>
      </c>
      <c r="AR8134" t="s">
        <v>5177</v>
      </c>
      <c r="AS8134" t="s">
        <v>5178</v>
      </c>
      <c r="AT8134" t="s">
        <v>58</v>
      </c>
      <c r="AU8134" t="s">
        <v>8673</v>
      </c>
      <c r="AV8134" t="s">
        <v>132</v>
      </c>
      <c r="AW8134" s="1">
        <v>31526</v>
      </c>
      <c r="AX8134">
        <v>1</v>
      </c>
    </row>
    <row r="8135" spans="1:50">
      <c r="B8135" t="str">
        <f>"124505257"</f>
        <v>124505257</v>
      </c>
      <c r="C8135" t="s">
        <v>50</v>
      </c>
      <c r="D8135" t="s">
        <v>12541</v>
      </c>
      <c r="E8135" t="s">
        <v>237</v>
      </c>
      <c r="F8135" t="s">
        <v>6428</v>
      </c>
      <c r="G8135" t="s">
        <v>396</v>
      </c>
      <c r="H8135" t="str">
        <f>" "</f>
        <v xml:space="preserve"> </v>
      </c>
      <c r="N8135" t="s">
        <v>615</v>
      </c>
      <c r="O8135" t="s">
        <v>616</v>
      </c>
      <c r="R8135" t="s">
        <v>159</v>
      </c>
      <c r="S8135">
        <v>2</v>
      </c>
      <c r="T8135" t="s">
        <v>8675</v>
      </c>
      <c r="U8135" s="1">
        <v>43348</v>
      </c>
      <c r="V8135" t="s">
        <v>5177</v>
      </c>
      <c r="W8135" t="s">
        <v>5178</v>
      </c>
      <c r="X8135" t="s">
        <v>58</v>
      </c>
      <c r="Y8135">
        <v>24</v>
      </c>
      <c r="Z8135" t="s">
        <v>59</v>
      </c>
      <c r="AA8135" t="s">
        <v>59</v>
      </c>
      <c r="AB8135" t="s">
        <v>59</v>
      </c>
      <c r="AD8135" t="s">
        <v>59</v>
      </c>
      <c r="AF8135" s="1">
        <v>43348</v>
      </c>
      <c r="AG8135" t="s">
        <v>8645</v>
      </c>
      <c r="AH8135" t="s">
        <v>8646</v>
      </c>
      <c r="AI8135" t="str">
        <f>"9320063"</f>
        <v>9320063</v>
      </c>
      <c r="AJ8135" t="s">
        <v>12026</v>
      </c>
      <c r="AK8135">
        <v>2841032369</v>
      </c>
      <c r="AL8135" t="s">
        <v>12027</v>
      </c>
      <c r="AM8135" t="s">
        <v>4513</v>
      </c>
      <c r="AN8135" t="s">
        <v>4514</v>
      </c>
      <c r="AO8135" t="s">
        <v>4524</v>
      </c>
      <c r="AP8135" t="s">
        <v>4525</v>
      </c>
      <c r="AQ8135">
        <v>1</v>
      </c>
      <c r="AR8135" t="s">
        <v>5177</v>
      </c>
      <c r="AS8135" t="s">
        <v>5178</v>
      </c>
      <c r="AT8135" t="s">
        <v>58</v>
      </c>
      <c r="AU8135" t="s">
        <v>8673</v>
      </c>
      <c r="AV8135" t="s">
        <v>132</v>
      </c>
      <c r="AW8135" s="1">
        <v>32780</v>
      </c>
      <c r="AX8135">
        <v>1</v>
      </c>
    </row>
    <row r="8136" spans="1:50">
      <c r="A8136">
        <v>615034</v>
      </c>
      <c r="B8136" t="str">
        <f>"036798210"</f>
        <v>036798210</v>
      </c>
      <c r="C8136" t="s">
        <v>105</v>
      </c>
      <c r="D8136" t="s">
        <v>12542</v>
      </c>
      <c r="E8136" t="s">
        <v>1041</v>
      </c>
      <c r="F8136" t="s">
        <v>166</v>
      </c>
      <c r="G8136" t="s">
        <v>155</v>
      </c>
      <c r="H8136" t="str">
        <f>"ΕΘΝ. ΑΜΥΝΗΣ 42 ΘΕΣΣΑΛΟΝΙΚΗ"</f>
        <v>ΕΘΝ. ΑΜΥΝΗΣ 42 ΘΕΣΣΑΛΟΝΙΚΗ</v>
      </c>
      <c r="I8136">
        <v>54621</v>
      </c>
      <c r="J8136">
        <v>2310225640</v>
      </c>
      <c r="K8136">
        <v>6944302787</v>
      </c>
      <c r="N8136" t="s">
        <v>615</v>
      </c>
      <c r="O8136" t="s">
        <v>616</v>
      </c>
      <c r="R8136" t="s">
        <v>57</v>
      </c>
      <c r="S8136">
        <v>6</v>
      </c>
      <c r="T8136">
        <v>598</v>
      </c>
      <c r="U8136" s="1">
        <v>39310</v>
      </c>
      <c r="V8136" t="s">
        <v>5177</v>
      </c>
      <c r="W8136" t="s">
        <v>5178</v>
      </c>
      <c r="X8136" t="s">
        <v>58</v>
      </c>
      <c r="Y8136">
        <v>23</v>
      </c>
      <c r="Z8136" t="s">
        <v>59</v>
      </c>
      <c r="AA8136" t="s">
        <v>59</v>
      </c>
      <c r="AB8136" t="s">
        <v>59</v>
      </c>
      <c r="AC8136" t="s">
        <v>59</v>
      </c>
      <c r="AD8136" t="s">
        <v>59</v>
      </c>
      <c r="AF8136" s="1">
        <v>39328</v>
      </c>
      <c r="AG8136" t="s">
        <v>8645</v>
      </c>
      <c r="AH8136" t="s">
        <v>8646</v>
      </c>
      <c r="AI8136" t="str">
        <f>"9320034"</f>
        <v>9320034</v>
      </c>
      <c r="AJ8136" t="s">
        <v>11984</v>
      </c>
      <c r="AK8136">
        <v>2841061401</v>
      </c>
      <c r="AL8136" t="s">
        <v>11985</v>
      </c>
      <c r="AM8136" t="s">
        <v>4513</v>
      </c>
      <c r="AN8136" t="s">
        <v>4514</v>
      </c>
      <c r="AO8136" t="s">
        <v>4514</v>
      </c>
      <c r="AP8136" t="s">
        <v>11986</v>
      </c>
      <c r="AQ8136">
        <v>2</v>
      </c>
      <c r="AR8136" t="s">
        <v>5177</v>
      </c>
      <c r="AS8136" t="s">
        <v>5178</v>
      </c>
      <c r="AT8136" t="s">
        <v>58</v>
      </c>
      <c r="AU8136" t="s">
        <v>68</v>
      </c>
      <c r="AV8136" t="s">
        <v>69</v>
      </c>
      <c r="AW8136" s="1">
        <v>22523</v>
      </c>
      <c r="AX8136">
        <v>1</v>
      </c>
    </row>
    <row r="8137" spans="1:50">
      <c r="A8137">
        <v>590105</v>
      </c>
      <c r="B8137" t="str">
        <f>"037462816"</f>
        <v>037462816</v>
      </c>
      <c r="C8137" t="s">
        <v>105</v>
      </c>
      <c r="D8137" t="s">
        <v>3913</v>
      </c>
      <c r="E8137" t="s">
        <v>309</v>
      </c>
      <c r="F8137" t="s">
        <v>166</v>
      </c>
      <c r="G8137" t="s">
        <v>52</v>
      </c>
      <c r="H8137" t="str">
        <f>"ΑΡΙΑΔΝΗΣ 4 ΑΓΙΟΣ ΝΙΚΟΛΑΟΣ"</f>
        <v>ΑΡΙΑΔΝΗΣ 4 ΑΓΙΟΣ ΝΙΚΟΛΑΟΣ</v>
      </c>
      <c r="I8137">
        <v>72100</v>
      </c>
      <c r="J8137">
        <v>2841026396</v>
      </c>
      <c r="K8137">
        <v>6948828806</v>
      </c>
      <c r="N8137" t="s">
        <v>176</v>
      </c>
      <c r="O8137" t="s">
        <v>177</v>
      </c>
      <c r="R8137" t="s">
        <v>57</v>
      </c>
      <c r="S8137">
        <v>13</v>
      </c>
      <c r="T8137">
        <v>177</v>
      </c>
      <c r="U8137" s="1">
        <v>36403</v>
      </c>
      <c r="V8137" t="s">
        <v>5177</v>
      </c>
      <c r="W8137" t="s">
        <v>5178</v>
      </c>
      <c r="X8137" t="s">
        <v>58</v>
      </c>
      <c r="Y8137">
        <v>21</v>
      </c>
      <c r="Z8137" t="s">
        <v>59</v>
      </c>
      <c r="AA8137" t="s">
        <v>59</v>
      </c>
      <c r="AB8137" t="s">
        <v>59</v>
      </c>
      <c r="AC8137" t="s">
        <v>59</v>
      </c>
      <c r="AD8137" t="s">
        <v>59</v>
      </c>
      <c r="AF8137" s="1">
        <v>36404</v>
      </c>
      <c r="AG8137" t="s">
        <v>8645</v>
      </c>
      <c r="AH8137" t="s">
        <v>8646</v>
      </c>
      <c r="AI8137" t="str">
        <f>"9320058"</f>
        <v>9320058</v>
      </c>
      <c r="AJ8137" t="s">
        <v>11893</v>
      </c>
      <c r="AK8137">
        <v>2841022496</v>
      </c>
      <c r="AL8137" t="s">
        <v>11894</v>
      </c>
      <c r="AM8137" t="s">
        <v>4513</v>
      </c>
      <c r="AN8137" t="s">
        <v>4514</v>
      </c>
      <c r="AO8137" t="s">
        <v>4514</v>
      </c>
      <c r="AP8137" t="s">
        <v>4514</v>
      </c>
      <c r="AQ8137">
        <v>1</v>
      </c>
      <c r="AR8137" t="s">
        <v>5177</v>
      </c>
      <c r="AS8137" t="s">
        <v>5178</v>
      </c>
      <c r="AT8137" t="s">
        <v>58</v>
      </c>
      <c r="AU8137" t="s">
        <v>68</v>
      </c>
      <c r="AV8137" t="s">
        <v>69</v>
      </c>
      <c r="AW8137" s="1">
        <v>23721</v>
      </c>
      <c r="AX8137">
        <v>1</v>
      </c>
    </row>
    <row r="8138" spans="1:50">
      <c r="A8138">
        <v>614923</v>
      </c>
      <c r="B8138" t="str">
        <f>"126324141"</f>
        <v>126324141</v>
      </c>
      <c r="C8138" t="s">
        <v>50</v>
      </c>
      <c r="D8138" t="s">
        <v>3915</v>
      </c>
      <c r="E8138" t="s">
        <v>54</v>
      </c>
      <c r="F8138" t="s">
        <v>5386</v>
      </c>
      <c r="G8138" t="s">
        <v>52</v>
      </c>
      <c r="H8138" t="str">
        <f>"ΚΑΣΤΕΛΙΟΥ ΜΙΡΑΜΒΕΛΙΟΥ 13 ΑΓΙΟΣ ΝΙΚΟΛΑΟΣ"</f>
        <v>ΚΑΣΤΕΛΙΟΥ ΜΙΡΑΜΒΕΛΙΟΥ 13 ΑΓΙΟΣ ΝΙΚΟΛΑΟΣ</v>
      </c>
      <c r="I8138">
        <v>72100</v>
      </c>
      <c r="J8138">
        <v>2841024635</v>
      </c>
      <c r="K8138">
        <v>6949195258</v>
      </c>
      <c r="N8138" t="s">
        <v>615</v>
      </c>
      <c r="O8138" t="s">
        <v>616</v>
      </c>
      <c r="R8138" t="s">
        <v>57</v>
      </c>
      <c r="S8138">
        <v>5</v>
      </c>
      <c r="T8138">
        <v>598</v>
      </c>
      <c r="U8138" s="1">
        <v>39310</v>
      </c>
      <c r="V8138" t="s">
        <v>5177</v>
      </c>
      <c r="W8138" t="s">
        <v>5178</v>
      </c>
      <c r="X8138" t="s">
        <v>58</v>
      </c>
      <c r="Y8138">
        <v>23</v>
      </c>
      <c r="Z8138" t="s">
        <v>59</v>
      </c>
      <c r="AA8138" t="s">
        <v>59</v>
      </c>
      <c r="AB8138" t="s">
        <v>59</v>
      </c>
      <c r="AC8138" t="s">
        <v>59</v>
      </c>
      <c r="AD8138" t="s">
        <v>59</v>
      </c>
      <c r="AF8138" s="1">
        <v>39328</v>
      </c>
      <c r="AG8138" t="s">
        <v>8645</v>
      </c>
      <c r="AH8138" t="s">
        <v>8646</v>
      </c>
      <c r="AI8138" t="str">
        <f>"9521420"</f>
        <v>9521420</v>
      </c>
      <c r="AJ8138" t="s">
        <v>11947</v>
      </c>
      <c r="AK8138">
        <v>2841021022</v>
      </c>
      <c r="AL8138" t="s">
        <v>11948</v>
      </c>
      <c r="AM8138" t="s">
        <v>4513</v>
      </c>
      <c r="AN8138" t="s">
        <v>4514</v>
      </c>
      <c r="AO8138" t="s">
        <v>4514</v>
      </c>
      <c r="AP8138" t="s">
        <v>4514</v>
      </c>
      <c r="AQ8138">
        <v>1</v>
      </c>
      <c r="AR8138" t="s">
        <v>5177</v>
      </c>
      <c r="AS8138" t="s">
        <v>5178</v>
      </c>
      <c r="AT8138" t="s">
        <v>58</v>
      </c>
      <c r="AU8138" t="s">
        <v>68</v>
      </c>
      <c r="AV8138" t="s">
        <v>69</v>
      </c>
      <c r="AW8138" s="1">
        <v>30949</v>
      </c>
      <c r="AX8138">
        <v>1</v>
      </c>
    </row>
    <row r="8139" spans="1:50">
      <c r="A8139">
        <v>613959</v>
      </c>
      <c r="B8139" t="str">
        <f>"049313654"</f>
        <v>049313654</v>
      </c>
      <c r="C8139" t="s">
        <v>50</v>
      </c>
      <c r="D8139" t="s">
        <v>12543</v>
      </c>
      <c r="E8139" t="s">
        <v>52</v>
      </c>
      <c r="F8139" t="s">
        <v>72</v>
      </c>
      <c r="G8139" t="s">
        <v>263</v>
      </c>
      <c r="H8139" t="str">
        <f>"ΣΤΟΜΙΟ  ΙΕΡΑΠΕΤΡΑΣ"</f>
        <v>ΣΤΟΜΙΟ  ΙΕΡΑΠΕΤΡΑΣ</v>
      </c>
      <c r="I8139">
        <v>72200</v>
      </c>
      <c r="J8139">
        <v>2842041644</v>
      </c>
      <c r="K8139">
        <v>6973749628</v>
      </c>
      <c r="N8139" t="s">
        <v>615</v>
      </c>
      <c r="O8139" t="s">
        <v>616</v>
      </c>
      <c r="R8139" t="s">
        <v>57</v>
      </c>
      <c r="S8139">
        <v>5</v>
      </c>
      <c r="T8139">
        <v>598</v>
      </c>
      <c r="U8139" s="1">
        <v>39310</v>
      </c>
      <c r="V8139" t="s">
        <v>5177</v>
      </c>
      <c r="W8139" t="s">
        <v>5178</v>
      </c>
      <c r="X8139" t="s">
        <v>58</v>
      </c>
      <c r="Y8139">
        <v>23</v>
      </c>
      <c r="Z8139" t="s">
        <v>59</v>
      </c>
      <c r="AA8139" t="s">
        <v>59</v>
      </c>
      <c r="AB8139" t="s">
        <v>59</v>
      </c>
      <c r="AC8139" t="s">
        <v>59</v>
      </c>
      <c r="AD8139" t="s">
        <v>59</v>
      </c>
      <c r="AF8139" s="1">
        <v>39328</v>
      </c>
      <c r="AG8139" t="s">
        <v>8645</v>
      </c>
      <c r="AH8139" t="s">
        <v>8646</v>
      </c>
      <c r="AI8139" t="str">
        <f>"9320012"</f>
        <v>9320012</v>
      </c>
      <c r="AJ8139" t="s">
        <v>11921</v>
      </c>
      <c r="AK8139">
        <v>2842041253</v>
      </c>
      <c r="AL8139" t="s">
        <v>11922</v>
      </c>
      <c r="AM8139" t="s">
        <v>4513</v>
      </c>
      <c r="AN8139" t="s">
        <v>4519</v>
      </c>
      <c r="AO8139" t="s">
        <v>4519</v>
      </c>
      <c r="AP8139" t="s">
        <v>11899</v>
      </c>
      <c r="AQ8139">
        <v>7</v>
      </c>
      <c r="AR8139" t="s">
        <v>5177</v>
      </c>
      <c r="AS8139" t="s">
        <v>5178</v>
      </c>
      <c r="AT8139" t="s">
        <v>58</v>
      </c>
      <c r="AU8139" t="s">
        <v>68</v>
      </c>
      <c r="AV8139" t="s">
        <v>69</v>
      </c>
      <c r="AW8139" s="1">
        <v>29776</v>
      </c>
      <c r="AX8139">
        <v>1</v>
      </c>
    </row>
    <row r="8140" spans="1:50">
      <c r="A8140">
        <v>616006</v>
      </c>
      <c r="B8140" t="str">
        <f>"077630012"</f>
        <v>077630012</v>
      </c>
      <c r="C8140" t="s">
        <v>50</v>
      </c>
      <c r="D8140" t="s">
        <v>3917</v>
      </c>
      <c r="E8140" t="s">
        <v>52</v>
      </c>
      <c r="F8140" t="s">
        <v>84</v>
      </c>
      <c r="G8140" t="s">
        <v>83</v>
      </c>
      <c r="H8140" t="str">
        <f>"ΠΑΥΣΙΛΥΠΟΥ 26 ΑΝΩ ΤΟΥΜΠΑ ΘΕΣΣΑΛΟΝΙΚΗ"</f>
        <v>ΠΑΥΣΙΛΥΠΟΥ 26 ΑΝΩ ΤΟΥΜΠΑ ΘΕΣΣΑΛΟΝΙΚΗ</v>
      </c>
      <c r="I8140">
        <v>54352</v>
      </c>
      <c r="J8140">
        <v>2310913102</v>
      </c>
      <c r="K8140">
        <v>6976784150</v>
      </c>
      <c r="M8140" t="s">
        <v>12544</v>
      </c>
      <c r="N8140" t="s">
        <v>176</v>
      </c>
      <c r="O8140" t="s">
        <v>177</v>
      </c>
      <c r="R8140" t="s">
        <v>57</v>
      </c>
      <c r="S8140">
        <v>8</v>
      </c>
      <c r="T8140">
        <v>600</v>
      </c>
      <c r="U8140" s="1">
        <v>39310</v>
      </c>
      <c r="V8140" t="s">
        <v>5177</v>
      </c>
      <c r="W8140" t="s">
        <v>5178</v>
      </c>
      <c r="X8140" t="s">
        <v>58</v>
      </c>
      <c r="Y8140">
        <v>22</v>
      </c>
      <c r="Z8140" t="s">
        <v>59</v>
      </c>
      <c r="AA8140" t="s">
        <v>59</v>
      </c>
      <c r="AB8140" t="s">
        <v>59</v>
      </c>
      <c r="AC8140" t="s">
        <v>59</v>
      </c>
      <c r="AD8140" t="s">
        <v>59</v>
      </c>
      <c r="AF8140" s="1">
        <v>39328</v>
      </c>
      <c r="AG8140" t="s">
        <v>8645</v>
      </c>
      <c r="AH8140" t="s">
        <v>8646</v>
      </c>
      <c r="AI8140" t="str">
        <f>"9320145"</f>
        <v>9320145</v>
      </c>
      <c r="AJ8140" t="s">
        <v>12171</v>
      </c>
      <c r="AK8140">
        <v>2841071309</v>
      </c>
      <c r="AL8140" t="s">
        <v>12172</v>
      </c>
      <c r="AM8140" t="s">
        <v>4513</v>
      </c>
      <c r="AN8140" t="s">
        <v>4514</v>
      </c>
      <c r="AO8140" t="s">
        <v>12085</v>
      </c>
      <c r="AP8140" t="s">
        <v>12085</v>
      </c>
      <c r="AQ8140">
        <v>2</v>
      </c>
      <c r="AR8140" t="s">
        <v>5177</v>
      </c>
      <c r="AS8140" t="s">
        <v>5178</v>
      </c>
      <c r="AT8140" t="s">
        <v>58</v>
      </c>
      <c r="AU8140" t="s">
        <v>68</v>
      </c>
      <c r="AV8140" t="s">
        <v>69</v>
      </c>
      <c r="AW8140" s="1">
        <v>25862</v>
      </c>
      <c r="AX8140">
        <v>1</v>
      </c>
    </row>
    <row r="8141" spans="1:50">
      <c r="B8141" t="str">
        <f>"049889366"</f>
        <v>049889366</v>
      </c>
      <c r="C8141" t="s">
        <v>50</v>
      </c>
      <c r="D8141" t="s">
        <v>3917</v>
      </c>
      <c r="E8141" t="s">
        <v>188</v>
      </c>
      <c r="F8141" t="s">
        <v>84</v>
      </c>
      <c r="G8141" t="s">
        <v>83</v>
      </c>
      <c r="H8141" t="str">
        <f>"ΜΟΝΗΣ ΦΡΑΡΟΥ 6 ΝΕΑΠΟΛΗ"</f>
        <v>ΜΟΝΗΣ ΦΡΑΡΟΥ 6 ΝΕΑΠΟΛΗ</v>
      </c>
      <c r="I8141">
        <v>72400</v>
      </c>
      <c r="J8141">
        <v>2841032195</v>
      </c>
      <c r="K8141">
        <v>6972152001</v>
      </c>
      <c r="N8141" t="s">
        <v>8694</v>
      </c>
      <c r="O8141" t="s">
        <v>8695</v>
      </c>
      <c r="R8141" t="s">
        <v>57</v>
      </c>
      <c r="S8141">
        <v>5</v>
      </c>
      <c r="T8141" t="s">
        <v>8696</v>
      </c>
      <c r="U8141" s="1">
        <v>43348</v>
      </c>
      <c r="V8141" t="s">
        <v>5177</v>
      </c>
      <c r="W8141" t="s">
        <v>5178</v>
      </c>
      <c r="X8141" t="s">
        <v>58</v>
      </c>
      <c r="Y8141">
        <v>25</v>
      </c>
      <c r="Z8141" t="s">
        <v>59</v>
      </c>
      <c r="AA8141" t="s">
        <v>59</v>
      </c>
      <c r="AB8141" t="s">
        <v>59</v>
      </c>
      <c r="AC8141" t="s">
        <v>59</v>
      </c>
      <c r="AD8141" t="s">
        <v>59</v>
      </c>
      <c r="AF8141" s="1">
        <v>43348</v>
      </c>
      <c r="AG8141" t="s">
        <v>8645</v>
      </c>
      <c r="AH8141" t="s">
        <v>8697</v>
      </c>
      <c r="AI8141" t="str">
        <f>"9320209"</f>
        <v>9320209</v>
      </c>
      <c r="AJ8141" t="s">
        <v>12009</v>
      </c>
      <c r="AK8141">
        <v>2841026803</v>
      </c>
      <c r="AL8141" t="s">
        <v>12010</v>
      </c>
      <c r="AM8141" t="s">
        <v>4513</v>
      </c>
      <c r="AN8141" t="s">
        <v>4514</v>
      </c>
      <c r="AO8141" t="s">
        <v>4514</v>
      </c>
      <c r="AP8141" t="s">
        <v>4514</v>
      </c>
      <c r="AQ8141">
        <v>1</v>
      </c>
      <c r="AR8141" t="s">
        <v>5177</v>
      </c>
      <c r="AS8141" t="s">
        <v>5178</v>
      </c>
      <c r="AT8141" t="s">
        <v>58</v>
      </c>
      <c r="AU8141" t="s">
        <v>350</v>
      </c>
      <c r="AV8141" t="s">
        <v>132</v>
      </c>
      <c r="AW8141" s="1">
        <v>28221</v>
      </c>
      <c r="AX8141">
        <v>1</v>
      </c>
    </row>
    <row r="8142" spans="1:50">
      <c r="A8142">
        <v>700378</v>
      </c>
      <c r="B8142" t="str">
        <f>"120127484"</f>
        <v>120127484</v>
      </c>
      <c r="C8142" t="s">
        <v>105</v>
      </c>
      <c r="D8142" t="s">
        <v>11485</v>
      </c>
      <c r="E8142" t="s">
        <v>4140</v>
      </c>
      <c r="F8142" t="s">
        <v>640</v>
      </c>
      <c r="G8142" t="s">
        <v>620</v>
      </c>
      <c r="H8142" t="str">
        <f>"ΑΝ.ΘΡΑΚΗΣ 6 ΣΕΡΡΕΣ"</f>
        <v>ΑΝ.ΘΡΑΚΗΣ 6 ΣΕΡΡΕΣ</v>
      </c>
      <c r="I8142">
        <v>62100</v>
      </c>
      <c r="J8142">
        <v>2321025659</v>
      </c>
      <c r="K8142">
        <v>6944122496</v>
      </c>
      <c r="M8142" t="s">
        <v>12545</v>
      </c>
      <c r="N8142" t="s">
        <v>615</v>
      </c>
      <c r="O8142" t="s">
        <v>616</v>
      </c>
      <c r="R8142" t="s">
        <v>57</v>
      </c>
      <c r="S8142">
        <v>6</v>
      </c>
      <c r="T8142">
        <v>772</v>
      </c>
      <c r="U8142" s="1">
        <v>40413</v>
      </c>
      <c r="V8142" t="s">
        <v>5177</v>
      </c>
      <c r="W8142" t="s">
        <v>5178</v>
      </c>
      <c r="X8142" t="s">
        <v>58</v>
      </c>
      <c r="Y8142">
        <v>24</v>
      </c>
      <c r="Z8142" t="s">
        <v>59</v>
      </c>
      <c r="AA8142" t="s">
        <v>59</v>
      </c>
      <c r="AB8142" t="s">
        <v>59</v>
      </c>
      <c r="AC8142" t="s">
        <v>59</v>
      </c>
      <c r="AD8142" t="s">
        <v>59</v>
      </c>
      <c r="AF8142" s="1">
        <v>40413</v>
      </c>
      <c r="AG8142" t="s">
        <v>8645</v>
      </c>
      <c r="AH8142" t="s">
        <v>8646</v>
      </c>
      <c r="AI8142" t="str">
        <f>"9320098"</f>
        <v>9320098</v>
      </c>
      <c r="AJ8142" t="s">
        <v>12053</v>
      </c>
      <c r="AK8142">
        <v>2843051475</v>
      </c>
      <c r="AL8142" t="s">
        <v>12054</v>
      </c>
      <c r="AM8142" t="s">
        <v>4513</v>
      </c>
      <c r="AN8142" t="s">
        <v>4519</v>
      </c>
      <c r="AO8142" t="s">
        <v>4766</v>
      </c>
      <c r="AP8142" t="s">
        <v>12055</v>
      </c>
      <c r="AQ8142">
        <v>6</v>
      </c>
      <c r="AR8142" t="s">
        <v>5177</v>
      </c>
      <c r="AS8142" t="s">
        <v>5178</v>
      </c>
      <c r="AT8142" t="s">
        <v>58</v>
      </c>
      <c r="AU8142" t="s">
        <v>68</v>
      </c>
      <c r="AV8142" t="s">
        <v>69</v>
      </c>
      <c r="AW8142" s="1">
        <v>30061</v>
      </c>
      <c r="AX8142">
        <v>1</v>
      </c>
    </row>
    <row r="8143" spans="1:50">
      <c r="B8143" t="str">
        <f>"302006175"</f>
        <v>302006175</v>
      </c>
      <c r="C8143" t="s">
        <v>105</v>
      </c>
      <c r="D8143" t="s">
        <v>12546</v>
      </c>
      <c r="E8143" t="s">
        <v>957</v>
      </c>
      <c r="F8143" t="s">
        <v>4140</v>
      </c>
      <c r="G8143" t="s">
        <v>237</v>
      </c>
      <c r="H8143" t="str">
        <f>"ΠΑΡΟΔΟΣ ΡΗΓΑ ΦΕΡΡΑΙΟΥ 7 ΕΛΕΥΣΙΝΑ"</f>
        <v>ΠΑΡΟΔΟΣ ΡΗΓΑ ΦΕΡΡΑΙΟΥ 7 ΕΛΕΥΣΙΝΑ</v>
      </c>
      <c r="I8143">
        <v>19200</v>
      </c>
      <c r="J8143">
        <v>2324071319</v>
      </c>
      <c r="K8143">
        <v>6936917168</v>
      </c>
      <c r="N8143" t="s">
        <v>615</v>
      </c>
      <c r="O8143" t="s">
        <v>616</v>
      </c>
      <c r="R8143" t="s">
        <v>159</v>
      </c>
      <c r="S8143">
        <v>2</v>
      </c>
      <c r="T8143" t="s">
        <v>8675</v>
      </c>
      <c r="U8143" s="1">
        <v>43348</v>
      </c>
      <c r="V8143" t="s">
        <v>5177</v>
      </c>
      <c r="W8143" t="s">
        <v>5178</v>
      </c>
      <c r="X8143" t="s">
        <v>58</v>
      </c>
      <c r="Y8143">
        <v>24</v>
      </c>
      <c r="Z8143" t="s">
        <v>59</v>
      </c>
      <c r="AA8143" t="s">
        <v>59</v>
      </c>
      <c r="AB8143" t="s">
        <v>59</v>
      </c>
      <c r="AC8143" t="s">
        <v>59</v>
      </c>
      <c r="AD8143" t="s">
        <v>59</v>
      </c>
      <c r="AF8143" s="1">
        <v>43348</v>
      </c>
      <c r="AG8143" t="s">
        <v>8645</v>
      </c>
      <c r="AH8143" t="s">
        <v>8646</v>
      </c>
      <c r="AI8143" t="str">
        <f>"9320055"</f>
        <v>9320055</v>
      </c>
      <c r="AJ8143" t="s">
        <v>11937</v>
      </c>
      <c r="AK8143">
        <v>2841022326</v>
      </c>
      <c r="AL8143" t="s">
        <v>11938</v>
      </c>
      <c r="AM8143" t="s">
        <v>4513</v>
      </c>
      <c r="AN8143" t="s">
        <v>4514</v>
      </c>
      <c r="AO8143" t="s">
        <v>4514</v>
      </c>
      <c r="AP8143" t="s">
        <v>4514</v>
      </c>
      <c r="AQ8143">
        <v>1</v>
      </c>
      <c r="AR8143" t="s">
        <v>5177</v>
      </c>
      <c r="AS8143" t="s">
        <v>5178</v>
      </c>
      <c r="AT8143" t="s">
        <v>58</v>
      </c>
      <c r="AU8143" t="s">
        <v>8673</v>
      </c>
      <c r="AV8143" t="s">
        <v>132</v>
      </c>
      <c r="AW8143" s="1">
        <v>29522</v>
      </c>
      <c r="AX8143">
        <v>1</v>
      </c>
    </row>
    <row r="8144" spans="1:50">
      <c r="A8144">
        <v>701311</v>
      </c>
      <c r="B8144" t="str">
        <f>"140804257"</f>
        <v>140804257</v>
      </c>
      <c r="C8144" t="s">
        <v>50</v>
      </c>
      <c r="D8144" t="s">
        <v>12547</v>
      </c>
      <c r="E8144" t="s">
        <v>155</v>
      </c>
      <c r="F8144" t="s">
        <v>1890</v>
      </c>
      <c r="G8144" t="s">
        <v>143</v>
      </c>
      <c r="H8144" t="str">
        <f>"ΠΛ. ΣΚΡΑ 3 ΚΑΛΑΜΑΡΙΑ"</f>
        <v>ΠΛ. ΣΚΡΑ 3 ΚΑΛΑΜΑΡΙΑ</v>
      </c>
      <c r="I8144">
        <v>55132</v>
      </c>
      <c r="J8144">
        <v>2310455541</v>
      </c>
      <c r="K8144">
        <v>6936550567</v>
      </c>
      <c r="M8144" t="s">
        <v>12548</v>
      </c>
      <c r="N8144" t="s">
        <v>1525</v>
      </c>
      <c r="O8144" t="s">
        <v>1526</v>
      </c>
      <c r="R8144" t="s">
        <v>57</v>
      </c>
      <c r="S8144">
        <v>5</v>
      </c>
      <c r="T8144">
        <v>772</v>
      </c>
      <c r="U8144" s="1">
        <v>40414</v>
      </c>
      <c r="V8144" t="s">
        <v>5177</v>
      </c>
      <c r="W8144" t="s">
        <v>5178</v>
      </c>
      <c r="X8144" t="s">
        <v>58</v>
      </c>
      <c r="Y8144">
        <v>25</v>
      </c>
      <c r="Z8144" t="s">
        <v>59</v>
      </c>
      <c r="AA8144" t="s">
        <v>59</v>
      </c>
      <c r="AB8144" t="s">
        <v>59</v>
      </c>
      <c r="AC8144" t="s">
        <v>59</v>
      </c>
      <c r="AD8144" t="s">
        <v>59</v>
      </c>
      <c r="AF8144" s="1">
        <v>40414</v>
      </c>
      <c r="AG8144" t="s">
        <v>8651</v>
      </c>
      <c r="AH8144" t="s">
        <v>8652</v>
      </c>
      <c r="AI8144" t="str">
        <f>"9320206"</f>
        <v>9320206</v>
      </c>
      <c r="AJ8144" t="s">
        <v>12210</v>
      </c>
      <c r="AK8144">
        <v>2843051143</v>
      </c>
      <c r="AL8144" t="s">
        <v>12211</v>
      </c>
      <c r="AM8144" t="s">
        <v>4513</v>
      </c>
      <c r="AN8144" t="s">
        <v>4519</v>
      </c>
      <c r="AO8144" t="s">
        <v>4766</v>
      </c>
      <c r="AP8144" t="s">
        <v>12055</v>
      </c>
      <c r="AQ8144">
        <v>6</v>
      </c>
      <c r="AR8144" t="s">
        <v>5177</v>
      </c>
      <c r="AS8144" t="s">
        <v>5178</v>
      </c>
      <c r="AT8144" t="s">
        <v>58</v>
      </c>
      <c r="AU8144" t="s">
        <v>68</v>
      </c>
      <c r="AV8144" t="s">
        <v>69</v>
      </c>
      <c r="AW8144" s="1">
        <v>29892</v>
      </c>
      <c r="AX8144">
        <v>1</v>
      </c>
    </row>
    <row r="8145" spans="1:50">
      <c r="B8145" t="str">
        <f>"142667900"</f>
        <v>142667900</v>
      </c>
      <c r="C8145" t="s">
        <v>50</v>
      </c>
      <c r="D8145" t="s">
        <v>12549</v>
      </c>
      <c r="E8145" t="s">
        <v>83</v>
      </c>
      <c r="F8145" t="s">
        <v>609</v>
      </c>
      <c r="G8145" t="s">
        <v>52</v>
      </c>
      <c r="H8145" t="str">
        <f>" "</f>
        <v xml:space="preserve"> </v>
      </c>
      <c r="N8145" t="s">
        <v>9829</v>
      </c>
      <c r="O8145" t="s">
        <v>9830</v>
      </c>
      <c r="R8145" t="s">
        <v>159</v>
      </c>
      <c r="S8145">
        <v>3</v>
      </c>
      <c r="T8145" t="s">
        <v>8696</v>
      </c>
      <c r="U8145" s="1">
        <v>43348</v>
      </c>
      <c r="V8145" t="s">
        <v>5177</v>
      </c>
      <c r="W8145" t="s">
        <v>5178</v>
      </c>
      <c r="X8145" t="s">
        <v>58</v>
      </c>
      <c r="Y8145">
        <v>25</v>
      </c>
      <c r="Z8145" t="s">
        <v>59</v>
      </c>
      <c r="AA8145" t="s">
        <v>59</v>
      </c>
      <c r="AB8145" t="s">
        <v>59</v>
      </c>
      <c r="AD8145" t="s">
        <v>59</v>
      </c>
      <c r="AF8145" s="1">
        <v>43348</v>
      </c>
      <c r="AG8145" t="s">
        <v>8651</v>
      </c>
      <c r="AH8145" t="s">
        <v>9015</v>
      </c>
      <c r="AI8145" t="str">
        <f>"9320221"</f>
        <v>9320221</v>
      </c>
      <c r="AJ8145" t="s">
        <v>12133</v>
      </c>
      <c r="AK8145">
        <v>2842089087</v>
      </c>
      <c r="AL8145" t="s">
        <v>12134</v>
      </c>
      <c r="AM8145" t="s">
        <v>4513</v>
      </c>
      <c r="AN8145" t="s">
        <v>4519</v>
      </c>
      <c r="AO8145" t="s">
        <v>4519</v>
      </c>
      <c r="AP8145" t="s">
        <v>4519</v>
      </c>
      <c r="AQ8145">
        <v>4</v>
      </c>
      <c r="AR8145" t="s">
        <v>5177</v>
      </c>
      <c r="AS8145" t="s">
        <v>5178</v>
      </c>
      <c r="AT8145" t="s">
        <v>58</v>
      </c>
      <c r="AU8145" t="s">
        <v>350</v>
      </c>
      <c r="AV8145" t="s">
        <v>132</v>
      </c>
      <c r="AW8145" s="1">
        <v>31902</v>
      </c>
      <c r="AX8145">
        <v>1</v>
      </c>
    </row>
    <row r="8146" spans="1:50">
      <c r="A8146">
        <v>700747</v>
      </c>
      <c r="B8146" t="str">
        <f>"139665620"</f>
        <v>139665620</v>
      </c>
      <c r="C8146" t="s">
        <v>50</v>
      </c>
      <c r="D8146" t="s">
        <v>12550</v>
      </c>
      <c r="E8146" t="s">
        <v>54</v>
      </c>
      <c r="F8146" t="s">
        <v>72</v>
      </c>
      <c r="G8146" t="s">
        <v>237</v>
      </c>
      <c r="H8146" t="str">
        <f>"ΝΙΚ.ΦΩΚΑ 28 ΙΕΡΑΠΕΤΡΑ"</f>
        <v>ΝΙΚ.ΦΩΚΑ 28 ΙΕΡΑΠΕΤΡΑ</v>
      </c>
      <c r="I8146">
        <v>72200</v>
      </c>
      <c r="J8146">
        <v>2842501612</v>
      </c>
      <c r="K8146">
        <v>6974225870</v>
      </c>
      <c r="L8146">
        <v>2310737024</v>
      </c>
      <c r="M8146" t="s">
        <v>12551</v>
      </c>
      <c r="N8146" t="s">
        <v>615</v>
      </c>
      <c r="O8146" t="s">
        <v>616</v>
      </c>
      <c r="R8146" t="s">
        <v>57</v>
      </c>
      <c r="S8146">
        <v>4</v>
      </c>
      <c r="T8146">
        <v>772</v>
      </c>
      <c r="U8146" s="1">
        <v>40413</v>
      </c>
      <c r="V8146" t="s">
        <v>5177</v>
      </c>
      <c r="W8146" t="s">
        <v>5178</v>
      </c>
      <c r="X8146" t="s">
        <v>58</v>
      </c>
      <c r="Y8146">
        <v>24</v>
      </c>
      <c r="Z8146" t="s">
        <v>59</v>
      </c>
      <c r="AA8146" t="s">
        <v>59</v>
      </c>
      <c r="AB8146" t="s">
        <v>59</v>
      </c>
      <c r="AC8146" t="s">
        <v>59</v>
      </c>
      <c r="AD8146" t="s">
        <v>59</v>
      </c>
      <c r="AF8146" s="1">
        <v>40413</v>
      </c>
      <c r="AG8146" t="s">
        <v>8645</v>
      </c>
      <c r="AH8146" t="s">
        <v>8646</v>
      </c>
      <c r="AI8146" t="str">
        <f>"9320098"</f>
        <v>9320098</v>
      </c>
      <c r="AJ8146" t="s">
        <v>12053</v>
      </c>
      <c r="AK8146">
        <v>2843051475</v>
      </c>
      <c r="AL8146" t="s">
        <v>12054</v>
      </c>
      <c r="AM8146" t="s">
        <v>4513</v>
      </c>
      <c r="AN8146" t="s">
        <v>4519</v>
      </c>
      <c r="AO8146" t="s">
        <v>4766</v>
      </c>
      <c r="AP8146" t="s">
        <v>12055</v>
      </c>
      <c r="AQ8146">
        <v>6</v>
      </c>
      <c r="AR8146" t="s">
        <v>5177</v>
      </c>
      <c r="AS8146" t="s">
        <v>5178</v>
      </c>
      <c r="AT8146" t="s">
        <v>58</v>
      </c>
      <c r="AU8146" t="s">
        <v>68</v>
      </c>
      <c r="AV8146" t="s">
        <v>69</v>
      </c>
      <c r="AW8146" s="1">
        <v>31692</v>
      </c>
      <c r="AX8146">
        <v>1</v>
      </c>
    </row>
    <row r="8147" spans="1:50">
      <c r="B8147" t="str">
        <f>"139982427"</f>
        <v>139982427</v>
      </c>
      <c r="C8147" t="s">
        <v>105</v>
      </c>
      <c r="D8147" t="s">
        <v>12552</v>
      </c>
      <c r="E8147" t="s">
        <v>84</v>
      </c>
      <c r="F8147" t="s">
        <v>315</v>
      </c>
      <c r="G8147" t="s">
        <v>8772</v>
      </c>
      <c r="H8147" t="str">
        <f>"ΣΤΡΩΜΝΙΤΣΗΣ 66 "</f>
        <v xml:space="preserve">ΣΤΡΩΜΝΙΤΣΗΣ 66 </v>
      </c>
      <c r="I8147">
        <v>54248</v>
      </c>
      <c r="J8147">
        <v>2310307852</v>
      </c>
      <c r="K8147">
        <v>6978019478</v>
      </c>
      <c r="M8147" t="s">
        <v>12553</v>
      </c>
      <c r="N8147" t="s">
        <v>615</v>
      </c>
      <c r="O8147" t="s">
        <v>616</v>
      </c>
      <c r="R8147" t="s">
        <v>159</v>
      </c>
      <c r="S8147">
        <v>2</v>
      </c>
      <c r="T8147" t="s">
        <v>8675</v>
      </c>
      <c r="U8147" s="1">
        <v>43348</v>
      </c>
      <c r="V8147" t="s">
        <v>5177</v>
      </c>
      <c r="W8147" t="s">
        <v>5178</v>
      </c>
      <c r="X8147" t="s">
        <v>58</v>
      </c>
      <c r="Y8147">
        <v>25</v>
      </c>
      <c r="Z8147" t="s">
        <v>59</v>
      </c>
      <c r="AA8147" t="s">
        <v>59</v>
      </c>
      <c r="AB8147" t="s">
        <v>59</v>
      </c>
      <c r="AC8147" t="s">
        <v>59</v>
      </c>
      <c r="AD8147" t="s">
        <v>59</v>
      </c>
      <c r="AF8147" s="1">
        <v>43348</v>
      </c>
      <c r="AG8147" t="s">
        <v>8645</v>
      </c>
      <c r="AH8147" t="s">
        <v>8676</v>
      </c>
      <c r="AI8147" t="str">
        <f>"9320112"</f>
        <v>9320112</v>
      </c>
      <c r="AJ8147" t="s">
        <v>11971</v>
      </c>
      <c r="AK8147">
        <v>2843051115</v>
      </c>
      <c r="AL8147" t="s">
        <v>11972</v>
      </c>
      <c r="AM8147" t="s">
        <v>4513</v>
      </c>
      <c r="AN8147" t="s">
        <v>4540</v>
      </c>
      <c r="AO8147" t="s">
        <v>4547</v>
      </c>
      <c r="AP8147" t="s">
        <v>11973</v>
      </c>
      <c r="AQ8147">
        <v>11</v>
      </c>
      <c r="AR8147" t="s">
        <v>5177</v>
      </c>
      <c r="AS8147" t="s">
        <v>5178</v>
      </c>
      <c r="AT8147" t="s">
        <v>58</v>
      </c>
      <c r="AU8147" t="s">
        <v>8673</v>
      </c>
      <c r="AV8147" t="s">
        <v>132</v>
      </c>
      <c r="AW8147" s="1">
        <v>32029</v>
      </c>
      <c r="AX8147">
        <v>1</v>
      </c>
    </row>
    <row r="8148" spans="1:50">
      <c r="A8148">
        <v>704369</v>
      </c>
      <c r="B8148" t="str">
        <f>"109490410"</f>
        <v>109490410</v>
      </c>
      <c r="C8148" t="s">
        <v>50</v>
      </c>
      <c r="D8148" t="s">
        <v>12554</v>
      </c>
      <c r="E8148" t="s">
        <v>188</v>
      </c>
      <c r="F8148" t="s">
        <v>450</v>
      </c>
      <c r="G8148" t="s">
        <v>783</v>
      </c>
      <c r="H8148" t="str">
        <f>"ΜΕΣΟΛΟΓΓΙΟΥ 7 ΚΟΜΟΤΗΝΗ"</f>
        <v>ΜΕΣΟΛΟΓΓΙΟΥ 7 ΚΟΜΟΤΗΝΗ</v>
      </c>
      <c r="I8148">
        <v>69100</v>
      </c>
      <c r="J8148">
        <v>2531072726</v>
      </c>
      <c r="K8148">
        <v>6932449224</v>
      </c>
      <c r="N8148" t="s">
        <v>1525</v>
      </c>
      <c r="O8148" t="s">
        <v>1526</v>
      </c>
      <c r="R8148" t="s">
        <v>121</v>
      </c>
      <c r="S8148">
        <v>3</v>
      </c>
      <c r="T8148">
        <v>796</v>
      </c>
      <c r="U8148" s="1">
        <v>42968</v>
      </c>
      <c r="V8148" t="s">
        <v>5177</v>
      </c>
      <c r="W8148" t="s">
        <v>5178</v>
      </c>
      <c r="X8148" t="s">
        <v>58</v>
      </c>
      <c r="Y8148">
        <v>25</v>
      </c>
      <c r="Z8148" t="s">
        <v>59</v>
      </c>
      <c r="AA8148" t="s">
        <v>59</v>
      </c>
      <c r="AB8148" t="s">
        <v>59</v>
      </c>
      <c r="AC8148" t="s">
        <v>59</v>
      </c>
      <c r="AD8148" t="s">
        <v>59</v>
      </c>
      <c r="AF8148" s="1">
        <v>42971</v>
      </c>
      <c r="AG8148" t="s">
        <v>8651</v>
      </c>
      <c r="AH8148" t="s">
        <v>8652</v>
      </c>
      <c r="AI8148" t="str">
        <f>"9320056"</f>
        <v>9320056</v>
      </c>
      <c r="AJ8148" t="s">
        <v>11980</v>
      </c>
      <c r="AK8148">
        <v>2841028260</v>
      </c>
      <c r="AL8148" t="s">
        <v>11981</v>
      </c>
      <c r="AM8148" t="s">
        <v>4513</v>
      </c>
      <c r="AN8148" t="s">
        <v>4514</v>
      </c>
      <c r="AO8148" t="s">
        <v>4514</v>
      </c>
      <c r="AP8148" t="s">
        <v>4514</v>
      </c>
      <c r="AQ8148">
        <v>1</v>
      </c>
      <c r="AR8148" t="s">
        <v>5177</v>
      </c>
      <c r="AS8148" t="s">
        <v>5178</v>
      </c>
      <c r="AT8148" t="s">
        <v>58</v>
      </c>
      <c r="AU8148" t="s">
        <v>68</v>
      </c>
      <c r="AV8148" t="s">
        <v>69</v>
      </c>
      <c r="AW8148" s="1">
        <v>29952</v>
      </c>
      <c r="AX8148">
        <v>1</v>
      </c>
    </row>
    <row r="8149" spans="1:50">
      <c r="A8149">
        <v>589560</v>
      </c>
      <c r="B8149" t="str">
        <f>"073774920"</f>
        <v>073774920</v>
      </c>
      <c r="C8149" t="s">
        <v>105</v>
      </c>
      <c r="D8149" t="s">
        <v>12555</v>
      </c>
      <c r="E8149" t="s">
        <v>72</v>
      </c>
      <c r="F8149" t="s">
        <v>95</v>
      </c>
      <c r="G8149" t="s">
        <v>714</v>
      </c>
      <c r="H8149" t="str">
        <f>"ΗΡΩΩΝ ΠΟΛΥΤΕΧΝΕΙΟΥ 10 ΙΕΡΑΠΕΤΡΑ"</f>
        <v>ΗΡΩΩΝ ΠΟΛΥΤΕΧΝΕΙΟΥ 10 ΙΕΡΑΠΕΤΡΑ</v>
      </c>
      <c r="I8149">
        <v>72200</v>
      </c>
      <c r="J8149">
        <v>2842022149</v>
      </c>
      <c r="K8149">
        <v>6974796592</v>
      </c>
      <c r="M8149" t="s">
        <v>12556</v>
      </c>
      <c r="N8149" t="s">
        <v>615</v>
      </c>
      <c r="O8149" t="s">
        <v>616</v>
      </c>
      <c r="R8149" t="s">
        <v>57</v>
      </c>
      <c r="S8149">
        <v>10</v>
      </c>
      <c r="T8149">
        <v>176</v>
      </c>
      <c r="U8149" s="1">
        <v>36403</v>
      </c>
      <c r="V8149" t="s">
        <v>5177</v>
      </c>
      <c r="W8149" t="s">
        <v>5178</v>
      </c>
      <c r="X8149" t="s">
        <v>58</v>
      </c>
      <c r="Y8149">
        <v>21</v>
      </c>
      <c r="Z8149" t="s">
        <v>59</v>
      </c>
      <c r="AA8149" t="s">
        <v>59</v>
      </c>
      <c r="AB8149" t="s">
        <v>59</v>
      </c>
      <c r="AC8149" t="s">
        <v>59</v>
      </c>
      <c r="AD8149" t="s">
        <v>59</v>
      </c>
      <c r="AF8149" s="1">
        <v>36403</v>
      </c>
      <c r="AG8149" t="s">
        <v>8645</v>
      </c>
      <c r="AH8149" t="s">
        <v>8646</v>
      </c>
      <c r="AI8149" t="str">
        <f>"9320003"</f>
        <v>9320003</v>
      </c>
      <c r="AJ8149" t="s">
        <v>11886</v>
      </c>
      <c r="AK8149">
        <v>2842089830</v>
      </c>
      <c r="AL8149" t="s">
        <v>11887</v>
      </c>
      <c r="AM8149" t="s">
        <v>4513</v>
      </c>
      <c r="AN8149" t="s">
        <v>4519</v>
      </c>
      <c r="AO8149" t="s">
        <v>4519</v>
      </c>
      <c r="AP8149" t="s">
        <v>4519</v>
      </c>
      <c r="AQ8149">
        <v>4</v>
      </c>
      <c r="AR8149" t="s">
        <v>5177</v>
      </c>
      <c r="AS8149" t="s">
        <v>5178</v>
      </c>
      <c r="AT8149" t="s">
        <v>58</v>
      </c>
      <c r="AU8149" t="s">
        <v>68</v>
      </c>
      <c r="AV8149" t="s">
        <v>69</v>
      </c>
      <c r="AW8149" s="1">
        <v>25399</v>
      </c>
      <c r="AX8149">
        <v>1</v>
      </c>
    </row>
    <row r="8150" spans="1:50">
      <c r="A8150">
        <v>578030</v>
      </c>
      <c r="B8150" t="str">
        <f>"033118319"</f>
        <v>033118319</v>
      </c>
      <c r="C8150" t="s">
        <v>50</v>
      </c>
      <c r="D8150" t="s">
        <v>12557</v>
      </c>
      <c r="E8150" t="s">
        <v>460</v>
      </c>
      <c r="F8150" t="s">
        <v>72</v>
      </c>
      <c r="G8150" t="s">
        <v>83</v>
      </c>
      <c r="H8150" t="str">
        <f>"ΠΡΟΣΠΗΛΙΑ ΠΕΥΚΩΝ Μ. ΓΙΑΛΟΣ ΣΗΤΕΙΑ"</f>
        <v>ΠΡΟΣΠΗΛΙΑ ΠΕΥΚΩΝ Μ. ΓΙΑΛΟΣ ΣΗΤΕΙΑ</v>
      </c>
      <c r="I8150">
        <v>72055</v>
      </c>
      <c r="J8150">
        <v>2843052187</v>
      </c>
      <c r="N8150" t="s">
        <v>615</v>
      </c>
      <c r="O8150" t="s">
        <v>616</v>
      </c>
      <c r="R8150" t="s">
        <v>57</v>
      </c>
      <c r="S8150">
        <v>13</v>
      </c>
      <c r="T8150">
        <v>165</v>
      </c>
      <c r="U8150" s="1">
        <v>35300</v>
      </c>
      <c r="V8150" t="s">
        <v>5177</v>
      </c>
      <c r="W8150" t="s">
        <v>5178</v>
      </c>
      <c r="X8150" t="s">
        <v>58</v>
      </c>
      <c r="Y8150">
        <v>21</v>
      </c>
      <c r="Z8150" t="s">
        <v>59</v>
      </c>
      <c r="AA8150" t="s">
        <v>59</v>
      </c>
      <c r="AB8150" t="s">
        <v>59</v>
      </c>
      <c r="AC8150" t="s">
        <v>59</v>
      </c>
      <c r="AD8150" t="s">
        <v>59</v>
      </c>
      <c r="AF8150" s="1">
        <v>35312</v>
      </c>
      <c r="AG8150" t="s">
        <v>8645</v>
      </c>
      <c r="AH8150" t="s">
        <v>8646</v>
      </c>
      <c r="AI8150" t="str">
        <f>"9320098"</f>
        <v>9320098</v>
      </c>
      <c r="AJ8150" t="s">
        <v>12053</v>
      </c>
      <c r="AK8150">
        <v>2843051475</v>
      </c>
      <c r="AL8150" t="s">
        <v>12054</v>
      </c>
      <c r="AM8150" t="s">
        <v>4513</v>
      </c>
      <c r="AN8150" t="s">
        <v>4519</v>
      </c>
      <c r="AO8150" t="s">
        <v>4766</v>
      </c>
      <c r="AP8150" t="s">
        <v>12055</v>
      </c>
      <c r="AQ8150">
        <v>6</v>
      </c>
      <c r="AR8150" t="s">
        <v>5177</v>
      </c>
      <c r="AS8150" t="s">
        <v>5178</v>
      </c>
      <c r="AT8150" t="s">
        <v>58</v>
      </c>
      <c r="AU8150" t="s">
        <v>68</v>
      </c>
      <c r="AV8150" t="s">
        <v>69</v>
      </c>
      <c r="AW8150" s="1">
        <v>24580</v>
      </c>
      <c r="AX8150">
        <v>1</v>
      </c>
    </row>
    <row r="8151" spans="1:50">
      <c r="A8151">
        <v>560255</v>
      </c>
      <c r="B8151" t="str">
        <f>"034822697"</f>
        <v>034822697</v>
      </c>
      <c r="C8151" t="s">
        <v>50</v>
      </c>
      <c r="D8151" t="s">
        <v>12558</v>
      </c>
      <c r="E8151" t="s">
        <v>83</v>
      </c>
      <c r="F8151" t="s">
        <v>106</v>
      </c>
      <c r="G8151" t="s">
        <v>237</v>
      </c>
      <c r="H8151" t="str">
        <f>"Κ. ΚΑΡΑΜΑΝΛΗ 16 ΣΗΤΕΙΑ"</f>
        <v>Κ. ΚΑΡΑΜΑΝΛΗ 16 ΣΗΤΕΙΑ</v>
      </c>
      <c r="I8151">
        <v>72300</v>
      </c>
      <c r="J8151">
        <v>2843023134</v>
      </c>
      <c r="K8151">
        <v>6977694250</v>
      </c>
      <c r="N8151" t="s">
        <v>615</v>
      </c>
      <c r="O8151" t="s">
        <v>616</v>
      </c>
      <c r="R8151" t="s">
        <v>57</v>
      </c>
      <c r="S8151">
        <v>15</v>
      </c>
      <c r="T8151">
        <v>185</v>
      </c>
      <c r="U8151" s="1">
        <v>32035</v>
      </c>
      <c r="V8151" t="s">
        <v>5177</v>
      </c>
      <c r="W8151" t="s">
        <v>5178</v>
      </c>
      <c r="X8151" t="s">
        <v>58</v>
      </c>
      <c r="Y8151">
        <v>21</v>
      </c>
      <c r="Z8151" t="s">
        <v>59</v>
      </c>
      <c r="AA8151" t="s">
        <v>59</v>
      </c>
      <c r="AB8151" t="s">
        <v>59</v>
      </c>
      <c r="AC8151" t="s">
        <v>59</v>
      </c>
      <c r="AD8151" t="s">
        <v>59</v>
      </c>
      <c r="AF8151" s="1">
        <v>32038</v>
      </c>
      <c r="AG8151" t="s">
        <v>8645</v>
      </c>
      <c r="AH8151" t="s">
        <v>8646</v>
      </c>
      <c r="AI8151" t="str">
        <f>"9320090"</f>
        <v>9320090</v>
      </c>
      <c r="AJ8151" t="s">
        <v>11926</v>
      </c>
      <c r="AK8151">
        <v>2843022385</v>
      </c>
      <c r="AL8151" t="s">
        <v>11927</v>
      </c>
      <c r="AM8151" t="s">
        <v>4513</v>
      </c>
      <c r="AN8151" t="s">
        <v>4540</v>
      </c>
      <c r="AO8151" t="s">
        <v>4540</v>
      </c>
      <c r="AP8151" t="s">
        <v>4540</v>
      </c>
      <c r="AQ8151">
        <v>8</v>
      </c>
      <c r="AR8151" t="s">
        <v>5177</v>
      </c>
      <c r="AS8151" t="s">
        <v>5178</v>
      </c>
      <c r="AT8151" t="s">
        <v>58</v>
      </c>
      <c r="AU8151" t="s">
        <v>68</v>
      </c>
      <c r="AV8151" t="s">
        <v>69</v>
      </c>
      <c r="AW8151" s="1">
        <v>23913</v>
      </c>
      <c r="AX8151">
        <v>1</v>
      </c>
    </row>
    <row r="8152" spans="1:50">
      <c r="B8152" t="str">
        <f>"148757572"</f>
        <v>148757572</v>
      </c>
      <c r="C8152" t="s">
        <v>50</v>
      </c>
      <c r="D8152" t="s">
        <v>12559</v>
      </c>
      <c r="E8152" t="s">
        <v>12560</v>
      </c>
      <c r="F8152" t="s">
        <v>84</v>
      </c>
      <c r="G8152" t="s">
        <v>191</v>
      </c>
      <c r="H8152" t="str">
        <f>"ΟΜΟΛΙΟ "</f>
        <v xml:space="preserve">ΟΜΟΛΙΟ </v>
      </c>
      <c r="I8152">
        <v>40007</v>
      </c>
      <c r="J8152">
        <v>2495094288</v>
      </c>
      <c r="K8152">
        <v>6946043061</v>
      </c>
      <c r="N8152" t="s">
        <v>615</v>
      </c>
      <c r="O8152" t="s">
        <v>616</v>
      </c>
      <c r="R8152" t="s">
        <v>159</v>
      </c>
      <c r="S8152">
        <v>4</v>
      </c>
      <c r="T8152" t="s">
        <v>8675</v>
      </c>
      <c r="U8152" s="1">
        <v>43348</v>
      </c>
      <c r="V8152" t="s">
        <v>5177</v>
      </c>
      <c r="W8152" t="s">
        <v>5178</v>
      </c>
      <c r="X8152" t="s">
        <v>58</v>
      </c>
      <c r="Y8152">
        <v>24</v>
      </c>
      <c r="Z8152" t="s">
        <v>59</v>
      </c>
      <c r="AA8152" t="s">
        <v>59</v>
      </c>
      <c r="AB8152" t="s">
        <v>59</v>
      </c>
      <c r="AC8152" t="s">
        <v>59</v>
      </c>
      <c r="AD8152" t="s">
        <v>59</v>
      </c>
      <c r="AF8152" s="1">
        <v>43348</v>
      </c>
      <c r="AG8152" t="s">
        <v>8645</v>
      </c>
      <c r="AH8152" t="s">
        <v>8646</v>
      </c>
      <c r="AI8152" t="str">
        <f>"9320012"</f>
        <v>9320012</v>
      </c>
      <c r="AJ8152" t="s">
        <v>11921</v>
      </c>
      <c r="AK8152">
        <v>2842041253</v>
      </c>
      <c r="AL8152" t="s">
        <v>11922</v>
      </c>
      <c r="AM8152" t="s">
        <v>4513</v>
      </c>
      <c r="AN8152" t="s">
        <v>4519</v>
      </c>
      <c r="AO8152" t="s">
        <v>4519</v>
      </c>
      <c r="AP8152" t="s">
        <v>11899</v>
      </c>
      <c r="AQ8152">
        <v>7</v>
      </c>
      <c r="AR8152" t="s">
        <v>5177</v>
      </c>
      <c r="AS8152" t="s">
        <v>5178</v>
      </c>
      <c r="AT8152" t="s">
        <v>58</v>
      </c>
      <c r="AU8152" t="s">
        <v>8673</v>
      </c>
      <c r="AV8152" t="s">
        <v>132</v>
      </c>
      <c r="AW8152" s="1">
        <v>32493</v>
      </c>
      <c r="AX8152">
        <v>1</v>
      </c>
    </row>
    <row r="8153" spans="1:50">
      <c r="B8153" t="str">
        <f>"137806043"</f>
        <v>137806043</v>
      </c>
      <c r="C8153" t="s">
        <v>105</v>
      </c>
      <c r="D8153" t="s">
        <v>12561</v>
      </c>
      <c r="E8153" t="s">
        <v>989</v>
      </c>
      <c r="F8153" t="s">
        <v>99</v>
      </c>
      <c r="G8153" t="s">
        <v>12562</v>
      </c>
      <c r="H8153" t="str">
        <f>"ΕΡΓΑΤΙΚΕΣ ΚΑΤΟΙΚΙΕΣ ΒΡΥΣΟΥΛΑΣ "</f>
        <v xml:space="preserve">ΕΡΓΑΤΙΚΕΣ ΚΑΤΟΙΚΙΕΣ ΒΡΥΣΟΥΛΑΣ </v>
      </c>
      <c r="I8153">
        <v>45221</v>
      </c>
      <c r="J8153">
        <v>2651074402</v>
      </c>
      <c r="K8153">
        <v>6948885616</v>
      </c>
      <c r="N8153" t="s">
        <v>204</v>
      </c>
      <c r="O8153" t="s">
        <v>205</v>
      </c>
      <c r="R8153" t="s">
        <v>159</v>
      </c>
      <c r="S8153">
        <v>4</v>
      </c>
      <c r="T8153" t="s">
        <v>8675</v>
      </c>
      <c r="U8153" s="1">
        <v>43348</v>
      </c>
      <c r="V8153" t="s">
        <v>5177</v>
      </c>
      <c r="W8153" t="s">
        <v>5178</v>
      </c>
      <c r="X8153" t="s">
        <v>58</v>
      </c>
      <c r="Y8153">
        <v>24</v>
      </c>
      <c r="Z8153" t="s">
        <v>59</v>
      </c>
      <c r="AA8153" t="s">
        <v>59</v>
      </c>
      <c r="AB8153" t="s">
        <v>59</v>
      </c>
      <c r="AC8153" t="s">
        <v>59</v>
      </c>
      <c r="AD8153" t="s">
        <v>59</v>
      </c>
      <c r="AF8153" s="1">
        <v>43348</v>
      </c>
      <c r="AG8153" t="s">
        <v>8645</v>
      </c>
      <c r="AH8153" t="s">
        <v>8646</v>
      </c>
      <c r="AI8153" t="str">
        <f>"9320210"</f>
        <v>9320210</v>
      </c>
      <c r="AJ8153" t="s">
        <v>11890</v>
      </c>
      <c r="AK8153">
        <v>2841026705</v>
      </c>
      <c r="AL8153" t="s">
        <v>11891</v>
      </c>
      <c r="AM8153" t="s">
        <v>4513</v>
      </c>
      <c r="AN8153" t="s">
        <v>4514</v>
      </c>
      <c r="AO8153" t="s">
        <v>4514</v>
      </c>
      <c r="AP8153" t="s">
        <v>4514</v>
      </c>
      <c r="AQ8153">
        <v>1</v>
      </c>
      <c r="AR8153" t="s">
        <v>5177</v>
      </c>
      <c r="AS8153" t="s">
        <v>5178</v>
      </c>
      <c r="AT8153" t="s">
        <v>58</v>
      </c>
      <c r="AU8153" t="s">
        <v>8673</v>
      </c>
      <c r="AV8153" t="s">
        <v>132</v>
      </c>
      <c r="AW8153" s="1">
        <v>31430</v>
      </c>
      <c r="AX8153">
        <v>1</v>
      </c>
    </row>
    <row r="8154" spans="1:50">
      <c r="B8154" t="str">
        <f>"138515643"</f>
        <v>138515643</v>
      </c>
      <c r="C8154" t="s">
        <v>50</v>
      </c>
      <c r="D8154" t="s">
        <v>12563</v>
      </c>
      <c r="E8154" t="s">
        <v>250</v>
      </c>
      <c r="F8154" t="s">
        <v>309</v>
      </c>
      <c r="G8154" t="s">
        <v>52</v>
      </c>
      <c r="H8154" t="str">
        <f>"ΡΗΤΙΝΗ ΚΑΤΕΡΙΝΗΣ "</f>
        <v xml:space="preserve">ΡΗΤΙΝΗ ΚΑΤΕΡΙΝΗΣ </v>
      </c>
      <c r="I8154">
        <v>60100</v>
      </c>
      <c r="J8154">
        <v>2351082143</v>
      </c>
      <c r="K8154">
        <v>6978637865</v>
      </c>
      <c r="N8154" t="s">
        <v>1525</v>
      </c>
      <c r="O8154" t="s">
        <v>1526</v>
      </c>
      <c r="R8154" t="s">
        <v>159</v>
      </c>
      <c r="S8154">
        <v>8</v>
      </c>
      <c r="T8154" t="s">
        <v>8670</v>
      </c>
      <c r="U8154" s="1">
        <v>43348</v>
      </c>
      <c r="V8154" t="s">
        <v>5177</v>
      </c>
      <c r="W8154" t="s">
        <v>5178</v>
      </c>
      <c r="X8154" t="s">
        <v>58</v>
      </c>
      <c r="Y8154">
        <v>25</v>
      </c>
      <c r="Z8154" t="s">
        <v>59</v>
      </c>
      <c r="AA8154" t="s">
        <v>59</v>
      </c>
      <c r="AB8154" t="s">
        <v>59</v>
      </c>
      <c r="AC8154" t="s">
        <v>59</v>
      </c>
      <c r="AD8154" t="s">
        <v>59</v>
      </c>
      <c r="AF8154" s="1">
        <v>43348</v>
      </c>
      <c r="AG8154" t="s">
        <v>8651</v>
      </c>
      <c r="AH8154" t="s">
        <v>8652</v>
      </c>
      <c r="AI8154" t="str">
        <f>"9320141"</f>
        <v>9320141</v>
      </c>
      <c r="AJ8154" t="s">
        <v>12104</v>
      </c>
      <c r="AK8154">
        <v>2841041557</v>
      </c>
      <c r="AL8154" t="s">
        <v>12105</v>
      </c>
      <c r="AM8154" t="s">
        <v>4513</v>
      </c>
      <c r="AN8154" t="s">
        <v>4514</v>
      </c>
      <c r="AO8154" t="s">
        <v>4514</v>
      </c>
      <c r="AP8154" t="s">
        <v>12100</v>
      </c>
      <c r="AQ8154">
        <v>2</v>
      </c>
      <c r="AR8154" t="s">
        <v>5177</v>
      </c>
      <c r="AS8154" t="s">
        <v>5178</v>
      </c>
      <c r="AT8154" t="s">
        <v>58</v>
      </c>
      <c r="AU8154" t="s">
        <v>8673</v>
      </c>
      <c r="AV8154" t="s">
        <v>132</v>
      </c>
      <c r="AW8154" s="1">
        <v>31678</v>
      </c>
      <c r="AX8154">
        <v>1</v>
      </c>
    </row>
    <row r="8155" spans="1:50">
      <c r="B8155" t="str">
        <f>"140076968"</f>
        <v>140076968</v>
      </c>
      <c r="C8155" t="s">
        <v>50</v>
      </c>
      <c r="D8155" t="s">
        <v>12564</v>
      </c>
      <c r="E8155" t="s">
        <v>1902</v>
      </c>
      <c r="F8155" t="s">
        <v>99</v>
      </c>
      <c r="G8155" t="s">
        <v>52</v>
      </c>
      <c r="H8155" t="str">
        <f>"ΜΙΛΤΙΑΔΗ ΤΖΩΝΗ 9 "</f>
        <v xml:space="preserve">ΜΙΛΤΙΑΔΗ ΤΖΩΝΗ 9 </v>
      </c>
      <c r="I8155">
        <v>50100</v>
      </c>
      <c r="J8155">
        <v>2461037947</v>
      </c>
      <c r="K8155">
        <v>6972776639</v>
      </c>
      <c r="N8155" t="s">
        <v>615</v>
      </c>
      <c r="O8155" t="s">
        <v>616</v>
      </c>
      <c r="R8155" t="s">
        <v>159</v>
      </c>
      <c r="S8155">
        <v>5</v>
      </c>
      <c r="T8155" t="s">
        <v>8675</v>
      </c>
      <c r="U8155" s="1">
        <v>43348</v>
      </c>
      <c r="V8155" t="s">
        <v>5177</v>
      </c>
      <c r="W8155" t="s">
        <v>5178</v>
      </c>
      <c r="X8155" t="s">
        <v>58</v>
      </c>
      <c r="Y8155">
        <v>24</v>
      </c>
      <c r="Z8155" t="s">
        <v>59</v>
      </c>
      <c r="AA8155" t="s">
        <v>59</v>
      </c>
      <c r="AB8155" t="s">
        <v>59</v>
      </c>
      <c r="AC8155" t="s">
        <v>59</v>
      </c>
      <c r="AD8155" t="s">
        <v>59</v>
      </c>
      <c r="AF8155" s="1">
        <v>43348</v>
      </c>
      <c r="AG8155" t="s">
        <v>8645</v>
      </c>
      <c r="AH8155" t="s">
        <v>8646</v>
      </c>
      <c r="AI8155" t="str">
        <f>"9320071"</f>
        <v>9320071</v>
      </c>
      <c r="AJ8155" t="s">
        <v>12098</v>
      </c>
      <c r="AK8155">
        <v>2841041234</v>
      </c>
      <c r="AL8155" t="s">
        <v>12099</v>
      </c>
      <c r="AM8155" t="s">
        <v>4513</v>
      </c>
      <c r="AN8155" t="s">
        <v>4514</v>
      </c>
      <c r="AO8155" t="s">
        <v>4514</v>
      </c>
      <c r="AP8155" t="s">
        <v>12100</v>
      </c>
      <c r="AQ8155">
        <v>2</v>
      </c>
      <c r="AR8155" t="s">
        <v>5177</v>
      </c>
      <c r="AS8155" t="s">
        <v>5178</v>
      </c>
      <c r="AT8155" t="s">
        <v>58</v>
      </c>
      <c r="AU8155" t="s">
        <v>8673</v>
      </c>
      <c r="AV8155" t="s">
        <v>132</v>
      </c>
      <c r="AW8155" s="1">
        <v>31918</v>
      </c>
      <c r="AX8155">
        <v>1</v>
      </c>
    </row>
    <row r="8156" spans="1:50">
      <c r="A8156">
        <v>605840</v>
      </c>
      <c r="B8156" t="str">
        <f>"046681212"</f>
        <v>046681212</v>
      </c>
      <c r="C8156" t="s">
        <v>105</v>
      </c>
      <c r="D8156" t="s">
        <v>12565</v>
      </c>
      <c r="E8156" t="s">
        <v>108</v>
      </c>
      <c r="F8156" t="s">
        <v>99</v>
      </c>
      <c r="G8156" t="s">
        <v>316</v>
      </c>
      <c r="H8156" t="str">
        <f>"ΝΙΚΩΝΟΣ 11 ΑΓΙΟΣ ΝΙΚΟΛΑΟΣ"</f>
        <v>ΝΙΚΩΝΟΣ 11 ΑΓΙΟΣ ΝΙΚΟΛΑΟΣ</v>
      </c>
      <c r="I8156">
        <v>72100</v>
      </c>
      <c r="J8156">
        <v>2841026962</v>
      </c>
      <c r="K8156">
        <v>6972168468</v>
      </c>
      <c r="N8156" t="s">
        <v>615</v>
      </c>
      <c r="O8156" t="s">
        <v>616</v>
      </c>
      <c r="R8156" t="s">
        <v>57</v>
      </c>
      <c r="S8156">
        <v>7</v>
      </c>
      <c r="T8156" t="s">
        <v>9492</v>
      </c>
      <c r="U8156" s="1">
        <v>38230</v>
      </c>
      <c r="V8156" t="s">
        <v>5177</v>
      </c>
      <c r="W8156" t="s">
        <v>5178</v>
      </c>
      <c r="X8156" t="s">
        <v>58</v>
      </c>
      <c r="Y8156">
        <v>22</v>
      </c>
      <c r="Z8156" t="s">
        <v>59</v>
      </c>
      <c r="AA8156" t="s">
        <v>59</v>
      </c>
      <c r="AB8156" t="s">
        <v>59</v>
      </c>
      <c r="AC8156" t="s">
        <v>59</v>
      </c>
      <c r="AD8156" t="s">
        <v>59</v>
      </c>
      <c r="AF8156" s="1">
        <v>38231</v>
      </c>
      <c r="AG8156" t="s">
        <v>8645</v>
      </c>
      <c r="AH8156" t="s">
        <v>8646</v>
      </c>
      <c r="AI8156" t="str">
        <f>"9320058"</f>
        <v>9320058</v>
      </c>
      <c r="AJ8156" t="s">
        <v>11893</v>
      </c>
      <c r="AK8156">
        <v>2841022496</v>
      </c>
      <c r="AL8156" t="s">
        <v>11894</v>
      </c>
      <c r="AM8156" t="s">
        <v>4513</v>
      </c>
      <c r="AN8156" t="s">
        <v>4514</v>
      </c>
      <c r="AO8156" t="s">
        <v>4514</v>
      </c>
      <c r="AP8156" t="s">
        <v>4514</v>
      </c>
      <c r="AQ8156">
        <v>1</v>
      </c>
      <c r="AR8156" t="s">
        <v>5177</v>
      </c>
      <c r="AS8156" t="s">
        <v>5178</v>
      </c>
      <c r="AT8156" t="s">
        <v>58</v>
      </c>
      <c r="AU8156" t="s">
        <v>68</v>
      </c>
      <c r="AV8156" t="s">
        <v>69</v>
      </c>
      <c r="AW8156" s="1">
        <v>24473</v>
      </c>
      <c r="AX8156">
        <v>1</v>
      </c>
    </row>
    <row r="8157" spans="1:50">
      <c r="A8157">
        <v>586258</v>
      </c>
      <c r="B8157" t="str">
        <f>"054301385"</f>
        <v>054301385</v>
      </c>
      <c r="C8157" t="s">
        <v>105</v>
      </c>
      <c r="D8157" t="s">
        <v>979</v>
      </c>
      <c r="E8157" t="s">
        <v>2733</v>
      </c>
      <c r="F8157" t="s">
        <v>995</v>
      </c>
      <c r="G8157" t="s">
        <v>630</v>
      </c>
      <c r="H8157" t="str">
        <f>"ΓΙΑΝΝΑΚΟΥ 52 ΙΕΡΑΠΕΤΡΑ"</f>
        <v>ΓΙΑΝΝΑΚΟΥ 52 ΙΕΡΑΠΕΤΡΑ</v>
      </c>
      <c r="I8157">
        <v>72200</v>
      </c>
      <c r="J8157">
        <v>2842027312</v>
      </c>
      <c r="N8157" t="s">
        <v>615</v>
      </c>
      <c r="O8157" t="s">
        <v>616</v>
      </c>
      <c r="R8157" t="s">
        <v>57</v>
      </c>
      <c r="S8157">
        <v>10</v>
      </c>
      <c r="T8157">
        <v>165</v>
      </c>
      <c r="U8157" s="1">
        <v>36040</v>
      </c>
      <c r="V8157" t="s">
        <v>5177</v>
      </c>
      <c r="W8157" t="s">
        <v>5178</v>
      </c>
      <c r="X8157" t="s">
        <v>58</v>
      </c>
      <c r="Y8157">
        <v>21</v>
      </c>
      <c r="Z8157" t="s">
        <v>59</v>
      </c>
      <c r="AA8157" t="s">
        <v>59</v>
      </c>
      <c r="AB8157" t="s">
        <v>59</v>
      </c>
      <c r="AC8157" t="s">
        <v>59</v>
      </c>
      <c r="AD8157" t="s">
        <v>59</v>
      </c>
      <c r="AF8157" s="1">
        <v>36045</v>
      </c>
      <c r="AG8157" t="s">
        <v>8645</v>
      </c>
      <c r="AH8157" t="s">
        <v>8646</v>
      </c>
      <c r="AI8157" t="str">
        <f>"9320006"</f>
        <v>9320006</v>
      </c>
      <c r="AJ8157" t="s">
        <v>11919</v>
      </c>
      <c r="AK8157">
        <v>2842022359</v>
      </c>
      <c r="AL8157" t="s">
        <v>11920</v>
      </c>
      <c r="AM8157" t="s">
        <v>4513</v>
      </c>
      <c r="AN8157" t="s">
        <v>4519</v>
      </c>
      <c r="AO8157" t="s">
        <v>4519</v>
      </c>
      <c r="AP8157" t="s">
        <v>4519</v>
      </c>
      <c r="AQ8157">
        <v>4</v>
      </c>
      <c r="AR8157" t="s">
        <v>5177</v>
      </c>
      <c r="AS8157" t="s">
        <v>5178</v>
      </c>
      <c r="AT8157" t="s">
        <v>58</v>
      </c>
      <c r="AU8157" t="s">
        <v>68</v>
      </c>
      <c r="AV8157" t="s">
        <v>69</v>
      </c>
      <c r="AW8157" s="1">
        <v>25000</v>
      </c>
      <c r="AX8157">
        <v>1</v>
      </c>
    </row>
    <row r="8158" spans="1:50">
      <c r="B8158" t="str">
        <f>"134092896"</f>
        <v>134092896</v>
      </c>
      <c r="C8158" t="s">
        <v>50</v>
      </c>
      <c r="D8158" t="s">
        <v>12566</v>
      </c>
      <c r="E8158" t="s">
        <v>600</v>
      </c>
      <c r="F8158" t="s">
        <v>53</v>
      </c>
      <c r="G8158" t="s">
        <v>460</v>
      </c>
      <c r="H8158" t="str">
        <f>"ΜΑΝΔΑΛΙΔΟΥ 13 "</f>
        <v xml:space="preserve">ΜΑΝΔΑΛΙΔΟΥ 13 </v>
      </c>
      <c r="I8158">
        <v>68300</v>
      </c>
      <c r="J8158">
        <v>2553025224</v>
      </c>
      <c r="K8158">
        <v>6976181789</v>
      </c>
      <c r="N8158" t="s">
        <v>615</v>
      </c>
      <c r="O8158" t="s">
        <v>616</v>
      </c>
      <c r="R8158" t="s">
        <v>159</v>
      </c>
      <c r="S8158">
        <v>5</v>
      </c>
      <c r="T8158" t="s">
        <v>8675</v>
      </c>
      <c r="U8158" s="1">
        <v>43348</v>
      </c>
      <c r="V8158" t="s">
        <v>5177</v>
      </c>
      <c r="W8158" t="s">
        <v>5178</v>
      </c>
      <c r="X8158" t="s">
        <v>58</v>
      </c>
      <c r="Y8158">
        <v>24</v>
      </c>
      <c r="Z8158" t="s">
        <v>59</v>
      </c>
      <c r="AA8158" t="s">
        <v>59</v>
      </c>
      <c r="AB8158" t="s">
        <v>59</v>
      </c>
      <c r="AC8158" t="s">
        <v>59</v>
      </c>
      <c r="AD8158" t="s">
        <v>59</v>
      </c>
      <c r="AF8158" s="1">
        <v>43348</v>
      </c>
      <c r="AG8158" t="s">
        <v>8645</v>
      </c>
      <c r="AH8158" t="s">
        <v>8646</v>
      </c>
      <c r="AI8158" t="str">
        <f>"9320001"</f>
        <v>9320001</v>
      </c>
      <c r="AJ8158" t="s">
        <v>11954</v>
      </c>
      <c r="AK8158">
        <v>2842022505</v>
      </c>
      <c r="AL8158" t="s">
        <v>11955</v>
      </c>
      <c r="AM8158" t="s">
        <v>4513</v>
      </c>
      <c r="AN8158" t="s">
        <v>4519</v>
      </c>
      <c r="AO8158" t="s">
        <v>4519</v>
      </c>
      <c r="AP8158" t="s">
        <v>4519</v>
      </c>
      <c r="AQ8158">
        <v>4</v>
      </c>
      <c r="AR8158" t="s">
        <v>5177</v>
      </c>
      <c r="AS8158" t="s">
        <v>5178</v>
      </c>
      <c r="AT8158" t="s">
        <v>58</v>
      </c>
      <c r="AU8158" t="s">
        <v>8673</v>
      </c>
      <c r="AV8158" t="s">
        <v>132</v>
      </c>
      <c r="AW8158" s="1">
        <v>32451</v>
      </c>
      <c r="AX8158">
        <v>1</v>
      </c>
    </row>
    <row r="8159" spans="1:50">
      <c r="B8159" t="str">
        <f>"034585718"</f>
        <v>034585718</v>
      </c>
      <c r="C8159" t="s">
        <v>105</v>
      </c>
      <c r="D8159" t="s">
        <v>12567</v>
      </c>
      <c r="E8159" t="s">
        <v>53</v>
      </c>
      <c r="F8159" t="s">
        <v>12568</v>
      </c>
      <c r="G8159" t="s">
        <v>255</v>
      </c>
      <c r="H8159" t="str">
        <f>"ΣΙΝΑ 100 "</f>
        <v xml:space="preserve">ΣΙΝΑ 100 </v>
      </c>
      <c r="I8159">
        <v>66100</v>
      </c>
      <c r="J8159">
        <v>2521036352</v>
      </c>
      <c r="K8159">
        <v>6982430321</v>
      </c>
      <c r="N8159" t="s">
        <v>1525</v>
      </c>
      <c r="O8159" t="s">
        <v>1526</v>
      </c>
      <c r="R8159" t="s">
        <v>159</v>
      </c>
      <c r="S8159">
        <v>3</v>
      </c>
      <c r="T8159" t="s">
        <v>8670</v>
      </c>
      <c r="U8159" s="1">
        <v>43348</v>
      </c>
      <c r="V8159" t="s">
        <v>5177</v>
      </c>
      <c r="W8159" t="s">
        <v>5178</v>
      </c>
      <c r="X8159" t="s">
        <v>58</v>
      </c>
      <c r="Y8159">
        <v>25</v>
      </c>
      <c r="Z8159" t="s">
        <v>59</v>
      </c>
      <c r="AA8159" t="s">
        <v>59</v>
      </c>
      <c r="AB8159" t="s">
        <v>59</v>
      </c>
      <c r="AC8159" t="s">
        <v>59</v>
      </c>
      <c r="AD8159" t="s">
        <v>59</v>
      </c>
      <c r="AF8159" s="1">
        <v>43348</v>
      </c>
      <c r="AG8159" t="s">
        <v>8651</v>
      </c>
      <c r="AH8159" t="s">
        <v>8652</v>
      </c>
      <c r="AI8159" t="str">
        <f>"9320141"</f>
        <v>9320141</v>
      </c>
      <c r="AJ8159" t="s">
        <v>12104</v>
      </c>
      <c r="AK8159">
        <v>2841041557</v>
      </c>
      <c r="AL8159" t="s">
        <v>12105</v>
      </c>
      <c r="AM8159" t="s">
        <v>4513</v>
      </c>
      <c r="AN8159" t="s">
        <v>4514</v>
      </c>
      <c r="AO8159" t="s">
        <v>4514</v>
      </c>
      <c r="AP8159" t="s">
        <v>12100</v>
      </c>
      <c r="AQ8159">
        <v>2</v>
      </c>
      <c r="AR8159" t="s">
        <v>5177</v>
      </c>
      <c r="AS8159" t="s">
        <v>5178</v>
      </c>
      <c r="AT8159" t="s">
        <v>58</v>
      </c>
      <c r="AU8159" t="s">
        <v>8673</v>
      </c>
      <c r="AV8159" t="s">
        <v>132</v>
      </c>
      <c r="AW8159" s="1">
        <v>23380</v>
      </c>
      <c r="AX8159">
        <v>1</v>
      </c>
    </row>
    <row r="8160" spans="1:50">
      <c r="A8160">
        <v>229557</v>
      </c>
      <c r="B8160" t="str">
        <f>"120148130"</f>
        <v>120148130</v>
      </c>
      <c r="C8160" t="s">
        <v>50</v>
      </c>
      <c r="D8160" t="s">
        <v>12569</v>
      </c>
      <c r="E8160" t="s">
        <v>460</v>
      </c>
      <c r="F8160" t="s">
        <v>631</v>
      </c>
      <c r="G8160" t="s">
        <v>83</v>
      </c>
      <c r="H8160" t="str">
        <f>"ΒΡΑΧΟΚΗΠΟΣ ΗΡΑΚΛΕΙΟΥ ΚΟΚΚΙΝΙ-ΧΑΝΙ ΗΡΑΚΛΕΙΟΥ"</f>
        <v>ΒΡΑΧΟΚΗΠΟΣ ΗΡΑΚΛΕΙΟΥ ΚΟΚΚΙΝΙ-ΧΑΝΙ ΗΡΑΚΛΕΙΟΥ</v>
      </c>
      <c r="I8160">
        <v>71500</v>
      </c>
      <c r="J8160">
        <v>2810762048</v>
      </c>
      <c r="K8160">
        <v>6937422812</v>
      </c>
      <c r="M8160" t="s">
        <v>12570</v>
      </c>
      <c r="N8160" t="s">
        <v>204</v>
      </c>
      <c r="O8160" t="s">
        <v>205</v>
      </c>
      <c r="R8160" t="s">
        <v>57</v>
      </c>
      <c r="S8160">
        <v>7</v>
      </c>
      <c r="T8160">
        <v>926</v>
      </c>
      <c r="U8160" s="1">
        <v>40130</v>
      </c>
      <c r="V8160" t="s">
        <v>5177</v>
      </c>
      <c r="W8160" t="s">
        <v>5178</v>
      </c>
      <c r="X8160" t="s">
        <v>58</v>
      </c>
      <c r="Y8160">
        <v>23</v>
      </c>
      <c r="Z8160" t="s">
        <v>59</v>
      </c>
      <c r="AA8160" t="s">
        <v>59</v>
      </c>
      <c r="AB8160" t="s">
        <v>59</v>
      </c>
      <c r="AC8160" t="s">
        <v>59</v>
      </c>
      <c r="AD8160" t="s">
        <v>59</v>
      </c>
      <c r="AF8160" s="1">
        <v>40133</v>
      </c>
      <c r="AG8160" t="s">
        <v>8645</v>
      </c>
      <c r="AH8160" t="s">
        <v>8646</v>
      </c>
      <c r="AI8160" t="str">
        <f>"9320055"</f>
        <v>9320055</v>
      </c>
      <c r="AJ8160" t="s">
        <v>11937</v>
      </c>
      <c r="AK8160">
        <v>2841022326</v>
      </c>
      <c r="AL8160" t="s">
        <v>11938</v>
      </c>
      <c r="AM8160" t="s">
        <v>4513</v>
      </c>
      <c r="AN8160" t="s">
        <v>4514</v>
      </c>
      <c r="AO8160" t="s">
        <v>4514</v>
      </c>
      <c r="AP8160" t="s">
        <v>4514</v>
      </c>
      <c r="AQ8160">
        <v>1</v>
      </c>
      <c r="AR8160" t="s">
        <v>5177</v>
      </c>
      <c r="AS8160" t="s">
        <v>5178</v>
      </c>
      <c r="AT8160" t="s">
        <v>58</v>
      </c>
      <c r="AU8160" t="s">
        <v>68</v>
      </c>
      <c r="AV8160" t="s">
        <v>69</v>
      </c>
      <c r="AW8160" s="1">
        <v>29972</v>
      </c>
      <c r="AX8160">
        <v>1</v>
      </c>
    </row>
    <row r="8161" spans="1:50">
      <c r="A8161">
        <v>700220</v>
      </c>
      <c r="B8161" t="str">
        <f>"123139311"</f>
        <v>123139311</v>
      </c>
      <c r="C8161" t="s">
        <v>50</v>
      </c>
      <c r="D8161" t="s">
        <v>4030</v>
      </c>
      <c r="E8161" t="s">
        <v>54</v>
      </c>
      <c r="F8161" t="s">
        <v>95</v>
      </c>
      <c r="G8161" t="s">
        <v>263</v>
      </c>
      <c r="H8161" t="str">
        <f>"ΣΟΦΟΚΛΕΟΥΣ 219 ΚΑΛΛΙΘΕΑ"</f>
        <v>ΣΟΦΟΚΛΕΟΥΣ 219 ΚΑΛΛΙΘΕΑ</v>
      </c>
      <c r="I8161">
        <v>17673</v>
      </c>
      <c r="J8161">
        <v>2109584403</v>
      </c>
      <c r="K8161">
        <v>6980112450</v>
      </c>
      <c r="M8161" t="s">
        <v>12571</v>
      </c>
      <c r="N8161" t="s">
        <v>1525</v>
      </c>
      <c r="O8161" t="s">
        <v>1526</v>
      </c>
      <c r="R8161" t="s">
        <v>57</v>
      </c>
      <c r="S8161">
        <v>4</v>
      </c>
      <c r="T8161">
        <v>772</v>
      </c>
      <c r="U8161" s="1">
        <v>40413</v>
      </c>
      <c r="V8161" t="s">
        <v>5177</v>
      </c>
      <c r="W8161" t="s">
        <v>5178</v>
      </c>
      <c r="X8161" t="s">
        <v>58</v>
      </c>
      <c r="Y8161">
        <v>25</v>
      </c>
      <c r="Z8161" t="s">
        <v>59</v>
      </c>
      <c r="AA8161" t="s">
        <v>59</v>
      </c>
      <c r="AB8161" t="s">
        <v>59</v>
      </c>
      <c r="AC8161" t="s">
        <v>59</v>
      </c>
      <c r="AD8161" t="s">
        <v>59</v>
      </c>
      <c r="AF8161" s="1">
        <v>40415</v>
      </c>
      <c r="AG8161" t="s">
        <v>8651</v>
      </c>
      <c r="AH8161" t="s">
        <v>8652</v>
      </c>
      <c r="AI8161" t="str">
        <f>"9320215"</f>
        <v>9320215</v>
      </c>
      <c r="AJ8161" t="s">
        <v>12083</v>
      </c>
      <c r="AK8161">
        <v>2841071393</v>
      </c>
      <c r="AL8161" t="s">
        <v>12084</v>
      </c>
      <c r="AM8161" t="s">
        <v>4513</v>
      </c>
      <c r="AN8161" t="s">
        <v>4514</v>
      </c>
      <c r="AO8161" t="s">
        <v>12085</v>
      </c>
      <c r="AP8161" t="s">
        <v>12085</v>
      </c>
      <c r="AQ8161">
        <v>2</v>
      </c>
      <c r="AR8161" t="s">
        <v>5177</v>
      </c>
      <c r="AS8161" t="s">
        <v>5178</v>
      </c>
      <c r="AT8161" t="s">
        <v>58</v>
      </c>
      <c r="AU8161" t="s">
        <v>68</v>
      </c>
      <c r="AV8161" t="s">
        <v>69</v>
      </c>
      <c r="AW8161" s="1">
        <v>29467</v>
      </c>
      <c r="AX8161">
        <v>1</v>
      </c>
    </row>
    <row r="8162" spans="1:50">
      <c r="A8162">
        <v>610683</v>
      </c>
      <c r="B8162" t="str">
        <f>"110335831"</f>
        <v>110335831</v>
      </c>
      <c r="C8162" t="s">
        <v>50</v>
      </c>
      <c r="D8162" t="s">
        <v>4037</v>
      </c>
      <c r="E8162" t="s">
        <v>83</v>
      </c>
      <c r="F8162" t="s">
        <v>3749</v>
      </c>
      <c r="G8162" t="s">
        <v>181</v>
      </c>
      <c r="H8162" t="str">
        <f>"ΧΟΡΤΑΤΣΩΝ 21 ΑΓΙΟΣ ΝΙΚΟΛΑΟΣ"</f>
        <v>ΧΟΡΤΑΤΣΩΝ 21 ΑΓΙΟΣ ΝΙΚΟΛΑΟΣ</v>
      </c>
      <c r="I8162">
        <v>72100</v>
      </c>
      <c r="J8162">
        <v>2841026111</v>
      </c>
      <c r="K8162">
        <v>6947772624</v>
      </c>
      <c r="N8162" t="s">
        <v>615</v>
      </c>
      <c r="O8162" t="s">
        <v>616</v>
      </c>
      <c r="R8162" t="s">
        <v>57</v>
      </c>
      <c r="S8162">
        <v>6</v>
      </c>
      <c r="T8162">
        <v>233</v>
      </c>
      <c r="U8162" s="1">
        <v>38960</v>
      </c>
      <c r="V8162" t="s">
        <v>5177</v>
      </c>
      <c r="W8162" t="s">
        <v>5178</v>
      </c>
      <c r="X8162" t="s">
        <v>58</v>
      </c>
      <c r="Y8162">
        <v>23</v>
      </c>
      <c r="Z8162" t="s">
        <v>59</v>
      </c>
      <c r="AA8162" t="s">
        <v>59</v>
      </c>
      <c r="AB8162" t="s">
        <v>59</v>
      </c>
      <c r="AC8162" t="s">
        <v>59</v>
      </c>
      <c r="AD8162" t="s">
        <v>59</v>
      </c>
      <c r="AF8162" s="1">
        <v>38961</v>
      </c>
      <c r="AG8162" t="s">
        <v>8645</v>
      </c>
      <c r="AH8162" t="s">
        <v>8646</v>
      </c>
      <c r="AI8162" t="str">
        <f>"9320138"</f>
        <v>9320138</v>
      </c>
      <c r="AJ8162" t="s">
        <v>11915</v>
      </c>
      <c r="AK8162">
        <v>2841022104</v>
      </c>
      <c r="AL8162" t="s">
        <v>11916</v>
      </c>
      <c r="AM8162" t="s">
        <v>4513</v>
      </c>
      <c r="AN8162" t="s">
        <v>4514</v>
      </c>
      <c r="AO8162" t="s">
        <v>4514</v>
      </c>
      <c r="AP8162" t="s">
        <v>4514</v>
      </c>
      <c r="AQ8162">
        <v>1</v>
      </c>
      <c r="AR8162" t="s">
        <v>5177</v>
      </c>
      <c r="AS8162" t="s">
        <v>5178</v>
      </c>
      <c r="AT8162" t="s">
        <v>58</v>
      </c>
      <c r="AU8162" t="s">
        <v>68</v>
      </c>
      <c r="AV8162" t="s">
        <v>69</v>
      </c>
      <c r="AW8162" s="1">
        <v>30147</v>
      </c>
      <c r="AX8162">
        <v>1</v>
      </c>
    </row>
    <row r="8163" spans="1:50">
      <c r="A8163">
        <v>619891</v>
      </c>
      <c r="B8163" t="str">
        <f>"063679853"</f>
        <v>063679853</v>
      </c>
      <c r="C8163" t="s">
        <v>105</v>
      </c>
      <c r="D8163" t="s">
        <v>4046</v>
      </c>
      <c r="E8163" t="s">
        <v>53</v>
      </c>
      <c r="F8163" t="s">
        <v>84</v>
      </c>
      <c r="G8163" t="s">
        <v>52</v>
      </c>
      <c r="H8163" t="str">
        <f>"ΦΙΛΟΘΕΟΥ Α ΙΕΡΑΠΕΤΡΑ"</f>
        <v>ΦΙΛΟΘΕΟΥ Α ΙΕΡΑΠΕΤΡΑ</v>
      </c>
      <c r="I8163">
        <v>72200</v>
      </c>
      <c r="J8163">
        <v>2842026595</v>
      </c>
      <c r="K8163">
        <v>6972805712</v>
      </c>
      <c r="N8163" t="s">
        <v>176</v>
      </c>
      <c r="O8163" t="s">
        <v>177</v>
      </c>
      <c r="R8163" t="s">
        <v>57</v>
      </c>
      <c r="S8163">
        <v>7</v>
      </c>
      <c r="T8163">
        <v>775</v>
      </c>
      <c r="U8163" s="1">
        <v>39680</v>
      </c>
      <c r="V8163" t="s">
        <v>5177</v>
      </c>
      <c r="W8163" t="s">
        <v>5178</v>
      </c>
      <c r="X8163" t="s">
        <v>58</v>
      </c>
      <c r="Y8163">
        <v>23</v>
      </c>
      <c r="Z8163" t="s">
        <v>59</v>
      </c>
      <c r="AA8163" t="s">
        <v>59</v>
      </c>
      <c r="AB8163" t="s">
        <v>59</v>
      </c>
      <c r="AC8163" t="s">
        <v>59</v>
      </c>
      <c r="AD8163" t="s">
        <v>59</v>
      </c>
      <c r="AF8163" s="1">
        <v>39681</v>
      </c>
      <c r="AG8163" t="s">
        <v>8645</v>
      </c>
      <c r="AH8163" t="s">
        <v>8646</v>
      </c>
      <c r="AI8163" t="str">
        <f>"9320006"</f>
        <v>9320006</v>
      </c>
      <c r="AJ8163" t="s">
        <v>11919</v>
      </c>
      <c r="AK8163">
        <v>2842022359</v>
      </c>
      <c r="AL8163" t="s">
        <v>11920</v>
      </c>
      <c r="AM8163" t="s">
        <v>4513</v>
      </c>
      <c r="AN8163" t="s">
        <v>4519</v>
      </c>
      <c r="AO8163" t="s">
        <v>4519</v>
      </c>
      <c r="AP8163" t="s">
        <v>4519</v>
      </c>
      <c r="AQ8163">
        <v>4</v>
      </c>
      <c r="AR8163" t="s">
        <v>5177</v>
      </c>
      <c r="AS8163" t="s">
        <v>5178</v>
      </c>
      <c r="AT8163" t="s">
        <v>58</v>
      </c>
      <c r="AU8163" t="s">
        <v>68</v>
      </c>
      <c r="AV8163" t="s">
        <v>69</v>
      </c>
      <c r="AW8163" s="1">
        <v>25568</v>
      </c>
      <c r="AX8163">
        <v>1</v>
      </c>
    </row>
    <row r="8164" spans="1:50">
      <c r="A8164">
        <v>622783</v>
      </c>
      <c r="B8164" t="str">
        <f>"143151211"</f>
        <v>143151211</v>
      </c>
      <c r="C8164" t="s">
        <v>50</v>
      </c>
      <c r="D8164" t="s">
        <v>12572</v>
      </c>
      <c r="E8164" t="s">
        <v>3666</v>
      </c>
      <c r="F8164" t="s">
        <v>154</v>
      </c>
      <c r="G8164" t="s">
        <v>396</v>
      </c>
      <c r="H8164" t="str">
        <f>"ΠΑΥΛΟΥ ΜΕΛΑ 25 ΦΕΡΕΣ"</f>
        <v>ΠΑΥΛΟΥ ΜΕΛΑ 25 ΦΕΡΕΣ</v>
      </c>
      <c r="I8164">
        <v>68500</v>
      </c>
      <c r="K8164">
        <v>6985026264</v>
      </c>
      <c r="L8164">
        <v>2555022747</v>
      </c>
      <c r="N8164" t="s">
        <v>1525</v>
      </c>
      <c r="O8164" t="s">
        <v>1526</v>
      </c>
      <c r="R8164" t="s">
        <v>57</v>
      </c>
      <c r="S8164">
        <v>4</v>
      </c>
      <c r="T8164">
        <v>653</v>
      </c>
      <c r="U8164" s="1">
        <v>40043</v>
      </c>
      <c r="V8164" t="s">
        <v>5177</v>
      </c>
      <c r="W8164" t="s">
        <v>5178</v>
      </c>
      <c r="X8164" t="s">
        <v>58</v>
      </c>
      <c r="Y8164">
        <v>25</v>
      </c>
      <c r="Z8164" t="s">
        <v>59</v>
      </c>
      <c r="AA8164" t="s">
        <v>59</v>
      </c>
      <c r="AB8164" t="s">
        <v>59</v>
      </c>
      <c r="AC8164" t="s">
        <v>59</v>
      </c>
      <c r="AD8164" t="s">
        <v>59</v>
      </c>
      <c r="AF8164" s="1">
        <v>40044</v>
      </c>
      <c r="AG8164" t="s">
        <v>8651</v>
      </c>
      <c r="AH8164" t="s">
        <v>8652</v>
      </c>
      <c r="AI8164" t="str">
        <f>"9320139"</f>
        <v>9320139</v>
      </c>
      <c r="AJ8164" t="s">
        <v>12196</v>
      </c>
      <c r="AK8164">
        <v>2841024219</v>
      </c>
      <c r="AL8164" t="s">
        <v>12197</v>
      </c>
      <c r="AM8164" t="s">
        <v>4513</v>
      </c>
      <c r="AN8164" t="s">
        <v>4514</v>
      </c>
      <c r="AO8164" t="s">
        <v>4514</v>
      </c>
      <c r="AP8164" t="s">
        <v>4514</v>
      </c>
      <c r="AQ8164">
        <v>1</v>
      </c>
      <c r="AR8164" t="s">
        <v>5177</v>
      </c>
      <c r="AS8164" t="s">
        <v>5178</v>
      </c>
      <c r="AT8164" t="s">
        <v>58</v>
      </c>
      <c r="AU8164" t="s">
        <v>68</v>
      </c>
      <c r="AV8164" t="s">
        <v>69</v>
      </c>
      <c r="AW8164" s="1">
        <v>31856</v>
      </c>
      <c r="AX8164">
        <v>1</v>
      </c>
    </row>
    <row r="8165" spans="1:50">
      <c r="B8165" t="str">
        <f>"138743443"</f>
        <v>138743443</v>
      </c>
      <c r="C8165" t="s">
        <v>105</v>
      </c>
      <c r="D8165" t="s">
        <v>12573</v>
      </c>
      <c r="E8165" t="s">
        <v>1316</v>
      </c>
      <c r="F8165" t="s">
        <v>53</v>
      </c>
      <c r="G8165" t="s">
        <v>801</v>
      </c>
      <c r="H8165" t="str">
        <f>"ΚΑΡΑΒΙΔΑ 14 "</f>
        <v xml:space="preserve">ΚΑΡΑΒΙΔΑ 14 </v>
      </c>
      <c r="I8165">
        <v>41500</v>
      </c>
      <c r="J8165">
        <v>2410592268</v>
      </c>
      <c r="K8165">
        <v>6979050833</v>
      </c>
      <c r="N8165" t="s">
        <v>615</v>
      </c>
      <c r="O8165" t="s">
        <v>616</v>
      </c>
      <c r="R8165" t="s">
        <v>159</v>
      </c>
      <c r="S8165">
        <v>2</v>
      </c>
      <c r="T8165" t="s">
        <v>8675</v>
      </c>
      <c r="U8165" s="1">
        <v>43348</v>
      </c>
      <c r="V8165" t="s">
        <v>5177</v>
      </c>
      <c r="W8165" t="s">
        <v>5178</v>
      </c>
      <c r="X8165" t="s">
        <v>58</v>
      </c>
      <c r="Y8165">
        <v>24</v>
      </c>
      <c r="Z8165" t="s">
        <v>59</v>
      </c>
      <c r="AA8165" t="s">
        <v>59</v>
      </c>
      <c r="AB8165" t="s">
        <v>59</v>
      </c>
      <c r="AC8165" t="s">
        <v>59</v>
      </c>
      <c r="AD8165" t="s">
        <v>59</v>
      </c>
      <c r="AF8165" s="1">
        <v>43348</v>
      </c>
      <c r="AG8165" t="s">
        <v>8645</v>
      </c>
      <c r="AH8165" t="s">
        <v>8646</v>
      </c>
      <c r="AI8165" t="str">
        <f>"9320020"</f>
        <v>9320020</v>
      </c>
      <c r="AJ8165" t="s">
        <v>12093</v>
      </c>
      <c r="AK8165">
        <v>2842031284</v>
      </c>
      <c r="AL8165" t="s">
        <v>12094</v>
      </c>
      <c r="AM8165" t="s">
        <v>4513</v>
      </c>
      <c r="AN8165" t="s">
        <v>4519</v>
      </c>
      <c r="AO8165" t="s">
        <v>4519</v>
      </c>
      <c r="AP8165" t="s">
        <v>12090</v>
      </c>
      <c r="AQ8165">
        <v>5</v>
      </c>
      <c r="AR8165" t="s">
        <v>5177</v>
      </c>
      <c r="AS8165" t="s">
        <v>5178</v>
      </c>
      <c r="AT8165" t="s">
        <v>58</v>
      </c>
      <c r="AU8165" t="s">
        <v>8673</v>
      </c>
      <c r="AV8165" t="s">
        <v>132</v>
      </c>
      <c r="AW8165" s="1">
        <v>32279</v>
      </c>
      <c r="AX8165">
        <v>1</v>
      </c>
    </row>
    <row r="8166" spans="1:50">
      <c r="A8166">
        <v>616038</v>
      </c>
      <c r="B8166" t="str">
        <f>"073271763"</f>
        <v>073271763</v>
      </c>
      <c r="C8166" t="s">
        <v>105</v>
      </c>
      <c r="D8166" t="s">
        <v>5524</v>
      </c>
      <c r="E8166" t="s">
        <v>95</v>
      </c>
      <c r="F8166" t="s">
        <v>72</v>
      </c>
      <c r="G8166" t="s">
        <v>52</v>
      </c>
      <c r="H8166" t="str">
        <f>"ΔΑΙΔΑΛΟΥ 13 ΙΕΡΑΠΕΤΡΑ"</f>
        <v>ΔΑΙΔΑΛΟΥ 13 ΙΕΡΑΠΕΤΡΑ</v>
      </c>
      <c r="I8166">
        <v>72200</v>
      </c>
      <c r="J8166">
        <v>2842022625</v>
      </c>
      <c r="K8166">
        <v>6974146151</v>
      </c>
      <c r="N8166" t="s">
        <v>176</v>
      </c>
      <c r="O8166" t="s">
        <v>177</v>
      </c>
      <c r="R8166" t="s">
        <v>57</v>
      </c>
      <c r="S8166">
        <v>7</v>
      </c>
      <c r="T8166">
        <v>600</v>
      </c>
      <c r="U8166" s="1">
        <v>39310</v>
      </c>
      <c r="V8166" t="s">
        <v>5177</v>
      </c>
      <c r="W8166" t="s">
        <v>5178</v>
      </c>
      <c r="X8166" t="s">
        <v>58</v>
      </c>
      <c r="Y8166">
        <v>22</v>
      </c>
      <c r="Z8166" t="s">
        <v>59</v>
      </c>
      <c r="AA8166" t="s">
        <v>59</v>
      </c>
      <c r="AB8166" t="s">
        <v>59</v>
      </c>
      <c r="AC8166" t="s">
        <v>59</v>
      </c>
      <c r="AD8166" t="s">
        <v>59</v>
      </c>
      <c r="AF8166" s="1">
        <v>39328</v>
      </c>
      <c r="AG8166" t="s">
        <v>8645</v>
      </c>
      <c r="AH8166" t="s">
        <v>8646</v>
      </c>
      <c r="AI8166" t="str">
        <f>"9320006"</f>
        <v>9320006</v>
      </c>
      <c r="AJ8166" t="s">
        <v>11919</v>
      </c>
      <c r="AK8166">
        <v>2842022359</v>
      </c>
      <c r="AL8166" t="s">
        <v>11920</v>
      </c>
      <c r="AM8166" t="s">
        <v>4513</v>
      </c>
      <c r="AN8166" t="s">
        <v>4519</v>
      </c>
      <c r="AO8166" t="s">
        <v>4519</v>
      </c>
      <c r="AP8166" t="s">
        <v>4519</v>
      </c>
      <c r="AQ8166">
        <v>4</v>
      </c>
      <c r="AR8166" t="s">
        <v>5177</v>
      </c>
      <c r="AS8166" t="s">
        <v>5178</v>
      </c>
      <c r="AT8166" t="s">
        <v>58</v>
      </c>
      <c r="AU8166" t="s">
        <v>68</v>
      </c>
      <c r="AV8166" t="s">
        <v>69</v>
      </c>
      <c r="AW8166" s="1">
        <v>25319</v>
      </c>
      <c r="AX8166">
        <v>1</v>
      </c>
    </row>
    <row r="8167" spans="1:50">
      <c r="B8167" t="str">
        <f>"110009853"</f>
        <v>110009853</v>
      </c>
      <c r="C8167" t="s">
        <v>105</v>
      </c>
      <c r="D8167" t="s">
        <v>12574</v>
      </c>
      <c r="E8167" t="s">
        <v>1041</v>
      </c>
      <c r="F8167" t="s">
        <v>72</v>
      </c>
      <c r="G8167" t="s">
        <v>563</v>
      </c>
      <c r="H8167" t="str">
        <f>"ΣΥΛΙΒΑΙΝΑ ΑΚΡΑΤΑΣ "</f>
        <v xml:space="preserve">ΣΥΛΙΒΑΙΝΑ ΑΚΡΑΤΑΣ </v>
      </c>
      <c r="I8167">
        <v>25006</v>
      </c>
      <c r="J8167">
        <v>2696022844</v>
      </c>
      <c r="K8167">
        <v>6979042210</v>
      </c>
      <c r="N8167" t="s">
        <v>615</v>
      </c>
      <c r="O8167" t="s">
        <v>616</v>
      </c>
      <c r="R8167" t="s">
        <v>159</v>
      </c>
      <c r="S8167">
        <v>3</v>
      </c>
      <c r="T8167" t="s">
        <v>8675</v>
      </c>
      <c r="U8167" s="1">
        <v>43348</v>
      </c>
      <c r="V8167" t="s">
        <v>5177</v>
      </c>
      <c r="W8167" t="s">
        <v>5178</v>
      </c>
      <c r="X8167" t="s">
        <v>58</v>
      </c>
      <c r="Y8167">
        <v>24</v>
      </c>
      <c r="Z8167" t="s">
        <v>59</v>
      </c>
      <c r="AA8167" t="s">
        <v>59</v>
      </c>
      <c r="AB8167" t="s">
        <v>59</v>
      </c>
      <c r="AC8167" t="s">
        <v>59</v>
      </c>
      <c r="AD8167" t="s">
        <v>59</v>
      </c>
      <c r="AF8167" s="1">
        <v>43348</v>
      </c>
      <c r="AG8167" t="s">
        <v>8645</v>
      </c>
      <c r="AH8167" t="s">
        <v>8646</v>
      </c>
      <c r="AI8167" t="str">
        <f>"9320005"</f>
        <v>9320005</v>
      </c>
      <c r="AJ8167" t="s">
        <v>12004</v>
      </c>
      <c r="AK8167">
        <v>2842022202</v>
      </c>
      <c r="AL8167" t="s">
        <v>12005</v>
      </c>
      <c r="AM8167" t="s">
        <v>4513</v>
      </c>
      <c r="AN8167" t="s">
        <v>4519</v>
      </c>
      <c r="AO8167" t="s">
        <v>4519</v>
      </c>
      <c r="AP8167" t="s">
        <v>4519</v>
      </c>
      <c r="AQ8167">
        <v>4</v>
      </c>
      <c r="AR8167" t="s">
        <v>5177</v>
      </c>
      <c r="AS8167" t="s">
        <v>5178</v>
      </c>
      <c r="AT8167" t="s">
        <v>58</v>
      </c>
      <c r="AU8167" t="s">
        <v>8673</v>
      </c>
      <c r="AV8167" t="s">
        <v>132</v>
      </c>
      <c r="AW8167" s="1">
        <v>31551</v>
      </c>
      <c r="AX8167">
        <v>1</v>
      </c>
    </row>
    <row r="8168" spans="1:50">
      <c r="B8168" t="str">
        <f>"134582812"</f>
        <v>134582812</v>
      </c>
      <c r="C8168" t="s">
        <v>50</v>
      </c>
      <c r="D8168" t="s">
        <v>12575</v>
      </c>
      <c r="E8168" t="s">
        <v>255</v>
      </c>
      <c r="F8168" t="s">
        <v>99</v>
      </c>
      <c r="G8168" t="s">
        <v>705</v>
      </c>
      <c r="H8168" t="str">
        <f>"ΜΙΑΟΥΛΗ 21 "</f>
        <v xml:space="preserve">ΜΙΑΟΥΛΗ 21 </v>
      </c>
      <c r="I8168">
        <v>54642</v>
      </c>
      <c r="J8168">
        <v>2310819687</v>
      </c>
      <c r="K8168">
        <v>6983829227</v>
      </c>
      <c r="N8168" t="s">
        <v>337</v>
      </c>
      <c r="O8168" t="s">
        <v>338</v>
      </c>
      <c r="R8168" t="s">
        <v>121</v>
      </c>
      <c r="S8168">
        <v>1</v>
      </c>
      <c r="T8168" t="s">
        <v>8675</v>
      </c>
      <c r="U8168" s="1">
        <v>43348</v>
      </c>
      <c r="V8168" t="s">
        <v>5177</v>
      </c>
      <c r="W8168" t="s">
        <v>5178</v>
      </c>
      <c r="X8168" t="s">
        <v>58</v>
      </c>
      <c r="Y8168">
        <v>24</v>
      </c>
      <c r="Z8168" t="s">
        <v>59</v>
      </c>
      <c r="AA8168" t="s">
        <v>59</v>
      </c>
      <c r="AB8168" t="s">
        <v>59</v>
      </c>
      <c r="AC8168" t="s">
        <v>59</v>
      </c>
      <c r="AD8168" t="s">
        <v>59</v>
      </c>
      <c r="AF8168" s="1">
        <v>43348</v>
      </c>
      <c r="AG8168" t="s">
        <v>8645</v>
      </c>
      <c r="AH8168" t="s">
        <v>8646</v>
      </c>
      <c r="AI8168" t="str">
        <f>"9320210"</f>
        <v>9320210</v>
      </c>
      <c r="AJ8168" t="s">
        <v>11890</v>
      </c>
      <c r="AK8168">
        <v>2841026705</v>
      </c>
      <c r="AL8168" t="s">
        <v>11891</v>
      </c>
      <c r="AM8168" t="s">
        <v>4513</v>
      </c>
      <c r="AN8168" t="s">
        <v>4514</v>
      </c>
      <c r="AO8168" t="s">
        <v>4514</v>
      </c>
      <c r="AP8168" t="s">
        <v>4514</v>
      </c>
      <c r="AQ8168">
        <v>1</v>
      </c>
      <c r="AR8168" t="s">
        <v>5177</v>
      </c>
      <c r="AS8168" t="s">
        <v>5178</v>
      </c>
      <c r="AT8168" t="s">
        <v>58</v>
      </c>
      <c r="AU8168" t="s">
        <v>8673</v>
      </c>
      <c r="AV8168" t="s">
        <v>132</v>
      </c>
      <c r="AW8168" s="1">
        <v>31048</v>
      </c>
      <c r="AX8168">
        <v>1</v>
      </c>
    </row>
    <row r="8169" spans="1:50">
      <c r="B8169" t="str">
        <f>"116673610"</f>
        <v>116673610</v>
      </c>
      <c r="C8169" t="s">
        <v>50</v>
      </c>
      <c r="D8169" t="s">
        <v>4070</v>
      </c>
      <c r="E8169" t="s">
        <v>109</v>
      </c>
      <c r="F8169" t="s">
        <v>99</v>
      </c>
      <c r="G8169" t="s">
        <v>83</v>
      </c>
      <c r="H8169" t="str">
        <f>" "</f>
        <v xml:space="preserve"> </v>
      </c>
      <c r="N8169" t="s">
        <v>9829</v>
      </c>
      <c r="O8169" t="s">
        <v>9830</v>
      </c>
      <c r="R8169" t="s">
        <v>121</v>
      </c>
      <c r="S8169">
        <v>3</v>
      </c>
      <c r="T8169" t="s">
        <v>8835</v>
      </c>
      <c r="U8169" s="1">
        <v>43348</v>
      </c>
      <c r="V8169" t="s">
        <v>5177</v>
      </c>
      <c r="W8169" t="s">
        <v>5178</v>
      </c>
      <c r="X8169" t="s">
        <v>58</v>
      </c>
      <c r="Y8169">
        <v>25</v>
      </c>
      <c r="Z8169" t="s">
        <v>59</v>
      </c>
      <c r="AA8169" t="s">
        <v>59</v>
      </c>
      <c r="AB8169" t="s">
        <v>59</v>
      </c>
      <c r="AD8169" t="s">
        <v>59</v>
      </c>
      <c r="AF8169" s="1">
        <v>43348</v>
      </c>
      <c r="AG8169" t="s">
        <v>8651</v>
      </c>
      <c r="AH8169" t="s">
        <v>8652</v>
      </c>
      <c r="AI8169" t="str">
        <f>"9320222"</f>
        <v>9320222</v>
      </c>
      <c r="AJ8169" t="s">
        <v>12020</v>
      </c>
      <c r="AK8169">
        <v>2841022857</v>
      </c>
      <c r="AL8169" t="s">
        <v>12021</v>
      </c>
      <c r="AM8169" t="s">
        <v>4513</v>
      </c>
      <c r="AN8169" t="s">
        <v>4514</v>
      </c>
      <c r="AO8169" t="s">
        <v>4514</v>
      </c>
      <c r="AP8169" t="s">
        <v>4514</v>
      </c>
      <c r="AQ8169">
        <v>1</v>
      </c>
      <c r="AR8169" t="s">
        <v>5177</v>
      </c>
      <c r="AS8169" t="s">
        <v>5178</v>
      </c>
      <c r="AT8169" t="s">
        <v>58</v>
      </c>
      <c r="AU8169" t="s">
        <v>131</v>
      </c>
      <c r="AV8169" t="s">
        <v>132</v>
      </c>
      <c r="AW8169" s="1">
        <v>33429</v>
      </c>
      <c r="AX8169">
        <v>1</v>
      </c>
    </row>
    <row r="8170" spans="1:50">
      <c r="A8170">
        <v>619002</v>
      </c>
      <c r="B8170" t="str">
        <f>"106660919"</f>
        <v>106660919</v>
      </c>
      <c r="C8170" t="s">
        <v>50</v>
      </c>
      <c r="D8170" t="s">
        <v>12576</v>
      </c>
      <c r="E8170" t="s">
        <v>931</v>
      </c>
      <c r="F8170" t="s">
        <v>12577</v>
      </c>
      <c r="G8170" t="s">
        <v>52</v>
      </c>
      <c r="H8170" t="str">
        <f>"ΕΠΙΣΚΟΠΗ  ΙΕΡΑΠΕΤΡΑ"</f>
        <v>ΕΠΙΣΚΟΠΗ  ΙΕΡΑΠΕΤΡΑ</v>
      </c>
      <c r="I8170">
        <v>72200</v>
      </c>
      <c r="J8170">
        <v>2842031227</v>
      </c>
      <c r="K8170">
        <v>6977390474</v>
      </c>
      <c r="N8170" t="s">
        <v>1525</v>
      </c>
      <c r="O8170" t="s">
        <v>1526</v>
      </c>
      <c r="R8170" t="s">
        <v>57</v>
      </c>
      <c r="S8170">
        <v>5</v>
      </c>
      <c r="T8170">
        <v>774</v>
      </c>
      <c r="U8170" s="1">
        <v>39680</v>
      </c>
      <c r="V8170" t="s">
        <v>5177</v>
      </c>
      <c r="W8170" t="s">
        <v>5178</v>
      </c>
      <c r="X8170" t="s">
        <v>58</v>
      </c>
      <c r="Y8170">
        <v>25</v>
      </c>
      <c r="Z8170" t="s">
        <v>59</v>
      </c>
      <c r="AA8170" t="s">
        <v>59</v>
      </c>
      <c r="AB8170" t="s">
        <v>59</v>
      </c>
      <c r="AC8170" t="s">
        <v>59</v>
      </c>
      <c r="AD8170" t="s">
        <v>59</v>
      </c>
      <c r="AF8170" s="1">
        <v>39681</v>
      </c>
      <c r="AG8170" t="s">
        <v>8651</v>
      </c>
      <c r="AH8170" t="s">
        <v>8652</v>
      </c>
      <c r="AI8170" t="str">
        <f>"9320019"</f>
        <v>9320019</v>
      </c>
      <c r="AJ8170" t="s">
        <v>12088</v>
      </c>
      <c r="AK8170">
        <v>2842031284</v>
      </c>
      <c r="AL8170" t="s">
        <v>12089</v>
      </c>
      <c r="AM8170" t="s">
        <v>4513</v>
      </c>
      <c r="AN8170" t="s">
        <v>4519</v>
      </c>
      <c r="AO8170" t="s">
        <v>4519</v>
      </c>
      <c r="AP8170" t="s">
        <v>12090</v>
      </c>
      <c r="AQ8170">
        <v>5</v>
      </c>
      <c r="AR8170" t="s">
        <v>5177</v>
      </c>
      <c r="AS8170" t="s">
        <v>5178</v>
      </c>
      <c r="AT8170" t="s">
        <v>58</v>
      </c>
      <c r="AU8170" t="s">
        <v>68</v>
      </c>
      <c r="AV8170" t="s">
        <v>69</v>
      </c>
      <c r="AW8170" s="1">
        <v>29202</v>
      </c>
      <c r="AX8170">
        <v>1</v>
      </c>
    </row>
    <row r="8171" spans="1:50">
      <c r="A8171">
        <v>618874</v>
      </c>
      <c r="B8171" t="str">
        <f>"110317259"</f>
        <v>110317259</v>
      </c>
      <c r="C8171" t="s">
        <v>105</v>
      </c>
      <c r="D8171" t="s">
        <v>12578</v>
      </c>
      <c r="E8171" t="s">
        <v>153</v>
      </c>
      <c r="F8171" t="s">
        <v>99</v>
      </c>
      <c r="G8171" t="s">
        <v>73</v>
      </c>
      <c r="H8171" t="str">
        <f>"ΔΗΜΟΚΡΑΤΙΑΣ 23Α ΑΓΙΟΣ ΝΙΚΟΛΑΟΣ"</f>
        <v>ΔΗΜΟΚΡΑΤΙΑΣ 23Α ΑΓΙΟΣ ΝΙΚΟΛΑΟΣ</v>
      </c>
      <c r="I8171">
        <v>72100</v>
      </c>
      <c r="J8171">
        <v>2841083166</v>
      </c>
      <c r="K8171">
        <v>6970370051</v>
      </c>
      <c r="N8171" t="s">
        <v>615</v>
      </c>
      <c r="O8171" t="s">
        <v>616</v>
      </c>
      <c r="R8171" t="s">
        <v>57</v>
      </c>
      <c r="S8171">
        <v>5</v>
      </c>
      <c r="T8171">
        <v>774</v>
      </c>
      <c r="U8171" s="1">
        <v>39680</v>
      </c>
      <c r="V8171" t="s">
        <v>5177</v>
      </c>
      <c r="W8171" t="s">
        <v>5178</v>
      </c>
      <c r="X8171" t="s">
        <v>58</v>
      </c>
      <c r="Y8171">
        <v>23</v>
      </c>
      <c r="Z8171" t="s">
        <v>59</v>
      </c>
      <c r="AA8171" t="s">
        <v>59</v>
      </c>
      <c r="AB8171" t="s">
        <v>59</v>
      </c>
      <c r="AC8171" t="s">
        <v>59</v>
      </c>
      <c r="AD8171" t="s">
        <v>59</v>
      </c>
      <c r="AF8171" s="1">
        <v>39681</v>
      </c>
      <c r="AG8171" t="s">
        <v>8645</v>
      </c>
      <c r="AH8171" t="s">
        <v>8646</v>
      </c>
      <c r="AI8171" t="str">
        <f>"9320210"</f>
        <v>9320210</v>
      </c>
      <c r="AJ8171" t="s">
        <v>11890</v>
      </c>
      <c r="AK8171">
        <v>2841026705</v>
      </c>
      <c r="AL8171" t="s">
        <v>11891</v>
      </c>
      <c r="AM8171" t="s">
        <v>4513</v>
      </c>
      <c r="AN8171" t="s">
        <v>4514</v>
      </c>
      <c r="AO8171" t="s">
        <v>4514</v>
      </c>
      <c r="AP8171" t="s">
        <v>4514</v>
      </c>
      <c r="AQ8171">
        <v>1</v>
      </c>
      <c r="AR8171" t="s">
        <v>5177</v>
      </c>
      <c r="AS8171" t="s">
        <v>5178</v>
      </c>
      <c r="AT8171" t="s">
        <v>58</v>
      </c>
      <c r="AU8171" t="s">
        <v>68</v>
      </c>
      <c r="AV8171" t="s">
        <v>69</v>
      </c>
      <c r="AW8171" s="1">
        <v>27786</v>
      </c>
      <c r="AX8171">
        <v>1</v>
      </c>
    </row>
    <row r="8172" spans="1:50">
      <c r="A8172">
        <v>616591</v>
      </c>
      <c r="B8172" t="str">
        <f>"140053119"</f>
        <v>140053119</v>
      </c>
      <c r="C8172" t="s">
        <v>50</v>
      </c>
      <c r="D8172" t="s">
        <v>12579</v>
      </c>
      <c r="E8172" t="s">
        <v>529</v>
      </c>
      <c r="F8172" t="s">
        <v>99</v>
      </c>
      <c r="G8172" t="s">
        <v>83</v>
      </c>
      <c r="H8172" t="str">
        <f>"Γ. ΣΑΚΕΛΛΑΡΙΟΥ 13 ΚΟΖΑΝΗ"</f>
        <v>Γ. ΣΑΚΕΛΛΑΡΙΟΥ 13 ΚΟΖΑΝΗ</v>
      </c>
      <c r="I8172">
        <v>50100</v>
      </c>
      <c r="J8172">
        <v>2461038878</v>
      </c>
      <c r="K8172">
        <v>6973344216</v>
      </c>
      <c r="N8172" t="s">
        <v>1525</v>
      </c>
      <c r="O8172" t="s">
        <v>1526</v>
      </c>
      <c r="R8172" t="s">
        <v>57</v>
      </c>
      <c r="S8172">
        <v>5</v>
      </c>
      <c r="T8172">
        <v>660</v>
      </c>
      <c r="U8172" s="1">
        <v>39311</v>
      </c>
      <c r="V8172" t="s">
        <v>5177</v>
      </c>
      <c r="W8172" t="s">
        <v>5178</v>
      </c>
      <c r="X8172" t="s">
        <v>58</v>
      </c>
      <c r="Y8172">
        <v>25</v>
      </c>
      <c r="Z8172" t="s">
        <v>59</v>
      </c>
      <c r="AA8172" t="s">
        <v>59</v>
      </c>
      <c r="AB8172" t="s">
        <v>59</v>
      </c>
      <c r="AC8172" t="s">
        <v>59</v>
      </c>
      <c r="AD8172" t="s">
        <v>59</v>
      </c>
      <c r="AF8172" s="1">
        <v>39330</v>
      </c>
      <c r="AG8172" t="s">
        <v>8651</v>
      </c>
      <c r="AH8172" t="s">
        <v>8652</v>
      </c>
      <c r="AI8172" t="str">
        <f>"9320143"</f>
        <v>9320143</v>
      </c>
      <c r="AJ8172" t="s">
        <v>11888</v>
      </c>
      <c r="AK8172">
        <v>2842027151</v>
      </c>
      <c r="AL8172" t="s">
        <v>11889</v>
      </c>
      <c r="AM8172" t="s">
        <v>4513</v>
      </c>
      <c r="AN8172" t="s">
        <v>4519</v>
      </c>
      <c r="AO8172" t="s">
        <v>4519</v>
      </c>
      <c r="AP8172" t="s">
        <v>4519</v>
      </c>
      <c r="AQ8172">
        <v>5</v>
      </c>
      <c r="AR8172" t="s">
        <v>5177</v>
      </c>
      <c r="AS8172" t="s">
        <v>5178</v>
      </c>
      <c r="AT8172" t="s">
        <v>58</v>
      </c>
      <c r="AU8172" t="s">
        <v>68</v>
      </c>
      <c r="AV8172" t="s">
        <v>69</v>
      </c>
      <c r="AW8172" s="1">
        <v>30709</v>
      </c>
      <c r="AX8172">
        <v>1</v>
      </c>
    </row>
    <row r="8173" spans="1:50">
      <c r="B8173" t="str">
        <f>"111019198"</f>
        <v>111019198</v>
      </c>
      <c r="C8173" t="s">
        <v>50</v>
      </c>
      <c r="D8173" t="s">
        <v>12580</v>
      </c>
      <c r="E8173" t="s">
        <v>1694</v>
      </c>
      <c r="F8173" t="s">
        <v>202</v>
      </c>
      <c r="G8173" t="s">
        <v>237</v>
      </c>
      <c r="H8173" t="str">
        <f>" "</f>
        <v xml:space="preserve"> </v>
      </c>
      <c r="N8173" t="s">
        <v>306</v>
      </c>
      <c r="O8173" t="s">
        <v>307</v>
      </c>
      <c r="R8173" t="s">
        <v>121</v>
      </c>
      <c r="S8173">
        <v>1</v>
      </c>
      <c r="T8173" t="s">
        <v>8675</v>
      </c>
      <c r="U8173" s="1">
        <v>43348</v>
      </c>
      <c r="V8173" t="s">
        <v>5177</v>
      </c>
      <c r="W8173" t="s">
        <v>5178</v>
      </c>
      <c r="X8173" t="s">
        <v>58</v>
      </c>
      <c r="Y8173">
        <v>24</v>
      </c>
      <c r="Z8173" t="s">
        <v>59</v>
      </c>
      <c r="AA8173" t="s">
        <v>59</v>
      </c>
      <c r="AB8173" t="s">
        <v>59</v>
      </c>
      <c r="AD8173" t="s">
        <v>59</v>
      </c>
      <c r="AF8173" s="1">
        <v>43348</v>
      </c>
      <c r="AG8173" t="s">
        <v>8645</v>
      </c>
      <c r="AH8173" t="s">
        <v>8646</v>
      </c>
      <c r="AI8173" t="str">
        <f>"9320006"</f>
        <v>9320006</v>
      </c>
      <c r="AJ8173" t="s">
        <v>11919</v>
      </c>
      <c r="AK8173">
        <v>2842022359</v>
      </c>
      <c r="AL8173" t="s">
        <v>11920</v>
      </c>
      <c r="AM8173" t="s">
        <v>4513</v>
      </c>
      <c r="AN8173" t="s">
        <v>4519</v>
      </c>
      <c r="AO8173" t="s">
        <v>4519</v>
      </c>
      <c r="AP8173" t="s">
        <v>4519</v>
      </c>
      <c r="AQ8173">
        <v>4</v>
      </c>
      <c r="AR8173" t="s">
        <v>5177</v>
      </c>
      <c r="AS8173" t="s">
        <v>5178</v>
      </c>
      <c r="AT8173" t="s">
        <v>58</v>
      </c>
      <c r="AU8173" t="s">
        <v>8673</v>
      </c>
      <c r="AV8173" t="s">
        <v>132</v>
      </c>
      <c r="AW8173" s="1">
        <v>27879</v>
      </c>
      <c r="AX8173">
        <v>1</v>
      </c>
    </row>
    <row r="8174" spans="1:50">
      <c r="B8174" t="str">
        <f>"147053595"</f>
        <v>147053595</v>
      </c>
      <c r="C8174" t="s">
        <v>50</v>
      </c>
      <c r="D8174" t="s">
        <v>12581</v>
      </c>
      <c r="E8174" t="s">
        <v>238</v>
      </c>
      <c r="F8174" t="s">
        <v>154</v>
      </c>
      <c r="G8174" t="s">
        <v>181</v>
      </c>
      <c r="H8174" t="str">
        <f>"ΜΕΣΟΛΟΓΓΙΟΥ 8 "</f>
        <v xml:space="preserve">ΜΕΣΟΛΟΓΓΙΟΥ 8 </v>
      </c>
      <c r="I8174">
        <v>72300</v>
      </c>
      <c r="J8174">
        <v>2843020704</v>
      </c>
      <c r="K8174">
        <v>6983420587</v>
      </c>
      <c r="M8174" t="s">
        <v>12582</v>
      </c>
      <c r="N8174" t="s">
        <v>615</v>
      </c>
      <c r="O8174" t="s">
        <v>616</v>
      </c>
      <c r="R8174" t="s">
        <v>159</v>
      </c>
      <c r="S8174">
        <v>3</v>
      </c>
      <c r="T8174" t="s">
        <v>8675</v>
      </c>
      <c r="U8174" s="1">
        <v>43348</v>
      </c>
      <c r="V8174" t="s">
        <v>5177</v>
      </c>
      <c r="W8174" t="s">
        <v>5178</v>
      </c>
      <c r="X8174" t="s">
        <v>58</v>
      </c>
      <c r="Y8174">
        <v>24</v>
      </c>
      <c r="Z8174" t="s">
        <v>59</v>
      </c>
      <c r="AA8174" t="s">
        <v>59</v>
      </c>
      <c r="AB8174" t="s">
        <v>59</v>
      </c>
      <c r="AC8174" t="s">
        <v>59</v>
      </c>
      <c r="AD8174" t="s">
        <v>59</v>
      </c>
      <c r="AF8174" s="1">
        <v>43348</v>
      </c>
      <c r="AG8174" t="s">
        <v>8645</v>
      </c>
      <c r="AH8174" t="s">
        <v>8646</v>
      </c>
      <c r="AI8174" t="str">
        <f>"9320098"</f>
        <v>9320098</v>
      </c>
      <c r="AJ8174" t="s">
        <v>12053</v>
      </c>
      <c r="AK8174">
        <v>2843051475</v>
      </c>
      <c r="AL8174" t="s">
        <v>12054</v>
      </c>
      <c r="AM8174" t="s">
        <v>4513</v>
      </c>
      <c r="AN8174" t="s">
        <v>4519</v>
      </c>
      <c r="AO8174" t="s">
        <v>4766</v>
      </c>
      <c r="AP8174" t="s">
        <v>12055</v>
      </c>
      <c r="AQ8174">
        <v>6</v>
      </c>
      <c r="AR8174" t="s">
        <v>5177</v>
      </c>
      <c r="AS8174" t="s">
        <v>5178</v>
      </c>
      <c r="AT8174" t="s">
        <v>58</v>
      </c>
      <c r="AU8174" t="s">
        <v>8673</v>
      </c>
      <c r="AV8174" t="s">
        <v>132</v>
      </c>
      <c r="AW8174" s="1">
        <v>32131</v>
      </c>
      <c r="AX8174">
        <v>1</v>
      </c>
    </row>
    <row r="8175" spans="1:50">
      <c r="A8175">
        <v>588250</v>
      </c>
      <c r="B8175" t="str">
        <f>"049736640"</f>
        <v>049736640</v>
      </c>
      <c r="C8175" t="s">
        <v>50</v>
      </c>
      <c r="D8175" t="s">
        <v>12581</v>
      </c>
      <c r="E8175" t="s">
        <v>237</v>
      </c>
      <c r="F8175" t="s">
        <v>377</v>
      </c>
      <c r="G8175" t="s">
        <v>12583</v>
      </c>
      <c r="H8175" t="str">
        <f>"ΠΕΛΟΠΟΝΝΗΣΟΥ 12 ΑΓΙΟΣ ΝΙΚΟΛΑΟΣ"</f>
        <v>ΠΕΛΟΠΟΝΝΗΣΟΥ 12 ΑΓΙΟΣ ΝΙΚΟΛΑΟΣ</v>
      </c>
      <c r="I8175">
        <v>72100</v>
      </c>
      <c r="J8175">
        <v>2841024861</v>
      </c>
      <c r="N8175" t="s">
        <v>615</v>
      </c>
      <c r="O8175" t="s">
        <v>616</v>
      </c>
      <c r="R8175" t="s">
        <v>57</v>
      </c>
      <c r="S8175">
        <v>9</v>
      </c>
      <c r="T8175">
        <v>176</v>
      </c>
      <c r="U8175" s="1">
        <v>36403</v>
      </c>
      <c r="V8175" t="s">
        <v>5177</v>
      </c>
      <c r="W8175" t="s">
        <v>5178</v>
      </c>
      <c r="X8175" t="s">
        <v>58</v>
      </c>
      <c r="Y8175">
        <v>22</v>
      </c>
      <c r="Z8175" t="s">
        <v>59</v>
      </c>
      <c r="AA8175" t="s">
        <v>59</v>
      </c>
      <c r="AB8175" t="s">
        <v>59</v>
      </c>
      <c r="AC8175" t="s">
        <v>59</v>
      </c>
      <c r="AD8175" t="s">
        <v>59</v>
      </c>
      <c r="AF8175" s="1">
        <v>36404</v>
      </c>
      <c r="AG8175" t="s">
        <v>8645</v>
      </c>
      <c r="AH8175" t="s">
        <v>8646</v>
      </c>
      <c r="AI8175" t="str">
        <f>"9320210"</f>
        <v>9320210</v>
      </c>
      <c r="AJ8175" t="s">
        <v>11890</v>
      </c>
      <c r="AK8175">
        <v>2841026705</v>
      </c>
      <c r="AL8175" t="s">
        <v>11891</v>
      </c>
      <c r="AM8175" t="s">
        <v>4513</v>
      </c>
      <c r="AN8175" t="s">
        <v>4514</v>
      </c>
      <c r="AO8175" t="s">
        <v>4514</v>
      </c>
      <c r="AP8175" t="s">
        <v>4514</v>
      </c>
      <c r="AQ8175">
        <v>1</v>
      </c>
      <c r="AR8175" t="s">
        <v>5177</v>
      </c>
      <c r="AS8175" t="s">
        <v>5178</v>
      </c>
      <c r="AT8175" t="s">
        <v>58</v>
      </c>
      <c r="AU8175" t="s">
        <v>68</v>
      </c>
      <c r="AV8175" t="s">
        <v>69</v>
      </c>
      <c r="AW8175" s="1">
        <v>23676</v>
      </c>
      <c r="AX8175">
        <v>1</v>
      </c>
    </row>
    <row r="8176" spans="1:50">
      <c r="B8176" t="str">
        <f>"063083572"</f>
        <v>063083572</v>
      </c>
      <c r="C8176" t="s">
        <v>50</v>
      </c>
      <c r="D8176" t="s">
        <v>12584</v>
      </c>
      <c r="E8176" t="s">
        <v>12585</v>
      </c>
      <c r="F8176" t="s">
        <v>7152</v>
      </c>
      <c r="G8176" t="s">
        <v>2737</v>
      </c>
      <c r="H8176" t="str">
        <f>"ΠΙΝΔΟΥ 17Α "</f>
        <v xml:space="preserve">ΠΙΝΔΟΥ 17Α </v>
      </c>
      <c r="I8176">
        <v>57013</v>
      </c>
      <c r="J8176">
        <v>2310774125</v>
      </c>
      <c r="K8176">
        <v>6975746478</v>
      </c>
      <c r="M8176" t="s">
        <v>12586</v>
      </c>
      <c r="N8176" t="s">
        <v>306</v>
      </c>
      <c r="O8176" t="s">
        <v>307</v>
      </c>
      <c r="R8176" t="s">
        <v>159</v>
      </c>
      <c r="S8176">
        <v>2</v>
      </c>
      <c r="T8176" t="s">
        <v>8675</v>
      </c>
      <c r="U8176" s="1">
        <v>43348</v>
      </c>
      <c r="V8176" t="s">
        <v>5177</v>
      </c>
      <c r="W8176" t="s">
        <v>5178</v>
      </c>
      <c r="X8176" t="s">
        <v>58</v>
      </c>
      <c r="Y8176">
        <v>24</v>
      </c>
      <c r="Z8176" t="s">
        <v>59</v>
      </c>
      <c r="AA8176" t="s">
        <v>59</v>
      </c>
      <c r="AB8176" t="s">
        <v>59</v>
      </c>
      <c r="AC8176" t="s">
        <v>59</v>
      </c>
      <c r="AD8176" t="s">
        <v>59</v>
      </c>
      <c r="AF8176" s="1">
        <v>43348</v>
      </c>
      <c r="AG8176" t="s">
        <v>8645</v>
      </c>
      <c r="AH8176" t="s">
        <v>8646</v>
      </c>
      <c r="AI8176" t="str">
        <f>"9320012"</f>
        <v>9320012</v>
      </c>
      <c r="AJ8176" t="s">
        <v>11921</v>
      </c>
      <c r="AK8176">
        <v>2842041253</v>
      </c>
      <c r="AL8176" t="s">
        <v>11922</v>
      </c>
      <c r="AM8176" t="s">
        <v>4513</v>
      </c>
      <c r="AN8176" t="s">
        <v>4519</v>
      </c>
      <c r="AO8176" t="s">
        <v>4519</v>
      </c>
      <c r="AP8176" t="s">
        <v>11899</v>
      </c>
      <c r="AQ8176">
        <v>7</v>
      </c>
      <c r="AR8176" t="s">
        <v>5177</v>
      </c>
      <c r="AS8176" t="s">
        <v>5178</v>
      </c>
      <c r="AT8176" t="s">
        <v>58</v>
      </c>
      <c r="AU8176" t="s">
        <v>8673</v>
      </c>
      <c r="AV8176" t="s">
        <v>132</v>
      </c>
      <c r="AW8176" s="1">
        <v>26124</v>
      </c>
      <c r="AX8176">
        <v>1</v>
      </c>
    </row>
    <row r="8177" spans="1:50">
      <c r="B8177" t="str">
        <f>"121594871"</f>
        <v>121594871</v>
      </c>
      <c r="C8177" t="s">
        <v>50</v>
      </c>
      <c r="D8177" t="s">
        <v>12587</v>
      </c>
      <c r="E8177" t="s">
        <v>52</v>
      </c>
      <c r="F8177" t="s">
        <v>95</v>
      </c>
      <c r="G8177" t="s">
        <v>255</v>
      </c>
      <c r="H8177" t="str">
        <f>"ΑΝ.ΠΑΠΑΝΔΡΕΟΥ 6 ΝΕΑΠΟΛΗ ΘΕΣ/ΝΙΚΗ"</f>
        <v>ΑΝ.ΠΑΠΑΝΔΡΕΟΥ 6 ΝΕΑΠΟΛΗ ΘΕΣ/ΝΙΚΗ</v>
      </c>
      <c r="I8177">
        <v>56728</v>
      </c>
      <c r="J8177">
        <v>2310610839</v>
      </c>
      <c r="K8177">
        <v>6973794323</v>
      </c>
      <c r="N8177" t="s">
        <v>1525</v>
      </c>
      <c r="O8177" t="s">
        <v>1526</v>
      </c>
      <c r="R8177" t="s">
        <v>57</v>
      </c>
      <c r="S8177">
        <v>4</v>
      </c>
      <c r="T8177" t="s">
        <v>8670</v>
      </c>
      <c r="U8177" s="1">
        <v>43348</v>
      </c>
      <c r="V8177" t="s">
        <v>5177</v>
      </c>
      <c r="W8177" t="s">
        <v>5178</v>
      </c>
      <c r="X8177" t="s">
        <v>58</v>
      </c>
      <c r="Y8177">
        <v>25</v>
      </c>
      <c r="Z8177" t="s">
        <v>59</v>
      </c>
      <c r="AA8177" t="s">
        <v>59</v>
      </c>
      <c r="AB8177" t="s">
        <v>59</v>
      </c>
      <c r="AC8177" t="s">
        <v>59</v>
      </c>
      <c r="AD8177" t="s">
        <v>59</v>
      </c>
      <c r="AF8177" s="1">
        <v>43348</v>
      </c>
      <c r="AG8177" t="s">
        <v>8651</v>
      </c>
      <c r="AH8177" t="s">
        <v>8652</v>
      </c>
      <c r="AI8177" t="str">
        <f>"9320147"</f>
        <v>9320147</v>
      </c>
      <c r="AJ8177" t="s">
        <v>11932</v>
      </c>
      <c r="AK8177">
        <v>2843023474</v>
      </c>
      <c r="AL8177" t="s">
        <v>11933</v>
      </c>
      <c r="AM8177" t="s">
        <v>4513</v>
      </c>
      <c r="AN8177" t="s">
        <v>4540</v>
      </c>
      <c r="AO8177" t="s">
        <v>4540</v>
      </c>
      <c r="AP8177" t="s">
        <v>4540</v>
      </c>
      <c r="AQ8177">
        <v>8</v>
      </c>
      <c r="AR8177" t="s">
        <v>5177</v>
      </c>
      <c r="AS8177" t="s">
        <v>5178</v>
      </c>
      <c r="AT8177" t="s">
        <v>58</v>
      </c>
      <c r="AU8177" t="s">
        <v>8673</v>
      </c>
      <c r="AV8177" t="s">
        <v>132</v>
      </c>
      <c r="AW8177" s="1">
        <v>30083</v>
      </c>
      <c r="AX8177">
        <v>1</v>
      </c>
    </row>
    <row r="8178" spans="1:50">
      <c r="A8178">
        <v>701016</v>
      </c>
      <c r="B8178" t="str">
        <f>"127682300"</f>
        <v>127682300</v>
      </c>
      <c r="C8178" t="s">
        <v>50</v>
      </c>
      <c r="D8178" t="s">
        <v>12588</v>
      </c>
      <c r="E8178" t="s">
        <v>484</v>
      </c>
      <c r="F8178" t="s">
        <v>383</v>
      </c>
      <c r="G8178" t="s">
        <v>714</v>
      </c>
      <c r="H8178" t="str">
        <f>"ΤΕΤΡΑΚΩΜΟ ΑΡΤΑΣ ΑΡΤΑ"</f>
        <v>ΤΕΤΡΑΚΩΜΟ ΑΡΤΑΣ ΑΡΤΑ</v>
      </c>
      <c r="I8178">
        <v>47045</v>
      </c>
      <c r="J8178">
        <v>2685024236</v>
      </c>
      <c r="K8178">
        <v>6978171766</v>
      </c>
      <c r="M8178" t="s">
        <v>12589</v>
      </c>
      <c r="N8178" t="s">
        <v>1525</v>
      </c>
      <c r="O8178" t="s">
        <v>1526</v>
      </c>
      <c r="R8178" t="s">
        <v>57</v>
      </c>
      <c r="S8178">
        <v>4</v>
      </c>
      <c r="T8178">
        <v>772</v>
      </c>
      <c r="U8178" s="1">
        <v>40413</v>
      </c>
      <c r="V8178" t="s">
        <v>5177</v>
      </c>
      <c r="W8178" t="s">
        <v>5178</v>
      </c>
      <c r="X8178" t="s">
        <v>58</v>
      </c>
      <c r="Y8178">
        <v>25</v>
      </c>
      <c r="Z8178" t="s">
        <v>59</v>
      </c>
      <c r="AA8178" t="s">
        <v>59</v>
      </c>
      <c r="AB8178" t="s">
        <v>59</v>
      </c>
      <c r="AC8178" t="s">
        <v>59</v>
      </c>
      <c r="AD8178" t="s">
        <v>59</v>
      </c>
      <c r="AF8178" s="1">
        <v>40415</v>
      </c>
      <c r="AG8178" t="s">
        <v>8651</v>
      </c>
      <c r="AH8178" t="s">
        <v>8652</v>
      </c>
      <c r="AI8178" t="str">
        <f>"9520762"</f>
        <v>9520762</v>
      </c>
      <c r="AJ8178" t="s">
        <v>12243</v>
      </c>
      <c r="AK8178">
        <v>2841024447</v>
      </c>
      <c r="AL8178" t="s">
        <v>12244</v>
      </c>
      <c r="AM8178" t="s">
        <v>4513</v>
      </c>
      <c r="AN8178" t="s">
        <v>4514</v>
      </c>
      <c r="AO8178" t="s">
        <v>4514</v>
      </c>
      <c r="AP8178" t="s">
        <v>4514</v>
      </c>
      <c r="AQ8178">
        <v>1</v>
      </c>
      <c r="AR8178" t="s">
        <v>5177</v>
      </c>
      <c r="AS8178" t="s">
        <v>5178</v>
      </c>
      <c r="AT8178" t="s">
        <v>58</v>
      </c>
      <c r="AU8178" t="s">
        <v>68</v>
      </c>
      <c r="AV8178" t="s">
        <v>69</v>
      </c>
      <c r="AW8178" s="1">
        <v>30848</v>
      </c>
      <c r="AX8178">
        <v>1</v>
      </c>
    </row>
    <row r="8179" spans="1:50">
      <c r="B8179" t="str">
        <f>"108885342"</f>
        <v>108885342</v>
      </c>
      <c r="C8179" t="s">
        <v>105</v>
      </c>
      <c r="D8179" t="s">
        <v>12590</v>
      </c>
      <c r="E8179" t="s">
        <v>72</v>
      </c>
      <c r="F8179" t="s">
        <v>609</v>
      </c>
      <c r="G8179" t="s">
        <v>12591</v>
      </c>
      <c r="H8179" t="str">
        <f>"ΑΣΚΟΣ "</f>
        <v xml:space="preserve">ΑΣΚΟΣ </v>
      </c>
      <c r="I8179">
        <v>57016</v>
      </c>
      <c r="J8179">
        <v>2395061262</v>
      </c>
      <c r="K8179">
        <v>6978863421</v>
      </c>
      <c r="N8179" t="s">
        <v>615</v>
      </c>
      <c r="O8179" t="s">
        <v>616</v>
      </c>
      <c r="R8179" t="s">
        <v>159</v>
      </c>
      <c r="S8179">
        <v>3</v>
      </c>
      <c r="T8179" t="s">
        <v>8675</v>
      </c>
      <c r="U8179" s="1">
        <v>43348</v>
      </c>
      <c r="V8179" t="s">
        <v>5177</v>
      </c>
      <c r="W8179" t="s">
        <v>5178</v>
      </c>
      <c r="X8179" t="s">
        <v>58</v>
      </c>
      <c r="Y8179">
        <v>24</v>
      </c>
      <c r="Z8179" t="s">
        <v>59</v>
      </c>
      <c r="AA8179" t="s">
        <v>59</v>
      </c>
      <c r="AB8179" t="s">
        <v>59</v>
      </c>
      <c r="AC8179" t="s">
        <v>59</v>
      </c>
      <c r="AD8179" t="s">
        <v>59</v>
      </c>
      <c r="AF8179" s="1">
        <v>43348</v>
      </c>
      <c r="AG8179" t="s">
        <v>8645</v>
      </c>
      <c r="AH8179" t="s">
        <v>8646</v>
      </c>
      <c r="AI8179" t="str">
        <f>"9320071"</f>
        <v>9320071</v>
      </c>
      <c r="AJ8179" t="s">
        <v>12098</v>
      </c>
      <c r="AK8179">
        <v>2841041234</v>
      </c>
      <c r="AL8179" t="s">
        <v>12099</v>
      </c>
      <c r="AM8179" t="s">
        <v>4513</v>
      </c>
      <c r="AN8179" t="s">
        <v>4514</v>
      </c>
      <c r="AO8179" t="s">
        <v>4514</v>
      </c>
      <c r="AP8179" t="s">
        <v>12100</v>
      </c>
      <c r="AQ8179">
        <v>2</v>
      </c>
      <c r="AR8179" t="s">
        <v>5177</v>
      </c>
      <c r="AS8179" t="s">
        <v>5178</v>
      </c>
      <c r="AT8179" t="s">
        <v>58</v>
      </c>
      <c r="AU8179" t="s">
        <v>8673</v>
      </c>
      <c r="AV8179" t="s">
        <v>132</v>
      </c>
      <c r="AW8179" s="1">
        <v>31537</v>
      </c>
      <c r="AX8179">
        <v>1</v>
      </c>
    </row>
    <row r="8180" spans="1:50">
      <c r="A8180">
        <v>595294</v>
      </c>
      <c r="B8180" t="str">
        <f>"063510181"</f>
        <v>063510181</v>
      </c>
      <c r="C8180" t="s">
        <v>105</v>
      </c>
      <c r="D8180" t="s">
        <v>12592</v>
      </c>
      <c r="E8180" t="s">
        <v>12507</v>
      </c>
      <c r="F8180" t="s">
        <v>95</v>
      </c>
      <c r="G8180" t="s">
        <v>7343</v>
      </c>
      <c r="H8180" t="str">
        <f>"ΤΖΙΒΕΡΙ ΙΕΡΑΠΕΤΡΑ"</f>
        <v>ΤΖΙΒΕΡΙ ΙΕΡΑΠΕΤΡΑ</v>
      </c>
      <c r="I8180">
        <v>72200</v>
      </c>
      <c r="J8180">
        <v>2842026382</v>
      </c>
      <c r="K8180">
        <v>6977204609</v>
      </c>
      <c r="M8180" t="s">
        <v>12593</v>
      </c>
      <c r="N8180" t="s">
        <v>615</v>
      </c>
      <c r="O8180" t="s">
        <v>616</v>
      </c>
      <c r="R8180" t="s">
        <v>57</v>
      </c>
      <c r="S8180">
        <v>8</v>
      </c>
      <c r="T8180">
        <v>218</v>
      </c>
      <c r="U8180" s="1">
        <v>37134</v>
      </c>
      <c r="V8180" t="s">
        <v>5177</v>
      </c>
      <c r="W8180" t="s">
        <v>5178</v>
      </c>
      <c r="X8180" t="s">
        <v>58</v>
      </c>
      <c r="Y8180">
        <v>22</v>
      </c>
      <c r="Z8180" t="s">
        <v>59</v>
      </c>
      <c r="AA8180" t="s">
        <v>59</v>
      </c>
      <c r="AB8180" t="s">
        <v>59</v>
      </c>
      <c r="AC8180" t="s">
        <v>59</v>
      </c>
      <c r="AD8180" t="s">
        <v>59</v>
      </c>
      <c r="AF8180" s="1">
        <v>37140</v>
      </c>
      <c r="AG8180" t="s">
        <v>8645</v>
      </c>
      <c r="AH8180" t="s">
        <v>8646</v>
      </c>
      <c r="AI8180" t="str">
        <f>"9320028"</f>
        <v>9320028</v>
      </c>
      <c r="AJ8180" t="s">
        <v>12214</v>
      </c>
      <c r="AK8180">
        <v>2842051243</v>
      </c>
      <c r="AL8180" t="s">
        <v>12215</v>
      </c>
      <c r="AM8180" t="s">
        <v>4513</v>
      </c>
      <c r="AN8180" t="s">
        <v>4519</v>
      </c>
      <c r="AO8180" t="s">
        <v>4519</v>
      </c>
      <c r="AP8180" t="s">
        <v>12216</v>
      </c>
      <c r="AQ8180">
        <v>7</v>
      </c>
      <c r="AR8180" t="s">
        <v>5177</v>
      </c>
      <c r="AS8180" t="s">
        <v>5178</v>
      </c>
      <c r="AT8180" t="s">
        <v>58</v>
      </c>
      <c r="AU8180" t="s">
        <v>68</v>
      </c>
      <c r="AV8180" t="s">
        <v>69</v>
      </c>
      <c r="AW8180" s="1">
        <v>26828</v>
      </c>
      <c r="AX8180">
        <v>1</v>
      </c>
    </row>
    <row r="8181" spans="1:50">
      <c r="A8181">
        <v>616297</v>
      </c>
      <c r="B8181" t="str">
        <f>"122707683"</f>
        <v>122707683</v>
      </c>
      <c r="C8181" t="s">
        <v>50</v>
      </c>
      <c r="D8181" t="s">
        <v>12594</v>
      </c>
      <c r="E8181" t="s">
        <v>877</v>
      </c>
      <c r="F8181" t="s">
        <v>106</v>
      </c>
      <c r="G8181" t="s">
        <v>237</v>
      </c>
      <c r="H8181" t="str">
        <f>"ΠΕΡΔΙΚΑ 9 ΒΕΡΟΙΑ"</f>
        <v>ΠΕΡΔΙΚΑ 9 ΒΕΡΟΙΑ</v>
      </c>
      <c r="I8181">
        <v>59100</v>
      </c>
      <c r="J8181">
        <v>2331065491</v>
      </c>
      <c r="K8181">
        <v>6975028072</v>
      </c>
      <c r="M8181" t="s">
        <v>12595</v>
      </c>
      <c r="N8181" t="s">
        <v>1525</v>
      </c>
      <c r="O8181" t="s">
        <v>1526</v>
      </c>
      <c r="R8181" t="s">
        <v>57</v>
      </c>
      <c r="S8181">
        <v>5</v>
      </c>
      <c r="T8181">
        <v>660</v>
      </c>
      <c r="U8181" s="1">
        <v>39311</v>
      </c>
      <c r="V8181" t="s">
        <v>5177</v>
      </c>
      <c r="W8181" t="s">
        <v>5178</v>
      </c>
      <c r="X8181" t="s">
        <v>58</v>
      </c>
      <c r="Y8181">
        <v>25</v>
      </c>
      <c r="Z8181" t="s">
        <v>59</v>
      </c>
      <c r="AA8181" t="s">
        <v>59</v>
      </c>
      <c r="AB8181" t="s">
        <v>59</v>
      </c>
      <c r="AC8181" t="s">
        <v>59</v>
      </c>
      <c r="AD8181" t="s">
        <v>59</v>
      </c>
      <c r="AF8181" s="1">
        <v>39311</v>
      </c>
      <c r="AG8181" t="s">
        <v>8651</v>
      </c>
      <c r="AH8181" t="s">
        <v>8652</v>
      </c>
      <c r="AI8181" t="str">
        <f>"9320122"</f>
        <v>9320122</v>
      </c>
      <c r="AJ8181" t="s">
        <v>12131</v>
      </c>
      <c r="AK8181">
        <v>2843028504</v>
      </c>
      <c r="AL8181" t="s">
        <v>12132</v>
      </c>
      <c r="AM8181" t="s">
        <v>4513</v>
      </c>
      <c r="AN8181" t="s">
        <v>4540</v>
      </c>
      <c r="AO8181" t="s">
        <v>4540</v>
      </c>
      <c r="AP8181" t="s">
        <v>11908</v>
      </c>
      <c r="AQ8181">
        <v>8</v>
      </c>
      <c r="AR8181" t="s">
        <v>5177</v>
      </c>
      <c r="AS8181" t="s">
        <v>5178</v>
      </c>
      <c r="AT8181" t="s">
        <v>58</v>
      </c>
      <c r="AU8181" t="s">
        <v>68</v>
      </c>
      <c r="AV8181" t="s">
        <v>69</v>
      </c>
      <c r="AW8181" s="1">
        <v>31082</v>
      </c>
      <c r="AX8181">
        <v>1</v>
      </c>
    </row>
    <row r="8182" spans="1:50">
      <c r="A8182">
        <v>608177</v>
      </c>
      <c r="B8182" t="str">
        <f>"061973929"</f>
        <v>061973929</v>
      </c>
      <c r="C8182" t="s">
        <v>50</v>
      </c>
      <c r="D8182" t="s">
        <v>12596</v>
      </c>
      <c r="E8182" t="s">
        <v>143</v>
      </c>
      <c r="F8182" t="s">
        <v>72</v>
      </c>
      <c r="G8182" t="s">
        <v>52</v>
      </c>
      <c r="H8182" t="str">
        <f>" ΙΕΡΑΠΕΤΡΑ"</f>
        <v xml:space="preserve"> ΙΕΡΑΠΕΤΡΑ</v>
      </c>
      <c r="I8182">
        <v>72200</v>
      </c>
      <c r="J8182">
        <v>2842026284</v>
      </c>
      <c r="K8182">
        <v>6946051742</v>
      </c>
      <c r="N8182" t="s">
        <v>1525</v>
      </c>
      <c r="O8182" t="s">
        <v>1526</v>
      </c>
      <c r="R8182" t="s">
        <v>57</v>
      </c>
      <c r="S8182">
        <v>8</v>
      </c>
      <c r="T8182">
        <v>217</v>
      </c>
      <c r="U8182" s="1">
        <v>38596</v>
      </c>
      <c r="V8182" t="s">
        <v>5177</v>
      </c>
      <c r="W8182" t="s">
        <v>5178</v>
      </c>
      <c r="X8182" t="s">
        <v>58</v>
      </c>
      <c r="Y8182">
        <v>25</v>
      </c>
      <c r="Z8182" t="s">
        <v>59</v>
      </c>
      <c r="AA8182" t="s">
        <v>59</v>
      </c>
      <c r="AB8182" t="s">
        <v>59</v>
      </c>
      <c r="AC8182" t="s">
        <v>59</v>
      </c>
      <c r="AD8182" t="s">
        <v>59</v>
      </c>
      <c r="AF8182" s="1">
        <v>38597</v>
      </c>
      <c r="AG8182" t="s">
        <v>8651</v>
      </c>
      <c r="AH8182" t="s">
        <v>8652</v>
      </c>
      <c r="AI8182" t="str">
        <f>"9320004"</f>
        <v>9320004</v>
      </c>
      <c r="AJ8182" t="s">
        <v>12289</v>
      </c>
      <c r="AK8182">
        <v>2842023709</v>
      </c>
      <c r="AL8182" t="s">
        <v>12290</v>
      </c>
      <c r="AM8182" t="s">
        <v>4513</v>
      </c>
      <c r="AN8182" t="s">
        <v>4519</v>
      </c>
      <c r="AO8182" t="s">
        <v>4519</v>
      </c>
      <c r="AP8182" t="s">
        <v>4519</v>
      </c>
      <c r="AQ8182">
        <v>4</v>
      </c>
      <c r="AR8182" t="s">
        <v>5177</v>
      </c>
      <c r="AS8182" t="s">
        <v>5178</v>
      </c>
      <c r="AT8182" t="s">
        <v>58</v>
      </c>
      <c r="AU8182" t="s">
        <v>68</v>
      </c>
      <c r="AV8182" t="s">
        <v>69</v>
      </c>
      <c r="AW8182" s="1">
        <v>27467</v>
      </c>
      <c r="AX8182">
        <v>1</v>
      </c>
    </row>
    <row r="8183" spans="1:50">
      <c r="A8183">
        <v>600270</v>
      </c>
      <c r="B8183" t="str">
        <f>"058911406"</f>
        <v>058911406</v>
      </c>
      <c r="C8183" t="s">
        <v>50</v>
      </c>
      <c r="D8183" t="s">
        <v>12597</v>
      </c>
      <c r="E8183" t="s">
        <v>868</v>
      </c>
      <c r="F8183" t="s">
        <v>3192</v>
      </c>
      <c r="G8183" t="s">
        <v>181</v>
      </c>
      <c r="H8183" t="str">
        <f>"ΔΙΟΜΗΔΟΥΣ 8 &amp; ΣΟΛΩΜΟΥ ΣΗΤΕΙΑ"</f>
        <v>ΔΙΟΜΗΔΟΥΣ 8 &amp; ΣΟΛΩΜΟΥ ΣΗΤΕΙΑ</v>
      </c>
      <c r="I8183">
        <v>72300</v>
      </c>
      <c r="J8183">
        <v>2843025664</v>
      </c>
      <c r="K8183">
        <v>6979250285</v>
      </c>
      <c r="N8183" t="s">
        <v>1525</v>
      </c>
      <c r="O8183" t="s">
        <v>1526</v>
      </c>
      <c r="R8183" t="s">
        <v>57</v>
      </c>
      <c r="S8183">
        <v>8</v>
      </c>
      <c r="T8183">
        <v>195</v>
      </c>
      <c r="U8183" s="1">
        <v>37497</v>
      </c>
      <c r="V8183" t="s">
        <v>5177</v>
      </c>
      <c r="W8183" t="s">
        <v>5178</v>
      </c>
      <c r="X8183" t="s">
        <v>58</v>
      </c>
      <c r="Y8183">
        <v>25</v>
      </c>
      <c r="Z8183" t="s">
        <v>59</v>
      </c>
      <c r="AA8183" t="s">
        <v>59</v>
      </c>
      <c r="AB8183" t="s">
        <v>59</v>
      </c>
      <c r="AC8183" t="s">
        <v>59</v>
      </c>
      <c r="AD8183" t="s">
        <v>59</v>
      </c>
      <c r="AF8183" s="1">
        <v>37501</v>
      </c>
      <c r="AG8183" t="s">
        <v>8651</v>
      </c>
      <c r="AH8183" t="s">
        <v>8652</v>
      </c>
      <c r="AI8183" t="str">
        <f>"9320092"</f>
        <v>9320092</v>
      </c>
      <c r="AJ8183" t="s">
        <v>12064</v>
      </c>
      <c r="AK8183">
        <v>2843022724</v>
      </c>
      <c r="AL8183" t="s">
        <v>12065</v>
      </c>
      <c r="AM8183" t="s">
        <v>4513</v>
      </c>
      <c r="AN8183" t="s">
        <v>4540</v>
      </c>
      <c r="AO8183" t="s">
        <v>4540</v>
      </c>
      <c r="AP8183" t="s">
        <v>4540</v>
      </c>
      <c r="AQ8183">
        <v>8</v>
      </c>
      <c r="AR8183" t="s">
        <v>5177</v>
      </c>
      <c r="AS8183" t="s">
        <v>5178</v>
      </c>
      <c r="AT8183" t="s">
        <v>58</v>
      </c>
      <c r="AU8183" t="s">
        <v>68</v>
      </c>
      <c r="AV8183" t="s">
        <v>69</v>
      </c>
      <c r="AW8183" s="1">
        <v>27703</v>
      </c>
      <c r="AX8183">
        <v>1</v>
      </c>
    </row>
    <row r="8184" spans="1:50">
      <c r="A8184">
        <v>601197</v>
      </c>
      <c r="B8184" t="str">
        <f>"077645209"</f>
        <v>077645209</v>
      </c>
      <c r="C8184" t="s">
        <v>50</v>
      </c>
      <c r="D8184" t="s">
        <v>12598</v>
      </c>
      <c r="E8184" t="s">
        <v>1189</v>
      </c>
      <c r="F8184" t="s">
        <v>2616</v>
      </c>
      <c r="G8184" t="s">
        <v>950</v>
      </c>
      <c r="H8184" t="str">
        <f>"ΑΓΙΟΣ ΧΑΡΑΛΑΜΠΟΣ ΑΓΙΟΣ ΝΙΚΟΛΑΟΣ"</f>
        <v>ΑΓΙΟΣ ΧΑΡΑΛΑΜΠΟΣ ΑΓΙΟΣ ΝΙΚΟΛΑΟΣ</v>
      </c>
      <c r="I8184">
        <v>72100</v>
      </c>
      <c r="J8184">
        <v>2841026026</v>
      </c>
      <c r="K8184">
        <v>6974306628</v>
      </c>
      <c r="N8184" t="s">
        <v>615</v>
      </c>
      <c r="O8184" t="s">
        <v>616</v>
      </c>
      <c r="R8184" t="s">
        <v>57</v>
      </c>
      <c r="S8184">
        <v>8</v>
      </c>
      <c r="T8184">
        <v>207</v>
      </c>
      <c r="U8184" s="1">
        <v>37866</v>
      </c>
      <c r="V8184" t="s">
        <v>5177</v>
      </c>
      <c r="W8184" t="s">
        <v>5178</v>
      </c>
      <c r="X8184" t="s">
        <v>58</v>
      </c>
      <c r="Y8184">
        <v>22</v>
      </c>
      <c r="Z8184" t="s">
        <v>59</v>
      </c>
      <c r="AA8184" t="s">
        <v>59</v>
      </c>
      <c r="AB8184" t="s">
        <v>59</v>
      </c>
      <c r="AC8184" t="s">
        <v>59</v>
      </c>
      <c r="AD8184" t="s">
        <v>59</v>
      </c>
      <c r="AF8184" s="1">
        <v>37866</v>
      </c>
      <c r="AG8184" t="s">
        <v>8645</v>
      </c>
      <c r="AH8184" t="s">
        <v>8646</v>
      </c>
      <c r="AI8184" t="str">
        <f>"9320058"</f>
        <v>9320058</v>
      </c>
      <c r="AJ8184" t="s">
        <v>11893</v>
      </c>
      <c r="AK8184">
        <v>2841022496</v>
      </c>
      <c r="AL8184" t="s">
        <v>11894</v>
      </c>
      <c r="AM8184" t="s">
        <v>4513</v>
      </c>
      <c r="AN8184" t="s">
        <v>4514</v>
      </c>
      <c r="AO8184" t="s">
        <v>4514</v>
      </c>
      <c r="AP8184" t="s">
        <v>4514</v>
      </c>
      <c r="AQ8184">
        <v>1</v>
      </c>
      <c r="AR8184" t="s">
        <v>5177</v>
      </c>
      <c r="AS8184" t="s">
        <v>5178</v>
      </c>
      <c r="AT8184" t="s">
        <v>58</v>
      </c>
      <c r="AU8184" t="s">
        <v>68</v>
      </c>
      <c r="AV8184" t="s">
        <v>69</v>
      </c>
      <c r="AW8184" s="1">
        <v>26791</v>
      </c>
      <c r="AX8184">
        <v>1</v>
      </c>
    </row>
    <row r="8185" spans="1:50">
      <c r="B8185" t="str">
        <f>"104303921"</f>
        <v>104303921</v>
      </c>
      <c r="C8185" t="s">
        <v>50</v>
      </c>
      <c r="D8185" t="s">
        <v>12599</v>
      </c>
      <c r="E8185" t="s">
        <v>155</v>
      </c>
      <c r="F8185" t="s">
        <v>510</v>
      </c>
      <c r="G8185" t="s">
        <v>964</v>
      </c>
      <c r="H8185" t="str">
        <f>"ΔΑΜΑΓΗΤΟΥ  85 ΑΘΗΝΑ"</f>
        <v>ΔΑΜΑΓΗΤΟΥ  85 ΑΘΗΝΑ</v>
      </c>
      <c r="I8185">
        <v>11632</v>
      </c>
      <c r="J8185">
        <v>2107520204</v>
      </c>
      <c r="K8185">
        <v>6972090877</v>
      </c>
      <c r="N8185" t="s">
        <v>478</v>
      </c>
      <c r="O8185" t="s">
        <v>479</v>
      </c>
      <c r="R8185" t="s">
        <v>159</v>
      </c>
      <c r="S8185">
        <v>2</v>
      </c>
      <c r="T8185" t="s">
        <v>8675</v>
      </c>
      <c r="U8185" s="1">
        <v>43348</v>
      </c>
      <c r="V8185" t="s">
        <v>5177</v>
      </c>
      <c r="W8185" t="s">
        <v>5178</v>
      </c>
      <c r="X8185" t="s">
        <v>58</v>
      </c>
      <c r="Y8185">
        <v>24</v>
      </c>
      <c r="Z8185" t="s">
        <v>59</v>
      </c>
      <c r="AA8185" t="s">
        <v>59</v>
      </c>
      <c r="AB8185" t="s">
        <v>59</v>
      </c>
      <c r="AC8185" t="s">
        <v>59</v>
      </c>
      <c r="AD8185" t="s">
        <v>59</v>
      </c>
      <c r="AF8185" s="1">
        <v>43348</v>
      </c>
      <c r="AG8185" t="s">
        <v>8645</v>
      </c>
      <c r="AH8185" t="s">
        <v>8646</v>
      </c>
      <c r="AI8185" t="str">
        <f>"9320138"</f>
        <v>9320138</v>
      </c>
      <c r="AJ8185" t="s">
        <v>11915</v>
      </c>
      <c r="AK8185">
        <v>2841022104</v>
      </c>
      <c r="AL8185" t="s">
        <v>11916</v>
      </c>
      <c r="AM8185" t="s">
        <v>4513</v>
      </c>
      <c r="AN8185" t="s">
        <v>4514</v>
      </c>
      <c r="AO8185" t="s">
        <v>4514</v>
      </c>
      <c r="AP8185" t="s">
        <v>4514</v>
      </c>
      <c r="AQ8185">
        <v>1</v>
      </c>
      <c r="AR8185" t="s">
        <v>5177</v>
      </c>
      <c r="AS8185" t="s">
        <v>5178</v>
      </c>
      <c r="AT8185" t="s">
        <v>58</v>
      </c>
      <c r="AU8185" t="s">
        <v>8673</v>
      </c>
      <c r="AV8185" t="s">
        <v>132</v>
      </c>
      <c r="AW8185" s="1">
        <v>29196</v>
      </c>
      <c r="AX8185">
        <v>1</v>
      </c>
    </row>
    <row r="8186" spans="1:50">
      <c r="A8186">
        <v>613522</v>
      </c>
      <c r="B8186" t="str">
        <f>"110359816"</f>
        <v>110359816</v>
      </c>
      <c r="C8186" t="s">
        <v>50</v>
      </c>
      <c r="D8186" t="s">
        <v>12600</v>
      </c>
      <c r="E8186" t="s">
        <v>801</v>
      </c>
      <c r="F8186" t="s">
        <v>920</v>
      </c>
      <c r="G8186" t="s">
        <v>922</v>
      </c>
      <c r="H8186" t="str">
        <f>"28Η ΟΚΤΩΒΡΙΟΥ 69 ΣΗΤΕΙΑ"</f>
        <v>28Η ΟΚΤΩΒΡΙΟΥ 69 ΣΗΤΕΙΑ</v>
      </c>
      <c r="I8186">
        <v>72300</v>
      </c>
      <c r="J8186">
        <v>2843028114</v>
      </c>
      <c r="K8186">
        <v>6972217342</v>
      </c>
      <c r="N8186" t="s">
        <v>615</v>
      </c>
      <c r="O8186" t="s">
        <v>616</v>
      </c>
      <c r="R8186" t="s">
        <v>57</v>
      </c>
      <c r="S8186">
        <v>6</v>
      </c>
      <c r="T8186">
        <v>598</v>
      </c>
      <c r="U8186" s="1">
        <v>39310</v>
      </c>
      <c r="V8186" t="s">
        <v>5177</v>
      </c>
      <c r="W8186" t="s">
        <v>5178</v>
      </c>
      <c r="X8186" t="s">
        <v>58</v>
      </c>
      <c r="Y8186">
        <v>23</v>
      </c>
      <c r="Z8186" t="s">
        <v>59</v>
      </c>
      <c r="AA8186" t="s">
        <v>59</v>
      </c>
      <c r="AB8186" t="s">
        <v>59</v>
      </c>
      <c r="AC8186" t="s">
        <v>59</v>
      </c>
      <c r="AD8186" t="s">
        <v>59</v>
      </c>
      <c r="AF8186" s="1">
        <v>39328</v>
      </c>
      <c r="AG8186" t="s">
        <v>8645</v>
      </c>
      <c r="AH8186" t="s">
        <v>8646</v>
      </c>
      <c r="AI8186" t="str">
        <f>"9320205"</f>
        <v>9320205</v>
      </c>
      <c r="AJ8186" t="s">
        <v>11902</v>
      </c>
      <c r="AK8186">
        <v>2843024509</v>
      </c>
      <c r="AL8186" t="s">
        <v>11903</v>
      </c>
      <c r="AM8186" t="s">
        <v>4513</v>
      </c>
      <c r="AN8186" t="s">
        <v>4540</v>
      </c>
      <c r="AO8186" t="s">
        <v>4540</v>
      </c>
      <c r="AP8186" t="s">
        <v>4540</v>
      </c>
      <c r="AQ8186">
        <v>8</v>
      </c>
      <c r="AR8186" t="s">
        <v>5177</v>
      </c>
      <c r="AS8186" t="s">
        <v>5178</v>
      </c>
      <c r="AT8186" t="s">
        <v>58</v>
      </c>
      <c r="AU8186" t="s">
        <v>68</v>
      </c>
      <c r="AV8186" t="s">
        <v>69</v>
      </c>
      <c r="AW8186" s="1">
        <v>30262</v>
      </c>
      <c r="AX8186">
        <v>1</v>
      </c>
    </row>
    <row r="8187" spans="1:50">
      <c r="A8187">
        <v>609482</v>
      </c>
      <c r="B8187" t="str">
        <f>"056359112"</f>
        <v>056359112</v>
      </c>
      <c r="C8187" t="s">
        <v>105</v>
      </c>
      <c r="D8187" t="s">
        <v>12601</v>
      </c>
      <c r="E8187" t="s">
        <v>53</v>
      </c>
      <c r="F8187" t="s">
        <v>84</v>
      </c>
      <c r="G8187" t="s">
        <v>12602</v>
      </c>
      <c r="H8187" t="str">
        <f>"ΣΤΑΥΡΟΣ ΑΓΙΟΥ ΝΙΚΟΛΑΟΥ ΑΓΙΟΣ ΝΙΚΟΛΑΟΣ"</f>
        <v>ΣΤΑΥΡΟΣ ΑΓΙΟΥ ΝΙΚΟΛΑΟΥ ΑΓΙΟΣ ΝΙΚΟΛΑΟΣ</v>
      </c>
      <c r="I8187">
        <v>72100</v>
      </c>
      <c r="J8187">
        <v>2841082359</v>
      </c>
      <c r="K8187">
        <v>6944959867</v>
      </c>
      <c r="N8187" t="s">
        <v>176</v>
      </c>
      <c r="O8187" t="s">
        <v>177</v>
      </c>
      <c r="R8187" t="s">
        <v>57</v>
      </c>
      <c r="S8187">
        <v>8</v>
      </c>
      <c r="T8187" t="s">
        <v>5366</v>
      </c>
      <c r="U8187" s="1">
        <v>38600</v>
      </c>
      <c r="V8187" t="s">
        <v>5177</v>
      </c>
      <c r="W8187" t="s">
        <v>5178</v>
      </c>
      <c r="X8187" t="s">
        <v>58</v>
      </c>
      <c r="Y8187">
        <v>22</v>
      </c>
      <c r="Z8187" t="s">
        <v>59</v>
      </c>
      <c r="AA8187" t="s">
        <v>59</v>
      </c>
      <c r="AB8187" t="s">
        <v>59</v>
      </c>
      <c r="AC8187" t="s">
        <v>59</v>
      </c>
      <c r="AD8187" t="s">
        <v>59</v>
      </c>
      <c r="AF8187" s="1">
        <v>38600</v>
      </c>
      <c r="AG8187" t="s">
        <v>8645</v>
      </c>
      <c r="AH8187" t="s">
        <v>8646</v>
      </c>
      <c r="AI8187" t="str">
        <f>"9320055"</f>
        <v>9320055</v>
      </c>
      <c r="AJ8187" t="s">
        <v>11937</v>
      </c>
      <c r="AK8187">
        <v>2841022326</v>
      </c>
      <c r="AL8187" t="s">
        <v>11938</v>
      </c>
      <c r="AM8187" t="s">
        <v>4513</v>
      </c>
      <c r="AN8187" t="s">
        <v>4514</v>
      </c>
      <c r="AO8187" t="s">
        <v>4514</v>
      </c>
      <c r="AP8187" t="s">
        <v>4514</v>
      </c>
      <c r="AQ8187">
        <v>1</v>
      </c>
      <c r="AR8187" t="s">
        <v>5177</v>
      </c>
      <c r="AS8187" t="s">
        <v>5178</v>
      </c>
      <c r="AT8187" t="s">
        <v>58</v>
      </c>
      <c r="AU8187" t="s">
        <v>68</v>
      </c>
      <c r="AV8187" t="s">
        <v>69</v>
      </c>
      <c r="AW8187" s="1">
        <v>23775</v>
      </c>
      <c r="AX8187">
        <v>1</v>
      </c>
    </row>
    <row r="8188" spans="1:50">
      <c r="A8188">
        <v>566197</v>
      </c>
      <c r="B8188" t="str">
        <f>"035688569"</f>
        <v>035688569</v>
      </c>
      <c r="C8188" t="s">
        <v>50</v>
      </c>
      <c r="D8188" t="s">
        <v>12603</v>
      </c>
      <c r="E8188" t="s">
        <v>52</v>
      </c>
      <c r="F8188" t="s">
        <v>95</v>
      </c>
      <c r="G8188" t="s">
        <v>181</v>
      </c>
      <c r="H8188" t="str">
        <f>"ΠΕΛΟΠΟΝΝΗΣΟΥ 8 ΑΓΙΟΣ ΝΙΚΟΛΑΟΣ"</f>
        <v>ΠΕΛΟΠΟΝΝΗΣΟΥ 8 ΑΓΙΟΣ ΝΙΚΟΛΑΟΣ</v>
      </c>
      <c r="I8188">
        <v>72100</v>
      </c>
      <c r="J8188">
        <v>2841026789</v>
      </c>
      <c r="K8188">
        <v>6979035223</v>
      </c>
      <c r="M8188" t="s">
        <v>12604</v>
      </c>
      <c r="N8188" t="s">
        <v>615</v>
      </c>
      <c r="O8188" t="s">
        <v>616</v>
      </c>
      <c r="R8188" t="s">
        <v>57</v>
      </c>
      <c r="S8188">
        <v>14</v>
      </c>
      <c r="T8188">
        <v>161</v>
      </c>
      <c r="U8188" s="1">
        <v>33119</v>
      </c>
      <c r="V8188" t="s">
        <v>5177</v>
      </c>
      <c r="W8188" t="s">
        <v>5178</v>
      </c>
      <c r="X8188" t="s">
        <v>58</v>
      </c>
      <c r="Y8188">
        <v>21</v>
      </c>
      <c r="Z8188" t="s">
        <v>59</v>
      </c>
      <c r="AA8188" t="s">
        <v>59</v>
      </c>
      <c r="AB8188" t="s">
        <v>59</v>
      </c>
      <c r="AC8188" t="s">
        <v>59</v>
      </c>
      <c r="AD8188" t="s">
        <v>59</v>
      </c>
      <c r="AF8188" s="1">
        <v>33121</v>
      </c>
      <c r="AG8188" t="s">
        <v>8645</v>
      </c>
      <c r="AH8188" t="s">
        <v>8646</v>
      </c>
      <c r="AI8188" t="str">
        <f>"9521420"</f>
        <v>9521420</v>
      </c>
      <c r="AJ8188" t="s">
        <v>11947</v>
      </c>
      <c r="AK8188">
        <v>2841021022</v>
      </c>
      <c r="AL8188" t="s">
        <v>11948</v>
      </c>
      <c r="AM8188" t="s">
        <v>4513</v>
      </c>
      <c r="AN8188" t="s">
        <v>4514</v>
      </c>
      <c r="AO8188" t="s">
        <v>4514</v>
      </c>
      <c r="AP8188" t="s">
        <v>4514</v>
      </c>
      <c r="AQ8188">
        <v>1</v>
      </c>
      <c r="AR8188" t="s">
        <v>5177</v>
      </c>
      <c r="AS8188" t="s">
        <v>5178</v>
      </c>
      <c r="AT8188" t="s">
        <v>58</v>
      </c>
      <c r="AU8188" t="s">
        <v>68</v>
      </c>
      <c r="AV8188" t="s">
        <v>69</v>
      </c>
      <c r="AW8188" s="1">
        <v>24300</v>
      </c>
      <c r="AX8188">
        <v>1</v>
      </c>
    </row>
    <row r="8189" spans="1:50">
      <c r="A8189">
        <v>578874</v>
      </c>
      <c r="B8189" t="str">
        <f>"037701660"</f>
        <v>037701660</v>
      </c>
      <c r="C8189" t="s">
        <v>50</v>
      </c>
      <c r="D8189" t="s">
        <v>12603</v>
      </c>
      <c r="E8189" t="s">
        <v>681</v>
      </c>
      <c r="F8189" t="s">
        <v>1229</v>
      </c>
      <c r="G8189" t="s">
        <v>610</v>
      </c>
      <c r="H8189" t="str">
        <f>"ΕΛΛΗΣ ΑΛΕΞΙΟΥ 16 ΜΑΛΙΑ"</f>
        <v>ΕΛΛΗΣ ΑΛΕΞΙΟΥ 16 ΜΑΛΙΑ</v>
      </c>
      <c r="I8189">
        <v>70007</v>
      </c>
      <c r="J8189">
        <v>2897029589</v>
      </c>
      <c r="K8189">
        <v>6972233307</v>
      </c>
      <c r="N8189" t="s">
        <v>615</v>
      </c>
      <c r="O8189" t="s">
        <v>616</v>
      </c>
      <c r="R8189" t="s">
        <v>57</v>
      </c>
      <c r="S8189">
        <v>13</v>
      </c>
      <c r="T8189">
        <v>165</v>
      </c>
      <c r="U8189" s="1">
        <v>35300</v>
      </c>
      <c r="V8189" t="s">
        <v>5177</v>
      </c>
      <c r="W8189" t="s">
        <v>5178</v>
      </c>
      <c r="X8189" t="s">
        <v>58</v>
      </c>
      <c r="Y8189">
        <v>21</v>
      </c>
      <c r="Z8189" t="s">
        <v>59</v>
      </c>
      <c r="AA8189" t="s">
        <v>59</v>
      </c>
      <c r="AB8189" t="s">
        <v>59</v>
      </c>
      <c r="AC8189" t="s">
        <v>59</v>
      </c>
      <c r="AD8189" t="s">
        <v>59</v>
      </c>
      <c r="AF8189" s="1">
        <v>35312</v>
      </c>
      <c r="AG8189" t="s">
        <v>8645</v>
      </c>
      <c r="AH8189" t="s">
        <v>8646</v>
      </c>
      <c r="AI8189" t="str">
        <f>"9320145"</f>
        <v>9320145</v>
      </c>
      <c r="AJ8189" t="s">
        <v>12171</v>
      </c>
      <c r="AK8189">
        <v>2841071309</v>
      </c>
      <c r="AL8189" t="s">
        <v>12172</v>
      </c>
      <c r="AM8189" t="s">
        <v>4513</v>
      </c>
      <c r="AN8189" t="s">
        <v>4514</v>
      </c>
      <c r="AO8189" t="s">
        <v>12085</v>
      </c>
      <c r="AP8189" t="s">
        <v>12085</v>
      </c>
      <c r="AQ8189">
        <v>2</v>
      </c>
      <c r="AR8189" t="s">
        <v>5177</v>
      </c>
      <c r="AS8189" t="s">
        <v>5178</v>
      </c>
      <c r="AT8189" t="s">
        <v>58</v>
      </c>
      <c r="AU8189" t="s">
        <v>68</v>
      </c>
      <c r="AV8189" t="s">
        <v>2039</v>
      </c>
      <c r="AW8189" s="1">
        <v>24785</v>
      </c>
      <c r="AX8189">
        <v>1</v>
      </c>
    </row>
    <row r="8190" spans="1:50">
      <c r="A8190">
        <v>592871</v>
      </c>
      <c r="B8190" t="str">
        <f>"075888168"</f>
        <v>075888168</v>
      </c>
      <c r="C8190" t="s">
        <v>50</v>
      </c>
      <c r="D8190" t="s">
        <v>4148</v>
      </c>
      <c r="E8190" t="s">
        <v>964</v>
      </c>
      <c r="F8190" t="s">
        <v>99</v>
      </c>
      <c r="G8190" t="s">
        <v>52</v>
      </c>
      <c r="H8190" t="str">
        <f>"ΣΩΚΡΑΤΟΥΣ 5 ΙΕΡΑΠΕΤΡΑ"</f>
        <v>ΣΩΚΡΑΤΟΥΣ 5 ΙΕΡΑΠΕΤΡΑ</v>
      </c>
      <c r="I8190">
        <v>72200</v>
      </c>
      <c r="J8190">
        <v>2842089366</v>
      </c>
      <c r="K8190">
        <v>6979005778</v>
      </c>
      <c r="M8190" t="s">
        <v>12605</v>
      </c>
      <c r="N8190" t="s">
        <v>615</v>
      </c>
      <c r="O8190" t="s">
        <v>616</v>
      </c>
      <c r="R8190" t="s">
        <v>57</v>
      </c>
      <c r="S8190">
        <v>8</v>
      </c>
      <c r="T8190">
        <v>218</v>
      </c>
      <c r="U8190" s="1">
        <v>37134</v>
      </c>
      <c r="V8190" t="s">
        <v>5177</v>
      </c>
      <c r="W8190" t="s">
        <v>5178</v>
      </c>
      <c r="X8190" t="s">
        <v>58</v>
      </c>
      <c r="Y8190">
        <v>22</v>
      </c>
      <c r="Z8190" t="s">
        <v>59</v>
      </c>
      <c r="AA8190" t="s">
        <v>59</v>
      </c>
      <c r="AB8190" t="s">
        <v>59</v>
      </c>
      <c r="AC8190" t="s">
        <v>59</v>
      </c>
      <c r="AD8190" t="s">
        <v>59</v>
      </c>
      <c r="AF8190" s="1">
        <v>37138</v>
      </c>
      <c r="AG8190" t="s">
        <v>8645</v>
      </c>
      <c r="AH8190" t="s">
        <v>8646</v>
      </c>
      <c r="AI8190" t="str">
        <f>"9320003"</f>
        <v>9320003</v>
      </c>
      <c r="AJ8190" t="s">
        <v>11886</v>
      </c>
      <c r="AK8190">
        <v>2842089830</v>
      </c>
      <c r="AL8190" t="s">
        <v>11887</v>
      </c>
      <c r="AM8190" t="s">
        <v>4513</v>
      </c>
      <c r="AN8190" t="s">
        <v>4519</v>
      </c>
      <c r="AO8190" t="s">
        <v>4519</v>
      </c>
      <c r="AP8190" t="s">
        <v>4519</v>
      </c>
      <c r="AQ8190">
        <v>4</v>
      </c>
      <c r="AR8190" t="s">
        <v>5177</v>
      </c>
      <c r="AS8190" t="s">
        <v>5178</v>
      </c>
      <c r="AT8190" t="s">
        <v>58</v>
      </c>
      <c r="AU8190" t="s">
        <v>68</v>
      </c>
      <c r="AV8190" t="s">
        <v>69</v>
      </c>
      <c r="AW8190" s="1">
        <v>25492</v>
      </c>
      <c r="AX8190">
        <v>1</v>
      </c>
    </row>
    <row r="8191" spans="1:50">
      <c r="A8191">
        <v>617105</v>
      </c>
      <c r="B8191" t="str">
        <f>"075986900"</f>
        <v>075986900</v>
      </c>
      <c r="C8191" t="s">
        <v>50</v>
      </c>
      <c r="D8191" t="s">
        <v>4148</v>
      </c>
      <c r="E8191" t="s">
        <v>237</v>
      </c>
      <c r="F8191" t="s">
        <v>3574</v>
      </c>
      <c r="G8191" t="s">
        <v>3174</v>
      </c>
      <c r="H8191" t="str">
        <f>"ΣΑΡΑΤΣΗ ΚΑΜΠΟΣ ΙΕΡΑΠΕΤΡΑ"</f>
        <v>ΣΑΡΑΤΣΗ ΚΑΜΠΟΣ ΙΕΡΑΠΕΤΡΑ</v>
      </c>
      <c r="I8191">
        <v>72200</v>
      </c>
      <c r="J8191">
        <v>2842023648</v>
      </c>
      <c r="K8191">
        <v>6979157495</v>
      </c>
      <c r="N8191" t="s">
        <v>615</v>
      </c>
      <c r="O8191" t="s">
        <v>616</v>
      </c>
      <c r="R8191" t="s">
        <v>57</v>
      </c>
      <c r="S8191">
        <v>6</v>
      </c>
      <c r="T8191">
        <v>774</v>
      </c>
      <c r="U8191" s="1">
        <v>39680</v>
      </c>
      <c r="V8191" t="s">
        <v>5177</v>
      </c>
      <c r="W8191" t="s">
        <v>5178</v>
      </c>
      <c r="X8191" t="s">
        <v>58</v>
      </c>
      <c r="Y8191">
        <v>23</v>
      </c>
      <c r="Z8191" t="s">
        <v>59</v>
      </c>
      <c r="AA8191" t="s">
        <v>59</v>
      </c>
      <c r="AB8191" t="s">
        <v>59</v>
      </c>
      <c r="AC8191" t="s">
        <v>59</v>
      </c>
      <c r="AD8191" t="s">
        <v>59</v>
      </c>
      <c r="AF8191" s="1">
        <v>39681</v>
      </c>
      <c r="AG8191" t="s">
        <v>8645</v>
      </c>
      <c r="AH8191" t="s">
        <v>8646</v>
      </c>
      <c r="AI8191" t="str">
        <f>"9320001"</f>
        <v>9320001</v>
      </c>
      <c r="AJ8191" t="s">
        <v>11954</v>
      </c>
      <c r="AK8191">
        <v>2842022505</v>
      </c>
      <c r="AL8191" t="s">
        <v>11955</v>
      </c>
      <c r="AM8191" t="s">
        <v>4513</v>
      </c>
      <c r="AN8191" t="s">
        <v>4519</v>
      </c>
      <c r="AO8191" t="s">
        <v>4519</v>
      </c>
      <c r="AP8191" t="s">
        <v>4519</v>
      </c>
      <c r="AQ8191">
        <v>4</v>
      </c>
      <c r="AR8191" t="s">
        <v>5177</v>
      </c>
      <c r="AS8191" t="s">
        <v>5178</v>
      </c>
      <c r="AT8191" t="s">
        <v>58</v>
      </c>
      <c r="AU8191" t="s">
        <v>68</v>
      </c>
      <c r="AV8191" t="s">
        <v>69</v>
      </c>
      <c r="AW8191" s="1">
        <v>25971</v>
      </c>
      <c r="AX8191">
        <v>1</v>
      </c>
    </row>
    <row r="8192" spans="1:50">
      <c r="B8192" t="str">
        <f>"068678777"</f>
        <v>068678777</v>
      </c>
      <c r="C8192" t="s">
        <v>50</v>
      </c>
      <c r="D8192" t="s">
        <v>4148</v>
      </c>
      <c r="E8192" t="s">
        <v>155</v>
      </c>
      <c r="F8192" t="s">
        <v>72</v>
      </c>
      <c r="G8192" t="s">
        <v>3914</v>
      </c>
      <c r="H8192" t="str">
        <f>"ΔΗΜΗΤΡΙΟΥ ΓΛΗΝΟΥ 4 ΙΕΡΑΠΕΤΡΑ"</f>
        <v>ΔΗΜΗΤΡΙΟΥ ΓΛΗΝΟΥ 4 ΙΕΡΑΠΕΤΡΑ</v>
      </c>
      <c r="I8192">
        <v>72200</v>
      </c>
      <c r="J8192">
        <v>2842027634</v>
      </c>
      <c r="K8192">
        <v>6937244540</v>
      </c>
      <c r="M8192" t="s">
        <v>12606</v>
      </c>
      <c r="N8192" t="s">
        <v>306</v>
      </c>
      <c r="O8192" t="s">
        <v>307</v>
      </c>
      <c r="R8192" t="s">
        <v>159</v>
      </c>
      <c r="S8192">
        <v>4</v>
      </c>
      <c r="T8192" t="s">
        <v>8675</v>
      </c>
      <c r="U8192" s="1">
        <v>43348</v>
      </c>
      <c r="V8192" t="s">
        <v>5177</v>
      </c>
      <c r="W8192" t="s">
        <v>5178</v>
      </c>
      <c r="X8192" t="s">
        <v>58</v>
      </c>
      <c r="Y8192">
        <v>24</v>
      </c>
      <c r="Z8192" t="s">
        <v>59</v>
      </c>
      <c r="AA8192" t="s">
        <v>59</v>
      </c>
      <c r="AB8192" t="s">
        <v>59</v>
      </c>
      <c r="AC8192" t="s">
        <v>59</v>
      </c>
      <c r="AD8192" t="s">
        <v>59</v>
      </c>
      <c r="AF8192" s="1">
        <v>43348</v>
      </c>
      <c r="AG8192" t="s">
        <v>8645</v>
      </c>
      <c r="AH8192" t="s">
        <v>8646</v>
      </c>
      <c r="AI8192" t="str">
        <f>"9320005"</f>
        <v>9320005</v>
      </c>
      <c r="AJ8192" t="s">
        <v>12004</v>
      </c>
      <c r="AK8192">
        <v>2842022202</v>
      </c>
      <c r="AL8192" t="s">
        <v>12005</v>
      </c>
      <c r="AM8192" t="s">
        <v>4513</v>
      </c>
      <c r="AN8192" t="s">
        <v>4519</v>
      </c>
      <c r="AO8192" t="s">
        <v>4519</v>
      </c>
      <c r="AP8192" t="s">
        <v>4519</v>
      </c>
      <c r="AQ8192">
        <v>4</v>
      </c>
      <c r="AR8192" t="s">
        <v>5177</v>
      </c>
      <c r="AS8192" t="s">
        <v>5178</v>
      </c>
      <c r="AT8192" t="s">
        <v>58</v>
      </c>
      <c r="AU8192" t="s">
        <v>8673</v>
      </c>
      <c r="AV8192" t="s">
        <v>132</v>
      </c>
      <c r="AW8192" s="1">
        <v>27216</v>
      </c>
      <c r="AX8192">
        <v>1</v>
      </c>
    </row>
    <row r="8193" spans="1:50">
      <c r="A8193">
        <v>572154</v>
      </c>
      <c r="B8193" t="str">
        <f>"036770157"</f>
        <v>036770157</v>
      </c>
      <c r="C8193" t="s">
        <v>50</v>
      </c>
      <c r="D8193" t="s">
        <v>4148</v>
      </c>
      <c r="E8193" t="s">
        <v>12607</v>
      </c>
      <c r="F8193" t="s">
        <v>95</v>
      </c>
      <c r="G8193" t="s">
        <v>52</v>
      </c>
      <c r="H8193" t="str">
        <f>"ΠΑΥΛΟΥ ΚΟΥΠΕΡ  ΙΕΡΑΠΕΤΡΑ"</f>
        <v>ΠΑΥΛΟΥ ΚΟΥΠΕΡ  ΙΕΡΑΠΕΤΡΑ</v>
      </c>
      <c r="I8193">
        <v>72200</v>
      </c>
      <c r="N8193" t="s">
        <v>306</v>
      </c>
      <c r="O8193" t="s">
        <v>307</v>
      </c>
      <c r="R8193" t="s">
        <v>57</v>
      </c>
      <c r="S8193">
        <v>12</v>
      </c>
      <c r="T8193">
        <v>154</v>
      </c>
      <c r="U8193" s="1">
        <v>34225</v>
      </c>
      <c r="V8193" t="s">
        <v>5177</v>
      </c>
      <c r="W8193" t="s">
        <v>5178</v>
      </c>
      <c r="X8193" t="s">
        <v>58</v>
      </c>
      <c r="Y8193">
        <v>21</v>
      </c>
      <c r="Z8193" t="s">
        <v>59</v>
      </c>
      <c r="AA8193" t="s">
        <v>59</v>
      </c>
      <c r="AB8193" t="s">
        <v>59</v>
      </c>
      <c r="AC8193" t="s">
        <v>59</v>
      </c>
      <c r="AD8193" t="s">
        <v>59</v>
      </c>
      <c r="AF8193" s="1">
        <v>34226</v>
      </c>
      <c r="AG8193" t="s">
        <v>8645</v>
      </c>
      <c r="AH8193" t="s">
        <v>8646</v>
      </c>
      <c r="AI8193" t="str">
        <f>"9320005"</f>
        <v>9320005</v>
      </c>
      <c r="AJ8193" t="s">
        <v>12004</v>
      </c>
      <c r="AK8193">
        <v>2842022202</v>
      </c>
      <c r="AL8193" t="s">
        <v>12005</v>
      </c>
      <c r="AM8193" t="s">
        <v>4513</v>
      </c>
      <c r="AN8193" t="s">
        <v>4519</v>
      </c>
      <c r="AO8193" t="s">
        <v>4519</v>
      </c>
      <c r="AP8193" t="s">
        <v>4519</v>
      </c>
      <c r="AQ8193">
        <v>4</v>
      </c>
      <c r="AR8193" t="s">
        <v>5177</v>
      </c>
      <c r="AS8193" t="s">
        <v>5178</v>
      </c>
      <c r="AT8193" t="s">
        <v>58</v>
      </c>
      <c r="AU8193" t="s">
        <v>68</v>
      </c>
      <c r="AV8193" t="s">
        <v>69</v>
      </c>
      <c r="AW8193" s="1">
        <v>24916</v>
      </c>
      <c r="AX8193">
        <v>1</v>
      </c>
    </row>
    <row r="8194" spans="1:50">
      <c r="A8194">
        <v>603471</v>
      </c>
      <c r="B8194" t="str">
        <f>"049042390"</f>
        <v>049042390</v>
      </c>
      <c r="C8194" t="s">
        <v>50</v>
      </c>
      <c r="D8194" t="s">
        <v>8492</v>
      </c>
      <c r="E8194" t="s">
        <v>12608</v>
      </c>
      <c r="F8194" t="s">
        <v>72</v>
      </c>
      <c r="G8194" t="s">
        <v>4515</v>
      </c>
      <c r="H8194" t="str">
        <f>"ΒΑΘΥ ΑΓΙΟΥ ΝΙΚΟΛΑΟΥ ΑΓΙΟΣ ΝΙΚΟΛΑΟΣ"</f>
        <v>ΒΑΘΥ ΑΓΙΟΥ ΝΙΚΟΛΑΟΥ ΑΓΙΟΣ ΝΙΚΟΛΑΟΣ</v>
      </c>
      <c r="I8194">
        <v>72100</v>
      </c>
      <c r="J8194">
        <v>2841061090</v>
      </c>
      <c r="K8194">
        <v>6976406563</v>
      </c>
      <c r="N8194" t="s">
        <v>337</v>
      </c>
      <c r="O8194" t="s">
        <v>338</v>
      </c>
      <c r="R8194" t="s">
        <v>57</v>
      </c>
      <c r="S8194">
        <v>8</v>
      </c>
      <c r="T8194">
        <v>46</v>
      </c>
      <c r="U8194" s="1">
        <v>37684</v>
      </c>
      <c r="V8194" t="s">
        <v>5177</v>
      </c>
      <c r="W8194" t="s">
        <v>5178</v>
      </c>
      <c r="X8194" t="s">
        <v>58</v>
      </c>
      <c r="Y8194">
        <v>22</v>
      </c>
      <c r="Z8194" t="s">
        <v>59</v>
      </c>
      <c r="AA8194" t="s">
        <v>59</v>
      </c>
      <c r="AB8194" t="s">
        <v>59</v>
      </c>
      <c r="AC8194" t="s">
        <v>59</v>
      </c>
      <c r="AD8194" t="s">
        <v>59</v>
      </c>
      <c r="AF8194" s="1">
        <v>37698</v>
      </c>
      <c r="AG8194" t="s">
        <v>8645</v>
      </c>
      <c r="AH8194" t="s">
        <v>8646</v>
      </c>
      <c r="AI8194" t="str">
        <f>"9320055"</f>
        <v>9320055</v>
      </c>
      <c r="AJ8194" t="s">
        <v>11937</v>
      </c>
      <c r="AK8194">
        <v>2841022326</v>
      </c>
      <c r="AL8194" t="s">
        <v>11938</v>
      </c>
      <c r="AM8194" t="s">
        <v>4513</v>
      </c>
      <c r="AN8194" t="s">
        <v>4514</v>
      </c>
      <c r="AO8194" t="s">
        <v>4514</v>
      </c>
      <c r="AP8194" t="s">
        <v>4514</v>
      </c>
      <c r="AQ8194">
        <v>1</v>
      </c>
      <c r="AR8194" t="s">
        <v>5177</v>
      </c>
      <c r="AS8194" t="s">
        <v>5178</v>
      </c>
      <c r="AT8194" t="s">
        <v>58</v>
      </c>
      <c r="AU8194" t="s">
        <v>68</v>
      </c>
      <c r="AV8194" t="s">
        <v>69</v>
      </c>
      <c r="AW8194" s="1">
        <v>27119</v>
      </c>
      <c r="AX8194">
        <v>1</v>
      </c>
    </row>
    <row r="8195" spans="1:50">
      <c r="A8195">
        <v>582029</v>
      </c>
      <c r="B8195" t="str">
        <f>"034655031"</f>
        <v>034655031</v>
      </c>
      <c r="C8195" t="s">
        <v>50</v>
      </c>
      <c r="D8195" t="s">
        <v>12609</v>
      </c>
      <c r="E8195" t="s">
        <v>237</v>
      </c>
      <c r="F8195" t="s">
        <v>95</v>
      </c>
      <c r="G8195" t="s">
        <v>52</v>
      </c>
      <c r="H8195" t="str">
        <f>" "</f>
        <v xml:space="preserve"> </v>
      </c>
      <c r="N8195" t="s">
        <v>615</v>
      </c>
      <c r="O8195" t="s">
        <v>616</v>
      </c>
      <c r="R8195" t="s">
        <v>57</v>
      </c>
      <c r="S8195">
        <v>12</v>
      </c>
      <c r="T8195">
        <v>179</v>
      </c>
      <c r="U8195" s="1">
        <v>35674</v>
      </c>
      <c r="V8195" t="s">
        <v>5177</v>
      </c>
      <c r="W8195" t="s">
        <v>5178</v>
      </c>
      <c r="X8195" t="s">
        <v>58</v>
      </c>
      <c r="Y8195">
        <v>21</v>
      </c>
      <c r="Z8195" t="s">
        <v>59</v>
      </c>
      <c r="AA8195" t="s">
        <v>59</v>
      </c>
      <c r="AB8195" t="s">
        <v>59</v>
      </c>
      <c r="AC8195" t="s">
        <v>59</v>
      </c>
      <c r="AD8195" t="s">
        <v>59</v>
      </c>
      <c r="AF8195" s="1">
        <v>35675</v>
      </c>
      <c r="AG8195" t="s">
        <v>8645</v>
      </c>
      <c r="AH8195" t="s">
        <v>8646</v>
      </c>
      <c r="AI8195" t="str">
        <f>"9320006"</f>
        <v>9320006</v>
      </c>
      <c r="AJ8195" t="s">
        <v>11919</v>
      </c>
      <c r="AK8195">
        <v>2842022359</v>
      </c>
      <c r="AL8195" t="s">
        <v>11920</v>
      </c>
      <c r="AM8195" t="s">
        <v>4513</v>
      </c>
      <c r="AN8195" t="s">
        <v>4519</v>
      </c>
      <c r="AO8195" t="s">
        <v>4519</v>
      </c>
      <c r="AP8195" t="s">
        <v>4519</v>
      </c>
      <c r="AQ8195">
        <v>4</v>
      </c>
      <c r="AR8195" t="s">
        <v>5177</v>
      </c>
      <c r="AS8195" t="s">
        <v>5178</v>
      </c>
      <c r="AT8195" t="s">
        <v>58</v>
      </c>
      <c r="AU8195" t="s">
        <v>68</v>
      </c>
      <c r="AV8195" t="s">
        <v>69</v>
      </c>
      <c r="AW8195" s="1">
        <v>24748</v>
      </c>
      <c r="AX8195">
        <v>1</v>
      </c>
    </row>
    <row r="8196" spans="1:50">
      <c r="B8196" t="str">
        <f>"156454026"</f>
        <v>156454026</v>
      </c>
      <c r="C8196" t="s">
        <v>50</v>
      </c>
      <c r="D8196" t="s">
        <v>12610</v>
      </c>
      <c r="E8196" t="s">
        <v>237</v>
      </c>
      <c r="F8196" t="s">
        <v>450</v>
      </c>
      <c r="G8196" t="s">
        <v>52</v>
      </c>
      <c r="H8196" t="str">
        <f>" "</f>
        <v xml:space="preserve"> </v>
      </c>
      <c r="N8196" t="s">
        <v>9829</v>
      </c>
      <c r="O8196" t="s">
        <v>9830</v>
      </c>
      <c r="R8196" t="s">
        <v>121</v>
      </c>
      <c r="S8196">
        <v>3</v>
      </c>
      <c r="T8196" t="s">
        <v>8835</v>
      </c>
      <c r="U8196" s="1">
        <v>43348</v>
      </c>
      <c r="V8196" t="s">
        <v>5177</v>
      </c>
      <c r="W8196" t="s">
        <v>5178</v>
      </c>
      <c r="X8196" t="s">
        <v>58</v>
      </c>
      <c r="Y8196">
        <v>25</v>
      </c>
      <c r="Z8196" t="s">
        <v>59</v>
      </c>
      <c r="AA8196" t="s">
        <v>59</v>
      </c>
      <c r="AB8196" t="s">
        <v>59</v>
      </c>
      <c r="AD8196" t="s">
        <v>59</v>
      </c>
      <c r="AF8196" s="1">
        <v>43348</v>
      </c>
      <c r="AG8196" t="s">
        <v>8651</v>
      </c>
      <c r="AH8196" t="s">
        <v>8652</v>
      </c>
      <c r="AI8196" t="str">
        <f>"9320147"</f>
        <v>9320147</v>
      </c>
      <c r="AJ8196" t="s">
        <v>11932</v>
      </c>
      <c r="AK8196">
        <v>2843023474</v>
      </c>
      <c r="AL8196" t="s">
        <v>11933</v>
      </c>
      <c r="AM8196" t="s">
        <v>4513</v>
      </c>
      <c r="AN8196" t="s">
        <v>4540</v>
      </c>
      <c r="AO8196" t="s">
        <v>4540</v>
      </c>
      <c r="AP8196" t="s">
        <v>4540</v>
      </c>
      <c r="AQ8196">
        <v>8</v>
      </c>
      <c r="AR8196" t="s">
        <v>5177</v>
      </c>
      <c r="AS8196" t="s">
        <v>5178</v>
      </c>
      <c r="AT8196" t="s">
        <v>58</v>
      </c>
      <c r="AU8196" t="s">
        <v>131</v>
      </c>
      <c r="AV8196" t="s">
        <v>132</v>
      </c>
      <c r="AW8196" s="1">
        <v>32630</v>
      </c>
      <c r="AX8196">
        <v>1</v>
      </c>
    </row>
    <row r="8197" spans="1:50">
      <c r="A8197">
        <v>578328</v>
      </c>
      <c r="B8197" t="str">
        <f>"043477637"</f>
        <v>043477637</v>
      </c>
      <c r="C8197" t="s">
        <v>50</v>
      </c>
      <c r="D8197" t="s">
        <v>12611</v>
      </c>
      <c r="E8197" t="s">
        <v>73</v>
      </c>
      <c r="F8197" t="s">
        <v>510</v>
      </c>
      <c r="G8197" t="s">
        <v>2564</v>
      </c>
      <c r="H8197" t="str">
        <f>"ΞΑΝΘΟΥΔΙΔΟΥ 4 ΑΓΙΟΣ ΝΙΚΟΛΑΟΣ"</f>
        <v>ΞΑΝΘΟΥΔΙΔΟΥ 4 ΑΓΙΟΣ ΝΙΚΟΛΑΟΣ</v>
      </c>
      <c r="I8197">
        <v>72100</v>
      </c>
      <c r="J8197">
        <v>2841082679</v>
      </c>
      <c r="K8197">
        <v>6978505600</v>
      </c>
      <c r="N8197" t="s">
        <v>615</v>
      </c>
      <c r="O8197" t="s">
        <v>616</v>
      </c>
      <c r="R8197" t="s">
        <v>57</v>
      </c>
      <c r="S8197">
        <v>12</v>
      </c>
      <c r="T8197">
        <v>165</v>
      </c>
      <c r="U8197" s="1">
        <v>35300</v>
      </c>
      <c r="V8197" t="s">
        <v>5177</v>
      </c>
      <c r="W8197" t="s">
        <v>5178</v>
      </c>
      <c r="X8197" t="s">
        <v>58</v>
      </c>
      <c r="Y8197">
        <v>21</v>
      </c>
      <c r="Z8197" t="s">
        <v>59</v>
      </c>
      <c r="AA8197" t="s">
        <v>59</v>
      </c>
      <c r="AB8197" t="s">
        <v>59</v>
      </c>
      <c r="AC8197" t="s">
        <v>59</v>
      </c>
      <c r="AD8197" t="s">
        <v>59</v>
      </c>
      <c r="AF8197" s="1">
        <v>35312</v>
      </c>
      <c r="AG8197" t="s">
        <v>8645</v>
      </c>
      <c r="AH8197" t="s">
        <v>8646</v>
      </c>
      <c r="AI8197" t="str">
        <f>"9320058"</f>
        <v>9320058</v>
      </c>
      <c r="AJ8197" t="s">
        <v>11893</v>
      </c>
      <c r="AK8197">
        <v>2841022496</v>
      </c>
      <c r="AL8197" t="s">
        <v>11894</v>
      </c>
      <c r="AM8197" t="s">
        <v>4513</v>
      </c>
      <c r="AN8197" t="s">
        <v>4514</v>
      </c>
      <c r="AO8197" t="s">
        <v>4514</v>
      </c>
      <c r="AP8197" t="s">
        <v>4514</v>
      </c>
      <c r="AQ8197">
        <v>1</v>
      </c>
      <c r="AR8197" t="s">
        <v>5177</v>
      </c>
      <c r="AS8197" t="s">
        <v>5178</v>
      </c>
      <c r="AT8197" t="s">
        <v>58</v>
      </c>
      <c r="AU8197" t="s">
        <v>68</v>
      </c>
      <c r="AV8197" t="s">
        <v>69</v>
      </c>
      <c r="AW8197" s="1">
        <v>24735</v>
      </c>
      <c r="AX8197">
        <v>1</v>
      </c>
    </row>
    <row r="8198" spans="1:50">
      <c r="A8198">
        <v>560211</v>
      </c>
      <c r="B8198" t="str">
        <f>"033380727"</f>
        <v>033380727</v>
      </c>
      <c r="C8198" t="s">
        <v>105</v>
      </c>
      <c r="D8198" t="s">
        <v>12612</v>
      </c>
      <c r="E8198" t="s">
        <v>408</v>
      </c>
      <c r="F8198" t="s">
        <v>99</v>
      </c>
      <c r="G8198" t="s">
        <v>96</v>
      </c>
      <c r="H8198" t="str">
        <f>"ΑΥΞΕΝΤΙΟΥ 24 ΙΕΡΑΠΕΤΡΑ"</f>
        <v>ΑΥΞΕΝΤΙΟΥ 24 ΙΕΡΑΠΕΤΡΑ</v>
      </c>
      <c r="I8198">
        <v>72200</v>
      </c>
      <c r="J8198">
        <v>2842025284</v>
      </c>
      <c r="K8198">
        <v>6974058432</v>
      </c>
      <c r="M8198" t="s">
        <v>12613</v>
      </c>
      <c r="N8198" t="s">
        <v>615</v>
      </c>
      <c r="O8198" t="s">
        <v>616</v>
      </c>
      <c r="R8198" t="s">
        <v>57</v>
      </c>
      <c r="S8198">
        <v>15</v>
      </c>
      <c r="T8198">
        <v>185</v>
      </c>
      <c r="U8198" s="1">
        <v>32035</v>
      </c>
      <c r="V8198" t="s">
        <v>5177</v>
      </c>
      <c r="W8198" t="s">
        <v>5178</v>
      </c>
      <c r="X8198" t="s">
        <v>58</v>
      </c>
      <c r="Y8198">
        <v>21</v>
      </c>
      <c r="Z8198" t="s">
        <v>59</v>
      </c>
      <c r="AA8198" t="s">
        <v>59</v>
      </c>
      <c r="AB8198" t="s">
        <v>59</v>
      </c>
      <c r="AC8198" t="s">
        <v>59</v>
      </c>
      <c r="AD8198" t="s">
        <v>59</v>
      </c>
      <c r="AF8198" s="1">
        <v>32036</v>
      </c>
      <c r="AG8198" t="s">
        <v>8645</v>
      </c>
      <c r="AH8198" t="s">
        <v>8646</v>
      </c>
      <c r="AI8198" t="str">
        <f>"9320163"</f>
        <v>9320163</v>
      </c>
      <c r="AJ8198" t="s">
        <v>12012</v>
      </c>
      <c r="AK8198">
        <v>2842024595</v>
      </c>
      <c r="AL8198" t="s">
        <v>12013</v>
      </c>
      <c r="AM8198" t="s">
        <v>4513</v>
      </c>
      <c r="AN8198" t="s">
        <v>4519</v>
      </c>
      <c r="AO8198" t="s">
        <v>4519</v>
      </c>
      <c r="AP8198" t="s">
        <v>4519</v>
      </c>
      <c r="AQ8198">
        <v>4</v>
      </c>
      <c r="AR8198" t="s">
        <v>5177</v>
      </c>
      <c r="AS8198" t="s">
        <v>5178</v>
      </c>
      <c r="AT8198" t="s">
        <v>58</v>
      </c>
      <c r="AU8198" t="s">
        <v>68</v>
      </c>
      <c r="AV8198" t="s">
        <v>69</v>
      </c>
      <c r="AW8198" s="1">
        <v>23562</v>
      </c>
      <c r="AX8198">
        <v>1</v>
      </c>
    </row>
    <row r="8199" spans="1:50">
      <c r="B8199" t="str">
        <f>"301969824"</f>
        <v>301969824</v>
      </c>
      <c r="C8199" t="s">
        <v>50</v>
      </c>
      <c r="D8199" t="s">
        <v>12614</v>
      </c>
      <c r="E8199" t="s">
        <v>367</v>
      </c>
      <c r="F8199" t="s">
        <v>95</v>
      </c>
      <c r="G8199" t="s">
        <v>263</v>
      </c>
      <c r="H8199" t="str">
        <f>"ΔΩΡΙΕΣ "</f>
        <v xml:space="preserve">ΔΩΡΙΕΣ </v>
      </c>
      <c r="I8199">
        <v>72400</v>
      </c>
      <c r="J8199">
        <v>2841033802</v>
      </c>
      <c r="K8199">
        <v>6976844850</v>
      </c>
      <c r="N8199" t="s">
        <v>1525</v>
      </c>
      <c r="O8199" t="s">
        <v>1526</v>
      </c>
      <c r="R8199" t="s">
        <v>159</v>
      </c>
      <c r="S8199">
        <v>4</v>
      </c>
      <c r="T8199" t="s">
        <v>8670</v>
      </c>
      <c r="U8199" s="1">
        <v>43348</v>
      </c>
      <c r="V8199" t="s">
        <v>5177</v>
      </c>
      <c r="W8199" t="s">
        <v>5178</v>
      </c>
      <c r="X8199" t="s">
        <v>58</v>
      </c>
      <c r="Y8199">
        <v>25</v>
      </c>
      <c r="Z8199" t="s">
        <v>59</v>
      </c>
      <c r="AA8199" t="s">
        <v>59</v>
      </c>
      <c r="AB8199" t="s">
        <v>59</v>
      </c>
      <c r="AC8199" t="s">
        <v>59</v>
      </c>
      <c r="AD8199" t="s">
        <v>59</v>
      </c>
      <c r="AF8199" s="1">
        <v>43348</v>
      </c>
      <c r="AG8199" t="s">
        <v>8651</v>
      </c>
      <c r="AH8199" t="s">
        <v>8652</v>
      </c>
      <c r="AI8199" t="str">
        <f>"9320141"</f>
        <v>9320141</v>
      </c>
      <c r="AJ8199" t="s">
        <v>12104</v>
      </c>
      <c r="AK8199">
        <v>2841041557</v>
      </c>
      <c r="AL8199" t="s">
        <v>12105</v>
      </c>
      <c r="AM8199" t="s">
        <v>4513</v>
      </c>
      <c r="AN8199" t="s">
        <v>4514</v>
      </c>
      <c r="AO8199" t="s">
        <v>4514</v>
      </c>
      <c r="AP8199" t="s">
        <v>12100</v>
      </c>
      <c r="AQ8199">
        <v>2</v>
      </c>
      <c r="AR8199" t="s">
        <v>5177</v>
      </c>
      <c r="AS8199" t="s">
        <v>5178</v>
      </c>
      <c r="AT8199" t="s">
        <v>58</v>
      </c>
      <c r="AU8199" t="s">
        <v>8673</v>
      </c>
      <c r="AV8199" t="s">
        <v>132</v>
      </c>
      <c r="AW8199" s="1">
        <v>30121</v>
      </c>
      <c r="AX8199">
        <v>1</v>
      </c>
    </row>
    <row r="8200" spans="1:50">
      <c r="B8200" t="str">
        <f>"110588059"</f>
        <v>110588059</v>
      </c>
      <c r="C8200" t="s">
        <v>50</v>
      </c>
      <c r="D8200" t="s">
        <v>12615</v>
      </c>
      <c r="E8200" t="s">
        <v>620</v>
      </c>
      <c r="F8200" t="s">
        <v>995</v>
      </c>
      <c r="G8200" t="s">
        <v>714</v>
      </c>
      <c r="H8200" t="str">
        <f>"ΣΟΦ. ΒΕΝΙΖΕΛΟΥ 86 "</f>
        <v xml:space="preserve">ΣΟΦ. ΒΕΝΙΖΕΛΟΥ 86 </v>
      </c>
      <c r="I8200">
        <v>17341</v>
      </c>
      <c r="J8200">
        <v>2109735248</v>
      </c>
      <c r="K8200">
        <v>6946141137</v>
      </c>
      <c r="N8200" t="s">
        <v>204</v>
      </c>
      <c r="O8200" t="s">
        <v>205</v>
      </c>
      <c r="R8200" t="s">
        <v>159</v>
      </c>
      <c r="S8200">
        <v>4</v>
      </c>
      <c r="T8200" t="s">
        <v>8675</v>
      </c>
      <c r="U8200" s="1">
        <v>43348</v>
      </c>
      <c r="V8200" t="s">
        <v>5177</v>
      </c>
      <c r="W8200" t="s">
        <v>5178</v>
      </c>
      <c r="X8200" t="s">
        <v>58</v>
      </c>
      <c r="Y8200">
        <v>24</v>
      </c>
      <c r="Z8200" t="s">
        <v>59</v>
      </c>
      <c r="AA8200" t="s">
        <v>59</v>
      </c>
      <c r="AB8200" t="s">
        <v>59</v>
      </c>
      <c r="AC8200" t="s">
        <v>59</v>
      </c>
      <c r="AD8200" t="s">
        <v>59</v>
      </c>
      <c r="AF8200" s="1">
        <v>43348</v>
      </c>
      <c r="AG8200" t="s">
        <v>8645</v>
      </c>
      <c r="AH8200" t="s">
        <v>8646</v>
      </c>
      <c r="AI8200" t="str">
        <f>"9320006"</f>
        <v>9320006</v>
      </c>
      <c r="AJ8200" t="s">
        <v>11919</v>
      </c>
      <c r="AK8200">
        <v>2842022359</v>
      </c>
      <c r="AL8200" t="s">
        <v>11920</v>
      </c>
      <c r="AM8200" t="s">
        <v>4513</v>
      </c>
      <c r="AN8200" t="s">
        <v>4519</v>
      </c>
      <c r="AO8200" t="s">
        <v>4519</v>
      </c>
      <c r="AP8200" t="s">
        <v>4519</v>
      </c>
      <c r="AQ8200">
        <v>4</v>
      </c>
      <c r="AR8200" t="s">
        <v>5177</v>
      </c>
      <c r="AS8200" t="s">
        <v>5178</v>
      </c>
      <c r="AT8200" t="s">
        <v>58</v>
      </c>
      <c r="AU8200" t="s">
        <v>8673</v>
      </c>
      <c r="AV8200" t="s">
        <v>132</v>
      </c>
      <c r="AW8200" s="1">
        <v>30174</v>
      </c>
      <c r="AX8200">
        <v>1</v>
      </c>
    </row>
    <row r="8201" spans="1:50">
      <c r="B8201" t="str">
        <f>"126324755"</f>
        <v>126324755</v>
      </c>
      <c r="C8201" t="s">
        <v>50</v>
      </c>
      <c r="D8201" t="s">
        <v>11738</v>
      </c>
      <c r="E8201" t="s">
        <v>1189</v>
      </c>
      <c r="F8201" t="s">
        <v>106</v>
      </c>
      <c r="G8201" t="s">
        <v>1345</v>
      </c>
      <c r="H8201" t="str">
        <f>" "</f>
        <v xml:space="preserve"> </v>
      </c>
      <c r="N8201" t="s">
        <v>1525</v>
      </c>
      <c r="O8201" t="s">
        <v>1526</v>
      </c>
      <c r="R8201" t="s">
        <v>121</v>
      </c>
      <c r="S8201">
        <v>1</v>
      </c>
      <c r="T8201" t="s">
        <v>8670</v>
      </c>
      <c r="U8201" s="1">
        <v>43348</v>
      </c>
      <c r="V8201" t="s">
        <v>5177</v>
      </c>
      <c r="W8201" t="s">
        <v>5178</v>
      </c>
      <c r="X8201" t="s">
        <v>58</v>
      </c>
      <c r="Y8201">
        <v>25</v>
      </c>
      <c r="Z8201" t="s">
        <v>59</v>
      </c>
      <c r="AD8201" t="s">
        <v>59</v>
      </c>
      <c r="AF8201" s="1">
        <v>43348</v>
      </c>
      <c r="AG8201" t="s">
        <v>8651</v>
      </c>
      <c r="AH8201" t="s">
        <v>8652</v>
      </c>
      <c r="AI8201" t="str">
        <f>"9320161"</f>
        <v>9320161</v>
      </c>
      <c r="AJ8201" t="s">
        <v>12124</v>
      </c>
      <c r="AK8201">
        <v>2841028686</v>
      </c>
      <c r="AL8201" t="s">
        <v>12125</v>
      </c>
      <c r="AM8201" t="s">
        <v>4513</v>
      </c>
      <c r="AN8201" t="s">
        <v>4514</v>
      </c>
      <c r="AO8201" t="s">
        <v>4514</v>
      </c>
      <c r="AP8201" t="s">
        <v>4514</v>
      </c>
      <c r="AQ8201">
        <v>1</v>
      </c>
      <c r="AR8201" t="s">
        <v>5177</v>
      </c>
      <c r="AS8201" t="s">
        <v>5178</v>
      </c>
      <c r="AT8201" t="s">
        <v>58</v>
      </c>
      <c r="AU8201" t="s">
        <v>8673</v>
      </c>
      <c r="AV8201" t="s">
        <v>132</v>
      </c>
      <c r="AW8201" s="1">
        <v>31107</v>
      </c>
      <c r="AX8201">
        <v>1</v>
      </c>
    </row>
    <row r="8202" spans="1:50">
      <c r="A8202">
        <v>572391</v>
      </c>
      <c r="B8202" t="str">
        <f>"052723525"</f>
        <v>052723525</v>
      </c>
      <c r="C8202" t="s">
        <v>50</v>
      </c>
      <c r="D8202" t="s">
        <v>6651</v>
      </c>
      <c r="E8202" t="s">
        <v>52</v>
      </c>
      <c r="F8202" t="s">
        <v>53</v>
      </c>
      <c r="G8202" t="s">
        <v>513</v>
      </c>
      <c r="H8202" t="str">
        <f>" "</f>
        <v xml:space="preserve"> </v>
      </c>
      <c r="N8202" t="s">
        <v>306</v>
      </c>
      <c r="O8202" t="s">
        <v>307</v>
      </c>
      <c r="R8202" t="s">
        <v>57</v>
      </c>
      <c r="S8202">
        <v>12</v>
      </c>
      <c r="T8202">
        <v>154</v>
      </c>
      <c r="U8202" s="1">
        <v>34225</v>
      </c>
      <c r="V8202" t="s">
        <v>5177</v>
      </c>
      <c r="W8202" t="s">
        <v>5178</v>
      </c>
      <c r="X8202" t="s">
        <v>58</v>
      </c>
      <c r="Y8202">
        <v>21</v>
      </c>
      <c r="Z8202" t="s">
        <v>59</v>
      </c>
      <c r="AA8202" t="s">
        <v>59</v>
      </c>
      <c r="AB8202" t="s">
        <v>59</v>
      </c>
      <c r="AC8202" t="s">
        <v>59</v>
      </c>
      <c r="AD8202" t="s">
        <v>59</v>
      </c>
      <c r="AF8202" s="1">
        <v>34227</v>
      </c>
      <c r="AG8202" t="s">
        <v>8645</v>
      </c>
      <c r="AH8202" t="s">
        <v>8646</v>
      </c>
      <c r="AI8202" t="str">
        <f>"9320006"</f>
        <v>9320006</v>
      </c>
      <c r="AJ8202" t="s">
        <v>11919</v>
      </c>
      <c r="AK8202">
        <v>2842022359</v>
      </c>
      <c r="AL8202" t="s">
        <v>11920</v>
      </c>
      <c r="AM8202" t="s">
        <v>4513</v>
      </c>
      <c r="AN8202" t="s">
        <v>4519</v>
      </c>
      <c r="AO8202" t="s">
        <v>4519</v>
      </c>
      <c r="AP8202" t="s">
        <v>4519</v>
      </c>
      <c r="AQ8202">
        <v>4</v>
      </c>
      <c r="AR8202" t="s">
        <v>5177</v>
      </c>
      <c r="AS8202" t="s">
        <v>5178</v>
      </c>
      <c r="AT8202" t="s">
        <v>58</v>
      </c>
      <c r="AU8202" t="s">
        <v>68</v>
      </c>
      <c r="AV8202" t="s">
        <v>69</v>
      </c>
      <c r="AW8202" s="1">
        <v>25407</v>
      </c>
      <c r="AX8202">
        <v>1</v>
      </c>
    </row>
    <row r="8203" spans="1:50">
      <c r="A8203">
        <v>579490</v>
      </c>
      <c r="B8203" t="str">
        <f>"049149327"</f>
        <v>049149327</v>
      </c>
      <c r="C8203" t="s">
        <v>50</v>
      </c>
      <c r="D8203" t="s">
        <v>4230</v>
      </c>
      <c r="E8203" t="s">
        <v>8941</v>
      </c>
      <c r="F8203" t="s">
        <v>53</v>
      </c>
      <c r="G8203" t="s">
        <v>52</v>
      </c>
      <c r="H8203" t="str">
        <f>"ΠΛΟΥΜΙΔΗ ΕΜΜ. 32 ΙΕΡΑΠΕΤΡΑ"</f>
        <v>ΠΛΟΥΜΙΔΗ ΕΜΜ. 32 ΙΕΡΑΠΕΤΡΑ</v>
      </c>
      <c r="I8203">
        <v>72200</v>
      </c>
      <c r="J8203">
        <v>2842026397</v>
      </c>
      <c r="K8203">
        <v>6972090685</v>
      </c>
      <c r="N8203" t="s">
        <v>615</v>
      </c>
      <c r="O8203" t="s">
        <v>616</v>
      </c>
      <c r="R8203" t="s">
        <v>57</v>
      </c>
      <c r="S8203">
        <v>11</v>
      </c>
      <c r="T8203">
        <v>165</v>
      </c>
      <c r="U8203" s="1">
        <v>35300</v>
      </c>
      <c r="V8203" t="s">
        <v>5177</v>
      </c>
      <c r="W8203" t="s">
        <v>5178</v>
      </c>
      <c r="X8203" t="s">
        <v>58</v>
      </c>
      <c r="Y8203">
        <v>21</v>
      </c>
      <c r="Z8203" t="s">
        <v>59</v>
      </c>
      <c r="AA8203" t="s">
        <v>59</v>
      </c>
      <c r="AB8203" t="s">
        <v>59</v>
      </c>
      <c r="AC8203" t="s">
        <v>59</v>
      </c>
      <c r="AD8203" t="s">
        <v>59</v>
      </c>
      <c r="AF8203" s="1">
        <v>35312</v>
      </c>
      <c r="AG8203" t="s">
        <v>8645</v>
      </c>
      <c r="AH8203" t="s">
        <v>8646</v>
      </c>
      <c r="AI8203" t="str">
        <f>"9320115"</f>
        <v>9320115</v>
      </c>
      <c r="AJ8203" t="s">
        <v>11935</v>
      </c>
      <c r="AK8203">
        <v>2843061213</v>
      </c>
      <c r="AL8203" t="s">
        <v>11936</v>
      </c>
      <c r="AM8203" t="s">
        <v>4513</v>
      </c>
      <c r="AN8203" t="s">
        <v>4540</v>
      </c>
      <c r="AO8203" t="s">
        <v>4700</v>
      </c>
      <c r="AP8203" t="s">
        <v>4701</v>
      </c>
      <c r="AQ8203">
        <v>9</v>
      </c>
      <c r="AR8203" t="s">
        <v>5177</v>
      </c>
      <c r="AS8203" t="s">
        <v>5178</v>
      </c>
      <c r="AT8203" t="s">
        <v>58</v>
      </c>
      <c r="AU8203" t="s">
        <v>68</v>
      </c>
      <c r="AV8203" t="s">
        <v>69</v>
      </c>
      <c r="AW8203" s="1">
        <v>23785</v>
      </c>
      <c r="AX8203">
        <v>1</v>
      </c>
    </row>
    <row r="8204" spans="1:50">
      <c r="A8204">
        <v>604313</v>
      </c>
      <c r="B8204" t="str">
        <f>"049482253"</f>
        <v>049482253</v>
      </c>
      <c r="C8204" t="s">
        <v>50</v>
      </c>
      <c r="D8204" t="s">
        <v>4230</v>
      </c>
      <c r="E8204" t="s">
        <v>52</v>
      </c>
      <c r="F8204" t="s">
        <v>377</v>
      </c>
      <c r="G8204" t="s">
        <v>250</v>
      </c>
      <c r="H8204" t="str">
        <f>"Tρυπητός Σητεία Κρήτη"</f>
        <v>Tρυπητός Σητεία Κρήτη</v>
      </c>
      <c r="I8204">
        <v>72300</v>
      </c>
      <c r="J8204">
        <v>2843022550</v>
      </c>
      <c r="K8204">
        <v>6974330191</v>
      </c>
      <c r="N8204" t="s">
        <v>615</v>
      </c>
      <c r="O8204" t="s">
        <v>616</v>
      </c>
      <c r="R8204" t="s">
        <v>57</v>
      </c>
      <c r="S8204">
        <v>8</v>
      </c>
      <c r="T8204">
        <v>231</v>
      </c>
      <c r="U8204" s="1">
        <v>38230</v>
      </c>
      <c r="V8204" t="s">
        <v>5177</v>
      </c>
      <c r="W8204" t="s">
        <v>5178</v>
      </c>
      <c r="X8204" t="s">
        <v>58</v>
      </c>
      <c r="Y8204">
        <v>22</v>
      </c>
      <c r="Z8204" t="s">
        <v>59</v>
      </c>
      <c r="AA8204" t="s">
        <v>59</v>
      </c>
      <c r="AB8204" t="s">
        <v>59</v>
      </c>
      <c r="AC8204" t="s">
        <v>59</v>
      </c>
      <c r="AD8204" t="s">
        <v>59</v>
      </c>
      <c r="AF8204" s="1">
        <v>38231</v>
      </c>
      <c r="AG8204" t="s">
        <v>8645</v>
      </c>
      <c r="AH8204" t="s">
        <v>8646</v>
      </c>
      <c r="AI8204" t="str">
        <f>"9320093"</f>
        <v>9320093</v>
      </c>
      <c r="AJ8204" t="s">
        <v>11967</v>
      </c>
      <c r="AK8204">
        <v>2843025130</v>
      </c>
      <c r="AL8204" t="s">
        <v>11968</v>
      </c>
      <c r="AM8204" t="s">
        <v>4513</v>
      </c>
      <c r="AN8204" t="s">
        <v>4540</v>
      </c>
      <c r="AO8204" t="s">
        <v>4540</v>
      </c>
      <c r="AP8204" t="s">
        <v>4540</v>
      </c>
      <c r="AQ8204">
        <v>8</v>
      </c>
      <c r="AR8204" t="s">
        <v>5177</v>
      </c>
      <c r="AS8204" t="s">
        <v>5178</v>
      </c>
      <c r="AT8204" t="s">
        <v>58</v>
      </c>
      <c r="AU8204" t="s">
        <v>68</v>
      </c>
      <c r="AV8204" t="s">
        <v>69</v>
      </c>
      <c r="AW8204" s="1">
        <v>28367</v>
      </c>
      <c r="AX8204">
        <v>1</v>
      </c>
    </row>
    <row r="8205" spans="1:50">
      <c r="B8205" t="str">
        <f>"125283980"</f>
        <v>125283980</v>
      </c>
      <c r="C8205" t="s">
        <v>50</v>
      </c>
      <c r="D8205" t="s">
        <v>4230</v>
      </c>
      <c r="E8205" t="s">
        <v>12616</v>
      </c>
      <c r="F8205" t="s">
        <v>99</v>
      </c>
      <c r="G8205" t="s">
        <v>1029</v>
      </c>
      <c r="H8205" t="str">
        <f>" "</f>
        <v xml:space="preserve"> </v>
      </c>
      <c r="N8205" t="s">
        <v>1525</v>
      </c>
      <c r="O8205" t="s">
        <v>1526</v>
      </c>
      <c r="R8205" t="s">
        <v>121</v>
      </c>
      <c r="S8205">
        <v>1</v>
      </c>
      <c r="T8205" t="s">
        <v>8670</v>
      </c>
      <c r="U8205" s="1">
        <v>43348</v>
      </c>
      <c r="V8205" t="s">
        <v>5177</v>
      </c>
      <c r="W8205" t="s">
        <v>5178</v>
      </c>
      <c r="X8205" t="s">
        <v>58</v>
      </c>
      <c r="Y8205">
        <v>25</v>
      </c>
      <c r="Z8205" t="s">
        <v>59</v>
      </c>
      <c r="AA8205" t="s">
        <v>59</v>
      </c>
      <c r="AB8205" t="s">
        <v>59</v>
      </c>
      <c r="AD8205" t="s">
        <v>59</v>
      </c>
      <c r="AF8205" s="1">
        <v>43348</v>
      </c>
      <c r="AG8205" t="s">
        <v>8651</v>
      </c>
      <c r="AH8205" t="s">
        <v>8652</v>
      </c>
      <c r="AI8205" t="str">
        <f>"9320220"</f>
        <v>9320220</v>
      </c>
      <c r="AJ8205" t="s">
        <v>12617</v>
      </c>
      <c r="AK8205">
        <v>2843094341</v>
      </c>
      <c r="AL8205" t="s">
        <v>12618</v>
      </c>
      <c r="AM8205" t="s">
        <v>4513</v>
      </c>
      <c r="AN8205" t="s">
        <v>4540</v>
      </c>
      <c r="AO8205" t="s">
        <v>4540</v>
      </c>
      <c r="AP8205" t="s">
        <v>12074</v>
      </c>
      <c r="AQ8205">
        <v>10</v>
      </c>
      <c r="AR8205" t="s">
        <v>5177</v>
      </c>
      <c r="AS8205" t="s">
        <v>5178</v>
      </c>
      <c r="AT8205" t="s">
        <v>58</v>
      </c>
      <c r="AU8205" t="s">
        <v>8673</v>
      </c>
      <c r="AV8205" t="s">
        <v>132</v>
      </c>
      <c r="AW8205" s="1">
        <v>31616</v>
      </c>
      <c r="AX8205">
        <v>1</v>
      </c>
    </row>
    <row r="8206" spans="1:50">
      <c r="B8206" t="str">
        <f>"061003544"</f>
        <v>061003544</v>
      </c>
      <c r="C8206" t="s">
        <v>50</v>
      </c>
      <c r="D8206" t="s">
        <v>4242</v>
      </c>
      <c r="E8206" t="s">
        <v>1345</v>
      </c>
      <c r="F8206" t="s">
        <v>95</v>
      </c>
      <c r="G8206" t="s">
        <v>237</v>
      </c>
      <c r="H8206" t="str">
        <f>"ΔΩΡΗΤΟΥ ΠΑΠΑΔΑΚΗ 27 ΣΗΤΕΙΑ"</f>
        <v>ΔΩΡΗΤΟΥ ΠΑΠΑΔΑΚΗ 27 ΣΗΤΕΙΑ</v>
      </c>
      <c r="I8206">
        <v>72300</v>
      </c>
      <c r="J8206">
        <v>2843028362</v>
      </c>
      <c r="K8206">
        <v>6984427243</v>
      </c>
      <c r="N8206" t="s">
        <v>306</v>
      </c>
      <c r="O8206" t="s">
        <v>307</v>
      </c>
      <c r="R8206" t="s">
        <v>159</v>
      </c>
      <c r="S8206">
        <v>4</v>
      </c>
      <c r="T8206" t="s">
        <v>8675</v>
      </c>
      <c r="U8206" s="1">
        <v>43348</v>
      </c>
      <c r="V8206" t="s">
        <v>5177</v>
      </c>
      <c r="W8206" t="s">
        <v>5178</v>
      </c>
      <c r="X8206" t="s">
        <v>58</v>
      </c>
      <c r="Y8206">
        <v>24</v>
      </c>
      <c r="Z8206" t="s">
        <v>59</v>
      </c>
      <c r="AA8206" t="s">
        <v>59</v>
      </c>
      <c r="AB8206" t="s">
        <v>59</v>
      </c>
      <c r="AC8206" t="s">
        <v>59</v>
      </c>
      <c r="AD8206" t="s">
        <v>59</v>
      </c>
      <c r="AF8206" s="1">
        <v>43348</v>
      </c>
      <c r="AG8206" t="s">
        <v>8645</v>
      </c>
      <c r="AH8206" t="s">
        <v>8646</v>
      </c>
      <c r="AI8206" t="str">
        <f>"9320093"</f>
        <v>9320093</v>
      </c>
      <c r="AJ8206" t="s">
        <v>11967</v>
      </c>
      <c r="AK8206">
        <v>2843025130</v>
      </c>
      <c r="AL8206" t="s">
        <v>11968</v>
      </c>
      <c r="AM8206" t="s">
        <v>4513</v>
      </c>
      <c r="AN8206" t="s">
        <v>4540</v>
      </c>
      <c r="AO8206" t="s">
        <v>4540</v>
      </c>
      <c r="AP8206" t="s">
        <v>4540</v>
      </c>
      <c r="AQ8206">
        <v>8</v>
      </c>
      <c r="AR8206" t="s">
        <v>5177</v>
      </c>
      <c r="AS8206" t="s">
        <v>5178</v>
      </c>
      <c r="AT8206" t="s">
        <v>58</v>
      </c>
      <c r="AU8206" t="s">
        <v>8673</v>
      </c>
      <c r="AV8206" t="s">
        <v>132</v>
      </c>
      <c r="AW8206" s="1">
        <v>28628</v>
      </c>
      <c r="AX8206">
        <v>1</v>
      </c>
    </row>
    <row r="8207" spans="1:50">
      <c r="B8207" t="str">
        <f>"063389512"</f>
        <v>063389512</v>
      </c>
      <c r="C8207" t="s">
        <v>50</v>
      </c>
      <c r="D8207" t="s">
        <v>4242</v>
      </c>
      <c r="E8207" t="s">
        <v>2967</v>
      </c>
      <c r="F8207" t="s">
        <v>84</v>
      </c>
      <c r="G8207" t="s">
        <v>155</v>
      </c>
      <c r="H8207" t="str">
        <f>"ΜΟΥΡΝΙΔΩΝ 12 ΧΑΝΙΑ"</f>
        <v>ΜΟΥΡΝΙΔΩΝ 12 ΧΑΝΙΑ</v>
      </c>
      <c r="I8207">
        <v>73100</v>
      </c>
      <c r="J8207">
        <v>2821052306</v>
      </c>
      <c r="K8207">
        <v>6944157954</v>
      </c>
      <c r="N8207" t="s">
        <v>1525</v>
      </c>
      <c r="O8207" t="s">
        <v>1526</v>
      </c>
      <c r="R8207" t="s">
        <v>159</v>
      </c>
      <c r="S8207">
        <v>3</v>
      </c>
      <c r="T8207" t="s">
        <v>8670</v>
      </c>
      <c r="U8207" s="1">
        <v>43348</v>
      </c>
      <c r="V8207" t="s">
        <v>5177</v>
      </c>
      <c r="W8207" t="s">
        <v>5178</v>
      </c>
      <c r="X8207" t="s">
        <v>58</v>
      </c>
      <c r="Y8207">
        <v>25</v>
      </c>
      <c r="Z8207" t="s">
        <v>59</v>
      </c>
      <c r="AA8207" t="s">
        <v>59</v>
      </c>
      <c r="AB8207" t="s">
        <v>59</v>
      </c>
      <c r="AC8207" t="s">
        <v>59</v>
      </c>
      <c r="AD8207" t="s">
        <v>59</v>
      </c>
      <c r="AF8207" s="1">
        <v>43348</v>
      </c>
      <c r="AG8207" t="s">
        <v>8651</v>
      </c>
      <c r="AH8207" t="s">
        <v>8652</v>
      </c>
      <c r="AI8207" t="str">
        <f>"9521689"</f>
        <v>9521689</v>
      </c>
      <c r="AJ8207" t="s">
        <v>12619</v>
      </c>
      <c r="AL8207" t="s">
        <v>12620</v>
      </c>
      <c r="AM8207" t="s">
        <v>4513</v>
      </c>
      <c r="AN8207" t="s">
        <v>4514</v>
      </c>
      <c r="AO8207" t="s">
        <v>4514</v>
      </c>
      <c r="AP8207" t="s">
        <v>4514</v>
      </c>
      <c r="AQ8207">
        <v>1</v>
      </c>
      <c r="AR8207" t="s">
        <v>5177</v>
      </c>
      <c r="AS8207" t="s">
        <v>5178</v>
      </c>
      <c r="AT8207" t="s">
        <v>58</v>
      </c>
      <c r="AU8207" t="s">
        <v>8673</v>
      </c>
      <c r="AV8207" t="s">
        <v>132</v>
      </c>
      <c r="AW8207" s="1">
        <v>31133</v>
      </c>
      <c r="AX8207">
        <v>1</v>
      </c>
    </row>
    <row r="8208" spans="1:50">
      <c r="B8208" t="str">
        <f>"132931904"</f>
        <v>132931904</v>
      </c>
      <c r="C8208" t="s">
        <v>50</v>
      </c>
      <c r="D8208" t="s">
        <v>6656</v>
      </c>
      <c r="E8208" t="s">
        <v>255</v>
      </c>
      <c r="F8208" t="s">
        <v>321</v>
      </c>
      <c r="G8208" t="s">
        <v>52</v>
      </c>
      <c r="H8208" t="str">
        <f>"ΕΡΜΑΧΟΥ 1 ΜΥΤΙΛΗΝΗ"</f>
        <v>ΕΡΜΑΧΟΥ 1 ΜΥΤΙΛΗΝΗ</v>
      </c>
      <c r="I8208">
        <v>81100</v>
      </c>
      <c r="J8208">
        <v>2251025990</v>
      </c>
      <c r="K8208">
        <v>6973568460</v>
      </c>
      <c r="N8208" t="s">
        <v>306</v>
      </c>
      <c r="O8208" t="s">
        <v>307</v>
      </c>
      <c r="R8208" t="s">
        <v>159</v>
      </c>
      <c r="S8208">
        <v>5</v>
      </c>
      <c r="T8208" t="s">
        <v>8675</v>
      </c>
      <c r="U8208" s="1">
        <v>43348</v>
      </c>
      <c r="V8208" t="s">
        <v>5177</v>
      </c>
      <c r="W8208" t="s">
        <v>5178</v>
      </c>
      <c r="X8208" t="s">
        <v>58</v>
      </c>
      <c r="Y8208">
        <v>24</v>
      </c>
      <c r="Z8208" t="s">
        <v>59</v>
      </c>
      <c r="AA8208" t="s">
        <v>59</v>
      </c>
      <c r="AB8208" t="s">
        <v>59</v>
      </c>
      <c r="AC8208" t="s">
        <v>59</v>
      </c>
      <c r="AD8208" t="s">
        <v>59</v>
      </c>
      <c r="AF8208" s="1">
        <v>43348</v>
      </c>
      <c r="AG8208" t="s">
        <v>8645</v>
      </c>
      <c r="AH8208" t="s">
        <v>8646</v>
      </c>
      <c r="AI8208" t="str">
        <f>"9320030"</f>
        <v>9320030</v>
      </c>
      <c r="AJ8208" t="s">
        <v>11928</v>
      </c>
      <c r="AK8208">
        <v>2842093264</v>
      </c>
      <c r="AL8208" t="s">
        <v>11929</v>
      </c>
      <c r="AM8208" t="s">
        <v>4513</v>
      </c>
      <c r="AN8208" t="s">
        <v>4519</v>
      </c>
      <c r="AO8208" t="s">
        <v>4519</v>
      </c>
      <c r="AP8208" t="s">
        <v>11930</v>
      </c>
      <c r="AQ8208">
        <v>5</v>
      </c>
      <c r="AR8208" t="s">
        <v>5177</v>
      </c>
      <c r="AS8208" t="s">
        <v>5178</v>
      </c>
      <c r="AT8208" t="s">
        <v>58</v>
      </c>
      <c r="AU8208" t="s">
        <v>8673</v>
      </c>
      <c r="AV8208" t="s">
        <v>132</v>
      </c>
      <c r="AW8208" s="1">
        <v>30332</v>
      </c>
      <c r="AX8208">
        <v>1</v>
      </c>
    </row>
    <row r="8209" spans="1:50">
      <c r="A8209">
        <v>558526</v>
      </c>
      <c r="B8209" t="str">
        <f>"031977550"</f>
        <v>031977550</v>
      </c>
      <c r="C8209" t="s">
        <v>50</v>
      </c>
      <c r="D8209" t="s">
        <v>12621</v>
      </c>
      <c r="E8209" t="s">
        <v>52</v>
      </c>
      <c r="F8209" t="s">
        <v>315</v>
      </c>
      <c r="G8209" t="s">
        <v>237</v>
      </c>
      <c r="H8209" t="str">
        <f>"Ν. ΜΑΣΤΟΡΑΚΗ 11 ΙΕΡΑΠΕΤΡΑ"</f>
        <v>Ν. ΜΑΣΤΟΡΑΚΗ 11 ΙΕΡΑΠΕΤΡΑ</v>
      </c>
      <c r="I8209">
        <v>72200</v>
      </c>
      <c r="K8209">
        <v>6946688909</v>
      </c>
      <c r="M8209" t="s">
        <v>12622</v>
      </c>
      <c r="N8209" t="s">
        <v>615</v>
      </c>
      <c r="O8209" t="s">
        <v>616</v>
      </c>
      <c r="R8209" t="s">
        <v>57</v>
      </c>
      <c r="S8209">
        <v>15</v>
      </c>
      <c r="T8209">
        <v>168</v>
      </c>
      <c r="U8209" s="1">
        <v>32010</v>
      </c>
      <c r="V8209" t="s">
        <v>5177</v>
      </c>
      <c r="W8209" t="s">
        <v>5178</v>
      </c>
      <c r="X8209" t="s">
        <v>58</v>
      </c>
      <c r="Y8209">
        <v>21</v>
      </c>
      <c r="Z8209" t="s">
        <v>59</v>
      </c>
      <c r="AA8209" t="s">
        <v>59</v>
      </c>
      <c r="AB8209" t="s">
        <v>59</v>
      </c>
      <c r="AC8209" t="s">
        <v>59</v>
      </c>
      <c r="AD8209" t="s">
        <v>59</v>
      </c>
      <c r="AF8209" s="1">
        <v>32021</v>
      </c>
      <c r="AG8209" t="s">
        <v>8645</v>
      </c>
      <c r="AH8209" t="s">
        <v>8646</v>
      </c>
      <c r="AI8209" t="str">
        <f>"9320006"</f>
        <v>9320006</v>
      </c>
      <c r="AJ8209" t="s">
        <v>11919</v>
      </c>
      <c r="AK8209">
        <v>2842022359</v>
      </c>
      <c r="AL8209" t="s">
        <v>11920</v>
      </c>
      <c r="AM8209" t="s">
        <v>4513</v>
      </c>
      <c r="AN8209" t="s">
        <v>4519</v>
      </c>
      <c r="AO8209" t="s">
        <v>4519</v>
      </c>
      <c r="AP8209" t="s">
        <v>4519</v>
      </c>
      <c r="AQ8209">
        <v>4</v>
      </c>
      <c r="AR8209" t="s">
        <v>5177</v>
      </c>
      <c r="AS8209" t="s">
        <v>5178</v>
      </c>
      <c r="AT8209" t="s">
        <v>58</v>
      </c>
      <c r="AU8209" t="s">
        <v>68</v>
      </c>
      <c r="AV8209" t="s">
        <v>69</v>
      </c>
      <c r="AW8209" s="1">
        <v>23830</v>
      </c>
      <c r="AX8209">
        <v>1</v>
      </c>
    </row>
    <row r="8210" spans="1:50">
      <c r="A8210">
        <v>597640</v>
      </c>
      <c r="B8210" t="str">
        <f>"031409601"</f>
        <v>031409601</v>
      </c>
      <c r="C8210" t="s">
        <v>105</v>
      </c>
      <c r="D8210" t="s">
        <v>6660</v>
      </c>
      <c r="E8210" t="s">
        <v>5538</v>
      </c>
      <c r="F8210" t="s">
        <v>84</v>
      </c>
      <c r="G8210" t="s">
        <v>12623</v>
      </c>
      <c r="H8210" t="str">
        <f>"ΠΕΡΙΟΧΗ ΓΛΥΜΑΤΑ ΑΓΙΟΣ ΝΙΚΟΛΑΟΣ"</f>
        <v>ΠΕΡΙΟΧΗ ΓΛΥΜΑΤΑ ΑΓΙΟΣ ΝΙΚΟΛΑΟΣ</v>
      </c>
      <c r="I8210">
        <v>72100</v>
      </c>
      <c r="J8210">
        <v>2841030705</v>
      </c>
      <c r="K8210">
        <v>6976657795</v>
      </c>
      <c r="N8210" t="s">
        <v>176</v>
      </c>
      <c r="O8210" t="s">
        <v>177</v>
      </c>
      <c r="R8210" t="s">
        <v>57</v>
      </c>
      <c r="S8210">
        <v>10</v>
      </c>
      <c r="T8210">
        <v>195</v>
      </c>
      <c r="U8210" s="1">
        <v>37497</v>
      </c>
      <c r="V8210" t="s">
        <v>5177</v>
      </c>
      <c r="W8210" t="s">
        <v>5178</v>
      </c>
      <c r="X8210" t="s">
        <v>58</v>
      </c>
      <c r="Y8210">
        <v>21</v>
      </c>
      <c r="Z8210" t="s">
        <v>59</v>
      </c>
      <c r="AA8210" t="s">
        <v>59</v>
      </c>
      <c r="AB8210" t="s">
        <v>59</v>
      </c>
      <c r="AC8210" t="s">
        <v>59</v>
      </c>
      <c r="AD8210" t="s">
        <v>59</v>
      </c>
      <c r="AF8210" s="1">
        <v>37501</v>
      </c>
      <c r="AG8210" t="s">
        <v>8645</v>
      </c>
      <c r="AH8210" t="s">
        <v>8646</v>
      </c>
      <c r="AI8210" t="str">
        <f>"9320210"</f>
        <v>9320210</v>
      </c>
      <c r="AJ8210" t="s">
        <v>11890</v>
      </c>
      <c r="AK8210">
        <v>2841026705</v>
      </c>
      <c r="AL8210" t="s">
        <v>11891</v>
      </c>
      <c r="AM8210" t="s">
        <v>4513</v>
      </c>
      <c r="AN8210" t="s">
        <v>4514</v>
      </c>
      <c r="AO8210" t="s">
        <v>4514</v>
      </c>
      <c r="AP8210" t="s">
        <v>4514</v>
      </c>
      <c r="AQ8210">
        <v>1</v>
      </c>
      <c r="AR8210" t="s">
        <v>5177</v>
      </c>
      <c r="AS8210" t="s">
        <v>5178</v>
      </c>
      <c r="AT8210" t="s">
        <v>58</v>
      </c>
      <c r="AU8210" t="s">
        <v>68</v>
      </c>
      <c r="AV8210" t="s">
        <v>69</v>
      </c>
      <c r="AW8210" s="1">
        <v>23254</v>
      </c>
      <c r="AX8210">
        <v>1</v>
      </c>
    </row>
    <row r="8211" spans="1:50">
      <c r="A8211">
        <v>615995</v>
      </c>
      <c r="B8211" t="str">
        <f>"059323378"</f>
        <v>059323378</v>
      </c>
      <c r="C8211" t="s">
        <v>105</v>
      </c>
      <c r="D8211" t="s">
        <v>12624</v>
      </c>
      <c r="E8211" t="s">
        <v>84</v>
      </c>
      <c r="F8211" t="s">
        <v>309</v>
      </c>
      <c r="G8211" t="s">
        <v>52</v>
      </c>
      <c r="H8211" t="str">
        <f>"ΙΟΥΣΤΙΝΙΑΝΟΥ 33 ΓΙΑΝΝΟΥΛΗ ΛΑΡΙΣΑΣ"</f>
        <v>ΙΟΥΣΤΙΝΙΑΝΟΥ 33 ΓΙΑΝΝΟΥΛΗ ΛΑΡΙΣΑΣ</v>
      </c>
      <c r="I8211">
        <v>41500</v>
      </c>
      <c r="J8211">
        <v>2410591407</v>
      </c>
      <c r="K8211">
        <v>6972053405</v>
      </c>
      <c r="M8211" t="s">
        <v>12625</v>
      </c>
      <c r="N8211" t="s">
        <v>176</v>
      </c>
      <c r="O8211" t="s">
        <v>177</v>
      </c>
      <c r="R8211" t="s">
        <v>57</v>
      </c>
      <c r="S8211">
        <v>9</v>
      </c>
      <c r="T8211">
        <v>600</v>
      </c>
      <c r="U8211" s="1">
        <v>39310</v>
      </c>
      <c r="V8211" t="s">
        <v>5177</v>
      </c>
      <c r="W8211" t="s">
        <v>5178</v>
      </c>
      <c r="X8211" t="s">
        <v>58</v>
      </c>
      <c r="Y8211">
        <v>22</v>
      </c>
      <c r="Z8211" t="s">
        <v>59</v>
      </c>
      <c r="AA8211" t="s">
        <v>59</v>
      </c>
      <c r="AB8211" t="s">
        <v>59</v>
      </c>
      <c r="AC8211" t="s">
        <v>59</v>
      </c>
      <c r="AD8211" t="s">
        <v>59</v>
      </c>
      <c r="AF8211" s="1">
        <v>39328</v>
      </c>
      <c r="AG8211" t="s">
        <v>8645</v>
      </c>
      <c r="AH8211" t="s">
        <v>8646</v>
      </c>
      <c r="AI8211" t="str">
        <f>"9320009"</f>
        <v>9320009</v>
      </c>
      <c r="AJ8211" t="s">
        <v>11959</v>
      </c>
      <c r="AK8211">
        <v>2842061261</v>
      </c>
      <c r="AL8211" t="s">
        <v>11960</v>
      </c>
      <c r="AM8211" t="s">
        <v>4513</v>
      </c>
      <c r="AN8211" t="s">
        <v>4519</v>
      </c>
      <c r="AO8211" t="s">
        <v>4519</v>
      </c>
      <c r="AP8211" t="s">
        <v>11961</v>
      </c>
      <c r="AQ8211">
        <v>6</v>
      </c>
      <c r="AR8211" t="s">
        <v>5177</v>
      </c>
      <c r="AS8211" t="s">
        <v>5178</v>
      </c>
      <c r="AT8211" t="s">
        <v>58</v>
      </c>
      <c r="AU8211" t="s">
        <v>68</v>
      </c>
      <c r="AV8211" t="s">
        <v>69</v>
      </c>
      <c r="AW8211" s="1">
        <v>24537</v>
      </c>
      <c r="AX8211">
        <v>1</v>
      </c>
    </row>
    <row r="8212" spans="1:50">
      <c r="A8212">
        <v>594807</v>
      </c>
      <c r="B8212" t="str">
        <f>"103855791"</f>
        <v>103855791</v>
      </c>
      <c r="C8212" t="s">
        <v>50</v>
      </c>
      <c r="D8212" t="s">
        <v>4270</v>
      </c>
      <c r="E8212" t="s">
        <v>191</v>
      </c>
      <c r="F8212" t="s">
        <v>154</v>
      </c>
      <c r="G8212" t="s">
        <v>1830</v>
      </c>
      <c r="H8212" t="str">
        <f>"ΠΕΡΙΣΤΕΡΑΣ ΒΙΓΛΕΣ ΙΕΡΑΠΤΕΡΑ"</f>
        <v>ΠΕΡΙΣΤΕΡΑΣ ΒΙΓΛΕΣ ΙΕΡΑΠΤΕΡΑ</v>
      </c>
      <c r="I8212">
        <v>72200</v>
      </c>
      <c r="J8212">
        <v>2842028044</v>
      </c>
      <c r="K8212">
        <v>6947044876</v>
      </c>
      <c r="N8212" t="s">
        <v>615</v>
      </c>
      <c r="O8212" t="s">
        <v>616</v>
      </c>
      <c r="R8212" t="s">
        <v>57</v>
      </c>
      <c r="S8212">
        <v>8</v>
      </c>
      <c r="T8212">
        <v>218</v>
      </c>
      <c r="U8212" s="1">
        <v>37134</v>
      </c>
      <c r="V8212" t="s">
        <v>5177</v>
      </c>
      <c r="W8212" t="s">
        <v>5178</v>
      </c>
      <c r="X8212" t="s">
        <v>58</v>
      </c>
      <c r="Y8212">
        <v>22</v>
      </c>
      <c r="Z8212" t="s">
        <v>59</v>
      </c>
      <c r="AA8212" t="s">
        <v>59</v>
      </c>
      <c r="AB8212" t="s">
        <v>59</v>
      </c>
      <c r="AC8212" t="s">
        <v>59</v>
      </c>
      <c r="AD8212" t="s">
        <v>59</v>
      </c>
      <c r="AF8212" s="1">
        <v>37141</v>
      </c>
      <c r="AG8212" t="s">
        <v>8645</v>
      </c>
      <c r="AH8212" t="s">
        <v>8646</v>
      </c>
      <c r="AI8212" t="str">
        <f>"9320005"</f>
        <v>9320005</v>
      </c>
      <c r="AJ8212" t="s">
        <v>12004</v>
      </c>
      <c r="AK8212">
        <v>2842022202</v>
      </c>
      <c r="AL8212" t="s">
        <v>12005</v>
      </c>
      <c r="AM8212" t="s">
        <v>4513</v>
      </c>
      <c r="AN8212" t="s">
        <v>4519</v>
      </c>
      <c r="AO8212" t="s">
        <v>4519</v>
      </c>
      <c r="AP8212" t="s">
        <v>4519</v>
      </c>
      <c r="AQ8212">
        <v>4</v>
      </c>
      <c r="AR8212" t="s">
        <v>5177</v>
      </c>
      <c r="AS8212" t="s">
        <v>5178</v>
      </c>
      <c r="AT8212" t="s">
        <v>58</v>
      </c>
      <c r="AU8212" t="s">
        <v>68</v>
      </c>
      <c r="AV8212" t="s">
        <v>69</v>
      </c>
      <c r="AW8212" s="1">
        <v>27087</v>
      </c>
      <c r="AX8212">
        <v>1</v>
      </c>
    </row>
    <row r="8213" spans="1:50">
      <c r="B8213" t="str">
        <f>"144241400"</f>
        <v>144241400</v>
      </c>
      <c r="C8213" t="s">
        <v>50</v>
      </c>
      <c r="D8213" t="s">
        <v>12626</v>
      </c>
      <c r="E8213" t="s">
        <v>314</v>
      </c>
      <c r="F8213" t="s">
        <v>6844</v>
      </c>
      <c r="G8213" t="s">
        <v>507</v>
      </c>
      <c r="H8213" t="str">
        <f>"ΙΠΠΟΚΡΑΤΟΥΣ 28 "</f>
        <v xml:space="preserve">ΙΠΠΟΚΡΑΤΟΥΣ 28 </v>
      </c>
      <c r="I8213">
        <v>66100</v>
      </c>
      <c r="J8213">
        <v>2521026190</v>
      </c>
      <c r="K8213">
        <v>6948456882</v>
      </c>
      <c r="N8213" t="s">
        <v>615</v>
      </c>
      <c r="O8213" t="s">
        <v>616</v>
      </c>
      <c r="R8213" t="s">
        <v>159</v>
      </c>
      <c r="S8213">
        <v>2</v>
      </c>
      <c r="T8213" t="s">
        <v>8675</v>
      </c>
      <c r="U8213" s="1">
        <v>43348</v>
      </c>
      <c r="V8213" t="s">
        <v>5177</v>
      </c>
      <c r="W8213" t="s">
        <v>5178</v>
      </c>
      <c r="X8213" t="s">
        <v>58</v>
      </c>
      <c r="Y8213">
        <v>25</v>
      </c>
      <c r="Z8213" t="s">
        <v>59</v>
      </c>
      <c r="AA8213" t="s">
        <v>59</v>
      </c>
      <c r="AB8213" t="s">
        <v>59</v>
      </c>
      <c r="AC8213" t="s">
        <v>59</v>
      </c>
      <c r="AD8213" t="s">
        <v>59</v>
      </c>
      <c r="AF8213" s="1">
        <v>43348</v>
      </c>
      <c r="AG8213" t="s">
        <v>8645</v>
      </c>
      <c r="AH8213" t="s">
        <v>8676</v>
      </c>
      <c r="AI8213" t="str">
        <f>"9320112"</f>
        <v>9320112</v>
      </c>
      <c r="AJ8213" t="s">
        <v>11971</v>
      </c>
      <c r="AK8213">
        <v>2843051115</v>
      </c>
      <c r="AL8213" t="s">
        <v>11972</v>
      </c>
      <c r="AM8213" t="s">
        <v>4513</v>
      </c>
      <c r="AN8213" t="s">
        <v>4540</v>
      </c>
      <c r="AO8213" t="s">
        <v>4547</v>
      </c>
      <c r="AP8213" t="s">
        <v>11973</v>
      </c>
      <c r="AQ8213">
        <v>11</v>
      </c>
      <c r="AR8213" t="s">
        <v>5177</v>
      </c>
      <c r="AS8213" t="s">
        <v>5178</v>
      </c>
      <c r="AT8213" t="s">
        <v>58</v>
      </c>
      <c r="AU8213" t="s">
        <v>8673</v>
      </c>
      <c r="AV8213" t="s">
        <v>132</v>
      </c>
      <c r="AW8213" s="1">
        <v>32438</v>
      </c>
      <c r="AX8213">
        <v>1</v>
      </c>
    </row>
    <row r="8214" spans="1:50">
      <c r="B8214" t="str">
        <f>"141759556"</f>
        <v>141759556</v>
      </c>
      <c r="C8214" t="s">
        <v>50</v>
      </c>
      <c r="D8214" t="s">
        <v>12627</v>
      </c>
      <c r="E8214" t="s">
        <v>263</v>
      </c>
      <c r="F8214" t="s">
        <v>995</v>
      </c>
      <c r="G8214" t="s">
        <v>658</v>
      </c>
      <c r="H8214" t="str">
        <f>"ΔΕΝΔΡΟΧΩΡΙΟΥ 10 "</f>
        <v xml:space="preserve">ΔΕΝΔΡΟΧΩΡΙΟΥ 10 </v>
      </c>
      <c r="I8214">
        <v>13451</v>
      </c>
      <c r="J8214">
        <v>2102315133</v>
      </c>
      <c r="K8214">
        <v>6979490696</v>
      </c>
      <c r="N8214" t="s">
        <v>615</v>
      </c>
      <c r="O8214" t="s">
        <v>616</v>
      </c>
      <c r="R8214" t="s">
        <v>159</v>
      </c>
      <c r="S8214">
        <v>5</v>
      </c>
      <c r="T8214" t="s">
        <v>8675</v>
      </c>
      <c r="U8214" s="1">
        <v>43348</v>
      </c>
      <c r="V8214" t="s">
        <v>5177</v>
      </c>
      <c r="W8214" t="s">
        <v>5178</v>
      </c>
      <c r="X8214" t="s">
        <v>58</v>
      </c>
      <c r="Y8214">
        <v>24</v>
      </c>
      <c r="Z8214" t="s">
        <v>59</v>
      </c>
      <c r="AA8214" t="s">
        <v>59</v>
      </c>
      <c r="AB8214" t="s">
        <v>59</v>
      </c>
      <c r="AC8214" t="s">
        <v>59</v>
      </c>
      <c r="AD8214" t="s">
        <v>59</v>
      </c>
      <c r="AF8214" s="1">
        <v>43348</v>
      </c>
      <c r="AG8214" t="s">
        <v>8645</v>
      </c>
      <c r="AH8214" t="s">
        <v>8646</v>
      </c>
      <c r="AI8214" t="str">
        <f>"9320063"</f>
        <v>9320063</v>
      </c>
      <c r="AJ8214" t="s">
        <v>12026</v>
      </c>
      <c r="AK8214">
        <v>2841032369</v>
      </c>
      <c r="AL8214" t="s">
        <v>12027</v>
      </c>
      <c r="AM8214" t="s">
        <v>4513</v>
      </c>
      <c r="AN8214" t="s">
        <v>4514</v>
      </c>
      <c r="AO8214" t="s">
        <v>4524</v>
      </c>
      <c r="AP8214" t="s">
        <v>4525</v>
      </c>
      <c r="AQ8214">
        <v>1</v>
      </c>
      <c r="AR8214" t="s">
        <v>5177</v>
      </c>
      <c r="AS8214" t="s">
        <v>5178</v>
      </c>
      <c r="AT8214" t="s">
        <v>58</v>
      </c>
      <c r="AU8214" t="s">
        <v>8673</v>
      </c>
      <c r="AV8214" t="s">
        <v>132</v>
      </c>
      <c r="AW8214" s="1">
        <v>31933</v>
      </c>
      <c r="AX8214">
        <v>1</v>
      </c>
    </row>
    <row r="8215" spans="1:50">
      <c r="B8215" t="str">
        <f>"146419679"</f>
        <v>146419679</v>
      </c>
      <c r="C8215" t="s">
        <v>50</v>
      </c>
      <c r="D8215" t="s">
        <v>12628</v>
      </c>
      <c r="E8215" t="s">
        <v>215</v>
      </c>
      <c r="F8215" t="s">
        <v>95</v>
      </c>
      <c r="G8215" t="s">
        <v>52</v>
      </c>
      <c r="H8215" t="str">
        <f>"ΚΡΙΤΣΑ "</f>
        <v xml:space="preserve">ΚΡΙΤΣΑ </v>
      </c>
      <c r="I8215">
        <v>72051</v>
      </c>
      <c r="J8215">
        <v>2841051170</v>
      </c>
      <c r="K8215">
        <v>6983315874</v>
      </c>
      <c r="N8215" t="s">
        <v>615</v>
      </c>
      <c r="O8215" t="s">
        <v>616</v>
      </c>
      <c r="R8215" t="s">
        <v>159</v>
      </c>
      <c r="S8215">
        <v>2</v>
      </c>
      <c r="T8215" t="s">
        <v>8675</v>
      </c>
      <c r="U8215" s="1">
        <v>43348</v>
      </c>
      <c r="V8215" t="s">
        <v>5177</v>
      </c>
      <c r="W8215" t="s">
        <v>5178</v>
      </c>
      <c r="X8215" t="s">
        <v>58</v>
      </c>
      <c r="Y8215">
        <v>24</v>
      </c>
      <c r="Z8215" t="s">
        <v>59</v>
      </c>
      <c r="AA8215" t="s">
        <v>59</v>
      </c>
      <c r="AB8215" t="s">
        <v>59</v>
      </c>
      <c r="AC8215" t="s">
        <v>59</v>
      </c>
      <c r="AD8215" t="s">
        <v>59</v>
      </c>
      <c r="AF8215" s="1">
        <v>43348</v>
      </c>
      <c r="AG8215" t="s">
        <v>8645</v>
      </c>
      <c r="AH8215" t="s">
        <v>8646</v>
      </c>
      <c r="AI8215" t="str">
        <f>"9320127"</f>
        <v>9320127</v>
      </c>
      <c r="AJ8215" t="s">
        <v>12040</v>
      </c>
      <c r="AK8215">
        <v>2843051221</v>
      </c>
      <c r="AL8215" t="s">
        <v>12041</v>
      </c>
      <c r="AM8215" t="s">
        <v>4513</v>
      </c>
      <c r="AN8215" t="s">
        <v>4519</v>
      </c>
      <c r="AO8215" t="s">
        <v>4766</v>
      </c>
      <c r="AP8215" t="s">
        <v>4767</v>
      </c>
      <c r="AQ8215">
        <v>6</v>
      </c>
      <c r="AR8215" t="s">
        <v>5177</v>
      </c>
      <c r="AS8215" t="s">
        <v>5178</v>
      </c>
      <c r="AT8215" t="s">
        <v>58</v>
      </c>
      <c r="AU8215" t="s">
        <v>8673</v>
      </c>
      <c r="AV8215" t="s">
        <v>132</v>
      </c>
      <c r="AW8215" s="1">
        <v>32289</v>
      </c>
      <c r="AX8215">
        <v>1</v>
      </c>
    </row>
    <row r="8216" spans="1:50">
      <c r="A8216">
        <v>574709</v>
      </c>
      <c r="B8216" t="str">
        <f>"039057695"</f>
        <v>039057695</v>
      </c>
      <c r="C8216" t="s">
        <v>50</v>
      </c>
      <c r="D8216" t="s">
        <v>12629</v>
      </c>
      <c r="E8216" t="s">
        <v>155</v>
      </c>
      <c r="F8216" t="s">
        <v>670</v>
      </c>
      <c r="G8216" t="s">
        <v>263</v>
      </c>
      <c r="H8216" t="str">
        <f>"ΠΡ. ΓΕΩΡΓΙΟΥ 25 ΑΓΙΟΣ ΝΙΚΟΛΑΟΣ"</f>
        <v>ΠΡ. ΓΕΩΡΓΙΟΥ 25 ΑΓΙΟΣ ΝΙΚΟΛΑΟΣ</v>
      </c>
      <c r="I8216">
        <v>72100</v>
      </c>
      <c r="J8216">
        <v>2841082736</v>
      </c>
      <c r="K8216">
        <v>6978968808</v>
      </c>
      <c r="N8216" t="s">
        <v>306</v>
      </c>
      <c r="O8216" t="s">
        <v>307</v>
      </c>
      <c r="R8216" t="s">
        <v>57</v>
      </c>
      <c r="S8216">
        <v>11</v>
      </c>
      <c r="T8216">
        <v>158</v>
      </c>
      <c r="U8216" s="1">
        <v>34582</v>
      </c>
      <c r="V8216" t="s">
        <v>5177</v>
      </c>
      <c r="W8216" t="s">
        <v>5178</v>
      </c>
      <c r="X8216" t="s">
        <v>58</v>
      </c>
      <c r="Y8216">
        <v>21</v>
      </c>
      <c r="Z8216" t="s">
        <v>59</v>
      </c>
      <c r="AA8216" t="s">
        <v>59</v>
      </c>
      <c r="AB8216" t="s">
        <v>59</v>
      </c>
      <c r="AC8216" t="s">
        <v>59</v>
      </c>
      <c r="AD8216" t="s">
        <v>59</v>
      </c>
      <c r="AF8216" s="1">
        <v>34582</v>
      </c>
      <c r="AG8216" t="s">
        <v>8645</v>
      </c>
      <c r="AH8216" t="s">
        <v>8646</v>
      </c>
      <c r="AI8216" t="str">
        <f>"9320138"</f>
        <v>9320138</v>
      </c>
      <c r="AJ8216" t="s">
        <v>11915</v>
      </c>
      <c r="AK8216">
        <v>2841022104</v>
      </c>
      <c r="AL8216" t="s">
        <v>11916</v>
      </c>
      <c r="AM8216" t="s">
        <v>4513</v>
      </c>
      <c r="AN8216" t="s">
        <v>4514</v>
      </c>
      <c r="AO8216" t="s">
        <v>4514</v>
      </c>
      <c r="AP8216" t="s">
        <v>4514</v>
      </c>
      <c r="AQ8216">
        <v>1</v>
      </c>
      <c r="AR8216" t="s">
        <v>5177</v>
      </c>
      <c r="AS8216" t="s">
        <v>5178</v>
      </c>
      <c r="AT8216" t="s">
        <v>58</v>
      </c>
      <c r="AU8216" t="s">
        <v>68</v>
      </c>
      <c r="AV8216" t="s">
        <v>69</v>
      </c>
      <c r="AW8216" s="1">
        <v>25432</v>
      </c>
      <c r="AX8216">
        <v>1</v>
      </c>
    </row>
    <row r="8217" spans="1:50">
      <c r="B8217" t="str">
        <f>"049738447"</f>
        <v>049738447</v>
      </c>
      <c r="C8217" t="s">
        <v>50</v>
      </c>
      <c r="D8217" t="s">
        <v>4329</v>
      </c>
      <c r="E8217" t="s">
        <v>727</v>
      </c>
      <c r="F8217" t="s">
        <v>95</v>
      </c>
      <c r="G8217" t="s">
        <v>52</v>
      </c>
      <c r="H8217" t="str">
        <f>"ΛΑΣΙΘΙΟΥ 4 ΑΓΙΟΣ ΝΙΚΟΛΑΟΣ"</f>
        <v>ΛΑΣΙΘΙΟΥ 4 ΑΓΙΟΣ ΝΙΚΟΛΑΟΣ</v>
      </c>
      <c r="I8217">
        <v>72100</v>
      </c>
      <c r="J8217">
        <v>2841023107</v>
      </c>
      <c r="K8217">
        <v>6937606642</v>
      </c>
      <c r="N8217" t="s">
        <v>176</v>
      </c>
      <c r="O8217" t="s">
        <v>177</v>
      </c>
      <c r="R8217" t="s">
        <v>121</v>
      </c>
      <c r="S8217">
        <v>1</v>
      </c>
      <c r="T8217" t="s">
        <v>8675</v>
      </c>
      <c r="U8217" s="1">
        <v>43348</v>
      </c>
      <c r="V8217" t="s">
        <v>5177</v>
      </c>
      <c r="W8217" t="s">
        <v>5178</v>
      </c>
      <c r="X8217" t="s">
        <v>58</v>
      </c>
      <c r="Y8217">
        <v>24</v>
      </c>
      <c r="Z8217" t="s">
        <v>59</v>
      </c>
      <c r="AA8217" t="s">
        <v>59</v>
      </c>
      <c r="AB8217" t="s">
        <v>59</v>
      </c>
      <c r="AC8217" t="s">
        <v>59</v>
      </c>
      <c r="AD8217" t="s">
        <v>59</v>
      </c>
      <c r="AF8217" s="1">
        <v>43348</v>
      </c>
      <c r="AG8217" t="s">
        <v>8645</v>
      </c>
      <c r="AH8217" t="s">
        <v>8646</v>
      </c>
      <c r="AI8217" t="str">
        <f>"9320042"</f>
        <v>9320042</v>
      </c>
      <c r="AJ8217" t="s">
        <v>11942</v>
      </c>
      <c r="AK8217">
        <v>2844031250</v>
      </c>
      <c r="AL8217" t="s">
        <v>11943</v>
      </c>
      <c r="AM8217" t="s">
        <v>4513</v>
      </c>
      <c r="AN8217" t="s">
        <v>4592</v>
      </c>
      <c r="AO8217" t="s">
        <v>4592</v>
      </c>
      <c r="AP8217" t="s">
        <v>11944</v>
      </c>
      <c r="AQ8217">
        <v>3</v>
      </c>
      <c r="AR8217" t="s">
        <v>5177</v>
      </c>
      <c r="AS8217" t="s">
        <v>5178</v>
      </c>
      <c r="AT8217" t="s">
        <v>58</v>
      </c>
      <c r="AU8217" t="s">
        <v>8673</v>
      </c>
      <c r="AV8217" t="s">
        <v>132</v>
      </c>
      <c r="AW8217" s="1">
        <v>29707</v>
      </c>
      <c r="AX8217">
        <v>1</v>
      </c>
    </row>
    <row r="8218" spans="1:50">
      <c r="A8218">
        <v>574339</v>
      </c>
      <c r="B8218" t="str">
        <f>"110350594"</f>
        <v>110350594</v>
      </c>
      <c r="C8218" t="s">
        <v>50</v>
      </c>
      <c r="D8218" t="s">
        <v>12630</v>
      </c>
      <c r="E8218" t="s">
        <v>52</v>
      </c>
      <c r="F8218" t="s">
        <v>106</v>
      </c>
      <c r="G8218" t="s">
        <v>255</v>
      </c>
      <c r="H8218" t="str">
        <f>"ΣΤΕΦ. ΞΕΝΙΚΑΚΗ 24 ΣΗΤΕΙΑ"</f>
        <v>ΣΤΕΦ. ΞΕΝΙΚΑΚΗ 24 ΣΗΤΕΙΑ</v>
      </c>
      <c r="I8218">
        <v>72300</v>
      </c>
      <c r="K8218">
        <v>6992806489</v>
      </c>
      <c r="N8218" t="s">
        <v>1525</v>
      </c>
      <c r="O8218" t="s">
        <v>1526</v>
      </c>
      <c r="R8218" t="s">
        <v>57</v>
      </c>
      <c r="S8218">
        <v>13</v>
      </c>
      <c r="T8218">
        <v>160</v>
      </c>
      <c r="U8218" s="1">
        <v>34582</v>
      </c>
      <c r="V8218" t="s">
        <v>5177</v>
      </c>
      <c r="W8218" t="s">
        <v>5178</v>
      </c>
      <c r="X8218" t="s">
        <v>58</v>
      </c>
      <c r="Y8218">
        <v>25</v>
      </c>
      <c r="Z8218" t="s">
        <v>59</v>
      </c>
      <c r="AA8218" t="s">
        <v>59</v>
      </c>
      <c r="AB8218" t="s">
        <v>59</v>
      </c>
      <c r="AC8218" t="s">
        <v>59</v>
      </c>
      <c r="AD8218" t="s">
        <v>59</v>
      </c>
      <c r="AF8218" s="1">
        <v>34582</v>
      </c>
      <c r="AG8218" t="s">
        <v>8651</v>
      </c>
      <c r="AH8218" t="s">
        <v>8652</v>
      </c>
      <c r="AI8218" t="str">
        <f>"9320208"</f>
        <v>9320208</v>
      </c>
      <c r="AJ8218" t="s">
        <v>12228</v>
      </c>
      <c r="AK8218">
        <v>2843022705</v>
      </c>
      <c r="AL8218" t="s">
        <v>12229</v>
      </c>
      <c r="AM8218" t="s">
        <v>4513</v>
      </c>
      <c r="AN8218" t="s">
        <v>4540</v>
      </c>
      <c r="AO8218" t="s">
        <v>4540</v>
      </c>
      <c r="AP8218" t="s">
        <v>4540</v>
      </c>
      <c r="AQ8218">
        <v>8</v>
      </c>
      <c r="AR8218" t="s">
        <v>5177</v>
      </c>
      <c r="AS8218" t="s">
        <v>5178</v>
      </c>
      <c r="AT8218" t="s">
        <v>58</v>
      </c>
      <c r="AU8218" t="s">
        <v>68</v>
      </c>
      <c r="AV8218" t="s">
        <v>69</v>
      </c>
      <c r="AW8218" s="1">
        <v>21278</v>
      </c>
      <c r="AX8218">
        <v>1</v>
      </c>
    </row>
    <row r="8219" spans="1:50">
      <c r="B8219" t="str">
        <f>"112410056"</f>
        <v>112410056</v>
      </c>
      <c r="C8219" t="s">
        <v>105</v>
      </c>
      <c r="D8219" t="s">
        <v>12631</v>
      </c>
      <c r="E8219" t="s">
        <v>106</v>
      </c>
      <c r="F8219" t="s">
        <v>53</v>
      </c>
      <c r="G8219" t="s">
        <v>52</v>
      </c>
      <c r="H8219" t="str">
        <f>"ΒΥΡΩΝΟΣ 13 ΚΑΜ ΒΟΥΡΛΑ"</f>
        <v>ΒΥΡΩΝΟΣ 13 ΚΑΜ ΒΟΥΡΛΑ</v>
      </c>
      <c r="I8219">
        <v>35008</v>
      </c>
      <c r="J8219">
        <v>2235022987</v>
      </c>
      <c r="M8219" t="s">
        <v>12632</v>
      </c>
      <c r="N8219" t="s">
        <v>204</v>
      </c>
      <c r="O8219" t="s">
        <v>205</v>
      </c>
      <c r="R8219" t="s">
        <v>159</v>
      </c>
      <c r="S8219">
        <v>5</v>
      </c>
      <c r="T8219" t="s">
        <v>8675</v>
      </c>
      <c r="U8219" s="1">
        <v>43348</v>
      </c>
      <c r="V8219" t="s">
        <v>5177</v>
      </c>
      <c r="W8219" t="s">
        <v>5178</v>
      </c>
      <c r="X8219" t="s">
        <v>58</v>
      </c>
      <c r="Y8219">
        <v>24</v>
      </c>
      <c r="Z8219" t="s">
        <v>59</v>
      </c>
      <c r="AA8219" t="s">
        <v>59</v>
      </c>
      <c r="AB8219" t="s">
        <v>59</v>
      </c>
      <c r="AC8219" t="s">
        <v>59</v>
      </c>
      <c r="AD8219" t="s">
        <v>59</v>
      </c>
      <c r="AF8219" s="1">
        <v>43348</v>
      </c>
      <c r="AG8219" t="s">
        <v>8645</v>
      </c>
      <c r="AH8219" t="s">
        <v>8646</v>
      </c>
      <c r="AI8219" t="str">
        <f>"9320058"</f>
        <v>9320058</v>
      </c>
      <c r="AJ8219" t="s">
        <v>11893</v>
      </c>
      <c r="AK8219">
        <v>2841022496</v>
      </c>
      <c r="AL8219" t="s">
        <v>11894</v>
      </c>
      <c r="AM8219" t="s">
        <v>4513</v>
      </c>
      <c r="AN8219" t="s">
        <v>4514</v>
      </c>
      <c r="AO8219" t="s">
        <v>4514</v>
      </c>
      <c r="AP8219" t="s">
        <v>4514</v>
      </c>
      <c r="AQ8219">
        <v>1</v>
      </c>
      <c r="AR8219" t="s">
        <v>5177</v>
      </c>
      <c r="AS8219" t="s">
        <v>5178</v>
      </c>
      <c r="AT8219" t="s">
        <v>58</v>
      </c>
      <c r="AU8219" t="s">
        <v>8673</v>
      </c>
      <c r="AV8219" t="s">
        <v>132</v>
      </c>
      <c r="AW8219" s="1">
        <v>30303</v>
      </c>
      <c r="AX8219">
        <v>1</v>
      </c>
    </row>
    <row r="8220" spans="1:50">
      <c r="B8220" t="str">
        <f>"147752740"</f>
        <v>147752740</v>
      </c>
      <c r="C8220" t="s">
        <v>50</v>
      </c>
      <c r="D8220" t="s">
        <v>12633</v>
      </c>
      <c r="E8220" t="s">
        <v>809</v>
      </c>
      <c r="F8220" t="s">
        <v>383</v>
      </c>
      <c r="G8220" t="s">
        <v>188</v>
      </c>
      <c r="H8220" t="str">
        <f>"3Η ΣΕΠΤΕΜΒΡΙΟΥ 22 ΑΡΓΥΡΟΥΠΟΛΗ ΑΘΗΝΑ"</f>
        <v>3Η ΣΕΠΤΕΜΒΡΙΟΥ 22 ΑΡΓΥΡΟΥΠΟΛΗ ΑΘΗΝΑ</v>
      </c>
      <c r="I8220">
        <v>16452</v>
      </c>
      <c r="J8220">
        <v>2109939184</v>
      </c>
      <c r="K8220">
        <v>6978654073</v>
      </c>
      <c r="N8220" t="s">
        <v>615</v>
      </c>
      <c r="O8220" t="s">
        <v>616</v>
      </c>
      <c r="R8220" t="s">
        <v>159</v>
      </c>
      <c r="S8220">
        <v>2</v>
      </c>
      <c r="T8220" t="s">
        <v>8675</v>
      </c>
      <c r="U8220" s="1">
        <v>43348</v>
      </c>
      <c r="V8220" t="s">
        <v>5177</v>
      </c>
      <c r="W8220" t="s">
        <v>5178</v>
      </c>
      <c r="X8220" t="s">
        <v>58</v>
      </c>
      <c r="Y8220">
        <v>25</v>
      </c>
      <c r="Z8220" t="s">
        <v>59</v>
      </c>
      <c r="AA8220" t="s">
        <v>59</v>
      </c>
      <c r="AB8220" t="s">
        <v>59</v>
      </c>
      <c r="AC8220" t="s">
        <v>59</v>
      </c>
      <c r="AD8220" t="s">
        <v>59</v>
      </c>
      <c r="AF8220" s="1">
        <v>43348</v>
      </c>
      <c r="AG8220" t="s">
        <v>8645</v>
      </c>
      <c r="AH8220" t="s">
        <v>8676</v>
      </c>
      <c r="AI8220" t="str">
        <f>"9320102"</f>
        <v>9320102</v>
      </c>
      <c r="AJ8220" t="s">
        <v>12107</v>
      </c>
      <c r="AK8220">
        <v>2843093202</v>
      </c>
      <c r="AL8220" t="s">
        <v>12108</v>
      </c>
      <c r="AM8220" t="s">
        <v>4513</v>
      </c>
      <c r="AN8220" t="s">
        <v>4540</v>
      </c>
      <c r="AO8220" t="s">
        <v>4700</v>
      </c>
      <c r="AP8220" t="s">
        <v>12109</v>
      </c>
      <c r="AQ8220">
        <v>9</v>
      </c>
      <c r="AR8220" t="s">
        <v>5177</v>
      </c>
      <c r="AS8220" t="s">
        <v>5178</v>
      </c>
      <c r="AT8220" t="s">
        <v>58</v>
      </c>
      <c r="AU8220" t="s">
        <v>8673</v>
      </c>
      <c r="AV8220" t="s">
        <v>132</v>
      </c>
      <c r="AW8220" s="1">
        <v>32580</v>
      </c>
      <c r="AX8220">
        <v>1</v>
      </c>
    </row>
    <row r="8221" spans="1:50">
      <c r="A8221">
        <v>615276</v>
      </c>
      <c r="B8221" t="str">
        <f>"047260789"</f>
        <v>047260789</v>
      </c>
      <c r="C8221" t="s">
        <v>50</v>
      </c>
      <c r="D8221" t="s">
        <v>11804</v>
      </c>
      <c r="E8221" t="s">
        <v>237</v>
      </c>
      <c r="F8221" t="s">
        <v>72</v>
      </c>
      <c r="G8221" t="s">
        <v>263</v>
      </c>
      <c r="H8221" t="str">
        <f>"ΣΤΟΜΙΟ ΙΕΡΑΠΕΤΡΑ"</f>
        <v>ΣΤΟΜΙΟ ΙΕΡΑΠΕΤΡΑ</v>
      </c>
      <c r="I8221">
        <v>72200</v>
      </c>
      <c r="J8221">
        <v>2842041555</v>
      </c>
      <c r="K8221">
        <v>6947902332</v>
      </c>
      <c r="N8221" t="s">
        <v>1525</v>
      </c>
      <c r="O8221" t="s">
        <v>1526</v>
      </c>
      <c r="R8221" t="s">
        <v>57</v>
      </c>
      <c r="S8221">
        <v>6</v>
      </c>
      <c r="T8221">
        <v>598</v>
      </c>
      <c r="U8221" s="1">
        <v>39310</v>
      </c>
      <c r="V8221" t="s">
        <v>5177</v>
      </c>
      <c r="W8221" t="s">
        <v>5178</v>
      </c>
      <c r="X8221" t="s">
        <v>58</v>
      </c>
      <c r="Y8221">
        <v>25</v>
      </c>
      <c r="Z8221" t="s">
        <v>59</v>
      </c>
      <c r="AA8221" t="s">
        <v>59</v>
      </c>
      <c r="AB8221" t="s">
        <v>59</v>
      </c>
      <c r="AC8221" t="s">
        <v>59</v>
      </c>
      <c r="AD8221" t="s">
        <v>59</v>
      </c>
      <c r="AF8221" s="1">
        <v>39328</v>
      </c>
      <c r="AG8221" t="s">
        <v>8651</v>
      </c>
      <c r="AH8221" t="s">
        <v>8652</v>
      </c>
      <c r="AI8221" t="str">
        <f>"9320137"</f>
        <v>9320137</v>
      </c>
      <c r="AJ8221" t="s">
        <v>11897</v>
      </c>
      <c r="AK8221">
        <v>2842041152</v>
      </c>
      <c r="AL8221" t="s">
        <v>11898</v>
      </c>
      <c r="AM8221" t="s">
        <v>4513</v>
      </c>
      <c r="AN8221" t="s">
        <v>4519</v>
      </c>
      <c r="AO8221" t="s">
        <v>4519</v>
      </c>
      <c r="AP8221" t="s">
        <v>11899</v>
      </c>
      <c r="AQ8221">
        <v>7</v>
      </c>
      <c r="AR8221" t="s">
        <v>5177</v>
      </c>
      <c r="AS8221" t="s">
        <v>5178</v>
      </c>
      <c r="AT8221" t="s">
        <v>58</v>
      </c>
      <c r="AU8221" t="s">
        <v>68</v>
      </c>
      <c r="AV8221" t="s">
        <v>69</v>
      </c>
      <c r="AW8221" s="1">
        <v>26879</v>
      </c>
      <c r="AX8221">
        <v>1</v>
      </c>
    </row>
    <row r="8222" spans="1:50">
      <c r="A8222">
        <v>583936</v>
      </c>
      <c r="B8222" t="str">
        <f>"110274360"</f>
        <v>110274360</v>
      </c>
      <c r="C8222" t="s">
        <v>50</v>
      </c>
      <c r="D8222" t="s">
        <v>5619</v>
      </c>
      <c r="E8222" t="s">
        <v>143</v>
      </c>
      <c r="F8222" t="s">
        <v>92</v>
      </c>
      <c r="G8222" t="s">
        <v>52</v>
      </c>
      <c r="H8222" t="str">
        <f>"ΓΡ. ΑΥΞΕΝΤΙΟΥ 24 ΙΕΡΑΠΕΤΡΑ"</f>
        <v>ΓΡ. ΑΥΞΕΝΤΙΟΥ 24 ΙΕΡΑΠΕΤΡΑ</v>
      </c>
      <c r="I8222">
        <v>72200</v>
      </c>
      <c r="J8222">
        <v>2842022507</v>
      </c>
      <c r="N8222" t="s">
        <v>615</v>
      </c>
      <c r="O8222" t="s">
        <v>616</v>
      </c>
      <c r="R8222" t="s">
        <v>57</v>
      </c>
      <c r="S8222">
        <v>12</v>
      </c>
      <c r="T8222">
        <v>165</v>
      </c>
      <c r="U8222" s="1">
        <v>36040</v>
      </c>
      <c r="V8222" t="s">
        <v>5177</v>
      </c>
      <c r="W8222" t="s">
        <v>5178</v>
      </c>
      <c r="X8222" t="s">
        <v>58</v>
      </c>
      <c r="Y8222">
        <v>21</v>
      </c>
      <c r="Z8222" t="s">
        <v>59</v>
      </c>
      <c r="AA8222" t="s">
        <v>59</v>
      </c>
      <c r="AB8222" t="s">
        <v>59</v>
      </c>
      <c r="AC8222" t="s">
        <v>59</v>
      </c>
      <c r="AD8222" t="s">
        <v>59</v>
      </c>
      <c r="AF8222" s="1">
        <v>36042</v>
      </c>
      <c r="AG8222" t="s">
        <v>8645</v>
      </c>
      <c r="AH8222" t="s">
        <v>8646</v>
      </c>
      <c r="AI8222" t="str">
        <f>"9320005"</f>
        <v>9320005</v>
      </c>
      <c r="AJ8222" t="s">
        <v>12004</v>
      </c>
      <c r="AK8222">
        <v>2842022202</v>
      </c>
      <c r="AL8222" t="s">
        <v>12005</v>
      </c>
      <c r="AM8222" t="s">
        <v>4513</v>
      </c>
      <c r="AN8222" t="s">
        <v>4519</v>
      </c>
      <c r="AO8222" t="s">
        <v>4519</v>
      </c>
      <c r="AP8222" t="s">
        <v>4519</v>
      </c>
      <c r="AQ8222">
        <v>4</v>
      </c>
      <c r="AR8222" t="s">
        <v>5177</v>
      </c>
      <c r="AS8222" t="s">
        <v>5178</v>
      </c>
      <c r="AT8222" t="s">
        <v>58</v>
      </c>
      <c r="AU8222" t="s">
        <v>68</v>
      </c>
      <c r="AV8222" t="s">
        <v>69</v>
      </c>
      <c r="AW8222" s="1">
        <v>24527</v>
      </c>
      <c r="AX8222">
        <v>1</v>
      </c>
    </row>
    <row r="8223" spans="1:50">
      <c r="B8223" t="str">
        <f>"049286440"</f>
        <v>049286440</v>
      </c>
      <c r="C8223" t="s">
        <v>105</v>
      </c>
      <c r="D8223" t="s">
        <v>12634</v>
      </c>
      <c r="E8223" t="s">
        <v>166</v>
      </c>
      <c r="F8223" t="s">
        <v>95</v>
      </c>
      <c r="G8223" t="s">
        <v>181</v>
      </c>
      <c r="H8223" t="str">
        <f>"ΤΣΕΣΜΕ 11 ΙΕΡΑΠΕΤΡΑ"</f>
        <v>ΤΣΕΣΜΕ 11 ΙΕΡΑΠΕΤΡΑ</v>
      </c>
      <c r="I8223">
        <v>72200</v>
      </c>
      <c r="J8223">
        <v>2842023632</v>
      </c>
      <c r="K8223">
        <v>6978911451</v>
      </c>
      <c r="M8223" t="s">
        <v>12635</v>
      </c>
      <c r="N8223" t="s">
        <v>204</v>
      </c>
      <c r="O8223" t="s">
        <v>205</v>
      </c>
      <c r="R8223" t="s">
        <v>159</v>
      </c>
      <c r="S8223">
        <v>5</v>
      </c>
      <c r="T8223" t="s">
        <v>8675</v>
      </c>
      <c r="U8223" s="1">
        <v>43348</v>
      </c>
      <c r="V8223" t="s">
        <v>5177</v>
      </c>
      <c r="W8223" t="s">
        <v>5178</v>
      </c>
      <c r="X8223" t="s">
        <v>58</v>
      </c>
      <c r="Y8223">
        <v>24</v>
      </c>
      <c r="Z8223" t="s">
        <v>59</v>
      </c>
      <c r="AA8223" t="s">
        <v>59</v>
      </c>
      <c r="AB8223" t="s">
        <v>59</v>
      </c>
      <c r="AC8223" t="s">
        <v>59</v>
      </c>
      <c r="AD8223" t="s">
        <v>59</v>
      </c>
      <c r="AF8223" s="1">
        <v>43348</v>
      </c>
      <c r="AG8223" t="s">
        <v>8645</v>
      </c>
      <c r="AH8223" t="s">
        <v>8646</v>
      </c>
      <c r="AI8223" t="str">
        <f>"9320001"</f>
        <v>9320001</v>
      </c>
      <c r="AJ8223" t="s">
        <v>11954</v>
      </c>
      <c r="AK8223">
        <v>2842022505</v>
      </c>
      <c r="AL8223" t="s">
        <v>11955</v>
      </c>
      <c r="AM8223" t="s">
        <v>4513</v>
      </c>
      <c r="AN8223" t="s">
        <v>4519</v>
      </c>
      <c r="AO8223" t="s">
        <v>4519</v>
      </c>
      <c r="AP8223" t="s">
        <v>4519</v>
      </c>
      <c r="AQ8223">
        <v>4</v>
      </c>
      <c r="AR8223" t="s">
        <v>5177</v>
      </c>
      <c r="AS8223" t="s">
        <v>5178</v>
      </c>
      <c r="AT8223" t="s">
        <v>58</v>
      </c>
      <c r="AU8223" t="s">
        <v>8673</v>
      </c>
      <c r="AV8223" t="s">
        <v>132</v>
      </c>
      <c r="AW8223" s="1">
        <v>29659</v>
      </c>
      <c r="AX8223">
        <v>1</v>
      </c>
    </row>
    <row r="8224" spans="1:50">
      <c r="A8224">
        <v>555072</v>
      </c>
      <c r="B8224" t="str">
        <f>"032245520"</f>
        <v>032245520</v>
      </c>
      <c r="C8224" t="s">
        <v>105</v>
      </c>
      <c r="D8224" t="s">
        <v>12634</v>
      </c>
      <c r="E8224" t="s">
        <v>53</v>
      </c>
      <c r="F8224" t="s">
        <v>377</v>
      </c>
      <c r="G8224" t="s">
        <v>530</v>
      </c>
      <c r="H8224" t="str">
        <f>"Γ. ΓΙΑΝΝΑΚΟΥ 25 ΙΕΡΑΠΕΤΡΑ"</f>
        <v>Γ. ΓΙΑΝΝΑΚΟΥ 25 ΙΕΡΑΠΕΤΡΑ</v>
      </c>
      <c r="I8224">
        <v>72200</v>
      </c>
      <c r="J8224">
        <v>2842028641</v>
      </c>
      <c r="K8224">
        <v>6945263518</v>
      </c>
      <c r="M8224" t="s">
        <v>12636</v>
      </c>
      <c r="N8224" t="s">
        <v>615</v>
      </c>
      <c r="O8224" t="s">
        <v>616</v>
      </c>
      <c r="R8224" t="s">
        <v>57</v>
      </c>
      <c r="S8224">
        <v>15</v>
      </c>
      <c r="T8224">
        <v>200</v>
      </c>
      <c r="U8224" s="1">
        <v>31657</v>
      </c>
      <c r="V8224" t="s">
        <v>5177</v>
      </c>
      <c r="W8224" t="s">
        <v>5178</v>
      </c>
      <c r="X8224" t="s">
        <v>58</v>
      </c>
      <c r="Y8224">
        <v>21</v>
      </c>
      <c r="Z8224" t="s">
        <v>59</v>
      </c>
      <c r="AA8224" t="s">
        <v>59</v>
      </c>
      <c r="AB8224" t="s">
        <v>59</v>
      </c>
      <c r="AC8224" t="s">
        <v>59</v>
      </c>
      <c r="AD8224" t="s">
        <v>59</v>
      </c>
      <c r="AF8224" s="1">
        <v>31665</v>
      </c>
      <c r="AG8224" t="s">
        <v>8645</v>
      </c>
      <c r="AH8224" t="s">
        <v>8646</v>
      </c>
      <c r="AI8224" t="str">
        <f>"9320006"</f>
        <v>9320006</v>
      </c>
      <c r="AJ8224" t="s">
        <v>11919</v>
      </c>
      <c r="AK8224">
        <v>2842022359</v>
      </c>
      <c r="AL8224" t="s">
        <v>11920</v>
      </c>
      <c r="AM8224" t="s">
        <v>4513</v>
      </c>
      <c r="AN8224" t="s">
        <v>4519</v>
      </c>
      <c r="AO8224" t="s">
        <v>4519</v>
      </c>
      <c r="AP8224" t="s">
        <v>4519</v>
      </c>
      <c r="AQ8224">
        <v>4</v>
      </c>
      <c r="AR8224" t="s">
        <v>5177</v>
      </c>
      <c r="AS8224" t="s">
        <v>5178</v>
      </c>
      <c r="AT8224" t="s">
        <v>58</v>
      </c>
      <c r="AU8224" t="s">
        <v>68</v>
      </c>
      <c r="AV8224" t="s">
        <v>69</v>
      </c>
      <c r="AW8224" s="1">
        <v>22890</v>
      </c>
      <c r="AX8224">
        <v>1</v>
      </c>
    </row>
    <row r="8225" spans="1:50">
      <c r="B8225" t="str">
        <f>"144479933"</f>
        <v>144479933</v>
      </c>
      <c r="C8225" t="s">
        <v>50</v>
      </c>
      <c r="D8225" t="s">
        <v>8600</v>
      </c>
      <c r="E8225" t="s">
        <v>476</v>
      </c>
      <c r="F8225" t="s">
        <v>936</v>
      </c>
      <c r="H8225" t="str">
        <f>" "</f>
        <v xml:space="preserve"> </v>
      </c>
      <c r="N8225" t="s">
        <v>8694</v>
      </c>
      <c r="O8225" t="s">
        <v>8695</v>
      </c>
      <c r="R8225" t="s">
        <v>159</v>
      </c>
      <c r="S8225">
        <v>1</v>
      </c>
      <c r="T8225" t="s">
        <v>8835</v>
      </c>
      <c r="U8225" s="1">
        <v>43348</v>
      </c>
      <c r="V8225" t="s">
        <v>5177</v>
      </c>
      <c r="W8225" t="s">
        <v>5178</v>
      </c>
      <c r="X8225" t="s">
        <v>58</v>
      </c>
      <c r="Y8225">
        <v>24</v>
      </c>
      <c r="Z8225" t="s">
        <v>59</v>
      </c>
      <c r="AA8225" t="s">
        <v>59</v>
      </c>
      <c r="AB8225" t="s">
        <v>59</v>
      </c>
      <c r="AC8225" t="s">
        <v>59</v>
      </c>
      <c r="AD8225" t="s">
        <v>59</v>
      </c>
      <c r="AF8225" s="1">
        <v>43348</v>
      </c>
      <c r="AG8225" t="s">
        <v>8645</v>
      </c>
      <c r="AH8225" t="s">
        <v>8646</v>
      </c>
      <c r="AI8225" t="str">
        <f>"9320210"</f>
        <v>9320210</v>
      </c>
      <c r="AJ8225" t="s">
        <v>11890</v>
      </c>
      <c r="AK8225">
        <v>2841026705</v>
      </c>
      <c r="AL8225" t="s">
        <v>11891</v>
      </c>
      <c r="AM8225" t="s">
        <v>4513</v>
      </c>
      <c r="AN8225" t="s">
        <v>4514</v>
      </c>
      <c r="AO8225" t="s">
        <v>4514</v>
      </c>
      <c r="AP8225" t="s">
        <v>4514</v>
      </c>
      <c r="AQ8225">
        <v>1</v>
      </c>
      <c r="AR8225" t="s">
        <v>5177</v>
      </c>
      <c r="AS8225" t="s">
        <v>5178</v>
      </c>
      <c r="AT8225" t="s">
        <v>58</v>
      </c>
      <c r="AU8225" t="s">
        <v>131</v>
      </c>
      <c r="AV8225" t="s">
        <v>132</v>
      </c>
      <c r="AW8225" s="1">
        <v>32375</v>
      </c>
      <c r="AX8225">
        <v>1</v>
      </c>
    </row>
    <row r="8226" spans="1:50">
      <c r="A8226">
        <v>612775</v>
      </c>
      <c r="B8226" t="str">
        <f>"111431435"</f>
        <v>111431435</v>
      </c>
      <c r="C8226" t="s">
        <v>50</v>
      </c>
      <c r="D8226" t="s">
        <v>12637</v>
      </c>
      <c r="E8226" t="s">
        <v>263</v>
      </c>
      <c r="F8226" t="s">
        <v>84</v>
      </c>
      <c r="G8226" t="s">
        <v>237</v>
      </c>
      <c r="H8226" t="str">
        <f>"ΤΡΙΠΟΤΑΜΟΣ ΒΕΡΟΙΑ"</f>
        <v>ΤΡΙΠΟΤΑΜΟΣ ΒΕΡΟΙΑ</v>
      </c>
      <c r="I8226">
        <v>59100</v>
      </c>
      <c r="J8226">
        <v>2331066176</v>
      </c>
      <c r="K8226">
        <v>6946962731</v>
      </c>
      <c r="N8226" t="s">
        <v>1525</v>
      </c>
      <c r="O8226" t="s">
        <v>1526</v>
      </c>
      <c r="R8226" t="s">
        <v>57</v>
      </c>
      <c r="S8226">
        <v>5</v>
      </c>
      <c r="T8226">
        <v>254</v>
      </c>
      <c r="U8226" s="1">
        <v>38973</v>
      </c>
      <c r="V8226" t="s">
        <v>5177</v>
      </c>
      <c r="W8226" t="s">
        <v>5178</v>
      </c>
      <c r="X8226" t="s">
        <v>58</v>
      </c>
      <c r="Y8226">
        <v>25</v>
      </c>
      <c r="Z8226" t="s">
        <v>59</v>
      </c>
      <c r="AA8226" t="s">
        <v>59</v>
      </c>
      <c r="AB8226" t="s">
        <v>59</v>
      </c>
      <c r="AC8226" t="s">
        <v>59</v>
      </c>
      <c r="AD8226" t="s">
        <v>59</v>
      </c>
      <c r="AF8226" s="1">
        <v>38975</v>
      </c>
      <c r="AG8226" t="s">
        <v>8651</v>
      </c>
      <c r="AH8226" t="s">
        <v>8652</v>
      </c>
      <c r="AI8226" t="str">
        <f>"9320116"</f>
        <v>9320116</v>
      </c>
      <c r="AJ8226" t="s">
        <v>12437</v>
      </c>
      <c r="AK8226">
        <v>2843061439</v>
      </c>
      <c r="AL8226" t="s">
        <v>12438</v>
      </c>
      <c r="AM8226" t="s">
        <v>4513</v>
      </c>
      <c r="AN8226" t="s">
        <v>4540</v>
      </c>
      <c r="AO8226" t="s">
        <v>4700</v>
      </c>
      <c r="AP8226" t="s">
        <v>4701</v>
      </c>
      <c r="AQ8226">
        <v>9</v>
      </c>
      <c r="AR8226" t="s">
        <v>5177</v>
      </c>
      <c r="AS8226" t="s">
        <v>5178</v>
      </c>
      <c r="AT8226" t="s">
        <v>58</v>
      </c>
      <c r="AU8226" t="s">
        <v>68</v>
      </c>
      <c r="AV8226" t="s">
        <v>69</v>
      </c>
      <c r="AW8226" s="1">
        <v>29872</v>
      </c>
      <c r="AX8226">
        <v>1</v>
      </c>
    </row>
    <row r="8227" spans="1:50">
      <c r="B8227" t="str">
        <f>"125585496"</f>
        <v>125585496</v>
      </c>
      <c r="C8227" t="s">
        <v>50</v>
      </c>
      <c r="D8227" t="s">
        <v>12638</v>
      </c>
      <c r="E8227" t="s">
        <v>263</v>
      </c>
      <c r="F8227" t="s">
        <v>1328</v>
      </c>
      <c r="G8227" t="s">
        <v>52</v>
      </c>
      <c r="H8227" t="str">
        <f>" "</f>
        <v xml:space="preserve"> </v>
      </c>
      <c r="N8227" t="s">
        <v>1525</v>
      </c>
      <c r="O8227" t="s">
        <v>1526</v>
      </c>
      <c r="R8227" t="s">
        <v>121</v>
      </c>
      <c r="S8227">
        <v>2</v>
      </c>
      <c r="T8227" t="s">
        <v>8670</v>
      </c>
      <c r="U8227" s="1">
        <v>43348</v>
      </c>
      <c r="V8227" t="s">
        <v>5177</v>
      </c>
      <c r="W8227" t="s">
        <v>5178</v>
      </c>
      <c r="X8227" t="s">
        <v>58</v>
      </c>
      <c r="Y8227">
        <v>25</v>
      </c>
      <c r="Z8227" t="s">
        <v>59</v>
      </c>
      <c r="AA8227" t="s">
        <v>59</v>
      </c>
      <c r="AB8227" t="s">
        <v>59</v>
      </c>
      <c r="AD8227" t="s">
        <v>59</v>
      </c>
      <c r="AF8227" s="1">
        <v>43348</v>
      </c>
      <c r="AG8227" t="s">
        <v>8651</v>
      </c>
      <c r="AH8227" t="s">
        <v>8652</v>
      </c>
      <c r="AI8227" t="str">
        <f>"9320215"</f>
        <v>9320215</v>
      </c>
      <c r="AJ8227" t="s">
        <v>12083</v>
      </c>
      <c r="AK8227">
        <v>2841071393</v>
      </c>
      <c r="AL8227" t="s">
        <v>12084</v>
      </c>
      <c r="AM8227" t="s">
        <v>4513</v>
      </c>
      <c r="AN8227" t="s">
        <v>4514</v>
      </c>
      <c r="AO8227" t="s">
        <v>12085</v>
      </c>
      <c r="AP8227" t="s">
        <v>12085</v>
      </c>
      <c r="AQ8227">
        <v>2</v>
      </c>
      <c r="AR8227" t="s">
        <v>5177</v>
      </c>
      <c r="AS8227" t="s">
        <v>5178</v>
      </c>
      <c r="AT8227" t="s">
        <v>58</v>
      </c>
      <c r="AU8227" t="s">
        <v>8673</v>
      </c>
      <c r="AV8227" t="s">
        <v>132</v>
      </c>
      <c r="AW8227" s="1">
        <v>30683</v>
      </c>
      <c r="AX8227">
        <v>1</v>
      </c>
    </row>
    <row r="8228" spans="1:50">
      <c r="A8228">
        <v>602603</v>
      </c>
      <c r="B8228" t="str">
        <f>"301951151"</f>
        <v>301951151</v>
      </c>
      <c r="C8228" t="s">
        <v>50</v>
      </c>
      <c r="D8228" t="s">
        <v>113</v>
      </c>
      <c r="E8228" t="s">
        <v>396</v>
      </c>
      <c r="F8228" t="s">
        <v>95</v>
      </c>
      <c r="G8228" t="s">
        <v>250</v>
      </c>
      <c r="H8228" t="str">
        <f>"ΣΕΙΣΙ ΛΑΣΙΘΙΟΥ ΣΕΙΣΙ ΛΑΣΙΘΙΟΥ"</f>
        <v>ΣΕΙΣΙ ΛΑΣΙΘΙΟΥ ΣΕΙΣΙ ΛΑΣΙΘΙΟΥ</v>
      </c>
      <c r="I8228">
        <v>72400</v>
      </c>
      <c r="J8228">
        <v>2841071404</v>
      </c>
      <c r="K8228">
        <v>6977201883</v>
      </c>
      <c r="N8228" t="s">
        <v>615</v>
      </c>
      <c r="O8228" t="s">
        <v>616</v>
      </c>
      <c r="R8228" t="s">
        <v>57</v>
      </c>
      <c r="S8228">
        <v>7</v>
      </c>
      <c r="T8228">
        <v>207</v>
      </c>
      <c r="U8228" s="1">
        <v>37866</v>
      </c>
      <c r="V8228" t="s">
        <v>5177</v>
      </c>
      <c r="W8228" t="s">
        <v>5178</v>
      </c>
      <c r="X8228" t="s">
        <v>58</v>
      </c>
      <c r="Y8228">
        <v>22</v>
      </c>
      <c r="Z8228" t="s">
        <v>59</v>
      </c>
      <c r="AA8228" t="s">
        <v>59</v>
      </c>
      <c r="AB8228" t="s">
        <v>59</v>
      </c>
      <c r="AC8228" t="s">
        <v>59</v>
      </c>
      <c r="AD8228" t="s">
        <v>59</v>
      </c>
      <c r="AF8228" s="1">
        <v>37866</v>
      </c>
      <c r="AG8228" t="s">
        <v>8645</v>
      </c>
      <c r="AH8228" t="s">
        <v>8646</v>
      </c>
      <c r="AI8228" t="str">
        <f>"9320145"</f>
        <v>9320145</v>
      </c>
      <c r="AJ8228" t="s">
        <v>12171</v>
      </c>
      <c r="AK8228">
        <v>2841071309</v>
      </c>
      <c r="AL8228" t="s">
        <v>12172</v>
      </c>
      <c r="AM8228" t="s">
        <v>4513</v>
      </c>
      <c r="AN8228" t="s">
        <v>4514</v>
      </c>
      <c r="AO8228" t="s">
        <v>12085</v>
      </c>
      <c r="AP8228" t="s">
        <v>12085</v>
      </c>
      <c r="AQ8228">
        <v>2</v>
      </c>
      <c r="AR8228" t="s">
        <v>5177</v>
      </c>
      <c r="AS8228" t="s">
        <v>5178</v>
      </c>
      <c r="AT8228" t="s">
        <v>58</v>
      </c>
      <c r="AU8228" t="s">
        <v>68</v>
      </c>
      <c r="AV8228" t="s">
        <v>69</v>
      </c>
      <c r="AW8228" s="1">
        <v>29479</v>
      </c>
      <c r="AX8228">
        <v>1</v>
      </c>
    </row>
    <row r="8229" spans="1:50">
      <c r="A8229">
        <v>581175</v>
      </c>
      <c r="B8229" t="str">
        <f>"037701727"</f>
        <v>037701727</v>
      </c>
      <c r="C8229" t="s">
        <v>105</v>
      </c>
      <c r="D8229" t="s">
        <v>4410</v>
      </c>
      <c r="E8229" t="s">
        <v>166</v>
      </c>
      <c r="F8229" t="s">
        <v>949</v>
      </c>
      <c r="G8229" t="s">
        <v>396</v>
      </c>
      <c r="H8229" t="str">
        <f>"ΕΛΛΗΣ ΑΛΕΞΙΟΥ 16 ΜΑΛΙΑ"</f>
        <v>ΕΛΛΗΣ ΑΛΕΞΙΟΥ 16 ΜΑΛΙΑ</v>
      </c>
      <c r="I8229">
        <v>70007</v>
      </c>
      <c r="J8229">
        <v>2897029589</v>
      </c>
      <c r="K8229">
        <v>6974259806</v>
      </c>
      <c r="N8229" t="s">
        <v>615</v>
      </c>
      <c r="O8229" t="s">
        <v>616</v>
      </c>
      <c r="R8229" t="s">
        <v>57</v>
      </c>
      <c r="S8229">
        <v>13</v>
      </c>
      <c r="T8229">
        <v>179</v>
      </c>
      <c r="U8229" s="1">
        <v>35674</v>
      </c>
      <c r="V8229" t="s">
        <v>5177</v>
      </c>
      <c r="W8229" t="s">
        <v>5178</v>
      </c>
      <c r="X8229" t="s">
        <v>58</v>
      </c>
      <c r="Y8229">
        <v>21</v>
      </c>
      <c r="Z8229" t="s">
        <v>59</v>
      </c>
      <c r="AA8229" t="s">
        <v>59</v>
      </c>
      <c r="AB8229" t="s">
        <v>59</v>
      </c>
      <c r="AC8229" t="s">
        <v>59</v>
      </c>
      <c r="AD8229" t="s">
        <v>59</v>
      </c>
      <c r="AF8229" s="1">
        <v>35676</v>
      </c>
      <c r="AG8229" t="s">
        <v>8645</v>
      </c>
      <c r="AH8229" t="s">
        <v>8646</v>
      </c>
      <c r="AI8229" t="str">
        <f>"9320042"</f>
        <v>9320042</v>
      </c>
      <c r="AJ8229" t="s">
        <v>11942</v>
      </c>
      <c r="AK8229">
        <v>2844031250</v>
      </c>
      <c r="AL8229" t="s">
        <v>11943</v>
      </c>
      <c r="AM8229" t="s">
        <v>4513</v>
      </c>
      <c r="AN8229" t="s">
        <v>4592</v>
      </c>
      <c r="AO8229" t="s">
        <v>4592</v>
      </c>
      <c r="AP8229" t="s">
        <v>11944</v>
      </c>
      <c r="AQ8229">
        <v>3</v>
      </c>
      <c r="AR8229" t="s">
        <v>5177</v>
      </c>
      <c r="AS8229" t="s">
        <v>5178</v>
      </c>
      <c r="AT8229" t="s">
        <v>58</v>
      </c>
      <c r="AU8229" t="s">
        <v>68</v>
      </c>
      <c r="AV8229" t="s">
        <v>2039</v>
      </c>
      <c r="AW8229" s="1">
        <v>21228</v>
      </c>
      <c r="AX8229">
        <v>1</v>
      </c>
    </row>
    <row r="8230" spans="1:50">
      <c r="B8230" t="str">
        <f>"143694254"</f>
        <v>143694254</v>
      </c>
      <c r="C8230" t="s">
        <v>50</v>
      </c>
      <c r="D8230" t="s">
        <v>12639</v>
      </c>
      <c r="E8230" t="s">
        <v>1562</v>
      </c>
      <c r="F8230" t="s">
        <v>108</v>
      </c>
      <c r="G8230" t="s">
        <v>52</v>
      </c>
      <c r="H8230" t="str">
        <f>"ΕΞΩ ΜΟΥΛΙΑΝΑ ΣΗΤΕΙΑΣ ΣΗΤΕΙΑ"</f>
        <v>ΕΞΩ ΜΟΥΛΙΑΝΑ ΣΗΤΕΙΑΣ ΣΗΤΕΙΑ</v>
      </c>
      <c r="I8230">
        <v>72300</v>
      </c>
      <c r="J8230">
        <v>2843095355</v>
      </c>
      <c r="K8230">
        <v>6976988610</v>
      </c>
      <c r="N8230" t="s">
        <v>615</v>
      </c>
      <c r="O8230" t="s">
        <v>616</v>
      </c>
      <c r="R8230" t="s">
        <v>159</v>
      </c>
      <c r="S8230">
        <v>4</v>
      </c>
      <c r="T8230" t="s">
        <v>8675</v>
      </c>
      <c r="U8230" s="1">
        <v>43348</v>
      </c>
      <c r="V8230" t="s">
        <v>5177</v>
      </c>
      <c r="W8230" t="s">
        <v>5178</v>
      </c>
      <c r="X8230" t="s">
        <v>58</v>
      </c>
      <c r="Y8230">
        <v>24</v>
      </c>
      <c r="Z8230" t="s">
        <v>59</v>
      </c>
      <c r="AA8230" t="s">
        <v>59</v>
      </c>
      <c r="AB8230" t="s">
        <v>59</v>
      </c>
      <c r="AC8230" t="s">
        <v>59</v>
      </c>
      <c r="AD8230" t="s">
        <v>59</v>
      </c>
      <c r="AF8230" s="1">
        <v>43348</v>
      </c>
      <c r="AG8230" t="s">
        <v>8645</v>
      </c>
      <c r="AH8230" t="s">
        <v>8646</v>
      </c>
      <c r="AI8230" t="str">
        <f>"9320090"</f>
        <v>9320090</v>
      </c>
      <c r="AJ8230" t="s">
        <v>11926</v>
      </c>
      <c r="AK8230">
        <v>2843022385</v>
      </c>
      <c r="AL8230" t="s">
        <v>11927</v>
      </c>
      <c r="AM8230" t="s">
        <v>4513</v>
      </c>
      <c r="AN8230" t="s">
        <v>4540</v>
      </c>
      <c r="AO8230" t="s">
        <v>4540</v>
      </c>
      <c r="AP8230" t="s">
        <v>4540</v>
      </c>
      <c r="AQ8230">
        <v>8</v>
      </c>
      <c r="AR8230" t="s">
        <v>5177</v>
      </c>
      <c r="AS8230" t="s">
        <v>5178</v>
      </c>
      <c r="AT8230" t="s">
        <v>58</v>
      </c>
      <c r="AU8230" t="s">
        <v>8673</v>
      </c>
      <c r="AV8230" t="s">
        <v>132</v>
      </c>
      <c r="AW8230" s="1">
        <v>32536</v>
      </c>
      <c r="AX8230">
        <v>1</v>
      </c>
    </row>
    <row r="8231" spans="1:50">
      <c r="A8231">
        <v>601830</v>
      </c>
      <c r="B8231" t="str">
        <f>"110329180"</f>
        <v>110329180</v>
      </c>
      <c r="C8231" t="s">
        <v>50</v>
      </c>
      <c r="D8231" t="s">
        <v>4463</v>
      </c>
      <c r="E8231" t="s">
        <v>103</v>
      </c>
      <c r="F8231" t="s">
        <v>95</v>
      </c>
      <c r="G8231" t="s">
        <v>5062</v>
      </c>
      <c r="H8231" t="str">
        <f>"ΕΠΙΜΕΝΙΔΟΥ 15 ΑΓΙΟΣ ΝΙΚΟΛΑΟΣ"</f>
        <v>ΕΠΙΜΕΝΙΔΟΥ 15 ΑΓΙΟΣ ΝΙΚΟΛΑΟΣ</v>
      </c>
      <c r="I8231">
        <v>72100</v>
      </c>
      <c r="J8231">
        <v>2841023206</v>
      </c>
      <c r="K8231">
        <v>6972297621</v>
      </c>
      <c r="L8231">
        <v>2841024871</v>
      </c>
      <c r="N8231" t="s">
        <v>615</v>
      </c>
      <c r="O8231" t="s">
        <v>616</v>
      </c>
      <c r="R8231" t="s">
        <v>57</v>
      </c>
      <c r="S8231">
        <v>7</v>
      </c>
      <c r="T8231" t="s">
        <v>12640</v>
      </c>
      <c r="U8231" s="1">
        <v>37866</v>
      </c>
      <c r="V8231" t="s">
        <v>5177</v>
      </c>
      <c r="W8231" t="s">
        <v>5178</v>
      </c>
      <c r="X8231" t="s">
        <v>58</v>
      </c>
      <c r="Y8231">
        <v>22</v>
      </c>
      <c r="Z8231" t="s">
        <v>59</v>
      </c>
      <c r="AA8231" t="s">
        <v>59</v>
      </c>
      <c r="AB8231" t="s">
        <v>59</v>
      </c>
      <c r="AC8231" t="s">
        <v>59</v>
      </c>
      <c r="AD8231" t="s">
        <v>59</v>
      </c>
      <c r="AF8231" s="1">
        <v>37866</v>
      </c>
      <c r="AG8231" t="s">
        <v>8645</v>
      </c>
      <c r="AH8231" t="s">
        <v>8646</v>
      </c>
      <c r="AI8231" t="str">
        <f>"9320138"</f>
        <v>9320138</v>
      </c>
      <c r="AJ8231" t="s">
        <v>11915</v>
      </c>
      <c r="AK8231">
        <v>2841022104</v>
      </c>
      <c r="AL8231" t="s">
        <v>11916</v>
      </c>
      <c r="AM8231" t="s">
        <v>4513</v>
      </c>
      <c r="AN8231" t="s">
        <v>4514</v>
      </c>
      <c r="AO8231" t="s">
        <v>4514</v>
      </c>
      <c r="AP8231" t="s">
        <v>4514</v>
      </c>
      <c r="AQ8231">
        <v>1</v>
      </c>
      <c r="AR8231" t="s">
        <v>5177</v>
      </c>
      <c r="AS8231" t="s">
        <v>5178</v>
      </c>
      <c r="AT8231" t="s">
        <v>58</v>
      </c>
      <c r="AU8231" t="s">
        <v>68</v>
      </c>
      <c r="AV8231" t="s">
        <v>69</v>
      </c>
      <c r="AW8231" s="1">
        <v>28466</v>
      </c>
      <c r="AX8231">
        <v>1</v>
      </c>
    </row>
    <row r="8232" spans="1:50">
      <c r="B8232" t="str">
        <f>"150617029"</f>
        <v>150617029</v>
      </c>
      <c r="C8232" t="s">
        <v>50</v>
      </c>
      <c r="D8232" t="s">
        <v>11857</v>
      </c>
      <c r="E8232" t="s">
        <v>12641</v>
      </c>
      <c r="F8232" t="s">
        <v>99</v>
      </c>
      <c r="H8232" t="str">
        <f>" "</f>
        <v xml:space="preserve"> </v>
      </c>
      <c r="N8232" t="s">
        <v>8694</v>
      </c>
      <c r="O8232" t="s">
        <v>8695</v>
      </c>
      <c r="R8232" t="s">
        <v>159</v>
      </c>
      <c r="S8232">
        <v>4</v>
      </c>
      <c r="T8232" t="s">
        <v>8835</v>
      </c>
      <c r="U8232" s="1">
        <v>43348</v>
      </c>
      <c r="V8232" t="s">
        <v>5177</v>
      </c>
      <c r="W8232" t="s">
        <v>5178</v>
      </c>
      <c r="X8232" t="s">
        <v>58</v>
      </c>
      <c r="Y8232">
        <v>24</v>
      </c>
      <c r="Z8232" t="s">
        <v>59</v>
      </c>
      <c r="AA8232" t="s">
        <v>59</v>
      </c>
      <c r="AB8232" t="s">
        <v>59</v>
      </c>
      <c r="AC8232" t="s">
        <v>59</v>
      </c>
      <c r="AD8232" t="s">
        <v>59</v>
      </c>
      <c r="AF8232" s="1">
        <v>43348</v>
      </c>
      <c r="AG8232" t="s">
        <v>8645</v>
      </c>
      <c r="AH8232" t="s">
        <v>8646</v>
      </c>
      <c r="AI8232" t="str">
        <f>"9521420"</f>
        <v>9521420</v>
      </c>
      <c r="AJ8232" t="s">
        <v>11947</v>
      </c>
      <c r="AK8232">
        <v>2841021022</v>
      </c>
      <c r="AL8232" t="s">
        <v>11948</v>
      </c>
      <c r="AM8232" t="s">
        <v>4513</v>
      </c>
      <c r="AN8232" t="s">
        <v>4514</v>
      </c>
      <c r="AO8232" t="s">
        <v>4514</v>
      </c>
      <c r="AP8232" t="s">
        <v>4514</v>
      </c>
      <c r="AQ8232">
        <v>1</v>
      </c>
      <c r="AR8232" t="s">
        <v>5177</v>
      </c>
      <c r="AS8232" t="s">
        <v>5178</v>
      </c>
      <c r="AT8232" t="s">
        <v>58</v>
      </c>
      <c r="AU8232" t="s">
        <v>131</v>
      </c>
      <c r="AV8232" t="s">
        <v>132</v>
      </c>
      <c r="AW8232" s="1">
        <v>33038</v>
      </c>
      <c r="AX8232">
        <v>1</v>
      </c>
    </row>
    <row r="8233" spans="1:50">
      <c r="A8233">
        <v>558882</v>
      </c>
      <c r="B8233" t="str">
        <f>"031030560"</f>
        <v>031030560</v>
      </c>
      <c r="C8233" t="s">
        <v>50</v>
      </c>
      <c r="D8233" t="s">
        <v>4474</v>
      </c>
      <c r="E8233" t="s">
        <v>237</v>
      </c>
      <c r="F8233" t="s">
        <v>95</v>
      </c>
      <c r="G8233" t="s">
        <v>5639</v>
      </c>
      <c r="H8233" t="str">
        <f>"ΘΕΡΙΣΟΥ 17 Α ΣΗΤΕΙΑ ΛΑΣΙΘΙΟΥ"</f>
        <v>ΘΕΡΙΣΟΥ 17 Α ΣΗΤΕΙΑ ΛΑΣΙΘΙΟΥ</v>
      </c>
      <c r="I8233">
        <v>72300</v>
      </c>
      <c r="J8233">
        <v>2843025040</v>
      </c>
      <c r="K8233">
        <v>6981852402</v>
      </c>
      <c r="N8233" t="s">
        <v>615</v>
      </c>
      <c r="O8233" t="s">
        <v>616</v>
      </c>
      <c r="R8233" t="s">
        <v>57</v>
      </c>
      <c r="S8233">
        <v>16</v>
      </c>
      <c r="T8233">
        <v>168</v>
      </c>
      <c r="U8233" s="1">
        <v>32010</v>
      </c>
      <c r="V8233" t="s">
        <v>5177</v>
      </c>
      <c r="W8233" t="s">
        <v>5178</v>
      </c>
      <c r="X8233" t="s">
        <v>58</v>
      </c>
      <c r="Y8233">
        <v>21</v>
      </c>
      <c r="Z8233" t="s">
        <v>59</v>
      </c>
      <c r="AA8233" t="s">
        <v>59</v>
      </c>
      <c r="AB8233" t="s">
        <v>59</v>
      </c>
      <c r="AC8233" t="s">
        <v>59</v>
      </c>
      <c r="AD8233" t="s">
        <v>59</v>
      </c>
      <c r="AF8233" s="1">
        <v>32021</v>
      </c>
      <c r="AG8233" t="s">
        <v>8645</v>
      </c>
      <c r="AH8233" t="s">
        <v>8646</v>
      </c>
      <c r="AI8233" t="str">
        <f>"9320093"</f>
        <v>9320093</v>
      </c>
      <c r="AJ8233" t="s">
        <v>11967</v>
      </c>
      <c r="AK8233">
        <v>2843025130</v>
      </c>
      <c r="AL8233" t="s">
        <v>11968</v>
      </c>
      <c r="AM8233" t="s">
        <v>4513</v>
      </c>
      <c r="AN8233" t="s">
        <v>4540</v>
      </c>
      <c r="AO8233" t="s">
        <v>4540</v>
      </c>
      <c r="AP8233" t="s">
        <v>4540</v>
      </c>
      <c r="AQ8233">
        <v>8</v>
      </c>
      <c r="AR8233" t="s">
        <v>5177</v>
      </c>
      <c r="AS8233" t="s">
        <v>5178</v>
      </c>
      <c r="AT8233" t="s">
        <v>58</v>
      </c>
      <c r="AU8233" t="s">
        <v>68</v>
      </c>
      <c r="AV8233" t="s">
        <v>69</v>
      </c>
      <c r="AW8233" s="1">
        <v>22353</v>
      </c>
      <c r="AX8233">
        <v>1</v>
      </c>
    </row>
    <row r="8234" spans="1:50">
      <c r="A8234">
        <v>612845</v>
      </c>
      <c r="B8234" t="str">
        <f>"110399967"</f>
        <v>110399967</v>
      </c>
      <c r="C8234" t="s">
        <v>50</v>
      </c>
      <c r="D8234" t="s">
        <v>4474</v>
      </c>
      <c r="E8234" t="s">
        <v>263</v>
      </c>
      <c r="F8234" t="s">
        <v>53</v>
      </c>
      <c r="G8234" t="s">
        <v>109</v>
      </c>
      <c r="H8234" t="str">
        <f>"ΑΣΠΡΑΔΑΚΗ 3Α ΣΗΤΕΙΑ"</f>
        <v>ΑΣΠΡΑΔΑΚΗ 3Α ΣΗΤΕΙΑ</v>
      </c>
      <c r="I8234">
        <v>72300</v>
      </c>
      <c r="J8234">
        <v>2843110623</v>
      </c>
      <c r="K8234">
        <v>6978449298</v>
      </c>
      <c r="N8234" t="s">
        <v>306</v>
      </c>
      <c r="O8234" t="s">
        <v>307</v>
      </c>
      <c r="R8234" t="s">
        <v>57</v>
      </c>
      <c r="S8234">
        <v>6</v>
      </c>
      <c r="T8234">
        <v>298</v>
      </c>
      <c r="U8234" s="1">
        <v>38985</v>
      </c>
      <c r="V8234" t="s">
        <v>5177</v>
      </c>
      <c r="W8234" t="s">
        <v>5178</v>
      </c>
      <c r="X8234" t="s">
        <v>58</v>
      </c>
      <c r="Y8234">
        <v>23</v>
      </c>
      <c r="Z8234" t="s">
        <v>59</v>
      </c>
      <c r="AA8234" t="s">
        <v>59</v>
      </c>
      <c r="AB8234" t="s">
        <v>59</v>
      </c>
      <c r="AC8234" t="s">
        <v>59</v>
      </c>
      <c r="AD8234" t="s">
        <v>59</v>
      </c>
      <c r="AF8234" s="1">
        <v>38985</v>
      </c>
      <c r="AG8234" t="s">
        <v>8645</v>
      </c>
      <c r="AH8234" t="s">
        <v>8646</v>
      </c>
      <c r="AI8234" t="str">
        <f>"9320093"</f>
        <v>9320093</v>
      </c>
      <c r="AJ8234" t="s">
        <v>11967</v>
      </c>
      <c r="AK8234">
        <v>2843025130</v>
      </c>
      <c r="AL8234" t="s">
        <v>11968</v>
      </c>
      <c r="AM8234" t="s">
        <v>4513</v>
      </c>
      <c r="AN8234" t="s">
        <v>4540</v>
      </c>
      <c r="AO8234" t="s">
        <v>4540</v>
      </c>
      <c r="AP8234" t="s">
        <v>4540</v>
      </c>
      <c r="AQ8234">
        <v>8</v>
      </c>
      <c r="AR8234" t="s">
        <v>5177</v>
      </c>
      <c r="AS8234" t="s">
        <v>5178</v>
      </c>
      <c r="AT8234" t="s">
        <v>58</v>
      </c>
      <c r="AU8234" t="s">
        <v>68</v>
      </c>
      <c r="AV8234" t="s">
        <v>69</v>
      </c>
      <c r="AW8234" s="1">
        <v>29771</v>
      </c>
      <c r="AX8234">
        <v>1</v>
      </c>
    </row>
    <row r="8235" spans="1:50">
      <c r="B8235" t="str">
        <f>"049377834"</f>
        <v>049377834</v>
      </c>
      <c r="C8235" t="s">
        <v>50</v>
      </c>
      <c r="D8235" t="s">
        <v>4474</v>
      </c>
      <c r="E8235" t="s">
        <v>83</v>
      </c>
      <c r="F8235" t="s">
        <v>53</v>
      </c>
      <c r="G8235" t="s">
        <v>237</v>
      </c>
      <c r="H8235" t="str">
        <f>"ΛΕΘΙΩΤΑΚΗ 16 ΣΗΤΕΙΑ"</f>
        <v>ΛΕΘΙΩΤΑΚΗ 16 ΣΗΤΕΙΑ</v>
      </c>
      <c r="I8235">
        <v>72300</v>
      </c>
      <c r="J8235">
        <v>2843023789</v>
      </c>
      <c r="K8235">
        <v>6976868492</v>
      </c>
      <c r="N8235" t="s">
        <v>8694</v>
      </c>
      <c r="O8235" t="s">
        <v>8695</v>
      </c>
      <c r="R8235" t="s">
        <v>57</v>
      </c>
      <c r="S8235">
        <v>6</v>
      </c>
      <c r="T8235" t="s">
        <v>8696</v>
      </c>
      <c r="U8235" s="1">
        <v>43348</v>
      </c>
      <c r="V8235" t="s">
        <v>5177</v>
      </c>
      <c r="W8235" t="s">
        <v>5178</v>
      </c>
      <c r="X8235" t="s">
        <v>58</v>
      </c>
      <c r="Y8235">
        <v>23</v>
      </c>
      <c r="Z8235" t="s">
        <v>59</v>
      </c>
      <c r="AA8235" t="s">
        <v>59</v>
      </c>
      <c r="AB8235" t="s">
        <v>59</v>
      </c>
      <c r="AC8235" t="s">
        <v>59</v>
      </c>
      <c r="AD8235" t="s">
        <v>59</v>
      </c>
      <c r="AF8235" s="1">
        <v>43348</v>
      </c>
      <c r="AG8235" t="s">
        <v>8645</v>
      </c>
      <c r="AH8235" t="s">
        <v>8646</v>
      </c>
      <c r="AI8235" t="str">
        <f>"9320205"</f>
        <v>9320205</v>
      </c>
      <c r="AJ8235" t="s">
        <v>11902</v>
      </c>
      <c r="AK8235">
        <v>2843024509</v>
      </c>
      <c r="AL8235" t="s">
        <v>11903</v>
      </c>
      <c r="AM8235" t="s">
        <v>4513</v>
      </c>
      <c r="AN8235" t="s">
        <v>4540</v>
      </c>
      <c r="AO8235" t="s">
        <v>4540</v>
      </c>
      <c r="AP8235" t="s">
        <v>4540</v>
      </c>
      <c r="AQ8235">
        <v>8</v>
      </c>
      <c r="AR8235" t="s">
        <v>5177</v>
      </c>
      <c r="AS8235" t="s">
        <v>5178</v>
      </c>
      <c r="AT8235" t="s">
        <v>58</v>
      </c>
      <c r="AU8235" t="s">
        <v>350</v>
      </c>
      <c r="AV8235" t="s">
        <v>132</v>
      </c>
      <c r="AW8235" s="1">
        <v>28934</v>
      </c>
      <c r="AX8235">
        <v>1</v>
      </c>
    </row>
    <row r="8236" spans="1:50">
      <c r="A8236">
        <v>610898</v>
      </c>
      <c r="B8236" t="str">
        <f>"110353812"</f>
        <v>110353812</v>
      </c>
      <c r="C8236" t="s">
        <v>50</v>
      </c>
      <c r="D8236" t="s">
        <v>4474</v>
      </c>
      <c r="E8236" t="s">
        <v>255</v>
      </c>
      <c r="F8236" t="s">
        <v>564</v>
      </c>
      <c r="G8236" t="s">
        <v>1108</v>
      </c>
      <c r="H8236" t="str">
        <f>"ΣΤΑΥΡΟΥ ΑΣΠΡΑΔΑΚΗ 22 ΣΗΤΕΙΑ"</f>
        <v>ΣΤΑΥΡΟΥ ΑΣΠΡΑΔΑΚΗ 22 ΣΗΤΕΙΑ</v>
      </c>
      <c r="I8236">
        <v>72300</v>
      </c>
      <c r="K8236">
        <v>6943229699</v>
      </c>
      <c r="M8236" t="s">
        <v>12642</v>
      </c>
      <c r="N8236" t="s">
        <v>615</v>
      </c>
      <c r="O8236" t="s">
        <v>616</v>
      </c>
      <c r="R8236" t="s">
        <v>57</v>
      </c>
      <c r="S8236">
        <v>6</v>
      </c>
      <c r="T8236">
        <v>233</v>
      </c>
      <c r="U8236" s="1">
        <v>38960</v>
      </c>
      <c r="V8236" t="s">
        <v>5177</v>
      </c>
      <c r="W8236" t="s">
        <v>5178</v>
      </c>
      <c r="X8236" t="s">
        <v>58</v>
      </c>
      <c r="Y8236">
        <v>23</v>
      </c>
      <c r="Z8236" t="s">
        <v>59</v>
      </c>
      <c r="AA8236" t="s">
        <v>59</v>
      </c>
      <c r="AB8236" t="s">
        <v>59</v>
      </c>
      <c r="AC8236" t="s">
        <v>59</v>
      </c>
      <c r="AD8236" t="s">
        <v>59</v>
      </c>
      <c r="AF8236" s="1">
        <v>38961</v>
      </c>
      <c r="AG8236" t="s">
        <v>8645</v>
      </c>
      <c r="AH8236" t="s">
        <v>8646</v>
      </c>
      <c r="AI8236" t="str">
        <f>"9320090"</f>
        <v>9320090</v>
      </c>
      <c r="AJ8236" t="s">
        <v>11926</v>
      </c>
      <c r="AK8236">
        <v>2843022385</v>
      </c>
      <c r="AL8236" t="s">
        <v>11927</v>
      </c>
      <c r="AM8236" t="s">
        <v>4513</v>
      </c>
      <c r="AN8236" t="s">
        <v>4540</v>
      </c>
      <c r="AO8236" t="s">
        <v>4540</v>
      </c>
      <c r="AP8236" t="s">
        <v>4540</v>
      </c>
      <c r="AQ8236">
        <v>8</v>
      </c>
      <c r="AR8236" t="s">
        <v>5177</v>
      </c>
      <c r="AS8236" t="s">
        <v>5178</v>
      </c>
      <c r="AT8236" t="s">
        <v>58</v>
      </c>
      <c r="AU8236" t="s">
        <v>68</v>
      </c>
      <c r="AV8236" t="s">
        <v>69</v>
      </c>
      <c r="AW8236" s="1">
        <v>29722</v>
      </c>
      <c r="AX8236">
        <v>1</v>
      </c>
    </row>
    <row r="8237" spans="1:50">
      <c r="A8237">
        <v>582071</v>
      </c>
      <c r="B8237" t="str">
        <f>"049673451"</f>
        <v>049673451</v>
      </c>
      <c r="C8237" t="s">
        <v>50</v>
      </c>
      <c r="D8237" t="s">
        <v>4474</v>
      </c>
      <c r="E8237" t="s">
        <v>109</v>
      </c>
      <c r="F8237" t="s">
        <v>95</v>
      </c>
      <c r="G8237" t="s">
        <v>250</v>
      </c>
      <c r="H8237" t="str">
        <f>"ΠΡΑΙΣΣΟΥ 52 ΣΗΤΕΙΑ"</f>
        <v>ΠΡΑΙΣΣΟΥ 52 ΣΗΤΕΙΑ</v>
      </c>
      <c r="I8237">
        <v>72300</v>
      </c>
      <c r="J8237">
        <v>2843025189</v>
      </c>
      <c r="K8237">
        <v>6973796714</v>
      </c>
      <c r="N8237" t="s">
        <v>615</v>
      </c>
      <c r="O8237" t="s">
        <v>616</v>
      </c>
      <c r="R8237" t="s">
        <v>57</v>
      </c>
      <c r="S8237">
        <v>12</v>
      </c>
      <c r="T8237">
        <v>179</v>
      </c>
      <c r="U8237" s="1">
        <v>35674</v>
      </c>
      <c r="V8237" t="s">
        <v>5177</v>
      </c>
      <c r="W8237" t="s">
        <v>5178</v>
      </c>
      <c r="X8237" t="s">
        <v>58</v>
      </c>
      <c r="Y8237">
        <v>21</v>
      </c>
      <c r="Z8237" t="s">
        <v>59</v>
      </c>
      <c r="AA8237" t="s">
        <v>59</v>
      </c>
      <c r="AB8237" t="s">
        <v>59</v>
      </c>
      <c r="AC8237" t="s">
        <v>59</v>
      </c>
      <c r="AD8237" t="s">
        <v>59</v>
      </c>
      <c r="AF8237" s="1">
        <v>35678</v>
      </c>
      <c r="AG8237" t="s">
        <v>8645</v>
      </c>
      <c r="AH8237" t="s">
        <v>8646</v>
      </c>
      <c r="AI8237" t="str">
        <f>"9320093"</f>
        <v>9320093</v>
      </c>
      <c r="AJ8237" t="s">
        <v>11967</v>
      </c>
      <c r="AK8237">
        <v>2843025130</v>
      </c>
      <c r="AL8237" t="s">
        <v>11968</v>
      </c>
      <c r="AM8237" t="s">
        <v>4513</v>
      </c>
      <c r="AN8237" t="s">
        <v>4540</v>
      </c>
      <c r="AO8237" t="s">
        <v>4540</v>
      </c>
      <c r="AP8237" t="s">
        <v>4540</v>
      </c>
      <c r="AQ8237">
        <v>8</v>
      </c>
      <c r="AR8237" t="s">
        <v>5177</v>
      </c>
      <c r="AS8237" t="s">
        <v>5178</v>
      </c>
      <c r="AT8237" t="s">
        <v>58</v>
      </c>
      <c r="AU8237" t="s">
        <v>68</v>
      </c>
      <c r="AV8237" t="s">
        <v>69</v>
      </c>
      <c r="AW8237" s="1">
        <v>22623</v>
      </c>
      <c r="AX8237">
        <v>1</v>
      </c>
    </row>
    <row r="8238" spans="1:50">
      <c r="B8238" t="str">
        <f>"047436529"</f>
        <v>047436529</v>
      </c>
      <c r="C8238" t="s">
        <v>105</v>
      </c>
      <c r="D8238" t="s">
        <v>12643</v>
      </c>
      <c r="E8238" t="s">
        <v>95</v>
      </c>
      <c r="F8238" t="s">
        <v>450</v>
      </c>
      <c r="G8238" t="s">
        <v>4515</v>
      </c>
      <c r="H8238" t="str">
        <f>"ΚΥΠΡΟΥ 40 ΒΟΛΟΣ"</f>
        <v>ΚΥΠΡΟΥ 40 ΒΟΛΟΣ</v>
      </c>
      <c r="I8238">
        <v>38221</v>
      </c>
      <c r="J8238">
        <v>2421072732</v>
      </c>
      <c r="K8238">
        <v>6946440230</v>
      </c>
      <c r="M8238" t="s">
        <v>12644</v>
      </c>
      <c r="N8238" t="s">
        <v>204</v>
      </c>
      <c r="O8238" t="s">
        <v>205</v>
      </c>
      <c r="R8238" t="s">
        <v>159</v>
      </c>
      <c r="S8238">
        <v>4</v>
      </c>
      <c r="T8238" t="s">
        <v>8675</v>
      </c>
      <c r="U8238" s="1">
        <v>43348</v>
      </c>
      <c r="V8238" t="s">
        <v>5177</v>
      </c>
      <c r="W8238" t="s">
        <v>5178</v>
      </c>
      <c r="X8238" t="s">
        <v>58</v>
      </c>
      <c r="Y8238">
        <v>24</v>
      </c>
      <c r="Z8238" t="s">
        <v>59</v>
      </c>
      <c r="AA8238" t="s">
        <v>59</v>
      </c>
      <c r="AB8238" t="s">
        <v>59</v>
      </c>
      <c r="AC8238" t="s">
        <v>59</v>
      </c>
      <c r="AD8238" t="s">
        <v>59</v>
      </c>
      <c r="AF8238" s="1">
        <v>43348</v>
      </c>
      <c r="AG8238" t="s">
        <v>8645</v>
      </c>
      <c r="AH8238" t="s">
        <v>8646</v>
      </c>
      <c r="AI8238" t="str">
        <f>"9320005"</f>
        <v>9320005</v>
      </c>
      <c r="AJ8238" t="s">
        <v>12004</v>
      </c>
      <c r="AK8238">
        <v>2842022202</v>
      </c>
      <c r="AL8238" t="s">
        <v>12005</v>
      </c>
      <c r="AM8238" t="s">
        <v>4513</v>
      </c>
      <c r="AN8238" t="s">
        <v>4519</v>
      </c>
      <c r="AO8238" t="s">
        <v>4519</v>
      </c>
      <c r="AP8238" t="s">
        <v>4519</v>
      </c>
      <c r="AQ8238">
        <v>4</v>
      </c>
      <c r="AR8238" t="s">
        <v>5177</v>
      </c>
      <c r="AS8238" t="s">
        <v>5178</v>
      </c>
      <c r="AT8238" t="s">
        <v>58</v>
      </c>
      <c r="AU8238" t="s">
        <v>8673</v>
      </c>
      <c r="AV8238" t="s">
        <v>132</v>
      </c>
      <c r="AW8238" s="1">
        <v>26025</v>
      </c>
      <c r="AX8238">
        <v>1</v>
      </c>
    </row>
    <row r="8239" spans="1:50">
      <c r="A8239">
        <v>549383</v>
      </c>
      <c r="B8239" t="str">
        <f>"027439713"</f>
        <v>027439713</v>
      </c>
      <c r="C8239" t="s">
        <v>105</v>
      </c>
      <c r="D8239" t="s">
        <v>4494</v>
      </c>
      <c r="E8239" t="s">
        <v>106</v>
      </c>
      <c r="F8239" t="s">
        <v>166</v>
      </c>
      <c r="G8239" t="s">
        <v>52</v>
      </c>
      <c r="H8239" t="str">
        <f>"ΑΓΙΑΣΜΕΝΟΣ  ΙΕΡΑΠΕΤΡΑΣ"</f>
        <v>ΑΓΙΑΣΜΕΝΟΣ  ΙΕΡΑΠΕΤΡΑΣ</v>
      </c>
      <c r="I8239">
        <v>72200</v>
      </c>
      <c r="J8239">
        <v>2842024976</v>
      </c>
      <c r="K8239">
        <v>6944181638</v>
      </c>
      <c r="M8239" t="s">
        <v>12645</v>
      </c>
      <c r="N8239" t="s">
        <v>615</v>
      </c>
      <c r="O8239" t="s">
        <v>616</v>
      </c>
      <c r="R8239" t="s">
        <v>57</v>
      </c>
      <c r="S8239">
        <v>17</v>
      </c>
      <c r="T8239">
        <v>281</v>
      </c>
      <c r="U8239" s="1">
        <v>30558</v>
      </c>
      <c r="V8239" t="s">
        <v>5177</v>
      </c>
      <c r="W8239" t="s">
        <v>5178</v>
      </c>
      <c r="X8239" t="s">
        <v>58</v>
      </c>
      <c r="Y8239">
        <v>21</v>
      </c>
      <c r="Z8239" t="s">
        <v>59</v>
      </c>
      <c r="AA8239" t="s">
        <v>59</v>
      </c>
      <c r="AB8239" t="s">
        <v>59</v>
      </c>
      <c r="AC8239" t="s">
        <v>59</v>
      </c>
      <c r="AD8239" t="s">
        <v>59</v>
      </c>
      <c r="AF8239" s="1">
        <v>30564</v>
      </c>
      <c r="AG8239" t="s">
        <v>8645</v>
      </c>
      <c r="AH8239" t="s">
        <v>8646</v>
      </c>
      <c r="AI8239" t="str">
        <f>"9320021"</f>
        <v>9320021</v>
      </c>
      <c r="AJ8239" t="s">
        <v>11956</v>
      </c>
      <c r="AK8239">
        <v>2842022557</v>
      </c>
      <c r="AL8239" t="s">
        <v>11957</v>
      </c>
      <c r="AM8239" t="s">
        <v>4513</v>
      </c>
      <c r="AN8239" t="s">
        <v>4519</v>
      </c>
      <c r="AO8239" t="s">
        <v>4519</v>
      </c>
      <c r="AP8239" t="s">
        <v>4519</v>
      </c>
      <c r="AQ8239">
        <v>5</v>
      </c>
      <c r="AR8239" t="s">
        <v>5177</v>
      </c>
      <c r="AS8239" t="s">
        <v>5178</v>
      </c>
      <c r="AT8239" t="s">
        <v>58</v>
      </c>
      <c r="AU8239" t="s">
        <v>68</v>
      </c>
      <c r="AV8239" t="s">
        <v>69</v>
      </c>
      <c r="AW8239" s="1">
        <v>21986</v>
      </c>
      <c r="AX8239">
        <v>1</v>
      </c>
    </row>
    <row r="8240" spans="1:50">
      <c r="A8240">
        <v>557727</v>
      </c>
      <c r="B8240" t="str">
        <f>"027442940"</f>
        <v>027442940</v>
      </c>
      <c r="C8240" t="s">
        <v>50</v>
      </c>
      <c r="D8240" t="s">
        <v>4500</v>
      </c>
      <c r="E8240" t="s">
        <v>71</v>
      </c>
      <c r="F8240" t="s">
        <v>95</v>
      </c>
      <c r="G8240" t="s">
        <v>12646</v>
      </c>
      <c r="H8240" t="str">
        <f>"ΒΕΡΕΝΙΚΗΣ ΚΑΙ ΕΥΑΓΓΕΛΙΣΤΡΙΑΣ 1 ΑΓΙΟΣ ΝΙΚΟΛΑΟΣ"</f>
        <v>ΒΕΡΕΝΙΚΗΣ ΚΑΙ ΕΥΑΓΓΕΛΙΣΤΡΙΑΣ 1 ΑΓΙΟΣ ΝΙΚΟΛΑΟΣ</v>
      </c>
      <c r="I8240">
        <v>72100</v>
      </c>
      <c r="J8240">
        <v>2841025147</v>
      </c>
      <c r="K8240">
        <v>6973052335</v>
      </c>
      <c r="N8240" t="s">
        <v>615</v>
      </c>
      <c r="O8240" t="s">
        <v>616</v>
      </c>
      <c r="R8240" t="s">
        <v>57</v>
      </c>
      <c r="S8240">
        <v>16</v>
      </c>
      <c r="T8240">
        <v>168</v>
      </c>
      <c r="U8240" s="1">
        <v>32010</v>
      </c>
      <c r="V8240" t="s">
        <v>5177</v>
      </c>
      <c r="W8240" t="s">
        <v>5178</v>
      </c>
      <c r="X8240" t="s">
        <v>58</v>
      </c>
      <c r="Y8240">
        <v>21</v>
      </c>
      <c r="Z8240" t="s">
        <v>59</v>
      </c>
      <c r="AA8240" t="s">
        <v>59</v>
      </c>
      <c r="AB8240" t="s">
        <v>59</v>
      </c>
      <c r="AC8240" t="s">
        <v>59</v>
      </c>
      <c r="AD8240" t="s">
        <v>59</v>
      </c>
      <c r="AF8240" s="1">
        <v>32023</v>
      </c>
      <c r="AG8240" t="s">
        <v>8645</v>
      </c>
      <c r="AH8240" t="s">
        <v>8646</v>
      </c>
      <c r="AI8240" t="str">
        <f>"9320058"</f>
        <v>9320058</v>
      </c>
      <c r="AJ8240" t="s">
        <v>11893</v>
      </c>
      <c r="AK8240">
        <v>2841022496</v>
      </c>
      <c r="AL8240" t="s">
        <v>11894</v>
      </c>
      <c r="AM8240" t="s">
        <v>4513</v>
      </c>
      <c r="AN8240" t="s">
        <v>4514</v>
      </c>
      <c r="AO8240" t="s">
        <v>4514</v>
      </c>
      <c r="AP8240" t="s">
        <v>4514</v>
      </c>
      <c r="AQ8240">
        <v>1</v>
      </c>
      <c r="AR8240" t="s">
        <v>5177</v>
      </c>
      <c r="AS8240" t="s">
        <v>5178</v>
      </c>
      <c r="AT8240" t="s">
        <v>58</v>
      </c>
      <c r="AU8240" t="s">
        <v>68</v>
      </c>
      <c r="AV8240" t="s">
        <v>69</v>
      </c>
      <c r="AW8240" s="1">
        <v>21332</v>
      </c>
      <c r="AX8240">
        <v>1</v>
      </c>
    </row>
    <row r="8241" spans="1:50">
      <c r="A8241">
        <v>612586</v>
      </c>
      <c r="B8241" t="str">
        <f>"035319776"</f>
        <v>035319776</v>
      </c>
      <c r="C8241" t="s">
        <v>50</v>
      </c>
      <c r="D8241" t="s">
        <v>4500</v>
      </c>
      <c r="E8241" t="s">
        <v>52</v>
      </c>
      <c r="F8241" t="s">
        <v>99</v>
      </c>
      <c r="G8241" t="s">
        <v>83</v>
      </c>
      <c r="H8241" t="str">
        <f>"Μ.Ι. ΚΑΒΥΡΗ 85 ΑΛΕΞΑΝΔΡΟΥΠΟΛΗ"</f>
        <v>Μ.Ι. ΚΑΒΥΡΗ 85 ΑΛΕΞΑΝΔΡΟΥΠΟΛΗ</v>
      </c>
      <c r="I8241">
        <v>68100</v>
      </c>
      <c r="J8241">
        <v>2551082353</v>
      </c>
      <c r="K8241">
        <v>6945270830</v>
      </c>
      <c r="L8241">
        <v>69722163830</v>
      </c>
      <c r="N8241" t="s">
        <v>176</v>
      </c>
      <c r="O8241" t="s">
        <v>177</v>
      </c>
      <c r="R8241" t="s">
        <v>57</v>
      </c>
      <c r="S8241">
        <v>8</v>
      </c>
      <c r="T8241">
        <v>234</v>
      </c>
      <c r="U8241" s="1">
        <v>38960</v>
      </c>
      <c r="V8241" t="s">
        <v>5177</v>
      </c>
      <c r="W8241" t="s">
        <v>5178</v>
      </c>
      <c r="X8241" t="s">
        <v>58</v>
      </c>
      <c r="Y8241">
        <v>22</v>
      </c>
      <c r="Z8241" t="s">
        <v>59</v>
      </c>
      <c r="AA8241" t="s">
        <v>59</v>
      </c>
      <c r="AB8241" t="s">
        <v>59</v>
      </c>
      <c r="AC8241" t="s">
        <v>59</v>
      </c>
      <c r="AD8241" t="s">
        <v>59</v>
      </c>
      <c r="AF8241" s="1">
        <v>38961</v>
      </c>
      <c r="AG8241" t="s">
        <v>8645</v>
      </c>
      <c r="AH8241" t="s">
        <v>8646</v>
      </c>
      <c r="AI8241" t="str">
        <f>"9320098"</f>
        <v>9320098</v>
      </c>
      <c r="AJ8241" t="s">
        <v>12053</v>
      </c>
      <c r="AK8241">
        <v>2843051475</v>
      </c>
      <c r="AL8241" t="s">
        <v>12054</v>
      </c>
      <c r="AM8241" t="s">
        <v>4513</v>
      </c>
      <c r="AN8241" t="s">
        <v>4519</v>
      </c>
      <c r="AO8241" t="s">
        <v>4766</v>
      </c>
      <c r="AP8241" t="s">
        <v>12055</v>
      </c>
      <c r="AQ8241">
        <v>6</v>
      </c>
      <c r="AR8241" t="s">
        <v>5177</v>
      </c>
      <c r="AS8241" t="s">
        <v>5178</v>
      </c>
      <c r="AT8241" t="s">
        <v>58</v>
      </c>
      <c r="AU8241" t="s">
        <v>68</v>
      </c>
      <c r="AV8241" t="s">
        <v>69</v>
      </c>
      <c r="AW8241" s="1">
        <v>23841</v>
      </c>
      <c r="AX8241">
        <v>1</v>
      </c>
    </row>
    <row r="8242" spans="1:50">
      <c r="A8242">
        <v>616840</v>
      </c>
      <c r="B8242" t="str">
        <f>"045863218"</f>
        <v>045863218</v>
      </c>
      <c r="C8242" t="s">
        <v>105</v>
      </c>
      <c r="D8242" t="s">
        <v>4502</v>
      </c>
      <c r="E8242" t="s">
        <v>95</v>
      </c>
      <c r="F8242" t="s">
        <v>72</v>
      </c>
      <c r="G8242" t="s">
        <v>215</v>
      </c>
      <c r="H8242" t="str">
        <f>"ΖΟΥΡΑΡΗ 4 ΙΕΡΑΠΕΤΡΑ"</f>
        <v>ΖΟΥΡΑΡΗ 4 ΙΕΡΑΠΕΤΡΑ</v>
      </c>
      <c r="I8242">
        <v>72200</v>
      </c>
      <c r="J8242">
        <v>2842023070</v>
      </c>
      <c r="K8242">
        <v>6973743306</v>
      </c>
      <c r="N8242" t="s">
        <v>615</v>
      </c>
      <c r="O8242" t="s">
        <v>616</v>
      </c>
      <c r="R8242" t="s">
        <v>57</v>
      </c>
      <c r="S8242">
        <v>6</v>
      </c>
      <c r="T8242">
        <v>774</v>
      </c>
      <c r="U8242" s="1">
        <v>39680</v>
      </c>
      <c r="V8242" t="s">
        <v>5177</v>
      </c>
      <c r="W8242" t="s">
        <v>5178</v>
      </c>
      <c r="X8242" t="s">
        <v>58</v>
      </c>
      <c r="Y8242">
        <v>23</v>
      </c>
      <c r="Z8242" t="s">
        <v>59</v>
      </c>
      <c r="AA8242" t="s">
        <v>59</v>
      </c>
      <c r="AB8242" t="s">
        <v>59</v>
      </c>
      <c r="AC8242" t="s">
        <v>59</v>
      </c>
      <c r="AD8242" t="s">
        <v>59</v>
      </c>
      <c r="AF8242" s="1">
        <v>39681</v>
      </c>
      <c r="AG8242" t="s">
        <v>8645</v>
      </c>
      <c r="AH8242" t="s">
        <v>8646</v>
      </c>
      <c r="AI8242" t="str">
        <f>"9320001"</f>
        <v>9320001</v>
      </c>
      <c r="AJ8242" t="s">
        <v>11954</v>
      </c>
      <c r="AK8242">
        <v>2842022505</v>
      </c>
      <c r="AL8242" t="s">
        <v>11955</v>
      </c>
      <c r="AM8242" t="s">
        <v>4513</v>
      </c>
      <c r="AN8242" t="s">
        <v>4519</v>
      </c>
      <c r="AO8242" t="s">
        <v>4519</v>
      </c>
      <c r="AP8242" t="s">
        <v>4519</v>
      </c>
      <c r="AQ8242">
        <v>4</v>
      </c>
      <c r="AR8242" t="s">
        <v>5177</v>
      </c>
      <c r="AS8242" t="s">
        <v>5178</v>
      </c>
      <c r="AT8242" t="s">
        <v>58</v>
      </c>
      <c r="AU8242" t="s">
        <v>68</v>
      </c>
      <c r="AV8242" t="s">
        <v>69</v>
      </c>
      <c r="AW8242" s="1">
        <v>27444</v>
      </c>
      <c r="AX8242">
        <v>1</v>
      </c>
    </row>
    <row r="8243" spans="1:50">
      <c r="A8243">
        <v>595163</v>
      </c>
      <c r="B8243" t="str">
        <f>"049258777"</f>
        <v>049258777</v>
      </c>
      <c r="C8243" t="s">
        <v>50</v>
      </c>
      <c r="D8243" t="s">
        <v>12647</v>
      </c>
      <c r="E8243" t="s">
        <v>12648</v>
      </c>
      <c r="F8243" t="s">
        <v>106</v>
      </c>
      <c r="G8243" t="s">
        <v>237</v>
      </c>
      <c r="H8243" t="str">
        <f>"ΓΑΛΑΤΕΙΑΣ ΚΑΖΑΝΤΖΑΚΗΣ 14 ΙΕΡΑΠΕΤΡΑ"</f>
        <v>ΓΑΛΑΤΕΙΑΣ ΚΑΖΑΝΤΖΑΚΗΣ 14 ΙΕΡΑΠΕΤΡΑ</v>
      </c>
      <c r="I8243">
        <v>72200</v>
      </c>
      <c r="J8243">
        <v>2842025629</v>
      </c>
      <c r="K8243">
        <v>6948272362</v>
      </c>
      <c r="M8243" t="s">
        <v>12649</v>
      </c>
      <c r="N8243" t="s">
        <v>615</v>
      </c>
      <c r="O8243" t="s">
        <v>616</v>
      </c>
      <c r="R8243" t="s">
        <v>57</v>
      </c>
      <c r="S8243">
        <v>8</v>
      </c>
      <c r="T8243">
        <v>218</v>
      </c>
      <c r="U8243" s="1">
        <v>37134</v>
      </c>
      <c r="V8243" t="s">
        <v>5177</v>
      </c>
      <c r="W8243" t="s">
        <v>5178</v>
      </c>
      <c r="X8243" t="s">
        <v>58</v>
      </c>
      <c r="Y8243">
        <v>22</v>
      </c>
      <c r="Z8243" t="s">
        <v>59</v>
      </c>
      <c r="AA8243" t="s">
        <v>59</v>
      </c>
      <c r="AB8243" t="s">
        <v>59</v>
      </c>
      <c r="AC8243" t="s">
        <v>59</v>
      </c>
      <c r="AD8243" t="s">
        <v>59</v>
      </c>
      <c r="AF8243" s="1">
        <v>37141</v>
      </c>
      <c r="AG8243" t="s">
        <v>8645</v>
      </c>
      <c r="AH8243" t="s">
        <v>8646</v>
      </c>
      <c r="AI8243" t="str">
        <f>"9320005"</f>
        <v>9320005</v>
      </c>
      <c r="AJ8243" t="s">
        <v>12004</v>
      </c>
      <c r="AK8243">
        <v>2842022202</v>
      </c>
      <c r="AL8243" t="s">
        <v>12005</v>
      </c>
      <c r="AM8243" t="s">
        <v>4513</v>
      </c>
      <c r="AN8243" t="s">
        <v>4519</v>
      </c>
      <c r="AO8243" t="s">
        <v>4519</v>
      </c>
      <c r="AP8243" t="s">
        <v>4519</v>
      </c>
      <c r="AQ8243">
        <v>4</v>
      </c>
      <c r="AR8243" t="s">
        <v>5177</v>
      </c>
      <c r="AS8243" t="s">
        <v>5178</v>
      </c>
      <c r="AT8243" t="s">
        <v>58</v>
      </c>
      <c r="AU8243" t="s">
        <v>68</v>
      </c>
      <c r="AV8243" t="s">
        <v>69</v>
      </c>
      <c r="AW8243" s="1">
        <v>27971</v>
      </c>
      <c r="AX8243">
        <v>1</v>
      </c>
    </row>
    <row r="8244" spans="1:50">
      <c r="B8244" t="str">
        <f>"124477426"</f>
        <v>124477426</v>
      </c>
      <c r="C8244" t="s">
        <v>50</v>
      </c>
      <c r="D8244" t="s">
        <v>12650</v>
      </c>
      <c r="E8244" t="s">
        <v>12651</v>
      </c>
      <c r="F8244" t="s">
        <v>12652</v>
      </c>
      <c r="G8244" t="s">
        <v>12653</v>
      </c>
      <c r="H8244" t="str">
        <f>" "</f>
        <v xml:space="preserve"> </v>
      </c>
      <c r="N8244" t="s">
        <v>1525</v>
      </c>
      <c r="O8244" t="s">
        <v>1526</v>
      </c>
      <c r="R8244" t="s">
        <v>121</v>
      </c>
      <c r="S8244">
        <v>1</v>
      </c>
      <c r="T8244" t="s">
        <v>8670</v>
      </c>
      <c r="U8244" s="1">
        <v>43348</v>
      </c>
      <c r="V8244" t="s">
        <v>66</v>
      </c>
      <c r="W8244" t="s">
        <v>67</v>
      </c>
      <c r="X8244" t="s">
        <v>58</v>
      </c>
      <c r="Y8244">
        <v>25</v>
      </c>
      <c r="Z8244" t="s">
        <v>59</v>
      </c>
      <c r="AA8244" t="s">
        <v>59</v>
      </c>
      <c r="AB8244" t="s">
        <v>59</v>
      </c>
      <c r="AD8244" t="s">
        <v>59</v>
      </c>
      <c r="AF8244" s="1">
        <v>43348</v>
      </c>
      <c r="AG8244" t="s">
        <v>8651</v>
      </c>
      <c r="AH8244" t="s">
        <v>8652</v>
      </c>
      <c r="AI8244" t="str">
        <f>"9410265"</f>
        <v>9410265</v>
      </c>
      <c r="AJ8244" t="s">
        <v>12654</v>
      </c>
      <c r="AK8244">
        <v>2831027473</v>
      </c>
      <c r="AL8244" t="s">
        <v>12655</v>
      </c>
      <c r="AM8244" t="s">
        <v>64</v>
      </c>
      <c r="AN8244" t="s">
        <v>65</v>
      </c>
      <c r="AO8244" t="s">
        <v>65</v>
      </c>
      <c r="AP8244" t="s">
        <v>65</v>
      </c>
      <c r="AQ8244">
        <v>1</v>
      </c>
      <c r="AR8244" t="s">
        <v>66</v>
      </c>
      <c r="AS8244" t="s">
        <v>67</v>
      </c>
      <c r="AT8244" t="s">
        <v>58</v>
      </c>
      <c r="AU8244" t="s">
        <v>8673</v>
      </c>
      <c r="AV8244" t="s">
        <v>132</v>
      </c>
      <c r="AW8244" s="1">
        <v>28513</v>
      </c>
      <c r="AX8244">
        <v>1</v>
      </c>
    </row>
    <row r="8245" spans="1:50">
      <c r="A8245">
        <v>594155</v>
      </c>
      <c r="B8245" t="str">
        <f>"124456130"</f>
        <v>124456130</v>
      </c>
      <c r="C8245" t="s">
        <v>50</v>
      </c>
      <c r="D8245" t="s">
        <v>187</v>
      </c>
      <c r="E8245" t="s">
        <v>314</v>
      </c>
      <c r="F8245" t="s">
        <v>53</v>
      </c>
      <c r="G8245" t="s">
        <v>382</v>
      </c>
      <c r="H8245" t="str">
        <f>"ΠΑΝΟΡΜΟ ΡΕΘΥΜΝΟ"</f>
        <v>ΠΑΝΟΡΜΟ ΡΕΘΥΜΝΟ</v>
      </c>
      <c r="I8245">
        <v>74057</v>
      </c>
      <c r="J8245">
        <v>2834051452</v>
      </c>
      <c r="K8245">
        <v>6937289469</v>
      </c>
      <c r="N8245" t="s">
        <v>615</v>
      </c>
      <c r="O8245" t="s">
        <v>616</v>
      </c>
      <c r="R8245" t="s">
        <v>57</v>
      </c>
      <c r="S8245">
        <v>8</v>
      </c>
      <c r="T8245">
        <v>218</v>
      </c>
      <c r="U8245" s="1">
        <v>37134</v>
      </c>
      <c r="V8245" t="s">
        <v>66</v>
      </c>
      <c r="W8245" t="s">
        <v>67</v>
      </c>
      <c r="X8245" t="s">
        <v>58</v>
      </c>
      <c r="Y8245">
        <v>22</v>
      </c>
      <c r="Z8245" t="s">
        <v>59</v>
      </c>
      <c r="AA8245" t="s">
        <v>59</v>
      </c>
      <c r="AB8245" t="s">
        <v>59</v>
      </c>
      <c r="AC8245" t="s">
        <v>59</v>
      </c>
      <c r="AD8245" t="s">
        <v>59</v>
      </c>
      <c r="AF8245" s="1">
        <v>37138</v>
      </c>
      <c r="AG8245" t="s">
        <v>8645</v>
      </c>
      <c r="AH8245" t="s">
        <v>8646</v>
      </c>
      <c r="AI8245" t="str">
        <f>"9410048"</f>
        <v>9410048</v>
      </c>
      <c r="AJ8245" t="s">
        <v>12656</v>
      </c>
      <c r="AK8245">
        <v>2834020221</v>
      </c>
      <c r="AL8245" t="s">
        <v>12657</v>
      </c>
      <c r="AM8245" t="s">
        <v>64</v>
      </c>
      <c r="AN8245" t="s">
        <v>5672</v>
      </c>
      <c r="AO8245" t="s">
        <v>5673</v>
      </c>
      <c r="AP8245" t="s">
        <v>5674</v>
      </c>
      <c r="AQ8245">
        <v>10</v>
      </c>
      <c r="AR8245" t="s">
        <v>66</v>
      </c>
      <c r="AS8245" t="s">
        <v>67</v>
      </c>
      <c r="AT8245" t="s">
        <v>58</v>
      </c>
      <c r="AU8245" t="s">
        <v>68</v>
      </c>
      <c r="AV8245" t="s">
        <v>69</v>
      </c>
      <c r="AW8245" s="1">
        <v>27177</v>
      </c>
      <c r="AX8245">
        <v>1</v>
      </c>
    </row>
    <row r="8246" spans="1:50">
      <c r="A8246">
        <v>562463</v>
      </c>
      <c r="B8246" t="str">
        <f>"033297460"</f>
        <v>033297460</v>
      </c>
      <c r="C8246" t="s">
        <v>105</v>
      </c>
      <c r="D8246" t="s">
        <v>197</v>
      </c>
      <c r="E8246" t="s">
        <v>383</v>
      </c>
      <c r="F8246" t="s">
        <v>202</v>
      </c>
      <c r="G8246" t="s">
        <v>1189</v>
      </c>
      <c r="H8246" t="str">
        <f>"ΕΠΙΣΚΟΠΗ "</f>
        <v xml:space="preserve">ΕΠΙΣΚΟΠΗ </v>
      </c>
      <c r="I8246">
        <v>74055</v>
      </c>
      <c r="J8246">
        <v>2831061894</v>
      </c>
      <c r="K8246">
        <v>6944237922</v>
      </c>
      <c r="N8246" t="s">
        <v>615</v>
      </c>
      <c r="O8246" t="s">
        <v>616</v>
      </c>
      <c r="R8246" t="s">
        <v>57</v>
      </c>
      <c r="S8246">
        <v>15</v>
      </c>
      <c r="T8246">
        <v>187</v>
      </c>
      <c r="U8246" s="1">
        <v>32750</v>
      </c>
      <c r="V8246" t="s">
        <v>66</v>
      </c>
      <c r="W8246" t="s">
        <v>67</v>
      </c>
      <c r="X8246" t="s">
        <v>58</v>
      </c>
      <c r="Y8246">
        <v>21</v>
      </c>
      <c r="Z8246" t="s">
        <v>59</v>
      </c>
      <c r="AA8246" t="s">
        <v>59</v>
      </c>
      <c r="AB8246" t="s">
        <v>59</v>
      </c>
      <c r="AC8246" t="s">
        <v>59</v>
      </c>
      <c r="AD8246" t="s">
        <v>59</v>
      </c>
      <c r="AF8246" s="1">
        <v>32752</v>
      </c>
      <c r="AG8246" t="s">
        <v>8645</v>
      </c>
      <c r="AH8246" t="s">
        <v>8646</v>
      </c>
      <c r="AI8246" t="str">
        <f>"9410170"</f>
        <v>9410170</v>
      </c>
      <c r="AJ8246" t="s">
        <v>12658</v>
      </c>
      <c r="AK8246">
        <v>2831061220</v>
      </c>
      <c r="AL8246" t="s">
        <v>12659</v>
      </c>
      <c r="AM8246" t="s">
        <v>64</v>
      </c>
      <c r="AN8246" t="s">
        <v>65</v>
      </c>
      <c r="AO8246" t="s">
        <v>5657</v>
      </c>
      <c r="AP8246" t="s">
        <v>1437</v>
      </c>
      <c r="AQ8246">
        <v>2</v>
      </c>
      <c r="AR8246" t="s">
        <v>66</v>
      </c>
      <c r="AS8246" t="s">
        <v>67</v>
      </c>
      <c r="AT8246" t="s">
        <v>58</v>
      </c>
      <c r="AU8246" t="s">
        <v>68</v>
      </c>
      <c r="AV8246" t="s">
        <v>69</v>
      </c>
      <c r="AW8246" s="1">
        <v>23720</v>
      </c>
      <c r="AX8246">
        <v>1</v>
      </c>
    </row>
    <row r="8247" spans="1:50">
      <c r="B8247" t="str">
        <f>"161258998"</f>
        <v>161258998</v>
      </c>
      <c r="C8247" t="s">
        <v>50</v>
      </c>
      <c r="D8247" t="s">
        <v>214</v>
      </c>
      <c r="E8247" t="s">
        <v>109</v>
      </c>
      <c r="F8247" t="s">
        <v>95</v>
      </c>
      <c r="G8247" t="s">
        <v>83</v>
      </c>
      <c r="H8247" t="str">
        <f>" "</f>
        <v xml:space="preserve"> </v>
      </c>
      <c r="N8247" t="s">
        <v>8694</v>
      </c>
      <c r="O8247" t="s">
        <v>8695</v>
      </c>
      <c r="R8247" t="s">
        <v>121</v>
      </c>
      <c r="S8247">
        <v>1</v>
      </c>
      <c r="T8247" t="s">
        <v>8835</v>
      </c>
      <c r="U8247" s="1">
        <v>43348</v>
      </c>
      <c r="V8247" t="s">
        <v>66</v>
      </c>
      <c r="W8247" t="s">
        <v>67</v>
      </c>
      <c r="X8247" t="s">
        <v>58</v>
      </c>
      <c r="Y8247">
        <v>24</v>
      </c>
      <c r="Z8247" t="s">
        <v>59</v>
      </c>
      <c r="AA8247" t="s">
        <v>59</v>
      </c>
      <c r="AB8247" t="s">
        <v>59</v>
      </c>
      <c r="AD8247" t="s">
        <v>59</v>
      </c>
      <c r="AF8247" s="1">
        <v>43348</v>
      </c>
      <c r="AG8247" t="s">
        <v>8645</v>
      </c>
      <c r="AH8247" t="s">
        <v>8646</v>
      </c>
      <c r="AI8247" t="str">
        <f>"9410051"</f>
        <v>9410051</v>
      </c>
      <c r="AJ8247" t="s">
        <v>12660</v>
      </c>
      <c r="AK8247">
        <v>2834022247</v>
      </c>
      <c r="AL8247" t="s">
        <v>12661</v>
      </c>
      <c r="AM8247" t="s">
        <v>64</v>
      </c>
      <c r="AN8247" t="s">
        <v>5672</v>
      </c>
      <c r="AO8247" t="s">
        <v>5673</v>
      </c>
      <c r="AP8247" t="s">
        <v>5689</v>
      </c>
      <c r="AQ8247">
        <v>7</v>
      </c>
      <c r="AR8247" t="s">
        <v>66</v>
      </c>
      <c r="AS8247" t="s">
        <v>67</v>
      </c>
      <c r="AT8247" t="s">
        <v>58</v>
      </c>
      <c r="AU8247" t="s">
        <v>131</v>
      </c>
      <c r="AV8247" t="s">
        <v>132</v>
      </c>
      <c r="AW8247" s="1">
        <v>34451</v>
      </c>
      <c r="AX8247">
        <v>1</v>
      </c>
    </row>
    <row r="8248" spans="1:50">
      <c r="A8248">
        <v>592961</v>
      </c>
      <c r="B8248" t="str">
        <f>"113635507"</f>
        <v>113635507</v>
      </c>
      <c r="C8248" t="s">
        <v>50</v>
      </c>
      <c r="D8248" t="s">
        <v>214</v>
      </c>
      <c r="E8248" t="s">
        <v>620</v>
      </c>
      <c r="F8248" t="s">
        <v>166</v>
      </c>
      <c r="G8248" t="s">
        <v>73</v>
      </c>
      <c r="H8248" t="str">
        <f>"Κ. ΠΑΛΑΜΑ    12 ΡΕΘΥΜΝΟ"</f>
        <v>Κ. ΠΑΛΑΜΑ    12 ΡΕΘΥΜΝΟ</v>
      </c>
      <c r="I8248">
        <v>74100</v>
      </c>
      <c r="J8248">
        <v>2831102289</v>
      </c>
      <c r="K8248">
        <v>6976719634</v>
      </c>
      <c r="M8248" t="s">
        <v>12662</v>
      </c>
      <c r="N8248" t="s">
        <v>615</v>
      </c>
      <c r="O8248" t="s">
        <v>616</v>
      </c>
      <c r="R8248" t="s">
        <v>57</v>
      </c>
      <c r="S8248">
        <v>8</v>
      </c>
      <c r="T8248">
        <v>218</v>
      </c>
      <c r="U8248" s="1">
        <v>37134</v>
      </c>
      <c r="V8248" t="s">
        <v>66</v>
      </c>
      <c r="W8248" t="s">
        <v>67</v>
      </c>
      <c r="X8248" t="s">
        <v>58</v>
      </c>
      <c r="Y8248">
        <v>22</v>
      </c>
      <c r="Z8248" t="s">
        <v>59</v>
      </c>
      <c r="AA8248" t="s">
        <v>59</v>
      </c>
      <c r="AB8248" t="s">
        <v>59</v>
      </c>
      <c r="AC8248" t="s">
        <v>59</v>
      </c>
      <c r="AD8248" t="s">
        <v>59</v>
      </c>
      <c r="AF8248" s="1">
        <v>37138</v>
      </c>
      <c r="AG8248" t="s">
        <v>8645</v>
      </c>
      <c r="AH8248" t="s">
        <v>8646</v>
      </c>
      <c r="AI8248" t="str">
        <f>"9410155"</f>
        <v>9410155</v>
      </c>
      <c r="AJ8248" t="s">
        <v>12663</v>
      </c>
      <c r="AK8248">
        <v>2831028697</v>
      </c>
      <c r="AL8248" t="s">
        <v>12664</v>
      </c>
      <c r="AM8248" t="s">
        <v>64</v>
      </c>
      <c r="AN8248" t="s">
        <v>65</v>
      </c>
      <c r="AO8248" t="s">
        <v>65</v>
      </c>
      <c r="AP8248" t="s">
        <v>65</v>
      </c>
      <c r="AQ8248">
        <v>1</v>
      </c>
      <c r="AR8248" t="s">
        <v>66</v>
      </c>
      <c r="AS8248" t="s">
        <v>67</v>
      </c>
      <c r="AT8248" t="s">
        <v>58</v>
      </c>
      <c r="AU8248" t="s">
        <v>68</v>
      </c>
      <c r="AV8248" t="s">
        <v>69</v>
      </c>
      <c r="AW8248" s="1">
        <v>28201</v>
      </c>
      <c r="AX8248">
        <v>1</v>
      </c>
    </row>
    <row r="8249" spans="1:50">
      <c r="B8249" t="str">
        <f>"152554359"</f>
        <v>152554359</v>
      </c>
      <c r="C8249" t="s">
        <v>50</v>
      </c>
      <c r="D8249" t="s">
        <v>12665</v>
      </c>
      <c r="E8249" t="s">
        <v>4390</v>
      </c>
      <c r="F8249" t="s">
        <v>450</v>
      </c>
      <c r="G8249" t="s">
        <v>809</v>
      </c>
      <c r="H8249" t="str">
        <f>" "</f>
        <v xml:space="preserve"> </v>
      </c>
      <c r="N8249" t="s">
        <v>8834</v>
      </c>
      <c r="O8249" t="s">
        <v>8695</v>
      </c>
      <c r="R8249" t="s">
        <v>121</v>
      </c>
      <c r="S8249">
        <v>3</v>
      </c>
      <c r="T8249" t="s">
        <v>8835</v>
      </c>
      <c r="U8249" s="1">
        <v>43348</v>
      </c>
      <c r="V8249" t="s">
        <v>66</v>
      </c>
      <c r="W8249" t="s">
        <v>67</v>
      </c>
      <c r="X8249" t="s">
        <v>58</v>
      </c>
      <c r="Y8249">
        <v>24</v>
      </c>
      <c r="Z8249" t="s">
        <v>59</v>
      </c>
      <c r="AA8249" t="s">
        <v>59</v>
      </c>
      <c r="AB8249" t="s">
        <v>59</v>
      </c>
      <c r="AD8249" t="s">
        <v>59</v>
      </c>
      <c r="AF8249" s="1">
        <v>43348</v>
      </c>
      <c r="AG8249" t="s">
        <v>8645</v>
      </c>
      <c r="AH8249" t="s">
        <v>8646</v>
      </c>
      <c r="AI8249" t="str">
        <f>"9410166"</f>
        <v>9410166</v>
      </c>
      <c r="AJ8249" t="s">
        <v>12666</v>
      </c>
      <c r="AK8249">
        <v>2831031311</v>
      </c>
      <c r="AL8249" t="s">
        <v>12667</v>
      </c>
      <c r="AM8249" t="s">
        <v>64</v>
      </c>
      <c r="AN8249" t="s">
        <v>65</v>
      </c>
      <c r="AO8249" t="s">
        <v>5720</v>
      </c>
      <c r="AP8249" t="s">
        <v>5721</v>
      </c>
      <c r="AQ8249">
        <v>2</v>
      </c>
      <c r="AR8249" t="s">
        <v>66</v>
      </c>
      <c r="AS8249" t="s">
        <v>67</v>
      </c>
      <c r="AT8249" t="s">
        <v>58</v>
      </c>
      <c r="AU8249" t="s">
        <v>131</v>
      </c>
      <c r="AV8249" t="s">
        <v>132</v>
      </c>
      <c r="AW8249" s="1">
        <v>33298</v>
      </c>
      <c r="AX8249">
        <v>1</v>
      </c>
    </row>
    <row r="8250" spans="1:50">
      <c r="B8250" t="str">
        <f>"123258164"</f>
        <v>123258164</v>
      </c>
      <c r="C8250" t="s">
        <v>50</v>
      </c>
      <c r="D8250" t="s">
        <v>12668</v>
      </c>
      <c r="E8250" t="s">
        <v>188</v>
      </c>
      <c r="F8250" t="s">
        <v>920</v>
      </c>
      <c r="G8250" t="s">
        <v>1085</v>
      </c>
      <c r="H8250" t="str">
        <f>" "</f>
        <v xml:space="preserve"> </v>
      </c>
      <c r="N8250" t="s">
        <v>478</v>
      </c>
      <c r="O8250" t="s">
        <v>479</v>
      </c>
      <c r="R8250" t="s">
        <v>57</v>
      </c>
      <c r="S8250">
        <v>8</v>
      </c>
      <c r="T8250" t="s">
        <v>8675</v>
      </c>
      <c r="U8250" s="1">
        <v>43348</v>
      </c>
      <c r="V8250" t="s">
        <v>66</v>
      </c>
      <c r="W8250" t="s">
        <v>67</v>
      </c>
      <c r="X8250" t="s">
        <v>58</v>
      </c>
      <c r="Y8250">
        <v>15</v>
      </c>
      <c r="Z8250" t="s">
        <v>59</v>
      </c>
      <c r="AA8250" t="s">
        <v>59</v>
      </c>
      <c r="AB8250" t="s">
        <v>59</v>
      </c>
      <c r="AC8250" t="s">
        <v>59</v>
      </c>
      <c r="AD8250" t="s">
        <v>59</v>
      </c>
      <c r="AF8250" s="1">
        <v>43348</v>
      </c>
      <c r="AG8250" t="s">
        <v>8645</v>
      </c>
      <c r="AH8250" t="s">
        <v>8646</v>
      </c>
      <c r="AI8250" t="str">
        <f>"9410038"</f>
        <v>9410038</v>
      </c>
      <c r="AJ8250" t="s">
        <v>12669</v>
      </c>
      <c r="AK8250">
        <v>2834061471</v>
      </c>
      <c r="AL8250" t="s">
        <v>12670</v>
      </c>
      <c r="AM8250" t="s">
        <v>64</v>
      </c>
      <c r="AN8250" t="s">
        <v>5672</v>
      </c>
      <c r="AO8250" t="s">
        <v>5698</v>
      </c>
      <c r="AP8250" t="s">
        <v>5699</v>
      </c>
      <c r="AQ8250">
        <v>9</v>
      </c>
      <c r="AR8250" t="s">
        <v>66</v>
      </c>
      <c r="AS8250" t="s">
        <v>67</v>
      </c>
      <c r="AT8250" t="s">
        <v>58</v>
      </c>
      <c r="AU8250" t="s">
        <v>8686</v>
      </c>
      <c r="AV8250" t="s">
        <v>132</v>
      </c>
      <c r="AW8250" s="1">
        <v>26345</v>
      </c>
      <c r="AX8250">
        <v>1</v>
      </c>
    </row>
    <row r="8251" spans="1:50">
      <c r="A8251">
        <v>617660</v>
      </c>
      <c r="B8251" t="str">
        <f>"112472716"</f>
        <v>112472716</v>
      </c>
      <c r="C8251" t="s">
        <v>105</v>
      </c>
      <c r="D8251" t="s">
        <v>278</v>
      </c>
      <c r="E8251" t="s">
        <v>459</v>
      </c>
      <c r="F8251" t="s">
        <v>95</v>
      </c>
      <c r="G8251" t="s">
        <v>476</v>
      </c>
      <c r="H8251" t="str">
        <f>"ΜΥΚΑΛΗΣ 2 ΑΛΕΞ/ΠΟΛΗ"</f>
        <v>ΜΥΚΑΛΗΣ 2 ΑΛΕΞ/ΠΟΛΗ</v>
      </c>
      <c r="I8251">
        <v>68100</v>
      </c>
      <c r="J8251">
        <v>2551050318</v>
      </c>
      <c r="K8251">
        <v>6947835144</v>
      </c>
      <c r="L8251">
        <v>2831050318</v>
      </c>
      <c r="M8251" t="s">
        <v>12671</v>
      </c>
      <c r="N8251" t="s">
        <v>615</v>
      </c>
      <c r="O8251" t="s">
        <v>616</v>
      </c>
      <c r="R8251" t="s">
        <v>57</v>
      </c>
      <c r="S8251">
        <v>5</v>
      </c>
      <c r="T8251">
        <v>774</v>
      </c>
      <c r="U8251" s="1">
        <v>39680</v>
      </c>
      <c r="V8251" t="s">
        <v>66</v>
      </c>
      <c r="W8251" t="s">
        <v>67</v>
      </c>
      <c r="X8251" t="s">
        <v>58</v>
      </c>
      <c r="Y8251">
        <v>23</v>
      </c>
      <c r="Z8251" t="s">
        <v>59</v>
      </c>
      <c r="AA8251" t="s">
        <v>59</v>
      </c>
      <c r="AB8251" t="s">
        <v>59</v>
      </c>
      <c r="AC8251" t="s">
        <v>59</v>
      </c>
      <c r="AD8251" t="s">
        <v>59</v>
      </c>
      <c r="AF8251" s="1">
        <v>39682</v>
      </c>
      <c r="AG8251" t="s">
        <v>8645</v>
      </c>
      <c r="AH8251" t="s">
        <v>8646</v>
      </c>
      <c r="AI8251" t="str">
        <f>"9410263"</f>
        <v>9410263</v>
      </c>
      <c r="AJ8251" t="s">
        <v>12672</v>
      </c>
      <c r="AK8251">
        <v>2831053818</v>
      </c>
      <c r="AL8251" t="s">
        <v>12673</v>
      </c>
      <c r="AM8251" t="s">
        <v>64</v>
      </c>
      <c r="AN8251" t="s">
        <v>65</v>
      </c>
      <c r="AO8251" t="s">
        <v>65</v>
      </c>
      <c r="AP8251" t="s">
        <v>65</v>
      </c>
      <c r="AQ8251">
        <v>1</v>
      </c>
      <c r="AR8251" t="s">
        <v>66</v>
      </c>
      <c r="AS8251" t="s">
        <v>67</v>
      </c>
      <c r="AT8251" t="s">
        <v>58</v>
      </c>
      <c r="AU8251" t="s">
        <v>68</v>
      </c>
      <c r="AV8251" t="s">
        <v>69</v>
      </c>
      <c r="AW8251" s="1">
        <v>29024</v>
      </c>
      <c r="AX8251">
        <v>1</v>
      </c>
    </row>
    <row r="8252" spans="1:50">
      <c r="A8252">
        <v>704081</v>
      </c>
      <c r="B8252" t="str">
        <f>"121428985"</f>
        <v>121428985</v>
      </c>
      <c r="C8252" t="s">
        <v>50</v>
      </c>
      <c r="D8252" t="s">
        <v>6766</v>
      </c>
      <c r="E8252" t="s">
        <v>181</v>
      </c>
      <c r="F8252" t="s">
        <v>995</v>
      </c>
      <c r="G8252" t="s">
        <v>52</v>
      </c>
      <c r="H8252" t="str">
        <f>"ΚΑΨΑΜΠΕΛΗ 35 ΓΙΑΝΝΙΤΣΑ"</f>
        <v>ΚΑΨΑΜΠΕΛΗ 35 ΓΙΑΝΝΙΤΣΑ</v>
      </c>
      <c r="I8252">
        <v>58100</v>
      </c>
      <c r="J8252">
        <v>2382023124</v>
      </c>
      <c r="K8252">
        <v>6974068615</v>
      </c>
      <c r="N8252" t="s">
        <v>306</v>
      </c>
      <c r="O8252" t="s">
        <v>307</v>
      </c>
      <c r="R8252" t="s">
        <v>57</v>
      </c>
      <c r="S8252">
        <v>4</v>
      </c>
      <c r="T8252">
        <v>1350</v>
      </c>
      <c r="U8252" s="1">
        <v>42732</v>
      </c>
      <c r="V8252" t="s">
        <v>66</v>
      </c>
      <c r="W8252" t="s">
        <v>67</v>
      </c>
      <c r="X8252" t="s">
        <v>58</v>
      </c>
      <c r="Y8252">
        <v>24</v>
      </c>
      <c r="Z8252" t="s">
        <v>59</v>
      </c>
      <c r="AA8252" t="s">
        <v>59</v>
      </c>
      <c r="AB8252" t="s">
        <v>59</v>
      </c>
      <c r="AC8252" t="s">
        <v>59</v>
      </c>
      <c r="AD8252" t="s">
        <v>59</v>
      </c>
      <c r="AF8252" s="1">
        <v>42734</v>
      </c>
      <c r="AG8252" t="s">
        <v>8645</v>
      </c>
      <c r="AH8252" t="s">
        <v>8646</v>
      </c>
      <c r="AI8252" t="str">
        <f>"9410069"</f>
        <v>9410069</v>
      </c>
      <c r="AJ8252" t="s">
        <v>12674</v>
      </c>
      <c r="AK8252">
        <v>2831029296</v>
      </c>
      <c r="AL8252" t="s">
        <v>12675</v>
      </c>
      <c r="AM8252" t="s">
        <v>64</v>
      </c>
      <c r="AN8252" t="s">
        <v>65</v>
      </c>
      <c r="AO8252" t="s">
        <v>65</v>
      </c>
      <c r="AP8252" t="s">
        <v>65</v>
      </c>
      <c r="AQ8252">
        <v>1</v>
      </c>
      <c r="AR8252" t="s">
        <v>66</v>
      </c>
      <c r="AS8252" t="s">
        <v>67</v>
      </c>
      <c r="AT8252" t="s">
        <v>58</v>
      </c>
      <c r="AU8252" t="s">
        <v>68</v>
      </c>
      <c r="AV8252" t="s">
        <v>69</v>
      </c>
      <c r="AW8252" s="1">
        <v>30738</v>
      </c>
      <c r="AX8252">
        <v>1</v>
      </c>
    </row>
    <row r="8253" spans="1:50">
      <c r="B8253" t="str">
        <f>"131181992"</f>
        <v>131181992</v>
      </c>
      <c r="C8253" t="s">
        <v>50</v>
      </c>
      <c r="D8253" t="s">
        <v>4526</v>
      </c>
      <c r="E8253" t="s">
        <v>2555</v>
      </c>
      <c r="F8253" t="s">
        <v>309</v>
      </c>
      <c r="G8253" t="s">
        <v>112</v>
      </c>
      <c r="H8253" t="str">
        <f>"ΚΑΛΛΙΠΟΛΗΣ 16 "</f>
        <v xml:space="preserve">ΚΑΛΛΙΠΟΛΗΣ 16 </v>
      </c>
      <c r="I8253">
        <v>41335</v>
      </c>
      <c r="J8253">
        <v>2410616456</v>
      </c>
      <c r="K8253">
        <v>6972982468</v>
      </c>
      <c r="M8253" t="s">
        <v>12676</v>
      </c>
      <c r="N8253" t="s">
        <v>615</v>
      </c>
      <c r="O8253" t="s">
        <v>616</v>
      </c>
      <c r="R8253" t="s">
        <v>159</v>
      </c>
      <c r="S8253">
        <v>2</v>
      </c>
      <c r="T8253" t="s">
        <v>8675</v>
      </c>
      <c r="U8253" s="1">
        <v>43348</v>
      </c>
      <c r="V8253" t="s">
        <v>66</v>
      </c>
      <c r="W8253" t="s">
        <v>67</v>
      </c>
      <c r="X8253" t="s">
        <v>58</v>
      </c>
      <c r="Y8253">
        <v>24</v>
      </c>
      <c r="Z8253" t="s">
        <v>59</v>
      </c>
      <c r="AA8253" t="s">
        <v>59</v>
      </c>
      <c r="AB8253" t="s">
        <v>59</v>
      </c>
      <c r="AC8253" t="s">
        <v>59</v>
      </c>
      <c r="AD8253" t="s">
        <v>59</v>
      </c>
      <c r="AF8253" s="1">
        <v>43348</v>
      </c>
      <c r="AG8253" t="s">
        <v>8645</v>
      </c>
      <c r="AH8253" t="s">
        <v>8676</v>
      </c>
      <c r="AI8253" t="str">
        <f>"9410055"</f>
        <v>9410055</v>
      </c>
      <c r="AJ8253" t="s">
        <v>12677</v>
      </c>
      <c r="AK8253">
        <v>2834051109</v>
      </c>
      <c r="AL8253" t="s">
        <v>12678</v>
      </c>
      <c r="AM8253" t="s">
        <v>64</v>
      </c>
      <c r="AN8253" t="s">
        <v>5672</v>
      </c>
      <c r="AO8253" t="s">
        <v>5673</v>
      </c>
      <c r="AP8253" t="s">
        <v>12679</v>
      </c>
      <c r="AQ8253">
        <v>10</v>
      </c>
      <c r="AR8253" t="s">
        <v>66</v>
      </c>
      <c r="AS8253" t="s">
        <v>67</v>
      </c>
      <c r="AT8253" t="s">
        <v>58</v>
      </c>
      <c r="AU8253" t="s">
        <v>8673</v>
      </c>
      <c r="AV8253" t="s">
        <v>132</v>
      </c>
      <c r="AW8253" s="1">
        <v>31890</v>
      </c>
      <c r="AX8253">
        <v>1</v>
      </c>
    </row>
    <row r="8254" spans="1:50">
      <c r="B8254" t="str">
        <f>"109139029"</f>
        <v>109139029</v>
      </c>
      <c r="C8254" t="s">
        <v>105</v>
      </c>
      <c r="D8254" t="s">
        <v>12680</v>
      </c>
      <c r="E8254" t="s">
        <v>99</v>
      </c>
      <c r="F8254" t="s">
        <v>72</v>
      </c>
      <c r="G8254" t="s">
        <v>440</v>
      </c>
      <c r="H8254" t="str">
        <f>"ΜΙΚΡΑΣΙΑΤΩΝ 19 ΡΕΘΥΜΝΟ"</f>
        <v>ΜΙΚΡΑΣΙΑΤΩΝ 19 ΡΕΘΥΜΝΟ</v>
      </c>
      <c r="I8254">
        <v>74100</v>
      </c>
      <c r="J8254">
        <v>2831055924</v>
      </c>
      <c r="K8254">
        <v>6972337139</v>
      </c>
      <c r="N8254" t="s">
        <v>306</v>
      </c>
      <c r="O8254" t="s">
        <v>307</v>
      </c>
      <c r="R8254" t="s">
        <v>159</v>
      </c>
      <c r="S8254">
        <v>3</v>
      </c>
      <c r="T8254" t="s">
        <v>8675</v>
      </c>
      <c r="U8254" s="1">
        <v>43348</v>
      </c>
      <c r="V8254" t="s">
        <v>66</v>
      </c>
      <c r="W8254" t="s">
        <v>67</v>
      </c>
      <c r="X8254" t="s">
        <v>58</v>
      </c>
      <c r="Y8254">
        <v>24</v>
      </c>
      <c r="Z8254" t="s">
        <v>59</v>
      </c>
      <c r="AA8254" t="s">
        <v>59</v>
      </c>
      <c r="AB8254" t="s">
        <v>59</v>
      </c>
      <c r="AC8254" t="s">
        <v>59</v>
      </c>
      <c r="AD8254" t="s">
        <v>59</v>
      </c>
      <c r="AF8254" s="1">
        <v>43348</v>
      </c>
      <c r="AG8254" t="s">
        <v>8645</v>
      </c>
      <c r="AH8254" t="s">
        <v>8646</v>
      </c>
      <c r="AI8254" t="str">
        <f>"9410120"</f>
        <v>9410120</v>
      </c>
      <c r="AJ8254" t="s">
        <v>12681</v>
      </c>
      <c r="AK8254">
        <v>6978148714</v>
      </c>
      <c r="AL8254" t="s">
        <v>12682</v>
      </c>
      <c r="AM8254" t="s">
        <v>64</v>
      </c>
      <c r="AN8254" t="s">
        <v>5882</v>
      </c>
      <c r="AO8254" t="s">
        <v>5883</v>
      </c>
      <c r="AP8254" t="s">
        <v>5884</v>
      </c>
      <c r="AQ8254">
        <v>5</v>
      </c>
      <c r="AR8254" t="s">
        <v>66</v>
      </c>
      <c r="AS8254" t="s">
        <v>67</v>
      </c>
      <c r="AT8254" t="s">
        <v>58</v>
      </c>
      <c r="AU8254" t="s">
        <v>8673</v>
      </c>
      <c r="AV8254" t="s">
        <v>132</v>
      </c>
      <c r="AW8254" s="1">
        <v>29987</v>
      </c>
      <c r="AX8254">
        <v>1</v>
      </c>
    </row>
    <row r="8255" spans="1:50">
      <c r="A8255">
        <v>602642</v>
      </c>
      <c r="B8255" t="str">
        <f>"065807875"</f>
        <v>065807875</v>
      </c>
      <c r="C8255" t="s">
        <v>50</v>
      </c>
      <c r="D8255" t="s">
        <v>320</v>
      </c>
      <c r="E8255" t="s">
        <v>73</v>
      </c>
      <c r="F8255" t="s">
        <v>154</v>
      </c>
      <c r="G8255" t="s">
        <v>52</v>
      </c>
      <c r="H8255" t="str">
        <f>" "</f>
        <v xml:space="preserve"> </v>
      </c>
      <c r="J8255">
        <v>2541029929</v>
      </c>
      <c r="K8255">
        <v>6947204593</v>
      </c>
      <c r="N8255" t="s">
        <v>615</v>
      </c>
      <c r="O8255" t="s">
        <v>616</v>
      </c>
      <c r="R8255" t="s">
        <v>57</v>
      </c>
      <c r="S8255">
        <v>7</v>
      </c>
      <c r="T8255">
        <v>207</v>
      </c>
      <c r="U8255" s="1">
        <v>37866</v>
      </c>
      <c r="V8255" t="s">
        <v>66</v>
      </c>
      <c r="W8255" t="s">
        <v>67</v>
      </c>
      <c r="X8255" t="s">
        <v>58</v>
      </c>
      <c r="Y8255">
        <v>22</v>
      </c>
      <c r="Z8255" t="s">
        <v>59</v>
      </c>
      <c r="AA8255" t="s">
        <v>59</v>
      </c>
      <c r="AB8255" t="s">
        <v>59</v>
      </c>
      <c r="AC8255" t="s">
        <v>59</v>
      </c>
      <c r="AD8255" t="s">
        <v>59</v>
      </c>
      <c r="AF8255" s="1">
        <v>37866</v>
      </c>
      <c r="AG8255" t="s">
        <v>8645</v>
      </c>
      <c r="AH8255" t="s">
        <v>8646</v>
      </c>
      <c r="AI8255" t="str">
        <f>"9410064"</f>
        <v>9410064</v>
      </c>
      <c r="AJ8255" t="s">
        <v>12683</v>
      </c>
      <c r="AK8255">
        <v>2831028390</v>
      </c>
      <c r="AL8255" t="s">
        <v>12684</v>
      </c>
      <c r="AM8255" t="s">
        <v>64</v>
      </c>
      <c r="AN8255" t="s">
        <v>65</v>
      </c>
      <c r="AO8255" t="s">
        <v>65</v>
      </c>
      <c r="AP8255" t="s">
        <v>65</v>
      </c>
      <c r="AQ8255">
        <v>1</v>
      </c>
      <c r="AR8255" t="s">
        <v>66</v>
      </c>
      <c r="AS8255" t="s">
        <v>67</v>
      </c>
      <c r="AT8255" t="s">
        <v>58</v>
      </c>
      <c r="AU8255" t="s">
        <v>68</v>
      </c>
      <c r="AV8255" t="s">
        <v>69</v>
      </c>
      <c r="AW8255" s="1">
        <v>27082</v>
      </c>
      <c r="AX8255">
        <v>1</v>
      </c>
    </row>
    <row r="8256" spans="1:50">
      <c r="A8256">
        <v>582490</v>
      </c>
      <c r="B8256" t="str">
        <f>"064628920"</f>
        <v>064628920</v>
      </c>
      <c r="C8256" t="s">
        <v>50</v>
      </c>
      <c r="D8256" t="s">
        <v>8733</v>
      </c>
      <c r="E8256" t="s">
        <v>1068</v>
      </c>
      <c r="F8256" t="s">
        <v>72</v>
      </c>
      <c r="G8256" t="s">
        <v>341</v>
      </c>
      <c r="H8256" t="str">
        <f>" "</f>
        <v xml:space="preserve"> </v>
      </c>
      <c r="N8256" t="s">
        <v>615</v>
      </c>
      <c r="O8256" t="s">
        <v>616</v>
      </c>
      <c r="R8256" t="s">
        <v>57</v>
      </c>
      <c r="S8256">
        <v>11</v>
      </c>
      <c r="T8256">
        <v>179</v>
      </c>
      <c r="U8256" s="1">
        <v>35674</v>
      </c>
      <c r="V8256" t="s">
        <v>66</v>
      </c>
      <c r="W8256" t="s">
        <v>67</v>
      </c>
      <c r="X8256" t="s">
        <v>58</v>
      </c>
      <c r="Y8256">
        <v>21</v>
      </c>
      <c r="Z8256" t="s">
        <v>59</v>
      </c>
      <c r="AA8256" t="s">
        <v>59</v>
      </c>
      <c r="AB8256" t="s">
        <v>59</v>
      </c>
      <c r="AC8256" t="s">
        <v>59</v>
      </c>
      <c r="AD8256" t="s">
        <v>59</v>
      </c>
      <c r="AF8256" s="1">
        <v>35674</v>
      </c>
      <c r="AG8256" t="s">
        <v>8645</v>
      </c>
      <c r="AH8256" t="s">
        <v>8646</v>
      </c>
      <c r="AI8256" t="str">
        <f>"9410064"</f>
        <v>9410064</v>
      </c>
      <c r="AJ8256" t="s">
        <v>12683</v>
      </c>
      <c r="AK8256">
        <v>2831028390</v>
      </c>
      <c r="AL8256" t="s">
        <v>12684</v>
      </c>
      <c r="AM8256" t="s">
        <v>64</v>
      </c>
      <c r="AN8256" t="s">
        <v>65</v>
      </c>
      <c r="AO8256" t="s">
        <v>65</v>
      </c>
      <c r="AP8256" t="s">
        <v>65</v>
      </c>
      <c r="AQ8256">
        <v>1</v>
      </c>
      <c r="AR8256" t="s">
        <v>66</v>
      </c>
      <c r="AS8256" t="s">
        <v>67</v>
      </c>
      <c r="AT8256" t="s">
        <v>58</v>
      </c>
      <c r="AU8256" t="s">
        <v>68</v>
      </c>
      <c r="AV8256" t="s">
        <v>69</v>
      </c>
      <c r="AW8256" s="1">
        <v>24833</v>
      </c>
      <c r="AX8256">
        <v>1</v>
      </c>
    </row>
    <row r="8257" spans="1:50">
      <c r="A8257">
        <v>613763</v>
      </c>
      <c r="B8257" t="str">
        <f>"043642426"</f>
        <v>043642426</v>
      </c>
      <c r="C8257" t="s">
        <v>50</v>
      </c>
      <c r="D8257" t="s">
        <v>12685</v>
      </c>
      <c r="E8257" t="s">
        <v>4729</v>
      </c>
      <c r="F8257" t="s">
        <v>53</v>
      </c>
      <c r="G8257" t="s">
        <v>155</v>
      </c>
      <c r="H8257" t="str">
        <f>"ΜΑΧΗΤΩΝ ΣΧΟΛΗΣ ΧΩΡΟΦΥΛΑΚΗΣ 39 ΡΕΘΥΜΝΟ"</f>
        <v>ΜΑΧΗΤΩΝ ΣΧΟΛΗΣ ΧΩΡΟΦΥΛΑΚΗΣ 39 ΡΕΘΥΜΝΟ</v>
      </c>
      <c r="I8257">
        <v>74100</v>
      </c>
      <c r="J8257">
        <v>2831055760</v>
      </c>
      <c r="K8257">
        <v>6984904228</v>
      </c>
      <c r="L8257">
        <v>2327022455</v>
      </c>
      <c r="N8257" t="s">
        <v>615</v>
      </c>
      <c r="O8257" t="s">
        <v>616</v>
      </c>
      <c r="R8257" t="s">
        <v>57</v>
      </c>
      <c r="S8257">
        <v>6</v>
      </c>
      <c r="T8257">
        <v>598</v>
      </c>
      <c r="U8257" s="1">
        <v>39310</v>
      </c>
      <c r="V8257" t="s">
        <v>66</v>
      </c>
      <c r="W8257" t="s">
        <v>67</v>
      </c>
      <c r="X8257" t="s">
        <v>58</v>
      </c>
      <c r="Y8257">
        <v>23</v>
      </c>
      <c r="Z8257" t="s">
        <v>59</v>
      </c>
      <c r="AA8257" t="s">
        <v>59</v>
      </c>
      <c r="AB8257" t="s">
        <v>59</v>
      </c>
      <c r="AC8257" t="s">
        <v>59</v>
      </c>
      <c r="AD8257" t="s">
        <v>59</v>
      </c>
      <c r="AF8257" s="1">
        <v>39329</v>
      </c>
      <c r="AG8257" t="s">
        <v>8645</v>
      </c>
      <c r="AH8257" t="s">
        <v>8646</v>
      </c>
      <c r="AI8257" t="str">
        <f>"9410152"</f>
        <v>9410152</v>
      </c>
      <c r="AJ8257" t="s">
        <v>12686</v>
      </c>
      <c r="AK8257">
        <v>2831029088</v>
      </c>
      <c r="AL8257" t="s">
        <v>12687</v>
      </c>
      <c r="AM8257" t="s">
        <v>64</v>
      </c>
      <c r="AN8257" t="s">
        <v>65</v>
      </c>
      <c r="AO8257" t="s">
        <v>65</v>
      </c>
      <c r="AP8257" t="s">
        <v>65</v>
      </c>
      <c r="AQ8257">
        <v>1</v>
      </c>
      <c r="AR8257" t="s">
        <v>66</v>
      </c>
      <c r="AS8257" t="s">
        <v>67</v>
      </c>
      <c r="AT8257" t="s">
        <v>58</v>
      </c>
      <c r="AU8257" t="s">
        <v>68</v>
      </c>
      <c r="AV8257" t="s">
        <v>69</v>
      </c>
      <c r="AW8257" s="1">
        <v>24542</v>
      </c>
      <c r="AX8257">
        <v>1</v>
      </c>
    </row>
    <row r="8258" spans="1:50">
      <c r="A8258">
        <v>621887</v>
      </c>
      <c r="B8258" t="str">
        <f>"135217580"</f>
        <v>135217580</v>
      </c>
      <c r="C8258" t="s">
        <v>50</v>
      </c>
      <c r="D8258" t="s">
        <v>12688</v>
      </c>
      <c r="E8258" t="s">
        <v>52</v>
      </c>
      <c r="F8258" t="s">
        <v>166</v>
      </c>
      <c r="G8258" t="s">
        <v>83</v>
      </c>
      <c r="H8258" t="str">
        <f>"Σωματάς  Ρεθυμνο"</f>
        <v>Σωματάς  Ρεθυμνο</v>
      </c>
      <c r="I8258">
        <v>73100</v>
      </c>
      <c r="J8258">
        <v>2821045479</v>
      </c>
      <c r="K8258">
        <v>6976821304</v>
      </c>
      <c r="L8258">
        <v>2831028312</v>
      </c>
      <c r="N8258" t="s">
        <v>615</v>
      </c>
      <c r="O8258" t="s">
        <v>616</v>
      </c>
      <c r="R8258" t="s">
        <v>57</v>
      </c>
      <c r="S8258">
        <v>5</v>
      </c>
      <c r="T8258">
        <v>653</v>
      </c>
      <c r="U8258" s="1">
        <v>40043</v>
      </c>
      <c r="V8258" t="s">
        <v>66</v>
      </c>
      <c r="W8258" t="s">
        <v>67</v>
      </c>
      <c r="X8258" t="s">
        <v>58</v>
      </c>
      <c r="Y8258">
        <v>23</v>
      </c>
      <c r="Z8258" t="s">
        <v>59</v>
      </c>
      <c r="AA8258" t="s">
        <v>59</v>
      </c>
      <c r="AB8258" t="s">
        <v>59</v>
      </c>
      <c r="AC8258" t="s">
        <v>59</v>
      </c>
      <c r="AD8258" t="s">
        <v>59</v>
      </c>
      <c r="AF8258" s="1">
        <v>40043</v>
      </c>
      <c r="AG8258" t="s">
        <v>8645</v>
      </c>
      <c r="AH8258" t="s">
        <v>8646</v>
      </c>
      <c r="AI8258" t="str">
        <f>"9410160"</f>
        <v>9410160</v>
      </c>
      <c r="AJ8258" t="s">
        <v>12689</v>
      </c>
      <c r="AK8258">
        <v>2831041098</v>
      </c>
      <c r="AL8258" t="s">
        <v>12690</v>
      </c>
      <c r="AM8258" t="s">
        <v>64</v>
      </c>
      <c r="AN8258" t="s">
        <v>65</v>
      </c>
      <c r="AO8258" t="s">
        <v>65</v>
      </c>
      <c r="AP8258" t="s">
        <v>11883</v>
      </c>
      <c r="AQ8258">
        <v>2</v>
      </c>
      <c r="AR8258" t="s">
        <v>66</v>
      </c>
      <c r="AS8258" t="s">
        <v>67</v>
      </c>
      <c r="AT8258" t="s">
        <v>58</v>
      </c>
      <c r="AU8258" t="s">
        <v>68</v>
      </c>
      <c r="AV8258" t="s">
        <v>69</v>
      </c>
      <c r="AW8258" s="1">
        <v>31269</v>
      </c>
      <c r="AX8258">
        <v>1</v>
      </c>
    </row>
    <row r="8259" spans="1:50">
      <c r="B8259" t="str">
        <f>"144492470"</f>
        <v>144492470</v>
      </c>
      <c r="C8259" t="s">
        <v>50</v>
      </c>
      <c r="D8259" t="s">
        <v>12691</v>
      </c>
      <c r="E8259" t="s">
        <v>255</v>
      </c>
      <c r="F8259" t="s">
        <v>1743</v>
      </c>
      <c r="H8259" t="str">
        <f>" "</f>
        <v xml:space="preserve"> </v>
      </c>
      <c r="K8259">
        <v>6979459937</v>
      </c>
      <c r="N8259" t="s">
        <v>384</v>
      </c>
      <c r="O8259" t="s">
        <v>385</v>
      </c>
      <c r="R8259" t="s">
        <v>121</v>
      </c>
      <c r="S8259">
        <v>1</v>
      </c>
      <c r="T8259" t="s">
        <v>8675</v>
      </c>
      <c r="U8259" s="1">
        <v>43348</v>
      </c>
      <c r="V8259" t="s">
        <v>66</v>
      </c>
      <c r="W8259" t="s">
        <v>67</v>
      </c>
      <c r="X8259" t="s">
        <v>58</v>
      </c>
      <c r="Y8259">
        <v>24</v>
      </c>
      <c r="Z8259" t="s">
        <v>59</v>
      </c>
      <c r="AA8259" t="s">
        <v>59</v>
      </c>
      <c r="AB8259" t="s">
        <v>59</v>
      </c>
      <c r="AC8259" t="s">
        <v>59</v>
      </c>
      <c r="AD8259" t="s">
        <v>59</v>
      </c>
      <c r="AF8259" s="1">
        <v>43348</v>
      </c>
      <c r="AG8259" t="s">
        <v>8645</v>
      </c>
      <c r="AH8259" t="s">
        <v>8646</v>
      </c>
      <c r="AI8259" t="str">
        <f>"9410072"</f>
        <v>9410072</v>
      </c>
      <c r="AJ8259" t="s">
        <v>12692</v>
      </c>
      <c r="AK8259">
        <v>2831071264</v>
      </c>
      <c r="AL8259" t="s">
        <v>12693</v>
      </c>
      <c r="AM8259" t="s">
        <v>64</v>
      </c>
      <c r="AN8259" t="s">
        <v>65</v>
      </c>
      <c r="AO8259" t="s">
        <v>12694</v>
      </c>
      <c r="AP8259" t="s">
        <v>12695</v>
      </c>
      <c r="AQ8259">
        <v>3</v>
      </c>
      <c r="AR8259" t="s">
        <v>66</v>
      </c>
      <c r="AS8259" t="s">
        <v>67</v>
      </c>
      <c r="AT8259" t="s">
        <v>58</v>
      </c>
      <c r="AU8259" t="s">
        <v>8673</v>
      </c>
      <c r="AV8259" t="s">
        <v>132</v>
      </c>
      <c r="AW8259" s="1">
        <v>32589</v>
      </c>
      <c r="AX8259">
        <v>1</v>
      </c>
    </row>
    <row r="8260" spans="1:50">
      <c r="B8260" t="str">
        <f>"137473490"</f>
        <v>137473490</v>
      </c>
      <c r="C8260" t="s">
        <v>50</v>
      </c>
      <c r="D8260" t="s">
        <v>393</v>
      </c>
      <c r="E8260" t="s">
        <v>263</v>
      </c>
      <c r="F8260" t="s">
        <v>92</v>
      </c>
      <c r="G8260" t="s">
        <v>1345</v>
      </c>
      <c r="H8260" t="str">
        <f>" "</f>
        <v xml:space="preserve"> </v>
      </c>
      <c r="N8260" t="s">
        <v>615</v>
      </c>
      <c r="O8260" t="s">
        <v>616</v>
      </c>
      <c r="R8260" t="s">
        <v>159</v>
      </c>
      <c r="S8260">
        <v>3</v>
      </c>
      <c r="T8260" t="s">
        <v>9034</v>
      </c>
      <c r="U8260" s="1">
        <v>43377</v>
      </c>
      <c r="V8260" t="s">
        <v>66</v>
      </c>
      <c r="W8260" t="s">
        <v>67</v>
      </c>
      <c r="X8260" t="s">
        <v>58</v>
      </c>
      <c r="Y8260">
        <v>24</v>
      </c>
      <c r="Z8260" t="s">
        <v>59</v>
      </c>
      <c r="AA8260" t="s">
        <v>59</v>
      </c>
      <c r="AB8260" t="s">
        <v>59</v>
      </c>
      <c r="AD8260" t="s">
        <v>59</v>
      </c>
      <c r="AF8260" s="1">
        <v>43377</v>
      </c>
      <c r="AG8260" t="s">
        <v>8645</v>
      </c>
      <c r="AH8260" t="s">
        <v>8646</v>
      </c>
      <c r="AI8260" t="str">
        <f>"9410180"</f>
        <v>9410180</v>
      </c>
      <c r="AJ8260" t="s">
        <v>12696</v>
      </c>
      <c r="AK8260">
        <v>2831031206</v>
      </c>
      <c r="AL8260" t="s">
        <v>12697</v>
      </c>
      <c r="AM8260" t="s">
        <v>64</v>
      </c>
      <c r="AN8260" t="s">
        <v>65</v>
      </c>
      <c r="AO8260" t="s">
        <v>5720</v>
      </c>
      <c r="AP8260" t="s">
        <v>12698</v>
      </c>
      <c r="AQ8260">
        <v>2</v>
      </c>
      <c r="AR8260" t="s">
        <v>66</v>
      </c>
      <c r="AS8260" t="s">
        <v>67</v>
      </c>
      <c r="AT8260" t="s">
        <v>58</v>
      </c>
      <c r="AU8260" t="s">
        <v>8673</v>
      </c>
      <c r="AV8260" t="s">
        <v>132</v>
      </c>
      <c r="AW8260" s="1">
        <v>33069</v>
      </c>
      <c r="AX8260">
        <v>1</v>
      </c>
    </row>
    <row r="8261" spans="1:50">
      <c r="A8261">
        <v>591756</v>
      </c>
      <c r="B8261" t="str">
        <f>"050470417"</f>
        <v>050470417</v>
      </c>
      <c r="C8261" t="s">
        <v>50</v>
      </c>
      <c r="D8261" t="s">
        <v>413</v>
      </c>
      <c r="E8261" t="s">
        <v>83</v>
      </c>
      <c r="F8261" t="s">
        <v>670</v>
      </c>
      <c r="G8261" t="s">
        <v>1361</v>
      </c>
      <c r="H8261" t="str">
        <f>"ΑΠΟΣΤΟΛΑΚΗ 10Α ΡΕΘΥΜΝΟ"</f>
        <v>ΑΠΟΣΤΟΛΑΚΗ 10Α ΡΕΘΥΜΝΟ</v>
      </c>
      <c r="I8261">
        <v>74100</v>
      </c>
      <c r="J8261">
        <v>2831058125</v>
      </c>
      <c r="K8261">
        <v>6977494695</v>
      </c>
      <c r="M8261" t="s">
        <v>12699</v>
      </c>
      <c r="N8261" t="s">
        <v>1525</v>
      </c>
      <c r="O8261" t="s">
        <v>1526</v>
      </c>
      <c r="R8261" t="s">
        <v>57</v>
      </c>
      <c r="S8261">
        <v>11</v>
      </c>
      <c r="T8261">
        <v>249</v>
      </c>
      <c r="U8261" s="1">
        <v>36769</v>
      </c>
      <c r="V8261" t="s">
        <v>66</v>
      </c>
      <c r="W8261" t="s">
        <v>67</v>
      </c>
      <c r="X8261" t="s">
        <v>58</v>
      </c>
      <c r="Y8261">
        <v>25</v>
      </c>
      <c r="Z8261" t="s">
        <v>59</v>
      </c>
      <c r="AA8261" t="s">
        <v>59</v>
      </c>
      <c r="AB8261" t="s">
        <v>59</v>
      </c>
      <c r="AC8261" t="s">
        <v>59</v>
      </c>
      <c r="AD8261" t="s">
        <v>59</v>
      </c>
      <c r="AF8261" s="1">
        <v>36773</v>
      </c>
      <c r="AG8261" t="s">
        <v>8651</v>
      </c>
      <c r="AH8261" t="s">
        <v>8652</v>
      </c>
      <c r="AI8261" t="str">
        <f>"9410151"</f>
        <v>9410151</v>
      </c>
      <c r="AJ8261" t="s">
        <v>12700</v>
      </c>
      <c r="AK8261">
        <v>2831024336</v>
      </c>
      <c r="AL8261" t="s">
        <v>12701</v>
      </c>
      <c r="AM8261" t="s">
        <v>64</v>
      </c>
      <c r="AN8261" t="s">
        <v>65</v>
      </c>
      <c r="AO8261" t="s">
        <v>65</v>
      </c>
      <c r="AP8261" t="s">
        <v>65</v>
      </c>
      <c r="AQ8261">
        <v>1</v>
      </c>
      <c r="AR8261" t="s">
        <v>66</v>
      </c>
      <c r="AS8261" t="s">
        <v>67</v>
      </c>
      <c r="AT8261" t="s">
        <v>58</v>
      </c>
      <c r="AU8261" t="s">
        <v>68</v>
      </c>
      <c r="AV8261" t="s">
        <v>69</v>
      </c>
      <c r="AW8261" s="1">
        <v>23645</v>
      </c>
      <c r="AX8261">
        <v>1</v>
      </c>
    </row>
    <row r="8262" spans="1:50">
      <c r="A8262">
        <v>614153</v>
      </c>
      <c r="B8262" t="str">
        <f>"125578794"</f>
        <v>125578794</v>
      </c>
      <c r="C8262" t="s">
        <v>105</v>
      </c>
      <c r="D8262" t="s">
        <v>430</v>
      </c>
      <c r="E8262" t="s">
        <v>84</v>
      </c>
      <c r="F8262" t="s">
        <v>53</v>
      </c>
      <c r="G8262" t="s">
        <v>1068</v>
      </c>
      <c r="H8262" t="str">
        <f>"ΕΡΩΤΟΚΡΙΤΟΥ  1 ΡΕΘΥΜΝΟ"</f>
        <v>ΕΡΩΤΟΚΡΙΤΟΥ  1 ΡΕΘΥΜΝΟ</v>
      </c>
      <c r="I8262">
        <v>74100</v>
      </c>
      <c r="J8262">
        <v>2831058179</v>
      </c>
      <c r="K8262">
        <v>6944837368</v>
      </c>
      <c r="N8262" t="s">
        <v>615</v>
      </c>
      <c r="O8262" t="s">
        <v>616</v>
      </c>
      <c r="R8262" t="s">
        <v>57</v>
      </c>
      <c r="S8262">
        <v>11</v>
      </c>
      <c r="T8262">
        <v>598</v>
      </c>
      <c r="U8262" s="1">
        <v>39310</v>
      </c>
      <c r="V8262" t="s">
        <v>66</v>
      </c>
      <c r="W8262" t="s">
        <v>67</v>
      </c>
      <c r="X8262" t="s">
        <v>58</v>
      </c>
      <c r="Y8262">
        <v>23</v>
      </c>
      <c r="Z8262" t="s">
        <v>59</v>
      </c>
      <c r="AA8262" t="s">
        <v>59</v>
      </c>
      <c r="AB8262" t="s">
        <v>59</v>
      </c>
      <c r="AC8262" t="s">
        <v>59</v>
      </c>
      <c r="AD8262" t="s">
        <v>59</v>
      </c>
      <c r="AF8262" s="1">
        <v>39330</v>
      </c>
      <c r="AG8262" t="s">
        <v>8645</v>
      </c>
      <c r="AH8262" t="s">
        <v>8646</v>
      </c>
      <c r="AI8262" t="str">
        <f>"9410051"</f>
        <v>9410051</v>
      </c>
      <c r="AJ8262" t="s">
        <v>12660</v>
      </c>
      <c r="AK8262">
        <v>2834022247</v>
      </c>
      <c r="AL8262" t="s">
        <v>12661</v>
      </c>
      <c r="AM8262" t="s">
        <v>64</v>
      </c>
      <c r="AN8262" t="s">
        <v>5672</v>
      </c>
      <c r="AO8262" t="s">
        <v>5673</v>
      </c>
      <c r="AP8262" t="s">
        <v>5689</v>
      </c>
      <c r="AQ8262">
        <v>7</v>
      </c>
      <c r="AR8262" t="s">
        <v>66</v>
      </c>
      <c r="AS8262" t="s">
        <v>67</v>
      </c>
      <c r="AT8262" t="s">
        <v>58</v>
      </c>
      <c r="AU8262" t="s">
        <v>68</v>
      </c>
      <c r="AV8262" t="s">
        <v>69</v>
      </c>
      <c r="AW8262" s="1">
        <v>30650</v>
      </c>
      <c r="AX8262">
        <v>1</v>
      </c>
    </row>
    <row r="8263" spans="1:50">
      <c r="B8263" t="str">
        <f>"062094134"</f>
        <v>062094134</v>
      </c>
      <c r="C8263" t="s">
        <v>50</v>
      </c>
      <c r="D8263" t="s">
        <v>433</v>
      </c>
      <c r="E8263" t="s">
        <v>396</v>
      </c>
      <c r="F8263" t="s">
        <v>4097</v>
      </c>
      <c r="G8263" t="s">
        <v>414</v>
      </c>
      <c r="H8263" t="str">
        <f>"ΧΑΝΙΩΝ  10 ΡΕΘΥΜΝΟ"</f>
        <v>ΧΑΝΙΩΝ  10 ΡΕΘΥΜΝΟ</v>
      </c>
      <c r="I8263">
        <v>74100</v>
      </c>
      <c r="J8263">
        <v>2831026550</v>
      </c>
      <c r="K8263">
        <v>6972929454</v>
      </c>
      <c r="N8263" t="s">
        <v>176</v>
      </c>
      <c r="O8263" t="s">
        <v>177</v>
      </c>
      <c r="R8263" t="s">
        <v>57</v>
      </c>
      <c r="S8263">
        <v>5</v>
      </c>
      <c r="T8263" t="s">
        <v>8675</v>
      </c>
      <c r="U8263" s="1">
        <v>43348</v>
      </c>
      <c r="V8263" t="s">
        <v>66</v>
      </c>
      <c r="W8263" t="s">
        <v>67</v>
      </c>
      <c r="X8263" t="s">
        <v>58</v>
      </c>
      <c r="Y8263">
        <v>23</v>
      </c>
      <c r="Z8263" t="s">
        <v>59</v>
      </c>
      <c r="AA8263" t="s">
        <v>59</v>
      </c>
      <c r="AB8263" t="s">
        <v>59</v>
      </c>
      <c r="AC8263" t="s">
        <v>59</v>
      </c>
      <c r="AD8263" t="s">
        <v>59</v>
      </c>
      <c r="AF8263" s="1">
        <v>43348</v>
      </c>
      <c r="AG8263" t="s">
        <v>8645</v>
      </c>
      <c r="AH8263" t="s">
        <v>8646</v>
      </c>
      <c r="AI8263" t="str">
        <f>"9410226"</f>
        <v>9410226</v>
      </c>
      <c r="AJ8263" t="s">
        <v>12702</v>
      </c>
      <c r="AK8263">
        <v>2831071088</v>
      </c>
      <c r="AL8263" t="s">
        <v>12703</v>
      </c>
      <c r="AM8263" t="s">
        <v>64</v>
      </c>
      <c r="AN8263" t="s">
        <v>65</v>
      </c>
      <c r="AO8263" t="s">
        <v>12694</v>
      </c>
      <c r="AP8263" t="s">
        <v>12704</v>
      </c>
      <c r="AQ8263">
        <v>3</v>
      </c>
      <c r="AR8263" t="s">
        <v>66</v>
      </c>
      <c r="AS8263" t="s">
        <v>67</v>
      </c>
      <c r="AT8263" t="s">
        <v>58</v>
      </c>
      <c r="AU8263" t="s">
        <v>8673</v>
      </c>
      <c r="AV8263" t="s">
        <v>132</v>
      </c>
      <c r="AW8263" s="1">
        <v>28037</v>
      </c>
      <c r="AX8263">
        <v>1</v>
      </c>
    </row>
    <row r="8264" spans="1:50">
      <c r="A8264">
        <v>595651</v>
      </c>
      <c r="B8264" t="str">
        <f>"063031563"</f>
        <v>063031563</v>
      </c>
      <c r="C8264" t="s">
        <v>50</v>
      </c>
      <c r="D8264" t="s">
        <v>433</v>
      </c>
      <c r="E8264" t="s">
        <v>191</v>
      </c>
      <c r="F8264" t="s">
        <v>95</v>
      </c>
      <c r="G8264" t="s">
        <v>71</v>
      </c>
      <c r="H8264" t="str">
        <f>"ΧΑΡ.ΔΑΣΚΑΛΑΚΗ 28 ΡΕΘΥΜΝΟ"</f>
        <v>ΧΑΡ.ΔΑΣΚΑΛΑΚΗ 28 ΡΕΘΥΜΝΟ</v>
      </c>
      <c r="I8264">
        <v>74100</v>
      </c>
      <c r="J8264">
        <v>2831021354</v>
      </c>
      <c r="K8264">
        <v>6948899125</v>
      </c>
      <c r="M8264" t="s">
        <v>12705</v>
      </c>
      <c r="N8264" t="s">
        <v>1525</v>
      </c>
      <c r="O8264" t="s">
        <v>1526</v>
      </c>
      <c r="R8264" t="s">
        <v>57</v>
      </c>
      <c r="S8264">
        <v>10</v>
      </c>
      <c r="T8264">
        <v>218</v>
      </c>
      <c r="U8264" s="1">
        <v>37134</v>
      </c>
      <c r="V8264" t="s">
        <v>66</v>
      </c>
      <c r="W8264" t="s">
        <v>67</v>
      </c>
      <c r="X8264" t="s">
        <v>58</v>
      </c>
      <c r="Y8264">
        <v>25</v>
      </c>
      <c r="Z8264" t="s">
        <v>59</v>
      </c>
      <c r="AA8264" t="s">
        <v>59</v>
      </c>
      <c r="AB8264" t="s">
        <v>59</v>
      </c>
      <c r="AC8264" t="s">
        <v>59</v>
      </c>
      <c r="AD8264" t="s">
        <v>59</v>
      </c>
      <c r="AF8264" s="1">
        <v>37140</v>
      </c>
      <c r="AG8264" t="s">
        <v>8651</v>
      </c>
      <c r="AH8264" t="s">
        <v>8652</v>
      </c>
      <c r="AI8264" t="str">
        <f>"9410189"</f>
        <v>9410189</v>
      </c>
      <c r="AJ8264" t="s">
        <v>12706</v>
      </c>
      <c r="AK8264">
        <v>2831028290</v>
      </c>
      <c r="AL8264" t="s">
        <v>12707</v>
      </c>
      <c r="AM8264" t="s">
        <v>64</v>
      </c>
      <c r="AN8264" t="s">
        <v>65</v>
      </c>
      <c r="AO8264" t="s">
        <v>65</v>
      </c>
      <c r="AP8264" t="s">
        <v>65</v>
      </c>
      <c r="AQ8264">
        <v>1</v>
      </c>
      <c r="AR8264" t="s">
        <v>66</v>
      </c>
      <c r="AS8264" t="s">
        <v>67</v>
      </c>
      <c r="AT8264" t="s">
        <v>58</v>
      </c>
      <c r="AU8264" t="s">
        <v>68</v>
      </c>
      <c r="AV8264" t="s">
        <v>2039</v>
      </c>
      <c r="AW8264" s="1">
        <v>27477</v>
      </c>
      <c r="AX8264">
        <v>1</v>
      </c>
    </row>
    <row r="8265" spans="1:50">
      <c r="A8265">
        <v>570846</v>
      </c>
      <c r="B8265" t="str">
        <f>"037947291"</f>
        <v>037947291</v>
      </c>
      <c r="C8265" t="s">
        <v>105</v>
      </c>
      <c r="D8265" t="s">
        <v>12708</v>
      </c>
      <c r="E8265" t="s">
        <v>53</v>
      </c>
      <c r="F8265" t="s">
        <v>154</v>
      </c>
      <c r="G8265" t="s">
        <v>12646</v>
      </c>
      <c r="H8265" t="str">
        <f>"ΙΕΡΑΣ ΜΗΤΡΟΠΟΛΕΩΣ 18 ΡΕΘΥΜΝΟ"</f>
        <v>ΙΕΡΑΣ ΜΗΤΡΟΠΟΛΕΩΣ 18 ΡΕΘΥΜΝΟ</v>
      </c>
      <c r="J8265">
        <v>2831052237</v>
      </c>
      <c r="K8265">
        <v>6972901845</v>
      </c>
      <c r="N8265" t="s">
        <v>615</v>
      </c>
      <c r="O8265" t="s">
        <v>616</v>
      </c>
      <c r="R8265" t="s">
        <v>57</v>
      </c>
      <c r="S8265">
        <v>13</v>
      </c>
      <c r="T8265">
        <v>138</v>
      </c>
      <c r="U8265" s="1">
        <v>34206</v>
      </c>
      <c r="V8265" t="s">
        <v>66</v>
      </c>
      <c r="W8265" t="s">
        <v>67</v>
      </c>
      <c r="X8265" t="s">
        <v>58</v>
      </c>
      <c r="Y8265">
        <v>21</v>
      </c>
      <c r="Z8265" t="s">
        <v>59</v>
      </c>
      <c r="AA8265" t="s">
        <v>59</v>
      </c>
      <c r="AB8265" t="s">
        <v>59</v>
      </c>
      <c r="AC8265" t="s">
        <v>59</v>
      </c>
      <c r="AD8265" t="s">
        <v>59</v>
      </c>
      <c r="AF8265" s="1">
        <v>34213</v>
      </c>
      <c r="AG8265" t="s">
        <v>8645</v>
      </c>
      <c r="AH8265" t="s">
        <v>8646</v>
      </c>
      <c r="AI8265" t="str">
        <f>"9410160"</f>
        <v>9410160</v>
      </c>
      <c r="AJ8265" t="s">
        <v>12689</v>
      </c>
      <c r="AK8265">
        <v>2831041098</v>
      </c>
      <c r="AL8265" t="s">
        <v>12690</v>
      </c>
      <c r="AM8265" t="s">
        <v>64</v>
      </c>
      <c r="AN8265" t="s">
        <v>65</v>
      </c>
      <c r="AO8265" t="s">
        <v>65</v>
      </c>
      <c r="AP8265" t="s">
        <v>11883</v>
      </c>
      <c r="AQ8265">
        <v>2</v>
      </c>
      <c r="AR8265" t="s">
        <v>66</v>
      </c>
      <c r="AS8265" t="s">
        <v>67</v>
      </c>
      <c r="AT8265" t="s">
        <v>58</v>
      </c>
      <c r="AU8265" t="s">
        <v>68</v>
      </c>
      <c r="AV8265" t="s">
        <v>69</v>
      </c>
      <c r="AW8265" s="1">
        <v>23119</v>
      </c>
      <c r="AX8265">
        <v>1</v>
      </c>
    </row>
    <row r="8266" spans="1:50">
      <c r="A8266">
        <v>619661</v>
      </c>
      <c r="B8266" t="str">
        <f>"138307590"</f>
        <v>138307590</v>
      </c>
      <c r="C8266" t="s">
        <v>50</v>
      </c>
      <c r="D8266" t="s">
        <v>12709</v>
      </c>
      <c r="E8266" t="s">
        <v>964</v>
      </c>
      <c r="F8266" t="s">
        <v>95</v>
      </c>
      <c r="G8266" t="s">
        <v>112</v>
      </c>
      <c r="H8266" t="str">
        <f>"ΠΑΠΑΔΟΓΙΩΡΓΑΚΗ 17 ΠΕΡΙΒΟΛΙΑ"</f>
        <v>ΠΑΠΑΔΟΓΙΩΡΓΑΚΗ 17 ΠΕΡΙΒΟΛΙΑ</v>
      </c>
      <c r="I8266">
        <v>74100</v>
      </c>
      <c r="J8266">
        <v>2831027749</v>
      </c>
      <c r="K8266">
        <v>6997165934</v>
      </c>
      <c r="L8266">
        <v>2108655964</v>
      </c>
      <c r="M8266" t="s">
        <v>12710</v>
      </c>
      <c r="N8266" t="s">
        <v>1525</v>
      </c>
      <c r="O8266" t="s">
        <v>1526</v>
      </c>
      <c r="R8266" t="s">
        <v>57</v>
      </c>
      <c r="S8266">
        <v>4</v>
      </c>
      <c r="T8266">
        <v>774</v>
      </c>
      <c r="U8266" s="1">
        <v>39680</v>
      </c>
      <c r="V8266" t="s">
        <v>66</v>
      </c>
      <c r="W8266" t="s">
        <v>67</v>
      </c>
      <c r="X8266" t="s">
        <v>58</v>
      </c>
      <c r="Y8266">
        <v>25</v>
      </c>
      <c r="Z8266" t="s">
        <v>59</v>
      </c>
      <c r="AA8266" t="s">
        <v>59</v>
      </c>
      <c r="AB8266" t="s">
        <v>59</v>
      </c>
      <c r="AC8266" t="s">
        <v>59</v>
      </c>
      <c r="AD8266" t="s">
        <v>59</v>
      </c>
      <c r="AF8266" s="1">
        <v>39692</v>
      </c>
      <c r="AG8266" t="s">
        <v>8651</v>
      </c>
      <c r="AH8266" t="s">
        <v>8652</v>
      </c>
      <c r="AI8266" t="str">
        <f>"9410121"</f>
        <v>9410121</v>
      </c>
      <c r="AJ8266" t="s">
        <v>12711</v>
      </c>
      <c r="AK8266">
        <v>2832022434</v>
      </c>
      <c r="AL8266" t="s">
        <v>12712</v>
      </c>
      <c r="AM8266" t="s">
        <v>64</v>
      </c>
      <c r="AN8266" t="s">
        <v>5882</v>
      </c>
      <c r="AO8266" t="s">
        <v>5883</v>
      </c>
      <c r="AP8266" t="s">
        <v>5884</v>
      </c>
      <c r="AQ8266">
        <v>5</v>
      </c>
      <c r="AR8266" t="s">
        <v>66</v>
      </c>
      <c r="AS8266" t="s">
        <v>67</v>
      </c>
      <c r="AT8266" t="s">
        <v>58</v>
      </c>
      <c r="AU8266" t="s">
        <v>68</v>
      </c>
      <c r="AV8266" t="s">
        <v>69</v>
      </c>
      <c r="AW8266" s="1">
        <v>30458</v>
      </c>
      <c r="AX8266">
        <v>1</v>
      </c>
    </row>
    <row r="8267" spans="1:50">
      <c r="A8267">
        <v>704036</v>
      </c>
      <c r="B8267" t="str">
        <f>"117624778"</f>
        <v>117624778</v>
      </c>
      <c r="C8267" t="s">
        <v>50</v>
      </c>
      <c r="D8267" t="s">
        <v>12713</v>
      </c>
      <c r="E8267" t="s">
        <v>5764</v>
      </c>
      <c r="F8267" t="s">
        <v>670</v>
      </c>
      <c r="G8267" t="s">
        <v>1001</v>
      </c>
      <c r="H8267" t="str">
        <f>" "</f>
        <v xml:space="preserve"> </v>
      </c>
      <c r="N8267" t="s">
        <v>478</v>
      </c>
      <c r="O8267" t="s">
        <v>479</v>
      </c>
      <c r="R8267" t="s">
        <v>57</v>
      </c>
      <c r="S8267">
        <v>3</v>
      </c>
      <c r="T8267">
        <v>1350</v>
      </c>
      <c r="U8267" s="1">
        <v>42732</v>
      </c>
      <c r="V8267" t="s">
        <v>66</v>
      </c>
      <c r="W8267" t="s">
        <v>67</v>
      </c>
      <c r="X8267" t="s">
        <v>58</v>
      </c>
      <c r="Y8267">
        <v>24</v>
      </c>
      <c r="Z8267" t="s">
        <v>59</v>
      </c>
      <c r="AA8267" t="s">
        <v>59</v>
      </c>
      <c r="AB8267" t="s">
        <v>59</v>
      </c>
      <c r="AD8267" t="s">
        <v>59</v>
      </c>
      <c r="AF8267" s="1">
        <v>42734</v>
      </c>
      <c r="AG8267" t="s">
        <v>8645</v>
      </c>
      <c r="AH8267" t="s">
        <v>8646</v>
      </c>
      <c r="AI8267" t="str">
        <f>"9521348"</f>
        <v>9521348</v>
      </c>
      <c r="AJ8267" t="s">
        <v>12714</v>
      </c>
      <c r="AK8267">
        <v>2831021334</v>
      </c>
      <c r="AL8267" t="s">
        <v>12715</v>
      </c>
      <c r="AM8267" t="s">
        <v>64</v>
      </c>
      <c r="AN8267" t="s">
        <v>65</v>
      </c>
      <c r="AO8267" t="s">
        <v>5720</v>
      </c>
      <c r="AP8267" t="s">
        <v>5721</v>
      </c>
      <c r="AQ8267">
        <v>2</v>
      </c>
      <c r="AR8267" t="s">
        <v>66</v>
      </c>
      <c r="AS8267" t="s">
        <v>67</v>
      </c>
      <c r="AT8267" t="s">
        <v>58</v>
      </c>
      <c r="AU8267" t="s">
        <v>68</v>
      </c>
      <c r="AV8267" t="s">
        <v>69</v>
      </c>
      <c r="AX8267">
        <v>1</v>
      </c>
    </row>
    <row r="8268" spans="1:50">
      <c r="B8268" t="str">
        <f>"150900070"</f>
        <v>150900070</v>
      </c>
      <c r="C8268" t="s">
        <v>50</v>
      </c>
      <c r="D8268" t="s">
        <v>4561</v>
      </c>
      <c r="E8268" t="s">
        <v>1078</v>
      </c>
      <c r="F8268" t="s">
        <v>95</v>
      </c>
      <c r="G8268" t="s">
        <v>181</v>
      </c>
      <c r="H8268" t="str">
        <f>"Πατριάρχου Γρηγορίου Ζ 31 Σέρρες"</f>
        <v>Πατριάρχου Γρηγορίου Ζ 31 Σέρρες</v>
      </c>
      <c r="I8268">
        <v>62125</v>
      </c>
      <c r="J8268">
        <v>2321036672</v>
      </c>
      <c r="K8268">
        <v>6945001859</v>
      </c>
      <c r="M8268" t="s">
        <v>12716</v>
      </c>
      <c r="N8268" t="s">
        <v>8834</v>
      </c>
      <c r="O8268" t="s">
        <v>8695</v>
      </c>
      <c r="R8268" t="s">
        <v>159</v>
      </c>
      <c r="S8268">
        <v>3</v>
      </c>
      <c r="T8268" t="s">
        <v>8835</v>
      </c>
      <c r="U8268" s="1">
        <v>43348</v>
      </c>
      <c r="V8268" t="s">
        <v>66</v>
      </c>
      <c r="W8268" t="s">
        <v>67</v>
      </c>
      <c r="X8268" t="s">
        <v>58</v>
      </c>
      <c r="Y8268">
        <v>24</v>
      </c>
      <c r="Z8268" t="s">
        <v>59</v>
      </c>
      <c r="AA8268" t="s">
        <v>59</v>
      </c>
      <c r="AB8268" t="s">
        <v>59</v>
      </c>
      <c r="AC8268" t="s">
        <v>59</v>
      </c>
      <c r="AD8268" t="s">
        <v>59</v>
      </c>
      <c r="AF8268" s="1">
        <v>43348</v>
      </c>
      <c r="AG8268" t="s">
        <v>8645</v>
      </c>
      <c r="AH8268" t="s">
        <v>8646</v>
      </c>
      <c r="AI8268" t="str">
        <f>"9410065"</f>
        <v>9410065</v>
      </c>
      <c r="AJ8268" t="s">
        <v>12717</v>
      </c>
      <c r="AK8268">
        <v>2831022519</v>
      </c>
      <c r="AL8268" t="s">
        <v>12718</v>
      </c>
      <c r="AM8268" t="s">
        <v>64</v>
      </c>
      <c r="AN8268" t="s">
        <v>65</v>
      </c>
      <c r="AO8268" t="s">
        <v>65</v>
      </c>
      <c r="AP8268" t="s">
        <v>65</v>
      </c>
      <c r="AQ8268">
        <v>1</v>
      </c>
      <c r="AR8268" t="s">
        <v>66</v>
      </c>
      <c r="AS8268" t="s">
        <v>67</v>
      </c>
      <c r="AT8268" t="s">
        <v>58</v>
      </c>
      <c r="AU8268" t="s">
        <v>131</v>
      </c>
      <c r="AV8268" t="s">
        <v>132</v>
      </c>
      <c r="AW8268" s="1">
        <v>32687</v>
      </c>
      <c r="AX8268">
        <v>1</v>
      </c>
    </row>
    <row r="8269" spans="1:50">
      <c r="A8269">
        <v>594839</v>
      </c>
      <c r="B8269" t="str">
        <f>"073695154"</f>
        <v>073695154</v>
      </c>
      <c r="C8269" t="s">
        <v>105</v>
      </c>
      <c r="D8269" t="s">
        <v>12719</v>
      </c>
      <c r="E8269" t="s">
        <v>7246</v>
      </c>
      <c r="F8269" t="s">
        <v>782</v>
      </c>
      <c r="G8269" t="s">
        <v>2127</v>
      </c>
      <c r="H8269" t="str">
        <f>"ΠΑΝΕΠΙΣΤΗΜΙΟΥ ΚΡΗΤΗΣ 3 ΠΑΝΟΡΑΜΑ ΡΕΘΥΜΝΟΥ"</f>
        <v>ΠΑΝΕΠΙΣΤΗΜΙΟΥ ΚΡΗΤΗΣ 3 ΠΑΝΟΡΑΜΑ ΡΕΘΥΜΝΟΥ</v>
      </c>
      <c r="I8269">
        <v>74132</v>
      </c>
      <c r="K8269">
        <v>6973692914</v>
      </c>
      <c r="N8269" t="s">
        <v>615</v>
      </c>
      <c r="O8269" t="s">
        <v>616</v>
      </c>
      <c r="R8269" t="s">
        <v>57</v>
      </c>
      <c r="S8269">
        <v>9</v>
      </c>
      <c r="T8269">
        <v>218</v>
      </c>
      <c r="U8269" s="1">
        <v>37134</v>
      </c>
      <c r="V8269" t="s">
        <v>66</v>
      </c>
      <c r="W8269" t="s">
        <v>67</v>
      </c>
      <c r="X8269" t="s">
        <v>58</v>
      </c>
      <c r="Y8269">
        <v>22</v>
      </c>
      <c r="Z8269" t="s">
        <v>59</v>
      </c>
      <c r="AA8269" t="s">
        <v>59</v>
      </c>
      <c r="AB8269" t="s">
        <v>59</v>
      </c>
      <c r="AC8269" t="s">
        <v>59</v>
      </c>
      <c r="AD8269" t="s">
        <v>59</v>
      </c>
      <c r="AF8269" s="1">
        <v>37134</v>
      </c>
      <c r="AG8269" t="s">
        <v>8645</v>
      </c>
      <c r="AH8269" t="s">
        <v>8646</v>
      </c>
      <c r="AI8269" t="str">
        <f>"9410263"</f>
        <v>9410263</v>
      </c>
      <c r="AJ8269" t="s">
        <v>12672</v>
      </c>
      <c r="AK8269">
        <v>2831053818</v>
      </c>
      <c r="AL8269" t="s">
        <v>12673</v>
      </c>
      <c r="AM8269" t="s">
        <v>64</v>
      </c>
      <c r="AN8269" t="s">
        <v>65</v>
      </c>
      <c r="AO8269" t="s">
        <v>65</v>
      </c>
      <c r="AP8269" t="s">
        <v>65</v>
      </c>
      <c r="AQ8269">
        <v>1</v>
      </c>
      <c r="AR8269" t="s">
        <v>66</v>
      </c>
      <c r="AS8269" t="s">
        <v>67</v>
      </c>
      <c r="AT8269" t="s">
        <v>58</v>
      </c>
      <c r="AU8269" t="s">
        <v>68</v>
      </c>
      <c r="AV8269" t="s">
        <v>69</v>
      </c>
      <c r="AW8269" s="1">
        <v>25985</v>
      </c>
      <c r="AX8269">
        <v>1</v>
      </c>
    </row>
    <row r="8270" spans="1:50">
      <c r="B8270" t="str">
        <f>"142697326"</f>
        <v>142697326</v>
      </c>
      <c r="C8270" t="s">
        <v>50</v>
      </c>
      <c r="D8270" t="s">
        <v>12720</v>
      </c>
      <c r="E8270" t="s">
        <v>263</v>
      </c>
      <c r="F8270" t="s">
        <v>383</v>
      </c>
      <c r="G8270" t="s">
        <v>255</v>
      </c>
      <c r="H8270" t="str">
        <f>" "</f>
        <v xml:space="preserve"> </v>
      </c>
      <c r="N8270" t="s">
        <v>615</v>
      </c>
      <c r="O8270" t="s">
        <v>616</v>
      </c>
      <c r="R8270" t="s">
        <v>121</v>
      </c>
      <c r="S8270">
        <v>1</v>
      </c>
      <c r="T8270" t="s">
        <v>8717</v>
      </c>
      <c r="U8270" s="1">
        <v>43348</v>
      </c>
      <c r="V8270" t="s">
        <v>66</v>
      </c>
      <c r="W8270" t="s">
        <v>67</v>
      </c>
      <c r="X8270" t="s">
        <v>58</v>
      </c>
      <c r="Y8270">
        <v>24</v>
      </c>
      <c r="Z8270" t="s">
        <v>59</v>
      </c>
      <c r="AA8270" t="s">
        <v>59</v>
      </c>
      <c r="AB8270" t="s">
        <v>59</v>
      </c>
      <c r="AD8270" t="s">
        <v>59</v>
      </c>
      <c r="AF8270" s="1">
        <v>43348</v>
      </c>
      <c r="AG8270" t="s">
        <v>8645</v>
      </c>
      <c r="AH8270" t="s">
        <v>8646</v>
      </c>
      <c r="AI8270" t="str">
        <f>"9410072"</f>
        <v>9410072</v>
      </c>
      <c r="AJ8270" t="s">
        <v>12692</v>
      </c>
      <c r="AK8270">
        <v>2831071264</v>
      </c>
      <c r="AL8270" t="s">
        <v>12693</v>
      </c>
      <c r="AM8270" t="s">
        <v>64</v>
      </c>
      <c r="AN8270" t="s">
        <v>65</v>
      </c>
      <c r="AO8270" t="s">
        <v>12694</v>
      </c>
      <c r="AP8270" t="s">
        <v>12695</v>
      </c>
      <c r="AQ8270">
        <v>3</v>
      </c>
      <c r="AR8270" t="s">
        <v>66</v>
      </c>
      <c r="AS8270" t="s">
        <v>67</v>
      </c>
      <c r="AT8270" t="s">
        <v>58</v>
      </c>
      <c r="AU8270" t="s">
        <v>8720</v>
      </c>
      <c r="AV8270" t="s">
        <v>132</v>
      </c>
      <c r="AW8270" s="1">
        <v>32715</v>
      </c>
      <c r="AX8270">
        <v>1</v>
      </c>
    </row>
    <row r="8271" spans="1:50">
      <c r="B8271" t="str">
        <f>"118849596"</f>
        <v>118849596</v>
      </c>
      <c r="C8271" t="s">
        <v>50</v>
      </c>
      <c r="D8271" t="s">
        <v>12721</v>
      </c>
      <c r="E8271" t="s">
        <v>12722</v>
      </c>
      <c r="F8271" t="s">
        <v>12723</v>
      </c>
      <c r="G8271" t="s">
        <v>263</v>
      </c>
      <c r="H8271" t="str">
        <f>"ΕΠΙΝΙΚΟΥ 9 "</f>
        <v xml:space="preserve">ΕΠΙΝΙΚΟΥ 9 </v>
      </c>
      <c r="I8271">
        <v>11143</v>
      </c>
      <c r="J8271">
        <v>2102528550</v>
      </c>
      <c r="K8271">
        <v>6945959083</v>
      </c>
      <c r="N8271" t="s">
        <v>384</v>
      </c>
      <c r="O8271" t="s">
        <v>385</v>
      </c>
      <c r="R8271" t="s">
        <v>121</v>
      </c>
      <c r="S8271">
        <v>3</v>
      </c>
      <c r="T8271" t="s">
        <v>8675</v>
      </c>
      <c r="U8271" s="1">
        <v>43348</v>
      </c>
      <c r="V8271" t="s">
        <v>66</v>
      </c>
      <c r="W8271" t="s">
        <v>67</v>
      </c>
      <c r="X8271" t="s">
        <v>58</v>
      </c>
      <c r="Y8271">
        <v>24</v>
      </c>
      <c r="Z8271" t="s">
        <v>59</v>
      </c>
      <c r="AA8271" t="s">
        <v>59</v>
      </c>
      <c r="AB8271" t="s">
        <v>59</v>
      </c>
      <c r="AC8271" t="s">
        <v>59</v>
      </c>
      <c r="AD8271" t="s">
        <v>59</v>
      </c>
      <c r="AF8271" s="1">
        <v>43348</v>
      </c>
      <c r="AG8271" t="s">
        <v>8645</v>
      </c>
      <c r="AH8271" t="s">
        <v>8646</v>
      </c>
      <c r="AI8271" t="str">
        <f>"9410064"</f>
        <v>9410064</v>
      </c>
      <c r="AJ8271" t="s">
        <v>12683</v>
      </c>
      <c r="AK8271">
        <v>2831028390</v>
      </c>
      <c r="AL8271" t="s">
        <v>12684</v>
      </c>
      <c r="AM8271" t="s">
        <v>64</v>
      </c>
      <c r="AN8271" t="s">
        <v>65</v>
      </c>
      <c r="AO8271" t="s">
        <v>65</v>
      </c>
      <c r="AP8271" t="s">
        <v>65</v>
      </c>
      <c r="AQ8271">
        <v>1</v>
      </c>
      <c r="AR8271" t="s">
        <v>66</v>
      </c>
      <c r="AS8271" t="s">
        <v>67</v>
      </c>
      <c r="AT8271" t="s">
        <v>58</v>
      </c>
      <c r="AU8271" t="s">
        <v>8673</v>
      </c>
      <c r="AV8271" t="s">
        <v>132</v>
      </c>
      <c r="AW8271" s="1">
        <v>29857</v>
      </c>
      <c r="AX8271">
        <v>1</v>
      </c>
    </row>
    <row r="8272" spans="1:50">
      <c r="A8272">
        <v>702550</v>
      </c>
      <c r="B8272" t="str">
        <f>"122090746"</f>
        <v>122090746</v>
      </c>
      <c r="C8272" t="s">
        <v>50</v>
      </c>
      <c r="D8272" t="s">
        <v>475</v>
      </c>
      <c r="E8272" t="s">
        <v>83</v>
      </c>
      <c r="F8272" t="s">
        <v>309</v>
      </c>
      <c r="G8272" t="s">
        <v>114</v>
      </c>
      <c r="H8272" t="str">
        <f>"ΑΓΙΟΥ ΚΟΣΜΑ 13 "</f>
        <v xml:space="preserve">ΑΓΙΟΥ ΚΟΣΜΑ 13 </v>
      </c>
      <c r="I8272">
        <v>51100</v>
      </c>
      <c r="J8272">
        <v>2462084104</v>
      </c>
      <c r="K8272">
        <v>6978147122</v>
      </c>
      <c r="N8272" t="s">
        <v>615</v>
      </c>
      <c r="O8272" t="s">
        <v>616</v>
      </c>
      <c r="R8272" t="s">
        <v>57</v>
      </c>
      <c r="S8272">
        <v>4</v>
      </c>
      <c r="T8272" t="s">
        <v>12724</v>
      </c>
      <c r="U8272" s="1">
        <v>40413</v>
      </c>
      <c r="V8272" t="s">
        <v>66</v>
      </c>
      <c r="W8272" t="s">
        <v>67</v>
      </c>
      <c r="X8272" t="s">
        <v>58</v>
      </c>
      <c r="Y8272">
        <v>24</v>
      </c>
      <c r="Z8272" t="s">
        <v>59</v>
      </c>
      <c r="AA8272" t="s">
        <v>59</v>
      </c>
      <c r="AB8272" t="s">
        <v>59</v>
      </c>
      <c r="AC8272" t="s">
        <v>59</v>
      </c>
      <c r="AD8272" t="s">
        <v>59</v>
      </c>
      <c r="AF8272" s="1">
        <v>40413</v>
      </c>
      <c r="AG8272" t="s">
        <v>8645</v>
      </c>
      <c r="AH8272" t="s">
        <v>8676</v>
      </c>
      <c r="AI8272" t="str">
        <f>"9410015"</f>
        <v>9410015</v>
      </c>
      <c r="AJ8272" t="s">
        <v>12725</v>
      </c>
      <c r="AK8272">
        <v>2834061336</v>
      </c>
      <c r="AL8272" t="s">
        <v>12726</v>
      </c>
      <c r="AM8272" t="s">
        <v>64</v>
      </c>
      <c r="AN8272" t="s">
        <v>5672</v>
      </c>
      <c r="AO8272" t="s">
        <v>5698</v>
      </c>
      <c r="AP8272" t="s">
        <v>12727</v>
      </c>
      <c r="AQ8272">
        <v>11</v>
      </c>
      <c r="AR8272" t="s">
        <v>66</v>
      </c>
      <c r="AS8272" t="s">
        <v>67</v>
      </c>
      <c r="AT8272" t="s">
        <v>58</v>
      </c>
      <c r="AU8272" t="s">
        <v>68</v>
      </c>
      <c r="AV8272" t="s">
        <v>69</v>
      </c>
      <c r="AW8272" s="1">
        <v>31503</v>
      </c>
      <c r="AX8272">
        <v>1</v>
      </c>
    </row>
    <row r="8273" spans="1:50">
      <c r="B8273" t="str">
        <f>"149704982"</f>
        <v>149704982</v>
      </c>
      <c r="C8273" t="s">
        <v>50</v>
      </c>
      <c r="D8273" t="s">
        <v>12728</v>
      </c>
      <c r="E8273" t="s">
        <v>340</v>
      </c>
      <c r="F8273" t="s">
        <v>95</v>
      </c>
      <c r="G8273" t="s">
        <v>73</v>
      </c>
      <c r="H8273" t="str">
        <f>"ΜΙΑΟΥΛΗ 16  ΠΛΑΤΥ ΗΜΑΘΙΑΣ"</f>
        <v>ΜΙΑΟΥΛΗ 16  ΠΛΑΤΥ ΗΜΑΘΙΑΣ</v>
      </c>
      <c r="I8273">
        <v>59032</v>
      </c>
      <c r="J8273">
        <v>2333063970</v>
      </c>
      <c r="K8273">
        <v>6976091840</v>
      </c>
      <c r="L8273">
        <v>6946912095</v>
      </c>
      <c r="M8273" t="s">
        <v>12729</v>
      </c>
      <c r="N8273" t="s">
        <v>615</v>
      </c>
      <c r="O8273" t="s">
        <v>616</v>
      </c>
      <c r="R8273" t="s">
        <v>121</v>
      </c>
      <c r="S8273">
        <v>1</v>
      </c>
      <c r="T8273" t="s">
        <v>8675</v>
      </c>
      <c r="U8273" s="1">
        <v>43348</v>
      </c>
      <c r="V8273" t="s">
        <v>66</v>
      </c>
      <c r="W8273" t="s">
        <v>67</v>
      </c>
      <c r="X8273" t="s">
        <v>58</v>
      </c>
      <c r="Y8273">
        <v>25</v>
      </c>
      <c r="Z8273" t="s">
        <v>59</v>
      </c>
      <c r="AA8273" t="s">
        <v>59</v>
      </c>
      <c r="AB8273" t="s">
        <v>59</v>
      </c>
      <c r="AC8273" t="s">
        <v>59</v>
      </c>
      <c r="AD8273" t="s">
        <v>59</v>
      </c>
      <c r="AF8273" s="1">
        <v>43348</v>
      </c>
      <c r="AG8273" t="s">
        <v>8645</v>
      </c>
      <c r="AH8273" t="s">
        <v>8676</v>
      </c>
      <c r="AI8273" t="str">
        <f>"9410088"</f>
        <v>9410088</v>
      </c>
      <c r="AJ8273" t="s">
        <v>12730</v>
      </c>
      <c r="AK8273">
        <v>2832091235</v>
      </c>
      <c r="AL8273" t="s">
        <v>12731</v>
      </c>
      <c r="AM8273" t="s">
        <v>64</v>
      </c>
      <c r="AN8273" t="s">
        <v>5882</v>
      </c>
      <c r="AO8273" t="s">
        <v>5883</v>
      </c>
      <c r="AP8273" t="s">
        <v>12732</v>
      </c>
      <c r="AQ8273">
        <v>6</v>
      </c>
      <c r="AR8273" t="s">
        <v>66</v>
      </c>
      <c r="AS8273" t="s">
        <v>67</v>
      </c>
      <c r="AT8273" t="s">
        <v>58</v>
      </c>
      <c r="AU8273" t="s">
        <v>8673</v>
      </c>
      <c r="AV8273" t="s">
        <v>132</v>
      </c>
      <c r="AW8273" s="1">
        <v>32651</v>
      </c>
      <c r="AX8273">
        <v>1</v>
      </c>
    </row>
    <row r="8274" spans="1:50">
      <c r="B8274" t="str">
        <f>"131113878"</f>
        <v>131113878</v>
      </c>
      <c r="C8274" t="s">
        <v>50</v>
      </c>
      <c r="D8274" t="s">
        <v>8868</v>
      </c>
      <c r="E8274" t="s">
        <v>367</v>
      </c>
      <c r="F8274" t="s">
        <v>1229</v>
      </c>
      <c r="G8274" t="s">
        <v>112</v>
      </c>
      <c r="H8274" t="str">
        <f>"ΣΟΛΩΜΟΥ 10 ΤΡΙΚΑΛΑ"</f>
        <v>ΣΟΛΩΜΟΥ 10 ΤΡΙΚΑΛΑ</v>
      </c>
      <c r="I8274">
        <v>42100</v>
      </c>
      <c r="J8274">
        <v>2431020708</v>
      </c>
      <c r="K8274">
        <v>6974626711</v>
      </c>
      <c r="N8274" t="s">
        <v>306</v>
      </c>
      <c r="O8274" t="s">
        <v>307</v>
      </c>
      <c r="R8274" t="s">
        <v>159</v>
      </c>
      <c r="S8274">
        <v>3</v>
      </c>
      <c r="T8274" t="s">
        <v>8675</v>
      </c>
      <c r="U8274" s="1">
        <v>43348</v>
      </c>
      <c r="V8274" t="s">
        <v>66</v>
      </c>
      <c r="W8274" t="s">
        <v>67</v>
      </c>
      <c r="X8274" t="s">
        <v>58</v>
      </c>
      <c r="Y8274">
        <v>24</v>
      </c>
      <c r="Z8274" t="s">
        <v>59</v>
      </c>
      <c r="AA8274" t="s">
        <v>59</v>
      </c>
      <c r="AB8274" t="s">
        <v>59</v>
      </c>
      <c r="AC8274" t="s">
        <v>59</v>
      </c>
      <c r="AD8274" t="s">
        <v>59</v>
      </c>
      <c r="AF8274" s="1">
        <v>43348</v>
      </c>
      <c r="AG8274" t="s">
        <v>8645</v>
      </c>
      <c r="AH8274" t="s">
        <v>8646</v>
      </c>
      <c r="AI8274" t="str">
        <f>"9410150"</f>
        <v>9410150</v>
      </c>
      <c r="AJ8274" t="s">
        <v>12733</v>
      </c>
      <c r="AK8274">
        <v>2831052969</v>
      </c>
      <c r="AL8274" t="s">
        <v>12734</v>
      </c>
      <c r="AM8274" t="s">
        <v>64</v>
      </c>
      <c r="AN8274" t="s">
        <v>65</v>
      </c>
      <c r="AO8274" t="s">
        <v>65</v>
      </c>
      <c r="AP8274" t="s">
        <v>65</v>
      </c>
      <c r="AQ8274">
        <v>1</v>
      </c>
      <c r="AR8274" t="s">
        <v>66</v>
      </c>
      <c r="AS8274" t="s">
        <v>67</v>
      </c>
      <c r="AT8274" t="s">
        <v>58</v>
      </c>
      <c r="AU8274" t="s">
        <v>8673</v>
      </c>
      <c r="AV8274" t="s">
        <v>132</v>
      </c>
      <c r="AW8274" s="1">
        <v>29004</v>
      </c>
      <c r="AX8274">
        <v>1</v>
      </c>
    </row>
    <row r="8275" spans="1:50">
      <c r="A8275">
        <v>597310</v>
      </c>
      <c r="B8275" t="str">
        <f>"075831822"</f>
        <v>075831822</v>
      </c>
      <c r="C8275" t="s">
        <v>50</v>
      </c>
      <c r="D8275" t="s">
        <v>8877</v>
      </c>
      <c r="E8275" t="s">
        <v>1189</v>
      </c>
      <c r="F8275" t="s">
        <v>99</v>
      </c>
      <c r="G8275" t="s">
        <v>52</v>
      </c>
      <c r="H8275" t="str">
        <f>"ΧΑΡ. ΤΡΙΚΟΥΠΗ (ΤΕΡΜΑ) ΑΤΣΙΠΟΠΟΥΛΟ"</f>
        <v>ΧΑΡ. ΤΡΙΚΟΥΠΗ (ΤΕΡΜΑ) ΑΤΣΙΠΟΠΟΥΛΟ</v>
      </c>
      <c r="I8275">
        <v>74100</v>
      </c>
      <c r="J8275">
        <v>2831051578</v>
      </c>
      <c r="K8275">
        <v>6975586101</v>
      </c>
      <c r="M8275" t="s">
        <v>12735</v>
      </c>
      <c r="N8275" t="s">
        <v>306</v>
      </c>
      <c r="O8275" t="s">
        <v>307</v>
      </c>
      <c r="P8275" t="s">
        <v>615</v>
      </c>
      <c r="Q8275" t="s">
        <v>616</v>
      </c>
      <c r="R8275" t="s">
        <v>57</v>
      </c>
      <c r="S8275">
        <v>9</v>
      </c>
      <c r="T8275">
        <v>212</v>
      </c>
      <c r="U8275" s="1">
        <v>37516</v>
      </c>
      <c r="V8275" t="s">
        <v>66</v>
      </c>
      <c r="W8275" t="s">
        <v>67</v>
      </c>
      <c r="X8275" t="s">
        <v>58</v>
      </c>
      <c r="Y8275">
        <v>22</v>
      </c>
      <c r="Z8275" t="s">
        <v>59</v>
      </c>
      <c r="AA8275" t="s">
        <v>59</v>
      </c>
      <c r="AB8275" t="s">
        <v>59</v>
      </c>
      <c r="AC8275" t="s">
        <v>59</v>
      </c>
      <c r="AD8275" t="s">
        <v>59</v>
      </c>
      <c r="AF8275" s="1">
        <v>37519</v>
      </c>
      <c r="AG8275" t="s">
        <v>8645</v>
      </c>
      <c r="AH8275" t="s">
        <v>8646</v>
      </c>
      <c r="AI8275" t="str">
        <f>"9410067"</f>
        <v>9410067</v>
      </c>
      <c r="AJ8275" t="s">
        <v>12736</v>
      </c>
      <c r="AK8275">
        <v>2831022836</v>
      </c>
      <c r="AL8275" t="s">
        <v>12737</v>
      </c>
      <c r="AM8275" t="s">
        <v>64</v>
      </c>
      <c r="AN8275" t="s">
        <v>65</v>
      </c>
      <c r="AO8275" t="s">
        <v>65</v>
      </c>
      <c r="AP8275" t="s">
        <v>65</v>
      </c>
      <c r="AQ8275">
        <v>1</v>
      </c>
      <c r="AR8275" t="s">
        <v>66</v>
      </c>
      <c r="AS8275" t="s">
        <v>67</v>
      </c>
      <c r="AT8275" t="s">
        <v>58</v>
      </c>
      <c r="AU8275" t="s">
        <v>68</v>
      </c>
      <c r="AV8275" t="s">
        <v>69</v>
      </c>
      <c r="AW8275" s="1">
        <v>26840</v>
      </c>
      <c r="AX8275">
        <v>1</v>
      </c>
    </row>
    <row r="8276" spans="1:50">
      <c r="A8276">
        <v>574292</v>
      </c>
      <c r="B8276" t="str">
        <f>"037251841"</f>
        <v>037251841</v>
      </c>
      <c r="C8276" t="s">
        <v>50</v>
      </c>
      <c r="D8276" t="s">
        <v>8877</v>
      </c>
      <c r="E8276" t="s">
        <v>54</v>
      </c>
      <c r="F8276" t="s">
        <v>95</v>
      </c>
      <c r="G8276" t="s">
        <v>250</v>
      </c>
      <c r="H8276" t="str">
        <f>" "</f>
        <v xml:space="preserve"> </v>
      </c>
      <c r="N8276" t="s">
        <v>615</v>
      </c>
      <c r="O8276" t="s">
        <v>616</v>
      </c>
      <c r="R8276" t="s">
        <v>57</v>
      </c>
      <c r="S8276">
        <v>13</v>
      </c>
      <c r="T8276">
        <v>160</v>
      </c>
      <c r="U8276" s="1">
        <v>34582</v>
      </c>
      <c r="V8276" t="s">
        <v>66</v>
      </c>
      <c r="W8276" t="s">
        <v>67</v>
      </c>
      <c r="X8276" t="s">
        <v>58</v>
      </c>
      <c r="Y8276">
        <v>21</v>
      </c>
      <c r="Z8276" t="s">
        <v>59</v>
      </c>
      <c r="AA8276" t="s">
        <v>59</v>
      </c>
      <c r="AB8276" t="s">
        <v>59</v>
      </c>
      <c r="AC8276" t="s">
        <v>59</v>
      </c>
      <c r="AD8276" t="s">
        <v>59</v>
      </c>
      <c r="AF8276" s="1">
        <v>34582</v>
      </c>
      <c r="AG8276" t="s">
        <v>8645</v>
      </c>
      <c r="AH8276" t="s">
        <v>8646</v>
      </c>
      <c r="AI8276" t="str">
        <f>"9410155"</f>
        <v>9410155</v>
      </c>
      <c r="AJ8276" t="s">
        <v>12663</v>
      </c>
      <c r="AK8276">
        <v>2831028697</v>
      </c>
      <c r="AL8276" t="s">
        <v>12664</v>
      </c>
      <c r="AM8276" t="s">
        <v>64</v>
      </c>
      <c r="AN8276" t="s">
        <v>65</v>
      </c>
      <c r="AO8276" t="s">
        <v>65</v>
      </c>
      <c r="AP8276" t="s">
        <v>65</v>
      </c>
      <c r="AQ8276">
        <v>1</v>
      </c>
      <c r="AR8276" t="s">
        <v>66</v>
      </c>
      <c r="AS8276" t="s">
        <v>67</v>
      </c>
      <c r="AT8276" t="s">
        <v>58</v>
      </c>
      <c r="AU8276" t="s">
        <v>68</v>
      </c>
      <c r="AV8276" t="s">
        <v>69</v>
      </c>
      <c r="AW8276" s="1">
        <v>24209</v>
      </c>
      <c r="AX8276">
        <v>1</v>
      </c>
    </row>
    <row r="8277" spans="1:50">
      <c r="A8277">
        <v>596895</v>
      </c>
      <c r="B8277" t="str">
        <f>"109126869"</f>
        <v>109126869</v>
      </c>
      <c r="C8277" t="s">
        <v>50</v>
      </c>
      <c r="D8277" t="s">
        <v>12738</v>
      </c>
      <c r="E8277" t="s">
        <v>5201</v>
      </c>
      <c r="F8277" t="s">
        <v>450</v>
      </c>
      <c r="G8277" t="s">
        <v>250</v>
      </c>
      <c r="H8277" t="str">
        <f>"ΚΝΩΣΣΟΥ 11 ΡΕΘΥΜΝΟ"</f>
        <v>ΚΝΩΣΣΟΥ 11 ΡΕΘΥΜΝΟ</v>
      </c>
      <c r="I8277">
        <v>74100</v>
      </c>
      <c r="K8277">
        <v>6947520581</v>
      </c>
      <c r="N8277" t="s">
        <v>1525</v>
      </c>
      <c r="O8277" t="s">
        <v>1526</v>
      </c>
      <c r="R8277" t="s">
        <v>57</v>
      </c>
      <c r="S8277">
        <v>8</v>
      </c>
      <c r="T8277">
        <v>195</v>
      </c>
      <c r="U8277" s="1">
        <v>37497</v>
      </c>
      <c r="V8277" t="s">
        <v>66</v>
      </c>
      <c r="W8277" t="s">
        <v>67</v>
      </c>
      <c r="X8277" t="s">
        <v>58</v>
      </c>
      <c r="Y8277">
        <v>25</v>
      </c>
      <c r="Z8277" t="s">
        <v>59</v>
      </c>
      <c r="AA8277" t="s">
        <v>59</v>
      </c>
      <c r="AB8277" t="s">
        <v>59</v>
      </c>
      <c r="AC8277" t="s">
        <v>59</v>
      </c>
      <c r="AD8277" t="s">
        <v>59</v>
      </c>
      <c r="AF8277" s="1">
        <v>37501</v>
      </c>
      <c r="AG8277" t="s">
        <v>8651</v>
      </c>
      <c r="AH8277" t="s">
        <v>8652</v>
      </c>
      <c r="AI8277" t="str">
        <f>"9410218"</f>
        <v>9410218</v>
      </c>
      <c r="AJ8277" t="s">
        <v>12739</v>
      </c>
      <c r="AK8277">
        <v>2831041209</v>
      </c>
      <c r="AL8277" t="s">
        <v>12740</v>
      </c>
      <c r="AM8277" t="s">
        <v>64</v>
      </c>
      <c r="AN8277" t="s">
        <v>65</v>
      </c>
      <c r="AO8277" t="s">
        <v>65</v>
      </c>
      <c r="AP8277" t="s">
        <v>11883</v>
      </c>
      <c r="AQ8277">
        <v>2</v>
      </c>
      <c r="AR8277" t="s">
        <v>66</v>
      </c>
      <c r="AS8277" t="s">
        <v>67</v>
      </c>
      <c r="AT8277" t="s">
        <v>58</v>
      </c>
      <c r="AU8277" t="s">
        <v>68</v>
      </c>
      <c r="AV8277" t="s">
        <v>69</v>
      </c>
      <c r="AW8277" s="1">
        <v>27322</v>
      </c>
      <c r="AX8277">
        <v>1</v>
      </c>
    </row>
    <row r="8278" spans="1:50">
      <c r="A8278">
        <v>563632</v>
      </c>
      <c r="B8278" t="str">
        <f>"056488235"</f>
        <v>056488235</v>
      </c>
      <c r="C8278" t="s">
        <v>105</v>
      </c>
      <c r="D8278" t="s">
        <v>12741</v>
      </c>
      <c r="E8278" t="s">
        <v>72</v>
      </c>
      <c r="F8278" t="s">
        <v>84</v>
      </c>
      <c r="G8278" t="s">
        <v>52</v>
      </c>
      <c r="H8278" t="str">
        <f>"ΒΙΡΑΝ ΕΠΙΣΚΟΠΗ Τ.Θ Α17 ΡΕΘΥΝΜΟ"</f>
        <v>ΒΙΡΑΝ ΕΠΙΣΚΟΠΗ Τ.Θ Α17 ΡΕΘΥΝΜΟ</v>
      </c>
      <c r="I8278">
        <v>74052</v>
      </c>
      <c r="J8278">
        <v>2831051495</v>
      </c>
      <c r="K8278">
        <v>6977683392</v>
      </c>
      <c r="M8278" t="s">
        <v>12742</v>
      </c>
      <c r="N8278" t="s">
        <v>615</v>
      </c>
      <c r="O8278" t="s">
        <v>616</v>
      </c>
      <c r="R8278" t="s">
        <v>57</v>
      </c>
      <c r="S8278">
        <v>15</v>
      </c>
      <c r="T8278">
        <v>161</v>
      </c>
      <c r="U8278" s="1">
        <v>33119</v>
      </c>
      <c r="V8278" t="s">
        <v>66</v>
      </c>
      <c r="W8278" t="s">
        <v>67</v>
      </c>
      <c r="X8278" t="s">
        <v>58</v>
      </c>
      <c r="Y8278">
        <v>21</v>
      </c>
      <c r="Z8278" t="s">
        <v>59</v>
      </c>
      <c r="AA8278" t="s">
        <v>59</v>
      </c>
      <c r="AB8278" t="s">
        <v>59</v>
      </c>
      <c r="AC8278" t="s">
        <v>59</v>
      </c>
      <c r="AD8278" t="s">
        <v>59</v>
      </c>
      <c r="AF8278" s="1">
        <v>33119</v>
      </c>
      <c r="AG8278" t="s">
        <v>8645</v>
      </c>
      <c r="AH8278" t="s">
        <v>8646</v>
      </c>
      <c r="AI8278" t="str">
        <f>"9410030"</f>
        <v>9410030</v>
      </c>
      <c r="AJ8278" t="s">
        <v>12743</v>
      </c>
      <c r="AK8278">
        <v>2834093217</v>
      </c>
      <c r="AL8278" t="s">
        <v>12744</v>
      </c>
      <c r="AM8278" t="s">
        <v>64</v>
      </c>
      <c r="AN8278" t="s">
        <v>65</v>
      </c>
      <c r="AO8278" t="s">
        <v>12694</v>
      </c>
      <c r="AP8278" t="s">
        <v>12745</v>
      </c>
      <c r="AQ8278">
        <v>3</v>
      </c>
      <c r="AR8278" t="s">
        <v>66</v>
      </c>
      <c r="AS8278" t="s">
        <v>67</v>
      </c>
      <c r="AT8278" t="s">
        <v>58</v>
      </c>
      <c r="AU8278" t="s">
        <v>68</v>
      </c>
      <c r="AV8278" t="s">
        <v>69</v>
      </c>
      <c r="AW8278" s="1">
        <v>22032</v>
      </c>
      <c r="AX8278">
        <v>1</v>
      </c>
    </row>
    <row r="8279" spans="1:50">
      <c r="A8279">
        <v>174659</v>
      </c>
      <c r="B8279" t="str">
        <f>"044497658"</f>
        <v>044497658</v>
      </c>
      <c r="C8279" t="s">
        <v>105</v>
      </c>
      <c r="D8279" t="s">
        <v>12746</v>
      </c>
      <c r="E8279" t="s">
        <v>670</v>
      </c>
      <c r="F8279" t="s">
        <v>782</v>
      </c>
      <c r="G8279" t="s">
        <v>314</v>
      </c>
      <c r="H8279" t="str">
        <f>" "</f>
        <v xml:space="preserve"> </v>
      </c>
      <c r="K8279">
        <v>6972718068</v>
      </c>
      <c r="N8279" t="s">
        <v>615</v>
      </c>
      <c r="O8279" t="s">
        <v>616</v>
      </c>
      <c r="R8279" t="s">
        <v>57</v>
      </c>
      <c r="S8279">
        <v>14</v>
      </c>
      <c r="T8279">
        <v>166</v>
      </c>
      <c r="U8279" s="1">
        <v>35300</v>
      </c>
      <c r="V8279" t="s">
        <v>66</v>
      </c>
      <c r="W8279" t="s">
        <v>67</v>
      </c>
      <c r="X8279" t="s">
        <v>58</v>
      </c>
      <c r="Y8279">
        <v>21</v>
      </c>
      <c r="Z8279" t="s">
        <v>59</v>
      </c>
      <c r="AA8279" t="s">
        <v>59</v>
      </c>
      <c r="AB8279" t="s">
        <v>59</v>
      </c>
      <c r="AC8279" t="s">
        <v>59</v>
      </c>
      <c r="AD8279" t="s">
        <v>59</v>
      </c>
      <c r="AF8279" s="1">
        <v>35311</v>
      </c>
      <c r="AG8279" t="s">
        <v>8645</v>
      </c>
      <c r="AH8279" t="s">
        <v>8646</v>
      </c>
      <c r="AI8279" t="str">
        <f>"9410212"</f>
        <v>9410212</v>
      </c>
      <c r="AJ8279" t="s">
        <v>12747</v>
      </c>
      <c r="AK8279">
        <v>2831022132</v>
      </c>
      <c r="AL8279" t="s">
        <v>12748</v>
      </c>
      <c r="AM8279" t="s">
        <v>64</v>
      </c>
      <c r="AN8279" t="s">
        <v>65</v>
      </c>
      <c r="AO8279" t="s">
        <v>65</v>
      </c>
      <c r="AP8279" t="s">
        <v>65</v>
      </c>
      <c r="AQ8279">
        <v>1</v>
      </c>
      <c r="AR8279" t="s">
        <v>66</v>
      </c>
      <c r="AS8279" t="s">
        <v>67</v>
      </c>
      <c r="AT8279" t="s">
        <v>58</v>
      </c>
      <c r="AU8279" t="s">
        <v>68</v>
      </c>
      <c r="AV8279" t="s">
        <v>69</v>
      </c>
      <c r="AW8279" s="1">
        <v>22468</v>
      </c>
      <c r="AX8279">
        <v>1</v>
      </c>
    </row>
    <row r="8280" spans="1:50">
      <c r="B8280" t="str">
        <f>"146573996"</f>
        <v>146573996</v>
      </c>
      <c r="C8280" t="s">
        <v>105</v>
      </c>
      <c r="D8280" t="s">
        <v>12749</v>
      </c>
      <c r="E8280" t="s">
        <v>383</v>
      </c>
      <c r="F8280" t="s">
        <v>95</v>
      </c>
      <c r="G8280" t="s">
        <v>922</v>
      </c>
      <c r="H8280" t="str">
        <f>"ΕΡΜΟΓΕΝΟΥΣ 62 "</f>
        <v xml:space="preserve">ΕΡΜΟΓΕΝΟΥΣ 62 </v>
      </c>
      <c r="I8280">
        <v>43100</v>
      </c>
      <c r="J8280">
        <v>2441074228</v>
      </c>
      <c r="K8280">
        <v>6948584991</v>
      </c>
      <c r="N8280" t="s">
        <v>615</v>
      </c>
      <c r="O8280" t="s">
        <v>616</v>
      </c>
      <c r="R8280" t="s">
        <v>159</v>
      </c>
      <c r="S8280">
        <v>3</v>
      </c>
      <c r="T8280" t="s">
        <v>8675</v>
      </c>
      <c r="U8280" s="1">
        <v>43348</v>
      </c>
      <c r="V8280" t="s">
        <v>66</v>
      </c>
      <c r="W8280" t="s">
        <v>67</v>
      </c>
      <c r="X8280" t="s">
        <v>58</v>
      </c>
      <c r="Y8280">
        <v>24</v>
      </c>
      <c r="Z8280" t="s">
        <v>59</v>
      </c>
      <c r="AA8280" t="s">
        <v>59</v>
      </c>
      <c r="AB8280" t="s">
        <v>59</v>
      </c>
      <c r="AC8280" t="s">
        <v>59</v>
      </c>
      <c r="AD8280" t="s">
        <v>59</v>
      </c>
      <c r="AF8280" s="1">
        <v>43348</v>
      </c>
      <c r="AG8280" t="s">
        <v>8645</v>
      </c>
      <c r="AH8280" t="s">
        <v>8646</v>
      </c>
      <c r="AI8280" t="str">
        <f>"9410170"</f>
        <v>9410170</v>
      </c>
      <c r="AJ8280" t="s">
        <v>12658</v>
      </c>
      <c r="AK8280">
        <v>2831061220</v>
      </c>
      <c r="AL8280" t="s">
        <v>12659</v>
      </c>
      <c r="AM8280" t="s">
        <v>64</v>
      </c>
      <c r="AN8280" t="s">
        <v>65</v>
      </c>
      <c r="AO8280" t="s">
        <v>5657</v>
      </c>
      <c r="AP8280" t="s">
        <v>1437</v>
      </c>
      <c r="AQ8280">
        <v>2</v>
      </c>
      <c r="AR8280" t="s">
        <v>66</v>
      </c>
      <c r="AS8280" t="s">
        <v>67</v>
      </c>
      <c r="AT8280" t="s">
        <v>58</v>
      </c>
      <c r="AU8280" t="s">
        <v>8673</v>
      </c>
      <c r="AV8280" t="s">
        <v>132</v>
      </c>
      <c r="AW8280" s="1">
        <v>32224</v>
      </c>
      <c r="AX8280">
        <v>1</v>
      </c>
    </row>
    <row r="8281" spans="1:50">
      <c r="A8281">
        <v>620594</v>
      </c>
      <c r="B8281" t="str">
        <f>"124483119"</f>
        <v>124483119</v>
      </c>
      <c r="C8281" t="s">
        <v>105</v>
      </c>
      <c r="D8281" t="s">
        <v>12750</v>
      </c>
      <c r="E8281" t="s">
        <v>510</v>
      </c>
      <c r="F8281" t="s">
        <v>5386</v>
      </c>
      <c r="G8281" t="s">
        <v>372</v>
      </c>
      <c r="H8281" t="str">
        <f>"ΒΙΟΛΙ ΧΑΡΑΚΙ 78 ΡΕΘΥΜΝΟ"</f>
        <v>ΒΙΟΛΙ ΧΑΡΑΚΙ 78 ΡΕΘΥΜΝΟ</v>
      </c>
      <c r="I8281">
        <v>74100</v>
      </c>
      <c r="J8281">
        <v>2831026891</v>
      </c>
      <c r="K8281">
        <v>6975847229</v>
      </c>
      <c r="N8281" t="s">
        <v>615</v>
      </c>
      <c r="O8281" t="s">
        <v>616</v>
      </c>
      <c r="R8281" t="s">
        <v>57</v>
      </c>
      <c r="S8281">
        <v>5</v>
      </c>
      <c r="T8281">
        <v>653</v>
      </c>
      <c r="U8281" s="1">
        <v>40043</v>
      </c>
      <c r="V8281" t="s">
        <v>66</v>
      </c>
      <c r="W8281" t="s">
        <v>67</v>
      </c>
      <c r="X8281" t="s">
        <v>58</v>
      </c>
      <c r="Y8281">
        <v>23</v>
      </c>
      <c r="Z8281" t="s">
        <v>59</v>
      </c>
      <c r="AA8281" t="s">
        <v>59</v>
      </c>
      <c r="AB8281" t="s">
        <v>59</v>
      </c>
      <c r="AC8281" t="s">
        <v>59</v>
      </c>
      <c r="AD8281" t="s">
        <v>59</v>
      </c>
      <c r="AF8281" s="1">
        <v>40043</v>
      </c>
      <c r="AG8281" t="s">
        <v>8645</v>
      </c>
      <c r="AH8281" t="s">
        <v>8646</v>
      </c>
      <c r="AI8281" t="str">
        <f>"9410160"</f>
        <v>9410160</v>
      </c>
      <c r="AJ8281" t="s">
        <v>12689</v>
      </c>
      <c r="AK8281">
        <v>2831041098</v>
      </c>
      <c r="AL8281" t="s">
        <v>12690</v>
      </c>
      <c r="AM8281" t="s">
        <v>64</v>
      </c>
      <c r="AN8281" t="s">
        <v>65</v>
      </c>
      <c r="AO8281" t="s">
        <v>65</v>
      </c>
      <c r="AP8281" t="s">
        <v>11883</v>
      </c>
      <c r="AQ8281">
        <v>2</v>
      </c>
      <c r="AR8281" t="s">
        <v>66</v>
      </c>
      <c r="AS8281" t="s">
        <v>67</v>
      </c>
      <c r="AT8281" t="s">
        <v>58</v>
      </c>
      <c r="AU8281" t="s">
        <v>68</v>
      </c>
      <c r="AV8281" t="s">
        <v>69</v>
      </c>
      <c r="AW8281" s="1">
        <v>30927</v>
      </c>
      <c r="AX8281">
        <v>1</v>
      </c>
    </row>
    <row r="8282" spans="1:50">
      <c r="A8282">
        <v>588016</v>
      </c>
      <c r="B8282" t="str">
        <f>"065418452"</f>
        <v>065418452</v>
      </c>
      <c r="C8282" t="s">
        <v>50</v>
      </c>
      <c r="D8282" t="s">
        <v>12751</v>
      </c>
      <c r="E8282" t="s">
        <v>54</v>
      </c>
      <c r="F8282" t="s">
        <v>1023</v>
      </c>
      <c r="G8282" t="s">
        <v>52</v>
      </c>
      <c r="H8282" t="str">
        <f>"ΚΑΠΟΔΙΣΤΡΙΟΥ 7 ΡΕΘΥΜΝΟ"</f>
        <v>ΚΑΠΟΔΙΣΤΡΙΟΥ 7 ΡΕΘΥΜΝΟ</v>
      </c>
      <c r="I8282">
        <v>74100</v>
      </c>
      <c r="J8282">
        <v>2831036191</v>
      </c>
      <c r="K8282">
        <v>6934610660</v>
      </c>
      <c r="M8282" t="s">
        <v>12752</v>
      </c>
      <c r="N8282" t="s">
        <v>1525</v>
      </c>
      <c r="O8282" t="s">
        <v>1526</v>
      </c>
      <c r="R8282" t="s">
        <v>57</v>
      </c>
      <c r="S8282">
        <v>9</v>
      </c>
      <c r="T8282">
        <v>250</v>
      </c>
      <c r="U8282" s="1">
        <v>36160</v>
      </c>
      <c r="V8282" t="s">
        <v>66</v>
      </c>
      <c r="W8282" t="s">
        <v>67</v>
      </c>
      <c r="X8282" t="s">
        <v>58</v>
      </c>
      <c r="Y8282">
        <v>25</v>
      </c>
      <c r="Z8282" t="s">
        <v>59</v>
      </c>
      <c r="AA8282" t="s">
        <v>59</v>
      </c>
      <c r="AB8282" t="s">
        <v>59</v>
      </c>
      <c r="AC8282" t="s">
        <v>59</v>
      </c>
      <c r="AD8282" t="s">
        <v>59</v>
      </c>
      <c r="AF8282" s="1">
        <v>36182</v>
      </c>
      <c r="AG8282" t="s">
        <v>8651</v>
      </c>
      <c r="AH8282" t="s">
        <v>8652</v>
      </c>
      <c r="AI8282" t="str">
        <f>"9410266"</f>
        <v>9410266</v>
      </c>
      <c r="AJ8282" t="s">
        <v>12753</v>
      </c>
      <c r="AK8282">
        <v>2831022467</v>
      </c>
      <c r="AL8282" t="s">
        <v>12754</v>
      </c>
      <c r="AM8282" t="s">
        <v>64</v>
      </c>
      <c r="AN8282" t="s">
        <v>65</v>
      </c>
      <c r="AO8282" t="s">
        <v>65</v>
      </c>
      <c r="AP8282" t="s">
        <v>65</v>
      </c>
      <c r="AQ8282">
        <v>1</v>
      </c>
      <c r="AR8282" t="s">
        <v>66</v>
      </c>
      <c r="AS8282" t="s">
        <v>67</v>
      </c>
      <c r="AT8282" t="s">
        <v>58</v>
      </c>
      <c r="AU8282" t="s">
        <v>68</v>
      </c>
      <c r="AV8282" t="s">
        <v>69</v>
      </c>
      <c r="AW8282" s="1">
        <v>27479</v>
      </c>
      <c r="AX8282">
        <v>1</v>
      </c>
    </row>
    <row r="8283" spans="1:50">
      <c r="A8283">
        <v>605072</v>
      </c>
      <c r="B8283" t="str">
        <f>"124478994"</f>
        <v>124478994</v>
      </c>
      <c r="C8283" t="s">
        <v>105</v>
      </c>
      <c r="D8283" t="s">
        <v>5716</v>
      </c>
      <c r="E8283" t="s">
        <v>53</v>
      </c>
      <c r="F8283" t="s">
        <v>383</v>
      </c>
      <c r="G8283" t="s">
        <v>314</v>
      </c>
      <c r="H8283" t="str">
        <f>"ΜΠΙΖΑΝΙΟΥ 9 ΠΕΡΙΒΟΛΙΑ"</f>
        <v>ΜΠΙΖΑΝΙΟΥ 9 ΠΕΡΙΒΟΛΙΑ</v>
      </c>
      <c r="I8283">
        <v>74100</v>
      </c>
      <c r="J8283">
        <v>2831026361</v>
      </c>
      <c r="K8283">
        <v>6978682871</v>
      </c>
      <c r="M8283" t="s">
        <v>12755</v>
      </c>
      <c r="N8283" t="s">
        <v>615</v>
      </c>
      <c r="O8283" t="s">
        <v>616</v>
      </c>
      <c r="R8283" t="s">
        <v>57</v>
      </c>
      <c r="S8283">
        <v>7</v>
      </c>
      <c r="T8283">
        <v>231</v>
      </c>
      <c r="U8283" s="1">
        <v>38230</v>
      </c>
      <c r="V8283" t="s">
        <v>66</v>
      </c>
      <c r="W8283" t="s">
        <v>67</v>
      </c>
      <c r="X8283" t="s">
        <v>58</v>
      </c>
      <c r="Y8283">
        <v>22</v>
      </c>
      <c r="Z8283" t="s">
        <v>59</v>
      </c>
      <c r="AA8283" t="s">
        <v>59</v>
      </c>
      <c r="AB8283" t="s">
        <v>59</v>
      </c>
      <c r="AC8283" t="s">
        <v>59</v>
      </c>
      <c r="AD8283" t="s">
        <v>59</v>
      </c>
      <c r="AF8283" s="1">
        <v>38231</v>
      </c>
      <c r="AG8283" t="s">
        <v>8645</v>
      </c>
      <c r="AH8283" t="s">
        <v>8646</v>
      </c>
      <c r="AI8283" t="str">
        <f>"9410064"</f>
        <v>9410064</v>
      </c>
      <c r="AJ8283" t="s">
        <v>12683</v>
      </c>
      <c r="AK8283">
        <v>2831028390</v>
      </c>
      <c r="AL8283" t="s">
        <v>12684</v>
      </c>
      <c r="AM8283" t="s">
        <v>64</v>
      </c>
      <c r="AN8283" t="s">
        <v>65</v>
      </c>
      <c r="AO8283" t="s">
        <v>65</v>
      </c>
      <c r="AP8283" t="s">
        <v>65</v>
      </c>
      <c r="AQ8283">
        <v>1</v>
      </c>
      <c r="AR8283" t="s">
        <v>66</v>
      </c>
      <c r="AS8283" t="s">
        <v>67</v>
      </c>
      <c r="AT8283" t="s">
        <v>58</v>
      </c>
      <c r="AU8283" t="s">
        <v>68</v>
      </c>
      <c r="AV8283" t="s">
        <v>69</v>
      </c>
      <c r="AW8283" s="1">
        <v>26416</v>
      </c>
      <c r="AX8283">
        <v>1</v>
      </c>
    </row>
    <row r="8284" spans="1:50">
      <c r="A8284">
        <v>579045</v>
      </c>
      <c r="B8284" t="str">
        <f>"050516880"</f>
        <v>050516880</v>
      </c>
      <c r="C8284" t="s">
        <v>50</v>
      </c>
      <c r="D8284" t="s">
        <v>12756</v>
      </c>
      <c r="E8284" t="s">
        <v>143</v>
      </c>
      <c r="F8284" t="s">
        <v>173</v>
      </c>
      <c r="G8284" t="s">
        <v>52</v>
      </c>
      <c r="H8284" t="str">
        <f>"ΚΑΠΟΔΙΣΤΡΙΟΥ 61 ΡΕΘΥΜΝΟ"</f>
        <v>ΚΑΠΟΔΙΣΤΡΙΟΥ 61 ΡΕΘΥΜΝΟ</v>
      </c>
      <c r="K8284">
        <v>6951912481</v>
      </c>
      <c r="N8284" t="s">
        <v>615</v>
      </c>
      <c r="O8284" t="s">
        <v>616</v>
      </c>
      <c r="R8284" t="s">
        <v>57</v>
      </c>
      <c r="S8284">
        <v>15</v>
      </c>
      <c r="T8284">
        <v>165</v>
      </c>
      <c r="U8284" s="1">
        <v>35300</v>
      </c>
      <c r="V8284" t="s">
        <v>66</v>
      </c>
      <c r="W8284" t="s">
        <v>67</v>
      </c>
      <c r="X8284" t="s">
        <v>58</v>
      </c>
      <c r="Y8284">
        <v>21</v>
      </c>
      <c r="Z8284" t="s">
        <v>59</v>
      </c>
      <c r="AA8284" t="s">
        <v>59</v>
      </c>
      <c r="AB8284" t="s">
        <v>59</v>
      </c>
      <c r="AC8284" t="s">
        <v>59</v>
      </c>
      <c r="AD8284" t="s">
        <v>59</v>
      </c>
      <c r="AF8284" s="1">
        <v>35313</v>
      </c>
      <c r="AG8284" t="s">
        <v>8645</v>
      </c>
      <c r="AH8284" t="s">
        <v>8646</v>
      </c>
      <c r="AI8284" t="str">
        <f>"9410070"</f>
        <v>9410070</v>
      </c>
      <c r="AJ8284" t="s">
        <v>12757</v>
      </c>
      <c r="AK8284">
        <v>2831028583</v>
      </c>
      <c r="AL8284" t="s">
        <v>12758</v>
      </c>
      <c r="AM8284" t="s">
        <v>64</v>
      </c>
      <c r="AN8284" t="s">
        <v>65</v>
      </c>
      <c r="AO8284" t="s">
        <v>65</v>
      </c>
      <c r="AP8284" t="s">
        <v>65</v>
      </c>
      <c r="AQ8284">
        <v>1</v>
      </c>
      <c r="AR8284" t="s">
        <v>66</v>
      </c>
      <c r="AS8284" t="s">
        <v>67</v>
      </c>
      <c r="AT8284" t="s">
        <v>58</v>
      </c>
      <c r="AU8284" t="s">
        <v>68</v>
      </c>
      <c r="AV8284" t="s">
        <v>2039</v>
      </c>
      <c r="AW8284" s="1">
        <v>24264</v>
      </c>
      <c r="AX8284">
        <v>1</v>
      </c>
    </row>
    <row r="8285" spans="1:50">
      <c r="A8285">
        <v>585415</v>
      </c>
      <c r="B8285" t="str">
        <f>"058587104"</f>
        <v>058587104</v>
      </c>
      <c r="C8285" t="s">
        <v>50</v>
      </c>
      <c r="D8285" t="s">
        <v>4588</v>
      </c>
      <c r="E8285" t="s">
        <v>12759</v>
      </c>
      <c r="F8285" t="s">
        <v>72</v>
      </c>
      <c r="G8285" t="s">
        <v>181</v>
      </c>
      <c r="H8285" t="str">
        <f>" "</f>
        <v xml:space="preserve"> </v>
      </c>
      <c r="N8285" t="s">
        <v>615</v>
      </c>
      <c r="O8285" t="s">
        <v>616</v>
      </c>
      <c r="R8285" t="s">
        <v>57</v>
      </c>
      <c r="S8285">
        <v>11</v>
      </c>
      <c r="T8285">
        <v>165</v>
      </c>
      <c r="U8285" s="1">
        <v>36040</v>
      </c>
      <c r="V8285" t="s">
        <v>66</v>
      </c>
      <c r="W8285" t="s">
        <v>67</v>
      </c>
      <c r="X8285" t="s">
        <v>58</v>
      </c>
      <c r="Y8285">
        <v>21</v>
      </c>
      <c r="Z8285" t="s">
        <v>59</v>
      </c>
      <c r="AA8285" t="s">
        <v>59</v>
      </c>
      <c r="AB8285" t="s">
        <v>59</v>
      </c>
      <c r="AC8285" t="s">
        <v>59</v>
      </c>
      <c r="AD8285" t="s">
        <v>59</v>
      </c>
      <c r="AF8285" s="1">
        <v>36045</v>
      </c>
      <c r="AG8285" t="s">
        <v>8645</v>
      </c>
      <c r="AH8285" t="s">
        <v>8646</v>
      </c>
      <c r="AI8285" t="str">
        <f>"9410061"</f>
        <v>9410061</v>
      </c>
      <c r="AJ8285" t="s">
        <v>12760</v>
      </c>
      <c r="AK8285">
        <v>2831024378</v>
      </c>
      <c r="AL8285" t="s">
        <v>12761</v>
      </c>
      <c r="AM8285" t="s">
        <v>64</v>
      </c>
      <c r="AN8285" t="s">
        <v>65</v>
      </c>
      <c r="AO8285" t="s">
        <v>65</v>
      </c>
      <c r="AP8285" t="s">
        <v>65</v>
      </c>
      <c r="AQ8285">
        <v>1</v>
      </c>
      <c r="AR8285" t="s">
        <v>66</v>
      </c>
      <c r="AS8285" t="s">
        <v>67</v>
      </c>
      <c r="AT8285" t="s">
        <v>58</v>
      </c>
      <c r="AU8285" t="s">
        <v>68</v>
      </c>
      <c r="AV8285" t="s">
        <v>2039</v>
      </c>
      <c r="AW8285" s="1">
        <v>24586</v>
      </c>
      <c r="AX8285">
        <v>1</v>
      </c>
    </row>
    <row r="8286" spans="1:50">
      <c r="A8286">
        <v>590520</v>
      </c>
      <c r="B8286" t="str">
        <f>"073298818"</f>
        <v>073298818</v>
      </c>
      <c r="C8286" t="s">
        <v>50</v>
      </c>
      <c r="D8286" t="s">
        <v>4588</v>
      </c>
      <c r="E8286" t="s">
        <v>352</v>
      </c>
      <c r="F8286" t="s">
        <v>72</v>
      </c>
      <c r="G8286" t="s">
        <v>181</v>
      </c>
      <c r="H8286" t="str">
        <f>"Γ. ΚΟΥΡΜΟΥΛΗ 136 ΡΕΘΥΜΝΟ"</f>
        <v>Γ. ΚΟΥΡΜΟΥΛΗ 136 ΡΕΘΥΜΝΟ</v>
      </c>
      <c r="I8286">
        <v>74100</v>
      </c>
      <c r="J8286">
        <v>2831101633</v>
      </c>
      <c r="K8286">
        <v>6947911183</v>
      </c>
      <c r="N8286" t="s">
        <v>1525</v>
      </c>
      <c r="O8286" t="s">
        <v>1526</v>
      </c>
      <c r="R8286" t="s">
        <v>57</v>
      </c>
      <c r="S8286">
        <v>9</v>
      </c>
      <c r="T8286">
        <v>176</v>
      </c>
      <c r="U8286" s="1">
        <v>36403</v>
      </c>
      <c r="V8286" t="s">
        <v>66</v>
      </c>
      <c r="W8286" t="s">
        <v>67</v>
      </c>
      <c r="X8286" t="s">
        <v>58</v>
      </c>
      <c r="Y8286">
        <v>25</v>
      </c>
      <c r="Z8286" t="s">
        <v>59</v>
      </c>
      <c r="AA8286" t="s">
        <v>59</v>
      </c>
      <c r="AB8286" t="s">
        <v>59</v>
      </c>
      <c r="AC8286" t="s">
        <v>59</v>
      </c>
      <c r="AD8286" t="s">
        <v>59</v>
      </c>
      <c r="AF8286" s="1">
        <v>36404</v>
      </c>
      <c r="AG8286" t="s">
        <v>8651</v>
      </c>
      <c r="AH8286" t="s">
        <v>8652</v>
      </c>
      <c r="AI8286" t="str">
        <f>"9410258"</f>
        <v>9410258</v>
      </c>
      <c r="AJ8286" t="s">
        <v>12762</v>
      </c>
      <c r="AK8286">
        <v>2831022058</v>
      </c>
      <c r="AL8286" t="s">
        <v>12763</v>
      </c>
      <c r="AM8286" t="s">
        <v>64</v>
      </c>
      <c r="AN8286" t="s">
        <v>65</v>
      </c>
      <c r="AO8286" t="s">
        <v>65</v>
      </c>
      <c r="AP8286" t="s">
        <v>65</v>
      </c>
      <c r="AQ8286">
        <v>1</v>
      </c>
      <c r="AR8286" t="s">
        <v>66</v>
      </c>
      <c r="AS8286" t="s">
        <v>67</v>
      </c>
      <c r="AT8286" t="s">
        <v>58</v>
      </c>
      <c r="AU8286" t="s">
        <v>68</v>
      </c>
      <c r="AV8286" t="s">
        <v>69</v>
      </c>
      <c r="AW8286" s="1">
        <v>26188</v>
      </c>
      <c r="AX8286">
        <v>1</v>
      </c>
    </row>
    <row r="8287" spans="1:50">
      <c r="A8287">
        <v>613175</v>
      </c>
      <c r="B8287" t="str">
        <f>"124499049"</f>
        <v>124499049</v>
      </c>
      <c r="C8287" t="s">
        <v>50</v>
      </c>
      <c r="D8287" t="s">
        <v>4588</v>
      </c>
      <c r="E8287" t="s">
        <v>4695</v>
      </c>
      <c r="F8287" t="s">
        <v>166</v>
      </c>
      <c r="G8287" t="s">
        <v>52</v>
      </c>
      <c r="H8287" t="str">
        <f>"ΑΓ. ΙΩΑΝΝΗ ΑΤΣΙΠΟΠΟΥΛΟ ΡΕΘΥΜΝΟ"</f>
        <v>ΑΓ. ΙΩΑΝΝΗ ΑΤΣΙΠΟΠΟΥΛΟ ΡΕΘΥΜΝΟ</v>
      </c>
      <c r="I8287">
        <v>74100</v>
      </c>
      <c r="J8287">
        <v>2831032228</v>
      </c>
      <c r="K8287">
        <v>6972146068</v>
      </c>
      <c r="M8287" t="s">
        <v>12764</v>
      </c>
      <c r="N8287" t="s">
        <v>615</v>
      </c>
      <c r="O8287" t="s">
        <v>616</v>
      </c>
      <c r="R8287" t="s">
        <v>57</v>
      </c>
      <c r="S8287">
        <v>6</v>
      </c>
      <c r="T8287">
        <v>598</v>
      </c>
      <c r="U8287" s="1">
        <v>39310</v>
      </c>
      <c r="V8287" t="s">
        <v>66</v>
      </c>
      <c r="W8287" t="s">
        <v>67</v>
      </c>
      <c r="X8287" t="s">
        <v>58</v>
      </c>
      <c r="Y8287">
        <v>23</v>
      </c>
      <c r="Z8287" t="s">
        <v>59</v>
      </c>
      <c r="AA8287" t="s">
        <v>59</v>
      </c>
      <c r="AB8287" t="s">
        <v>59</v>
      </c>
      <c r="AC8287" t="s">
        <v>59</v>
      </c>
      <c r="AD8287" t="s">
        <v>59</v>
      </c>
      <c r="AF8287" s="1">
        <v>39328</v>
      </c>
      <c r="AG8287" t="s">
        <v>8645</v>
      </c>
      <c r="AH8287" t="s">
        <v>8646</v>
      </c>
      <c r="AI8287" t="str">
        <f>"9410180"</f>
        <v>9410180</v>
      </c>
      <c r="AJ8287" t="s">
        <v>12696</v>
      </c>
      <c r="AK8287">
        <v>2831031206</v>
      </c>
      <c r="AL8287" t="s">
        <v>12697</v>
      </c>
      <c r="AM8287" t="s">
        <v>64</v>
      </c>
      <c r="AN8287" t="s">
        <v>65</v>
      </c>
      <c r="AO8287" t="s">
        <v>5720</v>
      </c>
      <c r="AP8287" t="s">
        <v>12698</v>
      </c>
      <c r="AQ8287">
        <v>2</v>
      </c>
      <c r="AR8287" t="s">
        <v>66</v>
      </c>
      <c r="AS8287" t="s">
        <v>67</v>
      </c>
      <c r="AT8287" t="s">
        <v>58</v>
      </c>
      <c r="AU8287" t="s">
        <v>68</v>
      </c>
      <c r="AV8287" t="s">
        <v>69</v>
      </c>
      <c r="AW8287" s="1">
        <v>30392</v>
      </c>
      <c r="AX8287">
        <v>1</v>
      </c>
    </row>
    <row r="8288" spans="1:50">
      <c r="B8288" t="str">
        <f>"126733919"</f>
        <v>126733919</v>
      </c>
      <c r="C8288" t="s">
        <v>105</v>
      </c>
      <c r="D8288" t="s">
        <v>12765</v>
      </c>
      <c r="E8288" t="s">
        <v>166</v>
      </c>
      <c r="F8288" t="s">
        <v>309</v>
      </c>
      <c r="G8288" t="s">
        <v>237</v>
      </c>
      <c r="H8288" t="str">
        <f>"ΞΑΝΘΟΥ 29 ΚΑΤΕΡΙΝΗ"</f>
        <v>ΞΑΝΘΟΥ 29 ΚΑΤΕΡΙΝΗ</v>
      </c>
      <c r="I8288">
        <v>60100</v>
      </c>
      <c r="J8288">
        <v>2351025274</v>
      </c>
      <c r="K8288">
        <v>6973794753</v>
      </c>
      <c r="M8288" t="s">
        <v>12766</v>
      </c>
      <c r="N8288" t="s">
        <v>306</v>
      </c>
      <c r="O8288" t="s">
        <v>307</v>
      </c>
      <c r="R8288" t="s">
        <v>159</v>
      </c>
      <c r="S8288">
        <v>4</v>
      </c>
      <c r="T8288" t="s">
        <v>8675</v>
      </c>
      <c r="U8288" s="1">
        <v>43348</v>
      </c>
      <c r="V8288" t="s">
        <v>66</v>
      </c>
      <c r="W8288" t="s">
        <v>67</v>
      </c>
      <c r="X8288" t="s">
        <v>58</v>
      </c>
      <c r="Y8288">
        <v>24</v>
      </c>
      <c r="Z8288" t="s">
        <v>59</v>
      </c>
      <c r="AA8288" t="s">
        <v>59</v>
      </c>
      <c r="AB8288" t="s">
        <v>59</v>
      </c>
      <c r="AC8288" t="s">
        <v>59</v>
      </c>
      <c r="AD8288" t="s">
        <v>59</v>
      </c>
      <c r="AF8288" s="1">
        <v>43348</v>
      </c>
      <c r="AG8288" t="s">
        <v>8645</v>
      </c>
      <c r="AH8288" t="s">
        <v>8646</v>
      </c>
      <c r="AI8288" t="str">
        <f>"9410127"</f>
        <v>9410127</v>
      </c>
      <c r="AJ8288" t="s">
        <v>12767</v>
      </c>
      <c r="AK8288">
        <v>2833022347</v>
      </c>
      <c r="AL8288" t="s">
        <v>12768</v>
      </c>
      <c r="AM8288" t="s">
        <v>64</v>
      </c>
      <c r="AN8288" t="s">
        <v>5713</v>
      </c>
      <c r="AO8288" t="s">
        <v>5714</v>
      </c>
      <c r="AP8288" t="s">
        <v>5715</v>
      </c>
      <c r="AQ8288">
        <v>5</v>
      </c>
      <c r="AR8288" t="s">
        <v>66</v>
      </c>
      <c r="AS8288" t="s">
        <v>67</v>
      </c>
      <c r="AT8288" t="s">
        <v>58</v>
      </c>
      <c r="AU8288" t="s">
        <v>8673</v>
      </c>
      <c r="AV8288" t="s">
        <v>132</v>
      </c>
      <c r="AW8288" s="1">
        <v>28471</v>
      </c>
      <c r="AX8288">
        <v>1</v>
      </c>
    </row>
    <row r="8289" spans="1:50">
      <c r="A8289">
        <v>618873</v>
      </c>
      <c r="B8289" t="str">
        <f>"131489624"</f>
        <v>131489624</v>
      </c>
      <c r="C8289" t="s">
        <v>50</v>
      </c>
      <c r="D8289" t="s">
        <v>12769</v>
      </c>
      <c r="E8289" t="s">
        <v>12770</v>
      </c>
      <c r="F8289" t="s">
        <v>53</v>
      </c>
      <c r="G8289" t="s">
        <v>3159</v>
      </c>
      <c r="H8289" t="str">
        <f>"ΓΑΛΛΟΥ ΤΘ 6000 ΡΕΘΥΜΝΟ"</f>
        <v>ΓΑΛΛΟΥ ΤΘ 6000 ΡΕΘΥΜΝΟ</v>
      </c>
      <c r="I8289">
        <v>74150</v>
      </c>
      <c r="J8289">
        <v>2831051285</v>
      </c>
      <c r="K8289">
        <v>6974640669</v>
      </c>
      <c r="N8289" t="s">
        <v>615</v>
      </c>
      <c r="O8289" t="s">
        <v>616</v>
      </c>
      <c r="R8289" t="s">
        <v>57</v>
      </c>
      <c r="S8289">
        <v>5</v>
      </c>
      <c r="T8289">
        <v>774</v>
      </c>
      <c r="U8289" s="1">
        <v>39680</v>
      </c>
      <c r="V8289" t="s">
        <v>66</v>
      </c>
      <c r="W8289" t="s">
        <v>67</v>
      </c>
      <c r="X8289" t="s">
        <v>58</v>
      </c>
      <c r="Y8289">
        <v>23</v>
      </c>
      <c r="Z8289" t="s">
        <v>59</v>
      </c>
      <c r="AA8289" t="s">
        <v>59</v>
      </c>
      <c r="AB8289" t="s">
        <v>59</v>
      </c>
      <c r="AC8289" t="s">
        <v>59</v>
      </c>
      <c r="AD8289" t="s">
        <v>59</v>
      </c>
      <c r="AF8289" s="1">
        <v>39681</v>
      </c>
      <c r="AG8289" t="s">
        <v>8645</v>
      </c>
      <c r="AH8289" t="s">
        <v>8646</v>
      </c>
      <c r="AI8289" t="str">
        <f>"9410150"</f>
        <v>9410150</v>
      </c>
      <c r="AJ8289" t="s">
        <v>12733</v>
      </c>
      <c r="AK8289">
        <v>2831052969</v>
      </c>
      <c r="AL8289" t="s">
        <v>12734</v>
      </c>
      <c r="AM8289" t="s">
        <v>64</v>
      </c>
      <c r="AN8289" t="s">
        <v>65</v>
      </c>
      <c r="AO8289" t="s">
        <v>65</v>
      </c>
      <c r="AP8289" t="s">
        <v>65</v>
      </c>
      <c r="AQ8289">
        <v>1</v>
      </c>
      <c r="AR8289" t="s">
        <v>66</v>
      </c>
      <c r="AS8289" t="s">
        <v>67</v>
      </c>
      <c r="AT8289" t="s">
        <v>58</v>
      </c>
      <c r="AU8289" t="s">
        <v>68</v>
      </c>
      <c r="AV8289" t="s">
        <v>69</v>
      </c>
      <c r="AW8289" s="1">
        <v>31146</v>
      </c>
      <c r="AX8289">
        <v>1</v>
      </c>
    </row>
    <row r="8290" spans="1:50">
      <c r="A8290">
        <v>611244</v>
      </c>
      <c r="B8290" t="str">
        <f>"113628577"</f>
        <v>113628577</v>
      </c>
      <c r="C8290" t="s">
        <v>50</v>
      </c>
      <c r="D8290" t="s">
        <v>606</v>
      </c>
      <c r="E8290" t="s">
        <v>112</v>
      </c>
      <c r="F8290" t="s">
        <v>166</v>
      </c>
      <c r="G8290" t="s">
        <v>188</v>
      </c>
      <c r="H8290" t="str">
        <f>"ΕΜΜΑΝΟΥΗΛ ΓΕΝΕΡΑΛΗ ΚΑΛΛΙΘΕΑ"</f>
        <v>ΕΜΜΑΝΟΥΗΛ ΓΕΝΕΡΑΛΗ ΚΑΛΛΙΘΕΑ</v>
      </c>
      <c r="I8290">
        <v>74100</v>
      </c>
      <c r="J8290">
        <v>2831030326</v>
      </c>
      <c r="K8290">
        <v>6936166051</v>
      </c>
      <c r="M8290" t="s">
        <v>12771</v>
      </c>
      <c r="N8290" t="s">
        <v>1525</v>
      </c>
      <c r="O8290" t="s">
        <v>1526</v>
      </c>
      <c r="R8290" t="s">
        <v>57</v>
      </c>
      <c r="S8290">
        <v>7</v>
      </c>
      <c r="T8290">
        <v>233</v>
      </c>
      <c r="U8290" s="1">
        <v>38960</v>
      </c>
      <c r="V8290" t="s">
        <v>66</v>
      </c>
      <c r="W8290" t="s">
        <v>67</v>
      </c>
      <c r="X8290" t="s">
        <v>58</v>
      </c>
      <c r="Y8290">
        <v>25</v>
      </c>
      <c r="Z8290" t="s">
        <v>59</v>
      </c>
      <c r="AA8290" t="s">
        <v>59</v>
      </c>
      <c r="AB8290" t="s">
        <v>59</v>
      </c>
      <c r="AC8290" t="s">
        <v>59</v>
      </c>
      <c r="AD8290" t="s">
        <v>59</v>
      </c>
      <c r="AF8290" s="1">
        <v>38961</v>
      </c>
      <c r="AG8290" t="s">
        <v>8651</v>
      </c>
      <c r="AH8290" t="s">
        <v>8652</v>
      </c>
      <c r="AI8290" t="str">
        <f>"9410250"</f>
        <v>9410250</v>
      </c>
      <c r="AJ8290" t="s">
        <v>12772</v>
      </c>
      <c r="AK8290">
        <v>2832022298</v>
      </c>
      <c r="AL8290" t="s">
        <v>12773</v>
      </c>
      <c r="AM8290" t="s">
        <v>64</v>
      </c>
      <c r="AN8290" t="s">
        <v>5882</v>
      </c>
      <c r="AO8290" t="s">
        <v>5883</v>
      </c>
      <c r="AP8290" t="s">
        <v>12774</v>
      </c>
      <c r="AQ8290">
        <v>5</v>
      </c>
      <c r="AR8290" t="s">
        <v>66</v>
      </c>
      <c r="AS8290" t="s">
        <v>67</v>
      </c>
      <c r="AT8290" t="s">
        <v>58</v>
      </c>
      <c r="AU8290" t="s">
        <v>68</v>
      </c>
      <c r="AV8290" t="s">
        <v>69</v>
      </c>
      <c r="AW8290" s="1">
        <v>27616</v>
      </c>
      <c r="AX8290">
        <v>1</v>
      </c>
    </row>
    <row r="8291" spans="1:50">
      <c r="A8291">
        <v>594031</v>
      </c>
      <c r="B8291" t="str">
        <f>"072006183"</f>
        <v>072006183</v>
      </c>
      <c r="C8291" t="s">
        <v>50</v>
      </c>
      <c r="D8291" t="s">
        <v>606</v>
      </c>
      <c r="E8291" t="s">
        <v>52</v>
      </c>
      <c r="F8291" t="s">
        <v>2233</v>
      </c>
      <c r="G8291" t="s">
        <v>52</v>
      </c>
      <c r="H8291" t="str">
        <f>"ΕΜΜ. ΠΟΡΤΑΛΙΟΥ 28 ΡΕΘΥΜΝΟ"</f>
        <v>ΕΜΜ. ΠΟΡΤΑΛΙΟΥ 28 ΡΕΘΥΜΝΟ</v>
      </c>
      <c r="I8291">
        <v>74132</v>
      </c>
      <c r="J8291">
        <v>2831051182</v>
      </c>
      <c r="K8291">
        <v>6974509605</v>
      </c>
      <c r="M8291" t="s">
        <v>12775</v>
      </c>
      <c r="N8291" t="s">
        <v>615</v>
      </c>
      <c r="O8291" t="s">
        <v>616</v>
      </c>
      <c r="R8291" t="s">
        <v>57</v>
      </c>
      <c r="S8291">
        <v>8</v>
      </c>
      <c r="T8291">
        <v>218</v>
      </c>
      <c r="U8291" s="1">
        <v>37134</v>
      </c>
      <c r="V8291" t="s">
        <v>66</v>
      </c>
      <c r="W8291" t="s">
        <v>67</v>
      </c>
      <c r="X8291" t="s">
        <v>58</v>
      </c>
      <c r="Y8291">
        <v>22</v>
      </c>
      <c r="Z8291" t="s">
        <v>59</v>
      </c>
      <c r="AA8291" t="s">
        <v>59</v>
      </c>
      <c r="AB8291" t="s">
        <v>59</v>
      </c>
      <c r="AC8291" t="s">
        <v>59</v>
      </c>
      <c r="AD8291" t="s">
        <v>59</v>
      </c>
      <c r="AF8291" s="1">
        <v>37138</v>
      </c>
      <c r="AG8291" t="s">
        <v>8645</v>
      </c>
      <c r="AH8291" t="s">
        <v>8646</v>
      </c>
      <c r="AI8291" t="str">
        <f>"9410263"</f>
        <v>9410263</v>
      </c>
      <c r="AJ8291" t="s">
        <v>12672</v>
      </c>
      <c r="AK8291">
        <v>2831053818</v>
      </c>
      <c r="AL8291" t="s">
        <v>12673</v>
      </c>
      <c r="AM8291" t="s">
        <v>64</v>
      </c>
      <c r="AN8291" t="s">
        <v>65</v>
      </c>
      <c r="AO8291" t="s">
        <v>65</v>
      </c>
      <c r="AP8291" t="s">
        <v>65</v>
      </c>
      <c r="AQ8291">
        <v>1</v>
      </c>
      <c r="AR8291" t="s">
        <v>66</v>
      </c>
      <c r="AS8291" t="s">
        <v>67</v>
      </c>
      <c r="AT8291" t="s">
        <v>58</v>
      </c>
      <c r="AU8291" t="s">
        <v>68</v>
      </c>
      <c r="AV8291" t="s">
        <v>69</v>
      </c>
      <c r="AW8291" s="1">
        <v>25364</v>
      </c>
      <c r="AX8291">
        <v>1</v>
      </c>
    </row>
    <row r="8292" spans="1:50">
      <c r="A8292">
        <v>576570</v>
      </c>
      <c r="B8292" t="str">
        <f>"039394294"</f>
        <v>039394294</v>
      </c>
      <c r="C8292" t="s">
        <v>105</v>
      </c>
      <c r="D8292" t="s">
        <v>622</v>
      </c>
      <c r="E8292" t="s">
        <v>108</v>
      </c>
      <c r="F8292" t="s">
        <v>53</v>
      </c>
      <c r="G8292" t="s">
        <v>2145</v>
      </c>
      <c r="H8292" t="str">
        <f>" "</f>
        <v xml:space="preserve"> </v>
      </c>
      <c r="M8292" t="s">
        <v>12776</v>
      </c>
      <c r="N8292" t="s">
        <v>176</v>
      </c>
      <c r="O8292" t="s">
        <v>177</v>
      </c>
      <c r="R8292" t="s">
        <v>57</v>
      </c>
      <c r="S8292">
        <v>13</v>
      </c>
      <c r="T8292">
        <v>184</v>
      </c>
      <c r="U8292" s="1">
        <v>34941</v>
      </c>
      <c r="V8292" t="s">
        <v>66</v>
      </c>
      <c r="W8292" t="s">
        <v>67</v>
      </c>
      <c r="X8292" t="s">
        <v>58</v>
      </c>
      <c r="Y8292">
        <v>21</v>
      </c>
      <c r="Z8292" t="s">
        <v>59</v>
      </c>
      <c r="AA8292" t="s">
        <v>59</v>
      </c>
      <c r="AB8292" t="s">
        <v>59</v>
      </c>
      <c r="AC8292" t="s">
        <v>59</v>
      </c>
      <c r="AD8292" t="s">
        <v>59</v>
      </c>
      <c r="AF8292" s="1">
        <v>34943</v>
      </c>
      <c r="AG8292" t="s">
        <v>8645</v>
      </c>
      <c r="AH8292" t="s">
        <v>8646</v>
      </c>
      <c r="AI8292" t="str">
        <f>"9410152"</f>
        <v>9410152</v>
      </c>
      <c r="AJ8292" t="s">
        <v>12686</v>
      </c>
      <c r="AK8292">
        <v>2831029088</v>
      </c>
      <c r="AL8292" t="s">
        <v>12687</v>
      </c>
      <c r="AM8292" t="s">
        <v>64</v>
      </c>
      <c r="AN8292" t="s">
        <v>65</v>
      </c>
      <c r="AO8292" t="s">
        <v>65</v>
      </c>
      <c r="AP8292" t="s">
        <v>65</v>
      </c>
      <c r="AQ8292">
        <v>1</v>
      </c>
      <c r="AR8292" t="s">
        <v>66</v>
      </c>
      <c r="AS8292" t="s">
        <v>67</v>
      </c>
      <c r="AT8292" t="s">
        <v>58</v>
      </c>
      <c r="AU8292" t="s">
        <v>68</v>
      </c>
      <c r="AV8292" t="s">
        <v>69</v>
      </c>
      <c r="AW8292" s="1">
        <v>22609</v>
      </c>
      <c r="AX8292">
        <v>1</v>
      </c>
    </row>
    <row r="8293" spans="1:50">
      <c r="A8293">
        <v>567413</v>
      </c>
      <c r="B8293" t="str">
        <f>"033276727"</f>
        <v>033276727</v>
      </c>
      <c r="C8293" t="s">
        <v>105</v>
      </c>
      <c r="D8293" t="s">
        <v>6892</v>
      </c>
      <c r="E8293" t="s">
        <v>1316</v>
      </c>
      <c r="F8293" t="s">
        <v>72</v>
      </c>
      <c r="G8293" t="s">
        <v>12777</v>
      </c>
      <c r="H8293" t="str">
        <f>" "</f>
        <v xml:space="preserve"> </v>
      </c>
      <c r="K8293">
        <v>6987518468</v>
      </c>
      <c r="N8293" t="s">
        <v>615</v>
      </c>
      <c r="O8293" t="s">
        <v>616</v>
      </c>
      <c r="R8293" t="s">
        <v>57</v>
      </c>
      <c r="S8293">
        <v>14</v>
      </c>
      <c r="T8293">
        <v>133</v>
      </c>
      <c r="U8293" s="1">
        <v>33456</v>
      </c>
      <c r="V8293" t="s">
        <v>66</v>
      </c>
      <c r="W8293" t="s">
        <v>67</v>
      </c>
      <c r="X8293" t="s">
        <v>58</v>
      </c>
      <c r="Y8293">
        <v>21</v>
      </c>
      <c r="Z8293" t="s">
        <v>59</v>
      </c>
      <c r="AA8293" t="s">
        <v>59</v>
      </c>
      <c r="AB8293" t="s">
        <v>59</v>
      </c>
      <c r="AC8293" t="s">
        <v>59</v>
      </c>
      <c r="AD8293" t="s">
        <v>59</v>
      </c>
      <c r="AF8293" s="1">
        <v>33485</v>
      </c>
      <c r="AG8293" t="s">
        <v>8645</v>
      </c>
      <c r="AH8293" t="s">
        <v>8646</v>
      </c>
      <c r="AI8293" t="str">
        <f>"9410030"</f>
        <v>9410030</v>
      </c>
      <c r="AJ8293" t="s">
        <v>12743</v>
      </c>
      <c r="AK8293">
        <v>2834093217</v>
      </c>
      <c r="AL8293" t="s">
        <v>12744</v>
      </c>
      <c r="AM8293" t="s">
        <v>64</v>
      </c>
      <c r="AN8293" t="s">
        <v>65</v>
      </c>
      <c r="AO8293" t="s">
        <v>12694</v>
      </c>
      <c r="AP8293" t="s">
        <v>12745</v>
      </c>
      <c r="AQ8293">
        <v>3</v>
      </c>
      <c r="AR8293" t="s">
        <v>66</v>
      </c>
      <c r="AS8293" t="s">
        <v>67</v>
      </c>
      <c r="AT8293" t="s">
        <v>58</v>
      </c>
      <c r="AU8293" t="s">
        <v>68</v>
      </c>
      <c r="AV8293" t="s">
        <v>2039</v>
      </c>
      <c r="AW8293" s="1">
        <v>20710</v>
      </c>
      <c r="AX8293">
        <v>1</v>
      </c>
    </row>
    <row r="8294" spans="1:50">
      <c r="B8294" t="str">
        <f>"148727870"</f>
        <v>148727870</v>
      </c>
      <c r="C8294" t="s">
        <v>50</v>
      </c>
      <c r="D8294" t="s">
        <v>625</v>
      </c>
      <c r="E8294" t="s">
        <v>109</v>
      </c>
      <c r="F8294" t="s">
        <v>383</v>
      </c>
      <c r="G8294" t="s">
        <v>4729</v>
      </c>
      <c r="H8294" t="str">
        <f>"ΔΡΑΚΟΥΛΗ 24 ΝΕΟΣ ΚΟΣΜΟΣ"</f>
        <v>ΔΡΑΚΟΥΛΗ 24 ΝΕΟΣ ΚΟΣΜΟΣ</v>
      </c>
      <c r="K8294">
        <v>6976630019</v>
      </c>
      <c r="N8294" t="s">
        <v>615</v>
      </c>
      <c r="O8294" t="s">
        <v>616</v>
      </c>
      <c r="R8294" t="s">
        <v>159</v>
      </c>
      <c r="S8294">
        <v>1</v>
      </c>
      <c r="T8294" t="s">
        <v>8675</v>
      </c>
      <c r="U8294" s="1">
        <v>43348</v>
      </c>
      <c r="V8294" t="s">
        <v>66</v>
      </c>
      <c r="W8294" t="s">
        <v>67</v>
      </c>
      <c r="X8294" t="s">
        <v>58</v>
      </c>
      <c r="Y8294">
        <v>24</v>
      </c>
      <c r="Z8294" t="s">
        <v>59</v>
      </c>
      <c r="AA8294" t="s">
        <v>59</v>
      </c>
      <c r="AB8294" t="s">
        <v>59</v>
      </c>
      <c r="AD8294" t="s">
        <v>59</v>
      </c>
      <c r="AF8294" s="1">
        <v>43348</v>
      </c>
      <c r="AG8294" t="s">
        <v>8645</v>
      </c>
      <c r="AH8294" t="s">
        <v>8646</v>
      </c>
      <c r="AI8294" t="str">
        <f>"9410033"</f>
        <v>9410033</v>
      </c>
      <c r="AJ8294" t="s">
        <v>12778</v>
      </c>
      <c r="AK8294">
        <v>2834061210</v>
      </c>
      <c r="AL8294" t="s">
        <v>12779</v>
      </c>
      <c r="AM8294" t="s">
        <v>64</v>
      </c>
      <c r="AN8294" t="s">
        <v>5672</v>
      </c>
      <c r="AO8294" t="s">
        <v>12780</v>
      </c>
      <c r="AP8294" t="s">
        <v>12780</v>
      </c>
      <c r="AQ8294">
        <v>9</v>
      </c>
      <c r="AR8294" t="s">
        <v>66</v>
      </c>
      <c r="AS8294" t="s">
        <v>67</v>
      </c>
      <c r="AT8294" t="s">
        <v>58</v>
      </c>
      <c r="AU8294" t="s">
        <v>8673</v>
      </c>
      <c r="AV8294" t="s">
        <v>132</v>
      </c>
      <c r="AW8294" s="1">
        <v>32690</v>
      </c>
      <c r="AX8294">
        <v>1</v>
      </c>
    </row>
    <row r="8295" spans="1:50">
      <c r="A8295">
        <v>619727</v>
      </c>
      <c r="B8295" t="str">
        <f>"103175681"</f>
        <v>103175681</v>
      </c>
      <c r="C8295" t="s">
        <v>50</v>
      </c>
      <c r="D8295" t="s">
        <v>12781</v>
      </c>
      <c r="E8295" t="s">
        <v>931</v>
      </c>
      <c r="F8295" t="s">
        <v>1286</v>
      </c>
      <c r="G8295" t="s">
        <v>109</v>
      </c>
      <c r="H8295" t="str">
        <f>" "</f>
        <v xml:space="preserve"> </v>
      </c>
      <c r="J8295">
        <v>2831025421</v>
      </c>
      <c r="K8295">
        <v>6974123941</v>
      </c>
      <c r="L8295">
        <v>2662032535</v>
      </c>
      <c r="M8295" t="s">
        <v>12782</v>
      </c>
      <c r="N8295" t="s">
        <v>306</v>
      </c>
      <c r="O8295" t="s">
        <v>307</v>
      </c>
      <c r="R8295" t="s">
        <v>57</v>
      </c>
      <c r="S8295">
        <v>5</v>
      </c>
      <c r="T8295">
        <v>775</v>
      </c>
      <c r="U8295" s="1">
        <v>39680</v>
      </c>
      <c r="V8295" t="s">
        <v>66</v>
      </c>
      <c r="W8295" t="s">
        <v>67</v>
      </c>
      <c r="X8295" t="s">
        <v>58</v>
      </c>
      <c r="Y8295">
        <v>23</v>
      </c>
      <c r="Z8295" t="s">
        <v>59</v>
      </c>
      <c r="AA8295" t="s">
        <v>59</v>
      </c>
      <c r="AB8295" t="s">
        <v>59</v>
      </c>
      <c r="AC8295" t="s">
        <v>59</v>
      </c>
      <c r="AD8295" t="s">
        <v>59</v>
      </c>
      <c r="AF8295" s="1">
        <v>39681</v>
      </c>
      <c r="AG8295" t="s">
        <v>8645</v>
      </c>
      <c r="AH8295" t="s">
        <v>8646</v>
      </c>
      <c r="AI8295" t="str">
        <f>"9410241"</f>
        <v>9410241</v>
      </c>
      <c r="AJ8295" t="s">
        <v>12783</v>
      </c>
      <c r="AK8295">
        <v>2831022616</v>
      </c>
      <c r="AL8295" t="s">
        <v>12784</v>
      </c>
      <c r="AM8295" t="s">
        <v>64</v>
      </c>
      <c r="AN8295" t="s">
        <v>65</v>
      </c>
      <c r="AO8295" t="s">
        <v>65</v>
      </c>
      <c r="AP8295" t="s">
        <v>65</v>
      </c>
      <c r="AQ8295">
        <v>1</v>
      </c>
      <c r="AR8295" t="s">
        <v>66</v>
      </c>
      <c r="AS8295" t="s">
        <v>67</v>
      </c>
      <c r="AT8295" t="s">
        <v>58</v>
      </c>
      <c r="AU8295" t="s">
        <v>68</v>
      </c>
      <c r="AV8295" t="s">
        <v>69</v>
      </c>
      <c r="AW8295" s="1">
        <v>28332</v>
      </c>
      <c r="AX8295">
        <v>1</v>
      </c>
    </row>
    <row r="8296" spans="1:50">
      <c r="B8296" t="str">
        <f>"301979067"</f>
        <v>301979067</v>
      </c>
      <c r="C8296" t="s">
        <v>50</v>
      </c>
      <c r="D8296" t="s">
        <v>8982</v>
      </c>
      <c r="E8296" t="s">
        <v>9031</v>
      </c>
      <c r="F8296" t="s">
        <v>95</v>
      </c>
      <c r="G8296" t="s">
        <v>263</v>
      </c>
      <c r="H8296" t="str">
        <f>" "</f>
        <v xml:space="preserve"> </v>
      </c>
      <c r="N8296" t="s">
        <v>615</v>
      </c>
      <c r="O8296" t="s">
        <v>616</v>
      </c>
      <c r="R8296" t="s">
        <v>159</v>
      </c>
      <c r="S8296">
        <v>1</v>
      </c>
      <c r="T8296" t="s">
        <v>8675</v>
      </c>
      <c r="U8296" s="1">
        <v>43348</v>
      </c>
      <c r="V8296" t="s">
        <v>66</v>
      </c>
      <c r="W8296" t="s">
        <v>67</v>
      </c>
      <c r="X8296" t="s">
        <v>58</v>
      </c>
      <c r="Y8296">
        <v>24</v>
      </c>
      <c r="Z8296" t="s">
        <v>59</v>
      </c>
      <c r="AA8296" t="s">
        <v>59</v>
      </c>
      <c r="AB8296" t="s">
        <v>59</v>
      </c>
      <c r="AC8296" t="s">
        <v>59</v>
      </c>
      <c r="AD8296" t="s">
        <v>59</v>
      </c>
      <c r="AF8296" s="1">
        <v>43348</v>
      </c>
      <c r="AG8296" t="s">
        <v>8645</v>
      </c>
      <c r="AH8296" t="s">
        <v>8646</v>
      </c>
      <c r="AI8296" t="str">
        <f>"9410017"</f>
        <v>9410017</v>
      </c>
      <c r="AJ8296" t="s">
        <v>12785</v>
      </c>
      <c r="AK8296">
        <v>2834041452</v>
      </c>
      <c r="AL8296" t="s">
        <v>12786</v>
      </c>
      <c r="AM8296" t="s">
        <v>64</v>
      </c>
      <c r="AN8296" t="s">
        <v>5672</v>
      </c>
      <c r="AO8296" t="s">
        <v>5698</v>
      </c>
      <c r="AP8296" t="s">
        <v>12787</v>
      </c>
      <c r="AQ8296">
        <v>9</v>
      </c>
      <c r="AR8296" t="s">
        <v>66</v>
      </c>
      <c r="AS8296" t="s">
        <v>67</v>
      </c>
      <c r="AT8296" t="s">
        <v>58</v>
      </c>
      <c r="AU8296" t="s">
        <v>8673</v>
      </c>
      <c r="AV8296" t="s">
        <v>132</v>
      </c>
      <c r="AW8296" s="1">
        <v>32718</v>
      </c>
      <c r="AX8296">
        <v>1</v>
      </c>
    </row>
    <row r="8297" spans="1:50">
      <c r="A8297">
        <v>567450</v>
      </c>
      <c r="B8297" t="str">
        <f>"032213706"</f>
        <v>032213706</v>
      </c>
      <c r="C8297" t="s">
        <v>50</v>
      </c>
      <c r="D8297" t="s">
        <v>6904</v>
      </c>
      <c r="E8297" t="s">
        <v>860</v>
      </c>
      <c r="F8297" t="s">
        <v>315</v>
      </c>
      <c r="G8297" t="s">
        <v>52</v>
      </c>
      <c r="H8297" t="str">
        <f>"ΚΑΛΛΙΘΕΑ ΡΕΘΥΜΝΟ"</f>
        <v>ΚΑΛΛΙΘΕΑ ΡΕΘΥΜΝΟ</v>
      </c>
      <c r="I8297">
        <v>74100</v>
      </c>
      <c r="J8297">
        <v>2831053064</v>
      </c>
      <c r="K8297">
        <v>6972893893</v>
      </c>
      <c r="N8297" t="s">
        <v>615</v>
      </c>
      <c r="O8297" t="s">
        <v>616</v>
      </c>
      <c r="R8297" t="s">
        <v>57</v>
      </c>
      <c r="S8297">
        <v>14</v>
      </c>
      <c r="T8297">
        <v>133</v>
      </c>
      <c r="U8297" s="1">
        <v>33456</v>
      </c>
      <c r="V8297" t="s">
        <v>66</v>
      </c>
      <c r="W8297" t="s">
        <v>67</v>
      </c>
      <c r="X8297" t="s">
        <v>58</v>
      </c>
      <c r="Y8297">
        <v>21</v>
      </c>
      <c r="Z8297" t="s">
        <v>59</v>
      </c>
      <c r="AA8297" t="s">
        <v>59</v>
      </c>
      <c r="AB8297" t="s">
        <v>59</v>
      </c>
      <c r="AC8297" t="s">
        <v>59</v>
      </c>
      <c r="AD8297" t="s">
        <v>59</v>
      </c>
      <c r="AF8297" s="1">
        <v>33483</v>
      </c>
      <c r="AG8297" t="s">
        <v>8645</v>
      </c>
      <c r="AH8297" t="s">
        <v>8646</v>
      </c>
      <c r="AI8297" t="str">
        <f>"9410069"</f>
        <v>9410069</v>
      </c>
      <c r="AJ8297" t="s">
        <v>12674</v>
      </c>
      <c r="AK8297">
        <v>2831029296</v>
      </c>
      <c r="AL8297" t="s">
        <v>12675</v>
      </c>
      <c r="AM8297" t="s">
        <v>64</v>
      </c>
      <c r="AN8297" t="s">
        <v>65</v>
      </c>
      <c r="AO8297" t="s">
        <v>65</v>
      </c>
      <c r="AP8297" t="s">
        <v>65</v>
      </c>
      <c r="AQ8297">
        <v>1</v>
      </c>
      <c r="AR8297" t="s">
        <v>66</v>
      </c>
      <c r="AS8297" t="s">
        <v>67</v>
      </c>
      <c r="AT8297" t="s">
        <v>58</v>
      </c>
      <c r="AU8297" t="s">
        <v>68</v>
      </c>
      <c r="AV8297" t="s">
        <v>69</v>
      </c>
      <c r="AW8297" s="1">
        <v>24184</v>
      </c>
      <c r="AX8297">
        <v>1</v>
      </c>
    </row>
    <row r="8298" spans="1:50">
      <c r="B8298" t="str">
        <f>"133044110"</f>
        <v>133044110</v>
      </c>
      <c r="C8298" t="s">
        <v>50</v>
      </c>
      <c r="D8298" t="s">
        <v>12788</v>
      </c>
      <c r="E8298" t="s">
        <v>801</v>
      </c>
      <c r="F8298" t="s">
        <v>383</v>
      </c>
      <c r="G8298" t="s">
        <v>4266</v>
      </c>
      <c r="H8298" t="str">
        <f>" "</f>
        <v xml:space="preserve"> </v>
      </c>
      <c r="N8298" t="s">
        <v>384</v>
      </c>
      <c r="O8298" t="s">
        <v>385</v>
      </c>
      <c r="R8298" t="s">
        <v>121</v>
      </c>
      <c r="S8298">
        <v>1</v>
      </c>
      <c r="T8298" t="s">
        <v>8675</v>
      </c>
      <c r="U8298" s="1">
        <v>43348</v>
      </c>
      <c r="V8298" t="s">
        <v>66</v>
      </c>
      <c r="W8298" t="s">
        <v>67</v>
      </c>
      <c r="X8298" t="s">
        <v>58</v>
      </c>
      <c r="Y8298">
        <v>24</v>
      </c>
      <c r="Z8298" t="s">
        <v>59</v>
      </c>
      <c r="AA8298" t="s">
        <v>59</v>
      </c>
      <c r="AB8298" t="s">
        <v>59</v>
      </c>
      <c r="AD8298" t="s">
        <v>59</v>
      </c>
      <c r="AF8298" s="1">
        <v>43348</v>
      </c>
      <c r="AG8298" t="s">
        <v>8645</v>
      </c>
      <c r="AH8298" t="s">
        <v>8646</v>
      </c>
      <c r="AI8298" t="str">
        <f>"9410155"</f>
        <v>9410155</v>
      </c>
      <c r="AJ8298" t="s">
        <v>12663</v>
      </c>
      <c r="AK8298">
        <v>2831028697</v>
      </c>
      <c r="AL8298" t="s">
        <v>12664</v>
      </c>
      <c r="AM8298" t="s">
        <v>64</v>
      </c>
      <c r="AN8298" t="s">
        <v>65</v>
      </c>
      <c r="AO8298" t="s">
        <v>65</v>
      </c>
      <c r="AP8298" t="s">
        <v>65</v>
      </c>
      <c r="AQ8298">
        <v>1</v>
      </c>
      <c r="AR8298" t="s">
        <v>66</v>
      </c>
      <c r="AS8298" t="s">
        <v>67</v>
      </c>
      <c r="AT8298" t="s">
        <v>58</v>
      </c>
      <c r="AU8298" t="s">
        <v>8673</v>
      </c>
      <c r="AV8298" t="s">
        <v>132</v>
      </c>
      <c r="AW8298" s="1">
        <v>33319</v>
      </c>
      <c r="AX8298">
        <v>1</v>
      </c>
    </row>
    <row r="8299" spans="1:50">
      <c r="A8299">
        <v>224828</v>
      </c>
      <c r="B8299" t="str">
        <f>"039662047"</f>
        <v>039662047</v>
      </c>
      <c r="C8299" t="s">
        <v>105</v>
      </c>
      <c r="D8299" t="s">
        <v>12789</v>
      </c>
      <c r="E8299" t="s">
        <v>450</v>
      </c>
      <c r="F8299" t="s">
        <v>84</v>
      </c>
      <c r="G8299" t="s">
        <v>4717</v>
      </c>
      <c r="H8299" t="str">
        <f>"ΓΥΦΤΕΑ 10 ΕΛΕΥΣΙΝΑ"</f>
        <v>ΓΥΦΤΕΑ 10 ΕΛΕΥΣΙΝΑ</v>
      </c>
      <c r="I8299">
        <v>19200</v>
      </c>
      <c r="K8299">
        <v>6944660649</v>
      </c>
      <c r="N8299" t="s">
        <v>176</v>
      </c>
      <c r="O8299" t="s">
        <v>177</v>
      </c>
      <c r="R8299" t="s">
        <v>57</v>
      </c>
      <c r="S8299">
        <v>7</v>
      </c>
      <c r="T8299">
        <v>775</v>
      </c>
      <c r="U8299" s="1">
        <v>39680</v>
      </c>
      <c r="V8299" t="s">
        <v>66</v>
      </c>
      <c r="W8299" t="s">
        <v>67</v>
      </c>
      <c r="X8299" t="s">
        <v>58</v>
      </c>
      <c r="Y8299">
        <v>22</v>
      </c>
      <c r="Z8299" t="s">
        <v>59</v>
      </c>
      <c r="AA8299" t="s">
        <v>59</v>
      </c>
      <c r="AB8299" t="s">
        <v>59</v>
      </c>
      <c r="AC8299" t="s">
        <v>59</v>
      </c>
      <c r="AD8299" t="s">
        <v>59</v>
      </c>
      <c r="AF8299" s="1">
        <v>39681</v>
      </c>
      <c r="AG8299" t="s">
        <v>8645</v>
      </c>
      <c r="AH8299" t="s">
        <v>8646</v>
      </c>
      <c r="AI8299" t="str">
        <f>"9410051"</f>
        <v>9410051</v>
      </c>
      <c r="AJ8299" t="s">
        <v>12660</v>
      </c>
      <c r="AK8299">
        <v>2834022247</v>
      </c>
      <c r="AL8299" t="s">
        <v>12661</v>
      </c>
      <c r="AM8299" t="s">
        <v>64</v>
      </c>
      <c r="AN8299" t="s">
        <v>5672</v>
      </c>
      <c r="AO8299" t="s">
        <v>5673</v>
      </c>
      <c r="AP8299" t="s">
        <v>5689</v>
      </c>
      <c r="AQ8299">
        <v>7</v>
      </c>
      <c r="AR8299" t="s">
        <v>66</v>
      </c>
      <c r="AS8299" t="s">
        <v>67</v>
      </c>
      <c r="AT8299" t="s">
        <v>58</v>
      </c>
      <c r="AU8299" t="s">
        <v>68</v>
      </c>
      <c r="AV8299" t="s">
        <v>69</v>
      </c>
      <c r="AW8299" s="1">
        <v>25564</v>
      </c>
      <c r="AX8299">
        <v>1</v>
      </c>
    </row>
    <row r="8300" spans="1:50">
      <c r="A8300">
        <v>592965</v>
      </c>
      <c r="B8300" t="str">
        <f>"079421117"</f>
        <v>079421117</v>
      </c>
      <c r="C8300" t="s">
        <v>105</v>
      </c>
      <c r="D8300" t="s">
        <v>12790</v>
      </c>
      <c r="E8300" t="s">
        <v>95</v>
      </c>
      <c r="F8300" t="s">
        <v>377</v>
      </c>
      <c r="G8300" t="s">
        <v>12791</v>
      </c>
      <c r="H8300" t="str">
        <f>" "</f>
        <v xml:space="preserve"> </v>
      </c>
      <c r="K8300">
        <v>6945822426</v>
      </c>
      <c r="M8300" t="s">
        <v>12792</v>
      </c>
      <c r="N8300" t="s">
        <v>615</v>
      </c>
      <c r="O8300" t="s">
        <v>616</v>
      </c>
      <c r="R8300" t="s">
        <v>57</v>
      </c>
      <c r="S8300">
        <v>14</v>
      </c>
      <c r="T8300">
        <v>218</v>
      </c>
      <c r="U8300" s="1">
        <v>37134</v>
      </c>
      <c r="V8300" t="s">
        <v>66</v>
      </c>
      <c r="W8300" t="s">
        <v>67</v>
      </c>
      <c r="X8300" t="s">
        <v>58</v>
      </c>
      <c r="Y8300">
        <v>22</v>
      </c>
      <c r="Z8300" t="s">
        <v>59</v>
      </c>
      <c r="AA8300" t="s">
        <v>59</v>
      </c>
      <c r="AB8300" t="s">
        <v>59</v>
      </c>
      <c r="AC8300" t="s">
        <v>59</v>
      </c>
      <c r="AD8300" t="s">
        <v>59</v>
      </c>
      <c r="AF8300" s="1">
        <v>37138</v>
      </c>
      <c r="AG8300" t="s">
        <v>8645</v>
      </c>
      <c r="AH8300" t="s">
        <v>8646</v>
      </c>
      <c r="AI8300" t="str">
        <f>"9410152"</f>
        <v>9410152</v>
      </c>
      <c r="AJ8300" t="s">
        <v>12686</v>
      </c>
      <c r="AK8300">
        <v>2831029088</v>
      </c>
      <c r="AL8300" t="s">
        <v>12687</v>
      </c>
      <c r="AM8300" t="s">
        <v>64</v>
      </c>
      <c r="AN8300" t="s">
        <v>65</v>
      </c>
      <c r="AO8300" t="s">
        <v>65</v>
      </c>
      <c r="AP8300" t="s">
        <v>65</v>
      </c>
      <c r="AQ8300">
        <v>1</v>
      </c>
      <c r="AR8300" t="s">
        <v>66</v>
      </c>
      <c r="AS8300" t="s">
        <v>67</v>
      </c>
      <c r="AT8300" t="s">
        <v>58</v>
      </c>
      <c r="AU8300" t="s">
        <v>68</v>
      </c>
      <c r="AV8300" t="s">
        <v>69</v>
      </c>
      <c r="AW8300" s="1">
        <v>26715</v>
      </c>
      <c r="AX8300">
        <v>1</v>
      </c>
    </row>
    <row r="8301" spans="1:50">
      <c r="B8301" t="str">
        <f>"139794809"</f>
        <v>139794809</v>
      </c>
      <c r="C8301" t="s">
        <v>50</v>
      </c>
      <c r="D8301" t="s">
        <v>12793</v>
      </c>
      <c r="E8301" t="s">
        <v>83</v>
      </c>
      <c r="F8301" t="s">
        <v>72</v>
      </c>
      <c r="G8301" t="s">
        <v>52</v>
      </c>
      <c r="H8301" t="str">
        <f>"Γ. ΠΑΠΑΝΙΚΟΛΑΟΥ 16 "</f>
        <v xml:space="preserve">Γ. ΠΑΠΑΝΙΚΟΛΑΟΥ 16 </v>
      </c>
      <c r="I8301">
        <v>34100</v>
      </c>
      <c r="J8301">
        <v>2221084806</v>
      </c>
      <c r="K8301">
        <v>6944275902</v>
      </c>
      <c r="N8301" t="s">
        <v>8834</v>
      </c>
      <c r="O8301" t="s">
        <v>8695</v>
      </c>
      <c r="R8301" t="s">
        <v>159</v>
      </c>
      <c r="S8301">
        <v>4</v>
      </c>
      <c r="T8301" t="s">
        <v>8835</v>
      </c>
      <c r="U8301" s="1">
        <v>43348</v>
      </c>
      <c r="V8301" t="s">
        <v>66</v>
      </c>
      <c r="W8301" t="s">
        <v>67</v>
      </c>
      <c r="X8301" t="s">
        <v>58</v>
      </c>
      <c r="Y8301">
        <v>24</v>
      </c>
      <c r="Z8301" t="s">
        <v>59</v>
      </c>
      <c r="AA8301" t="s">
        <v>59</v>
      </c>
      <c r="AB8301" t="s">
        <v>59</v>
      </c>
      <c r="AC8301" t="s">
        <v>59</v>
      </c>
      <c r="AD8301" t="s">
        <v>59</v>
      </c>
      <c r="AF8301" s="1">
        <v>43348</v>
      </c>
      <c r="AG8301" t="s">
        <v>8645</v>
      </c>
      <c r="AH8301" t="s">
        <v>8646</v>
      </c>
      <c r="AI8301" t="str">
        <f>"9410003"</f>
        <v>9410003</v>
      </c>
      <c r="AJ8301" t="s">
        <v>12794</v>
      </c>
      <c r="AK8301">
        <v>2834031213</v>
      </c>
      <c r="AL8301" t="s">
        <v>12795</v>
      </c>
      <c r="AM8301" t="s">
        <v>64</v>
      </c>
      <c r="AN8301" t="s">
        <v>5737</v>
      </c>
      <c r="AO8301" t="s">
        <v>5737</v>
      </c>
      <c r="AP8301" t="s">
        <v>5737</v>
      </c>
      <c r="AQ8301">
        <v>9</v>
      </c>
      <c r="AR8301" t="s">
        <v>66</v>
      </c>
      <c r="AS8301" t="s">
        <v>67</v>
      </c>
      <c r="AT8301" t="s">
        <v>58</v>
      </c>
      <c r="AU8301" t="s">
        <v>131</v>
      </c>
      <c r="AV8301" t="s">
        <v>132</v>
      </c>
      <c r="AW8301" s="1">
        <v>32377</v>
      </c>
      <c r="AX8301">
        <v>1</v>
      </c>
    </row>
    <row r="8302" spans="1:50">
      <c r="A8302">
        <v>702104</v>
      </c>
      <c r="B8302" t="str">
        <f>"143655634"</f>
        <v>143655634</v>
      </c>
      <c r="C8302" t="s">
        <v>50</v>
      </c>
      <c r="D8302" t="s">
        <v>6930</v>
      </c>
      <c r="E8302" t="s">
        <v>1752</v>
      </c>
      <c r="F8302" t="s">
        <v>154</v>
      </c>
      <c r="G8302" t="s">
        <v>237</v>
      </c>
      <c r="H8302" t="str">
        <f>"ΣΦΑΚΑΚΙ ΚΡΗΤΗ"</f>
        <v>ΣΦΑΚΑΚΙ ΚΡΗΤΗ</v>
      </c>
      <c r="I8302">
        <v>74100</v>
      </c>
      <c r="K8302">
        <v>6974030808</v>
      </c>
      <c r="N8302" t="s">
        <v>615</v>
      </c>
      <c r="O8302" t="s">
        <v>616</v>
      </c>
      <c r="R8302" t="s">
        <v>57</v>
      </c>
      <c r="S8302">
        <v>4</v>
      </c>
      <c r="T8302">
        <v>772</v>
      </c>
      <c r="U8302" s="1">
        <v>40413</v>
      </c>
      <c r="V8302" t="s">
        <v>66</v>
      </c>
      <c r="W8302" t="s">
        <v>67</v>
      </c>
      <c r="X8302" t="s">
        <v>58</v>
      </c>
      <c r="Y8302">
        <v>24</v>
      </c>
      <c r="Z8302" t="s">
        <v>59</v>
      </c>
      <c r="AA8302" t="s">
        <v>59</v>
      </c>
      <c r="AB8302" t="s">
        <v>59</v>
      </c>
      <c r="AC8302" t="s">
        <v>59</v>
      </c>
      <c r="AD8302" t="s">
        <v>59</v>
      </c>
      <c r="AF8302" s="1">
        <v>40413</v>
      </c>
      <c r="AG8302" t="s">
        <v>8645</v>
      </c>
      <c r="AH8302" t="s">
        <v>8646</v>
      </c>
      <c r="AI8302" t="str">
        <f>"9410242"</f>
        <v>9410242</v>
      </c>
      <c r="AJ8302" t="s">
        <v>12796</v>
      </c>
      <c r="AK8302">
        <v>2834023145</v>
      </c>
      <c r="AL8302" t="s">
        <v>12797</v>
      </c>
      <c r="AM8302" t="s">
        <v>64</v>
      </c>
      <c r="AN8302" t="s">
        <v>5672</v>
      </c>
      <c r="AO8302" t="s">
        <v>5673</v>
      </c>
      <c r="AP8302" t="s">
        <v>5689</v>
      </c>
      <c r="AQ8302">
        <v>7</v>
      </c>
      <c r="AR8302" t="s">
        <v>66</v>
      </c>
      <c r="AS8302" t="s">
        <v>67</v>
      </c>
      <c r="AT8302" t="s">
        <v>58</v>
      </c>
      <c r="AU8302" t="s">
        <v>68</v>
      </c>
      <c r="AV8302" t="s">
        <v>69</v>
      </c>
      <c r="AW8302" s="1">
        <v>30854</v>
      </c>
      <c r="AX8302">
        <v>1</v>
      </c>
    </row>
    <row r="8303" spans="1:50">
      <c r="A8303">
        <v>596960</v>
      </c>
      <c r="B8303" t="str">
        <f>"110283123"</f>
        <v>110283123</v>
      </c>
      <c r="C8303" t="s">
        <v>50</v>
      </c>
      <c r="D8303" t="s">
        <v>4618</v>
      </c>
      <c r="E8303" t="s">
        <v>73</v>
      </c>
      <c r="F8303" t="s">
        <v>166</v>
      </c>
      <c r="G8303" t="s">
        <v>52</v>
      </c>
      <c r="H8303" t="str">
        <f>"ΕΡΑΤΟΥΣ  6 ΡΕΘΥΜΝΟ"</f>
        <v>ΕΡΑΤΟΥΣ  6 ΡΕΘΥΜΝΟ</v>
      </c>
      <c r="I8303">
        <v>74100</v>
      </c>
      <c r="J8303">
        <v>2831030977</v>
      </c>
      <c r="K8303">
        <v>6974377012</v>
      </c>
      <c r="N8303" t="s">
        <v>1525</v>
      </c>
      <c r="O8303" t="s">
        <v>1526</v>
      </c>
      <c r="P8303" t="s">
        <v>146</v>
      </c>
      <c r="Q8303" t="s">
        <v>147</v>
      </c>
      <c r="R8303" t="s">
        <v>57</v>
      </c>
      <c r="S8303">
        <v>14</v>
      </c>
      <c r="T8303">
        <v>195</v>
      </c>
      <c r="U8303" s="1">
        <v>37497</v>
      </c>
      <c r="V8303" t="s">
        <v>66</v>
      </c>
      <c r="W8303" t="s">
        <v>67</v>
      </c>
      <c r="X8303" t="s">
        <v>58</v>
      </c>
      <c r="Y8303">
        <v>25</v>
      </c>
      <c r="Z8303" t="s">
        <v>59</v>
      </c>
      <c r="AA8303" t="s">
        <v>59</v>
      </c>
      <c r="AB8303" t="s">
        <v>59</v>
      </c>
      <c r="AC8303" t="s">
        <v>59</v>
      </c>
      <c r="AD8303" t="s">
        <v>59</v>
      </c>
      <c r="AF8303" s="1">
        <v>37501</v>
      </c>
      <c r="AG8303" t="s">
        <v>8651</v>
      </c>
      <c r="AH8303" t="s">
        <v>8652</v>
      </c>
      <c r="AI8303" t="str">
        <f>"9521304"</f>
        <v>9521304</v>
      </c>
      <c r="AJ8303" t="s">
        <v>12798</v>
      </c>
      <c r="AK8303">
        <v>2831057099</v>
      </c>
      <c r="AL8303" t="s">
        <v>12799</v>
      </c>
      <c r="AM8303" t="s">
        <v>64</v>
      </c>
      <c r="AN8303" t="s">
        <v>65</v>
      </c>
      <c r="AO8303" t="s">
        <v>5720</v>
      </c>
      <c r="AP8303" t="s">
        <v>5721</v>
      </c>
      <c r="AQ8303">
        <v>2</v>
      </c>
      <c r="AR8303" t="s">
        <v>66</v>
      </c>
      <c r="AS8303" t="s">
        <v>67</v>
      </c>
      <c r="AT8303" t="s">
        <v>58</v>
      </c>
      <c r="AU8303" t="s">
        <v>68</v>
      </c>
      <c r="AV8303" t="s">
        <v>69</v>
      </c>
      <c r="AW8303" s="1">
        <v>28131</v>
      </c>
      <c r="AX8303">
        <v>1</v>
      </c>
    </row>
    <row r="8304" spans="1:50">
      <c r="A8304">
        <v>579341</v>
      </c>
      <c r="B8304" t="str">
        <f>"059721762"</f>
        <v>059721762</v>
      </c>
      <c r="C8304" t="s">
        <v>50</v>
      </c>
      <c r="D8304" t="s">
        <v>9063</v>
      </c>
      <c r="E8304" t="s">
        <v>1001</v>
      </c>
      <c r="F8304" t="s">
        <v>99</v>
      </c>
      <c r="G8304" t="s">
        <v>9342</v>
      </c>
      <c r="H8304" t="str">
        <f>" "</f>
        <v xml:space="preserve"> </v>
      </c>
      <c r="N8304" t="s">
        <v>615</v>
      </c>
      <c r="O8304" t="s">
        <v>616</v>
      </c>
      <c r="R8304" t="s">
        <v>57</v>
      </c>
      <c r="S8304">
        <v>13</v>
      </c>
      <c r="T8304">
        <v>165</v>
      </c>
      <c r="U8304" s="1">
        <v>35300</v>
      </c>
      <c r="V8304" t="s">
        <v>66</v>
      </c>
      <c r="W8304" t="s">
        <v>67</v>
      </c>
      <c r="X8304" t="s">
        <v>58</v>
      </c>
      <c r="Y8304">
        <v>21</v>
      </c>
      <c r="Z8304" t="s">
        <v>59</v>
      </c>
      <c r="AA8304" t="s">
        <v>59</v>
      </c>
      <c r="AB8304" t="s">
        <v>59</v>
      </c>
      <c r="AC8304" t="s">
        <v>59</v>
      </c>
      <c r="AD8304" t="s">
        <v>59</v>
      </c>
      <c r="AF8304" s="1">
        <v>35310</v>
      </c>
      <c r="AG8304" t="s">
        <v>8645</v>
      </c>
      <c r="AH8304" t="s">
        <v>8646</v>
      </c>
      <c r="AI8304" t="str">
        <f>"9410067"</f>
        <v>9410067</v>
      </c>
      <c r="AJ8304" t="s">
        <v>12736</v>
      </c>
      <c r="AK8304">
        <v>2831022836</v>
      </c>
      <c r="AL8304" t="s">
        <v>12737</v>
      </c>
      <c r="AM8304" t="s">
        <v>64</v>
      </c>
      <c r="AN8304" t="s">
        <v>65</v>
      </c>
      <c r="AO8304" t="s">
        <v>65</v>
      </c>
      <c r="AP8304" t="s">
        <v>65</v>
      </c>
      <c r="AQ8304">
        <v>1</v>
      </c>
      <c r="AR8304" t="s">
        <v>66</v>
      </c>
      <c r="AS8304" t="s">
        <v>67</v>
      </c>
      <c r="AT8304" t="s">
        <v>58</v>
      </c>
      <c r="AU8304" t="s">
        <v>68</v>
      </c>
      <c r="AV8304" t="s">
        <v>69</v>
      </c>
      <c r="AW8304" s="1">
        <v>24305</v>
      </c>
      <c r="AX8304">
        <v>1</v>
      </c>
    </row>
    <row r="8305" spans="1:50">
      <c r="A8305">
        <v>567841</v>
      </c>
      <c r="B8305" t="str">
        <f>"065473860"</f>
        <v>065473860</v>
      </c>
      <c r="C8305" t="s">
        <v>50</v>
      </c>
      <c r="D8305" t="s">
        <v>703</v>
      </c>
      <c r="E8305" t="s">
        <v>237</v>
      </c>
      <c r="F8305" t="s">
        <v>95</v>
      </c>
      <c r="G8305" t="s">
        <v>1927</v>
      </c>
      <c r="H8305" t="str">
        <f>" "</f>
        <v xml:space="preserve"> </v>
      </c>
      <c r="N8305" t="s">
        <v>1525</v>
      </c>
      <c r="O8305" t="s">
        <v>1526</v>
      </c>
      <c r="R8305" t="s">
        <v>57</v>
      </c>
      <c r="S8305">
        <v>15</v>
      </c>
      <c r="T8305">
        <v>133</v>
      </c>
      <c r="U8305" s="1">
        <v>33456</v>
      </c>
      <c r="V8305" t="s">
        <v>66</v>
      </c>
      <c r="W8305" t="s">
        <v>67</v>
      </c>
      <c r="X8305" t="s">
        <v>58</v>
      </c>
      <c r="Y8305">
        <v>25</v>
      </c>
      <c r="Z8305" t="s">
        <v>59</v>
      </c>
      <c r="AA8305" t="s">
        <v>59</v>
      </c>
      <c r="AB8305" t="s">
        <v>59</v>
      </c>
      <c r="AC8305" t="s">
        <v>59</v>
      </c>
      <c r="AD8305" t="s">
        <v>59</v>
      </c>
      <c r="AF8305" s="1">
        <v>33483</v>
      </c>
      <c r="AG8305" t="s">
        <v>8651</v>
      </c>
      <c r="AH8305" t="s">
        <v>8652</v>
      </c>
      <c r="AI8305" t="str">
        <f>"9410265"</f>
        <v>9410265</v>
      </c>
      <c r="AJ8305" t="s">
        <v>12654</v>
      </c>
      <c r="AK8305">
        <v>2831027473</v>
      </c>
      <c r="AL8305" t="s">
        <v>12655</v>
      </c>
      <c r="AM8305" t="s">
        <v>64</v>
      </c>
      <c r="AN8305" t="s">
        <v>65</v>
      </c>
      <c r="AO8305" t="s">
        <v>65</v>
      </c>
      <c r="AP8305" t="s">
        <v>65</v>
      </c>
      <c r="AQ8305">
        <v>1</v>
      </c>
      <c r="AR8305" t="s">
        <v>66</v>
      </c>
      <c r="AS8305" t="s">
        <v>67</v>
      </c>
      <c r="AT8305" t="s">
        <v>58</v>
      </c>
      <c r="AU8305" t="s">
        <v>68</v>
      </c>
      <c r="AV8305" t="s">
        <v>69</v>
      </c>
      <c r="AW8305" s="1">
        <v>22938</v>
      </c>
      <c r="AX8305">
        <v>1</v>
      </c>
    </row>
    <row r="8306" spans="1:50">
      <c r="B8306" t="str">
        <f>"138733843"</f>
        <v>138733843</v>
      </c>
      <c r="C8306" t="s">
        <v>50</v>
      </c>
      <c r="D8306" t="s">
        <v>12800</v>
      </c>
      <c r="E8306" t="s">
        <v>237</v>
      </c>
      <c r="F8306" t="s">
        <v>4730</v>
      </c>
      <c r="G8306" t="s">
        <v>316</v>
      </c>
      <c r="H8306" t="str">
        <f>" "</f>
        <v xml:space="preserve"> </v>
      </c>
      <c r="N8306" t="s">
        <v>615</v>
      </c>
      <c r="O8306" t="s">
        <v>616</v>
      </c>
      <c r="R8306" t="s">
        <v>121</v>
      </c>
      <c r="S8306">
        <v>1</v>
      </c>
      <c r="T8306" t="s">
        <v>8675</v>
      </c>
      <c r="U8306" s="1">
        <v>43348</v>
      </c>
      <c r="V8306" t="s">
        <v>66</v>
      </c>
      <c r="W8306" t="s">
        <v>67</v>
      </c>
      <c r="X8306" t="s">
        <v>58</v>
      </c>
      <c r="Y8306">
        <v>24</v>
      </c>
      <c r="Z8306" t="s">
        <v>59</v>
      </c>
      <c r="AD8306" t="s">
        <v>59</v>
      </c>
      <c r="AF8306" s="1">
        <v>43348</v>
      </c>
      <c r="AG8306" t="s">
        <v>8645</v>
      </c>
      <c r="AH8306" t="s">
        <v>8646</v>
      </c>
      <c r="AI8306" t="str">
        <f>"9521348"</f>
        <v>9521348</v>
      </c>
      <c r="AJ8306" t="s">
        <v>12714</v>
      </c>
      <c r="AK8306">
        <v>2831021334</v>
      </c>
      <c r="AL8306" t="s">
        <v>12715</v>
      </c>
      <c r="AM8306" t="s">
        <v>64</v>
      </c>
      <c r="AN8306" t="s">
        <v>65</v>
      </c>
      <c r="AO8306" t="s">
        <v>5720</v>
      </c>
      <c r="AP8306" t="s">
        <v>5721</v>
      </c>
      <c r="AQ8306">
        <v>2</v>
      </c>
      <c r="AR8306" t="s">
        <v>66</v>
      </c>
      <c r="AS8306" t="s">
        <v>67</v>
      </c>
      <c r="AT8306" t="s">
        <v>58</v>
      </c>
      <c r="AU8306" t="s">
        <v>8673</v>
      </c>
      <c r="AV8306" t="s">
        <v>132</v>
      </c>
      <c r="AW8306" s="1">
        <v>32106</v>
      </c>
      <c r="AX8306">
        <v>1</v>
      </c>
    </row>
    <row r="8307" spans="1:50">
      <c r="B8307" t="str">
        <f>"137477046"</f>
        <v>137477046</v>
      </c>
      <c r="C8307" t="s">
        <v>50</v>
      </c>
      <c r="D8307" t="s">
        <v>6932</v>
      </c>
      <c r="E8307" t="s">
        <v>52</v>
      </c>
      <c r="F8307" t="s">
        <v>95</v>
      </c>
      <c r="G8307" t="s">
        <v>181</v>
      </c>
      <c r="H8307" t="str">
        <f>" "</f>
        <v xml:space="preserve"> </v>
      </c>
      <c r="N8307" t="s">
        <v>615</v>
      </c>
      <c r="O8307" t="s">
        <v>616</v>
      </c>
      <c r="R8307" t="s">
        <v>121</v>
      </c>
      <c r="S8307">
        <v>1</v>
      </c>
      <c r="T8307" t="s">
        <v>9034</v>
      </c>
      <c r="U8307" s="1">
        <v>43377</v>
      </c>
      <c r="V8307" t="s">
        <v>66</v>
      </c>
      <c r="W8307" t="s">
        <v>67</v>
      </c>
      <c r="X8307" t="s">
        <v>58</v>
      </c>
      <c r="Y8307">
        <v>25</v>
      </c>
      <c r="Z8307" t="s">
        <v>59</v>
      </c>
      <c r="AA8307" t="s">
        <v>59</v>
      </c>
      <c r="AB8307" t="s">
        <v>59</v>
      </c>
      <c r="AC8307" t="s">
        <v>59</v>
      </c>
      <c r="AD8307" t="s">
        <v>59</v>
      </c>
      <c r="AF8307" s="1">
        <v>43377</v>
      </c>
      <c r="AG8307" t="s">
        <v>8645</v>
      </c>
      <c r="AH8307" t="s">
        <v>8676</v>
      </c>
      <c r="AI8307" t="str">
        <f>"9410041"</f>
        <v>9410041</v>
      </c>
      <c r="AJ8307" t="s">
        <v>12801</v>
      </c>
      <c r="AK8307">
        <v>2834092258</v>
      </c>
      <c r="AL8307" t="s">
        <v>12802</v>
      </c>
      <c r="AM8307" t="s">
        <v>64</v>
      </c>
      <c r="AN8307" t="s">
        <v>5672</v>
      </c>
      <c r="AO8307" t="s">
        <v>5673</v>
      </c>
      <c r="AP8307" t="s">
        <v>12803</v>
      </c>
      <c r="AQ8307">
        <v>8</v>
      </c>
      <c r="AR8307" t="s">
        <v>66</v>
      </c>
      <c r="AS8307" t="s">
        <v>67</v>
      </c>
      <c r="AT8307" t="s">
        <v>58</v>
      </c>
      <c r="AU8307" t="s">
        <v>8673</v>
      </c>
      <c r="AV8307" t="s">
        <v>132</v>
      </c>
      <c r="AW8307" s="1">
        <v>32619</v>
      </c>
      <c r="AX8307">
        <v>1</v>
      </c>
    </row>
    <row r="8308" spans="1:50">
      <c r="B8308" t="str">
        <f>"139983960"</f>
        <v>139983960</v>
      </c>
      <c r="C8308" t="s">
        <v>50</v>
      </c>
      <c r="D8308" t="s">
        <v>12804</v>
      </c>
      <c r="E8308" t="s">
        <v>155</v>
      </c>
      <c r="F8308" t="s">
        <v>989</v>
      </c>
      <c r="G8308" t="s">
        <v>742</v>
      </c>
      <c r="H8308" t="str">
        <f>" "</f>
        <v xml:space="preserve"> </v>
      </c>
      <c r="K8308">
        <v>6971801132</v>
      </c>
      <c r="N8308" t="s">
        <v>683</v>
      </c>
      <c r="O8308" t="s">
        <v>684</v>
      </c>
      <c r="R8308" t="s">
        <v>121</v>
      </c>
      <c r="S8308">
        <v>1</v>
      </c>
      <c r="T8308" t="s">
        <v>8675</v>
      </c>
      <c r="U8308" s="1">
        <v>43348</v>
      </c>
      <c r="V8308" t="s">
        <v>66</v>
      </c>
      <c r="W8308" t="s">
        <v>67</v>
      </c>
      <c r="X8308" t="s">
        <v>58</v>
      </c>
      <c r="Y8308">
        <v>24</v>
      </c>
      <c r="Z8308" t="s">
        <v>59</v>
      </c>
      <c r="AA8308" t="s">
        <v>59</v>
      </c>
      <c r="AB8308" t="s">
        <v>59</v>
      </c>
      <c r="AD8308" t="s">
        <v>59</v>
      </c>
      <c r="AF8308" s="1">
        <v>43348</v>
      </c>
      <c r="AG8308" t="s">
        <v>8645</v>
      </c>
      <c r="AH8308" t="s">
        <v>8646</v>
      </c>
      <c r="AI8308" t="str">
        <f>"9410064"</f>
        <v>9410064</v>
      </c>
      <c r="AJ8308" t="s">
        <v>12683</v>
      </c>
      <c r="AK8308">
        <v>2831028390</v>
      </c>
      <c r="AL8308" t="s">
        <v>12684</v>
      </c>
      <c r="AM8308" t="s">
        <v>64</v>
      </c>
      <c r="AN8308" t="s">
        <v>65</v>
      </c>
      <c r="AO8308" t="s">
        <v>65</v>
      </c>
      <c r="AP8308" t="s">
        <v>65</v>
      </c>
      <c r="AQ8308">
        <v>1</v>
      </c>
      <c r="AR8308" t="s">
        <v>66</v>
      </c>
      <c r="AS8308" t="s">
        <v>67</v>
      </c>
      <c r="AT8308" t="s">
        <v>58</v>
      </c>
      <c r="AU8308" t="s">
        <v>8673</v>
      </c>
      <c r="AV8308" t="s">
        <v>132</v>
      </c>
      <c r="AW8308" s="1">
        <v>32084</v>
      </c>
      <c r="AX8308">
        <v>1</v>
      </c>
    </row>
    <row r="8309" spans="1:50">
      <c r="A8309">
        <v>613170</v>
      </c>
      <c r="B8309" t="str">
        <f>"120017953"</f>
        <v>120017953</v>
      </c>
      <c r="C8309" t="s">
        <v>50</v>
      </c>
      <c r="D8309" t="s">
        <v>12805</v>
      </c>
      <c r="E8309" t="s">
        <v>52</v>
      </c>
      <c r="F8309" t="s">
        <v>166</v>
      </c>
      <c r="G8309" t="s">
        <v>191</v>
      </c>
      <c r="H8309" t="str">
        <f>"ΧΡ. ΤΖΙΦΑΚΗ 11 ΡΕΘΥΜΝΟ"</f>
        <v>ΧΡ. ΤΖΙΦΑΚΗ 11 ΡΕΘΥΜΝΟ</v>
      </c>
      <c r="I8309">
        <v>74100</v>
      </c>
      <c r="J8309">
        <v>2831036373</v>
      </c>
      <c r="K8309">
        <v>6932426716</v>
      </c>
      <c r="L8309">
        <v>2831021574</v>
      </c>
      <c r="N8309" t="s">
        <v>615</v>
      </c>
      <c r="O8309" t="s">
        <v>616</v>
      </c>
      <c r="R8309" t="s">
        <v>57</v>
      </c>
      <c r="S8309">
        <v>6</v>
      </c>
      <c r="T8309">
        <v>598</v>
      </c>
      <c r="U8309" s="1">
        <v>39310</v>
      </c>
      <c r="V8309" t="s">
        <v>66</v>
      </c>
      <c r="W8309" t="s">
        <v>67</v>
      </c>
      <c r="X8309" t="s">
        <v>58</v>
      </c>
      <c r="Y8309">
        <v>23</v>
      </c>
      <c r="Z8309" t="s">
        <v>59</v>
      </c>
      <c r="AA8309" t="s">
        <v>59</v>
      </c>
      <c r="AB8309" t="s">
        <v>59</v>
      </c>
      <c r="AC8309" t="s">
        <v>59</v>
      </c>
      <c r="AD8309" t="s">
        <v>59</v>
      </c>
      <c r="AF8309" s="1">
        <v>39328</v>
      </c>
      <c r="AG8309" t="s">
        <v>8645</v>
      </c>
      <c r="AH8309" t="s">
        <v>8646</v>
      </c>
      <c r="AI8309" t="str">
        <f>"9410155"</f>
        <v>9410155</v>
      </c>
      <c r="AJ8309" t="s">
        <v>12663</v>
      </c>
      <c r="AK8309">
        <v>2831028697</v>
      </c>
      <c r="AL8309" t="s">
        <v>12664</v>
      </c>
      <c r="AM8309" t="s">
        <v>64</v>
      </c>
      <c r="AN8309" t="s">
        <v>65</v>
      </c>
      <c r="AO8309" t="s">
        <v>65</v>
      </c>
      <c r="AP8309" t="s">
        <v>65</v>
      </c>
      <c r="AQ8309">
        <v>1</v>
      </c>
      <c r="AR8309" t="s">
        <v>66</v>
      </c>
      <c r="AS8309" t="s">
        <v>67</v>
      </c>
      <c r="AT8309" t="s">
        <v>58</v>
      </c>
      <c r="AU8309" t="s">
        <v>68</v>
      </c>
      <c r="AV8309" t="s">
        <v>69</v>
      </c>
      <c r="AW8309" s="1">
        <v>29819</v>
      </c>
      <c r="AX8309">
        <v>1</v>
      </c>
    </row>
    <row r="8310" spans="1:50">
      <c r="A8310">
        <v>220205</v>
      </c>
      <c r="B8310" t="str">
        <f>"120042520"</f>
        <v>120042520</v>
      </c>
      <c r="C8310" t="s">
        <v>50</v>
      </c>
      <c r="D8310" t="s">
        <v>12806</v>
      </c>
      <c r="E8310" t="s">
        <v>83</v>
      </c>
      <c r="F8310" t="s">
        <v>450</v>
      </c>
      <c r="G8310" t="s">
        <v>2235</v>
      </c>
      <c r="H8310" t="str">
        <f>"ΜΥΛΟΙ ΡΕΘΥΜΝΟ"</f>
        <v>ΜΥΛΟΙ ΡΕΘΥΜΝΟ</v>
      </c>
      <c r="I8310">
        <v>74100</v>
      </c>
      <c r="J8310">
        <v>2831075153</v>
      </c>
      <c r="K8310">
        <v>6937420796</v>
      </c>
      <c r="M8310" t="s">
        <v>12807</v>
      </c>
      <c r="N8310" t="s">
        <v>204</v>
      </c>
      <c r="O8310" t="s">
        <v>205</v>
      </c>
      <c r="R8310" t="s">
        <v>57</v>
      </c>
      <c r="S8310">
        <v>5</v>
      </c>
      <c r="T8310">
        <v>639</v>
      </c>
      <c r="U8310" s="1">
        <v>39311</v>
      </c>
      <c r="V8310" t="s">
        <v>66</v>
      </c>
      <c r="W8310" t="s">
        <v>67</v>
      </c>
      <c r="X8310" t="s">
        <v>58</v>
      </c>
      <c r="Y8310">
        <v>23</v>
      </c>
      <c r="Z8310" t="s">
        <v>59</v>
      </c>
      <c r="AA8310" t="s">
        <v>59</v>
      </c>
      <c r="AB8310" t="s">
        <v>59</v>
      </c>
      <c r="AC8310" t="s">
        <v>59</v>
      </c>
      <c r="AD8310" t="s">
        <v>59</v>
      </c>
      <c r="AF8310" s="1">
        <v>39326</v>
      </c>
      <c r="AG8310" t="s">
        <v>8645</v>
      </c>
      <c r="AH8310" t="s">
        <v>8646</v>
      </c>
      <c r="AI8310" t="str">
        <f>"9410070"</f>
        <v>9410070</v>
      </c>
      <c r="AJ8310" t="s">
        <v>12757</v>
      </c>
      <c r="AK8310">
        <v>2831028583</v>
      </c>
      <c r="AL8310" t="s">
        <v>12758</v>
      </c>
      <c r="AM8310" t="s">
        <v>64</v>
      </c>
      <c r="AN8310" t="s">
        <v>65</v>
      </c>
      <c r="AO8310" t="s">
        <v>65</v>
      </c>
      <c r="AP8310" t="s">
        <v>65</v>
      </c>
      <c r="AQ8310">
        <v>1</v>
      </c>
      <c r="AR8310" t="s">
        <v>66</v>
      </c>
      <c r="AS8310" t="s">
        <v>67</v>
      </c>
      <c r="AT8310" t="s">
        <v>58</v>
      </c>
      <c r="AU8310" t="s">
        <v>68</v>
      </c>
      <c r="AV8310" t="s">
        <v>69</v>
      </c>
      <c r="AW8310" s="1">
        <v>30646</v>
      </c>
      <c r="AX8310">
        <v>1</v>
      </c>
    </row>
    <row r="8311" spans="1:50">
      <c r="A8311">
        <v>621473</v>
      </c>
      <c r="B8311" t="str">
        <f>"113631698"</f>
        <v>113631698</v>
      </c>
      <c r="C8311" t="s">
        <v>50</v>
      </c>
      <c r="D8311" t="s">
        <v>12806</v>
      </c>
      <c r="E8311" t="s">
        <v>191</v>
      </c>
      <c r="F8311" t="s">
        <v>450</v>
      </c>
      <c r="G8311" t="s">
        <v>2235</v>
      </c>
      <c r="H8311" t="str">
        <f>"Κ.ΠΑΛΑΜΑ 18 ΡΕΘΥΜΝΟΥ"</f>
        <v>Κ.ΠΑΛΑΜΑ 18 ΡΕΘΥΜΝΟΥ</v>
      </c>
      <c r="I8311">
        <v>74100</v>
      </c>
      <c r="J8311">
        <v>2831100186</v>
      </c>
      <c r="K8311">
        <v>6977247160</v>
      </c>
      <c r="N8311" t="s">
        <v>615</v>
      </c>
      <c r="O8311" t="s">
        <v>616</v>
      </c>
      <c r="R8311" t="s">
        <v>57</v>
      </c>
      <c r="S8311">
        <v>7</v>
      </c>
      <c r="T8311">
        <v>653</v>
      </c>
      <c r="U8311" s="1">
        <v>40043</v>
      </c>
      <c r="V8311" t="s">
        <v>66</v>
      </c>
      <c r="W8311" t="s">
        <v>67</v>
      </c>
      <c r="X8311" t="s">
        <v>58</v>
      </c>
      <c r="Y8311">
        <v>23</v>
      </c>
      <c r="Z8311" t="s">
        <v>59</v>
      </c>
      <c r="AA8311" t="s">
        <v>59</v>
      </c>
      <c r="AB8311" t="s">
        <v>59</v>
      </c>
      <c r="AC8311" t="s">
        <v>59</v>
      </c>
      <c r="AD8311" t="s">
        <v>59</v>
      </c>
      <c r="AF8311" s="1">
        <v>40045</v>
      </c>
      <c r="AG8311" t="s">
        <v>60</v>
      </c>
      <c r="AH8311" t="s">
        <v>61</v>
      </c>
      <c r="AI8311" t="str">
        <f>"9000648"</f>
        <v>9000648</v>
      </c>
      <c r="AJ8311" t="s">
        <v>62</v>
      </c>
      <c r="AK8311">
        <v>2831035185</v>
      </c>
      <c r="AL8311" t="s">
        <v>63</v>
      </c>
      <c r="AM8311" t="s">
        <v>64</v>
      </c>
      <c r="AN8311" t="s">
        <v>65</v>
      </c>
      <c r="AO8311" t="s">
        <v>65</v>
      </c>
      <c r="AP8311" t="s">
        <v>65</v>
      </c>
      <c r="AR8311" t="s">
        <v>66</v>
      </c>
      <c r="AS8311" t="s">
        <v>67</v>
      </c>
      <c r="AT8311" t="s">
        <v>58</v>
      </c>
      <c r="AU8311" t="s">
        <v>68</v>
      </c>
      <c r="AV8311" t="s">
        <v>69</v>
      </c>
      <c r="AW8311" s="1">
        <v>30120</v>
      </c>
      <c r="AX8311">
        <v>0</v>
      </c>
    </row>
    <row r="8312" spans="1:50">
      <c r="A8312">
        <v>227819</v>
      </c>
      <c r="B8312" t="str">
        <f>"065822006"</f>
        <v>065822006</v>
      </c>
      <c r="C8312" t="s">
        <v>50</v>
      </c>
      <c r="D8312" t="s">
        <v>12808</v>
      </c>
      <c r="E8312" t="s">
        <v>83</v>
      </c>
      <c r="F8312" t="s">
        <v>92</v>
      </c>
      <c r="G8312" t="s">
        <v>12809</v>
      </c>
      <c r="H8312" t="str">
        <f>"ΑΓΙΟΣ ΓΕΩΡΓΙΟΣ ΑΡΜΕΝΩΝ ΡΕΘΥΜΝΟ"</f>
        <v>ΑΓΙΟΣ ΓΕΩΡΓΙΟΣ ΑΡΜΕΝΩΝ ΡΕΘΥΜΝΟ</v>
      </c>
      <c r="I8312">
        <v>74100</v>
      </c>
      <c r="J8312">
        <v>2831035011</v>
      </c>
      <c r="K8312">
        <v>6947928649</v>
      </c>
      <c r="N8312" t="s">
        <v>176</v>
      </c>
      <c r="O8312" t="s">
        <v>177</v>
      </c>
      <c r="R8312" t="s">
        <v>57</v>
      </c>
      <c r="S8312">
        <v>7</v>
      </c>
      <c r="T8312">
        <v>654</v>
      </c>
      <c r="U8312" s="1">
        <v>40043</v>
      </c>
      <c r="V8312" t="s">
        <v>66</v>
      </c>
      <c r="W8312" t="s">
        <v>67</v>
      </c>
      <c r="X8312" t="s">
        <v>58</v>
      </c>
      <c r="Y8312">
        <v>23</v>
      </c>
      <c r="Z8312" t="s">
        <v>59</v>
      </c>
      <c r="AA8312" t="s">
        <v>59</v>
      </c>
      <c r="AB8312" t="s">
        <v>59</v>
      </c>
      <c r="AC8312" t="s">
        <v>59</v>
      </c>
      <c r="AD8312" t="s">
        <v>59</v>
      </c>
      <c r="AF8312" s="1">
        <v>40043</v>
      </c>
      <c r="AG8312" t="s">
        <v>8645</v>
      </c>
      <c r="AH8312" t="s">
        <v>8646</v>
      </c>
      <c r="AI8312" t="str">
        <f>"9410067"</f>
        <v>9410067</v>
      </c>
      <c r="AJ8312" t="s">
        <v>12736</v>
      </c>
      <c r="AK8312">
        <v>2831022836</v>
      </c>
      <c r="AL8312" t="s">
        <v>12737</v>
      </c>
      <c r="AM8312" t="s">
        <v>64</v>
      </c>
      <c r="AN8312" t="s">
        <v>65</v>
      </c>
      <c r="AO8312" t="s">
        <v>65</v>
      </c>
      <c r="AP8312" t="s">
        <v>65</v>
      </c>
      <c r="AQ8312">
        <v>1</v>
      </c>
      <c r="AR8312" t="s">
        <v>66</v>
      </c>
      <c r="AS8312" t="s">
        <v>67</v>
      </c>
      <c r="AT8312" t="s">
        <v>58</v>
      </c>
      <c r="AU8312" t="s">
        <v>68</v>
      </c>
      <c r="AV8312" t="s">
        <v>69</v>
      </c>
      <c r="AW8312" s="1">
        <v>26206</v>
      </c>
      <c r="AX8312">
        <v>1</v>
      </c>
    </row>
    <row r="8313" spans="1:50">
      <c r="B8313" t="str">
        <f>"103606332"</f>
        <v>103606332</v>
      </c>
      <c r="C8313" t="s">
        <v>50</v>
      </c>
      <c r="D8313" t="s">
        <v>12810</v>
      </c>
      <c r="E8313" t="s">
        <v>143</v>
      </c>
      <c r="F8313" t="s">
        <v>84</v>
      </c>
      <c r="G8313" t="s">
        <v>12811</v>
      </c>
      <c r="H8313" t="str">
        <f>" "</f>
        <v xml:space="preserve"> </v>
      </c>
      <c r="J8313">
        <v>2106847490</v>
      </c>
      <c r="K8313">
        <v>6939513533</v>
      </c>
      <c r="N8313" t="s">
        <v>683</v>
      </c>
      <c r="O8313" t="s">
        <v>684</v>
      </c>
      <c r="R8313" t="s">
        <v>121</v>
      </c>
      <c r="S8313">
        <v>1</v>
      </c>
      <c r="T8313" t="s">
        <v>8675</v>
      </c>
      <c r="U8313" s="1">
        <v>43348</v>
      </c>
      <c r="V8313" t="s">
        <v>66</v>
      </c>
      <c r="W8313" t="s">
        <v>67</v>
      </c>
      <c r="X8313" t="s">
        <v>58</v>
      </c>
      <c r="Y8313">
        <v>24</v>
      </c>
      <c r="Z8313" t="s">
        <v>59</v>
      </c>
      <c r="AA8313" t="s">
        <v>59</v>
      </c>
      <c r="AB8313" t="s">
        <v>59</v>
      </c>
      <c r="AD8313" t="s">
        <v>59</v>
      </c>
      <c r="AF8313" s="1">
        <v>43348</v>
      </c>
      <c r="AG8313" t="s">
        <v>8645</v>
      </c>
      <c r="AH8313" t="s">
        <v>8646</v>
      </c>
      <c r="AI8313" t="str">
        <f>"9410003"</f>
        <v>9410003</v>
      </c>
      <c r="AJ8313" t="s">
        <v>12794</v>
      </c>
      <c r="AK8313">
        <v>2834031213</v>
      </c>
      <c r="AL8313" t="s">
        <v>12795</v>
      </c>
      <c r="AM8313" t="s">
        <v>64</v>
      </c>
      <c r="AN8313" t="s">
        <v>5737</v>
      </c>
      <c r="AO8313" t="s">
        <v>5737</v>
      </c>
      <c r="AP8313" t="s">
        <v>5737</v>
      </c>
      <c r="AQ8313">
        <v>9</v>
      </c>
      <c r="AR8313" t="s">
        <v>66</v>
      </c>
      <c r="AS8313" t="s">
        <v>67</v>
      </c>
      <c r="AT8313" t="s">
        <v>58</v>
      </c>
      <c r="AU8313" t="s">
        <v>8673</v>
      </c>
      <c r="AV8313" t="s">
        <v>132</v>
      </c>
      <c r="AW8313" s="1">
        <v>29587</v>
      </c>
      <c r="AX8313">
        <v>1</v>
      </c>
    </row>
    <row r="8314" spans="1:50">
      <c r="A8314">
        <v>613188</v>
      </c>
      <c r="B8314" t="str">
        <f>"137466880"</f>
        <v>137466880</v>
      </c>
      <c r="C8314" t="s">
        <v>50</v>
      </c>
      <c r="D8314" t="s">
        <v>771</v>
      </c>
      <c r="E8314" t="s">
        <v>237</v>
      </c>
      <c r="F8314" t="s">
        <v>84</v>
      </c>
      <c r="G8314" t="s">
        <v>476</v>
      </c>
      <c r="H8314" t="str">
        <f>"ΕΜΜ. ΠΑΧΛΑ 33 ΡΕΘΥΜΝΟ"</f>
        <v>ΕΜΜ. ΠΑΧΛΑ 33 ΡΕΘΥΜΝΟ</v>
      </c>
      <c r="I8314">
        <v>74100</v>
      </c>
      <c r="J8314">
        <v>2895031489</v>
      </c>
      <c r="K8314">
        <v>6974135187</v>
      </c>
      <c r="L8314">
        <v>2831100574</v>
      </c>
      <c r="M8314" t="s">
        <v>12812</v>
      </c>
      <c r="N8314" t="s">
        <v>615</v>
      </c>
      <c r="O8314" t="s">
        <v>616</v>
      </c>
      <c r="R8314" t="s">
        <v>57</v>
      </c>
      <c r="S8314">
        <v>6</v>
      </c>
      <c r="T8314">
        <v>598</v>
      </c>
      <c r="U8314" s="1">
        <v>39310</v>
      </c>
      <c r="V8314" t="s">
        <v>66</v>
      </c>
      <c r="W8314" t="s">
        <v>67</v>
      </c>
      <c r="X8314" t="s">
        <v>58</v>
      </c>
      <c r="Y8314">
        <v>23</v>
      </c>
      <c r="Z8314" t="s">
        <v>59</v>
      </c>
      <c r="AA8314" t="s">
        <v>59</v>
      </c>
      <c r="AB8314" t="s">
        <v>59</v>
      </c>
      <c r="AC8314" t="s">
        <v>59</v>
      </c>
      <c r="AD8314" t="s">
        <v>59</v>
      </c>
      <c r="AF8314" s="1">
        <v>39328</v>
      </c>
      <c r="AG8314" t="s">
        <v>8645</v>
      </c>
      <c r="AH8314" t="s">
        <v>8646</v>
      </c>
      <c r="AI8314" t="str">
        <f>"9410070"</f>
        <v>9410070</v>
      </c>
      <c r="AJ8314" t="s">
        <v>12757</v>
      </c>
      <c r="AK8314">
        <v>2831028583</v>
      </c>
      <c r="AL8314" t="s">
        <v>12758</v>
      </c>
      <c r="AM8314" t="s">
        <v>64</v>
      </c>
      <c r="AN8314" t="s">
        <v>65</v>
      </c>
      <c r="AO8314" t="s">
        <v>65</v>
      </c>
      <c r="AP8314" t="s">
        <v>65</v>
      </c>
      <c r="AQ8314">
        <v>1</v>
      </c>
      <c r="AR8314" t="s">
        <v>66</v>
      </c>
      <c r="AS8314" t="s">
        <v>67</v>
      </c>
      <c r="AT8314" t="s">
        <v>58</v>
      </c>
      <c r="AU8314" t="s">
        <v>68</v>
      </c>
      <c r="AV8314" t="s">
        <v>69</v>
      </c>
      <c r="AW8314" s="1">
        <v>30088</v>
      </c>
      <c r="AX8314">
        <v>1</v>
      </c>
    </row>
    <row r="8315" spans="1:50">
      <c r="B8315" t="str">
        <f>"143678672"</f>
        <v>143678672</v>
      </c>
      <c r="C8315" t="s">
        <v>50</v>
      </c>
      <c r="D8315" t="s">
        <v>771</v>
      </c>
      <c r="E8315" t="s">
        <v>255</v>
      </c>
      <c r="F8315" t="s">
        <v>383</v>
      </c>
      <c r="G8315" t="s">
        <v>602</v>
      </c>
      <c r="H8315" t="str">
        <f>"ΜΑΧΗΣ ΠΟΤΑΜΩΝ 13 "</f>
        <v xml:space="preserve">ΜΑΧΗΣ ΠΟΤΑΜΩΝ 13 </v>
      </c>
      <c r="I8315">
        <v>74100</v>
      </c>
      <c r="J8315">
        <v>2831053349</v>
      </c>
      <c r="K8315">
        <v>6979286148</v>
      </c>
      <c r="N8315" t="s">
        <v>8834</v>
      </c>
      <c r="O8315" t="s">
        <v>8695</v>
      </c>
      <c r="R8315" t="s">
        <v>159</v>
      </c>
      <c r="S8315">
        <v>5</v>
      </c>
      <c r="T8315" t="s">
        <v>8835</v>
      </c>
      <c r="U8315" s="1">
        <v>43348</v>
      </c>
      <c r="V8315" t="s">
        <v>66</v>
      </c>
      <c r="W8315" t="s">
        <v>67</v>
      </c>
      <c r="X8315" t="s">
        <v>58</v>
      </c>
      <c r="Y8315">
        <v>24</v>
      </c>
      <c r="Z8315" t="s">
        <v>59</v>
      </c>
      <c r="AA8315" t="s">
        <v>59</v>
      </c>
      <c r="AB8315" t="s">
        <v>59</v>
      </c>
      <c r="AC8315" t="s">
        <v>59</v>
      </c>
      <c r="AD8315" t="s">
        <v>59</v>
      </c>
      <c r="AF8315" s="1">
        <v>43348</v>
      </c>
      <c r="AG8315" t="s">
        <v>8645</v>
      </c>
      <c r="AH8315" t="s">
        <v>8646</v>
      </c>
      <c r="AI8315" t="str">
        <f>"9410226"</f>
        <v>9410226</v>
      </c>
      <c r="AJ8315" t="s">
        <v>12702</v>
      </c>
      <c r="AK8315">
        <v>2831071088</v>
      </c>
      <c r="AL8315" t="s">
        <v>12703</v>
      </c>
      <c r="AM8315" t="s">
        <v>64</v>
      </c>
      <c r="AN8315" t="s">
        <v>65</v>
      </c>
      <c r="AO8315" t="s">
        <v>12694</v>
      </c>
      <c r="AP8315" t="s">
        <v>12704</v>
      </c>
      <c r="AQ8315">
        <v>3</v>
      </c>
      <c r="AR8315" t="s">
        <v>66</v>
      </c>
      <c r="AS8315" t="s">
        <v>67</v>
      </c>
      <c r="AT8315" t="s">
        <v>58</v>
      </c>
      <c r="AU8315" t="s">
        <v>131</v>
      </c>
      <c r="AV8315" t="s">
        <v>132</v>
      </c>
      <c r="AW8315" s="1">
        <v>31903</v>
      </c>
      <c r="AX8315">
        <v>1</v>
      </c>
    </row>
    <row r="8316" spans="1:50">
      <c r="B8316" t="str">
        <f>"120025295"</f>
        <v>120025295</v>
      </c>
      <c r="C8316" t="s">
        <v>50</v>
      </c>
      <c r="D8316" t="s">
        <v>9140</v>
      </c>
      <c r="E8316" t="s">
        <v>114</v>
      </c>
      <c r="F8316" t="s">
        <v>53</v>
      </c>
      <c r="G8316" t="s">
        <v>52</v>
      </c>
      <c r="H8316" t="str">
        <f>"ΑΓΚΟΥΣΕΛΙΑΝΑ ΑΓ ΒΑΣΙΛΕΙΟΥ ΑΓΚΟΥΣΕΛΙΑΝΑ"</f>
        <v>ΑΓΚΟΥΣΕΛΙΑΝΑ ΑΓ ΒΑΣΙΛΕΙΟΥ ΑΓΚΟΥΣΕΛΙΑΝΑ</v>
      </c>
      <c r="I8316">
        <v>74053</v>
      </c>
      <c r="J8316">
        <v>2832051365</v>
      </c>
      <c r="K8316">
        <v>6984455349</v>
      </c>
      <c r="N8316" t="s">
        <v>1525</v>
      </c>
      <c r="O8316" t="s">
        <v>1526</v>
      </c>
      <c r="R8316" t="s">
        <v>57</v>
      </c>
      <c r="S8316">
        <v>6</v>
      </c>
      <c r="T8316" t="s">
        <v>8670</v>
      </c>
      <c r="U8316" s="1">
        <v>43348</v>
      </c>
      <c r="V8316" t="s">
        <v>66</v>
      </c>
      <c r="W8316" t="s">
        <v>67</v>
      </c>
      <c r="X8316" t="s">
        <v>58</v>
      </c>
      <c r="Y8316">
        <v>25</v>
      </c>
      <c r="Z8316" t="s">
        <v>59</v>
      </c>
      <c r="AA8316" t="s">
        <v>59</v>
      </c>
      <c r="AB8316" t="s">
        <v>59</v>
      </c>
      <c r="AC8316" t="s">
        <v>59</v>
      </c>
      <c r="AD8316" t="s">
        <v>59</v>
      </c>
      <c r="AF8316" s="1">
        <v>43348</v>
      </c>
      <c r="AG8316" t="s">
        <v>8651</v>
      </c>
      <c r="AH8316" t="s">
        <v>8652</v>
      </c>
      <c r="AI8316" t="str">
        <f>"9410252"</f>
        <v>9410252</v>
      </c>
      <c r="AJ8316" t="s">
        <v>12813</v>
      </c>
      <c r="AK8316">
        <v>2832032056</v>
      </c>
      <c r="AL8316" t="s">
        <v>12814</v>
      </c>
      <c r="AM8316" t="s">
        <v>64</v>
      </c>
      <c r="AN8316" t="s">
        <v>5882</v>
      </c>
      <c r="AO8316" t="s">
        <v>6099</v>
      </c>
      <c r="AP8316" t="s">
        <v>12815</v>
      </c>
      <c r="AQ8316">
        <v>5</v>
      </c>
      <c r="AR8316" t="s">
        <v>66</v>
      </c>
      <c r="AS8316" t="s">
        <v>67</v>
      </c>
      <c r="AT8316" t="s">
        <v>58</v>
      </c>
      <c r="AU8316" t="s">
        <v>8673</v>
      </c>
      <c r="AV8316" t="s">
        <v>132</v>
      </c>
      <c r="AW8316" s="1">
        <v>22439</v>
      </c>
      <c r="AX8316">
        <v>1</v>
      </c>
    </row>
    <row r="8317" spans="1:50">
      <c r="A8317">
        <v>604532</v>
      </c>
      <c r="B8317" t="str">
        <f>"123926632"</f>
        <v>123926632</v>
      </c>
      <c r="C8317" t="s">
        <v>105</v>
      </c>
      <c r="D8317" t="s">
        <v>9141</v>
      </c>
      <c r="E8317" t="s">
        <v>84</v>
      </c>
      <c r="F8317" t="s">
        <v>72</v>
      </c>
      <c r="G8317" t="s">
        <v>964</v>
      </c>
      <c r="H8317" t="str">
        <f>"ΓΙΑΝΝΟΥΛΗ 8 ΡΕΘΥΜΝΟ"</f>
        <v>ΓΙΑΝΝΟΥΛΗ 8 ΡΕΘΥΜΝΟ</v>
      </c>
      <c r="I8317">
        <v>74100</v>
      </c>
      <c r="J8317">
        <v>2105731083</v>
      </c>
      <c r="K8317">
        <v>6976173747</v>
      </c>
      <c r="M8317" t="s">
        <v>12816</v>
      </c>
      <c r="N8317" t="s">
        <v>615</v>
      </c>
      <c r="O8317" t="s">
        <v>616</v>
      </c>
      <c r="R8317" t="s">
        <v>57</v>
      </c>
      <c r="S8317">
        <v>7</v>
      </c>
      <c r="T8317">
        <v>231</v>
      </c>
      <c r="U8317" s="1">
        <v>38230</v>
      </c>
      <c r="V8317" t="s">
        <v>66</v>
      </c>
      <c r="W8317" t="s">
        <v>67</v>
      </c>
      <c r="X8317" t="s">
        <v>58</v>
      </c>
      <c r="Y8317">
        <v>22</v>
      </c>
      <c r="Z8317" t="s">
        <v>59</v>
      </c>
      <c r="AA8317" t="s">
        <v>59</v>
      </c>
      <c r="AB8317" t="s">
        <v>59</v>
      </c>
      <c r="AC8317" t="s">
        <v>59</v>
      </c>
      <c r="AD8317" t="s">
        <v>59</v>
      </c>
      <c r="AF8317" s="1">
        <v>38231</v>
      </c>
      <c r="AG8317" t="s">
        <v>8645</v>
      </c>
      <c r="AH8317" t="s">
        <v>8646</v>
      </c>
      <c r="AI8317" t="str">
        <f>"9410072"</f>
        <v>9410072</v>
      </c>
      <c r="AJ8317" t="s">
        <v>12692</v>
      </c>
      <c r="AK8317">
        <v>2831071264</v>
      </c>
      <c r="AL8317" t="s">
        <v>12693</v>
      </c>
      <c r="AM8317" t="s">
        <v>64</v>
      </c>
      <c r="AN8317" t="s">
        <v>65</v>
      </c>
      <c r="AO8317" t="s">
        <v>12694</v>
      </c>
      <c r="AP8317" t="s">
        <v>12695</v>
      </c>
      <c r="AQ8317">
        <v>3</v>
      </c>
      <c r="AR8317" t="s">
        <v>66</v>
      </c>
      <c r="AS8317" t="s">
        <v>67</v>
      </c>
      <c r="AT8317" t="s">
        <v>58</v>
      </c>
      <c r="AU8317" t="s">
        <v>68</v>
      </c>
      <c r="AV8317" t="s">
        <v>69</v>
      </c>
      <c r="AW8317" s="1">
        <v>25859</v>
      </c>
      <c r="AX8317">
        <v>1</v>
      </c>
    </row>
    <row r="8318" spans="1:50">
      <c r="A8318">
        <v>611976</v>
      </c>
      <c r="B8318" t="str">
        <f>"054429184"</f>
        <v>054429184</v>
      </c>
      <c r="C8318" t="s">
        <v>50</v>
      </c>
      <c r="D8318" t="s">
        <v>12817</v>
      </c>
      <c r="E8318" t="s">
        <v>237</v>
      </c>
      <c r="F8318" t="s">
        <v>2847</v>
      </c>
      <c r="G8318" t="s">
        <v>109</v>
      </c>
      <c r="H8318" t="str">
        <f>"Ι. ΧΑΛΚΙΑΔΑΚΗ 1 ΡΕΘΥΜΝΟ"</f>
        <v>Ι. ΧΑΛΚΙΑΔΑΚΗ 1 ΡΕΘΥΜΝΟ</v>
      </c>
      <c r="I8318">
        <v>74100</v>
      </c>
      <c r="J8318">
        <v>2831053538</v>
      </c>
      <c r="K8318">
        <v>6945602797</v>
      </c>
      <c r="N8318" t="s">
        <v>1525</v>
      </c>
      <c r="O8318" t="s">
        <v>1526</v>
      </c>
      <c r="R8318" t="s">
        <v>57</v>
      </c>
      <c r="S8318">
        <v>6</v>
      </c>
      <c r="T8318">
        <v>233</v>
      </c>
      <c r="U8318" s="1">
        <v>38960</v>
      </c>
      <c r="V8318" t="s">
        <v>66</v>
      </c>
      <c r="W8318" t="s">
        <v>67</v>
      </c>
      <c r="X8318" t="s">
        <v>58</v>
      </c>
      <c r="Y8318">
        <v>25</v>
      </c>
      <c r="Z8318" t="s">
        <v>59</v>
      </c>
      <c r="AA8318" t="s">
        <v>59</v>
      </c>
      <c r="AB8318" t="s">
        <v>59</v>
      </c>
      <c r="AC8318" t="s">
        <v>59</v>
      </c>
      <c r="AD8318" t="s">
        <v>59</v>
      </c>
      <c r="AF8318" s="1">
        <v>38961</v>
      </c>
      <c r="AG8318" t="s">
        <v>8651</v>
      </c>
      <c r="AH8318" t="s">
        <v>8652</v>
      </c>
      <c r="AI8318" t="str">
        <f>"9520949"</f>
        <v>9520949</v>
      </c>
      <c r="AJ8318" t="s">
        <v>12818</v>
      </c>
      <c r="AK8318">
        <v>2831031424</v>
      </c>
      <c r="AL8318" t="s">
        <v>12819</v>
      </c>
      <c r="AM8318" t="s">
        <v>64</v>
      </c>
      <c r="AN8318" t="s">
        <v>65</v>
      </c>
      <c r="AO8318" t="s">
        <v>5720</v>
      </c>
      <c r="AP8318" t="s">
        <v>5721</v>
      </c>
      <c r="AQ8318">
        <v>2</v>
      </c>
      <c r="AR8318" t="s">
        <v>66</v>
      </c>
      <c r="AS8318" t="s">
        <v>67</v>
      </c>
      <c r="AT8318" t="s">
        <v>58</v>
      </c>
      <c r="AU8318" t="s">
        <v>68</v>
      </c>
      <c r="AV8318" t="s">
        <v>69</v>
      </c>
      <c r="AW8318" s="1">
        <v>25239</v>
      </c>
      <c r="AX8318">
        <v>1</v>
      </c>
    </row>
    <row r="8319" spans="1:50">
      <c r="A8319">
        <v>621401</v>
      </c>
      <c r="B8319" t="str">
        <f>"103865981"</f>
        <v>103865981</v>
      </c>
      <c r="C8319" t="s">
        <v>50</v>
      </c>
      <c r="D8319" t="s">
        <v>5777</v>
      </c>
      <c r="E8319" t="s">
        <v>237</v>
      </c>
      <c r="F8319" t="s">
        <v>670</v>
      </c>
      <c r="G8319" t="s">
        <v>73</v>
      </c>
      <c r="H8319" t="str">
        <f>"ΜΑΡΚΕΛΛΟΥ  78 ΡΕΘΥΜΝΟ"</f>
        <v>ΜΑΡΚΕΛΛΟΥ  78 ΡΕΘΥΜΝΟ</v>
      </c>
      <c r="I8319">
        <v>74100</v>
      </c>
      <c r="J8319">
        <v>2831030696</v>
      </c>
      <c r="K8319">
        <v>6974545070</v>
      </c>
      <c r="M8319" t="s">
        <v>12820</v>
      </c>
      <c r="N8319" t="s">
        <v>615</v>
      </c>
      <c r="O8319" t="s">
        <v>616</v>
      </c>
      <c r="R8319" t="s">
        <v>57</v>
      </c>
      <c r="S8319">
        <v>4</v>
      </c>
      <c r="T8319">
        <v>653</v>
      </c>
      <c r="U8319" s="1">
        <v>40043</v>
      </c>
      <c r="V8319" t="s">
        <v>66</v>
      </c>
      <c r="W8319" t="s">
        <v>67</v>
      </c>
      <c r="X8319" t="s">
        <v>58</v>
      </c>
      <c r="Y8319">
        <v>23</v>
      </c>
      <c r="Z8319" t="s">
        <v>59</v>
      </c>
      <c r="AA8319" t="s">
        <v>59</v>
      </c>
      <c r="AB8319" t="s">
        <v>59</v>
      </c>
      <c r="AC8319" t="s">
        <v>59</v>
      </c>
      <c r="AD8319" t="s">
        <v>59</v>
      </c>
      <c r="AF8319" s="1">
        <v>40043</v>
      </c>
      <c r="AG8319" t="s">
        <v>8645</v>
      </c>
      <c r="AH8319" t="s">
        <v>8646</v>
      </c>
      <c r="AI8319" t="str">
        <f>"9410150"</f>
        <v>9410150</v>
      </c>
      <c r="AJ8319" t="s">
        <v>12733</v>
      </c>
      <c r="AK8319">
        <v>2831052969</v>
      </c>
      <c r="AL8319" t="s">
        <v>12734</v>
      </c>
      <c r="AM8319" t="s">
        <v>64</v>
      </c>
      <c r="AN8319" t="s">
        <v>65</v>
      </c>
      <c r="AO8319" t="s">
        <v>65</v>
      </c>
      <c r="AP8319" t="s">
        <v>65</v>
      </c>
      <c r="AQ8319">
        <v>1</v>
      </c>
      <c r="AR8319" t="s">
        <v>66</v>
      </c>
      <c r="AS8319" t="s">
        <v>67</v>
      </c>
      <c r="AT8319" t="s">
        <v>58</v>
      </c>
      <c r="AU8319" t="s">
        <v>68</v>
      </c>
      <c r="AV8319" t="s">
        <v>69</v>
      </c>
      <c r="AW8319" s="1">
        <v>29858</v>
      </c>
      <c r="AX8319">
        <v>1</v>
      </c>
    </row>
    <row r="8320" spans="1:50">
      <c r="A8320">
        <v>619085</v>
      </c>
      <c r="B8320" t="str">
        <f>"112029823"</f>
        <v>112029823</v>
      </c>
      <c r="C8320" t="s">
        <v>50</v>
      </c>
      <c r="D8320" t="s">
        <v>5777</v>
      </c>
      <c r="E8320" t="s">
        <v>52</v>
      </c>
      <c r="F8320" t="s">
        <v>564</v>
      </c>
      <c r="G8320" t="s">
        <v>1204</v>
      </c>
      <c r="H8320" t="str">
        <f>"ΚΑΡΔΙΑ Τ.Θ. 131 ΚΑΡΔΙΑ ΘΕΣΣΑΛΟΝΙΚΗΣ"</f>
        <v>ΚΑΡΔΙΑ Τ.Θ. 131 ΚΑΡΔΙΑ ΘΕΣΣΑΛΟΝΙΚΗΣ</v>
      </c>
      <c r="I8320">
        <v>57500</v>
      </c>
      <c r="J8320">
        <v>2392071567</v>
      </c>
      <c r="K8320">
        <v>6974125370</v>
      </c>
      <c r="N8320" t="s">
        <v>1525</v>
      </c>
      <c r="O8320" t="s">
        <v>1526</v>
      </c>
      <c r="R8320" t="s">
        <v>57</v>
      </c>
      <c r="S8320">
        <v>6</v>
      </c>
      <c r="T8320">
        <v>774</v>
      </c>
      <c r="U8320" s="1">
        <v>39680</v>
      </c>
      <c r="V8320" t="s">
        <v>66</v>
      </c>
      <c r="W8320" t="s">
        <v>67</v>
      </c>
      <c r="X8320" t="s">
        <v>58</v>
      </c>
      <c r="Y8320">
        <v>25</v>
      </c>
      <c r="Z8320" t="s">
        <v>59</v>
      </c>
      <c r="AA8320" t="s">
        <v>59</v>
      </c>
      <c r="AB8320" t="s">
        <v>59</v>
      </c>
      <c r="AC8320" t="s">
        <v>59</v>
      </c>
      <c r="AD8320" t="s">
        <v>59</v>
      </c>
      <c r="AF8320" s="1">
        <v>39681</v>
      </c>
      <c r="AG8320" t="s">
        <v>8651</v>
      </c>
      <c r="AH8320" t="s">
        <v>8652</v>
      </c>
      <c r="AI8320" t="str">
        <f>"9410121"</f>
        <v>9410121</v>
      </c>
      <c r="AJ8320" t="s">
        <v>12711</v>
      </c>
      <c r="AK8320">
        <v>2832022434</v>
      </c>
      <c r="AL8320" t="s">
        <v>12712</v>
      </c>
      <c r="AM8320" t="s">
        <v>64</v>
      </c>
      <c r="AN8320" t="s">
        <v>5882</v>
      </c>
      <c r="AO8320" t="s">
        <v>5883</v>
      </c>
      <c r="AP8320" t="s">
        <v>5884</v>
      </c>
      <c r="AQ8320">
        <v>5</v>
      </c>
      <c r="AR8320" t="s">
        <v>66</v>
      </c>
      <c r="AS8320" t="s">
        <v>67</v>
      </c>
      <c r="AT8320" t="s">
        <v>58</v>
      </c>
      <c r="AU8320" t="s">
        <v>68</v>
      </c>
      <c r="AV8320" t="s">
        <v>69</v>
      </c>
      <c r="AW8320" s="1">
        <v>29969</v>
      </c>
      <c r="AX8320">
        <v>1</v>
      </c>
    </row>
    <row r="8321" spans="1:50">
      <c r="A8321">
        <v>604794</v>
      </c>
      <c r="B8321" t="str">
        <f>"055319429"</f>
        <v>055319429</v>
      </c>
      <c r="C8321" t="s">
        <v>50</v>
      </c>
      <c r="D8321" t="s">
        <v>12821</v>
      </c>
      <c r="E8321" t="s">
        <v>367</v>
      </c>
      <c r="F8321" t="s">
        <v>95</v>
      </c>
      <c r="G8321" t="s">
        <v>1946</v>
      </c>
      <c r="H8321" t="str">
        <f>"ΥΦΑΣΙΟΥ 31-33 ΖΩΓΡΑΦΟΥ"</f>
        <v>ΥΦΑΣΙΟΥ 31-33 ΖΩΓΡΑΦΟΥ</v>
      </c>
      <c r="I8321">
        <v>15772</v>
      </c>
      <c r="J8321">
        <v>2107751946</v>
      </c>
      <c r="K8321">
        <v>6977268390</v>
      </c>
      <c r="M8321" t="s">
        <v>12822</v>
      </c>
      <c r="N8321" t="s">
        <v>615</v>
      </c>
      <c r="O8321" t="s">
        <v>616</v>
      </c>
      <c r="R8321" t="s">
        <v>57</v>
      </c>
      <c r="S8321">
        <v>9</v>
      </c>
      <c r="T8321">
        <v>231</v>
      </c>
      <c r="U8321" s="1">
        <v>38230</v>
      </c>
      <c r="V8321" t="s">
        <v>66</v>
      </c>
      <c r="W8321" t="s">
        <v>67</v>
      </c>
      <c r="X8321" t="s">
        <v>58</v>
      </c>
      <c r="Y8321">
        <v>22</v>
      </c>
      <c r="Z8321" t="s">
        <v>59</v>
      </c>
      <c r="AA8321" t="s">
        <v>59</v>
      </c>
      <c r="AB8321" t="s">
        <v>59</v>
      </c>
      <c r="AC8321" t="s">
        <v>59</v>
      </c>
      <c r="AD8321" t="s">
        <v>59</v>
      </c>
      <c r="AF8321" s="1">
        <v>38231</v>
      </c>
      <c r="AG8321" t="s">
        <v>8645</v>
      </c>
      <c r="AH8321" t="s">
        <v>8646</v>
      </c>
      <c r="AI8321" t="str">
        <f>"9410092"</f>
        <v>9410092</v>
      </c>
      <c r="AJ8321" t="s">
        <v>12823</v>
      </c>
      <c r="AK8321">
        <v>2832051056</v>
      </c>
      <c r="AL8321" t="s">
        <v>12824</v>
      </c>
      <c r="AM8321" t="s">
        <v>64</v>
      </c>
      <c r="AN8321" t="s">
        <v>5882</v>
      </c>
      <c r="AO8321" t="s">
        <v>6099</v>
      </c>
      <c r="AP8321" t="s">
        <v>12825</v>
      </c>
      <c r="AQ8321">
        <v>5</v>
      </c>
      <c r="AR8321" t="s">
        <v>66</v>
      </c>
      <c r="AS8321" t="s">
        <v>67</v>
      </c>
      <c r="AT8321" t="s">
        <v>58</v>
      </c>
      <c r="AU8321" t="s">
        <v>68</v>
      </c>
      <c r="AV8321" t="s">
        <v>2039</v>
      </c>
      <c r="AW8321" s="1">
        <v>25219</v>
      </c>
      <c r="AX8321">
        <v>1</v>
      </c>
    </row>
    <row r="8322" spans="1:50">
      <c r="A8322">
        <v>572406</v>
      </c>
      <c r="B8322" t="str">
        <f>"053499951"</f>
        <v>053499951</v>
      </c>
      <c r="C8322" t="s">
        <v>50</v>
      </c>
      <c r="D8322" t="s">
        <v>12826</v>
      </c>
      <c r="E8322" t="s">
        <v>112</v>
      </c>
      <c r="F8322" t="s">
        <v>989</v>
      </c>
      <c r="G8322" t="s">
        <v>6856</v>
      </c>
      <c r="H8322" t="str">
        <f>"110 ΜΑΡΤΥΡΩΝ 36 ΡΕΘΥΜΝΟ"</f>
        <v>110 ΜΑΡΤΥΡΩΝ 36 ΡΕΘΥΜΝΟ</v>
      </c>
      <c r="I8322">
        <v>74100</v>
      </c>
      <c r="J8322">
        <v>2831057457</v>
      </c>
      <c r="K8322">
        <v>6972244481</v>
      </c>
      <c r="M8322" t="s">
        <v>12827</v>
      </c>
      <c r="N8322" t="s">
        <v>306</v>
      </c>
      <c r="O8322" t="s">
        <v>307</v>
      </c>
      <c r="R8322" t="s">
        <v>57</v>
      </c>
      <c r="S8322">
        <v>14</v>
      </c>
      <c r="T8322">
        <v>154</v>
      </c>
      <c r="U8322" s="1">
        <v>34225</v>
      </c>
      <c r="V8322" t="s">
        <v>66</v>
      </c>
      <c r="W8322" t="s">
        <v>67</v>
      </c>
      <c r="X8322" t="s">
        <v>58</v>
      </c>
      <c r="Y8322">
        <v>21</v>
      </c>
      <c r="Z8322" t="s">
        <v>59</v>
      </c>
      <c r="AA8322" t="s">
        <v>59</v>
      </c>
      <c r="AB8322" t="s">
        <v>59</v>
      </c>
      <c r="AC8322" t="s">
        <v>59</v>
      </c>
      <c r="AD8322" t="s">
        <v>59</v>
      </c>
      <c r="AF8322" s="1">
        <v>34227</v>
      </c>
      <c r="AG8322" t="s">
        <v>8645</v>
      </c>
      <c r="AH8322" t="s">
        <v>8646</v>
      </c>
      <c r="AI8322" t="str">
        <f>"9410257"</f>
        <v>9410257</v>
      </c>
      <c r="AJ8322" t="s">
        <v>12828</v>
      </c>
      <c r="AK8322">
        <v>2831056242</v>
      </c>
      <c r="AL8322" t="s">
        <v>12829</v>
      </c>
      <c r="AM8322" t="s">
        <v>64</v>
      </c>
      <c r="AN8322" t="s">
        <v>65</v>
      </c>
      <c r="AO8322" t="s">
        <v>65</v>
      </c>
      <c r="AP8322" t="s">
        <v>65</v>
      </c>
      <c r="AQ8322">
        <v>1</v>
      </c>
      <c r="AR8322" t="s">
        <v>66</v>
      </c>
      <c r="AS8322" t="s">
        <v>67</v>
      </c>
      <c r="AT8322" t="s">
        <v>58</v>
      </c>
      <c r="AU8322" t="s">
        <v>68</v>
      </c>
      <c r="AV8322" t="s">
        <v>69</v>
      </c>
      <c r="AW8322" s="1">
        <v>25238</v>
      </c>
      <c r="AX8322">
        <v>1</v>
      </c>
    </row>
    <row r="8323" spans="1:50">
      <c r="A8323">
        <v>585648</v>
      </c>
      <c r="B8323" t="str">
        <f>"043208806"</f>
        <v>043208806</v>
      </c>
      <c r="C8323" t="s">
        <v>105</v>
      </c>
      <c r="D8323" t="s">
        <v>12830</v>
      </c>
      <c r="E8323" t="s">
        <v>1320</v>
      </c>
      <c r="F8323" t="s">
        <v>95</v>
      </c>
      <c r="G8323" t="s">
        <v>181</v>
      </c>
      <c r="H8323" t="str">
        <f>" "</f>
        <v xml:space="preserve"> </v>
      </c>
      <c r="N8323" t="s">
        <v>615</v>
      </c>
      <c r="O8323" t="s">
        <v>616</v>
      </c>
      <c r="P8323" t="s">
        <v>292</v>
      </c>
      <c r="Q8323" t="s">
        <v>293</v>
      </c>
      <c r="R8323" t="s">
        <v>57</v>
      </c>
      <c r="S8323">
        <v>11</v>
      </c>
      <c r="T8323">
        <v>1656</v>
      </c>
      <c r="U8323" s="1">
        <v>36040</v>
      </c>
      <c r="V8323" t="s">
        <v>66</v>
      </c>
      <c r="W8323" t="s">
        <v>67</v>
      </c>
      <c r="X8323" t="s">
        <v>58</v>
      </c>
      <c r="Y8323">
        <v>21</v>
      </c>
      <c r="Z8323" t="s">
        <v>59</v>
      </c>
      <c r="AA8323" t="s">
        <v>59</v>
      </c>
      <c r="AB8323" t="s">
        <v>59</v>
      </c>
      <c r="AC8323" t="s">
        <v>59</v>
      </c>
      <c r="AD8323" t="s">
        <v>59</v>
      </c>
      <c r="AF8323" s="1">
        <v>36042</v>
      </c>
      <c r="AG8323" t="s">
        <v>8645</v>
      </c>
      <c r="AH8323" t="s">
        <v>8646</v>
      </c>
      <c r="AI8323" t="str">
        <f>"9410150"</f>
        <v>9410150</v>
      </c>
      <c r="AJ8323" t="s">
        <v>12733</v>
      </c>
      <c r="AK8323">
        <v>2831052969</v>
      </c>
      <c r="AL8323" t="s">
        <v>12734</v>
      </c>
      <c r="AM8323" t="s">
        <v>64</v>
      </c>
      <c r="AN8323" t="s">
        <v>65</v>
      </c>
      <c r="AO8323" t="s">
        <v>65</v>
      </c>
      <c r="AP8323" t="s">
        <v>65</v>
      </c>
      <c r="AQ8323">
        <v>1</v>
      </c>
      <c r="AR8323" t="s">
        <v>66</v>
      </c>
      <c r="AS8323" t="s">
        <v>67</v>
      </c>
      <c r="AT8323" t="s">
        <v>58</v>
      </c>
      <c r="AU8323" t="s">
        <v>68</v>
      </c>
      <c r="AV8323" t="s">
        <v>69</v>
      </c>
      <c r="AW8323" s="1">
        <v>22864</v>
      </c>
      <c r="AX8323">
        <v>1</v>
      </c>
    </row>
    <row r="8324" spans="1:50">
      <c r="A8324">
        <v>597861</v>
      </c>
      <c r="B8324" t="str">
        <f>"053500456"</f>
        <v>053500456</v>
      </c>
      <c r="C8324" t="s">
        <v>50</v>
      </c>
      <c r="D8324" t="s">
        <v>12831</v>
      </c>
      <c r="E8324" t="s">
        <v>801</v>
      </c>
      <c r="F8324" t="s">
        <v>99</v>
      </c>
      <c r="G8324" t="s">
        <v>83</v>
      </c>
      <c r="H8324" t="str">
        <f>"ΚΑΛΛΙΘΕΑ ΡΕΘΥΜΝΟ"</f>
        <v>ΚΑΛΛΙΘΕΑ ΡΕΘΥΜΝΟ</v>
      </c>
      <c r="I8324">
        <v>74100</v>
      </c>
      <c r="J8324">
        <v>2831056201</v>
      </c>
      <c r="K8324">
        <v>6937654829</v>
      </c>
      <c r="N8324" t="s">
        <v>615</v>
      </c>
      <c r="O8324" t="s">
        <v>616</v>
      </c>
      <c r="R8324" t="s">
        <v>57</v>
      </c>
      <c r="S8324">
        <v>8</v>
      </c>
      <c r="T8324">
        <v>195</v>
      </c>
      <c r="U8324" s="1">
        <v>37497</v>
      </c>
      <c r="V8324" t="s">
        <v>66</v>
      </c>
      <c r="W8324" t="s">
        <v>67</v>
      </c>
      <c r="X8324" t="s">
        <v>58</v>
      </c>
      <c r="Y8324">
        <v>22</v>
      </c>
      <c r="Z8324" t="s">
        <v>59</v>
      </c>
      <c r="AA8324" t="s">
        <v>59</v>
      </c>
      <c r="AB8324" t="s">
        <v>59</v>
      </c>
      <c r="AC8324" t="s">
        <v>59</v>
      </c>
      <c r="AD8324" t="s">
        <v>59</v>
      </c>
      <c r="AF8324" s="1">
        <v>37502</v>
      </c>
      <c r="AG8324" t="s">
        <v>8645</v>
      </c>
      <c r="AH8324" t="s">
        <v>8646</v>
      </c>
      <c r="AI8324" t="str">
        <f>"9410069"</f>
        <v>9410069</v>
      </c>
      <c r="AJ8324" t="s">
        <v>12674</v>
      </c>
      <c r="AK8324">
        <v>2831029296</v>
      </c>
      <c r="AL8324" t="s">
        <v>12675</v>
      </c>
      <c r="AM8324" t="s">
        <v>64</v>
      </c>
      <c r="AN8324" t="s">
        <v>65</v>
      </c>
      <c r="AO8324" t="s">
        <v>65</v>
      </c>
      <c r="AP8324" t="s">
        <v>65</v>
      </c>
      <c r="AQ8324">
        <v>1</v>
      </c>
      <c r="AR8324" t="s">
        <v>66</v>
      </c>
      <c r="AS8324" t="s">
        <v>67</v>
      </c>
      <c r="AT8324" t="s">
        <v>58</v>
      </c>
      <c r="AU8324" t="s">
        <v>68</v>
      </c>
      <c r="AV8324" t="s">
        <v>69</v>
      </c>
      <c r="AW8324" s="1">
        <v>25100</v>
      </c>
      <c r="AX8324">
        <v>1</v>
      </c>
    </row>
    <row r="8325" spans="1:50">
      <c r="A8325">
        <v>609695</v>
      </c>
      <c r="B8325" t="str">
        <f>"044125550"</f>
        <v>044125550</v>
      </c>
      <c r="C8325" t="s">
        <v>105</v>
      </c>
      <c r="D8325" t="s">
        <v>12832</v>
      </c>
      <c r="E8325" t="s">
        <v>99</v>
      </c>
      <c r="F8325" t="s">
        <v>95</v>
      </c>
      <c r="G8325" t="s">
        <v>98</v>
      </c>
      <c r="H8325" t="str">
        <f>" "</f>
        <v xml:space="preserve"> </v>
      </c>
      <c r="J8325">
        <v>2106443636</v>
      </c>
      <c r="K8325">
        <v>6945584464</v>
      </c>
      <c r="N8325" t="s">
        <v>176</v>
      </c>
      <c r="O8325" t="s">
        <v>177</v>
      </c>
      <c r="R8325" t="s">
        <v>57</v>
      </c>
      <c r="S8325">
        <v>6</v>
      </c>
      <c r="T8325">
        <v>225</v>
      </c>
      <c r="U8325" s="1">
        <v>38604</v>
      </c>
      <c r="V8325" t="s">
        <v>66</v>
      </c>
      <c r="W8325" t="s">
        <v>67</v>
      </c>
      <c r="X8325" t="s">
        <v>58</v>
      </c>
      <c r="Y8325">
        <v>23</v>
      </c>
      <c r="Z8325" t="s">
        <v>59</v>
      </c>
      <c r="AA8325" t="s">
        <v>59</v>
      </c>
      <c r="AB8325" t="s">
        <v>59</v>
      </c>
      <c r="AC8325" t="s">
        <v>59</v>
      </c>
      <c r="AD8325" t="s">
        <v>59</v>
      </c>
      <c r="AF8325" s="1">
        <v>38608</v>
      </c>
      <c r="AG8325" t="s">
        <v>8645</v>
      </c>
      <c r="AH8325" t="s">
        <v>8646</v>
      </c>
      <c r="AI8325" t="str">
        <f>"9410065"</f>
        <v>9410065</v>
      </c>
      <c r="AJ8325" t="s">
        <v>12717</v>
      </c>
      <c r="AK8325">
        <v>2831022519</v>
      </c>
      <c r="AL8325" t="s">
        <v>12718</v>
      </c>
      <c r="AM8325" t="s">
        <v>64</v>
      </c>
      <c r="AN8325" t="s">
        <v>65</v>
      </c>
      <c r="AO8325" t="s">
        <v>65</v>
      </c>
      <c r="AP8325" t="s">
        <v>65</v>
      </c>
      <c r="AQ8325">
        <v>1</v>
      </c>
      <c r="AR8325" t="s">
        <v>66</v>
      </c>
      <c r="AS8325" t="s">
        <v>67</v>
      </c>
      <c r="AT8325" t="s">
        <v>58</v>
      </c>
      <c r="AU8325" t="s">
        <v>68</v>
      </c>
      <c r="AV8325" t="s">
        <v>69</v>
      </c>
      <c r="AW8325" s="1">
        <v>23902</v>
      </c>
      <c r="AX8325">
        <v>1</v>
      </c>
    </row>
    <row r="8326" spans="1:50">
      <c r="A8326">
        <v>618818</v>
      </c>
      <c r="B8326" t="str">
        <f>"132343829"</f>
        <v>132343829</v>
      </c>
      <c r="C8326" t="s">
        <v>50</v>
      </c>
      <c r="D8326" t="s">
        <v>9191</v>
      </c>
      <c r="E8326" t="s">
        <v>600</v>
      </c>
      <c r="F8326" t="s">
        <v>95</v>
      </c>
      <c r="G8326" t="s">
        <v>215</v>
      </c>
      <c r="H8326" t="str">
        <f>"ΑΙΓΑΙΟΥ 11 ΒΑΣΙΛΕΙΕΣ"</f>
        <v>ΑΙΓΑΙΟΥ 11 ΒΑΣΙΛΕΙΕΣ</v>
      </c>
      <c r="I8326">
        <v>71500</v>
      </c>
      <c r="J8326">
        <v>2810236437</v>
      </c>
      <c r="K8326">
        <v>6976283849</v>
      </c>
      <c r="M8326" t="s">
        <v>12833</v>
      </c>
      <c r="N8326" t="s">
        <v>615</v>
      </c>
      <c r="O8326" t="s">
        <v>616</v>
      </c>
      <c r="R8326" t="s">
        <v>57</v>
      </c>
      <c r="S8326">
        <v>5</v>
      </c>
      <c r="T8326">
        <v>774</v>
      </c>
      <c r="U8326" s="1">
        <v>39680</v>
      </c>
      <c r="V8326" t="s">
        <v>66</v>
      </c>
      <c r="W8326" t="s">
        <v>67</v>
      </c>
      <c r="X8326" t="s">
        <v>58</v>
      </c>
      <c r="Y8326">
        <v>23</v>
      </c>
      <c r="Z8326" t="s">
        <v>59</v>
      </c>
      <c r="AA8326" t="s">
        <v>59</v>
      </c>
      <c r="AB8326" t="s">
        <v>59</v>
      </c>
      <c r="AC8326" t="s">
        <v>59</v>
      </c>
      <c r="AD8326" t="s">
        <v>59</v>
      </c>
      <c r="AF8326" s="1">
        <v>39681</v>
      </c>
      <c r="AG8326" t="s">
        <v>8645</v>
      </c>
      <c r="AH8326" t="s">
        <v>8646</v>
      </c>
      <c r="AI8326" t="str">
        <f>"9410257"</f>
        <v>9410257</v>
      </c>
      <c r="AJ8326" t="s">
        <v>12828</v>
      </c>
      <c r="AK8326">
        <v>2831056242</v>
      </c>
      <c r="AL8326" t="s">
        <v>12829</v>
      </c>
      <c r="AM8326" t="s">
        <v>64</v>
      </c>
      <c r="AN8326" t="s">
        <v>65</v>
      </c>
      <c r="AO8326" t="s">
        <v>65</v>
      </c>
      <c r="AP8326" t="s">
        <v>65</v>
      </c>
      <c r="AQ8326">
        <v>1</v>
      </c>
      <c r="AR8326" t="s">
        <v>66</v>
      </c>
      <c r="AS8326" t="s">
        <v>67</v>
      </c>
      <c r="AT8326" t="s">
        <v>58</v>
      </c>
      <c r="AU8326" t="s">
        <v>68</v>
      </c>
      <c r="AV8326" t="s">
        <v>69</v>
      </c>
      <c r="AW8326" s="1">
        <v>31044</v>
      </c>
      <c r="AX8326">
        <v>1</v>
      </c>
    </row>
    <row r="8327" spans="1:50">
      <c r="A8327">
        <v>602130</v>
      </c>
      <c r="B8327" t="str">
        <f>"055528381"</f>
        <v>055528381</v>
      </c>
      <c r="C8327" t="s">
        <v>105</v>
      </c>
      <c r="D8327" t="s">
        <v>12834</v>
      </c>
      <c r="E8327" t="s">
        <v>53</v>
      </c>
      <c r="F8327" t="s">
        <v>383</v>
      </c>
      <c r="G8327" t="s">
        <v>250</v>
      </c>
      <c r="H8327" t="str">
        <f>" "</f>
        <v xml:space="preserve"> </v>
      </c>
      <c r="J8327">
        <v>2109910807</v>
      </c>
      <c r="K8327">
        <v>6937936223</v>
      </c>
      <c r="N8327" t="s">
        <v>615</v>
      </c>
      <c r="O8327" t="s">
        <v>616</v>
      </c>
      <c r="R8327" t="s">
        <v>57</v>
      </c>
      <c r="S8327">
        <v>7</v>
      </c>
      <c r="T8327">
        <v>207</v>
      </c>
      <c r="U8327" s="1">
        <v>37866</v>
      </c>
      <c r="V8327" t="s">
        <v>66</v>
      </c>
      <c r="W8327" t="s">
        <v>67</v>
      </c>
      <c r="X8327" t="s">
        <v>58</v>
      </c>
      <c r="Y8327">
        <v>22</v>
      </c>
      <c r="Z8327" t="s">
        <v>59</v>
      </c>
      <c r="AA8327" t="s">
        <v>59</v>
      </c>
      <c r="AB8327" t="s">
        <v>59</v>
      </c>
      <c r="AC8327" t="s">
        <v>59</v>
      </c>
      <c r="AD8327" t="s">
        <v>59</v>
      </c>
      <c r="AF8327" s="1">
        <v>37866</v>
      </c>
      <c r="AG8327" t="s">
        <v>8645</v>
      </c>
      <c r="AH8327" t="s">
        <v>8646</v>
      </c>
      <c r="AI8327" t="str">
        <f>"9410061"</f>
        <v>9410061</v>
      </c>
      <c r="AJ8327" t="s">
        <v>12760</v>
      </c>
      <c r="AK8327">
        <v>2831024378</v>
      </c>
      <c r="AL8327" t="s">
        <v>12761</v>
      </c>
      <c r="AM8327" t="s">
        <v>64</v>
      </c>
      <c r="AN8327" t="s">
        <v>65</v>
      </c>
      <c r="AO8327" t="s">
        <v>65</v>
      </c>
      <c r="AP8327" t="s">
        <v>65</v>
      </c>
      <c r="AQ8327">
        <v>1</v>
      </c>
      <c r="AR8327" t="s">
        <v>66</v>
      </c>
      <c r="AS8327" t="s">
        <v>67</v>
      </c>
      <c r="AT8327" t="s">
        <v>58</v>
      </c>
      <c r="AU8327" t="s">
        <v>68</v>
      </c>
      <c r="AV8327" t="s">
        <v>69</v>
      </c>
      <c r="AW8327" s="1">
        <v>26528</v>
      </c>
      <c r="AX8327">
        <v>1</v>
      </c>
    </row>
    <row r="8328" spans="1:50">
      <c r="B8328" t="str">
        <f>"103616128"</f>
        <v>103616128</v>
      </c>
      <c r="C8328" t="s">
        <v>105</v>
      </c>
      <c r="D8328" t="s">
        <v>12835</v>
      </c>
      <c r="E8328" t="s">
        <v>7729</v>
      </c>
      <c r="F8328" t="s">
        <v>995</v>
      </c>
      <c r="G8328" t="s">
        <v>316</v>
      </c>
      <c r="H8328" t="str">
        <f>" ΛΕΣΒΟΥ 5 "</f>
        <v xml:space="preserve"> ΛΕΣΒΟΥ 5 </v>
      </c>
      <c r="I8328">
        <v>15235</v>
      </c>
      <c r="J8328">
        <v>2108030184</v>
      </c>
      <c r="K8328">
        <v>6944113817</v>
      </c>
      <c r="N8328" t="s">
        <v>615</v>
      </c>
      <c r="O8328" t="s">
        <v>616</v>
      </c>
      <c r="R8328" t="s">
        <v>159</v>
      </c>
      <c r="S8328">
        <v>3</v>
      </c>
      <c r="T8328" t="s">
        <v>8675</v>
      </c>
      <c r="U8328" s="1">
        <v>43348</v>
      </c>
      <c r="V8328" t="s">
        <v>66</v>
      </c>
      <c r="W8328" t="s">
        <v>67</v>
      </c>
      <c r="X8328" t="s">
        <v>58</v>
      </c>
      <c r="Y8328">
        <v>25</v>
      </c>
      <c r="Z8328" t="s">
        <v>59</v>
      </c>
      <c r="AA8328" t="s">
        <v>59</v>
      </c>
      <c r="AB8328" t="s">
        <v>59</v>
      </c>
      <c r="AC8328" t="s">
        <v>59</v>
      </c>
      <c r="AD8328" t="s">
        <v>59</v>
      </c>
      <c r="AF8328" s="1">
        <v>43348</v>
      </c>
      <c r="AG8328" t="s">
        <v>8645</v>
      </c>
      <c r="AH8328" t="s">
        <v>8676</v>
      </c>
      <c r="AI8328" t="str">
        <f>"9410007"</f>
        <v>9410007</v>
      </c>
      <c r="AJ8328" t="s">
        <v>12836</v>
      </c>
      <c r="AK8328">
        <v>2834041504</v>
      </c>
      <c r="AL8328" t="s">
        <v>12837</v>
      </c>
      <c r="AM8328" t="s">
        <v>64</v>
      </c>
      <c r="AN8328" t="s">
        <v>5672</v>
      </c>
      <c r="AO8328" t="s">
        <v>5698</v>
      </c>
      <c r="AP8328" t="s">
        <v>12838</v>
      </c>
      <c r="AQ8328">
        <v>10</v>
      </c>
      <c r="AR8328" t="s">
        <v>66</v>
      </c>
      <c r="AS8328" t="s">
        <v>67</v>
      </c>
      <c r="AT8328" t="s">
        <v>58</v>
      </c>
      <c r="AU8328" t="s">
        <v>8673</v>
      </c>
      <c r="AV8328" t="s">
        <v>132</v>
      </c>
      <c r="AW8328" s="1">
        <v>32192</v>
      </c>
      <c r="AX8328">
        <v>1</v>
      </c>
    </row>
    <row r="8329" spans="1:50">
      <c r="A8329">
        <v>584684</v>
      </c>
      <c r="B8329" t="str">
        <f>"037414726"</f>
        <v>037414726</v>
      </c>
      <c r="C8329" t="s">
        <v>50</v>
      </c>
      <c r="D8329" t="s">
        <v>12839</v>
      </c>
      <c r="E8329" t="s">
        <v>215</v>
      </c>
      <c r="F8329" t="s">
        <v>95</v>
      </c>
      <c r="G8329" t="s">
        <v>1019</v>
      </c>
      <c r="H8329" t="str">
        <f>" "</f>
        <v xml:space="preserve"> </v>
      </c>
      <c r="N8329" t="s">
        <v>615</v>
      </c>
      <c r="O8329" t="s">
        <v>616</v>
      </c>
      <c r="R8329" t="s">
        <v>57</v>
      </c>
      <c r="S8329">
        <v>12</v>
      </c>
      <c r="T8329">
        <v>165</v>
      </c>
      <c r="U8329" s="1">
        <v>36040</v>
      </c>
      <c r="V8329" t="s">
        <v>66</v>
      </c>
      <c r="W8329" t="s">
        <v>67</v>
      </c>
      <c r="X8329" t="s">
        <v>58</v>
      </c>
      <c r="Y8329">
        <v>21</v>
      </c>
      <c r="Z8329" t="s">
        <v>59</v>
      </c>
      <c r="AA8329" t="s">
        <v>59</v>
      </c>
      <c r="AB8329" t="s">
        <v>59</v>
      </c>
      <c r="AC8329" t="s">
        <v>59</v>
      </c>
      <c r="AD8329" t="s">
        <v>59</v>
      </c>
      <c r="AF8329" s="1">
        <v>36040</v>
      </c>
      <c r="AG8329" t="s">
        <v>8645</v>
      </c>
      <c r="AH8329" t="s">
        <v>8646</v>
      </c>
      <c r="AI8329" t="str">
        <f>"9410064"</f>
        <v>9410064</v>
      </c>
      <c r="AJ8329" t="s">
        <v>12683</v>
      </c>
      <c r="AK8329">
        <v>2831028390</v>
      </c>
      <c r="AL8329" t="s">
        <v>12684</v>
      </c>
      <c r="AM8329" t="s">
        <v>64</v>
      </c>
      <c r="AN8329" t="s">
        <v>65</v>
      </c>
      <c r="AO8329" t="s">
        <v>65</v>
      </c>
      <c r="AP8329" t="s">
        <v>65</v>
      </c>
      <c r="AQ8329">
        <v>1</v>
      </c>
      <c r="AR8329" t="s">
        <v>66</v>
      </c>
      <c r="AS8329" t="s">
        <v>67</v>
      </c>
      <c r="AT8329" t="s">
        <v>58</v>
      </c>
      <c r="AU8329" t="s">
        <v>68</v>
      </c>
      <c r="AV8329" t="s">
        <v>69</v>
      </c>
      <c r="AW8329" s="1">
        <v>23596</v>
      </c>
      <c r="AX8329">
        <v>1</v>
      </c>
    </row>
    <row r="8330" spans="1:50">
      <c r="A8330">
        <v>621782</v>
      </c>
      <c r="B8330" t="str">
        <f>"137476559"</f>
        <v>137476559</v>
      </c>
      <c r="C8330" t="s">
        <v>50</v>
      </c>
      <c r="D8330" t="s">
        <v>12840</v>
      </c>
      <c r="E8330" t="s">
        <v>314</v>
      </c>
      <c r="F8330" t="s">
        <v>92</v>
      </c>
      <c r="G8330" t="s">
        <v>340</v>
      </c>
      <c r="H8330" t="str">
        <f>"ΔΗΜΟΣΘΕΝΟΥΣ 20 ΗΛΙΟΥΠΟΛΗ"</f>
        <v>ΔΗΜΟΣΘΕΝΟΥΣ 20 ΗΛΙΟΥΠΟΛΗ</v>
      </c>
      <c r="I8330">
        <v>16343</v>
      </c>
      <c r="K8330">
        <v>6974625063</v>
      </c>
      <c r="L8330">
        <v>2109922021</v>
      </c>
      <c r="M8330" t="s">
        <v>12841</v>
      </c>
      <c r="N8330" t="s">
        <v>615</v>
      </c>
      <c r="O8330" t="s">
        <v>616</v>
      </c>
      <c r="R8330" t="s">
        <v>57</v>
      </c>
      <c r="S8330">
        <v>6</v>
      </c>
      <c r="T8330">
        <v>653</v>
      </c>
      <c r="U8330" s="1">
        <v>40043</v>
      </c>
      <c r="V8330" t="s">
        <v>66</v>
      </c>
      <c r="W8330" t="s">
        <v>67</v>
      </c>
      <c r="X8330" t="s">
        <v>58</v>
      </c>
      <c r="Y8330">
        <v>23</v>
      </c>
      <c r="Z8330" t="s">
        <v>59</v>
      </c>
      <c r="AA8330" t="s">
        <v>59</v>
      </c>
      <c r="AB8330" t="s">
        <v>59</v>
      </c>
      <c r="AC8330" t="s">
        <v>59</v>
      </c>
      <c r="AD8330" t="s">
        <v>59</v>
      </c>
      <c r="AF8330" s="1">
        <v>40043</v>
      </c>
      <c r="AG8330" t="s">
        <v>8645</v>
      </c>
      <c r="AH8330" t="s">
        <v>8646</v>
      </c>
      <c r="AI8330" t="str">
        <f>"9410051"</f>
        <v>9410051</v>
      </c>
      <c r="AJ8330" t="s">
        <v>12660</v>
      </c>
      <c r="AK8330">
        <v>2834022247</v>
      </c>
      <c r="AL8330" t="s">
        <v>12661</v>
      </c>
      <c r="AM8330" t="s">
        <v>64</v>
      </c>
      <c r="AN8330" t="s">
        <v>5672</v>
      </c>
      <c r="AO8330" t="s">
        <v>5673</v>
      </c>
      <c r="AP8330" t="s">
        <v>5689</v>
      </c>
      <c r="AQ8330">
        <v>7</v>
      </c>
      <c r="AR8330" t="s">
        <v>66</v>
      </c>
      <c r="AS8330" t="s">
        <v>67</v>
      </c>
      <c r="AT8330" t="s">
        <v>58</v>
      </c>
      <c r="AU8330" t="s">
        <v>68</v>
      </c>
      <c r="AV8330" t="s">
        <v>69</v>
      </c>
      <c r="AW8330" s="1">
        <v>31551</v>
      </c>
      <c r="AX8330">
        <v>1</v>
      </c>
    </row>
    <row r="8331" spans="1:50">
      <c r="B8331" t="str">
        <f>"103549658"</f>
        <v>103549658</v>
      </c>
      <c r="C8331" t="s">
        <v>50</v>
      </c>
      <c r="D8331" t="s">
        <v>882</v>
      </c>
      <c r="E8331" t="s">
        <v>263</v>
      </c>
      <c r="F8331" t="s">
        <v>95</v>
      </c>
      <c r="G8331" t="s">
        <v>237</v>
      </c>
      <c r="H8331" t="str">
        <f>"ΤΕΡΨΙΧΟΡΗΣ 5 "</f>
        <v xml:space="preserve">ΤΕΡΨΙΧΟΡΗΣ 5 </v>
      </c>
      <c r="I8331">
        <v>74100</v>
      </c>
      <c r="J8331">
        <v>2831051991</v>
      </c>
      <c r="K8331">
        <v>6946661975</v>
      </c>
      <c r="N8331" t="s">
        <v>1525</v>
      </c>
      <c r="O8331" t="s">
        <v>1526</v>
      </c>
      <c r="R8331" t="s">
        <v>159</v>
      </c>
      <c r="S8331">
        <v>4</v>
      </c>
      <c r="T8331" t="s">
        <v>8670</v>
      </c>
      <c r="U8331" s="1">
        <v>43348</v>
      </c>
      <c r="V8331" t="s">
        <v>66</v>
      </c>
      <c r="W8331" t="s">
        <v>67</v>
      </c>
      <c r="X8331" t="s">
        <v>58</v>
      </c>
      <c r="Y8331">
        <v>25</v>
      </c>
      <c r="Z8331" t="s">
        <v>59</v>
      </c>
      <c r="AA8331" t="s">
        <v>59</v>
      </c>
      <c r="AB8331" t="s">
        <v>59</v>
      </c>
      <c r="AC8331" t="s">
        <v>59</v>
      </c>
      <c r="AD8331" t="s">
        <v>59</v>
      </c>
      <c r="AF8331" s="1">
        <v>43348</v>
      </c>
      <c r="AG8331" t="s">
        <v>8651</v>
      </c>
      <c r="AH8331" t="s">
        <v>8652</v>
      </c>
      <c r="AI8331" t="str">
        <f>"9521690"</f>
        <v>9521690</v>
      </c>
      <c r="AJ8331" t="s">
        <v>12842</v>
      </c>
      <c r="AK8331">
        <v>2834022049</v>
      </c>
      <c r="AM8331" t="s">
        <v>64</v>
      </c>
      <c r="AN8331" t="s">
        <v>5672</v>
      </c>
      <c r="AO8331" t="s">
        <v>5698</v>
      </c>
      <c r="AP8331" t="s">
        <v>12838</v>
      </c>
      <c r="AQ8331">
        <v>11</v>
      </c>
      <c r="AR8331" t="s">
        <v>66</v>
      </c>
      <c r="AS8331" t="s">
        <v>67</v>
      </c>
      <c r="AT8331" t="s">
        <v>58</v>
      </c>
      <c r="AU8331" t="s">
        <v>8673</v>
      </c>
      <c r="AV8331" t="s">
        <v>132</v>
      </c>
      <c r="AW8331" s="1">
        <v>29887</v>
      </c>
      <c r="AX8331">
        <v>1</v>
      </c>
    </row>
    <row r="8332" spans="1:50">
      <c r="A8332">
        <v>619408</v>
      </c>
      <c r="B8332" t="str">
        <f>"131781205"</f>
        <v>131781205</v>
      </c>
      <c r="C8332" t="s">
        <v>50</v>
      </c>
      <c r="D8332" t="s">
        <v>5802</v>
      </c>
      <c r="E8332" t="s">
        <v>1068</v>
      </c>
      <c r="F8332" t="s">
        <v>53</v>
      </c>
      <c r="G8332" t="s">
        <v>484</v>
      </c>
      <c r="H8332" t="str">
        <f>"Σ. ΒΑΡΔΙΝΟΓΙΑΝΝΗ 3 ΡΕΘΥΜΝΟ"</f>
        <v>Σ. ΒΑΡΔΙΝΟΓΙΑΝΝΗ 3 ΡΕΘΥΜΝΟ</v>
      </c>
      <c r="I8332">
        <v>74100</v>
      </c>
      <c r="J8332">
        <v>2831054378</v>
      </c>
      <c r="K8332">
        <v>6944183532</v>
      </c>
      <c r="M8332" t="s">
        <v>12843</v>
      </c>
      <c r="N8332" t="s">
        <v>1525</v>
      </c>
      <c r="O8332" t="s">
        <v>1526</v>
      </c>
      <c r="R8332" t="s">
        <v>57</v>
      </c>
      <c r="S8332">
        <v>5</v>
      </c>
      <c r="T8332">
        <v>774</v>
      </c>
      <c r="U8332" s="1">
        <v>39680</v>
      </c>
      <c r="V8332" t="s">
        <v>66</v>
      </c>
      <c r="W8332" t="s">
        <v>67</v>
      </c>
      <c r="X8332" t="s">
        <v>58</v>
      </c>
      <c r="Y8332">
        <v>25</v>
      </c>
      <c r="Z8332" t="s">
        <v>59</v>
      </c>
      <c r="AA8332" t="s">
        <v>59</v>
      </c>
      <c r="AB8332" t="s">
        <v>59</v>
      </c>
      <c r="AC8332" t="s">
        <v>59</v>
      </c>
      <c r="AD8332" t="s">
        <v>59</v>
      </c>
      <c r="AF8332" s="1">
        <v>39682</v>
      </c>
      <c r="AG8332" t="s">
        <v>8651</v>
      </c>
      <c r="AH8332" t="s">
        <v>8652</v>
      </c>
      <c r="AI8332" t="str">
        <f>"9410260"</f>
        <v>9410260</v>
      </c>
      <c r="AJ8332" t="s">
        <v>12844</v>
      </c>
      <c r="AK8332">
        <v>2834023621</v>
      </c>
      <c r="AL8332" t="s">
        <v>12845</v>
      </c>
      <c r="AM8332" t="s">
        <v>64</v>
      </c>
      <c r="AN8332" t="s">
        <v>5672</v>
      </c>
      <c r="AO8332" t="s">
        <v>5673</v>
      </c>
      <c r="AP8332" t="s">
        <v>5689</v>
      </c>
      <c r="AQ8332">
        <v>7</v>
      </c>
      <c r="AR8332" t="s">
        <v>66</v>
      </c>
      <c r="AS8332" t="s">
        <v>67</v>
      </c>
      <c r="AT8332" t="s">
        <v>58</v>
      </c>
      <c r="AU8332" t="s">
        <v>68</v>
      </c>
      <c r="AV8332" t="s">
        <v>69</v>
      </c>
      <c r="AW8332" s="1">
        <v>30311</v>
      </c>
      <c r="AX8332">
        <v>1</v>
      </c>
    </row>
    <row r="8333" spans="1:50">
      <c r="A8333">
        <v>611553</v>
      </c>
      <c r="B8333" t="str">
        <f>"061588658"</f>
        <v>061588658</v>
      </c>
      <c r="C8333" t="s">
        <v>50</v>
      </c>
      <c r="D8333" t="s">
        <v>12846</v>
      </c>
      <c r="E8333" t="s">
        <v>681</v>
      </c>
      <c r="F8333" t="s">
        <v>7299</v>
      </c>
      <c r="G8333" t="s">
        <v>52</v>
      </c>
      <c r="H8333" t="str">
        <f>" "</f>
        <v xml:space="preserve"> </v>
      </c>
      <c r="J8333">
        <v>2821097802</v>
      </c>
      <c r="K8333">
        <v>6942770428</v>
      </c>
      <c r="N8333" t="s">
        <v>1525</v>
      </c>
      <c r="O8333" t="s">
        <v>1526</v>
      </c>
      <c r="R8333" t="s">
        <v>57</v>
      </c>
      <c r="S8333">
        <v>6</v>
      </c>
      <c r="T8333">
        <v>233</v>
      </c>
      <c r="U8333" s="1">
        <v>38960</v>
      </c>
      <c r="V8333" t="s">
        <v>66</v>
      </c>
      <c r="W8333" t="s">
        <v>67</v>
      </c>
      <c r="X8333" t="s">
        <v>58</v>
      </c>
      <c r="Y8333">
        <v>25</v>
      </c>
      <c r="Z8333" t="s">
        <v>59</v>
      </c>
      <c r="AA8333" t="s">
        <v>59</v>
      </c>
      <c r="AB8333" t="s">
        <v>59</v>
      </c>
      <c r="AC8333" t="s">
        <v>59</v>
      </c>
      <c r="AD8333" t="s">
        <v>59</v>
      </c>
      <c r="AF8333" s="1">
        <v>38961</v>
      </c>
      <c r="AG8333" t="s">
        <v>8651</v>
      </c>
      <c r="AH8333" t="s">
        <v>8652</v>
      </c>
      <c r="AI8333" t="str">
        <f>"9520949"</f>
        <v>9520949</v>
      </c>
      <c r="AJ8333" t="s">
        <v>12818</v>
      </c>
      <c r="AK8333">
        <v>2831031424</v>
      </c>
      <c r="AL8333" t="s">
        <v>12819</v>
      </c>
      <c r="AM8333" t="s">
        <v>64</v>
      </c>
      <c r="AN8333" t="s">
        <v>65</v>
      </c>
      <c r="AO8333" t="s">
        <v>5720</v>
      </c>
      <c r="AP8333" t="s">
        <v>5721</v>
      </c>
      <c r="AQ8333">
        <v>2</v>
      </c>
      <c r="AR8333" t="s">
        <v>66</v>
      </c>
      <c r="AS8333" t="s">
        <v>67</v>
      </c>
      <c r="AT8333" t="s">
        <v>58</v>
      </c>
      <c r="AU8333" t="s">
        <v>68</v>
      </c>
      <c r="AV8333" t="s">
        <v>69</v>
      </c>
      <c r="AW8333" s="1">
        <v>26672</v>
      </c>
      <c r="AX8333">
        <v>1</v>
      </c>
    </row>
    <row r="8334" spans="1:50">
      <c r="A8334">
        <v>621836</v>
      </c>
      <c r="B8334" t="str">
        <f>"039703519"</f>
        <v>039703519</v>
      </c>
      <c r="C8334" t="s">
        <v>50</v>
      </c>
      <c r="D8334" t="s">
        <v>12847</v>
      </c>
      <c r="E8334" t="s">
        <v>83</v>
      </c>
      <c r="F8334" t="s">
        <v>72</v>
      </c>
      <c r="G8334" t="s">
        <v>382</v>
      </c>
      <c r="H8334" t="str">
        <f>"ΑΤΣΙΠΟΠΟΥΛΟ ΡΕΘΥΜΝΟ"</f>
        <v>ΑΤΣΙΠΟΠΟΥΛΟ ΡΕΘΥΜΝΟ</v>
      </c>
      <c r="I8334">
        <v>74100</v>
      </c>
      <c r="J8334">
        <v>2831031814</v>
      </c>
      <c r="K8334">
        <v>6944184984</v>
      </c>
      <c r="M8334" t="s">
        <v>12848</v>
      </c>
      <c r="N8334" t="s">
        <v>615</v>
      </c>
      <c r="O8334" t="s">
        <v>616</v>
      </c>
      <c r="R8334" t="s">
        <v>57</v>
      </c>
      <c r="S8334">
        <v>11</v>
      </c>
      <c r="T8334">
        <v>653</v>
      </c>
      <c r="U8334" s="1">
        <v>40043</v>
      </c>
      <c r="V8334" t="s">
        <v>66</v>
      </c>
      <c r="W8334" t="s">
        <v>67</v>
      </c>
      <c r="X8334" t="s">
        <v>58</v>
      </c>
      <c r="Y8334">
        <v>23</v>
      </c>
      <c r="Z8334" t="s">
        <v>59</v>
      </c>
      <c r="AA8334" t="s">
        <v>59</v>
      </c>
      <c r="AB8334" t="s">
        <v>59</v>
      </c>
      <c r="AC8334" t="s">
        <v>59</v>
      </c>
      <c r="AD8334" t="s">
        <v>59</v>
      </c>
      <c r="AF8334" s="1">
        <v>40043</v>
      </c>
      <c r="AG8334" t="s">
        <v>8645</v>
      </c>
      <c r="AH8334" t="s">
        <v>8646</v>
      </c>
      <c r="AI8334" t="str">
        <f>"9410150"</f>
        <v>9410150</v>
      </c>
      <c r="AJ8334" t="s">
        <v>12733</v>
      </c>
      <c r="AK8334">
        <v>2831052969</v>
      </c>
      <c r="AL8334" t="s">
        <v>12734</v>
      </c>
      <c r="AM8334" t="s">
        <v>64</v>
      </c>
      <c r="AN8334" t="s">
        <v>65</v>
      </c>
      <c r="AO8334" t="s">
        <v>65</v>
      </c>
      <c r="AP8334" t="s">
        <v>65</v>
      </c>
      <c r="AQ8334">
        <v>1</v>
      </c>
      <c r="AR8334" t="s">
        <v>66</v>
      </c>
      <c r="AS8334" t="s">
        <v>67</v>
      </c>
      <c r="AT8334" t="s">
        <v>58</v>
      </c>
      <c r="AU8334" t="s">
        <v>68</v>
      </c>
      <c r="AV8334" t="s">
        <v>69</v>
      </c>
      <c r="AW8334" s="1">
        <v>26720</v>
      </c>
      <c r="AX8334">
        <v>1</v>
      </c>
    </row>
    <row r="8335" spans="1:50">
      <c r="B8335" t="str">
        <f>"100538036"</f>
        <v>100538036</v>
      </c>
      <c r="C8335" t="s">
        <v>50</v>
      </c>
      <c r="D8335" t="s">
        <v>12849</v>
      </c>
      <c r="E8335" t="s">
        <v>340</v>
      </c>
      <c r="F8335" t="s">
        <v>95</v>
      </c>
      <c r="G8335" t="s">
        <v>54</v>
      </c>
      <c r="H8335" t="str">
        <f>" "</f>
        <v xml:space="preserve"> </v>
      </c>
      <c r="N8335" t="s">
        <v>384</v>
      </c>
      <c r="O8335" t="s">
        <v>385</v>
      </c>
      <c r="R8335" t="s">
        <v>121</v>
      </c>
      <c r="S8335">
        <v>1</v>
      </c>
      <c r="T8335" t="s">
        <v>9034</v>
      </c>
      <c r="U8335" s="1">
        <v>43377</v>
      </c>
      <c r="V8335" t="s">
        <v>66</v>
      </c>
      <c r="W8335" t="s">
        <v>67</v>
      </c>
      <c r="X8335" t="s">
        <v>58</v>
      </c>
      <c r="Y8335">
        <v>15</v>
      </c>
      <c r="Z8335" t="s">
        <v>59</v>
      </c>
      <c r="AD8335" t="s">
        <v>59</v>
      </c>
      <c r="AF8335" s="1">
        <v>43377</v>
      </c>
      <c r="AG8335" t="s">
        <v>8645</v>
      </c>
      <c r="AH8335" t="s">
        <v>8646</v>
      </c>
      <c r="AI8335" t="str">
        <f>"9410069"</f>
        <v>9410069</v>
      </c>
      <c r="AJ8335" t="s">
        <v>12674</v>
      </c>
      <c r="AK8335">
        <v>2831029296</v>
      </c>
      <c r="AL8335" t="s">
        <v>12675</v>
      </c>
      <c r="AM8335" t="s">
        <v>64</v>
      </c>
      <c r="AN8335" t="s">
        <v>65</v>
      </c>
      <c r="AO8335" t="s">
        <v>65</v>
      </c>
      <c r="AP8335" t="s">
        <v>65</v>
      </c>
      <c r="AQ8335">
        <v>1</v>
      </c>
      <c r="AR8335" t="s">
        <v>66</v>
      </c>
      <c r="AS8335" t="s">
        <v>67</v>
      </c>
      <c r="AT8335" t="s">
        <v>58</v>
      </c>
      <c r="AU8335" t="s">
        <v>8686</v>
      </c>
      <c r="AV8335" t="s">
        <v>132</v>
      </c>
      <c r="AW8335" s="1">
        <v>29471</v>
      </c>
      <c r="AX8335">
        <v>1</v>
      </c>
    </row>
    <row r="8336" spans="1:50">
      <c r="A8336">
        <v>612693</v>
      </c>
      <c r="B8336" t="str">
        <f>"054564763"</f>
        <v>054564763</v>
      </c>
      <c r="C8336" t="s">
        <v>50</v>
      </c>
      <c r="D8336" t="s">
        <v>12849</v>
      </c>
      <c r="E8336" t="s">
        <v>52</v>
      </c>
      <c r="F8336" t="s">
        <v>99</v>
      </c>
      <c r="G8336" t="s">
        <v>83</v>
      </c>
      <c r="H8336" t="str">
        <f>"ΜΕΤΑΜΟΡΦΩΣΕΩΣ 35 ΚΑΛΛΙΘΕΑ"</f>
        <v>ΜΕΤΑΜΟΡΦΩΣΕΩΣ 35 ΚΑΛΛΙΘΕΑ</v>
      </c>
      <c r="J8336">
        <v>2109532827</v>
      </c>
      <c r="K8336">
        <v>6936939768</v>
      </c>
      <c r="N8336" t="s">
        <v>176</v>
      </c>
      <c r="O8336" t="s">
        <v>177</v>
      </c>
      <c r="R8336" t="s">
        <v>57</v>
      </c>
      <c r="S8336">
        <v>8</v>
      </c>
      <c r="T8336">
        <v>234</v>
      </c>
      <c r="U8336" s="1">
        <v>38960</v>
      </c>
      <c r="V8336" t="s">
        <v>66</v>
      </c>
      <c r="W8336" t="s">
        <v>67</v>
      </c>
      <c r="X8336" t="s">
        <v>58</v>
      </c>
      <c r="Y8336">
        <v>23</v>
      </c>
      <c r="Z8336" t="s">
        <v>59</v>
      </c>
      <c r="AA8336" t="s">
        <v>59</v>
      </c>
      <c r="AB8336" t="s">
        <v>59</v>
      </c>
      <c r="AC8336" t="s">
        <v>59</v>
      </c>
      <c r="AD8336" t="s">
        <v>59</v>
      </c>
      <c r="AF8336" s="1">
        <v>38960</v>
      </c>
      <c r="AG8336" t="s">
        <v>8645</v>
      </c>
      <c r="AH8336" t="s">
        <v>8646</v>
      </c>
      <c r="AI8336" t="str">
        <f>"9410170"</f>
        <v>9410170</v>
      </c>
      <c r="AJ8336" t="s">
        <v>12658</v>
      </c>
      <c r="AK8336">
        <v>2831061220</v>
      </c>
      <c r="AL8336" t="s">
        <v>12659</v>
      </c>
      <c r="AM8336" t="s">
        <v>64</v>
      </c>
      <c r="AN8336" t="s">
        <v>65</v>
      </c>
      <c r="AO8336" t="s">
        <v>5657</v>
      </c>
      <c r="AP8336" t="s">
        <v>1437</v>
      </c>
      <c r="AQ8336">
        <v>2</v>
      </c>
      <c r="AR8336" t="s">
        <v>66</v>
      </c>
      <c r="AS8336" t="s">
        <v>67</v>
      </c>
      <c r="AT8336" t="s">
        <v>58</v>
      </c>
      <c r="AU8336" t="s">
        <v>68</v>
      </c>
      <c r="AV8336" t="s">
        <v>69</v>
      </c>
      <c r="AW8336" s="1">
        <v>24506</v>
      </c>
      <c r="AX8336">
        <v>1</v>
      </c>
    </row>
    <row r="8337" spans="1:50">
      <c r="A8337">
        <v>622510</v>
      </c>
      <c r="B8337" t="str">
        <f>"139452914"</f>
        <v>139452914</v>
      </c>
      <c r="C8337" t="s">
        <v>50</v>
      </c>
      <c r="D8337" t="s">
        <v>898</v>
      </c>
      <c r="E8337" t="s">
        <v>109</v>
      </c>
      <c r="F8337" t="s">
        <v>106</v>
      </c>
      <c r="G8337" t="s">
        <v>1345</v>
      </c>
      <c r="H8337" t="str">
        <f>"ΑΡΚΑΔΩΝ 48 ΗΡΑΚΛΕΙΟ"</f>
        <v>ΑΡΚΑΔΩΝ 48 ΗΡΑΚΛΕΙΟ</v>
      </c>
      <c r="I8337">
        <v>71305</v>
      </c>
      <c r="J8337">
        <v>2813013232</v>
      </c>
      <c r="K8337">
        <v>6976532037</v>
      </c>
      <c r="M8337" t="s">
        <v>12850</v>
      </c>
      <c r="N8337" t="s">
        <v>1525</v>
      </c>
      <c r="O8337" t="s">
        <v>1526</v>
      </c>
      <c r="R8337" t="s">
        <v>57</v>
      </c>
      <c r="S8337">
        <v>5</v>
      </c>
      <c r="T8337">
        <v>653</v>
      </c>
      <c r="U8337" s="1">
        <v>40043</v>
      </c>
      <c r="V8337" t="s">
        <v>66</v>
      </c>
      <c r="W8337" t="s">
        <v>67</v>
      </c>
      <c r="X8337" t="s">
        <v>58</v>
      </c>
      <c r="Y8337">
        <v>25</v>
      </c>
      <c r="Z8337" t="s">
        <v>59</v>
      </c>
      <c r="AA8337" t="s">
        <v>59</v>
      </c>
      <c r="AB8337" t="s">
        <v>59</v>
      </c>
      <c r="AC8337" t="s">
        <v>59</v>
      </c>
      <c r="AD8337" t="s">
        <v>59</v>
      </c>
      <c r="AF8337" s="1">
        <v>40043</v>
      </c>
      <c r="AG8337" t="s">
        <v>8651</v>
      </c>
      <c r="AH8337" t="s">
        <v>8652</v>
      </c>
      <c r="AI8337" t="str">
        <f>"9410209"</f>
        <v>9410209</v>
      </c>
      <c r="AJ8337" t="s">
        <v>12851</v>
      </c>
      <c r="AK8337">
        <v>2834094379</v>
      </c>
      <c r="AL8337" t="s">
        <v>12852</v>
      </c>
      <c r="AM8337" t="s">
        <v>64</v>
      </c>
      <c r="AN8337" t="s">
        <v>5672</v>
      </c>
      <c r="AO8337" t="s">
        <v>5673</v>
      </c>
      <c r="AP8337" t="s">
        <v>12853</v>
      </c>
      <c r="AQ8337">
        <v>10</v>
      </c>
      <c r="AR8337" t="s">
        <v>66</v>
      </c>
      <c r="AS8337" t="s">
        <v>67</v>
      </c>
      <c r="AT8337" t="s">
        <v>58</v>
      </c>
      <c r="AU8337" t="s">
        <v>68</v>
      </c>
      <c r="AV8337" t="s">
        <v>69</v>
      </c>
      <c r="AW8337" s="1">
        <v>30146</v>
      </c>
      <c r="AX8337">
        <v>1</v>
      </c>
    </row>
    <row r="8338" spans="1:50">
      <c r="B8338" t="str">
        <f>"110825242"</f>
        <v>110825242</v>
      </c>
      <c r="C8338" t="s">
        <v>50</v>
      </c>
      <c r="D8338" t="s">
        <v>12854</v>
      </c>
      <c r="E8338" t="s">
        <v>215</v>
      </c>
      <c r="F8338" t="s">
        <v>309</v>
      </c>
      <c r="G8338" t="s">
        <v>109</v>
      </c>
      <c r="H8338" t="str">
        <f>"ΠΑΡ. Π. ΜΕΛΑ 4  ΕΛΑΣΣΟΝΑ ΛΑΡΙΣΑΣ"</f>
        <v>ΠΑΡ. Π. ΜΕΛΑ 4  ΕΛΑΣΣΟΝΑ ΛΑΡΙΣΑΣ</v>
      </c>
      <c r="I8338">
        <v>40200</v>
      </c>
      <c r="J8338">
        <v>2493022071</v>
      </c>
      <c r="K8338">
        <v>6948879417</v>
      </c>
      <c r="N8338" t="s">
        <v>306</v>
      </c>
      <c r="O8338" t="s">
        <v>307</v>
      </c>
      <c r="R8338" t="s">
        <v>159</v>
      </c>
      <c r="S8338">
        <v>4</v>
      </c>
      <c r="T8338" t="s">
        <v>8675</v>
      </c>
      <c r="U8338" s="1">
        <v>43348</v>
      </c>
      <c r="V8338" t="s">
        <v>66</v>
      </c>
      <c r="W8338" t="s">
        <v>67</v>
      </c>
      <c r="X8338" t="s">
        <v>58</v>
      </c>
      <c r="Y8338">
        <v>24</v>
      </c>
      <c r="Z8338" t="s">
        <v>59</v>
      </c>
      <c r="AA8338" t="s">
        <v>59</v>
      </c>
      <c r="AB8338" t="s">
        <v>59</v>
      </c>
      <c r="AC8338" t="s">
        <v>59</v>
      </c>
      <c r="AD8338" t="s">
        <v>59</v>
      </c>
      <c r="AF8338" s="1">
        <v>43348</v>
      </c>
      <c r="AG8338" t="s">
        <v>8645</v>
      </c>
      <c r="AH8338" t="s">
        <v>8646</v>
      </c>
      <c r="AI8338" t="str">
        <f>"9410003"</f>
        <v>9410003</v>
      </c>
      <c r="AJ8338" t="s">
        <v>12794</v>
      </c>
      <c r="AK8338">
        <v>2834031213</v>
      </c>
      <c r="AL8338" t="s">
        <v>12795</v>
      </c>
      <c r="AM8338" t="s">
        <v>64</v>
      </c>
      <c r="AN8338" t="s">
        <v>5737</v>
      </c>
      <c r="AO8338" t="s">
        <v>5737</v>
      </c>
      <c r="AP8338" t="s">
        <v>5737</v>
      </c>
      <c r="AQ8338">
        <v>9</v>
      </c>
      <c r="AR8338" t="s">
        <v>66</v>
      </c>
      <c r="AS8338" t="s">
        <v>67</v>
      </c>
      <c r="AT8338" t="s">
        <v>58</v>
      </c>
      <c r="AU8338" t="s">
        <v>8673</v>
      </c>
      <c r="AV8338" t="s">
        <v>132</v>
      </c>
      <c r="AW8338" s="1">
        <v>28789</v>
      </c>
      <c r="AX8338">
        <v>1</v>
      </c>
    </row>
    <row r="8339" spans="1:50">
      <c r="A8339">
        <v>604119</v>
      </c>
      <c r="B8339" t="str">
        <f>"120020797"</f>
        <v>120020797</v>
      </c>
      <c r="C8339" t="s">
        <v>50</v>
      </c>
      <c r="D8339" t="s">
        <v>12855</v>
      </c>
      <c r="E8339" t="s">
        <v>1134</v>
      </c>
      <c r="F8339" t="s">
        <v>965</v>
      </c>
      <c r="G8339" t="s">
        <v>83</v>
      </c>
      <c r="H8339" t="str">
        <f>"ΔΑΛΕΝΤΖΑ 1 ΡΕΘΥΜΝΟ"</f>
        <v>ΔΑΛΕΝΤΖΑ 1 ΡΕΘΥΜΝΟ</v>
      </c>
      <c r="I8339">
        <v>74100</v>
      </c>
      <c r="J8339">
        <v>2831052073</v>
      </c>
      <c r="K8339">
        <v>6980784457</v>
      </c>
      <c r="L8339">
        <v>283154444</v>
      </c>
      <c r="M8339" t="s">
        <v>12856</v>
      </c>
      <c r="N8339" t="s">
        <v>615</v>
      </c>
      <c r="O8339" t="s">
        <v>616</v>
      </c>
      <c r="R8339" t="s">
        <v>57</v>
      </c>
      <c r="S8339">
        <v>8</v>
      </c>
      <c r="T8339">
        <v>231</v>
      </c>
      <c r="U8339" s="1">
        <v>38230</v>
      </c>
      <c r="V8339" t="s">
        <v>66</v>
      </c>
      <c r="W8339" t="s">
        <v>67</v>
      </c>
      <c r="X8339" t="s">
        <v>58</v>
      </c>
      <c r="Y8339">
        <v>22</v>
      </c>
      <c r="Z8339" t="s">
        <v>59</v>
      </c>
      <c r="AA8339" t="s">
        <v>59</v>
      </c>
      <c r="AB8339" t="s">
        <v>59</v>
      </c>
      <c r="AC8339" t="s">
        <v>59</v>
      </c>
      <c r="AD8339" t="s">
        <v>59</v>
      </c>
      <c r="AF8339" s="1">
        <v>38231</v>
      </c>
      <c r="AG8339" t="s">
        <v>8645</v>
      </c>
      <c r="AH8339" t="s">
        <v>8646</v>
      </c>
      <c r="AI8339" t="str">
        <f>"9410150"</f>
        <v>9410150</v>
      </c>
      <c r="AJ8339" t="s">
        <v>12733</v>
      </c>
      <c r="AK8339">
        <v>2831052969</v>
      </c>
      <c r="AL8339" t="s">
        <v>12734</v>
      </c>
      <c r="AM8339" t="s">
        <v>64</v>
      </c>
      <c r="AN8339" t="s">
        <v>65</v>
      </c>
      <c r="AO8339" t="s">
        <v>65</v>
      </c>
      <c r="AP8339" t="s">
        <v>65</v>
      </c>
      <c r="AQ8339">
        <v>1</v>
      </c>
      <c r="AR8339" t="s">
        <v>66</v>
      </c>
      <c r="AS8339" t="s">
        <v>67</v>
      </c>
      <c r="AT8339" t="s">
        <v>58</v>
      </c>
      <c r="AU8339" t="s">
        <v>68</v>
      </c>
      <c r="AV8339" t="s">
        <v>69</v>
      </c>
      <c r="AW8339" s="1">
        <v>26160</v>
      </c>
      <c r="AX8339">
        <v>1</v>
      </c>
    </row>
    <row r="8340" spans="1:50">
      <c r="A8340">
        <v>617165</v>
      </c>
      <c r="B8340" t="str">
        <f>"108196014"</f>
        <v>108196014</v>
      </c>
      <c r="C8340" t="s">
        <v>105</v>
      </c>
      <c r="D8340" t="s">
        <v>7000</v>
      </c>
      <c r="E8340" t="s">
        <v>95</v>
      </c>
      <c r="F8340" t="s">
        <v>1328</v>
      </c>
      <c r="G8340" t="s">
        <v>1155</v>
      </c>
      <c r="H8340" t="str">
        <f>"ΓΑΣΠΑΡΗ  36 ΓΑΛΛΟΣ"</f>
        <v>ΓΑΣΠΑΡΗ  36 ΓΑΛΛΟΣ</v>
      </c>
      <c r="I8340">
        <v>74100</v>
      </c>
      <c r="K8340">
        <v>6972074044</v>
      </c>
      <c r="L8340">
        <v>2243051313</v>
      </c>
      <c r="M8340" t="s">
        <v>12857</v>
      </c>
      <c r="N8340" t="s">
        <v>615</v>
      </c>
      <c r="O8340" t="s">
        <v>616</v>
      </c>
      <c r="R8340" t="s">
        <v>57</v>
      </c>
      <c r="S8340">
        <v>6</v>
      </c>
      <c r="T8340">
        <v>774</v>
      </c>
      <c r="U8340" s="1">
        <v>39680</v>
      </c>
      <c r="V8340" t="s">
        <v>66</v>
      </c>
      <c r="W8340" t="s">
        <v>67</v>
      </c>
      <c r="X8340" t="s">
        <v>58</v>
      </c>
      <c r="Y8340">
        <v>23</v>
      </c>
      <c r="Z8340" t="s">
        <v>59</v>
      </c>
      <c r="AA8340" t="s">
        <v>59</v>
      </c>
      <c r="AB8340" t="s">
        <v>59</v>
      </c>
      <c r="AC8340" t="s">
        <v>59</v>
      </c>
      <c r="AD8340" t="s">
        <v>59</v>
      </c>
      <c r="AF8340" s="1">
        <v>39682</v>
      </c>
      <c r="AG8340" t="s">
        <v>8645</v>
      </c>
      <c r="AH8340" t="s">
        <v>8646</v>
      </c>
      <c r="AI8340" t="str">
        <f>"9410051"</f>
        <v>9410051</v>
      </c>
      <c r="AJ8340" t="s">
        <v>12660</v>
      </c>
      <c r="AK8340">
        <v>2834022247</v>
      </c>
      <c r="AL8340" t="s">
        <v>12661</v>
      </c>
      <c r="AM8340" t="s">
        <v>64</v>
      </c>
      <c r="AN8340" t="s">
        <v>5672</v>
      </c>
      <c r="AO8340" t="s">
        <v>5673</v>
      </c>
      <c r="AP8340" t="s">
        <v>5689</v>
      </c>
      <c r="AQ8340">
        <v>7</v>
      </c>
      <c r="AR8340" t="s">
        <v>66</v>
      </c>
      <c r="AS8340" t="s">
        <v>67</v>
      </c>
      <c r="AT8340" t="s">
        <v>58</v>
      </c>
      <c r="AU8340" t="s">
        <v>68</v>
      </c>
      <c r="AV8340" t="s">
        <v>69</v>
      </c>
      <c r="AW8340" s="1">
        <v>30222</v>
      </c>
      <c r="AX8340">
        <v>1</v>
      </c>
    </row>
    <row r="8341" spans="1:50">
      <c r="A8341">
        <v>606496</v>
      </c>
      <c r="B8341" t="str">
        <f>"050757717"</f>
        <v>050757717</v>
      </c>
      <c r="C8341" t="s">
        <v>50</v>
      </c>
      <c r="D8341" t="s">
        <v>926</v>
      </c>
      <c r="E8341" t="s">
        <v>83</v>
      </c>
      <c r="F8341" t="s">
        <v>95</v>
      </c>
      <c r="G8341" t="s">
        <v>1252</v>
      </c>
      <c r="H8341" t="str">
        <f>"ΖΑΜΠΕΛΙΟΥ 26 ΡΕΘΥΜΝΟ"</f>
        <v>ΖΑΜΠΕΛΙΟΥ 26 ΡΕΘΥΜΝΟ</v>
      </c>
      <c r="I8341">
        <v>74132</v>
      </c>
      <c r="J8341">
        <v>2831056077</v>
      </c>
      <c r="K8341">
        <v>6972207341</v>
      </c>
      <c r="L8341">
        <v>2831029534</v>
      </c>
      <c r="M8341" t="s">
        <v>12858</v>
      </c>
      <c r="N8341" t="s">
        <v>1525</v>
      </c>
      <c r="O8341" t="s">
        <v>1526</v>
      </c>
      <c r="R8341" t="s">
        <v>57</v>
      </c>
      <c r="S8341">
        <v>9</v>
      </c>
      <c r="T8341">
        <v>231</v>
      </c>
      <c r="U8341" s="1">
        <v>38230</v>
      </c>
      <c r="V8341" t="s">
        <v>66</v>
      </c>
      <c r="W8341" t="s">
        <v>67</v>
      </c>
      <c r="X8341" t="s">
        <v>58</v>
      </c>
      <c r="Y8341">
        <v>25</v>
      </c>
      <c r="Z8341" t="s">
        <v>59</v>
      </c>
      <c r="AA8341" t="s">
        <v>59</v>
      </c>
      <c r="AB8341" t="s">
        <v>59</v>
      </c>
      <c r="AC8341" t="s">
        <v>59</v>
      </c>
      <c r="AD8341" t="s">
        <v>59</v>
      </c>
      <c r="AF8341" s="1">
        <v>38239</v>
      </c>
      <c r="AG8341" t="s">
        <v>8651</v>
      </c>
      <c r="AH8341" t="s">
        <v>8652</v>
      </c>
      <c r="AI8341" t="str">
        <f>"9410066"</f>
        <v>9410066</v>
      </c>
      <c r="AJ8341" t="s">
        <v>12859</v>
      </c>
      <c r="AK8341">
        <v>2831023745</v>
      </c>
      <c r="AL8341" t="s">
        <v>12860</v>
      </c>
      <c r="AM8341" t="s">
        <v>64</v>
      </c>
      <c r="AN8341" t="s">
        <v>65</v>
      </c>
      <c r="AO8341" t="s">
        <v>65</v>
      </c>
      <c r="AP8341" t="s">
        <v>65</v>
      </c>
      <c r="AQ8341">
        <v>1</v>
      </c>
      <c r="AR8341" t="s">
        <v>66</v>
      </c>
      <c r="AS8341" t="s">
        <v>67</v>
      </c>
      <c r="AT8341" t="s">
        <v>58</v>
      </c>
      <c r="AU8341" t="s">
        <v>68</v>
      </c>
      <c r="AV8341" t="s">
        <v>69</v>
      </c>
      <c r="AW8341" s="1">
        <v>24813</v>
      </c>
      <c r="AX8341">
        <v>1</v>
      </c>
    </row>
    <row r="8342" spans="1:50">
      <c r="A8342">
        <v>582471</v>
      </c>
      <c r="B8342" t="str">
        <f>"065483735"</f>
        <v>065483735</v>
      </c>
      <c r="C8342" t="s">
        <v>50</v>
      </c>
      <c r="D8342" t="s">
        <v>926</v>
      </c>
      <c r="E8342" t="s">
        <v>83</v>
      </c>
      <c r="F8342" t="s">
        <v>108</v>
      </c>
      <c r="G8342" t="s">
        <v>1361</v>
      </c>
      <c r="H8342" t="str">
        <f>" "</f>
        <v xml:space="preserve"> </v>
      </c>
      <c r="N8342" t="s">
        <v>615</v>
      </c>
      <c r="O8342" t="s">
        <v>616</v>
      </c>
      <c r="R8342" t="s">
        <v>57</v>
      </c>
      <c r="S8342">
        <v>11</v>
      </c>
      <c r="T8342">
        <v>179</v>
      </c>
      <c r="U8342" s="1">
        <v>35674</v>
      </c>
      <c r="V8342" t="s">
        <v>66</v>
      </c>
      <c r="W8342" t="s">
        <v>67</v>
      </c>
      <c r="X8342" t="s">
        <v>58</v>
      </c>
      <c r="Y8342">
        <v>21</v>
      </c>
      <c r="Z8342" t="s">
        <v>59</v>
      </c>
      <c r="AA8342" t="s">
        <v>59</v>
      </c>
      <c r="AB8342" t="s">
        <v>59</v>
      </c>
      <c r="AC8342" t="s">
        <v>59</v>
      </c>
      <c r="AD8342" t="s">
        <v>59</v>
      </c>
      <c r="AF8342" s="1">
        <v>35674</v>
      </c>
      <c r="AG8342" t="s">
        <v>8645</v>
      </c>
      <c r="AH8342" t="s">
        <v>8646</v>
      </c>
      <c r="AI8342" t="str">
        <f>"9410212"</f>
        <v>9410212</v>
      </c>
      <c r="AJ8342" t="s">
        <v>12747</v>
      </c>
      <c r="AK8342">
        <v>2831022132</v>
      </c>
      <c r="AL8342" t="s">
        <v>12748</v>
      </c>
      <c r="AM8342" t="s">
        <v>64</v>
      </c>
      <c r="AN8342" t="s">
        <v>65</v>
      </c>
      <c r="AO8342" t="s">
        <v>65</v>
      </c>
      <c r="AP8342" t="s">
        <v>65</v>
      </c>
      <c r="AQ8342">
        <v>1</v>
      </c>
      <c r="AR8342" t="s">
        <v>66</v>
      </c>
      <c r="AS8342" t="s">
        <v>67</v>
      </c>
      <c r="AT8342" t="s">
        <v>58</v>
      </c>
      <c r="AU8342" t="s">
        <v>68</v>
      </c>
      <c r="AV8342" t="s">
        <v>69</v>
      </c>
      <c r="AW8342" s="1">
        <v>25208</v>
      </c>
      <c r="AX8342">
        <v>1</v>
      </c>
    </row>
    <row r="8343" spans="1:50">
      <c r="A8343">
        <v>570278</v>
      </c>
      <c r="B8343" t="str">
        <f>"034742901"</f>
        <v>034742901</v>
      </c>
      <c r="C8343" t="s">
        <v>50</v>
      </c>
      <c r="D8343" t="s">
        <v>928</v>
      </c>
      <c r="E8343" t="s">
        <v>263</v>
      </c>
      <c r="F8343" t="s">
        <v>920</v>
      </c>
      <c r="G8343" t="s">
        <v>255</v>
      </c>
      <c r="H8343" t="str">
        <f>" ΡΕΘΥΜΝΟ"</f>
        <v xml:space="preserve"> ΡΕΘΥΜΝΟ</v>
      </c>
      <c r="I8343">
        <v>74100</v>
      </c>
      <c r="J8343">
        <v>2831054531</v>
      </c>
      <c r="K8343">
        <v>6972865972</v>
      </c>
      <c r="N8343" t="s">
        <v>306</v>
      </c>
      <c r="O8343" t="s">
        <v>307</v>
      </c>
      <c r="R8343" t="s">
        <v>57</v>
      </c>
      <c r="S8343">
        <v>14</v>
      </c>
      <c r="T8343">
        <v>239</v>
      </c>
      <c r="U8343" s="1">
        <v>33969</v>
      </c>
      <c r="V8343" t="s">
        <v>66</v>
      </c>
      <c r="W8343" t="s">
        <v>67</v>
      </c>
      <c r="X8343" t="s">
        <v>58</v>
      </c>
      <c r="Y8343">
        <v>21</v>
      </c>
      <c r="Z8343" t="s">
        <v>59</v>
      </c>
      <c r="AA8343" t="s">
        <v>59</v>
      </c>
      <c r="AB8343" t="s">
        <v>59</v>
      </c>
      <c r="AC8343" t="s">
        <v>59</v>
      </c>
      <c r="AD8343" t="s">
        <v>59</v>
      </c>
      <c r="AF8343" s="1">
        <v>33977</v>
      </c>
      <c r="AG8343" t="s">
        <v>8645</v>
      </c>
      <c r="AH8343" t="s">
        <v>8646</v>
      </c>
      <c r="AI8343" t="str">
        <f>"9410069"</f>
        <v>9410069</v>
      </c>
      <c r="AJ8343" t="s">
        <v>12674</v>
      </c>
      <c r="AK8343">
        <v>2831029296</v>
      </c>
      <c r="AL8343" t="s">
        <v>12675</v>
      </c>
      <c r="AM8343" t="s">
        <v>64</v>
      </c>
      <c r="AN8343" t="s">
        <v>65</v>
      </c>
      <c r="AO8343" t="s">
        <v>65</v>
      </c>
      <c r="AP8343" t="s">
        <v>65</v>
      </c>
      <c r="AQ8343">
        <v>1</v>
      </c>
      <c r="AR8343" t="s">
        <v>66</v>
      </c>
      <c r="AS8343" t="s">
        <v>67</v>
      </c>
      <c r="AT8343" t="s">
        <v>58</v>
      </c>
      <c r="AU8343" t="s">
        <v>68</v>
      </c>
      <c r="AV8343" t="s">
        <v>69</v>
      </c>
      <c r="AW8343" s="1">
        <v>23580</v>
      </c>
      <c r="AX8343">
        <v>1</v>
      </c>
    </row>
    <row r="8344" spans="1:50">
      <c r="B8344" t="str">
        <f>"111600769"</f>
        <v>111600769</v>
      </c>
      <c r="C8344" t="s">
        <v>50</v>
      </c>
      <c r="D8344" t="s">
        <v>928</v>
      </c>
      <c r="E8344" t="s">
        <v>109</v>
      </c>
      <c r="F8344" t="s">
        <v>459</v>
      </c>
      <c r="G8344" t="s">
        <v>484</v>
      </c>
      <c r="H8344" t="str">
        <f>"ΘΕΤΤΑΛΩΝ-11Β "</f>
        <v xml:space="preserve">ΘΕΤΤΑΛΩΝ-11Β </v>
      </c>
      <c r="I8344">
        <v>43100</v>
      </c>
      <c r="J8344">
        <v>2441075742</v>
      </c>
      <c r="K8344">
        <v>6945874494</v>
      </c>
      <c r="N8344" t="s">
        <v>9829</v>
      </c>
      <c r="O8344" t="s">
        <v>9830</v>
      </c>
      <c r="R8344" t="s">
        <v>159</v>
      </c>
      <c r="S8344">
        <v>4</v>
      </c>
      <c r="T8344" t="s">
        <v>8835</v>
      </c>
      <c r="U8344" s="1">
        <v>43348</v>
      </c>
      <c r="V8344" t="s">
        <v>66</v>
      </c>
      <c r="W8344" t="s">
        <v>67</v>
      </c>
      <c r="X8344" t="s">
        <v>58</v>
      </c>
      <c r="Y8344">
        <v>25</v>
      </c>
      <c r="Z8344" t="s">
        <v>59</v>
      </c>
      <c r="AA8344" t="s">
        <v>59</v>
      </c>
      <c r="AB8344" t="s">
        <v>59</v>
      </c>
      <c r="AC8344" t="s">
        <v>59</v>
      </c>
      <c r="AD8344" t="s">
        <v>59</v>
      </c>
      <c r="AF8344" s="1">
        <v>43348</v>
      </c>
      <c r="AG8344" t="s">
        <v>8651</v>
      </c>
      <c r="AH8344" t="s">
        <v>8652</v>
      </c>
      <c r="AI8344" t="str">
        <f>"9410233"</f>
        <v>9410233</v>
      </c>
      <c r="AJ8344" t="s">
        <v>12861</v>
      </c>
      <c r="AK8344">
        <v>2832051552</v>
      </c>
      <c r="AL8344" t="s">
        <v>12862</v>
      </c>
      <c r="AM8344" t="s">
        <v>64</v>
      </c>
      <c r="AN8344" t="s">
        <v>5882</v>
      </c>
      <c r="AO8344" t="s">
        <v>6099</v>
      </c>
      <c r="AP8344" t="s">
        <v>12825</v>
      </c>
      <c r="AQ8344">
        <v>5</v>
      </c>
      <c r="AR8344" t="s">
        <v>66</v>
      </c>
      <c r="AS8344" t="s">
        <v>67</v>
      </c>
      <c r="AT8344" t="s">
        <v>58</v>
      </c>
      <c r="AU8344" t="s">
        <v>131</v>
      </c>
      <c r="AV8344" t="s">
        <v>132</v>
      </c>
      <c r="AW8344" s="1">
        <v>30792</v>
      </c>
      <c r="AX8344">
        <v>1</v>
      </c>
    </row>
    <row r="8345" spans="1:50">
      <c r="A8345">
        <v>597880</v>
      </c>
      <c r="B8345" t="str">
        <f>"072820562"</f>
        <v>072820562</v>
      </c>
      <c r="C8345" t="s">
        <v>105</v>
      </c>
      <c r="D8345" t="s">
        <v>5812</v>
      </c>
      <c r="E8345" t="s">
        <v>154</v>
      </c>
      <c r="F8345" t="s">
        <v>309</v>
      </c>
      <c r="G8345" t="s">
        <v>910</v>
      </c>
      <c r="H8345" t="str">
        <f>"ΜΙΚΡΑΣΙΑΤΩΝ  8  ΡΕΘΥΜΝΟ"</f>
        <v>ΜΙΚΡΑΣΙΑΤΩΝ  8  ΡΕΘΥΜΝΟ</v>
      </c>
      <c r="I8345">
        <v>74100</v>
      </c>
      <c r="J8345">
        <v>2831054963</v>
      </c>
      <c r="K8345">
        <v>6972660725</v>
      </c>
      <c r="N8345" t="s">
        <v>615</v>
      </c>
      <c r="O8345" t="s">
        <v>616</v>
      </c>
      <c r="R8345" t="s">
        <v>57</v>
      </c>
      <c r="S8345">
        <v>9</v>
      </c>
      <c r="T8345">
        <v>195</v>
      </c>
      <c r="U8345" s="1">
        <v>37497</v>
      </c>
      <c r="V8345" t="s">
        <v>66</v>
      </c>
      <c r="W8345" t="s">
        <v>67</v>
      </c>
      <c r="X8345" t="s">
        <v>58</v>
      </c>
      <c r="Y8345">
        <v>22</v>
      </c>
      <c r="Z8345" t="s">
        <v>59</v>
      </c>
      <c r="AA8345" t="s">
        <v>59</v>
      </c>
      <c r="AB8345" t="s">
        <v>59</v>
      </c>
      <c r="AC8345" t="s">
        <v>59</v>
      </c>
      <c r="AD8345" t="s">
        <v>59</v>
      </c>
      <c r="AF8345" s="1">
        <v>37502</v>
      </c>
      <c r="AG8345" t="s">
        <v>8645</v>
      </c>
      <c r="AH8345" t="s">
        <v>8646</v>
      </c>
      <c r="AI8345" t="str">
        <f>"9410242"</f>
        <v>9410242</v>
      </c>
      <c r="AJ8345" t="s">
        <v>12796</v>
      </c>
      <c r="AK8345">
        <v>2834023145</v>
      </c>
      <c r="AL8345" t="s">
        <v>12797</v>
      </c>
      <c r="AM8345" t="s">
        <v>64</v>
      </c>
      <c r="AN8345" t="s">
        <v>5672</v>
      </c>
      <c r="AO8345" t="s">
        <v>5673</v>
      </c>
      <c r="AP8345" t="s">
        <v>5689</v>
      </c>
      <c r="AQ8345">
        <v>7</v>
      </c>
      <c r="AR8345" t="s">
        <v>66</v>
      </c>
      <c r="AS8345" t="s">
        <v>67</v>
      </c>
      <c r="AT8345" t="s">
        <v>58</v>
      </c>
      <c r="AU8345" t="s">
        <v>68</v>
      </c>
      <c r="AV8345" t="s">
        <v>2039</v>
      </c>
      <c r="AW8345" s="1">
        <v>22437</v>
      </c>
      <c r="AX8345">
        <v>1</v>
      </c>
    </row>
    <row r="8346" spans="1:50">
      <c r="A8346">
        <v>601610</v>
      </c>
      <c r="B8346" t="str">
        <f>"113611976"</f>
        <v>113611976</v>
      </c>
      <c r="C8346" t="s">
        <v>105</v>
      </c>
      <c r="D8346" t="s">
        <v>12863</v>
      </c>
      <c r="E8346" t="s">
        <v>304</v>
      </c>
      <c r="F8346" t="s">
        <v>111</v>
      </c>
      <c r="G8346" t="s">
        <v>263</v>
      </c>
      <c r="H8346" t="str">
        <f>"Ατσιπόπουλο "</f>
        <v xml:space="preserve">Ατσιπόπουλο </v>
      </c>
      <c r="I8346">
        <v>74100</v>
      </c>
      <c r="J8346">
        <v>2831033346</v>
      </c>
      <c r="K8346">
        <v>6942848061</v>
      </c>
      <c r="M8346" t="s">
        <v>12864</v>
      </c>
      <c r="N8346" t="s">
        <v>615</v>
      </c>
      <c r="O8346" t="s">
        <v>616</v>
      </c>
      <c r="R8346" t="s">
        <v>57</v>
      </c>
      <c r="S8346">
        <v>7</v>
      </c>
      <c r="T8346">
        <v>207</v>
      </c>
      <c r="U8346" s="1">
        <v>37866</v>
      </c>
      <c r="V8346" t="s">
        <v>66</v>
      </c>
      <c r="W8346" t="s">
        <v>67</v>
      </c>
      <c r="X8346" t="s">
        <v>58</v>
      </c>
      <c r="Y8346">
        <v>22</v>
      </c>
      <c r="Z8346" t="s">
        <v>59</v>
      </c>
      <c r="AA8346" t="s">
        <v>59</v>
      </c>
      <c r="AB8346" t="s">
        <v>59</v>
      </c>
      <c r="AC8346" t="s">
        <v>59</v>
      </c>
      <c r="AD8346" t="s">
        <v>59</v>
      </c>
      <c r="AF8346" s="1">
        <v>37866</v>
      </c>
      <c r="AG8346" t="s">
        <v>8645</v>
      </c>
      <c r="AH8346" t="s">
        <v>8646</v>
      </c>
      <c r="AI8346" t="str">
        <f>"9410166"</f>
        <v>9410166</v>
      </c>
      <c r="AJ8346" t="s">
        <v>12666</v>
      </c>
      <c r="AK8346">
        <v>2831031311</v>
      </c>
      <c r="AL8346" t="s">
        <v>12667</v>
      </c>
      <c r="AM8346" t="s">
        <v>64</v>
      </c>
      <c r="AN8346" t="s">
        <v>65</v>
      </c>
      <c r="AO8346" t="s">
        <v>5720</v>
      </c>
      <c r="AP8346" t="s">
        <v>5721</v>
      </c>
      <c r="AQ8346">
        <v>2</v>
      </c>
      <c r="AR8346" t="s">
        <v>66</v>
      </c>
      <c r="AS8346" t="s">
        <v>67</v>
      </c>
      <c r="AT8346" t="s">
        <v>58</v>
      </c>
      <c r="AU8346" t="s">
        <v>68</v>
      </c>
      <c r="AV8346" t="s">
        <v>69</v>
      </c>
      <c r="AW8346" s="1">
        <v>28258</v>
      </c>
      <c r="AX8346">
        <v>1</v>
      </c>
    </row>
    <row r="8347" spans="1:50">
      <c r="A8347">
        <v>618151</v>
      </c>
      <c r="B8347" t="str">
        <f>"124336980"</f>
        <v>124336980</v>
      </c>
      <c r="C8347" t="s">
        <v>105</v>
      </c>
      <c r="D8347" t="s">
        <v>12865</v>
      </c>
      <c r="E8347" t="s">
        <v>1585</v>
      </c>
      <c r="F8347" t="s">
        <v>99</v>
      </c>
      <c r="G8347" t="s">
        <v>237</v>
      </c>
      <c r="H8347" t="str">
        <f>"ΠΑΤΡ.ΓΡΗΓΟΡΙΟΥ  6 ΡΕΘΥΜΝΟ"</f>
        <v>ΠΑΤΡ.ΓΡΗΓΟΡΙΟΥ  6 ΡΕΘΥΜΝΟ</v>
      </c>
      <c r="I8347">
        <v>74100</v>
      </c>
      <c r="J8347">
        <v>2831054029</v>
      </c>
      <c r="K8347">
        <v>6936839838</v>
      </c>
      <c r="M8347" t="s">
        <v>12866</v>
      </c>
      <c r="N8347" t="s">
        <v>615</v>
      </c>
      <c r="O8347" t="s">
        <v>616</v>
      </c>
      <c r="R8347" t="s">
        <v>57</v>
      </c>
      <c r="S8347">
        <v>5</v>
      </c>
      <c r="T8347">
        <v>774</v>
      </c>
      <c r="U8347" s="1">
        <v>39680</v>
      </c>
      <c r="V8347" t="s">
        <v>66</v>
      </c>
      <c r="W8347" t="s">
        <v>67</v>
      </c>
      <c r="X8347" t="s">
        <v>58</v>
      </c>
      <c r="Y8347">
        <v>23</v>
      </c>
      <c r="Z8347" t="s">
        <v>59</v>
      </c>
      <c r="AA8347" t="s">
        <v>59</v>
      </c>
      <c r="AB8347" t="s">
        <v>59</v>
      </c>
      <c r="AC8347" t="s">
        <v>59</v>
      </c>
      <c r="AD8347" t="s">
        <v>59</v>
      </c>
      <c r="AF8347" s="1">
        <v>39681</v>
      </c>
      <c r="AG8347" t="s">
        <v>8645</v>
      </c>
      <c r="AH8347" t="s">
        <v>8646</v>
      </c>
      <c r="AI8347" t="str">
        <f>"9410242"</f>
        <v>9410242</v>
      </c>
      <c r="AJ8347" t="s">
        <v>12796</v>
      </c>
      <c r="AK8347">
        <v>2834023145</v>
      </c>
      <c r="AL8347" t="s">
        <v>12797</v>
      </c>
      <c r="AM8347" t="s">
        <v>64</v>
      </c>
      <c r="AN8347" t="s">
        <v>5672</v>
      </c>
      <c r="AO8347" t="s">
        <v>5673</v>
      </c>
      <c r="AP8347" t="s">
        <v>5689</v>
      </c>
      <c r="AQ8347">
        <v>7</v>
      </c>
      <c r="AR8347" t="s">
        <v>66</v>
      </c>
      <c r="AS8347" t="s">
        <v>67</v>
      </c>
      <c r="AT8347" t="s">
        <v>58</v>
      </c>
      <c r="AU8347" t="s">
        <v>68</v>
      </c>
      <c r="AV8347" t="s">
        <v>69</v>
      </c>
      <c r="AW8347" s="1">
        <v>30146</v>
      </c>
      <c r="AX8347">
        <v>1</v>
      </c>
    </row>
    <row r="8348" spans="1:50">
      <c r="A8348">
        <v>580040</v>
      </c>
      <c r="B8348" t="str">
        <f>"064510812"</f>
        <v>064510812</v>
      </c>
      <c r="C8348" t="s">
        <v>50</v>
      </c>
      <c r="D8348" t="s">
        <v>12867</v>
      </c>
      <c r="E8348" t="s">
        <v>513</v>
      </c>
      <c r="F8348" t="s">
        <v>7092</v>
      </c>
      <c r="G8348" t="s">
        <v>263</v>
      </c>
      <c r="H8348" t="str">
        <f>"ΓΑΛΛΟΣ-Τ.Θ. 6070 ΓΑΛΛΟΥ ΡΕΘΥΜΝΟΥ"</f>
        <v>ΓΑΛΛΟΣ-Τ.Θ. 6070 ΓΑΛΛΟΥ ΡΕΘΥΜΝΟΥ</v>
      </c>
      <c r="I8348">
        <v>74100</v>
      </c>
      <c r="J8348">
        <v>2831021310</v>
      </c>
      <c r="K8348">
        <v>6944558147</v>
      </c>
      <c r="N8348" t="s">
        <v>1525</v>
      </c>
      <c r="O8348" t="s">
        <v>1526</v>
      </c>
      <c r="R8348" t="s">
        <v>57</v>
      </c>
      <c r="S8348">
        <v>13</v>
      </c>
      <c r="T8348">
        <v>165</v>
      </c>
      <c r="U8348" s="1">
        <v>35300</v>
      </c>
      <c r="V8348" t="s">
        <v>66</v>
      </c>
      <c r="W8348" t="s">
        <v>67</v>
      </c>
      <c r="X8348" t="s">
        <v>58</v>
      </c>
      <c r="Y8348">
        <v>25</v>
      </c>
      <c r="Z8348" t="s">
        <v>59</v>
      </c>
      <c r="AA8348" t="s">
        <v>59</v>
      </c>
      <c r="AB8348" t="s">
        <v>59</v>
      </c>
      <c r="AC8348" t="s">
        <v>59</v>
      </c>
      <c r="AD8348" t="s">
        <v>59</v>
      </c>
      <c r="AF8348" s="1">
        <v>35311</v>
      </c>
      <c r="AG8348" t="s">
        <v>8651</v>
      </c>
      <c r="AH8348" t="s">
        <v>8652</v>
      </c>
      <c r="AI8348" t="str">
        <f>"9410231"</f>
        <v>9410231</v>
      </c>
      <c r="AJ8348" t="s">
        <v>12868</v>
      </c>
      <c r="AK8348">
        <v>2831025022</v>
      </c>
      <c r="AL8348" t="s">
        <v>12869</v>
      </c>
      <c r="AM8348" t="s">
        <v>64</v>
      </c>
      <c r="AN8348" t="s">
        <v>65</v>
      </c>
      <c r="AO8348" t="s">
        <v>65</v>
      </c>
      <c r="AP8348" t="s">
        <v>65</v>
      </c>
      <c r="AQ8348">
        <v>1</v>
      </c>
      <c r="AR8348" t="s">
        <v>66</v>
      </c>
      <c r="AS8348" t="s">
        <v>67</v>
      </c>
      <c r="AT8348" t="s">
        <v>58</v>
      </c>
      <c r="AU8348" t="s">
        <v>68</v>
      </c>
      <c r="AV8348" t="s">
        <v>69</v>
      </c>
      <c r="AW8348" s="1">
        <v>23676</v>
      </c>
      <c r="AX8348">
        <v>1</v>
      </c>
    </row>
    <row r="8349" spans="1:50">
      <c r="A8349">
        <v>620070</v>
      </c>
      <c r="B8349" t="str">
        <f>"113603811"</f>
        <v>113603811</v>
      </c>
      <c r="C8349" t="s">
        <v>50</v>
      </c>
      <c r="D8349" t="s">
        <v>12870</v>
      </c>
      <c r="E8349" t="s">
        <v>255</v>
      </c>
      <c r="F8349" t="s">
        <v>510</v>
      </c>
      <c r="G8349" t="s">
        <v>52</v>
      </c>
      <c r="H8349" t="str">
        <f>"ΓΕΩΡΓΙΟΥ ΒΟΛΑΚΑ 18 "</f>
        <v xml:space="preserve">ΓΕΩΡΓΙΟΥ ΒΟΛΑΚΑ 18 </v>
      </c>
      <c r="I8349">
        <v>74100</v>
      </c>
      <c r="J8349">
        <v>2831027025</v>
      </c>
      <c r="K8349">
        <v>6945151245</v>
      </c>
      <c r="N8349" t="s">
        <v>1525</v>
      </c>
      <c r="O8349" t="s">
        <v>1526</v>
      </c>
      <c r="R8349" t="s">
        <v>57</v>
      </c>
      <c r="S8349">
        <v>4</v>
      </c>
      <c r="T8349">
        <v>794</v>
      </c>
      <c r="U8349" s="1">
        <v>39680</v>
      </c>
      <c r="V8349" t="s">
        <v>66</v>
      </c>
      <c r="W8349" t="s">
        <v>67</v>
      </c>
      <c r="X8349" t="s">
        <v>58</v>
      </c>
      <c r="Y8349">
        <v>25</v>
      </c>
      <c r="Z8349" t="s">
        <v>59</v>
      </c>
      <c r="AA8349" t="s">
        <v>59</v>
      </c>
      <c r="AB8349" t="s">
        <v>59</v>
      </c>
      <c r="AC8349" t="s">
        <v>59</v>
      </c>
      <c r="AD8349" t="s">
        <v>59</v>
      </c>
      <c r="AF8349" s="1">
        <v>39688</v>
      </c>
      <c r="AG8349" t="s">
        <v>8651</v>
      </c>
      <c r="AH8349" t="s">
        <v>8652</v>
      </c>
      <c r="AI8349" t="str">
        <f>"9410039"</f>
        <v>9410039</v>
      </c>
      <c r="AJ8349" t="s">
        <v>12871</v>
      </c>
      <c r="AK8349">
        <v>2834061260</v>
      </c>
      <c r="AL8349" t="s">
        <v>12872</v>
      </c>
      <c r="AM8349" t="s">
        <v>64</v>
      </c>
      <c r="AN8349" t="s">
        <v>5672</v>
      </c>
      <c r="AO8349" t="s">
        <v>5698</v>
      </c>
      <c r="AP8349" t="s">
        <v>5699</v>
      </c>
      <c r="AQ8349">
        <v>9</v>
      </c>
      <c r="AR8349" t="s">
        <v>66</v>
      </c>
      <c r="AS8349" t="s">
        <v>67</v>
      </c>
      <c r="AT8349" t="s">
        <v>58</v>
      </c>
      <c r="AU8349" t="s">
        <v>68</v>
      </c>
      <c r="AV8349" t="s">
        <v>69</v>
      </c>
      <c r="AW8349" s="1">
        <v>30711</v>
      </c>
      <c r="AX8349">
        <v>1</v>
      </c>
    </row>
    <row r="8350" spans="1:50">
      <c r="A8350">
        <v>597884</v>
      </c>
      <c r="B8350" t="str">
        <f>"109122336"</f>
        <v>109122336</v>
      </c>
      <c r="C8350" t="s">
        <v>50</v>
      </c>
      <c r="D8350" t="s">
        <v>12873</v>
      </c>
      <c r="E8350" t="s">
        <v>699</v>
      </c>
      <c r="F8350" t="s">
        <v>53</v>
      </c>
      <c r="G8350" t="s">
        <v>507</v>
      </c>
      <c r="H8350" t="str">
        <f>"ΚΑΠΟΔΙΣΤΡΙΟΥ 1 ΡΕΘΥΜΝΟ"</f>
        <v>ΚΑΠΟΔΙΣΤΡΙΟΥ 1 ΡΕΘΥΜΝΟ</v>
      </c>
      <c r="I8350">
        <v>74100</v>
      </c>
      <c r="J8350">
        <v>2831053048</v>
      </c>
      <c r="K8350">
        <v>6936289055</v>
      </c>
      <c r="M8350" t="s">
        <v>12874</v>
      </c>
      <c r="N8350" t="s">
        <v>615</v>
      </c>
      <c r="O8350" t="s">
        <v>616</v>
      </c>
      <c r="R8350" t="s">
        <v>57</v>
      </c>
      <c r="S8350">
        <v>9</v>
      </c>
      <c r="T8350">
        <v>195</v>
      </c>
      <c r="U8350" s="1">
        <v>37497</v>
      </c>
      <c r="V8350" t="s">
        <v>66</v>
      </c>
      <c r="W8350" t="s">
        <v>67</v>
      </c>
      <c r="X8350" t="s">
        <v>58</v>
      </c>
      <c r="Y8350">
        <v>22</v>
      </c>
      <c r="Z8350" t="s">
        <v>59</v>
      </c>
      <c r="AA8350" t="s">
        <v>59</v>
      </c>
      <c r="AB8350" t="s">
        <v>59</v>
      </c>
      <c r="AC8350" t="s">
        <v>59</v>
      </c>
      <c r="AD8350" t="s">
        <v>59</v>
      </c>
      <c r="AF8350" s="1">
        <v>37501</v>
      </c>
      <c r="AG8350" t="s">
        <v>8645</v>
      </c>
      <c r="AH8350" t="s">
        <v>8646</v>
      </c>
      <c r="AI8350" t="str">
        <f>"9410070"</f>
        <v>9410070</v>
      </c>
      <c r="AJ8350" t="s">
        <v>12757</v>
      </c>
      <c r="AK8350">
        <v>2831028583</v>
      </c>
      <c r="AL8350" t="s">
        <v>12758</v>
      </c>
      <c r="AM8350" t="s">
        <v>64</v>
      </c>
      <c r="AN8350" t="s">
        <v>65</v>
      </c>
      <c r="AO8350" t="s">
        <v>65</v>
      </c>
      <c r="AP8350" t="s">
        <v>65</v>
      </c>
      <c r="AQ8350">
        <v>1</v>
      </c>
      <c r="AR8350" t="s">
        <v>66</v>
      </c>
      <c r="AS8350" t="s">
        <v>67</v>
      </c>
      <c r="AT8350" t="s">
        <v>58</v>
      </c>
      <c r="AU8350" t="s">
        <v>68</v>
      </c>
      <c r="AV8350" t="s">
        <v>69</v>
      </c>
      <c r="AW8350" s="1">
        <v>25464</v>
      </c>
      <c r="AX8350">
        <v>1</v>
      </c>
    </row>
    <row r="8351" spans="1:50">
      <c r="B8351" t="str">
        <f>"074792216"</f>
        <v>074792216</v>
      </c>
      <c r="C8351" t="s">
        <v>50</v>
      </c>
      <c r="D8351" t="s">
        <v>12875</v>
      </c>
      <c r="E8351" t="s">
        <v>620</v>
      </c>
      <c r="F8351" t="s">
        <v>153</v>
      </c>
      <c r="G8351" t="s">
        <v>340</v>
      </c>
      <c r="H8351" t="str">
        <f>"ΠΥΡΓΟΥ 19 "</f>
        <v xml:space="preserve">ΠΥΡΓΟΥ 19 </v>
      </c>
      <c r="I8351">
        <v>42100</v>
      </c>
      <c r="J8351">
        <v>2431026522</v>
      </c>
      <c r="K8351">
        <v>6973365957</v>
      </c>
      <c r="M8351" t="s">
        <v>12876</v>
      </c>
      <c r="N8351" t="s">
        <v>615</v>
      </c>
      <c r="O8351" t="s">
        <v>616</v>
      </c>
      <c r="R8351" t="s">
        <v>159</v>
      </c>
      <c r="S8351">
        <v>3</v>
      </c>
      <c r="T8351" t="s">
        <v>8675</v>
      </c>
      <c r="U8351" s="1">
        <v>43348</v>
      </c>
      <c r="V8351" t="s">
        <v>66</v>
      </c>
      <c r="W8351" t="s">
        <v>67</v>
      </c>
      <c r="X8351" t="s">
        <v>58</v>
      </c>
      <c r="Y8351">
        <v>24</v>
      </c>
      <c r="Z8351" t="s">
        <v>59</v>
      </c>
      <c r="AA8351" t="s">
        <v>59</v>
      </c>
      <c r="AB8351" t="s">
        <v>59</v>
      </c>
      <c r="AC8351" t="s">
        <v>59</v>
      </c>
      <c r="AD8351" t="s">
        <v>59</v>
      </c>
      <c r="AF8351" s="1">
        <v>43348</v>
      </c>
      <c r="AG8351" t="s">
        <v>8645</v>
      </c>
      <c r="AH8351" t="s">
        <v>8646</v>
      </c>
      <c r="AI8351" t="str">
        <f>"9410114"</f>
        <v>9410114</v>
      </c>
      <c r="AJ8351" t="s">
        <v>12877</v>
      </c>
      <c r="AK8351">
        <v>2832031291</v>
      </c>
      <c r="AL8351" t="s">
        <v>12878</v>
      </c>
      <c r="AM8351" t="s">
        <v>64</v>
      </c>
      <c r="AN8351" t="s">
        <v>5882</v>
      </c>
      <c r="AO8351" t="s">
        <v>6099</v>
      </c>
      <c r="AP8351" t="s">
        <v>12815</v>
      </c>
      <c r="AQ8351">
        <v>5</v>
      </c>
      <c r="AR8351" t="s">
        <v>66</v>
      </c>
      <c r="AS8351" t="s">
        <v>67</v>
      </c>
      <c r="AT8351" t="s">
        <v>58</v>
      </c>
      <c r="AU8351" t="s">
        <v>8673</v>
      </c>
      <c r="AV8351" t="s">
        <v>132</v>
      </c>
      <c r="AW8351" s="1">
        <v>31608</v>
      </c>
      <c r="AX8351">
        <v>1</v>
      </c>
    </row>
    <row r="8352" spans="1:50">
      <c r="B8352" t="str">
        <f>"124465741"</f>
        <v>124465741</v>
      </c>
      <c r="C8352" t="s">
        <v>50</v>
      </c>
      <c r="D8352" t="s">
        <v>12879</v>
      </c>
      <c r="E8352" t="s">
        <v>755</v>
      </c>
      <c r="F8352" t="s">
        <v>202</v>
      </c>
      <c r="G8352" t="s">
        <v>1644</v>
      </c>
      <c r="H8352" t="str">
        <f>"ΣΒΑΪΤΣΕΡ 15 "</f>
        <v xml:space="preserve">ΣΒΑΪΤΣΕΡ 15 </v>
      </c>
      <c r="I8352">
        <v>74100</v>
      </c>
      <c r="J8352">
        <v>2831073018</v>
      </c>
      <c r="K8352">
        <v>6942086657</v>
      </c>
      <c r="N8352" t="s">
        <v>1525</v>
      </c>
      <c r="O8352" t="s">
        <v>1526</v>
      </c>
      <c r="R8352" t="s">
        <v>159</v>
      </c>
      <c r="S8352">
        <v>4</v>
      </c>
      <c r="T8352" t="s">
        <v>8670</v>
      </c>
      <c r="U8352" s="1">
        <v>43348</v>
      </c>
      <c r="V8352" t="s">
        <v>66</v>
      </c>
      <c r="W8352" t="s">
        <v>67</v>
      </c>
      <c r="X8352" t="s">
        <v>58</v>
      </c>
      <c r="Y8352">
        <v>25</v>
      </c>
      <c r="Z8352" t="s">
        <v>59</v>
      </c>
      <c r="AA8352" t="s">
        <v>59</v>
      </c>
      <c r="AB8352" t="s">
        <v>59</v>
      </c>
      <c r="AC8352" t="s">
        <v>59</v>
      </c>
      <c r="AD8352" t="s">
        <v>59</v>
      </c>
      <c r="AF8352" s="1">
        <v>43348</v>
      </c>
      <c r="AG8352" t="s">
        <v>8651</v>
      </c>
      <c r="AH8352" t="s">
        <v>8652</v>
      </c>
      <c r="AI8352" t="str">
        <f>"9410189"</f>
        <v>9410189</v>
      </c>
      <c r="AJ8352" t="s">
        <v>12706</v>
      </c>
      <c r="AK8352">
        <v>2831028290</v>
      </c>
      <c r="AL8352" t="s">
        <v>12707</v>
      </c>
      <c r="AM8352" t="s">
        <v>64</v>
      </c>
      <c r="AN8352" t="s">
        <v>65</v>
      </c>
      <c r="AO8352" t="s">
        <v>65</v>
      </c>
      <c r="AP8352" t="s">
        <v>65</v>
      </c>
      <c r="AQ8352">
        <v>1</v>
      </c>
      <c r="AR8352" t="s">
        <v>66</v>
      </c>
      <c r="AS8352" t="s">
        <v>67</v>
      </c>
      <c r="AT8352" t="s">
        <v>58</v>
      </c>
      <c r="AU8352" t="s">
        <v>8673</v>
      </c>
      <c r="AV8352" t="s">
        <v>132</v>
      </c>
      <c r="AW8352" s="1">
        <v>30314</v>
      </c>
      <c r="AX8352">
        <v>1</v>
      </c>
    </row>
    <row r="8353" spans="1:50">
      <c r="A8353">
        <v>557195</v>
      </c>
      <c r="B8353" t="str">
        <f>"033205949"</f>
        <v>033205949</v>
      </c>
      <c r="C8353" t="s">
        <v>105</v>
      </c>
      <c r="D8353" t="s">
        <v>4675</v>
      </c>
      <c r="E8353" t="s">
        <v>72</v>
      </c>
      <c r="F8353" t="s">
        <v>95</v>
      </c>
      <c r="G8353" t="s">
        <v>52</v>
      </c>
      <c r="H8353" t="str">
        <f>" "</f>
        <v xml:space="preserve"> </v>
      </c>
      <c r="J8353">
        <v>2831053810</v>
      </c>
      <c r="K8353">
        <v>6974466054</v>
      </c>
      <c r="M8353" t="s">
        <v>12880</v>
      </c>
      <c r="N8353" t="s">
        <v>615</v>
      </c>
      <c r="O8353" t="s">
        <v>616</v>
      </c>
      <c r="R8353" t="s">
        <v>57</v>
      </c>
      <c r="S8353">
        <v>15</v>
      </c>
      <c r="T8353">
        <v>168</v>
      </c>
      <c r="U8353" s="1">
        <v>32010</v>
      </c>
      <c r="V8353" t="s">
        <v>66</v>
      </c>
      <c r="W8353" t="s">
        <v>67</v>
      </c>
      <c r="X8353" t="s">
        <v>58</v>
      </c>
      <c r="Y8353">
        <v>21</v>
      </c>
      <c r="Z8353" t="s">
        <v>59</v>
      </c>
      <c r="AA8353" t="s">
        <v>59</v>
      </c>
      <c r="AB8353" t="s">
        <v>59</v>
      </c>
      <c r="AC8353" t="s">
        <v>59</v>
      </c>
      <c r="AD8353" t="s">
        <v>59</v>
      </c>
      <c r="AF8353" s="1">
        <v>32022</v>
      </c>
      <c r="AG8353" t="s">
        <v>8645</v>
      </c>
      <c r="AH8353" t="s">
        <v>8646</v>
      </c>
      <c r="AI8353" t="str">
        <f>"9410070"</f>
        <v>9410070</v>
      </c>
      <c r="AJ8353" t="s">
        <v>12757</v>
      </c>
      <c r="AK8353">
        <v>2831028583</v>
      </c>
      <c r="AL8353" t="s">
        <v>12758</v>
      </c>
      <c r="AM8353" t="s">
        <v>64</v>
      </c>
      <c r="AN8353" t="s">
        <v>65</v>
      </c>
      <c r="AO8353" t="s">
        <v>65</v>
      </c>
      <c r="AP8353" t="s">
        <v>65</v>
      </c>
      <c r="AQ8353">
        <v>1</v>
      </c>
      <c r="AR8353" t="s">
        <v>66</v>
      </c>
      <c r="AS8353" t="s">
        <v>67</v>
      </c>
      <c r="AT8353" t="s">
        <v>58</v>
      </c>
      <c r="AU8353" t="s">
        <v>68</v>
      </c>
      <c r="AV8353" t="s">
        <v>69</v>
      </c>
      <c r="AW8353" s="1">
        <v>23139</v>
      </c>
      <c r="AX8353">
        <v>1</v>
      </c>
    </row>
    <row r="8354" spans="1:50">
      <c r="B8354" t="str">
        <f>"149972859"</f>
        <v>149972859</v>
      </c>
      <c r="C8354" t="s">
        <v>50</v>
      </c>
      <c r="D8354" t="s">
        <v>12881</v>
      </c>
      <c r="E8354" t="s">
        <v>1074</v>
      </c>
      <c r="F8354" t="s">
        <v>450</v>
      </c>
      <c r="G8354" t="s">
        <v>83</v>
      </c>
      <c r="H8354" t="str">
        <f>"ΜΕΣΟΛΟΓΓΙΟΥ 21 "</f>
        <v xml:space="preserve">ΜΕΣΟΛΟΓΓΙΟΥ 21 </v>
      </c>
      <c r="I8354">
        <v>16231</v>
      </c>
      <c r="J8354">
        <v>2107665220</v>
      </c>
      <c r="K8354">
        <v>6938158414</v>
      </c>
      <c r="N8354" t="s">
        <v>1525</v>
      </c>
      <c r="O8354" t="s">
        <v>1526</v>
      </c>
      <c r="R8354" t="s">
        <v>159</v>
      </c>
      <c r="S8354">
        <v>4</v>
      </c>
      <c r="T8354" t="s">
        <v>8670</v>
      </c>
      <c r="U8354" s="1">
        <v>43348</v>
      </c>
      <c r="V8354" t="s">
        <v>66</v>
      </c>
      <c r="W8354" t="s">
        <v>67</v>
      </c>
      <c r="X8354" t="s">
        <v>58</v>
      </c>
      <c r="Y8354">
        <v>25</v>
      </c>
      <c r="Z8354" t="s">
        <v>59</v>
      </c>
      <c r="AA8354" t="s">
        <v>59</v>
      </c>
      <c r="AB8354" t="s">
        <v>59</v>
      </c>
      <c r="AC8354" t="s">
        <v>59</v>
      </c>
      <c r="AD8354" t="s">
        <v>59</v>
      </c>
      <c r="AF8354" s="1">
        <v>43348</v>
      </c>
      <c r="AG8354" t="s">
        <v>8651</v>
      </c>
      <c r="AH8354" t="s">
        <v>8652</v>
      </c>
      <c r="AI8354" t="str">
        <f>"9520732"</f>
        <v>9520732</v>
      </c>
      <c r="AJ8354" t="s">
        <v>12882</v>
      </c>
      <c r="AK8354">
        <v>2831075361</v>
      </c>
      <c r="AL8354" t="s">
        <v>12883</v>
      </c>
      <c r="AM8354" t="s">
        <v>64</v>
      </c>
      <c r="AN8354" t="s">
        <v>65</v>
      </c>
      <c r="AO8354" t="s">
        <v>65</v>
      </c>
      <c r="AP8354" t="s">
        <v>12884</v>
      </c>
      <c r="AQ8354">
        <v>3</v>
      </c>
      <c r="AR8354" t="s">
        <v>66</v>
      </c>
      <c r="AS8354" t="s">
        <v>67</v>
      </c>
      <c r="AT8354" t="s">
        <v>58</v>
      </c>
      <c r="AU8354" t="s">
        <v>8673</v>
      </c>
      <c r="AV8354" t="s">
        <v>132</v>
      </c>
      <c r="AW8354" s="1">
        <v>31533</v>
      </c>
      <c r="AX8354">
        <v>1</v>
      </c>
    </row>
    <row r="8355" spans="1:50">
      <c r="B8355" t="str">
        <f>"131555054"</f>
        <v>131555054</v>
      </c>
      <c r="C8355" t="s">
        <v>50</v>
      </c>
      <c r="D8355" t="s">
        <v>9265</v>
      </c>
      <c r="E8355" t="s">
        <v>714</v>
      </c>
      <c r="F8355" t="s">
        <v>1743</v>
      </c>
      <c r="G8355" t="s">
        <v>934</v>
      </c>
      <c r="H8355" t="str">
        <f>"ΣΟΥΛΙΟΥ 6 ΠΕΡΙΣΤΕΡΙ"</f>
        <v>ΣΟΥΛΙΟΥ 6 ΠΕΡΙΣΤΕΡΙ</v>
      </c>
      <c r="I8355">
        <v>12136</v>
      </c>
      <c r="J8355">
        <v>2105769175</v>
      </c>
      <c r="K8355">
        <v>6946170871</v>
      </c>
      <c r="N8355" t="s">
        <v>8694</v>
      </c>
      <c r="O8355" t="s">
        <v>8695</v>
      </c>
      <c r="R8355" t="s">
        <v>57</v>
      </c>
      <c r="S8355">
        <v>4</v>
      </c>
      <c r="T8355" t="s">
        <v>8696</v>
      </c>
      <c r="U8355" s="1">
        <v>43348</v>
      </c>
      <c r="V8355" t="s">
        <v>66</v>
      </c>
      <c r="W8355" t="s">
        <v>67</v>
      </c>
      <c r="X8355" t="s">
        <v>58</v>
      </c>
      <c r="Y8355">
        <v>24</v>
      </c>
      <c r="Z8355" t="s">
        <v>59</v>
      </c>
      <c r="AA8355" t="s">
        <v>59</v>
      </c>
      <c r="AB8355" t="s">
        <v>59</v>
      </c>
      <c r="AC8355" t="s">
        <v>59</v>
      </c>
      <c r="AD8355" t="s">
        <v>59</v>
      </c>
      <c r="AF8355" s="1">
        <v>43348</v>
      </c>
      <c r="AG8355" t="s">
        <v>8645</v>
      </c>
      <c r="AH8355" t="s">
        <v>8697</v>
      </c>
      <c r="AI8355" t="str">
        <f>"9410243"</f>
        <v>9410243</v>
      </c>
      <c r="AJ8355" t="s">
        <v>12885</v>
      </c>
      <c r="AK8355">
        <v>2831026710</v>
      </c>
      <c r="AL8355" t="s">
        <v>12886</v>
      </c>
      <c r="AM8355" t="s">
        <v>64</v>
      </c>
      <c r="AN8355" t="s">
        <v>65</v>
      </c>
      <c r="AO8355" t="s">
        <v>65</v>
      </c>
      <c r="AP8355" t="s">
        <v>65</v>
      </c>
      <c r="AQ8355">
        <v>1</v>
      </c>
      <c r="AR8355" t="s">
        <v>66</v>
      </c>
      <c r="AS8355" t="s">
        <v>67</v>
      </c>
      <c r="AT8355" t="s">
        <v>58</v>
      </c>
      <c r="AU8355" t="s">
        <v>350</v>
      </c>
      <c r="AV8355" t="s">
        <v>132</v>
      </c>
      <c r="AW8355" s="1">
        <v>30905</v>
      </c>
      <c r="AX8355">
        <v>1</v>
      </c>
    </row>
    <row r="8356" spans="1:50">
      <c r="A8356">
        <v>602560</v>
      </c>
      <c r="B8356" t="str">
        <f>"100055550"</f>
        <v>100055550</v>
      </c>
      <c r="C8356" t="s">
        <v>50</v>
      </c>
      <c r="D8356" t="s">
        <v>12887</v>
      </c>
      <c r="E8356" t="s">
        <v>54</v>
      </c>
      <c r="F8356" t="s">
        <v>99</v>
      </c>
      <c r="G8356" t="s">
        <v>255</v>
      </c>
      <c r="H8356" t="str">
        <f>" "</f>
        <v xml:space="preserve"> </v>
      </c>
      <c r="K8356">
        <v>6973329343</v>
      </c>
      <c r="M8356" t="s">
        <v>12888</v>
      </c>
      <c r="N8356" t="s">
        <v>615</v>
      </c>
      <c r="O8356" t="s">
        <v>616</v>
      </c>
      <c r="R8356" t="s">
        <v>57</v>
      </c>
      <c r="S8356">
        <v>8</v>
      </c>
      <c r="T8356">
        <v>207</v>
      </c>
      <c r="U8356" s="1">
        <v>37866</v>
      </c>
      <c r="V8356" t="s">
        <v>66</v>
      </c>
      <c r="W8356" t="s">
        <v>67</v>
      </c>
      <c r="X8356" t="s">
        <v>58</v>
      </c>
      <c r="Y8356">
        <v>22</v>
      </c>
      <c r="Z8356" t="s">
        <v>59</v>
      </c>
      <c r="AA8356" t="s">
        <v>59</v>
      </c>
      <c r="AB8356" t="s">
        <v>59</v>
      </c>
      <c r="AC8356" t="s">
        <v>59</v>
      </c>
      <c r="AD8356" t="s">
        <v>59</v>
      </c>
      <c r="AF8356" s="1">
        <v>37866</v>
      </c>
      <c r="AG8356" t="s">
        <v>8645</v>
      </c>
      <c r="AH8356" t="s">
        <v>8646</v>
      </c>
      <c r="AI8356" t="str">
        <f>"9410241"</f>
        <v>9410241</v>
      </c>
      <c r="AJ8356" t="s">
        <v>12783</v>
      </c>
      <c r="AK8356">
        <v>2831022616</v>
      </c>
      <c r="AL8356" t="s">
        <v>12784</v>
      </c>
      <c r="AM8356" t="s">
        <v>64</v>
      </c>
      <c r="AN8356" t="s">
        <v>65</v>
      </c>
      <c r="AO8356" t="s">
        <v>65</v>
      </c>
      <c r="AP8356" t="s">
        <v>65</v>
      </c>
      <c r="AQ8356">
        <v>1</v>
      </c>
      <c r="AR8356" t="s">
        <v>66</v>
      </c>
      <c r="AS8356" t="s">
        <v>67</v>
      </c>
      <c r="AT8356" t="s">
        <v>58</v>
      </c>
      <c r="AU8356" t="s">
        <v>68</v>
      </c>
      <c r="AV8356" t="s">
        <v>69</v>
      </c>
      <c r="AW8356" s="1">
        <v>26329</v>
      </c>
      <c r="AX8356">
        <v>1</v>
      </c>
    </row>
    <row r="8357" spans="1:50">
      <c r="A8357">
        <v>550132</v>
      </c>
      <c r="B8357" t="str">
        <f>"065491680"</f>
        <v>065491680</v>
      </c>
      <c r="C8357" t="s">
        <v>50</v>
      </c>
      <c r="D8357" t="s">
        <v>12889</v>
      </c>
      <c r="E8357" t="s">
        <v>1074</v>
      </c>
      <c r="F8357" t="s">
        <v>99</v>
      </c>
      <c r="G8357" t="s">
        <v>237</v>
      </c>
      <c r="H8357" t="str">
        <f>"ΑΓ. ΙΩΑΝΝΟΥ 31 ΡΕΘΥΜΝΟ"</f>
        <v>ΑΓ. ΙΩΑΝΝΟΥ 31 ΡΕΘΥΜΝΟ</v>
      </c>
      <c r="I8357">
        <v>74132</v>
      </c>
      <c r="J8357">
        <v>2831057264</v>
      </c>
      <c r="K8357">
        <v>6932575644</v>
      </c>
      <c r="M8357" t="s">
        <v>12890</v>
      </c>
      <c r="N8357" t="s">
        <v>615</v>
      </c>
      <c r="O8357" t="s">
        <v>616</v>
      </c>
      <c r="R8357" t="s">
        <v>57</v>
      </c>
      <c r="S8357">
        <v>17</v>
      </c>
      <c r="T8357">
        <v>281</v>
      </c>
      <c r="U8357" s="1">
        <v>30558</v>
      </c>
      <c r="V8357" t="s">
        <v>66</v>
      </c>
      <c r="W8357" t="s">
        <v>67</v>
      </c>
      <c r="X8357" t="s">
        <v>58</v>
      </c>
      <c r="Y8357">
        <v>21</v>
      </c>
      <c r="Z8357" t="s">
        <v>59</v>
      </c>
      <c r="AA8357" t="s">
        <v>59</v>
      </c>
      <c r="AB8357" t="s">
        <v>59</v>
      </c>
      <c r="AC8357" t="s">
        <v>59</v>
      </c>
      <c r="AD8357" t="s">
        <v>59</v>
      </c>
      <c r="AF8357" s="1">
        <v>30567</v>
      </c>
      <c r="AG8357" t="s">
        <v>8645</v>
      </c>
      <c r="AH8357" t="s">
        <v>8646</v>
      </c>
      <c r="AI8357" t="str">
        <f>"9410263"</f>
        <v>9410263</v>
      </c>
      <c r="AJ8357" t="s">
        <v>12672</v>
      </c>
      <c r="AK8357">
        <v>2831053818</v>
      </c>
      <c r="AL8357" t="s">
        <v>12673</v>
      </c>
      <c r="AM8357" t="s">
        <v>64</v>
      </c>
      <c r="AN8357" t="s">
        <v>65</v>
      </c>
      <c r="AO8357" t="s">
        <v>65</v>
      </c>
      <c r="AP8357" t="s">
        <v>65</v>
      </c>
      <c r="AQ8357">
        <v>1</v>
      </c>
      <c r="AR8357" t="s">
        <v>66</v>
      </c>
      <c r="AS8357" t="s">
        <v>67</v>
      </c>
      <c r="AT8357" t="s">
        <v>58</v>
      </c>
      <c r="AU8357" t="s">
        <v>68</v>
      </c>
      <c r="AV8357" t="s">
        <v>69</v>
      </c>
      <c r="AW8357" s="1">
        <v>22056</v>
      </c>
      <c r="AX8357">
        <v>1</v>
      </c>
    </row>
    <row r="8358" spans="1:50">
      <c r="A8358">
        <v>601289</v>
      </c>
      <c r="B8358" t="str">
        <f>"109103383"</f>
        <v>109103383</v>
      </c>
      <c r="C8358" t="s">
        <v>50</v>
      </c>
      <c r="D8358" t="s">
        <v>970</v>
      </c>
      <c r="E8358" t="s">
        <v>12891</v>
      </c>
      <c r="F8358" t="s">
        <v>95</v>
      </c>
      <c r="G8358" t="s">
        <v>4455</v>
      </c>
      <c r="H8358" t="str">
        <f>"ΜΑΧΗΣ ΚΡΗΤΗΣ  99 ΡΕΘΥΜΝΟ"</f>
        <v>ΜΑΧΗΣ ΚΡΗΤΗΣ  99 ΡΕΘΥΜΝΟ</v>
      </c>
      <c r="I8358">
        <v>74100</v>
      </c>
      <c r="J8358">
        <v>2831056396</v>
      </c>
      <c r="K8358">
        <v>6945298682</v>
      </c>
      <c r="N8358" t="s">
        <v>615</v>
      </c>
      <c r="O8358" t="s">
        <v>616</v>
      </c>
      <c r="R8358" t="s">
        <v>57</v>
      </c>
      <c r="S8358">
        <v>8</v>
      </c>
      <c r="T8358" t="s">
        <v>12640</v>
      </c>
      <c r="U8358" s="1">
        <v>37502</v>
      </c>
      <c r="V8358" t="s">
        <v>66</v>
      </c>
      <c r="W8358" t="s">
        <v>67</v>
      </c>
      <c r="X8358" t="s">
        <v>58</v>
      </c>
      <c r="Y8358">
        <v>22</v>
      </c>
      <c r="Z8358" t="s">
        <v>59</v>
      </c>
      <c r="AA8358" t="s">
        <v>59</v>
      </c>
      <c r="AB8358" t="s">
        <v>59</v>
      </c>
      <c r="AC8358" t="s">
        <v>59</v>
      </c>
      <c r="AD8358" t="s">
        <v>59</v>
      </c>
      <c r="AF8358" s="1">
        <v>37866</v>
      </c>
      <c r="AG8358" t="s">
        <v>8645</v>
      </c>
      <c r="AH8358" t="s">
        <v>8646</v>
      </c>
      <c r="AI8358" t="str">
        <f>"9410030"</f>
        <v>9410030</v>
      </c>
      <c r="AJ8358" t="s">
        <v>12743</v>
      </c>
      <c r="AK8358">
        <v>2834093217</v>
      </c>
      <c r="AL8358" t="s">
        <v>12744</v>
      </c>
      <c r="AM8358" t="s">
        <v>64</v>
      </c>
      <c r="AN8358" t="s">
        <v>65</v>
      </c>
      <c r="AO8358" t="s">
        <v>12694</v>
      </c>
      <c r="AP8358" t="s">
        <v>12745</v>
      </c>
      <c r="AQ8358">
        <v>3</v>
      </c>
      <c r="AR8358" t="s">
        <v>66</v>
      </c>
      <c r="AS8358" t="s">
        <v>67</v>
      </c>
      <c r="AT8358" t="s">
        <v>58</v>
      </c>
      <c r="AU8358" t="s">
        <v>68</v>
      </c>
      <c r="AV8358" t="s">
        <v>69</v>
      </c>
      <c r="AW8358" s="1">
        <v>26981</v>
      </c>
      <c r="AX8358">
        <v>1</v>
      </c>
    </row>
    <row r="8359" spans="1:50">
      <c r="B8359" t="str">
        <f>"149628815"</f>
        <v>149628815</v>
      </c>
      <c r="C8359" t="s">
        <v>50</v>
      </c>
      <c r="D8359" t="s">
        <v>970</v>
      </c>
      <c r="E8359" t="s">
        <v>109</v>
      </c>
      <c r="F8359" t="s">
        <v>53</v>
      </c>
      <c r="G8359" t="s">
        <v>553</v>
      </c>
      <c r="H8359" t="str">
        <f>" "</f>
        <v xml:space="preserve"> </v>
      </c>
      <c r="N8359" t="s">
        <v>615</v>
      </c>
      <c r="O8359" t="s">
        <v>616</v>
      </c>
      <c r="R8359" t="s">
        <v>121</v>
      </c>
      <c r="S8359">
        <v>3</v>
      </c>
      <c r="T8359" t="s">
        <v>8675</v>
      </c>
      <c r="U8359" s="1">
        <v>43348</v>
      </c>
      <c r="V8359" t="s">
        <v>66</v>
      </c>
      <c r="W8359" t="s">
        <v>67</v>
      </c>
      <c r="X8359" t="s">
        <v>58</v>
      </c>
      <c r="Y8359">
        <v>24</v>
      </c>
      <c r="Z8359" t="s">
        <v>59</v>
      </c>
      <c r="AA8359" t="s">
        <v>59</v>
      </c>
      <c r="AB8359" t="s">
        <v>59</v>
      </c>
      <c r="AD8359" t="s">
        <v>59</v>
      </c>
      <c r="AF8359" s="1">
        <v>43348</v>
      </c>
      <c r="AG8359" t="s">
        <v>8645</v>
      </c>
      <c r="AH8359" t="s">
        <v>8646</v>
      </c>
      <c r="AI8359" t="str">
        <f>"9410070"</f>
        <v>9410070</v>
      </c>
      <c r="AJ8359" t="s">
        <v>12757</v>
      </c>
      <c r="AK8359">
        <v>2831028583</v>
      </c>
      <c r="AL8359" t="s">
        <v>12758</v>
      </c>
      <c r="AM8359" t="s">
        <v>64</v>
      </c>
      <c r="AN8359" t="s">
        <v>65</v>
      </c>
      <c r="AO8359" t="s">
        <v>65</v>
      </c>
      <c r="AP8359" t="s">
        <v>65</v>
      </c>
      <c r="AQ8359">
        <v>1</v>
      </c>
      <c r="AR8359" t="s">
        <v>66</v>
      </c>
      <c r="AS8359" t="s">
        <v>67</v>
      </c>
      <c r="AT8359" t="s">
        <v>58</v>
      </c>
      <c r="AU8359" t="s">
        <v>8673</v>
      </c>
      <c r="AV8359" t="s">
        <v>132</v>
      </c>
      <c r="AW8359" s="1">
        <v>33016</v>
      </c>
      <c r="AX8359">
        <v>1</v>
      </c>
    </row>
    <row r="8360" spans="1:50">
      <c r="A8360">
        <v>588561</v>
      </c>
      <c r="B8360" t="str">
        <f>"064114016"</f>
        <v>064114016</v>
      </c>
      <c r="C8360" t="s">
        <v>50</v>
      </c>
      <c r="D8360" t="s">
        <v>12892</v>
      </c>
      <c r="E8360" t="s">
        <v>73</v>
      </c>
      <c r="F8360" t="s">
        <v>1308</v>
      </c>
      <c r="G8360" t="s">
        <v>52</v>
      </c>
      <c r="H8360" t="str">
        <f>"ΡΟΥΣΣΟΣΠΙΤΙ ΡΕΘΥΜΝΟ"</f>
        <v>ΡΟΥΣΣΟΣΠΙΤΙ ΡΕΘΥΜΝΟ</v>
      </c>
      <c r="I8360">
        <v>74100</v>
      </c>
      <c r="J8360">
        <v>2831075338</v>
      </c>
      <c r="K8360">
        <v>6955891447</v>
      </c>
      <c r="M8360" t="s">
        <v>12893</v>
      </c>
      <c r="N8360" t="s">
        <v>615</v>
      </c>
      <c r="O8360" t="s">
        <v>616</v>
      </c>
      <c r="R8360" t="s">
        <v>57</v>
      </c>
      <c r="S8360">
        <v>9</v>
      </c>
      <c r="T8360">
        <v>176</v>
      </c>
      <c r="U8360" s="1">
        <v>36403</v>
      </c>
      <c r="V8360" t="s">
        <v>66</v>
      </c>
      <c r="W8360" t="s">
        <v>67</v>
      </c>
      <c r="X8360" t="s">
        <v>58</v>
      </c>
      <c r="Y8360">
        <v>22</v>
      </c>
      <c r="Z8360" t="s">
        <v>59</v>
      </c>
      <c r="AA8360" t="s">
        <v>59</v>
      </c>
      <c r="AB8360" t="s">
        <v>59</v>
      </c>
      <c r="AC8360" t="s">
        <v>59</v>
      </c>
      <c r="AD8360" t="s">
        <v>59</v>
      </c>
      <c r="AF8360" s="1">
        <v>36405</v>
      </c>
      <c r="AG8360" t="s">
        <v>8645</v>
      </c>
      <c r="AH8360" t="s">
        <v>8646</v>
      </c>
      <c r="AI8360" t="str">
        <f>"9410241"</f>
        <v>9410241</v>
      </c>
      <c r="AJ8360" t="s">
        <v>12783</v>
      </c>
      <c r="AK8360">
        <v>2831022616</v>
      </c>
      <c r="AL8360" t="s">
        <v>12784</v>
      </c>
      <c r="AM8360" t="s">
        <v>64</v>
      </c>
      <c r="AN8360" t="s">
        <v>65</v>
      </c>
      <c r="AO8360" t="s">
        <v>65</v>
      </c>
      <c r="AP8360" t="s">
        <v>65</v>
      </c>
      <c r="AQ8360">
        <v>1</v>
      </c>
      <c r="AR8360" t="s">
        <v>66</v>
      </c>
      <c r="AS8360" t="s">
        <v>67</v>
      </c>
      <c r="AT8360" t="s">
        <v>58</v>
      </c>
      <c r="AU8360" t="s">
        <v>68</v>
      </c>
      <c r="AV8360" t="s">
        <v>69</v>
      </c>
      <c r="AW8360" s="1">
        <v>23547</v>
      </c>
      <c r="AX8360">
        <v>1</v>
      </c>
    </row>
    <row r="8361" spans="1:50">
      <c r="B8361" t="str">
        <f>"113620820"</f>
        <v>113620820</v>
      </c>
      <c r="C8361" t="s">
        <v>105</v>
      </c>
      <c r="D8361" t="s">
        <v>12035</v>
      </c>
      <c r="E8361" t="s">
        <v>108</v>
      </c>
      <c r="F8361" t="s">
        <v>53</v>
      </c>
      <c r="G8361" t="s">
        <v>96</v>
      </c>
      <c r="H8361" t="str">
        <f>"ΣΤΑΜΑΘΙΟΥΔΑΚΗ 70 ΡΕΘΥΜΝΟ"</f>
        <v>ΣΤΑΜΑΘΙΟΥΔΑΚΗ 70 ΡΕΘΥΜΝΟ</v>
      </c>
      <c r="I8361">
        <v>74100</v>
      </c>
      <c r="J8361">
        <v>2831024046</v>
      </c>
      <c r="K8361">
        <v>6974856951</v>
      </c>
      <c r="N8361" t="s">
        <v>337</v>
      </c>
      <c r="O8361" t="s">
        <v>338</v>
      </c>
      <c r="R8361" t="s">
        <v>159</v>
      </c>
      <c r="S8361">
        <v>3</v>
      </c>
      <c r="T8361" t="s">
        <v>8675</v>
      </c>
      <c r="U8361" s="1">
        <v>43348</v>
      </c>
      <c r="V8361" t="s">
        <v>66</v>
      </c>
      <c r="W8361" t="s">
        <v>67</v>
      </c>
      <c r="X8361" t="s">
        <v>58</v>
      </c>
      <c r="Y8361">
        <v>24</v>
      </c>
      <c r="Z8361" t="s">
        <v>59</v>
      </c>
      <c r="AA8361" t="s">
        <v>59</v>
      </c>
      <c r="AB8361" t="s">
        <v>59</v>
      </c>
      <c r="AC8361" t="s">
        <v>59</v>
      </c>
      <c r="AD8361" t="s">
        <v>59</v>
      </c>
      <c r="AF8361" s="1">
        <v>43348</v>
      </c>
      <c r="AG8361" t="s">
        <v>8645</v>
      </c>
      <c r="AH8361" t="s">
        <v>8646</v>
      </c>
      <c r="AI8361" t="str">
        <f>"9410051"</f>
        <v>9410051</v>
      </c>
      <c r="AJ8361" t="s">
        <v>12660</v>
      </c>
      <c r="AK8361">
        <v>2834022247</v>
      </c>
      <c r="AL8361" t="s">
        <v>12661</v>
      </c>
      <c r="AM8361" t="s">
        <v>64</v>
      </c>
      <c r="AN8361" t="s">
        <v>5672</v>
      </c>
      <c r="AO8361" t="s">
        <v>5673</v>
      </c>
      <c r="AP8361" t="s">
        <v>5689</v>
      </c>
      <c r="AQ8361">
        <v>7</v>
      </c>
      <c r="AR8361" t="s">
        <v>66</v>
      </c>
      <c r="AS8361" t="s">
        <v>67</v>
      </c>
      <c r="AT8361" t="s">
        <v>58</v>
      </c>
      <c r="AU8361" t="s">
        <v>8673</v>
      </c>
      <c r="AV8361" t="s">
        <v>132</v>
      </c>
      <c r="AW8361" s="1">
        <v>29196</v>
      </c>
      <c r="AX8361">
        <v>1</v>
      </c>
    </row>
    <row r="8362" spans="1:50">
      <c r="A8362">
        <v>604631</v>
      </c>
      <c r="B8362" t="str">
        <f>"128088381"</f>
        <v>128088381</v>
      </c>
      <c r="C8362" t="s">
        <v>50</v>
      </c>
      <c r="D8362" t="s">
        <v>12894</v>
      </c>
      <c r="E8362" t="s">
        <v>250</v>
      </c>
      <c r="F8362" t="s">
        <v>99</v>
      </c>
      <c r="G8362" t="s">
        <v>1155</v>
      </c>
      <c r="H8362" t="str">
        <f>"ΑΓΙΟΣ ΑΝΤΩΝΙΟΣ ΘΕΣΣΑΛΟΝΙΚΗ"</f>
        <v>ΑΓΙΟΣ ΑΝΤΩΝΙΟΣ ΘΕΣΣΑΛΟΝΙΚΗ</v>
      </c>
      <c r="I8362">
        <v>57006</v>
      </c>
      <c r="J8362">
        <v>2396041157</v>
      </c>
      <c r="K8362">
        <v>6944672687</v>
      </c>
      <c r="M8362" t="s">
        <v>12895</v>
      </c>
      <c r="N8362" t="s">
        <v>615</v>
      </c>
      <c r="O8362" t="s">
        <v>616</v>
      </c>
      <c r="R8362" t="s">
        <v>57</v>
      </c>
      <c r="S8362">
        <v>9</v>
      </c>
      <c r="T8362">
        <v>231</v>
      </c>
      <c r="U8362" s="1">
        <v>38230</v>
      </c>
      <c r="V8362" t="s">
        <v>66</v>
      </c>
      <c r="W8362" t="s">
        <v>67</v>
      </c>
      <c r="X8362" t="s">
        <v>58</v>
      </c>
      <c r="Y8362">
        <v>22</v>
      </c>
      <c r="Z8362" t="s">
        <v>59</v>
      </c>
      <c r="AA8362" t="s">
        <v>59</v>
      </c>
      <c r="AB8362" t="s">
        <v>59</v>
      </c>
      <c r="AC8362" t="s">
        <v>59</v>
      </c>
      <c r="AD8362" t="s">
        <v>59</v>
      </c>
      <c r="AF8362" s="1">
        <v>38231</v>
      </c>
      <c r="AG8362" t="s">
        <v>8645</v>
      </c>
      <c r="AH8362" t="s">
        <v>8646</v>
      </c>
      <c r="AI8362" t="str">
        <f>"9410067"</f>
        <v>9410067</v>
      </c>
      <c r="AJ8362" t="s">
        <v>12736</v>
      </c>
      <c r="AK8362">
        <v>2831022836</v>
      </c>
      <c r="AL8362" t="s">
        <v>12737</v>
      </c>
      <c r="AM8362" t="s">
        <v>64</v>
      </c>
      <c r="AN8362" t="s">
        <v>65</v>
      </c>
      <c r="AO8362" t="s">
        <v>65</v>
      </c>
      <c r="AP8362" t="s">
        <v>65</v>
      </c>
      <c r="AQ8362">
        <v>1</v>
      </c>
      <c r="AR8362" t="s">
        <v>66</v>
      </c>
      <c r="AS8362" t="s">
        <v>67</v>
      </c>
      <c r="AT8362" t="s">
        <v>58</v>
      </c>
      <c r="AU8362" t="s">
        <v>68</v>
      </c>
      <c r="AV8362" t="s">
        <v>69</v>
      </c>
      <c r="AW8362" s="1">
        <v>28604</v>
      </c>
      <c r="AX8362">
        <v>1</v>
      </c>
    </row>
    <row r="8363" spans="1:50">
      <c r="A8363">
        <v>601579</v>
      </c>
      <c r="B8363" t="str">
        <f>"109107148"</f>
        <v>109107148</v>
      </c>
      <c r="C8363" t="s">
        <v>50</v>
      </c>
      <c r="D8363" t="s">
        <v>12896</v>
      </c>
      <c r="E8363" t="s">
        <v>255</v>
      </c>
      <c r="F8363" t="s">
        <v>5974</v>
      </c>
      <c r="G8363" t="s">
        <v>5434</v>
      </c>
      <c r="H8363" t="str">
        <f>"ΣΤΑΜΑΘΙΟΥΔΑΚΗ 122 ΡΕΘΥΜΝΟ"</f>
        <v>ΣΤΑΜΑΘΙΟΥΔΑΚΗ 122 ΡΕΘΥΜΝΟ</v>
      </c>
      <c r="I8363">
        <v>74100</v>
      </c>
      <c r="J8363">
        <v>2831024299</v>
      </c>
      <c r="K8363">
        <v>6932003867</v>
      </c>
      <c r="N8363" t="s">
        <v>615</v>
      </c>
      <c r="O8363" t="s">
        <v>616</v>
      </c>
      <c r="R8363" t="s">
        <v>57</v>
      </c>
      <c r="S8363">
        <v>9</v>
      </c>
      <c r="T8363">
        <v>207</v>
      </c>
      <c r="U8363" s="1">
        <v>37866</v>
      </c>
      <c r="V8363" t="s">
        <v>66</v>
      </c>
      <c r="W8363" t="s">
        <v>67</v>
      </c>
      <c r="X8363" t="s">
        <v>58</v>
      </c>
      <c r="Y8363">
        <v>22</v>
      </c>
      <c r="Z8363" t="s">
        <v>59</v>
      </c>
      <c r="AA8363" t="s">
        <v>59</v>
      </c>
      <c r="AB8363" t="s">
        <v>59</v>
      </c>
      <c r="AC8363" t="s">
        <v>59</v>
      </c>
      <c r="AD8363" t="s">
        <v>59</v>
      </c>
      <c r="AF8363" s="1">
        <v>37866</v>
      </c>
      <c r="AG8363" t="s">
        <v>8645</v>
      </c>
      <c r="AH8363" t="s">
        <v>8646</v>
      </c>
      <c r="AI8363" t="str">
        <f>"9410155"</f>
        <v>9410155</v>
      </c>
      <c r="AJ8363" t="s">
        <v>12663</v>
      </c>
      <c r="AK8363">
        <v>2831028697</v>
      </c>
      <c r="AL8363" t="s">
        <v>12664</v>
      </c>
      <c r="AM8363" t="s">
        <v>64</v>
      </c>
      <c r="AN8363" t="s">
        <v>65</v>
      </c>
      <c r="AO8363" t="s">
        <v>65</v>
      </c>
      <c r="AP8363" t="s">
        <v>65</v>
      </c>
      <c r="AQ8363">
        <v>1</v>
      </c>
      <c r="AR8363" t="s">
        <v>66</v>
      </c>
      <c r="AS8363" t="s">
        <v>67</v>
      </c>
      <c r="AT8363" t="s">
        <v>58</v>
      </c>
      <c r="AU8363" t="s">
        <v>68</v>
      </c>
      <c r="AV8363" t="s">
        <v>69</v>
      </c>
      <c r="AW8363" s="1">
        <v>28669</v>
      </c>
      <c r="AX8363">
        <v>1</v>
      </c>
    </row>
    <row r="8364" spans="1:50">
      <c r="A8364">
        <v>619838</v>
      </c>
      <c r="B8364" t="str">
        <f>"045567350"</f>
        <v>045567350</v>
      </c>
      <c r="C8364" t="s">
        <v>105</v>
      </c>
      <c r="D8364" t="s">
        <v>12897</v>
      </c>
      <c r="E8364" t="s">
        <v>1320</v>
      </c>
      <c r="F8364" t="s">
        <v>5974</v>
      </c>
      <c r="G8364" t="s">
        <v>783</v>
      </c>
      <c r="H8364" t="str">
        <f>"ΚΑΛΟΜΕΝΟΠΟΥΛΟΥ  3 ΡΕΘΥΜΝΟ"</f>
        <v>ΚΑΛΟΜΕΝΟΠΟΥΛΟΥ  3 ΡΕΘΥΜΝΟ</v>
      </c>
      <c r="I8364">
        <v>74100</v>
      </c>
      <c r="J8364">
        <v>2831052573</v>
      </c>
      <c r="K8364">
        <v>6947814875</v>
      </c>
      <c r="N8364" t="s">
        <v>176</v>
      </c>
      <c r="O8364" t="s">
        <v>177</v>
      </c>
      <c r="R8364" t="s">
        <v>57</v>
      </c>
      <c r="S8364">
        <v>6</v>
      </c>
      <c r="T8364">
        <v>775</v>
      </c>
      <c r="U8364" s="1">
        <v>39680</v>
      </c>
      <c r="V8364" t="s">
        <v>66</v>
      </c>
      <c r="W8364" t="s">
        <v>67</v>
      </c>
      <c r="X8364" t="s">
        <v>58</v>
      </c>
      <c r="Y8364">
        <v>23</v>
      </c>
      <c r="Z8364" t="s">
        <v>59</v>
      </c>
      <c r="AA8364" t="s">
        <v>59</v>
      </c>
      <c r="AB8364" t="s">
        <v>59</v>
      </c>
      <c r="AC8364" t="s">
        <v>59</v>
      </c>
      <c r="AD8364" t="s">
        <v>59</v>
      </c>
      <c r="AF8364" s="1">
        <v>39682</v>
      </c>
      <c r="AG8364" t="s">
        <v>8645</v>
      </c>
      <c r="AH8364" t="s">
        <v>8646</v>
      </c>
      <c r="AI8364" t="str">
        <f>"9410155"</f>
        <v>9410155</v>
      </c>
      <c r="AJ8364" t="s">
        <v>12663</v>
      </c>
      <c r="AK8364">
        <v>2831028697</v>
      </c>
      <c r="AL8364" t="s">
        <v>12664</v>
      </c>
      <c r="AM8364" t="s">
        <v>64</v>
      </c>
      <c r="AN8364" t="s">
        <v>65</v>
      </c>
      <c r="AO8364" t="s">
        <v>65</v>
      </c>
      <c r="AP8364" t="s">
        <v>65</v>
      </c>
      <c r="AQ8364">
        <v>1</v>
      </c>
      <c r="AR8364" t="s">
        <v>66</v>
      </c>
      <c r="AS8364" t="s">
        <v>67</v>
      </c>
      <c r="AT8364" t="s">
        <v>58</v>
      </c>
      <c r="AU8364" t="s">
        <v>68</v>
      </c>
      <c r="AV8364" t="s">
        <v>69</v>
      </c>
      <c r="AW8364" s="1">
        <v>25075</v>
      </c>
      <c r="AX8364">
        <v>1</v>
      </c>
    </row>
    <row r="8365" spans="1:50">
      <c r="A8365">
        <v>612644</v>
      </c>
      <c r="B8365" t="str">
        <f>"045172604"</f>
        <v>045172604</v>
      </c>
      <c r="C8365" t="s">
        <v>50</v>
      </c>
      <c r="D8365" t="s">
        <v>12898</v>
      </c>
      <c r="E8365" t="s">
        <v>250</v>
      </c>
      <c r="F8365" t="s">
        <v>166</v>
      </c>
      <c r="G8365" t="s">
        <v>52</v>
      </c>
      <c r="H8365" t="str">
        <f>" "</f>
        <v xml:space="preserve"> </v>
      </c>
      <c r="J8365">
        <v>2834023055</v>
      </c>
      <c r="K8365">
        <v>6977762376</v>
      </c>
      <c r="N8365" t="s">
        <v>176</v>
      </c>
      <c r="O8365" t="s">
        <v>177</v>
      </c>
      <c r="R8365" t="s">
        <v>57</v>
      </c>
      <c r="S8365">
        <v>8</v>
      </c>
      <c r="T8365">
        <v>234</v>
      </c>
      <c r="U8365" s="1">
        <v>38960</v>
      </c>
      <c r="V8365" t="s">
        <v>66</v>
      </c>
      <c r="W8365" t="s">
        <v>67</v>
      </c>
      <c r="X8365" t="s">
        <v>58</v>
      </c>
      <c r="Y8365">
        <v>22</v>
      </c>
      <c r="Z8365" t="s">
        <v>59</v>
      </c>
      <c r="AA8365" t="s">
        <v>59</v>
      </c>
      <c r="AB8365" t="s">
        <v>59</v>
      </c>
      <c r="AC8365" t="s">
        <v>59</v>
      </c>
      <c r="AD8365" t="s">
        <v>59</v>
      </c>
      <c r="AF8365" s="1">
        <v>38961</v>
      </c>
      <c r="AG8365" t="s">
        <v>8645</v>
      </c>
      <c r="AH8365" t="s">
        <v>8646</v>
      </c>
      <c r="AI8365" t="str">
        <f>"9410226"</f>
        <v>9410226</v>
      </c>
      <c r="AJ8365" t="s">
        <v>12702</v>
      </c>
      <c r="AK8365">
        <v>2831071088</v>
      </c>
      <c r="AL8365" t="s">
        <v>12703</v>
      </c>
      <c r="AM8365" t="s">
        <v>64</v>
      </c>
      <c r="AN8365" t="s">
        <v>65</v>
      </c>
      <c r="AO8365" t="s">
        <v>12694</v>
      </c>
      <c r="AP8365" t="s">
        <v>12704</v>
      </c>
      <c r="AQ8365">
        <v>3</v>
      </c>
      <c r="AR8365" t="s">
        <v>66</v>
      </c>
      <c r="AS8365" t="s">
        <v>67</v>
      </c>
      <c r="AT8365" t="s">
        <v>58</v>
      </c>
      <c r="AU8365" t="s">
        <v>68</v>
      </c>
      <c r="AV8365" t="s">
        <v>69</v>
      </c>
      <c r="AW8365" s="1">
        <v>24767</v>
      </c>
      <c r="AX8365">
        <v>1</v>
      </c>
    </row>
    <row r="8366" spans="1:50">
      <c r="A8366">
        <v>547748</v>
      </c>
      <c r="B8366" t="str">
        <f>"025828784"</f>
        <v>025828784</v>
      </c>
      <c r="C8366" t="s">
        <v>105</v>
      </c>
      <c r="D8366" t="s">
        <v>5850</v>
      </c>
      <c r="E8366" t="s">
        <v>1023</v>
      </c>
      <c r="F8366" t="s">
        <v>92</v>
      </c>
      <c r="G8366" t="s">
        <v>1452</v>
      </c>
      <c r="H8366" t="str">
        <f>"Παπανικολάου 5 Ρέθυμνο"</f>
        <v>Παπανικολάου 5 Ρέθυμνο</v>
      </c>
      <c r="I8366">
        <v>74100</v>
      </c>
      <c r="J8366">
        <v>2831026779</v>
      </c>
      <c r="K8366">
        <v>6939511343</v>
      </c>
      <c r="M8366" t="s">
        <v>12899</v>
      </c>
      <c r="N8366" t="s">
        <v>615</v>
      </c>
      <c r="O8366" t="s">
        <v>616</v>
      </c>
      <c r="R8366" t="s">
        <v>57</v>
      </c>
      <c r="S8366">
        <v>18</v>
      </c>
      <c r="T8366">
        <v>293</v>
      </c>
      <c r="U8366" s="1">
        <v>30218</v>
      </c>
      <c r="V8366" t="s">
        <v>66</v>
      </c>
      <c r="W8366" t="s">
        <v>67</v>
      </c>
      <c r="X8366" t="s">
        <v>58</v>
      </c>
      <c r="Y8366">
        <v>21</v>
      </c>
      <c r="Z8366" t="s">
        <v>59</v>
      </c>
      <c r="AA8366" t="s">
        <v>59</v>
      </c>
      <c r="AB8366" t="s">
        <v>59</v>
      </c>
      <c r="AC8366" t="s">
        <v>59</v>
      </c>
      <c r="AD8366" t="s">
        <v>59</v>
      </c>
      <c r="AF8366" s="1">
        <v>30230</v>
      </c>
      <c r="AG8366" t="s">
        <v>8645</v>
      </c>
      <c r="AH8366" t="s">
        <v>8646</v>
      </c>
      <c r="AI8366" t="str">
        <f>"9410155"</f>
        <v>9410155</v>
      </c>
      <c r="AJ8366" t="s">
        <v>12663</v>
      </c>
      <c r="AK8366">
        <v>2831028697</v>
      </c>
      <c r="AL8366" t="s">
        <v>12664</v>
      </c>
      <c r="AM8366" t="s">
        <v>64</v>
      </c>
      <c r="AN8366" t="s">
        <v>65</v>
      </c>
      <c r="AO8366" t="s">
        <v>65</v>
      </c>
      <c r="AP8366" t="s">
        <v>65</v>
      </c>
      <c r="AQ8366">
        <v>1</v>
      </c>
      <c r="AR8366" t="s">
        <v>66</v>
      </c>
      <c r="AS8366" t="s">
        <v>67</v>
      </c>
      <c r="AT8366" t="s">
        <v>58</v>
      </c>
      <c r="AU8366" t="s">
        <v>68</v>
      </c>
      <c r="AV8366" t="s">
        <v>69</v>
      </c>
      <c r="AW8366" s="1">
        <v>21283</v>
      </c>
      <c r="AX8366">
        <v>1</v>
      </c>
    </row>
    <row r="8367" spans="1:50">
      <c r="B8367" t="str">
        <f>"143676389"</f>
        <v>143676389</v>
      </c>
      <c r="C8367" t="s">
        <v>105</v>
      </c>
      <c r="D8367" t="s">
        <v>5850</v>
      </c>
      <c r="E8367" t="s">
        <v>12900</v>
      </c>
      <c r="F8367" t="s">
        <v>1023</v>
      </c>
      <c r="G8367" t="s">
        <v>181</v>
      </c>
      <c r="H8367" t="str">
        <f>"ΠΑΠΑΝΙΚΟΛΑΟΥ 5 ΡΕΘΥΜΝΟ"</f>
        <v>ΠΑΠΑΝΙΚΟΛΑΟΥ 5 ΡΕΘΥΜΝΟ</v>
      </c>
      <c r="I8367">
        <v>74100</v>
      </c>
      <c r="J8367">
        <v>2831026779</v>
      </c>
      <c r="K8367">
        <v>6987141149</v>
      </c>
      <c r="M8367" t="s">
        <v>12901</v>
      </c>
      <c r="N8367" t="s">
        <v>615</v>
      </c>
      <c r="O8367" t="s">
        <v>616</v>
      </c>
      <c r="R8367" t="s">
        <v>159</v>
      </c>
      <c r="S8367">
        <v>5</v>
      </c>
      <c r="T8367" t="s">
        <v>8675</v>
      </c>
      <c r="U8367" s="1">
        <v>43348</v>
      </c>
      <c r="V8367" t="s">
        <v>66</v>
      </c>
      <c r="W8367" t="s">
        <v>67</v>
      </c>
      <c r="X8367" t="s">
        <v>58</v>
      </c>
      <c r="Y8367">
        <v>24</v>
      </c>
      <c r="Z8367" t="s">
        <v>59</v>
      </c>
      <c r="AA8367" t="s">
        <v>59</v>
      </c>
      <c r="AB8367" t="s">
        <v>59</v>
      </c>
      <c r="AC8367" t="s">
        <v>59</v>
      </c>
      <c r="AD8367" t="s">
        <v>59</v>
      </c>
      <c r="AF8367" s="1">
        <v>43348</v>
      </c>
      <c r="AG8367" t="s">
        <v>8645</v>
      </c>
      <c r="AH8367" t="s">
        <v>8646</v>
      </c>
      <c r="AI8367" t="str">
        <f>"9410006"</f>
        <v>9410006</v>
      </c>
      <c r="AJ8367" t="s">
        <v>12902</v>
      </c>
      <c r="AK8367">
        <v>2834022320</v>
      </c>
      <c r="AL8367" t="s">
        <v>12903</v>
      </c>
      <c r="AM8367" t="s">
        <v>64</v>
      </c>
      <c r="AN8367" t="s">
        <v>5672</v>
      </c>
      <c r="AO8367" t="s">
        <v>5673</v>
      </c>
      <c r="AP8367" t="s">
        <v>12904</v>
      </c>
      <c r="AQ8367">
        <v>8</v>
      </c>
      <c r="AR8367" t="s">
        <v>66</v>
      </c>
      <c r="AS8367" t="s">
        <v>67</v>
      </c>
      <c r="AT8367" t="s">
        <v>58</v>
      </c>
      <c r="AU8367" t="s">
        <v>8673</v>
      </c>
      <c r="AV8367" t="s">
        <v>132</v>
      </c>
      <c r="AW8367" s="1">
        <v>32064</v>
      </c>
      <c r="AX8367">
        <v>1</v>
      </c>
    </row>
    <row r="8368" spans="1:50">
      <c r="B8368" t="str">
        <f>"152633873"</f>
        <v>152633873</v>
      </c>
      <c r="C8368" t="s">
        <v>50</v>
      </c>
      <c r="D8368" t="s">
        <v>12905</v>
      </c>
      <c r="E8368" t="s">
        <v>3150</v>
      </c>
      <c r="F8368" t="s">
        <v>920</v>
      </c>
      <c r="G8368" t="s">
        <v>52</v>
      </c>
      <c r="H8368" t="str">
        <f>" "</f>
        <v xml:space="preserve"> </v>
      </c>
      <c r="N8368" t="s">
        <v>8694</v>
      </c>
      <c r="O8368" t="s">
        <v>8695</v>
      </c>
      <c r="R8368" t="s">
        <v>121</v>
      </c>
      <c r="S8368">
        <v>1</v>
      </c>
      <c r="T8368" t="s">
        <v>8835</v>
      </c>
      <c r="U8368" s="1">
        <v>43348</v>
      </c>
      <c r="V8368" t="s">
        <v>66</v>
      </c>
      <c r="W8368" t="s">
        <v>67</v>
      </c>
      <c r="X8368" t="s">
        <v>58</v>
      </c>
      <c r="Y8368">
        <v>24</v>
      </c>
      <c r="Z8368" t="s">
        <v>59</v>
      </c>
      <c r="AA8368" t="s">
        <v>59</v>
      </c>
      <c r="AB8368" t="s">
        <v>59</v>
      </c>
      <c r="AC8368" t="s">
        <v>59</v>
      </c>
      <c r="AD8368" t="s">
        <v>59</v>
      </c>
      <c r="AF8368" s="1">
        <v>43348</v>
      </c>
      <c r="AG8368" t="s">
        <v>8645</v>
      </c>
      <c r="AH8368" t="s">
        <v>8646</v>
      </c>
      <c r="AI8368" t="str">
        <f>"9410038"</f>
        <v>9410038</v>
      </c>
      <c r="AJ8368" t="s">
        <v>12669</v>
      </c>
      <c r="AK8368">
        <v>2834061471</v>
      </c>
      <c r="AL8368" t="s">
        <v>12670</v>
      </c>
      <c r="AM8368" t="s">
        <v>64</v>
      </c>
      <c r="AN8368" t="s">
        <v>5672</v>
      </c>
      <c r="AO8368" t="s">
        <v>5698</v>
      </c>
      <c r="AP8368" t="s">
        <v>5699</v>
      </c>
      <c r="AQ8368">
        <v>9</v>
      </c>
      <c r="AR8368" t="s">
        <v>66</v>
      </c>
      <c r="AS8368" t="s">
        <v>67</v>
      </c>
      <c r="AT8368" t="s">
        <v>58</v>
      </c>
      <c r="AU8368" t="s">
        <v>131</v>
      </c>
      <c r="AV8368" t="s">
        <v>132</v>
      </c>
      <c r="AW8368" s="1">
        <v>34471</v>
      </c>
      <c r="AX8368">
        <v>1</v>
      </c>
    </row>
    <row r="8369" spans="1:50">
      <c r="A8369">
        <v>575662</v>
      </c>
      <c r="B8369" t="str">
        <f>"063213229"</f>
        <v>063213229</v>
      </c>
      <c r="C8369" t="s">
        <v>50</v>
      </c>
      <c r="D8369" t="s">
        <v>12906</v>
      </c>
      <c r="E8369" t="s">
        <v>143</v>
      </c>
      <c r="F8369" t="s">
        <v>377</v>
      </c>
      <c r="G8369" t="s">
        <v>440</v>
      </c>
      <c r="H8369" t="str">
        <f>" "</f>
        <v xml:space="preserve"> </v>
      </c>
      <c r="N8369" t="s">
        <v>615</v>
      </c>
      <c r="O8369" t="s">
        <v>616</v>
      </c>
      <c r="R8369" t="s">
        <v>57</v>
      </c>
      <c r="S8369">
        <v>13</v>
      </c>
      <c r="T8369">
        <v>184</v>
      </c>
      <c r="U8369" s="1">
        <v>34941</v>
      </c>
      <c r="V8369" t="s">
        <v>66</v>
      </c>
      <c r="W8369" t="s">
        <v>67</v>
      </c>
      <c r="X8369" t="s">
        <v>58</v>
      </c>
      <c r="Y8369">
        <v>21</v>
      </c>
      <c r="Z8369" t="s">
        <v>59</v>
      </c>
      <c r="AA8369" t="s">
        <v>59</v>
      </c>
      <c r="AB8369" t="s">
        <v>59</v>
      </c>
      <c r="AC8369" t="s">
        <v>59</v>
      </c>
      <c r="AD8369" t="s">
        <v>59</v>
      </c>
      <c r="AF8369" s="1">
        <v>34949</v>
      </c>
      <c r="AG8369" t="s">
        <v>8645</v>
      </c>
      <c r="AH8369" t="s">
        <v>8646</v>
      </c>
      <c r="AI8369" t="str">
        <f>"9410226"</f>
        <v>9410226</v>
      </c>
      <c r="AJ8369" t="s">
        <v>12702</v>
      </c>
      <c r="AK8369">
        <v>2831071088</v>
      </c>
      <c r="AL8369" t="s">
        <v>12703</v>
      </c>
      <c r="AM8369" t="s">
        <v>64</v>
      </c>
      <c r="AN8369" t="s">
        <v>65</v>
      </c>
      <c r="AO8369" t="s">
        <v>12694</v>
      </c>
      <c r="AP8369" t="s">
        <v>12704</v>
      </c>
      <c r="AQ8369">
        <v>3</v>
      </c>
      <c r="AR8369" t="s">
        <v>66</v>
      </c>
      <c r="AS8369" t="s">
        <v>67</v>
      </c>
      <c r="AT8369" t="s">
        <v>58</v>
      </c>
      <c r="AU8369" t="s">
        <v>68</v>
      </c>
      <c r="AV8369" t="s">
        <v>69</v>
      </c>
      <c r="AW8369" s="1">
        <v>24255</v>
      </c>
      <c r="AX8369">
        <v>1</v>
      </c>
    </row>
    <row r="8370" spans="1:50">
      <c r="A8370">
        <v>586848</v>
      </c>
      <c r="B8370" t="str">
        <f>"059799694"</f>
        <v>059799694</v>
      </c>
      <c r="C8370" t="s">
        <v>50</v>
      </c>
      <c r="D8370" t="s">
        <v>1018</v>
      </c>
      <c r="E8370" t="s">
        <v>5284</v>
      </c>
      <c r="F8370" t="s">
        <v>53</v>
      </c>
      <c r="G8370" t="s">
        <v>3648</v>
      </c>
      <c r="H8370" t="str">
        <f>"Λ.ΕΜΜ. ΠΟΡΤΑΛΙΟΥ 24 ΡΕΘΥΜΝΟ"</f>
        <v>Λ.ΕΜΜ. ΠΟΡΤΑΛΙΟΥ 24 ΡΕΘΥΜΝΟ</v>
      </c>
      <c r="I8370">
        <v>74100</v>
      </c>
      <c r="J8370">
        <v>2831025101</v>
      </c>
      <c r="K8370">
        <v>6973832957</v>
      </c>
      <c r="N8370" t="s">
        <v>1525</v>
      </c>
      <c r="O8370" t="s">
        <v>1526</v>
      </c>
      <c r="R8370" t="s">
        <v>57</v>
      </c>
      <c r="S8370">
        <v>11</v>
      </c>
      <c r="T8370">
        <v>165</v>
      </c>
      <c r="U8370" s="1">
        <v>36040</v>
      </c>
      <c r="V8370" t="s">
        <v>66</v>
      </c>
      <c r="W8370" t="s">
        <v>67</v>
      </c>
      <c r="X8370" t="s">
        <v>58</v>
      </c>
      <c r="Y8370">
        <v>25</v>
      </c>
      <c r="Z8370" t="s">
        <v>59</v>
      </c>
      <c r="AA8370" t="s">
        <v>59</v>
      </c>
      <c r="AB8370" t="s">
        <v>59</v>
      </c>
      <c r="AC8370" t="s">
        <v>59</v>
      </c>
      <c r="AD8370" t="s">
        <v>59</v>
      </c>
      <c r="AF8370" s="1">
        <v>36040</v>
      </c>
      <c r="AG8370" t="s">
        <v>8651</v>
      </c>
      <c r="AH8370" t="s">
        <v>8652</v>
      </c>
      <c r="AI8370" t="str">
        <f>"9410247"</f>
        <v>9410247</v>
      </c>
      <c r="AJ8370" t="s">
        <v>12907</v>
      </c>
      <c r="AK8370">
        <v>2831022381</v>
      </c>
      <c r="AL8370" t="s">
        <v>12908</v>
      </c>
      <c r="AM8370" t="s">
        <v>64</v>
      </c>
      <c r="AN8370" t="s">
        <v>65</v>
      </c>
      <c r="AO8370" t="s">
        <v>65</v>
      </c>
      <c r="AP8370" t="s">
        <v>65</v>
      </c>
      <c r="AQ8370">
        <v>1</v>
      </c>
      <c r="AR8370" t="s">
        <v>66</v>
      </c>
      <c r="AS8370" t="s">
        <v>67</v>
      </c>
      <c r="AT8370" t="s">
        <v>58</v>
      </c>
      <c r="AU8370" t="s">
        <v>68</v>
      </c>
      <c r="AV8370" t="s">
        <v>69</v>
      </c>
      <c r="AW8370" s="1">
        <v>24120</v>
      </c>
      <c r="AX8370">
        <v>1</v>
      </c>
    </row>
    <row r="8371" spans="1:50">
      <c r="A8371">
        <v>588546</v>
      </c>
      <c r="B8371" t="str">
        <f>"054497482"</f>
        <v>054497482</v>
      </c>
      <c r="C8371" t="s">
        <v>105</v>
      </c>
      <c r="D8371" t="s">
        <v>12909</v>
      </c>
      <c r="E8371" t="s">
        <v>84</v>
      </c>
      <c r="F8371" t="s">
        <v>670</v>
      </c>
      <c r="G8371" t="s">
        <v>290</v>
      </c>
      <c r="H8371" t="str">
        <f>"ΑΣΚΟΥΤΣΗ  ΒΙΟΛΙ ΧΑΡΑΚΙ"</f>
        <v>ΑΣΚΟΥΤΣΗ  ΒΙΟΛΙ ΧΑΡΑΚΙ</v>
      </c>
      <c r="I8371">
        <v>74100</v>
      </c>
      <c r="J8371">
        <v>2831051578</v>
      </c>
      <c r="K8371">
        <v>6974246356</v>
      </c>
      <c r="L8371">
        <v>6906476987</v>
      </c>
      <c r="M8371" t="s">
        <v>12910</v>
      </c>
      <c r="N8371" t="s">
        <v>615</v>
      </c>
      <c r="O8371" t="s">
        <v>616</v>
      </c>
      <c r="P8371" t="s">
        <v>257</v>
      </c>
      <c r="Q8371" t="s">
        <v>258</v>
      </c>
      <c r="R8371" t="s">
        <v>57</v>
      </c>
      <c r="S8371">
        <v>13</v>
      </c>
      <c r="T8371">
        <v>176</v>
      </c>
      <c r="U8371" s="1">
        <v>36403</v>
      </c>
      <c r="V8371" t="s">
        <v>66</v>
      </c>
      <c r="W8371" t="s">
        <v>67</v>
      </c>
      <c r="X8371" t="s">
        <v>58</v>
      </c>
      <c r="Y8371">
        <v>21</v>
      </c>
      <c r="Z8371" t="s">
        <v>59</v>
      </c>
      <c r="AA8371" t="s">
        <v>59</v>
      </c>
      <c r="AB8371" t="s">
        <v>59</v>
      </c>
      <c r="AC8371" t="s">
        <v>59</v>
      </c>
      <c r="AD8371" t="s">
        <v>59</v>
      </c>
      <c r="AF8371" s="1">
        <v>36404</v>
      </c>
      <c r="AG8371" t="s">
        <v>8645</v>
      </c>
      <c r="AH8371" t="s">
        <v>8646</v>
      </c>
      <c r="AI8371" t="str">
        <f>"9410167"</f>
        <v>9410167</v>
      </c>
      <c r="AJ8371" t="s">
        <v>12911</v>
      </c>
      <c r="AK8371">
        <v>2831031455</v>
      </c>
      <c r="AL8371" t="s">
        <v>12912</v>
      </c>
      <c r="AM8371" t="s">
        <v>64</v>
      </c>
      <c r="AN8371" t="s">
        <v>65</v>
      </c>
      <c r="AO8371" t="s">
        <v>5720</v>
      </c>
      <c r="AP8371" t="s">
        <v>12913</v>
      </c>
      <c r="AQ8371">
        <v>2</v>
      </c>
      <c r="AR8371" t="s">
        <v>66</v>
      </c>
      <c r="AS8371" t="s">
        <v>67</v>
      </c>
      <c r="AT8371" t="s">
        <v>58</v>
      </c>
      <c r="AU8371" t="s">
        <v>68</v>
      </c>
      <c r="AV8371" t="s">
        <v>69</v>
      </c>
      <c r="AW8371" s="1">
        <v>24771</v>
      </c>
      <c r="AX8371">
        <v>1</v>
      </c>
    </row>
    <row r="8372" spans="1:50">
      <c r="A8372">
        <v>594138</v>
      </c>
      <c r="B8372" t="str">
        <f>"039865361"</f>
        <v>039865361</v>
      </c>
      <c r="C8372" t="s">
        <v>50</v>
      </c>
      <c r="D8372" t="s">
        <v>12914</v>
      </c>
      <c r="E8372" t="s">
        <v>580</v>
      </c>
      <c r="F8372" t="s">
        <v>53</v>
      </c>
      <c r="G8372" t="s">
        <v>316</v>
      </c>
      <c r="H8372" t="str">
        <f>"ΛΙΣΣΟΥ 12 ΗΡΑΚΛΕΙΟ"</f>
        <v>ΛΙΣΣΟΥ 12 ΗΡΑΚΛΕΙΟ</v>
      </c>
      <c r="I8372">
        <v>71304</v>
      </c>
      <c r="J8372">
        <v>2810256346</v>
      </c>
      <c r="K8372">
        <v>6975715123</v>
      </c>
      <c r="N8372" t="s">
        <v>615</v>
      </c>
      <c r="O8372" t="s">
        <v>616</v>
      </c>
      <c r="R8372" t="s">
        <v>57</v>
      </c>
      <c r="S8372">
        <v>14</v>
      </c>
      <c r="T8372">
        <v>218</v>
      </c>
      <c r="U8372" s="1">
        <v>37134</v>
      </c>
      <c r="V8372" t="s">
        <v>66</v>
      </c>
      <c r="W8372" t="s">
        <v>67</v>
      </c>
      <c r="X8372" t="s">
        <v>58</v>
      </c>
      <c r="Y8372">
        <v>22</v>
      </c>
      <c r="Z8372" t="s">
        <v>59</v>
      </c>
      <c r="AA8372" t="s">
        <v>59</v>
      </c>
      <c r="AB8372" t="s">
        <v>59</v>
      </c>
      <c r="AC8372" t="s">
        <v>59</v>
      </c>
      <c r="AD8372" t="s">
        <v>59</v>
      </c>
      <c r="AF8372" s="1">
        <v>37138</v>
      </c>
      <c r="AG8372" t="s">
        <v>8645</v>
      </c>
      <c r="AH8372" t="s">
        <v>8646</v>
      </c>
      <c r="AI8372" t="str">
        <f>"9410070"</f>
        <v>9410070</v>
      </c>
      <c r="AJ8372" t="s">
        <v>12757</v>
      </c>
      <c r="AK8372">
        <v>2831028583</v>
      </c>
      <c r="AL8372" t="s">
        <v>12758</v>
      </c>
      <c r="AM8372" t="s">
        <v>64</v>
      </c>
      <c r="AN8372" t="s">
        <v>65</v>
      </c>
      <c r="AO8372" t="s">
        <v>65</v>
      </c>
      <c r="AP8372" t="s">
        <v>65</v>
      </c>
      <c r="AQ8372">
        <v>1</v>
      </c>
      <c r="AR8372" t="s">
        <v>66</v>
      </c>
      <c r="AS8372" t="s">
        <v>67</v>
      </c>
      <c r="AT8372" t="s">
        <v>58</v>
      </c>
      <c r="AU8372" t="s">
        <v>68</v>
      </c>
      <c r="AV8372" t="s">
        <v>69</v>
      </c>
      <c r="AW8372" s="1">
        <v>26269</v>
      </c>
      <c r="AX8372">
        <v>1</v>
      </c>
    </row>
    <row r="8373" spans="1:50">
      <c r="A8373">
        <v>622388</v>
      </c>
      <c r="B8373" t="str">
        <f>"140002470"</f>
        <v>140002470</v>
      </c>
      <c r="C8373" t="s">
        <v>50</v>
      </c>
      <c r="D8373" t="s">
        <v>12914</v>
      </c>
      <c r="E8373" t="s">
        <v>263</v>
      </c>
      <c r="F8373" t="s">
        <v>53</v>
      </c>
      <c r="G8373" t="s">
        <v>73</v>
      </c>
      <c r="H8373" t="str">
        <f>"ΣΗΦΗ ΒΛΑΣΤΟΥ 16 ΡΕΘΥΜΝΟ"</f>
        <v>ΣΗΦΗ ΒΛΑΣΤΟΥ 16 ΡΕΘΥΜΝΟ</v>
      </c>
      <c r="I8373">
        <v>74100</v>
      </c>
      <c r="J8373">
        <v>2842094724</v>
      </c>
      <c r="K8373">
        <v>6972455645</v>
      </c>
      <c r="M8373" t="s">
        <v>12915</v>
      </c>
      <c r="N8373" t="s">
        <v>1525</v>
      </c>
      <c r="O8373" t="s">
        <v>1526</v>
      </c>
      <c r="R8373" t="s">
        <v>57</v>
      </c>
      <c r="S8373">
        <v>7</v>
      </c>
      <c r="T8373">
        <v>653</v>
      </c>
      <c r="U8373" s="1">
        <v>40043</v>
      </c>
      <c r="V8373" t="s">
        <v>66</v>
      </c>
      <c r="W8373" t="s">
        <v>67</v>
      </c>
      <c r="X8373" t="s">
        <v>58</v>
      </c>
      <c r="Y8373">
        <v>25</v>
      </c>
      <c r="Z8373" t="s">
        <v>59</v>
      </c>
      <c r="AA8373" t="s">
        <v>59</v>
      </c>
      <c r="AB8373" t="s">
        <v>59</v>
      </c>
      <c r="AC8373" t="s">
        <v>59</v>
      </c>
      <c r="AD8373" t="s">
        <v>59</v>
      </c>
      <c r="AF8373" s="1">
        <v>40044</v>
      </c>
      <c r="AG8373" t="s">
        <v>8651</v>
      </c>
      <c r="AH8373" t="s">
        <v>8652</v>
      </c>
      <c r="AI8373" t="str">
        <f>"9410262"</f>
        <v>9410262</v>
      </c>
      <c r="AJ8373" t="s">
        <v>12916</v>
      </c>
      <c r="AK8373">
        <v>2834023460</v>
      </c>
      <c r="AL8373" t="s">
        <v>12917</v>
      </c>
      <c r="AM8373" t="s">
        <v>64</v>
      </c>
      <c r="AN8373" t="s">
        <v>5672</v>
      </c>
      <c r="AO8373" t="s">
        <v>5673</v>
      </c>
      <c r="AP8373" t="s">
        <v>12918</v>
      </c>
      <c r="AQ8373">
        <v>8</v>
      </c>
      <c r="AR8373" t="s">
        <v>66</v>
      </c>
      <c r="AS8373" t="s">
        <v>67</v>
      </c>
      <c r="AT8373" t="s">
        <v>58</v>
      </c>
      <c r="AU8373" t="s">
        <v>68</v>
      </c>
      <c r="AV8373" t="s">
        <v>69</v>
      </c>
      <c r="AW8373" s="1">
        <v>30176</v>
      </c>
      <c r="AX8373">
        <v>1</v>
      </c>
    </row>
    <row r="8374" spans="1:50">
      <c r="A8374">
        <v>592256</v>
      </c>
      <c r="B8374" t="str">
        <f>"038023590"</f>
        <v>038023590</v>
      </c>
      <c r="C8374" t="s">
        <v>50</v>
      </c>
      <c r="D8374" t="s">
        <v>12919</v>
      </c>
      <c r="E8374" t="s">
        <v>1440</v>
      </c>
      <c r="F8374" t="s">
        <v>202</v>
      </c>
      <c r="G8374" t="s">
        <v>181</v>
      </c>
      <c r="H8374" t="str">
        <f>" "</f>
        <v xml:space="preserve"> </v>
      </c>
      <c r="N8374" t="s">
        <v>1525</v>
      </c>
      <c r="O8374" t="s">
        <v>1526</v>
      </c>
      <c r="R8374" t="s">
        <v>57</v>
      </c>
      <c r="S8374">
        <v>9</v>
      </c>
      <c r="T8374">
        <v>249</v>
      </c>
      <c r="U8374" s="1">
        <v>36769</v>
      </c>
      <c r="V8374" t="s">
        <v>66</v>
      </c>
      <c r="W8374" t="s">
        <v>67</v>
      </c>
      <c r="X8374" t="s">
        <v>58</v>
      </c>
      <c r="Y8374">
        <v>25</v>
      </c>
      <c r="Z8374" t="s">
        <v>59</v>
      </c>
      <c r="AA8374" t="s">
        <v>59</v>
      </c>
      <c r="AB8374" t="s">
        <v>59</v>
      </c>
      <c r="AC8374" t="s">
        <v>59</v>
      </c>
      <c r="AD8374" t="s">
        <v>59</v>
      </c>
      <c r="AF8374" s="1">
        <v>36770</v>
      </c>
      <c r="AG8374" t="s">
        <v>8651</v>
      </c>
      <c r="AH8374" t="s">
        <v>8652</v>
      </c>
      <c r="AI8374" t="str">
        <f>"9410153"</f>
        <v>9410153</v>
      </c>
      <c r="AJ8374" t="s">
        <v>12920</v>
      </c>
      <c r="AK8374">
        <v>2831022984</v>
      </c>
      <c r="AL8374" t="s">
        <v>12921</v>
      </c>
      <c r="AM8374" t="s">
        <v>64</v>
      </c>
      <c r="AN8374" t="s">
        <v>65</v>
      </c>
      <c r="AO8374" t="s">
        <v>65</v>
      </c>
      <c r="AP8374" t="s">
        <v>65</v>
      </c>
      <c r="AQ8374">
        <v>1</v>
      </c>
      <c r="AR8374" t="s">
        <v>66</v>
      </c>
      <c r="AS8374" t="s">
        <v>67</v>
      </c>
      <c r="AT8374" t="s">
        <v>58</v>
      </c>
      <c r="AU8374" t="s">
        <v>68</v>
      </c>
      <c r="AV8374" t="s">
        <v>69</v>
      </c>
      <c r="AW8374" s="1">
        <v>24735</v>
      </c>
      <c r="AX8374">
        <v>1</v>
      </c>
    </row>
    <row r="8375" spans="1:50">
      <c r="A8375">
        <v>573948</v>
      </c>
      <c r="B8375" t="str">
        <f>"038655685"</f>
        <v>038655685</v>
      </c>
      <c r="C8375" t="s">
        <v>50</v>
      </c>
      <c r="D8375" t="s">
        <v>12922</v>
      </c>
      <c r="E8375" t="s">
        <v>440</v>
      </c>
      <c r="F8375" t="s">
        <v>7364</v>
      </c>
      <c r="G8375" t="s">
        <v>191</v>
      </c>
      <c r="H8375" t="str">
        <f>" "</f>
        <v xml:space="preserve"> </v>
      </c>
      <c r="N8375" t="s">
        <v>615</v>
      </c>
      <c r="O8375" t="s">
        <v>616</v>
      </c>
      <c r="R8375" t="s">
        <v>57</v>
      </c>
      <c r="S8375">
        <v>17</v>
      </c>
      <c r="T8375">
        <v>160</v>
      </c>
      <c r="U8375" s="1">
        <v>34582</v>
      </c>
      <c r="V8375" t="s">
        <v>66</v>
      </c>
      <c r="W8375" t="s">
        <v>67</v>
      </c>
      <c r="X8375" t="s">
        <v>58</v>
      </c>
      <c r="Y8375">
        <v>21</v>
      </c>
      <c r="Z8375" t="s">
        <v>59</v>
      </c>
      <c r="AA8375" t="s">
        <v>59</v>
      </c>
      <c r="AB8375" t="s">
        <v>59</v>
      </c>
      <c r="AC8375" t="s">
        <v>59</v>
      </c>
      <c r="AD8375" t="s">
        <v>59</v>
      </c>
      <c r="AF8375" s="1">
        <v>34582</v>
      </c>
      <c r="AG8375" t="s">
        <v>8645</v>
      </c>
      <c r="AH8375" t="s">
        <v>8646</v>
      </c>
      <c r="AI8375" t="str">
        <f>"9410048"</f>
        <v>9410048</v>
      </c>
      <c r="AJ8375" t="s">
        <v>12656</v>
      </c>
      <c r="AK8375">
        <v>2834020221</v>
      </c>
      <c r="AL8375" t="s">
        <v>12657</v>
      </c>
      <c r="AM8375" t="s">
        <v>64</v>
      </c>
      <c r="AN8375" t="s">
        <v>5672</v>
      </c>
      <c r="AO8375" t="s">
        <v>5673</v>
      </c>
      <c r="AP8375" t="s">
        <v>5674</v>
      </c>
      <c r="AQ8375">
        <v>10</v>
      </c>
      <c r="AR8375" t="s">
        <v>66</v>
      </c>
      <c r="AS8375" t="s">
        <v>67</v>
      </c>
      <c r="AT8375" t="s">
        <v>58</v>
      </c>
      <c r="AU8375" t="s">
        <v>68</v>
      </c>
      <c r="AV8375" t="s">
        <v>69</v>
      </c>
      <c r="AW8375" s="1">
        <v>24566</v>
      </c>
      <c r="AX8375">
        <v>1</v>
      </c>
    </row>
    <row r="8376" spans="1:50">
      <c r="A8376">
        <v>622606</v>
      </c>
      <c r="B8376" t="str">
        <f>"100052976"</f>
        <v>100052976</v>
      </c>
      <c r="C8376" t="s">
        <v>50</v>
      </c>
      <c r="D8376" t="s">
        <v>12923</v>
      </c>
      <c r="E8376" t="s">
        <v>809</v>
      </c>
      <c r="F8376" t="s">
        <v>1336</v>
      </c>
      <c r="G8376" t="s">
        <v>755</v>
      </c>
      <c r="H8376" t="str">
        <f>"ΚΑΠΟΔΙΣΤΡΙΟΥ 54 ΡΕΘΥΜΝΟ"</f>
        <v>ΚΑΠΟΔΙΣΤΡΙΟΥ 54 ΡΕΘΥΜΝΟ</v>
      </c>
      <c r="I8376">
        <v>74100</v>
      </c>
      <c r="J8376">
        <v>2831072248</v>
      </c>
      <c r="K8376">
        <v>6977511246</v>
      </c>
      <c r="N8376" t="s">
        <v>1525</v>
      </c>
      <c r="O8376" t="s">
        <v>1526</v>
      </c>
      <c r="R8376" t="s">
        <v>57</v>
      </c>
      <c r="S8376">
        <v>10</v>
      </c>
      <c r="T8376">
        <v>653</v>
      </c>
      <c r="U8376" s="1">
        <v>40043</v>
      </c>
      <c r="V8376" t="s">
        <v>66</v>
      </c>
      <c r="W8376" t="s">
        <v>67</v>
      </c>
      <c r="X8376" t="s">
        <v>58</v>
      </c>
      <c r="Y8376">
        <v>25</v>
      </c>
      <c r="Z8376" t="s">
        <v>59</v>
      </c>
      <c r="AA8376" t="s">
        <v>59</v>
      </c>
      <c r="AB8376" t="s">
        <v>59</v>
      </c>
      <c r="AC8376" t="s">
        <v>59</v>
      </c>
      <c r="AD8376" t="s">
        <v>59</v>
      </c>
      <c r="AF8376" s="1">
        <v>40043</v>
      </c>
      <c r="AG8376" t="s">
        <v>8651</v>
      </c>
      <c r="AH8376" t="s">
        <v>8652</v>
      </c>
      <c r="AI8376" t="str">
        <f>"9410050"</f>
        <v>9410050</v>
      </c>
      <c r="AJ8376" t="s">
        <v>12924</v>
      </c>
      <c r="AK8376">
        <v>2834022518</v>
      </c>
      <c r="AL8376" t="s">
        <v>12925</v>
      </c>
      <c r="AM8376" t="s">
        <v>64</v>
      </c>
      <c r="AN8376" t="s">
        <v>5672</v>
      </c>
      <c r="AO8376" t="s">
        <v>5673</v>
      </c>
      <c r="AP8376" t="s">
        <v>5689</v>
      </c>
      <c r="AQ8376">
        <v>7</v>
      </c>
      <c r="AR8376" t="s">
        <v>66</v>
      </c>
      <c r="AS8376" t="s">
        <v>67</v>
      </c>
      <c r="AT8376" t="s">
        <v>58</v>
      </c>
      <c r="AU8376" t="s">
        <v>68</v>
      </c>
      <c r="AV8376" t="s">
        <v>69</v>
      </c>
      <c r="AW8376" s="1">
        <v>28788</v>
      </c>
      <c r="AX8376">
        <v>1</v>
      </c>
    </row>
    <row r="8377" spans="1:50">
      <c r="A8377">
        <v>608573</v>
      </c>
      <c r="B8377" t="str">
        <f>"100088790"</f>
        <v>100088790</v>
      </c>
      <c r="C8377" t="s">
        <v>50</v>
      </c>
      <c r="D8377" t="s">
        <v>4693</v>
      </c>
      <c r="E8377" t="s">
        <v>314</v>
      </c>
      <c r="F8377" t="s">
        <v>154</v>
      </c>
      <c r="G8377" t="s">
        <v>3873</v>
      </c>
      <c r="H8377" t="str">
        <f>" "</f>
        <v xml:space="preserve"> </v>
      </c>
      <c r="J8377">
        <v>2831053098</v>
      </c>
      <c r="K8377">
        <v>6937135066</v>
      </c>
      <c r="N8377" t="s">
        <v>1525</v>
      </c>
      <c r="O8377" t="s">
        <v>1526</v>
      </c>
      <c r="R8377" t="s">
        <v>57</v>
      </c>
      <c r="S8377">
        <v>6</v>
      </c>
      <c r="T8377">
        <v>217</v>
      </c>
      <c r="U8377" s="1">
        <v>38597</v>
      </c>
      <c r="V8377" t="s">
        <v>66</v>
      </c>
      <c r="W8377" t="s">
        <v>67</v>
      </c>
      <c r="X8377" t="s">
        <v>58</v>
      </c>
      <c r="Y8377">
        <v>25</v>
      </c>
      <c r="Z8377" t="s">
        <v>59</v>
      </c>
      <c r="AA8377" t="s">
        <v>59</v>
      </c>
      <c r="AB8377" t="s">
        <v>59</v>
      </c>
      <c r="AC8377" t="s">
        <v>59</v>
      </c>
      <c r="AD8377" t="s">
        <v>59</v>
      </c>
      <c r="AF8377" s="1">
        <v>38600</v>
      </c>
      <c r="AG8377" t="s">
        <v>8651</v>
      </c>
      <c r="AH8377" t="s">
        <v>8652</v>
      </c>
      <c r="AI8377" t="str">
        <f>"9520732"</f>
        <v>9520732</v>
      </c>
      <c r="AJ8377" t="s">
        <v>12882</v>
      </c>
      <c r="AK8377">
        <v>2831075361</v>
      </c>
      <c r="AL8377" t="s">
        <v>12883</v>
      </c>
      <c r="AM8377" t="s">
        <v>64</v>
      </c>
      <c r="AN8377" t="s">
        <v>65</v>
      </c>
      <c r="AO8377" t="s">
        <v>65</v>
      </c>
      <c r="AP8377" t="s">
        <v>12884</v>
      </c>
      <c r="AQ8377">
        <v>3</v>
      </c>
      <c r="AR8377" t="s">
        <v>66</v>
      </c>
      <c r="AS8377" t="s">
        <v>67</v>
      </c>
      <c r="AT8377" t="s">
        <v>58</v>
      </c>
      <c r="AU8377" t="s">
        <v>68</v>
      </c>
      <c r="AV8377" t="s">
        <v>69</v>
      </c>
      <c r="AW8377" s="1">
        <v>25599</v>
      </c>
      <c r="AX8377">
        <v>1</v>
      </c>
    </row>
    <row r="8378" spans="1:50">
      <c r="B8378" t="str">
        <f>"037756695"</f>
        <v>037756695</v>
      </c>
      <c r="C8378" t="s">
        <v>50</v>
      </c>
      <c r="D8378" t="s">
        <v>4693</v>
      </c>
      <c r="E8378" t="s">
        <v>7030</v>
      </c>
      <c r="F8378" t="s">
        <v>2580</v>
      </c>
      <c r="G8378" t="s">
        <v>513</v>
      </c>
      <c r="H8378" t="str">
        <f>"ΚΑΡΑΙΣΚΑΚΗ 4 ΘΕΣΣΑΛΟΝΙΚΗ"</f>
        <v>ΚΑΡΑΙΣΚΑΚΗ 4 ΘΕΣΣΑΛΟΝΙΚΗ</v>
      </c>
      <c r="I8378">
        <v>54641</v>
      </c>
      <c r="J8378">
        <v>2310810067</v>
      </c>
      <c r="K8378">
        <v>6944721949</v>
      </c>
      <c r="M8378" t="s">
        <v>12926</v>
      </c>
      <c r="N8378" t="s">
        <v>306</v>
      </c>
      <c r="O8378" t="s">
        <v>307</v>
      </c>
      <c r="R8378" t="s">
        <v>159</v>
      </c>
      <c r="S8378">
        <v>3</v>
      </c>
      <c r="T8378" t="s">
        <v>8675</v>
      </c>
      <c r="U8378" s="1">
        <v>43348</v>
      </c>
      <c r="V8378" t="s">
        <v>66</v>
      </c>
      <c r="W8378" t="s">
        <v>67</v>
      </c>
      <c r="X8378" t="s">
        <v>58</v>
      </c>
      <c r="Y8378">
        <v>24</v>
      </c>
      <c r="Z8378" t="s">
        <v>59</v>
      </c>
      <c r="AA8378" t="s">
        <v>59</v>
      </c>
      <c r="AB8378" t="s">
        <v>59</v>
      </c>
      <c r="AC8378" t="s">
        <v>59</v>
      </c>
      <c r="AD8378" t="s">
        <v>59</v>
      </c>
      <c r="AF8378" s="1">
        <v>43348</v>
      </c>
      <c r="AG8378" t="s">
        <v>8645</v>
      </c>
      <c r="AH8378" t="s">
        <v>8646</v>
      </c>
      <c r="AI8378" t="str">
        <f>"9410033"</f>
        <v>9410033</v>
      </c>
      <c r="AJ8378" t="s">
        <v>12778</v>
      </c>
      <c r="AK8378">
        <v>2834061210</v>
      </c>
      <c r="AL8378" t="s">
        <v>12779</v>
      </c>
      <c r="AM8378" t="s">
        <v>64</v>
      </c>
      <c r="AN8378" t="s">
        <v>5672</v>
      </c>
      <c r="AO8378" t="s">
        <v>12780</v>
      </c>
      <c r="AP8378" t="s">
        <v>12780</v>
      </c>
      <c r="AQ8378">
        <v>9</v>
      </c>
      <c r="AR8378" t="s">
        <v>66</v>
      </c>
      <c r="AS8378" t="s">
        <v>67</v>
      </c>
      <c r="AT8378" t="s">
        <v>58</v>
      </c>
      <c r="AU8378" t="s">
        <v>8673</v>
      </c>
      <c r="AV8378" t="s">
        <v>132</v>
      </c>
      <c r="AW8378" s="1">
        <v>24902</v>
      </c>
      <c r="AX8378">
        <v>1</v>
      </c>
    </row>
    <row r="8379" spans="1:50">
      <c r="A8379">
        <v>704074</v>
      </c>
      <c r="B8379" t="str">
        <f>"102927209"</f>
        <v>102927209</v>
      </c>
      <c r="C8379" t="s">
        <v>50</v>
      </c>
      <c r="D8379" t="s">
        <v>3857</v>
      </c>
      <c r="E8379" t="s">
        <v>440</v>
      </c>
      <c r="F8379" t="s">
        <v>99</v>
      </c>
      <c r="G8379" t="s">
        <v>98</v>
      </c>
      <c r="H8379" t="str">
        <f>"ΑΧΙΛΛΕΩΣ 3 "</f>
        <v xml:space="preserve">ΑΧΙΛΛΕΩΣ 3 </v>
      </c>
      <c r="I8379">
        <v>16345</v>
      </c>
      <c r="J8379">
        <v>2104067399</v>
      </c>
      <c r="K8379">
        <v>6948592652</v>
      </c>
      <c r="N8379" t="s">
        <v>306</v>
      </c>
      <c r="O8379" t="s">
        <v>307</v>
      </c>
      <c r="R8379" t="s">
        <v>57</v>
      </c>
      <c r="S8379">
        <v>2</v>
      </c>
      <c r="T8379">
        <v>1350</v>
      </c>
      <c r="U8379" s="1">
        <v>42732</v>
      </c>
      <c r="V8379" t="s">
        <v>66</v>
      </c>
      <c r="W8379" t="s">
        <v>67</v>
      </c>
      <c r="X8379" t="s">
        <v>58</v>
      </c>
      <c r="Y8379">
        <v>24</v>
      </c>
      <c r="Z8379" t="s">
        <v>59</v>
      </c>
      <c r="AA8379" t="s">
        <v>59</v>
      </c>
      <c r="AB8379" t="s">
        <v>59</v>
      </c>
      <c r="AC8379" t="s">
        <v>59</v>
      </c>
      <c r="AD8379" t="s">
        <v>59</v>
      </c>
      <c r="AF8379" s="1">
        <v>42734</v>
      </c>
      <c r="AG8379" t="s">
        <v>8645</v>
      </c>
      <c r="AH8379" t="s">
        <v>8646</v>
      </c>
      <c r="AI8379" t="str">
        <f>"9410150"</f>
        <v>9410150</v>
      </c>
      <c r="AJ8379" t="s">
        <v>12733</v>
      </c>
      <c r="AK8379">
        <v>2831052969</v>
      </c>
      <c r="AL8379" t="s">
        <v>12734</v>
      </c>
      <c r="AM8379" t="s">
        <v>64</v>
      </c>
      <c r="AN8379" t="s">
        <v>65</v>
      </c>
      <c r="AO8379" t="s">
        <v>65</v>
      </c>
      <c r="AP8379" t="s">
        <v>65</v>
      </c>
      <c r="AQ8379">
        <v>1</v>
      </c>
      <c r="AR8379" t="s">
        <v>66</v>
      </c>
      <c r="AS8379" t="s">
        <v>67</v>
      </c>
      <c r="AT8379" t="s">
        <v>58</v>
      </c>
      <c r="AU8379" t="s">
        <v>68</v>
      </c>
      <c r="AV8379" t="s">
        <v>69</v>
      </c>
      <c r="AW8379" s="1">
        <v>28126</v>
      </c>
      <c r="AX8379">
        <v>1</v>
      </c>
    </row>
    <row r="8380" spans="1:50">
      <c r="B8380" t="str">
        <f>"152065195"</f>
        <v>152065195</v>
      </c>
      <c r="C8380" t="s">
        <v>50</v>
      </c>
      <c r="D8380" t="s">
        <v>12927</v>
      </c>
      <c r="E8380" t="s">
        <v>255</v>
      </c>
      <c r="F8380" t="s">
        <v>670</v>
      </c>
      <c r="G8380" t="s">
        <v>52</v>
      </c>
      <c r="H8380" t="str">
        <f>"ΓΡΑΒΙΑΣ 20Α ΘΕΣΣΑΛΟΝΙΚΗ"</f>
        <v>ΓΡΑΒΙΑΣ 20Α ΘΕΣΣΑΛΟΝΙΚΗ</v>
      </c>
      <c r="I8380">
        <v>74100</v>
      </c>
      <c r="J8380">
        <v>2313021498</v>
      </c>
      <c r="K8380">
        <v>6934726058</v>
      </c>
      <c r="M8380" t="s">
        <v>12928</v>
      </c>
      <c r="N8380" t="s">
        <v>8834</v>
      </c>
      <c r="O8380" t="s">
        <v>8695</v>
      </c>
      <c r="R8380" t="s">
        <v>159</v>
      </c>
      <c r="S8380">
        <v>3</v>
      </c>
      <c r="T8380" t="s">
        <v>8835</v>
      </c>
      <c r="U8380" s="1">
        <v>43348</v>
      </c>
      <c r="V8380" t="s">
        <v>66</v>
      </c>
      <c r="W8380" t="s">
        <v>67</v>
      </c>
      <c r="X8380" t="s">
        <v>58</v>
      </c>
      <c r="Y8380">
        <v>24</v>
      </c>
      <c r="Z8380" t="s">
        <v>59</v>
      </c>
      <c r="AA8380" t="s">
        <v>59</v>
      </c>
      <c r="AB8380" t="s">
        <v>59</v>
      </c>
      <c r="AC8380" t="s">
        <v>59</v>
      </c>
      <c r="AD8380" t="s">
        <v>59</v>
      </c>
      <c r="AF8380" s="1">
        <v>43348</v>
      </c>
      <c r="AG8380" t="s">
        <v>8645</v>
      </c>
      <c r="AH8380" t="s">
        <v>8646</v>
      </c>
      <c r="AI8380" t="str">
        <f>"9410051"</f>
        <v>9410051</v>
      </c>
      <c r="AJ8380" t="s">
        <v>12660</v>
      </c>
      <c r="AK8380">
        <v>2834022247</v>
      </c>
      <c r="AL8380" t="s">
        <v>12661</v>
      </c>
      <c r="AM8380" t="s">
        <v>64</v>
      </c>
      <c r="AN8380" t="s">
        <v>5672</v>
      </c>
      <c r="AO8380" t="s">
        <v>5673</v>
      </c>
      <c r="AP8380" t="s">
        <v>5689</v>
      </c>
      <c r="AQ8380">
        <v>7</v>
      </c>
      <c r="AR8380" t="s">
        <v>66</v>
      </c>
      <c r="AS8380" t="s">
        <v>67</v>
      </c>
      <c r="AT8380" t="s">
        <v>58</v>
      </c>
      <c r="AU8380" t="s">
        <v>131</v>
      </c>
      <c r="AV8380" t="s">
        <v>132</v>
      </c>
      <c r="AW8380" s="1">
        <v>32731</v>
      </c>
      <c r="AX8380">
        <v>1</v>
      </c>
    </row>
    <row r="8381" spans="1:50">
      <c r="A8381">
        <v>601032</v>
      </c>
      <c r="B8381" t="str">
        <f>"113633747"</f>
        <v>113633747</v>
      </c>
      <c r="C8381" t="s">
        <v>50</v>
      </c>
      <c r="D8381" t="s">
        <v>1048</v>
      </c>
      <c r="E8381" t="s">
        <v>112</v>
      </c>
      <c r="F8381" t="s">
        <v>450</v>
      </c>
      <c r="G8381" t="s">
        <v>52</v>
      </c>
      <c r="H8381" t="str">
        <f>"ΑΓ. ΙΩΑΝΝΗ 2 ΡΕΘΥΜΝΟ"</f>
        <v>ΑΓ. ΙΩΑΝΝΗ 2 ΡΕΘΥΜΝΟ</v>
      </c>
      <c r="I8381">
        <v>74100</v>
      </c>
      <c r="J8381">
        <v>2831051423</v>
      </c>
      <c r="K8381">
        <v>6938985382</v>
      </c>
      <c r="M8381" t="s">
        <v>12929</v>
      </c>
      <c r="N8381" t="s">
        <v>615</v>
      </c>
      <c r="O8381" t="s">
        <v>616</v>
      </c>
      <c r="R8381" t="s">
        <v>57</v>
      </c>
      <c r="S8381">
        <v>8</v>
      </c>
      <c r="T8381">
        <v>207</v>
      </c>
      <c r="U8381" s="1">
        <v>37866</v>
      </c>
      <c r="V8381" t="s">
        <v>66</v>
      </c>
      <c r="W8381" t="s">
        <v>67</v>
      </c>
      <c r="X8381" t="s">
        <v>58</v>
      </c>
      <c r="Y8381">
        <v>22</v>
      </c>
      <c r="Z8381" t="s">
        <v>59</v>
      </c>
      <c r="AA8381" t="s">
        <v>59</v>
      </c>
      <c r="AB8381" t="s">
        <v>59</v>
      </c>
      <c r="AC8381" t="s">
        <v>59</v>
      </c>
      <c r="AD8381" t="s">
        <v>59</v>
      </c>
      <c r="AF8381" s="1">
        <v>37866</v>
      </c>
      <c r="AG8381" t="s">
        <v>8645</v>
      </c>
      <c r="AH8381" t="s">
        <v>8646</v>
      </c>
      <c r="AI8381" t="str">
        <f>"9521348"</f>
        <v>9521348</v>
      </c>
      <c r="AJ8381" t="s">
        <v>12714</v>
      </c>
      <c r="AK8381">
        <v>2831021334</v>
      </c>
      <c r="AL8381" t="s">
        <v>12715</v>
      </c>
      <c r="AM8381" t="s">
        <v>64</v>
      </c>
      <c r="AN8381" t="s">
        <v>65</v>
      </c>
      <c r="AO8381" t="s">
        <v>5720</v>
      </c>
      <c r="AP8381" t="s">
        <v>5721</v>
      </c>
      <c r="AQ8381">
        <v>2</v>
      </c>
      <c r="AR8381" t="s">
        <v>66</v>
      </c>
      <c r="AS8381" t="s">
        <v>67</v>
      </c>
      <c r="AT8381" t="s">
        <v>58</v>
      </c>
      <c r="AU8381" t="s">
        <v>68</v>
      </c>
      <c r="AV8381" t="s">
        <v>69</v>
      </c>
      <c r="AW8381" s="1">
        <v>25556</v>
      </c>
      <c r="AX8381">
        <v>1</v>
      </c>
    </row>
    <row r="8382" spans="1:50">
      <c r="A8382">
        <v>704121</v>
      </c>
      <c r="B8382" t="str">
        <f>"113194875"</f>
        <v>113194875</v>
      </c>
      <c r="C8382" t="s">
        <v>105</v>
      </c>
      <c r="D8382" t="s">
        <v>1056</v>
      </c>
      <c r="E8382" t="s">
        <v>321</v>
      </c>
      <c r="F8382" t="s">
        <v>72</v>
      </c>
      <c r="G8382" t="s">
        <v>3866</v>
      </c>
      <c r="H8382" t="str">
        <f>"ΜΑΚΕΔΟΝΙΑΣ 57 ΧΑΝΙΑ"</f>
        <v>ΜΑΚΕΔΟΝΙΑΣ 57 ΧΑΝΙΑ</v>
      </c>
      <c r="I8382">
        <v>73132</v>
      </c>
      <c r="J8382">
        <v>2821045408</v>
      </c>
      <c r="K8382">
        <v>6974814184</v>
      </c>
      <c r="M8382" t="s">
        <v>12930</v>
      </c>
      <c r="N8382" t="s">
        <v>204</v>
      </c>
      <c r="O8382" t="s">
        <v>205</v>
      </c>
      <c r="R8382" t="s">
        <v>57</v>
      </c>
      <c r="S8382">
        <v>7</v>
      </c>
      <c r="T8382">
        <v>1350</v>
      </c>
      <c r="U8382" s="1">
        <v>42732</v>
      </c>
      <c r="V8382" t="s">
        <v>66</v>
      </c>
      <c r="W8382" t="s">
        <v>67</v>
      </c>
      <c r="X8382" t="s">
        <v>58</v>
      </c>
      <c r="Y8382">
        <v>24</v>
      </c>
      <c r="Z8382" t="s">
        <v>59</v>
      </c>
      <c r="AA8382" t="s">
        <v>59</v>
      </c>
      <c r="AB8382" t="s">
        <v>452</v>
      </c>
      <c r="AC8382" t="s">
        <v>59</v>
      </c>
      <c r="AD8382" t="s">
        <v>59</v>
      </c>
      <c r="AF8382" s="1">
        <v>42734</v>
      </c>
      <c r="AG8382" t="s">
        <v>60</v>
      </c>
      <c r="AH8382" t="s">
        <v>453</v>
      </c>
      <c r="AI8382" t="str">
        <f>"9941101"</f>
        <v>9941101</v>
      </c>
      <c r="AJ8382" t="s">
        <v>67</v>
      </c>
      <c r="AK8382">
        <v>2831022325</v>
      </c>
      <c r="AL8382" t="s">
        <v>12931</v>
      </c>
      <c r="AM8382" t="s">
        <v>64</v>
      </c>
      <c r="AN8382" t="s">
        <v>65</v>
      </c>
      <c r="AO8382" t="s">
        <v>65</v>
      </c>
      <c r="AP8382" t="s">
        <v>65</v>
      </c>
      <c r="AS8382" t="s">
        <v>67</v>
      </c>
      <c r="AT8382" t="s">
        <v>58</v>
      </c>
      <c r="AU8382" t="s">
        <v>68</v>
      </c>
      <c r="AV8382" t="s">
        <v>455</v>
      </c>
      <c r="AW8382" s="1">
        <v>30317</v>
      </c>
      <c r="AX8382">
        <v>1</v>
      </c>
    </row>
    <row r="8383" spans="1:50">
      <c r="B8383" t="str">
        <f>"101414234"</f>
        <v>101414234</v>
      </c>
      <c r="C8383" t="s">
        <v>50</v>
      </c>
      <c r="D8383" t="s">
        <v>12932</v>
      </c>
      <c r="E8383" t="s">
        <v>237</v>
      </c>
      <c r="F8383" t="s">
        <v>99</v>
      </c>
      <c r="G8383" t="s">
        <v>109</v>
      </c>
      <c r="H8383" t="str">
        <f>"ΜΟΝΕΜΒΑΣΙΑΣ 24 ΑΤΤΙΚΗ"</f>
        <v>ΜΟΝΕΜΒΑΣΙΑΣ 24 ΑΤΤΙΚΗ</v>
      </c>
      <c r="I8383">
        <v>14231</v>
      </c>
      <c r="J8383">
        <v>2831051739</v>
      </c>
      <c r="K8383">
        <v>6936690498</v>
      </c>
      <c r="L8383">
        <v>2121001044</v>
      </c>
      <c r="M8383" t="s">
        <v>12933</v>
      </c>
      <c r="N8383" t="s">
        <v>683</v>
      </c>
      <c r="O8383" t="s">
        <v>684</v>
      </c>
      <c r="R8383" t="s">
        <v>159</v>
      </c>
      <c r="S8383">
        <v>3</v>
      </c>
      <c r="T8383" t="s">
        <v>8675</v>
      </c>
      <c r="U8383" s="1">
        <v>43348</v>
      </c>
      <c r="V8383" t="s">
        <v>66</v>
      </c>
      <c r="W8383" t="s">
        <v>67</v>
      </c>
      <c r="X8383" t="s">
        <v>58</v>
      </c>
      <c r="Y8383">
        <v>24</v>
      </c>
      <c r="Z8383" t="s">
        <v>59</v>
      </c>
      <c r="AA8383" t="s">
        <v>59</v>
      </c>
      <c r="AB8383" t="s">
        <v>59</v>
      </c>
      <c r="AC8383" t="s">
        <v>59</v>
      </c>
      <c r="AD8383" t="s">
        <v>59</v>
      </c>
      <c r="AF8383" s="1">
        <v>43348</v>
      </c>
      <c r="AG8383" t="s">
        <v>8645</v>
      </c>
      <c r="AH8383" t="s">
        <v>8646</v>
      </c>
      <c r="AI8383" t="str">
        <f>"9410241"</f>
        <v>9410241</v>
      </c>
      <c r="AJ8383" t="s">
        <v>12783</v>
      </c>
      <c r="AK8383">
        <v>2831022616</v>
      </c>
      <c r="AL8383" t="s">
        <v>12784</v>
      </c>
      <c r="AM8383" t="s">
        <v>64</v>
      </c>
      <c r="AN8383" t="s">
        <v>65</v>
      </c>
      <c r="AO8383" t="s">
        <v>65</v>
      </c>
      <c r="AP8383" t="s">
        <v>65</v>
      </c>
      <c r="AQ8383">
        <v>1</v>
      </c>
      <c r="AR8383" t="s">
        <v>66</v>
      </c>
      <c r="AS8383" t="s">
        <v>67</v>
      </c>
      <c r="AT8383" t="s">
        <v>58</v>
      </c>
      <c r="AU8383" t="s">
        <v>8673</v>
      </c>
      <c r="AV8383" t="s">
        <v>132</v>
      </c>
      <c r="AW8383" s="1">
        <v>28616</v>
      </c>
      <c r="AX8383">
        <v>1</v>
      </c>
    </row>
    <row r="8384" spans="1:50">
      <c r="A8384">
        <v>612186</v>
      </c>
      <c r="B8384" t="str">
        <f>"100078316"</f>
        <v>100078316</v>
      </c>
      <c r="C8384" t="s">
        <v>50</v>
      </c>
      <c r="D8384" t="s">
        <v>12934</v>
      </c>
      <c r="E8384" t="s">
        <v>12935</v>
      </c>
      <c r="F8384" t="s">
        <v>99</v>
      </c>
      <c r="G8384" t="s">
        <v>620</v>
      </c>
      <c r="H8384" t="str">
        <f>" "</f>
        <v xml:space="preserve"> </v>
      </c>
      <c r="J8384">
        <v>2831056160</v>
      </c>
      <c r="K8384">
        <v>6973513136</v>
      </c>
      <c r="N8384" t="s">
        <v>306</v>
      </c>
      <c r="O8384" t="s">
        <v>307</v>
      </c>
      <c r="R8384" t="s">
        <v>57</v>
      </c>
      <c r="S8384">
        <v>6</v>
      </c>
      <c r="T8384">
        <v>234</v>
      </c>
      <c r="U8384" s="1">
        <v>38960</v>
      </c>
      <c r="V8384" t="s">
        <v>66</v>
      </c>
      <c r="W8384" t="s">
        <v>67</v>
      </c>
      <c r="X8384" t="s">
        <v>58</v>
      </c>
      <c r="Y8384">
        <v>23</v>
      </c>
      <c r="Z8384" t="s">
        <v>59</v>
      </c>
      <c r="AA8384" t="s">
        <v>59</v>
      </c>
      <c r="AB8384" t="s">
        <v>59</v>
      </c>
      <c r="AC8384" t="s">
        <v>59</v>
      </c>
      <c r="AD8384" t="s">
        <v>59</v>
      </c>
      <c r="AF8384" s="1">
        <v>38961</v>
      </c>
      <c r="AG8384" t="s">
        <v>8645</v>
      </c>
      <c r="AH8384" t="s">
        <v>8646</v>
      </c>
      <c r="AI8384" t="str">
        <f>"9410169"</f>
        <v>9410169</v>
      </c>
      <c r="AJ8384" t="s">
        <v>12936</v>
      </c>
      <c r="AK8384">
        <v>2831031123</v>
      </c>
      <c r="AL8384" t="s">
        <v>12937</v>
      </c>
      <c r="AM8384" t="s">
        <v>64</v>
      </c>
      <c r="AN8384" t="s">
        <v>65</v>
      </c>
      <c r="AO8384" t="s">
        <v>5720</v>
      </c>
      <c r="AP8384" t="s">
        <v>12938</v>
      </c>
      <c r="AQ8384">
        <v>2</v>
      </c>
      <c r="AR8384" t="s">
        <v>66</v>
      </c>
      <c r="AS8384" t="s">
        <v>67</v>
      </c>
      <c r="AT8384" t="s">
        <v>58</v>
      </c>
      <c r="AU8384" t="s">
        <v>68</v>
      </c>
      <c r="AV8384" t="s">
        <v>69</v>
      </c>
      <c r="AW8384" s="1">
        <v>29935</v>
      </c>
      <c r="AX8384">
        <v>1</v>
      </c>
    </row>
    <row r="8385" spans="1:50">
      <c r="B8385" t="str">
        <f>"149609689"</f>
        <v>149609689</v>
      </c>
      <c r="C8385" t="s">
        <v>50</v>
      </c>
      <c r="D8385" t="s">
        <v>9352</v>
      </c>
      <c r="E8385" t="s">
        <v>250</v>
      </c>
      <c r="F8385" t="s">
        <v>95</v>
      </c>
      <c r="G8385" t="s">
        <v>54</v>
      </c>
      <c r="H8385" t="str">
        <f>"ΣΤΑΥΡΩΜΕΝΟΣ ΡΕΘΥΜΝΟΥ "</f>
        <v xml:space="preserve">ΣΤΑΥΡΩΜΕΝΟΣ ΡΕΘΥΜΝΟΥ </v>
      </c>
      <c r="I8385">
        <v>74100</v>
      </c>
      <c r="J8385">
        <v>2831071079</v>
      </c>
      <c r="K8385">
        <v>6936465381</v>
      </c>
      <c r="N8385" t="s">
        <v>615</v>
      </c>
      <c r="O8385" t="s">
        <v>616</v>
      </c>
      <c r="R8385" t="s">
        <v>159</v>
      </c>
      <c r="S8385">
        <v>5</v>
      </c>
      <c r="T8385" t="s">
        <v>8675</v>
      </c>
      <c r="U8385" s="1">
        <v>43348</v>
      </c>
      <c r="V8385" t="s">
        <v>66</v>
      </c>
      <c r="W8385" t="s">
        <v>67</v>
      </c>
      <c r="X8385" t="s">
        <v>58</v>
      </c>
      <c r="Y8385">
        <v>24</v>
      </c>
      <c r="Z8385" t="s">
        <v>59</v>
      </c>
      <c r="AA8385" t="s">
        <v>59</v>
      </c>
      <c r="AB8385" t="s">
        <v>59</v>
      </c>
      <c r="AC8385" t="s">
        <v>59</v>
      </c>
      <c r="AD8385" t="s">
        <v>59</v>
      </c>
      <c r="AF8385" s="1">
        <v>43348</v>
      </c>
      <c r="AG8385" t="s">
        <v>8645</v>
      </c>
      <c r="AH8385" t="s">
        <v>8646</v>
      </c>
      <c r="AI8385" t="str">
        <f>"9410127"</f>
        <v>9410127</v>
      </c>
      <c r="AJ8385" t="s">
        <v>12767</v>
      </c>
      <c r="AK8385">
        <v>2833022347</v>
      </c>
      <c r="AL8385" t="s">
        <v>12768</v>
      </c>
      <c r="AM8385" t="s">
        <v>64</v>
      </c>
      <c r="AN8385" t="s">
        <v>5713</v>
      </c>
      <c r="AO8385" t="s">
        <v>5714</v>
      </c>
      <c r="AP8385" t="s">
        <v>5715</v>
      </c>
      <c r="AQ8385">
        <v>5</v>
      </c>
      <c r="AR8385" t="s">
        <v>66</v>
      </c>
      <c r="AS8385" t="s">
        <v>67</v>
      </c>
      <c r="AT8385" t="s">
        <v>58</v>
      </c>
      <c r="AU8385" t="s">
        <v>8673</v>
      </c>
      <c r="AV8385" t="s">
        <v>132</v>
      </c>
      <c r="AW8385" s="1">
        <v>31909</v>
      </c>
      <c r="AX8385">
        <v>1</v>
      </c>
    </row>
    <row r="8386" spans="1:50">
      <c r="B8386" t="str">
        <f>"143679423"</f>
        <v>143679423</v>
      </c>
      <c r="C8386" t="s">
        <v>50</v>
      </c>
      <c r="D8386" t="s">
        <v>9352</v>
      </c>
      <c r="E8386" t="s">
        <v>250</v>
      </c>
      <c r="F8386" t="s">
        <v>72</v>
      </c>
      <c r="G8386" t="s">
        <v>250</v>
      </c>
      <c r="H8386" t="str">
        <f>"ΜΑΡΟΥΛΑΣ Τ.Θ. 8814 "</f>
        <v xml:space="preserve">ΜΑΡΟΥΛΑΣ Τ.Θ. 8814 </v>
      </c>
      <c r="I8386">
        <v>74100</v>
      </c>
      <c r="J8386">
        <v>2831051426</v>
      </c>
      <c r="K8386">
        <v>6978257002</v>
      </c>
      <c r="N8386" t="s">
        <v>615</v>
      </c>
      <c r="O8386" t="s">
        <v>616</v>
      </c>
      <c r="R8386" t="s">
        <v>159</v>
      </c>
      <c r="S8386">
        <v>2</v>
      </c>
      <c r="T8386" t="s">
        <v>8675</v>
      </c>
      <c r="U8386" s="1">
        <v>43348</v>
      </c>
      <c r="V8386" t="s">
        <v>66</v>
      </c>
      <c r="W8386" t="s">
        <v>67</v>
      </c>
      <c r="X8386" t="s">
        <v>58</v>
      </c>
      <c r="Y8386">
        <v>24</v>
      </c>
      <c r="Z8386" t="s">
        <v>59</v>
      </c>
      <c r="AA8386" t="s">
        <v>59</v>
      </c>
      <c r="AB8386" t="s">
        <v>59</v>
      </c>
      <c r="AC8386" t="s">
        <v>59</v>
      </c>
      <c r="AD8386" t="s">
        <v>59</v>
      </c>
      <c r="AF8386" s="1">
        <v>43348</v>
      </c>
      <c r="AG8386" t="s">
        <v>8645</v>
      </c>
      <c r="AH8386" t="s">
        <v>8646</v>
      </c>
      <c r="AI8386" t="str">
        <f>"9410120"</f>
        <v>9410120</v>
      </c>
      <c r="AJ8386" t="s">
        <v>12681</v>
      </c>
      <c r="AK8386">
        <v>6978148714</v>
      </c>
      <c r="AL8386" t="s">
        <v>12682</v>
      </c>
      <c r="AM8386" t="s">
        <v>64</v>
      </c>
      <c r="AN8386" t="s">
        <v>5882</v>
      </c>
      <c r="AO8386" t="s">
        <v>5883</v>
      </c>
      <c r="AP8386" t="s">
        <v>5884</v>
      </c>
      <c r="AQ8386">
        <v>5</v>
      </c>
      <c r="AR8386" t="s">
        <v>66</v>
      </c>
      <c r="AS8386" t="s">
        <v>67</v>
      </c>
      <c r="AT8386" t="s">
        <v>58</v>
      </c>
      <c r="AU8386" t="s">
        <v>8673</v>
      </c>
      <c r="AV8386" t="s">
        <v>132</v>
      </c>
      <c r="AW8386" s="1">
        <v>32272</v>
      </c>
      <c r="AX8386">
        <v>1</v>
      </c>
    </row>
    <row r="8387" spans="1:50">
      <c r="A8387">
        <v>606100</v>
      </c>
      <c r="B8387" t="str">
        <f>"120042789"</f>
        <v>120042789</v>
      </c>
      <c r="C8387" t="s">
        <v>50</v>
      </c>
      <c r="D8387" t="s">
        <v>1084</v>
      </c>
      <c r="E8387" t="s">
        <v>5342</v>
      </c>
      <c r="F8387" t="s">
        <v>72</v>
      </c>
      <c r="G8387" t="s">
        <v>934</v>
      </c>
      <c r="H8387" t="str">
        <f>"Γ. ΣΕΦΕΡΗ 19 ΡΕΘΥΜΝΟ"</f>
        <v>Γ. ΣΕΦΕΡΗ 19 ΡΕΘΥΜΝΟ</v>
      </c>
      <c r="I8387">
        <v>74100</v>
      </c>
      <c r="K8387">
        <v>6972831614</v>
      </c>
      <c r="M8387" t="s">
        <v>12939</v>
      </c>
      <c r="N8387" t="s">
        <v>1525</v>
      </c>
      <c r="O8387" t="s">
        <v>1526</v>
      </c>
      <c r="R8387" t="s">
        <v>57</v>
      </c>
      <c r="S8387">
        <v>7</v>
      </c>
      <c r="T8387">
        <v>231</v>
      </c>
      <c r="U8387" s="1">
        <v>38230</v>
      </c>
      <c r="V8387" t="s">
        <v>66</v>
      </c>
      <c r="W8387" t="s">
        <v>67</v>
      </c>
      <c r="X8387" t="s">
        <v>58</v>
      </c>
      <c r="Y8387">
        <v>25</v>
      </c>
      <c r="Z8387" t="s">
        <v>59</v>
      </c>
      <c r="AA8387" t="s">
        <v>59</v>
      </c>
      <c r="AB8387" t="s">
        <v>59</v>
      </c>
      <c r="AC8387" t="s">
        <v>59</v>
      </c>
      <c r="AD8387" t="s">
        <v>59</v>
      </c>
      <c r="AF8387" s="1">
        <v>38231</v>
      </c>
      <c r="AG8387" t="s">
        <v>8651</v>
      </c>
      <c r="AH8387" t="s">
        <v>8652</v>
      </c>
      <c r="AI8387" t="str">
        <f>"9410199"</f>
        <v>9410199</v>
      </c>
      <c r="AJ8387" t="s">
        <v>12940</v>
      </c>
      <c r="AK8387">
        <v>2834022502</v>
      </c>
      <c r="AL8387" t="s">
        <v>12941</v>
      </c>
      <c r="AM8387" t="s">
        <v>64</v>
      </c>
      <c r="AN8387" t="s">
        <v>5672</v>
      </c>
      <c r="AO8387" t="s">
        <v>5673</v>
      </c>
      <c r="AP8387" t="s">
        <v>12904</v>
      </c>
      <c r="AQ8387">
        <v>8</v>
      </c>
      <c r="AR8387" t="s">
        <v>66</v>
      </c>
      <c r="AS8387" t="s">
        <v>67</v>
      </c>
      <c r="AT8387" t="s">
        <v>58</v>
      </c>
      <c r="AU8387" t="s">
        <v>68</v>
      </c>
      <c r="AV8387" t="s">
        <v>69</v>
      </c>
      <c r="AW8387" s="1">
        <v>27098</v>
      </c>
      <c r="AX8387">
        <v>1</v>
      </c>
    </row>
    <row r="8388" spans="1:50">
      <c r="A8388">
        <v>590652</v>
      </c>
      <c r="B8388" t="str">
        <f>"053670501"</f>
        <v>053670501</v>
      </c>
      <c r="C8388" t="s">
        <v>50</v>
      </c>
      <c r="D8388" t="s">
        <v>12942</v>
      </c>
      <c r="E8388" t="s">
        <v>155</v>
      </c>
      <c r="F8388" t="s">
        <v>84</v>
      </c>
      <c r="G8388" t="s">
        <v>910</v>
      </c>
      <c r="H8388" t="str">
        <f>"Α.ΠΑΠΑΔΑΚΗ 22 ΡΕΘΥΜΝΟ"</f>
        <v>Α.ΠΑΠΑΔΑΚΗ 22 ΡΕΘΥΜΝΟ</v>
      </c>
      <c r="I8388">
        <v>74100</v>
      </c>
      <c r="J8388">
        <v>2831056364</v>
      </c>
      <c r="K8388">
        <v>6945953488</v>
      </c>
      <c r="N8388" t="s">
        <v>1525</v>
      </c>
      <c r="O8388" t="s">
        <v>1526</v>
      </c>
      <c r="R8388" t="s">
        <v>57</v>
      </c>
      <c r="S8388">
        <v>11</v>
      </c>
      <c r="T8388">
        <v>176</v>
      </c>
      <c r="U8388" s="1">
        <v>36403</v>
      </c>
      <c r="V8388" t="s">
        <v>66</v>
      </c>
      <c r="W8388" t="s">
        <v>67</v>
      </c>
      <c r="X8388" t="s">
        <v>58</v>
      </c>
      <c r="Y8388">
        <v>25</v>
      </c>
      <c r="Z8388" t="s">
        <v>59</v>
      </c>
      <c r="AA8388" t="s">
        <v>59</v>
      </c>
      <c r="AB8388" t="s">
        <v>59</v>
      </c>
      <c r="AC8388" t="s">
        <v>59</v>
      </c>
      <c r="AD8388" t="s">
        <v>59</v>
      </c>
      <c r="AF8388" s="1">
        <v>36405</v>
      </c>
      <c r="AG8388" t="s">
        <v>8651</v>
      </c>
      <c r="AH8388" t="s">
        <v>8652</v>
      </c>
      <c r="AI8388" t="str">
        <f>"9410220"</f>
        <v>9410220</v>
      </c>
      <c r="AJ8388" t="s">
        <v>12943</v>
      </c>
      <c r="AK8388">
        <v>2831055513</v>
      </c>
      <c r="AL8388" t="s">
        <v>12944</v>
      </c>
      <c r="AM8388" t="s">
        <v>64</v>
      </c>
      <c r="AN8388" t="s">
        <v>65</v>
      </c>
      <c r="AO8388" t="s">
        <v>65</v>
      </c>
      <c r="AP8388" t="s">
        <v>65</v>
      </c>
      <c r="AQ8388">
        <v>1</v>
      </c>
      <c r="AR8388" t="s">
        <v>66</v>
      </c>
      <c r="AS8388" t="s">
        <v>67</v>
      </c>
      <c r="AT8388" t="s">
        <v>58</v>
      </c>
      <c r="AU8388" t="s">
        <v>68</v>
      </c>
      <c r="AV8388" t="s">
        <v>69</v>
      </c>
      <c r="AW8388" s="1">
        <v>25750</v>
      </c>
      <c r="AX8388">
        <v>1</v>
      </c>
    </row>
    <row r="8389" spans="1:50">
      <c r="A8389">
        <v>618940</v>
      </c>
      <c r="B8389" t="str">
        <f>"113640290"</f>
        <v>113640290</v>
      </c>
      <c r="C8389" t="s">
        <v>50</v>
      </c>
      <c r="D8389" t="s">
        <v>12945</v>
      </c>
      <c r="E8389" t="s">
        <v>4390</v>
      </c>
      <c r="F8389" t="s">
        <v>108</v>
      </c>
      <c r="G8389" t="s">
        <v>714</v>
      </c>
      <c r="H8389" t="str">
        <f>"ΓΙΑΝΝΗ ΜΑΘΙΟΥΔΑΚΗ 15 ΡΕΘΥΜΝΟ"</f>
        <v>ΓΙΑΝΝΗ ΜΑΘΙΟΥΔΑΚΗ 15 ΡΕΘΥΜΝΟ</v>
      </c>
      <c r="I8389">
        <v>74100</v>
      </c>
      <c r="J8389">
        <v>2831035393</v>
      </c>
      <c r="K8389">
        <v>6938676983</v>
      </c>
      <c r="L8389">
        <v>2831024933</v>
      </c>
      <c r="N8389" t="s">
        <v>1525</v>
      </c>
      <c r="O8389" t="s">
        <v>1526</v>
      </c>
      <c r="R8389" t="s">
        <v>57</v>
      </c>
      <c r="S8389">
        <v>6</v>
      </c>
      <c r="T8389">
        <v>774</v>
      </c>
      <c r="U8389" s="1">
        <v>39680</v>
      </c>
      <c r="V8389" t="s">
        <v>66</v>
      </c>
      <c r="W8389" t="s">
        <v>67</v>
      </c>
      <c r="X8389" t="s">
        <v>58</v>
      </c>
      <c r="Y8389">
        <v>25</v>
      </c>
      <c r="Z8389" t="s">
        <v>59</v>
      </c>
      <c r="AA8389" t="s">
        <v>59</v>
      </c>
      <c r="AB8389" t="s">
        <v>59</v>
      </c>
      <c r="AC8389" t="s">
        <v>59</v>
      </c>
      <c r="AD8389" t="s">
        <v>59</v>
      </c>
      <c r="AF8389" s="1">
        <v>39681</v>
      </c>
      <c r="AG8389" t="s">
        <v>8651</v>
      </c>
      <c r="AH8389" t="s">
        <v>8652</v>
      </c>
      <c r="AI8389" t="str">
        <f>"9410228"</f>
        <v>9410228</v>
      </c>
      <c r="AJ8389" t="s">
        <v>12946</v>
      </c>
      <c r="AK8389">
        <v>2831071202</v>
      </c>
      <c r="AL8389" t="s">
        <v>12947</v>
      </c>
      <c r="AM8389" t="s">
        <v>64</v>
      </c>
      <c r="AN8389" t="s">
        <v>65</v>
      </c>
      <c r="AO8389" t="s">
        <v>12694</v>
      </c>
      <c r="AP8389" t="s">
        <v>12948</v>
      </c>
      <c r="AQ8389">
        <v>3</v>
      </c>
      <c r="AR8389" t="s">
        <v>66</v>
      </c>
      <c r="AS8389" t="s">
        <v>67</v>
      </c>
      <c r="AT8389" t="s">
        <v>58</v>
      </c>
      <c r="AU8389" t="s">
        <v>68</v>
      </c>
      <c r="AV8389" t="s">
        <v>69</v>
      </c>
      <c r="AW8389" s="1">
        <v>27557</v>
      </c>
      <c r="AX8389">
        <v>1</v>
      </c>
    </row>
    <row r="8390" spans="1:50">
      <c r="B8390" t="str">
        <f>"124357190"</f>
        <v>124357190</v>
      </c>
      <c r="C8390" t="s">
        <v>50</v>
      </c>
      <c r="D8390" t="s">
        <v>1099</v>
      </c>
      <c r="E8390" t="s">
        <v>326</v>
      </c>
      <c r="F8390" t="s">
        <v>53</v>
      </c>
      <c r="G8390" t="s">
        <v>401</v>
      </c>
      <c r="H8390" t="str">
        <f>"ΜΗΤΡΟΠΟΥΛΟΥ 13 ΡΕΘΥΜΝΟ"</f>
        <v>ΜΗΤΡΟΠΟΥΛΟΥ 13 ΡΕΘΥΜΝΟ</v>
      </c>
      <c r="I8390">
        <v>74100</v>
      </c>
      <c r="J8390">
        <v>2831025685</v>
      </c>
      <c r="K8390">
        <v>6973895241</v>
      </c>
      <c r="M8390" t="s">
        <v>12949</v>
      </c>
      <c r="N8390" t="s">
        <v>306</v>
      </c>
      <c r="O8390" t="s">
        <v>307</v>
      </c>
      <c r="R8390" t="s">
        <v>159</v>
      </c>
      <c r="S8390">
        <v>5</v>
      </c>
      <c r="T8390" t="s">
        <v>8675</v>
      </c>
      <c r="U8390" s="1">
        <v>43348</v>
      </c>
      <c r="V8390" t="s">
        <v>66</v>
      </c>
      <c r="W8390" t="s">
        <v>67</v>
      </c>
      <c r="X8390" t="s">
        <v>58</v>
      </c>
      <c r="Y8390">
        <v>24</v>
      </c>
      <c r="Z8390" t="s">
        <v>59</v>
      </c>
      <c r="AA8390" t="s">
        <v>59</v>
      </c>
      <c r="AB8390" t="s">
        <v>59</v>
      </c>
      <c r="AC8390" t="s">
        <v>59</v>
      </c>
      <c r="AD8390" t="s">
        <v>59</v>
      </c>
      <c r="AF8390" s="1">
        <v>43348</v>
      </c>
      <c r="AG8390" t="s">
        <v>8645</v>
      </c>
      <c r="AH8390" t="s">
        <v>8646</v>
      </c>
      <c r="AI8390" t="str">
        <f>"9521348"</f>
        <v>9521348</v>
      </c>
      <c r="AJ8390" t="s">
        <v>12714</v>
      </c>
      <c r="AK8390">
        <v>2831021334</v>
      </c>
      <c r="AL8390" t="s">
        <v>12715</v>
      </c>
      <c r="AM8390" t="s">
        <v>64</v>
      </c>
      <c r="AN8390" t="s">
        <v>65</v>
      </c>
      <c r="AO8390" t="s">
        <v>5720</v>
      </c>
      <c r="AP8390" t="s">
        <v>5721</v>
      </c>
      <c r="AQ8390">
        <v>2</v>
      </c>
      <c r="AR8390" t="s">
        <v>66</v>
      </c>
      <c r="AS8390" t="s">
        <v>67</v>
      </c>
      <c r="AT8390" t="s">
        <v>58</v>
      </c>
      <c r="AU8390" t="s">
        <v>8673</v>
      </c>
      <c r="AV8390" t="s">
        <v>132</v>
      </c>
      <c r="AW8390" s="1">
        <v>28864</v>
      </c>
      <c r="AX8390">
        <v>1</v>
      </c>
    </row>
    <row r="8391" spans="1:50">
      <c r="A8391">
        <v>622594</v>
      </c>
      <c r="B8391" t="str">
        <f>"131496559"</f>
        <v>131496559</v>
      </c>
      <c r="C8391" t="s">
        <v>50</v>
      </c>
      <c r="D8391" t="s">
        <v>1099</v>
      </c>
      <c r="E8391" t="s">
        <v>52</v>
      </c>
      <c r="F8391" t="s">
        <v>95</v>
      </c>
      <c r="G8391" t="s">
        <v>8287</v>
      </c>
      <c r="H8391" t="str">
        <f>"ΚΑΠΟΔΙΣΤΡΙΟΥ 1Β ΡΕΘΥΜΝΟ"</f>
        <v>ΚΑΠΟΔΙΣΤΡΙΟΥ 1Β ΡΕΘΥΜΝΟ</v>
      </c>
      <c r="I8391">
        <v>74100</v>
      </c>
      <c r="K8391">
        <v>6995034258</v>
      </c>
      <c r="N8391" t="s">
        <v>1525</v>
      </c>
      <c r="O8391" t="s">
        <v>1526</v>
      </c>
      <c r="R8391" t="s">
        <v>57</v>
      </c>
      <c r="S8391">
        <v>4</v>
      </c>
      <c r="T8391">
        <v>653</v>
      </c>
      <c r="U8391" s="1">
        <v>40043</v>
      </c>
      <c r="V8391" t="s">
        <v>66</v>
      </c>
      <c r="W8391" t="s">
        <v>67</v>
      </c>
      <c r="X8391" t="s">
        <v>58</v>
      </c>
      <c r="Y8391">
        <v>25</v>
      </c>
      <c r="Z8391" t="s">
        <v>59</v>
      </c>
      <c r="AA8391" t="s">
        <v>59</v>
      </c>
      <c r="AB8391" t="s">
        <v>59</v>
      </c>
      <c r="AC8391" t="s">
        <v>59</v>
      </c>
      <c r="AD8391" t="s">
        <v>59</v>
      </c>
      <c r="AF8391" s="1">
        <v>40043</v>
      </c>
      <c r="AG8391" t="s">
        <v>8651</v>
      </c>
      <c r="AH8391" t="s">
        <v>8652</v>
      </c>
      <c r="AI8391" t="str">
        <f>"9410199"</f>
        <v>9410199</v>
      </c>
      <c r="AJ8391" t="s">
        <v>12940</v>
      </c>
      <c r="AK8391">
        <v>2834022502</v>
      </c>
      <c r="AL8391" t="s">
        <v>12941</v>
      </c>
      <c r="AM8391" t="s">
        <v>64</v>
      </c>
      <c r="AN8391" t="s">
        <v>5672</v>
      </c>
      <c r="AO8391" t="s">
        <v>5673</v>
      </c>
      <c r="AP8391" t="s">
        <v>12904</v>
      </c>
      <c r="AQ8391">
        <v>8</v>
      </c>
      <c r="AR8391" t="s">
        <v>66</v>
      </c>
      <c r="AS8391" t="s">
        <v>67</v>
      </c>
      <c r="AT8391" t="s">
        <v>58</v>
      </c>
      <c r="AU8391" t="s">
        <v>68</v>
      </c>
      <c r="AV8391" t="s">
        <v>69</v>
      </c>
      <c r="AW8391" s="1">
        <v>29161</v>
      </c>
      <c r="AX8391">
        <v>1</v>
      </c>
    </row>
    <row r="8392" spans="1:50">
      <c r="A8392">
        <v>621839</v>
      </c>
      <c r="B8392" t="str">
        <f>"138998685"</f>
        <v>138998685</v>
      </c>
      <c r="C8392" t="s">
        <v>50</v>
      </c>
      <c r="D8392" t="s">
        <v>7857</v>
      </c>
      <c r="E8392" t="s">
        <v>191</v>
      </c>
      <c r="F8392" t="s">
        <v>12950</v>
      </c>
      <c r="G8392" t="s">
        <v>96</v>
      </c>
      <c r="H8392" t="str">
        <f>"ΠΑΡΘΕΝΩΝΟΣ 5 ΗΡΑΚΛΕΙΟ"</f>
        <v>ΠΑΡΘΕΝΩΝΟΣ 5 ΗΡΑΚΛΕΙΟ</v>
      </c>
      <c r="I8392">
        <v>71409</v>
      </c>
      <c r="J8392">
        <v>2810322606</v>
      </c>
      <c r="K8392">
        <v>6948720467</v>
      </c>
      <c r="M8392" t="s">
        <v>12951</v>
      </c>
      <c r="N8392" t="s">
        <v>615</v>
      </c>
      <c r="O8392" t="s">
        <v>616</v>
      </c>
      <c r="R8392" t="s">
        <v>57</v>
      </c>
      <c r="S8392">
        <v>5</v>
      </c>
      <c r="T8392">
        <v>653</v>
      </c>
      <c r="U8392" s="1">
        <v>40043</v>
      </c>
      <c r="V8392" t="s">
        <v>66</v>
      </c>
      <c r="W8392" t="s">
        <v>67</v>
      </c>
      <c r="X8392" t="s">
        <v>58</v>
      </c>
      <c r="Y8392">
        <v>23</v>
      </c>
      <c r="Z8392" t="s">
        <v>59</v>
      </c>
      <c r="AA8392" t="s">
        <v>59</v>
      </c>
      <c r="AB8392" t="s">
        <v>59</v>
      </c>
      <c r="AC8392" t="s">
        <v>59</v>
      </c>
      <c r="AD8392" t="s">
        <v>59</v>
      </c>
      <c r="AF8392" s="1">
        <v>40044</v>
      </c>
      <c r="AG8392" t="s">
        <v>8645</v>
      </c>
      <c r="AH8392" t="s">
        <v>8646</v>
      </c>
      <c r="AI8392" t="str">
        <f>"9410212"</f>
        <v>9410212</v>
      </c>
      <c r="AJ8392" t="s">
        <v>12747</v>
      </c>
      <c r="AK8392">
        <v>2831022132</v>
      </c>
      <c r="AL8392" t="s">
        <v>12748</v>
      </c>
      <c r="AM8392" t="s">
        <v>64</v>
      </c>
      <c r="AN8392" t="s">
        <v>65</v>
      </c>
      <c r="AO8392" t="s">
        <v>65</v>
      </c>
      <c r="AP8392" t="s">
        <v>65</v>
      </c>
      <c r="AQ8392">
        <v>1</v>
      </c>
      <c r="AR8392" t="s">
        <v>66</v>
      </c>
      <c r="AS8392" t="s">
        <v>67</v>
      </c>
      <c r="AT8392" t="s">
        <v>58</v>
      </c>
      <c r="AU8392" t="s">
        <v>68</v>
      </c>
      <c r="AV8392" t="s">
        <v>69</v>
      </c>
      <c r="AW8392" s="1">
        <v>30155</v>
      </c>
      <c r="AX8392">
        <v>1</v>
      </c>
    </row>
    <row r="8393" spans="1:50">
      <c r="A8393">
        <v>598002</v>
      </c>
      <c r="B8393" t="str">
        <f>"045569091"</f>
        <v>045569091</v>
      </c>
      <c r="C8393" t="s">
        <v>105</v>
      </c>
      <c r="D8393" t="s">
        <v>12952</v>
      </c>
      <c r="E8393" t="s">
        <v>111</v>
      </c>
      <c r="F8393" t="s">
        <v>84</v>
      </c>
      <c r="G8393" t="s">
        <v>4002</v>
      </c>
      <c r="H8393" t="str">
        <f>"ΕΜΜ. ΚΑΛΑΪΤΖΑΚΗ 3 ΡΕΘΥΜΝΟ"</f>
        <v>ΕΜΜ. ΚΑΛΑΪΤΖΑΚΗ 3 ΡΕΘΥΜΝΟ</v>
      </c>
      <c r="I8393">
        <v>74100</v>
      </c>
      <c r="J8393">
        <v>2831026934</v>
      </c>
      <c r="K8393">
        <v>6972863042</v>
      </c>
      <c r="N8393" t="s">
        <v>615</v>
      </c>
      <c r="O8393" t="s">
        <v>616</v>
      </c>
      <c r="R8393" t="s">
        <v>57</v>
      </c>
      <c r="S8393">
        <v>10</v>
      </c>
      <c r="T8393">
        <v>195</v>
      </c>
      <c r="U8393" s="1">
        <v>37497</v>
      </c>
      <c r="V8393" t="s">
        <v>66</v>
      </c>
      <c r="W8393" t="s">
        <v>67</v>
      </c>
      <c r="X8393" t="s">
        <v>58</v>
      </c>
      <c r="Y8393">
        <v>21</v>
      </c>
      <c r="Z8393" t="s">
        <v>59</v>
      </c>
      <c r="AA8393" t="s">
        <v>59</v>
      </c>
      <c r="AB8393" t="s">
        <v>59</v>
      </c>
      <c r="AC8393" t="s">
        <v>59</v>
      </c>
      <c r="AD8393" t="s">
        <v>59</v>
      </c>
      <c r="AF8393" s="1">
        <v>37502</v>
      </c>
      <c r="AG8393" t="s">
        <v>8645</v>
      </c>
      <c r="AH8393" t="s">
        <v>8646</v>
      </c>
      <c r="AI8393" t="str">
        <f>"9410152"</f>
        <v>9410152</v>
      </c>
      <c r="AJ8393" t="s">
        <v>12686</v>
      </c>
      <c r="AK8393">
        <v>2831029088</v>
      </c>
      <c r="AL8393" t="s">
        <v>12687</v>
      </c>
      <c r="AM8393" t="s">
        <v>64</v>
      </c>
      <c r="AN8393" t="s">
        <v>65</v>
      </c>
      <c r="AO8393" t="s">
        <v>65</v>
      </c>
      <c r="AP8393" t="s">
        <v>65</v>
      </c>
      <c r="AQ8393">
        <v>1</v>
      </c>
      <c r="AR8393" t="s">
        <v>66</v>
      </c>
      <c r="AS8393" t="s">
        <v>67</v>
      </c>
      <c r="AT8393" t="s">
        <v>58</v>
      </c>
      <c r="AU8393" t="s">
        <v>68</v>
      </c>
      <c r="AV8393" t="s">
        <v>69</v>
      </c>
      <c r="AW8393" s="1">
        <v>24805</v>
      </c>
      <c r="AX8393">
        <v>1</v>
      </c>
    </row>
    <row r="8394" spans="1:50">
      <c r="B8394" t="str">
        <f>"141487000"</f>
        <v>141487000</v>
      </c>
      <c r="C8394" t="s">
        <v>105</v>
      </c>
      <c r="D8394" t="s">
        <v>12953</v>
      </c>
      <c r="E8394" t="s">
        <v>99</v>
      </c>
      <c r="F8394" t="s">
        <v>1041</v>
      </c>
      <c r="G8394" t="s">
        <v>476</v>
      </c>
      <c r="H8394" t="str">
        <f>"Υπιάτρου Τραινταφυλλλίδη 16-18 Ξάνθη"</f>
        <v>Υπιάτρου Τραινταφυλλλίδη 16-18 Ξάνθη</v>
      </c>
      <c r="I8394">
        <v>67100</v>
      </c>
      <c r="K8394">
        <v>6979738570</v>
      </c>
      <c r="M8394" t="s">
        <v>12954</v>
      </c>
      <c r="N8394" t="s">
        <v>384</v>
      </c>
      <c r="O8394" t="s">
        <v>385</v>
      </c>
      <c r="R8394" t="s">
        <v>121</v>
      </c>
      <c r="S8394">
        <v>1</v>
      </c>
      <c r="T8394" t="s">
        <v>8675</v>
      </c>
      <c r="U8394" s="1">
        <v>43348</v>
      </c>
      <c r="V8394" t="s">
        <v>66</v>
      </c>
      <c r="W8394" t="s">
        <v>67</v>
      </c>
      <c r="X8394" t="s">
        <v>58</v>
      </c>
      <c r="Y8394">
        <v>24</v>
      </c>
      <c r="Z8394" t="s">
        <v>59</v>
      </c>
      <c r="AA8394" t="s">
        <v>59</v>
      </c>
      <c r="AB8394" t="s">
        <v>59</v>
      </c>
      <c r="AD8394" t="s">
        <v>59</v>
      </c>
      <c r="AF8394" s="1">
        <v>43348</v>
      </c>
      <c r="AG8394" t="s">
        <v>8645</v>
      </c>
      <c r="AH8394" t="s">
        <v>8646</v>
      </c>
      <c r="AI8394" t="str">
        <f>"9410257"</f>
        <v>9410257</v>
      </c>
      <c r="AJ8394" t="s">
        <v>12828</v>
      </c>
      <c r="AK8394">
        <v>2831056242</v>
      </c>
      <c r="AL8394" t="s">
        <v>12829</v>
      </c>
      <c r="AM8394" t="s">
        <v>64</v>
      </c>
      <c r="AN8394" t="s">
        <v>65</v>
      </c>
      <c r="AO8394" t="s">
        <v>65</v>
      </c>
      <c r="AP8394" t="s">
        <v>65</v>
      </c>
      <c r="AQ8394">
        <v>1</v>
      </c>
      <c r="AR8394" t="s">
        <v>66</v>
      </c>
      <c r="AS8394" t="s">
        <v>67</v>
      </c>
      <c r="AT8394" t="s">
        <v>58</v>
      </c>
      <c r="AU8394" t="s">
        <v>8673</v>
      </c>
      <c r="AV8394" t="s">
        <v>132</v>
      </c>
      <c r="AW8394" s="1">
        <v>32376</v>
      </c>
      <c r="AX8394">
        <v>1</v>
      </c>
    </row>
    <row r="8395" spans="1:50">
      <c r="A8395">
        <v>621838</v>
      </c>
      <c r="B8395" t="str">
        <f>"147201420"</f>
        <v>147201420</v>
      </c>
      <c r="C8395" t="s">
        <v>105</v>
      </c>
      <c r="D8395" t="s">
        <v>1110</v>
      </c>
      <c r="E8395" t="s">
        <v>166</v>
      </c>
      <c r="F8395" t="s">
        <v>95</v>
      </c>
      <c r="G8395" t="s">
        <v>73</v>
      </c>
      <c r="H8395" t="str">
        <f>"ΒΑΣΙΛΙΚΗ  ΒΑΣΙΛΙΚΗ   ΔΗΜΟΥ ΓΟΡΤΥΝΑΣ     "</f>
        <v xml:space="preserve">ΒΑΣΙΛΙΚΗ  ΒΑΣΙΛΙΚΗ   ΔΗΜΟΥ ΓΟΡΤΥΝΑΣ     </v>
      </c>
      <c r="I8395">
        <v>70012</v>
      </c>
      <c r="J8395">
        <v>2892071652</v>
      </c>
      <c r="K8395">
        <v>6976185380</v>
      </c>
      <c r="N8395" t="s">
        <v>615</v>
      </c>
      <c r="O8395" t="s">
        <v>616</v>
      </c>
      <c r="R8395" t="s">
        <v>57</v>
      </c>
      <c r="S8395">
        <v>5</v>
      </c>
      <c r="T8395">
        <v>653</v>
      </c>
      <c r="U8395" s="1">
        <v>40043</v>
      </c>
      <c r="V8395" t="s">
        <v>66</v>
      </c>
      <c r="W8395" t="s">
        <v>67</v>
      </c>
      <c r="X8395" t="s">
        <v>58</v>
      </c>
      <c r="Y8395">
        <v>23</v>
      </c>
      <c r="Z8395" t="s">
        <v>59</v>
      </c>
      <c r="AA8395" t="s">
        <v>59</v>
      </c>
      <c r="AB8395" t="s">
        <v>59</v>
      </c>
      <c r="AC8395" t="s">
        <v>59</v>
      </c>
      <c r="AD8395" t="s">
        <v>59</v>
      </c>
      <c r="AF8395" s="1">
        <v>40043</v>
      </c>
      <c r="AG8395" t="s">
        <v>8645</v>
      </c>
      <c r="AH8395" t="s">
        <v>8646</v>
      </c>
      <c r="AI8395" t="str">
        <f>"9410170"</f>
        <v>9410170</v>
      </c>
      <c r="AJ8395" t="s">
        <v>12658</v>
      </c>
      <c r="AK8395">
        <v>2831061220</v>
      </c>
      <c r="AL8395" t="s">
        <v>12659</v>
      </c>
      <c r="AM8395" t="s">
        <v>64</v>
      </c>
      <c r="AN8395" t="s">
        <v>65</v>
      </c>
      <c r="AO8395" t="s">
        <v>5657</v>
      </c>
      <c r="AP8395" t="s">
        <v>1437</v>
      </c>
      <c r="AQ8395">
        <v>2</v>
      </c>
      <c r="AR8395" t="s">
        <v>66</v>
      </c>
      <c r="AS8395" t="s">
        <v>67</v>
      </c>
      <c r="AT8395" t="s">
        <v>58</v>
      </c>
      <c r="AU8395" t="s">
        <v>68</v>
      </c>
      <c r="AV8395" t="s">
        <v>69</v>
      </c>
      <c r="AW8395" s="1">
        <v>31029</v>
      </c>
      <c r="AX8395">
        <v>1</v>
      </c>
    </row>
    <row r="8396" spans="1:50">
      <c r="A8396">
        <v>621882</v>
      </c>
      <c r="B8396" t="str">
        <f>"142262183"</f>
        <v>142262183</v>
      </c>
      <c r="C8396" t="s">
        <v>50</v>
      </c>
      <c r="D8396" t="s">
        <v>12955</v>
      </c>
      <c r="E8396" t="s">
        <v>366</v>
      </c>
      <c r="F8396" t="s">
        <v>995</v>
      </c>
      <c r="G8396" t="s">
        <v>860</v>
      </c>
      <c r="H8396" t="str">
        <f>"ΠΡΟΜΑΧΟΙ ΑΡΙΔΑΙΑΣ ΑΡΙΔΑΙΑ"</f>
        <v>ΠΡΟΜΑΧΟΙ ΑΡΙΔΑΙΑΣ ΑΡΙΔΑΙΑ</v>
      </c>
      <c r="I8396">
        <v>58400</v>
      </c>
      <c r="J8396">
        <v>2384075289</v>
      </c>
      <c r="K8396">
        <v>6948872163</v>
      </c>
      <c r="M8396" t="s">
        <v>12956</v>
      </c>
      <c r="N8396" t="s">
        <v>615</v>
      </c>
      <c r="O8396" t="s">
        <v>616</v>
      </c>
      <c r="R8396" t="s">
        <v>57</v>
      </c>
      <c r="S8396">
        <v>5</v>
      </c>
      <c r="T8396">
        <v>653</v>
      </c>
      <c r="U8396" s="1">
        <v>40043</v>
      </c>
      <c r="V8396" t="s">
        <v>66</v>
      </c>
      <c r="W8396" t="s">
        <v>67</v>
      </c>
      <c r="X8396" t="s">
        <v>58</v>
      </c>
      <c r="Y8396">
        <v>23</v>
      </c>
      <c r="Z8396" t="s">
        <v>59</v>
      </c>
      <c r="AA8396" t="s">
        <v>59</v>
      </c>
      <c r="AB8396" t="s">
        <v>59</v>
      </c>
      <c r="AC8396" t="s">
        <v>59</v>
      </c>
      <c r="AD8396" t="s">
        <v>59</v>
      </c>
      <c r="AF8396" s="1">
        <v>40043</v>
      </c>
      <c r="AG8396" t="s">
        <v>8645</v>
      </c>
      <c r="AH8396" t="s">
        <v>8646</v>
      </c>
      <c r="AI8396" t="str">
        <f>"9410017"</f>
        <v>9410017</v>
      </c>
      <c r="AJ8396" t="s">
        <v>12785</v>
      </c>
      <c r="AK8396">
        <v>2834041452</v>
      </c>
      <c r="AL8396" t="s">
        <v>12786</v>
      </c>
      <c r="AM8396" t="s">
        <v>64</v>
      </c>
      <c r="AN8396" t="s">
        <v>5672</v>
      </c>
      <c r="AO8396" t="s">
        <v>5698</v>
      </c>
      <c r="AP8396" t="s">
        <v>12787</v>
      </c>
      <c r="AQ8396">
        <v>9</v>
      </c>
      <c r="AR8396" t="s">
        <v>66</v>
      </c>
      <c r="AS8396" t="s">
        <v>67</v>
      </c>
      <c r="AT8396" t="s">
        <v>58</v>
      </c>
      <c r="AU8396" t="s">
        <v>68</v>
      </c>
      <c r="AV8396" t="s">
        <v>69</v>
      </c>
      <c r="AW8396" s="1">
        <v>31369</v>
      </c>
      <c r="AX8396">
        <v>1</v>
      </c>
    </row>
    <row r="8397" spans="1:50">
      <c r="A8397">
        <v>598028</v>
      </c>
      <c r="B8397" t="str">
        <f>"077179716"</f>
        <v>077179716</v>
      </c>
      <c r="C8397" t="s">
        <v>105</v>
      </c>
      <c r="D8397" t="s">
        <v>12957</v>
      </c>
      <c r="E8397" t="s">
        <v>53</v>
      </c>
      <c r="F8397" t="s">
        <v>670</v>
      </c>
      <c r="G8397" t="s">
        <v>5434</v>
      </c>
      <c r="H8397" t="str">
        <f>"ΕΜΜ. ΠΟΡΤΑΛΙΟΥ 28 ΡΕΘΥΜΝΟ"</f>
        <v>ΕΜΜ. ΠΟΡΤΑΛΙΟΥ 28 ΡΕΘΥΜΝΟ</v>
      </c>
      <c r="I8397">
        <v>74100</v>
      </c>
      <c r="J8397">
        <v>2831051182</v>
      </c>
      <c r="K8397">
        <v>6972246906</v>
      </c>
      <c r="N8397" t="s">
        <v>615</v>
      </c>
      <c r="O8397" t="s">
        <v>616</v>
      </c>
      <c r="R8397" t="s">
        <v>57</v>
      </c>
      <c r="S8397">
        <v>9</v>
      </c>
      <c r="T8397">
        <v>195</v>
      </c>
      <c r="U8397" s="1">
        <v>37497</v>
      </c>
      <c r="V8397" t="s">
        <v>66</v>
      </c>
      <c r="W8397" t="s">
        <v>67</v>
      </c>
      <c r="X8397" t="s">
        <v>58</v>
      </c>
      <c r="Y8397">
        <v>22</v>
      </c>
      <c r="Z8397" t="s">
        <v>59</v>
      </c>
      <c r="AA8397" t="s">
        <v>59</v>
      </c>
      <c r="AB8397" t="s">
        <v>59</v>
      </c>
      <c r="AC8397" t="s">
        <v>59</v>
      </c>
      <c r="AD8397" t="s">
        <v>59</v>
      </c>
      <c r="AF8397" s="1">
        <v>37501</v>
      </c>
      <c r="AG8397" t="s">
        <v>8645</v>
      </c>
      <c r="AH8397" t="s">
        <v>8646</v>
      </c>
      <c r="AI8397" t="str">
        <f>"9410212"</f>
        <v>9410212</v>
      </c>
      <c r="AJ8397" t="s">
        <v>12747</v>
      </c>
      <c r="AK8397">
        <v>2831022132</v>
      </c>
      <c r="AL8397" t="s">
        <v>12748</v>
      </c>
      <c r="AM8397" t="s">
        <v>64</v>
      </c>
      <c r="AN8397" t="s">
        <v>65</v>
      </c>
      <c r="AO8397" t="s">
        <v>65</v>
      </c>
      <c r="AP8397" t="s">
        <v>65</v>
      </c>
      <c r="AQ8397">
        <v>1</v>
      </c>
      <c r="AR8397" t="s">
        <v>66</v>
      </c>
      <c r="AS8397" t="s">
        <v>67</v>
      </c>
      <c r="AT8397" t="s">
        <v>58</v>
      </c>
      <c r="AU8397" t="s">
        <v>68</v>
      </c>
      <c r="AV8397" t="s">
        <v>2039</v>
      </c>
      <c r="AW8397" s="1">
        <v>25403</v>
      </c>
      <c r="AX8397">
        <v>1</v>
      </c>
    </row>
    <row r="8398" spans="1:50">
      <c r="A8398">
        <v>618671</v>
      </c>
      <c r="B8398" t="str">
        <f>"062176219"</f>
        <v>062176219</v>
      </c>
      <c r="C8398" t="s">
        <v>105</v>
      </c>
      <c r="D8398" t="s">
        <v>12958</v>
      </c>
      <c r="E8398" t="s">
        <v>760</v>
      </c>
      <c r="F8398" t="s">
        <v>315</v>
      </c>
      <c r="G8398" t="s">
        <v>396</v>
      </c>
      <c r="H8398" t="str">
        <f>"ΚΑΠΕΤΑΝ ΑΓΡΑ 3 ΠΟΛΥΚΑΣΤΡΟ"</f>
        <v>ΚΑΠΕΤΑΝ ΑΓΡΑ 3 ΠΟΛΥΚΑΣΤΡΟ</v>
      </c>
      <c r="I8398">
        <v>61200</v>
      </c>
      <c r="J8398">
        <v>2343025418</v>
      </c>
      <c r="K8398">
        <v>6973335424</v>
      </c>
      <c r="N8398" t="s">
        <v>615</v>
      </c>
      <c r="O8398" t="s">
        <v>616</v>
      </c>
      <c r="R8398" t="s">
        <v>57</v>
      </c>
      <c r="S8398">
        <v>10</v>
      </c>
      <c r="T8398">
        <v>774</v>
      </c>
      <c r="U8398" s="1">
        <v>39680</v>
      </c>
      <c r="V8398" t="s">
        <v>66</v>
      </c>
      <c r="W8398" t="s">
        <v>67</v>
      </c>
      <c r="X8398" t="s">
        <v>58</v>
      </c>
      <c r="Y8398">
        <v>23</v>
      </c>
      <c r="Z8398" t="s">
        <v>59</v>
      </c>
      <c r="AA8398" t="s">
        <v>59</v>
      </c>
      <c r="AB8398" t="s">
        <v>59</v>
      </c>
      <c r="AC8398" t="s">
        <v>59</v>
      </c>
      <c r="AD8398" t="s">
        <v>59</v>
      </c>
      <c r="AF8398" s="1">
        <v>39681</v>
      </c>
      <c r="AG8398" t="s">
        <v>8645</v>
      </c>
      <c r="AH8398" t="s">
        <v>8646</v>
      </c>
      <c r="AI8398" t="str">
        <f>"9410160"</f>
        <v>9410160</v>
      </c>
      <c r="AJ8398" t="s">
        <v>12689</v>
      </c>
      <c r="AK8398">
        <v>2831041098</v>
      </c>
      <c r="AL8398" t="s">
        <v>12690</v>
      </c>
      <c r="AM8398" t="s">
        <v>64</v>
      </c>
      <c r="AN8398" t="s">
        <v>65</v>
      </c>
      <c r="AO8398" t="s">
        <v>65</v>
      </c>
      <c r="AP8398" t="s">
        <v>11883</v>
      </c>
      <c r="AQ8398">
        <v>2</v>
      </c>
      <c r="AR8398" t="s">
        <v>66</v>
      </c>
      <c r="AS8398" t="s">
        <v>67</v>
      </c>
      <c r="AT8398" t="s">
        <v>58</v>
      </c>
      <c r="AU8398" t="s">
        <v>68</v>
      </c>
      <c r="AV8398" t="s">
        <v>69</v>
      </c>
      <c r="AW8398" s="1">
        <v>26971</v>
      </c>
      <c r="AX8398">
        <v>1</v>
      </c>
    </row>
    <row r="8399" spans="1:50">
      <c r="B8399" t="str">
        <f>"111220435"</f>
        <v>111220435</v>
      </c>
      <c r="C8399" t="s">
        <v>105</v>
      </c>
      <c r="D8399" t="s">
        <v>12959</v>
      </c>
      <c r="E8399" t="s">
        <v>166</v>
      </c>
      <c r="F8399" t="s">
        <v>450</v>
      </c>
      <c r="G8399" t="s">
        <v>52</v>
      </c>
      <c r="H8399" t="str">
        <f>"ΑΓΙΩΝ ΑΝΑΡΓΥΡΩΝ 38 ΜΑΡΟΥΣΙ"</f>
        <v>ΑΓΙΩΝ ΑΝΑΡΓΥΡΩΝ 38 ΜΑΡΟΥΣΙ</v>
      </c>
      <c r="I8399">
        <v>15124</v>
      </c>
      <c r="J8399">
        <v>2108050261</v>
      </c>
      <c r="K8399">
        <v>6973569953</v>
      </c>
      <c r="M8399" t="s">
        <v>12960</v>
      </c>
      <c r="N8399" t="s">
        <v>615</v>
      </c>
      <c r="O8399" t="s">
        <v>616</v>
      </c>
      <c r="R8399" t="s">
        <v>159</v>
      </c>
      <c r="S8399">
        <v>5</v>
      </c>
      <c r="T8399" t="s">
        <v>8675</v>
      </c>
      <c r="U8399" s="1">
        <v>43348</v>
      </c>
      <c r="V8399" t="s">
        <v>66</v>
      </c>
      <c r="W8399" t="s">
        <v>67</v>
      </c>
      <c r="X8399" t="s">
        <v>58</v>
      </c>
      <c r="Y8399">
        <v>24</v>
      </c>
      <c r="Z8399" t="s">
        <v>59</v>
      </c>
      <c r="AA8399" t="s">
        <v>59</v>
      </c>
      <c r="AB8399" t="s">
        <v>59</v>
      </c>
      <c r="AC8399" t="s">
        <v>59</v>
      </c>
      <c r="AD8399" t="s">
        <v>59</v>
      </c>
      <c r="AF8399" s="1">
        <v>43348</v>
      </c>
      <c r="AG8399" t="s">
        <v>8645</v>
      </c>
      <c r="AH8399" t="s">
        <v>8646</v>
      </c>
      <c r="AI8399" t="str">
        <f>"9410003"</f>
        <v>9410003</v>
      </c>
      <c r="AJ8399" t="s">
        <v>12794</v>
      </c>
      <c r="AK8399">
        <v>2834031213</v>
      </c>
      <c r="AL8399" t="s">
        <v>12795</v>
      </c>
      <c r="AM8399" t="s">
        <v>64</v>
      </c>
      <c r="AN8399" t="s">
        <v>5737</v>
      </c>
      <c r="AO8399" t="s">
        <v>5737</v>
      </c>
      <c r="AP8399" t="s">
        <v>5737</v>
      </c>
      <c r="AQ8399">
        <v>9</v>
      </c>
      <c r="AR8399" t="s">
        <v>66</v>
      </c>
      <c r="AS8399" t="s">
        <v>67</v>
      </c>
      <c r="AT8399" t="s">
        <v>58</v>
      </c>
      <c r="AU8399" t="s">
        <v>8673</v>
      </c>
      <c r="AV8399" t="s">
        <v>132</v>
      </c>
      <c r="AW8399" s="1">
        <v>31518</v>
      </c>
      <c r="AX8399">
        <v>1</v>
      </c>
    </row>
    <row r="8400" spans="1:50">
      <c r="A8400">
        <v>605988</v>
      </c>
      <c r="B8400" t="str">
        <f>"045960608"</f>
        <v>045960608</v>
      </c>
      <c r="C8400" t="s">
        <v>50</v>
      </c>
      <c r="D8400" t="s">
        <v>12961</v>
      </c>
      <c r="E8400" t="s">
        <v>4695</v>
      </c>
      <c r="F8400" t="s">
        <v>5858</v>
      </c>
      <c r="G8400" t="s">
        <v>3666</v>
      </c>
      <c r="H8400" t="str">
        <f>"ΜΑΧΗΣ ΚΡΗΤΗΣ 34Β ΡΕΘΥΜΝΟ"</f>
        <v>ΜΑΧΗΣ ΚΡΗΤΗΣ 34Β ΡΕΘΥΜΝΟ</v>
      </c>
      <c r="I8400">
        <v>74100</v>
      </c>
      <c r="J8400">
        <v>2831051122</v>
      </c>
      <c r="K8400">
        <v>6979908331</v>
      </c>
      <c r="N8400" t="s">
        <v>1525</v>
      </c>
      <c r="O8400" t="s">
        <v>1526</v>
      </c>
      <c r="R8400" t="s">
        <v>57</v>
      </c>
      <c r="S8400">
        <v>10</v>
      </c>
      <c r="T8400">
        <v>231</v>
      </c>
      <c r="U8400" s="1">
        <v>38230</v>
      </c>
      <c r="V8400" t="s">
        <v>66</v>
      </c>
      <c r="W8400" t="s">
        <v>67</v>
      </c>
      <c r="X8400" t="s">
        <v>58</v>
      </c>
      <c r="Y8400">
        <v>25</v>
      </c>
      <c r="Z8400" t="s">
        <v>59</v>
      </c>
      <c r="AA8400" t="s">
        <v>59</v>
      </c>
      <c r="AB8400" t="s">
        <v>59</v>
      </c>
      <c r="AC8400" t="s">
        <v>59</v>
      </c>
      <c r="AD8400" t="s">
        <v>59</v>
      </c>
      <c r="AF8400" s="1">
        <v>38231</v>
      </c>
      <c r="AG8400" t="s">
        <v>8651</v>
      </c>
      <c r="AH8400" t="s">
        <v>8652</v>
      </c>
      <c r="AI8400" t="str">
        <f>"9520776"</f>
        <v>9520776</v>
      </c>
      <c r="AJ8400" t="s">
        <v>12962</v>
      </c>
      <c r="AK8400">
        <v>2831026435</v>
      </c>
      <c r="AL8400" t="s">
        <v>12963</v>
      </c>
      <c r="AM8400" t="s">
        <v>64</v>
      </c>
      <c r="AN8400" t="s">
        <v>65</v>
      </c>
      <c r="AO8400" t="s">
        <v>65</v>
      </c>
      <c r="AP8400" t="s">
        <v>65</v>
      </c>
      <c r="AQ8400">
        <v>2</v>
      </c>
      <c r="AR8400" t="s">
        <v>66</v>
      </c>
      <c r="AS8400" t="s">
        <v>67</v>
      </c>
      <c r="AT8400" t="s">
        <v>58</v>
      </c>
      <c r="AU8400" t="s">
        <v>68</v>
      </c>
      <c r="AV8400" t="s">
        <v>69</v>
      </c>
      <c r="AW8400" s="1">
        <v>20537</v>
      </c>
      <c r="AX8400">
        <v>1</v>
      </c>
    </row>
    <row r="8401" spans="1:50">
      <c r="B8401" t="str">
        <f>"140218336"</f>
        <v>140218336</v>
      </c>
      <c r="C8401" t="s">
        <v>50</v>
      </c>
      <c r="D8401" t="s">
        <v>12964</v>
      </c>
      <c r="E8401" t="s">
        <v>476</v>
      </c>
      <c r="F8401" t="s">
        <v>383</v>
      </c>
      <c r="G8401" t="s">
        <v>83</v>
      </c>
      <c r="H8401" t="str">
        <f>"Γ. ΠΑΠΑΝΔΡΕΟΥ 22 ΑΘΗΝΑ"</f>
        <v>Γ. ΠΑΠΑΝΔΡΕΟΥ 22 ΑΘΗΝΑ</v>
      </c>
      <c r="I8401">
        <v>15773</v>
      </c>
      <c r="J8401">
        <v>2107795232</v>
      </c>
      <c r="K8401">
        <v>6932523263</v>
      </c>
      <c r="N8401" t="s">
        <v>615</v>
      </c>
      <c r="O8401" t="s">
        <v>616</v>
      </c>
      <c r="R8401" t="s">
        <v>159</v>
      </c>
      <c r="S8401">
        <v>4</v>
      </c>
      <c r="T8401" t="s">
        <v>8675</v>
      </c>
      <c r="U8401" s="1">
        <v>43348</v>
      </c>
      <c r="V8401" t="s">
        <v>66</v>
      </c>
      <c r="W8401" t="s">
        <v>67</v>
      </c>
      <c r="X8401" t="s">
        <v>58</v>
      </c>
      <c r="Y8401">
        <v>24</v>
      </c>
      <c r="Z8401" t="s">
        <v>59</v>
      </c>
      <c r="AA8401" t="s">
        <v>59</v>
      </c>
      <c r="AB8401" t="s">
        <v>59</v>
      </c>
      <c r="AC8401" t="s">
        <v>59</v>
      </c>
      <c r="AD8401" t="s">
        <v>59</v>
      </c>
      <c r="AF8401" s="1">
        <v>43348</v>
      </c>
      <c r="AG8401" t="s">
        <v>8645</v>
      </c>
      <c r="AH8401" t="s">
        <v>8646</v>
      </c>
      <c r="AI8401" t="str">
        <f>"9410065"</f>
        <v>9410065</v>
      </c>
      <c r="AJ8401" t="s">
        <v>12717</v>
      </c>
      <c r="AK8401">
        <v>2831022519</v>
      </c>
      <c r="AL8401" t="s">
        <v>12718</v>
      </c>
      <c r="AM8401" t="s">
        <v>64</v>
      </c>
      <c r="AN8401" t="s">
        <v>65</v>
      </c>
      <c r="AO8401" t="s">
        <v>65</v>
      </c>
      <c r="AP8401" t="s">
        <v>65</v>
      </c>
      <c r="AQ8401">
        <v>1</v>
      </c>
      <c r="AR8401" t="s">
        <v>66</v>
      </c>
      <c r="AS8401" t="s">
        <v>67</v>
      </c>
      <c r="AT8401" t="s">
        <v>58</v>
      </c>
      <c r="AU8401" t="s">
        <v>8673</v>
      </c>
      <c r="AV8401" t="s">
        <v>132</v>
      </c>
      <c r="AW8401" s="1">
        <v>31514</v>
      </c>
      <c r="AX8401">
        <v>1</v>
      </c>
    </row>
    <row r="8402" spans="1:50">
      <c r="B8402" t="str">
        <f>"031527433"</f>
        <v>031527433</v>
      </c>
      <c r="C8402" t="s">
        <v>105</v>
      </c>
      <c r="D8402" t="s">
        <v>12965</v>
      </c>
      <c r="E8402" t="s">
        <v>84</v>
      </c>
      <c r="F8402" t="s">
        <v>12966</v>
      </c>
      <c r="G8402" t="s">
        <v>221</v>
      </c>
      <c r="H8402" t="str">
        <f>"ΔΡΟΣΕΡΟ ΓΟΜΦΩΝ ΤΡΙΚΑΛΑ"</f>
        <v>ΔΡΟΣΕΡΟ ΓΟΜΦΩΝ ΤΡΙΚΑΛΑ</v>
      </c>
      <c r="I8402">
        <v>42100</v>
      </c>
      <c r="J8402">
        <v>2431043457</v>
      </c>
      <c r="K8402">
        <v>6982578944</v>
      </c>
      <c r="N8402" t="s">
        <v>176</v>
      </c>
      <c r="O8402" t="s">
        <v>177</v>
      </c>
      <c r="R8402" t="s">
        <v>159</v>
      </c>
      <c r="S8402">
        <v>2</v>
      </c>
      <c r="T8402" t="s">
        <v>9034</v>
      </c>
      <c r="U8402" s="1">
        <v>43377</v>
      </c>
      <c r="V8402" t="s">
        <v>66</v>
      </c>
      <c r="W8402" t="s">
        <v>67</v>
      </c>
      <c r="X8402" t="s">
        <v>58</v>
      </c>
      <c r="Y8402">
        <v>24</v>
      </c>
      <c r="Z8402" t="s">
        <v>59</v>
      </c>
      <c r="AA8402" t="s">
        <v>59</v>
      </c>
      <c r="AB8402" t="s">
        <v>59</v>
      </c>
      <c r="AC8402" t="s">
        <v>59</v>
      </c>
      <c r="AD8402" t="s">
        <v>59</v>
      </c>
      <c r="AF8402" s="1">
        <v>43377</v>
      </c>
      <c r="AG8402" t="s">
        <v>8645</v>
      </c>
      <c r="AH8402" t="s">
        <v>8646</v>
      </c>
      <c r="AI8402" t="str">
        <f>"9410114"</f>
        <v>9410114</v>
      </c>
      <c r="AJ8402" t="s">
        <v>12877</v>
      </c>
      <c r="AK8402">
        <v>2832031291</v>
      </c>
      <c r="AL8402" t="s">
        <v>12878</v>
      </c>
      <c r="AM8402" t="s">
        <v>64</v>
      </c>
      <c r="AN8402" t="s">
        <v>5882</v>
      </c>
      <c r="AO8402" t="s">
        <v>6099</v>
      </c>
      <c r="AP8402" t="s">
        <v>12815</v>
      </c>
      <c r="AQ8402">
        <v>5</v>
      </c>
      <c r="AR8402" t="s">
        <v>66</v>
      </c>
      <c r="AS8402" t="s">
        <v>67</v>
      </c>
      <c r="AT8402" t="s">
        <v>58</v>
      </c>
      <c r="AU8402" t="s">
        <v>8673</v>
      </c>
      <c r="AV8402" t="s">
        <v>132</v>
      </c>
      <c r="AW8402" s="1">
        <v>23579</v>
      </c>
      <c r="AX8402">
        <v>1</v>
      </c>
    </row>
    <row r="8403" spans="1:50">
      <c r="A8403">
        <v>619913</v>
      </c>
      <c r="B8403" t="str">
        <f>"076378074"</f>
        <v>076378074</v>
      </c>
      <c r="C8403" t="s">
        <v>105</v>
      </c>
      <c r="D8403" t="s">
        <v>12967</v>
      </c>
      <c r="E8403" t="s">
        <v>72</v>
      </c>
      <c r="F8403" t="s">
        <v>6899</v>
      </c>
      <c r="G8403" t="s">
        <v>191</v>
      </c>
      <c r="H8403" t="str">
        <f>"ΤΡΑΝΤΑΛΙΔΟΥ 15 ΡΕΘΥΜΝΟ"</f>
        <v>ΤΡΑΝΤΑΛΙΔΟΥ 15 ΡΕΘΥΜΝΟ</v>
      </c>
      <c r="I8403">
        <v>74132</v>
      </c>
      <c r="J8403">
        <v>2831055242</v>
      </c>
      <c r="K8403">
        <v>6977528523</v>
      </c>
      <c r="M8403" t="s">
        <v>12968</v>
      </c>
      <c r="N8403" t="s">
        <v>176</v>
      </c>
      <c r="O8403" t="s">
        <v>177</v>
      </c>
      <c r="R8403" t="s">
        <v>57</v>
      </c>
      <c r="S8403">
        <v>7</v>
      </c>
      <c r="T8403">
        <v>775</v>
      </c>
      <c r="U8403" s="1">
        <v>39680</v>
      </c>
      <c r="V8403" t="s">
        <v>66</v>
      </c>
      <c r="W8403" t="s">
        <v>67</v>
      </c>
      <c r="X8403" t="s">
        <v>58</v>
      </c>
      <c r="Y8403">
        <v>23</v>
      </c>
      <c r="Z8403" t="s">
        <v>59</v>
      </c>
      <c r="AA8403" t="s">
        <v>59</v>
      </c>
      <c r="AB8403" t="s">
        <v>59</v>
      </c>
      <c r="AC8403" t="s">
        <v>59</v>
      </c>
      <c r="AD8403" t="s">
        <v>59</v>
      </c>
      <c r="AF8403" s="1">
        <v>39681</v>
      </c>
      <c r="AG8403" t="s">
        <v>8645</v>
      </c>
      <c r="AH8403" t="s">
        <v>8646</v>
      </c>
      <c r="AI8403" t="str">
        <f>"9410263"</f>
        <v>9410263</v>
      </c>
      <c r="AJ8403" t="s">
        <v>12672</v>
      </c>
      <c r="AK8403">
        <v>2831053818</v>
      </c>
      <c r="AL8403" t="s">
        <v>12673</v>
      </c>
      <c r="AM8403" t="s">
        <v>64</v>
      </c>
      <c r="AN8403" t="s">
        <v>65</v>
      </c>
      <c r="AO8403" t="s">
        <v>65</v>
      </c>
      <c r="AP8403" t="s">
        <v>65</v>
      </c>
      <c r="AQ8403">
        <v>1</v>
      </c>
      <c r="AR8403" t="s">
        <v>66</v>
      </c>
      <c r="AS8403" t="s">
        <v>67</v>
      </c>
      <c r="AT8403" t="s">
        <v>58</v>
      </c>
      <c r="AU8403" t="s">
        <v>68</v>
      </c>
      <c r="AV8403" t="s">
        <v>69</v>
      </c>
      <c r="AW8403" s="1">
        <v>25175</v>
      </c>
      <c r="AX8403">
        <v>1</v>
      </c>
    </row>
    <row r="8404" spans="1:50">
      <c r="A8404">
        <v>621950</v>
      </c>
      <c r="B8404" t="str">
        <f>"129732399"</f>
        <v>129732399</v>
      </c>
      <c r="C8404" t="s">
        <v>50</v>
      </c>
      <c r="D8404" t="s">
        <v>12969</v>
      </c>
      <c r="E8404" t="s">
        <v>620</v>
      </c>
      <c r="F8404" t="s">
        <v>760</v>
      </c>
      <c r="G8404" t="s">
        <v>506</v>
      </c>
      <c r="H8404" t="str">
        <f>"ΑΣΚΛΗΠΙΟΥ 11 ΚΑΛΑΜΠΑΚΑ"</f>
        <v>ΑΣΚΛΗΠΙΟΥ 11 ΚΑΛΑΜΠΑΚΑ</v>
      </c>
      <c r="I8404">
        <v>42200</v>
      </c>
      <c r="J8404">
        <v>2432024956</v>
      </c>
      <c r="K8404">
        <v>6946427821</v>
      </c>
      <c r="N8404" t="s">
        <v>615</v>
      </c>
      <c r="O8404" t="s">
        <v>616</v>
      </c>
      <c r="R8404" t="s">
        <v>57</v>
      </c>
      <c r="S8404">
        <v>4</v>
      </c>
      <c r="T8404" t="s">
        <v>12970</v>
      </c>
      <c r="U8404" s="1">
        <v>40043</v>
      </c>
      <c r="V8404" t="s">
        <v>66</v>
      </c>
      <c r="W8404" t="s">
        <v>67</v>
      </c>
      <c r="X8404" t="s">
        <v>58</v>
      </c>
      <c r="Y8404">
        <v>23</v>
      </c>
      <c r="Z8404" t="s">
        <v>59</v>
      </c>
      <c r="AA8404" t="s">
        <v>59</v>
      </c>
      <c r="AB8404" t="s">
        <v>59</v>
      </c>
      <c r="AC8404" t="s">
        <v>59</v>
      </c>
      <c r="AD8404" t="s">
        <v>59</v>
      </c>
      <c r="AF8404" s="1">
        <v>40057</v>
      </c>
      <c r="AG8404" t="s">
        <v>8645</v>
      </c>
      <c r="AH8404" t="s">
        <v>8646</v>
      </c>
      <c r="AI8404" t="str">
        <f>"9410072"</f>
        <v>9410072</v>
      </c>
      <c r="AJ8404" t="s">
        <v>12692</v>
      </c>
      <c r="AK8404">
        <v>2831071264</v>
      </c>
      <c r="AL8404" t="s">
        <v>12693</v>
      </c>
      <c r="AM8404" t="s">
        <v>64</v>
      </c>
      <c r="AN8404" t="s">
        <v>65</v>
      </c>
      <c r="AO8404" t="s">
        <v>12694</v>
      </c>
      <c r="AP8404" t="s">
        <v>12695</v>
      </c>
      <c r="AQ8404">
        <v>3</v>
      </c>
      <c r="AR8404" t="s">
        <v>66</v>
      </c>
      <c r="AS8404" t="s">
        <v>67</v>
      </c>
      <c r="AT8404" t="s">
        <v>58</v>
      </c>
      <c r="AU8404" t="s">
        <v>68</v>
      </c>
      <c r="AV8404" t="s">
        <v>69</v>
      </c>
      <c r="AW8404" s="1">
        <v>31168</v>
      </c>
      <c r="AX8404">
        <v>1</v>
      </c>
    </row>
    <row r="8405" spans="1:50">
      <c r="A8405">
        <v>613189</v>
      </c>
      <c r="B8405" t="str">
        <f>"131471995"</f>
        <v>131471995</v>
      </c>
      <c r="C8405" t="s">
        <v>50</v>
      </c>
      <c r="D8405" t="s">
        <v>12971</v>
      </c>
      <c r="E8405" t="s">
        <v>52</v>
      </c>
      <c r="F8405" t="s">
        <v>111</v>
      </c>
      <c r="G8405" t="s">
        <v>215</v>
      </c>
      <c r="H8405" t="str">
        <f>"ΣΤ. ΨΥΧΟΥΝΤΑΚΗ 18 ΡΕΘΥΜΝΟ"</f>
        <v>ΣΤ. ΨΥΧΟΥΝΤΑΚΗ 18 ΡΕΘΥΜΝΟ</v>
      </c>
      <c r="I8405">
        <v>74100</v>
      </c>
      <c r="J8405">
        <v>2831023501</v>
      </c>
      <c r="K8405">
        <v>6972212202</v>
      </c>
      <c r="N8405" t="s">
        <v>615</v>
      </c>
      <c r="O8405" t="s">
        <v>616</v>
      </c>
      <c r="R8405" t="s">
        <v>57</v>
      </c>
      <c r="S8405">
        <v>6</v>
      </c>
      <c r="T8405">
        <v>598</v>
      </c>
      <c r="U8405" s="1">
        <v>39310</v>
      </c>
      <c r="V8405" t="s">
        <v>66</v>
      </c>
      <c r="W8405" t="s">
        <v>67</v>
      </c>
      <c r="X8405" t="s">
        <v>58</v>
      </c>
      <c r="Y8405">
        <v>23</v>
      </c>
      <c r="Z8405" t="s">
        <v>59</v>
      </c>
      <c r="AA8405" t="s">
        <v>59</v>
      </c>
      <c r="AB8405" t="s">
        <v>59</v>
      </c>
      <c r="AC8405" t="s">
        <v>59</v>
      </c>
      <c r="AD8405" t="s">
        <v>59</v>
      </c>
      <c r="AF8405" s="1">
        <v>39328</v>
      </c>
      <c r="AG8405" t="s">
        <v>8645</v>
      </c>
      <c r="AH8405" t="s">
        <v>8646</v>
      </c>
      <c r="AI8405" t="str">
        <f>"9410030"</f>
        <v>9410030</v>
      </c>
      <c r="AJ8405" t="s">
        <v>12743</v>
      </c>
      <c r="AK8405">
        <v>2834093217</v>
      </c>
      <c r="AL8405" t="s">
        <v>12744</v>
      </c>
      <c r="AM8405" t="s">
        <v>64</v>
      </c>
      <c r="AN8405" t="s">
        <v>65</v>
      </c>
      <c r="AO8405" t="s">
        <v>12694</v>
      </c>
      <c r="AP8405" t="s">
        <v>12745</v>
      </c>
      <c r="AQ8405">
        <v>3</v>
      </c>
      <c r="AR8405" t="s">
        <v>66</v>
      </c>
      <c r="AS8405" t="s">
        <v>67</v>
      </c>
      <c r="AT8405" t="s">
        <v>58</v>
      </c>
      <c r="AU8405" t="s">
        <v>68</v>
      </c>
      <c r="AV8405" t="s">
        <v>69</v>
      </c>
      <c r="AW8405" s="1">
        <v>30373</v>
      </c>
      <c r="AX8405">
        <v>1</v>
      </c>
    </row>
    <row r="8406" spans="1:50">
      <c r="B8406" t="str">
        <f>"136572015"</f>
        <v>136572015</v>
      </c>
      <c r="C8406" t="s">
        <v>105</v>
      </c>
      <c r="D8406" t="s">
        <v>12972</v>
      </c>
      <c r="E8406" t="s">
        <v>383</v>
      </c>
      <c r="F8406" t="s">
        <v>670</v>
      </c>
      <c r="G8406" t="s">
        <v>1114</v>
      </c>
      <c r="H8406" t="str">
        <f>" "</f>
        <v xml:space="preserve"> </v>
      </c>
      <c r="N8406" t="s">
        <v>615</v>
      </c>
      <c r="O8406" t="s">
        <v>616</v>
      </c>
      <c r="R8406" t="s">
        <v>121</v>
      </c>
      <c r="S8406">
        <v>1</v>
      </c>
      <c r="T8406" t="s">
        <v>9034</v>
      </c>
      <c r="U8406" s="1">
        <v>43377</v>
      </c>
      <c r="V8406" t="s">
        <v>66</v>
      </c>
      <c r="W8406" t="s">
        <v>67</v>
      </c>
      <c r="X8406" t="s">
        <v>58</v>
      </c>
      <c r="Y8406">
        <v>24</v>
      </c>
      <c r="Z8406" t="s">
        <v>59</v>
      </c>
      <c r="AA8406" t="s">
        <v>59</v>
      </c>
      <c r="AB8406" t="s">
        <v>59</v>
      </c>
      <c r="AD8406" t="s">
        <v>59</v>
      </c>
      <c r="AF8406" s="1">
        <v>43377</v>
      </c>
      <c r="AG8406" t="s">
        <v>8645</v>
      </c>
      <c r="AH8406" t="s">
        <v>8646</v>
      </c>
      <c r="AI8406" t="str">
        <f>"9410051"</f>
        <v>9410051</v>
      </c>
      <c r="AJ8406" t="s">
        <v>12660</v>
      </c>
      <c r="AK8406">
        <v>2834022247</v>
      </c>
      <c r="AL8406" t="s">
        <v>12661</v>
      </c>
      <c r="AM8406" t="s">
        <v>64</v>
      </c>
      <c r="AN8406" t="s">
        <v>5672</v>
      </c>
      <c r="AO8406" t="s">
        <v>5673</v>
      </c>
      <c r="AP8406" t="s">
        <v>5689</v>
      </c>
      <c r="AQ8406">
        <v>7</v>
      </c>
      <c r="AR8406" t="s">
        <v>66</v>
      </c>
      <c r="AS8406" t="s">
        <v>67</v>
      </c>
      <c r="AT8406" t="s">
        <v>58</v>
      </c>
      <c r="AU8406" t="s">
        <v>8673</v>
      </c>
      <c r="AV8406" t="s">
        <v>132</v>
      </c>
      <c r="AW8406" s="1">
        <v>32509</v>
      </c>
      <c r="AX8406">
        <v>1</v>
      </c>
    </row>
    <row r="8407" spans="1:50">
      <c r="B8407" t="str">
        <f>"142165973"</f>
        <v>142165973</v>
      </c>
      <c r="C8407" t="s">
        <v>105</v>
      </c>
      <c r="D8407" t="s">
        <v>12973</v>
      </c>
      <c r="E8407" t="s">
        <v>84</v>
      </c>
      <c r="F8407" t="s">
        <v>1357</v>
      </c>
      <c r="G8407" t="s">
        <v>237</v>
      </c>
      <c r="H8407" t="str">
        <f>"ΚΟΜΜΕΝΟΥ 177 "</f>
        <v xml:space="preserve">ΚΟΜΜΕΝΟΥ 177 </v>
      </c>
      <c r="I8407">
        <v>47100</v>
      </c>
      <c r="J8407">
        <v>2681027511</v>
      </c>
      <c r="K8407">
        <v>6971619245</v>
      </c>
      <c r="N8407" t="s">
        <v>615</v>
      </c>
      <c r="O8407" t="s">
        <v>616</v>
      </c>
      <c r="R8407" t="s">
        <v>159</v>
      </c>
      <c r="S8407">
        <v>5</v>
      </c>
      <c r="T8407" t="s">
        <v>8675</v>
      </c>
      <c r="U8407" s="1">
        <v>43348</v>
      </c>
      <c r="V8407" t="s">
        <v>66</v>
      </c>
      <c r="W8407" t="s">
        <v>67</v>
      </c>
      <c r="X8407" t="s">
        <v>58</v>
      </c>
      <c r="Y8407">
        <v>24</v>
      </c>
      <c r="Z8407" t="s">
        <v>59</v>
      </c>
      <c r="AA8407" t="s">
        <v>59</v>
      </c>
      <c r="AB8407" t="s">
        <v>59</v>
      </c>
      <c r="AC8407" t="s">
        <v>59</v>
      </c>
      <c r="AD8407" t="s">
        <v>59</v>
      </c>
      <c r="AF8407" s="1">
        <v>43348</v>
      </c>
      <c r="AG8407" t="s">
        <v>8645</v>
      </c>
      <c r="AH8407" t="s">
        <v>8646</v>
      </c>
      <c r="AI8407" t="str">
        <f>"9410003"</f>
        <v>9410003</v>
      </c>
      <c r="AJ8407" t="s">
        <v>12794</v>
      </c>
      <c r="AK8407">
        <v>2834031213</v>
      </c>
      <c r="AL8407" t="s">
        <v>12795</v>
      </c>
      <c r="AM8407" t="s">
        <v>64</v>
      </c>
      <c r="AN8407" t="s">
        <v>5737</v>
      </c>
      <c r="AO8407" t="s">
        <v>5737</v>
      </c>
      <c r="AP8407" t="s">
        <v>5737</v>
      </c>
      <c r="AQ8407">
        <v>9</v>
      </c>
      <c r="AR8407" t="s">
        <v>66</v>
      </c>
      <c r="AS8407" t="s">
        <v>67</v>
      </c>
      <c r="AT8407" t="s">
        <v>58</v>
      </c>
      <c r="AU8407" t="s">
        <v>8673</v>
      </c>
      <c r="AV8407" t="s">
        <v>132</v>
      </c>
      <c r="AW8407" s="1">
        <v>32228</v>
      </c>
      <c r="AX8407">
        <v>1</v>
      </c>
    </row>
    <row r="8408" spans="1:50">
      <c r="A8408">
        <v>704238</v>
      </c>
      <c r="B8408" t="str">
        <f>"113086041"</f>
        <v>113086041</v>
      </c>
      <c r="C8408" t="s">
        <v>50</v>
      </c>
      <c r="D8408" t="s">
        <v>12974</v>
      </c>
      <c r="E8408" t="s">
        <v>476</v>
      </c>
      <c r="F8408" t="s">
        <v>309</v>
      </c>
      <c r="G8408" t="s">
        <v>52</v>
      </c>
      <c r="H8408" t="str">
        <f>"ΛΟΥΛΟΥΔΙΩΝ 31 ΑΘΗΝΑ"</f>
        <v>ΛΟΥΛΟΥΔΙΩΝ 31 ΑΘΗΝΑ</v>
      </c>
      <c r="I8408">
        <v>15773</v>
      </c>
      <c r="J8408">
        <v>2651091395</v>
      </c>
      <c r="K8408">
        <v>6932651859</v>
      </c>
      <c r="N8408" t="s">
        <v>306</v>
      </c>
      <c r="O8408" t="s">
        <v>307</v>
      </c>
      <c r="R8408" t="s">
        <v>121</v>
      </c>
      <c r="S8408">
        <v>7</v>
      </c>
      <c r="T8408">
        <v>796</v>
      </c>
      <c r="U8408" s="1">
        <v>42968</v>
      </c>
      <c r="V8408" t="s">
        <v>66</v>
      </c>
      <c r="W8408" t="s">
        <v>67</v>
      </c>
      <c r="X8408" t="s">
        <v>58</v>
      </c>
      <c r="Y8408">
        <v>24</v>
      </c>
      <c r="Z8408" t="s">
        <v>59</v>
      </c>
      <c r="AA8408" t="s">
        <v>59</v>
      </c>
      <c r="AB8408" t="s">
        <v>59</v>
      </c>
      <c r="AC8408" t="s">
        <v>59</v>
      </c>
      <c r="AD8408" t="s">
        <v>59</v>
      </c>
      <c r="AF8408" s="1">
        <v>42968</v>
      </c>
      <c r="AG8408" t="s">
        <v>8645</v>
      </c>
      <c r="AH8408" t="s">
        <v>8646</v>
      </c>
      <c r="AI8408" t="str">
        <f>"9410072"</f>
        <v>9410072</v>
      </c>
      <c r="AJ8408" t="s">
        <v>12692</v>
      </c>
      <c r="AK8408">
        <v>2831071264</v>
      </c>
      <c r="AL8408" t="s">
        <v>12693</v>
      </c>
      <c r="AM8408" t="s">
        <v>64</v>
      </c>
      <c r="AN8408" t="s">
        <v>65</v>
      </c>
      <c r="AO8408" t="s">
        <v>12694</v>
      </c>
      <c r="AP8408" t="s">
        <v>12695</v>
      </c>
      <c r="AQ8408">
        <v>3</v>
      </c>
      <c r="AR8408" t="s">
        <v>66</v>
      </c>
      <c r="AS8408" t="s">
        <v>67</v>
      </c>
      <c r="AT8408" t="s">
        <v>58</v>
      </c>
      <c r="AU8408" t="s">
        <v>68</v>
      </c>
      <c r="AV8408" t="s">
        <v>69</v>
      </c>
      <c r="AW8408" s="1">
        <v>29221</v>
      </c>
      <c r="AX8408">
        <v>1</v>
      </c>
    </row>
    <row r="8409" spans="1:50">
      <c r="A8409">
        <v>619333</v>
      </c>
      <c r="B8409" t="str">
        <f>"100207456"</f>
        <v>100207456</v>
      </c>
      <c r="C8409" t="s">
        <v>50</v>
      </c>
      <c r="D8409" t="s">
        <v>12975</v>
      </c>
      <c r="E8409" t="s">
        <v>626</v>
      </c>
      <c r="F8409" t="s">
        <v>450</v>
      </c>
      <c r="G8409" t="s">
        <v>1189</v>
      </c>
      <c r="H8409" t="str">
        <f>"ΖΑΚΥΝΘΟΥ 2 ΚΟΡΥΔΑΛΛΟΣ ΑΤΤΙΚΗΣ"</f>
        <v>ΖΑΚΥΝΘΟΥ 2 ΚΟΡΥΔΑΛΛΟΣ ΑΤΤΙΚΗΣ</v>
      </c>
      <c r="I8409">
        <v>18121</v>
      </c>
      <c r="J8409">
        <v>2105442566</v>
      </c>
      <c r="K8409">
        <v>6957047483</v>
      </c>
      <c r="M8409" t="s">
        <v>12976</v>
      </c>
      <c r="N8409" t="s">
        <v>1525</v>
      </c>
      <c r="O8409" t="s">
        <v>1526</v>
      </c>
      <c r="R8409" t="s">
        <v>57</v>
      </c>
      <c r="S8409">
        <v>5</v>
      </c>
      <c r="T8409">
        <v>774</v>
      </c>
      <c r="U8409" s="1">
        <v>39680</v>
      </c>
      <c r="V8409" t="s">
        <v>66</v>
      </c>
      <c r="W8409" t="s">
        <v>67</v>
      </c>
      <c r="X8409" t="s">
        <v>58</v>
      </c>
      <c r="Y8409">
        <v>25</v>
      </c>
      <c r="Z8409" t="s">
        <v>59</v>
      </c>
      <c r="AA8409" t="s">
        <v>59</v>
      </c>
      <c r="AB8409" t="s">
        <v>59</v>
      </c>
      <c r="AC8409" t="s">
        <v>59</v>
      </c>
      <c r="AD8409" t="s">
        <v>59</v>
      </c>
      <c r="AF8409" s="1">
        <v>39681</v>
      </c>
      <c r="AG8409" t="s">
        <v>8651</v>
      </c>
      <c r="AH8409" t="s">
        <v>8652</v>
      </c>
      <c r="AI8409" t="str">
        <f>"9410151"</f>
        <v>9410151</v>
      </c>
      <c r="AJ8409" t="s">
        <v>12700</v>
      </c>
      <c r="AK8409">
        <v>2831024336</v>
      </c>
      <c r="AL8409" t="s">
        <v>12701</v>
      </c>
      <c r="AM8409" t="s">
        <v>64</v>
      </c>
      <c r="AN8409" t="s">
        <v>65</v>
      </c>
      <c r="AO8409" t="s">
        <v>65</v>
      </c>
      <c r="AP8409" t="s">
        <v>65</v>
      </c>
      <c r="AQ8409">
        <v>1</v>
      </c>
      <c r="AR8409" t="s">
        <v>66</v>
      </c>
      <c r="AS8409" t="s">
        <v>67</v>
      </c>
      <c r="AT8409" t="s">
        <v>58</v>
      </c>
      <c r="AU8409" t="s">
        <v>68</v>
      </c>
      <c r="AV8409" t="s">
        <v>69</v>
      </c>
      <c r="AW8409" s="1">
        <v>29021</v>
      </c>
      <c r="AX8409">
        <v>1</v>
      </c>
    </row>
    <row r="8410" spans="1:50">
      <c r="B8410" t="str">
        <f>"300640688"</f>
        <v>300640688</v>
      </c>
      <c r="C8410" t="s">
        <v>50</v>
      </c>
      <c r="D8410" t="s">
        <v>12977</v>
      </c>
      <c r="E8410" t="s">
        <v>238</v>
      </c>
      <c r="F8410" t="s">
        <v>450</v>
      </c>
      <c r="G8410" t="s">
        <v>112</v>
      </c>
      <c r="H8410" t="str">
        <f>"ΟΡΕΣΤΙΑΔΟΣ 8 "</f>
        <v xml:space="preserve">ΟΡΕΣΤΙΑΔΟΣ 8 </v>
      </c>
      <c r="I8410">
        <v>68100</v>
      </c>
      <c r="J8410">
        <v>2551080684</v>
      </c>
      <c r="K8410">
        <v>6941661767</v>
      </c>
      <c r="N8410" t="s">
        <v>306</v>
      </c>
      <c r="O8410" t="s">
        <v>307</v>
      </c>
      <c r="R8410" t="s">
        <v>159</v>
      </c>
      <c r="S8410">
        <v>4</v>
      </c>
      <c r="T8410" t="s">
        <v>8675</v>
      </c>
      <c r="U8410" s="1">
        <v>43348</v>
      </c>
      <c r="V8410" t="s">
        <v>66</v>
      </c>
      <c r="W8410" t="s">
        <v>67</v>
      </c>
      <c r="X8410" t="s">
        <v>58</v>
      </c>
      <c r="Y8410">
        <v>24</v>
      </c>
      <c r="Z8410" t="s">
        <v>59</v>
      </c>
      <c r="AA8410" t="s">
        <v>59</v>
      </c>
      <c r="AB8410" t="s">
        <v>59</v>
      </c>
      <c r="AC8410" t="s">
        <v>59</v>
      </c>
      <c r="AD8410" t="s">
        <v>59</v>
      </c>
      <c r="AF8410" s="1">
        <v>43348</v>
      </c>
      <c r="AG8410" t="s">
        <v>8645</v>
      </c>
      <c r="AH8410" t="s">
        <v>8646</v>
      </c>
      <c r="AI8410" t="str">
        <f>"9410038"</f>
        <v>9410038</v>
      </c>
      <c r="AJ8410" t="s">
        <v>12669</v>
      </c>
      <c r="AK8410">
        <v>2834061471</v>
      </c>
      <c r="AL8410" t="s">
        <v>12670</v>
      </c>
      <c r="AM8410" t="s">
        <v>64</v>
      </c>
      <c r="AN8410" t="s">
        <v>5672</v>
      </c>
      <c r="AO8410" t="s">
        <v>5698</v>
      </c>
      <c r="AP8410" t="s">
        <v>5699</v>
      </c>
      <c r="AQ8410">
        <v>9</v>
      </c>
      <c r="AR8410" t="s">
        <v>66</v>
      </c>
      <c r="AS8410" t="s">
        <v>67</v>
      </c>
      <c r="AT8410" t="s">
        <v>58</v>
      </c>
      <c r="AU8410" t="s">
        <v>8673</v>
      </c>
      <c r="AV8410" t="s">
        <v>132</v>
      </c>
      <c r="AW8410" s="1">
        <v>30647</v>
      </c>
      <c r="AX8410">
        <v>1</v>
      </c>
    </row>
    <row r="8411" spans="1:50">
      <c r="B8411" t="str">
        <f>"132873670"</f>
        <v>132873670</v>
      </c>
      <c r="C8411" t="s">
        <v>50</v>
      </c>
      <c r="D8411" t="s">
        <v>12978</v>
      </c>
      <c r="E8411" t="s">
        <v>484</v>
      </c>
      <c r="F8411" t="s">
        <v>383</v>
      </c>
      <c r="G8411" t="s">
        <v>83</v>
      </c>
      <c r="H8411" t="str">
        <f>" "</f>
        <v xml:space="preserve"> </v>
      </c>
      <c r="N8411" t="s">
        <v>306</v>
      </c>
      <c r="O8411" t="s">
        <v>307</v>
      </c>
      <c r="R8411" t="s">
        <v>159</v>
      </c>
      <c r="S8411">
        <v>1</v>
      </c>
      <c r="T8411" t="s">
        <v>8675</v>
      </c>
      <c r="U8411" s="1">
        <v>43348</v>
      </c>
      <c r="V8411" t="s">
        <v>66</v>
      </c>
      <c r="W8411" t="s">
        <v>67</v>
      </c>
      <c r="X8411" t="s">
        <v>58</v>
      </c>
      <c r="Y8411">
        <v>24</v>
      </c>
      <c r="Z8411" t="s">
        <v>59</v>
      </c>
      <c r="AA8411" t="s">
        <v>59</v>
      </c>
      <c r="AB8411" t="s">
        <v>59</v>
      </c>
      <c r="AD8411" t="s">
        <v>59</v>
      </c>
      <c r="AF8411" s="1">
        <v>43348</v>
      </c>
      <c r="AG8411" t="s">
        <v>8645</v>
      </c>
      <c r="AH8411" t="s">
        <v>8646</v>
      </c>
      <c r="AI8411" t="str">
        <f>"9410242"</f>
        <v>9410242</v>
      </c>
      <c r="AJ8411" t="s">
        <v>12796</v>
      </c>
      <c r="AK8411">
        <v>2834023145</v>
      </c>
      <c r="AL8411" t="s">
        <v>12797</v>
      </c>
      <c r="AM8411" t="s">
        <v>64</v>
      </c>
      <c r="AN8411" t="s">
        <v>5672</v>
      </c>
      <c r="AO8411" t="s">
        <v>5673</v>
      </c>
      <c r="AP8411" t="s">
        <v>5689</v>
      </c>
      <c r="AQ8411">
        <v>7</v>
      </c>
      <c r="AR8411" t="s">
        <v>66</v>
      </c>
      <c r="AS8411" t="s">
        <v>67</v>
      </c>
      <c r="AT8411" t="s">
        <v>58</v>
      </c>
      <c r="AU8411" t="s">
        <v>8673</v>
      </c>
      <c r="AV8411" t="s">
        <v>132</v>
      </c>
      <c r="AW8411" s="1">
        <v>30715</v>
      </c>
      <c r="AX8411">
        <v>1</v>
      </c>
    </row>
    <row r="8412" spans="1:50">
      <c r="A8412">
        <v>561267</v>
      </c>
      <c r="B8412" t="str">
        <f>"031428210"</f>
        <v>031428210</v>
      </c>
      <c r="C8412" t="s">
        <v>50</v>
      </c>
      <c r="D8412" t="s">
        <v>1182</v>
      </c>
      <c r="E8412" t="s">
        <v>237</v>
      </c>
      <c r="F8412" t="s">
        <v>106</v>
      </c>
      <c r="G8412" t="s">
        <v>1001</v>
      </c>
      <c r="H8412" t="str">
        <f>"ΕΠΙΣΚΟΠΗ ΡΕΘΥΜΝΟΥ ΕΠΙΣΚΟΠΗ ΡΕΘΥΜΝΟΥ"</f>
        <v>ΕΠΙΣΚΟΠΗ ΡΕΘΥΜΝΟΥ ΕΠΙΣΚΟΠΗ ΡΕΘΥΜΝΟΥ</v>
      </c>
      <c r="I8412">
        <v>74100</v>
      </c>
      <c r="J8412">
        <v>2831061894</v>
      </c>
      <c r="K8412">
        <v>6945618066</v>
      </c>
      <c r="M8412" t="s">
        <v>12979</v>
      </c>
      <c r="N8412" t="s">
        <v>615</v>
      </c>
      <c r="O8412" t="s">
        <v>616</v>
      </c>
      <c r="R8412" t="s">
        <v>57</v>
      </c>
      <c r="S8412">
        <v>15</v>
      </c>
      <c r="T8412">
        <v>159</v>
      </c>
      <c r="U8412" s="1">
        <v>32385</v>
      </c>
      <c r="V8412" t="s">
        <v>66</v>
      </c>
      <c r="W8412" t="s">
        <v>67</v>
      </c>
      <c r="X8412" t="s">
        <v>58</v>
      </c>
      <c r="Y8412">
        <v>21</v>
      </c>
      <c r="Z8412" t="s">
        <v>59</v>
      </c>
      <c r="AA8412" t="s">
        <v>59</v>
      </c>
      <c r="AB8412" t="s">
        <v>59</v>
      </c>
      <c r="AC8412" t="s">
        <v>59</v>
      </c>
      <c r="AD8412" t="s">
        <v>59</v>
      </c>
      <c r="AF8412" s="1">
        <v>32387</v>
      </c>
      <c r="AG8412" t="s">
        <v>8645</v>
      </c>
      <c r="AH8412" t="s">
        <v>8646</v>
      </c>
      <c r="AI8412" t="str">
        <f>"9410159"</f>
        <v>9410159</v>
      </c>
      <c r="AJ8412" t="s">
        <v>12980</v>
      </c>
      <c r="AK8412">
        <v>2831081279</v>
      </c>
      <c r="AL8412" t="s">
        <v>12981</v>
      </c>
      <c r="AM8412" t="s">
        <v>64</v>
      </c>
      <c r="AN8412" t="s">
        <v>65</v>
      </c>
      <c r="AO8412" t="s">
        <v>5657</v>
      </c>
      <c r="AP8412" t="s">
        <v>12982</v>
      </c>
      <c r="AQ8412">
        <v>4</v>
      </c>
      <c r="AR8412" t="s">
        <v>66</v>
      </c>
      <c r="AS8412" t="s">
        <v>67</v>
      </c>
      <c r="AT8412" t="s">
        <v>58</v>
      </c>
      <c r="AU8412" t="s">
        <v>68</v>
      </c>
      <c r="AV8412" t="s">
        <v>69</v>
      </c>
      <c r="AW8412" s="1">
        <v>23805</v>
      </c>
      <c r="AX8412">
        <v>1</v>
      </c>
    </row>
    <row r="8413" spans="1:50">
      <c r="B8413" t="str">
        <f>"135042147"</f>
        <v>135042147</v>
      </c>
      <c r="C8413" t="s">
        <v>105</v>
      </c>
      <c r="D8413" t="s">
        <v>12983</v>
      </c>
      <c r="E8413" t="s">
        <v>670</v>
      </c>
      <c r="F8413" t="s">
        <v>84</v>
      </c>
      <c r="G8413" t="s">
        <v>1959</v>
      </c>
      <c r="H8413" t="str">
        <f>" "</f>
        <v xml:space="preserve"> </v>
      </c>
      <c r="K8413">
        <v>6973569953</v>
      </c>
      <c r="M8413" t="s">
        <v>12984</v>
      </c>
      <c r="N8413" t="s">
        <v>615</v>
      </c>
      <c r="O8413" t="s">
        <v>616</v>
      </c>
      <c r="R8413" t="s">
        <v>159</v>
      </c>
      <c r="S8413">
        <v>1</v>
      </c>
      <c r="T8413" t="s">
        <v>8675</v>
      </c>
      <c r="U8413" s="1">
        <v>43348</v>
      </c>
      <c r="V8413" t="s">
        <v>66</v>
      </c>
      <c r="W8413" t="s">
        <v>67</v>
      </c>
      <c r="X8413" t="s">
        <v>58</v>
      </c>
      <c r="Y8413">
        <v>24</v>
      </c>
      <c r="Z8413" t="s">
        <v>59</v>
      </c>
      <c r="AA8413" t="s">
        <v>59</v>
      </c>
      <c r="AB8413" t="s">
        <v>59</v>
      </c>
      <c r="AD8413" t="s">
        <v>59</v>
      </c>
      <c r="AF8413" s="1">
        <v>43348</v>
      </c>
      <c r="AG8413" t="s">
        <v>8645</v>
      </c>
      <c r="AH8413" t="s">
        <v>8646</v>
      </c>
      <c r="AI8413" t="str">
        <f>"9410003"</f>
        <v>9410003</v>
      </c>
      <c r="AJ8413" t="s">
        <v>12794</v>
      </c>
      <c r="AK8413">
        <v>2834031213</v>
      </c>
      <c r="AL8413" t="s">
        <v>12795</v>
      </c>
      <c r="AM8413" t="s">
        <v>64</v>
      </c>
      <c r="AN8413" t="s">
        <v>5737</v>
      </c>
      <c r="AO8413" t="s">
        <v>5737</v>
      </c>
      <c r="AP8413" t="s">
        <v>5737</v>
      </c>
      <c r="AQ8413">
        <v>9</v>
      </c>
      <c r="AR8413" t="s">
        <v>66</v>
      </c>
      <c r="AS8413" t="s">
        <v>67</v>
      </c>
      <c r="AT8413" t="s">
        <v>58</v>
      </c>
      <c r="AU8413" t="s">
        <v>8673</v>
      </c>
      <c r="AV8413" t="s">
        <v>132</v>
      </c>
      <c r="AW8413" s="1">
        <v>32295</v>
      </c>
      <c r="AX8413">
        <v>1</v>
      </c>
    </row>
    <row r="8414" spans="1:50">
      <c r="B8414" t="str">
        <f>"130288460"</f>
        <v>130288460</v>
      </c>
      <c r="C8414" t="s">
        <v>50</v>
      </c>
      <c r="D8414" t="s">
        <v>12985</v>
      </c>
      <c r="E8414" t="s">
        <v>1902</v>
      </c>
      <c r="F8414" t="s">
        <v>670</v>
      </c>
      <c r="G8414" t="s">
        <v>83</v>
      </c>
      <c r="H8414" t="str">
        <f>"ΛΟΥΤΡΑ "</f>
        <v xml:space="preserve">ΛΟΥΤΡΑ </v>
      </c>
      <c r="I8414">
        <v>74100</v>
      </c>
      <c r="J8414">
        <v>2831073975</v>
      </c>
      <c r="K8414">
        <v>6977169432</v>
      </c>
      <c r="M8414" t="s">
        <v>12986</v>
      </c>
      <c r="N8414" t="s">
        <v>615</v>
      </c>
      <c r="O8414" t="s">
        <v>616</v>
      </c>
      <c r="R8414" t="s">
        <v>159</v>
      </c>
      <c r="S8414">
        <v>3</v>
      </c>
      <c r="T8414" t="s">
        <v>8675</v>
      </c>
      <c r="U8414" s="1">
        <v>43348</v>
      </c>
      <c r="V8414" t="s">
        <v>66</v>
      </c>
      <c r="W8414" t="s">
        <v>67</v>
      </c>
      <c r="X8414" t="s">
        <v>58</v>
      </c>
      <c r="Y8414">
        <v>24</v>
      </c>
      <c r="Z8414" t="s">
        <v>59</v>
      </c>
      <c r="AA8414" t="s">
        <v>59</v>
      </c>
      <c r="AB8414" t="s">
        <v>59</v>
      </c>
      <c r="AC8414" t="s">
        <v>59</v>
      </c>
      <c r="AD8414" t="s">
        <v>59</v>
      </c>
      <c r="AF8414" s="1">
        <v>43348</v>
      </c>
      <c r="AG8414" t="s">
        <v>8645</v>
      </c>
      <c r="AH8414" t="s">
        <v>8646</v>
      </c>
      <c r="AI8414" t="str">
        <f>"9410033"</f>
        <v>9410033</v>
      </c>
      <c r="AJ8414" t="s">
        <v>12778</v>
      </c>
      <c r="AK8414">
        <v>2834061210</v>
      </c>
      <c r="AL8414" t="s">
        <v>12779</v>
      </c>
      <c r="AM8414" t="s">
        <v>64</v>
      </c>
      <c r="AN8414" t="s">
        <v>5672</v>
      </c>
      <c r="AO8414" t="s">
        <v>12780</v>
      </c>
      <c r="AP8414" t="s">
        <v>12780</v>
      </c>
      <c r="AQ8414">
        <v>9</v>
      </c>
      <c r="AR8414" t="s">
        <v>66</v>
      </c>
      <c r="AS8414" t="s">
        <v>67</v>
      </c>
      <c r="AT8414" t="s">
        <v>58</v>
      </c>
      <c r="AU8414" t="s">
        <v>8673</v>
      </c>
      <c r="AV8414" t="s">
        <v>132</v>
      </c>
      <c r="AW8414" s="1">
        <v>29377</v>
      </c>
      <c r="AX8414">
        <v>1</v>
      </c>
    </row>
    <row r="8415" spans="1:50">
      <c r="A8415">
        <v>589930</v>
      </c>
      <c r="B8415" t="str">
        <f>"100098813"</f>
        <v>100098813</v>
      </c>
      <c r="C8415" t="s">
        <v>50</v>
      </c>
      <c r="D8415" t="s">
        <v>1206</v>
      </c>
      <c r="E8415" t="s">
        <v>855</v>
      </c>
      <c r="F8415" t="s">
        <v>108</v>
      </c>
      <c r="G8415" t="s">
        <v>699</v>
      </c>
      <c r="H8415" t="str">
        <f>"Ατσιπόπουλο Ρέθυμνο"</f>
        <v>Ατσιπόπουλο Ρέθυμνο</v>
      </c>
      <c r="I8415">
        <v>74100</v>
      </c>
      <c r="J8415">
        <v>2831033077</v>
      </c>
      <c r="K8415">
        <v>6972899248</v>
      </c>
      <c r="M8415" t="s">
        <v>12987</v>
      </c>
      <c r="N8415" t="s">
        <v>176</v>
      </c>
      <c r="O8415" t="s">
        <v>177</v>
      </c>
      <c r="R8415" t="s">
        <v>57</v>
      </c>
      <c r="S8415">
        <v>9</v>
      </c>
      <c r="T8415">
        <v>177</v>
      </c>
      <c r="U8415" s="1">
        <v>36403</v>
      </c>
      <c r="V8415" t="s">
        <v>66</v>
      </c>
      <c r="W8415" t="s">
        <v>67</v>
      </c>
      <c r="X8415" t="s">
        <v>58</v>
      </c>
      <c r="Y8415">
        <v>22</v>
      </c>
      <c r="Z8415" t="s">
        <v>59</v>
      </c>
      <c r="AA8415" t="s">
        <v>59</v>
      </c>
      <c r="AB8415" t="s">
        <v>59</v>
      </c>
      <c r="AC8415" t="s">
        <v>59</v>
      </c>
      <c r="AD8415" t="s">
        <v>59</v>
      </c>
      <c r="AF8415" s="1">
        <v>36405</v>
      </c>
      <c r="AG8415" t="s">
        <v>8645</v>
      </c>
      <c r="AH8415" t="s">
        <v>8646</v>
      </c>
      <c r="AI8415" t="str">
        <f>"9410166"</f>
        <v>9410166</v>
      </c>
      <c r="AJ8415" t="s">
        <v>12666</v>
      </c>
      <c r="AK8415">
        <v>2831031311</v>
      </c>
      <c r="AL8415" t="s">
        <v>12667</v>
      </c>
      <c r="AM8415" t="s">
        <v>64</v>
      </c>
      <c r="AN8415" t="s">
        <v>65</v>
      </c>
      <c r="AO8415" t="s">
        <v>5720</v>
      </c>
      <c r="AP8415" t="s">
        <v>5721</v>
      </c>
      <c r="AQ8415">
        <v>2</v>
      </c>
      <c r="AR8415" t="s">
        <v>66</v>
      </c>
      <c r="AS8415" t="s">
        <v>67</v>
      </c>
      <c r="AT8415" t="s">
        <v>58</v>
      </c>
      <c r="AU8415" t="s">
        <v>68</v>
      </c>
      <c r="AV8415" t="s">
        <v>69</v>
      </c>
      <c r="AW8415" s="1">
        <v>27072</v>
      </c>
      <c r="AX8415">
        <v>1</v>
      </c>
    </row>
    <row r="8416" spans="1:50">
      <c r="A8416">
        <v>611851</v>
      </c>
      <c r="B8416" t="str">
        <f>"137453546"</f>
        <v>137453546</v>
      </c>
      <c r="C8416" t="s">
        <v>50</v>
      </c>
      <c r="D8416" t="s">
        <v>1206</v>
      </c>
      <c r="E8416" t="s">
        <v>659</v>
      </c>
      <c r="F8416" t="s">
        <v>72</v>
      </c>
      <c r="G8416" t="s">
        <v>215</v>
      </c>
      <c r="H8416" t="str">
        <f>"ΑΝΩΓΕΙΑ ΜΥΛΟΠΟΤΑΜΟΥ "</f>
        <v xml:space="preserve">ΑΝΩΓΕΙΑ ΜΥΛΟΠΟΤΑΜΟΥ </v>
      </c>
      <c r="I8416">
        <v>74051</v>
      </c>
      <c r="J8416">
        <v>2834031138</v>
      </c>
      <c r="K8416">
        <v>6940778270</v>
      </c>
      <c r="M8416" t="s">
        <v>12988</v>
      </c>
      <c r="N8416" t="s">
        <v>1525</v>
      </c>
      <c r="O8416" t="s">
        <v>1526</v>
      </c>
      <c r="R8416" t="s">
        <v>57</v>
      </c>
      <c r="S8416">
        <v>5</v>
      </c>
      <c r="T8416">
        <v>233</v>
      </c>
      <c r="U8416" s="1">
        <v>38960</v>
      </c>
      <c r="V8416" t="s">
        <v>66</v>
      </c>
      <c r="W8416" t="s">
        <v>67</v>
      </c>
      <c r="X8416" t="s">
        <v>58</v>
      </c>
      <c r="Y8416">
        <v>25</v>
      </c>
      <c r="Z8416" t="s">
        <v>59</v>
      </c>
      <c r="AA8416" t="s">
        <v>59</v>
      </c>
      <c r="AB8416" t="s">
        <v>59</v>
      </c>
      <c r="AC8416" t="s">
        <v>59</v>
      </c>
      <c r="AD8416" t="s">
        <v>59</v>
      </c>
      <c r="AF8416" s="1">
        <v>38961</v>
      </c>
      <c r="AG8416" t="s">
        <v>8651</v>
      </c>
      <c r="AH8416" t="s">
        <v>8652</v>
      </c>
      <c r="AI8416" t="str">
        <f>"9410201"</f>
        <v>9410201</v>
      </c>
      <c r="AJ8416" t="s">
        <v>12989</v>
      </c>
      <c r="AK8416">
        <v>2834041225</v>
      </c>
      <c r="AL8416" t="s">
        <v>12990</v>
      </c>
      <c r="AM8416" t="s">
        <v>64</v>
      </c>
      <c r="AN8416" t="s">
        <v>5672</v>
      </c>
      <c r="AO8416" t="s">
        <v>5698</v>
      </c>
      <c r="AP8416" t="s">
        <v>5788</v>
      </c>
      <c r="AR8416" t="s">
        <v>66</v>
      </c>
      <c r="AS8416" t="s">
        <v>67</v>
      </c>
      <c r="AT8416" t="s">
        <v>58</v>
      </c>
      <c r="AU8416" t="s">
        <v>68</v>
      </c>
      <c r="AV8416" t="s">
        <v>69</v>
      </c>
      <c r="AW8416" s="1">
        <v>30182</v>
      </c>
      <c r="AX8416">
        <v>1</v>
      </c>
    </row>
    <row r="8417" spans="1:50">
      <c r="A8417">
        <v>606419</v>
      </c>
      <c r="B8417" t="str">
        <f>"061338670"</f>
        <v>061338670</v>
      </c>
      <c r="C8417" t="s">
        <v>50</v>
      </c>
      <c r="D8417" t="s">
        <v>12991</v>
      </c>
      <c r="E8417" t="s">
        <v>250</v>
      </c>
      <c r="F8417" t="s">
        <v>84</v>
      </c>
      <c r="G8417" t="s">
        <v>191</v>
      </c>
      <c r="H8417" t="str">
        <f>"ΜΑΚΕΔΟΝΙΑΣ 46 "</f>
        <v xml:space="preserve">ΜΑΚΕΔΟΝΙΑΣ 46 </v>
      </c>
      <c r="I8417">
        <v>18453</v>
      </c>
      <c r="J8417">
        <v>2831033236</v>
      </c>
      <c r="K8417">
        <v>6972909880</v>
      </c>
      <c r="M8417" t="s">
        <v>12992</v>
      </c>
      <c r="N8417" t="s">
        <v>1525</v>
      </c>
      <c r="O8417" t="s">
        <v>1526</v>
      </c>
      <c r="R8417" t="s">
        <v>57</v>
      </c>
      <c r="S8417">
        <v>7</v>
      </c>
      <c r="T8417">
        <v>231</v>
      </c>
      <c r="U8417" s="1">
        <v>38230</v>
      </c>
      <c r="V8417" t="s">
        <v>66</v>
      </c>
      <c r="W8417" t="s">
        <v>67</v>
      </c>
      <c r="X8417" t="s">
        <v>58</v>
      </c>
      <c r="Y8417">
        <v>25</v>
      </c>
      <c r="Z8417" t="s">
        <v>59</v>
      </c>
      <c r="AA8417" t="s">
        <v>59</v>
      </c>
      <c r="AB8417" t="s">
        <v>59</v>
      </c>
      <c r="AC8417" t="s">
        <v>59</v>
      </c>
      <c r="AD8417" t="s">
        <v>59</v>
      </c>
      <c r="AF8417" s="1">
        <v>38231</v>
      </c>
      <c r="AG8417" t="s">
        <v>8651</v>
      </c>
      <c r="AH8417" t="s">
        <v>8652</v>
      </c>
      <c r="AI8417" t="str">
        <f>"9521640"</f>
        <v>9521640</v>
      </c>
      <c r="AJ8417" t="s">
        <v>12993</v>
      </c>
      <c r="AK8417">
        <v>2831022274</v>
      </c>
      <c r="AM8417" t="s">
        <v>64</v>
      </c>
      <c r="AN8417" t="s">
        <v>65</v>
      </c>
      <c r="AO8417" t="s">
        <v>5720</v>
      </c>
      <c r="AP8417" t="s">
        <v>5721</v>
      </c>
      <c r="AQ8417">
        <v>2</v>
      </c>
      <c r="AR8417" t="s">
        <v>66</v>
      </c>
      <c r="AS8417" t="s">
        <v>67</v>
      </c>
      <c r="AT8417" t="s">
        <v>58</v>
      </c>
      <c r="AU8417" t="s">
        <v>68</v>
      </c>
      <c r="AV8417" t="s">
        <v>69</v>
      </c>
      <c r="AW8417" s="1">
        <v>27541</v>
      </c>
      <c r="AX8417">
        <v>1</v>
      </c>
    </row>
    <row r="8418" spans="1:50">
      <c r="B8418" t="str">
        <f>"149584875"</f>
        <v>149584875</v>
      </c>
      <c r="C8418" t="s">
        <v>50</v>
      </c>
      <c r="D8418" t="s">
        <v>12994</v>
      </c>
      <c r="E8418" t="s">
        <v>5342</v>
      </c>
      <c r="F8418" t="s">
        <v>794</v>
      </c>
      <c r="G8418" t="s">
        <v>221</v>
      </c>
      <c r="H8418" t="str">
        <f>" "</f>
        <v xml:space="preserve"> </v>
      </c>
      <c r="N8418" t="s">
        <v>8834</v>
      </c>
      <c r="O8418" t="s">
        <v>8695</v>
      </c>
      <c r="R8418" t="s">
        <v>121</v>
      </c>
      <c r="S8418">
        <v>3</v>
      </c>
      <c r="T8418" t="s">
        <v>8835</v>
      </c>
      <c r="U8418" s="1">
        <v>43348</v>
      </c>
      <c r="V8418" t="s">
        <v>66</v>
      </c>
      <c r="W8418" t="s">
        <v>67</v>
      </c>
      <c r="X8418" t="s">
        <v>58</v>
      </c>
      <c r="Y8418">
        <v>24</v>
      </c>
      <c r="Z8418" t="s">
        <v>59</v>
      </c>
      <c r="AA8418" t="s">
        <v>59</v>
      </c>
      <c r="AB8418" t="s">
        <v>59</v>
      </c>
      <c r="AD8418" t="s">
        <v>59</v>
      </c>
      <c r="AF8418" s="1">
        <v>43348</v>
      </c>
      <c r="AG8418" t="s">
        <v>8645</v>
      </c>
      <c r="AH8418" t="s">
        <v>8646</v>
      </c>
      <c r="AI8418" t="str">
        <f>"9410155"</f>
        <v>9410155</v>
      </c>
      <c r="AJ8418" t="s">
        <v>12663</v>
      </c>
      <c r="AK8418">
        <v>2831028697</v>
      </c>
      <c r="AL8418" t="s">
        <v>12664</v>
      </c>
      <c r="AM8418" t="s">
        <v>64</v>
      </c>
      <c r="AN8418" t="s">
        <v>65</v>
      </c>
      <c r="AO8418" t="s">
        <v>65</v>
      </c>
      <c r="AP8418" t="s">
        <v>65</v>
      </c>
      <c r="AQ8418">
        <v>1</v>
      </c>
      <c r="AR8418" t="s">
        <v>66</v>
      </c>
      <c r="AS8418" t="s">
        <v>67</v>
      </c>
      <c r="AT8418" t="s">
        <v>58</v>
      </c>
      <c r="AU8418" t="s">
        <v>131</v>
      </c>
      <c r="AV8418" t="s">
        <v>132</v>
      </c>
      <c r="AW8418" s="1">
        <v>33384</v>
      </c>
      <c r="AX8418">
        <v>1</v>
      </c>
    </row>
    <row r="8419" spans="1:50">
      <c r="B8419" t="str">
        <f>"149618441"</f>
        <v>149618441</v>
      </c>
      <c r="C8419" t="s">
        <v>50</v>
      </c>
      <c r="D8419" t="s">
        <v>1213</v>
      </c>
      <c r="E8419" t="s">
        <v>237</v>
      </c>
      <c r="F8419" t="s">
        <v>521</v>
      </c>
      <c r="G8419" t="s">
        <v>600</v>
      </c>
      <c r="H8419" t="str">
        <f>"  "</f>
        <v xml:space="preserve">  </v>
      </c>
      <c r="I8419">
        <v>70200</v>
      </c>
      <c r="J8419">
        <v>6938252629</v>
      </c>
      <c r="K8419">
        <v>6947763285</v>
      </c>
      <c r="N8419" t="s">
        <v>615</v>
      </c>
      <c r="O8419" t="s">
        <v>616</v>
      </c>
      <c r="R8419" t="s">
        <v>159</v>
      </c>
      <c r="S8419">
        <v>1</v>
      </c>
      <c r="T8419" t="s">
        <v>8675</v>
      </c>
      <c r="U8419" s="1">
        <v>43348</v>
      </c>
      <c r="V8419" t="s">
        <v>66</v>
      </c>
      <c r="W8419" t="s">
        <v>67</v>
      </c>
      <c r="X8419" t="s">
        <v>58</v>
      </c>
      <c r="Y8419">
        <v>24</v>
      </c>
      <c r="Z8419" t="s">
        <v>59</v>
      </c>
      <c r="AA8419" t="s">
        <v>59</v>
      </c>
      <c r="AB8419" t="s">
        <v>59</v>
      </c>
      <c r="AC8419" t="s">
        <v>59</v>
      </c>
      <c r="AD8419" t="s">
        <v>59</v>
      </c>
      <c r="AF8419" s="1">
        <v>43348</v>
      </c>
      <c r="AG8419" t="s">
        <v>8645</v>
      </c>
      <c r="AH8419" t="s">
        <v>8646</v>
      </c>
      <c r="AI8419" t="str">
        <f>"9410120"</f>
        <v>9410120</v>
      </c>
      <c r="AJ8419" t="s">
        <v>12681</v>
      </c>
      <c r="AK8419">
        <v>6978148714</v>
      </c>
      <c r="AL8419" t="s">
        <v>12682</v>
      </c>
      <c r="AM8419" t="s">
        <v>64</v>
      </c>
      <c r="AN8419" t="s">
        <v>5882</v>
      </c>
      <c r="AO8419" t="s">
        <v>5883</v>
      </c>
      <c r="AP8419" t="s">
        <v>5884</v>
      </c>
      <c r="AQ8419">
        <v>5</v>
      </c>
      <c r="AR8419" t="s">
        <v>66</v>
      </c>
      <c r="AS8419" t="s">
        <v>67</v>
      </c>
      <c r="AT8419" t="s">
        <v>58</v>
      </c>
      <c r="AU8419" t="s">
        <v>8673</v>
      </c>
      <c r="AV8419" t="s">
        <v>132</v>
      </c>
      <c r="AW8419" s="1">
        <v>32290</v>
      </c>
      <c r="AX8419">
        <v>1</v>
      </c>
    </row>
    <row r="8420" spans="1:50">
      <c r="A8420">
        <v>587657</v>
      </c>
      <c r="B8420" t="str">
        <f>"062396333"</f>
        <v>062396333</v>
      </c>
      <c r="C8420" t="s">
        <v>50</v>
      </c>
      <c r="D8420" t="s">
        <v>12995</v>
      </c>
      <c r="E8420" t="s">
        <v>12607</v>
      </c>
      <c r="F8420" t="s">
        <v>2933</v>
      </c>
      <c r="G8420" t="s">
        <v>12996</v>
      </c>
      <c r="H8420" t="str">
        <f>"ΚΑΣΤΕΛΑΚΙΑ ΡΕΘΥΜΝΟ"</f>
        <v>ΚΑΣΤΕΛΑΚΙΑ ΡΕΘΥΜΝΟ</v>
      </c>
      <c r="I8420">
        <v>74100</v>
      </c>
      <c r="K8420">
        <v>6985686336</v>
      </c>
      <c r="N8420" t="s">
        <v>337</v>
      </c>
      <c r="O8420" t="s">
        <v>338</v>
      </c>
      <c r="R8420" t="s">
        <v>57</v>
      </c>
      <c r="S8420">
        <v>9</v>
      </c>
      <c r="T8420">
        <v>164</v>
      </c>
      <c r="U8420" s="1">
        <v>36040</v>
      </c>
      <c r="V8420" t="s">
        <v>66</v>
      </c>
      <c r="W8420" t="s">
        <v>67</v>
      </c>
      <c r="X8420" t="s">
        <v>58</v>
      </c>
      <c r="Y8420">
        <v>21</v>
      </c>
      <c r="Z8420" t="s">
        <v>59</v>
      </c>
      <c r="AA8420" t="s">
        <v>59</v>
      </c>
      <c r="AB8420" t="s">
        <v>59</v>
      </c>
      <c r="AC8420" t="s">
        <v>59</v>
      </c>
      <c r="AD8420" t="s">
        <v>59</v>
      </c>
      <c r="AF8420" s="1">
        <v>36040</v>
      </c>
      <c r="AG8420" t="s">
        <v>8645</v>
      </c>
      <c r="AH8420" t="s">
        <v>8646</v>
      </c>
      <c r="AI8420" t="str">
        <f>"9410069"</f>
        <v>9410069</v>
      </c>
      <c r="AJ8420" t="s">
        <v>12674</v>
      </c>
      <c r="AK8420">
        <v>2831029296</v>
      </c>
      <c r="AL8420" t="s">
        <v>12675</v>
      </c>
      <c r="AM8420" t="s">
        <v>64</v>
      </c>
      <c r="AN8420" t="s">
        <v>65</v>
      </c>
      <c r="AO8420" t="s">
        <v>65</v>
      </c>
      <c r="AP8420" t="s">
        <v>65</v>
      </c>
      <c r="AQ8420">
        <v>1</v>
      </c>
      <c r="AR8420" t="s">
        <v>66</v>
      </c>
      <c r="AS8420" t="s">
        <v>67</v>
      </c>
      <c r="AT8420" t="s">
        <v>58</v>
      </c>
      <c r="AU8420" t="s">
        <v>68</v>
      </c>
      <c r="AV8420" t="s">
        <v>69</v>
      </c>
      <c r="AW8420" s="1">
        <v>26373</v>
      </c>
      <c r="AX8420">
        <v>1</v>
      </c>
    </row>
    <row r="8421" spans="1:50">
      <c r="A8421">
        <v>593270</v>
      </c>
      <c r="B8421" t="str">
        <f>"073495918"</f>
        <v>073495918</v>
      </c>
      <c r="C8421" t="s">
        <v>105</v>
      </c>
      <c r="D8421" t="s">
        <v>1373</v>
      </c>
      <c r="E8421" t="s">
        <v>383</v>
      </c>
      <c r="F8421" t="s">
        <v>1373</v>
      </c>
      <c r="G8421" t="s">
        <v>83</v>
      </c>
      <c r="H8421" t="str">
        <f>"ΚΟΛΟΚΟΤΡΩΝΗ 14 ΠΑΝΟΡΑΜΑ ΑΤΣΙΠΟΠΟΥΛΟ"</f>
        <v>ΚΟΛΟΚΟΤΡΩΝΗ 14 ΠΑΝΟΡΑΜΑ ΑΤΣΙΠΟΠΟΥΛΟ</v>
      </c>
      <c r="I8421">
        <v>74100</v>
      </c>
      <c r="J8421">
        <v>2831058522</v>
      </c>
      <c r="K8421">
        <v>6974191677</v>
      </c>
      <c r="N8421" t="s">
        <v>615</v>
      </c>
      <c r="O8421" t="s">
        <v>616</v>
      </c>
      <c r="R8421" t="s">
        <v>57</v>
      </c>
      <c r="S8421">
        <v>8</v>
      </c>
      <c r="T8421">
        <v>218</v>
      </c>
      <c r="U8421" s="1">
        <v>37134</v>
      </c>
      <c r="V8421" t="s">
        <v>66</v>
      </c>
      <c r="W8421" t="s">
        <v>67</v>
      </c>
      <c r="X8421" t="s">
        <v>58</v>
      </c>
      <c r="Y8421">
        <v>22</v>
      </c>
      <c r="Z8421" t="s">
        <v>59</v>
      </c>
      <c r="AA8421" t="s">
        <v>59</v>
      </c>
      <c r="AB8421" t="s">
        <v>59</v>
      </c>
      <c r="AC8421" t="s">
        <v>59</v>
      </c>
      <c r="AD8421" t="s">
        <v>59</v>
      </c>
      <c r="AF8421" s="1">
        <v>37140</v>
      </c>
      <c r="AG8421" t="s">
        <v>8645</v>
      </c>
      <c r="AH8421" t="s">
        <v>8646</v>
      </c>
      <c r="AI8421" t="str">
        <f>"9410065"</f>
        <v>9410065</v>
      </c>
      <c r="AJ8421" t="s">
        <v>12717</v>
      </c>
      <c r="AK8421">
        <v>2831022519</v>
      </c>
      <c r="AL8421" t="s">
        <v>12718</v>
      </c>
      <c r="AM8421" t="s">
        <v>64</v>
      </c>
      <c r="AN8421" t="s">
        <v>65</v>
      </c>
      <c r="AO8421" t="s">
        <v>65</v>
      </c>
      <c r="AP8421" t="s">
        <v>65</v>
      </c>
      <c r="AQ8421">
        <v>1</v>
      </c>
      <c r="AR8421" t="s">
        <v>66</v>
      </c>
      <c r="AS8421" t="s">
        <v>67</v>
      </c>
      <c r="AT8421" t="s">
        <v>58</v>
      </c>
      <c r="AU8421" t="s">
        <v>68</v>
      </c>
      <c r="AV8421" t="s">
        <v>69</v>
      </c>
      <c r="AW8421" s="1">
        <v>25813</v>
      </c>
      <c r="AX8421">
        <v>1</v>
      </c>
    </row>
    <row r="8422" spans="1:50">
      <c r="B8422" t="str">
        <f>"104807300"</f>
        <v>104807300</v>
      </c>
      <c r="C8422" t="s">
        <v>105</v>
      </c>
      <c r="D8422" t="s">
        <v>1232</v>
      </c>
      <c r="E8422" t="s">
        <v>564</v>
      </c>
      <c r="F8422" t="s">
        <v>95</v>
      </c>
      <c r="G8422" t="s">
        <v>3477</v>
      </c>
      <c r="H8422" t="str">
        <f>"Ν ΠΛΑΣΤΗΡΑ ΠΑΣΑΚΑΚΙ ΧΑΝΙΑ"</f>
        <v>Ν ΠΛΑΣΤΗΡΑ ΠΑΣΑΚΑΚΙ ΧΑΝΙΑ</v>
      </c>
      <c r="I8422">
        <v>73300</v>
      </c>
      <c r="J8422">
        <v>2821096883</v>
      </c>
      <c r="K8422">
        <v>6974321790</v>
      </c>
      <c r="N8422" t="s">
        <v>176</v>
      </c>
      <c r="O8422" t="s">
        <v>177</v>
      </c>
      <c r="R8422" t="s">
        <v>159</v>
      </c>
      <c r="S8422">
        <v>4</v>
      </c>
      <c r="T8422" t="s">
        <v>8675</v>
      </c>
      <c r="U8422" s="1">
        <v>43348</v>
      </c>
      <c r="V8422" t="s">
        <v>66</v>
      </c>
      <c r="W8422" t="s">
        <v>67</v>
      </c>
      <c r="X8422" t="s">
        <v>58</v>
      </c>
      <c r="Y8422">
        <v>24</v>
      </c>
      <c r="Z8422" t="s">
        <v>59</v>
      </c>
      <c r="AA8422" t="s">
        <v>59</v>
      </c>
      <c r="AB8422" t="s">
        <v>59</v>
      </c>
      <c r="AC8422" t="s">
        <v>59</v>
      </c>
      <c r="AD8422" t="s">
        <v>59</v>
      </c>
      <c r="AF8422" s="1">
        <v>43348</v>
      </c>
      <c r="AG8422" t="s">
        <v>8645</v>
      </c>
      <c r="AH8422" t="s">
        <v>8646</v>
      </c>
      <c r="AI8422" t="str">
        <f>"9410127"</f>
        <v>9410127</v>
      </c>
      <c r="AJ8422" t="s">
        <v>12767</v>
      </c>
      <c r="AK8422">
        <v>2833022347</v>
      </c>
      <c r="AL8422" t="s">
        <v>12768</v>
      </c>
      <c r="AM8422" t="s">
        <v>64</v>
      </c>
      <c r="AN8422" t="s">
        <v>5713</v>
      </c>
      <c r="AO8422" t="s">
        <v>5714</v>
      </c>
      <c r="AP8422" t="s">
        <v>5715</v>
      </c>
      <c r="AQ8422">
        <v>5</v>
      </c>
      <c r="AR8422" t="s">
        <v>66</v>
      </c>
      <c r="AS8422" t="s">
        <v>67</v>
      </c>
      <c r="AT8422" t="s">
        <v>58</v>
      </c>
      <c r="AU8422" t="s">
        <v>8673</v>
      </c>
      <c r="AV8422" t="s">
        <v>132</v>
      </c>
      <c r="AW8422" s="1">
        <v>29027</v>
      </c>
      <c r="AX8422">
        <v>1</v>
      </c>
    </row>
    <row r="8423" spans="1:50">
      <c r="A8423">
        <v>588133</v>
      </c>
      <c r="B8423" t="str">
        <f>"039605434"</f>
        <v>039605434</v>
      </c>
      <c r="C8423" t="s">
        <v>105</v>
      </c>
      <c r="D8423" t="s">
        <v>12997</v>
      </c>
      <c r="E8423" t="s">
        <v>202</v>
      </c>
      <c r="F8423" t="s">
        <v>95</v>
      </c>
      <c r="G8423" t="s">
        <v>964</v>
      </c>
      <c r="H8423" t="str">
        <f>"Γ. Κουρμουλη 136 ΡΕΘΥΜΝΟ"</f>
        <v>Γ. Κουρμουλη 136 ΡΕΘΥΜΝΟ</v>
      </c>
      <c r="I8423">
        <v>74100</v>
      </c>
      <c r="K8423">
        <v>6977929785</v>
      </c>
      <c r="M8423" t="s">
        <v>12998</v>
      </c>
      <c r="N8423" t="s">
        <v>615</v>
      </c>
      <c r="O8423" t="s">
        <v>616</v>
      </c>
      <c r="R8423" t="s">
        <v>57</v>
      </c>
      <c r="S8423">
        <v>14</v>
      </c>
      <c r="T8423">
        <v>181</v>
      </c>
      <c r="U8423" s="1">
        <v>35674</v>
      </c>
      <c r="V8423" t="s">
        <v>66</v>
      </c>
      <c r="W8423" t="s">
        <v>67</v>
      </c>
      <c r="X8423" t="s">
        <v>58</v>
      </c>
      <c r="Y8423">
        <v>21</v>
      </c>
      <c r="Z8423" t="s">
        <v>59</v>
      </c>
      <c r="AA8423" t="s">
        <v>59</v>
      </c>
      <c r="AB8423" t="s">
        <v>59</v>
      </c>
      <c r="AC8423" t="s">
        <v>59</v>
      </c>
      <c r="AD8423" t="s">
        <v>59</v>
      </c>
      <c r="AF8423" s="1">
        <v>35685</v>
      </c>
      <c r="AG8423" t="s">
        <v>8645</v>
      </c>
      <c r="AH8423" t="s">
        <v>8646</v>
      </c>
      <c r="AI8423" t="str">
        <f>"9410169"</f>
        <v>9410169</v>
      </c>
      <c r="AJ8423" t="s">
        <v>12936</v>
      </c>
      <c r="AK8423">
        <v>2831031123</v>
      </c>
      <c r="AL8423" t="s">
        <v>12937</v>
      </c>
      <c r="AM8423" t="s">
        <v>64</v>
      </c>
      <c r="AN8423" t="s">
        <v>65</v>
      </c>
      <c r="AO8423" t="s">
        <v>5720</v>
      </c>
      <c r="AP8423" t="s">
        <v>12938</v>
      </c>
      <c r="AQ8423">
        <v>2</v>
      </c>
      <c r="AR8423" t="s">
        <v>66</v>
      </c>
      <c r="AS8423" t="s">
        <v>67</v>
      </c>
      <c r="AT8423" t="s">
        <v>58</v>
      </c>
      <c r="AU8423" t="s">
        <v>68</v>
      </c>
      <c r="AV8423" t="s">
        <v>2039</v>
      </c>
      <c r="AW8423" s="1">
        <v>23858</v>
      </c>
      <c r="AX8423">
        <v>1</v>
      </c>
    </row>
    <row r="8424" spans="1:50">
      <c r="A8424">
        <v>601175</v>
      </c>
      <c r="B8424" t="str">
        <f>"057936095"</f>
        <v>057936095</v>
      </c>
      <c r="C8424" t="s">
        <v>50</v>
      </c>
      <c r="D8424" t="s">
        <v>7155</v>
      </c>
      <c r="E8424" t="s">
        <v>714</v>
      </c>
      <c r="F8424" t="s">
        <v>309</v>
      </c>
      <c r="G8424" t="s">
        <v>237</v>
      </c>
      <c r="H8424" t="str">
        <f>" "</f>
        <v xml:space="preserve"> </v>
      </c>
      <c r="J8424">
        <v>2831024445</v>
      </c>
      <c r="K8424">
        <v>6932726229</v>
      </c>
      <c r="N8424" t="s">
        <v>615</v>
      </c>
      <c r="O8424" t="s">
        <v>616</v>
      </c>
      <c r="R8424" t="s">
        <v>57</v>
      </c>
      <c r="S8424">
        <v>9</v>
      </c>
      <c r="T8424">
        <v>207</v>
      </c>
      <c r="U8424" s="1">
        <v>37866</v>
      </c>
      <c r="V8424" t="s">
        <v>66</v>
      </c>
      <c r="W8424" t="s">
        <v>67</v>
      </c>
      <c r="X8424" t="s">
        <v>58</v>
      </c>
      <c r="Y8424">
        <v>22</v>
      </c>
      <c r="Z8424" t="s">
        <v>59</v>
      </c>
      <c r="AA8424" t="s">
        <v>59</v>
      </c>
      <c r="AB8424" t="s">
        <v>59</v>
      </c>
      <c r="AC8424" t="s">
        <v>59</v>
      </c>
      <c r="AD8424" t="s">
        <v>59</v>
      </c>
      <c r="AF8424" s="1">
        <v>37866</v>
      </c>
      <c r="AG8424" t="s">
        <v>8645</v>
      </c>
      <c r="AH8424" t="s">
        <v>8646</v>
      </c>
      <c r="AI8424" t="str">
        <f>"9410067"</f>
        <v>9410067</v>
      </c>
      <c r="AJ8424" t="s">
        <v>12736</v>
      </c>
      <c r="AK8424">
        <v>2831022836</v>
      </c>
      <c r="AL8424" t="s">
        <v>12737</v>
      </c>
      <c r="AM8424" t="s">
        <v>64</v>
      </c>
      <c r="AN8424" t="s">
        <v>65</v>
      </c>
      <c r="AO8424" t="s">
        <v>65</v>
      </c>
      <c r="AP8424" t="s">
        <v>65</v>
      </c>
      <c r="AQ8424">
        <v>1</v>
      </c>
      <c r="AR8424" t="s">
        <v>66</v>
      </c>
      <c r="AS8424" t="s">
        <v>67</v>
      </c>
      <c r="AT8424" t="s">
        <v>58</v>
      </c>
      <c r="AU8424" t="s">
        <v>68</v>
      </c>
      <c r="AV8424" t="s">
        <v>69</v>
      </c>
      <c r="AW8424" s="1">
        <v>25266</v>
      </c>
      <c r="AX8424">
        <v>1</v>
      </c>
    </row>
    <row r="8425" spans="1:50">
      <c r="A8425">
        <v>614471</v>
      </c>
      <c r="B8425" t="str">
        <f>"131489950"</f>
        <v>131489950</v>
      </c>
      <c r="C8425" t="s">
        <v>50</v>
      </c>
      <c r="D8425" t="s">
        <v>12999</v>
      </c>
      <c r="E8425" t="s">
        <v>237</v>
      </c>
      <c r="F8425" t="s">
        <v>230</v>
      </c>
      <c r="G8425" t="s">
        <v>181</v>
      </c>
      <c r="H8425" t="str">
        <f>"ΑΞΟΥ 6 ΜΑΣΤΑΜΠΑΣ"</f>
        <v>ΑΞΟΥ 6 ΜΑΣΤΑΜΠΑΣ</v>
      </c>
      <c r="I8425">
        <v>74132</v>
      </c>
      <c r="K8425">
        <v>6974968186</v>
      </c>
      <c r="M8425" t="s">
        <v>13000</v>
      </c>
      <c r="N8425" t="s">
        <v>615</v>
      </c>
      <c r="O8425" t="s">
        <v>616</v>
      </c>
      <c r="R8425" t="s">
        <v>57</v>
      </c>
      <c r="S8425">
        <v>6</v>
      </c>
      <c r="T8425">
        <v>598</v>
      </c>
      <c r="U8425" s="1">
        <v>39310</v>
      </c>
      <c r="V8425" t="s">
        <v>66</v>
      </c>
      <c r="W8425" t="s">
        <v>67</v>
      </c>
      <c r="X8425" t="s">
        <v>58</v>
      </c>
      <c r="Y8425">
        <v>23</v>
      </c>
      <c r="Z8425" t="s">
        <v>59</v>
      </c>
      <c r="AA8425" t="s">
        <v>59</v>
      </c>
      <c r="AB8425" t="s">
        <v>59</v>
      </c>
      <c r="AC8425" t="s">
        <v>59</v>
      </c>
      <c r="AD8425" t="s">
        <v>59</v>
      </c>
      <c r="AF8425" s="1">
        <v>39328</v>
      </c>
      <c r="AG8425" t="s">
        <v>8645</v>
      </c>
      <c r="AH8425" t="s">
        <v>8646</v>
      </c>
      <c r="AI8425" t="str">
        <f>"9410263"</f>
        <v>9410263</v>
      </c>
      <c r="AJ8425" t="s">
        <v>12672</v>
      </c>
      <c r="AK8425">
        <v>2831053818</v>
      </c>
      <c r="AL8425" t="s">
        <v>12673</v>
      </c>
      <c r="AM8425" t="s">
        <v>64</v>
      </c>
      <c r="AN8425" t="s">
        <v>65</v>
      </c>
      <c r="AO8425" t="s">
        <v>65</v>
      </c>
      <c r="AP8425" t="s">
        <v>65</v>
      </c>
      <c r="AQ8425">
        <v>1</v>
      </c>
      <c r="AR8425" t="s">
        <v>66</v>
      </c>
      <c r="AS8425" t="s">
        <v>67</v>
      </c>
      <c r="AT8425" t="s">
        <v>58</v>
      </c>
      <c r="AU8425" t="s">
        <v>68</v>
      </c>
      <c r="AV8425" t="s">
        <v>69</v>
      </c>
      <c r="AW8425" s="1">
        <v>30447</v>
      </c>
      <c r="AX8425">
        <v>1</v>
      </c>
    </row>
    <row r="8426" spans="1:50">
      <c r="B8426" t="str">
        <f>"132795742"</f>
        <v>132795742</v>
      </c>
      <c r="C8426" t="s">
        <v>105</v>
      </c>
      <c r="D8426" t="s">
        <v>13001</v>
      </c>
      <c r="E8426" t="s">
        <v>558</v>
      </c>
      <c r="F8426" t="s">
        <v>84</v>
      </c>
      <c r="G8426" t="s">
        <v>340</v>
      </c>
      <c r="H8426" t="str">
        <f>"ΣΤΑΜΚΟΥ ΑΝΑΣΤΑΣΙΟΥ 22 "</f>
        <v xml:space="preserve">ΣΤΑΜΚΟΥ ΑΝΑΣΤΑΣΙΟΥ 22 </v>
      </c>
      <c r="I8426">
        <v>50100</v>
      </c>
      <c r="J8426">
        <v>2461038259</v>
      </c>
      <c r="K8426">
        <v>6972071637</v>
      </c>
      <c r="N8426" t="s">
        <v>615</v>
      </c>
      <c r="O8426" t="s">
        <v>616</v>
      </c>
      <c r="R8426" t="s">
        <v>159</v>
      </c>
      <c r="S8426">
        <v>6</v>
      </c>
      <c r="T8426" t="s">
        <v>8675</v>
      </c>
      <c r="U8426" s="1">
        <v>43348</v>
      </c>
      <c r="V8426" t="s">
        <v>66</v>
      </c>
      <c r="W8426" t="s">
        <v>67</v>
      </c>
      <c r="X8426" t="s">
        <v>58</v>
      </c>
      <c r="Y8426">
        <v>25</v>
      </c>
      <c r="Z8426" t="s">
        <v>59</v>
      </c>
      <c r="AA8426" t="s">
        <v>59</v>
      </c>
      <c r="AB8426" t="s">
        <v>59</v>
      </c>
      <c r="AC8426" t="s">
        <v>59</v>
      </c>
      <c r="AD8426" t="s">
        <v>59</v>
      </c>
      <c r="AF8426" s="1">
        <v>43348</v>
      </c>
      <c r="AG8426" t="s">
        <v>8645</v>
      </c>
      <c r="AH8426" t="s">
        <v>8676</v>
      </c>
      <c r="AI8426" t="str">
        <f>"9410109"</f>
        <v>9410109</v>
      </c>
      <c r="AJ8426" t="s">
        <v>13002</v>
      </c>
      <c r="AK8426">
        <v>2832041235</v>
      </c>
      <c r="AL8426" t="s">
        <v>13003</v>
      </c>
      <c r="AM8426" t="s">
        <v>64</v>
      </c>
      <c r="AN8426" t="s">
        <v>5882</v>
      </c>
      <c r="AO8426" t="s">
        <v>5883</v>
      </c>
      <c r="AP8426" t="s">
        <v>13004</v>
      </c>
      <c r="AQ8426">
        <v>6</v>
      </c>
      <c r="AR8426" t="s">
        <v>66</v>
      </c>
      <c r="AS8426" t="s">
        <v>67</v>
      </c>
      <c r="AT8426" t="s">
        <v>58</v>
      </c>
      <c r="AU8426" t="s">
        <v>8673</v>
      </c>
      <c r="AV8426" t="s">
        <v>132</v>
      </c>
      <c r="AW8426" s="1">
        <v>31186</v>
      </c>
      <c r="AX8426">
        <v>1</v>
      </c>
    </row>
    <row r="8427" spans="1:50">
      <c r="A8427">
        <v>594065</v>
      </c>
      <c r="B8427" t="str">
        <f>"076865313"</f>
        <v>076865313</v>
      </c>
      <c r="C8427" t="s">
        <v>50</v>
      </c>
      <c r="D8427" t="s">
        <v>13005</v>
      </c>
      <c r="E8427" t="s">
        <v>54</v>
      </c>
      <c r="F8427" t="s">
        <v>84</v>
      </c>
      <c r="G8427" t="s">
        <v>411</v>
      </c>
      <c r="H8427" t="str">
        <f>"Τ.Θ. 4-580 ΑΤΣΙΠΟΠΟΥΛΟ-ΡΕΘΥΜΝΟΥ"</f>
        <v>Τ.Θ. 4-580 ΑΤΣΙΠΟΠΟΥΛΟ-ΡΕΘΥΜΝΟΥ</v>
      </c>
      <c r="I8427">
        <v>74100</v>
      </c>
      <c r="K8427">
        <v>6942870904</v>
      </c>
      <c r="M8427" t="s">
        <v>13006</v>
      </c>
      <c r="N8427" t="s">
        <v>615</v>
      </c>
      <c r="O8427" t="s">
        <v>616</v>
      </c>
      <c r="R8427" t="s">
        <v>57</v>
      </c>
      <c r="S8427">
        <v>8</v>
      </c>
      <c r="T8427">
        <v>218</v>
      </c>
      <c r="U8427" s="1">
        <v>37138</v>
      </c>
      <c r="V8427" t="s">
        <v>66</v>
      </c>
      <c r="W8427" t="s">
        <v>67</v>
      </c>
      <c r="X8427" t="s">
        <v>58</v>
      </c>
      <c r="Y8427">
        <v>22</v>
      </c>
      <c r="Z8427" t="s">
        <v>59</v>
      </c>
      <c r="AA8427" t="s">
        <v>59</v>
      </c>
      <c r="AB8427" t="s">
        <v>59</v>
      </c>
      <c r="AC8427" t="s">
        <v>59</v>
      </c>
      <c r="AD8427" t="s">
        <v>59</v>
      </c>
      <c r="AF8427" s="1">
        <v>37138</v>
      </c>
      <c r="AG8427" t="s">
        <v>8645</v>
      </c>
      <c r="AH8427" t="s">
        <v>8646</v>
      </c>
      <c r="AI8427" t="str">
        <f>"9410166"</f>
        <v>9410166</v>
      </c>
      <c r="AJ8427" t="s">
        <v>12666</v>
      </c>
      <c r="AK8427">
        <v>2831031311</v>
      </c>
      <c r="AL8427" t="s">
        <v>12667</v>
      </c>
      <c r="AM8427" t="s">
        <v>64</v>
      </c>
      <c r="AN8427" t="s">
        <v>65</v>
      </c>
      <c r="AO8427" t="s">
        <v>5720</v>
      </c>
      <c r="AP8427" t="s">
        <v>5721</v>
      </c>
      <c r="AQ8427">
        <v>2</v>
      </c>
      <c r="AR8427" t="s">
        <v>66</v>
      </c>
      <c r="AS8427" t="s">
        <v>67</v>
      </c>
      <c r="AT8427" t="s">
        <v>58</v>
      </c>
      <c r="AU8427" t="s">
        <v>68</v>
      </c>
      <c r="AV8427" t="s">
        <v>69</v>
      </c>
      <c r="AW8427" s="1">
        <v>27330</v>
      </c>
      <c r="AX8427">
        <v>1</v>
      </c>
    </row>
    <row r="8428" spans="1:50">
      <c r="B8428" t="str">
        <f>"158590671"</f>
        <v>158590671</v>
      </c>
      <c r="C8428" t="s">
        <v>50</v>
      </c>
      <c r="D8428" t="s">
        <v>13005</v>
      </c>
      <c r="E8428" t="s">
        <v>460</v>
      </c>
      <c r="F8428" t="s">
        <v>670</v>
      </c>
      <c r="G8428" t="s">
        <v>52</v>
      </c>
      <c r="H8428" t="str">
        <f>" "</f>
        <v xml:space="preserve"> </v>
      </c>
      <c r="N8428" t="s">
        <v>8694</v>
      </c>
      <c r="O8428" t="s">
        <v>8695</v>
      </c>
      <c r="R8428" t="s">
        <v>121</v>
      </c>
      <c r="S8428">
        <v>1</v>
      </c>
      <c r="T8428" t="s">
        <v>8835</v>
      </c>
      <c r="U8428" s="1">
        <v>43348</v>
      </c>
      <c r="V8428" t="s">
        <v>66</v>
      </c>
      <c r="W8428" t="s">
        <v>67</v>
      </c>
      <c r="X8428" t="s">
        <v>58</v>
      </c>
      <c r="Y8428">
        <v>24</v>
      </c>
      <c r="Z8428" t="s">
        <v>59</v>
      </c>
      <c r="AA8428" t="s">
        <v>59</v>
      </c>
      <c r="AB8428" t="s">
        <v>59</v>
      </c>
      <c r="AD8428" t="s">
        <v>59</v>
      </c>
      <c r="AF8428" s="1">
        <v>43348</v>
      </c>
      <c r="AG8428" t="s">
        <v>8645</v>
      </c>
      <c r="AH8428" t="s">
        <v>8646</v>
      </c>
      <c r="AI8428" t="str">
        <f>"9410030"</f>
        <v>9410030</v>
      </c>
      <c r="AJ8428" t="s">
        <v>12743</v>
      </c>
      <c r="AK8428">
        <v>2834093217</v>
      </c>
      <c r="AL8428" t="s">
        <v>12744</v>
      </c>
      <c r="AM8428" t="s">
        <v>64</v>
      </c>
      <c r="AN8428" t="s">
        <v>65</v>
      </c>
      <c r="AO8428" t="s">
        <v>12694</v>
      </c>
      <c r="AP8428" t="s">
        <v>12745</v>
      </c>
      <c r="AQ8428">
        <v>3</v>
      </c>
      <c r="AR8428" t="s">
        <v>66</v>
      </c>
      <c r="AS8428" t="s">
        <v>67</v>
      </c>
      <c r="AT8428" t="s">
        <v>58</v>
      </c>
      <c r="AU8428" t="s">
        <v>131</v>
      </c>
      <c r="AV8428" t="s">
        <v>132</v>
      </c>
      <c r="AW8428" s="1">
        <v>34538</v>
      </c>
      <c r="AX8428">
        <v>1</v>
      </c>
    </row>
    <row r="8429" spans="1:50">
      <c r="A8429">
        <v>582479</v>
      </c>
      <c r="B8429" t="str">
        <f>"051173758"</f>
        <v>051173758</v>
      </c>
      <c r="C8429" t="s">
        <v>105</v>
      </c>
      <c r="D8429" t="s">
        <v>13007</v>
      </c>
      <c r="E8429" t="s">
        <v>53</v>
      </c>
      <c r="F8429" t="s">
        <v>72</v>
      </c>
      <c r="G8429" t="s">
        <v>13008</v>
      </c>
      <c r="H8429" t="str">
        <f>"ΠΕΡΙΒΟΛΙΑ ΡΕΘΥΜΝΟ"</f>
        <v>ΠΕΡΙΒΟΛΙΑ ΡΕΘΥΜΝΟ</v>
      </c>
      <c r="I8429">
        <v>74100</v>
      </c>
      <c r="K8429">
        <v>6978200399</v>
      </c>
      <c r="N8429" t="s">
        <v>615</v>
      </c>
      <c r="O8429" t="s">
        <v>616</v>
      </c>
      <c r="R8429" t="s">
        <v>57</v>
      </c>
      <c r="S8429">
        <v>11</v>
      </c>
      <c r="T8429">
        <v>179</v>
      </c>
      <c r="U8429" s="1">
        <v>35674</v>
      </c>
      <c r="V8429" t="s">
        <v>66</v>
      </c>
      <c r="W8429" t="s">
        <v>67</v>
      </c>
      <c r="X8429" t="s">
        <v>58</v>
      </c>
      <c r="Y8429">
        <v>21</v>
      </c>
      <c r="Z8429" t="s">
        <v>59</v>
      </c>
      <c r="AA8429" t="s">
        <v>59</v>
      </c>
      <c r="AB8429" t="s">
        <v>59</v>
      </c>
      <c r="AC8429" t="s">
        <v>59</v>
      </c>
      <c r="AD8429" t="s">
        <v>59</v>
      </c>
      <c r="AF8429" s="1">
        <v>35674</v>
      </c>
      <c r="AG8429" t="s">
        <v>8645</v>
      </c>
      <c r="AH8429" t="s">
        <v>8646</v>
      </c>
      <c r="AI8429" t="str">
        <f>"9410069"</f>
        <v>9410069</v>
      </c>
      <c r="AJ8429" t="s">
        <v>12674</v>
      </c>
      <c r="AK8429">
        <v>2831029296</v>
      </c>
      <c r="AL8429" t="s">
        <v>12675</v>
      </c>
      <c r="AM8429" t="s">
        <v>64</v>
      </c>
      <c r="AN8429" t="s">
        <v>65</v>
      </c>
      <c r="AO8429" t="s">
        <v>65</v>
      </c>
      <c r="AP8429" t="s">
        <v>65</v>
      </c>
      <c r="AQ8429">
        <v>1</v>
      </c>
      <c r="AR8429" t="s">
        <v>66</v>
      </c>
      <c r="AS8429" t="s">
        <v>67</v>
      </c>
      <c r="AT8429" t="s">
        <v>58</v>
      </c>
      <c r="AU8429" t="s">
        <v>68</v>
      </c>
      <c r="AV8429" t="s">
        <v>69</v>
      </c>
      <c r="AW8429" s="1">
        <v>25089</v>
      </c>
      <c r="AX8429">
        <v>1</v>
      </c>
    </row>
    <row r="8430" spans="1:50">
      <c r="A8430">
        <v>620393</v>
      </c>
      <c r="B8430" t="str">
        <f>"126823095"</f>
        <v>126823095</v>
      </c>
      <c r="C8430" t="s">
        <v>105</v>
      </c>
      <c r="D8430" t="s">
        <v>13009</v>
      </c>
      <c r="E8430" t="s">
        <v>670</v>
      </c>
      <c r="F8430" t="s">
        <v>53</v>
      </c>
      <c r="G8430" t="s">
        <v>237</v>
      </c>
      <c r="H8430" t="str">
        <f>"ΘΕΟΤΟΚΟΠΟΥΛΟΥ ΡΕΘΥΜΝΟ"</f>
        <v>ΘΕΟΤΟΚΟΠΟΥΛΟΥ ΡΕΘΥΜΝΟ</v>
      </c>
      <c r="I8430">
        <v>74100</v>
      </c>
      <c r="J8430">
        <v>2102930117</v>
      </c>
      <c r="K8430">
        <v>6972735194</v>
      </c>
      <c r="N8430" t="s">
        <v>615</v>
      </c>
      <c r="O8430" t="s">
        <v>616</v>
      </c>
      <c r="R8430" t="s">
        <v>57</v>
      </c>
      <c r="S8430">
        <v>7</v>
      </c>
      <c r="T8430">
        <v>653</v>
      </c>
      <c r="U8430" s="1">
        <v>40043</v>
      </c>
      <c r="V8430" t="s">
        <v>66</v>
      </c>
      <c r="W8430" t="s">
        <v>67</v>
      </c>
      <c r="X8430" t="s">
        <v>58</v>
      </c>
      <c r="Y8430">
        <v>23</v>
      </c>
      <c r="Z8430" t="s">
        <v>59</v>
      </c>
      <c r="AA8430" t="s">
        <v>59</v>
      </c>
      <c r="AB8430" t="s">
        <v>59</v>
      </c>
      <c r="AC8430" t="s">
        <v>59</v>
      </c>
      <c r="AD8430" t="s">
        <v>59</v>
      </c>
      <c r="AF8430" s="1">
        <v>40043</v>
      </c>
      <c r="AG8430" t="s">
        <v>8645</v>
      </c>
      <c r="AH8430" t="s">
        <v>8676</v>
      </c>
      <c r="AI8430" t="str">
        <f>"9410041"</f>
        <v>9410041</v>
      </c>
      <c r="AJ8430" t="s">
        <v>12801</v>
      </c>
      <c r="AK8430">
        <v>2834092258</v>
      </c>
      <c r="AL8430" t="s">
        <v>12802</v>
      </c>
      <c r="AM8430" t="s">
        <v>64</v>
      </c>
      <c r="AN8430" t="s">
        <v>5672</v>
      </c>
      <c r="AO8430" t="s">
        <v>5673</v>
      </c>
      <c r="AP8430" t="s">
        <v>12803</v>
      </c>
      <c r="AQ8430">
        <v>8</v>
      </c>
      <c r="AR8430" t="s">
        <v>66</v>
      </c>
      <c r="AS8430" t="s">
        <v>67</v>
      </c>
      <c r="AT8430" t="s">
        <v>58</v>
      </c>
      <c r="AU8430" t="s">
        <v>68</v>
      </c>
      <c r="AV8430" t="s">
        <v>69</v>
      </c>
      <c r="AW8430" s="1">
        <v>29938</v>
      </c>
      <c r="AX8430">
        <v>1</v>
      </c>
    </row>
    <row r="8431" spans="1:50">
      <c r="B8431" t="str">
        <f>"150924496"</f>
        <v>150924496</v>
      </c>
      <c r="C8431" t="s">
        <v>50</v>
      </c>
      <c r="D8431" t="s">
        <v>13010</v>
      </c>
      <c r="E8431" t="s">
        <v>834</v>
      </c>
      <c r="F8431" t="s">
        <v>631</v>
      </c>
      <c r="G8431" t="s">
        <v>215</v>
      </c>
      <c r="H8431" t="str">
        <f>" "</f>
        <v xml:space="preserve"> </v>
      </c>
      <c r="N8431" t="s">
        <v>8834</v>
      </c>
      <c r="O8431" t="s">
        <v>8695</v>
      </c>
      <c r="R8431" t="s">
        <v>121</v>
      </c>
      <c r="S8431">
        <v>3</v>
      </c>
      <c r="T8431" t="s">
        <v>8835</v>
      </c>
      <c r="U8431" s="1">
        <v>43348</v>
      </c>
      <c r="V8431" t="s">
        <v>66</v>
      </c>
      <c r="W8431" t="s">
        <v>67</v>
      </c>
      <c r="X8431" t="s">
        <v>58</v>
      </c>
      <c r="Y8431">
        <v>24</v>
      </c>
      <c r="Z8431" t="s">
        <v>59</v>
      </c>
      <c r="AA8431" t="s">
        <v>59</v>
      </c>
      <c r="AB8431" t="s">
        <v>59</v>
      </c>
      <c r="AD8431" t="s">
        <v>59</v>
      </c>
      <c r="AF8431" s="1">
        <v>43348</v>
      </c>
      <c r="AG8431" t="s">
        <v>8645</v>
      </c>
      <c r="AH8431" t="s">
        <v>8646</v>
      </c>
      <c r="AI8431" t="str">
        <f>"9410114"</f>
        <v>9410114</v>
      </c>
      <c r="AJ8431" t="s">
        <v>12877</v>
      </c>
      <c r="AK8431">
        <v>2832031291</v>
      </c>
      <c r="AL8431" t="s">
        <v>12878</v>
      </c>
      <c r="AM8431" t="s">
        <v>64</v>
      </c>
      <c r="AN8431" t="s">
        <v>5882</v>
      </c>
      <c r="AO8431" t="s">
        <v>6099</v>
      </c>
      <c r="AP8431" t="s">
        <v>12815</v>
      </c>
      <c r="AQ8431">
        <v>5</v>
      </c>
      <c r="AR8431" t="s">
        <v>66</v>
      </c>
      <c r="AS8431" t="s">
        <v>67</v>
      </c>
      <c r="AT8431" t="s">
        <v>58</v>
      </c>
      <c r="AU8431" t="s">
        <v>131</v>
      </c>
      <c r="AV8431" t="s">
        <v>132</v>
      </c>
      <c r="AW8431" s="1">
        <v>33417</v>
      </c>
      <c r="AX8431">
        <v>1</v>
      </c>
    </row>
    <row r="8432" spans="1:50">
      <c r="B8432" t="str">
        <f>"131044113"</f>
        <v>131044113</v>
      </c>
      <c r="C8432" t="s">
        <v>50</v>
      </c>
      <c r="D8432" t="s">
        <v>13011</v>
      </c>
      <c r="E8432" t="s">
        <v>13012</v>
      </c>
      <c r="F8432" t="s">
        <v>166</v>
      </c>
      <c r="G8432" t="s">
        <v>237</v>
      </c>
      <c r="H8432" t="str">
        <f>" "</f>
        <v xml:space="preserve"> </v>
      </c>
      <c r="K8432">
        <v>6972805067</v>
      </c>
      <c r="N8432" t="s">
        <v>1525</v>
      </c>
      <c r="O8432" t="s">
        <v>1526</v>
      </c>
      <c r="R8432" t="s">
        <v>121</v>
      </c>
      <c r="S8432">
        <v>1</v>
      </c>
      <c r="T8432" t="s">
        <v>8670</v>
      </c>
      <c r="U8432" s="1">
        <v>43348</v>
      </c>
      <c r="V8432" t="s">
        <v>66</v>
      </c>
      <c r="W8432" t="s">
        <v>67</v>
      </c>
      <c r="X8432" t="s">
        <v>58</v>
      </c>
      <c r="Y8432">
        <v>25</v>
      </c>
      <c r="Z8432" t="s">
        <v>59</v>
      </c>
      <c r="AA8432" t="s">
        <v>59</v>
      </c>
      <c r="AB8432" t="s">
        <v>59</v>
      </c>
      <c r="AD8432" t="s">
        <v>59</v>
      </c>
      <c r="AF8432" s="1">
        <v>43348</v>
      </c>
      <c r="AG8432" t="s">
        <v>8651</v>
      </c>
      <c r="AH8432" t="s">
        <v>8652</v>
      </c>
      <c r="AI8432" t="str">
        <f>"9410039"</f>
        <v>9410039</v>
      </c>
      <c r="AJ8432" t="s">
        <v>12871</v>
      </c>
      <c r="AK8432">
        <v>2834061260</v>
      </c>
      <c r="AL8432" t="s">
        <v>12872</v>
      </c>
      <c r="AM8432" t="s">
        <v>64</v>
      </c>
      <c r="AN8432" t="s">
        <v>5672</v>
      </c>
      <c r="AO8432" t="s">
        <v>5698</v>
      </c>
      <c r="AP8432" t="s">
        <v>5699</v>
      </c>
      <c r="AQ8432">
        <v>9</v>
      </c>
      <c r="AR8432" t="s">
        <v>66</v>
      </c>
      <c r="AS8432" t="s">
        <v>67</v>
      </c>
      <c r="AT8432" t="s">
        <v>58</v>
      </c>
      <c r="AU8432" t="s">
        <v>8673</v>
      </c>
      <c r="AV8432" t="s">
        <v>132</v>
      </c>
      <c r="AW8432" s="1">
        <v>31619</v>
      </c>
      <c r="AX8432">
        <v>1</v>
      </c>
    </row>
    <row r="8433" spans="1:50">
      <c r="A8433">
        <v>702378</v>
      </c>
      <c r="B8433" t="str">
        <f>"125611826"</f>
        <v>125611826</v>
      </c>
      <c r="C8433" t="s">
        <v>50</v>
      </c>
      <c r="D8433" t="s">
        <v>1276</v>
      </c>
      <c r="E8433" t="s">
        <v>191</v>
      </c>
      <c r="F8433" t="s">
        <v>2233</v>
      </c>
      <c r="G8433" t="s">
        <v>103</v>
      </c>
      <c r="H8433" t="str">
        <f>"ΜΙΧ. ΜΑΡΑΚΗ 9 ΓΕΡΑΝΙ ΡΕΘΥΜΝΟ"</f>
        <v>ΜΙΧ. ΜΑΡΑΚΗ 9 ΓΕΡΑΝΙ ΡΕΘΥΜΝΟ</v>
      </c>
      <c r="I8433">
        <v>74100</v>
      </c>
      <c r="J8433">
        <v>2831032574</v>
      </c>
      <c r="K8433">
        <v>6970802104</v>
      </c>
      <c r="N8433" t="s">
        <v>1525</v>
      </c>
      <c r="O8433" t="s">
        <v>1526</v>
      </c>
      <c r="R8433" t="s">
        <v>57</v>
      </c>
      <c r="S8433">
        <v>5</v>
      </c>
      <c r="T8433">
        <v>772</v>
      </c>
      <c r="U8433" s="1">
        <v>40413</v>
      </c>
      <c r="V8433" t="s">
        <v>66</v>
      </c>
      <c r="W8433" t="s">
        <v>67</v>
      </c>
      <c r="X8433" t="s">
        <v>58</v>
      </c>
      <c r="Y8433">
        <v>25</v>
      </c>
      <c r="Z8433" t="s">
        <v>59</v>
      </c>
      <c r="AA8433" t="s">
        <v>59</v>
      </c>
      <c r="AB8433" t="s">
        <v>59</v>
      </c>
      <c r="AC8433" t="s">
        <v>59</v>
      </c>
      <c r="AD8433" t="s">
        <v>59</v>
      </c>
      <c r="AF8433" s="1">
        <v>40414</v>
      </c>
      <c r="AG8433" t="s">
        <v>8651</v>
      </c>
      <c r="AH8433" t="s">
        <v>8652</v>
      </c>
      <c r="AI8433" t="str">
        <f>"9410232"</f>
        <v>9410232</v>
      </c>
      <c r="AJ8433" t="s">
        <v>13013</v>
      </c>
      <c r="AK8433">
        <v>2831032007</v>
      </c>
      <c r="AL8433" t="s">
        <v>13014</v>
      </c>
      <c r="AM8433" t="s">
        <v>64</v>
      </c>
      <c r="AN8433" t="s">
        <v>65</v>
      </c>
      <c r="AO8433" t="s">
        <v>5720</v>
      </c>
      <c r="AP8433" t="s">
        <v>12913</v>
      </c>
      <c r="AQ8433">
        <v>2</v>
      </c>
      <c r="AR8433" t="s">
        <v>66</v>
      </c>
      <c r="AS8433" t="s">
        <v>67</v>
      </c>
      <c r="AT8433" t="s">
        <v>58</v>
      </c>
      <c r="AU8433" t="s">
        <v>68</v>
      </c>
      <c r="AV8433" t="s">
        <v>69</v>
      </c>
      <c r="AW8433" s="1">
        <v>29665</v>
      </c>
      <c r="AX8433">
        <v>1</v>
      </c>
    </row>
    <row r="8434" spans="1:50">
      <c r="A8434">
        <v>619457</v>
      </c>
      <c r="B8434" t="str">
        <f>"049895000"</f>
        <v>049895000</v>
      </c>
      <c r="C8434" t="s">
        <v>50</v>
      </c>
      <c r="D8434" t="s">
        <v>5931</v>
      </c>
      <c r="E8434" t="s">
        <v>83</v>
      </c>
      <c r="F8434" t="s">
        <v>315</v>
      </c>
      <c r="G8434" t="s">
        <v>620</v>
      </c>
      <c r="H8434" t="str">
        <f>"ΣΤΑΜΑΘΙΟΥΔΑΚΗ 68 ΡΕΘΥΜΝΟ"</f>
        <v>ΣΤΑΜΑΘΙΟΥΔΑΚΗ 68 ΡΕΘΥΜΝΟ</v>
      </c>
      <c r="I8434">
        <v>74100</v>
      </c>
      <c r="J8434">
        <v>2622027821</v>
      </c>
      <c r="K8434">
        <v>6972947457</v>
      </c>
      <c r="N8434" t="s">
        <v>1525</v>
      </c>
      <c r="O8434" t="s">
        <v>1526</v>
      </c>
      <c r="R8434" t="s">
        <v>57</v>
      </c>
      <c r="S8434">
        <v>7</v>
      </c>
      <c r="T8434">
        <v>774</v>
      </c>
      <c r="U8434" s="1">
        <v>39680</v>
      </c>
      <c r="V8434" t="s">
        <v>66</v>
      </c>
      <c r="W8434" t="s">
        <v>67</v>
      </c>
      <c r="X8434" t="s">
        <v>58</v>
      </c>
      <c r="Y8434">
        <v>25</v>
      </c>
      <c r="Z8434" t="s">
        <v>59</v>
      </c>
      <c r="AA8434" t="s">
        <v>59</v>
      </c>
      <c r="AB8434" t="s">
        <v>59</v>
      </c>
      <c r="AC8434" t="s">
        <v>59</v>
      </c>
      <c r="AD8434" t="s">
        <v>59</v>
      </c>
      <c r="AF8434" s="1">
        <v>39685</v>
      </c>
      <c r="AG8434" t="s">
        <v>8651</v>
      </c>
      <c r="AH8434" t="s">
        <v>8652</v>
      </c>
      <c r="AI8434" t="str">
        <f>"9520949"</f>
        <v>9520949</v>
      </c>
      <c r="AJ8434" t="s">
        <v>12818</v>
      </c>
      <c r="AK8434">
        <v>2831031424</v>
      </c>
      <c r="AL8434" t="s">
        <v>12819</v>
      </c>
      <c r="AM8434" t="s">
        <v>64</v>
      </c>
      <c r="AN8434" t="s">
        <v>65</v>
      </c>
      <c r="AO8434" t="s">
        <v>5720</v>
      </c>
      <c r="AP8434" t="s">
        <v>5721</v>
      </c>
      <c r="AQ8434">
        <v>2</v>
      </c>
      <c r="AR8434" t="s">
        <v>66</v>
      </c>
      <c r="AS8434" t="s">
        <v>67</v>
      </c>
      <c r="AT8434" t="s">
        <v>58</v>
      </c>
      <c r="AU8434" t="s">
        <v>68</v>
      </c>
      <c r="AV8434" t="s">
        <v>69</v>
      </c>
      <c r="AW8434" s="1">
        <v>29944</v>
      </c>
      <c r="AX8434">
        <v>1</v>
      </c>
    </row>
    <row r="8435" spans="1:50">
      <c r="A8435">
        <v>605010</v>
      </c>
      <c r="B8435" t="str">
        <f>"113631232"</f>
        <v>113631232</v>
      </c>
      <c r="C8435" t="s">
        <v>105</v>
      </c>
      <c r="D8435" t="s">
        <v>1285</v>
      </c>
      <c r="E8435" t="s">
        <v>13015</v>
      </c>
      <c r="F8435" t="s">
        <v>900</v>
      </c>
      <c r="G8435" t="s">
        <v>83</v>
      </c>
      <c r="H8435" t="str">
        <f>"28 ΟΚΤΩΒΡΙΟΥ 12 ΡΕΘΥΜΝΟ"</f>
        <v>28 ΟΚΤΩΒΡΙΟΥ 12 ΡΕΘΥΜΝΟ</v>
      </c>
      <c r="I8435">
        <v>74100</v>
      </c>
      <c r="K8435">
        <v>6974215394</v>
      </c>
      <c r="M8435" t="s">
        <v>13016</v>
      </c>
      <c r="N8435" t="s">
        <v>615</v>
      </c>
      <c r="O8435" t="s">
        <v>616</v>
      </c>
      <c r="R8435" t="s">
        <v>57</v>
      </c>
      <c r="S8435">
        <v>7</v>
      </c>
      <c r="T8435">
        <v>231</v>
      </c>
      <c r="U8435" s="1">
        <v>38230</v>
      </c>
      <c r="V8435" t="s">
        <v>66</v>
      </c>
      <c r="W8435" t="s">
        <v>67</v>
      </c>
      <c r="X8435" t="s">
        <v>58</v>
      </c>
      <c r="Y8435">
        <v>22</v>
      </c>
      <c r="Z8435" t="s">
        <v>59</v>
      </c>
      <c r="AA8435" t="s">
        <v>59</v>
      </c>
      <c r="AB8435" t="s">
        <v>59</v>
      </c>
      <c r="AC8435" t="s">
        <v>59</v>
      </c>
      <c r="AD8435" t="s">
        <v>59</v>
      </c>
      <c r="AF8435" s="1">
        <v>38231</v>
      </c>
      <c r="AG8435" t="s">
        <v>8645</v>
      </c>
      <c r="AH8435" t="s">
        <v>8646</v>
      </c>
      <c r="AI8435" t="str">
        <f>"9410051"</f>
        <v>9410051</v>
      </c>
      <c r="AJ8435" t="s">
        <v>12660</v>
      </c>
      <c r="AK8435">
        <v>2834022247</v>
      </c>
      <c r="AL8435" t="s">
        <v>12661</v>
      </c>
      <c r="AM8435" t="s">
        <v>64</v>
      </c>
      <c r="AN8435" t="s">
        <v>5672</v>
      </c>
      <c r="AO8435" t="s">
        <v>5673</v>
      </c>
      <c r="AP8435" t="s">
        <v>5689</v>
      </c>
      <c r="AQ8435">
        <v>7</v>
      </c>
      <c r="AR8435" t="s">
        <v>66</v>
      </c>
      <c r="AS8435" t="s">
        <v>67</v>
      </c>
      <c r="AT8435" t="s">
        <v>58</v>
      </c>
      <c r="AU8435" t="s">
        <v>68</v>
      </c>
      <c r="AV8435" t="s">
        <v>69</v>
      </c>
      <c r="AW8435" s="1">
        <v>25539</v>
      </c>
      <c r="AX8435">
        <v>1</v>
      </c>
    </row>
    <row r="8436" spans="1:50">
      <c r="A8436">
        <v>616098</v>
      </c>
      <c r="B8436" t="str">
        <f>"069723056"</f>
        <v>069723056</v>
      </c>
      <c r="C8436" t="s">
        <v>50</v>
      </c>
      <c r="D8436" t="s">
        <v>1287</v>
      </c>
      <c r="E8436" t="s">
        <v>263</v>
      </c>
      <c r="F8436" t="s">
        <v>3049</v>
      </c>
      <c r="G8436" t="s">
        <v>6196</v>
      </c>
      <c r="H8436" t="str">
        <f>"ΜΙΛΗΤΟΥ &amp; ΠΑΦΛΑΓΟΝΙΑΣ ΚΑΒΑΛΑ"</f>
        <v>ΜΙΛΗΤΟΥ &amp; ΠΑΦΛΑΓΟΝΙΑΣ ΚΑΒΑΛΑ</v>
      </c>
      <c r="I8436">
        <v>65404</v>
      </c>
      <c r="J8436">
        <v>2510232383</v>
      </c>
      <c r="K8436">
        <v>6936908652</v>
      </c>
      <c r="M8436" t="s">
        <v>13017</v>
      </c>
      <c r="N8436" t="s">
        <v>176</v>
      </c>
      <c r="O8436" t="s">
        <v>177</v>
      </c>
      <c r="R8436" t="s">
        <v>57</v>
      </c>
      <c r="S8436">
        <v>7</v>
      </c>
      <c r="T8436">
        <v>600</v>
      </c>
      <c r="U8436" s="1">
        <v>39310</v>
      </c>
      <c r="V8436" t="s">
        <v>66</v>
      </c>
      <c r="W8436" t="s">
        <v>67</v>
      </c>
      <c r="X8436" t="s">
        <v>58</v>
      </c>
      <c r="Y8436">
        <v>22</v>
      </c>
      <c r="Z8436" t="s">
        <v>59</v>
      </c>
      <c r="AA8436" t="s">
        <v>59</v>
      </c>
      <c r="AB8436" t="s">
        <v>59</v>
      </c>
      <c r="AC8436" t="s">
        <v>59</v>
      </c>
      <c r="AD8436" t="s">
        <v>59</v>
      </c>
      <c r="AF8436" s="1">
        <v>39328</v>
      </c>
      <c r="AG8436" t="s">
        <v>8645</v>
      </c>
      <c r="AH8436" t="s">
        <v>8646</v>
      </c>
      <c r="AI8436" t="str">
        <f>"9410092"</f>
        <v>9410092</v>
      </c>
      <c r="AJ8436" t="s">
        <v>12823</v>
      </c>
      <c r="AK8436">
        <v>2832051056</v>
      </c>
      <c r="AL8436" t="s">
        <v>12824</v>
      </c>
      <c r="AM8436" t="s">
        <v>64</v>
      </c>
      <c r="AN8436" t="s">
        <v>5882</v>
      </c>
      <c r="AO8436" t="s">
        <v>6099</v>
      </c>
      <c r="AP8436" t="s">
        <v>12825</v>
      </c>
      <c r="AQ8436">
        <v>5</v>
      </c>
      <c r="AR8436" t="s">
        <v>66</v>
      </c>
      <c r="AS8436" t="s">
        <v>67</v>
      </c>
      <c r="AT8436" t="s">
        <v>58</v>
      </c>
      <c r="AU8436" t="s">
        <v>68</v>
      </c>
      <c r="AV8436" t="s">
        <v>69</v>
      </c>
      <c r="AW8436" s="1">
        <v>27708</v>
      </c>
      <c r="AX8436">
        <v>1</v>
      </c>
    </row>
    <row r="8437" spans="1:50">
      <c r="B8437" t="str">
        <f>"153090362"</f>
        <v>153090362</v>
      </c>
      <c r="C8437" t="s">
        <v>50</v>
      </c>
      <c r="D8437" t="s">
        <v>1287</v>
      </c>
      <c r="E8437" t="s">
        <v>112</v>
      </c>
      <c r="F8437" t="s">
        <v>670</v>
      </c>
      <c r="G8437" t="s">
        <v>255</v>
      </c>
      <c r="H8437" t="str">
        <f>" "</f>
        <v xml:space="preserve"> </v>
      </c>
      <c r="N8437" t="s">
        <v>8694</v>
      </c>
      <c r="O8437" t="s">
        <v>8695</v>
      </c>
      <c r="R8437" t="s">
        <v>159</v>
      </c>
      <c r="S8437">
        <v>1</v>
      </c>
      <c r="T8437" t="s">
        <v>8835</v>
      </c>
      <c r="U8437" s="1">
        <v>43348</v>
      </c>
      <c r="V8437" t="s">
        <v>66</v>
      </c>
      <c r="W8437" t="s">
        <v>67</v>
      </c>
      <c r="X8437" t="s">
        <v>58</v>
      </c>
      <c r="Y8437">
        <v>24</v>
      </c>
      <c r="Z8437" t="s">
        <v>59</v>
      </c>
      <c r="AA8437" t="s">
        <v>59</v>
      </c>
      <c r="AB8437" t="s">
        <v>59</v>
      </c>
      <c r="AD8437" t="s">
        <v>59</v>
      </c>
      <c r="AF8437" s="1">
        <v>43348</v>
      </c>
      <c r="AG8437" t="s">
        <v>8645</v>
      </c>
      <c r="AH8437" t="s">
        <v>8646</v>
      </c>
      <c r="AI8437" t="str">
        <f>"9410150"</f>
        <v>9410150</v>
      </c>
      <c r="AJ8437" t="s">
        <v>12733</v>
      </c>
      <c r="AK8437">
        <v>2831052969</v>
      </c>
      <c r="AL8437" t="s">
        <v>12734</v>
      </c>
      <c r="AM8437" t="s">
        <v>64</v>
      </c>
      <c r="AN8437" t="s">
        <v>65</v>
      </c>
      <c r="AO8437" t="s">
        <v>65</v>
      </c>
      <c r="AP8437" t="s">
        <v>65</v>
      </c>
      <c r="AQ8437">
        <v>1</v>
      </c>
      <c r="AR8437" t="s">
        <v>66</v>
      </c>
      <c r="AS8437" t="s">
        <v>67</v>
      </c>
      <c r="AT8437" t="s">
        <v>58</v>
      </c>
      <c r="AU8437" t="s">
        <v>131</v>
      </c>
      <c r="AV8437" t="s">
        <v>132</v>
      </c>
      <c r="AW8437" s="1">
        <v>33749</v>
      </c>
      <c r="AX8437">
        <v>1</v>
      </c>
    </row>
    <row r="8438" spans="1:50">
      <c r="A8438">
        <v>562329</v>
      </c>
      <c r="B8438" t="str">
        <f>"065485163"</f>
        <v>065485163</v>
      </c>
      <c r="C8438" t="s">
        <v>50</v>
      </c>
      <c r="D8438" t="s">
        <v>1287</v>
      </c>
      <c r="E8438" t="s">
        <v>714</v>
      </c>
      <c r="F8438" t="s">
        <v>383</v>
      </c>
      <c r="G8438" t="s">
        <v>83</v>
      </c>
      <c r="H8438" t="str">
        <f>" "</f>
        <v xml:space="preserve"> </v>
      </c>
      <c r="N8438" t="s">
        <v>615</v>
      </c>
      <c r="O8438" t="s">
        <v>616</v>
      </c>
      <c r="R8438" t="s">
        <v>57</v>
      </c>
      <c r="S8438">
        <v>15</v>
      </c>
      <c r="T8438">
        <v>187</v>
      </c>
      <c r="U8438" s="1">
        <v>32752</v>
      </c>
      <c r="V8438" t="s">
        <v>66</v>
      </c>
      <c r="W8438" t="s">
        <v>67</v>
      </c>
      <c r="X8438" t="s">
        <v>58</v>
      </c>
      <c r="Y8438">
        <v>21</v>
      </c>
      <c r="Z8438" t="s">
        <v>59</v>
      </c>
      <c r="AA8438" t="s">
        <v>59</v>
      </c>
      <c r="AB8438" t="s">
        <v>59</v>
      </c>
      <c r="AC8438" t="s">
        <v>59</v>
      </c>
      <c r="AD8438" t="s">
        <v>59</v>
      </c>
      <c r="AF8438" s="1">
        <v>32752</v>
      </c>
      <c r="AG8438" t="s">
        <v>8645</v>
      </c>
      <c r="AH8438" t="s">
        <v>8646</v>
      </c>
      <c r="AI8438" t="str">
        <f>"9410070"</f>
        <v>9410070</v>
      </c>
      <c r="AJ8438" t="s">
        <v>12757</v>
      </c>
      <c r="AK8438">
        <v>2831028583</v>
      </c>
      <c r="AL8438" t="s">
        <v>12758</v>
      </c>
      <c r="AM8438" t="s">
        <v>64</v>
      </c>
      <c r="AN8438" t="s">
        <v>65</v>
      </c>
      <c r="AO8438" t="s">
        <v>65</v>
      </c>
      <c r="AP8438" t="s">
        <v>65</v>
      </c>
      <c r="AQ8438">
        <v>1</v>
      </c>
      <c r="AR8438" t="s">
        <v>66</v>
      </c>
      <c r="AS8438" t="s">
        <v>67</v>
      </c>
      <c r="AT8438" t="s">
        <v>58</v>
      </c>
      <c r="AU8438" t="s">
        <v>68</v>
      </c>
      <c r="AV8438" t="s">
        <v>69</v>
      </c>
      <c r="AW8438" s="1">
        <v>20902</v>
      </c>
      <c r="AX8438">
        <v>1</v>
      </c>
    </row>
    <row r="8439" spans="1:50">
      <c r="A8439">
        <v>613110</v>
      </c>
      <c r="B8439" t="str">
        <f>"105631601"</f>
        <v>105631601</v>
      </c>
      <c r="C8439" t="s">
        <v>50</v>
      </c>
      <c r="D8439" t="s">
        <v>1290</v>
      </c>
      <c r="E8439" t="s">
        <v>255</v>
      </c>
      <c r="F8439" t="s">
        <v>99</v>
      </c>
      <c r="G8439" t="s">
        <v>112</v>
      </c>
      <c r="H8439" t="str">
        <f>"ΠΑΤΡΙΑΡΧΟΥ ΙΩΑΣΑΦ 3 ΙΩΑΝΝΙΝΑ"</f>
        <v>ΠΑΤΡΙΑΡΧΟΥ ΙΩΑΣΑΦ 3 ΙΩΑΝΝΙΝΑ</v>
      </c>
      <c r="I8439">
        <v>45221</v>
      </c>
      <c r="J8439">
        <v>2651034070</v>
      </c>
      <c r="K8439">
        <v>6974195694</v>
      </c>
      <c r="N8439" t="s">
        <v>615</v>
      </c>
      <c r="O8439" t="s">
        <v>616</v>
      </c>
      <c r="R8439" t="s">
        <v>57</v>
      </c>
      <c r="S8439">
        <v>6</v>
      </c>
      <c r="T8439">
        <v>598</v>
      </c>
      <c r="U8439" s="1">
        <v>39310</v>
      </c>
      <c r="V8439" t="s">
        <v>66</v>
      </c>
      <c r="W8439" t="s">
        <v>67</v>
      </c>
      <c r="X8439" t="s">
        <v>58</v>
      </c>
      <c r="Y8439">
        <v>25</v>
      </c>
      <c r="Z8439" t="s">
        <v>59</v>
      </c>
      <c r="AA8439" t="s">
        <v>59</v>
      </c>
      <c r="AB8439" t="s">
        <v>59</v>
      </c>
      <c r="AC8439" t="s">
        <v>59</v>
      </c>
      <c r="AD8439" t="s">
        <v>59</v>
      </c>
      <c r="AF8439" s="1">
        <v>39328</v>
      </c>
      <c r="AG8439" t="s">
        <v>8645</v>
      </c>
      <c r="AH8439" t="s">
        <v>8646</v>
      </c>
      <c r="AI8439" t="str">
        <f>"9410120"</f>
        <v>9410120</v>
      </c>
      <c r="AJ8439" t="s">
        <v>12681</v>
      </c>
      <c r="AK8439">
        <v>6978148714</v>
      </c>
      <c r="AL8439" t="s">
        <v>12682</v>
      </c>
      <c r="AM8439" t="s">
        <v>64</v>
      </c>
      <c r="AN8439" t="s">
        <v>5882</v>
      </c>
      <c r="AO8439" t="s">
        <v>5883</v>
      </c>
      <c r="AP8439" t="s">
        <v>5884</v>
      </c>
      <c r="AQ8439">
        <v>5</v>
      </c>
      <c r="AR8439" t="s">
        <v>66</v>
      </c>
      <c r="AS8439" t="s">
        <v>67</v>
      </c>
      <c r="AT8439" t="s">
        <v>58</v>
      </c>
      <c r="AU8439" t="s">
        <v>68</v>
      </c>
      <c r="AV8439" t="s">
        <v>69</v>
      </c>
      <c r="AW8439" s="1">
        <v>29788</v>
      </c>
      <c r="AX8439">
        <v>1</v>
      </c>
    </row>
    <row r="8440" spans="1:50">
      <c r="A8440">
        <v>704200</v>
      </c>
      <c r="B8440" t="str">
        <f>"115898653"</f>
        <v>115898653</v>
      </c>
      <c r="C8440" t="s">
        <v>105</v>
      </c>
      <c r="D8440" t="s">
        <v>13018</v>
      </c>
      <c r="E8440" t="s">
        <v>1185</v>
      </c>
      <c r="F8440" t="s">
        <v>53</v>
      </c>
      <c r="G8440" t="s">
        <v>112</v>
      </c>
      <c r="H8440" t="str">
        <f>"ΥΨΗΛΑΝΤΟΥ 17-19 ΚΑΛΛΙΘΕΑ"</f>
        <v>ΥΨΗΛΑΝΤΟΥ 17-19 ΚΑΛΛΙΘΕΑ</v>
      </c>
      <c r="I8440">
        <v>17675</v>
      </c>
      <c r="J8440">
        <v>2109402705</v>
      </c>
      <c r="K8440">
        <v>6974597042</v>
      </c>
      <c r="N8440" t="s">
        <v>478</v>
      </c>
      <c r="O8440" t="s">
        <v>479</v>
      </c>
      <c r="R8440" t="s">
        <v>121</v>
      </c>
      <c r="S8440">
        <v>1</v>
      </c>
      <c r="T8440">
        <v>796</v>
      </c>
      <c r="U8440" s="1">
        <v>42968</v>
      </c>
      <c r="V8440" t="s">
        <v>66</v>
      </c>
      <c r="W8440" t="s">
        <v>67</v>
      </c>
      <c r="X8440" t="s">
        <v>58</v>
      </c>
      <c r="Y8440">
        <v>24</v>
      </c>
      <c r="Z8440" t="s">
        <v>59</v>
      </c>
      <c r="AA8440" t="s">
        <v>59</v>
      </c>
      <c r="AB8440" t="s">
        <v>59</v>
      </c>
      <c r="AC8440" t="s">
        <v>59</v>
      </c>
      <c r="AD8440" t="s">
        <v>59</v>
      </c>
      <c r="AF8440" s="1">
        <v>43346</v>
      </c>
      <c r="AG8440" t="s">
        <v>8645</v>
      </c>
      <c r="AH8440" t="s">
        <v>8646</v>
      </c>
      <c r="AI8440" t="str">
        <f>"9521348"</f>
        <v>9521348</v>
      </c>
      <c r="AJ8440" t="s">
        <v>12714</v>
      </c>
      <c r="AK8440">
        <v>2831021334</v>
      </c>
      <c r="AL8440" t="s">
        <v>12715</v>
      </c>
      <c r="AM8440" t="s">
        <v>64</v>
      </c>
      <c r="AN8440" t="s">
        <v>65</v>
      </c>
      <c r="AO8440" t="s">
        <v>5720</v>
      </c>
      <c r="AP8440" t="s">
        <v>5721</v>
      </c>
      <c r="AQ8440">
        <v>2</v>
      </c>
      <c r="AR8440" t="s">
        <v>66</v>
      </c>
      <c r="AS8440" t="s">
        <v>67</v>
      </c>
      <c r="AT8440" t="s">
        <v>58</v>
      </c>
      <c r="AU8440" t="s">
        <v>68</v>
      </c>
      <c r="AV8440" t="s">
        <v>132</v>
      </c>
      <c r="AW8440" s="1">
        <v>28806</v>
      </c>
      <c r="AX8440">
        <v>1</v>
      </c>
    </row>
    <row r="8441" spans="1:50">
      <c r="B8441" t="str">
        <f>"150379705"</f>
        <v>150379705</v>
      </c>
      <c r="C8441" t="s">
        <v>50</v>
      </c>
      <c r="D8441" t="s">
        <v>1300</v>
      </c>
      <c r="E8441" t="s">
        <v>1189</v>
      </c>
      <c r="F8441" t="s">
        <v>72</v>
      </c>
      <c r="G8441" t="s">
        <v>52</v>
      </c>
      <c r="H8441" t="str">
        <f>"Γ. ΠΕΡΟΥ 96 "</f>
        <v xml:space="preserve">Γ. ΠΕΡΟΥ 96 </v>
      </c>
      <c r="I8441">
        <v>73100</v>
      </c>
      <c r="J8441">
        <v>2821095572</v>
      </c>
      <c r="K8441">
        <v>6979314075</v>
      </c>
      <c r="N8441" t="s">
        <v>615</v>
      </c>
      <c r="O8441" t="s">
        <v>616</v>
      </c>
      <c r="R8441" t="s">
        <v>159</v>
      </c>
      <c r="S8441">
        <v>3</v>
      </c>
      <c r="T8441" t="s">
        <v>8675</v>
      </c>
      <c r="U8441" s="1">
        <v>43348</v>
      </c>
      <c r="V8441" t="s">
        <v>66</v>
      </c>
      <c r="W8441" t="s">
        <v>67</v>
      </c>
      <c r="X8441" t="s">
        <v>58</v>
      </c>
      <c r="Y8441">
        <v>25</v>
      </c>
      <c r="Z8441" t="s">
        <v>59</v>
      </c>
      <c r="AA8441" t="s">
        <v>59</v>
      </c>
      <c r="AB8441" t="s">
        <v>59</v>
      </c>
      <c r="AC8441" t="s">
        <v>59</v>
      </c>
      <c r="AD8441" t="s">
        <v>59</v>
      </c>
      <c r="AF8441" s="1">
        <v>43348</v>
      </c>
      <c r="AG8441" t="s">
        <v>8645</v>
      </c>
      <c r="AH8441" t="s">
        <v>8676</v>
      </c>
      <c r="AI8441" t="str">
        <f>"9410055"</f>
        <v>9410055</v>
      </c>
      <c r="AJ8441" t="s">
        <v>12677</v>
      </c>
      <c r="AK8441">
        <v>2834051109</v>
      </c>
      <c r="AL8441" t="s">
        <v>12678</v>
      </c>
      <c r="AM8441" t="s">
        <v>64</v>
      </c>
      <c r="AN8441" t="s">
        <v>5672</v>
      </c>
      <c r="AO8441" t="s">
        <v>5673</v>
      </c>
      <c r="AP8441" t="s">
        <v>12679</v>
      </c>
      <c r="AQ8441">
        <v>10</v>
      </c>
      <c r="AR8441" t="s">
        <v>66</v>
      </c>
      <c r="AS8441" t="s">
        <v>67</v>
      </c>
      <c r="AT8441" t="s">
        <v>58</v>
      </c>
      <c r="AU8441" t="s">
        <v>8673</v>
      </c>
      <c r="AV8441" t="s">
        <v>132</v>
      </c>
      <c r="AW8441" s="1">
        <v>32501</v>
      </c>
      <c r="AX8441">
        <v>1</v>
      </c>
    </row>
    <row r="8442" spans="1:50">
      <c r="B8442" t="str">
        <f>"137482216"</f>
        <v>137482216</v>
      </c>
      <c r="C8442" t="s">
        <v>50</v>
      </c>
      <c r="D8442" t="s">
        <v>1308</v>
      </c>
      <c r="E8442" t="s">
        <v>54</v>
      </c>
      <c r="F8442" t="s">
        <v>95</v>
      </c>
      <c r="G8442" t="s">
        <v>809</v>
      </c>
      <c r="H8442" t="str">
        <f>"ΚΟΥΡΗΤΩΝ 2 "</f>
        <v xml:space="preserve">ΚΟΥΡΗΤΩΝ 2 </v>
      </c>
      <c r="I8442">
        <v>74100</v>
      </c>
      <c r="J8442">
        <v>2831023063</v>
      </c>
      <c r="K8442">
        <v>6979221096</v>
      </c>
      <c r="N8442" t="s">
        <v>615</v>
      </c>
      <c r="O8442" t="s">
        <v>616</v>
      </c>
      <c r="R8442" t="s">
        <v>159</v>
      </c>
      <c r="S8442">
        <v>4</v>
      </c>
      <c r="T8442" t="s">
        <v>8675</v>
      </c>
      <c r="U8442" s="1">
        <v>43348</v>
      </c>
      <c r="V8442" t="s">
        <v>66</v>
      </c>
      <c r="W8442" t="s">
        <v>67</v>
      </c>
      <c r="X8442" t="s">
        <v>58</v>
      </c>
      <c r="Y8442">
        <v>25</v>
      </c>
      <c r="Z8442" t="s">
        <v>59</v>
      </c>
      <c r="AA8442" t="s">
        <v>59</v>
      </c>
      <c r="AB8442" t="s">
        <v>59</v>
      </c>
      <c r="AC8442" t="s">
        <v>59</v>
      </c>
      <c r="AD8442" t="s">
        <v>59</v>
      </c>
      <c r="AF8442" s="1">
        <v>43348</v>
      </c>
      <c r="AG8442" t="s">
        <v>8645</v>
      </c>
      <c r="AH8442" t="s">
        <v>8676</v>
      </c>
      <c r="AI8442" t="str">
        <f>"9410010"</f>
        <v>9410010</v>
      </c>
      <c r="AJ8442" t="s">
        <v>13019</v>
      </c>
      <c r="AK8442">
        <v>2834091414</v>
      </c>
      <c r="AL8442" t="s">
        <v>13020</v>
      </c>
      <c r="AM8442" t="s">
        <v>64</v>
      </c>
      <c r="AN8442" t="s">
        <v>5672</v>
      </c>
      <c r="AO8442" t="s">
        <v>5673</v>
      </c>
      <c r="AP8442" t="s">
        <v>13021</v>
      </c>
      <c r="AQ8442">
        <v>11</v>
      </c>
      <c r="AR8442" t="s">
        <v>66</v>
      </c>
      <c r="AS8442" t="s">
        <v>67</v>
      </c>
      <c r="AT8442" t="s">
        <v>58</v>
      </c>
      <c r="AU8442" t="s">
        <v>8673</v>
      </c>
      <c r="AV8442" t="s">
        <v>132</v>
      </c>
      <c r="AW8442" s="1">
        <v>31623</v>
      </c>
      <c r="AX8442">
        <v>1</v>
      </c>
    </row>
    <row r="8443" spans="1:50">
      <c r="B8443" t="str">
        <f>"133014073"</f>
        <v>133014073</v>
      </c>
      <c r="C8443" t="s">
        <v>105</v>
      </c>
      <c r="D8443" t="s">
        <v>9574</v>
      </c>
      <c r="E8443" t="s">
        <v>450</v>
      </c>
      <c r="F8443" t="s">
        <v>304</v>
      </c>
      <c r="G8443" t="s">
        <v>52</v>
      </c>
      <c r="H8443" t="str">
        <f>"ΜΑΡΚΟΥ ΠΑΝΕΤΑ 16 "</f>
        <v xml:space="preserve">ΜΑΡΚΟΥ ΠΑΝΕΤΑ 16 </v>
      </c>
      <c r="I8443">
        <v>30500</v>
      </c>
      <c r="J8443">
        <v>2642022731</v>
      </c>
      <c r="K8443">
        <v>6945831413</v>
      </c>
      <c r="M8443" t="s">
        <v>13022</v>
      </c>
      <c r="N8443" t="s">
        <v>337</v>
      </c>
      <c r="O8443" t="s">
        <v>338</v>
      </c>
      <c r="R8443" t="s">
        <v>159</v>
      </c>
      <c r="S8443">
        <v>4</v>
      </c>
      <c r="T8443" t="s">
        <v>8675</v>
      </c>
      <c r="U8443" s="1">
        <v>43348</v>
      </c>
      <c r="V8443" t="s">
        <v>66</v>
      </c>
      <c r="W8443" t="s">
        <v>67</v>
      </c>
      <c r="X8443" t="s">
        <v>58</v>
      </c>
      <c r="Y8443">
        <v>24</v>
      </c>
      <c r="Z8443" t="s">
        <v>59</v>
      </c>
      <c r="AA8443" t="s">
        <v>59</v>
      </c>
      <c r="AB8443" t="s">
        <v>59</v>
      </c>
      <c r="AC8443" t="s">
        <v>59</v>
      </c>
      <c r="AD8443" t="s">
        <v>59</v>
      </c>
      <c r="AF8443" s="1">
        <v>43348</v>
      </c>
      <c r="AG8443" t="s">
        <v>8645</v>
      </c>
      <c r="AH8443" t="s">
        <v>8646</v>
      </c>
      <c r="AI8443" t="str">
        <f>"9410263"</f>
        <v>9410263</v>
      </c>
      <c r="AJ8443" t="s">
        <v>12672</v>
      </c>
      <c r="AK8443">
        <v>2831053818</v>
      </c>
      <c r="AL8443" t="s">
        <v>12673</v>
      </c>
      <c r="AM8443" t="s">
        <v>64</v>
      </c>
      <c r="AN8443" t="s">
        <v>65</v>
      </c>
      <c r="AO8443" t="s">
        <v>65</v>
      </c>
      <c r="AP8443" t="s">
        <v>65</v>
      </c>
      <c r="AQ8443">
        <v>1</v>
      </c>
      <c r="AR8443" t="s">
        <v>66</v>
      </c>
      <c r="AS8443" t="s">
        <v>67</v>
      </c>
      <c r="AT8443" t="s">
        <v>58</v>
      </c>
      <c r="AU8443" t="s">
        <v>8673</v>
      </c>
      <c r="AV8443" t="s">
        <v>132</v>
      </c>
      <c r="AW8443" s="1">
        <v>30668</v>
      </c>
      <c r="AX8443">
        <v>1</v>
      </c>
    </row>
    <row r="8444" spans="1:50">
      <c r="B8444" t="str">
        <f>"129115477"</f>
        <v>129115477</v>
      </c>
      <c r="C8444" t="s">
        <v>50</v>
      </c>
      <c r="D8444" t="s">
        <v>13023</v>
      </c>
      <c r="E8444" t="s">
        <v>658</v>
      </c>
      <c r="F8444" t="s">
        <v>377</v>
      </c>
      <c r="G8444" t="s">
        <v>143</v>
      </c>
      <c r="H8444" t="str">
        <f>"ΣΩΤ.ΠΕΤΡΟΥΛΑ 7Α "</f>
        <v xml:space="preserve">ΣΩΤ.ΠΕΤΡΟΥΛΑ 7Α </v>
      </c>
      <c r="I8444">
        <v>74100</v>
      </c>
      <c r="J8444">
        <v>2831055024</v>
      </c>
      <c r="K8444">
        <v>6936005738</v>
      </c>
      <c r="N8444" t="s">
        <v>9829</v>
      </c>
      <c r="O8444" t="s">
        <v>9830</v>
      </c>
      <c r="R8444" t="s">
        <v>159</v>
      </c>
      <c r="S8444">
        <v>5</v>
      </c>
      <c r="T8444" t="s">
        <v>8696</v>
      </c>
      <c r="U8444" s="1">
        <v>43348</v>
      </c>
      <c r="V8444" t="s">
        <v>66</v>
      </c>
      <c r="W8444" t="s">
        <v>67</v>
      </c>
      <c r="X8444" t="s">
        <v>58</v>
      </c>
      <c r="Y8444">
        <v>25</v>
      </c>
      <c r="Z8444" t="s">
        <v>59</v>
      </c>
      <c r="AA8444" t="s">
        <v>59</v>
      </c>
      <c r="AB8444" t="s">
        <v>59</v>
      </c>
      <c r="AC8444" t="s">
        <v>59</v>
      </c>
      <c r="AD8444" t="s">
        <v>59</v>
      </c>
      <c r="AF8444" s="1">
        <v>43348</v>
      </c>
      <c r="AG8444" t="s">
        <v>8651</v>
      </c>
      <c r="AH8444" t="s">
        <v>8652</v>
      </c>
      <c r="AI8444" t="str">
        <f>"9410231"</f>
        <v>9410231</v>
      </c>
      <c r="AJ8444" t="s">
        <v>12868</v>
      </c>
      <c r="AK8444">
        <v>2831025022</v>
      </c>
      <c r="AL8444" t="s">
        <v>12869</v>
      </c>
      <c r="AM8444" t="s">
        <v>64</v>
      </c>
      <c r="AN8444" t="s">
        <v>65</v>
      </c>
      <c r="AO8444" t="s">
        <v>65</v>
      </c>
      <c r="AP8444" t="s">
        <v>65</v>
      </c>
      <c r="AQ8444">
        <v>1</v>
      </c>
      <c r="AR8444" t="s">
        <v>66</v>
      </c>
      <c r="AS8444" t="s">
        <v>67</v>
      </c>
      <c r="AT8444" t="s">
        <v>58</v>
      </c>
      <c r="AU8444" t="s">
        <v>350</v>
      </c>
      <c r="AV8444" t="s">
        <v>132</v>
      </c>
      <c r="AW8444" s="1">
        <v>30386</v>
      </c>
      <c r="AX8444">
        <v>1</v>
      </c>
    </row>
    <row r="8445" spans="1:50">
      <c r="A8445">
        <v>574410</v>
      </c>
      <c r="B8445" t="str">
        <f>"078730291"</f>
        <v>078730291</v>
      </c>
      <c r="C8445" t="s">
        <v>50</v>
      </c>
      <c r="D8445" t="s">
        <v>13024</v>
      </c>
      <c r="E8445" t="s">
        <v>1755</v>
      </c>
      <c r="F8445" t="s">
        <v>965</v>
      </c>
      <c r="G8445" t="s">
        <v>3150</v>
      </c>
      <c r="H8445" t="str">
        <f>" "</f>
        <v xml:space="preserve"> </v>
      </c>
      <c r="N8445" t="s">
        <v>1525</v>
      </c>
      <c r="O8445" t="s">
        <v>1526</v>
      </c>
      <c r="R8445" t="s">
        <v>57</v>
      </c>
      <c r="S8445">
        <v>12</v>
      </c>
      <c r="T8445">
        <v>160</v>
      </c>
      <c r="U8445" s="1">
        <v>34582</v>
      </c>
      <c r="V8445" t="s">
        <v>66</v>
      </c>
      <c r="W8445" t="s">
        <v>67</v>
      </c>
      <c r="X8445" t="s">
        <v>58</v>
      </c>
      <c r="Y8445">
        <v>25</v>
      </c>
      <c r="Z8445" t="s">
        <v>59</v>
      </c>
      <c r="AA8445" t="s">
        <v>59</v>
      </c>
      <c r="AB8445" t="s">
        <v>59</v>
      </c>
      <c r="AC8445" t="s">
        <v>59</v>
      </c>
      <c r="AD8445" t="s">
        <v>59</v>
      </c>
      <c r="AF8445" s="1">
        <v>34582</v>
      </c>
      <c r="AG8445" t="s">
        <v>8651</v>
      </c>
      <c r="AH8445" t="s">
        <v>8652</v>
      </c>
      <c r="AI8445" t="str">
        <f>"9410258"</f>
        <v>9410258</v>
      </c>
      <c r="AJ8445" t="s">
        <v>12762</v>
      </c>
      <c r="AK8445">
        <v>2831022058</v>
      </c>
      <c r="AL8445" t="s">
        <v>12763</v>
      </c>
      <c r="AM8445" t="s">
        <v>64</v>
      </c>
      <c r="AN8445" t="s">
        <v>65</v>
      </c>
      <c r="AO8445" t="s">
        <v>65</v>
      </c>
      <c r="AP8445" t="s">
        <v>65</v>
      </c>
      <c r="AQ8445">
        <v>1</v>
      </c>
      <c r="AR8445" t="s">
        <v>66</v>
      </c>
      <c r="AS8445" t="s">
        <v>67</v>
      </c>
      <c r="AT8445" t="s">
        <v>58</v>
      </c>
      <c r="AU8445" t="s">
        <v>68</v>
      </c>
      <c r="AV8445" t="s">
        <v>69</v>
      </c>
      <c r="AW8445" s="1">
        <v>23845</v>
      </c>
      <c r="AX8445">
        <v>1</v>
      </c>
    </row>
    <row r="8446" spans="1:50">
      <c r="B8446" t="str">
        <f>"143465562"</f>
        <v>143465562</v>
      </c>
      <c r="C8446" t="s">
        <v>50</v>
      </c>
      <c r="D8446" t="s">
        <v>13025</v>
      </c>
      <c r="E8446" t="s">
        <v>83</v>
      </c>
      <c r="F8446" t="s">
        <v>450</v>
      </c>
      <c r="H8446" t="str">
        <f>" "</f>
        <v xml:space="preserve"> </v>
      </c>
      <c r="K8446">
        <v>6978164670</v>
      </c>
      <c r="N8446" t="s">
        <v>8694</v>
      </c>
      <c r="O8446" t="s">
        <v>8695</v>
      </c>
      <c r="R8446" t="s">
        <v>159</v>
      </c>
      <c r="S8446">
        <v>2</v>
      </c>
      <c r="T8446" t="s">
        <v>8696</v>
      </c>
      <c r="U8446" s="1">
        <v>43348</v>
      </c>
      <c r="V8446" t="s">
        <v>66</v>
      </c>
      <c r="W8446" t="s">
        <v>67</v>
      </c>
      <c r="X8446" t="s">
        <v>58</v>
      </c>
      <c r="Y8446">
        <v>24</v>
      </c>
      <c r="Z8446" t="s">
        <v>59</v>
      </c>
      <c r="AA8446" t="s">
        <v>59</v>
      </c>
      <c r="AB8446" t="s">
        <v>59</v>
      </c>
      <c r="AC8446" t="s">
        <v>59</v>
      </c>
      <c r="AD8446" t="s">
        <v>59</v>
      </c>
      <c r="AF8446" s="1">
        <v>43348</v>
      </c>
      <c r="AG8446" t="s">
        <v>8645</v>
      </c>
      <c r="AH8446" t="s">
        <v>8697</v>
      </c>
      <c r="AI8446" t="str">
        <f>"9410243"</f>
        <v>9410243</v>
      </c>
      <c r="AJ8446" t="s">
        <v>12885</v>
      </c>
      <c r="AK8446">
        <v>2831026710</v>
      </c>
      <c r="AL8446" t="s">
        <v>12886</v>
      </c>
      <c r="AM8446" t="s">
        <v>64</v>
      </c>
      <c r="AN8446" t="s">
        <v>65</v>
      </c>
      <c r="AO8446" t="s">
        <v>65</v>
      </c>
      <c r="AP8446" t="s">
        <v>65</v>
      </c>
      <c r="AQ8446">
        <v>1</v>
      </c>
      <c r="AR8446" t="s">
        <v>66</v>
      </c>
      <c r="AS8446" t="s">
        <v>67</v>
      </c>
      <c r="AT8446" t="s">
        <v>58</v>
      </c>
      <c r="AU8446" t="s">
        <v>350</v>
      </c>
      <c r="AV8446" t="s">
        <v>132</v>
      </c>
      <c r="AW8446" s="1">
        <v>32085</v>
      </c>
      <c r="AX8446">
        <v>1</v>
      </c>
    </row>
    <row r="8447" spans="1:50">
      <c r="A8447">
        <v>703843</v>
      </c>
      <c r="B8447" t="str">
        <f>"137483667"</f>
        <v>137483667</v>
      </c>
      <c r="C8447" t="s">
        <v>50</v>
      </c>
      <c r="D8447" t="s">
        <v>13026</v>
      </c>
      <c r="E8447" t="s">
        <v>440</v>
      </c>
      <c r="F8447" t="s">
        <v>309</v>
      </c>
      <c r="G8447" t="s">
        <v>255</v>
      </c>
      <c r="H8447" t="str">
        <f>"ΠΟΡΤΑΛΙΟΥ 22 "</f>
        <v xml:space="preserve">ΠΟΡΤΑΛΙΟΥ 22 </v>
      </c>
      <c r="I8447">
        <v>74100</v>
      </c>
      <c r="K8447">
        <v>6986103447</v>
      </c>
      <c r="N8447" t="s">
        <v>615</v>
      </c>
      <c r="O8447" t="s">
        <v>616</v>
      </c>
      <c r="R8447" t="s">
        <v>57</v>
      </c>
      <c r="S8447">
        <v>4</v>
      </c>
      <c r="T8447">
        <v>224</v>
      </c>
      <c r="U8447" s="1">
        <v>41695</v>
      </c>
      <c r="V8447" t="s">
        <v>66</v>
      </c>
      <c r="W8447" t="s">
        <v>67</v>
      </c>
      <c r="X8447" t="s">
        <v>58</v>
      </c>
      <c r="Y8447">
        <v>24</v>
      </c>
      <c r="Z8447" t="s">
        <v>59</v>
      </c>
      <c r="AA8447" t="s">
        <v>59</v>
      </c>
      <c r="AB8447" t="s">
        <v>59</v>
      </c>
      <c r="AC8447" t="s">
        <v>59</v>
      </c>
      <c r="AD8447" t="s">
        <v>59</v>
      </c>
      <c r="AF8447" s="1">
        <v>41695</v>
      </c>
      <c r="AG8447" t="s">
        <v>8645</v>
      </c>
      <c r="AH8447" t="s">
        <v>8646</v>
      </c>
      <c r="AI8447" t="str">
        <f>"9410226"</f>
        <v>9410226</v>
      </c>
      <c r="AJ8447" t="s">
        <v>12702</v>
      </c>
      <c r="AK8447">
        <v>2831071088</v>
      </c>
      <c r="AL8447" t="s">
        <v>12703</v>
      </c>
      <c r="AM8447" t="s">
        <v>64</v>
      </c>
      <c r="AN8447" t="s">
        <v>65</v>
      </c>
      <c r="AO8447" t="s">
        <v>12694</v>
      </c>
      <c r="AP8447" t="s">
        <v>12704</v>
      </c>
      <c r="AQ8447">
        <v>3</v>
      </c>
      <c r="AR8447" t="s">
        <v>66</v>
      </c>
      <c r="AS8447" t="s">
        <v>67</v>
      </c>
      <c r="AT8447" t="s">
        <v>58</v>
      </c>
      <c r="AU8447" t="s">
        <v>68</v>
      </c>
      <c r="AV8447" t="s">
        <v>69</v>
      </c>
      <c r="AW8447" s="1">
        <v>31168</v>
      </c>
      <c r="AX8447">
        <v>1</v>
      </c>
    </row>
    <row r="8448" spans="1:50">
      <c r="B8448" t="str">
        <f>"142192219"</f>
        <v>142192219</v>
      </c>
      <c r="C8448" t="s">
        <v>50</v>
      </c>
      <c r="D8448" t="s">
        <v>13027</v>
      </c>
      <c r="E8448" t="s">
        <v>476</v>
      </c>
      <c r="F8448" t="s">
        <v>99</v>
      </c>
      <c r="G8448" t="s">
        <v>83</v>
      </c>
      <c r="H8448" t="str">
        <f>" "</f>
        <v xml:space="preserve"> </v>
      </c>
      <c r="N8448" t="s">
        <v>615</v>
      </c>
      <c r="O8448" t="s">
        <v>616</v>
      </c>
      <c r="R8448" t="s">
        <v>121</v>
      </c>
      <c r="S8448">
        <v>3</v>
      </c>
      <c r="T8448" t="s">
        <v>8675</v>
      </c>
      <c r="U8448" s="1">
        <v>43348</v>
      </c>
      <c r="V8448" t="s">
        <v>66</v>
      </c>
      <c r="W8448" t="s">
        <v>67</v>
      </c>
      <c r="X8448" t="s">
        <v>58</v>
      </c>
      <c r="Y8448">
        <v>25</v>
      </c>
      <c r="Z8448" t="s">
        <v>59</v>
      </c>
      <c r="AA8448" t="s">
        <v>59</v>
      </c>
      <c r="AB8448" t="s">
        <v>59</v>
      </c>
      <c r="AC8448" t="s">
        <v>59</v>
      </c>
      <c r="AD8448" t="s">
        <v>59</v>
      </c>
      <c r="AF8448" s="1">
        <v>43348</v>
      </c>
      <c r="AG8448" t="s">
        <v>8645</v>
      </c>
      <c r="AH8448" t="s">
        <v>8676</v>
      </c>
      <c r="AI8448" t="str">
        <f>"9410034"</f>
        <v>9410034</v>
      </c>
      <c r="AJ8448" t="s">
        <v>13028</v>
      </c>
      <c r="AK8448">
        <v>2834061446</v>
      </c>
      <c r="AL8448" t="s">
        <v>13029</v>
      </c>
      <c r="AM8448" t="s">
        <v>64</v>
      </c>
      <c r="AN8448" t="s">
        <v>5672</v>
      </c>
      <c r="AO8448" t="s">
        <v>5698</v>
      </c>
      <c r="AP8448" t="s">
        <v>13030</v>
      </c>
      <c r="AQ8448">
        <v>11</v>
      </c>
      <c r="AR8448" t="s">
        <v>66</v>
      </c>
      <c r="AS8448" t="s">
        <v>67</v>
      </c>
      <c r="AT8448" t="s">
        <v>58</v>
      </c>
      <c r="AU8448" t="s">
        <v>8673</v>
      </c>
      <c r="AV8448" t="s">
        <v>132</v>
      </c>
      <c r="AW8448" s="1">
        <v>32899</v>
      </c>
      <c r="AX8448">
        <v>1</v>
      </c>
    </row>
    <row r="8449" spans="1:50">
      <c r="A8449">
        <v>590489</v>
      </c>
      <c r="B8449" t="str">
        <f>"058661787"</f>
        <v>058661787</v>
      </c>
      <c r="C8449" t="s">
        <v>50</v>
      </c>
      <c r="D8449" t="s">
        <v>13031</v>
      </c>
      <c r="E8449" t="s">
        <v>191</v>
      </c>
      <c r="F8449" t="s">
        <v>95</v>
      </c>
      <c r="G8449" t="s">
        <v>1588</v>
      </c>
      <c r="H8449" t="str">
        <f>"ΑΘΑΝΑΣΙΑΔΗ 2  ΡΕΘΥΜΝΟ"</f>
        <v>ΑΘΑΝΑΣΙΑΔΗ 2  ΡΕΘΥΜΝΟ</v>
      </c>
      <c r="I8449">
        <v>74100</v>
      </c>
      <c r="J8449">
        <v>2831056795</v>
      </c>
      <c r="K8449">
        <v>6932586866</v>
      </c>
      <c r="M8449" t="s">
        <v>13032</v>
      </c>
      <c r="N8449" t="s">
        <v>615</v>
      </c>
      <c r="O8449" t="s">
        <v>616</v>
      </c>
      <c r="R8449" t="s">
        <v>57</v>
      </c>
      <c r="S8449">
        <v>9</v>
      </c>
      <c r="T8449">
        <v>176</v>
      </c>
      <c r="U8449" s="1">
        <v>36403</v>
      </c>
      <c r="V8449" t="s">
        <v>66</v>
      </c>
      <c r="W8449" t="s">
        <v>67</v>
      </c>
      <c r="X8449" t="s">
        <v>58</v>
      </c>
      <c r="Y8449">
        <v>22</v>
      </c>
      <c r="Z8449" t="s">
        <v>59</v>
      </c>
      <c r="AA8449" t="s">
        <v>59</v>
      </c>
      <c r="AB8449" t="s">
        <v>59</v>
      </c>
      <c r="AC8449" t="s">
        <v>59</v>
      </c>
      <c r="AD8449" t="s">
        <v>59</v>
      </c>
      <c r="AF8449" s="1">
        <v>36404</v>
      </c>
      <c r="AG8449" t="s">
        <v>8645</v>
      </c>
      <c r="AH8449" t="s">
        <v>8646</v>
      </c>
      <c r="AI8449" t="str">
        <f>"9410257"</f>
        <v>9410257</v>
      </c>
      <c r="AJ8449" t="s">
        <v>12828</v>
      </c>
      <c r="AK8449">
        <v>2831056242</v>
      </c>
      <c r="AL8449" t="s">
        <v>12829</v>
      </c>
      <c r="AM8449" t="s">
        <v>64</v>
      </c>
      <c r="AN8449" t="s">
        <v>65</v>
      </c>
      <c r="AO8449" t="s">
        <v>65</v>
      </c>
      <c r="AP8449" t="s">
        <v>65</v>
      </c>
      <c r="AQ8449">
        <v>1</v>
      </c>
      <c r="AR8449" t="s">
        <v>66</v>
      </c>
      <c r="AS8449" t="s">
        <v>67</v>
      </c>
      <c r="AT8449" t="s">
        <v>58</v>
      </c>
      <c r="AU8449" t="s">
        <v>68</v>
      </c>
      <c r="AV8449" t="s">
        <v>69</v>
      </c>
      <c r="AW8449" s="1">
        <v>26382</v>
      </c>
      <c r="AX8449">
        <v>1</v>
      </c>
    </row>
    <row r="8450" spans="1:50">
      <c r="A8450">
        <v>592283</v>
      </c>
      <c r="B8450" t="str">
        <f>"079069559"</f>
        <v>079069559</v>
      </c>
      <c r="C8450" t="s">
        <v>50</v>
      </c>
      <c r="D8450" t="s">
        <v>13033</v>
      </c>
      <c r="E8450" t="s">
        <v>143</v>
      </c>
      <c r="F8450" t="s">
        <v>510</v>
      </c>
      <c r="G8450" t="s">
        <v>7343</v>
      </c>
      <c r="H8450" t="str">
        <f>"ΓΑΛΛΟΣ ΡΕΘΥΜΝΟΥ "</f>
        <v xml:space="preserve">ΓΑΛΛΟΣ ΡΕΘΥΜΝΟΥ </v>
      </c>
      <c r="I8450">
        <v>74100</v>
      </c>
      <c r="K8450">
        <v>6974453602</v>
      </c>
      <c r="M8450" t="s">
        <v>13034</v>
      </c>
      <c r="N8450" t="s">
        <v>1525</v>
      </c>
      <c r="O8450" t="s">
        <v>1526</v>
      </c>
      <c r="R8450" t="s">
        <v>57</v>
      </c>
      <c r="S8450">
        <v>9</v>
      </c>
      <c r="T8450">
        <v>249</v>
      </c>
      <c r="U8450" s="1">
        <v>36769</v>
      </c>
      <c r="V8450" t="s">
        <v>66</v>
      </c>
      <c r="W8450" t="s">
        <v>67</v>
      </c>
      <c r="X8450" t="s">
        <v>58</v>
      </c>
      <c r="Y8450">
        <v>25</v>
      </c>
      <c r="Z8450" t="s">
        <v>59</v>
      </c>
      <c r="AA8450" t="s">
        <v>59</v>
      </c>
      <c r="AB8450" t="s">
        <v>59</v>
      </c>
      <c r="AC8450" t="s">
        <v>59</v>
      </c>
      <c r="AD8450" t="s">
        <v>59</v>
      </c>
      <c r="AF8450" s="1">
        <v>36770</v>
      </c>
      <c r="AG8450" t="s">
        <v>8651</v>
      </c>
      <c r="AH8450" t="s">
        <v>8652</v>
      </c>
      <c r="AI8450" t="str">
        <f>"9410258"</f>
        <v>9410258</v>
      </c>
      <c r="AJ8450" t="s">
        <v>12762</v>
      </c>
      <c r="AK8450">
        <v>2831022058</v>
      </c>
      <c r="AL8450" t="s">
        <v>12763</v>
      </c>
      <c r="AM8450" t="s">
        <v>64</v>
      </c>
      <c r="AN8450" t="s">
        <v>65</v>
      </c>
      <c r="AO8450" t="s">
        <v>65</v>
      </c>
      <c r="AP8450" t="s">
        <v>65</v>
      </c>
      <c r="AQ8450">
        <v>1</v>
      </c>
      <c r="AR8450" t="s">
        <v>66</v>
      </c>
      <c r="AS8450" t="s">
        <v>67</v>
      </c>
      <c r="AT8450" t="s">
        <v>58</v>
      </c>
      <c r="AU8450" t="s">
        <v>68</v>
      </c>
      <c r="AV8450" t="s">
        <v>69</v>
      </c>
      <c r="AW8450" s="1">
        <v>25978</v>
      </c>
      <c r="AX8450">
        <v>1</v>
      </c>
    </row>
    <row r="8451" spans="1:50">
      <c r="A8451">
        <v>621459</v>
      </c>
      <c r="B8451" t="str">
        <f>"101475100"</f>
        <v>101475100</v>
      </c>
      <c r="C8451" t="s">
        <v>105</v>
      </c>
      <c r="D8451" t="s">
        <v>13035</v>
      </c>
      <c r="E8451" t="s">
        <v>383</v>
      </c>
      <c r="F8451" t="s">
        <v>670</v>
      </c>
      <c r="G8451" t="s">
        <v>626</v>
      </c>
      <c r="H8451" t="str">
        <f>"ΧΑΝΙΩΝ 12 ΡΕΘΥΜΝΟ"</f>
        <v>ΧΑΝΙΩΝ 12 ΡΕΘΥΜΝΟ</v>
      </c>
      <c r="I8451">
        <v>74100</v>
      </c>
      <c r="J8451">
        <v>2831057979</v>
      </c>
      <c r="K8451">
        <v>6947297172</v>
      </c>
      <c r="N8451" t="s">
        <v>615</v>
      </c>
      <c r="O8451" t="s">
        <v>616</v>
      </c>
      <c r="R8451" t="s">
        <v>57</v>
      </c>
      <c r="S8451">
        <v>5</v>
      </c>
      <c r="T8451">
        <v>653</v>
      </c>
      <c r="U8451" s="1">
        <v>40043</v>
      </c>
      <c r="V8451" t="s">
        <v>66</v>
      </c>
      <c r="W8451" t="s">
        <v>67</v>
      </c>
      <c r="X8451" t="s">
        <v>58</v>
      </c>
      <c r="Y8451">
        <v>23</v>
      </c>
      <c r="Z8451" t="s">
        <v>59</v>
      </c>
      <c r="AA8451" t="s">
        <v>59</v>
      </c>
      <c r="AB8451" t="s">
        <v>59</v>
      </c>
      <c r="AC8451" t="s">
        <v>59</v>
      </c>
      <c r="AD8451" t="s">
        <v>59</v>
      </c>
      <c r="AF8451" s="1">
        <v>40044</v>
      </c>
      <c r="AG8451" t="s">
        <v>8645</v>
      </c>
      <c r="AH8451" t="s">
        <v>8646</v>
      </c>
      <c r="AI8451" t="str">
        <f>"9410152"</f>
        <v>9410152</v>
      </c>
      <c r="AJ8451" t="s">
        <v>12686</v>
      </c>
      <c r="AK8451">
        <v>2831029088</v>
      </c>
      <c r="AL8451" t="s">
        <v>12687</v>
      </c>
      <c r="AM8451" t="s">
        <v>64</v>
      </c>
      <c r="AN8451" t="s">
        <v>65</v>
      </c>
      <c r="AO8451" t="s">
        <v>65</v>
      </c>
      <c r="AP8451" t="s">
        <v>65</v>
      </c>
      <c r="AQ8451">
        <v>1</v>
      </c>
      <c r="AR8451" t="s">
        <v>66</v>
      </c>
      <c r="AS8451" t="s">
        <v>67</v>
      </c>
      <c r="AT8451" t="s">
        <v>58</v>
      </c>
      <c r="AU8451" t="s">
        <v>68</v>
      </c>
      <c r="AV8451" t="s">
        <v>69</v>
      </c>
      <c r="AW8451" s="1">
        <v>27395</v>
      </c>
      <c r="AX8451">
        <v>1</v>
      </c>
    </row>
    <row r="8452" spans="1:50">
      <c r="A8452">
        <v>702542</v>
      </c>
      <c r="B8452" t="str">
        <f>"142695726"</f>
        <v>142695726</v>
      </c>
      <c r="C8452" t="s">
        <v>50</v>
      </c>
      <c r="D8452" t="s">
        <v>13036</v>
      </c>
      <c r="E8452" t="s">
        <v>484</v>
      </c>
      <c r="F8452" t="s">
        <v>95</v>
      </c>
      <c r="G8452" t="s">
        <v>1902</v>
      </c>
      <c r="H8452" t="str">
        <f>"ΠOΝΤΟΥ 12 "</f>
        <v xml:space="preserve">ΠOΝΤΟΥ 12 </v>
      </c>
      <c r="I8452">
        <v>62125</v>
      </c>
      <c r="J8452">
        <v>2321035413</v>
      </c>
      <c r="K8452">
        <v>6973352405</v>
      </c>
      <c r="M8452" t="s">
        <v>13037</v>
      </c>
      <c r="N8452" t="s">
        <v>615</v>
      </c>
      <c r="O8452" t="s">
        <v>616</v>
      </c>
      <c r="R8452" t="s">
        <v>57</v>
      </c>
      <c r="S8452">
        <v>4</v>
      </c>
      <c r="T8452">
        <v>772</v>
      </c>
      <c r="U8452" s="1">
        <v>40413</v>
      </c>
      <c r="V8452" t="s">
        <v>66</v>
      </c>
      <c r="W8452" t="s">
        <v>67</v>
      </c>
      <c r="X8452" t="s">
        <v>58</v>
      </c>
      <c r="Y8452">
        <v>24</v>
      </c>
      <c r="Z8452" t="s">
        <v>59</v>
      </c>
      <c r="AA8452" t="s">
        <v>59</v>
      </c>
      <c r="AB8452" t="s">
        <v>59</v>
      </c>
      <c r="AC8452" t="s">
        <v>59</v>
      </c>
      <c r="AD8452" t="s">
        <v>59</v>
      </c>
      <c r="AF8452" s="1">
        <v>40413</v>
      </c>
      <c r="AG8452" t="s">
        <v>8645</v>
      </c>
      <c r="AH8452" t="s">
        <v>8646</v>
      </c>
      <c r="AI8452" t="str">
        <f>"9410120"</f>
        <v>9410120</v>
      </c>
      <c r="AJ8452" t="s">
        <v>12681</v>
      </c>
      <c r="AK8452">
        <v>6978148714</v>
      </c>
      <c r="AL8452" t="s">
        <v>12682</v>
      </c>
      <c r="AM8452" t="s">
        <v>64</v>
      </c>
      <c r="AN8452" t="s">
        <v>5882</v>
      </c>
      <c r="AO8452" t="s">
        <v>5883</v>
      </c>
      <c r="AP8452" t="s">
        <v>5884</v>
      </c>
      <c r="AQ8452">
        <v>5</v>
      </c>
      <c r="AR8452" t="s">
        <v>66</v>
      </c>
      <c r="AS8452" t="s">
        <v>67</v>
      </c>
      <c r="AT8452" t="s">
        <v>58</v>
      </c>
      <c r="AU8452" t="s">
        <v>68</v>
      </c>
      <c r="AV8452" t="s">
        <v>69</v>
      </c>
      <c r="AW8452" s="1">
        <v>31753</v>
      </c>
      <c r="AX8452">
        <v>1</v>
      </c>
    </row>
    <row r="8453" spans="1:50">
      <c r="A8453">
        <v>605735</v>
      </c>
      <c r="B8453" t="str">
        <f>"066846131"</f>
        <v>066846131</v>
      </c>
      <c r="C8453" t="s">
        <v>50</v>
      </c>
      <c r="D8453" t="s">
        <v>1341</v>
      </c>
      <c r="E8453" t="s">
        <v>3087</v>
      </c>
      <c r="F8453" t="s">
        <v>72</v>
      </c>
      <c r="G8453" t="s">
        <v>610</v>
      </c>
      <c r="H8453" t="str">
        <f>"ΒΑΤΟΛΑΚΚΟΣ  ΧΑΝΙΑ"</f>
        <v>ΒΑΤΟΛΑΚΚΟΣ  ΧΑΝΙΑ</v>
      </c>
      <c r="I8453">
        <v>73005</v>
      </c>
      <c r="J8453">
        <v>2821077104</v>
      </c>
      <c r="K8453">
        <v>6936678787</v>
      </c>
      <c r="M8453" t="s">
        <v>13038</v>
      </c>
      <c r="N8453" t="s">
        <v>615</v>
      </c>
      <c r="O8453" t="s">
        <v>616</v>
      </c>
      <c r="R8453" t="s">
        <v>57</v>
      </c>
      <c r="S8453">
        <v>7</v>
      </c>
      <c r="T8453">
        <v>231</v>
      </c>
      <c r="U8453" s="1">
        <v>38230</v>
      </c>
      <c r="V8453" t="s">
        <v>66</v>
      </c>
      <c r="W8453" t="s">
        <v>67</v>
      </c>
      <c r="X8453" t="s">
        <v>58</v>
      </c>
      <c r="Y8453">
        <v>22</v>
      </c>
      <c r="Z8453" t="s">
        <v>59</v>
      </c>
      <c r="AA8453" t="s">
        <v>59</v>
      </c>
      <c r="AB8453" t="s">
        <v>59</v>
      </c>
      <c r="AC8453" t="s">
        <v>59</v>
      </c>
      <c r="AD8453" t="s">
        <v>59</v>
      </c>
      <c r="AF8453" s="1">
        <v>38231</v>
      </c>
      <c r="AG8453" t="s">
        <v>8645</v>
      </c>
      <c r="AH8453" t="s">
        <v>8646</v>
      </c>
      <c r="AI8453" t="str">
        <f>"9410226"</f>
        <v>9410226</v>
      </c>
      <c r="AJ8453" t="s">
        <v>12702</v>
      </c>
      <c r="AK8453">
        <v>2831071088</v>
      </c>
      <c r="AL8453" t="s">
        <v>12703</v>
      </c>
      <c r="AM8453" t="s">
        <v>64</v>
      </c>
      <c r="AN8453" t="s">
        <v>65</v>
      </c>
      <c r="AO8453" t="s">
        <v>12694</v>
      </c>
      <c r="AP8453" t="s">
        <v>12704</v>
      </c>
      <c r="AQ8453">
        <v>3</v>
      </c>
      <c r="AR8453" t="s">
        <v>66</v>
      </c>
      <c r="AS8453" t="s">
        <v>67</v>
      </c>
      <c r="AT8453" t="s">
        <v>58</v>
      </c>
      <c r="AU8453" t="s">
        <v>68</v>
      </c>
      <c r="AV8453" t="s">
        <v>69</v>
      </c>
      <c r="AW8453" s="1">
        <v>28976</v>
      </c>
      <c r="AX8453">
        <v>1</v>
      </c>
    </row>
    <row r="8454" spans="1:50">
      <c r="A8454">
        <v>704221</v>
      </c>
      <c r="B8454" t="str">
        <f>"074692973"</f>
        <v>074692973</v>
      </c>
      <c r="C8454" t="s">
        <v>50</v>
      </c>
      <c r="D8454" t="s">
        <v>13039</v>
      </c>
      <c r="E8454" t="s">
        <v>52</v>
      </c>
      <c r="F8454" t="s">
        <v>72</v>
      </c>
      <c r="G8454" t="s">
        <v>610</v>
      </c>
      <c r="H8454" t="str">
        <f>"ΧΙΟΥ 4 ΗΡΑΚΛΕΙΟ ΚΡΗΤΗΣ"</f>
        <v>ΧΙΟΥ 4 ΗΡΑΚΛΕΙΟ ΚΡΗΤΗΣ</v>
      </c>
      <c r="I8454">
        <v>71307</v>
      </c>
      <c r="K8454">
        <v>6940066686</v>
      </c>
      <c r="N8454" t="s">
        <v>478</v>
      </c>
      <c r="O8454" t="s">
        <v>479</v>
      </c>
      <c r="R8454" t="s">
        <v>121</v>
      </c>
      <c r="S8454">
        <v>1</v>
      </c>
      <c r="T8454">
        <v>796</v>
      </c>
      <c r="U8454" s="1">
        <v>42968</v>
      </c>
      <c r="V8454" t="s">
        <v>66</v>
      </c>
      <c r="W8454" t="s">
        <v>67</v>
      </c>
      <c r="X8454" t="s">
        <v>58</v>
      </c>
      <c r="Y8454">
        <v>24</v>
      </c>
      <c r="Z8454" t="s">
        <v>59</v>
      </c>
      <c r="AA8454" t="s">
        <v>59</v>
      </c>
      <c r="AB8454" t="s">
        <v>452</v>
      </c>
      <c r="AC8454" t="s">
        <v>59</v>
      </c>
      <c r="AD8454" t="s">
        <v>59</v>
      </c>
      <c r="AF8454" s="1">
        <v>42968</v>
      </c>
      <c r="AG8454" t="s">
        <v>8645</v>
      </c>
      <c r="AH8454" t="s">
        <v>8646</v>
      </c>
      <c r="AI8454" t="str">
        <f>"9410070"</f>
        <v>9410070</v>
      </c>
      <c r="AJ8454" t="s">
        <v>12757</v>
      </c>
      <c r="AK8454">
        <v>2831028583</v>
      </c>
      <c r="AL8454" t="s">
        <v>12758</v>
      </c>
      <c r="AM8454" t="s">
        <v>64</v>
      </c>
      <c r="AN8454" t="s">
        <v>65</v>
      </c>
      <c r="AO8454" t="s">
        <v>65</v>
      </c>
      <c r="AP8454" t="s">
        <v>65</v>
      </c>
      <c r="AQ8454">
        <v>1</v>
      </c>
      <c r="AR8454" t="s">
        <v>66</v>
      </c>
      <c r="AS8454" t="s">
        <v>67</v>
      </c>
      <c r="AT8454" t="s">
        <v>58</v>
      </c>
      <c r="AU8454" t="s">
        <v>68</v>
      </c>
      <c r="AV8454" t="s">
        <v>69</v>
      </c>
      <c r="AW8454" s="1">
        <v>26119</v>
      </c>
      <c r="AX8454">
        <v>1</v>
      </c>
    </row>
    <row r="8455" spans="1:50">
      <c r="B8455" t="str">
        <f>"051090930"</f>
        <v>051090930</v>
      </c>
      <c r="C8455" t="s">
        <v>50</v>
      </c>
      <c r="D8455" t="s">
        <v>9610</v>
      </c>
      <c r="E8455" t="s">
        <v>396</v>
      </c>
      <c r="F8455" t="s">
        <v>95</v>
      </c>
      <c r="G8455" t="s">
        <v>237</v>
      </c>
      <c r="H8455" t="str">
        <f>"Μ     ΠΟΡΤΑΛΙΟΥ  14 ΡΕΘΥΜΝΟ"</f>
        <v>Μ     ΠΟΡΤΑΛΙΟΥ  14 ΡΕΘΥΜΝΟ</v>
      </c>
      <c r="I8455">
        <v>74100</v>
      </c>
      <c r="J8455">
        <v>2810222741</v>
      </c>
      <c r="K8455">
        <v>6979623135</v>
      </c>
      <c r="N8455" t="s">
        <v>9829</v>
      </c>
      <c r="O8455" t="s">
        <v>9830</v>
      </c>
      <c r="R8455" t="s">
        <v>159</v>
      </c>
      <c r="S8455">
        <v>4</v>
      </c>
      <c r="T8455" t="s">
        <v>9831</v>
      </c>
      <c r="U8455" s="1">
        <v>43348</v>
      </c>
      <c r="V8455" t="s">
        <v>66</v>
      </c>
      <c r="W8455" t="s">
        <v>67</v>
      </c>
      <c r="X8455" t="s">
        <v>58</v>
      </c>
      <c r="Y8455">
        <v>25</v>
      </c>
      <c r="Z8455" t="s">
        <v>59</v>
      </c>
      <c r="AA8455" t="s">
        <v>59</v>
      </c>
      <c r="AB8455" t="s">
        <v>59</v>
      </c>
      <c r="AC8455" t="s">
        <v>59</v>
      </c>
      <c r="AD8455" t="s">
        <v>59</v>
      </c>
      <c r="AF8455" s="1">
        <v>43348</v>
      </c>
      <c r="AG8455" t="s">
        <v>60</v>
      </c>
      <c r="AH8455" t="s">
        <v>61</v>
      </c>
      <c r="AI8455" t="str">
        <f>"9000648"</f>
        <v>9000648</v>
      </c>
      <c r="AJ8455" t="s">
        <v>62</v>
      </c>
      <c r="AK8455">
        <v>2831035185</v>
      </c>
      <c r="AL8455" t="s">
        <v>63</v>
      </c>
      <c r="AM8455" t="s">
        <v>64</v>
      </c>
      <c r="AN8455" t="s">
        <v>65</v>
      </c>
      <c r="AO8455" t="s">
        <v>65</v>
      </c>
      <c r="AP8455" t="s">
        <v>65</v>
      </c>
      <c r="AR8455" t="s">
        <v>66</v>
      </c>
      <c r="AS8455" t="s">
        <v>67</v>
      </c>
      <c r="AT8455" t="s">
        <v>58</v>
      </c>
      <c r="AU8455" t="s">
        <v>350</v>
      </c>
      <c r="AV8455" t="s">
        <v>132</v>
      </c>
      <c r="AW8455" s="1">
        <v>23887</v>
      </c>
      <c r="AX8455">
        <v>0</v>
      </c>
    </row>
    <row r="8456" spans="1:50">
      <c r="A8456">
        <v>575686</v>
      </c>
      <c r="B8456" t="str">
        <f>"109127516"</f>
        <v>109127516</v>
      </c>
      <c r="C8456" t="s">
        <v>50</v>
      </c>
      <c r="D8456" t="s">
        <v>9610</v>
      </c>
      <c r="E8456" t="s">
        <v>4089</v>
      </c>
      <c r="F8456" t="s">
        <v>95</v>
      </c>
      <c r="G8456" t="s">
        <v>96</v>
      </c>
      <c r="H8456" t="str">
        <f>" "</f>
        <v xml:space="preserve"> </v>
      </c>
      <c r="K8456">
        <v>6945536030</v>
      </c>
      <c r="N8456" t="s">
        <v>615</v>
      </c>
      <c r="O8456" t="s">
        <v>616</v>
      </c>
      <c r="R8456" t="s">
        <v>57</v>
      </c>
      <c r="S8456">
        <v>13</v>
      </c>
      <c r="T8456">
        <v>184</v>
      </c>
      <c r="U8456" s="1">
        <v>34941</v>
      </c>
      <c r="V8456" t="s">
        <v>66</v>
      </c>
      <c r="W8456" t="s">
        <v>67</v>
      </c>
      <c r="X8456" t="s">
        <v>58</v>
      </c>
      <c r="Y8456">
        <v>21</v>
      </c>
      <c r="Z8456" t="s">
        <v>59</v>
      </c>
      <c r="AA8456" t="s">
        <v>59</v>
      </c>
      <c r="AB8456" t="s">
        <v>59</v>
      </c>
      <c r="AC8456" t="s">
        <v>59</v>
      </c>
      <c r="AD8456" t="s">
        <v>59</v>
      </c>
      <c r="AF8456" s="1">
        <v>34946</v>
      </c>
      <c r="AG8456" t="s">
        <v>8645</v>
      </c>
      <c r="AH8456" t="s">
        <v>8646</v>
      </c>
      <c r="AI8456" t="str">
        <f>"9410003"</f>
        <v>9410003</v>
      </c>
      <c r="AJ8456" t="s">
        <v>12794</v>
      </c>
      <c r="AK8456">
        <v>2834031213</v>
      </c>
      <c r="AL8456" t="s">
        <v>12795</v>
      </c>
      <c r="AM8456" t="s">
        <v>64</v>
      </c>
      <c r="AN8456" t="s">
        <v>5737</v>
      </c>
      <c r="AO8456" t="s">
        <v>5737</v>
      </c>
      <c r="AP8456" t="s">
        <v>5737</v>
      </c>
      <c r="AQ8456">
        <v>9</v>
      </c>
      <c r="AR8456" t="s">
        <v>66</v>
      </c>
      <c r="AS8456" t="s">
        <v>67</v>
      </c>
      <c r="AT8456" t="s">
        <v>58</v>
      </c>
      <c r="AU8456" t="s">
        <v>68</v>
      </c>
      <c r="AV8456" t="s">
        <v>69</v>
      </c>
      <c r="AW8456" s="1">
        <v>23570</v>
      </c>
      <c r="AX8456">
        <v>1</v>
      </c>
    </row>
    <row r="8457" spans="1:50">
      <c r="A8457">
        <v>574297</v>
      </c>
      <c r="B8457" t="str">
        <f>"037838418"</f>
        <v>037838418</v>
      </c>
      <c r="C8457" t="s">
        <v>50</v>
      </c>
      <c r="D8457" t="s">
        <v>5940</v>
      </c>
      <c r="E8457" t="s">
        <v>280</v>
      </c>
      <c r="F8457" t="s">
        <v>84</v>
      </c>
      <c r="G8457" t="s">
        <v>52</v>
      </c>
      <c r="H8457" t="str">
        <f>" "</f>
        <v xml:space="preserve"> </v>
      </c>
      <c r="N8457" t="s">
        <v>615</v>
      </c>
      <c r="O8457" t="s">
        <v>616</v>
      </c>
      <c r="R8457" t="s">
        <v>57</v>
      </c>
      <c r="S8457">
        <v>14</v>
      </c>
      <c r="T8457">
        <v>160</v>
      </c>
      <c r="U8457" s="1">
        <v>34582</v>
      </c>
      <c r="V8457" t="s">
        <v>66</v>
      </c>
      <c r="W8457" t="s">
        <v>67</v>
      </c>
      <c r="X8457" t="s">
        <v>58</v>
      </c>
      <c r="Y8457">
        <v>21</v>
      </c>
      <c r="Z8457" t="s">
        <v>59</v>
      </c>
      <c r="AA8457" t="s">
        <v>59</v>
      </c>
      <c r="AB8457" t="s">
        <v>59</v>
      </c>
      <c r="AC8457" t="s">
        <v>59</v>
      </c>
      <c r="AD8457" t="s">
        <v>59</v>
      </c>
      <c r="AF8457" s="1">
        <v>34582</v>
      </c>
      <c r="AG8457" t="s">
        <v>8645</v>
      </c>
      <c r="AH8457" t="s">
        <v>8646</v>
      </c>
      <c r="AI8457" t="str">
        <f>"9410152"</f>
        <v>9410152</v>
      </c>
      <c r="AJ8457" t="s">
        <v>12686</v>
      </c>
      <c r="AK8457">
        <v>2831029088</v>
      </c>
      <c r="AL8457" t="s">
        <v>12687</v>
      </c>
      <c r="AM8457" t="s">
        <v>64</v>
      </c>
      <c r="AN8457" t="s">
        <v>65</v>
      </c>
      <c r="AO8457" t="s">
        <v>65</v>
      </c>
      <c r="AP8457" t="s">
        <v>65</v>
      </c>
      <c r="AQ8457">
        <v>1</v>
      </c>
      <c r="AR8457" t="s">
        <v>66</v>
      </c>
      <c r="AS8457" t="s">
        <v>67</v>
      </c>
      <c r="AT8457" t="s">
        <v>58</v>
      </c>
      <c r="AU8457" t="s">
        <v>68</v>
      </c>
      <c r="AV8457" t="s">
        <v>69</v>
      </c>
      <c r="AW8457" s="1">
        <v>23907</v>
      </c>
      <c r="AX8457">
        <v>1</v>
      </c>
    </row>
    <row r="8458" spans="1:50">
      <c r="B8458" t="str">
        <f>"070648461"</f>
        <v>070648461</v>
      </c>
      <c r="C8458" t="s">
        <v>105</v>
      </c>
      <c r="D8458" t="s">
        <v>5942</v>
      </c>
      <c r="E8458" t="s">
        <v>95</v>
      </c>
      <c r="F8458" t="s">
        <v>1023</v>
      </c>
      <c r="G8458" t="s">
        <v>83</v>
      </c>
      <c r="H8458" t="str">
        <f>"ΠΕΡΙΟΧΗ ΓΑΛΛΟΥ   ΡΕΘΥΜΝΟ"</f>
        <v>ΠΕΡΙΟΧΗ ΓΑΛΛΟΥ   ΡΕΘΥΜΝΟ</v>
      </c>
      <c r="I8458">
        <v>74100</v>
      </c>
      <c r="J8458">
        <v>2831053343</v>
      </c>
      <c r="K8458">
        <v>6944460094</v>
      </c>
      <c r="N8458" t="s">
        <v>204</v>
      </c>
      <c r="O8458" t="s">
        <v>205</v>
      </c>
      <c r="R8458" t="s">
        <v>159</v>
      </c>
      <c r="S8458">
        <v>3</v>
      </c>
      <c r="T8458" t="s">
        <v>8675</v>
      </c>
      <c r="U8458" s="1">
        <v>43348</v>
      </c>
      <c r="V8458" t="s">
        <v>66</v>
      </c>
      <c r="W8458" t="s">
        <v>67</v>
      </c>
      <c r="X8458" t="s">
        <v>58</v>
      </c>
      <c r="Y8458">
        <v>24</v>
      </c>
      <c r="Z8458" t="s">
        <v>59</v>
      </c>
      <c r="AA8458" t="s">
        <v>59</v>
      </c>
      <c r="AB8458" t="s">
        <v>59</v>
      </c>
      <c r="AC8458" t="s">
        <v>59</v>
      </c>
      <c r="AD8458" t="s">
        <v>59</v>
      </c>
      <c r="AF8458" s="1">
        <v>43348</v>
      </c>
      <c r="AG8458" t="s">
        <v>8645</v>
      </c>
      <c r="AH8458" t="s">
        <v>8646</v>
      </c>
      <c r="AI8458" t="str">
        <f>"9410226"</f>
        <v>9410226</v>
      </c>
      <c r="AJ8458" t="s">
        <v>12702</v>
      </c>
      <c r="AK8458">
        <v>2831071088</v>
      </c>
      <c r="AL8458" t="s">
        <v>12703</v>
      </c>
      <c r="AM8458" t="s">
        <v>64</v>
      </c>
      <c r="AN8458" t="s">
        <v>65</v>
      </c>
      <c r="AO8458" t="s">
        <v>12694</v>
      </c>
      <c r="AP8458" t="s">
        <v>12704</v>
      </c>
      <c r="AQ8458">
        <v>3</v>
      </c>
      <c r="AR8458" t="s">
        <v>66</v>
      </c>
      <c r="AS8458" t="s">
        <v>67</v>
      </c>
      <c r="AT8458" t="s">
        <v>58</v>
      </c>
      <c r="AU8458" t="s">
        <v>8673</v>
      </c>
      <c r="AV8458" t="s">
        <v>132</v>
      </c>
      <c r="AW8458" s="1">
        <v>29488</v>
      </c>
      <c r="AX8458">
        <v>1</v>
      </c>
    </row>
    <row r="8459" spans="1:50">
      <c r="A8459">
        <v>602498</v>
      </c>
      <c r="B8459" t="str">
        <f>"074736901"</f>
        <v>074736901</v>
      </c>
      <c r="C8459" t="s">
        <v>105</v>
      </c>
      <c r="D8459" t="s">
        <v>13040</v>
      </c>
      <c r="E8459" t="s">
        <v>609</v>
      </c>
      <c r="F8459" t="s">
        <v>760</v>
      </c>
      <c r="G8459" t="s">
        <v>215</v>
      </c>
      <c r="H8459" t="str">
        <f>"ΑΤΣΙΠΟΠΟΥΛΟ ΡΕΘΥΜΝΟ"</f>
        <v>ΑΤΣΙΠΟΠΟΥΛΟ ΡΕΘΥΜΝΟ</v>
      </c>
      <c r="I8459">
        <v>74100</v>
      </c>
      <c r="J8459">
        <v>2831031629</v>
      </c>
      <c r="K8459">
        <v>6977781554</v>
      </c>
      <c r="N8459" t="s">
        <v>615</v>
      </c>
      <c r="O8459" t="s">
        <v>616</v>
      </c>
      <c r="R8459" t="s">
        <v>57</v>
      </c>
      <c r="S8459">
        <v>8</v>
      </c>
      <c r="T8459">
        <v>207</v>
      </c>
      <c r="U8459" s="1">
        <v>37866</v>
      </c>
      <c r="V8459" t="s">
        <v>66</v>
      </c>
      <c r="W8459" t="s">
        <v>67</v>
      </c>
      <c r="X8459" t="s">
        <v>58</v>
      </c>
      <c r="Y8459">
        <v>22</v>
      </c>
      <c r="Z8459" t="s">
        <v>59</v>
      </c>
      <c r="AA8459" t="s">
        <v>59</v>
      </c>
      <c r="AB8459" t="s">
        <v>59</v>
      </c>
      <c r="AC8459" t="s">
        <v>59</v>
      </c>
      <c r="AD8459" t="s">
        <v>59</v>
      </c>
      <c r="AF8459" s="1">
        <v>37866</v>
      </c>
      <c r="AG8459" t="s">
        <v>8645</v>
      </c>
      <c r="AH8459" t="s">
        <v>8646</v>
      </c>
      <c r="AI8459" t="str">
        <f>"9521348"</f>
        <v>9521348</v>
      </c>
      <c r="AJ8459" t="s">
        <v>12714</v>
      </c>
      <c r="AK8459">
        <v>2831021334</v>
      </c>
      <c r="AL8459" t="s">
        <v>12715</v>
      </c>
      <c r="AM8459" t="s">
        <v>64</v>
      </c>
      <c r="AN8459" t="s">
        <v>65</v>
      </c>
      <c r="AO8459" t="s">
        <v>5720</v>
      </c>
      <c r="AP8459" t="s">
        <v>5721</v>
      </c>
      <c r="AQ8459">
        <v>2</v>
      </c>
      <c r="AR8459" t="s">
        <v>66</v>
      </c>
      <c r="AS8459" t="s">
        <v>67</v>
      </c>
      <c r="AT8459" t="s">
        <v>58</v>
      </c>
      <c r="AU8459" t="s">
        <v>68</v>
      </c>
      <c r="AV8459" t="s">
        <v>69</v>
      </c>
      <c r="AW8459" s="1">
        <v>27124</v>
      </c>
      <c r="AX8459">
        <v>1</v>
      </c>
    </row>
    <row r="8460" spans="1:50">
      <c r="B8460" t="str">
        <f>"153066282"</f>
        <v>153066282</v>
      </c>
      <c r="C8460" t="s">
        <v>105</v>
      </c>
      <c r="D8460" t="s">
        <v>13041</v>
      </c>
      <c r="E8460" t="s">
        <v>95</v>
      </c>
      <c r="F8460" t="s">
        <v>377</v>
      </c>
      <c r="G8460" t="s">
        <v>13042</v>
      </c>
      <c r="H8460" t="str">
        <f>"ΚΕΡΑΣΟΥΝΤΟΣ 5 "</f>
        <v xml:space="preserve">ΚΕΡΑΣΟΥΝΤΟΣ 5 </v>
      </c>
      <c r="I8460">
        <v>60100</v>
      </c>
      <c r="J8460">
        <v>2351024635</v>
      </c>
      <c r="K8460">
        <v>6971691778</v>
      </c>
      <c r="N8460" t="s">
        <v>615</v>
      </c>
      <c r="O8460" t="s">
        <v>616</v>
      </c>
      <c r="R8460" t="s">
        <v>159</v>
      </c>
      <c r="S8460">
        <v>3</v>
      </c>
      <c r="T8460" t="s">
        <v>8675</v>
      </c>
      <c r="U8460" s="1">
        <v>43348</v>
      </c>
      <c r="V8460" t="s">
        <v>66</v>
      </c>
      <c r="W8460" t="s">
        <v>67</v>
      </c>
      <c r="X8460" t="s">
        <v>58</v>
      </c>
      <c r="Y8460">
        <v>25</v>
      </c>
      <c r="Z8460" t="s">
        <v>59</v>
      </c>
      <c r="AA8460" t="s">
        <v>59</v>
      </c>
      <c r="AB8460" t="s">
        <v>59</v>
      </c>
      <c r="AC8460" t="s">
        <v>59</v>
      </c>
      <c r="AD8460" t="s">
        <v>59</v>
      </c>
      <c r="AF8460" s="1">
        <v>43348</v>
      </c>
      <c r="AG8460" t="s">
        <v>8645</v>
      </c>
      <c r="AH8460" t="s">
        <v>8676</v>
      </c>
      <c r="AI8460" t="str">
        <f>"9410144"</f>
        <v>9410144</v>
      </c>
      <c r="AJ8460" t="s">
        <v>13043</v>
      </c>
      <c r="AK8460">
        <v>2833031274</v>
      </c>
      <c r="AL8460" t="s">
        <v>13044</v>
      </c>
      <c r="AM8460" t="s">
        <v>64</v>
      </c>
      <c r="AN8460" t="s">
        <v>5713</v>
      </c>
      <c r="AO8460" t="s">
        <v>5780</v>
      </c>
      <c r="AP8460" t="s">
        <v>13045</v>
      </c>
      <c r="AQ8460">
        <v>6</v>
      </c>
      <c r="AR8460" t="s">
        <v>66</v>
      </c>
      <c r="AS8460" t="s">
        <v>67</v>
      </c>
      <c r="AT8460" t="s">
        <v>58</v>
      </c>
      <c r="AU8460" t="s">
        <v>8673</v>
      </c>
      <c r="AV8460" t="s">
        <v>132</v>
      </c>
      <c r="AW8460" s="1">
        <v>32086</v>
      </c>
      <c r="AX8460">
        <v>1</v>
      </c>
    </row>
    <row r="8461" spans="1:50">
      <c r="A8461">
        <v>608398</v>
      </c>
      <c r="B8461" t="str">
        <f>"044914968"</f>
        <v>044914968</v>
      </c>
      <c r="C8461" t="s">
        <v>50</v>
      </c>
      <c r="D8461" t="s">
        <v>13046</v>
      </c>
      <c r="E8461" t="s">
        <v>727</v>
      </c>
      <c r="F8461" t="s">
        <v>95</v>
      </c>
      <c r="G8461" t="s">
        <v>143</v>
      </c>
      <c r="H8461" t="str">
        <f>" "</f>
        <v xml:space="preserve"> </v>
      </c>
      <c r="J8461">
        <v>2831052967</v>
      </c>
      <c r="K8461">
        <v>6948283700</v>
      </c>
      <c r="N8461" t="s">
        <v>1525</v>
      </c>
      <c r="O8461" t="s">
        <v>1526</v>
      </c>
      <c r="P8461" t="s">
        <v>299</v>
      </c>
      <c r="Q8461" t="s">
        <v>300</v>
      </c>
      <c r="R8461" t="s">
        <v>57</v>
      </c>
      <c r="S8461">
        <v>8</v>
      </c>
      <c r="T8461">
        <v>217</v>
      </c>
      <c r="U8461" s="1">
        <v>38596</v>
      </c>
      <c r="V8461" t="s">
        <v>66</v>
      </c>
      <c r="W8461" t="s">
        <v>67</v>
      </c>
      <c r="X8461" t="s">
        <v>58</v>
      </c>
      <c r="Y8461">
        <v>25</v>
      </c>
      <c r="Z8461" t="s">
        <v>59</v>
      </c>
      <c r="AA8461" t="s">
        <v>59</v>
      </c>
      <c r="AB8461" t="s">
        <v>59</v>
      </c>
      <c r="AC8461" t="s">
        <v>59</v>
      </c>
      <c r="AD8461" t="s">
        <v>59</v>
      </c>
      <c r="AF8461" s="1">
        <v>38600</v>
      </c>
      <c r="AG8461" t="s">
        <v>8651</v>
      </c>
      <c r="AH8461" t="s">
        <v>8652</v>
      </c>
      <c r="AI8461" t="str">
        <f>"9410210"</f>
        <v>9410210</v>
      </c>
      <c r="AJ8461" t="s">
        <v>13047</v>
      </c>
      <c r="AK8461">
        <v>2831027655</v>
      </c>
      <c r="AL8461" t="s">
        <v>13048</v>
      </c>
      <c r="AM8461" t="s">
        <v>64</v>
      </c>
      <c r="AN8461" t="s">
        <v>65</v>
      </c>
      <c r="AO8461" t="s">
        <v>65</v>
      </c>
      <c r="AP8461" t="s">
        <v>65</v>
      </c>
      <c r="AQ8461">
        <v>1</v>
      </c>
      <c r="AR8461" t="s">
        <v>66</v>
      </c>
      <c r="AS8461" t="s">
        <v>67</v>
      </c>
      <c r="AT8461" t="s">
        <v>58</v>
      </c>
      <c r="AU8461" t="s">
        <v>68</v>
      </c>
      <c r="AV8461" t="s">
        <v>69</v>
      </c>
      <c r="AW8461" s="1">
        <v>22959</v>
      </c>
      <c r="AX8461">
        <v>1</v>
      </c>
    </row>
    <row r="8462" spans="1:50">
      <c r="B8462" t="str">
        <f>"058661695"</f>
        <v>058661695</v>
      </c>
      <c r="C8462" t="s">
        <v>50</v>
      </c>
      <c r="D8462" t="s">
        <v>166</v>
      </c>
      <c r="E8462" t="s">
        <v>263</v>
      </c>
      <c r="F8462" t="s">
        <v>309</v>
      </c>
      <c r="G8462" t="s">
        <v>52</v>
      </c>
      <c r="H8462" t="str">
        <f>"ΑΓΓΕΛΟΥ ΣΙΚΕΛΙΑΝΟΥ 2 ΡΕΘΥΜΝΟ"</f>
        <v>ΑΓΓΕΛΟΥ ΣΙΚΕΛΙΑΝΟΥ 2 ΡΕΘΥΜΝΟ</v>
      </c>
      <c r="I8462">
        <v>74100</v>
      </c>
      <c r="J8462">
        <v>2831054309</v>
      </c>
      <c r="K8462">
        <v>6943278963</v>
      </c>
      <c r="M8462" t="s">
        <v>13049</v>
      </c>
      <c r="N8462" t="s">
        <v>1525</v>
      </c>
      <c r="O8462" t="s">
        <v>1526</v>
      </c>
      <c r="R8462" t="s">
        <v>159</v>
      </c>
      <c r="S8462">
        <v>3</v>
      </c>
      <c r="T8462" t="s">
        <v>8670</v>
      </c>
      <c r="U8462" s="1">
        <v>43348</v>
      </c>
      <c r="V8462" t="s">
        <v>66</v>
      </c>
      <c r="W8462" t="s">
        <v>67</v>
      </c>
      <c r="X8462" t="s">
        <v>58</v>
      </c>
      <c r="Y8462">
        <v>25</v>
      </c>
      <c r="Z8462" t="s">
        <v>59</v>
      </c>
      <c r="AA8462" t="s">
        <v>59</v>
      </c>
      <c r="AB8462" t="s">
        <v>59</v>
      </c>
      <c r="AC8462" t="s">
        <v>59</v>
      </c>
      <c r="AD8462" t="s">
        <v>59</v>
      </c>
      <c r="AF8462" s="1">
        <v>43348</v>
      </c>
      <c r="AG8462" t="s">
        <v>8651</v>
      </c>
      <c r="AH8462" t="s">
        <v>8652</v>
      </c>
      <c r="AI8462" t="str">
        <f>"9410252"</f>
        <v>9410252</v>
      </c>
      <c r="AJ8462" t="s">
        <v>12813</v>
      </c>
      <c r="AK8462">
        <v>2832032056</v>
      </c>
      <c r="AL8462" t="s">
        <v>12814</v>
      </c>
      <c r="AM8462" t="s">
        <v>64</v>
      </c>
      <c r="AN8462" t="s">
        <v>5882</v>
      </c>
      <c r="AO8462" t="s">
        <v>6099</v>
      </c>
      <c r="AP8462" t="s">
        <v>12815</v>
      </c>
      <c r="AQ8462">
        <v>5</v>
      </c>
      <c r="AR8462" t="s">
        <v>66</v>
      </c>
      <c r="AS8462" t="s">
        <v>67</v>
      </c>
      <c r="AT8462" t="s">
        <v>58</v>
      </c>
      <c r="AU8462" t="s">
        <v>8673</v>
      </c>
      <c r="AV8462" t="s">
        <v>132</v>
      </c>
      <c r="AW8462" s="1">
        <v>26120</v>
      </c>
      <c r="AX8462">
        <v>1</v>
      </c>
    </row>
    <row r="8463" spans="1:50">
      <c r="A8463">
        <v>565561</v>
      </c>
      <c r="B8463" t="str">
        <f>"064692013"</f>
        <v>064692013</v>
      </c>
      <c r="C8463" t="s">
        <v>50</v>
      </c>
      <c r="D8463" t="s">
        <v>7192</v>
      </c>
      <c r="E8463" t="s">
        <v>3907</v>
      </c>
      <c r="F8463" t="s">
        <v>72</v>
      </c>
      <c r="G8463" t="s">
        <v>52</v>
      </c>
      <c r="H8463" t="str">
        <f>"Αγ.Ιωάννη  Ρέθυμνο"</f>
        <v>Αγ.Ιωάννη  Ρέθυμνο</v>
      </c>
      <c r="I8463">
        <v>74100</v>
      </c>
      <c r="J8463">
        <v>2831501913</v>
      </c>
      <c r="N8463" t="s">
        <v>615</v>
      </c>
      <c r="O8463" t="s">
        <v>616</v>
      </c>
      <c r="R8463" t="s">
        <v>57</v>
      </c>
      <c r="S8463">
        <v>14</v>
      </c>
      <c r="T8463">
        <v>161</v>
      </c>
      <c r="U8463" s="1">
        <v>33119</v>
      </c>
      <c r="V8463" t="s">
        <v>66</v>
      </c>
      <c r="W8463" t="s">
        <v>67</v>
      </c>
      <c r="X8463" t="s">
        <v>58</v>
      </c>
      <c r="Y8463">
        <v>21</v>
      </c>
      <c r="Z8463" t="s">
        <v>59</v>
      </c>
      <c r="AA8463" t="s">
        <v>59</v>
      </c>
      <c r="AB8463" t="s">
        <v>59</v>
      </c>
      <c r="AC8463" t="s">
        <v>59</v>
      </c>
      <c r="AD8463" t="s">
        <v>59</v>
      </c>
      <c r="AF8463" s="1">
        <v>33119</v>
      </c>
      <c r="AG8463" t="s">
        <v>8645</v>
      </c>
      <c r="AH8463" t="s">
        <v>8646</v>
      </c>
      <c r="AI8463" t="str">
        <f>"9410067"</f>
        <v>9410067</v>
      </c>
      <c r="AJ8463" t="s">
        <v>12736</v>
      </c>
      <c r="AK8463">
        <v>2831022836</v>
      </c>
      <c r="AL8463" t="s">
        <v>12737</v>
      </c>
      <c r="AM8463" t="s">
        <v>64</v>
      </c>
      <c r="AN8463" t="s">
        <v>65</v>
      </c>
      <c r="AO8463" t="s">
        <v>65</v>
      </c>
      <c r="AP8463" t="s">
        <v>65</v>
      </c>
      <c r="AQ8463">
        <v>1</v>
      </c>
      <c r="AR8463" t="s">
        <v>66</v>
      </c>
      <c r="AS8463" t="s">
        <v>67</v>
      </c>
      <c r="AT8463" t="s">
        <v>58</v>
      </c>
      <c r="AU8463" t="s">
        <v>68</v>
      </c>
      <c r="AV8463" t="s">
        <v>69</v>
      </c>
      <c r="AW8463" s="1">
        <v>23147</v>
      </c>
      <c r="AX8463">
        <v>1</v>
      </c>
    </row>
    <row r="8464" spans="1:50">
      <c r="A8464">
        <v>620717</v>
      </c>
      <c r="B8464" t="str">
        <f>"143666206"</f>
        <v>143666206</v>
      </c>
      <c r="C8464" t="s">
        <v>50</v>
      </c>
      <c r="D8464" t="s">
        <v>13050</v>
      </c>
      <c r="E8464" t="s">
        <v>255</v>
      </c>
      <c r="F8464" t="s">
        <v>900</v>
      </c>
      <c r="G8464" t="s">
        <v>513</v>
      </c>
      <c r="H8464" t="str">
        <f>"ΚΟΛΟΚΟΤΡΩΝΗ 18 ΡΕΘΥΜΝΟ"</f>
        <v>ΚΟΛΟΚΟΤΡΩΝΗ 18 ΡΕΘΥΜΝΟ</v>
      </c>
      <c r="I8464">
        <v>74100</v>
      </c>
      <c r="J8464">
        <v>2831024754</v>
      </c>
      <c r="K8464">
        <v>6976587700</v>
      </c>
      <c r="M8464" t="s">
        <v>13051</v>
      </c>
      <c r="N8464" t="s">
        <v>615</v>
      </c>
      <c r="O8464" t="s">
        <v>616</v>
      </c>
      <c r="R8464" t="s">
        <v>57</v>
      </c>
      <c r="S8464">
        <v>5</v>
      </c>
      <c r="T8464">
        <v>653</v>
      </c>
      <c r="U8464" s="1">
        <v>40043</v>
      </c>
      <c r="V8464" t="s">
        <v>66</v>
      </c>
      <c r="W8464" t="s">
        <v>67</v>
      </c>
      <c r="X8464" t="s">
        <v>58</v>
      </c>
      <c r="Y8464">
        <v>23</v>
      </c>
      <c r="Z8464" t="s">
        <v>59</v>
      </c>
      <c r="AA8464" t="s">
        <v>59</v>
      </c>
      <c r="AB8464" t="s">
        <v>59</v>
      </c>
      <c r="AC8464" t="s">
        <v>59</v>
      </c>
      <c r="AD8464" t="s">
        <v>59</v>
      </c>
      <c r="AF8464" s="1">
        <v>40043</v>
      </c>
      <c r="AG8464" t="s">
        <v>8645</v>
      </c>
      <c r="AH8464" t="s">
        <v>8646</v>
      </c>
      <c r="AI8464" t="str">
        <f>"9410242"</f>
        <v>9410242</v>
      </c>
      <c r="AJ8464" t="s">
        <v>12796</v>
      </c>
      <c r="AK8464">
        <v>2834023145</v>
      </c>
      <c r="AL8464" t="s">
        <v>12797</v>
      </c>
      <c r="AM8464" t="s">
        <v>64</v>
      </c>
      <c r="AN8464" t="s">
        <v>5672</v>
      </c>
      <c r="AO8464" t="s">
        <v>5673</v>
      </c>
      <c r="AP8464" t="s">
        <v>5689</v>
      </c>
      <c r="AQ8464">
        <v>7</v>
      </c>
      <c r="AR8464" t="s">
        <v>66</v>
      </c>
      <c r="AS8464" t="s">
        <v>67</v>
      </c>
      <c r="AT8464" t="s">
        <v>58</v>
      </c>
      <c r="AU8464" t="s">
        <v>68</v>
      </c>
      <c r="AV8464" t="s">
        <v>69</v>
      </c>
      <c r="AW8464" s="1">
        <v>31248</v>
      </c>
      <c r="AX8464">
        <v>1</v>
      </c>
    </row>
    <row r="8465" spans="1:50">
      <c r="A8465">
        <v>606089</v>
      </c>
      <c r="B8465" t="str">
        <f>"063782150"</f>
        <v>063782150</v>
      </c>
      <c r="C8465" t="s">
        <v>50</v>
      </c>
      <c r="D8465" t="s">
        <v>13052</v>
      </c>
      <c r="E8465" t="s">
        <v>352</v>
      </c>
      <c r="F8465" t="s">
        <v>53</v>
      </c>
      <c r="G8465" t="s">
        <v>52</v>
      </c>
      <c r="H8465" t="str">
        <f>" "</f>
        <v xml:space="preserve"> </v>
      </c>
      <c r="J8465">
        <v>2831031574</v>
      </c>
      <c r="K8465">
        <v>6945295153</v>
      </c>
      <c r="N8465" t="s">
        <v>1525</v>
      </c>
      <c r="O8465" t="s">
        <v>1526</v>
      </c>
      <c r="R8465" t="s">
        <v>57</v>
      </c>
      <c r="S8465">
        <v>7</v>
      </c>
      <c r="T8465">
        <v>231</v>
      </c>
      <c r="U8465" s="1">
        <v>38230</v>
      </c>
      <c r="V8465" t="s">
        <v>66</v>
      </c>
      <c r="W8465" t="s">
        <v>67</v>
      </c>
      <c r="X8465" t="s">
        <v>58</v>
      </c>
      <c r="Y8465">
        <v>25</v>
      </c>
      <c r="Z8465" t="s">
        <v>59</v>
      </c>
      <c r="AA8465" t="s">
        <v>59</v>
      </c>
      <c r="AB8465" t="s">
        <v>59</v>
      </c>
      <c r="AC8465" t="s">
        <v>59</v>
      </c>
      <c r="AD8465" t="s">
        <v>59</v>
      </c>
      <c r="AF8465" s="1">
        <v>38231</v>
      </c>
      <c r="AG8465" t="s">
        <v>8651</v>
      </c>
      <c r="AH8465" t="s">
        <v>8652</v>
      </c>
      <c r="AI8465" t="str">
        <f>"9410220"</f>
        <v>9410220</v>
      </c>
      <c r="AJ8465" t="s">
        <v>12943</v>
      </c>
      <c r="AK8465">
        <v>2831055513</v>
      </c>
      <c r="AL8465" t="s">
        <v>12944</v>
      </c>
      <c r="AM8465" t="s">
        <v>64</v>
      </c>
      <c r="AN8465" t="s">
        <v>65</v>
      </c>
      <c r="AO8465" t="s">
        <v>65</v>
      </c>
      <c r="AP8465" t="s">
        <v>65</v>
      </c>
      <c r="AQ8465">
        <v>1</v>
      </c>
      <c r="AR8465" t="s">
        <v>66</v>
      </c>
      <c r="AS8465" t="s">
        <v>67</v>
      </c>
      <c r="AT8465" t="s">
        <v>58</v>
      </c>
      <c r="AU8465" t="s">
        <v>68</v>
      </c>
      <c r="AV8465" t="s">
        <v>69</v>
      </c>
      <c r="AW8465" s="1">
        <v>24687</v>
      </c>
      <c r="AX8465">
        <v>1</v>
      </c>
    </row>
    <row r="8466" spans="1:50">
      <c r="B8466" t="str">
        <f>"100564380"</f>
        <v>100564380</v>
      </c>
      <c r="C8466" t="s">
        <v>50</v>
      </c>
      <c r="D8466" t="s">
        <v>13053</v>
      </c>
      <c r="E8466" t="s">
        <v>83</v>
      </c>
      <c r="F8466" t="s">
        <v>304</v>
      </c>
      <c r="G8466" t="s">
        <v>13054</v>
      </c>
      <c r="H8466" t="str">
        <f>"ΓΕΡΑΝΙ "</f>
        <v xml:space="preserve">ΓΕΡΑΝΙ </v>
      </c>
      <c r="I8466">
        <v>74100</v>
      </c>
      <c r="J8466">
        <v>2831032118</v>
      </c>
      <c r="K8466">
        <v>6948555654</v>
      </c>
      <c r="N8466" t="s">
        <v>1525</v>
      </c>
      <c r="O8466" t="s">
        <v>1526</v>
      </c>
      <c r="R8466" t="s">
        <v>159</v>
      </c>
      <c r="S8466">
        <v>5</v>
      </c>
      <c r="T8466" t="s">
        <v>8670</v>
      </c>
      <c r="U8466" s="1">
        <v>43348</v>
      </c>
      <c r="V8466" t="s">
        <v>66</v>
      </c>
      <c r="W8466" t="s">
        <v>67</v>
      </c>
      <c r="X8466" t="s">
        <v>58</v>
      </c>
      <c r="Y8466">
        <v>25</v>
      </c>
      <c r="Z8466" t="s">
        <v>59</v>
      </c>
      <c r="AA8466" t="s">
        <v>59</v>
      </c>
      <c r="AB8466" t="s">
        <v>59</v>
      </c>
      <c r="AC8466" t="s">
        <v>59</v>
      </c>
      <c r="AD8466" t="s">
        <v>59</v>
      </c>
      <c r="AF8466" s="1">
        <v>43348</v>
      </c>
      <c r="AG8466" t="s">
        <v>8651</v>
      </c>
      <c r="AH8466" t="s">
        <v>8652</v>
      </c>
      <c r="AI8466" t="str">
        <f>"9410260"</f>
        <v>9410260</v>
      </c>
      <c r="AJ8466" t="s">
        <v>12844</v>
      </c>
      <c r="AK8466">
        <v>2834023621</v>
      </c>
      <c r="AL8466" t="s">
        <v>12845</v>
      </c>
      <c r="AM8466" t="s">
        <v>64</v>
      </c>
      <c r="AN8466" t="s">
        <v>5672</v>
      </c>
      <c r="AO8466" t="s">
        <v>5673</v>
      </c>
      <c r="AP8466" t="s">
        <v>5689</v>
      </c>
      <c r="AQ8466">
        <v>7</v>
      </c>
      <c r="AR8466" t="s">
        <v>66</v>
      </c>
      <c r="AS8466" t="s">
        <v>67</v>
      </c>
      <c r="AT8466" t="s">
        <v>58</v>
      </c>
      <c r="AU8466" t="s">
        <v>8673</v>
      </c>
      <c r="AV8466" t="s">
        <v>132</v>
      </c>
      <c r="AW8466" s="1">
        <v>28064</v>
      </c>
      <c r="AX8466">
        <v>1</v>
      </c>
    </row>
    <row r="8467" spans="1:50">
      <c r="A8467">
        <v>607346</v>
      </c>
      <c r="B8467" t="str">
        <f>"079817020"</f>
        <v>079817020</v>
      </c>
      <c r="C8467" t="s">
        <v>50</v>
      </c>
      <c r="D8467" t="s">
        <v>13055</v>
      </c>
      <c r="E8467" t="s">
        <v>714</v>
      </c>
      <c r="F8467" t="s">
        <v>108</v>
      </c>
      <c r="G8467" t="s">
        <v>52</v>
      </c>
      <c r="H8467" t="str">
        <f>"ΚΑΠΟΔΙΣΤΡΙΟΥ 25 ΡΕΘΥΜΝΟ"</f>
        <v>ΚΑΠΟΔΙΣΤΡΙΟΥ 25 ΡΕΘΥΜΝΟ</v>
      </c>
      <c r="I8467">
        <v>74100</v>
      </c>
      <c r="J8467">
        <v>2821052795</v>
      </c>
      <c r="K8467">
        <v>6979006483</v>
      </c>
      <c r="N8467" t="s">
        <v>615</v>
      </c>
      <c r="O8467" t="s">
        <v>616</v>
      </c>
      <c r="R8467" t="s">
        <v>57</v>
      </c>
      <c r="S8467">
        <v>9</v>
      </c>
      <c r="T8467" t="s">
        <v>13056</v>
      </c>
      <c r="U8467" s="1">
        <v>38596</v>
      </c>
      <c r="V8467" t="s">
        <v>66</v>
      </c>
      <c r="W8467" t="s">
        <v>67</v>
      </c>
      <c r="X8467" t="s">
        <v>58</v>
      </c>
      <c r="Y8467">
        <v>23</v>
      </c>
      <c r="Z8467" t="s">
        <v>59</v>
      </c>
      <c r="AA8467" t="s">
        <v>59</v>
      </c>
      <c r="AB8467" t="s">
        <v>59</v>
      </c>
      <c r="AC8467" t="s">
        <v>59</v>
      </c>
      <c r="AD8467" t="s">
        <v>59</v>
      </c>
      <c r="AF8467" s="1">
        <v>38600</v>
      </c>
      <c r="AG8467" t="s">
        <v>8645</v>
      </c>
      <c r="AH8467" t="s">
        <v>8646</v>
      </c>
      <c r="AI8467" t="str">
        <f>"9410072"</f>
        <v>9410072</v>
      </c>
      <c r="AJ8467" t="s">
        <v>12692</v>
      </c>
      <c r="AK8467">
        <v>2831071264</v>
      </c>
      <c r="AL8467" t="s">
        <v>12693</v>
      </c>
      <c r="AM8467" t="s">
        <v>64</v>
      </c>
      <c r="AN8467" t="s">
        <v>65</v>
      </c>
      <c r="AO8467" t="s">
        <v>12694</v>
      </c>
      <c r="AP8467" t="s">
        <v>12695</v>
      </c>
      <c r="AQ8467">
        <v>3</v>
      </c>
      <c r="AR8467" t="s">
        <v>66</v>
      </c>
      <c r="AS8467" t="s">
        <v>67</v>
      </c>
      <c r="AT8467" t="s">
        <v>58</v>
      </c>
      <c r="AU8467" t="s">
        <v>68</v>
      </c>
      <c r="AV8467" t="s">
        <v>69</v>
      </c>
      <c r="AW8467" s="1">
        <v>28762</v>
      </c>
      <c r="AX8467">
        <v>1</v>
      </c>
    </row>
    <row r="8468" spans="1:50">
      <c r="B8468" t="str">
        <f>"139281518"</f>
        <v>139281518</v>
      </c>
      <c r="C8468" t="s">
        <v>50</v>
      </c>
      <c r="D8468" t="s">
        <v>1417</v>
      </c>
      <c r="E8468" t="s">
        <v>1752</v>
      </c>
      <c r="F8468" t="s">
        <v>5642</v>
      </c>
      <c r="G8468" t="s">
        <v>263</v>
      </c>
      <c r="H8468" t="str">
        <f>" "</f>
        <v xml:space="preserve"> </v>
      </c>
      <c r="K8468">
        <v>6948828758</v>
      </c>
      <c r="M8468" t="s">
        <v>13057</v>
      </c>
      <c r="N8468" t="s">
        <v>1525</v>
      </c>
      <c r="O8468" t="s">
        <v>1526</v>
      </c>
      <c r="R8468" t="s">
        <v>121</v>
      </c>
      <c r="S8468">
        <v>4</v>
      </c>
      <c r="T8468" t="s">
        <v>8670</v>
      </c>
      <c r="U8468" s="1">
        <v>43348</v>
      </c>
      <c r="V8468" t="s">
        <v>66</v>
      </c>
      <c r="W8468" t="s">
        <v>67</v>
      </c>
      <c r="X8468" t="s">
        <v>58</v>
      </c>
      <c r="Y8468">
        <v>25</v>
      </c>
      <c r="Z8468" t="s">
        <v>59</v>
      </c>
      <c r="AA8468" t="s">
        <v>59</v>
      </c>
      <c r="AB8468" t="s">
        <v>59</v>
      </c>
      <c r="AD8468" t="s">
        <v>59</v>
      </c>
      <c r="AF8468" s="1">
        <v>43348</v>
      </c>
      <c r="AG8468" t="s">
        <v>8651</v>
      </c>
      <c r="AH8468" t="s">
        <v>8652</v>
      </c>
      <c r="AI8468" t="str">
        <f>"9520865"</f>
        <v>9520865</v>
      </c>
      <c r="AJ8468" t="s">
        <v>13058</v>
      </c>
      <c r="AK8468">
        <v>2834051109</v>
      </c>
      <c r="AL8468" t="s">
        <v>13059</v>
      </c>
      <c r="AM8468" t="s">
        <v>64</v>
      </c>
      <c r="AN8468" t="s">
        <v>5672</v>
      </c>
      <c r="AO8468" t="s">
        <v>5673</v>
      </c>
      <c r="AP8468" t="s">
        <v>12679</v>
      </c>
      <c r="AQ8468">
        <v>10</v>
      </c>
      <c r="AR8468" t="s">
        <v>66</v>
      </c>
      <c r="AS8468" t="s">
        <v>67</v>
      </c>
      <c r="AT8468" t="s">
        <v>58</v>
      </c>
      <c r="AU8468" t="s">
        <v>8673</v>
      </c>
      <c r="AV8468" t="s">
        <v>132</v>
      </c>
      <c r="AW8468" s="1">
        <v>31634</v>
      </c>
      <c r="AX8468">
        <v>1</v>
      </c>
    </row>
    <row r="8469" spans="1:50">
      <c r="A8469">
        <v>562749</v>
      </c>
      <c r="B8469" t="str">
        <f>"032683476"</f>
        <v>032683476</v>
      </c>
      <c r="C8469" t="s">
        <v>50</v>
      </c>
      <c r="D8469" t="s">
        <v>1430</v>
      </c>
      <c r="E8469" t="s">
        <v>155</v>
      </c>
      <c r="F8469" t="s">
        <v>166</v>
      </c>
      <c r="G8469" t="s">
        <v>705</v>
      </c>
      <c r="H8469" t="str">
        <f>"ΦΑΝΑΡΙΟΥ 4  ΡΕΘΥΜΝΟ"</f>
        <v>ΦΑΝΑΡΙΟΥ 4  ΡΕΘΥΜΝΟ</v>
      </c>
      <c r="I8469">
        <v>74100</v>
      </c>
      <c r="J8469">
        <v>2831052380</v>
      </c>
      <c r="K8469">
        <v>6945707965</v>
      </c>
      <c r="M8469" t="s">
        <v>13060</v>
      </c>
      <c r="N8469" t="s">
        <v>615</v>
      </c>
      <c r="O8469" t="s">
        <v>616</v>
      </c>
      <c r="R8469" t="s">
        <v>57</v>
      </c>
      <c r="S8469">
        <v>15</v>
      </c>
      <c r="T8469">
        <v>187</v>
      </c>
      <c r="U8469" s="1">
        <v>32750</v>
      </c>
      <c r="V8469" t="s">
        <v>66</v>
      </c>
      <c r="W8469" t="s">
        <v>67</v>
      </c>
      <c r="X8469" t="s">
        <v>58</v>
      </c>
      <c r="Y8469">
        <v>21</v>
      </c>
      <c r="Z8469" t="s">
        <v>59</v>
      </c>
      <c r="AA8469" t="s">
        <v>59</v>
      </c>
      <c r="AB8469" t="s">
        <v>59</v>
      </c>
      <c r="AC8469" t="s">
        <v>59</v>
      </c>
      <c r="AD8469" t="s">
        <v>59</v>
      </c>
      <c r="AF8469" s="1">
        <v>32755</v>
      </c>
      <c r="AG8469" t="s">
        <v>8645</v>
      </c>
      <c r="AH8469" t="s">
        <v>8646</v>
      </c>
      <c r="AI8469" t="str">
        <f>"9410257"</f>
        <v>9410257</v>
      </c>
      <c r="AJ8469" t="s">
        <v>12828</v>
      </c>
      <c r="AK8469">
        <v>2831056242</v>
      </c>
      <c r="AL8469" t="s">
        <v>12829</v>
      </c>
      <c r="AM8469" t="s">
        <v>64</v>
      </c>
      <c r="AN8469" t="s">
        <v>65</v>
      </c>
      <c r="AO8469" t="s">
        <v>65</v>
      </c>
      <c r="AP8469" t="s">
        <v>65</v>
      </c>
      <c r="AQ8469">
        <v>1</v>
      </c>
      <c r="AR8469" t="s">
        <v>66</v>
      </c>
      <c r="AS8469" t="s">
        <v>67</v>
      </c>
      <c r="AT8469" t="s">
        <v>58</v>
      </c>
      <c r="AU8469" t="s">
        <v>68</v>
      </c>
      <c r="AV8469" t="s">
        <v>69</v>
      </c>
      <c r="AW8469" s="1">
        <v>24037</v>
      </c>
      <c r="AX8469">
        <v>1</v>
      </c>
    </row>
    <row r="8470" spans="1:50">
      <c r="A8470">
        <v>597055</v>
      </c>
      <c r="B8470" t="str">
        <f>"057894192"</f>
        <v>057894192</v>
      </c>
      <c r="C8470" t="s">
        <v>50</v>
      </c>
      <c r="D8470" t="s">
        <v>1430</v>
      </c>
      <c r="E8470" t="s">
        <v>263</v>
      </c>
      <c r="F8470" t="s">
        <v>72</v>
      </c>
      <c r="G8470" t="s">
        <v>4127</v>
      </c>
      <c r="H8470" t="str">
        <f>"ΧΑΜΑΛΕΥΡΙ ΡΕΘΥΜΝΟ"</f>
        <v>ΧΑΜΑΛΕΥΡΙ ΡΕΘΥΜΝΟ</v>
      </c>
      <c r="I8470">
        <v>74100</v>
      </c>
      <c r="J8470">
        <v>2831071413</v>
      </c>
      <c r="K8470">
        <v>6936548815</v>
      </c>
      <c r="N8470" t="s">
        <v>1525</v>
      </c>
      <c r="O8470" t="s">
        <v>1526</v>
      </c>
      <c r="R8470" t="s">
        <v>57</v>
      </c>
      <c r="S8470">
        <v>8</v>
      </c>
      <c r="T8470">
        <v>195</v>
      </c>
      <c r="U8470" s="1">
        <v>37497</v>
      </c>
      <c r="V8470" t="s">
        <v>66</v>
      </c>
      <c r="W8470" t="s">
        <v>67</v>
      </c>
      <c r="X8470" t="s">
        <v>58</v>
      </c>
      <c r="Y8470">
        <v>25</v>
      </c>
      <c r="Z8470" t="s">
        <v>59</v>
      </c>
      <c r="AA8470" t="s">
        <v>59</v>
      </c>
      <c r="AB8470" t="s">
        <v>59</v>
      </c>
      <c r="AC8470" t="s">
        <v>59</v>
      </c>
      <c r="AD8470" t="s">
        <v>59</v>
      </c>
      <c r="AF8470" s="1">
        <v>37501</v>
      </c>
      <c r="AG8470" t="s">
        <v>8651</v>
      </c>
      <c r="AH8470" t="s">
        <v>8652</v>
      </c>
      <c r="AI8470" t="str">
        <f>"9410210"</f>
        <v>9410210</v>
      </c>
      <c r="AJ8470" t="s">
        <v>13047</v>
      </c>
      <c r="AK8470">
        <v>2831027655</v>
      </c>
      <c r="AL8470" t="s">
        <v>13048</v>
      </c>
      <c r="AM8470" t="s">
        <v>64</v>
      </c>
      <c r="AN8470" t="s">
        <v>65</v>
      </c>
      <c r="AO8470" t="s">
        <v>65</v>
      </c>
      <c r="AP8470" t="s">
        <v>65</v>
      </c>
      <c r="AQ8470">
        <v>1</v>
      </c>
      <c r="AR8470" t="s">
        <v>66</v>
      </c>
      <c r="AS8470" t="s">
        <v>67</v>
      </c>
      <c r="AT8470" t="s">
        <v>58</v>
      </c>
      <c r="AU8470" t="s">
        <v>68</v>
      </c>
      <c r="AV8470" t="s">
        <v>69</v>
      </c>
      <c r="AW8470" s="1">
        <v>25675</v>
      </c>
      <c r="AX8470">
        <v>1</v>
      </c>
    </row>
    <row r="8471" spans="1:50">
      <c r="B8471" t="str">
        <f>"114297327"</f>
        <v>114297327</v>
      </c>
      <c r="C8471" t="s">
        <v>50</v>
      </c>
      <c r="D8471" t="s">
        <v>1455</v>
      </c>
      <c r="E8471" t="s">
        <v>238</v>
      </c>
      <c r="F8471" t="s">
        <v>92</v>
      </c>
      <c r="G8471" t="s">
        <v>1189</v>
      </c>
      <c r="H8471" t="str">
        <f>"ΠΑΥΛΟΥ ΜΕΛΑ 28 ΗΡΑΚΛΕΙΟ"</f>
        <v>ΠΑΥΛΟΥ ΜΕΛΑ 28 ΗΡΑΚΛΕΙΟ</v>
      </c>
      <c r="I8471">
        <v>71304</v>
      </c>
      <c r="J8471">
        <v>2831103299</v>
      </c>
      <c r="K8471">
        <v>6974048092</v>
      </c>
      <c r="M8471" t="s">
        <v>13061</v>
      </c>
      <c r="N8471" t="s">
        <v>176</v>
      </c>
      <c r="O8471" t="s">
        <v>177</v>
      </c>
      <c r="R8471" t="s">
        <v>159</v>
      </c>
      <c r="S8471">
        <v>1</v>
      </c>
      <c r="T8471" t="s">
        <v>8675</v>
      </c>
      <c r="U8471" s="1">
        <v>43348</v>
      </c>
      <c r="V8471" t="s">
        <v>66</v>
      </c>
      <c r="W8471" t="s">
        <v>67</v>
      </c>
      <c r="X8471" t="s">
        <v>58</v>
      </c>
      <c r="Y8471">
        <v>24</v>
      </c>
      <c r="Z8471" t="s">
        <v>59</v>
      </c>
      <c r="AA8471" t="s">
        <v>59</v>
      </c>
      <c r="AB8471" t="s">
        <v>59</v>
      </c>
      <c r="AC8471" t="s">
        <v>59</v>
      </c>
      <c r="AD8471" t="s">
        <v>59</v>
      </c>
      <c r="AF8471" s="1">
        <v>43348</v>
      </c>
      <c r="AG8471" t="s">
        <v>8645</v>
      </c>
      <c r="AH8471" t="s">
        <v>8646</v>
      </c>
      <c r="AI8471" t="str">
        <f>"9410072"</f>
        <v>9410072</v>
      </c>
      <c r="AJ8471" t="s">
        <v>12692</v>
      </c>
      <c r="AK8471">
        <v>2831071264</v>
      </c>
      <c r="AL8471" t="s">
        <v>12693</v>
      </c>
      <c r="AM8471" t="s">
        <v>64</v>
      </c>
      <c r="AN8471" t="s">
        <v>65</v>
      </c>
      <c r="AO8471" t="s">
        <v>12694</v>
      </c>
      <c r="AP8471" t="s">
        <v>12695</v>
      </c>
      <c r="AQ8471">
        <v>3</v>
      </c>
      <c r="AR8471" t="s">
        <v>66</v>
      </c>
      <c r="AS8471" t="s">
        <v>67</v>
      </c>
      <c r="AT8471" t="s">
        <v>58</v>
      </c>
      <c r="AU8471" t="s">
        <v>8673</v>
      </c>
      <c r="AV8471" t="s">
        <v>132</v>
      </c>
      <c r="AW8471" s="1">
        <v>28314</v>
      </c>
      <c r="AX8471">
        <v>1</v>
      </c>
    </row>
    <row r="8472" spans="1:50">
      <c r="B8472" t="str">
        <f>"130295870"</f>
        <v>130295870</v>
      </c>
      <c r="C8472" t="s">
        <v>50</v>
      </c>
      <c r="D8472" t="s">
        <v>13062</v>
      </c>
      <c r="E8472" t="s">
        <v>4493</v>
      </c>
      <c r="F8472" t="s">
        <v>72</v>
      </c>
      <c r="G8472" t="s">
        <v>396</v>
      </c>
      <c r="H8472" t="str">
        <f>" "</f>
        <v xml:space="preserve"> </v>
      </c>
      <c r="K8472">
        <v>6981304014</v>
      </c>
      <c r="M8472" t="s">
        <v>13063</v>
      </c>
      <c r="N8472" t="s">
        <v>8834</v>
      </c>
      <c r="O8472" t="s">
        <v>8695</v>
      </c>
      <c r="R8472" t="s">
        <v>159</v>
      </c>
      <c r="S8472">
        <v>3</v>
      </c>
      <c r="T8472" t="s">
        <v>8835</v>
      </c>
      <c r="U8472" s="1">
        <v>43348</v>
      </c>
      <c r="V8472" t="s">
        <v>66</v>
      </c>
      <c r="W8472" t="s">
        <v>67</v>
      </c>
      <c r="X8472" t="s">
        <v>58</v>
      </c>
      <c r="Y8472">
        <v>24</v>
      </c>
      <c r="Z8472" t="s">
        <v>59</v>
      </c>
      <c r="AA8472" t="s">
        <v>59</v>
      </c>
      <c r="AB8472" t="s">
        <v>59</v>
      </c>
      <c r="AD8472" t="s">
        <v>59</v>
      </c>
      <c r="AF8472" s="1">
        <v>43348</v>
      </c>
      <c r="AG8472" t="s">
        <v>8645</v>
      </c>
      <c r="AH8472" t="s">
        <v>8646</v>
      </c>
      <c r="AI8472" t="str">
        <f>"9410257"</f>
        <v>9410257</v>
      </c>
      <c r="AJ8472" t="s">
        <v>12828</v>
      </c>
      <c r="AK8472">
        <v>2831056242</v>
      </c>
      <c r="AL8472" t="s">
        <v>12829</v>
      </c>
      <c r="AM8472" t="s">
        <v>64</v>
      </c>
      <c r="AN8472" t="s">
        <v>65</v>
      </c>
      <c r="AO8472" t="s">
        <v>65</v>
      </c>
      <c r="AP8472" t="s">
        <v>65</v>
      </c>
      <c r="AQ8472">
        <v>1</v>
      </c>
      <c r="AR8472" t="s">
        <v>66</v>
      </c>
      <c r="AS8472" t="s">
        <v>67</v>
      </c>
      <c r="AT8472" t="s">
        <v>58</v>
      </c>
      <c r="AU8472" t="s">
        <v>131</v>
      </c>
      <c r="AV8472" t="s">
        <v>132</v>
      </c>
      <c r="AW8472" s="1">
        <v>32800</v>
      </c>
      <c r="AX8472">
        <v>1</v>
      </c>
    </row>
    <row r="8473" spans="1:50">
      <c r="A8473">
        <v>582500</v>
      </c>
      <c r="B8473" t="str">
        <f>"100091916"</f>
        <v>100091916</v>
      </c>
      <c r="C8473" t="s">
        <v>50</v>
      </c>
      <c r="D8473" t="s">
        <v>4828</v>
      </c>
      <c r="E8473" t="s">
        <v>155</v>
      </c>
      <c r="F8473" t="s">
        <v>459</v>
      </c>
      <c r="G8473" t="s">
        <v>13064</v>
      </c>
      <c r="H8473" t="str">
        <f>" "</f>
        <v xml:space="preserve"> </v>
      </c>
      <c r="J8473">
        <v>2831053039</v>
      </c>
      <c r="K8473">
        <v>6974422205</v>
      </c>
      <c r="M8473" t="s">
        <v>13065</v>
      </c>
      <c r="N8473" t="s">
        <v>615</v>
      </c>
      <c r="O8473" t="s">
        <v>616</v>
      </c>
      <c r="R8473" t="s">
        <v>57</v>
      </c>
      <c r="S8473">
        <v>10</v>
      </c>
      <c r="T8473">
        <v>179</v>
      </c>
      <c r="U8473" s="1">
        <v>35674</v>
      </c>
      <c r="V8473" t="s">
        <v>66</v>
      </c>
      <c r="W8473" t="s">
        <v>67</v>
      </c>
      <c r="X8473" t="s">
        <v>58</v>
      </c>
      <c r="Y8473">
        <v>21</v>
      </c>
      <c r="Z8473" t="s">
        <v>59</v>
      </c>
      <c r="AA8473" t="s">
        <v>59</v>
      </c>
      <c r="AB8473" t="s">
        <v>59</v>
      </c>
      <c r="AC8473" t="s">
        <v>59</v>
      </c>
      <c r="AD8473" t="s">
        <v>59</v>
      </c>
      <c r="AF8473" s="1">
        <v>35674</v>
      </c>
      <c r="AG8473" t="s">
        <v>8645</v>
      </c>
      <c r="AH8473" t="s">
        <v>8646</v>
      </c>
      <c r="AI8473" t="str">
        <f>"9410241"</f>
        <v>9410241</v>
      </c>
      <c r="AJ8473" t="s">
        <v>12783</v>
      </c>
      <c r="AK8473">
        <v>2831022616</v>
      </c>
      <c r="AL8473" t="s">
        <v>12784</v>
      </c>
      <c r="AM8473" t="s">
        <v>64</v>
      </c>
      <c r="AN8473" t="s">
        <v>65</v>
      </c>
      <c r="AO8473" t="s">
        <v>65</v>
      </c>
      <c r="AP8473" t="s">
        <v>65</v>
      </c>
      <c r="AQ8473">
        <v>1</v>
      </c>
      <c r="AR8473" t="s">
        <v>66</v>
      </c>
      <c r="AS8473" t="s">
        <v>67</v>
      </c>
      <c r="AT8473" t="s">
        <v>58</v>
      </c>
      <c r="AU8473" t="s">
        <v>68</v>
      </c>
      <c r="AV8473" t="s">
        <v>69</v>
      </c>
      <c r="AW8473" s="1">
        <v>25040</v>
      </c>
      <c r="AX8473">
        <v>1</v>
      </c>
    </row>
    <row r="8474" spans="1:50">
      <c r="A8474">
        <v>618865</v>
      </c>
      <c r="B8474" t="str">
        <f>"118482192"</f>
        <v>118482192</v>
      </c>
      <c r="C8474" t="s">
        <v>50</v>
      </c>
      <c r="D8474" t="s">
        <v>13066</v>
      </c>
      <c r="E8474" t="s">
        <v>263</v>
      </c>
      <c r="F8474" t="s">
        <v>72</v>
      </c>
      <c r="G8474" t="s">
        <v>112</v>
      </c>
      <c r="H8474" t="str">
        <f>"ΚΑΣΤΕΛΛΟΣ ΑΠΟΚΟΡΩΝΟΥ ΧΑΝΙΑ"</f>
        <v>ΚΑΣΤΕΛΛΟΣ ΑΠΟΚΟΡΩΝΟΥ ΧΑΝΙΑ</v>
      </c>
      <c r="I8474">
        <v>73007</v>
      </c>
      <c r="J8474">
        <v>2825096239</v>
      </c>
      <c r="K8474">
        <v>6947370872</v>
      </c>
      <c r="M8474" t="s">
        <v>13067</v>
      </c>
      <c r="N8474" t="s">
        <v>615</v>
      </c>
      <c r="O8474" t="s">
        <v>616</v>
      </c>
      <c r="R8474" t="s">
        <v>57</v>
      </c>
      <c r="S8474">
        <v>5</v>
      </c>
      <c r="T8474">
        <v>774</v>
      </c>
      <c r="U8474" s="1">
        <v>39680</v>
      </c>
      <c r="V8474" t="s">
        <v>66</v>
      </c>
      <c r="W8474" t="s">
        <v>67</v>
      </c>
      <c r="X8474" t="s">
        <v>58</v>
      </c>
      <c r="Y8474">
        <v>23</v>
      </c>
      <c r="Z8474" t="s">
        <v>59</v>
      </c>
      <c r="AA8474" t="s">
        <v>59</v>
      </c>
      <c r="AB8474" t="s">
        <v>59</v>
      </c>
      <c r="AC8474" t="s">
        <v>59</v>
      </c>
      <c r="AD8474" t="s">
        <v>59</v>
      </c>
      <c r="AF8474" s="1">
        <v>39681</v>
      </c>
      <c r="AG8474" t="s">
        <v>8645</v>
      </c>
      <c r="AH8474" t="s">
        <v>8646</v>
      </c>
      <c r="AI8474" t="str">
        <f>"9410051"</f>
        <v>9410051</v>
      </c>
      <c r="AJ8474" t="s">
        <v>12660</v>
      </c>
      <c r="AK8474">
        <v>2834022247</v>
      </c>
      <c r="AL8474" t="s">
        <v>12661</v>
      </c>
      <c r="AM8474" t="s">
        <v>64</v>
      </c>
      <c r="AN8474" t="s">
        <v>5672</v>
      </c>
      <c r="AO8474" t="s">
        <v>5673</v>
      </c>
      <c r="AP8474" t="s">
        <v>5689</v>
      </c>
      <c r="AQ8474">
        <v>7</v>
      </c>
      <c r="AR8474" t="s">
        <v>66</v>
      </c>
      <c r="AS8474" t="s">
        <v>67</v>
      </c>
      <c r="AT8474" t="s">
        <v>58</v>
      </c>
      <c r="AU8474" t="s">
        <v>68</v>
      </c>
      <c r="AV8474" t="s">
        <v>69</v>
      </c>
      <c r="AW8474" s="1">
        <v>31334</v>
      </c>
      <c r="AX8474">
        <v>1</v>
      </c>
    </row>
    <row r="8475" spans="1:50">
      <c r="A8475">
        <v>607271</v>
      </c>
      <c r="B8475" t="str">
        <f>"032513518"</f>
        <v>032513518</v>
      </c>
      <c r="C8475" t="s">
        <v>50</v>
      </c>
      <c r="D8475" t="s">
        <v>13068</v>
      </c>
      <c r="E8475" t="s">
        <v>98</v>
      </c>
      <c r="F8475" t="s">
        <v>53</v>
      </c>
      <c r="G8475" t="s">
        <v>1049</v>
      </c>
      <c r="H8475" t="str">
        <f>"ΑΜΜΟΧΩΣΤΟΥ 5 ΝΕΑ ΜΑΚΡΗ"</f>
        <v>ΑΜΜΟΧΩΣΤΟΥ 5 ΝΕΑ ΜΑΚΡΗ</v>
      </c>
      <c r="I8475">
        <v>19005</v>
      </c>
      <c r="J8475">
        <v>2294095489</v>
      </c>
      <c r="K8475">
        <v>6975741333</v>
      </c>
      <c r="L8475">
        <v>2102720022</v>
      </c>
      <c r="M8475" t="s">
        <v>13069</v>
      </c>
      <c r="N8475" t="s">
        <v>615</v>
      </c>
      <c r="O8475" t="s">
        <v>616</v>
      </c>
      <c r="R8475" t="s">
        <v>57</v>
      </c>
      <c r="S8475">
        <v>7</v>
      </c>
      <c r="T8475">
        <v>217</v>
      </c>
      <c r="U8475" s="1">
        <v>38596</v>
      </c>
      <c r="V8475" t="s">
        <v>66</v>
      </c>
      <c r="W8475" t="s">
        <v>67</v>
      </c>
      <c r="X8475" t="s">
        <v>58</v>
      </c>
      <c r="Y8475">
        <v>22</v>
      </c>
      <c r="Z8475" t="s">
        <v>59</v>
      </c>
      <c r="AA8475" t="s">
        <v>59</v>
      </c>
      <c r="AB8475" t="s">
        <v>59</v>
      </c>
      <c r="AC8475" t="s">
        <v>59</v>
      </c>
      <c r="AD8475" t="s">
        <v>59</v>
      </c>
      <c r="AF8475" s="1">
        <v>38596</v>
      </c>
      <c r="AG8475" t="s">
        <v>8645</v>
      </c>
      <c r="AH8475" t="s">
        <v>8646</v>
      </c>
      <c r="AI8475" t="str">
        <f>"9410180"</f>
        <v>9410180</v>
      </c>
      <c r="AJ8475" t="s">
        <v>12696</v>
      </c>
      <c r="AK8475">
        <v>2831031206</v>
      </c>
      <c r="AL8475" t="s">
        <v>12697</v>
      </c>
      <c r="AM8475" t="s">
        <v>64</v>
      </c>
      <c r="AN8475" t="s">
        <v>65</v>
      </c>
      <c r="AO8475" t="s">
        <v>5720</v>
      </c>
      <c r="AP8475" t="s">
        <v>12698</v>
      </c>
      <c r="AQ8475">
        <v>2</v>
      </c>
      <c r="AR8475" t="s">
        <v>66</v>
      </c>
      <c r="AS8475" t="s">
        <v>67</v>
      </c>
      <c r="AT8475" t="s">
        <v>58</v>
      </c>
      <c r="AU8475" t="s">
        <v>68</v>
      </c>
      <c r="AV8475" t="s">
        <v>69</v>
      </c>
      <c r="AW8475" s="1">
        <v>24838</v>
      </c>
      <c r="AX8475">
        <v>1</v>
      </c>
    </row>
    <row r="8476" spans="1:50">
      <c r="B8476" t="str">
        <f>"137465281"</f>
        <v>137465281</v>
      </c>
      <c r="C8476" t="s">
        <v>50</v>
      </c>
      <c r="D8476" t="s">
        <v>5973</v>
      </c>
      <c r="E8476" t="s">
        <v>143</v>
      </c>
      <c r="F8476" t="s">
        <v>92</v>
      </c>
      <c r="G8476" t="s">
        <v>237</v>
      </c>
      <c r="H8476" t="str">
        <f>"ΝΤΕΧΙΟΣΤΑΚ 4 "</f>
        <v xml:space="preserve">ΝΤΕΧΙΟΣΤΑΚ 4 </v>
      </c>
      <c r="I8476">
        <v>74100</v>
      </c>
      <c r="J8476">
        <v>2831041675</v>
      </c>
      <c r="K8476">
        <v>6948107441</v>
      </c>
      <c r="N8476" t="s">
        <v>1525</v>
      </c>
      <c r="O8476" t="s">
        <v>1526</v>
      </c>
      <c r="R8476" t="s">
        <v>159</v>
      </c>
      <c r="S8476">
        <v>2</v>
      </c>
      <c r="T8476" t="s">
        <v>8670</v>
      </c>
      <c r="U8476" s="1">
        <v>43348</v>
      </c>
      <c r="V8476" t="s">
        <v>66</v>
      </c>
      <c r="W8476" t="s">
        <v>67</v>
      </c>
      <c r="X8476" t="s">
        <v>58</v>
      </c>
      <c r="Y8476">
        <v>25</v>
      </c>
      <c r="Z8476" t="s">
        <v>59</v>
      </c>
      <c r="AA8476" t="s">
        <v>59</v>
      </c>
      <c r="AB8476" t="s">
        <v>59</v>
      </c>
      <c r="AC8476" t="s">
        <v>59</v>
      </c>
      <c r="AD8476" t="s">
        <v>59</v>
      </c>
      <c r="AF8476" s="1">
        <v>43348</v>
      </c>
      <c r="AG8476" t="s">
        <v>8651</v>
      </c>
      <c r="AH8476" t="s">
        <v>8652</v>
      </c>
      <c r="AI8476" t="str">
        <f>"9410233"</f>
        <v>9410233</v>
      </c>
      <c r="AJ8476" t="s">
        <v>12861</v>
      </c>
      <c r="AK8476">
        <v>2832051552</v>
      </c>
      <c r="AL8476" t="s">
        <v>12862</v>
      </c>
      <c r="AM8476" t="s">
        <v>64</v>
      </c>
      <c r="AN8476" t="s">
        <v>5882</v>
      </c>
      <c r="AO8476" t="s">
        <v>6099</v>
      </c>
      <c r="AP8476" t="s">
        <v>12825</v>
      </c>
      <c r="AQ8476">
        <v>5</v>
      </c>
      <c r="AR8476" t="s">
        <v>66</v>
      </c>
      <c r="AS8476" t="s">
        <v>67</v>
      </c>
      <c r="AT8476" t="s">
        <v>58</v>
      </c>
      <c r="AU8476" t="s">
        <v>8673</v>
      </c>
      <c r="AV8476" t="s">
        <v>132</v>
      </c>
      <c r="AW8476" s="1">
        <v>31080</v>
      </c>
      <c r="AX8476">
        <v>1</v>
      </c>
    </row>
    <row r="8477" spans="1:50">
      <c r="B8477" t="str">
        <f>"141138868"</f>
        <v>141138868</v>
      </c>
      <c r="C8477" t="s">
        <v>105</v>
      </c>
      <c r="D8477" t="s">
        <v>13070</v>
      </c>
      <c r="E8477" t="s">
        <v>99</v>
      </c>
      <c r="F8477" t="s">
        <v>72</v>
      </c>
      <c r="G8477" t="s">
        <v>382</v>
      </c>
      <c r="H8477" t="str">
        <f>"ΝΕΟΣ ΟΙΚΙΣΜΟΣ 11, ΓΑΛΛΟΥ ΡΕΘΥΜΝΟ"</f>
        <v>ΝΕΟΣ ΟΙΚΙΣΜΟΣ 11, ΓΑΛΛΟΥ ΡΕΘΥΜΝΟ</v>
      </c>
      <c r="I8477">
        <v>74100</v>
      </c>
      <c r="K8477">
        <v>6983434459</v>
      </c>
      <c r="M8477" t="s">
        <v>13071</v>
      </c>
      <c r="N8477" t="s">
        <v>615</v>
      </c>
      <c r="O8477" t="s">
        <v>616</v>
      </c>
      <c r="R8477" t="s">
        <v>159</v>
      </c>
      <c r="S8477">
        <v>3</v>
      </c>
      <c r="T8477" t="s">
        <v>8675</v>
      </c>
      <c r="U8477" s="1">
        <v>43348</v>
      </c>
      <c r="V8477" t="s">
        <v>66</v>
      </c>
      <c r="W8477" t="s">
        <v>67</v>
      </c>
      <c r="X8477" t="s">
        <v>58</v>
      </c>
      <c r="Y8477">
        <v>24</v>
      </c>
      <c r="Z8477" t="s">
        <v>59</v>
      </c>
      <c r="AA8477" t="s">
        <v>59</v>
      </c>
      <c r="AB8477" t="s">
        <v>59</v>
      </c>
      <c r="AC8477" t="s">
        <v>59</v>
      </c>
      <c r="AD8477" t="s">
        <v>59</v>
      </c>
      <c r="AF8477" s="1">
        <v>43348</v>
      </c>
      <c r="AG8477" t="s">
        <v>8645</v>
      </c>
      <c r="AH8477" t="s">
        <v>8646</v>
      </c>
      <c r="AI8477" t="str">
        <f>"9410017"</f>
        <v>9410017</v>
      </c>
      <c r="AJ8477" t="s">
        <v>12785</v>
      </c>
      <c r="AK8477">
        <v>2834041452</v>
      </c>
      <c r="AL8477" t="s">
        <v>12786</v>
      </c>
      <c r="AM8477" t="s">
        <v>64</v>
      </c>
      <c r="AN8477" t="s">
        <v>5672</v>
      </c>
      <c r="AO8477" t="s">
        <v>5698</v>
      </c>
      <c r="AP8477" t="s">
        <v>12787</v>
      </c>
      <c r="AQ8477">
        <v>9</v>
      </c>
      <c r="AR8477" t="s">
        <v>66</v>
      </c>
      <c r="AS8477" t="s">
        <v>67</v>
      </c>
      <c r="AT8477" t="s">
        <v>58</v>
      </c>
      <c r="AU8477" t="s">
        <v>8673</v>
      </c>
      <c r="AV8477" t="s">
        <v>132</v>
      </c>
      <c r="AW8477" s="1">
        <v>31577</v>
      </c>
      <c r="AX8477">
        <v>1</v>
      </c>
    </row>
    <row r="8478" spans="1:50">
      <c r="A8478">
        <v>574180</v>
      </c>
      <c r="B8478" t="str">
        <f>"057840085"</f>
        <v>057840085</v>
      </c>
      <c r="C8478" t="s">
        <v>50</v>
      </c>
      <c r="D8478" t="s">
        <v>1509</v>
      </c>
      <c r="E8478" t="s">
        <v>280</v>
      </c>
      <c r="F8478" t="s">
        <v>99</v>
      </c>
      <c r="G8478" t="s">
        <v>1452</v>
      </c>
      <c r="H8478" t="str">
        <f>" "</f>
        <v xml:space="preserve"> </v>
      </c>
      <c r="N8478" t="s">
        <v>615</v>
      </c>
      <c r="O8478" t="s">
        <v>616</v>
      </c>
      <c r="R8478" t="s">
        <v>57</v>
      </c>
      <c r="S8478">
        <v>12</v>
      </c>
      <c r="T8478">
        <v>160</v>
      </c>
      <c r="U8478" s="1">
        <v>34582</v>
      </c>
      <c r="V8478" t="s">
        <v>66</v>
      </c>
      <c r="W8478" t="s">
        <v>67</v>
      </c>
      <c r="X8478" t="s">
        <v>58</v>
      </c>
      <c r="Y8478">
        <v>21</v>
      </c>
      <c r="Z8478" t="s">
        <v>59</v>
      </c>
      <c r="AA8478" t="s">
        <v>59</v>
      </c>
      <c r="AB8478" t="s">
        <v>59</v>
      </c>
      <c r="AC8478" t="s">
        <v>59</v>
      </c>
      <c r="AD8478" t="s">
        <v>59</v>
      </c>
      <c r="AF8478" s="1">
        <v>34582</v>
      </c>
      <c r="AG8478" t="s">
        <v>8645</v>
      </c>
      <c r="AH8478" t="s">
        <v>8646</v>
      </c>
      <c r="AI8478" t="str">
        <f>"9410152"</f>
        <v>9410152</v>
      </c>
      <c r="AJ8478" t="s">
        <v>12686</v>
      </c>
      <c r="AK8478">
        <v>2831029088</v>
      </c>
      <c r="AL8478" t="s">
        <v>12687</v>
      </c>
      <c r="AM8478" t="s">
        <v>64</v>
      </c>
      <c r="AN8478" t="s">
        <v>65</v>
      </c>
      <c r="AO8478" t="s">
        <v>65</v>
      </c>
      <c r="AP8478" t="s">
        <v>65</v>
      </c>
      <c r="AQ8478">
        <v>1</v>
      </c>
      <c r="AR8478" t="s">
        <v>66</v>
      </c>
      <c r="AS8478" t="s">
        <v>67</v>
      </c>
      <c r="AT8478" t="s">
        <v>58</v>
      </c>
      <c r="AU8478" t="s">
        <v>68</v>
      </c>
      <c r="AV8478" t="s">
        <v>69</v>
      </c>
      <c r="AW8478" s="1">
        <v>24528</v>
      </c>
      <c r="AX8478">
        <v>1</v>
      </c>
    </row>
    <row r="8479" spans="1:50">
      <c r="A8479">
        <v>700796</v>
      </c>
      <c r="B8479" t="str">
        <f>"129447712"</f>
        <v>129447712</v>
      </c>
      <c r="C8479" t="s">
        <v>105</v>
      </c>
      <c r="D8479" t="s">
        <v>7245</v>
      </c>
      <c r="E8479" t="s">
        <v>53</v>
      </c>
      <c r="F8479" t="s">
        <v>12507</v>
      </c>
      <c r="G8479" t="s">
        <v>460</v>
      </c>
      <c r="H8479" t="str">
        <f>"ΠΕΛΟΠΙΔΑ 14 "</f>
        <v xml:space="preserve">ΠΕΛΟΠΙΔΑ 14 </v>
      </c>
      <c r="I8479">
        <v>62200</v>
      </c>
      <c r="J8479">
        <v>2322024169</v>
      </c>
      <c r="K8479">
        <v>6948242538</v>
      </c>
      <c r="N8479" t="s">
        <v>615</v>
      </c>
      <c r="O8479" t="s">
        <v>616</v>
      </c>
      <c r="R8479" t="s">
        <v>57</v>
      </c>
      <c r="S8479">
        <v>4</v>
      </c>
      <c r="T8479" t="s">
        <v>13072</v>
      </c>
      <c r="U8479" s="1">
        <v>40413</v>
      </c>
      <c r="V8479" t="s">
        <v>66</v>
      </c>
      <c r="W8479" t="s">
        <v>67</v>
      </c>
      <c r="X8479" t="s">
        <v>58</v>
      </c>
      <c r="Y8479">
        <v>24</v>
      </c>
      <c r="Z8479" t="s">
        <v>59</v>
      </c>
      <c r="AA8479" t="s">
        <v>59</v>
      </c>
      <c r="AB8479" t="s">
        <v>59</v>
      </c>
      <c r="AC8479" t="s">
        <v>59</v>
      </c>
      <c r="AD8479" t="s">
        <v>59</v>
      </c>
      <c r="AF8479" s="1">
        <v>40413</v>
      </c>
      <c r="AG8479" t="s">
        <v>8645</v>
      </c>
      <c r="AH8479" t="s">
        <v>8646</v>
      </c>
      <c r="AI8479" t="str">
        <f>"9410242"</f>
        <v>9410242</v>
      </c>
      <c r="AJ8479" t="s">
        <v>12796</v>
      </c>
      <c r="AK8479">
        <v>2834023145</v>
      </c>
      <c r="AL8479" t="s">
        <v>12797</v>
      </c>
      <c r="AM8479" t="s">
        <v>64</v>
      </c>
      <c r="AN8479" t="s">
        <v>5672</v>
      </c>
      <c r="AO8479" t="s">
        <v>5673</v>
      </c>
      <c r="AP8479" t="s">
        <v>5689</v>
      </c>
      <c r="AQ8479">
        <v>7</v>
      </c>
      <c r="AR8479" t="s">
        <v>66</v>
      </c>
      <c r="AS8479" t="s">
        <v>67</v>
      </c>
      <c r="AT8479" t="s">
        <v>58</v>
      </c>
      <c r="AU8479" t="s">
        <v>68</v>
      </c>
      <c r="AV8479" t="s">
        <v>69</v>
      </c>
      <c r="AW8479" s="1">
        <v>31557</v>
      </c>
      <c r="AX8479">
        <v>1</v>
      </c>
    </row>
    <row r="8480" spans="1:50">
      <c r="A8480">
        <v>610929</v>
      </c>
      <c r="B8480" t="str">
        <f>"120028389"</f>
        <v>120028389</v>
      </c>
      <c r="C8480" t="s">
        <v>105</v>
      </c>
      <c r="D8480" t="s">
        <v>1532</v>
      </c>
      <c r="E8480" t="s">
        <v>72</v>
      </c>
      <c r="F8480" t="s">
        <v>309</v>
      </c>
      <c r="G8480" t="s">
        <v>13073</v>
      </c>
      <c r="H8480" t="str">
        <f>" "</f>
        <v xml:space="preserve"> </v>
      </c>
      <c r="J8480">
        <v>2421081568</v>
      </c>
      <c r="K8480">
        <v>6946157855</v>
      </c>
      <c r="N8480" t="s">
        <v>615</v>
      </c>
      <c r="O8480" t="s">
        <v>616</v>
      </c>
      <c r="R8480" t="s">
        <v>57</v>
      </c>
      <c r="S8480">
        <v>7</v>
      </c>
      <c r="T8480">
        <v>233</v>
      </c>
      <c r="U8480" s="1">
        <v>38960</v>
      </c>
      <c r="V8480" t="s">
        <v>66</v>
      </c>
      <c r="W8480" t="s">
        <v>67</v>
      </c>
      <c r="X8480" t="s">
        <v>58</v>
      </c>
      <c r="Y8480">
        <v>23</v>
      </c>
      <c r="Z8480" t="s">
        <v>59</v>
      </c>
      <c r="AA8480" t="s">
        <v>59</v>
      </c>
      <c r="AB8480" t="s">
        <v>59</v>
      </c>
      <c r="AC8480" t="s">
        <v>59</v>
      </c>
      <c r="AD8480" t="s">
        <v>59</v>
      </c>
      <c r="AF8480" s="1">
        <v>38961</v>
      </c>
      <c r="AG8480" t="s">
        <v>8645</v>
      </c>
      <c r="AH8480" t="s">
        <v>8646</v>
      </c>
      <c r="AI8480" t="str">
        <f>"9410226"</f>
        <v>9410226</v>
      </c>
      <c r="AJ8480" t="s">
        <v>12702</v>
      </c>
      <c r="AK8480">
        <v>2831071088</v>
      </c>
      <c r="AL8480" t="s">
        <v>12703</v>
      </c>
      <c r="AM8480" t="s">
        <v>64</v>
      </c>
      <c r="AN8480" t="s">
        <v>65</v>
      </c>
      <c r="AO8480" t="s">
        <v>12694</v>
      </c>
      <c r="AP8480" t="s">
        <v>12704</v>
      </c>
      <c r="AQ8480">
        <v>3</v>
      </c>
      <c r="AR8480" t="s">
        <v>66</v>
      </c>
      <c r="AS8480" t="s">
        <v>67</v>
      </c>
      <c r="AT8480" t="s">
        <v>58</v>
      </c>
      <c r="AU8480" t="s">
        <v>68</v>
      </c>
      <c r="AV8480" t="s">
        <v>69</v>
      </c>
      <c r="AW8480" s="1">
        <v>29308</v>
      </c>
      <c r="AX8480">
        <v>1</v>
      </c>
    </row>
    <row r="8481" spans="1:50">
      <c r="A8481">
        <v>611783</v>
      </c>
      <c r="B8481" t="str">
        <f>"028553777"</f>
        <v>028553777</v>
      </c>
      <c r="C8481" t="s">
        <v>50</v>
      </c>
      <c r="D8481" t="s">
        <v>5983</v>
      </c>
      <c r="E8481" t="s">
        <v>73</v>
      </c>
      <c r="F8481" t="s">
        <v>84</v>
      </c>
      <c r="G8481" t="s">
        <v>54</v>
      </c>
      <c r="H8481" t="str">
        <f>"ΖΑΧ. ΚΑΛΛΙΕΡΓΗ 12 ΡΕΘΥΜΝΟΥ"</f>
        <v>ΖΑΧ. ΚΑΛΛΙΕΡΓΗ 12 ΡΕΘΥΜΝΟΥ</v>
      </c>
      <c r="I8481">
        <v>74100</v>
      </c>
      <c r="J8481">
        <v>2831027951</v>
      </c>
      <c r="K8481">
        <v>6944907052</v>
      </c>
      <c r="N8481" t="s">
        <v>1525</v>
      </c>
      <c r="O8481" t="s">
        <v>1526</v>
      </c>
      <c r="R8481" t="s">
        <v>57</v>
      </c>
      <c r="S8481">
        <v>6</v>
      </c>
      <c r="T8481">
        <v>233</v>
      </c>
      <c r="U8481" s="1">
        <v>38960</v>
      </c>
      <c r="V8481" t="s">
        <v>66</v>
      </c>
      <c r="W8481" t="s">
        <v>67</v>
      </c>
      <c r="X8481" t="s">
        <v>58</v>
      </c>
      <c r="Y8481">
        <v>25</v>
      </c>
      <c r="Z8481" t="s">
        <v>59</v>
      </c>
      <c r="AA8481" t="s">
        <v>59</v>
      </c>
      <c r="AB8481" t="s">
        <v>59</v>
      </c>
      <c r="AC8481" t="s">
        <v>59</v>
      </c>
      <c r="AD8481" t="s">
        <v>59</v>
      </c>
      <c r="AF8481" s="1">
        <v>38961</v>
      </c>
      <c r="AG8481" t="s">
        <v>8651</v>
      </c>
      <c r="AH8481" t="s">
        <v>8652</v>
      </c>
      <c r="AI8481" t="str">
        <f>"9410189"</f>
        <v>9410189</v>
      </c>
      <c r="AJ8481" t="s">
        <v>12706</v>
      </c>
      <c r="AK8481">
        <v>2831028290</v>
      </c>
      <c r="AL8481" t="s">
        <v>12707</v>
      </c>
      <c r="AM8481" t="s">
        <v>64</v>
      </c>
      <c r="AN8481" t="s">
        <v>65</v>
      </c>
      <c r="AO8481" t="s">
        <v>65</v>
      </c>
      <c r="AP8481" t="s">
        <v>65</v>
      </c>
      <c r="AQ8481">
        <v>1</v>
      </c>
      <c r="AR8481" t="s">
        <v>66</v>
      </c>
      <c r="AS8481" t="s">
        <v>67</v>
      </c>
      <c r="AT8481" t="s">
        <v>58</v>
      </c>
      <c r="AU8481" t="s">
        <v>68</v>
      </c>
      <c r="AV8481" t="s">
        <v>69</v>
      </c>
      <c r="AW8481" s="1">
        <v>24525</v>
      </c>
      <c r="AX8481">
        <v>1</v>
      </c>
    </row>
    <row r="8482" spans="1:50">
      <c r="A8482">
        <v>613423</v>
      </c>
      <c r="B8482" t="str">
        <f>"100605711"</f>
        <v>100605711</v>
      </c>
      <c r="C8482" t="s">
        <v>105</v>
      </c>
      <c r="D8482" t="s">
        <v>13074</v>
      </c>
      <c r="E8482" t="s">
        <v>111</v>
      </c>
      <c r="F8482" t="s">
        <v>383</v>
      </c>
      <c r="G8482" t="s">
        <v>237</v>
      </c>
      <c r="H8482" t="str">
        <f>"Κ. ΜΑΝΟΥ 11 ΠΕΛΕΚΑΠΙΝΑ ΧΑΝΙΑ"</f>
        <v>Κ. ΜΑΝΟΥ 11 ΠΕΛΕΚΑΠΙΝΑ ΧΑΝΙΑ</v>
      </c>
      <c r="I8482">
        <v>73136</v>
      </c>
      <c r="J8482">
        <v>2821097812</v>
      </c>
      <c r="K8482">
        <v>6932896679</v>
      </c>
      <c r="M8482" t="s">
        <v>13075</v>
      </c>
      <c r="N8482" t="s">
        <v>615</v>
      </c>
      <c r="O8482" t="s">
        <v>616</v>
      </c>
      <c r="R8482" t="s">
        <v>57</v>
      </c>
      <c r="S8482">
        <v>12</v>
      </c>
      <c r="T8482">
        <v>598</v>
      </c>
      <c r="U8482" s="1">
        <v>39310</v>
      </c>
      <c r="V8482" t="s">
        <v>66</v>
      </c>
      <c r="W8482" t="s">
        <v>67</v>
      </c>
      <c r="X8482" t="s">
        <v>58</v>
      </c>
      <c r="Y8482">
        <v>23</v>
      </c>
      <c r="Z8482" t="s">
        <v>59</v>
      </c>
      <c r="AA8482" t="s">
        <v>59</v>
      </c>
      <c r="AB8482" t="s">
        <v>59</v>
      </c>
      <c r="AC8482" t="s">
        <v>59</v>
      </c>
      <c r="AD8482" t="s">
        <v>59</v>
      </c>
      <c r="AF8482" s="1">
        <v>39328</v>
      </c>
      <c r="AG8482" t="s">
        <v>8645</v>
      </c>
      <c r="AH8482" t="s">
        <v>8646</v>
      </c>
      <c r="AI8482" t="str">
        <f>"9410170"</f>
        <v>9410170</v>
      </c>
      <c r="AJ8482" t="s">
        <v>12658</v>
      </c>
      <c r="AK8482">
        <v>2831061220</v>
      </c>
      <c r="AL8482" t="s">
        <v>12659</v>
      </c>
      <c r="AM8482" t="s">
        <v>64</v>
      </c>
      <c r="AN8482" t="s">
        <v>65</v>
      </c>
      <c r="AO8482" t="s">
        <v>5657</v>
      </c>
      <c r="AP8482" t="s">
        <v>1437</v>
      </c>
      <c r="AQ8482">
        <v>2</v>
      </c>
      <c r="AR8482" t="s">
        <v>66</v>
      </c>
      <c r="AS8482" t="s">
        <v>67</v>
      </c>
      <c r="AT8482" t="s">
        <v>58</v>
      </c>
      <c r="AU8482" t="s">
        <v>68</v>
      </c>
      <c r="AV8482" t="s">
        <v>69</v>
      </c>
      <c r="AW8482" s="1">
        <v>28455</v>
      </c>
      <c r="AX8482">
        <v>1</v>
      </c>
    </row>
    <row r="8483" spans="1:50">
      <c r="A8483">
        <v>609468</v>
      </c>
      <c r="B8483" t="str">
        <f>"035955480"</f>
        <v>035955480</v>
      </c>
      <c r="C8483" t="s">
        <v>105</v>
      </c>
      <c r="D8483" t="s">
        <v>1555</v>
      </c>
      <c r="E8483" t="s">
        <v>995</v>
      </c>
      <c r="F8483" t="s">
        <v>965</v>
      </c>
      <c r="G8483" t="s">
        <v>73</v>
      </c>
      <c r="H8483" t="str">
        <f>"ΟΛΥΜΠΙΑΔΟΣ 1 ΚΑΤΕΡΙΝΗ"</f>
        <v>ΟΛΥΜΠΙΑΔΟΣ 1 ΚΑΤΕΡΙΝΗ</v>
      </c>
      <c r="I8483">
        <v>60100</v>
      </c>
      <c r="J8483">
        <v>2351027636</v>
      </c>
      <c r="K8483">
        <v>6974368755</v>
      </c>
      <c r="N8483" t="s">
        <v>176</v>
      </c>
      <c r="O8483" t="s">
        <v>177</v>
      </c>
      <c r="R8483" t="s">
        <v>57</v>
      </c>
      <c r="S8483">
        <v>10</v>
      </c>
      <c r="T8483">
        <v>218</v>
      </c>
      <c r="U8483" s="1">
        <v>38596</v>
      </c>
      <c r="V8483" t="s">
        <v>66</v>
      </c>
      <c r="W8483" t="s">
        <v>67</v>
      </c>
      <c r="X8483" t="s">
        <v>58</v>
      </c>
      <c r="Y8483">
        <v>22</v>
      </c>
      <c r="Z8483" t="s">
        <v>59</v>
      </c>
      <c r="AA8483" t="s">
        <v>59</v>
      </c>
      <c r="AB8483" t="s">
        <v>59</v>
      </c>
      <c r="AC8483" t="s">
        <v>59</v>
      </c>
      <c r="AD8483" t="s">
        <v>59</v>
      </c>
      <c r="AF8483" s="1">
        <v>38602</v>
      </c>
      <c r="AG8483" t="s">
        <v>8645</v>
      </c>
      <c r="AH8483" t="s">
        <v>8646</v>
      </c>
      <c r="AI8483" t="str">
        <f>"9410257"</f>
        <v>9410257</v>
      </c>
      <c r="AJ8483" t="s">
        <v>12828</v>
      </c>
      <c r="AK8483">
        <v>2831056242</v>
      </c>
      <c r="AL8483" t="s">
        <v>12829</v>
      </c>
      <c r="AM8483" t="s">
        <v>64</v>
      </c>
      <c r="AN8483" t="s">
        <v>65</v>
      </c>
      <c r="AO8483" t="s">
        <v>65</v>
      </c>
      <c r="AP8483" t="s">
        <v>65</v>
      </c>
      <c r="AQ8483">
        <v>1</v>
      </c>
      <c r="AR8483" t="s">
        <v>66</v>
      </c>
      <c r="AS8483" t="s">
        <v>67</v>
      </c>
      <c r="AT8483" t="s">
        <v>58</v>
      </c>
      <c r="AU8483" t="s">
        <v>68</v>
      </c>
      <c r="AV8483" t="s">
        <v>69</v>
      </c>
      <c r="AW8483" s="1">
        <v>21874</v>
      </c>
      <c r="AX8483">
        <v>1</v>
      </c>
    </row>
    <row r="8484" spans="1:50">
      <c r="A8484">
        <v>574325</v>
      </c>
      <c r="B8484" t="str">
        <f>"065483380"</f>
        <v>065483380</v>
      </c>
      <c r="C8484" t="s">
        <v>50</v>
      </c>
      <c r="D8484" t="s">
        <v>4851</v>
      </c>
      <c r="E8484" t="s">
        <v>513</v>
      </c>
      <c r="F8484" t="s">
        <v>920</v>
      </c>
      <c r="G8484" t="s">
        <v>52</v>
      </c>
      <c r="H8484" t="str">
        <f>" "</f>
        <v xml:space="preserve"> </v>
      </c>
      <c r="N8484" t="s">
        <v>615</v>
      </c>
      <c r="O8484" t="s">
        <v>616</v>
      </c>
      <c r="R8484" t="s">
        <v>57</v>
      </c>
      <c r="S8484">
        <v>11</v>
      </c>
      <c r="T8484">
        <v>160</v>
      </c>
      <c r="U8484" s="1">
        <v>34582</v>
      </c>
      <c r="V8484" t="s">
        <v>66</v>
      </c>
      <c r="W8484" t="s">
        <v>67</v>
      </c>
      <c r="X8484" t="s">
        <v>58</v>
      </c>
      <c r="Y8484">
        <v>21</v>
      </c>
      <c r="Z8484" t="s">
        <v>59</v>
      </c>
      <c r="AA8484" t="s">
        <v>59</v>
      </c>
      <c r="AB8484" t="s">
        <v>59</v>
      </c>
      <c r="AC8484" t="s">
        <v>59</v>
      </c>
      <c r="AD8484" t="s">
        <v>59</v>
      </c>
      <c r="AF8484" s="1">
        <v>34582</v>
      </c>
      <c r="AG8484" t="s">
        <v>8645</v>
      </c>
      <c r="AH8484" t="s">
        <v>8646</v>
      </c>
      <c r="AI8484" t="str">
        <f>"9410212"</f>
        <v>9410212</v>
      </c>
      <c r="AJ8484" t="s">
        <v>12747</v>
      </c>
      <c r="AK8484">
        <v>2831022132</v>
      </c>
      <c r="AL8484" t="s">
        <v>12748</v>
      </c>
      <c r="AM8484" t="s">
        <v>64</v>
      </c>
      <c r="AN8484" t="s">
        <v>65</v>
      </c>
      <c r="AO8484" t="s">
        <v>65</v>
      </c>
      <c r="AP8484" t="s">
        <v>65</v>
      </c>
      <c r="AQ8484">
        <v>1</v>
      </c>
      <c r="AR8484" t="s">
        <v>66</v>
      </c>
      <c r="AS8484" t="s">
        <v>67</v>
      </c>
      <c r="AT8484" t="s">
        <v>58</v>
      </c>
      <c r="AU8484" t="s">
        <v>68</v>
      </c>
      <c r="AV8484" t="s">
        <v>69</v>
      </c>
      <c r="AW8484" s="1">
        <v>23880</v>
      </c>
      <c r="AX8484">
        <v>1</v>
      </c>
    </row>
    <row r="8485" spans="1:50">
      <c r="A8485">
        <v>618340</v>
      </c>
      <c r="B8485" t="str">
        <f>"070363234"</f>
        <v>070363234</v>
      </c>
      <c r="C8485" t="s">
        <v>50</v>
      </c>
      <c r="D8485" t="s">
        <v>13076</v>
      </c>
      <c r="E8485" t="s">
        <v>620</v>
      </c>
      <c r="F8485" t="s">
        <v>760</v>
      </c>
      <c r="G8485" t="s">
        <v>52</v>
      </c>
      <c r="H8485" t="str">
        <f>"ΑΤΣΙΠΟΠΟΥΛΟ ΡΕΘΥΜΝΟ"</f>
        <v>ΑΤΣΙΠΟΠΟΥΛΟ ΡΕΘΥΜΝΟ</v>
      </c>
      <c r="I8485">
        <v>74100</v>
      </c>
      <c r="J8485">
        <v>2831058811</v>
      </c>
      <c r="K8485">
        <v>6974081316</v>
      </c>
      <c r="M8485" t="s">
        <v>13077</v>
      </c>
      <c r="N8485" t="s">
        <v>615</v>
      </c>
      <c r="O8485" t="s">
        <v>616</v>
      </c>
      <c r="R8485" t="s">
        <v>57</v>
      </c>
      <c r="S8485">
        <v>5</v>
      </c>
      <c r="T8485">
        <v>774</v>
      </c>
      <c r="U8485" s="1">
        <v>39680</v>
      </c>
      <c r="V8485" t="s">
        <v>66</v>
      </c>
      <c r="W8485" t="s">
        <v>67</v>
      </c>
      <c r="X8485" t="s">
        <v>58</v>
      </c>
      <c r="Y8485">
        <v>23</v>
      </c>
      <c r="Z8485" t="s">
        <v>59</v>
      </c>
      <c r="AA8485" t="s">
        <v>59</v>
      </c>
      <c r="AB8485" t="s">
        <v>59</v>
      </c>
      <c r="AC8485" t="s">
        <v>59</v>
      </c>
      <c r="AD8485" t="s">
        <v>59</v>
      </c>
      <c r="AF8485" s="1">
        <v>39681</v>
      </c>
      <c r="AG8485" t="s">
        <v>8645</v>
      </c>
      <c r="AH8485" t="s">
        <v>8646</v>
      </c>
      <c r="AI8485" t="str">
        <f>"9410226"</f>
        <v>9410226</v>
      </c>
      <c r="AJ8485" t="s">
        <v>12702</v>
      </c>
      <c r="AK8485">
        <v>2831071088</v>
      </c>
      <c r="AL8485" t="s">
        <v>12703</v>
      </c>
      <c r="AM8485" t="s">
        <v>64</v>
      </c>
      <c r="AN8485" t="s">
        <v>65</v>
      </c>
      <c r="AO8485" t="s">
        <v>12694</v>
      </c>
      <c r="AP8485" t="s">
        <v>12704</v>
      </c>
      <c r="AQ8485">
        <v>3</v>
      </c>
      <c r="AR8485" t="s">
        <v>66</v>
      </c>
      <c r="AS8485" t="s">
        <v>67</v>
      </c>
      <c r="AT8485" t="s">
        <v>58</v>
      </c>
      <c r="AU8485" t="s">
        <v>68</v>
      </c>
      <c r="AV8485" t="s">
        <v>69</v>
      </c>
      <c r="AW8485" s="1">
        <v>30388</v>
      </c>
      <c r="AX8485">
        <v>1</v>
      </c>
    </row>
    <row r="8486" spans="1:50">
      <c r="A8486">
        <v>582590</v>
      </c>
      <c r="B8486" t="str">
        <f>"071348806"</f>
        <v>071348806</v>
      </c>
      <c r="C8486" t="s">
        <v>105</v>
      </c>
      <c r="D8486" t="s">
        <v>13078</v>
      </c>
      <c r="E8486" t="s">
        <v>7369</v>
      </c>
      <c r="F8486" t="s">
        <v>95</v>
      </c>
      <c r="G8486" t="s">
        <v>155</v>
      </c>
      <c r="H8486" t="str">
        <f>"ΣΒΑΙΤΣΕΡ 7 ΚΑΛΛΙΘΕΑ  ΡΕΘΥΜΝΟΥ"</f>
        <v>ΣΒΑΙΤΣΕΡ 7 ΚΑΛΛΙΘΕΑ  ΡΕΘΥΜΝΟΥ</v>
      </c>
      <c r="I8486">
        <v>74100</v>
      </c>
      <c r="J8486">
        <v>2831050778</v>
      </c>
      <c r="K8486">
        <v>6974168515</v>
      </c>
      <c r="M8486" t="s">
        <v>13079</v>
      </c>
      <c r="N8486" t="s">
        <v>615</v>
      </c>
      <c r="O8486" t="s">
        <v>616</v>
      </c>
      <c r="R8486" t="s">
        <v>57</v>
      </c>
      <c r="S8486">
        <v>11</v>
      </c>
      <c r="T8486">
        <v>179</v>
      </c>
      <c r="U8486" s="1">
        <v>35674</v>
      </c>
      <c r="V8486" t="s">
        <v>66</v>
      </c>
      <c r="W8486" t="s">
        <v>67</v>
      </c>
      <c r="X8486" t="s">
        <v>58</v>
      </c>
      <c r="Y8486">
        <v>21</v>
      </c>
      <c r="Z8486" t="s">
        <v>59</v>
      </c>
      <c r="AA8486" t="s">
        <v>59</v>
      </c>
      <c r="AB8486" t="s">
        <v>59</v>
      </c>
      <c r="AC8486" t="s">
        <v>59</v>
      </c>
      <c r="AD8486" t="s">
        <v>59</v>
      </c>
      <c r="AF8486" s="1">
        <v>35674</v>
      </c>
      <c r="AG8486" t="s">
        <v>8645</v>
      </c>
      <c r="AH8486" t="s">
        <v>8646</v>
      </c>
      <c r="AI8486" t="str">
        <f>"9410065"</f>
        <v>9410065</v>
      </c>
      <c r="AJ8486" t="s">
        <v>12717</v>
      </c>
      <c r="AK8486">
        <v>2831022519</v>
      </c>
      <c r="AL8486" t="s">
        <v>12718</v>
      </c>
      <c r="AM8486" t="s">
        <v>64</v>
      </c>
      <c r="AN8486" t="s">
        <v>65</v>
      </c>
      <c r="AO8486" t="s">
        <v>65</v>
      </c>
      <c r="AP8486" t="s">
        <v>65</v>
      </c>
      <c r="AQ8486">
        <v>1</v>
      </c>
      <c r="AR8486" t="s">
        <v>66</v>
      </c>
      <c r="AS8486" t="s">
        <v>67</v>
      </c>
      <c r="AT8486" t="s">
        <v>58</v>
      </c>
      <c r="AU8486" t="s">
        <v>68</v>
      </c>
      <c r="AV8486" t="s">
        <v>69</v>
      </c>
      <c r="AW8486" s="1">
        <v>24412</v>
      </c>
      <c r="AX8486">
        <v>1</v>
      </c>
    </row>
    <row r="8487" spans="1:50">
      <c r="A8487">
        <v>605978</v>
      </c>
      <c r="B8487" t="str">
        <f>"037810575"</f>
        <v>037810575</v>
      </c>
      <c r="C8487" t="s">
        <v>105</v>
      </c>
      <c r="D8487" t="s">
        <v>13080</v>
      </c>
      <c r="E8487" t="s">
        <v>84</v>
      </c>
      <c r="F8487" t="s">
        <v>72</v>
      </c>
      <c r="G8487" t="s">
        <v>783</v>
      </c>
      <c r="H8487" t="str">
        <f>" "</f>
        <v xml:space="preserve"> </v>
      </c>
      <c r="J8487">
        <v>2891024074</v>
      </c>
      <c r="K8487">
        <v>6976041666</v>
      </c>
      <c r="N8487" t="s">
        <v>1525</v>
      </c>
      <c r="O8487" t="s">
        <v>1526</v>
      </c>
      <c r="R8487" t="s">
        <v>57</v>
      </c>
      <c r="S8487">
        <v>12</v>
      </c>
      <c r="T8487">
        <v>231</v>
      </c>
      <c r="U8487" s="1">
        <v>38230</v>
      </c>
      <c r="V8487" t="s">
        <v>66</v>
      </c>
      <c r="W8487" t="s">
        <v>67</v>
      </c>
      <c r="X8487" t="s">
        <v>58</v>
      </c>
      <c r="Y8487">
        <v>25</v>
      </c>
      <c r="Z8487" t="s">
        <v>59</v>
      </c>
      <c r="AA8487" t="s">
        <v>59</v>
      </c>
      <c r="AB8487" t="s">
        <v>59</v>
      </c>
      <c r="AC8487" t="s">
        <v>59</v>
      </c>
      <c r="AD8487" t="s">
        <v>59</v>
      </c>
      <c r="AF8487" s="1">
        <v>38239</v>
      </c>
      <c r="AG8487" t="s">
        <v>8651</v>
      </c>
      <c r="AH8487" t="s">
        <v>8652</v>
      </c>
      <c r="AI8487" t="str">
        <f>"9410246"</f>
        <v>9410246</v>
      </c>
      <c r="AJ8487" t="s">
        <v>13081</v>
      </c>
      <c r="AK8487">
        <v>2831031774</v>
      </c>
      <c r="AL8487" t="s">
        <v>13082</v>
      </c>
      <c r="AM8487" t="s">
        <v>64</v>
      </c>
      <c r="AN8487" t="s">
        <v>65</v>
      </c>
      <c r="AO8487" t="s">
        <v>5720</v>
      </c>
      <c r="AP8487" t="s">
        <v>12698</v>
      </c>
      <c r="AQ8487">
        <v>2</v>
      </c>
      <c r="AR8487" t="s">
        <v>66</v>
      </c>
      <c r="AS8487" t="s">
        <v>67</v>
      </c>
      <c r="AT8487" t="s">
        <v>58</v>
      </c>
      <c r="AU8487" t="s">
        <v>68</v>
      </c>
      <c r="AV8487" t="s">
        <v>69</v>
      </c>
      <c r="AW8487" s="1">
        <v>24411</v>
      </c>
      <c r="AX8487">
        <v>1</v>
      </c>
    </row>
    <row r="8488" spans="1:50">
      <c r="A8488">
        <v>602952</v>
      </c>
      <c r="B8488" t="str">
        <f>"065555796"</f>
        <v>065555796</v>
      </c>
      <c r="C8488" t="s">
        <v>50</v>
      </c>
      <c r="D8488" t="s">
        <v>1609</v>
      </c>
      <c r="E8488" t="s">
        <v>13083</v>
      </c>
      <c r="F8488" t="s">
        <v>92</v>
      </c>
      <c r="G8488" t="s">
        <v>4992</v>
      </c>
      <c r="H8488" t="str">
        <f>" "</f>
        <v xml:space="preserve"> </v>
      </c>
      <c r="J8488">
        <v>2831054151</v>
      </c>
      <c r="K8488">
        <v>6978009741</v>
      </c>
      <c r="N8488" t="s">
        <v>1525</v>
      </c>
      <c r="O8488" t="s">
        <v>1526</v>
      </c>
      <c r="R8488" t="s">
        <v>57</v>
      </c>
      <c r="S8488">
        <v>10</v>
      </c>
      <c r="T8488">
        <v>207</v>
      </c>
      <c r="U8488" s="1">
        <v>37866</v>
      </c>
      <c r="V8488" t="s">
        <v>66</v>
      </c>
      <c r="W8488" t="s">
        <v>67</v>
      </c>
      <c r="X8488" t="s">
        <v>58</v>
      </c>
      <c r="Y8488">
        <v>25</v>
      </c>
      <c r="Z8488" t="s">
        <v>59</v>
      </c>
      <c r="AA8488" t="s">
        <v>59</v>
      </c>
      <c r="AB8488" t="s">
        <v>59</v>
      </c>
      <c r="AC8488" t="s">
        <v>59</v>
      </c>
      <c r="AD8488" t="s">
        <v>59</v>
      </c>
      <c r="AF8488" s="1">
        <v>37866</v>
      </c>
      <c r="AG8488" t="s">
        <v>8651</v>
      </c>
      <c r="AH8488" t="s">
        <v>8652</v>
      </c>
      <c r="AI8488" t="str">
        <f>"9410068"</f>
        <v>9410068</v>
      </c>
      <c r="AJ8488" t="s">
        <v>13084</v>
      </c>
      <c r="AK8488">
        <v>2831029132</v>
      </c>
      <c r="AL8488" t="s">
        <v>13085</v>
      </c>
      <c r="AM8488" t="s">
        <v>64</v>
      </c>
      <c r="AN8488" t="s">
        <v>65</v>
      </c>
      <c r="AO8488" t="s">
        <v>65</v>
      </c>
      <c r="AP8488" t="s">
        <v>65</v>
      </c>
      <c r="AQ8488">
        <v>1</v>
      </c>
      <c r="AR8488" t="s">
        <v>66</v>
      </c>
      <c r="AS8488" t="s">
        <v>67</v>
      </c>
      <c r="AT8488" t="s">
        <v>58</v>
      </c>
      <c r="AU8488" t="s">
        <v>68</v>
      </c>
      <c r="AV8488" t="s">
        <v>69</v>
      </c>
      <c r="AW8488" s="1">
        <v>24854</v>
      </c>
      <c r="AX8488">
        <v>1</v>
      </c>
    </row>
    <row r="8489" spans="1:50">
      <c r="B8489" t="str">
        <f>"142657193"</f>
        <v>142657193</v>
      </c>
      <c r="C8489" t="s">
        <v>50</v>
      </c>
      <c r="D8489" t="s">
        <v>9800</v>
      </c>
      <c r="E8489" t="s">
        <v>52</v>
      </c>
      <c r="F8489" t="s">
        <v>510</v>
      </c>
      <c r="G8489" t="s">
        <v>13086</v>
      </c>
      <c r="H8489" t="str">
        <f>"Αναστ. Γαλδέμη 12 Σέρρες"</f>
        <v>Αναστ. Γαλδέμη 12 Σέρρες</v>
      </c>
      <c r="I8489">
        <v>62100</v>
      </c>
      <c r="J8489">
        <v>2321036779</v>
      </c>
      <c r="K8489">
        <v>6947636064</v>
      </c>
      <c r="M8489" t="s">
        <v>13087</v>
      </c>
      <c r="N8489" t="s">
        <v>615</v>
      </c>
      <c r="O8489" t="s">
        <v>616</v>
      </c>
      <c r="R8489" t="s">
        <v>121</v>
      </c>
      <c r="S8489">
        <v>1</v>
      </c>
      <c r="T8489" t="s">
        <v>8675</v>
      </c>
      <c r="U8489" s="1">
        <v>43348</v>
      </c>
      <c r="V8489" t="s">
        <v>66</v>
      </c>
      <c r="W8489" t="s">
        <v>67</v>
      </c>
      <c r="X8489" t="s">
        <v>58</v>
      </c>
      <c r="Y8489">
        <v>24</v>
      </c>
      <c r="Z8489" t="s">
        <v>59</v>
      </c>
      <c r="AA8489" t="s">
        <v>59</v>
      </c>
      <c r="AB8489" t="s">
        <v>59</v>
      </c>
      <c r="AD8489" t="s">
        <v>59</v>
      </c>
      <c r="AF8489" s="1">
        <v>43348</v>
      </c>
      <c r="AG8489" t="s">
        <v>8645</v>
      </c>
      <c r="AH8489" t="s">
        <v>8646</v>
      </c>
      <c r="AI8489" t="str">
        <f>"9410038"</f>
        <v>9410038</v>
      </c>
      <c r="AJ8489" t="s">
        <v>12669</v>
      </c>
      <c r="AK8489">
        <v>2834061471</v>
      </c>
      <c r="AL8489" t="s">
        <v>12670</v>
      </c>
      <c r="AM8489" t="s">
        <v>64</v>
      </c>
      <c r="AN8489" t="s">
        <v>5672</v>
      </c>
      <c r="AO8489" t="s">
        <v>5698</v>
      </c>
      <c r="AP8489" t="s">
        <v>5699</v>
      </c>
      <c r="AQ8489">
        <v>9</v>
      </c>
      <c r="AR8489" t="s">
        <v>66</v>
      </c>
      <c r="AS8489" t="s">
        <v>67</v>
      </c>
      <c r="AT8489" t="s">
        <v>58</v>
      </c>
      <c r="AU8489" t="s">
        <v>8673</v>
      </c>
      <c r="AV8489" t="s">
        <v>132</v>
      </c>
      <c r="AW8489" s="1">
        <v>32756</v>
      </c>
      <c r="AX8489">
        <v>1</v>
      </c>
    </row>
    <row r="8490" spans="1:50">
      <c r="B8490" t="str">
        <f>"139198890"</f>
        <v>139198890</v>
      </c>
      <c r="C8490" t="s">
        <v>50</v>
      </c>
      <c r="D8490" t="s">
        <v>7282</v>
      </c>
      <c r="E8490" t="s">
        <v>563</v>
      </c>
      <c r="F8490" t="s">
        <v>95</v>
      </c>
      <c r="H8490" t="str">
        <f>" "</f>
        <v xml:space="preserve"> </v>
      </c>
      <c r="N8490" t="s">
        <v>1525</v>
      </c>
      <c r="O8490" t="s">
        <v>1526</v>
      </c>
      <c r="R8490" t="s">
        <v>121</v>
      </c>
      <c r="S8490">
        <v>1</v>
      </c>
      <c r="T8490" t="s">
        <v>8670</v>
      </c>
      <c r="U8490" s="1">
        <v>43348</v>
      </c>
      <c r="V8490" t="s">
        <v>66</v>
      </c>
      <c r="W8490" t="s">
        <v>67</v>
      </c>
      <c r="X8490" t="s">
        <v>58</v>
      </c>
      <c r="Y8490">
        <v>25</v>
      </c>
      <c r="Z8490" t="s">
        <v>59</v>
      </c>
      <c r="AA8490" t="s">
        <v>59</v>
      </c>
      <c r="AB8490" t="s">
        <v>59</v>
      </c>
      <c r="AC8490" t="s">
        <v>59</v>
      </c>
      <c r="AD8490" t="s">
        <v>59</v>
      </c>
      <c r="AF8490" s="1">
        <v>43348</v>
      </c>
      <c r="AG8490" t="s">
        <v>8651</v>
      </c>
      <c r="AH8490" t="s">
        <v>8652</v>
      </c>
      <c r="AI8490" t="str">
        <f>"9410050"</f>
        <v>9410050</v>
      </c>
      <c r="AJ8490" t="s">
        <v>12924</v>
      </c>
      <c r="AK8490">
        <v>2834022518</v>
      </c>
      <c r="AL8490" t="s">
        <v>12925</v>
      </c>
      <c r="AM8490" t="s">
        <v>64</v>
      </c>
      <c r="AN8490" t="s">
        <v>5672</v>
      </c>
      <c r="AO8490" t="s">
        <v>5673</v>
      </c>
      <c r="AP8490" t="s">
        <v>5689</v>
      </c>
      <c r="AQ8490">
        <v>7</v>
      </c>
      <c r="AR8490" t="s">
        <v>66</v>
      </c>
      <c r="AS8490" t="s">
        <v>67</v>
      </c>
      <c r="AT8490" t="s">
        <v>58</v>
      </c>
      <c r="AU8490" t="s">
        <v>8673</v>
      </c>
      <c r="AV8490" t="s">
        <v>132</v>
      </c>
      <c r="AW8490" s="1">
        <v>29673</v>
      </c>
      <c r="AX8490">
        <v>1</v>
      </c>
    </row>
    <row r="8491" spans="1:50">
      <c r="A8491">
        <v>605802</v>
      </c>
      <c r="B8491" t="str">
        <f>"055768536"</f>
        <v>055768536</v>
      </c>
      <c r="C8491" t="s">
        <v>50</v>
      </c>
      <c r="D8491" t="s">
        <v>9815</v>
      </c>
      <c r="E8491" t="s">
        <v>238</v>
      </c>
      <c r="F8491" t="s">
        <v>166</v>
      </c>
      <c r="G8491" t="s">
        <v>13088</v>
      </c>
      <c r="H8491" t="str">
        <f>" "</f>
        <v xml:space="preserve"> </v>
      </c>
      <c r="J8491">
        <v>2810233047</v>
      </c>
      <c r="K8491">
        <v>6978777668</v>
      </c>
      <c r="N8491" t="s">
        <v>615</v>
      </c>
      <c r="O8491" t="s">
        <v>616</v>
      </c>
      <c r="R8491" t="s">
        <v>57</v>
      </c>
      <c r="S8491">
        <v>7</v>
      </c>
      <c r="T8491">
        <v>231</v>
      </c>
      <c r="U8491" s="1">
        <v>38230</v>
      </c>
      <c r="V8491" t="s">
        <v>66</v>
      </c>
      <c r="W8491" t="s">
        <v>67</v>
      </c>
      <c r="X8491" t="s">
        <v>58</v>
      </c>
      <c r="Y8491">
        <v>22</v>
      </c>
      <c r="Z8491" t="s">
        <v>59</v>
      </c>
      <c r="AA8491" t="s">
        <v>59</v>
      </c>
      <c r="AB8491" t="s">
        <v>59</v>
      </c>
      <c r="AC8491" t="s">
        <v>59</v>
      </c>
      <c r="AD8491" t="s">
        <v>59</v>
      </c>
      <c r="AF8491" s="1">
        <v>38231</v>
      </c>
      <c r="AG8491" t="s">
        <v>8645</v>
      </c>
      <c r="AH8491" t="s">
        <v>8646</v>
      </c>
      <c r="AI8491" t="str">
        <f>"9410048"</f>
        <v>9410048</v>
      </c>
      <c r="AJ8491" t="s">
        <v>12656</v>
      </c>
      <c r="AK8491">
        <v>2834020221</v>
      </c>
      <c r="AL8491" t="s">
        <v>12657</v>
      </c>
      <c r="AM8491" t="s">
        <v>64</v>
      </c>
      <c r="AN8491" t="s">
        <v>5672</v>
      </c>
      <c r="AO8491" t="s">
        <v>5673</v>
      </c>
      <c r="AP8491" t="s">
        <v>5674</v>
      </c>
      <c r="AQ8491">
        <v>10</v>
      </c>
      <c r="AR8491" t="s">
        <v>66</v>
      </c>
      <c r="AS8491" t="s">
        <v>67</v>
      </c>
      <c r="AT8491" t="s">
        <v>58</v>
      </c>
      <c r="AU8491" t="s">
        <v>68</v>
      </c>
      <c r="AV8491" t="s">
        <v>69</v>
      </c>
      <c r="AW8491" s="1">
        <v>29024</v>
      </c>
      <c r="AX8491">
        <v>1</v>
      </c>
    </row>
    <row r="8492" spans="1:50">
      <c r="B8492" t="str">
        <f>"143253737"</f>
        <v>143253737</v>
      </c>
      <c r="C8492" t="s">
        <v>50</v>
      </c>
      <c r="D8492" t="s">
        <v>8200</v>
      </c>
      <c r="E8492" t="s">
        <v>109</v>
      </c>
      <c r="F8492" t="s">
        <v>153</v>
      </c>
      <c r="G8492" t="s">
        <v>52</v>
      </c>
      <c r="H8492" t="str">
        <f>"ΑΝΑΓΕΝΝΗΣΕΩΣ  38 ΘΕΣΣΑΛΟΝΙΚΗ"</f>
        <v>ΑΝΑΓΕΝΝΗΣΕΩΣ  38 ΘΕΣΣΑΛΟΝΙΚΗ</v>
      </c>
      <c r="I8492">
        <v>54627</v>
      </c>
      <c r="K8492">
        <v>6944861507</v>
      </c>
      <c r="M8492" t="s">
        <v>13089</v>
      </c>
      <c r="N8492" t="s">
        <v>683</v>
      </c>
      <c r="O8492" t="s">
        <v>684</v>
      </c>
      <c r="R8492" t="s">
        <v>121</v>
      </c>
      <c r="S8492">
        <v>1</v>
      </c>
      <c r="T8492" t="s">
        <v>8675</v>
      </c>
      <c r="U8492" s="1">
        <v>43348</v>
      </c>
      <c r="V8492" t="s">
        <v>66</v>
      </c>
      <c r="W8492" t="s">
        <v>67</v>
      </c>
      <c r="X8492" t="s">
        <v>58</v>
      </c>
      <c r="Y8492">
        <v>24</v>
      </c>
      <c r="Z8492" t="s">
        <v>59</v>
      </c>
      <c r="AA8492" t="s">
        <v>59</v>
      </c>
      <c r="AB8492" t="s">
        <v>59</v>
      </c>
      <c r="AD8492" t="s">
        <v>59</v>
      </c>
      <c r="AF8492" s="1">
        <v>43348</v>
      </c>
      <c r="AG8492" t="s">
        <v>8645</v>
      </c>
      <c r="AH8492" t="s">
        <v>8646</v>
      </c>
      <c r="AI8492" t="str">
        <f>"9410212"</f>
        <v>9410212</v>
      </c>
      <c r="AJ8492" t="s">
        <v>12747</v>
      </c>
      <c r="AK8492">
        <v>2831022132</v>
      </c>
      <c r="AL8492" t="s">
        <v>12748</v>
      </c>
      <c r="AM8492" t="s">
        <v>64</v>
      </c>
      <c r="AN8492" t="s">
        <v>65</v>
      </c>
      <c r="AO8492" t="s">
        <v>65</v>
      </c>
      <c r="AP8492" t="s">
        <v>65</v>
      </c>
      <c r="AQ8492">
        <v>1</v>
      </c>
      <c r="AR8492" t="s">
        <v>66</v>
      </c>
      <c r="AS8492" t="s">
        <v>67</v>
      </c>
      <c r="AT8492" t="s">
        <v>58</v>
      </c>
      <c r="AU8492" t="s">
        <v>8673</v>
      </c>
      <c r="AV8492" t="s">
        <v>132</v>
      </c>
      <c r="AW8492" s="1">
        <v>29639</v>
      </c>
      <c r="AX8492">
        <v>1</v>
      </c>
    </row>
    <row r="8493" spans="1:50">
      <c r="A8493">
        <v>575646</v>
      </c>
      <c r="B8493" t="str">
        <f>"033084766"</f>
        <v>033084766</v>
      </c>
      <c r="C8493" t="s">
        <v>50</v>
      </c>
      <c r="D8493" t="s">
        <v>9819</v>
      </c>
      <c r="E8493" t="s">
        <v>13090</v>
      </c>
      <c r="F8493" t="s">
        <v>166</v>
      </c>
      <c r="G8493" t="s">
        <v>314</v>
      </c>
      <c r="H8493" t="str">
        <f>" "</f>
        <v xml:space="preserve"> </v>
      </c>
      <c r="N8493" t="s">
        <v>615</v>
      </c>
      <c r="O8493" t="s">
        <v>616</v>
      </c>
      <c r="R8493" t="s">
        <v>57</v>
      </c>
      <c r="S8493">
        <v>13</v>
      </c>
      <c r="T8493">
        <v>184</v>
      </c>
      <c r="U8493" s="1">
        <v>34941</v>
      </c>
      <c r="V8493" t="s">
        <v>66</v>
      </c>
      <c r="W8493" t="s">
        <v>67</v>
      </c>
      <c r="X8493" t="s">
        <v>58</v>
      </c>
      <c r="Y8493">
        <v>21</v>
      </c>
      <c r="Z8493" t="s">
        <v>59</v>
      </c>
      <c r="AA8493" t="s">
        <v>59</v>
      </c>
      <c r="AB8493" t="s">
        <v>59</v>
      </c>
      <c r="AC8493" t="s">
        <v>59</v>
      </c>
      <c r="AD8493" t="s">
        <v>59</v>
      </c>
      <c r="AF8493" s="1">
        <v>34943</v>
      </c>
      <c r="AG8493" t="s">
        <v>8645</v>
      </c>
      <c r="AH8493" t="s">
        <v>8646</v>
      </c>
      <c r="AI8493" t="str">
        <f>"9410155"</f>
        <v>9410155</v>
      </c>
      <c r="AJ8493" t="s">
        <v>12663</v>
      </c>
      <c r="AK8493">
        <v>2831028697</v>
      </c>
      <c r="AL8493" t="s">
        <v>12664</v>
      </c>
      <c r="AM8493" t="s">
        <v>64</v>
      </c>
      <c r="AN8493" t="s">
        <v>65</v>
      </c>
      <c r="AO8493" t="s">
        <v>65</v>
      </c>
      <c r="AP8493" t="s">
        <v>65</v>
      </c>
      <c r="AQ8493">
        <v>1</v>
      </c>
      <c r="AR8493" t="s">
        <v>66</v>
      </c>
      <c r="AS8493" t="s">
        <v>67</v>
      </c>
      <c r="AT8493" t="s">
        <v>58</v>
      </c>
      <c r="AU8493" t="s">
        <v>68</v>
      </c>
      <c r="AV8493" t="s">
        <v>69</v>
      </c>
      <c r="AW8493" s="1">
        <v>24542</v>
      </c>
      <c r="AX8493">
        <v>1</v>
      </c>
    </row>
    <row r="8494" spans="1:50">
      <c r="A8494">
        <v>585363</v>
      </c>
      <c r="B8494" t="str">
        <f>"065499966"</f>
        <v>065499966</v>
      </c>
      <c r="C8494" t="s">
        <v>50</v>
      </c>
      <c r="D8494" t="s">
        <v>9819</v>
      </c>
      <c r="E8494" t="s">
        <v>215</v>
      </c>
      <c r="F8494" t="s">
        <v>166</v>
      </c>
      <c r="G8494" t="s">
        <v>314</v>
      </c>
      <c r="H8494" t="str">
        <f>" "</f>
        <v xml:space="preserve"> </v>
      </c>
      <c r="N8494" t="s">
        <v>615</v>
      </c>
      <c r="O8494" t="s">
        <v>616</v>
      </c>
      <c r="R8494" t="s">
        <v>57</v>
      </c>
      <c r="S8494">
        <v>12</v>
      </c>
      <c r="T8494">
        <v>165</v>
      </c>
      <c r="U8494" s="1">
        <v>36040</v>
      </c>
      <c r="V8494" t="s">
        <v>66</v>
      </c>
      <c r="W8494" t="s">
        <v>67</v>
      </c>
      <c r="X8494" t="s">
        <v>58</v>
      </c>
      <c r="Y8494">
        <v>21</v>
      </c>
      <c r="Z8494" t="s">
        <v>59</v>
      </c>
      <c r="AA8494" t="s">
        <v>59</v>
      </c>
      <c r="AB8494" t="s">
        <v>59</v>
      </c>
      <c r="AC8494" t="s">
        <v>59</v>
      </c>
      <c r="AD8494" t="s">
        <v>59</v>
      </c>
      <c r="AF8494" s="1">
        <v>36040</v>
      </c>
      <c r="AG8494" t="s">
        <v>8645</v>
      </c>
      <c r="AH8494" t="s">
        <v>8646</v>
      </c>
      <c r="AI8494" t="str">
        <f>"9410155"</f>
        <v>9410155</v>
      </c>
      <c r="AJ8494" t="s">
        <v>12663</v>
      </c>
      <c r="AK8494">
        <v>2831028697</v>
      </c>
      <c r="AL8494" t="s">
        <v>12664</v>
      </c>
      <c r="AM8494" t="s">
        <v>64</v>
      </c>
      <c r="AN8494" t="s">
        <v>65</v>
      </c>
      <c r="AO8494" t="s">
        <v>65</v>
      </c>
      <c r="AP8494" t="s">
        <v>65</v>
      </c>
      <c r="AQ8494">
        <v>1</v>
      </c>
      <c r="AR8494" t="s">
        <v>66</v>
      </c>
      <c r="AS8494" t="s">
        <v>67</v>
      </c>
      <c r="AT8494" t="s">
        <v>58</v>
      </c>
      <c r="AU8494" t="s">
        <v>68</v>
      </c>
      <c r="AV8494" t="s">
        <v>2039</v>
      </c>
      <c r="AW8494" s="1">
        <v>21962</v>
      </c>
      <c r="AX8494">
        <v>1</v>
      </c>
    </row>
    <row r="8495" spans="1:50">
      <c r="A8495">
        <v>614176</v>
      </c>
      <c r="B8495" t="str">
        <f>"103386029"</f>
        <v>103386029</v>
      </c>
      <c r="C8495" t="s">
        <v>50</v>
      </c>
      <c r="D8495" t="s">
        <v>13091</v>
      </c>
      <c r="E8495" t="s">
        <v>658</v>
      </c>
      <c r="F8495" t="s">
        <v>84</v>
      </c>
      <c r="G8495" t="s">
        <v>181</v>
      </c>
      <c r="H8495" t="str">
        <f>"ΓΑΜΒΕΤΤΑ 139 ΘΕΣΣΑΛΟΝΙΚΗ"</f>
        <v>ΓΑΜΒΕΤΤΑ 139 ΘΕΣΣΑΛΟΝΙΚΗ</v>
      </c>
      <c r="I8495">
        <v>54248</v>
      </c>
      <c r="J8495">
        <v>2310831262</v>
      </c>
      <c r="K8495">
        <v>6972420948</v>
      </c>
      <c r="N8495" t="s">
        <v>615</v>
      </c>
      <c r="O8495" t="s">
        <v>616</v>
      </c>
      <c r="R8495" t="s">
        <v>57</v>
      </c>
      <c r="S8495">
        <v>8</v>
      </c>
      <c r="T8495">
        <v>598</v>
      </c>
      <c r="U8495" s="1">
        <v>39310</v>
      </c>
      <c r="V8495" t="s">
        <v>66</v>
      </c>
      <c r="W8495" t="s">
        <v>67</v>
      </c>
      <c r="X8495" t="s">
        <v>58</v>
      </c>
      <c r="Y8495">
        <v>23</v>
      </c>
      <c r="Z8495" t="s">
        <v>59</v>
      </c>
      <c r="AA8495" t="s">
        <v>59</v>
      </c>
      <c r="AB8495" t="s">
        <v>59</v>
      </c>
      <c r="AC8495" t="s">
        <v>59</v>
      </c>
      <c r="AD8495" t="s">
        <v>59</v>
      </c>
      <c r="AF8495" s="1">
        <v>39328</v>
      </c>
      <c r="AG8495" t="s">
        <v>8645</v>
      </c>
      <c r="AH8495" t="s">
        <v>8646</v>
      </c>
      <c r="AI8495" t="str">
        <f>"9410159"</f>
        <v>9410159</v>
      </c>
      <c r="AJ8495" t="s">
        <v>12980</v>
      </c>
      <c r="AK8495">
        <v>2831081279</v>
      </c>
      <c r="AL8495" t="s">
        <v>12981</v>
      </c>
      <c r="AM8495" t="s">
        <v>64</v>
      </c>
      <c r="AN8495" t="s">
        <v>65</v>
      </c>
      <c r="AO8495" t="s">
        <v>5657</v>
      </c>
      <c r="AP8495" t="s">
        <v>12982</v>
      </c>
      <c r="AQ8495">
        <v>4</v>
      </c>
      <c r="AR8495" t="s">
        <v>66</v>
      </c>
      <c r="AS8495" t="s">
        <v>67</v>
      </c>
      <c r="AT8495" t="s">
        <v>58</v>
      </c>
      <c r="AU8495" t="s">
        <v>68</v>
      </c>
      <c r="AV8495" t="s">
        <v>69</v>
      </c>
      <c r="AW8495" s="1">
        <v>27603</v>
      </c>
      <c r="AX8495">
        <v>1</v>
      </c>
    </row>
    <row r="8496" spans="1:50">
      <c r="B8496" t="str">
        <f>"131488535"</f>
        <v>131488535</v>
      </c>
      <c r="C8496" t="s">
        <v>50</v>
      </c>
      <c r="D8496" t="s">
        <v>1623</v>
      </c>
      <c r="E8496" t="s">
        <v>52</v>
      </c>
      <c r="F8496" t="s">
        <v>72</v>
      </c>
      <c r="G8496" t="s">
        <v>85</v>
      </c>
      <c r="H8496" t="str">
        <f>"ΚΟΥΜΟΥΝΔΟΥΡΟΥ 3 "</f>
        <v xml:space="preserve">ΚΟΥΜΟΥΝΔΟΥΡΟΥ 3 </v>
      </c>
      <c r="I8496">
        <v>74100</v>
      </c>
      <c r="J8496">
        <v>2831024150</v>
      </c>
      <c r="K8496">
        <v>6978861589</v>
      </c>
      <c r="N8496" t="s">
        <v>615</v>
      </c>
      <c r="O8496" t="s">
        <v>616</v>
      </c>
      <c r="R8496" t="s">
        <v>159</v>
      </c>
      <c r="S8496">
        <v>5</v>
      </c>
      <c r="T8496" t="s">
        <v>8675</v>
      </c>
      <c r="U8496" s="1">
        <v>43348</v>
      </c>
      <c r="V8496" t="s">
        <v>66</v>
      </c>
      <c r="W8496" t="s">
        <v>67</v>
      </c>
      <c r="X8496" t="s">
        <v>58</v>
      </c>
      <c r="Y8496">
        <v>25</v>
      </c>
      <c r="Z8496" t="s">
        <v>59</v>
      </c>
      <c r="AA8496" t="s">
        <v>59</v>
      </c>
      <c r="AB8496" t="s">
        <v>59</v>
      </c>
      <c r="AC8496" t="s">
        <v>59</v>
      </c>
      <c r="AD8496" t="s">
        <v>59</v>
      </c>
      <c r="AF8496" s="1">
        <v>43348</v>
      </c>
      <c r="AG8496" t="s">
        <v>8645</v>
      </c>
      <c r="AH8496" t="s">
        <v>8676</v>
      </c>
      <c r="AI8496" t="str">
        <f>"9410013"</f>
        <v>9410013</v>
      </c>
      <c r="AJ8496" t="s">
        <v>13092</v>
      </c>
      <c r="AK8496">
        <v>2834022663</v>
      </c>
      <c r="AL8496" t="s">
        <v>13093</v>
      </c>
      <c r="AM8496" t="s">
        <v>64</v>
      </c>
      <c r="AN8496" t="s">
        <v>5672</v>
      </c>
      <c r="AO8496" t="s">
        <v>5673</v>
      </c>
      <c r="AP8496" t="s">
        <v>12918</v>
      </c>
      <c r="AQ8496">
        <v>8</v>
      </c>
      <c r="AR8496" t="s">
        <v>66</v>
      </c>
      <c r="AS8496" t="s">
        <v>67</v>
      </c>
      <c r="AT8496" t="s">
        <v>58</v>
      </c>
      <c r="AU8496" t="s">
        <v>8673</v>
      </c>
      <c r="AV8496" t="s">
        <v>132</v>
      </c>
      <c r="AW8496" s="1">
        <v>32168</v>
      </c>
      <c r="AX8496">
        <v>1</v>
      </c>
    </row>
    <row r="8497" spans="1:50">
      <c r="A8497">
        <v>562544</v>
      </c>
      <c r="B8497" t="str">
        <f>"031812698"</f>
        <v>031812698</v>
      </c>
      <c r="C8497" t="s">
        <v>50</v>
      </c>
      <c r="D8497" t="s">
        <v>1625</v>
      </c>
      <c r="E8497" t="s">
        <v>964</v>
      </c>
      <c r="F8497" t="s">
        <v>166</v>
      </c>
      <c r="G8497" t="s">
        <v>237</v>
      </c>
      <c r="H8497" t="str">
        <f>"ΑΚΑΔΗΜΙΑΣ ΒΙ-ΒΙ- ΑΓΙΑ ΠΕΛΑΓΙΑ-ΡΕΘΥΜΝΟ"</f>
        <v>ΑΚΑΔΗΜΙΑΣ ΒΙ-ΒΙ- ΑΓΙΑ ΠΕΛΑΓΙΑ-ΡΕΘΥΜΝΟ</v>
      </c>
      <c r="I8497">
        <v>74100</v>
      </c>
      <c r="J8497">
        <v>2831054605</v>
      </c>
      <c r="K8497">
        <v>6977013115</v>
      </c>
      <c r="N8497" t="s">
        <v>615</v>
      </c>
      <c r="O8497" t="s">
        <v>616</v>
      </c>
      <c r="R8497" t="s">
        <v>57</v>
      </c>
      <c r="S8497">
        <v>15</v>
      </c>
      <c r="T8497">
        <v>187</v>
      </c>
      <c r="U8497" s="1">
        <v>32750</v>
      </c>
      <c r="V8497" t="s">
        <v>66</v>
      </c>
      <c r="W8497" t="s">
        <v>67</v>
      </c>
      <c r="X8497" t="s">
        <v>58</v>
      </c>
      <c r="Y8497">
        <v>21</v>
      </c>
      <c r="Z8497" t="s">
        <v>59</v>
      </c>
      <c r="AA8497" t="s">
        <v>59</v>
      </c>
      <c r="AB8497" t="s">
        <v>59</v>
      </c>
      <c r="AC8497" t="s">
        <v>59</v>
      </c>
      <c r="AD8497" t="s">
        <v>59</v>
      </c>
      <c r="AF8497" s="1">
        <v>32755</v>
      </c>
      <c r="AG8497" t="s">
        <v>8645</v>
      </c>
      <c r="AH8497" t="s">
        <v>8646</v>
      </c>
      <c r="AI8497" t="str">
        <f>"9410069"</f>
        <v>9410069</v>
      </c>
      <c r="AJ8497" t="s">
        <v>12674</v>
      </c>
      <c r="AK8497">
        <v>2831029296</v>
      </c>
      <c r="AL8497" t="s">
        <v>12675</v>
      </c>
      <c r="AM8497" t="s">
        <v>64</v>
      </c>
      <c r="AN8497" t="s">
        <v>65</v>
      </c>
      <c r="AO8497" t="s">
        <v>65</v>
      </c>
      <c r="AP8497" t="s">
        <v>65</v>
      </c>
      <c r="AQ8497">
        <v>1</v>
      </c>
      <c r="AR8497" t="s">
        <v>66</v>
      </c>
      <c r="AS8497" t="s">
        <v>67</v>
      </c>
      <c r="AT8497" t="s">
        <v>58</v>
      </c>
      <c r="AU8497" t="s">
        <v>68</v>
      </c>
      <c r="AV8497" t="s">
        <v>69</v>
      </c>
      <c r="AW8497" s="1">
        <v>23516</v>
      </c>
      <c r="AX8497">
        <v>1</v>
      </c>
    </row>
    <row r="8498" spans="1:50">
      <c r="B8498" t="str">
        <f>"124488809"</f>
        <v>124488809</v>
      </c>
      <c r="C8498" t="s">
        <v>50</v>
      </c>
      <c r="D8498" t="s">
        <v>1625</v>
      </c>
      <c r="E8498" t="s">
        <v>73</v>
      </c>
      <c r="F8498" t="s">
        <v>99</v>
      </c>
      <c r="G8498" t="s">
        <v>250</v>
      </c>
      <c r="H8498" t="str">
        <f>"ΠΑΠΑΝΔΡΕΟΥ 10 "</f>
        <v xml:space="preserve">ΠΑΠΑΝΔΡΕΟΥ 10 </v>
      </c>
      <c r="I8498">
        <v>74100</v>
      </c>
      <c r="J8498">
        <v>2831026695</v>
      </c>
      <c r="K8498">
        <v>6981299460</v>
      </c>
      <c r="N8498" t="s">
        <v>1525</v>
      </c>
      <c r="O8498" t="s">
        <v>1526</v>
      </c>
      <c r="R8498" t="s">
        <v>159</v>
      </c>
      <c r="S8498">
        <v>3</v>
      </c>
      <c r="T8498" t="s">
        <v>8670</v>
      </c>
      <c r="U8498" s="1">
        <v>43348</v>
      </c>
      <c r="V8498" t="s">
        <v>66</v>
      </c>
      <c r="W8498" t="s">
        <v>67</v>
      </c>
      <c r="X8498" t="s">
        <v>58</v>
      </c>
      <c r="Y8498">
        <v>25</v>
      </c>
      <c r="Z8498" t="s">
        <v>59</v>
      </c>
      <c r="AA8498" t="s">
        <v>59</v>
      </c>
      <c r="AB8498" t="s">
        <v>59</v>
      </c>
      <c r="AC8498" t="s">
        <v>59</v>
      </c>
      <c r="AD8498" t="s">
        <v>59</v>
      </c>
      <c r="AF8498" s="1">
        <v>43348</v>
      </c>
      <c r="AG8498" t="s">
        <v>8651</v>
      </c>
      <c r="AH8498" t="s">
        <v>8652</v>
      </c>
      <c r="AI8498" t="str">
        <f>"9410050"</f>
        <v>9410050</v>
      </c>
      <c r="AJ8498" t="s">
        <v>12924</v>
      </c>
      <c r="AK8498">
        <v>2834022518</v>
      </c>
      <c r="AL8498" t="s">
        <v>12925</v>
      </c>
      <c r="AM8498" t="s">
        <v>64</v>
      </c>
      <c r="AN8498" t="s">
        <v>5672</v>
      </c>
      <c r="AO8498" t="s">
        <v>5673</v>
      </c>
      <c r="AP8498" t="s">
        <v>5689</v>
      </c>
      <c r="AQ8498">
        <v>7</v>
      </c>
      <c r="AR8498" t="s">
        <v>66</v>
      </c>
      <c r="AS8498" t="s">
        <v>67</v>
      </c>
      <c r="AT8498" t="s">
        <v>58</v>
      </c>
      <c r="AU8498" t="s">
        <v>8673</v>
      </c>
      <c r="AV8498" t="s">
        <v>132</v>
      </c>
      <c r="AW8498" s="1">
        <v>30146</v>
      </c>
      <c r="AX8498">
        <v>1</v>
      </c>
    </row>
    <row r="8499" spans="1:50">
      <c r="A8499">
        <v>589111</v>
      </c>
      <c r="B8499" t="str">
        <f>"063143315"</f>
        <v>063143315</v>
      </c>
      <c r="C8499" t="s">
        <v>50</v>
      </c>
      <c r="D8499" t="s">
        <v>1625</v>
      </c>
      <c r="E8499" t="s">
        <v>143</v>
      </c>
      <c r="F8499" t="s">
        <v>72</v>
      </c>
      <c r="G8499" t="s">
        <v>52</v>
      </c>
      <c r="H8499" t="str">
        <f>" "</f>
        <v xml:space="preserve"> </v>
      </c>
      <c r="N8499" t="s">
        <v>615</v>
      </c>
      <c r="O8499" t="s">
        <v>616</v>
      </c>
      <c r="R8499" t="s">
        <v>57</v>
      </c>
      <c r="S8499">
        <v>10</v>
      </c>
      <c r="T8499">
        <v>176</v>
      </c>
      <c r="U8499" s="1">
        <v>36403</v>
      </c>
      <c r="V8499" t="s">
        <v>66</v>
      </c>
      <c r="W8499" t="s">
        <v>67</v>
      </c>
      <c r="X8499" t="s">
        <v>58</v>
      </c>
      <c r="Y8499">
        <v>21</v>
      </c>
      <c r="Z8499" t="s">
        <v>59</v>
      </c>
      <c r="AA8499" t="s">
        <v>59</v>
      </c>
      <c r="AB8499" t="s">
        <v>59</v>
      </c>
      <c r="AC8499" t="s">
        <v>59</v>
      </c>
      <c r="AD8499" t="s">
        <v>59</v>
      </c>
      <c r="AF8499" s="1">
        <v>36404</v>
      </c>
      <c r="AG8499" t="s">
        <v>8645</v>
      </c>
      <c r="AH8499" t="s">
        <v>8646</v>
      </c>
      <c r="AI8499" t="str">
        <f>"9410072"</f>
        <v>9410072</v>
      </c>
      <c r="AJ8499" t="s">
        <v>12692</v>
      </c>
      <c r="AK8499">
        <v>2831071264</v>
      </c>
      <c r="AL8499" t="s">
        <v>12693</v>
      </c>
      <c r="AM8499" t="s">
        <v>64</v>
      </c>
      <c r="AN8499" t="s">
        <v>65</v>
      </c>
      <c r="AO8499" t="s">
        <v>12694</v>
      </c>
      <c r="AP8499" t="s">
        <v>12695</v>
      </c>
      <c r="AQ8499">
        <v>3</v>
      </c>
      <c r="AR8499" t="s">
        <v>66</v>
      </c>
      <c r="AS8499" t="s">
        <v>67</v>
      </c>
      <c r="AT8499" t="s">
        <v>58</v>
      </c>
      <c r="AU8499" t="s">
        <v>68</v>
      </c>
      <c r="AV8499" t="s">
        <v>69</v>
      </c>
      <c r="AW8499" s="1">
        <v>23443</v>
      </c>
      <c r="AX8499">
        <v>1</v>
      </c>
    </row>
    <row r="8500" spans="1:50">
      <c r="A8500">
        <v>622779</v>
      </c>
      <c r="B8500" t="str">
        <f>"109114717"</f>
        <v>109114717</v>
      </c>
      <c r="C8500" t="s">
        <v>50</v>
      </c>
      <c r="D8500" t="s">
        <v>1625</v>
      </c>
      <c r="E8500" t="s">
        <v>255</v>
      </c>
      <c r="F8500" t="s">
        <v>166</v>
      </c>
      <c r="G8500" t="s">
        <v>54</v>
      </c>
      <c r="H8500" t="str">
        <f>"ΣΗΦΗ ΒΛΑΣΤΟΥ 11 ΡΕΘΥΜΝΟ"</f>
        <v>ΣΗΦΗ ΒΛΑΣΤΟΥ 11 ΡΕΘΥΜΝΟ</v>
      </c>
      <c r="I8500">
        <v>72100</v>
      </c>
      <c r="J8500">
        <v>2831052770</v>
      </c>
      <c r="K8500">
        <v>6942270825</v>
      </c>
      <c r="M8500" t="s">
        <v>13094</v>
      </c>
      <c r="N8500" t="s">
        <v>1525</v>
      </c>
      <c r="O8500" t="s">
        <v>1526</v>
      </c>
      <c r="R8500" t="s">
        <v>57</v>
      </c>
      <c r="S8500">
        <v>3</v>
      </c>
      <c r="T8500">
        <v>653</v>
      </c>
      <c r="U8500" s="1">
        <v>40043</v>
      </c>
      <c r="V8500" t="s">
        <v>66</v>
      </c>
      <c r="W8500" t="s">
        <v>67</v>
      </c>
      <c r="X8500" t="s">
        <v>58</v>
      </c>
      <c r="Y8500">
        <v>25</v>
      </c>
      <c r="Z8500" t="s">
        <v>59</v>
      </c>
      <c r="AA8500" t="s">
        <v>59</v>
      </c>
      <c r="AB8500" t="s">
        <v>59</v>
      </c>
      <c r="AC8500" t="s">
        <v>59</v>
      </c>
      <c r="AD8500" t="s">
        <v>59</v>
      </c>
      <c r="AF8500" s="1">
        <v>40043</v>
      </c>
      <c r="AG8500" t="s">
        <v>8651</v>
      </c>
      <c r="AH8500" t="s">
        <v>8652</v>
      </c>
      <c r="AI8500" t="str">
        <f>"9520865"</f>
        <v>9520865</v>
      </c>
      <c r="AJ8500" t="s">
        <v>13058</v>
      </c>
      <c r="AK8500">
        <v>2834051109</v>
      </c>
      <c r="AL8500" t="s">
        <v>13059</v>
      </c>
      <c r="AM8500" t="s">
        <v>64</v>
      </c>
      <c r="AN8500" t="s">
        <v>5672</v>
      </c>
      <c r="AO8500" t="s">
        <v>5673</v>
      </c>
      <c r="AP8500" t="s">
        <v>12679</v>
      </c>
      <c r="AQ8500">
        <v>10</v>
      </c>
      <c r="AR8500" t="s">
        <v>66</v>
      </c>
      <c r="AS8500" t="s">
        <v>67</v>
      </c>
      <c r="AT8500" t="s">
        <v>58</v>
      </c>
      <c r="AU8500" t="s">
        <v>68</v>
      </c>
      <c r="AV8500" t="s">
        <v>69</v>
      </c>
      <c r="AW8500" s="1">
        <v>31138</v>
      </c>
      <c r="AX8500">
        <v>1</v>
      </c>
    </row>
    <row r="8501" spans="1:50">
      <c r="B8501" t="str">
        <f>"125043100"</f>
        <v>125043100</v>
      </c>
      <c r="C8501" t="s">
        <v>50</v>
      </c>
      <c r="D8501" t="s">
        <v>1625</v>
      </c>
      <c r="E8501" t="s">
        <v>191</v>
      </c>
      <c r="F8501" t="s">
        <v>99</v>
      </c>
      <c r="G8501" t="s">
        <v>109</v>
      </c>
      <c r="H8501" t="str">
        <f>" "</f>
        <v xml:space="preserve"> </v>
      </c>
      <c r="N8501" t="s">
        <v>683</v>
      </c>
      <c r="O8501" t="s">
        <v>684</v>
      </c>
      <c r="R8501" t="s">
        <v>121</v>
      </c>
      <c r="S8501">
        <v>1</v>
      </c>
      <c r="T8501" t="s">
        <v>8675</v>
      </c>
      <c r="U8501" s="1">
        <v>43348</v>
      </c>
      <c r="V8501" t="s">
        <v>66</v>
      </c>
      <c r="W8501" t="s">
        <v>67</v>
      </c>
      <c r="X8501" t="s">
        <v>58</v>
      </c>
      <c r="Y8501">
        <v>24</v>
      </c>
      <c r="Z8501" t="s">
        <v>59</v>
      </c>
      <c r="AD8501" t="s">
        <v>59</v>
      </c>
      <c r="AF8501" s="1">
        <v>43348</v>
      </c>
      <c r="AG8501" t="s">
        <v>8645</v>
      </c>
      <c r="AH8501" t="s">
        <v>8646</v>
      </c>
      <c r="AI8501" t="str">
        <f>"9410067"</f>
        <v>9410067</v>
      </c>
      <c r="AJ8501" t="s">
        <v>12736</v>
      </c>
      <c r="AK8501">
        <v>2831022836</v>
      </c>
      <c r="AL8501" t="s">
        <v>12737</v>
      </c>
      <c r="AM8501" t="s">
        <v>64</v>
      </c>
      <c r="AN8501" t="s">
        <v>65</v>
      </c>
      <c r="AO8501" t="s">
        <v>65</v>
      </c>
      <c r="AP8501" t="s">
        <v>65</v>
      </c>
      <c r="AQ8501">
        <v>1</v>
      </c>
      <c r="AR8501" t="s">
        <v>66</v>
      </c>
      <c r="AS8501" t="s">
        <v>67</v>
      </c>
      <c r="AT8501" t="s">
        <v>58</v>
      </c>
      <c r="AU8501" t="s">
        <v>8673</v>
      </c>
      <c r="AV8501" t="s">
        <v>132</v>
      </c>
      <c r="AW8501" s="1">
        <v>27789</v>
      </c>
      <c r="AX8501">
        <v>1</v>
      </c>
    </row>
    <row r="8502" spans="1:50">
      <c r="A8502">
        <v>590352</v>
      </c>
      <c r="B8502" t="str">
        <f>"042293410"</f>
        <v>042293410</v>
      </c>
      <c r="C8502" t="s">
        <v>105</v>
      </c>
      <c r="D8502" t="s">
        <v>5997</v>
      </c>
      <c r="E8502" t="s">
        <v>84</v>
      </c>
      <c r="F8502" t="s">
        <v>95</v>
      </c>
      <c r="G8502" t="s">
        <v>484</v>
      </c>
      <c r="H8502" t="str">
        <f>" "</f>
        <v xml:space="preserve"> </v>
      </c>
      <c r="N8502" t="s">
        <v>337</v>
      </c>
      <c r="O8502" t="s">
        <v>338</v>
      </c>
      <c r="R8502" t="s">
        <v>57</v>
      </c>
      <c r="S8502">
        <v>11</v>
      </c>
      <c r="T8502">
        <v>177</v>
      </c>
      <c r="U8502" s="1">
        <v>36403</v>
      </c>
      <c r="V8502" t="s">
        <v>66</v>
      </c>
      <c r="W8502" t="s">
        <v>67</v>
      </c>
      <c r="X8502" t="s">
        <v>58</v>
      </c>
      <c r="Y8502">
        <v>21</v>
      </c>
      <c r="Z8502" t="s">
        <v>59</v>
      </c>
      <c r="AA8502" t="s">
        <v>59</v>
      </c>
      <c r="AB8502" t="s">
        <v>59</v>
      </c>
      <c r="AC8502" t="s">
        <v>59</v>
      </c>
      <c r="AD8502" t="s">
        <v>59</v>
      </c>
      <c r="AF8502" s="1">
        <v>36411</v>
      </c>
      <c r="AG8502" t="s">
        <v>8645</v>
      </c>
      <c r="AH8502" t="s">
        <v>8646</v>
      </c>
      <c r="AI8502" t="str">
        <f>"9410064"</f>
        <v>9410064</v>
      </c>
      <c r="AJ8502" t="s">
        <v>12683</v>
      </c>
      <c r="AK8502">
        <v>2831028390</v>
      </c>
      <c r="AL8502" t="s">
        <v>12684</v>
      </c>
      <c r="AM8502" t="s">
        <v>64</v>
      </c>
      <c r="AN8502" t="s">
        <v>65</v>
      </c>
      <c r="AO8502" t="s">
        <v>65</v>
      </c>
      <c r="AP8502" t="s">
        <v>65</v>
      </c>
      <c r="AQ8502">
        <v>1</v>
      </c>
      <c r="AR8502" t="s">
        <v>66</v>
      </c>
      <c r="AS8502" t="s">
        <v>67</v>
      </c>
      <c r="AT8502" t="s">
        <v>58</v>
      </c>
      <c r="AU8502" t="s">
        <v>68</v>
      </c>
      <c r="AV8502" t="s">
        <v>69</v>
      </c>
      <c r="AW8502" s="1">
        <v>25492</v>
      </c>
      <c r="AX8502">
        <v>1</v>
      </c>
    </row>
    <row r="8503" spans="1:50">
      <c r="A8503">
        <v>615587</v>
      </c>
      <c r="B8503" t="str">
        <f>"109134427"</f>
        <v>109134427</v>
      </c>
      <c r="C8503" t="s">
        <v>50</v>
      </c>
      <c r="D8503" t="s">
        <v>13095</v>
      </c>
      <c r="E8503" t="s">
        <v>250</v>
      </c>
      <c r="F8503" t="s">
        <v>377</v>
      </c>
      <c r="G8503" t="s">
        <v>1074</v>
      </c>
      <c r="H8503" t="str">
        <f>"ΕΤΕΑΡΧΟΥ  24 ΡΕΘΥΜΝΟ"</f>
        <v>ΕΤΕΑΡΧΟΥ  24 ΡΕΘΥΜΝΟ</v>
      </c>
      <c r="I8503">
        <v>74100</v>
      </c>
      <c r="J8503">
        <v>2831054826</v>
      </c>
      <c r="K8503">
        <v>6944792241</v>
      </c>
      <c r="N8503" t="s">
        <v>1525</v>
      </c>
      <c r="O8503" t="s">
        <v>1526</v>
      </c>
      <c r="R8503" t="s">
        <v>57</v>
      </c>
      <c r="S8503">
        <v>6</v>
      </c>
      <c r="T8503">
        <v>598</v>
      </c>
      <c r="U8503" s="1">
        <v>39328</v>
      </c>
      <c r="V8503" t="s">
        <v>66</v>
      </c>
      <c r="W8503" t="s">
        <v>67</v>
      </c>
      <c r="X8503" t="s">
        <v>58</v>
      </c>
      <c r="Y8503">
        <v>25</v>
      </c>
      <c r="Z8503" t="s">
        <v>59</v>
      </c>
      <c r="AA8503" t="s">
        <v>59</v>
      </c>
      <c r="AB8503" t="s">
        <v>59</v>
      </c>
      <c r="AC8503" t="s">
        <v>59</v>
      </c>
      <c r="AD8503" t="s">
        <v>59</v>
      </c>
      <c r="AF8503" s="1">
        <v>39328</v>
      </c>
      <c r="AG8503" t="s">
        <v>8651</v>
      </c>
      <c r="AH8503" t="s">
        <v>8652</v>
      </c>
      <c r="AI8503" t="str">
        <f>"9410050"</f>
        <v>9410050</v>
      </c>
      <c r="AJ8503" t="s">
        <v>12924</v>
      </c>
      <c r="AK8503">
        <v>2834022518</v>
      </c>
      <c r="AL8503" t="s">
        <v>12925</v>
      </c>
      <c r="AM8503" t="s">
        <v>64</v>
      </c>
      <c r="AN8503" t="s">
        <v>5672</v>
      </c>
      <c r="AO8503" t="s">
        <v>5673</v>
      </c>
      <c r="AP8503" t="s">
        <v>5689</v>
      </c>
      <c r="AQ8503">
        <v>7</v>
      </c>
      <c r="AR8503" t="s">
        <v>66</v>
      </c>
      <c r="AS8503" t="s">
        <v>67</v>
      </c>
      <c r="AT8503" t="s">
        <v>58</v>
      </c>
      <c r="AU8503" t="s">
        <v>68</v>
      </c>
      <c r="AV8503" t="s">
        <v>69</v>
      </c>
      <c r="AW8503" s="1">
        <v>27941</v>
      </c>
      <c r="AX8503">
        <v>1</v>
      </c>
    </row>
    <row r="8504" spans="1:50">
      <c r="A8504">
        <v>571784</v>
      </c>
      <c r="B8504" t="str">
        <f>"036182937"</f>
        <v>036182937</v>
      </c>
      <c r="C8504" t="s">
        <v>105</v>
      </c>
      <c r="D8504" t="s">
        <v>13096</v>
      </c>
      <c r="E8504" t="s">
        <v>95</v>
      </c>
      <c r="F8504" t="s">
        <v>106</v>
      </c>
      <c r="G8504" t="s">
        <v>143</v>
      </c>
      <c r="H8504" t="str">
        <f>" "</f>
        <v xml:space="preserve"> </v>
      </c>
      <c r="N8504" t="s">
        <v>176</v>
      </c>
      <c r="O8504" t="s">
        <v>177</v>
      </c>
      <c r="R8504" t="s">
        <v>57</v>
      </c>
      <c r="S8504">
        <v>13</v>
      </c>
      <c r="T8504">
        <v>103</v>
      </c>
      <c r="U8504" s="1">
        <v>34144</v>
      </c>
      <c r="V8504" t="s">
        <v>66</v>
      </c>
      <c r="W8504" t="s">
        <v>67</v>
      </c>
      <c r="X8504" t="s">
        <v>58</v>
      </c>
      <c r="Y8504">
        <v>21</v>
      </c>
      <c r="Z8504" t="s">
        <v>59</v>
      </c>
      <c r="AA8504" t="s">
        <v>59</v>
      </c>
      <c r="AB8504" t="s">
        <v>59</v>
      </c>
      <c r="AC8504" t="s">
        <v>59</v>
      </c>
      <c r="AD8504" t="s">
        <v>59</v>
      </c>
      <c r="AF8504" s="1">
        <v>34213</v>
      </c>
      <c r="AG8504" t="s">
        <v>8645</v>
      </c>
      <c r="AH8504" t="s">
        <v>8646</v>
      </c>
      <c r="AI8504" t="str">
        <f>"9410067"</f>
        <v>9410067</v>
      </c>
      <c r="AJ8504" t="s">
        <v>12736</v>
      </c>
      <c r="AK8504">
        <v>2831022836</v>
      </c>
      <c r="AL8504" t="s">
        <v>12737</v>
      </c>
      <c r="AM8504" t="s">
        <v>64</v>
      </c>
      <c r="AN8504" t="s">
        <v>65</v>
      </c>
      <c r="AO8504" t="s">
        <v>65</v>
      </c>
      <c r="AP8504" t="s">
        <v>65</v>
      </c>
      <c r="AQ8504">
        <v>1</v>
      </c>
      <c r="AR8504" t="s">
        <v>66</v>
      </c>
      <c r="AS8504" t="s">
        <v>67</v>
      </c>
      <c r="AT8504" t="s">
        <v>58</v>
      </c>
      <c r="AU8504" t="s">
        <v>68</v>
      </c>
      <c r="AV8504" t="s">
        <v>69</v>
      </c>
      <c r="AW8504" s="1">
        <v>22245</v>
      </c>
      <c r="AX8504">
        <v>1</v>
      </c>
    </row>
    <row r="8505" spans="1:50">
      <c r="B8505" t="str">
        <f>"127558649"</f>
        <v>127558649</v>
      </c>
      <c r="C8505" t="s">
        <v>105</v>
      </c>
      <c r="D8505" t="s">
        <v>13097</v>
      </c>
      <c r="E8505" t="s">
        <v>1316</v>
      </c>
      <c r="F8505" t="s">
        <v>459</v>
      </c>
      <c r="G8505" t="s">
        <v>934</v>
      </c>
      <c r="H8505" t="str">
        <f>"ΧΑΡΙΛΑΟΥ ΤΡΙΚΟΥΠΗ 1 ΣΟΥΦΛΙ ΕΒΡΟΣ"</f>
        <v>ΧΑΡΙΛΑΟΥ ΤΡΙΚΟΥΠΗ 1 ΣΟΥΦΛΙ ΕΒΡΟΣ</v>
      </c>
      <c r="I8505">
        <v>68400</v>
      </c>
      <c r="J8505">
        <v>2554023418</v>
      </c>
      <c r="K8505">
        <v>6934037999</v>
      </c>
      <c r="N8505" t="s">
        <v>683</v>
      </c>
      <c r="O8505" t="s">
        <v>684</v>
      </c>
      <c r="R8505" t="s">
        <v>159</v>
      </c>
      <c r="S8505">
        <v>3</v>
      </c>
      <c r="T8505" t="s">
        <v>8675</v>
      </c>
      <c r="U8505" s="1">
        <v>43348</v>
      </c>
      <c r="V8505" t="s">
        <v>66</v>
      </c>
      <c r="W8505" t="s">
        <v>67</v>
      </c>
      <c r="X8505" t="s">
        <v>58</v>
      </c>
      <c r="Y8505">
        <v>24</v>
      </c>
      <c r="Z8505" t="s">
        <v>59</v>
      </c>
      <c r="AA8505" t="s">
        <v>59</v>
      </c>
      <c r="AB8505" t="s">
        <v>59</v>
      </c>
      <c r="AC8505" t="s">
        <v>59</v>
      </c>
      <c r="AD8505" t="s">
        <v>59</v>
      </c>
      <c r="AF8505" s="1">
        <v>43348</v>
      </c>
      <c r="AG8505" t="s">
        <v>8645</v>
      </c>
      <c r="AH8505" t="s">
        <v>8646</v>
      </c>
      <c r="AI8505" t="str">
        <f>"9410263"</f>
        <v>9410263</v>
      </c>
      <c r="AJ8505" t="s">
        <v>12672</v>
      </c>
      <c r="AK8505">
        <v>2831053818</v>
      </c>
      <c r="AL8505" t="s">
        <v>12673</v>
      </c>
      <c r="AM8505" t="s">
        <v>64</v>
      </c>
      <c r="AN8505" t="s">
        <v>65</v>
      </c>
      <c r="AO8505" t="s">
        <v>65</v>
      </c>
      <c r="AP8505" t="s">
        <v>65</v>
      </c>
      <c r="AQ8505">
        <v>1</v>
      </c>
      <c r="AR8505" t="s">
        <v>66</v>
      </c>
      <c r="AS8505" t="s">
        <v>67</v>
      </c>
      <c r="AT8505" t="s">
        <v>58</v>
      </c>
      <c r="AU8505" t="s">
        <v>8673</v>
      </c>
      <c r="AV8505" t="s">
        <v>132</v>
      </c>
      <c r="AW8505" s="1">
        <v>27612</v>
      </c>
      <c r="AX8505">
        <v>1</v>
      </c>
    </row>
    <row r="8506" spans="1:50">
      <c r="A8506">
        <v>566778</v>
      </c>
      <c r="B8506" t="str">
        <f>"033084662"</f>
        <v>033084662</v>
      </c>
      <c r="C8506" t="s">
        <v>50</v>
      </c>
      <c r="D8506" t="s">
        <v>1627</v>
      </c>
      <c r="E8506" t="s">
        <v>112</v>
      </c>
      <c r="F8506" t="s">
        <v>84</v>
      </c>
      <c r="G8506" t="s">
        <v>104</v>
      </c>
      <c r="H8506" t="str">
        <f>" "</f>
        <v xml:space="preserve"> </v>
      </c>
      <c r="N8506" t="s">
        <v>615</v>
      </c>
      <c r="O8506" t="s">
        <v>616</v>
      </c>
      <c r="R8506" t="s">
        <v>57</v>
      </c>
      <c r="S8506">
        <v>14</v>
      </c>
      <c r="T8506">
        <v>4</v>
      </c>
      <c r="U8506" s="1">
        <v>33254</v>
      </c>
      <c r="V8506" t="s">
        <v>66</v>
      </c>
      <c r="W8506" t="s">
        <v>67</v>
      </c>
      <c r="X8506" t="s">
        <v>58</v>
      </c>
      <c r="Y8506">
        <v>21</v>
      </c>
      <c r="Z8506" t="s">
        <v>59</v>
      </c>
      <c r="AA8506" t="s">
        <v>59</v>
      </c>
      <c r="AB8506" t="s">
        <v>59</v>
      </c>
      <c r="AC8506" t="s">
        <v>59</v>
      </c>
      <c r="AD8506" t="s">
        <v>59</v>
      </c>
      <c r="AF8506" s="1">
        <v>33294</v>
      </c>
      <c r="AG8506" t="s">
        <v>8645</v>
      </c>
      <c r="AH8506" t="s">
        <v>8646</v>
      </c>
      <c r="AI8506" t="str">
        <f>"9521348"</f>
        <v>9521348</v>
      </c>
      <c r="AJ8506" t="s">
        <v>12714</v>
      </c>
      <c r="AK8506">
        <v>2831021334</v>
      </c>
      <c r="AL8506" t="s">
        <v>12715</v>
      </c>
      <c r="AM8506" t="s">
        <v>64</v>
      </c>
      <c r="AN8506" t="s">
        <v>65</v>
      </c>
      <c r="AO8506" t="s">
        <v>5720</v>
      </c>
      <c r="AP8506" t="s">
        <v>5721</v>
      </c>
      <c r="AQ8506">
        <v>2</v>
      </c>
      <c r="AR8506" t="s">
        <v>66</v>
      </c>
      <c r="AS8506" t="s">
        <v>67</v>
      </c>
      <c r="AT8506" t="s">
        <v>58</v>
      </c>
      <c r="AU8506" t="s">
        <v>68</v>
      </c>
      <c r="AV8506" t="s">
        <v>2039</v>
      </c>
      <c r="AW8506" s="1">
        <v>24358</v>
      </c>
      <c r="AX8506">
        <v>1</v>
      </c>
    </row>
    <row r="8507" spans="1:50">
      <c r="B8507" t="str">
        <f>"127706509"</f>
        <v>127706509</v>
      </c>
      <c r="C8507" t="s">
        <v>50</v>
      </c>
      <c r="D8507" t="s">
        <v>6000</v>
      </c>
      <c r="E8507" t="s">
        <v>4493</v>
      </c>
      <c r="F8507" t="s">
        <v>53</v>
      </c>
      <c r="G8507" t="s">
        <v>96</v>
      </c>
      <c r="H8507" t="str">
        <f>"8ΗΣ ΔΕΚΕΜΒΡΙΟΥ 5 ΧΑΝΙΑ"</f>
        <v>8ΗΣ ΔΕΚΕΜΒΡΙΟΥ 5 ΧΑΝΙΑ</v>
      </c>
      <c r="I8507">
        <v>73132</v>
      </c>
      <c r="J8507">
        <v>2821051657</v>
      </c>
      <c r="K8507">
        <v>6942211427</v>
      </c>
      <c r="N8507" t="s">
        <v>306</v>
      </c>
      <c r="O8507" t="s">
        <v>307</v>
      </c>
      <c r="R8507" t="s">
        <v>159</v>
      </c>
      <c r="S8507">
        <v>5</v>
      </c>
      <c r="T8507" t="s">
        <v>8675</v>
      </c>
      <c r="U8507" s="1">
        <v>43348</v>
      </c>
      <c r="V8507" t="s">
        <v>66</v>
      </c>
      <c r="W8507" t="s">
        <v>67</v>
      </c>
      <c r="X8507" t="s">
        <v>58</v>
      </c>
      <c r="Y8507">
        <v>24</v>
      </c>
      <c r="Z8507" t="s">
        <v>59</v>
      </c>
      <c r="AA8507" t="s">
        <v>59</v>
      </c>
      <c r="AB8507" t="s">
        <v>59</v>
      </c>
      <c r="AC8507" t="s">
        <v>59</v>
      </c>
      <c r="AD8507" t="s">
        <v>59</v>
      </c>
      <c r="AF8507" s="1">
        <v>43348</v>
      </c>
      <c r="AG8507" t="s">
        <v>8645</v>
      </c>
      <c r="AH8507" t="s">
        <v>8646</v>
      </c>
      <c r="AI8507" t="str">
        <f>"9410070"</f>
        <v>9410070</v>
      </c>
      <c r="AJ8507" t="s">
        <v>12757</v>
      </c>
      <c r="AK8507">
        <v>2831028583</v>
      </c>
      <c r="AL8507" t="s">
        <v>12758</v>
      </c>
      <c r="AM8507" t="s">
        <v>64</v>
      </c>
      <c r="AN8507" t="s">
        <v>65</v>
      </c>
      <c r="AO8507" t="s">
        <v>65</v>
      </c>
      <c r="AP8507" t="s">
        <v>65</v>
      </c>
      <c r="AQ8507">
        <v>1</v>
      </c>
      <c r="AR8507" t="s">
        <v>66</v>
      </c>
      <c r="AS8507" t="s">
        <v>67</v>
      </c>
      <c r="AT8507" t="s">
        <v>58</v>
      </c>
      <c r="AU8507" t="s">
        <v>8673</v>
      </c>
      <c r="AV8507" t="s">
        <v>132</v>
      </c>
      <c r="AW8507" s="1">
        <v>30706</v>
      </c>
      <c r="AX8507">
        <v>1</v>
      </c>
    </row>
    <row r="8508" spans="1:50">
      <c r="A8508">
        <v>578313</v>
      </c>
      <c r="B8508" t="str">
        <f>"036479002"</f>
        <v>036479002</v>
      </c>
      <c r="C8508" t="s">
        <v>105</v>
      </c>
      <c r="D8508" t="s">
        <v>1630</v>
      </c>
      <c r="E8508" t="s">
        <v>95</v>
      </c>
      <c r="F8508" t="s">
        <v>5386</v>
      </c>
      <c r="G8508" t="s">
        <v>411</v>
      </c>
      <c r="H8508" t="str">
        <f>" "</f>
        <v xml:space="preserve"> </v>
      </c>
      <c r="K8508">
        <v>6932108199</v>
      </c>
      <c r="M8508" t="s">
        <v>13098</v>
      </c>
      <c r="N8508" t="s">
        <v>615</v>
      </c>
      <c r="O8508" t="s">
        <v>616</v>
      </c>
      <c r="R8508" t="s">
        <v>57</v>
      </c>
      <c r="S8508">
        <v>13</v>
      </c>
      <c r="T8508">
        <v>165</v>
      </c>
      <c r="U8508" s="1">
        <v>35300</v>
      </c>
      <c r="V8508" t="s">
        <v>66</v>
      </c>
      <c r="W8508" t="s">
        <v>67</v>
      </c>
      <c r="X8508" t="s">
        <v>58</v>
      </c>
      <c r="Y8508">
        <v>21</v>
      </c>
      <c r="Z8508" t="s">
        <v>59</v>
      </c>
      <c r="AA8508" t="s">
        <v>59</v>
      </c>
      <c r="AB8508" t="s">
        <v>59</v>
      </c>
      <c r="AC8508" t="s">
        <v>59</v>
      </c>
      <c r="AD8508" t="s">
        <v>59</v>
      </c>
      <c r="AF8508" s="1">
        <v>35310</v>
      </c>
      <c r="AG8508" t="s">
        <v>8645</v>
      </c>
      <c r="AH8508" t="s">
        <v>8646</v>
      </c>
      <c r="AI8508" t="str">
        <f>"9410257"</f>
        <v>9410257</v>
      </c>
      <c r="AJ8508" t="s">
        <v>12828</v>
      </c>
      <c r="AK8508">
        <v>2831056242</v>
      </c>
      <c r="AL8508" t="s">
        <v>12829</v>
      </c>
      <c r="AM8508" t="s">
        <v>64</v>
      </c>
      <c r="AN8508" t="s">
        <v>65</v>
      </c>
      <c r="AO8508" t="s">
        <v>65</v>
      </c>
      <c r="AP8508" t="s">
        <v>65</v>
      </c>
      <c r="AQ8508">
        <v>1</v>
      </c>
      <c r="AR8508" t="s">
        <v>66</v>
      </c>
      <c r="AS8508" t="s">
        <v>67</v>
      </c>
      <c r="AT8508" t="s">
        <v>58</v>
      </c>
      <c r="AU8508" t="s">
        <v>68</v>
      </c>
      <c r="AV8508" t="s">
        <v>2039</v>
      </c>
      <c r="AW8508" s="1">
        <v>23425</v>
      </c>
      <c r="AX8508">
        <v>1</v>
      </c>
    </row>
    <row r="8509" spans="1:50">
      <c r="A8509">
        <v>598410</v>
      </c>
      <c r="B8509" t="str">
        <f>"055405092"</f>
        <v>055405092</v>
      </c>
      <c r="C8509" t="s">
        <v>50</v>
      </c>
      <c r="D8509" t="s">
        <v>1640</v>
      </c>
      <c r="E8509" t="s">
        <v>671</v>
      </c>
      <c r="F8509" t="s">
        <v>3857</v>
      </c>
      <c r="G8509" t="s">
        <v>52</v>
      </c>
      <c r="H8509" t="str">
        <f>"ΠΕΤΡΕΣ ΠΕΤΡΕΣ ΡΕΘΥΜΝΟΥ"</f>
        <v>ΠΕΤΡΕΣ ΠΕΤΡΕΣ ΡΕΘΥΜΝΟΥ</v>
      </c>
      <c r="I8509">
        <v>74100</v>
      </c>
      <c r="J8509">
        <v>2343061940</v>
      </c>
      <c r="K8509">
        <v>6974953788</v>
      </c>
      <c r="L8509">
        <v>2831061711</v>
      </c>
      <c r="N8509" t="s">
        <v>615</v>
      </c>
      <c r="O8509" t="s">
        <v>616</v>
      </c>
      <c r="R8509" t="s">
        <v>57</v>
      </c>
      <c r="S8509">
        <v>9</v>
      </c>
      <c r="T8509">
        <v>195</v>
      </c>
      <c r="U8509" s="1">
        <v>37497</v>
      </c>
      <c r="V8509" t="s">
        <v>66</v>
      </c>
      <c r="W8509" t="s">
        <v>67</v>
      </c>
      <c r="X8509" t="s">
        <v>58</v>
      </c>
      <c r="Y8509">
        <v>22</v>
      </c>
      <c r="Z8509" t="s">
        <v>59</v>
      </c>
      <c r="AA8509" t="s">
        <v>59</v>
      </c>
      <c r="AB8509" t="s">
        <v>59</v>
      </c>
      <c r="AC8509" t="s">
        <v>59</v>
      </c>
      <c r="AD8509" t="s">
        <v>59</v>
      </c>
      <c r="AF8509" s="1">
        <v>37501</v>
      </c>
      <c r="AG8509" t="s">
        <v>8645</v>
      </c>
      <c r="AH8509" t="s">
        <v>8646</v>
      </c>
      <c r="AI8509" t="str">
        <f>"9410069"</f>
        <v>9410069</v>
      </c>
      <c r="AJ8509" t="s">
        <v>12674</v>
      </c>
      <c r="AK8509">
        <v>2831029296</v>
      </c>
      <c r="AL8509" t="s">
        <v>12675</v>
      </c>
      <c r="AM8509" t="s">
        <v>64</v>
      </c>
      <c r="AN8509" t="s">
        <v>65</v>
      </c>
      <c r="AO8509" t="s">
        <v>65</v>
      </c>
      <c r="AP8509" t="s">
        <v>65</v>
      </c>
      <c r="AQ8509">
        <v>1</v>
      </c>
      <c r="AR8509" t="s">
        <v>66</v>
      </c>
      <c r="AS8509" t="s">
        <v>67</v>
      </c>
      <c r="AT8509" t="s">
        <v>58</v>
      </c>
      <c r="AU8509" t="s">
        <v>68</v>
      </c>
      <c r="AV8509" t="s">
        <v>69</v>
      </c>
      <c r="AW8509" s="1">
        <v>25532</v>
      </c>
      <c r="AX8509">
        <v>1</v>
      </c>
    </row>
    <row r="8510" spans="1:50">
      <c r="A8510">
        <v>568942</v>
      </c>
      <c r="B8510" t="str">
        <f>"051833704"</f>
        <v>051833704</v>
      </c>
      <c r="C8510" t="s">
        <v>50</v>
      </c>
      <c r="D8510" t="s">
        <v>1649</v>
      </c>
      <c r="E8510" t="s">
        <v>1108</v>
      </c>
      <c r="F8510" t="s">
        <v>95</v>
      </c>
      <c r="G8510" t="s">
        <v>1361</v>
      </c>
      <c r="H8510" t="str">
        <f>" "</f>
        <v xml:space="preserve"> </v>
      </c>
      <c r="K8510">
        <v>6945306287</v>
      </c>
      <c r="N8510" t="s">
        <v>615</v>
      </c>
      <c r="O8510" t="s">
        <v>616</v>
      </c>
      <c r="R8510" t="s">
        <v>57</v>
      </c>
      <c r="S8510">
        <v>12</v>
      </c>
      <c r="T8510">
        <v>162</v>
      </c>
      <c r="U8510" s="1">
        <v>33844</v>
      </c>
      <c r="V8510" t="s">
        <v>66</v>
      </c>
      <c r="W8510" t="s">
        <v>67</v>
      </c>
      <c r="X8510" t="s">
        <v>58</v>
      </c>
      <c r="Y8510">
        <v>21</v>
      </c>
      <c r="Z8510" t="s">
        <v>59</v>
      </c>
      <c r="AA8510" t="s">
        <v>59</v>
      </c>
      <c r="AB8510" t="s">
        <v>59</v>
      </c>
      <c r="AC8510" t="s">
        <v>59</v>
      </c>
      <c r="AD8510" t="s">
        <v>59</v>
      </c>
      <c r="AF8510" s="1">
        <v>33849</v>
      </c>
      <c r="AG8510" t="s">
        <v>8645</v>
      </c>
      <c r="AH8510" t="s">
        <v>8646</v>
      </c>
      <c r="AI8510" t="str">
        <f>"9410003"</f>
        <v>9410003</v>
      </c>
      <c r="AJ8510" t="s">
        <v>12794</v>
      </c>
      <c r="AK8510">
        <v>2834031213</v>
      </c>
      <c r="AL8510" t="s">
        <v>12795</v>
      </c>
      <c r="AM8510" t="s">
        <v>64</v>
      </c>
      <c r="AN8510" t="s">
        <v>5737</v>
      </c>
      <c r="AO8510" t="s">
        <v>5737</v>
      </c>
      <c r="AP8510" t="s">
        <v>5737</v>
      </c>
      <c r="AQ8510">
        <v>9</v>
      </c>
      <c r="AR8510" t="s">
        <v>66</v>
      </c>
      <c r="AS8510" t="s">
        <v>67</v>
      </c>
      <c r="AT8510" t="s">
        <v>58</v>
      </c>
      <c r="AU8510" t="s">
        <v>68</v>
      </c>
      <c r="AV8510" t="s">
        <v>69</v>
      </c>
      <c r="AW8510" s="1">
        <v>24309</v>
      </c>
      <c r="AX8510">
        <v>1</v>
      </c>
    </row>
    <row r="8511" spans="1:50">
      <c r="A8511">
        <v>623015</v>
      </c>
      <c r="B8511" t="str">
        <f>"115965203"</f>
        <v>115965203</v>
      </c>
      <c r="C8511" t="s">
        <v>50</v>
      </c>
      <c r="D8511" t="s">
        <v>9856</v>
      </c>
      <c r="E8511" t="s">
        <v>52</v>
      </c>
      <c r="F8511" t="s">
        <v>95</v>
      </c>
      <c r="G8511" t="s">
        <v>85</v>
      </c>
      <c r="H8511" t="str">
        <f>"ΠΡΙΝΕΣ ΡΕΘΥΜΝΟ"</f>
        <v>ΠΡΙΝΕΣ ΡΕΘΥΜΝΟ</v>
      </c>
      <c r="I8511">
        <v>74100</v>
      </c>
      <c r="J8511">
        <v>2831022035</v>
      </c>
      <c r="K8511">
        <v>6945554369</v>
      </c>
      <c r="N8511" t="s">
        <v>306</v>
      </c>
      <c r="O8511" t="s">
        <v>307</v>
      </c>
      <c r="R8511" t="s">
        <v>57</v>
      </c>
      <c r="S8511">
        <v>8</v>
      </c>
      <c r="T8511">
        <v>720</v>
      </c>
      <c r="U8511" s="1">
        <v>40059</v>
      </c>
      <c r="V8511" t="s">
        <v>66</v>
      </c>
      <c r="W8511" t="s">
        <v>67</v>
      </c>
      <c r="X8511" t="s">
        <v>58</v>
      </c>
      <c r="Y8511">
        <v>23</v>
      </c>
      <c r="Z8511" t="s">
        <v>59</v>
      </c>
      <c r="AA8511" t="s">
        <v>59</v>
      </c>
      <c r="AB8511" t="s">
        <v>59</v>
      </c>
      <c r="AC8511" t="s">
        <v>59</v>
      </c>
      <c r="AD8511" t="s">
        <v>59</v>
      </c>
      <c r="AF8511" s="1">
        <v>40063</v>
      </c>
      <c r="AG8511" t="s">
        <v>8645</v>
      </c>
      <c r="AH8511" t="s">
        <v>8646</v>
      </c>
      <c r="AI8511" t="str">
        <f>"9410061"</f>
        <v>9410061</v>
      </c>
      <c r="AJ8511" t="s">
        <v>12760</v>
      </c>
      <c r="AK8511">
        <v>2831024378</v>
      </c>
      <c r="AL8511" t="s">
        <v>12761</v>
      </c>
      <c r="AM8511" t="s">
        <v>64</v>
      </c>
      <c r="AN8511" t="s">
        <v>65</v>
      </c>
      <c r="AO8511" t="s">
        <v>65</v>
      </c>
      <c r="AP8511" t="s">
        <v>65</v>
      </c>
      <c r="AQ8511">
        <v>1</v>
      </c>
      <c r="AR8511" t="s">
        <v>66</v>
      </c>
      <c r="AS8511" t="s">
        <v>67</v>
      </c>
      <c r="AT8511" t="s">
        <v>58</v>
      </c>
      <c r="AU8511" t="s">
        <v>68</v>
      </c>
      <c r="AV8511" t="s">
        <v>69</v>
      </c>
      <c r="AW8511" s="1">
        <v>28540</v>
      </c>
      <c r="AX8511">
        <v>1</v>
      </c>
    </row>
    <row r="8512" spans="1:50">
      <c r="A8512">
        <v>607316</v>
      </c>
      <c r="B8512" t="str">
        <f>"113617434"</f>
        <v>113617434</v>
      </c>
      <c r="C8512" t="s">
        <v>50</v>
      </c>
      <c r="D8512" t="s">
        <v>13099</v>
      </c>
      <c r="E8512" t="s">
        <v>755</v>
      </c>
      <c r="F8512" t="s">
        <v>95</v>
      </c>
      <c r="G8512" t="s">
        <v>250</v>
      </c>
      <c r="H8512" t="str">
        <f>" "</f>
        <v xml:space="preserve"> </v>
      </c>
      <c r="J8512">
        <v>2831026549</v>
      </c>
      <c r="K8512">
        <v>6972551844</v>
      </c>
      <c r="N8512" t="s">
        <v>615</v>
      </c>
      <c r="O8512" t="s">
        <v>616</v>
      </c>
      <c r="R8512" t="s">
        <v>57</v>
      </c>
      <c r="S8512">
        <v>7</v>
      </c>
      <c r="T8512">
        <v>217</v>
      </c>
      <c r="U8512" s="1">
        <v>38596</v>
      </c>
      <c r="V8512" t="s">
        <v>66</v>
      </c>
      <c r="W8512" t="s">
        <v>67</v>
      </c>
      <c r="X8512" t="s">
        <v>58</v>
      </c>
      <c r="Y8512">
        <v>23</v>
      </c>
      <c r="Z8512" t="s">
        <v>59</v>
      </c>
      <c r="AA8512" t="s">
        <v>59</v>
      </c>
      <c r="AB8512" t="s">
        <v>59</v>
      </c>
      <c r="AC8512" t="s">
        <v>59</v>
      </c>
      <c r="AD8512" t="s">
        <v>59</v>
      </c>
      <c r="AF8512" s="1">
        <v>38600</v>
      </c>
      <c r="AG8512" t="s">
        <v>8645</v>
      </c>
      <c r="AH8512" t="s">
        <v>8646</v>
      </c>
      <c r="AI8512" t="str">
        <f>"9410166"</f>
        <v>9410166</v>
      </c>
      <c r="AJ8512" t="s">
        <v>12666</v>
      </c>
      <c r="AK8512">
        <v>2831031311</v>
      </c>
      <c r="AL8512" t="s">
        <v>12667</v>
      </c>
      <c r="AM8512" t="s">
        <v>64</v>
      </c>
      <c r="AN8512" t="s">
        <v>65</v>
      </c>
      <c r="AO8512" t="s">
        <v>5720</v>
      </c>
      <c r="AP8512" t="s">
        <v>5721</v>
      </c>
      <c r="AQ8512">
        <v>2</v>
      </c>
      <c r="AR8512" t="s">
        <v>66</v>
      </c>
      <c r="AS8512" t="s">
        <v>67</v>
      </c>
      <c r="AT8512" t="s">
        <v>58</v>
      </c>
      <c r="AU8512" t="s">
        <v>68</v>
      </c>
      <c r="AV8512" t="s">
        <v>69</v>
      </c>
      <c r="AW8512" s="1">
        <v>29318</v>
      </c>
      <c r="AX8512">
        <v>1</v>
      </c>
    </row>
    <row r="8513" spans="1:50">
      <c r="B8513" t="str">
        <f>"155357401"</f>
        <v>155357401</v>
      </c>
      <c r="C8513" t="s">
        <v>50</v>
      </c>
      <c r="D8513" t="s">
        <v>1669</v>
      </c>
      <c r="E8513" t="s">
        <v>215</v>
      </c>
      <c r="F8513" t="s">
        <v>84</v>
      </c>
      <c r="G8513" t="s">
        <v>1562</v>
      </c>
      <c r="H8513" t="str">
        <f>" "</f>
        <v xml:space="preserve"> </v>
      </c>
      <c r="N8513" t="s">
        <v>8834</v>
      </c>
      <c r="O8513" t="s">
        <v>8695</v>
      </c>
      <c r="R8513" t="s">
        <v>159</v>
      </c>
      <c r="S8513">
        <v>3</v>
      </c>
      <c r="T8513" t="s">
        <v>8835</v>
      </c>
      <c r="U8513" s="1">
        <v>43348</v>
      </c>
      <c r="V8513" t="s">
        <v>66</v>
      </c>
      <c r="W8513" t="s">
        <v>67</v>
      </c>
      <c r="X8513" t="s">
        <v>58</v>
      </c>
      <c r="Y8513">
        <v>24</v>
      </c>
      <c r="Z8513" t="s">
        <v>59</v>
      </c>
      <c r="AA8513" t="s">
        <v>59</v>
      </c>
      <c r="AB8513" t="s">
        <v>59</v>
      </c>
      <c r="AD8513" t="s">
        <v>59</v>
      </c>
      <c r="AF8513" s="1">
        <v>43348</v>
      </c>
      <c r="AG8513" t="s">
        <v>8645</v>
      </c>
      <c r="AH8513" t="s">
        <v>8646</v>
      </c>
      <c r="AI8513" t="str">
        <f>"9410067"</f>
        <v>9410067</v>
      </c>
      <c r="AJ8513" t="s">
        <v>12736</v>
      </c>
      <c r="AK8513">
        <v>2831022836</v>
      </c>
      <c r="AL8513" t="s">
        <v>12737</v>
      </c>
      <c r="AM8513" t="s">
        <v>64</v>
      </c>
      <c r="AN8513" t="s">
        <v>65</v>
      </c>
      <c r="AO8513" t="s">
        <v>65</v>
      </c>
      <c r="AP8513" t="s">
        <v>65</v>
      </c>
      <c r="AQ8513">
        <v>1</v>
      </c>
      <c r="AR8513" t="s">
        <v>66</v>
      </c>
      <c r="AS8513" t="s">
        <v>67</v>
      </c>
      <c r="AT8513" t="s">
        <v>58</v>
      </c>
      <c r="AU8513" t="s">
        <v>131</v>
      </c>
      <c r="AV8513" t="s">
        <v>132</v>
      </c>
      <c r="AW8513" s="1">
        <v>32919</v>
      </c>
      <c r="AX8513">
        <v>1</v>
      </c>
    </row>
    <row r="8514" spans="1:50">
      <c r="B8514" t="str">
        <f>"073595550"</f>
        <v>073595550</v>
      </c>
      <c r="C8514" t="s">
        <v>50</v>
      </c>
      <c r="D8514" t="s">
        <v>13100</v>
      </c>
      <c r="E8514" t="s">
        <v>366</v>
      </c>
      <c r="F8514" t="s">
        <v>84</v>
      </c>
      <c r="G8514" t="s">
        <v>73</v>
      </c>
      <c r="H8514" t="str">
        <f>" "</f>
        <v xml:space="preserve"> </v>
      </c>
      <c r="N8514" t="s">
        <v>9829</v>
      </c>
      <c r="O8514" t="s">
        <v>9830</v>
      </c>
      <c r="R8514" t="s">
        <v>159</v>
      </c>
      <c r="S8514">
        <v>3</v>
      </c>
      <c r="T8514" t="s">
        <v>8835</v>
      </c>
      <c r="U8514" s="1">
        <v>43348</v>
      </c>
      <c r="V8514" t="s">
        <v>66</v>
      </c>
      <c r="W8514" t="s">
        <v>67</v>
      </c>
      <c r="X8514" t="s">
        <v>58</v>
      </c>
      <c r="Y8514">
        <v>25</v>
      </c>
      <c r="Z8514" t="s">
        <v>59</v>
      </c>
      <c r="AA8514" t="s">
        <v>59</v>
      </c>
      <c r="AB8514" t="s">
        <v>59</v>
      </c>
      <c r="AD8514" t="s">
        <v>59</v>
      </c>
      <c r="AF8514" s="1">
        <v>43348</v>
      </c>
      <c r="AG8514" t="s">
        <v>8651</v>
      </c>
      <c r="AH8514" t="s">
        <v>8652</v>
      </c>
      <c r="AI8514" t="str">
        <f>"9410189"</f>
        <v>9410189</v>
      </c>
      <c r="AJ8514" t="s">
        <v>12706</v>
      </c>
      <c r="AK8514">
        <v>2831028290</v>
      </c>
      <c r="AL8514" t="s">
        <v>12707</v>
      </c>
      <c r="AM8514" t="s">
        <v>64</v>
      </c>
      <c r="AN8514" t="s">
        <v>65</v>
      </c>
      <c r="AO8514" t="s">
        <v>65</v>
      </c>
      <c r="AP8514" t="s">
        <v>65</v>
      </c>
      <c r="AQ8514">
        <v>1</v>
      </c>
      <c r="AR8514" t="s">
        <v>66</v>
      </c>
      <c r="AS8514" t="s">
        <v>67</v>
      </c>
      <c r="AT8514" t="s">
        <v>58</v>
      </c>
      <c r="AU8514" t="s">
        <v>131</v>
      </c>
      <c r="AV8514" t="s">
        <v>132</v>
      </c>
      <c r="AW8514" s="1">
        <v>32717</v>
      </c>
      <c r="AX8514">
        <v>1</v>
      </c>
    </row>
    <row r="8515" spans="1:50">
      <c r="A8515">
        <v>611516</v>
      </c>
      <c r="B8515" t="str">
        <f>"065002540"</f>
        <v>065002540</v>
      </c>
      <c r="C8515" t="s">
        <v>50</v>
      </c>
      <c r="D8515" t="s">
        <v>9882</v>
      </c>
      <c r="E8515" t="s">
        <v>396</v>
      </c>
      <c r="F8515" t="s">
        <v>53</v>
      </c>
      <c r="G8515" t="s">
        <v>250</v>
      </c>
      <c r="H8515" t="str">
        <f>"ΕΠΑΡΧΙΑ ΜΥΛΟΠΟΤΑΜΟΥ 2 ΡΕΘΥΜΝΟ"</f>
        <v>ΕΠΑΡΧΙΑ ΜΥΛΟΠΟΤΑΜΟΥ 2 ΡΕΘΥΜΝΟ</v>
      </c>
      <c r="I8515">
        <v>74100</v>
      </c>
      <c r="J8515">
        <v>2831026443</v>
      </c>
      <c r="K8515">
        <v>6972507775</v>
      </c>
      <c r="M8515" t="s">
        <v>13101</v>
      </c>
      <c r="N8515" t="s">
        <v>1525</v>
      </c>
      <c r="O8515" t="s">
        <v>1526</v>
      </c>
      <c r="R8515" t="s">
        <v>57</v>
      </c>
      <c r="S8515">
        <v>6</v>
      </c>
      <c r="T8515">
        <v>233</v>
      </c>
      <c r="U8515" s="1">
        <v>38960</v>
      </c>
      <c r="V8515" t="s">
        <v>66</v>
      </c>
      <c r="W8515" t="s">
        <v>67</v>
      </c>
      <c r="X8515" t="s">
        <v>58</v>
      </c>
      <c r="Y8515">
        <v>25</v>
      </c>
      <c r="Z8515" t="s">
        <v>59</v>
      </c>
      <c r="AA8515" t="s">
        <v>59</v>
      </c>
      <c r="AB8515" t="s">
        <v>59</v>
      </c>
      <c r="AC8515" t="s">
        <v>59</v>
      </c>
      <c r="AD8515" t="s">
        <v>59</v>
      </c>
      <c r="AF8515" s="1">
        <v>38961</v>
      </c>
      <c r="AG8515" t="s">
        <v>8651</v>
      </c>
      <c r="AH8515" t="s">
        <v>8652</v>
      </c>
      <c r="AI8515" t="str">
        <f>"9410240"</f>
        <v>9410240</v>
      </c>
      <c r="AJ8515" t="s">
        <v>13102</v>
      </c>
      <c r="AK8515">
        <v>2831072568</v>
      </c>
      <c r="AL8515" t="s">
        <v>13103</v>
      </c>
      <c r="AM8515" t="s">
        <v>64</v>
      </c>
      <c r="AN8515" t="s">
        <v>65</v>
      </c>
      <c r="AO8515" t="s">
        <v>12694</v>
      </c>
      <c r="AP8515" t="s">
        <v>12704</v>
      </c>
      <c r="AQ8515">
        <v>3</v>
      </c>
      <c r="AR8515" t="s">
        <v>66</v>
      </c>
      <c r="AS8515" t="s">
        <v>67</v>
      </c>
      <c r="AT8515" t="s">
        <v>58</v>
      </c>
      <c r="AU8515" t="s">
        <v>68</v>
      </c>
      <c r="AV8515" t="s">
        <v>69</v>
      </c>
      <c r="AW8515" s="1">
        <v>27446</v>
      </c>
      <c r="AX8515">
        <v>1</v>
      </c>
    </row>
    <row r="8516" spans="1:50">
      <c r="B8516" t="str">
        <f>"047881778"</f>
        <v>047881778</v>
      </c>
      <c r="C8516" t="s">
        <v>50</v>
      </c>
      <c r="D8516" t="s">
        <v>9882</v>
      </c>
      <c r="E8516" t="s">
        <v>11054</v>
      </c>
      <c r="F8516" t="s">
        <v>309</v>
      </c>
      <c r="G8516" t="s">
        <v>255</v>
      </c>
      <c r="H8516" t="str">
        <f>"ΤΖΑΝΙΔΑΚΗ 4 ΚΑΛΛΙΘΕΑ"</f>
        <v>ΤΖΑΝΙΔΑΚΗ 4 ΚΑΛΛΙΘΕΑ</v>
      </c>
      <c r="I8516">
        <v>74100</v>
      </c>
      <c r="K8516">
        <v>6973668763</v>
      </c>
      <c r="N8516" t="s">
        <v>1525</v>
      </c>
      <c r="O8516" t="s">
        <v>1526</v>
      </c>
      <c r="R8516" t="s">
        <v>159</v>
      </c>
      <c r="S8516">
        <v>3</v>
      </c>
      <c r="T8516" t="s">
        <v>8670</v>
      </c>
      <c r="U8516" s="1">
        <v>43348</v>
      </c>
      <c r="V8516" t="s">
        <v>66</v>
      </c>
      <c r="W8516" t="s">
        <v>67</v>
      </c>
      <c r="X8516" t="s">
        <v>58</v>
      </c>
      <c r="Y8516">
        <v>25</v>
      </c>
      <c r="Z8516" t="s">
        <v>59</v>
      </c>
      <c r="AA8516" t="s">
        <v>59</v>
      </c>
      <c r="AB8516" t="s">
        <v>59</v>
      </c>
      <c r="AC8516" t="s">
        <v>59</v>
      </c>
      <c r="AD8516" t="s">
        <v>59</v>
      </c>
      <c r="AF8516" s="1">
        <v>43348</v>
      </c>
      <c r="AG8516" t="s">
        <v>8651</v>
      </c>
      <c r="AH8516" t="s">
        <v>8652</v>
      </c>
      <c r="AI8516" t="str">
        <f>"9410209"</f>
        <v>9410209</v>
      </c>
      <c r="AJ8516" t="s">
        <v>12851</v>
      </c>
      <c r="AK8516">
        <v>2834094379</v>
      </c>
      <c r="AL8516" t="s">
        <v>12852</v>
      </c>
      <c r="AM8516" t="s">
        <v>64</v>
      </c>
      <c r="AN8516" t="s">
        <v>5672</v>
      </c>
      <c r="AO8516" t="s">
        <v>5673</v>
      </c>
      <c r="AP8516" t="s">
        <v>12853</v>
      </c>
      <c r="AQ8516">
        <v>10</v>
      </c>
      <c r="AR8516" t="s">
        <v>66</v>
      </c>
      <c r="AS8516" t="s">
        <v>67</v>
      </c>
      <c r="AT8516" t="s">
        <v>58</v>
      </c>
      <c r="AU8516" t="s">
        <v>8673</v>
      </c>
      <c r="AV8516" t="s">
        <v>132</v>
      </c>
      <c r="AW8516" s="1">
        <v>29275</v>
      </c>
      <c r="AX8516">
        <v>1</v>
      </c>
    </row>
    <row r="8517" spans="1:50">
      <c r="B8517" t="str">
        <f>"103118717"</f>
        <v>103118717</v>
      </c>
      <c r="C8517" t="s">
        <v>50</v>
      </c>
      <c r="D8517" t="s">
        <v>1699</v>
      </c>
      <c r="E8517" t="s">
        <v>263</v>
      </c>
      <c r="F8517" t="s">
        <v>95</v>
      </c>
      <c r="G8517" t="s">
        <v>1085</v>
      </c>
      <c r="H8517" t="str">
        <f>"ΔΡΥΜΟΣ  ΘΕΣΣΑΛΟΝΙΚΗ"</f>
        <v>ΔΡΥΜΟΣ  ΘΕΣΣΑΛΟΝΙΚΗ</v>
      </c>
      <c r="I8517">
        <v>57200</v>
      </c>
      <c r="J8517">
        <v>2394032328</v>
      </c>
      <c r="K8517">
        <v>6937756079</v>
      </c>
      <c r="N8517" t="s">
        <v>204</v>
      </c>
      <c r="O8517" t="s">
        <v>205</v>
      </c>
      <c r="R8517" t="s">
        <v>159</v>
      </c>
      <c r="S8517">
        <v>4</v>
      </c>
      <c r="T8517" t="s">
        <v>8675</v>
      </c>
      <c r="U8517" s="1">
        <v>43348</v>
      </c>
      <c r="V8517" t="s">
        <v>66</v>
      </c>
      <c r="W8517" t="s">
        <v>67</v>
      </c>
      <c r="X8517" t="s">
        <v>58</v>
      </c>
      <c r="Y8517">
        <v>24</v>
      </c>
      <c r="Z8517" t="s">
        <v>59</v>
      </c>
      <c r="AA8517" t="s">
        <v>59</v>
      </c>
      <c r="AB8517" t="s">
        <v>59</v>
      </c>
      <c r="AC8517" t="s">
        <v>59</v>
      </c>
      <c r="AD8517" t="s">
        <v>59</v>
      </c>
      <c r="AF8517" s="1">
        <v>43348</v>
      </c>
      <c r="AG8517" t="s">
        <v>8645</v>
      </c>
      <c r="AH8517" t="s">
        <v>8646</v>
      </c>
      <c r="AI8517" t="str">
        <f>"9410212"</f>
        <v>9410212</v>
      </c>
      <c r="AJ8517" t="s">
        <v>12747</v>
      </c>
      <c r="AK8517">
        <v>2831022132</v>
      </c>
      <c r="AL8517" t="s">
        <v>12748</v>
      </c>
      <c r="AM8517" t="s">
        <v>64</v>
      </c>
      <c r="AN8517" t="s">
        <v>65</v>
      </c>
      <c r="AO8517" t="s">
        <v>65</v>
      </c>
      <c r="AP8517" t="s">
        <v>65</v>
      </c>
      <c r="AQ8517">
        <v>1</v>
      </c>
      <c r="AR8517" t="s">
        <v>66</v>
      </c>
      <c r="AS8517" t="s">
        <v>67</v>
      </c>
      <c r="AT8517" t="s">
        <v>58</v>
      </c>
      <c r="AU8517" t="s">
        <v>8673</v>
      </c>
      <c r="AV8517" t="s">
        <v>132</v>
      </c>
      <c r="AW8517" s="1">
        <v>29930</v>
      </c>
      <c r="AX8517">
        <v>1</v>
      </c>
    </row>
    <row r="8518" spans="1:50">
      <c r="B8518" t="str">
        <f>"061812359"</f>
        <v>061812359</v>
      </c>
      <c r="C8518" t="s">
        <v>50</v>
      </c>
      <c r="D8518" t="s">
        <v>1722</v>
      </c>
      <c r="E8518" t="s">
        <v>188</v>
      </c>
      <c r="F8518" t="s">
        <v>1716</v>
      </c>
      <c r="G8518" t="s">
        <v>191</v>
      </c>
      <c r="H8518" t="str">
        <f>"ΝΤΕΧΙΟΣΤΑΚ 4 "</f>
        <v xml:space="preserve">ΝΤΕΧΙΟΣΤΑΚ 4 </v>
      </c>
      <c r="I8518">
        <v>74100</v>
      </c>
      <c r="J8518">
        <v>6978959207</v>
      </c>
      <c r="K8518">
        <v>6978959207</v>
      </c>
      <c r="N8518" t="s">
        <v>1525</v>
      </c>
      <c r="O8518" t="s">
        <v>1526</v>
      </c>
      <c r="R8518" t="s">
        <v>159</v>
      </c>
      <c r="S8518">
        <v>3</v>
      </c>
      <c r="T8518" t="s">
        <v>8670</v>
      </c>
      <c r="U8518" s="1">
        <v>43348</v>
      </c>
      <c r="V8518" t="s">
        <v>66</v>
      </c>
      <c r="W8518" t="s">
        <v>67</v>
      </c>
      <c r="X8518" t="s">
        <v>58</v>
      </c>
      <c r="Y8518">
        <v>25</v>
      </c>
      <c r="Z8518" t="s">
        <v>59</v>
      </c>
      <c r="AA8518" t="s">
        <v>59</v>
      </c>
      <c r="AB8518" t="s">
        <v>59</v>
      </c>
      <c r="AC8518" t="s">
        <v>59</v>
      </c>
      <c r="AD8518" t="s">
        <v>59</v>
      </c>
      <c r="AF8518" s="1">
        <v>43348</v>
      </c>
      <c r="AG8518" t="s">
        <v>8651</v>
      </c>
      <c r="AH8518" t="s">
        <v>8652</v>
      </c>
      <c r="AI8518" t="str">
        <f>"9410237"</f>
        <v>9410237</v>
      </c>
      <c r="AJ8518" t="s">
        <v>13104</v>
      </c>
      <c r="AK8518">
        <v>2834093305</v>
      </c>
      <c r="AL8518" t="s">
        <v>13105</v>
      </c>
      <c r="AM8518" t="s">
        <v>64</v>
      </c>
      <c r="AN8518" t="s">
        <v>65</v>
      </c>
      <c r="AO8518" t="s">
        <v>12694</v>
      </c>
      <c r="AP8518" t="s">
        <v>12745</v>
      </c>
      <c r="AQ8518">
        <v>3</v>
      </c>
      <c r="AR8518" t="s">
        <v>66</v>
      </c>
      <c r="AS8518" t="s">
        <v>67</v>
      </c>
      <c r="AT8518" t="s">
        <v>58</v>
      </c>
      <c r="AU8518" t="s">
        <v>8673</v>
      </c>
      <c r="AV8518" t="s">
        <v>132</v>
      </c>
      <c r="AW8518" s="1">
        <v>29666</v>
      </c>
      <c r="AX8518">
        <v>1</v>
      </c>
    </row>
    <row r="8519" spans="1:50">
      <c r="A8519">
        <v>595269</v>
      </c>
      <c r="B8519" t="str">
        <f>"100096936"</f>
        <v>100096936</v>
      </c>
      <c r="C8519" t="s">
        <v>50</v>
      </c>
      <c r="D8519" t="s">
        <v>13106</v>
      </c>
      <c r="E8519" t="s">
        <v>215</v>
      </c>
      <c r="F8519" t="s">
        <v>95</v>
      </c>
      <c r="G8519" t="s">
        <v>263</v>
      </c>
      <c r="H8519" t="str">
        <f>" "</f>
        <v xml:space="preserve"> </v>
      </c>
      <c r="N8519" t="s">
        <v>615</v>
      </c>
      <c r="O8519" t="s">
        <v>616</v>
      </c>
      <c r="R8519" t="s">
        <v>57</v>
      </c>
      <c r="S8519">
        <v>9</v>
      </c>
      <c r="T8519">
        <v>218</v>
      </c>
      <c r="U8519" s="1">
        <v>37134</v>
      </c>
      <c r="V8519" t="s">
        <v>66</v>
      </c>
      <c r="W8519" t="s">
        <v>67</v>
      </c>
      <c r="X8519" t="s">
        <v>58</v>
      </c>
      <c r="Y8519">
        <v>22</v>
      </c>
      <c r="Z8519" t="s">
        <v>59</v>
      </c>
      <c r="AA8519" t="s">
        <v>59</v>
      </c>
      <c r="AB8519" t="s">
        <v>59</v>
      </c>
      <c r="AC8519" t="s">
        <v>59</v>
      </c>
      <c r="AD8519" t="s">
        <v>59</v>
      </c>
      <c r="AF8519" s="1">
        <v>37139</v>
      </c>
      <c r="AG8519" t="s">
        <v>8645</v>
      </c>
      <c r="AH8519" t="s">
        <v>8646</v>
      </c>
      <c r="AI8519" t="str">
        <f>"9410067"</f>
        <v>9410067</v>
      </c>
      <c r="AJ8519" t="s">
        <v>12736</v>
      </c>
      <c r="AK8519">
        <v>2831022836</v>
      </c>
      <c r="AL8519" t="s">
        <v>12737</v>
      </c>
      <c r="AM8519" t="s">
        <v>64</v>
      </c>
      <c r="AN8519" t="s">
        <v>65</v>
      </c>
      <c r="AO8519" t="s">
        <v>65</v>
      </c>
      <c r="AP8519" t="s">
        <v>65</v>
      </c>
      <c r="AQ8519">
        <v>1</v>
      </c>
      <c r="AR8519" t="s">
        <v>66</v>
      </c>
      <c r="AS8519" t="s">
        <v>67</v>
      </c>
      <c r="AT8519" t="s">
        <v>58</v>
      </c>
      <c r="AU8519" t="s">
        <v>68</v>
      </c>
      <c r="AV8519" t="s">
        <v>69</v>
      </c>
      <c r="AW8519" s="1">
        <v>25108</v>
      </c>
      <c r="AX8519">
        <v>1</v>
      </c>
    </row>
    <row r="8520" spans="1:50">
      <c r="A8520">
        <v>594206</v>
      </c>
      <c r="B8520" t="str">
        <f>"072343187"</f>
        <v>072343187</v>
      </c>
      <c r="C8520" t="s">
        <v>105</v>
      </c>
      <c r="D8520" t="s">
        <v>13107</v>
      </c>
      <c r="E8520" t="s">
        <v>450</v>
      </c>
      <c r="F8520" t="s">
        <v>5386</v>
      </c>
      <c r="G8520" t="s">
        <v>181</v>
      </c>
      <c r="H8520" t="str">
        <f>" "</f>
        <v xml:space="preserve"> </v>
      </c>
      <c r="N8520" t="s">
        <v>615</v>
      </c>
      <c r="O8520" t="s">
        <v>616</v>
      </c>
      <c r="R8520" t="s">
        <v>57</v>
      </c>
      <c r="S8520">
        <v>9</v>
      </c>
      <c r="T8520">
        <v>218</v>
      </c>
      <c r="U8520" s="1">
        <v>37134</v>
      </c>
      <c r="V8520" t="s">
        <v>66</v>
      </c>
      <c r="W8520" t="s">
        <v>67</v>
      </c>
      <c r="X8520" t="s">
        <v>58</v>
      </c>
      <c r="Y8520">
        <v>22</v>
      </c>
      <c r="Z8520" t="s">
        <v>59</v>
      </c>
      <c r="AA8520" t="s">
        <v>59</v>
      </c>
      <c r="AB8520" t="s">
        <v>59</v>
      </c>
      <c r="AC8520" t="s">
        <v>59</v>
      </c>
      <c r="AD8520" t="s">
        <v>59</v>
      </c>
      <c r="AF8520" s="1">
        <v>37138</v>
      </c>
      <c r="AG8520" t="s">
        <v>8645</v>
      </c>
      <c r="AH8520" t="s">
        <v>8697</v>
      </c>
      <c r="AI8520" t="str">
        <f>"9410243"</f>
        <v>9410243</v>
      </c>
      <c r="AJ8520" t="s">
        <v>12885</v>
      </c>
      <c r="AK8520">
        <v>2831026710</v>
      </c>
      <c r="AL8520" t="s">
        <v>12886</v>
      </c>
      <c r="AM8520" t="s">
        <v>64</v>
      </c>
      <c r="AN8520" t="s">
        <v>65</v>
      </c>
      <c r="AO8520" t="s">
        <v>65</v>
      </c>
      <c r="AP8520" t="s">
        <v>65</v>
      </c>
      <c r="AQ8520">
        <v>1</v>
      </c>
      <c r="AR8520" t="s">
        <v>66</v>
      </c>
      <c r="AS8520" t="s">
        <v>67</v>
      </c>
      <c r="AT8520" t="s">
        <v>58</v>
      </c>
      <c r="AU8520" t="s">
        <v>68</v>
      </c>
      <c r="AV8520" t="s">
        <v>69</v>
      </c>
      <c r="AW8520" s="1">
        <v>25259</v>
      </c>
      <c r="AX8520">
        <v>1</v>
      </c>
    </row>
    <row r="8521" spans="1:50">
      <c r="A8521">
        <v>704202</v>
      </c>
      <c r="B8521" t="str">
        <f>"139457995"</f>
        <v>139457995</v>
      </c>
      <c r="C8521" t="s">
        <v>50</v>
      </c>
      <c r="D8521" t="s">
        <v>13108</v>
      </c>
      <c r="E8521" t="s">
        <v>801</v>
      </c>
      <c r="F8521" t="s">
        <v>760</v>
      </c>
      <c r="G8521" t="s">
        <v>476</v>
      </c>
      <c r="H8521" t="str">
        <f>" "</f>
        <v xml:space="preserve"> </v>
      </c>
      <c r="N8521" t="s">
        <v>478</v>
      </c>
      <c r="O8521" t="s">
        <v>479</v>
      </c>
      <c r="R8521" t="s">
        <v>121</v>
      </c>
      <c r="S8521">
        <v>1</v>
      </c>
      <c r="T8521">
        <v>796</v>
      </c>
      <c r="U8521" s="1">
        <v>42968</v>
      </c>
      <c r="V8521" t="s">
        <v>66</v>
      </c>
      <c r="W8521" t="s">
        <v>67</v>
      </c>
      <c r="X8521" t="s">
        <v>58</v>
      </c>
      <c r="Y8521">
        <v>24</v>
      </c>
      <c r="Z8521" t="s">
        <v>59</v>
      </c>
      <c r="AD8521" t="s">
        <v>59</v>
      </c>
      <c r="AF8521" s="1">
        <v>43346</v>
      </c>
      <c r="AG8521" t="s">
        <v>8645</v>
      </c>
      <c r="AH8521" t="s">
        <v>8646</v>
      </c>
      <c r="AI8521" t="str">
        <f>"9410070"</f>
        <v>9410070</v>
      </c>
      <c r="AJ8521" t="s">
        <v>12757</v>
      </c>
      <c r="AK8521">
        <v>2831028583</v>
      </c>
      <c r="AL8521" t="s">
        <v>12758</v>
      </c>
      <c r="AM8521" t="s">
        <v>64</v>
      </c>
      <c r="AN8521" t="s">
        <v>65</v>
      </c>
      <c r="AO8521" t="s">
        <v>65</v>
      </c>
      <c r="AP8521" t="s">
        <v>65</v>
      </c>
      <c r="AQ8521">
        <v>1</v>
      </c>
      <c r="AR8521" t="s">
        <v>66</v>
      </c>
      <c r="AS8521" t="s">
        <v>67</v>
      </c>
      <c r="AT8521" t="s">
        <v>58</v>
      </c>
      <c r="AU8521" t="s">
        <v>68</v>
      </c>
      <c r="AV8521" t="s">
        <v>132</v>
      </c>
      <c r="AX8521">
        <v>1</v>
      </c>
    </row>
    <row r="8522" spans="1:50">
      <c r="B8522" t="str">
        <f>"133396636"</f>
        <v>133396636</v>
      </c>
      <c r="C8522" t="s">
        <v>50</v>
      </c>
      <c r="D8522" t="s">
        <v>13109</v>
      </c>
      <c r="E8522" t="s">
        <v>73</v>
      </c>
      <c r="F8522" t="s">
        <v>383</v>
      </c>
      <c r="G8522" t="s">
        <v>396</v>
      </c>
      <c r="H8522" t="str">
        <f>" "</f>
        <v xml:space="preserve"> </v>
      </c>
      <c r="N8522" t="s">
        <v>683</v>
      </c>
      <c r="O8522" t="s">
        <v>684</v>
      </c>
      <c r="R8522" t="s">
        <v>121</v>
      </c>
      <c r="S8522">
        <v>1</v>
      </c>
      <c r="T8522" t="s">
        <v>8675</v>
      </c>
      <c r="U8522" s="1">
        <v>43348</v>
      </c>
      <c r="V8522" t="s">
        <v>66</v>
      </c>
      <c r="W8522" t="s">
        <v>67</v>
      </c>
      <c r="X8522" t="s">
        <v>58</v>
      </c>
      <c r="Y8522">
        <v>24</v>
      </c>
      <c r="Z8522" t="s">
        <v>59</v>
      </c>
      <c r="AA8522" t="s">
        <v>59</v>
      </c>
      <c r="AB8522" t="s">
        <v>59</v>
      </c>
      <c r="AD8522" t="s">
        <v>59</v>
      </c>
      <c r="AF8522" s="1">
        <v>43348</v>
      </c>
      <c r="AG8522" t="s">
        <v>8645</v>
      </c>
      <c r="AH8522" t="s">
        <v>8646</v>
      </c>
      <c r="AI8522" t="str">
        <f>"9410061"</f>
        <v>9410061</v>
      </c>
      <c r="AJ8522" t="s">
        <v>12760</v>
      </c>
      <c r="AK8522">
        <v>2831024378</v>
      </c>
      <c r="AL8522" t="s">
        <v>12761</v>
      </c>
      <c r="AM8522" t="s">
        <v>64</v>
      </c>
      <c r="AN8522" t="s">
        <v>65</v>
      </c>
      <c r="AO8522" t="s">
        <v>65</v>
      </c>
      <c r="AP8522" t="s">
        <v>65</v>
      </c>
      <c r="AQ8522">
        <v>1</v>
      </c>
      <c r="AR8522" t="s">
        <v>66</v>
      </c>
      <c r="AS8522" t="s">
        <v>67</v>
      </c>
      <c r="AT8522" t="s">
        <v>58</v>
      </c>
      <c r="AU8522" t="s">
        <v>8673</v>
      </c>
      <c r="AV8522" t="s">
        <v>132</v>
      </c>
      <c r="AW8522" s="1">
        <v>31573</v>
      </c>
      <c r="AX8522">
        <v>1</v>
      </c>
    </row>
    <row r="8523" spans="1:50">
      <c r="B8523" t="str">
        <f>"144981148"</f>
        <v>144981148</v>
      </c>
      <c r="C8523" t="s">
        <v>105</v>
      </c>
      <c r="D8523" t="s">
        <v>1751</v>
      </c>
      <c r="E8523" t="s">
        <v>95</v>
      </c>
      <c r="F8523" t="s">
        <v>309</v>
      </c>
      <c r="G8523" t="s">
        <v>237</v>
      </c>
      <c r="H8523" t="str">
        <f>"Κατσαντώνη 22  Σχηματάρι  Βοιωτίας"</f>
        <v>Κατσαντώνη 22  Σχηματάρι  Βοιωτίας</v>
      </c>
      <c r="I8523">
        <v>32009</v>
      </c>
      <c r="J8523">
        <v>2262057896</v>
      </c>
      <c r="K8523">
        <v>6978278475</v>
      </c>
      <c r="M8523" t="s">
        <v>13110</v>
      </c>
      <c r="N8523" t="s">
        <v>615</v>
      </c>
      <c r="O8523" t="s">
        <v>616</v>
      </c>
      <c r="R8523" t="s">
        <v>121</v>
      </c>
      <c r="S8523">
        <v>1</v>
      </c>
      <c r="T8523" t="s">
        <v>8675</v>
      </c>
      <c r="U8523" s="1">
        <v>43348</v>
      </c>
      <c r="V8523" t="s">
        <v>66</v>
      </c>
      <c r="W8523" t="s">
        <v>67</v>
      </c>
      <c r="X8523" t="s">
        <v>58</v>
      </c>
      <c r="Y8523">
        <v>25</v>
      </c>
      <c r="Z8523" t="s">
        <v>59</v>
      </c>
      <c r="AA8523" t="s">
        <v>59</v>
      </c>
      <c r="AB8523" t="s">
        <v>59</v>
      </c>
      <c r="AC8523" t="s">
        <v>59</v>
      </c>
      <c r="AD8523" t="s">
        <v>59</v>
      </c>
      <c r="AF8523" s="1">
        <v>43348</v>
      </c>
      <c r="AG8523" t="s">
        <v>8645</v>
      </c>
      <c r="AH8523" t="s">
        <v>8676</v>
      </c>
      <c r="AI8523" t="str">
        <f>"9410010"</f>
        <v>9410010</v>
      </c>
      <c r="AJ8523" t="s">
        <v>13019</v>
      </c>
      <c r="AK8523">
        <v>2834091414</v>
      </c>
      <c r="AL8523" t="s">
        <v>13020</v>
      </c>
      <c r="AM8523" t="s">
        <v>64</v>
      </c>
      <c r="AN8523" t="s">
        <v>5672</v>
      </c>
      <c r="AO8523" t="s">
        <v>5673</v>
      </c>
      <c r="AP8523" t="s">
        <v>13021</v>
      </c>
      <c r="AQ8523">
        <v>11</v>
      </c>
      <c r="AR8523" t="s">
        <v>66</v>
      </c>
      <c r="AS8523" t="s">
        <v>67</v>
      </c>
      <c r="AT8523" t="s">
        <v>58</v>
      </c>
      <c r="AU8523" t="s">
        <v>8673</v>
      </c>
      <c r="AV8523" t="s">
        <v>132</v>
      </c>
      <c r="AW8523" s="1">
        <v>32509</v>
      </c>
      <c r="AX8523">
        <v>1</v>
      </c>
    </row>
    <row r="8524" spans="1:50">
      <c r="B8524" t="str">
        <f>"146570240"</f>
        <v>146570240</v>
      </c>
      <c r="C8524" t="s">
        <v>50</v>
      </c>
      <c r="D8524" t="s">
        <v>13111</v>
      </c>
      <c r="E8524" t="s">
        <v>620</v>
      </c>
      <c r="F8524" t="s">
        <v>72</v>
      </c>
      <c r="G8524" t="s">
        <v>155</v>
      </c>
      <c r="H8524" t="str">
        <f>"25ΗΣ ΜΑΡΤΟΥ 15 "</f>
        <v xml:space="preserve">25ΗΣ ΜΑΡΤΟΥ 15 </v>
      </c>
      <c r="I8524">
        <v>43100</v>
      </c>
      <c r="J8524">
        <v>2441040891</v>
      </c>
      <c r="K8524">
        <v>6982301422</v>
      </c>
      <c r="N8524" t="s">
        <v>8694</v>
      </c>
      <c r="O8524" t="s">
        <v>8695</v>
      </c>
      <c r="R8524" t="s">
        <v>159</v>
      </c>
      <c r="S8524">
        <v>4</v>
      </c>
      <c r="T8524" t="s">
        <v>8696</v>
      </c>
      <c r="U8524" s="1">
        <v>43348</v>
      </c>
      <c r="V8524" t="s">
        <v>66</v>
      </c>
      <c r="W8524" t="s">
        <v>67</v>
      </c>
      <c r="X8524" t="s">
        <v>58</v>
      </c>
      <c r="Y8524">
        <v>24</v>
      </c>
      <c r="Z8524" t="s">
        <v>59</v>
      </c>
      <c r="AA8524" t="s">
        <v>59</v>
      </c>
      <c r="AB8524" t="s">
        <v>59</v>
      </c>
      <c r="AC8524" t="s">
        <v>59</v>
      </c>
      <c r="AD8524" t="s">
        <v>59</v>
      </c>
      <c r="AF8524" s="1">
        <v>43348</v>
      </c>
      <c r="AG8524" t="s">
        <v>8645</v>
      </c>
      <c r="AH8524" t="s">
        <v>8646</v>
      </c>
      <c r="AI8524" t="str">
        <f>"9410167"</f>
        <v>9410167</v>
      </c>
      <c r="AJ8524" t="s">
        <v>12911</v>
      </c>
      <c r="AK8524">
        <v>2831031455</v>
      </c>
      <c r="AL8524" t="s">
        <v>12912</v>
      </c>
      <c r="AM8524" t="s">
        <v>64</v>
      </c>
      <c r="AN8524" t="s">
        <v>65</v>
      </c>
      <c r="AO8524" t="s">
        <v>5720</v>
      </c>
      <c r="AP8524" t="s">
        <v>12913</v>
      </c>
      <c r="AQ8524">
        <v>2</v>
      </c>
      <c r="AR8524" t="s">
        <v>66</v>
      </c>
      <c r="AS8524" t="s">
        <v>67</v>
      </c>
      <c r="AT8524" t="s">
        <v>58</v>
      </c>
      <c r="AU8524" t="s">
        <v>350</v>
      </c>
      <c r="AV8524" t="s">
        <v>132</v>
      </c>
      <c r="AW8524" s="1">
        <v>32410</v>
      </c>
      <c r="AX8524">
        <v>1</v>
      </c>
    </row>
    <row r="8525" spans="1:50">
      <c r="A8525">
        <v>622881</v>
      </c>
      <c r="B8525" t="str">
        <f>"077471242"</f>
        <v>077471242</v>
      </c>
      <c r="C8525" t="s">
        <v>50</v>
      </c>
      <c r="D8525" t="s">
        <v>13112</v>
      </c>
      <c r="E8525" t="s">
        <v>52</v>
      </c>
      <c r="F8525" t="s">
        <v>72</v>
      </c>
      <c r="G8525" t="s">
        <v>250</v>
      </c>
      <c r="H8525" t="str">
        <f>" "</f>
        <v xml:space="preserve"> </v>
      </c>
      <c r="N8525" t="s">
        <v>1525</v>
      </c>
      <c r="O8525" t="s">
        <v>1526</v>
      </c>
      <c r="R8525" t="s">
        <v>57</v>
      </c>
      <c r="S8525">
        <v>4</v>
      </c>
      <c r="T8525">
        <v>683</v>
      </c>
      <c r="U8525" s="1">
        <v>40052</v>
      </c>
      <c r="V8525" t="s">
        <v>66</v>
      </c>
      <c r="W8525" t="s">
        <v>67</v>
      </c>
      <c r="X8525" t="s">
        <v>58</v>
      </c>
      <c r="Y8525">
        <v>25</v>
      </c>
      <c r="Z8525" t="s">
        <v>59</v>
      </c>
      <c r="AA8525" t="s">
        <v>59</v>
      </c>
      <c r="AB8525" t="s">
        <v>59</v>
      </c>
      <c r="AC8525" t="s">
        <v>59</v>
      </c>
      <c r="AD8525" t="s">
        <v>59</v>
      </c>
      <c r="AF8525" s="1">
        <v>40053</v>
      </c>
      <c r="AG8525" t="s">
        <v>8651</v>
      </c>
      <c r="AH8525" t="s">
        <v>8652</v>
      </c>
      <c r="AI8525" t="str">
        <f>"9410249"</f>
        <v>9410249</v>
      </c>
      <c r="AJ8525" t="s">
        <v>13113</v>
      </c>
      <c r="AK8525">
        <v>2831032526</v>
      </c>
      <c r="AL8525" t="s">
        <v>13114</v>
      </c>
      <c r="AM8525" t="s">
        <v>64</v>
      </c>
      <c r="AN8525" t="s">
        <v>65</v>
      </c>
      <c r="AO8525" t="s">
        <v>5720</v>
      </c>
      <c r="AP8525" t="s">
        <v>12938</v>
      </c>
      <c r="AQ8525">
        <v>2</v>
      </c>
      <c r="AR8525" t="s">
        <v>66</v>
      </c>
      <c r="AS8525" t="s">
        <v>67</v>
      </c>
      <c r="AT8525" t="s">
        <v>58</v>
      </c>
      <c r="AU8525" t="s">
        <v>68</v>
      </c>
      <c r="AV8525" t="s">
        <v>69</v>
      </c>
      <c r="AW8525" s="1">
        <v>26247</v>
      </c>
      <c r="AX8525">
        <v>1</v>
      </c>
    </row>
    <row r="8526" spans="1:50">
      <c r="B8526" t="str">
        <f>"137458580"</f>
        <v>137458580</v>
      </c>
      <c r="C8526" t="s">
        <v>50</v>
      </c>
      <c r="D8526" t="s">
        <v>1763</v>
      </c>
      <c r="E8526" t="s">
        <v>96</v>
      </c>
      <c r="F8526" t="s">
        <v>99</v>
      </c>
      <c r="G8526" t="s">
        <v>109</v>
      </c>
      <c r="H8526" t="str">
        <f>"ΑΤΣΙΠΟΠΟΥΛΟ Τ.Θ. 4-216 "</f>
        <v xml:space="preserve">ΑΤΣΙΠΟΠΟΥΛΟ Τ.Θ. 4-216 </v>
      </c>
      <c r="I8526">
        <v>74100</v>
      </c>
      <c r="J8526">
        <v>2831032355</v>
      </c>
      <c r="K8526">
        <v>6977250641</v>
      </c>
      <c r="N8526" t="s">
        <v>1525</v>
      </c>
      <c r="O8526" t="s">
        <v>1526</v>
      </c>
      <c r="R8526" t="s">
        <v>159</v>
      </c>
      <c r="S8526">
        <v>2</v>
      </c>
      <c r="T8526" t="s">
        <v>8670</v>
      </c>
      <c r="U8526" s="1">
        <v>43348</v>
      </c>
      <c r="V8526" t="s">
        <v>66</v>
      </c>
      <c r="W8526" t="s">
        <v>67</v>
      </c>
      <c r="X8526" t="s">
        <v>58</v>
      </c>
      <c r="Y8526">
        <v>25</v>
      </c>
      <c r="Z8526" t="s">
        <v>59</v>
      </c>
      <c r="AA8526" t="s">
        <v>59</v>
      </c>
      <c r="AB8526" t="s">
        <v>59</v>
      </c>
      <c r="AC8526" t="s">
        <v>59</v>
      </c>
      <c r="AD8526" t="s">
        <v>59</v>
      </c>
      <c r="AF8526" s="1">
        <v>43348</v>
      </c>
      <c r="AG8526" t="s">
        <v>8651</v>
      </c>
      <c r="AH8526" t="s">
        <v>8652</v>
      </c>
      <c r="AI8526" t="str">
        <f>"9521690"</f>
        <v>9521690</v>
      </c>
      <c r="AJ8526" t="s">
        <v>12842</v>
      </c>
      <c r="AK8526">
        <v>2834022049</v>
      </c>
      <c r="AM8526" t="s">
        <v>64</v>
      </c>
      <c r="AN8526" t="s">
        <v>5672</v>
      </c>
      <c r="AO8526" t="s">
        <v>5698</v>
      </c>
      <c r="AP8526" t="s">
        <v>12838</v>
      </c>
      <c r="AQ8526">
        <v>11</v>
      </c>
      <c r="AR8526" t="s">
        <v>66</v>
      </c>
      <c r="AS8526" t="s">
        <v>67</v>
      </c>
      <c r="AT8526" t="s">
        <v>58</v>
      </c>
      <c r="AU8526" t="s">
        <v>8673</v>
      </c>
      <c r="AV8526" t="s">
        <v>132</v>
      </c>
      <c r="AW8526" s="1">
        <v>30760</v>
      </c>
      <c r="AX8526">
        <v>1</v>
      </c>
    </row>
    <row r="8527" spans="1:50">
      <c r="B8527" t="str">
        <f>"139974673"</f>
        <v>139974673</v>
      </c>
      <c r="C8527" t="s">
        <v>50</v>
      </c>
      <c r="D8527" t="s">
        <v>13115</v>
      </c>
      <c r="E8527" t="s">
        <v>13116</v>
      </c>
      <c r="F8527" t="s">
        <v>670</v>
      </c>
      <c r="G8527" t="s">
        <v>13117</v>
      </c>
      <c r="H8527" t="str">
        <f>" "</f>
        <v xml:space="preserve"> </v>
      </c>
      <c r="N8527" t="s">
        <v>1525</v>
      </c>
      <c r="O8527" t="s">
        <v>1526</v>
      </c>
      <c r="R8527" t="s">
        <v>121</v>
      </c>
      <c r="S8527">
        <v>1</v>
      </c>
      <c r="T8527" t="s">
        <v>10716</v>
      </c>
      <c r="U8527" s="1">
        <v>43377</v>
      </c>
      <c r="V8527" t="s">
        <v>66</v>
      </c>
      <c r="W8527" t="s">
        <v>67</v>
      </c>
      <c r="X8527" t="s">
        <v>58</v>
      </c>
      <c r="Y8527">
        <v>25</v>
      </c>
      <c r="Z8527" t="s">
        <v>59</v>
      </c>
      <c r="AA8527" t="s">
        <v>59</v>
      </c>
      <c r="AB8527" t="s">
        <v>59</v>
      </c>
      <c r="AD8527" t="s">
        <v>59</v>
      </c>
      <c r="AF8527" s="1">
        <v>43377</v>
      </c>
      <c r="AG8527" t="s">
        <v>8651</v>
      </c>
      <c r="AH8527" t="s">
        <v>8652</v>
      </c>
      <c r="AI8527" t="str">
        <f>"9410233"</f>
        <v>9410233</v>
      </c>
      <c r="AJ8527" t="s">
        <v>12861</v>
      </c>
      <c r="AK8527">
        <v>2832051552</v>
      </c>
      <c r="AL8527" t="s">
        <v>12862</v>
      </c>
      <c r="AM8527" t="s">
        <v>64</v>
      </c>
      <c r="AN8527" t="s">
        <v>5882</v>
      </c>
      <c r="AO8527" t="s">
        <v>6099</v>
      </c>
      <c r="AP8527" t="s">
        <v>12825</v>
      </c>
      <c r="AQ8527">
        <v>5</v>
      </c>
      <c r="AR8527" t="s">
        <v>66</v>
      </c>
      <c r="AS8527" t="s">
        <v>67</v>
      </c>
      <c r="AT8527" t="s">
        <v>58</v>
      </c>
      <c r="AU8527" t="s">
        <v>8673</v>
      </c>
      <c r="AV8527" t="s">
        <v>132</v>
      </c>
      <c r="AW8527" s="1">
        <v>31266</v>
      </c>
      <c r="AX8527">
        <v>1</v>
      </c>
    </row>
    <row r="8528" spans="1:50">
      <c r="B8528" t="str">
        <f>"137065746"</f>
        <v>137065746</v>
      </c>
      <c r="C8528" t="s">
        <v>105</v>
      </c>
      <c r="D8528" t="s">
        <v>13118</v>
      </c>
      <c r="E8528" t="s">
        <v>95</v>
      </c>
      <c r="F8528" t="s">
        <v>309</v>
      </c>
      <c r="G8528" t="s">
        <v>13119</v>
      </c>
      <c r="H8528" t="str">
        <f>"ΔΙΑΒΑΤΟΣ "</f>
        <v xml:space="preserve">ΔΙΑΒΑΤΟΣ </v>
      </c>
      <c r="I8528">
        <v>59033</v>
      </c>
      <c r="J8528">
        <v>2331042390</v>
      </c>
      <c r="K8528">
        <v>6948717601</v>
      </c>
      <c r="N8528" t="s">
        <v>615</v>
      </c>
      <c r="O8528" t="s">
        <v>616</v>
      </c>
      <c r="R8528" t="s">
        <v>159</v>
      </c>
      <c r="S8528">
        <v>5</v>
      </c>
      <c r="T8528" t="s">
        <v>8675</v>
      </c>
      <c r="U8528" s="1">
        <v>43348</v>
      </c>
      <c r="V8528" t="s">
        <v>66</v>
      </c>
      <c r="W8528" t="s">
        <v>67</v>
      </c>
      <c r="X8528" t="s">
        <v>58</v>
      </c>
      <c r="Y8528">
        <v>24</v>
      </c>
      <c r="Z8528" t="s">
        <v>59</v>
      </c>
      <c r="AA8528" t="s">
        <v>59</v>
      </c>
      <c r="AB8528" t="s">
        <v>59</v>
      </c>
      <c r="AC8528" t="s">
        <v>59</v>
      </c>
      <c r="AD8528" t="s">
        <v>59</v>
      </c>
      <c r="AF8528" s="1">
        <v>43348</v>
      </c>
      <c r="AG8528" t="s">
        <v>8645</v>
      </c>
      <c r="AH8528" t="s">
        <v>8646</v>
      </c>
      <c r="AI8528" t="str">
        <f>"9410114"</f>
        <v>9410114</v>
      </c>
      <c r="AJ8528" t="s">
        <v>12877</v>
      </c>
      <c r="AK8528">
        <v>2832031291</v>
      </c>
      <c r="AL8528" t="s">
        <v>12878</v>
      </c>
      <c r="AM8528" t="s">
        <v>64</v>
      </c>
      <c r="AN8528" t="s">
        <v>5882</v>
      </c>
      <c r="AO8528" t="s">
        <v>6099</v>
      </c>
      <c r="AP8528" t="s">
        <v>12815</v>
      </c>
      <c r="AQ8528">
        <v>5</v>
      </c>
      <c r="AR8528" t="s">
        <v>66</v>
      </c>
      <c r="AS8528" t="s">
        <v>67</v>
      </c>
      <c r="AT8528" t="s">
        <v>58</v>
      </c>
      <c r="AU8528" t="s">
        <v>8673</v>
      </c>
      <c r="AV8528" t="s">
        <v>132</v>
      </c>
      <c r="AW8528" s="1">
        <v>31935</v>
      </c>
      <c r="AX8528">
        <v>1</v>
      </c>
    </row>
    <row r="8529" spans="1:50">
      <c r="A8529">
        <v>610067</v>
      </c>
      <c r="B8529" t="str">
        <f>"104039552"</f>
        <v>104039552</v>
      </c>
      <c r="C8529" t="s">
        <v>50</v>
      </c>
      <c r="D8529" t="s">
        <v>13120</v>
      </c>
      <c r="E8529" t="s">
        <v>83</v>
      </c>
      <c r="F8529" t="s">
        <v>1185</v>
      </c>
      <c r="G8529" t="s">
        <v>143</v>
      </c>
      <c r="H8529" t="str">
        <f>"ΚΑΡΤΕΡΟΛΙ ΚΑΡΤΕΡΟΛΙ"</f>
        <v>ΚΑΡΤΕΡΟΛΙ ΚΑΡΤΕΡΟΛΙ</v>
      </c>
      <c r="I8529">
        <v>24200</v>
      </c>
      <c r="J8529">
        <v>2722022952</v>
      </c>
      <c r="K8529">
        <v>6974801681</v>
      </c>
      <c r="M8529" t="s">
        <v>13121</v>
      </c>
      <c r="N8529" t="s">
        <v>615</v>
      </c>
      <c r="O8529" t="s">
        <v>616</v>
      </c>
      <c r="R8529" t="s">
        <v>57</v>
      </c>
      <c r="S8529">
        <v>6</v>
      </c>
      <c r="T8529">
        <v>233</v>
      </c>
      <c r="U8529" s="1">
        <v>38960</v>
      </c>
      <c r="V8529" t="s">
        <v>66</v>
      </c>
      <c r="W8529" t="s">
        <v>67</v>
      </c>
      <c r="X8529" t="s">
        <v>58</v>
      </c>
      <c r="Y8529">
        <v>23</v>
      </c>
      <c r="Z8529" t="s">
        <v>59</v>
      </c>
      <c r="AA8529" t="s">
        <v>59</v>
      </c>
      <c r="AB8529" t="s">
        <v>59</v>
      </c>
      <c r="AC8529" t="s">
        <v>59</v>
      </c>
      <c r="AD8529" t="s">
        <v>59</v>
      </c>
      <c r="AF8529" s="1">
        <v>38961</v>
      </c>
      <c r="AG8529" t="s">
        <v>8645</v>
      </c>
      <c r="AH8529" t="s">
        <v>8646</v>
      </c>
      <c r="AI8529" t="str">
        <f>"9410180"</f>
        <v>9410180</v>
      </c>
      <c r="AJ8529" t="s">
        <v>12696</v>
      </c>
      <c r="AK8529">
        <v>2831031206</v>
      </c>
      <c r="AL8529" t="s">
        <v>12697</v>
      </c>
      <c r="AM8529" t="s">
        <v>64</v>
      </c>
      <c r="AN8529" t="s">
        <v>65</v>
      </c>
      <c r="AO8529" t="s">
        <v>5720</v>
      </c>
      <c r="AP8529" t="s">
        <v>12698</v>
      </c>
      <c r="AQ8529">
        <v>2</v>
      </c>
      <c r="AR8529" t="s">
        <v>66</v>
      </c>
      <c r="AS8529" t="s">
        <v>67</v>
      </c>
      <c r="AT8529" t="s">
        <v>58</v>
      </c>
      <c r="AU8529" t="s">
        <v>68</v>
      </c>
      <c r="AV8529" t="s">
        <v>69</v>
      </c>
      <c r="AW8529" s="1">
        <v>29761</v>
      </c>
      <c r="AX8529">
        <v>1</v>
      </c>
    </row>
    <row r="8530" spans="1:50">
      <c r="A8530">
        <v>598508</v>
      </c>
      <c r="B8530" t="str">
        <f>"053975228"</f>
        <v>053975228</v>
      </c>
      <c r="C8530" t="s">
        <v>105</v>
      </c>
      <c r="D8530" t="s">
        <v>13122</v>
      </c>
      <c r="E8530" t="s">
        <v>72</v>
      </c>
      <c r="F8530" t="s">
        <v>309</v>
      </c>
      <c r="G8530" t="s">
        <v>13123</v>
      </c>
      <c r="H8530" t="str">
        <f>"ΓΕΡΑΝΙ ΓΕΡΑΝΙ ΡΕΘΥΜΝΟ"</f>
        <v>ΓΕΡΑΝΙ ΓΕΡΑΝΙ ΡΕΘΥΜΝΟ</v>
      </c>
      <c r="I8530">
        <v>74100</v>
      </c>
      <c r="J8530">
        <v>2831072074</v>
      </c>
      <c r="K8530">
        <v>6977342950</v>
      </c>
      <c r="N8530" t="s">
        <v>615</v>
      </c>
      <c r="O8530" t="s">
        <v>616</v>
      </c>
      <c r="R8530" t="s">
        <v>57</v>
      </c>
      <c r="S8530">
        <v>9</v>
      </c>
      <c r="T8530">
        <v>195</v>
      </c>
      <c r="U8530" s="1">
        <v>37497</v>
      </c>
      <c r="V8530" t="s">
        <v>66</v>
      </c>
      <c r="W8530" t="s">
        <v>67</v>
      </c>
      <c r="X8530" t="s">
        <v>58</v>
      </c>
      <c r="Y8530">
        <v>22</v>
      </c>
      <c r="Z8530" t="s">
        <v>59</v>
      </c>
      <c r="AA8530" t="s">
        <v>59</v>
      </c>
      <c r="AB8530" t="s">
        <v>59</v>
      </c>
      <c r="AC8530" t="s">
        <v>59</v>
      </c>
      <c r="AD8530" t="s">
        <v>59</v>
      </c>
      <c r="AF8530" s="1">
        <v>37502</v>
      </c>
      <c r="AG8530" t="s">
        <v>8645</v>
      </c>
      <c r="AH8530" t="s">
        <v>8646</v>
      </c>
      <c r="AI8530" t="str">
        <f>"9410069"</f>
        <v>9410069</v>
      </c>
      <c r="AJ8530" t="s">
        <v>12674</v>
      </c>
      <c r="AK8530">
        <v>2831029296</v>
      </c>
      <c r="AL8530" t="s">
        <v>12675</v>
      </c>
      <c r="AM8530" t="s">
        <v>64</v>
      </c>
      <c r="AN8530" t="s">
        <v>65</v>
      </c>
      <c r="AO8530" t="s">
        <v>65</v>
      </c>
      <c r="AP8530" t="s">
        <v>65</v>
      </c>
      <c r="AQ8530">
        <v>1</v>
      </c>
      <c r="AR8530" t="s">
        <v>66</v>
      </c>
      <c r="AS8530" t="s">
        <v>67</v>
      </c>
      <c r="AT8530" t="s">
        <v>58</v>
      </c>
      <c r="AU8530" t="s">
        <v>68</v>
      </c>
      <c r="AV8530" t="s">
        <v>69</v>
      </c>
      <c r="AW8530" s="1">
        <v>24770</v>
      </c>
      <c r="AX8530">
        <v>1</v>
      </c>
    </row>
    <row r="8531" spans="1:50">
      <c r="A8531">
        <v>606882</v>
      </c>
      <c r="B8531" t="str">
        <f>"075848816"</f>
        <v>075848816</v>
      </c>
      <c r="C8531" t="s">
        <v>50</v>
      </c>
      <c r="D8531" t="s">
        <v>1779</v>
      </c>
      <c r="E8531" t="s">
        <v>755</v>
      </c>
      <c r="F8531" t="s">
        <v>99</v>
      </c>
      <c r="G8531" t="s">
        <v>181</v>
      </c>
      <c r="H8531" t="str">
        <f>" "</f>
        <v xml:space="preserve"> </v>
      </c>
      <c r="N8531" t="s">
        <v>74</v>
      </c>
      <c r="O8531" t="s">
        <v>75</v>
      </c>
      <c r="R8531" t="s">
        <v>57</v>
      </c>
      <c r="S8531">
        <v>9</v>
      </c>
      <c r="T8531">
        <v>201</v>
      </c>
      <c r="U8531" s="1">
        <v>37503</v>
      </c>
      <c r="V8531" t="s">
        <v>66</v>
      </c>
      <c r="W8531" t="s">
        <v>67</v>
      </c>
      <c r="X8531" t="s">
        <v>58</v>
      </c>
      <c r="Y8531">
        <v>22</v>
      </c>
      <c r="Z8531" t="s">
        <v>59</v>
      </c>
      <c r="AA8531" t="s">
        <v>59</v>
      </c>
      <c r="AB8531" t="s">
        <v>59</v>
      </c>
      <c r="AC8531" t="s">
        <v>59</v>
      </c>
      <c r="AD8531" t="s">
        <v>59</v>
      </c>
      <c r="AF8531" s="1">
        <v>37508</v>
      </c>
      <c r="AG8531" t="s">
        <v>8645</v>
      </c>
      <c r="AH8531" t="s">
        <v>8697</v>
      </c>
      <c r="AI8531" t="str">
        <f>"9410243"</f>
        <v>9410243</v>
      </c>
      <c r="AJ8531" t="s">
        <v>12885</v>
      </c>
      <c r="AK8531">
        <v>2831026710</v>
      </c>
      <c r="AL8531" t="s">
        <v>12886</v>
      </c>
      <c r="AM8531" t="s">
        <v>64</v>
      </c>
      <c r="AN8531" t="s">
        <v>65</v>
      </c>
      <c r="AO8531" t="s">
        <v>65</v>
      </c>
      <c r="AP8531" t="s">
        <v>65</v>
      </c>
      <c r="AQ8531">
        <v>1</v>
      </c>
      <c r="AR8531" t="s">
        <v>66</v>
      </c>
      <c r="AS8531" t="s">
        <v>67</v>
      </c>
      <c r="AT8531" t="s">
        <v>58</v>
      </c>
      <c r="AU8531" t="s">
        <v>68</v>
      </c>
      <c r="AV8531" t="s">
        <v>69</v>
      </c>
      <c r="AW8531" s="1">
        <v>26810</v>
      </c>
      <c r="AX8531">
        <v>1</v>
      </c>
    </row>
    <row r="8532" spans="1:50">
      <c r="A8532">
        <v>609681</v>
      </c>
      <c r="B8532" t="str">
        <f>"033563532"</f>
        <v>033563532</v>
      </c>
      <c r="C8532" t="s">
        <v>105</v>
      </c>
      <c r="D8532" t="s">
        <v>13124</v>
      </c>
      <c r="E8532" t="s">
        <v>84</v>
      </c>
      <c r="F8532" t="s">
        <v>510</v>
      </c>
      <c r="G8532" t="s">
        <v>13125</v>
      </c>
      <c r="H8532" t="str">
        <f>" "</f>
        <v xml:space="preserve"> </v>
      </c>
      <c r="J8532">
        <v>2664022255</v>
      </c>
      <c r="K8532">
        <v>6974949399</v>
      </c>
      <c r="N8532" t="s">
        <v>176</v>
      </c>
      <c r="O8532" t="s">
        <v>177</v>
      </c>
      <c r="R8532" t="s">
        <v>57</v>
      </c>
      <c r="S8532">
        <v>8</v>
      </c>
      <c r="T8532">
        <v>225</v>
      </c>
      <c r="U8532" s="1">
        <v>38604</v>
      </c>
      <c r="V8532" t="s">
        <v>66</v>
      </c>
      <c r="W8532" t="s">
        <v>67</v>
      </c>
      <c r="X8532" t="s">
        <v>58</v>
      </c>
      <c r="Y8532">
        <v>23</v>
      </c>
      <c r="Z8532" t="s">
        <v>59</v>
      </c>
      <c r="AA8532" t="s">
        <v>59</v>
      </c>
      <c r="AB8532" t="s">
        <v>59</v>
      </c>
      <c r="AC8532" t="s">
        <v>59</v>
      </c>
      <c r="AD8532" t="s">
        <v>59</v>
      </c>
      <c r="AF8532" s="1">
        <v>38609</v>
      </c>
      <c r="AG8532" t="s">
        <v>8645</v>
      </c>
      <c r="AH8532" t="s">
        <v>8646</v>
      </c>
      <c r="AI8532" t="str">
        <f>"9410160"</f>
        <v>9410160</v>
      </c>
      <c r="AJ8532" t="s">
        <v>12689</v>
      </c>
      <c r="AK8532">
        <v>2831041098</v>
      </c>
      <c r="AL8532" t="s">
        <v>12690</v>
      </c>
      <c r="AM8532" t="s">
        <v>64</v>
      </c>
      <c r="AN8532" t="s">
        <v>65</v>
      </c>
      <c r="AO8532" t="s">
        <v>65</v>
      </c>
      <c r="AP8532" t="s">
        <v>11883</v>
      </c>
      <c r="AQ8532">
        <v>2</v>
      </c>
      <c r="AR8532" t="s">
        <v>66</v>
      </c>
      <c r="AS8532" t="s">
        <v>67</v>
      </c>
      <c r="AT8532" t="s">
        <v>58</v>
      </c>
      <c r="AU8532" t="s">
        <v>68</v>
      </c>
      <c r="AV8532" t="s">
        <v>69</v>
      </c>
      <c r="AW8532" s="1">
        <v>25278</v>
      </c>
      <c r="AX8532">
        <v>1</v>
      </c>
    </row>
    <row r="8533" spans="1:50">
      <c r="A8533">
        <v>609717</v>
      </c>
      <c r="B8533" t="str">
        <f>"055269759"</f>
        <v>055269759</v>
      </c>
      <c r="C8533" t="s">
        <v>105</v>
      </c>
      <c r="D8533" t="s">
        <v>13126</v>
      </c>
      <c r="E8533" t="s">
        <v>450</v>
      </c>
      <c r="F8533" t="s">
        <v>84</v>
      </c>
      <c r="G8533" t="s">
        <v>109</v>
      </c>
      <c r="H8533" t="str">
        <f>"ΠΑΠΑΝΙΚΟΛΑΟΥ 3 ΡΕΘΥΜΝΟ"</f>
        <v>ΠΑΠΑΝΙΚΟΛΑΟΥ 3 ΡΕΘΥΜΝΟ</v>
      </c>
      <c r="I8533">
        <v>74100</v>
      </c>
      <c r="K8533">
        <v>6937156738</v>
      </c>
      <c r="N8533" t="s">
        <v>176</v>
      </c>
      <c r="O8533" t="s">
        <v>177</v>
      </c>
      <c r="R8533" t="s">
        <v>57</v>
      </c>
      <c r="S8533">
        <v>6</v>
      </c>
      <c r="T8533">
        <v>225</v>
      </c>
      <c r="U8533" s="1">
        <v>38604</v>
      </c>
      <c r="V8533" t="s">
        <v>66</v>
      </c>
      <c r="W8533" t="s">
        <v>67</v>
      </c>
      <c r="X8533" t="s">
        <v>58</v>
      </c>
      <c r="Y8533">
        <v>23</v>
      </c>
      <c r="Z8533" t="s">
        <v>59</v>
      </c>
      <c r="AA8533" t="s">
        <v>59</v>
      </c>
      <c r="AB8533" t="s">
        <v>59</v>
      </c>
      <c r="AC8533" t="s">
        <v>59</v>
      </c>
      <c r="AD8533" t="s">
        <v>59</v>
      </c>
      <c r="AF8533" s="1">
        <v>38609</v>
      </c>
      <c r="AG8533" t="s">
        <v>8645</v>
      </c>
      <c r="AH8533" t="s">
        <v>8646</v>
      </c>
      <c r="AI8533" t="str">
        <f>"9410114"</f>
        <v>9410114</v>
      </c>
      <c r="AJ8533" t="s">
        <v>12877</v>
      </c>
      <c r="AK8533">
        <v>2832031291</v>
      </c>
      <c r="AL8533" t="s">
        <v>12878</v>
      </c>
      <c r="AM8533" t="s">
        <v>64</v>
      </c>
      <c r="AN8533" t="s">
        <v>5882</v>
      </c>
      <c r="AO8533" t="s">
        <v>6099</v>
      </c>
      <c r="AP8533" t="s">
        <v>12815</v>
      </c>
      <c r="AQ8533">
        <v>5</v>
      </c>
      <c r="AR8533" t="s">
        <v>66</v>
      </c>
      <c r="AS8533" t="s">
        <v>67</v>
      </c>
      <c r="AT8533" t="s">
        <v>58</v>
      </c>
      <c r="AU8533" t="s">
        <v>68</v>
      </c>
      <c r="AV8533" t="s">
        <v>69</v>
      </c>
      <c r="AW8533" s="1">
        <v>24568</v>
      </c>
      <c r="AX8533">
        <v>1</v>
      </c>
    </row>
    <row r="8534" spans="1:50">
      <c r="A8534">
        <v>579073</v>
      </c>
      <c r="B8534" t="str">
        <f>"036651598"</f>
        <v>036651598</v>
      </c>
      <c r="C8534" t="s">
        <v>105</v>
      </c>
      <c r="D8534" t="s">
        <v>13127</v>
      </c>
      <c r="E8534" t="s">
        <v>1023</v>
      </c>
      <c r="F8534" t="s">
        <v>10719</v>
      </c>
      <c r="G8534" t="s">
        <v>52</v>
      </c>
      <c r="H8534" t="str">
        <f>"Αδελιανός Κάμπος ¶δελε Ρεθύμνου"</f>
        <v>Αδελιανός Κάμπος ¶δελε Ρεθύμνου</v>
      </c>
      <c r="I8534">
        <v>74100</v>
      </c>
      <c r="J8534">
        <v>2831072998</v>
      </c>
      <c r="K8534">
        <v>6972339313</v>
      </c>
      <c r="N8534" t="s">
        <v>615</v>
      </c>
      <c r="O8534" t="s">
        <v>616</v>
      </c>
      <c r="R8534" t="s">
        <v>57</v>
      </c>
      <c r="S8534">
        <v>15</v>
      </c>
      <c r="T8534">
        <v>165</v>
      </c>
      <c r="U8534" s="1">
        <v>35300</v>
      </c>
      <c r="V8534" t="s">
        <v>66</v>
      </c>
      <c r="W8534" t="s">
        <v>67</v>
      </c>
      <c r="X8534" t="s">
        <v>58</v>
      </c>
      <c r="Y8534">
        <v>21</v>
      </c>
      <c r="Z8534" t="s">
        <v>59</v>
      </c>
      <c r="AA8534" t="s">
        <v>59</v>
      </c>
      <c r="AB8534" t="s">
        <v>59</v>
      </c>
      <c r="AC8534" t="s">
        <v>59</v>
      </c>
      <c r="AD8534" t="s">
        <v>59</v>
      </c>
      <c r="AF8534" s="1">
        <v>35313</v>
      </c>
      <c r="AG8534" t="s">
        <v>8645</v>
      </c>
      <c r="AH8534" t="s">
        <v>8646</v>
      </c>
      <c r="AI8534" t="str">
        <f>"9410072"</f>
        <v>9410072</v>
      </c>
      <c r="AJ8534" t="s">
        <v>12692</v>
      </c>
      <c r="AK8534">
        <v>2831071264</v>
      </c>
      <c r="AL8534" t="s">
        <v>12693</v>
      </c>
      <c r="AM8534" t="s">
        <v>64</v>
      </c>
      <c r="AN8534" t="s">
        <v>65</v>
      </c>
      <c r="AO8534" t="s">
        <v>12694</v>
      </c>
      <c r="AP8534" t="s">
        <v>12695</v>
      </c>
      <c r="AQ8534">
        <v>3</v>
      </c>
      <c r="AR8534" t="s">
        <v>66</v>
      </c>
      <c r="AS8534" t="s">
        <v>67</v>
      </c>
      <c r="AT8534" t="s">
        <v>58</v>
      </c>
      <c r="AU8534" t="s">
        <v>68</v>
      </c>
      <c r="AV8534" t="s">
        <v>69</v>
      </c>
      <c r="AW8534" s="1">
        <v>24391</v>
      </c>
      <c r="AX8534">
        <v>1</v>
      </c>
    </row>
    <row r="8535" spans="1:50">
      <c r="A8535">
        <v>621026</v>
      </c>
      <c r="B8535" t="str">
        <f>"140259994"</f>
        <v>140259994</v>
      </c>
      <c r="C8535" t="s">
        <v>50</v>
      </c>
      <c r="D8535" t="s">
        <v>13128</v>
      </c>
      <c r="E8535" t="s">
        <v>1553</v>
      </c>
      <c r="F8535" t="s">
        <v>383</v>
      </c>
      <c r="G8535" t="s">
        <v>1310</v>
      </c>
      <c r="H8535" t="str">
        <f>"ΒΑΣ.ΚΩΝΣΤΑΝΤΙΝΟΥ 83-ΝΕΑΠΟΛΗ ΘΕΣΣΑΛΟΝΙΚΗ"</f>
        <v>ΒΑΣ.ΚΩΝΣΤΑΝΤΙΝΟΥ 83-ΝΕΑΠΟΛΗ ΘΕΣΣΑΛΟΝΙΚΗ</v>
      </c>
      <c r="I8535">
        <v>56728</v>
      </c>
      <c r="J8535">
        <v>2310639995</v>
      </c>
      <c r="K8535">
        <v>6987599488</v>
      </c>
      <c r="N8535" t="s">
        <v>615</v>
      </c>
      <c r="O8535" t="s">
        <v>616</v>
      </c>
      <c r="R8535" t="s">
        <v>57</v>
      </c>
      <c r="S8535">
        <v>5</v>
      </c>
      <c r="T8535">
        <v>653</v>
      </c>
      <c r="U8535" s="1">
        <v>40043</v>
      </c>
      <c r="V8535" t="s">
        <v>66</v>
      </c>
      <c r="W8535" t="s">
        <v>67</v>
      </c>
      <c r="X8535" t="s">
        <v>58</v>
      </c>
      <c r="Y8535">
        <v>23</v>
      </c>
      <c r="Z8535" t="s">
        <v>59</v>
      </c>
      <c r="AA8535" t="s">
        <v>59</v>
      </c>
      <c r="AB8535" t="s">
        <v>59</v>
      </c>
      <c r="AC8535" t="s">
        <v>59</v>
      </c>
      <c r="AD8535" t="s">
        <v>59</v>
      </c>
      <c r="AF8535" s="1">
        <v>40044</v>
      </c>
      <c r="AG8535" t="s">
        <v>8645</v>
      </c>
      <c r="AH8535" t="s">
        <v>8646</v>
      </c>
      <c r="AI8535" t="str">
        <f>"9410242"</f>
        <v>9410242</v>
      </c>
      <c r="AJ8535" t="s">
        <v>12796</v>
      </c>
      <c r="AK8535">
        <v>2834023145</v>
      </c>
      <c r="AL8535" t="s">
        <v>12797</v>
      </c>
      <c r="AM8535" t="s">
        <v>64</v>
      </c>
      <c r="AN8535" t="s">
        <v>5672</v>
      </c>
      <c r="AO8535" t="s">
        <v>5673</v>
      </c>
      <c r="AP8535" t="s">
        <v>5689</v>
      </c>
      <c r="AQ8535">
        <v>7</v>
      </c>
      <c r="AR8535" t="s">
        <v>66</v>
      </c>
      <c r="AS8535" t="s">
        <v>67</v>
      </c>
      <c r="AT8535" t="s">
        <v>58</v>
      </c>
      <c r="AU8535" t="s">
        <v>68</v>
      </c>
      <c r="AV8535" t="s">
        <v>69</v>
      </c>
      <c r="AW8535" s="1">
        <v>31362</v>
      </c>
      <c r="AX8535">
        <v>1</v>
      </c>
    </row>
    <row r="8536" spans="1:50">
      <c r="B8536" t="str">
        <f>"147451905"</f>
        <v>147451905</v>
      </c>
      <c r="C8536" t="s">
        <v>105</v>
      </c>
      <c r="D8536" t="s">
        <v>13129</v>
      </c>
      <c r="E8536" t="s">
        <v>53</v>
      </c>
      <c r="F8536" t="s">
        <v>106</v>
      </c>
      <c r="G8536" t="s">
        <v>367</v>
      </c>
      <c r="H8536" t="str">
        <f>"Μ. ΑΛΕΞΑΝΔΡΟΥ 38 "</f>
        <v xml:space="preserve">Μ. ΑΛΕΞΑΝΔΡΟΥ 38 </v>
      </c>
      <c r="I8536">
        <v>52200</v>
      </c>
      <c r="J8536">
        <v>2467041489</v>
      </c>
      <c r="K8536">
        <v>6981996792</v>
      </c>
      <c r="N8536" t="s">
        <v>615</v>
      </c>
      <c r="O8536" t="s">
        <v>616</v>
      </c>
      <c r="R8536" t="s">
        <v>159</v>
      </c>
      <c r="S8536">
        <v>4</v>
      </c>
      <c r="T8536" t="s">
        <v>8675</v>
      </c>
      <c r="U8536" s="1">
        <v>43348</v>
      </c>
      <c r="V8536" t="s">
        <v>66</v>
      </c>
      <c r="W8536" t="s">
        <v>67</v>
      </c>
      <c r="X8536" t="s">
        <v>58</v>
      </c>
      <c r="Y8536">
        <v>24</v>
      </c>
      <c r="Z8536" t="s">
        <v>59</v>
      </c>
      <c r="AA8536" t="s">
        <v>59</v>
      </c>
      <c r="AB8536" t="s">
        <v>59</v>
      </c>
      <c r="AC8536" t="s">
        <v>59</v>
      </c>
      <c r="AD8536" t="s">
        <v>59</v>
      </c>
      <c r="AF8536" s="1">
        <v>43348</v>
      </c>
      <c r="AG8536" t="s">
        <v>8645</v>
      </c>
      <c r="AH8536" t="s">
        <v>8646</v>
      </c>
      <c r="AI8536" t="str">
        <f>"9410170"</f>
        <v>9410170</v>
      </c>
      <c r="AJ8536" t="s">
        <v>12658</v>
      </c>
      <c r="AK8536">
        <v>2831061220</v>
      </c>
      <c r="AL8536" t="s">
        <v>12659</v>
      </c>
      <c r="AM8536" t="s">
        <v>64</v>
      </c>
      <c r="AN8536" t="s">
        <v>65</v>
      </c>
      <c r="AO8536" t="s">
        <v>5657</v>
      </c>
      <c r="AP8536" t="s">
        <v>1437</v>
      </c>
      <c r="AQ8536">
        <v>2</v>
      </c>
      <c r="AR8536" t="s">
        <v>66</v>
      </c>
      <c r="AS8536" t="s">
        <v>67</v>
      </c>
      <c r="AT8536" t="s">
        <v>58</v>
      </c>
      <c r="AU8536" t="s">
        <v>8673</v>
      </c>
      <c r="AV8536" t="s">
        <v>132</v>
      </c>
      <c r="AW8536" s="1">
        <v>32474</v>
      </c>
      <c r="AX8536">
        <v>1</v>
      </c>
    </row>
    <row r="8537" spans="1:50">
      <c r="A8537">
        <v>621837</v>
      </c>
      <c r="B8537" t="str">
        <f>"126519480"</f>
        <v>126519480</v>
      </c>
      <c r="C8537" t="s">
        <v>105</v>
      </c>
      <c r="D8537" t="s">
        <v>13130</v>
      </c>
      <c r="E8537" t="s">
        <v>92</v>
      </c>
      <c r="F8537" t="s">
        <v>166</v>
      </c>
      <c r="G8537" t="s">
        <v>964</v>
      </c>
      <c r="H8537" t="str">
        <f>"ΠΡΑΙΤΩΡΙΑ ΜΟΝΟΦΑΤΣΙΟΥ ΠΡΑΙΤΩΡΙΑ ΜΟΝΟΦΑΤΣΙΟΥ"</f>
        <v>ΠΡΑΙΤΩΡΙΑ ΜΟΝΟΦΑΤΣΙΟΥ ΠΡΑΙΤΩΡΙΑ ΜΟΝΟΦΑΤΣΙΟΥ</v>
      </c>
      <c r="I8537">
        <v>70010</v>
      </c>
      <c r="J8537">
        <v>2893022104</v>
      </c>
      <c r="K8537">
        <v>6973407543</v>
      </c>
      <c r="M8537" t="s">
        <v>13131</v>
      </c>
      <c r="N8537" t="s">
        <v>615</v>
      </c>
      <c r="O8537" t="s">
        <v>616</v>
      </c>
      <c r="R8537" t="s">
        <v>57</v>
      </c>
      <c r="S8537">
        <v>5</v>
      </c>
      <c r="T8537">
        <v>653</v>
      </c>
      <c r="U8537" s="1">
        <v>40043</v>
      </c>
      <c r="V8537" t="s">
        <v>66</v>
      </c>
      <c r="W8537" t="s">
        <v>67</v>
      </c>
      <c r="X8537" t="s">
        <v>58</v>
      </c>
      <c r="Y8537">
        <v>23</v>
      </c>
      <c r="Z8537" t="s">
        <v>59</v>
      </c>
      <c r="AA8537" t="s">
        <v>59</v>
      </c>
      <c r="AB8537" t="s">
        <v>59</v>
      </c>
      <c r="AC8537" t="s">
        <v>59</v>
      </c>
      <c r="AD8537" t="s">
        <v>59</v>
      </c>
      <c r="AF8537" s="1">
        <v>40043</v>
      </c>
      <c r="AG8537" t="s">
        <v>8645</v>
      </c>
      <c r="AH8537" t="s">
        <v>8646</v>
      </c>
      <c r="AI8537" t="str">
        <f>"9410051"</f>
        <v>9410051</v>
      </c>
      <c r="AJ8537" t="s">
        <v>12660</v>
      </c>
      <c r="AK8537">
        <v>2834022247</v>
      </c>
      <c r="AL8537" t="s">
        <v>12661</v>
      </c>
      <c r="AM8537" t="s">
        <v>64</v>
      </c>
      <c r="AN8537" t="s">
        <v>5672</v>
      </c>
      <c r="AO8537" t="s">
        <v>5673</v>
      </c>
      <c r="AP8537" t="s">
        <v>5689</v>
      </c>
      <c r="AQ8537">
        <v>7</v>
      </c>
      <c r="AR8537" t="s">
        <v>66</v>
      </c>
      <c r="AS8537" t="s">
        <v>67</v>
      </c>
      <c r="AT8537" t="s">
        <v>58</v>
      </c>
      <c r="AU8537" t="s">
        <v>68</v>
      </c>
      <c r="AV8537" t="s">
        <v>69</v>
      </c>
      <c r="AW8537" s="1">
        <v>30682</v>
      </c>
      <c r="AX8537">
        <v>1</v>
      </c>
    </row>
    <row r="8538" spans="1:50">
      <c r="B8538" t="str">
        <f>"161760208"</f>
        <v>161760208</v>
      </c>
      <c r="C8538" t="s">
        <v>50</v>
      </c>
      <c r="D8538" t="s">
        <v>13132</v>
      </c>
      <c r="E8538" t="s">
        <v>255</v>
      </c>
      <c r="F8538" t="s">
        <v>459</v>
      </c>
      <c r="G8538" t="s">
        <v>263</v>
      </c>
      <c r="H8538" t="str">
        <f>" "</f>
        <v xml:space="preserve"> </v>
      </c>
      <c r="N8538" t="s">
        <v>8694</v>
      </c>
      <c r="O8538" t="s">
        <v>8695</v>
      </c>
      <c r="R8538" t="s">
        <v>159</v>
      </c>
      <c r="S8538">
        <v>1</v>
      </c>
      <c r="T8538" t="s">
        <v>8835</v>
      </c>
      <c r="U8538" s="1">
        <v>43348</v>
      </c>
      <c r="V8538" t="s">
        <v>66</v>
      </c>
      <c r="W8538" t="s">
        <v>67</v>
      </c>
      <c r="X8538" t="s">
        <v>58</v>
      </c>
      <c r="Y8538">
        <v>24</v>
      </c>
      <c r="Z8538" t="s">
        <v>59</v>
      </c>
      <c r="AA8538" t="s">
        <v>59</v>
      </c>
      <c r="AB8538" t="s">
        <v>59</v>
      </c>
      <c r="AD8538" t="s">
        <v>59</v>
      </c>
      <c r="AF8538" s="1">
        <v>43348</v>
      </c>
      <c r="AG8538" t="s">
        <v>8645</v>
      </c>
      <c r="AH8538" t="s">
        <v>8646</v>
      </c>
      <c r="AI8538" t="str">
        <f>"9410241"</f>
        <v>9410241</v>
      </c>
      <c r="AJ8538" t="s">
        <v>12783</v>
      </c>
      <c r="AK8538">
        <v>2831022616</v>
      </c>
      <c r="AL8538" t="s">
        <v>12784</v>
      </c>
      <c r="AM8538" t="s">
        <v>64</v>
      </c>
      <c r="AN8538" t="s">
        <v>65</v>
      </c>
      <c r="AO8538" t="s">
        <v>65</v>
      </c>
      <c r="AP8538" t="s">
        <v>65</v>
      </c>
      <c r="AQ8538">
        <v>1</v>
      </c>
      <c r="AR8538" t="s">
        <v>66</v>
      </c>
      <c r="AS8538" t="s">
        <v>67</v>
      </c>
      <c r="AT8538" t="s">
        <v>58</v>
      </c>
      <c r="AU8538" t="s">
        <v>131</v>
      </c>
      <c r="AV8538" t="s">
        <v>132</v>
      </c>
      <c r="AW8538" s="1">
        <v>33671</v>
      </c>
      <c r="AX8538">
        <v>1</v>
      </c>
    </row>
    <row r="8539" spans="1:50">
      <c r="A8539">
        <v>604392</v>
      </c>
      <c r="B8539" t="str">
        <f>"068559592"</f>
        <v>068559592</v>
      </c>
      <c r="C8539" t="s">
        <v>50</v>
      </c>
      <c r="D8539" t="s">
        <v>13133</v>
      </c>
      <c r="E8539" t="s">
        <v>372</v>
      </c>
      <c r="F8539" t="s">
        <v>1023</v>
      </c>
      <c r="G8539" t="s">
        <v>155</v>
      </c>
      <c r="H8539" t="str">
        <f>"ΠΕΤΑΛΙΔΙΟΥ 10 ΑΓΙΑ ΠΑΡΑΣΚΕΥΗ"</f>
        <v>ΠΕΤΑΛΙΔΙΟΥ 10 ΑΓΙΑ ΠΑΡΑΣΚΕΥΗ</v>
      </c>
      <c r="I8539">
        <v>15343</v>
      </c>
      <c r="J8539">
        <v>2106017058</v>
      </c>
      <c r="K8539">
        <v>6934089417</v>
      </c>
      <c r="N8539" t="s">
        <v>615</v>
      </c>
      <c r="O8539" t="s">
        <v>616</v>
      </c>
      <c r="P8539" t="s">
        <v>683</v>
      </c>
      <c r="Q8539" t="s">
        <v>684</v>
      </c>
      <c r="R8539" t="s">
        <v>57</v>
      </c>
      <c r="S8539">
        <v>7</v>
      </c>
      <c r="T8539">
        <v>231</v>
      </c>
      <c r="U8539" s="1">
        <v>38230</v>
      </c>
      <c r="V8539" t="s">
        <v>66</v>
      </c>
      <c r="W8539" t="s">
        <v>67</v>
      </c>
      <c r="X8539" t="s">
        <v>58</v>
      </c>
      <c r="Y8539">
        <v>22</v>
      </c>
      <c r="Z8539" t="s">
        <v>59</v>
      </c>
      <c r="AA8539" t="s">
        <v>59</v>
      </c>
      <c r="AB8539" t="s">
        <v>59</v>
      </c>
      <c r="AC8539" t="s">
        <v>59</v>
      </c>
      <c r="AD8539" t="s">
        <v>59</v>
      </c>
      <c r="AF8539" s="1">
        <v>38231</v>
      </c>
      <c r="AG8539" t="s">
        <v>8645</v>
      </c>
      <c r="AH8539" t="s">
        <v>8646</v>
      </c>
      <c r="AI8539" t="str">
        <f>"9410065"</f>
        <v>9410065</v>
      </c>
      <c r="AJ8539" t="s">
        <v>12717</v>
      </c>
      <c r="AK8539">
        <v>2831022519</v>
      </c>
      <c r="AL8539" t="s">
        <v>12718</v>
      </c>
      <c r="AM8539" t="s">
        <v>64</v>
      </c>
      <c r="AN8539" t="s">
        <v>65</v>
      </c>
      <c r="AO8539" t="s">
        <v>65</v>
      </c>
      <c r="AP8539" t="s">
        <v>65</v>
      </c>
      <c r="AQ8539">
        <v>1</v>
      </c>
      <c r="AR8539" t="s">
        <v>66</v>
      </c>
      <c r="AS8539" t="s">
        <v>67</v>
      </c>
      <c r="AT8539" t="s">
        <v>58</v>
      </c>
      <c r="AU8539" t="s">
        <v>68</v>
      </c>
      <c r="AV8539" t="s">
        <v>69</v>
      </c>
      <c r="AW8539" s="1">
        <v>26960</v>
      </c>
      <c r="AX8539">
        <v>1</v>
      </c>
    </row>
    <row r="8540" spans="1:50">
      <c r="B8540" t="str">
        <f>"153763813"</f>
        <v>153763813</v>
      </c>
      <c r="C8540" t="s">
        <v>50</v>
      </c>
      <c r="D8540" t="s">
        <v>13134</v>
      </c>
      <c r="E8540" t="s">
        <v>1061</v>
      </c>
      <c r="F8540" t="s">
        <v>581</v>
      </c>
      <c r="G8540" t="s">
        <v>109</v>
      </c>
      <c r="H8540" t="str">
        <f>" "</f>
        <v xml:space="preserve"> </v>
      </c>
      <c r="N8540" t="s">
        <v>8694</v>
      </c>
      <c r="O8540" t="s">
        <v>8695</v>
      </c>
      <c r="R8540" t="s">
        <v>121</v>
      </c>
      <c r="S8540">
        <v>1</v>
      </c>
      <c r="T8540" t="s">
        <v>8835</v>
      </c>
      <c r="U8540" s="1">
        <v>43348</v>
      </c>
      <c r="V8540" t="s">
        <v>66</v>
      </c>
      <c r="W8540" t="s">
        <v>67</v>
      </c>
      <c r="X8540" t="s">
        <v>58</v>
      </c>
      <c r="Y8540">
        <v>24</v>
      </c>
      <c r="Z8540" t="s">
        <v>59</v>
      </c>
      <c r="AA8540" t="s">
        <v>59</v>
      </c>
      <c r="AB8540" t="s">
        <v>59</v>
      </c>
      <c r="AD8540" t="s">
        <v>59</v>
      </c>
      <c r="AF8540" s="1">
        <v>43348</v>
      </c>
      <c r="AG8540" t="s">
        <v>8645</v>
      </c>
      <c r="AH8540" t="s">
        <v>8646</v>
      </c>
      <c r="AI8540" t="str">
        <f>"9410038"</f>
        <v>9410038</v>
      </c>
      <c r="AJ8540" t="s">
        <v>12669</v>
      </c>
      <c r="AK8540">
        <v>2834061471</v>
      </c>
      <c r="AL8540" t="s">
        <v>12670</v>
      </c>
      <c r="AM8540" t="s">
        <v>64</v>
      </c>
      <c r="AN8540" t="s">
        <v>5672</v>
      </c>
      <c r="AO8540" t="s">
        <v>5698</v>
      </c>
      <c r="AP8540" t="s">
        <v>5699</v>
      </c>
      <c r="AQ8540">
        <v>9</v>
      </c>
      <c r="AR8540" t="s">
        <v>66</v>
      </c>
      <c r="AS8540" t="s">
        <v>67</v>
      </c>
      <c r="AT8540" t="s">
        <v>58</v>
      </c>
      <c r="AU8540" t="s">
        <v>131</v>
      </c>
      <c r="AV8540" t="s">
        <v>132</v>
      </c>
      <c r="AW8540" s="1">
        <v>34392</v>
      </c>
      <c r="AX8540">
        <v>1</v>
      </c>
    </row>
    <row r="8541" spans="1:50">
      <c r="A8541">
        <v>596063</v>
      </c>
      <c r="B8541" t="str">
        <f>"053251670"</f>
        <v>053251670</v>
      </c>
      <c r="C8541" t="s">
        <v>105</v>
      </c>
      <c r="D8541" t="s">
        <v>13135</v>
      </c>
      <c r="E8541" t="s">
        <v>377</v>
      </c>
      <c r="F8541" t="s">
        <v>936</v>
      </c>
      <c r="G8541" t="s">
        <v>13136</v>
      </c>
      <c r="H8541" t="str">
        <f>"ΜΑΧΗΣ ΚΡΗΤΗΣ  99 ΡΕΘΥΜΝΟ"</f>
        <v>ΜΑΧΗΣ ΚΡΗΤΗΣ  99 ΡΕΘΥΜΝΟ</v>
      </c>
      <c r="I8541">
        <v>74100</v>
      </c>
      <c r="J8541">
        <v>2831056396</v>
      </c>
      <c r="K8541">
        <v>6980602646</v>
      </c>
      <c r="M8541" t="s">
        <v>13137</v>
      </c>
      <c r="N8541" t="s">
        <v>615</v>
      </c>
      <c r="O8541" t="s">
        <v>616</v>
      </c>
      <c r="R8541" t="s">
        <v>57</v>
      </c>
      <c r="S8541">
        <v>9</v>
      </c>
      <c r="T8541">
        <v>218</v>
      </c>
      <c r="U8541" s="1">
        <v>37134</v>
      </c>
      <c r="V8541" t="s">
        <v>66</v>
      </c>
      <c r="W8541" t="s">
        <v>67</v>
      </c>
      <c r="X8541" t="s">
        <v>58</v>
      </c>
      <c r="Y8541">
        <v>22</v>
      </c>
      <c r="Z8541" t="s">
        <v>59</v>
      </c>
      <c r="AA8541" t="s">
        <v>59</v>
      </c>
      <c r="AB8541" t="s">
        <v>59</v>
      </c>
      <c r="AC8541" t="s">
        <v>59</v>
      </c>
      <c r="AD8541" t="s">
        <v>59</v>
      </c>
      <c r="AF8541" s="1">
        <v>37139</v>
      </c>
      <c r="AG8541" t="s">
        <v>8645</v>
      </c>
      <c r="AH8541" t="s">
        <v>8646</v>
      </c>
      <c r="AI8541" t="str">
        <f>"9410030"</f>
        <v>9410030</v>
      </c>
      <c r="AJ8541" t="s">
        <v>12743</v>
      </c>
      <c r="AK8541">
        <v>2834093217</v>
      </c>
      <c r="AL8541" t="s">
        <v>12744</v>
      </c>
      <c r="AM8541" t="s">
        <v>64</v>
      </c>
      <c r="AN8541" t="s">
        <v>65</v>
      </c>
      <c r="AO8541" t="s">
        <v>12694</v>
      </c>
      <c r="AP8541" t="s">
        <v>12745</v>
      </c>
      <c r="AQ8541">
        <v>3</v>
      </c>
      <c r="AR8541" t="s">
        <v>66</v>
      </c>
      <c r="AS8541" t="s">
        <v>67</v>
      </c>
      <c r="AT8541" t="s">
        <v>58</v>
      </c>
      <c r="AU8541" t="s">
        <v>68</v>
      </c>
      <c r="AV8541" t="s">
        <v>69</v>
      </c>
      <c r="AW8541" s="1">
        <v>24985</v>
      </c>
      <c r="AX8541">
        <v>1</v>
      </c>
    </row>
    <row r="8542" spans="1:50">
      <c r="B8542" t="str">
        <f>"114566532"</f>
        <v>114566532</v>
      </c>
      <c r="C8542" t="s">
        <v>50</v>
      </c>
      <c r="D8542" t="s">
        <v>1826</v>
      </c>
      <c r="E8542" t="s">
        <v>83</v>
      </c>
      <c r="F8542" t="s">
        <v>166</v>
      </c>
      <c r="G8542" t="s">
        <v>250</v>
      </c>
      <c r="H8542" t="str">
        <f>"Κ.ΒΑΡΝΑΛΗ 2 ΗΡΑΚΛΕΙΟ ΚΡΗΤΗΣ"</f>
        <v>Κ.ΒΑΡΝΑΛΗ 2 ΗΡΑΚΛΕΙΟ ΚΡΗΤΗΣ</v>
      </c>
      <c r="I8542">
        <v>71305</v>
      </c>
      <c r="J8542">
        <v>2810259093</v>
      </c>
      <c r="K8542">
        <v>6944969853</v>
      </c>
      <c r="N8542" t="s">
        <v>9829</v>
      </c>
      <c r="O8542" t="s">
        <v>9830</v>
      </c>
      <c r="R8542" t="s">
        <v>159</v>
      </c>
      <c r="S8542">
        <v>3</v>
      </c>
      <c r="T8542" t="s">
        <v>8835</v>
      </c>
      <c r="U8542" s="1">
        <v>43348</v>
      </c>
      <c r="V8542" t="s">
        <v>66</v>
      </c>
      <c r="W8542" t="s">
        <v>67</v>
      </c>
      <c r="X8542" t="s">
        <v>58</v>
      </c>
      <c r="Y8542">
        <v>25</v>
      </c>
      <c r="Z8542" t="s">
        <v>59</v>
      </c>
      <c r="AA8542" t="s">
        <v>59</v>
      </c>
      <c r="AB8542" t="s">
        <v>59</v>
      </c>
      <c r="AC8542" t="s">
        <v>59</v>
      </c>
      <c r="AD8542" t="s">
        <v>59</v>
      </c>
      <c r="AF8542" s="1">
        <v>43348</v>
      </c>
      <c r="AG8542" t="s">
        <v>8651</v>
      </c>
      <c r="AH8542" t="s">
        <v>8652</v>
      </c>
      <c r="AI8542" t="str">
        <f>"9410050"</f>
        <v>9410050</v>
      </c>
      <c r="AJ8542" t="s">
        <v>12924</v>
      </c>
      <c r="AK8542">
        <v>2834022518</v>
      </c>
      <c r="AL8542" t="s">
        <v>12925</v>
      </c>
      <c r="AM8542" t="s">
        <v>64</v>
      </c>
      <c r="AN8542" t="s">
        <v>5672</v>
      </c>
      <c r="AO8542" t="s">
        <v>5673</v>
      </c>
      <c r="AP8542" t="s">
        <v>5689</v>
      </c>
      <c r="AQ8542">
        <v>7</v>
      </c>
      <c r="AR8542" t="s">
        <v>66</v>
      </c>
      <c r="AS8542" t="s">
        <v>67</v>
      </c>
      <c r="AT8542" t="s">
        <v>58</v>
      </c>
      <c r="AU8542" t="s">
        <v>131</v>
      </c>
      <c r="AV8542" t="s">
        <v>132</v>
      </c>
      <c r="AW8542" s="1">
        <v>30087</v>
      </c>
      <c r="AX8542">
        <v>1</v>
      </c>
    </row>
    <row r="8543" spans="1:50">
      <c r="B8543" t="str">
        <f>"142679150"</f>
        <v>142679150</v>
      </c>
      <c r="C8543" t="s">
        <v>105</v>
      </c>
      <c r="D8543" t="s">
        <v>13138</v>
      </c>
      <c r="E8543" t="s">
        <v>309</v>
      </c>
      <c r="F8543" t="s">
        <v>72</v>
      </c>
      <c r="G8543" t="s">
        <v>155</v>
      </c>
      <c r="H8543" t="str">
        <f>"ΠΑΝΟΡΜΟΥ 10 "</f>
        <v xml:space="preserve">ΠΑΝΟΡΜΟΥ 10 </v>
      </c>
      <c r="I8543">
        <v>62121</v>
      </c>
      <c r="J8543">
        <v>2321052955</v>
      </c>
      <c r="K8543">
        <v>6973949767</v>
      </c>
      <c r="M8543" t="s">
        <v>13139</v>
      </c>
      <c r="N8543" t="s">
        <v>615</v>
      </c>
      <c r="O8543" t="s">
        <v>616</v>
      </c>
      <c r="R8543" t="s">
        <v>159</v>
      </c>
      <c r="S8543">
        <v>2</v>
      </c>
      <c r="T8543" t="s">
        <v>8675</v>
      </c>
      <c r="U8543" s="1">
        <v>43348</v>
      </c>
      <c r="V8543" t="s">
        <v>66</v>
      </c>
      <c r="W8543" t="s">
        <v>67</v>
      </c>
      <c r="X8543" t="s">
        <v>58</v>
      </c>
      <c r="Y8543">
        <v>24</v>
      </c>
      <c r="Z8543" t="s">
        <v>59</v>
      </c>
      <c r="AA8543" t="s">
        <v>59</v>
      </c>
      <c r="AB8543" t="s">
        <v>59</v>
      </c>
      <c r="AC8543" t="s">
        <v>59</v>
      </c>
      <c r="AD8543" t="s">
        <v>59</v>
      </c>
      <c r="AF8543" s="1">
        <v>43348</v>
      </c>
      <c r="AG8543" t="s">
        <v>8645</v>
      </c>
      <c r="AH8543" t="s">
        <v>8646</v>
      </c>
      <c r="AI8543" t="str">
        <f>"9410017"</f>
        <v>9410017</v>
      </c>
      <c r="AJ8543" t="s">
        <v>12785</v>
      </c>
      <c r="AK8543">
        <v>2834041452</v>
      </c>
      <c r="AL8543" t="s">
        <v>12786</v>
      </c>
      <c r="AM8543" t="s">
        <v>64</v>
      </c>
      <c r="AN8543" t="s">
        <v>5672</v>
      </c>
      <c r="AO8543" t="s">
        <v>5698</v>
      </c>
      <c r="AP8543" t="s">
        <v>12787</v>
      </c>
      <c r="AQ8543">
        <v>9</v>
      </c>
      <c r="AR8543" t="s">
        <v>66</v>
      </c>
      <c r="AS8543" t="s">
        <v>67</v>
      </c>
      <c r="AT8543" t="s">
        <v>58</v>
      </c>
      <c r="AU8543" t="s">
        <v>8673</v>
      </c>
      <c r="AV8543" t="s">
        <v>132</v>
      </c>
      <c r="AW8543" s="1">
        <v>32392</v>
      </c>
      <c r="AX8543">
        <v>1</v>
      </c>
    </row>
    <row r="8544" spans="1:50">
      <c r="B8544" t="str">
        <f>"138589552"</f>
        <v>138589552</v>
      </c>
      <c r="C8544" t="s">
        <v>50</v>
      </c>
      <c r="D8544" t="s">
        <v>13140</v>
      </c>
      <c r="E8544" t="s">
        <v>714</v>
      </c>
      <c r="F8544" t="s">
        <v>53</v>
      </c>
      <c r="G8544" t="s">
        <v>237</v>
      </c>
      <c r="H8544" t="str">
        <f>"ΚΑΙΝΟΥΡΓΙΟ "</f>
        <v xml:space="preserve">ΚΑΙΝΟΥΡΓΙΟ </v>
      </c>
      <c r="I8544">
        <v>30005</v>
      </c>
      <c r="J8544">
        <v>2641062040</v>
      </c>
      <c r="K8544">
        <v>6983438488</v>
      </c>
      <c r="N8544" t="s">
        <v>615</v>
      </c>
      <c r="O8544" t="s">
        <v>616</v>
      </c>
      <c r="R8544" t="s">
        <v>121</v>
      </c>
      <c r="S8544">
        <v>3</v>
      </c>
      <c r="T8544" t="s">
        <v>8675</v>
      </c>
      <c r="U8544" s="1">
        <v>43348</v>
      </c>
      <c r="V8544" t="s">
        <v>66</v>
      </c>
      <c r="W8544" t="s">
        <v>67</v>
      </c>
      <c r="X8544" t="s">
        <v>58</v>
      </c>
      <c r="Y8544">
        <v>24</v>
      </c>
      <c r="Z8544" t="s">
        <v>59</v>
      </c>
      <c r="AA8544" t="s">
        <v>59</v>
      </c>
      <c r="AB8544" t="s">
        <v>59</v>
      </c>
      <c r="AC8544" t="s">
        <v>59</v>
      </c>
      <c r="AD8544" t="s">
        <v>59</v>
      </c>
      <c r="AF8544" s="1">
        <v>43348</v>
      </c>
      <c r="AG8544" t="s">
        <v>8645</v>
      </c>
      <c r="AH8544" t="s">
        <v>8646</v>
      </c>
      <c r="AI8544" t="str">
        <f>"9410038"</f>
        <v>9410038</v>
      </c>
      <c r="AJ8544" t="s">
        <v>12669</v>
      </c>
      <c r="AK8544">
        <v>2834061471</v>
      </c>
      <c r="AL8544" t="s">
        <v>12670</v>
      </c>
      <c r="AM8544" t="s">
        <v>64</v>
      </c>
      <c r="AN8544" t="s">
        <v>5672</v>
      </c>
      <c r="AO8544" t="s">
        <v>5698</v>
      </c>
      <c r="AP8544" t="s">
        <v>5699</v>
      </c>
      <c r="AQ8544">
        <v>9</v>
      </c>
      <c r="AR8544" t="s">
        <v>66</v>
      </c>
      <c r="AS8544" t="s">
        <v>67</v>
      </c>
      <c r="AT8544" t="s">
        <v>58</v>
      </c>
      <c r="AU8544" t="s">
        <v>8673</v>
      </c>
      <c r="AV8544" t="s">
        <v>132</v>
      </c>
      <c r="AW8544" s="1">
        <v>32595</v>
      </c>
      <c r="AX8544">
        <v>1</v>
      </c>
    </row>
    <row r="8545" spans="1:50">
      <c r="A8545">
        <v>619789</v>
      </c>
      <c r="B8545" t="str">
        <f>"061962491"</f>
        <v>061962491</v>
      </c>
      <c r="C8545" t="s">
        <v>50</v>
      </c>
      <c r="D8545" t="s">
        <v>13141</v>
      </c>
      <c r="E8545" t="s">
        <v>237</v>
      </c>
      <c r="F8545" t="s">
        <v>72</v>
      </c>
      <c r="G8545" t="s">
        <v>1114</v>
      </c>
      <c r="H8545" t="str">
        <f>"ΑΝΔΡΕΑ ΝΕΝΕΔΑΚΗ 1 ΡΕΘΥΜΝΟ"</f>
        <v>ΑΝΔΡΕΑ ΝΕΝΕΔΑΚΗ 1 ΡΕΘΥΜΝΟ</v>
      </c>
      <c r="I8545">
        <v>74100</v>
      </c>
      <c r="J8545">
        <v>2831058301</v>
      </c>
      <c r="K8545">
        <v>6974571800</v>
      </c>
      <c r="M8545" t="s">
        <v>13142</v>
      </c>
      <c r="N8545" t="s">
        <v>176</v>
      </c>
      <c r="O8545" t="s">
        <v>177</v>
      </c>
      <c r="R8545" t="s">
        <v>57</v>
      </c>
      <c r="S8545">
        <v>7</v>
      </c>
      <c r="T8545">
        <v>775</v>
      </c>
      <c r="U8545" s="1">
        <v>39680</v>
      </c>
      <c r="V8545" t="s">
        <v>66</v>
      </c>
      <c r="W8545" t="s">
        <v>67</v>
      </c>
      <c r="X8545" t="s">
        <v>58</v>
      </c>
      <c r="Y8545">
        <v>22</v>
      </c>
      <c r="Z8545" t="s">
        <v>59</v>
      </c>
      <c r="AA8545" t="s">
        <v>59</v>
      </c>
      <c r="AB8545" t="s">
        <v>59</v>
      </c>
      <c r="AC8545" t="s">
        <v>59</v>
      </c>
      <c r="AD8545" t="s">
        <v>59</v>
      </c>
      <c r="AF8545" s="1">
        <v>39681</v>
      </c>
      <c r="AG8545" t="s">
        <v>8645</v>
      </c>
      <c r="AH8545" t="s">
        <v>8646</v>
      </c>
      <c r="AI8545" t="str">
        <f>"9410180"</f>
        <v>9410180</v>
      </c>
      <c r="AJ8545" t="s">
        <v>12696</v>
      </c>
      <c r="AK8545">
        <v>2831031206</v>
      </c>
      <c r="AL8545" t="s">
        <v>12697</v>
      </c>
      <c r="AM8545" t="s">
        <v>64</v>
      </c>
      <c r="AN8545" t="s">
        <v>65</v>
      </c>
      <c r="AO8545" t="s">
        <v>5720</v>
      </c>
      <c r="AP8545" t="s">
        <v>12698</v>
      </c>
      <c r="AQ8545">
        <v>2</v>
      </c>
      <c r="AR8545" t="s">
        <v>66</v>
      </c>
      <c r="AS8545" t="s">
        <v>67</v>
      </c>
      <c r="AT8545" t="s">
        <v>58</v>
      </c>
      <c r="AU8545" t="s">
        <v>68</v>
      </c>
      <c r="AV8545" t="s">
        <v>69</v>
      </c>
      <c r="AW8545" s="1">
        <v>26811</v>
      </c>
      <c r="AX8545">
        <v>1</v>
      </c>
    </row>
    <row r="8546" spans="1:50">
      <c r="A8546">
        <v>616054</v>
      </c>
      <c r="B8546" t="str">
        <f>"053228272"</f>
        <v>053228272</v>
      </c>
      <c r="C8546" t="s">
        <v>50</v>
      </c>
      <c r="D8546" t="s">
        <v>13143</v>
      </c>
      <c r="E8546" t="s">
        <v>13144</v>
      </c>
      <c r="F8546" t="s">
        <v>10568</v>
      </c>
      <c r="G8546" t="s">
        <v>352</v>
      </c>
      <c r="H8546" t="str">
        <f>"ΓΑΛΛΟΥ ΡΕΘΥΜΝΟ"</f>
        <v>ΓΑΛΛΟΥ ΡΕΘΥΜΝΟ</v>
      </c>
      <c r="I8546">
        <v>74100</v>
      </c>
      <c r="J8546">
        <v>2109847685</v>
      </c>
      <c r="K8546">
        <v>6937780221</v>
      </c>
      <c r="N8546" t="s">
        <v>176</v>
      </c>
      <c r="O8546" t="s">
        <v>177</v>
      </c>
      <c r="R8546" t="s">
        <v>57</v>
      </c>
      <c r="S8546">
        <v>9</v>
      </c>
      <c r="T8546">
        <v>600</v>
      </c>
      <c r="U8546" s="1">
        <v>39310</v>
      </c>
      <c r="V8546" t="s">
        <v>66</v>
      </c>
      <c r="W8546" t="s">
        <v>67</v>
      </c>
      <c r="X8546" t="s">
        <v>58</v>
      </c>
      <c r="Y8546">
        <v>22</v>
      </c>
      <c r="Z8546" t="s">
        <v>59</v>
      </c>
      <c r="AA8546" t="s">
        <v>59</v>
      </c>
      <c r="AB8546" t="s">
        <v>59</v>
      </c>
      <c r="AC8546" t="s">
        <v>59</v>
      </c>
      <c r="AD8546" t="s">
        <v>59</v>
      </c>
      <c r="AF8546" s="1">
        <v>39328</v>
      </c>
      <c r="AG8546" t="s">
        <v>8645</v>
      </c>
      <c r="AH8546" t="s">
        <v>8646</v>
      </c>
      <c r="AI8546" t="str">
        <f>"9410167"</f>
        <v>9410167</v>
      </c>
      <c r="AJ8546" t="s">
        <v>12911</v>
      </c>
      <c r="AK8546">
        <v>2831031455</v>
      </c>
      <c r="AL8546" t="s">
        <v>12912</v>
      </c>
      <c r="AM8546" t="s">
        <v>64</v>
      </c>
      <c r="AN8546" t="s">
        <v>65</v>
      </c>
      <c r="AO8546" t="s">
        <v>5720</v>
      </c>
      <c r="AP8546" t="s">
        <v>12913</v>
      </c>
      <c r="AQ8546">
        <v>2</v>
      </c>
      <c r="AR8546" t="s">
        <v>66</v>
      </c>
      <c r="AS8546" t="s">
        <v>67</v>
      </c>
      <c r="AT8546" t="s">
        <v>58</v>
      </c>
      <c r="AU8546" t="s">
        <v>68</v>
      </c>
      <c r="AV8546" t="s">
        <v>69</v>
      </c>
      <c r="AW8546" s="1">
        <v>24954</v>
      </c>
      <c r="AX8546">
        <v>1</v>
      </c>
    </row>
    <row r="8547" spans="1:50">
      <c r="B8547" t="str">
        <f>"139852934"</f>
        <v>139852934</v>
      </c>
      <c r="C8547" t="s">
        <v>105</v>
      </c>
      <c r="D8547" t="s">
        <v>13145</v>
      </c>
      <c r="E8547" t="s">
        <v>13146</v>
      </c>
      <c r="F8547" t="s">
        <v>95</v>
      </c>
      <c r="G8547" t="s">
        <v>904</v>
      </c>
      <c r="H8547" t="str">
        <f>"ΟΡΕΣΤΟΥ 41 "</f>
        <v xml:space="preserve">ΟΡΕΣΤΟΥ 41 </v>
      </c>
      <c r="I8547">
        <v>65403</v>
      </c>
      <c r="J8547">
        <v>2510232438</v>
      </c>
      <c r="K8547">
        <v>6934058550</v>
      </c>
      <c r="N8547" t="s">
        <v>615</v>
      </c>
      <c r="O8547" t="s">
        <v>616</v>
      </c>
      <c r="R8547" t="s">
        <v>159</v>
      </c>
      <c r="S8547">
        <v>5</v>
      </c>
      <c r="T8547" t="s">
        <v>8675</v>
      </c>
      <c r="U8547" s="1">
        <v>43348</v>
      </c>
      <c r="V8547" t="s">
        <v>66</v>
      </c>
      <c r="W8547" t="s">
        <v>67</v>
      </c>
      <c r="X8547" t="s">
        <v>58</v>
      </c>
      <c r="Y8547">
        <v>24</v>
      </c>
      <c r="Z8547" t="s">
        <v>59</v>
      </c>
      <c r="AA8547" t="s">
        <v>59</v>
      </c>
      <c r="AB8547" t="s">
        <v>59</v>
      </c>
      <c r="AC8547" t="s">
        <v>59</v>
      </c>
      <c r="AD8547" t="s">
        <v>59</v>
      </c>
      <c r="AF8547" s="1">
        <v>43348</v>
      </c>
      <c r="AG8547" t="s">
        <v>8645</v>
      </c>
      <c r="AH8547" t="s">
        <v>8646</v>
      </c>
      <c r="AI8547" t="str">
        <f>"9410092"</f>
        <v>9410092</v>
      </c>
      <c r="AJ8547" t="s">
        <v>12823</v>
      </c>
      <c r="AK8547">
        <v>2832051056</v>
      </c>
      <c r="AL8547" t="s">
        <v>12824</v>
      </c>
      <c r="AM8547" t="s">
        <v>64</v>
      </c>
      <c r="AN8547" t="s">
        <v>5882</v>
      </c>
      <c r="AO8547" t="s">
        <v>6099</v>
      </c>
      <c r="AP8547" t="s">
        <v>12825</v>
      </c>
      <c r="AQ8547">
        <v>5</v>
      </c>
      <c r="AR8547" t="s">
        <v>66</v>
      </c>
      <c r="AS8547" t="s">
        <v>67</v>
      </c>
      <c r="AT8547" t="s">
        <v>58</v>
      </c>
      <c r="AU8547" t="s">
        <v>8673</v>
      </c>
      <c r="AV8547" t="s">
        <v>132</v>
      </c>
      <c r="AW8547" s="1">
        <v>31778</v>
      </c>
      <c r="AX8547">
        <v>1</v>
      </c>
    </row>
    <row r="8548" spans="1:50">
      <c r="A8548">
        <v>562741</v>
      </c>
      <c r="B8548" t="str">
        <f>"065515842"</f>
        <v>065515842</v>
      </c>
      <c r="C8548" t="s">
        <v>50</v>
      </c>
      <c r="D8548" t="s">
        <v>13147</v>
      </c>
      <c r="E8548" t="s">
        <v>529</v>
      </c>
      <c r="F8548" t="s">
        <v>72</v>
      </c>
      <c r="G8548" t="s">
        <v>221</v>
      </c>
      <c r="H8548" t="str">
        <f>" "</f>
        <v xml:space="preserve"> </v>
      </c>
      <c r="N8548" t="s">
        <v>615</v>
      </c>
      <c r="O8548" t="s">
        <v>616</v>
      </c>
      <c r="R8548" t="s">
        <v>57</v>
      </c>
      <c r="S8548">
        <v>15</v>
      </c>
      <c r="T8548">
        <v>187</v>
      </c>
      <c r="U8548" s="1">
        <v>32750</v>
      </c>
      <c r="V8548" t="s">
        <v>66</v>
      </c>
      <c r="W8548" t="s">
        <v>67</v>
      </c>
      <c r="X8548" t="s">
        <v>58</v>
      </c>
      <c r="Y8548">
        <v>21</v>
      </c>
      <c r="Z8548" t="s">
        <v>59</v>
      </c>
      <c r="AA8548" t="s">
        <v>59</v>
      </c>
      <c r="AB8548" t="s">
        <v>59</v>
      </c>
      <c r="AC8548" t="s">
        <v>59</v>
      </c>
      <c r="AD8548" t="s">
        <v>59</v>
      </c>
      <c r="AF8548" s="1">
        <v>32752</v>
      </c>
      <c r="AG8548" t="s">
        <v>8645</v>
      </c>
      <c r="AH8548" t="s">
        <v>8646</v>
      </c>
      <c r="AI8548" t="str">
        <f>"9410067"</f>
        <v>9410067</v>
      </c>
      <c r="AJ8548" t="s">
        <v>12736</v>
      </c>
      <c r="AK8548">
        <v>2831022836</v>
      </c>
      <c r="AL8548" t="s">
        <v>12737</v>
      </c>
      <c r="AM8548" t="s">
        <v>64</v>
      </c>
      <c r="AN8548" t="s">
        <v>65</v>
      </c>
      <c r="AO8548" t="s">
        <v>65</v>
      </c>
      <c r="AP8548" t="s">
        <v>65</v>
      </c>
      <c r="AQ8548">
        <v>1</v>
      </c>
      <c r="AR8548" t="s">
        <v>66</v>
      </c>
      <c r="AS8548" t="s">
        <v>67</v>
      </c>
      <c r="AT8548" t="s">
        <v>58</v>
      </c>
      <c r="AU8548" t="s">
        <v>68</v>
      </c>
      <c r="AV8548" t="s">
        <v>69</v>
      </c>
      <c r="AW8548" s="1">
        <v>23356</v>
      </c>
      <c r="AX8548">
        <v>1</v>
      </c>
    </row>
    <row r="8549" spans="1:50">
      <c r="B8549" t="str">
        <f>"117804777"</f>
        <v>117804777</v>
      </c>
      <c r="C8549" t="s">
        <v>50</v>
      </c>
      <c r="D8549" t="s">
        <v>1871</v>
      </c>
      <c r="E8549" t="s">
        <v>1355</v>
      </c>
      <c r="F8549" t="s">
        <v>95</v>
      </c>
      <c r="G8549" t="s">
        <v>52</v>
      </c>
      <c r="H8549" t="str">
        <f>"ΒΙΟΛΙ ΧΑΡΑΚΙ ΡΕΘΥΜΝΟ"</f>
        <v>ΒΙΟΛΙ ΧΑΡΑΚΙ ΡΕΘΥΜΝΟ</v>
      </c>
      <c r="I8549">
        <v>74100</v>
      </c>
      <c r="J8549">
        <v>2831300600</v>
      </c>
      <c r="K8549">
        <v>6972405260</v>
      </c>
      <c r="N8549" t="s">
        <v>384</v>
      </c>
      <c r="O8549" t="s">
        <v>385</v>
      </c>
      <c r="R8549" t="s">
        <v>57</v>
      </c>
      <c r="S8549">
        <v>6</v>
      </c>
      <c r="T8549" t="s">
        <v>8675</v>
      </c>
      <c r="U8549" s="1">
        <v>43348</v>
      </c>
      <c r="V8549" t="s">
        <v>66</v>
      </c>
      <c r="W8549" t="s">
        <v>67</v>
      </c>
      <c r="X8549" t="s">
        <v>58</v>
      </c>
      <c r="Y8549">
        <v>24</v>
      </c>
      <c r="Z8549" t="s">
        <v>59</v>
      </c>
      <c r="AA8549" t="s">
        <v>59</v>
      </c>
      <c r="AB8549" t="s">
        <v>59</v>
      </c>
      <c r="AC8549" t="s">
        <v>59</v>
      </c>
      <c r="AD8549" t="s">
        <v>59</v>
      </c>
      <c r="AF8549" s="1">
        <v>43348</v>
      </c>
      <c r="AG8549" t="s">
        <v>8645</v>
      </c>
      <c r="AH8549" t="s">
        <v>8646</v>
      </c>
      <c r="AI8549" t="str">
        <f>"9410067"</f>
        <v>9410067</v>
      </c>
      <c r="AJ8549" t="s">
        <v>12736</v>
      </c>
      <c r="AK8549">
        <v>2831022836</v>
      </c>
      <c r="AL8549" t="s">
        <v>12737</v>
      </c>
      <c r="AM8549" t="s">
        <v>64</v>
      </c>
      <c r="AN8549" t="s">
        <v>65</v>
      </c>
      <c r="AO8549" t="s">
        <v>65</v>
      </c>
      <c r="AP8549" t="s">
        <v>65</v>
      </c>
      <c r="AQ8549">
        <v>1</v>
      </c>
      <c r="AR8549" t="s">
        <v>66</v>
      </c>
      <c r="AS8549" t="s">
        <v>67</v>
      </c>
      <c r="AT8549" t="s">
        <v>58</v>
      </c>
      <c r="AU8549" t="s">
        <v>8673</v>
      </c>
      <c r="AV8549" t="s">
        <v>132</v>
      </c>
      <c r="AW8549" s="1">
        <v>29572</v>
      </c>
      <c r="AX8549">
        <v>1</v>
      </c>
    </row>
    <row r="8550" spans="1:50">
      <c r="B8550" t="str">
        <f>"152159427"</f>
        <v>152159427</v>
      </c>
      <c r="C8550" t="s">
        <v>50</v>
      </c>
      <c r="D8550" t="s">
        <v>10050</v>
      </c>
      <c r="E8550" t="s">
        <v>54</v>
      </c>
      <c r="F8550" t="s">
        <v>166</v>
      </c>
      <c r="G8550" t="s">
        <v>476</v>
      </c>
      <c r="H8550" t="str">
        <f>" "</f>
        <v xml:space="preserve"> </v>
      </c>
      <c r="N8550" t="s">
        <v>683</v>
      </c>
      <c r="O8550" t="s">
        <v>684</v>
      </c>
      <c r="R8550" t="s">
        <v>121</v>
      </c>
      <c r="S8550">
        <v>1</v>
      </c>
      <c r="T8550" t="s">
        <v>8675</v>
      </c>
      <c r="U8550" s="1">
        <v>43348</v>
      </c>
      <c r="V8550" t="s">
        <v>66</v>
      </c>
      <c r="W8550" t="s">
        <v>67</v>
      </c>
      <c r="X8550" t="s">
        <v>58</v>
      </c>
      <c r="Y8550">
        <v>24</v>
      </c>
      <c r="Z8550" t="s">
        <v>59</v>
      </c>
      <c r="AA8550" t="s">
        <v>59</v>
      </c>
      <c r="AB8550" t="s">
        <v>59</v>
      </c>
      <c r="AD8550" t="s">
        <v>59</v>
      </c>
      <c r="AF8550" s="1">
        <v>43348</v>
      </c>
      <c r="AG8550" t="s">
        <v>8645</v>
      </c>
      <c r="AH8550" t="s">
        <v>8646</v>
      </c>
      <c r="AI8550" t="str">
        <f>"9410069"</f>
        <v>9410069</v>
      </c>
      <c r="AJ8550" t="s">
        <v>12674</v>
      </c>
      <c r="AK8550">
        <v>2831029296</v>
      </c>
      <c r="AL8550" t="s">
        <v>12675</v>
      </c>
      <c r="AM8550" t="s">
        <v>64</v>
      </c>
      <c r="AN8550" t="s">
        <v>65</v>
      </c>
      <c r="AO8550" t="s">
        <v>65</v>
      </c>
      <c r="AP8550" t="s">
        <v>65</v>
      </c>
      <c r="AQ8550">
        <v>1</v>
      </c>
      <c r="AR8550" t="s">
        <v>66</v>
      </c>
      <c r="AS8550" t="s">
        <v>67</v>
      </c>
      <c r="AT8550" t="s">
        <v>58</v>
      </c>
      <c r="AU8550" t="s">
        <v>8673</v>
      </c>
      <c r="AV8550" t="s">
        <v>132</v>
      </c>
      <c r="AW8550" s="1">
        <v>32450</v>
      </c>
      <c r="AX8550">
        <v>1</v>
      </c>
    </row>
    <row r="8551" spans="1:50">
      <c r="A8551">
        <v>562774</v>
      </c>
      <c r="B8551" t="str">
        <f>"035926171"</f>
        <v>035926171</v>
      </c>
      <c r="C8551" t="s">
        <v>50</v>
      </c>
      <c r="D8551" t="s">
        <v>13148</v>
      </c>
      <c r="E8551" t="s">
        <v>112</v>
      </c>
      <c r="F8551" t="s">
        <v>166</v>
      </c>
      <c r="G8551" t="s">
        <v>727</v>
      </c>
      <c r="H8551" t="str">
        <f>" "</f>
        <v xml:space="preserve"> </v>
      </c>
      <c r="N8551" t="s">
        <v>615</v>
      </c>
      <c r="O8551" t="s">
        <v>616</v>
      </c>
      <c r="R8551" t="s">
        <v>57</v>
      </c>
      <c r="S8551">
        <v>15</v>
      </c>
      <c r="T8551">
        <v>187</v>
      </c>
      <c r="U8551" s="1">
        <v>32750</v>
      </c>
      <c r="V8551" t="s">
        <v>66</v>
      </c>
      <c r="W8551" t="s">
        <v>67</v>
      </c>
      <c r="X8551" t="s">
        <v>58</v>
      </c>
      <c r="Y8551">
        <v>21</v>
      </c>
      <c r="Z8551" t="s">
        <v>59</v>
      </c>
      <c r="AA8551" t="s">
        <v>59</v>
      </c>
      <c r="AB8551" t="s">
        <v>59</v>
      </c>
      <c r="AC8551" t="s">
        <v>59</v>
      </c>
      <c r="AD8551" t="s">
        <v>59</v>
      </c>
      <c r="AF8551" s="1">
        <v>32755</v>
      </c>
      <c r="AG8551" t="s">
        <v>8645</v>
      </c>
      <c r="AH8551" t="s">
        <v>8646</v>
      </c>
      <c r="AI8551" t="str">
        <f>"9410067"</f>
        <v>9410067</v>
      </c>
      <c r="AJ8551" t="s">
        <v>12736</v>
      </c>
      <c r="AK8551">
        <v>2831022836</v>
      </c>
      <c r="AL8551" t="s">
        <v>12737</v>
      </c>
      <c r="AM8551" t="s">
        <v>64</v>
      </c>
      <c r="AN8551" t="s">
        <v>65</v>
      </c>
      <c r="AO8551" t="s">
        <v>65</v>
      </c>
      <c r="AP8551" t="s">
        <v>65</v>
      </c>
      <c r="AQ8551">
        <v>1</v>
      </c>
      <c r="AR8551" t="s">
        <v>66</v>
      </c>
      <c r="AS8551" t="s">
        <v>67</v>
      </c>
      <c r="AT8551" t="s">
        <v>58</v>
      </c>
      <c r="AU8551" t="s">
        <v>68</v>
      </c>
      <c r="AV8551" t="s">
        <v>69</v>
      </c>
      <c r="AW8551" s="1">
        <v>23874</v>
      </c>
      <c r="AX8551">
        <v>1</v>
      </c>
    </row>
    <row r="8552" spans="1:50">
      <c r="A8552">
        <v>622674</v>
      </c>
      <c r="B8552" t="str">
        <f>"137496189"</f>
        <v>137496189</v>
      </c>
      <c r="C8552" t="s">
        <v>50</v>
      </c>
      <c r="D8552" t="s">
        <v>13149</v>
      </c>
      <c r="E8552" t="s">
        <v>263</v>
      </c>
      <c r="F8552" t="s">
        <v>53</v>
      </c>
      <c r="G8552" t="s">
        <v>476</v>
      </c>
      <c r="H8552" t="str">
        <f>"ΑΠΟΣΤΟΛΑΚΗ 33 ΡΕΘΥΜΝΟ"</f>
        <v>ΑΠΟΣΤΟΛΑΚΗ 33 ΡΕΘΥΜΝΟ</v>
      </c>
      <c r="I8552">
        <v>74100</v>
      </c>
      <c r="J8552">
        <v>2815004611</v>
      </c>
      <c r="K8552">
        <v>6932596557</v>
      </c>
      <c r="L8552">
        <v>2831050933</v>
      </c>
      <c r="M8552" t="s">
        <v>13150</v>
      </c>
      <c r="N8552" t="s">
        <v>1525</v>
      </c>
      <c r="O8552" t="s">
        <v>1526</v>
      </c>
      <c r="R8552" t="s">
        <v>57</v>
      </c>
      <c r="S8552">
        <v>4</v>
      </c>
      <c r="T8552">
        <v>653</v>
      </c>
      <c r="U8552" s="1">
        <v>40043</v>
      </c>
      <c r="V8552" t="s">
        <v>66</v>
      </c>
      <c r="W8552" t="s">
        <v>67</v>
      </c>
      <c r="X8552" t="s">
        <v>58</v>
      </c>
      <c r="Y8552">
        <v>25</v>
      </c>
      <c r="Z8552" t="s">
        <v>59</v>
      </c>
      <c r="AA8552" t="s">
        <v>59</v>
      </c>
      <c r="AB8552" t="s">
        <v>59</v>
      </c>
      <c r="AC8552" t="s">
        <v>59</v>
      </c>
      <c r="AD8552" t="s">
        <v>59</v>
      </c>
      <c r="AF8552" s="1">
        <v>40043</v>
      </c>
      <c r="AG8552" t="s">
        <v>8651</v>
      </c>
      <c r="AH8552" t="s">
        <v>8652</v>
      </c>
      <c r="AI8552" t="str">
        <f>"9520775"</f>
        <v>9520775</v>
      </c>
      <c r="AJ8552" t="s">
        <v>13151</v>
      </c>
      <c r="AK8552">
        <v>2833022720</v>
      </c>
      <c r="AL8552" t="s">
        <v>13152</v>
      </c>
      <c r="AM8552" t="s">
        <v>64</v>
      </c>
      <c r="AN8552" t="s">
        <v>5713</v>
      </c>
      <c r="AO8552" t="s">
        <v>5714</v>
      </c>
      <c r="AP8552" t="s">
        <v>5715</v>
      </c>
      <c r="AQ8552">
        <v>5</v>
      </c>
      <c r="AR8552" t="s">
        <v>66</v>
      </c>
      <c r="AS8552" t="s">
        <v>67</v>
      </c>
      <c r="AT8552" t="s">
        <v>58</v>
      </c>
      <c r="AU8552" t="s">
        <v>68</v>
      </c>
      <c r="AV8552" t="s">
        <v>69</v>
      </c>
      <c r="AW8552" s="1">
        <v>31465</v>
      </c>
      <c r="AX8552">
        <v>1</v>
      </c>
    </row>
    <row r="8553" spans="1:50">
      <c r="B8553" t="str">
        <f>"144219717"</f>
        <v>144219717</v>
      </c>
      <c r="C8553" t="s">
        <v>105</v>
      </c>
      <c r="D8553" t="s">
        <v>13153</v>
      </c>
      <c r="E8553" t="s">
        <v>1229</v>
      </c>
      <c r="F8553" t="s">
        <v>1761</v>
      </c>
      <c r="G8553" t="s">
        <v>4717</v>
      </c>
      <c r="H8553" t="str">
        <f>"ΑΡΤΕΜΙΔΟΣ 1 "</f>
        <v xml:space="preserve">ΑΡΤΕΜΙΔΟΣ 1 </v>
      </c>
      <c r="I8553">
        <v>66100</v>
      </c>
      <c r="J8553">
        <v>2521037557</v>
      </c>
      <c r="K8553">
        <v>6945118028</v>
      </c>
      <c r="N8553" t="s">
        <v>615</v>
      </c>
      <c r="O8553" t="s">
        <v>616</v>
      </c>
      <c r="R8553" t="s">
        <v>159</v>
      </c>
      <c r="S8553">
        <v>5</v>
      </c>
      <c r="T8553" t="s">
        <v>8675</v>
      </c>
      <c r="U8553" s="1">
        <v>43348</v>
      </c>
      <c r="V8553" t="s">
        <v>66</v>
      </c>
      <c r="W8553" t="s">
        <v>67</v>
      </c>
      <c r="X8553" t="s">
        <v>58</v>
      </c>
      <c r="Y8553">
        <v>25</v>
      </c>
      <c r="Z8553" t="s">
        <v>59</v>
      </c>
      <c r="AA8553" t="s">
        <v>59</v>
      </c>
      <c r="AB8553" t="s">
        <v>59</v>
      </c>
      <c r="AC8553" t="s">
        <v>59</v>
      </c>
      <c r="AD8553" t="s">
        <v>59</v>
      </c>
      <c r="AF8553" s="1">
        <v>43348</v>
      </c>
      <c r="AG8553" t="s">
        <v>8645</v>
      </c>
      <c r="AH8553" t="s">
        <v>8676</v>
      </c>
      <c r="AI8553" t="str">
        <f>"9410015"</f>
        <v>9410015</v>
      </c>
      <c r="AJ8553" t="s">
        <v>12725</v>
      </c>
      <c r="AK8553">
        <v>2834061336</v>
      </c>
      <c r="AL8553" t="s">
        <v>12726</v>
      </c>
      <c r="AM8553" t="s">
        <v>64</v>
      </c>
      <c r="AN8553" t="s">
        <v>5672</v>
      </c>
      <c r="AO8553" t="s">
        <v>5698</v>
      </c>
      <c r="AP8553" t="s">
        <v>12727</v>
      </c>
      <c r="AQ8553">
        <v>11</v>
      </c>
      <c r="AR8553" t="s">
        <v>66</v>
      </c>
      <c r="AS8553" t="s">
        <v>67</v>
      </c>
      <c r="AT8553" t="s">
        <v>58</v>
      </c>
      <c r="AU8553" t="s">
        <v>8673</v>
      </c>
      <c r="AV8553" t="s">
        <v>132</v>
      </c>
      <c r="AW8553" s="1">
        <v>32194</v>
      </c>
      <c r="AX8553">
        <v>1</v>
      </c>
    </row>
    <row r="8554" spans="1:50">
      <c r="A8554">
        <v>621636</v>
      </c>
      <c r="B8554" t="str">
        <f>"140600445"</f>
        <v>140600445</v>
      </c>
      <c r="C8554" t="s">
        <v>105</v>
      </c>
      <c r="D8554" t="s">
        <v>13154</v>
      </c>
      <c r="E8554" t="s">
        <v>99</v>
      </c>
      <c r="F8554" t="s">
        <v>450</v>
      </c>
      <c r="G8554" t="s">
        <v>1001</v>
      </c>
      <c r="H8554" t="str">
        <f>"ΑΡΧΙΠΕΛΑΓΟΣ 608 ΡΕΘΥΜΝΟ"</f>
        <v>ΑΡΧΙΠΕΛΑΓΟΣ 608 ΡΕΘΥΜΝΟ</v>
      </c>
      <c r="I8554">
        <v>74100</v>
      </c>
      <c r="K8554">
        <v>6939663403</v>
      </c>
      <c r="N8554" t="s">
        <v>615</v>
      </c>
      <c r="O8554" t="s">
        <v>616</v>
      </c>
      <c r="R8554" t="s">
        <v>57</v>
      </c>
      <c r="S8554">
        <v>4</v>
      </c>
      <c r="T8554">
        <v>653</v>
      </c>
      <c r="U8554" s="1">
        <v>40043</v>
      </c>
      <c r="V8554" t="s">
        <v>66</v>
      </c>
      <c r="W8554" t="s">
        <v>67</v>
      </c>
      <c r="X8554" t="s">
        <v>58</v>
      </c>
      <c r="Y8554">
        <v>24</v>
      </c>
      <c r="Z8554" t="s">
        <v>59</v>
      </c>
      <c r="AA8554" t="s">
        <v>59</v>
      </c>
      <c r="AB8554" t="s">
        <v>59</v>
      </c>
      <c r="AC8554" t="s">
        <v>59</v>
      </c>
      <c r="AD8554" t="s">
        <v>59</v>
      </c>
      <c r="AF8554" s="1">
        <v>40045</v>
      </c>
      <c r="AG8554" t="s">
        <v>8645</v>
      </c>
      <c r="AH8554" t="s">
        <v>8646</v>
      </c>
      <c r="AI8554" t="str">
        <f>"9410114"</f>
        <v>9410114</v>
      </c>
      <c r="AJ8554" t="s">
        <v>12877</v>
      </c>
      <c r="AK8554">
        <v>2832031291</v>
      </c>
      <c r="AL8554" t="s">
        <v>12878</v>
      </c>
      <c r="AM8554" t="s">
        <v>64</v>
      </c>
      <c r="AN8554" t="s">
        <v>5882</v>
      </c>
      <c r="AO8554" t="s">
        <v>6099</v>
      </c>
      <c r="AP8554" t="s">
        <v>12815</v>
      </c>
      <c r="AQ8554">
        <v>5</v>
      </c>
      <c r="AR8554" t="s">
        <v>66</v>
      </c>
      <c r="AS8554" t="s">
        <v>67</v>
      </c>
      <c r="AT8554" t="s">
        <v>58</v>
      </c>
      <c r="AU8554" t="s">
        <v>68</v>
      </c>
      <c r="AV8554" t="s">
        <v>69</v>
      </c>
      <c r="AW8554" s="1">
        <v>31708</v>
      </c>
      <c r="AX8554">
        <v>1</v>
      </c>
    </row>
    <row r="8555" spans="1:50">
      <c r="B8555" t="str">
        <f>"103688173"</f>
        <v>103688173</v>
      </c>
      <c r="C8555" t="s">
        <v>50</v>
      </c>
      <c r="D8555" t="s">
        <v>13155</v>
      </c>
      <c r="E8555" t="s">
        <v>52</v>
      </c>
      <c r="F8555" t="s">
        <v>106</v>
      </c>
      <c r="H8555" t="str">
        <f>" "</f>
        <v xml:space="preserve"> </v>
      </c>
      <c r="N8555" t="s">
        <v>9829</v>
      </c>
      <c r="O8555" t="s">
        <v>9830</v>
      </c>
      <c r="R8555" t="s">
        <v>159</v>
      </c>
      <c r="S8555">
        <v>5</v>
      </c>
      <c r="T8555" t="s">
        <v>8835</v>
      </c>
      <c r="U8555" s="1">
        <v>43348</v>
      </c>
      <c r="V8555" t="s">
        <v>66</v>
      </c>
      <c r="W8555" t="s">
        <v>67</v>
      </c>
      <c r="X8555" t="s">
        <v>58</v>
      </c>
      <c r="Y8555">
        <v>25</v>
      </c>
      <c r="Z8555" t="s">
        <v>59</v>
      </c>
      <c r="AA8555" t="s">
        <v>59</v>
      </c>
      <c r="AB8555" t="s">
        <v>59</v>
      </c>
      <c r="AC8555" t="s">
        <v>59</v>
      </c>
      <c r="AD8555" t="s">
        <v>59</v>
      </c>
      <c r="AF8555" s="1">
        <v>43348</v>
      </c>
      <c r="AG8555" t="s">
        <v>8651</v>
      </c>
      <c r="AH8555" t="s">
        <v>8652</v>
      </c>
      <c r="AI8555" t="str">
        <f>"9410249"</f>
        <v>9410249</v>
      </c>
      <c r="AJ8555" t="s">
        <v>13113</v>
      </c>
      <c r="AK8555">
        <v>2831032526</v>
      </c>
      <c r="AL8555" t="s">
        <v>13114</v>
      </c>
      <c r="AM8555" t="s">
        <v>64</v>
      </c>
      <c r="AN8555" t="s">
        <v>65</v>
      </c>
      <c r="AO8555" t="s">
        <v>5720</v>
      </c>
      <c r="AP8555" t="s">
        <v>12938</v>
      </c>
      <c r="AQ8555">
        <v>2</v>
      </c>
      <c r="AR8555" t="s">
        <v>66</v>
      </c>
      <c r="AS8555" t="s">
        <v>67</v>
      </c>
      <c r="AT8555" t="s">
        <v>58</v>
      </c>
      <c r="AU8555" t="s">
        <v>131</v>
      </c>
      <c r="AV8555" t="s">
        <v>132</v>
      </c>
      <c r="AW8555" s="1">
        <v>30070</v>
      </c>
      <c r="AX8555">
        <v>1</v>
      </c>
    </row>
    <row r="8556" spans="1:50">
      <c r="A8556">
        <v>597214</v>
      </c>
      <c r="B8556" t="str">
        <f>"077708305"</f>
        <v>077708305</v>
      </c>
      <c r="C8556" t="s">
        <v>50</v>
      </c>
      <c r="D8556" t="s">
        <v>1919</v>
      </c>
      <c r="E8556" t="s">
        <v>73</v>
      </c>
      <c r="F8556" t="s">
        <v>95</v>
      </c>
      <c r="G8556" t="s">
        <v>237</v>
      </c>
      <c r="H8556" t="str">
        <f>"Δ. ΑΠΟΛΛΩΝΙΑΤΟΥ 3 ΡΕΘΥΜΝΟ"</f>
        <v>Δ. ΑΠΟΛΛΩΝΙΑΤΟΥ 3 ΡΕΘΥΜΝΟ</v>
      </c>
      <c r="I8556">
        <v>74100</v>
      </c>
      <c r="J8556">
        <v>2831020944</v>
      </c>
      <c r="K8556">
        <v>6974812642</v>
      </c>
      <c r="M8556" t="s">
        <v>13156</v>
      </c>
      <c r="N8556" t="s">
        <v>1525</v>
      </c>
      <c r="O8556" t="s">
        <v>1526</v>
      </c>
      <c r="R8556" t="s">
        <v>57</v>
      </c>
      <c r="S8556">
        <v>8</v>
      </c>
      <c r="T8556">
        <v>195</v>
      </c>
      <c r="U8556" s="1">
        <v>37497</v>
      </c>
      <c r="V8556" t="s">
        <v>66</v>
      </c>
      <c r="W8556" t="s">
        <v>67</v>
      </c>
      <c r="X8556" t="s">
        <v>58</v>
      </c>
      <c r="Y8556">
        <v>25</v>
      </c>
      <c r="Z8556" t="s">
        <v>59</v>
      </c>
      <c r="AA8556" t="s">
        <v>59</v>
      </c>
      <c r="AB8556" t="s">
        <v>59</v>
      </c>
      <c r="AC8556" t="s">
        <v>59</v>
      </c>
      <c r="AD8556" t="s">
        <v>59</v>
      </c>
      <c r="AF8556" s="1">
        <v>37501</v>
      </c>
      <c r="AG8556" t="s">
        <v>8651</v>
      </c>
      <c r="AH8556" t="s">
        <v>8652</v>
      </c>
      <c r="AI8556" t="str">
        <f>"9410068"</f>
        <v>9410068</v>
      </c>
      <c r="AJ8556" t="s">
        <v>13084</v>
      </c>
      <c r="AK8556">
        <v>2831029132</v>
      </c>
      <c r="AL8556" t="s">
        <v>13085</v>
      </c>
      <c r="AM8556" t="s">
        <v>64</v>
      </c>
      <c r="AN8556" t="s">
        <v>65</v>
      </c>
      <c r="AO8556" t="s">
        <v>65</v>
      </c>
      <c r="AP8556" t="s">
        <v>65</v>
      </c>
      <c r="AQ8556">
        <v>1</v>
      </c>
      <c r="AR8556" t="s">
        <v>66</v>
      </c>
      <c r="AS8556" t="s">
        <v>67</v>
      </c>
      <c r="AT8556" t="s">
        <v>58</v>
      </c>
      <c r="AU8556" t="s">
        <v>68</v>
      </c>
      <c r="AV8556" t="s">
        <v>69</v>
      </c>
      <c r="AW8556" s="1">
        <v>26147</v>
      </c>
      <c r="AX8556">
        <v>1</v>
      </c>
    </row>
    <row r="8557" spans="1:50">
      <c r="A8557">
        <v>598578</v>
      </c>
      <c r="B8557" t="str">
        <f>"072928269"</f>
        <v>072928269</v>
      </c>
      <c r="C8557" t="s">
        <v>50</v>
      </c>
      <c r="D8557" t="s">
        <v>7379</v>
      </c>
      <c r="E8557" t="s">
        <v>681</v>
      </c>
      <c r="F8557" t="s">
        <v>13157</v>
      </c>
      <c r="G8557" t="s">
        <v>52</v>
      </c>
      <c r="H8557" t="str">
        <f>"ΣΚΑΛΕΤΑ ΠΡΙΝΟς Δ. ΑΡΚΑΔΙΟΥ"</f>
        <v>ΣΚΑΛΕΤΑ ΠΡΙΝΟς Δ. ΑΡΚΑΔΙΟΥ</v>
      </c>
      <c r="I8557">
        <v>74100</v>
      </c>
      <c r="J8557">
        <v>2831072635</v>
      </c>
      <c r="K8557">
        <v>6948885580</v>
      </c>
      <c r="N8557" t="s">
        <v>615</v>
      </c>
      <c r="O8557" t="s">
        <v>616</v>
      </c>
      <c r="R8557" t="s">
        <v>57</v>
      </c>
      <c r="S8557">
        <v>8</v>
      </c>
      <c r="T8557">
        <v>195</v>
      </c>
      <c r="U8557" s="1">
        <v>37497</v>
      </c>
      <c r="V8557" t="s">
        <v>66</v>
      </c>
      <c r="W8557" t="s">
        <v>67</v>
      </c>
      <c r="X8557" t="s">
        <v>58</v>
      </c>
      <c r="Y8557">
        <v>22</v>
      </c>
      <c r="Z8557" t="s">
        <v>59</v>
      </c>
      <c r="AA8557" t="s">
        <v>59</v>
      </c>
      <c r="AB8557" t="s">
        <v>59</v>
      </c>
      <c r="AC8557" t="s">
        <v>59</v>
      </c>
      <c r="AD8557" t="s">
        <v>59</v>
      </c>
      <c r="AF8557" s="1">
        <v>37502</v>
      </c>
      <c r="AG8557" t="s">
        <v>8645</v>
      </c>
      <c r="AH8557" t="s">
        <v>8646</v>
      </c>
      <c r="AI8557" t="str">
        <f>"9410064"</f>
        <v>9410064</v>
      </c>
      <c r="AJ8557" t="s">
        <v>12683</v>
      </c>
      <c r="AK8557">
        <v>2831028390</v>
      </c>
      <c r="AL8557" t="s">
        <v>12684</v>
      </c>
      <c r="AM8557" t="s">
        <v>64</v>
      </c>
      <c r="AN8557" t="s">
        <v>65</v>
      </c>
      <c r="AO8557" t="s">
        <v>65</v>
      </c>
      <c r="AP8557" t="s">
        <v>65</v>
      </c>
      <c r="AQ8557">
        <v>1</v>
      </c>
      <c r="AR8557" t="s">
        <v>66</v>
      </c>
      <c r="AS8557" t="s">
        <v>67</v>
      </c>
      <c r="AT8557" t="s">
        <v>58</v>
      </c>
      <c r="AU8557" t="s">
        <v>68</v>
      </c>
      <c r="AV8557" t="s">
        <v>2039</v>
      </c>
      <c r="AW8557" s="1">
        <v>25980</v>
      </c>
      <c r="AX8557">
        <v>1</v>
      </c>
    </row>
    <row r="8558" spans="1:50">
      <c r="A8558">
        <v>215474</v>
      </c>
      <c r="B8558" t="str">
        <f>"126594233"</f>
        <v>126594233</v>
      </c>
      <c r="C8558" t="s">
        <v>105</v>
      </c>
      <c r="D8558" t="s">
        <v>13158</v>
      </c>
      <c r="E8558" t="s">
        <v>99</v>
      </c>
      <c r="F8558" t="s">
        <v>95</v>
      </c>
      <c r="G8558" t="s">
        <v>366</v>
      </c>
      <c r="H8558" t="str">
        <f>" "</f>
        <v xml:space="preserve"> </v>
      </c>
      <c r="J8558">
        <v>2105017085</v>
      </c>
      <c r="K8558">
        <v>6944129378</v>
      </c>
      <c r="N8558" t="s">
        <v>204</v>
      </c>
      <c r="O8558" t="s">
        <v>205</v>
      </c>
      <c r="R8558" t="s">
        <v>57</v>
      </c>
      <c r="S8558">
        <v>8</v>
      </c>
      <c r="T8558">
        <v>231</v>
      </c>
      <c r="U8558" s="1">
        <v>38960</v>
      </c>
      <c r="V8558" t="s">
        <v>66</v>
      </c>
      <c r="W8558" t="s">
        <v>67</v>
      </c>
      <c r="X8558" t="s">
        <v>58</v>
      </c>
      <c r="Y8558">
        <v>23</v>
      </c>
      <c r="Z8558" t="s">
        <v>59</v>
      </c>
      <c r="AA8558" t="s">
        <v>59</v>
      </c>
      <c r="AB8558" t="s">
        <v>59</v>
      </c>
      <c r="AC8558" t="s">
        <v>59</v>
      </c>
      <c r="AD8558" t="s">
        <v>59</v>
      </c>
      <c r="AF8558" s="1">
        <v>38960</v>
      </c>
      <c r="AG8558" t="s">
        <v>8645</v>
      </c>
      <c r="AH8558" t="s">
        <v>8646</v>
      </c>
      <c r="AI8558" t="str">
        <f>"9410257"</f>
        <v>9410257</v>
      </c>
      <c r="AJ8558" t="s">
        <v>12828</v>
      </c>
      <c r="AK8558">
        <v>2831056242</v>
      </c>
      <c r="AL8558" t="s">
        <v>12829</v>
      </c>
      <c r="AM8558" t="s">
        <v>64</v>
      </c>
      <c r="AN8558" t="s">
        <v>65</v>
      </c>
      <c r="AO8558" t="s">
        <v>65</v>
      </c>
      <c r="AP8558" t="s">
        <v>65</v>
      </c>
      <c r="AQ8558">
        <v>1</v>
      </c>
      <c r="AR8558" t="s">
        <v>66</v>
      </c>
      <c r="AS8558" t="s">
        <v>67</v>
      </c>
      <c r="AT8558" t="s">
        <v>58</v>
      </c>
      <c r="AU8558" t="s">
        <v>68</v>
      </c>
      <c r="AV8558" t="s">
        <v>69</v>
      </c>
      <c r="AW8558" s="1">
        <v>27490</v>
      </c>
      <c r="AX8558">
        <v>1</v>
      </c>
    </row>
    <row r="8559" spans="1:50">
      <c r="A8559">
        <v>615206</v>
      </c>
      <c r="B8559" t="str">
        <f>"109135196"</f>
        <v>109135196</v>
      </c>
      <c r="C8559" t="s">
        <v>50</v>
      </c>
      <c r="D8559" t="s">
        <v>1923</v>
      </c>
      <c r="E8559" t="s">
        <v>155</v>
      </c>
      <c r="F8559" t="s">
        <v>99</v>
      </c>
      <c r="G8559" t="s">
        <v>52</v>
      </c>
      <c r="H8559" t="str">
        <f>"Θ. ΣΚΟΡΔΑΛΟΥ 6 ΡΕΘΥΜΝΟ"</f>
        <v>Θ. ΣΚΟΡΔΑΛΟΥ 6 ΡΕΘΥΜΝΟ</v>
      </c>
      <c r="I8559">
        <v>74100</v>
      </c>
      <c r="J8559">
        <v>2831051186</v>
      </c>
      <c r="K8559">
        <v>6976817589</v>
      </c>
      <c r="N8559" t="s">
        <v>1525</v>
      </c>
      <c r="O8559" t="s">
        <v>1526</v>
      </c>
      <c r="R8559" t="s">
        <v>57</v>
      </c>
      <c r="S8559">
        <v>7</v>
      </c>
      <c r="T8559">
        <v>598</v>
      </c>
      <c r="U8559" s="1">
        <v>39310</v>
      </c>
      <c r="V8559" t="s">
        <v>66</v>
      </c>
      <c r="W8559" t="s">
        <v>67</v>
      </c>
      <c r="X8559" t="s">
        <v>58</v>
      </c>
      <c r="Y8559">
        <v>25</v>
      </c>
      <c r="Z8559" t="s">
        <v>59</v>
      </c>
      <c r="AA8559" t="s">
        <v>59</v>
      </c>
      <c r="AB8559" t="s">
        <v>59</v>
      </c>
      <c r="AC8559" t="s">
        <v>59</v>
      </c>
      <c r="AD8559" t="s">
        <v>59</v>
      </c>
      <c r="AF8559" s="1">
        <v>39328</v>
      </c>
      <c r="AG8559" t="s">
        <v>8651</v>
      </c>
      <c r="AH8559" t="s">
        <v>8652</v>
      </c>
      <c r="AI8559" t="str">
        <f>"9410066"</f>
        <v>9410066</v>
      </c>
      <c r="AJ8559" t="s">
        <v>12859</v>
      </c>
      <c r="AK8559">
        <v>2831023745</v>
      </c>
      <c r="AL8559" t="s">
        <v>12860</v>
      </c>
      <c r="AM8559" t="s">
        <v>64</v>
      </c>
      <c r="AN8559" t="s">
        <v>65</v>
      </c>
      <c r="AO8559" t="s">
        <v>65</v>
      </c>
      <c r="AP8559" t="s">
        <v>65</v>
      </c>
      <c r="AQ8559">
        <v>1</v>
      </c>
      <c r="AR8559" t="s">
        <v>66</v>
      </c>
      <c r="AS8559" t="s">
        <v>67</v>
      </c>
      <c r="AT8559" t="s">
        <v>58</v>
      </c>
      <c r="AU8559" t="s">
        <v>68</v>
      </c>
      <c r="AV8559" t="s">
        <v>69</v>
      </c>
      <c r="AW8559" s="1">
        <v>27356</v>
      </c>
      <c r="AX8559">
        <v>1</v>
      </c>
    </row>
    <row r="8560" spans="1:50">
      <c r="A8560">
        <v>566449</v>
      </c>
      <c r="B8560" t="str">
        <f>"110304100"</f>
        <v>110304100</v>
      </c>
      <c r="C8560" t="s">
        <v>50</v>
      </c>
      <c r="D8560" t="s">
        <v>1923</v>
      </c>
      <c r="E8560" t="s">
        <v>396</v>
      </c>
      <c r="F8560" t="s">
        <v>2219</v>
      </c>
      <c r="G8560" t="s">
        <v>742</v>
      </c>
      <c r="H8560" t="str">
        <f>"ΜΕΣΗ ΡΕΘΥΜΝΗΣ Τ.Θ. 8537"</f>
        <v>ΜΕΣΗ ΡΕΘΥΜΝΗΣ Τ.Θ. 8537</v>
      </c>
      <c r="I8560">
        <v>74100</v>
      </c>
      <c r="J8560">
        <v>2831072145</v>
      </c>
      <c r="K8560">
        <v>6958720852</v>
      </c>
      <c r="M8560" t="s">
        <v>13159</v>
      </c>
      <c r="N8560" t="s">
        <v>1525</v>
      </c>
      <c r="O8560" t="s">
        <v>1526</v>
      </c>
      <c r="R8560" t="s">
        <v>57</v>
      </c>
      <c r="S8560">
        <v>15</v>
      </c>
      <c r="T8560">
        <v>161</v>
      </c>
      <c r="U8560" s="1">
        <v>33119</v>
      </c>
      <c r="V8560" t="s">
        <v>66</v>
      </c>
      <c r="W8560" t="s">
        <v>67</v>
      </c>
      <c r="X8560" t="s">
        <v>58</v>
      </c>
      <c r="Y8560">
        <v>25</v>
      </c>
      <c r="Z8560" t="s">
        <v>59</v>
      </c>
      <c r="AA8560" t="s">
        <v>59</v>
      </c>
      <c r="AB8560" t="s">
        <v>59</v>
      </c>
      <c r="AC8560" t="s">
        <v>59</v>
      </c>
      <c r="AD8560" t="s">
        <v>59</v>
      </c>
      <c r="AF8560" s="1">
        <v>33121</v>
      </c>
      <c r="AG8560" t="s">
        <v>8651</v>
      </c>
      <c r="AH8560" t="s">
        <v>8652</v>
      </c>
      <c r="AI8560" t="str">
        <f>"9410254"</f>
        <v>9410254</v>
      </c>
      <c r="AJ8560" t="s">
        <v>13160</v>
      </c>
      <c r="AK8560">
        <v>2831083287</v>
      </c>
      <c r="AL8560" t="s">
        <v>13161</v>
      </c>
      <c r="AM8560" t="s">
        <v>64</v>
      </c>
      <c r="AN8560" t="s">
        <v>65</v>
      </c>
      <c r="AO8560" t="s">
        <v>12694</v>
      </c>
      <c r="AP8560" t="s">
        <v>13162</v>
      </c>
      <c r="AQ8560">
        <v>3</v>
      </c>
      <c r="AR8560" t="s">
        <v>66</v>
      </c>
      <c r="AS8560" t="s">
        <v>67</v>
      </c>
      <c r="AT8560" t="s">
        <v>58</v>
      </c>
      <c r="AU8560" t="s">
        <v>68</v>
      </c>
      <c r="AV8560" t="s">
        <v>69</v>
      </c>
      <c r="AW8560" s="1">
        <v>23721</v>
      </c>
      <c r="AX8560">
        <v>1</v>
      </c>
    </row>
    <row r="8561" spans="1:50">
      <c r="B8561" t="str">
        <f>"075947124"</f>
        <v>075947124</v>
      </c>
      <c r="C8561" t="s">
        <v>50</v>
      </c>
      <c r="D8561" t="s">
        <v>1928</v>
      </c>
      <c r="E8561" t="s">
        <v>52</v>
      </c>
      <c r="F8561" t="s">
        <v>84</v>
      </c>
      <c r="G8561" t="s">
        <v>755</v>
      </c>
      <c r="H8561" t="str">
        <f>"Καστενάζο 12 Ρέθυμνο"</f>
        <v>Καστενάζο 12 Ρέθυμνο</v>
      </c>
      <c r="I8561">
        <v>74100</v>
      </c>
      <c r="J8561">
        <v>2831030658</v>
      </c>
      <c r="K8561">
        <v>6944935120</v>
      </c>
      <c r="N8561" t="s">
        <v>176</v>
      </c>
      <c r="O8561" t="s">
        <v>177</v>
      </c>
      <c r="R8561" t="s">
        <v>159</v>
      </c>
      <c r="S8561">
        <v>3</v>
      </c>
      <c r="T8561" t="s">
        <v>8675</v>
      </c>
      <c r="U8561" s="1">
        <v>43348</v>
      </c>
      <c r="V8561" t="s">
        <v>66</v>
      </c>
      <c r="W8561" t="s">
        <v>67</v>
      </c>
      <c r="X8561" t="s">
        <v>58</v>
      </c>
      <c r="Y8561">
        <v>24</v>
      </c>
      <c r="Z8561" t="s">
        <v>59</v>
      </c>
      <c r="AA8561" t="s">
        <v>59</v>
      </c>
      <c r="AB8561" t="s">
        <v>59</v>
      </c>
      <c r="AC8561" t="s">
        <v>59</v>
      </c>
      <c r="AD8561" t="s">
        <v>59</v>
      </c>
      <c r="AF8561" s="1">
        <v>43348</v>
      </c>
      <c r="AG8561" t="s">
        <v>8645</v>
      </c>
      <c r="AH8561" t="s">
        <v>8646</v>
      </c>
      <c r="AI8561" t="str">
        <f>"9410212"</f>
        <v>9410212</v>
      </c>
      <c r="AJ8561" t="s">
        <v>12747</v>
      </c>
      <c r="AK8561">
        <v>2831022132</v>
      </c>
      <c r="AL8561" t="s">
        <v>12748</v>
      </c>
      <c r="AM8561" t="s">
        <v>64</v>
      </c>
      <c r="AN8561" t="s">
        <v>65</v>
      </c>
      <c r="AO8561" t="s">
        <v>65</v>
      </c>
      <c r="AP8561" t="s">
        <v>65</v>
      </c>
      <c r="AQ8561">
        <v>1</v>
      </c>
      <c r="AR8561" t="s">
        <v>66</v>
      </c>
      <c r="AS8561" t="s">
        <v>67</v>
      </c>
      <c r="AT8561" t="s">
        <v>58</v>
      </c>
      <c r="AU8561" t="s">
        <v>8673</v>
      </c>
      <c r="AV8561" t="s">
        <v>132</v>
      </c>
      <c r="AW8561" s="1">
        <v>26622</v>
      </c>
      <c r="AX8561">
        <v>1</v>
      </c>
    </row>
    <row r="8562" spans="1:50">
      <c r="A8562">
        <v>618380</v>
      </c>
      <c r="B8562" t="str">
        <f>"124497787"</f>
        <v>124497787</v>
      </c>
      <c r="C8562" t="s">
        <v>105</v>
      </c>
      <c r="D8562" t="s">
        <v>13163</v>
      </c>
      <c r="E8562" t="s">
        <v>450</v>
      </c>
      <c r="F8562" t="s">
        <v>95</v>
      </c>
      <c r="G8562" t="s">
        <v>280</v>
      </c>
      <c r="H8562" t="str">
        <f>"ΠΛ. ΗΡ. ΠΟΛΥΤΕΧΝΕΙΟΥ 16 ΡΕΘΥΜΝΟ"</f>
        <v>ΠΛ. ΗΡ. ΠΟΛΥΤΕΧΝΕΙΟΥ 16 ΡΕΘΥΜΝΟ</v>
      </c>
      <c r="I8562">
        <v>74100</v>
      </c>
      <c r="J8562">
        <v>2831050850</v>
      </c>
      <c r="K8562">
        <v>6979330192</v>
      </c>
      <c r="M8562" t="s">
        <v>13164</v>
      </c>
      <c r="N8562" t="s">
        <v>615</v>
      </c>
      <c r="O8562" t="s">
        <v>616</v>
      </c>
      <c r="R8562" t="s">
        <v>57</v>
      </c>
      <c r="S8562">
        <v>7</v>
      </c>
      <c r="T8562">
        <v>774</v>
      </c>
      <c r="U8562" s="1">
        <v>39680</v>
      </c>
      <c r="V8562" t="s">
        <v>66</v>
      </c>
      <c r="W8562" t="s">
        <v>67</v>
      </c>
      <c r="X8562" t="s">
        <v>58</v>
      </c>
      <c r="Y8562">
        <v>23</v>
      </c>
      <c r="Z8562" t="s">
        <v>59</v>
      </c>
      <c r="AA8562" t="s">
        <v>59</v>
      </c>
      <c r="AB8562" t="s">
        <v>59</v>
      </c>
      <c r="AC8562" t="s">
        <v>59</v>
      </c>
      <c r="AD8562" t="s">
        <v>59</v>
      </c>
      <c r="AF8562" s="1">
        <v>39681</v>
      </c>
      <c r="AG8562" t="s">
        <v>8645</v>
      </c>
      <c r="AH8562" t="s">
        <v>8646</v>
      </c>
      <c r="AI8562" t="str">
        <f>"9410061"</f>
        <v>9410061</v>
      </c>
      <c r="AJ8562" t="s">
        <v>12760</v>
      </c>
      <c r="AK8562">
        <v>2831024378</v>
      </c>
      <c r="AL8562" t="s">
        <v>12761</v>
      </c>
      <c r="AM8562" t="s">
        <v>64</v>
      </c>
      <c r="AN8562" t="s">
        <v>65</v>
      </c>
      <c r="AO8562" t="s">
        <v>65</v>
      </c>
      <c r="AP8562" t="s">
        <v>65</v>
      </c>
      <c r="AQ8562">
        <v>1</v>
      </c>
      <c r="AR8562" t="s">
        <v>66</v>
      </c>
      <c r="AS8562" t="s">
        <v>67</v>
      </c>
      <c r="AT8562" t="s">
        <v>58</v>
      </c>
      <c r="AU8562" t="s">
        <v>68</v>
      </c>
      <c r="AV8562" t="s">
        <v>69</v>
      </c>
      <c r="AW8562" s="1">
        <v>30867</v>
      </c>
      <c r="AX8562">
        <v>1</v>
      </c>
    </row>
    <row r="8563" spans="1:50">
      <c r="B8563" t="str">
        <f>"137247449"</f>
        <v>137247449</v>
      </c>
      <c r="C8563" t="s">
        <v>105</v>
      </c>
      <c r="D8563" t="s">
        <v>10084</v>
      </c>
      <c r="E8563" t="s">
        <v>92</v>
      </c>
      <c r="F8563" t="s">
        <v>1523</v>
      </c>
      <c r="G8563" t="s">
        <v>507</v>
      </c>
      <c r="H8563" t="str">
        <f>" "</f>
        <v xml:space="preserve"> </v>
      </c>
      <c r="N8563" t="s">
        <v>9829</v>
      </c>
      <c r="O8563" t="s">
        <v>9830</v>
      </c>
      <c r="R8563" t="s">
        <v>159</v>
      </c>
      <c r="S8563">
        <v>3</v>
      </c>
      <c r="T8563" t="s">
        <v>8835</v>
      </c>
      <c r="U8563" s="1">
        <v>43348</v>
      </c>
      <c r="V8563" t="s">
        <v>66</v>
      </c>
      <c r="W8563" t="s">
        <v>67</v>
      </c>
      <c r="X8563" t="s">
        <v>58</v>
      </c>
      <c r="Y8563">
        <v>25</v>
      </c>
      <c r="Z8563" t="s">
        <v>59</v>
      </c>
      <c r="AA8563" t="s">
        <v>59</v>
      </c>
      <c r="AB8563" t="s">
        <v>59</v>
      </c>
      <c r="AC8563" t="s">
        <v>59</v>
      </c>
      <c r="AD8563" t="s">
        <v>59</v>
      </c>
      <c r="AF8563" s="1">
        <v>43348</v>
      </c>
      <c r="AG8563" t="s">
        <v>8651</v>
      </c>
      <c r="AH8563" t="s">
        <v>8652</v>
      </c>
      <c r="AI8563" t="str">
        <f>"9410260"</f>
        <v>9410260</v>
      </c>
      <c r="AJ8563" t="s">
        <v>12844</v>
      </c>
      <c r="AK8563">
        <v>2834023621</v>
      </c>
      <c r="AL8563" t="s">
        <v>12845</v>
      </c>
      <c r="AM8563" t="s">
        <v>64</v>
      </c>
      <c r="AN8563" t="s">
        <v>5672</v>
      </c>
      <c r="AO8563" t="s">
        <v>5673</v>
      </c>
      <c r="AP8563" t="s">
        <v>5689</v>
      </c>
      <c r="AQ8563">
        <v>7</v>
      </c>
      <c r="AR8563" t="s">
        <v>66</v>
      </c>
      <c r="AS8563" t="s">
        <v>67</v>
      </c>
      <c r="AT8563" t="s">
        <v>58</v>
      </c>
      <c r="AU8563" t="s">
        <v>131</v>
      </c>
      <c r="AV8563" t="s">
        <v>132</v>
      </c>
      <c r="AW8563" s="1">
        <v>32516</v>
      </c>
      <c r="AX8563">
        <v>1</v>
      </c>
    </row>
    <row r="8564" spans="1:50">
      <c r="A8564">
        <v>616379</v>
      </c>
      <c r="B8564" t="str">
        <f>"105365320"</f>
        <v>105365320</v>
      </c>
      <c r="C8564" t="s">
        <v>50</v>
      </c>
      <c r="D8564" t="s">
        <v>7387</v>
      </c>
      <c r="E8564" t="s">
        <v>600</v>
      </c>
      <c r="F8564" t="s">
        <v>84</v>
      </c>
      <c r="G8564" t="s">
        <v>13165</v>
      </c>
      <c r="H8564" t="str">
        <f>"ΑΤΣΙΠΟΠΟΥΛΟ ΡΕΘΥΜΝΟ"</f>
        <v>ΑΤΣΙΠΟΠΟΥΛΟ ΡΕΘΥΜΝΟ</v>
      </c>
      <c r="I8564">
        <v>74100</v>
      </c>
      <c r="J8564">
        <v>2105614486</v>
      </c>
      <c r="K8564">
        <v>6932285128</v>
      </c>
      <c r="M8564" t="s">
        <v>13166</v>
      </c>
      <c r="N8564" t="s">
        <v>1525</v>
      </c>
      <c r="O8564" t="s">
        <v>1526</v>
      </c>
      <c r="R8564" t="s">
        <v>57</v>
      </c>
      <c r="S8564">
        <v>5</v>
      </c>
      <c r="T8564">
        <v>660</v>
      </c>
      <c r="U8564" s="1">
        <v>39311</v>
      </c>
      <c r="V8564" t="s">
        <v>66</v>
      </c>
      <c r="W8564" t="s">
        <v>67</v>
      </c>
      <c r="X8564" t="s">
        <v>58</v>
      </c>
      <c r="Y8564">
        <v>25</v>
      </c>
      <c r="Z8564" t="s">
        <v>59</v>
      </c>
      <c r="AA8564" t="s">
        <v>59</v>
      </c>
      <c r="AB8564" t="s">
        <v>59</v>
      </c>
      <c r="AC8564" t="s">
        <v>59</v>
      </c>
      <c r="AD8564" t="s">
        <v>59</v>
      </c>
      <c r="AF8564" s="1">
        <v>39328</v>
      </c>
      <c r="AG8564" t="s">
        <v>8651</v>
      </c>
      <c r="AH8564" t="s">
        <v>8652</v>
      </c>
      <c r="AI8564" t="str">
        <f>"9410246"</f>
        <v>9410246</v>
      </c>
      <c r="AJ8564" t="s">
        <v>13081</v>
      </c>
      <c r="AK8564">
        <v>2831031774</v>
      </c>
      <c r="AL8564" t="s">
        <v>13082</v>
      </c>
      <c r="AM8564" t="s">
        <v>64</v>
      </c>
      <c r="AN8564" t="s">
        <v>65</v>
      </c>
      <c r="AO8564" t="s">
        <v>5720</v>
      </c>
      <c r="AP8564" t="s">
        <v>12698</v>
      </c>
      <c r="AQ8564">
        <v>2</v>
      </c>
      <c r="AR8564" t="s">
        <v>66</v>
      </c>
      <c r="AS8564" t="s">
        <v>67</v>
      </c>
      <c r="AT8564" t="s">
        <v>58</v>
      </c>
      <c r="AU8564" t="s">
        <v>68</v>
      </c>
      <c r="AV8564" t="s">
        <v>69</v>
      </c>
      <c r="AW8564" s="1">
        <v>29711</v>
      </c>
      <c r="AX8564">
        <v>1</v>
      </c>
    </row>
    <row r="8565" spans="1:50">
      <c r="A8565">
        <v>595396</v>
      </c>
      <c r="B8565" t="str">
        <f>"076864955"</f>
        <v>076864955</v>
      </c>
      <c r="C8565" t="s">
        <v>50</v>
      </c>
      <c r="D8565" t="s">
        <v>7390</v>
      </c>
      <c r="E8565" t="s">
        <v>143</v>
      </c>
      <c r="F8565" t="s">
        <v>95</v>
      </c>
      <c r="G8565" t="s">
        <v>755</v>
      </c>
      <c r="H8565" t="str">
        <f>"Κ. ΠΑΛΑΜΑ 25 ΡΕΘΥΜΝΟ"</f>
        <v>Κ. ΠΑΛΑΜΑ 25 ΡΕΘΥΜΝΟ</v>
      </c>
      <c r="I8565">
        <v>74100</v>
      </c>
      <c r="J8565">
        <v>2831036027</v>
      </c>
      <c r="K8565">
        <v>6944463432</v>
      </c>
      <c r="N8565" t="s">
        <v>1525</v>
      </c>
      <c r="O8565" t="s">
        <v>1526</v>
      </c>
      <c r="R8565" t="s">
        <v>57</v>
      </c>
      <c r="S8565">
        <v>9</v>
      </c>
      <c r="T8565">
        <v>218</v>
      </c>
      <c r="U8565" s="1">
        <v>37134</v>
      </c>
      <c r="V8565" t="s">
        <v>66</v>
      </c>
      <c r="W8565" t="s">
        <v>67</v>
      </c>
      <c r="X8565" t="s">
        <v>58</v>
      </c>
      <c r="Y8565">
        <v>25</v>
      </c>
      <c r="Z8565" t="s">
        <v>59</v>
      </c>
      <c r="AA8565" t="s">
        <v>59</v>
      </c>
      <c r="AB8565" t="s">
        <v>59</v>
      </c>
      <c r="AC8565" t="s">
        <v>59</v>
      </c>
      <c r="AD8565" t="s">
        <v>59</v>
      </c>
      <c r="AF8565" s="1">
        <v>37138</v>
      </c>
      <c r="AG8565" t="s">
        <v>8651</v>
      </c>
      <c r="AH8565" t="s">
        <v>8652</v>
      </c>
      <c r="AI8565" t="str">
        <f>"9410231"</f>
        <v>9410231</v>
      </c>
      <c r="AJ8565" t="s">
        <v>12868</v>
      </c>
      <c r="AK8565">
        <v>2831025022</v>
      </c>
      <c r="AL8565" t="s">
        <v>12869</v>
      </c>
      <c r="AM8565" t="s">
        <v>64</v>
      </c>
      <c r="AN8565" t="s">
        <v>65</v>
      </c>
      <c r="AO8565" t="s">
        <v>65</v>
      </c>
      <c r="AP8565" t="s">
        <v>65</v>
      </c>
      <c r="AQ8565">
        <v>1</v>
      </c>
      <c r="AR8565" t="s">
        <v>66</v>
      </c>
      <c r="AS8565" t="s">
        <v>67</v>
      </c>
      <c r="AT8565" t="s">
        <v>58</v>
      </c>
      <c r="AU8565" t="s">
        <v>68</v>
      </c>
      <c r="AV8565" t="s">
        <v>69</v>
      </c>
      <c r="AW8565" s="1">
        <v>26705</v>
      </c>
      <c r="AX8565">
        <v>1</v>
      </c>
    </row>
    <row r="8566" spans="1:50">
      <c r="B8566" t="str">
        <f>"102109201"</f>
        <v>102109201</v>
      </c>
      <c r="C8566" t="s">
        <v>50</v>
      </c>
      <c r="D8566" t="s">
        <v>1942</v>
      </c>
      <c r="E8566" t="s">
        <v>143</v>
      </c>
      <c r="F8566" t="s">
        <v>474</v>
      </c>
      <c r="G8566" t="s">
        <v>513</v>
      </c>
      <c r="H8566" t="str">
        <f>" "</f>
        <v xml:space="preserve"> </v>
      </c>
      <c r="N8566" t="s">
        <v>1525</v>
      </c>
      <c r="O8566" t="s">
        <v>1526</v>
      </c>
      <c r="R8566" t="s">
        <v>121</v>
      </c>
      <c r="S8566">
        <v>1</v>
      </c>
      <c r="T8566" t="s">
        <v>8670</v>
      </c>
      <c r="U8566" s="1">
        <v>43348</v>
      </c>
      <c r="V8566" t="s">
        <v>66</v>
      </c>
      <c r="W8566" t="s">
        <v>67</v>
      </c>
      <c r="X8566" t="s">
        <v>58</v>
      </c>
      <c r="Y8566">
        <v>25</v>
      </c>
      <c r="Z8566" t="s">
        <v>59</v>
      </c>
      <c r="AD8566" t="s">
        <v>59</v>
      </c>
      <c r="AF8566" s="1">
        <v>43348</v>
      </c>
      <c r="AG8566" t="s">
        <v>8651</v>
      </c>
      <c r="AH8566" t="s">
        <v>8652</v>
      </c>
      <c r="AI8566" t="str">
        <f>"9410247"</f>
        <v>9410247</v>
      </c>
      <c r="AJ8566" t="s">
        <v>12907</v>
      </c>
      <c r="AK8566">
        <v>2831022381</v>
      </c>
      <c r="AL8566" t="s">
        <v>12908</v>
      </c>
      <c r="AM8566" t="s">
        <v>64</v>
      </c>
      <c r="AN8566" t="s">
        <v>65</v>
      </c>
      <c r="AO8566" t="s">
        <v>65</v>
      </c>
      <c r="AP8566" t="s">
        <v>65</v>
      </c>
      <c r="AQ8566">
        <v>1</v>
      </c>
      <c r="AR8566" t="s">
        <v>66</v>
      </c>
      <c r="AS8566" t="s">
        <v>67</v>
      </c>
      <c r="AT8566" t="s">
        <v>58</v>
      </c>
      <c r="AU8566" t="s">
        <v>8673</v>
      </c>
      <c r="AV8566" t="s">
        <v>132</v>
      </c>
      <c r="AW8566" s="1">
        <v>28491</v>
      </c>
      <c r="AX8566">
        <v>1</v>
      </c>
    </row>
    <row r="8567" spans="1:50">
      <c r="A8567">
        <v>199077</v>
      </c>
      <c r="B8567" t="str">
        <f>"048107572"</f>
        <v>048107572</v>
      </c>
      <c r="C8567" t="s">
        <v>50</v>
      </c>
      <c r="D8567" t="s">
        <v>13167</v>
      </c>
      <c r="E8567" t="s">
        <v>484</v>
      </c>
      <c r="F8567" t="s">
        <v>609</v>
      </c>
      <c r="G8567" t="s">
        <v>237</v>
      </c>
      <c r="H8567" t="str">
        <f>"ΝΙΚΟΛ.ΚΑΖΑΝΤΖΑΚΗ 45 "</f>
        <v xml:space="preserve">ΝΙΚΟΛ.ΚΑΖΑΝΤΖΑΚΗ 45 </v>
      </c>
      <c r="J8567">
        <v>2831028458</v>
      </c>
      <c r="K8567">
        <v>6976978670</v>
      </c>
      <c r="L8567">
        <v>2831032238</v>
      </c>
      <c r="M8567" t="s">
        <v>13168</v>
      </c>
      <c r="N8567" t="s">
        <v>176</v>
      </c>
      <c r="O8567" t="s">
        <v>177</v>
      </c>
      <c r="R8567" t="s">
        <v>57</v>
      </c>
      <c r="S8567">
        <v>10</v>
      </c>
      <c r="T8567">
        <v>206</v>
      </c>
      <c r="U8567" s="1">
        <v>37866</v>
      </c>
      <c r="V8567" t="s">
        <v>66</v>
      </c>
      <c r="W8567" t="s">
        <v>67</v>
      </c>
      <c r="X8567" t="s">
        <v>58</v>
      </c>
      <c r="Y8567">
        <v>21</v>
      </c>
      <c r="Z8567" t="s">
        <v>59</v>
      </c>
      <c r="AA8567" t="s">
        <v>59</v>
      </c>
      <c r="AB8567" t="s">
        <v>59</v>
      </c>
      <c r="AC8567" t="s">
        <v>59</v>
      </c>
      <c r="AD8567" t="s">
        <v>59</v>
      </c>
      <c r="AF8567" s="1">
        <v>37866</v>
      </c>
      <c r="AG8567" t="s">
        <v>8645</v>
      </c>
      <c r="AH8567" t="s">
        <v>8646</v>
      </c>
      <c r="AI8567" t="str">
        <f>"9521348"</f>
        <v>9521348</v>
      </c>
      <c r="AJ8567" t="s">
        <v>12714</v>
      </c>
      <c r="AK8567">
        <v>2831021334</v>
      </c>
      <c r="AL8567" t="s">
        <v>12715</v>
      </c>
      <c r="AM8567" t="s">
        <v>64</v>
      </c>
      <c r="AN8567" t="s">
        <v>65</v>
      </c>
      <c r="AO8567" t="s">
        <v>5720</v>
      </c>
      <c r="AP8567" t="s">
        <v>5721</v>
      </c>
      <c r="AQ8567">
        <v>2</v>
      </c>
      <c r="AR8567" t="s">
        <v>66</v>
      </c>
      <c r="AS8567" t="s">
        <v>67</v>
      </c>
      <c r="AT8567" t="s">
        <v>58</v>
      </c>
      <c r="AU8567" t="s">
        <v>68</v>
      </c>
      <c r="AV8567" t="s">
        <v>69</v>
      </c>
      <c r="AW8567" s="1">
        <v>24512</v>
      </c>
      <c r="AX8567">
        <v>1</v>
      </c>
    </row>
    <row r="8568" spans="1:50">
      <c r="A8568">
        <v>575618</v>
      </c>
      <c r="B8568" t="str">
        <f>"050509365"</f>
        <v>050509365</v>
      </c>
      <c r="C8568" t="s">
        <v>105</v>
      </c>
      <c r="D8568" t="s">
        <v>13169</v>
      </c>
      <c r="E8568" t="s">
        <v>72</v>
      </c>
      <c r="F8568" t="s">
        <v>166</v>
      </c>
      <c r="G8568" t="s">
        <v>473</v>
      </c>
      <c r="H8568" t="str">
        <f>" "</f>
        <v xml:space="preserve"> </v>
      </c>
      <c r="N8568" t="s">
        <v>615</v>
      </c>
      <c r="O8568" t="s">
        <v>616</v>
      </c>
      <c r="R8568" t="s">
        <v>57</v>
      </c>
      <c r="S8568">
        <v>13</v>
      </c>
      <c r="T8568">
        <v>184</v>
      </c>
      <c r="U8568" s="1">
        <v>34941</v>
      </c>
      <c r="V8568" t="s">
        <v>66</v>
      </c>
      <c r="W8568" t="s">
        <v>67</v>
      </c>
      <c r="X8568" t="s">
        <v>58</v>
      </c>
      <c r="Y8568">
        <v>21</v>
      </c>
      <c r="Z8568" t="s">
        <v>59</v>
      </c>
      <c r="AA8568" t="s">
        <v>59</v>
      </c>
      <c r="AB8568" t="s">
        <v>59</v>
      </c>
      <c r="AC8568" t="s">
        <v>59</v>
      </c>
      <c r="AD8568" t="s">
        <v>59</v>
      </c>
      <c r="AF8568" s="1">
        <v>34943</v>
      </c>
      <c r="AG8568" t="s">
        <v>8645</v>
      </c>
      <c r="AH8568" t="s">
        <v>8646</v>
      </c>
      <c r="AI8568" t="str">
        <f>"9410155"</f>
        <v>9410155</v>
      </c>
      <c r="AJ8568" t="s">
        <v>12663</v>
      </c>
      <c r="AK8568">
        <v>2831028697</v>
      </c>
      <c r="AL8568" t="s">
        <v>12664</v>
      </c>
      <c r="AM8568" t="s">
        <v>64</v>
      </c>
      <c r="AN8568" t="s">
        <v>65</v>
      </c>
      <c r="AO8568" t="s">
        <v>65</v>
      </c>
      <c r="AP8568" t="s">
        <v>65</v>
      </c>
      <c r="AQ8568">
        <v>1</v>
      </c>
      <c r="AR8568" t="s">
        <v>66</v>
      </c>
      <c r="AS8568" t="s">
        <v>67</v>
      </c>
      <c r="AT8568" t="s">
        <v>58</v>
      </c>
      <c r="AU8568" t="s">
        <v>68</v>
      </c>
      <c r="AV8568" t="s">
        <v>69</v>
      </c>
      <c r="AW8568" s="1">
        <v>22629</v>
      </c>
      <c r="AX8568">
        <v>1</v>
      </c>
    </row>
    <row r="8569" spans="1:50">
      <c r="A8569">
        <v>601736</v>
      </c>
      <c r="B8569" t="str">
        <f>"077778184"</f>
        <v>077778184</v>
      </c>
      <c r="C8569" t="s">
        <v>105</v>
      </c>
      <c r="D8569" t="s">
        <v>13170</v>
      </c>
      <c r="E8569" t="s">
        <v>377</v>
      </c>
      <c r="F8569" t="s">
        <v>936</v>
      </c>
      <c r="G8569" t="s">
        <v>8330</v>
      </c>
      <c r="H8569" t="str">
        <f>" ΑΔΕΛΕ"</f>
        <v xml:space="preserve"> ΑΔΕΛΕ</v>
      </c>
      <c r="J8569">
        <v>2521092146</v>
      </c>
      <c r="K8569">
        <v>6977747935</v>
      </c>
      <c r="N8569" t="s">
        <v>615</v>
      </c>
      <c r="O8569" t="s">
        <v>616</v>
      </c>
      <c r="R8569" t="s">
        <v>57</v>
      </c>
      <c r="S8569">
        <v>7</v>
      </c>
      <c r="T8569">
        <v>207</v>
      </c>
      <c r="U8569" s="1">
        <v>37866</v>
      </c>
      <c r="V8569" t="s">
        <v>66</v>
      </c>
      <c r="W8569" t="s">
        <v>67</v>
      </c>
      <c r="X8569" t="s">
        <v>58</v>
      </c>
      <c r="Y8569">
        <v>22</v>
      </c>
      <c r="Z8569" t="s">
        <v>59</v>
      </c>
      <c r="AA8569" t="s">
        <v>59</v>
      </c>
      <c r="AB8569" t="s">
        <v>59</v>
      </c>
      <c r="AC8569" t="s">
        <v>59</v>
      </c>
      <c r="AD8569" t="s">
        <v>59</v>
      </c>
      <c r="AF8569" s="1">
        <v>37866</v>
      </c>
      <c r="AG8569" t="s">
        <v>8645</v>
      </c>
      <c r="AH8569" t="s">
        <v>8646</v>
      </c>
      <c r="AI8569" t="str">
        <f>"9410257"</f>
        <v>9410257</v>
      </c>
      <c r="AJ8569" t="s">
        <v>12828</v>
      </c>
      <c r="AK8569">
        <v>2831056242</v>
      </c>
      <c r="AL8569" t="s">
        <v>12829</v>
      </c>
      <c r="AM8569" t="s">
        <v>64</v>
      </c>
      <c r="AN8569" t="s">
        <v>65</v>
      </c>
      <c r="AO8569" t="s">
        <v>65</v>
      </c>
      <c r="AP8569" t="s">
        <v>65</v>
      </c>
      <c r="AQ8569">
        <v>1</v>
      </c>
      <c r="AR8569" t="s">
        <v>66</v>
      </c>
      <c r="AS8569" t="s">
        <v>67</v>
      </c>
      <c r="AT8569" t="s">
        <v>58</v>
      </c>
      <c r="AU8569" t="s">
        <v>68</v>
      </c>
      <c r="AV8569" t="s">
        <v>69</v>
      </c>
      <c r="AW8569" s="1">
        <v>27628</v>
      </c>
      <c r="AX8569">
        <v>1</v>
      </c>
    </row>
    <row r="8570" spans="1:50">
      <c r="A8570">
        <v>613063</v>
      </c>
      <c r="B8570" t="str">
        <f>"112877191"</f>
        <v>112877191</v>
      </c>
      <c r="C8570" t="s">
        <v>50</v>
      </c>
      <c r="D8570" t="s">
        <v>13171</v>
      </c>
      <c r="E8570" t="s">
        <v>809</v>
      </c>
      <c r="F8570" t="s">
        <v>2233</v>
      </c>
      <c r="G8570" t="s">
        <v>83</v>
      </c>
      <c r="H8570" t="str">
        <f>"ΕΠΙΣΚΟΠΗ "</f>
        <v xml:space="preserve">ΕΠΙΣΚΟΠΗ </v>
      </c>
      <c r="I8570">
        <v>74055</v>
      </c>
      <c r="J8570">
        <v>2831061223</v>
      </c>
      <c r="K8570">
        <v>6946388202</v>
      </c>
      <c r="M8570" t="s">
        <v>13172</v>
      </c>
      <c r="N8570" t="s">
        <v>615</v>
      </c>
      <c r="O8570" t="s">
        <v>616</v>
      </c>
      <c r="R8570" t="s">
        <v>57</v>
      </c>
      <c r="S8570">
        <v>6</v>
      </c>
      <c r="T8570">
        <v>598</v>
      </c>
      <c r="U8570" s="1">
        <v>39310</v>
      </c>
      <c r="V8570" t="s">
        <v>66</v>
      </c>
      <c r="W8570" t="s">
        <v>67</v>
      </c>
      <c r="X8570" t="s">
        <v>58</v>
      </c>
      <c r="Y8570">
        <v>23</v>
      </c>
      <c r="Z8570" t="s">
        <v>59</v>
      </c>
      <c r="AA8570" t="s">
        <v>59</v>
      </c>
      <c r="AB8570" t="s">
        <v>59</v>
      </c>
      <c r="AC8570" t="s">
        <v>59</v>
      </c>
      <c r="AD8570" t="s">
        <v>59</v>
      </c>
      <c r="AF8570" s="1">
        <v>39328</v>
      </c>
      <c r="AG8570" t="s">
        <v>8645</v>
      </c>
      <c r="AH8570" t="s">
        <v>8646</v>
      </c>
      <c r="AI8570" t="str">
        <f>"9410159"</f>
        <v>9410159</v>
      </c>
      <c r="AJ8570" t="s">
        <v>12980</v>
      </c>
      <c r="AK8570">
        <v>2831081279</v>
      </c>
      <c r="AL8570" t="s">
        <v>12981</v>
      </c>
      <c r="AM8570" t="s">
        <v>64</v>
      </c>
      <c r="AN8570" t="s">
        <v>65</v>
      </c>
      <c r="AO8570" t="s">
        <v>5657</v>
      </c>
      <c r="AP8570" t="s">
        <v>12982</v>
      </c>
      <c r="AQ8570">
        <v>4</v>
      </c>
      <c r="AR8570" t="s">
        <v>66</v>
      </c>
      <c r="AS8570" t="s">
        <v>67</v>
      </c>
      <c r="AT8570" t="s">
        <v>58</v>
      </c>
      <c r="AU8570" t="s">
        <v>68</v>
      </c>
      <c r="AV8570" t="s">
        <v>69</v>
      </c>
      <c r="AW8570" s="1">
        <v>30063</v>
      </c>
      <c r="AX8570">
        <v>1</v>
      </c>
    </row>
    <row r="8571" spans="1:50">
      <c r="A8571">
        <v>616298</v>
      </c>
      <c r="B8571" t="str">
        <f>"118640360"</f>
        <v>118640360</v>
      </c>
      <c r="C8571" t="s">
        <v>50</v>
      </c>
      <c r="D8571" t="s">
        <v>13173</v>
      </c>
      <c r="E8571" t="s">
        <v>250</v>
      </c>
      <c r="F8571" t="s">
        <v>53</v>
      </c>
      <c r="G8571" t="s">
        <v>52</v>
      </c>
      <c r="H8571" t="str">
        <f>"ΚΥΘΗΡΩΝ 4-6  ΚΥΨΕΛΗ"</f>
        <v>ΚΥΘΗΡΩΝ 4-6  ΚΥΨΕΛΗ</v>
      </c>
      <c r="I8571">
        <v>11364</v>
      </c>
      <c r="J8571">
        <v>2108626859</v>
      </c>
      <c r="K8571">
        <v>6932008606</v>
      </c>
      <c r="N8571" t="s">
        <v>1525</v>
      </c>
      <c r="O8571" t="s">
        <v>1526</v>
      </c>
      <c r="R8571" t="s">
        <v>57</v>
      </c>
      <c r="S8571">
        <v>5</v>
      </c>
      <c r="T8571">
        <v>660</v>
      </c>
      <c r="U8571" s="1">
        <v>39311</v>
      </c>
      <c r="V8571" t="s">
        <v>66</v>
      </c>
      <c r="W8571" t="s">
        <v>67</v>
      </c>
      <c r="X8571" t="s">
        <v>58</v>
      </c>
      <c r="Y8571">
        <v>25</v>
      </c>
      <c r="Z8571" t="s">
        <v>59</v>
      </c>
      <c r="AA8571" t="s">
        <v>59</v>
      </c>
      <c r="AB8571" t="s">
        <v>59</v>
      </c>
      <c r="AC8571" t="s">
        <v>59</v>
      </c>
      <c r="AD8571" t="s">
        <v>59</v>
      </c>
      <c r="AF8571" s="1">
        <v>39328</v>
      </c>
      <c r="AG8571" t="s">
        <v>8651</v>
      </c>
      <c r="AH8571" t="s">
        <v>8652</v>
      </c>
      <c r="AI8571" t="str">
        <f>"9521303"</f>
        <v>9521303</v>
      </c>
      <c r="AJ8571" t="s">
        <v>13174</v>
      </c>
      <c r="AK8571">
        <v>2831072269</v>
      </c>
      <c r="AL8571" t="s">
        <v>13175</v>
      </c>
      <c r="AM8571" t="s">
        <v>64</v>
      </c>
      <c r="AN8571" t="s">
        <v>65</v>
      </c>
      <c r="AO8571" t="s">
        <v>65</v>
      </c>
      <c r="AP8571" t="s">
        <v>13176</v>
      </c>
      <c r="AQ8571">
        <v>3</v>
      </c>
      <c r="AR8571" t="s">
        <v>66</v>
      </c>
      <c r="AS8571" t="s">
        <v>67</v>
      </c>
      <c r="AT8571" t="s">
        <v>58</v>
      </c>
      <c r="AU8571" t="s">
        <v>68</v>
      </c>
      <c r="AV8571" t="s">
        <v>69</v>
      </c>
      <c r="AW8571" s="1">
        <v>30103</v>
      </c>
      <c r="AX8571">
        <v>1</v>
      </c>
    </row>
    <row r="8572" spans="1:50">
      <c r="B8572" t="str">
        <f>"104958292"</f>
        <v>104958292</v>
      </c>
      <c r="C8572" t="s">
        <v>50</v>
      </c>
      <c r="D8572" t="s">
        <v>13177</v>
      </c>
      <c r="E8572" t="s">
        <v>109</v>
      </c>
      <c r="F8572" t="s">
        <v>99</v>
      </c>
      <c r="G8572" t="s">
        <v>809</v>
      </c>
      <c r="H8572" t="str">
        <f>"ΝΙΚ. ΠΛΑΣΤΗΡΑ 58 ΑΘΗΝΑ"</f>
        <v>ΝΙΚ. ΠΛΑΣΤΗΡΑ 58 ΑΘΗΝΑ</v>
      </c>
      <c r="I8572">
        <v>13561</v>
      </c>
      <c r="J8572">
        <v>2108329198</v>
      </c>
      <c r="K8572">
        <v>6972422206</v>
      </c>
      <c r="M8572" t="s">
        <v>13178</v>
      </c>
      <c r="N8572" t="s">
        <v>204</v>
      </c>
      <c r="O8572" t="s">
        <v>205</v>
      </c>
      <c r="R8572" t="s">
        <v>159</v>
      </c>
      <c r="S8572">
        <v>3</v>
      </c>
      <c r="T8572" t="s">
        <v>8675</v>
      </c>
      <c r="U8572" s="1">
        <v>43348</v>
      </c>
      <c r="V8572" t="s">
        <v>66</v>
      </c>
      <c r="W8572" t="s">
        <v>67</v>
      </c>
      <c r="X8572" t="s">
        <v>58</v>
      </c>
      <c r="Y8572">
        <v>24</v>
      </c>
      <c r="Z8572" t="s">
        <v>59</v>
      </c>
      <c r="AA8572" t="s">
        <v>59</v>
      </c>
      <c r="AB8572" t="s">
        <v>59</v>
      </c>
      <c r="AC8572" t="s">
        <v>59</v>
      </c>
      <c r="AD8572" t="s">
        <v>59</v>
      </c>
      <c r="AF8572" s="1">
        <v>43348</v>
      </c>
      <c r="AG8572" t="s">
        <v>8645</v>
      </c>
      <c r="AH8572" t="s">
        <v>8646</v>
      </c>
      <c r="AI8572" t="str">
        <f>"9410067"</f>
        <v>9410067</v>
      </c>
      <c r="AJ8572" t="s">
        <v>12736</v>
      </c>
      <c r="AK8572">
        <v>2831022836</v>
      </c>
      <c r="AL8572" t="s">
        <v>12737</v>
      </c>
      <c r="AM8572" t="s">
        <v>64</v>
      </c>
      <c r="AN8572" t="s">
        <v>65</v>
      </c>
      <c r="AO8572" t="s">
        <v>65</v>
      </c>
      <c r="AP8572" t="s">
        <v>65</v>
      </c>
      <c r="AQ8572">
        <v>1</v>
      </c>
      <c r="AR8572" t="s">
        <v>66</v>
      </c>
      <c r="AS8572" t="s">
        <v>67</v>
      </c>
      <c r="AT8572" t="s">
        <v>58</v>
      </c>
      <c r="AU8572" t="s">
        <v>8673</v>
      </c>
      <c r="AV8572" t="s">
        <v>132</v>
      </c>
      <c r="AW8572" s="1">
        <v>29168</v>
      </c>
      <c r="AX8572">
        <v>1</v>
      </c>
    </row>
    <row r="8573" spans="1:50">
      <c r="A8573">
        <v>611707</v>
      </c>
      <c r="B8573" t="str">
        <f>"114888791"</f>
        <v>114888791</v>
      </c>
      <c r="C8573" t="s">
        <v>50</v>
      </c>
      <c r="D8573" t="s">
        <v>13179</v>
      </c>
      <c r="E8573" t="s">
        <v>237</v>
      </c>
      <c r="F8573" t="s">
        <v>1641</v>
      </c>
      <c r="G8573" t="s">
        <v>52</v>
      </c>
      <c r="H8573" t="str">
        <f>"ΚΥΔΩΝΙΩΝ 18 ΡΕΘΥΜΝΟ"</f>
        <v>ΚΥΔΩΝΙΩΝ 18 ΡΕΘΥΜΝΟ</v>
      </c>
      <c r="I8573">
        <v>74100</v>
      </c>
      <c r="J8573">
        <v>2831035966</v>
      </c>
      <c r="K8573">
        <v>6947932213</v>
      </c>
      <c r="M8573" t="s">
        <v>13180</v>
      </c>
      <c r="N8573" t="s">
        <v>1525</v>
      </c>
      <c r="O8573" t="s">
        <v>1526</v>
      </c>
      <c r="R8573" t="s">
        <v>57</v>
      </c>
      <c r="S8573">
        <v>5</v>
      </c>
      <c r="T8573">
        <v>233</v>
      </c>
      <c r="U8573" s="1">
        <v>38960</v>
      </c>
      <c r="V8573" t="s">
        <v>66</v>
      </c>
      <c r="W8573" t="s">
        <v>67</v>
      </c>
      <c r="X8573" t="s">
        <v>58</v>
      </c>
      <c r="Y8573">
        <v>25</v>
      </c>
      <c r="Z8573" t="s">
        <v>59</v>
      </c>
      <c r="AA8573" t="s">
        <v>59</v>
      </c>
      <c r="AB8573" t="s">
        <v>59</v>
      </c>
      <c r="AC8573" t="s">
        <v>59</v>
      </c>
      <c r="AD8573" t="s">
        <v>59</v>
      </c>
      <c r="AF8573" s="1">
        <v>38961</v>
      </c>
      <c r="AG8573" t="s">
        <v>8651</v>
      </c>
      <c r="AH8573" t="s">
        <v>8652</v>
      </c>
      <c r="AI8573" t="str">
        <f>"9410189"</f>
        <v>9410189</v>
      </c>
      <c r="AJ8573" t="s">
        <v>12706</v>
      </c>
      <c r="AK8573">
        <v>2831028290</v>
      </c>
      <c r="AL8573" t="s">
        <v>12707</v>
      </c>
      <c r="AM8573" t="s">
        <v>64</v>
      </c>
      <c r="AN8573" t="s">
        <v>65</v>
      </c>
      <c r="AO8573" t="s">
        <v>65</v>
      </c>
      <c r="AP8573" t="s">
        <v>65</v>
      </c>
      <c r="AQ8573">
        <v>1</v>
      </c>
      <c r="AR8573" t="s">
        <v>66</v>
      </c>
      <c r="AS8573" t="s">
        <v>67</v>
      </c>
      <c r="AT8573" t="s">
        <v>58</v>
      </c>
      <c r="AU8573" t="s">
        <v>68</v>
      </c>
      <c r="AV8573" t="s">
        <v>69</v>
      </c>
      <c r="AW8573" s="1">
        <v>29906</v>
      </c>
      <c r="AX8573">
        <v>1</v>
      </c>
    </row>
    <row r="8574" spans="1:50">
      <c r="A8574">
        <v>598623</v>
      </c>
      <c r="B8574" t="str">
        <f>"055223978"</f>
        <v>055223978</v>
      </c>
      <c r="C8574" t="s">
        <v>105</v>
      </c>
      <c r="D8574" t="s">
        <v>13181</v>
      </c>
      <c r="E8574" t="s">
        <v>53</v>
      </c>
      <c r="F8574" t="s">
        <v>309</v>
      </c>
      <c r="G8574" t="s">
        <v>83</v>
      </c>
      <c r="H8574" t="str">
        <f>"ΠΕΡΙΒΟΛΙΑ ΡΕΘΥΜΝΟ"</f>
        <v>ΠΕΡΙΒΟΛΙΑ ΡΕΘΥΜΝΟ</v>
      </c>
      <c r="I8574">
        <v>74100</v>
      </c>
      <c r="J8574">
        <v>2831040997</v>
      </c>
      <c r="K8574">
        <v>6947838075</v>
      </c>
      <c r="N8574" t="s">
        <v>615</v>
      </c>
      <c r="O8574" t="s">
        <v>616</v>
      </c>
      <c r="R8574" t="s">
        <v>57</v>
      </c>
      <c r="S8574">
        <v>9</v>
      </c>
      <c r="T8574">
        <v>195</v>
      </c>
      <c r="U8574" s="1">
        <v>37497</v>
      </c>
      <c r="V8574" t="s">
        <v>66</v>
      </c>
      <c r="W8574" t="s">
        <v>67</v>
      </c>
      <c r="X8574" t="s">
        <v>58</v>
      </c>
      <c r="Y8574">
        <v>22</v>
      </c>
      <c r="Z8574" t="s">
        <v>59</v>
      </c>
      <c r="AA8574" t="s">
        <v>59</v>
      </c>
      <c r="AB8574" t="s">
        <v>59</v>
      </c>
      <c r="AC8574" t="s">
        <v>59</v>
      </c>
      <c r="AD8574" t="s">
        <v>59</v>
      </c>
      <c r="AF8574" s="1">
        <v>37501</v>
      </c>
      <c r="AG8574" t="s">
        <v>8645</v>
      </c>
      <c r="AH8574" t="s">
        <v>8646</v>
      </c>
      <c r="AI8574" t="str">
        <f>"9410069"</f>
        <v>9410069</v>
      </c>
      <c r="AJ8574" t="s">
        <v>12674</v>
      </c>
      <c r="AK8574">
        <v>2831029296</v>
      </c>
      <c r="AL8574" t="s">
        <v>12675</v>
      </c>
      <c r="AM8574" t="s">
        <v>64</v>
      </c>
      <c r="AN8574" t="s">
        <v>65</v>
      </c>
      <c r="AO8574" t="s">
        <v>65</v>
      </c>
      <c r="AP8574" t="s">
        <v>65</v>
      </c>
      <c r="AQ8574">
        <v>1</v>
      </c>
      <c r="AR8574" t="s">
        <v>66</v>
      </c>
      <c r="AS8574" t="s">
        <v>67</v>
      </c>
      <c r="AT8574" t="s">
        <v>58</v>
      </c>
      <c r="AU8574" t="s">
        <v>68</v>
      </c>
      <c r="AV8574" t="s">
        <v>69</v>
      </c>
      <c r="AW8574" s="1">
        <v>24575</v>
      </c>
      <c r="AX8574">
        <v>1</v>
      </c>
    </row>
    <row r="8575" spans="1:50">
      <c r="A8575">
        <v>607186</v>
      </c>
      <c r="B8575" t="str">
        <f>"066969026"</f>
        <v>066969026</v>
      </c>
      <c r="C8575" t="s">
        <v>50</v>
      </c>
      <c r="D8575" t="s">
        <v>13182</v>
      </c>
      <c r="E8575" t="s">
        <v>54</v>
      </c>
      <c r="F8575" t="s">
        <v>1185</v>
      </c>
      <c r="G8575" t="s">
        <v>215</v>
      </c>
      <c r="H8575" t="str">
        <f>" "</f>
        <v xml:space="preserve"> </v>
      </c>
      <c r="J8575">
        <v>2310305185</v>
      </c>
      <c r="K8575">
        <v>6947122714</v>
      </c>
      <c r="N8575" t="s">
        <v>615</v>
      </c>
      <c r="O8575" t="s">
        <v>616</v>
      </c>
      <c r="R8575" t="s">
        <v>57</v>
      </c>
      <c r="S8575">
        <v>7</v>
      </c>
      <c r="T8575" t="s">
        <v>13056</v>
      </c>
      <c r="U8575" s="1">
        <v>38596</v>
      </c>
      <c r="V8575" t="s">
        <v>66</v>
      </c>
      <c r="W8575" t="s">
        <v>67</v>
      </c>
      <c r="X8575" t="s">
        <v>58</v>
      </c>
      <c r="Y8575">
        <v>22</v>
      </c>
      <c r="Z8575" t="s">
        <v>59</v>
      </c>
      <c r="AA8575" t="s">
        <v>59</v>
      </c>
      <c r="AB8575" t="s">
        <v>59</v>
      </c>
      <c r="AC8575" t="s">
        <v>59</v>
      </c>
      <c r="AD8575" t="s">
        <v>59</v>
      </c>
      <c r="AF8575" s="1">
        <v>38600</v>
      </c>
      <c r="AG8575" t="s">
        <v>8645</v>
      </c>
      <c r="AH8575" t="s">
        <v>8646</v>
      </c>
      <c r="AI8575" t="str">
        <f>"9410212"</f>
        <v>9410212</v>
      </c>
      <c r="AJ8575" t="s">
        <v>12747</v>
      </c>
      <c r="AK8575">
        <v>2831022132</v>
      </c>
      <c r="AL8575" t="s">
        <v>12748</v>
      </c>
      <c r="AM8575" t="s">
        <v>64</v>
      </c>
      <c r="AN8575" t="s">
        <v>65</v>
      </c>
      <c r="AO8575" t="s">
        <v>65</v>
      </c>
      <c r="AP8575" t="s">
        <v>65</v>
      </c>
      <c r="AQ8575">
        <v>1</v>
      </c>
      <c r="AR8575" t="s">
        <v>66</v>
      </c>
      <c r="AS8575" t="s">
        <v>67</v>
      </c>
      <c r="AT8575" t="s">
        <v>58</v>
      </c>
      <c r="AU8575" t="s">
        <v>68</v>
      </c>
      <c r="AV8575" t="s">
        <v>69</v>
      </c>
      <c r="AW8575" s="1">
        <v>29238</v>
      </c>
      <c r="AX8575">
        <v>1</v>
      </c>
    </row>
    <row r="8576" spans="1:50">
      <c r="B8576" t="str">
        <f>"101593545"</f>
        <v>101593545</v>
      </c>
      <c r="C8576" t="s">
        <v>50</v>
      </c>
      <c r="D8576" t="s">
        <v>1987</v>
      </c>
      <c r="E8576" t="s">
        <v>255</v>
      </c>
      <c r="F8576" t="s">
        <v>53</v>
      </c>
      <c r="G8576" t="s">
        <v>1440</v>
      </c>
      <c r="H8576" t="str">
        <f>"ΦΡΑΓΚΟΚΑΣΤΕΛΟΥ 6 "</f>
        <v xml:space="preserve">ΦΡΑΓΚΟΚΑΣΤΕΛΟΥ 6 </v>
      </c>
      <c r="I8576">
        <v>73133</v>
      </c>
      <c r="J8576">
        <v>2821056956</v>
      </c>
      <c r="K8576">
        <v>6977258490</v>
      </c>
      <c r="N8576" t="s">
        <v>306</v>
      </c>
      <c r="O8576" t="s">
        <v>307</v>
      </c>
      <c r="R8576" t="s">
        <v>159</v>
      </c>
      <c r="S8576">
        <v>2</v>
      </c>
      <c r="T8576" t="s">
        <v>8675</v>
      </c>
      <c r="U8576" s="1">
        <v>43348</v>
      </c>
      <c r="V8576" t="s">
        <v>66</v>
      </c>
      <c r="W8576" t="s">
        <v>67</v>
      </c>
      <c r="X8576" t="s">
        <v>58</v>
      </c>
      <c r="Y8576">
        <v>24</v>
      </c>
      <c r="Z8576" t="s">
        <v>59</v>
      </c>
      <c r="AA8576" t="s">
        <v>59</v>
      </c>
      <c r="AB8576" t="s">
        <v>59</v>
      </c>
      <c r="AC8576" t="s">
        <v>59</v>
      </c>
      <c r="AD8576" t="s">
        <v>59</v>
      </c>
      <c r="AF8576" s="1">
        <v>43348</v>
      </c>
      <c r="AG8576" t="s">
        <v>8645</v>
      </c>
      <c r="AH8576" t="s">
        <v>8646</v>
      </c>
      <c r="AI8576" t="str">
        <f>"9410048"</f>
        <v>9410048</v>
      </c>
      <c r="AJ8576" t="s">
        <v>12656</v>
      </c>
      <c r="AK8576">
        <v>2834020221</v>
      </c>
      <c r="AL8576" t="s">
        <v>12657</v>
      </c>
      <c r="AM8576" t="s">
        <v>64</v>
      </c>
      <c r="AN8576" t="s">
        <v>5672</v>
      </c>
      <c r="AO8576" t="s">
        <v>5673</v>
      </c>
      <c r="AP8576" t="s">
        <v>5674</v>
      </c>
      <c r="AQ8576">
        <v>10</v>
      </c>
      <c r="AR8576" t="s">
        <v>66</v>
      </c>
      <c r="AS8576" t="s">
        <v>67</v>
      </c>
      <c r="AT8576" t="s">
        <v>58</v>
      </c>
      <c r="AU8576" t="s">
        <v>8673</v>
      </c>
      <c r="AV8576" t="s">
        <v>132</v>
      </c>
      <c r="AW8576" s="1">
        <v>31201</v>
      </c>
      <c r="AX8576">
        <v>1</v>
      </c>
    </row>
    <row r="8577" spans="1:50">
      <c r="A8577">
        <v>567079</v>
      </c>
      <c r="B8577" t="str">
        <f>"036273800"</f>
        <v>036273800</v>
      </c>
      <c r="C8577" t="s">
        <v>50</v>
      </c>
      <c r="D8577" t="s">
        <v>1987</v>
      </c>
      <c r="E8577" t="s">
        <v>382</v>
      </c>
      <c r="F8577" t="s">
        <v>154</v>
      </c>
      <c r="G8577" t="s">
        <v>104</v>
      </c>
      <c r="H8577" t="str">
        <f>" "</f>
        <v xml:space="preserve"> </v>
      </c>
      <c r="N8577" t="s">
        <v>615</v>
      </c>
      <c r="O8577" t="s">
        <v>616</v>
      </c>
      <c r="R8577" t="s">
        <v>57</v>
      </c>
      <c r="S8577">
        <v>15</v>
      </c>
      <c r="T8577">
        <v>133</v>
      </c>
      <c r="U8577" s="1">
        <v>33456</v>
      </c>
      <c r="V8577" t="s">
        <v>66</v>
      </c>
      <c r="W8577" t="s">
        <v>67</v>
      </c>
      <c r="X8577" t="s">
        <v>58</v>
      </c>
      <c r="Y8577">
        <v>21</v>
      </c>
      <c r="Z8577" t="s">
        <v>59</v>
      </c>
      <c r="AA8577" t="s">
        <v>59</v>
      </c>
      <c r="AB8577" t="s">
        <v>59</v>
      </c>
      <c r="AC8577" t="s">
        <v>59</v>
      </c>
      <c r="AD8577" t="s">
        <v>59</v>
      </c>
      <c r="AF8577" s="1">
        <v>33486</v>
      </c>
      <c r="AG8577" t="s">
        <v>8645</v>
      </c>
      <c r="AH8577" t="s">
        <v>8646</v>
      </c>
      <c r="AI8577" t="str">
        <f>"9410212"</f>
        <v>9410212</v>
      </c>
      <c r="AJ8577" t="s">
        <v>12747</v>
      </c>
      <c r="AK8577">
        <v>2831022132</v>
      </c>
      <c r="AL8577" t="s">
        <v>12748</v>
      </c>
      <c r="AM8577" t="s">
        <v>64</v>
      </c>
      <c r="AN8577" t="s">
        <v>65</v>
      </c>
      <c r="AO8577" t="s">
        <v>65</v>
      </c>
      <c r="AP8577" t="s">
        <v>65</v>
      </c>
      <c r="AQ8577">
        <v>1</v>
      </c>
      <c r="AR8577" t="s">
        <v>66</v>
      </c>
      <c r="AS8577" t="s">
        <v>67</v>
      </c>
      <c r="AT8577" t="s">
        <v>58</v>
      </c>
      <c r="AU8577" t="s">
        <v>68</v>
      </c>
      <c r="AV8577" t="s">
        <v>69</v>
      </c>
      <c r="AW8577" s="1">
        <v>23827</v>
      </c>
      <c r="AX8577">
        <v>1</v>
      </c>
    </row>
    <row r="8578" spans="1:50">
      <c r="A8578">
        <v>594347</v>
      </c>
      <c r="B8578" t="str">
        <f>"075666615"</f>
        <v>075666615</v>
      </c>
      <c r="C8578" t="s">
        <v>50</v>
      </c>
      <c r="D8578" t="s">
        <v>13183</v>
      </c>
      <c r="E8578" t="s">
        <v>5201</v>
      </c>
      <c r="F8578" t="s">
        <v>510</v>
      </c>
      <c r="G8578" t="s">
        <v>630</v>
      </c>
      <c r="H8578" t="str">
        <f>" "</f>
        <v xml:space="preserve"> </v>
      </c>
      <c r="K8578">
        <v>6944368221</v>
      </c>
      <c r="N8578" t="s">
        <v>615</v>
      </c>
      <c r="O8578" t="s">
        <v>616</v>
      </c>
      <c r="R8578" t="s">
        <v>57</v>
      </c>
      <c r="S8578">
        <v>8</v>
      </c>
      <c r="T8578">
        <v>218</v>
      </c>
      <c r="U8578" s="1">
        <v>37134</v>
      </c>
      <c r="V8578" t="s">
        <v>66</v>
      </c>
      <c r="W8578" t="s">
        <v>67</v>
      </c>
      <c r="X8578" t="s">
        <v>58</v>
      </c>
      <c r="Y8578">
        <v>22</v>
      </c>
      <c r="Z8578" t="s">
        <v>59</v>
      </c>
      <c r="AA8578" t="s">
        <v>59</v>
      </c>
      <c r="AB8578" t="s">
        <v>59</v>
      </c>
      <c r="AC8578" t="s">
        <v>59</v>
      </c>
      <c r="AD8578" t="s">
        <v>59</v>
      </c>
      <c r="AF8578" s="1">
        <v>37138</v>
      </c>
      <c r="AG8578" t="s">
        <v>8645</v>
      </c>
      <c r="AH8578" t="s">
        <v>8646</v>
      </c>
      <c r="AI8578" t="str">
        <f>"9410167"</f>
        <v>9410167</v>
      </c>
      <c r="AJ8578" t="s">
        <v>12911</v>
      </c>
      <c r="AK8578">
        <v>2831031455</v>
      </c>
      <c r="AL8578" t="s">
        <v>12912</v>
      </c>
      <c r="AM8578" t="s">
        <v>64</v>
      </c>
      <c r="AN8578" t="s">
        <v>65</v>
      </c>
      <c r="AO8578" t="s">
        <v>5720</v>
      </c>
      <c r="AP8578" t="s">
        <v>12913</v>
      </c>
      <c r="AQ8578">
        <v>2</v>
      </c>
      <c r="AR8578" t="s">
        <v>66</v>
      </c>
      <c r="AS8578" t="s">
        <v>67</v>
      </c>
      <c r="AT8578" t="s">
        <v>58</v>
      </c>
      <c r="AU8578" t="s">
        <v>68</v>
      </c>
      <c r="AV8578" t="s">
        <v>69</v>
      </c>
      <c r="AW8578" s="1">
        <v>25131</v>
      </c>
      <c r="AX8578">
        <v>1</v>
      </c>
    </row>
    <row r="8579" spans="1:50">
      <c r="A8579">
        <v>579516</v>
      </c>
      <c r="B8579" t="str">
        <f>"064510770"</f>
        <v>064510770</v>
      </c>
      <c r="C8579" t="s">
        <v>50</v>
      </c>
      <c r="D8579" t="s">
        <v>13184</v>
      </c>
      <c r="E8579" t="s">
        <v>83</v>
      </c>
      <c r="F8579" t="s">
        <v>2933</v>
      </c>
      <c r="G8579" t="s">
        <v>366</v>
      </c>
      <c r="H8579" t="str">
        <f>" "</f>
        <v xml:space="preserve"> </v>
      </c>
      <c r="N8579" t="s">
        <v>615</v>
      </c>
      <c r="O8579" t="s">
        <v>616</v>
      </c>
      <c r="R8579" t="s">
        <v>57</v>
      </c>
      <c r="S8579">
        <v>11</v>
      </c>
      <c r="T8579">
        <v>165</v>
      </c>
      <c r="U8579" s="1">
        <v>35300</v>
      </c>
      <c r="V8579" t="s">
        <v>66</v>
      </c>
      <c r="W8579" t="s">
        <v>67</v>
      </c>
      <c r="X8579" t="s">
        <v>58</v>
      </c>
      <c r="Y8579">
        <v>21</v>
      </c>
      <c r="Z8579" t="s">
        <v>59</v>
      </c>
      <c r="AA8579" t="s">
        <v>59</v>
      </c>
      <c r="AB8579" t="s">
        <v>59</v>
      </c>
      <c r="AC8579" t="s">
        <v>59</v>
      </c>
      <c r="AD8579" t="s">
        <v>59</v>
      </c>
      <c r="AF8579" s="1">
        <v>35313</v>
      </c>
      <c r="AG8579" t="s">
        <v>8645</v>
      </c>
      <c r="AH8579" t="s">
        <v>8646</v>
      </c>
      <c r="AI8579" t="str">
        <f>"9410030"</f>
        <v>9410030</v>
      </c>
      <c r="AJ8579" t="s">
        <v>12743</v>
      </c>
      <c r="AK8579">
        <v>2834093217</v>
      </c>
      <c r="AL8579" t="s">
        <v>12744</v>
      </c>
      <c r="AM8579" t="s">
        <v>64</v>
      </c>
      <c r="AN8579" t="s">
        <v>65</v>
      </c>
      <c r="AO8579" t="s">
        <v>12694</v>
      </c>
      <c r="AP8579" t="s">
        <v>12745</v>
      </c>
      <c r="AQ8579">
        <v>3</v>
      </c>
      <c r="AR8579" t="s">
        <v>66</v>
      </c>
      <c r="AS8579" t="s">
        <v>67</v>
      </c>
      <c r="AT8579" t="s">
        <v>58</v>
      </c>
      <c r="AU8579" t="s">
        <v>68</v>
      </c>
      <c r="AV8579" t="s">
        <v>69</v>
      </c>
      <c r="AW8579" s="1">
        <v>24424</v>
      </c>
      <c r="AX8579">
        <v>1</v>
      </c>
    </row>
    <row r="8580" spans="1:50">
      <c r="B8580" t="str">
        <f>"143656620"</f>
        <v>143656620</v>
      </c>
      <c r="C8580" t="s">
        <v>50</v>
      </c>
      <c r="D8580" t="s">
        <v>13185</v>
      </c>
      <c r="E8580" t="s">
        <v>191</v>
      </c>
      <c r="F8580" t="s">
        <v>154</v>
      </c>
      <c r="G8580" t="s">
        <v>181</v>
      </c>
      <c r="H8580" t="str">
        <f>"ΕΜΜ. ΠΑΧΛΑ 140 ΠΕΡΙΒΟΛΙΑ"</f>
        <v>ΕΜΜ. ΠΑΧΛΑ 140 ΠΕΡΙΒΟΛΙΑ</v>
      </c>
      <c r="I8580">
        <v>74100</v>
      </c>
      <c r="J8580">
        <v>2831055130</v>
      </c>
      <c r="K8580">
        <v>6976321793</v>
      </c>
      <c r="N8580" t="s">
        <v>615</v>
      </c>
      <c r="O8580" t="s">
        <v>616</v>
      </c>
      <c r="R8580" t="s">
        <v>159</v>
      </c>
      <c r="S8580">
        <v>3</v>
      </c>
      <c r="T8580" t="s">
        <v>8675</v>
      </c>
      <c r="U8580" s="1">
        <v>43348</v>
      </c>
      <c r="V8580" t="s">
        <v>66</v>
      </c>
      <c r="W8580" t="s">
        <v>67</v>
      </c>
      <c r="X8580" t="s">
        <v>58</v>
      </c>
      <c r="Y8580">
        <v>24</v>
      </c>
      <c r="Z8580" t="s">
        <v>59</v>
      </c>
      <c r="AA8580" t="s">
        <v>59</v>
      </c>
      <c r="AB8580" t="s">
        <v>59</v>
      </c>
      <c r="AC8580" t="s">
        <v>59</v>
      </c>
      <c r="AD8580" t="s">
        <v>59</v>
      </c>
      <c r="AF8580" s="1">
        <v>43348</v>
      </c>
      <c r="AG8580" t="s">
        <v>8645</v>
      </c>
      <c r="AH8580" t="s">
        <v>8646</v>
      </c>
      <c r="AI8580" t="str">
        <f>"9410169"</f>
        <v>9410169</v>
      </c>
      <c r="AJ8580" t="s">
        <v>12936</v>
      </c>
      <c r="AK8580">
        <v>2831031123</v>
      </c>
      <c r="AL8580" t="s">
        <v>12937</v>
      </c>
      <c r="AM8580" t="s">
        <v>64</v>
      </c>
      <c r="AN8580" t="s">
        <v>65</v>
      </c>
      <c r="AO8580" t="s">
        <v>5720</v>
      </c>
      <c r="AP8580" t="s">
        <v>12938</v>
      </c>
      <c r="AQ8580">
        <v>2</v>
      </c>
      <c r="AR8580" t="s">
        <v>66</v>
      </c>
      <c r="AS8580" t="s">
        <v>67</v>
      </c>
      <c r="AT8580" t="s">
        <v>58</v>
      </c>
      <c r="AU8580" t="s">
        <v>8673</v>
      </c>
      <c r="AV8580" t="s">
        <v>132</v>
      </c>
      <c r="AW8580" s="1">
        <v>31702</v>
      </c>
      <c r="AX8580">
        <v>1</v>
      </c>
    </row>
    <row r="8581" spans="1:50">
      <c r="A8581">
        <v>566281</v>
      </c>
      <c r="B8581" t="str">
        <f>"032977000"</f>
        <v>032977000</v>
      </c>
      <c r="C8581" t="s">
        <v>105</v>
      </c>
      <c r="D8581" t="s">
        <v>10166</v>
      </c>
      <c r="E8581" t="s">
        <v>1330</v>
      </c>
      <c r="F8581" t="s">
        <v>459</v>
      </c>
      <c r="G8581" t="s">
        <v>3648</v>
      </c>
      <c r="H8581" t="str">
        <f>" "</f>
        <v xml:space="preserve"> </v>
      </c>
      <c r="K8581">
        <v>6945903933</v>
      </c>
      <c r="N8581" t="s">
        <v>615</v>
      </c>
      <c r="O8581" t="s">
        <v>616</v>
      </c>
      <c r="R8581" t="s">
        <v>57</v>
      </c>
      <c r="S8581">
        <v>19</v>
      </c>
      <c r="T8581">
        <v>161</v>
      </c>
      <c r="U8581" s="1">
        <v>33119</v>
      </c>
      <c r="V8581" t="s">
        <v>66</v>
      </c>
      <c r="W8581" t="s">
        <v>67</v>
      </c>
      <c r="X8581" t="s">
        <v>58</v>
      </c>
      <c r="Y8581">
        <v>21</v>
      </c>
      <c r="Z8581" t="s">
        <v>59</v>
      </c>
      <c r="AA8581" t="s">
        <v>59</v>
      </c>
      <c r="AB8581" t="s">
        <v>59</v>
      </c>
      <c r="AC8581" t="s">
        <v>59</v>
      </c>
      <c r="AD8581" t="s">
        <v>59</v>
      </c>
      <c r="AF8581" s="1">
        <v>33119</v>
      </c>
      <c r="AG8581" t="s">
        <v>8645</v>
      </c>
      <c r="AH8581" t="s">
        <v>8646</v>
      </c>
      <c r="AI8581" t="str">
        <f>"9410069"</f>
        <v>9410069</v>
      </c>
      <c r="AJ8581" t="s">
        <v>12674</v>
      </c>
      <c r="AK8581">
        <v>2831029296</v>
      </c>
      <c r="AL8581" t="s">
        <v>12675</v>
      </c>
      <c r="AM8581" t="s">
        <v>64</v>
      </c>
      <c r="AN8581" t="s">
        <v>65</v>
      </c>
      <c r="AO8581" t="s">
        <v>65</v>
      </c>
      <c r="AP8581" t="s">
        <v>65</v>
      </c>
      <c r="AQ8581">
        <v>1</v>
      </c>
      <c r="AR8581" t="s">
        <v>66</v>
      </c>
      <c r="AS8581" t="s">
        <v>67</v>
      </c>
      <c r="AT8581" t="s">
        <v>58</v>
      </c>
      <c r="AU8581" t="s">
        <v>68</v>
      </c>
      <c r="AV8581" t="s">
        <v>69</v>
      </c>
      <c r="AW8581" s="1">
        <v>24181</v>
      </c>
      <c r="AX8581">
        <v>1</v>
      </c>
    </row>
    <row r="8582" spans="1:50">
      <c r="B8582" t="str">
        <f>"130558532"</f>
        <v>130558532</v>
      </c>
      <c r="C8582" t="s">
        <v>50</v>
      </c>
      <c r="D8582" t="s">
        <v>10167</v>
      </c>
      <c r="E8582" t="s">
        <v>934</v>
      </c>
      <c r="F8582" t="s">
        <v>1316</v>
      </c>
      <c r="G8582" t="s">
        <v>255</v>
      </c>
      <c r="H8582" t="str">
        <f>"ΠΑΡΝΑΣΣΟΥ 31 ΛΑΜΙΑ"</f>
        <v>ΠΑΡΝΑΣΣΟΥ 31 ΛΑΜΙΑ</v>
      </c>
      <c r="I8582">
        <v>35100</v>
      </c>
      <c r="J8582">
        <v>2231039809</v>
      </c>
      <c r="K8582">
        <v>6972255224</v>
      </c>
      <c r="N8582" t="s">
        <v>176</v>
      </c>
      <c r="O8582" t="s">
        <v>177</v>
      </c>
      <c r="R8582" t="s">
        <v>159</v>
      </c>
      <c r="S8582">
        <v>2</v>
      </c>
      <c r="T8582" t="s">
        <v>8675</v>
      </c>
      <c r="U8582" s="1">
        <v>43348</v>
      </c>
      <c r="V8582" t="s">
        <v>66</v>
      </c>
      <c r="W8582" t="s">
        <v>67</v>
      </c>
      <c r="X8582" t="s">
        <v>58</v>
      </c>
      <c r="Y8582">
        <v>24</v>
      </c>
      <c r="Z8582" t="s">
        <v>59</v>
      </c>
      <c r="AA8582" t="s">
        <v>59</v>
      </c>
      <c r="AB8582" t="s">
        <v>59</v>
      </c>
      <c r="AC8582" t="s">
        <v>59</v>
      </c>
      <c r="AD8582" t="s">
        <v>59</v>
      </c>
      <c r="AF8582" s="1">
        <v>43348</v>
      </c>
      <c r="AG8582" t="s">
        <v>8645</v>
      </c>
      <c r="AH8582" t="s">
        <v>8646</v>
      </c>
      <c r="AI8582" t="str">
        <f>"9410064"</f>
        <v>9410064</v>
      </c>
      <c r="AJ8582" t="s">
        <v>12683</v>
      </c>
      <c r="AK8582">
        <v>2831028390</v>
      </c>
      <c r="AL8582" t="s">
        <v>12684</v>
      </c>
      <c r="AM8582" t="s">
        <v>64</v>
      </c>
      <c r="AN8582" t="s">
        <v>65</v>
      </c>
      <c r="AO8582" t="s">
        <v>65</v>
      </c>
      <c r="AP8582" t="s">
        <v>65</v>
      </c>
      <c r="AQ8582">
        <v>1</v>
      </c>
      <c r="AR8582" t="s">
        <v>66</v>
      </c>
      <c r="AS8582" t="s">
        <v>67</v>
      </c>
      <c r="AT8582" t="s">
        <v>58</v>
      </c>
      <c r="AU8582" t="s">
        <v>8673</v>
      </c>
      <c r="AV8582" t="s">
        <v>132</v>
      </c>
      <c r="AW8582" s="1">
        <v>28723</v>
      </c>
      <c r="AX8582">
        <v>1</v>
      </c>
    </row>
    <row r="8583" spans="1:50">
      <c r="B8583" t="str">
        <f>"151066422"</f>
        <v>151066422</v>
      </c>
      <c r="C8583" t="s">
        <v>50</v>
      </c>
      <c r="D8583" t="s">
        <v>13186</v>
      </c>
      <c r="E8583" t="s">
        <v>5626</v>
      </c>
      <c r="F8583" t="s">
        <v>99</v>
      </c>
      <c r="G8583" t="s">
        <v>2239</v>
      </c>
      <c r="H8583" t="str">
        <f>" "</f>
        <v xml:space="preserve"> </v>
      </c>
      <c r="N8583" t="s">
        <v>615</v>
      </c>
      <c r="O8583" t="s">
        <v>616</v>
      </c>
      <c r="R8583" t="s">
        <v>159</v>
      </c>
      <c r="S8583">
        <v>1</v>
      </c>
      <c r="T8583" t="s">
        <v>8675</v>
      </c>
      <c r="U8583" s="1">
        <v>43348</v>
      </c>
      <c r="V8583" t="s">
        <v>66</v>
      </c>
      <c r="W8583" t="s">
        <v>67</v>
      </c>
      <c r="X8583" t="s">
        <v>58</v>
      </c>
      <c r="Y8583">
        <v>24</v>
      </c>
      <c r="Z8583" t="s">
        <v>59</v>
      </c>
      <c r="AA8583" t="s">
        <v>59</v>
      </c>
      <c r="AB8583" t="s">
        <v>59</v>
      </c>
      <c r="AC8583" t="s">
        <v>59</v>
      </c>
      <c r="AD8583" t="s">
        <v>59</v>
      </c>
      <c r="AF8583" s="1">
        <v>43348</v>
      </c>
      <c r="AG8583" t="s">
        <v>8645</v>
      </c>
      <c r="AH8583" t="s">
        <v>8676</v>
      </c>
      <c r="AI8583" t="str">
        <f>"9410041"</f>
        <v>9410041</v>
      </c>
      <c r="AJ8583" t="s">
        <v>12801</v>
      </c>
      <c r="AK8583">
        <v>2834092258</v>
      </c>
      <c r="AL8583" t="s">
        <v>12802</v>
      </c>
      <c r="AM8583" t="s">
        <v>64</v>
      </c>
      <c r="AN8583" t="s">
        <v>5672</v>
      </c>
      <c r="AO8583" t="s">
        <v>5673</v>
      </c>
      <c r="AP8583" t="s">
        <v>12803</v>
      </c>
      <c r="AQ8583">
        <v>8</v>
      </c>
      <c r="AR8583" t="s">
        <v>66</v>
      </c>
      <c r="AS8583" t="s">
        <v>67</v>
      </c>
      <c r="AT8583" t="s">
        <v>58</v>
      </c>
      <c r="AU8583" t="s">
        <v>8673</v>
      </c>
      <c r="AV8583" t="s">
        <v>132</v>
      </c>
      <c r="AW8583" s="1">
        <v>32669</v>
      </c>
      <c r="AX8583">
        <v>1</v>
      </c>
    </row>
    <row r="8584" spans="1:50">
      <c r="A8584">
        <v>604663</v>
      </c>
      <c r="B8584" t="str">
        <f>"120014084"</f>
        <v>120014084</v>
      </c>
      <c r="C8584" t="s">
        <v>50</v>
      </c>
      <c r="D8584" t="s">
        <v>7442</v>
      </c>
      <c r="E8584" t="s">
        <v>1355</v>
      </c>
      <c r="F8584" t="s">
        <v>84</v>
      </c>
      <c r="G8584" t="s">
        <v>114</v>
      </c>
      <c r="H8584" t="str">
        <f>"ΔΡΑΚΟΝΤΟΠΟΥΛΩΝ 2 ΡΕΘΥΜΝΟ"</f>
        <v>ΔΡΑΚΟΝΤΟΠΟΥΛΩΝ 2 ΡΕΘΥΜΝΟ</v>
      </c>
      <c r="I8584">
        <v>74100</v>
      </c>
      <c r="J8584">
        <v>2831022850</v>
      </c>
      <c r="K8584">
        <v>6976221334</v>
      </c>
      <c r="N8584" t="s">
        <v>615</v>
      </c>
      <c r="O8584" t="s">
        <v>616</v>
      </c>
      <c r="R8584" t="s">
        <v>57</v>
      </c>
      <c r="S8584">
        <v>7</v>
      </c>
      <c r="T8584">
        <v>231</v>
      </c>
      <c r="U8584" s="1">
        <v>38230</v>
      </c>
      <c r="V8584" t="s">
        <v>66</v>
      </c>
      <c r="W8584" t="s">
        <v>67</v>
      </c>
      <c r="X8584" t="s">
        <v>58</v>
      </c>
      <c r="Y8584">
        <v>22</v>
      </c>
      <c r="Z8584" t="s">
        <v>59</v>
      </c>
      <c r="AA8584" t="s">
        <v>59</v>
      </c>
      <c r="AB8584" t="s">
        <v>59</v>
      </c>
      <c r="AC8584" t="s">
        <v>59</v>
      </c>
      <c r="AD8584" t="s">
        <v>59</v>
      </c>
      <c r="AF8584" s="1">
        <v>38231</v>
      </c>
      <c r="AG8584" t="s">
        <v>8645</v>
      </c>
      <c r="AH8584" t="s">
        <v>8646</v>
      </c>
      <c r="AI8584" t="str">
        <f>"9410150"</f>
        <v>9410150</v>
      </c>
      <c r="AJ8584" t="s">
        <v>12733</v>
      </c>
      <c r="AK8584">
        <v>2831052969</v>
      </c>
      <c r="AL8584" t="s">
        <v>12734</v>
      </c>
      <c r="AM8584" t="s">
        <v>64</v>
      </c>
      <c r="AN8584" t="s">
        <v>65</v>
      </c>
      <c r="AO8584" t="s">
        <v>65</v>
      </c>
      <c r="AP8584" t="s">
        <v>65</v>
      </c>
      <c r="AQ8584">
        <v>1</v>
      </c>
      <c r="AR8584" t="s">
        <v>66</v>
      </c>
      <c r="AS8584" t="s">
        <v>67</v>
      </c>
      <c r="AT8584" t="s">
        <v>58</v>
      </c>
      <c r="AU8584" t="s">
        <v>68</v>
      </c>
      <c r="AV8584" t="s">
        <v>69</v>
      </c>
      <c r="AW8584" s="1">
        <v>26636</v>
      </c>
      <c r="AX8584">
        <v>1</v>
      </c>
    </row>
    <row r="8585" spans="1:50">
      <c r="A8585">
        <v>598655</v>
      </c>
      <c r="B8585" t="str">
        <f>"109138242"</f>
        <v>109138242</v>
      </c>
      <c r="C8585" t="s">
        <v>50</v>
      </c>
      <c r="D8585" t="s">
        <v>7442</v>
      </c>
      <c r="E8585" t="s">
        <v>250</v>
      </c>
      <c r="F8585" t="s">
        <v>84</v>
      </c>
      <c r="G8585" t="s">
        <v>114</v>
      </c>
      <c r="H8585" t="str">
        <f>"ΜΑΧΗΣ ΠΟΤΑΜΩΝ 18 ΚΑΛΛΙΘΕΑ "</f>
        <v xml:space="preserve">ΜΑΧΗΣ ΠΟΤΑΜΩΝ 18 ΚΑΛΛΙΘΕΑ </v>
      </c>
      <c r="I8585">
        <v>74100</v>
      </c>
      <c r="J8585">
        <v>2831058053</v>
      </c>
      <c r="K8585">
        <v>6970807270</v>
      </c>
      <c r="N8585" t="s">
        <v>615</v>
      </c>
      <c r="O8585" t="s">
        <v>616</v>
      </c>
      <c r="R8585" t="s">
        <v>57</v>
      </c>
      <c r="S8585">
        <v>8</v>
      </c>
      <c r="T8585">
        <v>195</v>
      </c>
      <c r="U8585" s="1">
        <v>37497</v>
      </c>
      <c r="V8585" t="s">
        <v>66</v>
      </c>
      <c r="W8585" t="s">
        <v>67</v>
      </c>
      <c r="X8585" t="s">
        <v>58</v>
      </c>
      <c r="Y8585">
        <v>22</v>
      </c>
      <c r="Z8585" t="s">
        <v>59</v>
      </c>
      <c r="AA8585" t="s">
        <v>59</v>
      </c>
      <c r="AB8585" t="s">
        <v>59</v>
      </c>
      <c r="AC8585" t="s">
        <v>59</v>
      </c>
      <c r="AD8585" t="s">
        <v>59</v>
      </c>
      <c r="AF8585" s="1">
        <v>37501</v>
      </c>
      <c r="AG8585" t="s">
        <v>8645</v>
      </c>
      <c r="AH8585" t="s">
        <v>8646</v>
      </c>
      <c r="AI8585" t="str">
        <f>"9410120"</f>
        <v>9410120</v>
      </c>
      <c r="AJ8585" t="s">
        <v>12681</v>
      </c>
      <c r="AK8585">
        <v>6978148714</v>
      </c>
      <c r="AL8585" t="s">
        <v>12682</v>
      </c>
      <c r="AM8585" t="s">
        <v>64</v>
      </c>
      <c r="AN8585" t="s">
        <v>5882</v>
      </c>
      <c r="AO8585" t="s">
        <v>5883</v>
      </c>
      <c r="AP8585" t="s">
        <v>5884</v>
      </c>
      <c r="AQ8585">
        <v>5</v>
      </c>
      <c r="AR8585" t="s">
        <v>66</v>
      </c>
      <c r="AS8585" t="s">
        <v>67</v>
      </c>
      <c r="AT8585" t="s">
        <v>58</v>
      </c>
      <c r="AU8585" t="s">
        <v>68</v>
      </c>
      <c r="AV8585" t="s">
        <v>69</v>
      </c>
      <c r="AW8585" s="1">
        <v>25567</v>
      </c>
      <c r="AX8585">
        <v>1</v>
      </c>
    </row>
    <row r="8586" spans="1:50">
      <c r="A8586">
        <v>598656</v>
      </c>
      <c r="B8586" t="str">
        <f>"079160607"</f>
        <v>079160607</v>
      </c>
      <c r="C8586" t="s">
        <v>50</v>
      </c>
      <c r="D8586" t="s">
        <v>13187</v>
      </c>
      <c r="E8586" t="s">
        <v>2097</v>
      </c>
      <c r="F8586" t="s">
        <v>72</v>
      </c>
      <c r="G8586" t="s">
        <v>314</v>
      </c>
      <c r="H8586" t="str">
        <f>"ΒΑΡΝΑΛΗ 16 ΡΕΘΥΜΝΟΥ"</f>
        <v>ΒΑΡΝΑΛΗ 16 ΡΕΘΥΜΝΟΥ</v>
      </c>
      <c r="I8586">
        <v>74100</v>
      </c>
      <c r="J8586">
        <v>2831027740</v>
      </c>
      <c r="K8586">
        <v>6974070697</v>
      </c>
      <c r="M8586" t="s">
        <v>13188</v>
      </c>
      <c r="N8586" t="s">
        <v>615</v>
      </c>
      <c r="O8586" t="s">
        <v>616</v>
      </c>
      <c r="R8586" t="s">
        <v>57</v>
      </c>
      <c r="S8586">
        <v>8</v>
      </c>
      <c r="T8586">
        <v>195</v>
      </c>
      <c r="U8586" s="1">
        <v>37497</v>
      </c>
      <c r="V8586" t="s">
        <v>66</v>
      </c>
      <c r="W8586" t="s">
        <v>67</v>
      </c>
      <c r="X8586" t="s">
        <v>58</v>
      </c>
      <c r="Y8586">
        <v>22</v>
      </c>
      <c r="Z8586" t="s">
        <v>59</v>
      </c>
      <c r="AA8586" t="s">
        <v>59</v>
      </c>
      <c r="AB8586" t="s">
        <v>59</v>
      </c>
      <c r="AC8586" t="s">
        <v>59</v>
      </c>
      <c r="AD8586" t="s">
        <v>59</v>
      </c>
      <c r="AF8586" s="1">
        <v>37501</v>
      </c>
      <c r="AG8586" t="s">
        <v>8645</v>
      </c>
      <c r="AH8586" t="s">
        <v>8646</v>
      </c>
      <c r="AI8586" t="str">
        <f>"9410241"</f>
        <v>9410241</v>
      </c>
      <c r="AJ8586" t="s">
        <v>12783</v>
      </c>
      <c r="AK8586">
        <v>2831022616</v>
      </c>
      <c r="AL8586" t="s">
        <v>12784</v>
      </c>
      <c r="AM8586" t="s">
        <v>64</v>
      </c>
      <c r="AN8586" t="s">
        <v>65</v>
      </c>
      <c r="AO8586" t="s">
        <v>65</v>
      </c>
      <c r="AP8586" t="s">
        <v>65</v>
      </c>
      <c r="AQ8586">
        <v>1</v>
      </c>
      <c r="AR8586" t="s">
        <v>66</v>
      </c>
      <c r="AS8586" t="s">
        <v>67</v>
      </c>
      <c r="AT8586" t="s">
        <v>58</v>
      </c>
      <c r="AU8586" t="s">
        <v>68</v>
      </c>
      <c r="AV8586" t="s">
        <v>69</v>
      </c>
      <c r="AW8586" s="1">
        <v>25800</v>
      </c>
      <c r="AX8586">
        <v>1</v>
      </c>
    </row>
    <row r="8587" spans="1:50">
      <c r="B8587" t="str">
        <f>"143693522"</f>
        <v>143693522</v>
      </c>
      <c r="C8587" t="s">
        <v>50</v>
      </c>
      <c r="D8587" t="s">
        <v>4958</v>
      </c>
      <c r="E8587" t="s">
        <v>1108</v>
      </c>
      <c r="F8587" t="s">
        <v>1890</v>
      </c>
      <c r="G8587" t="s">
        <v>188</v>
      </c>
      <c r="H8587" t="str">
        <f>"Β. ΞΑΝΘΟΠΟΥΛΟΥ 10 "</f>
        <v xml:space="preserve">Β. ΞΑΝΘΟΠΟΥΛΟΥ 10 </v>
      </c>
      <c r="I8587">
        <v>74136</v>
      </c>
      <c r="J8587">
        <v>2831058547</v>
      </c>
      <c r="K8587">
        <v>6983942137</v>
      </c>
      <c r="N8587" t="s">
        <v>615</v>
      </c>
      <c r="O8587" t="s">
        <v>616</v>
      </c>
      <c r="R8587" t="s">
        <v>159</v>
      </c>
      <c r="S8587">
        <v>2</v>
      </c>
      <c r="T8587" t="s">
        <v>8675</v>
      </c>
      <c r="U8587" s="1">
        <v>43348</v>
      </c>
      <c r="V8587" t="s">
        <v>66</v>
      </c>
      <c r="W8587" t="s">
        <v>67</v>
      </c>
      <c r="X8587" t="s">
        <v>58</v>
      </c>
      <c r="Y8587">
        <v>25</v>
      </c>
      <c r="Z8587" t="s">
        <v>59</v>
      </c>
      <c r="AA8587" t="s">
        <v>59</v>
      </c>
      <c r="AB8587" t="s">
        <v>59</v>
      </c>
      <c r="AC8587" t="s">
        <v>59</v>
      </c>
      <c r="AD8587" t="s">
        <v>59</v>
      </c>
      <c r="AF8587" s="1">
        <v>43348</v>
      </c>
      <c r="AG8587" t="s">
        <v>8645</v>
      </c>
      <c r="AH8587" t="s">
        <v>8676</v>
      </c>
      <c r="AI8587" t="str">
        <f>"9410009"</f>
        <v>9410009</v>
      </c>
      <c r="AJ8587" t="s">
        <v>13189</v>
      </c>
      <c r="AK8587">
        <v>2834091586</v>
      </c>
      <c r="AL8587" t="s">
        <v>13190</v>
      </c>
      <c r="AM8587" t="s">
        <v>64</v>
      </c>
      <c r="AN8587" t="s">
        <v>5672</v>
      </c>
      <c r="AO8587" t="s">
        <v>5673</v>
      </c>
      <c r="AP8587" t="s">
        <v>13021</v>
      </c>
      <c r="AQ8587">
        <v>11</v>
      </c>
      <c r="AR8587" t="s">
        <v>66</v>
      </c>
      <c r="AS8587" t="s">
        <v>67</v>
      </c>
      <c r="AT8587" t="s">
        <v>58</v>
      </c>
      <c r="AU8587" t="s">
        <v>8673</v>
      </c>
      <c r="AV8587" t="s">
        <v>132</v>
      </c>
      <c r="AW8587" s="1">
        <v>32484</v>
      </c>
      <c r="AX8587">
        <v>1</v>
      </c>
    </row>
    <row r="8588" spans="1:50">
      <c r="B8588" t="str">
        <f>"144225877"</f>
        <v>144225877</v>
      </c>
      <c r="C8588" t="s">
        <v>105</v>
      </c>
      <c r="D8588" t="s">
        <v>13191</v>
      </c>
      <c r="E8588" t="s">
        <v>645</v>
      </c>
      <c r="F8588" t="s">
        <v>84</v>
      </c>
      <c r="G8588" t="s">
        <v>238</v>
      </c>
      <c r="H8588" t="str">
        <f>"40 Εκκλησιών 28 Κομοτηνή"</f>
        <v>40 Εκκλησιών 28 Κομοτηνή</v>
      </c>
      <c r="I8588">
        <v>69100</v>
      </c>
      <c r="J8588">
        <v>2521023807</v>
      </c>
      <c r="K8588">
        <v>6970691707</v>
      </c>
      <c r="M8588" t="s">
        <v>13192</v>
      </c>
      <c r="N8588" t="s">
        <v>8834</v>
      </c>
      <c r="O8588" t="s">
        <v>8695</v>
      </c>
      <c r="R8588" t="s">
        <v>159</v>
      </c>
      <c r="S8588">
        <v>4</v>
      </c>
      <c r="T8588" t="s">
        <v>8696</v>
      </c>
      <c r="U8588" s="1">
        <v>43348</v>
      </c>
      <c r="V8588" t="s">
        <v>66</v>
      </c>
      <c r="W8588" t="s">
        <v>67</v>
      </c>
      <c r="X8588" t="s">
        <v>58</v>
      </c>
      <c r="Y8588">
        <v>24</v>
      </c>
      <c r="Z8588" t="s">
        <v>59</v>
      </c>
      <c r="AA8588" t="s">
        <v>59</v>
      </c>
      <c r="AB8588" t="s">
        <v>59</v>
      </c>
      <c r="AC8588" t="s">
        <v>59</v>
      </c>
      <c r="AD8588" t="s">
        <v>59</v>
      </c>
      <c r="AF8588" s="1">
        <v>43348</v>
      </c>
      <c r="AG8588" t="s">
        <v>8645</v>
      </c>
      <c r="AH8588" t="s">
        <v>8646</v>
      </c>
      <c r="AI8588" t="str">
        <f>"9410030"</f>
        <v>9410030</v>
      </c>
      <c r="AJ8588" t="s">
        <v>12743</v>
      </c>
      <c r="AK8588">
        <v>2834093217</v>
      </c>
      <c r="AL8588" t="s">
        <v>12744</v>
      </c>
      <c r="AM8588" t="s">
        <v>64</v>
      </c>
      <c r="AN8588" t="s">
        <v>65</v>
      </c>
      <c r="AO8588" t="s">
        <v>12694</v>
      </c>
      <c r="AP8588" t="s">
        <v>12745</v>
      </c>
      <c r="AQ8588">
        <v>3</v>
      </c>
      <c r="AR8588" t="s">
        <v>66</v>
      </c>
      <c r="AS8588" t="s">
        <v>67</v>
      </c>
      <c r="AT8588" t="s">
        <v>58</v>
      </c>
      <c r="AU8588" t="s">
        <v>350</v>
      </c>
      <c r="AV8588" t="s">
        <v>132</v>
      </c>
      <c r="AW8588" s="1">
        <v>32113</v>
      </c>
      <c r="AX8588">
        <v>1</v>
      </c>
    </row>
    <row r="8589" spans="1:50">
      <c r="B8589" t="str">
        <f>"132797606"</f>
        <v>132797606</v>
      </c>
      <c r="C8589" t="s">
        <v>50</v>
      </c>
      <c r="D8589" t="s">
        <v>13193</v>
      </c>
      <c r="E8589" t="s">
        <v>83</v>
      </c>
      <c r="F8589" t="s">
        <v>72</v>
      </c>
      <c r="G8589" t="s">
        <v>181</v>
      </c>
      <c r="H8589" t="str">
        <f>"ΑΛΩΝΑΚΙΑ ΚΟΖΑΝΗΣ ΚΟΖΑΝΗ"</f>
        <v>ΑΛΩΝΑΚΙΑ ΚΟΖΑΝΗΣ ΚΟΖΑΝΗ</v>
      </c>
      <c r="I8589">
        <v>50100</v>
      </c>
      <c r="J8589">
        <v>2461091387</v>
      </c>
      <c r="K8589">
        <v>6974480273</v>
      </c>
      <c r="M8589" t="s">
        <v>13194</v>
      </c>
      <c r="N8589" t="s">
        <v>306</v>
      </c>
      <c r="O8589" t="s">
        <v>307</v>
      </c>
      <c r="R8589" t="s">
        <v>159</v>
      </c>
      <c r="S8589">
        <v>6</v>
      </c>
      <c r="T8589" t="s">
        <v>8675</v>
      </c>
      <c r="U8589" s="1">
        <v>43348</v>
      </c>
      <c r="V8589" t="s">
        <v>66</v>
      </c>
      <c r="W8589" t="s">
        <v>67</v>
      </c>
      <c r="X8589" t="s">
        <v>58</v>
      </c>
      <c r="Y8589">
        <v>24</v>
      </c>
      <c r="Z8589" t="s">
        <v>59</v>
      </c>
      <c r="AA8589" t="s">
        <v>59</v>
      </c>
      <c r="AB8589" t="s">
        <v>59</v>
      </c>
      <c r="AC8589" t="s">
        <v>59</v>
      </c>
      <c r="AD8589" t="s">
        <v>59</v>
      </c>
      <c r="AF8589" s="1">
        <v>43348</v>
      </c>
      <c r="AG8589" t="s">
        <v>8645</v>
      </c>
      <c r="AH8589" t="s">
        <v>8646</v>
      </c>
      <c r="AI8589" t="str">
        <f>"9410082"</f>
        <v>9410082</v>
      </c>
      <c r="AJ8589" t="s">
        <v>13195</v>
      </c>
      <c r="AK8589">
        <v>2831075013</v>
      </c>
      <c r="AL8589" t="s">
        <v>13196</v>
      </c>
      <c r="AM8589" t="s">
        <v>64</v>
      </c>
      <c r="AN8589" t="s">
        <v>65</v>
      </c>
      <c r="AO8589" t="s">
        <v>65</v>
      </c>
      <c r="AP8589" t="s">
        <v>12884</v>
      </c>
      <c r="AQ8589">
        <v>3</v>
      </c>
      <c r="AR8589" t="s">
        <v>66</v>
      </c>
      <c r="AS8589" t="s">
        <v>67</v>
      </c>
      <c r="AT8589" t="s">
        <v>58</v>
      </c>
      <c r="AU8589" t="s">
        <v>8673</v>
      </c>
      <c r="AV8589" t="s">
        <v>132</v>
      </c>
      <c r="AW8589" s="1">
        <v>30604</v>
      </c>
      <c r="AX8589">
        <v>1</v>
      </c>
    </row>
    <row r="8590" spans="1:50">
      <c r="B8590" t="str">
        <f>"119182920"</f>
        <v>119182920</v>
      </c>
      <c r="C8590" t="s">
        <v>50</v>
      </c>
      <c r="D8590" t="s">
        <v>13197</v>
      </c>
      <c r="E8590" t="s">
        <v>476</v>
      </c>
      <c r="F8590" t="s">
        <v>920</v>
      </c>
      <c r="G8590" t="s">
        <v>83</v>
      </c>
      <c r="H8590" t="str">
        <f>"ΧΡΥΣΟΥΠΟΛΕΩΣ 27-29 ΝΕΑ ΙΩΝΙΑ"</f>
        <v>ΧΡΥΣΟΥΠΟΛΕΩΣ 27-29 ΝΕΑ ΙΩΝΙΑ</v>
      </c>
      <c r="I8590">
        <v>14233</v>
      </c>
      <c r="J8590">
        <v>2102527046</v>
      </c>
      <c r="K8590">
        <v>6970060255</v>
      </c>
      <c r="M8590" t="s">
        <v>13198</v>
      </c>
      <c r="N8590" t="s">
        <v>306</v>
      </c>
      <c r="O8590" t="s">
        <v>307</v>
      </c>
      <c r="R8590" t="s">
        <v>159</v>
      </c>
      <c r="S8590">
        <v>3</v>
      </c>
      <c r="T8590" t="s">
        <v>8675</v>
      </c>
      <c r="U8590" s="1">
        <v>43348</v>
      </c>
      <c r="V8590" t="s">
        <v>66</v>
      </c>
      <c r="W8590" t="s">
        <v>67</v>
      </c>
      <c r="X8590" t="s">
        <v>58</v>
      </c>
      <c r="Y8590">
        <v>24</v>
      </c>
      <c r="Z8590" t="s">
        <v>59</v>
      </c>
      <c r="AA8590" t="s">
        <v>59</v>
      </c>
      <c r="AB8590" t="s">
        <v>59</v>
      </c>
      <c r="AC8590" t="s">
        <v>59</v>
      </c>
      <c r="AD8590" t="s">
        <v>59</v>
      </c>
      <c r="AF8590" s="1">
        <v>43348</v>
      </c>
      <c r="AG8590" t="s">
        <v>8645</v>
      </c>
      <c r="AH8590" t="s">
        <v>8646</v>
      </c>
      <c r="AI8590" t="str">
        <f>"9410160"</f>
        <v>9410160</v>
      </c>
      <c r="AJ8590" t="s">
        <v>12689</v>
      </c>
      <c r="AK8590">
        <v>2831041098</v>
      </c>
      <c r="AL8590" t="s">
        <v>12690</v>
      </c>
      <c r="AM8590" t="s">
        <v>64</v>
      </c>
      <c r="AN8590" t="s">
        <v>65</v>
      </c>
      <c r="AO8590" t="s">
        <v>65</v>
      </c>
      <c r="AP8590" t="s">
        <v>11883</v>
      </c>
      <c r="AQ8590">
        <v>2</v>
      </c>
      <c r="AR8590" t="s">
        <v>66</v>
      </c>
      <c r="AS8590" t="s">
        <v>67</v>
      </c>
      <c r="AT8590" t="s">
        <v>58</v>
      </c>
      <c r="AU8590" t="s">
        <v>8673</v>
      </c>
      <c r="AV8590" t="s">
        <v>132</v>
      </c>
      <c r="AW8590" s="1">
        <v>30378</v>
      </c>
      <c r="AX8590">
        <v>1</v>
      </c>
    </row>
    <row r="8591" spans="1:50">
      <c r="A8591">
        <v>603259</v>
      </c>
      <c r="B8591" t="str">
        <f>"038749247"</f>
        <v>038749247</v>
      </c>
      <c r="C8591" t="s">
        <v>50</v>
      </c>
      <c r="D8591" t="s">
        <v>13199</v>
      </c>
      <c r="E8591" t="s">
        <v>250</v>
      </c>
      <c r="F8591" t="s">
        <v>95</v>
      </c>
      <c r="G8591" t="s">
        <v>52</v>
      </c>
      <c r="H8591" t="str">
        <f>"ΣΠΑΝΤΙΔΑΚΗ 2 ΡΕΘΥΜΝΟ"</f>
        <v>ΣΠΑΝΤΙΔΑΚΗ 2 ΡΕΘΥΜΝΟ</v>
      </c>
      <c r="I8591">
        <v>74100</v>
      </c>
      <c r="J8591">
        <v>2892051547</v>
      </c>
      <c r="K8591">
        <v>6973829510</v>
      </c>
      <c r="L8591">
        <v>2831400844</v>
      </c>
      <c r="M8591" t="s">
        <v>13200</v>
      </c>
      <c r="N8591" t="s">
        <v>1525</v>
      </c>
      <c r="O8591" t="s">
        <v>1526</v>
      </c>
      <c r="R8591" t="s">
        <v>57</v>
      </c>
      <c r="S8591">
        <v>7</v>
      </c>
      <c r="T8591">
        <v>207</v>
      </c>
      <c r="U8591" s="1">
        <v>37866</v>
      </c>
      <c r="V8591" t="s">
        <v>66</v>
      </c>
      <c r="W8591" t="s">
        <v>67</v>
      </c>
      <c r="X8591" t="s">
        <v>58</v>
      </c>
      <c r="Y8591">
        <v>25</v>
      </c>
      <c r="Z8591" t="s">
        <v>59</v>
      </c>
      <c r="AA8591" t="s">
        <v>59</v>
      </c>
      <c r="AB8591" t="s">
        <v>59</v>
      </c>
      <c r="AC8591" t="s">
        <v>59</v>
      </c>
      <c r="AD8591" t="s">
        <v>59</v>
      </c>
      <c r="AF8591" s="1">
        <v>37866</v>
      </c>
      <c r="AG8591" t="s">
        <v>8651</v>
      </c>
      <c r="AH8591" t="s">
        <v>8652</v>
      </c>
      <c r="AI8591" t="str">
        <f>"9410249"</f>
        <v>9410249</v>
      </c>
      <c r="AJ8591" t="s">
        <v>13113</v>
      </c>
      <c r="AK8591">
        <v>2831032526</v>
      </c>
      <c r="AL8591" t="s">
        <v>13114</v>
      </c>
      <c r="AM8591" t="s">
        <v>64</v>
      </c>
      <c r="AN8591" t="s">
        <v>65</v>
      </c>
      <c r="AO8591" t="s">
        <v>5720</v>
      </c>
      <c r="AP8591" t="s">
        <v>12938</v>
      </c>
      <c r="AQ8591">
        <v>2</v>
      </c>
      <c r="AR8591" t="s">
        <v>66</v>
      </c>
      <c r="AS8591" t="s">
        <v>67</v>
      </c>
      <c r="AT8591" t="s">
        <v>58</v>
      </c>
      <c r="AU8591" t="s">
        <v>68</v>
      </c>
      <c r="AV8591" t="s">
        <v>69</v>
      </c>
      <c r="AW8591" s="1">
        <v>29212</v>
      </c>
      <c r="AX8591">
        <v>1</v>
      </c>
    </row>
    <row r="8592" spans="1:50">
      <c r="A8592">
        <v>588966</v>
      </c>
      <c r="B8592" t="str">
        <f>"077700589"</f>
        <v>077700589</v>
      </c>
      <c r="C8592" t="s">
        <v>105</v>
      </c>
      <c r="D8592" t="s">
        <v>13201</v>
      </c>
      <c r="E8592" t="s">
        <v>84</v>
      </c>
      <c r="F8592" t="s">
        <v>53</v>
      </c>
      <c r="G8592" t="s">
        <v>238</v>
      </c>
      <c r="H8592" t="str">
        <f>"ΚΑΠΟΔΙΣΤΡΙΟΥ 23 ΡΕΘΥΜΝΟ"</f>
        <v>ΚΑΠΟΔΙΣΤΡΙΟΥ 23 ΡΕΘΥΜΝΟ</v>
      </c>
      <c r="I8592">
        <v>74100</v>
      </c>
      <c r="J8592">
        <v>2831023287</v>
      </c>
      <c r="K8592">
        <v>6944683566</v>
      </c>
      <c r="M8592" t="s">
        <v>13202</v>
      </c>
      <c r="N8592" t="s">
        <v>615</v>
      </c>
      <c r="O8592" t="s">
        <v>616</v>
      </c>
      <c r="P8592" t="s">
        <v>146</v>
      </c>
      <c r="Q8592" t="s">
        <v>147</v>
      </c>
      <c r="R8592" t="s">
        <v>57</v>
      </c>
      <c r="S8592">
        <v>10</v>
      </c>
      <c r="T8592">
        <v>176</v>
      </c>
      <c r="U8592" s="1">
        <v>36403</v>
      </c>
      <c r="V8592" t="s">
        <v>66</v>
      </c>
      <c r="W8592" t="s">
        <v>67</v>
      </c>
      <c r="X8592" t="s">
        <v>58</v>
      </c>
      <c r="Y8592">
        <v>21</v>
      </c>
      <c r="Z8592" t="s">
        <v>59</v>
      </c>
      <c r="AA8592" t="s">
        <v>59</v>
      </c>
      <c r="AB8592" t="s">
        <v>59</v>
      </c>
      <c r="AC8592" t="s">
        <v>59</v>
      </c>
      <c r="AD8592" t="s">
        <v>59</v>
      </c>
      <c r="AF8592" s="1">
        <v>36404</v>
      </c>
      <c r="AG8592" t="s">
        <v>8645</v>
      </c>
      <c r="AH8592" t="s">
        <v>8646</v>
      </c>
      <c r="AI8592" t="str">
        <f>"9410150"</f>
        <v>9410150</v>
      </c>
      <c r="AJ8592" t="s">
        <v>12733</v>
      </c>
      <c r="AK8592">
        <v>2831052969</v>
      </c>
      <c r="AL8592" t="s">
        <v>12734</v>
      </c>
      <c r="AM8592" t="s">
        <v>64</v>
      </c>
      <c r="AN8592" t="s">
        <v>65</v>
      </c>
      <c r="AO8592" t="s">
        <v>65</v>
      </c>
      <c r="AP8592" t="s">
        <v>65</v>
      </c>
      <c r="AQ8592">
        <v>1</v>
      </c>
      <c r="AR8592" t="s">
        <v>66</v>
      </c>
      <c r="AS8592" t="s">
        <v>67</v>
      </c>
      <c r="AT8592" t="s">
        <v>58</v>
      </c>
      <c r="AU8592" t="s">
        <v>68</v>
      </c>
      <c r="AV8592" t="s">
        <v>69</v>
      </c>
      <c r="AW8592" s="1">
        <v>25230</v>
      </c>
      <c r="AX8592">
        <v>1</v>
      </c>
    </row>
    <row r="8593" spans="1:50">
      <c r="B8593" t="str">
        <f>"109113980"</f>
        <v>109113980</v>
      </c>
      <c r="C8593" t="s">
        <v>50</v>
      </c>
      <c r="D8593" t="s">
        <v>7463</v>
      </c>
      <c r="E8593" t="s">
        <v>52</v>
      </c>
      <c r="F8593" t="s">
        <v>53</v>
      </c>
      <c r="G8593" t="s">
        <v>727</v>
      </c>
      <c r="H8593" t="str">
        <f>" "</f>
        <v xml:space="preserve"> </v>
      </c>
      <c r="N8593" t="s">
        <v>306</v>
      </c>
      <c r="O8593" t="s">
        <v>307</v>
      </c>
      <c r="R8593" t="s">
        <v>121</v>
      </c>
      <c r="S8593">
        <v>1</v>
      </c>
      <c r="T8593" t="s">
        <v>8675</v>
      </c>
      <c r="U8593" s="1">
        <v>43348</v>
      </c>
      <c r="V8593" t="s">
        <v>66</v>
      </c>
      <c r="W8593" t="s">
        <v>67</v>
      </c>
      <c r="X8593" t="s">
        <v>58</v>
      </c>
      <c r="Y8593">
        <v>24</v>
      </c>
      <c r="Z8593" t="s">
        <v>59</v>
      </c>
      <c r="AA8593" t="s">
        <v>59</v>
      </c>
      <c r="AD8593" t="s">
        <v>59</v>
      </c>
      <c r="AF8593" s="1">
        <v>43348</v>
      </c>
      <c r="AG8593" t="s">
        <v>8645</v>
      </c>
      <c r="AH8593" t="s">
        <v>8646</v>
      </c>
      <c r="AI8593" t="str">
        <f>"9410263"</f>
        <v>9410263</v>
      </c>
      <c r="AJ8593" t="s">
        <v>12672</v>
      </c>
      <c r="AK8593">
        <v>2831053818</v>
      </c>
      <c r="AL8593" t="s">
        <v>12673</v>
      </c>
      <c r="AM8593" t="s">
        <v>64</v>
      </c>
      <c r="AN8593" t="s">
        <v>65</v>
      </c>
      <c r="AO8593" t="s">
        <v>65</v>
      </c>
      <c r="AP8593" t="s">
        <v>65</v>
      </c>
      <c r="AQ8593">
        <v>1</v>
      </c>
      <c r="AR8593" t="s">
        <v>66</v>
      </c>
      <c r="AS8593" t="s">
        <v>67</v>
      </c>
      <c r="AT8593" t="s">
        <v>58</v>
      </c>
      <c r="AU8593" t="s">
        <v>8673</v>
      </c>
      <c r="AV8593" t="s">
        <v>132</v>
      </c>
      <c r="AW8593" s="1">
        <v>29602</v>
      </c>
      <c r="AX8593">
        <v>1</v>
      </c>
    </row>
    <row r="8594" spans="1:50">
      <c r="A8594">
        <v>621667</v>
      </c>
      <c r="B8594" t="str">
        <f>"134247665"</f>
        <v>134247665</v>
      </c>
      <c r="C8594" t="s">
        <v>50</v>
      </c>
      <c r="D8594" t="s">
        <v>2107</v>
      </c>
      <c r="E8594" t="s">
        <v>52</v>
      </c>
      <c r="F8594" t="s">
        <v>1868</v>
      </c>
      <c r="G8594" t="s">
        <v>83</v>
      </c>
      <c r="H8594" t="str">
        <f>"ΓΑΣΠΑΡΗ  36 ΓΑΛΛΟΣ"</f>
        <v>ΓΑΣΠΑΡΗ  36 ΓΑΛΛΟΣ</v>
      </c>
      <c r="I8594">
        <v>74100</v>
      </c>
      <c r="K8594">
        <v>6977455811</v>
      </c>
      <c r="M8594" t="s">
        <v>13203</v>
      </c>
      <c r="N8594" t="s">
        <v>615</v>
      </c>
      <c r="O8594" t="s">
        <v>616</v>
      </c>
      <c r="R8594" t="s">
        <v>57</v>
      </c>
      <c r="S8594">
        <v>6</v>
      </c>
      <c r="T8594">
        <v>653</v>
      </c>
      <c r="U8594" s="1">
        <v>40043</v>
      </c>
      <c r="V8594" t="s">
        <v>66</v>
      </c>
      <c r="W8594" t="s">
        <v>67</v>
      </c>
      <c r="X8594" t="s">
        <v>58</v>
      </c>
      <c r="Y8594">
        <v>23</v>
      </c>
      <c r="Z8594" t="s">
        <v>59</v>
      </c>
      <c r="AA8594" t="s">
        <v>59</v>
      </c>
      <c r="AB8594" t="s">
        <v>59</v>
      </c>
      <c r="AC8594" t="s">
        <v>59</v>
      </c>
      <c r="AD8594" t="s">
        <v>59</v>
      </c>
      <c r="AF8594" s="1">
        <v>40043</v>
      </c>
      <c r="AG8594" t="s">
        <v>8645</v>
      </c>
      <c r="AH8594" t="s">
        <v>8646</v>
      </c>
      <c r="AI8594" t="str">
        <f>"9410170"</f>
        <v>9410170</v>
      </c>
      <c r="AJ8594" t="s">
        <v>12658</v>
      </c>
      <c r="AK8594">
        <v>2831061220</v>
      </c>
      <c r="AL8594" t="s">
        <v>12659</v>
      </c>
      <c r="AM8594" t="s">
        <v>64</v>
      </c>
      <c r="AN8594" t="s">
        <v>65</v>
      </c>
      <c r="AO8594" t="s">
        <v>5657</v>
      </c>
      <c r="AP8594" t="s">
        <v>1437</v>
      </c>
      <c r="AQ8594">
        <v>2</v>
      </c>
      <c r="AR8594" t="s">
        <v>66</v>
      </c>
      <c r="AS8594" t="s">
        <v>67</v>
      </c>
      <c r="AT8594" t="s">
        <v>58</v>
      </c>
      <c r="AU8594" t="s">
        <v>68</v>
      </c>
      <c r="AV8594" t="s">
        <v>69</v>
      </c>
      <c r="AW8594" s="1">
        <v>31592</v>
      </c>
      <c r="AX8594">
        <v>1</v>
      </c>
    </row>
    <row r="8595" spans="1:50">
      <c r="A8595">
        <v>571154</v>
      </c>
      <c r="B8595" t="str">
        <f>"036272341"</f>
        <v>036272341</v>
      </c>
      <c r="C8595" t="s">
        <v>105</v>
      </c>
      <c r="D8595" t="s">
        <v>13204</v>
      </c>
      <c r="E8595" t="s">
        <v>13205</v>
      </c>
      <c r="F8595" t="s">
        <v>920</v>
      </c>
      <c r="G8595" t="s">
        <v>52</v>
      </c>
      <c r="H8595" t="str">
        <f>"ΙΩΑΝΝΗ ΜΑΘΙΟΥΔΑΚΗ 20 ΠΕΡΙΒΟΛΙΑ"</f>
        <v>ΙΩΑΝΝΗ ΜΑΘΙΟΥΔΑΚΗ 20 ΠΕΡΙΒΟΛΙΑ</v>
      </c>
      <c r="I8595">
        <v>74100</v>
      </c>
      <c r="J8595">
        <v>2831028625</v>
      </c>
      <c r="K8595">
        <v>6942880911</v>
      </c>
      <c r="M8595" t="s">
        <v>13206</v>
      </c>
      <c r="N8595" t="s">
        <v>615</v>
      </c>
      <c r="O8595" t="s">
        <v>616</v>
      </c>
      <c r="R8595" t="s">
        <v>57</v>
      </c>
      <c r="S8595">
        <v>14</v>
      </c>
      <c r="T8595">
        <v>138</v>
      </c>
      <c r="U8595" s="1">
        <v>34206</v>
      </c>
      <c r="V8595" t="s">
        <v>66</v>
      </c>
      <c r="W8595" t="s">
        <v>67</v>
      </c>
      <c r="X8595" t="s">
        <v>58</v>
      </c>
      <c r="Y8595">
        <v>21</v>
      </c>
      <c r="Z8595" t="s">
        <v>59</v>
      </c>
      <c r="AA8595" t="s">
        <v>59</v>
      </c>
      <c r="AB8595" t="s">
        <v>59</v>
      </c>
      <c r="AC8595" t="s">
        <v>59</v>
      </c>
      <c r="AD8595" t="s">
        <v>59</v>
      </c>
      <c r="AF8595" s="1">
        <v>34206</v>
      </c>
      <c r="AG8595" t="s">
        <v>8645</v>
      </c>
      <c r="AH8595" t="s">
        <v>8646</v>
      </c>
      <c r="AI8595" t="str">
        <f>"9410064"</f>
        <v>9410064</v>
      </c>
      <c r="AJ8595" t="s">
        <v>12683</v>
      </c>
      <c r="AK8595">
        <v>2831028390</v>
      </c>
      <c r="AL8595" t="s">
        <v>12684</v>
      </c>
      <c r="AM8595" t="s">
        <v>64</v>
      </c>
      <c r="AN8595" t="s">
        <v>65</v>
      </c>
      <c r="AO8595" t="s">
        <v>65</v>
      </c>
      <c r="AP8595" t="s">
        <v>65</v>
      </c>
      <c r="AQ8595">
        <v>1</v>
      </c>
      <c r="AR8595" t="s">
        <v>66</v>
      </c>
      <c r="AS8595" t="s">
        <v>67</v>
      </c>
      <c r="AT8595" t="s">
        <v>58</v>
      </c>
      <c r="AU8595" t="s">
        <v>68</v>
      </c>
      <c r="AV8595" t="s">
        <v>69</v>
      </c>
      <c r="AW8595" s="1">
        <v>24130</v>
      </c>
      <c r="AX8595">
        <v>1</v>
      </c>
    </row>
    <row r="8596" spans="1:50">
      <c r="A8596">
        <v>700095</v>
      </c>
      <c r="B8596" t="str">
        <f>"120047484"</f>
        <v>120047484</v>
      </c>
      <c r="C8596" t="s">
        <v>50</v>
      </c>
      <c r="D8596" t="s">
        <v>7468</v>
      </c>
      <c r="E8596" t="s">
        <v>54</v>
      </c>
      <c r="F8596" t="s">
        <v>474</v>
      </c>
      <c r="G8596" t="s">
        <v>1068</v>
      </c>
      <c r="H8596" t="str">
        <f>"ΑΡΓΥΡΟΥΠΟΛΗ ΡΕΘΥΜΝΟ"</f>
        <v>ΑΡΓΥΡΟΥΠΟΛΗ ΡΕΘΥΜΝΟ</v>
      </c>
      <c r="I8596">
        <v>74035</v>
      </c>
      <c r="J8596">
        <v>2831031495</v>
      </c>
      <c r="K8596">
        <v>6970377672</v>
      </c>
      <c r="N8596" t="s">
        <v>1525</v>
      </c>
      <c r="O8596" t="s">
        <v>1526</v>
      </c>
      <c r="R8596" t="s">
        <v>57</v>
      </c>
      <c r="S8596">
        <v>4</v>
      </c>
      <c r="T8596">
        <v>772</v>
      </c>
      <c r="U8596" s="1">
        <v>40415</v>
      </c>
      <c r="V8596" t="s">
        <v>66</v>
      </c>
      <c r="W8596" t="s">
        <v>67</v>
      </c>
      <c r="X8596" t="s">
        <v>58</v>
      </c>
      <c r="Y8596">
        <v>25</v>
      </c>
      <c r="Z8596" t="s">
        <v>59</v>
      </c>
      <c r="AA8596" t="s">
        <v>59</v>
      </c>
      <c r="AB8596" t="s">
        <v>59</v>
      </c>
      <c r="AC8596" t="s">
        <v>59</v>
      </c>
      <c r="AD8596" t="s">
        <v>59</v>
      </c>
      <c r="AF8596" s="1">
        <v>40415</v>
      </c>
      <c r="AG8596" t="s">
        <v>8651</v>
      </c>
      <c r="AH8596" t="s">
        <v>8652</v>
      </c>
      <c r="AI8596" t="str">
        <f>"9410158"</f>
        <v>9410158</v>
      </c>
      <c r="AJ8596" t="s">
        <v>13207</v>
      </c>
      <c r="AK8596">
        <v>2831081040</v>
      </c>
      <c r="AL8596" t="s">
        <v>13208</v>
      </c>
      <c r="AM8596" t="s">
        <v>64</v>
      </c>
      <c r="AN8596" t="s">
        <v>65</v>
      </c>
      <c r="AO8596" t="s">
        <v>5657</v>
      </c>
      <c r="AP8596" t="s">
        <v>12982</v>
      </c>
      <c r="AQ8596">
        <v>4</v>
      </c>
      <c r="AR8596" t="s">
        <v>66</v>
      </c>
      <c r="AS8596" t="s">
        <v>67</v>
      </c>
      <c r="AT8596" t="s">
        <v>58</v>
      </c>
      <c r="AU8596" t="s">
        <v>68</v>
      </c>
      <c r="AV8596" t="s">
        <v>69</v>
      </c>
      <c r="AW8596" s="1">
        <v>30893</v>
      </c>
      <c r="AX8596">
        <v>1</v>
      </c>
    </row>
    <row r="8597" spans="1:50">
      <c r="B8597" t="str">
        <f>"137478610"</f>
        <v>137478610</v>
      </c>
      <c r="C8597" t="s">
        <v>50</v>
      </c>
      <c r="D8597" t="s">
        <v>2120</v>
      </c>
      <c r="E8597" t="s">
        <v>215</v>
      </c>
      <c r="F8597" t="s">
        <v>315</v>
      </c>
      <c r="G8597" t="s">
        <v>52</v>
      </c>
      <c r="H8597" t="str">
        <f>"ΕΛΕΥΘΕΡΙΑΣ 5 "</f>
        <v xml:space="preserve">ΕΛΕΥΘΕΡΙΑΣ 5 </v>
      </c>
      <c r="I8597">
        <v>74100</v>
      </c>
      <c r="J8597">
        <v>2831100523</v>
      </c>
      <c r="K8597">
        <v>6974121487</v>
      </c>
      <c r="N8597" t="s">
        <v>615</v>
      </c>
      <c r="O8597" t="s">
        <v>616</v>
      </c>
      <c r="R8597" t="s">
        <v>159</v>
      </c>
      <c r="S8597">
        <v>2</v>
      </c>
      <c r="T8597" t="s">
        <v>8675</v>
      </c>
      <c r="U8597" s="1">
        <v>43348</v>
      </c>
      <c r="V8597" t="s">
        <v>66</v>
      </c>
      <c r="W8597" t="s">
        <v>67</v>
      </c>
      <c r="X8597" t="s">
        <v>58</v>
      </c>
      <c r="Y8597">
        <v>24</v>
      </c>
      <c r="Z8597" t="s">
        <v>59</v>
      </c>
      <c r="AA8597" t="s">
        <v>59</v>
      </c>
      <c r="AB8597" t="s">
        <v>59</v>
      </c>
      <c r="AC8597" t="s">
        <v>59</v>
      </c>
      <c r="AD8597" t="s">
        <v>59</v>
      </c>
      <c r="AF8597" s="1">
        <v>43348</v>
      </c>
      <c r="AG8597" t="s">
        <v>8645</v>
      </c>
      <c r="AH8597" t="s">
        <v>8646</v>
      </c>
      <c r="AI8597" t="str">
        <f>"9410170"</f>
        <v>9410170</v>
      </c>
      <c r="AJ8597" t="s">
        <v>12658</v>
      </c>
      <c r="AK8597">
        <v>2831061220</v>
      </c>
      <c r="AL8597" t="s">
        <v>12659</v>
      </c>
      <c r="AM8597" t="s">
        <v>64</v>
      </c>
      <c r="AN8597" t="s">
        <v>65</v>
      </c>
      <c r="AO8597" t="s">
        <v>5657</v>
      </c>
      <c r="AP8597" t="s">
        <v>1437</v>
      </c>
      <c r="AQ8597">
        <v>2</v>
      </c>
      <c r="AR8597" t="s">
        <v>66</v>
      </c>
      <c r="AS8597" t="s">
        <v>67</v>
      </c>
      <c r="AT8597" t="s">
        <v>58</v>
      </c>
      <c r="AU8597" t="s">
        <v>8673</v>
      </c>
      <c r="AV8597" t="s">
        <v>132</v>
      </c>
      <c r="AW8597" s="1">
        <v>30521</v>
      </c>
      <c r="AX8597">
        <v>1</v>
      </c>
    </row>
    <row r="8598" spans="1:50">
      <c r="A8598">
        <v>617447</v>
      </c>
      <c r="B8598" t="str">
        <f>"143650859"</f>
        <v>143650859</v>
      </c>
      <c r="C8598" t="s">
        <v>50</v>
      </c>
      <c r="D8598" t="s">
        <v>13209</v>
      </c>
      <c r="E8598" t="s">
        <v>52</v>
      </c>
      <c r="F8598" t="s">
        <v>72</v>
      </c>
      <c r="G8598" t="s">
        <v>73</v>
      </c>
      <c r="H8598" t="str">
        <f>"ΧΡΙΣΤΟΦΟΡΑΚΗ 1 ΡΕΘΥΜΝΟ"</f>
        <v>ΧΡΙΣΤΟΦΟΡΑΚΗ 1 ΡΕΘΥΜΝΟ</v>
      </c>
      <c r="I8598">
        <v>74100</v>
      </c>
      <c r="J8598">
        <v>2831051768</v>
      </c>
      <c r="K8598">
        <v>6972302585</v>
      </c>
      <c r="N8598" t="s">
        <v>615</v>
      </c>
      <c r="O8598" t="s">
        <v>616</v>
      </c>
      <c r="R8598" t="s">
        <v>57</v>
      </c>
      <c r="S8598">
        <v>5</v>
      </c>
      <c r="T8598">
        <v>774</v>
      </c>
      <c r="U8598" s="1">
        <v>39680</v>
      </c>
      <c r="V8598" t="s">
        <v>66</v>
      </c>
      <c r="W8598" t="s">
        <v>67</v>
      </c>
      <c r="X8598" t="s">
        <v>58</v>
      </c>
      <c r="Y8598">
        <v>23</v>
      </c>
      <c r="Z8598" t="s">
        <v>59</v>
      </c>
      <c r="AA8598" t="s">
        <v>59</v>
      </c>
      <c r="AB8598" t="s">
        <v>59</v>
      </c>
      <c r="AC8598" t="s">
        <v>59</v>
      </c>
      <c r="AD8598" t="s">
        <v>59</v>
      </c>
      <c r="AF8598" s="1">
        <v>39681</v>
      </c>
      <c r="AG8598" t="s">
        <v>8645</v>
      </c>
      <c r="AH8598" t="s">
        <v>8646</v>
      </c>
      <c r="AI8598" t="str">
        <f>"9521348"</f>
        <v>9521348</v>
      </c>
      <c r="AJ8598" t="s">
        <v>12714</v>
      </c>
      <c r="AK8598">
        <v>2831021334</v>
      </c>
      <c r="AL8598" t="s">
        <v>12715</v>
      </c>
      <c r="AM8598" t="s">
        <v>64</v>
      </c>
      <c r="AN8598" t="s">
        <v>65</v>
      </c>
      <c r="AO8598" t="s">
        <v>5720</v>
      </c>
      <c r="AP8598" t="s">
        <v>5721</v>
      </c>
      <c r="AQ8598">
        <v>2</v>
      </c>
      <c r="AR8598" t="s">
        <v>66</v>
      </c>
      <c r="AS8598" t="s">
        <v>67</v>
      </c>
      <c r="AT8598" t="s">
        <v>58</v>
      </c>
      <c r="AU8598" t="s">
        <v>68</v>
      </c>
      <c r="AV8598" t="s">
        <v>69</v>
      </c>
      <c r="AW8598" s="1">
        <v>29958</v>
      </c>
      <c r="AX8598">
        <v>1</v>
      </c>
    </row>
    <row r="8599" spans="1:50">
      <c r="A8599">
        <v>619401</v>
      </c>
      <c r="B8599" t="str">
        <f>"301629516"</f>
        <v>301629516</v>
      </c>
      <c r="C8599" t="s">
        <v>50</v>
      </c>
      <c r="D8599" t="s">
        <v>13210</v>
      </c>
      <c r="E8599" t="s">
        <v>263</v>
      </c>
      <c r="F8599" t="s">
        <v>53</v>
      </c>
      <c r="G8599" t="s">
        <v>1001</v>
      </c>
      <c r="H8599" t="str">
        <f>"ΑΞΟΥ 6 ΡΕΘΥΜΝΟ"</f>
        <v>ΑΞΟΥ 6 ΡΕΘΥΜΝΟ</v>
      </c>
      <c r="I8599">
        <v>74100</v>
      </c>
      <c r="J8599">
        <v>2236031437</v>
      </c>
      <c r="K8599">
        <v>6976566057</v>
      </c>
      <c r="N8599" t="s">
        <v>1525</v>
      </c>
      <c r="O8599" t="s">
        <v>1526</v>
      </c>
      <c r="R8599" t="s">
        <v>57</v>
      </c>
      <c r="S8599">
        <v>5</v>
      </c>
      <c r="T8599">
        <v>774</v>
      </c>
      <c r="U8599" s="1">
        <v>39680</v>
      </c>
      <c r="V8599" t="s">
        <v>66</v>
      </c>
      <c r="W8599" t="s">
        <v>67</v>
      </c>
      <c r="X8599" t="s">
        <v>58</v>
      </c>
      <c r="Y8599">
        <v>25</v>
      </c>
      <c r="Z8599" t="s">
        <v>59</v>
      </c>
      <c r="AA8599" t="s">
        <v>59</v>
      </c>
      <c r="AB8599" t="s">
        <v>59</v>
      </c>
      <c r="AC8599" t="s">
        <v>59</v>
      </c>
      <c r="AD8599" t="s">
        <v>59</v>
      </c>
      <c r="AF8599" s="1">
        <v>39681</v>
      </c>
      <c r="AG8599" t="s">
        <v>8651</v>
      </c>
      <c r="AH8599" t="s">
        <v>8652</v>
      </c>
      <c r="AI8599" t="str">
        <f>"9410121"</f>
        <v>9410121</v>
      </c>
      <c r="AJ8599" t="s">
        <v>12711</v>
      </c>
      <c r="AK8599">
        <v>2832022434</v>
      </c>
      <c r="AL8599" t="s">
        <v>12712</v>
      </c>
      <c r="AM8599" t="s">
        <v>64</v>
      </c>
      <c r="AN8599" t="s">
        <v>5882</v>
      </c>
      <c r="AO8599" t="s">
        <v>5883</v>
      </c>
      <c r="AP8599" t="s">
        <v>5884</v>
      </c>
      <c r="AQ8599">
        <v>5</v>
      </c>
      <c r="AR8599" t="s">
        <v>66</v>
      </c>
      <c r="AS8599" t="s">
        <v>67</v>
      </c>
      <c r="AT8599" t="s">
        <v>58</v>
      </c>
      <c r="AU8599" t="s">
        <v>68</v>
      </c>
      <c r="AV8599" t="s">
        <v>69</v>
      </c>
      <c r="AW8599" s="1">
        <v>30359</v>
      </c>
      <c r="AX8599">
        <v>1</v>
      </c>
    </row>
    <row r="8600" spans="1:50">
      <c r="A8600">
        <v>579181</v>
      </c>
      <c r="B8600" t="str">
        <f>"037337114"</f>
        <v>037337114</v>
      </c>
      <c r="C8600" t="s">
        <v>50</v>
      </c>
      <c r="D8600" t="s">
        <v>7478</v>
      </c>
      <c r="E8600" t="s">
        <v>563</v>
      </c>
      <c r="F8600" t="s">
        <v>1320</v>
      </c>
      <c r="G8600" t="s">
        <v>1484</v>
      </c>
      <c r="H8600" t="str">
        <f>"Τ.Θ. 3769 ΠΡΙΝΕΣ ΠΡΙΝΕΣ ΡΕΘΥΜΝΟΥ"</f>
        <v>Τ.Θ. 3769 ΠΡΙΝΕΣ ΠΡΙΝΕΣ ΡΕΘΥΜΝΟΥ</v>
      </c>
      <c r="I8600">
        <v>74100</v>
      </c>
      <c r="J8600">
        <v>2831031734</v>
      </c>
      <c r="K8600">
        <v>6978194171</v>
      </c>
      <c r="M8600" t="s">
        <v>13211</v>
      </c>
      <c r="N8600" t="s">
        <v>615</v>
      </c>
      <c r="O8600" t="s">
        <v>616</v>
      </c>
      <c r="R8600" t="s">
        <v>57</v>
      </c>
      <c r="S8600">
        <v>14</v>
      </c>
      <c r="T8600">
        <v>165</v>
      </c>
      <c r="U8600" s="1">
        <v>35300</v>
      </c>
      <c r="V8600" t="s">
        <v>66</v>
      </c>
      <c r="W8600" t="s">
        <v>67</v>
      </c>
      <c r="X8600" t="s">
        <v>58</v>
      </c>
      <c r="Y8600">
        <v>21</v>
      </c>
      <c r="Z8600" t="s">
        <v>59</v>
      </c>
      <c r="AA8600" t="s">
        <v>59</v>
      </c>
      <c r="AB8600" t="s">
        <v>59</v>
      </c>
      <c r="AC8600" t="s">
        <v>59</v>
      </c>
      <c r="AD8600" t="s">
        <v>59</v>
      </c>
      <c r="AF8600" s="1">
        <v>35310</v>
      </c>
      <c r="AG8600" t="s">
        <v>8645</v>
      </c>
      <c r="AH8600" t="s">
        <v>8646</v>
      </c>
      <c r="AI8600" t="str">
        <f>"9410166"</f>
        <v>9410166</v>
      </c>
      <c r="AJ8600" t="s">
        <v>12666</v>
      </c>
      <c r="AK8600">
        <v>2831031311</v>
      </c>
      <c r="AL8600" t="s">
        <v>12667</v>
      </c>
      <c r="AM8600" t="s">
        <v>64</v>
      </c>
      <c r="AN8600" t="s">
        <v>65</v>
      </c>
      <c r="AO8600" t="s">
        <v>5720</v>
      </c>
      <c r="AP8600" t="s">
        <v>5721</v>
      </c>
      <c r="AQ8600">
        <v>2</v>
      </c>
      <c r="AR8600" t="s">
        <v>66</v>
      </c>
      <c r="AS8600" t="s">
        <v>67</v>
      </c>
      <c r="AT8600" t="s">
        <v>58</v>
      </c>
      <c r="AU8600" t="s">
        <v>68</v>
      </c>
      <c r="AV8600" t="s">
        <v>69</v>
      </c>
      <c r="AW8600" s="1">
        <v>24724</v>
      </c>
      <c r="AX8600">
        <v>1</v>
      </c>
    </row>
    <row r="8601" spans="1:50">
      <c r="A8601">
        <v>598727</v>
      </c>
      <c r="B8601" t="str">
        <f>"061116317"</f>
        <v>061116317</v>
      </c>
      <c r="C8601" t="s">
        <v>50</v>
      </c>
      <c r="D8601" t="s">
        <v>13212</v>
      </c>
      <c r="E8601" t="s">
        <v>263</v>
      </c>
      <c r="F8601" t="s">
        <v>166</v>
      </c>
      <c r="G8601" t="s">
        <v>54</v>
      </c>
      <c r="H8601" t="str">
        <f>"ΑΤΣΙΠΟΠΟΥΛΟΥ ΡΕΘΥΜΝΟΥ"</f>
        <v>ΑΤΣΙΠΟΠΟΥΛΟΥ ΡΕΘΥΜΝΟΥ</v>
      </c>
      <c r="I8601">
        <v>74100</v>
      </c>
      <c r="J8601">
        <v>2831025988</v>
      </c>
      <c r="K8601">
        <v>6978052510</v>
      </c>
      <c r="N8601" t="s">
        <v>615</v>
      </c>
      <c r="O8601" t="s">
        <v>616</v>
      </c>
      <c r="R8601" t="s">
        <v>57</v>
      </c>
      <c r="S8601">
        <v>9</v>
      </c>
      <c r="T8601">
        <v>195</v>
      </c>
      <c r="U8601" s="1">
        <v>37497</v>
      </c>
      <c r="V8601" t="s">
        <v>66</v>
      </c>
      <c r="W8601" t="s">
        <v>67</v>
      </c>
      <c r="X8601" t="s">
        <v>58</v>
      </c>
      <c r="Y8601">
        <v>22</v>
      </c>
      <c r="Z8601" t="s">
        <v>59</v>
      </c>
      <c r="AA8601" t="s">
        <v>59</v>
      </c>
      <c r="AB8601" t="s">
        <v>59</v>
      </c>
      <c r="AC8601" t="s">
        <v>59</v>
      </c>
      <c r="AD8601" t="s">
        <v>59</v>
      </c>
      <c r="AF8601" s="1">
        <v>37501</v>
      </c>
      <c r="AG8601" t="s">
        <v>8645</v>
      </c>
      <c r="AH8601" t="s">
        <v>8646</v>
      </c>
      <c r="AI8601" t="str">
        <f>"9521348"</f>
        <v>9521348</v>
      </c>
      <c r="AJ8601" t="s">
        <v>12714</v>
      </c>
      <c r="AK8601">
        <v>2831021334</v>
      </c>
      <c r="AL8601" t="s">
        <v>12715</v>
      </c>
      <c r="AM8601" t="s">
        <v>64</v>
      </c>
      <c r="AN8601" t="s">
        <v>65</v>
      </c>
      <c r="AO8601" t="s">
        <v>5720</v>
      </c>
      <c r="AP8601" t="s">
        <v>5721</v>
      </c>
      <c r="AQ8601">
        <v>2</v>
      </c>
      <c r="AR8601" t="s">
        <v>66</v>
      </c>
      <c r="AS8601" t="s">
        <v>67</v>
      </c>
      <c r="AT8601" t="s">
        <v>58</v>
      </c>
      <c r="AU8601" t="s">
        <v>68</v>
      </c>
      <c r="AV8601" t="s">
        <v>69</v>
      </c>
      <c r="AW8601" s="1">
        <v>25131</v>
      </c>
      <c r="AX8601">
        <v>1</v>
      </c>
    </row>
    <row r="8602" spans="1:50">
      <c r="B8602" t="str">
        <f>"079594747"</f>
        <v>079594747</v>
      </c>
      <c r="C8602" t="s">
        <v>50</v>
      </c>
      <c r="D8602" t="s">
        <v>6102</v>
      </c>
      <c r="E8602" t="s">
        <v>134</v>
      </c>
      <c r="F8602" t="s">
        <v>84</v>
      </c>
      <c r="G8602" t="s">
        <v>181</v>
      </c>
      <c r="H8602" t="str">
        <f>" "</f>
        <v xml:space="preserve"> </v>
      </c>
      <c r="N8602" t="s">
        <v>1525</v>
      </c>
      <c r="O8602" t="s">
        <v>1526</v>
      </c>
      <c r="R8602" t="s">
        <v>159</v>
      </c>
      <c r="S8602">
        <v>3</v>
      </c>
      <c r="T8602" t="s">
        <v>8670</v>
      </c>
      <c r="U8602" s="1">
        <v>43348</v>
      </c>
      <c r="V8602" t="s">
        <v>66</v>
      </c>
      <c r="W8602" t="s">
        <v>67</v>
      </c>
      <c r="X8602" t="s">
        <v>58</v>
      </c>
      <c r="Y8602">
        <v>25</v>
      </c>
      <c r="Z8602" t="s">
        <v>59</v>
      </c>
      <c r="AA8602" t="s">
        <v>59</v>
      </c>
      <c r="AB8602" t="s">
        <v>59</v>
      </c>
      <c r="AD8602" t="s">
        <v>59</v>
      </c>
      <c r="AF8602" s="1">
        <v>43348</v>
      </c>
      <c r="AG8602" t="s">
        <v>8651</v>
      </c>
      <c r="AH8602" t="s">
        <v>8652</v>
      </c>
      <c r="AI8602" t="str">
        <f>"9410262"</f>
        <v>9410262</v>
      </c>
      <c r="AJ8602" t="s">
        <v>12916</v>
      </c>
      <c r="AK8602">
        <v>2834023460</v>
      </c>
      <c r="AL8602" t="s">
        <v>12917</v>
      </c>
      <c r="AM8602" t="s">
        <v>64</v>
      </c>
      <c r="AN8602" t="s">
        <v>5672</v>
      </c>
      <c r="AO8602" t="s">
        <v>5673</v>
      </c>
      <c r="AP8602" t="s">
        <v>12918</v>
      </c>
      <c r="AQ8602">
        <v>8</v>
      </c>
      <c r="AR8602" t="s">
        <v>66</v>
      </c>
      <c r="AS8602" t="s">
        <v>67</v>
      </c>
      <c r="AT8602" t="s">
        <v>58</v>
      </c>
      <c r="AU8602" t="s">
        <v>8673</v>
      </c>
      <c r="AV8602" t="s">
        <v>132</v>
      </c>
      <c r="AW8602" s="1">
        <v>31854</v>
      </c>
      <c r="AX8602">
        <v>1</v>
      </c>
    </row>
    <row r="8603" spans="1:50">
      <c r="A8603">
        <v>593999</v>
      </c>
      <c r="B8603" t="str">
        <f>"076863909"</f>
        <v>076863909</v>
      </c>
      <c r="C8603" t="s">
        <v>50</v>
      </c>
      <c r="D8603" t="s">
        <v>6102</v>
      </c>
      <c r="E8603" t="s">
        <v>52</v>
      </c>
      <c r="F8603" t="s">
        <v>383</v>
      </c>
      <c r="G8603" t="s">
        <v>215</v>
      </c>
      <c r="H8603" t="str">
        <f>" "</f>
        <v xml:space="preserve"> </v>
      </c>
      <c r="N8603" t="s">
        <v>615</v>
      </c>
      <c r="O8603" t="s">
        <v>616</v>
      </c>
      <c r="R8603" t="s">
        <v>57</v>
      </c>
      <c r="S8603">
        <v>8</v>
      </c>
      <c r="T8603">
        <v>218</v>
      </c>
      <c r="U8603" s="1">
        <v>37134</v>
      </c>
      <c r="V8603" t="s">
        <v>66</v>
      </c>
      <c r="W8603" t="s">
        <v>67</v>
      </c>
      <c r="X8603" t="s">
        <v>58</v>
      </c>
      <c r="Y8603">
        <v>22</v>
      </c>
      <c r="Z8603" t="s">
        <v>59</v>
      </c>
      <c r="AA8603" t="s">
        <v>59</v>
      </c>
      <c r="AB8603" t="s">
        <v>59</v>
      </c>
      <c r="AC8603" t="s">
        <v>59</v>
      </c>
      <c r="AD8603" t="s">
        <v>59</v>
      </c>
      <c r="AF8603" s="1">
        <v>37140</v>
      </c>
      <c r="AG8603" t="s">
        <v>8645</v>
      </c>
      <c r="AH8603" t="s">
        <v>8646</v>
      </c>
      <c r="AI8603" t="str">
        <f>"9410072"</f>
        <v>9410072</v>
      </c>
      <c r="AJ8603" t="s">
        <v>12692</v>
      </c>
      <c r="AK8603">
        <v>2831071264</v>
      </c>
      <c r="AL8603" t="s">
        <v>12693</v>
      </c>
      <c r="AM8603" t="s">
        <v>64</v>
      </c>
      <c r="AN8603" t="s">
        <v>65</v>
      </c>
      <c r="AO8603" t="s">
        <v>12694</v>
      </c>
      <c r="AP8603" t="s">
        <v>12695</v>
      </c>
      <c r="AQ8603">
        <v>3</v>
      </c>
      <c r="AR8603" t="s">
        <v>66</v>
      </c>
      <c r="AS8603" t="s">
        <v>67</v>
      </c>
      <c r="AT8603" t="s">
        <v>58</v>
      </c>
      <c r="AU8603" t="s">
        <v>68</v>
      </c>
      <c r="AV8603" t="s">
        <v>69</v>
      </c>
      <c r="AW8603" s="1">
        <v>26488</v>
      </c>
      <c r="AX8603">
        <v>1</v>
      </c>
    </row>
    <row r="8604" spans="1:50">
      <c r="A8604">
        <v>611629</v>
      </c>
      <c r="B8604" t="str">
        <f>"137464980"</f>
        <v>137464980</v>
      </c>
      <c r="C8604" t="s">
        <v>50</v>
      </c>
      <c r="D8604" t="s">
        <v>4978</v>
      </c>
      <c r="E8604" t="s">
        <v>52</v>
      </c>
      <c r="F8604" t="s">
        <v>53</v>
      </c>
      <c r="G8604" t="s">
        <v>83</v>
      </c>
      <c r="H8604" t="str">
        <f>"ΖΑΜΠΕΛΙΟΥ 21 ΡΕΘΥΜΝΟ"</f>
        <v>ΖΑΜΠΕΛΙΟΥ 21 ΡΕΘΥΜΝΟ</v>
      </c>
      <c r="I8604">
        <v>74100</v>
      </c>
      <c r="J8604">
        <v>2106848988</v>
      </c>
      <c r="K8604">
        <v>6972873240</v>
      </c>
      <c r="M8604" t="s">
        <v>13213</v>
      </c>
      <c r="N8604" t="s">
        <v>1525</v>
      </c>
      <c r="O8604" t="s">
        <v>1526</v>
      </c>
      <c r="R8604" t="s">
        <v>57</v>
      </c>
      <c r="S8604">
        <v>6</v>
      </c>
      <c r="T8604">
        <v>233</v>
      </c>
      <c r="U8604" s="1">
        <v>38960</v>
      </c>
      <c r="V8604" t="s">
        <v>66</v>
      </c>
      <c r="W8604" t="s">
        <v>67</v>
      </c>
      <c r="X8604" t="s">
        <v>58</v>
      </c>
      <c r="Y8604">
        <v>25</v>
      </c>
      <c r="Z8604" t="s">
        <v>59</v>
      </c>
      <c r="AA8604" t="s">
        <v>59</v>
      </c>
      <c r="AB8604" t="s">
        <v>59</v>
      </c>
      <c r="AC8604" t="s">
        <v>59</v>
      </c>
      <c r="AD8604" t="s">
        <v>59</v>
      </c>
      <c r="AF8604" s="1">
        <v>38961</v>
      </c>
      <c r="AG8604" t="s">
        <v>8651</v>
      </c>
      <c r="AH8604" t="s">
        <v>8652</v>
      </c>
      <c r="AI8604" t="str">
        <f>"9410233"</f>
        <v>9410233</v>
      </c>
      <c r="AJ8604" t="s">
        <v>12861</v>
      </c>
      <c r="AK8604">
        <v>2832051552</v>
      </c>
      <c r="AL8604" t="s">
        <v>12862</v>
      </c>
      <c r="AM8604" t="s">
        <v>64</v>
      </c>
      <c r="AN8604" t="s">
        <v>5882</v>
      </c>
      <c r="AO8604" t="s">
        <v>6099</v>
      </c>
      <c r="AP8604" t="s">
        <v>12825</v>
      </c>
      <c r="AQ8604">
        <v>5</v>
      </c>
      <c r="AR8604" t="s">
        <v>66</v>
      </c>
      <c r="AS8604" t="s">
        <v>67</v>
      </c>
      <c r="AT8604" t="s">
        <v>58</v>
      </c>
      <c r="AU8604" t="s">
        <v>68</v>
      </c>
      <c r="AV8604" t="s">
        <v>69</v>
      </c>
      <c r="AW8604" s="1">
        <v>30284</v>
      </c>
      <c r="AX8604">
        <v>1</v>
      </c>
    </row>
    <row r="8605" spans="1:50">
      <c r="A8605">
        <v>604853</v>
      </c>
      <c r="B8605" t="str">
        <f>"075245255"</f>
        <v>075245255</v>
      </c>
      <c r="C8605" t="s">
        <v>50</v>
      </c>
      <c r="D8605" t="s">
        <v>10248</v>
      </c>
      <c r="E8605" t="s">
        <v>396</v>
      </c>
      <c r="F8605" t="s">
        <v>53</v>
      </c>
      <c r="G8605" t="s">
        <v>237</v>
      </c>
      <c r="H8605" t="str">
        <f>"Τ.Θ. 4-596 ΑΤΣΙΠΟΠΟΥΛΟ ΑΤΣΙΠΟΠΟΥΛΟ"</f>
        <v>Τ.Θ. 4-596 ΑΤΣΙΠΟΠΟΥΛΟ ΑΤΣΙΠΟΠΟΥΛΟ</v>
      </c>
      <c r="I8605">
        <v>74100</v>
      </c>
      <c r="K8605">
        <v>6974126610</v>
      </c>
      <c r="N8605" t="s">
        <v>615</v>
      </c>
      <c r="O8605" t="s">
        <v>616</v>
      </c>
      <c r="R8605" t="s">
        <v>57</v>
      </c>
      <c r="S8605">
        <v>8</v>
      </c>
      <c r="T8605">
        <v>231</v>
      </c>
      <c r="U8605" s="1">
        <v>38230</v>
      </c>
      <c r="V8605" t="s">
        <v>66</v>
      </c>
      <c r="W8605" t="s">
        <v>67</v>
      </c>
      <c r="X8605" t="s">
        <v>58</v>
      </c>
      <c r="Y8605">
        <v>22</v>
      </c>
      <c r="Z8605" t="s">
        <v>59</v>
      </c>
      <c r="AA8605" t="s">
        <v>59</v>
      </c>
      <c r="AB8605" t="s">
        <v>59</v>
      </c>
      <c r="AC8605" t="s">
        <v>59</v>
      </c>
      <c r="AD8605" t="s">
        <v>59</v>
      </c>
      <c r="AF8605" s="1">
        <v>38231</v>
      </c>
      <c r="AG8605" t="s">
        <v>8645</v>
      </c>
      <c r="AH8605" t="s">
        <v>8646</v>
      </c>
      <c r="AI8605" t="str">
        <f>"9410166"</f>
        <v>9410166</v>
      </c>
      <c r="AJ8605" t="s">
        <v>12666</v>
      </c>
      <c r="AK8605">
        <v>2831031311</v>
      </c>
      <c r="AL8605" t="s">
        <v>12667</v>
      </c>
      <c r="AM8605" t="s">
        <v>64</v>
      </c>
      <c r="AN8605" t="s">
        <v>65</v>
      </c>
      <c r="AO8605" t="s">
        <v>5720</v>
      </c>
      <c r="AP8605" t="s">
        <v>5721</v>
      </c>
      <c r="AQ8605">
        <v>2</v>
      </c>
      <c r="AR8605" t="s">
        <v>66</v>
      </c>
      <c r="AS8605" t="s">
        <v>67</v>
      </c>
      <c r="AT8605" t="s">
        <v>58</v>
      </c>
      <c r="AU8605" t="s">
        <v>68</v>
      </c>
      <c r="AV8605" t="s">
        <v>69</v>
      </c>
      <c r="AW8605" s="1">
        <v>26708</v>
      </c>
      <c r="AX8605">
        <v>1</v>
      </c>
    </row>
    <row r="8606" spans="1:50">
      <c r="B8606" t="str">
        <f>"143663277"</f>
        <v>143663277</v>
      </c>
      <c r="C8606" t="s">
        <v>50</v>
      </c>
      <c r="D8606" t="s">
        <v>13214</v>
      </c>
      <c r="E8606" t="s">
        <v>600</v>
      </c>
      <c r="F8606" t="s">
        <v>72</v>
      </c>
      <c r="G8606" t="s">
        <v>103</v>
      </c>
      <c r="H8606" t="str">
        <f>"ΜΙΚΡΑΣΙΑΤΩΝ 14 "</f>
        <v xml:space="preserve">ΜΙΚΡΑΣΙΑΤΩΝ 14 </v>
      </c>
      <c r="I8606">
        <v>74100</v>
      </c>
      <c r="J8606">
        <v>2831025901</v>
      </c>
      <c r="K8606">
        <v>6978961183</v>
      </c>
      <c r="N8606" t="s">
        <v>615</v>
      </c>
      <c r="O8606" t="s">
        <v>616</v>
      </c>
      <c r="R8606" t="s">
        <v>159</v>
      </c>
      <c r="S8606">
        <v>5</v>
      </c>
      <c r="T8606" t="s">
        <v>8675</v>
      </c>
      <c r="U8606" s="1">
        <v>43348</v>
      </c>
      <c r="V8606" t="s">
        <v>66</v>
      </c>
      <c r="W8606" t="s">
        <v>67</v>
      </c>
      <c r="X8606" t="s">
        <v>58</v>
      </c>
      <c r="Y8606">
        <v>24</v>
      </c>
      <c r="Z8606" t="s">
        <v>59</v>
      </c>
      <c r="AA8606" t="s">
        <v>59</v>
      </c>
      <c r="AB8606" t="s">
        <v>59</v>
      </c>
      <c r="AC8606" t="s">
        <v>59</v>
      </c>
      <c r="AD8606" t="s">
        <v>59</v>
      </c>
      <c r="AF8606" s="1">
        <v>43348</v>
      </c>
      <c r="AG8606" t="s">
        <v>8645</v>
      </c>
      <c r="AH8606" t="s">
        <v>8646</v>
      </c>
      <c r="AI8606" t="str">
        <f>"9410092"</f>
        <v>9410092</v>
      </c>
      <c r="AJ8606" t="s">
        <v>12823</v>
      </c>
      <c r="AK8606">
        <v>2832051056</v>
      </c>
      <c r="AL8606" t="s">
        <v>12824</v>
      </c>
      <c r="AM8606" t="s">
        <v>64</v>
      </c>
      <c r="AN8606" t="s">
        <v>5882</v>
      </c>
      <c r="AO8606" t="s">
        <v>6099</v>
      </c>
      <c r="AP8606" t="s">
        <v>12825</v>
      </c>
      <c r="AQ8606">
        <v>5</v>
      </c>
      <c r="AR8606" t="s">
        <v>66</v>
      </c>
      <c r="AS8606" t="s">
        <v>67</v>
      </c>
      <c r="AT8606" t="s">
        <v>58</v>
      </c>
      <c r="AU8606" t="s">
        <v>8673</v>
      </c>
      <c r="AV8606" t="s">
        <v>132</v>
      </c>
      <c r="AW8606" s="1">
        <v>32144</v>
      </c>
      <c r="AX8606">
        <v>1</v>
      </c>
    </row>
    <row r="8607" spans="1:50">
      <c r="B8607" t="str">
        <f>"066539087"</f>
        <v>066539087</v>
      </c>
      <c r="C8607" t="s">
        <v>105</v>
      </c>
      <c r="D8607" t="s">
        <v>13215</v>
      </c>
      <c r="E8607" t="s">
        <v>154</v>
      </c>
      <c r="F8607" t="s">
        <v>72</v>
      </c>
      <c r="G8607" t="s">
        <v>103</v>
      </c>
      <c r="H8607" t="str">
        <f>"ΜΙΚΡΑΣΙΑΤΩΝ 14 ΡΕΘΥΜΝΟ"</f>
        <v>ΜΙΚΡΑΣΙΑΤΩΝ 14 ΡΕΘΥΜΝΟ</v>
      </c>
      <c r="I8607">
        <v>74100</v>
      </c>
      <c r="J8607">
        <v>2831025901</v>
      </c>
      <c r="K8607">
        <v>6978961183</v>
      </c>
      <c r="N8607" t="s">
        <v>615</v>
      </c>
      <c r="O8607" t="s">
        <v>616</v>
      </c>
      <c r="R8607" t="s">
        <v>159</v>
      </c>
      <c r="S8607">
        <v>3</v>
      </c>
      <c r="T8607" t="s">
        <v>8675</v>
      </c>
      <c r="U8607" s="1">
        <v>43348</v>
      </c>
      <c r="V8607" t="s">
        <v>66</v>
      </c>
      <c r="W8607" t="s">
        <v>67</v>
      </c>
      <c r="X8607" t="s">
        <v>58</v>
      </c>
      <c r="Y8607">
        <v>25</v>
      </c>
      <c r="Z8607" t="s">
        <v>59</v>
      </c>
      <c r="AA8607" t="s">
        <v>59</v>
      </c>
      <c r="AB8607" t="s">
        <v>59</v>
      </c>
      <c r="AC8607" t="s">
        <v>59</v>
      </c>
      <c r="AD8607" t="s">
        <v>59</v>
      </c>
      <c r="AF8607" s="1">
        <v>43348</v>
      </c>
      <c r="AG8607" t="s">
        <v>8645</v>
      </c>
      <c r="AH8607" t="s">
        <v>8676</v>
      </c>
      <c r="AI8607" t="str">
        <f>"9410054"</f>
        <v>9410054</v>
      </c>
      <c r="AJ8607" t="s">
        <v>13216</v>
      </c>
      <c r="AK8607">
        <v>2834094098</v>
      </c>
      <c r="AL8607" t="s">
        <v>13217</v>
      </c>
      <c r="AM8607" t="s">
        <v>64</v>
      </c>
      <c r="AN8607" t="s">
        <v>5672</v>
      </c>
      <c r="AO8607" t="s">
        <v>5673</v>
      </c>
      <c r="AP8607" t="s">
        <v>12853</v>
      </c>
      <c r="AQ8607">
        <v>10</v>
      </c>
      <c r="AR8607" t="s">
        <v>66</v>
      </c>
      <c r="AS8607" t="s">
        <v>67</v>
      </c>
      <c r="AT8607" t="s">
        <v>58</v>
      </c>
      <c r="AU8607" t="s">
        <v>8673</v>
      </c>
      <c r="AV8607" t="s">
        <v>132</v>
      </c>
      <c r="AW8607" s="1">
        <v>32144</v>
      </c>
      <c r="AX8607">
        <v>1</v>
      </c>
    </row>
    <row r="8608" spans="1:50">
      <c r="A8608">
        <v>613269</v>
      </c>
      <c r="B8608" t="str">
        <f>"120818340"</f>
        <v>120818340</v>
      </c>
      <c r="C8608" t="s">
        <v>50</v>
      </c>
      <c r="D8608" t="s">
        <v>13218</v>
      </c>
      <c r="E8608" t="s">
        <v>484</v>
      </c>
      <c r="F8608" t="s">
        <v>1543</v>
      </c>
      <c r="G8608" t="s">
        <v>1189</v>
      </c>
      <c r="H8608" t="str">
        <f>"ΠΡΙΝΟΣ-ΤΘ 23 ΜΥΛΟΠΟΤΑΜΟΣ-ΡΕΘΥΜΝΟΥ"</f>
        <v>ΠΡΙΝΟΣ-ΤΘ 23 ΜΥΛΟΠΟΤΑΜΟΣ-ΡΕΘΥΜΝΟΥ</v>
      </c>
      <c r="I8608">
        <v>74052</v>
      </c>
      <c r="J8608">
        <v>2109414405</v>
      </c>
      <c r="K8608">
        <v>6946451905</v>
      </c>
      <c r="L8608">
        <v>2831032569</v>
      </c>
      <c r="M8608" t="s">
        <v>13219</v>
      </c>
      <c r="N8608" t="s">
        <v>615</v>
      </c>
      <c r="O8608" t="s">
        <v>616</v>
      </c>
      <c r="R8608" t="s">
        <v>57</v>
      </c>
      <c r="S8608">
        <v>8</v>
      </c>
      <c r="T8608">
        <v>598</v>
      </c>
      <c r="U8608" s="1">
        <v>39310</v>
      </c>
      <c r="V8608" t="s">
        <v>66</v>
      </c>
      <c r="W8608" t="s">
        <v>67</v>
      </c>
      <c r="X8608" t="s">
        <v>58</v>
      </c>
      <c r="Y8608">
        <v>22</v>
      </c>
      <c r="Z8608" t="s">
        <v>59</v>
      </c>
      <c r="AA8608" t="s">
        <v>59</v>
      </c>
      <c r="AB8608" t="s">
        <v>59</v>
      </c>
      <c r="AC8608" t="s">
        <v>59</v>
      </c>
      <c r="AD8608" t="s">
        <v>59</v>
      </c>
      <c r="AF8608" s="1">
        <v>39328</v>
      </c>
      <c r="AG8608" t="s">
        <v>8645</v>
      </c>
      <c r="AH8608" t="s">
        <v>8697</v>
      </c>
      <c r="AI8608" t="str">
        <f>"9410243"</f>
        <v>9410243</v>
      </c>
      <c r="AJ8608" t="s">
        <v>12885</v>
      </c>
      <c r="AK8608">
        <v>2831026710</v>
      </c>
      <c r="AL8608" t="s">
        <v>12886</v>
      </c>
      <c r="AM8608" t="s">
        <v>64</v>
      </c>
      <c r="AN8608" t="s">
        <v>65</v>
      </c>
      <c r="AO8608" t="s">
        <v>65</v>
      </c>
      <c r="AP8608" t="s">
        <v>65</v>
      </c>
      <c r="AQ8608">
        <v>1</v>
      </c>
      <c r="AR8608" t="s">
        <v>66</v>
      </c>
      <c r="AS8608" t="s">
        <v>67</v>
      </c>
      <c r="AT8608" t="s">
        <v>58</v>
      </c>
      <c r="AU8608" t="s">
        <v>68</v>
      </c>
      <c r="AV8608" t="s">
        <v>69</v>
      </c>
      <c r="AW8608" s="1">
        <v>27874</v>
      </c>
      <c r="AX8608">
        <v>1</v>
      </c>
    </row>
    <row r="8609" spans="1:50">
      <c r="B8609" t="str">
        <f>"152606705"</f>
        <v>152606705</v>
      </c>
      <c r="C8609" t="s">
        <v>50</v>
      </c>
      <c r="D8609" t="s">
        <v>13220</v>
      </c>
      <c r="E8609" t="s">
        <v>13221</v>
      </c>
      <c r="F8609" t="s">
        <v>1705</v>
      </c>
      <c r="G8609" t="s">
        <v>446</v>
      </c>
      <c r="H8609" t="str">
        <f>" "</f>
        <v xml:space="preserve"> </v>
      </c>
      <c r="N8609" t="s">
        <v>8834</v>
      </c>
      <c r="O8609" t="s">
        <v>8695</v>
      </c>
      <c r="R8609" t="s">
        <v>159</v>
      </c>
      <c r="S8609">
        <v>3</v>
      </c>
      <c r="T8609" t="s">
        <v>8835</v>
      </c>
      <c r="U8609" s="1">
        <v>43348</v>
      </c>
      <c r="V8609" t="s">
        <v>66</v>
      </c>
      <c r="W8609" t="s">
        <v>67</v>
      </c>
      <c r="X8609" t="s">
        <v>58</v>
      </c>
      <c r="Y8609">
        <v>24</v>
      </c>
      <c r="Z8609" t="s">
        <v>59</v>
      </c>
      <c r="AA8609" t="s">
        <v>59</v>
      </c>
      <c r="AB8609" t="s">
        <v>59</v>
      </c>
      <c r="AD8609" t="s">
        <v>59</v>
      </c>
      <c r="AF8609" s="1">
        <v>43348</v>
      </c>
      <c r="AG8609" t="s">
        <v>8645</v>
      </c>
      <c r="AH8609" t="s">
        <v>8646</v>
      </c>
      <c r="AI8609" t="str">
        <f>"9410072"</f>
        <v>9410072</v>
      </c>
      <c r="AJ8609" t="s">
        <v>12692</v>
      </c>
      <c r="AK8609">
        <v>2831071264</v>
      </c>
      <c r="AL8609" t="s">
        <v>12693</v>
      </c>
      <c r="AM8609" t="s">
        <v>64</v>
      </c>
      <c r="AN8609" t="s">
        <v>65</v>
      </c>
      <c r="AO8609" t="s">
        <v>12694</v>
      </c>
      <c r="AP8609" t="s">
        <v>12695</v>
      </c>
      <c r="AQ8609">
        <v>3</v>
      </c>
      <c r="AR8609" t="s">
        <v>66</v>
      </c>
      <c r="AS8609" t="s">
        <v>67</v>
      </c>
      <c r="AT8609" t="s">
        <v>58</v>
      </c>
      <c r="AU8609" t="s">
        <v>131</v>
      </c>
      <c r="AV8609" t="s">
        <v>132</v>
      </c>
      <c r="AW8609" s="1">
        <v>33170</v>
      </c>
      <c r="AX8609">
        <v>1</v>
      </c>
    </row>
    <row r="8610" spans="1:50">
      <c r="A8610">
        <v>607276</v>
      </c>
      <c r="B8610" t="str">
        <f>"110337271"</f>
        <v>110337271</v>
      </c>
      <c r="C8610" t="s">
        <v>50</v>
      </c>
      <c r="D8610" t="s">
        <v>4985</v>
      </c>
      <c r="E8610" t="s">
        <v>600</v>
      </c>
      <c r="F8610" t="s">
        <v>53</v>
      </c>
      <c r="G8610" t="s">
        <v>4602</v>
      </c>
      <c r="H8610" t="str">
        <f>"ΣΒΑΪΤΣΕΡ 5 ΡΕΘΥΜΝΟ"</f>
        <v>ΣΒΑΪΤΣΕΡ 5 ΡΕΘΥΜΝΟ</v>
      </c>
      <c r="I8610">
        <v>74100</v>
      </c>
      <c r="J8610">
        <v>2831057401</v>
      </c>
      <c r="K8610">
        <v>6937428592</v>
      </c>
      <c r="N8610" t="s">
        <v>615</v>
      </c>
      <c r="O8610" t="s">
        <v>616</v>
      </c>
      <c r="R8610" t="s">
        <v>57</v>
      </c>
      <c r="S8610">
        <v>8</v>
      </c>
      <c r="T8610">
        <v>217</v>
      </c>
      <c r="U8610" s="1">
        <v>38600</v>
      </c>
      <c r="V8610" t="s">
        <v>66</v>
      </c>
      <c r="W8610" t="s">
        <v>67</v>
      </c>
      <c r="X8610" t="s">
        <v>58</v>
      </c>
      <c r="Y8610">
        <v>23</v>
      </c>
      <c r="Z8610" t="s">
        <v>59</v>
      </c>
      <c r="AA8610" t="s">
        <v>59</v>
      </c>
      <c r="AB8610" t="s">
        <v>59</v>
      </c>
      <c r="AC8610" t="s">
        <v>59</v>
      </c>
      <c r="AD8610" t="s">
        <v>59</v>
      </c>
      <c r="AF8610" s="1">
        <v>38600</v>
      </c>
      <c r="AG8610" t="s">
        <v>8645</v>
      </c>
      <c r="AH8610" t="s">
        <v>8646</v>
      </c>
      <c r="AI8610" t="str">
        <f>"9410152"</f>
        <v>9410152</v>
      </c>
      <c r="AJ8610" t="s">
        <v>12686</v>
      </c>
      <c r="AK8610">
        <v>2831029088</v>
      </c>
      <c r="AL8610" t="s">
        <v>12687</v>
      </c>
      <c r="AM8610" t="s">
        <v>64</v>
      </c>
      <c r="AN8610" t="s">
        <v>65</v>
      </c>
      <c r="AO8610" t="s">
        <v>65</v>
      </c>
      <c r="AP8610" t="s">
        <v>65</v>
      </c>
      <c r="AQ8610">
        <v>1</v>
      </c>
      <c r="AR8610" t="s">
        <v>66</v>
      </c>
      <c r="AS8610" t="s">
        <v>67</v>
      </c>
      <c r="AT8610" t="s">
        <v>58</v>
      </c>
      <c r="AU8610" t="s">
        <v>68</v>
      </c>
      <c r="AV8610" t="s">
        <v>69</v>
      </c>
      <c r="AW8610" s="1">
        <v>27916</v>
      </c>
      <c r="AX8610">
        <v>1</v>
      </c>
    </row>
    <row r="8611" spans="1:50">
      <c r="B8611" t="str">
        <f>"062913494"</f>
        <v>062913494</v>
      </c>
      <c r="C8611" t="s">
        <v>105</v>
      </c>
      <c r="D8611" t="s">
        <v>13222</v>
      </c>
      <c r="E8611" t="s">
        <v>72</v>
      </c>
      <c r="F8611" t="s">
        <v>670</v>
      </c>
      <c r="G8611" t="s">
        <v>215</v>
      </c>
      <c r="H8611" t="str">
        <f>"ΠΕΡΙΚΛΕΟΥΣ 96 "</f>
        <v xml:space="preserve">ΠΕΡΙΚΛΕΟΥΣ 96 </v>
      </c>
      <c r="I8611">
        <v>15231</v>
      </c>
      <c r="J8611">
        <v>2106717852</v>
      </c>
      <c r="K8611">
        <v>6942883349</v>
      </c>
      <c r="N8611" t="s">
        <v>204</v>
      </c>
      <c r="O8611" t="s">
        <v>205</v>
      </c>
      <c r="R8611" t="s">
        <v>159</v>
      </c>
      <c r="S8611">
        <v>4</v>
      </c>
      <c r="T8611" t="s">
        <v>9034</v>
      </c>
      <c r="U8611" s="1">
        <v>43377</v>
      </c>
      <c r="V8611" t="s">
        <v>66</v>
      </c>
      <c r="W8611" t="s">
        <v>67</v>
      </c>
      <c r="X8611" t="s">
        <v>58</v>
      </c>
      <c r="Y8611">
        <v>24</v>
      </c>
      <c r="Z8611" t="s">
        <v>59</v>
      </c>
      <c r="AA8611" t="s">
        <v>59</v>
      </c>
      <c r="AB8611" t="s">
        <v>59</v>
      </c>
      <c r="AC8611" t="s">
        <v>59</v>
      </c>
      <c r="AD8611" t="s">
        <v>59</v>
      </c>
      <c r="AF8611" s="1">
        <v>43377</v>
      </c>
      <c r="AG8611" t="s">
        <v>8645</v>
      </c>
      <c r="AH8611" t="s">
        <v>8646</v>
      </c>
      <c r="AI8611" t="str">
        <f>"9410166"</f>
        <v>9410166</v>
      </c>
      <c r="AJ8611" t="s">
        <v>12666</v>
      </c>
      <c r="AK8611">
        <v>2831031311</v>
      </c>
      <c r="AL8611" t="s">
        <v>12667</v>
      </c>
      <c r="AM8611" t="s">
        <v>64</v>
      </c>
      <c r="AN8611" t="s">
        <v>65</v>
      </c>
      <c r="AO8611" t="s">
        <v>5720</v>
      </c>
      <c r="AP8611" t="s">
        <v>5721</v>
      </c>
      <c r="AQ8611">
        <v>2</v>
      </c>
      <c r="AR8611" t="s">
        <v>66</v>
      </c>
      <c r="AS8611" t="s">
        <v>67</v>
      </c>
      <c r="AT8611" t="s">
        <v>58</v>
      </c>
      <c r="AU8611" t="s">
        <v>8673</v>
      </c>
      <c r="AV8611" t="s">
        <v>132</v>
      </c>
      <c r="AW8611" s="1">
        <v>31121</v>
      </c>
      <c r="AX8611">
        <v>1</v>
      </c>
    </row>
    <row r="8612" spans="1:50">
      <c r="B8612" t="str">
        <f>"127977082"</f>
        <v>127977082</v>
      </c>
      <c r="C8612" t="s">
        <v>105</v>
      </c>
      <c r="D8612" t="s">
        <v>13223</v>
      </c>
      <c r="E8612" t="s">
        <v>84</v>
      </c>
      <c r="F8612" t="s">
        <v>309</v>
      </c>
      <c r="G8612" t="s">
        <v>13224</v>
      </c>
      <c r="H8612" t="str">
        <f>" "</f>
        <v xml:space="preserve"> </v>
      </c>
      <c r="N8612" t="s">
        <v>5128</v>
      </c>
      <c r="O8612" t="s">
        <v>5129</v>
      </c>
      <c r="R8612" t="s">
        <v>121</v>
      </c>
      <c r="S8612">
        <v>3</v>
      </c>
      <c r="T8612" t="s">
        <v>8696</v>
      </c>
      <c r="U8612" s="1">
        <v>43348</v>
      </c>
      <c r="V8612" t="s">
        <v>66</v>
      </c>
      <c r="W8612" t="s">
        <v>67</v>
      </c>
      <c r="X8612" t="s">
        <v>58</v>
      </c>
      <c r="Y8612">
        <v>24</v>
      </c>
      <c r="Z8612" t="s">
        <v>59</v>
      </c>
      <c r="AA8612" t="s">
        <v>59</v>
      </c>
      <c r="AB8612" t="s">
        <v>59</v>
      </c>
      <c r="AD8612" t="s">
        <v>59</v>
      </c>
      <c r="AF8612" s="1">
        <v>43348</v>
      </c>
      <c r="AG8612" t="s">
        <v>8645</v>
      </c>
      <c r="AH8612" t="s">
        <v>8697</v>
      </c>
      <c r="AI8612" t="str">
        <f>"9410243"</f>
        <v>9410243</v>
      </c>
      <c r="AJ8612" t="s">
        <v>12885</v>
      </c>
      <c r="AK8612">
        <v>2831026710</v>
      </c>
      <c r="AL8612" t="s">
        <v>12886</v>
      </c>
      <c r="AM8612" t="s">
        <v>64</v>
      </c>
      <c r="AN8612" t="s">
        <v>65</v>
      </c>
      <c r="AO8612" t="s">
        <v>65</v>
      </c>
      <c r="AP8612" t="s">
        <v>65</v>
      </c>
      <c r="AQ8612">
        <v>1</v>
      </c>
      <c r="AR8612" t="s">
        <v>66</v>
      </c>
      <c r="AS8612" t="s">
        <v>67</v>
      </c>
      <c r="AT8612" t="s">
        <v>58</v>
      </c>
      <c r="AU8612" t="s">
        <v>350</v>
      </c>
      <c r="AV8612" t="s">
        <v>132</v>
      </c>
      <c r="AW8612" s="1">
        <v>30690</v>
      </c>
      <c r="AX8612">
        <v>1</v>
      </c>
    </row>
    <row r="8613" spans="1:50">
      <c r="B8613" t="str">
        <f>"149409735"</f>
        <v>149409735</v>
      </c>
      <c r="C8613" t="s">
        <v>105</v>
      </c>
      <c r="D8613" t="s">
        <v>13225</v>
      </c>
      <c r="E8613" t="s">
        <v>99</v>
      </c>
      <c r="F8613" t="s">
        <v>900</v>
      </c>
      <c r="H8613" t="str">
        <f>"ΑΝΩ ΜΗΤΡΟΥΣΙ ΣΕΡΡΕΣ"</f>
        <v>ΑΝΩ ΜΗΤΡΟΥΣΙ ΣΕΡΡΕΣ</v>
      </c>
      <c r="I8613">
        <v>62100</v>
      </c>
      <c r="J8613">
        <v>2321075424</v>
      </c>
      <c r="K8613">
        <v>6942428166</v>
      </c>
      <c r="M8613" t="s">
        <v>13226</v>
      </c>
      <c r="N8613" t="s">
        <v>8694</v>
      </c>
      <c r="O8613" t="s">
        <v>8695</v>
      </c>
      <c r="R8613" t="s">
        <v>159</v>
      </c>
      <c r="S8613">
        <v>2</v>
      </c>
      <c r="T8613" t="s">
        <v>8696</v>
      </c>
      <c r="U8613" s="1">
        <v>43348</v>
      </c>
      <c r="V8613" t="s">
        <v>66</v>
      </c>
      <c r="W8613" t="s">
        <v>67</v>
      </c>
      <c r="X8613" t="s">
        <v>58</v>
      </c>
      <c r="Y8613">
        <v>24</v>
      </c>
      <c r="Z8613" t="s">
        <v>59</v>
      </c>
      <c r="AA8613" t="s">
        <v>59</v>
      </c>
      <c r="AB8613" t="s">
        <v>59</v>
      </c>
      <c r="AC8613" t="s">
        <v>59</v>
      </c>
      <c r="AD8613" t="s">
        <v>59</v>
      </c>
      <c r="AF8613" s="1">
        <v>43348</v>
      </c>
      <c r="AG8613" t="s">
        <v>8645</v>
      </c>
      <c r="AH8613" t="s">
        <v>8697</v>
      </c>
      <c r="AI8613" t="str">
        <f>"9410243"</f>
        <v>9410243</v>
      </c>
      <c r="AJ8613" t="s">
        <v>12885</v>
      </c>
      <c r="AK8613">
        <v>2831026710</v>
      </c>
      <c r="AL8613" t="s">
        <v>12886</v>
      </c>
      <c r="AM8613" t="s">
        <v>64</v>
      </c>
      <c r="AN8613" t="s">
        <v>65</v>
      </c>
      <c r="AO8613" t="s">
        <v>65</v>
      </c>
      <c r="AP8613" t="s">
        <v>65</v>
      </c>
      <c r="AQ8613">
        <v>1</v>
      </c>
      <c r="AR8613" t="s">
        <v>66</v>
      </c>
      <c r="AS8613" t="s">
        <v>67</v>
      </c>
      <c r="AT8613" t="s">
        <v>58</v>
      </c>
      <c r="AU8613" t="s">
        <v>350</v>
      </c>
      <c r="AV8613" t="s">
        <v>132</v>
      </c>
      <c r="AW8613" s="1">
        <v>33233</v>
      </c>
      <c r="AX8613">
        <v>1</v>
      </c>
    </row>
    <row r="8614" spans="1:50">
      <c r="A8614">
        <v>601942</v>
      </c>
      <c r="B8614" t="str">
        <f>"059588307"</f>
        <v>059588307</v>
      </c>
      <c r="C8614" t="s">
        <v>105</v>
      </c>
      <c r="D8614" t="s">
        <v>2154</v>
      </c>
      <c r="E8614" t="s">
        <v>84</v>
      </c>
      <c r="F8614" t="s">
        <v>72</v>
      </c>
      <c r="G8614" t="s">
        <v>52</v>
      </c>
      <c r="H8614" t="str">
        <f>"ΞΕΞΑΚΗ 7 ΡΕΘΥΜΝΟ"</f>
        <v>ΞΕΞΑΚΗ 7 ΡΕΘΥΜΝΟ</v>
      </c>
      <c r="I8614">
        <v>74100</v>
      </c>
      <c r="J8614">
        <v>2834061142</v>
      </c>
      <c r="K8614">
        <v>6957008442</v>
      </c>
      <c r="M8614" t="s">
        <v>13227</v>
      </c>
      <c r="N8614" t="s">
        <v>615</v>
      </c>
      <c r="O8614" t="s">
        <v>616</v>
      </c>
      <c r="R8614" t="s">
        <v>57</v>
      </c>
      <c r="S8614">
        <v>14</v>
      </c>
      <c r="T8614">
        <v>207</v>
      </c>
      <c r="U8614" s="1">
        <v>37866</v>
      </c>
      <c r="V8614" t="s">
        <v>66</v>
      </c>
      <c r="W8614" t="s">
        <v>67</v>
      </c>
      <c r="X8614" t="s">
        <v>58</v>
      </c>
      <c r="Y8614">
        <v>22</v>
      </c>
      <c r="Z8614" t="s">
        <v>59</v>
      </c>
      <c r="AA8614" t="s">
        <v>59</v>
      </c>
      <c r="AB8614" t="s">
        <v>59</v>
      </c>
      <c r="AC8614" t="s">
        <v>59</v>
      </c>
      <c r="AD8614" t="s">
        <v>59</v>
      </c>
      <c r="AF8614" s="1">
        <v>37866</v>
      </c>
      <c r="AG8614" t="s">
        <v>8645</v>
      </c>
      <c r="AH8614" t="s">
        <v>8646</v>
      </c>
      <c r="AI8614" t="str">
        <f>"9410167"</f>
        <v>9410167</v>
      </c>
      <c r="AJ8614" t="s">
        <v>12911</v>
      </c>
      <c r="AK8614">
        <v>2831031455</v>
      </c>
      <c r="AL8614" t="s">
        <v>12912</v>
      </c>
      <c r="AM8614" t="s">
        <v>64</v>
      </c>
      <c r="AN8614" t="s">
        <v>65</v>
      </c>
      <c r="AO8614" t="s">
        <v>5720</v>
      </c>
      <c r="AP8614" t="s">
        <v>12913</v>
      </c>
      <c r="AQ8614">
        <v>2</v>
      </c>
      <c r="AR8614" t="s">
        <v>66</v>
      </c>
      <c r="AS8614" t="s">
        <v>67</v>
      </c>
      <c r="AT8614" t="s">
        <v>58</v>
      </c>
      <c r="AU8614" t="s">
        <v>68</v>
      </c>
      <c r="AV8614" t="s">
        <v>69</v>
      </c>
      <c r="AW8614" s="1">
        <v>26085</v>
      </c>
      <c r="AX8614">
        <v>1</v>
      </c>
    </row>
    <row r="8615" spans="1:50">
      <c r="A8615">
        <v>555293</v>
      </c>
      <c r="B8615" t="str">
        <f>"032262006"</f>
        <v>032262006</v>
      </c>
      <c r="C8615" t="s">
        <v>105</v>
      </c>
      <c r="D8615" t="s">
        <v>2154</v>
      </c>
      <c r="E8615" t="s">
        <v>72</v>
      </c>
      <c r="F8615" t="s">
        <v>95</v>
      </c>
      <c r="G8615" t="s">
        <v>316</v>
      </c>
      <c r="H8615" t="str">
        <f>"ΚΟΛΟΚΟΤΡΩΝΗ 56 ΡΕΘΥΜΝΟ"</f>
        <v>ΚΟΛΟΚΟΤΡΩΝΗ 56 ΡΕΘΥΜΝΟ</v>
      </c>
      <c r="I8615">
        <v>74100</v>
      </c>
      <c r="J8615">
        <v>2831028267</v>
      </c>
      <c r="K8615">
        <v>6944584764</v>
      </c>
      <c r="M8615" t="s">
        <v>13228</v>
      </c>
      <c r="N8615" t="s">
        <v>615</v>
      </c>
      <c r="O8615" t="s">
        <v>616</v>
      </c>
      <c r="R8615" t="s">
        <v>57</v>
      </c>
      <c r="S8615">
        <v>16</v>
      </c>
      <c r="T8615">
        <v>200</v>
      </c>
      <c r="U8615" s="1">
        <v>31657</v>
      </c>
      <c r="V8615" t="s">
        <v>66</v>
      </c>
      <c r="W8615" t="s">
        <v>67</v>
      </c>
      <c r="X8615" t="s">
        <v>58</v>
      </c>
      <c r="Y8615">
        <v>21</v>
      </c>
      <c r="Z8615" t="s">
        <v>59</v>
      </c>
      <c r="AA8615" t="s">
        <v>59</v>
      </c>
      <c r="AB8615" t="s">
        <v>59</v>
      </c>
      <c r="AC8615" t="s">
        <v>59</v>
      </c>
      <c r="AD8615" t="s">
        <v>59</v>
      </c>
      <c r="AF8615" s="1">
        <v>31666</v>
      </c>
      <c r="AG8615" t="s">
        <v>8645</v>
      </c>
      <c r="AH8615" t="s">
        <v>8646</v>
      </c>
      <c r="AI8615" t="str">
        <f>"9410167"</f>
        <v>9410167</v>
      </c>
      <c r="AJ8615" t="s">
        <v>12911</v>
      </c>
      <c r="AK8615">
        <v>2831031455</v>
      </c>
      <c r="AL8615" t="s">
        <v>12912</v>
      </c>
      <c r="AM8615" t="s">
        <v>64</v>
      </c>
      <c r="AN8615" t="s">
        <v>65</v>
      </c>
      <c r="AO8615" t="s">
        <v>5720</v>
      </c>
      <c r="AP8615" t="s">
        <v>12913</v>
      </c>
      <c r="AQ8615">
        <v>2</v>
      </c>
      <c r="AR8615" t="s">
        <v>66</v>
      </c>
      <c r="AS8615" t="s">
        <v>67</v>
      </c>
      <c r="AT8615" t="s">
        <v>58</v>
      </c>
      <c r="AU8615" t="s">
        <v>68</v>
      </c>
      <c r="AV8615" t="s">
        <v>69</v>
      </c>
      <c r="AW8615" s="1">
        <v>23052</v>
      </c>
      <c r="AX8615">
        <v>1</v>
      </c>
    </row>
    <row r="8616" spans="1:50">
      <c r="A8616">
        <v>618728</v>
      </c>
      <c r="B8616" t="str">
        <f>"037942142"</f>
        <v>037942142</v>
      </c>
      <c r="C8616" t="s">
        <v>105</v>
      </c>
      <c r="D8616" t="s">
        <v>2154</v>
      </c>
      <c r="E8616" t="s">
        <v>108</v>
      </c>
      <c r="F8616" t="s">
        <v>99</v>
      </c>
      <c r="G8616" t="s">
        <v>52</v>
      </c>
      <c r="H8616" t="str">
        <f>"ΑΤΣΙΠΟΠΟΥΛΟ ΡΕΘΥΜΝΟ"</f>
        <v>ΑΤΣΙΠΟΠΟΥΛΟ ΡΕΘΥΜΝΟ</v>
      </c>
      <c r="I8616">
        <v>74100</v>
      </c>
      <c r="J8616">
        <v>2831031085</v>
      </c>
      <c r="K8616">
        <v>6934316263</v>
      </c>
      <c r="N8616" t="s">
        <v>615</v>
      </c>
      <c r="O8616" t="s">
        <v>616</v>
      </c>
      <c r="R8616" t="s">
        <v>57</v>
      </c>
      <c r="S8616">
        <v>13</v>
      </c>
      <c r="T8616">
        <v>774</v>
      </c>
      <c r="U8616" s="1">
        <v>39680</v>
      </c>
      <c r="V8616" t="s">
        <v>66</v>
      </c>
      <c r="W8616" t="s">
        <v>67</v>
      </c>
      <c r="X8616" t="s">
        <v>58</v>
      </c>
      <c r="Y8616">
        <v>23</v>
      </c>
      <c r="Z8616" t="s">
        <v>59</v>
      </c>
      <c r="AA8616" t="s">
        <v>59</v>
      </c>
      <c r="AB8616" t="s">
        <v>59</v>
      </c>
      <c r="AC8616" t="s">
        <v>59</v>
      </c>
      <c r="AD8616" t="s">
        <v>59</v>
      </c>
      <c r="AF8616" s="1">
        <v>39681</v>
      </c>
      <c r="AG8616" t="s">
        <v>8645</v>
      </c>
      <c r="AH8616" t="s">
        <v>8646</v>
      </c>
      <c r="AI8616" t="str">
        <f>"9521348"</f>
        <v>9521348</v>
      </c>
      <c r="AJ8616" t="s">
        <v>12714</v>
      </c>
      <c r="AK8616">
        <v>2831021334</v>
      </c>
      <c r="AL8616" t="s">
        <v>12715</v>
      </c>
      <c r="AM8616" t="s">
        <v>64</v>
      </c>
      <c r="AN8616" t="s">
        <v>65</v>
      </c>
      <c r="AO8616" t="s">
        <v>5720</v>
      </c>
      <c r="AP8616" t="s">
        <v>5721</v>
      </c>
      <c r="AQ8616">
        <v>2</v>
      </c>
      <c r="AR8616" t="s">
        <v>66</v>
      </c>
      <c r="AS8616" t="s">
        <v>67</v>
      </c>
      <c r="AT8616" t="s">
        <v>58</v>
      </c>
      <c r="AU8616" t="s">
        <v>68</v>
      </c>
      <c r="AV8616" t="s">
        <v>69</v>
      </c>
      <c r="AW8616" s="1">
        <v>26103</v>
      </c>
      <c r="AX8616">
        <v>1</v>
      </c>
    </row>
    <row r="8617" spans="1:50">
      <c r="A8617">
        <v>579707</v>
      </c>
      <c r="B8617" t="str">
        <f>"050287229"</f>
        <v>050287229</v>
      </c>
      <c r="C8617" t="s">
        <v>50</v>
      </c>
      <c r="D8617" t="s">
        <v>13229</v>
      </c>
      <c r="E8617" t="s">
        <v>83</v>
      </c>
      <c r="F8617" t="s">
        <v>72</v>
      </c>
      <c r="G8617" t="s">
        <v>52</v>
      </c>
      <c r="H8617" t="str">
        <f>" "</f>
        <v xml:space="preserve"> </v>
      </c>
      <c r="N8617" t="s">
        <v>615</v>
      </c>
      <c r="O8617" t="s">
        <v>616</v>
      </c>
      <c r="R8617" t="s">
        <v>57</v>
      </c>
      <c r="S8617">
        <v>11</v>
      </c>
      <c r="T8617">
        <v>165</v>
      </c>
      <c r="U8617" s="1">
        <v>35300</v>
      </c>
      <c r="V8617" t="s">
        <v>66</v>
      </c>
      <c r="W8617" t="s">
        <v>67</v>
      </c>
      <c r="X8617" t="s">
        <v>58</v>
      </c>
      <c r="Y8617">
        <v>21</v>
      </c>
      <c r="Z8617" t="s">
        <v>59</v>
      </c>
      <c r="AA8617" t="s">
        <v>59</v>
      </c>
      <c r="AB8617" t="s">
        <v>59</v>
      </c>
      <c r="AC8617" t="s">
        <v>59</v>
      </c>
      <c r="AD8617" t="s">
        <v>59</v>
      </c>
      <c r="AF8617" s="1">
        <v>35310</v>
      </c>
      <c r="AG8617" t="s">
        <v>8645</v>
      </c>
      <c r="AH8617" t="s">
        <v>8646</v>
      </c>
      <c r="AI8617" t="str">
        <f>"9410082"</f>
        <v>9410082</v>
      </c>
      <c r="AJ8617" t="s">
        <v>13195</v>
      </c>
      <c r="AK8617">
        <v>2831075013</v>
      </c>
      <c r="AL8617" t="s">
        <v>13196</v>
      </c>
      <c r="AM8617" t="s">
        <v>64</v>
      </c>
      <c r="AN8617" t="s">
        <v>65</v>
      </c>
      <c r="AO8617" t="s">
        <v>65</v>
      </c>
      <c r="AP8617" t="s">
        <v>12884</v>
      </c>
      <c r="AQ8617">
        <v>3</v>
      </c>
      <c r="AR8617" t="s">
        <v>66</v>
      </c>
      <c r="AS8617" t="s">
        <v>67</v>
      </c>
      <c r="AT8617" t="s">
        <v>58</v>
      </c>
      <c r="AU8617" t="s">
        <v>68</v>
      </c>
      <c r="AV8617" t="s">
        <v>69</v>
      </c>
      <c r="AW8617" s="1">
        <v>24979</v>
      </c>
      <c r="AX8617">
        <v>1</v>
      </c>
    </row>
    <row r="8618" spans="1:50">
      <c r="A8618">
        <v>606126</v>
      </c>
      <c r="B8618" t="str">
        <f>"079131821"</f>
        <v>079131821</v>
      </c>
      <c r="C8618" t="s">
        <v>50</v>
      </c>
      <c r="D8618" t="s">
        <v>13229</v>
      </c>
      <c r="E8618" t="s">
        <v>96</v>
      </c>
      <c r="F8618" t="s">
        <v>72</v>
      </c>
      <c r="G8618" t="s">
        <v>52</v>
      </c>
      <c r="H8618" t="str">
        <f>"ΕΛΕΥΘΕΡΝΑΣ 13 ΡΕΘΥΜΝΟ"</f>
        <v>ΕΛΕΥΘΕΡΝΑΣ 13 ΡΕΘΥΜΝΟ</v>
      </c>
      <c r="I8618">
        <v>74100</v>
      </c>
      <c r="J8618">
        <v>2831053679</v>
      </c>
      <c r="K8618">
        <v>6947684197</v>
      </c>
      <c r="L8618">
        <v>2831020832</v>
      </c>
      <c r="M8618" t="s">
        <v>13230</v>
      </c>
      <c r="N8618" t="s">
        <v>1525</v>
      </c>
      <c r="O8618" t="s">
        <v>1526</v>
      </c>
      <c r="R8618" t="s">
        <v>57</v>
      </c>
      <c r="S8618">
        <v>7</v>
      </c>
      <c r="T8618">
        <v>231</v>
      </c>
      <c r="U8618" s="1">
        <v>38230</v>
      </c>
      <c r="V8618" t="s">
        <v>66</v>
      </c>
      <c r="W8618" t="s">
        <v>67</v>
      </c>
      <c r="X8618" t="s">
        <v>58</v>
      </c>
      <c r="Y8618">
        <v>25</v>
      </c>
      <c r="Z8618" t="s">
        <v>59</v>
      </c>
      <c r="AA8618" t="s">
        <v>59</v>
      </c>
      <c r="AB8618" t="s">
        <v>59</v>
      </c>
      <c r="AC8618" t="s">
        <v>59</v>
      </c>
      <c r="AD8618" t="s">
        <v>59</v>
      </c>
      <c r="AF8618" s="1">
        <v>38231</v>
      </c>
      <c r="AG8618" t="s">
        <v>8651</v>
      </c>
      <c r="AH8618" t="s">
        <v>8652</v>
      </c>
      <c r="AI8618" t="str">
        <f>"9521303"</f>
        <v>9521303</v>
      </c>
      <c r="AJ8618" t="s">
        <v>13174</v>
      </c>
      <c r="AK8618">
        <v>2831072269</v>
      </c>
      <c r="AL8618" t="s">
        <v>13175</v>
      </c>
      <c r="AM8618" t="s">
        <v>64</v>
      </c>
      <c r="AN8618" t="s">
        <v>65</v>
      </c>
      <c r="AO8618" t="s">
        <v>65</v>
      </c>
      <c r="AP8618" t="s">
        <v>13176</v>
      </c>
      <c r="AQ8618">
        <v>3</v>
      </c>
      <c r="AR8618" t="s">
        <v>66</v>
      </c>
      <c r="AS8618" t="s">
        <v>67</v>
      </c>
      <c r="AT8618" t="s">
        <v>58</v>
      </c>
      <c r="AU8618" t="s">
        <v>68</v>
      </c>
      <c r="AV8618" t="s">
        <v>69</v>
      </c>
      <c r="AW8618" s="1">
        <v>25503</v>
      </c>
      <c r="AX8618">
        <v>1</v>
      </c>
    </row>
    <row r="8619" spans="1:50">
      <c r="B8619" t="str">
        <f>"127794020"</f>
        <v>127794020</v>
      </c>
      <c r="C8619" t="s">
        <v>50</v>
      </c>
      <c r="D8619" t="s">
        <v>13231</v>
      </c>
      <c r="E8619" t="s">
        <v>13232</v>
      </c>
      <c r="F8619" t="s">
        <v>154</v>
      </c>
      <c r="G8619" t="s">
        <v>1694</v>
      </c>
      <c r="H8619" t="str">
        <f>"ΑΣΤΥΔΑΜΑΝΤΟΣ 7-9 "</f>
        <v xml:space="preserve">ΑΣΤΥΔΑΜΑΝΤΟΣ 7-9 </v>
      </c>
      <c r="I8619">
        <v>11634</v>
      </c>
      <c r="J8619">
        <v>2831054089</v>
      </c>
      <c r="K8619">
        <v>6937987829</v>
      </c>
      <c r="N8619" t="s">
        <v>337</v>
      </c>
      <c r="O8619" t="s">
        <v>338</v>
      </c>
      <c r="R8619" t="s">
        <v>159</v>
      </c>
      <c r="S8619">
        <v>2</v>
      </c>
      <c r="T8619" t="s">
        <v>8675</v>
      </c>
      <c r="U8619" s="1">
        <v>43348</v>
      </c>
      <c r="V8619" t="s">
        <v>66</v>
      </c>
      <c r="W8619" t="s">
        <v>67</v>
      </c>
      <c r="X8619" t="s">
        <v>58</v>
      </c>
      <c r="Y8619">
        <v>24</v>
      </c>
      <c r="Z8619" t="s">
        <v>59</v>
      </c>
      <c r="AA8619" t="s">
        <v>59</v>
      </c>
      <c r="AB8619" t="s">
        <v>59</v>
      </c>
      <c r="AC8619" t="s">
        <v>59</v>
      </c>
      <c r="AD8619" t="s">
        <v>59</v>
      </c>
      <c r="AF8619" s="1">
        <v>43348</v>
      </c>
      <c r="AG8619" t="s">
        <v>8645</v>
      </c>
      <c r="AH8619" t="s">
        <v>8646</v>
      </c>
      <c r="AI8619" t="str">
        <f>"9410226"</f>
        <v>9410226</v>
      </c>
      <c r="AJ8619" t="s">
        <v>12702</v>
      </c>
      <c r="AK8619">
        <v>2831071088</v>
      </c>
      <c r="AL8619" t="s">
        <v>12703</v>
      </c>
      <c r="AM8619" t="s">
        <v>64</v>
      </c>
      <c r="AN8619" t="s">
        <v>65</v>
      </c>
      <c r="AO8619" t="s">
        <v>12694</v>
      </c>
      <c r="AP8619" t="s">
        <v>12704</v>
      </c>
      <c r="AQ8619">
        <v>3</v>
      </c>
      <c r="AR8619" t="s">
        <v>66</v>
      </c>
      <c r="AS8619" t="s">
        <v>67</v>
      </c>
      <c r="AT8619" t="s">
        <v>58</v>
      </c>
      <c r="AU8619" t="s">
        <v>8673</v>
      </c>
      <c r="AV8619" t="s">
        <v>132</v>
      </c>
      <c r="AW8619" s="1">
        <v>31006</v>
      </c>
      <c r="AX8619">
        <v>1</v>
      </c>
    </row>
    <row r="8620" spans="1:50">
      <c r="B8620" t="str">
        <f>"110317690"</f>
        <v>110317690</v>
      </c>
      <c r="C8620" t="s">
        <v>50</v>
      </c>
      <c r="D8620" t="s">
        <v>12287</v>
      </c>
      <c r="E8620" t="s">
        <v>143</v>
      </c>
      <c r="F8620" t="s">
        <v>84</v>
      </c>
      <c r="G8620" t="s">
        <v>610</v>
      </c>
      <c r="H8620" t="str">
        <f>"ΚΡΙΑΡΗ 97 ΡΕΘΥΜΝΟ"</f>
        <v>ΚΡΙΑΡΗ 97 ΡΕΘΥΜΝΟ</v>
      </c>
      <c r="I8620">
        <v>74100</v>
      </c>
      <c r="J8620">
        <v>2831500368</v>
      </c>
      <c r="K8620">
        <v>6947934029</v>
      </c>
      <c r="M8620" t="s">
        <v>13233</v>
      </c>
      <c r="N8620" t="s">
        <v>615</v>
      </c>
      <c r="O8620" t="s">
        <v>616</v>
      </c>
      <c r="R8620" t="s">
        <v>159</v>
      </c>
      <c r="S8620">
        <v>5</v>
      </c>
      <c r="T8620" t="s">
        <v>8675</v>
      </c>
      <c r="U8620" s="1">
        <v>43348</v>
      </c>
      <c r="V8620" t="s">
        <v>66</v>
      </c>
      <c r="W8620" t="s">
        <v>67</v>
      </c>
      <c r="X8620" t="s">
        <v>58</v>
      </c>
      <c r="Y8620">
        <v>24</v>
      </c>
      <c r="Z8620" t="s">
        <v>59</v>
      </c>
      <c r="AA8620" t="s">
        <v>59</v>
      </c>
      <c r="AB8620" t="s">
        <v>59</v>
      </c>
      <c r="AC8620" t="s">
        <v>59</v>
      </c>
      <c r="AD8620" t="s">
        <v>59</v>
      </c>
      <c r="AF8620" s="1">
        <v>43348</v>
      </c>
      <c r="AG8620" t="s">
        <v>8645</v>
      </c>
      <c r="AH8620" t="s">
        <v>8646</v>
      </c>
      <c r="AI8620" t="str">
        <f>"9410152"</f>
        <v>9410152</v>
      </c>
      <c r="AJ8620" t="s">
        <v>12686</v>
      </c>
      <c r="AK8620">
        <v>2831029088</v>
      </c>
      <c r="AL8620" t="s">
        <v>12687</v>
      </c>
      <c r="AM8620" t="s">
        <v>64</v>
      </c>
      <c r="AN8620" t="s">
        <v>65</v>
      </c>
      <c r="AO8620" t="s">
        <v>65</v>
      </c>
      <c r="AP8620" t="s">
        <v>65</v>
      </c>
      <c r="AQ8620">
        <v>1</v>
      </c>
      <c r="AR8620" t="s">
        <v>66</v>
      </c>
      <c r="AS8620" t="s">
        <v>67</v>
      </c>
      <c r="AT8620" t="s">
        <v>58</v>
      </c>
      <c r="AU8620" t="s">
        <v>8673</v>
      </c>
      <c r="AV8620" t="s">
        <v>132</v>
      </c>
      <c r="AW8620" s="1">
        <v>30379</v>
      </c>
      <c r="AX8620">
        <v>1</v>
      </c>
    </row>
    <row r="8621" spans="1:50">
      <c r="A8621">
        <v>569123</v>
      </c>
      <c r="B8621" t="str">
        <f>"065491784"</f>
        <v>065491784</v>
      </c>
      <c r="C8621" t="s">
        <v>50</v>
      </c>
      <c r="D8621" t="s">
        <v>13234</v>
      </c>
      <c r="E8621" t="s">
        <v>13235</v>
      </c>
      <c r="F8621" t="s">
        <v>72</v>
      </c>
      <c r="G8621" t="s">
        <v>2431</v>
      </c>
      <c r="H8621" t="str">
        <f>" "</f>
        <v xml:space="preserve"> </v>
      </c>
      <c r="N8621" t="s">
        <v>1525</v>
      </c>
      <c r="O8621" t="s">
        <v>1526</v>
      </c>
      <c r="R8621" t="s">
        <v>57</v>
      </c>
      <c r="S8621">
        <v>13</v>
      </c>
      <c r="T8621">
        <v>162</v>
      </c>
      <c r="U8621" s="1">
        <v>33844</v>
      </c>
      <c r="V8621" t="s">
        <v>66</v>
      </c>
      <c r="W8621" t="s">
        <v>67</v>
      </c>
      <c r="X8621" t="s">
        <v>58</v>
      </c>
      <c r="Y8621">
        <v>25</v>
      </c>
      <c r="Z8621" t="s">
        <v>59</v>
      </c>
      <c r="AA8621" t="s">
        <v>59</v>
      </c>
      <c r="AB8621" t="s">
        <v>59</v>
      </c>
      <c r="AC8621" t="s">
        <v>59</v>
      </c>
      <c r="AD8621" t="s">
        <v>59</v>
      </c>
      <c r="AF8621" s="1">
        <v>33848</v>
      </c>
      <c r="AG8621" t="s">
        <v>8651</v>
      </c>
      <c r="AH8621" t="s">
        <v>8652</v>
      </c>
      <c r="AI8621" t="str">
        <f>"9410153"</f>
        <v>9410153</v>
      </c>
      <c r="AJ8621" t="s">
        <v>12920</v>
      </c>
      <c r="AK8621">
        <v>2831022984</v>
      </c>
      <c r="AL8621" t="s">
        <v>12921</v>
      </c>
      <c r="AM8621" t="s">
        <v>64</v>
      </c>
      <c r="AN8621" t="s">
        <v>65</v>
      </c>
      <c r="AO8621" t="s">
        <v>65</v>
      </c>
      <c r="AP8621" t="s">
        <v>65</v>
      </c>
      <c r="AQ8621">
        <v>1</v>
      </c>
      <c r="AR8621" t="s">
        <v>66</v>
      </c>
      <c r="AS8621" t="s">
        <v>67</v>
      </c>
      <c r="AT8621" t="s">
        <v>58</v>
      </c>
      <c r="AU8621" t="s">
        <v>68</v>
      </c>
      <c r="AV8621" t="s">
        <v>69</v>
      </c>
      <c r="AW8621" s="1">
        <v>24043</v>
      </c>
      <c r="AX8621">
        <v>1</v>
      </c>
    </row>
    <row r="8622" spans="1:50">
      <c r="B8622" t="str">
        <f>"131451019"</f>
        <v>131451019</v>
      </c>
      <c r="C8622" t="s">
        <v>50</v>
      </c>
      <c r="D8622" t="s">
        <v>2170</v>
      </c>
      <c r="E8622" t="s">
        <v>109</v>
      </c>
      <c r="F8622" t="s">
        <v>99</v>
      </c>
      <c r="G8622" t="s">
        <v>52</v>
      </c>
      <c r="H8622" t="str">
        <f>"ΣΤΑΜΑΘΙΟΥΔΑΚΗ 42 ΡΕΘΥΜΝΟ"</f>
        <v>ΣΤΑΜΑΘΙΟΥΔΑΚΗ 42 ΡΕΘΥΜΝΟ</v>
      </c>
      <c r="I8622">
        <v>74100</v>
      </c>
      <c r="J8622">
        <v>2831058442</v>
      </c>
      <c r="K8622">
        <v>6932255226</v>
      </c>
      <c r="M8622" t="s">
        <v>13236</v>
      </c>
      <c r="N8622" t="s">
        <v>204</v>
      </c>
      <c r="O8622" t="s">
        <v>205</v>
      </c>
      <c r="R8622" t="s">
        <v>159</v>
      </c>
      <c r="S8622">
        <v>3</v>
      </c>
      <c r="T8622" t="s">
        <v>8675</v>
      </c>
      <c r="U8622" s="1">
        <v>43348</v>
      </c>
      <c r="V8622" t="s">
        <v>66</v>
      </c>
      <c r="W8622" t="s">
        <v>67</v>
      </c>
      <c r="X8622" t="s">
        <v>58</v>
      </c>
      <c r="Y8622">
        <v>24</v>
      </c>
      <c r="Z8622" t="s">
        <v>59</v>
      </c>
      <c r="AA8622" t="s">
        <v>59</v>
      </c>
      <c r="AB8622" t="s">
        <v>59</v>
      </c>
      <c r="AC8622" t="s">
        <v>59</v>
      </c>
      <c r="AD8622" t="s">
        <v>59</v>
      </c>
      <c r="AF8622" s="1">
        <v>43348</v>
      </c>
      <c r="AG8622" t="s">
        <v>8645</v>
      </c>
      <c r="AH8622" t="s">
        <v>8646</v>
      </c>
      <c r="AI8622" t="str">
        <f>"9410241"</f>
        <v>9410241</v>
      </c>
      <c r="AJ8622" t="s">
        <v>12783</v>
      </c>
      <c r="AK8622">
        <v>2831022616</v>
      </c>
      <c r="AL8622" t="s">
        <v>12784</v>
      </c>
      <c r="AM8622" t="s">
        <v>64</v>
      </c>
      <c r="AN8622" t="s">
        <v>65</v>
      </c>
      <c r="AO8622" t="s">
        <v>65</v>
      </c>
      <c r="AP8622" t="s">
        <v>65</v>
      </c>
      <c r="AQ8622">
        <v>1</v>
      </c>
      <c r="AR8622" t="s">
        <v>66</v>
      </c>
      <c r="AS8622" t="s">
        <v>67</v>
      </c>
      <c r="AT8622" t="s">
        <v>58</v>
      </c>
      <c r="AU8622" t="s">
        <v>8673</v>
      </c>
      <c r="AV8622" t="s">
        <v>132</v>
      </c>
      <c r="AW8622" s="1">
        <v>29346</v>
      </c>
      <c r="AX8622">
        <v>1</v>
      </c>
    </row>
    <row r="8623" spans="1:50">
      <c r="A8623">
        <v>607353</v>
      </c>
      <c r="B8623" t="str">
        <f>"100070158"</f>
        <v>100070158</v>
      </c>
      <c r="C8623" t="s">
        <v>50</v>
      </c>
      <c r="D8623" t="s">
        <v>2170</v>
      </c>
      <c r="E8623" t="s">
        <v>52</v>
      </c>
      <c r="F8623" t="s">
        <v>111</v>
      </c>
      <c r="G8623" t="s">
        <v>52</v>
      </c>
      <c r="H8623" t="str">
        <f>" "</f>
        <v xml:space="preserve"> </v>
      </c>
      <c r="J8623">
        <v>2831026834</v>
      </c>
      <c r="K8623">
        <v>6942929425</v>
      </c>
      <c r="N8623" t="s">
        <v>615</v>
      </c>
      <c r="O8623" t="s">
        <v>616</v>
      </c>
      <c r="R8623" t="s">
        <v>57</v>
      </c>
      <c r="S8623">
        <v>7</v>
      </c>
      <c r="T8623">
        <v>217</v>
      </c>
      <c r="U8623" s="1">
        <v>38596</v>
      </c>
      <c r="V8623" t="s">
        <v>66</v>
      </c>
      <c r="W8623" t="s">
        <v>67</v>
      </c>
      <c r="X8623" t="s">
        <v>58</v>
      </c>
      <c r="Y8623">
        <v>23</v>
      </c>
      <c r="Z8623" t="s">
        <v>59</v>
      </c>
      <c r="AA8623" t="s">
        <v>59</v>
      </c>
      <c r="AB8623" t="s">
        <v>59</v>
      </c>
      <c r="AC8623" t="s">
        <v>59</v>
      </c>
      <c r="AD8623" t="s">
        <v>59</v>
      </c>
      <c r="AF8623" s="1">
        <v>38600</v>
      </c>
      <c r="AG8623" t="s">
        <v>8645</v>
      </c>
      <c r="AH8623" t="s">
        <v>8646</v>
      </c>
      <c r="AI8623" t="str">
        <f>"9410152"</f>
        <v>9410152</v>
      </c>
      <c r="AJ8623" t="s">
        <v>12686</v>
      </c>
      <c r="AK8623">
        <v>2831029088</v>
      </c>
      <c r="AL8623" t="s">
        <v>12687</v>
      </c>
      <c r="AM8623" t="s">
        <v>64</v>
      </c>
      <c r="AN8623" t="s">
        <v>65</v>
      </c>
      <c r="AO8623" t="s">
        <v>65</v>
      </c>
      <c r="AP8623" t="s">
        <v>65</v>
      </c>
      <c r="AQ8623">
        <v>1</v>
      </c>
      <c r="AR8623" t="s">
        <v>66</v>
      </c>
      <c r="AS8623" t="s">
        <v>67</v>
      </c>
      <c r="AT8623" t="s">
        <v>58</v>
      </c>
      <c r="AU8623" t="s">
        <v>68</v>
      </c>
      <c r="AV8623" t="s">
        <v>69</v>
      </c>
      <c r="AW8623" s="1">
        <v>29799</v>
      </c>
      <c r="AX8623">
        <v>1</v>
      </c>
    </row>
    <row r="8624" spans="1:50">
      <c r="B8624" t="str">
        <f>"158300567"</f>
        <v>158300567</v>
      </c>
      <c r="C8624" t="s">
        <v>50</v>
      </c>
      <c r="D8624" t="s">
        <v>13237</v>
      </c>
      <c r="E8624" t="s">
        <v>1553</v>
      </c>
      <c r="F8624" t="s">
        <v>84</v>
      </c>
      <c r="G8624" t="s">
        <v>188</v>
      </c>
      <c r="H8624" t="str">
        <f>" "</f>
        <v xml:space="preserve"> </v>
      </c>
      <c r="N8624" t="s">
        <v>8834</v>
      </c>
      <c r="O8624" t="s">
        <v>8695</v>
      </c>
      <c r="R8624" t="s">
        <v>121</v>
      </c>
      <c r="S8624">
        <v>3</v>
      </c>
      <c r="T8624" t="s">
        <v>8835</v>
      </c>
      <c r="U8624" s="1">
        <v>43348</v>
      </c>
      <c r="V8624" t="s">
        <v>66</v>
      </c>
      <c r="W8624" t="s">
        <v>67</v>
      </c>
      <c r="X8624" t="s">
        <v>58</v>
      </c>
      <c r="Y8624">
        <v>24</v>
      </c>
      <c r="Z8624" t="s">
        <v>59</v>
      </c>
      <c r="AA8624" t="s">
        <v>59</v>
      </c>
      <c r="AB8624" t="s">
        <v>59</v>
      </c>
      <c r="AC8624" t="s">
        <v>59</v>
      </c>
      <c r="AD8624" t="s">
        <v>59</v>
      </c>
      <c r="AF8624" s="1">
        <v>43348</v>
      </c>
      <c r="AG8624" t="s">
        <v>8645</v>
      </c>
      <c r="AH8624" t="s">
        <v>8646</v>
      </c>
      <c r="AI8624" t="str">
        <f>"9410257"</f>
        <v>9410257</v>
      </c>
      <c r="AJ8624" t="s">
        <v>12828</v>
      </c>
      <c r="AK8624">
        <v>2831056242</v>
      </c>
      <c r="AL8624" t="s">
        <v>12829</v>
      </c>
      <c r="AM8624" t="s">
        <v>64</v>
      </c>
      <c r="AN8624" t="s">
        <v>65</v>
      </c>
      <c r="AO8624" t="s">
        <v>65</v>
      </c>
      <c r="AP8624" t="s">
        <v>65</v>
      </c>
      <c r="AQ8624">
        <v>1</v>
      </c>
      <c r="AR8624" t="s">
        <v>66</v>
      </c>
      <c r="AS8624" t="s">
        <v>67</v>
      </c>
      <c r="AT8624" t="s">
        <v>58</v>
      </c>
      <c r="AU8624" t="s">
        <v>131</v>
      </c>
      <c r="AV8624" t="s">
        <v>132</v>
      </c>
      <c r="AW8624" s="1">
        <v>33490</v>
      </c>
      <c r="AX8624">
        <v>1</v>
      </c>
    </row>
    <row r="8625" spans="1:50">
      <c r="A8625">
        <v>617262</v>
      </c>
      <c r="B8625" t="str">
        <f>"121430888"</f>
        <v>121430888</v>
      </c>
      <c r="C8625" t="s">
        <v>50</v>
      </c>
      <c r="D8625" t="s">
        <v>13238</v>
      </c>
      <c r="E8625" t="s">
        <v>2314</v>
      </c>
      <c r="F8625" t="s">
        <v>72</v>
      </c>
      <c r="G8625" t="s">
        <v>181</v>
      </c>
      <c r="H8625" t="str">
        <f>" "</f>
        <v xml:space="preserve"> </v>
      </c>
      <c r="J8625">
        <v>2382025516</v>
      </c>
      <c r="K8625">
        <v>6977447424</v>
      </c>
      <c r="N8625" t="s">
        <v>615</v>
      </c>
      <c r="O8625" t="s">
        <v>616</v>
      </c>
      <c r="R8625" t="s">
        <v>57</v>
      </c>
      <c r="S8625">
        <v>6</v>
      </c>
      <c r="T8625">
        <v>774</v>
      </c>
      <c r="U8625" s="1">
        <v>39680</v>
      </c>
      <c r="V8625" t="s">
        <v>66</v>
      </c>
      <c r="W8625" t="s">
        <v>67</v>
      </c>
      <c r="X8625" t="s">
        <v>58</v>
      </c>
      <c r="Y8625">
        <v>23</v>
      </c>
      <c r="Z8625" t="s">
        <v>59</v>
      </c>
      <c r="AA8625" t="s">
        <v>59</v>
      </c>
      <c r="AB8625" t="s">
        <v>59</v>
      </c>
      <c r="AC8625" t="s">
        <v>59</v>
      </c>
      <c r="AD8625" t="s">
        <v>59</v>
      </c>
      <c r="AF8625" s="1">
        <v>39681</v>
      </c>
      <c r="AG8625" t="s">
        <v>8645</v>
      </c>
      <c r="AH8625" t="s">
        <v>8646</v>
      </c>
      <c r="AI8625" t="str">
        <f>"9410072"</f>
        <v>9410072</v>
      </c>
      <c r="AJ8625" t="s">
        <v>12692</v>
      </c>
      <c r="AK8625">
        <v>2831071264</v>
      </c>
      <c r="AL8625" t="s">
        <v>12693</v>
      </c>
      <c r="AM8625" t="s">
        <v>64</v>
      </c>
      <c r="AN8625" t="s">
        <v>65</v>
      </c>
      <c r="AO8625" t="s">
        <v>12694</v>
      </c>
      <c r="AP8625" t="s">
        <v>12695</v>
      </c>
      <c r="AQ8625">
        <v>3</v>
      </c>
      <c r="AR8625" t="s">
        <v>66</v>
      </c>
      <c r="AS8625" t="s">
        <v>67</v>
      </c>
      <c r="AT8625" t="s">
        <v>58</v>
      </c>
      <c r="AU8625" t="s">
        <v>68</v>
      </c>
      <c r="AV8625" t="s">
        <v>69</v>
      </c>
      <c r="AW8625" s="1">
        <v>30607</v>
      </c>
      <c r="AX8625">
        <v>1</v>
      </c>
    </row>
    <row r="8626" spans="1:50">
      <c r="A8626">
        <v>623014</v>
      </c>
      <c r="B8626" t="str">
        <f>"066063880"</f>
        <v>066063880</v>
      </c>
      <c r="C8626" t="s">
        <v>50</v>
      </c>
      <c r="D8626" t="s">
        <v>13239</v>
      </c>
      <c r="E8626" t="s">
        <v>1204</v>
      </c>
      <c r="F8626" t="s">
        <v>459</v>
      </c>
      <c r="G8626" t="s">
        <v>372</v>
      </c>
      <c r="H8626" t="str">
        <f>"ΣΤΑΜΑΘΙΟΥΔΑΚΗ 29 ΡΕΘΥΜΝΟ"</f>
        <v>ΣΤΑΜΑΘΙΟΥΔΑΚΗ 29 ΡΕΘΥΜΝΟ</v>
      </c>
      <c r="I8626">
        <v>74100</v>
      </c>
      <c r="J8626">
        <v>2831035429</v>
      </c>
      <c r="K8626">
        <v>6979447694</v>
      </c>
      <c r="M8626" t="s">
        <v>13240</v>
      </c>
      <c r="N8626" t="s">
        <v>306</v>
      </c>
      <c r="O8626" t="s">
        <v>307</v>
      </c>
      <c r="R8626" t="s">
        <v>57</v>
      </c>
      <c r="S8626">
        <v>6</v>
      </c>
      <c r="T8626">
        <v>720</v>
      </c>
      <c r="U8626" s="1">
        <v>40059</v>
      </c>
      <c r="V8626" t="s">
        <v>66</v>
      </c>
      <c r="W8626" t="s">
        <v>67</v>
      </c>
      <c r="X8626" t="s">
        <v>58</v>
      </c>
      <c r="Y8626">
        <v>24</v>
      </c>
      <c r="Z8626" t="s">
        <v>59</v>
      </c>
      <c r="AA8626" t="s">
        <v>59</v>
      </c>
      <c r="AB8626" t="s">
        <v>59</v>
      </c>
      <c r="AC8626" t="s">
        <v>59</v>
      </c>
      <c r="AD8626" t="s">
        <v>59</v>
      </c>
      <c r="AF8626" s="1">
        <v>40063</v>
      </c>
      <c r="AG8626" t="s">
        <v>8645</v>
      </c>
      <c r="AH8626" t="s">
        <v>8646</v>
      </c>
      <c r="AI8626" t="str">
        <f>"9410155"</f>
        <v>9410155</v>
      </c>
      <c r="AJ8626" t="s">
        <v>12663</v>
      </c>
      <c r="AK8626">
        <v>2831028697</v>
      </c>
      <c r="AL8626" t="s">
        <v>12664</v>
      </c>
      <c r="AM8626" t="s">
        <v>64</v>
      </c>
      <c r="AN8626" t="s">
        <v>65</v>
      </c>
      <c r="AO8626" t="s">
        <v>65</v>
      </c>
      <c r="AP8626" t="s">
        <v>65</v>
      </c>
      <c r="AQ8626">
        <v>1</v>
      </c>
      <c r="AR8626" t="s">
        <v>66</v>
      </c>
      <c r="AS8626" t="s">
        <v>67</v>
      </c>
      <c r="AT8626" t="s">
        <v>58</v>
      </c>
      <c r="AU8626" t="s">
        <v>68</v>
      </c>
      <c r="AV8626" t="s">
        <v>69</v>
      </c>
      <c r="AW8626" s="1">
        <v>30969</v>
      </c>
      <c r="AX8626">
        <v>1</v>
      </c>
    </row>
    <row r="8627" spans="1:50">
      <c r="B8627" t="str">
        <f>"100281576"</f>
        <v>100281576</v>
      </c>
      <c r="C8627" t="s">
        <v>50</v>
      </c>
      <c r="D8627" t="s">
        <v>13239</v>
      </c>
      <c r="E8627" t="s">
        <v>52</v>
      </c>
      <c r="F8627" t="s">
        <v>99</v>
      </c>
      <c r="G8627" t="s">
        <v>83</v>
      </c>
      <c r="H8627" t="str">
        <f>" "</f>
        <v xml:space="preserve"> </v>
      </c>
      <c r="N8627" t="s">
        <v>9829</v>
      </c>
      <c r="O8627" t="s">
        <v>9830</v>
      </c>
      <c r="R8627" t="s">
        <v>159</v>
      </c>
      <c r="S8627">
        <v>4</v>
      </c>
      <c r="T8627" t="s">
        <v>8696</v>
      </c>
      <c r="U8627" s="1">
        <v>43348</v>
      </c>
      <c r="V8627" t="s">
        <v>66</v>
      </c>
      <c r="W8627" t="s">
        <v>67</v>
      </c>
      <c r="X8627" t="s">
        <v>58</v>
      </c>
      <c r="Y8627">
        <v>25</v>
      </c>
      <c r="Z8627" t="s">
        <v>59</v>
      </c>
      <c r="AA8627" t="s">
        <v>59</v>
      </c>
      <c r="AB8627" t="s">
        <v>59</v>
      </c>
      <c r="AC8627" t="s">
        <v>59</v>
      </c>
      <c r="AD8627" t="s">
        <v>59</v>
      </c>
      <c r="AF8627" s="1">
        <v>43348</v>
      </c>
      <c r="AG8627" t="s">
        <v>8651</v>
      </c>
      <c r="AH8627" t="s">
        <v>9015</v>
      </c>
      <c r="AI8627" t="str">
        <f>"9410270"</f>
        <v>9410270</v>
      </c>
      <c r="AJ8627" t="s">
        <v>13241</v>
      </c>
      <c r="AK8627">
        <v>2831057767</v>
      </c>
      <c r="AL8627" t="s">
        <v>13242</v>
      </c>
      <c r="AM8627" t="s">
        <v>64</v>
      </c>
      <c r="AN8627" t="s">
        <v>65</v>
      </c>
      <c r="AO8627" t="s">
        <v>65</v>
      </c>
      <c r="AP8627" t="s">
        <v>65</v>
      </c>
      <c r="AQ8627">
        <v>1</v>
      </c>
      <c r="AR8627" t="s">
        <v>66</v>
      </c>
      <c r="AS8627" t="s">
        <v>67</v>
      </c>
      <c r="AT8627" t="s">
        <v>58</v>
      </c>
      <c r="AU8627" t="s">
        <v>350</v>
      </c>
      <c r="AV8627" t="s">
        <v>132</v>
      </c>
      <c r="AW8627" s="1">
        <v>32004</v>
      </c>
      <c r="AX8627">
        <v>1</v>
      </c>
    </row>
    <row r="8628" spans="1:50">
      <c r="A8628">
        <v>595023</v>
      </c>
      <c r="B8628" t="str">
        <f>"050516589"</f>
        <v>050516589</v>
      </c>
      <c r="C8628" t="s">
        <v>50</v>
      </c>
      <c r="D8628" t="s">
        <v>6111</v>
      </c>
      <c r="E8628" t="s">
        <v>52</v>
      </c>
      <c r="F8628" t="s">
        <v>5386</v>
      </c>
      <c r="G8628" t="s">
        <v>783</v>
      </c>
      <c r="H8628" t="str">
        <f>"ΒΑΡΔΙΝΟΓΙΑΝΝΗ 23 ΡΕΘΥΜΝΟ"</f>
        <v>ΒΑΡΔΙΝΟΓΙΑΝΝΗ 23 ΡΕΘΥΜΝΟ</v>
      </c>
      <c r="I8628">
        <v>74100</v>
      </c>
      <c r="J8628">
        <v>2831027664</v>
      </c>
      <c r="K8628">
        <v>6972446526</v>
      </c>
      <c r="N8628" t="s">
        <v>615</v>
      </c>
      <c r="O8628" t="s">
        <v>616</v>
      </c>
      <c r="R8628" t="s">
        <v>57</v>
      </c>
      <c r="S8628">
        <v>11</v>
      </c>
      <c r="T8628">
        <v>218</v>
      </c>
      <c r="U8628" s="1">
        <v>37134</v>
      </c>
      <c r="V8628" t="s">
        <v>66</v>
      </c>
      <c r="W8628" t="s">
        <v>67</v>
      </c>
      <c r="X8628" t="s">
        <v>58</v>
      </c>
      <c r="Y8628">
        <v>22</v>
      </c>
      <c r="Z8628" t="s">
        <v>59</v>
      </c>
      <c r="AA8628" t="s">
        <v>59</v>
      </c>
      <c r="AB8628" t="s">
        <v>59</v>
      </c>
      <c r="AC8628" t="s">
        <v>59</v>
      </c>
      <c r="AD8628" t="s">
        <v>59</v>
      </c>
      <c r="AF8628" s="1">
        <v>37138</v>
      </c>
      <c r="AG8628" t="s">
        <v>8645</v>
      </c>
      <c r="AH8628" t="s">
        <v>8646</v>
      </c>
      <c r="AI8628" t="str">
        <f>"9410152"</f>
        <v>9410152</v>
      </c>
      <c r="AJ8628" t="s">
        <v>12686</v>
      </c>
      <c r="AK8628">
        <v>2831029088</v>
      </c>
      <c r="AL8628" t="s">
        <v>12687</v>
      </c>
      <c r="AM8628" t="s">
        <v>64</v>
      </c>
      <c r="AN8628" t="s">
        <v>65</v>
      </c>
      <c r="AO8628" t="s">
        <v>65</v>
      </c>
      <c r="AP8628" t="s">
        <v>65</v>
      </c>
      <c r="AQ8628">
        <v>1</v>
      </c>
      <c r="AR8628" t="s">
        <v>66</v>
      </c>
      <c r="AS8628" t="s">
        <v>67</v>
      </c>
      <c r="AT8628" t="s">
        <v>58</v>
      </c>
      <c r="AU8628" t="s">
        <v>68</v>
      </c>
      <c r="AV8628" t="s">
        <v>69</v>
      </c>
      <c r="AW8628" s="1">
        <v>26293</v>
      </c>
      <c r="AX8628">
        <v>1</v>
      </c>
    </row>
    <row r="8629" spans="1:50">
      <c r="A8629">
        <v>618518</v>
      </c>
      <c r="B8629" t="str">
        <f>"128321171"</f>
        <v>128321171</v>
      </c>
      <c r="C8629" t="s">
        <v>50</v>
      </c>
      <c r="D8629" t="s">
        <v>2210</v>
      </c>
      <c r="E8629" t="s">
        <v>263</v>
      </c>
      <c r="F8629" t="s">
        <v>154</v>
      </c>
      <c r="G8629" t="s">
        <v>83</v>
      </c>
      <c r="H8629" t="str">
        <f>"ΒΑΒΟΥΡΑΚΗΔΩΝ   15 ΡΕΘΥΜΝΟ"</f>
        <v>ΒΑΒΟΥΡΑΚΗΔΩΝ   15 ΡΕΘΥΜΝΟ</v>
      </c>
      <c r="I8629">
        <v>74100</v>
      </c>
      <c r="J8629">
        <v>2831030684</v>
      </c>
      <c r="K8629">
        <v>6944807174</v>
      </c>
      <c r="L8629">
        <v>2810721795</v>
      </c>
      <c r="N8629" t="s">
        <v>615</v>
      </c>
      <c r="O8629" t="s">
        <v>616</v>
      </c>
      <c r="R8629" t="s">
        <v>57</v>
      </c>
      <c r="S8629">
        <v>5</v>
      </c>
      <c r="T8629">
        <v>774</v>
      </c>
      <c r="U8629" s="1">
        <v>39680</v>
      </c>
      <c r="V8629" t="s">
        <v>66</v>
      </c>
      <c r="W8629" t="s">
        <v>67</v>
      </c>
      <c r="X8629" t="s">
        <v>58</v>
      </c>
      <c r="Y8629">
        <v>23</v>
      </c>
      <c r="Z8629" t="s">
        <v>59</v>
      </c>
      <c r="AA8629" t="s">
        <v>59</v>
      </c>
      <c r="AB8629" t="s">
        <v>59</v>
      </c>
      <c r="AC8629" t="s">
        <v>59</v>
      </c>
      <c r="AD8629" t="s">
        <v>59</v>
      </c>
      <c r="AF8629" s="1">
        <v>39681</v>
      </c>
      <c r="AG8629" t="s">
        <v>8645</v>
      </c>
      <c r="AH8629" t="s">
        <v>8646</v>
      </c>
      <c r="AI8629" t="str">
        <f>"9410160"</f>
        <v>9410160</v>
      </c>
      <c r="AJ8629" t="s">
        <v>12689</v>
      </c>
      <c r="AK8629">
        <v>2831041098</v>
      </c>
      <c r="AL8629" t="s">
        <v>12690</v>
      </c>
      <c r="AM8629" t="s">
        <v>64</v>
      </c>
      <c r="AN8629" t="s">
        <v>65</v>
      </c>
      <c r="AO8629" t="s">
        <v>65</v>
      </c>
      <c r="AP8629" t="s">
        <v>11883</v>
      </c>
      <c r="AQ8629">
        <v>2</v>
      </c>
      <c r="AR8629" t="s">
        <v>66</v>
      </c>
      <c r="AS8629" t="s">
        <v>67</v>
      </c>
      <c r="AT8629" t="s">
        <v>58</v>
      </c>
      <c r="AU8629" t="s">
        <v>68</v>
      </c>
      <c r="AV8629" t="s">
        <v>69</v>
      </c>
      <c r="AW8629" s="1">
        <v>30821</v>
      </c>
      <c r="AX8629">
        <v>1</v>
      </c>
    </row>
    <row r="8630" spans="1:50">
      <c r="A8630">
        <v>566998</v>
      </c>
      <c r="B8630" t="str">
        <f>"036360015"</f>
        <v>036360015</v>
      </c>
      <c r="C8630" t="s">
        <v>105</v>
      </c>
      <c r="D8630" t="s">
        <v>2212</v>
      </c>
      <c r="E8630" t="s">
        <v>154</v>
      </c>
      <c r="F8630" t="s">
        <v>72</v>
      </c>
      <c r="G8630" t="s">
        <v>52</v>
      </c>
      <c r="H8630" t="str">
        <f>"Τ.Θ.: 4-519 ΑΤΣΙΠΟΠΟΥΛΟ"</f>
        <v>Τ.Θ.: 4-519 ΑΤΣΙΠΟΠΟΥΛΟ</v>
      </c>
      <c r="I8630">
        <v>74100</v>
      </c>
      <c r="J8630">
        <v>2831032562</v>
      </c>
      <c r="K8630">
        <v>6973383759</v>
      </c>
      <c r="M8630" t="s">
        <v>13243</v>
      </c>
      <c r="N8630" t="s">
        <v>615</v>
      </c>
      <c r="O8630" t="s">
        <v>616</v>
      </c>
      <c r="R8630" t="s">
        <v>57</v>
      </c>
      <c r="S8630">
        <v>14</v>
      </c>
      <c r="T8630">
        <v>133</v>
      </c>
      <c r="U8630" s="1">
        <v>33456</v>
      </c>
      <c r="V8630" t="s">
        <v>66</v>
      </c>
      <c r="W8630" t="s">
        <v>67</v>
      </c>
      <c r="X8630" t="s">
        <v>58</v>
      </c>
      <c r="Y8630">
        <v>21</v>
      </c>
      <c r="Z8630" t="s">
        <v>59</v>
      </c>
      <c r="AA8630" t="s">
        <v>59</v>
      </c>
      <c r="AB8630" t="s">
        <v>59</v>
      </c>
      <c r="AC8630" t="s">
        <v>59</v>
      </c>
      <c r="AD8630" t="s">
        <v>59</v>
      </c>
      <c r="AF8630" s="1">
        <v>33483</v>
      </c>
      <c r="AG8630" t="s">
        <v>8645</v>
      </c>
      <c r="AH8630" t="s">
        <v>8646</v>
      </c>
      <c r="AI8630" t="str">
        <f>"9410155"</f>
        <v>9410155</v>
      </c>
      <c r="AJ8630" t="s">
        <v>12663</v>
      </c>
      <c r="AK8630">
        <v>2831028697</v>
      </c>
      <c r="AL8630" t="s">
        <v>12664</v>
      </c>
      <c r="AM8630" t="s">
        <v>64</v>
      </c>
      <c r="AN8630" t="s">
        <v>65</v>
      </c>
      <c r="AO8630" t="s">
        <v>65</v>
      </c>
      <c r="AP8630" t="s">
        <v>65</v>
      </c>
      <c r="AQ8630">
        <v>1</v>
      </c>
      <c r="AR8630" t="s">
        <v>66</v>
      </c>
      <c r="AS8630" t="s">
        <v>67</v>
      </c>
      <c r="AT8630" t="s">
        <v>58</v>
      </c>
      <c r="AU8630" t="s">
        <v>68</v>
      </c>
      <c r="AV8630" t="s">
        <v>69</v>
      </c>
      <c r="AW8630" s="1">
        <v>23506</v>
      </c>
      <c r="AX8630">
        <v>1</v>
      </c>
    </row>
    <row r="8631" spans="1:50">
      <c r="A8631">
        <v>560594</v>
      </c>
      <c r="B8631" t="str">
        <f>"035683248"</f>
        <v>035683248</v>
      </c>
      <c r="C8631" t="s">
        <v>105</v>
      </c>
      <c r="D8631" t="s">
        <v>2214</v>
      </c>
      <c r="E8631" t="s">
        <v>53</v>
      </c>
      <c r="F8631" t="s">
        <v>1357</v>
      </c>
      <c r="G8631" t="s">
        <v>1927</v>
      </c>
      <c r="H8631" t="str">
        <f>"Μελισσινού 74 ΡΕΘΥΜΝΟ"</f>
        <v>Μελισσινού 74 ΡΕΘΥΜΝΟ</v>
      </c>
      <c r="I8631">
        <v>74100</v>
      </c>
      <c r="K8631">
        <v>6979092727</v>
      </c>
      <c r="M8631" t="s">
        <v>13244</v>
      </c>
      <c r="N8631" t="s">
        <v>615</v>
      </c>
      <c r="O8631" t="s">
        <v>616</v>
      </c>
      <c r="R8631" t="s">
        <v>57</v>
      </c>
      <c r="S8631">
        <v>17</v>
      </c>
      <c r="T8631">
        <v>159</v>
      </c>
      <c r="U8631" s="1">
        <v>32385</v>
      </c>
      <c r="V8631" t="s">
        <v>66</v>
      </c>
      <c r="W8631" t="s">
        <v>67</v>
      </c>
      <c r="X8631" t="s">
        <v>58</v>
      </c>
      <c r="Y8631">
        <v>21</v>
      </c>
      <c r="Z8631" t="s">
        <v>59</v>
      </c>
      <c r="AA8631" t="s">
        <v>59</v>
      </c>
      <c r="AB8631" t="s">
        <v>59</v>
      </c>
      <c r="AC8631" t="s">
        <v>59</v>
      </c>
      <c r="AD8631" t="s">
        <v>59</v>
      </c>
      <c r="AF8631" s="1">
        <v>32388</v>
      </c>
      <c r="AG8631" t="s">
        <v>8645</v>
      </c>
      <c r="AH8631" t="s">
        <v>8646</v>
      </c>
      <c r="AI8631" t="str">
        <f>"9410070"</f>
        <v>9410070</v>
      </c>
      <c r="AJ8631" t="s">
        <v>12757</v>
      </c>
      <c r="AK8631">
        <v>2831028583</v>
      </c>
      <c r="AL8631" t="s">
        <v>12758</v>
      </c>
      <c r="AM8631" t="s">
        <v>64</v>
      </c>
      <c r="AN8631" t="s">
        <v>65</v>
      </c>
      <c r="AO8631" t="s">
        <v>65</v>
      </c>
      <c r="AP8631" t="s">
        <v>65</v>
      </c>
      <c r="AQ8631">
        <v>1</v>
      </c>
      <c r="AR8631" t="s">
        <v>66</v>
      </c>
      <c r="AS8631" t="s">
        <v>67</v>
      </c>
      <c r="AT8631" t="s">
        <v>58</v>
      </c>
      <c r="AU8631" t="s">
        <v>68</v>
      </c>
      <c r="AV8631" t="s">
        <v>69</v>
      </c>
      <c r="AW8631" s="1">
        <v>23187</v>
      </c>
      <c r="AX8631">
        <v>1</v>
      </c>
    </row>
    <row r="8632" spans="1:50">
      <c r="A8632">
        <v>704117</v>
      </c>
      <c r="B8632" t="str">
        <f>"101588781"</f>
        <v>101588781</v>
      </c>
      <c r="C8632" t="s">
        <v>105</v>
      </c>
      <c r="D8632" t="s">
        <v>13245</v>
      </c>
      <c r="E8632" t="s">
        <v>7149</v>
      </c>
      <c r="F8632" t="s">
        <v>53</v>
      </c>
      <c r="G8632" t="s">
        <v>109</v>
      </c>
      <c r="H8632" t="str">
        <f>"ΓΚΑΛΗ 32 ΧΑΝΙΑ"</f>
        <v>ΓΚΑΛΗ 32 ΧΑΝΙΑ</v>
      </c>
      <c r="I8632">
        <v>73100</v>
      </c>
      <c r="J8632">
        <v>2821053588</v>
      </c>
      <c r="K8632">
        <v>6945793224</v>
      </c>
      <c r="N8632" t="s">
        <v>176</v>
      </c>
      <c r="O8632" t="s">
        <v>177</v>
      </c>
      <c r="R8632" t="s">
        <v>57</v>
      </c>
      <c r="S8632">
        <v>1</v>
      </c>
      <c r="T8632">
        <v>1350</v>
      </c>
      <c r="U8632" s="1">
        <v>42732</v>
      </c>
      <c r="V8632" t="s">
        <v>66</v>
      </c>
      <c r="W8632" t="s">
        <v>67</v>
      </c>
      <c r="X8632" t="s">
        <v>58</v>
      </c>
      <c r="Y8632">
        <v>24</v>
      </c>
      <c r="Z8632" t="s">
        <v>59</v>
      </c>
      <c r="AA8632" t="s">
        <v>59</v>
      </c>
      <c r="AB8632" t="s">
        <v>452</v>
      </c>
      <c r="AC8632" t="s">
        <v>59</v>
      </c>
      <c r="AD8632" t="s">
        <v>59</v>
      </c>
      <c r="AF8632" s="1">
        <v>42734</v>
      </c>
      <c r="AG8632" t="s">
        <v>8645</v>
      </c>
      <c r="AH8632" t="s">
        <v>8676</v>
      </c>
      <c r="AI8632" t="str">
        <f>"9410041"</f>
        <v>9410041</v>
      </c>
      <c r="AJ8632" t="s">
        <v>12801</v>
      </c>
      <c r="AK8632">
        <v>2834092258</v>
      </c>
      <c r="AL8632" t="s">
        <v>12802</v>
      </c>
      <c r="AM8632" t="s">
        <v>64</v>
      </c>
      <c r="AN8632" t="s">
        <v>5672</v>
      </c>
      <c r="AO8632" t="s">
        <v>5673</v>
      </c>
      <c r="AP8632" t="s">
        <v>12803</v>
      </c>
      <c r="AQ8632">
        <v>8</v>
      </c>
      <c r="AR8632" t="s">
        <v>66</v>
      </c>
      <c r="AS8632" t="s">
        <v>67</v>
      </c>
      <c r="AT8632" t="s">
        <v>58</v>
      </c>
      <c r="AU8632" t="s">
        <v>68</v>
      </c>
      <c r="AV8632" t="s">
        <v>69</v>
      </c>
      <c r="AW8632" s="1">
        <v>28126</v>
      </c>
      <c r="AX8632">
        <v>1</v>
      </c>
    </row>
    <row r="8633" spans="1:50">
      <c r="A8633">
        <v>583654</v>
      </c>
      <c r="B8633" t="str">
        <f>"078024347"</f>
        <v>078024347</v>
      </c>
      <c r="C8633" t="s">
        <v>105</v>
      </c>
      <c r="D8633" t="s">
        <v>13246</v>
      </c>
      <c r="E8633" t="s">
        <v>95</v>
      </c>
      <c r="F8633" t="s">
        <v>53</v>
      </c>
      <c r="G8633" t="s">
        <v>2080</v>
      </c>
      <c r="H8633" t="str">
        <f>"ΜΑΡΚΕΛΛΟΥ 40 ΡΕΘΥΜΝΟ"</f>
        <v>ΜΑΡΚΕΛΛΟΥ 40 ΡΕΘΥΜΝΟ</v>
      </c>
      <c r="I8633">
        <v>74100</v>
      </c>
      <c r="K8633">
        <v>6937941374</v>
      </c>
      <c r="N8633" t="s">
        <v>176</v>
      </c>
      <c r="O8633" t="s">
        <v>177</v>
      </c>
      <c r="R8633" t="s">
        <v>57</v>
      </c>
      <c r="S8633">
        <v>10</v>
      </c>
      <c r="T8633">
        <v>180</v>
      </c>
      <c r="U8633" s="1">
        <v>35674</v>
      </c>
      <c r="V8633" t="s">
        <v>66</v>
      </c>
      <c r="W8633" t="s">
        <v>67</v>
      </c>
      <c r="X8633" t="s">
        <v>58</v>
      </c>
      <c r="Y8633">
        <v>21</v>
      </c>
      <c r="Z8633" t="s">
        <v>59</v>
      </c>
      <c r="AA8633" t="s">
        <v>59</v>
      </c>
      <c r="AB8633" t="s">
        <v>59</v>
      </c>
      <c r="AC8633" t="s">
        <v>59</v>
      </c>
      <c r="AD8633" t="s">
        <v>59</v>
      </c>
      <c r="AF8633" s="1">
        <v>35676</v>
      </c>
      <c r="AG8633" t="s">
        <v>8645</v>
      </c>
      <c r="AH8633" t="s">
        <v>8646</v>
      </c>
      <c r="AI8633" t="str">
        <f>"9410150"</f>
        <v>9410150</v>
      </c>
      <c r="AJ8633" t="s">
        <v>12733</v>
      </c>
      <c r="AK8633">
        <v>2831052969</v>
      </c>
      <c r="AL8633" t="s">
        <v>12734</v>
      </c>
      <c r="AM8633" t="s">
        <v>64</v>
      </c>
      <c r="AN8633" t="s">
        <v>65</v>
      </c>
      <c r="AO8633" t="s">
        <v>65</v>
      </c>
      <c r="AP8633" t="s">
        <v>65</v>
      </c>
      <c r="AQ8633">
        <v>1</v>
      </c>
      <c r="AR8633" t="s">
        <v>66</v>
      </c>
      <c r="AS8633" t="s">
        <v>67</v>
      </c>
      <c r="AT8633" t="s">
        <v>58</v>
      </c>
      <c r="AU8633" t="s">
        <v>68</v>
      </c>
      <c r="AV8633" t="s">
        <v>69</v>
      </c>
      <c r="AW8633" s="1">
        <v>23213</v>
      </c>
      <c r="AX8633">
        <v>1</v>
      </c>
    </row>
    <row r="8634" spans="1:50">
      <c r="B8634" t="str">
        <f>"074953286"</f>
        <v>074953286</v>
      </c>
      <c r="C8634" t="s">
        <v>105</v>
      </c>
      <c r="D8634" t="s">
        <v>13247</v>
      </c>
      <c r="E8634" t="s">
        <v>13248</v>
      </c>
      <c r="F8634" t="s">
        <v>72</v>
      </c>
      <c r="G8634" t="s">
        <v>382</v>
      </c>
      <c r="H8634" t="str">
        <f>"ΑΚΡΩΤΗΡΙΟΥ 74 ΧΑΝΙΑ"</f>
        <v>ΑΚΡΩΤΗΡΙΟΥ 74 ΧΑΝΙΑ</v>
      </c>
      <c r="I8634">
        <v>73133</v>
      </c>
      <c r="J8634">
        <v>2821055545</v>
      </c>
      <c r="K8634">
        <v>6937101519</v>
      </c>
      <c r="N8634" t="s">
        <v>204</v>
      </c>
      <c r="O8634" t="s">
        <v>205</v>
      </c>
      <c r="R8634" t="s">
        <v>159</v>
      </c>
      <c r="S8634">
        <v>7</v>
      </c>
      <c r="T8634" t="s">
        <v>8675</v>
      </c>
      <c r="U8634" s="1">
        <v>43348</v>
      </c>
      <c r="V8634" t="s">
        <v>66</v>
      </c>
      <c r="W8634" t="s">
        <v>67</v>
      </c>
      <c r="X8634" t="s">
        <v>58</v>
      </c>
      <c r="Y8634">
        <v>24</v>
      </c>
      <c r="Z8634" t="s">
        <v>59</v>
      </c>
      <c r="AA8634" t="s">
        <v>59</v>
      </c>
      <c r="AB8634" t="s">
        <v>59</v>
      </c>
      <c r="AC8634" t="s">
        <v>59</v>
      </c>
      <c r="AD8634" t="s">
        <v>59</v>
      </c>
      <c r="AF8634" s="1">
        <v>43348</v>
      </c>
      <c r="AG8634" t="s">
        <v>8645</v>
      </c>
      <c r="AH8634" t="s">
        <v>8646</v>
      </c>
      <c r="AI8634" t="str">
        <f>"9521348"</f>
        <v>9521348</v>
      </c>
      <c r="AJ8634" t="s">
        <v>12714</v>
      </c>
      <c r="AK8634">
        <v>2831021334</v>
      </c>
      <c r="AL8634" t="s">
        <v>12715</v>
      </c>
      <c r="AM8634" t="s">
        <v>64</v>
      </c>
      <c r="AN8634" t="s">
        <v>65</v>
      </c>
      <c r="AO8634" t="s">
        <v>5720</v>
      </c>
      <c r="AP8634" t="s">
        <v>5721</v>
      </c>
      <c r="AQ8634">
        <v>2</v>
      </c>
      <c r="AR8634" t="s">
        <v>66</v>
      </c>
      <c r="AS8634" t="s">
        <v>67</v>
      </c>
      <c r="AT8634" t="s">
        <v>58</v>
      </c>
      <c r="AU8634" t="s">
        <v>8673</v>
      </c>
      <c r="AV8634" t="s">
        <v>132</v>
      </c>
      <c r="AW8634" s="1">
        <v>28496</v>
      </c>
      <c r="AX8634">
        <v>1</v>
      </c>
    </row>
    <row r="8635" spans="1:50">
      <c r="A8635">
        <v>590554</v>
      </c>
      <c r="B8635" t="str">
        <f>"051465675"</f>
        <v>051465675</v>
      </c>
      <c r="C8635" t="s">
        <v>50</v>
      </c>
      <c r="D8635" t="s">
        <v>2232</v>
      </c>
      <c r="E8635" t="s">
        <v>600</v>
      </c>
      <c r="F8635" t="s">
        <v>989</v>
      </c>
      <c r="G8635" t="s">
        <v>620</v>
      </c>
      <c r="H8635" t="str">
        <f>" "</f>
        <v xml:space="preserve"> </v>
      </c>
      <c r="J8635">
        <v>2831052611</v>
      </c>
      <c r="K8635">
        <v>6977902866</v>
      </c>
      <c r="N8635" t="s">
        <v>1525</v>
      </c>
      <c r="O8635" t="s">
        <v>1526</v>
      </c>
      <c r="R8635" t="s">
        <v>57</v>
      </c>
      <c r="S8635">
        <v>10</v>
      </c>
      <c r="T8635">
        <v>176</v>
      </c>
      <c r="U8635" s="1">
        <v>36403</v>
      </c>
      <c r="V8635" t="s">
        <v>66</v>
      </c>
      <c r="W8635" t="s">
        <v>67</v>
      </c>
      <c r="X8635" t="s">
        <v>58</v>
      </c>
      <c r="Y8635">
        <v>25</v>
      </c>
      <c r="Z8635" t="s">
        <v>59</v>
      </c>
      <c r="AA8635" t="s">
        <v>59</v>
      </c>
      <c r="AB8635" t="s">
        <v>59</v>
      </c>
      <c r="AC8635" t="s">
        <v>59</v>
      </c>
      <c r="AD8635" t="s">
        <v>59</v>
      </c>
      <c r="AF8635" s="1">
        <v>36404</v>
      </c>
      <c r="AG8635" t="s">
        <v>8651</v>
      </c>
      <c r="AH8635" t="s">
        <v>8652</v>
      </c>
      <c r="AI8635" t="str">
        <f>"9410265"</f>
        <v>9410265</v>
      </c>
      <c r="AJ8635" t="s">
        <v>12654</v>
      </c>
      <c r="AK8635">
        <v>2831027473</v>
      </c>
      <c r="AL8635" t="s">
        <v>12655</v>
      </c>
      <c r="AM8635" t="s">
        <v>64</v>
      </c>
      <c r="AN8635" t="s">
        <v>65</v>
      </c>
      <c r="AO8635" t="s">
        <v>65</v>
      </c>
      <c r="AP8635" t="s">
        <v>65</v>
      </c>
      <c r="AQ8635">
        <v>1</v>
      </c>
      <c r="AR8635" t="s">
        <v>66</v>
      </c>
      <c r="AS8635" t="s">
        <v>67</v>
      </c>
      <c r="AT8635" t="s">
        <v>58</v>
      </c>
      <c r="AU8635" t="s">
        <v>68</v>
      </c>
      <c r="AV8635" t="s">
        <v>69</v>
      </c>
      <c r="AW8635" s="1">
        <v>24357</v>
      </c>
      <c r="AX8635">
        <v>1</v>
      </c>
    </row>
    <row r="8636" spans="1:50">
      <c r="A8636">
        <v>617858</v>
      </c>
      <c r="B8636" t="str">
        <f>"110883165"</f>
        <v>110883165</v>
      </c>
      <c r="C8636" t="s">
        <v>50</v>
      </c>
      <c r="D8636" t="s">
        <v>13249</v>
      </c>
      <c r="E8636" t="s">
        <v>52</v>
      </c>
      <c r="F8636" t="s">
        <v>72</v>
      </c>
      <c r="G8636" t="s">
        <v>506</v>
      </c>
      <c r="H8636" t="str">
        <f>"ΚΑΣΤΕΛΑΚΙΑ 48 ΡΕΘΥΜΝΟ"</f>
        <v>ΚΑΣΤΕΛΑΚΙΑ 48 ΡΕΘΥΜΝΟ</v>
      </c>
      <c r="I8636">
        <v>74100</v>
      </c>
      <c r="J8636">
        <v>2831057283</v>
      </c>
      <c r="K8636">
        <v>6938226053</v>
      </c>
      <c r="M8636" t="s">
        <v>13250</v>
      </c>
      <c r="N8636" t="s">
        <v>615</v>
      </c>
      <c r="O8636" t="s">
        <v>616</v>
      </c>
      <c r="R8636" t="s">
        <v>57</v>
      </c>
      <c r="S8636">
        <v>5</v>
      </c>
      <c r="T8636">
        <v>774</v>
      </c>
      <c r="U8636" s="1">
        <v>39680</v>
      </c>
      <c r="V8636" t="s">
        <v>66</v>
      </c>
      <c r="W8636" t="s">
        <v>67</v>
      </c>
      <c r="X8636" t="s">
        <v>58</v>
      </c>
      <c r="Y8636">
        <v>23</v>
      </c>
      <c r="Z8636" t="s">
        <v>59</v>
      </c>
      <c r="AA8636" t="s">
        <v>59</v>
      </c>
      <c r="AB8636" t="s">
        <v>59</v>
      </c>
      <c r="AC8636" t="s">
        <v>59</v>
      </c>
      <c r="AD8636" t="s">
        <v>59</v>
      </c>
      <c r="AF8636" s="1">
        <v>39681</v>
      </c>
      <c r="AG8636" t="s">
        <v>8645</v>
      </c>
      <c r="AH8636" t="s">
        <v>8646</v>
      </c>
      <c r="AI8636" t="str">
        <f>"9410150"</f>
        <v>9410150</v>
      </c>
      <c r="AJ8636" t="s">
        <v>12733</v>
      </c>
      <c r="AK8636">
        <v>2831052969</v>
      </c>
      <c r="AL8636" t="s">
        <v>12734</v>
      </c>
      <c r="AM8636" t="s">
        <v>64</v>
      </c>
      <c r="AN8636" t="s">
        <v>65</v>
      </c>
      <c r="AO8636" t="s">
        <v>65</v>
      </c>
      <c r="AP8636" t="s">
        <v>65</v>
      </c>
      <c r="AQ8636">
        <v>1</v>
      </c>
      <c r="AR8636" t="s">
        <v>66</v>
      </c>
      <c r="AS8636" t="s">
        <v>67</v>
      </c>
      <c r="AT8636" t="s">
        <v>58</v>
      </c>
      <c r="AU8636" t="s">
        <v>68</v>
      </c>
      <c r="AV8636" t="s">
        <v>69</v>
      </c>
      <c r="AW8636" s="1">
        <v>30580</v>
      </c>
      <c r="AX8636">
        <v>1</v>
      </c>
    </row>
    <row r="8637" spans="1:50">
      <c r="B8637" t="str">
        <f>"140887452"</f>
        <v>140887452</v>
      </c>
      <c r="C8637" t="s">
        <v>105</v>
      </c>
      <c r="D8637" t="s">
        <v>13251</v>
      </c>
      <c r="E8637" t="s">
        <v>13252</v>
      </c>
      <c r="F8637" t="s">
        <v>459</v>
      </c>
      <c r="G8637" t="s">
        <v>263</v>
      </c>
      <c r="H8637" t="str">
        <f>"Β. ΤΖΕΛΛΑ  43 "</f>
        <v xml:space="preserve">Β. ΤΖΕΛΛΑ  43 </v>
      </c>
      <c r="I8637">
        <v>43100</v>
      </c>
      <c r="J8637">
        <v>2441070138</v>
      </c>
      <c r="K8637">
        <v>6932221807</v>
      </c>
      <c r="N8637" t="s">
        <v>615</v>
      </c>
      <c r="O8637" t="s">
        <v>616</v>
      </c>
      <c r="R8637" t="s">
        <v>159</v>
      </c>
      <c r="S8637">
        <v>3</v>
      </c>
      <c r="T8637" t="s">
        <v>8675</v>
      </c>
      <c r="U8637" s="1">
        <v>43348</v>
      </c>
      <c r="V8637" t="s">
        <v>66</v>
      </c>
      <c r="W8637" t="s">
        <v>67</v>
      </c>
      <c r="X8637" t="s">
        <v>58</v>
      </c>
      <c r="Y8637">
        <v>24</v>
      </c>
      <c r="Z8637" t="s">
        <v>59</v>
      </c>
      <c r="AA8637" t="s">
        <v>59</v>
      </c>
      <c r="AB8637" t="s">
        <v>59</v>
      </c>
      <c r="AC8637" t="s">
        <v>59</v>
      </c>
      <c r="AD8637" t="s">
        <v>59</v>
      </c>
      <c r="AF8637" s="1">
        <v>43348</v>
      </c>
      <c r="AG8637" t="s">
        <v>8645</v>
      </c>
      <c r="AH8637" t="s">
        <v>8646</v>
      </c>
      <c r="AI8637" t="str">
        <f>"9410092"</f>
        <v>9410092</v>
      </c>
      <c r="AJ8637" t="s">
        <v>12823</v>
      </c>
      <c r="AK8637">
        <v>2832051056</v>
      </c>
      <c r="AL8637" t="s">
        <v>12824</v>
      </c>
      <c r="AM8637" t="s">
        <v>64</v>
      </c>
      <c r="AN8637" t="s">
        <v>5882</v>
      </c>
      <c r="AO8637" t="s">
        <v>6099</v>
      </c>
      <c r="AP8637" t="s">
        <v>12825</v>
      </c>
      <c r="AQ8637">
        <v>5</v>
      </c>
      <c r="AR8637" t="s">
        <v>66</v>
      </c>
      <c r="AS8637" t="s">
        <v>67</v>
      </c>
      <c r="AT8637" t="s">
        <v>58</v>
      </c>
      <c r="AU8637" t="s">
        <v>8673</v>
      </c>
      <c r="AV8637" t="s">
        <v>132</v>
      </c>
      <c r="AW8637" s="1">
        <v>32014</v>
      </c>
      <c r="AX8637">
        <v>1</v>
      </c>
    </row>
    <row r="8638" spans="1:50">
      <c r="B8638" t="str">
        <f>"130281655"</f>
        <v>130281655</v>
      </c>
      <c r="C8638" t="s">
        <v>105</v>
      </c>
      <c r="D8638" t="s">
        <v>13253</v>
      </c>
      <c r="E8638" t="s">
        <v>95</v>
      </c>
      <c r="F8638" t="s">
        <v>84</v>
      </c>
      <c r="G8638" t="s">
        <v>1114</v>
      </c>
      <c r="H8638" t="str">
        <f>"ΕΡΕΤΡΙΑΣ 14 ΛΑΡΙΣΑ"</f>
        <v>ΕΡΕΤΡΙΑΣ 14 ΛΑΡΙΣΑ</v>
      </c>
      <c r="I8638">
        <v>41336</v>
      </c>
      <c r="J8638">
        <v>2410550856</v>
      </c>
      <c r="K8638">
        <v>6944625220</v>
      </c>
      <c r="N8638" t="s">
        <v>615</v>
      </c>
      <c r="O8638" t="s">
        <v>616</v>
      </c>
      <c r="R8638" t="s">
        <v>159</v>
      </c>
      <c r="S8638">
        <v>5</v>
      </c>
      <c r="T8638" t="s">
        <v>8675</v>
      </c>
      <c r="U8638" s="1">
        <v>43348</v>
      </c>
      <c r="V8638" t="s">
        <v>66</v>
      </c>
      <c r="W8638" t="s">
        <v>67</v>
      </c>
      <c r="X8638" t="s">
        <v>58</v>
      </c>
      <c r="Y8638">
        <v>24</v>
      </c>
      <c r="Z8638" t="s">
        <v>59</v>
      </c>
      <c r="AA8638" t="s">
        <v>59</v>
      </c>
      <c r="AB8638" t="s">
        <v>59</v>
      </c>
      <c r="AC8638" t="s">
        <v>59</v>
      </c>
      <c r="AD8638" t="s">
        <v>59</v>
      </c>
      <c r="AF8638" s="1">
        <v>43348</v>
      </c>
      <c r="AG8638" t="s">
        <v>8645</v>
      </c>
      <c r="AH8638" t="s">
        <v>8646</v>
      </c>
      <c r="AI8638" t="str">
        <f>"9410038"</f>
        <v>9410038</v>
      </c>
      <c r="AJ8638" t="s">
        <v>12669</v>
      </c>
      <c r="AK8638">
        <v>2834061471</v>
      </c>
      <c r="AL8638" t="s">
        <v>12670</v>
      </c>
      <c r="AM8638" t="s">
        <v>64</v>
      </c>
      <c r="AN8638" t="s">
        <v>5672</v>
      </c>
      <c r="AO8638" t="s">
        <v>5698</v>
      </c>
      <c r="AP8638" t="s">
        <v>5699</v>
      </c>
      <c r="AQ8638">
        <v>9</v>
      </c>
      <c r="AR8638" t="s">
        <v>66</v>
      </c>
      <c r="AS8638" t="s">
        <v>67</v>
      </c>
      <c r="AT8638" t="s">
        <v>58</v>
      </c>
      <c r="AU8638" t="s">
        <v>8673</v>
      </c>
      <c r="AV8638" t="s">
        <v>132</v>
      </c>
      <c r="AW8638" s="1">
        <v>31617</v>
      </c>
      <c r="AX8638">
        <v>1</v>
      </c>
    </row>
    <row r="8639" spans="1:50">
      <c r="A8639">
        <v>616592</v>
      </c>
      <c r="B8639" t="str">
        <f>"120045988"</f>
        <v>120045988</v>
      </c>
      <c r="C8639" t="s">
        <v>50</v>
      </c>
      <c r="D8639" t="s">
        <v>13254</v>
      </c>
      <c r="E8639" t="s">
        <v>372</v>
      </c>
      <c r="F8639" t="s">
        <v>99</v>
      </c>
      <c r="G8639" t="s">
        <v>13255</v>
      </c>
      <c r="H8639" t="str">
        <f>"ΚΑΠΟΔΙΣΤΡΙΟΥ 41 ΡΕΘΥΜΝΟ"</f>
        <v>ΚΑΠΟΔΙΣΤΡΙΟΥ 41 ΡΕΘΥΜΝΟ</v>
      </c>
      <c r="I8639">
        <v>74100</v>
      </c>
      <c r="J8639">
        <v>2831053080</v>
      </c>
      <c r="K8639">
        <v>6972539184</v>
      </c>
      <c r="N8639" t="s">
        <v>1525</v>
      </c>
      <c r="O8639" t="s">
        <v>1526</v>
      </c>
      <c r="R8639" t="s">
        <v>57</v>
      </c>
      <c r="S8639">
        <v>8</v>
      </c>
      <c r="T8639">
        <v>660</v>
      </c>
      <c r="U8639" s="1">
        <v>39311</v>
      </c>
      <c r="V8639" t="s">
        <v>66</v>
      </c>
      <c r="W8639" t="s">
        <v>67</v>
      </c>
      <c r="X8639" t="s">
        <v>58</v>
      </c>
      <c r="Y8639">
        <v>25</v>
      </c>
      <c r="Z8639" t="s">
        <v>59</v>
      </c>
      <c r="AA8639" t="s">
        <v>59</v>
      </c>
      <c r="AB8639" t="s">
        <v>59</v>
      </c>
      <c r="AC8639" t="s">
        <v>59</v>
      </c>
      <c r="AD8639" t="s">
        <v>59</v>
      </c>
      <c r="AF8639" s="1">
        <v>39328</v>
      </c>
      <c r="AG8639" t="s">
        <v>8651</v>
      </c>
      <c r="AH8639" t="s">
        <v>8652</v>
      </c>
      <c r="AI8639" t="str">
        <f>"9520949"</f>
        <v>9520949</v>
      </c>
      <c r="AJ8639" t="s">
        <v>12818</v>
      </c>
      <c r="AK8639">
        <v>2831031424</v>
      </c>
      <c r="AL8639" t="s">
        <v>12819</v>
      </c>
      <c r="AM8639" t="s">
        <v>64</v>
      </c>
      <c r="AN8639" t="s">
        <v>65</v>
      </c>
      <c r="AO8639" t="s">
        <v>5720</v>
      </c>
      <c r="AP8639" t="s">
        <v>5721</v>
      </c>
      <c r="AQ8639">
        <v>2</v>
      </c>
      <c r="AR8639" t="s">
        <v>66</v>
      </c>
      <c r="AS8639" t="s">
        <v>67</v>
      </c>
      <c r="AT8639" t="s">
        <v>58</v>
      </c>
      <c r="AU8639" t="s">
        <v>68</v>
      </c>
      <c r="AV8639" t="s">
        <v>69</v>
      </c>
      <c r="AW8639" s="1">
        <v>28830</v>
      </c>
      <c r="AX8639">
        <v>1</v>
      </c>
    </row>
    <row r="8640" spans="1:50">
      <c r="A8640">
        <v>612694</v>
      </c>
      <c r="B8640" t="str">
        <f>"076671776"</f>
        <v>076671776</v>
      </c>
      <c r="C8640" t="s">
        <v>105</v>
      </c>
      <c r="D8640" t="s">
        <v>10345</v>
      </c>
      <c r="E8640" t="s">
        <v>1357</v>
      </c>
      <c r="F8640" t="s">
        <v>5043</v>
      </c>
      <c r="G8640" t="s">
        <v>699</v>
      </c>
      <c r="H8640" t="str">
        <f>"ΚΥΠΡΟΥ  15 ΣΕΡΡΕΣ"</f>
        <v>ΚΥΠΡΟΥ  15 ΣΕΡΡΕΣ</v>
      </c>
      <c r="I8640">
        <v>62100</v>
      </c>
      <c r="J8640">
        <v>2321053175</v>
      </c>
      <c r="K8640">
        <v>6945602430</v>
      </c>
      <c r="M8640" t="s">
        <v>13256</v>
      </c>
      <c r="N8640" t="s">
        <v>176</v>
      </c>
      <c r="O8640" t="s">
        <v>177</v>
      </c>
      <c r="R8640" t="s">
        <v>57</v>
      </c>
      <c r="S8640">
        <v>6</v>
      </c>
      <c r="T8640">
        <v>234</v>
      </c>
      <c r="U8640" s="1">
        <v>38960</v>
      </c>
      <c r="V8640" t="s">
        <v>66</v>
      </c>
      <c r="W8640" t="s">
        <v>67</v>
      </c>
      <c r="X8640" t="s">
        <v>58</v>
      </c>
      <c r="Y8640">
        <v>23</v>
      </c>
      <c r="Z8640" t="s">
        <v>59</v>
      </c>
      <c r="AA8640" t="s">
        <v>59</v>
      </c>
      <c r="AB8640" t="s">
        <v>59</v>
      </c>
      <c r="AC8640" t="s">
        <v>59</v>
      </c>
      <c r="AD8640" t="s">
        <v>59</v>
      </c>
      <c r="AF8640" s="1">
        <v>38961</v>
      </c>
      <c r="AG8640" t="s">
        <v>8645</v>
      </c>
      <c r="AH8640" t="s">
        <v>8646</v>
      </c>
      <c r="AI8640" t="str">
        <f>"9410044"</f>
        <v>9410044</v>
      </c>
      <c r="AJ8640" t="s">
        <v>13257</v>
      </c>
      <c r="AK8640">
        <v>2834094218</v>
      </c>
      <c r="AL8640" t="s">
        <v>13258</v>
      </c>
      <c r="AM8640" t="s">
        <v>64</v>
      </c>
      <c r="AN8640" t="s">
        <v>5672</v>
      </c>
      <c r="AO8640" t="s">
        <v>5673</v>
      </c>
      <c r="AP8640" t="s">
        <v>13259</v>
      </c>
      <c r="AQ8640">
        <v>10</v>
      </c>
      <c r="AR8640" t="s">
        <v>66</v>
      </c>
      <c r="AS8640" t="s">
        <v>67</v>
      </c>
      <c r="AT8640" t="s">
        <v>58</v>
      </c>
      <c r="AU8640" t="s">
        <v>68</v>
      </c>
      <c r="AV8640" t="s">
        <v>69</v>
      </c>
      <c r="AW8640" s="1">
        <v>28056</v>
      </c>
      <c r="AX8640">
        <v>1</v>
      </c>
    </row>
    <row r="8641" spans="1:50">
      <c r="A8641">
        <v>622957</v>
      </c>
      <c r="B8641" t="str">
        <f>"067223423"</f>
        <v>067223423</v>
      </c>
      <c r="C8641" t="s">
        <v>50</v>
      </c>
      <c r="D8641" t="s">
        <v>6119</v>
      </c>
      <c r="E8641" t="s">
        <v>541</v>
      </c>
      <c r="F8641" t="s">
        <v>106</v>
      </c>
      <c r="G8641" t="s">
        <v>610</v>
      </c>
      <c r="H8641" t="str">
        <f>"Λ. ΙΩΑΝΝΙΝΩΝ 458 ΠΡΕΒΕΖΑ"</f>
        <v>Λ. ΙΩΑΝΝΙΝΩΝ 458 ΠΡΕΒΕΖΑ</v>
      </c>
      <c r="I8641">
        <v>48100</v>
      </c>
      <c r="J8641">
        <v>2682028812</v>
      </c>
      <c r="K8641">
        <v>6937202420</v>
      </c>
      <c r="N8641" t="s">
        <v>306</v>
      </c>
      <c r="O8641" t="s">
        <v>307</v>
      </c>
      <c r="R8641" t="s">
        <v>57</v>
      </c>
      <c r="S8641">
        <v>5</v>
      </c>
      <c r="T8641">
        <v>720</v>
      </c>
      <c r="U8641" s="1">
        <v>40059</v>
      </c>
      <c r="V8641" t="s">
        <v>66</v>
      </c>
      <c r="W8641" t="s">
        <v>67</v>
      </c>
      <c r="X8641" t="s">
        <v>58</v>
      </c>
      <c r="Y8641">
        <v>23</v>
      </c>
      <c r="Z8641" t="s">
        <v>59</v>
      </c>
      <c r="AA8641" t="s">
        <v>59</v>
      </c>
      <c r="AB8641" t="s">
        <v>59</v>
      </c>
      <c r="AC8641" t="s">
        <v>59</v>
      </c>
      <c r="AD8641" t="s">
        <v>59</v>
      </c>
      <c r="AF8641" s="1">
        <v>40060</v>
      </c>
      <c r="AG8641" t="s">
        <v>8645</v>
      </c>
      <c r="AH8641" t="s">
        <v>8646</v>
      </c>
      <c r="AI8641" t="str">
        <f>"9410082"</f>
        <v>9410082</v>
      </c>
      <c r="AJ8641" t="s">
        <v>13195</v>
      </c>
      <c r="AK8641">
        <v>2831075013</v>
      </c>
      <c r="AL8641" t="s">
        <v>13196</v>
      </c>
      <c r="AM8641" t="s">
        <v>64</v>
      </c>
      <c r="AN8641" t="s">
        <v>65</v>
      </c>
      <c r="AO8641" t="s">
        <v>65</v>
      </c>
      <c r="AP8641" t="s">
        <v>12884</v>
      </c>
      <c r="AQ8641">
        <v>3</v>
      </c>
      <c r="AR8641" t="s">
        <v>66</v>
      </c>
      <c r="AS8641" t="s">
        <v>67</v>
      </c>
      <c r="AT8641" t="s">
        <v>58</v>
      </c>
      <c r="AU8641" t="s">
        <v>68</v>
      </c>
      <c r="AV8641" t="s">
        <v>69</v>
      </c>
      <c r="AW8641" s="1">
        <v>28146</v>
      </c>
      <c r="AX8641">
        <v>1</v>
      </c>
    </row>
    <row r="8642" spans="1:50">
      <c r="B8642" t="str">
        <f>"117924161"</f>
        <v>117924161</v>
      </c>
      <c r="C8642" t="s">
        <v>50</v>
      </c>
      <c r="D8642" t="s">
        <v>13260</v>
      </c>
      <c r="E8642" t="s">
        <v>237</v>
      </c>
      <c r="F8642" t="s">
        <v>670</v>
      </c>
      <c r="G8642" t="s">
        <v>658</v>
      </c>
      <c r="H8642" t="str">
        <f>" "</f>
        <v xml:space="preserve"> </v>
      </c>
      <c r="N8642" t="s">
        <v>683</v>
      </c>
      <c r="O8642" t="s">
        <v>684</v>
      </c>
      <c r="R8642" t="s">
        <v>121</v>
      </c>
      <c r="S8642">
        <v>1</v>
      </c>
      <c r="T8642" t="s">
        <v>8675</v>
      </c>
      <c r="U8642" s="1">
        <v>43348</v>
      </c>
      <c r="V8642" t="s">
        <v>66</v>
      </c>
      <c r="W8642" t="s">
        <v>67</v>
      </c>
      <c r="X8642" t="s">
        <v>58</v>
      </c>
      <c r="Y8642">
        <v>24</v>
      </c>
      <c r="Z8642" t="s">
        <v>59</v>
      </c>
      <c r="AA8642" t="s">
        <v>59</v>
      </c>
      <c r="AB8642" t="s">
        <v>59</v>
      </c>
      <c r="AD8642" t="s">
        <v>59</v>
      </c>
      <c r="AF8642" s="1">
        <v>43348</v>
      </c>
      <c r="AG8642" t="s">
        <v>8645</v>
      </c>
      <c r="AH8642" t="s">
        <v>8646</v>
      </c>
      <c r="AI8642" t="str">
        <f>"9410070"</f>
        <v>9410070</v>
      </c>
      <c r="AJ8642" t="s">
        <v>12757</v>
      </c>
      <c r="AK8642">
        <v>2831028583</v>
      </c>
      <c r="AL8642" t="s">
        <v>12758</v>
      </c>
      <c r="AM8642" t="s">
        <v>64</v>
      </c>
      <c r="AN8642" t="s">
        <v>65</v>
      </c>
      <c r="AO8642" t="s">
        <v>65</v>
      </c>
      <c r="AP8642" t="s">
        <v>65</v>
      </c>
      <c r="AQ8642">
        <v>1</v>
      </c>
      <c r="AR8642" t="s">
        <v>66</v>
      </c>
      <c r="AS8642" t="s">
        <v>67</v>
      </c>
      <c r="AT8642" t="s">
        <v>58</v>
      </c>
      <c r="AU8642" t="s">
        <v>8673</v>
      </c>
      <c r="AV8642" t="s">
        <v>132</v>
      </c>
      <c r="AW8642" s="1">
        <v>29625</v>
      </c>
      <c r="AX8642">
        <v>1</v>
      </c>
    </row>
    <row r="8643" spans="1:50">
      <c r="A8643">
        <v>595289</v>
      </c>
      <c r="B8643" t="str">
        <f>"054430435"</f>
        <v>054430435</v>
      </c>
      <c r="C8643" t="s">
        <v>50</v>
      </c>
      <c r="D8643" t="s">
        <v>2257</v>
      </c>
      <c r="E8643" t="s">
        <v>250</v>
      </c>
      <c r="F8643" t="s">
        <v>108</v>
      </c>
      <c r="G8643" t="s">
        <v>5887</v>
      </c>
      <c r="H8643" t="str">
        <f>"ΚΟΥΜΟΥΝΔΟΥΡΟΥ 5 ΡΕΘΥΜΝΟ"</f>
        <v>ΚΟΥΜΟΥΝΔΟΥΡΟΥ 5 ΡΕΘΥΜΝΟ</v>
      </c>
      <c r="K8643">
        <v>6972440134</v>
      </c>
      <c r="N8643" t="s">
        <v>615</v>
      </c>
      <c r="O8643" t="s">
        <v>616</v>
      </c>
      <c r="R8643" t="s">
        <v>57</v>
      </c>
      <c r="S8643">
        <v>8</v>
      </c>
      <c r="T8643">
        <v>218</v>
      </c>
      <c r="U8643" s="1">
        <v>37134</v>
      </c>
      <c r="V8643" t="s">
        <v>66</v>
      </c>
      <c r="W8643" t="s">
        <v>67</v>
      </c>
      <c r="X8643" t="s">
        <v>58</v>
      </c>
      <c r="Y8643">
        <v>22</v>
      </c>
      <c r="Z8643" t="s">
        <v>59</v>
      </c>
      <c r="AA8643" t="s">
        <v>59</v>
      </c>
      <c r="AB8643" t="s">
        <v>59</v>
      </c>
      <c r="AC8643" t="s">
        <v>59</v>
      </c>
      <c r="AD8643" t="s">
        <v>59</v>
      </c>
      <c r="AF8643" s="1">
        <v>37134</v>
      </c>
      <c r="AG8643" t="s">
        <v>8645</v>
      </c>
      <c r="AH8643" t="s">
        <v>8646</v>
      </c>
      <c r="AI8643" t="str">
        <f>"9410070"</f>
        <v>9410070</v>
      </c>
      <c r="AJ8643" t="s">
        <v>12757</v>
      </c>
      <c r="AK8643">
        <v>2831028583</v>
      </c>
      <c r="AL8643" t="s">
        <v>12758</v>
      </c>
      <c r="AM8643" t="s">
        <v>64</v>
      </c>
      <c r="AN8643" t="s">
        <v>65</v>
      </c>
      <c r="AO8643" t="s">
        <v>65</v>
      </c>
      <c r="AP8643" t="s">
        <v>65</v>
      </c>
      <c r="AQ8643">
        <v>1</v>
      </c>
      <c r="AR8643" t="s">
        <v>66</v>
      </c>
      <c r="AS8643" t="s">
        <v>67</v>
      </c>
      <c r="AT8643" t="s">
        <v>58</v>
      </c>
      <c r="AU8643" t="s">
        <v>68</v>
      </c>
      <c r="AV8643" t="s">
        <v>69</v>
      </c>
      <c r="AW8643" s="1">
        <v>25992</v>
      </c>
      <c r="AX8643">
        <v>1</v>
      </c>
    </row>
    <row r="8644" spans="1:50">
      <c r="A8644">
        <v>563942</v>
      </c>
      <c r="B8644" t="str">
        <f>"065523891"</f>
        <v>065523891</v>
      </c>
      <c r="C8644" t="s">
        <v>50</v>
      </c>
      <c r="D8644" t="s">
        <v>2257</v>
      </c>
      <c r="E8644" t="s">
        <v>255</v>
      </c>
      <c r="F8644" t="s">
        <v>564</v>
      </c>
      <c r="G8644" t="s">
        <v>888</v>
      </c>
      <c r="H8644" t="str">
        <f>"ΕΡΩΤΟΚΡΙΤΟΥ 8 ΡΕΘΥΜΝΟ"</f>
        <v>ΕΡΩΤΟΚΡΙΤΟΥ 8 ΡΕΘΥΜΝΟ</v>
      </c>
      <c r="I8644">
        <v>74100</v>
      </c>
      <c r="J8644">
        <v>2831052292</v>
      </c>
      <c r="K8644">
        <v>6977362392</v>
      </c>
      <c r="M8644" t="s">
        <v>13261</v>
      </c>
      <c r="N8644" t="s">
        <v>615</v>
      </c>
      <c r="O8644" t="s">
        <v>616</v>
      </c>
      <c r="R8644" t="s">
        <v>57</v>
      </c>
      <c r="S8644">
        <v>15</v>
      </c>
      <c r="T8644">
        <v>161</v>
      </c>
      <c r="U8644" s="1">
        <v>33119</v>
      </c>
      <c r="V8644" t="s">
        <v>66</v>
      </c>
      <c r="W8644" t="s">
        <v>67</v>
      </c>
      <c r="X8644" t="s">
        <v>58</v>
      </c>
      <c r="Y8644">
        <v>21</v>
      </c>
      <c r="Z8644" t="s">
        <v>59</v>
      </c>
      <c r="AA8644" t="s">
        <v>59</v>
      </c>
      <c r="AB8644" t="s">
        <v>59</v>
      </c>
      <c r="AC8644" t="s">
        <v>59</v>
      </c>
      <c r="AD8644" t="s">
        <v>59</v>
      </c>
      <c r="AF8644" s="1">
        <v>33119</v>
      </c>
      <c r="AG8644" t="s">
        <v>8645</v>
      </c>
      <c r="AH8644" t="s">
        <v>8646</v>
      </c>
      <c r="AI8644" t="str">
        <f>"9410257"</f>
        <v>9410257</v>
      </c>
      <c r="AJ8644" t="s">
        <v>12828</v>
      </c>
      <c r="AK8644">
        <v>2831056242</v>
      </c>
      <c r="AL8644" t="s">
        <v>12829</v>
      </c>
      <c r="AM8644" t="s">
        <v>64</v>
      </c>
      <c r="AN8644" t="s">
        <v>65</v>
      </c>
      <c r="AO8644" t="s">
        <v>65</v>
      </c>
      <c r="AP8644" t="s">
        <v>65</v>
      </c>
      <c r="AQ8644">
        <v>1</v>
      </c>
      <c r="AR8644" t="s">
        <v>66</v>
      </c>
      <c r="AS8644" t="s">
        <v>67</v>
      </c>
      <c r="AT8644" t="s">
        <v>58</v>
      </c>
      <c r="AU8644" t="s">
        <v>68</v>
      </c>
      <c r="AV8644" t="s">
        <v>69</v>
      </c>
      <c r="AW8644" s="1">
        <v>23709</v>
      </c>
      <c r="AX8644">
        <v>1</v>
      </c>
    </row>
    <row r="8645" spans="1:50">
      <c r="A8645">
        <v>586626</v>
      </c>
      <c r="B8645" t="str">
        <f>"056848595"</f>
        <v>056848595</v>
      </c>
      <c r="C8645" t="s">
        <v>105</v>
      </c>
      <c r="D8645" t="s">
        <v>7566</v>
      </c>
      <c r="E8645" t="s">
        <v>13262</v>
      </c>
      <c r="F8645" t="s">
        <v>1320</v>
      </c>
      <c r="G8645" t="s">
        <v>513</v>
      </c>
      <c r="H8645" t="str">
        <f>" "</f>
        <v xml:space="preserve"> </v>
      </c>
      <c r="N8645" t="s">
        <v>615</v>
      </c>
      <c r="O8645" t="s">
        <v>616</v>
      </c>
      <c r="R8645" t="s">
        <v>57</v>
      </c>
      <c r="S8645">
        <v>11</v>
      </c>
      <c r="T8645">
        <v>165</v>
      </c>
      <c r="U8645" s="1">
        <v>36040</v>
      </c>
      <c r="V8645" t="s">
        <v>66</v>
      </c>
      <c r="W8645" t="s">
        <v>67</v>
      </c>
      <c r="X8645" t="s">
        <v>58</v>
      </c>
      <c r="Y8645">
        <v>21</v>
      </c>
      <c r="Z8645" t="s">
        <v>59</v>
      </c>
      <c r="AA8645" t="s">
        <v>59</v>
      </c>
      <c r="AB8645" t="s">
        <v>59</v>
      </c>
      <c r="AC8645" t="s">
        <v>59</v>
      </c>
      <c r="AD8645" t="s">
        <v>59</v>
      </c>
      <c r="AF8645" s="1">
        <v>36040</v>
      </c>
      <c r="AG8645" t="s">
        <v>8645</v>
      </c>
      <c r="AH8645" t="s">
        <v>8697</v>
      </c>
      <c r="AI8645" t="str">
        <f>"9410243"</f>
        <v>9410243</v>
      </c>
      <c r="AJ8645" t="s">
        <v>12885</v>
      </c>
      <c r="AK8645">
        <v>2831026710</v>
      </c>
      <c r="AL8645" t="s">
        <v>12886</v>
      </c>
      <c r="AM8645" t="s">
        <v>64</v>
      </c>
      <c r="AN8645" t="s">
        <v>65</v>
      </c>
      <c r="AO8645" t="s">
        <v>65</v>
      </c>
      <c r="AP8645" t="s">
        <v>65</v>
      </c>
      <c r="AQ8645">
        <v>1</v>
      </c>
      <c r="AR8645" t="s">
        <v>66</v>
      </c>
      <c r="AS8645" t="s">
        <v>67</v>
      </c>
      <c r="AT8645" t="s">
        <v>58</v>
      </c>
      <c r="AU8645" t="s">
        <v>68</v>
      </c>
      <c r="AV8645" t="s">
        <v>69</v>
      </c>
      <c r="AW8645" s="1">
        <v>24867</v>
      </c>
      <c r="AX8645">
        <v>1</v>
      </c>
    </row>
    <row r="8646" spans="1:50">
      <c r="B8646" t="str">
        <f>"123569140"</f>
        <v>123569140</v>
      </c>
      <c r="C8646" t="s">
        <v>50</v>
      </c>
      <c r="D8646" t="s">
        <v>10359</v>
      </c>
      <c r="E8646" t="s">
        <v>155</v>
      </c>
      <c r="F8646" t="s">
        <v>510</v>
      </c>
      <c r="G8646" t="s">
        <v>263</v>
      </c>
      <c r="H8646" t="str">
        <f>" "</f>
        <v xml:space="preserve"> </v>
      </c>
      <c r="N8646" t="s">
        <v>1525</v>
      </c>
      <c r="O8646" t="s">
        <v>1526</v>
      </c>
      <c r="R8646" t="s">
        <v>121</v>
      </c>
      <c r="S8646">
        <v>1</v>
      </c>
      <c r="T8646" t="s">
        <v>8670</v>
      </c>
      <c r="U8646" s="1">
        <v>43348</v>
      </c>
      <c r="V8646" t="s">
        <v>66</v>
      </c>
      <c r="W8646" t="s">
        <v>67</v>
      </c>
      <c r="X8646" t="s">
        <v>58</v>
      </c>
      <c r="Y8646">
        <v>25</v>
      </c>
      <c r="Z8646" t="s">
        <v>59</v>
      </c>
      <c r="AA8646" t="s">
        <v>59</v>
      </c>
      <c r="AB8646" t="s">
        <v>59</v>
      </c>
      <c r="AD8646" t="s">
        <v>59</v>
      </c>
      <c r="AF8646" s="1">
        <v>43348</v>
      </c>
      <c r="AG8646" t="s">
        <v>8651</v>
      </c>
      <c r="AH8646" t="s">
        <v>8652</v>
      </c>
      <c r="AI8646" t="str">
        <f>"9410239"</f>
        <v>9410239</v>
      </c>
      <c r="AJ8646" t="s">
        <v>13263</v>
      </c>
      <c r="AK8646">
        <v>2832091121</v>
      </c>
      <c r="AL8646" t="s">
        <v>13264</v>
      </c>
      <c r="AM8646" t="s">
        <v>64</v>
      </c>
      <c r="AN8646" t="s">
        <v>5882</v>
      </c>
      <c r="AO8646" t="s">
        <v>5883</v>
      </c>
      <c r="AP8646" t="s">
        <v>12732</v>
      </c>
      <c r="AQ8646">
        <v>6</v>
      </c>
      <c r="AR8646" t="s">
        <v>66</v>
      </c>
      <c r="AS8646" t="s">
        <v>67</v>
      </c>
      <c r="AT8646" t="s">
        <v>58</v>
      </c>
      <c r="AU8646" t="s">
        <v>8673</v>
      </c>
      <c r="AV8646" t="s">
        <v>132</v>
      </c>
      <c r="AW8646" s="1">
        <v>30625</v>
      </c>
      <c r="AX8646">
        <v>1</v>
      </c>
    </row>
    <row r="8647" spans="1:50">
      <c r="B8647" t="str">
        <f>"145455318"</f>
        <v>145455318</v>
      </c>
      <c r="C8647" t="s">
        <v>50</v>
      </c>
      <c r="D8647" t="s">
        <v>10359</v>
      </c>
      <c r="E8647" t="s">
        <v>1418</v>
      </c>
      <c r="F8647" t="s">
        <v>95</v>
      </c>
      <c r="G8647" t="s">
        <v>250</v>
      </c>
      <c r="H8647" t="str">
        <f>"ΛΑΡΝΑΚΟΣ 2 "</f>
        <v xml:space="preserve">ΛΑΡΝΑΚΟΣ 2 </v>
      </c>
      <c r="I8647">
        <v>54453</v>
      </c>
      <c r="J8647">
        <v>2310951661</v>
      </c>
      <c r="K8647">
        <v>6978537418</v>
      </c>
      <c r="N8647" t="s">
        <v>8694</v>
      </c>
      <c r="O8647" t="s">
        <v>8695</v>
      </c>
      <c r="R8647" t="s">
        <v>159</v>
      </c>
      <c r="S8647">
        <v>3</v>
      </c>
      <c r="T8647" t="s">
        <v>8696</v>
      </c>
      <c r="U8647" s="1">
        <v>43348</v>
      </c>
      <c r="V8647" t="s">
        <v>66</v>
      </c>
      <c r="W8647" t="s">
        <v>67</v>
      </c>
      <c r="X8647" t="s">
        <v>58</v>
      </c>
      <c r="Y8647">
        <v>24</v>
      </c>
      <c r="Z8647" t="s">
        <v>59</v>
      </c>
      <c r="AA8647" t="s">
        <v>59</v>
      </c>
      <c r="AB8647" t="s">
        <v>59</v>
      </c>
      <c r="AC8647" t="s">
        <v>59</v>
      </c>
      <c r="AD8647" t="s">
        <v>59</v>
      </c>
      <c r="AF8647" s="1">
        <v>43348</v>
      </c>
      <c r="AG8647" t="s">
        <v>8645</v>
      </c>
      <c r="AH8647" t="s">
        <v>8697</v>
      </c>
      <c r="AI8647" t="str">
        <f>"9410243"</f>
        <v>9410243</v>
      </c>
      <c r="AJ8647" t="s">
        <v>12885</v>
      </c>
      <c r="AK8647">
        <v>2831026710</v>
      </c>
      <c r="AL8647" t="s">
        <v>12886</v>
      </c>
      <c r="AM8647" t="s">
        <v>64</v>
      </c>
      <c r="AN8647" t="s">
        <v>65</v>
      </c>
      <c r="AO8647" t="s">
        <v>65</v>
      </c>
      <c r="AP8647" t="s">
        <v>65</v>
      </c>
      <c r="AQ8647">
        <v>1</v>
      </c>
      <c r="AR8647" t="s">
        <v>66</v>
      </c>
      <c r="AS8647" t="s">
        <v>67</v>
      </c>
      <c r="AT8647" t="s">
        <v>58</v>
      </c>
      <c r="AU8647" t="s">
        <v>350</v>
      </c>
      <c r="AV8647" t="s">
        <v>132</v>
      </c>
      <c r="AW8647" s="1">
        <v>32048</v>
      </c>
      <c r="AX8647">
        <v>1</v>
      </c>
    </row>
    <row r="8648" spans="1:50">
      <c r="A8648">
        <v>611287</v>
      </c>
      <c r="B8648" t="str">
        <f>"067175630"</f>
        <v>067175630</v>
      </c>
      <c r="C8648" t="s">
        <v>50</v>
      </c>
      <c r="D8648" t="s">
        <v>13265</v>
      </c>
      <c r="E8648" t="s">
        <v>73</v>
      </c>
      <c r="F8648" t="s">
        <v>95</v>
      </c>
      <c r="G8648" t="s">
        <v>382</v>
      </c>
      <c r="H8648" t="str">
        <f>"ΚΟΥΡΜΟΥΛΗ 38Α ΡΕΘΥΜΝΟ"</f>
        <v>ΚΟΥΡΜΟΥΛΗ 38Α ΡΕΘΥΜΝΟ</v>
      </c>
      <c r="I8648">
        <v>74100</v>
      </c>
      <c r="J8648">
        <v>2381024640</v>
      </c>
      <c r="K8648">
        <v>6977400460</v>
      </c>
      <c r="N8648" t="s">
        <v>1525</v>
      </c>
      <c r="O8648" t="s">
        <v>1526</v>
      </c>
      <c r="R8648" t="s">
        <v>57</v>
      </c>
      <c r="S8648">
        <v>7</v>
      </c>
      <c r="T8648">
        <v>233</v>
      </c>
      <c r="U8648" s="1">
        <v>38960</v>
      </c>
      <c r="V8648" t="s">
        <v>66</v>
      </c>
      <c r="W8648" t="s">
        <v>67</v>
      </c>
      <c r="X8648" t="s">
        <v>58</v>
      </c>
      <c r="Y8648">
        <v>25</v>
      </c>
      <c r="Z8648" t="s">
        <v>59</v>
      </c>
      <c r="AA8648" t="s">
        <v>59</v>
      </c>
      <c r="AB8648" t="s">
        <v>59</v>
      </c>
      <c r="AC8648" t="s">
        <v>59</v>
      </c>
      <c r="AD8648" t="s">
        <v>59</v>
      </c>
      <c r="AF8648" s="1">
        <v>38961</v>
      </c>
      <c r="AG8648" t="s">
        <v>8651</v>
      </c>
      <c r="AH8648" t="s">
        <v>8652</v>
      </c>
      <c r="AI8648" t="str">
        <f>"9410232"</f>
        <v>9410232</v>
      </c>
      <c r="AJ8648" t="s">
        <v>13013</v>
      </c>
      <c r="AK8648">
        <v>2831032007</v>
      </c>
      <c r="AL8648" t="s">
        <v>13014</v>
      </c>
      <c r="AM8648" t="s">
        <v>64</v>
      </c>
      <c r="AN8648" t="s">
        <v>65</v>
      </c>
      <c r="AO8648" t="s">
        <v>5720</v>
      </c>
      <c r="AP8648" t="s">
        <v>12913</v>
      </c>
      <c r="AQ8648">
        <v>2</v>
      </c>
      <c r="AR8648" t="s">
        <v>66</v>
      </c>
      <c r="AS8648" t="s">
        <v>67</v>
      </c>
      <c r="AT8648" t="s">
        <v>58</v>
      </c>
      <c r="AU8648" t="s">
        <v>68</v>
      </c>
      <c r="AV8648" t="s">
        <v>69</v>
      </c>
      <c r="AW8648" s="1">
        <v>25404</v>
      </c>
      <c r="AX8648">
        <v>1</v>
      </c>
    </row>
    <row r="8649" spans="1:50">
      <c r="A8649">
        <v>609677</v>
      </c>
      <c r="B8649" t="str">
        <f>"115134259"</f>
        <v>115134259</v>
      </c>
      <c r="C8649" t="s">
        <v>105</v>
      </c>
      <c r="D8649" t="s">
        <v>13266</v>
      </c>
      <c r="E8649" t="s">
        <v>377</v>
      </c>
      <c r="F8649" t="s">
        <v>99</v>
      </c>
      <c r="G8649" t="s">
        <v>73</v>
      </c>
      <c r="H8649" t="str">
        <f>"ΒΑΒΟΥΡΑΚΗΔΩΝ  20 ΡΕΘΥΜΝΟ"</f>
        <v>ΒΑΒΟΥΡΑΚΗΔΩΝ  20 ΡΕΘΥΜΝΟ</v>
      </c>
      <c r="I8649">
        <v>74100</v>
      </c>
      <c r="J8649">
        <v>2109925213</v>
      </c>
      <c r="K8649">
        <v>6972895619</v>
      </c>
      <c r="M8649" t="s">
        <v>13267</v>
      </c>
      <c r="N8649" t="s">
        <v>176</v>
      </c>
      <c r="O8649" t="s">
        <v>177</v>
      </c>
      <c r="R8649" t="s">
        <v>57</v>
      </c>
      <c r="S8649">
        <v>6</v>
      </c>
      <c r="T8649">
        <v>225</v>
      </c>
      <c r="U8649" s="1">
        <v>38604</v>
      </c>
      <c r="V8649" t="s">
        <v>66</v>
      </c>
      <c r="W8649" t="s">
        <v>67</v>
      </c>
      <c r="X8649" t="s">
        <v>58</v>
      </c>
      <c r="Y8649">
        <v>23</v>
      </c>
      <c r="Z8649" t="s">
        <v>59</v>
      </c>
      <c r="AA8649" t="s">
        <v>59</v>
      </c>
      <c r="AB8649" t="s">
        <v>59</v>
      </c>
      <c r="AC8649" t="s">
        <v>59</v>
      </c>
      <c r="AD8649" t="s">
        <v>59</v>
      </c>
      <c r="AF8649" s="1">
        <v>38608</v>
      </c>
      <c r="AG8649" t="s">
        <v>8645</v>
      </c>
      <c r="AH8649" t="s">
        <v>8646</v>
      </c>
      <c r="AI8649" t="str">
        <f>"9410159"</f>
        <v>9410159</v>
      </c>
      <c r="AJ8649" t="s">
        <v>12980</v>
      </c>
      <c r="AK8649">
        <v>2831081279</v>
      </c>
      <c r="AL8649" t="s">
        <v>12981</v>
      </c>
      <c r="AM8649" t="s">
        <v>64</v>
      </c>
      <c r="AN8649" t="s">
        <v>65</v>
      </c>
      <c r="AO8649" t="s">
        <v>5657</v>
      </c>
      <c r="AP8649" t="s">
        <v>12982</v>
      </c>
      <c r="AQ8649">
        <v>4</v>
      </c>
      <c r="AR8649" t="s">
        <v>66</v>
      </c>
      <c r="AS8649" t="s">
        <v>67</v>
      </c>
      <c r="AT8649" t="s">
        <v>58</v>
      </c>
      <c r="AU8649" t="s">
        <v>68</v>
      </c>
      <c r="AV8649" t="s">
        <v>69</v>
      </c>
      <c r="AW8649" s="1">
        <v>27587</v>
      </c>
      <c r="AX8649">
        <v>1</v>
      </c>
    </row>
    <row r="8650" spans="1:50">
      <c r="A8650">
        <v>596566</v>
      </c>
      <c r="B8650" t="str">
        <f>"116102444"</f>
        <v>116102444</v>
      </c>
      <c r="C8650" t="s">
        <v>105</v>
      </c>
      <c r="D8650" t="s">
        <v>13268</v>
      </c>
      <c r="E8650" t="s">
        <v>99</v>
      </c>
      <c r="F8650" t="s">
        <v>1316</v>
      </c>
      <c r="G8650" t="s">
        <v>3444</v>
      </c>
      <c r="H8650" t="str">
        <f>"ΚΟΛΟΚΟΤΡΩΝΗ 17 ΡΕΘΥΜΝΟ"</f>
        <v>ΚΟΛΟΚΟΤΡΩΝΗ 17 ΡΕΘΥΜΝΟ</v>
      </c>
      <c r="I8650">
        <v>74100</v>
      </c>
      <c r="J8650">
        <v>2831026652</v>
      </c>
      <c r="K8650">
        <v>6938864815</v>
      </c>
      <c r="M8650" t="s">
        <v>13269</v>
      </c>
      <c r="N8650" t="s">
        <v>615</v>
      </c>
      <c r="O8650" t="s">
        <v>616</v>
      </c>
      <c r="R8650" t="s">
        <v>57</v>
      </c>
      <c r="S8650">
        <v>7</v>
      </c>
      <c r="T8650">
        <v>195</v>
      </c>
      <c r="U8650" s="1">
        <v>37497</v>
      </c>
      <c r="V8650" t="s">
        <v>66</v>
      </c>
      <c r="W8650" t="s">
        <v>67</v>
      </c>
      <c r="X8650" t="s">
        <v>58</v>
      </c>
      <c r="Y8650">
        <v>22</v>
      </c>
      <c r="Z8650" t="s">
        <v>59</v>
      </c>
      <c r="AA8650" t="s">
        <v>59</v>
      </c>
      <c r="AB8650" t="s">
        <v>59</v>
      </c>
      <c r="AC8650" t="s">
        <v>59</v>
      </c>
      <c r="AD8650" t="s">
        <v>59</v>
      </c>
      <c r="AF8650" s="1">
        <v>37502</v>
      </c>
      <c r="AG8650" t="s">
        <v>8645</v>
      </c>
      <c r="AH8650" t="s">
        <v>8646</v>
      </c>
      <c r="AI8650" t="str">
        <f>"9410169"</f>
        <v>9410169</v>
      </c>
      <c r="AJ8650" t="s">
        <v>12936</v>
      </c>
      <c r="AK8650">
        <v>2831031123</v>
      </c>
      <c r="AL8650" t="s">
        <v>12937</v>
      </c>
      <c r="AM8650" t="s">
        <v>64</v>
      </c>
      <c r="AN8650" t="s">
        <v>65</v>
      </c>
      <c r="AO8650" t="s">
        <v>5720</v>
      </c>
      <c r="AP8650" t="s">
        <v>12938</v>
      </c>
      <c r="AQ8650">
        <v>2</v>
      </c>
      <c r="AR8650" t="s">
        <v>66</v>
      </c>
      <c r="AS8650" t="s">
        <v>67</v>
      </c>
      <c r="AT8650" t="s">
        <v>58</v>
      </c>
      <c r="AU8650" t="s">
        <v>68</v>
      </c>
      <c r="AV8650" t="s">
        <v>69</v>
      </c>
      <c r="AW8650" s="1">
        <v>22826</v>
      </c>
      <c r="AX8650">
        <v>1</v>
      </c>
    </row>
    <row r="8651" spans="1:50">
      <c r="A8651">
        <v>622913</v>
      </c>
      <c r="B8651" t="str">
        <f>"044590367"</f>
        <v>044590367</v>
      </c>
      <c r="C8651" t="s">
        <v>50</v>
      </c>
      <c r="D8651" t="s">
        <v>2269</v>
      </c>
      <c r="E8651" t="s">
        <v>52</v>
      </c>
      <c r="F8651" t="s">
        <v>2972</v>
      </c>
      <c r="G8651" t="s">
        <v>1452</v>
      </c>
      <c r="H8651" t="str">
        <f>"ΑΙΣΧΥΛΟΥ 1 ΧΑΝΙΑ"</f>
        <v>ΑΙΣΧΥΛΟΥ 1 ΧΑΝΙΑ</v>
      </c>
      <c r="I8651">
        <v>73100</v>
      </c>
      <c r="J8651">
        <v>2821040837</v>
      </c>
      <c r="K8651">
        <v>6976223150</v>
      </c>
      <c r="N8651" t="s">
        <v>615</v>
      </c>
      <c r="O8651" t="s">
        <v>616</v>
      </c>
      <c r="R8651" t="s">
        <v>57</v>
      </c>
      <c r="S8651">
        <v>13</v>
      </c>
      <c r="T8651">
        <v>163</v>
      </c>
      <c r="U8651" s="1">
        <v>37813</v>
      </c>
      <c r="V8651" t="s">
        <v>66</v>
      </c>
      <c r="W8651" t="s">
        <v>67</v>
      </c>
      <c r="X8651" t="s">
        <v>58</v>
      </c>
      <c r="Y8651">
        <v>21</v>
      </c>
      <c r="Z8651" t="s">
        <v>59</v>
      </c>
      <c r="AA8651" t="s">
        <v>59</v>
      </c>
      <c r="AB8651" t="s">
        <v>59</v>
      </c>
      <c r="AC8651" t="s">
        <v>59</v>
      </c>
      <c r="AD8651" t="s">
        <v>59</v>
      </c>
      <c r="AF8651" s="1">
        <v>40057</v>
      </c>
      <c r="AG8651" t="s">
        <v>8645</v>
      </c>
      <c r="AH8651" t="s">
        <v>8646</v>
      </c>
      <c r="AI8651" t="str">
        <f>"9410170"</f>
        <v>9410170</v>
      </c>
      <c r="AJ8651" t="s">
        <v>12658</v>
      </c>
      <c r="AK8651">
        <v>2831061220</v>
      </c>
      <c r="AL8651" t="s">
        <v>12659</v>
      </c>
      <c r="AM8651" t="s">
        <v>64</v>
      </c>
      <c r="AN8651" t="s">
        <v>65</v>
      </c>
      <c r="AO8651" t="s">
        <v>5657</v>
      </c>
      <c r="AP8651" t="s">
        <v>1437</v>
      </c>
      <c r="AQ8651">
        <v>2</v>
      </c>
      <c r="AR8651" t="s">
        <v>66</v>
      </c>
      <c r="AS8651" t="s">
        <v>67</v>
      </c>
      <c r="AT8651" t="s">
        <v>58</v>
      </c>
      <c r="AU8651" t="s">
        <v>68</v>
      </c>
      <c r="AV8651" t="s">
        <v>2039</v>
      </c>
      <c r="AW8651" s="1">
        <v>24513</v>
      </c>
      <c r="AX8651">
        <v>1</v>
      </c>
    </row>
    <row r="8652" spans="1:50">
      <c r="A8652">
        <v>567843</v>
      </c>
      <c r="B8652" t="str">
        <f>"065497137"</f>
        <v>065497137</v>
      </c>
      <c r="C8652" t="s">
        <v>50</v>
      </c>
      <c r="D8652" t="s">
        <v>2271</v>
      </c>
      <c r="E8652" t="s">
        <v>181</v>
      </c>
      <c r="F8652" t="s">
        <v>2972</v>
      </c>
      <c r="G8652" t="s">
        <v>5422</v>
      </c>
      <c r="H8652" t="str">
        <f>" "</f>
        <v xml:space="preserve"> </v>
      </c>
      <c r="N8652" t="s">
        <v>1525</v>
      </c>
      <c r="O8652" t="s">
        <v>1526</v>
      </c>
      <c r="R8652" t="s">
        <v>57</v>
      </c>
      <c r="S8652">
        <v>14</v>
      </c>
      <c r="T8652">
        <v>133</v>
      </c>
      <c r="U8652" s="1">
        <v>33456</v>
      </c>
      <c r="V8652" t="s">
        <v>66</v>
      </c>
      <c r="W8652" t="s">
        <v>67</v>
      </c>
      <c r="X8652" t="s">
        <v>58</v>
      </c>
      <c r="Y8652">
        <v>25</v>
      </c>
      <c r="Z8652" t="s">
        <v>59</v>
      </c>
      <c r="AA8652" t="s">
        <v>59</v>
      </c>
      <c r="AB8652" t="s">
        <v>59</v>
      </c>
      <c r="AC8652" t="s">
        <v>59</v>
      </c>
      <c r="AD8652" t="s">
        <v>59</v>
      </c>
      <c r="AF8652" s="1">
        <v>33483</v>
      </c>
      <c r="AG8652" t="s">
        <v>8651</v>
      </c>
      <c r="AH8652" t="s">
        <v>8652</v>
      </c>
      <c r="AI8652" t="str">
        <f>"9410231"</f>
        <v>9410231</v>
      </c>
      <c r="AJ8652" t="s">
        <v>12868</v>
      </c>
      <c r="AK8652">
        <v>2831025022</v>
      </c>
      <c r="AL8652" t="s">
        <v>12869</v>
      </c>
      <c r="AM8652" t="s">
        <v>64</v>
      </c>
      <c r="AN8652" t="s">
        <v>65</v>
      </c>
      <c r="AO8652" t="s">
        <v>65</v>
      </c>
      <c r="AP8652" t="s">
        <v>65</v>
      </c>
      <c r="AQ8652">
        <v>1</v>
      </c>
      <c r="AR8652" t="s">
        <v>66</v>
      </c>
      <c r="AS8652" t="s">
        <v>67</v>
      </c>
      <c r="AT8652" t="s">
        <v>58</v>
      </c>
      <c r="AU8652" t="s">
        <v>68</v>
      </c>
      <c r="AV8652" t="s">
        <v>69</v>
      </c>
      <c r="AW8652" s="1">
        <v>23959</v>
      </c>
      <c r="AX8652">
        <v>1</v>
      </c>
    </row>
    <row r="8653" spans="1:50">
      <c r="B8653" t="str">
        <f>"046876783"</f>
        <v>046876783</v>
      </c>
      <c r="C8653" t="s">
        <v>50</v>
      </c>
      <c r="D8653" t="s">
        <v>13270</v>
      </c>
      <c r="E8653" t="s">
        <v>396</v>
      </c>
      <c r="F8653" t="s">
        <v>95</v>
      </c>
      <c r="G8653" t="s">
        <v>237</v>
      </c>
      <c r="H8653" t="str">
        <f>"ΖΥΜΒΡΑΚΑΚΗΔΩΝ 82 ΧΑΝΙΑ"</f>
        <v>ΖΥΜΒΡΑΚΑΚΗΔΩΝ 82 ΧΑΝΙΑ</v>
      </c>
      <c r="I8653">
        <v>73100</v>
      </c>
      <c r="J8653">
        <v>2821075881</v>
      </c>
      <c r="K8653">
        <v>6944178473</v>
      </c>
      <c r="N8653" t="s">
        <v>176</v>
      </c>
      <c r="O8653" t="s">
        <v>177</v>
      </c>
      <c r="R8653" t="s">
        <v>57</v>
      </c>
      <c r="S8653">
        <v>4</v>
      </c>
      <c r="T8653" t="s">
        <v>8675</v>
      </c>
      <c r="U8653" s="1">
        <v>43348</v>
      </c>
      <c r="V8653" t="s">
        <v>66</v>
      </c>
      <c r="W8653" t="s">
        <v>67</v>
      </c>
      <c r="X8653" t="s">
        <v>58</v>
      </c>
      <c r="Y8653">
        <v>24</v>
      </c>
      <c r="Z8653" t="s">
        <v>59</v>
      </c>
      <c r="AA8653" t="s">
        <v>59</v>
      </c>
      <c r="AB8653" t="s">
        <v>59</v>
      </c>
      <c r="AC8653" t="s">
        <v>59</v>
      </c>
      <c r="AD8653" t="s">
        <v>59</v>
      </c>
      <c r="AF8653" s="1">
        <v>43348</v>
      </c>
      <c r="AG8653" t="s">
        <v>8645</v>
      </c>
      <c r="AH8653" t="s">
        <v>8646</v>
      </c>
      <c r="AI8653" t="str">
        <f>"9410061"</f>
        <v>9410061</v>
      </c>
      <c r="AJ8653" t="s">
        <v>12760</v>
      </c>
      <c r="AK8653">
        <v>2831024378</v>
      </c>
      <c r="AL8653" t="s">
        <v>12761</v>
      </c>
      <c r="AM8653" t="s">
        <v>64</v>
      </c>
      <c r="AN8653" t="s">
        <v>65</v>
      </c>
      <c r="AO8653" t="s">
        <v>65</v>
      </c>
      <c r="AP8653" t="s">
        <v>65</v>
      </c>
      <c r="AQ8653">
        <v>1</v>
      </c>
      <c r="AR8653" t="s">
        <v>66</v>
      </c>
      <c r="AS8653" t="s">
        <v>67</v>
      </c>
      <c r="AT8653" t="s">
        <v>58</v>
      </c>
      <c r="AU8653" t="s">
        <v>8673</v>
      </c>
      <c r="AV8653" t="s">
        <v>132</v>
      </c>
      <c r="AW8653" s="1">
        <v>26095</v>
      </c>
      <c r="AX8653">
        <v>1</v>
      </c>
    </row>
    <row r="8654" spans="1:50">
      <c r="A8654">
        <v>618864</v>
      </c>
      <c r="B8654" t="str">
        <f>"124498711"</f>
        <v>124498711</v>
      </c>
      <c r="C8654" t="s">
        <v>50</v>
      </c>
      <c r="D8654" t="s">
        <v>13270</v>
      </c>
      <c r="E8654" t="s">
        <v>83</v>
      </c>
      <c r="F8654" t="s">
        <v>949</v>
      </c>
      <c r="G8654" t="s">
        <v>73</v>
      </c>
      <c r="H8654" t="str">
        <f>"ΚΑΠΟΔΙΣΤΡΙΟΥ 40 ΡΕΘΥΜΝΟ"</f>
        <v>ΚΑΠΟΔΙΣΤΡΙΟΥ 40 ΡΕΘΥΜΝΟ</v>
      </c>
      <c r="I8654">
        <v>74100</v>
      </c>
      <c r="J8654">
        <v>2831300959</v>
      </c>
      <c r="K8654">
        <v>6974026703</v>
      </c>
      <c r="M8654" t="s">
        <v>13271</v>
      </c>
      <c r="N8654" t="s">
        <v>615</v>
      </c>
      <c r="O8654" t="s">
        <v>616</v>
      </c>
      <c r="R8654" t="s">
        <v>57</v>
      </c>
      <c r="S8654">
        <v>5</v>
      </c>
      <c r="T8654">
        <v>774</v>
      </c>
      <c r="U8654" s="1">
        <v>39680</v>
      </c>
      <c r="V8654" t="s">
        <v>66</v>
      </c>
      <c r="W8654" t="s">
        <v>67</v>
      </c>
      <c r="X8654" t="s">
        <v>58</v>
      </c>
      <c r="Y8654">
        <v>25</v>
      </c>
      <c r="Z8654" t="s">
        <v>59</v>
      </c>
      <c r="AA8654" t="s">
        <v>59</v>
      </c>
      <c r="AB8654" t="s">
        <v>59</v>
      </c>
      <c r="AC8654" t="s">
        <v>59</v>
      </c>
      <c r="AD8654" t="s">
        <v>59</v>
      </c>
      <c r="AF8654" s="1">
        <v>39681</v>
      </c>
      <c r="AG8654" t="s">
        <v>8645</v>
      </c>
      <c r="AH8654" t="s">
        <v>8676</v>
      </c>
      <c r="AI8654" t="str">
        <f>"9410055"</f>
        <v>9410055</v>
      </c>
      <c r="AJ8654" t="s">
        <v>12677</v>
      </c>
      <c r="AK8654">
        <v>2834051109</v>
      </c>
      <c r="AL8654" t="s">
        <v>12678</v>
      </c>
      <c r="AM8654" t="s">
        <v>64</v>
      </c>
      <c r="AN8654" t="s">
        <v>5672</v>
      </c>
      <c r="AO8654" t="s">
        <v>5673</v>
      </c>
      <c r="AP8654" t="s">
        <v>12679</v>
      </c>
      <c r="AQ8654">
        <v>10</v>
      </c>
      <c r="AR8654" t="s">
        <v>66</v>
      </c>
      <c r="AS8654" t="s">
        <v>67</v>
      </c>
      <c r="AT8654" t="s">
        <v>58</v>
      </c>
      <c r="AU8654" t="s">
        <v>68</v>
      </c>
      <c r="AV8654" t="s">
        <v>69</v>
      </c>
      <c r="AW8654" s="1">
        <v>31448</v>
      </c>
      <c r="AX8654">
        <v>1</v>
      </c>
    </row>
    <row r="8655" spans="1:50">
      <c r="A8655">
        <v>586708</v>
      </c>
      <c r="B8655" t="str">
        <f>"065416723"</f>
        <v>065416723</v>
      </c>
      <c r="C8655" t="s">
        <v>50</v>
      </c>
      <c r="D8655" t="s">
        <v>13272</v>
      </c>
      <c r="E8655" t="s">
        <v>476</v>
      </c>
      <c r="F8655" t="s">
        <v>965</v>
      </c>
      <c r="G8655" t="s">
        <v>7681</v>
      </c>
      <c r="H8655" t="str">
        <f>"ΜΙΧΑΗΛ ΜΑΡΑΚΗ 7 ΡΕΘΥΜΝΟ"</f>
        <v>ΜΙΧΑΗΛ ΜΑΡΑΚΗ 7 ΡΕΘΥΜΝΟ</v>
      </c>
      <c r="I8655">
        <v>74100</v>
      </c>
      <c r="J8655">
        <v>2831057476</v>
      </c>
      <c r="K8655">
        <v>6974997363</v>
      </c>
      <c r="M8655" t="s">
        <v>13273</v>
      </c>
      <c r="N8655" t="s">
        <v>615</v>
      </c>
      <c r="O8655" t="s">
        <v>616</v>
      </c>
      <c r="R8655" t="s">
        <v>57</v>
      </c>
      <c r="S8655">
        <v>10</v>
      </c>
      <c r="T8655">
        <v>165</v>
      </c>
      <c r="U8655" s="1">
        <v>36040</v>
      </c>
      <c r="V8655" t="s">
        <v>66</v>
      </c>
      <c r="W8655" t="s">
        <v>67</v>
      </c>
      <c r="X8655" t="s">
        <v>58</v>
      </c>
      <c r="Y8655">
        <v>21</v>
      </c>
      <c r="Z8655" t="s">
        <v>59</v>
      </c>
      <c r="AA8655" t="s">
        <v>59</v>
      </c>
      <c r="AB8655" t="s">
        <v>59</v>
      </c>
      <c r="AC8655" t="s">
        <v>59</v>
      </c>
      <c r="AD8655" t="s">
        <v>59</v>
      </c>
      <c r="AF8655" s="1">
        <v>36041</v>
      </c>
      <c r="AG8655" t="s">
        <v>8645</v>
      </c>
      <c r="AH8655" t="s">
        <v>8646</v>
      </c>
      <c r="AI8655" t="str">
        <f>"9410257"</f>
        <v>9410257</v>
      </c>
      <c r="AJ8655" t="s">
        <v>12828</v>
      </c>
      <c r="AK8655">
        <v>2831056242</v>
      </c>
      <c r="AL8655" t="s">
        <v>12829</v>
      </c>
      <c r="AM8655" t="s">
        <v>64</v>
      </c>
      <c r="AN8655" t="s">
        <v>65</v>
      </c>
      <c r="AO8655" t="s">
        <v>65</v>
      </c>
      <c r="AP8655" t="s">
        <v>65</v>
      </c>
      <c r="AQ8655">
        <v>1</v>
      </c>
      <c r="AR8655" t="s">
        <v>66</v>
      </c>
      <c r="AS8655" t="s">
        <v>67</v>
      </c>
      <c r="AT8655" t="s">
        <v>58</v>
      </c>
      <c r="AU8655" t="s">
        <v>68</v>
      </c>
      <c r="AV8655" t="s">
        <v>69</v>
      </c>
      <c r="AW8655" s="1">
        <v>25634</v>
      </c>
      <c r="AX8655">
        <v>1</v>
      </c>
    </row>
    <row r="8656" spans="1:50">
      <c r="A8656">
        <v>601242</v>
      </c>
      <c r="B8656" t="str">
        <f>"077135129"</f>
        <v>077135129</v>
      </c>
      <c r="C8656" t="s">
        <v>105</v>
      </c>
      <c r="D8656" t="s">
        <v>13274</v>
      </c>
      <c r="E8656" t="s">
        <v>99</v>
      </c>
      <c r="F8656" t="s">
        <v>6863</v>
      </c>
      <c r="G8656" t="s">
        <v>563</v>
      </c>
      <c r="H8656" t="str">
        <f>" "</f>
        <v xml:space="preserve"> </v>
      </c>
      <c r="J8656">
        <v>2831057476</v>
      </c>
      <c r="K8656">
        <v>6945709866</v>
      </c>
      <c r="N8656" t="s">
        <v>615</v>
      </c>
      <c r="O8656" t="s">
        <v>616</v>
      </c>
      <c r="R8656" t="s">
        <v>57</v>
      </c>
      <c r="S8656">
        <v>9</v>
      </c>
      <c r="T8656">
        <v>207</v>
      </c>
      <c r="U8656" s="1">
        <v>37866</v>
      </c>
      <c r="V8656" t="s">
        <v>66</v>
      </c>
      <c r="W8656" t="s">
        <v>67</v>
      </c>
      <c r="X8656" t="s">
        <v>58</v>
      </c>
      <c r="Y8656">
        <v>22</v>
      </c>
      <c r="Z8656" t="s">
        <v>59</v>
      </c>
      <c r="AA8656" t="s">
        <v>59</v>
      </c>
      <c r="AB8656" t="s">
        <v>59</v>
      </c>
      <c r="AC8656" t="s">
        <v>59</v>
      </c>
      <c r="AD8656" t="s">
        <v>59</v>
      </c>
      <c r="AF8656" s="1">
        <v>37866</v>
      </c>
      <c r="AG8656" t="s">
        <v>8645</v>
      </c>
      <c r="AH8656" t="s">
        <v>8697</v>
      </c>
      <c r="AI8656" t="str">
        <f>"9410243"</f>
        <v>9410243</v>
      </c>
      <c r="AJ8656" t="s">
        <v>12885</v>
      </c>
      <c r="AK8656">
        <v>2831026710</v>
      </c>
      <c r="AL8656" t="s">
        <v>12886</v>
      </c>
      <c r="AM8656" t="s">
        <v>64</v>
      </c>
      <c r="AN8656" t="s">
        <v>65</v>
      </c>
      <c r="AO8656" t="s">
        <v>65</v>
      </c>
      <c r="AP8656" t="s">
        <v>65</v>
      </c>
      <c r="AQ8656">
        <v>1</v>
      </c>
      <c r="AR8656" t="s">
        <v>66</v>
      </c>
      <c r="AS8656" t="s">
        <v>67</v>
      </c>
      <c r="AT8656" t="s">
        <v>58</v>
      </c>
      <c r="AU8656" t="s">
        <v>68</v>
      </c>
      <c r="AV8656" t="s">
        <v>69</v>
      </c>
      <c r="AW8656" s="1">
        <v>26233</v>
      </c>
      <c r="AX8656">
        <v>1</v>
      </c>
    </row>
    <row r="8657" spans="1:50">
      <c r="A8657">
        <v>617229</v>
      </c>
      <c r="B8657" t="str">
        <f>"079491851"</f>
        <v>079491851</v>
      </c>
      <c r="C8657" t="s">
        <v>50</v>
      </c>
      <c r="D8657" t="s">
        <v>13275</v>
      </c>
      <c r="E8657" t="s">
        <v>143</v>
      </c>
      <c r="F8657" t="s">
        <v>510</v>
      </c>
      <c r="G8657" t="s">
        <v>52</v>
      </c>
      <c r="H8657" t="str">
        <f>"ΔΗΜΑΚΟΠΟΥΛΟΥ 15 ΡΕΘΥΜΝΟ"</f>
        <v>ΔΗΜΑΚΟΠΟΥΛΟΥ 15 ΡΕΘΥΜΝΟ</v>
      </c>
      <c r="I8657">
        <v>74100</v>
      </c>
      <c r="J8657">
        <v>2109883317</v>
      </c>
      <c r="K8657">
        <v>6934020043</v>
      </c>
      <c r="N8657" t="s">
        <v>615</v>
      </c>
      <c r="O8657" t="s">
        <v>616</v>
      </c>
      <c r="R8657" t="s">
        <v>57</v>
      </c>
      <c r="S8657">
        <v>6</v>
      </c>
      <c r="T8657">
        <v>774</v>
      </c>
      <c r="U8657" s="1">
        <v>39680</v>
      </c>
      <c r="V8657" t="s">
        <v>66</v>
      </c>
      <c r="W8657" t="s">
        <v>67</v>
      </c>
      <c r="X8657" t="s">
        <v>58</v>
      </c>
      <c r="Y8657">
        <v>23</v>
      </c>
      <c r="Z8657" t="s">
        <v>59</v>
      </c>
      <c r="AA8657" t="s">
        <v>59</v>
      </c>
      <c r="AB8657" t="s">
        <v>59</v>
      </c>
      <c r="AC8657" t="s">
        <v>59</v>
      </c>
      <c r="AD8657" t="s">
        <v>59</v>
      </c>
      <c r="AF8657" s="1">
        <v>39681</v>
      </c>
      <c r="AG8657" t="s">
        <v>8645</v>
      </c>
      <c r="AH8657" t="s">
        <v>8646</v>
      </c>
      <c r="AI8657" t="str">
        <f>"9410072"</f>
        <v>9410072</v>
      </c>
      <c r="AJ8657" t="s">
        <v>12692</v>
      </c>
      <c r="AK8657">
        <v>2831071264</v>
      </c>
      <c r="AL8657" t="s">
        <v>12693</v>
      </c>
      <c r="AM8657" t="s">
        <v>64</v>
      </c>
      <c r="AN8657" t="s">
        <v>65</v>
      </c>
      <c r="AO8657" t="s">
        <v>12694</v>
      </c>
      <c r="AP8657" t="s">
        <v>12695</v>
      </c>
      <c r="AQ8657">
        <v>3</v>
      </c>
      <c r="AR8657" t="s">
        <v>66</v>
      </c>
      <c r="AS8657" t="s">
        <v>67</v>
      </c>
      <c r="AT8657" t="s">
        <v>58</v>
      </c>
      <c r="AU8657" t="s">
        <v>68</v>
      </c>
      <c r="AV8657" t="s">
        <v>69</v>
      </c>
      <c r="AW8657" s="1">
        <v>30514</v>
      </c>
      <c r="AX8657">
        <v>1</v>
      </c>
    </row>
    <row r="8658" spans="1:50">
      <c r="B8658" t="str">
        <f>"146498469"</f>
        <v>146498469</v>
      </c>
      <c r="C8658" t="s">
        <v>105</v>
      </c>
      <c r="D8658" t="s">
        <v>13276</v>
      </c>
      <c r="E8658" t="s">
        <v>53</v>
      </c>
      <c r="F8658" t="s">
        <v>84</v>
      </c>
      <c r="G8658" t="s">
        <v>181</v>
      </c>
      <c r="H8658" t="str">
        <f>" "</f>
        <v xml:space="preserve"> </v>
      </c>
      <c r="N8658" t="s">
        <v>8834</v>
      </c>
      <c r="O8658" t="s">
        <v>8695</v>
      </c>
      <c r="R8658" t="s">
        <v>121</v>
      </c>
      <c r="S8658">
        <v>3</v>
      </c>
      <c r="T8658" t="s">
        <v>8835</v>
      </c>
      <c r="U8658" s="1">
        <v>43348</v>
      </c>
      <c r="V8658" t="s">
        <v>66</v>
      </c>
      <c r="W8658" t="s">
        <v>67</v>
      </c>
      <c r="X8658" t="s">
        <v>58</v>
      </c>
      <c r="Y8658">
        <v>24</v>
      </c>
      <c r="Z8658" t="s">
        <v>59</v>
      </c>
      <c r="AA8658" t="s">
        <v>59</v>
      </c>
      <c r="AB8658" t="s">
        <v>59</v>
      </c>
      <c r="AD8658" t="s">
        <v>59</v>
      </c>
      <c r="AF8658" s="1">
        <v>43348</v>
      </c>
      <c r="AG8658" t="s">
        <v>8645</v>
      </c>
      <c r="AH8658" t="s">
        <v>8646</v>
      </c>
      <c r="AI8658" t="str">
        <f>"9410033"</f>
        <v>9410033</v>
      </c>
      <c r="AJ8658" t="s">
        <v>12778</v>
      </c>
      <c r="AK8658">
        <v>2834061210</v>
      </c>
      <c r="AL8658" t="s">
        <v>12779</v>
      </c>
      <c r="AM8658" t="s">
        <v>64</v>
      </c>
      <c r="AN8658" t="s">
        <v>5672</v>
      </c>
      <c r="AO8658" t="s">
        <v>12780</v>
      </c>
      <c r="AP8658" t="s">
        <v>12780</v>
      </c>
      <c r="AQ8658">
        <v>9</v>
      </c>
      <c r="AR8658" t="s">
        <v>66</v>
      </c>
      <c r="AS8658" t="s">
        <v>67</v>
      </c>
      <c r="AT8658" t="s">
        <v>58</v>
      </c>
      <c r="AU8658" t="s">
        <v>131</v>
      </c>
      <c r="AV8658" t="s">
        <v>132</v>
      </c>
      <c r="AW8658" s="1">
        <v>33406</v>
      </c>
      <c r="AX8658">
        <v>1</v>
      </c>
    </row>
    <row r="8659" spans="1:50">
      <c r="A8659">
        <v>563474</v>
      </c>
      <c r="B8659" t="str">
        <f>"032976906"</f>
        <v>032976906</v>
      </c>
      <c r="C8659" t="s">
        <v>50</v>
      </c>
      <c r="D8659" t="s">
        <v>2279</v>
      </c>
      <c r="E8659" t="s">
        <v>1204</v>
      </c>
      <c r="F8659" t="s">
        <v>609</v>
      </c>
      <c r="G8659" t="s">
        <v>191</v>
      </c>
      <c r="H8659" t="str">
        <f>" "</f>
        <v xml:space="preserve"> </v>
      </c>
      <c r="N8659" t="s">
        <v>615</v>
      </c>
      <c r="O8659" t="s">
        <v>616</v>
      </c>
      <c r="R8659" t="s">
        <v>57</v>
      </c>
      <c r="S8659">
        <v>15</v>
      </c>
      <c r="T8659">
        <v>194</v>
      </c>
      <c r="U8659" s="1">
        <v>32762</v>
      </c>
      <c r="V8659" t="s">
        <v>66</v>
      </c>
      <c r="W8659" t="s">
        <v>67</v>
      </c>
      <c r="X8659" t="s">
        <v>58</v>
      </c>
      <c r="Y8659">
        <v>21</v>
      </c>
      <c r="Z8659" t="s">
        <v>59</v>
      </c>
      <c r="AA8659" t="s">
        <v>59</v>
      </c>
      <c r="AB8659" t="s">
        <v>59</v>
      </c>
      <c r="AC8659" t="s">
        <v>59</v>
      </c>
      <c r="AD8659" t="s">
        <v>59</v>
      </c>
      <c r="AF8659" s="1">
        <v>32765</v>
      </c>
      <c r="AG8659" t="s">
        <v>8645</v>
      </c>
      <c r="AH8659" t="s">
        <v>8646</v>
      </c>
      <c r="AI8659" t="str">
        <f>"9410072"</f>
        <v>9410072</v>
      </c>
      <c r="AJ8659" t="s">
        <v>12692</v>
      </c>
      <c r="AK8659">
        <v>2831071264</v>
      </c>
      <c r="AL8659" t="s">
        <v>12693</v>
      </c>
      <c r="AM8659" t="s">
        <v>64</v>
      </c>
      <c r="AN8659" t="s">
        <v>65</v>
      </c>
      <c r="AO8659" t="s">
        <v>12694</v>
      </c>
      <c r="AP8659" t="s">
        <v>12695</v>
      </c>
      <c r="AQ8659">
        <v>3</v>
      </c>
      <c r="AR8659" t="s">
        <v>66</v>
      </c>
      <c r="AS8659" t="s">
        <v>67</v>
      </c>
      <c r="AT8659" t="s">
        <v>58</v>
      </c>
      <c r="AU8659" t="s">
        <v>68</v>
      </c>
      <c r="AV8659" t="s">
        <v>2039</v>
      </c>
      <c r="AW8659" s="1">
        <v>23569</v>
      </c>
      <c r="AX8659">
        <v>1</v>
      </c>
    </row>
    <row r="8660" spans="1:50">
      <c r="B8660" t="str">
        <f>"155018519"</f>
        <v>155018519</v>
      </c>
      <c r="C8660" t="s">
        <v>50</v>
      </c>
      <c r="D8660" t="s">
        <v>13277</v>
      </c>
      <c r="E8660" t="s">
        <v>255</v>
      </c>
      <c r="F8660" t="s">
        <v>95</v>
      </c>
      <c r="G8660" t="s">
        <v>143</v>
      </c>
      <c r="H8660" t="str">
        <f>" "</f>
        <v xml:space="preserve"> </v>
      </c>
      <c r="J8660">
        <v>2831400758</v>
      </c>
      <c r="K8660">
        <v>6937098260</v>
      </c>
      <c r="L8660">
        <v>2831050674</v>
      </c>
      <c r="N8660" t="s">
        <v>615</v>
      </c>
      <c r="O8660" t="s">
        <v>616</v>
      </c>
      <c r="R8660" t="s">
        <v>159</v>
      </c>
      <c r="S8660">
        <v>1</v>
      </c>
      <c r="T8660" t="s">
        <v>8675</v>
      </c>
      <c r="U8660" s="1">
        <v>43348</v>
      </c>
      <c r="V8660" t="s">
        <v>66</v>
      </c>
      <c r="W8660" t="s">
        <v>67</v>
      </c>
      <c r="X8660" t="s">
        <v>58</v>
      </c>
      <c r="Y8660">
        <v>24</v>
      </c>
      <c r="Z8660" t="s">
        <v>59</v>
      </c>
      <c r="AA8660" t="s">
        <v>59</v>
      </c>
      <c r="AB8660" t="s">
        <v>59</v>
      </c>
      <c r="AC8660" t="s">
        <v>59</v>
      </c>
      <c r="AD8660" t="s">
        <v>59</v>
      </c>
      <c r="AF8660" s="1">
        <v>43348</v>
      </c>
      <c r="AG8660" t="s">
        <v>8645</v>
      </c>
      <c r="AH8660" t="s">
        <v>8646</v>
      </c>
      <c r="AI8660" t="str">
        <f>"9410120"</f>
        <v>9410120</v>
      </c>
      <c r="AJ8660" t="s">
        <v>12681</v>
      </c>
      <c r="AK8660">
        <v>6978148714</v>
      </c>
      <c r="AL8660" t="s">
        <v>12682</v>
      </c>
      <c r="AM8660" t="s">
        <v>64</v>
      </c>
      <c r="AN8660" t="s">
        <v>5882</v>
      </c>
      <c r="AO8660" t="s">
        <v>5883</v>
      </c>
      <c r="AP8660" t="s">
        <v>5884</v>
      </c>
      <c r="AQ8660">
        <v>5</v>
      </c>
      <c r="AR8660" t="s">
        <v>66</v>
      </c>
      <c r="AS8660" t="s">
        <v>67</v>
      </c>
      <c r="AT8660" t="s">
        <v>58</v>
      </c>
      <c r="AU8660" t="s">
        <v>8673</v>
      </c>
      <c r="AV8660" t="s">
        <v>132</v>
      </c>
      <c r="AW8660" s="1">
        <v>32358</v>
      </c>
      <c r="AX8660">
        <v>1</v>
      </c>
    </row>
    <row r="8661" spans="1:50">
      <c r="B8661" t="str">
        <f>"059005733"</f>
        <v>059005733</v>
      </c>
      <c r="C8661" t="s">
        <v>105</v>
      </c>
      <c r="D8661" t="s">
        <v>13278</v>
      </c>
      <c r="E8661" t="s">
        <v>95</v>
      </c>
      <c r="F8661" t="s">
        <v>99</v>
      </c>
      <c r="G8661" t="s">
        <v>4491</v>
      </c>
      <c r="H8661" t="str">
        <f>"ΜΑΞΙΜΟΥ ΓΡΑΙΚΟΥ 37 ΑΡΤΑ"</f>
        <v>ΜΑΞΙΜΟΥ ΓΡΑΙΚΟΥ 37 ΑΡΤΑ</v>
      </c>
      <c r="I8661">
        <v>47100</v>
      </c>
      <c r="J8661">
        <v>2681024718</v>
      </c>
      <c r="K8661">
        <v>6974587334</v>
      </c>
      <c r="N8661" t="s">
        <v>176</v>
      </c>
      <c r="O8661" t="s">
        <v>177</v>
      </c>
      <c r="R8661" t="s">
        <v>159</v>
      </c>
      <c r="S8661">
        <v>3</v>
      </c>
      <c r="T8661" t="s">
        <v>8675</v>
      </c>
      <c r="U8661" s="1">
        <v>43348</v>
      </c>
      <c r="V8661" t="s">
        <v>66</v>
      </c>
      <c r="W8661" t="s">
        <v>67</v>
      </c>
      <c r="X8661" t="s">
        <v>58</v>
      </c>
      <c r="Y8661">
        <v>24</v>
      </c>
      <c r="Z8661" t="s">
        <v>59</v>
      </c>
      <c r="AA8661" t="s">
        <v>59</v>
      </c>
      <c r="AB8661" t="s">
        <v>59</v>
      </c>
      <c r="AC8661" t="s">
        <v>59</v>
      </c>
      <c r="AD8661" t="s">
        <v>59</v>
      </c>
      <c r="AF8661" s="1">
        <v>43348</v>
      </c>
      <c r="AG8661" t="s">
        <v>8645</v>
      </c>
      <c r="AH8661" t="s">
        <v>8646</v>
      </c>
      <c r="AI8661" t="str">
        <f>"9410044"</f>
        <v>9410044</v>
      </c>
      <c r="AJ8661" t="s">
        <v>13257</v>
      </c>
      <c r="AK8661">
        <v>2834094218</v>
      </c>
      <c r="AL8661" t="s">
        <v>13258</v>
      </c>
      <c r="AM8661" t="s">
        <v>64</v>
      </c>
      <c r="AN8661" t="s">
        <v>5672</v>
      </c>
      <c r="AO8661" t="s">
        <v>5673</v>
      </c>
      <c r="AP8661" t="s">
        <v>13259</v>
      </c>
      <c r="AQ8661">
        <v>10</v>
      </c>
      <c r="AR8661" t="s">
        <v>66</v>
      </c>
      <c r="AS8661" t="s">
        <v>67</v>
      </c>
      <c r="AT8661" t="s">
        <v>58</v>
      </c>
      <c r="AU8661" t="s">
        <v>8673</v>
      </c>
      <c r="AV8661" t="s">
        <v>132</v>
      </c>
      <c r="AW8661" s="1">
        <v>23809</v>
      </c>
      <c r="AX8661">
        <v>1</v>
      </c>
    </row>
    <row r="8662" spans="1:50">
      <c r="A8662">
        <v>607352</v>
      </c>
      <c r="B8662" t="str">
        <f>"109129988"</f>
        <v>109129988</v>
      </c>
      <c r="C8662" t="s">
        <v>50</v>
      </c>
      <c r="D8662" t="s">
        <v>13279</v>
      </c>
      <c r="E8662" t="s">
        <v>620</v>
      </c>
      <c r="F8662" t="s">
        <v>166</v>
      </c>
      <c r="G8662" t="s">
        <v>255</v>
      </c>
      <c r="H8662" t="str">
        <f>" "</f>
        <v xml:space="preserve"> </v>
      </c>
      <c r="J8662">
        <v>2831075308</v>
      </c>
      <c r="K8662">
        <v>6945930719</v>
      </c>
      <c r="N8662" t="s">
        <v>615</v>
      </c>
      <c r="O8662" t="s">
        <v>616</v>
      </c>
      <c r="R8662" t="s">
        <v>57</v>
      </c>
      <c r="S8662">
        <v>7</v>
      </c>
      <c r="T8662">
        <v>217</v>
      </c>
      <c r="U8662" s="1">
        <v>38596</v>
      </c>
      <c r="V8662" t="s">
        <v>66</v>
      </c>
      <c r="W8662" t="s">
        <v>67</v>
      </c>
      <c r="X8662" t="s">
        <v>58</v>
      </c>
      <c r="Y8662">
        <v>23</v>
      </c>
      <c r="Z8662" t="s">
        <v>59</v>
      </c>
      <c r="AA8662" t="s">
        <v>59</v>
      </c>
      <c r="AB8662" t="s">
        <v>59</v>
      </c>
      <c r="AC8662" t="s">
        <v>59</v>
      </c>
      <c r="AD8662" t="s">
        <v>59</v>
      </c>
      <c r="AF8662" s="1">
        <v>38600</v>
      </c>
      <c r="AG8662" t="s">
        <v>8645</v>
      </c>
      <c r="AH8662" t="s">
        <v>8646</v>
      </c>
      <c r="AI8662" t="str">
        <f>"9410082"</f>
        <v>9410082</v>
      </c>
      <c r="AJ8662" t="s">
        <v>13195</v>
      </c>
      <c r="AK8662">
        <v>2831075013</v>
      </c>
      <c r="AL8662" t="s">
        <v>13196</v>
      </c>
      <c r="AM8662" t="s">
        <v>64</v>
      </c>
      <c r="AN8662" t="s">
        <v>65</v>
      </c>
      <c r="AO8662" t="s">
        <v>65</v>
      </c>
      <c r="AP8662" t="s">
        <v>12884</v>
      </c>
      <c r="AQ8662">
        <v>3</v>
      </c>
      <c r="AR8662" t="s">
        <v>66</v>
      </c>
      <c r="AS8662" t="s">
        <v>67</v>
      </c>
      <c r="AT8662" t="s">
        <v>58</v>
      </c>
      <c r="AU8662" t="s">
        <v>68</v>
      </c>
      <c r="AV8662" t="s">
        <v>69</v>
      </c>
      <c r="AW8662" s="1">
        <v>29781</v>
      </c>
      <c r="AX8662">
        <v>1</v>
      </c>
    </row>
    <row r="8663" spans="1:50">
      <c r="A8663">
        <v>621804</v>
      </c>
      <c r="B8663" t="str">
        <f>"121062922"</f>
        <v>121062922</v>
      </c>
      <c r="C8663" t="s">
        <v>50</v>
      </c>
      <c r="D8663" t="s">
        <v>13280</v>
      </c>
      <c r="E8663" t="s">
        <v>1085</v>
      </c>
      <c r="F8663" t="s">
        <v>609</v>
      </c>
      <c r="G8663" t="s">
        <v>3249</v>
      </c>
      <c r="H8663" t="str">
        <f>"ΓΕΩΡ, ΑΝΔΡΟΥΛΙΔΑΚΗ 18 ΡΕΘΥΜΝΟ"</f>
        <v>ΓΕΩΡ, ΑΝΔΡΟΥΛΙΔΑΚΗ 18 ΡΕΘΥΜΝΟ</v>
      </c>
      <c r="I8663">
        <v>74100</v>
      </c>
      <c r="J8663">
        <v>2831102775</v>
      </c>
      <c r="K8663">
        <v>6944265775</v>
      </c>
      <c r="N8663" t="s">
        <v>615</v>
      </c>
      <c r="O8663" t="s">
        <v>616</v>
      </c>
      <c r="R8663" t="s">
        <v>57</v>
      </c>
      <c r="S8663">
        <v>4</v>
      </c>
      <c r="T8663">
        <v>653</v>
      </c>
      <c r="U8663" s="1">
        <v>40043</v>
      </c>
      <c r="V8663" t="s">
        <v>66</v>
      </c>
      <c r="W8663" t="s">
        <v>67</v>
      </c>
      <c r="X8663" t="s">
        <v>58</v>
      </c>
      <c r="Y8663">
        <v>23</v>
      </c>
      <c r="Z8663" t="s">
        <v>59</v>
      </c>
      <c r="AA8663" t="s">
        <v>59</v>
      </c>
      <c r="AB8663" t="s">
        <v>59</v>
      </c>
      <c r="AC8663" t="s">
        <v>59</v>
      </c>
      <c r="AD8663" t="s">
        <v>59</v>
      </c>
      <c r="AF8663" s="1">
        <v>40043</v>
      </c>
      <c r="AG8663" t="s">
        <v>8645</v>
      </c>
      <c r="AH8663" t="s">
        <v>8646</v>
      </c>
      <c r="AI8663" t="str">
        <f>"9410051"</f>
        <v>9410051</v>
      </c>
      <c r="AJ8663" t="s">
        <v>12660</v>
      </c>
      <c r="AK8663">
        <v>2834022247</v>
      </c>
      <c r="AL8663" t="s">
        <v>12661</v>
      </c>
      <c r="AM8663" t="s">
        <v>64</v>
      </c>
      <c r="AN8663" t="s">
        <v>5672</v>
      </c>
      <c r="AO8663" t="s">
        <v>5673</v>
      </c>
      <c r="AP8663" t="s">
        <v>5689</v>
      </c>
      <c r="AQ8663">
        <v>7</v>
      </c>
      <c r="AR8663" t="s">
        <v>66</v>
      </c>
      <c r="AS8663" t="s">
        <v>67</v>
      </c>
      <c r="AT8663" t="s">
        <v>58</v>
      </c>
      <c r="AU8663" t="s">
        <v>68</v>
      </c>
      <c r="AV8663" t="s">
        <v>69</v>
      </c>
      <c r="AW8663" s="1">
        <v>25245</v>
      </c>
      <c r="AX8663">
        <v>1</v>
      </c>
    </row>
    <row r="8664" spans="1:50">
      <c r="B8664" t="str">
        <f>"138983082"</f>
        <v>138983082</v>
      </c>
      <c r="C8664" t="s">
        <v>50</v>
      </c>
      <c r="D8664" t="s">
        <v>13281</v>
      </c>
      <c r="E8664" t="s">
        <v>513</v>
      </c>
      <c r="F8664" t="s">
        <v>230</v>
      </c>
      <c r="G8664" t="s">
        <v>6169</v>
      </c>
      <c r="H8664" t="str">
        <f>"ΛΑΠΠΑ 37 ΜΑΣΤΑΜΠΑΣ"</f>
        <v>ΛΑΠΠΑ 37 ΜΑΣΤΑΜΠΑΣ</v>
      </c>
      <c r="I8664">
        <v>71305</v>
      </c>
      <c r="J8664">
        <v>2810260159</v>
      </c>
      <c r="K8664">
        <v>6971557742</v>
      </c>
      <c r="N8664" t="s">
        <v>615</v>
      </c>
      <c r="O8664" t="s">
        <v>616</v>
      </c>
      <c r="R8664" t="s">
        <v>159</v>
      </c>
      <c r="S8664">
        <v>4</v>
      </c>
      <c r="T8664" t="s">
        <v>8675</v>
      </c>
      <c r="U8664" s="1">
        <v>43348</v>
      </c>
      <c r="V8664" t="s">
        <v>66</v>
      </c>
      <c r="W8664" t="s">
        <v>67</v>
      </c>
      <c r="X8664" t="s">
        <v>58</v>
      </c>
      <c r="Y8664">
        <v>24</v>
      </c>
      <c r="Z8664" t="s">
        <v>59</v>
      </c>
      <c r="AA8664" t="s">
        <v>59</v>
      </c>
      <c r="AB8664" t="s">
        <v>59</v>
      </c>
      <c r="AC8664" t="s">
        <v>59</v>
      </c>
      <c r="AD8664" t="s">
        <v>59</v>
      </c>
      <c r="AF8664" s="1">
        <v>43348</v>
      </c>
      <c r="AG8664" t="s">
        <v>8645</v>
      </c>
      <c r="AH8664" t="s">
        <v>8646</v>
      </c>
      <c r="AI8664" t="str">
        <f>"9410242"</f>
        <v>9410242</v>
      </c>
      <c r="AJ8664" t="s">
        <v>12796</v>
      </c>
      <c r="AK8664">
        <v>2834023145</v>
      </c>
      <c r="AL8664" t="s">
        <v>12797</v>
      </c>
      <c r="AM8664" t="s">
        <v>64</v>
      </c>
      <c r="AN8664" t="s">
        <v>5672</v>
      </c>
      <c r="AO8664" t="s">
        <v>5673</v>
      </c>
      <c r="AP8664" t="s">
        <v>5689</v>
      </c>
      <c r="AQ8664">
        <v>7</v>
      </c>
      <c r="AR8664" t="s">
        <v>66</v>
      </c>
      <c r="AS8664" t="s">
        <v>67</v>
      </c>
      <c r="AT8664" t="s">
        <v>58</v>
      </c>
      <c r="AU8664" t="s">
        <v>8673</v>
      </c>
      <c r="AV8664" t="s">
        <v>132</v>
      </c>
      <c r="AW8664" s="1">
        <v>31818</v>
      </c>
      <c r="AX8664">
        <v>1</v>
      </c>
    </row>
    <row r="8665" spans="1:50">
      <c r="B8665" t="str">
        <f>"144231245"</f>
        <v>144231245</v>
      </c>
      <c r="C8665" t="s">
        <v>50</v>
      </c>
      <c r="D8665" t="s">
        <v>13282</v>
      </c>
      <c r="E8665" t="s">
        <v>191</v>
      </c>
      <c r="F8665" t="s">
        <v>84</v>
      </c>
      <c r="G8665" t="s">
        <v>237</v>
      </c>
      <c r="H8665" t="str">
        <f>"ΕΘΝ. ΑΜΥΝΗΣ 77 "</f>
        <v xml:space="preserve">ΕΘΝ. ΑΜΥΝΗΣ 77 </v>
      </c>
      <c r="I8665">
        <v>66100</v>
      </c>
      <c r="J8665">
        <v>2521034189</v>
      </c>
      <c r="K8665">
        <v>6973320116</v>
      </c>
      <c r="N8665" t="s">
        <v>615</v>
      </c>
      <c r="O8665" t="s">
        <v>616</v>
      </c>
      <c r="R8665" t="s">
        <v>121</v>
      </c>
      <c r="S8665">
        <v>3</v>
      </c>
      <c r="T8665" t="s">
        <v>8675</v>
      </c>
      <c r="U8665" s="1">
        <v>43348</v>
      </c>
      <c r="V8665" t="s">
        <v>66</v>
      </c>
      <c r="W8665" t="s">
        <v>67</v>
      </c>
      <c r="X8665" t="s">
        <v>58</v>
      </c>
      <c r="Y8665">
        <v>25</v>
      </c>
      <c r="Z8665" t="s">
        <v>59</v>
      </c>
      <c r="AA8665" t="s">
        <v>59</v>
      </c>
      <c r="AB8665" t="s">
        <v>59</v>
      </c>
      <c r="AC8665" t="s">
        <v>59</v>
      </c>
      <c r="AD8665" t="s">
        <v>59</v>
      </c>
      <c r="AF8665" s="1">
        <v>43348</v>
      </c>
      <c r="AG8665" t="s">
        <v>8645</v>
      </c>
      <c r="AH8665" t="s">
        <v>8676</v>
      </c>
      <c r="AI8665" t="str">
        <f>"9410034"</f>
        <v>9410034</v>
      </c>
      <c r="AJ8665" t="s">
        <v>13028</v>
      </c>
      <c r="AK8665">
        <v>2834061446</v>
      </c>
      <c r="AL8665" t="s">
        <v>13029</v>
      </c>
      <c r="AM8665" t="s">
        <v>64</v>
      </c>
      <c r="AN8665" t="s">
        <v>5672</v>
      </c>
      <c r="AO8665" t="s">
        <v>5698</v>
      </c>
      <c r="AP8665" t="s">
        <v>13030</v>
      </c>
      <c r="AQ8665">
        <v>11</v>
      </c>
      <c r="AR8665" t="s">
        <v>66</v>
      </c>
      <c r="AS8665" t="s">
        <v>67</v>
      </c>
      <c r="AT8665" t="s">
        <v>58</v>
      </c>
      <c r="AU8665" t="s">
        <v>8673</v>
      </c>
      <c r="AV8665" t="s">
        <v>132</v>
      </c>
      <c r="AW8665" s="1">
        <v>32329</v>
      </c>
      <c r="AX8665">
        <v>1</v>
      </c>
    </row>
    <row r="8666" spans="1:50">
      <c r="A8666">
        <v>564172</v>
      </c>
      <c r="B8666" t="str">
        <f>"035684386"</f>
        <v>035684386</v>
      </c>
      <c r="C8666" t="s">
        <v>105</v>
      </c>
      <c r="D8666" t="s">
        <v>13283</v>
      </c>
      <c r="E8666" t="s">
        <v>72</v>
      </c>
      <c r="F8666" t="s">
        <v>99</v>
      </c>
      <c r="G8666" t="s">
        <v>52</v>
      </c>
      <c r="H8666" t="str">
        <f>" "</f>
        <v xml:space="preserve"> </v>
      </c>
      <c r="N8666" t="s">
        <v>615</v>
      </c>
      <c r="O8666" t="s">
        <v>616</v>
      </c>
      <c r="R8666" t="s">
        <v>57</v>
      </c>
      <c r="S8666">
        <v>14</v>
      </c>
      <c r="T8666">
        <v>161</v>
      </c>
      <c r="U8666" s="1">
        <v>33119</v>
      </c>
      <c r="V8666" t="s">
        <v>66</v>
      </c>
      <c r="W8666" t="s">
        <v>67</v>
      </c>
      <c r="X8666" t="s">
        <v>58</v>
      </c>
      <c r="Y8666">
        <v>21</v>
      </c>
      <c r="Z8666" t="s">
        <v>59</v>
      </c>
      <c r="AA8666" t="s">
        <v>59</v>
      </c>
      <c r="AB8666" t="s">
        <v>59</v>
      </c>
      <c r="AC8666" t="s">
        <v>59</v>
      </c>
      <c r="AD8666" t="s">
        <v>59</v>
      </c>
      <c r="AF8666" s="1">
        <v>33119</v>
      </c>
      <c r="AG8666" t="s">
        <v>8645</v>
      </c>
      <c r="AH8666" t="s">
        <v>8646</v>
      </c>
      <c r="AI8666" t="str">
        <f>"9410061"</f>
        <v>9410061</v>
      </c>
      <c r="AJ8666" t="s">
        <v>12760</v>
      </c>
      <c r="AK8666">
        <v>2831024378</v>
      </c>
      <c r="AL8666" t="s">
        <v>12761</v>
      </c>
      <c r="AM8666" t="s">
        <v>64</v>
      </c>
      <c r="AN8666" t="s">
        <v>65</v>
      </c>
      <c r="AO8666" t="s">
        <v>65</v>
      </c>
      <c r="AP8666" t="s">
        <v>65</v>
      </c>
      <c r="AQ8666">
        <v>1</v>
      </c>
      <c r="AR8666" t="s">
        <v>66</v>
      </c>
      <c r="AS8666" t="s">
        <v>67</v>
      </c>
      <c r="AT8666" t="s">
        <v>58</v>
      </c>
      <c r="AU8666" t="s">
        <v>68</v>
      </c>
      <c r="AV8666" t="s">
        <v>69</v>
      </c>
      <c r="AW8666" s="1">
        <v>23524</v>
      </c>
      <c r="AX8666">
        <v>1</v>
      </c>
    </row>
    <row r="8667" spans="1:50">
      <c r="A8667">
        <v>564232</v>
      </c>
      <c r="B8667" t="str">
        <f>"035682891"</f>
        <v>035682891</v>
      </c>
      <c r="C8667" t="s">
        <v>50</v>
      </c>
      <c r="D8667" t="s">
        <v>10402</v>
      </c>
      <c r="E8667" t="s">
        <v>181</v>
      </c>
      <c r="F8667" t="s">
        <v>99</v>
      </c>
      <c r="G8667" t="s">
        <v>888</v>
      </c>
      <c r="H8667" t="str">
        <f>"ΠΕΡΑΜΑ  "</f>
        <v xml:space="preserve">ΠΕΡΑΜΑ  </v>
      </c>
      <c r="J8667">
        <v>2834022531</v>
      </c>
      <c r="K8667">
        <v>6947029032</v>
      </c>
      <c r="N8667" t="s">
        <v>615</v>
      </c>
      <c r="O8667" t="s">
        <v>616</v>
      </c>
      <c r="R8667" t="s">
        <v>57</v>
      </c>
      <c r="S8667">
        <v>15</v>
      </c>
      <c r="T8667">
        <v>161</v>
      </c>
      <c r="U8667" s="1">
        <v>33119</v>
      </c>
      <c r="V8667" t="s">
        <v>66</v>
      </c>
      <c r="W8667" t="s">
        <v>67</v>
      </c>
      <c r="X8667" t="s">
        <v>58</v>
      </c>
      <c r="Y8667">
        <v>21</v>
      </c>
      <c r="Z8667" t="s">
        <v>59</v>
      </c>
      <c r="AA8667" t="s">
        <v>59</v>
      </c>
      <c r="AB8667" t="s">
        <v>59</v>
      </c>
      <c r="AC8667" t="s">
        <v>59</v>
      </c>
      <c r="AD8667" t="s">
        <v>59</v>
      </c>
      <c r="AF8667" s="1">
        <v>33119</v>
      </c>
      <c r="AG8667" t="s">
        <v>8645</v>
      </c>
      <c r="AH8667" t="s">
        <v>8646</v>
      </c>
      <c r="AI8667" t="str">
        <f>"9410242"</f>
        <v>9410242</v>
      </c>
      <c r="AJ8667" t="s">
        <v>12796</v>
      </c>
      <c r="AK8667">
        <v>2834023145</v>
      </c>
      <c r="AL8667" t="s">
        <v>12797</v>
      </c>
      <c r="AM8667" t="s">
        <v>64</v>
      </c>
      <c r="AN8667" t="s">
        <v>5672</v>
      </c>
      <c r="AO8667" t="s">
        <v>5673</v>
      </c>
      <c r="AP8667" t="s">
        <v>5689</v>
      </c>
      <c r="AQ8667">
        <v>7</v>
      </c>
      <c r="AR8667" t="s">
        <v>66</v>
      </c>
      <c r="AS8667" t="s">
        <v>67</v>
      </c>
      <c r="AT8667" t="s">
        <v>58</v>
      </c>
      <c r="AU8667" t="s">
        <v>68</v>
      </c>
      <c r="AV8667" t="s">
        <v>69</v>
      </c>
      <c r="AW8667" s="1">
        <v>24016</v>
      </c>
      <c r="AX8667">
        <v>1</v>
      </c>
    </row>
    <row r="8668" spans="1:50">
      <c r="A8668">
        <v>574876</v>
      </c>
      <c r="B8668" t="str">
        <f>"035407739"</f>
        <v>035407739</v>
      </c>
      <c r="C8668" t="s">
        <v>105</v>
      </c>
      <c r="D8668" t="s">
        <v>13284</v>
      </c>
      <c r="E8668" t="s">
        <v>5642</v>
      </c>
      <c r="F8668" t="s">
        <v>995</v>
      </c>
      <c r="G8668" t="s">
        <v>476</v>
      </c>
      <c r="H8668" t="str">
        <f>" "</f>
        <v xml:space="preserve"> </v>
      </c>
      <c r="N8668" t="s">
        <v>176</v>
      </c>
      <c r="O8668" t="s">
        <v>177</v>
      </c>
      <c r="R8668" t="s">
        <v>57</v>
      </c>
      <c r="S8668">
        <v>13</v>
      </c>
      <c r="T8668">
        <v>158</v>
      </c>
      <c r="U8668" s="1">
        <v>34582</v>
      </c>
      <c r="V8668" t="s">
        <v>66</v>
      </c>
      <c r="W8668" t="s">
        <v>67</v>
      </c>
      <c r="X8668" t="s">
        <v>58</v>
      </c>
      <c r="Y8668">
        <v>21</v>
      </c>
      <c r="Z8668" t="s">
        <v>59</v>
      </c>
      <c r="AA8668" t="s">
        <v>59</v>
      </c>
      <c r="AB8668" t="s">
        <v>59</v>
      </c>
      <c r="AC8668" t="s">
        <v>59</v>
      </c>
      <c r="AD8668" t="s">
        <v>59</v>
      </c>
      <c r="AF8668" s="1">
        <v>34582</v>
      </c>
      <c r="AG8668" t="s">
        <v>8645</v>
      </c>
      <c r="AH8668" t="s">
        <v>8646</v>
      </c>
      <c r="AI8668" t="str">
        <f>"9410064"</f>
        <v>9410064</v>
      </c>
      <c r="AJ8668" t="s">
        <v>12683</v>
      </c>
      <c r="AK8668">
        <v>2831028390</v>
      </c>
      <c r="AL8668" t="s">
        <v>12684</v>
      </c>
      <c r="AM8668" t="s">
        <v>64</v>
      </c>
      <c r="AN8668" t="s">
        <v>65</v>
      </c>
      <c r="AO8668" t="s">
        <v>65</v>
      </c>
      <c r="AP8668" t="s">
        <v>65</v>
      </c>
      <c r="AQ8668">
        <v>1</v>
      </c>
      <c r="AR8668" t="s">
        <v>66</v>
      </c>
      <c r="AS8668" t="s">
        <v>67</v>
      </c>
      <c r="AT8668" t="s">
        <v>58</v>
      </c>
      <c r="AU8668" t="s">
        <v>68</v>
      </c>
      <c r="AV8668" t="s">
        <v>69</v>
      </c>
      <c r="AW8668" s="1">
        <v>23575</v>
      </c>
      <c r="AX8668">
        <v>1</v>
      </c>
    </row>
    <row r="8669" spans="1:50">
      <c r="B8669" t="str">
        <f>"149834291"</f>
        <v>149834291</v>
      </c>
      <c r="C8669" t="s">
        <v>50</v>
      </c>
      <c r="D8669" t="s">
        <v>7616</v>
      </c>
      <c r="E8669" t="s">
        <v>155</v>
      </c>
      <c r="F8669" t="s">
        <v>84</v>
      </c>
      <c r="G8669" t="s">
        <v>922</v>
      </c>
      <c r="H8669" t="str">
        <f>"ΑΘΗΝΑΣ   4 "</f>
        <v xml:space="preserve">ΑΘΗΝΑΣ   4 </v>
      </c>
      <c r="I8669">
        <v>35100</v>
      </c>
      <c r="J8669">
        <v>2231023302</v>
      </c>
      <c r="K8669">
        <v>6972015877</v>
      </c>
      <c r="N8669" t="s">
        <v>8694</v>
      </c>
      <c r="O8669" t="s">
        <v>8695</v>
      </c>
      <c r="R8669" t="s">
        <v>159</v>
      </c>
      <c r="S8669">
        <v>3</v>
      </c>
      <c r="T8669" t="s">
        <v>8696</v>
      </c>
      <c r="U8669" s="1">
        <v>43348</v>
      </c>
      <c r="V8669" t="s">
        <v>66</v>
      </c>
      <c r="W8669" t="s">
        <v>67</v>
      </c>
      <c r="X8669" t="s">
        <v>58</v>
      </c>
      <c r="Y8669">
        <v>24</v>
      </c>
      <c r="Z8669" t="s">
        <v>59</v>
      </c>
      <c r="AA8669" t="s">
        <v>59</v>
      </c>
      <c r="AB8669" t="s">
        <v>59</v>
      </c>
      <c r="AC8669" t="s">
        <v>59</v>
      </c>
      <c r="AD8669" t="s">
        <v>59</v>
      </c>
      <c r="AF8669" s="1">
        <v>43348</v>
      </c>
      <c r="AG8669" t="s">
        <v>8645</v>
      </c>
      <c r="AH8669" t="s">
        <v>8646</v>
      </c>
      <c r="AI8669" t="str">
        <f>"9410169"</f>
        <v>9410169</v>
      </c>
      <c r="AJ8669" t="s">
        <v>12936</v>
      </c>
      <c r="AK8669">
        <v>2831031123</v>
      </c>
      <c r="AL8669" t="s">
        <v>12937</v>
      </c>
      <c r="AM8669" t="s">
        <v>64</v>
      </c>
      <c r="AN8669" t="s">
        <v>65</v>
      </c>
      <c r="AO8669" t="s">
        <v>5720</v>
      </c>
      <c r="AP8669" t="s">
        <v>12938</v>
      </c>
      <c r="AQ8669">
        <v>2</v>
      </c>
      <c r="AR8669" t="s">
        <v>66</v>
      </c>
      <c r="AS8669" t="s">
        <v>67</v>
      </c>
      <c r="AT8669" t="s">
        <v>58</v>
      </c>
      <c r="AU8669" t="s">
        <v>350</v>
      </c>
      <c r="AV8669" t="s">
        <v>132</v>
      </c>
      <c r="AW8669" s="1">
        <v>32158</v>
      </c>
      <c r="AX8669">
        <v>1</v>
      </c>
    </row>
    <row r="8670" spans="1:50">
      <c r="A8670">
        <v>617263</v>
      </c>
      <c r="B8670" t="str">
        <f>"132329640"</f>
        <v>132329640</v>
      </c>
      <c r="C8670" t="s">
        <v>50</v>
      </c>
      <c r="D8670" t="s">
        <v>13285</v>
      </c>
      <c r="E8670" t="s">
        <v>7030</v>
      </c>
      <c r="F8670" t="s">
        <v>106</v>
      </c>
      <c r="G8670" t="s">
        <v>237</v>
      </c>
      <c r="H8670" t="str">
        <f>"Σ. ΒΑΡΔΙΝΟΓΙΑΝΝΗ 3 ΡΕΘΥΜΝΟ"</f>
        <v>Σ. ΒΑΡΔΙΝΟΓΙΑΝΝΗ 3 ΡΕΘΥΜΝΟ</v>
      </c>
      <c r="I8670">
        <v>74100</v>
      </c>
      <c r="K8670">
        <v>6937318008</v>
      </c>
      <c r="M8670" t="s">
        <v>13286</v>
      </c>
      <c r="N8670" t="s">
        <v>615</v>
      </c>
      <c r="O8670" t="s">
        <v>616</v>
      </c>
      <c r="R8670" t="s">
        <v>57</v>
      </c>
      <c r="S8670">
        <v>6</v>
      </c>
      <c r="T8670">
        <v>774</v>
      </c>
      <c r="U8670" s="1">
        <v>39680</v>
      </c>
      <c r="V8670" t="s">
        <v>66</v>
      </c>
      <c r="W8670" t="s">
        <v>67</v>
      </c>
      <c r="X8670" t="s">
        <v>58</v>
      </c>
      <c r="Y8670">
        <v>23</v>
      </c>
      <c r="Z8670" t="s">
        <v>59</v>
      </c>
      <c r="AA8670" t="s">
        <v>59</v>
      </c>
      <c r="AB8670" t="s">
        <v>59</v>
      </c>
      <c r="AC8670" t="s">
        <v>59</v>
      </c>
      <c r="AD8670" t="s">
        <v>59</v>
      </c>
      <c r="AF8670" s="1">
        <v>39681</v>
      </c>
      <c r="AG8670" t="s">
        <v>8645</v>
      </c>
      <c r="AH8670" t="s">
        <v>8646</v>
      </c>
      <c r="AI8670" t="str">
        <f>"9410070"</f>
        <v>9410070</v>
      </c>
      <c r="AJ8670" t="s">
        <v>12757</v>
      </c>
      <c r="AK8670">
        <v>2831028583</v>
      </c>
      <c r="AL8670" t="s">
        <v>12758</v>
      </c>
      <c r="AM8670" t="s">
        <v>64</v>
      </c>
      <c r="AN8670" t="s">
        <v>65</v>
      </c>
      <c r="AO8670" t="s">
        <v>65</v>
      </c>
      <c r="AP8670" t="s">
        <v>65</v>
      </c>
      <c r="AQ8670">
        <v>1</v>
      </c>
      <c r="AR8670" t="s">
        <v>66</v>
      </c>
      <c r="AS8670" t="s">
        <v>67</v>
      </c>
      <c r="AT8670" t="s">
        <v>58</v>
      </c>
      <c r="AU8670" t="s">
        <v>68</v>
      </c>
      <c r="AV8670" t="s">
        <v>69</v>
      </c>
      <c r="AW8670" s="1">
        <v>30461</v>
      </c>
      <c r="AX8670">
        <v>1</v>
      </c>
    </row>
    <row r="8671" spans="1:50">
      <c r="B8671" t="str">
        <f>"078856490"</f>
        <v>078856490</v>
      </c>
      <c r="C8671" t="s">
        <v>50</v>
      </c>
      <c r="D8671" t="s">
        <v>13287</v>
      </c>
      <c r="E8671" t="s">
        <v>13288</v>
      </c>
      <c r="F8671" t="s">
        <v>304</v>
      </c>
      <c r="G8671" t="s">
        <v>484</v>
      </c>
      <c r="H8671" t="str">
        <f>"ΕΥΦΡΟΣΥΝΗΣ 5 ΘΕΣ/ΝΙΚΗ"</f>
        <v>ΕΥΦΡΟΣΥΝΗΣ 5 ΘΕΣ/ΝΙΚΗ</v>
      </c>
      <c r="I8671">
        <v>56224</v>
      </c>
      <c r="J8671">
        <v>2310776884</v>
      </c>
      <c r="K8671">
        <v>6972728364</v>
      </c>
      <c r="N8671" t="s">
        <v>306</v>
      </c>
      <c r="O8671" t="s">
        <v>307</v>
      </c>
      <c r="R8671" t="s">
        <v>159</v>
      </c>
      <c r="S8671">
        <v>5</v>
      </c>
      <c r="T8671" t="s">
        <v>8675</v>
      </c>
      <c r="U8671" s="1">
        <v>43348</v>
      </c>
      <c r="V8671" t="s">
        <v>66</v>
      </c>
      <c r="W8671" t="s">
        <v>67</v>
      </c>
      <c r="X8671" t="s">
        <v>58</v>
      </c>
      <c r="Y8671">
        <v>24</v>
      </c>
      <c r="Z8671" t="s">
        <v>59</v>
      </c>
      <c r="AA8671" t="s">
        <v>59</v>
      </c>
      <c r="AB8671" t="s">
        <v>59</v>
      </c>
      <c r="AC8671" t="s">
        <v>59</v>
      </c>
      <c r="AD8671" t="s">
        <v>59</v>
      </c>
      <c r="AF8671" s="1">
        <v>43348</v>
      </c>
      <c r="AG8671" t="s">
        <v>8645</v>
      </c>
      <c r="AH8671" t="s">
        <v>8646</v>
      </c>
      <c r="AI8671" t="str">
        <f>"9410152"</f>
        <v>9410152</v>
      </c>
      <c r="AJ8671" t="s">
        <v>12686</v>
      </c>
      <c r="AK8671">
        <v>2831029088</v>
      </c>
      <c r="AL8671" t="s">
        <v>12687</v>
      </c>
      <c r="AM8671" t="s">
        <v>64</v>
      </c>
      <c r="AN8671" t="s">
        <v>65</v>
      </c>
      <c r="AO8671" t="s">
        <v>65</v>
      </c>
      <c r="AP8671" t="s">
        <v>65</v>
      </c>
      <c r="AQ8671">
        <v>1</v>
      </c>
      <c r="AR8671" t="s">
        <v>66</v>
      </c>
      <c r="AS8671" t="s">
        <v>67</v>
      </c>
      <c r="AT8671" t="s">
        <v>58</v>
      </c>
      <c r="AU8671" t="s">
        <v>8673</v>
      </c>
      <c r="AV8671" t="s">
        <v>132</v>
      </c>
      <c r="AW8671" s="1">
        <v>26417</v>
      </c>
      <c r="AX8671">
        <v>1</v>
      </c>
    </row>
    <row r="8672" spans="1:50">
      <c r="A8672">
        <v>595203</v>
      </c>
      <c r="B8672" t="str">
        <f>"103803966"</f>
        <v>103803966</v>
      </c>
      <c r="C8672" t="s">
        <v>50</v>
      </c>
      <c r="D8672" t="s">
        <v>2346</v>
      </c>
      <c r="E8672" t="s">
        <v>112</v>
      </c>
      <c r="F8672" t="s">
        <v>72</v>
      </c>
      <c r="G8672" t="s">
        <v>411</v>
      </c>
      <c r="H8672" t="str">
        <f>"ΕΥΦΡΟΝΙΟΥ ΤΡΕΙΣ ΒΑΓΙΕΣ"</f>
        <v>ΕΥΦΡΟΝΙΟΥ ΤΡΕΙΣ ΒΑΓΙΕΣ</v>
      </c>
      <c r="I8672">
        <v>5</v>
      </c>
      <c r="K8672">
        <v>6972037268</v>
      </c>
      <c r="M8672" t="s">
        <v>13289</v>
      </c>
      <c r="N8672" t="s">
        <v>615</v>
      </c>
      <c r="O8672" t="s">
        <v>616</v>
      </c>
      <c r="R8672" t="s">
        <v>57</v>
      </c>
      <c r="S8672">
        <v>10</v>
      </c>
      <c r="T8672">
        <v>218</v>
      </c>
      <c r="U8672" s="1">
        <v>37134</v>
      </c>
      <c r="V8672" t="s">
        <v>66</v>
      </c>
      <c r="W8672" t="s">
        <v>67</v>
      </c>
      <c r="X8672" t="s">
        <v>58</v>
      </c>
      <c r="Y8672">
        <v>25</v>
      </c>
      <c r="Z8672" t="s">
        <v>59</v>
      </c>
      <c r="AA8672" t="s">
        <v>59</v>
      </c>
      <c r="AB8672" t="s">
        <v>59</v>
      </c>
      <c r="AC8672" t="s">
        <v>59</v>
      </c>
      <c r="AD8672" t="s">
        <v>59</v>
      </c>
      <c r="AF8672" s="1">
        <v>37139</v>
      </c>
      <c r="AG8672" t="s">
        <v>8645</v>
      </c>
      <c r="AH8672" t="s">
        <v>8676</v>
      </c>
      <c r="AI8672" t="str">
        <f>"9410054"</f>
        <v>9410054</v>
      </c>
      <c r="AJ8672" t="s">
        <v>13216</v>
      </c>
      <c r="AK8672">
        <v>2834094098</v>
      </c>
      <c r="AL8672" t="s">
        <v>13217</v>
      </c>
      <c r="AM8672" t="s">
        <v>64</v>
      </c>
      <c r="AN8672" t="s">
        <v>5672</v>
      </c>
      <c r="AO8672" t="s">
        <v>5673</v>
      </c>
      <c r="AP8672" t="s">
        <v>12853</v>
      </c>
      <c r="AQ8672">
        <v>10</v>
      </c>
      <c r="AR8672" t="s">
        <v>66</v>
      </c>
      <c r="AS8672" t="s">
        <v>67</v>
      </c>
      <c r="AT8672" t="s">
        <v>58</v>
      </c>
      <c r="AU8672" t="s">
        <v>68</v>
      </c>
      <c r="AV8672" t="s">
        <v>69</v>
      </c>
      <c r="AW8672" s="1">
        <v>27941</v>
      </c>
      <c r="AX8672">
        <v>1</v>
      </c>
    </row>
    <row r="8673" spans="1:50">
      <c r="A8673">
        <v>605723</v>
      </c>
      <c r="B8673" t="str">
        <f>"100093111"</f>
        <v>100093111</v>
      </c>
      <c r="C8673" t="s">
        <v>50</v>
      </c>
      <c r="D8673" t="s">
        <v>10436</v>
      </c>
      <c r="E8673" t="s">
        <v>801</v>
      </c>
      <c r="F8673" t="s">
        <v>72</v>
      </c>
      <c r="G8673" t="s">
        <v>83</v>
      </c>
      <c r="H8673" t="str">
        <f>"ΒΙΟΛΙ ΧΑΡΑΚΙ ΑΤΣΙΠΟΠΟΥΛΟ ΡΕΘΥΜΝΟΥ"</f>
        <v>ΒΙΟΛΙ ΧΑΡΑΚΙ ΑΤΣΙΠΟΠΟΥΛΟ ΡΕΘΥΜΝΟΥ</v>
      </c>
      <c r="I8673">
        <v>74100</v>
      </c>
      <c r="J8673">
        <v>2831036330</v>
      </c>
      <c r="K8673">
        <v>6970094221</v>
      </c>
      <c r="N8673" t="s">
        <v>615</v>
      </c>
      <c r="O8673" t="s">
        <v>616</v>
      </c>
      <c r="R8673" t="s">
        <v>57</v>
      </c>
      <c r="S8673">
        <v>7</v>
      </c>
      <c r="T8673">
        <v>231</v>
      </c>
      <c r="U8673" s="1">
        <v>38230</v>
      </c>
      <c r="V8673" t="s">
        <v>66</v>
      </c>
      <c r="W8673" t="s">
        <v>67</v>
      </c>
      <c r="X8673" t="s">
        <v>58</v>
      </c>
      <c r="Y8673">
        <v>22</v>
      </c>
      <c r="Z8673" t="s">
        <v>59</v>
      </c>
      <c r="AA8673" t="s">
        <v>59</v>
      </c>
      <c r="AB8673" t="s">
        <v>59</v>
      </c>
      <c r="AC8673" t="s">
        <v>59</v>
      </c>
      <c r="AD8673" t="s">
        <v>59</v>
      </c>
      <c r="AF8673" s="1">
        <v>38231</v>
      </c>
      <c r="AG8673" t="s">
        <v>8645</v>
      </c>
      <c r="AH8673" t="s">
        <v>8646</v>
      </c>
      <c r="AI8673" t="str">
        <f>"9521348"</f>
        <v>9521348</v>
      </c>
      <c r="AJ8673" t="s">
        <v>12714</v>
      </c>
      <c r="AK8673">
        <v>2831021334</v>
      </c>
      <c r="AL8673" t="s">
        <v>12715</v>
      </c>
      <c r="AM8673" t="s">
        <v>64</v>
      </c>
      <c r="AN8673" t="s">
        <v>65</v>
      </c>
      <c r="AO8673" t="s">
        <v>5720</v>
      </c>
      <c r="AP8673" t="s">
        <v>5721</v>
      </c>
      <c r="AQ8673">
        <v>2</v>
      </c>
      <c r="AR8673" t="s">
        <v>66</v>
      </c>
      <c r="AS8673" t="s">
        <v>67</v>
      </c>
      <c r="AT8673" t="s">
        <v>58</v>
      </c>
      <c r="AU8673" t="s">
        <v>68</v>
      </c>
      <c r="AV8673" t="s">
        <v>69</v>
      </c>
      <c r="AW8673" s="1">
        <v>28310</v>
      </c>
      <c r="AX8673">
        <v>1</v>
      </c>
    </row>
    <row r="8674" spans="1:50">
      <c r="A8674">
        <v>615352</v>
      </c>
      <c r="B8674" t="str">
        <f>"113648564"</f>
        <v>113648564</v>
      </c>
      <c r="C8674" t="s">
        <v>50</v>
      </c>
      <c r="D8674" t="s">
        <v>6155</v>
      </c>
      <c r="E8674" t="s">
        <v>1752</v>
      </c>
      <c r="F8674" t="s">
        <v>95</v>
      </c>
      <c r="G8674" t="s">
        <v>755</v>
      </c>
      <c r="H8674" t="str">
        <f>"ΠΑΠΑΝΙΚΟΛΑΟΥ 28 ΡΕΘΥΜΝΟ"</f>
        <v>ΠΑΠΑΝΙΚΟΛΑΟΥ 28 ΡΕΘΥΜΝΟ</v>
      </c>
      <c r="I8674">
        <v>74100</v>
      </c>
      <c r="J8674">
        <v>2831030338</v>
      </c>
      <c r="K8674">
        <v>6974863888</v>
      </c>
      <c r="L8674">
        <v>2831033157</v>
      </c>
      <c r="N8674" t="s">
        <v>1525</v>
      </c>
      <c r="O8674" t="s">
        <v>1526</v>
      </c>
      <c r="R8674" t="s">
        <v>57</v>
      </c>
      <c r="S8674">
        <v>8</v>
      </c>
      <c r="T8674">
        <v>598</v>
      </c>
      <c r="U8674" s="1">
        <v>39310</v>
      </c>
      <c r="V8674" t="s">
        <v>66</v>
      </c>
      <c r="W8674" t="s">
        <v>67</v>
      </c>
      <c r="X8674" t="s">
        <v>58</v>
      </c>
      <c r="Y8674">
        <v>25</v>
      </c>
      <c r="Z8674" t="s">
        <v>59</v>
      </c>
      <c r="AA8674" t="s">
        <v>59</v>
      </c>
      <c r="AB8674" t="s">
        <v>59</v>
      </c>
      <c r="AC8674" t="s">
        <v>59</v>
      </c>
      <c r="AD8674" t="s">
        <v>59</v>
      </c>
      <c r="AF8674" s="1">
        <v>39328</v>
      </c>
      <c r="AG8674" t="s">
        <v>8651</v>
      </c>
      <c r="AH8674" t="s">
        <v>8652</v>
      </c>
      <c r="AI8674" t="str">
        <f>"9410189"</f>
        <v>9410189</v>
      </c>
      <c r="AJ8674" t="s">
        <v>12706</v>
      </c>
      <c r="AK8674">
        <v>2831028290</v>
      </c>
      <c r="AL8674" t="s">
        <v>12707</v>
      </c>
      <c r="AM8674" t="s">
        <v>64</v>
      </c>
      <c r="AN8674" t="s">
        <v>65</v>
      </c>
      <c r="AO8674" t="s">
        <v>65</v>
      </c>
      <c r="AP8674" t="s">
        <v>65</v>
      </c>
      <c r="AQ8674">
        <v>1</v>
      </c>
      <c r="AR8674" t="s">
        <v>66</v>
      </c>
      <c r="AS8674" t="s">
        <v>67</v>
      </c>
      <c r="AT8674" t="s">
        <v>58</v>
      </c>
      <c r="AU8674" t="s">
        <v>68</v>
      </c>
      <c r="AV8674" t="s">
        <v>69</v>
      </c>
      <c r="AW8674" s="1">
        <v>28395</v>
      </c>
      <c r="AX8674">
        <v>1</v>
      </c>
    </row>
    <row r="8675" spans="1:50">
      <c r="B8675" t="str">
        <f>"117765305"</f>
        <v>117765305</v>
      </c>
      <c r="C8675" t="s">
        <v>50</v>
      </c>
      <c r="D8675" t="s">
        <v>13290</v>
      </c>
      <c r="E8675" t="s">
        <v>10487</v>
      </c>
      <c r="F8675" t="s">
        <v>95</v>
      </c>
      <c r="G8675" t="s">
        <v>335</v>
      </c>
      <c r="H8675" t="str">
        <f>" "</f>
        <v xml:space="preserve"> </v>
      </c>
      <c r="K8675">
        <v>6944213330</v>
      </c>
      <c r="M8675" t="s">
        <v>13291</v>
      </c>
      <c r="N8675" t="s">
        <v>615</v>
      </c>
      <c r="O8675" t="s">
        <v>616</v>
      </c>
      <c r="R8675" t="s">
        <v>121</v>
      </c>
      <c r="S8675">
        <v>1</v>
      </c>
      <c r="T8675" t="s">
        <v>8675</v>
      </c>
      <c r="U8675" s="1">
        <v>43348</v>
      </c>
      <c r="V8675" t="s">
        <v>66</v>
      </c>
      <c r="W8675" t="s">
        <v>67</v>
      </c>
      <c r="X8675" t="s">
        <v>58</v>
      </c>
      <c r="Y8675">
        <v>24</v>
      </c>
      <c r="Z8675" t="s">
        <v>59</v>
      </c>
      <c r="AA8675" t="s">
        <v>59</v>
      </c>
      <c r="AB8675" t="s">
        <v>59</v>
      </c>
      <c r="AD8675" t="s">
        <v>59</v>
      </c>
      <c r="AF8675" s="1">
        <v>43348</v>
      </c>
      <c r="AG8675" t="s">
        <v>8645</v>
      </c>
      <c r="AH8675" t="s">
        <v>8646</v>
      </c>
      <c r="AI8675" t="str">
        <f>"9410038"</f>
        <v>9410038</v>
      </c>
      <c r="AJ8675" t="s">
        <v>12669</v>
      </c>
      <c r="AK8675">
        <v>2834061471</v>
      </c>
      <c r="AL8675" t="s">
        <v>12670</v>
      </c>
      <c r="AM8675" t="s">
        <v>64</v>
      </c>
      <c r="AN8675" t="s">
        <v>5672</v>
      </c>
      <c r="AO8675" t="s">
        <v>5698</v>
      </c>
      <c r="AP8675" t="s">
        <v>5699</v>
      </c>
      <c r="AQ8675">
        <v>9</v>
      </c>
      <c r="AR8675" t="s">
        <v>66</v>
      </c>
      <c r="AS8675" t="s">
        <v>67</v>
      </c>
      <c r="AT8675" t="s">
        <v>58</v>
      </c>
      <c r="AU8675" t="s">
        <v>8673</v>
      </c>
      <c r="AV8675" t="s">
        <v>132</v>
      </c>
      <c r="AW8675" s="1">
        <v>32739</v>
      </c>
      <c r="AX8675">
        <v>1</v>
      </c>
    </row>
    <row r="8676" spans="1:50">
      <c r="A8676">
        <v>607566</v>
      </c>
      <c r="B8676" t="str">
        <f>"073939638"</f>
        <v>073939638</v>
      </c>
      <c r="C8676" t="s">
        <v>105</v>
      </c>
      <c r="D8676" t="s">
        <v>6157</v>
      </c>
      <c r="E8676" t="s">
        <v>949</v>
      </c>
      <c r="F8676" t="s">
        <v>84</v>
      </c>
      <c r="G8676" t="s">
        <v>610</v>
      </c>
      <c r="H8676" t="str">
        <f>" "</f>
        <v xml:space="preserve"> </v>
      </c>
      <c r="J8676">
        <v>2105011871</v>
      </c>
      <c r="K8676">
        <v>6974737873</v>
      </c>
      <c r="N8676" t="s">
        <v>615</v>
      </c>
      <c r="O8676" t="s">
        <v>616</v>
      </c>
      <c r="R8676" t="s">
        <v>57</v>
      </c>
      <c r="S8676">
        <v>10</v>
      </c>
      <c r="T8676" t="s">
        <v>13292</v>
      </c>
      <c r="U8676" s="1">
        <v>38596</v>
      </c>
      <c r="V8676" t="s">
        <v>66</v>
      </c>
      <c r="W8676" t="s">
        <v>67</v>
      </c>
      <c r="X8676" t="s">
        <v>58</v>
      </c>
      <c r="Y8676">
        <v>21</v>
      </c>
      <c r="Z8676" t="s">
        <v>59</v>
      </c>
      <c r="AA8676" t="s">
        <v>59</v>
      </c>
      <c r="AB8676" t="s">
        <v>59</v>
      </c>
      <c r="AC8676" t="s">
        <v>59</v>
      </c>
      <c r="AD8676" t="s">
        <v>59</v>
      </c>
      <c r="AF8676" s="1">
        <v>38600</v>
      </c>
      <c r="AG8676" t="s">
        <v>8645</v>
      </c>
      <c r="AH8676" t="s">
        <v>8646</v>
      </c>
      <c r="AI8676" t="str">
        <f>"9410072"</f>
        <v>9410072</v>
      </c>
      <c r="AJ8676" t="s">
        <v>12692</v>
      </c>
      <c r="AK8676">
        <v>2831071264</v>
      </c>
      <c r="AL8676" t="s">
        <v>12693</v>
      </c>
      <c r="AM8676" t="s">
        <v>64</v>
      </c>
      <c r="AN8676" t="s">
        <v>65</v>
      </c>
      <c r="AO8676" t="s">
        <v>12694</v>
      </c>
      <c r="AP8676" t="s">
        <v>12695</v>
      </c>
      <c r="AQ8676">
        <v>3</v>
      </c>
      <c r="AR8676" t="s">
        <v>66</v>
      </c>
      <c r="AS8676" t="s">
        <v>67</v>
      </c>
      <c r="AT8676" t="s">
        <v>58</v>
      </c>
      <c r="AU8676" t="s">
        <v>68</v>
      </c>
      <c r="AV8676" t="s">
        <v>69</v>
      </c>
      <c r="AW8676" s="1">
        <v>25737</v>
      </c>
      <c r="AX8676">
        <v>1</v>
      </c>
    </row>
    <row r="8677" spans="1:50">
      <c r="B8677" t="str">
        <f>"110313771"</f>
        <v>110313771</v>
      </c>
      <c r="C8677" t="s">
        <v>50</v>
      </c>
      <c r="D8677" t="s">
        <v>2372</v>
      </c>
      <c r="E8677" t="s">
        <v>396</v>
      </c>
      <c r="F8677" t="s">
        <v>72</v>
      </c>
      <c r="G8677" t="s">
        <v>314</v>
      </c>
      <c r="H8677" t="str">
        <f>" "</f>
        <v xml:space="preserve"> </v>
      </c>
      <c r="N8677" t="s">
        <v>1525</v>
      </c>
      <c r="O8677" t="s">
        <v>1526</v>
      </c>
      <c r="R8677" t="s">
        <v>121</v>
      </c>
      <c r="S8677">
        <v>1</v>
      </c>
      <c r="T8677" t="s">
        <v>13293</v>
      </c>
      <c r="U8677" s="1">
        <v>42394</v>
      </c>
      <c r="V8677" t="s">
        <v>66</v>
      </c>
      <c r="W8677" t="s">
        <v>67</v>
      </c>
      <c r="X8677" t="s">
        <v>58</v>
      </c>
      <c r="Y8677">
        <v>25</v>
      </c>
      <c r="Z8677" t="s">
        <v>59</v>
      </c>
      <c r="AA8677" t="s">
        <v>59</v>
      </c>
      <c r="AB8677" t="s">
        <v>59</v>
      </c>
      <c r="AC8677" t="s">
        <v>59</v>
      </c>
      <c r="AD8677" t="s">
        <v>59</v>
      </c>
      <c r="AI8677" t="str">
        <f>""</f>
        <v/>
      </c>
      <c r="AS8677" t="s">
        <v>67</v>
      </c>
      <c r="AT8677" t="s">
        <v>58</v>
      </c>
      <c r="AU8677" t="s">
        <v>912</v>
      </c>
      <c r="AW8677" s="1">
        <v>29477</v>
      </c>
      <c r="AX8677">
        <v>1</v>
      </c>
    </row>
    <row r="8678" spans="1:50">
      <c r="A8678">
        <v>591968</v>
      </c>
      <c r="B8678" t="str">
        <f>"062465773"</f>
        <v>062465773</v>
      </c>
      <c r="C8678" t="s">
        <v>50</v>
      </c>
      <c r="D8678" t="s">
        <v>2372</v>
      </c>
      <c r="E8678" t="s">
        <v>3589</v>
      </c>
      <c r="F8678" t="s">
        <v>2184</v>
      </c>
      <c r="G8678" t="s">
        <v>1418</v>
      </c>
      <c r="H8678" t="str">
        <f>" "</f>
        <v xml:space="preserve"> </v>
      </c>
      <c r="N8678" t="s">
        <v>1525</v>
      </c>
      <c r="O8678" t="s">
        <v>1526</v>
      </c>
      <c r="R8678" t="s">
        <v>57</v>
      </c>
      <c r="S8678">
        <v>8</v>
      </c>
      <c r="T8678">
        <v>249</v>
      </c>
      <c r="U8678" s="1">
        <v>36769</v>
      </c>
      <c r="V8678" t="s">
        <v>66</v>
      </c>
      <c r="W8678" t="s">
        <v>67</v>
      </c>
      <c r="X8678" t="s">
        <v>58</v>
      </c>
      <c r="Y8678">
        <v>25</v>
      </c>
      <c r="Z8678" t="s">
        <v>59</v>
      </c>
      <c r="AA8678" t="s">
        <v>59</v>
      </c>
      <c r="AB8678" t="s">
        <v>59</v>
      </c>
      <c r="AC8678" t="s">
        <v>59</v>
      </c>
      <c r="AD8678" t="s">
        <v>59</v>
      </c>
      <c r="AF8678" s="1">
        <v>36770</v>
      </c>
      <c r="AG8678" t="s">
        <v>8651</v>
      </c>
      <c r="AH8678" t="s">
        <v>8652</v>
      </c>
      <c r="AI8678" t="str">
        <f>"9410210"</f>
        <v>9410210</v>
      </c>
      <c r="AJ8678" t="s">
        <v>13047</v>
      </c>
      <c r="AK8678">
        <v>2831027655</v>
      </c>
      <c r="AL8678" t="s">
        <v>13048</v>
      </c>
      <c r="AM8678" t="s">
        <v>64</v>
      </c>
      <c r="AN8678" t="s">
        <v>65</v>
      </c>
      <c r="AO8678" t="s">
        <v>65</v>
      </c>
      <c r="AP8678" t="s">
        <v>65</v>
      </c>
      <c r="AQ8678">
        <v>1</v>
      </c>
      <c r="AR8678" t="s">
        <v>66</v>
      </c>
      <c r="AS8678" t="s">
        <v>67</v>
      </c>
      <c r="AT8678" t="s">
        <v>58</v>
      </c>
      <c r="AU8678" t="s">
        <v>68</v>
      </c>
      <c r="AV8678" t="s">
        <v>69</v>
      </c>
      <c r="AW8678" s="1">
        <v>27117</v>
      </c>
      <c r="AX8678">
        <v>1</v>
      </c>
    </row>
    <row r="8679" spans="1:50">
      <c r="A8679">
        <v>601368</v>
      </c>
      <c r="B8679" t="str">
        <f>"100072999"</f>
        <v>100072999</v>
      </c>
      <c r="C8679" t="s">
        <v>50</v>
      </c>
      <c r="D8679" t="s">
        <v>2372</v>
      </c>
      <c r="E8679" t="s">
        <v>52</v>
      </c>
      <c r="F8679" t="s">
        <v>1286</v>
      </c>
      <c r="G8679" t="s">
        <v>52</v>
      </c>
      <c r="H8679" t="str">
        <f>"ΠΛ. ΙΕΡΟΛΟΧΙΤΩΝ 26 ΡΕΘΥΜΝΟ"</f>
        <v>ΠΛ. ΙΕΡΟΛΟΧΙΤΩΝ 26 ΡΕΘΥΜΝΟ</v>
      </c>
      <c r="I8679">
        <v>74100</v>
      </c>
      <c r="J8679">
        <v>2831025332</v>
      </c>
      <c r="K8679">
        <v>6974466082</v>
      </c>
      <c r="N8679" t="s">
        <v>615</v>
      </c>
      <c r="O8679" t="s">
        <v>616</v>
      </c>
      <c r="R8679" t="s">
        <v>57</v>
      </c>
      <c r="S8679">
        <v>8</v>
      </c>
      <c r="T8679">
        <v>207</v>
      </c>
      <c r="U8679" s="1">
        <v>37866</v>
      </c>
      <c r="V8679" t="s">
        <v>66</v>
      </c>
      <c r="W8679" t="s">
        <v>67</v>
      </c>
      <c r="X8679" t="s">
        <v>58</v>
      </c>
      <c r="Y8679">
        <v>22</v>
      </c>
      <c r="Z8679" t="s">
        <v>59</v>
      </c>
      <c r="AA8679" t="s">
        <v>59</v>
      </c>
      <c r="AB8679" t="s">
        <v>59</v>
      </c>
      <c r="AC8679" t="s">
        <v>59</v>
      </c>
      <c r="AD8679" t="s">
        <v>59</v>
      </c>
      <c r="AF8679" s="1">
        <v>37866</v>
      </c>
      <c r="AG8679" t="s">
        <v>8645</v>
      </c>
      <c r="AH8679" t="s">
        <v>8646</v>
      </c>
      <c r="AI8679" t="str">
        <f>"9410212"</f>
        <v>9410212</v>
      </c>
      <c r="AJ8679" t="s">
        <v>12747</v>
      </c>
      <c r="AK8679">
        <v>2831022132</v>
      </c>
      <c r="AL8679" t="s">
        <v>12748</v>
      </c>
      <c r="AM8679" t="s">
        <v>64</v>
      </c>
      <c r="AN8679" t="s">
        <v>65</v>
      </c>
      <c r="AO8679" t="s">
        <v>65</v>
      </c>
      <c r="AP8679" t="s">
        <v>65</v>
      </c>
      <c r="AQ8679">
        <v>1</v>
      </c>
      <c r="AR8679" t="s">
        <v>66</v>
      </c>
      <c r="AS8679" t="s">
        <v>67</v>
      </c>
      <c r="AT8679" t="s">
        <v>58</v>
      </c>
      <c r="AU8679" t="s">
        <v>68</v>
      </c>
      <c r="AV8679" t="s">
        <v>69</v>
      </c>
      <c r="AW8679" s="1">
        <v>26104</v>
      </c>
      <c r="AX8679">
        <v>1</v>
      </c>
    </row>
    <row r="8680" spans="1:50">
      <c r="A8680">
        <v>581227</v>
      </c>
      <c r="B8680" t="str">
        <f>"050470386"</f>
        <v>050470386</v>
      </c>
      <c r="C8680" t="s">
        <v>50</v>
      </c>
      <c r="D8680" t="s">
        <v>10449</v>
      </c>
      <c r="E8680" t="s">
        <v>52</v>
      </c>
      <c r="F8680" t="s">
        <v>166</v>
      </c>
      <c r="G8680" t="s">
        <v>52</v>
      </c>
      <c r="H8680" t="str">
        <f>"ΠΕΡΑΜΑ ΜΥΛΟΠΟΤΑΜΟΥ ΡΕΘΥΜΝΟ"</f>
        <v>ΠΕΡΑΜΑ ΜΥΛΟΠΟΤΑΜΟΥ ΡΕΘΥΜΝΟ</v>
      </c>
      <c r="I8680">
        <v>74052</v>
      </c>
      <c r="J8680">
        <v>2834023441</v>
      </c>
      <c r="K8680">
        <v>6945897810</v>
      </c>
      <c r="N8680" t="s">
        <v>615</v>
      </c>
      <c r="O8680" t="s">
        <v>616</v>
      </c>
      <c r="R8680" t="s">
        <v>57</v>
      </c>
      <c r="S8680">
        <v>13</v>
      </c>
      <c r="T8680">
        <v>179</v>
      </c>
      <c r="U8680" s="1">
        <v>35674</v>
      </c>
      <c r="V8680" t="s">
        <v>66</v>
      </c>
      <c r="W8680" t="s">
        <v>67</v>
      </c>
      <c r="X8680" t="s">
        <v>58</v>
      </c>
      <c r="Y8680">
        <v>21</v>
      </c>
      <c r="Z8680" t="s">
        <v>59</v>
      </c>
      <c r="AA8680" t="s">
        <v>59</v>
      </c>
      <c r="AB8680" t="s">
        <v>59</v>
      </c>
      <c r="AC8680" t="s">
        <v>59</v>
      </c>
      <c r="AD8680" t="s">
        <v>59</v>
      </c>
      <c r="AF8680" s="1">
        <v>35675</v>
      </c>
      <c r="AG8680" t="s">
        <v>8645</v>
      </c>
      <c r="AH8680" t="s">
        <v>8646</v>
      </c>
      <c r="AI8680" t="str">
        <f>"9410242"</f>
        <v>9410242</v>
      </c>
      <c r="AJ8680" t="s">
        <v>12796</v>
      </c>
      <c r="AK8680">
        <v>2834023145</v>
      </c>
      <c r="AL8680" t="s">
        <v>12797</v>
      </c>
      <c r="AM8680" t="s">
        <v>64</v>
      </c>
      <c r="AN8680" t="s">
        <v>5672</v>
      </c>
      <c r="AO8680" t="s">
        <v>5673</v>
      </c>
      <c r="AP8680" t="s">
        <v>5689</v>
      </c>
      <c r="AQ8680">
        <v>7</v>
      </c>
      <c r="AR8680" t="s">
        <v>66</v>
      </c>
      <c r="AS8680" t="s">
        <v>67</v>
      </c>
      <c r="AT8680" t="s">
        <v>58</v>
      </c>
      <c r="AU8680" t="s">
        <v>68</v>
      </c>
      <c r="AV8680" t="s">
        <v>69</v>
      </c>
      <c r="AW8680" s="1">
        <v>24237</v>
      </c>
      <c r="AX8680">
        <v>1</v>
      </c>
    </row>
    <row r="8681" spans="1:50">
      <c r="A8681">
        <v>621151</v>
      </c>
      <c r="B8681" t="str">
        <f>"133210404"</f>
        <v>133210404</v>
      </c>
      <c r="C8681" t="s">
        <v>50</v>
      </c>
      <c r="D8681" t="s">
        <v>13294</v>
      </c>
      <c r="E8681" t="s">
        <v>13295</v>
      </c>
      <c r="F8681" t="s">
        <v>106</v>
      </c>
      <c r="G8681" t="s">
        <v>13296</v>
      </c>
      <c r="H8681" t="str">
        <f>"Κ.ΠΟΛΙΤΗ 4  ΦΙΛΟΘΕΗ"</f>
        <v>Κ.ΠΟΛΙΤΗ 4  ΦΙΛΟΘΕΗ</v>
      </c>
      <c r="I8681">
        <v>15237</v>
      </c>
      <c r="J8681">
        <v>2106849656</v>
      </c>
      <c r="K8681">
        <v>6973883134</v>
      </c>
      <c r="N8681" t="s">
        <v>615</v>
      </c>
      <c r="O8681" t="s">
        <v>616</v>
      </c>
      <c r="R8681" t="s">
        <v>57</v>
      </c>
      <c r="S8681">
        <v>7</v>
      </c>
      <c r="T8681">
        <v>653</v>
      </c>
      <c r="U8681" s="1">
        <v>40043</v>
      </c>
      <c r="V8681" t="s">
        <v>66</v>
      </c>
      <c r="W8681" t="s">
        <v>67</v>
      </c>
      <c r="X8681" t="s">
        <v>58</v>
      </c>
      <c r="Y8681">
        <v>25</v>
      </c>
      <c r="Z8681" t="s">
        <v>59</v>
      </c>
      <c r="AA8681" t="s">
        <v>59</v>
      </c>
      <c r="AB8681" t="s">
        <v>59</v>
      </c>
      <c r="AC8681" t="s">
        <v>59</v>
      </c>
      <c r="AD8681" t="s">
        <v>59</v>
      </c>
      <c r="AF8681" s="1">
        <v>40057</v>
      </c>
      <c r="AG8681" t="s">
        <v>8645</v>
      </c>
      <c r="AH8681" t="s">
        <v>8676</v>
      </c>
      <c r="AI8681" t="str">
        <f>"9410053"</f>
        <v>9410053</v>
      </c>
      <c r="AJ8681" t="s">
        <v>13297</v>
      </c>
      <c r="AK8681">
        <v>2834051285</v>
      </c>
      <c r="AL8681" t="s">
        <v>13298</v>
      </c>
      <c r="AM8681" t="s">
        <v>64</v>
      </c>
      <c r="AN8681" t="s">
        <v>5672</v>
      </c>
      <c r="AO8681" t="s">
        <v>5673</v>
      </c>
      <c r="AP8681" t="s">
        <v>13299</v>
      </c>
      <c r="AQ8681">
        <v>10</v>
      </c>
      <c r="AR8681" t="s">
        <v>66</v>
      </c>
      <c r="AS8681" t="s">
        <v>67</v>
      </c>
      <c r="AT8681" t="s">
        <v>58</v>
      </c>
      <c r="AU8681" t="s">
        <v>68</v>
      </c>
      <c r="AV8681" t="s">
        <v>69</v>
      </c>
      <c r="AW8681" s="1">
        <v>31302</v>
      </c>
      <c r="AX8681">
        <v>1</v>
      </c>
    </row>
    <row r="8682" spans="1:50">
      <c r="A8682">
        <v>613225</v>
      </c>
      <c r="B8682" t="str">
        <f>"113631188"</f>
        <v>113631188</v>
      </c>
      <c r="C8682" t="s">
        <v>50</v>
      </c>
      <c r="D8682" t="s">
        <v>13300</v>
      </c>
      <c r="E8682" t="s">
        <v>237</v>
      </c>
      <c r="F8682" t="s">
        <v>7043</v>
      </c>
      <c r="G8682" t="s">
        <v>85</v>
      </c>
      <c r="H8682" t="str">
        <f>"ΤΡΙΑ ΜΟΝΑΣΤΗΡΙΑ ΡΕΘΥΜΝΟ"</f>
        <v>ΤΡΙΑ ΜΟΝΑΣΤΗΡΙΑ ΡΕΘΥΜΝΟ</v>
      </c>
      <c r="I8682">
        <v>74100</v>
      </c>
      <c r="J8682">
        <v>2102433722</v>
      </c>
      <c r="K8682">
        <v>6948373059</v>
      </c>
      <c r="N8682" t="s">
        <v>615</v>
      </c>
      <c r="O8682" t="s">
        <v>616</v>
      </c>
      <c r="R8682" t="s">
        <v>57</v>
      </c>
      <c r="S8682">
        <v>6</v>
      </c>
      <c r="T8682">
        <v>598</v>
      </c>
      <c r="U8682" s="1">
        <v>39310</v>
      </c>
      <c r="V8682" t="s">
        <v>66</v>
      </c>
      <c r="W8682" t="s">
        <v>67</v>
      </c>
      <c r="X8682" t="s">
        <v>58</v>
      </c>
      <c r="Y8682">
        <v>23</v>
      </c>
      <c r="Z8682" t="s">
        <v>59</v>
      </c>
      <c r="AA8682" t="s">
        <v>59</v>
      </c>
      <c r="AB8682" t="s">
        <v>59</v>
      </c>
      <c r="AC8682" t="s">
        <v>59</v>
      </c>
      <c r="AD8682" t="s">
        <v>59</v>
      </c>
      <c r="AF8682" s="1">
        <v>39329</v>
      </c>
      <c r="AG8682" t="s">
        <v>8645</v>
      </c>
      <c r="AH8682" t="s">
        <v>8646</v>
      </c>
      <c r="AI8682" t="str">
        <f>"9410065"</f>
        <v>9410065</v>
      </c>
      <c r="AJ8682" t="s">
        <v>12717</v>
      </c>
      <c r="AK8682">
        <v>2831022519</v>
      </c>
      <c r="AL8682" t="s">
        <v>12718</v>
      </c>
      <c r="AM8682" t="s">
        <v>64</v>
      </c>
      <c r="AN8682" t="s">
        <v>65</v>
      </c>
      <c r="AO8682" t="s">
        <v>65</v>
      </c>
      <c r="AP8682" t="s">
        <v>65</v>
      </c>
      <c r="AQ8682">
        <v>1</v>
      </c>
      <c r="AR8682" t="s">
        <v>66</v>
      </c>
      <c r="AS8682" t="s">
        <v>67</v>
      </c>
      <c r="AT8682" t="s">
        <v>58</v>
      </c>
      <c r="AU8682" t="s">
        <v>68</v>
      </c>
      <c r="AV8682" t="s">
        <v>69</v>
      </c>
      <c r="AW8682" s="1">
        <v>29311</v>
      </c>
      <c r="AX8682">
        <v>1</v>
      </c>
    </row>
    <row r="8683" spans="1:50">
      <c r="A8683">
        <v>598917</v>
      </c>
      <c r="B8683" t="str">
        <f>"059406473"</f>
        <v>059406473</v>
      </c>
      <c r="C8683" t="s">
        <v>105</v>
      </c>
      <c r="D8683" t="s">
        <v>13301</v>
      </c>
      <c r="E8683" t="s">
        <v>72</v>
      </c>
      <c r="F8683" t="s">
        <v>989</v>
      </c>
      <c r="G8683" t="s">
        <v>4999</v>
      </c>
      <c r="H8683" t="str">
        <f>" "</f>
        <v xml:space="preserve"> </v>
      </c>
      <c r="J8683">
        <v>2384091294</v>
      </c>
      <c r="K8683">
        <v>6944176932</v>
      </c>
      <c r="N8683" t="s">
        <v>615</v>
      </c>
      <c r="O8683" t="s">
        <v>616</v>
      </c>
      <c r="R8683" t="s">
        <v>57</v>
      </c>
      <c r="S8683">
        <v>9</v>
      </c>
      <c r="T8683">
        <v>195</v>
      </c>
      <c r="U8683" s="1">
        <v>37497</v>
      </c>
      <c r="V8683" t="s">
        <v>66</v>
      </c>
      <c r="W8683" t="s">
        <v>67</v>
      </c>
      <c r="X8683" t="s">
        <v>58</v>
      </c>
      <c r="Y8683">
        <v>22</v>
      </c>
      <c r="Z8683" t="s">
        <v>59</v>
      </c>
      <c r="AA8683" t="s">
        <v>59</v>
      </c>
      <c r="AB8683" t="s">
        <v>59</v>
      </c>
      <c r="AC8683" t="s">
        <v>59</v>
      </c>
      <c r="AD8683" t="s">
        <v>59</v>
      </c>
      <c r="AF8683" s="1">
        <v>37501</v>
      </c>
      <c r="AG8683" t="s">
        <v>8645</v>
      </c>
      <c r="AH8683" t="s">
        <v>8646</v>
      </c>
      <c r="AI8683" t="str">
        <f>"9410212"</f>
        <v>9410212</v>
      </c>
      <c r="AJ8683" t="s">
        <v>12747</v>
      </c>
      <c r="AK8683">
        <v>2831022132</v>
      </c>
      <c r="AL8683" t="s">
        <v>12748</v>
      </c>
      <c r="AM8683" t="s">
        <v>64</v>
      </c>
      <c r="AN8683" t="s">
        <v>65</v>
      </c>
      <c r="AO8683" t="s">
        <v>65</v>
      </c>
      <c r="AP8683" t="s">
        <v>65</v>
      </c>
      <c r="AQ8683">
        <v>1</v>
      </c>
      <c r="AR8683" t="s">
        <v>66</v>
      </c>
      <c r="AS8683" t="s">
        <v>67</v>
      </c>
      <c r="AT8683" t="s">
        <v>58</v>
      </c>
      <c r="AU8683" t="s">
        <v>68</v>
      </c>
      <c r="AV8683" t="s">
        <v>69</v>
      </c>
      <c r="AW8683" s="1">
        <v>24976</v>
      </c>
      <c r="AX8683">
        <v>1</v>
      </c>
    </row>
    <row r="8684" spans="1:50">
      <c r="A8684">
        <v>622366</v>
      </c>
      <c r="B8684" t="str">
        <f>"109114281"</f>
        <v>109114281</v>
      </c>
      <c r="C8684" t="s">
        <v>50</v>
      </c>
      <c r="D8684" t="s">
        <v>13302</v>
      </c>
      <c r="E8684" t="s">
        <v>6095</v>
      </c>
      <c r="F8684" t="s">
        <v>383</v>
      </c>
      <c r="G8684" t="s">
        <v>484</v>
      </c>
      <c r="H8684" t="str">
        <f>"ΜΠΑΛΕ ΑΓ. ΒΑΣΙΛΕΙΟΥ ΡΕΘΥΜΝΟΥ"</f>
        <v>ΜΠΑΛΕ ΑΓ. ΒΑΣΙΛΕΙΟΥ ΡΕΘΥΜΝΟΥ</v>
      </c>
      <c r="I8684">
        <v>74053</v>
      </c>
      <c r="J8684">
        <v>2832051322</v>
      </c>
      <c r="K8684">
        <v>6973579819</v>
      </c>
      <c r="N8684" t="s">
        <v>1525</v>
      </c>
      <c r="O8684" t="s">
        <v>1526</v>
      </c>
      <c r="R8684" t="s">
        <v>57</v>
      </c>
      <c r="S8684">
        <v>5</v>
      </c>
      <c r="T8684">
        <v>653</v>
      </c>
      <c r="U8684" s="1">
        <v>40043</v>
      </c>
      <c r="V8684" t="s">
        <v>66</v>
      </c>
      <c r="W8684" t="s">
        <v>67</v>
      </c>
      <c r="X8684" t="s">
        <v>58</v>
      </c>
      <c r="Y8684">
        <v>25</v>
      </c>
      <c r="Z8684" t="s">
        <v>59</v>
      </c>
      <c r="AA8684" t="s">
        <v>59</v>
      </c>
      <c r="AB8684" t="s">
        <v>59</v>
      </c>
      <c r="AC8684" t="s">
        <v>59</v>
      </c>
      <c r="AD8684" t="s">
        <v>59</v>
      </c>
      <c r="AF8684" s="1">
        <v>40045</v>
      </c>
      <c r="AG8684" t="s">
        <v>8651</v>
      </c>
      <c r="AH8684" t="s">
        <v>8652</v>
      </c>
      <c r="AI8684" t="str">
        <f>"9410233"</f>
        <v>9410233</v>
      </c>
      <c r="AJ8684" t="s">
        <v>12861</v>
      </c>
      <c r="AK8684">
        <v>2832051552</v>
      </c>
      <c r="AL8684" t="s">
        <v>12862</v>
      </c>
      <c r="AM8684" t="s">
        <v>64</v>
      </c>
      <c r="AN8684" t="s">
        <v>5882</v>
      </c>
      <c r="AO8684" t="s">
        <v>6099</v>
      </c>
      <c r="AP8684" t="s">
        <v>12825</v>
      </c>
      <c r="AQ8684">
        <v>5</v>
      </c>
      <c r="AR8684" t="s">
        <v>66</v>
      </c>
      <c r="AS8684" t="s">
        <v>67</v>
      </c>
      <c r="AT8684" t="s">
        <v>58</v>
      </c>
      <c r="AU8684" t="s">
        <v>68</v>
      </c>
      <c r="AV8684" t="s">
        <v>69</v>
      </c>
      <c r="AW8684" s="1">
        <v>26959</v>
      </c>
      <c r="AX8684">
        <v>1</v>
      </c>
    </row>
    <row r="8685" spans="1:50">
      <c r="B8685" t="str">
        <f>"133844197"</f>
        <v>133844197</v>
      </c>
      <c r="C8685" t="s">
        <v>50</v>
      </c>
      <c r="D8685" t="s">
        <v>13303</v>
      </c>
      <c r="E8685" t="s">
        <v>112</v>
      </c>
      <c r="F8685" t="s">
        <v>99</v>
      </c>
      <c r="G8685" t="s">
        <v>484</v>
      </c>
      <c r="H8685" t="str">
        <f>" "</f>
        <v xml:space="preserve"> </v>
      </c>
      <c r="N8685" t="s">
        <v>9829</v>
      </c>
      <c r="O8685" t="s">
        <v>9830</v>
      </c>
      <c r="R8685" t="s">
        <v>159</v>
      </c>
      <c r="S8685">
        <v>3</v>
      </c>
      <c r="T8685" t="s">
        <v>8835</v>
      </c>
      <c r="U8685" s="1">
        <v>43348</v>
      </c>
      <c r="V8685" t="s">
        <v>66</v>
      </c>
      <c r="W8685" t="s">
        <v>67</v>
      </c>
      <c r="X8685" t="s">
        <v>58</v>
      </c>
      <c r="Y8685">
        <v>25</v>
      </c>
      <c r="Z8685" t="s">
        <v>59</v>
      </c>
      <c r="AA8685" t="s">
        <v>59</v>
      </c>
      <c r="AB8685" t="s">
        <v>59</v>
      </c>
      <c r="AD8685" t="s">
        <v>59</v>
      </c>
      <c r="AF8685" s="1">
        <v>43348</v>
      </c>
      <c r="AG8685" t="s">
        <v>8651</v>
      </c>
      <c r="AH8685" t="s">
        <v>8652</v>
      </c>
      <c r="AI8685" t="str">
        <f>"9521304"</f>
        <v>9521304</v>
      </c>
      <c r="AJ8685" t="s">
        <v>12798</v>
      </c>
      <c r="AK8685">
        <v>2831057099</v>
      </c>
      <c r="AL8685" t="s">
        <v>12799</v>
      </c>
      <c r="AM8685" t="s">
        <v>64</v>
      </c>
      <c r="AN8685" t="s">
        <v>65</v>
      </c>
      <c r="AO8685" t="s">
        <v>5720</v>
      </c>
      <c r="AP8685" t="s">
        <v>5721</v>
      </c>
      <c r="AQ8685">
        <v>2</v>
      </c>
      <c r="AR8685" t="s">
        <v>66</v>
      </c>
      <c r="AS8685" t="s">
        <v>67</v>
      </c>
      <c r="AT8685" t="s">
        <v>58</v>
      </c>
      <c r="AU8685" t="s">
        <v>131</v>
      </c>
      <c r="AV8685" t="s">
        <v>132</v>
      </c>
      <c r="AW8685" s="1">
        <v>32535</v>
      </c>
      <c r="AX8685">
        <v>1</v>
      </c>
    </row>
    <row r="8686" spans="1:50">
      <c r="B8686" t="str">
        <f>"139206487"</f>
        <v>139206487</v>
      </c>
      <c r="C8686" t="s">
        <v>50</v>
      </c>
      <c r="D8686" t="s">
        <v>13304</v>
      </c>
      <c r="E8686" t="s">
        <v>1443</v>
      </c>
      <c r="F8686" t="s">
        <v>965</v>
      </c>
      <c r="G8686" t="s">
        <v>263</v>
      </c>
      <c r="H8686" t="str">
        <f>"ΕΚΑΤΑΙΟΥ 75 "</f>
        <v xml:space="preserve">ΕΚΑΤΑΙΟΥ 75 </v>
      </c>
      <c r="I8686">
        <v>11743</v>
      </c>
      <c r="J8686">
        <v>2109024431</v>
      </c>
      <c r="K8686">
        <v>6970136416</v>
      </c>
      <c r="N8686" t="s">
        <v>306</v>
      </c>
      <c r="O8686" t="s">
        <v>307</v>
      </c>
      <c r="R8686" t="s">
        <v>159</v>
      </c>
      <c r="S8686">
        <v>3</v>
      </c>
      <c r="T8686" t="s">
        <v>8675</v>
      </c>
      <c r="U8686" s="1">
        <v>43348</v>
      </c>
      <c r="V8686" t="s">
        <v>66</v>
      </c>
      <c r="W8686" t="s">
        <v>67</v>
      </c>
      <c r="X8686" t="s">
        <v>58</v>
      </c>
      <c r="Y8686">
        <v>24</v>
      </c>
      <c r="Z8686" t="s">
        <v>59</v>
      </c>
      <c r="AA8686" t="s">
        <v>59</v>
      </c>
      <c r="AB8686" t="s">
        <v>59</v>
      </c>
      <c r="AC8686" t="s">
        <v>59</v>
      </c>
      <c r="AD8686" t="s">
        <v>59</v>
      </c>
      <c r="AF8686" s="1">
        <v>43348</v>
      </c>
      <c r="AG8686" t="s">
        <v>8645</v>
      </c>
      <c r="AH8686" t="s">
        <v>8646</v>
      </c>
      <c r="AI8686" t="str">
        <f>"9410241"</f>
        <v>9410241</v>
      </c>
      <c r="AJ8686" t="s">
        <v>12783</v>
      </c>
      <c r="AK8686">
        <v>2831022616</v>
      </c>
      <c r="AL8686" t="s">
        <v>12784</v>
      </c>
      <c r="AM8686" t="s">
        <v>64</v>
      </c>
      <c r="AN8686" t="s">
        <v>65</v>
      </c>
      <c r="AO8686" t="s">
        <v>65</v>
      </c>
      <c r="AP8686" t="s">
        <v>65</v>
      </c>
      <c r="AQ8686">
        <v>1</v>
      </c>
      <c r="AR8686" t="s">
        <v>66</v>
      </c>
      <c r="AS8686" t="s">
        <v>67</v>
      </c>
      <c r="AT8686" t="s">
        <v>58</v>
      </c>
      <c r="AU8686" t="s">
        <v>8673</v>
      </c>
      <c r="AV8686" t="s">
        <v>132</v>
      </c>
      <c r="AW8686" s="1">
        <v>31123</v>
      </c>
      <c r="AX8686">
        <v>1</v>
      </c>
    </row>
    <row r="8687" spans="1:50">
      <c r="B8687" t="str">
        <f>"136326117"</f>
        <v>136326117</v>
      </c>
      <c r="C8687" t="s">
        <v>50</v>
      </c>
      <c r="D8687" t="s">
        <v>13305</v>
      </c>
      <c r="E8687" t="s">
        <v>563</v>
      </c>
      <c r="F8687" t="s">
        <v>99</v>
      </c>
      <c r="G8687" t="s">
        <v>326</v>
      </c>
      <c r="H8687" t="str">
        <f>"Γ.ΒΙΖΥΙΝΟΥ 14 "</f>
        <v xml:space="preserve">Γ.ΒΙΖΥΙΝΟΥ 14 </v>
      </c>
      <c r="I8687">
        <v>62100</v>
      </c>
      <c r="J8687">
        <v>2321054862</v>
      </c>
      <c r="K8687">
        <v>6942642549</v>
      </c>
      <c r="N8687" t="s">
        <v>615</v>
      </c>
      <c r="O8687" t="s">
        <v>616</v>
      </c>
      <c r="R8687" t="s">
        <v>159</v>
      </c>
      <c r="S8687">
        <v>3</v>
      </c>
      <c r="T8687" t="s">
        <v>8675</v>
      </c>
      <c r="U8687" s="1">
        <v>43348</v>
      </c>
      <c r="V8687" t="s">
        <v>66</v>
      </c>
      <c r="W8687" t="s">
        <v>67</v>
      </c>
      <c r="X8687" t="s">
        <v>58</v>
      </c>
      <c r="Y8687">
        <v>24</v>
      </c>
      <c r="Z8687" t="s">
        <v>59</v>
      </c>
      <c r="AA8687" t="s">
        <v>59</v>
      </c>
      <c r="AB8687" t="s">
        <v>59</v>
      </c>
      <c r="AC8687" t="s">
        <v>59</v>
      </c>
      <c r="AD8687" t="s">
        <v>59</v>
      </c>
      <c r="AF8687" s="1">
        <v>43348</v>
      </c>
      <c r="AG8687" t="s">
        <v>8645</v>
      </c>
      <c r="AH8687" t="s">
        <v>8646</v>
      </c>
      <c r="AI8687" t="str">
        <f>"9410003"</f>
        <v>9410003</v>
      </c>
      <c r="AJ8687" t="s">
        <v>12794</v>
      </c>
      <c r="AK8687">
        <v>2834031213</v>
      </c>
      <c r="AL8687" t="s">
        <v>12795</v>
      </c>
      <c r="AM8687" t="s">
        <v>64</v>
      </c>
      <c r="AN8687" t="s">
        <v>5737</v>
      </c>
      <c r="AO8687" t="s">
        <v>5737</v>
      </c>
      <c r="AP8687" t="s">
        <v>5737</v>
      </c>
      <c r="AQ8687">
        <v>9</v>
      </c>
      <c r="AR8687" t="s">
        <v>66</v>
      </c>
      <c r="AS8687" t="s">
        <v>67</v>
      </c>
      <c r="AT8687" t="s">
        <v>58</v>
      </c>
      <c r="AU8687" t="s">
        <v>8673</v>
      </c>
      <c r="AV8687" t="s">
        <v>132</v>
      </c>
      <c r="AW8687" s="1">
        <v>32576</v>
      </c>
      <c r="AX8687">
        <v>1</v>
      </c>
    </row>
    <row r="8688" spans="1:50">
      <c r="B8688" t="str">
        <f>"124469101"</f>
        <v>124469101</v>
      </c>
      <c r="C8688" t="s">
        <v>50</v>
      </c>
      <c r="D8688" t="s">
        <v>2404</v>
      </c>
      <c r="E8688" t="s">
        <v>681</v>
      </c>
      <c r="F8688" t="s">
        <v>72</v>
      </c>
      <c r="G8688" t="s">
        <v>460</v>
      </c>
      <c r="H8688" t="str">
        <f>"ΣΓΟΥΡΑΦΟΓΙΑΝΝΗ 10 "</f>
        <v xml:space="preserve">ΣΓΟΥΡΑΦΟΓΙΑΝΝΗ 10 </v>
      </c>
      <c r="I8688">
        <v>74100</v>
      </c>
      <c r="J8688">
        <v>2831072895</v>
      </c>
      <c r="K8688">
        <v>6944961344</v>
      </c>
      <c r="N8688" t="s">
        <v>1525</v>
      </c>
      <c r="O8688" t="s">
        <v>1526</v>
      </c>
      <c r="R8688" t="s">
        <v>159</v>
      </c>
      <c r="S8688">
        <v>4</v>
      </c>
      <c r="T8688" t="s">
        <v>8670</v>
      </c>
      <c r="U8688" s="1">
        <v>43348</v>
      </c>
      <c r="V8688" t="s">
        <v>66</v>
      </c>
      <c r="W8688" t="s">
        <v>67</v>
      </c>
      <c r="X8688" t="s">
        <v>58</v>
      </c>
      <c r="Y8688">
        <v>25</v>
      </c>
      <c r="Z8688" t="s">
        <v>59</v>
      </c>
      <c r="AA8688" t="s">
        <v>59</v>
      </c>
      <c r="AB8688" t="s">
        <v>59</v>
      </c>
      <c r="AC8688" t="s">
        <v>59</v>
      </c>
      <c r="AD8688" t="s">
        <v>59</v>
      </c>
      <c r="AF8688" s="1">
        <v>43348</v>
      </c>
      <c r="AG8688" t="s">
        <v>8651</v>
      </c>
      <c r="AH8688" t="s">
        <v>8652</v>
      </c>
      <c r="AI8688" t="str">
        <f>"9521303"</f>
        <v>9521303</v>
      </c>
      <c r="AJ8688" t="s">
        <v>13174</v>
      </c>
      <c r="AK8688">
        <v>2831072269</v>
      </c>
      <c r="AL8688" t="s">
        <v>13175</v>
      </c>
      <c r="AM8688" t="s">
        <v>64</v>
      </c>
      <c r="AN8688" t="s">
        <v>65</v>
      </c>
      <c r="AO8688" t="s">
        <v>65</v>
      </c>
      <c r="AP8688" t="s">
        <v>13176</v>
      </c>
      <c r="AQ8688">
        <v>3</v>
      </c>
      <c r="AR8688" t="s">
        <v>66</v>
      </c>
      <c r="AS8688" t="s">
        <v>67</v>
      </c>
      <c r="AT8688" t="s">
        <v>58</v>
      </c>
      <c r="AU8688" t="s">
        <v>8673</v>
      </c>
      <c r="AV8688" t="s">
        <v>132</v>
      </c>
      <c r="AW8688" s="1">
        <v>30575</v>
      </c>
      <c r="AX8688">
        <v>1</v>
      </c>
    </row>
    <row r="8689" spans="1:50">
      <c r="A8689">
        <v>577548</v>
      </c>
      <c r="B8689" t="str">
        <f>"035923250"</f>
        <v>035923250</v>
      </c>
      <c r="C8689" t="s">
        <v>105</v>
      </c>
      <c r="D8689" t="s">
        <v>2411</v>
      </c>
      <c r="E8689" t="s">
        <v>1970</v>
      </c>
      <c r="F8689" t="s">
        <v>321</v>
      </c>
      <c r="G8689" t="s">
        <v>255</v>
      </c>
      <c r="H8689" t="str">
        <f>" "</f>
        <v xml:space="preserve"> </v>
      </c>
      <c r="N8689" t="s">
        <v>176</v>
      </c>
      <c r="O8689" t="s">
        <v>177</v>
      </c>
      <c r="R8689" t="s">
        <v>57</v>
      </c>
      <c r="S8689">
        <v>12</v>
      </c>
      <c r="T8689">
        <v>184</v>
      </c>
      <c r="U8689" s="1">
        <v>34941</v>
      </c>
      <c r="V8689" t="s">
        <v>66</v>
      </c>
      <c r="W8689" t="s">
        <v>67</v>
      </c>
      <c r="X8689" t="s">
        <v>58</v>
      </c>
      <c r="Y8689">
        <v>21</v>
      </c>
      <c r="Z8689" t="s">
        <v>59</v>
      </c>
      <c r="AA8689" t="s">
        <v>59</v>
      </c>
      <c r="AB8689" t="s">
        <v>59</v>
      </c>
      <c r="AC8689" t="s">
        <v>59</v>
      </c>
      <c r="AD8689" t="s">
        <v>59</v>
      </c>
      <c r="AF8689" s="1">
        <v>34943</v>
      </c>
      <c r="AG8689" t="s">
        <v>8645</v>
      </c>
      <c r="AH8689" t="s">
        <v>8697</v>
      </c>
      <c r="AI8689" t="str">
        <f>"9410243"</f>
        <v>9410243</v>
      </c>
      <c r="AJ8689" t="s">
        <v>12885</v>
      </c>
      <c r="AK8689">
        <v>2831026710</v>
      </c>
      <c r="AL8689" t="s">
        <v>12886</v>
      </c>
      <c r="AM8689" t="s">
        <v>64</v>
      </c>
      <c r="AN8689" t="s">
        <v>65</v>
      </c>
      <c r="AO8689" t="s">
        <v>65</v>
      </c>
      <c r="AP8689" t="s">
        <v>65</v>
      </c>
      <c r="AQ8689">
        <v>1</v>
      </c>
      <c r="AR8689" t="s">
        <v>66</v>
      </c>
      <c r="AS8689" t="s">
        <v>67</v>
      </c>
      <c r="AT8689" t="s">
        <v>58</v>
      </c>
      <c r="AU8689" t="s">
        <v>68</v>
      </c>
      <c r="AV8689" t="s">
        <v>69</v>
      </c>
      <c r="AW8689" s="1">
        <v>22312</v>
      </c>
      <c r="AX8689">
        <v>1</v>
      </c>
    </row>
    <row r="8690" spans="1:50">
      <c r="B8690" t="str">
        <f>"113627685"</f>
        <v>113627685</v>
      </c>
      <c r="C8690" t="s">
        <v>50</v>
      </c>
      <c r="D8690" t="s">
        <v>13306</v>
      </c>
      <c r="E8690" t="s">
        <v>112</v>
      </c>
      <c r="F8690" t="s">
        <v>760</v>
      </c>
      <c r="G8690" t="s">
        <v>955</v>
      </c>
      <c r="H8690" t="str">
        <f>"ΚΑΣΤΕΛΛΑΚΙΑ 62 ΡΕΘΥΜΝΟ"</f>
        <v>ΚΑΣΤΕΛΛΑΚΙΑ 62 ΡΕΘΥΜΝΟ</v>
      </c>
      <c r="I8690">
        <v>74100</v>
      </c>
      <c r="J8690">
        <v>2831025667</v>
      </c>
      <c r="K8690">
        <v>6973862436</v>
      </c>
      <c r="N8690" t="s">
        <v>9829</v>
      </c>
      <c r="O8690" t="s">
        <v>9830</v>
      </c>
      <c r="R8690" t="s">
        <v>57</v>
      </c>
      <c r="S8690">
        <v>4</v>
      </c>
      <c r="T8690" t="s">
        <v>8696</v>
      </c>
      <c r="U8690" s="1">
        <v>43348</v>
      </c>
      <c r="V8690" t="s">
        <v>66</v>
      </c>
      <c r="W8690" t="s">
        <v>67</v>
      </c>
      <c r="X8690" t="s">
        <v>58</v>
      </c>
      <c r="Y8690">
        <v>25</v>
      </c>
      <c r="Z8690" t="s">
        <v>59</v>
      </c>
      <c r="AA8690" t="s">
        <v>59</v>
      </c>
      <c r="AB8690" t="s">
        <v>59</v>
      </c>
      <c r="AC8690" t="s">
        <v>59</v>
      </c>
      <c r="AD8690" t="s">
        <v>59</v>
      </c>
      <c r="AF8690" s="1">
        <v>43348</v>
      </c>
      <c r="AG8690" t="s">
        <v>8651</v>
      </c>
      <c r="AH8690" t="s">
        <v>8652</v>
      </c>
      <c r="AI8690" t="str">
        <f>"9410260"</f>
        <v>9410260</v>
      </c>
      <c r="AJ8690" t="s">
        <v>12844</v>
      </c>
      <c r="AK8690">
        <v>2834023621</v>
      </c>
      <c r="AL8690" t="s">
        <v>12845</v>
      </c>
      <c r="AM8690" t="s">
        <v>64</v>
      </c>
      <c r="AN8690" t="s">
        <v>5672</v>
      </c>
      <c r="AO8690" t="s">
        <v>5673</v>
      </c>
      <c r="AP8690" t="s">
        <v>5689</v>
      </c>
      <c r="AQ8690">
        <v>7</v>
      </c>
      <c r="AR8690" t="s">
        <v>66</v>
      </c>
      <c r="AS8690" t="s">
        <v>67</v>
      </c>
      <c r="AT8690" t="s">
        <v>58</v>
      </c>
      <c r="AU8690" t="s">
        <v>350</v>
      </c>
      <c r="AV8690" t="s">
        <v>132</v>
      </c>
      <c r="AW8690" s="1">
        <v>28936</v>
      </c>
      <c r="AX8690">
        <v>1</v>
      </c>
    </row>
    <row r="8691" spans="1:50">
      <c r="A8691">
        <v>596124</v>
      </c>
      <c r="B8691" t="str">
        <f>"065474068"</f>
        <v>065474068</v>
      </c>
      <c r="C8691" t="s">
        <v>50</v>
      </c>
      <c r="D8691" t="s">
        <v>10503</v>
      </c>
      <c r="E8691" t="s">
        <v>801</v>
      </c>
      <c r="F8691" t="s">
        <v>106</v>
      </c>
      <c r="G8691" t="s">
        <v>727</v>
      </c>
      <c r="H8691" t="str">
        <f>"ΤΡΑΝΤΑΛΛΙΔΟΥ 11 ΡΕΘΥΜΝΟ"</f>
        <v>ΤΡΑΝΤΑΛΛΙΔΟΥ 11 ΡΕΘΥΜΝΟ</v>
      </c>
      <c r="I8691">
        <v>74100</v>
      </c>
      <c r="J8691">
        <v>2831056740</v>
      </c>
      <c r="K8691">
        <v>6982652352</v>
      </c>
      <c r="N8691" t="s">
        <v>615</v>
      </c>
      <c r="O8691" t="s">
        <v>616</v>
      </c>
      <c r="R8691" t="s">
        <v>57</v>
      </c>
      <c r="S8691">
        <v>9</v>
      </c>
      <c r="T8691">
        <v>218</v>
      </c>
      <c r="U8691" s="1">
        <v>37134</v>
      </c>
      <c r="V8691" t="s">
        <v>66</v>
      </c>
      <c r="W8691" t="s">
        <v>67</v>
      </c>
      <c r="X8691" t="s">
        <v>58</v>
      </c>
      <c r="Y8691">
        <v>22</v>
      </c>
      <c r="Z8691" t="s">
        <v>59</v>
      </c>
      <c r="AA8691" t="s">
        <v>59</v>
      </c>
      <c r="AB8691" t="s">
        <v>59</v>
      </c>
      <c r="AC8691" t="s">
        <v>59</v>
      </c>
      <c r="AD8691" t="s">
        <v>59</v>
      </c>
      <c r="AF8691" s="1">
        <v>37137</v>
      </c>
      <c r="AG8691" t="s">
        <v>8645</v>
      </c>
      <c r="AH8691" t="s">
        <v>8646</v>
      </c>
      <c r="AI8691" t="str">
        <f>"9410212"</f>
        <v>9410212</v>
      </c>
      <c r="AJ8691" t="s">
        <v>12747</v>
      </c>
      <c r="AK8691">
        <v>2831022132</v>
      </c>
      <c r="AL8691" t="s">
        <v>12748</v>
      </c>
      <c r="AM8691" t="s">
        <v>64</v>
      </c>
      <c r="AN8691" t="s">
        <v>65</v>
      </c>
      <c r="AO8691" t="s">
        <v>65</v>
      </c>
      <c r="AP8691" t="s">
        <v>65</v>
      </c>
      <c r="AQ8691">
        <v>1</v>
      </c>
      <c r="AR8691" t="s">
        <v>66</v>
      </c>
      <c r="AS8691" t="s">
        <v>67</v>
      </c>
      <c r="AT8691" t="s">
        <v>58</v>
      </c>
      <c r="AU8691" t="s">
        <v>68</v>
      </c>
      <c r="AV8691" t="s">
        <v>69</v>
      </c>
      <c r="AW8691" s="1">
        <v>25235</v>
      </c>
      <c r="AX8691">
        <v>1</v>
      </c>
    </row>
    <row r="8692" spans="1:50">
      <c r="A8692">
        <v>593164</v>
      </c>
      <c r="B8692" t="str">
        <f>"078270097"</f>
        <v>078270097</v>
      </c>
      <c r="C8692" t="s">
        <v>105</v>
      </c>
      <c r="D8692" t="s">
        <v>13307</v>
      </c>
      <c r="E8692" t="s">
        <v>92</v>
      </c>
      <c r="F8692" t="s">
        <v>1506</v>
      </c>
      <c r="G8692" t="s">
        <v>1189</v>
      </c>
      <c r="H8692" t="str">
        <f>"ΑΓΙΑ ΠΑΡΑΣΚΕΥΗ ΡΕΘΥΜΝΟ"</f>
        <v>ΑΓΙΑ ΠΑΡΑΣΚΕΥΗ ΡΕΘΥΜΝΟ</v>
      </c>
      <c r="I8692">
        <v>74100</v>
      </c>
      <c r="J8692">
        <v>2831028016</v>
      </c>
      <c r="K8692">
        <v>6977806945</v>
      </c>
      <c r="M8692" t="s">
        <v>13308</v>
      </c>
      <c r="N8692" t="s">
        <v>615</v>
      </c>
      <c r="O8692" t="s">
        <v>616</v>
      </c>
      <c r="R8692" t="s">
        <v>57</v>
      </c>
      <c r="S8692">
        <v>10</v>
      </c>
      <c r="T8692">
        <v>218</v>
      </c>
      <c r="U8692" s="1">
        <v>37134</v>
      </c>
      <c r="V8692" t="s">
        <v>66</v>
      </c>
      <c r="W8692" t="s">
        <v>67</v>
      </c>
      <c r="X8692" t="s">
        <v>58</v>
      </c>
      <c r="Y8692">
        <v>22</v>
      </c>
      <c r="Z8692" t="s">
        <v>59</v>
      </c>
      <c r="AA8692" t="s">
        <v>59</v>
      </c>
      <c r="AB8692" t="s">
        <v>59</v>
      </c>
      <c r="AC8692" t="s">
        <v>59</v>
      </c>
      <c r="AD8692" t="s">
        <v>59</v>
      </c>
      <c r="AF8692" s="1">
        <v>37137</v>
      </c>
      <c r="AG8692" t="s">
        <v>8645</v>
      </c>
      <c r="AH8692" t="s">
        <v>8646</v>
      </c>
      <c r="AI8692" t="str">
        <f>"9410241"</f>
        <v>9410241</v>
      </c>
      <c r="AJ8692" t="s">
        <v>12783</v>
      </c>
      <c r="AK8692">
        <v>2831022616</v>
      </c>
      <c r="AL8692" t="s">
        <v>12784</v>
      </c>
      <c r="AM8692" t="s">
        <v>64</v>
      </c>
      <c r="AN8692" t="s">
        <v>65</v>
      </c>
      <c r="AO8692" t="s">
        <v>65</v>
      </c>
      <c r="AP8692" t="s">
        <v>65</v>
      </c>
      <c r="AQ8692">
        <v>1</v>
      </c>
      <c r="AR8692" t="s">
        <v>66</v>
      </c>
      <c r="AS8692" t="s">
        <v>67</v>
      </c>
      <c r="AT8692" t="s">
        <v>58</v>
      </c>
      <c r="AU8692" t="s">
        <v>68</v>
      </c>
      <c r="AV8692" t="s">
        <v>69</v>
      </c>
      <c r="AW8692" s="1">
        <v>27669</v>
      </c>
      <c r="AX8692">
        <v>1</v>
      </c>
    </row>
    <row r="8693" spans="1:50">
      <c r="A8693">
        <v>618395</v>
      </c>
      <c r="B8693" t="str">
        <f>"121411733"</f>
        <v>121411733</v>
      </c>
      <c r="C8693" t="s">
        <v>50</v>
      </c>
      <c r="D8693" t="s">
        <v>13309</v>
      </c>
      <c r="E8693" t="s">
        <v>255</v>
      </c>
      <c r="F8693" t="s">
        <v>95</v>
      </c>
      <c r="G8693" t="s">
        <v>250</v>
      </c>
      <c r="H8693" t="str">
        <f>"ΚΟΖΑΝΗΣ  57 ΑΓΙΟΣ ΝΙΚΟΛΑΟΣ"</f>
        <v>ΚΟΖΑΝΗΣ  57 ΑΓΙΟΣ ΝΙΚΟΛΑΟΣ</v>
      </c>
      <c r="I8693">
        <v>72100</v>
      </c>
      <c r="J8693">
        <v>2841024792</v>
      </c>
      <c r="K8693">
        <v>6997198889</v>
      </c>
      <c r="M8693" t="s">
        <v>13310</v>
      </c>
      <c r="N8693" t="s">
        <v>615</v>
      </c>
      <c r="O8693" t="s">
        <v>616</v>
      </c>
      <c r="R8693" t="s">
        <v>57</v>
      </c>
      <c r="S8693">
        <v>5</v>
      </c>
      <c r="T8693">
        <v>774</v>
      </c>
      <c r="U8693" s="1">
        <v>39680</v>
      </c>
      <c r="V8693" t="s">
        <v>66</v>
      </c>
      <c r="W8693" t="s">
        <v>67</v>
      </c>
      <c r="X8693" t="s">
        <v>58</v>
      </c>
      <c r="Y8693">
        <v>23</v>
      </c>
      <c r="Z8693" t="s">
        <v>59</v>
      </c>
      <c r="AA8693" t="s">
        <v>59</v>
      </c>
      <c r="AB8693" t="s">
        <v>59</v>
      </c>
      <c r="AC8693" t="s">
        <v>59</v>
      </c>
      <c r="AD8693" t="s">
        <v>59</v>
      </c>
      <c r="AF8693" s="1">
        <v>39681</v>
      </c>
      <c r="AG8693" t="s">
        <v>8645</v>
      </c>
      <c r="AH8693" t="s">
        <v>8646</v>
      </c>
      <c r="AI8693" t="str">
        <f>"9410044"</f>
        <v>9410044</v>
      </c>
      <c r="AJ8693" t="s">
        <v>13257</v>
      </c>
      <c r="AK8693">
        <v>2834094218</v>
      </c>
      <c r="AL8693" t="s">
        <v>13258</v>
      </c>
      <c r="AM8693" t="s">
        <v>64</v>
      </c>
      <c r="AN8693" t="s">
        <v>5672</v>
      </c>
      <c r="AO8693" t="s">
        <v>5673</v>
      </c>
      <c r="AP8693" t="s">
        <v>13259</v>
      </c>
      <c r="AQ8693">
        <v>10</v>
      </c>
      <c r="AR8693" t="s">
        <v>66</v>
      </c>
      <c r="AS8693" t="s">
        <v>67</v>
      </c>
      <c r="AT8693" t="s">
        <v>58</v>
      </c>
      <c r="AU8693" t="s">
        <v>68</v>
      </c>
      <c r="AV8693" t="s">
        <v>69</v>
      </c>
      <c r="AW8693" s="1">
        <v>30427</v>
      </c>
      <c r="AX8693">
        <v>1</v>
      </c>
    </row>
    <row r="8694" spans="1:50">
      <c r="A8694">
        <v>701640</v>
      </c>
      <c r="B8694" t="str">
        <f>"049451450"</f>
        <v>049451450</v>
      </c>
      <c r="C8694" t="s">
        <v>105</v>
      </c>
      <c r="D8694" t="s">
        <v>13311</v>
      </c>
      <c r="E8694" t="s">
        <v>670</v>
      </c>
      <c r="F8694" t="s">
        <v>95</v>
      </c>
      <c r="G8694" t="s">
        <v>250</v>
      </c>
      <c r="H8694" t="str">
        <f>"ΚΑΖΑΝΗ 57 ΑΓΙΟΣ ΝΙΚΟΛΑΟΣ"</f>
        <v>ΚΑΖΑΝΗ 57 ΑΓΙΟΣ ΝΙΚΟΛΑΟΣ</v>
      </c>
      <c r="I8694">
        <v>72100</v>
      </c>
      <c r="J8694">
        <v>2841024792</v>
      </c>
      <c r="K8694">
        <v>6948119620</v>
      </c>
      <c r="M8694" t="s">
        <v>13312</v>
      </c>
      <c r="N8694" t="s">
        <v>615</v>
      </c>
      <c r="O8694" t="s">
        <v>616</v>
      </c>
      <c r="R8694" t="s">
        <v>57</v>
      </c>
      <c r="S8694">
        <v>5</v>
      </c>
      <c r="T8694">
        <v>772</v>
      </c>
      <c r="U8694" s="1">
        <v>40413</v>
      </c>
      <c r="V8694" t="s">
        <v>66</v>
      </c>
      <c r="W8694" t="s">
        <v>67</v>
      </c>
      <c r="X8694" t="s">
        <v>58</v>
      </c>
      <c r="Y8694">
        <v>23</v>
      </c>
      <c r="Z8694" t="s">
        <v>59</v>
      </c>
      <c r="AA8694" t="s">
        <v>59</v>
      </c>
      <c r="AB8694" t="s">
        <v>59</v>
      </c>
      <c r="AC8694" t="s">
        <v>59</v>
      </c>
      <c r="AD8694" t="s">
        <v>59</v>
      </c>
      <c r="AF8694" s="1">
        <v>40413</v>
      </c>
      <c r="AG8694" t="s">
        <v>8645</v>
      </c>
      <c r="AH8694" t="s">
        <v>8646</v>
      </c>
      <c r="AI8694" t="str">
        <f>"9410044"</f>
        <v>9410044</v>
      </c>
      <c r="AJ8694" t="s">
        <v>13257</v>
      </c>
      <c r="AK8694">
        <v>2834094218</v>
      </c>
      <c r="AL8694" t="s">
        <v>13258</v>
      </c>
      <c r="AM8694" t="s">
        <v>64</v>
      </c>
      <c r="AN8694" t="s">
        <v>5672</v>
      </c>
      <c r="AO8694" t="s">
        <v>5673</v>
      </c>
      <c r="AP8694" t="s">
        <v>13259</v>
      </c>
      <c r="AQ8694">
        <v>10</v>
      </c>
      <c r="AR8694" t="s">
        <v>66</v>
      </c>
      <c r="AS8694" t="s">
        <v>67</v>
      </c>
      <c r="AT8694" t="s">
        <v>58</v>
      </c>
      <c r="AU8694" t="s">
        <v>68</v>
      </c>
      <c r="AV8694" t="s">
        <v>69</v>
      </c>
      <c r="AW8694" s="1">
        <v>29477</v>
      </c>
      <c r="AX8694">
        <v>1</v>
      </c>
    </row>
    <row r="8695" spans="1:50">
      <c r="B8695" t="str">
        <f>"100582324"</f>
        <v>100582324</v>
      </c>
      <c r="C8695" t="s">
        <v>105</v>
      </c>
      <c r="D8695" t="s">
        <v>13313</v>
      </c>
      <c r="E8695" t="s">
        <v>95</v>
      </c>
      <c r="F8695" t="s">
        <v>10633</v>
      </c>
      <c r="G8695" t="s">
        <v>181</v>
      </c>
      <c r="H8695" t="str">
        <f>"ΟΛΥΝΘΟΥ 5 ΚΟΖΑΝΗ"</f>
        <v>ΟΛΥΝΘΟΥ 5 ΚΟΖΑΝΗ</v>
      </c>
      <c r="I8695">
        <v>50100</v>
      </c>
      <c r="J8695">
        <v>2461036285</v>
      </c>
      <c r="K8695">
        <v>6936555886</v>
      </c>
      <c r="N8695" t="s">
        <v>204</v>
      </c>
      <c r="O8695" t="s">
        <v>205</v>
      </c>
      <c r="R8695" t="s">
        <v>159</v>
      </c>
      <c r="S8695">
        <v>5</v>
      </c>
      <c r="T8695" t="s">
        <v>8675</v>
      </c>
      <c r="U8695" s="1">
        <v>43348</v>
      </c>
      <c r="V8695" t="s">
        <v>66</v>
      </c>
      <c r="W8695" t="s">
        <v>67</v>
      </c>
      <c r="X8695" t="s">
        <v>58</v>
      </c>
      <c r="Y8695">
        <v>24</v>
      </c>
      <c r="Z8695" t="s">
        <v>59</v>
      </c>
      <c r="AA8695" t="s">
        <v>59</v>
      </c>
      <c r="AB8695" t="s">
        <v>59</v>
      </c>
      <c r="AC8695" t="s">
        <v>59</v>
      </c>
      <c r="AD8695" t="s">
        <v>59</v>
      </c>
      <c r="AF8695" s="1">
        <v>43348</v>
      </c>
      <c r="AG8695" t="s">
        <v>8645</v>
      </c>
      <c r="AH8695" t="s">
        <v>8646</v>
      </c>
      <c r="AI8695" t="str">
        <f>"9410051"</f>
        <v>9410051</v>
      </c>
      <c r="AJ8695" t="s">
        <v>12660</v>
      </c>
      <c r="AK8695">
        <v>2834022247</v>
      </c>
      <c r="AL8695" t="s">
        <v>12661</v>
      </c>
      <c r="AM8695" t="s">
        <v>64</v>
      </c>
      <c r="AN8695" t="s">
        <v>5672</v>
      </c>
      <c r="AO8695" t="s">
        <v>5673</v>
      </c>
      <c r="AP8695" t="s">
        <v>5689</v>
      </c>
      <c r="AQ8695">
        <v>7</v>
      </c>
      <c r="AR8695" t="s">
        <v>66</v>
      </c>
      <c r="AS8695" t="s">
        <v>67</v>
      </c>
      <c r="AT8695" t="s">
        <v>58</v>
      </c>
      <c r="AU8695" t="s">
        <v>8673</v>
      </c>
      <c r="AV8695" t="s">
        <v>132</v>
      </c>
      <c r="AW8695" s="1">
        <v>29005</v>
      </c>
      <c r="AX8695">
        <v>1</v>
      </c>
    </row>
    <row r="8696" spans="1:50">
      <c r="B8696" t="str">
        <f>"115570070"</f>
        <v>115570070</v>
      </c>
      <c r="C8696" t="s">
        <v>105</v>
      </c>
      <c r="D8696" t="s">
        <v>13314</v>
      </c>
      <c r="E8696" t="s">
        <v>564</v>
      </c>
      <c r="F8696" t="s">
        <v>965</v>
      </c>
      <c r="G8696" t="s">
        <v>83</v>
      </c>
      <c r="H8696" t="str">
        <f>"ΞΑΝΘΟΥ 18 ΑΧΑΡΝΕΣ ΑΤΤΙΚΗΣ"</f>
        <v>ΞΑΝΘΟΥ 18 ΑΧΑΡΝΕΣ ΑΤΤΙΚΗΣ</v>
      </c>
      <c r="I8696">
        <v>13671</v>
      </c>
      <c r="K8696">
        <v>6943095345</v>
      </c>
      <c r="N8696" t="s">
        <v>615</v>
      </c>
      <c r="O8696" t="s">
        <v>616</v>
      </c>
      <c r="R8696" t="s">
        <v>159</v>
      </c>
      <c r="S8696">
        <v>5</v>
      </c>
      <c r="T8696" t="s">
        <v>8675</v>
      </c>
      <c r="U8696" s="1">
        <v>43348</v>
      </c>
      <c r="V8696" t="s">
        <v>66</v>
      </c>
      <c r="W8696" t="s">
        <v>67</v>
      </c>
      <c r="X8696" t="s">
        <v>58</v>
      </c>
      <c r="Y8696">
        <v>25</v>
      </c>
      <c r="Z8696" t="s">
        <v>59</v>
      </c>
      <c r="AA8696" t="s">
        <v>59</v>
      </c>
      <c r="AB8696" t="s">
        <v>59</v>
      </c>
      <c r="AC8696" t="s">
        <v>59</v>
      </c>
      <c r="AD8696" t="s">
        <v>59</v>
      </c>
      <c r="AF8696" s="1">
        <v>43348</v>
      </c>
      <c r="AG8696" t="s">
        <v>8645</v>
      </c>
      <c r="AH8696" t="s">
        <v>8676</v>
      </c>
      <c r="AI8696" t="str">
        <f>"9410020"</f>
        <v>9410020</v>
      </c>
      <c r="AJ8696" t="s">
        <v>13315</v>
      </c>
      <c r="AK8696">
        <v>2834041225</v>
      </c>
      <c r="AL8696" t="s">
        <v>13316</v>
      </c>
      <c r="AM8696" t="s">
        <v>64</v>
      </c>
      <c r="AN8696" t="s">
        <v>5672</v>
      </c>
      <c r="AO8696" t="s">
        <v>5698</v>
      </c>
      <c r="AP8696" t="s">
        <v>5788</v>
      </c>
      <c r="AQ8696">
        <v>11</v>
      </c>
      <c r="AR8696" t="s">
        <v>66</v>
      </c>
      <c r="AS8696" t="s">
        <v>67</v>
      </c>
      <c r="AT8696" t="s">
        <v>58</v>
      </c>
      <c r="AU8696" t="s">
        <v>8673</v>
      </c>
      <c r="AV8696" t="s">
        <v>132</v>
      </c>
      <c r="AW8696" s="1">
        <v>28432</v>
      </c>
      <c r="AX8696">
        <v>1</v>
      </c>
    </row>
    <row r="8697" spans="1:50">
      <c r="B8697" t="str">
        <f>"120045706"</f>
        <v>120045706</v>
      </c>
      <c r="C8697" t="s">
        <v>50</v>
      </c>
      <c r="D8697" t="s">
        <v>5066</v>
      </c>
      <c r="E8697" t="s">
        <v>1189</v>
      </c>
      <c r="F8697" t="s">
        <v>53</v>
      </c>
      <c r="G8697" t="s">
        <v>396</v>
      </c>
      <c r="H8697" t="str">
        <f>"ΣΟΦ. ΒΕΝΙΖΕΛΟΥ 67 ΡΕΘΥΜΝΟ"</f>
        <v>ΣΟΦ. ΒΕΝΙΖΕΛΟΥ 67 ΡΕΘΥΜΝΟ</v>
      </c>
      <c r="I8697">
        <v>74100</v>
      </c>
      <c r="J8697">
        <v>2831021381</v>
      </c>
      <c r="K8697">
        <v>6978482828</v>
      </c>
      <c r="N8697" t="s">
        <v>615</v>
      </c>
      <c r="O8697" t="s">
        <v>616</v>
      </c>
      <c r="R8697" t="s">
        <v>159</v>
      </c>
      <c r="S8697">
        <v>3</v>
      </c>
      <c r="T8697" t="s">
        <v>8675</v>
      </c>
      <c r="U8697" s="1">
        <v>43348</v>
      </c>
      <c r="V8697" t="s">
        <v>66</v>
      </c>
      <c r="W8697" t="s">
        <v>67</v>
      </c>
      <c r="X8697" t="s">
        <v>58</v>
      </c>
      <c r="Y8697">
        <v>24</v>
      </c>
      <c r="Z8697" t="s">
        <v>59</v>
      </c>
      <c r="AA8697" t="s">
        <v>59</v>
      </c>
      <c r="AB8697" t="s">
        <v>59</v>
      </c>
      <c r="AC8697" t="s">
        <v>59</v>
      </c>
      <c r="AD8697" t="s">
        <v>59</v>
      </c>
      <c r="AF8697" s="1">
        <v>43348</v>
      </c>
      <c r="AG8697" t="s">
        <v>8645</v>
      </c>
      <c r="AH8697" t="s">
        <v>8646</v>
      </c>
      <c r="AI8697" t="str">
        <f>"9410064"</f>
        <v>9410064</v>
      </c>
      <c r="AJ8697" t="s">
        <v>12683</v>
      </c>
      <c r="AK8697">
        <v>2831028390</v>
      </c>
      <c r="AL8697" t="s">
        <v>12684</v>
      </c>
      <c r="AM8697" t="s">
        <v>64</v>
      </c>
      <c r="AN8697" t="s">
        <v>65</v>
      </c>
      <c r="AO8697" t="s">
        <v>65</v>
      </c>
      <c r="AP8697" t="s">
        <v>65</v>
      </c>
      <c r="AQ8697">
        <v>1</v>
      </c>
      <c r="AR8697" t="s">
        <v>66</v>
      </c>
      <c r="AS8697" t="s">
        <v>67</v>
      </c>
      <c r="AT8697" t="s">
        <v>58</v>
      </c>
      <c r="AU8697" t="s">
        <v>8673</v>
      </c>
      <c r="AV8697" t="s">
        <v>132</v>
      </c>
      <c r="AW8697" s="1">
        <v>30769</v>
      </c>
      <c r="AX8697">
        <v>1</v>
      </c>
    </row>
    <row r="8698" spans="1:50">
      <c r="A8698">
        <v>557252</v>
      </c>
      <c r="B8698" t="str">
        <f>"065496811"</f>
        <v>065496811</v>
      </c>
      <c r="C8698" t="s">
        <v>50</v>
      </c>
      <c r="D8698" t="s">
        <v>13317</v>
      </c>
      <c r="E8698" t="s">
        <v>964</v>
      </c>
      <c r="F8698" t="s">
        <v>166</v>
      </c>
      <c r="G8698" t="s">
        <v>13318</v>
      </c>
      <c r="H8698" t="str">
        <f>" "</f>
        <v xml:space="preserve"> </v>
      </c>
      <c r="N8698" t="s">
        <v>615</v>
      </c>
      <c r="O8698" t="s">
        <v>616</v>
      </c>
      <c r="R8698" t="s">
        <v>57</v>
      </c>
      <c r="S8698">
        <v>17</v>
      </c>
      <c r="T8698">
        <v>168</v>
      </c>
      <c r="U8698" s="1">
        <v>32010</v>
      </c>
      <c r="V8698" t="s">
        <v>66</v>
      </c>
      <c r="W8698" t="s">
        <v>67</v>
      </c>
      <c r="X8698" t="s">
        <v>58</v>
      </c>
      <c r="Y8698">
        <v>21</v>
      </c>
      <c r="Z8698" t="s">
        <v>59</v>
      </c>
      <c r="AA8698" t="s">
        <v>59</v>
      </c>
      <c r="AB8698" t="s">
        <v>59</v>
      </c>
      <c r="AC8698" t="s">
        <v>59</v>
      </c>
      <c r="AD8698" t="s">
        <v>59</v>
      </c>
      <c r="AF8698" s="1">
        <v>32021</v>
      </c>
      <c r="AG8698" t="s">
        <v>8645</v>
      </c>
      <c r="AH8698" t="s">
        <v>8646</v>
      </c>
      <c r="AI8698" t="str">
        <f>"9410226"</f>
        <v>9410226</v>
      </c>
      <c r="AJ8698" t="s">
        <v>12702</v>
      </c>
      <c r="AK8698">
        <v>2831071088</v>
      </c>
      <c r="AL8698" t="s">
        <v>12703</v>
      </c>
      <c r="AM8698" t="s">
        <v>64</v>
      </c>
      <c r="AN8698" t="s">
        <v>65</v>
      </c>
      <c r="AO8698" t="s">
        <v>12694</v>
      </c>
      <c r="AP8698" t="s">
        <v>12704</v>
      </c>
      <c r="AQ8698">
        <v>3</v>
      </c>
      <c r="AR8698" t="s">
        <v>66</v>
      </c>
      <c r="AS8698" t="s">
        <v>67</v>
      </c>
      <c r="AT8698" t="s">
        <v>58</v>
      </c>
      <c r="AU8698" t="s">
        <v>68</v>
      </c>
      <c r="AV8698" t="s">
        <v>69</v>
      </c>
      <c r="AW8698" s="1">
        <v>21611</v>
      </c>
      <c r="AX8698">
        <v>1</v>
      </c>
    </row>
    <row r="8699" spans="1:50">
      <c r="A8699">
        <v>619535</v>
      </c>
      <c r="B8699" t="str">
        <f>"127722097"</f>
        <v>127722097</v>
      </c>
      <c r="C8699" t="s">
        <v>50</v>
      </c>
      <c r="D8699" t="s">
        <v>5070</v>
      </c>
      <c r="E8699" t="s">
        <v>237</v>
      </c>
      <c r="F8699" t="s">
        <v>900</v>
      </c>
      <c r="G8699" t="s">
        <v>215</v>
      </c>
      <c r="H8699" t="str">
        <f>"ΒΕΡΓΙΝΑΣ 22 "</f>
        <v xml:space="preserve">ΒΕΡΓΙΝΑΣ 22 </v>
      </c>
      <c r="I8699">
        <v>73100</v>
      </c>
      <c r="J8699">
        <v>2821098433</v>
      </c>
      <c r="K8699">
        <v>6972669965</v>
      </c>
      <c r="N8699" t="s">
        <v>1525</v>
      </c>
      <c r="O8699" t="s">
        <v>1526</v>
      </c>
      <c r="R8699" t="s">
        <v>57</v>
      </c>
      <c r="S8699">
        <v>5</v>
      </c>
      <c r="T8699">
        <v>774</v>
      </c>
      <c r="U8699" s="1">
        <v>39680</v>
      </c>
      <c r="V8699" t="s">
        <v>66</v>
      </c>
      <c r="W8699" t="s">
        <v>67</v>
      </c>
      <c r="X8699" t="s">
        <v>58</v>
      </c>
      <c r="Y8699">
        <v>25</v>
      </c>
      <c r="Z8699" t="s">
        <v>59</v>
      </c>
      <c r="AA8699" t="s">
        <v>59</v>
      </c>
      <c r="AB8699" t="s">
        <v>59</v>
      </c>
      <c r="AC8699" t="s">
        <v>59</v>
      </c>
      <c r="AD8699" t="s">
        <v>59</v>
      </c>
      <c r="AF8699" s="1">
        <v>39681</v>
      </c>
      <c r="AG8699" t="s">
        <v>8651</v>
      </c>
      <c r="AH8699" t="s">
        <v>8652</v>
      </c>
      <c r="AI8699" t="str">
        <f>"9410206"</f>
        <v>9410206</v>
      </c>
      <c r="AJ8699" t="s">
        <v>13319</v>
      </c>
      <c r="AK8699">
        <v>2831023219</v>
      </c>
      <c r="AL8699" t="s">
        <v>13320</v>
      </c>
      <c r="AM8699" t="s">
        <v>64</v>
      </c>
      <c r="AN8699" t="s">
        <v>65</v>
      </c>
      <c r="AO8699" t="s">
        <v>12694</v>
      </c>
      <c r="AP8699" t="s">
        <v>13321</v>
      </c>
      <c r="AQ8699">
        <v>1</v>
      </c>
      <c r="AR8699" t="s">
        <v>66</v>
      </c>
      <c r="AS8699" t="s">
        <v>67</v>
      </c>
      <c r="AT8699" t="s">
        <v>58</v>
      </c>
      <c r="AU8699" t="s">
        <v>68</v>
      </c>
      <c r="AV8699" t="s">
        <v>69</v>
      </c>
      <c r="AW8699" s="1">
        <v>30270</v>
      </c>
      <c r="AX8699">
        <v>1</v>
      </c>
    </row>
    <row r="8700" spans="1:50">
      <c r="A8700">
        <v>607406</v>
      </c>
      <c r="B8700" t="str">
        <f>"120008502"</f>
        <v>120008502</v>
      </c>
      <c r="C8700" t="s">
        <v>50</v>
      </c>
      <c r="D8700" t="s">
        <v>5070</v>
      </c>
      <c r="E8700" t="s">
        <v>3467</v>
      </c>
      <c r="F8700" t="s">
        <v>95</v>
      </c>
      <c r="G8700" t="s">
        <v>860</v>
      </c>
      <c r="H8700" t="str">
        <f>" ΑΤΣΙΠΟΠΟΥΛΟ"</f>
        <v xml:space="preserve"> ΑΤΣΙΠΟΠΟΥΛΟ</v>
      </c>
      <c r="I8700">
        <v>74100</v>
      </c>
      <c r="J8700">
        <v>2831032449</v>
      </c>
      <c r="K8700">
        <v>6947891767</v>
      </c>
      <c r="N8700" t="s">
        <v>615</v>
      </c>
      <c r="O8700" t="s">
        <v>616</v>
      </c>
      <c r="R8700" t="s">
        <v>57</v>
      </c>
      <c r="S8700">
        <v>7</v>
      </c>
      <c r="T8700">
        <v>217</v>
      </c>
      <c r="U8700" s="1">
        <v>38596</v>
      </c>
      <c r="V8700" t="s">
        <v>66</v>
      </c>
      <c r="W8700" t="s">
        <v>67</v>
      </c>
      <c r="X8700" t="s">
        <v>58</v>
      </c>
      <c r="Y8700">
        <v>22</v>
      </c>
      <c r="Z8700" t="s">
        <v>59</v>
      </c>
      <c r="AA8700" t="s">
        <v>59</v>
      </c>
      <c r="AB8700" t="s">
        <v>59</v>
      </c>
      <c r="AC8700" t="s">
        <v>59</v>
      </c>
      <c r="AD8700" t="s">
        <v>59</v>
      </c>
      <c r="AF8700" s="1">
        <v>38601</v>
      </c>
      <c r="AG8700" t="s">
        <v>8645</v>
      </c>
      <c r="AH8700" t="s">
        <v>8646</v>
      </c>
      <c r="AI8700" t="str">
        <f>"9410169"</f>
        <v>9410169</v>
      </c>
      <c r="AJ8700" t="s">
        <v>12936</v>
      </c>
      <c r="AK8700">
        <v>2831031123</v>
      </c>
      <c r="AL8700" t="s">
        <v>12937</v>
      </c>
      <c r="AM8700" t="s">
        <v>64</v>
      </c>
      <c r="AN8700" t="s">
        <v>65</v>
      </c>
      <c r="AO8700" t="s">
        <v>5720</v>
      </c>
      <c r="AP8700" t="s">
        <v>12938</v>
      </c>
      <c r="AQ8700">
        <v>2</v>
      </c>
      <c r="AR8700" t="s">
        <v>66</v>
      </c>
      <c r="AS8700" t="s">
        <v>67</v>
      </c>
      <c r="AT8700" t="s">
        <v>58</v>
      </c>
      <c r="AU8700" t="s">
        <v>68</v>
      </c>
      <c r="AV8700" t="s">
        <v>69</v>
      </c>
      <c r="AW8700" s="1">
        <v>27889</v>
      </c>
      <c r="AX8700">
        <v>1</v>
      </c>
    </row>
    <row r="8701" spans="1:50">
      <c r="A8701">
        <v>603836</v>
      </c>
      <c r="B8701" t="str">
        <f>"100629954"</f>
        <v>100629954</v>
      </c>
      <c r="C8701" t="s">
        <v>50</v>
      </c>
      <c r="D8701" t="s">
        <v>10529</v>
      </c>
      <c r="E8701" t="s">
        <v>54</v>
      </c>
      <c r="F8701" t="s">
        <v>6024</v>
      </c>
      <c r="G8701" t="s">
        <v>6179</v>
      </c>
      <c r="H8701" t="str">
        <f>" "</f>
        <v xml:space="preserve"> </v>
      </c>
      <c r="J8701">
        <v>2831061569</v>
      </c>
      <c r="K8701">
        <v>6945040444</v>
      </c>
      <c r="N8701" t="s">
        <v>1525</v>
      </c>
      <c r="O8701" t="s">
        <v>1526</v>
      </c>
      <c r="R8701" t="s">
        <v>57</v>
      </c>
      <c r="S8701">
        <v>7</v>
      </c>
      <c r="T8701">
        <v>231</v>
      </c>
      <c r="U8701" s="1">
        <v>38230</v>
      </c>
      <c r="V8701" t="s">
        <v>66</v>
      </c>
      <c r="W8701" t="s">
        <v>67</v>
      </c>
      <c r="X8701" t="s">
        <v>58</v>
      </c>
      <c r="Y8701">
        <v>25</v>
      </c>
      <c r="Z8701" t="s">
        <v>59</v>
      </c>
      <c r="AA8701" t="s">
        <v>59</v>
      </c>
      <c r="AB8701" t="s">
        <v>59</v>
      </c>
      <c r="AC8701" t="s">
        <v>59</v>
      </c>
      <c r="AD8701" t="s">
        <v>59</v>
      </c>
      <c r="AF8701" s="1">
        <v>38236</v>
      </c>
      <c r="AG8701" t="s">
        <v>8651</v>
      </c>
      <c r="AH8701" t="s">
        <v>8652</v>
      </c>
      <c r="AI8701" t="str">
        <f>"9410210"</f>
        <v>9410210</v>
      </c>
      <c r="AJ8701" t="s">
        <v>13047</v>
      </c>
      <c r="AK8701">
        <v>2831027655</v>
      </c>
      <c r="AL8701" t="s">
        <v>13048</v>
      </c>
      <c r="AM8701" t="s">
        <v>64</v>
      </c>
      <c r="AN8701" t="s">
        <v>65</v>
      </c>
      <c r="AO8701" t="s">
        <v>65</v>
      </c>
      <c r="AP8701" t="s">
        <v>65</v>
      </c>
      <c r="AQ8701">
        <v>1</v>
      </c>
      <c r="AR8701" t="s">
        <v>66</v>
      </c>
      <c r="AS8701" t="s">
        <v>67</v>
      </c>
      <c r="AT8701" t="s">
        <v>58</v>
      </c>
      <c r="AU8701" t="s">
        <v>68</v>
      </c>
      <c r="AV8701" t="s">
        <v>69</v>
      </c>
      <c r="AW8701" s="1">
        <v>27710</v>
      </c>
      <c r="AX8701">
        <v>1</v>
      </c>
    </row>
    <row r="8702" spans="1:50">
      <c r="A8702">
        <v>593543</v>
      </c>
      <c r="B8702" t="str">
        <f>"056464796"</f>
        <v>056464796</v>
      </c>
      <c r="C8702" t="s">
        <v>50</v>
      </c>
      <c r="D8702" t="s">
        <v>13322</v>
      </c>
      <c r="E8702" t="s">
        <v>237</v>
      </c>
      <c r="F8702" t="s">
        <v>202</v>
      </c>
      <c r="G8702" t="s">
        <v>181</v>
      </c>
      <c r="H8702" t="str">
        <f>"ΤΕΣΣΑΡΩΝ ΠΑΙΔΩΝ-  ΑΤΣΙΠΟΠΟΥΛΟ ΡΕΘΥΜΝΟ"</f>
        <v>ΤΕΣΣΑΡΩΝ ΠΑΙΔΩΝ-  ΑΤΣΙΠΟΠΟΥΛΟ ΡΕΘΥΜΝΟ</v>
      </c>
      <c r="I8702">
        <v>74100</v>
      </c>
      <c r="J8702">
        <v>2831058727</v>
      </c>
      <c r="K8702">
        <v>6944999854</v>
      </c>
      <c r="N8702" t="s">
        <v>615</v>
      </c>
      <c r="O8702" t="s">
        <v>616</v>
      </c>
      <c r="R8702" t="s">
        <v>57</v>
      </c>
      <c r="S8702">
        <v>10</v>
      </c>
      <c r="T8702">
        <v>218</v>
      </c>
      <c r="U8702" s="1">
        <v>37134</v>
      </c>
      <c r="V8702" t="s">
        <v>66</v>
      </c>
      <c r="W8702" t="s">
        <v>67</v>
      </c>
      <c r="X8702" t="s">
        <v>58</v>
      </c>
      <c r="Y8702">
        <v>22</v>
      </c>
      <c r="Z8702" t="s">
        <v>59</v>
      </c>
      <c r="AA8702" t="s">
        <v>59</v>
      </c>
      <c r="AB8702" t="s">
        <v>59</v>
      </c>
      <c r="AC8702" t="s">
        <v>59</v>
      </c>
      <c r="AD8702" t="s">
        <v>59</v>
      </c>
      <c r="AF8702" s="1">
        <v>37139</v>
      </c>
      <c r="AG8702" t="s">
        <v>8645</v>
      </c>
      <c r="AH8702" t="s">
        <v>8646</v>
      </c>
      <c r="AI8702" t="str">
        <f>"9410166"</f>
        <v>9410166</v>
      </c>
      <c r="AJ8702" t="s">
        <v>12666</v>
      </c>
      <c r="AK8702">
        <v>2831031311</v>
      </c>
      <c r="AL8702" t="s">
        <v>12667</v>
      </c>
      <c r="AM8702" t="s">
        <v>64</v>
      </c>
      <c r="AN8702" t="s">
        <v>65</v>
      </c>
      <c r="AO8702" t="s">
        <v>5720</v>
      </c>
      <c r="AP8702" t="s">
        <v>5721</v>
      </c>
      <c r="AQ8702">
        <v>2</v>
      </c>
      <c r="AR8702" t="s">
        <v>66</v>
      </c>
      <c r="AS8702" t="s">
        <v>67</v>
      </c>
      <c r="AT8702" t="s">
        <v>58</v>
      </c>
      <c r="AU8702" t="s">
        <v>68</v>
      </c>
      <c r="AV8702" t="s">
        <v>69</v>
      </c>
      <c r="AW8702" s="1">
        <v>26370</v>
      </c>
      <c r="AX8702">
        <v>1</v>
      </c>
    </row>
    <row r="8703" spans="1:50">
      <c r="A8703">
        <v>615321</v>
      </c>
      <c r="B8703" t="str">
        <f>"100081498"</f>
        <v>100081498</v>
      </c>
      <c r="C8703" t="s">
        <v>50</v>
      </c>
      <c r="D8703" t="s">
        <v>13322</v>
      </c>
      <c r="E8703" t="s">
        <v>181</v>
      </c>
      <c r="F8703" t="s">
        <v>84</v>
      </c>
      <c r="G8703" t="s">
        <v>112</v>
      </c>
      <c r="H8703" t="str">
        <f>"ΑΡΜΕΝΟΙ ΡΕΘΥΜΝΟ"</f>
        <v>ΑΡΜΕΝΟΙ ΡΕΘΥΜΝΟ</v>
      </c>
      <c r="I8703">
        <v>74100</v>
      </c>
      <c r="J8703">
        <v>2831056176</v>
      </c>
      <c r="K8703">
        <v>6945274730</v>
      </c>
      <c r="M8703" t="s">
        <v>13323</v>
      </c>
      <c r="N8703" t="s">
        <v>1525</v>
      </c>
      <c r="O8703" t="s">
        <v>1526</v>
      </c>
      <c r="R8703" t="s">
        <v>57</v>
      </c>
      <c r="S8703">
        <v>6</v>
      </c>
      <c r="T8703">
        <v>598</v>
      </c>
      <c r="U8703" s="1">
        <v>39310</v>
      </c>
      <c r="V8703" t="s">
        <v>66</v>
      </c>
      <c r="W8703" t="s">
        <v>67</v>
      </c>
      <c r="X8703" t="s">
        <v>58</v>
      </c>
      <c r="Y8703">
        <v>25</v>
      </c>
      <c r="Z8703" t="s">
        <v>59</v>
      </c>
      <c r="AA8703" t="s">
        <v>59</v>
      </c>
      <c r="AB8703" t="s">
        <v>59</v>
      </c>
      <c r="AC8703" t="s">
        <v>59</v>
      </c>
      <c r="AD8703" t="s">
        <v>59</v>
      </c>
      <c r="AF8703" s="1">
        <v>39328</v>
      </c>
      <c r="AG8703" t="s">
        <v>8651</v>
      </c>
      <c r="AH8703" t="s">
        <v>8652</v>
      </c>
      <c r="AI8703" t="str">
        <f>"9410218"</f>
        <v>9410218</v>
      </c>
      <c r="AJ8703" t="s">
        <v>12739</v>
      </c>
      <c r="AK8703">
        <v>2831041209</v>
      </c>
      <c r="AL8703" t="s">
        <v>12740</v>
      </c>
      <c r="AM8703" t="s">
        <v>64</v>
      </c>
      <c r="AN8703" t="s">
        <v>65</v>
      </c>
      <c r="AO8703" t="s">
        <v>65</v>
      </c>
      <c r="AP8703" t="s">
        <v>11883</v>
      </c>
      <c r="AQ8703">
        <v>2</v>
      </c>
      <c r="AR8703" t="s">
        <v>66</v>
      </c>
      <c r="AS8703" t="s">
        <v>67</v>
      </c>
      <c r="AT8703" t="s">
        <v>58</v>
      </c>
      <c r="AU8703" t="s">
        <v>68</v>
      </c>
      <c r="AV8703" t="s">
        <v>69</v>
      </c>
      <c r="AW8703" s="1">
        <v>26576</v>
      </c>
      <c r="AX8703">
        <v>1</v>
      </c>
    </row>
    <row r="8704" spans="1:50">
      <c r="A8704">
        <v>610372</v>
      </c>
      <c r="B8704" t="str">
        <f>"063472621"</f>
        <v>063472621</v>
      </c>
      <c r="C8704" t="s">
        <v>50</v>
      </c>
      <c r="D8704" t="s">
        <v>13322</v>
      </c>
      <c r="E8704" t="s">
        <v>460</v>
      </c>
      <c r="F8704" t="s">
        <v>153</v>
      </c>
      <c r="G8704" t="s">
        <v>7111</v>
      </c>
      <c r="H8704" t="str">
        <f>"Caroline -Merschel str.5 ΜΟΝΑΧΟ ΓΕΡΜΑΝΙΑΣ"</f>
        <v>Caroline -Merschel str.5 ΜΟΝΑΧΟ ΓΕΡΜΑΝΙΑΣ</v>
      </c>
      <c r="I8704">
        <v>81829</v>
      </c>
      <c r="J8704">
        <v>2461063111</v>
      </c>
      <c r="K8704">
        <v>6977409392</v>
      </c>
      <c r="L8704">
        <v>49896927852</v>
      </c>
      <c r="M8704" t="s">
        <v>13324</v>
      </c>
      <c r="N8704" t="s">
        <v>615</v>
      </c>
      <c r="O8704" t="s">
        <v>616</v>
      </c>
      <c r="R8704" t="s">
        <v>57</v>
      </c>
      <c r="S8704">
        <v>6</v>
      </c>
      <c r="T8704">
        <v>233</v>
      </c>
      <c r="U8704" s="1">
        <v>38960</v>
      </c>
      <c r="V8704" t="s">
        <v>66</v>
      </c>
      <c r="W8704" t="s">
        <v>67</v>
      </c>
      <c r="X8704" t="s">
        <v>58</v>
      </c>
      <c r="Y8704">
        <v>23</v>
      </c>
      <c r="Z8704" t="s">
        <v>59</v>
      </c>
      <c r="AA8704" t="s">
        <v>59</v>
      </c>
      <c r="AB8704" t="s">
        <v>59</v>
      </c>
      <c r="AC8704" t="s">
        <v>59</v>
      </c>
      <c r="AD8704" t="s">
        <v>59</v>
      </c>
      <c r="AF8704" s="1">
        <v>38961</v>
      </c>
      <c r="AG8704" t="s">
        <v>60</v>
      </c>
      <c r="AH8704" t="s">
        <v>453</v>
      </c>
      <c r="AI8704" t="str">
        <f>"9941101"</f>
        <v>9941101</v>
      </c>
      <c r="AJ8704" t="s">
        <v>67</v>
      </c>
      <c r="AK8704">
        <v>2831022325</v>
      </c>
      <c r="AL8704" t="s">
        <v>12931</v>
      </c>
      <c r="AM8704" t="s">
        <v>64</v>
      </c>
      <c r="AN8704" t="s">
        <v>65</v>
      </c>
      <c r="AO8704" t="s">
        <v>65</v>
      </c>
      <c r="AP8704" t="s">
        <v>65</v>
      </c>
      <c r="AS8704" t="s">
        <v>67</v>
      </c>
      <c r="AT8704" t="s">
        <v>58</v>
      </c>
      <c r="AU8704" t="s">
        <v>68</v>
      </c>
      <c r="AV8704" t="s">
        <v>455</v>
      </c>
      <c r="AW8704" s="1">
        <v>26356</v>
      </c>
      <c r="AX8704">
        <v>1</v>
      </c>
    </row>
    <row r="8705" spans="1:50">
      <c r="A8705">
        <v>618679</v>
      </c>
      <c r="B8705" t="str">
        <f>"124495991"</f>
        <v>124495991</v>
      </c>
      <c r="C8705" t="s">
        <v>105</v>
      </c>
      <c r="D8705" t="s">
        <v>6199</v>
      </c>
      <c r="E8705" t="s">
        <v>72</v>
      </c>
      <c r="F8705" t="s">
        <v>84</v>
      </c>
      <c r="G8705" t="s">
        <v>52</v>
      </c>
      <c r="H8705" t="str">
        <f>"ΠΑΠΑΔΟΓΙΑΝΝΗ  9  ΡΕΘΥΜΝΟ"</f>
        <v>ΠΑΠΑΔΟΓΙΑΝΝΗ  9  ΡΕΘΥΜΝΟ</v>
      </c>
      <c r="I8705">
        <v>74100</v>
      </c>
      <c r="J8705">
        <v>2831500679</v>
      </c>
      <c r="K8705">
        <v>6974411587</v>
      </c>
      <c r="N8705" t="s">
        <v>615</v>
      </c>
      <c r="O8705" t="s">
        <v>616</v>
      </c>
      <c r="R8705" t="s">
        <v>57</v>
      </c>
      <c r="S8705">
        <v>5</v>
      </c>
      <c r="T8705">
        <v>774</v>
      </c>
      <c r="U8705" s="1">
        <v>39680</v>
      </c>
      <c r="V8705" t="s">
        <v>66</v>
      </c>
      <c r="W8705" t="s">
        <v>67</v>
      </c>
      <c r="X8705" t="s">
        <v>58</v>
      </c>
      <c r="Y8705">
        <v>23</v>
      </c>
      <c r="Z8705" t="s">
        <v>59</v>
      </c>
      <c r="AA8705" t="s">
        <v>59</v>
      </c>
      <c r="AB8705" t="s">
        <v>59</v>
      </c>
      <c r="AC8705" t="s">
        <v>59</v>
      </c>
      <c r="AD8705" t="s">
        <v>59</v>
      </c>
      <c r="AF8705" s="1">
        <v>39681</v>
      </c>
      <c r="AG8705" t="s">
        <v>8645</v>
      </c>
      <c r="AH8705" t="s">
        <v>8646</v>
      </c>
      <c r="AI8705" t="str">
        <f>"9410061"</f>
        <v>9410061</v>
      </c>
      <c r="AJ8705" t="s">
        <v>12760</v>
      </c>
      <c r="AK8705">
        <v>2831024378</v>
      </c>
      <c r="AL8705" t="s">
        <v>12761</v>
      </c>
      <c r="AM8705" t="s">
        <v>64</v>
      </c>
      <c r="AN8705" t="s">
        <v>65</v>
      </c>
      <c r="AO8705" t="s">
        <v>65</v>
      </c>
      <c r="AP8705" t="s">
        <v>65</v>
      </c>
      <c r="AQ8705">
        <v>1</v>
      </c>
      <c r="AR8705" t="s">
        <v>66</v>
      </c>
      <c r="AS8705" t="s">
        <v>67</v>
      </c>
      <c r="AT8705" t="s">
        <v>58</v>
      </c>
      <c r="AU8705" t="s">
        <v>68</v>
      </c>
      <c r="AV8705" t="s">
        <v>69</v>
      </c>
      <c r="AW8705" s="1">
        <v>30780</v>
      </c>
      <c r="AX8705">
        <v>1</v>
      </c>
    </row>
    <row r="8706" spans="1:50">
      <c r="A8706">
        <v>579110</v>
      </c>
      <c r="B8706" t="str">
        <f>"037037363"</f>
        <v>037037363</v>
      </c>
      <c r="C8706" t="s">
        <v>50</v>
      </c>
      <c r="D8706" t="s">
        <v>7714</v>
      </c>
      <c r="E8706" t="s">
        <v>1355</v>
      </c>
      <c r="F8706" t="s">
        <v>166</v>
      </c>
      <c r="G8706" t="s">
        <v>3802</v>
      </c>
      <c r="H8706" t="str">
        <f>" "</f>
        <v xml:space="preserve"> </v>
      </c>
      <c r="N8706" t="s">
        <v>615</v>
      </c>
      <c r="O8706" t="s">
        <v>616</v>
      </c>
      <c r="R8706" t="s">
        <v>57</v>
      </c>
      <c r="S8706">
        <v>13</v>
      </c>
      <c r="T8706">
        <v>165</v>
      </c>
      <c r="U8706" s="1">
        <v>35331</v>
      </c>
      <c r="V8706" t="s">
        <v>66</v>
      </c>
      <c r="W8706" t="s">
        <v>67</v>
      </c>
      <c r="X8706" t="s">
        <v>58</v>
      </c>
      <c r="Y8706">
        <v>25</v>
      </c>
      <c r="Z8706" t="s">
        <v>59</v>
      </c>
      <c r="AA8706" t="s">
        <v>59</v>
      </c>
      <c r="AB8706" t="s">
        <v>59</v>
      </c>
      <c r="AC8706" t="s">
        <v>59</v>
      </c>
      <c r="AD8706" t="s">
        <v>59</v>
      </c>
      <c r="AF8706" s="1">
        <v>35331</v>
      </c>
      <c r="AG8706" t="s">
        <v>8645</v>
      </c>
      <c r="AH8706" t="s">
        <v>8676</v>
      </c>
      <c r="AI8706" t="str">
        <f>"9410088"</f>
        <v>9410088</v>
      </c>
      <c r="AJ8706" t="s">
        <v>12730</v>
      </c>
      <c r="AK8706">
        <v>2832091235</v>
      </c>
      <c r="AL8706" t="s">
        <v>12731</v>
      </c>
      <c r="AM8706" t="s">
        <v>64</v>
      </c>
      <c r="AN8706" t="s">
        <v>5882</v>
      </c>
      <c r="AO8706" t="s">
        <v>5883</v>
      </c>
      <c r="AP8706" t="s">
        <v>12732</v>
      </c>
      <c r="AQ8706">
        <v>6</v>
      </c>
      <c r="AR8706" t="s">
        <v>66</v>
      </c>
      <c r="AS8706" t="s">
        <v>67</v>
      </c>
      <c r="AT8706" t="s">
        <v>58</v>
      </c>
      <c r="AU8706" t="s">
        <v>68</v>
      </c>
      <c r="AV8706" t="s">
        <v>69</v>
      </c>
      <c r="AW8706" s="1">
        <v>24608</v>
      </c>
      <c r="AX8706">
        <v>1</v>
      </c>
    </row>
    <row r="8707" spans="1:50">
      <c r="B8707" t="str">
        <f>"115117472"</f>
        <v>115117472</v>
      </c>
      <c r="C8707" t="s">
        <v>105</v>
      </c>
      <c r="D8707" t="s">
        <v>2528</v>
      </c>
      <c r="E8707" t="s">
        <v>92</v>
      </c>
      <c r="F8707" t="s">
        <v>99</v>
      </c>
      <c r="G8707" t="s">
        <v>83</v>
      </c>
      <c r="H8707" t="str">
        <f>"ΠΑΧΤΟΥΡΙΟΥ 3 ΑΓ ΔΗΜΗΤΡΙΟΣ"</f>
        <v>ΠΑΧΤΟΥΡΙΟΥ 3 ΑΓ ΔΗΜΗΤΡΙΟΣ</v>
      </c>
      <c r="I8707">
        <v>17342</v>
      </c>
      <c r="J8707">
        <v>2109937916</v>
      </c>
      <c r="K8707">
        <v>6948066570</v>
      </c>
      <c r="M8707" t="s">
        <v>13325</v>
      </c>
      <c r="N8707" t="s">
        <v>204</v>
      </c>
      <c r="O8707" t="s">
        <v>205</v>
      </c>
      <c r="R8707" t="s">
        <v>159</v>
      </c>
      <c r="S8707">
        <v>3</v>
      </c>
      <c r="T8707" t="s">
        <v>8675</v>
      </c>
      <c r="U8707" s="1">
        <v>43348</v>
      </c>
      <c r="V8707" t="s">
        <v>66</v>
      </c>
      <c r="W8707" t="s">
        <v>67</v>
      </c>
      <c r="X8707" t="s">
        <v>58</v>
      </c>
      <c r="Y8707">
        <v>24</v>
      </c>
      <c r="Z8707" t="s">
        <v>59</v>
      </c>
      <c r="AA8707" t="s">
        <v>59</v>
      </c>
      <c r="AB8707" t="s">
        <v>59</v>
      </c>
      <c r="AC8707" t="s">
        <v>59</v>
      </c>
      <c r="AD8707" t="s">
        <v>59</v>
      </c>
      <c r="AF8707" s="1">
        <v>43348</v>
      </c>
      <c r="AG8707" t="s">
        <v>8645</v>
      </c>
      <c r="AH8707" t="s">
        <v>8646</v>
      </c>
      <c r="AI8707" t="str">
        <f>"9410155"</f>
        <v>9410155</v>
      </c>
      <c r="AJ8707" t="s">
        <v>12663</v>
      </c>
      <c r="AK8707">
        <v>2831028697</v>
      </c>
      <c r="AL8707" t="s">
        <v>12664</v>
      </c>
      <c r="AM8707" t="s">
        <v>64</v>
      </c>
      <c r="AN8707" t="s">
        <v>65</v>
      </c>
      <c r="AO8707" t="s">
        <v>65</v>
      </c>
      <c r="AP8707" t="s">
        <v>65</v>
      </c>
      <c r="AQ8707">
        <v>1</v>
      </c>
      <c r="AR8707" t="s">
        <v>66</v>
      </c>
      <c r="AS8707" t="s">
        <v>67</v>
      </c>
      <c r="AT8707" t="s">
        <v>58</v>
      </c>
      <c r="AU8707" t="s">
        <v>8673</v>
      </c>
      <c r="AV8707" t="s">
        <v>132</v>
      </c>
      <c r="AW8707" s="1">
        <v>30218</v>
      </c>
      <c r="AX8707">
        <v>1</v>
      </c>
    </row>
    <row r="8708" spans="1:50">
      <c r="A8708">
        <v>595502</v>
      </c>
      <c r="B8708" t="str">
        <f>"049425941"</f>
        <v>049425941</v>
      </c>
      <c r="C8708" t="s">
        <v>50</v>
      </c>
      <c r="D8708" t="s">
        <v>6204</v>
      </c>
      <c r="E8708" t="s">
        <v>255</v>
      </c>
      <c r="F8708" t="s">
        <v>106</v>
      </c>
      <c r="G8708" t="s">
        <v>263</v>
      </c>
      <c r="H8708" t="str">
        <f>"ΠΡΙΝΟΣ  ΡΕΘΥΜΝΟΥ"</f>
        <v>ΠΡΙΝΟΣ  ΡΕΘΥΜΝΟΥ</v>
      </c>
      <c r="I8708">
        <v>74100</v>
      </c>
      <c r="J8708">
        <v>2831072322</v>
      </c>
      <c r="K8708">
        <v>6973247219</v>
      </c>
      <c r="L8708">
        <v>2831093146</v>
      </c>
      <c r="N8708" t="s">
        <v>1525</v>
      </c>
      <c r="O8708" t="s">
        <v>1526</v>
      </c>
      <c r="R8708" t="s">
        <v>57</v>
      </c>
      <c r="S8708">
        <v>8</v>
      </c>
      <c r="T8708">
        <v>218</v>
      </c>
      <c r="U8708" s="1">
        <v>37134</v>
      </c>
      <c r="V8708" t="s">
        <v>66</v>
      </c>
      <c r="W8708" t="s">
        <v>67</v>
      </c>
      <c r="X8708" t="s">
        <v>58</v>
      </c>
      <c r="Y8708">
        <v>25</v>
      </c>
      <c r="Z8708" t="s">
        <v>59</v>
      </c>
      <c r="AA8708" t="s">
        <v>59</v>
      </c>
      <c r="AB8708" t="s">
        <v>59</v>
      </c>
      <c r="AC8708" t="s">
        <v>59</v>
      </c>
      <c r="AD8708" t="s">
        <v>59</v>
      </c>
      <c r="AF8708" s="1">
        <v>37139</v>
      </c>
      <c r="AG8708" t="s">
        <v>8651</v>
      </c>
      <c r="AH8708" t="s">
        <v>8652</v>
      </c>
      <c r="AI8708" t="str">
        <f>"9410237"</f>
        <v>9410237</v>
      </c>
      <c r="AJ8708" t="s">
        <v>13104</v>
      </c>
      <c r="AK8708">
        <v>2834093305</v>
      </c>
      <c r="AL8708" t="s">
        <v>13105</v>
      </c>
      <c r="AM8708" t="s">
        <v>64</v>
      </c>
      <c r="AN8708" t="s">
        <v>65</v>
      </c>
      <c r="AO8708" t="s">
        <v>12694</v>
      </c>
      <c r="AP8708" t="s">
        <v>12745</v>
      </c>
      <c r="AQ8708">
        <v>3</v>
      </c>
      <c r="AR8708" t="s">
        <v>66</v>
      </c>
      <c r="AS8708" t="s">
        <v>67</v>
      </c>
      <c r="AT8708" t="s">
        <v>58</v>
      </c>
      <c r="AU8708" t="s">
        <v>68</v>
      </c>
      <c r="AV8708" t="s">
        <v>69</v>
      </c>
      <c r="AW8708" s="1">
        <v>26939</v>
      </c>
      <c r="AX8708">
        <v>1</v>
      </c>
    </row>
    <row r="8709" spans="1:50">
      <c r="A8709">
        <v>594882</v>
      </c>
      <c r="B8709" t="str">
        <f>"054184742"</f>
        <v>054184742</v>
      </c>
      <c r="C8709" t="s">
        <v>50</v>
      </c>
      <c r="D8709" t="s">
        <v>6204</v>
      </c>
      <c r="E8709" t="s">
        <v>52</v>
      </c>
      <c r="F8709" t="s">
        <v>95</v>
      </c>
      <c r="G8709" t="s">
        <v>73</v>
      </c>
      <c r="H8709" t="str">
        <f>" "</f>
        <v xml:space="preserve"> </v>
      </c>
      <c r="N8709" t="s">
        <v>615</v>
      </c>
      <c r="O8709" t="s">
        <v>616</v>
      </c>
      <c r="R8709" t="s">
        <v>57</v>
      </c>
      <c r="S8709">
        <v>9</v>
      </c>
      <c r="T8709">
        <v>218</v>
      </c>
      <c r="U8709" s="1">
        <v>37134</v>
      </c>
      <c r="V8709" t="s">
        <v>66</v>
      </c>
      <c r="W8709" t="s">
        <v>67</v>
      </c>
      <c r="X8709" t="s">
        <v>58</v>
      </c>
      <c r="Y8709">
        <v>22</v>
      </c>
      <c r="Z8709" t="s">
        <v>59</v>
      </c>
      <c r="AA8709" t="s">
        <v>59</v>
      </c>
      <c r="AB8709" t="s">
        <v>59</v>
      </c>
      <c r="AC8709" t="s">
        <v>59</v>
      </c>
      <c r="AD8709" t="s">
        <v>59</v>
      </c>
      <c r="AF8709" s="1">
        <v>37138</v>
      </c>
      <c r="AG8709" t="s">
        <v>8645</v>
      </c>
      <c r="AH8709" t="s">
        <v>8646</v>
      </c>
      <c r="AI8709" t="str">
        <f>"9410064"</f>
        <v>9410064</v>
      </c>
      <c r="AJ8709" t="s">
        <v>12683</v>
      </c>
      <c r="AK8709">
        <v>2831028390</v>
      </c>
      <c r="AL8709" t="s">
        <v>12684</v>
      </c>
      <c r="AM8709" t="s">
        <v>64</v>
      </c>
      <c r="AN8709" t="s">
        <v>65</v>
      </c>
      <c r="AO8709" t="s">
        <v>65</v>
      </c>
      <c r="AP8709" t="s">
        <v>65</v>
      </c>
      <c r="AQ8709">
        <v>1</v>
      </c>
      <c r="AR8709" t="s">
        <v>66</v>
      </c>
      <c r="AS8709" t="s">
        <v>67</v>
      </c>
      <c r="AT8709" t="s">
        <v>58</v>
      </c>
      <c r="AU8709" t="s">
        <v>68</v>
      </c>
      <c r="AV8709" t="s">
        <v>69</v>
      </c>
      <c r="AW8709" s="1">
        <v>25835</v>
      </c>
      <c r="AX8709">
        <v>1</v>
      </c>
    </row>
    <row r="8710" spans="1:50">
      <c r="A8710">
        <v>213802</v>
      </c>
      <c r="B8710" t="str">
        <f>"066537696"</f>
        <v>066537696</v>
      </c>
      <c r="C8710" t="s">
        <v>50</v>
      </c>
      <c r="D8710" t="s">
        <v>2536</v>
      </c>
      <c r="E8710" t="s">
        <v>52</v>
      </c>
      <c r="F8710" t="s">
        <v>315</v>
      </c>
      <c r="G8710" t="s">
        <v>1355</v>
      </c>
      <c r="H8710" t="str">
        <f>"ΑΙΤΩΛΙΑΣ 45Α "</f>
        <v xml:space="preserve">ΑΙΤΩΛΙΑΣ 45Α </v>
      </c>
      <c r="I8710">
        <v>15341</v>
      </c>
      <c r="J8710">
        <v>2114010761</v>
      </c>
      <c r="K8710">
        <v>6936854264</v>
      </c>
      <c r="N8710" t="s">
        <v>306</v>
      </c>
      <c r="O8710" t="s">
        <v>307</v>
      </c>
      <c r="R8710" t="s">
        <v>57</v>
      </c>
      <c r="S8710">
        <v>8</v>
      </c>
      <c r="T8710">
        <v>231</v>
      </c>
      <c r="U8710" s="1">
        <v>38960</v>
      </c>
      <c r="V8710" t="s">
        <v>66</v>
      </c>
      <c r="W8710" t="s">
        <v>67</v>
      </c>
      <c r="X8710" t="s">
        <v>58</v>
      </c>
      <c r="Y8710">
        <v>23</v>
      </c>
      <c r="Z8710" t="s">
        <v>59</v>
      </c>
      <c r="AA8710" t="s">
        <v>59</v>
      </c>
      <c r="AB8710" t="s">
        <v>59</v>
      </c>
      <c r="AC8710" t="s">
        <v>59</v>
      </c>
      <c r="AD8710" t="s">
        <v>59</v>
      </c>
      <c r="AF8710" s="1">
        <v>38965</v>
      </c>
      <c r="AG8710" t="s">
        <v>8645</v>
      </c>
      <c r="AH8710" t="s">
        <v>8646</v>
      </c>
      <c r="AI8710" t="str">
        <f>"9410070"</f>
        <v>9410070</v>
      </c>
      <c r="AJ8710" t="s">
        <v>12757</v>
      </c>
      <c r="AK8710">
        <v>2831028583</v>
      </c>
      <c r="AL8710" t="s">
        <v>12758</v>
      </c>
      <c r="AM8710" t="s">
        <v>64</v>
      </c>
      <c r="AN8710" t="s">
        <v>65</v>
      </c>
      <c r="AO8710" t="s">
        <v>65</v>
      </c>
      <c r="AP8710" t="s">
        <v>65</v>
      </c>
      <c r="AQ8710">
        <v>1</v>
      </c>
      <c r="AR8710" t="s">
        <v>66</v>
      </c>
      <c r="AS8710" t="s">
        <v>67</v>
      </c>
      <c r="AT8710" t="s">
        <v>58</v>
      </c>
      <c r="AU8710" t="s">
        <v>68</v>
      </c>
      <c r="AV8710" t="s">
        <v>69</v>
      </c>
      <c r="AW8710" s="1">
        <v>28566</v>
      </c>
      <c r="AX8710">
        <v>1</v>
      </c>
    </row>
    <row r="8711" spans="1:50">
      <c r="A8711">
        <v>225022</v>
      </c>
      <c r="B8711" t="str">
        <f>"064501815"</f>
        <v>064501815</v>
      </c>
      <c r="C8711" t="s">
        <v>50</v>
      </c>
      <c r="D8711" t="s">
        <v>2536</v>
      </c>
      <c r="E8711" t="s">
        <v>52</v>
      </c>
      <c r="F8711" t="s">
        <v>4071</v>
      </c>
      <c r="G8711" t="s">
        <v>13326</v>
      </c>
      <c r="H8711" t="str">
        <f>"ΚΟΛΟΚΟΤΡΩΝΗ 19 ΡΕΘΥΜΝΟ"</f>
        <v>ΚΟΛΟΚΟΤΡΩΝΗ 19 ΡΕΘΥΜΝΟ</v>
      </c>
      <c r="I8711">
        <v>74100</v>
      </c>
      <c r="J8711">
        <v>2831023261</v>
      </c>
      <c r="K8711">
        <v>6972705917</v>
      </c>
      <c r="N8711" t="s">
        <v>176</v>
      </c>
      <c r="O8711" t="s">
        <v>177</v>
      </c>
      <c r="R8711" t="s">
        <v>57</v>
      </c>
      <c r="S8711">
        <v>6</v>
      </c>
      <c r="T8711">
        <v>775</v>
      </c>
      <c r="U8711" s="1">
        <v>39680</v>
      </c>
      <c r="V8711" t="s">
        <v>66</v>
      </c>
      <c r="W8711" t="s">
        <v>67</v>
      </c>
      <c r="X8711" t="s">
        <v>58</v>
      </c>
      <c r="Y8711">
        <v>23</v>
      </c>
      <c r="Z8711" t="s">
        <v>59</v>
      </c>
      <c r="AA8711" t="s">
        <v>59</v>
      </c>
      <c r="AB8711" t="s">
        <v>59</v>
      </c>
      <c r="AC8711" t="s">
        <v>59</v>
      </c>
      <c r="AD8711" t="s">
        <v>59</v>
      </c>
      <c r="AF8711" s="1">
        <v>39681</v>
      </c>
      <c r="AG8711" t="s">
        <v>8645</v>
      </c>
      <c r="AH8711" t="s">
        <v>8646</v>
      </c>
      <c r="AI8711" t="str">
        <f>"9410070"</f>
        <v>9410070</v>
      </c>
      <c r="AJ8711" t="s">
        <v>12757</v>
      </c>
      <c r="AK8711">
        <v>2831028583</v>
      </c>
      <c r="AL8711" t="s">
        <v>12758</v>
      </c>
      <c r="AM8711" t="s">
        <v>64</v>
      </c>
      <c r="AN8711" t="s">
        <v>65</v>
      </c>
      <c r="AO8711" t="s">
        <v>65</v>
      </c>
      <c r="AP8711" t="s">
        <v>65</v>
      </c>
      <c r="AQ8711">
        <v>1</v>
      </c>
      <c r="AR8711" t="s">
        <v>66</v>
      </c>
      <c r="AS8711" t="s">
        <v>67</v>
      </c>
      <c r="AT8711" t="s">
        <v>58</v>
      </c>
      <c r="AU8711" t="s">
        <v>68</v>
      </c>
      <c r="AV8711" t="s">
        <v>69</v>
      </c>
      <c r="AW8711" s="1">
        <v>27327</v>
      </c>
      <c r="AX8711">
        <v>1</v>
      </c>
    </row>
    <row r="8712" spans="1:50">
      <c r="B8712" t="str">
        <f>"151397468"</f>
        <v>151397468</v>
      </c>
      <c r="C8712" t="s">
        <v>50</v>
      </c>
      <c r="D8712" t="s">
        <v>2544</v>
      </c>
      <c r="E8712" t="s">
        <v>714</v>
      </c>
      <c r="F8712" t="s">
        <v>5543</v>
      </c>
      <c r="G8712" t="s">
        <v>755</v>
      </c>
      <c r="H8712" t="str">
        <f>" "</f>
        <v xml:space="preserve"> </v>
      </c>
      <c r="N8712" t="s">
        <v>8694</v>
      </c>
      <c r="O8712" t="s">
        <v>8695</v>
      </c>
      <c r="R8712" t="s">
        <v>121</v>
      </c>
      <c r="S8712">
        <v>1</v>
      </c>
      <c r="T8712" t="s">
        <v>8835</v>
      </c>
      <c r="U8712" s="1">
        <v>43348</v>
      </c>
      <c r="V8712" t="s">
        <v>66</v>
      </c>
      <c r="W8712" t="s">
        <v>67</v>
      </c>
      <c r="X8712" t="s">
        <v>58</v>
      </c>
      <c r="Y8712">
        <v>24</v>
      </c>
      <c r="Z8712" t="s">
        <v>59</v>
      </c>
      <c r="AA8712" t="s">
        <v>59</v>
      </c>
      <c r="AB8712" t="s">
        <v>59</v>
      </c>
      <c r="AC8712" t="s">
        <v>59</v>
      </c>
      <c r="AD8712" t="s">
        <v>59</v>
      </c>
      <c r="AF8712" s="1">
        <v>43348</v>
      </c>
      <c r="AG8712" t="s">
        <v>8645</v>
      </c>
      <c r="AH8712" t="s">
        <v>8646</v>
      </c>
      <c r="AI8712" t="str">
        <f>"9410069"</f>
        <v>9410069</v>
      </c>
      <c r="AJ8712" t="s">
        <v>12674</v>
      </c>
      <c r="AK8712">
        <v>2831029296</v>
      </c>
      <c r="AL8712" t="s">
        <v>12675</v>
      </c>
      <c r="AM8712" t="s">
        <v>64</v>
      </c>
      <c r="AN8712" t="s">
        <v>65</v>
      </c>
      <c r="AO8712" t="s">
        <v>65</v>
      </c>
      <c r="AP8712" t="s">
        <v>65</v>
      </c>
      <c r="AQ8712">
        <v>1</v>
      </c>
      <c r="AR8712" t="s">
        <v>66</v>
      </c>
      <c r="AS8712" t="s">
        <v>67</v>
      </c>
      <c r="AT8712" t="s">
        <v>58</v>
      </c>
      <c r="AU8712" t="s">
        <v>131</v>
      </c>
      <c r="AV8712" t="s">
        <v>132</v>
      </c>
      <c r="AW8712" s="1">
        <v>33857</v>
      </c>
      <c r="AX8712">
        <v>1</v>
      </c>
    </row>
    <row r="8713" spans="1:50">
      <c r="B8713" t="str">
        <f>"118431260"</f>
        <v>118431260</v>
      </c>
      <c r="C8713" t="s">
        <v>50</v>
      </c>
      <c r="D8713" t="s">
        <v>2544</v>
      </c>
      <c r="E8713" t="s">
        <v>188</v>
      </c>
      <c r="F8713" t="s">
        <v>99</v>
      </c>
      <c r="G8713" t="s">
        <v>4671</v>
      </c>
      <c r="H8713" t="str">
        <f>" "</f>
        <v xml:space="preserve"> </v>
      </c>
      <c r="N8713" t="s">
        <v>1525</v>
      </c>
      <c r="O8713" t="s">
        <v>1526</v>
      </c>
      <c r="R8713" t="s">
        <v>121</v>
      </c>
      <c r="S8713">
        <v>1</v>
      </c>
      <c r="T8713" t="s">
        <v>10716</v>
      </c>
      <c r="U8713" s="1">
        <v>43377</v>
      </c>
      <c r="V8713" t="s">
        <v>66</v>
      </c>
      <c r="W8713" t="s">
        <v>67</v>
      </c>
      <c r="X8713" t="s">
        <v>58</v>
      </c>
      <c r="Y8713">
        <v>25</v>
      </c>
      <c r="Z8713" t="s">
        <v>59</v>
      </c>
      <c r="AA8713" t="s">
        <v>59</v>
      </c>
      <c r="AB8713" t="s">
        <v>59</v>
      </c>
      <c r="AD8713" t="s">
        <v>59</v>
      </c>
      <c r="AF8713" s="1">
        <v>43377</v>
      </c>
      <c r="AG8713" t="s">
        <v>8651</v>
      </c>
      <c r="AH8713" t="s">
        <v>8652</v>
      </c>
      <c r="AI8713" t="str">
        <f>"9410239"</f>
        <v>9410239</v>
      </c>
      <c r="AJ8713" t="s">
        <v>13263</v>
      </c>
      <c r="AK8713">
        <v>2832091121</v>
      </c>
      <c r="AL8713" t="s">
        <v>13264</v>
      </c>
      <c r="AM8713" t="s">
        <v>64</v>
      </c>
      <c r="AN8713" t="s">
        <v>5882</v>
      </c>
      <c r="AO8713" t="s">
        <v>5883</v>
      </c>
      <c r="AP8713" t="s">
        <v>12732</v>
      </c>
      <c r="AQ8713">
        <v>6</v>
      </c>
      <c r="AR8713" t="s">
        <v>66</v>
      </c>
      <c r="AS8713" t="s">
        <v>67</v>
      </c>
      <c r="AT8713" t="s">
        <v>58</v>
      </c>
      <c r="AU8713" t="s">
        <v>8673</v>
      </c>
      <c r="AV8713" t="s">
        <v>132</v>
      </c>
      <c r="AW8713" s="1">
        <v>30582</v>
      </c>
      <c r="AX8713">
        <v>1</v>
      </c>
    </row>
    <row r="8714" spans="1:50">
      <c r="A8714">
        <v>616348</v>
      </c>
      <c r="B8714" t="str">
        <f>"129605128"</f>
        <v>129605128</v>
      </c>
      <c r="C8714" t="s">
        <v>50</v>
      </c>
      <c r="D8714" t="s">
        <v>7742</v>
      </c>
      <c r="E8714" t="s">
        <v>255</v>
      </c>
      <c r="F8714" t="s">
        <v>377</v>
      </c>
      <c r="G8714" t="s">
        <v>83</v>
      </c>
      <c r="H8714" t="str">
        <f>"Γ. ΠΑΠΑΝΔΡΕΟΥ 8 ΡΕΘΥΜΝΟ"</f>
        <v>Γ. ΠΑΠΑΝΔΡΕΟΥ 8 ΡΕΘΥΜΝΟ</v>
      </c>
      <c r="I8714">
        <v>74100</v>
      </c>
      <c r="J8714">
        <v>2109935883</v>
      </c>
      <c r="K8714">
        <v>6937302922</v>
      </c>
      <c r="L8714">
        <v>2831024846</v>
      </c>
      <c r="N8714" t="s">
        <v>1525</v>
      </c>
      <c r="O8714" t="s">
        <v>1526</v>
      </c>
      <c r="R8714" t="s">
        <v>57</v>
      </c>
      <c r="S8714">
        <v>7</v>
      </c>
      <c r="T8714">
        <v>660</v>
      </c>
      <c r="U8714" s="1">
        <v>39311</v>
      </c>
      <c r="V8714" t="s">
        <v>66</v>
      </c>
      <c r="W8714" t="s">
        <v>67</v>
      </c>
      <c r="X8714" t="s">
        <v>58</v>
      </c>
      <c r="Y8714">
        <v>25</v>
      </c>
      <c r="Z8714" t="s">
        <v>59</v>
      </c>
      <c r="AA8714" t="s">
        <v>59</v>
      </c>
      <c r="AB8714" t="s">
        <v>59</v>
      </c>
      <c r="AC8714" t="s">
        <v>59</v>
      </c>
      <c r="AD8714" t="s">
        <v>59</v>
      </c>
      <c r="AF8714" s="1">
        <v>39328</v>
      </c>
      <c r="AG8714" t="s">
        <v>8651</v>
      </c>
      <c r="AH8714" t="s">
        <v>8652</v>
      </c>
      <c r="AI8714" t="str">
        <f>"9410232"</f>
        <v>9410232</v>
      </c>
      <c r="AJ8714" t="s">
        <v>13013</v>
      </c>
      <c r="AK8714">
        <v>2831032007</v>
      </c>
      <c r="AL8714" t="s">
        <v>13014</v>
      </c>
      <c r="AM8714" t="s">
        <v>64</v>
      </c>
      <c r="AN8714" t="s">
        <v>65</v>
      </c>
      <c r="AO8714" t="s">
        <v>5720</v>
      </c>
      <c r="AP8714" t="s">
        <v>12913</v>
      </c>
      <c r="AQ8714">
        <v>2</v>
      </c>
      <c r="AR8714" t="s">
        <v>66</v>
      </c>
      <c r="AS8714" t="s">
        <v>67</v>
      </c>
      <c r="AT8714" t="s">
        <v>58</v>
      </c>
      <c r="AU8714" t="s">
        <v>68</v>
      </c>
      <c r="AV8714" t="s">
        <v>69</v>
      </c>
      <c r="AW8714" s="1">
        <v>30791</v>
      </c>
      <c r="AX8714">
        <v>1</v>
      </c>
    </row>
    <row r="8715" spans="1:50">
      <c r="A8715">
        <v>585381</v>
      </c>
      <c r="B8715" t="str">
        <f>"025600022"</f>
        <v>025600022</v>
      </c>
      <c r="C8715" t="s">
        <v>50</v>
      </c>
      <c r="D8715" t="s">
        <v>7742</v>
      </c>
      <c r="E8715" t="s">
        <v>52</v>
      </c>
      <c r="F8715" t="s">
        <v>13327</v>
      </c>
      <c r="G8715" t="s">
        <v>1361</v>
      </c>
      <c r="H8715" t="str">
        <f>"ΕΘΝ. ΜΑΚΑΡΙΟΥ 10 ΡΕΘΥΜΝΟ"</f>
        <v>ΕΘΝ. ΜΑΚΑΡΙΟΥ 10 ΡΕΘΥΜΝΟ</v>
      </c>
      <c r="I8715">
        <v>74100</v>
      </c>
      <c r="J8715">
        <v>2831053850</v>
      </c>
      <c r="K8715">
        <v>6932882009</v>
      </c>
      <c r="M8715" t="s">
        <v>13328</v>
      </c>
      <c r="N8715" t="s">
        <v>615</v>
      </c>
      <c r="O8715" t="s">
        <v>616</v>
      </c>
      <c r="R8715" t="s">
        <v>57</v>
      </c>
      <c r="S8715">
        <v>10</v>
      </c>
      <c r="T8715">
        <v>165</v>
      </c>
      <c r="U8715" s="1">
        <v>36040</v>
      </c>
      <c r="V8715" t="s">
        <v>66</v>
      </c>
      <c r="W8715" t="s">
        <v>67</v>
      </c>
      <c r="X8715" t="s">
        <v>58</v>
      </c>
      <c r="Y8715">
        <v>21</v>
      </c>
      <c r="Z8715" t="s">
        <v>59</v>
      </c>
      <c r="AA8715" t="s">
        <v>59</v>
      </c>
      <c r="AB8715" t="s">
        <v>59</v>
      </c>
      <c r="AC8715" t="s">
        <v>59</v>
      </c>
      <c r="AD8715" t="s">
        <v>59</v>
      </c>
      <c r="AF8715" s="1">
        <v>36040</v>
      </c>
      <c r="AG8715" t="s">
        <v>8645</v>
      </c>
      <c r="AH8715" t="s">
        <v>8646</v>
      </c>
      <c r="AI8715" t="str">
        <f>"9410070"</f>
        <v>9410070</v>
      </c>
      <c r="AJ8715" t="s">
        <v>12757</v>
      </c>
      <c r="AK8715">
        <v>2831028583</v>
      </c>
      <c r="AL8715" t="s">
        <v>12758</v>
      </c>
      <c r="AM8715" t="s">
        <v>64</v>
      </c>
      <c r="AN8715" t="s">
        <v>65</v>
      </c>
      <c r="AO8715" t="s">
        <v>65</v>
      </c>
      <c r="AP8715" t="s">
        <v>65</v>
      </c>
      <c r="AQ8715">
        <v>1</v>
      </c>
      <c r="AR8715" t="s">
        <v>66</v>
      </c>
      <c r="AS8715" t="s">
        <v>67</v>
      </c>
      <c r="AT8715" t="s">
        <v>58</v>
      </c>
      <c r="AU8715" t="s">
        <v>68</v>
      </c>
      <c r="AV8715" t="s">
        <v>69</v>
      </c>
      <c r="AW8715" s="1">
        <v>23308</v>
      </c>
      <c r="AX8715">
        <v>1</v>
      </c>
    </row>
    <row r="8716" spans="1:50">
      <c r="B8716" t="str">
        <f>"137491759"</f>
        <v>137491759</v>
      </c>
      <c r="C8716" t="s">
        <v>50</v>
      </c>
      <c r="D8716" t="s">
        <v>7742</v>
      </c>
      <c r="E8716" t="s">
        <v>188</v>
      </c>
      <c r="F8716" t="s">
        <v>72</v>
      </c>
      <c r="G8716" t="s">
        <v>83</v>
      </c>
      <c r="H8716" t="str">
        <f>"ΚΑΤΩ ΒΑΛΣΑΜΟΝΕΡΟ ΡΕΘΥΜΝΟΥ "</f>
        <v xml:space="preserve">ΚΑΤΩ ΒΑΛΣΑΜΟΝΕΡΟ ΡΕΘΥΜΝΟΥ </v>
      </c>
      <c r="I8716">
        <v>74100</v>
      </c>
      <c r="J8716">
        <v>2831057622</v>
      </c>
      <c r="K8716">
        <v>6978894448</v>
      </c>
      <c r="M8716" t="s">
        <v>13329</v>
      </c>
      <c r="N8716" t="s">
        <v>615</v>
      </c>
      <c r="O8716" t="s">
        <v>616</v>
      </c>
      <c r="R8716" t="s">
        <v>159</v>
      </c>
      <c r="S8716">
        <v>4</v>
      </c>
      <c r="T8716" t="s">
        <v>8675</v>
      </c>
      <c r="U8716" s="1">
        <v>43348</v>
      </c>
      <c r="V8716" t="s">
        <v>66</v>
      </c>
      <c r="W8716" t="s">
        <v>67</v>
      </c>
      <c r="X8716" t="s">
        <v>58</v>
      </c>
      <c r="Y8716">
        <v>24</v>
      </c>
      <c r="Z8716" t="s">
        <v>59</v>
      </c>
      <c r="AA8716" t="s">
        <v>59</v>
      </c>
      <c r="AB8716" t="s">
        <v>59</v>
      </c>
      <c r="AC8716" t="s">
        <v>59</v>
      </c>
      <c r="AD8716" t="s">
        <v>59</v>
      </c>
      <c r="AF8716" s="1">
        <v>43348</v>
      </c>
      <c r="AG8716" t="s">
        <v>8645</v>
      </c>
      <c r="AH8716" t="s">
        <v>8646</v>
      </c>
      <c r="AI8716" t="str">
        <f>"9410033"</f>
        <v>9410033</v>
      </c>
      <c r="AJ8716" t="s">
        <v>12778</v>
      </c>
      <c r="AK8716">
        <v>2834061210</v>
      </c>
      <c r="AL8716" t="s">
        <v>12779</v>
      </c>
      <c r="AM8716" t="s">
        <v>64</v>
      </c>
      <c r="AN8716" t="s">
        <v>5672</v>
      </c>
      <c r="AO8716" t="s">
        <v>12780</v>
      </c>
      <c r="AP8716" t="s">
        <v>12780</v>
      </c>
      <c r="AQ8716">
        <v>9</v>
      </c>
      <c r="AR8716" t="s">
        <v>66</v>
      </c>
      <c r="AS8716" t="s">
        <v>67</v>
      </c>
      <c r="AT8716" t="s">
        <v>58</v>
      </c>
      <c r="AU8716" t="s">
        <v>8673</v>
      </c>
      <c r="AV8716" t="s">
        <v>132</v>
      </c>
      <c r="AW8716" s="1">
        <v>31915</v>
      </c>
      <c r="AX8716">
        <v>1</v>
      </c>
    </row>
    <row r="8717" spans="1:50">
      <c r="A8717">
        <v>607309</v>
      </c>
      <c r="B8717" t="str">
        <f>"079964879"</f>
        <v>079964879</v>
      </c>
      <c r="C8717" t="s">
        <v>50</v>
      </c>
      <c r="D8717" t="s">
        <v>7742</v>
      </c>
      <c r="E8717" t="s">
        <v>563</v>
      </c>
      <c r="F8717" t="s">
        <v>92</v>
      </c>
      <c r="G8717" t="s">
        <v>263</v>
      </c>
      <c r="H8717" t="str">
        <f>"ΚΟΛΟΚΟΤΡΩΝΗ 41-43 ΚΑΛΙΘΕΑ"</f>
        <v>ΚΟΛΟΚΟΤΡΩΝΗ 41-43 ΚΑΛΙΘΕΑ</v>
      </c>
      <c r="I8717">
        <v>74100</v>
      </c>
      <c r="J8717">
        <v>2831025927</v>
      </c>
      <c r="K8717">
        <v>6974157312</v>
      </c>
      <c r="N8717" t="s">
        <v>615</v>
      </c>
      <c r="O8717" t="s">
        <v>616</v>
      </c>
      <c r="R8717" t="s">
        <v>57</v>
      </c>
      <c r="S8717">
        <v>9</v>
      </c>
      <c r="T8717">
        <v>217</v>
      </c>
      <c r="U8717" s="1">
        <v>38596</v>
      </c>
      <c r="V8717" t="s">
        <v>66</v>
      </c>
      <c r="W8717" t="s">
        <v>67</v>
      </c>
      <c r="X8717" t="s">
        <v>58</v>
      </c>
      <c r="Y8717">
        <v>23</v>
      </c>
      <c r="Z8717" t="s">
        <v>59</v>
      </c>
      <c r="AA8717" t="s">
        <v>59</v>
      </c>
      <c r="AB8717" t="s">
        <v>59</v>
      </c>
      <c r="AC8717" t="s">
        <v>59</v>
      </c>
      <c r="AD8717" t="s">
        <v>59</v>
      </c>
      <c r="AF8717" s="1">
        <v>38600</v>
      </c>
      <c r="AG8717" t="s">
        <v>8645</v>
      </c>
      <c r="AH8717" t="s">
        <v>8646</v>
      </c>
      <c r="AI8717" t="str">
        <f>"9410069"</f>
        <v>9410069</v>
      </c>
      <c r="AJ8717" t="s">
        <v>12674</v>
      </c>
      <c r="AK8717">
        <v>2831029296</v>
      </c>
      <c r="AL8717" t="s">
        <v>12675</v>
      </c>
      <c r="AM8717" t="s">
        <v>64</v>
      </c>
      <c r="AN8717" t="s">
        <v>65</v>
      </c>
      <c r="AO8717" t="s">
        <v>65</v>
      </c>
      <c r="AP8717" t="s">
        <v>65</v>
      </c>
      <c r="AQ8717">
        <v>1</v>
      </c>
      <c r="AR8717" t="s">
        <v>66</v>
      </c>
      <c r="AS8717" t="s">
        <v>67</v>
      </c>
      <c r="AT8717" t="s">
        <v>58</v>
      </c>
      <c r="AU8717" t="s">
        <v>68</v>
      </c>
      <c r="AV8717" t="s">
        <v>69</v>
      </c>
      <c r="AW8717" s="1">
        <v>29483</v>
      </c>
      <c r="AX8717">
        <v>1</v>
      </c>
    </row>
    <row r="8718" spans="1:50">
      <c r="A8718">
        <v>613592</v>
      </c>
      <c r="B8718" t="str">
        <f>"078129410"</f>
        <v>078129410</v>
      </c>
      <c r="C8718" t="s">
        <v>105</v>
      </c>
      <c r="D8718" t="s">
        <v>13330</v>
      </c>
      <c r="E8718" t="s">
        <v>72</v>
      </c>
      <c r="F8718" t="s">
        <v>72</v>
      </c>
      <c r="G8718" t="s">
        <v>5820</v>
      </c>
      <c r="H8718" t="str">
        <f>"ΑΣΚΟΥΤΣΗ  ΡΕΘΥΜΝΟ"</f>
        <v>ΑΣΚΟΥΤΣΗ  ΡΕΘΥΜΝΟ</v>
      </c>
      <c r="I8718">
        <v>74132</v>
      </c>
      <c r="J8718">
        <v>2831042682</v>
      </c>
      <c r="K8718">
        <v>6947334741</v>
      </c>
      <c r="N8718" t="s">
        <v>615</v>
      </c>
      <c r="O8718" t="s">
        <v>616</v>
      </c>
      <c r="R8718" t="s">
        <v>57</v>
      </c>
      <c r="S8718">
        <v>6</v>
      </c>
      <c r="T8718">
        <v>598</v>
      </c>
      <c r="U8718" s="1">
        <v>39310</v>
      </c>
      <c r="V8718" t="s">
        <v>66</v>
      </c>
      <c r="W8718" t="s">
        <v>67</v>
      </c>
      <c r="X8718" t="s">
        <v>58</v>
      </c>
      <c r="Y8718">
        <v>23</v>
      </c>
      <c r="Z8718" t="s">
        <v>59</v>
      </c>
      <c r="AA8718" t="s">
        <v>59</v>
      </c>
      <c r="AB8718" t="s">
        <v>59</v>
      </c>
      <c r="AC8718" t="s">
        <v>59</v>
      </c>
      <c r="AD8718" t="s">
        <v>59</v>
      </c>
      <c r="AF8718" s="1">
        <v>39328</v>
      </c>
      <c r="AG8718" t="s">
        <v>8645</v>
      </c>
      <c r="AH8718" t="s">
        <v>8646</v>
      </c>
      <c r="AI8718" t="str">
        <f>"9410070"</f>
        <v>9410070</v>
      </c>
      <c r="AJ8718" t="s">
        <v>12757</v>
      </c>
      <c r="AK8718">
        <v>2831028583</v>
      </c>
      <c r="AL8718" t="s">
        <v>12758</v>
      </c>
      <c r="AM8718" t="s">
        <v>64</v>
      </c>
      <c r="AN8718" t="s">
        <v>65</v>
      </c>
      <c r="AO8718" t="s">
        <v>65</v>
      </c>
      <c r="AP8718" t="s">
        <v>65</v>
      </c>
      <c r="AQ8718">
        <v>1</v>
      </c>
      <c r="AR8718" t="s">
        <v>66</v>
      </c>
      <c r="AS8718" t="s">
        <v>67</v>
      </c>
      <c r="AT8718" t="s">
        <v>58</v>
      </c>
      <c r="AU8718" t="s">
        <v>68</v>
      </c>
      <c r="AV8718" t="s">
        <v>69</v>
      </c>
      <c r="AW8718" s="1">
        <v>27505</v>
      </c>
      <c r="AX8718">
        <v>1</v>
      </c>
    </row>
    <row r="8719" spans="1:50">
      <c r="A8719">
        <v>557436</v>
      </c>
      <c r="B8719" t="str">
        <f>"065532144"</f>
        <v>065532144</v>
      </c>
      <c r="C8719" t="s">
        <v>50</v>
      </c>
      <c r="D8719" t="s">
        <v>2551</v>
      </c>
      <c r="E8719" t="s">
        <v>250</v>
      </c>
      <c r="F8719" t="s">
        <v>474</v>
      </c>
      <c r="G8719" t="s">
        <v>630</v>
      </c>
      <c r="H8719" t="str">
        <f>" "</f>
        <v xml:space="preserve"> </v>
      </c>
      <c r="N8719" t="s">
        <v>615</v>
      </c>
      <c r="O8719" t="s">
        <v>616</v>
      </c>
      <c r="R8719" t="s">
        <v>57</v>
      </c>
      <c r="S8719">
        <v>16</v>
      </c>
      <c r="T8719">
        <v>168</v>
      </c>
      <c r="U8719" s="1">
        <v>32010</v>
      </c>
      <c r="V8719" t="s">
        <v>66</v>
      </c>
      <c r="W8719" t="s">
        <v>67</v>
      </c>
      <c r="X8719" t="s">
        <v>58</v>
      </c>
      <c r="Y8719">
        <v>21</v>
      </c>
      <c r="Z8719" t="s">
        <v>59</v>
      </c>
      <c r="AA8719" t="s">
        <v>59</v>
      </c>
      <c r="AB8719" t="s">
        <v>59</v>
      </c>
      <c r="AC8719" t="s">
        <v>59</v>
      </c>
      <c r="AD8719" t="s">
        <v>59</v>
      </c>
      <c r="AF8719" s="1">
        <v>32021</v>
      </c>
      <c r="AG8719" t="s">
        <v>8645</v>
      </c>
      <c r="AH8719" t="s">
        <v>8646</v>
      </c>
      <c r="AI8719" t="str">
        <f>"9410226"</f>
        <v>9410226</v>
      </c>
      <c r="AJ8719" t="s">
        <v>12702</v>
      </c>
      <c r="AK8719">
        <v>2831071088</v>
      </c>
      <c r="AL8719" t="s">
        <v>12703</v>
      </c>
      <c r="AM8719" t="s">
        <v>64</v>
      </c>
      <c r="AN8719" t="s">
        <v>65</v>
      </c>
      <c r="AO8719" t="s">
        <v>12694</v>
      </c>
      <c r="AP8719" t="s">
        <v>12704</v>
      </c>
      <c r="AQ8719">
        <v>3</v>
      </c>
      <c r="AR8719" t="s">
        <v>66</v>
      </c>
      <c r="AS8719" t="s">
        <v>67</v>
      </c>
      <c r="AT8719" t="s">
        <v>58</v>
      </c>
      <c r="AU8719" t="s">
        <v>68</v>
      </c>
      <c r="AV8719" t="s">
        <v>69</v>
      </c>
      <c r="AW8719" s="1">
        <v>21431</v>
      </c>
      <c r="AX8719">
        <v>1</v>
      </c>
    </row>
    <row r="8720" spans="1:50">
      <c r="A8720">
        <v>702208</v>
      </c>
      <c r="B8720" t="str">
        <f>"143650442"</f>
        <v>143650442</v>
      </c>
      <c r="C8720" t="s">
        <v>50</v>
      </c>
      <c r="D8720" t="s">
        <v>2551</v>
      </c>
      <c r="E8720" t="s">
        <v>13331</v>
      </c>
      <c r="F8720" t="s">
        <v>321</v>
      </c>
      <c r="G8720" t="s">
        <v>155</v>
      </c>
      <c r="H8720" t="str">
        <f>"Κ.ΒΑΡΝΑΛΗ 19 ΡΕΘΥΜΝΟ"</f>
        <v>Κ.ΒΑΡΝΑΛΗ 19 ΡΕΘΥΜΝΟ</v>
      </c>
      <c r="I8720">
        <v>74100</v>
      </c>
      <c r="K8720">
        <v>6944741392</v>
      </c>
      <c r="M8720" t="s">
        <v>13332</v>
      </c>
      <c r="N8720" t="s">
        <v>615</v>
      </c>
      <c r="O8720" t="s">
        <v>616</v>
      </c>
      <c r="R8720" t="s">
        <v>57</v>
      </c>
      <c r="S8720">
        <v>4</v>
      </c>
      <c r="T8720">
        <v>772</v>
      </c>
      <c r="U8720" s="1">
        <v>40413</v>
      </c>
      <c r="V8720" t="s">
        <v>66</v>
      </c>
      <c r="W8720" t="s">
        <v>67</v>
      </c>
      <c r="X8720" t="s">
        <v>58</v>
      </c>
      <c r="Y8720">
        <v>24</v>
      </c>
      <c r="Z8720" t="s">
        <v>59</v>
      </c>
      <c r="AA8720" t="s">
        <v>59</v>
      </c>
      <c r="AB8720" t="s">
        <v>59</v>
      </c>
      <c r="AC8720" t="s">
        <v>59</v>
      </c>
      <c r="AD8720" t="s">
        <v>59</v>
      </c>
      <c r="AF8720" s="1">
        <v>40413</v>
      </c>
      <c r="AG8720" t="s">
        <v>8645</v>
      </c>
      <c r="AH8720" t="s">
        <v>8646</v>
      </c>
      <c r="AI8720" t="str">
        <f>"9410051"</f>
        <v>9410051</v>
      </c>
      <c r="AJ8720" t="s">
        <v>12660</v>
      </c>
      <c r="AK8720">
        <v>2834022247</v>
      </c>
      <c r="AL8720" t="s">
        <v>12661</v>
      </c>
      <c r="AM8720" t="s">
        <v>64</v>
      </c>
      <c r="AN8720" t="s">
        <v>5672</v>
      </c>
      <c r="AO8720" t="s">
        <v>5673</v>
      </c>
      <c r="AP8720" t="s">
        <v>5689</v>
      </c>
      <c r="AQ8720">
        <v>7</v>
      </c>
      <c r="AR8720" t="s">
        <v>66</v>
      </c>
      <c r="AS8720" t="s">
        <v>67</v>
      </c>
      <c r="AT8720" t="s">
        <v>58</v>
      </c>
      <c r="AU8720" t="s">
        <v>68</v>
      </c>
      <c r="AV8720" t="s">
        <v>69</v>
      </c>
      <c r="AW8720" s="1">
        <v>31822</v>
      </c>
      <c r="AX8720">
        <v>1</v>
      </c>
    </row>
    <row r="8721" spans="1:50">
      <c r="A8721">
        <v>554721</v>
      </c>
      <c r="B8721" t="str">
        <f>"023492000"</f>
        <v>023492000</v>
      </c>
      <c r="C8721" t="s">
        <v>105</v>
      </c>
      <c r="D8721" t="s">
        <v>2557</v>
      </c>
      <c r="E8721" t="s">
        <v>84</v>
      </c>
      <c r="F8721" t="s">
        <v>166</v>
      </c>
      <c r="G8721" t="s">
        <v>83</v>
      </c>
      <c r="H8721" t="str">
        <f>"MARCINKEVICIAUS 3-37 VILNIUS"</f>
        <v>MARCINKEVICIAUS 3-37 VILNIUS</v>
      </c>
      <c r="I8721">
        <v>8412</v>
      </c>
      <c r="K8721">
        <v>37064028651</v>
      </c>
      <c r="M8721" t="s">
        <v>13333</v>
      </c>
      <c r="N8721" t="s">
        <v>615</v>
      </c>
      <c r="O8721" t="s">
        <v>616</v>
      </c>
      <c r="R8721" t="s">
        <v>57</v>
      </c>
      <c r="S8721">
        <v>15</v>
      </c>
      <c r="T8721">
        <v>200</v>
      </c>
      <c r="U8721" s="1">
        <v>31657</v>
      </c>
      <c r="V8721" t="s">
        <v>66</v>
      </c>
      <c r="W8721" t="s">
        <v>67</v>
      </c>
      <c r="X8721" t="s">
        <v>58</v>
      </c>
      <c r="Y8721">
        <v>21</v>
      </c>
      <c r="Z8721" t="s">
        <v>59</v>
      </c>
      <c r="AA8721" t="s">
        <v>59</v>
      </c>
      <c r="AB8721" t="s">
        <v>59</v>
      </c>
      <c r="AC8721" t="s">
        <v>59</v>
      </c>
      <c r="AD8721" t="s">
        <v>59</v>
      </c>
      <c r="AF8721" s="1">
        <v>31665</v>
      </c>
      <c r="AG8721" t="s">
        <v>8645</v>
      </c>
      <c r="AH8721" t="s">
        <v>8646</v>
      </c>
      <c r="AI8721" t="str">
        <f>"9410072"</f>
        <v>9410072</v>
      </c>
      <c r="AJ8721" t="s">
        <v>12692</v>
      </c>
      <c r="AK8721">
        <v>2831071264</v>
      </c>
      <c r="AL8721" t="s">
        <v>12693</v>
      </c>
      <c r="AM8721" t="s">
        <v>64</v>
      </c>
      <c r="AN8721" t="s">
        <v>65</v>
      </c>
      <c r="AO8721" t="s">
        <v>12694</v>
      </c>
      <c r="AP8721" t="s">
        <v>12695</v>
      </c>
      <c r="AQ8721">
        <v>3</v>
      </c>
      <c r="AR8721" t="s">
        <v>66</v>
      </c>
      <c r="AS8721" t="s">
        <v>67</v>
      </c>
      <c r="AT8721" t="s">
        <v>58</v>
      </c>
      <c r="AU8721" t="s">
        <v>68</v>
      </c>
      <c r="AV8721" t="s">
        <v>69</v>
      </c>
      <c r="AW8721" s="1">
        <v>21403</v>
      </c>
      <c r="AX8721">
        <v>1</v>
      </c>
    </row>
    <row r="8722" spans="1:50">
      <c r="B8722" t="str">
        <f>"100604959"</f>
        <v>100604959</v>
      </c>
      <c r="C8722" t="s">
        <v>105</v>
      </c>
      <c r="D8722" t="s">
        <v>2557</v>
      </c>
      <c r="E8722" t="s">
        <v>72</v>
      </c>
      <c r="F8722" t="s">
        <v>95</v>
      </c>
      <c r="G8722" t="s">
        <v>83</v>
      </c>
      <c r="H8722" t="str">
        <f>"ΣΟΦ ΒΕΝΙΖΕΛΟΥ 828 ΧΑΝΙΑ"</f>
        <v>ΣΟΦ ΒΕΝΙΖΕΛΟΥ 828 ΧΑΝΙΑ</v>
      </c>
      <c r="I8722">
        <v>73100</v>
      </c>
      <c r="J8722">
        <v>2821092310</v>
      </c>
      <c r="K8722">
        <v>6946206055</v>
      </c>
      <c r="N8722" t="s">
        <v>176</v>
      </c>
      <c r="O8722" t="s">
        <v>177</v>
      </c>
      <c r="R8722" t="s">
        <v>57</v>
      </c>
      <c r="S8722">
        <v>5</v>
      </c>
      <c r="T8722" t="s">
        <v>8675</v>
      </c>
      <c r="U8722" s="1">
        <v>43348</v>
      </c>
      <c r="V8722" t="s">
        <v>66</v>
      </c>
      <c r="W8722" t="s">
        <v>67</v>
      </c>
      <c r="X8722" t="s">
        <v>58</v>
      </c>
      <c r="Y8722">
        <v>24</v>
      </c>
      <c r="Z8722" t="s">
        <v>59</v>
      </c>
      <c r="AA8722" t="s">
        <v>59</v>
      </c>
      <c r="AB8722" t="s">
        <v>59</v>
      </c>
      <c r="AC8722" t="s">
        <v>59</v>
      </c>
      <c r="AD8722" t="s">
        <v>59</v>
      </c>
      <c r="AF8722" s="1">
        <v>43348</v>
      </c>
      <c r="AG8722" t="s">
        <v>8645</v>
      </c>
      <c r="AH8722" t="s">
        <v>8646</v>
      </c>
      <c r="AI8722" t="str">
        <f>"9410048"</f>
        <v>9410048</v>
      </c>
      <c r="AJ8722" t="s">
        <v>12656</v>
      </c>
      <c r="AK8722">
        <v>2834020221</v>
      </c>
      <c r="AL8722" t="s">
        <v>12657</v>
      </c>
      <c r="AM8722" t="s">
        <v>64</v>
      </c>
      <c r="AN8722" t="s">
        <v>5672</v>
      </c>
      <c r="AO8722" t="s">
        <v>5673</v>
      </c>
      <c r="AP8722" t="s">
        <v>5674</v>
      </c>
      <c r="AQ8722">
        <v>10</v>
      </c>
      <c r="AR8722" t="s">
        <v>66</v>
      </c>
      <c r="AS8722" t="s">
        <v>67</v>
      </c>
      <c r="AT8722" t="s">
        <v>58</v>
      </c>
      <c r="AU8722" t="s">
        <v>8673</v>
      </c>
      <c r="AV8722" t="s">
        <v>132</v>
      </c>
      <c r="AW8722" s="1">
        <v>25152</v>
      </c>
      <c r="AX8722">
        <v>1</v>
      </c>
    </row>
    <row r="8723" spans="1:50">
      <c r="A8723">
        <v>555042</v>
      </c>
      <c r="B8723" t="str">
        <f>"030071490"</f>
        <v>030071490</v>
      </c>
      <c r="C8723" t="s">
        <v>105</v>
      </c>
      <c r="D8723" t="s">
        <v>2557</v>
      </c>
      <c r="E8723" t="s">
        <v>474</v>
      </c>
      <c r="F8723" t="s">
        <v>53</v>
      </c>
      <c r="G8723" t="s">
        <v>1694</v>
      </c>
      <c r="H8723" t="str">
        <f>"ΠΑΝΟΡΜΟ ΡΕΘΥΜΝΗΣ ΠΑΝΟΡΜΟ"</f>
        <v>ΠΑΝΟΡΜΟ ΡΕΘΥΜΝΗΣ ΠΑΝΟΡΜΟ</v>
      </c>
      <c r="I8723">
        <v>74057</v>
      </c>
      <c r="K8723">
        <v>6970994408</v>
      </c>
      <c r="M8723" t="s">
        <v>13334</v>
      </c>
      <c r="N8723" t="s">
        <v>615</v>
      </c>
      <c r="O8723" t="s">
        <v>616</v>
      </c>
      <c r="R8723" t="s">
        <v>57</v>
      </c>
      <c r="S8723">
        <v>16</v>
      </c>
      <c r="T8723">
        <v>200</v>
      </c>
      <c r="U8723" s="1">
        <v>31657</v>
      </c>
      <c r="V8723" t="s">
        <v>66</v>
      </c>
      <c r="W8723" t="s">
        <v>67</v>
      </c>
      <c r="X8723" t="s">
        <v>58</v>
      </c>
      <c r="Y8723">
        <v>21</v>
      </c>
      <c r="Z8723" t="s">
        <v>59</v>
      </c>
      <c r="AA8723" t="s">
        <v>59</v>
      </c>
      <c r="AB8723" t="s">
        <v>59</v>
      </c>
      <c r="AC8723" t="s">
        <v>59</v>
      </c>
      <c r="AD8723" t="s">
        <v>59</v>
      </c>
      <c r="AF8723" s="1">
        <v>31657</v>
      </c>
      <c r="AG8723" t="s">
        <v>8645</v>
      </c>
      <c r="AH8723" t="s">
        <v>8646</v>
      </c>
      <c r="AI8723" t="str">
        <f>"9410030"</f>
        <v>9410030</v>
      </c>
      <c r="AJ8723" t="s">
        <v>12743</v>
      </c>
      <c r="AK8723">
        <v>2834093217</v>
      </c>
      <c r="AL8723" t="s">
        <v>12744</v>
      </c>
      <c r="AM8723" t="s">
        <v>64</v>
      </c>
      <c r="AN8723" t="s">
        <v>65</v>
      </c>
      <c r="AO8723" t="s">
        <v>12694</v>
      </c>
      <c r="AP8723" t="s">
        <v>12745</v>
      </c>
      <c r="AQ8723">
        <v>3</v>
      </c>
      <c r="AR8723" t="s">
        <v>66</v>
      </c>
      <c r="AS8723" t="s">
        <v>67</v>
      </c>
      <c r="AT8723" t="s">
        <v>58</v>
      </c>
      <c r="AU8723" t="s">
        <v>68</v>
      </c>
      <c r="AV8723" t="s">
        <v>69</v>
      </c>
      <c r="AW8723" s="1">
        <v>22269</v>
      </c>
      <c r="AX8723">
        <v>1</v>
      </c>
    </row>
    <row r="8724" spans="1:50">
      <c r="B8724" t="str">
        <f>"148008340"</f>
        <v>148008340</v>
      </c>
      <c r="C8724" t="s">
        <v>105</v>
      </c>
      <c r="D8724" t="s">
        <v>13335</v>
      </c>
      <c r="E8724" t="s">
        <v>1316</v>
      </c>
      <c r="F8724" t="s">
        <v>202</v>
      </c>
      <c r="G8724" t="s">
        <v>1068</v>
      </c>
      <c r="H8724" t="str">
        <f>"ΒΑΒΟΥΡΑΚΗΔΩΝ 4 ΡΕΘΥΜΝΟ"</f>
        <v>ΒΑΒΟΥΡΑΚΗΔΩΝ 4 ΡΕΘΥΜΝΟ</v>
      </c>
      <c r="I8724">
        <v>74100</v>
      </c>
      <c r="K8724">
        <v>6974405086</v>
      </c>
      <c r="M8724" t="s">
        <v>13336</v>
      </c>
      <c r="N8724" t="s">
        <v>615</v>
      </c>
      <c r="O8724" t="s">
        <v>616</v>
      </c>
      <c r="R8724" t="s">
        <v>159</v>
      </c>
      <c r="S8724">
        <v>2</v>
      </c>
      <c r="T8724" t="s">
        <v>8675</v>
      </c>
      <c r="U8724" s="1">
        <v>43348</v>
      </c>
      <c r="V8724" t="s">
        <v>66</v>
      </c>
      <c r="W8724" t="s">
        <v>67</v>
      </c>
      <c r="X8724" t="s">
        <v>58</v>
      </c>
      <c r="Y8724">
        <v>24</v>
      </c>
      <c r="Z8724" t="s">
        <v>59</v>
      </c>
      <c r="AA8724" t="s">
        <v>59</v>
      </c>
      <c r="AB8724" t="s">
        <v>59</v>
      </c>
      <c r="AC8724" t="s">
        <v>59</v>
      </c>
      <c r="AD8724" t="s">
        <v>59</v>
      </c>
      <c r="AF8724" s="1">
        <v>43348</v>
      </c>
      <c r="AG8724" t="s">
        <v>8645</v>
      </c>
      <c r="AH8724" t="s">
        <v>8646</v>
      </c>
      <c r="AI8724" t="str">
        <f>"9410033"</f>
        <v>9410033</v>
      </c>
      <c r="AJ8724" t="s">
        <v>12778</v>
      </c>
      <c r="AK8724">
        <v>2834061210</v>
      </c>
      <c r="AL8724" t="s">
        <v>12779</v>
      </c>
      <c r="AM8724" t="s">
        <v>64</v>
      </c>
      <c r="AN8724" t="s">
        <v>5672</v>
      </c>
      <c r="AO8724" t="s">
        <v>12780</v>
      </c>
      <c r="AP8724" t="s">
        <v>12780</v>
      </c>
      <c r="AQ8724">
        <v>9</v>
      </c>
      <c r="AR8724" t="s">
        <v>66</v>
      </c>
      <c r="AS8724" t="s">
        <v>67</v>
      </c>
      <c r="AT8724" t="s">
        <v>58</v>
      </c>
      <c r="AU8724" t="s">
        <v>8673</v>
      </c>
      <c r="AV8724" t="s">
        <v>132</v>
      </c>
      <c r="AW8724" s="1">
        <v>32458</v>
      </c>
      <c r="AX8724">
        <v>1</v>
      </c>
    </row>
    <row r="8725" spans="1:50">
      <c r="A8725">
        <v>567854</v>
      </c>
      <c r="B8725" t="str">
        <f>"037371840"</f>
        <v>037371840</v>
      </c>
      <c r="C8725" t="s">
        <v>50</v>
      </c>
      <c r="D8725" t="s">
        <v>13337</v>
      </c>
      <c r="E8725" t="s">
        <v>52</v>
      </c>
      <c r="F8725" t="s">
        <v>202</v>
      </c>
      <c r="G8725" t="s">
        <v>191</v>
      </c>
      <c r="H8725" t="str">
        <f>" "</f>
        <v xml:space="preserve"> </v>
      </c>
      <c r="N8725" t="s">
        <v>1525</v>
      </c>
      <c r="O8725" t="s">
        <v>1526</v>
      </c>
      <c r="R8725" t="s">
        <v>57</v>
      </c>
      <c r="S8725">
        <v>15</v>
      </c>
      <c r="T8725">
        <v>133</v>
      </c>
      <c r="U8725" s="1">
        <v>33456</v>
      </c>
      <c r="V8725" t="s">
        <v>66</v>
      </c>
      <c r="W8725" t="s">
        <v>67</v>
      </c>
      <c r="X8725" t="s">
        <v>58</v>
      </c>
      <c r="Y8725">
        <v>25</v>
      </c>
      <c r="Z8725" t="s">
        <v>59</v>
      </c>
      <c r="AA8725" t="s">
        <v>59</v>
      </c>
      <c r="AB8725" t="s">
        <v>59</v>
      </c>
      <c r="AC8725" t="s">
        <v>59</v>
      </c>
      <c r="AD8725" t="s">
        <v>59</v>
      </c>
      <c r="AF8725" s="1">
        <v>33483</v>
      </c>
      <c r="AG8725" t="s">
        <v>8651</v>
      </c>
      <c r="AH8725" t="s">
        <v>8652</v>
      </c>
      <c r="AI8725" t="str">
        <f>"9410196"</f>
        <v>9410196</v>
      </c>
      <c r="AJ8725" t="s">
        <v>13338</v>
      </c>
      <c r="AK8725">
        <v>2831027495</v>
      </c>
      <c r="AL8725" t="s">
        <v>13339</v>
      </c>
      <c r="AM8725" t="s">
        <v>64</v>
      </c>
      <c r="AN8725" t="s">
        <v>65</v>
      </c>
      <c r="AO8725" t="s">
        <v>65</v>
      </c>
      <c r="AP8725" t="s">
        <v>65</v>
      </c>
      <c r="AQ8725">
        <v>1</v>
      </c>
      <c r="AR8725" t="s">
        <v>66</v>
      </c>
      <c r="AS8725" t="s">
        <v>67</v>
      </c>
      <c r="AT8725" t="s">
        <v>58</v>
      </c>
      <c r="AU8725" t="s">
        <v>68</v>
      </c>
      <c r="AV8725" t="s">
        <v>69</v>
      </c>
      <c r="AW8725" s="1">
        <v>23487</v>
      </c>
      <c r="AX8725">
        <v>1</v>
      </c>
    </row>
    <row r="8726" spans="1:50">
      <c r="A8726">
        <v>601176</v>
      </c>
      <c r="B8726" t="str">
        <f>"038027030"</f>
        <v>038027030</v>
      </c>
      <c r="C8726" t="s">
        <v>50</v>
      </c>
      <c r="D8726" t="s">
        <v>102</v>
      </c>
      <c r="E8726" t="s">
        <v>143</v>
      </c>
      <c r="F8726" t="s">
        <v>166</v>
      </c>
      <c r="G8726" t="s">
        <v>1898</v>
      </c>
      <c r="H8726" t="str">
        <f>"ΒΙΟΛΙ ΧΑΡΑΚΙ ΑΤΣΙΠΟΠΟΥΛΟΥ"</f>
        <v>ΒΙΟΛΙ ΧΑΡΑΚΙ ΑΤΣΙΠΟΠΟΥΛΟΥ</v>
      </c>
      <c r="I8726">
        <v>74132</v>
      </c>
      <c r="J8726">
        <v>2831053040</v>
      </c>
      <c r="K8726">
        <v>6947271423</v>
      </c>
      <c r="M8726" t="s">
        <v>13340</v>
      </c>
      <c r="N8726" t="s">
        <v>615</v>
      </c>
      <c r="O8726" t="s">
        <v>616</v>
      </c>
      <c r="R8726" t="s">
        <v>57</v>
      </c>
      <c r="S8726">
        <v>8</v>
      </c>
      <c r="T8726">
        <v>207</v>
      </c>
      <c r="U8726" s="1">
        <v>37866</v>
      </c>
      <c r="V8726" t="s">
        <v>66</v>
      </c>
      <c r="W8726" t="s">
        <v>67</v>
      </c>
      <c r="X8726" t="s">
        <v>58</v>
      </c>
      <c r="Y8726">
        <v>22</v>
      </c>
      <c r="Z8726" t="s">
        <v>59</v>
      </c>
      <c r="AA8726" t="s">
        <v>59</v>
      </c>
      <c r="AB8726" t="s">
        <v>59</v>
      </c>
      <c r="AC8726" t="s">
        <v>59</v>
      </c>
      <c r="AD8726" t="s">
        <v>59</v>
      </c>
      <c r="AF8726" s="1">
        <v>37866</v>
      </c>
      <c r="AG8726" t="s">
        <v>8645</v>
      </c>
      <c r="AH8726" t="s">
        <v>8646</v>
      </c>
      <c r="AI8726" t="str">
        <f>"9410263"</f>
        <v>9410263</v>
      </c>
      <c r="AJ8726" t="s">
        <v>12672</v>
      </c>
      <c r="AK8726">
        <v>2831053818</v>
      </c>
      <c r="AL8726" t="s">
        <v>12673</v>
      </c>
      <c r="AM8726" t="s">
        <v>64</v>
      </c>
      <c r="AN8726" t="s">
        <v>65</v>
      </c>
      <c r="AO8726" t="s">
        <v>65</v>
      </c>
      <c r="AP8726" t="s">
        <v>65</v>
      </c>
      <c r="AQ8726">
        <v>1</v>
      </c>
      <c r="AR8726" t="s">
        <v>66</v>
      </c>
      <c r="AS8726" t="s">
        <v>67</v>
      </c>
      <c r="AT8726" t="s">
        <v>58</v>
      </c>
      <c r="AU8726" t="s">
        <v>68</v>
      </c>
      <c r="AV8726" t="s">
        <v>69</v>
      </c>
      <c r="AW8726" s="1">
        <v>25095</v>
      </c>
      <c r="AX8726">
        <v>1</v>
      </c>
    </row>
    <row r="8727" spans="1:50">
      <c r="A8727">
        <v>614813</v>
      </c>
      <c r="B8727" t="str">
        <f>"034440124"</f>
        <v>034440124</v>
      </c>
      <c r="C8727" t="s">
        <v>50</v>
      </c>
      <c r="D8727" t="s">
        <v>102</v>
      </c>
      <c r="E8727" t="s">
        <v>83</v>
      </c>
      <c r="F8727" t="s">
        <v>6198</v>
      </c>
      <c r="G8727" t="s">
        <v>52</v>
      </c>
      <c r="H8727" t="str">
        <f>" "</f>
        <v xml:space="preserve"> </v>
      </c>
      <c r="J8727">
        <v>2834022287</v>
      </c>
      <c r="K8727">
        <v>6973469125</v>
      </c>
      <c r="N8727" t="s">
        <v>615</v>
      </c>
      <c r="O8727" t="s">
        <v>616</v>
      </c>
      <c r="R8727" t="s">
        <v>57</v>
      </c>
      <c r="S8727">
        <v>6</v>
      </c>
      <c r="T8727">
        <v>598</v>
      </c>
      <c r="U8727" s="1">
        <v>39328</v>
      </c>
      <c r="V8727" t="s">
        <v>66</v>
      </c>
      <c r="W8727" t="s">
        <v>67</v>
      </c>
      <c r="X8727" t="s">
        <v>58</v>
      </c>
      <c r="Y8727">
        <v>23</v>
      </c>
      <c r="Z8727" t="s">
        <v>59</v>
      </c>
      <c r="AA8727" t="s">
        <v>59</v>
      </c>
      <c r="AB8727" t="s">
        <v>59</v>
      </c>
      <c r="AC8727" t="s">
        <v>59</v>
      </c>
      <c r="AD8727" t="s">
        <v>59</v>
      </c>
      <c r="AF8727" s="1">
        <v>39328</v>
      </c>
      <c r="AG8727" t="s">
        <v>8645</v>
      </c>
      <c r="AH8727" t="s">
        <v>8646</v>
      </c>
      <c r="AI8727" t="str">
        <f>"9410242"</f>
        <v>9410242</v>
      </c>
      <c r="AJ8727" t="s">
        <v>12796</v>
      </c>
      <c r="AK8727">
        <v>2834023145</v>
      </c>
      <c r="AL8727" t="s">
        <v>12797</v>
      </c>
      <c r="AM8727" t="s">
        <v>64</v>
      </c>
      <c r="AN8727" t="s">
        <v>5672</v>
      </c>
      <c r="AO8727" t="s">
        <v>5673</v>
      </c>
      <c r="AP8727" t="s">
        <v>5689</v>
      </c>
      <c r="AQ8727">
        <v>7</v>
      </c>
      <c r="AR8727" t="s">
        <v>66</v>
      </c>
      <c r="AS8727" t="s">
        <v>67</v>
      </c>
      <c r="AT8727" t="s">
        <v>58</v>
      </c>
      <c r="AU8727" t="s">
        <v>68</v>
      </c>
      <c r="AV8727" t="s">
        <v>69</v>
      </c>
      <c r="AW8727" s="1">
        <v>30670</v>
      </c>
      <c r="AX8727">
        <v>1</v>
      </c>
    </row>
    <row r="8728" spans="1:50">
      <c r="A8728">
        <v>590445</v>
      </c>
      <c r="B8728" t="str">
        <f>"042293408"</f>
        <v>042293408</v>
      </c>
      <c r="C8728" t="s">
        <v>105</v>
      </c>
      <c r="D8728" t="s">
        <v>10604</v>
      </c>
      <c r="E8728" t="s">
        <v>154</v>
      </c>
      <c r="F8728" t="s">
        <v>53</v>
      </c>
      <c r="G8728" t="s">
        <v>112</v>
      </c>
      <c r="H8728" t="str">
        <f>" "</f>
        <v xml:space="preserve"> </v>
      </c>
      <c r="N8728" t="s">
        <v>337</v>
      </c>
      <c r="O8728" t="s">
        <v>338</v>
      </c>
      <c r="R8728" t="s">
        <v>57</v>
      </c>
      <c r="S8728">
        <v>11</v>
      </c>
      <c r="T8728">
        <v>177</v>
      </c>
      <c r="U8728" s="1">
        <v>36403</v>
      </c>
      <c r="V8728" t="s">
        <v>66</v>
      </c>
      <c r="W8728" t="s">
        <v>67</v>
      </c>
      <c r="X8728" t="s">
        <v>58</v>
      </c>
      <c r="Y8728">
        <v>21</v>
      </c>
      <c r="Z8728" t="s">
        <v>59</v>
      </c>
      <c r="AA8728" t="s">
        <v>59</v>
      </c>
      <c r="AB8728" t="s">
        <v>59</v>
      </c>
      <c r="AC8728" t="s">
        <v>59</v>
      </c>
      <c r="AD8728" t="s">
        <v>59</v>
      </c>
      <c r="AF8728" s="1">
        <v>36409</v>
      </c>
      <c r="AG8728" t="s">
        <v>8645</v>
      </c>
      <c r="AH8728" t="s">
        <v>8646</v>
      </c>
      <c r="AI8728" t="str">
        <f>"9410067"</f>
        <v>9410067</v>
      </c>
      <c r="AJ8728" t="s">
        <v>12736</v>
      </c>
      <c r="AK8728">
        <v>2831022836</v>
      </c>
      <c r="AL8728" t="s">
        <v>12737</v>
      </c>
      <c r="AM8728" t="s">
        <v>64</v>
      </c>
      <c r="AN8728" t="s">
        <v>65</v>
      </c>
      <c r="AO8728" t="s">
        <v>65</v>
      </c>
      <c r="AP8728" t="s">
        <v>65</v>
      </c>
      <c r="AQ8728">
        <v>1</v>
      </c>
      <c r="AR8728" t="s">
        <v>66</v>
      </c>
      <c r="AS8728" t="s">
        <v>67</v>
      </c>
      <c r="AT8728" t="s">
        <v>58</v>
      </c>
      <c r="AU8728" t="s">
        <v>68</v>
      </c>
      <c r="AV8728" t="s">
        <v>69</v>
      </c>
      <c r="AW8728" s="1">
        <v>25905</v>
      </c>
      <c r="AX8728">
        <v>1</v>
      </c>
    </row>
    <row r="8729" spans="1:50">
      <c r="B8729" t="str">
        <f>"150107540"</f>
        <v>150107540</v>
      </c>
      <c r="C8729" t="s">
        <v>50</v>
      </c>
      <c r="D8729" t="s">
        <v>12367</v>
      </c>
      <c r="E8729" t="s">
        <v>4390</v>
      </c>
      <c r="F8729" t="s">
        <v>383</v>
      </c>
      <c r="G8729" t="s">
        <v>4390</v>
      </c>
      <c r="H8729" t="str">
        <f>" "</f>
        <v xml:space="preserve"> </v>
      </c>
      <c r="N8729" t="s">
        <v>8694</v>
      </c>
      <c r="O8729" t="s">
        <v>8695</v>
      </c>
      <c r="R8729" t="s">
        <v>159</v>
      </c>
      <c r="S8729">
        <v>1</v>
      </c>
      <c r="T8729" t="s">
        <v>8835</v>
      </c>
      <c r="U8729" s="1">
        <v>43348</v>
      </c>
      <c r="V8729" t="s">
        <v>66</v>
      </c>
      <c r="W8729" t="s">
        <v>67</v>
      </c>
      <c r="X8729" t="s">
        <v>58</v>
      </c>
      <c r="Y8729">
        <v>24</v>
      </c>
      <c r="Z8729" t="s">
        <v>59</v>
      </c>
      <c r="AA8729" t="s">
        <v>59</v>
      </c>
      <c r="AB8729" t="s">
        <v>59</v>
      </c>
      <c r="AD8729" t="s">
        <v>59</v>
      </c>
      <c r="AF8729" s="1">
        <v>43348</v>
      </c>
      <c r="AG8729" t="s">
        <v>8645</v>
      </c>
      <c r="AH8729" t="s">
        <v>8646</v>
      </c>
      <c r="AI8729" t="str">
        <f>"9410212"</f>
        <v>9410212</v>
      </c>
      <c r="AJ8729" t="s">
        <v>12747</v>
      </c>
      <c r="AK8729">
        <v>2831022132</v>
      </c>
      <c r="AL8729" t="s">
        <v>12748</v>
      </c>
      <c r="AM8729" t="s">
        <v>64</v>
      </c>
      <c r="AN8729" t="s">
        <v>65</v>
      </c>
      <c r="AO8729" t="s">
        <v>65</v>
      </c>
      <c r="AP8729" t="s">
        <v>65</v>
      </c>
      <c r="AQ8729">
        <v>1</v>
      </c>
      <c r="AR8729" t="s">
        <v>66</v>
      </c>
      <c r="AS8729" t="s">
        <v>67</v>
      </c>
      <c r="AT8729" t="s">
        <v>58</v>
      </c>
      <c r="AU8729" t="s">
        <v>131</v>
      </c>
      <c r="AV8729" t="s">
        <v>132</v>
      </c>
      <c r="AW8729" s="1">
        <v>33845</v>
      </c>
      <c r="AX8729">
        <v>1</v>
      </c>
    </row>
    <row r="8730" spans="1:50">
      <c r="A8730">
        <v>622460</v>
      </c>
      <c r="B8730" t="str">
        <f>"123193376"</f>
        <v>123193376</v>
      </c>
      <c r="C8730" t="s">
        <v>50</v>
      </c>
      <c r="D8730" t="s">
        <v>10628</v>
      </c>
      <c r="E8730" t="s">
        <v>215</v>
      </c>
      <c r="F8730" t="s">
        <v>95</v>
      </c>
      <c r="G8730" t="s">
        <v>112</v>
      </c>
      <c r="H8730" t="str">
        <f>"ΠΑΡΝΑΣΣΟΥ 3 ΗΡΑΚΛΕΙΟ"</f>
        <v>ΠΑΡΝΑΣΣΟΥ 3 ΗΡΑΚΛΕΙΟ</v>
      </c>
      <c r="I8730">
        <v>71303</v>
      </c>
      <c r="J8730">
        <v>2810255743</v>
      </c>
      <c r="K8730">
        <v>6974602952</v>
      </c>
      <c r="N8730" t="s">
        <v>1525</v>
      </c>
      <c r="O8730" t="s">
        <v>1526</v>
      </c>
      <c r="R8730" t="s">
        <v>57</v>
      </c>
      <c r="S8730">
        <v>5</v>
      </c>
      <c r="T8730">
        <v>653</v>
      </c>
      <c r="U8730" s="1">
        <v>40043</v>
      </c>
      <c r="V8730" t="s">
        <v>66</v>
      </c>
      <c r="W8730" t="s">
        <v>67</v>
      </c>
      <c r="X8730" t="s">
        <v>58</v>
      </c>
      <c r="Y8730">
        <v>25</v>
      </c>
      <c r="Z8730" t="s">
        <v>59</v>
      </c>
      <c r="AA8730" t="s">
        <v>59</v>
      </c>
      <c r="AB8730" t="s">
        <v>59</v>
      </c>
      <c r="AC8730" t="s">
        <v>59</v>
      </c>
      <c r="AD8730" t="s">
        <v>59</v>
      </c>
      <c r="AF8730" s="1">
        <v>40043</v>
      </c>
      <c r="AG8730" t="s">
        <v>8651</v>
      </c>
      <c r="AH8730" t="s">
        <v>8652</v>
      </c>
      <c r="AI8730" t="str">
        <f>"9521304"</f>
        <v>9521304</v>
      </c>
      <c r="AJ8730" t="s">
        <v>12798</v>
      </c>
      <c r="AK8730">
        <v>2831057099</v>
      </c>
      <c r="AL8730" t="s">
        <v>12799</v>
      </c>
      <c r="AM8730" t="s">
        <v>64</v>
      </c>
      <c r="AN8730" t="s">
        <v>65</v>
      </c>
      <c r="AO8730" t="s">
        <v>5720</v>
      </c>
      <c r="AP8730" t="s">
        <v>5721</v>
      </c>
      <c r="AQ8730">
        <v>2</v>
      </c>
      <c r="AR8730" t="s">
        <v>66</v>
      </c>
      <c r="AS8730" t="s">
        <v>67</v>
      </c>
      <c r="AT8730" t="s">
        <v>58</v>
      </c>
      <c r="AU8730" t="s">
        <v>68</v>
      </c>
      <c r="AV8730" t="s">
        <v>2039</v>
      </c>
      <c r="AW8730" s="1">
        <v>29264</v>
      </c>
      <c r="AX8730">
        <v>1</v>
      </c>
    </row>
    <row r="8731" spans="1:50">
      <c r="A8731">
        <v>617213</v>
      </c>
      <c r="B8731" t="str">
        <f>"131453768"</f>
        <v>131453768</v>
      </c>
      <c r="C8731" t="s">
        <v>50</v>
      </c>
      <c r="D8731" t="s">
        <v>10635</v>
      </c>
      <c r="E8731" t="s">
        <v>237</v>
      </c>
      <c r="F8731" t="s">
        <v>95</v>
      </c>
      <c r="G8731" t="s">
        <v>73</v>
      </c>
      <c r="H8731" t="str">
        <f>"ΑΧΕΛΗ 5 ΡΕΘΥΜΝΟ"</f>
        <v>ΑΧΕΛΗ 5 ΡΕΘΥΜΝΟ</v>
      </c>
      <c r="I8731">
        <v>74100</v>
      </c>
      <c r="J8731">
        <v>2831027128</v>
      </c>
      <c r="K8731">
        <v>6973555361</v>
      </c>
      <c r="N8731" t="s">
        <v>615</v>
      </c>
      <c r="O8731" t="s">
        <v>616</v>
      </c>
      <c r="R8731" t="s">
        <v>57</v>
      </c>
      <c r="S8731">
        <v>6</v>
      </c>
      <c r="T8731">
        <v>774</v>
      </c>
      <c r="U8731" s="1">
        <v>39680</v>
      </c>
      <c r="V8731" t="s">
        <v>66</v>
      </c>
      <c r="W8731" t="s">
        <v>67</v>
      </c>
      <c r="X8731" t="s">
        <v>58</v>
      </c>
      <c r="Y8731">
        <v>23</v>
      </c>
      <c r="Z8731" t="s">
        <v>59</v>
      </c>
      <c r="AA8731" t="s">
        <v>59</v>
      </c>
      <c r="AB8731" t="s">
        <v>59</v>
      </c>
      <c r="AC8731" t="s">
        <v>59</v>
      </c>
      <c r="AD8731" t="s">
        <v>59</v>
      </c>
      <c r="AF8731" s="1">
        <v>39681</v>
      </c>
      <c r="AG8731" t="s">
        <v>8645</v>
      </c>
      <c r="AH8731" t="s">
        <v>8646</v>
      </c>
      <c r="AI8731" t="str">
        <f>"9410061"</f>
        <v>9410061</v>
      </c>
      <c r="AJ8731" t="s">
        <v>12760</v>
      </c>
      <c r="AK8731">
        <v>2831024378</v>
      </c>
      <c r="AL8731" t="s">
        <v>12761</v>
      </c>
      <c r="AM8731" t="s">
        <v>64</v>
      </c>
      <c r="AN8731" t="s">
        <v>65</v>
      </c>
      <c r="AO8731" t="s">
        <v>65</v>
      </c>
      <c r="AP8731" t="s">
        <v>65</v>
      </c>
      <c r="AQ8731">
        <v>1</v>
      </c>
      <c r="AR8731" t="s">
        <v>66</v>
      </c>
      <c r="AS8731" t="s">
        <v>67</v>
      </c>
      <c r="AT8731" t="s">
        <v>58</v>
      </c>
      <c r="AU8731" t="s">
        <v>68</v>
      </c>
      <c r="AV8731" t="s">
        <v>69</v>
      </c>
      <c r="AW8731" s="1">
        <v>30715</v>
      </c>
      <c r="AX8731">
        <v>1</v>
      </c>
    </row>
    <row r="8732" spans="1:50">
      <c r="B8732" t="str">
        <f>"119805905"</f>
        <v>119805905</v>
      </c>
      <c r="C8732" t="s">
        <v>105</v>
      </c>
      <c r="D8732" t="s">
        <v>13341</v>
      </c>
      <c r="E8732" t="s">
        <v>72</v>
      </c>
      <c r="F8732" t="s">
        <v>95</v>
      </c>
      <c r="G8732" t="s">
        <v>83</v>
      </c>
      <c r="H8732" t="str">
        <f>"Μ.Μ. ΙΩΑΝΝΙΚΕΙΟΥ 3 ΚΟΜΟΤΗΝΗ"</f>
        <v>Μ.Μ. ΙΩΑΝΝΙΚΕΙΟΥ 3 ΚΟΜΟΤΗΝΗ</v>
      </c>
      <c r="I8732">
        <v>69100</v>
      </c>
      <c r="J8732">
        <v>2531026680</v>
      </c>
      <c r="K8732">
        <v>6973370852</v>
      </c>
      <c r="M8732" t="s">
        <v>13342</v>
      </c>
      <c r="N8732" t="s">
        <v>306</v>
      </c>
      <c r="O8732" t="s">
        <v>307</v>
      </c>
      <c r="R8732" t="s">
        <v>159</v>
      </c>
      <c r="S8732">
        <v>5</v>
      </c>
      <c r="T8732" t="s">
        <v>8675</v>
      </c>
      <c r="U8732" s="1">
        <v>43348</v>
      </c>
      <c r="V8732" t="s">
        <v>66</v>
      </c>
      <c r="W8732" t="s">
        <v>67</v>
      </c>
      <c r="X8732" t="s">
        <v>58</v>
      </c>
      <c r="Y8732">
        <v>24</v>
      </c>
      <c r="Z8732" t="s">
        <v>59</v>
      </c>
      <c r="AA8732" t="s">
        <v>59</v>
      </c>
      <c r="AB8732" t="s">
        <v>59</v>
      </c>
      <c r="AC8732" t="s">
        <v>59</v>
      </c>
      <c r="AD8732" t="s">
        <v>59</v>
      </c>
      <c r="AF8732" s="1">
        <v>43348</v>
      </c>
      <c r="AG8732" t="s">
        <v>8645</v>
      </c>
      <c r="AH8732" t="s">
        <v>8646</v>
      </c>
      <c r="AI8732" t="str">
        <f>"9410051"</f>
        <v>9410051</v>
      </c>
      <c r="AJ8732" t="s">
        <v>12660</v>
      </c>
      <c r="AK8732">
        <v>2834022247</v>
      </c>
      <c r="AL8732" t="s">
        <v>12661</v>
      </c>
      <c r="AM8732" t="s">
        <v>64</v>
      </c>
      <c r="AN8732" t="s">
        <v>5672</v>
      </c>
      <c r="AO8732" t="s">
        <v>5673</v>
      </c>
      <c r="AP8732" t="s">
        <v>5689</v>
      </c>
      <c r="AQ8732">
        <v>7</v>
      </c>
      <c r="AR8732" t="s">
        <v>66</v>
      </c>
      <c r="AS8732" t="s">
        <v>67</v>
      </c>
      <c r="AT8732" t="s">
        <v>58</v>
      </c>
      <c r="AU8732" t="s">
        <v>8673</v>
      </c>
      <c r="AV8732" t="s">
        <v>132</v>
      </c>
      <c r="AW8732" s="1">
        <v>28812</v>
      </c>
      <c r="AX8732">
        <v>1</v>
      </c>
    </row>
    <row r="8733" spans="1:50">
      <c r="B8733" t="str">
        <f>"066570240"</f>
        <v>066570240</v>
      </c>
      <c r="C8733" t="s">
        <v>50</v>
      </c>
      <c r="D8733" t="s">
        <v>13343</v>
      </c>
      <c r="E8733" t="s">
        <v>699</v>
      </c>
      <c r="F8733" t="s">
        <v>321</v>
      </c>
      <c r="G8733" t="s">
        <v>378</v>
      </c>
      <c r="H8733" t="str">
        <f>"ΑΝΤΙΟΧΟΥ 10 ΚΑΣΤΟΡΙΑ"</f>
        <v>ΑΝΤΙΟΧΟΥ 10 ΚΑΣΤΟΡΙΑ</v>
      </c>
      <c r="I8733">
        <v>52100</v>
      </c>
      <c r="J8733">
        <v>2467027052</v>
      </c>
      <c r="K8733">
        <v>6973391737</v>
      </c>
      <c r="N8733" t="s">
        <v>176</v>
      </c>
      <c r="O8733" t="s">
        <v>177</v>
      </c>
      <c r="R8733" t="s">
        <v>159</v>
      </c>
      <c r="S8733">
        <v>4</v>
      </c>
      <c r="T8733" t="s">
        <v>8675</v>
      </c>
      <c r="U8733" s="1">
        <v>43348</v>
      </c>
      <c r="V8733" t="s">
        <v>66</v>
      </c>
      <c r="W8733" t="s">
        <v>67</v>
      </c>
      <c r="X8733" t="s">
        <v>58</v>
      </c>
      <c r="Y8733">
        <v>24</v>
      </c>
      <c r="Z8733" t="s">
        <v>59</v>
      </c>
      <c r="AA8733" t="s">
        <v>59</v>
      </c>
      <c r="AB8733" t="s">
        <v>59</v>
      </c>
      <c r="AC8733" t="s">
        <v>59</v>
      </c>
      <c r="AD8733" t="s">
        <v>59</v>
      </c>
      <c r="AF8733" s="1">
        <v>43348</v>
      </c>
      <c r="AG8733" t="s">
        <v>8645</v>
      </c>
      <c r="AH8733" t="s">
        <v>8646</v>
      </c>
      <c r="AI8733" t="str">
        <f>"9410065"</f>
        <v>9410065</v>
      </c>
      <c r="AJ8733" t="s">
        <v>12717</v>
      </c>
      <c r="AK8733">
        <v>2831022519</v>
      </c>
      <c r="AL8733" t="s">
        <v>12718</v>
      </c>
      <c r="AM8733" t="s">
        <v>64</v>
      </c>
      <c r="AN8733" t="s">
        <v>65</v>
      </c>
      <c r="AO8733" t="s">
        <v>65</v>
      </c>
      <c r="AP8733" t="s">
        <v>65</v>
      </c>
      <c r="AQ8733">
        <v>1</v>
      </c>
      <c r="AR8733" t="s">
        <v>66</v>
      </c>
      <c r="AS8733" t="s">
        <v>67</v>
      </c>
      <c r="AT8733" t="s">
        <v>58</v>
      </c>
      <c r="AU8733" t="s">
        <v>8673</v>
      </c>
      <c r="AV8733" t="s">
        <v>132</v>
      </c>
      <c r="AW8733" s="1">
        <v>26194</v>
      </c>
      <c r="AX8733">
        <v>1</v>
      </c>
    </row>
    <row r="8734" spans="1:50">
      <c r="B8734" t="str">
        <f>"108633998"</f>
        <v>108633998</v>
      </c>
      <c r="C8734" t="s">
        <v>50</v>
      </c>
      <c r="D8734" t="s">
        <v>13344</v>
      </c>
      <c r="E8734" t="s">
        <v>13345</v>
      </c>
      <c r="F8734" t="s">
        <v>995</v>
      </c>
      <c r="G8734" t="s">
        <v>237</v>
      </c>
      <c r="H8734" t="str">
        <f>" "</f>
        <v xml:space="preserve"> </v>
      </c>
      <c r="K8734">
        <v>6982038995</v>
      </c>
      <c r="M8734" t="s">
        <v>13346</v>
      </c>
      <c r="N8734" t="s">
        <v>8694</v>
      </c>
      <c r="O8734" t="s">
        <v>8695</v>
      </c>
      <c r="R8734" t="s">
        <v>159</v>
      </c>
      <c r="S8734">
        <v>1</v>
      </c>
      <c r="T8734" t="s">
        <v>8835</v>
      </c>
      <c r="U8734" s="1">
        <v>43348</v>
      </c>
      <c r="V8734" t="s">
        <v>66</v>
      </c>
      <c r="W8734" t="s">
        <v>67</v>
      </c>
      <c r="X8734" t="s">
        <v>58</v>
      </c>
      <c r="Y8734">
        <v>24</v>
      </c>
      <c r="Z8734" t="s">
        <v>59</v>
      </c>
      <c r="AA8734" t="s">
        <v>59</v>
      </c>
      <c r="AB8734" t="s">
        <v>59</v>
      </c>
      <c r="AD8734" t="s">
        <v>59</v>
      </c>
      <c r="AF8734" s="1">
        <v>43348</v>
      </c>
      <c r="AG8734" t="s">
        <v>8645</v>
      </c>
      <c r="AH8734" t="s">
        <v>8646</v>
      </c>
      <c r="AI8734" t="str">
        <f>"9410155"</f>
        <v>9410155</v>
      </c>
      <c r="AJ8734" t="s">
        <v>12663</v>
      </c>
      <c r="AK8734">
        <v>2831028697</v>
      </c>
      <c r="AL8734" t="s">
        <v>12664</v>
      </c>
      <c r="AM8734" t="s">
        <v>64</v>
      </c>
      <c r="AN8734" t="s">
        <v>65</v>
      </c>
      <c r="AO8734" t="s">
        <v>65</v>
      </c>
      <c r="AP8734" t="s">
        <v>65</v>
      </c>
      <c r="AQ8734">
        <v>1</v>
      </c>
      <c r="AR8734" t="s">
        <v>66</v>
      </c>
      <c r="AS8734" t="s">
        <v>67</v>
      </c>
      <c r="AT8734" t="s">
        <v>58</v>
      </c>
      <c r="AU8734" t="s">
        <v>131</v>
      </c>
      <c r="AV8734" t="s">
        <v>132</v>
      </c>
      <c r="AW8734" s="1">
        <v>33907</v>
      </c>
      <c r="AX8734">
        <v>1</v>
      </c>
    </row>
    <row r="8735" spans="1:50">
      <c r="A8735">
        <v>617221</v>
      </c>
      <c r="B8735" t="str">
        <f>"131486310"</f>
        <v>131486310</v>
      </c>
      <c r="C8735" t="s">
        <v>50</v>
      </c>
      <c r="D8735" t="s">
        <v>13347</v>
      </c>
      <c r="E8735" t="s">
        <v>155</v>
      </c>
      <c r="F8735" t="s">
        <v>84</v>
      </c>
      <c r="G8735" t="s">
        <v>1074</v>
      </c>
      <c r="H8735" t="str">
        <f>" "</f>
        <v xml:space="preserve"> </v>
      </c>
      <c r="J8735">
        <v>2102815016</v>
      </c>
      <c r="K8735">
        <v>6977501270</v>
      </c>
      <c r="N8735" t="s">
        <v>615</v>
      </c>
      <c r="O8735" t="s">
        <v>616</v>
      </c>
      <c r="R8735" t="s">
        <v>57</v>
      </c>
      <c r="S8735">
        <v>5</v>
      </c>
      <c r="T8735">
        <v>774</v>
      </c>
      <c r="U8735" s="1">
        <v>39680</v>
      </c>
      <c r="V8735" t="s">
        <v>66</v>
      </c>
      <c r="W8735" t="s">
        <v>67</v>
      </c>
      <c r="X8735" t="s">
        <v>58</v>
      </c>
      <c r="Y8735">
        <v>23</v>
      </c>
      <c r="Z8735" t="s">
        <v>59</v>
      </c>
      <c r="AA8735" t="s">
        <v>59</v>
      </c>
      <c r="AB8735" t="s">
        <v>59</v>
      </c>
      <c r="AC8735" t="s">
        <v>59</v>
      </c>
      <c r="AD8735" t="s">
        <v>59</v>
      </c>
      <c r="AF8735" s="1">
        <v>39681</v>
      </c>
      <c r="AG8735" t="s">
        <v>8645</v>
      </c>
      <c r="AH8735" t="s">
        <v>8646</v>
      </c>
      <c r="AI8735" t="str">
        <f>"9410242"</f>
        <v>9410242</v>
      </c>
      <c r="AJ8735" t="s">
        <v>12796</v>
      </c>
      <c r="AK8735">
        <v>2834023145</v>
      </c>
      <c r="AL8735" t="s">
        <v>12797</v>
      </c>
      <c r="AM8735" t="s">
        <v>64</v>
      </c>
      <c r="AN8735" t="s">
        <v>5672</v>
      </c>
      <c r="AO8735" t="s">
        <v>5673</v>
      </c>
      <c r="AP8735" t="s">
        <v>5689</v>
      </c>
      <c r="AQ8735">
        <v>7</v>
      </c>
      <c r="AR8735" t="s">
        <v>66</v>
      </c>
      <c r="AS8735" t="s">
        <v>67</v>
      </c>
      <c r="AT8735" t="s">
        <v>58</v>
      </c>
      <c r="AU8735" t="s">
        <v>68</v>
      </c>
      <c r="AV8735" t="s">
        <v>69</v>
      </c>
      <c r="AW8735" s="1">
        <v>30688</v>
      </c>
      <c r="AX8735">
        <v>1</v>
      </c>
    </row>
    <row r="8736" spans="1:50">
      <c r="A8736">
        <v>605454</v>
      </c>
      <c r="B8736" t="str">
        <f>"067247574"</f>
        <v>067247574</v>
      </c>
      <c r="C8736" t="s">
        <v>50</v>
      </c>
      <c r="D8736" t="s">
        <v>13348</v>
      </c>
      <c r="E8736" t="s">
        <v>10634</v>
      </c>
      <c r="F8736" t="s">
        <v>414</v>
      </c>
      <c r="G8736" t="s">
        <v>440</v>
      </c>
      <c r="H8736" t="str">
        <f>"ΠΑΠΑΝΙΚΟΛΗ 4 ΑΙΓΑΛΕΩ"</f>
        <v>ΠΑΠΑΝΙΚΟΛΗ 4 ΑΙΓΑΛΕΩ</v>
      </c>
      <c r="I8736">
        <v>12242</v>
      </c>
      <c r="J8736">
        <v>2105310459</v>
      </c>
      <c r="K8736">
        <v>6944964288</v>
      </c>
      <c r="N8736" t="s">
        <v>615</v>
      </c>
      <c r="O8736" t="s">
        <v>616</v>
      </c>
      <c r="R8736" t="s">
        <v>57</v>
      </c>
      <c r="S8736">
        <v>7</v>
      </c>
      <c r="T8736">
        <v>231</v>
      </c>
      <c r="U8736" s="1">
        <v>38230</v>
      </c>
      <c r="V8736" t="s">
        <v>66</v>
      </c>
      <c r="W8736" t="s">
        <v>67</v>
      </c>
      <c r="X8736" t="s">
        <v>58</v>
      </c>
      <c r="Y8736">
        <v>22</v>
      </c>
      <c r="Z8736" t="s">
        <v>59</v>
      </c>
      <c r="AA8736" t="s">
        <v>59</v>
      </c>
      <c r="AB8736" t="s">
        <v>59</v>
      </c>
      <c r="AC8736" t="s">
        <v>59</v>
      </c>
      <c r="AD8736" t="s">
        <v>59</v>
      </c>
      <c r="AF8736" s="1">
        <v>38231</v>
      </c>
      <c r="AG8736" t="s">
        <v>8645</v>
      </c>
      <c r="AH8736" t="s">
        <v>8646</v>
      </c>
      <c r="AI8736" t="str">
        <f>"9410072"</f>
        <v>9410072</v>
      </c>
      <c r="AJ8736" t="s">
        <v>12692</v>
      </c>
      <c r="AK8736">
        <v>2831071264</v>
      </c>
      <c r="AL8736" t="s">
        <v>12693</v>
      </c>
      <c r="AM8736" t="s">
        <v>64</v>
      </c>
      <c r="AN8736" t="s">
        <v>65</v>
      </c>
      <c r="AO8736" t="s">
        <v>12694</v>
      </c>
      <c r="AP8736" t="s">
        <v>12695</v>
      </c>
      <c r="AQ8736">
        <v>3</v>
      </c>
      <c r="AR8736" t="s">
        <v>66</v>
      </c>
      <c r="AS8736" t="s">
        <v>67</v>
      </c>
      <c r="AT8736" t="s">
        <v>58</v>
      </c>
      <c r="AU8736" t="s">
        <v>68</v>
      </c>
      <c r="AV8736" t="s">
        <v>69</v>
      </c>
      <c r="AW8736" s="1">
        <v>26817</v>
      </c>
      <c r="AX8736">
        <v>1</v>
      </c>
    </row>
    <row r="8737" spans="1:50">
      <c r="A8737">
        <v>618022</v>
      </c>
      <c r="B8737" t="str">
        <f>"134007252"</f>
        <v>134007252</v>
      </c>
      <c r="C8737" t="s">
        <v>50</v>
      </c>
      <c r="D8737" t="s">
        <v>7811</v>
      </c>
      <c r="E8737" t="s">
        <v>13349</v>
      </c>
      <c r="F8737" t="s">
        <v>72</v>
      </c>
      <c r="G8737" t="s">
        <v>83</v>
      </c>
      <c r="H8737" t="str">
        <f>"ΒΑΘΥ ΙΘΑΚΗ"</f>
        <v>ΒΑΘΥ ΙΘΑΚΗ</v>
      </c>
      <c r="I8737">
        <v>28300</v>
      </c>
      <c r="J8737">
        <v>2674033510</v>
      </c>
      <c r="K8737">
        <v>6946990512</v>
      </c>
      <c r="N8737" t="s">
        <v>615</v>
      </c>
      <c r="O8737" t="s">
        <v>616</v>
      </c>
      <c r="R8737" t="s">
        <v>57</v>
      </c>
      <c r="S8737">
        <v>5</v>
      </c>
      <c r="T8737">
        <v>774</v>
      </c>
      <c r="U8737" s="1">
        <v>39680</v>
      </c>
      <c r="V8737" t="s">
        <v>66</v>
      </c>
      <c r="W8737" t="s">
        <v>67</v>
      </c>
      <c r="X8737" t="s">
        <v>58</v>
      </c>
      <c r="Y8737">
        <v>23</v>
      </c>
      <c r="Z8737" t="s">
        <v>59</v>
      </c>
      <c r="AA8737" t="s">
        <v>59</v>
      </c>
      <c r="AB8737" t="s">
        <v>59</v>
      </c>
      <c r="AC8737" t="s">
        <v>59</v>
      </c>
      <c r="AD8737" t="s">
        <v>59</v>
      </c>
      <c r="AF8737" s="1">
        <v>39681</v>
      </c>
      <c r="AG8737" t="s">
        <v>8645</v>
      </c>
      <c r="AH8737" t="s">
        <v>8646</v>
      </c>
      <c r="AI8737" t="str">
        <f>"9410072"</f>
        <v>9410072</v>
      </c>
      <c r="AJ8737" t="s">
        <v>12692</v>
      </c>
      <c r="AK8737">
        <v>2831071264</v>
      </c>
      <c r="AL8737" t="s">
        <v>12693</v>
      </c>
      <c r="AM8737" t="s">
        <v>64</v>
      </c>
      <c r="AN8737" t="s">
        <v>65</v>
      </c>
      <c r="AO8737" t="s">
        <v>12694</v>
      </c>
      <c r="AP8737" t="s">
        <v>12695</v>
      </c>
      <c r="AQ8737">
        <v>3</v>
      </c>
      <c r="AR8737" t="s">
        <v>66</v>
      </c>
      <c r="AS8737" t="s">
        <v>67</v>
      </c>
      <c r="AT8737" t="s">
        <v>58</v>
      </c>
      <c r="AU8737" t="s">
        <v>68</v>
      </c>
      <c r="AV8737" t="s">
        <v>69</v>
      </c>
      <c r="AW8737" s="1">
        <v>30887</v>
      </c>
      <c r="AX8737">
        <v>1</v>
      </c>
    </row>
    <row r="8738" spans="1:50">
      <c r="A8738">
        <v>623019</v>
      </c>
      <c r="B8738" t="str">
        <f>"067517253"</f>
        <v>067517253</v>
      </c>
      <c r="C8738" t="s">
        <v>50</v>
      </c>
      <c r="D8738" t="s">
        <v>13350</v>
      </c>
      <c r="E8738" t="s">
        <v>3757</v>
      </c>
      <c r="F8738" t="s">
        <v>84</v>
      </c>
      <c r="G8738" t="s">
        <v>600</v>
      </c>
      <c r="H8738" t="str">
        <f>"ΑΝΔΡΕΑ ΠΑΠΑΝΔΡΕΟΥ  65 ΚΑΡΔΙΤΣΑ"</f>
        <v>ΑΝΔΡΕΑ ΠΑΠΑΝΔΡΕΟΥ  65 ΚΑΡΔΙΤΣΑ</v>
      </c>
      <c r="I8738">
        <v>43100</v>
      </c>
      <c r="J8738">
        <v>2441024934</v>
      </c>
      <c r="K8738">
        <v>6972035736</v>
      </c>
      <c r="M8738" t="s">
        <v>13351</v>
      </c>
      <c r="N8738" t="s">
        <v>306</v>
      </c>
      <c r="O8738" t="s">
        <v>307</v>
      </c>
      <c r="R8738" t="s">
        <v>57</v>
      </c>
      <c r="S8738">
        <v>7</v>
      </c>
      <c r="T8738">
        <v>720</v>
      </c>
      <c r="U8738" s="1">
        <v>40059</v>
      </c>
      <c r="V8738" t="s">
        <v>66</v>
      </c>
      <c r="W8738" t="s">
        <v>67</v>
      </c>
      <c r="X8738" t="s">
        <v>58</v>
      </c>
      <c r="Y8738">
        <v>23</v>
      </c>
      <c r="Z8738" t="s">
        <v>59</v>
      </c>
      <c r="AA8738" t="s">
        <v>59</v>
      </c>
      <c r="AB8738" t="s">
        <v>59</v>
      </c>
      <c r="AC8738" t="s">
        <v>59</v>
      </c>
      <c r="AD8738" t="s">
        <v>59</v>
      </c>
      <c r="AF8738" s="1">
        <v>40063</v>
      </c>
      <c r="AG8738" t="s">
        <v>8645</v>
      </c>
      <c r="AH8738" t="s">
        <v>8646</v>
      </c>
      <c r="AI8738" t="str">
        <f>"9410065"</f>
        <v>9410065</v>
      </c>
      <c r="AJ8738" t="s">
        <v>12717</v>
      </c>
      <c r="AK8738">
        <v>2831022519</v>
      </c>
      <c r="AL8738" t="s">
        <v>12718</v>
      </c>
      <c r="AM8738" t="s">
        <v>64</v>
      </c>
      <c r="AN8738" t="s">
        <v>65</v>
      </c>
      <c r="AO8738" t="s">
        <v>65</v>
      </c>
      <c r="AP8738" t="s">
        <v>65</v>
      </c>
      <c r="AQ8738">
        <v>1</v>
      </c>
      <c r="AR8738" t="s">
        <v>66</v>
      </c>
      <c r="AS8738" t="s">
        <v>67</v>
      </c>
      <c r="AT8738" t="s">
        <v>58</v>
      </c>
      <c r="AU8738" t="s">
        <v>68</v>
      </c>
      <c r="AV8738" t="s">
        <v>69</v>
      </c>
      <c r="AW8738" s="1">
        <v>30228</v>
      </c>
      <c r="AX8738">
        <v>1</v>
      </c>
    </row>
    <row r="8739" spans="1:50">
      <c r="A8739">
        <v>618437</v>
      </c>
      <c r="B8739" t="str">
        <f>"117906099"</f>
        <v>117906099</v>
      </c>
      <c r="C8739" t="s">
        <v>50</v>
      </c>
      <c r="D8739" t="s">
        <v>2718</v>
      </c>
      <c r="E8739" t="s">
        <v>8969</v>
      </c>
      <c r="F8739" t="s">
        <v>377</v>
      </c>
      <c r="G8739" t="s">
        <v>1114</v>
      </c>
      <c r="H8739" t="str">
        <f>"ΚΑΛΟΝΥΧΤΗ ΡΕΘΥΜΝΟ"</f>
        <v>ΚΑΛΟΝΥΧΤΗ ΡΕΘΥΜΝΟ</v>
      </c>
      <c r="I8739">
        <v>74100</v>
      </c>
      <c r="J8739">
        <v>2831091414</v>
      </c>
      <c r="K8739">
        <v>6977780532</v>
      </c>
      <c r="N8739" t="s">
        <v>615</v>
      </c>
      <c r="O8739" t="s">
        <v>616</v>
      </c>
      <c r="R8739" t="s">
        <v>57</v>
      </c>
      <c r="S8739">
        <v>5</v>
      </c>
      <c r="T8739">
        <v>774</v>
      </c>
      <c r="U8739" s="1">
        <v>39680</v>
      </c>
      <c r="V8739" t="s">
        <v>66</v>
      </c>
      <c r="W8739" t="s">
        <v>67</v>
      </c>
      <c r="X8739" t="s">
        <v>58</v>
      </c>
      <c r="Y8739">
        <v>23</v>
      </c>
      <c r="Z8739" t="s">
        <v>59</v>
      </c>
      <c r="AA8739" t="s">
        <v>59</v>
      </c>
      <c r="AB8739" t="s">
        <v>59</v>
      </c>
      <c r="AC8739" t="s">
        <v>59</v>
      </c>
      <c r="AD8739" t="s">
        <v>59</v>
      </c>
      <c r="AF8739" s="1">
        <v>39682</v>
      </c>
      <c r="AG8739" t="s">
        <v>8645</v>
      </c>
      <c r="AH8739" t="s">
        <v>8646</v>
      </c>
      <c r="AI8739" t="str">
        <f>"9410150"</f>
        <v>9410150</v>
      </c>
      <c r="AJ8739" t="s">
        <v>12733</v>
      </c>
      <c r="AK8739">
        <v>2831052969</v>
      </c>
      <c r="AL8739" t="s">
        <v>12734</v>
      </c>
      <c r="AM8739" t="s">
        <v>64</v>
      </c>
      <c r="AN8739" t="s">
        <v>65</v>
      </c>
      <c r="AO8739" t="s">
        <v>65</v>
      </c>
      <c r="AP8739" t="s">
        <v>65</v>
      </c>
      <c r="AQ8739">
        <v>1</v>
      </c>
      <c r="AR8739" t="s">
        <v>66</v>
      </c>
      <c r="AS8739" t="s">
        <v>67</v>
      </c>
      <c r="AT8739" t="s">
        <v>58</v>
      </c>
      <c r="AU8739" t="s">
        <v>68</v>
      </c>
      <c r="AV8739" t="s">
        <v>69</v>
      </c>
      <c r="AW8739" s="1">
        <v>30956</v>
      </c>
      <c r="AX8739">
        <v>1</v>
      </c>
    </row>
    <row r="8740" spans="1:50">
      <c r="B8740" t="str">
        <f>"144020442"</f>
        <v>144020442</v>
      </c>
      <c r="C8740" t="s">
        <v>50</v>
      </c>
      <c r="D8740" t="s">
        <v>10680</v>
      </c>
      <c r="E8740" t="s">
        <v>714</v>
      </c>
      <c r="F8740" t="s">
        <v>154</v>
      </c>
      <c r="G8740" t="s">
        <v>191</v>
      </c>
      <c r="H8740" t="str">
        <f>" "</f>
        <v xml:space="preserve"> </v>
      </c>
      <c r="N8740" t="s">
        <v>1525</v>
      </c>
      <c r="O8740" t="s">
        <v>1526</v>
      </c>
      <c r="R8740" t="s">
        <v>159</v>
      </c>
      <c r="S8740">
        <v>1</v>
      </c>
      <c r="T8740" t="s">
        <v>8670</v>
      </c>
      <c r="U8740" s="1">
        <v>43348</v>
      </c>
      <c r="V8740" t="s">
        <v>66</v>
      </c>
      <c r="W8740" t="s">
        <v>67</v>
      </c>
      <c r="X8740" t="s">
        <v>58</v>
      </c>
      <c r="Y8740">
        <v>25</v>
      </c>
      <c r="Z8740" t="s">
        <v>59</v>
      </c>
      <c r="AA8740" t="s">
        <v>59</v>
      </c>
      <c r="AB8740" t="s">
        <v>59</v>
      </c>
      <c r="AD8740" t="s">
        <v>59</v>
      </c>
      <c r="AF8740" s="1">
        <v>43348</v>
      </c>
      <c r="AG8740" t="s">
        <v>8651</v>
      </c>
      <c r="AH8740" t="s">
        <v>8652</v>
      </c>
      <c r="AI8740" t="str">
        <f>"9520949"</f>
        <v>9520949</v>
      </c>
      <c r="AJ8740" t="s">
        <v>12818</v>
      </c>
      <c r="AK8740">
        <v>2831031424</v>
      </c>
      <c r="AL8740" t="s">
        <v>12819</v>
      </c>
      <c r="AM8740" t="s">
        <v>64</v>
      </c>
      <c r="AN8740" t="s">
        <v>65</v>
      </c>
      <c r="AO8740" t="s">
        <v>5720</v>
      </c>
      <c r="AP8740" t="s">
        <v>5721</v>
      </c>
      <c r="AQ8740">
        <v>2</v>
      </c>
      <c r="AR8740" t="s">
        <v>66</v>
      </c>
      <c r="AS8740" t="s">
        <v>67</v>
      </c>
      <c r="AT8740" t="s">
        <v>58</v>
      </c>
      <c r="AU8740" t="s">
        <v>8673</v>
      </c>
      <c r="AV8740" t="s">
        <v>132</v>
      </c>
      <c r="AW8740" s="1">
        <v>32070</v>
      </c>
      <c r="AX8740">
        <v>1</v>
      </c>
    </row>
    <row r="8741" spans="1:50">
      <c r="A8741">
        <v>571052</v>
      </c>
      <c r="B8741" t="str">
        <f>"063539291"</f>
        <v>063539291</v>
      </c>
      <c r="C8741" t="s">
        <v>50</v>
      </c>
      <c r="D8741" t="s">
        <v>106</v>
      </c>
      <c r="E8741" t="s">
        <v>83</v>
      </c>
      <c r="F8741" t="s">
        <v>995</v>
      </c>
      <c r="G8741" t="s">
        <v>1510</v>
      </c>
      <c r="H8741" t="str">
        <f>"ΜΥΚΗΝΩΝ 4 ΒΟΥΛΑ"</f>
        <v>ΜΥΚΗΝΩΝ 4 ΒΟΥΛΑ</v>
      </c>
      <c r="I8741">
        <v>16673</v>
      </c>
      <c r="J8741">
        <v>2108952552</v>
      </c>
      <c r="K8741">
        <v>6996782117</v>
      </c>
      <c r="N8741" t="s">
        <v>615</v>
      </c>
      <c r="O8741" t="s">
        <v>616</v>
      </c>
      <c r="R8741" t="s">
        <v>57</v>
      </c>
      <c r="S8741">
        <v>13</v>
      </c>
      <c r="T8741">
        <v>138</v>
      </c>
      <c r="U8741" s="1">
        <v>34206</v>
      </c>
      <c r="V8741" t="s">
        <v>66</v>
      </c>
      <c r="W8741" t="s">
        <v>67</v>
      </c>
      <c r="X8741" t="s">
        <v>58</v>
      </c>
      <c r="Y8741">
        <v>21</v>
      </c>
      <c r="Z8741" t="s">
        <v>59</v>
      </c>
      <c r="AA8741" t="s">
        <v>59</v>
      </c>
      <c r="AB8741" t="s">
        <v>59</v>
      </c>
      <c r="AC8741" t="s">
        <v>59</v>
      </c>
      <c r="AD8741" t="s">
        <v>59</v>
      </c>
      <c r="AF8741" s="1">
        <v>34206</v>
      </c>
      <c r="AG8741" t="s">
        <v>8645</v>
      </c>
      <c r="AH8741" t="s">
        <v>8646</v>
      </c>
      <c r="AI8741" t="str">
        <f>"9410169"</f>
        <v>9410169</v>
      </c>
      <c r="AJ8741" t="s">
        <v>12936</v>
      </c>
      <c r="AK8741">
        <v>2831031123</v>
      </c>
      <c r="AL8741" t="s">
        <v>12937</v>
      </c>
      <c r="AM8741" t="s">
        <v>64</v>
      </c>
      <c r="AN8741" t="s">
        <v>65</v>
      </c>
      <c r="AO8741" t="s">
        <v>5720</v>
      </c>
      <c r="AP8741" t="s">
        <v>12938</v>
      </c>
      <c r="AQ8741">
        <v>2</v>
      </c>
      <c r="AR8741" t="s">
        <v>66</v>
      </c>
      <c r="AS8741" t="s">
        <v>67</v>
      </c>
      <c r="AT8741" t="s">
        <v>58</v>
      </c>
      <c r="AU8741" t="s">
        <v>68</v>
      </c>
      <c r="AV8741" t="s">
        <v>69</v>
      </c>
      <c r="AW8741" s="1">
        <v>23565</v>
      </c>
      <c r="AX8741">
        <v>1</v>
      </c>
    </row>
    <row r="8742" spans="1:50">
      <c r="A8742">
        <v>585822</v>
      </c>
      <c r="B8742" t="str">
        <f>"054417321"</f>
        <v>054417321</v>
      </c>
      <c r="C8742" t="s">
        <v>105</v>
      </c>
      <c r="D8742" t="s">
        <v>7815</v>
      </c>
      <c r="E8742" t="s">
        <v>995</v>
      </c>
      <c r="F8742" t="s">
        <v>154</v>
      </c>
      <c r="G8742" t="s">
        <v>7914</v>
      </c>
      <c r="H8742" t="str">
        <f>"Προφήτη Ηλία 110  Χαλέπα ΧΑΝΙΑ"</f>
        <v>Προφήτη Ηλία 110  Χαλέπα ΧΑΝΙΑ</v>
      </c>
      <c r="I8742">
        <v>14234</v>
      </c>
      <c r="J8742">
        <v>2102791060</v>
      </c>
      <c r="K8742">
        <v>6945312937</v>
      </c>
      <c r="M8742" t="s">
        <v>13352</v>
      </c>
      <c r="N8742" t="s">
        <v>615</v>
      </c>
      <c r="O8742" t="s">
        <v>616</v>
      </c>
      <c r="R8742" t="s">
        <v>57</v>
      </c>
      <c r="S8742">
        <v>11</v>
      </c>
      <c r="T8742">
        <v>165</v>
      </c>
      <c r="U8742" s="1">
        <v>36040</v>
      </c>
      <c r="V8742" t="s">
        <v>66</v>
      </c>
      <c r="W8742" t="s">
        <v>67</v>
      </c>
      <c r="X8742" t="s">
        <v>58</v>
      </c>
      <c r="Y8742">
        <v>21</v>
      </c>
      <c r="Z8742" t="s">
        <v>59</v>
      </c>
      <c r="AA8742" t="s">
        <v>59</v>
      </c>
      <c r="AB8742" t="s">
        <v>452</v>
      </c>
      <c r="AC8742" t="s">
        <v>59</v>
      </c>
      <c r="AD8742" t="s">
        <v>59</v>
      </c>
      <c r="AF8742" s="1">
        <v>36040</v>
      </c>
      <c r="AG8742" t="s">
        <v>8645</v>
      </c>
      <c r="AH8742" t="s">
        <v>8646</v>
      </c>
      <c r="AI8742" t="str">
        <f>"9410167"</f>
        <v>9410167</v>
      </c>
      <c r="AJ8742" t="s">
        <v>12911</v>
      </c>
      <c r="AK8742">
        <v>2831031455</v>
      </c>
      <c r="AL8742" t="s">
        <v>12912</v>
      </c>
      <c r="AM8742" t="s">
        <v>64</v>
      </c>
      <c r="AN8742" t="s">
        <v>65</v>
      </c>
      <c r="AO8742" t="s">
        <v>5720</v>
      </c>
      <c r="AP8742" t="s">
        <v>12913</v>
      </c>
      <c r="AQ8742">
        <v>2</v>
      </c>
      <c r="AR8742" t="s">
        <v>66</v>
      </c>
      <c r="AS8742" t="s">
        <v>67</v>
      </c>
      <c r="AT8742" t="s">
        <v>58</v>
      </c>
      <c r="AU8742" t="s">
        <v>68</v>
      </c>
      <c r="AV8742" t="s">
        <v>69</v>
      </c>
      <c r="AW8742" s="1">
        <v>23639</v>
      </c>
      <c r="AX8742">
        <v>1</v>
      </c>
    </row>
    <row r="8743" spans="1:50">
      <c r="B8743" t="str">
        <f>"148548092"</f>
        <v>148548092</v>
      </c>
      <c r="C8743" t="s">
        <v>50</v>
      </c>
      <c r="D8743" t="s">
        <v>5126</v>
      </c>
      <c r="E8743" t="s">
        <v>73</v>
      </c>
      <c r="F8743" t="s">
        <v>1062</v>
      </c>
      <c r="G8743" t="s">
        <v>714</v>
      </c>
      <c r="H8743" t="str">
        <f>"Δ.Δ. ΠΡΩΤΟΧΩΡΙΟΥ "</f>
        <v xml:space="preserve">Δ.Δ. ΠΡΩΤΟΧΩΡΙΟΥ </v>
      </c>
      <c r="I8743">
        <v>50100</v>
      </c>
      <c r="J8743">
        <v>2461099537</v>
      </c>
      <c r="K8743">
        <v>6947346515</v>
      </c>
      <c r="N8743" t="s">
        <v>615</v>
      </c>
      <c r="O8743" t="s">
        <v>616</v>
      </c>
      <c r="R8743" t="s">
        <v>159</v>
      </c>
      <c r="S8743">
        <v>3</v>
      </c>
      <c r="T8743" t="s">
        <v>8675</v>
      </c>
      <c r="U8743" s="1">
        <v>43348</v>
      </c>
      <c r="V8743" t="s">
        <v>66</v>
      </c>
      <c r="W8743" t="s">
        <v>67</v>
      </c>
      <c r="X8743" t="s">
        <v>58</v>
      </c>
      <c r="Y8743">
        <v>24</v>
      </c>
      <c r="Z8743" t="s">
        <v>59</v>
      </c>
      <c r="AA8743" t="s">
        <v>59</v>
      </c>
      <c r="AB8743" t="s">
        <v>59</v>
      </c>
      <c r="AC8743" t="s">
        <v>59</v>
      </c>
      <c r="AD8743" t="s">
        <v>59</v>
      </c>
      <c r="AF8743" s="1">
        <v>43348</v>
      </c>
      <c r="AG8743" t="s">
        <v>8645</v>
      </c>
      <c r="AH8743" t="s">
        <v>8646</v>
      </c>
      <c r="AI8743" t="str">
        <f>"9410114"</f>
        <v>9410114</v>
      </c>
      <c r="AJ8743" t="s">
        <v>12877</v>
      </c>
      <c r="AK8743">
        <v>2832031291</v>
      </c>
      <c r="AL8743" t="s">
        <v>12878</v>
      </c>
      <c r="AM8743" t="s">
        <v>64</v>
      </c>
      <c r="AN8743" t="s">
        <v>5882</v>
      </c>
      <c r="AO8743" t="s">
        <v>6099</v>
      </c>
      <c r="AP8743" t="s">
        <v>12815</v>
      </c>
      <c r="AQ8743">
        <v>5</v>
      </c>
      <c r="AR8743" t="s">
        <v>66</v>
      </c>
      <c r="AS8743" t="s">
        <v>67</v>
      </c>
      <c r="AT8743" t="s">
        <v>58</v>
      </c>
      <c r="AU8743" t="s">
        <v>8673</v>
      </c>
      <c r="AV8743" t="s">
        <v>132</v>
      </c>
      <c r="AW8743" s="1">
        <v>32021</v>
      </c>
      <c r="AX8743">
        <v>1</v>
      </c>
    </row>
    <row r="8744" spans="1:50">
      <c r="A8744">
        <v>552059</v>
      </c>
      <c r="B8744" t="str">
        <f>"028049327"</f>
        <v>028049327</v>
      </c>
      <c r="C8744" t="s">
        <v>50</v>
      </c>
      <c r="D8744" t="s">
        <v>10695</v>
      </c>
      <c r="E8744" t="s">
        <v>83</v>
      </c>
      <c r="F8744" t="s">
        <v>383</v>
      </c>
      <c r="G8744" t="s">
        <v>888</v>
      </c>
      <c r="H8744" t="str">
        <f>"Μάχης Ποταμών 8 Ρέθυμνο"</f>
        <v>Μάχης Ποταμών 8 Ρέθυμνο</v>
      </c>
      <c r="I8744">
        <v>74100</v>
      </c>
      <c r="J8744">
        <v>2831041595</v>
      </c>
      <c r="K8744">
        <v>6972146595</v>
      </c>
      <c r="M8744" t="s">
        <v>13353</v>
      </c>
      <c r="N8744" t="s">
        <v>615</v>
      </c>
      <c r="O8744" t="s">
        <v>616</v>
      </c>
      <c r="R8744" t="s">
        <v>57</v>
      </c>
      <c r="S8744">
        <v>17</v>
      </c>
      <c r="T8744">
        <v>271</v>
      </c>
      <c r="U8744" s="1">
        <v>30923</v>
      </c>
      <c r="V8744" t="s">
        <v>66</v>
      </c>
      <c r="W8744" t="s">
        <v>67</v>
      </c>
      <c r="X8744" t="s">
        <v>58</v>
      </c>
      <c r="Y8744">
        <v>21</v>
      </c>
      <c r="Z8744" t="s">
        <v>59</v>
      </c>
      <c r="AA8744" t="s">
        <v>59</v>
      </c>
      <c r="AB8744" t="s">
        <v>59</v>
      </c>
      <c r="AC8744" t="s">
        <v>59</v>
      </c>
      <c r="AD8744" t="s">
        <v>59</v>
      </c>
      <c r="AF8744" s="1">
        <v>30928</v>
      </c>
      <c r="AG8744" t="s">
        <v>8645</v>
      </c>
      <c r="AH8744" t="s">
        <v>8646</v>
      </c>
      <c r="AI8744" t="str">
        <f>"9410160"</f>
        <v>9410160</v>
      </c>
      <c r="AJ8744" t="s">
        <v>12689</v>
      </c>
      <c r="AK8744">
        <v>2831041098</v>
      </c>
      <c r="AL8744" t="s">
        <v>12690</v>
      </c>
      <c r="AM8744" t="s">
        <v>64</v>
      </c>
      <c r="AN8744" t="s">
        <v>65</v>
      </c>
      <c r="AO8744" t="s">
        <v>65</v>
      </c>
      <c r="AP8744" t="s">
        <v>11883</v>
      </c>
      <c r="AQ8744">
        <v>2</v>
      </c>
      <c r="AR8744" t="s">
        <v>66</v>
      </c>
      <c r="AS8744" t="s">
        <v>67</v>
      </c>
      <c r="AT8744" t="s">
        <v>58</v>
      </c>
      <c r="AU8744" t="s">
        <v>68</v>
      </c>
      <c r="AV8744" t="s">
        <v>69</v>
      </c>
      <c r="AW8744" s="1">
        <v>22507</v>
      </c>
      <c r="AX8744">
        <v>1</v>
      </c>
    </row>
    <row r="8745" spans="1:50">
      <c r="A8745">
        <v>606376</v>
      </c>
      <c r="B8745" t="str">
        <f>"100050553"</f>
        <v>100050553</v>
      </c>
      <c r="C8745" t="s">
        <v>50</v>
      </c>
      <c r="D8745" t="s">
        <v>10695</v>
      </c>
      <c r="E8745" t="s">
        <v>114</v>
      </c>
      <c r="F8745" t="s">
        <v>95</v>
      </c>
      <c r="G8745" t="s">
        <v>83</v>
      </c>
      <c r="H8745" t="str">
        <f>"ΠΑΤΡΙΑΡΧΟΥ ΑΘΗΝΑΓΟΡΑ 18 ΡΕΘΥΜΝΟ"</f>
        <v>ΠΑΤΡΙΑΡΧΟΥ ΑΘΗΝΑΓΟΡΑ 18 ΡΕΘΥΜΝΟ</v>
      </c>
      <c r="I8745">
        <v>74100</v>
      </c>
      <c r="J8745">
        <v>2831024402</v>
      </c>
      <c r="K8745">
        <v>6972877593</v>
      </c>
      <c r="M8745" t="s">
        <v>13354</v>
      </c>
      <c r="N8745" t="s">
        <v>1525</v>
      </c>
      <c r="O8745" t="s">
        <v>1526</v>
      </c>
      <c r="R8745" t="s">
        <v>57</v>
      </c>
      <c r="S8745">
        <v>7</v>
      </c>
      <c r="T8745">
        <v>231</v>
      </c>
      <c r="U8745" s="1">
        <v>38230</v>
      </c>
      <c r="V8745" t="s">
        <v>66</v>
      </c>
      <c r="W8745" t="s">
        <v>67</v>
      </c>
      <c r="X8745" t="s">
        <v>58</v>
      </c>
      <c r="Y8745">
        <v>25</v>
      </c>
      <c r="Z8745" t="s">
        <v>59</v>
      </c>
      <c r="AA8745" t="s">
        <v>59</v>
      </c>
      <c r="AB8745" t="s">
        <v>59</v>
      </c>
      <c r="AC8745" t="s">
        <v>59</v>
      </c>
      <c r="AD8745" t="s">
        <v>59</v>
      </c>
      <c r="AF8745" s="1">
        <v>38231</v>
      </c>
      <c r="AG8745" t="s">
        <v>8651</v>
      </c>
      <c r="AH8745" t="s">
        <v>8652</v>
      </c>
      <c r="AI8745" t="str">
        <f>"9410228"</f>
        <v>9410228</v>
      </c>
      <c r="AJ8745" t="s">
        <v>12946</v>
      </c>
      <c r="AK8745">
        <v>2831071202</v>
      </c>
      <c r="AL8745" t="s">
        <v>12947</v>
      </c>
      <c r="AM8745" t="s">
        <v>64</v>
      </c>
      <c r="AN8745" t="s">
        <v>65</v>
      </c>
      <c r="AO8745" t="s">
        <v>12694</v>
      </c>
      <c r="AP8745" t="s">
        <v>12948</v>
      </c>
      <c r="AQ8745">
        <v>3</v>
      </c>
      <c r="AR8745" t="s">
        <v>66</v>
      </c>
      <c r="AS8745" t="s">
        <v>67</v>
      </c>
      <c r="AT8745" t="s">
        <v>58</v>
      </c>
      <c r="AU8745" t="s">
        <v>68</v>
      </c>
      <c r="AV8745" t="s">
        <v>69</v>
      </c>
      <c r="AW8745" s="1">
        <v>28801</v>
      </c>
      <c r="AX8745">
        <v>1</v>
      </c>
    </row>
    <row r="8746" spans="1:50">
      <c r="A8746">
        <v>701388</v>
      </c>
      <c r="B8746" t="str">
        <f>"134576960"</f>
        <v>134576960</v>
      </c>
      <c r="C8746" t="s">
        <v>105</v>
      </c>
      <c r="D8746" t="s">
        <v>13355</v>
      </c>
      <c r="E8746" t="s">
        <v>99</v>
      </c>
      <c r="F8746" t="s">
        <v>106</v>
      </c>
      <c r="G8746" t="s">
        <v>476</v>
      </c>
      <c r="H8746" t="str">
        <f>"ΜΟΥΔΑΝΙΩΝ 2 ΔΡΑΜΑ"</f>
        <v>ΜΟΥΔΑΝΙΩΝ 2 ΔΡΑΜΑ</v>
      </c>
      <c r="I8746">
        <v>66100</v>
      </c>
      <c r="J8746">
        <v>2521035669</v>
      </c>
      <c r="K8746">
        <v>6974940135</v>
      </c>
      <c r="M8746" t="s">
        <v>13356</v>
      </c>
      <c r="N8746" t="s">
        <v>615</v>
      </c>
      <c r="O8746" t="s">
        <v>616</v>
      </c>
      <c r="R8746" t="s">
        <v>57</v>
      </c>
      <c r="S8746">
        <v>4</v>
      </c>
      <c r="T8746">
        <v>772</v>
      </c>
      <c r="U8746" s="1">
        <v>40413</v>
      </c>
      <c r="V8746" t="s">
        <v>66</v>
      </c>
      <c r="W8746" t="s">
        <v>67</v>
      </c>
      <c r="X8746" t="s">
        <v>58</v>
      </c>
      <c r="Y8746">
        <v>24</v>
      </c>
      <c r="Z8746" t="s">
        <v>59</v>
      </c>
      <c r="AA8746" t="s">
        <v>59</v>
      </c>
      <c r="AB8746" t="s">
        <v>59</v>
      </c>
      <c r="AC8746" t="s">
        <v>59</v>
      </c>
      <c r="AD8746" t="s">
        <v>59</v>
      </c>
      <c r="AF8746" s="1">
        <v>40414</v>
      </c>
      <c r="AG8746" t="s">
        <v>8645</v>
      </c>
      <c r="AH8746" t="s">
        <v>8646</v>
      </c>
      <c r="AI8746" t="str">
        <f>"9410051"</f>
        <v>9410051</v>
      </c>
      <c r="AJ8746" t="s">
        <v>12660</v>
      </c>
      <c r="AK8746">
        <v>2834022247</v>
      </c>
      <c r="AL8746" t="s">
        <v>12661</v>
      </c>
      <c r="AM8746" t="s">
        <v>64</v>
      </c>
      <c r="AN8746" t="s">
        <v>5672</v>
      </c>
      <c r="AO8746" t="s">
        <v>5673</v>
      </c>
      <c r="AP8746" t="s">
        <v>5689</v>
      </c>
      <c r="AQ8746">
        <v>7</v>
      </c>
      <c r="AR8746" t="s">
        <v>66</v>
      </c>
      <c r="AS8746" t="s">
        <v>67</v>
      </c>
      <c r="AT8746" t="s">
        <v>58</v>
      </c>
      <c r="AU8746" t="s">
        <v>68</v>
      </c>
      <c r="AV8746" t="s">
        <v>69</v>
      </c>
      <c r="AW8746" s="1">
        <v>31255</v>
      </c>
      <c r="AX8746">
        <v>1</v>
      </c>
    </row>
    <row r="8747" spans="1:50">
      <c r="B8747" t="str">
        <f>"146405718"</f>
        <v>146405718</v>
      </c>
      <c r="C8747" t="s">
        <v>50</v>
      </c>
      <c r="D8747" t="s">
        <v>13357</v>
      </c>
      <c r="E8747" t="s">
        <v>263</v>
      </c>
      <c r="F8747" t="s">
        <v>84</v>
      </c>
      <c r="G8747" t="s">
        <v>964</v>
      </c>
      <c r="H8747" t="str">
        <f>" "</f>
        <v xml:space="preserve"> </v>
      </c>
      <c r="N8747" t="s">
        <v>1525</v>
      </c>
      <c r="O8747" t="s">
        <v>1526</v>
      </c>
      <c r="R8747" t="s">
        <v>159</v>
      </c>
      <c r="S8747">
        <v>2</v>
      </c>
      <c r="T8747" t="s">
        <v>8670</v>
      </c>
      <c r="U8747" s="1">
        <v>43348</v>
      </c>
      <c r="V8747" t="s">
        <v>66</v>
      </c>
      <c r="W8747" t="s">
        <v>67</v>
      </c>
      <c r="X8747" t="s">
        <v>58</v>
      </c>
      <c r="Y8747">
        <v>25</v>
      </c>
      <c r="Z8747" t="s">
        <v>59</v>
      </c>
      <c r="AA8747" t="s">
        <v>59</v>
      </c>
      <c r="AB8747" t="s">
        <v>59</v>
      </c>
      <c r="AD8747" t="s">
        <v>59</v>
      </c>
      <c r="AF8747" s="1">
        <v>43348</v>
      </c>
      <c r="AG8747" t="s">
        <v>8651</v>
      </c>
      <c r="AH8747" t="s">
        <v>8652</v>
      </c>
      <c r="AI8747" t="str">
        <f>"9520775"</f>
        <v>9520775</v>
      </c>
      <c r="AJ8747" t="s">
        <v>13151</v>
      </c>
      <c r="AK8747">
        <v>2833022720</v>
      </c>
      <c r="AL8747" t="s">
        <v>13152</v>
      </c>
      <c r="AM8747" t="s">
        <v>64</v>
      </c>
      <c r="AN8747" t="s">
        <v>5713</v>
      </c>
      <c r="AO8747" t="s">
        <v>5714</v>
      </c>
      <c r="AP8747" t="s">
        <v>5715</v>
      </c>
      <c r="AQ8747">
        <v>5</v>
      </c>
      <c r="AR8747" t="s">
        <v>66</v>
      </c>
      <c r="AS8747" t="s">
        <v>67</v>
      </c>
      <c r="AT8747" t="s">
        <v>58</v>
      </c>
      <c r="AU8747" t="s">
        <v>8673</v>
      </c>
      <c r="AV8747" t="s">
        <v>132</v>
      </c>
      <c r="AW8747" s="1">
        <v>30614</v>
      </c>
      <c r="AX8747">
        <v>1</v>
      </c>
    </row>
    <row r="8748" spans="1:50">
      <c r="A8748">
        <v>703366</v>
      </c>
      <c r="B8748" t="str">
        <f>"131473811"</f>
        <v>131473811</v>
      </c>
      <c r="C8748" t="s">
        <v>105</v>
      </c>
      <c r="D8748" t="s">
        <v>13358</v>
      </c>
      <c r="E8748" t="s">
        <v>670</v>
      </c>
      <c r="F8748" t="s">
        <v>304</v>
      </c>
      <c r="G8748" t="s">
        <v>263</v>
      </c>
      <c r="H8748" t="str">
        <f>"ΡΗΓΑ ΦΕΡΑΙΟΥ 7  ΡΕΘΥΜΝΟ"</f>
        <v>ΡΗΓΑ ΦΕΡΑΙΟΥ 7  ΡΕΘΥΜΝΟ</v>
      </c>
      <c r="I8748">
        <v>74100</v>
      </c>
      <c r="J8748">
        <v>2831023952</v>
      </c>
      <c r="K8748">
        <v>6944106727</v>
      </c>
      <c r="M8748" t="s">
        <v>13359</v>
      </c>
      <c r="N8748" t="s">
        <v>615</v>
      </c>
      <c r="O8748" t="s">
        <v>616</v>
      </c>
      <c r="R8748" t="s">
        <v>57</v>
      </c>
      <c r="S8748">
        <v>4</v>
      </c>
      <c r="T8748">
        <v>588</v>
      </c>
      <c r="U8748" s="1">
        <v>40778</v>
      </c>
      <c r="V8748" t="s">
        <v>66</v>
      </c>
      <c r="W8748" t="s">
        <v>67</v>
      </c>
      <c r="X8748" t="s">
        <v>58</v>
      </c>
      <c r="Y8748">
        <v>25</v>
      </c>
      <c r="Z8748" t="s">
        <v>59</v>
      </c>
      <c r="AA8748" t="s">
        <v>59</v>
      </c>
      <c r="AB8748" t="s">
        <v>59</v>
      </c>
      <c r="AC8748" t="s">
        <v>59</v>
      </c>
      <c r="AD8748" t="s">
        <v>59</v>
      </c>
      <c r="AF8748" s="1">
        <v>40781</v>
      </c>
      <c r="AG8748" t="s">
        <v>8645</v>
      </c>
      <c r="AH8748" t="s">
        <v>8676</v>
      </c>
      <c r="AI8748" t="str">
        <f>"9410041"</f>
        <v>9410041</v>
      </c>
      <c r="AJ8748" t="s">
        <v>12801</v>
      </c>
      <c r="AK8748">
        <v>2834092258</v>
      </c>
      <c r="AL8748" t="s">
        <v>12802</v>
      </c>
      <c r="AM8748" t="s">
        <v>64</v>
      </c>
      <c r="AN8748" t="s">
        <v>5672</v>
      </c>
      <c r="AO8748" t="s">
        <v>5673</v>
      </c>
      <c r="AP8748" t="s">
        <v>12803</v>
      </c>
      <c r="AQ8748">
        <v>8</v>
      </c>
      <c r="AR8748" t="s">
        <v>66</v>
      </c>
      <c r="AS8748" t="s">
        <v>67</v>
      </c>
      <c r="AT8748" t="s">
        <v>58</v>
      </c>
      <c r="AU8748" t="s">
        <v>68</v>
      </c>
      <c r="AV8748" t="s">
        <v>69</v>
      </c>
      <c r="AW8748" s="1">
        <v>31785</v>
      </c>
      <c r="AX8748">
        <v>1</v>
      </c>
    </row>
    <row r="8749" spans="1:50">
      <c r="A8749">
        <v>612742</v>
      </c>
      <c r="B8749" t="str">
        <f>"100093750"</f>
        <v>100093750</v>
      </c>
      <c r="C8749" t="s">
        <v>50</v>
      </c>
      <c r="D8749" t="s">
        <v>2776</v>
      </c>
      <c r="E8749" t="s">
        <v>507</v>
      </c>
      <c r="F8749" t="s">
        <v>95</v>
      </c>
      <c r="G8749" t="s">
        <v>263</v>
      </c>
      <c r="H8749" t="str">
        <f>"ΚΟΛΟΚΟΤΡΩΝΗ Θ. 17 ΡΕΘΥΜΝΟ"</f>
        <v>ΚΟΛΟΚΟΤΡΩΝΗ Θ. 17 ΡΕΘΥΜΝΟ</v>
      </c>
      <c r="I8749">
        <v>74100</v>
      </c>
      <c r="J8749">
        <v>2831056479</v>
      </c>
      <c r="K8749">
        <v>6947614647</v>
      </c>
      <c r="N8749" t="s">
        <v>1525</v>
      </c>
      <c r="O8749" t="s">
        <v>1526</v>
      </c>
      <c r="R8749" t="s">
        <v>57</v>
      </c>
      <c r="S8749">
        <v>6</v>
      </c>
      <c r="T8749">
        <v>254</v>
      </c>
      <c r="U8749" s="1">
        <v>38973</v>
      </c>
      <c r="V8749" t="s">
        <v>66</v>
      </c>
      <c r="W8749" t="s">
        <v>67</v>
      </c>
      <c r="X8749" t="s">
        <v>58</v>
      </c>
      <c r="Y8749">
        <v>25</v>
      </c>
      <c r="Z8749" t="s">
        <v>59</v>
      </c>
      <c r="AA8749" t="s">
        <v>59</v>
      </c>
      <c r="AB8749" t="s">
        <v>59</v>
      </c>
      <c r="AC8749" t="s">
        <v>59</v>
      </c>
      <c r="AD8749" t="s">
        <v>59</v>
      </c>
      <c r="AF8749" s="1">
        <v>38975</v>
      </c>
      <c r="AG8749" t="s">
        <v>8651</v>
      </c>
      <c r="AH8749" t="s">
        <v>8652</v>
      </c>
      <c r="AI8749" t="str">
        <f>"9410264"</f>
        <v>9410264</v>
      </c>
      <c r="AJ8749" t="s">
        <v>13360</v>
      </c>
      <c r="AK8749">
        <v>2834094392</v>
      </c>
      <c r="AL8749" t="s">
        <v>13361</v>
      </c>
      <c r="AM8749" t="s">
        <v>64</v>
      </c>
      <c r="AN8749" t="s">
        <v>5672</v>
      </c>
      <c r="AO8749" t="s">
        <v>5673</v>
      </c>
      <c r="AP8749" t="s">
        <v>13259</v>
      </c>
      <c r="AQ8749">
        <v>10</v>
      </c>
      <c r="AR8749" t="s">
        <v>66</v>
      </c>
      <c r="AS8749" t="s">
        <v>67</v>
      </c>
      <c r="AT8749" t="s">
        <v>58</v>
      </c>
      <c r="AU8749" t="s">
        <v>68</v>
      </c>
      <c r="AV8749" t="s">
        <v>69</v>
      </c>
      <c r="AW8749" s="1">
        <v>27584</v>
      </c>
      <c r="AX8749">
        <v>1</v>
      </c>
    </row>
    <row r="8750" spans="1:50">
      <c r="A8750">
        <v>622223</v>
      </c>
      <c r="B8750" t="str">
        <f>"066531514"</f>
        <v>066531514</v>
      </c>
      <c r="C8750" t="s">
        <v>50</v>
      </c>
      <c r="D8750" t="s">
        <v>6257</v>
      </c>
      <c r="E8750" t="s">
        <v>513</v>
      </c>
      <c r="F8750" t="s">
        <v>2659</v>
      </c>
      <c r="G8750" t="s">
        <v>52</v>
      </c>
      <c r="H8750" t="str">
        <f>"ΠΑΡΟΔΟΣ ΘΗΣΕΩΣ 32 ΚΟΥΜΠΕ ΡΕΘΥΜΝΟ"</f>
        <v>ΠΑΡΟΔΟΣ ΘΗΣΕΩΣ 32 ΚΟΥΜΠΕ ΡΕΘΥΜΝΟ</v>
      </c>
      <c r="I8750">
        <v>74100</v>
      </c>
      <c r="J8750">
        <v>2831024104</v>
      </c>
      <c r="K8750">
        <v>6973382353</v>
      </c>
      <c r="N8750" t="s">
        <v>1525</v>
      </c>
      <c r="O8750" t="s">
        <v>1526</v>
      </c>
      <c r="R8750" t="s">
        <v>57</v>
      </c>
      <c r="S8750">
        <v>10</v>
      </c>
      <c r="T8750">
        <v>653</v>
      </c>
      <c r="U8750" s="1">
        <v>40043</v>
      </c>
      <c r="V8750" t="s">
        <v>66</v>
      </c>
      <c r="W8750" t="s">
        <v>67</v>
      </c>
      <c r="X8750" t="s">
        <v>58</v>
      </c>
      <c r="Y8750">
        <v>25</v>
      </c>
      <c r="Z8750" t="s">
        <v>59</v>
      </c>
      <c r="AA8750" t="s">
        <v>59</v>
      </c>
      <c r="AB8750" t="s">
        <v>59</v>
      </c>
      <c r="AC8750" t="s">
        <v>59</v>
      </c>
      <c r="AD8750" t="s">
        <v>59</v>
      </c>
      <c r="AF8750" s="1">
        <v>40043</v>
      </c>
      <c r="AG8750" t="s">
        <v>8651</v>
      </c>
      <c r="AH8750" t="s">
        <v>8652</v>
      </c>
      <c r="AI8750" t="str">
        <f>"9410066"</f>
        <v>9410066</v>
      </c>
      <c r="AJ8750" t="s">
        <v>12859</v>
      </c>
      <c r="AK8750">
        <v>2831023745</v>
      </c>
      <c r="AL8750" t="s">
        <v>12860</v>
      </c>
      <c r="AM8750" t="s">
        <v>64</v>
      </c>
      <c r="AN8750" t="s">
        <v>65</v>
      </c>
      <c r="AO8750" t="s">
        <v>65</v>
      </c>
      <c r="AP8750" t="s">
        <v>65</v>
      </c>
      <c r="AQ8750">
        <v>1</v>
      </c>
      <c r="AR8750" t="s">
        <v>66</v>
      </c>
      <c r="AS8750" t="s">
        <v>67</v>
      </c>
      <c r="AT8750" t="s">
        <v>58</v>
      </c>
      <c r="AU8750" t="s">
        <v>68</v>
      </c>
      <c r="AV8750" t="s">
        <v>69</v>
      </c>
      <c r="AW8750" s="1">
        <v>24193</v>
      </c>
      <c r="AX8750">
        <v>1</v>
      </c>
    </row>
    <row r="8751" spans="1:50">
      <c r="A8751">
        <v>567306</v>
      </c>
      <c r="B8751" t="str">
        <f>"034435593"</f>
        <v>034435593</v>
      </c>
      <c r="C8751" t="s">
        <v>50</v>
      </c>
      <c r="D8751" t="s">
        <v>6257</v>
      </c>
      <c r="E8751" t="s">
        <v>280</v>
      </c>
      <c r="F8751" t="s">
        <v>106</v>
      </c>
      <c r="G8751" t="s">
        <v>71</v>
      </c>
      <c r="H8751" t="str">
        <f>"ΑΠΟΔΗΜΩΝ ΚΡΗΤΩΝ 6 ΡΕΘΥΜΝΟ"</f>
        <v>ΑΠΟΔΗΜΩΝ ΚΡΗΤΩΝ 6 ΡΕΘΥΜΝΟ</v>
      </c>
      <c r="I8751">
        <v>74100</v>
      </c>
      <c r="J8751">
        <v>2831023013</v>
      </c>
      <c r="K8751">
        <v>6932932643</v>
      </c>
      <c r="M8751" t="s">
        <v>13362</v>
      </c>
      <c r="N8751" t="s">
        <v>615</v>
      </c>
      <c r="O8751" t="s">
        <v>616</v>
      </c>
      <c r="R8751" t="s">
        <v>57</v>
      </c>
      <c r="S8751">
        <v>14</v>
      </c>
      <c r="T8751">
        <v>133</v>
      </c>
      <c r="U8751" s="1">
        <v>33456</v>
      </c>
      <c r="V8751" t="s">
        <v>66</v>
      </c>
      <c r="W8751" t="s">
        <v>67</v>
      </c>
      <c r="X8751" t="s">
        <v>58</v>
      </c>
      <c r="Y8751">
        <v>21</v>
      </c>
      <c r="Z8751" t="s">
        <v>59</v>
      </c>
      <c r="AA8751" t="s">
        <v>59</v>
      </c>
      <c r="AB8751" t="s">
        <v>59</v>
      </c>
      <c r="AC8751" t="s">
        <v>59</v>
      </c>
      <c r="AD8751" t="s">
        <v>59</v>
      </c>
      <c r="AF8751" s="1">
        <v>33486</v>
      </c>
      <c r="AG8751" t="s">
        <v>8645</v>
      </c>
      <c r="AH8751" t="s">
        <v>8646</v>
      </c>
      <c r="AI8751" t="str">
        <f>"9410241"</f>
        <v>9410241</v>
      </c>
      <c r="AJ8751" t="s">
        <v>12783</v>
      </c>
      <c r="AK8751">
        <v>2831022616</v>
      </c>
      <c r="AL8751" t="s">
        <v>12784</v>
      </c>
      <c r="AM8751" t="s">
        <v>64</v>
      </c>
      <c r="AN8751" t="s">
        <v>65</v>
      </c>
      <c r="AO8751" t="s">
        <v>65</v>
      </c>
      <c r="AP8751" t="s">
        <v>65</v>
      </c>
      <c r="AQ8751">
        <v>1</v>
      </c>
      <c r="AR8751" t="s">
        <v>66</v>
      </c>
      <c r="AS8751" t="s">
        <v>67</v>
      </c>
      <c r="AT8751" t="s">
        <v>58</v>
      </c>
      <c r="AU8751" t="s">
        <v>68</v>
      </c>
      <c r="AV8751" t="s">
        <v>69</v>
      </c>
      <c r="AW8751" s="1">
        <v>24116</v>
      </c>
      <c r="AX8751">
        <v>1</v>
      </c>
    </row>
    <row r="8752" spans="1:50">
      <c r="B8752" t="str">
        <f>"154927348"</f>
        <v>154927348</v>
      </c>
      <c r="C8752" t="s">
        <v>50</v>
      </c>
      <c r="D8752" t="s">
        <v>13363</v>
      </c>
      <c r="E8752" t="s">
        <v>396</v>
      </c>
      <c r="F8752" t="s">
        <v>459</v>
      </c>
      <c r="G8752" t="s">
        <v>73</v>
      </c>
      <c r="H8752" t="str">
        <f>" "</f>
        <v xml:space="preserve"> </v>
      </c>
      <c r="N8752" t="s">
        <v>1525</v>
      </c>
      <c r="O8752" t="s">
        <v>1526</v>
      </c>
      <c r="R8752" t="s">
        <v>159</v>
      </c>
      <c r="S8752">
        <v>3</v>
      </c>
      <c r="T8752" t="s">
        <v>10716</v>
      </c>
      <c r="U8752" s="1">
        <v>43377</v>
      </c>
      <c r="V8752" t="s">
        <v>66</v>
      </c>
      <c r="W8752" t="s">
        <v>67</v>
      </c>
      <c r="X8752" t="s">
        <v>58</v>
      </c>
      <c r="Y8752">
        <v>25</v>
      </c>
      <c r="Z8752" t="s">
        <v>59</v>
      </c>
      <c r="AA8752" t="s">
        <v>59</v>
      </c>
      <c r="AB8752" t="s">
        <v>59</v>
      </c>
      <c r="AD8752" t="s">
        <v>59</v>
      </c>
      <c r="AF8752" s="1">
        <v>43377</v>
      </c>
      <c r="AG8752" t="s">
        <v>8651</v>
      </c>
      <c r="AH8752" t="s">
        <v>8652</v>
      </c>
      <c r="AI8752" t="str">
        <f>"9410039"</f>
        <v>9410039</v>
      </c>
      <c r="AJ8752" t="s">
        <v>12871</v>
      </c>
      <c r="AK8752">
        <v>2834061260</v>
      </c>
      <c r="AL8752" t="s">
        <v>12872</v>
      </c>
      <c r="AM8752" t="s">
        <v>64</v>
      </c>
      <c r="AN8752" t="s">
        <v>5672</v>
      </c>
      <c r="AO8752" t="s">
        <v>5698</v>
      </c>
      <c r="AP8752" t="s">
        <v>5699</v>
      </c>
      <c r="AQ8752">
        <v>9</v>
      </c>
      <c r="AR8752" t="s">
        <v>66</v>
      </c>
      <c r="AS8752" t="s">
        <v>67</v>
      </c>
      <c r="AT8752" t="s">
        <v>58</v>
      </c>
      <c r="AU8752" t="s">
        <v>8673</v>
      </c>
      <c r="AV8752" t="s">
        <v>132</v>
      </c>
      <c r="AW8752" s="1">
        <v>32441</v>
      </c>
      <c r="AX8752">
        <v>1</v>
      </c>
    </row>
    <row r="8753" spans="1:50">
      <c r="B8753" t="str">
        <f>"143673861"</f>
        <v>143673861</v>
      </c>
      <c r="C8753" t="s">
        <v>50</v>
      </c>
      <c r="D8753" t="s">
        <v>13364</v>
      </c>
      <c r="E8753" t="s">
        <v>4210</v>
      </c>
      <c r="F8753" t="s">
        <v>13365</v>
      </c>
      <c r="G8753" t="s">
        <v>13366</v>
      </c>
      <c r="H8753" t="str">
        <f>" "</f>
        <v xml:space="preserve"> </v>
      </c>
      <c r="N8753" t="s">
        <v>615</v>
      </c>
      <c r="O8753" t="s">
        <v>616</v>
      </c>
      <c r="R8753" t="s">
        <v>121</v>
      </c>
      <c r="S8753">
        <v>1</v>
      </c>
      <c r="T8753" t="s">
        <v>9034</v>
      </c>
      <c r="U8753" s="1">
        <v>43377</v>
      </c>
      <c r="V8753" t="s">
        <v>66</v>
      </c>
      <c r="W8753" t="s">
        <v>67</v>
      </c>
      <c r="X8753" t="s">
        <v>58</v>
      </c>
      <c r="Y8753">
        <v>24</v>
      </c>
      <c r="Z8753" t="s">
        <v>59</v>
      </c>
      <c r="AA8753" t="s">
        <v>59</v>
      </c>
      <c r="AB8753" t="s">
        <v>59</v>
      </c>
      <c r="AD8753" t="s">
        <v>59</v>
      </c>
      <c r="AF8753" s="1">
        <v>43377</v>
      </c>
      <c r="AG8753" t="s">
        <v>8645</v>
      </c>
      <c r="AH8753" t="s">
        <v>8646</v>
      </c>
      <c r="AI8753" t="str">
        <f>"9410033"</f>
        <v>9410033</v>
      </c>
      <c r="AJ8753" t="s">
        <v>12778</v>
      </c>
      <c r="AK8753">
        <v>2834061210</v>
      </c>
      <c r="AL8753" t="s">
        <v>12779</v>
      </c>
      <c r="AM8753" t="s">
        <v>64</v>
      </c>
      <c r="AN8753" t="s">
        <v>5672</v>
      </c>
      <c r="AO8753" t="s">
        <v>12780</v>
      </c>
      <c r="AP8753" t="s">
        <v>12780</v>
      </c>
      <c r="AQ8753">
        <v>9</v>
      </c>
      <c r="AR8753" t="s">
        <v>66</v>
      </c>
      <c r="AS8753" t="s">
        <v>67</v>
      </c>
      <c r="AT8753" t="s">
        <v>58</v>
      </c>
      <c r="AU8753" t="s">
        <v>8673</v>
      </c>
      <c r="AV8753" t="s">
        <v>132</v>
      </c>
      <c r="AW8753" s="1">
        <v>32093</v>
      </c>
      <c r="AX8753">
        <v>1</v>
      </c>
    </row>
    <row r="8754" spans="1:50">
      <c r="A8754">
        <v>702183</v>
      </c>
      <c r="B8754" t="str">
        <f>"134812449"</f>
        <v>134812449</v>
      </c>
      <c r="C8754" t="s">
        <v>50</v>
      </c>
      <c r="D8754" t="s">
        <v>13367</v>
      </c>
      <c r="E8754" t="s">
        <v>783</v>
      </c>
      <c r="F8754" t="s">
        <v>99</v>
      </c>
      <c r="G8754" t="s">
        <v>1959</v>
      </c>
      <c r="H8754" t="str">
        <f>"ΓΑΛΑΤΑΔΕΣ ΓΙΑΝΝΙΤΣΩΝ "</f>
        <v xml:space="preserve">ΓΑΛΑΤΑΔΕΣ ΓΙΑΝΝΙΤΣΩΝ </v>
      </c>
      <c r="I8754">
        <v>58300</v>
      </c>
      <c r="J8754">
        <v>2831501966</v>
      </c>
      <c r="K8754">
        <v>6956302762</v>
      </c>
      <c r="L8754">
        <v>2382041147</v>
      </c>
      <c r="M8754" t="s">
        <v>13368</v>
      </c>
      <c r="N8754" t="s">
        <v>615</v>
      </c>
      <c r="O8754" t="s">
        <v>616</v>
      </c>
      <c r="R8754" t="s">
        <v>57</v>
      </c>
      <c r="S8754">
        <v>4</v>
      </c>
      <c r="T8754">
        <v>772</v>
      </c>
      <c r="U8754" s="1">
        <v>40413</v>
      </c>
      <c r="V8754" t="s">
        <v>66</v>
      </c>
      <c r="W8754" t="s">
        <v>67</v>
      </c>
      <c r="X8754" t="s">
        <v>58</v>
      </c>
      <c r="Y8754">
        <v>24</v>
      </c>
      <c r="Z8754" t="s">
        <v>59</v>
      </c>
      <c r="AA8754" t="s">
        <v>59</v>
      </c>
      <c r="AB8754" t="s">
        <v>59</v>
      </c>
      <c r="AC8754" t="s">
        <v>59</v>
      </c>
      <c r="AD8754" t="s">
        <v>59</v>
      </c>
      <c r="AF8754" s="1">
        <v>40413</v>
      </c>
      <c r="AG8754" t="s">
        <v>8645</v>
      </c>
      <c r="AH8754" t="s">
        <v>8646</v>
      </c>
      <c r="AI8754" t="str">
        <f>"9410051"</f>
        <v>9410051</v>
      </c>
      <c r="AJ8754" t="s">
        <v>12660</v>
      </c>
      <c r="AK8754">
        <v>2834022247</v>
      </c>
      <c r="AL8754" t="s">
        <v>12661</v>
      </c>
      <c r="AM8754" t="s">
        <v>64</v>
      </c>
      <c r="AN8754" t="s">
        <v>5672</v>
      </c>
      <c r="AO8754" t="s">
        <v>5673</v>
      </c>
      <c r="AP8754" t="s">
        <v>5689</v>
      </c>
      <c r="AQ8754">
        <v>7</v>
      </c>
      <c r="AR8754" t="s">
        <v>66</v>
      </c>
      <c r="AS8754" t="s">
        <v>67</v>
      </c>
      <c r="AT8754" t="s">
        <v>58</v>
      </c>
      <c r="AU8754" t="s">
        <v>68</v>
      </c>
      <c r="AV8754" t="s">
        <v>69</v>
      </c>
      <c r="AW8754" s="1">
        <v>31583</v>
      </c>
      <c r="AX8754">
        <v>1</v>
      </c>
    </row>
    <row r="8755" spans="1:50">
      <c r="A8755">
        <v>581809</v>
      </c>
      <c r="B8755" t="str">
        <f>"050516737"</f>
        <v>050516737</v>
      </c>
      <c r="C8755" t="s">
        <v>50</v>
      </c>
      <c r="D8755" t="s">
        <v>7834</v>
      </c>
      <c r="E8755" t="s">
        <v>96</v>
      </c>
      <c r="F8755" t="s">
        <v>95</v>
      </c>
      <c r="G8755" t="s">
        <v>1065</v>
      </c>
      <c r="H8755" t="str">
        <f>"ΕΜΜ. ΠΑΠΑΔΟΓΙΑΝΝΗ 1 ΡΕΘΥΜΝΟ"</f>
        <v>ΕΜΜ. ΠΑΠΑΔΟΓΙΑΝΝΗ 1 ΡΕΘΥΜΝΟ</v>
      </c>
      <c r="I8755">
        <v>74100</v>
      </c>
      <c r="J8755">
        <v>2831300952</v>
      </c>
      <c r="K8755">
        <v>6971807358</v>
      </c>
      <c r="M8755" t="s">
        <v>13369</v>
      </c>
      <c r="N8755" t="s">
        <v>615</v>
      </c>
      <c r="O8755" t="s">
        <v>616</v>
      </c>
      <c r="R8755" t="s">
        <v>57</v>
      </c>
      <c r="S8755">
        <v>12</v>
      </c>
      <c r="T8755">
        <v>179</v>
      </c>
      <c r="U8755" s="1">
        <v>35674</v>
      </c>
      <c r="V8755" t="s">
        <v>66</v>
      </c>
      <c r="W8755" t="s">
        <v>67</v>
      </c>
      <c r="X8755" t="s">
        <v>58</v>
      </c>
      <c r="Y8755">
        <v>21</v>
      </c>
      <c r="Z8755" t="s">
        <v>59</v>
      </c>
      <c r="AA8755" t="s">
        <v>59</v>
      </c>
      <c r="AB8755" t="s">
        <v>59</v>
      </c>
      <c r="AC8755" t="s">
        <v>59</v>
      </c>
      <c r="AD8755" t="s">
        <v>59</v>
      </c>
      <c r="AF8755" s="1">
        <v>35674</v>
      </c>
      <c r="AG8755" t="s">
        <v>8645</v>
      </c>
      <c r="AH8755" t="s">
        <v>8646</v>
      </c>
      <c r="AI8755" t="str">
        <f>"9410257"</f>
        <v>9410257</v>
      </c>
      <c r="AJ8755" t="s">
        <v>12828</v>
      </c>
      <c r="AK8755">
        <v>2831056242</v>
      </c>
      <c r="AL8755" t="s">
        <v>12829</v>
      </c>
      <c r="AM8755" t="s">
        <v>64</v>
      </c>
      <c r="AN8755" t="s">
        <v>65</v>
      </c>
      <c r="AO8755" t="s">
        <v>65</v>
      </c>
      <c r="AP8755" t="s">
        <v>65</v>
      </c>
      <c r="AQ8755">
        <v>1</v>
      </c>
      <c r="AR8755" t="s">
        <v>66</v>
      </c>
      <c r="AS8755" t="s">
        <v>67</v>
      </c>
      <c r="AT8755" t="s">
        <v>58</v>
      </c>
      <c r="AU8755" t="s">
        <v>68</v>
      </c>
      <c r="AV8755" t="s">
        <v>69</v>
      </c>
      <c r="AW8755" s="1">
        <v>24650</v>
      </c>
      <c r="AX8755">
        <v>1</v>
      </c>
    </row>
    <row r="8756" spans="1:50">
      <c r="A8756">
        <v>615495</v>
      </c>
      <c r="B8756" t="str">
        <f>"079742030"</f>
        <v>079742030</v>
      </c>
      <c r="C8756" t="s">
        <v>50</v>
      </c>
      <c r="D8756" t="s">
        <v>13370</v>
      </c>
      <c r="E8756" t="s">
        <v>545</v>
      </c>
      <c r="F8756" t="s">
        <v>92</v>
      </c>
      <c r="G8756" t="s">
        <v>215</v>
      </c>
      <c r="H8756" t="str">
        <f>"ΠΗΓΙΑΝΟΣ ΚΑΜΠΟΣ ΡΕΘΥΜΝΟΥ"</f>
        <v>ΠΗΓΙΑΝΟΣ ΚΑΜΠΟΣ ΡΕΘΥΜΝΟΥ</v>
      </c>
      <c r="I8756">
        <v>74100</v>
      </c>
      <c r="J8756">
        <v>2831073082</v>
      </c>
      <c r="K8756">
        <v>6974091854</v>
      </c>
      <c r="M8756" t="s">
        <v>13371</v>
      </c>
      <c r="N8756" t="s">
        <v>1525</v>
      </c>
      <c r="O8756" t="s">
        <v>1526</v>
      </c>
      <c r="R8756" t="s">
        <v>57</v>
      </c>
      <c r="S8756">
        <v>8</v>
      </c>
      <c r="T8756">
        <v>598</v>
      </c>
      <c r="U8756" s="1">
        <v>39310</v>
      </c>
      <c r="V8756" t="s">
        <v>66</v>
      </c>
      <c r="W8756" t="s">
        <v>67</v>
      </c>
      <c r="X8756" t="s">
        <v>58</v>
      </c>
      <c r="Y8756">
        <v>25</v>
      </c>
      <c r="Z8756" t="s">
        <v>59</v>
      </c>
      <c r="AA8756" t="s">
        <v>59</v>
      </c>
      <c r="AB8756" t="s">
        <v>59</v>
      </c>
      <c r="AC8756" t="s">
        <v>59</v>
      </c>
      <c r="AD8756" t="s">
        <v>59</v>
      </c>
      <c r="AF8756" s="1">
        <v>39328</v>
      </c>
      <c r="AG8756" t="s">
        <v>8651</v>
      </c>
      <c r="AH8756" t="s">
        <v>8652</v>
      </c>
      <c r="AI8756" t="str">
        <f>"9410240"</f>
        <v>9410240</v>
      </c>
      <c r="AJ8756" t="s">
        <v>13102</v>
      </c>
      <c r="AK8756">
        <v>2831072568</v>
      </c>
      <c r="AL8756" t="s">
        <v>13103</v>
      </c>
      <c r="AM8756" t="s">
        <v>64</v>
      </c>
      <c r="AN8756" t="s">
        <v>65</v>
      </c>
      <c r="AO8756" t="s">
        <v>12694</v>
      </c>
      <c r="AP8756" t="s">
        <v>12704</v>
      </c>
      <c r="AQ8756">
        <v>3</v>
      </c>
      <c r="AR8756" t="s">
        <v>66</v>
      </c>
      <c r="AS8756" t="s">
        <v>67</v>
      </c>
      <c r="AT8756" t="s">
        <v>58</v>
      </c>
      <c r="AU8756" t="s">
        <v>68</v>
      </c>
      <c r="AV8756" t="s">
        <v>69</v>
      </c>
      <c r="AW8756" s="1">
        <v>27629</v>
      </c>
      <c r="AX8756">
        <v>1</v>
      </c>
    </row>
    <row r="8757" spans="1:50">
      <c r="A8757">
        <v>611880</v>
      </c>
      <c r="B8757" t="str">
        <f>"115558093"</f>
        <v>115558093</v>
      </c>
      <c r="C8757" t="s">
        <v>50</v>
      </c>
      <c r="D8757" t="s">
        <v>13372</v>
      </c>
      <c r="E8757" t="s">
        <v>600</v>
      </c>
      <c r="F8757" t="s">
        <v>72</v>
      </c>
      <c r="G8757" t="s">
        <v>255</v>
      </c>
      <c r="H8757" t="str">
        <f>" "</f>
        <v xml:space="preserve"> </v>
      </c>
      <c r="J8757">
        <v>2102430669</v>
      </c>
      <c r="K8757">
        <v>6973894239</v>
      </c>
      <c r="N8757" t="s">
        <v>1525</v>
      </c>
      <c r="O8757" t="s">
        <v>1526</v>
      </c>
      <c r="R8757" t="s">
        <v>57</v>
      </c>
      <c r="S8757">
        <v>5</v>
      </c>
      <c r="T8757">
        <v>233</v>
      </c>
      <c r="U8757" s="1">
        <v>38960</v>
      </c>
      <c r="V8757" t="s">
        <v>66</v>
      </c>
      <c r="W8757" t="s">
        <v>67</v>
      </c>
      <c r="X8757" t="s">
        <v>58</v>
      </c>
      <c r="Y8757">
        <v>25</v>
      </c>
      <c r="Z8757" t="s">
        <v>59</v>
      </c>
      <c r="AA8757" t="s">
        <v>59</v>
      </c>
      <c r="AB8757" t="s">
        <v>59</v>
      </c>
      <c r="AC8757" t="s">
        <v>59</v>
      </c>
      <c r="AD8757" t="s">
        <v>59</v>
      </c>
      <c r="AF8757" s="1">
        <v>38960</v>
      </c>
      <c r="AG8757" t="s">
        <v>8651</v>
      </c>
      <c r="AH8757" t="s">
        <v>8652</v>
      </c>
      <c r="AI8757" t="str">
        <f>"9410248"</f>
        <v>9410248</v>
      </c>
      <c r="AJ8757" t="s">
        <v>13373</v>
      </c>
      <c r="AK8757">
        <v>2831071898</v>
      </c>
      <c r="AL8757" t="s">
        <v>13374</v>
      </c>
      <c r="AM8757" t="s">
        <v>64</v>
      </c>
      <c r="AN8757" t="s">
        <v>65</v>
      </c>
      <c r="AO8757" t="s">
        <v>12694</v>
      </c>
      <c r="AP8757" t="s">
        <v>12695</v>
      </c>
      <c r="AQ8757">
        <v>3</v>
      </c>
      <c r="AR8757" t="s">
        <v>66</v>
      </c>
      <c r="AS8757" t="s">
        <v>67</v>
      </c>
      <c r="AT8757" t="s">
        <v>58</v>
      </c>
      <c r="AU8757" t="s">
        <v>68</v>
      </c>
      <c r="AV8757" t="s">
        <v>69</v>
      </c>
      <c r="AW8757" s="1">
        <v>30008</v>
      </c>
      <c r="AX8757">
        <v>1</v>
      </c>
    </row>
    <row r="8758" spans="1:50">
      <c r="A8758">
        <v>616850</v>
      </c>
      <c r="B8758" t="str">
        <f>"109146487"</f>
        <v>109146487</v>
      </c>
      <c r="C8758" t="s">
        <v>50</v>
      </c>
      <c r="D8758" t="s">
        <v>13375</v>
      </c>
      <c r="E8758" t="s">
        <v>13376</v>
      </c>
      <c r="F8758" t="s">
        <v>84</v>
      </c>
      <c r="G8758" t="s">
        <v>1157</v>
      </c>
      <c r="H8758" t="str">
        <f>"ΣΚΑΛΕΤΑ Τ.Θ 5154 ΡΕΘΥΜΝΟ"</f>
        <v>ΣΚΑΛΕΤΑ Τ.Θ 5154 ΡΕΘΥΜΝΟ</v>
      </c>
      <c r="I8758">
        <v>74100</v>
      </c>
      <c r="J8758">
        <v>2831071404</v>
      </c>
      <c r="K8758">
        <v>6936671548</v>
      </c>
      <c r="M8758" t="s">
        <v>13377</v>
      </c>
      <c r="N8758" t="s">
        <v>615</v>
      </c>
      <c r="O8758" t="s">
        <v>616</v>
      </c>
      <c r="R8758" t="s">
        <v>57</v>
      </c>
      <c r="S8758">
        <v>7</v>
      </c>
      <c r="T8758">
        <v>774</v>
      </c>
      <c r="U8758" s="1">
        <v>39680</v>
      </c>
      <c r="V8758" t="s">
        <v>66</v>
      </c>
      <c r="W8758" t="s">
        <v>67</v>
      </c>
      <c r="X8758" t="s">
        <v>58</v>
      </c>
      <c r="Y8758">
        <v>23</v>
      </c>
      <c r="Z8758" t="s">
        <v>59</v>
      </c>
      <c r="AA8758" t="s">
        <v>59</v>
      </c>
      <c r="AB8758" t="s">
        <v>59</v>
      </c>
      <c r="AC8758" t="s">
        <v>59</v>
      </c>
      <c r="AD8758" t="s">
        <v>59</v>
      </c>
      <c r="AF8758" s="1">
        <v>39681</v>
      </c>
      <c r="AG8758" t="s">
        <v>8645</v>
      </c>
      <c r="AH8758" t="s">
        <v>8646</v>
      </c>
      <c r="AI8758" t="str">
        <f>"9410006"</f>
        <v>9410006</v>
      </c>
      <c r="AJ8758" t="s">
        <v>12902</v>
      </c>
      <c r="AK8758">
        <v>2834022320</v>
      </c>
      <c r="AL8758" t="s">
        <v>12903</v>
      </c>
      <c r="AM8758" t="s">
        <v>64</v>
      </c>
      <c r="AN8758" t="s">
        <v>5672</v>
      </c>
      <c r="AO8758" t="s">
        <v>5673</v>
      </c>
      <c r="AP8758" t="s">
        <v>12904</v>
      </c>
      <c r="AQ8758">
        <v>8</v>
      </c>
      <c r="AR8758" t="s">
        <v>66</v>
      </c>
      <c r="AS8758" t="s">
        <v>67</v>
      </c>
      <c r="AT8758" t="s">
        <v>58</v>
      </c>
      <c r="AU8758" t="s">
        <v>68</v>
      </c>
      <c r="AV8758" t="s">
        <v>69</v>
      </c>
      <c r="AW8758" s="1">
        <v>28761</v>
      </c>
      <c r="AX8758">
        <v>1</v>
      </c>
    </row>
    <row r="8759" spans="1:50">
      <c r="B8759" t="str">
        <f>"109168074"</f>
        <v>109168074</v>
      </c>
      <c r="C8759" t="s">
        <v>105</v>
      </c>
      <c r="D8759" t="s">
        <v>13378</v>
      </c>
      <c r="E8759" t="s">
        <v>84</v>
      </c>
      <c r="F8759" t="s">
        <v>450</v>
      </c>
      <c r="G8759" t="s">
        <v>4671</v>
      </c>
      <c r="H8759" t="str">
        <f>"ΥΨΗΛΑΝΤΟΥ 40 ΠΕΙΡΑΙΑΣ"</f>
        <v>ΥΨΗΛΑΝΤΟΥ 40 ΠΕΙΡΑΙΑΣ</v>
      </c>
      <c r="I8759">
        <v>18532</v>
      </c>
      <c r="J8759">
        <v>2104223696</v>
      </c>
      <c r="K8759">
        <v>6973026665</v>
      </c>
      <c r="M8759" t="s">
        <v>13379</v>
      </c>
      <c r="N8759" t="s">
        <v>204</v>
      </c>
      <c r="O8759" t="s">
        <v>205</v>
      </c>
      <c r="R8759" t="s">
        <v>159</v>
      </c>
      <c r="S8759">
        <v>5</v>
      </c>
      <c r="T8759" t="s">
        <v>8675</v>
      </c>
      <c r="U8759" s="1">
        <v>43348</v>
      </c>
      <c r="V8759" t="s">
        <v>66</v>
      </c>
      <c r="W8759" t="s">
        <v>67</v>
      </c>
      <c r="X8759" t="s">
        <v>58</v>
      </c>
      <c r="Y8759">
        <v>24</v>
      </c>
      <c r="Z8759" t="s">
        <v>59</v>
      </c>
      <c r="AA8759" t="s">
        <v>59</v>
      </c>
      <c r="AB8759" t="s">
        <v>59</v>
      </c>
      <c r="AC8759" t="s">
        <v>59</v>
      </c>
      <c r="AD8759" t="s">
        <v>59</v>
      </c>
      <c r="AF8759" s="1">
        <v>43348</v>
      </c>
      <c r="AG8759" t="s">
        <v>8645</v>
      </c>
      <c r="AH8759" t="s">
        <v>8646</v>
      </c>
      <c r="AI8759" t="str">
        <f>"9410072"</f>
        <v>9410072</v>
      </c>
      <c r="AJ8759" t="s">
        <v>12692</v>
      </c>
      <c r="AK8759">
        <v>2831071264</v>
      </c>
      <c r="AL8759" t="s">
        <v>12693</v>
      </c>
      <c r="AM8759" t="s">
        <v>64</v>
      </c>
      <c r="AN8759" t="s">
        <v>65</v>
      </c>
      <c r="AO8759" t="s">
        <v>12694</v>
      </c>
      <c r="AP8759" t="s">
        <v>12695</v>
      </c>
      <c r="AQ8759">
        <v>3</v>
      </c>
      <c r="AR8759" t="s">
        <v>66</v>
      </c>
      <c r="AS8759" t="s">
        <v>67</v>
      </c>
      <c r="AT8759" t="s">
        <v>58</v>
      </c>
      <c r="AU8759" t="s">
        <v>8673</v>
      </c>
      <c r="AV8759" t="s">
        <v>132</v>
      </c>
      <c r="AW8759" s="1">
        <v>30087</v>
      </c>
      <c r="AX8759">
        <v>1</v>
      </c>
    </row>
    <row r="8760" spans="1:50">
      <c r="A8760">
        <v>180876</v>
      </c>
      <c r="B8760" t="str">
        <f>"043511414"</f>
        <v>043511414</v>
      </c>
      <c r="C8760" t="s">
        <v>50</v>
      </c>
      <c r="D8760" t="s">
        <v>13380</v>
      </c>
      <c r="E8760" t="s">
        <v>2301</v>
      </c>
      <c r="F8760" t="s">
        <v>72</v>
      </c>
      <c r="G8760" t="s">
        <v>1520</v>
      </c>
      <c r="H8760" t="str">
        <f>"ΒΑΛΤΕΤΣΙΟΥ 40 ΑΘΗΝΑ"</f>
        <v>ΒΑΛΤΕΤΣΙΟΥ 40 ΑΘΗΝΑ</v>
      </c>
      <c r="I8760">
        <v>10681</v>
      </c>
      <c r="J8760">
        <v>2109340129</v>
      </c>
      <c r="K8760">
        <v>6974434060</v>
      </c>
      <c r="N8760" t="s">
        <v>615</v>
      </c>
      <c r="O8760" t="s">
        <v>616</v>
      </c>
      <c r="R8760" t="s">
        <v>57</v>
      </c>
      <c r="S8760">
        <v>14</v>
      </c>
      <c r="T8760">
        <v>164</v>
      </c>
      <c r="U8760" s="1">
        <v>36040</v>
      </c>
      <c r="V8760" t="s">
        <v>66</v>
      </c>
      <c r="W8760" t="s">
        <v>67</v>
      </c>
      <c r="X8760" t="s">
        <v>58</v>
      </c>
      <c r="Y8760">
        <v>21</v>
      </c>
      <c r="Z8760" t="s">
        <v>59</v>
      </c>
      <c r="AA8760" t="s">
        <v>59</v>
      </c>
      <c r="AB8760" t="s">
        <v>59</v>
      </c>
      <c r="AC8760" t="s">
        <v>59</v>
      </c>
      <c r="AD8760" t="s">
        <v>59</v>
      </c>
      <c r="AF8760" s="1">
        <v>36046</v>
      </c>
      <c r="AG8760" t="s">
        <v>8645</v>
      </c>
      <c r="AH8760" t="s">
        <v>8646</v>
      </c>
      <c r="AI8760" t="str">
        <f>"9410067"</f>
        <v>9410067</v>
      </c>
      <c r="AJ8760" t="s">
        <v>12736</v>
      </c>
      <c r="AK8760">
        <v>2831022836</v>
      </c>
      <c r="AL8760" t="s">
        <v>12737</v>
      </c>
      <c r="AM8760" t="s">
        <v>64</v>
      </c>
      <c r="AN8760" t="s">
        <v>65</v>
      </c>
      <c r="AO8760" t="s">
        <v>65</v>
      </c>
      <c r="AP8760" t="s">
        <v>65</v>
      </c>
      <c r="AQ8760">
        <v>1</v>
      </c>
      <c r="AR8760" t="s">
        <v>66</v>
      </c>
      <c r="AS8760" t="s">
        <v>67</v>
      </c>
      <c r="AT8760" t="s">
        <v>58</v>
      </c>
      <c r="AU8760" t="s">
        <v>68</v>
      </c>
      <c r="AV8760" t="s">
        <v>69</v>
      </c>
      <c r="AW8760" s="1">
        <v>23297</v>
      </c>
      <c r="AX8760">
        <v>1</v>
      </c>
    </row>
    <row r="8761" spans="1:50">
      <c r="A8761">
        <v>552503</v>
      </c>
      <c r="B8761" t="str">
        <f>"027382060"</f>
        <v>027382060</v>
      </c>
      <c r="C8761" t="s">
        <v>50</v>
      </c>
      <c r="D8761" t="s">
        <v>13381</v>
      </c>
      <c r="E8761" t="s">
        <v>52</v>
      </c>
      <c r="F8761" t="s">
        <v>72</v>
      </c>
      <c r="G8761" t="s">
        <v>114</v>
      </c>
      <c r="H8761" t="str">
        <f>" "</f>
        <v xml:space="preserve"> </v>
      </c>
      <c r="K8761">
        <v>6948113099</v>
      </c>
      <c r="N8761" t="s">
        <v>1525</v>
      </c>
      <c r="O8761" t="s">
        <v>1526</v>
      </c>
      <c r="R8761" t="s">
        <v>57</v>
      </c>
      <c r="S8761">
        <v>17</v>
      </c>
      <c r="T8761">
        <v>281</v>
      </c>
      <c r="U8761" s="1">
        <v>30558</v>
      </c>
      <c r="V8761" t="s">
        <v>66</v>
      </c>
      <c r="W8761" t="s">
        <v>67</v>
      </c>
      <c r="X8761" t="s">
        <v>58</v>
      </c>
      <c r="Y8761">
        <v>25</v>
      </c>
      <c r="Z8761" t="s">
        <v>59</v>
      </c>
      <c r="AA8761" t="s">
        <v>59</v>
      </c>
      <c r="AB8761" t="s">
        <v>59</v>
      </c>
      <c r="AC8761" t="s">
        <v>59</v>
      </c>
      <c r="AD8761" t="s">
        <v>59</v>
      </c>
      <c r="AF8761" s="1">
        <v>30567</v>
      </c>
      <c r="AG8761" t="s">
        <v>8651</v>
      </c>
      <c r="AH8761" t="s">
        <v>8652</v>
      </c>
      <c r="AI8761" t="str">
        <f>"9410002"</f>
        <v>9410002</v>
      </c>
      <c r="AJ8761" t="s">
        <v>13382</v>
      </c>
      <c r="AK8761">
        <v>2834031184</v>
      </c>
      <c r="AL8761" t="s">
        <v>13383</v>
      </c>
      <c r="AM8761" t="s">
        <v>64</v>
      </c>
      <c r="AN8761" t="s">
        <v>5737</v>
      </c>
      <c r="AO8761" t="s">
        <v>5737</v>
      </c>
      <c r="AP8761" t="s">
        <v>5737</v>
      </c>
      <c r="AQ8761">
        <v>9</v>
      </c>
      <c r="AR8761" t="s">
        <v>66</v>
      </c>
      <c r="AS8761" t="s">
        <v>67</v>
      </c>
      <c r="AT8761" t="s">
        <v>58</v>
      </c>
      <c r="AU8761" t="s">
        <v>68</v>
      </c>
      <c r="AV8761" t="s">
        <v>69</v>
      </c>
      <c r="AW8761" s="1">
        <v>22498</v>
      </c>
      <c r="AX8761">
        <v>1</v>
      </c>
    </row>
    <row r="8762" spans="1:50">
      <c r="A8762">
        <v>596756</v>
      </c>
      <c r="B8762" t="str">
        <f>"062520035"</f>
        <v>062520035</v>
      </c>
      <c r="C8762" t="s">
        <v>50</v>
      </c>
      <c r="D8762" t="s">
        <v>13384</v>
      </c>
      <c r="E8762" t="s">
        <v>513</v>
      </c>
      <c r="F8762" t="s">
        <v>95</v>
      </c>
      <c r="G8762" t="s">
        <v>112</v>
      </c>
      <c r="H8762" t="str">
        <f>" "</f>
        <v xml:space="preserve"> </v>
      </c>
      <c r="J8762">
        <v>2831057819</v>
      </c>
      <c r="K8762">
        <v>6932903211</v>
      </c>
      <c r="N8762" t="s">
        <v>1525</v>
      </c>
      <c r="O8762" t="s">
        <v>1526</v>
      </c>
      <c r="R8762" t="s">
        <v>57</v>
      </c>
      <c r="S8762">
        <v>8</v>
      </c>
      <c r="T8762">
        <v>195</v>
      </c>
      <c r="U8762" s="1">
        <v>37497</v>
      </c>
      <c r="V8762" t="s">
        <v>66</v>
      </c>
      <c r="W8762" t="s">
        <v>67</v>
      </c>
      <c r="X8762" t="s">
        <v>58</v>
      </c>
      <c r="Y8762">
        <v>25</v>
      </c>
      <c r="Z8762" t="s">
        <v>59</v>
      </c>
      <c r="AA8762" t="s">
        <v>59</v>
      </c>
      <c r="AB8762" t="s">
        <v>59</v>
      </c>
      <c r="AC8762" t="s">
        <v>59</v>
      </c>
      <c r="AD8762" t="s">
        <v>59</v>
      </c>
      <c r="AF8762" s="1">
        <v>37501</v>
      </c>
      <c r="AG8762" t="s">
        <v>8651</v>
      </c>
      <c r="AH8762" t="s">
        <v>8652</v>
      </c>
      <c r="AI8762" t="str">
        <f>"9410196"</f>
        <v>9410196</v>
      </c>
      <c r="AJ8762" t="s">
        <v>13338</v>
      </c>
      <c r="AK8762">
        <v>2831027495</v>
      </c>
      <c r="AL8762" t="s">
        <v>13339</v>
      </c>
      <c r="AM8762" t="s">
        <v>64</v>
      </c>
      <c r="AN8762" t="s">
        <v>65</v>
      </c>
      <c r="AO8762" t="s">
        <v>65</v>
      </c>
      <c r="AP8762" t="s">
        <v>65</v>
      </c>
      <c r="AQ8762">
        <v>1</v>
      </c>
      <c r="AR8762" t="s">
        <v>66</v>
      </c>
      <c r="AS8762" t="s">
        <v>67</v>
      </c>
      <c r="AT8762" t="s">
        <v>58</v>
      </c>
      <c r="AU8762" t="s">
        <v>68</v>
      </c>
      <c r="AV8762" t="s">
        <v>69</v>
      </c>
      <c r="AW8762" s="1">
        <v>27085</v>
      </c>
      <c r="AX8762">
        <v>1</v>
      </c>
    </row>
    <row r="8763" spans="1:50">
      <c r="A8763">
        <v>609624</v>
      </c>
      <c r="B8763" t="str">
        <f>"074708650"</f>
        <v>074708650</v>
      </c>
      <c r="C8763" t="s">
        <v>105</v>
      </c>
      <c r="D8763" t="s">
        <v>13385</v>
      </c>
      <c r="E8763" t="s">
        <v>53</v>
      </c>
      <c r="F8763" t="s">
        <v>12442</v>
      </c>
      <c r="G8763" t="s">
        <v>181</v>
      </c>
      <c r="H8763" t="str">
        <f>" "</f>
        <v xml:space="preserve"> </v>
      </c>
      <c r="J8763">
        <v>2102818072</v>
      </c>
      <c r="K8763">
        <v>6944761566</v>
      </c>
      <c r="N8763" t="s">
        <v>176</v>
      </c>
      <c r="O8763" t="s">
        <v>177</v>
      </c>
      <c r="R8763" t="s">
        <v>57</v>
      </c>
      <c r="S8763">
        <v>6</v>
      </c>
      <c r="T8763" t="s">
        <v>13386</v>
      </c>
      <c r="U8763" s="1">
        <v>38604</v>
      </c>
      <c r="V8763" t="s">
        <v>66</v>
      </c>
      <c r="W8763" t="s">
        <v>67</v>
      </c>
      <c r="X8763" t="s">
        <v>58</v>
      </c>
      <c r="Y8763">
        <v>23</v>
      </c>
      <c r="Z8763" t="s">
        <v>59</v>
      </c>
      <c r="AA8763" t="s">
        <v>59</v>
      </c>
      <c r="AB8763" t="s">
        <v>59</v>
      </c>
      <c r="AC8763" t="s">
        <v>59</v>
      </c>
      <c r="AD8763" t="s">
        <v>59</v>
      </c>
      <c r="AF8763" s="1">
        <v>38608</v>
      </c>
      <c r="AG8763" t="s">
        <v>8645</v>
      </c>
      <c r="AH8763" t="s">
        <v>8646</v>
      </c>
      <c r="AI8763" t="str">
        <f>"9410242"</f>
        <v>9410242</v>
      </c>
      <c r="AJ8763" t="s">
        <v>12796</v>
      </c>
      <c r="AK8763">
        <v>2834023145</v>
      </c>
      <c r="AL8763" t="s">
        <v>12797</v>
      </c>
      <c r="AM8763" t="s">
        <v>64</v>
      </c>
      <c r="AN8763" t="s">
        <v>5672</v>
      </c>
      <c r="AO8763" t="s">
        <v>5673</v>
      </c>
      <c r="AP8763" t="s">
        <v>5689</v>
      </c>
      <c r="AQ8763">
        <v>7</v>
      </c>
      <c r="AR8763" t="s">
        <v>66</v>
      </c>
      <c r="AS8763" t="s">
        <v>67</v>
      </c>
      <c r="AT8763" t="s">
        <v>58</v>
      </c>
      <c r="AU8763" t="s">
        <v>68</v>
      </c>
      <c r="AV8763" t="s">
        <v>69</v>
      </c>
      <c r="AW8763" s="1">
        <v>26235</v>
      </c>
      <c r="AX8763">
        <v>1</v>
      </c>
    </row>
    <row r="8764" spans="1:50">
      <c r="B8764" t="str">
        <f>"110791375"</f>
        <v>110791375</v>
      </c>
      <c r="C8764" t="s">
        <v>50</v>
      </c>
      <c r="D8764" t="s">
        <v>13387</v>
      </c>
      <c r="E8764" t="s">
        <v>83</v>
      </c>
      <c r="F8764" t="s">
        <v>1506</v>
      </c>
      <c r="G8764" t="s">
        <v>620</v>
      </c>
      <c r="H8764" t="str">
        <f>"ΕΠΑΡΧ. ΟΔΟΣ ΒΟΝΙΤΣΗΣ-ΠΑΛΑΙΡΟΥ "</f>
        <v xml:space="preserve">ΕΠΑΡΧ. ΟΔΟΣ ΒΟΝΙΤΣΗΣ-ΠΑΛΑΙΡΟΥ </v>
      </c>
      <c r="I8764">
        <v>30002</v>
      </c>
      <c r="J8764">
        <v>2643022722</v>
      </c>
      <c r="K8764">
        <v>6972058397</v>
      </c>
      <c r="M8764" t="s">
        <v>13388</v>
      </c>
      <c r="N8764" t="s">
        <v>9829</v>
      </c>
      <c r="O8764" t="s">
        <v>9830</v>
      </c>
      <c r="R8764" t="s">
        <v>159</v>
      </c>
      <c r="S8764">
        <v>5</v>
      </c>
      <c r="T8764" t="s">
        <v>8696</v>
      </c>
      <c r="U8764" s="1">
        <v>43348</v>
      </c>
      <c r="V8764" t="s">
        <v>66</v>
      </c>
      <c r="W8764" t="s">
        <v>67</v>
      </c>
      <c r="X8764" t="s">
        <v>58</v>
      </c>
      <c r="Y8764">
        <v>25</v>
      </c>
      <c r="Z8764" t="s">
        <v>59</v>
      </c>
      <c r="AA8764" t="s">
        <v>59</v>
      </c>
      <c r="AB8764" t="s">
        <v>59</v>
      </c>
      <c r="AC8764" t="s">
        <v>59</v>
      </c>
      <c r="AD8764" t="s">
        <v>59</v>
      </c>
      <c r="AF8764" s="1">
        <v>43348</v>
      </c>
      <c r="AG8764" t="s">
        <v>8651</v>
      </c>
      <c r="AH8764" t="s">
        <v>9015</v>
      </c>
      <c r="AI8764" t="str">
        <f>"9410270"</f>
        <v>9410270</v>
      </c>
      <c r="AJ8764" t="s">
        <v>13241</v>
      </c>
      <c r="AK8764">
        <v>2831057767</v>
      </c>
      <c r="AL8764" t="s">
        <v>13242</v>
      </c>
      <c r="AM8764" t="s">
        <v>64</v>
      </c>
      <c r="AN8764" t="s">
        <v>65</v>
      </c>
      <c r="AO8764" t="s">
        <v>65</v>
      </c>
      <c r="AP8764" t="s">
        <v>65</v>
      </c>
      <c r="AQ8764">
        <v>1</v>
      </c>
      <c r="AR8764" t="s">
        <v>66</v>
      </c>
      <c r="AS8764" t="s">
        <v>67</v>
      </c>
      <c r="AT8764" t="s">
        <v>58</v>
      </c>
      <c r="AU8764" t="s">
        <v>350</v>
      </c>
      <c r="AV8764" t="s">
        <v>132</v>
      </c>
      <c r="AW8764" s="1">
        <v>31281</v>
      </c>
      <c r="AX8764">
        <v>1</v>
      </c>
    </row>
    <row r="8765" spans="1:50">
      <c r="B8765" t="str">
        <f>"134574523"</f>
        <v>134574523</v>
      </c>
      <c r="C8765" t="s">
        <v>105</v>
      </c>
      <c r="D8765" t="s">
        <v>13389</v>
      </c>
      <c r="E8765" t="s">
        <v>450</v>
      </c>
      <c r="F8765" t="s">
        <v>84</v>
      </c>
      <c r="G8765" t="s">
        <v>6196</v>
      </c>
      <c r="H8765" t="str">
        <f>" "</f>
        <v xml:space="preserve"> </v>
      </c>
      <c r="N8765" t="s">
        <v>9829</v>
      </c>
      <c r="O8765" t="s">
        <v>9830</v>
      </c>
      <c r="R8765" t="s">
        <v>159</v>
      </c>
      <c r="S8765">
        <v>3</v>
      </c>
      <c r="T8765" t="s">
        <v>8835</v>
      </c>
      <c r="U8765" s="1">
        <v>43348</v>
      </c>
      <c r="V8765" t="s">
        <v>66</v>
      </c>
      <c r="W8765" t="s">
        <v>67</v>
      </c>
      <c r="X8765" t="s">
        <v>58</v>
      </c>
      <c r="Y8765">
        <v>25</v>
      </c>
      <c r="Z8765" t="s">
        <v>59</v>
      </c>
      <c r="AA8765" t="s">
        <v>59</v>
      </c>
      <c r="AB8765" t="s">
        <v>59</v>
      </c>
      <c r="AD8765" t="s">
        <v>59</v>
      </c>
      <c r="AF8765" s="1">
        <v>43348</v>
      </c>
      <c r="AG8765" t="s">
        <v>8651</v>
      </c>
      <c r="AH8765" t="s">
        <v>8652</v>
      </c>
      <c r="AI8765" t="str">
        <f>"9410153"</f>
        <v>9410153</v>
      </c>
      <c r="AJ8765" t="s">
        <v>12920</v>
      </c>
      <c r="AK8765">
        <v>2831022984</v>
      </c>
      <c r="AL8765" t="s">
        <v>12921</v>
      </c>
      <c r="AM8765" t="s">
        <v>64</v>
      </c>
      <c r="AN8765" t="s">
        <v>65</v>
      </c>
      <c r="AO8765" t="s">
        <v>65</v>
      </c>
      <c r="AP8765" t="s">
        <v>65</v>
      </c>
      <c r="AQ8765">
        <v>1</v>
      </c>
      <c r="AR8765" t="s">
        <v>66</v>
      </c>
      <c r="AS8765" t="s">
        <v>67</v>
      </c>
      <c r="AT8765" t="s">
        <v>58</v>
      </c>
      <c r="AU8765" t="s">
        <v>131</v>
      </c>
      <c r="AV8765" t="s">
        <v>132</v>
      </c>
      <c r="AW8765" s="1">
        <v>32277</v>
      </c>
      <c r="AX8765">
        <v>1</v>
      </c>
    </row>
    <row r="8766" spans="1:50">
      <c r="A8766">
        <v>579533</v>
      </c>
      <c r="B8766" t="str">
        <f>"065478227"</f>
        <v>065478227</v>
      </c>
      <c r="C8766" t="s">
        <v>50</v>
      </c>
      <c r="D8766" t="s">
        <v>13390</v>
      </c>
      <c r="E8766" t="s">
        <v>316</v>
      </c>
      <c r="F8766" t="s">
        <v>315</v>
      </c>
      <c r="G8766" t="s">
        <v>563</v>
      </c>
      <c r="H8766" t="str">
        <f>"ΝΙΚΑΙΑΣ 48 ΡΕΘΥΜΝΟ"</f>
        <v>ΝΙΚΑΙΑΣ 48 ΡΕΘΥΜΝΟ</v>
      </c>
      <c r="I8766">
        <v>74100</v>
      </c>
      <c r="J8766">
        <v>2831057148</v>
      </c>
      <c r="K8766">
        <v>6975891817</v>
      </c>
      <c r="N8766" t="s">
        <v>615</v>
      </c>
      <c r="O8766" t="s">
        <v>616</v>
      </c>
      <c r="R8766" t="s">
        <v>57</v>
      </c>
      <c r="S8766">
        <v>11</v>
      </c>
      <c r="T8766">
        <v>165</v>
      </c>
      <c r="U8766" s="1">
        <v>35300</v>
      </c>
      <c r="V8766" t="s">
        <v>66</v>
      </c>
      <c r="W8766" t="s">
        <v>67</v>
      </c>
      <c r="X8766" t="s">
        <v>58</v>
      </c>
      <c r="Y8766">
        <v>21</v>
      </c>
      <c r="Z8766" t="s">
        <v>59</v>
      </c>
      <c r="AA8766" t="s">
        <v>59</v>
      </c>
      <c r="AB8766" t="s">
        <v>59</v>
      </c>
      <c r="AC8766" t="s">
        <v>59</v>
      </c>
      <c r="AD8766" t="s">
        <v>59</v>
      </c>
      <c r="AF8766" s="1">
        <v>35311</v>
      </c>
      <c r="AG8766" t="s">
        <v>8645</v>
      </c>
      <c r="AH8766" t="s">
        <v>8646</v>
      </c>
      <c r="AI8766" t="str">
        <f>"9410065"</f>
        <v>9410065</v>
      </c>
      <c r="AJ8766" t="s">
        <v>12717</v>
      </c>
      <c r="AK8766">
        <v>2831022519</v>
      </c>
      <c r="AL8766" t="s">
        <v>12718</v>
      </c>
      <c r="AM8766" t="s">
        <v>64</v>
      </c>
      <c r="AN8766" t="s">
        <v>65</v>
      </c>
      <c r="AO8766" t="s">
        <v>65</v>
      </c>
      <c r="AP8766" t="s">
        <v>65</v>
      </c>
      <c r="AQ8766">
        <v>1</v>
      </c>
      <c r="AR8766" t="s">
        <v>66</v>
      </c>
      <c r="AS8766" t="s">
        <v>67</v>
      </c>
      <c r="AT8766" t="s">
        <v>58</v>
      </c>
      <c r="AU8766" t="s">
        <v>68</v>
      </c>
      <c r="AV8766" t="s">
        <v>69</v>
      </c>
      <c r="AW8766" s="1">
        <v>24479</v>
      </c>
      <c r="AX8766">
        <v>1</v>
      </c>
    </row>
    <row r="8767" spans="1:50">
      <c r="A8767">
        <v>618130</v>
      </c>
      <c r="B8767" t="str">
        <f>"146157480"</f>
        <v>146157480</v>
      </c>
      <c r="C8767" t="s">
        <v>50</v>
      </c>
      <c r="D8767" t="s">
        <v>13391</v>
      </c>
      <c r="E8767" t="s">
        <v>174</v>
      </c>
      <c r="F8767" t="s">
        <v>309</v>
      </c>
      <c r="G8767" t="s">
        <v>215</v>
      </c>
      <c r="H8767" t="str">
        <f>"ΚΑΠΕΤΑΝ ΛΕΜΟΝΙΑ 5 ΡΕΘΥΜΝΟ"</f>
        <v>ΚΑΠΕΤΑΝ ΛΕΜΟΝΙΑ 5 ΡΕΘΥΜΝΟ</v>
      </c>
      <c r="I8767">
        <v>74100</v>
      </c>
      <c r="J8767">
        <v>2381021751</v>
      </c>
      <c r="K8767">
        <v>6980143549</v>
      </c>
      <c r="N8767" t="s">
        <v>615</v>
      </c>
      <c r="O8767" t="s">
        <v>616</v>
      </c>
      <c r="R8767" t="s">
        <v>57</v>
      </c>
      <c r="S8767">
        <v>5</v>
      </c>
      <c r="T8767">
        <v>774</v>
      </c>
      <c r="U8767" s="1">
        <v>39680</v>
      </c>
      <c r="V8767" t="s">
        <v>66</v>
      </c>
      <c r="W8767" t="s">
        <v>67</v>
      </c>
      <c r="X8767" t="s">
        <v>58</v>
      </c>
      <c r="Y8767">
        <v>23</v>
      </c>
      <c r="Z8767" t="s">
        <v>59</v>
      </c>
      <c r="AA8767" t="s">
        <v>59</v>
      </c>
      <c r="AB8767" t="s">
        <v>59</v>
      </c>
      <c r="AC8767" t="s">
        <v>59</v>
      </c>
      <c r="AD8767" t="s">
        <v>59</v>
      </c>
      <c r="AF8767" s="1">
        <v>39681</v>
      </c>
      <c r="AG8767" t="s">
        <v>8645</v>
      </c>
      <c r="AH8767" t="s">
        <v>8646</v>
      </c>
      <c r="AI8767" t="str">
        <f>"9410044"</f>
        <v>9410044</v>
      </c>
      <c r="AJ8767" t="s">
        <v>13257</v>
      </c>
      <c r="AK8767">
        <v>2834094218</v>
      </c>
      <c r="AL8767" t="s">
        <v>13258</v>
      </c>
      <c r="AM8767" t="s">
        <v>64</v>
      </c>
      <c r="AN8767" t="s">
        <v>5672</v>
      </c>
      <c r="AO8767" t="s">
        <v>5673</v>
      </c>
      <c r="AP8767" t="s">
        <v>13259</v>
      </c>
      <c r="AQ8767">
        <v>10</v>
      </c>
      <c r="AR8767" t="s">
        <v>66</v>
      </c>
      <c r="AS8767" t="s">
        <v>67</v>
      </c>
      <c r="AT8767" t="s">
        <v>58</v>
      </c>
      <c r="AU8767" t="s">
        <v>68</v>
      </c>
      <c r="AV8767" t="s">
        <v>69</v>
      </c>
      <c r="AW8767" s="1">
        <v>30872</v>
      </c>
      <c r="AX8767">
        <v>1</v>
      </c>
    </row>
    <row r="8768" spans="1:50">
      <c r="A8768">
        <v>591556</v>
      </c>
      <c r="B8768" t="str">
        <f>"032978101"</f>
        <v>032978101</v>
      </c>
      <c r="C8768" t="s">
        <v>50</v>
      </c>
      <c r="D8768" t="s">
        <v>10769</v>
      </c>
      <c r="E8768" t="s">
        <v>73</v>
      </c>
      <c r="F8768" t="s">
        <v>900</v>
      </c>
      <c r="G8768" t="s">
        <v>367</v>
      </c>
      <c r="H8768" t="str">
        <f>" "</f>
        <v xml:space="preserve"> </v>
      </c>
      <c r="N8768" t="s">
        <v>615</v>
      </c>
      <c r="O8768" t="s">
        <v>616</v>
      </c>
      <c r="R8768" t="s">
        <v>57</v>
      </c>
      <c r="S8768">
        <v>11</v>
      </c>
      <c r="T8768">
        <v>249</v>
      </c>
      <c r="U8768" s="1">
        <v>36769</v>
      </c>
      <c r="V8768" t="s">
        <v>66</v>
      </c>
      <c r="W8768" t="s">
        <v>67</v>
      </c>
      <c r="X8768" t="s">
        <v>58</v>
      </c>
      <c r="Y8768">
        <v>22</v>
      </c>
      <c r="Z8768" t="s">
        <v>59</v>
      </c>
      <c r="AA8768" t="s">
        <v>59</v>
      </c>
      <c r="AB8768" t="s">
        <v>59</v>
      </c>
      <c r="AC8768" t="s">
        <v>59</v>
      </c>
      <c r="AD8768" t="s">
        <v>59</v>
      </c>
      <c r="AF8768" s="1">
        <v>36773</v>
      </c>
      <c r="AG8768" t="s">
        <v>8645</v>
      </c>
      <c r="AH8768" t="s">
        <v>8646</v>
      </c>
      <c r="AI8768" t="str">
        <f>"9410155"</f>
        <v>9410155</v>
      </c>
      <c r="AJ8768" t="s">
        <v>12663</v>
      </c>
      <c r="AK8768">
        <v>2831028697</v>
      </c>
      <c r="AL8768" t="s">
        <v>12664</v>
      </c>
      <c r="AM8768" t="s">
        <v>64</v>
      </c>
      <c r="AN8768" t="s">
        <v>65</v>
      </c>
      <c r="AO8768" t="s">
        <v>65</v>
      </c>
      <c r="AP8768" t="s">
        <v>65</v>
      </c>
      <c r="AQ8768">
        <v>1</v>
      </c>
      <c r="AR8768" t="s">
        <v>66</v>
      </c>
      <c r="AS8768" t="s">
        <v>67</v>
      </c>
      <c r="AT8768" t="s">
        <v>58</v>
      </c>
      <c r="AU8768" t="s">
        <v>68</v>
      </c>
      <c r="AV8768" t="s">
        <v>69</v>
      </c>
      <c r="AW8768" s="1">
        <v>24835</v>
      </c>
      <c r="AX8768">
        <v>1</v>
      </c>
    </row>
    <row r="8769" spans="1:50">
      <c r="B8769" t="str">
        <f>"156300640"</f>
        <v>156300640</v>
      </c>
      <c r="C8769" t="s">
        <v>50</v>
      </c>
      <c r="D8769" t="s">
        <v>13392</v>
      </c>
      <c r="E8769" t="s">
        <v>6179</v>
      </c>
      <c r="F8769" t="s">
        <v>450</v>
      </c>
      <c r="G8769" t="s">
        <v>263</v>
      </c>
      <c r="H8769" t="str">
        <f>" "</f>
        <v xml:space="preserve"> </v>
      </c>
      <c r="N8769" t="s">
        <v>683</v>
      </c>
      <c r="O8769" t="s">
        <v>684</v>
      </c>
      <c r="R8769" t="s">
        <v>121</v>
      </c>
      <c r="S8769">
        <v>1</v>
      </c>
      <c r="T8769" t="s">
        <v>8675</v>
      </c>
      <c r="U8769" s="1">
        <v>43348</v>
      </c>
      <c r="V8769" t="s">
        <v>66</v>
      </c>
      <c r="W8769" t="s">
        <v>67</v>
      </c>
      <c r="X8769" t="s">
        <v>58</v>
      </c>
      <c r="Y8769">
        <v>24</v>
      </c>
      <c r="Z8769" t="s">
        <v>59</v>
      </c>
      <c r="AA8769" t="s">
        <v>59</v>
      </c>
      <c r="AB8769" t="s">
        <v>59</v>
      </c>
      <c r="AD8769" t="s">
        <v>59</v>
      </c>
      <c r="AF8769" s="1">
        <v>43348</v>
      </c>
      <c r="AG8769" t="s">
        <v>8645</v>
      </c>
      <c r="AH8769" t="s">
        <v>8646</v>
      </c>
      <c r="AI8769" t="str">
        <f>"9521348"</f>
        <v>9521348</v>
      </c>
      <c r="AJ8769" t="s">
        <v>12714</v>
      </c>
      <c r="AK8769">
        <v>2831021334</v>
      </c>
      <c r="AL8769" t="s">
        <v>12715</v>
      </c>
      <c r="AM8769" t="s">
        <v>64</v>
      </c>
      <c r="AN8769" t="s">
        <v>65</v>
      </c>
      <c r="AO8769" t="s">
        <v>5720</v>
      </c>
      <c r="AP8769" t="s">
        <v>5721</v>
      </c>
      <c r="AQ8769">
        <v>2</v>
      </c>
      <c r="AR8769" t="s">
        <v>66</v>
      </c>
      <c r="AS8769" t="s">
        <v>67</v>
      </c>
      <c r="AT8769" t="s">
        <v>58</v>
      </c>
      <c r="AU8769" t="s">
        <v>8673</v>
      </c>
      <c r="AV8769" t="s">
        <v>132</v>
      </c>
      <c r="AW8769" s="1">
        <v>33074</v>
      </c>
      <c r="AX8769">
        <v>1</v>
      </c>
    </row>
    <row r="8770" spans="1:50">
      <c r="A8770">
        <v>614603</v>
      </c>
      <c r="B8770" t="str">
        <f>"137471484"</f>
        <v>137471484</v>
      </c>
      <c r="C8770" t="s">
        <v>50</v>
      </c>
      <c r="D8770" t="s">
        <v>13393</v>
      </c>
      <c r="E8770" t="s">
        <v>215</v>
      </c>
      <c r="F8770" t="s">
        <v>154</v>
      </c>
      <c r="G8770" t="s">
        <v>255</v>
      </c>
      <c r="H8770" t="str">
        <f>"ΠΕΤΡΟΥΛΑ 7Α ΡΕΘΥΜΝΟ"</f>
        <v>ΠΕΤΡΟΥΛΑ 7Α ΡΕΘΥΜΝΟ</v>
      </c>
      <c r="I8770">
        <v>74100</v>
      </c>
      <c r="J8770">
        <v>2831055724</v>
      </c>
      <c r="K8770">
        <v>6942883020</v>
      </c>
      <c r="N8770" t="s">
        <v>615</v>
      </c>
      <c r="O8770" t="s">
        <v>616</v>
      </c>
      <c r="R8770" t="s">
        <v>57</v>
      </c>
      <c r="S8770">
        <v>5</v>
      </c>
      <c r="T8770">
        <v>598</v>
      </c>
      <c r="U8770" s="1">
        <v>39310</v>
      </c>
      <c r="V8770" t="s">
        <v>66</v>
      </c>
      <c r="W8770" t="s">
        <v>67</v>
      </c>
      <c r="X8770" t="s">
        <v>58</v>
      </c>
      <c r="Y8770">
        <v>23</v>
      </c>
      <c r="Z8770" t="s">
        <v>59</v>
      </c>
      <c r="AA8770" t="s">
        <v>59</v>
      </c>
      <c r="AB8770" t="s">
        <v>59</v>
      </c>
      <c r="AC8770" t="s">
        <v>59</v>
      </c>
      <c r="AD8770" t="s">
        <v>59</v>
      </c>
      <c r="AF8770" s="1">
        <v>39328</v>
      </c>
      <c r="AG8770" t="s">
        <v>8645</v>
      </c>
      <c r="AH8770" t="s">
        <v>8646</v>
      </c>
      <c r="AI8770" t="str">
        <f>"9410061"</f>
        <v>9410061</v>
      </c>
      <c r="AJ8770" t="s">
        <v>12760</v>
      </c>
      <c r="AK8770">
        <v>2831024378</v>
      </c>
      <c r="AL8770" t="s">
        <v>12761</v>
      </c>
      <c r="AM8770" t="s">
        <v>64</v>
      </c>
      <c r="AN8770" t="s">
        <v>65</v>
      </c>
      <c r="AO8770" t="s">
        <v>65</v>
      </c>
      <c r="AP8770" t="s">
        <v>65</v>
      </c>
      <c r="AQ8770">
        <v>1</v>
      </c>
      <c r="AR8770" t="s">
        <v>66</v>
      </c>
      <c r="AS8770" t="s">
        <v>67</v>
      </c>
      <c r="AT8770" t="s">
        <v>58</v>
      </c>
      <c r="AU8770" t="s">
        <v>68</v>
      </c>
      <c r="AV8770" t="s">
        <v>69</v>
      </c>
      <c r="AW8770" s="1">
        <v>31013</v>
      </c>
      <c r="AX8770">
        <v>1</v>
      </c>
    </row>
    <row r="8771" spans="1:50">
      <c r="A8771">
        <v>595180</v>
      </c>
      <c r="B8771" t="str">
        <f>"075934269"</f>
        <v>075934269</v>
      </c>
      <c r="C8771" t="s">
        <v>50</v>
      </c>
      <c r="D8771" t="s">
        <v>13394</v>
      </c>
      <c r="E8771" t="s">
        <v>714</v>
      </c>
      <c r="F8771" t="s">
        <v>1543</v>
      </c>
      <c r="G8771" t="s">
        <v>83</v>
      </c>
      <c r="H8771" t="str">
        <f>"ΒΑΡΝΑΛΗ 14 ΡΕΘΥΜΝΟ"</f>
        <v>ΒΑΡΝΑΛΗ 14 ΡΕΘΥΜΝΟ</v>
      </c>
      <c r="I8771">
        <v>74100</v>
      </c>
      <c r="J8771">
        <v>2831052154</v>
      </c>
      <c r="K8771">
        <v>6970881409</v>
      </c>
      <c r="M8771" t="s">
        <v>13395</v>
      </c>
      <c r="N8771" t="s">
        <v>615</v>
      </c>
      <c r="O8771" t="s">
        <v>616</v>
      </c>
      <c r="R8771" t="s">
        <v>57</v>
      </c>
      <c r="S8771">
        <v>10</v>
      </c>
      <c r="T8771">
        <v>218</v>
      </c>
      <c r="U8771" s="1">
        <v>37134</v>
      </c>
      <c r="V8771" t="s">
        <v>66</v>
      </c>
      <c r="W8771" t="s">
        <v>67</v>
      </c>
      <c r="X8771" t="s">
        <v>58</v>
      </c>
      <c r="Y8771">
        <v>22</v>
      </c>
      <c r="Z8771" t="s">
        <v>59</v>
      </c>
      <c r="AA8771" t="s">
        <v>59</v>
      </c>
      <c r="AB8771" t="s">
        <v>59</v>
      </c>
      <c r="AC8771" t="s">
        <v>59</v>
      </c>
      <c r="AD8771" t="s">
        <v>59</v>
      </c>
      <c r="AF8771" s="1">
        <v>37138</v>
      </c>
      <c r="AG8771" t="s">
        <v>8645</v>
      </c>
      <c r="AH8771" t="s">
        <v>8646</v>
      </c>
      <c r="AI8771" t="str">
        <f>"9410241"</f>
        <v>9410241</v>
      </c>
      <c r="AJ8771" t="s">
        <v>12783</v>
      </c>
      <c r="AK8771">
        <v>2831022616</v>
      </c>
      <c r="AL8771" t="s">
        <v>12784</v>
      </c>
      <c r="AM8771" t="s">
        <v>64</v>
      </c>
      <c r="AN8771" t="s">
        <v>65</v>
      </c>
      <c r="AO8771" t="s">
        <v>65</v>
      </c>
      <c r="AP8771" t="s">
        <v>65</v>
      </c>
      <c r="AQ8771">
        <v>1</v>
      </c>
      <c r="AR8771" t="s">
        <v>66</v>
      </c>
      <c r="AS8771" t="s">
        <v>67</v>
      </c>
      <c r="AT8771" t="s">
        <v>58</v>
      </c>
      <c r="AU8771" t="s">
        <v>68</v>
      </c>
      <c r="AV8771" t="s">
        <v>69</v>
      </c>
      <c r="AW8771" s="1">
        <v>26118</v>
      </c>
      <c r="AX8771">
        <v>1</v>
      </c>
    </row>
    <row r="8772" spans="1:50">
      <c r="A8772">
        <v>585236</v>
      </c>
      <c r="B8772" t="str">
        <f>"113644092"</f>
        <v>113644092</v>
      </c>
      <c r="C8772" t="s">
        <v>50</v>
      </c>
      <c r="D8772" t="s">
        <v>5159</v>
      </c>
      <c r="E8772" t="s">
        <v>263</v>
      </c>
      <c r="F8772" t="s">
        <v>53</v>
      </c>
      <c r="G8772" t="s">
        <v>13396</v>
      </c>
      <c r="H8772" t="str">
        <f>"ΠΑΝΟΥ ΚΟΡΩΝΑΙΟΥ 26 ΡΕΘΥΜΝΟ"</f>
        <v>ΠΑΝΟΥ ΚΟΡΩΝΑΙΟΥ 26 ΡΕΘΥΜΝΟ</v>
      </c>
      <c r="I8772">
        <v>74100</v>
      </c>
      <c r="J8772">
        <v>2831022637</v>
      </c>
      <c r="K8772">
        <v>6971957258</v>
      </c>
      <c r="M8772" t="s">
        <v>13397</v>
      </c>
      <c r="N8772" t="s">
        <v>615</v>
      </c>
      <c r="O8772" t="s">
        <v>616</v>
      </c>
      <c r="R8772" t="s">
        <v>57</v>
      </c>
      <c r="S8772">
        <v>12</v>
      </c>
      <c r="T8772">
        <v>165</v>
      </c>
      <c r="U8772" s="1">
        <v>36040</v>
      </c>
      <c r="V8772" t="s">
        <v>66</v>
      </c>
      <c r="W8772" t="s">
        <v>67</v>
      </c>
      <c r="X8772" t="s">
        <v>58</v>
      </c>
      <c r="Y8772">
        <v>21</v>
      </c>
      <c r="Z8772" t="s">
        <v>59</v>
      </c>
      <c r="AA8772" t="s">
        <v>59</v>
      </c>
      <c r="AB8772" t="s">
        <v>59</v>
      </c>
      <c r="AC8772" t="s">
        <v>59</v>
      </c>
      <c r="AD8772" t="s">
        <v>59</v>
      </c>
      <c r="AF8772" s="1">
        <v>36041</v>
      </c>
      <c r="AG8772" t="s">
        <v>8645</v>
      </c>
      <c r="AH8772" t="s">
        <v>8646</v>
      </c>
      <c r="AI8772" t="str">
        <f>"9410150"</f>
        <v>9410150</v>
      </c>
      <c r="AJ8772" t="s">
        <v>12733</v>
      </c>
      <c r="AK8772">
        <v>2831052969</v>
      </c>
      <c r="AL8772" t="s">
        <v>12734</v>
      </c>
      <c r="AM8772" t="s">
        <v>64</v>
      </c>
      <c r="AN8772" t="s">
        <v>65</v>
      </c>
      <c r="AO8772" t="s">
        <v>65</v>
      </c>
      <c r="AP8772" t="s">
        <v>65</v>
      </c>
      <c r="AQ8772">
        <v>1</v>
      </c>
      <c r="AR8772" t="s">
        <v>66</v>
      </c>
      <c r="AS8772" t="s">
        <v>67</v>
      </c>
      <c r="AT8772" t="s">
        <v>58</v>
      </c>
      <c r="AU8772" t="s">
        <v>68</v>
      </c>
      <c r="AV8772" t="s">
        <v>69</v>
      </c>
      <c r="AW8772" s="1">
        <v>25214</v>
      </c>
      <c r="AX8772">
        <v>1</v>
      </c>
    </row>
    <row r="8773" spans="1:50">
      <c r="B8773" t="str">
        <f>"076189110"</f>
        <v>076189110</v>
      </c>
      <c r="C8773" t="s">
        <v>50</v>
      </c>
      <c r="D8773" t="s">
        <v>13398</v>
      </c>
      <c r="E8773" t="s">
        <v>114</v>
      </c>
      <c r="F8773" t="s">
        <v>7729</v>
      </c>
      <c r="G8773" t="s">
        <v>13399</v>
      </c>
      <c r="H8773" t="str">
        <f>" "</f>
        <v xml:space="preserve"> </v>
      </c>
      <c r="K8773">
        <v>6946096173</v>
      </c>
      <c r="M8773" t="s">
        <v>13400</v>
      </c>
      <c r="N8773" t="s">
        <v>683</v>
      </c>
      <c r="O8773" t="s">
        <v>684</v>
      </c>
      <c r="R8773" t="s">
        <v>121</v>
      </c>
      <c r="S8773">
        <v>1</v>
      </c>
      <c r="T8773" t="s">
        <v>8675</v>
      </c>
      <c r="U8773" s="1">
        <v>43348</v>
      </c>
      <c r="V8773" t="s">
        <v>66</v>
      </c>
      <c r="W8773" t="s">
        <v>67</v>
      </c>
      <c r="X8773" t="s">
        <v>58</v>
      </c>
      <c r="Y8773">
        <v>24</v>
      </c>
      <c r="Z8773" t="s">
        <v>59</v>
      </c>
      <c r="AA8773" t="s">
        <v>59</v>
      </c>
      <c r="AB8773" t="s">
        <v>59</v>
      </c>
      <c r="AD8773" t="s">
        <v>59</v>
      </c>
      <c r="AF8773" s="1">
        <v>43348</v>
      </c>
      <c r="AG8773" t="s">
        <v>8645</v>
      </c>
      <c r="AH8773" t="s">
        <v>8646</v>
      </c>
      <c r="AI8773" t="str">
        <f>"9410226"</f>
        <v>9410226</v>
      </c>
      <c r="AJ8773" t="s">
        <v>12702</v>
      </c>
      <c r="AK8773">
        <v>2831071088</v>
      </c>
      <c r="AL8773" t="s">
        <v>12703</v>
      </c>
      <c r="AM8773" t="s">
        <v>64</v>
      </c>
      <c r="AN8773" t="s">
        <v>65</v>
      </c>
      <c r="AO8773" t="s">
        <v>12694</v>
      </c>
      <c r="AP8773" t="s">
        <v>12704</v>
      </c>
      <c r="AQ8773">
        <v>3</v>
      </c>
      <c r="AR8773" t="s">
        <v>66</v>
      </c>
      <c r="AS8773" t="s">
        <v>67</v>
      </c>
      <c r="AT8773" t="s">
        <v>58</v>
      </c>
      <c r="AU8773" t="s">
        <v>8673</v>
      </c>
      <c r="AV8773" t="s">
        <v>132</v>
      </c>
      <c r="AW8773" s="1">
        <v>26430</v>
      </c>
      <c r="AX8773">
        <v>1</v>
      </c>
    </row>
    <row r="8774" spans="1:50">
      <c r="B8774" t="str">
        <f>"148067063"</f>
        <v>148067063</v>
      </c>
      <c r="C8774" t="s">
        <v>50</v>
      </c>
      <c r="D8774" t="s">
        <v>13401</v>
      </c>
      <c r="E8774" t="s">
        <v>13402</v>
      </c>
      <c r="F8774" t="s">
        <v>13403</v>
      </c>
      <c r="G8774" t="s">
        <v>13404</v>
      </c>
      <c r="H8774" t="str">
        <f>" ΔΙΚΕΛΛΑ ΕΒΡΟΥ "</f>
        <v xml:space="preserve"> ΔΙΚΕΛΛΑ ΕΒΡΟΥ </v>
      </c>
      <c r="I8774">
        <v>68100</v>
      </c>
      <c r="J8774">
        <v>2551096484</v>
      </c>
      <c r="K8774">
        <v>6932886699</v>
      </c>
      <c r="N8774" t="s">
        <v>615</v>
      </c>
      <c r="O8774" t="s">
        <v>616</v>
      </c>
      <c r="R8774" t="s">
        <v>121</v>
      </c>
      <c r="S8774">
        <v>1</v>
      </c>
      <c r="T8774" t="s">
        <v>8717</v>
      </c>
      <c r="U8774" s="1">
        <v>43348</v>
      </c>
      <c r="V8774" t="s">
        <v>66</v>
      </c>
      <c r="W8774" t="s">
        <v>67</v>
      </c>
      <c r="X8774" t="s">
        <v>58</v>
      </c>
      <c r="Y8774">
        <v>24</v>
      </c>
      <c r="Z8774" t="s">
        <v>59</v>
      </c>
      <c r="AA8774" t="s">
        <v>59</v>
      </c>
      <c r="AB8774" t="s">
        <v>59</v>
      </c>
      <c r="AC8774" t="s">
        <v>59</v>
      </c>
      <c r="AD8774" t="s">
        <v>59</v>
      </c>
      <c r="AF8774" s="1">
        <v>43348</v>
      </c>
      <c r="AG8774" t="s">
        <v>8645</v>
      </c>
      <c r="AH8774" t="s">
        <v>8646</v>
      </c>
      <c r="AI8774" t="str">
        <f>"9410114"</f>
        <v>9410114</v>
      </c>
      <c r="AJ8774" t="s">
        <v>12877</v>
      </c>
      <c r="AK8774">
        <v>2832031291</v>
      </c>
      <c r="AL8774" t="s">
        <v>12878</v>
      </c>
      <c r="AM8774" t="s">
        <v>64</v>
      </c>
      <c r="AN8774" t="s">
        <v>5882</v>
      </c>
      <c r="AO8774" t="s">
        <v>6099</v>
      </c>
      <c r="AP8774" t="s">
        <v>12815</v>
      </c>
      <c r="AQ8774">
        <v>5</v>
      </c>
      <c r="AR8774" t="s">
        <v>66</v>
      </c>
      <c r="AS8774" t="s">
        <v>67</v>
      </c>
      <c r="AT8774" t="s">
        <v>58</v>
      </c>
      <c r="AU8774" t="s">
        <v>8720</v>
      </c>
      <c r="AV8774" t="s">
        <v>132</v>
      </c>
      <c r="AW8774" s="1">
        <v>32405</v>
      </c>
      <c r="AX8774">
        <v>1</v>
      </c>
    </row>
    <row r="8775" spans="1:50">
      <c r="B8775" t="str">
        <f>"159562608"</f>
        <v>159562608</v>
      </c>
      <c r="C8775" t="s">
        <v>50</v>
      </c>
      <c r="D8775" t="s">
        <v>13405</v>
      </c>
      <c r="E8775" t="s">
        <v>71</v>
      </c>
      <c r="F8775" t="s">
        <v>95</v>
      </c>
      <c r="G8775" t="s">
        <v>714</v>
      </c>
      <c r="H8775" t="str">
        <f>" "</f>
        <v xml:space="preserve"> </v>
      </c>
      <c r="N8775" t="s">
        <v>1525</v>
      </c>
      <c r="O8775" t="s">
        <v>1526</v>
      </c>
      <c r="R8775" t="s">
        <v>121</v>
      </c>
      <c r="S8775">
        <v>1</v>
      </c>
      <c r="T8775" t="s">
        <v>13406</v>
      </c>
      <c r="U8775" s="1">
        <v>42979</v>
      </c>
      <c r="V8775" t="s">
        <v>66</v>
      </c>
      <c r="W8775" t="s">
        <v>67</v>
      </c>
      <c r="X8775" t="s">
        <v>58</v>
      </c>
      <c r="Y8775">
        <v>25</v>
      </c>
      <c r="Z8775" t="s">
        <v>59</v>
      </c>
      <c r="AA8775" t="s">
        <v>59</v>
      </c>
      <c r="AB8775" t="s">
        <v>59</v>
      </c>
      <c r="AD8775" t="s">
        <v>59</v>
      </c>
      <c r="AF8775" s="1">
        <v>42979</v>
      </c>
      <c r="AI8775" t="str">
        <f>""</f>
        <v/>
      </c>
      <c r="AS8775" t="s">
        <v>67</v>
      </c>
      <c r="AT8775" t="s">
        <v>58</v>
      </c>
      <c r="AU8775" t="s">
        <v>912</v>
      </c>
      <c r="AW8775" s="1">
        <v>34099</v>
      </c>
      <c r="AX8775">
        <v>1</v>
      </c>
    </row>
    <row r="8776" spans="1:50">
      <c r="A8776">
        <v>557794</v>
      </c>
      <c r="B8776" t="str">
        <f>"025635034"</f>
        <v>025635034</v>
      </c>
      <c r="C8776" t="s">
        <v>105</v>
      </c>
      <c r="D8776" t="s">
        <v>13407</v>
      </c>
      <c r="E8776" t="s">
        <v>95</v>
      </c>
      <c r="F8776" t="s">
        <v>920</v>
      </c>
      <c r="G8776" t="s">
        <v>71</v>
      </c>
      <c r="H8776" t="str">
        <f>"ΚΑΛΑΪΤΖΑΚΗ 3 ΡΕΘΥΜΝΟ"</f>
        <v>ΚΑΛΑΪΤΖΑΚΗ 3 ΡΕΘΥΜΝΟ</v>
      </c>
      <c r="I8776">
        <v>74100</v>
      </c>
      <c r="J8776">
        <v>2831054478</v>
      </c>
      <c r="K8776">
        <v>6980714608</v>
      </c>
      <c r="M8776" t="s">
        <v>13408</v>
      </c>
      <c r="N8776" t="s">
        <v>615</v>
      </c>
      <c r="O8776" t="s">
        <v>616</v>
      </c>
      <c r="R8776" t="s">
        <v>57</v>
      </c>
      <c r="S8776">
        <v>16</v>
      </c>
      <c r="T8776">
        <v>168</v>
      </c>
      <c r="U8776" s="1">
        <v>32010</v>
      </c>
      <c r="V8776" t="s">
        <v>66</v>
      </c>
      <c r="W8776" t="s">
        <v>67</v>
      </c>
      <c r="X8776" t="s">
        <v>58</v>
      </c>
      <c r="Y8776">
        <v>21</v>
      </c>
      <c r="Z8776" t="s">
        <v>59</v>
      </c>
      <c r="AA8776" t="s">
        <v>59</v>
      </c>
      <c r="AB8776" t="s">
        <v>59</v>
      </c>
      <c r="AC8776" t="s">
        <v>59</v>
      </c>
      <c r="AD8776" t="s">
        <v>59</v>
      </c>
      <c r="AF8776" s="1">
        <v>32021</v>
      </c>
      <c r="AG8776" t="s">
        <v>8645</v>
      </c>
      <c r="AH8776" t="s">
        <v>8646</v>
      </c>
      <c r="AI8776" t="str">
        <f>"9410241"</f>
        <v>9410241</v>
      </c>
      <c r="AJ8776" t="s">
        <v>12783</v>
      </c>
      <c r="AK8776">
        <v>2831022616</v>
      </c>
      <c r="AL8776" t="s">
        <v>12784</v>
      </c>
      <c r="AM8776" t="s">
        <v>64</v>
      </c>
      <c r="AN8776" t="s">
        <v>65</v>
      </c>
      <c r="AO8776" t="s">
        <v>65</v>
      </c>
      <c r="AP8776" t="s">
        <v>65</v>
      </c>
      <c r="AQ8776">
        <v>1</v>
      </c>
      <c r="AR8776" t="s">
        <v>66</v>
      </c>
      <c r="AS8776" t="s">
        <v>67</v>
      </c>
      <c r="AT8776" t="s">
        <v>58</v>
      </c>
      <c r="AU8776" t="s">
        <v>68</v>
      </c>
      <c r="AV8776" t="s">
        <v>69</v>
      </c>
      <c r="AW8776" s="1">
        <v>21627</v>
      </c>
      <c r="AX8776">
        <v>1</v>
      </c>
    </row>
    <row r="8777" spans="1:50">
      <c r="A8777">
        <v>577412</v>
      </c>
      <c r="B8777" t="str">
        <f>"036314207"</f>
        <v>036314207</v>
      </c>
      <c r="C8777" t="s">
        <v>105</v>
      </c>
      <c r="D8777" t="s">
        <v>7885</v>
      </c>
      <c r="E8777" t="s">
        <v>760</v>
      </c>
      <c r="F8777" t="s">
        <v>72</v>
      </c>
      <c r="G8777" t="s">
        <v>566</v>
      </c>
      <c r="H8777" t="str">
        <f>"ΕΤΕΑΡΧΟΥ 6 ΡΕΘΥΜΝΟ"</f>
        <v>ΕΤΕΑΡΧΟΥ 6 ΡΕΘΥΜΝΟ</v>
      </c>
      <c r="I8777">
        <v>74100</v>
      </c>
      <c r="J8777">
        <v>2831057810</v>
      </c>
      <c r="K8777">
        <v>6973328272</v>
      </c>
      <c r="M8777" t="s">
        <v>13409</v>
      </c>
      <c r="N8777" t="s">
        <v>176</v>
      </c>
      <c r="O8777" t="s">
        <v>177</v>
      </c>
      <c r="R8777" t="s">
        <v>57</v>
      </c>
      <c r="S8777">
        <v>11</v>
      </c>
      <c r="T8777">
        <v>184</v>
      </c>
      <c r="U8777" s="1">
        <v>34941</v>
      </c>
      <c r="V8777" t="s">
        <v>66</v>
      </c>
      <c r="W8777" t="s">
        <v>67</v>
      </c>
      <c r="X8777" t="s">
        <v>58</v>
      </c>
      <c r="Y8777">
        <v>21</v>
      </c>
      <c r="Z8777" t="s">
        <v>59</v>
      </c>
      <c r="AA8777" t="s">
        <v>59</v>
      </c>
      <c r="AB8777" t="s">
        <v>59</v>
      </c>
      <c r="AC8777" t="s">
        <v>59</v>
      </c>
      <c r="AD8777" t="s">
        <v>59</v>
      </c>
      <c r="AF8777" s="1">
        <v>34943</v>
      </c>
      <c r="AG8777" t="s">
        <v>8645</v>
      </c>
      <c r="AH8777" t="s">
        <v>8646</v>
      </c>
      <c r="AI8777" t="str">
        <f>"9410212"</f>
        <v>9410212</v>
      </c>
      <c r="AJ8777" t="s">
        <v>12747</v>
      </c>
      <c r="AK8777">
        <v>2831022132</v>
      </c>
      <c r="AL8777" t="s">
        <v>12748</v>
      </c>
      <c r="AM8777" t="s">
        <v>64</v>
      </c>
      <c r="AN8777" t="s">
        <v>65</v>
      </c>
      <c r="AO8777" t="s">
        <v>65</v>
      </c>
      <c r="AP8777" t="s">
        <v>65</v>
      </c>
      <c r="AQ8777">
        <v>1</v>
      </c>
      <c r="AR8777" t="s">
        <v>66</v>
      </c>
      <c r="AS8777" t="s">
        <v>67</v>
      </c>
      <c r="AT8777" t="s">
        <v>58</v>
      </c>
      <c r="AU8777" t="s">
        <v>68</v>
      </c>
      <c r="AV8777" t="s">
        <v>69</v>
      </c>
      <c r="AW8777" s="1">
        <v>23650</v>
      </c>
      <c r="AX8777">
        <v>1</v>
      </c>
    </row>
    <row r="8778" spans="1:50">
      <c r="B8778" t="str">
        <f>"137493685"</f>
        <v>137493685</v>
      </c>
      <c r="C8778" t="s">
        <v>50</v>
      </c>
      <c r="D8778" t="s">
        <v>13410</v>
      </c>
      <c r="E8778" t="s">
        <v>13411</v>
      </c>
      <c r="F8778" t="s">
        <v>166</v>
      </c>
      <c r="G8778" t="s">
        <v>13412</v>
      </c>
      <c r="H8778" t="str">
        <f>"Γ.ΑΝΔΡΟΥΛΙΔΑΚΗ 25 ΡΕΘΥΜΝΟ"</f>
        <v>Γ.ΑΝΔΡΟΥΛΙΔΑΚΗ 25 ΡΕΘΥΜΝΟ</v>
      </c>
      <c r="I8778">
        <v>74100</v>
      </c>
      <c r="J8778">
        <v>2831055706</v>
      </c>
      <c r="K8778">
        <v>6942785307</v>
      </c>
      <c r="L8778">
        <v>6976090235</v>
      </c>
      <c r="N8778" t="s">
        <v>8694</v>
      </c>
      <c r="O8778" t="s">
        <v>8695</v>
      </c>
      <c r="R8778" t="s">
        <v>159</v>
      </c>
      <c r="S8778">
        <v>3</v>
      </c>
      <c r="T8778" t="s">
        <v>8696</v>
      </c>
      <c r="U8778" s="1">
        <v>43348</v>
      </c>
      <c r="V8778" t="s">
        <v>66</v>
      </c>
      <c r="W8778" t="s">
        <v>67</v>
      </c>
      <c r="X8778" t="s">
        <v>58</v>
      </c>
      <c r="Y8778">
        <v>24</v>
      </c>
      <c r="Z8778" t="s">
        <v>59</v>
      </c>
      <c r="AA8778" t="s">
        <v>59</v>
      </c>
      <c r="AB8778" t="s">
        <v>59</v>
      </c>
      <c r="AC8778" t="s">
        <v>59</v>
      </c>
      <c r="AD8778" t="s">
        <v>59</v>
      </c>
      <c r="AF8778" s="1">
        <v>43348</v>
      </c>
      <c r="AG8778" t="s">
        <v>8645</v>
      </c>
      <c r="AH8778" t="s">
        <v>8646</v>
      </c>
      <c r="AI8778" t="str">
        <f>"9410241"</f>
        <v>9410241</v>
      </c>
      <c r="AJ8778" t="s">
        <v>12783</v>
      </c>
      <c r="AK8778">
        <v>2831022616</v>
      </c>
      <c r="AL8778" t="s">
        <v>12784</v>
      </c>
      <c r="AM8778" t="s">
        <v>64</v>
      </c>
      <c r="AN8778" t="s">
        <v>65</v>
      </c>
      <c r="AO8778" t="s">
        <v>65</v>
      </c>
      <c r="AP8778" t="s">
        <v>65</v>
      </c>
      <c r="AQ8778">
        <v>1</v>
      </c>
      <c r="AR8778" t="s">
        <v>66</v>
      </c>
      <c r="AS8778" t="s">
        <v>67</v>
      </c>
      <c r="AT8778" t="s">
        <v>58</v>
      </c>
      <c r="AU8778" t="s">
        <v>350</v>
      </c>
      <c r="AV8778" t="s">
        <v>132</v>
      </c>
      <c r="AW8778" s="1">
        <v>32400</v>
      </c>
      <c r="AX8778">
        <v>1</v>
      </c>
    </row>
    <row r="8779" spans="1:50">
      <c r="B8779" t="str">
        <f>"137480966"</f>
        <v>137480966</v>
      </c>
      <c r="C8779" t="s">
        <v>50</v>
      </c>
      <c r="D8779" t="s">
        <v>10797</v>
      </c>
      <c r="E8779" t="s">
        <v>263</v>
      </c>
      <c r="F8779" t="s">
        <v>166</v>
      </c>
      <c r="G8779" t="s">
        <v>109</v>
      </c>
      <c r="H8779" t="str">
        <f>"ΦΟΥΡΦΟΥΡΑΣ ΑΜΑΡΙΟΥ "</f>
        <v xml:space="preserve">ΦΟΥΡΦΟΥΡΑΣ ΑΜΑΡΙΟΥ </v>
      </c>
      <c r="I8779">
        <v>74062</v>
      </c>
      <c r="J8779">
        <v>2833041420</v>
      </c>
      <c r="K8779">
        <v>6947932934</v>
      </c>
      <c r="N8779" t="s">
        <v>615</v>
      </c>
      <c r="O8779" t="s">
        <v>616</v>
      </c>
      <c r="R8779" t="s">
        <v>159</v>
      </c>
      <c r="S8779">
        <v>4</v>
      </c>
      <c r="T8779" t="s">
        <v>8675</v>
      </c>
      <c r="U8779" s="1">
        <v>43348</v>
      </c>
      <c r="V8779" t="s">
        <v>66</v>
      </c>
      <c r="W8779" t="s">
        <v>67</v>
      </c>
      <c r="X8779" t="s">
        <v>58</v>
      </c>
      <c r="Y8779">
        <v>24</v>
      </c>
      <c r="Z8779" t="s">
        <v>59</v>
      </c>
      <c r="AA8779" t="s">
        <v>59</v>
      </c>
      <c r="AB8779" t="s">
        <v>59</v>
      </c>
      <c r="AC8779" t="s">
        <v>59</v>
      </c>
      <c r="AD8779" t="s">
        <v>59</v>
      </c>
      <c r="AF8779" s="1">
        <v>43348</v>
      </c>
      <c r="AG8779" t="s">
        <v>8645</v>
      </c>
      <c r="AH8779" t="s">
        <v>8646</v>
      </c>
      <c r="AI8779" t="str">
        <f>"9410048"</f>
        <v>9410048</v>
      </c>
      <c r="AJ8779" t="s">
        <v>12656</v>
      </c>
      <c r="AK8779">
        <v>2834020221</v>
      </c>
      <c r="AL8779" t="s">
        <v>12657</v>
      </c>
      <c r="AM8779" t="s">
        <v>64</v>
      </c>
      <c r="AN8779" t="s">
        <v>5672</v>
      </c>
      <c r="AO8779" t="s">
        <v>5673</v>
      </c>
      <c r="AP8779" t="s">
        <v>5674</v>
      </c>
      <c r="AQ8779">
        <v>10</v>
      </c>
      <c r="AR8779" t="s">
        <v>66</v>
      </c>
      <c r="AS8779" t="s">
        <v>67</v>
      </c>
      <c r="AT8779" t="s">
        <v>58</v>
      </c>
      <c r="AU8779" t="s">
        <v>8673</v>
      </c>
      <c r="AV8779" t="s">
        <v>132</v>
      </c>
      <c r="AW8779" s="1">
        <v>31691</v>
      </c>
      <c r="AX8779">
        <v>1</v>
      </c>
    </row>
    <row r="8780" spans="1:50">
      <c r="B8780" t="str">
        <f>"113624230"</f>
        <v>113624230</v>
      </c>
      <c r="C8780" t="s">
        <v>50</v>
      </c>
      <c r="D8780" t="s">
        <v>2844</v>
      </c>
      <c r="E8780" t="s">
        <v>1644</v>
      </c>
      <c r="F8780" t="s">
        <v>106</v>
      </c>
      <c r="G8780" t="s">
        <v>52</v>
      </c>
      <c r="H8780" t="str">
        <f>" "</f>
        <v xml:space="preserve"> </v>
      </c>
      <c r="N8780" t="s">
        <v>615</v>
      </c>
      <c r="O8780" t="s">
        <v>616</v>
      </c>
      <c r="R8780" t="s">
        <v>121</v>
      </c>
      <c r="S8780">
        <v>1</v>
      </c>
      <c r="T8780" t="s">
        <v>8675</v>
      </c>
      <c r="U8780" s="1">
        <v>43348</v>
      </c>
      <c r="V8780" t="s">
        <v>66</v>
      </c>
      <c r="W8780" t="s">
        <v>67</v>
      </c>
      <c r="X8780" t="s">
        <v>58</v>
      </c>
      <c r="Y8780">
        <v>24</v>
      </c>
      <c r="Z8780" t="s">
        <v>59</v>
      </c>
      <c r="AA8780" t="s">
        <v>59</v>
      </c>
      <c r="AB8780" t="s">
        <v>59</v>
      </c>
      <c r="AC8780" t="s">
        <v>59</v>
      </c>
      <c r="AD8780" t="s">
        <v>59</v>
      </c>
      <c r="AF8780" s="1">
        <v>43348</v>
      </c>
      <c r="AG8780" t="s">
        <v>8645</v>
      </c>
      <c r="AH8780" t="s">
        <v>8646</v>
      </c>
      <c r="AI8780" t="str">
        <f>"9410159"</f>
        <v>9410159</v>
      </c>
      <c r="AJ8780" t="s">
        <v>12980</v>
      </c>
      <c r="AK8780">
        <v>2831081279</v>
      </c>
      <c r="AL8780" t="s">
        <v>12981</v>
      </c>
      <c r="AM8780" t="s">
        <v>64</v>
      </c>
      <c r="AN8780" t="s">
        <v>65</v>
      </c>
      <c r="AO8780" t="s">
        <v>5657</v>
      </c>
      <c r="AP8780" t="s">
        <v>12982</v>
      </c>
      <c r="AQ8780">
        <v>4</v>
      </c>
      <c r="AR8780" t="s">
        <v>66</v>
      </c>
      <c r="AS8780" t="s">
        <v>67</v>
      </c>
      <c r="AT8780" t="s">
        <v>58</v>
      </c>
      <c r="AU8780" t="s">
        <v>8673</v>
      </c>
      <c r="AV8780" t="s">
        <v>132</v>
      </c>
      <c r="AW8780" s="1">
        <v>32925</v>
      </c>
      <c r="AX8780">
        <v>1</v>
      </c>
    </row>
    <row r="8781" spans="1:50">
      <c r="B8781" t="str">
        <f>"139444521"</f>
        <v>139444521</v>
      </c>
      <c r="C8781" t="s">
        <v>105</v>
      </c>
      <c r="D8781" t="s">
        <v>13413</v>
      </c>
      <c r="E8781" t="s">
        <v>309</v>
      </c>
      <c r="F8781" t="s">
        <v>377</v>
      </c>
      <c r="G8781" t="s">
        <v>3683</v>
      </c>
      <c r="H8781" t="str">
        <f>"11ΗΣ ΔΙΛΟΧΙΑΣ ΜΗΧΑΝΙΚΟΥ 51Α "</f>
        <v xml:space="preserve">11ΗΣ ΔΙΛΟΧΙΑΣ ΜΗΧΑΝΙΚΟΥ 51Α </v>
      </c>
      <c r="I8781">
        <v>68200</v>
      </c>
      <c r="J8781">
        <v>2552024640</v>
      </c>
      <c r="K8781">
        <v>6974710675</v>
      </c>
      <c r="N8781" t="s">
        <v>8834</v>
      </c>
      <c r="O8781" t="s">
        <v>8695</v>
      </c>
      <c r="R8781" t="s">
        <v>159</v>
      </c>
      <c r="S8781">
        <v>5</v>
      </c>
      <c r="T8781" t="s">
        <v>8835</v>
      </c>
      <c r="U8781" s="1">
        <v>43348</v>
      </c>
      <c r="V8781" t="s">
        <v>66</v>
      </c>
      <c r="W8781" t="s">
        <v>67</v>
      </c>
      <c r="X8781" t="s">
        <v>58</v>
      </c>
      <c r="Y8781">
        <v>24</v>
      </c>
      <c r="Z8781" t="s">
        <v>59</v>
      </c>
      <c r="AA8781" t="s">
        <v>59</v>
      </c>
      <c r="AB8781" t="s">
        <v>59</v>
      </c>
      <c r="AC8781" t="s">
        <v>59</v>
      </c>
      <c r="AD8781" t="s">
        <v>59</v>
      </c>
      <c r="AF8781" s="1">
        <v>43348</v>
      </c>
      <c r="AG8781" t="s">
        <v>8645</v>
      </c>
      <c r="AH8781" t="s">
        <v>8646</v>
      </c>
      <c r="AI8781" t="str">
        <f>"9410263"</f>
        <v>9410263</v>
      </c>
      <c r="AJ8781" t="s">
        <v>12672</v>
      </c>
      <c r="AK8781">
        <v>2831053818</v>
      </c>
      <c r="AL8781" t="s">
        <v>12673</v>
      </c>
      <c r="AM8781" t="s">
        <v>64</v>
      </c>
      <c r="AN8781" t="s">
        <v>65</v>
      </c>
      <c r="AO8781" t="s">
        <v>65</v>
      </c>
      <c r="AP8781" t="s">
        <v>65</v>
      </c>
      <c r="AQ8781">
        <v>1</v>
      </c>
      <c r="AR8781" t="s">
        <v>66</v>
      </c>
      <c r="AS8781" t="s">
        <v>67</v>
      </c>
      <c r="AT8781" t="s">
        <v>58</v>
      </c>
      <c r="AU8781" t="s">
        <v>131</v>
      </c>
      <c r="AV8781" t="s">
        <v>132</v>
      </c>
      <c r="AW8781" s="1">
        <v>32032</v>
      </c>
      <c r="AX8781">
        <v>1</v>
      </c>
    </row>
    <row r="8782" spans="1:50">
      <c r="B8782" t="str">
        <f>"143654533"</f>
        <v>143654533</v>
      </c>
      <c r="C8782" t="s">
        <v>105</v>
      </c>
      <c r="D8782" t="s">
        <v>13414</v>
      </c>
      <c r="E8782" t="s">
        <v>53</v>
      </c>
      <c r="F8782" t="s">
        <v>166</v>
      </c>
      <c r="G8782" t="s">
        <v>755</v>
      </c>
      <c r="H8782" t="str">
        <f>" "</f>
        <v xml:space="preserve"> </v>
      </c>
      <c r="N8782" t="s">
        <v>8834</v>
      </c>
      <c r="O8782" t="s">
        <v>8695</v>
      </c>
      <c r="R8782" t="s">
        <v>159</v>
      </c>
      <c r="S8782">
        <v>3</v>
      </c>
      <c r="T8782" t="s">
        <v>8835</v>
      </c>
      <c r="U8782" s="1">
        <v>43348</v>
      </c>
      <c r="V8782" t="s">
        <v>66</v>
      </c>
      <c r="W8782" t="s">
        <v>67</v>
      </c>
      <c r="X8782" t="s">
        <v>58</v>
      </c>
      <c r="Y8782">
        <v>24</v>
      </c>
      <c r="Z8782" t="s">
        <v>59</v>
      </c>
      <c r="AA8782" t="s">
        <v>59</v>
      </c>
      <c r="AB8782" t="s">
        <v>59</v>
      </c>
      <c r="AD8782" t="s">
        <v>59</v>
      </c>
      <c r="AF8782" s="1">
        <v>43348</v>
      </c>
      <c r="AG8782" t="s">
        <v>8645</v>
      </c>
      <c r="AH8782" t="s">
        <v>8646</v>
      </c>
      <c r="AI8782" t="str">
        <f>"9410069"</f>
        <v>9410069</v>
      </c>
      <c r="AJ8782" t="s">
        <v>12674</v>
      </c>
      <c r="AK8782">
        <v>2831029296</v>
      </c>
      <c r="AL8782" t="s">
        <v>12675</v>
      </c>
      <c r="AM8782" t="s">
        <v>64</v>
      </c>
      <c r="AN8782" t="s">
        <v>65</v>
      </c>
      <c r="AO8782" t="s">
        <v>65</v>
      </c>
      <c r="AP8782" t="s">
        <v>65</v>
      </c>
      <c r="AQ8782">
        <v>1</v>
      </c>
      <c r="AR8782" t="s">
        <v>66</v>
      </c>
      <c r="AS8782" t="s">
        <v>67</v>
      </c>
      <c r="AT8782" t="s">
        <v>58</v>
      </c>
      <c r="AU8782" t="s">
        <v>131</v>
      </c>
      <c r="AV8782" t="s">
        <v>132</v>
      </c>
      <c r="AW8782" s="1">
        <v>31994</v>
      </c>
      <c r="AX8782">
        <v>1</v>
      </c>
    </row>
    <row r="8783" spans="1:50">
      <c r="A8783">
        <v>620709</v>
      </c>
      <c r="B8783" t="str">
        <f>"064112441"</f>
        <v>064112441</v>
      </c>
      <c r="C8783" t="s">
        <v>50</v>
      </c>
      <c r="D8783" t="s">
        <v>13415</v>
      </c>
      <c r="E8783" t="s">
        <v>52</v>
      </c>
      <c r="F8783" t="s">
        <v>166</v>
      </c>
      <c r="G8783" t="s">
        <v>755</v>
      </c>
      <c r="H8783" t="str">
        <f>"ΤΣΑΚΩΝΑ 18 ΡΕΘΥΜΝΟ"</f>
        <v>ΤΣΑΚΩΝΑ 18 ΡΕΘΥΜΝΟ</v>
      </c>
      <c r="I8783">
        <v>74100</v>
      </c>
      <c r="J8783">
        <v>2831054611</v>
      </c>
      <c r="K8783">
        <v>6974846558</v>
      </c>
      <c r="N8783" t="s">
        <v>615</v>
      </c>
      <c r="O8783" t="s">
        <v>616</v>
      </c>
      <c r="R8783" t="s">
        <v>57</v>
      </c>
      <c r="S8783">
        <v>5</v>
      </c>
      <c r="T8783">
        <v>653</v>
      </c>
      <c r="U8783" s="1">
        <v>40043</v>
      </c>
      <c r="V8783" t="s">
        <v>66</v>
      </c>
      <c r="W8783" t="s">
        <v>67</v>
      </c>
      <c r="X8783" t="s">
        <v>58</v>
      </c>
      <c r="Y8783">
        <v>23</v>
      </c>
      <c r="Z8783" t="s">
        <v>59</v>
      </c>
      <c r="AA8783" t="s">
        <v>59</v>
      </c>
      <c r="AB8783" t="s">
        <v>59</v>
      </c>
      <c r="AC8783" t="s">
        <v>59</v>
      </c>
      <c r="AD8783" t="s">
        <v>59</v>
      </c>
      <c r="AF8783" s="1">
        <v>40043</v>
      </c>
      <c r="AG8783" t="s">
        <v>8645</v>
      </c>
      <c r="AH8783" t="s">
        <v>8646</v>
      </c>
      <c r="AI8783" t="str">
        <f>"9521348"</f>
        <v>9521348</v>
      </c>
      <c r="AJ8783" t="s">
        <v>12714</v>
      </c>
      <c r="AK8783">
        <v>2831021334</v>
      </c>
      <c r="AL8783" t="s">
        <v>12715</v>
      </c>
      <c r="AM8783" t="s">
        <v>64</v>
      </c>
      <c r="AN8783" t="s">
        <v>65</v>
      </c>
      <c r="AO8783" t="s">
        <v>5720</v>
      </c>
      <c r="AP8783" t="s">
        <v>5721</v>
      </c>
      <c r="AQ8783">
        <v>2</v>
      </c>
      <c r="AR8783" t="s">
        <v>66</v>
      </c>
      <c r="AS8783" t="s">
        <v>67</v>
      </c>
      <c r="AT8783" t="s">
        <v>58</v>
      </c>
      <c r="AU8783" t="s">
        <v>68</v>
      </c>
      <c r="AV8783" t="s">
        <v>69</v>
      </c>
      <c r="AW8783" s="1">
        <v>28901</v>
      </c>
      <c r="AX8783">
        <v>1</v>
      </c>
    </row>
    <row r="8784" spans="1:50">
      <c r="A8784">
        <v>607335</v>
      </c>
      <c r="B8784" t="str">
        <f>"123915224"</f>
        <v>123915224</v>
      </c>
      <c r="C8784" t="s">
        <v>50</v>
      </c>
      <c r="D8784" t="s">
        <v>13416</v>
      </c>
      <c r="E8784" t="s">
        <v>620</v>
      </c>
      <c r="F8784" t="s">
        <v>72</v>
      </c>
      <c r="G8784" t="s">
        <v>2555</v>
      </c>
      <c r="H8784" t="str">
        <f>"ΗΛΙΑ ΣΠΑΝΤΙΔΑΚΗ 10 ΡΕΘΥΜΝΟ"</f>
        <v>ΗΛΙΑ ΣΠΑΝΤΙΔΑΚΗ 10 ΡΕΘΥΜΝΟ</v>
      </c>
      <c r="I8784">
        <v>74100</v>
      </c>
      <c r="J8784">
        <v>2105019462</v>
      </c>
      <c r="K8784">
        <v>6972693434</v>
      </c>
      <c r="M8784" t="s">
        <v>13417</v>
      </c>
      <c r="N8784" t="s">
        <v>615</v>
      </c>
      <c r="O8784" t="s">
        <v>616</v>
      </c>
      <c r="R8784" t="s">
        <v>57</v>
      </c>
      <c r="S8784">
        <v>7</v>
      </c>
      <c r="T8784">
        <v>217</v>
      </c>
      <c r="U8784" s="1">
        <v>38596</v>
      </c>
      <c r="V8784" t="s">
        <v>66</v>
      </c>
      <c r="W8784" t="s">
        <v>67</v>
      </c>
      <c r="X8784" t="s">
        <v>58</v>
      </c>
      <c r="Y8784">
        <v>23</v>
      </c>
      <c r="Z8784" t="s">
        <v>59</v>
      </c>
      <c r="AA8784" t="s">
        <v>59</v>
      </c>
      <c r="AB8784" t="s">
        <v>59</v>
      </c>
      <c r="AC8784" t="s">
        <v>59</v>
      </c>
      <c r="AD8784" t="s">
        <v>59</v>
      </c>
      <c r="AF8784" s="1">
        <v>38601</v>
      </c>
      <c r="AG8784" t="s">
        <v>8645</v>
      </c>
      <c r="AH8784" t="s">
        <v>8646</v>
      </c>
      <c r="AI8784" t="str">
        <f>"9410152"</f>
        <v>9410152</v>
      </c>
      <c r="AJ8784" t="s">
        <v>12686</v>
      </c>
      <c r="AK8784">
        <v>2831029088</v>
      </c>
      <c r="AL8784" t="s">
        <v>12687</v>
      </c>
      <c r="AM8784" t="s">
        <v>64</v>
      </c>
      <c r="AN8784" t="s">
        <v>65</v>
      </c>
      <c r="AO8784" t="s">
        <v>65</v>
      </c>
      <c r="AP8784" t="s">
        <v>65</v>
      </c>
      <c r="AQ8784">
        <v>1</v>
      </c>
      <c r="AR8784" t="s">
        <v>66</v>
      </c>
      <c r="AS8784" t="s">
        <v>67</v>
      </c>
      <c r="AT8784" t="s">
        <v>58</v>
      </c>
      <c r="AU8784" t="s">
        <v>68</v>
      </c>
      <c r="AV8784" t="s">
        <v>69</v>
      </c>
      <c r="AW8784" s="1">
        <v>29980</v>
      </c>
      <c r="AX8784">
        <v>1</v>
      </c>
    </row>
    <row r="8785" spans="1:50">
      <c r="B8785" t="str">
        <f>"110840779"</f>
        <v>110840779</v>
      </c>
      <c r="C8785" t="s">
        <v>105</v>
      </c>
      <c r="D8785" t="s">
        <v>13418</v>
      </c>
      <c r="E8785" t="s">
        <v>309</v>
      </c>
      <c r="F8785" t="s">
        <v>670</v>
      </c>
      <c r="G8785" t="s">
        <v>5556</v>
      </c>
      <c r="H8785" t="str">
        <f>" "</f>
        <v xml:space="preserve"> </v>
      </c>
      <c r="N8785" t="s">
        <v>683</v>
      </c>
      <c r="O8785" t="s">
        <v>684</v>
      </c>
      <c r="R8785" t="s">
        <v>121</v>
      </c>
      <c r="S8785">
        <v>1</v>
      </c>
      <c r="T8785" t="s">
        <v>8675</v>
      </c>
      <c r="U8785" s="1">
        <v>43348</v>
      </c>
      <c r="V8785" t="s">
        <v>66</v>
      </c>
      <c r="W8785" t="s">
        <v>67</v>
      </c>
      <c r="X8785" t="s">
        <v>58</v>
      </c>
      <c r="Y8785">
        <v>24</v>
      </c>
      <c r="Z8785" t="s">
        <v>59</v>
      </c>
      <c r="AA8785" t="s">
        <v>59</v>
      </c>
      <c r="AB8785" t="s">
        <v>59</v>
      </c>
      <c r="AD8785" t="s">
        <v>59</v>
      </c>
      <c r="AF8785" s="1">
        <v>43348</v>
      </c>
      <c r="AG8785" t="s">
        <v>8645</v>
      </c>
      <c r="AH8785" t="s">
        <v>8646</v>
      </c>
      <c r="AI8785" t="str">
        <f>"9410030"</f>
        <v>9410030</v>
      </c>
      <c r="AJ8785" t="s">
        <v>12743</v>
      </c>
      <c r="AK8785">
        <v>2834093217</v>
      </c>
      <c r="AL8785" t="s">
        <v>12744</v>
      </c>
      <c r="AM8785" t="s">
        <v>64</v>
      </c>
      <c r="AN8785" t="s">
        <v>65</v>
      </c>
      <c r="AO8785" t="s">
        <v>12694</v>
      </c>
      <c r="AP8785" t="s">
        <v>12745</v>
      </c>
      <c r="AQ8785">
        <v>3</v>
      </c>
      <c r="AR8785" t="s">
        <v>66</v>
      </c>
      <c r="AS8785" t="s">
        <v>67</v>
      </c>
      <c r="AT8785" t="s">
        <v>58</v>
      </c>
      <c r="AU8785" t="s">
        <v>8673</v>
      </c>
      <c r="AV8785" t="s">
        <v>132</v>
      </c>
      <c r="AW8785" s="1">
        <v>34170</v>
      </c>
      <c r="AX8785">
        <v>1</v>
      </c>
    </row>
    <row r="8786" spans="1:50">
      <c r="A8786">
        <v>599260</v>
      </c>
      <c r="B8786" t="str">
        <f>"053500063"</f>
        <v>053500063</v>
      </c>
      <c r="C8786" t="s">
        <v>105</v>
      </c>
      <c r="D8786" t="s">
        <v>13419</v>
      </c>
      <c r="E8786" t="s">
        <v>279</v>
      </c>
      <c r="F8786" t="s">
        <v>13420</v>
      </c>
      <c r="G8786" t="s">
        <v>52</v>
      </c>
      <c r="H8786" t="str">
        <f>"ΕΤΕΑΡΧΟΥ 24 ΡΕΘΥΜΝΟ"</f>
        <v>ΕΤΕΑΡΧΟΥ 24 ΡΕΘΥΜΝΟ</v>
      </c>
      <c r="I8786">
        <v>74100</v>
      </c>
      <c r="J8786">
        <v>2831023264</v>
      </c>
      <c r="K8786">
        <v>6978505478</v>
      </c>
      <c r="N8786" t="s">
        <v>615</v>
      </c>
      <c r="O8786" t="s">
        <v>616</v>
      </c>
      <c r="R8786" t="s">
        <v>57</v>
      </c>
      <c r="S8786">
        <v>9</v>
      </c>
      <c r="T8786">
        <v>195</v>
      </c>
      <c r="U8786" s="1">
        <v>37497</v>
      </c>
      <c r="V8786" t="s">
        <v>66</v>
      </c>
      <c r="W8786" t="s">
        <v>67</v>
      </c>
      <c r="X8786" t="s">
        <v>58</v>
      </c>
      <c r="Y8786">
        <v>22</v>
      </c>
      <c r="Z8786" t="s">
        <v>59</v>
      </c>
      <c r="AA8786" t="s">
        <v>59</v>
      </c>
      <c r="AB8786" t="s">
        <v>59</v>
      </c>
      <c r="AC8786" t="s">
        <v>59</v>
      </c>
      <c r="AD8786" t="s">
        <v>59</v>
      </c>
      <c r="AF8786" s="1">
        <v>37501</v>
      </c>
      <c r="AG8786" t="s">
        <v>8645</v>
      </c>
      <c r="AH8786" t="s">
        <v>8646</v>
      </c>
      <c r="AI8786" t="str">
        <f>"9410167"</f>
        <v>9410167</v>
      </c>
      <c r="AJ8786" t="s">
        <v>12911</v>
      </c>
      <c r="AK8786">
        <v>2831031455</v>
      </c>
      <c r="AL8786" t="s">
        <v>12912</v>
      </c>
      <c r="AM8786" t="s">
        <v>64</v>
      </c>
      <c r="AN8786" t="s">
        <v>65</v>
      </c>
      <c r="AO8786" t="s">
        <v>5720</v>
      </c>
      <c r="AP8786" t="s">
        <v>12913</v>
      </c>
      <c r="AQ8786">
        <v>2</v>
      </c>
      <c r="AR8786" t="s">
        <v>66</v>
      </c>
      <c r="AS8786" t="s">
        <v>67</v>
      </c>
      <c r="AT8786" t="s">
        <v>58</v>
      </c>
      <c r="AU8786" t="s">
        <v>68</v>
      </c>
      <c r="AV8786" t="s">
        <v>69</v>
      </c>
      <c r="AW8786" s="1">
        <v>24527</v>
      </c>
      <c r="AX8786">
        <v>1</v>
      </c>
    </row>
    <row r="8787" spans="1:50">
      <c r="B8787" t="str">
        <f>"066839059"</f>
        <v>066839059</v>
      </c>
      <c r="C8787" t="s">
        <v>105</v>
      </c>
      <c r="D8787" t="s">
        <v>13421</v>
      </c>
      <c r="E8787" t="s">
        <v>936</v>
      </c>
      <c r="F8787" t="s">
        <v>53</v>
      </c>
      <c r="G8787" t="s">
        <v>237</v>
      </c>
      <c r="H8787" t="str">
        <f>"ΣΦΑΚΙΩΝ 60 ΧΑΝΙΑ"</f>
        <v>ΣΦΑΚΙΩΝ 60 ΧΑΝΙΑ</v>
      </c>
      <c r="I8787">
        <v>73100</v>
      </c>
      <c r="J8787">
        <v>2821055831</v>
      </c>
      <c r="K8787">
        <v>6974357682</v>
      </c>
      <c r="N8787" t="s">
        <v>204</v>
      </c>
      <c r="O8787" t="s">
        <v>205</v>
      </c>
      <c r="R8787" t="s">
        <v>159</v>
      </c>
      <c r="S8787">
        <v>3</v>
      </c>
      <c r="T8787" t="s">
        <v>8675</v>
      </c>
      <c r="U8787" s="1">
        <v>43348</v>
      </c>
      <c r="V8787" t="s">
        <v>66</v>
      </c>
      <c r="W8787" t="s">
        <v>67</v>
      </c>
      <c r="X8787" t="s">
        <v>58</v>
      </c>
      <c r="Y8787">
        <v>24</v>
      </c>
      <c r="Z8787" t="s">
        <v>59</v>
      </c>
      <c r="AA8787" t="s">
        <v>59</v>
      </c>
      <c r="AB8787" t="s">
        <v>59</v>
      </c>
      <c r="AC8787" t="s">
        <v>59</v>
      </c>
      <c r="AD8787" t="s">
        <v>59</v>
      </c>
      <c r="AF8787" s="1">
        <v>43348</v>
      </c>
      <c r="AG8787" t="s">
        <v>8645</v>
      </c>
      <c r="AH8787" t="s">
        <v>8646</v>
      </c>
      <c r="AI8787" t="str">
        <f>"9410065"</f>
        <v>9410065</v>
      </c>
      <c r="AJ8787" t="s">
        <v>12717</v>
      </c>
      <c r="AK8787">
        <v>2831022519</v>
      </c>
      <c r="AL8787" t="s">
        <v>12718</v>
      </c>
      <c r="AM8787" t="s">
        <v>64</v>
      </c>
      <c r="AN8787" t="s">
        <v>65</v>
      </c>
      <c r="AO8787" t="s">
        <v>65</v>
      </c>
      <c r="AP8787" t="s">
        <v>65</v>
      </c>
      <c r="AQ8787">
        <v>1</v>
      </c>
      <c r="AR8787" t="s">
        <v>66</v>
      </c>
      <c r="AS8787" t="s">
        <v>67</v>
      </c>
      <c r="AT8787" t="s">
        <v>58</v>
      </c>
      <c r="AU8787" t="s">
        <v>8673</v>
      </c>
      <c r="AV8787" t="s">
        <v>132</v>
      </c>
      <c r="AW8787" s="1">
        <v>29401</v>
      </c>
      <c r="AX8787">
        <v>1</v>
      </c>
    </row>
    <row r="8788" spans="1:50">
      <c r="A8788">
        <v>593203</v>
      </c>
      <c r="B8788" t="str">
        <f>"113632068"</f>
        <v>113632068</v>
      </c>
      <c r="C8788" t="s">
        <v>50</v>
      </c>
      <c r="D8788" t="s">
        <v>2875</v>
      </c>
      <c r="E8788" t="s">
        <v>801</v>
      </c>
      <c r="F8788" t="s">
        <v>106</v>
      </c>
      <c r="G8788" t="s">
        <v>237</v>
      </c>
      <c r="H8788" t="str">
        <f>"ΧΑΝΙΩΝ 12 ΡΕΘΥΜΝΟ"</f>
        <v>ΧΑΝΙΩΝ 12 ΡΕΘΥΜΝΟ</v>
      </c>
      <c r="I8788">
        <v>74100</v>
      </c>
      <c r="J8788">
        <v>2831057979</v>
      </c>
      <c r="K8788">
        <v>6947297172</v>
      </c>
      <c r="N8788" t="s">
        <v>615</v>
      </c>
      <c r="O8788" t="s">
        <v>616</v>
      </c>
      <c r="R8788" t="s">
        <v>57</v>
      </c>
      <c r="S8788">
        <v>8</v>
      </c>
      <c r="T8788">
        <v>218</v>
      </c>
      <c r="U8788" s="1">
        <v>37134</v>
      </c>
      <c r="V8788" t="s">
        <v>66</v>
      </c>
      <c r="W8788" t="s">
        <v>67</v>
      </c>
      <c r="X8788" t="s">
        <v>58</v>
      </c>
      <c r="Y8788">
        <v>22</v>
      </c>
      <c r="Z8788" t="s">
        <v>59</v>
      </c>
      <c r="AA8788" t="s">
        <v>59</v>
      </c>
      <c r="AB8788" t="s">
        <v>59</v>
      </c>
      <c r="AC8788" t="s">
        <v>59</v>
      </c>
      <c r="AD8788" t="s">
        <v>59</v>
      </c>
      <c r="AF8788" s="1">
        <v>37138</v>
      </c>
      <c r="AG8788" t="s">
        <v>8645</v>
      </c>
      <c r="AH8788" t="s">
        <v>8646</v>
      </c>
      <c r="AI8788" t="str">
        <f>"9410155"</f>
        <v>9410155</v>
      </c>
      <c r="AJ8788" t="s">
        <v>12663</v>
      </c>
      <c r="AK8788">
        <v>2831028697</v>
      </c>
      <c r="AL8788" t="s">
        <v>12664</v>
      </c>
      <c r="AM8788" t="s">
        <v>64</v>
      </c>
      <c r="AN8788" t="s">
        <v>65</v>
      </c>
      <c r="AO8788" t="s">
        <v>65</v>
      </c>
      <c r="AP8788" t="s">
        <v>65</v>
      </c>
      <c r="AQ8788">
        <v>1</v>
      </c>
      <c r="AR8788" t="s">
        <v>66</v>
      </c>
      <c r="AS8788" t="s">
        <v>67</v>
      </c>
      <c r="AT8788" t="s">
        <v>58</v>
      </c>
      <c r="AU8788" t="s">
        <v>68</v>
      </c>
      <c r="AV8788" t="s">
        <v>69</v>
      </c>
      <c r="AW8788" s="1">
        <v>26675</v>
      </c>
      <c r="AX8788">
        <v>1</v>
      </c>
    </row>
    <row r="8789" spans="1:50">
      <c r="A8789">
        <v>701094</v>
      </c>
      <c r="B8789" t="str">
        <f>"140838040"</f>
        <v>140838040</v>
      </c>
      <c r="C8789" t="s">
        <v>50</v>
      </c>
      <c r="D8789" t="s">
        <v>13422</v>
      </c>
      <c r="E8789" t="s">
        <v>263</v>
      </c>
      <c r="F8789" t="s">
        <v>309</v>
      </c>
      <c r="G8789" t="s">
        <v>155</v>
      </c>
      <c r="H8789" t="str">
        <f>"ΣΟΥΡΜΕΝΩΝ 30-32 ΚΑΛΑΜΑΡΙΑ ΘΕΣΣΑΛΟΝΙΚΗΣ"</f>
        <v>ΣΟΥΡΜΕΝΩΝ 30-32 ΚΑΛΑΜΑΡΙΑ ΘΕΣΣΑΛΟΝΙΚΗΣ</v>
      </c>
      <c r="I8789">
        <v>55131</v>
      </c>
      <c r="J8789">
        <v>2310410650</v>
      </c>
      <c r="K8789">
        <v>6974497298</v>
      </c>
      <c r="M8789" t="s">
        <v>13423</v>
      </c>
      <c r="N8789" t="s">
        <v>615</v>
      </c>
      <c r="O8789" t="s">
        <v>616</v>
      </c>
      <c r="R8789" t="s">
        <v>57</v>
      </c>
      <c r="S8789">
        <v>4</v>
      </c>
      <c r="T8789">
        <v>772</v>
      </c>
      <c r="U8789" s="1">
        <v>40413</v>
      </c>
      <c r="V8789" t="s">
        <v>66</v>
      </c>
      <c r="W8789" t="s">
        <v>67</v>
      </c>
      <c r="X8789" t="s">
        <v>58</v>
      </c>
      <c r="Y8789">
        <v>25</v>
      </c>
      <c r="Z8789" t="s">
        <v>59</v>
      </c>
      <c r="AA8789" t="s">
        <v>59</v>
      </c>
      <c r="AB8789" t="s">
        <v>59</v>
      </c>
      <c r="AC8789" t="s">
        <v>59</v>
      </c>
      <c r="AD8789" t="s">
        <v>59</v>
      </c>
      <c r="AF8789" s="1">
        <v>40413</v>
      </c>
      <c r="AG8789" t="s">
        <v>8645</v>
      </c>
      <c r="AH8789" t="s">
        <v>8676</v>
      </c>
      <c r="AI8789" t="str">
        <f>"9410145"</f>
        <v>9410145</v>
      </c>
      <c r="AJ8789" t="s">
        <v>13424</v>
      </c>
      <c r="AK8789">
        <v>2833041268</v>
      </c>
      <c r="AL8789" t="s">
        <v>13425</v>
      </c>
      <c r="AM8789" t="s">
        <v>64</v>
      </c>
      <c r="AN8789" t="s">
        <v>5713</v>
      </c>
      <c r="AO8789" t="s">
        <v>5780</v>
      </c>
      <c r="AP8789" t="s">
        <v>5781</v>
      </c>
      <c r="AQ8789">
        <v>6</v>
      </c>
      <c r="AR8789" t="s">
        <v>66</v>
      </c>
      <c r="AS8789" t="s">
        <v>67</v>
      </c>
      <c r="AT8789" t="s">
        <v>58</v>
      </c>
      <c r="AU8789" t="s">
        <v>68</v>
      </c>
      <c r="AV8789" t="s">
        <v>69</v>
      </c>
      <c r="AW8789" s="1">
        <v>31755</v>
      </c>
      <c r="AX8789">
        <v>1</v>
      </c>
    </row>
    <row r="8790" spans="1:50">
      <c r="A8790">
        <v>581925</v>
      </c>
      <c r="B8790" t="str">
        <f>"065969772"</f>
        <v>065969772</v>
      </c>
      <c r="C8790" t="s">
        <v>50</v>
      </c>
      <c r="D8790" t="s">
        <v>13426</v>
      </c>
      <c r="E8790" t="s">
        <v>52</v>
      </c>
      <c r="F8790" t="s">
        <v>510</v>
      </c>
      <c r="G8790" t="s">
        <v>255</v>
      </c>
      <c r="H8790" t="str">
        <f>"ΘΕΟΤΟΚΟΠΟΥΛΟΥ 59 ΧΑΝΙΑ"</f>
        <v>ΘΕΟΤΟΚΟΠΟΥΛΟΥ 59 ΧΑΝΙΑ</v>
      </c>
      <c r="I8790">
        <v>73100</v>
      </c>
      <c r="K8790">
        <v>6944712272</v>
      </c>
      <c r="N8790" t="s">
        <v>615</v>
      </c>
      <c r="O8790" t="s">
        <v>616</v>
      </c>
      <c r="R8790" t="s">
        <v>57</v>
      </c>
      <c r="S8790">
        <v>11</v>
      </c>
      <c r="T8790">
        <v>179</v>
      </c>
      <c r="U8790" s="1">
        <v>35674</v>
      </c>
      <c r="V8790" t="s">
        <v>66</v>
      </c>
      <c r="W8790" t="s">
        <v>67</v>
      </c>
      <c r="X8790" t="s">
        <v>58</v>
      </c>
      <c r="Y8790">
        <v>21</v>
      </c>
      <c r="Z8790" t="s">
        <v>59</v>
      </c>
      <c r="AA8790" t="s">
        <v>59</v>
      </c>
      <c r="AB8790" t="s">
        <v>59</v>
      </c>
      <c r="AC8790" t="s">
        <v>59</v>
      </c>
      <c r="AD8790" t="s">
        <v>59</v>
      </c>
      <c r="AF8790" s="1">
        <v>35675</v>
      </c>
      <c r="AG8790" t="s">
        <v>8645</v>
      </c>
      <c r="AH8790" t="s">
        <v>8646</v>
      </c>
      <c r="AI8790" t="str">
        <f>"9410006"</f>
        <v>9410006</v>
      </c>
      <c r="AJ8790" t="s">
        <v>12902</v>
      </c>
      <c r="AK8790">
        <v>2834022320</v>
      </c>
      <c r="AL8790" t="s">
        <v>12903</v>
      </c>
      <c r="AM8790" t="s">
        <v>64</v>
      </c>
      <c r="AN8790" t="s">
        <v>5672</v>
      </c>
      <c r="AO8790" t="s">
        <v>5673</v>
      </c>
      <c r="AP8790" t="s">
        <v>12904</v>
      </c>
      <c r="AQ8790">
        <v>8</v>
      </c>
      <c r="AR8790" t="s">
        <v>66</v>
      </c>
      <c r="AS8790" t="s">
        <v>67</v>
      </c>
      <c r="AT8790" t="s">
        <v>58</v>
      </c>
      <c r="AU8790" t="s">
        <v>68</v>
      </c>
      <c r="AV8790" t="s">
        <v>69</v>
      </c>
      <c r="AW8790" s="1">
        <v>24588</v>
      </c>
      <c r="AX8790">
        <v>1</v>
      </c>
    </row>
    <row r="8791" spans="1:50">
      <c r="A8791">
        <v>611962</v>
      </c>
      <c r="B8791" t="str">
        <f>"112493982"</f>
        <v>112493982</v>
      </c>
      <c r="C8791" t="s">
        <v>50</v>
      </c>
      <c r="D8791" t="s">
        <v>13427</v>
      </c>
      <c r="E8791" t="s">
        <v>13428</v>
      </c>
      <c r="F8791" t="s">
        <v>309</v>
      </c>
      <c r="G8791" t="s">
        <v>237</v>
      </c>
      <c r="H8791" t="str">
        <f>" "</f>
        <v xml:space="preserve"> </v>
      </c>
      <c r="J8791">
        <v>2831029719</v>
      </c>
      <c r="K8791">
        <v>6978005369</v>
      </c>
      <c r="N8791" t="s">
        <v>1525</v>
      </c>
      <c r="O8791" t="s">
        <v>1526</v>
      </c>
      <c r="R8791" t="s">
        <v>57</v>
      </c>
      <c r="S8791">
        <v>6</v>
      </c>
      <c r="T8791">
        <v>233</v>
      </c>
      <c r="U8791" s="1">
        <v>38960</v>
      </c>
      <c r="V8791" t="s">
        <v>66</v>
      </c>
      <c r="W8791" t="s">
        <v>67</v>
      </c>
      <c r="X8791" t="s">
        <v>58</v>
      </c>
      <c r="Y8791">
        <v>25</v>
      </c>
      <c r="Z8791" t="s">
        <v>59</v>
      </c>
      <c r="AA8791" t="s">
        <v>59</v>
      </c>
      <c r="AB8791" t="s">
        <v>59</v>
      </c>
      <c r="AC8791" t="s">
        <v>59</v>
      </c>
      <c r="AD8791" t="s">
        <v>59</v>
      </c>
      <c r="AF8791" s="1">
        <v>38961</v>
      </c>
      <c r="AG8791" t="s">
        <v>8651</v>
      </c>
      <c r="AH8791" t="s">
        <v>8652</v>
      </c>
      <c r="AI8791" t="str">
        <f>"9410205"</f>
        <v>9410205</v>
      </c>
      <c r="AJ8791" t="s">
        <v>13429</v>
      </c>
      <c r="AK8791">
        <v>2831031637</v>
      </c>
      <c r="AL8791" t="s">
        <v>13430</v>
      </c>
      <c r="AM8791" t="s">
        <v>64</v>
      </c>
      <c r="AN8791" t="s">
        <v>65</v>
      </c>
      <c r="AO8791" t="s">
        <v>5720</v>
      </c>
      <c r="AP8791" t="s">
        <v>5721</v>
      </c>
      <c r="AQ8791">
        <v>2</v>
      </c>
      <c r="AR8791" t="s">
        <v>66</v>
      </c>
      <c r="AS8791" t="s">
        <v>67</v>
      </c>
      <c r="AT8791" t="s">
        <v>58</v>
      </c>
      <c r="AU8791" t="s">
        <v>68</v>
      </c>
      <c r="AV8791" t="s">
        <v>69</v>
      </c>
      <c r="AW8791" s="1">
        <v>29252</v>
      </c>
      <c r="AX8791">
        <v>1</v>
      </c>
    </row>
    <row r="8792" spans="1:50">
      <c r="A8792">
        <v>579514</v>
      </c>
      <c r="B8792" t="str">
        <f>"034668616"</f>
        <v>034668616</v>
      </c>
      <c r="C8792" t="s">
        <v>105</v>
      </c>
      <c r="D8792" t="s">
        <v>13431</v>
      </c>
      <c r="E8792" t="s">
        <v>7729</v>
      </c>
      <c r="F8792" t="s">
        <v>670</v>
      </c>
      <c r="G8792" t="s">
        <v>372</v>
      </c>
      <c r="H8792" t="str">
        <f>" "</f>
        <v xml:space="preserve"> </v>
      </c>
      <c r="J8792">
        <v>2831050106</v>
      </c>
      <c r="K8792">
        <v>6932507965</v>
      </c>
      <c r="N8792" t="s">
        <v>615</v>
      </c>
      <c r="O8792" t="s">
        <v>616</v>
      </c>
      <c r="R8792" t="s">
        <v>57</v>
      </c>
      <c r="S8792">
        <v>12</v>
      </c>
      <c r="T8792">
        <v>165</v>
      </c>
      <c r="U8792" s="1">
        <v>35300</v>
      </c>
      <c r="V8792" t="s">
        <v>66</v>
      </c>
      <c r="W8792" t="s">
        <v>67</v>
      </c>
      <c r="X8792" t="s">
        <v>58</v>
      </c>
      <c r="Y8792">
        <v>21</v>
      </c>
      <c r="Z8792" t="s">
        <v>59</v>
      </c>
      <c r="AA8792" t="s">
        <v>59</v>
      </c>
      <c r="AB8792" t="s">
        <v>59</v>
      </c>
      <c r="AC8792" t="s">
        <v>59</v>
      </c>
      <c r="AD8792" t="s">
        <v>59</v>
      </c>
      <c r="AF8792" s="1">
        <v>35313</v>
      </c>
      <c r="AG8792" t="s">
        <v>8645</v>
      </c>
      <c r="AH8792" t="s">
        <v>8697</v>
      </c>
      <c r="AI8792" t="str">
        <f>"9410243"</f>
        <v>9410243</v>
      </c>
      <c r="AJ8792" t="s">
        <v>12885</v>
      </c>
      <c r="AK8792">
        <v>2831026710</v>
      </c>
      <c r="AL8792" t="s">
        <v>12886</v>
      </c>
      <c r="AM8792" t="s">
        <v>64</v>
      </c>
      <c r="AN8792" t="s">
        <v>65</v>
      </c>
      <c r="AO8792" t="s">
        <v>65</v>
      </c>
      <c r="AP8792" t="s">
        <v>65</v>
      </c>
      <c r="AQ8792">
        <v>1</v>
      </c>
      <c r="AR8792" t="s">
        <v>66</v>
      </c>
      <c r="AS8792" t="s">
        <v>67</v>
      </c>
      <c r="AT8792" t="s">
        <v>58</v>
      </c>
      <c r="AU8792" t="s">
        <v>68</v>
      </c>
      <c r="AV8792" t="s">
        <v>69</v>
      </c>
      <c r="AW8792" s="1">
        <v>24915</v>
      </c>
      <c r="AX8792">
        <v>1</v>
      </c>
    </row>
    <row r="8793" spans="1:50">
      <c r="B8793" t="str">
        <f>"124490669"</f>
        <v>124490669</v>
      </c>
      <c r="C8793" t="s">
        <v>50</v>
      </c>
      <c r="D8793" t="s">
        <v>13432</v>
      </c>
      <c r="E8793" t="s">
        <v>1345</v>
      </c>
      <c r="F8793" t="s">
        <v>95</v>
      </c>
      <c r="G8793" t="s">
        <v>1085</v>
      </c>
      <c r="H8793" t="str">
        <f>"ΕΜ.-ΙΩΑΝ. ΒΟΓΙΑΤΖΑΚΗ "</f>
        <v xml:space="preserve">ΕΜ.-ΙΩΑΝ. ΒΟΓΙΑΤΖΑΚΗ </v>
      </c>
      <c r="I8793">
        <v>74100</v>
      </c>
      <c r="J8793">
        <v>2831055807</v>
      </c>
      <c r="K8793">
        <v>6975829028</v>
      </c>
      <c r="N8793" t="s">
        <v>615</v>
      </c>
      <c r="O8793" t="s">
        <v>616</v>
      </c>
      <c r="R8793" t="s">
        <v>159</v>
      </c>
      <c r="S8793">
        <v>2</v>
      </c>
      <c r="T8793" t="s">
        <v>8675</v>
      </c>
      <c r="U8793" s="1">
        <v>43348</v>
      </c>
      <c r="V8793" t="s">
        <v>66</v>
      </c>
      <c r="W8793" t="s">
        <v>67</v>
      </c>
      <c r="X8793" t="s">
        <v>58</v>
      </c>
      <c r="Y8793">
        <v>24</v>
      </c>
      <c r="Z8793" t="s">
        <v>59</v>
      </c>
      <c r="AA8793" t="s">
        <v>59</v>
      </c>
      <c r="AB8793" t="s">
        <v>59</v>
      </c>
      <c r="AC8793" t="s">
        <v>59</v>
      </c>
      <c r="AD8793" t="s">
        <v>59</v>
      </c>
      <c r="AF8793" s="1">
        <v>43348</v>
      </c>
      <c r="AG8793" t="s">
        <v>8645</v>
      </c>
      <c r="AH8793" t="s">
        <v>8676</v>
      </c>
      <c r="AI8793" t="str">
        <f>"9410145"</f>
        <v>9410145</v>
      </c>
      <c r="AJ8793" t="s">
        <v>13424</v>
      </c>
      <c r="AK8793">
        <v>2833041268</v>
      </c>
      <c r="AL8793" t="s">
        <v>13425</v>
      </c>
      <c r="AM8793" t="s">
        <v>64</v>
      </c>
      <c r="AN8793" t="s">
        <v>5713</v>
      </c>
      <c r="AO8793" t="s">
        <v>5780</v>
      </c>
      <c r="AP8793" t="s">
        <v>5781</v>
      </c>
      <c r="AQ8793">
        <v>6</v>
      </c>
      <c r="AR8793" t="s">
        <v>66</v>
      </c>
      <c r="AS8793" t="s">
        <v>67</v>
      </c>
      <c r="AT8793" t="s">
        <v>58</v>
      </c>
      <c r="AU8793" t="s">
        <v>8673</v>
      </c>
      <c r="AV8793" t="s">
        <v>132</v>
      </c>
      <c r="AW8793" s="1">
        <v>29435</v>
      </c>
      <c r="AX8793">
        <v>1</v>
      </c>
    </row>
    <row r="8794" spans="1:50">
      <c r="B8794" t="str">
        <f>"152588209"</f>
        <v>152588209</v>
      </c>
      <c r="C8794" t="s">
        <v>50</v>
      </c>
      <c r="D8794" t="s">
        <v>13433</v>
      </c>
      <c r="E8794" t="s">
        <v>4729</v>
      </c>
      <c r="F8794" t="s">
        <v>95</v>
      </c>
      <c r="G8794" t="s">
        <v>964</v>
      </c>
      <c r="H8794" t="str">
        <f>"Ελευθερίου Βενιζέλου 4 Σητείας"</f>
        <v>Ελευθερίου Βενιζέλου 4 Σητείας</v>
      </c>
      <c r="K8794">
        <v>6980746339</v>
      </c>
      <c r="N8794" t="s">
        <v>8834</v>
      </c>
      <c r="O8794" t="s">
        <v>8695</v>
      </c>
      <c r="R8794" t="s">
        <v>159</v>
      </c>
      <c r="S8794">
        <v>3</v>
      </c>
      <c r="T8794" t="s">
        <v>8835</v>
      </c>
      <c r="U8794" s="1">
        <v>43348</v>
      </c>
      <c r="V8794" t="s">
        <v>66</v>
      </c>
      <c r="W8794" t="s">
        <v>67</v>
      </c>
      <c r="X8794" t="s">
        <v>58</v>
      </c>
      <c r="Y8794">
        <v>24</v>
      </c>
      <c r="Z8794" t="s">
        <v>59</v>
      </c>
      <c r="AA8794" t="s">
        <v>59</v>
      </c>
      <c r="AB8794" t="s">
        <v>59</v>
      </c>
      <c r="AD8794" t="s">
        <v>59</v>
      </c>
      <c r="AF8794" s="1">
        <v>43348</v>
      </c>
      <c r="AG8794" t="s">
        <v>8645</v>
      </c>
      <c r="AH8794" t="s">
        <v>8646</v>
      </c>
      <c r="AI8794" t="str">
        <f>"9410120"</f>
        <v>9410120</v>
      </c>
      <c r="AJ8794" t="s">
        <v>12681</v>
      </c>
      <c r="AK8794">
        <v>6978148714</v>
      </c>
      <c r="AL8794" t="s">
        <v>12682</v>
      </c>
      <c r="AM8794" t="s">
        <v>64</v>
      </c>
      <c r="AN8794" t="s">
        <v>5882</v>
      </c>
      <c r="AO8794" t="s">
        <v>5883</v>
      </c>
      <c r="AP8794" t="s">
        <v>5884</v>
      </c>
      <c r="AQ8794">
        <v>5</v>
      </c>
      <c r="AR8794" t="s">
        <v>66</v>
      </c>
      <c r="AS8794" t="s">
        <v>67</v>
      </c>
      <c r="AT8794" t="s">
        <v>58</v>
      </c>
      <c r="AU8794" t="s">
        <v>131</v>
      </c>
      <c r="AV8794" t="s">
        <v>132</v>
      </c>
      <c r="AW8794" s="1">
        <v>32887</v>
      </c>
      <c r="AX8794">
        <v>1</v>
      </c>
    </row>
    <row r="8795" spans="1:50">
      <c r="B8795" t="str">
        <f>"132474829"</f>
        <v>132474829</v>
      </c>
      <c r="C8795" t="s">
        <v>50</v>
      </c>
      <c r="D8795" t="s">
        <v>13434</v>
      </c>
      <c r="E8795" t="s">
        <v>155</v>
      </c>
      <c r="F8795" t="s">
        <v>450</v>
      </c>
      <c r="G8795" t="s">
        <v>238</v>
      </c>
      <c r="H8795" t="str">
        <f>" "</f>
        <v xml:space="preserve"> </v>
      </c>
      <c r="N8795" t="s">
        <v>627</v>
      </c>
      <c r="O8795" t="s">
        <v>628</v>
      </c>
      <c r="R8795" t="s">
        <v>121</v>
      </c>
      <c r="S8795">
        <v>1</v>
      </c>
      <c r="T8795" t="s">
        <v>8696</v>
      </c>
      <c r="U8795" s="1">
        <v>43348</v>
      </c>
      <c r="V8795" t="s">
        <v>66</v>
      </c>
      <c r="W8795" t="s">
        <v>67</v>
      </c>
      <c r="X8795" t="s">
        <v>58</v>
      </c>
      <c r="Y8795">
        <v>24</v>
      </c>
      <c r="Z8795" t="s">
        <v>59</v>
      </c>
      <c r="AA8795" t="s">
        <v>59</v>
      </c>
      <c r="AB8795" t="s">
        <v>59</v>
      </c>
      <c r="AD8795" t="s">
        <v>59</v>
      </c>
      <c r="AF8795" s="1">
        <v>43348</v>
      </c>
      <c r="AG8795" t="s">
        <v>8645</v>
      </c>
      <c r="AH8795" t="s">
        <v>8697</v>
      </c>
      <c r="AI8795" t="str">
        <f>"9410243"</f>
        <v>9410243</v>
      </c>
      <c r="AJ8795" t="s">
        <v>12885</v>
      </c>
      <c r="AK8795">
        <v>2831026710</v>
      </c>
      <c r="AL8795" t="s">
        <v>12886</v>
      </c>
      <c r="AM8795" t="s">
        <v>64</v>
      </c>
      <c r="AN8795" t="s">
        <v>65</v>
      </c>
      <c r="AO8795" t="s">
        <v>65</v>
      </c>
      <c r="AP8795" t="s">
        <v>65</v>
      </c>
      <c r="AQ8795">
        <v>1</v>
      </c>
      <c r="AR8795" t="s">
        <v>66</v>
      </c>
      <c r="AS8795" t="s">
        <v>67</v>
      </c>
      <c r="AT8795" t="s">
        <v>58</v>
      </c>
      <c r="AU8795" t="s">
        <v>350</v>
      </c>
      <c r="AV8795" t="s">
        <v>132</v>
      </c>
      <c r="AW8795" s="1">
        <v>30712</v>
      </c>
      <c r="AX8795">
        <v>1</v>
      </c>
    </row>
    <row r="8796" spans="1:50">
      <c r="B8796" t="str">
        <f>"059818340"</f>
        <v>059818340</v>
      </c>
      <c r="C8796" t="s">
        <v>105</v>
      </c>
      <c r="D8796" t="s">
        <v>13435</v>
      </c>
      <c r="E8796" t="s">
        <v>84</v>
      </c>
      <c r="F8796" t="s">
        <v>84</v>
      </c>
      <c r="G8796" t="s">
        <v>96</v>
      </c>
      <c r="H8796" t="str">
        <f>"ΑΓ. ΒΑΣΙΛΕΙΟΥ 24 ΧΑΝΙΑ"</f>
        <v>ΑΓ. ΒΑΣΙΛΕΙΟΥ 24 ΧΑΝΙΑ</v>
      </c>
      <c r="I8796">
        <v>73135</v>
      </c>
      <c r="J8796">
        <v>2821086878</v>
      </c>
      <c r="K8796">
        <v>6974771504</v>
      </c>
      <c r="N8796" t="s">
        <v>176</v>
      </c>
      <c r="O8796" t="s">
        <v>177</v>
      </c>
      <c r="R8796" t="s">
        <v>159</v>
      </c>
      <c r="S8796">
        <v>3</v>
      </c>
      <c r="T8796" t="s">
        <v>8675</v>
      </c>
      <c r="U8796" s="1">
        <v>43348</v>
      </c>
      <c r="V8796" t="s">
        <v>66</v>
      </c>
      <c r="W8796" t="s">
        <v>67</v>
      </c>
      <c r="X8796" t="s">
        <v>58</v>
      </c>
      <c r="Y8796">
        <v>24</v>
      </c>
      <c r="Z8796" t="s">
        <v>59</v>
      </c>
      <c r="AA8796" t="s">
        <v>59</v>
      </c>
      <c r="AB8796" t="s">
        <v>59</v>
      </c>
      <c r="AC8796" t="s">
        <v>59</v>
      </c>
      <c r="AD8796" t="s">
        <v>59</v>
      </c>
      <c r="AF8796" s="1">
        <v>43348</v>
      </c>
      <c r="AG8796" t="s">
        <v>8645</v>
      </c>
      <c r="AH8796" t="s">
        <v>8646</v>
      </c>
      <c r="AI8796" t="str">
        <f>"9410006"</f>
        <v>9410006</v>
      </c>
      <c r="AJ8796" t="s">
        <v>12902</v>
      </c>
      <c r="AK8796">
        <v>2834022320</v>
      </c>
      <c r="AL8796" t="s">
        <v>12903</v>
      </c>
      <c r="AM8796" t="s">
        <v>64</v>
      </c>
      <c r="AN8796" t="s">
        <v>5672</v>
      </c>
      <c r="AO8796" t="s">
        <v>5673</v>
      </c>
      <c r="AP8796" t="s">
        <v>12904</v>
      </c>
      <c r="AQ8796">
        <v>8</v>
      </c>
      <c r="AR8796" t="s">
        <v>66</v>
      </c>
      <c r="AS8796" t="s">
        <v>67</v>
      </c>
      <c r="AT8796" t="s">
        <v>58</v>
      </c>
      <c r="AU8796" t="s">
        <v>8673</v>
      </c>
      <c r="AV8796" t="s">
        <v>132</v>
      </c>
      <c r="AW8796" s="1">
        <v>25216</v>
      </c>
      <c r="AX8796">
        <v>1</v>
      </c>
    </row>
    <row r="8797" spans="1:50">
      <c r="A8797">
        <v>582149</v>
      </c>
      <c r="B8797" t="str">
        <f>"039865926"</f>
        <v>039865926</v>
      </c>
      <c r="C8797" t="s">
        <v>105</v>
      </c>
      <c r="D8797" t="s">
        <v>13436</v>
      </c>
      <c r="E8797" t="s">
        <v>377</v>
      </c>
      <c r="F8797" t="s">
        <v>99</v>
      </c>
      <c r="G8797" t="s">
        <v>52</v>
      </c>
      <c r="H8797" t="str">
        <f>"ΠΗΓΗ ΡΕΘΥΜΝΟΥ"</f>
        <v>ΠΗΓΗ ΡΕΘΥΜΝΟΥ</v>
      </c>
      <c r="I8797">
        <v>74100</v>
      </c>
      <c r="J8797">
        <v>2831071456</v>
      </c>
      <c r="K8797">
        <v>6946871078</v>
      </c>
      <c r="M8797" t="s">
        <v>13437</v>
      </c>
      <c r="N8797" t="s">
        <v>615</v>
      </c>
      <c r="O8797" t="s">
        <v>616</v>
      </c>
      <c r="R8797" t="s">
        <v>57</v>
      </c>
      <c r="S8797">
        <v>12</v>
      </c>
      <c r="T8797">
        <v>179</v>
      </c>
      <c r="U8797" s="1">
        <v>35674</v>
      </c>
      <c r="V8797" t="s">
        <v>66</v>
      </c>
      <c r="W8797" t="s">
        <v>67</v>
      </c>
      <c r="X8797" t="s">
        <v>58</v>
      </c>
      <c r="Y8797">
        <v>21</v>
      </c>
      <c r="Z8797" t="s">
        <v>59</v>
      </c>
      <c r="AA8797" t="s">
        <v>59</v>
      </c>
      <c r="AB8797" t="s">
        <v>59</v>
      </c>
      <c r="AC8797" t="s">
        <v>59</v>
      </c>
      <c r="AD8797" t="s">
        <v>59</v>
      </c>
      <c r="AF8797" s="1">
        <v>35674</v>
      </c>
      <c r="AG8797" t="s">
        <v>8645</v>
      </c>
      <c r="AH8797" t="s">
        <v>8646</v>
      </c>
      <c r="AI8797" t="str">
        <f>"9410241"</f>
        <v>9410241</v>
      </c>
      <c r="AJ8797" t="s">
        <v>12783</v>
      </c>
      <c r="AK8797">
        <v>2831022616</v>
      </c>
      <c r="AL8797" t="s">
        <v>12784</v>
      </c>
      <c r="AM8797" t="s">
        <v>64</v>
      </c>
      <c r="AN8797" t="s">
        <v>65</v>
      </c>
      <c r="AO8797" t="s">
        <v>65</v>
      </c>
      <c r="AP8797" t="s">
        <v>65</v>
      </c>
      <c r="AQ8797">
        <v>1</v>
      </c>
      <c r="AR8797" t="s">
        <v>66</v>
      </c>
      <c r="AS8797" t="s">
        <v>67</v>
      </c>
      <c r="AT8797" t="s">
        <v>58</v>
      </c>
      <c r="AU8797" t="s">
        <v>68</v>
      </c>
      <c r="AV8797" t="s">
        <v>69</v>
      </c>
      <c r="AW8797" s="1">
        <v>24817</v>
      </c>
      <c r="AX8797">
        <v>1</v>
      </c>
    </row>
    <row r="8798" spans="1:50">
      <c r="A8798">
        <v>592755</v>
      </c>
      <c r="B8798" t="str">
        <f>"065772489"</f>
        <v>065772489</v>
      </c>
      <c r="C8798" t="s">
        <v>50</v>
      </c>
      <c r="D8798" t="s">
        <v>2922</v>
      </c>
      <c r="E8798" t="s">
        <v>52</v>
      </c>
      <c r="F8798" t="s">
        <v>72</v>
      </c>
      <c r="G8798" t="s">
        <v>671</v>
      </c>
      <c r="H8798" t="str">
        <f>"ΝΤΕ ΧΙΟΣΤΑΚ 9 ΡΕΘΥΜΝΟ"</f>
        <v>ΝΤΕ ΧΙΟΣΤΑΚ 9 ΡΕΘΥΜΝΟ</v>
      </c>
      <c r="I8798">
        <v>74100</v>
      </c>
      <c r="J8798">
        <v>2831056239</v>
      </c>
      <c r="K8798">
        <v>6978144910</v>
      </c>
      <c r="M8798" t="s">
        <v>13438</v>
      </c>
      <c r="N8798" t="s">
        <v>615</v>
      </c>
      <c r="O8798" t="s">
        <v>616</v>
      </c>
      <c r="R8798" t="s">
        <v>57</v>
      </c>
      <c r="S8798">
        <v>8</v>
      </c>
      <c r="T8798">
        <v>218</v>
      </c>
      <c r="U8798" s="1">
        <v>37134</v>
      </c>
      <c r="V8798" t="s">
        <v>66</v>
      </c>
      <c r="W8798" t="s">
        <v>67</v>
      </c>
      <c r="X8798" t="s">
        <v>58</v>
      </c>
      <c r="Y8798">
        <v>22</v>
      </c>
      <c r="Z8798" t="s">
        <v>59</v>
      </c>
      <c r="AA8798" t="s">
        <v>59</v>
      </c>
      <c r="AB8798" t="s">
        <v>59</v>
      </c>
      <c r="AC8798" t="s">
        <v>59</v>
      </c>
      <c r="AD8798" t="s">
        <v>59</v>
      </c>
      <c r="AF8798" s="1">
        <v>37138</v>
      </c>
      <c r="AG8798" t="s">
        <v>8645</v>
      </c>
      <c r="AH8798" t="s">
        <v>8646</v>
      </c>
      <c r="AI8798" t="str">
        <f>"9410061"</f>
        <v>9410061</v>
      </c>
      <c r="AJ8798" t="s">
        <v>12760</v>
      </c>
      <c r="AK8798">
        <v>2831024378</v>
      </c>
      <c r="AL8798" t="s">
        <v>12761</v>
      </c>
      <c r="AM8798" t="s">
        <v>64</v>
      </c>
      <c r="AN8798" t="s">
        <v>65</v>
      </c>
      <c r="AO8798" t="s">
        <v>65</v>
      </c>
      <c r="AP8798" t="s">
        <v>65</v>
      </c>
      <c r="AQ8798">
        <v>1</v>
      </c>
      <c r="AR8798" t="s">
        <v>66</v>
      </c>
      <c r="AS8798" t="s">
        <v>67</v>
      </c>
      <c r="AT8798" t="s">
        <v>58</v>
      </c>
      <c r="AU8798" t="s">
        <v>68</v>
      </c>
      <c r="AV8798" t="s">
        <v>69</v>
      </c>
      <c r="AW8798" s="1">
        <v>27086</v>
      </c>
      <c r="AX8798">
        <v>1</v>
      </c>
    </row>
    <row r="8799" spans="1:50">
      <c r="A8799">
        <v>600843</v>
      </c>
      <c r="B8799" t="str">
        <f>"063874321"</f>
        <v>063874321</v>
      </c>
      <c r="C8799" t="s">
        <v>105</v>
      </c>
      <c r="D8799" t="s">
        <v>13439</v>
      </c>
      <c r="E8799" t="s">
        <v>496</v>
      </c>
      <c r="F8799" t="s">
        <v>4097</v>
      </c>
      <c r="G8799" t="s">
        <v>83</v>
      </c>
      <c r="H8799" t="str">
        <f>" "</f>
        <v xml:space="preserve"> </v>
      </c>
      <c r="J8799">
        <v>2831027299</v>
      </c>
      <c r="K8799">
        <v>6934210145</v>
      </c>
      <c r="N8799" t="s">
        <v>615</v>
      </c>
      <c r="O8799" t="s">
        <v>616</v>
      </c>
      <c r="P8799" t="s">
        <v>146</v>
      </c>
      <c r="Q8799" t="s">
        <v>147</v>
      </c>
      <c r="R8799" t="s">
        <v>57</v>
      </c>
      <c r="S8799">
        <v>8</v>
      </c>
      <c r="T8799">
        <v>207</v>
      </c>
      <c r="U8799" s="1">
        <v>37502</v>
      </c>
      <c r="V8799" t="s">
        <v>66</v>
      </c>
      <c r="W8799" t="s">
        <v>67</v>
      </c>
      <c r="X8799" t="s">
        <v>58</v>
      </c>
      <c r="Y8799">
        <v>22</v>
      </c>
      <c r="Z8799" t="s">
        <v>59</v>
      </c>
      <c r="AA8799" t="s">
        <v>59</v>
      </c>
      <c r="AB8799" t="s">
        <v>59</v>
      </c>
      <c r="AC8799" t="s">
        <v>59</v>
      </c>
      <c r="AD8799" t="s">
        <v>59</v>
      </c>
      <c r="AF8799" s="1">
        <v>37867</v>
      </c>
      <c r="AG8799" t="s">
        <v>8645</v>
      </c>
      <c r="AH8799" t="s">
        <v>8646</v>
      </c>
      <c r="AI8799" t="str">
        <f>"9410082"</f>
        <v>9410082</v>
      </c>
      <c r="AJ8799" t="s">
        <v>13195</v>
      </c>
      <c r="AK8799">
        <v>2831075013</v>
      </c>
      <c r="AL8799" t="s">
        <v>13196</v>
      </c>
      <c r="AM8799" t="s">
        <v>64</v>
      </c>
      <c r="AN8799" t="s">
        <v>65</v>
      </c>
      <c r="AO8799" t="s">
        <v>65</v>
      </c>
      <c r="AP8799" t="s">
        <v>12884</v>
      </c>
      <c r="AQ8799">
        <v>3</v>
      </c>
      <c r="AR8799" t="s">
        <v>66</v>
      </c>
      <c r="AS8799" t="s">
        <v>67</v>
      </c>
      <c r="AT8799" t="s">
        <v>58</v>
      </c>
      <c r="AU8799" t="s">
        <v>68</v>
      </c>
      <c r="AV8799" t="s">
        <v>69</v>
      </c>
      <c r="AW8799" s="1">
        <v>26945</v>
      </c>
      <c r="AX8799">
        <v>1</v>
      </c>
    </row>
    <row r="8800" spans="1:50">
      <c r="A8800">
        <v>592374</v>
      </c>
      <c r="B8800" t="str">
        <f>"034991200"</f>
        <v>034991200</v>
      </c>
      <c r="C8800" t="s">
        <v>105</v>
      </c>
      <c r="D8800" t="s">
        <v>13440</v>
      </c>
      <c r="E8800" t="s">
        <v>315</v>
      </c>
      <c r="F8800" t="s">
        <v>72</v>
      </c>
      <c r="G8800" t="s">
        <v>2024</v>
      </c>
      <c r="H8800" t="str">
        <f>" "</f>
        <v xml:space="preserve"> </v>
      </c>
      <c r="N8800" t="s">
        <v>176</v>
      </c>
      <c r="O8800" t="s">
        <v>177</v>
      </c>
      <c r="R8800" t="s">
        <v>57</v>
      </c>
      <c r="S8800">
        <v>13</v>
      </c>
      <c r="T8800">
        <v>251</v>
      </c>
      <c r="U8800" s="1">
        <v>36769</v>
      </c>
      <c r="V8800" t="s">
        <v>66</v>
      </c>
      <c r="W8800" t="s">
        <v>67</v>
      </c>
      <c r="X8800" t="s">
        <v>58</v>
      </c>
      <c r="Y8800">
        <v>21</v>
      </c>
      <c r="Z8800" t="s">
        <v>59</v>
      </c>
      <c r="AA8800" t="s">
        <v>59</v>
      </c>
      <c r="AB8800" t="s">
        <v>59</v>
      </c>
      <c r="AC8800" t="s">
        <v>59</v>
      </c>
      <c r="AD8800" t="s">
        <v>59</v>
      </c>
      <c r="AF8800" s="1">
        <v>36770</v>
      </c>
      <c r="AG8800" t="s">
        <v>8645</v>
      </c>
      <c r="AH8800" t="s">
        <v>8646</v>
      </c>
      <c r="AI8800" t="str">
        <f>"9410033"</f>
        <v>9410033</v>
      </c>
      <c r="AJ8800" t="s">
        <v>12778</v>
      </c>
      <c r="AK8800">
        <v>2834061210</v>
      </c>
      <c r="AL8800" t="s">
        <v>12779</v>
      </c>
      <c r="AM8800" t="s">
        <v>64</v>
      </c>
      <c r="AN8800" t="s">
        <v>5672</v>
      </c>
      <c r="AO8800" t="s">
        <v>12780</v>
      </c>
      <c r="AP8800" t="s">
        <v>12780</v>
      </c>
      <c r="AQ8800">
        <v>9</v>
      </c>
      <c r="AR8800" t="s">
        <v>66</v>
      </c>
      <c r="AS8800" t="s">
        <v>67</v>
      </c>
      <c r="AT8800" t="s">
        <v>58</v>
      </c>
      <c r="AU8800" t="s">
        <v>68</v>
      </c>
      <c r="AV8800" t="s">
        <v>69</v>
      </c>
      <c r="AW8800" s="1">
        <v>22577</v>
      </c>
      <c r="AX8800">
        <v>1</v>
      </c>
    </row>
    <row r="8801" spans="1:50">
      <c r="B8801" t="str">
        <f>"065315752"</f>
        <v>065315752</v>
      </c>
      <c r="C8801" t="s">
        <v>50</v>
      </c>
      <c r="D8801" t="s">
        <v>13441</v>
      </c>
      <c r="E8801" t="s">
        <v>83</v>
      </c>
      <c r="F8801" t="s">
        <v>315</v>
      </c>
      <c r="G8801" t="s">
        <v>109</v>
      </c>
      <c r="H8801" t="str">
        <f>" "</f>
        <v xml:space="preserve"> </v>
      </c>
      <c r="K8801">
        <v>6977090347</v>
      </c>
      <c r="N8801" t="s">
        <v>8694</v>
      </c>
      <c r="O8801" t="s">
        <v>8695</v>
      </c>
      <c r="R8801" t="s">
        <v>121</v>
      </c>
      <c r="S8801">
        <v>1</v>
      </c>
      <c r="T8801" t="s">
        <v>8835</v>
      </c>
      <c r="U8801" s="1">
        <v>43348</v>
      </c>
      <c r="V8801" t="s">
        <v>66</v>
      </c>
      <c r="W8801" t="s">
        <v>67</v>
      </c>
      <c r="X8801" t="s">
        <v>58</v>
      </c>
      <c r="Y8801">
        <v>24</v>
      </c>
      <c r="Z8801" t="s">
        <v>59</v>
      </c>
      <c r="AA8801" t="s">
        <v>59</v>
      </c>
      <c r="AB8801" t="s">
        <v>59</v>
      </c>
      <c r="AD8801" t="s">
        <v>59</v>
      </c>
      <c r="AF8801" s="1">
        <v>43348</v>
      </c>
      <c r="AG8801" t="s">
        <v>8645</v>
      </c>
      <c r="AH8801" t="s">
        <v>8646</v>
      </c>
      <c r="AI8801" t="str">
        <f>"9410166"</f>
        <v>9410166</v>
      </c>
      <c r="AJ8801" t="s">
        <v>12666</v>
      </c>
      <c r="AK8801">
        <v>2831031311</v>
      </c>
      <c r="AL8801" t="s">
        <v>12667</v>
      </c>
      <c r="AM8801" t="s">
        <v>64</v>
      </c>
      <c r="AN8801" t="s">
        <v>65</v>
      </c>
      <c r="AO8801" t="s">
        <v>5720</v>
      </c>
      <c r="AP8801" t="s">
        <v>5721</v>
      </c>
      <c r="AQ8801">
        <v>2</v>
      </c>
      <c r="AR8801" t="s">
        <v>66</v>
      </c>
      <c r="AS8801" t="s">
        <v>67</v>
      </c>
      <c r="AT8801" t="s">
        <v>58</v>
      </c>
      <c r="AU8801" t="s">
        <v>131</v>
      </c>
      <c r="AV8801" t="s">
        <v>132</v>
      </c>
      <c r="AW8801" s="1">
        <v>33779</v>
      </c>
      <c r="AX8801">
        <v>1</v>
      </c>
    </row>
    <row r="8802" spans="1:50">
      <c r="A8802">
        <v>620051</v>
      </c>
      <c r="B8802" t="str">
        <f>"032821969"</f>
        <v>032821969</v>
      </c>
      <c r="C8802" t="s">
        <v>105</v>
      </c>
      <c r="D8802" t="s">
        <v>13442</v>
      </c>
      <c r="E8802" t="s">
        <v>53</v>
      </c>
      <c r="F8802" t="s">
        <v>111</v>
      </c>
      <c r="G8802" t="s">
        <v>263</v>
      </c>
      <c r="H8802" t="str">
        <f>"ΛΑΜΙΑΣ 77 ΣΤΥΛΙΔΑ ΣΤΥΛΙΔΑ-ΦΘΙΩΤΙΔΑΣ"</f>
        <v>ΛΑΜΙΑΣ 77 ΣΤΥΛΙΔΑ ΣΤΥΛΙΔΑ-ΦΘΙΩΤΙΔΑΣ</v>
      </c>
      <c r="I8802">
        <v>35300</v>
      </c>
      <c r="J8802">
        <v>2238022953</v>
      </c>
      <c r="K8802">
        <v>6980609345</v>
      </c>
      <c r="N8802" t="s">
        <v>176</v>
      </c>
      <c r="O8802" t="s">
        <v>177</v>
      </c>
      <c r="R8802" t="s">
        <v>57</v>
      </c>
      <c r="S8802">
        <v>9</v>
      </c>
      <c r="T8802">
        <v>775</v>
      </c>
      <c r="U8802" s="1">
        <v>39680</v>
      </c>
      <c r="V8802" t="s">
        <v>66</v>
      </c>
      <c r="W8802" t="s">
        <v>67</v>
      </c>
      <c r="X8802" t="s">
        <v>58</v>
      </c>
      <c r="Y8802">
        <v>22</v>
      </c>
      <c r="Z8802" t="s">
        <v>59</v>
      </c>
      <c r="AA8802" t="s">
        <v>59</v>
      </c>
      <c r="AB8802" t="s">
        <v>59</v>
      </c>
      <c r="AC8802" t="s">
        <v>59</v>
      </c>
      <c r="AD8802" t="s">
        <v>59</v>
      </c>
      <c r="AF8802" s="1">
        <v>39681</v>
      </c>
      <c r="AG8802" t="s">
        <v>8645</v>
      </c>
      <c r="AH8802" t="s">
        <v>8646</v>
      </c>
      <c r="AI8802" t="str">
        <f>"9410120"</f>
        <v>9410120</v>
      </c>
      <c r="AJ8802" t="s">
        <v>12681</v>
      </c>
      <c r="AK8802">
        <v>6978148714</v>
      </c>
      <c r="AL8802" t="s">
        <v>12682</v>
      </c>
      <c r="AM8802" t="s">
        <v>64</v>
      </c>
      <c r="AN8802" t="s">
        <v>5882</v>
      </c>
      <c r="AO8802" t="s">
        <v>5883</v>
      </c>
      <c r="AP8802" t="s">
        <v>5884</v>
      </c>
      <c r="AQ8802">
        <v>5</v>
      </c>
      <c r="AR8802" t="s">
        <v>66</v>
      </c>
      <c r="AS8802" t="s">
        <v>67</v>
      </c>
      <c r="AT8802" t="s">
        <v>58</v>
      </c>
      <c r="AU8802" t="s">
        <v>68</v>
      </c>
      <c r="AV8802" t="s">
        <v>69</v>
      </c>
      <c r="AW8802" s="1">
        <v>21695</v>
      </c>
      <c r="AX8802">
        <v>1</v>
      </c>
    </row>
    <row r="8803" spans="1:50">
      <c r="A8803">
        <v>584031</v>
      </c>
      <c r="B8803" t="str">
        <f>"037382379"</f>
        <v>037382379</v>
      </c>
      <c r="C8803" t="s">
        <v>105</v>
      </c>
      <c r="D8803" t="s">
        <v>13443</v>
      </c>
      <c r="E8803" t="s">
        <v>166</v>
      </c>
      <c r="F8803" t="s">
        <v>95</v>
      </c>
      <c r="G8803" t="s">
        <v>755</v>
      </c>
      <c r="H8803" t="str">
        <f>"ΠΕΡΑΜΑ  ΜΥΛΟΠΟΤΑΜΟΥ"</f>
        <v>ΠΕΡΑΜΑ  ΜΥΛΟΠΟΤΑΜΟΥ</v>
      </c>
      <c r="I8803">
        <v>74052</v>
      </c>
      <c r="J8803">
        <v>2834023441</v>
      </c>
      <c r="K8803">
        <v>6945897810</v>
      </c>
      <c r="M8803" t="s">
        <v>12797</v>
      </c>
      <c r="N8803" t="s">
        <v>615</v>
      </c>
      <c r="O8803" t="s">
        <v>616</v>
      </c>
      <c r="R8803" t="s">
        <v>57</v>
      </c>
      <c r="S8803">
        <v>12</v>
      </c>
      <c r="T8803">
        <v>165</v>
      </c>
      <c r="U8803" s="1">
        <v>36040</v>
      </c>
      <c r="V8803" t="s">
        <v>66</v>
      </c>
      <c r="W8803" t="s">
        <v>67</v>
      </c>
      <c r="X8803" t="s">
        <v>58</v>
      </c>
      <c r="Y8803">
        <v>21</v>
      </c>
      <c r="Z8803" t="s">
        <v>59</v>
      </c>
      <c r="AA8803" t="s">
        <v>59</v>
      </c>
      <c r="AB8803" t="s">
        <v>59</v>
      </c>
      <c r="AC8803" t="s">
        <v>59</v>
      </c>
      <c r="AD8803" t="s">
        <v>59</v>
      </c>
      <c r="AF8803" s="1">
        <v>36040</v>
      </c>
      <c r="AG8803" t="s">
        <v>8645</v>
      </c>
      <c r="AH8803" t="s">
        <v>8646</v>
      </c>
      <c r="AI8803" t="str">
        <f>"9410242"</f>
        <v>9410242</v>
      </c>
      <c r="AJ8803" t="s">
        <v>12796</v>
      </c>
      <c r="AK8803">
        <v>2834023145</v>
      </c>
      <c r="AL8803" t="s">
        <v>12797</v>
      </c>
      <c r="AM8803" t="s">
        <v>64</v>
      </c>
      <c r="AN8803" t="s">
        <v>5672</v>
      </c>
      <c r="AO8803" t="s">
        <v>5673</v>
      </c>
      <c r="AP8803" t="s">
        <v>5689</v>
      </c>
      <c r="AQ8803">
        <v>7</v>
      </c>
      <c r="AR8803" t="s">
        <v>66</v>
      </c>
      <c r="AS8803" t="s">
        <v>67</v>
      </c>
      <c r="AT8803" t="s">
        <v>58</v>
      </c>
      <c r="AU8803" t="s">
        <v>68</v>
      </c>
      <c r="AV8803" t="s">
        <v>69</v>
      </c>
      <c r="AW8803" s="1">
        <v>24127</v>
      </c>
      <c r="AX8803">
        <v>1</v>
      </c>
    </row>
    <row r="8804" spans="1:50">
      <c r="A8804">
        <v>614055</v>
      </c>
      <c r="B8804" t="str">
        <f>"124452628"</f>
        <v>124452628</v>
      </c>
      <c r="C8804" t="s">
        <v>105</v>
      </c>
      <c r="D8804" t="s">
        <v>13444</v>
      </c>
      <c r="E8804" t="s">
        <v>154</v>
      </c>
      <c r="F8804" t="s">
        <v>965</v>
      </c>
      <c r="G8804" t="s">
        <v>382</v>
      </c>
      <c r="H8804" t="str">
        <f>"ΕΜΜΑΝΟΥΗΛ  ΛΑΓΟΥ 4 ΡΕΘΥΜΝΟ"</f>
        <v>ΕΜΜΑΝΟΥΗΛ  ΛΑΓΟΥ 4 ΡΕΘΥΜΝΟ</v>
      </c>
      <c r="I8804">
        <v>74100</v>
      </c>
      <c r="J8804">
        <v>2103629075</v>
      </c>
      <c r="K8804">
        <v>6948007683</v>
      </c>
      <c r="M8804" t="s">
        <v>13445</v>
      </c>
      <c r="N8804" t="s">
        <v>615</v>
      </c>
      <c r="O8804" t="s">
        <v>616</v>
      </c>
      <c r="P8804" t="s">
        <v>146</v>
      </c>
      <c r="Q8804" t="s">
        <v>147</v>
      </c>
      <c r="R8804" t="s">
        <v>57</v>
      </c>
      <c r="S8804">
        <v>6</v>
      </c>
      <c r="T8804">
        <v>598</v>
      </c>
      <c r="U8804" s="1">
        <v>39310</v>
      </c>
      <c r="V8804" t="s">
        <v>66</v>
      </c>
      <c r="W8804" t="s">
        <v>67</v>
      </c>
      <c r="X8804" t="s">
        <v>58</v>
      </c>
      <c r="Y8804">
        <v>23</v>
      </c>
      <c r="Z8804" t="s">
        <v>59</v>
      </c>
      <c r="AA8804" t="s">
        <v>59</v>
      </c>
      <c r="AB8804" t="s">
        <v>59</v>
      </c>
      <c r="AC8804" t="s">
        <v>59</v>
      </c>
      <c r="AD8804" t="s">
        <v>59</v>
      </c>
      <c r="AF8804" s="1">
        <v>39328</v>
      </c>
      <c r="AG8804" t="s">
        <v>8645</v>
      </c>
      <c r="AH8804" t="s">
        <v>8646</v>
      </c>
      <c r="AI8804" t="str">
        <f>"9410242"</f>
        <v>9410242</v>
      </c>
      <c r="AJ8804" t="s">
        <v>12796</v>
      </c>
      <c r="AK8804">
        <v>2834023145</v>
      </c>
      <c r="AL8804" t="s">
        <v>12797</v>
      </c>
      <c r="AM8804" t="s">
        <v>64</v>
      </c>
      <c r="AN8804" t="s">
        <v>5672</v>
      </c>
      <c r="AO8804" t="s">
        <v>5673</v>
      </c>
      <c r="AP8804" t="s">
        <v>5689</v>
      </c>
      <c r="AQ8804">
        <v>7</v>
      </c>
      <c r="AR8804" t="s">
        <v>66</v>
      </c>
      <c r="AS8804" t="s">
        <v>67</v>
      </c>
      <c r="AT8804" t="s">
        <v>58</v>
      </c>
      <c r="AU8804" t="s">
        <v>68</v>
      </c>
      <c r="AV8804" t="s">
        <v>69</v>
      </c>
      <c r="AW8804" s="1">
        <v>30305</v>
      </c>
      <c r="AX8804">
        <v>1</v>
      </c>
    </row>
    <row r="8805" spans="1:50">
      <c r="A8805">
        <v>570250</v>
      </c>
      <c r="B8805" t="str">
        <f>"034435544"</f>
        <v>034435544</v>
      </c>
      <c r="C8805" t="s">
        <v>50</v>
      </c>
      <c r="D8805" t="s">
        <v>10874</v>
      </c>
      <c r="E8805" t="s">
        <v>255</v>
      </c>
      <c r="F8805" t="s">
        <v>166</v>
      </c>
      <c r="G8805" t="s">
        <v>980</v>
      </c>
      <c r="H8805" t="str">
        <f>" "</f>
        <v xml:space="preserve"> </v>
      </c>
      <c r="N8805" t="s">
        <v>306</v>
      </c>
      <c r="O8805" t="s">
        <v>307</v>
      </c>
      <c r="R8805" t="s">
        <v>57</v>
      </c>
      <c r="S8805">
        <v>14</v>
      </c>
      <c r="T8805">
        <v>239</v>
      </c>
      <c r="U8805" s="1">
        <v>33969</v>
      </c>
      <c r="V8805" t="s">
        <v>66</v>
      </c>
      <c r="W8805" t="s">
        <v>67</v>
      </c>
      <c r="X8805" t="s">
        <v>58</v>
      </c>
      <c r="Y8805">
        <v>21</v>
      </c>
      <c r="Z8805" t="s">
        <v>59</v>
      </c>
      <c r="AA8805" t="s">
        <v>59</v>
      </c>
      <c r="AB8805" t="s">
        <v>59</v>
      </c>
      <c r="AC8805" t="s">
        <v>59</v>
      </c>
      <c r="AD8805" t="s">
        <v>59</v>
      </c>
      <c r="AF8805" s="1">
        <v>33977</v>
      </c>
      <c r="AG8805" t="s">
        <v>8645</v>
      </c>
      <c r="AH8805" t="s">
        <v>8646</v>
      </c>
      <c r="AI8805" t="str">
        <f>"9410067"</f>
        <v>9410067</v>
      </c>
      <c r="AJ8805" t="s">
        <v>12736</v>
      </c>
      <c r="AK8805">
        <v>2831022836</v>
      </c>
      <c r="AL8805" t="s">
        <v>12737</v>
      </c>
      <c r="AM8805" t="s">
        <v>64</v>
      </c>
      <c r="AN8805" t="s">
        <v>65</v>
      </c>
      <c r="AO8805" t="s">
        <v>65</v>
      </c>
      <c r="AP8805" t="s">
        <v>65</v>
      </c>
      <c r="AQ8805">
        <v>1</v>
      </c>
      <c r="AR8805" t="s">
        <v>66</v>
      </c>
      <c r="AS8805" t="s">
        <v>67</v>
      </c>
      <c r="AT8805" t="s">
        <v>58</v>
      </c>
      <c r="AU8805" t="s">
        <v>68</v>
      </c>
      <c r="AV8805" t="s">
        <v>69</v>
      </c>
      <c r="AW8805" s="1">
        <v>23611</v>
      </c>
      <c r="AX8805">
        <v>1</v>
      </c>
    </row>
    <row r="8806" spans="1:50">
      <c r="A8806">
        <v>557332</v>
      </c>
      <c r="B8806" t="str">
        <f>"031637449"</f>
        <v>031637449</v>
      </c>
      <c r="C8806" t="s">
        <v>105</v>
      </c>
      <c r="D8806" t="s">
        <v>2959</v>
      </c>
      <c r="E8806" t="s">
        <v>95</v>
      </c>
      <c r="F8806" t="s">
        <v>760</v>
      </c>
      <c r="G8806" t="s">
        <v>52</v>
      </c>
      <c r="H8806" t="str">
        <f>" "</f>
        <v xml:space="preserve"> </v>
      </c>
      <c r="N8806" t="s">
        <v>615</v>
      </c>
      <c r="O8806" t="s">
        <v>616</v>
      </c>
      <c r="R8806" t="s">
        <v>57</v>
      </c>
      <c r="S8806">
        <v>16</v>
      </c>
      <c r="T8806">
        <v>168</v>
      </c>
      <c r="U8806" s="1">
        <v>32010</v>
      </c>
      <c r="V8806" t="s">
        <v>66</v>
      </c>
      <c r="W8806" t="s">
        <v>67</v>
      </c>
      <c r="X8806" t="s">
        <v>58</v>
      </c>
      <c r="Y8806">
        <v>21</v>
      </c>
      <c r="Z8806" t="s">
        <v>59</v>
      </c>
      <c r="AA8806" t="s">
        <v>59</v>
      </c>
      <c r="AB8806" t="s">
        <v>59</v>
      </c>
      <c r="AC8806" t="s">
        <v>59</v>
      </c>
      <c r="AD8806" t="s">
        <v>59</v>
      </c>
      <c r="AF8806" s="1">
        <v>32022</v>
      </c>
      <c r="AG8806" t="s">
        <v>8645</v>
      </c>
      <c r="AH8806" t="s">
        <v>8646</v>
      </c>
      <c r="AI8806" t="str">
        <f>"9410064"</f>
        <v>9410064</v>
      </c>
      <c r="AJ8806" t="s">
        <v>12683</v>
      </c>
      <c r="AK8806">
        <v>2831028390</v>
      </c>
      <c r="AL8806" t="s">
        <v>12684</v>
      </c>
      <c r="AM8806" t="s">
        <v>64</v>
      </c>
      <c r="AN8806" t="s">
        <v>65</v>
      </c>
      <c r="AO8806" t="s">
        <v>65</v>
      </c>
      <c r="AP8806" t="s">
        <v>65</v>
      </c>
      <c r="AQ8806">
        <v>1</v>
      </c>
      <c r="AR8806" t="s">
        <v>66</v>
      </c>
      <c r="AS8806" t="s">
        <v>67</v>
      </c>
      <c r="AT8806" t="s">
        <v>58</v>
      </c>
      <c r="AU8806" t="s">
        <v>68</v>
      </c>
      <c r="AV8806" t="s">
        <v>69</v>
      </c>
      <c r="AW8806" s="1">
        <v>22542</v>
      </c>
      <c r="AX8806">
        <v>1</v>
      </c>
    </row>
    <row r="8807" spans="1:50">
      <c r="A8807">
        <v>549937</v>
      </c>
      <c r="B8807" t="str">
        <f>"027352005"</f>
        <v>027352005</v>
      </c>
      <c r="C8807" t="s">
        <v>105</v>
      </c>
      <c r="D8807" t="s">
        <v>2959</v>
      </c>
      <c r="E8807" t="s">
        <v>92</v>
      </c>
      <c r="F8807" t="s">
        <v>760</v>
      </c>
      <c r="G8807" t="s">
        <v>52</v>
      </c>
      <c r="H8807" t="str">
        <f>" "</f>
        <v xml:space="preserve"> </v>
      </c>
      <c r="N8807" t="s">
        <v>615</v>
      </c>
      <c r="O8807" t="s">
        <v>616</v>
      </c>
      <c r="R8807" t="s">
        <v>57</v>
      </c>
      <c r="S8807">
        <v>17</v>
      </c>
      <c r="T8807">
        <v>281</v>
      </c>
      <c r="U8807" s="1">
        <v>30558</v>
      </c>
      <c r="V8807" t="s">
        <v>66</v>
      </c>
      <c r="W8807" t="s">
        <v>67</v>
      </c>
      <c r="X8807" t="s">
        <v>58</v>
      </c>
      <c r="Y8807">
        <v>21</v>
      </c>
      <c r="Z8807" t="s">
        <v>59</v>
      </c>
      <c r="AA8807" t="s">
        <v>59</v>
      </c>
      <c r="AB8807" t="s">
        <v>59</v>
      </c>
      <c r="AC8807" t="s">
        <v>59</v>
      </c>
      <c r="AD8807" t="s">
        <v>59</v>
      </c>
      <c r="AF8807" s="1">
        <v>30568</v>
      </c>
      <c r="AG8807" t="s">
        <v>8645</v>
      </c>
      <c r="AH8807" t="s">
        <v>8646</v>
      </c>
      <c r="AI8807" t="str">
        <f>"9410092"</f>
        <v>9410092</v>
      </c>
      <c r="AJ8807" t="s">
        <v>12823</v>
      </c>
      <c r="AK8807">
        <v>2832051056</v>
      </c>
      <c r="AL8807" t="s">
        <v>12824</v>
      </c>
      <c r="AM8807" t="s">
        <v>64</v>
      </c>
      <c r="AN8807" t="s">
        <v>5882</v>
      </c>
      <c r="AO8807" t="s">
        <v>6099</v>
      </c>
      <c r="AP8807" t="s">
        <v>12825</v>
      </c>
      <c r="AQ8807">
        <v>5</v>
      </c>
      <c r="AR8807" t="s">
        <v>66</v>
      </c>
      <c r="AS8807" t="s">
        <v>67</v>
      </c>
      <c r="AT8807" t="s">
        <v>58</v>
      </c>
      <c r="AU8807" t="s">
        <v>68</v>
      </c>
      <c r="AV8807" t="s">
        <v>69</v>
      </c>
      <c r="AW8807" s="1">
        <v>21764</v>
      </c>
      <c r="AX8807">
        <v>1</v>
      </c>
    </row>
    <row r="8808" spans="1:50">
      <c r="B8808" t="str">
        <f>"142322356"</f>
        <v>142322356</v>
      </c>
      <c r="C8808" t="s">
        <v>50</v>
      </c>
      <c r="D8808" t="s">
        <v>2964</v>
      </c>
      <c r="E8808" t="s">
        <v>112</v>
      </c>
      <c r="F8808" t="s">
        <v>144</v>
      </c>
      <c r="G8808" t="s">
        <v>699</v>
      </c>
      <c r="H8808" t="str">
        <f>"ΗΡΑΣ 8 "</f>
        <v xml:space="preserve">ΗΡΑΣ 8 </v>
      </c>
      <c r="I8808">
        <v>66100</v>
      </c>
      <c r="J8808">
        <v>2521047594</v>
      </c>
      <c r="K8808">
        <v>6945171204</v>
      </c>
      <c r="N8808" t="s">
        <v>615</v>
      </c>
      <c r="O8808" t="s">
        <v>616</v>
      </c>
      <c r="R8808" t="s">
        <v>159</v>
      </c>
      <c r="S8808">
        <v>3</v>
      </c>
      <c r="T8808" t="s">
        <v>8675</v>
      </c>
      <c r="U8808" s="1">
        <v>43348</v>
      </c>
      <c r="V8808" t="s">
        <v>66</v>
      </c>
      <c r="W8808" t="s">
        <v>67</v>
      </c>
      <c r="X8808" t="s">
        <v>58</v>
      </c>
      <c r="Y8808">
        <v>24</v>
      </c>
      <c r="Z8808" t="s">
        <v>59</v>
      </c>
      <c r="AA8808" t="s">
        <v>59</v>
      </c>
      <c r="AB8808" t="s">
        <v>59</v>
      </c>
      <c r="AC8808" t="s">
        <v>59</v>
      </c>
      <c r="AD8808" t="s">
        <v>59</v>
      </c>
      <c r="AF8808" s="1">
        <v>43348</v>
      </c>
      <c r="AG8808" t="s">
        <v>8645</v>
      </c>
      <c r="AH8808" t="s">
        <v>8646</v>
      </c>
      <c r="AI8808" t="str">
        <f>"9410114"</f>
        <v>9410114</v>
      </c>
      <c r="AJ8808" t="s">
        <v>12877</v>
      </c>
      <c r="AK8808">
        <v>2832031291</v>
      </c>
      <c r="AL8808" t="s">
        <v>12878</v>
      </c>
      <c r="AM8808" t="s">
        <v>64</v>
      </c>
      <c r="AN8808" t="s">
        <v>5882</v>
      </c>
      <c r="AO8808" t="s">
        <v>6099</v>
      </c>
      <c r="AP8808" t="s">
        <v>12815</v>
      </c>
      <c r="AQ8808">
        <v>5</v>
      </c>
      <c r="AR8808" t="s">
        <v>66</v>
      </c>
      <c r="AS8808" t="s">
        <v>67</v>
      </c>
      <c r="AT8808" t="s">
        <v>58</v>
      </c>
      <c r="AU8808" t="s">
        <v>8673</v>
      </c>
      <c r="AV8808" t="s">
        <v>132</v>
      </c>
      <c r="AW8808" s="1">
        <v>32160</v>
      </c>
      <c r="AX8808">
        <v>1</v>
      </c>
    </row>
    <row r="8809" spans="1:50">
      <c r="A8809">
        <v>701687</v>
      </c>
      <c r="B8809" t="str">
        <f>"136296053"</f>
        <v>136296053</v>
      </c>
      <c r="C8809" t="s">
        <v>50</v>
      </c>
      <c r="D8809" t="s">
        <v>6297</v>
      </c>
      <c r="E8809" t="s">
        <v>600</v>
      </c>
      <c r="F8809" t="s">
        <v>53</v>
      </c>
      <c r="G8809" t="s">
        <v>155</v>
      </c>
      <c r="H8809" t="str">
        <f>"ΒΡΥΟΥΛΩΝ 22 ΘΕΣΣΑΛΟΝΙΚΗ"</f>
        <v>ΒΡΥΟΥΛΩΝ 22 ΘΕΣΣΑΛΟΝΙΚΗ</v>
      </c>
      <c r="I8809">
        <v>55132</v>
      </c>
      <c r="J8809">
        <v>2310435018</v>
      </c>
      <c r="K8809">
        <v>6934863499</v>
      </c>
      <c r="N8809" t="s">
        <v>615</v>
      </c>
      <c r="O8809" t="s">
        <v>616</v>
      </c>
      <c r="R8809" t="s">
        <v>57</v>
      </c>
      <c r="S8809">
        <v>4</v>
      </c>
      <c r="T8809" s="1">
        <v>40413</v>
      </c>
      <c r="U8809" s="1">
        <v>40413</v>
      </c>
      <c r="V8809" t="s">
        <v>66</v>
      </c>
      <c r="W8809" t="s">
        <v>67</v>
      </c>
      <c r="X8809" t="s">
        <v>58</v>
      </c>
      <c r="Y8809">
        <v>24</v>
      </c>
      <c r="Z8809" t="s">
        <v>59</v>
      </c>
      <c r="AA8809" t="s">
        <v>59</v>
      </c>
      <c r="AB8809" t="s">
        <v>59</v>
      </c>
      <c r="AC8809" t="s">
        <v>59</v>
      </c>
      <c r="AD8809" t="s">
        <v>59</v>
      </c>
      <c r="AF8809" s="1">
        <v>40413</v>
      </c>
      <c r="AG8809" t="s">
        <v>8645</v>
      </c>
      <c r="AH8809" t="s">
        <v>8646</v>
      </c>
      <c r="AI8809" t="str">
        <f>"9410069"</f>
        <v>9410069</v>
      </c>
      <c r="AJ8809" t="s">
        <v>12674</v>
      </c>
      <c r="AK8809">
        <v>2831029296</v>
      </c>
      <c r="AL8809" t="s">
        <v>12675</v>
      </c>
      <c r="AM8809" t="s">
        <v>64</v>
      </c>
      <c r="AN8809" t="s">
        <v>65</v>
      </c>
      <c r="AO8809" t="s">
        <v>65</v>
      </c>
      <c r="AP8809" t="s">
        <v>65</v>
      </c>
      <c r="AQ8809">
        <v>1</v>
      </c>
      <c r="AR8809" t="s">
        <v>66</v>
      </c>
      <c r="AS8809" t="s">
        <v>67</v>
      </c>
      <c r="AT8809" t="s">
        <v>58</v>
      </c>
      <c r="AU8809" t="s">
        <v>68</v>
      </c>
      <c r="AV8809" t="s">
        <v>69</v>
      </c>
      <c r="AW8809" s="1">
        <v>31234</v>
      </c>
      <c r="AX8809">
        <v>1</v>
      </c>
    </row>
    <row r="8810" spans="1:50">
      <c r="A8810">
        <v>618321</v>
      </c>
      <c r="B8810" t="str">
        <f>"063255491"</f>
        <v>063255491</v>
      </c>
      <c r="C8810" t="s">
        <v>50</v>
      </c>
      <c r="D8810" t="s">
        <v>2966</v>
      </c>
      <c r="E8810" t="s">
        <v>52</v>
      </c>
      <c r="F8810" t="s">
        <v>989</v>
      </c>
      <c r="G8810" t="s">
        <v>52</v>
      </c>
      <c r="H8810" t="str">
        <f>"ΓΕΡΑΝΙ ΡΕΘΥΜΝΟ"</f>
        <v>ΓΕΡΑΝΙ ΡΕΘΥΜΝΟ</v>
      </c>
      <c r="I8810">
        <v>74100</v>
      </c>
      <c r="J8810">
        <v>2831031910</v>
      </c>
      <c r="K8810">
        <v>6937878452</v>
      </c>
      <c r="N8810" t="s">
        <v>615</v>
      </c>
      <c r="O8810" t="s">
        <v>616</v>
      </c>
      <c r="R8810" t="s">
        <v>57</v>
      </c>
      <c r="S8810">
        <v>5</v>
      </c>
      <c r="T8810">
        <v>774</v>
      </c>
      <c r="U8810" s="1">
        <v>39680</v>
      </c>
      <c r="V8810" t="s">
        <v>66</v>
      </c>
      <c r="W8810" t="s">
        <v>67</v>
      </c>
      <c r="X8810" t="s">
        <v>58</v>
      </c>
      <c r="Y8810">
        <v>23</v>
      </c>
      <c r="Z8810" t="s">
        <v>59</v>
      </c>
      <c r="AA8810" t="s">
        <v>59</v>
      </c>
      <c r="AB8810" t="s">
        <v>59</v>
      </c>
      <c r="AC8810" t="s">
        <v>59</v>
      </c>
      <c r="AD8810" t="s">
        <v>59</v>
      </c>
      <c r="AF8810" s="1">
        <v>39681</v>
      </c>
      <c r="AG8810" t="s">
        <v>8645</v>
      </c>
      <c r="AH8810" t="s">
        <v>8646</v>
      </c>
      <c r="AI8810" t="str">
        <f>"9410159"</f>
        <v>9410159</v>
      </c>
      <c r="AJ8810" t="s">
        <v>12980</v>
      </c>
      <c r="AK8810">
        <v>2831081279</v>
      </c>
      <c r="AL8810" t="s">
        <v>12981</v>
      </c>
      <c r="AM8810" t="s">
        <v>64</v>
      </c>
      <c r="AN8810" t="s">
        <v>65</v>
      </c>
      <c r="AO8810" t="s">
        <v>5657</v>
      </c>
      <c r="AP8810" t="s">
        <v>12982</v>
      </c>
      <c r="AQ8810">
        <v>4</v>
      </c>
      <c r="AR8810" t="s">
        <v>66</v>
      </c>
      <c r="AS8810" t="s">
        <v>67</v>
      </c>
      <c r="AT8810" t="s">
        <v>58</v>
      </c>
      <c r="AU8810" t="s">
        <v>68</v>
      </c>
      <c r="AV8810" t="s">
        <v>69</v>
      </c>
      <c r="AW8810" s="1">
        <v>30842</v>
      </c>
      <c r="AX8810">
        <v>1</v>
      </c>
    </row>
    <row r="8811" spans="1:50">
      <c r="B8811" t="str">
        <f>"136896833"</f>
        <v>136896833</v>
      </c>
      <c r="C8811" t="s">
        <v>50</v>
      </c>
      <c r="D8811" t="s">
        <v>2972</v>
      </c>
      <c r="E8811" t="s">
        <v>255</v>
      </c>
      <c r="F8811" t="s">
        <v>581</v>
      </c>
      <c r="G8811" t="s">
        <v>52</v>
      </c>
      <c r="H8811" t="str">
        <f>" "</f>
        <v xml:space="preserve"> </v>
      </c>
      <c r="N8811" t="s">
        <v>1525</v>
      </c>
      <c r="O8811" t="s">
        <v>1526</v>
      </c>
      <c r="R8811" t="s">
        <v>159</v>
      </c>
      <c r="S8811">
        <v>4</v>
      </c>
      <c r="T8811" t="s">
        <v>8670</v>
      </c>
      <c r="U8811" s="1">
        <v>43348</v>
      </c>
      <c r="V8811" t="s">
        <v>66</v>
      </c>
      <c r="W8811" t="s">
        <v>67</v>
      </c>
      <c r="X8811" t="s">
        <v>58</v>
      </c>
      <c r="Y8811">
        <v>25</v>
      </c>
      <c r="Z8811" t="s">
        <v>59</v>
      </c>
      <c r="AA8811" t="s">
        <v>59</v>
      </c>
      <c r="AB8811" t="s">
        <v>59</v>
      </c>
      <c r="AD8811" t="s">
        <v>59</v>
      </c>
      <c r="AF8811" s="1">
        <v>43348</v>
      </c>
      <c r="AG8811" t="s">
        <v>8651</v>
      </c>
      <c r="AH8811" t="s">
        <v>8652</v>
      </c>
      <c r="AI8811" t="str">
        <f>"9410239"</f>
        <v>9410239</v>
      </c>
      <c r="AJ8811" t="s">
        <v>13263</v>
      </c>
      <c r="AK8811">
        <v>2832091121</v>
      </c>
      <c r="AL8811" t="s">
        <v>13264</v>
      </c>
      <c r="AM8811" t="s">
        <v>64</v>
      </c>
      <c r="AN8811" t="s">
        <v>5882</v>
      </c>
      <c r="AO8811" t="s">
        <v>5883</v>
      </c>
      <c r="AP8811" t="s">
        <v>12732</v>
      </c>
      <c r="AQ8811">
        <v>6</v>
      </c>
      <c r="AR8811" t="s">
        <v>66</v>
      </c>
      <c r="AS8811" t="s">
        <v>67</v>
      </c>
      <c r="AT8811" t="s">
        <v>58</v>
      </c>
      <c r="AU8811" t="s">
        <v>8673</v>
      </c>
      <c r="AV8811" t="s">
        <v>132</v>
      </c>
      <c r="AW8811" s="1">
        <v>32375</v>
      </c>
      <c r="AX8811">
        <v>1</v>
      </c>
    </row>
    <row r="8812" spans="1:50">
      <c r="A8812">
        <v>595350</v>
      </c>
      <c r="B8812" t="str">
        <f>"113620010"</f>
        <v>113620010</v>
      </c>
      <c r="C8812" t="s">
        <v>50</v>
      </c>
      <c r="D8812" t="s">
        <v>2975</v>
      </c>
      <c r="E8812" t="s">
        <v>181</v>
      </c>
      <c r="F8812" t="s">
        <v>166</v>
      </c>
      <c r="G8812" t="s">
        <v>83</v>
      </c>
      <c r="H8812" t="str">
        <f>"ΚΑΛΟΜΕΝΟΠΟΥΛΟΥ 1 ΡΕΘΥΜΝΟ"</f>
        <v>ΚΑΛΟΜΕΝΟΠΟΥΛΟΥ 1 ΡΕΘΥΜΝΟ</v>
      </c>
      <c r="I8812">
        <v>74100</v>
      </c>
      <c r="J8812">
        <v>2831052676</v>
      </c>
      <c r="K8812">
        <v>6979482410</v>
      </c>
      <c r="L8812">
        <v>2831054889</v>
      </c>
      <c r="M8812" t="s">
        <v>13446</v>
      </c>
      <c r="N8812" t="s">
        <v>1525</v>
      </c>
      <c r="O8812" t="s">
        <v>1526</v>
      </c>
      <c r="P8812" t="s">
        <v>146</v>
      </c>
      <c r="Q8812" t="s">
        <v>147</v>
      </c>
      <c r="R8812" t="s">
        <v>57</v>
      </c>
      <c r="S8812">
        <v>14</v>
      </c>
      <c r="T8812">
        <v>218</v>
      </c>
      <c r="U8812" s="1">
        <v>37134</v>
      </c>
      <c r="V8812" t="s">
        <v>66</v>
      </c>
      <c r="W8812" t="s">
        <v>67</v>
      </c>
      <c r="X8812" t="s">
        <v>58</v>
      </c>
      <c r="Y8812">
        <v>25</v>
      </c>
      <c r="Z8812" t="s">
        <v>59</v>
      </c>
      <c r="AA8812" t="s">
        <v>59</v>
      </c>
      <c r="AB8812" t="s">
        <v>59</v>
      </c>
      <c r="AC8812" t="s">
        <v>59</v>
      </c>
      <c r="AD8812" t="s">
        <v>59</v>
      </c>
      <c r="AF8812" s="1">
        <v>37138</v>
      </c>
      <c r="AG8812" t="s">
        <v>8651</v>
      </c>
      <c r="AH8812" t="s">
        <v>8652</v>
      </c>
      <c r="AI8812" t="str">
        <f>"9520776"</f>
        <v>9520776</v>
      </c>
      <c r="AJ8812" t="s">
        <v>12962</v>
      </c>
      <c r="AK8812">
        <v>2831026435</v>
      </c>
      <c r="AL8812" t="s">
        <v>12963</v>
      </c>
      <c r="AM8812" t="s">
        <v>64</v>
      </c>
      <c r="AN8812" t="s">
        <v>65</v>
      </c>
      <c r="AO8812" t="s">
        <v>65</v>
      </c>
      <c r="AP8812" t="s">
        <v>65</v>
      </c>
      <c r="AQ8812">
        <v>2</v>
      </c>
      <c r="AR8812" t="s">
        <v>66</v>
      </c>
      <c r="AS8812" t="s">
        <v>67</v>
      </c>
      <c r="AT8812" t="s">
        <v>58</v>
      </c>
      <c r="AU8812" t="s">
        <v>68</v>
      </c>
      <c r="AV8812" t="s">
        <v>69</v>
      </c>
      <c r="AW8812" s="1">
        <v>27807</v>
      </c>
      <c r="AX8812">
        <v>1</v>
      </c>
    </row>
    <row r="8813" spans="1:50">
      <c r="A8813">
        <v>610848</v>
      </c>
      <c r="B8813" t="str">
        <f>"124451712"</f>
        <v>124451712</v>
      </c>
      <c r="C8813" t="s">
        <v>105</v>
      </c>
      <c r="D8813" t="s">
        <v>13447</v>
      </c>
      <c r="E8813" t="s">
        <v>377</v>
      </c>
      <c r="F8813" t="s">
        <v>166</v>
      </c>
      <c r="G8813" t="s">
        <v>83</v>
      </c>
      <c r="H8813" t="str">
        <f>"ΚΑΛΟΜΕΝΟΠΟΥΛΟΥ 1 ΡΕΘΥΜΝΟ"</f>
        <v>ΚΑΛΟΜΕΝΟΠΟΥΛΟΥ 1 ΡΕΘΥΜΝΟ</v>
      </c>
      <c r="I8813">
        <v>74100</v>
      </c>
      <c r="J8813">
        <v>2831054889</v>
      </c>
      <c r="K8813">
        <v>6945085321</v>
      </c>
      <c r="M8813" t="s">
        <v>13448</v>
      </c>
      <c r="N8813" t="s">
        <v>615</v>
      </c>
      <c r="O8813" t="s">
        <v>616</v>
      </c>
      <c r="R8813" t="s">
        <v>57</v>
      </c>
      <c r="S8813">
        <v>7</v>
      </c>
      <c r="T8813">
        <v>233</v>
      </c>
      <c r="U8813" s="1">
        <v>38960</v>
      </c>
      <c r="V8813" t="s">
        <v>66</v>
      </c>
      <c r="W8813" t="s">
        <v>67</v>
      </c>
      <c r="X8813" t="s">
        <v>58</v>
      </c>
      <c r="Y8813">
        <v>23</v>
      </c>
      <c r="Z8813" t="s">
        <v>59</v>
      </c>
      <c r="AA8813" t="s">
        <v>59</v>
      </c>
      <c r="AB8813" t="s">
        <v>59</v>
      </c>
      <c r="AC8813" t="s">
        <v>59</v>
      </c>
      <c r="AD8813" t="s">
        <v>59</v>
      </c>
      <c r="AF8813" s="1">
        <v>38961</v>
      </c>
      <c r="AG8813" t="s">
        <v>8645</v>
      </c>
      <c r="AH8813" t="s">
        <v>8646</v>
      </c>
      <c r="AI8813" t="str">
        <f>"9410044"</f>
        <v>9410044</v>
      </c>
      <c r="AJ8813" t="s">
        <v>13257</v>
      </c>
      <c r="AK8813">
        <v>2834094218</v>
      </c>
      <c r="AL8813" t="s">
        <v>13258</v>
      </c>
      <c r="AM8813" t="s">
        <v>64</v>
      </c>
      <c r="AN8813" t="s">
        <v>5672</v>
      </c>
      <c r="AO8813" t="s">
        <v>5673</v>
      </c>
      <c r="AP8813" t="s">
        <v>13259</v>
      </c>
      <c r="AQ8813">
        <v>10</v>
      </c>
      <c r="AR8813" t="s">
        <v>66</v>
      </c>
      <c r="AS8813" t="s">
        <v>67</v>
      </c>
      <c r="AT8813" t="s">
        <v>58</v>
      </c>
      <c r="AU8813" t="s">
        <v>68</v>
      </c>
      <c r="AV8813" t="s">
        <v>69</v>
      </c>
      <c r="AW8813" s="1">
        <v>30011</v>
      </c>
      <c r="AX8813">
        <v>1</v>
      </c>
    </row>
    <row r="8814" spans="1:50">
      <c r="B8814" t="str">
        <f>"141396730"</f>
        <v>141396730</v>
      </c>
      <c r="C8814" t="s">
        <v>50</v>
      </c>
      <c r="D8814" t="s">
        <v>2983</v>
      </c>
      <c r="E8814" t="s">
        <v>964</v>
      </c>
      <c r="F8814" t="s">
        <v>230</v>
      </c>
      <c r="G8814" t="s">
        <v>366</v>
      </c>
      <c r="H8814" t="str">
        <f>" "</f>
        <v xml:space="preserve"> </v>
      </c>
      <c r="N8814" t="s">
        <v>1525</v>
      </c>
      <c r="O8814" t="s">
        <v>1526</v>
      </c>
      <c r="R8814" t="s">
        <v>121</v>
      </c>
      <c r="S8814">
        <v>1</v>
      </c>
      <c r="T8814" t="s">
        <v>13406</v>
      </c>
      <c r="U8814" s="1">
        <v>42979</v>
      </c>
      <c r="V8814" t="s">
        <v>66</v>
      </c>
      <c r="W8814" t="s">
        <v>67</v>
      </c>
      <c r="X8814" t="s">
        <v>58</v>
      </c>
      <c r="Y8814">
        <v>25</v>
      </c>
      <c r="Z8814" t="s">
        <v>59</v>
      </c>
      <c r="AA8814" t="s">
        <v>59</v>
      </c>
      <c r="AB8814" t="s">
        <v>59</v>
      </c>
      <c r="AC8814" t="s">
        <v>59</v>
      </c>
      <c r="AD8814" t="s">
        <v>59</v>
      </c>
      <c r="AF8814" s="1">
        <v>42979</v>
      </c>
      <c r="AI8814" t="str">
        <f>""</f>
        <v/>
      </c>
      <c r="AS8814" t="s">
        <v>67</v>
      </c>
      <c r="AT8814" t="s">
        <v>58</v>
      </c>
      <c r="AU8814" t="s">
        <v>912</v>
      </c>
      <c r="AW8814" s="1">
        <v>31961</v>
      </c>
      <c r="AX8814">
        <v>1</v>
      </c>
    </row>
    <row r="8815" spans="1:50">
      <c r="A8815">
        <v>615316</v>
      </c>
      <c r="B8815" t="str">
        <f>"113620008"</f>
        <v>113620008</v>
      </c>
      <c r="C8815" t="s">
        <v>50</v>
      </c>
      <c r="D8815" t="s">
        <v>2983</v>
      </c>
      <c r="E8815" t="s">
        <v>83</v>
      </c>
      <c r="F8815" t="s">
        <v>99</v>
      </c>
      <c r="G8815" t="s">
        <v>52</v>
      </c>
      <c r="H8815" t="str">
        <f>"ΚΟΝΔΥΛΑΚΗ 83 ΡΕΘΥΜΝΟ"</f>
        <v>ΚΟΝΔΥΛΑΚΗ 83 ΡΕΘΥΜΝΟ</v>
      </c>
      <c r="I8815">
        <v>74100</v>
      </c>
      <c r="J8815">
        <v>2831030986</v>
      </c>
      <c r="K8815">
        <v>6944961037</v>
      </c>
      <c r="M8815" t="s">
        <v>13449</v>
      </c>
      <c r="N8815" t="s">
        <v>1525</v>
      </c>
      <c r="O8815" t="s">
        <v>1526</v>
      </c>
      <c r="R8815" t="s">
        <v>57</v>
      </c>
      <c r="S8815">
        <v>8</v>
      </c>
      <c r="T8815">
        <v>598</v>
      </c>
      <c r="U8815" s="1">
        <v>39310</v>
      </c>
      <c r="V8815" t="s">
        <v>66</v>
      </c>
      <c r="W8815" t="s">
        <v>67</v>
      </c>
      <c r="X8815" t="s">
        <v>58</v>
      </c>
      <c r="Y8815">
        <v>25</v>
      </c>
      <c r="Z8815" t="s">
        <v>59</v>
      </c>
      <c r="AA8815" t="s">
        <v>59</v>
      </c>
      <c r="AB8815" t="s">
        <v>59</v>
      </c>
      <c r="AC8815" t="s">
        <v>59</v>
      </c>
      <c r="AD8815" t="s">
        <v>59</v>
      </c>
      <c r="AF8815" s="1">
        <v>39328</v>
      </c>
      <c r="AG8815" t="s">
        <v>8651</v>
      </c>
      <c r="AH8815" t="s">
        <v>8652</v>
      </c>
      <c r="AI8815" t="str">
        <f>"9410251"</f>
        <v>9410251</v>
      </c>
      <c r="AJ8815" t="s">
        <v>13450</v>
      </c>
      <c r="AK8815">
        <v>2833041360</v>
      </c>
      <c r="AL8815" t="s">
        <v>13451</v>
      </c>
      <c r="AM8815" t="s">
        <v>64</v>
      </c>
      <c r="AN8815" t="s">
        <v>5713</v>
      </c>
      <c r="AO8815" t="s">
        <v>5780</v>
      </c>
      <c r="AP8815" t="s">
        <v>5781</v>
      </c>
      <c r="AQ8815">
        <v>6</v>
      </c>
      <c r="AR8815" t="s">
        <v>66</v>
      </c>
      <c r="AS8815" t="s">
        <v>67</v>
      </c>
      <c r="AT8815" t="s">
        <v>58</v>
      </c>
      <c r="AU8815" t="s">
        <v>68</v>
      </c>
      <c r="AV8815" t="s">
        <v>69</v>
      </c>
      <c r="AW8815" s="1">
        <v>29368</v>
      </c>
      <c r="AX8815">
        <v>1</v>
      </c>
    </row>
    <row r="8816" spans="1:50">
      <c r="A8816">
        <v>620076</v>
      </c>
      <c r="B8816" t="str">
        <f>"039698197"</f>
        <v>039698197</v>
      </c>
      <c r="C8816" t="s">
        <v>50</v>
      </c>
      <c r="D8816" t="s">
        <v>2983</v>
      </c>
      <c r="E8816" t="s">
        <v>9637</v>
      </c>
      <c r="F8816" t="s">
        <v>670</v>
      </c>
      <c r="G8816" t="s">
        <v>54</v>
      </c>
      <c r="H8816" t="str">
        <f>"ΜΑΝΔΗΛΑΡΑ 10 ΡΕΘΥΜΝΟ"</f>
        <v>ΜΑΝΔΗΛΑΡΑ 10 ΡΕΘΥΜΝΟ</v>
      </c>
      <c r="I8816">
        <v>74100</v>
      </c>
      <c r="J8816">
        <v>2834092280</v>
      </c>
      <c r="K8816">
        <v>6971622384</v>
      </c>
      <c r="L8816">
        <v>2815007705</v>
      </c>
      <c r="M8816" t="s">
        <v>13452</v>
      </c>
      <c r="N8816" t="s">
        <v>1525</v>
      </c>
      <c r="O8816" t="s">
        <v>1526</v>
      </c>
      <c r="R8816" t="s">
        <v>57</v>
      </c>
      <c r="S8816">
        <v>5</v>
      </c>
      <c r="T8816">
        <v>794</v>
      </c>
      <c r="U8816" s="1">
        <v>39680</v>
      </c>
      <c r="V8816" t="s">
        <v>66</v>
      </c>
      <c r="W8816" t="s">
        <v>67</v>
      </c>
      <c r="X8816" t="s">
        <v>58</v>
      </c>
      <c r="Y8816">
        <v>25</v>
      </c>
      <c r="Z8816" t="s">
        <v>59</v>
      </c>
      <c r="AA8816" t="s">
        <v>59</v>
      </c>
      <c r="AB8816" t="s">
        <v>59</v>
      </c>
      <c r="AC8816" t="s">
        <v>59</v>
      </c>
      <c r="AD8816" t="s">
        <v>59</v>
      </c>
      <c r="AF8816" s="1">
        <v>39689</v>
      </c>
      <c r="AG8816" t="s">
        <v>8651</v>
      </c>
      <c r="AH8816" t="s">
        <v>8652</v>
      </c>
      <c r="AI8816" t="str">
        <f>"9410205"</f>
        <v>9410205</v>
      </c>
      <c r="AJ8816" t="s">
        <v>13429</v>
      </c>
      <c r="AK8816">
        <v>2831031637</v>
      </c>
      <c r="AL8816" t="s">
        <v>13430</v>
      </c>
      <c r="AM8816" t="s">
        <v>64</v>
      </c>
      <c r="AN8816" t="s">
        <v>65</v>
      </c>
      <c r="AO8816" t="s">
        <v>5720</v>
      </c>
      <c r="AP8816" t="s">
        <v>5721</v>
      </c>
      <c r="AQ8816">
        <v>2</v>
      </c>
      <c r="AR8816" t="s">
        <v>66</v>
      </c>
      <c r="AS8816" t="s">
        <v>67</v>
      </c>
      <c r="AT8816" t="s">
        <v>58</v>
      </c>
      <c r="AU8816" t="s">
        <v>68</v>
      </c>
      <c r="AV8816" t="s">
        <v>69</v>
      </c>
      <c r="AW8816" s="1">
        <v>25162</v>
      </c>
      <c r="AX8816">
        <v>1</v>
      </c>
    </row>
    <row r="8817" spans="1:50">
      <c r="A8817">
        <v>571444</v>
      </c>
      <c r="B8817" t="str">
        <f>"064604183"</f>
        <v>064604183</v>
      </c>
      <c r="C8817" t="s">
        <v>50</v>
      </c>
      <c r="D8817" t="s">
        <v>10883</v>
      </c>
      <c r="E8817" t="s">
        <v>263</v>
      </c>
      <c r="F8817" t="s">
        <v>1093</v>
      </c>
      <c r="G8817" t="s">
        <v>255</v>
      </c>
      <c r="H8817" t="str">
        <f>" "</f>
        <v xml:space="preserve"> </v>
      </c>
      <c r="N8817" t="s">
        <v>615</v>
      </c>
      <c r="O8817" t="s">
        <v>616</v>
      </c>
      <c r="R8817" t="s">
        <v>57</v>
      </c>
      <c r="S8817">
        <v>14</v>
      </c>
      <c r="T8817">
        <v>138</v>
      </c>
      <c r="U8817" s="1">
        <v>34206</v>
      </c>
      <c r="V8817" t="s">
        <v>66</v>
      </c>
      <c r="W8817" t="s">
        <v>67</v>
      </c>
      <c r="X8817" t="s">
        <v>58</v>
      </c>
      <c r="Y8817">
        <v>21</v>
      </c>
      <c r="Z8817" t="s">
        <v>59</v>
      </c>
      <c r="AA8817" t="s">
        <v>59</v>
      </c>
      <c r="AB8817" t="s">
        <v>59</v>
      </c>
      <c r="AC8817" t="s">
        <v>59</v>
      </c>
      <c r="AD8817" t="s">
        <v>59</v>
      </c>
      <c r="AF8817" s="1">
        <v>34213</v>
      </c>
      <c r="AG8817" t="s">
        <v>8645</v>
      </c>
      <c r="AH8817" t="s">
        <v>8646</v>
      </c>
      <c r="AI8817" t="str">
        <f>"9410065"</f>
        <v>9410065</v>
      </c>
      <c r="AJ8817" t="s">
        <v>12717</v>
      </c>
      <c r="AK8817">
        <v>2831022519</v>
      </c>
      <c r="AL8817" t="s">
        <v>12718</v>
      </c>
      <c r="AM8817" t="s">
        <v>64</v>
      </c>
      <c r="AN8817" t="s">
        <v>65</v>
      </c>
      <c r="AO8817" t="s">
        <v>65</v>
      </c>
      <c r="AP8817" t="s">
        <v>65</v>
      </c>
      <c r="AQ8817">
        <v>1</v>
      </c>
      <c r="AR8817" t="s">
        <v>66</v>
      </c>
      <c r="AS8817" t="s">
        <v>67</v>
      </c>
      <c r="AT8817" t="s">
        <v>58</v>
      </c>
      <c r="AU8817" t="s">
        <v>68</v>
      </c>
      <c r="AV8817" t="s">
        <v>69</v>
      </c>
      <c r="AW8817" s="1">
        <v>24157</v>
      </c>
      <c r="AX8817">
        <v>1</v>
      </c>
    </row>
    <row r="8818" spans="1:50">
      <c r="B8818" t="str">
        <f>"037607862"</f>
        <v>037607862</v>
      </c>
      <c r="C8818" t="s">
        <v>50</v>
      </c>
      <c r="D8818" t="s">
        <v>13453</v>
      </c>
      <c r="E8818" t="s">
        <v>52</v>
      </c>
      <c r="F8818" t="s">
        <v>670</v>
      </c>
      <c r="G8818" t="s">
        <v>155</v>
      </c>
      <c r="H8818" t="str">
        <f>" "</f>
        <v xml:space="preserve"> </v>
      </c>
      <c r="K8818">
        <v>6944968709</v>
      </c>
      <c r="N8818" t="s">
        <v>384</v>
      </c>
      <c r="O8818" t="s">
        <v>385</v>
      </c>
      <c r="R8818" t="s">
        <v>121</v>
      </c>
      <c r="S8818">
        <v>1</v>
      </c>
      <c r="T8818" t="s">
        <v>8675</v>
      </c>
      <c r="U8818" s="1">
        <v>43348</v>
      </c>
      <c r="V8818" t="s">
        <v>66</v>
      </c>
      <c r="W8818" t="s">
        <v>67</v>
      </c>
      <c r="X8818" t="s">
        <v>58</v>
      </c>
      <c r="Y8818">
        <v>24</v>
      </c>
      <c r="Z8818" t="s">
        <v>59</v>
      </c>
      <c r="AA8818" t="s">
        <v>59</v>
      </c>
      <c r="AB8818" t="s">
        <v>59</v>
      </c>
      <c r="AD8818" t="s">
        <v>59</v>
      </c>
      <c r="AF8818" s="1">
        <v>43348</v>
      </c>
      <c r="AG8818" t="s">
        <v>8645</v>
      </c>
      <c r="AH8818" t="s">
        <v>8646</v>
      </c>
      <c r="AI8818" t="str">
        <f>"9410051"</f>
        <v>9410051</v>
      </c>
      <c r="AJ8818" t="s">
        <v>12660</v>
      </c>
      <c r="AK8818">
        <v>2834022247</v>
      </c>
      <c r="AL8818" t="s">
        <v>12661</v>
      </c>
      <c r="AM8818" t="s">
        <v>64</v>
      </c>
      <c r="AN8818" t="s">
        <v>5672</v>
      </c>
      <c r="AO8818" t="s">
        <v>5673</v>
      </c>
      <c r="AP8818" t="s">
        <v>5689</v>
      </c>
      <c r="AQ8818">
        <v>7</v>
      </c>
      <c r="AR8818" t="s">
        <v>66</v>
      </c>
      <c r="AS8818" t="s">
        <v>67</v>
      </c>
      <c r="AT8818" t="s">
        <v>58</v>
      </c>
      <c r="AU8818" t="s">
        <v>8673</v>
      </c>
      <c r="AV8818" t="s">
        <v>132</v>
      </c>
      <c r="AW8818" s="1">
        <v>25413</v>
      </c>
      <c r="AX8818">
        <v>1</v>
      </c>
    </row>
    <row r="8819" spans="1:50">
      <c r="A8819">
        <v>619630</v>
      </c>
      <c r="B8819" t="str">
        <f>"100063708"</f>
        <v>100063708</v>
      </c>
      <c r="C8819" t="s">
        <v>50</v>
      </c>
      <c r="D8819" t="s">
        <v>13454</v>
      </c>
      <c r="E8819" t="s">
        <v>681</v>
      </c>
      <c r="F8819" t="s">
        <v>99</v>
      </c>
      <c r="G8819" t="s">
        <v>2330</v>
      </c>
      <c r="H8819" t="str">
        <f>"Κ. ΚΡΙΑΡΗ 31 ΡΕΘΥΜΝΟ"</f>
        <v>Κ. ΚΡΙΑΡΗ 31 ΡΕΘΥΜΝΟ</v>
      </c>
      <c r="I8819">
        <v>74100</v>
      </c>
      <c r="J8819">
        <v>2831056145</v>
      </c>
      <c r="K8819">
        <v>6947052795</v>
      </c>
      <c r="M8819" t="s">
        <v>13455</v>
      </c>
      <c r="N8819" t="s">
        <v>1525</v>
      </c>
      <c r="O8819" t="s">
        <v>1526</v>
      </c>
      <c r="R8819" t="s">
        <v>57</v>
      </c>
      <c r="S8819">
        <v>6</v>
      </c>
      <c r="T8819">
        <v>774</v>
      </c>
      <c r="U8819" s="1">
        <v>39680</v>
      </c>
      <c r="V8819" t="s">
        <v>66</v>
      </c>
      <c r="W8819" t="s">
        <v>67</v>
      </c>
      <c r="X8819" t="s">
        <v>58</v>
      </c>
      <c r="Y8819">
        <v>25</v>
      </c>
      <c r="Z8819" t="s">
        <v>59</v>
      </c>
      <c r="AA8819" t="s">
        <v>59</v>
      </c>
      <c r="AB8819" t="s">
        <v>59</v>
      </c>
      <c r="AC8819" t="s">
        <v>59</v>
      </c>
      <c r="AD8819" t="s">
        <v>59</v>
      </c>
      <c r="AF8819" s="1">
        <v>39681</v>
      </c>
      <c r="AG8819" t="s">
        <v>8651</v>
      </c>
      <c r="AH8819" t="s">
        <v>8652</v>
      </c>
      <c r="AI8819" t="str">
        <f>"9410252"</f>
        <v>9410252</v>
      </c>
      <c r="AJ8819" t="s">
        <v>12813</v>
      </c>
      <c r="AK8819">
        <v>2832032056</v>
      </c>
      <c r="AL8819" t="s">
        <v>12814</v>
      </c>
      <c r="AM8819" t="s">
        <v>64</v>
      </c>
      <c r="AN8819" t="s">
        <v>5882</v>
      </c>
      <c r="AO8819" t="s">
        <v>6099</v>
      </c>
      <c r="AP8819" t="s">
        <v>12815</v>
      </c>
      <c r="AQ8819">
        <v>5</v>
      </c>
      <c r="AR8819" t="s">
        <v>66</v>
      </c>
      <c r="AS8819" t="s">
        <v>67</v>
      </c>
      <c r="AT8819" t="s">
        <v>58</v>
      </c>
      <c r="AU8819" t="s">
        <v>68</v>
      </c>
      <c r="AV8819" t="s">
        <v>69</v>
      </c>
      <c r="AW8819" s="1">
        <v>29698</v>
      </c>
      <c r="AX8819">
        <v>1</v>
      </c>
    </row>
    <row r="8820" spans="1:50">
      <c r="A8820">
        <v>604125</v>
      </c>
      <c r="B8820" t="str">
        <f>"061521532"</f>
        <v>061521532</v>
      </c>
      <c r="C8820" t="s">
        <v>50</v>
      </c>
      <c r="D8820" t="s">
        <v>13456</v>
      </c>
      <c r="E8820" t="s">
        <v>83</v>
      </c>
      <c r="F8820" t="s">
        <v>13457</v>
      </c>
      <c r="G8820" t="s">
        <v>215</v>
      </c>
      <c r="H8820" t="str">
        <f>" "</f>
        <v xml:space="preserve"> </v>
      </c>
      <c r="J8820">
        <v>2831026667</v>
      </c>
      <c r="K8820">
        <v>6973067832</v>
      </c>
      <c r="N8820" t="s">
        <v>615</v>
      </c>
      <c r="O8820" t="s">
        <v>616</v>
      </c>
      <c r="R8820" t="s">
        <v>57</v>
      </c>
      <c r="S8820">
        <v>8</v>
      </c>
      <c r="T8820">
        <v>231</v>
      </c>
      <c r="U8820" s="1">
        <v>38230</v>
      </c>
      <c r="V8820" t="s">
        <v>66</v>
      </c>
      <c r="W8820" t="s">
        <v>67</v>
      </c>
      <c r="X8820" t="s">
        <v>58</v>
      </c>
      <c r="Y8820">
        <v>22</v>
      </c>
      <c r="Z8820" t="s">
        <v>59</v>
      </c>
      <c r="AA8820" t="s">
        <v>59</v>
      </c>
      <c r="AB8820" t="s">
        <v>59</v>
      </c>
      <c r="AC8820" t="s">
        <v>59</v>
      </c>
      <c r="AD8820" t="s">
        <v>59</v>
      </c>
      <c r="AF8820" s="1">
        <v>38230</v>
      </c>
      <c r="AG8820" t="s">
        <v>8645</v>
      </c>
      <c r="AH8820" t="s">
        <v>8646</v>
      </c>
      <c r="AI8820" t="str">
        <f>"9410067"</f>
        <v>9410067</v>
      </c>
      <c r="AJ8820" t="s">
        <v>12736</v>
      </c>
      <c r="AK8820">
        <v>2831022836</v>
      </c>
      <c r="AL8820" t="s">
        <v>12737</v>
      </c>
      <c r="AM8820" t="s">
        <v>64</v>
      </c>
      <c r="AN8820" t="s">
        <v>65</v>
      </c>
      <c r="AO8820" t="s">
        <v>65</v>
      </c>
      <c r="AP8820" t="s">
        <v>65</v>
      </c>
      <c r="AQ8820">
        <v>1</v>
      </c>
      <c r="AR8820" t="s">
        <v>66</v>
      </c>
      <c r="AS8820" t="s">
        <v>67</v>
      </c>
      <c r="AT8820" t="s">
        <v>58</v>
      </c>
      <c r="AU8820" t="s">
        <v>68</v>
      </c>
      <c r="AV8820" t="s">
        <v>69</v>
      </c>
      <c r="AW8820" s="1">
        <v>26006</v>
      </c>
      <c r="AX8820">
        <v>1</v>
      </c>
    </row>
    <row r="8821" spans="1:50">
      <c r="A8821">
        <v>596693</v>
      </c>
      <c r="B8821" t="str">
        <f>"057935824"</f>
        <v>057935824</v>
      </c>
      <c r="C8821" t="s">
        <v>50</v>
      </c>
      <c r="D8821" t="s">
        <v>13458</v>
      </c>
      <c r="E8821" t="s">
        <v>372</v>
      </c>
      <c r="F8821" t="s">
        <v>95</v>
      </c>
      <c r="G8821" t="s">
        <v>54</v>
      </c>
      <c r="H8821" t="str">
        <f>"ΒΑΒΟΥΡΑΚΗΔΩΝ  23 ΡΕΘΥΜΝΟ"</f>
        <v>ΒΑΒΟΥΡΑΚΗΔΩΝ  23 ΡΕΘΥΜΝΟ</v>
      </c>
      <c r="I8821">
        <v>74100</v>
      </c>
      <c r="J8821">
        <v>2432083325</v>
      </c>
      <c r="K8821">
        <v>6974538614</v>
      </c>
      <c r="L8821">
        <v>2831057233</v>
      </c>
      <c r="M8821" t="s">
        <v>13459</v>
      </c>
      <c r="N8821" t="s">
        <v>1525</v>
      </c>
      <c r="O8821" t="s">
        <v>1526</v>
      </c>
      <c r="R8821" t="s">
        <v>57</v>
      </c>
      <c r="S8821">
        <v>9</v>
      </c>
      <c r="T8821">
        <v>195</v>
      </c>
      <c r="U8821" s="1">
        <v>37497</v>
      </c>
      <c r="V8821" t="s">
        <v>66</v>
      </c>
      <c r="W8821" t="s">
        <v>67</v>
      </c>
      <c r="X8821" t="s">
        <v>58</v>
      </c>
      <c r="Y8821">
        <v>25</v>
      </c>
      <c r="Z8821" t="s">
        <v>59</v>
      </c>
      <c r="AA8821" t="s">
        <v>59</v>
      </c>
      <c r="AB8821" t="s">
        <v>59</v>
      </c>
      <c r="AC8821" t="s">
        <v>59</v>
      </c>
      <c r="AD8821" t="s">
        <v>59</v>
      </c>
      <c r="AF8821" s="1">
        <v>37501</v>
      </c>
      <c r="AG8821" t="s">
        <v>8651</v>
      </c>
      <c r="AH8821" t="s">
        <v>8652</v>
      </c>
      <c r="AI8821" t="str">
        <f>"9410265"</f>
        <v>9410265</v>
      </c>
      <c r="AJ8821" t="s">
        <v>12654</v>
      </c>
      <c r="AK8821">
        <v>2831027473</v>
      </c>
      <c r="AL8821" t="s">
        <v>12655</v>
      </c>
      <c r="AM8821" t="s">
        <v>64</v>
      </c>
      <c r="AN8821" t="s">
        <v>65</v>
      </c>
      <c r="AO8821" t="s">
        <v>65</v>
      </c>
      <c r="AP8821" t="s">
        <v>65</v>
      </c>
      <c r="AQ8821">
        <v>1</v>
      </c>
      <c r="AR8821" t="s">
        <v>66</v>
      </c>
      <c r="AS8821" t="s">
        <v>67</v>
      </c>
      <c r="AT8821" t="s">
        <v>58</v>
      </c>
      <c r="AU8821" t="s">
        <v>68</v>
      </c>
      <c r="AV8821" t="s">
        <v>69</v>
      </c>
      <c r="AW8821" s="1">
        <v>24851</v>
      </c>
      <c r="AX8821">
        <v>1</v>
      </c>
    </row>
    <row r="8822" spans="1:50">
      <c r="B8822" t="str">
        <f>"136747760"</f>
        <v>136747760</v>
      </c>
      <c r="C8822" t="s">
        <v>50</v>
      </c>
      <c r="D8822" t="s">
        <v>13460</v>
      </c>
      <c r="E8822" t="s">
        <v>366</v>
      </c>
      <c r="F8822" t="s">
        <v>95</v>
      </c>
      <c r="G8822" t="s">
        <v>2719</v>
      </c>
      <c r="H8822" t="str">
        <f>"ΚΕΦΑΛΟΒΡΥΣΟ "</f>
        <v xml:space="preserve">ΚΕΦΑΛΟΒΡΥΣΟ </v>
      </c>
      <c r="I8822">
        <v>42100</v>
      </c>
      <c r="J8822">
        <v>2431085319</v>
      </c>
      <c r="K8822">
        <v>6908601085</v>
      </c>
      <c r="N8822" t="s">
        <v>1525</v>
      </c>
      <c r="O8822" t="s">
        <v>1526</v>
      </c>
      <c r="R8822" t="s">
        <v>159</v>
      </c>
      <c r="S8822">
        <v>4</v>
      </c>
      <c r="T8822" t="s">
        <v>8670</v>
      </c>
      <c r="U8822" s="1">
        <v>43348</v>
      </c>
      <c r="V8822" t="s">
        <v>66</v>
      </c>
      <c r="W8822" t="s">
        <v>67</v>
      </c>
      <c r="X8822" t="s">
        <v>58</v>
      </c>
      <c r="Y8822">
        <v>25</v>
      </c>
      <c r="Z8822" t="s">
        <v>59</v>
      </c>
      <c r="AA8822" t="s">
        <v>59</v>
      </c>
      <c r="AB8822" t="s">
        <v>59</v>
      </c>
      <c r="AC8822" t="s">
        <v>59</v>
      </c>
      <c r="AD8822" t="s">
        <v>59</v>
      </c>
      <c r="AF8822" s="1">
        <v>43348</v>
      </c>
      <c r="AG8822" t="s">
        <v>8651</v>
      </c>
      <c r="AH8822" t="s">
        <v>8652</v>
      </c>
      <c r="AI8822" t="str">
        <f>"9410252"</f>
        <v>9410252</v>
      </c>
      <c r="AJ8822" t="s">
        <v>12813</v>
      </c>
      <c r="AK8822">
        <v>2832032056</v>
      </c>
      <c r="AL8822" t="s">
        <v>12814</v>
      </c>
      <c r="AM8822" t="s">
        <v>64</v>
      </c>
      <c r="AN8822" t="s">
        <v>5882</v>
      </c>
      <c r="AO8822" t="s">
        <v>6099</v>
      </c>
      <c r="AP8822" t="s">
        <v>12815</v>
      </c>
      <c r="AQ8822">
        <v>5</v>
      </c>
      <c r="AR8822" t="s">
        <v>66</v>
      </c>
      <c r="AS8822" t="s">
        <v>67</v>
      </c>
      <c r="AT8822" t="s">
        <v>58</v>
      </c>
      <c r="AU8822" t="s">
        <v>8673</v>
      </c>
      <c r="AV8822" t="s">
        <v>132</v>
      </c>
      <c r="AW8822" s="1">
        <v>30109</v>
      </c>
      <c r="AX8822">
        <v>1</v>
      </c>
    </row>
    <row r="8823" spans="1:50">
      <c r="A8823">
        <v>606802</v>
      </c>
      <c r="B8823" t="str">
        <f>"057891301"</f>
        <v>057891301</v>
      </c>
      <c r="C8823" t="s">
        <v>50</v>
      </c>
      <c r="D8823" t="s">
        <v>13461</v>
      </c>
      <c r="E8823" t="s">
        <v>155</v>
      </c>
      <c r="F8823" t="s">
        <v>99</v>
      </c>
      <c r="G8823" t="s">
        <v>83</v>
      </c>
      <c r="H8823" t="str">
        <f>" "</f>
        <v xml:space="preserve"> </v>
      </c>
      <c r="N8823" t="s">
        <v>5035</v>
      </c>
      <c r="O8823" t="s">
        <v>5036</v>
      </c>
      <c r="R8823" t="s">
        <v>57</v>
      </c>
      <c r="S8823">
        <v>5</v>
      </c>
      <c r="T8823">
        <v>275</v>
      </c>
      <c r="U8823" s="1">
        <v>37956</v>
      </c>
      <c r="V8823" t="s">
        <v>66</v>
      </c>
      <c r="W8823" t="s">
        <v>67</v>
      </c>
      <c r="X8823" t="s">
        <v>58</v>
      </c>
      <c r="Y8823">
        <v>30</v>
      </c>
      <c r="Z8823" t="s">
        <v>59</v>
      </c>
      <c r="AA8823" t="s">
        <v>59</v>
      </c>
      <c r="AB8823" t="s">
        <v>59</v>
      </c>
      <c r="AC8823" t="s">
        <v>59</v>
      </c>
      <c r="AD8823" t="s">
        <v>59</v>
      </c>
      <c r="AF8823" s="1">
        <v>37978</v>
      </c>
      <c r="AG8823" t="s">
        <v>8645</v>
      </c>
      <c r="AH8823" t="s">
        <v>8697</v>
      </c>
      <c r="AI8823" t="str">
        <f>"9410243"</f>
        <v>9410243</v>
      </c>
      <c r="AJ8823" t="s">
        <v>12885</v>
      </c>
      <c r="AK8823">
        <v>2831026710</v>
      </c>
      <c r="AL8823" t="s">
        <v>12886</v>
      </c>
      <c r="AM8823" t="s">
        <v>64</v>
      </c>
      <c r="AN8823" t="s">
        <v>65</v>
      </c>
      <c r="AO8823" t="s">
        <v>65</v>
      </c>
      <c r="AP8823" t="s">
        <v>65</v>
      </c>
      <c r="AQ8823">
        <v>1</v>
      </c>
      <c r="AR8823" t="s">
        <v>66</v>
      </c>
      <c r="AS8823" t="s">
        <v>67</v>
      </c>
      <c r="AT8823" t="s">
        <v>58</v>
      </c>
      <c r="AU8823" t="s">
        <v>68</v>
      </c>
      <c r="AV8823" t="s">
        <v>69</v>
      </c>
      <c r="AW8823" s="1">
        <v>27077</v>
      </c>
      <c r="AX8823">
        <v>1</v>
      </c>
    </row>
    <row r="8824" spans="1:50">
      <c r="A8824">
        <v>586699</v>
      </c>
      <c r="B8824" t="str">
        <f>"051473398"</f>
        <v>051473398</v>
      </c>
      <c r="C8824" t="s">
        <v>105</v>
      </c>
      <c r="D8824" t="s">
        <v>13462</v>
      </c>
      <c r="E8824" t="s">
        <v>53</v>
      </c>
      <c r="F8824" t="s">
        <v>3104</v>
      </c>
      <c r="G8824" t="s">
        <v>52</v>
      </c>
      <c r="H8824" t="str">
        <f>"ΠΡΙΝΕΣ ΡΕΘΥΜΝΟ"</f>
        <v>ΠΡΙΝΕΣ ΡΕΘΥΜΝΟ</v>
      </c>
      <c r="I8824">
        <v>74100</v>
      </c>
      <c r="J8824">
        <v>2831031323</v>
      </c>
      <c r="K8824">
        <v>6972081259</v>
      </c>
      <c r="M8824" t="s">
        <v>13463</v>
      </c>
      <c r="N8824" t="s">
        <v>615</v>
      </c>
      <c r="O8824" t="s">
        <v>616</v>
      </c>
      <c r="R8824" t="s">
        <v>57</v>
      </c>
      <c r="S8824">
        <v>10</v>
      </c>
      <c r="T8824">
        <v>165</v>
      </c>
      <c r="U8824" s="1">
        <v>36040</v>
      </c>
      <c r="V8824" t="s">
        <v>66</v>
      </c>
      <c r="W8824" t="s">
        <v>67</v>
      </c>
      <c r="X8824" t="s">
        <v>58</v>
      </c>
      <c r="Y8824">
        <v>21</v>
      </c>
      <c r="Z8824" t="s">
        <v>59</v>
      </c>
      <c r="AA8824" t="s">
        <v>59</v>
      </c>
      <c r="AB8824" t="s">
        <v>59</v>
      </c>
      <c r="AC8824" t="s">
        <v>59</v>
      </c>
      <c r="AD8824" t="s">
        <v>59</v>
      </c>
      <c r="AF8824" s="1">
        <v>36040</v>
      </c>
      <c r="AG8824" t="s">
        <v>8645</v>
      </c>
      <c r="AH8824" t="s">
        <v>8646</v>
      </c>
      <c r="AI8824" t="str">
        <f>"9410167"</f>
        <v>9410167</v>
      </c>
      <c r="AJ8824" t="s">
        <v>12911</v>
      </c>
      <c r="AK8824">
        <v>2831031455</v>
      </c>
      <c r="AL8824" t="s">
        <v>12912</v>
      </c>
      <c r="AM8824" t="s">
        <v>64</v>
      </c>
      <c r="AN8824" t="s">
        <v>65</v>
      </c>
      <c r="AO8824" t="s">
        <v>5720</v>
      </c>
      <c r="AP8824" t="s">
        <v>12913</v>
      </c>
      <c r="AQ8824">
        <v>2</v>
      </c>
      <c r="AR8824" t="s">
        <v>66</v>
      </c>
      <c r="AS8824" t="s">
        <v>67</v>
      </c>
      <c r="AT8824" t="s">
        <v>58</v>
      </c>
      <c r="AU8824" t="s">
        <v>68</v>
      </c>
      <c r="AV8824" t="s">
        <v>69</v>
      </c>
      <c r="AW8824" s="1">
        <v>24992</v>
      </c>
      <c r="AX8824">
        <v>1</v>
      </c>
    </row>
    <row r="8825" spans="1:50">
      <c r="A8825">
        <v>602429</v>
      </c>
      <c r="B8825" t="str">
        <f>"109101617"</f>
        <v>109101617</v>
      </c>
      <c r="C8825" t="s">
        <v>50</v>
      </c>
      <c r="D8825" t="s">
        <v>3032</v>
      </c>
      <c r="E8825" t="s">
        <v>52</v>
      </c>
      <c r="F8825" t="s">
        <v>53</v>
      </c>
      <c r="G8825" t="s">
        <v>9637</v>
      </c>
      <c r="H8825" t="str">
        <f>" "</f>
        <v xml:space="preserve"> </v>
      </c>
      <c r="J8825">
        <v>2834031835</v>
      </c>
      <c r="K8825">
        <v>6972888266</v>
      </c>
      <c r="N8825" t="s">
        <v>615</v>
      </c>
      <c r="O8825" t="s">
        <v>616</v>
      </c>
      <c r="R8825" t="s">
        <v>57</v>
      </c>
      <c r="S8825">
        <v>9</v>
      </c>
      <c r="T8825">
        <v>207</v>
      </c>
      <c r="U8825" s="1">
        <v>37866</v>
      </c>
      <c r="V8825" t="s">
        <v>66</v>
      </c>
      <c r="W8825" t="s">
        <v>67</v>
      </c>
      <c r="X8825" t="s">
        <v>58</v>
      </c>
      <c r="Y8825">
        <v>22</v>
      </c>
      <c r="Z8825" t="s">
        <v>59</v>
      </c>
      <c r="AA8825" t="s">
        <v>59</v>
      </c>
      <c r="AB8825" t="s">
        <v>59</v>
      </c>
      <c r="AC8825" t="s">
        <v>59</v>
      </c>
      <c r="AD8825" t="s">
        <v>59</v>
      </c>
      <c r="AF8825" s="1">
        <v>37866</v>
      </c>
      <c r="AG8825" t="s">
        <v>8645</v>
      </c>
      <c r="AH8825" t="s">
        <v>8646</v>
      </c>
      <c r="AI8825" t="str">
        <f>"9410003"</f>
        <v>9410003</v>
      </c>
      <c r="AJ8825" t="s">
        <v>12794</v>
      </c>
      <c r="AK8825">
        <v>2834031213</v>
      </c>
      <c r="AL8825" t="s">
        <v>12795</v>
      </c>
      <c r="AM8825" t="s">
        <v>64</v>
      </c>
      <c r="AN8825" t="s">
        <v>5737</v>
      </c>
      <c r="AO8825" t="s">
        <v>5737</v>
      </c>
      <c r="AP8825" t="s">
        <v>5737</v>
      </c>
      <c r="AQ8825">
        <v>9</v>
      </c>
      <c r="AR8825" t="s">
        <v>66</v>
      </c>
      <c r="AS8825" t="s">
        <v>67</v>
      </c>
      <c r="AT8825" t="s">
        <v>58</v>
      </c>
      <c r="AU8825" t="s">
        <v>68</v>
      </c>
      <c r="AV8825" t="s">
        <v>69</v>
      </c>
      <c r="AW8825" s="1">
        <v>27105</v>
      </c>
      <c r="AX8825">
        <v>1</v>
      </c>
    </row>
    <row r="8826" spans="1:50">
      <c r="A8826">
        <v>620322</v>
      </c>
      <c r="B8826" t="str">
        <f>"115593464"</f>
        <v>115593464</v>
      </c>
      <c r="C8826" t="s">
        <v>105</v>
      </c>
      <c r="D8826" t="s">
        <v>13464</v>
      </c>
      <c r="E8826" t="s">
        <v>510</v>
      </c>
      <c r="F8826" t="s">
        <v>84</v>
      </c>
      <c r="G8826" t="s">
        <v>13465</v>
      </c>
      <c r="H8826" t="str">
        <f>"Ν. ΖΙΧΝΗΣ 10 ΑΧΑΡΝΑΙ"</f>
        <v>Ν. ΖΙΧΝΗΣ 10 ΑΧΑΡΝΑΙ</v>
      </c>
      <c r="I8826">
        <v>13678</v>
      </c>
      <c r="J8826">
        <v>2102462840</v>
      </c>
      <c r="K8826">
        <v>6937356419</v>
      </c>
      <c r="N8826" t="s">
        <v>337</v>
      </c>
      <c r="O8826" t="s">
        <v>338</v>
      </c>
      <c r="R8826" t="s">
        <v>57</v>
      </c>
      <c r="S8826">
        <v>6</v>
      </c>
      <c r="T8826">
        <v>652</v>
      </c>
      <c r="U8826" s="1">
        <v>40043</v>
      </c>
      <c r="V8826" t="s">
        <v>66</v>
      </c>
      <c r="W8826" t="s">
        <v>67</v>
      </c>
      <c r="X8826" t="s">
        <v>58</v>
      </c>
      <c r="Y8826">
        <v>24</v>
      </c>
      <c r="Z8826" t="s">
        <v>59</v>
      </c>
      <c r="AA8826" t="s">
        <v>59</v>
      </c>
      <c r="AB8826" t="s">
        <v>59</v>
      </c>
      <c r="AC8826" t="s">
        <v>59</v>
      </c>
      <c r="AD8826" t="s">
        <v>59</v>
      </c>
      <c r="AF8826" s="1">
        <v>40057</v>
      </c>
      <c r="AG8826" t="s">
        <v>8645</v>
      </c>
      <c r="AH8826" t="s">
        <v>8646</v>
      </c>
      <c r="AI8826" t="str">
        <f>"9410155"</f>
        <v>9410155</v>
      </c>
      <c r="AJ8826" t="s">
        <v>12663</v>
      </c>
      <c r="AK8826">
        <v>2831028697</v>
      </c>
      <c r="AL8826" t="s">
        <v>12664</v>
      </c>
      <c r="AM8826" t="s">
        <v>64</v>
      </c>
      <c r="AN8826" t="s">
        <v>65</v>
      </c>
      <c r="AO8826" t="s">
        <v>65</v>
      </c>
      <c r="AP8826" t="s">
        <v>65</v>
      </c>
      <c r="AQ8826">
        <v>1</v>
      </c>
      <c r="AR8826" t="s">
        <v>66</v>
      </c>
      <c r="AS8826" t="s">
        <v>67</v>
      </c>
      <c r="AT8826" t="s">
        <v>58</v>
      </c>
      <c r="AU8826" t="s">
        <v>68</v>
      </c>
      <c r="AV8826" t="s">
        <v>69</v>
      </c>
      <c r="AW8826" s="1">
        <v>30238</v>
      </c>
      <c r="AX8826">
        <v>1</v>
      </c>
    </row>
    <row r="8827" spans="1:50">
      <c r="B8827" t="str">
        <f>"154843614"</f>
        <v>154843614</v>
      </c>
      <c r="C8827" t="s">
        <v>50</v>
      </c>
      <c r="D8827" t="s">
        <v>13466</v>
      </c>
      <c r="E8827" t="s">
        <v>238</v>
      </c>
      <c r="F8827" t="s">
        <v>7369</v>
      </c>
      <c r="G8827" t="s">
        <v>52</v>
      </c>
      <c r="H8827" t="str">
        <f>" "</f>
        <v xml:space="preserve"> </v>
      </c>
      <c r="N8827" t="s">
        <v>615</v>
      </c>
      <c r="O8827" t="s">
        <v>616</v>
      </c>
      <c r="R8827" t="s">
        <v>121</v>
      </c>
      <c r="S8827">
        <v>1</v>
      </c>
      <c r="T8827" t="s">
        <v>9034</v>
      </c>
      <c r="U8827" s="1">
        <v>43377</v>
      </c>
      <c r="V8827" t="s">
        <v>66</v>
      </c>
      <c r="W8827" t="s">
        <v>67</v>
      </c>
      <c r="X8827" t="s">
        <v>58</v>
      </c>
      <c r="Y8827">
        <v>24</v>
      </c>
      <c r="Z8827" t="s">
        <v>59</v>
      </c>
      <c r="AA8827" t="s">
        <v>59</v>
      </c>
      <c r="AB8827" t="s">
        <v>59</v>
      </c>
      <c r="AD8827" t="s">
        <v>59</v>
      </c>
      <c r="AF8827" s="1">
        <v>43377</v>
      </c>
      <c r="AG8827" t="s">
        <v>8645</v>
      </c>
      <c r="AH8827" t="s">
        <v>8646</v>
      </c>
      <c r="AI8827" t="str">
        <f>"9410051"</f>
        <v>9410051</v>
      </c>
      <c r="AJ8827" t="s">
        <v>12660</v>
      </c>
      <c r="AK8827">
        <v>2834022247</v>
      </c>
      <c r="AL8827" t="s">
        <v>12661</v>
      </c>
      <c r="AM8827" t="s">
        <v>64</v>
      </c>
      <c r="AN8827" t="s">
        <v>5672</v>
      </c>
      <c r="AO8827" t="s">
        <v>5673</v>
      </c>
      <c r="AP8827" t="s">
        <v>5689</v>
      </c>
      <c r="AQ8827">
        <v>7</v>
      </c>
      <c r="AR8827" t="s">
        <v>66</v>
      </c>
      <c r="AS8827" t="s">
        <v>67</v>
      </c>
      <c r="AT8827" t="s">
        <v>58</v>
      </c>
      <c r="AU8827" t="s">
        <v>8673</v>
      </c>
      <c r="AV8827" t="s">
        <v>132</v>
      </c>
      <c r="AW8827" s="1">
        <v>32617</v>
      </c>
      <c r="AX8827">
        <v>1</v>
      </c>
    </row>
    <row r="8828" spans="1:50">
      <c r="A8828">
        <v>607343</v>
      </c>
      <c r="B8828" t="str">
        <f>"100784284"</f>
        <v>100784284</v>
      </c>
      <c r="C8828" t="s">
        <v>50</v>
      </c>
      <c r="D8828" t="s">
        <v>13467</v>
      </c>
      <c r="E8828" t="s">
        <v>9170</v>
      </c>
      <c r="F8828" t="s">
        <v>53</v>
      </c>
      <c r="G8828" t="s">
        <v>52</v>
      </c>
      <c r="H8828" t="str">
        <f>" "</f>
        <v xml:space="preserve"> </v>
      </c>
      <c r="J8828">
        <v>2831072994</v>
      </c>
      <c r="K8828">
        <v>6976119863</v>
      </c>
      <c r="N8828" t="s">
        <v>615</v>
      </c>
      <c r="O8828" t="s">
        <v>616</v>
      </c>
      <c r="R8828" t="s">
        <v>57</v>
      </c>
      <c r="S8828">
        <v>7</v>
      </c>
      <c r="T8828">
        <v>217</v>
      </c>
      <c r="U8828" s="1">
        <v>38596</v>
      </c>
      <c r="V8828" t="s">
        <v>66</v>
      </c>
      <c r="W8828" t="s">
        <v>67</v>
      </c>
      <c r="X8828" t="s">
        <v>58</v>
      </c>
      <c r="Y8828">
        <v>23</v>
      </c>
      <c r="Z8828" t="s">
        <v>59</v>
      </c>
      <c r="AA8828" t="s">
        <v>59</v>
      </c>
      <c r="AB8828" t="s">
        <v>59</v>
      </c>
      <c r="AC8828" t="s">
        <v>59</v>
      </c>
      <c r="AD8828" t="s">
        <v>59</v>
      </c>
      <c r="AF8828" s="1">
        <v>38600</v>
      </c>
      <c r="AG8828" t="s">
        <v>8645</v>
      </c>
      <c r="AH8828" t="s">
        <v>8646</v>
      </c>
      <c r="AI8828" t="str">
        <f>"9410226"</f>
        <v>9410226</v>
      </c>
      <c r="AJ8828" t="s">
        <v>12702</v>
      </c>
      <c r="AK8828">
        <v>2831071088</v>
      </c>
      <c r="AL8828" t="s">
        <v>12703</v>
      </c>
      <c r="AM8828" t="s">
        <v>64</v>
      </c>
      <c r="AN8828" t="s">
        <v>65</v>
      </c>
      <c r="AO8828" t="s">
        <v>12694</v>
      </c>
      <c r="AP8828" t="s">
        <v>12704</v>
      </c>
      <c r="AQ8828">
        <v>3</v>
      </c>
      <c r="AR8828" t="s">
        <v>66</v>
      </c>
      <c r="AS8828" t="s">
        <v>67</v>
      </c>
      <c r="AT8828" t="s">
        <v>58</v>
      </c>
      <c r="AU8828" t="s">
        <v>68</v>
      </c>
      <c r="AV8828" t="s">
        <v>69</v>
      </c>
      <c r="AW8828" s="1">
        <v>26148</v>
      </c>
      <c r="AX8828">
        <v>1</v>
      </c>
    </row>
    <row r="8829" spans="1:50">
      <c r="B8829" t="str">
        <f>"074735930"</f>
        <v>074735930</v>
      </c>
      <c r="C8829" t="s">
        <v>50</v>
      </c>
      <c r="D8829" t="s">
        <v>13468</v>
      </c>
      <c r="E8829" t="s">
        <v>54</v>
      </c>
      <c r="F8829" t="s">
        <v>995</v>
      </c>
      <c r="G8829" t="s">
        <v>237</v>
      </c>
      <c r="H8829" t="str">
        <f>" "</f>
        <v xml:space="preserve"> </v>
      </c>
      <c r="N8829" t="s">
        <v>615</v>
      </c>
      <c r="O8829" t="s">
        <v>616</v>
      </c>
      <c r="R8829" t="s">
        <v>121</v>
      </c>
      <c r="S8829">
        <v>1</v>
      </c>
      <c r="T8829" t="s">
        <v>8717</v>
      </c>
      <c r="U8829" s="1">
        <v>43348</v>
      </c>
      <c r="V8829" t="s">
        <v>66</v>
      </c>
      <c r="W8829" t="s">
        <v>67</v>
      </c>
      <c r="X8829" t="s">
        <v>58</v>
      </c>
      <c r="Y8829">
        <v>24</v>
      </c>
      <c r="Z8829" t="s">
        <v>59</v>
      </c>
      <c r="AA8829" t="s">
        <v>59</v>
      </c>
      <c r="AB8829" t="s">
        <v>59</v>
      </c>
      <c r="AD8829" t="s">
        <v>59</v>
      </c>
      <c r="AF8829" s="1">
        <v>43348</v>
      </c>
      <c r="AG8829" t="s">
        <v>8645</v>
      </c>
      <c r="AH8829" t="s">
        <v>8646</v>
      </c>
      <c r="AI8829" t="str">
        <f>"9410064"</f>
        <v>9410064</v>
      </c>
      <c r="AJ8829" t="s">
        <v>12683</v>
      </c>
      <c r="AK8829">
        <v>2831028390</v>
      </c>
      <c r="AL8829" t="s">
        <v>12684</v>
      </c>
      <c r="AM8829" t="s">
        <v>64</v>
      </c>
      <c r="AN8829" t="s">
        <v>65</v>
      </c>
      <c r="AO8829" t="s">
        <v>65</v>
      </c>
      <c r="AP8829" t="s">
        <v>65</v>
      </c>
      <c r="AQ8829">
        <v>1</v>
      </c>
      <c r="AR8829" t="s">
        <v>66</v>
      </c>
      <c r="AS8829" t="s">
        <v>67</v>
      </c>
      <c r="AT8829" t="s">
        <v>58</v>
      </c>
      <c r="AU8829" t="s">
        <v>8720</v>
      </c>
      <c r="AV8829" t="s">
        <v>132</v>
      </c>
      <c r="AW8829" s="1">
        <v>32743</v>
      </c>
      <c r="AX8829">
        <v>1</v>
      </c>
    </row>
    <row r="8830" spans="1:50">
      <c r="B8830" t="str">
        <f>"135046945"</f>
        <v>135046945</v>
      </c>
      <c r="C8830" t="s">
        <v>50</v>
      </c>
      <c r="D8830" t="s">
        <v>13469</v>
      </c>
      <c r="E8830" t="s">
        <v>181</v>
      </c>
      <c r="F8830" t="s">
        <v>383</v>
      </c>
      <c r="G8830" t="s">
        <v>476</v>
      </c>
      <c r="H8830" t="str">
        <f>"ΒΕΝΙΖΕΛΟΥ 19 "</f>
        <v xml:space="preserve">ΒΕΝΙΖΕΛΟΥ 19 </v>
      </c>
      <c r="I8830">
        <v>58200</v>
      </c>
      <c r="J8830">
        <v>2381100208</v>
      </c>
      <c r="K8830">
        <v>6988770838</v>
      </c>
      <c r="N8830" t="s">
        <v>615</v>
      </c>
      <c r="O8830" t="s">
        <v>616</v>
      </c>
      <c r="R8830" t="s">
        <v>159</v>
      </c>
      <c r="S8830">
        <v>2</v>
      </c>
      <c r="T8830" t="s">
        <v>8675</v>
      </c>
      <c r="U8830" s="1">
        <v>43348</v>
      </c>
      <c r="V8830" t="s">
        <v>66</v>
      </c>
      <c r="W8830" t="s">
        <v>67</v>
      </c>
      <c r="X8830" t="s">
        <v>58</v>
      </c>
      <c r="Y8830">
        <v>25</v>
      </c>
      <c r="Z8830" t="s">
        <v>59</v>
      </c>
      <c r="AA8830" t="s">
        <v>59</v>
      </c>
      <c r="AB8830" t="s">
        <v>59</v>
      </c>
      <c r="AC8830" t="s">
        <v>59</v>
      </c>
      <c r="AD8830" t="s">
        <v>59</v>
      </c>
      <c r="AF8830" s="1">
        <v>43348</v>
      </c>
      <c r="AG8830" t="s">
        <v>8645</v>
      </c>
      <c r="AH8830" t="s">
        <v>8676</v>
      </c>
      <c r="AI8830" t="str">
        <f>"9410041"</f>
        <v>9410041</v>
      </c>
      <c r="AJ8830" t="s">
        <v>12801</v>
      </c>
      <c r="AK8830">
        <v>2834092258</v>
      </c>
      <c r="AL8830" t="s">
        <v>12802</v>
      </c>
      <c r="AM8830" t="s">
        <v>64</v>
      </c>
      <c r="AN8830" t="s">
        <v>5672</v>
      </c>
      <c r="AO8830" t="s">
        <v>5673</v>
      </c>
      <c r="AP8830" t="s">
        <v>12803</v>
      </c>
      <c r="AQ8830">
        <v>8</v>
      </c>
      <c r="AR8830" t="s">
        <v>66</v>
      </c>
      <c r="AS8830" t="s">
        <v>67</v>
      </c>
      <c r="AT8830" t="s">
        <v>58</v>
      </c>
      <c r="AU8830" t="s">
        <v>8673</v>
      </c>
      <c r="AV8830" t="s">
        <v>132</v>
      </c>
      <c r="AW8830" s="1">
        <v>32352</v>
      </c>
      <c r="AX8830">
        <v>1</v>
      </c>
    </row>
    <row r="8831" spans="1:50">
      <c r="A8831">
        <v>622212</v>
      </c>
      <c r="B8831" t="str">
        <f>"065882040"</f>
        <v>065882040</v>
      </c>
      <c r="C8831" t="s">
        <v>50</v>
      </c>
      <c r="D8831" t="s">
        <v>5213</v>
      </c>
      <c r="E8831" t="s">
        <v>250</v>
      </c>
      <c r="F8831" t="s">
        <v>760</v>
      </c>
      <c r="G8831" t="s">
        <v>610</v>
      </c>
      <c r="H8831" t="str">
        <f>"ΣΚΕΠΑΣΤΗ ΡΕΘΥΜΝΟΥ ΡΕΘΥΜΝΟ"</f>
        <v>ΣΚΕΠΑΣΤΗ ΡΕΘΥΜΝΟΥ ΡΕΘΥΜΝΟ</v>
      </c>
      <c r="I8831">
        <v>74057</v>
      </c>
      <c r="J8831">
        <v>2834051107</v>
      </c>
      <c r="K8831">
        <v>6942255670</v>
      </c>
      <c r="M8831" t="s">
        <v>13470</v>
      </c>
      <c r="N8831" t="s">
        <v>1525</v>
      </c>
      <c r="O8831" t="s">
        <v>1526</v>
      </c>
      <c r="R8831" t="s">
        <v>57</v>
      </c>
      <c r="S8831">
        <v>5</v>
      </c>
      <c r="T8831">
        <v>653</v>
      </c>
      <c r="U8831" s="1">
        <v>40043</v>
      </c>
      <c r="V8831" t="s">
        <v>66</v>
      </c>
      <c r="W8831" t="s">
        <v>67</v>
      </c>
      <c r="X8831" t="s">
        <v>58</v>
      </c>
      <c r="Y8831">
        <v>25</v>
      </c>
      <c r="Z8831" t="s">
        <v>59</v>
      </c>
      <c r="AA8831" t="s">
        <v>59</v>
      </c>
      <c r="AB8831" t="s">
        <v>59</v>
      </c>
      <c r="AC8831" t="s">
        <v>59</v>
      </c>
      <c r="AD8831" t="s">
        <v>59</v>
      </c>
      <c r="AF8831" s="1">
        <v>40043</v>
      </c>
      <c r="AG8831" t="s">
        <v>8651</v>
      </c>
      <c r="AH8831" t="s">
        <v>8652</v>
      </c>
      <c r="AI8831" t="str">
        <f>"9410050"</f>
        <v>9410050</v>
      </c>
      <c r="AJ8831" t="s">
        <v>12924</v>
      </c>
      <c r="AK8831">
        <v>2834022518</v>
      </c>
      <c r="AL8831" t="s">
        <v>12925</v>
      </c>
      <c r="AM8831" t="s">
        <v>64</v>
      </c>
      <c r="AN8831" t="s">
        <v>5672</v>
      </c>
      <c r="AO8831" t="s">
        <v>5673</v>
      </c>
      <c r="AP8831" t="s">
        <v>5689</v>
      </c>
      <c r="AQ8831">
        <v>7</v>
      </c>
      <c r="AR8831" t="s">
        <v>66</v>
      </c>
      <c r="AS8831" t="s">
        <v>67</v>
      </c>
      <c r="AT8831" t="s">
        <v>58</v>
      </c>
      <c r="AU8831" t="s">
        <v>68</v>
      </c>
      <c r="AV8831" t="s">
        <v>69</v>
      </c>
      <c r="AW8831" s="1">
        <v>25394</v>
      </c>
      <c r="AX8831">
        <v>1</v>
      </c>
    </row>
    <row r="8832" spans="1:50">
      <c r="A8832">
        <v>595393</v>
      </c>
      <c r="B8832" t="str">
        <f>"054825003"</f>
        <v>054825003</v>
      </c>
      <c r="C8832" t="s">
        <v>50</v>
      </c>
      <c r="D8832" t="s">
        <v>5213</v>
      </c>
      <c r="E8832" t="s">
        <v>250</v>
      </c>
      <c r="F8832" t="s">
        <v>106</v>
      </c>
      <c r="G8832" t="s">
        <v>237</v>
      </c>
      <c r="H8832" t="str">
        <f>"ΠΑΠΑΝΙΚΟΛΑΟΥ 26 ΡΕΘΥΜΝΟ"</f>
        <v>ΠΑΠΑΝΙΚΟΛΑΟΥ 26 ΡΕΘΥΜΝΟ</v>
      </c>
      <c r="I8832">
        <v>74100</v>
      </c>
      <c r="J8832">
        <v>2831057458</v>
      </c>
      <c r="K8832">
        <v>6978342540</v>
      </c>
      <c r="M8832" t="s">
        <v>13471</v>
      </c>
      <c r="N8832" t="s">
        <v>1525</v>
      </c>
      <c r="O8832" t="s">
        <v>1526</v>
      </c>
      <c r="R8832" t="s">
        <v>57</v>
      </c>
      <c r="S8832">
        <v>8</v>
      </c>
      <c r="T8832">
        <v>218</v>
      </c>
      <c r="U8832" s="1">
        <v>37134</v>
      </c>
      <c r="V8832" t="s">
        <v>66</v>
      </c>
      <c r="W8832" t="s">
        <v>67</v>
      </c>
      <c r="X8832" t="s">
        <v>58</v>
      </c>
      <c r="Y8832">
        <v>25</v>
      </c>
      <c r="Z8832" t="s">
        <v>59</v>
      </c>
      <c r="AA8832" t="s">
        <v>59</v>
      </c>
      <c r="AB8832" t="s">
        <v>59</v>
      </c>
      <c r="AC8832" t="s">
        <v>59</v>
      </c>
      <c r="AD8832" t="s">
        <v>59</v>
      </c>
      <c r="AF8832" s="1">
        <v>37138</v>
      </c>
      <c r="AG8832" t="s">
        <v>8651</v>
      </c>
      <c r="AH8832" t="s">
        <v>8652</v>
      </c>
      <c r="AI8832" t="str">
        <f>"9410247"</f>
        <v>9410247</v>
      </c>
      <c r="AJ8832" t="s">
        <v>12907</v>
      </c>
      <c r="AK8832">
        <v>2831022381</v>
      </c>
      <c r="AL8832" t="s">
        <v>12908</v>
      </c>
      <c r="AM8832" t="s">
        <v>64</v>
      </c>
      <c r="AN8832" t="s">
        <v>65</v>
      </c>
      <c r="AO8832" t="s">
        <v>65</v>
      </c>
      <c r="AP8832" t="s">
        <v>65</v>
      </c>
      <c r="AQ8832">
        <v>1</v>
      </c>
      <c r="AR8832" t="s">
        <v>66</v>
      </c>
      <c r="AS8832" t="s">
        <v>67</v>
      </c>
      <c r="AT8832" t="s">
        <v>58</v>
      </c>
      <c r="AU8832" t="s">
        <v>68</v>
      </c>
      <c r="AV8832" t="s">
        <v>69</v>
      </c>
      <c r="AW8832" s="1">
        <v>24968</v>
      </c>
      <c r="AX8832">
        <v>1</v>
      </c>
    </row>
    <row r="8833" spans="1:50">
      <c r="A8833">
        <v>561577</v>
      </c>
      <c r="B8833" t="str">
        <f>"033420883"</f>
        <v>033420883</v>
      </c>
      <c r="C8833" t="s">
        <v>50</v>
      </c>
      <c r="D8833" t="s">
        <v>5213</v>
      </c>
      <c r="E8833" t="s">
        <v>83</v>
      </c>
      <c r="F8833" t="s">
        <v>7324</v>
      </c>
      <c r="G8833" t="s">
        <v>1068</v>
      </c>
      <c r="H8833" t="str">
        <f>" "</f>
        <v xml:space="preserve"> </v>
      </c>
      <c r="K8833">
        <v>6972131289</v>
      </c>
      <c r="N8833" t="s">
        <v>615</v>
      </c>
      <c r="O8833" t="s">
        <v>616</v>
      </c>
      <c r="R8833" t="s">
        <v>57</v>
      </c>
      <c r="S8833">
        <v>15</v>
      </c>
      <c r="T8833">
        <v>159</v>
      </c>
      <c r="U8833" s="1">
        <v>32385</v>
      </c>
      <c r="V8833" t="s">
        <v>66</v>
      </c>
      <c r="W8833" t="s">
        <v>67</v>
      </c>
      <c r="X8833" t="s">
        <v>58</v>
      </c>
      <c r="Y8833">
        <v>21</v>
      </c>
      <c r="Z8833" t="s">
        <v>59</v>
      </c>
      <c r="AA8833" t="s">
        <v>59</v>
      </c>
      <c r="AB8833" t="s">
        <v>59</v>
      </c>
      <c r="AC8833" t="s">
        <v>59</v>
      </c>
      <c r="AD8833" t="s">
        <v>59</v>
      </c>
      <c r="AF8833" s="1">
        <v>32387</v>
      </c>
      <c r="AG8833" t="s">
        <v>8645</v>
      </c>
      <c r="AH8833" t="s">
        <v>8646</v>
      </c>
      <c r="AI8833" t="str">
        <f>"9410003"</f>
        <v>9410003</v>
      </c>
      <c r="AJ8833" t="s">
        <v>12794</v>
      </c>
      <c r="AK8833">
        <v>2834031213</v>
      </c>
      <c r="AL8833" t="s">
        <v>12795</v>
      </c>
      <c r="AM8833" t="s">
        <v>64</v>
      </c>
      <c r="AN8833" t="s">
        <v>5737</v>
      </c>
      <c r="AO8833" t="s">
        <v>5737</v>
      </c>
      <c r="AP8833" t="s">
        <v>5737</v>
      </c>
      <c r="AQ8833">
        <v>9</v>
      </c>
      <c r="AR8833" t="s">
        <v>66</v>
      </c>
      <c r="AS8833" t="s">
        <v>67</v>
      </c>
      <c r="AT8833" t="s">
        <v>58</v>
      </c>
      <c r="AU8833" t="s">
        <v>68</v>
      </c>
      <c r="AV8833" t="s">
        <v>69</v>
      </c>
      <c r="AW8833" s="1">
        <v>23935</v>
      </c>
      <c r="AX8833">
        <v>1</v>
      </c>
    </row>
    <row r="8834" spans="1:50">
      <c r="A8834">
        <v>579709</v>
      </c>
      <c r="B8834" t="str">
        <f>"073297035"</f>
        <v>073297035</v>
      </c>
      <c r="C8834" t="s">
        <v>50</v>
      </c>
      <c r="D8834" t="s">
        <v>5213</v>
      </c>
      <c r="E8834" t="s">
        <v>52</v>
      </c>
      <c r="F8834" t="s">
        <v>7092</v>
      </c>
      <c r="G8834" t="s">
        <v>52</v>
      </c>
      <c r="H8834" t="str">
        <f>"ΑΝΩΓΕΙΑ ΜΥΛΟΠΟΤΑΜΟΥ"</f>
        <v>ΑΝΩΓΕΙΑ ΜΥΛΟΠΟΤΑΜΟΥ</v>
      </c>
      <c r="J8834">
        <v>2831028740</v>
      </c>
      <c r="K8834">
        <v>6948947996</v>
      </c>
      <c r="N8834" t="s">
        <v>615</v>
      </c>
      <c r="O8834" t="s">
        <v>616</v>
      </c>
      <c r="R8834" t="s">
        <v>57</v>
      </c>
      <c r="S8834">
        <v>10</v>
      </c>
      <c r="T8834">
        <v>165</v>
      </c>
      <c r="U8834" s="1">
        <v>35300</v>
      </c>
      <c r="V8834" t="s">
        <v>66</v>
      </c>
      <c r="W8834" t="s">
        <v>67</v>
      </c>
      <c r="X8834" t="s">
        <v>58</v>
      </c>
      <c r="Y8834">
        <v>21</v>
      </c>
      <c r="Z8834" t="s">
        <v>59</v>
      </c>
      <c r="AA8834" t="s">
        <v>59</v>
      </c>
      <c r="AB8834" t="s">
        <v>59</v>
      </c>
      <c r="AC8834" t="s">
        <v>59</v>
      </c>
      <c r="AD8834" t="s">
        <v>59</v>
      </c>
      <c r="AF8834" s="1">
        <v>35310</v>
      </c>
      <c r="AG8834" t="s">
        <v>8645</v>
      </c>
      <c r="AH8834" t="s">
        <v>8646</v>
      </c>
      <c r="AI8834" t="str">
        <f>"9410069"</f>
        <v>9410069</v>
      </c>
      <c r="AJ8834" t="s">
        <v>12674</v>
      </c>
      <c r="AK8834">
        <v>2831029296</v>
      </c>
      <c r="AL8834" t="s">
        <v>12675</v>
      </c>
      <c r="AM8834" t="s">
        <v>64</v>
      </c>
      <c r="AN8834" t="s">
        <v>65</v>
      </c>
      <c r="AO8834" t="s">
        <v>65</v>
      </c>
      <c r="AP8834" t="s">
        <v>65</v>
      </c>
      <c r="AQ8834">
        <v>1</v>
      </c>
      <c r="AR8834" t="s">
        <v>66</v>
      </c>
      <c r="AS8834" t="s">
        <v>67</v>
      </c>
      <c r="AT8834" t="s">
        <v>58</v>
      </c>
      <c r="AU8834" t="s">
        <v>68</v>
      </c>
      <c r="AV8834" t="s">
        <v>2039</v>
      </c>
      <c r="AW8834" s="1">
        <v>24309</v>
      </c>
      <c r="AX8834">
        <v>1</v>
      </c>
    </row>
    <row r="8835" spans="1:50">
      <c r="A8835">
        <v>703630</v>
      </c>
      <c r="B8835" t="str">
        <f>"144020036"</f>
        <v>144020036</v>
      </c>
      <c r="C8835" t="s">
        <v>50</v>
      </c>
      <c r="D8835" t="s">
        <v>3051</v>
      </c>
      <c r="E8835" t="s">
        <v>181</v>
      </c>
      <c r="F8835" t="s">
        <v>92</v>
      </c>
      <c r="G8835" t="s">
        <v>476</v>
      </c>
      <c r="H8835" t="str">
        <f>"ΘΕΟΤΟΚΟΠΟΥΛΟΥ 46 "</f>
        <v xml:space="preserve">ΘΕΟΤΟΚΟΠΟΥΛΟΥ 46 </v>
      </c>
      <c r="I8835">
        <v>74100</v>
      </c>
      <c r="K8835">
        <v>6947206091</v>
      </c>
      <c r="N8835" t="s">
        <v>1525</v>
      </c>
      <c r="O8835" t="s">
        <v>1526</v>
      </c>
      <c r="R8835" t="s">
        <v>57</v>
      </c>
      <c r="S8835">
        <v>3</v>
      </c>
      <c r="T8835">
        <v>925</v>
      </c>
      <c r="U8835" s="1">
        <v>41158</v>
      </c>
      <c r="V8835" t="s">
        <v>66</v>
      </c>
      <c r="W8835" t="s">
        <v>67</v>
      </c>
      <c r="X8835" t="s">
        <v>58</v>
      </c>
      <c r="Y8835">
        <v>25</v>
      </c>
      <c r="Z8835" t="s">
        <v>59</v>
      </c>
      <c r="AA8835" t="s">
        <v>59</v>
      </c>
      <c r="AB8835" t="s">
        <v>452</v>
      </c>
      <c r="AC8835" t="s">
        <v>59</v>
      </c>
      <c r="AD8835" t="s">
        <v>59</v>
      </c>
      <c r="AF8835" s="1">
        <v>41158</v>
      </c>
      <c r="AG8835" t="s">
        <v>8651</v>
      </c>
      <c r="AH8835" t="s">
        <v>8652</v>
      </c>
      <c r="AI8835" t="str">
        <f>"9410245"</f>
        <v>9410245</v>
      </c>
      <c r="AJ8835" t="s">
        <v>13472</v>
      </c>
      <c r="AK8835">
        <v>2831031094</v>
      </c>
      <c r="AL8835" t="s">
        <v>13473</v>
      </c>
      <c r="AM8835" t="s">
        <v>64</v>
      </c>
      <c r="AN8835" t="s">
        <v>65</v>
      </c>
      <c r="AO8835" t="s">
        <v>5720</v>
      </c>
      <c r="AP8835" t="s">
        <v>13474</v>
      </c>
      <c r="AQ8835">
        <v>4</v>
      </c>
      <c r="AR8835" t="s">
        <v>66</v>
      </c>
      <c r="AS8835" t="s">
        <v>67</v>
      </c>
      <c r="AT8835" t="s">
        <v>58</v>
      </c>
      <c r="AU8835" t="s">
        <v>68</v>
      </c>
      <c r="AV8835" t="s">
        <v>69</v>
      </c>
      <c r="AW8835" s="1">
        <v>31584</v>
      </c>
      <c r="AX8835">
        <v>1</v>
      </c>
    </row>
    <row r="8836" spans="1:50">
      <c r="B8836" t="str">
        <f>"125254984"</f>
        <v>125254984</v>
      </c>
      <c r="C8836" t="s">
        <v>105</v>
      </c>
      <c r="D8836" t="s">
        <v>3060</v>
      </c>
      <c r="E8836" t="s">
        <v>84</v>
      </c>
      <c r="F8836" t="s">
        <v>72</v>
      </c>
      <c r="G8836" t="s">
        <v>215</v>
      </c>
      <c r="H8836" t="str">
        <f>" "</f>
        <v xml:space="preserve"> </v>
      </c>
      <c r="K8836">
        <v>6940113675</v>
      </c>
      <c r="N8836" t="s">
        <v>1525</v>
      </c>
      <c r="O8836" t="s">
        <v>1526</v>
      </c>
      <c r="R8836" t="s">
        <v>121</v>
      </c>
      <c r="S8836">
        <v>1</v>
      </c>
      <c r="T8836" t="s">
        <v>8670</v>
      </c>
      <c r="U8836" s="1">
        <v>43348</v>
      </c>
      <c r="V8836" t="s">
        <v>66</v>
      </c>
      <c r="W8836" t="s">
        <v>67</v>
      </c>
      <c r="X8836" t="s">
        <v>58</v>
      </c>
      <c r="Y8836">
        <v>25</v>
      </c>
      <c r="Z8836" t="s">
        <v>59</v>
      </c>
      <c r="AA8836" t="s">
        <v>59</v>
      </c>
      <c r="AB8836" t="s">
        <v>59</v>
      </c>
      <c r="AD8836" t="s">
        <v>59</v>
      </c>
      <c r="AF8836" s="1">
        <v>43348</v>
      </c>
      <c r="AG8836" t="s">
        <v>8651</v>
      </c>
      <c r="AH8836" t="s">
        <v>8652</v>
      </c>
      <c r="AI8836" t="str">
        <f>"9410002"</f>
        <v>9410002</v>
      </c>
      <c r="AJ8836" t="s">
        <v>13382</v>
      </c>
      <c r="AK8836">
        <v>2834031184</v>
      </c>
      <c r="AL8836" t="s">
        <v>13383</v>
      </c>
      <c r="AM8836" t="s">
        <v>64</v>
      </c>
      <c r="AN8836" t="s">
        <v>5737</v>
      </c>
      <c r="AO8836" t="s">
        <v>5737</v>
      </c>
      <c r="AP8836" t="s">
        <v>5737</v>
      </c>
      <c r="AQ8836">
        <v>9</v>
      </c>
      <c r="AR8836" t="s">
        <v>66</v>
      </c>
      <c r="AS8836" t="s">
        <v>67</v>
      </c>
      <c r="AT8836" t="s">
        <v>58</v>
      </c>
      <c r="AU8836" t="s">
        <v>8673</v>
      </c>
      <c r="AV8836" t="s">
        <v>132</v>
      </c>
      <c r="AW8836" s="1">
        <v>30663</v>
      </c>
      <c r="AX8836">
        <v>1</v>
      </c>
    </row>
    <row r="8837" spans="1:50">
      <c r="B8837" t="str">
        <f>"148782140"</f>
        <v>148782140</v>
      </c>
      <c r="C8837" t="s">
        <v>50</v>
      </c>
      <c r="D8837" t="s">
        <v>3060</v>
      </c>
      <c r="E8837" t="s">
        <v>191</v>
      </c>
      <c r="F8837" t="s">
        <v>383</v>
      </c>
      <c r="G8837" t="s">
        <v>1927</v>
      </c>
      <c r="H8837" t="str">
        <f>"ΝΙΚΟΜΗΔΕΙΑΣ 5 ΓΙΑΝΝΟΥΛΗ ΛΑΡΙΣΑΣ"</f>
        <v>ΝΙΚΟΜΗΔΕΙΑΣ 5 ΓΙΑΝΝΟΥΛΗ ΛΑΡΙΣΑΣ</v>
      </c>
      <c r="I8837">
        <v>41500</v>
      </c>
      <c r="J8837">
        <v>2410592463</v>
      </c>
      <c r="K8837">
        <v>6980165410</v>
      </c>
      <c r="N8837" t="s">
        <v>615</v>
      </c>
      <c r="O8837" t="s">
        <v>616</v>
      </c>
      <c r="R8837" t="s">
        <v>121</v>
      </c>
      <c r="S8837">
        <v>1</v>
      </c>
      <c r="T8837" t="s">
        <v>8675</v>
      </c>
      <c r="U8837" s="1">
        <v>43348</v>
      </c>
      <c r="V8837" t="s">
        <v>66</v>
      </c>
      <c r="W8837" t="s">
        <v>67</v>
      </c>
      <c r="X8837" t="s">
        <v>58</v>
      </c>
      <c r="Y8837">
        <v>25</v>
      </c>
      <c r="Z8837" t="s">
        <v>59</v>
      </c>
      <c r="AA8837" t="s">
        <v>59</v>
      </c>
      <c r="AB8837" t="s">
        <v>59</v>
      </c>
      <c r="AC8837" t="s">
        <v>59</v>
      </c>
      <c r="AD8837" t="s">
        <v>59</v>
      </c>
      <c r="AF8837" s="1">
        <v>43348</v>
      </c>
      <c r="AG8837" t="s">
        <v>8645</v>
      </c>
      <c r="AH8837" t="s">
        <v>8676</v>
      </c>
      <c r="AI8837" t="str">
        <f>"9410088"</f>
        <v>9410088</v>
      </c>
      <c r="AJ8837" t="s">
        <v>12730</v>
      </c>
      <c r="AK8837">
        <v>2832091235</v>
      </c>
      <c r="AL8837" t="s">
        <v>12731</v>
      </c>
      <c r="AM8837" t="s">
        <v>64</v>
      </c>
      <c r="AN8837" t="s">
        <v>5882</v>
      </c>
      <c r="AO8837" t="s">
        <v>5883</v>
      </c>
      <c r="AP8837" t="s">
        <v>12732</v>
      </c>
      <c r="AQ8837">
        <v>6</v>
      </c>
      <c r="AR8837" t="s">
        <v>66</v>
      </c>
      <c r="AS8837" t="s">
        <v>67</v>
      </c>
      <c r="AT8837" t="s">
        <v>58</v>
      </c>
      <c r="AU8837" t="s">
        <v>8673</v>
      </c>
      <c r="AV8837" t="s">
        <v>132</v>
      </c>
      <c r="AW8837" s="1">
        <v>32884</v>
      </c>
      <c r="AX8837">
        <v>1</v>
      </c>
    </row>
    <row r="8838" spans="1:50">
      <c r="B8838" t="str">
        <f>"073529312"</f>
        <v>073529312</v>
      </c>
      <c r="C8838" t="s">
        <v>105</v>
      </c>
      <c r="D8838" t="s">
        <v>13475</v>
      </c>
      <c r="E8838" t="s">
        <v>99</v>
      </c>
      <c r="F8838" t="s">
        <v>95</v>
      </c>
      <c r="G8838" t="s">
        <v>6258</v>
      </c>
      <c r="H8838" t="str">
        <f>"ΣΚΟΥΛΑ 15 ΡΕΘΥΜΝΟ"</f>
        <v>ΣΚΟΥΛΑ 15 ΡΕΘΥΜΝΟ</v>
      </c>
      <c r="I8838">
        <v>74100</v>
      </c>
      <c r="J8838">
        <v>2831052935</v>
      </c>
      <c r="K8838">
        <v>6972899592</v>
      </c>
      <c r="M8838" t="s">
        <v>13476</v>
      </c>
      <c r="N8838" t="s">
        <v>8834</v>
      </c>
      <c r="O8838" t="s">
        <v>8695</v>
      </c>
      <c r="R8838" t="s">
        <v>159</v>
      </c>
      <c r="S8838">
        <v>5</v>
      </c>
      <c r="T8838" t="s">
        <v>8835</v>
      </c>
      <c r="U8838" s="1">
        <v>43348</v>
      </c>
      <c r="V8838" t="s">
        <v>66</v>
      </c>
      <c r="W8838" t="s">
        <v>67</v>
      </c>
      <c r="X8838" t="s">
        <v>58</v>
      </c>
      <c r="Y8838">
        <v>24</v>
      </c>
      <c r="Z8838" t="s">
        <v>59</v>
      </c>
      <c r="AA8838" t="s">
        <v>59</v>
      </c>
      <c r="AB8838" t="s">
        <v>59</v>
      </c>
      <c r="AC8838" t="s">
        <v>59</v>
      </c>
      <c r="AD8838" t="s">
        <v>59</v>
      </c>
      <c r="AF8838" s="1">
        <v>43348</v>
      </c>
      <c r="AG8838" t="s">
        <v>8645</v>
      </c>
      <c r="AH8838" t="s">
        <v>8646</v>
      </c>
      <c r="AI8838" t="str">
        <f>"9410069"</f>
        <v>9410069</v>
      </c>
      <c r="AJ8838" t="s">
        <v>12674</v>
      </c>
      <c r="AK8838">
        <v>2831029296</v>
      </c>
      <c r="AL8838" t="s">
        <v>12675</v>
      </c>
      <c r="AM8838" t="s">
        <v>64</v>
      </c>
      <c r="AN8838" t="s">
        <v>65</v>
      </c>
      <c r="AO8838" t="s">
        <v>65</v>
      </c>
      <c r="AP8838" t="s">
        <v>65</v>
      </c>
      <c r="AQ8838">
        <v>1</v>
      </c>
      <c r="AR8838" t="s">
        <v>66</v>
      </c>
      <c r="AS8838" t="s">
        <v>67</v>
      </c>
      <c r="AT8838" t="s">
        <v>58</v>
      </c>
      <c r="AU8838" t="s">
        <v>131</v>
      </c>
      <c r="AV8838" t="s">
        <v>132</v>
      </c>
      <c r="AW8838" s="1">
        <v>25336</v>
      </c>
      <c r="AX8838">
        <v>1</v>
      </c>
    </row>
    <row r="8839" spans="1:50">
      <c r="B8839" t="str">
        <f>"160238861"</f>
        <v>160238861</v>
      </c>
      <c r="C8839" t="s">
        <v>50</v>
      </c>
      <c r="D8839" t="s">
        <v>13477</v>
      </c>
      <c r="E8839" t="s">
        <v>563</v>
      </c>
      <c r="F8839" t="s">
        <v>1493</v>
      </c>
      <c r="G8839" t="s">
        <v>255</v>
      </c>
      <c r="H8839" t="str">
        <f>" "</f>
        <v xml:space="preserve"> </v>
      </c>
      <c r="N8839" t="s">
        <v>8694</v>
      </c>
      <c r="O8839" t="s">
        <v>8695</v>
      </c>
      <c r="R8839" t="s">
        <v>121</v>
      </c>
      <c r="S8839">
        <v>1</v>
      </c>
      <c r="T8839" t="s">
        <v>8835</v>
      </c>
      <c r="U8839" s="1">
        <v>43348</v>
      </c>
      <c r="V8839" t="s">
        <v>66</v>
      </c>
      <c r="W8839" t="s">
        <v>67</v>
      </c>
      <c r="X8839" t="s">
        <v>58</v>
      </c>
      <c r="Y8839">
        <v>24</v>
      </c>
      <c r="Z8839" t="s">
        <v>59</v>
      </c>
      <c r="AA8839" t="s">
        <v>59</v>
      </c>
      <c r="AB8839" t="s">
        <v>59</v>
      </c>
      <c r="AD8839" t="s">
        <v>59</v>
      </c>
      <c r="AF8839" s="1">
        <v>43348</v>
      </c>
      <c r="AG8839" t="s">
        <v>8645</v>
      </c>
      <c r="AH8839" t="s">
        <v>8646</v>
      </c>
      <c r="AI8839" t="str">
        <f>"9410127"</f>
        <v>9410127</v>
      </c>
      <c r="AJ8839" t="s">
        <v>12767</v>
      </c>
      <c r="AK8839">
        <v>2833022347</v>
      </c>
      <c r="AL8839" t="s">
        <v>12768</v>
      </c>
      <c r="AM8839" t="s">
        <v>64</v>
      </c>
      <c r="AN8839" t="s">
        <v>5713</v>
      </c>
      <c r="AO8839" t="s">
        <v>5714</v>
      </c>
      <c r="AP8839" t="s">
        <v>5715</v>
      </c>
      <c r="AQ8839">
        <v>5</v>
      </c>
      <c r="AR8839" t="s">
        <v>66</v>
      </c>
      <c r="AS8839" t="s">
        <v>67</v>
      </c>
      <c r="AT8839" t="s">
        <v>58</v>
      </c>
      <c r="AU8839" t="s">
        <v>131</v>
      </c>
      <c r="AV8839" t="s">
        <v>132</v>
      </c>
      <c r="AW8839" s="1">
        <v>34626</v>
      </c>
      <c r="AX8839">
        <v>1</v>
      </c>
    </row>
    <row r="8840" spans="1:50">
      <c r="A8840">
        <v>617568</v>
      </c>
      <c r="B8840" t="str">
        <f>"120981234"</f>
        <v>120981234</v>
      </c>
      <c r="C8840" t="s">
        <v>105</v>
      </c>
      <c r="D8840" t="s">
        <v>13478</v>
      </c>
      <c r="E8840" t="s">
        <v>2933</v>
      </c>
      <c r="F8840" t="s">
        <v>53</v>
      </c>
      <c r="G8840" t="s">
        <v>263</v>
      </c>
      <c r="H8840" t="str">
        <f>"ΧΑΡ.ΤΡΙΚΟΥΠΗ 32 ΗΛΙΟΥΠΟΛΗ"</f>
        <v>ΧΑΡ.ΤΡΙΚΟΥΠΗ 32 ΗΛΙΟΥΠΟΛΗ</v>
      </c>
      <c r="I8840">
        <v>16346</v>
      </c>
      <c r="J8840">
        <v>2109933897</v>
      </c>
      <c r="K8840">
        <v>6972053329</v>
      </c>
      <c r="N8840" t="s">
        <v>615</v>
      </c>
      <c r="O8840" t="s">
        <v>616</v>
      </c>
      <c r="R8840" t="s">
        <v>57</v>
      </c>
      <c r="S8840">
        <v>5</v>
      </c>
      <c r="T8840">
        <v>774</v>
      </c>
      <c r="U8840" s="1">
        <v>39680</v>
      </c>
      <c r="V8840" t="s">
        <v>66</v>
      </c>
      <c r="W8840" t="s">
        <v>67</v>
      </c>
      <c r="X8840" t="s">
        <v>58</v>
      </c>
      <c r="Y8840">
        <v>23</v>
      </c>
      <c r="Z8840" t="s">
        <v>59</v>
      </c>
      <c r="AA8840" t="s">
        <v>59</v>
      </c>
      <c r="AB8840" t="s">
        <v>59</v>
      </c>
      <c r="AC8840" t="s">
        <v>59</v>
      </c>
      <c r="AD8840" t="s">
        <v>59</v>
      </c>
      <c r="AF8840" s="1">
        <v>39681</v>
      </c>
      <c r="AG8840" t="s">
        <v>8645</v>
      </c>
      <c r="AH8840" t="s">
        <v>8646</v>
      </c>
      <c r="AI8840" t="str">
        <f>"9410120"</f>
        <v>9410120</v>
      </c>
      <c r="AJ8840" t="s">
        <v>12681</v>
      </c>
      <c r="AK8840">
        <v>6978148714</v>
      </c>
      <c r="AL8840" t="s">
        <v>12682</v>
      </c>
      <c r="AM8840" t="s">
        <v>64</v>
      </c>
      <c r="AN8840" t="s">
        <v>5882</v>
      </c>
      <c r="AO8840" t="s">
        <v>5883</v>
      </c>
      <c r="AP8840" t="s">
        <v>5884</v>
      </c>
      <c r="AQ8840">
        <v>5</v>
      </c>
      <c r="AR8840" t="s">
        <v>66</v>
      </c>
      <c r="AS8840" t="s">
        <v>67</v>
      </c>
      <c r="AT8840" t="s">
        <v>58</v>
      </c>
      <c r="AU8840" t="s">
        <v>68</v>
      </c>
      <c r="AV8840" t="s">
        <v>69</v>
      </c>
      <c r="AW8840" s="1">
        <v>30732</v>
      </c>
      <c r="AX8840">
        <v>1</v>
      </c>
    </row>
    <row r="8841" spans="1:50">
      <c r="A8841">
        <v>560920</v>
      </c>
      <c r="B8841" t="str">
        <f>"035042979"</f>
        <v>035042979</v>
      </c>
      <c r="C8841" t="s">
        <v>50</v>
      </c>
      <c r="D8841" t="s">
        <v>3064</v>
      </c>
      <c r="E8841" t="s">
        <v>52</v>
      </c>
      <c r="F8841" t="s">
        <v>92</v>
      </c>
      <c r="G8841" t="s">
        <v>181</v>
      </c>
      <c r="H8841" t="str">
        <f>"Πρινές Ρεθύμνου "</f>
        <v xml:space="preserve">Πρινές Ρεθύμνου </v>
      </c>
      <c r="I8841">
        <v>74100</v>
      </c>
      <c r="J8841">
        <v>2831050954</v>
      </c>
      <c r="K8841">
        <v>6979479815</v>
      </c>
      <c r="M8841" t="s">
        <v>13479</v>
      </c>
      <c r="N8841" t="s">
        <v>615</v>
      </c>
      <c r="O8841" t="s">
        <v>616</v>
      </c>
      <c r="R8841" t="s">
        <v>57</v>
      </c>
      <c r="S8841">
        <v>15</v>
      </c>
      <c r="T8841">
        <v>159</v>
      </c>
      <c r="U8841" s="1">
        <v>32385</v>
      </c>
      <c r="V8841" t="s">
        <v>66</v>
      </c>
      <c r="W8841" t="s">
        <v>67</v>
      </c>
      <c r="X8841" t="s">
        <v>58</v>
      </c>
      <c r="Y8841">
        <v>21</v>
      </c>
      <c r="Z8841" t="s">
        <v>59</v>
      </c>
      <c r="AA8841" t="s">
        <v>59</v>
      </c>
      <c r="AB8841" t="s">
        <v>59</v>
      </c>
      <c r="AC8841" t="s">
        <v>59</v>
      </c>
      <c r="AD8841" t="s">
        <v>59</v>
      </c>
      <c r="AF8841" s="1">
        <v>32387</v>
      </c>
      <c r="AG8841" t="s">
        <v>8645</v>
      </c>
      <c r="AH8841" t="s">
        <v>8646</v>
      </c>
      <c r="AI8841" t="str">
        <f>"9410061"</f>
        <v>9410061</v>
      </c>
      <c r="AJ8841" t="s">
        <v>12760</v>
      </c>
      <c r="AK8841">
        <v>2831024378</v>
      </c>
      <c r="AL8841" t="s">
        <v>12761</v>
      </c>
      <c r="AM8841" t="s">
        <v>64</v>
      </c>
      <c r="AN8841" t="s">
        <v>65</v>
      </c>
      <c r="AO8841" t="s">
        <v>65</v>
      </c>
      <c r="AP8841" t="s">
        <v>65</v>
      </c>
      <c r="AQ8841">
        <v>1</v>
      </c>
      <c r="AR8841" t="s">
        <v>66</v>
      </c>
      <c r="AS8841" t="s">
        <v>67</v>
      </c>
      <c r="AT8841" t="s">
        <v>58</v>
      </c>
      <c r="AU8841" t="s">
        <v>68</v>
      </c>
      <c r="AV8841" t="s">
        <v>69</v>
      </c>
      <c r="AW8841" s="1">
        <v>23913</v>
      </c>
      <c r="AX8841">
        <v>1</v>
      </c>
    </row>
    <row r="8842" spans="1:50">
      <c r="A8842">
        <v>701994</v>
      </c>
      <c r="B8842" t="str">
        <f>"136003470"</f>
        <v>136003470</v>
      </c>
      <c r="C8842" t="s">
        <v>105</v>
      </c>
      <c r="D8842" t="s">
        <v>13480</v>
      </c>
      <c r="E8842" t="s">
        <v>92</v>
      </c>
      <c r="F8842" t="s">
        <v>95</v>
      </c>
      <c r="G8842" t="s">
        <v>659</v>
      </c>
      <c r="H8842" t="str">
        <f>"ΑΤΣΙΠΟΠΟΥΛΟ ΡΕΘΥΜΝΟ"</f>
        <v>ΑΤΣΙΠΟΠΟΥΛΟ ΡΕΘΥΜΝΟ</v>
      </c>
      <c r="I8842">
        <v>74132</v>
      </c>
      <c r="J8842">
        <v>2831026376</v>
      </c>
      <c r="K8842">
        <v>6942243993</v>
      </c>
      <c r="M8842" t="s">
        <v>13481</v>
      </c>
      <c r="N8842" t="s">
        <v>615</v>
      </c>
      <c r="O8842" t="s">
        <v>616</v>
      </c>
      <c r="R8842" t="s">
        <v>57</v>
      </c>
      <c r="S8842">
        <v>4</v>
      </c>
      <c r="T8842">
        <v>772</v>
      </c>
      <c r="U8842" s="1">
        <v>40413</v>
      </c>
      <c r="V8842" t="s">
        <v>66</v>
      </c>
      <c r="W8842" t="s">
        <v>67</v>
      </c>
      <c r="X8842" t="s">
        <v>58</v>
      </c>
      <c r="Y8842">
        <v>24</v>
      </c>
      <c r="Z8842" t="s">
        <v>59</v>
      </c>
      <c r="AA8842" t="s">
        <v>59</v>
      </c>
      <c r="AB8842" t="s">
        <v>59</v>
      </c>
      <c r="AC8842" t="s">
        <v>59</v>
      </c>
      <c r="AD8842" t="s">
        <v>59</v>
      </c>
      <c r="AF8842" s="1">
        <v>40413</v>
      </c>
      <c r="AG8842" t="s">
        <v>8645</v>
      </c>
      <c r="AH8842" t="s">
        <v>8646</v>
      </c>
      <c r="AI8842" t="str">
        <f>"9410263"</f>
        <v>9410263</v>
      </c>
      <c r="AJ8842" t="s">
        <v>12672</v>
      </c>
      <c r="AK8842">
        <v>2831053818</v>
      </c>
      <c r="AL8842" t="s">
        <v>12673</v>
      </c>
      <c r="AM8842" t="s">
        <v>64</v>
      </c>
      <c r="AN8842" t="s">
        <v>65</v>
      </c>
      <c r="AO8842" t="s">
        <v>65</v>
      </c>
      <c r="AP8842" t="s">
        <v>65</v>
      </c>
      <c r="AQ8842">
        <v>1</v>
      </c>
      <c r="AR8842" t="s">
        <v>66</v>
      </c>
      <c r="AS8842" t="s">
        <v>67</v>
      </c>
      <c r="AT8842" t="s">
        <v>58</v>
      </c>
      <c r="AU8842" t="s">
        <v>68</v>
      </c>
      <c r="AV8842" t="s">
        <v>69</v>
      </c>
      <c r="AW8842" s="1">
        <v>31282</v>
      </c>
      <c r="AX8842">
        <v>1</v>
      </c>
    </row>
    <row r="8843" spans="1:50">
      <c r="B8843" t="str">
        <f>"132687800"</f>
        <v>132687800</v>
      </c>
      <c r="C8843" t="s">
        <v>50</v>
      </c>
      <c r="D8843" t="s">
        <v>3077</v>
      </c>
      <c r="E8843" t="s">
        <v>13482</v>
      </c>
      <c r="F8843" t="s">
        <v>450</v>
      </c>
      <c r="G8843" t="s">
        <v>507</v>
      </c>
      <c r="H8843" t="str">
        <f>"ΔΙΓΕΝΗ 13 ΚΟΣΚΙΝΟΥ"</f>
        <v>ΔΙΓΕΝΗ 13 ΚΟΣΚΙΝΟΥ</v>
      </c>
      <c r="I8843">
        <v>85100</v>
      </c>
      <c r="J8843">
        <v>2241004245</v>
      </c>
      <c r="K8843">
        <v>6948548499</v>
      </c>
      <c r="N8843" t="s">
        <v>615</v>
      </c>
      <c r="O8843" t="s">
        <v>616</v>
      </c>
      <c r="R8843" t="s">
        <v>159</v>
      </c>
      <c r="S8843">
        <v>2</v>
      </c>
      <c r="T8843" t="s">
        <v>8675</v>
      </c>
      <c r="U8843" s="1">
        <v>43348</v>
      </c>
      <c r="V8843" t="s">
        <v>66</v>
      </c>
      <c r="W8843" t="s">
        <v>67</v>
      </c>
      <c r="X8843" t="s">
        <v>58</v>
      </c>
      <c r="Y8843">
        <v>24</v>
      </c>
      <c r="Z8843" t="s">
        <v>59</v>
      </c>
      <c r="AA8843" t="s">
        <v>59</v>
      </c>
      <c r="AB8843" t="s">
        <v>59</v>
      </c>
      <c r="AC8843" t="s">
        <v>59</v>
      </c>
      <c r="AD8843" t="s">
        <v>59</v>
      </c>
      <c r="AF8843" s="1">
        <v>43348</v>
      </c>
      <c r="AG8843" t="s">
        <v>8645</v>
      </c>
      <c r="AH8843" t="s">
        <v>8646</v>
      </c>
      <c r="AI8843" t="str">
        <f>"9410072"</f>
        <v>9410072</v>
      </c>
      <c r="AJ8843" t="s">
        <v>12692</v>
      </c>
      <c r="AK8843">
        <v>2831071264</v>
      </c>
      <c r="AL8843" t="s">
        <v>12693</v>
      </c>
      <c r="AM8843" t="s">
        <v>64</v>
      </c>
      <c r="AN8843" t="s">
        <v>65</v>
      </c>
      <c r="AO8843" t="s">
        <v>12694</v>
      </c>
      <c r="AP8843" t="s">
        <v>12695</v>
      </c>
      <c r="AQ8843">
        <v>3</v>
      </c>
      <c r="AR8843" t="s">
        <v>66</v>
      </c>
      <c r="AS8843" t="s">
        <v>67</v>
      </c>
      <c r="AT8843" t="s">
        <v>58</v>
      </c>
      <c r="AU8843" t="s">
        <v>8673</v>
      </c>
      <c r="AV8843" t="s">
        <v>132</v>
      </c>
      <c r="AW8843" s="1">
        <v>30829</v>
      </c>
      <c r="AX8843">
        <v>1</v>
      </c>
    </row>
    <row r="8844" spans="1:50">
      <c r="A8844">
        <v>621789</v>
      </c>
      <c r="B8844" t="str">
        <f>"131835598"</f>
        <v>131835598</v>
      </c>
      <c r="C8844" t="s">
        <v>50</v>
      </c>
      <c r="D8844" t="s">
        <v>3077</v>
      </c>
      <c r="E8844" t="s">
        <v>460</v>
      </c>
      <c r="F8844" t="s">
        <v>304</v>
      </c>
      <c r="G8844" t="s">
        <v>710</v>
      </c>
      <c r="H8844" t="str">
        <f>"25ης ΜΑΡΤΙΟΥ 18 ΒΡΙΛΗΣΣΙΑ"</f>
        <v>25ης ΜΑΡΤΙΟΥ 18 ΒΡΙΛΗΣΣΙΑ</v>
      </c>
      <c r="I8844">
        <v>15235</v>
      </c>
      <c r="J8844">
        <v>2106830903</v>
      </c>
      <c r="K8844">
        <v>6947041472</v>
      </c>
      <c r="N8844" t="s">
        <v>615</v>
      </c>
      <c r="O8844" t="s">
        <v>616</v>
      </c>
      <c r="R8844" t="s">
        <v>57</v>
      </c>
      <c r="S8844">
        <v>4</v>
      </c>
      <c r="T8844">
        <v>653</v>
      </c>
      <c r="U8844" s="1">
        <v>40043</v>
      </c>
      <c r="V8844" t="s">
        <v>66</v>
      </c>
      <c r="W8844" t="s">
        <v>67</v>
      </c>
      <c r="X8844" t="s">
        <v>58</v>
      </c>
      <c r="Y8844">
        <v>23</v>
      </c>
      <c r="Z8844" t="s">
        <v>59</v>
      </c>
      <c r="AA8844" t="s">
        <v>59</v>
      </c>
      <c r="AB8844" t="s">
        <v>59</v>
      </c>
      <c r="AC8844" t="s">
        <v>59</v>
      </c>
      <c r="AD8844" t="s">
        <v>59</v>
      </c>
      <c r="AF8844" s="1">
        <v>40045</v>
      </c>
      <c r="AG8844" t="s">
        <v>8645</v>
      </c>
      <c r="AH8844" t="s">
        <v>8646</v>
      </c>
      <c r="AI8844" t="str">
        <f>"9410160"</f>
        <v>9410160</v>
      </c>
      <c r="AJ8844" t="s">
        <v>12689</v>
      </c>
      <c r="AK8844">
        <v>2831041098</v>
      </c>
      <c r="AL8844" t="s">
        <v>12690</v>
      </c>
      <c r="AM8844" t="s">
        <v>64</v>
      </c>
      <c r="AN8844" t="s">
        <v>65</v>
      </c>
      <c r="AO8844" t="s">
        <v>65</v>
      </c>
      <c r="AP8844" t="s">
        <v>11883</v>
      </c>
      <c r="AQ8844">
        <v>2</v>
      </c>
      <c r="AR8844" t="s">
        <v>66</v>
      </c>
      <c r="AS8844" t="s">
        <v>67</v>
      </c>
      <c r="AT8844" t="s">
        <v>58</v>
      </c>
      <c r="AU8844" t="s">
        <v>68</v>
      </c>
      <c r="AV8844" t="s">
        <v>69</v>
      </c>
      <c r="AW8844" s="1">
        <v>31525</v>
      </c>
      <c r="AX8844">
        <v>1</v>
      </c>
    </row>
    <row r="8845" spans="1:50">
      <c r="A8845">
        <v>580760</v>
      </c>
      <c r="B8845" t="str">
        <f>"062712426"</f>
        <v>062712426</v>
      </c>
      <c r="C8845" t="s">
        <v>50</v>
      </c>
      <c r="D8845" t="s">
        <v>6319</v>
      </c>
      <c r="E8845" t="s">
        <v>215</v>
      </c>
      <c r="F8845" t="s">
        <v>95</v>
      </c>
      <c r="G8845" t="s">
        <v>484</v>
      </c>
      <c r="H8845" t="str">
        <f>"ΛΑΜΨΑΚΟΥ 23-25 "</f>
        <v xml:space="preserve">ΛΑΜΨΑΚΟΥ 23-25 </v>
      </c>
      <c r="I8845">
        <v>18450</v>
      </c>
      <c r="J8845">
        <v>2831030461</v>
      </c>
      <c r="K8845">
        <v>6974932231</v>
      </c>
      <c r="M8845" t="s">
        <v>13483</v>
      </c>
      <c r="N8845" t="s">
        <v>615</v>
      </c>
      <c r="O8845" t="s">
        <v>616</v>
      </c>
      <c r="R8845" t="s">
        <v>57</v>
      </c>
      <c r="S8845">
        <v>13</v>
      </c>
      <c r="T8845">
        <v>179</v>
      </c>
      <c r="U8845" s="1">
        <v>35674</v>
      </c>
      <c r="V8845" t="s">
        <v>66</v>
      </c>
      <c r="W8845" t="s">
        <v>67</v>
      </c>
      <c r="X8845" t="s">
        <v>58</v>
      </c>
      <c r="Y8845">
        <v>21</v>
      </c>
      <c r="Z8845" t="s">
        <v>59</v>
      </c>
      <c r="AA8845" t="s">
        <v>59</v>
      </c>
      <c r="AB8845" t="s">
        <v>59</v>
      </c>
      <c r="AC8845" t="s">
        <v>59</v>
      </c>
      <c r="AD8845" t="s">
        <v>59</v>
      </c>
      <c r="AF8845" s="1">
        <v>35674</v>
      </c>
      <c r="AG8845" t="s">
        <v>8645</v>
      </c>
      <c r="AH8845" t="s">
        <v>8646</v>
      </c>
      <c r="AI8845" t="str">
        <f>"9410064"</f>
        <v>9410064</v>
      </c>
      <c r="AJ8845" t="s">
        <v>12683</v>
      </c>
      <c r="AK8845">
        <v>2831028390</v>
      </c>
      <c r="AL8845" t="s">
        <v>12684</v>
      </c>
      <c r="AM8845" t="s">
        <v>64</v>
      </c>
      <c r="AN8845" t="s">
        <v>65</v>
      </c>
      <c r="AO8845" t="s">
        <v>65</v>
      </c>
      <c r="AP8845" t="s">
        <v>65</v>
      </c>
      <c r="AQ8845">
        <v>1</v>
      </c>
      <c r="AR8845" t="s">
        <v>66</v>
      </c>
      <c r="AS8845" t="s">
        <v>67</v>
      </c>
      <c r="AT8845" t="s">
        <v>58</v>
      </c>
      <c r="AU8845" t="s">
        <v>68</v>
      </c>
      <c r="AV8845" t="s">
        <v>69</v>
      </c>
      <c r="AW8845" s="1">
        <v>24810</v>
      </c>
      <c r="AX8845">
        <v>1</v>
      </c>
    </row>
    <row r="8846" spans="1:50">
      <c r="B8846" t="str">
        <f>"140855731"</f>
        <v>140855731</v>
      </c>
      <c r="C8846" t="s">
        <v>50</v>
      </c>
      <c r="D8846" t="s">
        <v>13484</v>
      </c>
      <c r="E8846" t="s">
        <v>964</v>
      </c>
      <c r="F8846" t="s">
        <v>10641</v>
      </c>
      <c r="G8846" t="s">
        <v>600</v>
      </c>
      <c r="H8846" t="str">
        <f>"ΣΤΟΥΡΝΑΡΑ 5 "</f>
        <v xml:space="preserve">ΣΤΟΥΡΝΑΡΑ 5 </v>
      </c>
      <c r="I8846">
        <v>43100</v>
      </c>
      <c r="J8846">
        <v>2441074407</v>
      </c>
      <c r="K8846">
        <v>6981502493</v>
      </c>
      <c r="N8846" t="s">
        <v>615</v>
      </c>
      <c r="O8846" t="s">
        <v>616</v>
      </c>
      <c r="R8846" t="s">
        <v>159</v>
      </c>
      <c r="S8846">
        <v>3</v>
      </c>
      <c r="T8846" t="s">
        <v>8675</v>
      </c>
      <c r="U8846" s="1">
        <v>43348</v>
      </c>
      <c r="V8846" t="s">
        <v>66</v>
      </c>
      <c r="W8846" t="s">
        <v>67</v>
      </c>
      <c r="X8846" t="s">
        <v>58</v>
      </c>
      <c r="Y8846">
        <v>24</v>
      </c>
      <c r="Z8846" t="s">
        <v>59</v>
      </c>
      <c r="AA8846" t="s">
        <v>59</v>
      </c>
      <c r="AB8846" t="s">
        <v>59</v>
      </c>
      <c r="AC8846" t="s">
        <v>59</v>
      </c>
      <c r="AD8846" t="s">
        <v>59</v>
      </c>
      <c r="AF8846" s="1">
        <v>43348</v>
      </c>
      <c r="AG8846" t="s">
        <v>8645</v>
      </c>
      <c r="AH8846" t="s">
        <v>8646</v>
      </c>
      <c r="AI8846" t="str">
        <f>"9410092"</f>
        <v>9410092</v>
      </c>
      <c r="AJ8846" t="s">
        <v>12823</v>
      </c>
      <c r="AK8846">
        <v>2832051056</v>
      </c>
      <c r="AL8846" t="s">
        <v>12824</v>
      </c>
      <c r="AM8846" t="s">
        <v>64</v>
      </c>
      <c r="AN8846" t="s">
        <v>5882</v>
      </c>
      <c r="AO8846" t="s">
        <v>6099</v>
      </c>
      <c r="AP8846" t="s">
        <v>12825</v>
      </c>
      <c r="AQ8846">
        <v>5</v>
      </c>
      <c r="AR8846" t="s">
        <v>66</v>
      </c>
      <c r="AS8846" t="s">
        <v>67</v>
      </c>
      <c r="AT8846" t="s">
        <v>58</v>
      </c>
      <c r="AU8846" t="s">
        <v>8673</v>
      </c>
      <c r="AV8846" t="s">
        <v>132</v>
      </c>
      <c r="AW8846" s="1">
        <v>31716</v>
      </c>
      <c r="AX8846">
        <v>1</v>
      </c>
    </row>
    <row r="8847" spans="1:50">
      <c r="A8847">
        <v>601634</v>
      </c>
      <c r="B8847" t="str">
        <f>"054229727"</f>
        <v>054229727</v>
      </c>
      <c r="C8847" t="s">
        <v>50</v>
      </c>
      <c r="D8847" t="s">
        <v>6324</v>
      </c>
      <c r="E8847" t="s">
        <v>13485</v>
      </c>
      <c r="F8847" t="s">
        <v>106</v>
      </c>
      <c r="G8847" t="s">
        <v>710</v>
      </c>
      <c r="H8847" t="str">
        <f>" "</f>
        <v xml:space="preserve"> </v>
      </c>
      <c r="J8847">
        <v>2831053537</v>
      </c>
      <c r="K8847">
        <v>6973534845</v>
      </c>
      <c r="N8847" t="s">
        <v>615</v>
      </c>
      <c r="O8847" t="s">
        <v>616</v>
      </c>
      <c r="R8847" t="s">
        <v>57</v>
      </c>
      <c r="S8847">
        <v>7</v>
      </c>
      <c r="T8847">
        <v>207</v>
      </c>
      <c r="U8847" s="1">
        <v>37866</v>
      </c>
      <c r="V8847" t="s">
        <v>66</v>
      </c>
      <c r="W8847" t="s">
        <v>67</v>
      </c>
      <c r="X8847" t="s">
        <v>58</v>
      </c>
      <c r="Y8847">
        <v>22</v>
      </c>
      <c r="Z8847" t="s">
        <v>59</v>
      </c>
      <c r="AA8847" t="s">
        <v>59</v>
      </c>
      <c r="AB8847" t="s">
        <v>59</v>
      </c>
      <c r="AC8847" t="s">
        <v>59</v>
      </c>
      <c r="AD8847" t="s">
        <v>59</v>
      </c>
      <c r="AF8847" s="1">
        <v>37866</v>
      </c>
      <c r="AG8847" t="s">
        <v>8645</v>
      </c>
      <c r="AH8847" t="s">
        <v>8646</v>
      </c>
      <c r="AI8847" t="str">
        <f>"9410030"</f>
        <v>9410030</v>
      </c>
      <c r="AJ8847" t="s">
        <v>12743</v>
      </c>
      <c r="AK8847">
        <v>2834093217</v>
      </c>
      <c r="AL8847" t="s">
        <v>12744</v>
      </c>
      <c r="AM8847" t="s">
        <v>64</v>
      </c>
      <c r="AN8847" t="s">
        <v>65</v>
      </c>
      <c r="AO8847" t="s">
        <v>12694</v>
      </c>
      <c r="AP8847" t="s">
        <v>12745</v>
      </c>
      <c r="AQ8847">
        <v>3</v>
      </c>
      <c r="AR8847" t="s">
        <v>66</v>
      </c>
      <c r="AS8847" t="s">
        <v>67</v>
      </c>
      <c r="AT8847" t="s">
        <v>58</v>
      </c>
      <c r="AU8847" t="s">
        <v>68</v>
      </c>
      <c r="AV8847" t="s">
        <v>69</v>
      </c>
      <c r="AW8847" s="1">
        <v>24542</v>
      </c>
      <c r="AX8847">
        <v>1</v>
      </c>
    </row>
    <row r="8848" spans="1:50">
      <c r="A8848">
        <v>555074</v>
      </c>
      <c r="B8848" t="str">
        <f>"027437074"</f>
        <v>027437074</v>
      </c>
      <c r="C8848" t="s">
        <v>105</v>
      </c>
      <c r="D8848" t="s">
        <v>13486</v>
      </c>
      <c r="E8848" t="s">
        <v>53</v>
      </c>
      <c r="F8848" t="s">
        <v>99</v>
      </c>
      <c r="G8848" t="s">
        <v>1189</v>
      </c>
      <c r="H8848" t="str">
        <f>" "</f>
        <v xml:space="preserve"> </v>
      </c>
      <c r="N8848" t="s">
        <v>615</v>
      </c>
      <c r="O8848" t="s">
        <v>616</v>
      </c>
      <c r="R8848" t="s">
        <v>57</v>
      </c>
      <c r="S8848">
        <v>19</v>
      </c>
      <c r="T8848">
        <v>200</v>
      </c>
      <c r="U8848" s="1">
        <v>31657</v>
      </c>
      <c r="V8848" t="s">
        <v>66</v>
      </c>
      <c r="W8848" t="s">
        <v>67</v>
      </c>
      <c r="X8848" t="s">
        <v>58</v>
      </c>
      <c r="Y8848">
        <v>21</v>
      </c>
      <c r="Z8848" t="s">
        <v>59</v>
      </c>
      <c r="AA8848" t="s">
        <v>59</v>
      </c>
      <c r="AB8848" t="s">
        <v>59</v>
      </c>
      <c r="AC8848" t="s">
        <v>59</v>
      </c>
      <c r="AD8848" t="s">
        <v>59</v>
      </c>
      <c r="AF8848" s="1">
        <v>31665</v>
      </c>
      <c r="AG8848" t="s">
        <v>8645</v>
      </c>
      <c r="AH8848" t="s">
        <v>8646</v>
      </c>
      <c r="AI8848" t="str">
        <f>"9410150"</f>
        <v>9410150</v>
      </c>
      <c r="AJ8848" t="s">
        <v>12733</v>
      </c>
      <c r="AK8848">
        <v>2831052969</v>
      </c>
      <c r="AL8848" t="s">
        <v>12734</v>
      </c>
      <c r="AM8848" t="s">
        <v>64</v>
      </c>
      <c r="AN8848" t="s">
        <v>65</v>
      </c>
      <c r="AO8848" t="s">
        <v>65</v>
      </c>
      <c r="AP8848" t="s">
        <v>65</v>
      </c>
      <c r="AQ8848">
        <v>1</v>
      </c>
      <c r="AR8848" t="s">
        <v>66</v>
      </c>
      <c r="AS8848" t="s">
        <v>67</v>
      </c>
      <c r="AT8848" t="s">
        <v>58</v>
      </c>
      <c r="AU8848" t="s">
        <v>68</v>
      </c>
      <c r="AV8848" t="s">
        <v>2039</v>
      </c>
      <c r="AW8848" s="1">
        <v>22731</v>
      </c>
      <c r="AX8848">
        <v>1</v>
      </c>
    </row>
    <row r="8849" spans="1:50">
      <c r="B8849" t="str">
        <f>"124495284"</f>
        <v>124495284</v>
      </c>
      <c r="C8849" t="s">
        <v>50</v>
      </c>
      <c r="D8849" t="s">
        <v>3088</v>
      </c>
      <c r="E8849" t="s">
        <v>964</v>
      </c>
      <c r="F8849" t="s">
        <v>106</v>
      </c>
      <c r="G8849" t="s">
        <v>238</v>
      </c>
      <c r="H8849" t="str">
        <f>" "</f>
        <v xml:space="preserve"> </v>
      </c>
      <c r="N8849" t="s">
        <v>615</v>
      </c>
      <c r="O8849" t="s">
        <v>616</v>
      </c>
      <c r="R8849" t="s">
        <v>121</v>
      </c>
      <c r="S8849">
        <v>1</v>
      </c>
      <c r="T8849" t="s">
        <v>8675</v>
      </c>
      <c r="U8849" s="1">
        <v>43348</v>
      </c>
      <c r="V8849" t="s">
        <v>66</v>
      </c>
      <c r="W8849" t="s">
        <v>67</v>
      </c>
      <c r="X8849" t="s">
        <v>58</v>
      </c>
      <c r="Y8849">
        <v>24</v>
      </c>
      <c r="Z8849" t="s">
        <v>59</v>
      </c>
      <c r="AA8849" t="s">
        <v>59</v>
      </c>
      <c r="AB8849" t="s">
        <v>59</v>
      </c>
      <c r="AC8849" t="s">
        <v>59</v>
      </c>
      <c r="AD8849" t="s">
        <v>59</v>
      </c>
      <c r="AF8849" s="1">
        <v>43348</v>
      </c>
      <c r="AG8849" t="s">
        <v>8645</v>
      </c>
      <c r="AH8849" t="s">
        <v>8646</v>
      </c>
      <c r="AI8849" t="str">
        <f>"9410051"</f>
        <v>9410051</v>
      </c>
      <c r="AJ8849" t="s">
        <v>12660</v>
      </c>
      <c r="AK8849">
        <v>2834022247</v>
      </c>
      <c r="AL8849" t="s">
        <v>12661</v>
      </c>
      <c r="AM8849" t="s">
        <v>64</v>
      </c>
      <c r="AN8849" t="s">
        <v>5672</v>
      </c>
      <c r="AO8849" t="s">
        <v>5673</v>
      </c>
      <c r="AP8849" t="s">
        <v>5689</v>
      </c>
      <c r="AQ8849">
        <v>7</v>
      </c>
      <c r="AR8849" t="s">
        <v>66</v>
      </c>
      <c r="AS8849" t="s">
        <v>67</v>
      </c>
      <c r="AT8849" t="s">
        <v>58</v>
      </c>
      <c r="AU8849" t="s">
        <v>8673</v>
      </c>
      <c r="AV8849" t="s">
        <v>132</v>
      </c>
      <c r="AW8849" s="1">
        <v>32603</v>
      </c>
      <c r="AX8849">
        <v>1</v>
      </c>
    </row>
    <row r="8850" spans="1:50">
      <c r="A8850">
        <v>614512</v>
      </c>
      <c r="B8850" t="str">
        <f>"131480678"</f>
        <v>131480678</v>
      </c>
      <c r="C8850" t="s">
        <v>50</v>
      </c>
      <c r="D8850" t="s">
        <v>3088</v>
      </c>
      <c r="E8850" t="s">
        <v>83</v>
      </c>
      <c r="F8850" t="s">
        <v>760</v>
      </c>
      <c r="G8850" t="s">
        <v>52</v>
      </c>
      <c r="H8850" t="str">
        <f>"ΠΑΛΑΙΟΛΟΥΤΡΑ ΡΕΘΥΜΝΟ"</f>
        <v>ΠΑΛΑΙΟΛΟΥΤΡΑ ΡΕΘΥΜΝΟ</v>
      </c>
      <c r="I8850">
        <v>74053</v>
      </c>
      <c r="K8850">
        <v>6977404360</v>
      </c>
      <c r="M8850" t="s">
        <v>13487</v>
      </c>
      <c r="N8850" t="s">
        <v>615</v>
      </c>
      <c r="O8850" t="s">
        <v>616</v>
      </c>
      <c r="R8850" t="s">
        <v>57</v>
      </c>
      <c r="S8850">
        <v>6</v>
      </c>
      <c r="T8850">
        <v>598</v>
      </c>
      <c r="U8850" s="1">
        <v>39310</v>
      </c>
      <c r="V8850" t="s">
        <v>66</v>
      </c>
      <c r="W8850" t="s">
        <v>67</v>
      </c>
      <c r="X8850" t="s">
        <v>58</v>
      </c>
      <c r="Y8850">
        <v>23</v>
      </c>
      <c r="Z8850" t="s">
        <v>59</v>
      </c>
      <c r="AA8850" t="s">
        <v>59</v>
      </c>
      <c r="AB8850" t="s">
        <v>59</v>
      </c>
      <c r="AC8850" t="s">
        <v>59</v>
      </c>
      <c r="AD8850" t="s">
        <v>59</v>
      </c>
      <c r="AF8850" s="1">
        <v>39328</v>
      </c>
      <c r="AG8850" t="s">
        <v>8645</v>
      </c>
      <c r="AH8850" t="s">
        <v>8646</v>
      </c>
      <c r="AI8850" t="str">
        <f>"9410092"</f>
        <v>9410092</v>
      </c>
      <c r="AJ8850" t="s">
        <v>12823</v>
      </c>
      <c r="AK8850">
        <v>2832051056</v>
      </c>
      <c r="AL8850" t="s">
        <v>12824</v>
      </c>
      <c r="AM8850" t="s">
        <v>64</v>
      </c>
      <c r="AN8850" t="s">
        <v>5882</v>
      </c>
      <c r="AO8850" t="s">
        <v>6099</v>
      </c>
      <c r="AP8850" t="s">
        <v>12825</v>
      </c>
      <c r="AQ8850">
        <v>5</v>
      </c>
      <c r="AR8850" t="s">
        <v>66</v>
      </c>
      <c r="AS8850" t="s">
        <v>67</v>
      </c>
      <c r="AT8850" t="s">
        <v>58</v>
      </c>
      <c r="AU8850" t="s">
        <v>68</v>
      </c>
      <c r="AV8850" t="s">
        <v>69</v>
      </c>
      <c r="AW8850" s="1">
        <v>30425</v>
      </c>
      <c r="AX8850">
        <v>1</v>
      </c>
    </row>
    <row r="8851" spans="1:50">
      <c r="A8851">
        <v>560613</v>
      </c>
      <c r="B8851" t="str">
        <f>"034463414"</f>
        <v>034463414</v>
      </c>
      <c r="C8851" t="s">
        <v>105</v>
      </c>
      <c r="D8851" t="s">
        <v>3094</v>
      </c>
      <c r="E8851" t="s">
        <v>920</v>
      </c>
      <c r="F8851" t="s">
        <v>84</v>
      </c>
      <c r="G8851" t="s">
        <v>83</v>
      </c>
      <c r="H8851" t="str">
        <f>" "</f>
        <v xml:space="preserve"> </v>
      </c>
      <c r="N8851" t="s">
        <v>615</v>
      </c>
      <c r="O8851" t="s">
        <v>616</v>
      </c>
      <c r="R8851" t="s">
        <v>57</v>
      </c>
      <c r="S8851">
        <v>16</v>
      </c>
      <c r="T8851">
        <v>159</v>
      </c>
      <c r="U8851" s="1">
        <v>32385</v>
      </c>
      <c r="V8851" t="s">
        <v>66</v>
      </c>
      <c r="W8851" t="s">
        <v>67</v>
      </c>
      <c r="X8851" t="s">
        <v>58</v>
      </c>
      <c r="Y8851">
        <v>21</v>
      </c>
      <c r="Z8851" t="s">
        <v>59</v>
      </c>
      <c r="AA8851" t="s">
        <v>59</v>
      </c>
      <c r="AB8851" t="s">
        <v>59</v>
      </c>
      <c r="AC8851" t="s">
        <v>59</v>
      </c>
      <c r="AD8851" t="s">
        <v>59</v>
      </c>
      <c r="AF8851" s="1">
        <v>32387</v>
      </c>
      <c r="AG8851" t="s">
        <v>8645</v>
      </c>
      <c r="AH8851" t="s">
        <v>8646</v>
      </c>
      <c r="AI8851" t="str">
        <f>"9410017"</f>
        <v>9410017</v>
      </c>
      <c r="AJ8851" t="s">
        <v>12785</v>
      </c>
      <c r="AK8851">
        <v>2834041452</v>
      </c>
      <c r="AL8851" t="s">
        <v>12786</v>
      </c>
      <c r="AM8851" t="s">
        <v>64</v>
      </c>
      <c r="AN8851" t="s">
        <v>5672</v>
      </c>
      <c r="AO8851" t="s">
        <v>5698</v>
      </c>
      <c r="AP8851" t="s">
        <v>12787</v>
      </c>
      <c r="AQ8851">
        <v>9</v>
      </c>
      <c r="AR8851" t="s">
        <v>66</v>
      </c>
      <c r="AS8851" t="s">
        <v>67</v>
      </c>
      <c r="AT8851" t="s">
        <v>58</v>
      </c>
      <c r="AU8851" t="s">
        <v>68</v>
      </c>
      <c r="AV8851" t="s">
        <v>69</v>
      </c>
      <c r="AW8851" s="1">
        <v>23581</v>
      </c>
      <c r="AX8851">
        <v>1</v>
      </c>
    </row>
    <row r="8852" spans="1:50">
      <c r="B8852" t="str">
        <f>"125715180"</f>
        <v>125715180</v>
      </c>
      <c r="C8852" t="s">
        <v>105</v>
      </c>
      <c r="D8852" t="s">
        <v>13488</v>
      </c>
      <c r="E8852" t="s">
        <v>450</v>
      </c>
      <c r="F8852" t="s">
        <v>99</v>
      </c>
      <c r="G8852" t="s">
        <v>476</v>
      </c>
      <c r="H8852" t="str">
        <f>"ΑΙΣΧΥΛΟΥ 1 ΓΕΡΑΚΑΣ"</f>
        <v>ΑΙΣΧΥΛΟΥ 1 ΓΕΡΑΚΑΣ</v>
      </c>
      <c r="I8852">
        <v>15344</v>
      </c>
      <c r="J8852">
        <v>2106048763</v>
      </c>
      <c r="K8852">
        <v>6987731191</v>
      </c>
      <c r="M8852" t="s">
        <v>13489</v>
      </c>
      <c r="N8852" t="s">
        <v>204</v>
      </c>
      <c r="O8852" t="s">
        <v>205</v>
      </c>
      <c r="R8852" t="s">
        <v>159</v>
      </c>
      <c r="S8852">
        <v>4</v>
      </c>
      <c r="T8852" t="s">
        <v>8675</v>
      </c>
      <c r="U8852" s="1">
        <v>43348</v>
      </c>
      <c r="V8852" t="s">
        <v>66</v>
      </c>
      <c r="W8852" t="s">
        <v>67</v>
      </c>
      <c r="X8852" t="s">
        <v>58</v>
      </c>
      <c r="Y8852">
        <v>24</v>
      </c>
      <c r="Z8852" t="s">
        <v>59</v>
      </c>
      <c r="AA8852" t="s">
        <v>59</v>
      </c>
      <c r="AB8852" t="s">
        <v>59</v>
      </c>
      <c r="AC8852" t="s">
        <v>59</v>
      </c>
      <c r="AD8852" t="s">
        <v>59</v>
      </c>
      <c r="AF8852" s="1">
        <v>43348</v>
      </c>
      <c r="AG8852" t="s">
        <v>8645</v>
      </c>
      <c r="AH8852" t="s">
        <v>8646</v>
      </c>
      <c r="AI8852" t="str">
        <f>"9410033"</f>
        <v>9410033</v>
      </c>
      <c r="AJ8852" t="s">
        <v>12778</v>
      </c>
      <c r="AK8852">
        <v>2834061210</v>
      </c>
      <c r="AL8852" t="s">
        <v>12779</v>
      </c>
      <c r="AM8852" t="s">
        <v>64</v>
      </c>
      <c r="AN8852" t="s">
        <v>5672</v>
      </c>
      <c r="AO8852" t="s">
        <v>12780</v>
      </c>
      <c r="AP8852" t="s">
        <v>12780</v>
      </c>
      <c r="AQ8852">
        <v>9</v>
      </c>
      <c r="AR8852" t="s">
        <v>66</v>
      </c>
      <c r="AS8852" t="s">
        <v>67</v>
      </c>
      <c r="AT8852" t="s">
        <v>58</v>
      </c>
      <c r="AU8852" t="s">
        <v>8673</v>
      </c>
      <c r="AV8852" t="s">
        <v>132</v>
      </c>
      <c r="AW8852" s="1">
        <v>30412</v>
      </c>
      <c r="AX8852">
        <v>1</v>
      </c>
    </row>
    <row r="8853" spans="1:50">
      <c r="B8853" t="str">
        <f>"120040182"</f>
        <v>120040182</v>
      </c>
      <c r="C8853" t="s">
        <v>50</v>
      </c>
      <c r="D8853" t="s">
        <v>3101</v>
      </c>
      <c r="E8853" t="s">
        <v>484</v>
      </c>
      <c r="F8853" t="s">
        <v>309</v>
      </c>
      <c r="G8853" t="s">
        <v>83</v>
      </c>
      <c r="H8853" t="str">
        <f>"ΡΟΥΣΣΟΣΠΙΤΙ "</f>
        <v xml:space="preserve">ΡΟΥΣΣΟΣΠΙΤΙ </v>
      </c>
      <c r="I8853">
        <v>74100</v>
      </c>
      <c r="J8853">
        <v>2831056233</v>
      </c>
      <c r="K8853">
        <v>6976211424</v>
      </c>
      <c r="N8853" t="s">
        <v>1525</v>
      </c>
      <c r="O8853" t="s">
        <v>1526</v>
      </c>
      <c r="R8853" t="s">
        <v>159</v>
      </c>
      <c r="S8853">
        <v>4</v>
      </c>
      <c r="T8853" t="s">
        <v>8670</v>
      </c>
      <c r="U8853" s="1">
        <v>43348</v>
      </c>
      <c r="V8853" t="s">
        <v>66</v>
      </c>
      <c r="W8853" t="s">
        <v>67</v>
      </c>
      <c r="X8853" t="s">
        <v>58</v>
      </c>
      <c r="Y8853">
        <v>25</v>
      </c>
      <c r="Z8853" t="s">
        <v>59</v>
      </c>
      <c r="AA8853" t="s">
        <v>59</v>
      </c>
      <c r="AB8853" t="s">
        <v>59</v>
      </c>
      <c r="AC8853" t="s">
        <v>59</v>
      </c>
      <c r="AD8853" t="s">
        <v>59</v>
      </c>
      <c r="AF8853" s="1">
        <v>43348</v>
      </c>
      <c r="AG8853" t="s">
        <v>8651</v>
      </c>
      <c r="AH8853" t="s">
        <v>8652</v>
      </c>
      <c r="AI8853" t="str">
        <f>"9410254"</f>
        <v>9410254</v>
      </c>
      <c r="AJ8853" t="s">
        <v>13160</v>
      </c>
      <c r="AK8853">
        <v>2831083287</v>
      </c>
      <c r="AL8853" t="s">
        <v>13161</v>
      </c>
      <c r="AM8853" t="s">
        <v>64</v>
      </c>
      <c r="AN8853" t="s">
        <v>65</v>
      </c>
      <c r="AO8853" t="s">
        <v>12694</v>
      </c>
      <c r="AP8853" t="s">
        <v>13162</v>
      </c>
      <c r="AQ8853">
        <v>3</v>
      </c>
      <c r="AR8853" t="s">
        <v>66</v>
      </c>
      <c r="AS8853" t="s">
        <v>67</v>
      </c>
      <c r="AT8853" t="s">
        <v>58</v>
      </c>
      <c r="AU8853" t="s">
        <v>8673</v>
      </c>
      <c r="AV8853" t="s">
        <v>132</v>
      </c>
      <c r="AW8853" s="1">
        <v>26666</v>
      </c>
      <c r="AX8853">
        <v>1</v>
      </c>
    </row>
    <row r="8854" spans="1:50">
      <c r="A8854">
        <v>620035</v>
      </c>
      <c r="B8854" t="str">
        <f>"114608202"</f>
        <v>114608202</v>
      </c>
      <c r="C8854" t="s">
        <v>50</v>
      </c>
      <c r="D8854" t="s">
        <v>8022</v>
      </c>
      <c r="E8854" t="s">
        <v>237</v>
      </c>
      <c r="F8854" t="s">
        <v>13490</v>
      </c>
      <c r="G8854" t="s">
        <v>114</v>
      </c>
      <c r="H8854" t="str">
        <f>"ΝΙΚΟΛΑΟΥ  ΖΕΡΒΟΥ  17 ΚΕΡΚΥΡΑ"</f>
        <v>ΝΙΚΟΛΑΟΥ  ΖΕΡΒΟΥ  17 ΚΕΡΚΥΡΑ</v>
      </c>
      <c r="I8854">
        <v>49100</v>
      </c>
      <c r="J8854">
        <v>2661071148</v>
      </c>
      <c r="K8854">
        <v>6948729107</v>
      </c>
      <c r="M8854" t="s">
        <v>13491</v>
      </c>
      <c r="N8854" t="s">
        <v>176</v>
      </c>
      <c r="O8854" t="s">
        <v>177</v>
      </c>
      <c r="R8854" t="s">
        <v>57</v>
      </c>
      <c r="S8854">
        <v>5</v>
      </c>
      <c r="T8854">
        <v>775</v>
      </c>
      <c r="U8854" s="1">
        <v>39680</v>
      </c>
      <c r="V8854" t="s">
        <v>66</v>
      </c>
      <c r="W8854" t="s">
        <v>67</v>
      </c>
      <c r="X8854" t="s">
        <v>58</v>
      </c>
      <c r="Y8854">
        <v>23</v>
      </c>
      <c r="Z8854" t="s">
        <v>59</v>
      </c>
      <c r="AA8854" t="s">
        <v>59</v>
      </c>
      <c r="AB8854" t="s">
        <v>59</v>
      </c>
      <c r="AC8854" t="s">
        <v>59</v>
      </c>
      <c r="AD8854" t="s">
        <v>59</v>
      </c>
      <c r="AF8854" s="1">
        <v>39681</v>
      </c>
      <c r="AG8854" t="s">
        <v>8645</v>
      </c>
      <c r="AH8854" t="s">
        <v>8646</v>
      </c>
      <c r="AI8854" t="str">
        <f>"9410030"</f>
        <v>9410030</v>
      </c>
      <c r="AJ8854" t="s">
        <v>12743</v>
      </c>
      <c r="AK8854">
        <v>2834093217</v>
      </c>
      <c r="AL8854" t="s">
        <v>12744</v>
      </c>
      <c r="AM8854" t="s">
        <v>64</v>
      </c>
      <c r="AN8854" t="s">
        <v>65</v>
      </c>
      <c r="AO8854" t="s">
        <v>12694</v>
      </c>
      <c r="AP8854" t="s">
        <v>12745</v>
      </c>
      <c r="AQ8854">
        <v>3</v>
      </c>
      <c r="AR8854" t="s">
        <v>66</v>
      </c>
      <c r="AS8854" t="s">
        <v>67</v>
      </c>
      <c r="AT8854" t="s">
        <v>58</v>
      </c>
      <c r="AU8854" t="s">
        <v>68</v>
      </c>
      <c r="AV8854" t="s">
        <v>69</v>
      </c>
      <c r="AW8854" s="1">
        <v>26852</v>
      </c>
      <c r="AX8854">
        <v>1</v>
      </c>
    </row>
    <row r="8855" spans="1:50">
      <c r="A8855">
        <v>584230</v>
      </c>
      <c r="B8855" t="str">
        <f>"051465651"</f>
        <v>051465651</v>
      </c>
      <c r="C8855" t="s">
        <v>50</v>
      </c>
      <c r="D8855" t="s">
        <v>3123</v>
      </c>
      <c r="E8855" t="s">
        <v>52</v>
      </c>
      <c r="F8855" t="s">
        <v>108</v>
      </c>
      <c r="G8855" t="s">
        <v>263</v>
      </c>
      <c r="H8855" t="str">
        <f>"ΑΤΣΙΠΟΠΟΥΛΟΥ ΡΕΘΥΜΝΟΥ"</f>
        <v>ΑΤΣΙΠΟΠΟΥΛΟΥ ΡΕΘΥΜΝΟΥ</v>
      </c>
      <c r="I8855">
        <v>74100</v>
      </c>
      <c r="J8855">
        <v>2831032162</v>
      </c>
      <c r="K8855">
        <v>6989717569</v>
      </c>
      <c r="L8855">
        <v>2832032236</v>
      </c>
      <c r="N8855" t="s">
        <v>615</v>
      </c>
      <c r="O8855" t="s">
        <v>616</v>
      </c>
      <c r="R8855" t="s">
        <v>57</v>
      </c>
      <c r="S8855">
        <v>12</v>
      </c>
      <c r="T8855">
        <v>165</v>
      </c>
      <c r="U8855" s="1">
        <v>36040</v>
      </c>
      <c r="V8855" t="s">
        <v>66</v>
      </c>
      <c r="W8855" t="s">
        <v>67</v>
      </c>
      <c r="X8855" t="s">
        <v>58</v>
      </c>
      <c r="Y8855">
        <v>21</v>
      </c>
      <c r="Z8855" t="s">
        <v>59</v>
      </c>
      <c r="AA8855" t="s">
        <v>59</v>
      </c>
      <c r="AB8855" t="s">
        <v>59</v>
      </c>
      <c r="AC8855" t="s">
        <v>59</v>
      </c>
      <c r="AD8855" t="s">
        <v>59</v>
      </c>
      <c r="AF8855" s="1">
        <v>36041</v>
      </c>
      <c r="AG8855" t="s">
        <v>8645</v>
      </c>
      <c r="AH8855" t="s">
        <v>8646</v>
      </c>
      <c r="AI8855" t="str">
        <f>"9410166"</f>
        <v>9410166</v>
      </c>
      <c r="AJ8855" t="s">
        <v>12666</v>
      </c>
      <c r="AK8855">
        <v>2831031311</v>
      </c>
      <c r="AL8855" t="s">
        <v>12667</v>
      </c>
      <c r="AM8855" t="s">
        <v>64</v>
      </c>
      <c r="AN8855" t="s">
        <v>65</v>
      </c>
      <c r="AO8855" t="s">
        <v>5720</v>
      </c>
      <c r="AP8855" t="s">
        <v>5721</v>
      </c>
      <c r="AQ8855">
        <v>2</v>
      </c>
      <c r="AR8855" t="s">
        <v>66</v>
      </c>
      <c r="AS8855" t="s">
        <v>67</v>
      </c>
      <c r="AT8855" t="s">
        <v>58</v>
      </c>
      <c r="AU8855" t="s">
        <v>68</v>
      </c>
      <c r="AV8855" t="s">
        <v>69</v>
      </c>
      <c r="AW8855" s="1">
        <v>24609</v>
      </c>
      <c r="AX8855">
        <v>1</v>
      </c>
    </row>
    <row r="8856" spans="1:50">
      <c r="B8856" t="str">
        <f>"149244807"</f>
        <v>149244807</v>
      </c>
      <c r="C8856" t="s">
        <v>105</v>
      </c>
      <c r="D8856" t="s">
        <v>940</v>
      </c>
      <c r="E8856" t="s">
        <v>95</v>
      </c>
      <c r="F8856" t="s">
        <v>377</v>
      </c>
      <c r="G8856" t="s">
        <v>250</v>
      </c>
      <c r="H8856" t="str">
        <f>" "</f>
        <v xml:space="preserve"> </v>
      </c>
      <c r="N8856" t="s">
        <v>683</v>
      </c>
      <c r="O8856" t="s">
        <v>684</v>
      </c>
      <c r="R8856" t="s">
        <v>121</v>
      </c>
      <c r="S8856">
        <v>1</v>
      </c>
      <c r="T8856" t="s">
        <v>8675</v>
      </c>
      <c r="U8856" s="1">
        <v>43348</v>
      </c>
      <c r="V8856" t="s">
        <v>66</v>
      </c>
      <c r="W8856" t="s">
        <v>67</v>
      </c>
      <c r="X8856" t="s">
        <v>58</v>
      </c>
      <c r="Y8856">
        <v>24</v>
      </c>
      <c r="Z8856" t="s">
        <v>59</v>
      </c>
      <c r="AA8856" t="s">
        <v>59</v>
      </c>
      <c r="AB8856" t="s">
        <v>59</v>
      </c>
      <c r="AD8856" t="s">
        <v>59</v>
      </c>
      <c r="AF8856" s="1">
        <v>43348</v>
      </c>
      <c r="AG8856" t="s">
        <v>8645</v>
      </c>
      <c r="AH8856" t="s">
        <v>8646</v>
      </c>
      <c r="AI8856" t="str">
        <f>"9410114"</f>
        <v>9410114</v>
      </c>
      <c r="AJ8856" t="s">
        <v>12877</v>
      </c>
      <c r="AK8856">
        <v>2832031291</v>
      </c>
      <c r="AL8856" t="s">
        <v>12878</v>
      </c>
      <c r="AM8856" t="s">
        <v>64</v>
      </c>
      <c r="AN8856" t="s">
        <v>5882</v>
      </c>
      <c r="AO8856" t="s">
        <v>6099</v>
      </c>
      <c r="AP8856" t="s">
        <v>12815</v>
      </c>
      <c r="AQ8856">
        <v>5</v>
      </c>
      <c r="AR8856" t="s">
        <v>66</v>
      </c>
      <c r="AS8856" t="s">
        <v>67</v>
      </c>
      <c r="AT8856" t="s">
        <v>58</v>
      </c>
      <c r="AU8856" t="s">
        <v>8673</v>
      </c>
      <c r="AV8856" t="s">
        <v>132</v>
      </c>
      <c r="AW8856" s="1">
        <v>34063</v>
      </c>
      <c r="AX8856">
        <v>1</v>
      </c>
    </row>
    <row r="8857" spans="1:50">
      <c r="A8857">
        <v>553239</v>
      </c>
      <c r="B8857" t="str">
        <f>"064173839"</f>
        <v>064173839</v>
      </c>
      <c r="C8857" t="s">
        <v>50</v>
      </c>
      <c r="D8857" t="s">
        <v>13492</v>
      </c>
      <c r="E8857" t="s">
        <v>255</v>
      </c>
      <c r="F8857" t="s">
        <v>166</v>
      </c>
      <c r="G8857" t="s">
        <v>215</v>
      </c>
      <c r="H8857" t="str">
        <f>"ΑΘΗΝΑΣ 4 ΑΤΣΙΠΟΠΟΥΛΟΥ"</f>
        <v>ΑΘΗΝΑΣ 4 ΑΤΣΙΠΟΠΟΥΛΟΥ</v>
      </c>
      <c r="I8857">
        <v>74100</v>
      </c>
      <c r="J8857">
        <v>2831031959</v>
      </c>
      <c r="K8857">
        <v>6978893927</v>
      </c>
      <c r="N8857" t="s">
        <v>1525</v>
      </c>
      <c r="O8857" t="s">
        <v>1526</v>
      </c>
      <c r="R8857" t="s">
        <v>57</v>
      </c>
      <c r="S8857">
        <v>17</v>
      </c>
      <c r="T8857">
        <v>433</v>
      </c>
      <c r="U8857" s="1">
        <v>31044</v>
      </c>
      <c r="V8857" t="s">
        <v>66</v>
      </c>
      <c r="W8857" t="s">
        <v>67</v>
      </c>
      <c r="X8857" t="s">
        <v>58</v>
      </c>
      <c r="Y8857">
        <v>25</v>
      </c>
      <c r="Z8857" t="s">
        <v>59</v>
      </c>
      <c r="AA8857" t="s">
        <v>59</v>
      </c>
      <c r="AB8857" t="s">
        <v>59</v>
      </c>
      <c r="AC8857" t="s">
        <v>59</v>
      </c>
      <c r="AD8857" t="s">
        <v>59</v>
      </c>
      <c r="AF8857" s="1">
        <v>31252</v>
      </c>
      <c r="AG8857" t="s">
        <v>8651</v>
      </c>
      <c r="AH8857" t="s">
        <v>8652</v>
      </c>
      <c r="AI8857" t="str">
        <f>"9410266"</f>
        <v>9410266</v>
      </c>
      <c r="AJ8857" t="s">
        <v>12753</v>
      </c>
      <c r="AK8857">
        <v>2831022467</v>
      </c>
      <c r="AL8857" t="s">
        <v>12754</v>
      </c>
      <c r="AM8857" t="s">
        <v>64</v>
      </c>
      <c r="AN8857" t="s">
        <v>65</v>
      </c>
      <c r="AO8857" t="s">
        <v>65</v>
      </c>
      <c r="AP8857" t="s">
        <v>65</v>
      </c>
      <c r="AQ8857">
        <v>1</v>
      </c>
      <c r="AR8857" t="s">
        <v>66</v>
      </c>
      <c r="AS8857" t="s">
        <v>67</v>
      </c>
      <c r="AT8857" t="s">
        <v>58</v>
      </c>
      <c r="AU8857" t="s">
        <v>68</v>
      </c>
      <c r="AV8857" t="s">
        <v>69</v>
      </c>
      <c r="AW8857" s="1">
        <v>22953</v>
      </c>
      <c r="AX8857">
        <v>1</v>
      </c>
    </row>
    <row r="8858" spans="1:50">
      <c r="A8858">
        <v>564249</v>
      </c>
      <c r="B8858" t="str">
        <f>"036378276"</f>
        <v>036378276</v>
      </c>
      <c r="C8858" t="s">
        <v>105</v>
      </c>
      <c r="D8858" t="s">
        <v>13493</v>
      </c>
      <c r="E8858" t="s">
        <v>72</v>
      </c>
      <c r="F8858" t="s">
        <v>166</v>
      </c>
      <c r="G8858" t="s">
        <v>2088</v>
      </c>
      <c r="H8858" t="str">
        <f>"ΡΟΥΣΤΙΚΑ Ν. ΦΩΚΑ-ΡΕΘΥΜΝΗΣ"</f>
        <v>ΡΟΥΣΤΙΚΑ Ν. ΦΩΚΑ-ΡΕΘΥΜΝΗΣ</v>
      </c>
      <c r="I8858">
        <v>74100</v>
      </c>
      <c r="J8858">
        <v>2831091031</v>
      </c>
      <c r="K8858">
        <v>6945351039</v>
      </c>
      <c r="N8858" t="s">
        <v>615</v>
      </c>
      <c r="O8858" t="s">
        <v>616</v>
      </c>
      <c r="R8858" t="s">
        <v>57</v>
      </c>
      <c r="S8858">
        <v>14</v>
      </c>
      <c r="T8858">
        <v>161</v>
      </c>
      <c r="U8858" s="1">
        <v>33119</v>
      </c>
      <c r="V8858" t="s">
        <v>66</v>
      </c>
      <c r="W8858" t="s">
        <v>67</v>
      </c>
      <c r="X8858" t="s">
        <v>58</v>
      </c>
      <c r="Y8858">
        <v>21</v>
      </c>
      <c r="Z8858" t="s">
        <v>59</v>
      </c>
      <c r="AA8858" t="s">
        <v>59</v>
      </c>
      <c r="AB8858" t="s">
        <v>59</v>
      </c>
      <c r="AC8858" t="s">
        <v>59</v>
      </c>
      <c r="AD8858" t="s">
        <v>59</v>
      </c>
      <c r="AF8858" s="1">
        <v>33119</v>
      </c>
      <c r="AG8858" t="s">
        <v>8645</v>
      </c>
      <c r="AH8858" t="s">
        <v>8646</v>
      </c>
      <c r="AI8858" t="str">
        <f>"9410169"</f>
        <v>9410169</v>
      </c>
      <c r="AJ8858" t="s">
        <v>12936</v>
      </c>
      <c r="AK8858">
        <v>2831031123</v>
      </c>
      <c r="AL8858" t="s">
        <v>12937</v>
      </c>
      <c r="AM8858" t="s">
        <v>64</v>
      </c>
      <c r="AN8858" t="s">
        <v>65</v>
      </c>
      <c r="AO8858" t="s">
        <v>5720</v>
      </c>
      <c r="AP8858" t="s">
        <v>12938</v>
      </c>
      <c r="AQ8858">
        <v>2</v>
      </c>
      <c r="AR8858" t="s">
        <v>66</v>
      </c>
      <c r="AS8858" t="s">
        <v>67</v>
      </c>
      <c r="AT8858" t="s">
        <v>58</v>
      </c>
      <c r="AU8858" t="s">
        <v>68</v>
      </c>
      <c r="AV8858" t="s">
        <v>69</v>
      </c>
      <c r="AW8858" s="1">
        <v>23732</v>
      </c>
      <c r="AX8858">
        <v>1</v>
      </c>
    </row>
    <row r="8859" spans="1:50">
      <c r="A8859">
        <v>591251</v>
      </c>
      <c r="B8859" t="str">
        <f>"063039340"</f>
        <v>063039340</v>
      </c>
      <c r="C8859" t="s">
        <v>105</v>
      </c>
      <c r="D8859" t="s">
        <v>13494</v>
      </c>
      <c r="E8859" t="s">
        <v>670</v>
      </c>
      <c r="F8859" t="s">
        <v>4694</v>
      </c>
      <c r="G8859" t="s">
        <v>13495</v>
      </c>
      <c r="H8859" t="str">
        <f>"Μ.ΜΠΡΙΛΛΑΚΗ 10 ΡΕΘΥΜΝΟ"</f>
        <v>Μ.ΜΠΡΙΛΛΑΚΗ 10 ΡΕΘΥΜΝΟ</v>
      </c>
      <c r="I8859">
        <v>74100</v>
      </c>
      <c r="J8859">
        <v>2831401409</v>
      </c>
      <c r="K8859">
        <v>6977778303</v>
      </c>
      <c r="M8859" t="s">
        <v>13496</v>
      </c>
      <c r="N8859" t="s">
        <v>615</v>
      </c>
      <c r="O8859" t="s">
        <v>616</v>
      </c>
      <c r="R8859" t="s">
        <v>57</v>
      </c>
      <c r="S8859">
        <v>8</v>
      </c>
      <c r="T8859">
        <v>249</v>
      </c>
      <c r="U8859" s="1">
        <v>36769</v>
      </c>
      <c r="V8859" t="s">
        <v>66</v>
      </c>
      <c r="W8859" t="s">
        <v>67</v>
      </c>
      <c r="X8859" t="s">
        <v>58</v>
      </c>
      <c r="Y8859">
        <v>22</v>
      </c>
      <c r="Z8859" t="s">
        <v>59</v>
      </c>
      <c r="AA8859" t="s">
        <v>59</v>
      </c>
      <c r="AB8859" t="s">
        <v>59</v>
      </c>
      <c r="AC8859" t="s">
        <v>59</v>
      </c>
      <c r="AD8859" t="s">
        <v>59</v>
      </c>
      <c r="AF8859" s="1">
        <v>36773</v>
      </c>
      <c r="AG8859" t="s">
        <v>8645</v>
      </c>
      <c r="AH8859" t="s">
        <v>8646</v>
      </c>
      <c r="AI8859" t="str">
        <f>"9410051"</f>
        <v>9410051</v>
      </c>
      <c r="AJ8859" t="s">
        <v>12660</v>
      </c>
      <c r="AK8859">
        <v>2834022247</v>
      </c>
      <c r="AL8859" t="s">
        <v>12661</v>
      </c>
      <c r="AM8859" t="s">
        <v>64</v>
      </c>
      <c r="AN8859" t="s">
        <v>5672</v>
      </c>
      <c r="AO8859" t="s">
        <v>5673</v>
      </c>
      <c r="AP8859" t="s">
        <v>5689</v>
      </c>
      <c r="AQ8859">
        <v>7</v>
      </c>
      <c r="AR8859" t="s">
        <v>66</v>
      </c>
      <c r="AS8859" t="s">
        <v>67</v>
      </c>
      <c r="AT8859" t="s">
        <v>58</v>
      </c>
      <c r="AU8859" t="s">
        <v>68</v>
      </c>
      <c r="AV8859" t="s">
        <v>69</v>
      </c>
      <c r="AW8859" s="1">
        <v>25136</v>
      </c>
      <c r="AX8859">
        <v>1</v>
      </c>
    </row>
    <row r="8860" spans="1:50">
      <c r="A8860">
        <v>615229</v>
      </c>
      <c r="B8860" t="str">
        <f>"120941389"</f>
        <v>120941389</v>
      </c>
      <c r="C8860" t="s">
        <v>50</v>
      </c>
      <c r="D8860" t="s">
        <v>8028</v>
      </c>
      <c r="E8860" t="s">
        <v>1694</v>
      </c>
      <c r="F8860" t="s">
        <v>99</v>
      </c>
      <c r="G8860" t="s">
        <v>314</v>
      </c>
      <c r="H8860" t="str">
        <f>"ΣΤΑΥΡΙΑΝΟΥ ΜΠΙΡΗ ΒΙΟΛΙ ΧΑΡΑΚΙ-ΡΕΘΥΜΝΟ"</f>
        <v>ΣΤΑΥΡΙΑΝΟΥ ΜΠΙΡΗ ΒΙΟΛΙ ΧΑΡΑΚΙ-ΡΕΘΥΜΝΟ</v>
      </c>
      <c r="I8860">
        <v>74100</v>
      </c>
      <c r="J8860">
        <v>2104316714</v>
      </c>
      <c r="K8860">
        <v>6974459144</v>
      </c>
      <c r="L8860">
        <v>2831054056</v>
      </c>
      <c r="N8860" t="s">
        <v>1525</v>
      </c>
      <c r="O8860" t="s">
        <v>1526</v>
      </c>
      <c r="R8860" t="s">
        <v>57</v>
      </c>
      <c r="S8860">
        <v>6</v>
      </c>
      <c r="T8860">
        <v>598</v>
      </c>
      <c r="U8860" s="1">
        <v>39310</v>
      </c>
      <c r="V8860" t="s">
        <v>66</v>
      </c>
      <c r="W8860" t="s">
        <v>67</v>
      </c>
      <c r="X8860" t="s">
        <v>58</v>
      </c>
      <c r="Y8860">
        <v>25</v>
      </c>
      <c r="Z8860" t="s">
        <v>59</v>
      </c>
      <c r="AA8860" t="s">
        <v>59</v>
      </c>
      <c r="AB8860" t="s">
        <v>59</v>
      </c>
      <c r="AC8860" t="s">
        <v>59</v>
      </c>
      <c r="AD8860" t="s">
        <v>59</v>
      </c>
      <c r="AF8860" s="1">
        <v>39328</v>
      </c>
      <c r="AG8860" t="s">
        <v>8651</v>
      </c>
      <c r="AH8860" t="s">
        <v>8652</v>
      </c>
      <c r="AI8860" t="str">
        <f>"9410147"</f>
        <v>9410147</v>
      </c>
      <c r="AJ8860" t="s">
        <v>13497</v>
      </c>
      <c r="AK8860">
        <v>2831061838</v>
      </c>
      <c r="AL8860" t="s">
        <v>13498</v>
      </c>
      <c r="AM8860" t="s">
        <v>64</v>
      </c>
      <c r="AN8860" t="s">
        <v>65</v>
      </c>
      <c r="AO8860" t="s">
        <v>5657</v>
      </c>
      <c r="AP8860" t="s">
        <v>1437</v>
      </c>
      <c r="AQ8860">
        <v>2</v>
      </c>
      <c r="AR8860" t="s">
        <v>66</v>
      </c>
      <c r="AS8860" t="s">
        <v>67</v>
      </c>
      <c r="AT8860" t="s">
        <v>58</v>
      </c>
      <c r="AU8860" t="s">
        <v>68</v>
      </c>
      <c r="AV8860" t="s">
        <v>69</v>
      </c>
      <c r="AW8860" s="1">
        <v>28380</v>
      </c>
      <c r="AX8860">
        <v>1</v>
      </c>
    </row>
    <row r="8861" spans="1:50">
      <c r="A8861">
        <v>604585</v>
      </c>
      <c r="B8861" t="str">
        <f>"059825631"</f>
        <v>059825631</v>
      </c>
      <c r="C8861" t="s">
        <v>105</v>
      </c>
      <c r="D8861" t="s">
        <v>6337</v>
      </c>
      <c r="E8861" t="s">
        <v>377</v>
      </c>
      <c r="F8861" t="s">
        <v>53</v>
      </c>
      <c r="G8861" t="s">
        <v>263</v>
      </c>
      <c r="H8861" t="str">
        <f>"Δ.ΑΠΟΛΛΩΝΙΑΤΟΥ 3 ΡΕΘΥΜΝΟ"</f>
        <v>Δ.ΑΠΟΛΛΩΝΙΑΤΟΥ 3 ΡΕΘΥΜΝΟ</v>
      </c>
      <c r="I8861">
        <v>74100</v>
      </c>
      <c r="J8861">
        <v>2831057297</v>
      </c>
      <c r="K8861">
        <v>6974411585</v>
      </c>
      <c r="M8861" t="s">
        <v>13499</v>
      </c>
      <c r="N8861" t="s">
        <v>615</v>
      </c>
      <c r="O8861" t="s">
        <v>616</v>
      </c>
      <c r="R8861" t="s">
        <v>57</v>
      </c>
      <c r="S8861">
        <v>11</v>
      </c>
      <c r="T8861">
        <v>231</v>
      </c>
      <c r="U8861" s="1">
        <v>38230</v>
      </c>
      <c r="V8861" t="s">
        <v>66</v>
      </c>
      <c r="W8861" t="s">
        <v>67</v>
      </c>
      <c r="X8861" t="s">
        <v>58</v>
      </c>
      <c r="Y8861">
        <v>22</v>
      </c>
      <c r="Z8861" t="s">
        <v>59</v>
      </c>
      <c r="AA8861" t="s">
        <v>59</v>
      </c>
      <c r="AB8861" t="s">
        <v>59</v>
      </c>
      <c r="AC8861" t="s">
        <v>59</v>
      </c>
      <c r="AD8861" t="s">
        <v>59</v>
      </c>
      <c r="AF8861" s="1">
        <v>38231</v>
      </c>
      <c r="AG8861" t="s">
        <v>8645</v>
      </c>
      <c r="AH8861" t="s">
        <v>8646</v>
      </c>
      <c r="AI8861" t="str">
        <f>"9410127"</f>
        <v>9410127</v>
      </c>
      <c r="AJ8861" t="s">
        <v>12767</v>
      </c>
      <c r="AK8861">
        <v>2833022347</v>
      </c>
      <c r="AL8861" t="s">
        <v>12768</v>
      </c>
      <c r="AM8861" t="s">
        <v>64</v>
      </c>
      <c r="AN8861" t="s">
        <v>5713</v>
      </c>
      <c r="AO8861" t="s">
        <v>5714</v>
      </c>
      <c r="AP8861" t="s">
        <v>5715</v>
      </c>
      <c r="AQ8861">
        <v>5</v>
      </c>
      <c r="AR8861" t="s">
        <v>66</v>
      </c>
      <c r="AS8861" t="s">
        <v>67</v>
      </c>
      <c r="AT8861" t="s">
        <v>58</v>
      </c>
      <c r="AU8861" t="s">
        <v>68</v>
      </c>
      <c r="AV8861" t="s">
        <v>69</v>
      </c>
      <c r="AW8861" s="1">
        <v>26256</v>
      </c>
      <c r="AX8861">
        <v>1</v>
      </c>
    </row>
    <row r="8862" spans="1:50">
      <c r="B8862" t="str">
        <f>"160400518"</f>
        <v>160400518</v>
      </c>
      <c r="C8862" t="s">
        <v>50</v>
      </c>
      <c r="D8862" t="s">
        <v>3149</v>
      </c>
      <c r="E8862" t="s">
        <v>83</v>
      </c>
      <c r="F8862" t="s">
        <v>95</v>
      </c>
      <c r="G8862" t="s">
        <v>73</v>
      </c>
      <c r="H8862" t="str">
        <f>" "</f>
        <v xml:space="preserve"> </v>
      </c>
      <c r="N8862" t="s">
        <v>615</v>
      </c>
      <c r="O8862" t="s">
        <v>616</v>
      </c>
      <c r="R8862" t="s">
        <v>121</v>
      </c>
      <c r="S8862">
        <v>1</v>
      </c>
      <c r="T8862" t="s">
        <v>8717</v>
      </c>
      <c r="U8862" s="1">
        <v>43348</v>
      </c>
      <c r="V8862" t="s">
        <v>66</v>
      </c>
      <c r="W8862" t="s">
        <v>67</v>
      </c>
      <c r="X8862" t="s">
        <v>58</v>
      </c>
      <c r="Y8862">
        <v>24</v>
      </c>
      <c r="Z8862" t="s">
        <v>59</v>
      </c>
      <c r="AA8862" t="s">
        <v>59</v>
      </c>
      <c r="AB8862" t="s">
        <v>59</v>
      </c>
      <c r="AD8862" t="s">
        <v>59</v>
      </c>
      <c r="AF8862" s="1">
        <v>43348</v>
      </c>
      <c r="AG8862" t="s">
        <v>8645</v>
      </c>
      <c r="AH8862" t="s">
        <v>8646</v>
      </c>
      <c r="AI8862" t="str">
        <f>"9410065"</f>
        <v>9410065</v>
      </c>
      <c r="AJ8862" t="s">
        <v>12717</v>
      </c>
      <c r="AK8862">
        <v>2831022519</v>
      </c>
      <c r="AL8862" t="s">
        <v>12718</v>
      </c>
      <c r="AM8862" t="s">
        <v>64</v>
      </c>
      <c r="AN8862" t="s">
        <v>65</v>
      </c>
      <c r="AO8862" t="s">
        <v>65</v>
      </c>
      <c r="AP8862" t="s">
        <v>65</v>
      </c>
      <c r="AQ8862">
        <v>1</v>
      </c>
      <c r="AR8862" t="s">
        <v>66</v>
      </c>
      <c r="AS8862" t="s">
        <v>67</v>
      </c>
      <c r="AT8862" t="s">
        <v>58</v>
      </c>
      <c r="AU8862" t="s">
        <v>8720</v>
      </c>
      <c r="AV8862" t="s">
        <v>132</v>
      </c>
      <c r="AW8862" s="1">
        <v>32693</v>
      </c>
      <c r="AX8862">
        <v>1</v>
      </c>
    </row>
    <row r="8863" spans="1:50">
      <c r="B8863" t="str">
        <f>"155003739"</f>
        <v>155003739</v>
      </c>
      <c r="C8863" t="s">
        <v>50</v>
      </c>
      <c r="D8863" t="s">
        <v>13500</v>
      </c>
      <c r="E8863" t="s">
        <v>238</v>
      </c>
      <c r="F8863" t="s">
        <v>631</v>
      </c>
      <c r="G8863" t="s">
        <v>1001</v>
      </c>
      <c r="H8863" t="str">
        <f>"ΚΥΠΡΟΥ 65 "</f>
        <v xml:space="preserve">ΚΥΠΡΟΥ 65 </v>
      </c>
      <c r="I8863">
        <v>12132</v>
      </c>
      <c r="J8863">
        <v>2105738189</v>
      </c>
      <c r="K8863">
        <v>6974932496</v>
      </c>
      <c r="N8863" t="s">
        <v>8834</v>
      </c>
      <c r="O8863" t="s">
        <v>8695</v>
      </c>
      <c r="R8863" t="s">
        <v>159</v>
      </c>
      <c r="S8863">
        <v>4</v>
      </c>
      <c r="T8863" t="s">
        <v>8696</v>
      </c>
      <c r="U8863" s="1">
        <v>43348</v>
      </c>
      <c r="V8863" t="s">
        <v>66</v>
      </c>
      <c r="W8863" t="s">
        <v>67</v>
      </c>
      <c r="X8863" t="s">
        <v>58</v>
      </c>
      <c r="Y8863">
        <v>24</v>
      </c>
      <c r="Z8863" t="s">
        <v>59</v>
      </c>
      <c r="AA8863" t="s">
        <v>59</v>
      </c>
      <c r="AB8863" t="s">
        <v>59</v>
      </c>
      <c r="AC8863" t="s">
        <v>59</v>
      </c>
      <c r="AD8863" t="s">
        <v>59</v>
      </c>
      <c r="AF8863" s="1">
        <v>43348</v>
      </c>
      <c r="AG8863" t="s">
        <v>8645</v>
      </c>
      <c r="AH8863" t="s">
        <v>8646</v>
      </c>
      <c r="AI8863" t="str">
        <f>"9410114"</f>
        <v>9410114</v>
      </c>
      <c r="AJ8863" t="s">
        <v>12877</v>
      </c>
      <c r="AK8863">
        <v>2832031291</v>
      </c>
      <c r="AL8863" t="s">
        <v>12878</v>
      </c>
      <c r="AM8863" t="s">
        <v>64</v>
      </c>
      <c r="AN8863" t="s">
        <v>5882</v>
      </c>
      <c r="AO8863" t="s">
        <v>6099</v>
      </c>
      <c r="AP8863" t="s">
        <v>12815</v>
      </c>
      <c r="AQ8863">
        <v>5</v>
      </c>
      <c r="AR8863" t="s">
        <v>66</v>
      </c>
      <c r="AS8863" t="s">
        <v>67</v>
      </c>
      <c r="AT8863" t="s">
        <v>58</v>
      </c>
      <c r="AU8863" t="s">
        <v>350</v>
      </c>
      <c r="AV8863" t="s">
        <v>132</v>
      </c>
      <c r="AW8863" s="1">
        <v>32378</v>
      </c>
      <c r="AX8863">
        <v>1</v>
      </c>
    </row>
    <row r="8864" spans="1:50">
      <c r="A8864">
        <v>595002</v>
      </c>
      <c r="B8864" t="str">
        <f>"077516516"</f>
        <v>077516516</v>
      </c>
      <c r="C8864" t="s">
        <v>50</v>
      </c>
      <c r="D8864" t="s">
        <v>10976</v>
      </c>
      <c r="E8864" t="s">
        <v>4737</v>
      </c>
      <c r="F8864" t="s">
        <v>99</v>
      </c>
      <c r="G8864" t="s">
        <v>255</v>
      </c>
      <c r="H8864" t="str">
        <f>"ΡΟΔΙΑΝΗ ΚΟΖΑΝΗΣ ΚΟΖΑΝΗ"</f>
        <v>ΡΟΔΙΑΝΗ ΚΟΖΑΝΗΣ ΚΟΖΑΝΗ</v>
      </c>
      <c r="I8864">
        <v>50100</v>
      </c>
      <c r="J8864">
        <v>2461099728</v>
      </c>
      <c r="K8864">
        <v>6984332185</v>
      </c>
      <c r="M8864" t="s">
        <v>13501</v>
      </c>
      <c r="N8864" t="s">
        <v>615</v>
      </c>
      <c r="O8864" t="s">
        <v>616</v>
      </c>
      <c r="R8864" t="s">
        <v>57</v>
      </c>
      <c r="S8864">
        <v>6</v>
      </c>
      <c r="T8864">
        <v>218</v>
      </c>
      <c r="U8864" s="1">
        <v>37134</v>
      </c>
      <c r="V8864" t="s">
        <v>66</v>
      </c>
      <c r="W8864" t="s">
        <v>67</v>
      </c>
      <c r="X8864" t="s">
        <v>58</v>
      </c>
      <c r="Y8864">
        <v>22</v>
      </c>
      <c r="Z8864" t="s">
        <v>59</v>
      </c>
      <c r="AA8864" t="s">
        <v>59</v>
      </c>
      <c r="AB8864" t="s">
        <v>59</v>
      </c>
      <c r="AC8864" t="s">
        <v>59</v>
      </c>
      <c r="AD8864" t="s">
        <v>59</v>
      </c>
      <c r="AF8864" s="1">
        <v>37138</v>
      </c>
      <c r="AG8864" t="s">
        <v>60</v>
      </c>
      <c r="AH8864" t="s">
        <v>453</v>
      </c>
      <c r="AI8864" t="str">
        <f>"9941101"</f>
        <v>9941101</v>
      </c>
      <c r="AJ8864" t="s">
        <v>67</v>
      </c>
      <c r="AK8864">
        <v>2831022325</v>
      </c>
      <c r="AL8864" t="s">
        <v>12931</v>
      </c>
      <c r="AM8864" t="s">
        <v>64</v>
      </c>
      <c r="AN8864" t="s">
        <v>65</v>
      </c>
      <c r="AO8864" t="s">
        <v>65</v>
      </c>
      <c r="AP8864" t="s">
        <v>65</v>
      </c>
      <c r="AS8864" t="s">
        <v>67</v>
      </c>
      <c r="AT8864" t="s">
        <v>58</v>
      </c>
      <c r="AU8864" t="s">
        <v>68</v>
      </c>
      <c r="AV8864" t="s">
        <v>455</v>
      </c>
      <c r="AW8864" s="1">
        <v>26719</v>
      </c>
      <c r="AX8864">
        <v>1</v>
      </c>
    </row>
    <row r="8865" spans="1:50">
      <c r="A8865">
        <v>565421</v>
      </c>
      <c r="B8865" t="str">
        <f>"033839762"</f>
        <v>033839762</v>
      </c>
      <c r="C8865" t="s">
        <v>50</v>
      </c>
      <c r="D8865" t="s">
        <v>3157</v>
      </c>
      <c r="E8865" t="s">
        <v>755</v>
      </c>
      <c r="F8865" t="s">
        <v>84</v>
      </c>
      <c r="G8865" t="s">
        <v>4671</v>
      </c>
      <c r="H8865" t="str">
        <f>"ΒΟΓΙΑΤΖΑΚΗ 11 ΡΕΘΥΜΝΟ"</f>
        <v>ΒΟΓΙΑΤΖΑΚΗ 11 ΡΕΘΥΜΝΟ</v>
      </c>
      <c r="K8865">
        <v>6992019038</v>
      </c>
      <c r="N8865" t="s">
        <v>615</v>
      </c>
      <c r="O8865" t="s">
        <v>616</v>
      </c>
      <c r="R8865" t="s">
        <v>57</v>
      </c>
      <c r="S8865">
        <v>15</v>
      </c>
      <c r="T8865">
        <v>161</v>
      </c>
      <c r="U8865" s="1">
        <v>33119</v>
      </c>
      <c r="V8865" t="s">
        <v>66</v>
      </c>
      <c r="W8865" t="s">
        <v>67</v>
      </c>
      <c r="X8865" t="s">
        <v>58</v>
      </c>
      <c r="Y8865">
        <v>21</v>
      </c>
      <c r="Z8865" t="s">
        <v>59</v>
      </c>
      <c r="AA8865" t="s">
        <v>59</v>
      </c>
      <c r="AB8865" t="s">
        <v>59</v>
      </c>
      <c r="AC8865" t="s">
        <v>59</v>
      </c>
      <c r="AD8865" t="s">
        <v>59</v>
      </c>
      <c r="AF8865" s="1">
        <v>33119</v>
      </c>
      <c r="AG8865" t="s">
        <v>8645</v>
      </c>
      <c r="AH8865" t="s">
        <v>8646</v>
      </c>
      <c r="AI8865" t="str">
        <f>"9410070"</f>
        <v>9410070</v>
      </c>
      <c r="AJ8865" t="s">
        <v>12757</v>
      </c>
      <c r="AK8865">
        <v>2831028583</v>
      </c>
      <c r="AL8865" t="s">
        <v>12758</v>
      </c>
      <c r="AM8865" t="s">
        <v>64</v>
      </c>
      <c r="AN8865" t="s">
        <v>65</v>
      </c>
      <c r="AO8865" t="s">
        <v>65</v>
      </c>
      <c r="AP8865" t="s">
        <v>65</v>
      </c>
      <c r="AQ8865">
        <v>1</v>
      </c>
      <c r="AR8865" t="s">
        <v>66</v>
      </c>
      <c r="AS8865" t="s">
        <v>67</v>
      </c>
      <c r="AT8865" t="s">
        <v>58</v>
      </c>
      <c r="AU8865" t="s">
        <v>68</v>
      </c>
      <c r="AV8865" t="s">
        <v>69</v>
      </c>
      <c r="AW8865" s="1">
        <v>23714</v>
      </c>
      <c r="AX8865">
        <v>1</v>
      </c>
    </row>
    <row r="8866" spans="1:50">
      <c r="A8866">
        <v>590688</v>
      </c>
      <c r="B8866" t="str">
        <f>"113607060"</f>
        <v>113607060</v>
      </c>
      <c r="C8866" t="s">
        <v>50</v>
      </c>
      <c r="D8866" t="s">
        <v>3157</v>
      </c>
      <c r="E8866" t="s">
        <v>263</v>
      </c>
      <c r="F8866" t="s">
        <v>108</v>
      </c>
      <c r="G8866" t="s">
        <v>52</v>
      </c>
      <c r="H8866" t="str">
        <f>"ΠΑΝ/ΜΙΟΥ ΚΡΗΤΗΣ 33 ΡΕΘΥΜΝΟ"</f>
        <v>ΠΑΝ/ΜΙΟΥ ΚΡΗΤΗΣ 33 ΡΕΘΥΜΝΟ</v>
      </c>
      <c r="I8866">
        <v>74100</v>
      </c>
      <c r="N8866" t="s">
        <v>1525</v>
      </c>
      <c r="O8866" t="s">
        <v>1526</v>
      </c>
      <c r="R8866" t="s">
        <v>57</v>
      </c>
      <c r="S8866">
        <v>9</v>
      </c>
      <c r="T8866">
        <v>176</v>
      </c>
      <c r="U8866" s="1">
        <v>36403</v>
      </c>
      <c r="V8866" t="s">
        <v>66</v>
      </c>
      <c r="W8866" t="s">
        <v>67</v>
      </c>
      <c r="X8866" t="s">
        <v>58</v>
      </c>
      <c r="Y8866">
        <v>25</v>
      </c>
      <c r="Z8866" t="s">
        <v>59</v>
      </c>
      <c r="AA8866" t="s">
        <v>59</v>
      </c>
      <c r="AB8866" t="s">
        <v>59</v>
      </c>
      <c r="AC8866" t="s">
        <v>59</v>
      </c>
      <c r="AD8866" t="s">
        <v>59</v>
      </c>
      <c r="AF8866" s="1">
        <v>36405</v>
      </c>
      <c r="AG8866" t="s">
        <v>8651</v>
      </c>
      <c r="AH8866" t="s">
        <v>8652</v>
      </c>
      <c r="AI8866" t="str">
        <f>"9410237"</f>
        <v>9410237</v>
      </c>
      <c r="AJ8866" t="s">
        <v>13104</v>
      </c>
      <c r="AK8866">
        <v>2834093305</v>
      </c>
      <c r="AL8866" t="s">
        <v>13105</v>
      </c>
      <c r="AM8866" t="s">
        <v>64</v>
      </c>
      <c r="AN8866" t="s">
        <v>65</v>
      </c>
      <c r="AO8866" t="s">
        <v>12694</v>
      </c>
      <c r="AP8866" t="s">
        <v>12745</v>
      </c>
      <c r="AQ8866">
        <v>3</v>
      </c>
      <c r="AR8866" t="s">
        <v>66</v>
      </c>
      <c r="AS8866" t="s">
        <v>67</v>
      </c>
      <c r="AT8866" t="s">
        <v>58</v>
      </c>
      <c r="AU8866" t="s">
        <v>68</v>
      </c>
      <c r="AV8866" t="s">
        <v>69</v>
      </c>
      <c r="AW8866" s="1">
        <v>26916</v>
      </c>
      <c r="AX8866">
        <v>1</v>
      </c>
    </row>
    <row r="8867" spans="1:50">
      <c r="A8867">
        <v>609824</v>
      </c>
      <c r="B8867" t="str">
        <f>"124479757"</f>
        <v>124479757</v>
      </c>
      <c r="C8867" t="s">
        <v>50</v>
      </c>
      <c r="D8867" t="s">
        <v>3157</v>
      </c>
      <c r="E8867" t="s">
        <v>83</v>
      </c>
      <c r="F8867" t="s">
        <v>2219</v>
      </c>
      <c r="G8867" t="s">
        <v>52</v>
      </c>
      <c r="H8867" t="str">
        <f>"ΜΙΧΑΛΗ ΜΑΡΑΚΗ 7 ΡΕΘΥΜΝΟ"</f>
        <v>ΜΙΧΑΛΗ ΜΑΡΑΚΗ 7 ΡΕΘΥΜΝΟ</v>
      </c>
      <c r="I8867">
        <v>74132</v>
      </c>
      <c r="K8867">
        <v>6972014430</v>
      </c>
      <c r="M8867" t="s">
        <v>13502</v>
      </c>
      <c r="N8867" t="s">
        <v>306</v>
      </c>
      <c r="O8867" t="s">
        <v>307</v>
      </c>
      <c r="R8867" t="s">
        <v>57</v>
      </c>
      <c r="S8867">
        <v>6</v>
      </c>
      <c r="T8867">
        <v>249</v>
      </c>
      <c r="U8867" s="1">
        <v>38617</v>
      </c>
      <c r="V8867" t="s">
        <v>66</v>
      </c>
      <c r="W8867" t="s">
        <v>67</v>
      </c>
      <c r="X8867" t="s">
        <v>58</v>
      </c>
      <c r="Y8867">
        <v>23</v>
      </c>
      <c r="Z8867" t="s">
        <v>59</v>
      </c>
      <c r="AA8867" t="s">
        <v>59</v>
      </c>
      <c r="AB8867" t="s">
        <v>59</v>
      </c>
      <c r="AC8867" t="s">
        <v>59</v>
      </c>
      <c r="AD8867" t="s">
        <v>59</v>
      </c>
      <c r="AF8867" s="1">
        <v>38622</v>
      </c>
      <c r="AG8867" t="s">
        <v>8645</v>
      </c>
      <c r="AH8867" t="s">
        <v>8646</v>
      </c>
      <c r="AI8867" t="str">
        <f>"9410263"</f>
        <v>9410263</v>
      </c>
      <c r="AJ8867" t="s">
        <v>12672</v>
      </c>
      <c r="AK8867">
        <v>2831053818</v>
      </c>
      <c r="AL8867" t="s">
        <v>12673</v>
      </c>
      <c r="AM8867" t="s">
        <v>64</v>
      </c>
      <c r="AN8867" t="s">
        <v>65</v>
      </c>
      <c r="AO8867" t="s">
        <v>65</v>
      </c>
      <c r="AP8867" t="s">
        <v>65</v>
      </c>
      <c r="AQ8867">
        <v>1</v>
      </c>
      <c r="AR8867" t="s">
        <v>66</v>
      </c>
      <c r="AS8867" t="s">
        <v>67</v>
      </c>
      <c r="AT8867" t="s">
        <v>58</v>
      </c>
      <c r="AU8867" t="s">
        <v>68</v>
      </c>
      <c r="AV8867" t="s">
        <v>69</v>
      </c>
      <c r="AW8867" s="1">
        <v>29435</v>
      </c>
      <c r="AX8867">
        <v>1</v>
      </c>
    </row>
    <row r="8868" spans="1:50">
      <c r="A8868">
        <v>594410</v>
      </c>
      <c r="B8868" t="str">
        <f>"100077252"</f>
        <v>100077252</v>
      </c>
      <c r="C8868" t="s">
        <v>50</v>
      </c>
      <c r="D8868" t="s">
        <v>3157</v>
      </c>
      <c r="E8868" t="s">
        <v>255</v>
      </c>
      <c r="F8868" t="s">
        <v>670</v>
      </c>
      <c r="G8868" t="s">
        <v>54</v>
      </c>
      <c r="H8868" t="str">
        <f>" "</f>
        <v xml:space="preserve"> </v>
      </c>
      <c r="N8868" t="s">
        <v>615</v>
      </c>
      <c r="O8868" t="s">
        <v>616</v>
      </c>
      <c r="R8868" t="s">
        <v>57</v>
      </c>
      <c r="S8868">
        <v>8</v>
      </c>
      <c r="T8868">
        <v>218</v>
      </c>
      <c r="U8868" s="1">
        <v>37134</v>
      </c>
      <c r="V8868" t="s">
        <v>66</v>
      </c>
      <c r="W8868" t="s">
        <v>67</v>
      </c>
      <c r="X8868" t="s">
        <v>58</v>
      </c>
      <c r="Y8868">
        <v>22</v>
      </c>
      <c r="Z8868" t="s">
        <v>59</v>
      </c>
      <c r="AA8868" t="s">
        <v>59</v>
      </c>
      <c r="AB8868" t="s">
        <v>59</v>
      </c>
      <c r="AC8868" t="s">
        <v>59</v>
      </c>
      <c r="AD8868" t="s">
        <v>59</v>
      </c>
      <c r="AF8868" s="1">
        <v>37138</v>
      </c>
      <c r="AG8868" t="s">
        <v>8645</v>
      </c>
      <c r="AH8868" t="s">
        <v>8646</v>
      </c>
      <c r="AI8868" t="str">
        <f>"9410226"</f>
        <v>9410226</v>
      </c>
      <c r="AJ8868" t="s">
        <v>12702</v>
      </c>
      <c r="AK8868">
        <v>2831071088</v>
      </c>
      <c r="AL8868" t="s">
        <v>12703</v>
      </c>
      <c r="AM8868" t="s">
        <v>64</v>
      </c>
      <c r="AN8868" t="s">
        <v>65</v>
      </c>
      <c r="AO8868" t="s">
        <v>12694</v>
      </c>
      <c r="AP8868" t="s">
        <v>12704</v>
      </c>
      <c r="AQ8868">
        <v>3</v>
      </c>
      <c r="AR8868" t="s">
        <v>66</v>
      </c>
      <c r="AS8868" t="s">
        <v>67</v>
      </c>
      <c r="AT8868" t="s">
        <v>58</v>
      </c>
      <c r="AU8868" t="s">
        <v>68</v>
      </c>
      <c r="AV8868" t="s">
        <v>69</v>
      </c>
      <c r="AW8868" s="1">
        <v>28007</v>
      </c>
      <c r="AX8868">
        <v>1</v>
      </c>
    </row>
    <row r="8869" spans="1:50">
      <c r="A8869">
        <v>552390</v>
      </c>
      <c r="B8869" t="str">
        <f>"120006780"</f>
        <v>120006780</v>
      </c>
      <c r="C8869" t="s">
        <v>50</v>
      </c>
      <c r="D8869" t="s">
        <v>3157</v>
      </c>
      <c r="E8869" t="s">
        <v>215</v>
      </c>
      <c r="F8869" t="s">
        <v>106</v>
      </c>
      <c r="G8869" t="s">
        <v>83</v>
      </c>
      <c r="H8869" t="str">
        <f>" "</f>
        <v xml:space="preserve"> </v>
      </c>
      <c r="N8869" t="s">
        <v>1525</v>
      </c>
      <c r="O8869" t="s">
        <v>1526</v>
      </c>
      <c r="R8869" t="s">
        <v>57</v>
      </c>
      <c r="S8869">
        <v>16</v>
      </c>
      <c r="T8869">
        <v>271</v>
      </c>
      <c r="U8869" s="1">
        <v>30923</v>
      </c>
      <c r="V8869" t="s">
        <v>66</v>
      </c>
      <c r="W8869" t="s">
        <v>67</v>
      </c>
      <c r="X8869" t="s">
        <v>58</v>
      </c>
      <c r="Y8869">
        <v>25</v>
      </c>
      <c r="Z8869" t="s">
        <v>59</v>
      </c>
      <c r="AA8869" t="s">
        <v>59</v>
      </c>
      <c r="AB8869" t="s">
        <v>59</v>
      </c>
      <c r="AC8869" t="s">
        <v>59</v>
      </c>
      <c r="AD8869" t="s">
        <v>59</v>
      </c>
      <c r="AF8869" s="1">
        <v>30928</v>
      </c>
      <c r="AG8869" t="s">
        <v>8651</v>
      </c>
      <c r="AH8869" t="s">
        <v>8652</v>
      </c>
      <c r="AI8869" t="str">
        <f>"9410205"</f>
        <v>9410205</v>
      </c>
      <c r="AJ8869" t="s">
        <v>13429</v>
      </c>
      <c r="AK8869">
        <v>2831031637</v>
      </c>
      <c r="AL8869" t="s">
        <v>13430</v>
      </c>
      <c r="AM8869" t="s">
        <v>64</v>
      </c>
      <c r="AN8869" t="s">
        <v>65</v>
      </c>
      <c r="AO8869" t="s">
        <v>5720</v>
      </c>
      <c r="AP8869" t="s">
        <v>5721</v>
      </c>
      <c r="AQ8869">
        <v>2</v>
      </c>
      <c r="AR8869" t="s">
        <v>66</v>
      </c>
      <c r="AS8869" t="s">
        <v>67</v>
      </c>
      <c r="AT8869" t="s">
        <v>58</v>
      </c>
      <c r="AU8869" t="s">
        <v>68</v>
      </c>
      <c r="AV8869" t="s">
        <v>69</v>
      </c>
      <c r="AW8869" s="1">
        <v>21921</v>
      </c>
      <c r="AX8869">
        <v>1</v>
      </c>
    </row>
    <row r="8870" spans="1:50">
      <c r="A8870">
        <v>599522</v>
      </c>
      <c r="B8870" t="str">
        <f>"109144814"</f>
        <v>109144814</v>
      </c>
      <c r="C8870" t="s">
        <v>50</v>
      </c>
      <c r="D8870" t="s">
        <v>3157</v>
      </c>
      <c r="E8870" t="s">
        <v>922</v>
      </c>
      <c r="F8870" t="s">
        <v>5974</v>
      </c>
      <c r="G8870" t="s">
        <v>52</v>
      </c>
      <c r="H8870" t="str">
        <f>" "</f>
        <v xml:space="preserve"> </v>
      </c>
      <c r="J8870">
        <v>2834022767</v>
      </c>
      <c r="L8870">
        <v>2831057746</v>
      </c>
      <c r="N8870" t="s">
        <v>615</v>
      </c>
      <c r="O8870" t="s">
        <v>616</v>
      </c>
      <c r="R8870" t="s">
        <v>57</v>
      </c>
      <c r="S8870">
        <v>8</v>
      </c>
      <c r="T8870">
        <v>195</v>
      </c>
      <c r="U8870" s="1">
        <v>37497</v>
      </c>
      <c r="V8870" t="s">
        <v>66</v>
      </c>
      <c r="W8870" t="s">
        <v>67</v>
      </c>
      <c r="X8870" t="s">
        <v>58</v>
      </c>
      <c r="Y8870">
        <v>22</v>
      </c>
      <c r="Z8870" t="s">
        <v>59</v>
      </c>
      <c r="AA8870" t="s">
        <v>59</v>
      </c>
      <c r="AB8870" t="s">
        <v>59</v>
      </c>
      <c r="AC8870" t="s">
        <v>59</v>
      </c>
      <c r="AD8870" t="s">
        <v>59</v>
      </c>
      <c r="AF8870" s="1">
        <v>37503</v>
      </c>
      <c r="AG8870" t="s">
        <v>8645</v>
      </c>
      <c r="AH8870" t="s">
        <v>8646</v>
      </c>
      <c r="AI8870" t="str">
        <f>"9410072"</f>
        <v>9410072</v>
      </c>
      <c r="AJ8870" t="s">
        <v>12692</v>
      </c>
      <c r="AK8870">
        <v>2831071264</v>
      </c>
      <c r="AL8870" t="s">
        <v>12693</v>
      </c>
      <c r="AM8870" t="s">
        <v>64</v>
      </c>
      <c r="AN8870" t="s">
        <v>65</v>
      </c>
      <c r="AO8870" t="s">
        <v>12694</v>
      </c>
      <c r="AP8870" t="s">
        <v>12695</v>
      </c>
      <c r="AQ8870">
        <v>3</v>
      </c>
      <c r="AR8870" t="s">
        <v>66</v>
      </c>
      <c r="AS8870" t="s">
        <v>67</v>
      </c>
      <c r="AT8870" t="s">
        <v>58</v>
      </c>
      <c r="AU8870" t="s">
        <v>68</v>
      </c>
      <c r="AV8870" t="s">
        <v>69</v>
      </c>
      <c r="AW8870" s="1">
        <v>25867</v>
      </c>
      <c r="AX8870">
        <v>1</v>
      </c>
    </row>
    <row r="8871" spans="1:50">
      <c r="A8871">
        <v>601231</v>
      </c>
      <c r="B8871" t="str">
        <f>"078580849"</f>
        <v>078580849</v>
      </c>
      <c r="C8871" t="s">
        <v>50</v>
      </c>
      <c r="D8871" t="s">
        <v>3157</v>
      </c>
      <c r="E8871" t="s">
        <v>52</v>
      </c>
      <c r="F8871" t="s">
        <v>643</v>
      </c>
      <c r="G8871" t="s">
        <v>1114</v>
      </c>
      <c r="H8871" t="str">
        <f>" "</f>
        <v xml:space="preserve"> </v>
      </c>
      <c r="J8871">
        <v>2831071730</v>
      </c>
      <c r="K8871">
        <v>6945706877</v>
      </c>
      <c r="N8871" t="s">
        <v>615</v>
      </c>
      <c r="O8871" t="s">
        <v>616</v>
      </c>
      <c r="R8871" t="s">
        <v>57</v>
      </c>
      <c r="S8871">
        <v>8</v>
      </c>
      <c r="T8871">
        <v>207</v>
      </c>
      <c r="U8871" s="1">
        <v>37866</v>
      </c>
      <c r="V8871" t="s">
        <v>66</v>
      </c>
      <c r="W8871" t="s">
        <v>67</v>
      </c>
      <c r="X8871" t="s">
        <v>58</v>
      </c>
      <c r="Y8871">
        <v>22</v>
      </c>
      <c r="Z8871" t="s">
        <v>59</v>
      </c>
      <c r="AA8871" t="s">
        <v>59</v>
      </c>
      <c r="AB8871" t="s">
        <v>59</v>
      </c>
      <c r="AC8871" t="s">
        <v>59</v>
      </c>
      <c r="AD8871" t="s">
        <v>59</v>
      </c>
      <c r="AF8871" s="1">
        <v>37866</v>
      </c>
      <c r="AG8871" t="s">
        <v>8645</v>
      </c>
      <c r="AH8871" t="s">
        <v>8646</v>
      </c>
      <c r="AI8871" t="str">
        <f>"9410072"</f>
        <v>9410072</v>
      </c>
      <c r="AJ8871" t="s">
        <v>12692</v>
      </c>
      <c r="AK8871">
        <v>2831071264</v>
      </c>
      <c r="AL8871" t="s">
        <v>12693</v>
      </c>
      <c r="AM8871" t="s">
        <v>64</v>
      </c>
      <c r="AN8871" t="s">
        <v>65</v>
      </c>
      <c r="AO8871" t="s">
        <v>12694</v>
      </c>
      <c r="AP8871" t="s">
        <v>12695</v>
      </c>
      <c r="AQ8871">
        <v>3</v>
      </c>
      <c r="AR8871" t="s">
        <v>66</v>
      </c>
      <c r="AS8871" t="s">
        <v>67</v>
      </c>
      <c r="AT8871" t="s">
        <v>58</v>
      </c>
      <c r="AU8871" t="s">
        <v>68</v>
      </c>
      <c r="AV8871" t="s">
        <v>69</v>
      </c>
      <c r="AW8871" s="1">
        <v>26978</v>
      </c>
      <c r="AX8871">
        <v>1</v>
      </c>
    </row>
    <row r="8872" spans="1:50">
      <c r="A8872">
        <v>587120</v>
      </c>
      <c r="B8872" t="str">
        <f>"043735864"</f>
        <v>043735864</v>
      </c>
      <c r="C8872" t="s">
        <v>50</v>
      </c>
      <c r="D8872" t="s">
        <v>3157</v>
      </c>
      <c r="E8872" t="s">
        <v>188</v>
      </c>
      <c r="F8872" t="s">
        <v>53</v>
      </c>
      <c r="G8872" t="s">
        <v>52</v>
      </c>
      <c r="H8872" t="str">
        <f>"Κ.ΠΑΛΑΜΑ 4 ΡΕΘΥΜΝΟ"</f>
        <v>Κ.ΠΑΛΑΜΑ 4 ΡΕΘΥΜΝΟ</v>
      </c>
      <c r="I8872">
        <v>74100</v>
      </c>
      <c r="J8872">
        <v>2831051752</v>
      </c>
      <c r="K8872">
        <v>6978208377</v>
      </c>
      <c r="M8872" t="s">
        <v>13503</v>
      </c>
      <c r="N8872" t="s">
        <v>1525</v>
      </c>
      <c r="O8872" t="s">
        <v>1526</v>
      </c>
      <c r="R8872" t="s">
        <v>57</v>
      </c>
      <c r="S8872">
        <v>10</v>
      </c>
      <c r="T8872">
        <v>165</v>
      </c>
      <c r="U8872" s="1">
        <v>36040</v>
      </c>
      <c r="V8872" t="s">
        <v>66</v>
      </c>
      <c r="W8872" t="s">
        <v>67</v>
      </c>
      <c r="X8872" t="s">
        <v>58</v>
      </c>
      <c r="Y8872">
        <v>25</v>
      </c>
      <c r="Z8872" t="s">
        <v>59</v>
      </c>
      <c r="AA8872" t="s">
        <v>59</v>
      </c>
      <c r="AB8872" t="s">
        <v>59</v>
      </c>
      <c r="AC8872" t="s">
        <v>59</v>
      </c>
      <c r="AD8872" t="s">
        <v>59</v>
      </c>
      <c r="AF8872" s="1">
        <v>36045</v>
      </c>
      <c r="AG8872" t="s">
        <v>8651</v>
      </c>
      <c r="AH8872" t="s">
        <v>8652</v>
      </c>
      <c r="AI8872" t="str">
        <f>"9410066"</f>
        <v>9410066</v>
      </c>
      <c r="AJ8872" t="s">
        <v>12859</v>
      </c>
      <c r="AK8872">
        <v>2831023745</v>
      </c>
      <c r="AL8872" t="s">
        <v>12860</v>
      </c>
      <c r="AM8872" t="s">
        <v>64</v>
      </c>
      <c r="AN8872" t="s">
        <v>65</v>
      </c>
      <c r="AO8872" t="s">
        <v>65</v>
      </c>
      <c r="AP8872" t="s">
        <v>65</v>
      </c>
      <c r="AQ8872">
        <v>1</v>
      </c>
      <c r="AR8872" t="s">
        <v>66</v>
      </c>
      <c r="AS8872" t="s">
        <v>67</v>
      </c>
      <c r="AT8872" t="s">
        <v>58</v>
      </c>
      <c r="AU8872" t="s">
        <v>68</v>
      </c>
      <c r="AV8872" t="s">
        <v>69</v>
      </c>
      <c r="AW8872" s="1">
        <v>23716</v>
      </c>
      <c r="AX8872">
        <v>1</v>
      </c>
    </row>
    <row r="8873" spans="1:50">
      <c r="A8873">
        <v>580426</v>
      </c>
      <c r="B8873" t="str">
        <f>"073527091"</f>
        <v>073527091</v>
      </c>
      <c r="C8873" t="s">
        <v>105</v>
      </c>
      <c r="D8873" t="s">
        <v>3190</v>
      </c>
      <c r="E8873" t="s">
        <v>166</v>
      </c>
      <c r="F8873" t="s">
        <v>383</v>
      </c>
      <c r="G8873" t="s">
        <v>7355</v>
      </c>
      <c r="H8873" t="str">
        <f>"ΕΡΕΣΣΟΥ 26 ΝΕΑΠΟΛΙΣ"</f>
        <v>ΕΡΕΣΣΟΥ 26 ΝΕΑΠΟΛΙΣ</v>
      </c>
      <c r="I8873">
        <v>10680</v>
      </c>
      <c r="J8873">
        <v>2103610938</v>
      </c>
      <c r="K8873">
        <v>6944266912</v>
      </c>
      <c r="M8873" t="s">
        <v>13504</v>
      </c>
      <c r="N8873" t="s">
        <v>337</v>
      </c>
      <c r="O8873" t="s">
        <v>338</v>
      </c>
      <c r="R8873" t="s">
        <v>57</v>
      </c>
      <c r="S8873">
        <v>11</v>
      </c>
      <c r="T8873">
        <v>65</v>
      </c>
      <c r="U8873" s="1">
        <v>35146</v>
      </c>
      <c r="V8873" t="s">
        <v>66</v>
      </c>
      <c r="W8873" t="s">
        <v>67</v>
      </c>
      <c r="X8873" t="s">
        <v>58</v>
      </c>
      <c r="Y8873">
        <v>21</v>
      </c>
      <c r="Z8873" t="s">
        <v>59</v>
      </c>
      <c r="AA8873" t="s">
        <v>59</v>
      </c>
      <c r="AB8873" t="s">
        <v>59</v>
      </c>
      <c r="AC8873" t="s">
        <v>59</v>
      </c>
      <c r="AD8873" t="s">
        <v>59</v>
      </c>
      <c r="AF8873" s="1">
        <v>35146</v>
      </c>
      <c r="AG8873" t="s">
        <v>8645</v>
      </c>
      <c r="AH8873" t="s">
        <v>8646</v>
      </c>
      <c r="AI8873" t="str">
        <f>"9410241"</f>
        <v>9410241</v>
      </c>
      <c r="AJ8873" t="s">
        <v>12783</v>
      </c>
      <c r="AK8873">
        <v>2831022616</v>
      </c>
      <c r="AL8873" t="s">
        <v>12784</v>
      </c>
      <c r="AM8873" t="s">
        <v>64</v>
      </c>
      <c r="AN8873" t="s">
        <v>65</v>
      </c>
      <c r="AO8873" t="s">
        <v>65</v>
      </c>
      <c r="AP8873" t="s">
        <v>65</v>
      </c>
      <c r="AQ8873">
        <v>1</v>
      </c>
      <c r="AR8873" t="s">
        <v>66</v>
      </c>
      <c r="AS8873" t="s">
        <v>67</v>
      </c>
      <c r="AT8873" t="s">
        <v>58</v>
      </c>
      <c r="AU8873" t="s">
        <v>68</v>
      </c>
      <c r="AV8873" t="s">
        <v>69</v>
      </c>
      <c r="AW8873" s="1">
        <v>25559</v>
      </c>
      <c r="AX8873">
        <v>1</v>
      </c>
    </row>
    <row r="8874" spans="1:50">
      <c r="A8874">
        <v>618661</v>
      </c>
      <c r="B8874" t="str">
        <f>"118826128"</f>
        <v>118826128</v>
      </c>
      <c r="C8874" t="s">
        <v>105</v>
      </c>
      <c r="D8874" t="s">
        <v>8058</v>
      </c>
      <c r="E8874" t="s">
        <v>95</v>
      </c>
      <c r="F8874" t="s">
        <v>84</v>
      </c>
      <c r="G8874" t="s">
        <v>1114</v>
      </c>
      <c r="H8874" t="str">
        <f>"ΚΟΝΔΥΛΑΚΗ  Ι.  71 ΗΡΑΚΛΕΙΟ"</f>
        <v>ΚΟΝΔΥΛΑΚΗ  Ι.  71 ΗΡΑΚΛΕΙΟ</v>
      </c>
      <c r="I8874">
        <v>71305</v>
      </c>
      <c r="J8874">
        <v>2810260686</v>
      </c>
      <c r="K8874">
        <v>6946621810</v>
      </c>
      <c r="M8874" t="s">
        <v>13505</v>
      </c>
      <c r="N8874" t="s">
        <v>615</v>
      </c>
      <c r="O8874" t="s">
        <v>616</v>
      </c>
      <c r="R8874" t="s">
        <v>57</v>
      </c>
      <c r="S8874">
        <v>5</v>
      </c>
      <c r="T8874">
        <v>774</v>
      </c>
      <c r="U8874" s="1">
        <v>39680</v>
      </c>
      <c r="V8874" t="s">
        <v>66</v>
      </c>
      <c r="W8874" t="s">
        <v>67</v>
      </c>
      <c r="X8874" t="s">
        <v>58</v>
      </c>
      <c r="Y8874">
        <v>25</v>
      </c>
      <c r="Z8874" t="s">
        <v>59</v>
      </c>
      <c r="AA8874" t="s">
        <v>59</v>
      </c>
      <c r="AB8874" t="s">
        <v>59</v>
      </c>
      <c r="AC8874" t="s">
        <v>59</v>
      </c>
      <c r="AD8874" t="s">
        <v>59</v>
      </c>
      <c r="AF8874" s="1">
        <v>39681</v>
      </c>
      <c r="AG8874" t="s">
        <v>8645</v>
      </c>
      <c r="AH8874" t="s">
        <v>8676</v>
      </c>
      <c r="AI8874" t="str">
        <f>"9410054"</f>
        <v>9410054</v>
      </c>
      <c r="AJ8874" t="s">
        <v>13216</v>
      </c>
      <c r="AK8874">
        <v>2834094098</v>
      </c>
      <c r="AL8874" t="s">
        <v>13217</v>
      </c>
      <c r="AM8874" t="s">
        <v>64</v>
      </c>
      <c r="AN8874" t="s">
        <v>5672</v>
      </c>
      <c r="AO8874" t="s">
        <v>5673</v>
      </c>
      <c r="AP8874" t="s">
        <v>12853</v>
      </c>
      <c r="AQ8874">
        <v>10</v>
      </c>
      <c r="AR8874" t="s">
        <v>66</v>
      </c>
      <c r="AS8874" t="s">
        <v>67</v>
      </c>
      <c r="AT8874" t="s">
        <v>58</v>
      </c>
      <c r="AU8874" t="s">
        <v>68</v>
      </c>
      <c r="AV8874" t="s">
        <v>69</v>
      </c>
      <c r="AW8874" s="1">
        <v>29521</v>
      </c>
      <c r="AX8874">
        <v>1</v>
      </c>
    </row>
    <row r="8875" spans="1:50">
      <c r="B8875" t="str">
        <f>"120437529"</f>
        <v>120437529</v>
      </c>
      <c r="C8875" t="s">
        <v>50</v>
      </c>
      <c r="D8875" t="s">
        <v>8058</v>
      </c>
      <c r="E8875" t="s">
        <v>396</v>
      </c>
      <c r="F8875" t="s">
        <v>72</v>
      </c>
      <c r="G8875" t="s">
        <v>950</v>
      </c>
      <c r="H8875" t="str">
        <f>"ΜΕΤΑΜΟΡΦΩΣΕΩΣ 101 "</f>
        <v xml:space="preserve">ΜΕΤΑΜΟΡΦΩΣΕΩΣ 101 </v>
      </c>
      <c r="I8875">
        <v>38333</v>
      </c>
      <c r="J8875">
        <v>2421045789</v>
      </c>
      <c r="K8875">
        <v>6973854755</v>
      </c>
      <c r="N8875" t="s">
        <v>1525</v>
      </c>
      <c r="O8875" t="s">
        <v>1526</v>
      </c>
      <c r="R8875" t="s">
        <v>159</v>
      </c>
      <c r="S8875">
        <v>5</v>
      </c>
      <c r="T8875" t="s">
        <v>8670</v>
      </c>
      <c r="U8875" s="1">
        <v>43348</v>
      </c>
      <c r="V8875" t="s">
        <v>66</v>
      </c>
      <c r="W8875" t="s">
        <v>67</v>
      </c>
      <c r="X8875" t="s">
        <v>58</v>
      </c>
      <c r="Y8875">
        <v>25</v>
      </c>
      <c r="Z8875" t="s">
        <v>59</v>
      </c>
      <c r="AA8875" t="s">
        <v>59</v>
      </c>
      <c r="AB8875" t="s">
        <v>59</v>
      </c>
      <c r="AC8875" t="s">
        <v>59</v>
      </c>
      <c r="AD8875" t="s">
        <v>59</v>
      </c>
      <c r="AF8875" s="1">
        <v>43348</v>
      </c>
      <c r="AG8875" t="s">
        <v>8651</v>
      </c>
      <c r="AH8875" t="s">
        <v>8652</v>
      </c>
      <c r="AI8875" t="str">
        <f>"9410253"</f>
        <v>9410253</v>
      </c>
      <c r="AJ8875" t="s">
        <v>13506</v>
      </c>
      <c r="AK8875">
        <v>2834091414</v>
      </c>
      <c r="AL8875" t="s">
        <v>13507</v>
      </c>
      <c r="AM8875" t="s">
        <v>64</v>
      </c>
      <c r="AN8875" t="s">
        <v>5672</v>
      </c>
      <c r="AO8875" t="s">
        <v>5673</v>
      </c>
      <c r="AP8875" t="s">
        <v>13021</v>
      </c>
      <c r="AQ8875">
        <v>7</v>
      </c>
      <c r="AR8875" t="s">
        <v>66</v>
      </c>
      <c r="AS8875" t="s">
        <v>67</v>
      </c>
      <c r="AT8875" t="s">
        <v>58</v>
      </c>
      <c r="AU8875" t="s">
        <v>8673</v>
      </c>
      <c r="AV8875" t="s">
        <v>132</v>
      </c>
      <c r="AW8875" s="1">
        <v>28319</v>
      </c>
      <c r="AX8875">
        <v>1</v>
      </c>
    </row>
    <row r="8876" spans="1:50">
      <c r="A8876">
        <v>602746</v>
      </c>
      <c r="B8876" t="str">
        <f>"066605857"</f>
        <v>066605857</v>
      </c>
      <c r="C8876" t="s">
        <v>50</v>
      </c>
      <c r="D8876" t="s">
        <v>6346</v>
      </c>
      <c r="E8876" t="s">
        <v>96</v>
      </c>
      <c r="F8876" t="s">
        <v>95</v>
      </c>
      <c r="G8876" t="s">
        <v>1189</v>
      </c>
      <c r="H8876" t="str">
        <f>"ΑΤΣΙΠΟΠΟΥΛΟ ΡΕΘΥΜΝΟ"</f>
        <v>ΑΤΣΙΠΟΠΟΥΛΟ ΡΕΘΥΜΝΟ</v>
      </c>
      <c r="I8876">
        <v>74100</v>
      </c>
      <c r="J8876">
        <v>2831031629</v>
      </c>
      <c r="K8876">
        <v>6947932976</v>
      </c>
      <c r="N8876" t="s">
        <v>615</v>
      </c>
      <c r="O8876" t="s">
        <v>616</v>
      </c>
      <c r="R8876" t="s">
        <v>57</v>
      </c>
      <c r="S8876">
        <v>8</v>
      </c>
      <c r="T8876">
        <v>207</v>
      </c>
      <c r="U8876" s="1">
        <v>37502</v>
      </c>
      <c r="V8876" t="s">
        <v>66</v>
      </c>
      <c r="W8876" t="s">
        <v>67</v>
      </c>
      <c r="X8876" t="s">
        <v>58</v>
      </c>
      <c r="Y8876">
        <v>22</v>
      </c>
      <c r="Z8876" t="s">
        <v>59</v>
      </c>
      <c r="AA8876" t="s">
        <v>59</v>
      </c>
      <c r="AB8876" t="s">
        <v>59</v>
      </c>
      <c r="AC8876" t="s">
        <v>59</v>
      </c>
      <c r="AD8876" t="s">
        <v>59</v>
      </c>
      <c r="AF8876" s="1">
        <v>37866</v>
      </c>
      <c r="AG8876" t="s">
        <v>8645</v>
      </c>
      <c r="AH8876" t="s">
        <v>8646</v>
      </c>
      <c r="AI8876" t="str">
        <f>"9521348"</f>
        <v>9521348</v>
      </c>
      <c r="AJ8876" t="s">
        <v>12714</v>
      </c>
      <c r="AK8876">
        <v>2831021334</v>
      </c>
      <c r="AL8876" t="s">
        <v>12715</v>
      </c>
      <c r="AM8876" t="s">
        <v>64</v>
      </c>
      <c r="AN8876" t="s">
        <v>65</v>
      </c>
      <c r="AO8876" t="s">
        <v>5720</v>
      </c>
      <c r="AP8876" t="s">
        <v>5721</v>
      </c>
      <c r="AQ8876">
        <v>2</v>
      </c>
      <c r="AR8876" t="s">
        <v>66</v>
      </c>
      <c r="AS8876" t="s">
        <v>67</v>
      </c>
      <c r="AT8876" t="s">
        <v>58</v>
      </c>
      <c r="AU8876" t="s">
        <v>68</v>
      </c>
      <c r="AV8876" t="s">
        <v>69</v>
      </c>
      <c r="AW8876" s="1">
        <v>28377</v>
      </c>
      <c r="AX8876">
        <v>1</v>
      </c>
    </row>
    <row r="8877" spans="1:50">
      <c r="A8877">
        <v>559354</v>
      </c>
      <c r="B8877" t="str">
        <f>"026344425"</f>
        <v>026344425</v>
      </c>
      <c r="C8877" t="s">
        <v>105</v>
      </c>
      <c r="D8877" t="s">
        <v>3212</v>
      </c>
      <c r="E8877" t="s">
        <v>72</v>
      </c>
      <c r="F8877" t="s">
        <v>760</v>
      </c>
      <c r="G8877" t="s">
        <v>96</v>
      </c>
      <c r="H8877" t="str">
        <f>" "</f>
        <v xml:space="preserve"> </v>
      </c>
      <c r="N8877" t="s">
        <v>615</v>
      </c>
      <c r="O8877" t="s">
        <v>616</v>
      </c>
      <c r="R8877" t="s">
        <v>57</v>
      </c>
      <c r="S8877">
        <v>16</v>
      </c>
      <c r="T8877">
        <v>168</v>
      </c>
      <c r="U8877" s="1">
        <v>32010</v>
      </c>
      <c r="V8877" t="s">
        <v>66</v>
      </c>
      <c r="W8877" t="s">
        <v>67</v>
      </c>
      <c r="X8877" t="s">
        <v>58</v>
      </c>
      <c r="Y8877">
        <v>21</v>
      </c>
      <c r="Z8877" t="s">
        <v>59</v>
      </c>
      <c r="AA8877" t="s">
        <v>59</v>
      </c>
      <c r="AB8877" t="s">
        <v>59</v>
      </c>
      <c r="AC8877" t="s">
        <v>59</v>
      </c>
      <c r="AD8877" t="s">
        <v>59</v>
      </c>
      <c r="AF8877" s="1">
        <v>32021</v>
      </c>
      <c r="AG8877" t="s">
        <v>8645</v>
      </c>
      <c r="AH8877" t="s">
        <v>8646</v>
      </c>
      <c r="AI8877" t="str">
        <f>"9410061"</f>
        <v>9410061</v>
      </c>
      <c r="AJ8877" t="s">
        <v>12760</v>
      </c>
      <c r="AK8877">
        <v>2831024378</v>
      </c>
      <c r="AL8877" t="s">
        <v>12761</v>
      </c>
      <c r="AM8877" t="s">
        <v>64</v>
      </c>
      <c r="AN8877" t="s">
        <v>65</v>
      </c>
      <c r="AO8877" t="s">
        <v>65</v>
      </c>
      <c r="AP8877" t="s">
        <v>65</v>
      </c>
      <c r="AQ8877">
        <v>1</v>
      </c>
      <c r="AR8877" t="s">
        <v>66</v>
      </c>
      <c r="AS8877" t="s">
        <v>67</v>
      </c>
      <c r="AT8877" t="s">
        <v>58</v>
      </c>
      <c r="AU8877" t="s">
        <v>68</v>
      </c>
      <c r="AV8877" t="s">
        <v>69</v>
      </c>
      <c r="AW8877" s="1">
        <v>21213</v>
      </c>
      <c r="AX8877">
        <v>1</v>
      </c>
    </row>
    <row r="8878" spans="1:50">
      <c r="B8878" t="str">
        <f>"065736663"</f>
        <v>065736663</v>
      </c>
      <c r="C8878" t="s">
        <v>50</v>
      </c>
      <c r="D8878" t="s">
        <v>3219</v>
      </c>
      <c r="E8878" t="s">
        <v>83</v>
      </c>
      <c r="F8878" t="s">
        <v>53</v>
      </c>
      <c r="G8878" t="s">
        <v>52</v>
      </c>
      <c r="H8878" t="str">
        <f>"ΕΛΕΥΘΕΡΙΟΥ ΒΕΝΙΖΕΛΟΥ 69 ΑΘΗΝΑ"</f>
        <v>ΕΛΕΥΘΕΡΙΟΥ ΒΕΝΙΖΕΛΟΥ 69 ΑΘΗΝΑ</v>
      </c>
      <c r="I8878">
        <v>15238</v>
      </c>
      <c r="J8878">
        <v>2106016892</v>
      </c>
      <c r="K8878">
        <v>6979250960</v>
      </c>
      <c r="M8878" t="s">
        <v>13508</v>
      </c>
      <c r="N8878" t="s">
        <v>204</v>
      </c>
      <c r="O8878" t="s">
        <v>205</v>
      </c>
      <c r="R8878" t="s">
        <v>159</v>
      </c>
      <c r="S8878">
        <v>2</v>
      </c>
      <c r="T8878" t="s">
        <v>8675</v>
      </c>
      <c r="U8878" s="1">
        <v>43348</v>
      </c>
      <c r="V8878" t="s">
        <v>66</v>
      </c>
      <c r="W8878" t="s">
        <v>67</v>
      </c>
      <c r="X8878" t="s">
        <v>58</v>
      </c>
      <c r="Y8878">
        <v>24</v>
      </c>
      <c r="Z8878" t="s">
        <v>59</v>
      </c>
      <c r="AA8878" t="s">
        <v>59</v>
      </c>
      <c r="AB8878" t="s">
        <v>59</v>
      </c>
      <c r="AC8878" t="s">
        <v>59</v>
      </c>
      <c r="AD8878" t="s">
        <v>59</v>
      </c>
      <c r="AF8878" s="1">
        <v>43348</v>
      </c>
      <c r="AG8878" t="s">
        <v>8645</v>
      </c>
      <c r="AH8878" t="s">
        <v>8646</v>
      </c>
      <c r="AI8878" t="str">
        <f>"9410152"</f>
        <v>9410152</v>
      </c>
      <c r="AJ8878" t="s">
        <v>12686</v>
      </c>
      <c r="AK8878">
        <v>2831029088</v>
      </c>
      <c r="AL8878" t="s">
        <v>12687</v>
      </c>
      <c r="AM8878" t="s">
        <v>64</v>
      </c>
      <c r="AN8878" t="s">
        <v>65</v>
      </c>
      <c r="AO8878" t="s">
        <v>65</v>
      </c>
      <c r="AP8878" t="s">
        <v>65</v>
      </c>
      <c r="AQ8878">
        <v>1</v>
      </c>
      <c r="AR8878" t="s">
        <v>66</v>
      </c>
      <c r="AS8878" t="s">
        <v>67</v>
      </c>
      <c r="AT8878" t="s">
        <v>58</v>
      </c>
      <c r="AU8878" t="s">
        <v>8673</v>
      </c>
      <c r="AV8878" t="s">
        <v>132</v>
      </c>
      <c r="AW8878" s="1">
        <v>26938</v>
      </c>
      <c r="AX8878">
        <v>1</v>
      </c>
    </row>
    <row r="8879" spans="1:50">
      <c r="A8879">
        <v>558016</v>
      </c>
      <c r="B8879" t="str">
        <f>"034699795"</f>
        <v>034699795</v>
      </c>
      <c r="C8879" t="s">
        <v>105</v>
      </c>
      <c r="D8879" t="s">
        <v>3225</v>
      </c>
      <c r="E8879" t="s">
        <v>99</v>
      </c>
      <c r="F8879" t="s">
        <v>154</v>
      </c>
      <c r="G8879" t="s">
        <v>610</v>
      </c>
      <c r="H8879" t="str">
        <f>" "</f>
        <v xml:space="preserve"> </v>
      </c>
      <c r="J8879">
        <v>2831050954</v>
      </c>
      <c r="K8879">
        <v>6979479813</v>
      </c>
      <c r="L8879">
        <v>2831024378</v>
      </c>
      <c r="M8879" t="s">
        <v>13509</v>
      </c>
      <c r="N8879" t="s">
        <v>615</v>
      </c>
      <c r="O8879" t="s">
        <v>616</v>
      </c>
      <c r="R8879" t="s">
        <v>57</v>
      </c>
      <c r="S8879">
        <v>15</v>
      </c>
      <c r="T8879">
        <v>168</v>
      </c>
      <c r="U8879" s="1">
        <v>32010</v>
      </c>
      <c r="V8879" t="s">
        <v>66</v>
      </c>
      <c r="W8879" t="s">
        <v>67</v>
      </c>
      <c r="X8879" t="s">
        <v>58</v>
      </c>
      <c r="Y8879">
        <v>21</v>
      </c>
      <c r="Z8879" t="s">
        <v>59</v>
      </c>
      <c r="AA8879" t="s">
        <v>59</v>
      </c>
      <c r="AB8879" t="s">
        <v>59</v>
      </c>
      <c r="AC8879" t="s">
        <v>59</v>
      </c>
      <c r="AD8879" t="s">
        <v>59</v>
      </c>
      <c r="AF8879" s="1">
        <v>32023</v>
      </c>
      <c r="AG8879" t="s">
        <v>8645</v>
      </c>
      <c r="AH8879" t="s">
        <v>8646</v>
      </c>
      <c r="AI8879" t="str">
        <f>"9410166"</f>
        <v>9410166</v>
      </c>
      <c r="AJ8879" t="s">
        <v>12666</v>
      </c>
      <c r="AK8879">
        <v>2831031311</v>
      </c>
      <c r="AL8879" t="s">
        <v>12667</v>
      </c>
      <c r="AM8879" t="s">
        <v>64</v>
      </c>
      <c r="AN8879" t="s">
        <v>65</v>
      </c>
      <c r="AO8879" t="s">
        <v>5720</v>
      </c>
      <c r="AP8879" t="s">
        <v>5721</v>
      </c>
      <c r="AQ8879">
        <v>2</v>
      </c>
      <c r="AR8879" t="s">
        <v>66</v>
      </c>
      <c r="AS8879" t="s">
        <v>67</v>
      </c>
      <c r="AT8879" t="s">
        <v>58</v>
      </c>
      <c r="AU8879" t="s">
        <v>68</v>
      </c>
      <c r="AV8879" t="s">
        <v>69</v>
      </c>
      <c r="AW8879" s="1">
        <v>23464</v>
      </c>
      <c r="AX8879">
        <v>1</v>
      </c>
    </row>
    <row r="8880" spans="1:50">
      <c r="A8880">
        <v>617770</v>
      </c>
      <c r="B8880" t="str">
        <f>"131460692"</f>
        <v>131460692</v>
      </c>
      <c r="C8880" t="s">
        <v>50</v>
      </c>
      <c r="D8880" t="s">
        <v>11023</v>
      </c>
      <c r="E8880" t="s">
        <v>112</v>
      </c>
      <c r="F8880" t="s">
        <v>6198</v>
      </c>
      <c r="G8880" t="s">
        <v>83</v>
      </c>
      <c r="H8880" t="str">
        <f>"ΣΠΗΛΙ (Δ. ΛΑΜΠΗΣ) ΜΕΛΑΜΠΕΣ"</f>
        <v>ΣΠΗΛΙ (Δ. ΛΑΜΠΗΣ) ΜΕΛΑΜΠΕΣ</v>
      </c>
      <c r="I8880">
        <v>74053</v>
      </c>
      <c r="J8880">
        <v>2832041156</v>
      </c>
      <c r="K8880">
        <v>6938445839</v>
      </c>
      <c r="N8880" t="s">
        <v>615</v>
      </c>
      <c r="O8880" t="s">
        <v>616</v>
      </c>
      <c r="R8880" t="s">
        <v>57</v>
      </c>
      <c r="S8880">
        <v>5</v>
      </c>
      <c r="T8880">
        <v>774</v>
      </c>
      <c r="U8880" s="1">
        <v>39680</v>
      </c>
      <c r="V8880" t="s">
        <v>66</v>
      </c>
      <c r="W8880" t="s">
        <v>67</v>
      </c>
      <c r="X8880" t="s">
        <v>58</v>
      </c>
      <c r="Y8880">
        <v>23</v>
      </c>
      <c r="Z8880" t="s">
        <v>59</v>
      </c>
      <c r="AA8880" t="s">
        <v>59</v>
      </c>
      <c r="AB8880" t="s">
        <v>59</v>
      </c>
      <c r="AC8880" t="s">
        <v>59</v>
      </c>
      <c r="AD8880" t="s">
        <v>59</v>
      </c>
      <c r="AF8880" s="1">
        <v>39681</v>
      </c>
      <c r="AG8880" t="s">
        <v>8645</v>
      </c>
      <c r="AH8880" t="s">
        <v>8646</v>
      </c>
      <c r="AI8880" t="str">
        <f>"9410070"</f>
        <v>9410070</v>
      </c>
      <c r="AJ8880" t="s">
        <v>12757</v>
      </c>
      <c r="AK8880">
        <v>2831028583</v>
      </c>
      <c r="AL8880" t="s">
        <v>12758</v>
      </c>
      <c r="AM8880" t="s">
        <v>64</v>
      </c>
      <c r="AN8880" t="s">
        <v>65</v>
      </c>
      <c r="AO8880" t="s">
        <v>65</v>
      </c>
      <c r="AP8880" t="s">
        <v>65</v>
      </c>
      <c r="AQ8880">
        <v>1</v>
      </c>
      <c r="AR8880" t="s">
        <v>66</v>
      </c>
      <c r="AS8880" t="s">
        <v>67</v>
      </c>
      <c r="AT8880" t="s">
        <v>58</v>
      </c>
      <c r="AU8880" t="s">
        <v>68</v>
      </c>
      <c r="AV8880" t="s">
        <v>69</v>
      </c>
      <c r="AW8880" s="1">
        <v>30544</v>
      </c>
      <c r="AX8880">
        <v>1</v>
      </c>
    </row>
    <row r="8881" spans="1:50">
      <c r="A8881">
        <v>586568</v>
      </c>
      <c r="B8881" t="str">
        <f>"052991058"</f>
        <v>052991058</v>
      </c>
      <c r="C8881" t="s">
        <v>50</v>
      </c>
      <c r="D8881" t="s">
        <v>11023</v>
      </c>
      <c r="E8881" t="s">
        <v>4695</v>
      </c>
      <c r="F8881" t="s">
        <v>72</v>
      </c>
      <c r="G8881" t="s">
        <v>181</v>
      </c>
      <c r="H8881" t="str">
        <f>"Γ.ΣΤΑΜΑΘΙΟΥΔΑΚΗ 18 ΡΕΘΥΜΝΟ"</f>
        <v>Γ.ΣΤΑΜΑΘΙΟΥΔΑΚΗ 18 ΡΕΘΥΜΝΟ</v>
      </c>
      <c r="I8881">
        <v>74100</v>
      </c>
      <c r="J8881">
        <v>2831056442</v>
      </c>
      <c r="K8881">
        <v>6932594506</v>
      </c>
      <c r="N8881" t="s">
        <v>615</v>
      </c>
      <c r="O8881" t="s">
        <v>616</v>
      </c>
      <c r="R8881" t="s">
        <v>57</v>
      </c>
      <c r="S8881">
        <v>10</v>
      </c>
      <c r="T8881">
        <v>165</v>
      </c>
      <c r="U8881" s="1">
        <v>36040</v>
      </c>
      <c r="V8881" t="s">
        <v>66</v>
      </c>
      <c r="W8881" t="s">
        <v>67</v>
      </c>
      <c r="X8881" t="s">
        <v>58</v>
      </c>
      <c r="Y8881">
        <v>21</v>
      </c>
      <c r="Z8881" t="s">
        <v>59</v>
      </c>
      <c r="AA8881" t="s">
        <v>59</v>
      </c>
      <c r="AB8881" t="s">
        <v>59</v>
      </c>
      <c r="AC8881" t="s">
        <v>59</v>
      </c>
      <c r="AD8881" t="s">
        <v>59</v>
      </c>
      <c r="AF8881" s="1">
        <v>36040</v>
      </c>
      <c r="AG8881" t="s">
        <v>8645</v>
      </c>
      <c r="AH8881" t="s">
        <v>8646</v>
      </c>
      <c r="AI8881" t="str">
        <f>"9410064"</f>
        <v>9410064</v>
      </c>
      <c r="AJ8881" t="s">
        <v>12683</v>
      </c>
      <c r="AK8881">
        <v>2831028390</v>
      </c>
      <c r="AL8881" t="s">
        <v>12684</v>
      </c>
      <c r="AM8881" t="s">
        <v>64</v>
      </c>
      <c r="AN8881" t="s">
        <v>65</v>
      </c>
      <c r="AO8881" t="s">
        <v>65</v>
      </c>
      <c r="AP8881" t="s">
        <v>65</v>
      </c>
      <c r="AQ8881">
        <v>1</v>
      </c>
      <c r="AR8881" t="s">
        <v>66</v>
      </c>
      <c r="AS8881" t="s">
        <v>67</v>
      </c>
      <c r="AT8881" t="s">
        <v>58</v>
      </c>
      <c r="AU8881" t="s">
        <v>68</v>
      </c>
      <c r="AV8881" t="s">
        <v>69</v>
      </c>
      <c r="AW8881" s="1">
        <v>25369</v>
      </c>
      <c r="AX8881">
        <v>1</v>
      </c>
    </row>
    <row r="8882" spans="1:50">
      <c r="B8882" t="str">
        <f>"143694402"</f>
        <v>143694402</v>
      </c>
      <c r="C8882" t="s">
        <v>50</v>
      </c>
      <c r="D8882" t="s">
        <v>11023</v>
      </c>
      <c r="E8882" t="s">
        <v>96</v>
      </c>
      <c r="F8882" t="s">
        <v>95</v>
      </c>
      <c r="G8882" t="s">
        <v>263</v>
      </c>
      <c r="H8882" t="str">
        <f>"ΜΕΛΑΜΠΕΣ-ΡΕΘΥΜΝΟ ΜΕΛΑΜΠΕΣ"</f>
        <v>ΜΕΛΑΜΠΕΣ-ΡΕΘΥΜΝΟ ΜΕΛΑΜΠΕΣ</v>
      </c>
      <c r="I8882">
        <v>74053</v>
      </c>
      <c r="K8882">
        <v>6979151877</v>
      </c>
      <c r="M8882" t="s">
        <v>13510</v>
      </c>
      <c r="N8882" t="s">
        <v>615</v>
      </c>
      <c r="O8882" t="s">
        <v>616</v>
      </c>
      <c r="R8882" t="s">
        <v>159</v>
      </c>
      <c r="S8882">
        <v>3</v>
      </c>
      <c r="T8882" t="s">
        <v>8675</v>
      </c>
      <c r="U8882" s="1">
        <v>43348</v>
      </c>
      <c r="V8882" t="s">
        <v>66</v>
      </c>
      <c r="W8882" t="s">
        <v>67</v>
      </c>
      <c r="X8882" t="s">
        <v>58</v>
      </c>
      <c r="Y8882">
        <v>25</v>
      </c>
      <c r="Z8882" t="s">
        <v>59</v>
      </c>
      <c r="AA8882" t="s">
        <v>59</v>
      </c>
      <c r="AB8882" t="s">
        <v>59</v>
      </c>
      <c r="AC8882" t="s">
        <v>59</v>
      </c>
      <c r="AD8882" t="s">
        <v>59</v>
      </c>
      <c r="AF8882" s="1">
        <v>43348</v>
      </c>
      <c r="AG8882" t="s">
        <v>8645</v>
      </c>
      <c r="AH8882" t="s">
        <v>8676</v>
      </c>
      <c r="AI8882" t="str">
        <f>"9410054"</f>
        <v>9410054</v>
      </c>
      <c r="AJ8882" t="s">
        <v>13216</v>
      </c>
      <c r="AK8882">
        <v>2834094098</v>
      </c>
      <c r="AL8882" t="s">
        <v>13217</v>
      </c>
      <c r="AM8882" t="s">
        <v>64</v>
      </c>
      <c r="AN8882" t="s">
        <v>5672</v>
      </c>
      <c r="AO8882" t="s">
        <v>5673</v>
      </c>
      <c r="AP8882" t="s">
        <v>12853</v>
      </c>
      <c r="AQ8882">
        <v>10</v>
      </c>
      <c r="AR8882" t="s">
        <v>66</v>
      </c>
      <c r="AS8882" t="s">
        <v>67</v>
      </c>
      <c r="AT8882" t="s">
        <v>58</v>
      </c>
      <c r="AU8882" t="s">
        <v>8673</v>
      </c>
      <c r="AV8882" t="s">
        <v>132</v>
      </c>
      <c r="AW8882" s="1">
        <v>32276</v>
      </c>
      <c r="AX8882">
        <v>1</v>
      </c>
    </row>
    <row r="8883" spans="1:50">
      <c r="B8883" t="str">
        <f>"144479841"</f>
        <v>144479841</v>
      </c>
      <c r="C8883" t="s">
        <v>50</v>
      </c>
      <c r="D8883" t="s">
        <v>3232</v>
      </c>
      <c r="E8883" t="s">
        <v>563</v>
      </c>
      <c r="F8883" t="s">
        <v>95</v>
      </c>
      <c r="G8883" t="s">
        <v>13511</v>
      </c>
      <c r="H8883" t="str">
        <f>"ΘΕΣΣΑΛΟΝΙΚΗ 13 "</f>
        <v xml:space="preserve">ΘΕΣΣΑΛΟΝΙΚΗ 13 </v>
      </c>
      <c r="I8883">
        <v>57013</v>
      </c>
      <c r="J8883">
        <v>2310697376</v>
      </c>
      <c r="K8883">
        <v>6945326040</v>
      </c>
      <c r="N8883" t="s">
        <v>615</v>
      </c>
      <c r="O8883" t="s">
        <v>616</v>
      </c>
      <c r="R8883" t="s">
        <v>159</v>
      </c>
      <c r="S8883">
        <v>5</v>
      </c>
      <c r="T8883" t="s">
        <v>8675</v>
      </c>
      <c r="U8883" s="1">
        <v>43348</v>
      </c>
      <c r="V8883" t="s">
        <v>66</v>
      </c>
      <c r="W8883" t="s">
        <v>67</v>
      </c>
      <c r="X8883" t="s">
        <v>58</v>
      </c>
      <c r="Y8883">
        <v>24</v>
      </c>
      <c r="Z8883" t="s">
        <v>59</v>
      </c>
      <c r="AA8883" t="s">
        <v>59</v>
      </c>
      <c r="AB8883" t="s">
        <v>59</v>
      </c>
      <c r="AC8883" t="s">
        <v>59</v>
      </c>
      <c r="AD8883" t="s">
        <v>59</v>
      </c>
      <c r="AF8883" s="1">
        <v>43348</v>
      </c>
      <c r="AG8883" t="s">
        <v>8645</v>
      </c>
      <c r="AH8883" t="s">
        <v>8646</v>
      </c>
      <c r="AI8883" t="str">
        <f>"9410114"</f>
        <v>9410114</v>
      </c>
      <c r="AJ8883" t="s">
        <v>12877</v>
      </c>
      <c r="AK8883">
        <v>2832031291</v>
      </c>
      <c r="AL8883" t="s">
        <v>12878</v>
      </c>
      <c r="AM8883" t="s">
        <v>64</v>
      </c>
      <c r="AN8883" t="s">
        <v>5882</v>
      </c>
      <c r="AO8883" t="s">
        <v>6099</v>
      </c>
      <c r="AP8883" t="s">
        <v>12815</v>
      </c>
      <c r="AQ8883">
        <v>5</v>
      </c>
      <c r="AR8883" t="s">
        <v>66</v>
      </c>
      <c r="AS8883" t="s">
        <v>67</v>
      </c>
      <c r="AT8883" t="s">
        <v>58</v>
      </c>
      <c r="AU8883" t="s">
        <v>8673</v>
      </c>
      <c r="AV8883" t="s">
        <v>132</v>
      </c>
      <c r="AW8883" s="1">
        <v>32459</v>
      </c>
      <c r="AX8883">
        <v>1</v>
      </c>
    </row>
    <row r="8884" spans="1:50">
      <c r="A8884">
        <v>609785</v>
      </c>
      <c r="B8884" t="str">
        <f>"056276590"</f>
        <v>056276590</v>
      </c>
      <c r="C8884" t="s">
        <v>50</v>
      </c>
      <c r="D8884" t="s">
        <v>3232</v>
      </c>
      <c r="E8884" t="s">
        <v>620</v>
      </c>
      <c r="F8884" t="s">
        <v>957</v>
      </c>
      <c r="G8884" t="s">
        <v>73</v>
      </c>
      <c r="H8884" t="str">
        <f>"ΑΓΙΑ ΤΡΙΑΔΑ ΡΕΘΥΜΝΟ"</f>
        <v>ΑΓΙΑ ΤΡΙΑΔΑ ΡΕΘΥΜΝΟ</v>
      </c>
      <c r="I8884">
        <v>74100</v>
      </c>
      <c r="J8884">
        <v>2831051495</v>
      </c>
      <c r="K8884">
        <v>6973792867</v>
      </c>
      <c r="N8884" t="s">
        <v>306</v>
      </c>
      <c r="O8884" t="s">
        <v>307</v>
      </c>
      <c r="R8884" t="s">
        <v>57</v>
      </c>
      <c r="S8884">
        <v>8</v>
      </c>
      <c r="T8884">
        <v>249</v>
      </c>
      <c r="U8884" s="1">
        <v>38617</v>
      </c>
      <c r="V8884" t="s">
        <v>66</v>
      </c>
      <c r="W8884" t="s">
        <v>67</v>
      </c>
      <c r="X8884" t="s">
        <v>58</v>
      </c>
      <c r="Y8884">
        <v>22</v>
      </c>
      <c r="Z8884" t="s">
        <v>59</v>
      </c>
      <c r="AA8884" t="s">
        <v>59</v>
      </c>
      <c r="AB8884" t="s">
        <v>59</v>
      </c>
      <c r="AC8884" t="s">
        <v>59</v>
      </c>
      <c r="AD8884" t="s">
        <v>59</v>
      </c>
      <c r="AF8884" s="1">
        <v>38621</v>
      </c>
      <c r="AG8884" t="s">
        <v>8645</v>
      </c>
      <c r="AH8884" t="s">
        <v>8646</v>
      </c>
      <c r="AI8884" t="str">
        <f>"9410064"</f>
        <v>9410064</v>
      </c>
      <c r="AJ8884" t="s">
        <v>12683</v>
      </c>
      <c r="AK8884">
        <v>2831028390</v>
      </c>
      <c r="AL8884" t="s">
        <v>12684</v>
      </c>
      <c r="AM8884" t="s">
        <v>64</v>
      </c>
      <c r="AN8884" t="s">
        <v>65</v>
      </c>
      <c r="AO8884" t="s">
        <v>65</v>
      </c>
      <c r="AP8884" t="s">
        <v>65</v>
      </c>
      <c r="AQ8884">
        <v>1</v>
      </c>
      <c r="AR8884" t="s">
        <v>66</v>
      </c>
      <c r="AS8884" t="s">
        <v>67</v>
      </c>
      <c r="AT8884" t="s">
        <v>58</v>
      </c>
      <c r="AU8884" t="s">
        <v>68</v>
      </c>
      <c r="AV8884" t="s">
        <v>69</v>
      </c>
      <c r="AW8884" s="1">
        <v>24915</v>
      </c>
      <c r="AX8884">
        <v>1</v>
      </c>
    </row>
    <row r="8885" spans="1:50">
      <c r="B8885" t="str">
        <f>"149709086"</f>
        <v>149709086</v>
      </c>
      <c r="C8885" t="s">
        <v>105</v>
      </c>
      <c r="D8885" t="s">
        <v>13512</v>
      </c>
      <c r="E8885" t="s">
        <v>84</v>
      </c>
      <c r="F8885" t="s">
        <v>936</v>
      </c>
      <c r="G8885" t="s">
        <v>237</v>
      </c>
      <c r="H8885" t="str">
        <f>"ΠΑΥΛΟΥ ΜΕΛΑ  14 ΑΛΕΞΑΝΔΡΕΙΑ ΗΜΑΘΙΑΣ"</f>
        <v>ΠΑΥΛΟΥ ΜΕΛΑ  14 ΑΛΕΞΑΝΔΡΕΙΑ ΗΜΑΘΙΑΣ</v>
      </c>
      <c r="I8885">
        <v>59300</v>
      </c>
      <c r="J8885">
        <v>2333026565</v>
      </c>
      <c r="K8885">
        <v>6977563295</v>
      </c>
      <c r="N8885" t="s">
        <v>615</v>
      </c>
      <c r="O8885" t="s">
        <v>616</v>
      </c>
      <c r="R8885" t="s">
        <v>159</v>
      </c>
      <c r="S8885">
        <v>3</v>
      </c>
      <c r="T8885" t="s">
        <v>8675</v>
      </c>
      <c r="U8885" s="1">
        <v>43348</v>
      </c>
      <c r="V8885" t="s">
        <v>66</v>
      </c>
      <c r="W8885" t="s">
        <v>67</v>
      </c>
      <c r="X8885" t="s">
        <v>58</v>
      </c>
      <c r="Y8885">
        <v>25</v>
      </c>
      <c r="Z8885" t="s">
        <v>59</v>
      </c>
      <c r="AA8885" t="s">
        <v>59</v>
      </c>
      <c r="AB8885" t="s">
        <v>59</v>
      </c>
      <c r="AC8885" t="s">
        <v>59</v>
      </c>
      <c r="AD8885" t="s">
        <v>59</v>
      </c>
      <c r="AF8885" s="1">
        <v>43348</v>
      </c>
      <c r="AG8885" t="s">
        <v>8645</v>
      </c>
      <c r="AH8885" t="s">
        <v>8676</v>
      </c>
      <c r="AI8885" t="str">
        <f>"9410015"</f>
        <v>9410015</v>
      </c>
      <c r="AJ8885" t="s">
        <v>12725</v>
      </c>
      <c r="AK8885">
        <v>2834061336</v>
      </c>
      <c r="AL8885" t="s">
        <v>12726</v>
      </c>
      <c r="AM8885" t="s">
        <v>64</v>
      </c>
      <c r="AN8885" t="s">
        <v>5672</v>
      </c>
      <c r="AO8885" t="s">
        <v>5698</v>
      </c>
      <c r="AP8885" t="s">
        <v>12727</v>
      </c>
      <c r="AQ8885">
        <v>11</v>
      </c>
      <c r="AR8885" t="s">
        <v>66</v>
      </c>
      <c r="AS8885" t="s">
        <v>67</v>
      </c>
      <c r="AT8885" t="s">
        <v>58</v>
      </c>
      <c r="AU8885" t="s">
        <v>8673</v>
      </c>
      <c r="AV8885" t="s">
        <v>132</v>
      </c>
      <c r="AW8885" s="1">
        <v>32172</v>
      </c>
      <c r="AX8885">
        <v>1</v>
      </c>
    </row>
    <row r="8886" spans="1:50">
      <c r="A8886">
        <v>702080</v>
      </c>
      <c r="B8886" t="str">
        <f>"138543040"</f>
        <v>138543040</v>
      </c>
      <c r="C8886" t="s">
        <v>50</v>
      </c>
      <c r="D8886" t="s">
        <v>3242</v>
      </c>
      <c r="E8886" t="s">
        <v>372</v>
      </c>
      <c r="F8886" t="s">
        <v>72</v>
      </c>
      <c r="G8886" t="s">
        <v>73</v>
      </c>
      <c r="H8886" t="str">
        <f>"ΜΕΓ. ΑΛΕΞΑΝΔΡΟΥ 26 ΛΕΠΤΟΚΑΡΥΑ"</f>
        <v>ΜΕΓ. ΑΛΕΞΑΝΔΡΟΥ 26 ΛΕΠΤΟΚΑΡΥΑ</v>
      </c>
      <c r="I8886">
        <v>60063</v>
      </c>
      <c r="J8886">
        <v>2352033487</v>
      </c>
      <c r="K8886">
        <v>6947041773</v>
      </c>
      <c r="N8886" t="s">
        <v>615</v>
      </c>
      <c r="O8886" t="s">
        <v>616</v>
      </c>
      <c r="R8886" t="s">
        <v>57</v>
      </c>
      <c r="S8886">
        <v>4</v>
      </c>
      <c r="T8886">
        <v>772</v>
      </c>
      <c r="U8886" s="1">
        <v>40413</v>
      </c>
      <c r="V8886" t="s">
        <v>66</v>
      </c>
      <c r="W8886" t="s">
        <v>67</v>
      </c>
      <c r="X8886" t="s">
        <v>58</v>
      </c>
      <c r="Y8886">
        <v>24</v>
      </c>
      <c r="Z8886" t="s">
        <v>59</v>
      </c>
      <c r="AA8886" t="s">
        <v>59</v>
      </c>
      <c r="AB8886" t="s">
        <v>59</v>
      </c>
      <c r="AC8886" t="s">
        <v>59</v>
      </c>
      <c r="AD8886" t="s">
        <v>59</v>
      </c>
      <c r="AF8886" s="1">
        <v>40413</v>
      </c>
      <c r="AG8886" t="s">
        <v>8645</v>
      </c>
      <c r="AH8886" t="s">
        <v>8646</v>
      </c>
      <c r="AI8886" t="str">
        <f>"9410169"</f>
        <v>9410169</v>
      </c>
      <c r="AJ8886" t="s">
        <v>12936</v>
      </c>
      <c r="AK8886">
        <v>2831031123</v>
      </c>
      <c r="AL8886" t="s">
        <v>12937</v>
      </c>
      <c r="AM8886" t="s">
        <v>64</v>
      </c>
      <c r="AN8886" t="s">
        <v>65</v>
      </c>
      <c r="AO8886" t="s">
        <v>5720</v>
      </c>
      <c r="AP8886" t="s">
        <v>12938</v>
      </c>
      <c r="AQ8886">
        <v>2</v>
      </c>
      <c r="AR8886" t="s">
        <v>66</v>
      </c>
      <c r="AS8886" t="s">
        <v>67</v>
      </c>
      <c r="AT8886" t="s">
        <v>58</v>
      </c>
      <c r="AU8886" t="s">
        <v>68</v>
      </c>
      <c r="AV8886" t="s">
        <v>69</v>
      </c>
      <c r="AW8886" s="1">
        <v>31839</v>
      </c>
      <c r="AX8886">
        <v>1</v>
      </c>
    </row>
    <row r="8887" spans="1:50">
      <c r="B8887" t="str">
        <f>"112785769"</f>
        <v>112785769</v>
      </c>
      <c r="C8887" t="s">
        <v>50</v>
      </c>
      <c r="D8887" t="s">
        <v>3243</v>
      </c>
      <c r="E8887" t="s">
        <v>620</v>
      </c>
      <c r="F8887" t="s">
        <v>631</v>
      </c>
      <c r="G8887" t="s">
        <v>7030</v>
      </c>
      <c r="H8887" t="str">
        <f>"ΓΕΩΡΓΙΟΥ ΚΩΝΣΤΑΝΤΙΝΙΔΗ 18 ΘΕΣΣΑΛΟΝΙΚΗ"</f>
        <v>ΓΕΩΡΓΙΟΥ ΚΩΝΣΤΑΝΤΙΝΙΔΗ 18 ΘΕΣΣΑΛΟΝΙΚΗ</v>
      </c>
      <c r="I8887">
        <v>54640</v>
      </c>
      <c r="J8887">
        <v>2310826569</v>
      </c>
      <c r="K8887">
        <v>6932758638</v>
      </c>
      <c r="N8887" t="s">
        <v>1817</v>
      </c>
      <c r="O8887" t="s">
        <v>1818</v>
      </c>
      <c r="R8887" t="s">
        <v>159</v>
      </c>
      <c r="S8887">
        <v>8</v>
      </c>
      <c r="T8887" t="s">
        <v>8696</v>
      </c>
      <c r="U8887" s="1">
        <v>43348</v>
      </c>
      <c r="V8887" t="s">
        <v>66</v>
      </c>
      <c r="W8887" t="s">
        <v>67</v>
      </c>
      <c r="X8887" t="s">
        <v>58</v>
      </c>
      <c r="Y8887">
        <v>24</v>
      </c>
      <c r="Z8887" t="s">
        <v>59</v>
      </c>
      <c r="AA8887" t="s">
        <v>59</v>
      </c>
      <c r="AB8887" t="s">
        <v>59</v>
      </c>
      <c r="AC8887" t="s">
        <v>59</v>
      </c>
      <c r="AD8887" t="s">
        <v>59</v>
      </c>
      <c r="AF8887" s="1">
        <v>43348</v>
      </c>
      <c r="AG8887" t="s">
        <v>8645</v>
      </c>
      <c r="AH8887" t="s">
        <v>8697</v>
      </c>
      <c r="AI8887" t="str">
        <f>"9410243"</f>
        <v>9410243</v>
      </c>
      <c r="AJ8887" t="s">
        <v>12885</v>
      </c>
      <c r="AK8887">
        <v>2831026710</v>
      </c>
      <c r="AL8887" t="s">
        <v>12886</v>
      </c>
      <c r="AM8887" t="s">
        <v>64</v>
      </c>
      <c r="AN8887" t="s">
        <v>65</v>
      </c>
      <c r="AO8887" t="s">
        <v>65</v>
      </c>
      <c r="AP8887" t="s">
        <v>65</v>
      </c>
      <c r="AQ8887">
        <v>1</v>
      </c>
      <c r="AR8887" t="s">
        <v>66</v>
      </c>
      <c r="AS8887" t="s">
        <v>67</v>
      </c>
      <c r="AT8887" t="s">
        <v>58</v>
      </c>
      <c r="AU8887" t="s">
        <v>350</v>
      </c>
      <c r="AV8887" t="s">
        <v>132</v>
      </c>
      <c r="AW8887" s="1">
        <v>30156</v>
      </c>
      <c r="AX8887">
        <v>1</v>
      </c>
    </row>
    <row r="8888" spans="1:50">
      <c r="A8888">
        <v>615351</v>
      </c>
      <c r="B8888" t="str">
        <f>"055438492"</f>
        <v>055438492</v>
      </c>
      <c r="C8888" t="s">
        <v>50</v>
      </c>
      <c r="D8888" t="s">
        <v>13513</v>
      </c>
      <c r="E8888" t="s">
        <v>506</v>
      </c>
      <c r="F8888" t="s">
        <v>53</v>
      </c>
      <c r="G8888" t="s">
        <v>396</v>
      </c>
      <c r="H8888" t="str">
        <f>"ΠΑΝΕΠΙΣΤΗΜΙΟΥ 9 ΡΕΘΥΜΝΟ"</f>
        <v>ΠΑΝΕΠΙΣΤΗΜΙΟΥ 9 ΡΕΘΥΜΝΟ</v>
      </c>
      <c r="I8888">
        <v>74132</v>
      </c>
      <c r="J8888">
        <v>2831053044</v>
      </c>
      <c r="K8888">
        <v>6932484914</v>
      </c>
      <c r="M8888" t="s">
        <v>13514</v>
      </c>
      <c r="N8888" t="s">
        <v>1525</v>
      </c>
      <c r="O8888" t="s">
        <v>1526</v>
      </c>
      <c r="R8888" t="s">
        <v>57</v>
      </c>
      <c r="S8888">
        <v>6</v>
      </c>
      <c r="T8888">
        <v>598</v>
      </c>
      <c r="U8888" s="1">
        <v>39310</v>
      </c>
      <c r="V8888" t="s">
        <v>66</v>
      </c>
      <c r="W8888" t="s">
        <v>67</v>
      </c>
      <c r="X8888" t="s">
        <v>58</v>
      </c>
      <c r="Y8888">
        <v>25</v>
      </c>
      <c r="Z8888" t="s">
        <v>59</v>
      </c>
      <c r="AA8888" t="s">
        <v>59</v>
      </c>
      <c r="AB8888" t="s">
        <v>59</v>
      </c>
      <c r="AC8888" t="s">
        <v>59</v>
      </c>
      <c r="AD8888" t="s">
        <v>59</v>
      </c>
      <c r="AF8888" s="1">
        <v>39328</v>
      </c>
      <c r="AG8888" t="s">
        <v>8651</v>
      </c>
      <c r="AH8888" t="s">
        <v>8652</v>
      </c>
      <c r="AI8888" t="str">
        <f>"9410066"</f>
        <v>9410066</v>
      </c>
      <c r="AJ8888" t="s">
        <v>12859</v>
      </c>
      <c r="AK8888">
        <v>2831023745</v>
      </c>
      <c r="AL8888" t="s">
        <v>12860</v>
      </c>
      <c r="AM8888" t="s">
        <v>64</v>
      </c>
      <c r="AN8888" t="s">
        <v>65</v>
      </c>
      <c r="AO8888" t="s">
        <v>65</v>
      </c>
      <c r="AP8888" t="s">
        <v>65</v>
      </c>
      <c r="AQ8888">
        <v>1</v>
      </c>
      <c r="AR8888" t="s">
        <v>66</v>
      </c>
      <c r="AS8888" t="s">
        <v>67</v>
      </c>
      <c r="AT8888" t="s">
        <v>58</v>
      </c>
      <c r="AU8888" t="s">
        <v>68</v>
      </c>
      <c r="AV8888" t="s">
        <v>69</v>
      </c>
      <c r="AW8888" s="1">
        <v>27013</v>
      </c>
      <c r="AX8888">
        <v>1</v>
      </c>
    </row>
    <row r="8889" spans="1:50">
      <c r="A8889">
        <v>579405</v>
      </c>
      <c r="B8889" t="str">
        <f>"038129439"</f>
        <v>038129439</v>
      </c>
      <c r="C8889" t="s">
        <v>50</v>
      </c>
      <c r="D8889" t="s">
        <v>13515</v>
      </c>
      <c r="E8889" t="s">
        <v>52</v>
      </c>
      <c r="F8889" t="s">
        <v>99</v>
      </c>
      <c r="G8889" t="s">
        <v>13516</v>
      </c>
      <c r="H8889" t="str">
        <f>" "</f>
        <v xml:space="preserve"> </v>
      </c>
      <c r="J8889">
        <v>2831074202</v>
      </c>
      <c r="K8889">
        <v>6985701992</v>
      </c>
      <c r="M8889" t="s">
        <v>13517</v>
      </c>
      <c r="N8889" t="s">
        <v>615</v>
      </c>
      <c r="O8889" t="s">
        <v>616</v>
      </c>
      <c r="R8889" t="s">
        <v>57</v>
      </c>
      <c r="S8889">
        <v>16</v>
      </c>
      <c r="T8889">
        <v>165</v>
      </c>
      <c r="U8889" s="1">
        <v>35300</v>
      </c>
      <c r="V8889" t="s">
        <v>66</v>
      </c>
      <c r="W8889" t="s">
        <v>67</v>
      </c>
      <c r="X8889" t="s">
        <v>58</v>
      </c>
      <c r="Y8889">
        <v>21</v>
      </c>
      <c r="Z8889" t="s">
        <v>59</v>
      </c>
      <c r="AA8889" t="s">
        <v>59</v>
      </c>
      <c r="AB8889" t="s">
        <v>59</v>
      </c>
      <c r="AC8889" t="s">
        <v>59</v>
      </c>
      <c r="AD8889" t="s">
        <v>59</v>
      </c>
      <c r="AF8889" s="1">
        <v>35310</v>
      </c>
      <c r="AG8889" t="s">
        <v>8645</v>
      </c>
      <c r="AH8889" t="s">
        <v>8646</v>
      </c>
      <c r="AI8889" t="str">
        <f>"9410051"</f>
        <v>9410051</v>
      </c>
      <c r="AJ8889" t="s">
        <v>12660</v>
      </c>
      <c r="AK8889">
        <v>2834022247</v>
      </c>
      <c r="AL8889" t="s">
        <v>12661</v>
      </c>
      <c r="AM8889" t="s">
        <v>64</v>
      </c>
      <c r="AN8889" t="s">
        <v>5672</v>
      </c>
      <c r="AO8889" t="s">
        <v>5673</v>
      </c>
      <c r="AP8889" t="s">
        <v>5689</v>
      </c>
      <c r="AQ8889">
        <v>7</v>
      </c>
      <c r="AR8889" t="s">
        <v>66</v>
      </c>
      <c r="AS8889" t="s">
        <v>67</v>
      </c>
      <c r="AT8889" t="s">
        <v>58</v>
      </c>
      <c r="AU8889" t="s">
        <v>68</v>
      </c>
      <c r="AV8889" t="s">
        <v>2039</v>
      </c>
      <c r="AW8889" s="1">
        <v>23920</v>
      </c>
      <c r="AX8889">
        <v>1</v>
      </c>
    </row>
    <row r="8890" spans="1:50">
      <c r="A8890">
        <v>704083</v>
      </c>
      <c r="B8890" t="str">
        <f>"071099883"</f>
        <v>071099883</v>
      </c>
      <c r="C8890" t="s">
        <v>50</v>
      </c>
      <c r="D8890" t="s">
        <v>13518</v>
      </c>
      <c r="E8890" t="s">
        <v>237</v>
      </c>
      <c r="F8890" t="s">
        <v>989</v>
      </c>
      <c r="G8890" t="s">
        <v>181</v>
      </c>
      <c r="H8890" t="str">
        <f>"ΚΟΥΤΣΙΑ 6 "</f>
        <v xml:space="preserve">ΚΟΥΤΣΙΑ 6 </v>
      </c>
      <c r="I8890">
        <v>11363</v>
      </c>
      <c r="J8890">
        <v>2108846097</v>
      </c>
      <c r="K8890">
        <v>6942849110</v>
      </c>
      <c r="N8890" t="s">
        <v>306</v>
      </c>
      <c r="O8890" t="s">
        <v>307</v>
      </c>
      <c r="R8890" t="s">
        <v>57</v>
      </c>
      <c r="S8890">
        <v>3</v>
      </c>
      <c r="T8890">
        <v>1350</v>
      </c>
      <c r="U8890" s="1">
        <v>42732</v>
      </c>
      <c r="V8890" t="s">
        <v>66</v>
      </c>
      <c r="W8890" t="s">
        <v>67</v>
      </c>
      <c r="X8890" t="s">
        <v>58</v>
      </c>
      <c r="Y8890">
        <v>24</v>
      </c>
      <c r="Z8890" t="s">
        <v>59</v>
      </c>
      <c r="AA8890" t="s">
        <v>59</v>
      </c>
      <c r="AB8890" t="s">
        <v>59</v>
      </c>
      <c r="AC8890" t="s">
        <v>59</v>
      </c>
      <c r="AD8890" t="s">
        <v>59</v>
      </c>
      <c r="AF8890" s="1">
        <v>42734</v>
      </c>
      <c r="AG8890" t="s">
        <v>8645</v>
      </c>
      <c r="AH8890" t="s">
        <v>8646</v>
      </c>
      <c r="AI8890" t="str">
        <f>"9410166"</f>
        <v>9410166</v>
      </c>
      <c r="AJ8890" t="s">
        <v>12666</v>
      </c>
      <c r="AK8890">
        <v>2831031311</v>
      </c>
      <c r="AL8890" t="s">
        <v>12667</v>
      </c>
      <c r="AM8890" t="s">
        <v>64</v>
      </c>
      <c r="AN8890" t="s">
        <v>65</v>
      </c>
      <c r="AO8890" t="s">
        <v>5720</v>
      </c>
      <c r="AP8890" t="s">
        <v>5721</v>
      </c>
      <c r="AQ8890">
        <v>2</v>
      </c>
      <c r="AR8890" t="s">
        <v>66</v>
      </c>
      <c r="AS8890" t="s">
        <v>67</v>
      </c>
      <c r="AT8890" t="s">
        <v>58</v>
      </c>
      <c r="AU8890" t="s">
        <v>68</v>
      </c>
      <c r="AV8890" t="s">
        <v>69</v>
      </c>
      <c r="AW8890" s="1">
        <v>27030</v>
      </c>
      <c r="AX8890">
        <v>1</v>
      </c>
    </row>
    <row r="8891" spans="1:50">
      <c r="B8891" t="str">
        <f>"147605738"</f>
        <v>147605738</v>
      </c>
      <c r="C8891" t="s">
        <v>50</v>
      </c>
      <c r="D8891" t="s">
        <v>3259</v>
      </c>
      <c r="E8891" t="s">
        <v>7849</v>
      </c>
      <c r="F8891" t="s">
        <v>99</v>
      </c>
      <c r="G8891" t="s">
        <v>52</v>
      </c>
      <c r="H8891" t="str">
        <f>"ΝΕΜΕΑΣ 4 ΟΙΧΑΛΙΑ ΤΡΙΚΑΛΩΝ"</f>
        <v>ΝΕΜΕΑΣ 4 ΟΙΧΑΛΙΑ ΤΡΙΚΑΛΩΝ</v>
      </c>
      <c r="I8891">
        <v>42300</v>
      </c>
      <c r="J8891">
        <v>2433031216</v>
      </c>
      <c r="K8891">
        <v>6931879865</v>
      </c>
      <c r="M8891" t="s">
        <v>13519</v>
      </c>
      <c r="N8891" t="s">
        <v>306</v>
      </c>
      <c r="O8891" t="s">
        <v>307</v>
      </c>
      <c r="R8891" t="s">
        <v>159</v>
      </c>
      <c r="S8891">
        <v>2</v>
      </c>
      <c r="T8891" t="s">
        <v>8675</v>
      </c>
      <c r="U8891" s="1">
        <v>43348</v>
      </c>
      <c r="V8891" t="s">
        <v>66</v>
      </c>
      <c r="W8891" t="s">
        <v>67</v>
      </c>
      <c r="X8891" t="s">
        <v>58</v>
      </c>
      <c r="Y8891">
        <v>24</v>
      </c>
      <c r="Z8891" t="s">
        <v>59</v>
      </c>
      <c r="AA8891" t="s">
        <v>59</v>
      </c>
      <c r="AB8891" t="s">
        <v>59</v>
      </c>
      <c r="AC8891" t="s">
        <v>59</v>
      </c>
      <c r="AD8891" t="s">
        <v>59</v>
      </c>
      <c r="AF8891" s="1">
        <v>43348</v>
      </c>
      <c r="AG8891" t="s">
        <v>8645</v>
      </c>
      <c r="AH8891" t="s">
        <v>8646</v>
      </c>
      <c r="AI8891" t="str">
        <f>"9410069"</f>
        <v>9410069</v>
      </c>
      <c r="AJ8891" t="s">
        <v>12674</v>
      </c>
      <c r="AK8891">
        <v>2831029296</v>
      </c>
      <c r="AL8891" t="s">
        <v>12675</v>
      </c>
      <c r="AM8891" t="s">
        <v>64</v>
      </c>
      <c r="AN8891" t="s">
        <v>65</v>
      </c>
      <c r="AO8891" t="s">
        <v>65</v>
      </c>
      <c r="AP8891" t="s">
        <v>65</v>
      </c>
      <c r="AQ8891">
        <v>1</v>
      </c>
      <c r="AR8891" t="s">
        <v>66</v>
      </c>
      <c r="AS8891" t="s">
        <v>67</v>
      </c>
      <c r="AT8891" t="s">
        <v>58</v>
      </c>
      <c r="AU8891" t="s">
        <v>8673</v>
      </c>
      <c r="AV8891" t="s">
        <v>132</v>
      </c>
      <c r="AW8891" s="1">
        <v>31710</v>
      </c>
      <c r="AX8891">
        <v>1</v>
      </c>
    </row>
    <row r="8892" spans="1:50">
      <c r="A8892">
        <v>595427</v>
      </c>
      <c r="B8892" t="str">
        <f>"109117930"</f>
        <v>109117930</v>
      </c>
      <c r="C8892" t="s">
        <v>50</v>
      </c>
      <c r="D8892" t="s">
        <v>11057</v>
      </c>
      <c r="E8892" t="s">
        <v>6093</v>
      </c>
      <c r="F8892" t="s">
        <v>84</v>
      </c>
      <c r="G8892" t="s">
        <v>460</v>
      </c>
      <c r="H8892" t="str">
        <f>" "</f>
        <v xml:space="preserve"> </v>
      </c>
      <c r="N8892" t="s">
        <v>1525</v>
      </c>
      <c r="O8892" t="s">
        <v>1526</v>
      </c>
      <c r="R8892" t="s">
        <v>57</v>
      </c>
      <c r="S8892">
        <v>8</v>
      </c>
      <c r="T8892">
        <v>218</v>
      </c>
      <c r="U8892" s="1">
        <v>37134</v>
      </c>
      <c r="V8892" t="s">
        <v>66</v>
      </c>
      <c r="W8892" t="s">
        <v>67</v>
      </c>
      <c r="X8892" t="s">
        <v>58</v>
      </c>
      <c r="Y8892">
        <v>25</v>
      </c>
      <c r="Z8892" t="s">
        <v>59</v>
      </c>
      <c r="AA8892" t="s">
        <v>59</v>
      </c>
      <c r="AB8892" t="s">
        <v>59</v>
      </c>
      <c r="AC8892" t="s">
        <v>59</v>
      </c>
      <c r="AD8892" t="s">
        <v>59</v>
      </c>
      <c r="AF8892" s="1">
        <v>37139</v>
      </c>
      <c r="AG8892" t="s">
        <v>8651</v>
      </c>
      <c r="AH8892" t="s">
        <v>8652</v>
      </c>
      <c r="AI8892" t="str">
        <f>"9410189"</f>
        <v>9410189</v>
      </c>
      <c r="AJ8892" t="s">
        <v>12706</v>
      </c>
      <c r="AK8892">
        <v>2831028290</v>
      </c>
      <c r="AL8892" t="s">
        <v>12707</v>
      </c>
      <c r="AM8892" t="s">
        <v>64</v>
      </c>
      <c r="AN8892" t="s">
        <v>65</v>
      </c>
      <c r="AO8892" t="s">
        <v>65</v>
      </c>
      <c r="AP8892" t="s">
        <v>65</v>
      </c>
      <c r="AQ8892">
        <v>1</v>
      </c>
      <c r="AR8892" t="s">
        <v>66</v>
      </c>
      <c r="AS8892" t="s">
        <v>67</v>
      </c>
      <c r="AT8892" t="s">
        <v>58</v>
      </c>
      <c r="AU8892" t="s">
        <v>68</v>
      </c>
      <c r="AV8892" t="s">
        <v>69</v>
      </c>
      <c r="AW8892" s="1">
        <v>25682</v>
      </c>
      <c r="AX8892">
        <v>1</v>
      </c>
    </row>
    <row r="8893" spans="1:50">
      <c r="B8893" t="str">
        <f>"149564053"</f>
        <v>149564053</v>
      </c>
      <c r="C8893" t="s">
        <v>50</v>
      </c>
      <c r="D8893" t="s">
        <v>13520</v>
      </c>
      <c r="E8893" t="s">
        <v>191</v>
      </c>
      <c r="F8893" t="s">
        <v>95</v>
      </c>
      <c r="G8893" t="s">
        <v>263</v>
      </c>
      <c r="H8893" t="str">
        <f>"ΞΑΝΘΙΠΠΟΥ 71 "</f>
        <v xml:space="preserve">ΞΑΝΘΙΠΠΟΥ 71 </v>
      </c>
      <c r="I8893">
        <v>15561</v>
      </c>
      <c r="J8893">
        <v>2310951192</v>
      </c>
      <c r="K8893">
        <v>6976747957</v>
      </c>
      <c r="N8893" t="s">
        <v>615</v>
      </c>
      <c r="O8893" t="s">
        <v>616</v>
      </c>
      <c r="R8893" t="s">
        <v>159</v>
      </c>
      <c r="S8893">
        <v>2</v>
      </c>
      <c r="T8893" t="s">
        <v>8675</v>
      </c>
      <c r="U8893" s="1">
        <v>43348</v>
      </c>
      <c r="V8893" t="s">
        <v>66</v>
      </c>
      <c r="W8893" t="s">
        <v>67</v>
      </c>
      <c r="X8893" t="s">
        <v>58</v>
      </c>
      <c r="Y8893">
        <v>24</v>
      </c>
      <c r="Z8893" t="s">
        <v>59</v>
      </c>
      <c r="AA8893" t="s">
        <v>59</v>
      </c>
      <c r="AB8893" t="s">
        <v>59</v>
      </c>
      <c r="AC8893" t="s">
        <v>59</v>
      </c>
      <c r="AD8893" t="s">
        <v>59</v>
      </c>
      <c r="AF8893" s="1">
        <v>43348</v>
      </c>
      <c r="AG8893" t="s">
        <v>8645</v>
      </c>
      <c r="AH8893" t="s">
        <v>8646</v>
      </c>
      <c r="AI8893" t="str">
        <f>"9410242"</f>
        <v>9410242</v>
      </c>
      <c r="AJ8893" t="s">
        <v>12796</v>
      </c>
      <c r="AK8893">
        <v>2834023145</v>
      </c>
      <c r="AL8893" t="s">
        <v>12797</v>
      </c>
      <c r="AM8893" t="s">
        <v>64</v>
      </c>
      <c r="AN8893" t="s">
        <v>5672</v>
      </c>
      <c r="AO8893" t="s">
        <v>5673</v>
      </c>
      <c r="AP8893" t="s">
        <v>5689</v>
      </c>
      <c r="AQ8893">
        <v>7</v>
      </c>
      <c r="AR8893" t="s">
        <v>66</v>
      </c>
      <c r="AS8893" t="s">
        <v>67</v>
      </c>
      <c r="AT8893" t="s">
        <v>58</v>
      </c>
      <c r="AU8893" t="s">
        <v>8673</v>
      </c>
      <c r="AV8893" t="s">
        <v>132</v>
      </c>
      <c r="AW8893" s="1">
        <v>31462</v>
      </c>
      <c r="AX8893">
        <v>1</v>
      </c>
    </row>
    <row r="8894" spans="1:50">
      <c r="A8894">
        <v>566967</v>
      </c>
      <c r="B8894" t="str">
        <f>"036578631"</f>
        <v>036578631</v>
      </c>
      <c r="C8894" t="s">
        <v>50</v>
      </c>
      <c r="D8894" t="s">
        <v>13521</v>
      </c>
      <c r="E8894" t="s">
        <v>964</v>
      </c>
      <c r="F8894" t="s">
        <v>377</v>
      </c>
      <c r="G8894" t="s">
        <v>1740</v>
      </c>
      <c r="H8894" t="str">
        <f>" "</f>
        <v xml:space="preserve"> </v>
      </c>
      <c r="N8894" t="s">
        <v>615</v>
      </c>
      <c r="O8894" t="s">
        <v>616</v>
      </c>
      <c r="R8894" t="s">
        <v>57</v>
      </c>
      <c r="S8894">
        <v>16</v>
      </c>
      <c r="T8894">
        <v>133</v>
      </c>
      <c r="U8894" s="1">
        <v>33456</v>
      </c>
      <c r="V8894" t="s">
        <v>66</v>
      </c>
      <c r="W8894" t="s">
        <v>67</v>
      </c>
      <c r="X8894" t="s">
        <v>58</v>
      </c>
      <c r="Y8894">
        <v>21</v>
      </c>
      <c r="Z8894" t="s">
        <v>59</v>
      </c>
      <c r="AA8894" t="s">
        <v>59</v>
      </c>
      <c r="AB8894" t="s">
        <v>59</v>
      </c>
      <c r="AC8894" t="s">
        <v>59</v>
      </c>
      <c r="AD8894" t="s">
        <v>59</v>
      </c>
      <c r="AF8894" s="1">
        <v>33483</v>
      </c>
      <c r="AG8894" t="s">
        <v>8645</v>
      </c>
      <c r="AH8894" t="s">
        <v>8646</v>
      </c>
      <c r="AI8894" t="str">
        <f>"9410150"</f>
        <v>9410150</v>
      </c>
      <c r="AJ8894" t="s">
        <v>12733</v>
      </c>
      <c r="AK8894">
        <v>2831052969</v>
      </c>
      <c r="AL8894" t="s">
        <v>12734</v>
      </c>
      <c r="AM8894" t="s">
        <v>64</v>
      </c>
      <c r="AN8894" t="s">
        <v>65</v>
      </c>
      <c r="AO8894" t="s">
        <v>65</v>
      </c>
      <c r="AP8894" t="s">
        <v>65</v>
      </c>
      <c r="AQ8894">
        <v>1</v>
      </c>
      <c r="AR8894" t="s">
        <v>66</v>
      </c>
      <c r="AS8894" t="s">
        <v>67</v>
      </c>
      <c r="AT8894" t="s">
        <v>58</v>
      </c>
      <c r="AU8894" t="s">
        <v>68</v>
      </c>
      <c r="AV8894" t="s">
        <v>69</v>
      </c>
      <c r="AW8894" s="1">
        <v>24157</v>
      </c>
      <c r="AX8894">
        <v>1</v>
      </c>
    </row>
    <row r="8895" spans="1:50">
      <c r="A8895">
        <v>615517</v>
      </c>
      <c r="B8895" t="str">
        <f>"109133639"</f>
        <v>109133639</v>
      </c>
      <c r="C8895" t="s">
        <v>50</v>
      </c>
      <c r="D8895" t="s">
        <v>11058</v>
      </c>
      <c r="E8895" t="s">
        <v>52</v>
      </c>
      <c r="F8895" t="s">
        <v>95</v>
      </c>
      <c r="G8895" t="s">
        <v>484</v>
      </c>
      <c r="H8895" t="str">
        <f>"ΟΡΦΕΩΣ 1 ΡΕΘΥΜΝΟ"</f>
        <v>ΟΡΦΕΩΣ 1 ΡΕΘΥΜΝΟ</v>
      </c>
      <c r="I8895">
        <v>74100</v>
      </c>
      <c r="J8895">
        <v>2831058332</v>
      </c>
      <c r="K8895">
        <v>6937132228</v>
      </c>
      <c r="N8895" t="s">
        <v>1525</v>
      </c>
      <c r="O8895" t="s">
        <v>1526</v>
      </c>
      <c r="R8895" t="s">
        <v>57</v>
      </c>
      <c r="S8895">
        <v>6</v>
      </c>
      <c r="T8895">
        <v>598</v>
      </c>
      <c r="U8895" s="1">
        <v>39310</v>
      </c>
      <c r="V8895" t="s">
        <v>66</v>
      </c>
      <c r="W8895" t="s">
        <v>67</v>
      </c>
      <c r="X8895" t="s">
        <v>58</v>
      </c>
      <c r="Y8895">
        <v>25</v>
      </c>
      <c r="Z8895" t="s">
        <v>59</v>
      </c>
      <c r="AA8895" t="s">
        <v>59</v>
      </c>
      <c r="AB8895" t="s">
        <v>59</v>
      </c>
      <c r="AC8895" t="s">
        <v>59</v>
      </c>
      <c r="AD8895" t="s">
        <v>59</v>
      </c>
      <c r="AF8895" s="1">
        <v>39328</v>
      </c>
      <c r="AG8895" t="s">
        <v>8651</v>
      </c>
      <c r="AH8895" t="s">
        <v>8652</v>
      </c>
      <c r="AI8895" t="str">
        <f>"9521640"</f>
        <v>9521640</v>
      </c>
      <c r="AJ8895" t="s">
        <v>12993</v>
      </c>
      <c r="AK8895">
        <v>2831022274</v>
      </c>
      <c r="AM8895" t="s">
        <v>64</v>
      </c>
      <c r="AN8895" t="s">
        <v>65</v>
      </c>
      <c r="AO8895" t="s">
        <v>5720</v>
      </c>
      <c r="AP8895" t="s">
        <v>5721</v>
      </c>
      <c r="AQ8895">
        <v>2</v>
      </c>
      <c r="AR8895" t="s">
        <v>66</v>
      </c>
      <c r="AS8895" t="s">
        <v>67</v>
      </c>
      <c r="AT8895" t="s">
        <v>58</v>
      </c>
      <c r="AU8895" t="s">
        <v>68</v>
      </c>
      <c r="AV8895" t="s">
        <v>69</v>
      </c>
      <c r="AW8895" s="1">
        <v>27115</v>
      </c>
      <c r="AX8895">
        <v>1</v>
      </c>
    </row>
    <row r="8896" spans="1:50">
      <c r="A8896">
        <v>563104</v>
      </c>
      <c r="B8896" t="str">
        <f>"065531590"</f>
        <v>065531590</v>
      </c>
      <c r="C8896" t="s">
        <v>50</v>
      </c>
      <c r="D8896" t="s">
        <v>8082</v>
      </c>
      <c r="E8896" t="s">
        <v>237</v>
      </c>
      <c r="F8896" t="s">
        <v>383</v>
      </c>
      <c r="G8896" t="s">
        <v>191</v>
      </c>
      <c r="H8896" t="str">
        <f>" "</f>
        <v xml:space="preserve"> </v>
      </c>
      <c r="N8896" t="s">
        <v>1525</v>
      </c>
      <c r="O8896" t="s">
        <v>1526</v>
      </c>
      <c r="R8896" t="s">
        <v>57</v>
      </c>
      <c r="S8896">
        <v>14</v>
      </c>
      <c r="T8896">
        <v>187</v>
      </c>
      <c r="U8896" s="1">
        <v>32750</v>
      </c>
      <c r="V8896" t="s">
        <v>66</v>
      </c>
      <c r="W8896" t="s">
        <v>67</v>
      </c>
      <c r="X8896" t="s">
        <v>58</v>
      </c>
      <c r="Y8896">
        <v>25</v>
      </c>
      <c r="Z8896" t="s">
        <v>59</v>
      </c>
      <c r="AA8896" t="s">
        <v>59</v>
      </c>
      <c r="AB8896" t="s">
        <v>59</v>
      </c>
      <c r="AC8896" t="s">
        <v>59</v>
      </c>
      <c r="AD8896" t="s">
        <v>59</v>
      </c>
      <c r="AF8896" s="1">
        <v>32752</v>
      </c>
      <c r="AG8896" t="s">
        <v>8651</v>
      </c>
      <c r="AH8896" t="s">
        <v>8652</v>
      </c>
      <c r="AI8896" t="str">
        <f>"9410220"</f>
        <v>9410220</v>
      </c>
      <c r="AJ8896" t="s">
        <v>12943</v>
      </c>
      <c r="AK8896">
        <v>2831055513</v>
      </c>
      <c r="AL8896" t="s">
        <v>12944</v>
      </c>
      <c r="AM8896" t="s">
        <v>64</v>
      </c>
      <c r="AN8896" t="s">
        <v>65</v>
      </c>
      <c r="AO8896" t="s">
        <v>65</v>
      </c>
      <c r="AP8896" t="s">
        <v>65</v>
      </c>
      <c r="AQ8896">
        <v>1</v>
      </c>
      <c r="AR8896" t="s">
        <v>66</v>
      </c>
      <c r="AS8896" t="s">
        <v>67</v>
      </c>
      <c r="AT8896" t="s">
        <v>58</v>
      </c>
      <c r="AU8896" t="s">
        <v>68</v>
      </c>
      <c r="AV8896" t="s">
        <v>69</v>
      </c>
      <c r="AW8896" s="1">
        <v>21419</v>
      </c>
      <c r="AX8896">
        <v>1</v>
      </c>
    </row>
    <row r="8897" spans="1:50">
      <c r="B8897" t="str">
        <f>"146594642"</f>
        <v>146594642</v>
      </c>
      <c r="C8897" t="s">
        <v>50</v>
      </c>
      <c r="D8897" t="s">
        <v>8082</v>
      </c>
      <c r="E8897" t="s">
        <v>2205</v>
      </c>
      <c r="F8897" t="s">
        <v>383</v>
      </c>
      <c r="G8897" t="s">
        <v>620</v>
      </c>
      <c r="H8897" t="str">
        <f>"ΤΗΝΟΥ 23 "</f>
        <v xml:space="preserve">ΤΗΝΟΥ 23 </v>
      </c>
      <c r="I8897">
        <v>43100</v>
      </c>
      <c r="J8897">
        <v>2441073952</v>
      </c>
      <c r="K8897">
        <v>6982177516</v>
      </c>
      <c r="N8897" t="s">
        <v>615</v>
      </c>
      <c r="O8897" t="s">
        <v>616</v>
      </c>
      <c r="R8897" t="s">
        <v>159</v>
      </c>
      <c r="S8897">
        <v>3</v>
      </c>
      <c r="T8897" t="s">
        <v>8675</v>
      </c>
      <c r="U8897" s="1">
        <v>43348</v>
      </c>
      <c r="V8897" t="s">
        <v>66</v>
      </c>
      <c r="W8897" t="s">
        <v>67</v>
      </c>
      <c r="X8897" t="s">
        <v>58</v>
      </c>
      <c r="Y8897">
        <v>24</v>
      </c>
      <c r="Z8897" t="s">
        <v>59</v>
      </c>
      <c r="AA8897" t="s">
        <v>59</v>
      </c>
      <c r="AB8897" t="s">
        <v>59</v>
      </c>
      <c r="AC8897" t="s">
        <v>59</v>
      </c>
      <c r="AD8897" t="s">
        <v>59</v>
      </c>
      <c r="AF8897" s="1">
        <v>43348</v>
      </c>
      <c r="AG8897" t="s">
        <v>8645</v>
      </c>
      <c r="AH8897" t="s">
        <v>8646</v>
      </c>
      <c r="AI8897" t="str">
        <f>"9410127"</f>
        <v>9410127</v>
      </c>
      <c r="AJ8897" t="s">
        <v>12767</v>
      </c>
      <c r="AK8897">
        <v>2833022347</v>
      </c>
      <c r="AL8897" t="s">
        <v>12768</v>
      </c>
      <c r="AM8897" t="s">
        <v>64</v>
      </c>
      <c r="AN8897" t="s">
        <v>5713</v>
      </c>
      <c r="AO8897" t="s">
        <v>5714</v>
      </c>
      <c r="AP8897" t="s">
        <v>5715</v>
      </c>
      <c r="AQ8897">
        <v>5</v>
      </c>
      <c r="AR8897" t="s">
        <v>66</v>
      </c>
      <c r="AS8897" t="s">
        <v>67</v>
      </c>
      <c r="AT8897" t="s">
        <v>58</v>
      </c>
      <c r="AU8897" t="s">
        <v>8673</v>
      </c>
      <c r="AV8897" t="s">
        <v>132</v>
      </c>
      <c r="AW8897" s="1">
        <v>31611</v>
      </c>
      <c r="AX8897">
        <v>1</v>
      </c>
    </row>
    <row r="8898" spans="1:50">
      <c r="B8898" t="str">
        <f>"149614626"</f>
        <v>149614626</v>
      </c>
      <c r="C8898" t="s">
        <v>50</v>
      </c>
      <c r="D8898" t="s">
        <v>13522</v>
      </c>
      <c r="E8898" t="s">
        <v>109</v>
      </c>
      <c r="F8898" t="s">
        <v>383</v>
      </c>
      <c r="G8898" t="s">
        <v>396</v>
      </c>
      <c r="H8898" t="str">
        <f>" "</f>
        <v xml:space="preserve"> </v>
      </c>
      <c r="N8898" t="s">
        <v>1525</v>
      </c>
      <c r="O8898" t="s">
        <v>1526</v>
      </c>
      <c r="R8898" t="s">
        <v>121</v>
      </c>
      <c r="S8898">
        <v>1</v>
      </c>
      <c r="T8898" t="s">
        <v>8670</v>
      </c>
      <c r="U8898" s="1">
        <v>43348</v>
      </c>
      <c r="V8898" t="s">
        <v>66</v>
      </c>
      <c r="W8898" t="s">
        <v>67</v>
      </c>
      <c r="X8898" t="s">
        <v>58</v>
      </c>
      <c r="Y8898">
        <v>25</v>
      </c>
      <c r="Z8898" t="s">
        <v>59</v>
      </c>
      <c r="AA8898" t="s">
        <v>59</v>
      </c>
      <c r="AB8898" t="s">
        <v>59</v>
      </c>
      <c r="AD8898" t="s">
        <v>59</v>
      </c>
      <c r="AF8898" s="1">
        <v>43348</v>
      </c>
      <c r="AG8898" t="s">
        <v>8651</v>
      </c>
      <c r="AH8898" t="s">
        <v>8652</v>
      </c>
      <c r="AI8898" t="str">
        <f>"9410032"</f>
        <v>9410032</v>
      </c>
      <c r="AJ8898" t="s">
        <v>13523</v>
      </c>
      <c r="AK8898">
        <v>2834061284</v>
      </c>
      <c r="AL8898" t="s">
        <v>13524</v>
      </c>
      <c r="AM8898" t="s">
        <v>64</v>
      </c>
      <c r="AN8898" t="s">
        <v>5672</v>
      </c>
      <c r="AO8898" t="s">
        <v>12780</v>
      </c>
      <c r="AP8898" t="s">
        <v>12780</v>
      </c>
      <c r="AQ8898">
        <v>9</v>
      </c>
      <c r="AR8898" t="s">
        <v>66</v>
      </c>
      <c r="AS8898" t="s">
        <v>67</v>
      </c>
      <c r="AT8898" t="s">
        <v>58</v>
      </c>
      <c r="AU8898" t="s">
        <v>8673</v>
      </c>
      <c r="AV8898" t="s">
        <v>132</v>
      </c>
      <c r="AW8898" s="1">
        <v>31417</v>
      </c>
      <c r="AX8898">
        <v>1</v>
      </c>
    </row>
    <row r="8899" spans="1:50">
      <c r="B8899" t="str">
        <f>"144161472"</f>
        <v>144161472</v>
      </c>
      <c r="C8899" t="s">
        <v>105</v>
      </c>
      <c r="D8899" t="s">
        <v>6363</v>
      </c>
      <c r="E8899" t="s">
        <v>95</v>
      </c>
      <c r="F8899" t="s">
        <v>84</v>
      </c>
      <c r="G8899" t="s">
        <v>52</v>
      </c>
      <c r="H8899" t="str">
        <f>"ΘΡΑΚΗΣ 7 -ΕΥΟΣΜΟΣ "</f>
        <v xml:space="preserve">ΘΡΑΚΗΣ 7 -ΕΥΟΣΜΟΣ </v>
      </c>
      <c r="I8899">
        <v>56224</v>
      </c>
      <c r="J8899">
        <v>2310761393</v>
      </c>
      <c r="K8899">
        <v>6980230651</v>
      </c>
      <c r="N8899" t="s">
        <v>615</v>
      </c>
      <c r="O8899" t="s">
        <v>616</v>
      </c>
      <c r="R8899" t="s">
        <v>121</v>
      </c>
      <c r="S8899">
        <v>3</v>
      </c>
      <c r="T8899" t="s">
        <v>8675</v>
      </c>
      <c r="U8899" s="1">
        <v>43348</v>
      </c>
      <c r="V8899" t="s">
        <v>66</v>
      </c>
      <c r="W8899" t="s">
        <v>67</v>
      </c>
      <c r="X8899" t="s">
        <v>58</v>
      </c>
      <c r="Y8899">
        <v>25</v>
      </c>
      <c r="Z8899" t="s">
        <v>59</v>
      </c>
      <c r="AA8899" t="s">
        <v>59</v>
      </c>
      <c r="AB8899" t="s">
        <v>59</v>
      </c>
      <c r="AC8899" t="s">
        <v>59</v>
      </c>
      <c r="AD8899" t="s">
        <v>59</v>
      </c>
      <c r="AF8899" s="1">
        <v>43348</v>
      </c>
      <c r="AG8899" t="s">
        <v>8645</v>
      </c>
      <c r="AH8899" t="s">
        <v>8676</v>
      </c>
      <c r="AI8899" t="str">
        <f>"9410034"</f>
        <v>9410034</v>
      </c>
      <c r="AJ8899" t="s">
        <v>13028</v>
      </c>
      <c r="AK8899">
        <v>2834061446</v>
      </c>
      <c r="AL8899" t="s">
        <v>13029</v>
      </c>
      <c r="AM8899" t="s">
        <v>64</v>
      </c>
      <c r="AN8899" t="s">
        <v>5672</v>
      </c>
      <c r="AO8899" t="s">
        <v>5698</v>
      </c>
      <c r="AP8899" t="s">
        <v>13030</v>
      </c>
      <c r="AQ8899">
        <v>11</v>
      </c>
      <c r="AR8899" t="s">
        <v>66</v>
      </c>
      <c r="AS8899" t="s">
        <v>67</v>
      </c>
      <c r="AT8899" t="s">
        <v>58</v>
      </c>
      <c r="AU8899" t="s">
        <v>8673</v>
      </c>
      <c r="AV8899" t="s">
        <v>132</v>
      </c>
      <c r="AW8899" s="1">
        <v>32053</v>
      </c>
      <c r="AX8899">
        <v>1</v>
      </c>
    </row>
    <row r="8900" spans="1:50">
      <c r="A8900">
        <v>568091</v>
      </c>
      <c r="B8900" t="str">
        <f>"034577208"</f>
        <v>034577208</v>
      </c>
      <c r="C8900" t="s">
        <v>50</v>
      </c>
      <c r="D8900" t="s">
        <v>13525</v>
      </c>
      <c r="E8900" t="s">
        <v>52</v>
      </c>
      <c r="F8900" t="s">
        <v>3049</v>
      </c>
      <c r="G8900" t="s">
        <v>2088</v>
      </c>
      <c r="H8900" t="str">
        <f>"ΑΤΣΙΠΟΠΟΥΛΟ ΑΤΣΙΠΟΠΟΥΛΟ-ΡΕΘΥΜΝΟΥ"</f>
        <v>ΑΤΣΙΠΟΠΟΥΛΟ ΑΤΣΙΠΟΠΟΥΛΟ-ΡΕΘΥΜΝΟΥ</v>
      </c>
      <c r="I8900">
        <v>74100</v>
      </c>
      <c r="J8900">
        <v>2831031916</v>
      </c>
      <c r="N8900" t="s">
        <v>615</v>
      </c>
      <c r="O8900" t="s">
        <v>616</v>
      </c>
      <c r="R8900" t="s">
        <v>57</v>
      </c>
      <c r="S8900">
        <v>14</v>
      </c>
      <c r="T8900">
        <v>162</v>
      </c>
      <c r="U8900" s="1">
        <v>33844</v>
      </c>
      <c r="V8900" t="s">
        <v>66</v>
      </c>
      <c r="W8900" t="s">
        <v>67</v>
      </c>
      <c r="X8900" t="s">
        <v>58</v>
      </c>
      <c r="Y8900">
        <v>21</v>
      </c>
      <c r="Z8900" t="s">
        <v>59</v>
      </c>
      <c r="AA8900" t="s">
        <v>59</v>
      </c>
      <c r="AB8900" t="s">
        <v>59</v>
      </c>
      <c r="AC8900" t="s">
        <v>59</v>
      </c>
      <c r="AD8900" t="s">
        <v>59</v>
      </c>
      <c r="AF8900" s="1">
        <v>33848</v>
      </c>
      <c r="AG8900" t="s">
        <v>8645</v>
      </c>
      <c r="AH8900" t="s">
        <v>8646</v>
      </c>
      <c r="AI8900" t="str">
        <f>"9410180"</f>
        <v>9410180</v>
      </c>
      <c r="AJ8900" t="s">
        <v>12696</v>
      </c>
      <c r="AK8900">
        <v>2831031206</v>
      </c>
      <c r="AL8900" t="s">
        <v>12697</v>
      </c>
      <c r="AM8900" t="s">
        <v>64</v>
      </c>
      <c r="AN8900" t="s">
        <v>65</v>
      </c>
      <c r="AO8900" t="s">
        <v>5720</v>
      </c>
      <c r="AP8900" t="s">
        <v>12698</v>
      </c>
      <c r="AQ8900">
        <v>2</v>
      </c>
      <c r="AR8900" t="s">
        <v>66</v>
      </c>
      <c r="AS8900" t="s">
        <v>67</v>
      </c>
      <c r="AT8900" t="s">
        <v>58</v>
      </c>
      <c r="AU8900" t="s">
        <v>68</v>
      </c>
      <c r="AV8900" t="s">
        <v>69</v>
      </c>
      <c r="AW8900" s="1">
        <v>24125</v>
      </c>
      <c r="AX8900">
        <v>1</v>
      </c>
    </row>
    <row r="8901" spans="1:50">
      <c r="B8901" t="str">
        <f>"111639351"</f>
        <v>111639351</v>
      </c>
      <c r="C8901" t="s">
        <v>50</v>
      </c>
      <c r="D8901" t="s">
        <v>8102</v>
      </c>
      <c r="E8901" t="s">
        <v>52</v>
      </c>
      <c r="F8901" t="s">
        <v>13526</v>
      </c>
      <c r="G8901" t="s">
        <v>13527</v>
      </c>
      <c r="H8901" t="str">
        <f>"ΚΑΠΟΔΙΣΤΡΙΟΥ 40 "</f>
        <v xml:space="preserve">ΚΑΠΟΔΙΣΤΡΙΟΥ 40 </v>
      </c>
      <c r="I8901">
        <v>74100</v>
      </c>
      <c r="J8901">
        <v>2831301063</v>
      </c>
      <c r="K8901">
        <v>6977603182</v>
      </c>
      <c r="N8901" t="s">
        <v>615</v>
      </c>
      <c r="O8901" t="s">
        <v>616</v>
      </c>
      <c r="R8901" t="s">
        <v>159</v>
      </c>
      <c r="S8901">
        <v>5</v>
      </c>
      <c r="T8901" t="s">
        <v>8675</v>
      </c>
      <c r="U8901" s="1">
        <v>43348</v>
      </c>
      <c r="V8901" t="s">
        <v>66</v>
      </c>
      <c r="W8901" t="s">
        <v>67</v>
      </c>
      <c r="X8901" t="s">
        <v>58</v>
      </c>
      <c r="Y8901">
        <v>25</v>
      </c>
      <c r="Z8901" t="s">
        <v>59</v>
      </c>
      <c r="AA8901" t="s">
        <v>59</v>
      </c>
      <c r="AB8901" t="s">
        <v>59</v>
      </c>
      <c r="AC8901" t="s">
        <v>59</v>
      </c>
      <c r="AD8901" t="s">
        <v>59</v>
      </c>
      <c r="AF8901" s="1">
        <v>43348</v>
      </c>
      <c r="AG8901" t="s">
        <v>8645</v>
      </c>
      <c r="AH8901" t="s">
        <v>8676</v>
      </c>
      <c r="AI8901" t="str">
        <f>"9410109"</f>
        <v>9410109</v>
      </c>
      <c r="AJ8901" t="s">
        <v>13002</v>
      </c>
      <c r="AK8901">
        <v>2832041235</v>
      </c>
      <c r="AL8901" t="s">
        <v>13003</v>
      </c>
      <c r="AM8901" t="s">
        <v>64</v>
      </c>
      <c r="AN8901" t="s">
        <v>5882</v>
      </c>
      <c r="AO8901" t="s">
        <v>5883</v>
      </c>
      <c r="AP8901" t="s">
        <v>13004</v>
      </c>
      <c r="AQ8901">
        <v>6</v>
      </c>
      <c r="AR8901" t="s">
        <v>66</v>
      </c>
      <c r="AS8901" t="s">
        <v>67</v>
      </c>
      <c r="AT8901" t="s">
        <v>58</v>
      </c>
      <c r="AU8901" t="s">
        <v>8673</v>
      </c>
      <c r="AV8901" t="s">
        <v>132</v>
      </c>
      <c r="AW8901" s="1">
        <v>31122</v>
      </c>
      <c r="AX8901">
        <v>1</v>
      </c>
    </row>
    <row r="8902" spans="1:50">
      <c r="A8902">
        <v>575697</v>
      </c>
      <c r="B8902" t="str">
        <f>"065614309"</f>
        <v>065614309</v>
      </c>
      <c r="C8902" t="s">
        <v>50</v>
      </c>
      <c r="D8902" t="s">
        <v>13528</v>
      </c>
      <c r="E8902" t="s">
        <v>54</v>
      </c>
      <c r="F8902" t="s">
        <v>53</v>
      </c>
      <c r="G8902" t="s">
        <v>255</v>
      </c>
      <c r="H8902" t="str">
        <f>"ΚΑΠΟΔΙΣΤΡΙΟΥ 59 ΚΑΛΛΙΘΕΑ"</f>
        <v>ΚΑΠΟΔΙΣΤΡΙΟΥ 59 ΚΑΛΛΙΘΕΑ</v>
      </c>
      <c r="I8902">
        <v>74132</v>
      </c>
      <c r="J8902">
        <v>2831053952</v>
      </c>
      <c r="K8902">
        <v>6976792426</v>
      </c>
      <c r="M8902" t="s">
        <v>13529</v>
      </c>
      <c r="N8902" t="s">
        <v>615</v>
      </c>
      <c r="O8902" t="s">
        <v>616</v>
      </c>
      <c r="R8902" t="s">
        <v>57</v>
      </c>
      <c r="S8902">
        <v>13</v>
      </c>
      <c r="T8902">
        <v>184</v>
      </c>
      <c r="U8902" s="1">
        <v>34941</v>
      </c>
      <c r="V8902" t="s">
        <v>66</v>
      </c>
      <c r="W8902" t="s">
        <v>67</v>
      </c>
      <c r="X8902" t="s">
        <v>58</v>
      </c>
      <c r="Y8902">
        <v>21</v>
      </c>
      <c r="Z8902" t="s">
        <v>59</v>
      </c>
      <c r="AA8902" t="s">
        <v>59</v>
      </c>
      <c r="AB8902" t="s">
        <v>59</v>
      </c>
      <c r="AC8902" t="s">
        <v>59</v>
      </c>
      <c r="AD8902" t="s">
        <v>59</v>
      </c>
      <c r="AF8902" s="1">
        <v>34943</v>
      </c>
      <c r="AG8902" t="s">
        <v>8645</v>
      </c>
      <c r="AH8902" t="s">
        <v>8646</v>
      </c>
      <c r="AI8902" t="str">
        <f>"9410241"</f>
        <v>9410241</v>
      </c>
      <c r="AJ8902" t="s">
        <v>12783</v>
      </c>
      <c r="AK8902">
        <v>2831022616</v>
      </c>
      <c r="AL8902" t="s">
        <v>12784</v>
      </c>
      <c r="AM8902" t="s">
        <v>64</v>
      </c>
      <c r="AN8902" t="s">
        <v>65</v>
      </c>
      <c r="AO8902" t="s">
        <v>65</v>
      </c>
      <c r="AP8902" t="s">
        <v>65</v>
      </c>
      <c r="AQ8902">
        <v>1</v>
      </c>
      <c r="AR8902" t="s">
        <v>66</v>
      </c>
      <c r="AS8902" t="s">
        <v>67</v>
      </c>
      <c r="AT8902" t="s">
        <v>58</v>
      </c>
      <c r="AU8902" t="s">
        <v>68</v>
      </c>
      <c r="AV8902" t="s">
        <v>69</v>
      </c>
      <c r="AW8902" s="1">
        <v>24707</v>
      </c>
      <c r="AX8902">
        <v>1</v>
      </c>
    </row>
    <row r="8903" spans="1:50">
      <c r="A8903">
        <v>700048</v>
      </c>
      <c r="B8903" t="str">
        <f>"113632289"</f>
        <v>113632289</v>
      </c>
      <c r="C8903" t="s">
        <v>50</v>
      </c>
      <c r="D8903" t="s">
        <v>13530</v>
      </c>
      <c r="E8903" t="s">
        <v>52</v>
      </c>
      <c r="F8903" t="s">
        <v>670</v>
      </c>
      <c r="G8903" t="s">
        <v>83</v>
      </c>
      <c r="H8903" t="str">
        <f>"ΕΛΕΥΘΕΡΝΑΣ 3 ΡΕΘΥΜΝΟ"</f>
        <v>ΕΛΕΥΘΕΡΝΑΣ 3 ΡΕΘΥΜΝΟ</v>
      </c>
      <c r="I8903">
        <v>74100</v>
      </c>
      <c r="J8903">
        <v>2831040959</v>
      </c>
      <c r="K8903">
        <v>6977583906</v>
      </c>
      <c r="N8903" t="s">
        <v>1525</v>
      </c>
      <c r="O8903" t="s">
        <v>1526</v>
      </c>
      <c r="R8903" t="s">
        <v>57</v>
      </c>
      <c r="S8903">
        <v>4</v>
      </c>
      <c r="T8903" t="s">
        <v>10173</v>
      </c>
      <c r="U8903" s="1">
        <v>40413</v>
      </c>
      <c r="V8903" t="s">
        <v>66</v>
      </c>
      <c r="W8903" t="s">
        <v>67</v>
      </c>
      <c r="X8903" t="s">
        <v>58</v>
      </c>
      <c r="Y8903">
        <v>25</v>
      </c>
      <c r="Z8903" t="s">
        <v>59</v>
      </c>
      <c r="AA8903" t="s">
        <v>59</v>
      </c>
      <c r="AB8903" t="s">
        <v>59</v>
      </c>
      <c r="AC8903" t="s">
        <v>59</v>
      </c>
      <c r="AD8903" t="s">
        <v>59</v>
      </c>
      <c r="AF8903" s="1">
        <v>40413</v>
      </c>
      <c r="AG8903" t="s">
        <v>8651</v>
      </c>
      <c r="AH8903" t="s">
        <v>8652</v>
      </c>
      <c r="AI8903" t="str">
        <f>"9410147"</f>
        <v>9410147</v>
      </c>
      <c r="AJ8903" t="s">
        <v>13497</v>
      </c>
      <c r="AK8903">
        <v>2831061838</v>
      </c>
      <c r="AL8903" t="s">
        <v>13498</v>
      </c>
      <c r="AM8903" t="s">
        <v>64</v>
      </c>
      <c r="AN8903" t="s">
        <v>65</v>
      </c>
      <c r="AO8903" t="s">
        <v>5657</v>
      </c>
      <c r="AP8903" t="s">
        <v>1437</v>
      </c>
      <c r="AQ8903">
        <v>2</v>
      </c>
      <c r="AR8903" t="s">
        <v>66</v>
      </c>
      <c r="AS8903" t="s">
        <v>67</v>
      </c>
      <c r="AT8903" t="s">
        <v>58</v>
      </c>
      <c r="AU8903" t="s">
        <v>68</v>
      </c>
      <c r="AV8903" t="s">
        <v>69</v>
      </c>
      <c r="AW8903" s="1">
        <v>29883</v>
      </c>
      <c r="AX8903">
        <v>1</v>
      </c>
    </row>
    <row r="8904" spans="1:50">
      <c r="A8904">
        <v>575564</v>
      </c>
      <c r="B8904" t="str">
        <f>"038439386"</f>
        <v>038439386</v>
      </c>
      <c r="C8904" t="s">
        <v>105</v>
      </c>
      <c r="D8904" t="s">
        <v>6371</v>
      </c>
      <c r="E8904" t="s">
        <v>95</v>
      </c>
      <c r="F8904" t="s">
        <v>99</v>
      </c>
      <c r="G8904" t="s">
        <v>658</v>
      </c>
      <c r="H8904" t="str">
        <f>"ΟΙΚΙΣΜΟΣ ΓΑΛΛΟΥ ΓΑΛΛΟΣ ΡΕΘΥΜΝΟΥ"</f>
        <v>ΟΙΚΙΣΜΟΣ ΓΑΛΛΟΥ ΓΑΛΛΟΣ ΡΕΘΥΜΝΟΥ</v>
      </c>
      <c r="I8904">
        <v>74132</v>
      </c>
      <c r="J8904">
        <v>2831058586</v>
      </c>
      <c r="K8904">
        <v>6939967130</v>
      </c>
      <c r="M8904" t="s">
        <v>13531</v>
      </c>
      <c r="N8904" t="s">
        <v>615</v>
      </c>
      <c r="O8904" t="s">
        <v>616</v>
      </c>
      <c r="R8904" t="s">
        <v>57</v>
      </c>
      <c r="S8904">
        <v>13</v>
      </c>
      <c r="T8904">
        <v>184</v>
      </c>
      <c r="U8904" s="1">
        <v>34941</v>
      </c>
      <c r="V8904" t="s">
        <v>66</v>
      </c>
      <c r="W8904" t="s">
        <v>67</v>
      </c>
      <c r="X8904" t="s">
        <v>58</v>
      </c>
      <c r="Y8904">
        <v>21</v>
      </c>
      <c r="Z8904" t="s">
        <v>59</v>
      </c>
      <c r="AA8904" t="s">
        <v>59</v>
      </c>
      <c r="AB8904" t="s">
        <v>59</v>
      </c>
      <c r="AC8904" t="s">
        <v>59</v>
      </c>
      <c r="AD8904" t="s">
        <v>59</v>
      </c>
      <c r="AF8904" s="1">
        <v>34943</v>
      </c>
      <c r="AG8904" t="s">
        <v>8645</v>
      </c>
      <c r="AH8904" t="s">
        <v>8646</v>
      </c>
      <c r="AI8904" t="str">
        <f>"9410263"</f>
        <v>9410263</v>
      </c>
      <c r="AJ8904" t="s">
        <v>12672</v>
      </c>
      <c r="AK8904">
        <v>2831053818</v>
      </c>
      <c r="AL8904" t="s">
        <v>12673</v>
      </c>
      <c r="AM8904" t="s">
        <v>64</v>
      </c>
      <c r="AN8904" t="s">
        <v>65</v>
      </c>
      <c r="AO8904" t="s">
        <v>65</v>
      </c>
      <c r="AP8904" t="s">
        <v>65</v>
      </c>
      <c r="AQ8904">
        <v>1</v>
      </c>
      <c r="AR8904" t="s">
        <v>66</v>
      </c>
      <c r="AS8904" t="s">
        <v>67</v>
      </c>
      <c r="AT8904" t="s">
        <v>58</v>
      </c>
      <c r="AU8904" t="s">
        <v>68</v>
      </c>
      <c r="AV8904" t="s">
        <v>2039</v>
      </c>
      <c r="AW8904" s="1">
        <v>24332</v>
      </c>
      <c r="AX8904">
        <v>1</v>
      </c>
    </row>
    <row r="8905" spans="1:50">
      <c r="A8905">
        <v>585859</v>
      </c>
      <c r="B8905" t="str">
        <f>"057942796"</f>
        <v>057942796</v>
      </c>
      <c r="C8905" t="s">
        <v>105</v>
      </c>
      <c r="D8905" t="s">
        <v>1258</v>
      </c>
      <c r="E8905" t="s">
        <v>13532</v>
      </c>
      <c r="F8905" t="s">
        <v>1330</v>
      </c>
      <c r="G8905" t="s">
        <v>1927</v>
      </c>
      <c r="H8905" t="str">
        <f>" "</f>
        <v xml:space="preserve"> </v>
      </c>
      <c r="N8905" t="s">
        <v>615</v>
      </c>
      <c r="O8905" t="s">
        <v>616</v>
      </c>
      <c r="R8905" t="s">
        <v>57</v>
      </c>
      <c r="S8905">
        <v>9</v>
      </c>
      <c r="T8905">
        <v>165</v>
      </c>
      <c r="U8905" s="1">
        <v>36040</v>
      </c>
      <c r="V8905" t="s">
        <v>66</v>
      </c>
      <c r="W8905" t="s">
        <v>67</v>
      </c>
      <c r="X8905" t="s">
        <v>58</v>
      </c>
      <c r="Y8905">
        <v>21</v>
      </c>
      <c r="Z8905" t="s">
        <v>59</v>
      </c>
      <c r="AA8905" t="s">
        <v>59</v>
      </c>
      <c r="AB8905" t="s">
        <v>59</v>
      </c>
      <c r="AC8905" t="s">
        <v>59</v>
      </c>
      <c r="AD8905" t="s">
        <v>59</v>
      </c>
      <c r="AF8905" s="1">
        <v>36040</v>
      </c>
      <c r="AG8905" t="s">
        <v>8645</v>
      </c>
      <c r="AH8905" t="s">
        <v>8646</v>
      </c>
      <c r="AI8905" t="str">
        <f>"9410067"</f>
        <v>9410067</v>
      </c>
      <c r="AJ8905" t="s">
        <v>12736</v>
      </c>
      <c r="AK8905">
        <v>2831022836</v>
      </c>
      <c r="AL8905" t="s">
        <v>12737</v>
      </c>
      <c r="AM8905" t="s">
        <v>64</v>
      </c>
      <c r="AN8905" t="s">
        <v>65</v>
      </c>
      <c r="AO8905" t="s">
        <v>65</v>
      </c>
      <c r="AP8905" t="s">
        <v>65</v>
      </c>
      <c r="AQ8905">
        <v>1</v>
      </c>
      <c r="AR8905" t="s">
        <v>66</v>
      </c>
      <c r="AS8905" t="s">
        <v>67</v>
      </c>
      <c r="AT8905" t="s">
        <v>58</v>
      </c>
      <c r="AU8905" t="s">
        <v>68</v>
      </c>
      <c r="AV8905" t="s">
        <v>69</v>
      </c>
      <c r="AW8905" s="1">
        <v>24281</v>
      </c>
      <c r="AX8905">
        <v>1</v>
      </c>
    </row>
    <row r="8906" spans="1:50">
      <c r="B8906" t="str">
        <f>"100074563"</f>
        <v>100074563</v>
      </c>
      <c r="C8906" t="s">
        <v>50</v>
      </c>
      <c r="D8906" t="s">
        <v>8112</v>
      </c>
      <c r="E8906" t="s">
        <v>396</v>
      </c>
      <c r="F8906" t="s">
        <v>4105</v>
      </c>
      <c r="G8906" t="s">
        <v>52</v>
      </c>
      <c r="H8906" t="str">
        <f>"ΗΓ.ΓΑΒΡΙΗΛ 32 "</f>
        <v xml:space="preserve">ΗΓ.ΓΑΒΡΙΗΛ 32 </v>
      </c>
      <c r="I8906">
        <v>74100</v>
      </c>
      <c r="J8906">
        <v>2831058770</v>
      </c>
      <c r="K8906">
        <v>6976333393</v>
      </c>
      <c r="N8906" t="s">
        <v>337</v>
      </c>
      <c r="O8906" t="s">
        <v>338</v>
      </c>
      <c r="R8906" t="s">
        <v>159</v>
      </c>
      <c r="S8906">
        <v>3</v>
      </c>
      <c r="T8906" t="s">
        <v>8675</v>
      </c>
      <c r="U8906" s="1">
        <v>43348</v>
      </c>
      <c r="V8906" t="s">
        <v>66</v>
      </c>
      <c r="W8906" t="s">
        <v>67</v>
      </c>
      <c r="X8906" t="s">
        <v>58</v>
      </c>
      <c r="Y8906">
        <v>24</v>
      </c>
      <c r="Z8906" t="s">
        <v>59</v>
      </c>
      <c r="AA8906" t="s">
        <v>59</v>
      </c>
      <c r="AB8906" t="s">
        <v>59</v>
      </c>
      <c r="AC8906" t="s">
        <v>59</v>
      </c>
      <c r="AD8906" t="s">
        <v>59</v>
      </c>
      <c r="AF8906" s="1">
        <v>43348</v>
      </c>
      <c r="AG8906" t="s">
        <v>8645</v>
      </c>
      <c r="AH8906" t="s">
        <v>8646</v>
      </c>
      <c r="AI8906" t="str">
        <f>"9410155"</f>
        <v>9410155</v>
      </c>
      <c r="AJ8906" t="s">
        <v>12663</v>
      </c>
      <c r="AK8906">
        <v>2831028697</v>
      </c>
      <c r="AL8906" t="s">
        <v>12664</v>
      </c>
      <c r="AM8906" t="s">
        <v>64</v>
      </c>
      <c r="AN8906" t="s">
        <v>65</v>
      </c>
      <c r="AO8906" t="s">
        <v>65</v>
      </c>
      <c r="AP8906" t="s">
        <v>65</v>
      </c>
      <c r="AQ8906">
        <v>1</v>
      </c>
      <c r="AR8906" t="s">
        <v>66</v>
      </c>
      <c r="AS8906" t="s">
        <v>67</v>
      </c>
      <c r="AT8906" t="s">
        <v>58</v>
      </c>
      <c r="AU8906" t="s">
        <v>8673</v>
      </c>
      <c r="AV8906" t="s">
        <v>132</v>
      </c>
      <c r="AW8906" s="1">
        <v>29389</v>
      </c>
      <c r="AX8906">
        <v>1</v>
      </c>
    </row>
    <row r="8907" spans="1:50">
      <c r="A8907">
        <v>701979</v>
      </c>
      <c r="B8907" t="str">
        <f>"065483839"</f>
        <v>065483839</v>
      </c>
      <c r="C8907" t="s">
        <v>50</v>
      </c>
      <c r="D8907" t="s">
        <v>8112</v>
      </c>
      <c r="E8907" t="s">
        <v>52</v>
      </c>
      <c r="F8907" t="s">
        <v>166</v>
      </c>
      <c r="G8907" t="s">
        <v>610</v>
      </c>
      <c r="H8907" t="str">
        <f>"ΑΝΩΓΕΙΑ ΡΕΘΥΜΝΟ"</f>
        <v>ΑΝΩΓΕΙΑ ΡΕΘΥΜΝΟ</v>
      </c>
      <c r="I8907">
        <v>74051</v>
      </c>
      <c r="J8907">
        <v>2834031262</v>
      </c>
      <c r="K8907">
        <v>6972096080</v>
      </c>
      <c r="N8907" t="s">
        <v>1525</v>
      </c>
      <c r="O8907" t="s">
        <v>1526</v>
      </c>
      <c r="R8907" t="s">
        <v>57</v>
      </c>
      <c r="S8907">
        <v>4</v>
      </c>
      <c r="T8907">
        <v>772</v>
      </c>
      <c r="U8907" s="1">
        <v>40413</v>
      </c>
      <c r="V8907" t="s">
        <v>66</v>
      </c>
      <c r="W8907" t="s">
        <v>67</v>
      </c>
      <c r="X8907" t="s">
        <v>58</v>
      </c>
      <c r="Y8907">
        <v>25</v>
      </c>
      <c r="Z8907" t="s">
        <v>59</v>
      </c>
      <c r="AA8907" t="s">
        <v>59</v>
      </c>
      <c r="AB8907" t="s">
        <v>59</v>
      </c>
      <c r="AC8907" t="s">
        <v>59</v>
      </c>
      <c r="AD8907" t="s">
        <v>59</v>
      </c>
      <c r="AF8907" s="1">
        <v>40413</v>
      </c>
      <c r="AG8907" t="s">
        <v>8651</v>
      </c>
      <c r="AH8907" t="s">
        <v>8652</v>
      </c>
      <c r="AI8907" t="str">
        <f>"9410005"</f>
        <v>9410005</v>
      </c>
      <c r="AJ8907" t="s">
        <v>13533</v>
      </c>
      <c r="AK8907">
        <v>2834031184</v>
      </c>
      <c r="AL8907" t="s">
        <v>13534</v>
      </c>
      <c r="AM8907" t="s">
        <v>64</v>
      </c>
      <c r="AN8907" t="s">
        <v>5737</v>
      </c>
      <c r="AO8907" t="s">
        <v>5737</v>
      </c>
      <c r="AP8907" t="s">
        <v>5737</v>
      </c>
      <c r="AQ8907">
        <v>9</v>
      </c>
      <c r="AR8907" t="s">
        <v>66</v>
      </c>
      <c r="AS8907" t="s">
        <v>67</v>
      </c>
      <c r="AT8907" t="s">
        <v>58</v>
      </c>
      <c r="AU8907" t="s">
        <v>68</v>
      </c>
      <c r="AV8907" t="s">
        <v>69</v>
      </c>
      <c r="AW8907" s="1">
        <v>30898</v>
      </c>
      <c r="AX8907">
        <v>1</v>
      </c>
    </row>
    <row r="8908" spans="1:50">
      <c r="A8908">
        <v>587848</v>
      </c>
      <c r="B8908" t="str">
        <f>"065998073"</f>
        <v>065998073</v>
      </c>
      <c r="C8908" t="s">
        <v>50</v>
      </c>
      <c r="D8908" t="s">
        <v>13535</v>
      </c>
      <c r="E8908" t="s">
        <v>476</v>
      </c>
      <c r="F8908" t="s">
        <v>230</v>
      </c>
      <c r="G8908" t="s">
        <v>506</v>
      </c>
      <c r="H8908" t="str">
        <f>"ΣΟΦ. ΒΕΝΙΖΕΛΟΥ 44 ΡΕΘΥΜΝΟ"</f>
        <v>ΣΟΦ. ΒΕΝΙΖΕΛΟΥ 44 ΡΕΘΥΜΝΟ</v>
      </c>
      <c r="I8908">
        <v>74100</v>
      </c>
      <c r="J8908">
        <v>2831058391</v>
      </c>
      <c r="K8908">
        <v>6981073673</v>
      </c>
      <c r="N8908" t="s">
        <v>615</v>
      </c>
      <c r="O8908" t="s">
        <v>616</v>
      </c>
      <c r="P8908" t="s">
        <v>257</v>
      </c>
      <c r="Q8908" t="s">
        <v>258</v>
      </c>
      <c r="R8908" t="s">
        <v>57</v>
      </c>
      <c r="S8908">
        <v>11</v>
      </c>
      <c r="T8908">
        <v>250</v>
      </c>
      <c r="U8908" s="1">
        <v>36160</v>
      </c>
      <c r="V8908" t="s">
        <v>66</v>
      </c>
      <c r="W8908" t="s">
        <v>67</v>
      </c>
      <c r="X8908" t="s">
        <v>58</v>
      </c>
      <c r="Y8908">
        <v>21</v>
      </c>
      <c r="Z8908" t="s">
        <v>59</v>
      </c>
      <c r="AA8908" t="s">
        <v>59</v>
      </c>
      <c r="AB8908" t="s">
        <v>59</v>
      </c>
      <c r="AC8908" t="s">
        <v>59</v>
      </c>
      <c r="AD8908" t="s">
        <v>59</v>
      </c>
      <c r="AF8908" s="1">
        <v>36182</v>
      </c>
      <c r="AG8908" t="s">
        <v>8645</v>
      </c>
      <c r="AH8908" t="s">
        <v>8697</v>
      </c>
      <c r="AI8908" t="str">
        <f>"9410243"</f>
        <v>9410243</v>
      </c>
      <c r="AJ8908" t="s">
        <v>12885</v>
      </c>
      <c r="AK8908">
        <v>2831026710</v>
      </c>
      <c r="AL8908" t="s">
        <v>12886</v>
      </c>
      <c r="AM8908" t="s">
        <v>64</v>
      </c>
      <c r="AN8908" t="s">
        <v>65</v>
      </c>
      <c r="AO8908" t="s">
        <v>65</v>
      </c>
      <c r="AP8908" t="s">
        <v>65</v>
      </c>
      <c r="AQ8908">
        <v>1</v>
      </c>
      <c r="AR8908" t="s">
        <v>66</v>
      </c>
      <c r="AS8908" t="s">
        <v>67</v>
      </c>
      <c r="AT8908" t="s">
        <v>58</v>
      </c>
      <c r="AU8908" t="s">
        <v>68</v>
      </c>
      <c r="AV8908" t="s">
        <v>69</v>
      </c>
      <c r="AW8908" s="1">
        <v>26166</v>
      </c>
      <c r="AX8908">
        <v>1</v>
      </c>
    </row>
    <row r="8909" spans="1:50">
      <c r="B8909" t="str">
        <f>"049833438"</f>
        <v>049833438</v>
      </c>
      <c r="C8909" t="s">
        <v>105</v>
      </c>
      <c r="D8909" t="s">
        <v>13536</v>
      </c>
      <c r="E8909" t="s">
        <v>106</v>
      </c>
      <c r="F8909" t="s">
        <v>72</v>
      </c>
      <c r="G8909" t="s">
        <v>3477</v>
      </c>
      <c r="H8909" t="str">
        <f>"ΝΕΣΤΟΡΙΟ ΚΑΣΤΟΡΙΑΣ ΝΕΣΤΟΡΙΟ"</f>
        <v>ΝΕΣΤΟΡΙΟ ΚΑΣΤΟΡΙΑΣ ΝΕΣΤΟΡΙΟ</v>
      </c>
      <c r="I8909">
        <v>52051</v>
      </c>
      <c r="J8909">
        <v>2467031408</v>
      </c>
      <c r="K8909">
        <v>6932092978</v>
      </c>
      <c r="M8909" t="s">
        <v>13537</v>
      </c>
      <c r="N8909" t="s">
        <v>204</v>
      </c>
      <c r="O8909" t="s">
        <v>205</v>
      </c>
      <c r="R8909" t="s">
        <v>159</v>
      </c>
      <c r="S8909">
        <v>3</v>
      </c>
      <c r="T8909" t="s">
        <v>8675</v>
      </c>
      <c r="U8909" s="1">
        <v>43348</v>
      </c>
      <c r="V8909" t="s">
        <v>66</v>
      </c>
      <c r="W8909" t="s">
        <v>67</v>
      </c>
      <c r="X8909" t="s">
        <v>58</v>
      </c>
      <c r="Y8909">
        <v>24</v>
      </c>
      <c r="Z8909" t="s">
        <v>59</v>
      </c>
      <c r="AA8909" t="s">
        <v>59</v>
      </c>
      <c r="AB8909" t="s">
        <v>59</v>
      </c>
      <c r="AC8909" t="s">
        <v>59</v>
      </c>
      <c r="AD8909" t="s">
        <v>59</v>
      </c>
      <c r="AF8909" s="1">
        <v>43348</v>
      </c>
      <c r="AG8909" t="s">
        <v>8645</v>
      </c>
      <c r="AH8909" t="s">
        <v>8646</v>
      </c>
      <c r="AI8909" t="str">
        <f>"9410114"</f>
        <v>9410114</v>
      </c>
      <c r="AJ8909" t="s">
        <v>12877</v>
      </c>
      <c r="AK8909">
        <v>2832031291</v>
      </c>
      <c r="AL8909" t="s">
        <v>12878</v>
      </c>
      <c r="AM8909" t="s">
        <v>64</v>
      </c>
      <c r="AN8909" t="s">
        <v>5882</v>
      </c>
      <c r="AO8909" t="s">
        <v>6099</v>
      </c>
      <c r="AP8909" t="s">
        <v>12815</v>
      </c>
      <c r="AQ8909">
        <v>5</v>
      </c>
      <c r="AR8909" t="s">
        <v>66</v>
      </c>
      <c r="AS8909" t="s">
        <v>67</v>
      </c>
      <c r="AT8909" t="s">
        <v>58</v>
      </c>
      <c r="AU8909" t="s">
        <v>8673</v>
      </c>
      <c r="AV8909" t="s">
        <v>132</v>
      </c>
      <c r="AW8909" s="1">
        <v>29271</v>
      </c>
      <c r="AX8909">
        <v>1</v>
      </c>
    </row>
    <row r="8910" spans="1:50">
      <c r="B8910" t="str">
        <f>"143658833"</f>
        <v>143658833</v>
      </c>
      <c r="C8910" t="s">
        <v>50</v>
      </c>
      <c r="D8910" t="s">
        <v>13538</v>
      </c>
      <c r="E8910" t="s">
        <v>83</v>
      </c>
      <c r="F8910" t="s">
        <v>99</v>
      </c>
      <c r="G8910" t="s">
        <v>3249</v>
      </c>
      <c r="H8910" t="str">
        <f>"ΒΙΟΛΙ ΧΑΡΑΚΙ ΑΤΣΙΠΟΠΟΥΛΟ"</f>
        <v>ΒΙΟΛΙ ΧΑΡΑΚΙ ΑΤΣΙΠΟΠΟΥΛΟ</v>
      </c>
      <c r="I8910">
        <v>74100</v>
      </c>
      <c r="J8910">
        <v>2831030389</v>
      </c>
      <c r="K8910">
        <v>6974578782</v>
      </c>
      <c r="M8910" t="s">
        <v>13539</v>
      </c>
      <c r="N8910" t="s">
        <v>615</v>
      </c>
      <c r="O8910" t="s">
        <v>616</v>
      </c>
      <c r="R8910" t="s">
        <v>159</v>
      </c>
      <c r="S8910">
        <v>3</v>
      </c>
      <c r="T8910" t="s">
        <v>8675</v>
      </c>
      <c r="U8910" s="1">
        <v>43348</v>
      </c>
      <c r="V8910" t="s">
        <v>66</v>
      </c>
      <c r="W8910" t="s">
        <v>67</v>
      </c>
      <c r="X8910" t="s">
        <v>58</v>
      </c>
      <c r="Y8910">
        <v>24</v>
      </c>
      <c r="Z8910" t="s">
        <v>59</v>
      </c>
      <c r="AA8910" t="s">
        <v>59</v>
      </c>
      <c r="AB8910" t="s">
        <v>59</v>
      </c>
      <c r="AC8910" t="s">
        <v>59</v>
      </c>
      <c r="AD8910" t="s">
        <v>59</v>
      </c>
      <c r="AF8910" s="1">
        <v>43348</v>
      </c>
      <c r="AG8910" t="s">
        <v>8645</v>
      </c>
      <c r="AH8910" t="s">
        <v>8646</v>
      </c>
      <c r="AI8910" t="str">
        <f>"9410127"</f>
        <v>9410127</v>
      </c>
      <c r="AJ8910" t="s">
        <v>12767</v>
      </c>
      <c r="AK8910">
        <v>2833022347</v>
      </c>
      <c r="AL8910" t="s">
        <v>12768</v>
      </c>
      <c r="AM8910" t="s">
        <v>64</v>
      </c>
      <c r="AN8910" t="s">
        <v>5713</v>
      </c>
      <c r="AO8910" t="s">
        <v>5714</v>
      </c>
      <c r="AP8910" t="s">
        <v>5715</v>
      </c>
      <c r="AQ8910">
        <v>5</v>
      </c>
      <c r="AR8910" t="s">
        <v>66</v>
      </c>
      <c r="AS8910" t="s">
        <v>67</v>
      </c>
      <c r="AT8910" t="s">
        <v>58</v>
      </c>
      <c r="AU8910" t="s">
        <v>8673</v>
      </c>
      <c r="AV8910" t="s">
        <v>132</v>
      </c>
      <c r="AW8910" s="1">
        <v>32059</v>
      </c>
      <c r="AX8910">
        <v>1</v>
      </c>
    </row>
    <row r="8911" spans="1:50">
      <c r="B8911" t="str">
        <f>"137244287"</f>
        <v>137244287</v>
      </c>
      <c r="C8911" t="s">
        <v>50</v>
      </c>
      <c r="D8911" t="s">
        <v>3299</v>
      </c>
      <c r="E8911" t="s">
        <v>188</v>
      </c>
      <c r="F8911" t="s">
        <v>95</v>
      </c>
      <c r="G8911" t="s">
        <v>3706</v>
      </c>
      <c r="H8911" t="str">
        <f>"ΑΠΟΣΤΟΛΟΥ ΠΑΥΛΟΥ 3 "</f>
        <v xml:space="preserve">ΑΠΟΣΤΟΛΟΥ ΠΑΥΛΟΥ 3 </v>
      </c>
      <c r="I8911">
        <v>71201</v>
      </c>
      <c r="J8911">
        <v>2810343818</v>
      </c>
      <c r="K8911">
        <v>6936489921</v>
      </c>
      <c r="N8911" t="s">
        <v>1525</v>
      </c>
      <c r="O8911" t="s">
        <v>1526</v>
      </c>
      <c r="R8911" t="s">
        <v>159</v>
      </c>
      <c r="S8911">
        <v>1</v>
      </c>
      <c r="T8911" t="s">
        <v>8670</v>
      </c>
      <c r="U8911" s="1">
        <v>43348</v>
      </c>
      <c r="V8911" t="s">
        <v>66</v>
      </c>
      <c r="W8911" t="s">
        <v>67</v>
      </c>
      <c r="X8911" t="s">
        <v>58</v>
      </c>
      <c r="Y8911">
        <v>25</v>
      </c>
      <c r="Z8911" t="s">
        <v>59</v>
      </c>
      <c r="AA8911" t="s">
        <v>59</v>
      </c>
      <c r="AB8911" t="s">
        <v>59</v>
      </c>
      <c r="AC8911" t="s">
        <v>59</v>
      </c>
      <c r="AD8911" t="s">
        <v>59</v>
      </c>
      <c r="AF8911" s="1">
        <v>43348</v>
      </c>
      <c r="AG8911" t="s">
        <v>8651</v>
      </c>
      <c r="AH8911" t="s">
        <v>8652</v>
      </c>
      <c r="AI8911" t="str">
        <f>"9520775"</f>
        <v>9520775</v>
      </c>
      <c r="AJ8911" t="s">
        <v>13151</v>
      </c>
      <c r="AK8911">
        <v>2833022720</v>
      </c>
      <c r="AL8911" t="s">
        <v>13152</v>
      </c>
      <c r="AM8911" t="s">
        <v>64</v>
      </c>
      <c r="AN8911" t="s">
        <v>5713</v>
      </c>
      <c r="AO8911" t="s">
        <v>5714</v>
      </c>
      <c r="AP8911" t="s">
        <v>5715</v>
      </c>
      <c r="AQ8911">
        <v>5</v>
      </c>
      <c r="AR8911" t="s">
        <v>66</v>
      </c>
      <c r="AS8911" t="s">
        <v>67</v>
      </c>
      <c r="AT8911" t="s">
        <v>58</v>
      </c>
      <c r="AU8911" t="s">
        <v>8673</v>
      </c>
      <c r="AV8911" t="s">
        <v>132</v>
      </c>
      <c r="AW8911" s="1">
        <v>30542</v>
      </c>
      <c r="AX8911">
        <v>1</v>
      </c>
    </row>
    <row r="8912" spans="1:50">
      <c r="A8912">
        <v>616022</v>
      </c>
      <c r="B8912" t="str">
        <f>"063391519"</f>
        <v>063391519</v>
      </c>
      <c r="C8912" t="s">
        <v>105</v>
      </c>
      <c r="D8912" t="s">
        <v>11095</v>
      </c>
      <c r="E8912" t="s">
        <v>84</v>
      </c>
      <c r="F8912" t="s">
        <v>1316</v>
      </c>
      <c r="G8912" t="s">
        <v>52</v>
      </c>
      <c r="H8912" t="str">
        <f>"ΤΕΝΕΔΟΥ 108 ΚΑΒΑΛΑ"</f>
        <v>ΤΕΝΕΔΟΥ 108 ΚΑΒΑΛΑ</v>
      </c>
      <c r="I8912">
        <v>65404</v>
      </c>
      <c r="K8912">
        <v>6973534889</v>
      </c>
      <c r="M8912" t="s">
        <v>13540</v>
      </c>
      <c r="N8912" t="s">
        <v>176</v>
      </c>
      <c r="O8912" t="s">
        <v>177</v>
      </c>
      <c r="R8912" t="s">
        <v>57</v>
      </c>
      <c r="S8912">
        <v>9</v>
      </c>
      <c r="T8912">
        <v>600</v>
      </c>
      <c r="U8912" s="1">
        <v>39310</v>
      </c>
      <c r="V8912" t="s">
        <v>66</v>
      </c>
      <c r="W8912" t="s">
        <v>67</v>
      </c>
      <c r="X8912" t="s">
        <v>58</v>
      </c>
      <c r="Y8912">
        <v>22</v>
      </c>
      <c r="Z8912" t="s">
        <v>59</v>
      </c>
      <c r="AA8912" t="s">
        <v>59</v>
      </c>
      <c r="AB8912" t="s">
        <v>59</v>
      </c>
      <c r="AC8912" t="s">
        <v>59</v>
      </c>
      <c r="AD8912" t="s">
        <v>59</v>
      </c>
      <c r="AF8912" s="1">
        <v>39330</v>
      </c>
      <c r="AG8912" t="s">
        <v>8645</v>
      </c>
      <c r="AH8912" t="s">
        <v>8646</v>
      </c>
      <c r="AI8912" t="str">
        <f>"9410048"</f>
        <v>9410048</v>
      </c>
      <c r="AJ8912" t="s">
        <v>12656</v>
      </c>
      <c r="AK8912">
        <v>2834020221</v>
      </c>
      <c r="AL8912" t="s">
        <v>12657</v>
      </c>
      <c r="AM8912" t="s">
        <v>64</v>
      </c>
      <c r="AN8912" t="s">
        <v>5672</v>
      </c>
      <c r="AO8912" t="s">
        <v>5673</v>
      </c>
      <c r="AP8912" t="s">
        <v>5674</v>
      </c>
      <c r="AQ8912">
        <v>10</v>
      </c>
      <c r="AR8912" t="s">
        <v>66</v>
      </c>
      <c r="AS8912" t="s">
        <v>67</v>
      </c>
      <c r="AT8912" t="s">
        <v>58</v>
      </c>
      <c r="AU8912" t="s">
        <v>68</v>
      </c>
      <c r="AV8912" t="s">
        <v>69</v>
      </c>
      <c r="AW8912" s="1">
        <v>24579</v>
      </c>
      <c r="AX8912">
        <v>1</v>
      </c>
    </row>
    <row r="8913" spans="1:50">
      <c r="A8913">
        <v>618098</v>
      </c>
      <c r="B8913" t="str">
        <f>"121779816"</f>
        <v>121779816</v>
      </c>
      <c r="C8913" t="s">
        <v>105</v>
      </c>
      <c r="D8913" t="s">
        <v>13541</v>
      </c>
      <c r="E8913" t="s">
        <v>154</v>
      </c>
      <c r="F8913" t="s">
        <v>84</v>
      </c>
      <c r="G8913" t="s">
        <v>52</v>
      </c>
      <c r="H8913" t="str">
        <f>"ΓΑΛΑΤΙΣΤΑ ΓΑΛΑΤΙΣΤΑ ΧΑΛΚΙΔΙΚΗΣ"</f>
        <v>ΓΑΛΑΤΙΣΤΑ ΓΑΛΑΤΙΣΤΑ ΧΑΛΚΙΔΙΚΗΣ</v>
      </c>
      <c r="I8913">
        <v>63073</v>
      </c>
      <c r="J8913">
        <v>2834051285</v>
      </c>
      <c r="K8913">
        <v>6934661240</v>
      </c>
      <c r="M8913" t="s">
        <v>13542</v>
      </c>
      <c r="N8913" t="s">
        <v>615</v>
      </c>
      <c r="O8913" t="s">
        <v>616</v>
      </c>
      <c r="R8913" t="s">
        <v>57</v>
      </c>
      <c r="S8913">
        <v>5</v>
      </c>
      <c r="T8913">
        <v>774</v>
      </c>
      <c r="U8913" s="1">
        <v>39680</v>
      </c>
      <c r="V8913" t="s">
        <v>66</v>
      </c>
      <c r="W8913" t="s">
        <v>67</v>
      </c>
      <c r="X8913" t="s">
        <v>58</v>
      </c>
      <c r="Y8913">
        <v>25</v>
      </c>
      <c r="Z8913" t="s">
        <v>59</v>
      </c>
      <c r="AA8913" t="s">
        <v>59</v>
      </c>
      <c r="AB8913" t="s">
        <v>59</v>
      </c>
      <c r="AC8913" t="s">
        <v>59</v>
      </c>
      <c r="AD8913" t="s">
        <v>59</v>
      </c>
      <c r="AF8913" s="1">
        <v>39692</v>
      </c>
      <c r="AG8913" t="s">
        <v>8645</v>
      </c>
      <c r="AH8913" t="s">
        <v>8676</v>
      </c>
      <c r="AI8913" t="str">
        <f>"9410053"</f>
        <v>9410053</v>
      </c>
      <c r="AJ8913" t="s">
        <v>13297</v>
      </c>
      <c r="AK8913">
        <v>2834051285</v>
      </c>
      <c r="AL8913" t="s">
        <v>13298</v>
      </c>
      <c r="AM8913" t="s">
        <v>64</v>
      </c>
      <c r="AN8913" t="s">
        <v>5672</v>
      </c>
      <c r="AO8913" t="s">
        <v>5673</v>
      </c>
      <c r="AP8913" t="s">
        <v>13299</v>
      </c>
      <c r="AQ8913">
        <v>10</v>
      </c>
      <c r="AR8913" t="s">
        <v>66</v>
      </c>
      <c r="AS8913" t="s">
        <v>67</v>
      </c>
      <c r="AT8913" t="s">
        <v>58</v>
      </c>
      <c r="AU8913" t="s">
        <v>68</v>
      </c>
      <c r="AV8913" t="s">
        <v>69</v>
      </c>
      <c r="AW8913" s="1">
        <v>30454</v>
      </c>
      <c r="AX8913">
        <v>1</v>
      </c>
    </row>
    <row r="8914" spans="1:50">
      <c r="A8914">
        <v>605730</v>
      </c>
      <c r="B8914" t="str">
        <f>"066885710"</f>
        <v>066885710</v>
      </c>
      <c r="C8914" t="s">
        <v>50</v>
      </c>
      <c r="D8914" t="s">
        <v>1342</v>
      </c>
      <c r="E8914" t="s">
        <v>155</v>
      </c>
      <c r="F8914" t="s">
        <v>670</v>
      </c>
      <c r="G8914" t="s">
        <v>3483</v>
      </c>
      <c r="H8914" t="str">
        <f>"ΔΗΜΟΚΡΑΤΙΑΣ 33 ΡΕΘΥΜΝΟ"</f>
        <v>ΔΗΜΟΚΡΑΤΙΑΣ 33 ΡΕΘΥΜΝΟ</v>
      </c>
      <c r="I8914">
        <v>74100</v>
      </c>
      <c r="J8914">
        <v>2831057294</v>
      </c>
      <c r="K8914">
        <v>6932003141</v>
      </c>
      <c r="N8914" t="s">
        <v>615</v>
      </c>
      <c r="O8914" t="s">
        <v>616</v>
      </c>
      <c r="R8914" t="s">
        <v>57</v>
      </c>
      <c r="S8914">
        <v>7</v>
      </c>
      <c r="T8914">
        <v>231</v>
      </c>
      <c r="U8914" s="1">
        <v>38230</v>
      </c>
      <c r="V8914" t="s">
        <v>66</v>
      </c>
      <c r="W8914" t="s">
        <v>67</v>
      </c>
      <c r="X8914" t="s">
        <v>58</v>
      </c>
      <c r="Y8914">
        <v>22</v>
      </c>
      <c r="Z8914" t="s">
        <v>59</v>
      </c>
      <c r="AA8914" t="s">
        <v>59</v>
      </c>
      <c r="AB8914" t="s">
        <v>59</v>
      </c>
      <c r="AC8914" t="s">
        <v>59</v>
      </c>
      <c r="AD8914" t="s">
        <v>59</v>
      </c>
      <c r="AF8914" s="1">
        <v>38231</v>
      </c>
      <c r="AG8914" t="s">
        <v>8645</v>
      </c>
      <c r="AH8914" t="s">
        <v>8646</v>
      </c>
      <c r="AI8914" t="str">
        <f>"9410167"</f>
        <v>9410167</v>
      </c>
      <c r="AJ8914" t="s">
        <v>12911</v>
      </c>
      <c r="AK8914">
        <v>2831031455</v>
      </c>
      <c r="AL8914" t="s">
        <v>12912</v>
      </c>
      <c r="AM8914" t="s">
        <v>64</v>
      </c>
      <c r="AN8914" t="s">
        <v>65</v>
      </c>
      <c r="AO8914" t="s">
        <v>5720</v>
      </c>
      <c r="AP8914" t="s">
        <v>12913</v>
      </c>
      <c r="AQ8914">
        <v>2</v>
      </c>
      <c r="AR8914" t="s">
        <v>66</v>
      </c>
      <c r="AS8914" t="s">
        <v>67</v>
      </c>
      <c r="AT8914" t="s">
        <v>58</v>
      </c>
      <c r="AU8914" t="s">
        <v>68</v>
      </c>
      <c r="AV8914" t="s">
        <v>69</v>
      </c>
      <c r="AW8914" s="1">
        <v>28213</v>
      </c>
      <c r="AX8914">
        <v>1</v>
      </c>
    </row>
    <row r="8915" spans="1:50">
      <c r="A8915">
        <v>562164</v>
      </c>
      <c r="B8915" t="str">
        <f>"100054724"</f>
        <v>100054724</v>
      </c>
      <c r="C8915" t="s">
        <v>50</v>
      </c>
      <c r="D8915" t="s">
        <v>13543</v>
      </c>
      <c r="E8915" t="s">
        <v>783</v>
      </c>
      <c r="F8915" t="s">
        <v>6198</v>
      </c>
      <c r="G8915" t="s">
        <v>71</v>
      </c>
      <c r="H8915" t="str">
        <f>"ΒΟΓΙΑΤΖΑΚΗ 11 "</f>
        <v xml:space="preserve">ΒΟΓΙΑΤΖΑΚΗ 11 </v>
      </c>
      <c r="K8915">
        <v>6972269825</v>
      </c>
      <c r="N8915" t="s">
        <v>615</v>
      </c>
      <c r="O8915" t="s">
        <v>616</v>
      </c>
      <c r="R8915" t="s">
        <v>57</v>
      </c>
      <c r="S8915">
        <v>15</v>
      </c>
      <c r="T8915">
        <v>187</v>
      </c>
      <c r="U8915" s="1">
        <v>32750</v>
      </c>
      <c r="V8915" t="s">
        <v>66</v>
      </c>
      <c r="W8915" t="s">
        <v>67</v>
      </c>
      <c r="X8915" t="s">
        <v>58</v>
      </c>
      <c r="Y8915">
        <v>21</v>
      </c>
      <c r="Z8915" t="s">
        <v>59</v>
      </c>
      <c r="AA8915" t="s">
        <v>59</v>
      </c>
      <c r="AB8915" t="s">
        <v>59</v>
      </c>
      <c r="AC8915" t="s">
        <v>59</v>
      </c>
      <c r="AD8915" t="s">
        <v>59</v>
      </c>
      <c r="AF8915" s="1">
        <v>32752</v>
      </c>
      <c r="AG8915" t="s">
        <v>8645</v>
      </c>
      <c r="AH8915" t="s">
        <v>8646</v>
      </c>
      <c r="AI8915" t="str">
        <f>"9410070"</f>
        <v>9410070</v>
      </c>
      <c r="AJ8915" t="s">
        <v>12757</v>
      </c>
      <c r="AK8915">
        <v>2831028583</v>
      </c>
      <c r="AL8915" t="s">
        <v>12758</v>
      </c>
      <c r="AM8915" t="s">
        <v>64</v>
      </c>
      <c r="AN8915" t="s">
        <v>65</v>
      </c>
      <c r="AO8915" t="s">
        <v>65</v>
      </c>
      <c r="AP8915" t="s">
        <v>65</v>
      </c>
      <c r="AQ8915">
        <v>1</v>
      </c>
      <c r="AR8915" t="s">
        <v>66</v>
      </c>
      <c r="AS8915" t="s">
        <v>67</v>
      </c>
      <c r="AT8915" t="s">
        <v>58</v>
      </c>
      <c r="AU8915" t="s">
        <v>68</v>
      </c>
      <c r="AV8915" t="s">
        <v>69</v>
      </c>
      <c r="AW8915" s="1">
        <v>23661</v>
      </c>
      <c r="AX8915">
        <v>1</v>
      </c>
    </row>
    <row r="8916" spans="1:50">
      <c r="A8916">
        <v>603407</v>
      </c>
      <c r="B8916" t="str">
        <f>"031414555"</f>
        <v>031414555</v>
      </c>
      <c r="C8916" t="s">
        <v>50</v>
      </c>
      <c r="D8916" t="s">
        <v>13544</v>
      </c>
      <c r="E8916" t="s">
        <v>237</v>
      </c>
      <c r="F8916" t="s">
        <v>2233</v>
      </c>
      <c r="G8916" t="s">
        <v>1752</v>
      </c>
      <c r="H8916" t="str">
        <f>"ΓΙΑΝΝΟΥΔΙ ΡΕΘΥΜΝΟ"</f>
        <v>ΓΙΑΝΝΟΥΔΙ ΡΕΘΥΜΝΟ</v>
      </c>
      <c r="K8916">
        <v>6972398500</v>
      </c>
      <c r="N8916" t="s">
        <v>337</v>
      </c>
      <c r="O8916" t="s">
        <v>338</v>
      </c>
      <c r="R8916" t="s">
        <v>57</v>
      </c>
      <c r="S8916">
        <v>12</v>
      </c>
      <c r="T8916" t="s">
        <v>13545</v>
      </c>
      <c r="U8916" s="1">
        <v>33848</v>
      </c>
      <c r="V8916" t="s">
        <v>66</v>
      </c>
      <c r="W8916" t="s">
        <v>67</v>
      </c>
      <c r="X8916" t="s">
        <v>58</v>
      </c>
      <c r="Y8916">
        <v>21</v>
      </c>
      <c r="Z8916" t="s">
        <v>59</v>
      </c>
      <c r="AA8916" t="s">
        <v>59</v>
      </c>
      <c r="AB8916" t="s">
        <v>59</v>
      </c>
      <c r="AC8916" t="s">
        <v>59</v>
      </c>
      <c r="AD8916" t="s">
        <v>59</v>
      </c>
      <c r="AF8916" s="1">
        <v>37866</v>
      </c>
      <c r="AG8916" t="s">
        <v>8645</v>
      </c>
      <c r="AH8916" t="s">
        <v>8646</v>
      </c>
      <c r="AI8916" t="str">
        <f>"9410070"</f>
        <v>9410070</v>
      </c>
      <c r="AJ8916" t="s">
        <v>12757</v>
      </c>
      <c r="AK8916">
        <v>2831028583</v>
      </c>
      <c r="AL8916" t="s">
        <v>12758</v>
      </c>
      <c r="AM8916" t="s">
        <v>64</v>
      </c>
      <c r="AN8916" t="s">
        <v>65</v>
      </c>
      <c r="AO8916" t="s">
        <v>65</v>
      </c>
      <c r="AP8916" t="s">
        <v>65</v>
      </c>
      <c r="AQ8916">
        <v>1</v>
      </c>
      <c r="AR8916" t="s">
        <v>66</v>
      </c>
      <c r="AS8916" t="s">
        <v>67</v>
      </c>
      <c r="AT8916" t="s">
        <v>58</v>
      </c>
      <c r="AU8916" t="s">
        <v>68</v>
      </c>
      <c r="AV8916" t="s">
        <v>69</v>
      </c>
      <c r="AW8916" s="1">
        <v>24218</v>
      </c>
      <c r="AX8916">
        <v>1</v>
      </c>
    </row>
    <row r="8917" spans="1:50">
      <c r="A8917">
        <v>599683</v>
      </c>
      <c r="B8917" t="str">
        <f>"057995901"</f>
        <v>057995901</v>
      </c>
      <c r="C8917" t="s">
        <v>105</v>
      </c>
      <c r="D8917" t="s">
        <v>3326</v>
      </c>
      <c r="E8917" t="s">
        <v>84</v>
      </c>
      <c r="F8917" t="s">
        <v>1787</v>
      </c>
      <c r="G8917" t="s">
        <v>237</v>
      </c>
      <c r="H8917" t="str">
        <f>" "</f>
        <v xml:space="preserve"> </v>
      </c>
      <c r="J8917">
        <v>2831025636</v>
      </c>
      <c r="K8917">
        <v>6977060331</v>
      </c>
      <c r="N8917" t="s">
        <v>615</v>
      </c>
      <c r="O8917" t="s">
        <v>616</v>
      </c>
      <c r="R8917" t="s">
        <v>57</v>
      </c>
      <c r="S8917">
        <v>9</v>
      </c>
      <c r="T8917">
        <v>195</v>
      </c>
      <c r="U8917" s="1">
        <v>37497</v>
      </c>
      <c r="V8917" t="s">
        <v>66</v>
      </c>
      <c r="W8917" t="s">
        <v>67</v>
      </c>
      <c r="X8917" t="s">
        <v>58</v>
      </c>
      <c r="Y8917">
        <v>22</v>
      </c>
      <c r="Z8917" t="s">
        <v>59</v>
      </c>
      <c r="AA8917" t="s">
        <v>59</v>
      </c>
      <c r="AB8917" t="s">
        <v>59</v>
      </c>
      <c r="AC8917" t="s">
        <v>59</v>
      </c>
      <c r="AD8917" t="s">
        <v>59</v>
      </c>
      <c r="AF8917" s="1">
        <v>37501</v>
      </c>
      <c r="AG8917" t="s">
        <v>8645</v>
      </c>
      <c r="AH8917" t="s">
        <v>8646</v>
      </c>
      <c r="AI8917" t="str">
        <f>"9410155"</f>
        <v>9410155</v>
      </c>
      <c r="AJ8917" t="s">
        <v>12663</v>
      </c>
      <c r="AK8917">
        <v>2831028697</v>
      </c>
      <c r="AL8917" t="s">
        <v>12664</v>
      </c>
      <c r="AM8917" t="s">
        <v>64</v>
      </c>
      <c r="AN8917" t="s">
        <v>65</v>
      </c>
      <c r="AO8917" t="s">
        <v>65</v>
      </c>
      <c r="AP8917" t="s">
        <v>65</v>
      </c>
      <c r="AQ8917">
        <v>1</v>
      </c>
      <c r="AR8917" t="s">
        <v>66</v>
      </c>
      <c r="AS8917" t="s">
        <v>67</v>
      </c>
      <c r="AT8917" t="s">
        <v>58</v>
      </c>
      <c r="AU8917" t="s">
        <v>68</v>
      </c>
      <c r="AV8917" t="s">
        <v>69</v>
      </c>
      <c r="AW8917" s="1">
        <v>23923</v>
      </c>
      <c r="AX8917">
        <v>1</v>
      </c>
    </row>
    <row r="8918" spans="1:50">
      <c r="A8918">
        <v>573995</v>
      </c>
      <c r="B8918" t="str">
        <f>"041558638"</f>
        <v>041558638</v>
      </c>
      <c r="C8918" t="s">
        <v>105</v>
      </c>
      <c r="D8918" t="s">
        <v>13546</v>
      </c>
      <c r="E8918" t="s">
        <v>900</v>
      </c>
      <c r="F8918" t="s">
        <v>84</v>
      </c>
      <c r="G8918" t="s">
        <v>255</v>
      </c>
      <c r="H8918" t="str">
        <f>"Η. ΣΠΑΝΤΙΔΑΚΗ 4 ΡΕΘΥΜΝΟ"</f>
        <v>Η. ΣΠΑΝΤΙΔΑΚΗ 4 ΡΕΘΥΜΝΟ</v>
      </c>
      <c r="I8918">
        <v>74100</v>
      </c>
      <c r="J8918">
        <v>2831058588</v>
      </c>
      <c r="K8918">
        <v>6945398559</v>
      </c>
      <c r="M8918" t="s">
        <v>13547</v>
      </c>
      <c r="N8918" t="s">
        <v>615</v>
      </c>
      <c r="O8918" t="s">
        <v>616</v>
      </c>
      <c r="R8918" t="s">
        <v>57</v>
      </c>
      <c r="S8918">
        <v>19</v>
      </c>
      <c r="T8918">
        <v>160</v>
      </c>
      <c r="U8918" s="1">
        <v>34582</v>
      </c>
      <c r="V8918" t="s">
        <v>66</v>
      </c>
      <c r="W8918" t="s">
        <v>67</v>
      </c>
      <c r="X8918" t="s">
        <v>58</v>
      </c>
      <c r="Y8918">
        <v>21</v>
      </c>
      <c r="Z8918" t="s">
        <v>59</v>
      </c>
      <c r="AA8918" t="s">
        <v>59</v>
      </c>
      <c r="AB8918" t="s">
        <v>59</v>
      </c>
      <c r="AC8918" t="s">
        <v>59</v>
      </c>
      <c r="AD8918" t="s">
        <v>59</v>
      </c>
      <c r="AF8918" s="1">
        <v>34582</v>
      </c>
      <c r="AG8918" t="s">
        <v>8645</v>
      </c>
      <c r="AH8918" t="s">
        <v>8646</v>
      </c>
      <c r="AI8918" t="str">
        <f>"9410226"</f>
        <v>9410226</v>
      </c>
      <c r="AJ8918" t="s">
        <v>12702</v>
      </c>
      <c r="AK8918">
        <v>2831071088</v>
      </c>
      <c r="AL8918" t="s">
        <v>12703</v>
      </c>
      <c r="AM8918" t="s">
        <v>64</v>
      </c>
      <c r="AN8918" t="s">
        <v>65</v>
      </c>
      <c r="AO8918" t="s">
        <v>12694</v>
      </c>
      <c r="AP8918" t="s">
        <v>12704</v>
      </c>
      <c r="AQ8918">
        <v>3</v>
      </c>
      <c r="AR8918" t="s">
        <v>66</v>
      </c>
      <c r="AS8918" t="s">
        <v>67</v>
      </c>
      <c r="AT8918" t="s">
        <v>58</v>
      </c>
      <c r="AU8918" t="s">
        <v>68</v>
      </c>
      <c r="AV8918" t="s">
        <v>69</v>
      </c>
      <c r="AW8918" s="1">
        <v>24527</v>
      </c>
      <c r="AX8918">
        <v>1</v>
      </c>
    </row>
    <row r="8919" spans="1:50">
      <c r="A8919">
        <v>597155</v>
      </c>
      <c r="B8919" t="str">
        <f>"076082202"</f>
        <v>076082202</v>
      </c>
      <c r="C8919" t="s">
        <v>50</v>
      </c>
      <c r="D8919" t="s">
        <v>13548</v>
      </c>
      <c r="E8919" t="s">
        <v>316</v>
      </c>
      <c r="F8919" t="s">
        <v>2582</v>
      </c>
      <c r="G8919" t="s">
        <v>366</v>
      </c>
      <c r="H8919" t="str">
        <f>"ΟΡΦΕΩΣ 3 ΣΑΡΑΚΙΝΑ ΡΕΘΥΜΝΟΥ"</f>
        <v>ΟΡΦΕΩΣ 3 ΣΑΡΑΚΙΝΑ ΡΕΘΥΜΝΟΥ</v>
      </c>
      <c r="I8919">
        <v>74100</v>
      </c>
      <c r="J8919">
        <v>2831050622</v>
      </c>
      <c r="K8919">
        <v>6946183033</v>
      </c>
      <c r="M8919" t="s">
        <v>13549</v>
      </c>
      <c r="N8919" t="s">
        <v>1525</v>
      </c>
      <c r="O8919" t="s">
        <v>1526</v>
      </c>
      <c r="R8919" t="s">
        <v>57</v>
      </c>
      <c r="S8919">
        <v>9</v>
      </c>
      <c r="T8919">
        <v>195</v>
      </c>
      <c r="U8919" s="1">
        <v>37497</v>
      </c>
      <c r="V8919" t="s">
        <v>66</v>
      </c>
      <c r="W8919" t="s">
        <v>67</v>
      </c>
      <c r="X8919" t="s">
        <v>58</v>
      </c>
      <c r="Y8919">
        <v>25</v>
      </c>
      <c r="Z8919" t="s">
        <v>59</v>
      </c>
      <c r="AA8919" t="s">
        <v>59</v>
      </c>
      <c r="AB8919" t="s">
        <v>59</v>
      </c>
      <c r="AC8919" t="s">
        <v>59</v>
      </c>
      <c r="AD8919" t="s">
        <v>59</v>
      </c>
      <c r="AF8919" s="1">
        <v>37501</v>
      </c>
      <c r="AG8919" t="s">
        <v>8651</v>
      </c>
      <c r="AH8919" t="s">
        <v>8652</v>
      </c>
      <c r="AI8919" t="str">
        <f>"9521304"</f>
        <v>9521304</v>
      </c>
      <c r="AJ8919" t="s">
        <v>12798</v>
      </c>
      <c r="AK8919">
        <v>2831057099</v>
      </c>
      <c r="AL8919" t="s">
        <v>12799</v>
      </c>
      <c r="AM8919" t="s">
        <v>64</v>
      </c>
      <c r="AN8919" t="s">
        <v>65</v>
      </c>
      <c r="AO8919" t="s">
        <v>5720</v>
      </c>
      <c r="AP8919" t="s">
        <v>5721</v>
      </c>
      <c r="AQ8919">
        <v>2</v>
      </c>
      <c r="AR8919" t="s">
        <v>66</v>
      </c>
      <c r="AS8919" t="s">
        <v>67</v>
      </c>
      <c r="AT8919" t="s">
        <v>58</v>
      </c>
      <c r="AU8919" t="s">
        <v>68</v>
      </c>
      <c r="AV8919" t="s">
        <v>69</v>
      </c>
      <c r="AW8919" s="1">
        <v>25175</v>
      </c>
      <c r="AX8919">
        <v>1</v>
      </c>
    </row>
    <row r="8920" spans="1:50">
      <c r="A8920">
        <v>558277</v>
      </c>
      <c r="B8920" t="str">
        <f>"101904259"</f>
        <v>101904259</v>
      </c>
      <c r="C8920" t="s">
        <v>50</v>
      </c>
      <c r="D8920" t="s">
        <v>13550</v>
      </c>
      <c r="E8920" t="s">
        <v>476</v>
      </c>
      <c r="F8920" t="s">
        <v>383</v>
      </c>
      <c r="G8920" t="s">
        <v>73</v>
      </c>
      <c r="H8920" t="str">
        <f>" "</f>
        <v xml:space="preserve"> </v>
      </c>
      <c r="J8920">
        <v>2231079274</v>
      </c>
      <c r="N8920" t="s">
        <v>615</v>
      </c>
      <c r="O8920" t="s">
        <v>616</v>
      </c>
      <c r="R8920" t="s">
        <v>57</v>
      </c>
      <c r="S8920">
        <v>19</v>
      </c>
      <c r="T8920">
        <v>168</v>
      </c>
      <c r="U8920" s="1">
        <v>32010</v>
      </c>
      <c r="V8920" t="s">
        <v>66</v>
      </c>
      <c r="W8920" t="s">
        <v>67</v>
      </c>
      <c r="X8920" t="s">
        <v>58</v>
      </c>
      <c r="Y8920">
        <v>21</v>
      </c>
      <c r="Z8920" t="s">
        <v>59</v>
      </c>
      <c r="AA8920" t="s">
        <v>59</v>
      </c>
      <c r="AB8920" t="s">
        <v>59</v>
      </c>
      <c r="AC8920" t="s">
        <v>59</v>
      </c>
      <c r="AD8920" t="s">
        <v>59</v>
      </c>
      <c r="AF8920" s="1">
        <v>32021</v>
      </c>
      <c r="AG8920" t="s">
        <v>8645</v>
      </c>
      <c r="AH8920" t="s">
        <v>8697</v>
      </c>
      <c r="AI8920" t="str">
        <f>"9410243"</f>
        <v>9410243</v>
      </c>
      <c r="AJ8920" t="s">
        <v>12885</v>
      </c>
      <c r="AK8920">
        <v>2831026710</v>
      </c>
      <c r="AL8920" t="s">
        <v>12886</v>
      </c>
      <c r="AM8920" t="s">
        <v>64</v>
      </c>
      <c r="AN8920" t="s">
        <v>65</v>
      </c>
      <c r="AO8920" t="s">
        <v>65</v>
      </c>
      <c r="AP8920" t="s">
        <v>65</v>
      </c>
      <c r="AQ8920">
        <v>1</v>
      </c>
      <c r="AR8920" t="s">
        <v>66</v>
      </c>
      <c r="AS8920" t="s">
        <v>67</v>
      </c>
      <c r="AT8920" t="s">
        <v>58</v>
      </c>
      <c r="AU8920" t="s">
        <v>68</v>
      </c>
      <c r="AV8920" t="s">
        <v>69</v>
      </c>
      <c r="AW8920" s="1">
        <v>24090</v>
      </c>
      <c r="AX8920">
        <v>1</v>
      </c>
    </row>
    <row r="8921" spans="1:50">
      <c r="A8921">
        <v>563035</v>
      </c>
      <c r="B8921" t="str">
        <f>"031810306"</f>
        <v>031810306</v>
      </c>
      <c r="C8921" t="s">
        <v>50</v>
      </c>
      <c r="D8921" t="s">
        <v>3348</v>
      </c>
      <c r="E8921" t="s">
        <v>52</v>
      </c>
      <c r="F8921" t="s">
        <v>92</v>
      </c>
      <c r="G8921" t="s">
        <v>1078</v>
      </c>
      <c r="H8921" t="str">
        <f>"ΓΑΒΑΛΑΔΩΝ 19 ΡΕΘΥΜΝΟ"</f>
        <v>ΓΑΒΑΛΑΔΩΝ 19 ΡΕΘΥΜΝΟ</v>
      </c>
      <c r="K8921">
        <v>6973629549</v>
      </c>
      <c r="N8921" t="s">
        <v>615</v>
      </c>
      <c r="O8921" t="s">
        <v>616</v>
      </c>
      <c r="R8921" t="s">
        <v>57</v>
      </c>
      <c r="S8921">
        <v>15</v>
      </c>
      <c r="T8921">
        <v>187</v>
      </c>
      <c r="U8921" s="1">
        <v>32750</v>
      </c>
      <c r="V8921" t="s">
        <v>66</v>
      </c>
      <c r="W8921" t="s">
        <v>67</v>
      </c>
      <c r="X8921" t="s">
        <v>58</v>
      </c>
      <c r="Y8921">
        <v>21</v>
      </c>
      <c r="Z8921" t="s">
        <v>59</v>
      </c>
      <c r="AA8921" t="s">
        <v>59</v>
      </c>
      <c r="AB8921" t="s">
        <v>59</v>
      </c>
      <c r="AC8921" t="s">
        <v>59</v>
      </c>
      <c r="AD8921" t="s">
        <v>59</v>
      </c>
      <c r="AF8921" s="1">
        <v>32762</v>
      </c>
      <c r="AG8921" t="s">
        <v>8645</v>
      </c>
      <c r="AH8921" t="s">
        <v>8646</v>
      </c>
      <c r="AI8921" t="str">
        <f>"9410070"</f>
        <v>9410070</v>
      </c>
      <c r="AJ8921" t="s">
        <v>12757</v>
      </c>
      <c r="AK8921">
        <v>2831028583</v>
      </c>
      <c r="AL8921" t="s">
        <v>12758</v>
      </c>
      <c r="AM8921" t="s">
        <v>64</v>
      </c>
      <c r="AN8921" t="s">
        <v>65</v>
      </c>
      <c r="AO8921" t="s">
        <v>65</v>
      </c>
      <c r="AP8921" t="s">
        <v>65</v>
      </c>
      <c r="AQ8921">
        <v>1</v>
      </c>
      <c r="AR8921" t="s">
        <v>66</v>
      </c>
      <c r="AS8921" t="s">
        <v>67</v>
      </c>
      <c r="AT8921" t="s">
        <v>58</v>
      </c>
      <c r="AU8921" t="s">
        <v>68</v>
      </c>
      <c r="AV8921" t="s">
        <v>69</v>
      </c>
      <c r="AW8921" s="1">
        <v>23791</v>
      </c>
      <c r="AX8921">
        <v>1</v>
      </c>
    </row>
    <row r="8922" spans="1:50">
      <c r="A8922">
        <v>611592</v>
      </c>
      <c r="B8922" t="str">
        <f>"109135111"</f>
        <v>109135111</v>
      </c>
      <c r="C8922" t="s">
        <v>50</v>
      </c>
      <c r="D8922" t="s">
        <v>5298</v>
      </c>
      <c r="E8922" t="s">
        <v>658</v>
      </c>
      <c r="F8922" t="s">
        <v>72</v>
      </c>
      <c r="G8922" t="s">
        <v>4127</v>
      </c>
      <c r="H8922" t="str">
        <f>"ΟΔ. ΕΛΥΤΗ 4 ΡΕΘΥΜΝΟ"</f>
        <v>ΟΔ. ΕΛΥΤΗ 4 ΡΕΘΥΜΝΟ</v>
      </c>
      <c r="I8922">
        <v>74100</v>
      </c>
      <c r="J8922">
        <v>2831100782</v>
      </c>
      <c r="K8922">
        <v>6979931306</v>
      </c>
      <c r="N8922" t="s">
        <v>1525</v>
      </c>
      <c r="O8922" t="s">
        <v>1526</v>
      </c>
      <c r="R8922" t="s">
        <v>57</v>
      </c>
      <c r="S8922">
        <v>6</v>
      </c>
      <c r="T8922">
        <v>233</v>
      </c>
      <c r="U8922" s="1">
        <v>38960</v>
      </c>
      <c r="V8922" t="s">
        <v>66</v>
      </c>
      <c r="W8922" t="s">
        <v>67</v>
      </c>
      <c r="X8922" t="s">
        <v>58</v>
      </c>
      <c r="Y8922">
        <v>25</v>
      </c>
      <c r="Z8922" t="s">
        <v>59</v>
      </c>
      <c r="AA8922" t="s">
        <v>59</v>
      </c>
      <c r="AB8922" t="s">
        <v>59</v>
      </c>
      <c r="AC8922" t="s">
        <v>59</v>
      </c>
      <c r="AD8922" t="s">
        <v>59</v>
      </c>
      <c r="AF8922" s="1">
        <v>38961</v>
      </c>
      <c r="AG8922" t="s">
        <v>8651</v>
      </c>
      <c r="AH8922" t="s">
        <v>8652</v>
      </c>
      <c r="AI8922" t="str">
        <f>"9521640"</f>
        <v>9521640</v>
      </c>
      <c r="AJ8922" t="s">
        <v>12993</v>
      </c>
      <c r="AK8922">
        <v>2831022274</v>
      </c>
      <c r="AM8922" t="s">
        <v>64</v>
      </c>
      <c r="AN8922" t="s">
        <v>65</v>
      </c>
      <c r="AO8922" t="s">
        <v>5720</v>
      </c>
      <c r="AP8922" t="s">
        <v>5721</v>
      </c>
      <c r="AQ8922">
        <v>2</v>
      </c>
      <c r="AR8922" t="s">
        <v>66</v>
      </c>
      <c r="AS8922" t="s">
        <v>67</v>
      </c>
      <c r="AT8922" t="s">
        <v>58</v>
      </c>
      <c r="AU8922" t="s">
        <v>68</v>
      </c>
      <c r="AV8922" t="s">
        <v>69</v>
      </c>
      <c r="AW8922" s="1">
        <v>28833</v>
      </c>
      <c r="AX8922">
        <v>1</v>
      </c>
    </row>
    <row r="8923" spans="1:50">
      <c r="B8923" t="str">
        <f>"144771784"</f>
        <v>144771784</v>
      </c>
      <c r="C8923" t="s">
        <v>50</v>
      </c>
      <c r="D8923" t="s">
        <v>13551</v>
      </c>
      <c r="E8923" t="s">
        <v>484</v>
      </c>
      <c r="F8923" t="s">
        <v>920</v>
      </c>
      <c r="G8923" t="s">
        <v>1387</v>
      </c>
      <c r="H8923" t="str">
        <f>" "</f>
        <v xml:space="preserve"> </v>
      </c>
      <c r="N8923" t="s">
        <v>683</v>
      </c>
      <c r="O8923" t="s">
        <v>684</v>
      </c>
      <c r="R8923" t="s">
        <v>121</v>
      </c>
      <c r="S8923">
        <v>1</v>
      </c>
      <c r="T8923" t="s">
        <v>8675</v>
      </c>
      <c r="U8923" s="1">
        <v>43348</v>
      </c>
      <c r="V8923" t="s">
        <v>66</v>
      </c>
      <c r="W8923" t="s">
        <v>67</v>
      </c>
      <c r="X8923" t="s">
        <v>58</v>
      </c>
      <c r="Y8923">
        <v>24</v>
      </c>
      <c r="Z8923" t="s">
        <v>59</v>
      </c>
      <c r="AD8923" t="s">
        <v>59</v>
      </c>
      <c r="AF8923" s="1">
        <v>43348</v>
      </c>
      <c r="AG8923" t="s">
        <v>8645</v>
      </c>
      <c r="AH8923" t="s">
        <v>8646</v>
      </c>
      <c r="AI8923" t="str">
        <f>"9410166"</f>
        <v>9410166</v>
      </c>
      <c r="AJ8923" t="s">
        <v>12666</v>
      </c>
      <c r="AK8923">
        <v>2831031311</v>
      </c>
      <c r="AL8923" t="s">
        <v>12667</v>
      </c>
      <c r="AM8923" t="s">
        <v>64</v>
      </c>
      <c r="AN8923" t="s">
        <v>65</v>
      </c>
      <c r="AO8923" t="s">
        <v>5720</v>
      </c>
      <c r="AP8923" t="s">
        <v>5721</v>
      </c>
      <c r="AQ8923">
        <v>2</v>
      </c>
      <c r="AR8923" t="s">
        <v>66</v>
      </c>
      <c r="AS8923" t="s">
        <v>67</v>
      </c>
      <c r="AT8923" t="s">
        <v>58</v>
      </c>
      <c r="AU8923" t="s">
        <v>8673</v>
      </c>
      <c r="AV8923" t="s">
        <v>132</v>
      </c>
      <c r="AW8923" s="1">
        <v>32615</v>
      </c>
      <c r="AX8923">
        <v>1</v>
      </c>
    </row>
    <row r="8924" spans="1:50">
      <c r="A8924">
        <v>559714</v>
      </c>
      <c r="B8924" t="str">
        <f>"033270643"</f>
        <v>033270643</v>
      </c>
      <c r="C8924" t="s">
        <v>50</v>
      </c>
      <c r="D8924" t="s">
        <v>3358</v>
      </c>
      <c r="E8924" t="s">
        <v>143</v>
      </c>
      <c r="F8924" t="s">
        <v>2733</v>
      </c>
      <c r="G8924" t="s">
        <v>755</v>
      </c>
      <c r="H8924" t="str">
        <f>" "</f>
        <v xml:space="preserve"> </v>
      </c>
      <c r="N8924" t="s">
        <v>615</v>
      </c>
      <c r="O8924" t="s">
        <v>616</v>
      </c>
      <c r="R8924" t="s">
        <v>57</v>
      </c>
      <c r="S8924">
        <v>15</v>
      </c>
      <c r="T8924">
        <v>168</v>
      </c>
      <c r="U8924" s="1">
        <v>32010</v>
      </c>
      <c r="V8924" t="s">
        <v>66</v>
      </c>
      <c r="W8924" t="s">
        <v>67</v>
      </c>
      <c r="X8924" t="s">
        <v>58</v>
      </c>
      <c r="Y8924">
        <v>21</v>
      </c>
      <c r="Z8924" t="s">
        <v>59</v>
      </c>
      <c r="AA8924" t="s">
        <v>59</v>
      </c>
      <c r="AB8924" t="s">
        <v>59</v>
      </c>
      <c r="AC8924" t="s">
        <v>59</v>
      </c>
      <c r="AD8924" t="s">
        <v>59</v>
      </c>
      <c r="AF8924" s="1">
        <v>32021</v>
      </c>
      <c r="AG8924" t="s">
        <v>8645</v>
      </c>
      <c r="AH8924" t="s">
        <v>8646</v>
      </c>
      <c r="AI8924" t="str">
        <f>"9410155"</f>
        <v>9410155</v>
      </c>
      <c r="AJ8924" t="s">
        <v>12663</v>
      </c>
      <c r="AK8924">
        <v>2831028697</v>
      </c>
      <c r="AL8924" t="s">
        <v>12664</v>
      </c>
      <c r="AM8924" t="s">
        <v>64</v>
      </c>
      <c r="AN8924" t="s">
        <v>65</v>
      </c>
      <c r="AO8924" t="s">
        <v>65</v>
      </c>
      <c r="AP8924" t="s">
        <v>65</v>
      </c>
      <c r="AQ8924">
        <v>1</v>
      </c>
      <c r="AR8924" t="s">
        <v>66</v>
      </c>
      <c r="AS8924" t="s">
        <v>67</v>
      </c>
      <c r="AT8924" t="s">
        <v>58</v>
      </c>
      <c r="AU8924" t="s">
        <v>68</v>
      </c>
      <c r="AV8924" t="s">
        <v>69</v>
      </c>
      <c r="AW8924" s="1">
        <v>23899</v>
      </c>
      <c r="AX8924">
        <v>1</v>
      </c>
    </row>
    <row r="8925" spans="1:50">
      <c r="B8925" t="str">
        <f>"144021950"</f>
        <v>144021950</v>
      </c>
      <c r="C8925" t="s">
        <v>50</v>
      </c>
      <c r="D8925" t="s">
        <v>13552</v>
      </c>
      <c r="E8925" t="s">
        <v>4251</v>
      </c>
      <c r="F8925" t="s">
        <v>84</v>
      </c>
      <c r="G8925" t="s">
        <v>3604</v>
      </c>
      <c r="H8925" t="str">
        <f>"ΙΩΑΝΝΗ ΑΘΑΝΑΣΙΑΔΗ 13 "</f>
        <v xml:space="preserve">ΙΩΑΝΝΗ ΑΘΑΝΑΣΙΑΔΗ 13 </v>
      </c>
      <c r="I8925">
        <v>74100</v>
      </c>
      <c r="J8925">
        <v>6944956766</v>
      </c>
      <c r="K8925">
        <v>6944956766</v>
      </c>
      <c r="N8925" t="s">
        <v>615</v>
      </c>
      <c r="O8925" t="s">
        <v>616</v>
      </c>
      <c r="R8925" t="s">
        <v>159</v>
      </c>
      <c r="S8925">
        <v>1</v>
      </c>
      <c r="T8925" t="s">
        <v>8675</v>
      </c>
      <c r="U8925" s="1">
        <v>43348</v>
      </c>
      <c r="V8925" t="s">
        <v>66</v>
      </c>
      <c r="W8925" t="s">
        <v>67</v>
      </c>
      <c r="X8925" t="s">
        <v>58</v>
      </c>
      <c r="Y8925">
        <v>25</v>
      </c>
      <c r="Z8925" t="s">
        <v>59</v>
      </c>
      <c r="AA8925" t="s">
        <v>59</v>
      </c>
      <c r="AB8925" t="s">
        <v>59</v>
      </c>
      <c r="AC8925" t="s">
        <v>59</v>
      </c>
      <c r="AD8925" t="s">
        <v>59</v>
      </c>
      <c r="AF8925" s="1">
        <v>43348</v>
      </c>
      <c r="AG8925" t="s">
        <v>8645</v>
      </c>
      <c r="AH8925" t="s">
        <v>8676</v>
      </c>
      <c r="AI8925" t="str">
        <f>"9410041"</f>
        <v>9410041</v>
      </c>
      <c r="AJ8925" t="s">
        <v>12801</v>
      </c>
      <c r="AK8925">
        <v>2834092258</v>
      </c>
      <c r="AL8925" t="s">
        <v>12802</v>
      </c>
      <c r="AM8925" t="s">
        <v>64</v>
      </c>
      <c r="AN8925" t="s">
        <v>5672</v>
      </c>
      <c r="AO8925" t="s">
        <v>5673</v>
      </c>
      <c r="AP8925" t="s">
        <v>12803</v>
      </c>
      <c r="AQ8925">
        <v>8</v>
      </c>
      <c r="AR8925" t="s">
        <v>66</v>
      </c>
      <c r="AS8925" t="s">
        <v>67</v>
      </c>
      <c r="AT8925" t="s">
        <v>58</v>
      </c>
      <c r="AU8925" t="s">
        <v>8673</v>
      </c>
      <c r="AV8925" t="s">
        <v>132</v>
      </c>
      <c r="AW8925" s="1">
        <v>32311</v>
      </c>
      <c r="AX8925">
        <v>1</v>
      </c>
    </row>
    <row r="8926" spans="1:50">
      <c r="B8926" t="str">
        <f>"137458197"</f>
        <v>137458197</v>
      </c>
      <c r="C8926" t="s">
        <v>105</v>
      </c>
      <c r="D8926" t="s">
        <v>13553</v>
      </c>
      <c r="E8926" t="s">
        <v>53</v>
      </c>
      <c r="F8926" t="s">
        <v>95</v>
      </c>
      <c r="G8926" t="s">
        <v>255</v>
      </c>
      <c r="H8926" t="str">
        <f>"Τομπάζη 7 "</f>
        <v xml:space="preserve">Τομπάζη 7 </v>
      </c>
      <c r="I8926">
        <v>74100</v>
      </c>
      <c r="K8926">
        <v>6945997675</v>
      </c>
      <c r="M8926" t="s">
        <v>13554</v>
      </c>
      <c r="N8926" t="s">
        <v>337</v>
      </c>
      <c r="O8926" t="s">
        <v>338</v>
      </c>
      <c r="R8926" t="s">
        <v>159</v>
      </c>
      <c r="S8926">
        <v>4</v>
      </c>
      <c r="T8926" t="s">
        <v>8675</v>
      </c>
      <c r="U8926" s="1">
        <v>43348</v>
      </c>
      <c r="V8926" t="s">
        <v>66</v>
      </c>
      <c r="W8926" t="s">
        <v>67</v>
      </c>
      <c r="X8926" t="s">
        <v>58</v>
      </c>
      <c r="Y8926">
        <v>24</v>
      </c>
      <c r="Z8926" t="s">
        <v>59</v>
      </c>
      <c r="AA8926" t="s">
        <v>59</v>
      </c>
      <c r="AB8926" t="s">
        <v>59</v>
      </c>
      <c r="AC8926" t="s">
        <v>59</v>
      </c>
      <c r="AD8926" t="s">
        <v>59</v>
      </c>
      <c r="AF8926" s="1">
        <v>43348</v>
      </c>
      <c r="AG8926" t="s">
        <v>8645</v>
      </c>
      <c r="AH8926" t="s">
        <v>8646</v>
      </c>
      <c r="AI8926" t="str">
        <f>"9410167"</f>
        <v>9410167</v>
      </c>
      <c r="AJ8926" t="s">
        <v>12911</v>
      </c>
      <c r="AK8926">
        <v>2831031455</v>
      </c>
      <c r="AL8926" t="s">
        <v>12912</v>
      </c>
      <c r="AM8926" t="s">
        <v>64</v>
      </c>
      <c r="AN8926" t="s">
        <v>65</v>
      </c>
      <c r="AO8926" t="s">
        <v>5720</v>
      </c>
      <c r="AP8926" t="s">
        <v>12913</v>
      </c>
      <c r="AQ8926">
        <v>2</v>
      </c>
      <c r="AR8926" t="s">
        <v>66</v>
      </c>
      <c r="AS8926" t="s">
        <v>67</v>
      </c>
      <c r="AT8926" t="s">
        <v>58</v>
      </c>
      <c r="AU8926" t="s">
        <v>8673</v>
      </c>
      <c r="AV8926" t="s">
        <v>132</v>
      </c>
      <c r="AW8926" s="1">
        <v>31227</v>
      </c>
      <c r="AX8926">
        <v>1</v>
      </c>
    </row>
    <row r="8927" spans="1:50">
      <c r="A8927">
        <v>556350</v>
      </c>
      <c r="B8927" t="str">
        <f>"031811099"</f>
        <v>031811099</v>
      </c>
      <c r="C8927" t="s">
        <v>50</v>
      </c>
      <c r="D8927" t="s">
        <v>13555</v>
      </c>
      <c r="E8927" t="s">
        <v>4695</v>
      </c>
      <c r="F8927" t="s">
        <v>106</v>
      </c>
      <c r="G8927" t="s">
        <v>13556</v>
      </c>
      <c r="H8927" t="str">
        <f>" "</f>
        <v xml:space="preserve"> </v>
      </c>
      <c r="N8927" t="s">
        <v>1525</v>
      </c>
      <c r="O8927" t="s">
        <v>1526</v>
      </c>
      <c r="R8927" t="s">
        <v>57</v>
      </c>
      <c r="S8927">
        <v>16</v>
      </c>
      <c r="T8927">
        <v>200</v>
      </c>
      <c r="U8927" s="1">
        <v>31657</v>
      </c>
      <c r="V8927" t="s">
        <v>66</v>
      </c>
      <c r="W8927" t="s">
        <v>67</v>
      </c>
      <c r="X8927" t="s">
        <v>58</v>
      </c>
      <c r="Y8927">
        <v>25</v>
      </c>
      <c r="Z8927" t="s">
        <v>59</v>
      </c>
      <c r="AA8927" t="s">
        <v>59</v>
      </c>
      <c r="AB8927" t="s">
        <v>59</v>
      </c>
      <c r="AC8927" t="s">
        <v>59</v>
      </c>
      <c r="AD8927" t="s">
        <v>59</v>
      </c>
      <c r="AF8927" s="1">
        <v>31665</v>
      </c>
      <c r="AG8927" t="s">
        <v>8651</v>
      </c>
      <c r="AH8927" t="s">
        <v>8652</v>
      </c>
      <c r="AI8927" t="str">
        <f>"9410202"</f>
        <v>9410202</v>
      </c>
      <c r="AJ8927" t="s">
        <v>13557</v>
      </c>
      <c r="AK8927">
        <v>2834061717</v>
      </c>
      <c r="AL8927" t="s">
        <v>13558</v>
      </c>
      <c r="AM8927" t="s">
        <v>64</v>
      </c>
      <c r="AN8927" t="s">
        <v>5672</v>
      </c>
      <c r="AO8927" t="s">
        <v>5698</v>
      </c>
      <c r="AP8927" t="s">
        <v>13030</v>
      </c>
      <c r="AQ8927">
        <v>11</v>
      </c>
      <c r="AR8927" t="s">
        <v>66</v>
      </c>
      <c r="AS8927" t="s">
        <v>67</v>
      </c>
      <c r="AT8927" t="s">
        <v>58</v>
      </c>
      <c r="AU8927" t="s">
        <v>68</v>
      </c>
      <c r="AV8927" t="s">
        <v>69</v>
      </c>
      <c r="AW8927" s="1">
        <v>22904</v>
      </c>
      <c r="AX8927">
        <v>1</v>
      </c>
    </row>
    <row r="8928" spans="1:50">
      <c r="B8928" t="str">
        <f>"150927265"</f>
        <v>150927265</v>
      </c>
      <c r="C8928" t="s">
        <v>50</v>
      </c>
      <c r="D8928" t="s">
        <v>13559</v>
      </c>
      <c r="E8928" t="s">
        <v>52</v>
      </c>
      <c r="F8928" t="s">
        <v>631</v>
      </c>
      <c r="G8928" t="s">
        <v>143</v>
      </c>
      <c r="H8928" t="str">
        <f>" "</f>
        <v xml:space="preserve"> </v>
      </c>
      <c r="N8928" t="s">
        <v>8834</v>
      </c>
      <c r="O8928" t="s">
        <v>8695</v>
      </c>
      <c r="R8928" t="s">
        <v>121</v>
      </c>
      <c r="S8928">
        <v>3</v>
      </c>
      <c r="T8928" t="s">
        <v>8835</v>
      </c>
      <c r="U8928" s="1">
        <v>43348</v>
      </c>
      <c r="V8928" t="s">
        <v>66</v>
      </c>
      <c r="W8928" t="s">
        <v>67</v>
      </c>
      <c r="X8928" t="s">
        <v>58</v>
      </c>
      <c r="Y8928">
        <v>24</v>
      </c>
      <c r="Z8928" t="s">
        <v>59</v>
      </c>
      <c r="AA8928" t="s">
        <v>59</v>
      </c>
      <c r="AB8928" t="s">
        <v>59</v>
      </c>
      <c r="AD8928" t="s">
        <v>59</v>
      </c>
      <c r="AF8928" s="1">
        <v>43348</v>
      </c>
      <c r="AG8928" t="s">
        <v>8645</v>
      </c>
      <c r="AH8928" t="s">
        <v>8646</v>
      </c>
      <c r="AI8928" t="str">
        <f>"9410070"</f>
        <v>9410070</v>
      </c>
      <c r="AJ8928" t="s">
        <v>12757</v>
      </c>
      <c r="AK8928">
        <v>2831028583</v>
      </c>
      <c r="AL8928" t="s">
        <v>12758</v>
      </c>
      <c r="AM8928" t="s">
        <v>64</v>
      </c>
      <c r="AN8928" t="s">
        <v>65</v>
      </c>
      <c r="AO8928" t="s">
        <v>65</v>
      </c>
      <c r="AP8928" t="s">
        <v>65</v>
      </c>
      <c r="AQ8928">
        <v>1</v>
      </c>
      <c r="AR8928" t="s">
        <v>66</v>
      </c>
      <c r="AS8928" t="s">
        <v>67</v>
      </c>
      <c r="AT8928" t="s">
        <v>58</v>
      </c>
      <c r="AU8928" t="s">
        <v>131</v>
      </c>
      <c r="AV8928" t="s">
        <v>132</v>
      </c>
      <c r="AW8928" s="1">
        <v>33353</v>
      </c>
      <c r="AX8928">
        <v>1</v>
      </c>
    </row>
    <row r="8929" spans="1:50">
      <c r="A8929">
        <v>589957</v>
      </c>
      <c r="B8929" t="str">
        <f>"078988161"</f>
        <v>078988161</v>
      </c>
      <c r="C8929" t="s">
        <v>50</v>
      </c>
      <c r="D8929" t="s">
        <v>6399</v>
      </c>
      <c r="E8929" t="s">
        <v>52</v>
      </c>
      <c r="F8929" t="s">
        <v>900</v>
      </c>
      <c r="G8929" t="s">
        <v>54</v>
      </c>
      <c r="H8929" t="str">
        <f>"ΜΙΚΡΑ ΑΝΩΓΕΙΑ ΡΕΘΥΜΝΟ"</f>
        <v>ΜΙΚΡΑ ΑΝΩΓΕΙΑ ΡΕΘΥΜΝΟ</v>
      </c>
      <c r="I8929">
        <v>74100</v>
      </c>
      <c r="J8929">
        <v>2831028393</v>
      </c>
      <c r="K8929">
        <v>6976860919</v>
      </c>
      <c r="N8929" t="s">
        <v>176</v>
      </c>
      <c r="O8929" t="s">
        <v>177</v>
      </c>
      <c r="R8929" t="s">
        <v>57</v>
      </c>
      <c r="S8929">
        <v>9</v>
      </c>
      <c r="T8929">
        <v>177</v>
      </c>
      <c r="U8929" s="1">
        <v>36403</v>
      </c>
      <c r="V8929" t="s">
        <v>66</v>
      </c>
      <c r="W8929" t="s">
        <v>67</v>
      </c>
      <c r="X8929" t="s">
        <v>58</v>
      </c>
      <c r="Y8929">
        <v>22</v>
      </c>
      <c r="Z8929" t="s">
        <v>59</v>
      </c>
      <c r="AA8929" t="s">
        <v>59</v>
      </c>
      <c r="AB8929" t="s">
        <v>59</v>
      </c>
      <c r="AC8929" t="s">
        <v>59</v>
      </c>
      <c r="AD8929" t="s">
        <v>59</v>
      </c>
      <c r="AF8929" s="1">
        <v>36404</v>
      </c>
      <c r="AG8929" t="s">
        <v>8645</v>
      </c>
      <c r="AH8929" t="s">
        <v>8646</v>
      </c>
      <c r="AI8929" t="str">
        <f>"9410082"</f>
        <v>9410082</v>
      </c>
      <c r="AJ8929" t="s">
        <v>13195</v>
      </c>
      <c r="AK8929">
        <v>2831075013</v>
      </c>
      <c r="AL8929" t="s">
        <v>13196</v>
      </c>
      <c r="AM8929" t="s">
        <v>64</v>
      </c>
      <c r="AN8929" t="s">
        <v>65</v>
      </c>
      <c r="AO8929" t="s">
        <v>65</v>
      </c>
      <c r="AP8929" t="s">
        <v>12884</v>
      </c>
      <c r="AQ8929">
        <v>3</v>
      </c>
      <c r="AR8929" t="s">
        <v>66</v>
      </c>
      <c r="AS8929" t="s">
        <v>67</v>
      </c>
      <c r="AT8929" t="s">
        <v>58</v>
      </c>
      <c r="AU8929" t="s">
        <v>68</v>
      </c>
      <c r="AV8929" t="s">
        <v>69</v>
      </c>
      <c r="AW8929" s="1">
        <v>27509</v>
      </c>
      <c r="AX8929">
        <v>1</v>
      </c>
    </row>
    <row r="8930" spans="1:50">
      <c r="A8930">
        <v>592631</v>
      </c>
      <c r="B8930" t="str">
        <f>"061116679"</f>
        <v>061116679</v>
      </c>
      <c r="C8930" t="s">
        <v>50</v>
      </c>
      <c r="D8930" t="s">
        <v>6399</v>
      </c>
      <c r="E8930" t="s">
        <v>1120</v>
      </c>
      <c r="F8930" t="s">
        <v>900</v>
      </c>
      <c r="G8930" t="s">
        <v>54</v>
      </c>
      <c r="H8930" t="str">
        <f>" "</f>
        <v xml:space="preserve"> </v>
      </c>
      <c r="K8930">
        <v>6946467315</v>
      </c>
      <c r="M8930" t="s">
        <v>13560</v>
      </c>
      <c r="N8930" t="s">
        <v>176</v>
      </c>
      <c r="O8930" t="s">
        <v>177</v>
      </c>
      <c r="R8930" t="s">
        <v>57</v>
      </c>
      <c r="S8930">
        <v>9</v>
      </c>
      <c r="T8930">
        <v>250</v>
      </c>
      <c r="U8930" s="1">
        <v>36769</v>
      </c>
      <c r="V8930" t="s">
        <v>66</v>
      </c>
      <c r="W8930" t="s">
        <v>67</v>
      </c>
      <c r="X8930" t="s">
        <v>58</v>
      </c>
      <c r="Y8930">
        <v>22</v>
      </c>
      <c r="Z8930" t="s">
        <v>59</v>
      </c>
      <c r="AA8930" t="s">
        <v>59</v>
      </c>
      <c r="AB8930" t="s">
        <v>59</v>
      </c>
      <c r="AC8930" t="s">
        <v>59</v>
      </c>
      <c r="AD8930" t="s">
        <v>59</v>
      </c>
      <c r="AF8930" s="1">
        <v>36770</v>
      </c>
      <c r="AG8930" t="s">
        <v>8645</v>
      </c>
      <c r="AH8930" t="s">
        <v>8646</v>
      </c>
      <c r="AI8930" t="str">
        <f>"9410241"</f>
        <v>9410241</v>
      </c>
      <c r="AJ8930" t="s">
        <v>12783</v>
      </c>
      <c r="AK8930">
        <v>2831022616</v>
      </c>
      <c r="AL8930" t="s">
        <v>12784</v>
      </c>
      <c r="AM8930" t="s">
        <v>64</v>
      </c>
      <c r="AN8930" t="s">
        <v>65</v>
      </c>
      <c r="AO8930" t="s">
        <v>65</v>
      </c>
      <c r="AP8930" t="s">
        <v>65</v>
      </c>
      <c r="AQ8930">
        <v>1</v>
      </c>
      <c r="AR8930" t="s">
        <v>66</v>
      </c>
      <c r="AS8930" t="s">
        <v>67</v>
      </c>
      <c r="AT8930" t="s">
        <v>58</v>
      </c>
      <c r="AU8930" t="s">
        <v>68</v>
      </c>
      <c r="AV8930" t="s">
        <v>69</v>
      </c>
      <c r="AW8930" s="1">
        <v>26712</v>
      </c>
      <c r="AX8930">
        <v>1</v>
      </c>
    </row>
    <row r="8931" spans="1:50">
      <c r="A8931">
        <v>605333</v>
      </c>
      <c r="B8931" t="str">
        <f>"118875100"</f>
        <v>118875100</v>
      </c>
      <c r="C8931" t="s">
        <v>50</v>
      </c>
      <c r="D8931" t="s">
        <v>3377</v>
      </c>
      <c r="E8931" t="s">
        <v>809</v>
      </c>
      <c r="F8931" t="s">
        <v>383</v>
      </c>
      <c r="G8931" t="s">
        <v>5062</v>
      </c>
      <c r="H8931" t="str">
        <f>"ΕΘΝ. ΑΝΤΙΣΤΑΣΕΩΣ ΑΤΣΙΠΟΠΟΥΛΟ-ΡΕΘΥΜΝΗΣ"</f>
        <v>ΕΘΝ. ΑΝΤΙΣΤΑΣΕΩΣ ΑΤΣΙΠΟΠΟΥΛΟ-ΡΕΘΥΜΝΗΣ</v>
      </c>
      <c r="I8931">
        <v>74100</v>
      </c>
      <c r="J8931">
        <v>2831056289</v>
      </c>
      <c r="K8931">
        <v>6977960274</v>
      </c>
      <c r="L8931">
        <v>2831032530</v>
      </c>
      <c r="M8931" t="s">
        <v>13561</v>
      </c>
      <c r="N8931" t="s">
        <v>615</v>
      </c>
      <c r="O8931" t="s">
        <v>616</v>
      </c>
      <c r="R8931" t="s">
        <v>57</v>
      </c>
      <c r="S8931">
        <v>7</v>
      </c>
      <c r="T8931">
        <v>231</v>
      </c>
      <c r="U8931" s="1">
        <v>38230</v>
      </c>
      <c r="V8931" t="s">
        <v>66</v>
      </c>
      <c r="W8931" t="s">
        <v>67</v>
      </c>
      <c r="X8931" t="s">
        <v>58</v>
      </c>
      <c r="Y8931">
        <v>22</v>
      </c>
      <c r="Z8931" t="s">
        <v>59</v>
      </c>
      <c r="AA8931" t="s">
        <v>59</v>
      </c>
      <c r="AB8931" t="s">
        <v>59</v>
      </c>
      <c r="AC8931" t="s">
        <v>59</v>
      </c>
      <c r="AD8931" t="s">
        <v>59</v>
      </c>
      <c r="AF8931" s="1">
        <v>38231</v>
      </c>
      <c r="AG8931" t="s">
        <v>8645</v>
      </c>
      <c r="AH8931" t="s">
        <v>8646</v>
      </c>
      <c r="AI8931" t="str">
        <f>"9410065"</f>
        <v>9410065</v>
      </c>
      <c r="AJ8931" t="s">
        <v>12717</v>
      </c>
      <c r="AK8931">
        <v>2831022519</v>
      </c>
      <c r="AL8931" t="s">
        <v>12718</v>
      </c>
      <c r="AM8931" t="s">
        <v>64</v>
      </c>
      <c r="AN8931" t="s">
        <v>65</v>
      </c>
      <c r="AO8931" t="s">
        <v>65</v>
      </c>
      <c r="AP8931" t="s">
        <v>65</v>
      </c>
      <c r="AQ8931">
        <v>1</v>
      </c>
      <c r="AR8931" t="s">
        <v>66</v>
      </c>
      <c r="AS8931" t="s">
        <v>67</v>
      </c>
      <c r="AT8931" t="s">
        <v>58</v>
      </c>
      <c r="AU8931" t="s">
        <v>68</v>
      </c>
      <c r="AV8931" t="s">
        <v>69</v>
      </c>
      <c r="AW8931" s="1">
        <v>28524</v>
      </c>
      <c r="AX8931">
        <v>1</v>
      </c>
    </row>
    <row r="8932" spans="1:50">
      <c r="A8932">
        <v>555574</v>
      </c>
      <c r="B8932" t="str">
        <f>"031810607"</f>
        <v>031810607</v>
      </c>
      <c r="C8932" t="s">
        <v>105</v>
      </c>
      <c r="D8932" t="s">
        <v>6410</v>
      </c>
      <c r="E8932" t="s">
        <v>106</v>
      </c>
      <c r="F8932" t="s">
        <v>2933</v>
      </c>
      <c r="G8932" t="s">
        <v>372</v>
      </c>
      <c r="H8932" t="str">
        <f>" "</f>
        <v xml:space="preserve"> </v>
      </c>
      <c r="N8932" t="s">
        <v>615</v>
      </c>
      <c r="O8932" t="s">
        <v>616</v>
      </c>
      <c r="R8932" t="s">
        <v>57</v>
      </c>
      <c r="S8932">
        <v>15</v>
      </c>
      <c r="T8932">
        <v>200</v>
      </c>
      <c r="U8932" s="1">
        <v>31657</v>
      </c>
      <c r="V8932" t="s">
        <v>66</v>
      </c>
      <c r="W8932" t="s">
        <v>67</v>
      </c>
      <c r="X8932" t="s">
        <v>58</v>
      </c>
      <c r="Y8932">
        <v>21</v>
      </c>
      <c r="Z8932" t="s">
        <v>59</v>
      </c>
      <c r="AA8932" t="s">
        <v>59</v>
      </c>
      <c r="AB8932" t="s">
        <v>59</v>
      </c>
      <c r="AC8932" t="s">
        <v>59</v>
      </c>
      <c r="AD8932" t="s">
        <v>59</v>
      </c>
      <c r="AF8932" s="1">
        <v>31665</v>
      </c>
      <c r="AG8932" t="s">
        <v>8645</v>
      </c>
      <c r="AH8932" t="s">
        <v>8646</v>
      </c>
      <c r="AI8932" t="str">
        <f>"9410212"</f>
        <v>9410212</v>
      </c>
      <c r="AJ8932" t="s">
        <v>12747</v>
      </c>
      <c r="AK8932">
        <v>2831022132</v>
      </c>
      <c r="AL8932" t="s">
        <v>12748</v>
      </c>
      <c r="AM8932" t="s">
        <v>64</v>
      </c>
      <c r="AN8932" t="s">
        <v>65</v>
      </c>
      <c r="AO8932" t="s">
        <v>65</v>
      </c>
      <c r="AP8932" t="s">
        <v>65</v>
      </c>
      <c r="AQ8932">
        <v>1</v>
      </c>
      <c r="AR8932" t="s">
        <v>66</v>
      </c>
      <c r="AS8932" t="s">
        <v>67</v>
      </c>
      <c r="AT8932" t="s">
        <v>58</v>
      </c>
      <c r="AU8932" t="s">
        <v>68</v>
      </c>
      <c r="AV8932" t="s">
        <v>69</v>
      </c>
      <c r="AW8932" s="1">
        <v>23352</v>
      </c>
      <c r="AX8932">
        <v>1</v>
      </c>
    </row>
    <row r="8933" spans="1:50">
      <c r="B8933" t="str">
        <f>"107719409"</f>
        <v>107719409</v>
      </c>
      <c r="C8933" t="s">
        <v>50</v>
      </c>
      <c r="D8933" t="s">
        <v>13562</v>
      </c>
      <c r="E8933" t="s">
        <v>237</v>
      </c>
      <c r="F8933" t="s">
        <v>95</v>
      </c>
      <c r="G8933" t="s">
        <v>922</v>
      </c>
      <c r="H8933" t="str">
        <f>"ΘΥΑΤΕΙΡΩΝ 24 ΝΙΩΝΙΑ ΒΟΛΟΥ"</f>
        <v>ΘΥΑΤΕΙΡΩΝ 24 ΝΙΩΝΙΑ ΒΟΛΟΥ</v>
      </c>
      <c r="I8933">
        <v>38445</v>
      </c>
      <c r="J8933">
        <v>2421077198</v>
      </c>
      <c r="K8933">
        <v>6934240662</v>
      </c>
      <c r="M8933" t="s">
        <v>13563</v>
      </c>
      <c r="N8933" t="s">
        <v>8694</v>
      </c>
      <c r="O8933" t="s">
        <v>8695</v>
      </c>
      <c r="R8933" t="s">
        <v>159</v>
      </c>
      <c r="S8933">
        <v>3</v>
      </c>
      <c r="T8933" t="s">
        <v>8696</v>
      </c>
      <c r="U8933" s="1">
        <v>43348</v>
      </c>
      <c r="V8933" t="s">
        <v>66</v>
      </c>
      <c r="W8933" t="s">
        <v>67</v>
      </c>
      <c r="X8933" t="s">
        <v>58</v>
      </c>
      <c r="Y8933">
        <v>24</v>
      </c>
      <c r="Z8933" t="s">
        <v>59</v>
      </c>
      <c r="AA8933" t="s">
        <v>59</v>
      </c>
      <c r="AB8933" t="s">
        <v>59</v>
      </c>
      <c r="AC8933" t="s">
        <v>59</v>
      </c>
      <c r="AD8933" t="s">
        <v>59</v>
      </c>
      <c r="AF8933" s="1">
        <v>43348</v>
      </c>
      <c r="AG8933" t="s">
        <v>8645</v>
      </c>
      <c r="AH8933" t="s">
        <v>8646</v>
      </c>
      <c r="AI8933" t="str">
        <f>"9410152"</f>
        <v>9410152</v>
      </c>
      <c r="AJ8933" t="s">
        <v>12686</v>
      </c>
      <c r="AK8933">
        <v>2831029088</v>
      </c>
      <c r="AL8933" t="s">
        <v>12687</v>
      </c>
      <c r="AM8933" t="s">
        <v>64</v>
      </c>
      <c r="AN8933" t="s">
        <v>65</v>
      </c>
      <c r="AO8933" t="s">
        <v>65</v>
      </c>
      <c r="AP8933" t="s">
        <v>65</v>
      </c>
      <c r="AQ8933">
        <v>1</v>
      </c>
      <c r="AR8933" t="s">
        <v>66</v>
      </c>
      <c r="AS8933" t="s">
        <v>67</v>
      </c>
      <c r="AT8933" t="s">
        <v>58</v>
      </c>
      <c r="AU8933" t="s">
        <v>350</v>
      </c>
      <c r="AV8933" t="s">
        <v>132</v>
      </c>
      <c r="AW8933" s="1">
        <v>30799</v>
      </c>
      <c r="AX8933">
        <v>1</v>
      </c>
    </row>
    <row r="8934" spans="1:50">
      <c r="A8934">
        <v>590529</v>
      </c>
      <c r="B8934" t="str">
        <f>"078982760"</f>
        <v>078982760</v>
      </c>
      <c r="C8934" t="s">
        <v>50</v>
      </c>
      <c r="D8934" t="s">
        <v>3408</v>
      </c>
      <c r="E8934" t="s">
        <v>727</v>
      </c>
      <c r="F8934" t="s">
        <v>4140</v>
      </c>
      <c r="G8934" t="s">
        <v>83</v>
      </c>
      <c r="H8934" t="str">
        <f>" "</f>
        <v xml:space="preserve"> </v>
      </c>
      <c r="J8934">
        <v>2106000040</v>
      </c>
      <c r="L8934">
        <v>2106005090</v>
      </c>
      <c r="N8934" t="s">
        <v>306</v>
      </c>
      <c r="O8934" t="s">
        <v>307</v>
      </c>
      <c r="R8934" t="s">
        <v>57</v>
      </c>
      <c r="S8934">
        <v>15</v>
      </c>
      <c r="T8934">
        <v>176</v>
      </c>
      <c r="U8934" s="1">
        <v>36403</v>
      </c>
      <c r="V8934" t="s">
        <v>66</v>
      </c>
      <c r="W8934" t="s">
        <v>67</v>
      </c>
      <c r="X8934" t="s">
        <v>58</v>
      </c>
      <c r="Y8934">
        <v>21</v>
      </c>
      <c r="Z8934" t="s">
        <v>59</v>
      </c>
      <c r="AA8934" t="s">
        <v>59</v>
      </c>
      <c r="AB8934" t="s">
        <v>59</v>
      </c>
      <c r="AC8934" t="s">
        <v>59</v>
      </c>
      <c r="AD8934" t="s">
        <v>59</v>
      </c>
      <c r="AF8934" s="1">
        <v>36404</v>
      </c>
      <c r="AG8934" t="s">
        <v>8645</v>
      </c>
      <c r="AH8934" t="s">
        <v>8646</v>
      </c>
      <c r="AI8934" t="str">
        <f>"9410152"</f>
        <v>9410152</v>
      </c>
      <c r="AJ8934" t="s">
        <v>12686</v>
      </c>
      <c r="AK8934">
        <v>2831029088</v>
      </c>
      <c r="AL8934" t="s">
        <v>12687</v>
      </c>
      <c r="AM8934" t="s">
        <v>64</v>
      </c>
      <c r="AN8934" t="s">
        <v>65</v>
      </c>
      <c r="AO8934" t="s">
        <v>65</v>
      </c>
      <c r="AP8934" t="s">
        <v>65</v>
      </c>
      <c r="AQ8934">
        <v>1</v>
      </c>
      <c r="AR8934" t="s">
        <v>66</v>
      </c>
      <c r="AS8934" t="s">
        <v>67</v>
      </c>
      <c r="AT8934" t="s">
        <v>58</v>
      </c>
      <c r="AU8934" t="s">
        <v>68</v>
      </c>
      <c r="AV8934" t="s">
        <v>69</v>
      </c>
      <c r="AW8934" s="1">
        <v>26753</v>
      </c>
      <c r="AX8934">
        <v>1</v>
      </c>
    </row>
    <row r="8935" spans="1:50">
      <c r="A8935">
        <v>602972</v>
      </c>
      <c r="B8935" t="str">
        <f>"124489216"</f>
        <v>124489216</v>
      </c>
      <c r="C8935" t="s">
        <v>50</v>
      </c>
      <c r="D8935" t="s">
        <v>13564</v>
      </c>
      <c r="E8935" t="s">
        <v>13565</v>
      </c>
      <c r="F8935" t="s">
        <v>84</v>
      </c>
      <c r="G8935" t="s">
        <v>13566</v>
      </c>
      <c r="H8935" t="str">
        <f>" "</f>
        <v xml:space="preserve"> </v>
      </c>
      <c r="J8935">
        <v>2831032239</v>
      </c>
      <c r="N8935" t="s">
        <v>1525</v>
      </c>
      <c r="O8935" t="s">
        <v>1526</v>
      </c>
      <c r="R8935" t="s">
        <v>57</v>
      </c>
      <c r="S8935">
        <v>7</v>
      </c>
      <c r="T8935">
        <v>207</v>
      </c>
      <c r="U8935" s="1">
        <v>37866</v>
      </c>
      <c r="V8935" t="s">
        <v>66</v>
      </c>
      <c r="W8935" t="s">
        <v>67</v>
      </c>
      <c r="X8935" t="s">
        <v>58</v>
      </c>
      <c r="Y8935">
        <v>25</v>
      </c>
      <c r="Z8935" t="s">
        <v>59</v>
      </c>
      <c r="AA8935" t="s">
        <v>59</v>
      </c>
      <c r="AB8935" t="s">
        <v>59</v>
      </c>
      <c r="AC8935" t="s">
        <v>59</v>
      </c>
      <c r="AD8935" t="s">
        <v>59</v>
      </c>
      <c r="AF8935" s="1">
        <v>37866</v>
      </c>
      <c r="AG8935" t="s">
        <v>8651</v>
      </c>
      <c r="AH8935" t="s">
        <v>8652</v>
      </c>
      <c r="AI8935" t="str">
        <f>"9410147"</f>
        <v>9410147</v>
      </c>
      <c r="AJ8935" t="s">
        <v>13497</v>
      </c>
      <c r="AK8935">
        <v>2831061838</v>
      </c>
      <c r="AL8935" t="s">
        <v>13498</v>
      </c>
      <c r="AM8935" t="s">
        <v>64</v>
      </c>
      <c r="AN8935" t="s">
        <v>65</v>
      </c>
      <c r="AO8935" t="s">
        <v>5657</v>
      </c>
      <c r="AP8935" t="s">
        <v>1437</v>
      </c>
      <c r="AQ8935">
        <v>2</v>
      </c>
      <c r="AR8935" t="s">
        <v>66</v>
      </c>
      <c r="AS8935" t="s">
        <v>67</v>
      </c>
      <c r="AT8935" t="s">
        <v>58</v>
      </c>
      <c r="AU8935" t="s">
        <v>68</v>
      </c>
      <c r="AV8935" t="s">
        <v>69</v>
      </c>
      <c r="AW8935" s="1">
        <v>26894</v>
      </c>
      <c r="AX8935">
        <v>1</v>
      </c>
    </row>
    <row r="8936" spans="1:50">
      <c r="B8936" t="str">
        <f>"137472468"</f>
        <v>137472468</v>
      </c>
      <c r="C8936" t="s">
        <v>50</v>
      </c>
      <c r="D8936" t="s">
        <v>13567</v>
      </c>
      <c r="E8936" t="s">
        <v>4770</v>
      </c>
      <c r="F8936" t="s">
        <v>383</v>
      </c>
      <c r="G8936" t="s">
        <v>52</v>
      </c>
      <c r="H8936" t="str">
        <f>"ΓΕΩΡΓΙΟΥ ΣΚΟΥΛΑ 15 ΡΕΘΥΜΝΟ"</f>
        <v>ΓΕΩΡΓΙΟΥ ΣΚΟΥΛΑ 15 ΡΕΘΥΜΝΟ</v>
      </c>
      <c r="I8936">
        <v>74100</v>
      </c>
      <c r="J8936">
        <v>2831025471</v>
      </c>
      <c r="K8936">
        <v>6970692247</v>
      </c>
      <c r="N8936" t="s">
        <v>615</v>
      </c>
      <c r="O8936" t="s">
        <v>616</v>
      </c>
      <c r="R8936" t="s">
        <v>159</v>
      </c>
      <c r="S8936">
        <v>2</v>
      </c>
      <c r="T8936" t="s">
        <v>8675</v>
      </c>
      <c r="U8936" s="1">
        <v>43348</v>
      </c>
      <c r="V8936" t="s">
        <v>66</v>
      </c>
      <c r="W8936" t="s">
        <v>67</v>
      </c>
      <c r="X8936" t="s">
        <v>58</v>
      </c>
      <c r="Y8936">
        <v>24</v>
      </c>
      <c r="Z8936" t="s">
        <v>59</v>
      </c>
      <c r="AA8936" t="s">
        <v>59</v>
      </c>
      <c r="AB8936" t="s">
        <v>59</v>
      </c>
      <c r="AC8936" t="s">
        <v>59</v>
      </c>
      <c r="AD8936" t="s">
        <v>59</v>
      </c>
      <c r="AF8936" s="1">
        <v>43348</v>
      </c>
      <c r="AG8936" t="s">
        <v>8645</v>
      </c>
      <c r="AH8936" t="s">
        <v>8646</v>
      </c>
      <c r="AI8936" t="str">
        <f>"9410044"</f>
        <v>9410044</v>
      </c>
      <c r="AJ8936" t="s">
        <v>13257</v>
      </c>
      <c r="AK8936">
        <v>2834094218</v>
      </c>
      <c r="AL8936" t="s">
        <v>13258</v>
      </c>
      <c r="AM8936" t="s">
        <v>64</v>
      </c>
      <c r="AN8936" t="s">
        <v>5672</v>
      </c>
      <c r="AO8936" t="s">
        <v>5673</v>
      </c>
      <c r="AP8936" t="s">
        <v>13259</v>
      </c>
      <c r="AQ8936">
        <v>10</v>
      </c>
      <c r="AR8936" t="s">
        <v>66</v>
      </c>
      <c r="AS8936" t="s">
        <v>67</v>
      </c>
      <c r="AT8936" t="s">
        <v>58</v>
      </c>
      <c r="AU8936" t="s">
        <v>8673</v>
      </c>
      <c r="AV8936" t="s">
        <v>132</v>
      </c>
      <c r="AW8936" s="1">
        <v>32304</v>
      </c>
      <c r="AX8936">
        <v>1</v>
      </c>
    </row>
    <row r="8937" spans="1:50">
      <c r="B8937" t="str">
        <f>"144514325"</f>
        <v>144514325</v>
      </c>
      <c r="C8937" t="s">
        <v>50</v>
      </c>
      <c r="D8937" t="s">
        <v>13568</v>
      </c>
      <c r="E8937" t="s">
        <v>476</v>
      </c>
      <c r="F8937" t="s">
        <v>99</v>
      </c>
      <c r="G8937" t="s">
        <v>382</v>
      </c>
      <c r="H8937" t="str">
        <f>"ΑΓΙΑΣ ΠΑΡΑΣΚΕΥΗΣ 21 "</f>
        <v xml:space="preserve">ΑΓΙΑΣ ΠΑΡΑΣΚΕΥΗΣ 21 </v>
      </c>
      <c r="I8937">
        <v>60100</v>
      </c>
      <c r="J8937">
        <v>2351035177</v>
      </c>
      <c r="K8937">
        <v>6977949924</v>
      </c>
      <c r="N8937" t="s">
        <v>615</v>
      </c>
      <c r="O8937" t="s">
        <v>616</v>
      </c>
      <c r="R8937" t="s">
        <v>159</v>
      </c>
      <c r="S8937">
        <v>3</v>
      </c>
      <c r="T8937" t="s">
        <v>8675</v>
      </c>
      <c r="U8937" s="1">
        <v>43348</v>
      </c>
      <c r="V8937" t="s">
        <v>66</v>
      </c>
      <c r="W8937" t="s">
        <v>67</v>
      </c>
      <c r="X8937" t="s">
        <v>58</v>
      </c>
      <c r="Y8937">
        <v>24</v>
      </c>
      <c r="Z8937" t="s">
        <v>59</v>
      </c>
      <c r="AA8937" t="s">
        <v>59</v>
      </c>
      <c r="AB8937" t="s">
        <v>59</v>
      </c>
      <c r="AC8937" t="s">
        <v>59</v>
      </c>
      <c r="AD8937" t="s">
        <v>59</v>
      </c>
      <c r="AF8937" s="1">
        <v>43348</v>
      </c>
      <c r="AG8937" t="s">
        <v>8645</v>
      </c>
      <c r="AH8937" t="s">
        <v>8676</v>
      </c>
      <c r="AI8937" t="str">
        <f>"9410145"</f>
        <v>9410145</v>
      </c>
      <c r="AJ8937" t="s">
        <v>13424</v>
      </c>
      <c r="AK8937">
        <v>2833041268</v>
      </c>
      <c r="AL8937" t="s">
        <v>13425</v>
      </c>
      <c r="AM8937" t="s">
        <v>64</v>
      </c>
      <c r="AN8937" t="s">
        <v>5713</v>
      </c>
      <c r="AO8937" t="s">
        <v>5780</v>
      </c>
      <c r="AP8937" t="s">
        <v>5781</v>
      </c>
      <c r="AQ8937">
        <v>6</v>
      </c>
      <c r="AR8937" t="s">
        <v>66</v>
      </c>
      <c r="AS8937" t="s">
        <v>67</v>
      </c>
      <c r="AT8937" t="s">
        <v>58</v>
      </c>
      <c r="AU8937" t="s">
        <v>8673</v>
      </c>
      <c r="AV8937" t="s">
        <v>132</v>
      </c>
      <c r="AW8937" s="1">
        <v>31896</v>
      </c>
      <c r="AX8937">
        <v>1</v>
      </c>
    </row>
    <row r="8938" spans="1:50">
      <c r="A8938">
        <v>554478</v>
      </c>
      <c r="B8938" t="str">
        <f>"031788608"</f>
        <v>031788608</v>
      </c>
      <c r="C8938" t="s">
        <v>105</v>
      </c>
      <c r="D8938" t="s">
        <v>13569</v>
      </c>
      <c r="E8938" t="s">
        <v>166</v>
      </c>
      <c r="F8938" t="s">
        <v>6252</v>
      </c>
      <c r="G8938" t="s">
        <v>10003</v>
      </c>
      <c r="H8938" t="str">
        <f>"ΜΑΝΟΥ  ΧΑΤΖΙΔΑΚΗ  5 ΣΑΡΑΚΙΝΑ"</f>
        <v>ΜΑΝΟΥ  ΧΑΤΖΙΔΑΚΗ  5 ΣΑΡΑΚΙΝΑ</v>
      </c>
      <c r="I8938">
        <v>74100</v>
      </c>
      <c r="K8938">
        <v>6977095569</v>
      </c>
      <c r="M8938" t="s">
        <v>13570</v>
      </c>
      <c r="N8938" t="s">
        <v>615</v>
      </c>
      <c r="O8938" t="s">
        <v>616</v>
      </c>
      <c r="R8938" t="s">
        <v>57</v>
      </c>
      <c r="S8938">
        <v>18</v>
      </c>
      <c r="T8938">
        <v>200</v>
      </c>
      <c r="U8938" s="1">
        <v>31657</v>
      </c>
      <c r="V8938" t="s">
        <v>66</v>
      </c>
      <c r="W8938" t="s">
        <v>67</v>
      </c>
      <c r="X8938" t="s">
        <v>58</v>
      </c>
      <c r="Y8938">
        <v>21</v>
      </c>
      <c r="Z8938" t="s">
        <v>59</v>
      </c>
      <c r="AA8938" t="s">
        <v>59</v>
      </c>
      <c r="AB8938" t="s">
        <v>59</v>
      </c>
      <c r="AC8938" t="s">
        <v>59</v>
      </c>
      <c r="AD8938" t="s">
        <v>59</v>
      </c>
      <c r="AF8938" s="1">
        <v>31670</v>
      </c>
      <c r="AG8938" t="s">
        <v>8645</v>
      </c>
      <c r="AH8938" t="s">
        <v>8646</v>
      </c>
      <c r="AI8938" t="str">
        <f>"9410180"</f>
        <v>9410180</v>
      </c>
      <c r="AJ8938" t="s">
        <v>12696</v>
      </c>
      <c r="AK8938">
        <v>2831031206</v>
      </c>
      <c r="AL8938" t="s">
        <v>12697</v>
      </c>
      <c r="AM8938" t="s">
        <v>64</v>
      </c>
      <c r="AN8938" t="s">
        <v>65</v>
      </c>
      <c r="AO8938" t="s">
        <v>5720</v>
      </c>
      <c r="AP8938" t="s">
        <v>12698</v>
      </c>
      <c r="AQ8938">
        <v>2</v>
      </c>
      <c r="AR8938" t="s">
        <v>66</v>
      </c>
      <c r="AS8938" t="s">
        <v>67</v>
      </c>
      <c r="AT8938" t="s">
        <v>58</v>
      </c>
      <c r="AU8938" t="s">
        <v>68</v>
      </c>
      <c r="AV8938" t="s">
        <v>69</v>
      </c>
      <c r="AW8938" s="1">
        <v>22772</v>
      </c>
      <c r="AX8938">
        <v>1</v>
      </c>
    </row>
    <row r="8939" spans="1:50">
      <c r="A8939">
        <v>599737</v>
      </c>
      <c r="B8939" t="str">
        <f>"056629000"</f>
        <v>056629000</v>
      </c>
      <c r="C8939" t="s">
        <v>105</v>
      </c>
      <c r="D8939" t="s">
        <v>12482</v>
      </c>
      <c r="E8939" t="s">
        <v>84</v>
      </c>
      <c r="F8939" t="s">
        <v>154</v>
      </c>
      <c r="G8939" t="s">
        <v>460</v>
      </c>
      <c r="H8939" t="str">
        <f>"ΕΡΩΦΙΛΗΣ 6 ΡΕΘΥΜΝΟ"</f>
        <v>ΕΡΩΦΙΛΗΣ 6 ΡΕΘΥΜΝΟ</v>
      </c>
      <c r="I8939">
        <v>74100</v>
      </c>
      <c r="K8939">
        <v>6977232480</v>
      </c>
      <c r="N8939" t="s">
        <v>615</v>
      </c>
      <c r="O8939" t="s">
        <v>616</v>
      </c>
      <c r="R8939" t="s">
        <v>57</v>
      </c>
      <c r="S8939">
        <v>9</v>
      </c>
      <c r="T8939">
        <v>195</v>
      </c>
      <c r="U8939" s="1">
        <v>37497</v>
      </c>
      <c r="V8939" t="s">
        <v>66</v>
      </c>
      <c r="W8939" t="s">
        <v>67</v>
      </c>
      <c r="X8939" t="s">
        <v>58</v>
      </c>
      <c r="Y8939">
        <v>22</v>
      </c>
      <c r="Z8939" t="s">
        <v>59</v>
      </c>
      <c r="AA8939" t="s">
        <v>59</v>
      </c>
      <c r="AB8939" t="s">
        <v>59</v>
      </c>
      <c r="AC8939" t="s">
        <v>59</v>
      </c>
      <c r="AD8939" t="s">
        <v>59</v>
      </c>
      <c r="AF8939" s="1">
        <v>37501</v>
      </c>
      <c r="AG8939" t="s">
        <v>8645</v>
      </c>
      <c r="AH8939" t="s">
        <v>8646</v>
      </c>
      <c r="AI8939" t="str">
        <f>"9410065"</f>
        <v>9410065</v>
      </c>
      <c r="AJ8939" t="s">
        <v>12717</v>
      </c>
      <c r="AK8939">
        <v>2831022519</v>
      </c>
      <c r="AL8939" t="s">
        <v>12718</v>
      </c>
      <c r="AM8939" t="s">
        <v>64</v>
      </c>
      <c r="AN8939" t="s">
        <v>65</v>
      </c>
      <c r="AO8939" t="s">
        <v>65</v>
      </c>
      <c r="AP8939" t="s">
        <v>65</v>
      </c>
      <c r="AQ8939">
        <v>1</v>
      </c>
      <c r="AR8939" t="s">
        <v>66</v>
      </c>
      <c r="AS8939" t="s">
        <v>67</v>
      </c>
      <c r="AT8939" t="s">
        <v>58</v>
      </c>
      <c r="AU8939" t="s">
        <v>68</v>
      </c>
      <c r="AV8939" t="s">
        <v>69</v>
      </c>
      <c r="AW8939" s="1">
        <v>24972</v>
      </c>
      <c r="AX8939">
        <v>1</v>
      </c>
    </row>
    <row r="8940" spans="1:50">
      <c r="B8940" t="str">
        <f>"143719498"</f>
        <v>143719498</v>
      </c>
      <c r="C8940" t="s">
        <v>50</v>
      </c>
      <c r="D8940" t="s">
        <v>13571</v>
      </c>
      <c r="E8940" t="s">
        <v>83</v>
      </c>
      <c r="F8940" t="s">
        <v>631</v>
      </c>
      <c r="G8940" t="s">
        <v>1176</v>
      </c>
      <c r="H8940" t="str">
        <f>" "</f>
        <v xml:space="preserve"> </v>
      </c>
      <c r="M8940" t="s">
        <v>13572</v>
      </c>
      <c r="N8940" t="s">
        <v>8834</v>
      </c>
      <c r="O8940" t="s">
        <v>8695</v>
      </c>
      <c r="R8940" t="s">
        <v>121</v>
      </c>
      <c r="S8940">
        <v>3</v>
      </c>
      <c r="T8940" t="s">
        <v>8835</v>
      </c>
      <c r="U8940" s="1">
        <v>43348</v>
      </c>
      <c r="V8940" t="s">
        <v>66</v>
      </c>
      <c r="W8940" t="s">
        <v>67</v>
      </c>
      <c r="X8940" t="s">
        <v>58</v>
      </c>
      <c r="Y8940">
        <v>24</v>
      </c>
      <c r="Z8940" t="s">
        <v>59</v>
      </c>
      <c r="AA8940" t="s">
        <v>59</v>
      </c>
      <c r="AB8940" t="s">
        <v>59</v>
      </c>
      <c r="AD8940" t="s">
        <v>59</v>
      </c>
      <c r="AF8940" s="1">
        <v>43348</v>
      </c>
      <c r="AG8940" t="s">
        <v>8645</v>
      </c>
      <c r="AH8940" t="s">
        <v>8646</v>
      </c>
      <c r="AI8940" t="str">
        <f>"9410152"</f>
        <v>9410152</v>
      </c>
      <c r="AJ8940" t="s">
        <v>12686</v>
      </c>
      <c r="AK8940">
        <v>2831029088</v>
      </c>
      <c r="AL8940" t="s">
        <v>12687</v>
      </c>
      <c r="AM8940" t="s">
        <v>64</v>
      </c>
      <c r="AN8940" t="s">
        <v>65</v>
      </c>
      <c r="AO8940" t="s">
        <v>65</v>
      </c>
      <c r="AP8940" t="s">
        <v>65</v>
      </c>
      <c r="AQ8940">
        <v>1</v>
      </c>
      <c r="AR8940" t="s">
        <v>66</v>
      </c>
      <c r="AS8940" t="s">
        <v>67</v>
      </c>
      <c r="AT8940" t="s">
        <v>58</v>
      </c>
      <c r="AU8940" t="s">
        <v>131</v>
      </c>
      <c r="AV8940" t="s">
        <v>132</v>
      </c>
      <c r="AW8940" s="1">
        <v>33011</v>
      </c>
      <c r="AX8940">
        <v>1</v>
      </c>
    </row>
    <row r="8941" spans="1:50">
      <c r="A8941">
        <v>701283</v>
      </c>
      <c r="B8941" t="str">
        <f>"134817550"</f>
        <v>134817550</v>
      </c>
      <c r="C8941" t="s">
        <v>50</v>
      </c>
      <c r="D8941" t="s">
        <v>13573</v>
      </c>
      <c r="E8941" t="s">
        <v>238</v>
      </c>
      <c r="F8941" t="s">
        <v>84</v>
      </c>
      <c r="G8941" t="s">
        <v>83</v>
      </c>
      <c r="H8941" t="str">
        <f>"ΟΡΓΑΝΤΖΗ 19 ΓΙΑΝΝΙΤΣΑ"</f>
        <v>ΟΡΓΑΝΤΖΗ 19 ΓΙΑΝΝΙΤΣΑ</v>
      </c>
      <c r="I8941">
        <v>58100</v>
      </c>
      <c r="J8941">
        <v>2382026643</v>
      </c>
      <c r="K8941">
        <v>6974480441</v>
      </c>
      <c r="N8941" t="s">
        <v>615</v>
      </c>
      <c r="O8941" t="s">
        <v>616</v>
      </c>
      <c r="R8941" t="s">
        <v>57</v>
      </c>
      <c r="S8941">
        <v>4</v>
      </c>
      <c r="T8941">
        <v>772</v>
      </c>
      <c r="U8941" s="1">
        <v>40413</v>
      </c>
      <c r="V8941" t="s">
        <v>66</v>
      </c>
      <c r="W8941" t="s">
        <v>67</v>
      </c>
      <c r="X8941" t="s">
        <v>58</v>
      </c>
      <c r="Y8941">
        <v>24</v>
      </c>
      <c r="Z8941" t="s">
        <v>59</v>
      </c>
      <c r="AA8941" t="s">
        <v>59</v>
      </c>
      <c r="AB8941" t="s">
        <v>59</v>
      </c>
      <c r="AC8941" t="s">
        <v>59</v>
      </c>
      <c r="AD8941" t="s">
        <v>59</v>
      </c>
      <c r="AF8941" s="1">
        <v>40413</v>
      </c>
      <c r="AG8941" t="s">
        <v>8645</v>
      </c>
      <c r="AH8941" t="s">
        <v>8646</v>
      </c>
      <c r="AI8941" t="str">
        <f>"9410003"</f>
        <v>9410003</v>
      </c>
      <c r="AJ8941" t="s">
        <v>12794</v>
      </c>
      <c r="AK8941">
        <v>2834031213</v>
      </c>
      <c r="AL8941" t="s">
        <v>12795</v>
      </c>
      <c r="AM8941" t="s">
        <v>64</v>
      </c>
      <c r="AN8941" t="s">
        <v>5737</v>
      </c>
      <c r="AO8941" t="s">
        <v>5737</v>
      </c>
      <c r="AP8941" t="s">
        <v>5737</v>
      </c>
      <c r="AQ8941">
        <v>9</v>
      </c>
      <c r="AR8941" t="s">
        <v>66</v>
      </c>
      <c r="AS8941" t="s">
        <v>67</v>
      </c>
      <c r="AT8941" t="s">
        <v>58</v>
      </c>
      <c r="AU8941" t="s">
        <v>68</v>
      </c>
      <c r="AV8941" t="s">
        <v>69</v>
      </c>
      <c r="AW8941" s="1">
        <v>30240</v>
      </c>
      <c r="AX8941">
        <v>1</v>
      </c>
    </row>
    <row r="8942" spans="1:50">
      <c r="B8942" t="str">
        <f>"151969125"</f>
        <v>151969125</v>
      </c>
      <c r="C8942" t="s">
        <v>50</v>
      </c>
      <c r="D8942" t="s">
        <v>11182</v>
      </c>
      <c r="E8942" t="s">
        <v>620</v>
      </c>
      <c r="F8942" t="s">
        <v>72</v>
      </c>
      <c r="G8942" t="s">
        <v>2060</v>
      </c>
      <c r="H8942" t="str">
        <f>"Αναλήψεως 5 Ζαβλάνι Πάτρας"</f>
        <v>Αναλήψεως 5 Ζαβλάνι Πάτρας</v>
      </c>
      <c r="I8942">
        <v>26441</v>
      </c>
      <c r="K8942">
        <v>6974227478</v>
      </c>
      <c r="M8942" t="s">
        <v>13574</v>
      </c>
      <c r="N8942" t="s">
        <v>8834</v>
      </c>
      <c r="O8942" t="s">
        <v>8695</v>
      </c>
      <c r="R8942" t="s">
        <v>121</v>
      </c>
      <c r="S8942">
        <v>3</v>
      </c>
      <c r="T8942" t="s">
        <v>8835</v>
      </c>
      <c r="U8942" s="1">
        <v>43348</v>
      </c>
      <c r="V8942" t="s">
        <v>66</v>
      </c>
      <c r="W8942" t="s">
        <v>67</v>
      </c>
      <c r="X8942" t="s">
        <v>58</v>
      </c>
      <c r="Y8942">
        <v>24</v>
      </c>
      <c r="Z8942" t="s">
        <v>59</v>
      </c>
      <c r="AA8942" t="s">
        <v>59</v>
      </c>
      <c r="AB8942" t="s">
        <v>59</v>
      </c>
      <c r="AD8942" t="s">
        <v>59</v>
      </c>
      <c r="AF8942" s="1">
        <v>43348</v>
      </c>
      <c r="AG8942" t="s">
        <v>8645</v>
      </c>
      <c r="AH8942" t="s">
        <v>8646</v>
      </c>
      <c r="AI8942" t="str">
        <f>"9521348"</f>
        <v>9521348</v>
      </c>
      <c r="AJ8942" t="s">
        <v>12714</v>
      </c>
      <c r="AK8942">
        <v>2831021334</v>
      </c>
      <c r="AL8942" t="s">
        <v>12715</v>
      </c>
      <c r="AM8942" t="s">
        <v>64</v>
      </c>
      <c r="AN8942" t="s">
        <v>65</v>
      </c>
      <c r="AO8942" t="s">
        <v>5720</v>
      </c>
      <c r="AP8942" t="s">
        <v>5721</v>
      </c>
      <c r="AQ8942">
        <v>2</v>
      </c>
      <c r="AR8942" t="s">
        <v>66</v>
      </c>
      <c r="AS8942" t="s">
        <v>67</v>
      </c>
      <c r="AT8942" t="s">
        <v>58</v>
      </c>
      <c r="AU8942" t="s">
        <v>131</v>
      </c>
      <c r="AV8942" t="s">
        <v>132</v>
      </c>
      <c r="AW8942" s="1">
        <v>33505</v>
      </c>
      <c r="AX8942">
        <v>1</v>
      </c>
    </row>
    <row r="8943" spans="1:50">
      <c r="B8943" t="str">
        <f>"153530741"</f>
        <v>153530741</v>
      </c>
      <c r="C8943" t="s">
        <v>105</v>
      </c>
      <c r="D8943" t="s">
        <v>13575</v>
      </c>
      <c r="E8943" t="s">
        <v>13576</v>
      </c>
      <c r="F8943" t="s">
        <v>450</v>
      </c>
      <c r="G8943" t="s">
        <v>1440</v>
      </c>
      <c r="H8943" t="str">
        <f>" "</f>
        <v xml:space="preserve"> </v>
      </c>
      <c r="K8943">
        <v>6949016490</v>
      </c>
      <c r="N8943" t="s">
        <v>8694</v>
      </c>
      <c r="O8943" t="s">
        <v>8695</v>
      </c>
      <c r="R8943" t="s">
        <v>159</v>
      </c>
      <c r="S8943">
        <v>1</v>
      </c>
      <c r="T8943" t="s">
        <v>8835</v>
      </c>
      <c r="U8943" s="1">
        <v>43348</v>
      </c>
      <c r="V8943" t="s">
        <v>66</v>
      </c>
      <c r="W8943" t="s">
        <v>67</v>
      </c>
      <c r="X8943" t="s">
        <v>58</v>
      </c>
      <c r="Y8943">
        <v>24</v>
      </c>
      <c r="Z8943" t="s">
        <v>59</v>
      </c>
      <c r="AA8943" t="s">
        <v>59</v>
      </c>
      <c r="AB8943" t="s">
        <v>59</v>
      </c>
      <c r="AD8943" t="s">
        <v>59</v>
      </c>
      <c r="AF8943" s="1">
        <v>43348</v>
      </c>
      <c r="AG8943" t="s">
        <v>8645</v>
      </c>
      <c r="AH8943" t="s">
        <v>8646</v>
      </c>
      <c r="AI8943" t="str">
        <f>"9410070"</f>
        <v>9410070</v>
      </c>
      <c r="AJ8943" t="s">
        <v>12757</v>
      </c>
      <c r="AK8943">
        <v>2831028583</v>
      </c>
      <c r="AL8943" t="s">
        <v>12758</v>
      </c>
      <c r="AM8943" t="s">
        <v>64</v>
      </c>
      <c r="AN8943" t="s">
        <v>65</v>
      </c>
      <c r="AO8943" t="s">
        <v>65</v>
      </c>
      <c r="AP8943" t="s">
        <v>65</v>
      </c>
      <c r="AQ8943">
        <v>1</v>
      </c>
      <c r="AR8943" t="s">
        <v>66</v>
      </c>
      <c r="AS8943" t="s">
        <v>67</v>
      </c>
      <c r="AT8943" t="s">
        <v>58</v>
      </c>
      <c r="AU8943" t="s">
        <v>131</v>
      </c>
      <c r="AV8943" t="s">
        <v>132</v>
      </c>
      <c r="AW8943" s="1">
        <v>33788</v>
      </c>
      <c r="AX8943">
        <v>1</v>
      </c>
    </row>
    <row r="8944" spans="1:50">
      <c r="A8944">
        <v>589456</v>
      </c>
      <c r="B8944" t="str">
        <f>"073215648"</f>
        <v>073215648</v>
      </c>
      <c r="C8944" t="s">
        <v>50</v>
      </c>
      <c r="D8944" t="s">
        <v>6425</v>
      </c>
      <c r="E8944" t="s">
        <v>868</v>
      </c>
      <c r="F8944" t="s">
        <v>383</v>
      </c>
      <c r="G8944" t="s">
        <v>52</v>
      </c>
      <c r="H8944" t="str">
        <f>"ΓΩΝΙΑ ΡΕΘΥΜΝΟΥ ΓΩΝΙΑ ΡΕΘΥΜΝΟΥ"</f>
        <v>ΓΩΝΙΑ ΡΕΘΥΜΝΟΥ ΓΩΝΙΑ ΡΕΘΥΜΝΟΥ</v>
      </c>
      <c r="I8944">
        <v>74100</v>
      </c>
      <c r="J8944">
        <v>2831032219</v>
      </c>
      <c r="K8944">
        <v>6937626156</v>
      </c>
      <c r="N8944" t="s">
        <v>615</v>
      </c>
      <c r="O8944" t="s">
        <v>616</v>
      </c>
      <c r="R8944" t="s">
        <v>57</v>
      </c>
      <c r="S8944">
        <v>10</v>
      </c>
      <c r="T8944">
        <v>176</v>
      </c>
      <c r="U8944" s="1">
        <v>36403</v>
      </c>
      <c r="V8944" t="s">
        <v>66</v>
      </c>
      <c r="W8944" t="s">
        <v>67</v>
      </c>
      <c r="X8944" t="s">
        <v>58</v>
      </c>
      <c r="Y8944">
        <v>21</v>
      </c>
      <c r="Z8944" t="s">
        <v>59</v>
      </c>
      <c r="AA8944" t="s">
        <v>59</v>
      </c>
      <c r="AB8944" t="s">
        <v>59</v>
      </c>
      <c r="AC8944" t="s">
        <v>59</v>
      </c>
      <c r="AD8944" t="s">
        <v>59</v>
      </c>
      <c r="AF8944" s="1">
        <v>36404</v>
      </c>
      <c r="AG8944" t="s">
        <v>8645</v>
      </c>
      <c r="AH8944" t="s">
        <v>8646</v>
      </c>
      <c r="AI8944" t="str">
        <f>"9410169"</f>
        <v>9410169</v>
      </c>
      <c r="AJ8944" t="s">
        <v>12936</v>
      </c>
      <c r="AK8944">
        <v>2831031123</v>
      </c>
      <c r="AL8944" t="s">
        <v>12937</v>
      </c>
      <c r="AM8944" t="s">
        <v>64</v>
      </c>
      <c r="AN8944" t="s">
        <v>65</v>
      </c>
      <c r="AO8944" t="s">
        <v>5720</v>
      </c>
      <c r="AP8944" t="s">
        <v>12938</v>
      </c>
      <c r="AQ8944">
        <v>2</v>
      </c>
      <c r="AR8944" t="s">
        <v>66</v>
      </c>
      <c r="AS8944" t="s">
        <v>67</v>
      </c>
      <c r="AT8944" t="s">
        <v>58</v>
      </c>
      <c r="AU8944" t="s">
        <v>68</v>
      </c>
      <c r="AV8944" t="s">
        <v>69</v>
      </c>
      <c r="AW8944" s="1">
        <v>25636</v>
      </c>
      <c r="AX8944">
        <v>1</v>
      </c>
    </row>
    <row r="8945" spans="1:50">
      <c r="A8945">
        <v>594109</v>
      </c>
      <c r="B8945" t="str">
        <f>"109117523"</f>
        <v>109117523</v>
      </c>
      <c r="C8945" t="s">
        <v>50</v>
      </c>
      <c r="D8945" t="s">
        <v>6425</v>
      </c>
      <c r="E8945" t="s">
        <v>54</v>
      </c>
      <c r="F8945" t="s">
        <v>989</v>
      </c>
      <c r="G8945" t="s">
        <v>13577</v>
      </c>
      <c r="H8945" t="str">
        <f>"ΜΟΣΧΩΝ 5 ΡΕΘΥΜΝΟ"</f>
        <v>ΜΟΣΧΩΝ 5 ΡΕΘΥΜΝΟ</v>
      </c>
      <c r="I8945">
        <v>74100</v>
      </c>
      <c r="J8945">
        <v>2831051010</v>
      </c>
      <c r="K8945">
        <v>6973036158</v>
      </c>
      <c r="M8945" t="s">
        <v>13578</v>
      </c>
      <c r="N8945" t="s">
        <v>615</v>
      </c>
      <c r="O8945" t="s">
        <v>616</v>
      </c>
      <c r="P8945" t="s">
        <v>146</v>
      </c>
      <c r="Q8945" t="s">
        <v>147</v>
      </c>
      <c r="R8945" t="s">
        <v>57</v>
      </c>
      <c r="S8945">
        <v>10</v>
      </c>
      <c r="T8945">
        <v>218</v>
      </c>
      <c r="U8945" s="1">
        <v>37134</v>
      </c>
      <c r="V8945" t="s">
        <v>66</v>
      </c>
      <c r="W8945" t="s">
        <v>67</v>
      </c>
      <c r="X8945" t="s">
        <v>58</v>
      </c>
      <c r="Y8945">
        <v>22</v>
      </c>
      <c r="Z8945" t="s">
        <v>59</v>
      </c>
      <c r="AA8945" t="s">
        <v>59</v>
      </c>
      <c r="AB8945" t="s">
        <v>59</v>
      </c>
      <c r="AC8945" t="s">
        <v>59</v>
      </c>
      <c r="AD8945" t="s">
        <v>59</v>
      </c>
      <c r="AF8945" s="1">
        <v>37138</v>
      </c>
      <c r="AG8945" t="s">
        <v>8645</v>
      </c>
      <c r="AH8945" t="s">
        <v>8646</v>
      </c>
      <c r="AI8945" t="str">
        <f>"9410160"</f>
        <v>9410160</v>
      </c>
      <c r="AJ8945" t="s">
        <v>12689</v>
      </c>
      <c r="AK8945">
        <v>2831041098</v>
      </c>
      <c r="AL8945" t="s">
        <v>12690</v>
      </c>
      <c r="AM8945" t="s">
        <v>64</v>
      </c>
      <c r="AN8945" t="s">
        <v>65</v>
      </c>
      <c r="AO8945" t="s">
        <v>65</v>
      </c>
      <c r="AP8945" t="s">
        <v>11883</v>
      </c>
      <c r="AQ8945">
        <v>2</v>
      </c>
      <c r="AR8945" t="s">
        <v>66</v>
      </c>
      <c r="AS8945" t="s">
        <v>67</v>
      </c>
      <c r="AT8945" t="s">
        <v>58</v>
      </c>
      <c r="AU8945" t="s">
        <v>68</v>
      </c>
      <c r="AV8945" t="s">
        <v>69</v>
      </c>
      <c r="AW8945" s="1">
        <v>26431</v>
      </c>
      <c r="AX8945">
        <v>1</v>
      </c>
    </row>
    <row r="8946" spans="1:50">
      <c r="A8946">
        <v>579710</v>
      </c>
      <c r="B8946" t="str">
        <f>"059899693"</f>
        <v>059899693</v>
      </c>
      <c r="C8946" t="s">
        <v>105</v>
      </c>
      <c r="D8946" t="s">
        <v>13579</v>
      </c>
      <c r="E8946" t="s">
        <v>1413</v>
      </c>
      <c r="F8946" t="s">
        <v>989</v>
      </c>
      <c r="G8946" t="s">
        <v>13577</v>
      </c>
      <c r="H8946" t="str">
        <f>" ΓΩΝΙΑ ΡΕΘΥΜΝΟΥ"</f>
        <v xml:space="preserve"> ΓΩΝΙΑ ΡΕΘΥΜΝΟΥ</v>
      </c>
      <c r="I8946">
        <v>74100</v>
      </c>
      <c r="J8946">
        <v>2831032219</v>
      </c>
      <c r="K8946">
        <v>6937626156</v>
      </c>
      <c r="N8946" t="s">
        <v>615</v>
      </c>
      <c r="O8946" t="s">
        <v>616</v>
      </c>
      <c r="R8946" t="s">
        <v>57</v>
      </c>
      <c r="S8946">
        <v>13</v>
      </c>
      <c r="T8946">
        <v>165</v>
      </c>
      <c r="U8946" s="1">
        <v>35300</v>
      </c>
      <c r="V8946" t="s">
        <v>66</v>
      </c>
      <c r="W8946" t="s">
        <v>67</v>
      </c>
      <c r="X8946" t="s">
        <v>58</v>
      </c>
      <c r="Y8946">
        <v>21</v>
      </c>
      <c r="Z8946" t="s">
        <v>59</v>
      </c>
      <c r="AA8946" t="s">
        <v>59</v>
      </c>
      <c r="AB8946" t="s">
        <v>59</v>
      </c>
      <c r="AC8946" t="s">
        <v>59</v>
      </c>
      <c r="AD8946" t="s">
        <v>59</v>
      </c>
      <c r="AF8946" s="1">
        <v>35310</v>
      </c>
      <c r="AG8946" t="s">
        <v>8645</v>
      </c>
      <c r="AH8946" t="s">
        <v>8646</v>
      </c>
      <c r="AI8946" t="str">
        <f>"9410169"</f>
        <v>9410169</v>
      </c>
      <c r="AJ8946" t="s">
        <v>12936</v>
      </c>
      <c r="AK8946">
        <v>2831031123</v>
      </c>
      <c r="AL8946" t="s">
        <v>12937</v>
      </c>
      <c r="AM8946" t="s">
        <v>64</v>
      </c>
      <c r="AN8946" t="s">
        <v>65</v>
      </c>
      <c r="AO8946" t="s">
        <v>5720</v>
      </c>
      <c r="AP8946" t="s">
        <v>12938</v>
      </c>
      <c r="AQ8946">
        <v>2</v>
      </c>
      <c r="AR8946" t="s">
        <v>66</v>
      </c>
      <c r="AS8946" t="s">
        <v>67</v>
      </c>
      <c r="AT8946" t="s">
        <v>58</v>
      </c>
      <c r="AU8946" t="s">
        <v>68</v>
      </c>
      <c r="AV8946" t="s">
        <v>69</v>
      </c>
      <c r="AW8946" s="1">
        <v>25057</v>
      </c>
      <c r="AX8946">
        <v>1</v>
      </c>
    </row>
    <row r="8947" spans="1:50">
      <c r="B8947" t="str">
        <f>"124496533"</f>
        <v>124496533</v>
      </c>
      <c r="C8947" t="s">
        <v>50</v>
      </c>
      <c r="D8947" t="s">
        <v>11189</v>
      </c>
      <c r="E8947" t="s">
        <v>13580</v>
      </c>
      <c r="F8947" t="s">
        <v>84</v>
      </c>
      <c r="G8947" t="s">
        <v>54</v>
      </c>
      <c r="H8947" t="str">
        <f>"ΧΑΜΑΛΕΥΡΙ "</f>
        <v xml:space="preserve">ΧΑΜΑΛΕΥΡΙ </v>
      </c>
      <c r="I8947">
        <v>74100</v>
      </c>
      <c r="J8947">
        <v>2831071050</v>
      </c>
      <c r="K8947">
        <v>6947812600</v>
      </c>
      <c r="N8947" t="s">
        <v>1525</v>
      </c>
      <c r="O8947" t="s">
        <v>1526</v>
      </c>
      <c r="R8947" t="s">
        <v>159</v>
      </c>
      <c r="S8947">
        <v>3</v>
      </c>
      <c r="T8947" t="s">
        <v>8670</v>
      </c>
      <c r="U8947" s="1">
        <v>43348</v>
      </c>
      <c r="V8947" t="s">
        <v>66</v>
      </c>
      <c r="W8947" t="s">
        <v>67</v>
      </c>
      <c r="X8947" t="s">
        <v>58</v>
      </c>
      <c r="Y8947">
        <v>25</v>
      </c>
      <c r="Z8947" t="s">
        <v>59</v>
      </c>
      <c r="AA8947" t="s">
        <v>59</v>
      </c>
      <c r="AB8947" t="s">
        <v>59</v>
      </c>
      <c r="AC8947" t="s">
        <v>59</v>
      </c>
      <c r="AD8947" t="s">
        <v>59</v>
      </c>
      <c r="AF8947" s="1">
        <v>43348</v>
      </c>
      <c r="AG8947" t="s">
        <v>8651</v>
      </c>
      <c r="AH8947" t="s">
        <v>8652</v>
      </c>
      <c r="AI8947" t="str">
        <f>"9410228"</f>
        <v>9410228</v>
      </c>
      <c r="AJ8947" t="s">
        <v>12946</v>
      </c>
      <c r="AK8947">
        <v>2831071202</v>
      </c>
      <c r="AL8947" t="s">
        <v>12947</v>
      </c>
      <c r="AM8947" t="s">
        <v>64</v>
      </c>
      <c r="AN8947" t="s">
        <v>65</v>
      </c>
      <c r="AO8947" t="s">
        <v>12694</v>
      </c>
      <c r="AP8947" t="s">
        <v>12948</v>
      </c>
      <c r="AQ8947">
        <v>3</v>
      </c>
      <c r="AR8947" t="s">
        <v>66</v>
      </c>
      <c r="AS8947" t="s">
        <v>67</v>
      </c>
      <c r="AT8947" t="s">
        <v>58</v>
      </c>
      <c r="AU8947" t="s">
        <v>8673</v>
      </c>
      <c r="AV8947" t="s">
        <v>132</v>
      </c>
      <c r="AW8947" s="1">
        <v>30471</v>
      </c>
      <c r="AX8947">
        <v>1</v>
      </c>
    </row>
    <row r="8948" spans="1:50">
      <c r="B8948" t="str">
        <f>"147302322"</f>
        <v>147302322</v>
      </c>
      <c r="C8948" t="s">
        <v>50</v>
      </c>
      <c r="D8948" t="s">
        <v>13581</v>
      </c>
      <c r="E8948" t="s">
        <v>440</v>
      </c>
      <c r="F8948" t="s">
        <v>99</v>
      </c>
      <c r="G8948" t="s">
        <v>109</v>
      </c>
      <c r="H8948" t="str">
        <f>"ΗΠΕΙΡΟΥ 17 "</f>
        <v xml:space="preserve">ΗΠΕΙΡΟΥ 17 </v>
      </c>
      <c r="I8948">
        <v>53100</v>
      </c>
      <c r="J8948">
        <v>2385029186</v>
      </c>
      <c r="K8948">
        <v>6989218600</v>
      </c>
      <c r="N8948" t="s">
        <v>615</v>
      </c>
      <c r="O8948" t="s">
        <v>616</v>
      </c>
      <c r="R8948" t="s">
        <v>159</v>
      </c>
      <c r="S8948">
        <v>4</v>
      </c>
      <c r="T8948" t="s">
        <v>8675</v>
      </c>
      <c r="U8948" s="1">
        <v>43348</v>
      </c>
      <c r="V8948" t="s">
        <v>66</v>
      </c>
      <c r="W8948" t="s">
        <v>67</v>
      </c>
      <c r="X8948" t="s">
        <v>58</v>
      </c>
      <c r="Y8948">
        <v>24</v>
      </c>
      <c r="Z8948" t="s">
        <v>59</v>
      </c>
      <c r="AA8948" t="s">
        <v>59</v>
      </c>
      <c r="AB8948" t="s">
        <v>59</v>
      </c>
      <c r="AC8948" t="s">
        <v>59</v>
      </c>
      <c r="AD8948" t="s">
        <v>59</v>
      </c>
      <c r="AF8948" s="1">
        <v>43348</v>
      </c>
      <c r="AG8948" t="s">
        <v>8645</v>
      </c>
      <c r="AH8948" t="s">
        <v>8646</v>
      </c>
      <c r="AI8948" t="str">
        <f>"9410044"</f>
        <v>9410044</v>
      </c>
      <c r="AJ8948" t="s">
        <v>13257</v>
      </c>
      <c r="AK8948">
        <v>2834094218</v>
      </c>
      <c r="AL8948" t="s">
        <v>13258</v>
      </c>
      <c r="AM8948" t="s">
        <v>64</v>
      </c>
      <c r="AN8948" t="s">
        <v>5672</v>
      </c>
      <c r="AO8948" t="s">
        <v>5673</v>
      </c>
      <c r="AP8948" t="s">
        <v>13259</v>
      </c>
      <c r="AQ8948">
        <v>10</v>
      </c>
      <c r="AR8948" t="s">
        <v>66</v>
      </c>
      <c r="AS8948" t="s">
        <v>67</v>
      </c>
      <c r="AT8948" t="s">
        <v>58</v>
      </c>
      <c r="AU8948" t="s">
        <v>8673</v>
      </c>
      <c r="AV8948" t="s">
        <v>132</v>
      </c>
      <c r="AW8948" s="1">
        <v>31817</v>
      </c>
      <c r="AX8948">
        <v>1</v>
      </c>
    </row>
    <row r="8949" spans="1:50">
      <c r="B8949" t="str">
        <f>"136770321"</f>
        <v>136770321</v>
      </c>
      <c r="C8949" t="s">
        <v>50</v>
      </c>
      <c r="D8949" t="s">
        <v>13582</v>
      </c>
      <c r="E8949" t="s">
        <v>484</v>
      </c>
      <c r="F8949" t="s">
        <v>95</v>
      </c>
      <c r="G8949" t="s">
        <v>1440</v>
      </c>
      <c r="H8949" t="str">
        <f>"ΑΓ. ΑΝΤΩΝΙΟΥ 28 ΒΕΛΒΕΝΤΟ"</f>
        <v>ΑΓ. ΑΝΤΩΝΙΟΥ 28 ΒΕΛΒΕΝΤΟ</v>
      </c>
      <c r="I8949">
        <v>50400</v>
      </c>
      <c r="J8949">
        <v>2464031606</v>
      </c>
      <c r="K8949">
        <v>6986620766</v>
      </c>
      <c r="M8949" t="s">
        <v>13583</v>
      </c>
      <c r="N8949" t="s">
        <v>204</v>
      </c>
      <c r="O8949" t="s">
        <v>205</v>
      </c>
      <c r="R8949" t="s">
        <v>159</v>
      </c>
      <c r="S8949">
        <v>2</v>
      </c>
      <c r="T8949" t="s">
        <v>8675</v>
      </c>
      <c r="U8949" s="1">
        <v>43348</v>
      </c>
      <c r="V8949" t="s">
        <v>66</v>
      </c>
      <c r="W8949" t="s">
        <v>67</v>
      </c>
      <c r="X8949" t="s">
        <v>58</v>
      </c>
      <c r="Y8949">
        <v>24</v>
      </c>
      <c r="Z8949" t="s">
        <v>59</v>
      </c>
      <c r="AA8949" t="s">
        <v>59</v>
      </c>
      <c r="AB8949" t="s">
        <v>59</v>
      </c>
      <c r="AC8949" t="s">
        <v>59</v>
      </c>
      <c r="AD8949" t="s">
        <v>59</v>
      </c>
      <c r="AF8949" s="1">
        <v>43348</v>
      </c>
      <c r="AG8949" t="s">
        <v>8645</v>
      </c>
      <c r="AH8949" t="s">
        <v>8646</v>
      </c>
      <c r="AI8949" t="str">
        <f>"9410061"</f>
        <v>9410061</v>
      </c>
      <c r="AJ8949" t="s">
        <v>12760</v>
      </c>
      <c r="AK8949">
        <v>2831024378</v>
      </c>
      <c r="AL8949" t="s">
        <v>12761</v>
      </c>
      <c r="AM8949" t="s">
        <v>64</v>
      </c>
      <c r="AN8949" t="s">
        <v>65</v>
      </c>
      <c r="AO8949" t="s">
        <v>65</v>
      </c>
      <c r="AP8949" t="s">
        <v>65</v>
      </c>
      <c r="AQ8949">
        <v>1</v>
      </c>
      <c r="AR8949" t="s">
        <v>66</v>
      </c>
      <c r="AS8949" t="s">
        <v>67</v>
      </c>
      <c r="AT8949" t="s">
        <v>58</v>
      </c>
      <c r="AU8949" t="s">
        <v>8673</v>
      </c>
      <c r="AV8949" t="s">
        <v>132</v>
      </c>
      <c r="AW8949" s="1">
        <v>31232</v>
      </c>
      <c r="AX8949">
        <v>1</v>
      </c>
    </row>
    <row r="8950" spans="1:50">
      <c r="A8950">
        <v>599751</v>
      </c>
      <c r="B8950" t="str">
        <f>"065474019"</f>
        <v>065474019</v>
      </c>
      <c r="C8950" t="s">
        <v>50</v>
      </c>
      <c r="D8950" t="s">
        <v>3466</v>
      </c>
      <c r="E8950" t="s">
        <v>566</v>
      </c>
      <c r="F8950" t="s">
        <v>1679</v>
      </c>
      <c r="G8950" t="s">
        <v>237</v>
      </c>
      <c r="H8950" t="str">
        <f>" "</f>
        <v xml:space="preserve"> </v>
      </c>
      <c r="J8950">
        <v>2831052588</v>
      </c>
      <c r="K8950">
        <v>6976445254</v>
      </c>
      <c r="N8950" t="s">
        <v>1525</v>
      </c>
      <c r="O8950" t="s">
        <v>1526</v>
      </c>
      <c r="R8950" t="s">
        <v>57</v>
      </c>
      <c r="S8950">
        <v>9</v>
      </c>
      <c r="T8950">
        <v>195</v>
      </c>
      <c r="U8950" s="1">
        <v>37497</v>
      </c>
      <c r="V8950" t="s">
        <v>66</v>
      </c>
      <c r="W8950" t="s">
        <v>67</v>
      </c>
      <c r="X8950" t="s">
        <v>58</v>
      </c>
      <c r="Y8950">
        <v>25</v>
      </c>
      <c r="Z8950" t="s">
        <v>59</v>
      </c>
      <c r="AA8950" t="s">
        <v>59</v>
      </c>
      <c r="AB8950" t="s">
        <v>59</v>
      </c>
      <c r="AC8950" t="s">
        <v>59</v>
      </c>
      <c r="AD8950" t="s">
        <v>59</v>
      </c>
      <c r="AF8950" s="1">
        <v>37501</v>
      </c>
      <c r="AG8950" t="s">
        <v>8651</v>
      </c>
      <c r="AH8950" t="s">
        <v>8652</v>
      </c>
      <c r="AI8950" t="str">
        <f>"9410196"</f>
        <v>9410196</v>
      </c>
      <c r="AJ8950" t="s">
        <v>13338</v>
      </c>
      <c r="AK8950">
        <v>2831027495</v>
      </c>
      <c r="AL8950" t="s">
        <v>13339</v>
      </c>
      <c r="AM8950" t="s">
        <v>64</v>
      </c>
      <c r="AN8950" t="s">
        <v>65</v>
      </c>
      <c r="AO8950" t="s">
        <v>65</v>
      </c>
      <c r="AP8950" t="s">
        <v>65</v>
      </c>
      <c r="AQ8950">
        <v>1</v>
      </c>
      <c r="AR8950" t="s">
        <v>66</v>
      </c>
      <c r="AS8950" t="s">
        <v>67</v>
      </c>
      <c r="AT8950" t="s">
        <v>58</v>
      </c>
      <c r="AU8950" t="s">
        <v>68</v>
      </c>
      <c r="AV8950" t="s">
        <v>69</v>
      </c>
      <c r="AW8950" s="1">
        <v>23768</v>
      </c>
      <c r="AX8950">
        <v>1</v>
      </c>
    </row>
    <row r="8951" spans="1:50">
      <c r="B8951" t="str">
        <f>"129202604"</f>
        <v>129202604</v>
      </c>
      <c r="C8951" t="s">
        <v>50</v>
      </c>
      <c r="D8951" t="s">
        <v>11201</v>
      </c>
      <c r="E8951" t="s">
        <v>476</v>
      </c>
      <c r="F8951" t="s">
        <v>84</v>
      </c>
      <c r="G8951" t="s">
        <v>484</v>
      </c>
      <c r="H8951" t="str">
        <f>"ΧΩΡΙΟ ΚΥΠΑΡΙΣΣΙ "</f>
        <v xml:space="preserve">ΧΩΡΙΟ ΚΥΠΑΡΙΣΣΙ </v>
      </c>
      <c r="I8951">
        <v>23068</v>
      </c>
      <c r="J8951">
        <v>2732055357</v>
      </c>
      <c r="K8951">
        <v>6936292563</v>
      </c>
      <c r="N8951" t="s">
        <v>1525</v>
      </c>
      <c r="O8951" t="s">
        <v>1526</v>
      </c>
      <c r="R8951" t="s">
        <v>159</v>
      </c>
      <c r="S8951">
        <v>4</v>
      </c>
      <c r="T8951" t="s">
        <v>8670</v>
      </c>
      <c r="U8951" s="1">
        <v>43348</v>
      </c>
      <c r="V8951" t="s">
        <v>66</v>
      </c>
      <c r="W8951" t="s">
        <v>67</v>
      </c>
      <c r="X8951" t="s">
        <v>58</v>
      </c>
      <c r="Y8951">
        <v>25</v>
      </c>
      <c r="Z8951" t="s">
        <v>59</v>
      </c>
      <c r="AA8951" t="s">
        <v>59</v>
      </c>
      <c r="AB8951" t="s">
        <v>59</v>
      </c>
      <c r="AC8951" t="s">
        <v>59</v>
      </c>
      <c r="AD8951" t="s">
        <v>59</v>
      </c>
      <c r="AF8951" s="1">
        <v>43348</v>
      </c>
      <c r="AG8951" t="s">
        <v>8651</v>
      </c>
      <c r="AH8951" t="s">
        <v>8652</v>
      </c>
      <c r="AI8951" t="str">
        <f>"9410121"</f>
        <v>9410121</v>
      </c>
      <c r="AJ8951" t="s">
        <v>12711</v>
      </c>
      <c r="AK8951">
        <v>2832022434</v>
      </c>
      <c r="AL8951" t="s">
        <v>12712</v>
      </c>
      <c r="AM8951" t="s">
        <v>64</v>
      </c>
      <c r="AN8951" t="s">
        <v>5882</v>
      </c>
      <c r="AO8951" t="s">
        <v>5883</v>
      </c>
      <c r="AP8951" t="s">
        <v>5884</v>
      </c>
      <c r="AQ8951">
        <v>5</v>
      </c>
      <c r="AR8951" t="s">
        <v>66</v>
      </c>
      <c r="AS8951" t="s">
        <v>67</v>
      </c>
      <c r="AT8951" t="s">
        <v>58</v>
      </c>
      <c r="AU8951" t="s">
        <v>8673</v>
      </c>
      <c r="AV8951" t="s">
        <v>132</v>
      </c>
      <c r="AW8951" s="1">
        <v>30806</v>
      </c>
      <c r="AX8951">
        <v>1</v>
      </c>
    </row>
    <row r="8952" spans="1:50">
      <c r="A8952">
        <v>617355</v>
      </c>
      <c r="B8952" t="str">
        <f>"138992527"</f>
        <v>138992527</v>
      </c>
      <c r="C8952" t="s">
        <v>50</v>
      </c>
      <c r="D8952" t="s">
        <v>13584</v>
      </c>
      <c r="E8952" t="s">
        <v>316</v>
      </c>
      <c r="F8952" t="s">
        <v>965</v>
      </c>
      <c r="G8952" t="s">
        <v>13585</v>
      </c>
      <c r="H8952" t="str">
        <f>"Γ.ΚΑΡΑΙΣΚΑΚΗ 26 "</f>
        <v xml:space="preserve">Γ.ΚΑΡΑΙΣΚΑΚΗ 26 </v>
      </c>
      <c r="J8952">
        <v>2810325092</v>
      </c>
      <c r="K8952">
        <v>6944299384</v>
      </c>
      <c r="N8952" t="s">
        <v>615</v>
      </c>
      <c r="O8952" t="s">
        <v>616</v>
      </c>
      <c r="R8952" t="s">
        <v>57</v>
      </c>
      <c r="S8952">
        <v>6</v>
      </c>
      <c r="T8952">
        <v>774</v>
      </c>
      <c r="U8952" s="1">
        <v>39680</v>
      </c>
      <c r="V8952" t="s">
        <v>66</v>
      </c>
      <c r="W8952" t="s">
        <v>67</v>
      </c>
      <c r="X8952" t="s">
        <v>58</v>
      </c>
      <c r="Y8952">
        <v>23</v>
      </c>
      <c r="Z8952" t="s">
        <v>59</v>
      </c>
      <c r="AA8952" t="s">
        <v>59</v>
      </c>
      <c r="AB8952" t="s">
        <v>452</v>
      </c>
      <c r="AC8952" t="s">
        <v>59</v>
      </c>
      <c r="AD8952" t="s">
        <v>59</v>
      </c>
      <c r="AF8952" s="1">
        <v>39681</v>
      </c>
      <c r="AG8952" t="s">
        <v>8645</v>
      </c>
      <c r="AH8952" t="s">
        <v>8646</v>
      </c>
      <c r="AI8952" t="str">
        <f>"9410242"</f>
        <v>9410242</v>
      </c>
      <c r="AJ8952" t="s">
        <v>12796</v>
      </c>
      <c r="AK8952">
        <v>2834023145</v>
      </c>
      <c r="AL8952" t="s">
        <v>12797</v>
      </c>
      <c r="AM8952" t="s">
        <v>64</v>
      </c>
      <c r="AN8952" t="s">
        <v>5672</v>
      </c>
      <c r="AO8952" t="s">
        <v>5673</v>
      </c>
      <c r="AP8952" t="s">
        <v>5689</v>
      </c>
      <c r="AQ8952">
        <v>7</v>
      </c>
      <c r="AR8952" t="s">
        <v>66</v>
      </c>
      <c r="AS8952" t="s">
        <v>67</v>
      </c>
      <c r="AT8952" t="s">
        <v>58</v>
      </c>
      <c r="AU8952" t="s">
        <v>68</v>
      </c>
      <c r="AV8952" t="s">
        <v>69</v>
      </c>
      <c r="AW8952" s="1">
        <v>30546</v>
      </c>
      <c r="AX8952">
        <v>1</v>
      </c>
    </row>
    <row r="8953" spans="1:50">
      <c r="A8953">
        <v>617857</v>
      </c>
      <c r="B8953" t="str">
        <f>"131457939"</f>
        <v>131457939</v>
      </c>
      <c r="C8953" t="s">
        <v>105</v>
      </c>
      <c r="D8953" t="s">
        <v>13586</v>
      </c>
      <c r="E8953" t="s">
        <v>309</v>
      </c>
      <c r="F8953" t="s">
        <v>13587</v>
      </c>
      <c r="G8953" t="s">
        <v>134</v>
      </c>
      <c r="H8953" t="str">
        <f>"ΠΑΣΙΦΑΗΣ Τ.Θ. 4-337 ΑΤΣΙΠΟΠΟΥΛΟ ΡΕΘΥΜΝΟΥ"</f>
        <v>ΠΑΣΙΦΑΗΣ Τ.Θ. 4-337 ΑΤΣΙΠΟΠΟΥΛΟ ΡΕΘΥΜΝΟΥ</v>
      </c>
      <c r="I8953">
        <v>74100</v>
      </c>
      <c r="J8953">
        <v>2831032097</v>
      </c>
      <c r="K8953">
        <v>6973482969</v>
      </c>
      <c r="N8953" t="s">
        <v>615</v>
      </c>
      <c r="O8953" t="s">
        <v>616</v>
      </c>
      <c r="R8953" t="s">
        <v>57</v>
      </c>
      <c r="S8953">
        <v>5</v>
      </c>
      <c r="T8953">
        <v>774</v>
      </c>
      <c r="U8953" s="1">
        <v>39680</v>
      </c>
      <c r="V8953" t="s">
        <v>66</v>
      </c>
      <c r="W8953" t="s">
        <v>67</v>
      </c>
      <c r="X8953" t="s">
        <v>58</v>
      </c>
      <c r="Y8953">
        <v>23</v>
      </c>
      <c r="Z8953" t="s">
        <v>59</v>
      </c>
      <c r="AA8953" t="s">
        <v>59</v>
      </c>
      <c r="AB8953" t="s">
        <v>59</v>
      </c>
      <c r="AC8953" t="s">
        <v>59</v>
      </c>
      <c r="AD8953" t="s">
        <v>59</v>
      </c>
      <c r="AF8953" s="1">
        <v>39681</v>
      </c>
      <c r="AG8953" t="s">
        <v>8645</v>
      </c>
      <c r="AH8953" t="s">
        <v>8646</v>
      </c>
      <c r="AI8953" t="str">
        <f>"9410061"</f>
        <v>9410061</v>
      </c>
      <c r="AJ8953" t="s">
        <v>12760</v>
      </c>
      <c r="AK8953">
        <v>2831024378</v>
      </c>
      <c r="AL8953" t="s">
        <v>12761</v>
      </c>
      <c r="AM8953" t="s">
        <v>64</v>
      </c>
      <c r="AN8953" t="s">
        <v>65</v>
      </c>
      <c r="AO8953" t="s">
        <v>65</v>
      </c>
      <c r="AP8953" t="s">
        <v>65</v>
      </c>
      <c r="AQ8953">
        <v>1</v>
      </c>
      <c r="AR8953" t="s">
        <v>66</v>
      </c>
      <c r="AS8953" t="s">
        <v>67</v>
      </c>
      <c r="AT8953" t="s">
        <v>58</v>
      </c>
      <c r="AU8953" t="s">
        <v>68</v>
      </c>
      <c r="AV8953" t="s">
        <v>69</v>
      </c>
      <c r="AW8953" s="1">
        <v>30768</v>
      </c>
      <c r="AX8953">
        <v>1</v>
      </c>
    </row>
    <row r="8954" spans="1:50">
      <c r="B8954" t="str">
        <f>"150411826"</f>
        <v>150411826</v>
      </c>
      <c r="C8954" t="s">
        <v>50</v>
      </c>
      <c r="D8954" t="s">
        <v>13588</v>
      </c>
      <c r="E8954" t="s">
        <v>3174</v>
      </c>
      <c r="F8954" t="s">
        <v>13589</v>
      </c>
      <c r="G8954" t="s">
        <v>1001</v>
      </c>
      <c r="H8954" t="str">
        <f>" "</f>
        <v xml:space="preserve"> </v>
      </c>
      <c r="N8954" t="s">
        <v>8834</v>
      </c>
      <c r="O8954" t="s">
        <v>8695</v>
      </c>
      <c r="R8954" t="s">
        <v>121</v>
      </c>
      <c r="S8954">
        <v>1</v>
      </c>
      <c r="T8954" t="s">
        <v>8835</v>
      </c>
      <c r="U8954" s="1">
        <v>43348</v>
      </c>
      <c r="V8954" t="s">
        <v>66</v>
      </c>
      <c r="W8954" t="s">
        <v>67</v>
      </c>
      <c r="X8954" t="s">
        <v>58</v>
      </c>
      <c r="Y8954">
        <v>24</v>
      </c>
      <c r="Z8954" t="s">
        <v>59</v>
      </c>
      <c r="AA8954" t="s">
        <v>59</v>
      </c>
      <c r="AB8954" t="s">
        <v>59</v>
      </c>
      <c r="AD8954" t="s">
        <v>59</v>
      </c>
      <c r="AF8954" s="1">
        <v>43348</v>
      </c>
      <c r="AG8954" t="s">
        <v>8645</v>
      </c>
      <c r="AH8954" t="s">
        <v>8646</v>
      </c>
      <c r="AI8954" t="str">
        <f>"9410242"</f>
        <v>9410242</v>
      </c>
      <c r="AJ8954" t="s">
        <v>12796</v>
      </c>
      <c r="AK8954">
        <v>2834023145</v>
      </c>
      <c r="AL8954" t="s">
        <v>12797</v>
      </c>
      <c r="AM8954" t="s">
        <v>64</v>
      </c>
      <c r="AN8954" t="s">
        <v>5672</v>
      </c>
      <c r="AO8954" t="s">
        <v>5673</v>
      </c>
      <c r="AP8954" t="s">
        <v>5689</v>
      </c>
      <c r="AQ8954">
        <v>7</v>
      </c>
      <c r="AR8954" t="s">
        <v>66</v>
      </c>
      <c r="AS8954" t="s">
        <v>67</v>
      </c>
      <c r="AT8954" t="s">
        <v>58</v>
      </c>
      <c r="AU8954" t="s">
        <v>131</v>
      </c>
      <c r="AV8954" t="s">
        <v>132</v>
      </c>
      <c r="AW8954" s="1">
        <v>32721</v>
      </c>
      <c r="AX8954">
        <v>1</v>
      </c>
    </row>
    <row r="8955" spans="1:50">
      <c r="A8955">
        <v>606138</v>
      </c>
      <c r="B8955" t="str">
        <f>"109148966"</f>
        <v>109148966</v>
      </c>
      <c r="C8955" t="s">
        <v>50</v>
      </c>
      <c r="D8955" t="s">
        <v>13590</v>
      </c>
      <c r="E8955" t="s">
        <v>155</v>
      </c>
      <c r="F8955" t="s">
        <v>309</v>
      </c>
      <c r="G8955" t="s">
        <v>191</v>
      </c>
      <c r="H8955" t="str">
        <f>" "</f>
        <v xml:space="preserve"> </v>
      </c>
      <c r="J8955">
        <v>2831054884</v>
      </c>
      <c r="K8955">
        <v>6932052552</v>
      </c>
      <c r="N8955" t="s">
        <v>1525</v>
      </c>
      <c r="O8955" t="s">
        <v>1526</v>
      </c>
      <c r="R8955" t="s">
        <v>57</v>
      </c>
      <c r="S8955">
        <v>7</v>
      </c>
      <c r="T8955">
        <v>231</v>
      </c>
      <c r="U8955" s="1">
        <v>38230</v>
      </c>
      <c r="V8955" t="s">
        <v>66</v>
      </c>
      <c r="W8955" t="s">
        <v>67</v>
      </c>
      <c r="X8955" t="s">
        <v>58</v>
      </c>
      <c r="Y8955">
        <v>25</v>
      </c>
      <c r="Z8955" t="s">
        <v>59</v>
      </c>
      <c r="AA8955" t="s">
        <v>59</v>
      </c>
      <c r="AB8955" t="s">
        <v>59</v>
      </c>
      <c r="AC8955" t="s">
        <v>59</v>
      </c>
      <c r="AD8955" t="s">
        <v>59</v>
      </c>
      <c r="AF8955" s="1">
        <v>38231</v>
      </c>
      <c r="AG8955" t="s">
        <v>8651</v>
      </c>
      <c r="AH8955" t="s">
        <v>8652</v>
      </c>
      <c r="AI8955" t="str">
        <f>"9521304"</f>
        <v>9521304</v>
      </c>
      <c r="AJ8955" t="s">
        <v>12798</v>
      </c>
      <c r="AK8955">
        <v>2831057099</v>
      </c>
      <c r="AL8955" t="s">
        <v>12799</v>
      </c>
      <c r="AM8955" t="s">
        <v>64</v>
      </c>
      <c r="AN8955" t="s">
        <v>65</v>
      </c>
      <c r="AO8955" t="s">
        <v>5720</v>
      </c>
      <c r="AP8955" t="s">
        <v>5721</v>
      </c>
      <c r="AQ8955">
        <v>2</v>
      </c>
      <c r="AR8955" t="s">
        <v>66</v>
      </c>
      <c r="AS8955" t="s">
        <v>67</v>
      </c>
      <c r="AT8955" t="s">
        <v>58</v>
      </c>
      <c r="AU8955" t="s">
        <v>68</v>
      </c>
      <c r="AV8955" t="s">
        <v>69</v>
      </c>
      <c r="AW8955" s="1">
        <v>28134</v>
      </c>
      <c r="AX8955">
        <v>1</v>
      </c>
    </row>
    <row r="8956" spans="1:50">
      <c r="A8956">
        <v>561280</v>
      </c>
      <c r="B8956" t="str">
        <f>"031811456"</f>
        <v>031811456</v>
      </c>
      <c r="C8956" t="s">
        <v>50</v>
      </c>
      <c r="D8956" t="s">
        <v>8179</v>
      </c>
      <c r="E8956" t="s">
        <v>255</v>
      </c>
      <c r="F8956" t="s">
        <v>718</v>
      </c>
      <c r="G8956" t="s">
        <v>600</v>
      </c>
      <c r="H8956" t="str">
        <f>"ΛΗΤΟΥΣ 10 ΚΑΛΛΙΘΕΑ"</f>
        <v>ΛΗΤΟΥΣ 10 ΚΑΛΛΙΘΕΑ</v>
      </c>
      <c r="I8956">
        <v>74100</v>
      </c>
      <c r="J8956">
        <v>2831035527</v>
      </c>
      <c r="K8956">
        <v>6978588626</v>
      </c>
      <c r="M8956" t="s">
        <v>13591</v>
      </c>
      <c r="N8956" t="s">
        <v>615</v>
      </c>
      <c r="O8956" t="s">
        <v>616</v>
      </c>
      <c r="R8956" t="s">
        <v>57</v>
      </c>
      <c r="S8956">
        <v>15</v>
      </c>
      <c r="T8956">
        <v>159</v>
      </c>
      <c r="U8956" s="1">
        <v>32385</v>
      </c>
      <c r="V8956" t="s">
        <v>66</v>
      </c>
      <c r="W8956" t="s">
        <v>67</v>
      </c>
      <c r="X8956" t="s">
        <v>58</v>
      </c>
      <c r="Y8956">
        <v>21</v>
      </c>
      <c r="Z8956" t="s">
        <v>59</v>
      </c>
      <c r="AA8956" t="s">
        <v>59</v>
      </c>
      <c r="AB8956" t="s">
        <v>59</v>
      </c>
      <c r="AC8956" t="s">
        <v>59</v>
      </c>
      <c r="AD8956" t="s">
        <v>59</v>
      </c>
      <c r="AF8956" s="1">
        <v>32388</v>
      </c>
      <c r="AG8956" t="s">
        <v>8645</v>
      </c>
      <c r="AH8956" t="s">
        <v>8646</v>
      </c>
      <c r="AI8956" t="str">
        <f>"9410241"</f>
        <v>9410241</v>
      </c>
      <c r="AJ8956" t="s">
        <v>12783</v>
      </c>
      <c r="AK8956">
        <v>2831022616</v>
      </c>
      <c r="AL8956" t="s">
        <v>12784</v>
      </c>
      <c r="AM8956" t="s">
        <v>64</v>
      </c>
      <c r="AN8956" t="s">
        <v>65</v>
      </c>
      <c r="AO8956" t="s">
        <v>65</v>
      </c>
      <c r="AP8956" t="s">
        <v>65</v>
      </c>
      <c r="AQ8956">
        <v>1</v>
      </c>
      <c r="AR8956" t="s">
        <v>66</v>
      </c>
      <c r="AS8956" t="s">
        <v>67</v>
      </c>
      <c r="AT8956" t="s">
        <v>58</v>
      </c>
      <c r="AU8956" t="s">
        <v>68</v>
      </c>
      <c r="AV8956" t="s">
        <v>69</v>
      </c>
      <c r="AW8956" s="1">
        <v>23903</v>
      </c>
      <c r="AX8956">
        <v>1</v>
      </c>
    </row>
    <row r="8957" spans="1:50">
      <c r="A8957">
        <v>599769</v>
      </c>
      <c r="B8957" t="str">
        <f>"050758112"</f>
        <v>050758112</v>
      </c>
      <c r="C8957" t="s">
        <v>50</v>
      </c>
      <c r="D8957" t="s">
        <v>5355</v>
      </c>
      <c r="E8957" t="s">
        <v>54</v>
      </c>
      <c r="F8957" t="s">
        <v>949</v>
      </c>
      <c r="G8957" t="s">
        <v>52</v>
      </c>
      <c r="H8957" t="str">
        <f>" "</f>
        <v xml:space="preserve"> </v>
      </c>
      <c r="J8957">
        <v>2831055076</v>
      </c>
      <c r="N8957" t="s">
        <v>615</v>
      </c>
      <c r="O8957" t="s">
        <v>616</v>
      </c>
      <c r="R8957" t="s">
        <v>57</v>
      </c>
      <c r="S8957">
        <v>9</v>
      </c>
      <c r="T8957">
        <v>195</v>
      </c>
      <c r="U8957" s="1">
        <v>37497</v>
      </c>
      <c r="V8957" t="s">
        <v>66</v>
      </c>
      <c r="W8957" t="s">
        <v>67</v>
      </c>
      <c r="X8957" t="s">
        <v>58</v>
      </c>
      <c r="Y8957">
        <v>22</v>
      </c>
      <c r="Z8957" t="s">
        <v>59</v>
      </c>
      <c r="AA8957" t="s">
        <v>59</v>
      </c>
      <c r="AB8957" t="s">
        <v>59</v>
      </c>
      <c r="AC8957" t="s">
        <v>59</v>
      </c>
      <c r="AD8957" t="s">
        <v>59</v>
      </c>
      <c r="AF8957" s="1">
        <v>37501</v>
      </c>
      <c r="AG8957" t="s">
        <v>8645</v>
      </c>
      <c r="AH8957" t="s">
        <v>8646</v>
      </c>
      <c r="AI8957" t="str">
        <f>"9410072"</f>
        <v>9410072</v>
      </c>
      <c r="AJ8957" t="s">
        <v>12692</v>
      </c>
      <c r="AK8957">
        <v>2831071264</v>
      </c>
      <c r="AL8957" t="s">
        <v>12693</v>
      </c>
      <c r="AM8957" t="s">
        <v>64</v>
      </c>
      <c r="AN8957" t="s">
        <v>65</v>
      </c>
      <c r="AO8957" t="s">
        <v>12694</v>
      </c>
      <c r="AP8957" t="s">
        <v>12695</v>
      </c>
      <c r="AQ8957">
        <v>3</v>
      </c>
      <c r="AR8957" t="s">
        <v>66</v>
      </c>
      <c r="AS8957" t="s">
        <v>67</v>
      </c>
      <c r="AT8957" t="s">
        <v>58</v>
      </c>
      <c r="AU8957" t="s">
        <v>68</v>
      </c>
      <c r="AV8957" t="s">
        <v>69</v>
      </c>
      <c r="AW8957" s="1">
        <v>24858</v>
      </c>
      <c r="AX8957">
        <v>1</v>
      </c>
    </row>
    <row r="8958" spans="1:50">
      <c r="A8958">
        <v>607460</v>
      </c>
      <c r="B8958" t="str">
        <f>"125562815"</f>
        <v>125562815</v>
      </c>
      <c r="C8958" t="s">
        <v>50</v>
      </c>
      <c r="D8958" t="s">
        <v>3497</v>
      </c>
      <c r="E8958" t="s">
        <v>52</v>
      </c>
      <c r="F8958" t="s">
        <v>106</v>
      </c>
      <c r="G8958" t="s">
        <v>188</v>
      </c>
      <c r="H8958" t="str">
        <f>" "</f>
        <v xml:space="preserve"> </v>
      </c>
      <c r="J8958">
        <v>2810330495</v>
      </c>
      <c r="K8958">
        <v>6944201571</v>
      </c>
      <c r="N8958" t="s">
        <v>615</v>
      </c>
      <c r="O8958" t="s">
        <v>616</v>
      </c>
      <c r="R8958" t="s">
        <v>57</v>
      </c>
      <c r="S8958">
        <v>6</v>
      </c>
      <c r="T8958">
        <v>217</v>
      </c>
      <c r="U8958" s="1">
        <v>38596</v>
      </c>
      <c r="V8958" t="s">
        <v>66</v>
      </c>
      <c r="W8958" t="s">
        <v>67</v>
      </c>
      <c r="X8958" t="s">
        <v>58</v>
      </c>
      <c r="Y8958">
        <v>23</v>
      </c>
      <c r="Z8958" t="s">
        <v>59</v>
      </c>
      <c r="AA8958" t="s">
        <v>59</v>
      </c>
      <c r="AB8958" t="s">
        <v>59</v>
      </c>
      <c r="AC8958" t="s">
        <v>59</v>
      </c>
      <c r="AD8958" t="s">
        <v>59</v>
      </c>
      <c r="AF8958" s="1">
        <v>38600</v>
      </c>
      <c r="AG8958" t="s">
        <v>8645</v>
      </c>
      <c r="AH8958" t="s">
        <v>8646</v>
      </c>
      <c r="AI8958" t="str">
        <f>"9410065"</f>
        <v>9410065</v>
      </c>
      <c r="AJ8958" t="s">
        <v>12717</v>
      </c>
      <c r="AK8958">
        <v>2831022519</v>
      </c>
      <c r="AL8958" t="s">
        <v>12718</v>
      </c>
      <c r="AM8958" t="s">
        <v>64</v>
      </c>
      <c r="AN8958" t="s">
        <v>65</v>
      </c>
      <c r="AO8958" t="s">
        <v>65</v>
      </c>
      <c r="AP8958" t="s">
        <v>65</v>
      </c>
      <c r="AQ8958">
        <v>1</v>
      </c>
      <c r="AR8958" t="s">
        <v>66</v>
      </c>
      <c r="AS8958" t="s">
        <v>67</v>
      </c>
      <c r="AT8958" t="s">
        <v>58</v>
      </c>
      <c r="AU8958" t="s">
        <v>68</v>
      </c>
      <c r="AV8958" t="s">
        <v>69</v>
      </c>
      <c r="AW8958" s="1">
        <v>30285</v>
      </c>
      <c r="AX8958">
        <v>1</v>
      </c>
    </row>
    <row r="8959" spans="1:50">
      <c r="A8959">
        <v>587088</v>
      </c>
      <c r="B8959" t="str">
        <f>"054184834"</f>
        <v>054184834</v>
      </c>
      <c r="C8959" t="s">
        <v>50</v>
      </c>
      <c r="D8959" t="s">
        <v>13592</v>
      </c>
      <c r="E8959" t="s">
        <v>1179</v>
      </c>
      <c r="F8959" t="s">
        <v>321</v>
      </c>
      <c r="G8959" t="s">
        <v>1866</v>
      </c>
      <c r="H8959" t="str">
        <f>" "</f>
        <v xml:space="preserve"> </v>
      </c>
      <c r="K8959">
        <v>6988063963</v>
      </c>
      <c r="N8959" t="s">
        <v>1525</v>
      </c>
      <c r="O8959" t="s">
        <v>1526</v>
      </c>
      <c r="R8959" t="s">
        <v>57</v>
      </c>
      <c r="S8959">
        <v>12</v>
      </c>
      <c r="T8959">
        <v>165</v>
      </c>
      <c r="U8959" s="1">
        <v>36040</v>
      </c>
      <c r="V8959" t="s">
        <v>66</v>
      </c>
      <c r="W8959" t="s">
        <v>67</v>
      </c>
      <c r="X8959" t="s">
        <v>58</v>
      </c>
      <c r="Y8959">
        <v>25</v>
      </c>
      <c r="Z8959" t="s">
        <v>59</v>
      </c>
      <c r="AA8959" t="s">
        <v>59</v>
      </c>
      <c r="AB8959" t="s">
        <v>59</v>
      </c>
      <c r="AC8959" t="s">
        <v>59</v>
      </c>
      <c r="AD8959" t="s">
        <v>59</v>
      </c>
      <c r="AF8959" s="1">
        <v>36045</v>
      </c>
      <c r="AG8959" t="s">
        <v>8651</v>
      </c>
      <c r="AH8959" t="s">
        <v>8652</v>
      </c>
      <c r="AI8959" t="str">
        <f>"9410229"</f>
        <v>9410229</v>
      </c>
      <c r="AJ8959" t="s">
        <v>13593</v>
      </c>
      <c r="AK8959">
        <v>2834051285</v>
      </c>
      <c r="AL8959" t="s">
        <v>13594</v>
      </c>
      <c r="AM8959" t="s">
        <v>64</v>
      </c>
      <c r="AN8959" t="s">
        <v>5672</v>
      </c>
      <c r="AO8959" t="s">
        <v>5673</v>
      </c>
      <c r="AP8959" t="s">
        <v>13299</v>
      </c>
      <c r="AQ8959">
        <v>10</v>
      </c>
      <c r="AR8959" t="s">
        <v>66</v>
      </c>
      <c r="AS8959" t="s">
        <v>67</v>
      </c>
      <c r="AT8959" t="s">
        <v>58</v>
      </c>
      <c r="AU8959" t="s">
        <v>68</v>
      </c>
      <c r="AV8959" t="s">
        <v>69</v>
      </c>
      <c r="AW8959" s="1">
        <v>24475</v>
      </c>
      <c r="AX8959">
        <v>1</v>
      </c>
    </row>
    <row r="8960" spans="1:50">
      <c r="B8960" t="str">
        <f>"113621933"</f>
        <v>113621933</v>
      </c>
      <c r="C8960" t="s">
        <v>50</v>
      </c>
      <c r="D8960" t="s">
        <v>13595</v>
      </c>
      <c r="E8960" t="s">
        <v>98</v>
      </c>
      <c r="F8960" t="s">
        <v>209</v>
      </c>
      <c r="G8960" t="s">
        <v>143</v>
      </c>
      <c r="H8960" t="str">
        <f>"ΚΩΣΤΗ ΠΑΛΑΜΑ 12 ΡΕΘΥΜΝΟ"</f>
        <v>ΚΩΣΤΗ ΠΑΛΑΜΑ 12 ΡΕΘΥΜΝΟ</v>
      </c>
      <c r="I8960">
        <v>74100</v>
      </c>
      <c r="J8960">
        <v>2831056670</v>
      </c>
      <c r="K8960">
        <v>6945626715</v>
      </c>
      <c r="N8960" t="s">
        <v>306</v>
      </c>
      <c r="O8960" t="s">
        <v>307</v>
      </c>
      <c r="R8960" t="s">
        <v>159</v>
      </c>
      <c r="S8960">
        <v>3</v>
      </c>
      <c r="T8960" t="s">
        <v>8675</v>
      </c>
      <c r="U8960" s="1">
        <v>43348</v>
      </c>
      <c r="V8960" t="s">
        <v>66</v>
      </c>
      <c r="W8960" t="s">
        <v>67</v>
      </c>
      <c r="X8960" t="s">
        <v>58</v>
      </c>
      <c r="Y8960">
        <v>24</v>
      </c>
      <c r="Z8960" t="s">
        <v>59</v>
      </c>
      <c r="AA8960" t="s">
        <v>59</v>
      </c>
      <c r="AB8960" t="s">
        <v>59</v>
      </c>
      <c r="AC8960" t="s">
        <v>59</v>
      </c>
      <c r="AD8960" t="s">
        <v>59</v>
      </c>
      <c r="AF8960" s="1">
        <v>43348</v>
      </c>
      <c r="AG8960" t="s">
        <v>8645</v>
      </c>
      <c r="AH8960" t="s">
        <v>8646</v>
      </c>
      <c r="AI8960" t="str">
        <f>"9410092"</f>
        <v>9410092</v>
      </c>
      <c r="AJ8960" t="s">
        <v>12823</v>
      </c>
      <c r="AK8960">
        <v>2832051056</v>
      </c>
      <c r="AL8960" t="s">
        <v>12824</v>
      </c>
      <c r="AM8960" t="s">
        <v>64</v>
      </c>
      <c r="AN8960" t="s">
        <v>5882</v>
      </c>
      <c r="AO8960" t="s">
        <v>6099</v>
      </c>
      <c r="AP8960" t="s">
        <v>12825</v>
      </c>
      <c r="AQ8960">
        <v>5</v>
      </c>
      <c r="AR8960" t="s">
        <v>66</v>
      </c>
      <c r="AS8960" t="s">
        <v>67</v>
      </c>
      <c r="AT8960" t="s">
        <v>58</v>
      </c>
      <c r="AU8960" t="s">
        <v>8673</v>
      </c>
      <c r="AV8960" t="s">
        <v>132</v>
      </c>
      <c r="AW8960" s="1">
        <v>29666</v>
      </c>
      <c r="AX8960">
        <v>1</v>
      </c>
    </row>
    <row r="8961" spans="1:50">
      <c r="A8961">
        <v>599772</v>
      </c>
      <c r="B8961" t="str">
        <f>"047535581"</f>
        <v>047535581</v>
      </c>
      <c r="C8961" t="s">
        <v>50</v>
      </c>
      <c r="D8961" t="s">
        <v>3505</v>
      </c>
      <c r="E8961" t="s">
        <v>73</v>
      </c>
      <c r="F8961" t="s">
        <v>95</v>
      </c>
      <c r="G8961" t="s">
        <v>263</v>
      </c>
      <c r="H8961" t="str">
        <f>" "</f>
        <v xml:space="preserve"> </v>
      </c>
      <c r="J8961">
        <v>2831052286</v>
      </c>
      <c r="K8961">
        <v>6932371608</v>
      </c>
      <c r="N8961" t="s">
        <v>1525</v>
      </c>
      <c r="O8961" t="s">
        <v>1526</v>
      </c>
      <c r="R8961" t="s">
        <v>57</v>
      </c>
      <c r="S8961">
        <v>10</v>
      </c>
      <c r="T8961">
        <v>195</v>
      </c>
      <c r="U8961" s="1">
        <v>37496</v>
      </c>
      <c r="V8961" t="s">
        <v>66</v>
      </c>
      <c r="W8961" t="s">
        <v>67</v>
      </c>
      <c r="X8961" t="s">
        <v>58</v>
      </c>
      <c r="Y8961">
        <v>25</v>
      </c>
      <c r="Z8961" t="s">
        <v>59</v>
      </c>
      <c r="AA8961" t="s">
        <v>59</v>
      </c>
      <c r="AB8961" t="s">
        <v>59</v>
      </c>
      <c r="AC8961" t="s">
        <v>59</v>
      </c>
      <c r="AD8961" t="s">
        <v>59</v>
      </c>
      <c r="AF8961" s="1">
        <v>37503</v>
      </c>
      <c r="AG8961" t="s">
        <v>8651</v>
      </c>
      <c r="AH8961" t="s">
        <v>8652</v>
      </c>
      <c r="AI8961" t="str">
        <f>"9410247"</f>
        <v>9410247</v>
      </c>
      <c r="AJ8961" t="s">
        <v>12907</v>
      </c>
      <c r="AK8961">
        <v>2831022381</v>
      </c>
      <c r="AL8961" t="s">
        <v>12908</v>
      </c>
      <c r="AM8961" t="s">
        <v>64</v>
      </c>
      <c r="AN8961" t="s">
        <v>65</v>
      </c>
      <c r="AO8961" t="s">
        <v>65</v>
      </c>
      <c r="AP8961" t="s">
        <v>65</v>
      </c>
      <c r="AQ8961">
        <v>1</v>
      </c>
      <c r="AR8961" t="s">
        <v>66</v>
      </c>
      <c r="AS8961" t="s">
        <v>67</v>
      </c>
      <c r="AT8961" t="s">
        <v>58</v>
      </c>
      <c r="AU8961" t="s">
        <v>68</v>
      </c>
      <c r="AV8961" t="s">
        <v>69</v>
      </c>
      <c r="AW8961" s="1">
        <v>23877</v>
      </c>
      <c r="AX8961">
        <v>1</v>
      </c>
    </row>
    <row r="8962" spans="1:50">
      <c r="A8962">
        <v>573763</v>
      </c>
      <c r="B8962" t="str">
        <f>"035923525"</f>
        <v>035923525</v>
      </c>
      <c r="C8962" t="s">
        <v>105</v>
      </c>
      <c r="D8962" t="s">
        <v>5364</v>
      </c>
      <c r="E8962" t="s">
        <v>166</v>
      </c>
      <c r="F8962" t="s">
        <v>72</v>
      </c>
      <c r="G8962" t="s">
        <v>13596</v>
      </c>
      <c r="H8962" t="str">
        <f>"ΒΙΟΛΙ ΧΑΡΑΚΙ  ΑΤΣΙΠΟΠΟΥΛΟ"</f>
        <v>ΒΙΟΛΙ ΧΑΡΑΚΙ  ΑΤΣΙΠΟΠΟΥΛΟ</v>
      </c>
      <c r="I8962">
        <v>74100</v>
      </c>
      <c r="J8962">
        <v>2831053844</v>
      </c>
      <c r="K8962">
        <v>6974523580</v>
      </c>
      <c r="M8962" t="s">
        <v>13597</v>
      </c>
      <c r="N8962" t="s">
        <v>615</v>
      </c>
      <c r="O8962" t="s">
        <v>616</v>
      </c>
      <c r="R8962" t="s">
        <v>57</v>
      </c>
      <c r="S8962">
        <v>13</v>
      </c>
      <c r="T8962">
        <v>160</v>
      </c>
      <c r="U8962" s="1">
        <v>34582</v>
      </c>
      <c r="V8962" t="s">
        <v>66</v>
      </c>
      <c r="W8962" t="s">
        <v>67</v>
      </c>
      <c r="X8962" t="s">
        <v>58</v>
      </c>
      <c r="Y8962">
        <v>21</v>
      </c>
      <c r="Z8962" t="s">
        <v>59</v>
      </c>
      <c r="AA8962" t="s">
        <v>59</v>
      </c>
      <c r="AB8962" t="s">
        <v>59</v>
      </c>
      <c r="AC8962" t="s">
        <v>59</v>
      </c>
      <c r="AD8962" t="s">
        <v>59</v>
      </c>
      <c r="AF8962" s="1">
        <v>34582</v>
      </c>
      <c r="AG8962" t="s">
        <v>8645</v>
      </c>
      <c r="AH8962" t="s">
        <v>8646</v>
      </c>
      <c r="AI8962" t="str">
        <f>"9410257"</f>
        <v>9410257</v>
      </c>
      <c r="AJ8962" t="s">
        <v>12828</v>
      </c>
      <c r="AK8962">
        <v>2831056242</v>
      </c>
      <c r="AL8962" t="s">
        <v>12829</v>
      </c>
      <c r="AM8962" t="s">
        <v>64</v>
      </c>
      <c r="AN8962" t="s">
        <v>65</v>
      </c>
      <c r="AO8962" t="s">
        <v>65</v>
      </c>
      <c r="AP8962" t="s">
        <v>65</v>
      </c>
      <c r="AQ8962">
        <v>1</v>
      </c>
      <c r="AR8962" t="s">
        <v>66</v>
      </c>
      <c r="AS8962" t="s">
        <v>67</v>
      </c>
      <c r="AT8962" t="s">
        <v>58</v>
      </c>
      <c r="AU8962" t="s">
        <v>68</v>
      </c>
      <c r="AV8962" t="s">
        <v>69</v>
      </c>
      <c r="AW8962" s="1">
        <v>24494</v>
      </c>
      <c r="AX8962">
        <v>1</v>
      </c>
    </row>
    <row r="8963" spans="1:50">
      <c r="B8963" t="str">
        <f>"142664983"</f>
        <v>142664983</v>
      </c>
      <c r="C8963" t="s">
        <v>50</v>
      </c>
      <c r="D8963" t="s">
        <v>13598</v>
      </c>
      <c r="E8963" t="s">
        <v>155</v>
      </c>
      <c r="F8963" t="s">
        <v>631</v>
      </c>
      <c r="G8963" t="s">
        <v>460</v>
      </c>
      <c r="H8963" t="str">
        <f>"ΒΕΝΙΖΕΛΟΥ 90 "</f>
        <v xml:space="preserve">ΒΕΝΙΖΕΛΟΥ 90 </v>
      </c>
      <c r="I8963">
        <v>62121</v>
      </c>
      <c r="J8963">
        <v>2321056369</v>
      </c>
      <c r="K8963">
        <v>6983251242</v>
      </c>
      <c r="N8963" t="s">
        <v>615</v>
      </c>
      <c r="O8963" t="s">
        <v>616</v>
      </c>
      <c r="R8963" t="s">
        <v>159</v>
      </c>
      <c r="S8963">
        <v>3</v>
      </c>
      <c r="T8963" t="s">
        <v>8675</v>
      </c>
      <c r="U8963" s="1">
        <v>43348</v>
      </c>
      <c r="V8963" t="s">
        <v>66</v>
      </c>
      <c r="W8963" t="s">
        <v>67</v>
      </c>
      <c r="X8963" t="s">
        <v>58</v>
      </c>
      <c r="Y8963">
        <v>24</v>
      </c>
      <c r="Z8963" t="s">
        <v>59</v>
      </c>
      <c r="AA8963" t="s">
        <v>59</v>
      </c>
      <c r="AB8963" t="s">
        <v>59</v>
      </c>
      <c r="AC8963" t="s">
        <v>59</v>
      </c>
      <c r="AD8963" t="s">
        <v>59</v>
      </c>
      <c r="AF8963" s="1">
        <v>43348</v>
      </c>
      <c r="AG8963" t="s">
        <v>8645</v>
      </c>
      <c r="AH8963" t="s">
        <v>8646</v>
      </c>
      <c r="AI8963" t="str">
        <f>"9410169"</f>
        <v>9410169</v>
      </c>
      <c r="AJ8963" t="s">
        <v>12936</v>
      </c>
      <c r="AK8963">
        <v>2831031123</v>
      </c>
      <c r="AL8963" t="s">
        <v>12937</v>
      </c>
      <c r="AM8963" t="s">
        <v>64</v>
      </c>
      <c r="AN8963" t="s">
        <v>65</v>
      </c>
      <c r="AO8963" t="s">
        <v>5720</v>
      </c>
      <c r="AP8963" t="s">
        <v>12938</v>
      </c>
      <c r="AQ8963">
        <v>2</v>
      </c>
      <c r="AR8963" t="s">
        <v>66</v>
      </c>
      <c r="AS8963" t="s">
        <v>67</v>
      </c>
      <c r="AT8963" t="s">
        <v>58</v>
      </c>
      <c r="AU8963" t="s">
        <v>8673</v>
      </c>
      <c r="AV8963" t="s">
        <v>132</v>
      </c>
      <c r="AW8963" s="1">
        <v>32034</v>
      </c>
      <c r="AX8963">
        <v>1</v>
      </c>
    </row>
    <row r="8964" spans="1:50">
      <c r="B8964" t="str">
        <f>"130036951"</f>
        <v>130036951</v>
      </c>
      <c r="C8964" t="s">
        <v>50</v>
      </c>
      <c r="D8964" t="s">
        <v>13599</v>
      </c>
      <c r="E8964" t="s">
        <v>1484</v>
      </c>
      <c r="F8964" t="s">
        <v>202</v>
      </c>
      <c r="G8964" t="s">
        <v>563</v>
      </c>
      <c r="H8964" t="str">
        <f>"ΑΧΑΪΑΣ 15 "</f>
        <v xml:space="preserve">ΑΧΑΪΑΣ 15 </v>
      </c>
      <c r="I8964">
        <v>13121</v>
      </c>
      <c r="J8964">
        <v>2105722387</v>
      </c>
      <c r="K8964">
        <v>6972696070</v>
      </c>
      <c r="N8964" t="s">
        <v>615</v>
      </c>
      <c r="O8964" t="s">
        <v>616</v>
      </c>
      <c r="R8964" t="s">
        <v>159</v>
      </c>
      <c r="S8964">
        <v>5</v>
      </c>
      <c r="T8964" t="s">
        <v>8675</v>
      </c>
      <c r="U8964" s="1">
        <v>43348</v>
      </c>
      <c r="V8964" t="s">
        <v>66</v>
      </c>
      <c r="W8964" t="s">
        <v>67</v>
      </c>
      <c r="X8964" t="s">
        <v>58</v>
      </c>
      <c r="Y8964">
        <v>24</v>
      </c>
      <c r="Z8964" t="s">
        <v>59</v>
      </c>
      <c r="AA8964" t="s">
        <v>59</v>
      </c>
      <c r="AB8964" t="s">
        <v>59</v>
      </c>
      <c r="AC8964" t="s">
        <v>59</v>
      </c>
      <c r="AD8964" t="s">
        <v>59</v>
      </c>
      <c r="AF8964" s="1">
        <v>43348</v>
      </c>
      <c r="AG8964" t="s">
        <v>8645</v>
      </c>
      <c r="AH8964" t="s">
        <v>8646</v>
      </c>
      <c r="AI8964" t="str">
        <f>"9410226"</f>
        <v>9410226</v>
      </c>
      <c r="AJ8964" t="s">
        <v>12702</v>
      </c>
      <c r="AK8964">
        <v>2831071088</v>
      </c>
      <c r="AL8964" t="s">
        <v>12703</v>
      </c>
      <c r="AM8964" t="s">
        <v>64</v>
      </c>
      <c r="AN8964" t="s">
        <v>65</v>
      </c>
      <c r="AO8964" t="s">
        <v>12694</v>
      </c>
      <c r="AP8964" t="s">
        <v>12704</v>
      </c>
      <c r="AQ8964">
        <v>3</v>
      </c>
      <c r="AR8964" t="s">
        <v>66</v>
      </c>
      <c r="AS8964" t="s">
        <v>67</v>
      </c>
      <c r="AT8964" t="s">
        <v>58</v>
      </c>
      <c r="AU8964" t="s">
        <v>8673</v>
      </c>
      <c r="AV8964" t="s">
        <v>132</v>
      </c>
      <c r="AW8964" s="1">
        <v>29490</v>
      </c>
      <c r="AX8964">
        <v>1</v>
      </c>
    </row>
    <row r="8965" spans="1:50">
      <c r="A8965">
        <v>606088</v>
      </c>
      <c r="B8965" t="str">
        <f>"048025370"</f>
        <v>048025370</v>
      </c>
      <c r="C8965" t="s">
        <v>50</v>
      </c>
      <c r="D8965" t="s">
        <v>13600</v>
      </c>
      <c r="E8965" t="s">
        <v>237</v>
      </c>
      <c r="F8965" t="s">
        <v>95</v>
      </c>
      <c r="G8965" t="s">
        <v>52</v>
      </c>
      <c r="H8965" t="str">
        <f>"ΣΙΛΙΓΑΡΔΟΥ 20 ΡΕΘΥΜΝΟ"</f>
        <v>ΣΙΛΙΓΑΡΔΟΥ 20 ΡΕΘΥΜΝΟ</v>
      </c>
      <c r="I8965">
        <v>74100</v>
      </c>
      <c r="J8965">
        <v>2831057010</v>
      </c>
      <c r="K8965">
        <v>6973341738</v>
      </c>
      <c r="N8965" t="s">
        <v>1525</v>
      </c>
      <c r="O8965" t="s">
        <v>1526</v>
      </c>
      <c r="R8965" t="s">
        <v>57</v>
      </c>
      <c r="S8965">
        <v>7</v>
      </c>
      <c r="T8965">
        <v>231</v>
      </c>
      <c r="U8965" s="1">
        <v>38230</v>
      </c>
      <c r="V8965" t="s">
        <v>66</v>
      </c>
      <c r="W8965" t="s">
        <v>67</v>
      </c>
      <c r="X8965" t="s">
        <v>58</v>
      </c>
      <c r="Y8965">
        <v>25</v>
      </c>
      <c r="Z8965" t="s">
        <v>59</v>
      </c>
      <c r="AA8965" t="s">
        <v>59</v>
      </c>
      <c r="AB8965" t="s">
        <v>59</v>
      </c>
      <c r="AC8965" t="s">
        <v>59</v>
      </c>
      <c r="AD8965" t="s">
        <v>59</v>
      </c>
      <c r="AF8965" s="1">
        <v>38231</v>
      </c>
      <c r="AG8965" t="s">
        <v>8651</v>
      </c>
      <c r="AH8965" t="s">
        <v>8652</v>
      </c>
      <c r="AI8965" t="str">
        <f>"9410153"</f>
        <v>9410153</v>
      </c>
      <c r="AJ8965" t="s">
        <v>12920</v>
      </c>
      <c r="AK8965">
        <v>2831022984</v>
      </c>
      <c r="AL8965" t="s">
        <v>12921</v>
      </c>
      <c r="AM8965" t="s">
        <v>64</v>
      </c>
      <c r="AN8965" t="s">
        <v>65</v>
      </c>
      <c r="AO8965" t="s">
        <v>65</v>
      </c>
      <c r="AP8965" t="s">
        <v>65</v>
      </c>
      <c r="AQ8965">
        <v>1</v>
      </c>
      <c r="AR8965" t="s">
        <v>66</v>
      </c>
      <c r="AS8965" t="s">
        <v>67</v>
      </c>
      <c r="AT8965" t="s">
        <v>58</v>
      </c>
      <c r="AU8965" t="s">
        <v>68</v>
      </c>
      <c r="AV8965" t="s">
        <v>69</v>
      </c>
      <c r="AW8965" s="1">
        <v>26516</v>
      </c>
      <c r="AX8965">
        <v>1</v>
      </c>
    </row>
    <row r="8966" spans="1:50">
      <c r="A8966">
        <v>556736</v>
      </c>
      <c r="B8966" t="str">
        <f>"033084176"</f>
        <v>033084176</v>
      </c>
      <c r="C8966" t="s">
        <v>105</v>
      </c>
      <c r="D8966" t="s">
        <v>3547</v>
      </c>
      <c r="E8966" t="s">
        <v>72</v>
      </c>
      <c r="F8966" t="s">
        <v>84</v>
      </c>
      <c r="G8966" t="s">
        <v>1361</v>
      </c>
      <c r="H8966" t="str">
        <f>"ΠΑΝΟΡΜΟ ΡΕΘΥΜΝΗΣ ΠΑΝΟΡΜΟΥ-ΓΕΡΟΠΟΤΑΜΟΥ"</f>
        <v>ΠΑΝΟΡΜΟ ΡΕΘΥΜΝΗΣ ΠΑΝΟΡΜΟΥ-ΓΕΡΟΠΟΤΑΜΟΥ</v>
      </c>
      <c r="I8966">
        <v>74057</v>
      </c>
      <c r="J8966">
        <v>2834091461</v>
      </c>
      <c r="K8966">
        <v>6949935666</v>
      </c>
      <c r="L8966">
        <v>302834052085</v>
      </c>
      <c r="M8966" t="s">
        <v>13601</v>
      </c>
      <c r="N8966" t="s">
        <v>615</v>
      </c>
      <c r="O8966" t="s">
        <v>616</v>
      </c>
      <c r="R8966" t="s">
        <v>57</v>
      </c>
      <c r="S8966">
        <v>15</v>
      </c>
      <c r="T8966">
        <v>168</v>
      </c>
      <c r="U8966" s="1">
        <v>32010</v>
      </c>
      <c r="V8966" t="s">
        <v>66</v>
      </c>
      <c r="W8966" t="s">
        <v>67</v>
      </c>
      <c r="X8966" t="s">
        <v>58</v>
      </c>
      <c r="Y8966">
        <v>21</v>
      </c>
      <c r="Z8966" t="s">
        <v>59</v>
      </c>
      <c r="AA8966" t="s">
        <v>59</v>
      </c>
      <c r="AB8966" t="s">
        <v>59</v>
      </c>
      <c r="AC8966" t="s">
        <v>59</v>
      </c>
      <c r="AD8966" t="s">
        <v>59</v>
      </c>
      <c r="AF8966" s="1">
        <v>32021</v>
      </c>
      <c r="AG8966" t="s">
        <v>8645</v>
      </c>
      <c r="AH8966" t="s">
        <v>8646</v>
      </c>
      <c r="AI8966" t="str">
        <f>"9410048"</f>
        <v>9410048</v>
      </c>
      <c r="AJ8966" t="s">
        <v>12656</v>
      </c>
      <c r="AK8966">
        <v>2834020221</v>
      </c>
      <c r="AL8966" t="s">
        <v>12657</v>
      </c>
      <c r="AM8966" t="s">
        <v>64</v>
      </c>
      <c r="AN8966" t="s">
        <v>5672</v>
      </c>
      <c r="AO8966" t="s">
        <v>5673</v>
      </c>
      <c r="AP8966" t="s">
        <v>5674</v>
      </c>
      <c r="AQ8966">
        <v>10</v>
      </c>
      <c r="AR8966" t="s">
        <v>66</v>
      </c>
      <c r="AS8966" t="s">
        <v>67</v>
      </c>
      <c r="AT8966" t="s">
        <v>58</v>
      </c>
      <c r="AU8966" t="s">
        <v>68</v>
      </c>
      <c r="AV8966" t="s">
        <v>69</v>
      </c>
      <c r="AW8966" s="1">
        <v>23163</v>
      </c>
      <c r="AX8966">
        <v>1</v>
      </c>
    </row>
    <row r="8967" spans="1:50">
      <c r="B8967" t="str">
        <f>"149209100"</f>
        <v>149209100</v>
      </c>
      <c r="C8967" t="s">
        <v>105</v>
      </c>
      <c r="D8967" t="s">
        <v>13602</v>
      </c>
      <c r="E8967" t="s">
        <v>84</v>
      </c>
      <c r="F8967" t="s">
        <v>99</v>
      </c>
      <c r="G8967" t="s">
        <v>73</v>
      </c>
      <c r="H8967" t="str">
        <f>"25ΗΣ ΜΑΡΤΙΟΥ 63 "</f>
        <v xml:space="preserve">25ΗΣ ΜΑΡΤΙΟΥ 63 </v>
      </c>
      <c r="I8967">
        <v>50200</v>
      </c>
      <c r="J8967">
        <v>2463027715</v>
      </c>
      <c r="K8967">
        <v>6934774211</v>
      </c>
      <c r="N8967" t="s">
        <v>615</v>
      </c>
      <c r="O8967" t="s">
        <v>616</v>
      </c>
      <c r="R8967" t="s">
        <v>159</v>
      </c>
      <c r="S8967">
        <v>3</v>
      </c>
      <c r="T8967" t="s">
        <v>8675</v>
      </c>
      <c r="U8967" s="1">
        <v>43348</v>
      </c>
      <c r="V8967" t="s">
        <v>66</v>
      </c>
      <c r="W8967" t="s">
        <v>67</v>
      </c>
      <c r="X8967" t="s">
        <v>58</v>
      </c>
      <c r="Y8967">
        <v>25</v>
      </c>
      <c r="Z8967" t="s">
        <v>59</v>
      </c>
      <c r="AA8967" t="s">
        <v>59</v>
      </c>
      <c r="AB8967" t="s">
        <v>59</v>
      </c>
      <c r="AC8967" t="s">
        <v>59</v>
      </c>
      <c r="AD8967" t="s">
        <v>59</v>
      </c>
      <c r="AF8967" s="1">
        <v>43348</v>
      </c>
      <c r="AG8967" t="s">
        <v>8645</v>
      </c>
      <c r="AH8967" t="s">
        <v>8676</v>
      </c>
      <c r="AI8967" t="str">
        <f>"9410013"</f>
        <v>9410013</v>
      </c>
      <c r="AJ8967" t="s">
        <v>13092</v>
      </c>
      <c r="AK8967">
        <v>2834022663</v>
      </c>
      <c r="AL8967" t="s">
        <v>13093</v>
      </c>
      <c r="AM8967" t="s">
        <v>64</v>
      </c>
      <c r="AN8967" t="s">
        <v>5672</v>
      </c>
      <c r="AO8967" t="s">
        <v>5673</v>
      </c>
      <c r="AP8967" t="s">
        <v>12918</v>
      </c>
      <c r="AQ8967">
        <v>8</v>
      </c>
      <c r="AR8967" t="s">
        <v>66</v>
      </c>
      <c r="AS8967" t="s">
        <v>67</v>
      </c>
      <c r="AT8967" t="s">
        <v>58</v>
      </c>
      <c r="AU8967" t="s">
        <v>8673</v>
      </c>
      <c r="AV8967" t="s">
        <v>132</v>
      </c>
      <c r="AW8967" s="1">
        <v>31988</v>
      </c>
      <c r="AX8967">
        <v>1</v>
      </c>
    </row>
    <row r="8968" spans="1:50">
      <c r="A8968">
        <v>704026</v>
      </c>
      <c r="B8968" t="str">
        <f>"114889984"</f>
        <v>114889984</v>
      </c>
      <c r="C8968" t="s">
        <v>50</v>
      </c>
      <c r="D8968" t="s">
        <v>13603</v>
      </c>
      <c r="E8968" t="s">
        <v>396</v>
      </c>
      <c r="F8968" t="s">
        <v>995</v>
      </c>
      <c r="G8968" t="s">
        <v>221</v>
      </c>
      <c r="H8968" t="str">
        <f>"ΔΙΓΕΝΗ 9 ΚΑΜΑΤΕΡΟ"</f>
        <v>ΔΙΓΕΝΗ 9 ΚΑΜΑΤΕΡΟ</v>
      </c>
      <c r="I8968">
        <v>13451</v>
      </c>
      <c r="J8968">
        <v>2102388223</v>
      </c>
      <c r="K8968">
        <v>6974324422</v>
      </c>
      <c r="M8968" t="s">
        <v>13604</v>
      </c>
      <c r="N8968" t="s">
        <v>478</v>
      </c>
      <c r="O8968" t="s">
        <v>479</v>
      </c>
      <c r="R8968" t="s">
        <v>57</v>
      </c>
      <c r="S8968">
        <v>3</v>
      </c>
      <c r="T8968">
        <v>1350</v>
      </c>
      <c r="U8968" s="1">
        <v>42732</v>
      </c>
      <c r="V8968" t="s">
        <v>66</v>
      </c>
      <c r="W8968" t="s">
        <v>67</v>
      </c>
      <c r="X8968" t="s">
        <v>58</v>
      </c>
      <c r="Y8968">
        <v>24</v>
      </c>
      <c r="Z8968" t="s">
        <v>59</v>
      </c>
      <c r="AA8968" t="s">
        <v>59</v>
      </c>
      <c r="AB8968" t="s">
        <v>59</v>
      </c>
      <c r="AC8968" t="s">
        <v>59</v>
      </c>
      <c r="AD8968" t="s">
        <v>59</v>
      </c>
      <c r="AF8968" s="1">
        <v>42734</v>
      </c>
      <c r="AG8968" t="s">
        <v>8645</v>
      </c>
      <c r="AH8968" t="s">
        <v>8646</v>
      </c>
      <c r="AI8968" t="str">
        <f>"9410067"</f>
        <v>9410067</v>
      </c>
      <c r="AJ8968" t="s">
        <v>12736</v>
      </c>
      <c r="AK8968">
        <v>2831022836</v>
      </c>
      <c r="AL8968" t="s">
        <v>12737</v>
      </c>
      <c r="AM8968" t="s">
        <v>64</v>
      </c>
      <c r="AN8968" t="s">
        <v>65</v>
      </c>
      <c r="AO8968" t="s">
        <v>65</v>
      </c>
      <c r="AP8968" t="s">
        <v>65</v>
      </c>
      <c r="AQ8968">
        <v>1</v>
      </c>
      <c r="AR8968" t="s">
        <v>66</v>
      </c>
      <c r="AS8968" t="s">
        <v>67</v>
      </c>
      <c r="AT8968" t="s">
        <v>58</v>
      </c>
      <c r="AU8968" t="s">
        <v>68</v>
      </c>
      <c r="AV8968" t="s">
        <v>69</v>
      </c>
      <c r="AW8968" s="1">
        <v>27911</v>
      </c>
      <c r="AX8968">
        <v>1</v>
      </c>
    </row>
    <row r="8969" spans="1:50">
      <c r="A8969">
        <v>702176</v>
      </c>
      <c r="B8969" t="str">
        <f>"149609536"</f>
        <v>149609536</v>
      </c>
      <c r="C8969" t="s">
        <v>50</v>
      </c>
      <c r="D8969" t="s">
        <v>13605</v>
      </c>
      <c r="E8969" t="s">
        <v>250</v>
      </c>
      <c r="F8969" t="s">
        <v>154</v>
      </c>
      <c r="G8969" t="s">
        <v>255</v>
      </c>
      <c r="H8969" t="str">
        <f>"ΕΠΙΣΚΟΠΗ ΜΥΛΟΠΟΤΑΜΟΥ ΡΕΘΥΜΝΟ"</f>
        <v>ΕΠΙΣΚΟΠΗ ΜΥΛΟΠΟΤΑΜΟΥ ΡΕΘΥΜΝΟ</v>
      </c>
      <c r="I8969">
        <v>74054</v>
      </c>
      <c r="J8969">
        <v>2834041189</v>
      </c>
      <c r="K8969">
        <v>6973410699</v>
      </c>
      <c r="N8969" t="s">
        <v>615</v>
      </c>
      <c r="O8969" t="s">
        <v>616</v>
      </c>
      <c r="R8969" t="s">
        <v>57</v>
      </c>
      <c r="S8969">
        <v>4</v>
      </c>
      <c r="T8969" t="s">
        <v>13606</v>
      </c>
      <c r="U8969" s="1">
        <v>40413</v>
      </c>
      <c r="V8969" t="s">
        <v>66</v>
      </c>
      <c r="W8969" t="s">
        <v>67</v>
      </c>
      <c r="X8969" t="s">
        <v>58</v>
      </c>
      <c r="Y8969">
        <v>25</v>
      </c>
      <c r="Z8969" t="s">
        <v>59</v>
      </c>
      <c r="AA8969" t="s">
        <v>59</v>
      </c>
      <c r="AB8969" t="s">
        <v>59</v>
      </c>
      <c r="AC8969" t="s">
        <v>59</v>
      </c>
      <c r="AD8969" t="s">
        <v>59</v>
      </c>
      <c r="AF8969" s="1">
        <v>40413</v>
      </c>
      <c r="AG8969" t="s">
        <v>8645</v>
      </c>
      <c r="AH8969" t="s">
        <v>8676</v>
      </c>
      <c r="AI8969" t="str">
        <f>"9410020"</f>
        <v>9410020</v>
      </c>
      <c r="AJ8969" t="s">
        <v>13315</v>
      </c>
      <c r="AK8969">
        <v>2834041225</v>
      </c>
      <c r="AL8969" t="s">
        <v>13316</v>
      </c>
      <c r="AM8969" t="s">
        <v>64</v>
      </c>
      <c r="AN8969" t="s">
        <v>5672</v>
      </c>
      <c r="AO8969" t="s">
        <v>5698</v>
      </c>
      <c r="AP8969" t="s">
        <v>5788</v>
      </c>
      <c r="AQ8969">
        <v>11</v>
      </c>
      <c r="AR8969" t="s">
        <v>66</v>
      </c>
      <c r="AS8969" t="s">
        <v>67</v>
      </c>
      <c r="AT8969" t="s">
        <v>58</v>
      </c>
      <c r="AU8969" t="s">
        <v>68</v>
      </c>
      <c r="AV8969" t="s">
        <v>69</v>
      </c>
      <c r="AW8969" s="1">
        <v>31793</v>
      </c>
      <c r="AX8969">
        <v>1</v>
      </c>
    </row>
    <row r="8970" spans="1:50">
      <c r="B8970" t="str">
        <f>"143693233"</f>
        <v>143693233</v>
      </c>
      <c r="C8970" t="s">
        <v>50</v>
      </c>
      <c r="D8970" t="s">
        <v>13605</v>
      </c>
      <c r="E8970" t="s">
        <v>52</v>
      </c>
      <c r="F8970" t="s">
        <v>920</v>
      </c>
      <c r="G8970" t="s">
        <v>563</v>
      </c>
      <c r="H8970" t="str">
        <f>"ΚΟΥΡΜΟΥΛΗ 87 "</f>
        <v xml:space="preserve">ΚΟΥΡΜΟΥΛΗ 87 </v>
      </c>
      <c r="I8970">
        <v>74100</v>
      </c>
      <c r="J8970">
        <v>2831057411</v>
      </c>
      <c r="K8970">
        <v>6979008631</v>
      </c>
      <c r="N8970" t="s">
        <v>615</v>
      </c>
      <c r="O8970" t="s">
        <v>616</v>
      </c>
      <c r="R8970" t="s">
        <v>159</v>
      </c>
      <c r="S8970">
        <v>1</v>
      </c>
      <c r="T8970" t="s">
        <v>8675</v>
      </c>
      <c r="U8970" s="1">
        <v>43348</v>
      </c>
      <c r="V8970" t="s">
        <v>66</v>
      </c>
      <c r="W8970" t="s">
        <v>67</v>
      </c>
      <c r="X8970" t="s">
        <v>58</v>
      </c>
      <c r="Y8970">
        <v>25</v>
      </c>
      <c r="Z8970" t="s">
        <v>59</v>
      </c>
      <c r="AA8970" t="s">
        <v>59</v>
      </c>
      <c r="AB8970" t="s">
        <v>59</v>
      </c>
      <c r="AC8970" t="s">
        <v>59</v>
      </c>
      <c r="AD8970" t="s">
        <v>59</v>
      </c>
      <c r="AF8970" s="1">
        <v>43348</v>
      </c>
      <c r="AG8970" t="s">
        <v>8645</v>
      </c>
      <c r="AH8970" t="s">
        <v>8676</v>
      </c>
      <c r="AI8970" t="str">
        <f>"9410088"</f>
        <v>9410088</v>
      </c>
      <c r="AJ8970" t="s">
        <v>12730</v>
      </c>
      <c r="AK8970">
        <v>2832091235</v>
      </c>
      <c r="AL8970" t="s">
        <v>12731</v>
      </c>
      <c r="AM8970" t="s">
        <v>64</v>
      </c>
      <c r="AN8970" t="s">
        <v>5882</v>
      </c>
      <c r="AO8970" t="s">
        <v>5883</v>
      </c>
      <c r="AP8970" t="s">
        <v>12732</v>
      </c>
      <c r="AQ8970">
        <v>6</v>
      </c>
      <c r="AR8970" t="s">
        <v>66</v>
      </c>
      <c r="AS8970" t="s">
        <v>67</v>
      </c>
      <c r="AT8970" t="s">
        <v>58</v>
      </c>
      <c r="AU8970" t="s">
        <v>8673</v>
      </c>
      <c r="AV8970" t="s">
        <v>132</v>
      </c>
      <c r="AW8970" s="1">
        <v>32460</v>
      </c>
      <c r="AX8970">
        <v>1</v>
      </c>
    </row>
    <row r="8971" spans="1:50">
      <c r="A8971">
        <v>606187</v>
      </c>
      <c r="B8971" t="str">
        <f>"049605976"</f>
        <v>049605976</v>
      </c>
      <c r="C8971" t="s">
        <v>50</v>
      </c>
      <c r="D8971" t="s">
        <v>13607</v>
      </c>
      <c r="E8971" t="s">
        <v>255</v>
      </c>
      <c r="F8971" t="s">
        <v>99</v>
      </c>
      <c r="G8971" t="s">
        <v>610</v>
      </c>
      <c r="H8971" t="str">
        <f>"ΠΕΡΑΜΑ ΓΕΡΟΠΟΤΑΜΟΥ"</f>
        <v>ΠΕΡΑΜΑ ΓΕΡΟΠΟΤΑΜΟΥ</v>
      </c>
      <c r="I8971">
        <v>74052</v>
      </c>
      <c r="J8971">
        <v>2834023606</v>
      </c>
      <c r="K8971">
        <v>6973321478</v>
      </c>
      <c r="N8971" t="s">
        <v>1525</v>
      </c>
      <c r="O8971" t="s">
        <v>1526</v>
      </c>
      <c r="R8971" t="s">
        <v>57</v>
      </c>
      <c r="S8971">
        <v>7</v>
      </c>
      <c r="T8971">
        <v>231</v>
      </c>
      <c r="U8971" s="1">
        <v>38230</v>
      </c>
      <c r="V8971" t="s">
        <v>66</v>
      </c>
      <c r="W8971" t="s">
        <v>67</v>
      </c>
      <c r="X8971" t="s">
        <v>58</v>
      </c>
      <c r="Y8971">
        <v>25</v>
      </c>
      <c r="Z8971" t="s">
        <v>59</v>
      </c>
      <c r="AA8971" t="s">
        <v>59</v>
      </c>
      <c r="AB8971" t="s">
        <v>59</v>
      </c>
      <c r="AC8971" t="s">
        <v>59</v>
      </c>
      <c r="AD8971" t="s">
        <v>59</v>
      </c>
      <c r="AF8971" s="1">
        <v>38231</v>
      </c>
      <c r="AG8971" t="s">
        <v>8651</v>
      </c>
      <c r="AH8971" t="s">
        <v>8652</v>
      </c>
      <c r="AI8971" t="str">
        <f>"9410260"</f>
        <v>9410260</v>
      </c>
      <c r="AJ8971" t="s">
        <v>12844</v>
      </c>
      <c r="AK8971">
        <v>2834023621</v>
      </c>
      <c r="AL8971" t="s">
        <v>12845</v>
      </c>
      <c r="AM8971" t="s">
        <v>64</v>
      </c>
      <c r="AN8971" t="s">
        <v>5672</v>
      </c>
      <c r="AO8971" t="s">
        <v>5673</v>
      </c>
      <c r="AP8971" t="s">
        <v>5689</v>
      </c>
      <c r="AQ8971">
        <v>7</v>
      </c>
      <c r="AR8971" t="s">
        <v>66</v>
      </c>
      <c r="AS8971" t="s">
        <v>67</v>
      </c>
      <c r="AT8971" t="s">
        <v>58</v>
      </c>
      <c r="AU8971" t="s">
        <v>68</v>
      </c>
      <c r="AV8971" t="s">
        <v>69</v>
      </c>
      <c r="AW8971" s="1">
        <v>28235</v>
      </c>
      <c r="AX8971">
        <v>1</v>
      </c>
    </row>
    <row r="8972" spans="1:50">
      <c r="A8972">
        <v>577824</v>
      </c>
      <c r="B8972" t="str">
        <f>"037371377"</f>
        <v>037371377</v>
      </c>
      <c r="C8972" t="s">
        <v>50</v>
      </c>
      <c r="D8972" t="s">
        <v>3576</v>
      </c>
      <c r="E8972" t="s">
        <v>96</v>
      </c>
      <c r="F8972" t="s">
        <v>166</v>
      </c>
      <c r="G8972" t="s">
        <v>2802</v>
      </c>
      <c r="H8972" t="str">
        <f>" "</f>
        <v xml:space="preserve"> </v>
      </c>
      <c r="N8972" t="s">
        <v>615</v>
      </c>
      <c r="O8972" t="s">
        <v>616</v>
      </c>
      <c r="R8972" t="s">
        <v>57</v>
      </c>
      <c r="S8972">
        <v>13</v>
      </c>
      <c r="T8972">
        <v>165</v>
      </c>
      <c r="U8972" s="1">
        <v>35300</v>
      </c>
      <c r="V8972" t="s">
        <v>66</v>
      </c>
      <c r="W8972" t="s">
        <v>67</v>
      </c>
      <c r="X8972" t="s">
        <v>58</v>
      </c>
      <c r="Y8972">
        <v>21</v>
      </c>
      <c r="Z8972" t="s">
        <v>59</v>
      </c>
      <c r="AA8972" t="s">
        <v>59</v>
      </c>
      <c r="AB8972" t="s">
        <v>59</v>
      </c>
      <c r="AC8972" t="s">
        <v>59</v>
      </c>
      <c r="AD8972" t="s">
        <v>59</v>
      </c>
      <c r="AF8972" s="1">
        <v>35310</v>
      </c>
      <c r="AG8972" t="s">
        <v>8645</v>
      </c>
      <c r="AH8972" t="s">
        <v>8646</v>
      </c>
      <c r="AI8972" t="str">
        <f>"9410120"</f>
        <v>9410120</v>
      </c>
      <c r="AJ8972" t="s">
        <v>12681</v>
      </c>
      <c r="AK8972">
        <v>6978148714</v>
      </c>
      <c r="AL8972" t="s">
        <v>12682</v>
      </c>
      <c r="AM8972" t="s">
        <v>64</v>
      </c>
      <c r="AN8972" t="s">
        <v>5882</v>
      </c>
      <c r="AO8972" t="s">
        <v>5883</v>
      </c>
      <c r="AP8972" t="s">
        <v>5884</v>
      </c>
      <c r="AQ8972">
        <v>5</v>
      </c>
      <c r="AR8972" t="s">
        <v>66</v>
      </c>
      <c r="AS8972" t="s">
        <v>67</v>
      </c>
      <c r="AT8972" t="s">
        <v>58</v>
      </c>
      <c r="AU8972" t="s">
        <v>68</v>
      </c>
      <c r="AV8972" t="s">
        <v>69</v>
      </c>
      <c r="AW8972" s="1">
        <v>24322</v>
      </c>
      <c r="AX8972">
        <v>1</v>
      </c>
    </row>
    <row r="8973" spans="1:50">
      <c r="A8973">
        <v>573977</v>
      </c>
      <c r="B8973" t="str">
        <f>"065499874"</f>
        <v>065499874</v>
      </c>
      <c r="C8973" t="s">
        <v>50</v>
      </c>
      <c r="D8973" t="s">
        <v>13608</v>
      </c>
      <c r="E8973" t="s">
        <v>83</v>
      </c>
      <c r="F8973" t="s">
        <v>309</v>
      </c>
      <c r="G8973" t="s">
        <v>52</v>
      </c>
      <c r="H8973" t="str">
        <f>"BIΟΛΙ ΧΑΡΑΚΙ ΑΤΣΙΠΟΠΟΥΛΟ"</f>
        <v>BIΟΛΙ ΧΑΡΑΚΙ ΑΤΣΙΠΟΠΟΥΛΟ</v>
      </c>
      <c r="I8973">
        <v>74100</v>
      </c>
      <c r="J8973">
        <v>2831053844</v>
      </c>
      <c r="K8973">
        <v>6979393660</v>
      </c>
      <c r="M8973" t="s">
        <v>13609</v>
      </c>
      <c r="N8973" t="s">
        <v>615</v>
      </c>
      <c r="O8973" t="s">
        <v>616</v>
      </c>
      <c r="R8973" t="s">
        <v>57</v>
      </c>
      <c r="S8973">
        <v>13</v>
      </c>
      <c r="T8973">
        <v>160</v>
      </c>
      <c r="U8973" s="1">
        <v>34582</v>
      </c>
      <c r="V8973" t="s">
        <v>66</v>
      </c>
      <c r="W8973" t="s">
        <v>67</v>
      </c>
      <c r="X8973" t="s">
        <v>58</v>
      </c>
      <c r="Y8973">
        <v>21</v>
      </c>
      <c r="Z8973" t="s">
        <v>59</v>
      </c>
      <c r="AA8973" t="s">
        <v>59</v>
      </c>
      <c r="AB8973" t="s">
        <v>59</v>
      </c>
      <c r="AC8973" t="s">
        <v>59</v>
      </c>
      <c r="AD8973" t="s">
        <v>59</v>
      </c>
      <c r="AF8973" s="1">
        <v>34582</v>
      </c>
      <c r="AG8973" t="s">
        <v>8645</v>
      </c>
      <c r="AH8973" t="s">
        <v>8646</v>
      </c>
      <c r="AI8973" t="str">
        <f>"9410257"</f>
        <v>9410257</v>
      </c>
      <c r="AJ8973" t="s">
        <v>12828</v>
      </c>
      <c r="AK8973">
        <v>2831056242</v>
      </c>
      <c r="AL8973" t="s">
        <v>12829</v>
      </c>
      <c r="AM8973" t="s">
        <v>64</v>
      </c>
      <c r="AN8973" t="s">
        <v>65</v>
      </c>
      <c r="AO8973" t="s">
        <v>65</v>
      </c>
      <c r="AP8973" t="s">
        <v>65</v>
      </c>
      <c r="AQ8973">
        <v>1</v>
      </c>
      <c r="AR8973" t="s">
        <v>66</v>
      </c>
      <c r="AS8973" t="s">
        <v>67</v>
      </c>
      <c r="AT8973" t="s">
        <v>58</v>
      </c>
      <c r="AU8973" t="s">
        <v>68</v>
      </c>
      <c r="AV8973" t="s">
        <v>69</v>
      </c>
      <c r="AW8973" s="1">
        <v>24505</v>
      </c>
      <c r="AX8973">
        <v>1</v>
      </c>
    </row>
    <row r="8974" spans="1:50">
      <c r="A8974">
        <v>589357</v>
      </c>
      <c r="B8974" t="str">
        <f>"045172099"</f>
        <v>045172099</v>
      </c>
      <c r="C8974" t="s">
        <v>50</v>
      </c>
      <c r="D8974" t="s">
        <v>13610</v>
      </c>
      <c r="E8974" t="s">
        <v>13611</v>
      </c>
      <c r="F8974" t="s">
        <v>1320</v>
      </c>
      <c r="G8974" t="s">
        <v>191</v>
      </c>
      <c r="H8974" t="str">
        <f>"ΕΦ. ΑΞΙΩΜΑΤΙΚΩΝ 26Α "</f>
        <v xml:space="preserve">ΕΦ. ΑΞΙΩΜΑΤΙΚΩΝ 26Α </v>
      </c>
      <c r="J8974">
        <v>2831057169</v>
      </c>
      <c r="K8974">
        <v>6944438594</v>
      </c>
      <c r="M8974" t="s">
        <v>13612</v>
      </c>
      <c r="N8974" t="s">
        <v>615</v>
      </c>
      <c r="O8974" t="s">
        <v>616</v>
      </c>
      <c r="R8974" t="s">
        <v>57</v>
      </c>
      <c r="S8974">
        <v>10</v>
      </c>
      <c r="T8974">
        <v>176</v>
      </c>
      <c r="U8974" s="1">
        <v>36403</v>
      </c>
      <c r="V8974" t="s">
        <v>66</v>
      </c>
      <c r="W8974" t="s">
        <v>67</v>
      </c>
      <c r="X8974" t="s">
        <v>58</v>
      </c>
      <c r="Y8974">
        <v>21</v>
      </c>
      <c r="Z8974" t="s">
        <v>59</v>
      </c>
      <c r="AA8974" t="s">
        <v>59</v>
      </c>
      <c r="AB8974" t="s">
        <v>59</v>
      </c>
      <c r="AC8974" t="s">
        <v>59</v>
      </c>
      <c r="AD8974" t="s">
        <v>59</v>
      </c>
      <c r="AF8974" s="1">
        <v>36404</v>
      </c>
      <c r="AG8974" t="s">
        <v>8645</v>
      </c>
      <c r="AH8974" t="s">
        <v>8646</v>
      </c>
      <c r="AI8974" t="str">
        <f>"9410241"</f>
        <v>9410241</v>
      </c>
      <c r="AJ8974" t="s">
        <v>12783</v>
      </c>
      <c r="AK8974">
        <v>2831022616</v>
      </c>
      <c r="AL8974" t="s">
        <v>12784</v>
      </c>
      <c r="AM8974" t="s">
        <v>64</v>
      </c>
      <c r="AN8974" t="s">
        <v>65</v>
      </c>
      <c r="AO8974" t="s">
        <v>65</v>
      </c>
      <c r="AP8974" t="s">
        <v>65</v>
      </c>
      <c r="AQ8974">
        <v>1</v>
      </c>
      <c r="AR8974" t="s">
        <v>66</v>
      </c>
      <c r="AS8974" t="s">
        <v>67</v>
      </c>
      <c r="AT8974" t="s">
        <v>58</v>
      </c>
      <c r="AU8974" t="s">
        <v>68</v>
      </c>
      <c r="AV8974" t="s">
        <v>69</v>
      </c>
      <c r="AW8974" s="1">
        <v>24670</v>
      </c>
      <c r="AX8974">
        <v>1</v>
      </c>
    </row>
    <row r="8975" spans="1:50">
      <c r="A8975">
        <v>565354</v>
      </c>
      <c r="B8975" t="str">
        <f>"048290294"</f>
        <v>048290294</v>
      </c>
      <c r="C8975" t="s">
        <v>50</v>
      </c>
      <c r="D8975" t="s">
        <v>6476</v>
      </c>
      <c r="E8975" t="s">
        <v>1074</v>
      </c>
      <c r="F8975" t="s">
        <v>95</v>
      </c>
      <c r="G8975" t="s">
        <v>340</v>
      </c>
      <c r="H8975" t="str">
        <f>" "</f>
        <v xml:space="preserve"> </v>
      </c>
      <c r="N8975" t="s">
        <v>615</v>
      </c>
      <c r="O8975" t="s">
        <v>616</v>
      </c>
      <c r="R8975" t="s">
        <v>57</v>
      </c>
      <c r="S8975">
        <v>15</v>
      </c>
      <c r="T8975">
        <v>161</v>
      </c>
      <c r="U8975" s="1">
        <v>33119</v>
      </c>
      <c r="V8975" t="s">
        <v>66</v>
      </c>
      <c r="W8975" t="s">
        <v>67</v>
      </c>
      <c r="X8975" t="s">
        <v>58</v>
      </c>
      <c r="Y8975">
        <v>21</v>
      </c>
      <c r="Z8975" t="s">
        <v>59</v>
      </c>
      <c r="AA8975" t="s">
        <v>59</v>
      </c>
      <c r="AB8975" t="s">
        <v>59</v>
      </c>
      <c r="AC8975" t="s">
        <v>59</v>
      </c>
      <c r="AD8975" t="s">
        <v>59</v>
      </c>
      <c r="AF8975" s="1">
        <v>33119</v>
      </c>
      <c r="AG8975" t="s">
        <v>8645</v>
      </c>
      <c r="AH8975" t="s">
        <v>8646</v>
      </c>
      <c r="AI8975" t="str">
        <f>"9410067"</f>
        <v>9410067</v>
      </c>
      <c r="AJ8975" t="s">
        <v>12736</v>
      </c>
      <c r="AK8975">
        <v>2831022836</v>
      </c>
      <c r="AL8975" t="s">
        <v>12737</v>
      </c>
      <c r="AM8975" t="s">
        <v>64</v>
      </c>
      <c r="AN8975" t="s">
        <v>65</v>
      </c>
      <c r="AO8975" t="s">
        <v>65</v>
      </c>
      <c r="AP8975" t="s">
        <v>65</v>
      </c>
      <c r="AQ8975">
        <v>1</v>
      </c>
      <c r="AR8975" t="s">
        <v>66</v>
      </c>
      <c r="AS8975" t="s">
        <v>67</v>
      </c>
      <c r="AT8975" t="s">
        <v>58</v>
      </c>
      <c r="AU8975" t="s">
        <v>68</v>
      </c>
      <c r="AV8975" t="s">
        <v>69</v>
      </c>
      <c r="AW8975" s="1">
        <v>24298</v>
      </c>
      <c r="AX8975">
        <v>1</v>
      </c>
    </row>
    <row r="8976" spans="1:50">
      <c r="A8976">
        <v>594744</v>
      </c>
      <c r="B8976" t="str">
        <f>"109135909"</f>
        <v>109135909</v>
      </c>
      <c r="C8976" t="s">
        <v>50</v>
      </c>
      <c r="D8976" t="s">
        <v>3603</v>
      </c>
      <c r="E8976" t="s">
        <v>83</v>
      </c>
      <c r="F8976" t="s">
        <v>99</v>
      </c>
      <c r="G8976" t="s">
        <v>1065</v>
      </c>
      <c r="H8976" t="str">
        <f>" "</f>
        <v xml:space="preserve"> </v>
      </c>
      <c r="K8976">
        <v>6976494515</v>
      </c>
      <c r="N8976" t="s">
        <v>615</v>
      </c>
      <c r="O8976" t="s">
        <v>616</v>
      </c>
      <c r="R8976" t="s">
        <v>57</v>
      </c>
      <c r="S8976">
        <v>9</v>
      </c>
      <c r="T8976">
        <v>218</v>
      </c>
      <c r="U8976" s="1">
        <v>37134</v>
      </c>
      <c r="V8976" t="s">
        <v>66</v>
      </c>
      <c r="W8976" t="s">
        <v>67</v>
      </c>
      <c r="X8976" t="s">
        <v>58</v>
      </c>
      <c r="Y8976">
        <v>22</v>
      </c>
      <c r="Z8976" t="s">
        <v>59</v>
      </c>
      <c r="AA8976" t="s">
        <v>59</v>
      </c>
      <c r="AB8976" t="s">
        <v>59</v>
      </c>
      <c r="AC8976" t="s">
        <v>59</v>
      </c>
      <c r="AD8976" t="s">
        <v>59</v>
      </c>
      <c r="AF8976" s="1">
        <v>37140</v>
      </c>
      <c r="AG8976" t="s">
        <v>8645</v>
      </c>
      <c r="AH8976" t="s">
        <v>8646</v>
      </c>
      <c r="AI8976" t="str">
        <f>"9410003"</f>
        <v>9410003</v>
      </c>
      <c r="AJ8976" t="s">
        <v>12794</v>
      </c>
      <c r="AK8976">
        <v>2834031213</v>
      </c>
      <c r="AL8976" t="s">
        <v>12795</v>
      </c>
      <c r="AM8976" t="s">
        <v>64</v>
      </c>
      <c r="AN8976" t="s">
        <v>5737</v>
      </c>
      <c r="AO8976" t="s">
        <v>5737</v>
      </c>
      <c r="AP8976" t="s">
        <v>5737</v>
      </c>
      <c r="AQ8976">
        <v>9</v>
      </c>
      <c r="AR8976" t="s">
        <v>66</v>
      </c>
      <c r="AS8976" t="s">
        <v>67</v>
      </c>
      <c r="AT8976" t="s">
        <v>58</v>
      </c>
      <c r="AU8976" t="s">
        <v>68</v>
      </c>
      <c r="AV8976" t="s">
        <v>69</v>
      </c>
      <c r="AW8976" s="1">
        <v>25317</v>
      </c>
      <c r="AX8976">
        <v>1</v>
      </c>
    </row>
    <row r="8977" spans="1:50">
      <c r="A8977">
        <v>704251</v>
      </c>
      <c r="B8977" t="str">
        <f>"044204381"</f>
        <v>044204381</v>
      </c>
      <c r="C8977" t="s">
        <v>50</v>
      </c>
      <c r="D8977" t="s">
        <v>11297</v>
      </c>
      <c r="E8977" t="s">
        <v>83</v>
      </c>
      <c r="F8977" t="s">
        <v>315</v>
      </c>
      <c r="G8977" t="s">
        <v>155</v>
      </c>
      <c r="H8977" t="str">
        <f>"ΠΗΝΕΙΟΥ 20 ΑΓ ΔΗΜΗΤΡΙΟΣ"</f>
        <v>ΠΗΝΕΙΟΥ 20 ΑΓ ΔΗΜΗΤΡΙΟΣ</v>
      </c>
      <c r="I8977">
        <v>17342</v>
      </c>
      <c r="J8977">
        <v>2109955882</v>
      </c>
      <c r="K8977">
        <v>6974138842</v>
      </c>
      <c r="N8977" t="s">
        <v>306</v>
      </c>
      <c r="O8977" t="s">
        <v>307</v>
      </c>
      <c r="R8977" t="s">
        <v>121</v>
      </c>
      <c r="S8977">
        <v>5</v>
      </c>
      <c r="T8977">
        <v>796</v>
      </c>
      <c r="U8977" s="1">
        <v>42968</v>
      </c>
      <c r="V8977" t="s">
        <v>66</v>
      </c>
      <c r="W8977" t="s">
        <v>67</v>
      </c>
      <c r="X8977" t="s">
        <v>58</v>
      </c>
      <c r="Y8977">
        <v>24</v>
      </c>
      <c r="Z8977" t="s">
        <v>59</v>
      </c>
      <c r="AA8977" t="s">
        <v>59</v>
      </c>
      <c r="AB8977" t="s">
        <v>59</v>
      </c>
      <c r="AC8977" t="s">
        <v>59</v>
      </c>
      <c r="AD8977" t="s">
        <v>59</v>
      </c>
      <c r="AF8977" s="1">
        <v>42968</v>
      </c>
      <c r="AG8977" t="s">
        <v>8645</v>
      </c>
      <c r="AH8977" t="s">
        <v>8646</v>
      </c>
      <c r="AI8977" t="str">
        <f>"9410072"</f>
        <v>9410072</v>
      </c>
      <c r="AJ8977" t="s">
        <v>12692</v>
      </c>
      <c r="AK8977">
        <v>2831071264</v>
      </c>
      <c r="AL8977" t="s">
        <v>12693</v>
      </c>
      <c r="AM8977" t="s">
        <v>64</v>
      </c>
      <c r="AN8977" t="s">
        <v>65</v>
      </c>
      <c r="AO8977" t="s">
        <v>12694</v>
      </c>
      <c r="AP8977" t="s">
        <v>12695</v>
      </c>
      <c r="AQ8977">
        <v>3</v>
      </c>
      <c r="AR8977" t="s">
        <v>66</v>
      </c>
      <c r="AS8977" t="s">
        <v>67</v>
      </c>
      <c r="AT8977" t="s">
        <v>58</v>
      </c>
      <c r="AU8977" t="s">
        <v>68</v>
      </c>
      <c r="AV8977" t="s">
        <v>69</v>
      </c>
      <c r="AW8977" s="1">
        <v>25032</v>
      </c>
      <c r="AX8977">
        <v>1</v>
      </c>
    </row>
    <row r="8978" spans="1:50">
      <c r="A8978">
        <v>610981</v>
      </c>
      <c r="B8978" t="str">
        <f>"124664940"</f>
        <v>124664940</v>
      </c>
      <c r="C8978" t="s">
        <v>50</v>
      </c>
      <c r="D8978" t="s">
        <v>13613</v>
      </c>
      <c r="E8978" t="s">
        <v>529</v>
      </c>
      <c r="F8978" t="s">
        <v>106</v>
      </c>
      <c r="G8978" t="s">
        <v>506</v>
      </c>
      <c r="H8978" t="str">
        <f>"ΚΟΥΡΜΟΥΛΗ 32 ΡΕΘΥΜΝΟ"</f>
        <v>ΚΟΥΡΜΟΥΛΗ 32 ΡΕΘΥΜΝΟ</v>
      </c>
      <c r="I8978">
        <v>74100</v>
      </c>
      <c r="K8978">
        <v>6974779376</v>
      </c>
      <c r="M8978" t="s">
        <v>13614</v>
      </c>
      <c r="N8978" t="s">
        <v>615</v>
      </c>
      <c r="O8978" t="s">
        <v>616</v>
      </c>
      <c r="R8978" t="s">
        <v>57</v>
      </c>
      <c r="S8978">
        <v>7</v>
      </c>
      <c r="T8978">
        <v>233</v>
      </c>
      <c r="U8978" s="1">
        <v>38960</v>
      </c>
      <c r="V8978" t="s">
        <v>66</v>
      </c>
      <c r="W8978" t="s">
        <v>67</v>
      </c>
      <c r="X8978" t="s">
        <v>58</v>
      </c>
      <c r="Y8978">
        <v>24</v>
      </c>
      <c r="Z8978" t="s">
        <v>59</v>
      </c>
      <c r="AA8978" t="s">
        <v>59</v>
      </c>
      <c r="AB8978" t="s">
        <v>59</v>
      </c>
      <c r="AC8978" t="s">
        <v>59</v>
      </c>
      <c r="AD8978" t="s">
        <v>59</v>
      </c>
      <c r="AF8978" s="1">
        <v>38961</v>
      </c>
      <c r="AG8978" t="s">
        <v>8645</v>
      </c>
      <c r="AH8978" t="s">
        <v>8676</v>
      </c>
      <c r="AI8978" t="str">
        <f>"9410041"</f>
        <v>9410041</v>
      </c>
      <c r="AJ8978" t="s">
        <v>12801</v>
      </c>
      <c r="AK8978">
        <v>2834092258</v>
      </c>
      <c r="AL8978" t="s">
        <v>12802</v>
      </c>
      <c r="AM8978" t="s">
        <v>64</v>
      </c>
      <c r="AN8978" t="s">
        <v>5672</v>
      </c>
      <c r="AO8978" t="s">
        <v>5673</v>
      </c>
      <c r="AP8978" t="s">
        <v>12803</v>
      </c>
      <c r="AQ8978">
        <v>8</v>
      </c>
      <c r="AR8978" t="s">
        <v>66</v>
      </c>
      <c r="AS8978" t="s">
        <v>67</v>
      </c>
      <c r="AT8978" t="s">
        <v>58</v>
      </c>
      <c r="AU8978" t="s">
        <v>68</v>
      </c>
      <c r="AV8978" t="s">
        <v>69</v>
      </c>
      <c r="AW8978" s="1">
        <v>30360</v>
      </c>
      <c r="AX8978">
        <v>1</v>
      </c>
    </row>
    <row r="8979" spans="1:50">
      <c r="A8979">
        <v>620292</v>
      </c>
      <c r="B8979" t="str">
        <f>"065785111"</f>
        <v>065785111</v>
      </c>
      <c r="C8979" t="s">
        <v>50</v>
      </c>
      <c r="D8979" t="s">
        <v>13615</v>
      </c>
      <c r="E8979" t="s">
        <v>237</v>
      </c>
      <c r="F8979" t="s">
        <v>95</v>
      </c>
      <c r="G8979" t="s">
        <v>52</v>
      </c>
      <c r="H8979" t="str">
        <f>"ΤΡΑΝΤΑΛΛΙΔΟΥ 15 ΡΕΘΥΜΝΟ"</f>
        <v>ΤΡΑΝΤΑΛΛΙΔΟΥ 15 ΡΕΘΥΜΝΟ</v>
      </c>
      <c r="I8979">
        <v>74100</v>
      </c>
      <c r="J8979">
        <v>2831022545</v>
      </c>
      <c r="K8979">
        <v>6947594086</v>
      </c>
      <c r="L8979">
        <v>2821051395</v>
      </c>
      <c r="N8979" t="s">
        <v>337</v>
      </c>
      <c r="O8979" t="s">
        <v>338</v>
      </c>
      <c r="R8979" t="s">
        <v>57</v>
      </c>
      <c r="S8979">
        <v>5</v>
      </c>
      <c r="T8979">
        <v>652</v>
      </c>
      <c r="U8979" s="1">
        <v>40043</v>
      </c>
      <c r="V8979" t="s">
        <v>66</v>
      </c>
      <c r="W8979" t="s">
        <v>67</v>
      </c>
      <c r="X8979" t="s">
        <v>58</v>
      </c>
      <c r="Y8979">
        <v>23</v>
      </c>
      <c r="Z8979" t="s">
        <v>59</v>
      </c>
      <c r="AA8979" t="s">
        <v>59</v>
      </c>
      <c r="AB8979" t="s">
        <v>59</v>
      </c>
      <c r="AC8979" t="s">
        <v>59</v>
      </c>
      <c r="AD8979" t="s">
        <v>59</v>
      </c>
      <c r="AF8979" s="1">
        <v>40043</v>
      </c>
      <c r="AG8979" t="s">
        <v>8645</v>
      </c>
      <c r="AH8979" t="s">
        <v>8646</v>
      </c>
      <c r="AI8979" t="str">
        <f>"9410152"</f>
        <v>9410152</v>
      </c>
      <c r="AJ8979" t="s">
        <v>12686</v>
      </c>
      <c r="AK8979">
        <v>2831029088</v>
      </c>
      <c r="AL8979" t="s">
        <v>12687</v>
      </c>
      <c r="AM8979" t="s">
        <v>64</v>
      </c>
      <c r="AN8979" t="s">
        <v>65</v>
      </c>
      <c r="AO8979" t="s">
        <v>65</v>
      </c>
      <c r="AP8979" t="s">
        <v>65</v>
      </c>
      <c r="AQ8979">
        <v>1</v>
      </c>
      <c r="AR8979" t="s">
        <v>66</v>
      </c>
      <c r="AS8979" t="s">
        <v>67</v>
      </c>
      <c r="AT8979" t="s">
        <v>58</v>
      </c>
      <c r="AU8979" t="s">
        <v>68</v>
      </c>
      <c r="AV8979" t="s">
        <v>69</v>
      </c>
      <c r="AW8979" s="1">
        <v>29260</v>
      </c>
      <c r="AX8979">
        <v>1</v>
      </c>
    </row>
    <row r="8980" spans="1:50">
      <c r="B8980" t="str">
        <f>"143335731"</f>
        <v>143335731</v>
      </c>
      <c r="C8980" t="s">
        <v>105</v>
      </c>
      <c r="D8980" t="s">
        <v>13616</v>
      </c>
      <c r="E8980" t="s">
        <v>13617</v>
      </c>
      <c r="F8980" t="s">
        <v>13618</v>
      </c>
      <c r="G8980" t="s">
        <v>1252</v>
      </c>
      <c r="H8980" t="str">
        <f>" "</f>
        <v xml:space="preserve"> </v>
      </c>
      <c r="N8980" t="s">
        <v>615</v>
      </c>
      <c r="O8980" t="s">
        <v>616</v>
      </c>
      <c r="R8980" t="s">
        <v>159</v>
      </c>
      <c r="S8980">
        <v>1</v>
      </c>
      <c r="T8980" t="s">
        <v>8675</v>
      </c>
      <c r="U8980" s="1">
        <v>43348</v>
      </c>
      <c r="V8980" t="s">
        <v>66</v>
      </c>
      <c r="W8980" t="s">
        <v>67</v>
      </c>
      <c r="X8980" t="s">
        <v>58</v>
      </c>
      <c r="Y8980">
        <v>25</v>
      </c>
      <c r="Z8980" t="s">
        <v>59</v>
      </c>
      <c r="AA8980" t="s">
        <v>59</v>
      </c>
      <c r="AB8980" t="s">
        <v>59</v>
      </c>
      <c r="AC8980" t="s">
        <v>59</v>
      </c>
      <c r="AD8980" t="s">
        <v>59</v>
      </c>
      <c r="AF8980" s="1">
        <v>43348</v>
      </c>
      <c r="AG8980" t="s">
        <v>8645</v>
      </c>
      <c r="AH8980" t="s">
        <v>8676</v>
      </c>
      <c r="AI8980" t="str">
        <f>"9410020"</f>
        <v>9410020</v>
      </c>
      <c r="AJ8980" t="s">
        <v>13315</v>
      </c>
      <c r="AK8980">
        <v>2834041225</v>
      </c>
      <c r="AL8980" t="s">
        <v>13316</v>
      </c>
      <c r="AM8980" t="s">
        <v>64</v>
      </c>
      <c r="AN8980" t="s">
        <v>5672</v>
      </c>
      <c r="AO8980" t="s">
        <v>5698</v>
      </c>
      <c r="AP8980" t="s">
        <v>5788</v>
      </c>
      <c r="AQ8980">
        <v>11</v>
      </c>
      <c r="AR8980" t="s">
        <v>66</v>
      </c>
      <c r="AS8980" t="s">
        <v>67</v>
      </c>
      <c r="AT8980" t="s">
        <v>58</v>
      </c>
      <c r="AU8980" t="s">
        <v>8673</v>
      </c>
      <c r="AV8980" t="s">
        <v>132</v>
      </c>
      <c r="AW8980" s="1">
        <v>32599</v>
      </c>
      <c r="AX8980">
        <v>1</v>
      </c>
    </row>
    <row r="8981" spans="1:50">
      <c r="A8981">
        <v>579940</v>
      </c>
      <c r="B8981" t="str">
        <f>"041843530"</f>
        <v>041843530</v>
      </c>
      <c r="C8981" t="s">
        <v>50</v>
      </c>
      <c r="D8981" t="s">
        <v>3623</v>
      </c>
      <c r="E8981" t="s">
        <v>52</v>
      </c>
      <c r="F8981" t="s">
        <v>72</v>
      </c>
      <c r="G8981" t="s">
        <v>52</v>
      </c>
      <c r="H8981" t="str">
        <f>"ΤΡΙΑ ΜΟΝΑΣΤΗΡΙΑ ΡΕΘΥΜΝΟ"</f>
        <v>ΤΡΙΑ ΜΟΝΑΣΤΗΡΙΑ ΡΕΘΥΜΝΟ</v>
      </c>
      <c r="J8981">
        <v>2831026675</v>
      </c>
      <c r="K8981">
        <v>6946639974</v>
      </c>
      <c r="N8981" t="s">
        <v>1525</v>
      </c>
      <c r="O8981" t="s">
        <v>1526</v>
      </c>
      <c r="R8981" t="s">
        <v>57</v>
      </c>
      <c r="S8981">
        <v>11</v>
      </c>
      <c r="T8981">
        <v>165</v>
      </c>
      <c r="U8981" s="1">
        <v>35300</v>
      </c>
      <c r="V8981" t="s">
        <v>66</v>
      </c>
      <c r="W8981" t="s">
        <v>67</v>
      </c>
      <c r="X8981" t="s">
        <v>58</v>
      </c>
      <c r="Y8981">
        <v>25</v>
      </c>
      <c r="Z8981" t="s">
        <v>59</v>
      </c>
      <c r="AA8981" t="s">
        <v>59</v>
      </c>
      <c r="AB8981" t="s">
        <v>59</v>
      </c>
      <c r="AC8981" t="s">
        <v>59</v>
      </c>
      <c r="AD8981" t="s">
        <v>59</v>
      </c>
      <c r="AF8981" s="1">
        <v>35310</v>
      </c>
      <c r="AG8981" t="s">
        <v>8651</v>
      </c>
      <c r="AH8981" t="s">
        <v>8652</v>
      </c>
      <c r="AI8981" t="str">
        <f>"9410218"</f>
        <v>9410218</v>
      </c>
      <c r="AJ8981" t="s">
        <v>12739</v>
      </c>
      <c r="AK8981">
        <v>2831041209</v>
      </c>
      <c r="AL8981" t="s">
        <v>12740</v>
      </c>
      <c r="AM8981" t="s">
        <v>64</v>
      </c>
      <c r="AN8981" t="s">
        <v>65</v>
      </c>
      <c r="AO8981" t="s">
        <v>65</v>
      </c>
      <c r="AP8981" t="s">
        <v>11883</v>
      </c>
      <c r="AQ8981">
        <v>2</v>
      </c>
      <c r="AR8981" t="s">
        <v>66</v>
      </c>
      <c r="AS8981" t="s">
        <v>67</v>
      </c>
      <c r="AT8981" t="s">
        <v>58</v>
      </c>
      <c r="AU8981" t="s">
        <v>68</v>
      </c>
      <c r="AV8981" t="s">
        <v>69</v>
      </c>
      <c r="AW8981" s="1">
        <v>20520</v>
      </c>
      <c r="AX8981">
        <v>1</v>
      </c>
    </row>
    <row r="8982" spans="1:50">
      <c r="A8982">
        <v>608797</v>
      </c>
      <c r="B8982" t="str">
        <f>"073799871"</f>
        <v>073799871</v>
      </c>
      <c r="C8982" t="s">
        <v>50</v>
      </c>
      <c r="D8982" t="s">
        <v>3623</v>
      </c>
      <c r="E8982" t="s">
        <v>181</v>
      </c>
      <c r="F8982" t="s">
        <v>383</v>
      </c>
      <c r="G8982" t="s">
        <v>3083</v>
      </c>
      <c r="H8982" t="str">
        <f>"ΑΜΠΕΛΑΚΙΩΝ 23 ΡΕΘΥΜΝΟ"</f>
        <v>ΑΜΠΕΛΑΚΙΩΝ 23 ΡΕΘΥΜΝΟ</v>
      </c>
      <c r="I8982">
        <v>74100</v>
      </c>
      <c r="J8982">
        <v>2831035192</v>
      </c>
      <c r="K8982">
        <v>6977667713</v>
      </c>
      <c r="N8982" t="s">
        <v>1525</v>
      </c>
      <c r="O8982" t="s">
        <v>1526</v>
      </c>
      <c r="R8982" t="s">
        <v>57</v>
      </c>
      <c r="S8982">
        <v>10</v>
      </c>
      <c r="T8982" t="s">
        <v>10441</v>
      </c>
      <c r="U8982" s="1">
        <v>38596</v>
      </c>
      <c r="V8982" t="s">
        <v>66</v>
      </c>
      <c r="W8982" t="s">
        <v>67</v>
      </c>
      <c r="X8982" t="s">
        <v>58</v>
      </c>
      <c r="Y8982">
        <v>25</v>
      </c>
      <c r="Z8982" t="s">
        <v>59</v>
      </c>
      <c r="AA8982" t="s">
        <v>59</v>
      </c>
      <c r="AB8982" t="s">
        <v>59</v>
      </c>
      <c r="AC8982" t="s">
        <v>59</v>
      </c>
      <c r="AD8982" t="s">
        <v>59</v>
      </c>
      <c r="AF8982" s="1">
        <v>38601</v>
      </c>
      <c r="AG8982" t="s">
        <v>8651</v>
      </c>
      <c r="AH8982" t="s">
        <v>8652</v>
      </c>
      <c r="AI8982" t="str">
        <f>"9410210"</f>
        <v>9410210</v>
      </c>
      <c r="AJ8982" t="s">
        <v>13047</v>
      </c>
      <c r="AK8982">
        <v>2831027655</v>
      </c>
      <c r="AL8982" t="s">
        <v>13048</v>
      </c>
      <c r="AM8982" t="s">
        <v>64</v>
      </c>
      <c r="AN8982" t="s">
        <v>65</v>
      </c>
      <c r="AO8982" t="s">
        <v>65</v>
      </c>
      <c r="AP8982" t="s">
        <v>65</v>
      </c>
      <c r="AQ8982">
        <v>1</v>
      </c>
      <c r="AR8982" t="s">
        <v>66</v>
      </c>
      <c r="AS8982" t="s">
        <v>67</v>
      </c>
      <c r="AT8982" t="s">
        <v>58</v>
      </c>
      <c r="AU8982" t="s">
        <v>68</v>
      </c>
      <c r="AV8982" t="s">
        <v>69</v>
      </c>
      <c r="AW8982" s="1">
        <v>26320</v>
      </c>
      <c r="AX8982">
        <v>1</v>
      </c>
    </row>
    <row r="8983" spans="1:50">
      <c r="B8983" t="str">
        <f>"126917942"</f>
        <v>126917942</v>
      </c>
      <c r="C8983" t="s">
        <v>50</v>
      </c>
      <c r="D8983" t="s">
        <v>13619</v>
      </c>
      <c r="E8983" t="s">
        <v>2314</v>
      </c>
      <c r="F8983" t="s">
        <v>106</v>
      </c>
      <c r="G8983" t="s">
        <v>484</v>
      </c>
      <c r="H8983" t="str">
        <f>" "</f>
        <v xml:space="preserve"> </v>
      </c>
      <c r="K8983">
        <v>6974069067</v>
      </c>
      <c r="N8983" t="s">
        <v>683</v>
      </c>
      <c r="O8983" t="s">
        <v>684</v>
      </c>
      <c r="R8983" t="s">
        <v>121</v>
      </c>
      <c r="S8983">
        <v>1</v>
      </c>
      <c r="T8983" t="s">
        <v>8675</v>
      </c>
      <c r="U8983" s="1">
        <v>43348</v>
      </c>
      <c r="V8983" t="s">
        <v>66</v>
      </c>
      <c r="W8983" t="s">
        <v>67</v>
      </c>
      <c r="X8983" t="s">
        <v>58</v>
      </c>
      <c r="Y8983">
        <v>24</v>
      </c>
      <c r="Z8983" t="s">
        <v>59</v>
      </c>
      <c r="AA8983" t="s">
        <v>59</v>
      </c>
      <c r="AB8983" t="s">
        <v>59</v>
      </c>
      <c r="AC8983" t="s">
        <v>59</v>
      </c>
      <c r="AD8983" t="s">
        <v>59</v>
      </c>
      <c r="AF8983" s="1">
        <v>43348</v>
      </c>
      <c r="AG8983" t="s">
        <v>8645</v>
      </c>
      <c r="AH8983" t="s">
        <v>8646</v>
      </c>
      <c r="AI8983" t="str">
        <f>"9410072"</f>
        <v>9410072</v>
      </c>
      <c r="AJ8983" t="s">
        <v>12692</v>
      </c>
      <c r="AK8983">
        <v>2831071264</v>
      </c>
      <c r="AL8983" t="s">
        <v>12693</v>
      </c>
      <c r="AM8983" t="s">
        <v>64</v>
      </c>
      <c r="AN8983" t="s">
        <v>65</v>
      </c>
      <c r="AO8983" t="s">
        <v>12694</v>
      </c>
      <c r="AP8983" t="s">
        <v>12695</v>
      </c>
      <c r="AQ8983">
        <v>3</v>
      </c>
      <c r="AR8983" t="s">
        <v>66</v>
      </c>
      <c r="AS8983" t="s">
        <v>67</v>
      </c>
      <c r="AT8983" t="s">
        <v>58</v>
      </c>
      <c r="AU8983" t="s">
        <v>8673</v>
      </c>
      <c r="AV8983" t="s">
        <v>132</v>
      </c>
      <c r="AW8983" s="1">
        <v>31008</v>
      </c>
      <c r="AX8983">
        <v>1</v>
      </c>
    </row>
    <row r="8984" spans="1:50">
      <c r="A8984">
        <v>581429</v>
      </c>
      <c r="B8984" t="str">
        <f>"038147377"</f>
        <v>038147377</v>
      </c>
      <c r="C8984" t="s">
        <v>105</v>
      </c>
      <c r="D8984" t="s">
        <v>13620</v>
      </c>
      <c r="E8984" t="s">
        <v>99</v>
      </c>
      <c r="F8984" t="s">
        <v>1316</v>
      </c>
      <c r="G8984" t="s">
        <v>1361</v>
      </c>
      <c r="H8984" t="str">
        <f>"ΠΡΙΝΕΣ ΡΕΘΥΜΝΟΥ, ΤΘ 3740 ΠΡΙΝΕΣ ΡΕΘΥΜΝΟΥ"</f>
        <v>ΠΡΙΝΕΣ ΡΕΘΥΜΝΟΥ, ΤΘ 3740 ΠΡΙΝΕΣ ΡΕΘΥΜΝΟΥ</v>
      </c>
      <c r="J8984">
        <v>2831026696</v>
      </c>
      <c r="K8984">
        <v>6981995414</v>
      </c>
      <c r="M8984" t="s">
        <v>13621</v>
      </c>
      <c r="N8984" t="s">
        <v>615</v>
      </c>
      <c r="O8984" t="s">
        <v>616</v>
      </c>
      <c r="R8984" t="s">
        <v>57</v>
      </c>
      <c r="S8984">
        <v>15</v>
      </c>
      <c r="T8984">
        <v>179</v>
      </c>
      <c r="U8984" s="1">
        <v>35674</v>
      </c>
      <c r="V8984" t="s">
        <v>66</v>
      </c>
      <c r="W8984" t="s">
        <v>67</v>
      </c>
      <c r="X8984" t="s">
        <v>58</v>
      </c>
      <c r="Y8984">
        <v>21</v>
      </c>
      <c r="Z8984" t="s">
        <v>59</v>
      </c>
      <c r="AA8984" t="s">
        <v>59</v>
      </c>
      <c r="AB8984" t="s">
        <v>59</v>
      </c>
      <c r="AC8984" t="s">
        <v>59</v>
      </c>
      <c r="AD8984" t="s">
        <v>59</v>
      </c>
      <c r="AF8984" s="1">
        <v>35674</v>
      </c>
      <c r="AG8984" t="s">
        <v>8645</v>
      </c>
      <c r="AH8984" t="s">
        <v>8646</v>
      </c>
      <c r="AI8984" t="str">
        <f>"9410257"</f>
        <v>9410257</v>
      </c>
      <c r="AJ8984" t="s">
        <v>12828</v>
      </c>
      <c r="AK8984">
        <v>2831056242</v>
      </c>
      <c r="AL8984" t="s">
        <v>12829</v>
      </c>
      <c r="AM8984" t="s">
        <v>64</v>
      </c>
      <c r="AN8984" t="s">
        <v>65</v>
      </c>
      <c r="AO8984" t="s">
        <v>65</v>
      </c>
      <c r="AP8984" t="s">
        <v>65</v>
      </c>
      <c r="AQ8984">
        <v>1</v>
      </c>
      <c r="AR8984" t="s">
        <v>66</v>
      </c>
      <c r="AS8984" t="s">
        <v>67</v>
      </c>
      <c r="AT8984" t="s">
        <v>58</v>
      </c>
      <c r="AU8984" t="s">
        <v>68</v>
      </c>
      <c r="AV8984" t="s">
        <v>69</v>
      </c>
      <c r="AW8984" s="1">
        <v>24691</v>
      </c>
      <c r="AX8984">
        <v>1</v>
      </c>
    </row>
    <row r="8985" spans="1:50">
      <c r="B8985" t="str">
        <f>"143783195"</f>
        <v>143783195</v>
      </c>
      <c r="C8985" t="s">
        <v>50</v>
      </c>
      <c r="D8985" t="s">
        <v>13622</v>
      </c>
      <c r="E8985" t="s">
        <v>54</v>
      </c>
      <c r="F8985" t="s">
        <v>383</v>
      </c>
      <c r="G8985" t="s">
        <v>174</v>
      </c>
      <c r="H8985" t="str">
        <f>"ΑΛ. ΠΑΠΑΝΑΣΤΑΣΙΟΥ 55 "</f>
        <v xml:space="preserve">ΑΛ. ΠΑΠΑΝΑΣΤΑΣΙΟΥ 55 </v>
      </c>
      <c r="I8985">
        <v>54453</v>
      </c>
      <c r="J8985">
        <v>2310935871</v>
      </c>
      <c r="K8985">
        <v>6948323827</v>
      </c>
      <c r="N8985" t="s">
        <v>615</v>
      </c>
      <c r="O8985" t="s">
        <v>616</v>
      </c>
      <c r="R8985" t="s">
        <v>159</v>
      </c>
      <c r="S8985">
        <v>4</v>
      </c>
      <c r="T8985" t="s">
        <v>8675</v>
      </c>
      <c r="U8985" s="1">
        <v>43348</v>
      </c>
      <c r="V8985" t="s">
        <v>66</v>
      </c>
      <c r="W8985" t="s">
        <v>67</v>
      </c>
      <c r="X8985" t="s">
        <v>58</v>
      </c>
      <c r="Y8985">
        <v>24</v>
      </c>
      <c r="Z8985" t="s">
        <v>59</v>
      </c>
      <c r="AA8985" t="s">
        <v>59</v>
      </c>
      <c r="AB8985" t="s">
        <v>59</v>
      </c>
      <c r="AC8985" t="s">
        <v>59</v>
      </c>
      <c r="AD8985" t="s">
        <v>59</v>
      </c>
      <c r="AF8985" s="1">
        <v>43348</v>
      </c>
      <c r="AG8985" t="s">
        <v>8645</v>
      </c>
      <c r="AH8985" t="s">
        <v>8646</v>
      </c>
      <c r="AI8985" t="str">
        <f>"9410003"</f>
        <v>9410003</v>
      </c>
      <c r="AJ8985" t="s">
        <v>12794</v>
      </c>
      <c r="AK8985">
        <v>2834031213</v>
      </c>
      <c r="AL8985" t="s">
        <v>12795</v>
      </c>
      <c r="AM8985" t="s">
        <v>64</v>
      </c>
      <c r="AN8985" t="s">
        <v>5737</v>
      </c>
      <c r="AO8985" t="s">
        <v>5737</v>
      </c>
      <c r="AP8985" t="s">
        <v>5737</v>
      </c>
      <c r="AQ8985">
        <v>9</v>
      </c>
      <c r="AR8985" t="s">
        <v>66</v>
      </c>
      <c r="AS8985" t="s">
        <v>67</v>
      </c>
      <c r="AT8985" t="s">
        <v>58</v>
      </c>
      <c r="AU8985" t="s">
        <v>8673</v>
      </c>
      <c r="AV8985" t="s">
        <v>132</v>
      </c>
      <c r="AW8985" s="1">
        <v>32563</v>
      </c>
      <c r="AX8985">
        <v>1</v>
      </c>
    </row>
    <row r="8986" spans="1:50">
      <c r="A8986">
        <v>607775</v>
      </c>
      <c r="B8986" t="str">
        <f>"115218455"</f>
        <v>115218455</v>
      </c>
      <c r="C8986" t="s">
        <v>50</v>
      </c>
      <c r="D8986" t="s">
        <v>3634</v>
      </c>
      <c r="E8986" t="s">
        <v>513</v>
      </c>
      <c r="F8986" t="s">
        <v>53</v>
      </c>
      <c r="G8986" t="s">
        <v>3907</v>
      </c>
      <c r="H8986" t="str">
        <f>"ΣΒΑΙΤΣΕΡ  7 ΡΕΘΥΜΝΟ"</f>
        <v>ΣΒΑΙΤΣΕΡ  7 ΡΕΘΥΜΝΟ</v>
      </c>
      <c r="I8986">
        <v>74100</v>
      </c>
      <c r="J8986">
        <v>2831052790</v>
      </c>
      <c r="K8986">
        <v>6974076905</v>
      </c>
      <c r="L8986">
        <v>2831052790</v>
      </c>
      <c r="N8986" t="s">
        <v>615</v>
      </c>
      <c r="O8986" t="s">
        <v>616</v>
      </c>
      <c r="R8986" t="s">
        <v>57</v>
      </c>
      <c r="S8986">
        <v>8</v>
      </c>
      <c r="T8986">
        <v>217</v>
      </c>
      <c r="U8986" s="1">
        <v>38596</v>
      </c>
      <c r="V8986" t="s">
        <v>66</v>
      </c>
      <c r="W8986" t="s">
        <v>67</v>
      </c>
      <c r="X8986" t="s">
        <v>58</v>
      </c>
      <c r="Y8986">
        <v>22</v>
      </c>
      <c r="Z8986" t="s">
        <v>59</v>
      </c>
      <c r="AA8986" t="s">
        <v>59</v>
      </c>
      <c r="AB8986" t="s">
        <v>59</v>
      </c>
      <c r="AC8986" t="s">
        <v>59</v>
      </c>
      <c r="AD8986" t="s">
        <v>59</v>
      </c>
      <c r="AF8986" s="1">
        <v>38600</v>
      </c>
      <c r="AG8986" t="s">
        <v>8645</v>
      </c>
      <c r="AH8986" t="s">
        <v>8646</v>
      </c>
      <c r="AI8986" t="str">
        <f>"9410069"</f>
        <v>9410069</v>
      </c>
      <c r="AJ8986" t="s">
        <v>12674</v>
      </c>
      <c r="AK8986">
        <v>2831029296</v>
      </c>
      <c r="AL8986" t="s">
        <v>12675</v>
      </c>
      <c r="AM8986" t="s">
        <v>64</v>
      </c>
      <c r="AN8986" t="s">
        <v>65</v>
      </c>
      <c r="AO8986" t="s">
        <v>65</v>
      </c>
      <c r="AP8986" t="s">
        <v>65</v>
      </c>
      <c r="AQ8986">
        <v>1</v>
      </c>
      <c r="AR8986" t="s">
        <v>66</v>
      </c>
      <c r="AS8986" t="s">
        <v>67</v>
      </c>
      <c r="AT8986" t="s">
        <v>58</v>
      </c>
      <c r="AU8986" t="s">
        <v>68</v>
      </c>
      <c r="AV8986" t="s">
        <v>69</v>
      </c>
      <c r="AW8986" s="1">
        <v>28491</v>
      </c>
      <c r="AX8986">
        <v>1</v>
      </c>
    </row>
    <row r="8987" spans="1:50">
      <c r="A8987">
        <v>575758</v>
      </c>
      <c r="B8987" t="str">
        <f>"113645039"</f>
        <v>113645039</v>
      </c>
      <c r="C8987" t="s">
        <v>50</v>
      </c>
      <c r="D8987" t="s">
        <v>13623</v>
      </c>
      <c r="E8987" t="s">
        <v>755</v>
      </c>
      <c r="F8987" t="s">
        <v>95</v>
      </c>
      <c r="G8987" t="s">
        <v>155</v>
      </c>
      <c r="H8987" t="str">
        <f>" "</f>
        <v xml:space="preserve"> </v>
      </c>
      <c r="N8987" t="s">
        <v>615</v>
      </c>
      <c r="O8987" t="s">
        <v>616</v>
      </c>
      <c r="R8987" t="s">
        <v>57</v>
      </c>
      <c r="S8987">
        <v>11</v>
      </c>
      <c r="T8987">
        <v>184</v>
      </c>
      <c r="U8987" s="1">
        <v>34941</v>
      </c>
      <c r="V8987" t="s">
        <v>66</v>
      </c>
      <c r="W8987" t="s">
        <v>67</v>
      </c>
      <c r="X8987" t="s">
        <v>58</v>
      </c>
      <c r="Y8987">
        <v>21</v>
      </c>
      <c r="Z8987" t="s">
        <v>59</v>
      </c>
      <c r="AA8987" t="s">
        <v>59</v>
      </c>
      <c r="AB8987" t="s">
        <v>59</v>
      </c>
      <c r="AC8987" t="s">
        <v>59</v>
      </c>
      <c r="AD8987" t="s">
        <v>59</v>
      </c>
      <c r="AF8987" s="1">
        <v>34949</v>
      </c>
      <c r="AG8987" t="s">
        <v>8645</v>
      </c>
      <c r="AH8987" t="s">
        <v>8646</v>
      </c>
      <c r="AI8987" t="str">
        <f>"9410067"</f>
        <v>9410067</v>
      </c>
      <c r="AJ8987" t="s">
        <v>12736</v>
      </c>
      <c r="AK8987">
        <v>2831022836</v>
      </c>
      <c r="AL8987" t="s">
        <v>12737</v>
      </c>
      <c r="AM8987" t="s">
        <v>64</v>
      </c>
      <c r="AN8987" t="s">
        <v>65</v>
      </c>
      <c r="AO8987" t="s">
        <v>65</v>
      </c>
      <c r="AP8987" t="s">
        <v>65</v>
      </c>
      <c r="AQ8987">
        <v>1</v>
      </c>
      <c r="AR8987" t="s">
        <v>66</v>
      </c>
      <c r="AS8987" t="s">
        <v>67</v>
      </c>
      <c r="AT8987" t="s">
        <v>58</v>
      </c>
      <c r="AU8987" t="s">
        <v>68</v>
      </c>
      <c r="AV8987" t="s">
        <v>69</v>
      </c>
      <c r="AW8987" s="1">
        <v>24353</v>
      </c>
      <c r="AX8987">
        <v>1</v>
      </c>
    </row>
    <row r="8988" spans="1:50">
      <c r="A8988">
        <v>599872</v>
      </c>
      <c r="B8988" t="str">
        <f>"068143457"</f>
        <v>068143457</v>
      </c>
      <c r="C8988" t="s">
        <v>50</v>
      </c>
      <c r="D8988" t="s">
        <v>11328</v>
      </c>
      <c r="E8988" t="s">
        <v>742</v>
      </c>
      <c r="F8988" t="s">
        <v>53</v>
      </c>
      <c r="G8988" t="s">
        <v>3875</v>
      </c>
      <c r="H8988" t="str">
        <f>"ΤΥΜΠΑΚΙ ΗΡΑΚΛΕΙΟΥ ΗΡΑΚΛΕΙΟ"</f>
        <v>ΤΥΜΠΑΚΙ ΗΡΑΚΛΕΙΟΥ ΗΡΑΚΛΕΙΟ</v>
      </c>
      <c r="I8988">
        <v>70200</v>
      </c>
      <c r="J8988">
        <v>2892051734</v>
      </c>
      <c r="K8988">
        <v>6936994603</v>
      </c>
      <c r="L8988">
        <v>2831021530</v>
      </c>
      <c r="N8988" t="s">
        <v>615</v>
      </c>
      <c r="O8988" t="s">
        <v>616</v>
      </c>
      <c r="R8988" t="s">
        <v>57</v>
      </c>
      <c r="S8988">
        <v>9</v>
      </c>
      <c r="T8988">
        <v>195</v>
      </c>
      <c r="U8988" s="1">
        <v>37497</v>
      </c>
      <c r="V8988" t="s">
        <v>66</v>
      </c>
      <c r="W8988" t="s">
        <v>67</v>
      </c>
      <c r="X8988" t="s">
        <v>58</v>
      </c>
      <c r="Y8988">
        <v>22</v>
      </c>
      <c r="Z8988" t="s">
        <v>59</v>
      </c>
      <c r="AA8988" t="s">
        <v>59</v>
      </c>
      <c r="AB8988" t="s">
        <v>59</v>
      </c>
      <c r="AC8988" t="s">
        <v>59</v>
      </c>
      <c r="AD8988" t="s">
        <v>59</v>
      </c>
      <c r="AF8988" s="1">
        <v>37501</v>
      </c>
      <c r="AG8988" t="s">
        <v>8645</v>
      </c>
      <c r="AH8988" t="s">
        <v>8646</v>
      </c>
      <c r="AI8988" t="str">
        <f>"9410212"</f>
        <v>9410212</v>
      </c>
      <c r="AJ8988" t="s">
        <v>12747</v>
      </c>
      <c r="AK8988">
        <v>2831022132</v>
      </c>
      <c r="AL8988" t="s">
        <v>12748</v>
      </c>
      <c r="AM8988" t="s">
        <v>64</v>
      </c>
      <c r="AN8988" t="s">
        <v>65</v>
      </c>
      <c r="AO8988" t="s">
        <v>65</v>
      </c>
      <c r="AP8988" t="s">
        <v>65</v>
      </c>
      <c r="AQ8988">
        <v>1</v>
      </c>
      <c r="AR8988" t="s">
        <v>66</v>
      </c>
      <c r="AS8988" t="s">
        <v>67</v>
      </c>
      <c r="AT8988" t="s">
        <v>58</v>
      </c>
      <c r="AU8988" t="s">
        <v>68</v>
      </c>
      <c r="AV8988" t="s">
        <v>69</v>
      </c>
      <c r="AW8988" s="1">
        <v>24507</v>
      </c>
      <c r="AX8988">
        <v>1</v>
      </c>
    </row>
    <row r="8989" spans="1:50">
      <c r="B8989" t="str">
        <f>"124460419"</f>
        <v>124460419</v>
      </c>
      <c r="C8989" t="s">
        <v>50</v>
      </c>
      <c r="D8989" t="s">
        <v>3647</v>
      </c>
      <c r="E8989" t="s">
        <v>3467</v>
      </c>
      <c r="F8989" t="s">
        <v>2847</v>
      </c>
      <c r="G8989" t="s">
        <v>314</v>
      </c>
      <c r="H8989" t="str">
        <f>"ΚΑΛΒΟΥ 18  ΡΕΘΥΜΝΟ"</f>
        <v>ΚΑΛΒΟΥ 18  ΡΕΘΥΜΝΟ</v>
      </c>
      <c r="I8989">
        <v>54635</v>
      </c>
      <c r="J8989">
        <v>2831025906</v>
      </c>
      <c r="K8989">
        <v>6974252421</v>
      </c>
      <c r="N8989" t="s">
        <v>683</v>
      </c>
      <c r="O8989" t="s">
        <v>684</v>
      </c>
      <c r="R8989" t="s">
        <v>159</v>
      </c>
      <c r="S8989">
        <v>3</v>
      </c>
      <c r="T8989" t="s">
        <v>8675</v>
      </c>
      <c r="U8989" s="1">
        <v>43348</v>
      </c>
      <c r="V8989" t="s">
        <v>66</v>
      </c>
      <c r="W8989" t="s">
        <v>67</v>
      </c>
      <c r="X8989" t="s">
        <v>58</v>
      </c>
      <c r="Y8989">
        <v>24</v>
      </c>
      <c r="Z8989" t="s">
        <v>59</v>
      </c>
      <c r="AA8989" t="s">
        <v>59</v>
      </c>
      <c r="AB8989" t="s">
        <v>59</v>
      </c>
      <c r="AC8989" t="s">
        <v>59</v>
      </c>
      <c r="AD8989" t="s">
        <v>59</v>
      </c>
      <c r="AF8989" s="1">
        <v>43348</v>
      </c>
      <c r="AG8989" t="s">
        <v>8645</v>
      </c>
      <c r="AH8989" t="s">
        <v>8646</v>
      </c>
      <c r="AI8989" t="str">
        <f>"9410044"</f>
        <v>9410044</v>
      </c>
      <c r="AJ8989" t="s">
        <v>13257</v>
      </c>
      <c r="AK8989">
        <v>2834094218</v>
      </c>
      <c r="AL8989" t="s">
        <v>13258</v>
      </c>
      <c r="AM8989" t="s">
        <v>64</v>
      </c>
      <c r="AN8989" t="s">
        <v>5672</v>
      </c>
      <c r="AO8989" t="s">
        <v>5673</v>
      </c>
      <c r="AP8989" t="s">
        <v>13259</v>
      </c>
      <c r="AQ8989">
        <v>10</v>
      </c>
      <c r="AR8989" t="s">
        <v>66</v>
      </c>
      <c r="AS8989" t="s">
        <v>67</v>
      </c>
      <c r="AT8989" t="s">
        <v>58</v>
      </c>
      <c r="AU8989" t="s">
        <v>8673</v>
      </c>
      <c r="AV8989" t="s">
        <v>132</v>
      </c>
      <c r="AW8989" s="1">
        <v>30003</v>
      </c>
      <c r="AX8989">
        <v>1</v>
      </c>
    </row>
    <row r="8990" spans="1:50">
      <c r="A8990">
        <v>599883</v>
      </c>
      <c r="B8990" t="str">
        <f>"055670441"</f>
        <v>055670441</v>
      </c>
      <c r="C8990" t="s">
        <v>105</v>
      </c>
      <c r="D8990" t="s">
        <v>13624</v>
      </c>
      <c r="E8990" t="s">
        <v>154</v>
      </c>
      <c r="F8990" t="s">
        <v>72</v>
      </c>
      <c r="G8990" t="s">
        <v>507</v>
      </c>
      <c r="H8990" t="str">
        <f>"ΑΤΣΙΠΟΠΟΥΛΟ ΑΤΣΙΠΟΠΟΥΛΟ"</f>
        <v>ΑΤΣΙΠΟΠΟΥΛΟ ΑΤΣΙΠΟΠΟΥΛΟ</v>
      </c>
      <c r="J8990">
        <v>2831032541</v>
      </c>
      <c r="K8990">
        <v>6944925216</v>
      </c>
      <c r="N8990" t="s">
        <v>615</v>
      </c>
      <c r="O8990" t="s">
        <v>616</v>
      </c>
      <c r="R8990" t="s">
        <v>57</v>
      </c>
      <c r="S8990">
        <v>9</v>
      </c>
      <c r="T8990">
        <v>195</v>
      </c>
      <c r="U8990" s="1">
        <v>37497</v>
      </c>
      <c r="V8990" t="s">
        <v>66</v>
      </c>
      <c r="W8990" t="s">
        <v>67</v>
      </c>
      <c r="X8990" t="s">
        <v>58</v>
      </c>
      <c r="Y8990">
        <v>22</v>
      </c>
      <c r="Z8990" t="s">
        <v>59</v>
      </c>
      <c r="AA8990" t="s">
        <v>59</v>
      </c>
      <c r="AB8990" t="s">
        <v>59</v>
      </c>
      <c r="AC8990" t="s">
        <v>59</v>
      </c>
      <c r="AD8990" t="s">
        <v>59</v>
      </c>
      <c r="AF8990" s="1">
        <v>37501</v>
      </c>
      <c r="AG8990" t="s">
        <v>8645</v>
      </c>
      <c r="AH8990" t="s">
        <v>8646</v>
      </c>
      <c r="AI8990" t="str">
        <f>"9410212"</f>
        <v>9410212</v>
      </c>
      <c r="AJ8990" t="s">
        <v>12747</v>
      </c>
      <c r="AK8990">
        <v>2831022132</v>
      </c>
      <c r="AL8990" t="s">
        <v>12748</v>
      </c>
      <c r="AM8990" t="s">
        <v>64</v>
      </c>
      <c r="AN8990" t="s">
        <v>65</v>
      </c>
      <c r="AO8990" t="s">
        <v>65</v>
      </c>
      <c r="AP8990" t="s">
        <v>65</v>
      </c>
      <c r="AQ8990">
        <v>1</v>
      </c>
      <c r="AR8990" t="s">
        <v>66</v>
      </c>
      <c r="AS8990" t="s">
        <v>67</v>
      </c>
      <c r="AT8990" t="s">
        <v>58</v>
      </c>
      <c r="AU8990" t="s">
        <v>68</v>
      </c>
      <c r="AV8990" t="s">
        <v>69</v>
      </c>
      <c r="AW8990" s="1">
        <v>24865</v>
      </c>
      <c r="AX8990">
        <v>1</v>
      </c>
    </row>
    <row r="8991" spans="1:50">
      <c r="A8991">
        <v>608257</v>
      </c>
      <c r="B8991" t="str">
        <f>"100641642"</f>
        <v>100641642</v>
      </c>
      <c r="C8991" t="s">
        <v>50</v>
      </c>
      <c r="D8991" t="s">
        <v>3656</v>
      </c>
      <c r="E8991" t="s">
        <v>181</v>
      </c>
      <c r="F8991" t="s">
        <v>72</v>
      </c>
      <c r="G8991" t="s">
        <v>4196</v>
      </c>
      <c r="H8991" t="str">
        <f>"ΚΩΝΣΤΑΝΤΙΝΟΥΠΟΛΕΩΣ 39 ΡΕΘΥΜΝΟΥ"</f>
        <v>ΚΩΝΣΤΑΝΤΙΝΟΥΠΟΛΕΩΣ 39 ΡΕΘΥΜΝΟΥ</v>
      </c>
      <c r="I8991">
        <v>74100</v>
      </c>
      <c r="J8991">
        <v>2831055059</v>
      </c>
      <c r="K8991">
        <v>6974753960</v>
      </c>
      <c r="N8991" t="s">
        <v>1525</v>
      </c>
      <c r="O8991" t="s">
        <v>1526</v>
      </c>
      <c r="R8991" t="s">
        <v>57</v>
      </c>
      <c r="S8991">
        <v>8</v>
      </c>
      <c r="T8991">
        <v>217</v>
      </c>
      <c r="U8991" s="1">
        <v>38596</v>
      </c>
      <c r="V8991" t="s">
        <v>66</v>
      </c>
      <c r="W8991" t="s">
        <v>67</v>
      </c>
      <c r="X8991" t="s">
        <v>58</v>
      </c>
      <c r="Y8991">
        <v>25</v>
      </c>
      <c r="Z8991" t="s">
        <v>59</v>
      </c>
      <c r="AA8991" t="s">
        <v>59</v>
      </c>
      <c r="AB8991" t="s">
        <v>59</v>
      </c>
      <c r="AC8991" t="s">
        <v>59</v>
      </c>
      <c r="AD8991" t="s">
        <v>59</v>
      </c>
      <c r="AF8991" s="1">
        <v>38600</v>
      </c>
      <c r="AG8991" t="s">
        <v>8651</v>
      </c>
      <c r="AH8991" t="s">
        <v>8652</v>
      </c>
      <c r="AI8991" t="str">
        <f>"9520732"</f>
        <v>9520732</v>
      </c>
      <c r="AJ8991" t="s">
        <v>12882</v>
      </c>
      <c r="AK8991">
        <v>2831075361</v>
      </c>
      <c r="AL8991" t="s">
        <v>12883</v>
      </c>
      <c r="AM8991" t="s">
        <v>64</v>
      </c>
      <c r="AN8991" t="s">
        <v>65</v>
      </c>
      <c r="AO8991" t="s">
        <v>65</v>
      </c>
      <c r="AP8991" t="s">
        <v>12884</v>
      </c>
      <c r="AQ8991">
        <v>3</v>
      </c>
      <c r="AR8991" t="s">
        <v>66</v>
      </c>
      <c r="AS8991" t="s">
        <v>67</v>
      </c>
      <c r="AT8991" t="s">
        <v>58</v>
      </c>
      <c r="AU8991" t="s">
        <v>68</v>
      </c>
      <c r="AV8991" t="s">
        <v>69</v>
      </c>
      <c r="AW8991" s="1">
        <v>26466</v>
      </c>
      <c r="AX8991">
        <v>1</v>
      </c>
    </row>
    <row r="8992" spans="1:50">
      <c r="A8992">
        <v>613234</v>
      </c>
      <c r="B8992" t="str">
        <f>"124025471"</f>
        <v>124025471</v>
      </c>
      <c r="C8992" t="s">
        <v>50</v>
      </c>
      <c r="D8992" t="s">
        <v>3656</v>
      </c>
      <c r="E8992" t="s">
        <v>620</v>
      </c>
      <c r="F8992" t="s">
        <v>5386</v>
      </c>
      <c r="G8992" t="s">
        <v>52</v>
      </c>
      <c r="H8992" t="str">
        <f>"ΚΩΣΤΟΥΛΑ ΑΝΔΡΙΑΝΟΥ 54 ΙΕΡΑΠΕΤΡΑ"</f>
        <v>ΚΩΣΤΟΥΛΑ ΑΝΔΡΙΑΝΟΥ 54 ΙΕΡΑΠΕΤΡΑ</v>
      </c>
      <c r="I8992">
        <v>72200</v>
      </c>
      <c r="J8992">
        <v>2842024628</v>
      </c>
      <c r="K8992">
        <v>6938246814</v>
      </c>
      <c r="N8992" t="s">
        <v>615</v>
      </c>
      <c r="O8992" t="s">
        <v>616</v>
      </c>
      <c r="R8992" t="s">
        <v>57</v>
      </c>
      <c r="S8992">
        <v>6</v>
      </c>
      <c r="T8992">
        <v>598</v>
      </c>
      <c r="U8992" s="1">
        <v>39310</v>
      </c>
      <c r="V8992" t="s">
        <v>66</v>
      </c>
      <c r="W8992" t="s">
        <v>67</v>
      </c>
      <c r="X8992" t="s">
        <v>58</v>
      </c>
      <c r="Y8992">
        <v>23</v>
      </c>
      <c r="Z8992" t="s">
        <v>59</v>
      </c>
      <c r="AA8992" t="s">
        <v>59</v>
      </c>
      <c r="AB8992" t="s">
        <v>59</v>
      </c>
      <c r="AC8992" t="s">
        <v>59</v>
      </c>
      <c r="AD8992" t="s">
        <v>59</v>
      </c>
      <c r="AF8992" s="1">
        <v>39328</v>
      </c>
      <c r="AG8992" t="s">
        <v>8645</v>
      </c>
      <c r="AH8992" t="s">
        <v>8646</v>
      </c>
      <c r="AI8992" t="str">
        <f>"9410152"</f>
        <v>9410152</v>
      </c>
      <c r="AJ8992" t="s">
        <v>12686</v>
      </c>
      <c r="AK8992">
        <v>2831029088</v>
      </c>
      <c r="AL8992" t="s">
        <v>12687</v>
      </c>
      <c r="AM8992" t="s">
        <v>64</v>
      </c>
      <c r="AN8992" t="s">
        <v>65</v>
      </c>
      <c r="AO8992" t="s">
        <v>65</v>
      </c>
      <c r="AP8992" t="s">
        <v>65</v>
      </c>
      <c r="AQ8992">
        <v>1</v>
      </c>
      <c r="AR8992" t="s">
        <v>66</v>
      </c>
      <c r="AS8992" t="s">
        <v>67</v>
      </c>
      <c r="AT8992" t="s">
        <v>58</v>
      </c>
      <c r="AU8992" t="s">
        <v>68</v>
      </c>
      <c r="AV8992" t="s">
        <v>69</v>
      </c>
      <c r="AW8992" s="1">
        <v>30203</v>
      </c>
      <c r="AX8992">
        <v>1</v>
      </c>
    </row>
    <row r="8993" spans="1:50">
      <c r="A8993">
        <v>599886</v>
      </c>
      <c r="B8993" t="str">
        <f>"054185230"</f>
        <v>054185230</v>
      </c>
      <c r="C8993" t="s">
        <v>50</v>
      </c>
      <c r="D8993" t="s">
        <v>6498</v>
      </c>
      <c r="E8993" t="s">
        <v>1108</v>
      </c>
      <c r="F8993" t="s">
        <v>760</v>
      </c>
      <c r="G8993" t="s">
        <v>83</v>
      </c>
      <c r="H8993" t="str">
        <f>"ΜΑΧΗΤΩΝ ΣΧΟΛΗΣ ΧΩΡ/ΚΗΣ 1 ΠΕΡΙΒΟΛΙΑ"</f>
        <v>ΜΑΧΗΤΩΝ ΣΧΟΛΗΣ ΧΩΡ/ΚΗΣ 1 ΠΕΡΙΒΟΛΙΑ</v>
      </c>
      <c r="I8993">
        <v>74100</v>
      </c>
      <c r="J8993">
        <v>2831058055</v>
      </c>
      <c r="K8993">
        <v>6938795272</v>
      </c>
      <c r="N8993" t="s">
        <v>615</v>
      </c>
      <c r="O8993" t="s">
        <v>616</v>
      </c>
      <c r="R8993" t="s">
        <v>57</v>
      </c>
      <c r="S8993">
        <v>8</v>
      </c>
      <c r="T8993">
        <v>195</v>
      </c>
      <c r="U8993" s="1">
        <v>37497</v>
      </c>
      <c r="V8993" t="s">
        <v>66</v>
      </c>
      <c r="W8993" t="s">
        <v>67</v>
      </c>
      <c r="X8993" t="s">
        <v>58</v>
      </c>
      <c r="Y8993">
        <v>22</v>
      </c>
      <c r="Z8993" t="s">
        <v>59</v>
      </c>
      <c r="AA8993" t="s">
        <v>59</v>
      </c>
      <c r="AB8993" t="s">
        <v>59</v>
      </c>
      <c r="AC8993" t="s">
        <v>59</v>
      </c>
      <c r="AD8993" t="s">
        <v>59</v>
      </c>
      <c r="AF8993" s="1">
        <v>37502</v>
      </c>
      <c r="AG8993" t="s">
        <v>8645</v>
      </c>
      <c r="AH8993" t="s">
        <v>8646</v>
      </c>
      <c r="AI8993" t="str">
        <f>"9410069"</f>
        <v>9410069</v>
      </c>
      <c r="AJ8993" t="s">
        <v>12674</v>
      </c>
      <c r="AK8993">
        <v>2831029296</v>
      </c>
      <c r="AL8993" t="s">
        <v>12675</v>
      </c>
      <c r="AM8993" t="s">
        <v>64</v>
      </c>
      <c r="AN8993" t="s">
        <v>65</v>
      </c>
      <c r="AO8993" t="s">
        <v>65</v>
      </c>
      <c r="AP8993" t="s">
        <v>65</v>
      </c>
      <c r="AQ8993">
        <v>1</v>
      </c>
      <c r="AR8993" t="s">
        <v>66</v>
      </c>
      <c r="AS8993" t="s">
        <v>67</v>
      </c>
      <c r="AT8993" t="s">
        <v>58</v>
      </c>
      <c r="AU8993" t="s">
        <v>68</v>
      </c>
      <c r="AV8993" t="s">
        <v>69</v>
      </c>
      <c r="AW8993" s="1">
        <v>27057</v>
      </c>
      <c r="AX8993">
        <v>1</v>
      </c>
    </row>
    <row r="8994" spans="1:50">
      <c r="B8994" t="str">
        <f>"145198868"</f>
        <v>145198868</v>
      </c>
      <c r="C8994" t="s">
        <v>50</v>
      </c>
      <c r="D8994" t="s">
        <v>3665</v>
      </c>
      <c r="E8994" t="s">
        <v>620</v>
      </c>
      <c r="F8994" t="s">
        <v>84</v>
      </c>
      <c r="G8994" t="s">
        <v>181</v>
      </c>
      <c r="H8994" t="str">
        <f>"ΚΑΣΤΕΛΛΟΥ 5 "</f>
        <v xml:space="preserve">ΚΑΣΤΕΛΛΟΥ 5 </v>
      </c>
      <c r="I8994">
        <v>30100</v>
      </c>
      <c r="J8994">
        <v>2641054066</v>
      </c>
      <c r="K8994">
        <v>6947545305</v>
      </c>
      <c r="N8994" t="s">
        <v>615</v>
      </c>
      <c r="O8994" t="s">
        <v>616</v>
      </c>
      <c r="R8994" t="s">
        <v>159</v>
      </c>
      <c r="S8994">
        <v>3</v>
      </c>
      <c r="T8994" t="s">
        <v>8675</v>
      </c>
      <c r="U8994" s="1">
        <v>43348</v>
      </c>
      <c r="V8994" t="s">
        <v>66</v>
      </c>
      <c r="W8994" t="s">
        <v>67</v>
      </c>
      <c r="X8994" t="s">
        <v>58</v>
      </c>
      <c r="Y8994">
        <v>24</v>
      </c>
      <c r="Z8994" t="s">
        <v>59</v>
      </c>
      <c r="AA8994" t="s">
        <v>59</v>
      </c>
      <c r="AB8994" t="s">
        <v>59</v>
      </c>
      <c r="AC8994" t="s">
        <v>59</v>
      </c>
      <c r="AD8994" t="s">
        <v>59</v>
      </c>
      <c r="AF8994" s="1">
        <v>43348</v>
      </c>
      <c r="AG8994" t="s">
        <v>8645</v>
      </c>
      <c r="AH8994" t="s">
        <v>8646</v>
      </c>
      <c r="AI8994" t="str">
        <f>"9410051"</f>
        <v>9410051</v>
      </c>
      <c r="AJ8994" t="s">
        <v>12660</v>
      </c>
      <c r="AK8994">
        <v>2834022247</v>
      </c>
      <c r="AL8994" t="s">
        <v>12661</v>
      </c>
      <c r="AM8994" t="s">
        <v>64</v>
      </c>
      <c r="AN8994" t="s">
        <v>5672</v>
      </c>
      <c r="AO8994" t="s">
        <v>5673</v>
      </c>
      <c r="AP8994" t="s">
        <v>5689</v>
      </c>
      <c r="AQ8994">
        <v>7</v>
      </c>
      <c r="AR8994" t="s">
        <v>66</v>
      </c>
      <c r="AS8994" t="s">
        <v>67</v>
      </c>
      <c r="AT8994" t="s">
        <v>58</v>
      </c>
      <c r="AU8994" t="s">
        <v>8673</v>
      </c>
      <c r="AV8994" t="s">
        <v>132</v>
      </c>
      <c r="AW8994" s="1">
        <v>31901</v>
      </c>
      <c r="AX8994">
        <v>1</v>
      </c>
    </row>
    <row r="8995" spans="1:50">
      <c r="B8995" t="str">
        <f>"142247794"</f>
        <v>142247794</v>
      </c>
      <c r="C8995" t="s">
        <v>50</v>
      </c>
      <c r="D8995" t="s">
        <v>3667</v>
      </c>
      <c r="E8995" t="s">
        <v>52</v>
      </c>
      <c r="F8995" t="s">
        <v>95</v>
      </c>
      <c r="G8995" t="s">
        <v>13625</v>
      </c>
      <c r="H8995" t="str">
        <f>" "</f>
        <v xml:space="preserve"> </v>
      </c>
      <c r="N8995" t="s">
        <v>8694</v>
      </c>
      <c r="O8995" t="s">
        <v>8695</v>
      </c>
      <c r="R8995" t="s">
        <v>121</v>
      </c>
      <c r="S8995">
        <v>1</v>
      </c>
      <c r="T8995" t="s">
        <v>8835</v>
      </c>
      <c r="U8995" s="1">
        <v>43348</v>
      </c>
      <c r="V8995" t="s">
        <v>66</v>
      </c>
      <c r="W8995" t="s">
        <v>67</v>
      </c>
      <c r="X8995" t="s">
        <v>58</v>
      </c>
      <c r="Y8995">
        <v>25</v>
      </c>
      <c r="Z8995" t="s">
        <v>59</v>
      </c>
      <c r="AA8995" t="s">
        <v>59</v>
      </c>
      <c r="AB8995" t="s">
        <v>59</v>
      </c>
      <c r="AC8995" t="s">
        <v>59</v>
      </c>
      <c r="AD8995" t="s">
        <v>59</v>
      </c>
      <c r="AF8995" s="1">
        <v>43348</v>
      </c>
      <c r="AG8995" t="s">
        <v>8645</v>
      </c>
      <c r="AH8995" t="s">
        <v>8676</v>
      </c>
      <c r="AI8995" t="str">
        <f>"9410144"</f>
        <v>9410144</v>
      </c>
      <c r="AJ8995" t="s">
        <v>13043</v>
      </c>
      <c r="AK8995">
        <v>2833031274</v>
      </c>
      <c r="AL8995" t="s">
        <v>13044</v>
      </c>
      <c r="AM8995" t="s">
        <v>64</v>
      </c>
      <c r="AN8995" t="s">
        <v>5713</v>
      </c>
      <c r="AO8995" t="s">
        <v>5780</v>
      </c>
      <c r="AP8995" t="s">
        <v>13045</v>
      </c>
      <c r="AQ8995">
        <v>6</v>
      </c>
      <c r="AR8995" t="s">
        <v>66</v>
      </c>
      <c r="AS8995" t="s">
        <v>67</v>
      </c>
      <c r="AT8995" t="s">
        <v>58</v>
      </c>
      <c r="AU8995" t="s">
        <v>131</v>
      </c>
      <c r="AV8995" t="s">
        <v>132</v>
      </c>
      <c r="AW8995" s="1">
        <v>34397</v>
      </c>
      <c r="AX8995">
        <v>1</v>
      </c>
    </row>
    <row r="8996" spans="1:50">
      <c r="B8996" t="str">
        <f>"125328756"</f>
        <v>125328756</v>
      </c>
      <c r="C8996" t="s">
        <v>105</v>
      </c>
      <c r="D8996" t="s">
        <v>13626</v>
      </c>
      <c r="E8996" t="s">
        <v>95</v>
      </c>
      <c r="F8996" t="s">
        <v>72</v>
      </c>
      <c r="G8996" t="s">
        <v>484</v>
      </c>
      <c r="H8996" t="str">
        <f>"ΠΡΟΦΗΤΗ ΗΛΙΑ 15 ΠΡΕΒΕΖΑ"</f>
        <v>ΠΡΟΦΗΤΗ ΗΛΙΑ 15 ΠΡΕΒΕΖΑ</v>
      </c>
      <c r="I8996">
        <v>48100</v>
      </c>
      <c r="J8996">
        <v>2682025446</v>
      </c>
      <c r="K8996">
        <v>6981995750</v>
      </c>
      <c r="M8996" t="s">
        <v>13627</v>
      </c>
      <c r="N8996" t="s">
        <v>615</v>
      </c>
      <c r="O8996" t="s">
        <v>616</v>
      </c>
      <c r="R8996" t="s">
        <v>159</v>
      </c>
      <c r="S8996">
        <v>3</v>
      </c>
      <c r="T8996" t="s">
        <v>8675</v>
      </c>
      <c r="U8996" s="1">
        <v>43348</v>
      </c>
      <c r="V8996" t="s">
        <v>66</v>
      </c>
      <c r="W8996" t="s">
        <v>67</v>
      </c>
      <c r="X8996" t="s">
        <v>58</v>
      </c>
      <c r="Y8996">
        <v>24</v>
      </c>
      <c r="Z8996" t="s">
        <v>59</v>
      </c>
      <c r="AA8996" t="s">
        <v>59</v>
      </c>
      <c r="AB8996" t="s">
        <v>59</v>
      </c>
      <c r="AC8996" t="s">
        <v>59</v>
      </c>
      <c r="AD8996" t="s">
        <v>59</v>
      </c>
      <c r="AF8996" s="1">
        <v>43348</v>
      </c>
      <c r="AG8996" t="s">
        <v>8645</v>
      </c>
      <c r="AH8996" t="s">
        <v>8646</v>
      </c>
      <c r="AI8996" t="str">
        <f>"9410170"</f>
        <v>9410170</v>
      </c>
      <c r="AJ8996" t="s">
        <v>12658</v>
      </c>
      <c r="AK8996">
        <v>2831061220</v>
      </c>
      <c r="AL8996" t="s">
        <v>12659</v>
      </c>
      <c r="AM8996" t="s">
        <v>64</v>
      </c>
      <c r="AN8996" t="s">
        <v>65</v>
      </c>
      <c r="AO8996" t="s">
        <v>5657</v>
      </c>
      <c r="AP8996" t="s">
        <v>1437</v>
      </c>
      <c r="AQ8996">
        <v>2</v>
      </c>
      <c r="AR8996" t="s">
        <v>66</v>
      </c>
      <c r="AS8996" t="s">
        <v>67</v>
      </c>
      <c r="AT8996" t="s">
        <v>58</v>
      </c>
      <c r="AU8996" t="s">
        <v>8673</v>
      </c>
      <c r="AV8996" t="s">
        <v>132</v>
      </c>
      <c r="AW8996" s="1">
        <v>31675</v>
      </c>
      <c r="AX8996">
        <v>1</v>
      </c>
    </row>
    <row r="8997" spans="1:50">
      <c r="A8997">
        <v>607765</v>
      </c>
      <c r="B8997" t="str">
        <f>"123889496"</f>
        <v>123889496</v>
      </c>
      <c r="C8997" t="s">
        <v>50</v>
      </c>
      <c r="D8997" t="s">
        <v>13628</v>
      </c>
      <c r="E8997" t="s">
        <v>460</v>
      </c>
      <c r="F8997" t="s">
        <v>383</v>
      </c>
      <c r="G8997" t="s">
        <v>314</v>
      </c>
      <c r="H8997" t="str">
        <f>"ΚΟΥΡΗΤΩΝ 13Α ΡΕΘΥΜΝΟ"</f>
        <v>ΚΟΥΡΗΤΩΝ 13Α ΡΕΘΥΜΝΟ</v>
      </c>
      <c r="I8997">
        <v>74100</v>
      </c>
      <c r="K8997">
        <v>6947323171</v>
      </c>
      <c r="N8997" t="s">
        <v>615</v>
      </c>
      <c r="O8997" t="s">
        <v>616</v>
      </c>
      <c r="R8997" t="s">
        <v>57</v>
      </c>
      <c r="S8997">
        <v>6</v>
      </c>
      <c r="T8997" t="s">
        <v>10441</v>
      </c>
      <c r="U8997" s="1">
        <v>38601</v>
      </c>
      <c r="V8997" t="s">
        <v>66</v>
      </c>
      <c r="W8997" t="s">
        <v>67</v>
      </c>
      <c r="X8997" t="s">
        <v>58</v>
      </c>
      <c r="Y8997">
        <v>23</v>
      </c>
      <c r="Z8997" t="s">
        <v>59</v>
      </c>
      <c r="AA8997" t="s">
        <v>59</v>
      </c>
      <c r="AB8997" t="s">
        <v>59</v>
      </c>
      <c r="AC8997" t="s">
        <v>59</v>
      </c>
      <c r="AD8997" t="s">
        <v>59</v>
      </c>
      <c r="AF8997" s="1">
        <v>38601</v>
      </c>
      <c r="AG8997" t="s">
        <v>8645</v>
      </c>
      <c r="AH8997" t="s">
        <v>8646</v>
      </c>
      <c r="AI8997" t="str">
        <f>"9410150"</f>
        <v>9410150</v>
      </c>
      <c r="AJ8997" t="s">
        <v>12733</v>
      </c>
      <c r="AK8997">
        <v>2831052969</v>
      </c>
      <c r="AL8997" t="s">
        <v>12734</v>
      </c>
      <c r="AM8997" t="s">
        <v>64</v>
      </c>
      <c r="AN8997" t="s">
        <v>65</v>
      </c>
      <c r="AO8997" t="s">
        <v>65</v>
      </c>
      <c r="AP8997" t="s">
        <v>65</v>
      </c>
      <c r="AQ8997">
        <v>1</v>
      </c>
      <c r="AR8997" t="s">
        <v>66</v>
      </c>
      <c r="AS8997" t="s">
        <v>67</v>
      </c>
      <c r="AT8997" t="s">
        <v>58</v>
      </c>
      <c r="AU8997" t="s">
        <v>68</v>
      </c>
      <c r="AV8997" t="s">
        <v>69</v>
      </c>
      <c r="AW8997" s="1">
        <v>29782</v>
      </c>
      <c r="AX8997">
        <v>1</v>
      </c>
    </row>
    <row r="8998" spans="1:50">
      <c r="B8998" t="str">
        <f>"138392374"</f>
        <v>138392374</v>
      </c>
      <c r="C8998" t="s">
        <v>50</v>
      </c>
      <c r="D8998" t="s">
        <v>13629</v>
      </c>
      <c r="E8998" t="s">
        <v>1085</v>
      </c>
      <c r="F8998" t="s">
        <v>72</v>
      </c>
      <c r="G8998" t="s">
        <v>340</v>
      </c>
      <c r="H8998" t="str">
        <f>" "</f>
        <v xml:space="preserve"> </v>
      </c>
      <c r="N8998" t="s">
        <v>615</v>
      </c>
      <c r="O8998" t="s">
        <v>616</v>
      </c>
      <c r="R8998" t="s">
        <v>121</v>
      </c>
      <c r="S8998">
        <v>1</v>
      </c>
      <c r="T8998" t="s">
        <v>8717</v>
      </c>
      <c r="U8998" s="1">
        <v>43348</v>
      </c>
      <c r="V8998" t="s">
        <v>66</v>
      </c>
      <c r="W8998" t="s">
        <v>67</v>
      </c>
      <c r="X8998" t="s">
        <v>58</v>
      </c>
      <c r="Y8998">
        <v>24</v>
      </c>
      <c r="Z8998" t="s">
        <v>59</v>
      </c>
      <c r="AA8998" t="s">
        <v>59</v>
      </c>
      <c r="AB8998" t="s">
        <v>59</v>
      </c>
      <c r="AD8998" t="s">
        <v>59</v>
      </c>
      <c r="AF8998" s="1">
        <v>43348</v>
      </c>
      <c r="AG8998" t="s">
        <v>8645</v>
      </c>
      <c r="AH8998" t="s">
        <v>8646</v>
      </c>
      <c r="AI8998" t="str">
        <f>"9410070"</f>
        <v>9410070</v>
      </c>
      <c r="AJ8998" t="s">
        <v>12757</v>
      </c>
      <c r="AK8998">
        <v>2831028583</v>
      </c>
      <c r="AL8998" t="s">
        <v>12758</v>
      </c>
      <c r="AM8998" t="s">
        <v>64</v>
      </c>
      <c r="AN8998" t="s">
        <v>65</v>
      </c>
      <c r="AO8998" t="s">
        <v>65</v>
      </c>
      <c r="AP8998" t="s">
        <v>65</v>
      </c>
      <c r="AQ8998">
        <v>1</v>
      </c>
      <c r="AR8998" t="s">
        <v>66</v>
      </c>
      <c r="AS8998" t="s">
        <v>67</v>
      </c>
      <c r="AT8998" t="s">
        <v>58</v>
      </c>
      <c r="AU8998" t="s">
        <v>8720</v>
      </c>
      <c r="AV8998" t="s">
        <v>132</v>
      </c>
      <c r="AW8998" s="1">
        <v>32631</v>
      </c>
      <c r="AX8998">
        <v>1</v>
      </c>
    </row>
    <row r="8999" spans="1:50">
      <c r="A8999">
        <v>608056</v>
      </c>
      <c r="B8999" t="str">
        <f>"051898874"</f>
        <v>051898874</v>
      </c>
      <c r="C8999" t="s">
        <v>50</v>
      </c>
      <c r="D8999" t="s">
        <v>13630</v>
      </c>
      <c r="E8999" t="s">
        <v>263</v>
      </c>
      <c r="F8999" t="s">
        <v>782</v>
      </c>
      <c r="G8999" t="s">
        <v>83</v>
      </c>
      <c r="H8999" t="str">
        <f>"ΚΟΥΡΗΤΩΝ 11 ΡΕΘΥΜΝΟ"</f>
        <v>ΚΟΥΡΗΤΩΝ 11 ΡΕΘΥΜΝΟ</v>
      </c>
      <c r="I8999">
        <v>74100</v>
      </c>
      <c r="J8999">
        <v>2831053280</v>
      </c>
      <c r="K8999">
        <v>6999902121</v>
      </c>
      <c r="N8999" t="s">
        <v>1525</v>
      </c>
      <c r="O8999" t="s">
        <v>1526</v>
      </c>
      <c r="R8999" t="s">
        <v>57</v>
      </c>
      <c r="S8999">
        <v>9</v>
      </c>
      <c r="T8999">
        <v>217</v>
      </c>
      <c r="U8999" s="1">
        <v>38596</v>
      </c>
      <c r="V8999" t="s">
        <v>66</v>
      </c>
      <c r="W8999" t="s">
        <v>67</v>
      </c>
      <c r="X8999" t="s">
        <v>58</v>
      </c>
      <c r="Y8999">
        <v>25</v>
      </c>
      <c r="Z8999" t="s">
        <v>59</v>
      </c>
      <c r="AA8999" t="s">
        <v>59</v>
      </c>
      <c r="AB8999" t="s">
        <v>59</v>
      </c>
      <c r="AC8999" t="s">
        <v>59</v>
      </c>
      <c r="AD8999" t="s">
        <v>59</v>
      </c>
      <c r="AF8999" s="1">
        <v>38600</v>
      </c>
      <c r="AG8999" t="s">
        <v>8651</v>
      </c>
      <c r="AH8999" t="s">
        <v>8652</v>
      </c>
      <c r="AI8999" t="str">
        <f>"9410231"</f>
        <v>9410231</v>
      </c>
      <c r="AJ8999" t="s">
        <v>12868</v>
      </c>
      <c r="AK8999">
        <v>2831025022</v>
      </c>
      <c r="AL8999" t="s">
        <v>12869</v>
      </c>
      <c r="AM8999" t="s">
        <v>64</v>
      </c>
      <c r="AN8999" t="s">
        <v>65</v>
      </c>
      <c r="AO8999" t="s">
        <v>65</v>
      </c>
      <c r="AP8999" t="s">
        <v>65</v>
      </c>
      <c r="AQ8999">
        <v>1</v>
      </c>
      <c r="AR8999" t="s">
        <v>66</v>
      </c>
      <c r="AS8999" t="s">
        <v>67</v>
      </c>
      <c r="AT8999" t="s">
        <v>58</v>
      </c>
      <c r="AU8999" t="s">
        <v>68</v>
      </c>
      <c r="AV8999" t="s">
        <v>69</v>
      </c>
      <c r="AW8999" s="1">
        <v>24771</v>
      </c>
      <c r="AX8999">
        <v>1</v>
      </c>
    </row>
    <row r="9000" spans="1:50">
      <c r="A9000">
        <v>618017</v>
      </c>
      <c r="B9000" t="str">
        <f>"064339150"</f>
        <v>064339150</v>
      </c>
      <c r="C9000" t="s">
        <v>50</v>
      </c>
      <c r="D9000" t="s">
        <v>13631</v>
      </c>
      <c r="E9000" t="s">
        <v>396</v>
      </c>
      <c r="F9000" t="s">
        <v>72</v>
      </c>
      <c r="G9000" t="s">
        <v>83</v>
      </c>
      <c r="H9000" t="str">
        <f>" "</f>
        <v xml:space="preserve"> </v>
      </c>
      <c r="K9000">
        <v>6936854130</v>
      </c>
      <c r="N9000" t="s">
        <v>615</v>
      </c>
      <c r="O9000" t="s">
        <v>616</v>
      </c>
      <c r="R9000" t="s">
        <v>57</v>
      </c>
      <c r="S9000">
        <v>5</v>
      </c>
      <c r="T9000">
        <v>774</v>
      </c>
      <c r="U9000" s="1">
        <v>39680</v>
      </c>
      <c r="V9000" t="s">
        <v>66</v>
      </c>
      <c r="W9000" t="s">
        <v>67</v>
      </c>
      <c r="X9000" t="s">
        <v>58</v>
      </c>
      <c r="Y9000">
        <v>23</v>
      </c>
      <c r="Z9000" t="s">
        <v>59</v>
      </c>
      <c r="AA9000" t="s">
        <v>59</v>
      </c>
      <c r="AB9000" t="s">
        <v>59</v>
      </c>
      <c r="AC9000" t="s">
        <v>59</v>
      </c>
      <c r="AD9000" t="s">
        <v>59</v>
      </c>
      <c r="AF9000" s="1">
        <v>39681</v>
      </c>
      <c r="AG9000" t="s">
        <v>8645</v>
      </c>
      <c r="AH9000" t="s">
        <v>8646</v>
      </c>
      <c r="AI9000" t="str">
        <f>"9410166"</f>
        <v>9410166</v>
      </c>
      <c r="AJ9000" t="s">
        <v>12666</v>
      </c>
      <c r="AK9000">
        <v>2831031311</v>
      </c>
      <c r="AL9000" t="s">
        <v>12667</v>
      </c>
      <c r="AM9000" t="s">
        <v>64</v>
      </c>
      <c r="AN9000" t="s">
        <v>65</v>
      </c>
      <c r="AO9000" t="s">
        <v>5720</v>
      </c>
      <c r="AP9000" t="s">
        <v>5721</v>
      </c>
      <c r="AQ9000">
        <v>2</v>
      </c>
      <c r="AR9000" t="s">
        <v>66</v>
      </c>
      <c r="AS9000" t="s">
        <v>67</v>
      </c>
      <c r="AT9000" t="s">
        <v>58</v>
      </c>
      <c r="AU9000" t="s">
        <v>68</v>
      </c>
      <c r="AV9000" t="s">
        <v>69</v>
      </c>
      <c r="AW9000" s="1">
        <v>25758</v>
      </c>
      <c r="AX9000">
        <v>1</v>
      </c>
    </row>
    <row r="9001" spans="1:50">
      <c r="B9001" t="str">
        <f>"143656944"</f>
        <v>143656944</v>
      </c>
      <c r="C9001" t="s">
        <v>50</v>
      </c>
      <c r="D9001" t="s">
        <v>8277</v>
      </c>
      <c r="E9001" t="s">
        <v>188</v>
      </c>
      <c r="F9001" t="s">
        <v>2847</v>
      </c>
      <c r="G9001" t="s">
        <v>52</v>
      </c>
      <c r="H9001" t="str">
        <f>" "</f>
        <v xml:space="preserve"> </v>
      </c>
      <c r="N9001" t="s">
        <v>1525</v>
      </c>
      <c r="O9001" t="s">
        <v>1526</v>
      </c>
      <c r="R9001" t="s">
        <v>159</v>
      </c>
      <c r="S9001">
        <v>2</v>
      </c>
      <c r="T9001" t="s">
        <v>8670</v>
      </c>
      <c r="U9001" s="1">
        <v>43348</v>
      </c>
      <c r="V9001" t="s">
        <v>66</v>
      </c>
      <c r="W9001" t="s">
        <v>67</v>
      </c>
      <c r="X9001" t="s">
        <v>58</v>
      </c>
      <c r="Y9001">
        <v>25</v>
      </c>
      <c r="Z9001" t="s">
        <v>59</v>
      </c>
      <c r="AA9001" t="s">
        <v>59</v>
      </c>
      <c r="AB9001" t="s">
        <v>59</v>
      </c>
      <c r="AC9001" t="s">
        <v>59</v>
      </c>
      <c r="AD9001" t="s">
        <v>59</v>
      </c>
      <c r="AF9001" s="1">
        <v>43348</v>
      </c>
      <c r="AG9001" t="s">
        <v>8651</v>
      </c>
      <c r="AH9001" t="s">
        <v>8652</v>
      </c>
      <c r="AI9001" t="str">
        <f>"9410050"</f>
        <v>9410050</v>
      </c>
      <c r="AJ9001" t="s">
        <v>12924</v>
      </c>
      <c r="AK9001">
        <v>2834022518</v>
      </c>
      <c r="AL9001" t="s">
        <v>12925</v>
      </c>
      <c r="AM9001" t="s">
        <v>64</v>
      </c>
      <c r="AN9001" t="s">
        <v>5672</v>
      </c>
      <c r="AO9001" t="s">
        <v>5673</v>
      </c>
      <c r="AP9001" t="s">
        <v>5689</v>
      </c>
      <c r="AQ9001">
        <v>7</v>
      </c>
      <c r="AR9001" t="s">
        <v>66</v>
      </c>
      <c r="AS9001" t="s">
        <v>67</v>
      </c>
      <c r="AT9001" t="s">
        <v>58</v>
      </c>
      <c r="AU9001" t="s">
        <v>8673</v>
      </c>
      <c r="AV9001" t="s">
        <v>132</v>
      </c>
      <c r="AW9001" s="1">
        <v>30855</v>
      </c>
      <c r="AX9001">
        <v>1</v>
      </c>
    </row>
    <row r="9002" spans="1:50">
      <c r="B9002" t="str">
        <f>"078837070"</f>
        <v>078837070</v>
      </c>
      <c r="C9002" t="s">
        <v>50</v>
      </c>
      <c r="D9002" t="s">
        <v>13632</v>
      </c>
      <c r="E9002" t="s">
        <v>934</v>
      </c>
      <c r="F9002" t="s">
        <v>53</v>
      </c>
      <c r="G9002" t="s">
        <v>52</v>
      </c>
      <c r="H9002" t="str">
        <f>" Παναιτώλιο"</f>
        <v xml:space="preserve"> Παναιτώλιο</v>
      </c>
      <c r="I9002">
        <v>30003</v>
      </c>
      <c r="J9002">
        <v>2641301340</v>
      </c>
      <c r="K9002">
        <v>6947327139</v>
      </c>
      <c r="N9002" t="s">
        <v>615</v>
      </c>
      <c r="O9002" t="s">
        <v>616</v>
      </c>
      <c r="R9002" t="s">
        <v>159</v>
      </c>
      <c r="S9002">
        <v>1</v>
      </c>
      <c r="T9002" t="s">
        <v>8675</v>
      </c>
      <c r="U9002" s="1">
        <v>43348</v>
      </c>
      <c r="V9002" t="s">
        <v>66</v>
      </c>
      <c r="W9002" t="s">
        <v>67</v>
      </c>
      <c r="X9002" t="s">
        <v>58</v>
      </c>
      <c r="Y9002">
        <v>24</v>
      </c>
      <c r="Z9002" t="s">
        <v>59</v>
      </c>
      <c r="AA9002" t="s">
        <v>59</v>
      </c>
      <c r="AB9002" t="s">
        <v>59</v>
      </c>
      <c r="AC9002" t="s">
        <v>59</v>
      </c>
      <c r="AD9002" t="s">
        <v>59</v>
      </c>
      <c r="AF9002" s="1">
        <v>43348</v>
      </c>
      <c r="AG9002" t="s">
        <v>8645</v>
      </c>
      <c r="AH9002" t="s">
        <v>8646</v>
      </c>
      <c r="AI9002" t="str">
        <f>"9410226"</f>
        <v>9410226</v>
      </c>
      <c r="AJ9002" t="s">
        <v>12702</v>
      </c>
      <c r="AK9002">
        <v>2831071088</v>
      </c>
      <c r="AL9002" t="s">
        <v>12703</v>
      </c>
      <c r="AM9002" t="s">
        <v>64</v>
      </c>
      <c r="AN9002" t="s">
        <v>65</v>
      </c>
      <c r="AO9002" t="s">
        <v>12694</v>
      </c>
      <c r="AP9002" t="s">
        <v>12704</v>
      </c>
      <c r="AQ9002">
        <v>3</v>
      </c>
      <c r="AR9002" t="s">
        <v>66</v>
      </c>
      <c r="AS9002" t="s">
        <v>67</v>
      </c>
      <c r="AT9002" t="s">
        <v>58</v>
      </c>
      <c r="AU9002" t="s">
        <v>8673</v>
      </c>
      <c r="AV9002" t="s">
        <v>132</v>
      </c>
      <c r="AW9002" s="1">
        <v>29350</v>
      </c>
      <c r="AX9002">
        <v>1</v>
      </c>
    </row>
    <row r="9003" spans="1:50">
      <c r="A9003">
        <v>554673</v>
      </c>
      <c r="B9003" t="str">
        <f>"029886717"</f>
        <v>029886717</v>
      </c>
      <c r="C9003" t="s">
        <v>105</v>
      </c>
      <c r="D9003" t="s">
        <v>13633</v>
      </c>
      <c r="E9003" t="s">
        <v>989</v>
      </c>
      <c r="F9003" t="s">
        <v>106</v>
      </c>
      <c r="G9003" t="s">
        <v>541</v>
      </c>
      <c r="H9003" t="str">
        <f>"ΣΚΟΡΔΙΛΩΝ 2 ΜΑΣΤΑΜΠΑΣ"</f>
        <v>ΣΚΟΡΔΙΛΩΝ 2 ΜΑΣΤΑΜΠΑΣ</v>
      </c>
      <c r="I9003">
        <v>74132</v>
      </c>
      <c r="J9003">
        <v>2831051123</v>
      </c>
      <c r="K9003">
        <v>6977560355</v>
      </c>
      <c r="M9003" t="s">
        <v>13634</v>
      </c>
      <c r="N9003" t="s">
        <v>615</v>
      </c>
      <c r="O9003" t="s">
        <v>616</v>
      </c>
      <c r="R9003" t="s">
        <v>57</v>
      </c>
      <c r="S9003">
        <v>16</v>
      </c>
      <c r="T9003">
        <v>200</v>
      </c>
      <c r="U9003" s="1">
        <v>31657</v>
      </c>
      <c r="V9003" t="s">
        <v>66</v>
      </c>
      <c r="W9003" t="s">
        <v>67</v>
      </c>
      <c r="X9003" t="s">
        <v>58</v>
      </c>
      <c r="Y9003">
        <v>21</v>
      </c>
      <c r="Z9003" t="s">
        <v>59</v>
      </c>
      <c r="AA9003" t="s">
        <v>59</v>
      </c>
      <c r="AB9003" t="s">
        <v>59</v>
      </c>
      <c r="AC9003" t="s">
        <v>59</v>
      </c>
      <c r="AD9003" t="s">
        <v>59</v>
      </c>
      <c r="AF9003" s="1">
        <v>31670</v>
      </c>
      <c r="AG9003" t="s">
        <v>8645</v>
      </c>
      <c r="AH9003" t="s">
        <v>8646</v>
      </c>
      <c r="AI9003" t="str">
        <f>"9410065"</f>
        <v>9410065</v>
      </c>
      <c r="AJ9003" t="s">
        <v>12717</v>
      </c>
      <c r="AK9003">
        <v>2831022519</v>
      </c>
      <c r="AL9003" t="s">
        <v>12718</v>
      </c>
      <c r="AM9003" t="s">
        <v>64</v>
      </c>
      <c r="AN9003" t="s">
        <v>65</v>
      </c>
      <c r="AO9003" t="s">
        <v>65</v>
      </c>
      <c r="AP9003" t="s">
        <v>65</v>
      </c>
      <c r="AQ9003">
        <v>1</v>
      </c>
      <c r="AR9003" t="s">
        <v>66</v>
      </c>
      <c r="AS9003" t="s">
        <v>67</v>
      </c>
      <c r="AT9003" t="s">
        <v>58</v>
      </c>
      <c r="AU9003" t="s">
        <v>68</v>
      </c>
      <c r="AV9003" t="s">
        <v>2039</v>
      </c>
      <c r="AW9003" s="1">
        <v>22783</v>
      </c>
      <c r="AX9003">
        <v>1</v>
      </c>
    </row>
    <row r="9004" spans="1:50">
      <c r="A9004">
        <v>587991</v>
      </c>
      <c r="B9004" t="str">
        <f>"057917136"</f>
        <v>057917136</v>
      </c>
      <c r="C9004" t="s">
        <v>50</v>
      </c>
      <c r="D9004" t="s">
        <v>3713</v>
      </c>
      <c r="E9004" t="s">
        <v>263</v>
      </c>
      <c r="F9004" t="s">
        <v>166</v>
      </c>
      <c r="G9004" t="s">
        <v>1252</v>
      </c>
      <c r="H9004" t="str">
        <f>"ΔΗΜΗΤΡΑΚΑΚΗ 6 ΡΕΘΥΜΝΟ"</f>
        <v>ΔΗΜΗΤΡΑΚΑΚΗ 6 ΡΕΘΥΜΝΟ</v>
      </c>
      <c r="I9004">
        <v>74100</v>
      </c>
      <c r="J9004">
        <v>2834031753</v>
      </c>
      <c r="K9004">
        <v>6972833263</v>
      </c>
      <c r="N9004" t="s">
        <v>615</v>
      </c>
      <c r="O9004" t="s">
        <v>616</v>
      </c>
      <c r="R9004" t="s">
        <v>57</v>
      </c>
      <c r="S9004">
        <v>9</v>
      </c>
      <c r="T9004">
        <v>250</v>
      </c>
      <c r="U9004" s="1">
        <v>36160</v>
      </c>
      <c r="V9004" t="s">
        <v>66</v>
      </c>
      <c r="W9004" t="s">
        <v>67</v>
      </c>
      <c r="X9004" t="s">
        <v>58</v>
      </c>
      <c r="Y9004">
        <v>21</v>
      </c>
      <c r="Z9004" t="s">
        <v>59</v>
      </c>
      <c r="AA9004" t="s">
        <v>59</v>
      </c>
      <c r="AB9004" t="s">
        <v>59</v>
      </c>
      <c r="AC9004" t="s">
        <v>59</v>
      </c>
      <c r="AD9004" t="s">
        <v>59</v>
      </c>
      <c r="AF9004" s="1">
        <v>36175</v>
      </c>
      <c r="AG9004" t="s">
        <v>8645</v>
      </c>
      <c r="AH9004" t="s">
        <v>8646</v>
      </c>
      <c r="AI9004" t="str">
        <f>"9410169"</f>
        <v>9410169</v>
      </c>
      <c r="AJ9004" t="s">
        <v>12936</v>
      </c>
      <c r="AK9004">
        <v>2831031123</v>
      </c>
      <c r="AL9004" t="s">
        <v>12937</v>
      </c>
      <c r="AM9004" t="s">
        <v>64</v>
      </c>
      <c r="AN9004" t="s">
        <v>65</v>
      </c>
      <c r="AO9004" t="s">
        <v>5720</v>
      </c>
      <c r="AP9004" t="s">
        <v>12938</v>
      </c>
      <c r="AQ9004">
        <v>2</v>
      </c>
      <c r="AR9004" t="s">
        <v>66</v>
      </c>
      <c r="AS9004" t="s">
        <v>67</v>
      </c>
      <c r="AT9004" t="s">
        <v>58</v>
      </c>
      <c r="AU9004" t="s">
        <v>68</v>
      </c>
      <c r="AV9004" t="s">
        <v>69</v>
      </c>
      <c r="AW9004" s="1">
        <v>25426</v>
      </c>
      <c r="AX9004">
        <v>1</v>
      </c>
    </row>
    <row r="9005" spans="1:50">
      <c r="A9005">
        <v>587270</v>
      </c>
      <c r="B9005" t="str">
        <f>"038077082"</f>
        <v>038077082</v>
      </c>
      <c r="C9005" t="s">
        <v>50</v>
      </c>
      <c r="D9005" t="s">
        <v>3718</v>
      </c>
      <c r="E9005" t="s">
        <v>1001</v>
      </c>
      <c r="F9005" t="s">
        <v>377</v>
      </c>
      <c r="G9005" t="s">
        <v>727</v>
      </c>
      <c r="H9005" t="str">
        <f>" "</f>
        <v xml:space="preserve"> </v>
      </c>
      <c r="N9005" t="s">
        <v>1525</v>
      </c>
      <c r="O9005" t="s">
        <v>1526</v>
      </c>
      <c r="R9005" t="s">
        <v>57</v>
      </c>
      <c r="S9005">
        <v>11</v>
      </c>
      <c r="T9005">
        <v>165</v>
      </c>
      <c r="U9005" s="1">
        <v>36040</v>
      </c>
      <c r="V9005" t="s">
        <v>66</v>
      </c>
      <c r="W9005" t="s">
        <v>67</v>
      </c>
      <c r="X9005" t="s">
        <v>58</v>
      </c>
      <c r="Y9005">
        <v>25</v>
      </c>
      <c r="Z9005" t="s">
        <v>59</v>
      </c>
      <c r="AA9005" t="s">
        <v>59</v>
      </c>
      <c r="AB9005" t="s">
        <v>59</v>
      </c>
      <c r="AC9005" t="s">
        <v>59</v>
      </c>
      <c r="AD9005" t="s">
        <v>59</v>
      </c>
      <c r="AF9005" s="1">
        <v>36045</v>
      </c>
      <c r="AG9005" t="s">
        <v>8651</v>
      </c>
      <c r="AH9005" t="s">
        <v>8652</v>
      </c>
      <c r="AI9005" t="str">
        <f>"9410246"</f>
        <v>9410246</v>
      </c>
      <c r="AJ9005" t="s">
        <v>13081</v>
      </c>
      <c r="AK9005">
        <v>2831031774</v>
      </c>
      <c r="AL9005" t="s">
        <v>13082</v>
      </c>
      <c r="AM9005" t="s">
        <v>64</v>
      </c>
      <c r="AN9005" t="s">
        <v>65</v>
      </c>
      <c r="AO9005" t="s">
        <v>5720</v>
      </c>
      <c r="AP9005" t="s">
        <v>12698</v>
      </c>
      <c r="AQ9005">
        <v>2</v>
      </c>
      <c r="AR9005" t="s">
        <v>66</v>
      </c>
      <c r="AS9005" t="s">
        <v>67</v>
      </c>
      <c r="AT9005" t="s">
        <v>58</v>
      </c>
      <c r="AU9005" t="s">
        <v>68</v>
      </c>
      <c r="AV9005" t="s">
        <v>69</v>
      </c>
      <c r="AW9005" s="1">
        <v>24491</v>
      </c>
      <c r="AX9005">
        <v>1</v>
      </c>
    </row>
    <row r="9006" spans="1:50">
      <c r="A9006">
        <v>574298</v>
      </c>
      <c r="B9006" t="str">
        <f>"065491700"</f>
        <v>065491700</v>
      </c>
      <c r="C9006" t="s">
        <v>50</v>
      </c>
      <c r="D9006" t="s">
        <v>13635</v>
      </c>
      <c r="E9006" t="s">
        <v>188</v>
      </c>
      <c r="F9006" t="s">
        <v>670</v>
      </c>
      <c r="G9006" t="s">
        <v>473</v>
      </c>
      <c r="H9006" t="str">
        <f>"ΣΚΟΡΔΙΛΩΝ 10 ΡΕΘΥΜΝΟ"</f>
        <v>ΣΚΟΡΔΙΛΩΝ 10 ΡΕΘΥΜΝΟ</v>
      </c>
      <c r="I9006">
        <v>74100</v>
      </c>
      <c r="J9006">
        <v>2831051786</v>
      </c>
      <c r="K9006">
        <v>6973056674</v>
      </c>
      <c r="N9006" t="s">
        <v>615</v>
      </c>
      <c r="O9006" t="s">
        <v>616</v>
      </c>
      <c r="R9006" t="s">
        <v>57</v>
      </c>
      <c r="S9006">
        <v>13</v>
      </c>
      <c r="T9006">
        <v>160</v>
      </c>
      <c r="U9006" s="1">
        <v>34582</v>
      </c>
      <c r="V9006" t="s">
        <v>66</v>
      </c>
      <c r="W9006" t="s">
        <v>67</v>
      </c>
      <c r="X9006" t="s">
        <v>58</v>
      </c>
      <c r="Y9006">
        <v>21</v>
      </c>
      <c r="Z9006" t="s">
        <v>59</v>
      </c>
      <c r="AA9006" t="s">
        <v>59</v>
      </c>
      <c r="AB9006" t="s">
        <v>59</v>
      </c>
      <c r="AC9006" t="s">
        <v>59</v>
      </c>
      <c r="AD9006" t="s">
        <v>59</v>
      </c>
      <c r="AF9006" s="1">
        <v>34582</v>
      </c>
      <c r="AG9006" t="s">
        <v>8645</v>
      </c>
      <c r="AH9006" t="s">
        <v>8646</v>
      </c>
      <c r="AI9006" t="str">
        <f>"9410212"</f>
        <v>9410212</v>
      </c>
      <c r="AJ9006" t="s">
        <v>12747</v>
      </c>
      <c r="AK9006">
        <v>2831022132</v>
      </c>
      <c r="AL9006" t="s">
        <v>12748</v>
      </c>
      <c r="AM9006" t="s">
        <v>64</v>
      </c>
      <c r="AN9006" t="s">
        <v>65</v>
      </c>
      <c r="AO9006" t="s">
        <v>65</v>
      </c>
      <c r="AP9006" t="s">
        <v>65</v>
      </c>
      <c r="AQ9006">
        <v>1</v>
      </c>
      <c r="AR9006" t="s">
        <v>66</v>
      </c>
      <c r="AS9006" t="s">
        <v>67</v>
      </c>
      <c r="AT9006" t="s">
        <v>58</v>
      </c>
      <c r="AU9006" t="s">
        <v>68</v>
      </c>
      <c r="AV9006" t="s">
        <v>69</v>
      </c>
      <c r="AW9006" s="1">
        <v>23921</v>
      </c>
      <c r="AX9006">
        <v>1</v>
      </c>
    </row>
    <row r="9007" spans="1:50">
      <c r="B9007" t="str">
        <f>"139271918"</f>
        <v>139271918</v>
      </c>
      <c r="C9007" t="s">
        <v>50</v>
      </c>
      <c r="D9007" t="s">
        <v>13636</v>
      </c>
      <c r="E9007" t="s">
        <v>2301</v>
      </c>
      <c r="F9007" t="s">
        <v>230</v>
      </c>
      <c r="G9007" t="s">
        <v>600</v>
      </c>
      <c r="H9007" t="str">
        <f>" "</f>
        <v xml:space="preserve"> </v>
      </c>
      <c r="N9007" t="s">
        <v>1525</v>
      </c>
      <c r="O9007" t="s">
        <v>1526</v>
      </c>
      <c r="R9007" t="s">
        <v>121</v>
      </c>
      <c r="S9007">
        <v>2</v>
      </c>
      <c r="T9007" t="s">
        <v>8670</v>
      </c>
      <c r="U9007" s="1">
        <v>43348</v>
      </c>
      <c r="V9007" t="s">
        <v>66</v>
      </c>
      <c r="W9007" t="s">
        <v>67</v>
      </c>
      <c r="X9007" t="s">
        <v>58</v>
      </c>
      <c r="Y9007">
        <v>25</v>
      </c>
      <c r="Z9007" t="s">
        <v>59</v>
      </c>
      <c r="AA9007" t="s">
        <v>59</v>
      </c>
      <c r="AB9007" t="s">
        <v>59</v>
      </c>
      <c r="AD9007" t="s">
        <v>59</v>
      </c>
      <c r="AF9007" s="1">
        <v>43348</v>
      </c>
      <c r="AG9007" t="s">
        <v>8651</v>
      </c>
      <c r="AH9007" t="s">
        <v>8652</v>
      </c>
      <c r="AI9007" t="str">
        <f>"9410251"</f>
        <v>9410251</v>
      </c>
      <c r="AJ9007" t="s">
        <v>13450</v>
      </c>
      <c r="AK9007">
        <v>2833041360</v>
      </c>
      <c r="AL9007" t="s">
        <v>13451</v>
      </c>
      <c r="AM9007" t="s">
        <v>64</v>
      </c>
      <c r="AN9007" t="s">
        <v>5713</v>
      </c>
      <c r="AO9007" t="s">
        <v>5780</v>
      </c>
      <c r="AP9007" t="s">
        <v>5781</v>
      </c>
      <c r="AQ9007">
        <v>6</v>
      </c>
      <c r="AR9007" t="s">
        <v>66</v>
      </c>
      <c r="AS9007" t="s">
        <v>67</v>
      </c>
      <c r="AT9007" t="s">
        <v>58</v>
      </c>
      <c r="AU9007" t="s">
        <v>8673</v>
      </c>
      <c r="AV9007" t="s">
        <v>132</v>
      </c>
      <c r="AW9007" s="1">
        <v>30156</v>
      </c>
      <c r="AX9007">
        <v>1</v>
      </c>
    </row>
    <row r="9008" spans="1:50">
      <c r="A9008">
        <v>582820</v>
      </c>
      <c r="B9008" t="str">
        <f>"062329923"</f>
        <v>062329923</v>
      </c>
      <c r="C9008" t="s">
        <v>50</v>
      </c>
      <c r="D9008" t="s">
        <v>13637</v>
      </c>
      <c r="E9008" t="s">
        <v>1108</v>
      </c>
      <c r="F9008" t="s">
        <v>95</v>
      </c>
      <c r="G9008" t="s">
        <v>2297</v>
      </c>
      <c r="H9008" t="str">
        <f>" "</f>
        <v xml:space="preserve"> </v>
      </c>
      <c r="N9008" t="s">
        <v>1525</v>
      </c>
      <c r="O9008" t="s">
        <v>1526</v>
      </c>
      <c r="R9008" t="s">
        <v>57</v>
      </c>
      <c r="S9008">
        <v>12</v>
      </c>
      <c r="T9008">
        <v>179</v>
      </c>
      <c r="U9008" s="1">
        <v>35674</v>
      </c>
      <c r="V9008" t="s">
        <v>66</v>
      </c>
      <c r="W9008" t="s">
        <v>67</v>
      </c>
      <c r="X9008" t="s">
        <v>58</v>
      </c>
      <c r="Y9008">
        <v>25</v>
      </c>
      <c r="Z9008" t="s">
        <v>59</v>
      </c>
      <c r="AA9008" t="s">
        <v>59</v>
      </c>
      <c r="AB9008" t="s">
        <v>59</v>
      </c>
      <c r="AC9008" t="s">
        <v>59</v>
      </c>
      <c r="AD9008" t="s">
        <v>59</v>
      </c>
      <c r="AF9008" s="1">
        <v>35676</v>
      </c>
      <c r="AG9008" t="s">
        <v>8651</v>
      </c>
      <c r="AH9008" t="s">
        <v>8652</v>
      </c>
      <c r="AI9008" t="str">
        <f>"9410267"</f>
        <v>9410267</v>
      </c>
      <c r="AJ9008" t="s">
        <v>13638</v>
      </c>
      <c r="AK9008">
        <v>2831029089</v>
      </c>
      <c r="AL9008" t="s">
        <v>13639</v>
      </c>
      <c r="AM9008" t="s">
        <v>64</v>
      </c>
      <c r="AN9008" t="s">
        <v>65</v>
      </c>
      <c r="AO9008" t="s">
        <v>65</v>
      </c>
      <c r="AP9008" t="s">
        <v>65</v>
      </c>
      <c r="AQ9008">
        <v>1</v>
      </c>
      <c r="AR9008" t="s">
        <v>66</v>
      </c>
      <c r="AS9008" t="s">
        <v>67</v>
      </c>
      <c r="AT9008" t="s">
        <v>58</v>
      </c>
      <c r="AU9008" t="s">
        <v>68</v>
      </c>
      <c r="AV9008" t="s">
        <v>69</v>
      </c>
      <c r="AW9008" s="1">
        <v>23990</v>
      </c>
      <c r="AX9008">
        <v>1</v>
      </c>
    </row>
    <row r="9009" spans="1:50">
      <c r="B9009" t="str">
        <f>"140958500"</f>
        <v>140958500</v>
      </c>
      <c r="C9009" t="s">
        <v>50</v>
      </c>
      <c r="D9009" t="s">
        <v>13640</v>
      </c>
      <c r="E9009" t="s">
        <v>83</v>
      </c>
      <c r="F9009" t="s">
        <v>95</v>
      </c>
      <c r="G9009" t="s">
        <v>714</v>
      </c>
      <c r="H9009" t="str">
        <f>"ΒΑΛΑΩΡΙΤΟΥ 13 "</f>
        <v xml:space="preserve">ΒΑΛΑΩΡΙΤΟΥ 13 </v>
      </c>
      <c r="I9009">
        <v>42100</v>
      </c>
      <c r="J9009">
        <v>2431029116</v>
      </c>
      <c r="K9009">
        <v>6972716814</v>
      </c>
      <c r="N9009" t="s">
        <v>1525</v>
      </c>
      <c r="O9009" t="s">
        <v>1526</v>
      </c>
      <c r="R9009" t="s">
        <v>159</v>
      </c>
      <c r="S9009">
        <v>4</v>
      </c>
      <c r="T9009" t="s">
        <v>8670</v>
      </c>
      <c r="U9009" s="1">
        <v>43348</v>
      </c>
      <c r="V9009" t="s">
        <v>66</v>
      </c>
      <c r="W9009" t="s">
        <v>67</v>
      </c>
      <c r="X9009" t="s">
        <v>58</v>
      </c>
      <c r="Y9009">
        <v>25</v>
      </c>
      <c r="Z9009" t="s">
        <v>59</v>
      </c>
      <c r="AA9009" t="s">
        <v>59</v>
      </c>
      <c r="AB9009" t="s">
        <v>59</v>
      </c>
      <c r="AC9009" t="s">
        <v>59</v>
      </c>
      <c r="AD9009" t="s">
        <v>59</v>
      </c>
      <c r="AF9009" s="1">
        <v>43348</v>
      </c>
      <c r="AG9009" t="s">
        <v>8651</v>
      </c>
      <c r="AH9009" t="s">
        <v>8652</v>
      </c>
      <c r="AI9009" t="str">
        <f>"9410260"</f>
        <v>9410260</v>
      </c>
      <c r="AJ9009" t="s">
        <v>12844</v>
      </c>
      <c r="AK9009">
        <v>2834023621</v>
      </c>
      <c r="AL9009" t="s">
        <v>12845</v>
      </c>
      <c r="AM9009" t="s">
        <v>64</v>
      </c>
      <c r="AN9009" t="s">
        <v>5672</v>
      </c>
      <c r="AO9009" t="s">
        <v>5673</v>
      </c>
      <c r="AP9009" t="s">
        <v>5689</v>
      </c>
      <c r="AQ9009">
        <v>7</v>
      </c>
      <c r="AR9009" t="s">
        <v>66</v>
      </c>
      <c r="AS9009" t="s">
        <v>67</v>
      </c>
      <c r="AT9009" t="s">
        <v>58</v>
      </c>
      <c r="AU9009" t="s">
        <v>8673</v>
      </c>
      <c r="AV9009" t="s">
        <v>132</v>
      </c>
      <c r="AW9009" s="1">
        <v>31797</v>
      </c>
      <c r="AX9009">
        <v>1</v>
      </c>
    </row>
    <row r="9010" spans="1:50">
      <c r="B9010" t="str">
        <f>"139055527"</f>
        <v>139055527</v>
      </c>
      <c r="C9010" t="s">
        <v>50</v>
      </c>
      <c r="D9010" t="s">
        <v>13641</v>
      </c>
      <c r="E9010" t="s">
        <v>250</v>
      </c>
      <c r="F9010" t="s">
        <v>95</v>
      </c>
      <c r="G9010" t="s">
        <v>1345</v>
      </c>
      <c r="H9010" t="str">
        <f>"ΑΝΩ ΛΕΧΩΝΙΑ ΒΟΛΟΣ"</f>
        <v>ΑΝΩ ΛΕΧΩΝΙΑ ΒΟΛΟΣ</v>
      </c>
      <c r="I9010">
        <v>37300</v>
      </c>
      <c r="J9010">
        <v>2428094208</v>
      </c>
      <c r="K9010">
        <v>6988618648</v>
      </c>
      <c r="M9010" t="s">
        <v>13642</v>
      </c>
      <c r="N9010" t="s">
        <v>306</v>
      </c>
      <c r="O9010" t="s">
        <v>307</v>
      </c>
      <c r="R9010" t="s">
        <v>159</v>
      </c>
      <c r="S9010">
        <v>2</v>
      </c>
      <c r="T9010" t="s">
        <v>8675</v>
      </c>
      <c r="U9010" s="1">
        <v>43348</v>
      </c>
      <c r="V9010" t="s">
        <v>66</v>
      </c>
      <c r="W9010" t="s">
        <v>67</v>
      </c>
      <c r="X9010" t="s">
        <v>58</v>
      </c>
      <c r="Y9010">
        <v>24</v>
      </c>
      <c r="Z9010" t="s">
        <v>59</v>
      </c>
      <c r="AA9010" t="s">
        <v>59</v>
      </c>
      <c r="AB9010" t="s">
        <v>59</v>
      </c>
      <c r="AC9010" t="s">
        <v>59</v>
      </c>
      <c r="AD9010" t="s">
        <v>59</v>
      </c>
      <c r="AF9010" s="1">
        <v>43348</v>
      </c>
      <c r="AG9010" t="s">
        <v>8645</v>
      </c>
      <c r="AH9010" t="s">
        <v>8646</v>
      </c>
      <c r="AI9010" t="str">
        <f>"9410166"</f>
        <v>9410166</v>
      </c>
      <c r="AJ9010" t="s">
        <v>12666</v>
      </c>
      <c r="AK9010">
        <v>2831031311</v>
      </c>
      <c r="AL9010" t="s">
        <v>12667</v>
      </c>
      <c r="AM9010" t="s">
        <v>64</v>
      </c>
      <c r="AN9010" t="s">
        <v>65</v>
      </c>
      <c r="AO9010" t="s">
        <v>5720</v>
      </c>
      <c r="AP9010" t="s">
        <v>5721</v>
      </c>
      <c r="AQ9010">
        <v>2</v>
      </c>
      <c r="AR9010" t="s">
        <v>66</v>
      </c>
      <c r="AS9010" t="s">
        <v>67</v>
      </c>
      <c r="AT9010" t="s">
        <v>58</v>
      </c>
      <c r="AU9010" t="s">
        <v>8673</v>
      </c>
      <c r="AV9010" t="s">
        <v>132</v>
      </c>
      <c r="AW9010" s="1">
        <v>30173</v>
      </c>
      <c r="AX9010">
        <v>1</v>
      </c>
    </row>
    <row r="9011" spans="1:50">
      <c r="B9011" t="str">
        <f>"136562790"</f>
        <v>136562790</v>
      </c>
      <c r="C9011" t="s">
        <v>50</v>
      </c>
      <c r="D9011" t="s">
        <v>13643</v>
      </c>
      <c r="E9011" t="s">
        <v>5342</v>
      </c>
      <c r="F9011" t="s">
        <v>53</v>
      </c>
      <c r="G9011" t="s">
        <v>155</v>
      </c>
      <c r="H9011" t="str">
        <f>"ΦΑΛΑΝΗ - ΠΕΡΑΙΒΙΑΣ ΛΑΡΙΣΑ"</f>
        <v>ΦΑΛΑΝΗ - ΠΕΡΑΙΒΙΑΣ ΛΑΡΙΣΑ</v>
      </c>
      <c r="I9011">
        <v>40011</v>
      </c>
      <c r="J9011">
        <v>2410941900</v>
      </c>
      <c r="K9011">
        <v>6948944864</v>
      </c>
      <c r="M9011" t="s">
        <v>13644</v>
      </c>
      <c r="N9011" t="s">
        <v>337</v>
      </c>
      <c r="O9011" t="s">
        <v>338</v>
      </c>
      <c r="R9011" t="s">
        <v>121</v>
      </c>
      <c r="S9011">
        <v>1</v>
      </c>
      <c r="T9011" t="s">
        <v>8675</v>
      </c>
      <c r="U9011" s="1">
        <v>43348</v>
      </c>
      <c r="V9011" t="s">
        <v>66</v>
      </c>
      <c r="W9011" t="s">
        <v>67</v>
      </c>
      <c r="X9011" t="s">
        <v>58</v>
      </c>
      <c r="Y9011">
        <v>24</v>
      </c>
      <c r="Z9011" t="s">
        <v>59</v>
      </c>
      <c r="AA9011" t="s">
        <v>59</v>
      </c>
      <c r="AB9011" t="s">
        <v>59</v>
      </c>
      <c r="AC9011" t="s">
        <v>59</v>
      </c>
      <c r="AD9011" t="s">
        <v>59</v>
      </c>
      <c r="AF9011" s="1">
        <v>43348</v>
      </c>
      <c r="AG9011" t="s">
        <v>8645</v>
      </c>
      <c r="AH9011" t="s">
        <v>8646</v>
      </c>
      <c r="AI9011" t="str">
        <f>"9521348"</f>
        <v>9521348</v>
      </c>
      <c r="AJ9011" t="s">
        <v>12714</v>
      </c>
      <c r="AK9011">
        <v>2831021334</v>
      </c>
      <c r="AL9011" t="s">
        <v>12715</v>
      </c>
      <c r="AM9011" t="s">
        <v>64</v>
      </c>
      <c r="AN9011" t="s">
        <v>65</v>
      </c>
      <c r="AO9011" t="s">
        <v>5720</v>
      </c>
      <c r="AP9011" t="s">
        <v>5721</v>
      </c>
      <c r="AQ9011">
        <v>2</v>
      </c>
      <c r="AR9011" t="s">
        <v>66</v>
      </c>
      <c r="AS9011" t="s">
        <v>67</v>
      </c>
      <c r="AT9011" t="s">
        <v>58</v>
      </c>
      <c r="AU9011" t="s">
        <v>8673</v>
      </c>
      <c r="AV9011" t="s">
        <v>132</v>
      </c>
      <c r="AW9011" s="1">
        <v>31502</v>
      </c>
      <c r="AX9011">
        <v>1</v>
      </c>
    </row>
    <row r="9012" spans="1:50">
      <c r="A9012">
        <v>606275</v>
      </c>
      <c r="B9012" t="str">
        <f>"067791463"</f>
        <v>067791463</v>
      </c>
      <c r="C9012" t="s">
        <v>50</v>
      </c>
      <c r="D9012" t="s">
        <v>13645</v>
      </c>
      <c r="E9012" t="s">
        <v>964</v>
      </c>
      <c r="F9012" t="s">
        <v>84</v>
      </c>
      <c r="G9012" t="s">
        <v>83</v>
      </c>
      <c r="H9012" t="str">
        <f>" "</f>
        <v xml:space="preserve"> </v>
      </c>
      <c r="J9012">
        <v>2106856080</v>
      </c>
      <c r="K9012">
        <v>6942488393</v>
      </c>
      <c r="N9012" t="s">
        <v>1525</v>
      </c>
      <c r="O9012" t="s">
        <v>1526</v>
      </c>
      <c r="R9012" t="s">
        <v>57</v>
      </c>
      <c r="S9012">
        <v>7</v>
      </c>
      <c r="T9012">
        <v>231</v>
      </c>
      <c r="U9012" s="1">
        <v>38230</v>
      </c>
      <c r="V9012" t="s">
        <v>66</v>
      </c>
      <c r="W9012" t="s">
        <v>67</v>
      </c>
      <c r="X9012" t="s">
        <v>58</v>
      </c>
      <c r="Y9012">
        <v>25</v>
      </c>
      <c r="Z9012" t="s">
        <v>59</v>
      </c>
      <c r="AA9012" t="s">
        <v>59</v>
      </c>
      <c r="AB9012" t="s">
        <v>59</v>
      </c>
      <c r="AC9012" t="s">
        <v>59</v>
      </c>
      <c r="AD9012" t="s">
        <v>59</v>
      </c>
      <c r="AF9012" s="1">
        <v>38233</v>
      </c>
      <c r="AG9012" t="s">
        <v>8651</v>
      </c>
      <c r="AH9012" t="s">
        <v>8652</v>
      </c>
      <c r="AI9012" t="str">
        <f>"9410247"</f>
        <v>9410247</v>
      </c>
      <c r="AJ9012" t="s">
        <v>12907</v>
      </c>
      <c r="AK9012">
        <v>2831022381</v>
      </c>
      <c r="AL9012" t="s">
        <v>12908</v>
      </c>
      <c r="AM9012" t="s">
        <v>64</v>
      </c>
      <c r="AN9012" t="s">
        <v>65</v>
      </c>
      <c r="AO9012" t="s">
        <v>65</v>
      </c>
      <c r="AP9012" t="s">
        <v>65</v>
      </c>
      <c r="AQ9012">
        <v>1</v>
      </c>
      <c r="AR9012" t="s">
        <v>66</v>
      </c>
      <c r="AS9012" t="s">
        <v>67</v>
      </c>
      <c r="AT9012" t="s">
        <v>58</v>
      </c>
      <c r="AU9012" t="s">
        <v>68</v>
      </c>
      <c r="AV9012" t="s">
        <v>69</v>
      </c>
      <c r="AW9012" s="1">
        <v>28962</v>
      </c>
      <c r="AX9012">
        <v>1</v>
      </c>
    </row>
    <row r="9013" spans="1:50">
      <c r="B9013" t="str">
        <f>"076082620"</f>
        <v>076082620</v>
      </c>
      <c r="C9013" t="s">
        <v>50</v>
      </c>
      <c r="D9013" t="s">
        <v>8309</v>
      </c>
      <c r="E9013" t="s">
        <v>54</v>
      </c>
      <c r="F9013" t="s">
        <v>936</v>
      </c>
      <c r="G9013" t="s">
        <v>3150</v>
      </c>
      <c r="H9013" t="str">
        <f>"Γ ΑΝΔΡΟΥΛΙΔΑΚΗ 34 "</f>
        <v xml:space="preserve">Γ ΑΝΔΡΟΥΛΙΔΑΚΗ 34 </v>
      </c>
      <c r="I9013">
        <v>74100</v>
      </c>
      <c r="J9013">
        <v>2831051917</v>
      </c>
      <c r="K9013">
        <v>6946260432</v>
      </c>
      <c r="N9013" t="s">
        <v>1525</v>
      </c>
      <c r="O9013" t="s">
        <v>1526</v>
      </c>
      <c r="R9013" t="s">
        <v>159</v>
      </c>
      <c r="S9013">
        <v>4</v>
      </c>
      <c r="T9013" t="s">
        <v>8670</v>
      </c>
      <c r="U9013" s="1">
        <v>43348</v>
      </c>
      <c r="V9013" t="s">
        <v>66</v>
      </c>
      <c r="W9013" t="s">
        <v>67</v>
      </c>
      <c r="X9013" t="s">
        <v>58</v>
      </c>
      <c r="Y9013">
        <v>25</v>
      </c>
      <c r="Z9013" t="s">
        <v>59</v>
      </c>
      <c r="AA9013" t="s">
        <v>59</v>
      </c>
      <c r="AB9013" t="s">
        <v>59</v>
      </c>
      <c r="AC9013" t="s">
        <v>59</v>
      </c>
      <c r="AD9013" t="s">
        <v>59</v>
      </c>
      <c r="AF9013" s="1">
        <v>43348</v>
      </c>
      <c r="AG9013" t="s">
        <v>8651</v>
      </c>
      <c r="AH9013" t="s">
        <v>8652</v>
      </c>
      <c r="AI9013" t="str">
        <f>"9410249"</f>
        <v>9410249</v>
      </c>
      <c r="AJ9013" t="s">
        <v>13113</v>
      </c>
      <c r="AK9013">
        <v>2831032526</v>
      </c>
      <c r="AL9013" t="s">
        <v>13114</v>
      </c>
      <c r="AM9013" t="s">
        <v>64</v>
      </c>
      <c r="AN9013" t="s">
        <v>65</v>
      </c>
      <c r="AO9013" t="s">
        <v>5720</v>
      </c>
      <c r="AP9013" t="s">
        <v>12938</v>
      </c>
      <c r="AQ9013">
        <v>2</v>
      </c>
      <c r="AR9013" t="s">
        <v>66</v>
      </c>
      <c r="AS9013" t="s">
        <v>67</v>
      </c>
      <c r="AT9013" t="s">
        <v>58</v>
      </c>
      <c r="AU9013" t="s">
        <v>8673</v>
      </c>
      <c r="AV9013" t="s">
        <v>132</v>
      </c>
      <c r="AW9013" s="1">
        <v>25971</v>
      </c>
      <c r="AX9013">
        <v>1</v>
      </c>
    </row>
    <row r="9014" spans="1:50">
      <c r="A9014">
        <v>593019</v>
      </c>
      <c r="B9014" t="str">
        <f>"062013928"</f>
        <v>062013928</v>
      </c>
      <c r="C9014" t="s">
        <v>50</v>
      </c>
      <c r="D9014" t="s">
        <v>3769</v>
      </c>
      <c r="E9014" t="s">
        <v>73</v>
      </c>
      <c r="F9014" t="s">
        <v>53</v>
      </c>
      <c r="G9014" t="s">
        <v>181</v>
      </c>
      <c r="H9014" t="str">
        <f>" "</f>
        <v xml:space="preserve"> </v>
      </c>
      <c r="N9014" t="s">
        <v>615</v>
      </c>
      <c r="O9014" t="s">
        <v>616</v>
      </c>
      <c r="P9014" t="s">
        <v>146</v>
      </c>
      <c r="Q9014" t="s">
        <v>147</v>
      </c>
      <c r="R9014" t="s">
        <v>57</v>
      </c>
      <c r="S9014">
        <v>8</v>
      </c>
      <c r="T9014">
        <v>218</v>
      </c>
      <c r="U9014" s="1">
        <v>37138</v>
      </c>
      <c r="V9014" t="s">
        <v>66</v>
      </c>
      <c r="W9014" t="s">
        <v>67</v>
      </c>
      <c r="X9014" t="s">
        <v>58</v>
      </c>
      <c r="Y9014">
        <v>22</v>
      </c>
      <c r="Z9014" t="s">
        <v>59</v>
      </c>
      <c r="AA9014" t="s">
        <v>59</v>
      </c>
      <c r="AB9014" t="s">
        <v>59</v>
      </c>
      <c r="AC9014" t="s">
        <v>59</v>
      </c>
      <c r="AD9014" t="s">
        <v>59</v>
      </c>
      <c r="AF9014" s="1">
        <v>37138</v>
      </c>
      <c r="AG9014" t="s">
        <v>8645</v>
      </c>
      <c r="AH9014" t="s">
        <v>8646</v>
      </c>
      <c r="AI9014" t="str">
        <f>"9410082"</f>
        <v>9410082</v>
      </c>
      <c r="AJ9014" t="s">
        <v>13195</v>
      </c>
      <c r="AK9014">
        <v>2831075013</v>
      </c>
      <c r="AL9014" t="s">
        <v>13196</v>
      </c>
      <c r="AM9014" t="s">
        <v>64</v>
      </c>
      <c r="AN9014" t="s">
        <v>65</v>
      </c>
      <c r="AO9014" t="s">
        <v>65</v>
      </c>
      <c r="AP9014" t="s">
        <v>12884</v>
      </c>
      <c r="AQ9014">
        <v>3</v>
      </c>
      <c r="AR9014" t="s">
        <v>66</v>
      </c>
      <c r="AS9014" t="s">
        <v>67</v>
      </c>
      <c r="AT9014" t="s">
        <v>58</v>
      </c>
      <c r="AU9014" t="s">
        <v>68</v>
      </c>
      <c r="AV9014" t="s">
        <v>69</v>
      </c>
      <c r="AW9014" s="1">
        <v>27210</v>
      </c>
      <c r="AX9014">
        <v>1</v>
      </c>
    </row>
    <row r="9015" spans="1:50">
      <c r="A9015">
        <v>578187</v>
      </c>
      <c r="B9015" t="str">
        <f>"050757127"</f>
        <v>050757127</v>
      </c>
      <c r="C9015" t="s">
        <v>50</v>
      </c>
      <c r="D9015" t="s">
        <v>3788</v>
      </c>
      <c r="E9015" t="s">
        <v>842</v>
      </c>
      <c r="F9015" t="s">
        <v>106</v>
      </c>
      <c r="G9015" t="s">
        <v>1120</v>
      </c>
      <c r="H9015" t="str">
        <f>"ΚΟΛΟΚΟΤΡΩΝΗ 18 ΡΕΘΥΜΝΟ"</f>
        <v>ΚΟΛΟΚΟΤΡΩΝΗ 18 ΡΕΘΥΜΝΟ</v>
      </c>
      <c r="I9015">
        <v>74100</v>
      </c>
      <c r="J9015">
        <v>2831054478</v>
      </c>
      <c r="K9015">
        <v>6946817202</v>
      </c>
      <c r="M9015" t="s">
        <v>13646</v>
      </c>
      <c r="N9015" t="s">
        <v>615</v>
      </c>
      <c r="O9015" t="s">
        <v>616</v>
      </c>
      <c r="R9015" t="s">
        <v>57</v>
      </c>
      <c r="S9015">
        <v>13</v>
      </c>
      <c r="T9015">
        <v>165</v>
      </c>
      <c r="U9015" s="1">
        <v>35300</v>
      </c>
      <c r="V9015" t="s">
        <v>66</v>
      </c>
      <c r="W9015" t="s">
        <v>67</v>
      </c>
      <c r="X9015" t="s">
        <v>58</v>
      </c>
      <c r="Y9015">
        <v>21</v>
      </c>
      <c r="Z9015" t="s">
        <v>59</v>
      </c>
      <c r="AA9015" t="s">
        <v>59</v>
      </c>
      <c r="AB9015" t="s">
        <v>59</v>
      </c>
      <c r="AC9015" t="s">
        <v>59</v>
      </c>
      <c r="AD9015" t="s">
        <v>59</v>
      </c>
      <c r="AF9015" s="1">
        <v>35313</v>
      </c>
      <c r="AG9015" t="s">
        <v>8645</v>
      </c>
      <c r="AH9015" t="s">
        <v>8646</v>
      </c>
      <c r="AI9015" t="str">
        <f>"9410241"</f>
        <v>9410241</v>
      </c>
      <c r="AJ9015" t="s">
        <v>12783</v>
      </c>
      <c r="AK9015">
        <v>2831022616</v>
      </c>
      <c r="AL9015" t="s">
        <v>12784</v>
      </c>
      <c r="AM9015" t="s">
        <v>64</v>
      </c>
      <c r="AN9015" t="s">
        <v>65</v>
      </c>
      <c r="AO9015" t="s">
        <v>65</v>
      </c>
      <c r="AP9015" t="s">
        <v>65</v>
      </c>
      <c r="AQ9015">
        <v>1</v>
      </c>
      <c r="AR9015" t="s">
        <v>66</v>
      </c>
      <c r="AS9015" t="s">
        <v>67</v>
      </c>
      <c r="AT9015" t="s">
        <v>58</v>
      </c>
      <c r="AU9015" t="s">
        <v>68</v>
      </c>
      <c r="AV9015" t="s">
        <v>69</v>
      </c>
      <c r="AW9015" s="1">
        <v>24546</v>
      </c>
      <c r="AX9015">
        <v>1</v>
      </c>
    </row>
    <row r="9016" spans="1:50">
      <c r="A9016">
        <v>602941</v>
      </c>
      <c r="B9016" t="str">
        <f>"045567939"</f>
        <v>045567939</v>
      </c>
      <c r="C9016" t="s">
        <v>50</v>
      </c>
      <c r="D9016" t="s">
        <v>3788</v>
      </c>
      <c r="E9016" t="s">
        <v>52</v>
      </c>
      <c r="F9016" t="s">
        <v>377</v>
      </c>
      <c r="G9016" t="s">
        <v>801</v>
      </c>
      <c r="H9016" t="str">
        <f>" "</f>
        <v xml:space="preserve"> </v>
      </c>
      <c r="J9016">
        <v>2831050157</v>
      </c>
      <c r="K9016">
        <v>6944261074</v>
      </c>
      <c r="N9016" t="s">
        <v>1525</v>
      </c>
      <c r="O9016" t="s">
        <v>1526</v>
      </c>
      <c r="R9016" t="s">
        <v>57</v>
      </c>
      <c r="S9016">
        <v>10</v>
      </c>
      <c r="T9016">
        <v>207</v>
      </c>
      <c r="U9016" s="1">
        <v>37878</v>
      </c>
      <c r="V9016" t="s">
        <v>66</v>
      </c>
      <c r="W9016" t="s">
        <v>67</v>
      </c>
      <c r="X9016" t="s">
        <v>58</v>
      </c>
      <c r="Y9016">
        <v>25</v>
      </c>
      <c r="Z9016" t="s">
        <v>59</v>
      </c>
      <c r="AA9016" t="s">
        <v>59</v>
      </c>
      <c r="AB9016" t="s">
        <v>59</v>
      </c>
      <c r="AC9016" t="s">
        <v>59</v>
      </c>
      <c r="AD9016" t="s">
        <v>59</v>
      </c>
      <c r="AF9016" s="1">
        <v>37878</v>
      </c>
      <c r="AG9016" t="s">
        <v>8651</v>
      </c>
      <c r="AH9016" t="s">
        <v>8652</v>
      </c>
      <c r="AI9016" t="str">
        <f>"9410196"</f>
        <v>9410196</v>
      </c>
      <c r="AJ9016" t="s">
        <v>13338</v>
      </c>
      <c r="AK9016">
        <v>2831027495</v>
      </c>
      <c r="AL9016" t="s">
        <v>13339</v>
      </c>
      <c r="AM9016" t="s">
        <v>64</v>
      </c>
      <c r="AN9016" t="s">
        <v>65</v>
      </c>
      <c r="AO9016" t="s">
        <v>65</v>
      </c>
      <c r="AP9016" t="s">
        <v>65</v>
      </c>
      <c r="AQ9016">
        <v>1</v>
      </c>
      <c r="AR9016" t="s">
        <v>66</v>
      </c>
      <c r="AS9016" t="s">
        <v>67</v>
      </c>
      <c r="AT9016" t="s">
        <v>58</v>
      </c>
      <c r="AU9016" t="s">
        <v>68</v>
      </c>
      <c r="AV9016" t="s">
        <v>69</v>
      </c>
      <c r="AW9016" s="1">
        <v>24153</v>
      </c>
      <c r="AX9016">
        <v>1</v>
      </c>
    </row>
    <row r="9017" spans="1:50">
      <c r="A9017">
        <v>621497</v>
      </c>
      <c r="B9017" t="str">
        <f>"137466070"</f>
        <v>137466070</v>
      </c>
      <c r="C9017" t="s">
        <v>50</v>
      </c>
      <c r="D9017" t="s">
        <v>13647</v>
      </c>
      <c r="E9017" t="s">
        <v>809</v>
      </c>
      <c r="F9017" t="s">
        <v>72</v>
      </c>
      <c r="G9017" t="s">
        <v>263</v>
      </c>
      <c r="H9017" t="str">
        <f>"ΑΓΑΜΕΜΝΟΝΟΣ 4 ΡΕΘΥΜΝΟ"</f>
        <v>ΑΓΑΜΕΜΝΟΝΟΣ 4 ΡΕΘΥΜΝΟ</v>
      </c>
      <c r="I9017">
        <v>74100</v>
      </c>
      <c r="J9017">
        <v>2831027568</v>
      </c>
      <c r="K9017">
        <v>6972147407</v>
      </c>
      <c r="N9017" t="s">
        <v>615</v>
      </c>
      <c r="O9017" t="s">
        <v>616</v>
      </c>
      <c r="R9017" t="s">
        <v>57</v>
      </c>
      <c r="S9017">
        <v>6</v>
      </c>
      <c r="T9017">
        <v>653</v>
      </c>
      <c r="U9017" s="1">
        <v>40043</v>
      </c>
      <c r="V9017" t="s">
        <v>66</v>
      </c>
      <c r="W9017" t="s">
        <v>67</v>
      </c>
      <c r="X9017" t="s">
        <v>58</v>
      </c>
      <c r="Y9017">
        <v>23</v>
      </c>
      <c r="Z9017" t="s">
        <v>59</v>
      </c>
      <c r="AA9017" t="s">
        <v>59</v>
      </c>
      <c r="AB9017" t="s">
        <v>59</v>
      </c>
      <c r="AC9017" t="s">
        <v>59</v>
      </c>
      <c r="AD9017" t="s">
        <v>59</v>
      </c>
      <c r="AF9017" s="1">
        <v>40043</v>
      </c>
      <c r="AG9017" t="s">
        <v>8645</v>
      </c>
      <c r="AH9017" t="s">
        <v>8646</v>
      </c>
      <c r="AI9017" t="str">
        <f>"9410150"</f>
        <v>9410150</v>
      </c>
      <c r="AJ9017" t="s">
        <v>12733</v>
      </c>
      <c r="AK9017">
        <v>2831052969</v>
      </c>
      <c r="AL9017" t="s">
        <v>12734</v>
      </c>
      <c r="AM9017" t="s">
        <v>64</v>
      </c>
      <c r="AN9017" t="s">
        <v>65</v>
      </c>
      <c r="AO9017" t="s">
        <v>65</v>
      </c>
      <c r="AP9017" t="s">
        <v>65</v>
      </c>
      <c r="AQ9017">
        <v>1</v>
      </c>
      <c r="AR9017" t="s">
        <v>66</v>
      </c>
      <c r="AS9017" t="s">
        <v>67</v>
      </c>
      <c r="AT9017" t="s">
        <v>58</v>
      </c>
      <c r="AU9017" t="s">
        <v>68</v>
      </c>
      <c r="AV9017" t="s">
        <v>69</v>
      </c>
      <c r="AW9017" s="1">
        <v>31782</v>
      </c>
      <c r="AX9017">
        <v>1</v>
      </c>
    </row>
    <row r="9018" spans="1:50">
      <c r="B9018" t="str">
        <f>"057951117"</f>
        <v>057951117</v>
      </c>
      <c r="C9018" t="s">
        <v>50</v>
      </c>
      <c r="D9018" t="s">
        <v>13648</v>
      </c>
      <c r="E9018" t="s">
        <v>52</v>
      </c>
      <c r="F9018" t="s">
        <v>95</v>
      </c>
      <c r="G9018" t="s">
        <v>563</v>
      </c>
      <c r="H9018" t="str">
        <f>"ΑΣΚΟΥΤΣΗ 70 "</f>
        <v xml:space="preserve">ΑΣΚΟΥΤΣΗ 70 </v>
      </c>
      <c r="I9018">
        <v>74100</v>
      </c>
      <c r="J9018">
        <v>2831028777</v>
      </c>
      <c r="K9018">
        <v>6938220631</v>
      </c>
      <c r="N9018" t="s">
        <v>1525</v>
      </c>
      <c r="O9018" t="s">
        <v>1526</v>
      </c>
      <c r="R9018" t="s">
        <v>159</v>
      </c>
      <c r="S9018">
        <v>4</v>
      </c>
      <c r="T9018" t="s">
        <v>8670</v>
      </c>
      <c r="U9018" s="1">
        <v>43348</v>
      </c>
      <c r="V9018" t="s">
        <v>66</v>
      </c>
      <c r="W9018" t="s">
        <v>67</v>
      </c>
      <c r="X9018" t="s">
        <v>58</v>
      </c>
      <c r="Y9018">
        <v>25</v>
      </c>
      <c r="Z9018" t="s">
        <v>59</v>
      </c>
      <c r="AA9018" t="s">
        <v>59</v>
      </c>
      <c r="AB9018" t="s">
        <v>59</v>
      </c>
      <c r="AC9018" t="s">
        <v>59</v>
      </c>
      <c r="AD9018" t="s">
        <v>59</v>
      </c>
      <c r="AF9018" s="1">
        <v>43348</v>
      </c>
      <c r="AG9018" t="s">
        <v>8651</v>
      </c>
      <c r="AH9018" t="s">
        <v>8652</v>
      </c>
      <c r="AI9018" t="str">
        <f>"9410219"</f>
        <v>9410219</v>
      </c>
      <c r="AJ9018" t="s">
        <v>13649</v>
      </c>
      <c r="AK9018">
        <v>2832031213</v>
      </c>
      <c r="AL9018" t="s">
        <v>13650</v>
      </c>
      <c r="AM9018" t="s">
        <v>64</v>
      </c>
      <c r="AN9018" t="s">
        <v>5882</v>
      </c>
      <c r="AO9018" t="s">
        <v>6099</v>
      </c>
      <c r="AP9018" t="s">
        <v>13651</v>
      </c>
      <c r="AQ9018">
        <v>5</v>
      </c>
      <c r="AR9018" t="s">
        <v>66</v>
      </c>
      <c r="AS9018" t="s">
        <v>67</v>
      </c>
      <c r="AT9018" t="s">
        <v>58</v>
      </c>
      <c r="AU9018" t="s">
        <v>8673</v>
      </c>
      <c r="AV9018" t="s">
        <v>132</v>
      </c>
      <c r="AW9018" s="1">
        <v>26386</v>
      </c>
      <c r="AX9018">
        <v>1</v>
      </c>
    </row>
    <row r="9019" spans="1:50">
      <c r="A9019">
        <v>622578</v>
      </c>
      <c r="B9019" t="str">
        <f>"119693337"</f>
        <v>119693337</v>
      </c>
      <c r="C9019" t="s">
        <v>50</v>
      </c>
      <c r="D9019" t="s">
        <v>3807</v>
      </c>
      <c r="E9019" t="s">
        <v>155</v>
      </c>
      <c r="F9019" t="s">
        <v>106</v>
      </c>
      <c r="G9019" t="s">
        <v>801</v>
      </c>
      <c r="H9019" t="str">
        <f>"Μ. ΧΑΤΖΗΔΑΚΗ 7 ΡΕΘΥΜΝΟ"</f>
        <v>Μ. ΧΑΤΖΗΔΑΚΗ 7 ΡΕΘΥΜΝΟ</v>
      </c>
      <c r="I9019">
        <v>74100</v>
      </c>
      <c r="J9019">
        <v>2831053381</v>
      </c>
      <c r="K9019">
        <v>6934123810</v>
      </c>
      <c r="N9019" t="s">
        <v>1525</v>
      </c>
      <c r="O9019" t="s">
        <v>1526</v>
      </c>
      <c r="R9019" t="s">
        <v>57</v>
      </c>
      <c r="S9019">
        <v>6</v>
      </c>
      <c r="T9019">
        <v>653</v>
      </c>
      <c r="U9019" s="1">
        <v>40043</v>
      </c>
      <c r="V9019" t="s">
        <v>66</v>
      </c>
      <c r="W9019" t="s">
        <v>67</v>
      </c>
      <c r="X9019" t="s">
        <v>58</v>
      </c>
      <c r="Y9019">
        <v>25</v>
      </c>
      <c r="Z9019" t="s">
        <v>59</v>
      </c>
      <c r="AA9019" t="s">
        <v>59</v>
      </c>
      <c r="AB9019" t="s">
        <v>59</v>
      </c>
      <c r="AC9019" t="s">
        <v>59</v>
      </c>
      <c r="AD9019" t="s">
        <v>59</v>
      </c>
      <c r="AF9019" s="1">
        <v>40043</v>
      </c>
      <c r="AG9019" t="s">
        <v>8651</v>
      </c>
      <c r="AH9019" t="s">
        <v>8652</v>
      </c>
      <c r="AI9019" t="str">
        <f>"9410215"</f>
        <v>9410215</v>
      </c>
      <c r="AJ9019" t="s">
        <v>13652</v>
      </c>
      <c r="AK9019">
        <v>2834092120</v>
      </c>
      <c r="AL9019" t="s">
        <v>13653</v>
      </c>
      <c r="AM9019" t="s">
        <v>64</v>
      </c>
      <c r="AN9019" t="s">
        <v>5672</v>
      </c>
      <c r="AO9019" t="s">
        <v>5673</v>
      </c>
      <c r="AP9019" t="s">
        <v>12803</v>
      </c>
      <c r="AQ9019">
        <v>8</v>
      </c>
      <c r="AR9019" t="s">
        <v>66</v>
      </c>
      <c r="AS9019" t="s">
        <v>67</v>
      </c>
      <c r="AT9019" t="s">
        <v>58</v>
      </c>
      <c r="AU9019" t="s">
        <v>68</v>
      </c>
      <c r="AV9019" t="s">
        <v>69</v>
      </c>
      <c r="AW9019" s="1">
        <v>31349</v>
      </c>
      <c r="AX9019">
        <v>1</v>
      </c>
    </row>
    <row r="9020" spans="1:50">
      <c r="A9020">
        <v>595218</v>
      </c>
      <c r="B9020" t="str">
        <f>"074215228"</f>
        <v>074215228</v>
      </c>
      <c r="C9020" t="s">
        <v>105</v>
      </c>
      <c r="D9020" t="s">
        <v>11427</v>
      </c>
      <c r="E9020" t="s">
        <v>99</v>
      </c>
      <c r="F9020" t="s">
        <v>309</v>
      </c>
      <c r="G9020" t="s">
        <v>1452</v>
      </c>
      <c r="H9020" t="str">
        <f>" "</f>
        <v xml:space="preserve"> </v>
      </c>
      <c r="N9020" t="s">
        <v>615</v>
      </c>
      <c r="O9020" t="s">
        <v>616</v>
      </c>
      <c r="R9020" t="s">
        <v>57</v>
      </c>
      <c r="S9020">
        <v>8</v>
      </c>
      <c r="T9020">
        <v>218</v>
      </c>
      <c r="U9020" s="1">
        <v>37134</v>
      </c>
      <c r="V9020" t="s">
        <v>66</v>
      </c>
      <c r="W9020" t="s">
        <v>67</v>
      </c>
      <c r="X9020" t="s">
        <v>58</v>
      </c>
      <c r="Y9020">
        <v>22</v>
      </c>
      <c r="Z9020" t="s">
        <v>59</v>
      </c>
      <c r="AA9020" t="s">
        <v>59</v>
      </c>
      <c r="AB9020" t="s">
        <v>59</v>
      </c>
      <c r="AC9020" t="s">
        <v>59</v>
      </c>
      <c r="AD9020" t="s">
        <v>59</v>
      </c>
      <c r="AF9020" s="1">
        <v>37140</v>
      </c>
      <c r="AG9020" t="s">
        <v>8645</v>
      </c>
      <c r="AH9020" t="s">
        <v>8646</v>
      </c>
      <c r="AI9020" t="str">
        <f>"9410242"</f>
        <v>9410242</v>
      </c>
      <c r="AJ9020" t="s">
        <v>12796</v>
      </c>
      <c r="AK9020">
        <v>2834023145</v>
      </c>
      <c r="AL9020" t="s">
        <v>12797</v>
      </c>
      <c r="AM9020" t="s">
        <v>64</v>
      </c>
      <c r="AN9020" t="s">
        <v>5672</v>
      </c>
      <c r="AO9020" t="s">
        <v>5673</v>
      </c>
      <c r="AP9020" t="s">
        <v>5689</v>
      </c>
      <c r="AQ9020">
        <v>7</v>
      </c>
      <c r="AR9020" t="s">
        <v>66</v>
      </c>
      <c r="AS9020" t="s">
        <v>67</v>
      </c>
      <c r="AT9020" t="s">
        <v>58</v>
      </c>
      <c r="AU9020" t="s">
        <v>68</v>
      </c>
      <c r="AV9020" t="s">
        <v>69</v>
      </c>
      <c r="AW9020" s="1">
        <v>25389</v>
      </c>
      <c r="AX9020">
        <v>1</v>
      </c>
    </row>
    <row r="9021" spans="1:50">
      <c r="A9021">
        <v>564358</v>
      </c>
      <c r="B9021" t="str">
        <f>"037400120"</f>
        <v>037400120</v>
      </c>
      <c r="C9021" t="s">
        <v>105</v>
      </c>
      <c r="D9021" t="s">
        <v>13654</v>
      </c>
      <c r="E9021" t="s">
        <v>11706</v>
      </c>
      <c r="F9021" t="s">
        <v>95</v>
      </c>
      <c r="G9021" t="s">
        <v>215</v>
      </c>
      <c r="H9021" t="str">
        <f>"ΝΤΕ ΧΙΟΣΤΑΚ 10 ΡΕΘΥΜΝΟ"</f>
        <v>ΝΤΕ ΧΙΟΣΤΑΚ 10 ΡΕΘΥΜΝΟ</v>
      </c>
      <c r="I9021">
        <v>74100</v>
      </c>
      <c r="J9021">
        <v>2831053031</v>
      </c>
      <c r="K9021">
        <v>6973806272</v>
      </c>
      <c r="L9021">
        <v>2831052969</v>
      </c>
      <c r="N9021" t="s">
        <v>615</v>
      </c>
      <c r="O9021" t="s">
        <v>616</v>
      </c>
      <c r="R9021" t="s">
        <v>57</v>
      </c>
      <c r="S9021">
        <v>14</v>
      </c>
      <c r="T9021">
        <v>161</v>
      </c>
      <c r="U9021" s="1">
        <v>33119</v>
      </c>
      <c r="V9021" t="s">
        <v>66</v>
      </c>
      <c r="W9021" t="s">
        <v>67</v>
      </c>
      <c r="X9021" t="s">
        <v>58</v>
      </c>
      <c r="Y9021">
        <v>21</v>
      </c>
      <c r="Z9021" t="s">
        <v>59</v>
      </c>
      <c r="AA9021" t="s">
        <v>59</v>
      </c>
      <c r="AB9021" t="s">
        <v>59</v>
      </c>
      <c r="AC9021" t="s">
        <v>59</v>
      </c>
      <c r="AD9021" t="s">
        <v>59</v>
      </c>
      <c r="AF9021" s="1">
        <v>33119</v>
      </c>
      <c r="AG9021" t="s">
        <v>8645</v>
      </c>
      <c r="AH9021" t="s">
        <v>8646</v>
      </c>
      <c r="AI9021" t="str">
        <f>"9410065"</f>
        <v>9410065</v>
      </c>
      <c r="AJ9021" t="s">
        <v>12717</v>
      </c>
      <c r="AK9021">
        <v>2831022519</v>
      </c>
      <c r="AL9021" t="s">
        <v>12718</v>
      </c>
      <c r="AM9021" t="s">
        <v>64</v>
      </c>
      <c r="AN9021" t="s">
        <v>65</v>
      </c>
      <c r="AO9021" t="s">
        <v>65</v>
      </c>
      <c r="AP9021" t="s">
        <v>65</v>
      </c>
      <c r="AQ9021">
        <v>1</v>
      </c>
      <c r="AR9021" t="s">
        <v>66</v>
      </c>
      <c r="AS9021" t="s">
        <v>67</v>
      </c>
      <c r="AT9021" t="s">
        <v>58</v>
      </c>
      <c r="AU9021" t="s">
        <v>68</v>
      </c>
      <c r="AV9021" t="s">
        <v>69</v>
      </c>
      <c r="AW9021" s="1">
        <v>21680</v>
      </c>
      <c r="AX9021">
        <v>1</v>
      </c>
    </row>
    <row r="9022" spans="1:50">
      <c r="B9022" t="str">
        <f>"124480283"</f>
        <v>124480283</v>
      </c>
      <c r="C9022" t="s">
        <v>50</v>
      </c>
      <c r="D9022" t="s">
        <v>6550</v>
      </c>
      <c r="E9022" t="s">
        <v>476</v>
      </c>
      <c r="F9022" t="s">
        <v>166</v>
      </c>
      <c r="G9022" t="s">
        <v>98</v>
      </c>
      <c r="H9022" t="str">
        <f>" "</f>
        <v xml:space="preserve"> </v>
      </c>
      <c r="J9022">
        <v>2831050896</v>
      </c>
      <c r="K9022">
        <v>6973322110</v>
      </c>
      <c r="M9022" t="s">
        <v>13655</v>
      </c>
      <c r="N9022" t="s">
        <v>337</v>
      </c>
      <c r="O9022" t="s">
        <v>338</v>
      </c>
      <c r="R9022" t="s">
        <v>159</v>
      </c>
      <c r="S9022">
        <v>4</v>
      </c>
      <c r="T9022" t="s">
        <v>8675</v>
      </c>
      <c r="U9022" s="1">
        <v>43348</v>
      </c>
      <c r="V9022" t="s">
        <v>66</v>
      </c>
      <c r="W9022" t="s">
        <v>67</v>
      </c>
      <c r="X9022" t="s">
        <v>58</v>
      </c>
      <c r="Y9022">
        <v>24</v>
      </c>
      <c r="Z9022" t="s">
        <v>59</v>
      </c>
      <c r="AA9022" t="s">
        <v>59</v>
      </c>
      <c r="AB9022" t="s">
        <v>59</v>
      </c>
      <c r="AC9022" t="s">
        <v>59</v>
      </c>
      <c r="AD9022" t="s">
        <v>59</v>
      </c>
      <c r="AF9022" s="1">
        <v>43348</v>
      </c>
      <c r="AG9022" t="s">
        <v>8645</v>
      </c>
      <c r="AH9022" t="s">
        <v>8646</v>
      </c>
      <c r="AI9022" t="str">
        <f>"9410257"</f>
        <v>9410257</v>
      </c>
      <c r="AJ9022" t="s">
        <v>12828</v>
      </c>
      <c r="AK9022">
        <v>2831056242</v>
      </c>
      <c r="AL9022" t="s">
        <v>12829</v>
      </c>
      <c r="AM9022" t="s">
        <v>64</v>
      </c>
      <c r="AN9022" t="s">
        <v>65</v>
      </c>
      <c r="AO9022" t="s">
        <v>65</v>
      </c>
      <c r="AP9022" t="s">
        <v>65</v>
      </c>
      <c r="AQ9022">
        <v>1</v>
      </c>
      <c r="AR9022" t="s">
        <v>66</v>
      </c>
      <c r="AS9022" t="s">
        <v>67</v>
      </c>
      <c r="AT9022" t="s">
        <v>58</v>
      </c>
      <c r="AU9022" t="s">
        <v>8673</v>
      </c>
      <c r="AV9022" t="s">
        <v>132</v>
      </c>
      <c r="AW9022" s="1">
        <v>29629</v>
      </c>
      <c r="AX9022">
        <v>1</v>
      </c>
    </row>
    <row r="9023" spans="1:50">
      <c r="A9023">
        <v>589121</v>
      </c>
      <c r="B9023" t="str">
        <f>"064214076"</f>
        <v>064214076</v>
      </c>
      <c r="C9023" t="s">
        <v>50</v>
      </c>
      <c r="D9023" t="s">
        <v>6550</v>
      </c>
      <c r="E9023" t="s">
        <v>143</v>
      </c>
      <c r="F9023" t="s">
        <v>95</v>
      </c>
      <c r="G9023" t="s">
        <v>910</v>
      </c>
      <c r="H9023" t="str">
        <f>" "</f>
        <v xml:space="preserve"> </v>
      </c>
      <c r="N9023" t="s">
        <v>615</v>
      </c>
      <c r="O9023" t="s">
        <v>616</v>
      </c>
      <c r="R9023" t="s">
        <v>57</v>
      </c>
      <c r="S9023">
        <v>10</v>
      </c>
      <c r="T9023">
        <v>176</v>
      </c>
      <c r="U9023" s="1">
        <v>36403</v>
      </c>
      <c r="V9023" t="s">
        <v>66</v>
      </c>
      <c r="W9023" t="s">
        <v>67</v>
      </c>
      <c r="X9023" t="s">
        <v>58</v>
      </c>
      <c r="Y9023">
        <v>21</v>
      </c>
      <c r="Z9023" t="s">
        <v>59</v>
      </c>
      <c r="AA9023" t="s">
        <v>59</v>
      </c>
      <c r="AB9023" t="s">
        <v>59</v>
      </c>
      <c r="AC9023" t="s">
        <v>59</v>
      </c>
      <c r="AD9023" t="s">
        <v>59</v>
      </c>
      <c r="AF9023" s="1">
        <v>36404</v>
      </c>
      <c r="AG9023" t="s">
        <v>8645</v>
      </c>
      <c r="AH9023" t="s">
        <v>8646</v>
      </c>
      <c r="AI9023" t="str">
        <f>"9410120"</f>
        <v>9410120</v>
      </c>
      <c r="AJ9023" t="s">
        <v>12681</v>
      </c>
      <c r="AK9023">
        <v>6978148714</v>
      </c>
      <c r="AL9023" t="s">
        <v>12682</v>
      </c>
      <c r="AM9023" t="s">
        <v>64</v>
      </c>
      <c r="AN9023" t="s">
        <v>5882</v>
      </c>
      <c r="AO9023" t="s">
        <v>5883</v>
      </c>
      <c r="AP9023" t="s">
        <v>5884</v>
      </c>
      <c r="AQ9023">
        <v>5</v>
      </c>
      <c r="AR9023" t="s">
        <v>66</v>
      </c>
      <c r="AS9023" t="s">
        <v>67</v>
      </c>
      <c r="AT9023" t="s">
        <v>58</v>
      </c>
      <c r="AU9023" t="s">
        <v>68</v>
      </c>
      <c r="AV9023" t="s">
        <v>69</v>
      </c>
      <c r="AW9023" s="1">
        <v>24541</v>
      </c>
      <c r="AX9023">
        <v>1</v>
      </c>
    </row>
    <row r="9024" spans="1:50">
      <c r="A9024">
        <v>622725</v>
      </c>
      <c r="B9024" t="str">
        <f>"124475691"</f>
        <v>124475691</v>
      </c>
      <c r="C9024" t="s">
        <v>50</v>
      </c>
      <c r="D9024" t="s">
        <v>6550</v>
      </c>
      <c r="E9024" t="s">
        <v>83</v>
      </c>
      <c r="F9024" t="s">
        <v>6675</v>
      </c>
      <c r="G9024" t="s">
        <v>4251</v>
      </c>
      <c r="H9024" t="str">
        <f>"ΟΡΦΕΩΣ 4 ΡΕΘΥΜΝΟ"</f>
        <v>ΟΡΦΕΩΣ 4 ΡΕΘΥΜΝΟ</v>
      </c>
      <c r="I9024">
        <v>74100</v>
      </c>
      <c r="J9024">
        <v>2831023515</v>
      </c>
      <c r="K9024">
        <v>6979798350</v>
      </c>
      <c r="N9024" t="s">
        <v>1525</v>
      </c>
      <c r="O9024" t="s">
        <v>1526</v>
      </c>
      <c r="R9024" t="s">
        <v>57</v>
      </c>
      <c r="S9024">
        <v>5</v>
      </c>
      <c r="T9024">
        <v>653</v>
      </c>
      <c r="U9024" s="1">
        <v>40043</v>
      </c>
      <c r="V9024" t="s">
        <v>66</v>
      </c>
      <c r="W9024" t="s">
        <v>67</v>
      </c>
      <c r="X9024" t="s">
        <v>58</v>
      </c>
      <c r="Y9024">
        <v>25</v>
      </c>
      <c r="Z9024" t="s">
        <v>59</v>
      </c>
      <c r="AA9024" t="s">
        <v>59</v>
      </c>
      <c r="AB9024" t="s">
        <v>59</v>
      </c>
      <c r="AC9024" t="s">
        <v>59</v>
      </c>
      <c r="AD9024" t="s">
        <v>59</v>
      </c>
      <c r="AF9024" s="1">
        <v>40057</v>
      </c>
      <c r="AG9024" t="s">
        <v>8651</v>
      </c>
      <c r="AH9024" t="s">
        <v>8652</v>
      </c>
      <c r="AI9024" t="str">
        <f>"9410050"</f>
        <v>9410050</v>
      </c>
      <c r="AJ9024" t="s">
        <v>12924</v>
      </c>
      <c r="AK9024">
        <v>2834022518</v>
      </c>
      <c r="AL9024" t="s">
        <v>12925</v>
      </c>
      <c r="AM9024" t="s">
        <v>64</v>
      </c>
      <c r="AN9024" t="s">
        <v>5672</v>
      </c>
      <c r="AO9024" t="s">
        <v>5673</v>
      </c>
      <c r="AP9024" t="s">
        <v>5689</v>
      </c>
      <c r="AQ9024">
        <v>7</v>
      </c>
      <c r="AR9024" t="s">
        <v>66</v>
      </c>
      <c r="AS9024" t="s">
        <v>67</v>
      </c>
      <c r="AT9024" t="s">
        <v>58</v>
      </c>
      <c r="AU9024" t="s">
        <v>68</v>
      </c>
      <c r="AV9024" t="s">
        <v>69</v>
      </c>
      <c r="AW9024" s="1">
        <v>30972</v>
      </c>
      <c r="AX9024">
        <v>1</v>
      </c>
    </row>
    <row r="9025" spans="1:50">
      <c r="A9025">
        <v>225177</v>
      </c>
      <c r="B9025" t="str">
        <f>"100078377"</f>
        <v>100078377</v>
      </c>
      <c r="C9025" t="s">
        <v>105</v>
      </c>
      <c r="D9025" t="s">
        <v>3821</v>
      </c>
      <c r="E9025" t="s">
        <v>377</v>
      </c>
      <c r="F9025" t="s">
        <v>95</v>
      </c>
      <c r="G9025" t="s">
        <v>52</v>
      </c>
      <c r="H9025" t="str">
        <f>" "</f>
        <v xml:space="preserve"> </v>
      </c>
      <c r="J9025">
        <v>2831026293</v>
      </c>
      <c r="K9025">
        <v>6946377074</v>
      </c>
      <c r="N9025" t="s">
        <v>176</v>
      </c>
      <c r="O9025" t="s">
        <v>177</v>
      </c>
      <c r="R9025" t="s">
        <v>57</v>
      </c>
      <c r="S9025">
        <v>7</v>
      </c>
      <c r="T9025">
        <v>775</v>
      </c>
      <c r="U9025" s="1">
        <v>39680</v>
      </c>
      <c r="V9025" t="s">
        <v>66</v>
      </c>
      <c r="W9025" t="s">
        <v>67</v>
      </c>
      <c r="X9025" t="s">
        <v>58</v>
      </c>
      <c r="Y9025">
        <v>22</v>
      </c>
      <c r="Z9025" t="s">
        <v>59</v>
      </c>
      <c r="AA9025" t="s">
        <v>59</v>
      </c>
      <c r="AB9025" t="s">
        <v>59</v>
      </c>
      <c r="AC9025" t="s">
        <v>59</v>
      </c>
      <c r="AD9025" t="s">
        <v>59</v>
      </c>
      <c r="AF9025" s="1">
        <v>39692</v>
      </c>
      <c r="AG9025" t="s">
        <v>8645</v>
      </c>
      <c r="AH9025" t="s">
        <v>8646</v>
      </c>
      <c r="AI9025" t="str">
        <f>"9410072"</f>
        <v>9410072</v>
      </c>
      <c r="AJ9025" t="s">
        <v>12692</v>
      </c>
      <c r="AK9025">
        <v>2831071264</v>
      </c>
      <c r="AL9025" t="s">
        <v>12693</v>
      </c>
      <c r="AM9025" t="s">
        <v>64</v>
      </c>
      <c r="AN9025" t="s">
        <v>65</v>
      </c>
      <c r="AO9025" t="s">
        <v>12694</v>
      </c>
      <c r="AP9025" t="s">
        <v>12695</v>
      </c>
      <c r="AQ9025">
        <v>3</v>
      </c>
      <c r="AR9025" t="s">
        <v>66</v>
      </c>
      <c r="AS9025" t="s">
        <v>67</v>
      </c>
      <c r="AT9025" t="s">
        <v>58</v>
      </c>
      <c r="AU9025" t="s">
        <v>68</v>
      </c>
      <c r="AV9025" t="s">
        <v>69</v>
      </c>
      <c r="AW9025" s="1">
        <v>26272</v>
      </c>
      <c r="AX9025">
        <v>1</v>
      </c>
    </row>
    <row r="9026" spans="1:50">
      <c r="A9026">
        <v>618486</v>
      </c>
      <c r="B9026" t="str">
        <f>"129605012"</f>
        <v>129605012</v>
      </c>
      <c r="C9026" t="s">
        <v>50</v>
      </c>
      <c r="D9026" t="s">
        <v>3827</v>
      </c>
      <c r="E9026" t="s">
        <v>73</v>
      </c>
      <c r="F9026" t="s">
        <v>95</v>
      </c>
      <c r="G9026" t="s">
        <v>610</v>
      </c>
      <c r="H9026" t="str">
        <f>"ΑΤΣΙΠΟΠΟΥΛΟ ΡΕΘΥΜΝΟ"</f>
        <v>ΑΤΣΙΠΟΠΟΥΛΟ ΡΕΘΥΜΝΟ</v>
      </c>
      <c r="I9026">
        <v>74100</v>
      </c>
      <c r="K9026">
        <v>6971757214</v>
      </c>
      <c r="N9026" t="s">
        <v>615</v>
      </c>
      <c r="O9026" t="s">
        <v>616</v>
      </c>
      <c r="R9026" t="s">
        <v>57</v>
      </c>
      <c r="S9026">
        <v>5</v>
      </c>
      <c r="T9026">
        <v>774</v>
      </c>
      <c r="U9026" s="1">
        <v>39680</v>
      </c>
      <c r="V9026" t="s">
        <v>66</v>
      </c>
      <c r="W9026" t="s">
        <v>67</v>
      </c>
      <c r="X9026" t="s">
        <v>58</v>
      </c>
      <c r="Y9026">
        <v>23</v>
      </c>
      <c r="Z9026" t="s">
        <v>59</v>
      </c>
      <c r="AA9026" t="s">
        <v>59</v>
      </c>
      <c r="AB9026" t="s">
        <v>59</v>
      </c>
      <c r="AC9026" t="s">
        <v>59</v>
      </c>
      <c r="AD9026" t="s">
        <v>59</v>
      </c>
      <c r="AF9026" s="1">
        <v>39681</v>
      </c>
      <c r="AG9026" t="s">
        <v>8645</v>
      </c>
      <c r="AH9026" t="s">
        <v>8646</v>
      </c>
      <c r="AI9026" t="str">
        <f>"9410067"</f>
        <v>9410067</v>
      </c>
      <c r="AJ9026" t="s">
        <v>12736</v>
      </c>
      <c r="AK9026">
        <v>2831022836</v>
      </c>
      <c r="AL9026" t="s">
        <v>12737</v>
      </c>
      <c r="AM9026" t="s">
        <v>64</v>
      </c>
      <c r="AN9026" t="s">
        <v>65</v>
      </c>
      <c r="AO9026" t="s">
        <v>65</v>
      </c>
      <c r="AP9026" t="s">
        <v>65</v>
      </c>
      <c r="AQ9026">
        <v>1</v>
      </c>
      <c r="AR9026" t="s">
        <v>66</v>
      </c>
      <c r="AS9026" t="s">
        <v>67</v>
      </c>
      <c r="AT9026" t="s">
        <v>58</v>
      </c>
      <c r="AU9026" t="s">
        <v>68</v>
      </c>
      <c r="AV9026" t="s">
        <v>2039</v>
      </c>
      <c r="AW9026" s="1">
        <v>30671</v>
      </c>
      <c r="AX9026">
        <v>1</v>
      </c>
    </row>
    <row r="9027" spans="1:50">
      <c r="A9027">
        <v>614880</v>
      </c>
      <c r="B9027" t="str">
        <f>"132487388"</f>
        <v>132487388</v>
      </c>
      <c r="C9027" t="s">
        <v>50</v>
      </c>
      <c r="D9027" t="s">
        <v>8332</v>
      </c>
      <c r="E9027" t="s">
        <v>13656</v>
      </c>
      <c r="F9027" t="s">
        <v>72</v>
      </c>
      <c r="G9027" t="s">
        <v>73</v>
      </c>
      <c r="H9027" t="str">
        <f>"28ης ΟΚΤΩΒΡΙΟΥ  26 ΘΕΣ/ΝΙΚΗ"</f>
        <v>28ης ΟΚΤΩΒΡΙΟΥ  26 ΘΕΣ/ΝΙΚΗ</v>
      </c>
      <c r="I9027">
        <v>57001</v>
      </c>
      <c r="J9027">
        <v>2310467507</v>
      </c>
      <c r="K9027">
        <v>6947048474</v>
      </c>
      <c r="L9027">
        <v>2310765717</v>
      </c>
      <c r="N9027" t="s">
        <v>615</v>
      </c>
      <c r="O9027" t="s">
        <v>616</v>
      </c>
      <c r="R9027" t="s">
        <v>57</v>
      </c>
      <c r="S9027">
        <v>6</v>
      </c>
      <c r="T9027">
        <v>598</v>
      </c>
      <c r="U9027" s="1">
        <v>39310</v>
      </c>
      <c r="V9027" t="s">
        <v>66</v>
      </c>
      <c r="W9027" t="s">
        <v>67</v>
      </c>
      <c r="X9027" t="s">
        <v>58</v>
      </c>
      <c r="Y9027">
        <v>23</v>
      </c>
      <c r="Z9027" t="s">
        <v>59</v>
      </c>
      <c r="AA9027" t="s">
        <v>59</v>
      </c>
      <c r="AB9027" t="s">
        <v>59</v>
      </c>
      <c r="AC9027" t="s">
        <v>59</v>
      </c>
      <c r="AD9027" t="s">
        <v>59</v>
      </c>
      <c r="AF9027" s="1">
        <v>39328</v>
      </c>
      <c r="AG9027" t="s">
        <v>8645</v>
      </c>
      <c r="AH9027" t="s">
        <v>8646</v>
      </c>
      <c r="AI9027" t="str">
        <f>"9410006"</f>
        <v>9410006</v>
      </c>
      <c r="AJ9027" t="s">
        <v>12902</v>
      </c>
      <c r="AK9027">
        <v>2834022320</v>
      </c>
      <c r="AL9027" t="s">
        <v>12903</v>
      </c>
      <c r="AM9027" t="s">
        <v>64</v>
      </c>
      <c r="AN9027" t="s">
        <v>5672</v>
      </c>
      <c r="AO9027" t="s">
        <v>5673</v>
      </c>
      <c r="AP9027" t="s">
        <v>12904</v>
      </c>
      <c r="AQ9027">
        <v>8</v>
      </c>
      <c r="AR9027" t="s">
        <v>66</v>
      </c>
      <c r="AS9027" t="s">
        <v>67</v>
      </c>
      <c r="AT9027" t="s">
        <v>58</v>
      </c>
      <c r="AU9027" t="s">
        <v>68</v>
      </c>
      <c r="AV9027" t="s">
        <v>69</v>
      </c>
      <c r="AW9027" s="1">
        <v>30321</v>
      </c>
      <c r="AX9027">
        <v>1</v>
      </c>
    </row>
    <row r="9028" spans="1:50">
      <c r="A9028">
        <v>605070</v>
      </c>
      <c r="B9028" t="str">
        <f>"061657435"</f>
        <v>061657435</v>
      </c>
      <c r="C9028" t="s">
        <v>50</v>
      </c>
      <c r="D9028" t="s">
        <v>11456</v>
      </c>
      <c r="E9028" t="s">
        <v>96</v>
      </c>
      <c r="F9028" t="s">
        <v>95</v>
      </c>
      <c r="G9028" t="s">
        <v>4127</v>
      </c>
      <c r="H9028" t="str">
        <f>"ΕΡΩΤΟΚΡΙΤΟΥ 4 ΜΑΣΤΑΜΠΑΣ ΡΕΘΥΜΝΟΥ"</f>
        <v>ΕΡΩΤΟΚΡΙΤΟΥ 4 ΜΑΣΤΑΜΠΑΣ ΡΕΘΥΜΝΟΥ</v>
      </c>
      <c r="I9028">
        <v>74100</v>
      </c>
      <c r="J9028">
        <v>2831058472</v>
      </c>
      <c r="K9028">
        <v>6979679223</v>
      </c>
      <c r="N9028" t="s">
        <v>615</v>
      </c>
      <c r="O9028" t="s">
        <v>616</v>
      </c>
      <c r="R9028" t="s">
        <v>57</v>
      </c>
      <c r="S9028">
        <v>7</v>
      </c>
      <c r="T9028">
        <v>231</v>
      </c>
      <c r="U9028" s="1">
        <v>38230</v>
      </c>
      <c r="V9028" t="s">
        <v>66</v>
      </c>
      <c r="W9028" t="s">
        <v>67</v>
      </c>
      <c r="X9028" t="s">
        <v>58</v>
      </c>
      <c r="Y9028">
        <v>22</v>
      </c>
      <c r="Z9028" t="s">
        <v>59</v>
      </c>
      <c r="AA9028" t="s">
        <v>59</v>
      </c>
      <c r="AB9028" t="s">
        <v>59</v>
      </c>
      <c r="AC9028" t="s">
        <v>59</v>
      </c>
      <c r="AD9028" t="s">
        <v>59</v>
      </c>
      <c r="AF9028" s="1">
        <v>38231</v>
      </c>
      <c r="AG9028" t="s">
        <v>8645</v>
      </c>
      <c r="AH9028" t="s">
        <v>8646</v>
      </c>
      <c r="AI9028" t="str">
        <f>"9410212"</f>
        <v>9410212</v>
      </c>
      <c r="AJ9028" t="s">
        <v>12747</v>
      </c>
      <c r="AK9028">
        <v>2831022132</v>
      </c>
      <c r="AL9028" t="s">
        <v>12748</v>
      </c>
      <c r="AM9028" t="s">
        <v>64</v>
      </c>
      <c r="AN9028" t="s">
        <v>65</v>
      </c>
      <c r="AO9028" t="s">
        <v>65</v>
      </c>
      <c r="AP9028" t="s">
        <v>65</v>
      </c>
      <c r="AQ9028">
        <v>1</v>
      </c>
      <c r="AR9028" t="s">
        <v>66</v>
      </c>
      <c r="AS9028" t="s">
        <v>67</v>
      </c>
      <c r="AT9028" t="s">
        <v>58</v>
      </c>
      <c r="AU9028" t="s">
        <v>68</v>
      </c>
      <c r="AV9028" t="s">
        <v>69</v>
      </c>
      <c r="AW9028" s="1">
        <v>27449</v>
      </c>
      <c r="AX9028">
        <v>1</v>
      </c>
    </row>
    <row r="9029" spans="1:50">
      <c r="A9029">
        <v>588454</v>
      </c>
      <c r="B9029" t="str">
        <f>"054430620"</f>
        <v>054430620</v>
      </c>
      <c r="C9029" t="s">
        <v>50</v>
      </c>
      <c r="D9029" t="s">
        <v>13657</v>
      </c>
      <c r="E9029" t="s">
        <v>52</v>
      </c>
      <c r="F9029" t="s">
        <v>106</v>
      </c>
      <c r="G9029" t="s">
        <v>13658</v>
      </c>
      <c r="H9029" t="str">
        <f>" "</f>
        <v xml:space="preserve"> </v>
      </c>
      <c r="N9029" t="s">
        <v>615</v>
      </c>
      <c r="O9029" t="s">
        <v>616</v>
      </c>
      <c r="R9029" t="s">
        <v>57</v>
      </c>
      <c r="S9029">
        <v>11</v>
      </c>
      <c r="T9029">
        <v>176</v>
      </c>
      <c r="U9029" s="1">
        <v>36403</v>
      </c>
      <c r="V9029" t="s">
        <v>66</v>
      </c>
      <c r="W9029" t="s">
        <v>67</v>
      </c>
      <c r="X9029" t="s">
        <v>58</v>
      </c>
      <c r="Y9029">
        <v>21</v>
      </c>
      <c r="Z9029" t="s">
        <v>59</v>
      </c>
      <c r="AA9029" t="s">
        <v>59</v>
      </c>
      <c r="AB9029" t="s">
        <v>59</v>
      </c>
      <c r="AC9029" t="s">
        <v>59</v>
      </c>
      <c r="AD9029" t="s">
        <v>59</v>
      </c>
      <c r="AF9029" s="1">
        <v>36404</v>
      </c>
      <c r="AG9029" t="s">
        <v>8645</v>
      </c>
      <c r="AH9029" t="s">
        <v>8646</v>
      </c>
      <c r="AI9029" t="str">
        <f>"9410212"</f>
        <v>9410212</v>
      </c>
      <c r="AJ9029" t="s">
        <v>12747</v>
      </c>
      <c r="AK9029">
        <v>2831022132</v>
      </c>
      <c r="AL9029" t="s">
        <v>12748</v>
      </c>
      <c r="AM9029" t="s">
        <v>64</v>
      </c>
      <c r="AN9029" t="s">
        <v>65</v>
      </c>
      <c r="AO9029" t="s">
        <v>65</v>
      </c>
      <c r="AP9029" t="s">
        <v>65</v>
      </c>
      <c r="AQ9029">
        <v>1</v>
      </c>
      <c r="AR9029" t="s">
        <v>66</v>
      </c>
      <c r="AS9029" t="s">
        <v>67</v>
      </c>
      <c r="AT9029" t="s">
        <v>58</v>
      </c>
      <c r="AU9029" t="s">
        <v>68</v>
      </c>
      <c r="AV9029" t="s">
        <v>69</v>
      </c>
      <c r="AW9029" s="1">
        <v>24830</v>
      </c>
      <c r="AX9029">
        <v>1</v>
      </c>
    </row>
    <row r="9030" spans="1:50">
      <c r="A9030">
        <v>600030</v>
      </c>
      <c r="B9030" t="str">
        <f>"059709066"</f>
        <v>059709066</v>
      </c>
      <c r="C9030" t="s">
        <v>105</v>
      </c>
      <c r="D9030" t="s">
        <v>13659</v>
      </c>
      <c r="E9030" t="s">
        <v>309</v>
      </c>
      <c r="F9030" t="s">
        <v>1316</v>
      </c>
      <c r="G9030" t="s">
        <v>372</v>
      </c>
      <c r="H9030" t="str">
        <f>" "</f>
        <v xml:space="preserve"> </v>
      </c>
      <c r="N9030" t="s">
        <v>615</v>
      </c>
      <c r="O9030" t="s">
        <v>616</v>
      </c>
      <c r="R9030" t="s">
        <v>57</v>
      </c>
      <c r="S9030">
        <v>9</v>
      </c>
      <c r="T9030">
        <v>195</v>
      </c>
      <c r="U9030" s="1">
        <v>37497</v>
      </c>
      <c r="V9030" t="s">
        <v>66</v>
      </c>
      <c r="W9030" t="s">
        <v>67</v>
      </c>
      <c r="X9030" t="s">
        <v>58</v>
      </c>
      <c r="Y9030">
        <v>22</v>
      </c>
      <c r="Z9030" t="s">
        <v>59</v>
      </c>
      <c r="AA9030" t="s">
        <v>59</v>
      </c>
      <c r="AB9030" t="s">
        <v>59</v>
      </c>
      <c r="AC9030" t="s">
        <v>59</v>
      </c>
      <c r="AD9030" t="s">
        <v>59</v>
      </c>
      <c r="AF9030" s="1">
        <v>37501</v>
      </c>
      <c r="AG9030" t="s">
        <v>8645</v>
      </c>
      <c r="AH9030" t="s">
        <v>8646</v>
      </c>
      <c r="AI9030" t="str">
        <f>"9410061"</f>
        <v>9410061</v>
      </c>
      <c r="AJ9030" t="s">
        <v>12760</v>
      </c>
      <c r="AK9030">
        <v>2831024378</v>
      </c>
      <c r="AL9030" t="s">
        <v>12761</v>
      </c>
      <c r="AM9030" t="s">
        <v>64</v>
      </c>
      <c r="AN9030" t="s">
        <v>65</v>
      </c>
      <c r="AO9030" t="s">
        <v>65</v>
      </c>
      <c r="AP9030" t="s">
        <v>65</v>
      </c>
      <c r="AQ9030">
        <v>1</v>
      </c>
      <c r="AR9030" t="s">
        <v>66</v>
      </c>
      <c r="AS9030" t="s">
        <v>67</v>
      </c>
      <c r="AT9030" t="s">
        <v>58</v>
      </c>
      <c r="AU9030" t="s">
        <v>68</v>
      </c>
      <c r="AV9030" t="s">
        <v>69</v>
      </c>
      <c r="AW9030" s="1">
        <v>24616</v>
      </c>
      <c r="AX9030">
        <v>1</v>
      </c>
    </row>
    <row r="9031" spans="1:50">
      <c r="A9031">
        <v>618154</v>
      </c>
      <c r="B9031" t="str">
        <f>"105812067"</f>
        <v>105812067</v>
      </c>
      <c r="C9031" t="s">
        <v>50</v>
      </c>
      <c r="D9031" t="s">
        <v>13660</v>
      </c>
      <c r="E9031" t="s">
        <v>73</v>
      </c>
      <c r="F9031" t="s">
        <v>72</v>
      </c>
      <c r="G9031" t="s">
        <v>12522</v>
      </c>
      <c r="H9031" t="str">
        <f>"ΚΑΣΤΕΝΑΖΟ 4 ΡΕΘΥΜΝΟ"</f>
        <v>ΚΑΣΤΕΝΑΖΟ 4 ΡΕΘΥΜΝΟ</v>
      </c>
      <c r="I9031">
        <v>74100</v>
      </c>
      <c r="J9031">
        <v>2831075353</v>
      </c>
      <c r="K9031">
        <v>6937118662</v>
      </c>
      <c r="N9031" t="s">
        <v>615</v>
      </c>
      <c r="O9031" t="s">
        <v>616</v>
      </c>
      <c r="R9031" t="s">
        <v>57</v>
      </c>
      <c r="S9031">
        <v>5</v>
      </c>
      <c r="T9031">
        <v>774</v>
      </c>
      <c r="U9031" s="1">
        <v>39680</v>
      </c>
      <c r="V9031" t="s">
        <v>66</v>
      </c>
      <c r="W9031" t="s">
        <v>67</v>
      </c>
      <c r="X9031" t="s">
        <v>58</v>
      </c>
      <c r="Y9031">
        <v>23</v>
      </c>
      <c r="Z9031" t="s">
        <v>59</v>
      </c>
      <c r="AA9031" t="s">
        <v>59</v>
      </c>
      <c r="AB9031" t="s">
        <v>59</v>
      </c>
      <c r="AC9031" t="s">
        <v>59</v>
      </c>
      <c r="AD9031" t="s">
        <v>59</v>
      </c>
      <c r="AF9031" s="1">
        <v>39681</v>
      </c>
      <c r="AG9031" t="s">
        <v>8645</v>
      </c>
      <c r="AH9031" t="s">
        <v>8646</v>
      </c>
      <c r="AI9031" t="str">
        <f>"9410061"</f>
        <v>9410061</v>
      </c>
      <c r="AJ9031" t="s">
        <v>12760</v>
      </c>
      <c r="AK9031">
        <v>2831024378</v>
      </c>
      <c r="AL9031" t="s">
        <v>12761</v>
      </c>
      <c r="AM9031" t="s">
        <v>64</v>
      </c>
      <c r="AN9031" t="s">
        <v>65</v>
      </c>
      <c r="AO9031" t="s">
        <v>65</v>
      </c>
      <c r="AP9031" t="s">
        <v>65</v>
      </c>
      <c r="AQ9031">
        <v>1</v>
      </c>
      <c r="AR9031" t="s">
        <v>66</v>
      </c>
      <c r="AS9031" t="s">
        <v>67</v>
      </c>
      <c r="AT9031" t="s">
        <v>58</v>
      </c>
      <c r="AU9031" t="s">
        <v>68</v>
      </c>
      <c r="AV9031" t="s">
        <v>69</v>
      </c>
      <c r="AW9031" s="1">
        <v>29777</v>
      </c>
      <c r="AX9031">
        <v>1</v>
      </c>
    </row>
    <row r="9032" spans="1:50">
      <c r="A9032">
        <v>615927</v>
      </c>
      <c r="B9032" t="str">
        <f>"078564131"</f>
        <v>078564131</v>
      </c>
      <c r="C9032" t="s">
        <v>50</v>
      </c>
      <c r="D9032" t="s">
        <v>13661</v>
      </c>
      <c r="E9032" t="s">
        <v>4852</v>
      </c>
      <c r="F9032" t="s">
        <v>72</v>
      </c>
      <c r="G9032" t="s">
        <v>8200</v>
      </c>
      <c r="H9032" t="str">
        <f>" "</f>
        <v xml:space="preserve"> </v>
      </c>
      <c r="J9032">
        <v>2267031421</v>
      </c>
      <c r="K9032">
        <v>6936203222</v>
      </c>
      <c r="N9032" t="s">
        <v>176</v>
      </c>
      <c r="O9032" t="s">
        <v>177</v>
      </c>
      <c r="R9032" t="s">
        <v>57</v>
      </c>
      <c r="S9032">
        <v>7</v>
      </c>
      <c r="T9032">
        <v>600</v>
      </c>
      <c r="U9032" s="1">
        <v>39310</v>
      </c>
      <c r="V9032" t="s">
        <v>66</v>
      </c>
      <c r="W9032" t="s">
        <v>67</v>
      </c>
      <c r="X9032" t="s">
        <v>58</v>
      </c>
      <c r="Y9032">
        <v>22</v>
      </c>
      <c r="Z9032" t="s">
        <v>59</v>
      </c>
      <c r="AA9032" t="s">
        <v>59</v>
      </c>
      <c r="AB9032" t="s">
        <v>59</v>
      </c>
      <c r="AC9032" t="s">
        <v>59</v>
      </c>
      <c r="AD9032" t="s">
        <v>59</v>
      </c>
      <c r="AF9032" s="1">
        <v>39328</v>
      </c>
      <c r="AG9032" t="s">
        <v>8645</v>
      </c>
      <c r="AH9032" t="s">
        <v>8646</v>
      </c>
      <c r="AI9032" t="str">
        <f>"9410169"</f>
        <v>9410169</v>
      </c>
      <c r="AJ9032" t="s">
        <v>12936</v>
      </c>
      <c r="AK9032">
        <v>2831031123</v>
      </c>
      <c r="AL9032" t="s">
        <v>12937</v>
      </c>
      <c r="AM9032" t="s">
        <v>64</v>
      </c>
      <c r="AN9032" t="s">
        <v>65</v>
      </c>
      <c r="AO9032" t="s">
        <v>5720</v>
      </c>
      <c r="AP9032" t="s">
        <v>12938</v>
      </c>
      <c r="AQ9032">
        <v>2</v>
      </c>
      <c r="AR9032" t="s">
        <v>66</v>
      </c>
      <c r="AS9032" t="s">
        <v>67</v>
      </c>
      <c r="AT9032" t="s">
        <v>58</v>
      </c>
      <c r="AU9032" t="s">
        <v>68</v>
      </c>
      <c r="AV9032" t="s">
        <v>69</v>
      </c>
      <c r="AW9032" s="1">
        <v>27387</v>
      </c>
      <c r="AX9032">
        <v>1</v>
      </c>
    </row>
    <row r="9033" spans="1:50">
      <c r="B9033" t="str">
        <f>"143650257"</f>
        <v>143650257</v>
      </c>
      <c r="C9033" t="s">
        <v>50</v>
      </c>
      <c r="D9033" t="s">
        <v>13662</v>
      </c>
      <c r="E9033" t="s">
        <v>250</v>
      </c>
      <c r="F9033" t="s">
        <v>72</v>
      </c>
      <c r="G9033" t="s">
        <v>83</v>
      </c>
      <c r="H9033" t="str">
        <f>"ΧΡ. ΣΜΥΡΝΗΣ 49 "</f>
        <v xml:space="preserve">ΧΡ. ΣΜΥΡΝΗΣ 49 </v>
      </c>
      <c r="I9033">
        <v>17341</v>
      </c>
      <c r="J9033">
        <v>2109750692</v>
      </c>
      <c r="K9033">
        <v>6972204841</v>
      </c>
      <c r="N9033" t="s">
        <v>337</v>
      </c>
      <c r="O9033" t="s">
        <v>338</v>
      </c>
      <c r="R9033" t="s">
        <v>159</v>
      </c>
      <c r="S9033">
        <v>2</v>
      </c>
      <c r="T9033" t="s">
        <v>8675</v>
      </c>
      <c r="U9033" s="1">
        <v>43348</v>
      </c>
      <c r="V9033" t="s">
        <v>66</v>
      </c>
      <c r="W9033" t="s">
        <v>67</v>
      </c>
      <c r="X9033" t="s">
        <v>58</v>
      </c>
      <c r="Y9033">
        <v>24</v>
      </c>
      <c r="Z9033" t="s">
        <v>59</v>
      </c>
      <c r="AA9033" t="s">
        <v>59</v>
      </c>
      <c r="AB9033" t="s">
        <v>59</v>
      </c>
      <c r="AC9033" t="s">
        <v>59</v>
      </c>
      <c r="AD9033" t="s">
        <v>59</v>
      </c>
      <c r="AF9033" s="1">
        <v>43348</v>
      </c>
      <c r="AG9033" t="s">
        <v>8645</v>
      </c>
      <c r="AH9033" t="s">
        <v>8646</v>
      </c>
      <c r="AI9033" t="str">
        <f>"9410169"</f>
        <v>9410169</v>
      </c>
      <c r="AJ9033" t="s">
        <v>12936</v>
      </c>
      <c r="AK9033">
        <v>2831031123</v>
      </c>
      <c r="AL9033" t="s">
        <v>12937</v>
      </c>
      <c r="AM9033" t="s">
        <v>64</v>
      </c>
      <c r="AN9033" t="s">
        <v>65</v>
      </c>
      <c r="AO9033" t="s">
        <v>5720</v>
      </c>
      <c r="AP9033" t="s">
        <v>12938</v>
      </c>
      <c r="AQ9033">
        <v>2</v>
      </c>
      <c r="AR9033" t="s">
        <v>66</v>
      </c>
      <c r="AS9033" t="s">
        <v>67</v>
      </c>
      <c r="AT9033" t="s">
        <v>58</v>
      </c>
      <c r="AU9033" t="s">
        <v>8673</v>
      </c>
      <c r="AV9033" t="s">
        <v>132</v>
      </c>
      <c r="AW9033" s="1">
        <v>31126</v>
      </c>
      <c r="AX9033">
        <v>1</v>
      </c>
    </row>
    <row r="9034" spans="1:50">
      <c r="B9034" t="str">
        <f>"120023947"</f>
        <v>120023947</v>
      </c>
      <c r="C9034" t="s">
        <v>105</v>
      </c>
      <c r="D9034" t="s">
        <v>11470</v>
      </c>
      <c r="E9034" t="s">
        <v>782</v>
      </c>
      <c r="F9034" t="s">
        <v>72</v>
      </c>
      <c r="G9034" t="s">
        <v>83</v>
      </c>
      <c r="H9034" t="str">
        <f>"ΧΡΥΣ. ΣΜΥΡΝΗΣ 49 "</f>
        <v xml:space="preserve">ΧΡΥΣ. ΣΜΥΡΝΗΣ 49 </v>
      </c>
      <c r="I9034">
        <v>17341</v>
      </c>
      <c r="J9034">
        <v>2109750692</v>
      </c>
      <c r="K9034">
        <v>6947801912</v>
      </c>
      <c r="N9034" t="s">
        <v>337</v>
      </c>
      <c r="O9034" t="s">
        <v>338</v>
      </c>
      <c r="R9034" t="s">
        <v>159</v>
      </c>
      <c r="S9034">
        <v>2</v>
      </c>
      <c r="T9034" t="s">
        <v>8675</v>
      </c>
      <c r="U9034" s="1">
        <v>43348</v>
      </c>
      <c r="V9034" t="s">
        <v>66</v>
      </c>
      <c r="W9034" t="s">
        <v>67</v>
      </c>
      <c r="X9034" t="s">
        <v>58</v>
      </c>
      <c r="Y9034">
        <v>24</v>
      </c>
      <c r="Z9034" t="s">
        <v>59</v>
      </c>
      <c r="AA9034" t="s">
        <v>59</v>
      </c>
      <c r="AB9034" t="s">
        <v>59</v>
      </c>
      <c r="AC9034" t="s">
        <v>59</v>
      </c>
      <c r="AD9034" t="s">
        <v>59</v>
      </c>
      <c r="AF9034" s="1">
        <v>43348</v>
      </c>
      <c r="AG9034" t="s">
        <v>8645</v>
      </c>
      <c r="AH9034" t="s">
        <v>8646</v>
      </c>
      <c r="AI9034" t="str">
        <f>"9410072"</f>
        <v>9410072</v>
      </c>
      <c r="AJ9034" t="s">
        <v>12692</v>
      </c>
      <c r="AK9034">
        <v>2831071264</v>
      </c>
      <c r="AL9034" t="s">
        <v>12693</v>
      </c>
      <c r="AM9034" t="s">
        <v>64</v>
      </c>
      <c r="AN9034" t="s">
        <v>65</v>
      </c>
      <c r="AO9034" t="s">
        <v>12694</v>
      </c>
      <c r="AP9034" t="s">
        <v>12695</v>
      </c>
      <c r="AQ9034">
        <v>3</v>
      </c>
      <c r="AR9034" t="s">
        <v>66</v>
      </c>
      <c r="AS9034" t="s">
        <v>67</v>
      </c>
      <c r="AT9034" t="s">
        <v>58</v>
      </c>
      <c r="AU9034" t="s">
        <v>8673</v>
      </c>
      <c r="AV9034" t="s">
        <v>132</v>
      </c>
      <c r="AW9034" s="1">
        <v>30385</v>
      </c>
      <c r="AX9034">
        <v>1</v>
      </c>
    </row>
    <row r="9035" spans="1:50">
      <c r="B9035" t="str">
        <f>"155022348"</f>
        <v>155022348</v>
      </c>
      <c r="C9035" t="s">
        <v>50</v>
      </c>
      <c r="D9035" t="s">
        <v>3865</v>
      </c>
      <c r="E9035" t="s">
        <v>215</v>
      </c>
      <c r="F9035" t="s">
        <v>95</v>
      </c>
      <c r="G9035" t="s">
        <v>52</v>
      </c>
      <c r="H9035" t="str">
        <f>"ΠΕΡΙΒΟΛΙΑ-ΕΜ. ΠΑΧΛΑ 33 "</f>
        <v xml:space="preserve">ΠΕΡΙΒΟΛΙΑ-ΕΜ. ΠΑΧΛΑ 33 </v>
      </c>
      <c r="I9035">
        <v>74100</v>
      </c>
      <c r="J9035">
        <v>2834094309</v>
      </c>
      <c r="K9035">
        <v>6974204358</v>
      </c>
      <c r="N9035" t="s">
        <v>615</v>
      </c>
      <c r="O9035" t="s">
        <v>616</v>
      </c>
      <c r="R9035" t="s">
        <v>159</v>
      </c>
      <c r="S9035">
        <v>2</v>
      </c>
      <c r="T9035" t="s">
        <v>8675</v>
      </c>
      <c r="U9035" s="1">
        <v>43348</v>
      </c>
      <c r="V9035" t="s">
        <v>66</v>
      </c>
      <c r="W9035" t="s">
        <v>67</v>
      </c>
      <c r="X9035" t="s">
        <v>58</v>
      </c>
      <c r="Y9035">
        <v>24</v>
      </c>
      <c r="Z9035" t="s">
        <v>59</v>
      </c>
      <c r="AA9035" t="s">
        <v>59</v>
      </c>
      <c r="AB9035" t="s">
        <v>59</v>
      </c>
      <c r="AC9035" t="s">
        <v>59</v>
      </c>
      <c r="AD9035" t="s">
        <v>59</v>
      </c>
      <c r="AF9035" s="1">
        <v>43348</v>
      </c>
      <c r="AG9035" t="s">
        <v>8645</v>
      </c>
      <c r="AH9035" t="s">
        <v>8646</v>
      </c>
      <c r="AI9035" t="str">
        <f>"9410033"</f>
        <v>9410033</v>
      </c>
      <c r="AJ9035" t="s">
        <v>12778</v>
      </c>
      <c r="AK9035">
        <v>2834061210</v>
      </c>
      <c r="AL9035" t="s">
        <v>12779</v>
      </c>
      <c r="AM9035" t="s">
        <v>64</v>
      </c>
      <c r="AN9035" t="s">
        <v>5672</v>
      </c>
      <c r="AO9035" t="s">
        <v>12780</v>
      </c>
      <c r="AP9035" t="s">
        <v>12780</v>
      </c>
      <c r="AQ9035">
        <v>9</v>
      </c>
      <c r="AR9035" t="s">
        <v>66</v>
      </c>
      <c r="AS9035" t="s">
        <v>67</v>
      </c>
      <c r="AT9035" t="s">
        <v>58</v>
      </c>
      <c r="AU9035" t="s">
        <v>8673</v>
      </c>
      <c r="AV9035" t="s">
        <v>132</v>
      </c>
      <c r="AW9035" s="1">
        <v>32466</v>
      </c>
      <c r="AX9035">
        <v>1</v>
      </c>
    </row>
    <row r="9036" spans="1:50">
      <c r="A9036">
        <v>617360</v>
      </c>
      <c r="B9036" t="str">
        <f>"131492550"</f>
        <v>131492550</v>
      </c>
      <c r="C9036" t="s">
        <v>50</v>
      </c>
      <c r="D9036" t="s">
        <v>3865</v>
      </c>
      <c r="E9036" t="s">
        <v>13663</v>
      </c>
      <c r="F9036" t="s">
        <v>202</v>
      </c>
      <c r="G9036" t="s">
        <v>112</v>
      </c>
      <c r="H9036" t="str">
        <f>"Γ.ΑΝΔΡΟΥΛΙΔΑΚΗ 28 ΡΕΘΥΜΝΟ"</f>
        <v>Γ.ΑΝΔΡΟΥΛΙΔΑΚΗ 28 ΡΕΘΥΜΝΟ</v>
      </c>
      <c r="I9036">
        <v>74100</v>
      </c>
      <c r="J9036">
        <v>2831027528</v>
      </c>
      <c r="K9036">
        <v>6977904640</v>
      </c>
      <c r="N9036" t="s">
        <v>615</v>
      </c>
      <c r="O9036" t="s">
        <v>616</v>
      </c>
      <c r="R9036" t="s">
        <v>57</v>
      </c>
      <c r="S9036">
        <v>6</v>
      </c>
      <c r="T9036">
        <v>774</v>
      </c>
      <c r="U9036" s="1">
        <v>39680</v>
      </c>
      <c r="V9036" t="s">
        <v>66</v>
      </c>
      <c r="W9036" t="s">
        <v>67</v>
      </c>
      <c r="X9036" t="s">
        <v>58</v>
      </c>
      <c r="Y9036">
        <v>23</v>
      </c>
      <c r="Z9036" t="s">
        <v>59</v>
      </c>
      <c r="AA9036" t="s">
        <v>59</v>
      </c>
      <c r="AB9036" t="s">
        <v>59</v>
      </c>
      <c r="AC9036" t="s">
        <v>59</v>
      </c>
      <c r="AD9036" t="s">
        <v>59</v>
      </c>
      <c r="AF9036" s="1">
        <v>39685</v>
      </c>
      <c r="AG9036" t="s">
        <v>8645</v>
      </c>
      <c r="AH9036" t="s">
        <v>8646</v>
      </c>
      <c r="AI9036" t="str">
        <f>"9410030"</f>
        <v>9410030</v>
      </c>
      <c r="AJ9036" t="s">
        <v>12743</v>
      </c>
      <c r="AK9036">
        <v>2834093217</v>
      </c>
      <c r="AL9036" t="s">
        <v>12744</v>
      </c>
      <c r="AM9036" t="s">
        <v>64</v>
      </c>
      <c r="AN9036" t="s">
        <v>65</v>
      </c>
      <c r="AO9036" t="s">
        <v>12694</v>
      </c>
      <c r="AP9036" t="s">
        <v>12745</v>
      </c>
      <c r="AQ9036">
        <v>3</v>
      </c>
      <c r="AR9036" t="s">
        <v>66</v>
      </c>
      <c r="AS9036" t="s">
        <v>67</v>
      </c>
      <c r="AT9036" t="s">
        <v>58</v>
      </c>
      <c r="AU9036" t="s">
        <v>68</v>
      </c>
      <c r="AV9036" t="s">
        <v>69</v>
      </c>
      <c r="AW9036" s="1">
        <v>30650</v>
      </c>
      <c r="AX9036">
        <v>1</v>
      </c>
    </row>
    <row r="9037" spans="1:50">
      <c r="B9037" t="str">
        <f>"141389909"</f>
        <v>141389909</v>
      </c>
      <c r="C9037" t="s">
        <v>50</v>
      </c>
      <c r="D9037" t="s">
        <v>3888</v>
      </c>
      <c r="E9037" t="s">
        <v>83</v>
      </c>
      <c r="F9037" t="s">
        <v>154</v>
      </c>
      <c r="G9037" t="s">
        <v>250</v>
      </c>
      <c r="H9037" t="str">
        <f>"ΚΟΛΟΚΟΤΡΩΝΗ 40 "</f>
        <v xml:space="preserve">ΚΟΛΟΚΟΤΡΩΝΗ 40 </v>
      </c>
      <c r="I9037">
        <v>74100</v>
      </c>
      <c r="K9037">
        <v>6947490800</v>
      </c>
      <c r="N9037" t="s">
        <v>615</v>
      </c>
      <c r="O9037" t="s">
        <v>616</v>
      </c>
      <c r="R9037" t="s">
        <v>159</v>
      </c>
      <c r="S9037">
        <v>3</v>
      </c>
      <c r="T9037" t="s">
        <v>8675</v>
      </c>
      <c r="U9037" s="1">
        <v>43348</v>
      </c>
      <c r="V9037" t="s">
        <v>66</v>
      </c>
      <c r="W9037" t="s">
        <v>67</v>
      </c>
      <c r="X9037" t="s">
        <v>58</v>
      </c>
      <c r="Y9037">
        <v>24</v>
      </c>
      <c r="Z9037" t="s">
        <v>59</v>
      </c>
      <c r="AA9037" t="s">
        <v>59</v>
      </c>
      <c r="AB9037" t="s">
        <v>59</v>
      </c>
      <c r="AC9037" t="s">
        <v>59</v>
      </c>
      <c r="AD9037" t="s">
        <v>59</v>
      </c>
      <c r="AF9037" s="1">
        <v>43348</v>
      </c>
      <c r="AG9037" t="s">
        <v>8645</v>
      </c>
      <c r="AH9037" t="s">
        <v>8646</v>
      </c>
      <c r="AI9037" t="str">
        <f>"9410072"</f>
        <v>9410072</v>
      </c>
      <c r="AJ9037" t="s">
        <v>12692</v>
      </c>
      <c r="AK9037">
        <v>2831071264</v>
      </c>
      <c r="AL9037" t="s">
        <v>12693</v>
      </c>
      <c r="AM9037" t="s">
        <v>64</v>
      </c>
      <c r="AN9037" t="s">
        <v>65</v>
      </c>
      <c r="AO9037" t="s">
        <v>12694</v>
      </c>
      <c r="AP9037" t="s">
        <v>12695</v>
      </c>
      <c r="AQ9037">
        <v>3</v>
      </c>
      <c r="AR9037" t="s">
        <v>66</v>
      </c>
      <c r="AS9037" t="s">
        <v>67</v>
      </c>
      <c r="AT9037" t="s">
        <v>58</v>
      </c>
      <c r="AU9037" t="s">
        <v>8673</v>
      </c>
      <c r="AV9037" t="s">
        <v>132</v>
      </c>
      <c r="AW9037" s="1">
        <v>32011</v>
      </c>
      <c r="AX9037">
        <v>1</v>
      </c>
    </row>
    <row r="9038" spans="1:50">
      <c r="B9038" t="str">
        <f>"106869057"</f>
        <v>106869057</v>
      </c>
      <c r="C9038" t="s">
        <v>50</v>
      </c>
      <c r="D9038" t="s">
        <v>13664</v>
      </c>
      <c r="E9038" t="s">
        <v>1001</v>
      </c>
      <c r="F9038" t="s">
        <v>53</v>
      </c>
      <c r="G9038" t="s">
        <v>5887</v>
      </c>
      <c r="H9038" t="str">
        <f>"ΠΙΝΔΑΡΟΥ 3 "</f>
        <v xml:space="preserve">ΠΙΝΔΑΡΟΥ 3 </v>
      </c>
      <c r="I9038">
        <v>15343</v>
      </c>
      <c r="J9038">
        <v>2106015625</v>
      </c>
      <c r="K9038">
        <v>6976501157</v>
      </c>
      <c r="N9038" t="s">
        <v>1525</v>
      </c>
      <c r="O9038" t="s">
        <v>1526</v>
      </c>
      <c r="R9038" t="s">
        <v>159</v>
      </c>
      <c r="S9038">
        <v>3</v>
      </c>
      <c r="T9038" t="s">
        <v>8670</v>
      </c>
      <c r="U9038" s="1">
        <v>43348</v>
      </c>
      <c r="V9038" t="s">
        <v>66</v>
      </c>
      <c r="W9038" t="s">
        <v>67</v>
      </c>
      <c r="X9038" t="s">
        <v>58</v>
      </c>
      <c r="Y9038">
        <v>25</v>
      </c>
      <c r="Z9038" t="s">
        <v>59</v>
      </c>
      <c r="AA9038" t="s">
        <v>59</v>
      </c>
      <c r="AB9038" t="s">
        <v>59</v>
      </c>
      <c r="AC9038" t="s">
        <v>59</v>
      </c>
      <c r="AD9038" t="s">
        <v>59</v>
      </c>
      <c r="AF9038" s="1">
        <v>43348</v>
      </c>
      <c r="AG9038" t="s">
        <v>8651</v>
      </c>
      <c r="AH9038" t="s">
        <v>8652</v>
      </c>
      <c r="AI9038" t="str">
        <f>"9410039"</f>
        <v>9410039</v>
      </c>
      <c r="AJ9038" t="s">
        <v>12871</v>
      </c>
      <c r="AK9038">
        <v>2834061260</v>
      </c>
      <c r="AL9038" t="s">
        <v>12872</v>
      </c>
      <c r="AM9038" t="s">
        <v>64</v>
      </c>
      <c r="AN9038" t="s">
        <v>5672</v>
      </c>
      <c r="AO9038" t="s">
        <v>5698</v>
      </c>
      <c r="AP9038" t="s">
        <v>5699</v>
      </c>
      <c r="AQ9038">
        <v>9</v>
      </c>
      <c r="AR9038" t="s">
        <v>66</v>
      </c>
      <c r="AS9038" t="s">
        <v>67</v>
      </c>
      <c r="AT9038" t="s">
        <v>58</v>
      </c>
      <c r="AU9038" t="s">
        <v>8673</v>
      </c>
      <c r="AV9038" t="s">
        <v>132</v>
      </c>
      <c r="AW9038" s="1">
        <v>29867</v>
      </c>
      <c r="AX9038">
        <v>1</v>
      </c>
    </row>
    <row r="9039" spans="1:50">
      <c r="B9039" t="str">
        <f>"102488595"</f>
        <v>102488595</v>
      </c>
      <c r="C9039" t="s">
        <v>50</v>
      </c>
      <c r="D9039" t="s">
        <v>13665</v>
      </c>
      <c r="E9039" t="s">
        <v>755</v>
      </c>
      <c r="F9039" t="s">
        <v>1093</v>
      </c>
      <c r="G9039" t="s">
        <v>52</v>
      </c>
      <c r="H9039" t="str">
        <f>"ΑΡΚΑΔΙΟΥ 7 ΚΑΒΑΛΑ"</f>
        <v>ΑΡΚΑΔΙΟΥ 7 ΚΑΒΑΛΑ</v>
      </c>
      <c r="I9039">
        <v>65404</v>
      </c>
      <c r="J9039">
        <v>2510250254</v>
      </c>
      <c r="K9039">
        <v>6932174495</v>
      </c>
      <c r="N9039" t="s">
        <v>288</v>
      </c>
      <c r="O9039" t="s">
        <v>289</v>
      </c>
      <c r="R9039" t="s">
        <v>159</v>
      </c>
      <c r="S9039">
        <v>2</v>
      </c>
      <c r="T9039" t="s">
        <v>9034</v>
      </c>
      <c r="U9039" s="1">
        <v>43377</v>
      </c>
      <c r="V9039" t="s">
        <v>66</v>
      </c>
      <c r="W9039" t="s">
        <v>67</v>
      </c>
      <c r="X9039" t="s">
        <v>58</v>
      </c>
      <c r="Y9039">
        <v>14</v>
      </c>
      <c r="Z9039" t="s">
        <v>59</v>
      </c>
      <c r="AA9039" t="s">
        <v>59</v>
      </c>
      <c r="AB9039" t="s">
        <v>59</v>
      </c>
      <c r="AC9039" t="s">
        <v>59</v>
      </c>
      <c r="AD9039" t="s">
        <v>59</v>
      </c>
      <c r="AF9039" s="1">
        <v>43377</v>
      </c>
      <c r="AG9039" t="s">
        <v>8645</v>
      </c>
      <c r="AH9039" t="s">
        <v>8646</v>
      </c>
      <c r="AI9039" t="str">
        <f>"9410152"</f>
        <v>9410152</v>
      </c>
      <c r="AJ9039" t="s">
        <v>12686</v>
      </c>
      <c r="AK9039">
        <v>2831029088</v>
      </c>
      <c r="AL9039" t="s">
        <v>12687</v>
      </c>
      <c r="AM9039" t="s">
        <v>64</v>
      </c>
      <c r="AN9039" t="s">
        <v>65</v>
      </c>
      <c r="AO9039" t="s">
        <v>65</v>
      </c>
      <c r="AP9039" t="s">
        <v>65</v>
      </c>
      <c r="AQ9039">
        <v>1</v>
      </c>
      <c r="AR9039" t="s">
        <v>66</v>
      </c>
      <c r="AS9039" t="s">
        <v>67</v>
      </c>
      <c r="AT9039" t="s">
        <v>58</v>
      </c>
      <c r="AU9039" t="s">
        <v>8686</v>
      </c>
      <c r="AV9039" t="s">
        <v>132</v>
      </c>
      <c r="AW9039" s="1">
        <v>29106</v>
      </c>
      <c r="AX9039">
        <v>1</v>
      </c>
    </row>
    <row r="9040" spans="1:50">
      <c r="B9040" t="str">
        <f>"120048040"</f>
        <v>120048040</v>
      </c>
      <c r="C9040" t="s">
        <v>50</v>
      </c>
      <c r="D9040" t="s">
        <v>13666</v>
      </c>
      <c r="E9040" t="s">
        <v>809</v>
      </c>
      <c r="F9040" t="s">
        <v>53</v>
      </c>
      <c r="G9040" t="s">
        <v>109</v>
      </c>
      <c r="H9040" t="str">
        <f>"44 ΟΥ ΣΥΝΤΑΓΜΑΤΟΣ 5 ΡΕΘΥΜΝΟ"</f>
        <v>44 ΟΥ ΣΥΝΤΑΓΜΑΤΟΣ 5 ΡΕΘΥΜΝΟ</v>
      </c>
      <c r="I9040">
        <v>74100</v>
      </c>
      <c r="J9040">
        <v>2831054540</v>
      </c>
      <c r="K9040">
        <v>6938271465</v>
      </c>
      <c r="N9040" t="s">
        <v>615</v>
      </c>
      <c r="O9040" t="s">
        <v>616</v>
      </c>
      <c r="R9040" t="s">
        <v>159</v>
      </c>
      <c r="S9040">
        <v>4</v>
      </c>
      <c r="T9040" t="s">
        <v>8675</v>
      </c>
      <c r="U9040" s="1">
        <v>43348</v>
      </c>
      <c r="V9040" t="s">
        <v>66</v>
      </c>
      <c r="W9040" t="s">
        <v>67</v>
      </c>
      <c r="X9040" t="s">
        <v>58</v>
      </c>
      <c r="Y9040">
        <v>25</v>
      </c>
      <c r="Z9040" t="s">
        <v>59</v>
      </c>
      <c r="AA9040" t="s">
        <v>59</v>
      </c>
      <c r="AB9040" t="s">
        <v>59</v>
      </c>
      <c r="AC9040" t="s">
        <v>59</v>
      </c>
      <c r="AD9040" t="s">
        <v>59</v>
      </c>
      <c r="AF9040" s="1">
        <v>43348</v>
      </c>
      <c r="AG9040" t="s">
        <v>8645</v>
      </c>
      <c r="AH9040" t="s">
        <v>8676</v>
      </c>
      <c r="AI9040" t="str">
        <f>"9410055"</f>
        <v>9410055</v>
      </c>
      <c r="AJ9040" t="s">
        <v>12677</v>
      </c>
      <c r="AK9040">
        <v>2834051109</v>
      </c>
      <c r="AL9040" t="s">
        <v>12678</v>
      </c>
      <c r="AM9040" t="s">
        <v>64</v>
      </c>
      <c r="AN9040" t="s">
        <v>5672</v>
      </c>
      <c r="AO9040" t="s">
        <v>5673</v>
      </c>
      <c r="AP9040" t="s">
        <v>12679</v>
      </c>
      <c r="AQ9040">
        <v>10</v>
      </c>
      <c r="AR9040" t="s">
        <v>66</v>
      </c>
      <c r="AS9040" t="s">
        <v>67</v>
      </c>
      <c r="AT9040" t="s">
        <v>58</v>
      </c>
      <c r="AU9040" t="s">
        <v>8673</v>
      </c>
      <c r="AV9040" t="s">
        <v>132</v>
      </c>
      <c r="AW9040" s="1">
        <v>30205</v>
      </c>
      <c r="AX9040">
        <v>1</v>
      </c>
    </row>
    <row r="9041" spans="1:50">
      <c r="B9041" t="str">
        <f>"072934621"</f>
        <v>072934621</v>
      </c>
      <c r="C9041" t="s">
        <v>105</v>
      </c>
      <c r="D9041" t="s">
        <v>13667</v>
      </c>
      <c r="E9041" t="s">
        <v>1023</v>
      </c>
      <c r="F9041" t="s">
        <v>99</v>
      </c>
      <c r="G9041" t="s">
        <v>143</v>
      </c>
      <c r="H9041" t="str">
        <f>"ΝΕΑ ΚΕΡΑΣΟΥΝΤΑ ΦΙΛΙΠΠΙΑΔΑ"</f>
        <v>ΝΕΑ ΚΕΡΑΣΟΥΝΤΑ ΦΙΛΙΠΠΙΑΔΑ</v>
      </c>
      <c r="I9041">
        <v>48200</v>
      </c>
      <c r="J9041">
        <v>2683041268</v>
      </c>
      <c r="K9041">
        <v>6937058517</v>
      </c>
      <c r="N9041" t="s">
        <v>204</v>
      </c>
      <c r="O9041" t="s">
        <v>205</v>
      </c>
      <c r="R9041" t="s">
        <v>159</v>
      </c>
      <c r="S9041">
        <v>4</v>
      </c>
      <c r="T9041" t="s">
        <v>8675</v>
      </c>
      <c r="U9041" s="1">
        <v>43348</v>
      </c>
      <c r="V9041" t="s">
        <v>66</v>
      </c>
      <c r="W9041" t="s">
        <v>67</v>
      </c>
      <c r="X9041" t="s">
        <v>58</v>
      </c>
      <c r="Y9041">
        <v>24</v>
      </c>
      <c r="Z9041" t="s">
        <v>59</v>
      </c>
      <c r="AA9041" t="s">
        <v>59</v>
      </c>
      <c r="AB9041" t="s">
        <v>59</v>
      </c>
      <c r="AC9041" t="s">
        <v>59</v>
      </c>
      <c r="AD9041" t="s">
        <v>59</v>
      </c>
      <c r="AF9041" s="1">
        <v>43348</v>
      </c>
      <c r="AG9041" t="s">
        <v>8645</v>
      </c>
      <c r="AH9041" t="s">
        <v>8646</v>
      </c>
      <c r="AI9041" t="str">
        <f>"9410064"</f>
        <v>9410064</v>
      </c>
      <c r="AJ9041" t="s">
        <v>12683</v>
      </c>
      <c r="AK9041">
        <v>2831028390</v>
      </c>
      <c r="AL9041" t="s">
        <v>12684</v>
      </c>
      <c r="AM9041" t="s">
        <v>64</v>
      </c>
      <c r="AN9041" t="s">
        <v>65</v>
      </c>
      <c r="AO9041" t="s">
        <v>65</v>
      </c>
      <c r="AP9041" t="s">
        <v>65</v>
      </c>
      <c r="AQ9041">
        <v>1</v>
      </c>
      <c r="AR9041" t="s">
        <v>66</v>
      </c>
      <c r="AS9041" t="s">
        <v>67</v>
      </c>
      <c r="AT9041" t="s">
        <v>58</v>
      </c>
      <c r="AU9041" t="s">
        <v>8673</v>
      </c>
      <c r="AV9041" t="s">
        <v>132</v>
      </c>
      <c r="AW9041" s="1">
        <v>27466</v>
      </c>
      <c r="AX9041">
        <v>1</v>
      </c>
    </row>
    <row r="9042" spans="1:50">
      <c r="B9042" t="str">
        <f>"103037917"</f>
        <v>103037917</v>
      </c>
      <c r="C9042" t="s">
        <v>50</v>
      </c>
      <c r="D9042" t="s">
        <v>13668</v>
      </c>
      <c r="E9042" t="s">
        <v>3174</v>
      </c>
      <c r="F9042" t="s">
        <v>99</v>
      </c>
      <c r="G9042" t="s">
        <v>83</v>
      </c>
      <c r="H9042" t="str">
        <f>" "</f>
        <v xml:space="preserve"> </v>
      </c>
      <c r="N9042" t="s">
        <v>615</v>
      </c>
      <c r="O9042" t="s">
        <v>616</v>
      </c>
      <c r="R9042" t="s">
        <v>121</v>
      </c>
      <c r="S9042">
        <v>3</v>
      </c>
      <c r="T9042" t="s">
        <v>8717</v>
      </c>
      <c r="U9042" s="1">
        <v>43348</v>
      </c>
      <c r="V9042" t="s">
        <v>66</v>
      </c>
      <c r="W9042" t="s">
        <v>67</v>
      </c>
      <c r="X9042" t="s">
        <v>58</v>
      </c>
      <c r="Y9042">
        <v>24</v>
      </c>
      <c r="Z9042" t="s">
        <v>59</v>
      </c>
      <c r="AA9042" t="s">
        <v>59</v>
      </c>
      <c r="AB9042" t="s">
        <v>59</v>
      </c>
      <c r="AD9042" t="s">
        <v>59</v>
      </c>
      <c r="AF9042" s="1">
        <v>43348</v>
      </c>
      <c r="AG9042" t="s">
        <v>8645</v>
      </c>
      <c r="AH9042" t="s">
        <v>8646</v>
      </c>
      <c r="AI9042" t="str">
        <f>"9410160"</f>
        <v>9410160</v>
      </c>
      <c r="AJ9042" t="s">
        <v>12689</v>
      </c>
      <c r="AK9042">
        <v>2831041098</v>
      </c>
      <c r="AL9042" t="s">
        <v>12690</v>
      </c>
      <c r="AM9042" t="s">
        <v>64</v>
      </c>
      <c r="AN9042" t="s">
        <v>65</v>
      </c>
      <c r="AO9042" t="s">
        <v>65</v>
      </c>
      <c r="AP9042" t="s">
        <v>11883</v>
      </c>
      <c r="AQ9042">
        <v>2</v>
      </c>
      <c r="AR9042" t="s">
        <v>66</v>
      </c>
      <c r="AS9042" t="s">
        <v>67</v>
      </c>
      <c r="AT9042" t="s">
        <v>58</v>
      </c>
      <c r="AU9042" t="s">
        <v>8720</v>
      </c>
      <c r="AV9042" t="s">
        <v>132</v>
      </c>
      <c r="AW9042" s="1">
        <v>32705</v>
      </c>
      <c r="AX9042">
        <v>1</v>
      </c>
    </row>
    <row r="9043" spans="1:50">
      <c r="B9043" t="str">
        <f>"142273554"</f>
        <v>142273554</v>
      </c>
      <c r="C9043" t="s">
        <v>50</v>
      </c>
      <c r="D9043" t="s">
        <v>13669</v>
      </c>
      <c r="E9043" t="s">
        <v>13670</v>
      </c>
      <c r="F9043" t="s">
        <v>53</v>
      </c>
      <c r="G9043" t="s">
        <v>484</v>
      </c>
      <c r="H9043" t="str">
        <f>" "</f>
        <v xml:space="preserve"> </v>
      </c>
      <c r="K9043">
        <v>6986227464</v>
      </c>
      <c r="N9043" t="s">
        <v>8834</v>
      </c>
      <c r="O9043" t="s">
        <v>8695</v>
      </c>
      <c r="R9043" t="s">
        <v>159</v>
      </c>
      <c r="S9043">
        <v>3</v>
      </c>
      <c r="T9043" t="s">
        <v>8835</v>
      </c>
      <c r="U9043" s="1">
        <v>43348</v>
      </c>
      <c r="V9043" t="s">
        <v>66</v>
      </c>
      <c r="W9043" t="s">
        <v>67</v>
      </c>
      <c r="X9043" t="s">
        <v>58</v>
      </c>
      <c r="Y9043">
        <v>24</v>
      </c>
      <c r="Z9043" t="s">
        <v>59</v>
      </c>
      <c r="AA9043" t="s">
        <v>59</v>
      </c>
      <c r="AB9043" t="s">
        <v>59</v>
      </c>
      <c r="AD9043" t="s">
        <v>59</v>
      </c>
      <c r="AF9043" s="1">
        <v>43348</v>
      </c>
      <c r="AG9043" t="s">
        <v>8645</v>
      </c>
      <c r="AH9043" t="s">
        <v>8646</v>
      </c>
      <c r="AI9043" t="str">
        <f>"9410241"</f>
        <v>9410241</v>
      </c>
      <c r="AJ9043" t="s">
        <v>12783</v>
      </c>
      <c r="AK9043">
        <v>2831022616</v>
      </c>
      <c r="AL9043" t="s">
        <v>12784</v>
      </c>
      <c r="AM9043" t="s">
        <v>64</v>
      </c>
      <c r="AN9043" t="s">
        <v>65</v>
      </c>
      <c r="AO9043" t="s">
        <v>65</v>
      </c>
      <c r="AP9043" t="s">
        <v>65</v>
      </c>
      <c r="AQ9043">
        <v>1</v>
      </c>
      <c r="AR9043" t="s">
        <v>66</v>
      </c>
      <c r="AS9043" t="s">
        <v>67</v>
      </c>
      <c r="AT9043" t="s">
        <v>58</v>
      </c>
      <c r="AU9043" t="s">
        <v>131</v>
      </c>
      <c r="AV9043" t="s">
        <v>132</v>
      </c>
      <c r="AW9043" s="1">
        <v>33030</v>
      </c>
      <c r="AX9043">
        <v>1</v>
      </c>
    </row>
    <row r="9044" spans="1:50">
      <c r="A9044">
        <v>607828</v>
      </c>
      <c r="B9044" t="str">
        <f>"123493244"</f>
        <v>123493244</v>
      </c>
      <c r="C9044" t="s">
        <v>50</v>
      </c>
      <c r="D9044" t="s">
        <v>13671</v>
      </c>
      <c r="E9044" t="s">
        <v>143</v>
      </c>
      <c r="F9044" t="s">
        <v>53</v>
      </c>
      <c r="G9044" t="s">
        <v>52</v>
      </c>
      <c r="H9044" t="str">
        <f>" "</f>
        <v xml:space="preserve"> </v>
      </c>
      <c r="J9044">
        <v>2102755419</v>
      </c>
      <c r="K9044">
        <v>6938386814</v>
      </c>
      <c r="N9044" t="s">
        <v>615</v>
      </c>
      <c r="O9044" t="s">
        <v>616</v>
      </c>
      <c r="R9044" t="s">
        <v>57</v>
      </c>
      <c r="S9044">
        <v>7</v>
      </c>
      <c r="T9044">
        <v>217</v>
      </c>
      <c r="U9044" s="1">
        <v>38596</v>
      </c>
      <c r="V9044" t="s">
        <v>66</v>
      </c>
      <c r="W9044" t="s">
        <v>67</v>
      </c>
      <c r="X9044" t="s">
        <v>58</v>
      </c>
      <c r="Y9044">
        <v>22</v>
      </c>
      <c r="Z9044" t="s">
        <v>59</v>
      </c>
      <c r="AA9044" t="s">
        <v>59</v>
      </c>
      <c r="AB9044" t="s">
        <v>59</v>
      </c>
      <c r="AC9044" t="s">
        <v>59</v>
      </c>
      <c r="AD9044" t="s">
        <v>59</v>
      </c>
      <c r="AF9044" s="1">
        <v>38600</v>
      </c>
      <c r="AG9044" t="s">
        <v>8645</v>
      </c>
      <c r="AH9044" t="s">
        <v>8646</v>
      </c>
      <c r="AI9044" t="str">
        <f>"9410160"</f>
        <v>9410160</v>
      </c>
      <c r="AJ9044" t="s">
        <v>12689</v>
      </c>
      <c r="AK9044">
        <v>2831041098</v>
      </c>
      <c r="AL9044" t="s">
        <v>12690</v>
      </c>
      <c r="AM9044" t="s">
        <v>64</v>
      </c>
      <c r="AN9044" t="s">
        <v>65</v>
      </c>
      <c r="AO9044" t="s">
        <v>65</v>
      </c>
      <c r="AP9044" t="s">
        <v>11883</v>
      </c>
      <c r="AQ9044">
        <v>2</v>
      </c>
      <c r="AR9044" t="s">
        <v>66</v>
      </c>
      <c r="AS9044" t="s">
        <v>67</v>
      </c>
      <c r="AT9044" t="s">
        <v>58</v>
      </c>
      <c r="AU9044" t="s">
        <v>68</v>
      </c>
      <c r="AV9044" t="s">
        <v>69</v>
      </c>
      <c r="AW9044" s="1">
        <v>29200</v>
      </c>
      <c r="AX9044">
        <v>1</v>
      </c>
    </row>
    <row r="9045" spans="1:50">
      <c r="B9045" t="str">
        <f>"140736778"</f>
        <v>140736778</v>
      </c>
      <c r="C9045" t="s">
        <v>50</v>
      </c>
      <c r="D9045" t="s">
        <v>7105</v>
      </c>
      <c r="E9045" t="s">
        <v>13672</v>
      </c>
      <c r="F9045" t="s">
        <v>95</v>
      </c>
      <c r="G9045" t="s">
        <v>52</v>
      </c>
      <c r="H9045" t="str">
        <f>"ΣΤΡΥΜΩΝΟΣ  13 "</f>
        <v xml:space="preserve">ΣΤΡΥΜΩΝΟΣ  13 </v>
      </c>
      <c r="I9045">
        <v>26442</v>
      </c>
      <c r="J9045">
        <v>2610420556</v>
      </c>
      <c r="K9045">
        <v>6934596908</v>
      </c>
      <c r="N9045" t="s">
        <v>615</v>
      </c>
      <c r="O9045" t="s">
        <v>616</v>
      </c>
      <c r="R9045" t="s">
        <v>159</v>
      </c>
      <c r="S9045">
        <v>5</v>
      </c>
      <c r="T9045" t="s">
        <v>8675</v>
      </c>
      <c r="U9045" s="1">
        <v>43348</v>
      </c>
      <c r="V9045" t="s">
        <v>66</v>
      </c>
      <c r="W9045" t="s">
        <v>67</v>
      </c>
      <c r="X9045" t="s">
        <v>58</v>
      </c>
      <c r="Y9045">
        <v>24</v>
      </c>
      <c r="Z9045" t="s">
        <v>59</v>
      </c>
      <c r="AA9045" t="s">
        <v>59</v>
      </c>
      <c r="AB9045" t="s">
        <v>59</v>
      </c>
      <c r="AC9045" t="s">
        <v>59</v>
      </c>
      <c r="AD9045" t="s">
        <v>59</v>
      </c>
      <c r="AF9045" s="1">
        <v>43348</v>
      </c>
      <c r="AG9045" t="s">
        <v>8645</v>
      </c>
      <c r="AH9045" t="s">
        <v>8646</v>
      </c>
      <c r="AI9045" t="str">
        <f>"9410242"</f>
        <v>9410242</v>
      </c>
      <c r="AJ9045" t="s">
        <v>12796</v>
      </c>
      <c r="AK9045">
        <v>2834023145</v>
      </c>
      <c r="AL9045" t="s">
        <v>12797</v>
      </c>
      <c r="AM9045" t="s">
        <v>64</v>
      </c>
      <c r="AN9045" t="s">
        <v>5672</v>
      </c>
      <c r="AO9045" t="s">
        <v>5673</v>
      </c>
      <c r="AP9045" t="s">
        <v>5689</v>
      </c>
      <c r="AQ9045">
        <v>7</v>
      </c>
      <c r="AR9045" t="s">
        <v>66</v>
      </c>
      <c r="AS9045" t="s">
        <v>67</v>
      </c>
      <c r="AT9045" t="s">
        <v>58</v>
      </c>
      <c r="AU9045" t="s">
        <v>8673</v>
      </c>
      <c r="AV9045" t="s">
        <v>132</v>
      </c>
      <c r="AW9045" s="1">
        <v>31943</v>
      </c>
      <c r="AX9045">
        <v>1</v>
      </c>
    </row>
    <row r="9046" spans="1:50">
      <c r="B9046" t="str">
        <f>"130082980"</f>
        <v>130082980</v>
      </c>
      <c r="C9046" t="s">
        <v>50</v>
      </c>
      <c r="D9046" t="s">
        <v>13673</v>
      </c>
      <c r="E9046" t="s">
        <v>529</v>
      </c>
      <c r="F9046" t="s">
        <v>315</v>
      </c>
      <c r="G9046" t="s">
        <v>6093</v>
      </c>
      <c r="H9046" t="str">
        <f>"ΜΑΥΡΟΚΟΡΔΑΤΟΥ 111 ΤΡΙΚΑΛΑ"</f>
        <v>ΜΑΥΡΟΚΟΡΔΑΤΟΥ 111 ΤΡΙΚΑΛΑ</v>
      </c>
      <c r="I9046">
        <v>42100</v>
      </c>
      <c r="J9046">
        <v>2431070183</v>
      </c>
      <c r="K9046">
        <v>6979537600</v>
      </c>
      <c r="N9046" t="s">
        <v>306</v>
      </c>
      <c r="O9046" t="s">
        <v>307</v>
      </c>
      <c r="R9046" t="s">
        <v>159</v>
      </c>
      <c r="S9046">
        <v>3</v>
      </c>
      <c r="T9046" t="s">
        <v>8675</v>
      </c>
      <c r="U9046" s="1">
        <v>43348</v>
      </c>
      <c r="V9046" t="s">
        <v>66</v>
      </c>
      <c r="W9046" t="s">
        <v>67</v>
      </c>
      <c r="X9046" t="s">
        <v>58</v>
      </c>
      <c r="Y9046">
        <v>24</v>
      </c>
      <c r="Z9046" t="s">
        <v>59</v>
      </c>
      <c r="AA9046" t="s">
        <v>59</v>
      </c>
      <c r="AB9046" t="s">
        <v>59</v>
      </c>
      <c r="AC9046" t="s">
        <v>59</v>
      </c>
      <c r="AD9046" t="s">
        <v>59</v>
      </c>
      <c r="AF9046" s="1">
        <v>43348</v>
      </c>
      <c r="AG9046" t="s">
        <v>8645</v>
      </c>
      <c r="AH9046" t="s">
        <v>8646</v>
      </c>
      <c r="AI9046" t="str">
        <f>"9410167"</f>
        <v>9410167</v>
      </c>
      <c r="AJ9046" t="s">
        <v>12911</v>
      </c>
      <c r="AK9046">
        <v>2831031455</v>
      </c>
      <c r="AL9046" t="s">
        <v>12912</v>
      </c>
      <c r="AM9046" t="s">
        <v>64</v>
      </c>
      <c r="AN9046" t="s">
        <v>65</v>
      </c>
      <c r="AO9046" t="s">
        <v>5720</v>
      </c>
      <c r="AP9046" t="s">
        <v>12913</v>
      </c>
      <c r="AQ9046">
        <v>2</v>
      </c>
      <c r="AR9046" t="s">
        <v>66</v>
      </c>
      <c r="AS9046" t="s">
        <v>67</v>
      </c>
      <c r="AT9046" t="s">
        <v>58</v>
      </c>
      <c r="AU9046" t="s">
        <v>8673</v>
      </c>
      <c r="AV9046" t="s">
        <v>132</v>
      </c>
      <c r="AW9046" s="1">
        <v>29526</v>
      </c>
      <c r="AX9046">
        <v>1</v>
      </c>
    </row>
    <row r="9047" spans="1:50">
      <c r="A9047">
        <v>622361</v>
      </c>
      <c r="B9047" t="str">
        <f>"113612820"</f>
        <v>113612820</v>
      </c>
      <c r="C9047" t="s">
        <v>50</v>
      </c>
      <c r="D9047" t="s">
        <v>13674</v>
      </c>
      <c r="E9047" t="s">
        <v>52</v>
      </c>
      <c r="F9047" t="s">
        <v>95</v>
      </c>
      <c r="G9047" t="s">
        <v>714</v>
      </c>
      <c r="H9047" t="str">
        <f>"ΡΟΥΣΣΟΣΠΙΤΙ ΡΕΘΥΜΝΟ"</f>
        <v>ΡΟΥΣΣΟΣΠΙΤΙ ΡΕΘΥΜΝΟ</v>
      </c>
      <c r="I9047">
        <v>74100</v>
      </c>
      <c r="J9047">
        <v>2831056853</v>
      </c>
      <c r="K9047">
        <v>6974353523</v>
      </c>
      <c r="M9047" t="s">
        <v>13675</v>
      </c>
      <c r="N9047" t="s">
        <v>1525</v>
      </c>
      <c r="O9047" t="s">
        <v>1526</v>
      </c>
      <c r="R9047" t="s">
        <v>57</v>
      </c>
      <c r="S9047">
        <v>5</v>
      </c>
      <c r="T9047">
        <v>653</v>
      </c>
      <c r="U9047" s="1">
        <v>40043</v>
      </c>
      <c r="V9047" t="s">
        <v>66</v>
      </c>
      <c r="W9047" t="s">
        <v>67</v>
      </c>
      <c r="X9047" t="s">
        <v>58</v>
      </c>
      <c r="Y9047">
        <v>25</v>
      </c>
      <c r="Z9047" t="s">
        <v>59</v>
      </c>
      <c r="AA9047" t="s">
        <v>59</v>
      </c>
      <c r="AB9047" t="s">
        <v>59</v>
      </c>
      <c r="AC9047" t="s">
        <v>59</v>
      </c>
      <c r="AD9047" t="s">
        <v>59</v>
      </c>
      <c r="AF9047" s="1">
        <v>40043</v>
      </c>
      <c r="AG9047" t="s">
        <v>8651</v>
      </c>
      <c r="AH9047" t="s">
        <v>8652</v>
      </c>
      <c r="AI9047" t="str">
        <f>"9520732"</f>
        <v>9520732</v>
      </c>
      <c r="AJ9047" t="s">
        <v>12882</v>
      </c>
      <c r="AK9047">
        <v>2831075361</v>
      </c>
      <c r="AL9047" t="s">
        <v>12883</v>
      </c>
      <c r="AM9047" t="s">
        <v>64</v>
      </c>
      <c r="AN9047" t="s">
        <v>65</v>
      </c>
      <c r="AO9047" t="s">
        <v>65</v>
      </c>
      <c r="AP9047" t="s">
        <v>12884</v>
      </c>
      <c r="AQ9047">
        <v>3</v>
      </c>
      <c r="AR9047" t="s">
        <v>66</v>
      </c>
      <c r="AS9047" t="s">
        <v>67</v>
      </c>
      <c r="AT9047" t="s">
        <v>58</v>
      </c>
      <c r="AU9047" t="s">
        <v>68</v>
      </c>
      <c r="AV9047" t="s">
        <v>69</v>
      </c>
      <c r="AW9047" s="1">
        <v>26890</v>
      </c>
      <c r="AX9047">
        <v>1</v>
      </c>
    </row>
    <row r="9048" spans="1:50">
      <c r="B9048" t="str">
        <f>"105296413"</f>
        <v>105296413</v>
      </c>
      <c r="C9048" t="s">
        <v>105</v>
      </c>
      <c r="D9048" t="s">
        <v>13676</v>
      </c>
      <c r="E9048" t="s">
        <v>154</v>
      </c>
      <c r="F9048" t="s">
        <v>459</v>
      </c>
      <c r="G9048" t="s">
        <v>13677</v>
      </c>
      <c r="H9048" t="str">
        <f>"ΑΛΚΑΙΩΝ 8 - ΑΡΓΟΣ ΟΡΕΣΤΙΚΟ "</f>
        <v xml:space="preserve">ΑΛΚΑΙΩΝ 8 - ΑΡΓΟΣ ΟΡΕΣΤΙΚΟ </v>
      </c>
      <c r="I9048">
        <v>52200</v>
      </c>
      <c r="J9048">
        <v>2467043435</v>
      </c>
      <c r="K9048">
        <v>6948315030</v>
      </c>
      <c r="N9048" t="s">
        <v>615</v>
      </c>
      <c r="O9048" t="s">
        <v>616</v>
      </c>
      <c r="R9048" t="s">
        <v>159</v>
      </c>
      <c r="S9048">
        <v>3</v>
      </c>
      <c r="T9048" t="s">
        <v>8675</v>
      </c>
      <c r="U9048" s="1">
        <v>43348</v>
      </c>
      <c r="V9048" t="s">
        <v>66</v>
      </c>
      <c r="W9048" t="s">
        <v>67</v>
      </c>
      <c r="X9048" t="s">
        <v>58</v>
      </c>
      <c r="Y9048">
        <v>24</v>
      </c>
      <c r="Z9048" t="s">
        <v>59</v>
      </c>
      <c r="AA9048" t="s">
        <v>59</v>
      </c>
      <c r="AB9048" t="s">
        <v>59</v>
      </c>
      <c r="AC9048" t="s">
        <v>59</v>
      </c>
      <c r="AD9048" t="s">
        <v>59</v>
      </c>
      <c r="AF9048" s="1">
        <v>43348</v>
      </c>
      <c r="AG9048" t="s">
        <v>8645</v>
      </c>
      <c r="AH9048" t="s">
        <v>8646</v>
      </c>
      <c r="AI9048" t="str">
        <f>"9410044"</f>
        <v>9410044</v>
      </c>
      <c r="AJ9048" t="s">
        <v>13257</v>
      </c>
      <c r="AK9048">
        <v>2834094218</v>
      </c>
      <c r="AL9048" t="s">
        <v>13258</v>
      </c>
      <c r="AM9048" t="s">
        <v>64</v>
      </c>
      <c r="AN9048" t="s">
        <v>5672</v>
      </c>
      <c r="AO9048" t="s">
        <v>5673</v>
      </c>
      <c r="AP9048" t="s">
        <v>13259</v>
      </c>
      <c r="AQ9048">
        <v>10</v>
      </c>
      <c r="AR9048" t="s">
        <v>66</v>
      </c>
      <c r="AS9048" t="s">
        <v>67</v>
      </c>
      <c r="AT9048" t="s">
        <v>58</v>
      </c>
      <c r="AU9048" t="s">
        <v>8673</v>
      </c>
      <c r="AV9048" t="s">
        <v>132</v>
      </c>
      <c r="AW9048" s="1">
        <v>31858</v>
      </c>
      <c r="AX9048">
        <v>1</v>
      </c>
    </row>
    <row r="9049" spans="1:50">
      <c r="A9049">
        <v>615783</v>
      </c>
      <c r="B9049" t="str">
        <f>"119227234"</f>
        <v>119227234</v>
      </c>
      <c r="C9049" t="s">
        <v>50</v>
      </c>
      <c r="D9049" t="s">
        <v>13678</v>
      </c>
      <c r="E9049" t="s">
        <v>2774</v>
      </c>
      <c r="F9049" t="s">
        <v>99</v>
      </c>
      <c r="G9049" t="s">
        <v>181</v>
      </c>
      <c r="H9049" t="str">
        <f>"ΚΙΛΕΛΕΡ 20 ΡΕΘΥΜΝΟ"</f>
        <v>ΚΙΛΕΛΕΡ 20 ΡΕΘΥΜΝΟ</v>
      </c>
      <c r="I9049">
        <v>74100</v>
      </c>
      <c r="K9049">
        <v>6946220654</v>
      </c>
      <c r="M9049" t="s">
        <v>13679</v>
      </c>
      <c r="N9049" t="s">
        <v>306</v>
      </c>
      <c r="O9049" t="s">
        <v>307</v>
      </c>
      <c r="R9049" t="s">
        <v>57</v>
      </c>
      <c r="S9049">
        <v>5</v>
      </c>
      <c r="T9049">
        <v>600</v>
      </c>
      <c r="U9049" s="1">
        <v>39310</v>
      </c>
      <c r="V9049" t="s">
        <v>66</v>
      </c>
      <c r="W9049" t="s">
        <v>67</v>
      </c>
      <c r="X9049" t="s">
        <v>58</v>
      </c>
      <c r="Y9049">
        <v>23</v>
      </c>
      <c r="Z9049" t="s">
        <v>59</v>
      </c>
      <c r="AA9049" t="s">
        <v>59</v>
      </c>
      <c r="AB9049" t="s">
        <v>59</v>
      </c>
      <c r="AC9049" t="s">
        <v>59</v>
      </c>
      <c r="AD9049" t="s">
        <v>59</v>
      </c>
      <c r="AF9049" s="1">
        <v>39329</v>
      </c>
      <c r="AG9049" t="s">
        <v>8645</v>
      </c>
      <c r="AH9049" t="s">
        <v>8646</v>
      </c>
      <c r="AI9049" t="str">
        <f>"9410242"</f>
        <v>9410242</v>
      </c>
      <c r="AJ9049" t="s">
        <v>12796</v>
      </c>
      <c r="AK9049">
        <v>2834023145</v>
      </c>
      <c r="AL9049" t="s">
        <v>12797</v>
      </c>
      <c r="AM9049" t="s">
        <v>64</v>
      </c>
      <c r="AN9049" t="s">
        <v>5672</v>
      </c>
      <c r="AO9049" t="s">
        <v>5673</v>
      </c>
      <c r="AP9049" t="s">
        <v>5689</v>
      </c>
      <c r="AQ9049">
        <v>7</v>
      </c>
      <c r="AR9049" t="s">
        <v>66</v>
      </c>
      <c r="AS9049" t="s">
        <v>67</v>
      </c>
      <c r="AT9049" t="s">
        <v>58</v>
      </c>
      <c r="AU9049" t="s">
        <v>68</v>
      </c>
      <c r="AV9049" t="s">
        <v>69</v>
      </c>
      <c r="AW9049" s="1">
        <v>30153</v>
      </c>
      <c r="AX9049">
        <v>1</v>
      </c>
    </row>
    <row r="9050" spans="1:50">
      <c r="A9050">
        <v>567839</v>
      </c>
      <c r="B9050" t="str">
        <f>"065491840"</f>
        <v>065491840</v>
      </c>
      <c r="C9050" t="s">
        <v>50</v>
      </c>
      <c r="D9050" t="s">
        <v>6576</v>
      </c>
      <c r="E9050" t="s">
        <v>255</v>
      </c>
      <c r="F9050" t="s">
        <v>166</v>
      </c>
      <c r="G9050" t="s">
        <v>250</v>
      </c>
      <c r="H9050" t="str">
        <f>"ΠΑΣΤΕΡ 1 ΡΕΘΥΜΝΟ"</f>
        <v>ΠΑΣΤΕΡ 1 ΡΕΘΥΜΝΟ</v>
      </c>
      <c r="I9050">
        <v>74100</v>
      </c>
      <c r="J9050">
        <v>2831023956</v>
      </c>
      <c r="K9050">
        <v>6981544108</v>
      </c>
      <c r="M9050" t="s">
        <v>13680</v>
      </c>
      <c r="N9050" t="s">
        <v>1525</v>
      </c>
      <c r="O9050" t="s">
        <v>1526</v>
      </c>
      <c r="R9050" t="s">
        <v>57</v>
      </c>
      <c r="S9050">
        <v>14</v>
      </c>
      <c r="T9050">
        <v>133</v>
      </c>
      <c r="U9050" s="1">
        <v>33456</v>
      </c>
      <c r="V9050" t="s">
        <v>66</v>
      </c>
      <c r="W9050" t="s">
        <v>67</v>
      </c>
      <c r="X9050" t="s">
        <v>58</v>
      </c>
      <c r="Y9050">
        <v>25</v>
      </c>
      <c r="Z9050" t="s">
        <v>59</v>
      </c>
      <c r="AA9050" t="s">
        <v>59</v>
      </c>
      <c r="AB9050" t="s">
        <v>59</v>
      </c>
      <c r="AC9050" t="s">
        <v>59</v>
      </c>
      <c r="AD9050" t="s">
        <v>59</v>
      </c>
      <c r="AF9050" s="1">
        <v>33483</v>
      </c>
      <c r="AG9050" t="s">
        <v>8651</v>
      </c>
      <c r="AH9050" t="s">
        <v>8652</v>
      </c>
      <c r="AI9050" t="str">
        <f>"9410068"</f>
        <v>9410068</v>
      </c>
      <c r="AJ9050" t="s">
        <v>13084</v>
      </c>
      <c r="AK9050">
        <v>2831029132</v>
      </c>
      <c r="AL9050" t="s">
        <v>13085</v>
      </c>
      <c r="AM9050" t="s">
        <v>64</v>
      </c>
      <c r="AN9050" t="s">
        <v>65</v>
      </c>
      <c r="AO9050" t="s">
        <v>65</v>
      </c>
      <c r="AP9050" t="s">
        <v>65</v>
      </c>
      <c r="AQ9050">
        <v>1</v>
      </c>
      <c r="AR9050" t="s">
        <v>66</v>
      </c>
      <c r="AS9050" t="s">
        <v>67</v>
      </c>
      <c r="AT9050" t="s">
        <v>58</v>
      </c>
      <c r="AU9050" t="s">
        <v>68</v>
      </c>
      <c r="AV9050" t="s">
        <v>69</v>
      </c>
      <c r="AW9050" s="1">
        <v>24049</v>
      </c>
      <c r="AX9050">
        <v>1</v>
      </c>
    </row>
    <row r="9051" spans="1:50">
      <c r="A9051">
        <v>701129</v>
      </c>
      <c r="B9051" t="str">
        <f>"146156980"</f>
        <v>146156980</v>
      </c>
      <c r="C9051" t="s">
        <v>50</v>
      </c>
      <c r="D9051" t="s">
        <v>13681</v>
      </c>
      <c r="E9051" t="s">
        <v>801</v>
      </c>
      <c r="F9051" t="s">
        <v>72</v>
      </c>
      <c r="G9051" t="s">
        <v>52</v>
      </c>
      <c r="H9051" t="str">
        <f>"ΜΑΡΚΟΥ ΜΠΟΤΣΑΡΗ 66 ΚΟΜΟΤΗΝΗ"</f>
        <v>ΜΑΡΚΟΥ ΜΠΟΤΣΑΡΗ 66 ΚΟΜΟΤΗΝΗ</v>
      </c>
      <c r="I9051">
        <v>69100</v>
      </c>
      <c r="J9051">
        <v>2531103298</v>
      </c>
      <c r="K9051">
        <v>6936413562</v>
      </c>
      <c r="N9051" t="s">
        <v>615</v>
      </c>
      <c r="O9051" t="s">
        <v>616</v>
      </c>
      <c r="R9051" t="s">
        <v>57</v>
      </c>
      <c r="S9051">
        <v>4</v>
      </c>
      <c r="T9051" t="s">
        <v>9547</v>
      </c>
      <c r="U9051" s="1">
        <v>40413</v>
      </c>
      <c r="V9051" t="s">
        <v>66</v>
      </c>
      <c r="W9051" t="s">
        <v>67</v>
      </c>
      <c r="X9051" t="s">
        <v>58</v>
      </c>
      <c r="Y9051">
        <v>24</v>
      </c>
      <c r="Z9051" t="s">
        <v>59</v>
      </c>
      <c r="AA9051" t="s">
        <v>59</v>
      </c>
      <c r="AB9051" t="s">
        <v>59</v>
      </c>
      <c r="AC9051" t="s">
        <v>59</v>
      </c>
      <c r="AD9051" t="s">
        <v>59</v>
      </c>
      <c r="AF9051" s="1">
        <v>40413</v>
      </c>
      <c r="AG9051" t="s">
        <v>8645</v>
      </c>
      <c r="AH9051" t="s">
        <v>8646</v>
      </c>
      <c r="AI9051" t="str">
        <f>"9410127"</f>
        <v>9410127</v>
      </c>
      <c r="AJ9051" t="s">
        <v>12767</v>
      </c>
      <c r="AK9051">
        <v>2833022347</v>
      </c>
      <c r="AL9051" t="s">
        <v>12768</v>
      </c>
      <c r="AM9051" t="s">
        <v>64</v>
      </c>
      <c r="AN9051" t="s">
        <v>5713</v>
      </c>
      <c r="AO9051" t="s">
        <v>5714</v>
      </c>
      <c r="AP9051" t="s">
        <v>5715</v>
      </c>
      <c r="AQ9051">
        <v>5</v>
      </c>
      <c r="AR9051" t="s">
        <v>66</v>
      </c>
      <c r="AS9051" t="s">
        <v>67</v>
      </c>
      <c r="AT9051" t="s">
        <v>58</v>
      </c>
      <c r="AU9051" t="s">
        <v>68</v>
      </c>
      <c r="AV9051" t="s">
        <v>69</v>
      </c>
      <c r="AW9051" s="1">
        <v>31577</v>
      </c>
      <c r="AX9051">
        <v>1</v>
      </c>
    </row>
    <row r="9052" spans="1:50">
      <c r="B9052" t="str">
        <f>"136425039"</f>
        <v>136425039</v>
      </c>
      <c r="C9052" t="s">
        <v>50</v>
      </c>
      <c r="D9052" t="s">
        <v>13682</v>
      </c>
      <c r="E9052" t="s">
        <v>727</v>
      </c>
      <c r="F9052" t="s">
        <v>510</v>
      </c>
      <c r="G9052" t="s">
        <v>255</v>
      </c>
      <c r="H9052" t="str">
        <f>"ΣΦΑΚΙΩΝ ΚΑΙ ΚΟΡΝΑΡΟΥ 4 ΧΑΝΙΑ"</f>
        <v>ΣΦΑΚΙΩΝ ΚΑΙ ΚΟΡΝΑΡΟΥ 4 ΧΑΝΙΑ</v>
      </c>
      <c r="I9052">
        <v>73100</v>
      </c>
      <c r="J9052">
        <v>2823022173</v>
      </c>
      <c r="K9052">
        <v>6976149974</v>
      </c>
      <c r="N9052" t="s">
        <v>204</v>
      </c>
      <c r="O9052" t="s">
        <v>205</v>
      </c>
      <c r="R9052" t="s">
        <v>159</v>
      </c>
      <c r="S9052">
        <v>3</v>
      </c>
      <c r="T9052" t="s">
        <v>8675</v>
      </c>
      <c r="U9052" s="1">
        <v>43348</v>
      </c>
      <c r="V9052" t="s">
        <v>66</v>
      </c>
      <c r="W9052" t="s">
        <v>67</v>
      </c>
      <c r="X9052" t="s">
        <v>58</v>
      </c>
      <c r="Y9052">
        <v>24</v>
      </c>
      <c r="Z9052" t="s">
        <v>59</v>
      </c>
      <c r="AA9052" t="s">
        <v>59</v>
      </c>
      <c r="AB9052" t="s">
        <v>59</v>
      </c>
      <c r="AC9052" t="s">
        <v>59</v>
      </c>
      <c r="AD9052" t="s">
        <v>59</v>
      </c>
      <c r="AF9052" s="1">
        <v>43348</v>
      </c>
      <c r="AG9052" t="s">
        <v>8645</v>
      </c>
      <c r="AH9052" t="s">
        <v>8646</v>
      </c>
      <c r="AI9052" t="str">
        <f>"9410069"</f>
        <v>9410069</v>
      </c>
      <c r="AJ9052" t="s">
        <v>12674</v>
      </c>
      <c r="AK9052">
        <v>2831029296</v>
      </c>
      <c r="AL9052" t="s">
        <v>12675</v>
      </c>
      <c r="AM9052" t="s">
        <v>64</v>
      </c>
      <c r="AN9052" t="s">
        <v>65</v>
      </c>
      <c r="AO9052" t="s">
        <v>65</v>
      </c>
      <c r="AP9052" t="s">
        <v>65</v>
      </c>
      <c r="AQ9052">
        <v>1</v>
      </c>
      <c r="AR9052" t="s">
        <v>66</v>
      </c>
      <c r="AS9052" t="s">
        <v>67</v>
      </c>
      <c r="AT9052" t="s">
        <v>58</v>
      </c>
      <c r="AU9052" t="s">
        <v>8673</v>
      </c>
      <c r="AV9052" t="s">
        <v>132</v>
      </c>
      <c r="AW9052" s="1">
        <v>30031</v>
      </c>
      <c r="AX9052">
        <v>1</v>
      </c>
    </row>
    <row r="9053" spans="1:50">
      <c r="B9053" t="str">
        <f>"074552130"</f>
        <v>074552130</v>
      </c>
      <c r="C9053" t="s">
        <v>50</v>
      </c>
      <c r="D9053" t="s">
        <v>13683</v>
      </c>
      <c r="E9053" t="s">
        <v>109</v>
      </c>
      <c r="F9053" t="s">
        <v>230</v>
      </c>
      <c r="G9053" t="s">
        <v>1484</v>
      </c>
      <c r="H9053" t="str">
        <f>"ΑΝ ΠΑΠΑΝΔΡΕΟΥ 253 ΘΕΣΣΑΛΟΝΙΚΗ"</f>
        <v>ΑΝ ΠΑΠΑΝΔΡΕΟΥ 253 ΘΕΣΣΑΛΟΝΙΚΗ</v>
      </c>
      <c r="I9053">
        <v>56429</v>
      </c>
      <c r="J9053">
        <v>2310638641</v>
      </c>
      <c r="K9053">
        <v>6937233446</v>
      </c>
      <c r="N9053" t="s">
        <v>306</v>
      </c>
      <c r="O9053" t="s">
        <v>307</v>
      </c>
      <c r="R9053" t="s">
        <v>159</v>
      </c>
      <c r="S9053">
        <v>2</v>
      </c>
      <c r="T9053" t="s">
        <v>8675</v>
      </c>
      <c r="U9053" s="1">
        <v>43348</v>
      </c>
      <c r="V9053" t="s">
        <v>66</v>
      </c>
      <c r="W9053" t="s">
        <v>67</v>
      </c>
      <c r="X9053" t="s">
        <v>58</v>
      </c>
      <c r="Y9053">
        <v>24</v>
      </c>
      <c r="Z9053" t="s">
        <v>59</v>
      </c>
      <c r="AA9053" t="s">
        <v>59</v>
      </c>
      <c r="AB9053" t="s">
        <v>59</v>
      </c>
      <c r="AC9053" t="s">
        <v>59</v>
      </c>
      <c r="AD9053" t="s">
        <v>59</v>
      </c>
      <c r="AF9053" s="1">
        <v>43348</v>
      </c>
      <c r="AG9053" t="s">
        <v>8645</v>
      </c>
      <c r="AH9053" t="s">
        <v>8646</v>
      </c>
      <c r="AI9053" t="str">
        <f>"9410064"</f>
        <v>9410064</v>
      </c>
      <c r="AJ9053" t="s">
        <v>12683</v>
      </c>
      <c r="AK9053">
        <v>2831028390</v>
      </c>
      <c r="AL9053" t="s">
        <v>12684</v>
      </c>
      <c r="AM9053" t="s">
        <v>64</v>
      </c>
      <c r="AN9053" t="s">
        <v>65</v>
      </c>
      <c r="AO9053" t="s">
        <v>65</v>
      </c>
      <c r="AP9053" t="s">
        <v>65</v>
      </c>
      <c r="AQ9053">
        <v>1</v>
      </c>
      <c r="AR9053" t="s">
        <v>66</v>
      </c>
      <c r="AS9053" t="s">
        <v>67</v>
      </c>
      <c r="AT9053" t="s">
        <v>58</v>
      </c>
      <c r="AU9053" t="s">
        <v>8673</v>
      </c>
      <c r="AV9053" t="s">
        <v>132</v>
      </c>
      <c r="AW9053" s="1">
        <v>26334</v>
      </c>
      <c r="AX9053">
        <v>1</v>
      </c>
    </row>
    <row r="9054" spans="1:50">
      <c r="B9054" t="str">
        <f>"145669818"</f>
        <v>145669818</v>
      </c>
      <c r="C9054" t="s">
        <v>50</v>
      </c>
      <c r="D9054" t="s">
        <v>3938</v>
      </c>
      <c r="E9054" t="s">
        <v>83</v>
      </c>
      <c r="F9054" t="s">
        <v>95</v>
      </c>
      <c r="G9054" t="s">
        <v>507</v>
      </c>
      <c r="H9054" t="str">
        <f>" "</f>
        <v xml:space="preserve"> </v>
      </c>
      <c r="N9054" t="s">
        <v>9829</v>
      </c>
      <c r="O9054" t="s">
        <v>9830</v>
      </c>
      <c r="R9054" t="s">
        <v>159</v>
      </c>
      <c r="S9054">
        <v>3</v>
      </c>
      <c r="T9054" t="s">
        <v>8835</v>
      </c>
      <c r="U9054" s="1">
        <v>43348</v>
      </c>
      <c r="V9054" t="s">
        <v>66</v>
      </c>
      <c r="W9054" t="s">
        <v>67</v>
      </c>
      <c r="X9054" t="s">
        <v>58</v>
      </c>
      <c r="Y9054">
        <v>25</v>
      </c>
      <c r="Z9054" t="s">
        <v>59</v>
      </c>
      <c r="AA9054" t="s">
        <v>59</v>
      </c>
      <c r="AB9054" t="s">
        <v>59</v>
      </c>
      <c r="AD9054" t="s">
        <v>59</v>
      </c>
      <c r="AF9054" s="1">
        <v>43348</v>
      </c>
      <c r="AG9054" t="s">
        <v>8651</v>
      </c>
      <c r="AH9054" t="s">
        <v>8652</v>
      </c>
      <c r="AI9054" t="str">
        <f>"9410231"</f>
        <v>9410231</v>
      </c>
      <c r="AJ9054" t="s">
        <v>12868</v>
      </c>
      <c r="AK9054">
        <v>2831025022</v>
      </c>
      <c r="AL9054" t="s">
        <v>12869</v>
      </c>
      <c r="AM9054" t="s">
        <v>64</v>
      </c>
      <c r="AN9054" t="s">
        <v>65</v>
      </c>
      <c r="AO9054" t="s">
        <v>65</v>
      </c>
      <c r="AP9054" t="s">
        <v>65</v>
      </c>
      <c r="AQ9054">
        <v>1</v>
      </c>
      <c r="AR9054" t="s">
        <v>66</v>
      </c>
      <c r="AS9054" t="s">
        <v>67</v>
      </c>
      <c r="AT9054" t="s">
        <v>58</v>
      </c>
      <c r="AU9054" t="s">
        <v>131</v>
      </c>
      <c r="AV9054" t="s">
        <v>132</v>
      </c>
      <c r="AW9054" s="1">
        <v>32083</v>
      </c>
      <c r="AX9054">
        <v>1</v>
      </c>
    </row>
    <row r="9055" spans="1:50">
      <c r="A9055">
        <v>700403</v>
      </c>
      <c r="B9055" t="str">
        <f>"113610525"</f>
        <v>113610525</v>
      </c>
      <c r="C9055" t="s">
        <v>50</v>
      </c>
      <c r="D9055" t="s">
        <v>3938</v>
      </c>
      <c r="E9055" t="s">
        <v>366</v>
      </c>
      <c r="F9055" t="s">
        <v>166</v>
      </c>
      <c r="G9055" t="s">
        <v>96</v>
      </c>
      <c r="H9055" t="str">
        <f>"ΦΡΑΝΤΖ.ΜΕΤΟΧΙΑ ΡΕΘΥΜΝΟΥ"</f>
        <v>ΦΡΑΝΤΖ.ΜΕΤΟΧΙΑ ΡΕΘΥΜΝΟΥ</v>
      </c>
      <c r="I9055">
        <v>74100</v>
      </c>
      <c r="J9055">
        <v>2831031531</v>
      </c>
      <c r="K9055">
        <v>6973267499</v>
      </c>
      <c r="N9055" t="s">
        <v>615</v>
      </c>
      <c r="O9055" t="s">
        <v>616</v>
      </c>
      <c r="R9055" t="s">
        <v>57</v>
      </c>
      <c r="S9055">
        <v>5</v>
      </c>
      <c r="T9055" t="s">
        <v>13684</v>
      </c>
      <c r="U9055" s="1">
        <v>40413</v>
      </c>
      <c r="V9055" t="s">
        <v>66</v>
      </c>
      <c r="W9055" t="s">
        <v>67</v>
      </c>
      <c r="X9055" t="s">
        <v>58</v>
      </c>
      <c r="Y9055">
        <v>24</v>
      </c>
      <c r="Z9055" t="s">
        <v>59</v>
      </c>
      <c r="AA9055" t="s">
        <v>59</v>
      </c>
      <c r="AB9055" t="s">
        <v>59</v>
      </c>
      <c r="AC9055" t="s">
        <v>59</v>
      </c>
      <c r="AD9055" t="s">
        <v>59</v>
      </c>
      <c r="AF9055" s="1">
        <v>40413</v>
      </c>
      <c r="AG9055" t="s">
        <v>8645</v>
      </c>
      <c r="AH9055" t="s">
        <v>8646</v>
      </c>
      <c r="AI9055" t="str">
        <f>"9410150"</f>
        <v>9410150</v>
      </c>
      <c r="AJ9055" t="s">
        <v>12733</v>
      </c>
      <c r="AK9055">
        <v>2831052969</v>
      </c>
      <c r="AL9055" t="s">
        <v>12734</v>
      </c>
      <c r="AM9055" t="s">
        <v>64</v>
      </c>
      <c r="AN9055" t="s">
        <v>65</v>
      </c>
      <c r="AO9055" t="s">
        <v>65</v>
      </c>
      <c r="AP9055" t="s">
        <v>65</v>
      </c>
      <c r="AQ9055">
        <v>1</v>
      </c>
      <c r="AR9055" t="s">
        <v>66</v>
      </c>
      <c r="AS9055" t="s">
        <v>67</v>
      </c>
      <c r="AT9055" t="s">
        <v>58</v>
      </c>
      <c r="AU9055" t="s">
        <v>68</v>
      </c>
      <c r="AV9055" t="s">
        <v>69</v>
      </c>
      <c r="AW9055" s="1">
        <v>25708</v>
      </c>
      <c r="AX9055">
        <v>1</v>
      </c>
    </row>
    <row r="9056" spans="1:50">
      <c r="B9056" t="str">
        <f>"131463485"</f>
        <v>131463485</v>
      </c>
      <c r="C9056" t="s">
        <v>50</v>
      </c>
      <c r="D9056" t="s">
        <v>13685</v>
      </c>
      <c r="E9056" t="s">
        <v>6088</v>
      </c>
      <c r="F9056" t="s">
        <v>95</v>
      </c>
      <c r="G9056" t="s">
        <v>1644</v>
      </c>
      <c r="H9056" t="str">
        <f>" "</f>
        <v xml:space="preserve"> </v>
      </c>
      <c r="N9056" t="s">
        <v>1525</v>
      </c>
      <c r="O9056" t="s">
        <v>1526</v>
      </c>
      <c r="R9056" t="s">
        <v>121</v>
      </c>
      <c r="S9056">
        <v>1</v>
      </c>
      <c r="T9056" t="s">
        <v>8670</v>
      </c>
      <c r="U9056" s="1">
        <v>43348</v>
      </c>
      <c r="V9056" t="s">
        <v>66</v>
      </c>
      <c r="W9056" t="s">
        <v>67</v>
      </c>
      <c r="X9056" t="s">
        <v>58</v>
      </c>
      <c r="Y9056">
        <v>25</v>
      </c>
      <c r="Z9056" t="s">
        <v>59</v>
      </c>
      <c r="AA9056" t="s">
        <v>59</v>
      </c>
      <c r="AB9056" t="s">
        <v>59</v>
      </c>
      <c r="AD9056" t="s">
        <v>59</v>
      </c>
      <c r="AF9056" s="1">
        <v>43348</v>
      </c>
      <c r="AG9056" t="s">
        <v>8651</v>
      </c>
      <c r="AH9056" t="s">
        <v>8652</v>
      </c>
      <c r="AI9056" t="str">
        <f>"9521304"</f>
        <v>9521304</v>
      </c>
      <c r="AJ9056" t="s">
        <v>12798</v>
      </c>
      <c r="AK9056">
        <v>2831057099</v>
      </c>
      <c r="AL9056" t="s">
        <v>12799</v>
      </c>
      <c r="AM9056" t="s">
        <v>64</v>
      </c>
      <c r="AN9056" t="s">
        <v>65</v>
      </c>
      <c r="AO9056" t="s">
        <v>5720</v>
      </c>
      <c r="AP9056" t="s">
        <v>5721</v>
      </c>
      <c r="AQ9056">
        <v>2</v>
      </c>
      <c r="AR9056" t="s">
        <v>66</v>
      </c>
      <c r="AS9056" t="s">
        <v>67</v>
      </c>
      <c r="AT9056" t="s">
        <v>58</v>
      </c>
      <c r="AU9056" t="s">
        <v>8673</v>
      </c>
      <c r="AV9056" t="s">
        <v>132</v>
      </c>
      <c r="AW9056" s="1">
        <v>30772</v>
      </c>
      <c r="AX9056">
        <v>1</v>
      </c>
    </row>
    <row r="9057" spans="1:50">
      <c r="B9057" t="str">
        <f>"047781835"</f>
        <v>047781835</v>
      </c>
      <c r="C9057" t="s">
        <v>50</v>
      </c>
      <c r="D9057" t="s">
        <v>13685</v>
      </c>
      <c r="E9057" t="s">
        <v>96</v>
      </c>
      <c r="F9057" t="s">
        <v>315</v>
      </c>
      <c r="G9057" t="s">
        <v>52</v>
      </c>
      <c r="H9057" t="str">
        <f>"ΡΟΥΜΕΛΗ ΡΟΥΜΕΛΗ"</f>
        <v>ΡΟΥΜΕΛΗ ΡΟΥΜΕΛΗ</v>
      </c>
      <c r="I9057">
        <v>74057</v>
      </c>
      <c r="J9057">
        <v>2834051189</v>
      </c>
      <c r="K9057">
        <v>6972720945</v>
      </c>
      <c r="N9057" t="s">
        <v>1525</v>
      </c>
      <c r="O9057" t="s">
        <v>1526</v>
      </c>
      <c r="R9057" t="s">
        <v>159</v>
      </c>
      <c r="S9057">
        <v>4</v>
      </c>
      <c r="T9057" t="s">
        <v>8670</v>
      </c>
      <c r="U9057" s="1">
        <v>43348</v>
      </c>
      <c r="V9057" t="s">
        <v>66</v>
      </c>
      <c r="W9057" t="s">
        <v>67</v>
      </c>
      <c r="X9057" t="s">
        <v>58</v>
      </c>
      <c r="Y9057">
        <v>25</v>
      </c>
      <c r="Z9057" t="s">
        <v>59</v>
      </c>
      <c r="AA9057" t="s">
        <v>59</v>
      </c>
      <c r="AB9057" t="s">
        <v>59</v>
      </c>
      <c r="AC9057" t="s">
        <v>59</v>
      </c>
      <c r="AD9057" t="s">
        <v>59</v>
      </c>
      <c r="AF9057" s="1">
        <v>43348</v>
      </c>
      <c r="AG9057" t="s">
        <v>8651</v>
      </c>
      <c r="AH9057" t="s">
        <v>8652</v>
      </c>
      <c r="AI9057" t="str">
        <f>"9410201"</f>
        <v>9410201</v>
      </c>
      <c r="AJ9057" t="s">
        <v>12989</v>
      </c>
      <c r="AK9057">
        <v>2834041225</v>
      </c>
      <c r="AL9057" t="s">
        <v>12990</v>
      </c>
      <c r="AM9057" t="s">
        <v>64</v>
      </c>
      <c r="AN9057" t="s">
        <v>5672</v>
      </c>
      <c r="AO9057" t="s">
        <v>5698</v>
      </c>
      <c r="AP9057" t="s">
        <v>5788</v>
      </c>
      <c r="AR9057" t="s">
        <v>66</v>
      </c>
      <c r="AS9057" t="s">
        <v>67</v>
      </c>
      <c r="AT9057" t="s">
        <v>58</v>
      </c>
      <c r="AU9057" t="s">
        <v>8673</v>
      </c>
      <c r="AV9057" t="s">
        <v>132</v>
      </c>
      <c r="AW9057" s="1">
        <v>27728</v>
      </c>
      <c r="AX9057">
        <v>1</v>
      </c>
    </row>
    <row r="9058" spans="1:50">
      <c r="B9058" t="str">
        <f>"113645107"</f>
        <v>113645107</v>
      </c>
      <c r="C9058" t="s">
        <v>50</v>
      </c>
      <c r="D9058" t="s">
        <v>3947</v>
      </c>
      <c r="E9058" t="s">
        <v>83</v>
      </c>
      <c r="F9058" t="s">
        <v>72</v>
      </c>
      <c r="G9058" t="s">
        <v>6952</v>
      </c>
      <c r="H9058" t="str">
        <f>" "</f>
        <v xml:space="preserve"> </v>
      </c>
      <c r="K9058">
        <v>6940776131</v>
      </c>
      <c r="N9058" t="s">
        <v>384</v>
      </c>
      <c r="O9058" t="s">
        <v>385</v>
      </c>
      <c r="R9058" t="s">
        <v>121</v>
      </c>
      <c r="S9058">
        <v>1</v>
      </c>
      <c r="T9058" t="s">
        <v>8675</v>
      </c>
      <c r="U9058" s="1">
        <v>43348</v>
      </c>
      <c r="V9058" t="s">
        <v>66</v>
      </c>
      <c r="W9058" t="s">
        <v>67</v>
      </c>
      <c r="X9058" t="s">
        <v>58</v>
      </c>
      <c r="Y9058">
        <v>24</v>
      </c>
      <c r="Z9058" t="s">
        <v>59</v>
      </c>
      <c r="AA9058" t="s">
        <v>59</v>
      </c>
      <c r="AB9058" t="s">
        <v>59</v>
      </c>
      <c r="AD9058" t="s">
        <v>59</v>
      </c>
      <c r="AF9058" s="1">
        <v>43348</v>
      </c>
      <c r="AG9058" t="s">
        <v>8645</v>
      </c>
      <c r="AH9058" t="s">
        <v>8646</v>
      </c>
      <c r="AI9058" t="str">
        <f>"9410061"</f>
        <v>9410061</v>
      </c>
      <c r="AJ9058" t="s">
        <v>12760</v>
      </c>
      <c r="AK9058">
        <v>2831024378</v>
      </c>
      <c r="AL9058" t="s">
        <v>12761</v>
      </c>
      <c r="AM9058" t="s">
        <v>64</v>
      </c>
      <c r="AN9058" t="s">
        <v>65</v>
      </c>
      <c r="AO9058" t="s">
        <v>65</v>
      </c>
      <c r="AP9058" t="s">
        <v>65</v>
      </c>
      <c r="AQ9058">
        <v>1</v>
      </c>
      <c r="AR9058" t="s">
        <v>66</v>
      </c>
      <c r="AS9058" t="s">
        <v>67</v>
      </c>
      <c r="AT9058" t="s">
        <v>58</v>
      </c>
      <c r="AU9058" t="s">
        <v>8673</v>
      </c>
      <c r="AV9058" t="s">
        <v>132</v>
      </c>
      <c r="AW9058" s="1">
        <v>31996</v>
      </c>
      <c r="AX9058">
        <v>1</v>
      </c>
    </row>
    <row r="9059" spans="1:50">
      <c r="B9059" t="str">
        <f>"134078890"</f>
        <v>134078890</v>
      </c>
      <c r="C9059" t="s">
        <v>50</v>
      </c>
      <c r="D9059" t="s">
        <v>13686</v>
      </c>
      <c r="E9059" t="s">
        <v>809</v>
      </c>
      <c r="F9059" t="s">
        <v>1705</v>
      </c>
      <c r="G9059" t="s">
        <v>255</v>
      </c>
      <c r="H9059" t="str">
        <f>" "</f>
        <v xml:space="preserve"> </v>
      </c>
      <c r="N9059" t="s">
        <v>615</v>
      </c>
      <c r="O9059" t="s">
        <v>616</v>
      </c>
      <c r="R9059" t="s">
        <v>121</v>
      </c>
      <c r="S9059">
        <v>1</v>
      </c>
      <c r="T9059" t="s">
        <v>8675</v>
      </c>
      <c r="U9059" s="1">
        <v>43348</v>
      </c>
      <c r="V9059" t="s">
        <v>66</v>
      </c>
      <c r="W9059" t="s">
        <v>67</v>
      </c>
      <c r="X9059" t="s">
        <v>58</v>
      </c>
      <c r="Y9059">
        <v>24</v>
      </c>
      <c r="Z9059" t="s">
        <v>59</v>
      </c>
      <c r="AA9059" t="s">
        <v>59</v>
      </c>
      <c r="AB9059" t="s">
        <v>59</v>
      </c>
      <c r="AD9059" t="s">
        <v>59</v>
      </c>
      <c r="AF9059" s="1">
        <v>43348</v>
      </c>
      <c r="AG9059" t="s">
        <v>8645</v>
      </c>
      <c r="AH9059" t="s">
        <v>8676</v>
      </c>
      <c r="AI9059" t="str">
        <f>"9410145"</f>
        <v>9410145</v>
      </c>
      <c r="AJ9059" t="s">
        <v>13424</v>
      </c>
      <c r="AK9059">
        <v>2833041268</v>
      </c>
      <c r="AL9059" t="s">
        <v>13425</v>
      </c>
      <c r="AM9059" t="s">
        <v>64</v>
      </c>
      <c r="AN9059" t="s">
        <v>5713</v>
      </c>
      <c r="AO9059" t="s">
        <v>5780</v>
      </c>
      <c r="AP9059" t="s">
        <v>5781</v>
      </c>
      <c r="AQ9059">
        <v>6</v>
      </c>
      <c r="AR9059" t="s">
        <v>66</v>
      </c>
      <c r="AS9059" t="s">
        <v>67</v>
      </c>
      <c r="AT9059" t="s">
        <v>58</v>
      </c>
      <c r="AU9059" t="s">
        <v>8673</v>
      </c>
      <c r="AV9059" t="s">
        <v>132</v>
      </c>
      <c r="AW9059" s="1">
        <v>32855</v>
      </c>
      <c r="AX9059">
        <v>1</v>
      </c>
    </row>
    <row r="9060" spans="1:50">
      <c r="A9060">
        <v>585289</v>
      </c>
      <c r="B9060" t="str">
        <f>"044590712"</f>
        <v>044590712</v>
      </c>
      <c r="C9060" t="s">
        <v>50</v>
      </c>
      <c r="D9060" t="s">
        <v>6585</v>
      </c>
      <c r="E9060" t="s">
        <v>134</v>
      </c>
      <c r="F9060" t="s">
        <v>53</v>
      </c>
      <c r="G9060" t="s">
        <v>2088</v>
      </c>
      <c r="H9060" t="str">
        <f>"ΠΑΠΑΔΟΓΙΑΝΝΗ 9 ΡΕΘΥΜΝΟ"</f>
        <v>ΠΑΠΑΔΟΓΙΑΝΝΗ 9 ΡΕΘΥΜΝΟ</v>
      </c>
      <c r="I9060">
        <v>74100</v>
      </c>
      <c r="J9060">
        <v>2831029883</v>
      </c>
      <c r="K9060">
        <v>6978092545</v>
      </c>
      <c r="M9060" t="s">
        <v>13687</v>
      </c>
      <c r="N9060" t="s">
        <v>615</v>
      </c>
      <c r="O9060" t="s">
        <v>616</v>
      </c>
      <c r="R9060" t="s">
        <v>57</v>
      </c>
      <c r="S9060">
        <v>11</v>
      </c>
      <c r="T9060">
        <v>165</v>
      </c>
      <c r="U9060" s="1">
        <v>36040</v>
      </c>
      <c r="V9060" t="s">
        <v>66</v>
      </c>
      <c r="W9060" t="s">
        <v>67</v>
      </c>
      <c r="X9060" t="s">
        <v>58</v>
      </c>
      <c r="Y9060">
        <v>21</v>
      </c>
      <c r="Z9060" t="s">
        <v>59</v>
      </c>
      <c r="AA9060" t="s">
        <v>59</v>
      </c>
      <c r="AB9060" t="s">
        <v>59</v>
      </c>
      <c r="AC9060" t="s">
        <v>59</v>
      </c>
      <c r="AD9060" t="s">
        <v>59</v>
      </c>
      <c r="AF9060" s="1">
        <v>36040</v>
      </c>
      <c r="AG9060" t="s">
        <v>8645</v>
      </c>
      <c r="AH9060" t="s">
        <v>8646</v>
      </c>
      <c r="AI9060" t="str">
        <f>"9410257"</f>
        <v>9410257</v>
      </c>
      <c r="AJ9060" t="s">
        <v>12828</v>
      </c>
      <c r="AK9060">
        <v>2831056242</v>
      </c>
      <c r="AL9060" t="s">
        <v>12829</v>
      </c>
      <c r="AM9060" t="s">
        <v>64</v>
      </c>
      <c r="AN9060" t="s">
        <v>65</v>
      </c>
      <c r="AO9060" t="s">
        <v>65</v>
      </c>
      <c r="AP9060" t="s">
        <v>65</v>
      </c>
      <c r="AQ9060">
        <v>1</v>
      </c>
      <c r="AR9060" t="s">
        <v>66</v>
      </c>
      <c r="AS9060" t="s">
        <v>67</v>
      </c>
      <c r="AT9060" t="s">
        <v>58</v>
      </c>
      <c r="AU9060" t="s">
        <v>68</v>
      </c>
      <c r="AV9060" t="s">
        <v>69</v>
      </c>
      <c r="AW9060" s="1">
        <v>24955</v>
      </c>
      <c r="AX9060">
        <v>1</v>
      </c>
    </row>
    <row r="9061" spans="1:50">
      <c r="A9061">
        <v>586468</v>
      </c>
      <c r="B9061" t="str">
        <f>"059880054"</f>
        <v>059880054</v>
      </c>
      <c r="C9061" t="s">
        <v>50</v>
      </c>
      <c r="D9061" t="s">
        <v>11523</v>
      </c>
      <c r="E9061" t="s">
        <v>1830</v>
      </c>
      <c r="F9061" t="s">
        <v>84</v>
      </c>
      <c r="G9061" t="s">
        <v>109</v>
      </c>
      <c r="H9061" t="str">
        <f>" "</f>
        <v xml:space="preserve"> </v>
      </c>
      <c r="N9061" t="s">
        <v>615</v>
      </c>
      <c r="O9061" t="s">
        <v>616</v>
      </c>
      <c r="R9061" t="s">
        <v>57</v>
      </c>
      <c r="S9061">
        <v>11</v>
      </c>
      <c r="T9061">
        <v>165</v>
      </c>
      <c r="U9061" s="1">
        <v>36040</v>
      </c>
      <c r="V9061" t="s">
        <v>66</v>
      </c>
      <c r="W9061" t="s">
        <v>67</v>
      </c>
      <c r="X9061" t="s">
        <v>58</v>
      </c>
      <c r="Y9061">
        <v>21</v>
      </c>
      <c r="Z9061" t="s">
        <v>59</v>
      </c>
      <c r="AA9061" t="s">
        <v>59</v>
      </c>
      <c r="AB9061" t="s">
        <v>59</v>
      </c>
      <c r="AC9061" t="s">
        <v>59</v>
      </c>
      <c r="AD9061" t="s">
        <v>59</v>
      </c>
      <c r="AF9061" s="1">
        <v>36040</v>
      </c>
      <c r="AG9061" t="s">
        <v>8645</v>
      </c>
      <c r="AH9061" t="s">
        <v>8646</v>
      </c>
      <c r="AI9061" t="str">
        <f>"9410152"</f>
        <v>9410152</v>
      </c>
      <c r="AJ9061" t="s">
        <v>12686</v>
      </c>
      <c r="AK9061">
        <v>2831029088</v>
      </c>
      <c r="AL9061" t="s">
        <v>12687</v>
      </c>
      <c r="AM9061" t="s">
        <v>64</v>
      </c>
      <c r="AN9061" t="s">
        <v>65</v>
      </c>
      <c r="AO9061" t="s">
        <v>65</v>
      </c>
      <c r="AP9061" t="s">
        <v>65</v>
      </c>
      <c r="AQ9061">
        <v>1</v>
      </c>
      <c r="AR9061" t="s">
        <v>66</v>
      </c>
      <c r="AS9061" t="s">
        <v>67</v>
      </c>
      <c r="AT9061" t="s">
        <v>58</v>
      </c>
      <c r="AU9061" t="s">
        <v>68</v>
      </c>
      <c r="AV9061" t="s">
        <v>69</v>
      </c>
      <c r="AW9061" s="1">
        <v>24998</v>
      </c>
      <c r="AX9061">
        <v>1</v>
      </c>
    </row>
    <row r="9062" spans="1:50">
      <c r="A9062">
        <v>610519</v>
      </c>
      <c r="B9062" t="str">
        <f>"062479384"</f>
        <v>062479384</v>
      </c>
      <c r="C9062" t="s">
        <v>105</v>
      </c>
      <c r="D9062" t="s">
        <v>13688</v>
      </c>
      <c r="E9062" t="s">
        <v>564</v>
      </c>
      <c r="F9062" t="s">
        <v>377</v>
      </c>
      <c r="G9062" t="s">
        <v>4269</v>
      </c>
      <c r="H9062" t="str">
        <f>"ΣΩΣΤΡΑΤΟΥ 21-23 ΑΘΗΝΑ"</f>
        <v>ΣΩΣΤΡΑΤΟΥ 21-23 ΑΘΗΝΑ</v>
      </c>
      <c r="I9062">
        <v>11743</v>
      </c>
      <c r="J9062">
        <v>2109233112</v>
      </c>
      <c r="K9062">
        <v>6973973492</v>
      </c>
      <c r="M9062" t="s">
        <v>13689</v>
      </c>
      <c r="N9062" t="s">
        <v>615</v>
      </c>
      <c r="O9062" t="s">
        <v>616</v>
      </c>
      <c r="R9062" t="s">
        <v>57</v>
      </c>
      <c r="S9062">
        <v>6</v>
      </c>
      <c r="T9062">
        <v>233</v>
      </c>
      <c r="U9062" s="1">
        <v>38960</v>
      </c>
      <c r="V9062" t="s">
        <v>66</v>
      </c>
      <c r="W9062" t="s">
        <v>67</v>
      </c>
      <c r="X9062" t="s">
        <v>58</v>
      </c>
      <c r="Y9062">
        <v>23</v>
      </c>
      <c r="Z9062" t="s">
        <v>59</v>
      </c>
      <c r="AA9062" t="s">
        <v>59</v>
      </c>
      <c r="AB9062" t="s">
        <v>59</v>
      </c>
      <c r="AC9062" t="s">
        <v>59</v>
      </c>
      <c r="AD9062" t="s">
        <v>59</v>
      </c>
      <c r="AF9062" s="1">
        <v>38961</v>
      </c>
      <c r="AG9062" t="s">
        <v>8645</v>
      </c>
      <c r="AH9062" t="s">
        <v>8646</v>
      </c>
      <c r="AI9062" t="str">
        <f>"9410082"</f>
        <v>9410082</v>
      </c>
      <c r="AJ9062" t="s">
        <v>13195</v>
      </c>
      <c r="AK9062">
        <v>2831075013</v>
      </c>
      <c r="AL9062" t="s">
        <v>13196</v>
      </c>
      <c r="AM9062" t="s">
        <v>64</v>
      </c>
      <c r="AN9062" t="s">
        <v>65</v>
      </c>
      <c r="AO9062" t="s">
        <v>65</v>
      </c>
      <c r="AP9062" t="s">
        <v>12884</v>
      </c>
      <c r="AQ9062">
        <v>3</v>
      </c>
      <c r="AR9062" t="s">
        <v>66</v>
      </c>
      <c r="AS9062" t="s">
        <v>67</v>
      </c>
      <c r="AT9062" t="s">
        <v>58</v>
      </c>
      <c r="AU9062" t="s">
        <v>68</v>
      </c>
      <c r="AV9062" t="s">
        <v>69</v>
      </c>
      <c r="AW9062" s="1">
        <v>27892</v>
      </c>
      <c r="AX9062">
        <v>1</v>
      </c>
    </row>
    <row r="9063" spans="1:50">
      <c r="A9063">
        <v>579540</v>
      </c>
      <c r="B9063" t="str">
        <f>"045997245"</f>
        <v>045997245</v>
      </c>
      <c r="C9063" t="s">
        <v>50</v>
      </c>
      <c r="D9063" t="s">
        <v>13690</v>
      </c>
      <c r="E9063" t="s">
        <v>1001</v>
      </c>
      <c r="F9063" t="s">
        <v>1506</v>
      </c>
      <c r="G9063" t="s">
        <v>340</v>
      </c>
      <c r="H9063" t="str">
        <f>" "</f>
        <v xml:space="preserve"> </v>
      </c>
      <c r="N9063" t="s">
        <v>615</v>
      </c>
      <c r="O9063" t="s">
        <v>616</v>
      </c>
      <c r="R9063" t="s">
        <v>57</v>
      </c>
      <c r="S9063">
        <v>11</v>
      </c>
      <c r="T9063">
        <v>165</v>
      </c>
      <c r="U9063" s="1">
        <v>35300</v>
      </c>
      <c r="V9063" t="s">
        <v>66</v>
      </c>
      <c r="W9063" t="s">
        <v>67</v>
      </c>
      <c r="X9063" t="s">
        <v>58</v>
      </c>
      <c r="Y9063">
        <v>21</v>
      </c>
      <c r="Z9063" t="s">
        <v>59</v>
      </c>
      <c r="AA9063" t="s">
        <v>59</v>
      </c>
      <c r="AB9063" t="s">
        <v>59</v>
      </c>
      <c r="AC9063" t="s">
        <v>59</v>
      </c>
      <c r="AD9063" t="s">
        <v>59</v>
      </c>
      <c r="AF9063" s="1">
        <v>35313</v>
      </c>
      <c r="AG9063" t="s">
        <v>8645</v>
      </c>
      <c r="AH9063" t="s">
        <v>8646</v>
      </c>
      <c r="AI9063" t="str">
        <f>"9410067"</f>
        <v>9410067</v>
      </c>
      <c r="AJ9063" t="s">
        <v>12736</v>
      </c>
      <c r="AK9063">
        <v>2831022836</v>
      </c>
      <c r="AL9063" t="s">
        <v>12737</v>
      </c>
      <c r="AM9063" t="s">
        <v>64</v>
      </c>
      <c r="AN9063" t="s">
        <v>65</v>
      </c>
      <c r="AO9063" t="s">
        <v>65</v>
      </c>
      <c r="AP9063" t="s">
        <v>65</v>
      </c>
      <c r="AQ9063">
        <v>1</v>
      </c>
      <c r="AR9063" t="s">
        <v>66</v>
      </c>
      <c r="AS9063" t="s">
        <v>67</v>
      </c>
      <c r="AT9063" t="s">
        <v>58</v>
      </c>
      <c r="AU9063" t="s">
        <v>68</v>
      </c>
      <c r="AV9063" t="s">
        <v>69</v>
      </c>
      <c r="AW9063" s="1">
        <v>24336</v>
      </c>
      <c r="AX9063">
        <v>1</v>
      </c>
    </row>
    <row r="9064" spans="1:50">
      <c r="B9064" t="str">
        <f>"143157682"</f>
        <v>143157682</v>
      </c>
      <c r="C9064" t="s">
        <v>50</v>
      </c>
      <c r="D9064" t="s">
        <v>13691</v>
      </c>
      <c r="E9064" t="s">
        <v>714</v>
      </c>
      <c r="F9064" t="s">
        <v>2030</v>
      </c>
      <c r="G9064" t="s">
        <v>143</v>
      </c>
      <c r="H9064" t="str">
        <f>" "</f>
        <v xml:space="preserve"> </v>
      </c>
      <c r="K9064">
        <v>6983629621</v>
      </c>
      <c r="M9064" t="s">
        <v>13692</v>
      </c>
      <c r="N9064" t="s">
        <v>615</v>
      </c>
      <c r="O9064" t="s">
        <v>616</v>
      </c>
      <c r="R9064" t="s">
        <v>121</v>
      </c>
      <c r="S9064">
        <v>3</v>
      </c>
      <c r="T9064" t="s">
        <v>8675</v>
      </c>
      <c r="U9064" s="1">
        <v>43348</v>
      </c>
      <c r="V9064" t="s">
        <v>66</v>
      </c>
      <c r="W9064" t="s">
        <v>67</v>
      </c>
      <c r="X9064" t="s">
        <v>58</v>
      </c>
      <c r="Y9064">
        <v>25</v>
      </c>
      <c r="Z9064" t="s">
        <v>59</v>
      </c>
      <c r="AA9064" t="s">
        <v>59</v>
      </c>
      <c r="AB9064" t="s">
        <v>59</v>
      </c>
      <c r="AC9064" t="s">
        <v>59</v>
      </c>
      <c r="AD9064" t="s">
        <v>59</v>
      </c>
      <c r="AF9064" s="1">
        <v>43348</v>
      </c>
      <c r="AG9064" t="s">
        <v>8645</v>
      </c>
      <c r="AH9064" t="s">
        <v>8676</v>
      </c>
      <c r="AI9064" t="str">
        <f>"9410144"</f>
        <v>9410144</v>
      </c>
      <c r="AJ9064" t="s">
        <v>13043</v>
      </c>
      <c r="AK9064">
        <v>2833031274</v>
      </c>
      <c r="AL9064" t="s">
        <v>13044</v>
      </c>
      <c r="AM9064" t="s">
        <v>64</v>
      </c>
      <c r="AN9064" t="s">
        <v>5713</v>
      </c>
      <c r="AO9064" t="s">
        <v>5780</v>
      </c>
      <c r="AP9064" t="s">
        <v>13045</v>
      </c>
      <c r="AQ9064">
        <v>6</v>
      </c>
      <c r="AR9064" t="s">
        <v>66</v>
      </c>
      <c r="AS9064" t="s">
        <v>67</v>
      </c>
      <c r="AT9064" t="s">
        <v>58</v>
      </c>
      <c r="AU9064" t="s">
        <v>8673</v>
      </c>
      <c r="AV9064" t="s">
        <v>132</v>
      </c>
      <c r="AW9064" s="1">
        <v>32891</v>
      </c>
      <c r="AX9064">
        <v>1</v>
      </c>
    </row>
    <row r="9065" spans="1:50">
      <c r="A9065">
        <v>600115</v>
      </c>
      <c r="B9065" t="str">
        <f>"054832946"</f>
        <v>054832946</v>
      </c>
      <c r="C9065" t="s">
        <v>50</v>
      </c>
      <c r="D9065" t="s">
        <v>13693</v>
      </c>
      <c r="E9065" t="s">
        <v>809</v>
      </c>
      <c r="F9065" t="s">
        <v>95</v>
      </c>
      <c r="G9065" t="s">
        <v>809</v>
      </c>
      <c r="H9065" t="str">
        <f>"ΠΑΠΑΝΙΚΟΛΑΟΥ 28 ΡΕΘΥΜΝΟ"</f>
        <v>ΠΑΠΑΝΙΚΟΛΑΟΥ 28 ΡΕΘΥΜΝΟ</v>
      </c>
      <c r="I9065">
        <v>74100</v>
      </c>
      <c r="J9065">
        <v>2831053810</v>
      </c>
      <c r="K9065">
        <v>6976075023</v>
      </c>
      <c r="M9065" t="s">
        <v>13694</v>
      </c>
      <c r="N9065" t="s">
        <v>615</v>
      </c>
      <c r="O9065" t="s">
        <v>616</v>
      </c>
      <c r="R9065" t="s">
        <v>57</v>
      </c>
      <c r="S9065">
        <v>9</v>
      </c>
      <c r="T9065">
        <v>195</v>
      </c>
      <c r="U9065" s="1">
        <v>37497</v>
      </c>
      <c r="V9065" t="s">
        <v>66</v>
      </c>
      <c r="W9065" t="s">
        <v>67</v>
      </c>
      <c r="X9065" t="s">
        <v>58</v>
      </c>
      <c r="Y9065">
        <v>22</v>
      </c>
      <c r="Z9065" t="s">
        <v>59</v>
      </c>
      <c r="AA9065" t="s">
        <v>59</v>
      </c>
      <c r="AB9065" t="s">
        <v>59</v>
      </c>
      <c r="AC9065" t="s">
        <v>59</v>
      </c>
      <c r="AD9065" t="s">
        <v>59</v>
      </c>
      <c r="AF9065" s="1">
        <v>37502</v>
      </c>
      <c r="AG9065" t="s">
        <v>8645</v>
      </c>
      <c r="AH9065" t="s">
        <v>8646</v>
      </c>
      <c r="AI9065" t="str">
        <f>"9410241"</f>
        <v>9410241</v>
      </c>
      <c r="AJ9065" t="s">
        <v>12783</v>
      </c>
      <c r="AK9065">
        <v>2831022616</v>
      </c>
      <c r="AL9065" t="s">
        <v>12784</v>
      </c>
      <c r="AM9065" t="s">
        <v>64</v>
      </c>
      <c r="AN9065" t="s">
        <v>65</v>
      </c>
      <c r="AO9065" t="s">
        <v>65</v>
      </c>
      <c r="AP9065" t="s">
        <v>65</v>
      </c>
      <c r="AQ9065">
        <v>1</v>
      </c>
      <c r="AR9065" t="s">
        <v>66</v>
      </c>
      <c r="AS9065" t="s">
        <v>67</v>
      </c>
      <c r="AT9065" t="s">
        <v>58</v>
      </c>
      <c r="AU9065" t="s">
        <v>68</v>
      </c>
      <c r="AV9065" t="s">
        <v>69</v>
      </c>
      <c r="AW9065" s="1">
        <v>25658</v>
      </c>
      <c r="AX9065">
        <v>1</v>
      </c>
    </row>
    <row r="9066" spans="1:50">
      <c r="A9066">
        <v>600123</v>
      </c>
      <c r="B9066" t="str">
        <f>"068061845"</f>
        <v>068061845</v>
      </c>
      <c r="C9066" t="s">
        <v>50</v>
      </c>
      <c r="D9066" t="s">
        <v>11545</v>
      </c>
      <c r="E9066" t="s">
        <v>3477</v>
      </c>
      <c r="F9066" t="s">
        <v>99</v>
      </c>
      <c r="G9066" t="s">
        <v>801</v>
      </c>
      <c r="H9066" t="str">
        <f>"Κ. ΠΑΡΕΝ ΣΙΓΑΝΟΥ 10 ΡΕΘΥΜΝΟ"</f>
        <v>Κ. ΠΑΡΕΝ ΣΙΓΑΝΟΥ 10 ΡΕΘΥΜΝΟ</v>
      </c>
      <c r="I9066">
        <v>74100</v>
      </c>
      <c r="J9066">
        <v>2831050397</v>
      </c>
      <c r="K9066">
        <v>6938779140</v>
      </c>
      <c r="M9066" t="s">
        <v>13695</v>
      </c>
      <c r="N9066" t="s">
        <v>615</v>
      </c>
      <c r="O9066" t="s">
        <v>616</v>
      </c>
      <c r="R9066" t="s">
        <v>57</v>
      </c>
      <c r="S9066">
        <v>9</v>
      </c>
      <c r="T9066">
        <v>195</v>
      </c>
      <c r="U9066" s="1">
        <v>37497</v>
      </c>
      <c r="V9066" t="s">
        <v>66</v>
      </c>
      <c r="W9066" t="s">
        <v>67</v>
      </c>
      <c r="X9066" t="s">
        <v>58</v>
      </c>
      <c r="Y9066">
        <v>22</v>
      </c>
      <c r="Z9066" t="s">
        <v>59</v>
      </c>
      <c r="AA9066" t="s">
        <v>59</v>
      </c>
      <c r="AB9066" t="s">
        <v>59</v>
      </c>
      <c r="AC9066" t="s">
        <v>59</v>
      </c>
      <c r="AD9066" t="s">
        <v>59</v>
      </c>
      <c r="AF9066" s="1">
        <v>37501</v>
      </c>
      <c r="AG9066" t="s">
        <v>8645</v>
      </c>
      <c r="AH9066" t="s">
        <v>8646</v>
      </c>
      <c r="AI9066" t="str">
        <f>"9410150"</f>
        <v>9410150</v>
      </c>
      <c r="AJ9066" t="s">
        <v>12733</v>
      </c>
      <c r="AK9066">
        <v>2831052969</v>
      </c>
      <c r="AL9066" t="s">
        <v>12734</v>
      </c>
      <c r="AM9066" t="s">
        <v>64</v>
      </c>
      <c r="AN9066" t="s">
        <v>65</v>
      </c>
      <c r="AO9066" t="s">
        <v>65</v>
      </c>
      <c r="AP9066" t="s">
        <v>65</v>
      </c>
      <c r="AQ9066">
        <v>1</v>
      </c>
      <c r="AR9066" t="s">
        <v>66</v>
      </c>
      <c r="AS9066" t="s">
        <v>67</v>
      </c>
      <c r="AT9066" t="s">
        <v>58</v>
      </c>
      <c r="AU9066" t="s">
        <v>68</v>
      </c>
      <c r="AV9066" t="s">
        <v>69</v>
      </c>
      <c r="AW9066" s="1">
        <v>25613</v>
      </c>
      <c r="AX9066">
        <v>1</v>
      </c>
    </row>
    <row r="9067" spans="1:50">
      <c r="A9067">
        <v>603783</v>
      </c>
      <c r="B9067" t="str">
        <f>"120037073"</f>
        <v>120037073</v>
      </c>
      <c r="C9067" t="s">
        <v>50</v>
      </c>
      <c r="D9067" t="s">
        <v>13696</v>
      </c>
      <c r="E9067" t="s">
        <v>112</v>
      </c>
      <c r="F9067" t="s">
        <v>92</v>
      </c>
      <c r="G9067" t="s">
        <v>54</v>
      </c>
      <c r="H9067" t="str">
        <f>" ΑΤΣΙΠΟΠΟΥΛΟ ΡΕΘΥΜΝΟΥ"</f>
        <v xml:space="preserve"> ΑΤΣΙΠΟΠΟΥΛΟ ΡΕΘΥΜΝΟΥ</v>
      </c>
      <c r="I9067">
        <v>74100</v>
      </c>
      <c r="J9067">
        <v>2831032421</v>
      </c>
      <c r="K9067">
        <v>6974034545</v>
      </c>
      <c r="M9067" t="s">
        <v>13697</v>
      </c>
      <c r="N9067" t="s">
        <v>615</v>
      </c>
      <c r="O9067" t="s">
        <v>616</v>
      </c>
      <c r="R9067" t="s">
        <v>57</v>
      </c>
      <c r="S9067">
        <v>7</v>
      </c>
      <c r="T9067">
        <v>231</v>
      </c>
      <c r="U9067" s="1">
        <v>38230</v>
      </c>
      <c r="V9067" t="s">
        <v>66</v>
      </c>
      <c r="W9067" t="s">
        <v>67</v>
      </c>
      <c r="X9067" t="s">
        <v>58</v>
      </c>
      <c r="Y9067">
        <v>22</v>
      </c>
      <c r="Z9067" t="s">
        <v>59</v>
      </c>
      <c r="AA9067" t="s">
        <v>59</v>
      </c>
      <c r="AB9067" t="s">
        <v>59</v>
      </c>
      <c r="AC9067" t="s">
        <v>59</v>
      </c>
      <c r="AD9067" t="s">
        <v>59</v>
      </c>
      <c r="AF9067" s="1">
        <v>38231</v>
      </c>
      <c r="AG9067" t="s">
        <v>8645</v>
      </c>
      <c r="AH9067" t="s">
        <v>8646</v>
      </c>
      <c r="AI9067" t="str">
        <f>"9410166"</f>
        <v>9410166</v>
      </c>
      <c r="AJ9067" t="s">
        <v>12666</v>
      </c>
      <c r="AK9067">
        <v>2831031311</v>
      </c>
      <c r="AL9067" t="s">
        <v>12667</v>
      </c>
      <c r="AM9067" t="s">
        <v>64</v>
      </c>
      <c r="AN9067" t="s">
        <v>65</v>
      </c>
      <c r="AO9067" t="s">
        <v>5720</v>
      </c>
      <c r="AP9067" t="s">
        <v>5721</v>
      </c>
      <c r="AQ9067">
        <v>2</v>
      </c>
      <c r="AR9067" t="s">
        <v>66</v>
      </c>
      <c r="AS9067" t="s">
        <v>67</v>
      </c>
      <c r="AT9067" t="s">
        <v>58</v>
      </c>
      <c r="AU9067" t="s">
        <v>68</v>
      </c>
      <c r="AV9067" t="s">
        <v>69</v>
      </c>
      <c r="AW9067" s="1">
        <v>28583</v>
      </c>
      <c r="AX9067">
        <v>1</v>
      </c>
    </row>
    <row r="9068" spans="1:50">
      <c r="B9068" t="str">
        <f>"063802706"</f>
        <v>063802706</v>
      </c>
      <c r="C9068" t="s">
        <v>50</v>
      </c>
      <c r="D9068" t="s">
        <v>13696</v>
      </c>
      <c r="E9068" t="s">
        <v>366</v>
      </c>
      <c r="F9068" t="s">
        <v>13698</v>
      </c>
      <c r="G9068" t="s">
        <v>52</v>
      </c>
      <c r="H9068" t="str">
        <f>"ΜΑΝΩΛΗ ΛΑΓΟΥ 11 "</f>
        <v xml:space="preserve">ΜΑΝΩΛΗ ΛΑΓΟΥ 11 </v>
      </c>
      <c r="I9068">
        <v>74100</v>
      </c>
      <c r="J9068">
        <v>2831058428</v>
      </c>
      <c r="K9068">
        <v>6948267390</v>
      </c>
      <c r="N9068" t="s">
        <v>337</v>
      </c>
      <c r="O9068" t="s">
        <v>338</v>
      </c>
      <c r="R9068" t="s">
        <v>159</v>
      </c>
      <c r="S9068">
        <v>3</v>
      </c>
      <c r="T9068" t="s">
        <v>8675</v>
      </c>
      <c r="U9068" s="1">
        <v>43348</v>
      </c>
      <c r="V9068" t="s">
        <v>66</v>
      </c>
      <c r="W9068" t="s">
        <v>67</v>
      </c>
      <c r="X9068" t="s">
        <v>58</v>
      </c>
      <c r="Y9068">
        <v>24</v>
      </c>
      <c r="Z9068" t="s">
        <v>59</v>
      </c>
      <c r="AA9068" t="s">
        <v>59</v>
      </c>
      <c r="AB9068" t="s">
        <v>59</v>
      </c>
      <c r="AC9068" t="s">
        <v>59</v>
      </c>
      <c r="AD9068" t="s">
        <v>59</v>
      </c>
      <c r="AF9068" s="1">
        <v>43348</v>
      </c>
      <c r="AG9068" t="s">
        <v>8645</v>
      </c>
      <c r="AH9068" t="s">
        <v>8646</v>
      </c>
      <c r="AI9068" t="str">
        <f>"9410061"</f>
        <v>9410061</v>
      </c>
      <c r="AJ9068" t="s">
        <v>12760</v>
      </c>
      <c r="AK9068">
        <v>2831024378</v>
      </c>
      <c r="AL9068" t="s">
        <v>12761</v>
      </c>
      <c r="AM9068" t="s">
        <v>64</v>
      </c>
      <c r="AN9068" t="s">
        <v>65</v>
      </c>
      <c r="AO9068" t="s">
        <v>65</v>
      </c>
      <c r="AP9068" t="s">
        <v>65</v>
      </c>
      <c r="AQ9068">
        <v>1</v>
      </c>
      <c r="AR9068" t="s">
        <v>66</v>
      </c>
      <c r="AS9068" t="s">
        <v>67</v>
      </c>
      <c r="AT9068" t="s">
        <v>58</v>
      </c>
      <c r="AU9068" t="s">
        <v>8673</v>
      </c>
      <c r="AV9068" t="s">
        <v>132</v>
      </c>
      <c r="AW9068" s="1">
        <v>31335</v>
      </c>
      <c r="AX9068">
        <v>1</v>
      </c>
    </row>
    <row r="9069" spans="1:50">
      <c r="A9069">
        <v>613184</v>
      </c>
      <c r="B9069" t="str">
        <f>"137452088"</f>
        <v>137452088</v>
      </c>
      <c r="C9069" t="s">
        <v>50</v>
      </c>
      <c r="D9069" t="s">
        <v>13699</v>
      </c>
      <c r="E9069" t="s">
        <v>143</v>
      </c>
      <c r="F9069" t="s">
        <v>564</v>
      </c>
      <c r="G9069" t="s">
        <v>964</v>
      </c>
      <c r="H9069" t="str">
        <f>"ΚΟΥΝΤΟΥΡΙΩΤΗ 60 ΡΕΘΥΜΝΟ"</f>
        <v>ΚΟΥΝΤΟΥΡΙΩΤΗ 60 ΡΕΘΥΜΝΟ</v>
      </c>
      <c r="I9069">
        <v>74100</v>
      </c>
      <c r="J9069">
        <v>2831035300</v>
      </c>
      <c r="K9069">
        <v>6944664580</v>
      </c>
      <c r="L9069">
        <v>2831054149</v>
      </c>
      <c r="N9069" t="s">
        <v>615</v>
      </c>
      <c r="O9069" t="s">
        <v>616</v>
      </c>
      <c r="R9069" t="s">
        <v>57</v>
      </c>
      <c r="S9069">
        <v>6</v>
      </c>
      <c r="T9069">
        <v>598</v>
      </c>
      <c r="U9069" s="1">
        <v>39310</v>
      </c>
      <c r="V9069" t="s">
        <v>66</v>
      </c>
      <c r="W9069" t="s">
        <v>67</v>
      </c>
      <c r="X9069" t="s">
        <v>58</v>
      </c>
      <c r="Y9069">
        <v>23</v>
      </c>
      <c r="Z9069" t="s">
        <v>59</v>
      </c>
      <c r="AA9069" t="s">
        <v>59</v>
      </c>
      <c r="AB9069" t="s">
        <v>59</v>
      </c>
      <c r="AC9069" t="s">
        <v>59</v>
      </c>
      <c r="AD9069" t="s">
        <v>59</v>
      </c>
      <c r="AF9069" s="1">
        <v>39328</v>
      </c>
      <c r="AG9069" t="s">
        <v>8645</v>
      </c>
      <c r="AH9069" t="s">
        <v>8646</v>
      </c>
      <c r="AI9069" t="str">
        <f>"9410155"</f>
        <v>9410155</v>
      </c>
      <c r="AJ9069" t="s">
        <v>12663</v>
      </c>
      <c r="AK9069">
        <v>2831028697</v>
      </c>
      <c r="AL9069" t="s">
        <v>12664</v>
      </c>
      <c r="AM9069" t="s">
        <v>64</v>
      </c>
      <c r="AN9069" t="s">
        <v>65</v>
      </c>
      <c r="AO9069" t="s">
        <v>65</v>
      </c>
      <c r="AP9069" t="s">
        <v>65</v>
      </c>
      <c r="AQ9069">
        <v>1</v>
      </c>
      <c r="AR9069" t="s">
        <v>66</v>
      </c>
      <c r="AS9069" t="s">
        <v>67</v>
      </c>
      <c r="AT9069" t="s">
        <v>58</v>
      </c>
      <c r="AU9069" t="s">
        <v>68</v>
      </c>
      <c r="AV9069" t="s">
        <v>69</v>
      </c>
      <c r="AW9069" s="1">
        <v>30245</v>
      </c>
      <c r="AX9069">
        <v>1</v>
      </c>
    </row>
    <row r="9070" spans="1:50">
      <c r="A9070">
        <v>621289</v>
      </c>
      <c r="B9070" t="str">
        <f>"132124589"</f>
        <v>132124589</v>
      </c>
      <c r="C9070" t="s">
        <v>50</v>
      </c>
      <c r="D9070" t="s">
        <v>13700</v>
      </c>
      <c r="E9070" t="s">
        <v>13701</v>
      </c>
      <c r="F9070" t="s">
        <v>6208</v>
      </c>
      <c r="G9070" t="s">
        <v>13702</v>
      </c>
      <c r="H9070" t="str">
        <f>"ΒΑΡΔΗ7 ΛΕΣΒΟΣ"</f>
        <v>ΒΑΡΔΗ7 ΛΕΣΒΟΣ</v>
      </c>
      <c r="I9070">
        <v>81107</v>
      </c>
      <c r="J9070">
        <v>2253024066</v>
      </c>
      <c r="K9070">
        <v>6974802142</v>
      </c>
      <c r="N9070" t="s">
        <v>615</v>
      </c>
      <c r="O9070" t="s">
        <v>616</v>
      </c>
      <c r="R9070" t="s">
        <v>57</v>
      </c>
      <c r="S9070">
        <v>4</v>
      </c>
      <c r="T9070">
        <v>653</v>
      </c>
      <c r="U9070" s="1">
        <v>40043</v>
      </c>
      <c r="V9070" t="s">
        <v>66</v>
      </c>
      <c r="W9070" t="s">
        <v>67</v>
      </c>
      <c r="X9070" t="s">
        <v>58</v>
      </c>
      <c r="Y9070">
        <v>25</v>
      </c>
      <c r="Z9070" t="s">
        <v>59</v>
      </c>
      <c r="AA9070" t="s">
        <v>59</v>
      </c>
      <c r="AB9070" t="s">
        <v>59</v>
      </c>
      <c r="AC9070" t="s">
        <v>59</v>
      </c>
      <c r="AD9070" t="s">
        <v>59</v>
      </c>
      <c r="AF9070" s="1">
        <v>40057</v>
      </c>
      <c r="AG9070" t="s">
        <v>8645</v>
      </c>
      <c r="AH9070" t="s">
        <v>8676</v>
      </c>
      <c r="AI9070" t="str">
        <f>"9410007"</f>
        <v>9410007</v>
      </c>
      <c r="AJ9070" t="s">
        <v>12836</v>
      </c>
      <c r="AK9070">
        <v>2834041504</v>
      </c>
      <c r="AL9070" t="s">
        <v>12837</v>
      </c>
      <c r="AM9070" t="s">
        <v>64</v>
      </c>
      <c r="AN9070" t="s">
        <v>5672</v>
      </c>
      <c r="AO9070" t="s">
        <v>5698</v>
      </c>
      <c r="AP9070" t="s">
        <v>12838</v>
      </c>
      <c r="AQ9070">
        <v>10</v>
      </c>
      <c r="AR9070" t="s">
        <v>66</v>
      </c>
      <c r="AS9070" t="s">
        <v>67</v>
      </c>
      <c r="AT9070" t="s">
        <v>58</v>
      </c>
      <c r="AU9070" t="s">
        <v>68</v>
      </c>
      <c r="AV9070" t="s">
        <v>69</v>
      </c>
      <c r="AW9070" s="1">
        <v>31184</v>
      </c>
      <c r="AX9070">
        <v>1</v>
      </c>
    </row>
    <row r="9071" spans="1:50">
      <c r="A9071">
        <v>605310</v>
      </c>
      <c r="B9071" t="str">
        <f>"064664769"</f>
        <v>064664769</v>
      </c>
      <c r="C9071" t="s">
        <v>50</v>
      </c>
      <c r="D9071" t="s">
        <v>12566</v>
      </c>
      <c r="E9071" t="s">
        <v>755</v>
      </c>
      <c r="F9071" t="s">
        <v>5974</v>
      </c>
      <c r="G9071" t="s">
        <v>630</v>
      </c>
      <c r="H9071" t="str">
        <f>"ΑΤΣΙΠΟΠΟΥΛΟ ΡΕΘΥΜΝΟ"</f>
        <v>ΑΤΣΙΠΟΠΟΥΛΟ ΡΕΘΥΜΝΟ</v>
      </c>
      <c r="I9071">
        <v>74100</v>
      </c>
      <c r="J9071">
        <v>2831042684</v>
      </c>
      <c r="K9071">
        <v>6977851565</v>
      </c>
      <c r="L9071">
        <v>2331073393</v>
      </c>
      <c r="M9071" t="s">
        <v>13703</v>
      </c>
      <c r="N9071" t="s">
        <v>615</v>
      </c>
      <c r="O9071" t="s">
        <v>616</v>
      </c>
      <c r="R9071" t="s">
        <v>57</v>
      </c>
      <c r="S9071">
        <v>7</v>
      </c>
      <c r="T9071">
        <v>231</v>
      </c>
      <c r="U9071" s="1">
        <v>38230</v>
      </c>
      <c r="V9071" t="s">
        <v>66</v>
      </c>
      <c r="W9071" t="s">
        <v>67</v>
      </c>
      <c r="X9071" t="s">
        <v>58</v>
      </c>
      <c r="Y9071">
        <v>22</v>
      </c>
      <c r="Z9071" t="s">
        <v>59</v>
      </c>
      <c r="AA9071" t="s">
        <v>59</v>
      </c>
      <c r="AB9071" t="s">
        <v>59</v>
      </c>
      <c r="AC9071" t="s">
        <v>59</v>
      </c>
      <c r="AD9071" t="s">
        <v>59</v>
      </c>
      <c r="AF9071" s="1">
        <v>38232</v>
      </c>
      <c r="AG9071" t="s">
        <v>8645</v>
      </c>
      <c r="AH9071" t="s">
        <v>8646</v>
      </c>
      <c r="AI9071" t="str">
        <f>"9410051"</f>
        <v>9410051</v>
      </c>
      <c r="AJ9071" t="s">
        <v>12660</v>
      </c>
      <c r="AK9071">
        <v>2834022247</v>
      </c>
      <c r="AL9071" t="s">
        <v>12661</v>
      </c>
      <c r="AM9071" t="s">
        <v>64</v>
      </c>
      <c r="AN9071" t="s">
        <v>5672</v>
      </c>
      <c r="AO9071" t="s">
        <v>5673</v>
      </c>
      <c r="AP9071" t="s">
        <v>5689</v>
      </c>
      <c r="AQ9071">
        <v>7</v>
      </c>
      <c r="AR9071" t="s">
        <v>66</v>
      </c>
      <c r="AS9071" t="s">
        <v>67</v>
      </c>
      <c r="AT9071" t="s">
        <v>58</v>
      </c>
      <c r="AU9071" t="s">
        <v>68</v>
      </c>
      <c r="AV9071" t="s">
        <v>69</v>
      </c>
      <c r="AW9071" s="1">
        <v>25750</v>
      </c>
      <c r="AX9071">
        <v>1</v>
      </c>
    </row>
    <row r="9072" spans="1:50">
      <c r="A9072">
        <v>585470</v>
      </c>
      <c r="B9072" t="str">
        <f>"059574087"</f>
        <v>059574087</v>
      </c>
      <c r="C9072" t="s">
        <v>50</v>
      </c>
      <c r="D9072" t="s">
        <v>13704</v>
      </c>
      <c r="E9072" t="s">
        <v>250</v>
      </c>
      <c r="F9072" t="s">
        <v>1330</v>
      </c>
      <c r="G9072" t="s">
        <v>96</v>
      </c>
      <c r="H9072" t="str">
        <f>"ΓΕΩΡΓ. ΠΑΠΑΝΔΡΕΟΥ 8Α ΡΕΘΥΜΝΟ"</f>
        <v>ΓΕΩΡΓ. ΠΑΠΑΝΔΡΕΟΥ 8Α ΡΕΘΥΜΝΟ</v>
      </c>
      <c r="K9072">
        <v>6946413743</v>
      </c>
      <c r="N9072" t="s">
        <v>615</v>
      </c>
      <c r="O9072" t="s">
        <v>616</v>
      </c>
      <c r="R9072" t="s">
        <v>57</v>
      </c>
      <c r="S9072">
        <v>12</v>
      </c>
      <c r="T9072">
        <v>165</v>
      </c>
      <c r="U9072" s="1">
        <v>36040</v>
      </c>
      <c r="V9072" t="s">
        <v>66</v>
      </c>
      <c r="W9072" t="s">
        <v>67</v>
      </c>
      <c r="X9072" t="s">
        <v>58</v>
      </c>
      <c r="Y9072">
        <v>21</v>
      </c>
      <c r="Z9072" t="s">
        <v>59</v>
      </c>
      <c r="AA9072" t="s">
        <v>59</v>
      </c>
      <c r="AB9072" t="s">
        <v>59</v>
      </c>
      <c r="AC9072" t="s">
        <v>59</v>
      </c>
      <c r="AD9072" t="s">
        <v>59</v>
      </c>
      <c r="AF9072" s="1">
        <v>36040</v>
      </c>
      <c r="AG9072" t="s">
        <v>8645</v>
      </c>
      <c r="AH9072" t="s">
        <v>8646</v>
      </c>
      <c r="AI9072" t="str">
        <f>"9410070"</f>
        <v>9410070</v>
      </c>
      <c r="AJ9072" t="s">
        <v>12757</v>
      </c>
      <c r="AK9072">
        <v>2831028583</v>
      </c>
      <c r="AL9072" t="s">
        <v>12758</v>
      </c>
      <c r="AM9072" t="s">
        <v>64</v>
      </c>
      <c r="AN9072" t="s">
        <v>65</v>
      </c>
      <c r="AO9072" t="s">
        <v>65</v>
      </c>
      <c r="AP9072" t="s">
        <v>65</v>
      </c>
      <c r="AQ9072">
        <v>1</v>
      </c>
      <c r="AR9072" t="s">
        <v>66</v>
      </c>
      <c r="AS9072" t="s">
        <v>67</v>
      </c>
      <c r="AT9072" t="s">
        <v>58</v>
      </c>
      <c r="AU9072" t="s">
        <v>68</v>
      </c>
      <c r="AV9072" t="s">
        <v>69</v>
      </c>
      <c r="AW9072" s="1">
        <v>24113</v>
      </c>
      <c r="AX9072">
        <v>1</v>
      </c>
    </row>
    <row r="9073" spans="1:50">
      <c r="B9073" t="str">
        <f>"137497819"</f>
        <v>137497819</v>
      </c>
      <c r="C9073" t="s">
        <v>50</v>
      </c>
      <c r="D9073" t="s">
        <v>6602</v>
      </c>
      <c r="E9073" t="s">
        <v>566</v>
      </c>
      <c r="F9073" t="s">
        <v>106</v>
      </c>
      <c r="G9073" t="s">
        <v>98</v>
      </c>
      <c r="H9073" t="str">
        <f>"ΚΑΣΤΕΛΑΚΙΑ 5 "</f>
        <v xml:space="preserve">ΚΑΣΤΕΛΑΚΙΑ 5 </v>
      </c>
      <c r="I9073">
        <v>74100</v>
      </c>
      <c r="J9073">
        <v>2831025436</v>
      </c>
      <c r="K9073">
        <v>6942244446</v>
      </c>
      <c r="N9073" t="s">
        <v>1525</v>
      </c>
      <c r="O9073" t="s">
        <v>1526</v>
      </c>
      <c r="R9073" t="s">
        <v>159</v>
      </c>
      <c r="S9073">
        <v>3</v>
      </c>
      <c r="T9073" t="s">
        <v>8670</v>
      </c>
      <c r="U9073" s="1">
        <v>43348</v>
      </c>
      <c r="V9073" t="s">
        <v>66</v>
      </c>
      <c r="W9073" t="s">
        <v>67</v>
      </c>
      <c r="X9073" t="s">
        <v>58</v>
      </c>
      <c r="Y9073">
        <v>25</v>
      </c>
      <c r="Z9073" t="s">
        <v>59</v>
      </c>
      <c r="AA9073" t="s">
        <v>59</v>
      </c>
      <c r="AB9073" t="s">
        <v>59</v>
      </c>
      <c r="AC9073" t="s">
        <v>59</v>
      </c>
      <c r="AD9073" t="s">
        <v>59</v>
      </c>
      <c r="AF9073" s="1">
        <v>43348</v>
      </c>
      <c r="AG9073" t="s">
        <v>8651</v>
      </c>
      <c r="AH9073" t="s">
        <v>8652</v>
      </c>
      <c r="AI9073" t="str">
        <f>"9410050"</f>
        <v>9410050</v>
      </c>
      <c r="AJ9073" t="s">
        <v>12924</v>
      </c>
      <c r="AK9073">
        <v>2834022518</v>
      </c>
      <c r="AL9073" t="s">
        <v>12925</v>
      </c>
      <c r="AM9073" t="s">
        <v>64</v>
      </c>
      <c r="AN9073" t="s">
        <v>5672</v>
      </c>
      <c r="AO9073" t="s">
        <v>5673</v>
      </c>
      <c r="AP9073" t="s">
        <v>5689</v>
      </c>
      <c r="AQ9073">
        <v>7</v>
      </c>
      <c r="AR9073" t="s">
        <v>66</v>
      </c>
      <c r="AS9073" t="s">
        <v>67</v>
      </c>
      <c r="AT9073" t="s">
        <v>58</v>
      </c>
      <c r="AU9073" t="s">
        <v>8673</v>
      </c>
      <c r="AV9073" t="s">
        <v>132</v>
      </c>
      <c r="AW9073" s="1">
        <v>30809</v>
      </c>
      <c r="AX9073">
        <v>1</v>
      </c>
    </row>
    <row r="9074" spans="1:50">
      <c r="A9074">
        <v>559532</v>
      </c>
      <c r="B9074" t="str">
        <f>"032643614"</f>
        <v>032643614</v>
      </c>
      <c r="C9074" t="s">
        <v>50</v>
      </c>
      <c r="D9074" t="s">
        <v>13705</v>
      </c>
      <c r="E9074" t="s">
        <v>83</v>
      </c>
      <c r="F9074" t="s">
        <v>95</v>
      </c>
      <c r="G9074" t="s">
        <v>3802</v>
      </c>
      <c r="H9074" t="str">
        <f>"ΚΑΒΡΟΣ ΑΠΟΚΩΡΟΝΟΥ"</f>
        <v>ΚΑΒΡΟΣ ΑΠΟΚΩΡΟΝΟΥ</v>
      </c>
      <c r="J9074">
        <v>2825061497</v>
      </c>
      <c r="K9074">
        <v>6932549895</v>
      </c>
      <c r="N9074" t="s">
        <v>615</v>
      </c>
      <c r="O9074" t="s">
        <v>616</v>
      </c>
      <c r="R9074" t="s">
        <v>57</v>
      </c>
      <c r="S9074">
        <v>15</v>
      </c>
      <c r="T9074">
        <v>168</v>
      </c>
      <c r="U9074" s="1">
        <v>32010</v>
      </c>
      <c r="V9074" t="s">
        <v>66</v>
      </c>
      <c r="W9074" t="s">
        <v>67</v>
      </c>
      <c r="X9074" t="s">
        <v>58</v>
      </c>
      <c r="Y9074">
        <v>21</v>
      </c>
      <c r="Z9074" t="s">
        <v>59</v>
      </c>
      <c r="AA9074" t="s">
        <v>59</v>
      </c>
      <c r="AB9074" t="s">
        <v>59</v>
      </c>
      <c r="AC9074" t="s">
        <v>59</v>
      </c>
      <c r="AD9074" t="s">
        <v>59</v>
      </c>
      <c r="AF9074" s="1">
        <v>32021</v>
      </c>
      <c r="AG9074" t="s">
        <v>8645</v>
      </c>
      <c r="AH9074" t="s">
        <v>8646</v>
      </c>
      <c r="AI9074" t="str">
        <f>"9410170"</f>
        <v>9410170</v>
      </c>
      <c r="AJ9074" t="s">
        <v>12658</v>
      </c>
      <c r="AK9074">
        <v>2831061220</v>
      </c>
      <c r="AL9074" t="s">
        <v>12659</v>
      </c>
      <c r="AM9074" t="s">
        <v>64</v>
      </c>
      <c r="AN9074" t="s">
        <v>65</v>
      </c>
      <c r="AO9074" t="s">
        <v>5657</v>
      </c>
      <c r="AP9074" t="s">
        <v>1437</v>
      </c>
      <c r="AQ9074">
        <v>2</v>
      </c>
      <c r="AR9074" t="s">
        <v>66</v>
      </c>
      <c r="AS9074" t="s">
        <v>67</v>
      </c>
      <c r="AT9074" t="s">
        <v>58</v>
      </c>
      <c r="AU9074" t="s">
        <v>68</v>
      </c>
      <c r="AV9074" t="s">
        <v>69</v>
      </c>
      <c r="AW9074" s="1">
        <v>24056</v>
      </c>
      <c r="AX9074">
        <v>1</v>
      </c>
    </row>
    <row r="9075" spans="1:50">
      <c r="A9075">
        <v>605717</v>
      </c>
      <c r="B9075" t="str">
        <f>"065258833"</f>
        <v>065258833</v>
      </c>
      <c r="C9075" t="s">
        <v>50</v>
      </c>
      <c r="D9075" t="s">
        <v>13706</v>
      </c>
      <c r="E9075" t="s">
        <v>4695</v>
      </c>
      <c r="F9075" t="s">
        <v>995</v>
      </c>
      <c r="G9075" t="s">
        <v>13707</v>
      </c>
      <c r="H9075" t="str">
        <f>"ΠΑΛΙΑ ΠΟΛΗ  ΡΕΘΥΜΝΟ"</f>
        <v>ΠΑΛΙΑ ΠΟΛΗ  ΡΕΘΥΜΝΟ</v>
      </c>
      <c r="I9075">
        <v>74100</v>
      </c>
      <c r="J9075">
        <v>2831058506</v>
      </c>
      <c r="K9075">
        <v>6978470872</v>
      </c>
      <c r="N9075" t="s">
        <v>615</v>
      </c>
      <c r="O9075" t="s">
        <v>616</v>
      </c>
      <c r="R9075" t="s">
        <v>57</v>
      </c>
      <c r="S9075">
        <v>7</v>
      </c>
      <c r="T9075">
        <v>231</v>
      </c>
      <c r="U9075" s="1">
        <v>38230</v>
      </c>
      <c r="V9075" t="s">
        <v>66</v>
      </c>
      <c r="W9075" t="s">
        <v>67</v>
      </c>
      <c r="X9075" t="s">
        <v>58</v>
      </c>
      <c r="Y9075">
        <v>22</v>
      </c>
      <c r="Z9075" t="s">
        <v>59</v>
      </c>
      <c r="AA9075" t="s">
        <v>59</v>
      </c>
      <c r="AB9075" t="s">
        <v>59</v>
      </c>
      <c r="AC9075" t="s">
        <v>59</v>
      </c>
      <c r="AD9075" t="s">
        <v>59</v>
      </c>
      <c r="AF9075" s="1">
        <v>38231</v>
      </c>
      <c r="AG9075" t="s">
        <v>8645</v>
      </c>
      <c r="AH9075" t="s">
        <v>8646</v>
      </c>
      <c r="AI9075" t="str">
        <f>"9410069"</f>
        <v>9410069</v>
      </c>
      <c r="AJ9075" t="s">
        <v>12674</v>
      </c>
      <c r="AK9075">
        <v>2831029296</v>
      </c>
      <c r="AL9075" t="s">
        <v>12675</v>
      </c>
      <c r="AM9075" t="s">
        <v>64</v>
      </c>
      <c r="AN9075" t="s">
        <v>65</v>
      </c>
      <c r="AO9075" t="s">
        <v>65</v>
      </c>
      <c r="AP9075" t="s">
        <v>65</v>
      </c>
      <c r="AQ9075">
        <v>1</v>
      </c>
      <c r="AR9075" t="s">
        <v>66</v>
      </c>
      <c r="AS9075" t="s">
        <v>67</v>
      </c>
      <c r="AT9075" t="s">
        <v>58</v>
      </c>
      <c r="AU9075" t="s">
        <v>68</v>
      </c>
      <c r="AV9075" t="s">
        <v>69</v>
      </c>
      <c r="AW9075" s="1">
        <v>29392</v>
      </c>
      <c r="AX9075">
        <v>1</v>
      </c>
    </row>
    <row r="9076" spans="1:50">
      <c r="A9076">
        <v>551426</v>
      </c>
      <c r="B9076" t="str">
        <f>"030797750"</f>
        <v>030797750</v>
      </c>
      <c r="C9076" t="s">
        <v>105</v>
      </c>
      <c r="D9076" t="s">
        <v>13708</v>
      </c>
      <c r="E9076" t="s">
        <v>99</v>
      </c>
      <c r="F9076" t="s">
        <v>474</v>
      </c>
      <c r="G9076" t="s">
        <v>52</v>
      </c>
      <c r="H9076" t="str">
        <f>"ΤΡΙΤΣΗ 3 "</f>
        <v xml:space="preserve">ΤΡΙΤΣΗ 3 </v>
      </c>
      <c r="I9076">
        <v>55132</v>
      </c>
      <c r="J9076">
        <v>2310486413</v>
      </c>
      <c r="K9076">
        <v>6906400375</v>
      </c>
      <c r="N9076" t="s">
        <v>615</v>
      </c>
      <c r="O9076" t="s">
        <v>616</v>
      </c>
      <c r="R9076" t="s">
        <v>57</v>
      </c>
      <c r="S9076">
        <v>19</v>
      </c>
      <c r="T9076">
        <v>271</v>
      </c>
      <c r="U9076" s="1">
        <v>30923</v>
      </c>
      <c r="V9076" t="s">
        <v>66</v>
      </c>
      <c r="W9076" t="s">
        <v>67</v>
      </c>
      <c r="X9076" t="s">
        <v>58</v>
      </c>
      <c r="Y9076">
        <v>21</v>
      </c>
      <c r="Z9076" t="s">
        <v>59</v>
      </c>
      <c r="AA9076" t="s">
        <v>59</v>
      </c>
      <c r="AB9076" t="s">
        <v>59</v>
      </c>
      <c r="AC9076" t="s">
        <v>59</v>
      </c>
      <c r="AD9076" t="s">
        <v>59</v>
      </c>
      <c r="AF9076" s="1">
        <v>30928</v>
      </c>
      <c r="AG9076" t="s">
        <v>8645</v>
      </c>
      <c r="AH9076" t="s">
        <v>8646</v>
      </c>
      <c r="AI9076" t="str">
        <f>"9410150"</f>
        <v>9410150</v>
      </c>
      <c r="AJ9076" t="s">
        <v>12733</v>
      </c>
      <c r="AK9076">
        <v>2831052969</v>
      </c>
      <c r="AL9076" t="s">
        <v>12734</v>
      </c>
      <c r="AM9076" t="s">
        <v>64</v>
      </c>
      <c r="AN9076" t="s">
        <v>65</v>
      </c>
      <c r="AO9076" t="s">
        <v>65</v>
      </c>
      <c r="AP9076" t="s">
        <v>65</v>
      </c>
      <c r="AQ9076">
        <v>1</v>
      </c>
      <c r="AR9076" t="s">
        <v>66</v>
      </c>
      <c r="AS9076" t="s">
        <v>67</v>
      </c>
      <c r="AT9076" t="s">
        <v>58</v>
      </c>
      <c r="AU9076" t="s">
        <v>68</v>
      </c>
      <c r="AV9076" t="s">
        <v>2039</v>
      </c>
      <c r="AW9076" s="1">
        <v>22333</v>
      </c>
      <c r="AX9076">
        <v>1</v>
      </c>
    </row>
    <row r="9077" spans="1:50">
      <c r="A9077">
        <v>617907</v>
      </c>
      <c r="B9077" t="str">
        <f>"110727887"</f>
        <v>110727887</v>
      </c>
      <c r="C9077" t="s">
        <v>105</v>
      </c>
      <c r="D9077" t="s">
        <v>13709</v>
      </c>
      <c r="E9077" t="s">
        <v>95</v>
      </c>
      <c r="F9077" t="s">
        <v>1716</v>
      </c>
      <c r="G9077" t="s">
        <v>83</v>
      </c>
      <c r="H9077" t="str">
        <f>"ΚΟΝΔΥΛΑΚΗ 40 ΗΡΑΚΛΕΙΟ"</f>
        <v>ΚΟΝΔΥΛΑΚΗ 40 ΗΡΑΚΛΕΙΟ</v>
      </c>
      <c r="I9077">
        <v>71305</v>
      </c>
      <c r="J9077">
        <v>2810871591</v>
      </c>
      <c r="K9077">
        <v>6945802754</v>
      </c>
      <c r="N9077" t="s">
        <v>615</v>
      </c>
      <c r="O9077" t="s">
        <v>616</v>
      </c>
      <c r="R9077" t="s">
        <v>57</v>
      </c>
      <c r="S9077">
        <v>7</v>
      </c>
      <c r="T9077">
        <v>774</v>
      </c>
      <c r="U9077" s="1">
        <v>39680</v>
      </c>
      <c r="V9077" t="s">
        <v>66</v>
      </c>
      <c r="W9077" t="s">
        <v>67</v>
      </c>
      <c r="X9077" t="s">
        <v>58</v>
      </c>
      <c r="Y9077">
        <v>23</v>
      </c>
      <c r="Z9077" t="s">
        <v>59</v>
      </c>
      <c r="AA9077" t="s">
        <v>59</v>
      </c>
      <c r="AB9077" t="s">
        <v>59</v>
      </c>
      <c r="AC9077" t="s">
        <v>59</v>
      </c>
      <c r="AD9077" t="s">
        <v>59</v>
      </c>
      <c r="AF9077" s="1">
        <v>39681</v>
      </c>
      <c r="AG9077" t="s">
        <v>8645</v>
      </c>
      <c r="AH9077" t="s">
        <v>8646</v>
      </c>
      <c r="AI9077" t="str">
        <f>"9410226"</f>
        <v>9410226</v>
      </c>
      <c r="AJ9077" t="s">
        <v>12702</v>
      </c>
      <c r="AK9077">
        <v>2831071088</v>
      </c>
      <c r="AL9077" t="s">
        <v>12703</v>
      </c>
      <c r="AM9077" t="s">
        <v>64</v>
      </c>
      <c r="AN9077" t="s">
        <v>65</v>
      </c>
      <c r="AO9077" t="s">
        <v>12694</v>
      </c>
      <c r="AP9077" t="s">
        <v>12704</v>
      </c>
      <c r="AQ9077">
        <v>3</v>
      </c>
      <c r="AR9077" t="s">
        <v>66</v>
      </c>
      <c r="AS9077" t="s">
        <v>67</v>
      </c>
      <c r="AT9077" t="s">
        <v>58</v>
      </c>
      <c r="AU9077" t="s">
        <v>68</v>
      </c>
      <c r="AV9077" t="s">
        <v>69</v>
      </c>
      <c r="AW9077" s="1">
        <v>29541</v>
      </c>
      <c r="AX9077">
        <v>1</v>
      </c>
    </row>
    <row r="9078" spans="1:50">
      <c r="A9078">
        <v>579886</v>
      </c>
      <c r="B9078" t="str">
        <f>"051173212"</f>
        <v>051173212</v>
      </c>
      <c r="C9078" t="s">
        <v>105</v>
      </c>
      <c r="D9078" t="s">
        <v>13710</v>
      </c>
      <c r="E9078" t="s">
        <v>782</v>
      </c>
      <c r="F9078" t="s">
        <v>95</v>
      </c>
      <c r="G9078" t="s">
        <v>96</v>
      </c>
      <c r="H9078" t="str">
        <f>"ΜΕΛΑΜΠΕΣ ΜΕΛΑΜΠΕΣ-ΡΕΘΥΜΝΟΥ"</f>
        <v>ΜΕΛΑΜΠΕΣ ΜΕΛΑΜΠΕΣ-ΡΕΘΥΜΝΟΥ</v>
      </c>
      <c r="I9078">
        <v>74053</v>
      </c>
      <c r="J9078">
        <v>2832041118</v>
      </c>
      <c r="K9078">
        <v>6942834082</v>
      </c>
      <c r="M9078" t="s">
        <v>13711</v>
      </c>
      <c r="N9078" t="s">
        <v>1525</v>
      </c>
      <c r="O9078" t="s">
        <v>1526</v>
      </c>
      <c r="R9078" t="s">
        <v>57</v>
      </c>
      <c r="S9078">
        <v>13</v>
      </c>
      <c r="T9078">
        <v>165</v>
      </c>
      <c r="U9078" s="1">
        <v>35300</v>
      </c>
      <c r="V9078" t="s">
        <v>66</v>
      </c>
      <c r="W9078" t="s">
        <v>67</v>
      </c>
      <c r="X9078" t="s">
        <v>58</v>
      </c>
      <c r="Y9078">
        <v>25</v>
      </c>
      <c r="Z9078" t="s">
        <v>59</v>
      </c>
      <c r="AA9078" t="s">
        <v>59</v>
      </c>
      <c r="AB9078" t="s">
        <v>59</v>
      </c>
      <c r="AC9078" t="s">
        <v>59</v>
      </c>
      <c r="AD9078" t="s">
        <v>59</v>
      </c>
      <c r="AF9078" s="1">
        <v>35310</v>
      </c>
      <c r="AG9078" t="s">
        <v>8651</v>
      </c>
      <c r="AH9078" t="s">
        <v>8652</v>
      </c>
      <c r="AI9078" t="str">
        <f>"9410110"</f>
        <v>9410110</v>
      </c>
      <c r="AJ9078" t="s">
        <v>13712</v>
      </c>
      <c r="AK9078">
        <v>2832041559</v>
      </c>
      <c r="AL9078" t="s">
        <v>13713</v>
      </c>
      <c r="AM9078" t="s">
        <v>64</v>
      </c>
      <c r="AN9078" t="s">
        <v>5882</v>
      </c>
      <c r="AO9078" t="s">
        <v>5883</v>
      </c>
      <c r="AP9078" t="s">
        <v>13004</v>
      </c>
      <c r="AQ9078">
        <v>6</v>
      </c>
      <c r="AR9078" t="s">
        <v>66</v>
      </c>
      <c r="AS9078" t="s">
        <v>67</v>
      </c>
      <c r="AT9078" t="s">
        <v>58</v>
      </c>
      <c r="AU9078" t="s">
        <v>68</v>
      </c>
      <c r="AV9078" t="s">
        <v>69</v>
      </c>
      <c r="AW9078" s="1">
        <v>24019</v>
      </c>
      <c r="AX9078">
        <v>1</v>
      </c>
    </row>
    <row r="9079" spans="1:50">
      <c r="A9079">
        <v>596583</v>
      </c>
      <c r="B9079" t="str">
        <f>"058586501"</f>
        <v>058586501</v>
      </c>
      <c r="C9079" t="s">
        <v>105</v>
      </c>
      <c r="D9079" t="s">
        <v>13710</v>
      </c>
      <c r="E9079" t="s">
        <v>95</v>
      </c>
      <c r="F9079" t="s">
        <v>13714</v>
      </c>
      <c r="G9079" t="s">
        <v>4375</v>
      </c>
      <c r="H9079" t="str">
        <f>"Α. ΠΑΠΑΔΑΚΗ    16 ΡΕΘΥΜΝΟ"</f>
        <v>Α. ΠΑΠΑΔΑΚΗ    16 ΡΕΘΥΜΝΟ</v>
      </c>
      <c r="I9079">
        <v>74100</v>
      </c>
      <c r="J9079">
        <v>2831025430</v>
      </c>
      <c r="K9079">
        <v>6979671479</v>
      </c>
      <c r="L9079">
        <v>2831056465</v>
      </c>
      <c r="M9079" t="s">
        <v>13715</v>
      </c>
      <c r="N9079" t="s">
        <v>615</v>
      </c>
      <c r="O9079" t="s">
        <v>616</v>
      </c>
      <c r="R9079" t="s">
        <v>57</v>
      </c>
      <c r="S9079">
        <v>9</v>
      </c>
      <c r="T9079">
        <v>195</v>
      </c>
      <c r="U9079" s="1">
        <v>37497</v>
      </c>
      <c r="V9079" t="s">
        <v>66</v>
      </c>
      <c r="W9079" t="s">
        <v>67</v>
      </c>
      <c r="X9079" t="s">
        <v>58</v>
      </c>
      <c r="Y9079">
        <v>22</v>
      </c>
      <c r="Z9079" t="s">
        <v>59</v>
      </c>
      <c r="AA9079" t="s">
        <v>59</v>
      </c>
      <c r="AB9079" t="s">
        <v>59</v>
      </c>
      <c r="AC9079" t="s">
        <v>59</v>
      </c>
      <c r="AD9079" t="s">
        <v>59</v>
      </c>
      <c r="AF9079" s="1">
        <v>37501</v>
      </c>
      <c r="AG9079" t="s">
        <v>8645</v>
      </c>
      <c r="AH9079" t="s">
        <v>8646</v>
      </c>
      <c r="AI9079" t="str">
        <f>"9410061"</f>
        <v>9410061</v>
      </c>
      <c r="AJ9079" t="s">
        <v>12760</v>
      </c>
      <c r="AK9079">
        <v>2831024378</v>
      </c>
      <c r="AL9079" t="s">
        <v>12761</v>
      </c>
      <c r="AM9079" t="s">
        <v>64</v>
      </c>
      <c r="AN9079" t="s">
        <v>65</v>
      </c>
      <c r="AO9079" t="s">
        <v>65</v>
      </c>
      <c r="AP9079" t="s">
        <v>65</v>
      </c>
      <c r="AQ9079">
        <v>1</v>
      </c>
      <c r="AR9079" t="s">
        <v>66</v>
      </c>
      <c r="AS9079" t="s">
        <v>67</v>
      </c>
      <c r="AT9079" t="s">
        <v>58</v>
      </c>
      <c r="AU9079" t="s">
        <v>68</v>
      </c>
      <c r="AV9079" t="s">
        <v>69</v>
      </c>
      <c r="AW9079" s="1">
        <v>24491</v>
      </c>
      <c r="AX9079">
        <v>1</v>
      </c>
    </row>
    <row r="9080" spans="1:50">
      <c r="A9080">
        <v>596582</v>
      </c>
      <c r="B9080" t="str">
        <f>"131454220"</f>
        <v>131454220</v>
      </c>
      <c r="C9080" t="s">
        <v>105</v>
      </c>
      <c r="D9080" t="s">
        <v>13710</v>
      </c>
      <c r="E9080" t="s">
        <v>166</v>
      </c>
      <c r="F9080" t="s">
        <v>13714</v>
      </c>
      <c r="G9080" t="s">
        <v>1355</v>
      </c>
      <c r="H9080" t="str">
        <f>" "</f>
        <v xml:space="preserve"> </v>
      </c>
      <c r="N9080" t="s">
        <v>615</v>
      </c>
      <c r="O9080" t="s">
        <v>616</v>
      </c>
      <c r="R9080" t="s">
        <v>57</v>
      </c>
      <c r="S9080">
        <v>7</v>
      </c>
      <c r="T9080">
        <v>195</v>
      </c>
      <c r="U9080" s="1">
        <v>37497</v>
      </c>
      <c r="V9080" t="s">
        <v>66</v>
      </c>
      <c r="W9080" t="s">
        <v>67</v>
      </c>
      <c r="X9080" t="s">
        <v>58</v>
      </c>
      <c r="Y9080">
        <v>22</v>
      </c>
      <c r="Z9080" t="s">
        <v>59</v>
      </c>
      <c r="AA9080" t="s">
        <v>59</v>
      </c>
      <c r="AB9080" t="s">
        <v>59</v>
      </c>
      <c r="AC9080" t="s">
        <v>59</v>
      </c>
      <c r="AD9080" t="s">
        <v>59</v>
      </c>
      <c r="AF9080" s="1">
        <v>37501</v>
      </c>
      <c r="AG9080" t="s">
        <v>60</v>
      </c>
      <c r="AH9080" t="s">
        <v>453</v>
      </c>
      <c r="AI9080" t="str">
        <f>"9941101"</f>
        <v>9941101</v>
      </c>
      <c r="AJ9080" t="s">
        <v>67</v>
      </c>
      <c r="AK9080">
        <v>2831022325</v>
      </c>
      <c r="AL9080" t="s">
        <v>12931</v>
      </c>
      <c r="AM9080" t="s">
        <v>64</v>
      </c>
      <c r="AN9080" t="s">
        <v>65</v>
      </c>
      <c r="AO9080" t="s">
        <v>65</v>
      </c>
      <c r="AP9080" t="s">
        <v>65</v>
      </c>
      <c r="AS9080" t="s">
        <v>67</v>
      </c>
      <c r="AT9080" t="s">
        <v>58</v>
      </c>
      <c r="AU9080" t="s">
        <v>68</v>
      </c>
      <c r="AV9080" t="s">
        <v>455</v>
      </c>
      <c r="AW9080" s="1">
        <v>24491</v>
      </c>
      <c r="AX9080">
        <v>1</v>
      </c>
    </row>
    <row r="9081" spans="1:50">
      <c r="B9081" t="str">
        <f>"142700476"</f>
        <v>142700476</v>
      </c>
      <c r="C9081" t="s">
        <v>50</v>
      </c>
      <c r="D9081" t="s">
        <v>11587</v>
      </c>
      <c r="E9081" t="s">
        <v>506</v>
      </c>
      <c r="F9081" t="s">
        <v>95</v>
      </c>
      <c r="G9081" t="s">
        <v>1755</v>
      </c>
      <c r="H9081" t="str">
        <f>"ΒΑΛΤΕΤΣΙΟΥ 135 ΠΕΤΡΟΥΠΟΛΗ  -ΑΘΗΝΑ"</f>
        <v>ΒΑΛΤΕΤΣΙΟΥ 135 ΠΕΤΡΟΥΠΟΛΗ  -ΑΘΗΝΑ</v>
      </c>
      <c r="I9081">
        <v>13231</v>
      </c>
      <c r="J9081">
        <v>2105017685</v>
      </c>
      <c r="K9081">
        <v>6973705606</v>
      </c>
      <c r="N9081" t="s">
        <v>8834</v>
      </c>
      <c r="O9081" t="s">
        <v>8695</v>
      </c>
      <c r="R9081" t="s">
        <v>159</v>
      </c>
      <c r="S9081">
        <v>4</v>
      </c>
      <c r="T9081" t="s">
        <v>8696</v>
      </c>
      <c r="U9081" s="1">
        <v>43348</v>
      </c>
      <c r="V9081" t="s">
        <v>66</v>
      </c>
      <c r="W9081" t="s">
        <v>67</v>
      </c>
      <c r="X9081" t="s">
        <v>58</v>
      </c>
      <c r="Y9081">
        <v>24</v>
      </c>
      <c r="Z9081" t="s">
        <v>59</v>
      </c>
      <c r="AA9081" t="s">
        <v>59</v>
      </c>
      <c r="AB9081" t="s">
        <v>59</v>
      </c>
      <c r="AC9081" t="s">
        <v>59</v>
      </c>
      <c r="AD9081" t="s">
        <v>59</v>
      </c>
      <c r="AF9081" s="1">
        <v>43348</v>
      </c>
      <c r="AG9081" t="s">
        <v>8645</v>
      </c>
      <c r="AH9081" t="s">
        <v>8646</v>
      </c>
      <c r="AI9081" t="str">
        <f>"9521348"</f>
        <v>9521348</v>
      </c>
      <c r="AJ9081" t="s">
        <v>12714</v>
      </c>
      <c r="AK9081">
        <v>2831021334</v>
      </c>
      <c r="AL9081" t="s">
        <v>12715</v>
      </c>
      <c r="AM9081" t="s">
        <v>64</v>
      </c>
      <c r="AN9081" t="s">
        <v>65</v>
      </c>
      <c r="AO9081" t="s">
        <v>5720</v>
      </c>
      <c r="AP9081" t="s">
        <v>5721</v>
      </c>
      <c r="AQ9081">
        <v>2</v>
      </c>
      <c r="AR9081" t="s">
        <v>66</v>
      </c>
      <c r="AS9081" t="s">
        <v>67</v>
      </c>
      <c r="AT9081" t="s">
        <v>58</v>
      </c>
      <c r="AU9081" t="s">
        <v>350</v>
      </c>
      <c r="AV9081" t="s">
        <v>132</v>
      </c>
      <c r="AW9081" s="1">
        <v>32285</v>
      </c>
      <c r="AX9081">
        <v>1</v>
      </c>
    </row>
    <row r="9082" spans="1:50">
      <c r="A9082">
        <v>594074</v>
      </c>
      <c r="B9082" t="str">
        <f>"076144430"</f>
        <v>076144430</v>
      </c>
      <c r="C9082" t="s">
        <v>50</v>
      </c>
      <c r="D9082" t="s">
        <v>13716</v>
      </c>
      <c r="E9082" t="s">
        <v>1694</v>
      </c>
      <c r="F9082" t="s">
        <v>936</v>
      </c>
      <c r="G9082" t="s">
        <v>801</v>
      </c>
      <c r="H9082" t="str">
        <f>"Ατσιπόπουλο Ρέθυμνο"</f>
        <v>Ατσιπόπουλο Ρέθυμνο</v>
      </c>
      <c r="I9082">
        <v>74100</v>
      </c>
      <c r="J9082">
        <v>2831058665</v>
      </c>
      <c r="K9082">
        <v>6937706712</v>
      </c>
      <c r="M9082" t="s">
        <v>13717</v>
      </c>
      <c r="N9082" t="s">
        <v>615</v>
      </c>
      <c r="O9082" t="s">
        <v>616</v>
      </c>
      <c r="R9082" t="s">
        <v>57</v>
      </c>
      <c r="S9082">
        <v>11</v>
      </c>
      <c r="T9082">
        <v>218</v>
      </c>
      <c r="U9082" s="1">
        <v>37134</v>
      </c>
      <c r="V9082" t="s">
        <v>66</v>
      </c>
      <c r="W9082" t="s">
        <v>67</v>
      </c>
      <c r="X9082" t="s">
        <v>58</v>
      </c>
      <c r="Y9082">
        <v>22</v>
      </c>
      <c r="Z9082" t="s">
        <v>59</v>
      </c>
      <c r="AA9082" t="s">
        <v>59</v>
      </c>
      <c r="AB9082" t="s">
        <v>59</v>
      </c>
      <c r="AC9082" t="s">
        <v>59</v>
      </c>
      <c r="AD9082" t="s">
        <v>59</v>
      </c>
      <c r="AF9082" s="1">
        <v>37138</v>
      </c>
      <c r="AG9082" t="s">
        <v>8645</v>
      </c>
      <c r="AH9082" t="s">
        <v>8646</v>
      </c>
      <c r="AI9082" t="str">
        <f>"9410166"</f>
        <v>9410166</v>
      </c>
      <c r="AJ9082" t="s">
        <v>12666</v>
      </c>
      <c r="AK9082">
        <v>2831031311</v>
      </c>
      <c r="AL9082" t="s">
        <v>12667</v>
      </c>
      <c r="AM9082" t="s">
        <v>64</v>
      </c>
      <c r="AN9082" t="s">
        <v>65</v>
      </c>
      <c r="AO9082" t="s">
        <v>5720</v>
      </c>
      <c r="AP9082" t="s">
        <v>5721</v>
      </c>
      <c r="AQ9082">
        <v>2</v>
      </c>
      <c r="AR9082" t="s">
        <v>66</v>
      </c>
      <c r="AS9082" t="s">
        <v>67</v>
      </c>
      <c r="AT9082" t="s">
        <v>58</v>
      </c>
      <c r="AU9082" t="s">
        <v>68</v>
      </c>
      <c r="AV9082" t="s">
        <v>2039</v>
      </c>
      <c r="AW9082" s="1">
        <v>26820</v>
      </c>
      <c r="AX9082">
        <v>1</v>
      </c>
    </row>
    <row r="9083" spans="1:50">
      <c r="B9083" t="str">
        <f>"132143346"</f>
        <v>132143346</v>
      </c>
      <c r="C9083" t="s">
        <v>50</v>
      </c>
      <c r="D9083" t="s">
        <v>13718</v>
      </c>
      <c r="E9083" t="s">
        <v>250</v>
      </c>
      <c r="F9083" t="s">
        <v>95</v>
      </c>
      <c r="G9083" t="s">
        <v>181</v>
      </c>
      <c r="H9083" t="str">
        <f>"ΠΛΑΤΕΙΑ ΔΙΟΙΚΗΤΗΡΙΟΥ 7 "</f>
        <v xml:space="preserve">ΠΛΑΤΕΙΑ ΔΙΟΙΚΗΤΗΡΙΟΥ 7 </v>
      </c>
      <c r="I9083">
        <v>59200</v>
      </c>
      <c r="J9083">
        <v>2332025611</v>
      </c>
      <c r="K9083">
        <v>6995161699</v>
      </c>
      <c r="N9083" t="s">
        <v>615</v>
      </c>
      <c r="O9083" t="s">
        <v>616</v>
      </c>
      <c r="R9083" t="s">
        <v>159</v>
      </c>
      <c r="S9083">
        <v>3</v>
      </c>
      <c r="T9083" t="s">
        <v>8675</v>
      </c>
      <c r="U9083" s="1">
        <v>43348</v>
      </c>
      <c r="V9083" t="s">
        <v>66</v>
      </c>
      <c r="W9083" t="s">
        <v>67</v>
      </c>
      <c r="X9083" t="s">
        <v>58</v>
      </c>
      <c r="Y9083">
        <v>24</v>
      </c>
      <c r="Z9083" t="s">
        <v>59</v>
      </c>
      <c r="AA9083" t="s">
        <v>59</v>
      </c>
      <c r="AB9083" t="s">
        <v>59</v>
      </c>
      <c r="AC9083" t="s">
        <v>59</v>
      </c>
      <c r="AD9083" t="s">
        <v>59</v>
      </c>
      <c r="AF9083" s="1">
        <v>43348</v>
      </c>
      <c r="AG9083" t="s">
        <v>8645</v>
      </c>
      <c r="AH9083" t="s">
        <v>8646</v>
      </c>
      <c r="AI9083" t="str">
        <f>"9410044"</f>
        <v>9410044</v>
      </c>
      <c r="AJ9083" t="s">
        <v>13257</v>
      </c>
      <c r="AK9083">
        <v>2834094218</v>
      </c>
      <c r="AL9083" t="s">
        <v>13258</v>
      </c>
      <c r="AM9083" t="s">
        <v>64</v>
      </c>
      <c r="AN9083" t="s">
        <v>5672</v>
      </c>
      <c r="AO9083" t="s">
        <v>5673</v>
      </c>
      <c r="AP9083" t="s">
        <v>13259</v>
      </c>
      <c r="AQ9083">
        <v>10</v>
      </c>
      <c r="AR9083" t="s">
        <v>66</v>
      </c>
      <c r="AS9083" t="s">
        <v>67</v>
      </c>
      <c r="AT9083" t="s">
        <v>58</v>
      </c>
      <c r="AU9083" t="s">
        <v>8673</v>
      </c>
      <c r="AV9083" t="s">
        <v>132</v>
      </c>
      <c r="AW9083" s="1">
        <v>31702</v>
      </c>
      <c r="AX9083">
        <v>1</v>
      </c>
    </row>
    <row r="9084" spans="1:50">
      <c r="A9084">
        <v>199170</v>
      </c>
      <c r="B9084" t="str">
        <f>"073455496"</f>
        <v>073455496</v>
      </c>
      <c r="C9084" t="s">
        <v>105</v>
      </c>
      <c r="D9084" t="s">
        <v>6608</v>
      </c>
      <c r="E9084" t="s">
        <v>166</v>
      </c>
      <c r="F9084" t="s">
        <v>154</v>
      </c>
      <c r="G9084" t="s">
        <v>868</v>
      </c>
      <c r="H9084" t="str">
        <f>"ΚΟΛΟΚΟΤΡΩΝΗ  40 ΡΕΘΥΜΝΟ"</f>
        <v>ΚΟΛΟΚΟΤΡΩΝΗ  40 ΡΕΘΥΜΝΟ</v>
      </c>
      <c r="I9084">
        <v>74100</v>
      </c>
      <c r="J9084">
        <v>2831055643</v>
      </c>
      <c r="K9084">
        <v>6932787524</v>
      </c>
      <c r="M9084" t="s">
        <v>13719</v>
      </c>
      <c r="N9084" t="s">
        <v>176</v>
      </c>
      <c r="O9084" t="s">
        <v>177</v>
      </c>
      <c r="R9084" t="s">
        <v>57</v>
      </c>
      <c r="S9084">
        <v>9</v>
      </c>
      <c r="T9084">
        <v>206</v>
      </c>
      <c r="U9084" s="1">
        <v>37866</v>
      </c>
      <c r="V9084" t="s">
        <v>66</v>
      </c>
      <c r="W9084" t="s">
        <v>67</v>
      </c>
      <c r="X9084" t="s">
        <v>58</v>
      </c>
      <c r="Y9084">
        <v>22</v>
      </c>
      <c r="Z9084" t="s">
        <v>59</v>
      </c>
      <c r="AA9084" t="s">
        <v>59</v>
      </c>
      <c r="AB9084" t="s">
        <v>59</v>
      </c>
      <c r="AC9084" t="s">
        <v>59</v>
      </c>
      <c r="AD9084" t="s">
        <v>59</v>
      </c>
      <c r="AF9084" s="1">
        <v>37866</v>
      </c>
      <c r="AG9084" t="s">
        <v>8645</v>
      </c>
      <c r="AH9084" t="s">
        <v>8646</v>
      </c>
      <c r="AI9084" t="str">
        <f>"9410241"</f>
        <v>9410241</v>
      </c>
      <c r="AJ9084" t="s">
        <v>12783</v>
      </c>
      <c r="AK9084">
        <v>2831022616</v>
      </c>
      <c r="AL9084" t="s">
        <v>12784</v>
      </c>
      <c r="AM9084" t="s">
        <v>64</v>
      </c>
      <c r="AN9084" t="s">
        <v>65</v>
      </c>
      <c r="AO9084" t="s">
        <v>65</v>
      </c>
      <c r="AP9084" t="s">
        <v>65</v>
      </c>
      <c r="AQ9084">
        <v>1</v>
      </c>
      <c r="AR9084" t="s">
        <v>66</v>
      </c>
      <c r="AS9084" t="s">
        <v>67</v>
      </c>
      <c r="AT9084" t="s">
        <v>58</v>
      </c>
      <c r="AU9084" t="s">
        <v>68</v>
      </c>
      <c r="AV9084" t="s">
        <v>69</v>
      </c>
      <c r="AW9084" s="1">
        <v>25565</v>
      </c>
      <c r="AX9084">
        <v>1</v>
      </c>
    </row>
    <row r="9085" spans="1:50">
      <c r="A9085">
        <v>586158</v>
      </c>
      <c r="B9085" t="str">
        <f>"044590539"</f>
        <v>044590539</v>
      </c>
      <c r="C9085" t="s">
        <v>105</v>
      </c>
      <c r="D9085" t="s">
        <v>6608</v>
      </c>
      <c r="E9085" t="s">
        <v>496</v>
      </c>
      <c r="F9085" t="s">
        <v>1023</v>
      </c>
      <c r="G9085" t="s">
        <v>52</v>
      </c>
      <c r="H9085" t="str">
        <f>" "</f>
        <v xml:space="preserve"> </v>
      </c>
      <c r="N9085" t="s">
        <v>615</v>
      </c>
      <c r="O9085" t="s">
        <v>616</v>
      </c>
      <c r="R9085" t="s">
        <v>57</v>
      </c>
      <c r="S9085">
        <v>12</v>
      </c>
      <c r="T9085">
        <v>165</v>
      </c>
      <c r="U9085" s="1">
        <v>36040</v>
      </c>
      <c r="V9085" t="s">
        <v>66</v>
      </c>
      <c r="W9085" t="s">
        <v>67</v>
      </c>
      <c r="X9085" t="s">
        <v>58</v>
      </c>
      <c r="Y9085">
        <v>21</v>
      </c>
      <c r="Z9085" t="s">
        <v>59</v>
      </c>
      <c r="AA9085" t="s">
        <v>59</v>
      </c>
      <c r="AB9085" t="s">
        <v>59</v>
      </c>
      <c r="AC9085" t="s">
        <v>59</v>
      </c>
      <c r="AD9085" t="s">
        <v>59</v>
      </c>
      <c r="AF9085" s="1">
        <v>36040</v>
      </c>
      <c r="AG9085" t="s">
        <v>8645</v>
      </c>
      <c r="AH9085" t="s">
        <v>8646</v>
      </c>
      <c r="AI9085" t="str">
        <f>"9410061"</f>
        <v>9410061</v>
      </c>
      <c r="AJ9085" t="s">
        <v>12760</v>
      </c>
      <c r="AK9085">
        <v>2831024378</v>
      </c>
      <c r="AL9085" t="s">
        <v>12761</v>
      </c>
      <c r="AM9085" t="s">
        <v>64</v>
      </c>
      <c r="AN9085" t="s">
        <v>65</v>
      </c>
      <c r="AO9085" t="s">
        <v>65</v>
      </c>
      <c r="AP9085" t="s">
        <v>65</v>
      </c>
      <c r="AQ9085">
        <v>1</v>
      </c>
      <c r="AR9085" t="s">
        <v>66</v>
      </c>
      <c r="AS9085" t="s">
        <v>67</v>
      </c>
      <c r="AT9085" t="s">
        <v>58</v>
      </c>
      <c r="AU9085" t="s">
        <v>68</v>
      </c>
      <c r="AV9085" t="s">
        <v>69</v>
      </c>
      <c r="AW9085" s="1">
        <v>24644</v>
      </c>
      <c r="AX9085">
        <v>1</v>
      </c>
    </row>
    <row r="9086" spans="1:50">
      <c r="A9086">
        <v>603811</v>
      </c>
      <c r="B9086" t="str">
        <f>"065720002"</f>
        <v>065720002</v>
      </c>
      <c r="C9086" t="s">
        <v>105</v>
      </c>
      <c r="D9086" t="s">
        <v>13720</v>
      </c>
      <c r="E9086" t="s">
        <v>92</v>
      </c>
      <c r="F9086" t="s">
        <v>72</v>
      </c>
      <c r="G9086" t="s">
        <v>1345</v>
      </c>
      <c r="H9086" t="str">
        <f>"ΚΑΠΟΔΙΣΤΡΙΟΥ 7 ΡΕΘΥΜΝΟ"</f>
        <v>ΚΑΠΟΔΙΣΤΡΙΟΥ 7 ΡΕΘΥΜΝΟ</v>
      </c>
      <c r="I9086">
        <v>74100</v>
      </c>
      <c r="J9086">
        <v>2831036191</v>
      </c>
      <c r="K9086">
        <v>6936135030</v>
      </c>
      <c r="M9086" t="s">
        <v>13721</v>
      </c>
      <c r="N9086" t="s">
        <v>615</v>
      </c>
      <c r="O9086" t="s">
        <v>616</v>
      </c>
      <c r="R9086" t="s">
        <v>57</v>
      </c>
      <c r="S9086">
        <v>9</v>
      </c>
      <c r="T9086">
        <v>231</v>
      </c>
      <c r="U9086" s="1">
        <v>38230</v>
      </c>
      <c r="V9086" t="s">
        <v>66</v>
      </c>
      <c r="W9086" t="s">
        <v>67</v>
      </c>
      <c r="X9086" t="s">
        <v>58</v>
      </c>
      <c r="Y9086">
        <v>22</v>
      </c>
      <c r="Z9086" t="s">
        <v>59</v>
      </c>
      <c r="AA9086" t="s">
        <v>59</v>
      </c>
      <c r="AB9086" t="s">
        <v>59</v>
      </c>
      <c r="AC9086" t="s">
        <v>59</v>
      </c>
      <c r="AD9086" t="s">
        <v>59</v>
      </c>
      <c r="AF9086" s="1">
        <v>38231</v>
      </c>
      <c r="AG9086" t="s">
        <v>8645</v>
      </c>
      <c r="AH9086" t="s">
        <v>8646</v>
      </c>
      <c r="AI9086" t="str">
        <f>"9410166"</f>
        <v>9410166</v>
      </c>
      <c r="AJ9086" t="s">
        <v>12666</v>
      </c>
      <c r="AK9086">
        <v>2831031311</v>
      </c>
      <c r="AL9086" t="s">
        <v>12667</v>
      </c>
      <c r="AM9086" t="s">
        <v>64</v>
      </c>
      <c r="AN9086" t="s">
        <v>65</v>
      </c>
      <c r="AO9086" t="s">
        <v>5720</v>
      </c>
      <c r="AP9086" t="s">
        <v>5721</v>
      </c>
      <c r="AQ9086">
        <v>2</v>
      </c>
      <c r="AR9086" t="s">
        <v>66</v>
      </c>
      <c r="AS9086" t="s">
        <v>67</v>
      </c>
      <c r="AT9086" t="s">
        <v>58</v>
      </c>
      <c r="AU9086" t="s">
        <v>68</v>
      </c>
      <c r="AV9086" t="s">
        <v>69</v>
      </c>
      <c r="AW9086" s="1">
        <v>27370</v>
      </c>
      <c r="AX9086">
        <v>1</v>
      </c>
    </row>
    <row r="9087" spans="1:50">
      <c r="B9087" t="str">
        <f>"119198406"</f>
        <v>119198406</v>
      </c>
      <c r="C9087" t="s">
        <v>105</v>
      </c>
      <c r="D9087" t="s">
        <v>13722</v>
      </c>
      <c r="E9087" t="s">
        <v>10702</v>
      </c>
      <c r="F9087" t="s">
        <v>53</v>
      </c>
      <c r="G9087" t="s">
        <v>934</v>
      </c>
      <c r="H9087" t="str">
        <f>"ΚΙΛΚΙΣ 36 "</f>
        <v xml:space="preserve">ΚΙΛΚΙΣ 36 </v>
      </c>
      <c r="I9087">
        <v>14231</v>
      </c>
      <c r="J9087">
        <v>2102796086</v>
      </c>
      <c r="K9087">
        <v>6978699653</v>
      </c>
      <c r="N9087" t="s">
        <v>337</v>
      </c>
      <c r="O9087" t="s">
        <v>338</v>
      </c>
      <c r="R9087" t="s">
        <v>159</v>
      </c>
      <c r="S9087">
        <v>5</v>
      </c>
      <c r="T9087" t="s">
        <v>8675</v>
      </c>
      <c r="U9087" s="1">
        <v>43348</v>
      </c>
      <c r="V9087" t="s">
        <v>66</v>
      </c>
      <c r="W9087" t="s">
        <v>67</v>
      </c>
      <c r="X9087" t="s">
        <v>58</v>
      </c>
      <c r="Y9087">
        <v>24</v>
      </c>
      <c r="Z9087" t="s">
        <v>59</v>
      </c>
      <c r="AA9087" t="s">
        <v>59</v>
      </c>
      <c r="AB9087" t="s">
        <v>59</v>
      </c>
      <c r="AC9087" t="s">
        <v>59</v>
      </c>
      <c r="AD9087" t="s">
        <v>59</v>
      </c>
      <c r="AF9087" s="1">
        <v>43348</v>
      </c>
      <c r="AG9087" t="s">
        <v>8645</v>
      </c>
      <c r="AH9087" t="s">
        <v>8646</v>
      </c>
      <c r="AI9087" t="str">
        <f>"9410166"</f>
        <v>9410166</v>
      </c>
      <c r="AJ9087" t="s">
        <v>12666</v>
      </c>
      <c r="AK9087">
        <v>2831031311</v>
      </c>
      <c r="AL9087" t="s">
        <v>12667</v>
      </c>
      <c r="AM9087" t="s">
        <v>64</v>
      </c>
      <c r="AN9087" t="s">
        <v>65</v>
      </c>
      <c r="AO9087" t="s">
        <v>5720</v>
      </c>
      <c r="AP9087" t="s">
        <v>5721</v>
      </c>
      <c r="AQ9087">
        <v>2</v>
      </c>
      <c r="AR9087" t="s">
        <v>66</v>
      </c>
      <c r="AS9087" t="s">
        <v>67</v>
      </c>
      <c r="AT9087" t="s">
        <v>58</v>
      </c>
      <c r="AU9087" t="s">
        <v>8673</v>
      </c>
      <c r="AV9087" t="s">
        <v>132</v>
      </c>
      <c r="AW9087" s="1">
        <v>29785</v>
      </c>
      <c r="AX9087">
        <v>1</v>
      </c>
    </row>
    <row r="9088" spans="1:50">
      <c r="A9088">
        <v>588069</v>
      </c>
      <c r="B9088" t="str">
        <f>"044811040"</f>
        <v>044811040</v>
      </c>
      <c r="C9088" t="s">
        <v>50</v>
      </c>
      <c r="D9088" t="s">
        <v>11625</v>
      </c>
      <c r="E9088" t="s">
        <v>54</v>
      </c>
      <c r="F9088" t="s">
        <v>99</v>
      </c>
      <c r="G9088" t="s">
        <v>52</v>
      </c>
      <c r="H9088" t="str">
        <f>"ΠΑΡΟΔΟΣ ΚΟΝΔΥΛΑΚΗ ΡΕΘΥΜΝΟ"</f>
        <v>ΠΑΡΟΔΟΣ ΚΟΝΔΥΛΑΚΗ ΡΕΘΥΜΝΟ</v>
      </c>
      <c r="I9088">
        <v>74100</v>
      </c>
      <c r="J9088">
        <v>2831057281</v>
      </c>
      <c r="K9088">
        <v>6936603885</v>
      </c>
      <c r="M9088" t="s">
        <v>13723</v>
      </c>
      <c r="N9088" t="s">
        <v>1525</v>
      </c>
      <c r="O9088" t="s">
        <v>1526</v>
      </c>
      <c r="P9088" t="s">
        <v>146</v>
      </c>
      <c r="Q9088" t="s">
        <v>147</v>
      </c>
      <c r="R9088" t="s">
        <v>57</v>
      </c>
      <c r="S9088">
        <v>9</v>
      </c>
      <c r="T9088">
        <v>250</v>
      </c>
      <c r="U9088" s="1">
        <v>36160</v>
      </c>
      <c r="V9088" t="s">
        <v>66</v>
      </c>
      <c r="W9088" t="s">
        <v>67</v>
      </c>
      <c r="X9088" t="s">
        <v>58</v>
      </c>
      <c r="Y9088">
        <v>25</v>
      </c>
      <c r="Z9088" t="s">
        <v>59</v>
      </c>
      <c r="AA9088" t="s">
        <v>59</v>
      </c>
      <c r="AB9088" t="s">
        <v>59</v>
      </c>
      <c r="AC9088" t="s">
        <v>59</v>
      </c>
      <c r="AD9088" t="s">
        <v>59</v>
      </c>
      <c r="AF9088" s="1">
        <v>36171</v>
      </c>
      <c r="AG9088" t="s">
        <v>8651</v>
      </c>
      <c r="AH9088" t="s">
        <v>8652</v>
      </c>
      <c r="AI9088" t="str">
        <f>"9410206"</f>
        <v>9410206</v>
      </c>
      <c r="AJ9088" t="s">
        <v>13319</v>
      </c>
      <c r="AK9088">
        <v>2831023219</v>
      </c>
      <c r="AL9088" t="s">
        <v>13320</v>
      </c>
      <c r="AM9088" t="s">
        <v>64</v>
      </c>
      <c r="AN9088" t="s">
        <v>65</v>
      </c>
      <c r="AO9088" t="s">
        <v>12694</v>
      </c>
      <c r="AP9088" t="s">
        <v>13321</v>
      </c>
      <c r="AQ9088">
        <v>1</v>
      </c>
      <c r="AR9088" t="s">
        <v>66</v>
      </c>
      <c r="AS9088" t="s">
        <v>67</v>
      </c>
      <c r="AT9088" t="s">
        <v>58</v>
      </c>
      <c r="AU9088" t="s">
        <v>68</v>
      </c>
      <c r="AV9088" t="s">
        <v>69</v>
      </c>
      <c r="AW9088" s="1">
        <v>26081</v>
      </c>
      <c r="AX9088">
        <v>1</v>
      </c>
    </row>
    <row r="9089" spans="1:50">
      <c r="A9089">
        <v>577584</v>
      </c>
      <c r="B9089" t="str">
        <f>"065483538"</f>
        <v>065483538</v>
      </c>
      <c r="C9089" t="s">
        <v>50</v>
      </c>
      <c r="D9089" t="s">
        <v>4086</v>
      </c>
      <c r="E9089" t="s">
        <v>215</v>
      </c>
      <c r="F9089" t="s">
        <v>315</v>
      </c>
      <c r="G9089" t="s">
        <v>52</v>
      </c>
      <c r="H9089" t="str">
        <f>"ΓΙΑΝΝΗ  ΡΙΤΣΟΥ 3  ΡΕΘΥΜΝΟ"</f>
        <v>ΓΙΑΝΝΗ  ΡΙΤΣΟΥ 3  ΡΕΘΥΜΝΟ</v>
      </c>
      <c r="I9089">
        <v>74100</v>
      </c>
      <c r="J9089">
        <v>2831051564</v>
      </c>
      <c r="K9089">
        <v>6978148714</v>
      </c>
      <c r="M9089" t="s">
        <v>13724</v>
      </c>
      <c r="N9089" t="s">
        <v>176</v>
      </c>
      <c r="O9089" t="s">
        <v>177</v>
      </c>
      <c r="R9089" t="s">
        <v>57</v>
      </c>
      <c r="S9089">
        <v>13</v>
      </c>
      <c r="T9089">
        <v>184</v>
      </c>
      <c r="U9089" s="1">
        <v>34941</v>
      </c>
      <c r="V9089" t="s">
        <v>66</v>
      </c>
      <c r="W9089" t="s">
        <v>67</v>
      </c>
      <c r="X9089" t="s">
        <v>58</v>
      </c>
      <c r="Y9089">
        <v>21</v>
      </c>
      <c r="Z9089" t="s">
        <v>59</v>
      </c>
      <c r="AA9089" t="s">
        <v>59</v>
      </c>
      <c r="AB9089" t="s">
        <v>59</v>
      </c>
      <c r="AC9089" t="s">
        <v>59</v>
      </c>
      <c r="AD9089" t="s">
        <v>59</v>
      </c>
      <c r="AF9089" s="1">
        <v>34943</v>
      </c>
      <c r="AG9089" t="s">
        <v>8645</v>
      </c>
      <c r="AH9089" t="s">
        <v>8646</v>
      </c>
      <c r="AI9089" t="str">
        <f>"9410070"</f>
        <v>9410070</v>
      </c>
      <c r="AJ9089" t="s">
        <v>12757</v>
      </c>
      <c r="AK9089">
        <v>2831028583</v>
      </c>
      <c r="AL9089" t="s">
        <v>12758</v>
      </c>
      <c r="AM9089" t="s">
        <v>64</v>
      </c>
      <c r="AN9089" t="s">
        <v>65</v>
      </c>
      <c r="AO9089" t="s">
        <v>65</v>
      </c>
      <c r="AP9089" t="s">
        <v>65</v>
      </c>
      <c r="AQ9089">
        <v>1</v>
      </c>
      <c r="AR9089" t="s">
        <v>66</v>
      </c>
      <c r="AS9089" t="s">
        <v>67</v>
      </c>
      <c r="AT9089" t="s">
        <v>58</v>
      </c>
      <c r="AU9089" t="s">
        <v>68</v>
      </c>
      <c r="AV9089" t="s">
        <v>69</v>
      </c>
      <c r="AW9089" s="1">
        <v>23926</v>
      </c>
      <c r="AX9089">
        <v>1</v>
      </c>
    </row>
    <row r="9090" spans="1:50">
      <c r="A9090">
        <v>570539</v>
      </c>
      <c r="B9090" t="str">
        <f>"066534370"</f>
        <v>066534370</v>
      </c>
      <c r="C9090" t="s">
        <v>50</v>
      </c>
      <c r="D9090" t="s">
        <v>4086</v>
      </c>
      <c r="E9090" t="s">
        <v>52</v>
      </c>
      <c r="F9090" t="s">
        <v>95</v>
      </c>
      <c r="G9090" t="s">
        <v>5432</v>
      </c>
      <c r="H9090" t="str">
        <f>"ΤΡΙΑ ΜΟΝΑΣΤΗΡΙΑ ΡΕΘΥΜΝΟ"</f>
        <v>ΤΡΙΑ ΜΟΝΑΣΤΗΡΙΑ ΡΕΘΥΜΝΟ</v>
      </c>
      <c r="I9090">
        <v>74132</v>
      </c>
      <c r="K9090">
        <v>6970566967</v>
      </c>
      <c r="M9090" t="s">
        <v>13725</v>
      </c>
      <c r="N9090" t="s">
        <v>615</v>
      </c>
      <c r="O9090" t="s">
        <v>616</v>
      </c>
      <c r="R9090" t="s">
        <v>57</v>
      </c>
      <c r="S9090">
        <v>14</v>
      </c>
      <c r="T9090">
        <v>138</v>
      </c>
      <c r="U9090" s="1">
        <v>34206</v>
      </c>
      <c r="V9090" t="s">
        <v>66</v>
      </c>
      <c r="W9090" t="s">
        <v>67</v>
      </c>
      <c r="X9090" t="s">
        <v>58</v>
      </c>
      <c r="Y9090">
        <v>21</v>
      </c>
      <c r="Z9090" t="s">
        <v>59</v>
      </c>
      <c r="AA9090" t="s">
        <v>59</v>
      </c>
      <c r="AB9090" t="s">
        <v>59</v>
      </c>
      <c r="AC9090" t="s">
        <v>59</v>
      </c>
      <c r="AD9090" t="s">
        <v>59</v>
      </c>
      <c r="AF9090" s="1">
        <v>34213</v>
      </c>
      <c r="AG9090" t="s">
        <v>8645</v>
      </c>
      <c r="AH9090" t="s">
        <v>8646</v>
      </c>
      <c r="AI9090" t="str">
        <f>"9410263"</f>
        <v>9410263</v>
      </c>
      <c r="AJ9090" t="s">
        <v>12672</v>
      </c>
      <c r="AK9090">
        <v>2831053818</v>
      </c>
      <c r="AL9090" t="s">
        <v>12673</v>
      </c>
      <c r="AM9090" t="s">
        <v>64</v>
      </c>
      <c r="AN9090" t="s">
        <v>65</v>
      </c>
      <c r="AO9090" t="s">
        <v>65</v>
      </c>
      <c r="AP9090" t="s">
        <v>65</v>
      </c>
      <c r="AQ9090">
        <v>1</v>
      </c>
      <c r="AR9090" t="s">
        <v>66</v>
      </c>
      <c r="AS9090" t="s">
        <v>67</v>
      </c>
      <c r="AT9090" t="s">
        <v>58</v>
      </c>
      <c r="AU9090" t="s">
        <v>68</v>
      </c>
      <c r="AV9090" t="s">
        <v>69</v>
      </c>
      <c r="AW9090" s="1">
        <v>24147</v>
      </c>
      <c r="AX9090">
        <v>1</v>
      </c>
    </row>
    <row r="9091" spans="1:50">
      <c r="B9091" t="str">
        <f>"161220310"</f>
        <v>161220310</v>
      </c>
      <c r="C9091" t="s">
        <v>50</v>
      </c>
      <c r="D9091" t="s">
        <v>8442</v>
      </c>
      <c r="E9091" t="s">
        <v>52</v>
      </c>
      <c r="F9091" t="s">
        <v>670</v>
      </c>
      <c r="G9091" t="s">
        <v>2239</v>
      </c>
      <c r="H9091" t="str">
        <f>" "</f>
        <v xml:space="preserve"> </v>
      </c>
      <c r="N9091" t="s">
        <v>8694</v>
      </c>
      <c r="O9091" t="s">
        <v>8695</v>
      </c>
      <c r="R9091" t="s">
        <v>121</v>
      </c>
      <c r="S9091">
        <v>1</v>
      </c>
      <c r="T9091" t="s">
        <v>8835</v>
      </c>
      <c r="U9091" s="1">
        <v>43348</v>
      </c>
      <c r="V9091" t="s">
        <v>66</v>
      </c>
      <c r="W9091" t="s">
        <v>67</v>
      </c>
      <c r="X9091" t="s">
        <v>58</v>
      </c>
      <c r="Y9091">
        <v>24</v>
      </c>
      <c r="Z9091" t="s">
        <v>59</v>
      </c>
      <c r="AA9091" t="s">
        <v>59</v>
      </c>
      <c r="AB9091" t="s">
        <v>59</v>
      </c>
      <c r="AD9091" t="s">
        <v>59</v>
      </c>
      <c r="AF9091" s="1">
        <v>43348</v>
      </c>
      <c r="AG9091" t="s">
        <v>8645</v>
      </c>
      <c r="AH9091" t="s">
        <v>8646</v>
      </c>
      <c r="AI9091" t="str">
        <f>"9410092"</f>
        <v>9410092</v>
      </c>
      <c r="AJ9091" t="s">
        <v>12823</v>
      </c>
      <c r="AK9091">
        <v>2832051056</v>
      </c>
      <c r="AL9091" t="s">
        <v>12824</v>
      </c>
      <c r="AM9091" t="s">
        <v>64</v>
      </c>
      <c r="AN9091" t="s">
        <v>5882</v>
      </c>
      <c r="AO9091" t="s">
        <v>6099</v>
      </c>
      <c r="AP9091" t="s">
        <v>12825</v>
      </c>
      <c r="AQ9091">
        <v>5</v>
      </c>
      <c r="AR9091" t="s">
        <v>66</v>
      </c>
      <c r="AS9091" t="s">
        <v>67</v>
      </c>
      <c r="AT9091" t="s">
        <v>58</v>
      </c>
      <c r="AU9091" t="s">
        <v>131</v>
      </c>
      <c r="AV9091" t="s">
        <v>132</v>
      </c>
      <c r="AW9091" s="1">
        <v>34663</v>
      </c>
      <c r="AX9091">
        <v>1</v>
      </c>
    </row>
    <row r="9092" spans="1:50">
      <c r="B9092" t="str">
        <f>"150055391"</f>
        <v>150055391</v>
      </c>
      <c r="C9092" t="s">
        <v>50</v>
      </c>
      <c r="D9092" t="s">
        <v>13726</v>
      </c>
      <c r="E9092" t="s">
        <v>181</v>
      </c>
      <c r="F9092" t="s">
        <v>99</v>
      </c>
      <c r="G9092" t="s">
        <v>710</v>
      </c>
      <c r="H9092" t="str">
        <f>" "</f>
        <v xml:space="preserve"> </v>
      </c>
      <c r="N9092" t="s">
        <v>8834</v>
      </c>
      <c r="O9092" t="s">
        <v>8695</v>
      </c>
      <c r="R9092" t="s">
        <v>159</v>
      </c>
      <c r="S9092">
        <v>3</v>
      </c>
      <c r="T9092" t="s">
        <v>8835</v>
      </c>
      <c r="U9092" s="1">
        <v>43348</v>
      </c>
      <c r="V9092" t="s">
        <v>66</v>
      </c>
      <c r="W9092" t="s">
        <v>67</v>
      </c>
      <c r="X9092" t="s">
        <v>58</v>
      </c>
      <c r="Y9092">
        <v>24</v>
      </c>
      <c r="Z9092" t="s">
        <v>59</v>
      </c>
      <c r="AA9092" t="s">
        <v>59</v>
      </c>
      <c r="AB9092" t="s">
        <v>59</v>
      </c>
      <c r="AD9092" t="s">
        <v>59</v>
      </c>
      <c r="AF9092" s="1">
        <v>43348</v>
      </c>
      <c r="AG9092" t="s">
        <v>8645</v>
      </c>
      <c r="AH9092" t="s">
        <v>8646</v>
      </c>
      <c r="AI9092" t="str">
        <f>"9410061"</f>
        <v>9410061</v>
      </c>
      <c r="AJ9092" t="s">
        <v>12760</v>
      </c>
      <c r="AK9092">
        <v>2831024378</v>
      </c>
      <c r="AL9092" t="s">
        <v>12761</v>
      </c>
      <c r="AM9092" t="s">
        <v>64</v>
      </c>
      <c r="AN9092" t="s">
        <v>65</v>
      </c>
      <c r="AO9092" t="s">
        <v>65</v>
      </c>
      <c r="AP9092" t="s">
        <v>65</v>
      </c>
      <c r="AQ9092">
        <v>1</v>
      </c>
      <c r="AR9092" t="s">
        <v>66</v>
      </c>
      <c r="AS9092" t="s">
        <v>67</v>
      </c>
      <c r="AT9092" t="s">
        <v>58</v>
      </c>
      <c r="AU9092" t="s">
        <v>131</v>
      </c>
      <c r="AV9092" t="s">
        <v>132</v>
      </c>
      <c r="AW9092" s="1">
        <v>32953</v>
      </c>
      <c r="AX9092">
        <v>1</v>
      </c>
    </row>
    <row r="9093" spans="1:50">
      <c r="B9093" t="str">
        <f>"137458150"</f>
        <v>137458150</v>
      </c>
      <c r="C9093" t="s">
        <v>50</v>
      </c>
      <c r="D9093" t="s">
        <v>13727</v>
      </c>
      <c r="E9093" t="s">
        <v>54</v>
      </c>
      <c r="F9093" t="s">
        <v>166</v>
      </c>
      <c r="G9093" t="s">
        <v>905</v>
      </c>
      <c r="H9093" t="str">
        <f>"ΤΡΙΑ ΜΟΝΑΣΤΗΡΙΑ ΡΕΘΥΜΝΟ"</f>
        <v>ΤΡΙΑ ΜΟΝΑΣΤΗΡΙΑ ΡΕΘΥΜΝΟ</v>
      </c>
      <c r="I9093">
        <v>74100</v>
      </c>
      <c r="N9093" t="s">
        <v>1525</v>
      </c>
      <c r="O9093" t="s">
        <v>1526</v>
      </c>
      <c r="R9093" t="s">
        <v>159</v>
      </c>
      <c r="S9093">
        <v>4</v>
      </c>
      <c r="T9093" t="s">
        <v>8670</v>
      </c>
      <c r="U9093" s="1">
        <v>43348</v>
      </c>
      <c r="V9093" t="s">
        <v>66</v>
      </c>
      <c r="W9093" t="s">
        <v>67</v>
      </c>
      <c r="X9093" t="s">
        <v>58</v>
      </c>
      <c r="Y9093">
        <v>25</v>
      </c>
      <c r="Z9093" t="s">
        <v>59</v>
      </c>
      <c r="AA9093" t="s">
        <v>59</v>
      </c>
      <c r="AB9093" t="s">
        <v>59</v>
      </c>
      <c r="AC9093" t="s">
        <v>59</v>
      </c>
      <c r="AD9093" t="s">
        <v>59</v>
      </c>
      <c r="AF9093" s="1">
        <v>43348</v>
      </c>
      <c r="AG9093" t="s">
        <v>8651</v>
      </c>
      <c r="AH9093" t="s">
        <v>8652</v>
      </c>
      <c r="AI9093" t="str">
        <f>"9410219"</f>
        <v>9410219</v>
      </c>
      <c r="AJ9093" t="s">
        <v>13649</v>
      </c>
      <c r="AK9093">
        <v>2832031213</v>
      </c>
      <c r="AL9093" t="s">
        <v>13650</v>
      </c>
      <c r="AM9093" t="s">
        <v>64</v>
      </c>
      <c r="AN9093" t="s">
        <v>5882</v>
      </c>
      <c r="AO9093" t="s">
        <v>6099</v>
      </c>
      <c r="AP9093" t="s">
        <v>13651</v>
      </c>
      <c r="AQ9093">
        <v>5</v>
      </c>
      <c r="AR9093" t="s">
        <v>66</v>
      </c>
      <c r="AS9093" t="s">
        <v>67</v>
      </c>
      <c r="AT9093" t="s">
        <v>58</v>
      </c>
      <c r="AU9093" t="s">
        <v>8673</v>
      </c>
      <c r="AV9093" t="s">
        <v>132</v>
      </c>
      <c r="AW9093" s="1">
        <v>30800</v>
      </c>
      <c r="AX9093">
        <v>1</v>
      </c>
    </row>
    <row r="9094" spans="1:50">
      <c r="B9094" t="str">
        <f>"137842994"</f>
        <v>137842994</v>
      </c>
      <c r="C9094" t="s">
        <v>105</v>
      </c>
      <c r="D9094" t="s">
        <v>13728</v>
      </c>
      <c r="E9094" t="s">
        <v>279</v>
      </c>
      <c r="F9094" t="s">
        <v>72</v>
      </c>
      <c r="G9094" t="s">
        <v>2945</v>
      </c>
      <c r="H9094" t="str">
        <f>"ΧΡ. ΚΑΤΣΑΡΗ 35 "</f>
        <v xml:space="preserve">ΧΡ. ΚΑΤΣΑΡΗ 35 </v>
      </c>
      <c r="I9094">
        <v>45221</v>
      </c>
      <c r="J9094">
        <v>2651076055</v>
      </c>
      <c r="K9094">
        <v>6936160826</v>
      </c>
      <c r="N9094" t="s">
        <v>615</v>
      </c>
      <c r="O9094" t="s">
        <v>616</v>
      </c>
      <c r="R9094" t="s">
        <v>159</v>
      </c>
      <c r="S9094">
        <v>3</v>
      </c>
      <c r="T9094" t="s">
        <v>8675</v>
      </c>
      <c r="U9094" s="1">
        <v>43348</v>
      </c>
      <c r="V9094" t="s">
        <v>66</v>
      </c>
      <c r="W9094" t="s">
        <v>67</v>
      </c>
      <c r="X9094" t="s">
        <v>58</v>
      </c>
      <c r="Y9094">
        <v>24</v>
      </c>
      <c r="Z9094" t="s">
        <v>59</v>
      </c>
      <c r="AA9094" t="s">
        <v>59</v>
      </c>
      <c r="AB9094" t="s">
        <v>59</v>
      </c>
      <c r="AC9094" t="s">
        <v>59</v>
      </c>
      <c r="AD9094" t="s">
        <v>59</v>
      </c>
      <c r="AF9094" s="1">
        <v>43348</v>
      </c>
      <c r="AG9094" t="s">
        <v>8645</v>
      </c>
      <c r="AH9094" t="s">
        <v>8646</v>
      </c>
      <c r="AI9094" t="str">
        <f>"9410127"</f>
        <v>9410127</v>
      </c>
      <c r="AJ9094" t="s">
        <v>12767</v>
      </c>
      <c r="AK9094">
        <v>2833022347</v>
      </c>
      <c r="AL9094" t="s">
        <v>12768</v>
      </c>
      <c r="AM9094" t="s">
        <v>64</v>
      </c>
      <c r="AN9094" t="s">
        <v>5713</v>
      </c>
      <c r="AO9094" t="s">
        <v>5714</v>
      </c>
      <c r="AP9094" t="s">
        <v>5715</v>
      </c>
      <c r="AQ9094">
        <v>5</v>
      </c>
      <c r="AR9094" t="s">
        <v>66</v>
      </c>
      <c r="AS9094" t="s">
        <v>67</v>
      </c>
      <c r="AT9094" t="s">
        <v>58</v>
      </c>
      <c r="AU9094" t="s">
        <v>8673</v>
      </c>
      <c r="AV9094" t="s">
        <v>132</v>
      </c>
      <c r="AW9094" s="1">
        <v>32030</v>
      </c>
      <c r="AX9094">
        <v>1</v>
      </c>
    </row>
    <row r="9095" spans="1:50">
      <c r="A9095">
        <v>604312</v>
      </c>
      <c r="B9095" t="str">
        <f>"047380542"</f>
        <v>047380542</v>
      </c>
      <c r="C9095" t="s">
        <v>105</v>
      </c>
      <c r="D9095" t="s">
        <v>13729</v>
      </c>
      <c r="E9095" t="s">
        <v>72</v>
      </c>
      <c r="F9095" t="s">
        <v>99</v>
      </c>
      <c r="G9095" t="s">
        <v>181</v>
      </c>
      <c r="H9095" t="str">
        <f>"ΑΤΣΙΠΟΠΟΥΛΟ ΡΕΘΥΜΝΟ"</f>
        <v>ΑΤΣΙΠΟΠΟΥΛΟ ΡΕΘΥΜΝΟ</v>
      </c>
      <c r="I9095">
        <v>74100</v>
      </c>
      <c r="J9095">
        <v>2831025850</v>
      </c>
      <c r="K9095">
        <v>6971950080</v>
      </c>
      <c r="N9095" t="s">
        <v>615</v>
      </c>
      <c r="O9095" t="s">
        <v>616</v>
      </c>
      <c r="R9095" t="s">
        <v>57</v>
      </c>
      <c r="S9095">
        <v>8</v>
      </c>
      <c r="T9095">
        <v>231</v>
      </c>
      <c r="U9095" s="1">
        <v>38230</v>
      </c>
      <c r="V9095" t="s">
        <v>66</v>
      </c>
      <c r="W9095" t="s">
        <v>67</v>
      </c>
      <c r="X9095" t="s">
        <v>58</v>
      </c>
      <c r="Y9095">
        <v>22</v>
      </c>
      <c r="Z9095" t="s">
        <v>59</v>
      </c>
      <c r="AA9095" t="s">
        <v>59</v>
      </c>
      <c r="AB9095" t="s">
        <v>59</v>
      </c>
      <c r="AC9095" t="s">
        <v>59</v>
      </c>
      <c r="AD9095" t="s">
        <v>59</v>
      </c>
      <c r="AF9095" s="1">
        <v>38231</v>
      </c>
      <c r="AG9095" t="s">
        <v>8645</v>
      </c>
      <c r="AH9095" t="s">
        <v>8646</v>
      </c>
      <c r="AI9095" t="str">
        <f>"9521348"</f>
        <v>9521348</v>
      </c>
      <c r="AJ9095" t="s">
        <v>12714</v>
      </c>
      <c r="AK9095">
        <v>2831021334</v>
      </c>
      <c r="AL9095" t="s">
        <v>12715</v>
      </c>
      <c r="AM9095" t="s">
        <v>64</v>
      </c>
      <c r="AN9095" t="s">
        <v>65</v>
      </c>
      <c r="AO9095" t="s">
        <v>5720</v>
      </c>
      <c r="AP9095" t="s">
        <v>5721</v>
      </c>
      <c r="AQ9095">
        <v>2</v>
      </c>
      <c r="AR9095" t="s">
        <v>66</v>
      </c>
      <c r="AS9095" t="s">
        <v>67</v>
      </c>
      <c r="AT9095" t="s">
        <v>58</v>
      </c>
      <c r="AU9095" t="s">
        <v>68</v>
      </c>
      <c r="AV9095" t="s">
        <v>69</v>
      </c>
      <c r="AW9095" s="1">
        <v>26493</v>
      </c>
      <c r="AX9095">
        <v>1</v>
      </c>
    </row>
    <row r="9096" spans="1:50">
      <c r="A9096">
        <v>700109</v>
      </c>
      <c r="B9096" t="str">
        <f>"129098600"</f>
        <v>129098600</v>
      </c>
      <c r="C9096" t="s">
        <v>105</v>
      </c>
      <c r="D9096" t="s">
        <v>13730</v>
      </c>
      <c r="E9096" t="s">
        <v>1787</v>
      </c>
      <c r="F9096" t="s">
        <v>99</v>
      </c>
      <c r="G9096" t="s">
        <v>181</v>
      </c>
      <c r="H9096" t="str">
        <f>"ΔΗΜ. ΚΩΤΣΟΠΟΥΛΟΥ 25 ΦΛΩΡΙΝΑ"</f>
        <v>ΔΗΜ. ΚΩΤΣΟΠΟΥΛΟΥ 25 ΦΛΩΡΙΝΑ</v>
      </c>
      <c r="I9096">
        <v>53100</v>
      </c>
      <c r="J9096">
        <v>2385028273</v>
      </c>
      <c r="K9096">
        <v>6975260701</v>
      </c>
      <c r="N9096" t="s">
        <v>615</v>
      </c>
      <c r="O9096" t="s">
        <v>616</v>
      </c>
      <c r="R9096" t="s">
        <v>57</v>
      </c>
      <c r="S9096">
        <v>4</v>
      </c>
      <c r="T9096">
        <v>772</v>
      </c>
      <c r="U9096" s="1">
        <v>40413</v>
      </c>
      <c r="V9096" t="s">
        <v>66</v>
      </c>
      <c r="W9096" t="s">
        <v>67</v>
      </c>
      <c r="X9096" t="s">
        <v>58</v>
      </c>
      <c r="Y9096">
        <v>24</v>
      </c>
      <c r="Z9096" t="s">
        <v>59</v>
      </c>
      <c r="AA9096" t="s">
        <v>59</v>
      </c>
      <c r="AB9096" t="s">
        <v>59</v>
      </c>
      <c r="AC9096" t="s">
        <v>59</v>
      </c>
      <c r="AD9096" t="s">
        <v>59</v>
      </c>
      <c r="AF9096" s="1">
        <v>40413</v>
      </c>
      <c r="AG9096" t="s">
        <v>8645</v>
      </c>
      <c r="AH9096" t="s">
        <v>8646</v>
      </c>
      <c r="AI9096" t="str">
        <f>"9410038"</f>
        <v>9410038</v>
      </c>
      <c r="AJ9096" t="s">
        <v>12669</v>
      </c>
      <c r="AK9096">
        <v>2834061471</v>
      </c>
      <c r="AL9096" t="s">
        <v>12670</v>
      </c>
      <c r="AM9096" t="s">
        <v>64</v>
      </c>
      <c r="AN9096" t="s">
        <v>5672</v>
      </c>
      <c r="AO9096" t="s">
        <v>5698</v>
      </c>
      <c r="AP9096" t="s">
        <v>5699</v>
      </c>
      <c r="AQ9096">
        <v>9</v>
      </c>
      <c r="AR9096" t="s">
        <v>66</v>
      </c>
      <c r="AS9096" t="s">
        <v>67</v>
      </c>
      <c r="AT9096" t="s">
        <v>58</v>
      </c>
      <c r="AU9096" t="s">
        <v>68</v>
      </c>
      <c r="AV9096" t="s">
        <v>69</v>
      </c>
      <c r="AW9096" s="1">
        <v>31292</v>
      </c>
      <c r="AX9096">
        <v>1</v>
      </c>
    </row>
    <row r="9097" spans="1:50">
      <c r="A9097">
        <v>575571</v>
      </c>
      <c r="B9097" t="str">
        <f>"037942885"</f>
        <v>037942885</v>
      </c>
      <c r="C9097" t="s">
        <v>50</v>
      </c>
      <c r="D9097" t="s">
        <v>13731</v>
      </c>
      <c r="E9097" t="s">
        <v>250</v>
      </c>
      <c r="F9097" t="s">
        <v>202</v>
      </c>
      <c r="G9097" t="s">
        <v>1452</v>
      </c>
      <c r="H9097" t="str">
        <f>" "</f>
        <v xml:space="preserve"> </v>
      </c>
      <c r="N9097" t="s">
        <v>615</v>
      </c>
      <c r="O9097" t="s">
        <v>616</v>
      </c>
      <c r="R9097" t="s">
        <v>57</v>
      </c>
      <c r="S9097">
        <v>13</v>
      </c>
      <c r="T9097">
        <v>184</v>
      </c>
      <c r="U9097" s="1">
        <v>34941</v>
      </c>
      <c r="V9097" t="s">
        <v>66</v>
      </c>
      <c r="W9097" t="s">
        <v>67</v>
      </c>
      <c r="X9097" t="s">
        <v>58</v>
      </c>
      <c r="Y9097">
        <v>21</v>
      </c>
      <c r="Z9097" t="s">
        <v>59</v>
      </c>
      <c r="AA9097" t="s">
        <v>59</v>
      </c>
      <c r="AB9097" t="s">
        <v>59</v>
      </c>
      <c r="AC9097" t="s">
        <v>59</v>
      </c>
      <c r="AD9097" t="s">
        <v>59</v>
      </c>
      <c r="AF9097" s="1">
        <v>34947</v>
      </c>
      <c r="AG9097" t="s">
        <v>8645</v>
      </c>
      <c r="AH9097" t="s">
        <v>8646</v>
      </c>
      <c r="AI9097" t="str">
        <f>"9410120"</f>
        <v>9410120</v>
      </c>
      <c r="AJ9097" t="s">
        <v>12681</v>
      </c>
      <c r="AK9097">
        <v>6978148714</v>
      </c>
      <c r="AL9097" t="s">
        <v>12682</v>
      </c>
      <c r="AM9097" t="s">
        <v>64</v>
      </c>
      <c r="AN9097" t="s">
        <v>5882</v>
      </c>
      <c r="AO9097" t="s">
        <v>5883</v>
      </c>
      <c r="AP9097" t="s">
        <v>5884</v>
      </c>
      <c r="AQ9097">
        <v>5</v>
      </c>
      <c r="AR9097" t="s">
        <v>66</v>
      </c>
      <c r="AS9097" t="s">
        <v>67</v>
      </c>
      <c r="AT9097" t="s">
        <v>58</v>
      </c>
      <c r="AU9097" t="s">
        <v>68</v>
      </c>
      <c r="AV9097" t="s">
        <v>69</v>
      </c>
      <c r="AW9097" s="1">
        <v>24532</v>
      </c>
      <c r="AX9097">
        <v>1</v>
      </c>
    </row>
    <row r="9098" spans="1:50">
      <c r="A9098">
        <v>600249</v>
      </c>
      <c r="B9098" t="str">
        <f>"109129860"</f>
        <v>109129860</v>
      </c>
      <c r="C9098" t="s">
        <v>50</v>
      </c>
      <c r="D9098" t="s">
        <v>13732</v>
      </c>
      <c r="E9098" t="s">
        <v>52</v>
      </c>
      <c r="F9098" t="s">
        <v>609</v>
      </c>
      <c r="G9098" t="s">
        <v>73</v>
      </c>
      <c r="H9098" t="str">
        <f>" "</f>
        <v xml:space="preserve"> </v>
      </c>
      <c r="J9098">
        <v>2834023443</v>
      </c>
      <c r="K9098">
        <v>6976675279</v>
      </c>
      <c r="M9098" t="s">
        <v>13733</v>
      </c>
      <c r="N9098" t="s">
        <v>615</v>
      </c>
      <c r="O9098" t="s">
        <v>616</v>
      </c>
      <c r="R9098" t="s">
        <v>57</v>
      </c>
      <c r="S9098">
        <v>9</v>
      </c>
      <c r="T9098">
        <v>195</v>
      </c>
      <c r="U9098" s="1">
        <v>37497</v>
      </c>
      <c r="V9098" t="s">
        <v>66</v>
      </c>
      <c r="W9098" t="s">
        <v>67</v>
      </c>
      <c r="X9098" t="s">
        <v>58</v>
      </c>
      <c r="Y9098">
        <v>22</v>
      </c>
      <c r="Z9098" t="s">
        <v>59</v>
      </c>
      <c r="AA9098" t="s">
        <v>59</v>
      </c>
      <c r="AB9098" t="s">
        <v>59</v>
      </c>
      <c r="AC9098" t="s">
        <v>59</v>
      </c>
      <c r="AD9098" t="s">
        <v>59</v>
      </c>
      <c r="AF9098" s="1">
        <v>37501</v>
      </c>
      <c r="AG9098" t="s">
        <v>8645</v>
      </c>
      <c r="AH9098" t="s">
        <v>8646</v>
      </c>
      <c r="AI9098" t="str">
        <f>"9410051"</f>
        <v>9410051</v>
      </c>
      <c r="AJ9098" t="s">
        <v>12660</v>
      </c>
      <c r="AK9098">
        <v>2834022247</v>
      </c>
      <c r="AL9098" t="s">
        <v>12661</v>
      </c>
      <c r="AM9098" t="s">
        <v>64</v>
      </c>
      <c r="AN9098" t="s">
        <v>5672</v>
      </c>
      <c r="AO9098" t="s">
        <v>5673</v>
      </c>
      <c r="AP9098" t="s">
        <v>5689</v>
      </c>
      <c r="AQ9098">
        <v>7</v>
      </c>
      <c r="AR9098" t="s">
        <v>66</v>
      </c>
      <c r="AS9098" t="s">
        <v>67</v>
      </c>
      <c r="AT9098" t="s">
        <v>58</v>
      </c>
      <c r="AU9098" t="s">
        <v>68</v>
      </c>
      <c r="AV9098" t="s">
        <v>69</v>
      </c>
      <c r="AW9098" s="1">
        <v>25548</v>
      </c>
      <c r="AX9098">
        <v>1</v>
      </c>
    </row>
    <row r="9099" spans="1:50">
      <c r="B9099" t="str">
        <f>"144344880"</f>
        <v>144344880</v>
      </c>
      <c r="C9099" t="s">
        <v>50</v>
      </c>
      <c r="D9099" t="s">
        <v>13734</v>
      </c>
      <c r="E9099" t="s">
        <v>553</v>
      </c>
      <c r="F9099" t="s">
        <v>72</v>
      </c>
      <c r="G9099" t="s">
        <v>155</v>
      </c>
      <c r="H9099" t="str">
        <f>" "</f>
        <v xml:space="preserve"> </v>
      </c>
      <c r="N9099" t="s">
        <v>615</v>
      </c>
      <c r="O9099" t="s">
        <v>616</v>
      </c>
      <c r="R9099" t="s">
        <v>121</v>
      </c>
      <c r="S9099">
        <v>1</v>
      </c>
      <c r="T9099" t="s">
        <v>8675</v>
      </c>
      <c r="U9099" s="1">
        <v>43348</v>
      </c>
      <c r="V9099" t="s">
        <v>66</v>
      </c>
      <c r="W9099" t="s">
        <v>67</v>
      </c>
      <c r="X9099" t="s">
        <v>58</v>
      </c>
      <c r="Y9099">
        <v>24</v>
      </c>
      <c r="Z9099" t="s">
        <v>59</v>
      </c>
      <c r="AA9099" t="s">
        <v>59</v>
      </c>
      <c r="AB9099" t="s">
        <v>59</v>
      </c>
      <c r="AD9099" t="s">
        <v>59</v>
      </c>
      <c r="AF9099" s="1">
        <v>43348</v>
      </c>
      <c r="AG9099" t="s">
        <v>8645</v>
      </c>
      <c r="AH9099" t="s">
        <v>8676</v>
      </c>
      <c r="AI9099" t="str">
        <f>"9410145"</f>
        <v>9410145</v>
      </c>
      <c r="AJ9099" t="s">
        <v>13424</v>
      </c>
      <c r="AK9099">
        <v>2833041268</v>
      </c>
      <c r="AL9099" t="s">
        <v>13425</v>
      </c>
      <c r="AM9099" t="s">
        <v>64</v>
      </c>
      <c r="AN9099" t="s">
        <v>5713</v>
      </c>
      <c r="AO9099" t="s">
        <v>5780</v>
      </c>
      <c r="AP9099" t="s">
        <v>5781</v>
      </c>
      <c r="AQ9099">
        <v>6</v>
      </c>
      <c r="AR9099" t="s">
        <v>66</v>
      </c>
      <c r="AS9099" t="s">
        <v>67</v>
      </c>
      <c r="AT9099" t="s">
        <v>58</v>
      </c>
      <c r="AU9099" t="s">
        <v>8673</v>
      </c>
      <c r="AV9099" t="s">
        <v>132</v>
      </c>
      <c r="AW9099" s="1">
        <v>32848</v>
      </c>
      <c r="AX9099">
        <v>1</v>
      </c>
    </row>
    <row r="9100" spans="1:50">
      <c r="A9100">
        <v>592420</v>
      </c>
      <c r="B9100" t="str">
        <f>"043853094"</f>
        <v>043853094</v>
      </c>
      <c r="C9100" t="s">
        <v>50</v>
      </c>
      <c r="D9100" t="s">
        <v>13735</v>
      </c>
      <c r="E9100" t="s">
        <v>1189</v>
      </c>
      <c r="F9100" t="s">
        <v>450</v>
      </c>
      <c r="G9100" t="s">
        <v>263</v>
      </c>
      <c r="H9100" t="str">
        <f>" "</f>
        <v xml:space="preserve"> </v>
      </c>
      <c r="K9100">
        <v>6978183820</v>
      </c>
      <c r="M9100" t="s">
        <v>13736</v>
      </c>
      <c r="N9100" t="s">
        <v>176</v>
      </c>
      <c r="O9100" t="s">
        <v>177</v>
      </c>
      <c r="R9100" t="s">
        <v>57</v>
      </c>
      <c r="S9100">
        <v>12</v>
      </c>
      <c r="T9100">
        <v>451</v>
      </c>
      <c r="U9100" s="1">
        <v>36770</v>
      </c>
      <c r="V9100" t="s">
        <v>66</v>
      </c>
      <c r="W9100" t="s">
        <v>67</v>
      </c>
      <c r="X9100" t="s">
        <v>58</v>
      </c>
      <c r="Y9100">
        <v>21</v>
      </c>
      <c r="Z9100" t="s">
        <v>59</v>
      </c>
      <c r="AA9100" t="s">
        <v>59</v>
      </c>
      <c r="AB9100" t="s">
        <v>59</v>
      </c>
      <c r="AC9100" t="s">
        <v>59</v>
      </c>
      <c r="AD9100" t="s">
        <v>59</v>
      </c>
      <c r="AF9100" s="1">
        <v>36770</v>
      </c>
      <c r="AG9100" t="s">
        <v>8645</v>
      </c>
      <c r="AH9100" t="s">
        <v>8646</v>
      </c>
      <c r="AI9100" t="str">
        <f>"9410257"</f>
        <v>9410257</v>
      </c>
      <c r="AJ9100" t="s">
        <v>12828</v>
      </c>
      <c r="AK9100">
        <v>2831056242</v>
      </c>
      <c r="AL9100" t="s">
        <v>12829</v>
      </c>
      <c r="AM9100" t="s">
        <v>64</v>
      </c>
      <c r="AN9100" t="s">
        <v>65</v>
      </c>
      <c r="AO9100" t="s">
        <v>65</v>
      </c>
      <c r="AP9100" t="s">
        <v>65</v>
      </c>
      <c r="AQ9100">
        <v>1</v>
      </c>
      <c r="AR9100" t="s">
        <v>66</v>
      </c>
      <c r="AS9100" t="s">
        <v>67</v>
      </c>
      <c r="AT9100" t="s">
        <v>58</v>
      </c>
      <c r="AU9100" t="s">
        <v>68</v>
      </c>
      <c r="AV9100" t="s">
        <v>69</v>
      </c>
      <c r="AW9100" s="1">
        <v>23175</v>
      </c>
      <c r="AX9100">
        <v>1</v>
      </c>
    </row>
    <row r="9101" spans="1:50">
      <c r="A9101">
        <v>618630</v>
      </c>
      <c r="B9101" t="str">
        <f>"126544611"</f>
        <v>126544611</v>
      </c>
      <c r="C9101" t="s">
        <v>105</v>
      </c>
      <c r="D9101" t="s">
        <v>11657</v>
      </c>
      <c r="E9101" t="s">
        <v>99</v>
      </c>
      <c r="F9101" t="s">
        <v>84</v>
      </c>
      <c r="G9101" t="s">
        <v>513</v>
      </c>
      <c r="H9101" t="str">
        <f>"ΚΑΡΑΪΣΚΑΚΗ 80 ΠΑΤΡΑ"</f>
        <v>ΚΑΡΑΪΣΚΑΚΗ 80 ΠΑΤΡΑ</v>
      </c>
      <c r="I9101">
        <v>26221</v>
      </c>
      <c r="J9101">
        <v>2610224143</v>
      </c>
      <c r="K9101">
        <v>6981442456</v>
      </c>
      <c r="N9101" t="s">
        <v>615</v>
      </c>
      <c r="O9101" t="s">
        <v>616</v>
      </c>
      <c r="R9101" t="s">
        <v>57</v>
      </c>
      <c r="S9101">
        <v>5</v>
      </c>
      <c r="T9101">
        <v>774</v>
      </c>
      <c r="U9101" s="1">
        <v>39680</v>
      </c>
      <c r="V9101" t="s">
        <v>66</v>
      </c>
      <c r="W9101" t="s">
        <v>67</v>
      </c>
      <c r="X9101" t="s">
        <v>58</v>
      </c>
      <c r="Y9101">
        <v>23</v>
      </c>
      <c r="Z9101" t="s">
        <v>59</v>
      </c>
      <c r="AA9101" t="s">
        <v>59</v>
      </c>
      <c r="AB9101" t="s">
        <v>59</v>
      </c>
      <c r="AC9101" t="s">
        <v>59</v>
      </c>
      <c r="AD9101" t="s">
        <v>59</v>
      </c>
      <c r="AF9101" s="1">
        <v>39681</v>
      </c>
      <c r="AG9101" t="s">
        <v>8645</v>
      </c>
      <c r="AH9101" t="s">
        <v>8646</v>
      </c>
      <c r="AI9101" t="str">
        <f>"9410152"</f>
        <v>9410152</v>
      </c>
      <c r="AJ9101" t="s">
        <v>12686</v>
      </c>
      <c r="AK9101">
        <v>2831029088</v>
      </c>
      <c r="AL9101" t="s">
        <v>12687</v>
      </c>
      <c r="AM9101" t="s">
        <v>64</v>
      </c>
      <c r="AN9101" t="s">
        <v>65</v>
      </c>
      <c r="AO9101" t="s">
        <v>65</v>
      </c>
      <c r="AP9101" t="s">
        <v>65</v>
      </c>
      <c r="AQ9101">
        <v>1</v>
      </c>
      <c r="AR9101" t="s">
        <v>66</v>
      </c>
      <c r="AS9101" t="s">
        <v>67</v>
      </c>
      <c r="AT9101" t="s">
        <v>58</v>
      </c>
      <c r="AU9101" t="s">
        <v>68</v>
      </c>
      <c r="AV9101" t="s">
        <v>69</v>
      </c>
      <c r="AW9101" s="1">
        <v>30981</v>
      </c>
      <c r="AX9101">
        <v>1</v>
      </c>
    </row>
    <row r="9102" spans="1:50">
      <c r="A9102">
        <v>589847</v>
      </c>
      <c r="B9102" t="str">
        <f>"103969339"</f>
        <v>103969339</v>
      </c>
      <c r="C9102" t="s">
        <v>50</v>
      </c>
      <c r="D9102" t="s">
        <v>13737</v>
      </c>
      <c r="E9102" t="s">
        <v>316</v>
      </c>
      <c r="F9102" t="s">
        <v>1023</v>
      </c>
      <c r="G9102" t="s">
        <v>52</v>
      </c>
      <c r="H9102" t="str">
        <f>" "</f>
        <v xml:space="preserve"> </v>
      </c>
      <c r="N9102" t="s">
        <v>1525</v>
      </c>
      <c r="O9102" t="s">
        <v>1526</v>
      </c>
      <c r="R9102" t="s">
        <v>57</v>
      </c>
      <c r="S9102">
        <v>9</v>
      </c>
      <c r="T9102">
        <v>176</v>
      </c>
      <c r="U9102" s="1">
        <v>36403</v>
      </c>
      <c r="V9102" t="s">
        <v>66</v>
      </c>
      <c r="W9102" t="s">
        <v>67</v>
      </c>
      <c r="X9102" t="s">
        <v>58</v>
      </c>
      <c r="Y9102">
        <v>25</v>
      </c>
      <c r="Z9102" t="s">
        <v>59</v>
      </c>
      <c r="AA9102" t="s">
        <v>59</v>
      </c>
      <c r="AB9102" t="s">
        <v>59</v>
      </c>
      <c r="AC9102" t="s">
        <v>59</v>
      </c>
      <c r="AD9102" t="s">
        <v>59</v>
      </c>
      <c r="AF9102" s="1">
        <v>36410</v>
      </c>
      <c r="AG9102" t="s">
        <v>8651</v>
      </c>
      <c r="AH9102" t="s">
        <v>8652</v>
      </c>
      <c r="AI9102" t="str">
        <f>"9410228"</f>
        <v>9410228</v>
      </c>
      <c r="AJ9102" t="s">
        <v>12946</v>
      </c>
      <c r="AK9102">
        <v>2831071202</v>
      </c>
      <c r="AL9102" t="s">
        <v>12947</v>
      </c>
      <c r="AM9102" t="s">
        <v>64</v>
      </c>
      <c r="AN9102" t="s">
        <v>65</v>
      </c>
      <c r="AO9102" t="s">
        <v>12694</v>
      </c>
      <c r="AP9102" t="s">
        <v>12948</v>
      </c>
      <c r="AQ9102">
        <v>3</v>
      </c>
      <c r="AR9102" t="s">
        <v>66</v>
      </c>
      <c r="AS9102" t="s">
        <v>67</v>
      </c>
      <c r="AT9102" t="s">
        <v>58</v>
      </c>
      <c r="AU9102" t="s">
        <v>68</v>
      </c>
      <c r="AV9102" t="s">
        <v>69</v>
      </c>
      <c r="AW9102" s="1">
        <v>24612</v>
      </c>
      <c r="AX9102">
        <v>1</v>
      </c>
    </row>
    <row r="9103" spans="1:50">
      <c r="A9103">
        <v>605476</v>
      </c>
      <c r="B9103" t="str">
        <f>"100093910"</f>
        <v>100093910</v>
      </c>
      <c r="C9103" t="s">
        <v>50</v>
      </c>
      <c r="D9103" t="s">
        <v>6631</v>
      </c>
      <c r="E9103" t="s">
        <v>83</v>
      </c>
      <c r="F9103" t="s">
        <v>2233</v>
      </c>
      <c r="G9103" t="s">
        <v>52</v>
      </c>
      <c r="H9103" t="str">
        <f>" "</f>
        <v xml:space="preserve"> </v>
      </c>
      <c r="J9103">
        <v>2831035784</v>
      </c>
      <c r="K9103">
        <v>6978997131</v>
      </c>
      <c r="N9103" t="s">
        <v>615</v>
      </c>
      <c r="O9103" t="s">
        <v>616</v>
      </c>
      <c r="R9103" t="s">
        <v>57</v>
      </c>
      <c r="S9103">
        <v>7</v>
      </c>
      <c r="T9103">
        <v>231</v>
      </c>
      <c r="U9103" s="1">
        <v>38230</v>
      </c>
      <c r="V9103" t="s">
        <v>66</v>
      </c>
      <c r="W9103" t="s">
        <v>67</v>
      </c>
      <c r="X9103" t="s">
        <v>58</v>
      </c>
      <c r="Y9103">
        <v>22</v>
      </c>
      <c r="Z9103" t="s">
        <v>59</v>
      </c>
      <c r="AA9103" t="s">
        <v>59</v>
      </c>
      <c r="AB9103" t="s">
        <v>59</v>
      </c>
      <c r="AC9103" t="s">
        <v>59</v>
      </c>
      <c r="AD9103" t="s">
        <v>59</v>
      </c>
      <c r="AF9103" s="1">
        <v>38231</v>
      </c>
      <c r="AG9103" t="s">
        <v>8645</v>
      </c>
      <c r="AH9103" t="s">
        <v>8646</v>
      </c>
      <c r="AI9103" t="str">
        <f>"9410061"</f>
        <v>9410061</v>
      </c>
      <c r="AJ9103" t="s">
        <v>12760</v>
      </c>
      <c r="AK9103">
        <v>2831024378</v>
      </c>
      <c r="AL9103" t="s">
        <v>12761</v>
      </c>
      <c r="AM9103" t="s">
        <v>64</v>
      </c>
      <c r="AN9103" t="s">
        <v>65</v>
      </c>
      <c r="AO9103" t="s">
        <v>65</v>
      </c>
      <c r="AP9103" t="s">
        <v>65</v>
      </c>
      <c r="AQ9103">
        <v>1</v>
      </c>
      <c r="AR9103" t="s">
        <v>66</v>
      </c>
      <c r="AS9103" t="s">
        <v>67</v>
      </c>
      <c r="AT9103" t="s">
        <v>58</v>
      </c>
      <c r="AU9103" t="s">
        <v>68</v>
      </c>
      <c r="AV9103" t="s">
        <v>69</v>
      </c>
      <c r="AW9103" s="1">
        <v>27831</v>
      </c>
      <c r="AX9103">
        <v>1</v>
      </c>
    </row>
    <row r="9104" spans="1:50">
      <c r="B9104" t="str">
        <f>"138547259"</f>
        <v>138547259</v>
      </c>
      <c r="C9104" t="s">
        <v>105</v>
      </c>
      <c r="D9104" t="s">
        <v>13738</v>
      </c>
      <c r="E9104" t="s">
        <v>72</v>
      </c>
      <c r="F9104" t="s">
        <v>1493</v>
      </c>
      <c r="G9104" t="s">
        <v>181</v>
      </c>
      <c r="H9104" t="str">
        <f>"ΜΑΡΑΘΩΝΟΣ 66 "</f>
        <v xml:space="preserve">ΜΑΡΑΘΩΝΟΣ 66 </v>
      </c>
      <c r="I9104">
        <v>60100</v>
      </c>
      <c r="J9104">
        <v>2351022741</v>
      </c>
      <c r="K9104">
        <v>6934079219</v>
      </c>
      <c r="N9104" t="s">
        <v>615</v>
      </c>
      <c r="O9104" t="s">
        <v>616</v>
      </c>
      <c r="R9104" t="s">
        <v>159</v>
      </c>
      <c r="S9104">
        <v>3</v>
      </c>
      <c r="T9104" t="s">
        <v>8675</v>
      </c>
      <c r="U9104" s="1">
        <v>43348</v>
      </c>
      <c r="V9104" t="s">
        <v>66</v>
      </c>
      <c r="W9104" t="s">
        <v>67</v>
      </c>
      <c r="X9104" t="s">
        <v>58</v>
      </c>
      <c r="Y9104">
        <v>25</v>
      </c>
      <c r="Z9104" t="s">
        <v>59</v>
      </c>
      <c r="AA9104" t="s">
        <v>59</v>
      </c>
      <c r="AB9104" t="s">
        <v>59</v>
      </c>
      <c r="AC9104" t="s">
        <v>59</v>
      </c>
      <c r="AD9104" t="s">
        <v>59</v>
      </c>
      <c r="AF9104" s="1">
        <v>43348</v>
      </c>
      <c r="AG9104" t="s">
        <v>8645</v>
      </c>
      <c r="AH9104" t="s">
        <v>8676</v>
      </c>
      <c r="AI9104" t="str">
        <f>"9410010"</f>
        <v>9410010</v>
      </c>
      <c r="AJ9104" t="s">
        <v>13019</v>
      </c>
      <c r="AK9104">
        <v>2834091414</v>
      </c>
      <c r="AL9104" t="s">
        <v>13020</v>
      </c>
      <c r="AM9104" t="s">
        <v>64</v>
      </c>
      <c r="AN9104" t="s">
        <v>5672</v>
      </c>
      <c r="AO9104" t="s">
        <v>5673</v>
      </c>
      <c r="AP9104" t="s">
        <v>13021</v>
      </c>
      <c r="AQ9104">
        <v>11</v>
      </c>
      <c r="AR9104" t="s">
        <v>66</v>
      </c>
      <c r="AS9104" t="s">
        <v>67</v>
      </c>
      <c r="AT9104" t="s">
        <v>58</v>
      </c>
      <c r="AU9104" t="s">
        <v>8673</v>
      </c>
      <c r="AV9104" t="s">
        <v>132</v>
      </c>
      <c r="AW9104" s="1">
        <v>32173</v>
      </c>
      <c r="AX9104">
        <v>1</v>
      </c>
    </row>
    <row r="9105" spans="1:50">
      <c r="B9105" t="str">
        <f>"135720018"</f>
        <v>135720018</v>
      </c>
      <c r="C9105" t="s">
        <v>50</v>
      </c>
      <c r="D9105" t="s">
        <v>13739</v>
      </c>
      <c r="E9105" t="s">
        <v>1902</v>
      </c>
      <c r="F9105" t="s">
        <v>383</v>
      </c>
      <c r="G9105" t="s">
        <v>13740</v>
      </c>
      <c r="H9105" t="str">
        <f>" "</f>
        <v xml:space="preserve"> </v>
      </c>
      <c r="N9105" t="s">
        <v>8694</v>
      </c>
      <c r="O9105" t="s">
        <v>8695</v>
      </c>
      <c r="R9105" t="s">
        <v>121</v>
      </c>
      <c r="S9105">
        <v>1</v>
      </c>
      <c r="T9105" t="s">
        <v>8835</v>
      </c>
      <c r="U9105" s="1">
        <v>43348</v>
      </c>
      <c r="V9105" t="s">
        <v>66</v>
      </c>
      <c r="W9105" t="s">
        <v>67</v>
      </c>
      <c r="X9105" t="s">
        <v>58</v>
      </c>
      <c r="Y9105">
        <v>24</v>
      </c>
      <c r="Z9105" t="s">
        <v>59</v>
      </c>
      <c r="AA9105" t="s">
        <v>59</v>
      </c>
      <c r="AB9105" t="s">
        <v>59</v>
      </c>
      <c r="AD9105" t="s">
        <v>59</v>
      </c>
      <c r="AF9105" s="1">
        <v>43348</v>
      </c>
      <c r="AG9105" t="s">
        <v>8645</v>
      </c>
      <c r="AH9105" t="s">
        <v>8646</v>
      </c>
      <c r="AI9105" t="str">
        <f>"9410033"</f>
        <v>9410033</v>
      </c>
      <c r="AJ9105" t="s">
        <v>12778</v>
      </c>
      <c r="AK9105">
        <v>2834061210</v>
      </c>
      <c r="AL9105" t="s">
        <v>12779</v>
      </c>
      <c r="AM9105" t="s">
        <v>64</v>
      </c>
      <c r="AN9105" t="s">
        <v>5672</v>
      </c>
      <c r="AO9105" t="s">
        <v>12780</v>
      </c>
      <c r="AP9105" t="s">
        <v>12780</v>
      </c>
      <c r="AQ9105">
        <v>9</v>
      </c>
      <c r="AR9105" t="s">
        <v>66</v>
      </c>
      <c r="AS9105" t="s">
        <v>67</v>
      </c>
      <c r="AT9105" t="s">
        <v>58</v>
      </c>
      <c r="AU9105" t="s">
        <v>131</v>
      </c>
      <c r="AV9105" t="s">
        <v>132</v>
      </c>
      <c r="AW9105" s="1">
        <v>34600</v>
      </c>
      <c r="AX9105">
        <v>1</v>
      </c>
    </row>
    <row r="9106" spans="1:50">
      <c r="B9106" t="str">
        <f>"156751580"</f>
        <v>156751580</v>
      </c>
      <c r="C9106" t="s">
        <v>50</v>
      </c>
      <c r="D9106" t="s">
        <v>13741</v>
      </c>
      <c r="E9106" t="s">
        <v>809</v>
      </c>
      <c r="F9106" t="s">
        <v>995</v>
      </c>
      <c r="G9106" t="s">
        <v>52</v>
      </c>
      <c r="H9106" t="str">
        <f>" "</f>
        <v xml:space="preserve"> </v>
      </c>
      <c r="N9106" t="s">
        <v>8834</v>
      </c>
      <c r="O9106" t="s">
        <v>8695</v>
      </c>
      <c r="R9106" t="s">
        <v>121</v>
      </c>
      <c r="S9106">
        <v>1</v>
      </c>
      <c r="T9106" t="s">
        <v>8835</v>
      </c>
      <c r="U9106" s="1">
        <v>43348</v>
      </c>
      <c r="V9106" t="s">
        <v>66</v>
      </c>
      <c r="W9106" t="s">
        <v>67</v>
      </c>
      <c r="X9106" t="s">
        <v>58</v>
      </c>
      <c r="Y9106">
        <v>24</v>
      </c>
      <c r="Z9106" t="s">
        <v>59</v>
      </c>
      <c r="AD9106" t="s">
        <v>59</v>
      </c>
      <c r="AF9106" s="1">
        <v>43348</v>
      </c>
      <c r="AG9106" t="s">
        <v>8645</v>
      </c>
      <c r="AH9106" t="s">
        <v>8646</v>
      </c>
      <c r="AI9106" t="str">
        <f>"9410257"</f>
        <v>9410257</v>
      </c>
      <c r="AJ9106" t="s">
        <v>12828</v>
      </c>
      <c r="AK9106">
        <v>2831056242</v>
      </c>
      <c r="AL9106" t="s">
        <v>12829</v>
      </c>
      <c r="AM9106" t="s">
        <v>64</v>
      </c>
      <c r="AN9106" t="s">
        <v>65</v>
      </c>
      <c r="AO9106" t="s">
        <v>65</v>
      </c>
      <c r="AP9106" t="s">
        <v>65</v>
      </c>
      <c r="AQ9106">
        <v>1</v>
      </c>
      <c r="AR9106" t="s">
        <v>66</v>
      </c>
      <c r="AS9106" t="s">
        <v>67</v>
      </c>
      <c r="AT9106" t="s">
        <v>58</v>
      </c>
      <c r="AU9106" t="s">
        <v>131</v>
      </c>
      <c r="AV9106" t="s">
        <v>132</v>
      </c>
      <c r="AW9106" s="1">
        <v>33413</v>
      </c>
      <c r="AX9106">
        <v>1</v>
      </c>
    </row>
    <row r="9107" spans="1:50">
      <c r="A9107">
        <v>578519</v>
      </c>
      <c r="B9107" t="str">
        <f>"065273547"</f>
        <v>065273547</v>
      </c>
      <c r="C9107" t="s">
        <v>50</v>
      </c>
      <c r="D9107" t="s">
        <v>8458</v>
      </c>
      <c r="E9107" t="s">
        <v>109</v>
      </c>
      <c r="F9107" t="s">
        <v>13742</v>
      </c>
      <c r="G9107" t="s">
        <v>314</v>
      </c>
      <c r="H9107" t="str">
        <f>" "</f>
        <v xml:space="preserve"> </v>
      </c>
      <c r="K9107">
        <v>6973379501</v>
      </c>
      <c r="N9107" t="s">
        <v>615</v>
      </c>
      <c r="O9107" t="s">
        <v>616</v>
      </c>
      <c r="R9107" t="s">
        <v>57</v>
      </c>
      <c r="S9107">
        <v>13</v>
      </c>
      <c r="T9107">
        <v>165</v>
      </c>
      <c r="U9107" s="1">
        <v>35300</v>
      </c>
      <c r="V9107" t="s">
        <v>66</v>
      </c>
      <c r="W9107" t="s">
        <v>67</v>
      </c>
      <c r="X9107" t="s">
        <v>58</v>
      </c>
      <c r="Y9107">
        <v>21</v>
      </c>
      <c r="Z9107" t="s">
        <v>59</v>
      </c>
      <c r="AA9107" t="s">
        <v>59</v>
      </c>
      <c r="AB9107" t="s">
        <v>59</v>
      </c>
      <c r="AC9107" t="s">
        <v>59</v>
      </c>
      <c r="AD9107" t="s">
        <v>59</v>
      </c>
      <c r="AF9107" s="1">
        <v>35311</v>
      </c>
      <c r="AG9107" t="s">
        <v>8645</v>
      </c>
      <c r="AH9107" t="s">
        <v>8646</v>
      </c>
      <c r="AI9107" t="str">
        <f>"9410167"</f>
        <v>9410167</v>
      </c>
      <c r="AJ9107" t="s">
        <v>12911</v>
      </c>
      <c r="AK9107">
        <v>2831031455</v>
      </c>
      <c r="AL9107" t="s">
        <v>12912</v>
      </c>
      <c r="AM9107" t="s">
        <v>64</v>
      </c>
      <c r="AN9107" t="s">
        <v>65</v>
      </c>
      <c r="AO9107" t="s">
        <v>5720</v>
      </c>
      <c r="AP9107" t="s">
        <v>12913</v>
      </c>
      <c r="AQ9107">
        <v>2</v>
      </c>
      <c r="AR9107" t="s">
        <v>66</v>
      </c>
      <c r="AS9107" t="s">
        <v>67</v>
      </c>
      <c r="AT9107" t="s">
        <v>58</v>
      </c>
      <c r="AU9107" t="s">
        <v>68</v>
      </c>
      <c r="AV9107" t="s">
        <v>69</v>
      </c>
      <c r="AW9107" s="1">
        <v>23411</v>
      </c>
      <c r="AX9107">
        <v>1</v>
      </c>
    </row>
    <row r="9108" spans="1:50">
      <c r="B9108" t="str">
        <f>"153240473"</f>
        <v>153240473</v>
      </c>
      <c r="C9108" t="s">
        <v>50</v>
      </c>
      <c r="D9108" t="s">
        <v>13743</v>
      </c>
      <c r="E9108" t="s">
        <v>181</v>
      </c>
      <c r="F9108" t="s">
        <v>957</v>
      </c>
      <c r="H9108" t="str">
        <f>"ΠΛΑΠΟΥΤΑ 55 ΓΛΥΦΑΔΑ"</f>
        <v>ΠΛΑΠΟΥΤΑ 55 ΓΛΥΦΑΔΑ</v>
      </c>
      <c r="I9108">
        <v>16561</v>
      </c>
      <c r="K9108">
        <v>6975567049</v>
      </c>
      <c r="M9108" t="s">
        <v>13744</v>
      </c>
      <c r="N9108" t="s">
        <v>8694</v>
      </c>
      <c r="O9108" t="s">
        <v>8695</v>
      </c>
      <c r="R9108" t="s">
        <v>159</v>
      </c>
      <c r="S9108">
        <v>2</v>
      </c>
      <c r="T9108" t="s">
        <v>8696</v>
      </c>
      <c r="U9108" s="1">
        <v>43348</v>
      </c>
      <c r="V9108" t="s">
        <v>66</v>
      </c>
      <c r="W9108" t="s">
        <v>67</v>
      </c>
      <c r="X9108" t="s">
        <v>58</v>
      </c>
      <c r="Y9108">
        <v>24</v>
      </c>
      <c r="Z9108" t="s">
        <v>59</v>
      </c>
      <c r="AA9108" t="s">
        <v>59</v>
      </c>
      <c r="AB9108" t="s">
        <v>59</v>
      </c>
      <c r="AC9108" t="s">
        <v>59</v>
      </c>
      <c r="AD9108" t="s">
        <v>59</v>
      </c>
      <c r="AF9108" s="1">
        <v>43348</v>
      </c>
      <c r="AG9108" t="s">
        <v>8645</v>
      </c>
      <c r="AH9108" t="s">
        <v>8646</v>
      </c>
      <c r="AI9108" t="str">
        <f>"9410033"</f>
        <v>9410033</v>
      </c>
      <c r="AJ9108" t="s">
        <v>12778</v>
      </c>
      <c r="AK9108">
        <v>2834061210</v>
      </c>
      <c r="AL9108" t="s">
        <v>12779</v>
      </c>
      <c r="AM9108" t="s">
        <v>64</v>
      </c>
      <c r="AN9108" t="s">
        <v>5672</v>
      </c>
      <c r="AO9108" t="s">
        <v>12780</v>
      </c>
      <c r="AP9108" t="s">
        <v>12780</v>
      </c>
      <c r="AQ9108">
        <v>9</v>
      </c>
      <c r="AR9108" t="s">
        <v>66</v>
      </c>
      <c r="AS9108" t="s">
        <v>67</v>
      </c>
      <c r="AT9108" t="s">
        <v>58</v>
      </c>
      <c r="AU9108" t="s">
        <v>350</v>
      </c>
      <c r="AV9108" t="s">
        <v>132</v>
      </c>
      <c r="AW9108" s="1">
        <v>32904</v>
      </c>
      <c r="AX9108">
        <v>1</v>
      </c>
    </row>
    <row r="9109" spans="1:50">
      <c r="A9109">
        <v>611242</v>
      </c>
      <c r="B9109" t="str">
        <f>"113603927"</f>
        <v>113603927</v>
      </c>
      <c r="C9109" t="s">
        <v>50</v>
      </c>
      <c r="D9109" t="s">
        <v>13745</v>
      </c>
      <c r="E9109" t="s">
        <v>215</v>
      </c>
      <c r="F9109" t="s">
        <v>450</v>
      </c>
      <c r="G9109" t="s">
        <v>83</v>
      </c>
      <c r="H9109" t="str">
        <f>" "</f>
        <v xml:space="preserve"> </v>
      </c>
      <c r="J9109">
        <v>2831074807</v>
      </c>
      <c r="K9109">
        <v>6986113972</v>
      </c>
      <c r="N9109" t="s">
        <v>1525</v>
      </c>
      <c r="O9109" t="s">
        <v>1526</v>
      </c>
      <c r="R9109" t="s">
        <v>57</v>
      </c>
      <c r="S9109">
        <v>7</v>
      </c>
      <c r="T9109">
        <v>233</v>
      </c>
      <c r="U9109" s="1">
        <v>38960</v>
      </c>
      <c r="V9109" t="s">
        <v>66</v>
      </c>
      <c r="W9109" t="s">
        <v>67</v>
      </c>
      <c r="X9109" t="s">
        <v>58</v>
      </c>
      <c r="Y9109">
        <v>25</v>
      </c>
      <c r="Z9109" t="s">
        <v>59</v>
      </c>
      <c r="AA9109" t="s">
        <v>59</v>
      </c>
      <c r="AB9109" t="s">
        <v>59</v>
      </c>
      <c r="AC9109" t="s">
        <v>59</v>
      </c>
      <c r="AD9109" t="s">
        <v>59</v>
      </c>
      <c r="AF9109" s="1">
        <v>38961</v>
      </c>
      <c r="AG9109" t="s">
        <v>8651</v>
      </c>
      <c r="AH9109" t="s">
        <v>8652</v>
      </c>
      <c r="AI9109" t="str">
        <f>"9410248"</f>
        <v>9410248</v>
      </c>
      <c r="AJ9109" t="s">
        <v>13373</v>
      </c>
      <c r="AK9109">
        <v>2831071898</v>
      </c>
      <c r="AL9109" t="s">
        <v>13374</v>
      </c>
      <c r="AM9109" t="s">
        <v>64</v>
      </c>
      <c r="AN9109" t="s">
        <v>65</v>
      </c>
      <c r="AO9109" t="s">
        <v>12694</v>
      </c>
      <c r="AP9109" t="s">
        <v>12695</v>
      </c>
      <c r="AQ9109">
        <v>3</v>
      </c>
      <c r="AR9109" t="s">
        <v>66</v>
      </c>
      <c r="AS9109" t="s">
        <v>67</v>
      </c>
      <c r="AT9109" t="s">
        <v>58</v>
      </c>
      <c r="AU9109" t="s">
        <v>68</v>
      </c>
      <c r="AV9109" t="s">
        <v>69</v>
      </c>
      <c r="AW9109" s="1">
        <v>27737</v>
      </c>
      <c r="AX9109">
        <v>1</v>
      </c>
    </row>
    <row r="9110" spans="1:50">
      <c r="A9110">
        <v>594329</v>
      </c>
      <c r="B9110" t="str">
        <f>"076888523"</f>
        <v>076888523</v>
      </c>
      <c r="C9110" t="s">
        <v>50</v>
      </c>
      <c r="D9110" t="s">
        <v>13746</v>
      </c>
      <c r="E9110" t="s">
        <v>3666</v>
      </c>
      <c r="F9110" t="s">
        <v>383</v>
      </c>
      <c r="G9110" t="s">
        <v>7343</v>
      </c>
      <c r="H9110" t="str">
        <f>" "</f>
        <v xml:space="preserve"> </v>
      </c>
      <c r="N9110" t="s">
        <v>615</v>
      </c>
      <c r="O9110" t="s">
        <v>616</v>
      </c>
      <c r="R9110" t="s">
        <v>57</v>
      </c>
      <c r="S9110">
        <v>8</v>
      </c>
      <c r="T9110">
        <v>218</v>
      </c>
      <c r="U9110" s="1">
        <v>37134</v>
      </c>
      <c r="V9110" t="s">
        <v>66</v>
      </c>
      <c r="W9110" t="s">
        <v>67</v>
      </c>
      <c r="X9110" t="s">
        <v>58</v>
      </c>
      <c r="Y9110">
        <v>22</v>
      </c>
      <c r="Z9110" t="s">
        <v>59</v>
      </c>
      <c r="AA9110" t="s">
        <v>59</v>
      </c>
      <c r="AB9110" t="s">
        <v>59</v>
      </c>
      <c r="AC9110" t="s">
        <v>59</v>
      </c>
      <c r="AD9110" t="s">
        <v>59</v>
      </c>
      <c r="AF9110" s="1">
        <v>37139</v>
      </c>
      <c r="AG9110" t="s">
        <v>8645</v>
      </c>
      <c r="AH9110" t="s">
        <v>8646</v>
      </c>
      <c r="AI9110" t="str">
        <f>"9410064"</f>
        <v>9410064</v>
      </c>
      <c r="AJ9110" t="s">
        <v>12683</v>
      </c>
      <c r="AK9110">
        <v>2831028390</v>
      </c>
      <c r="AL9110" t="s">
        <v>12684</v>
      </c>
      <c r="AM9110" t="s">
        <v>64</v>
      </c>
      <c r="AN9110" t="s">
        <v>65</v>
      </c>
      <c r="AO9110" t="s">
        <v>65</v>
      </c>
      <c r="AP9110" t="s">
        <v>65</v>
      </c>
      <c r="AQ9110">
        <v>1</v>
      </c>
      <c r="AR9110" t="s">
        <v>66</v>
      </c>
      <c r="AS9110" t="s">
        <v>67</v>
      </c>
      <c r="AT9110" t="s">
        <v>58</v>
      </c>
      <c r="AU9110" t="s">
        <v>68</v>
      </c>
      <c r="AV9110" t="s">
        <v>69</v>
      </c>
      <c r="AW9110" s="1">
        <v>26082</v>
      </c>
      <c r="AX9110">
        <v>1</v>
      </c>
    </row>
    <row r="9111" spans="1:50">
      <c r="A9111">
        <v>592462</v>
      </c>
      <c r="B9111" t="str">
        <f>"024251692"</f>
        <v>024251692</v>
      </c>
      <c r="C9111" t="s">
        <v>105</v>
      </c>
      <c r="D9111" t="s">
        <v>13747</v>
      </c>
      <c r="E9111" t="s">
        <v>72</v>
      </c>
      <c r="F9111" t="s">
        <v>95</v>
      </c>
      <c r="G9111" t="s">
        <v>600</v>
      </c>
      <c r="H9111" t="str">
        <f>" "</f>
        <v xml:space="preserve"> </v>
      </c>
      <c r="N9111" t="s">
        <v>176</v>
      </c>
      <c r="O9111" t="s">
        <v>177</v>
      </c>
      <c r="R9111" t="s">
        <v>57</v>
      </c>
      <c r="S9111">
        <v>11</v>
      </c>
      <c r="T9111">
        <v>251</v>
      </c>
      <c r="U9111" s="1">
        <v>36759</v>
      </c>
      <c r="V9111" t="s">
        <v>66</v>
      </c>
      <c r="W9111" t="s">
        <v>67</v>
      </c>
      <c r="X9111" t="s">
        <v>58</v>
      </c>
      <c r="Y9111">
        <v>21</v>
      </c>
      <c r="Z9111" t="s">
        <v>59</v>
      </c>
      <c r="AA9111" t="s">
        <v>59</v>
      </c>
      <c r="AB9111" t="s">
        <v>59</v>
      </c>
      <c r="AC9111" t="s">
        <v>59</v>
      </c>
      <c r="AD9111" t="s">
        <v>59</v>
      </c>
      <c r="AF9111" s="1">
        <v>36774</v>
      </c>
      <c r="AG9111" t="s">
        <v>8645</v>
      </c>
      <c r="AH9111" t="s">
        <v>8646</v>
      </c>
      <c r="AI9111" t="str">
        <f>"9410061"</f>
        <v>9410061</v>
      </c>
      <c r="AJ9111" t="s">
        <v>12760</v>
      </c>
      <c r="AK9111">
        <v>2831024378</v>
      </c>
      <c r="AL9111" t="s">
        <v>12761</v>
      </c>
      <c r="AM9111" t="s">
        <v>64</v>
      </c>
      <c r="AN9111" t="s">
        <v>65</v>
      </c>
      <c r="AO9111" t="s">
        <v>65</v>
      </c>
      <c r="AP9111" t="s">
        <v>65</v>
      </c>
      <c r="AQ9111">
        <v>1</v>
      </c>
      <c r="AR9111" t="s">
        <v>66</v>
      </c>
      <c r="AS9111" t="s">
        <v>67</v>
      </c>
      <c r="AT9111" t="s">
        <v>58</v>
      </c>
      <c r="AU9111" t="s">
        <v>68</v>
      </c>
      <c r="AV9111" t="s">
        <v>69</v>
      </c>
      <c r="AW9111" s="1">
        <v>22668</v>
      </c>
      <c r="AX9111">
        <v>1</v>
      </c>
    </row>
    <row r="9112" spans="1:50">
      <c r="A9112">
        <v>593228</v>
      </c>
      <c r="B9112" t="str">
        <f>"116527563"</f>
        <v>116527563</v>
      </c>
      <c r="C9112" t="s">
        <v>105</v>
      </c>
      <c r="D9112" t="s">
        <v>13748</v>
      </c>
      <c r="E9112" t="s">
        <v>377</v>
      </c>
      <c r="F9112" t="s">
        <v>450</v>
      </c>
      <c r="G9112" t="s">
        <v>2564</v>
      </c>
      <c r="H9112" t="str">
        <f>"ΣΠΥΡΟΥ ΒΟΛΑΚΑ 1 ΓΑΛΛΟΣ ΡΕΘΥΜΝΟΥ"</f>
        <v>ΣΠΥΡΟΥ ΒΟΛΑΚΑ 1 ΓΑΛΛΟΣ ΡΕΘΥΜΝΟΥ</v>
      </c>
      <c r="I9112">
        <v>74100</v>
      </c>
      <c r="J9112">
        <v>2831058397</v>
      </c>
      <c r="K9112">
        <v>6945876900</v>
      </c>
      <c r="M9112" t="s">
        <v>13749</v>
      </c>
      <c r="N9112" t="s">
        <v>615</v>
      </c>
      <c r="O9112" t="s">
        <v>616</v>
      </c>
      <c r="R9112" t="s">
        <v>57</v>
      </c>
      <c r="S9112">
        <v>8</v>
      </c>
      <c r="T9112">
        <v>218</v>
      </c>
      <c r="U9112" s="1">
        <v>37134</v>
      </c>
      <c r="V9112" t="s">
        <v>66</v>
      </c>
      <c r="W9112" t="s">
        <v>67</v>
      </c>
      <c r="X9112" t="s">
        <v>58</v>
      </c>
      <c r="Y9112">
        <v>22</v>
      </c>
      <c r="Z9112" t="s">
        <v>59</v>
      </c>
      <c r="AA9112" t="s">
        <v>59</v>
      </c>
      <c r="AB9112" t="s">
        <v>59</v>
      </c>
      <c r="AC9112" t="s">
        <v>59</v>
      </c>
      <c r="AD9112" t="s">
        <v>59</v>
      </c>
      <c r="AF9112" s="1">
        <v>37309</v>
      </c>
      <c r="AG9112" t="s">
        <v>8645</v>
      </c>
      <c r="AH9112" t="s">
        <v>8646</v>
      </c>
      <c r="AI9112" t="str">
        <f>"9410166"</f>
        <v>9410166</v>
      </c>
      <c r="AJ9112" t="s">
        <v>12666</v>
      </c>
      <c r="AK9112">
        <v>2831031311</v>
      </c>
      <c r="AL9112" t="s">
        <v>12667</v>
      </c>
      <c r="AM9112" t="s">
        <v>64</v>
      </c>
      <c r="AN9112" t="s">
        <v>65</v>
      </c>
      <c r="AO9112" t="s">
        <v>5720</v>
      </c>
      <c r="AP9112" t="s">
        <v>5721</v>
      </c>
      <c r="AQ9112">
        <v>2</v>
      </c>
      <c r="AR9112" t="s">
        <v>66</v>
      </c>
      <c r="AS9112" t="s">
        <v>67</v>
      </c>
      <c r="AT9112" t="s">
        <v>58</v>
      </c>
      <c r="AU9112" t="s">
        <v>68</v>
      </c>
      <c r="AV9112" t="s">
        <v>69</v>
      </c>
      <c r="AW9112" s="1">
        <v>27311</v>
      </c>
      <c r="AX9112">
        <v>1</v>
      </c>
    </row>
    <row r="9113" spans="1:50">
      <c r="B9113" t="str">
        <f>"047508984"</f>
        <v>047508984</v>
      </c>
      <c r="C9113" t="s">
        <v>50</v>
      </c>
      <c r="D9113" t="s">
        <v>13750</v>
      </c>
      <c r="E9113" t="s">
        <v>52</v>
      </c>
      <c r="F9113" t="s">
        <v>53</v>
      </c>
      <c r="G9113" t="s">
        <v>237</v>
      </c>
      <c r="H9113" t="str">
        <f>" "</f>
        <v xml:space="preserve"> </v>
      </c>
      <c r="N9113" t="s">
        <v>384</v>
      </c>
      <c r="O9113" t="s">
        <v>385</v>
      </c>
      <c r="R9113" t="s">
        <v>121</v>
      </c>
      <c r="S9113">
        <v>1</v>
      </c>
      <c r="T9113" t="s">
        <v>9034</v>
      </c>
      <c r="U9113" s="1">
        <v>43377</v>
      </c>
      <c r="V9113" t="s">
        <v>66</v>
      </c>
      <c r="W9113" t="s">
        <v>67</v>
      </c>
      <c r="X9113" t="s">
        <v>58</v>
      </c>
      <c r="Y9113">
        <v>15</v>
      </c>
      <c r="Z9113" t="s">
        <v>59</v>
      </c>
      <c r="AD9113" t="s">
        <v>59</v>
      </c>
      <c r="AF9113" s="1">
        <v>43377</v>
      </c>
      <c r="AG9113" t="s">
        <v>8645</v>
      </c>
      <c r="AH9113" t="s">
        <v>8646</v>
      </c>
      <c r="AI9113" t="str">
        <f>"9410070"</f>
        <v>9410070</v>
      </c>
      <c r="AJ9113" t="s">
        <v>12757</v>
      </c>
      <c r="AK9113">
        <v>2831028583</v>
      </c>
      <c r="AL9113" t="s">
        <v>12758</v>
      </c>
      <c r="AM9113" t="s">
        <v>64</v>
      </c>
      <c r="AN9113" t="s">
        <v>65</v>
      </c>
      <c r="AO9113" t="s">
        <v>65</v>
      </c>
      <c r="AP9113" t="s">
        <v>65</v>
      </c>
      <c r="AQ9113">
        <v>1</v>
      </c>
      <c r="AR9113" t="s">
        <v>66</v>
      </c>
      <c r="AS9113" t="s">
        <v>67</v>
      </c>
      <c r="AT9113" t="s">
        <v>58</v>
      </c>
      <c r="AU9113" t="s">
        <v>8686</v>
      </c>
      <c r="AV9113" t="s">
        <v>132</v>
      </c>
      <c r="AW9113" s="1">
        <v>25259</v>
      </c>
      <c r="AX9113">
        <v>1</v>
      </c>
    </row>
    <row r="9114" spans="1:50">
      <c r="B9114" t="str">
        <f>"050409108"</f>
        <v>050409108</v>
      </c>
      <c r="C9114" t="s">
        <v>50</v>
      </c>
      <c r="D9114" t="s">
        <v>13751</v>
      </c>
      <c r="E9114" t="s">
        <v>707</v>
      </c>
      <c r="F9114" t="s">
        <v>95</v>
      </c>
      <c r="G9114" t="s">
        <v>71</v>
      </c>
      <c r="H9114" t="str">
        <f>" "</f>
        <v xml:space="preserve"> </v>
      </c>
      <c r="N9114" t="s">
        <v>1525</v>
      </c>
      <c r="O9114" t="s">
        <v>1526</v>
      </c>
      <c r="R9114" t="s">
        <v>121</v>
      </c>
      <c r="S9114">
        <v>1</v>
      </c>
      <c r="T9114" t="s">
        <v>8670</v>
      </c>
      <c r="U9114" s="1">
        <v>43348</v>
      </c>
      <c r="V9114" t="s">
        <v>66</v>
      </c>
      <c r="W9114" t="s">
        <v>67</v>
      </c>
      <c r="X9114" t="s">
        <v>58</v>
      </c>
      <c r="Y9114">
        <v>25</v>
      </c>
      <c r="Z9114" t="s">
        <v>59</v>
      </c>
      <c r="AD9114" t="s">
        <v>59</v>
      </c>
      <c r="AF9114" s="1">
        <v>43348</v>
      </c>
      <c r="AG9114" t="s">
        <v>8651</v>
      </c>
      <c r="AH9114" t="s">
        <v>8652</v>
      </c>
      <c r="AI9114" t="str">
        <f>"9410265"</f>
        <v>9410265</v>
      </c>
      <c r="AJ9114" t="s">
        <v>12654</v>
      </c>
      <c r="AK9114">
        <v>2831027473</v>
      </c>
      <c r="AL9114" t="s">
        <v>12655</v>
      </c>
      <c r="AM9114" t="s">
        <v>64</v>
      </c>
      <c r="AN9114" t="s">
        <v>65</v>
      </c>
      <c r="AO9114" t="s">
        <v>65</v>
      </c>
      <c r="AP9114" t="s">
        <v>65</v>
      </c>
      <c r="AQ9114">
        <v>1</v>
      </c>
      <c r="AR9114" t="s">
        <v>66</v>
      </c>
      <c r="AS9114" t="s">
        <v>67</v>
      </c>
      <c r="AT9114" t="s">
        <v>58</v>
      </c>
      <c r="AU9114" t="s">
        <v>8673</v>
      </c>
      <c r="AV9114" t="s">
        <v>132</v>
      </c>
      <c r="AW9114" s="1">
        <v>25590</v>
      </c>
      <c r="AX9114">
        <v>1</v>
      </c>
    </row>
    <row r="9115" spans="1:50">
      <c r="B9115" t="str">
        <f>"047380230"</f>
        <v>047380230</v>
      </c>
      <c r="C9115" t="s">
        <v>105</v>
      </c>
      <c r="D9115" t="s">
        <v>13752</v>
      </c>
      <c r="E9115" t="s">
        <v>53</v>
      </c>
      <c r="F9115" t="s">
        <v>72</v>
      </c>
      <c r="G9115" t="s">
        <v>96</v>
      </c>
      <c r="H9115" t="str">
        <f>"ΚΡΙΤΟΒΟΥΛΙΔΟΥ  5 ΡΕΘΥΜΝΟ"</f>
        <v>ΚΡΙΤΟΒΟΥΛΙΔΟΥ  5 ΡΕΘΥΜΝΟ</v>
      </c>
      <c r="I9115">
        <v>74100</v>
      </c>
      <c r="J9115">
        <v>2831055656</v>
      </c>
      <c r="K9115">
        <v>6945118500</v>
      </c>
      <c r="N9115" t="s">
        <v>8834</v>
      </c>
      <c r="O9115" t="s">
        <v>8695</v>
      </c>
      <c r="R9115" t="s">
        <v>159</v>
      </c>
      <c r="S9115">
        <v>4</v>
      </c>
      <c r="T9115" t="s">
        <v>8696</v>
      </c>
      <c r="U9115" s="1">
        <v>43348</v>
      </c>
      <c r="V9115" t="s">
        <v>66</v>
      </c>
      <c r="W9115" t="s">
        <v>67</v>
      </c>
      <c r="X9115" t="s">
        <v>58</v>
      </c>
      <c r="Y9115">
        <v>24</v>
      </c>
      <c r="Z9115" t="s">
        <v>59</v>
      </c>
      <c r="AA9115" t="s">
        <v>59</v>
      </c>
      <c r="AB9115" t="s">
        <v>59</v>
      </c>
      <c r="AC9115" t="s">
        <v>59</v>
      </c>
      <c r="AD9115" t="s">
        <v>59</v>
      </c>
      <c r="AF9115" s="1">
        <v>43348</v>
      </c>
      <c r="AG9115" t="s">
        <v>8645</v>
      </c>
      <c r="AH9115" t="s">
        <v>8646</v>
      </c>
      <c r="AI9115" t="str">
        <f>"9410150"</f>
        <v>9410150</v>
      </c>
      <c r="AJ9115" t="s">
        <v>12733</v>
      </c>
      <c r="AK9115">
        <v>2831052969</v>
      </c>
      <c r="AL9115" t="s">
        <v>12734</v>
      </c>
      <c r="AM9115" t="s">
        <v>64</v>
      </c>
      <c r="AN9115" t="s">
        <v>65</v>
      </c>
      <c r="AO9115" t="s">
        <v>65</v>
      </c>
      <c r="AP9115" t="s">
        <v>65</v>
      </c>
      <c r="AQ9115">
        <v>1</v>
      </c>
      <c r="AR9115" t="s">
        <v>66</v>
      </c>
      <c r="AS9115" t="s">
        <v>67</v>
      </c>
      <c r="AT9115" t="s">
        <v>58</v>
      </c>
      <c r="AU9115" t="s">
        <v>350</v>
      </c>
      <c r="AV9115" t="s">
        <v>132</v>
      </c>
      <c r="AW9115" s="1">
        <v>24279</v>
      </c>
      <c r="AX9115">
        <v>1</v>
      </c>
    </row>
    <row r="9116" spans="1:50">
      <c r="B9116" t="str">
        <f>"141231356"</f>
        <v>141231356</v>
      </c>
      <c r="C9116" t="s">
        <v>50</v>
      </c>
      <c r="D9116" t="s">
        <v>13753</v>
      </c>
      <c r="E9116" t="s">
        <v>714</v>
      </c>
      <c r="F9116" t="s">
        <v>99</v>
      </c>
      <c r="G9116" t="s">
        <v>904</v>
      </c>
      <c r="H9116" t="str">
        <f>"Γ.ΣΕΦΕΡΗ 166 "</f>
        <v xml:space="preserve">Γ.ΣΕΦΕΡΗ 166 </v>
      </c>
      <c r="I9116">
        <v>41223</v>
      </c>
      <c r="J9116">
        <v>2410238488</v>
      </c>
      <c r="K9116">
        <v>6906955776</v>
      </c>
      <c r="L9116">
        <v>6906955776</v>
      </c>
      <c r="M9116" t="s">
        <v>13754</v>
      </c>
      <c r="N9116" t="s">
        <v>8694</v>
      </c>
      <c r="O9116" t="s">
        <v>8695</v>
      </c>
      <c r="R9116" t="s">
        <v>159</v>
      </c>
      <c r="S9116">
        <v>2</v>
      </c>
      <c r="T9116" t="s">
        <v>8696</v>
      </c>
      <c r="U9116" s="1">
        <v>43348</v>
      </c>
      <c r="V9116" t="s">
        <v>66</v>
      </c>
      <c r="W9116" t="s">
        <v>67</v>
      </c>
      <c r="X9116" t="s">
        <v>58</v>
      </c>
      <c r="Y9116">
        <v>24</v>
      </c>
      <c r="Z9116" t="s">
        <v>59</v>
      </c>
      <c r="AA9116" t="s">
        <v>59</v>
      </c>
      <c r="AB9116" t="s">
        <v>59</v>
      </c>
      <c r="AC9116" t="s">
        <v>59</v>
      </c>
      <c r="AD9116" t="s">
        <v>59</v>
      </c>
      <c r="AF9116" s="1">
        <v>43348</v>
      </c>
      <c r="AG9116" t="s">
        <v>8645</v>
      </c>
      <c r="AH9116" t="s">
        <v>8646</v>
      </c>
      <c r="AI9116" t="str">
        <f>"9410242"</f>
        <v>9410242</v>
      </c>
      <c r="AJ9116" t="s">
        <v>12796</v>
      </c>
      <c r="AK9116">
        <v>2834023145</v>
      </c>
      <c r="AL9116" t="s">
        <v>12797</v>
      </c>
      <c r="AM9116" t="s">
        <v>64</v>
      </c>
      <c r="AN9116" t="s">
        <v>5672</v>
      </c>
      <c r="AO9116" t="s">
        <v>5673</v>
      </c>
      <c r="AP9116" t="s">
        <v>5689</v>
      </c>
      <c r="AQ9116">
        <v>7</v>
      </c>
      <c r="AR9116" t="s">
        <v>66</v>
      </c>
      <c r="AS9116" t="s">
        <v>67</v>
      </c>
      <c r="AT9116" t="s">
        <v>58</v>
      </c>
      <c r="AU9116" t="s">
        <v>350</v>
      </c>
      <c r="AV9116" t="s">
        <v>132</v>
      </c>
      <c r="AW9116" s="1">
        <v>30836</v>
      </c>
      <c r="AX9116">
        <v>1</v>
      </c>
    </row>
    <row r="9117" spans="1:50">
      <c r="A9117">
        <v>584210</v>
      </c>
      <c r="B9117" t="str">
        <f>"062213766"</f>
        <v>062213766</v>
      </c>
      <c r="C9117" t="s">
        <v>50</v>
      </c>
      <c r="D9117" t="s">
        <v>8476</v>
      </c>
      <c r="E9117" t="s">
        <v>2709</v>
      </c>
      <c r="F9117" t="s">
        <v>92</v>
      </c>
      <c r="G9117" t="s">
        <v>54</v>
      </c>
      <c r="H9117" t="str">
        <f>"ΚΑΠΟΔΙΣΤΡΙΟΥ 61 ΡΕΘΥΜΝΟ"</f>
        <v>ΚΑΠΟΔΙΣΤΡΙΟΥ 61 ΡΕΘΥΜΝΟ</v>
      </c>
      <c r="J9117">
        <v>2831025771</v>
      </c>
      <c r="K9117">
        <v>6942481247</v>
      </c>
      <c r="N9117" t="s">
        <v>615</v>
      </c>
      <c r="O9117" t="s">
        <v>616</v>
      </c>
      <c r="R9117" t="s">
        <v>57</v>
      </c>
      <c r="S9117">
        <v>10</v>
      </c>
      <c r="T9117">
        <v>165</v>
      </c>
      <c r="U9117" s="1">
        <v>36040</v>
      </c>
      <c r="V9117" t="s">
        <v>66</v>
      </c>
      <c r="W9117" t="s">
        <v>67</v>
      </c>
      <c r="X9117" t="s">
        <v>58</v>
      </c>
      <c r="Y9117">
        <v>21</v>
      </c>
      <c r="Z9117" t="s">
        <v>59</v>
      </c>
      <c r="AA9117" t="s">
        <v>59</v>
      </c>
      <c r="AB9117" t="s">
        <v>59</v>
      </c>
      <c r="AC9117" t="s">
        <v>59</v>
      </c>
      <c r="AD9117" t="s">
        <v>59</v>
      </c>
      <c r="AF9117" s="1">
        <v>36040</v>
      </c>
      <c r="AG9117" t="s">
        <v>8645</v>
      </c>
      <c r="AH9117" t="s">
        <v>8646</v>
      </c>
      <c r="AI9117" t="str">
        <f>"9410241"</f>
        <v>9410241</v>
      </c>
      <c r="AJ9117" t="s">
        <v>12783</v>
      </c>
      <c r="AK9117">
        <v>2831022616</v>
      </c>
      <c r="AL9117" t="s">
        <v>12784</v>
      </c>
      <c r="AM9117" t="s">
        <v>64</v>
      </c>
      <c r="AN9117" t="s">
        <v>65</v>
      </c>
      <c r="AO9117" t="s">
        <v>65</v>
      </c>
      <c r="AP9117" t="s">
        <v>65</v>
      </c>
      <c r="AQ9117">
        <v>1</v>
      </c>
      <c r="AR9117" t="s">
        <v>66</v>
      </c>
      <c r="AS9117" t="s">
        <v>67</v>
      </c>
      <c r="AT9117" t="s">
        <v>58</v>
      </c>
      <c r="AU9117" t="s">
        <v>68</v>
      </c>
      <c r="AV9117" t="s">
        <v>2039</v>
      </c>
      <c r="AW9117" s="1">
        <v>24928</v>
      </c>
      <c r="AX9117">
        <v>1</v>
      </c>
    </row>
    <row r="9118" spans="1:50">
      <c r="A9118">
        <v>612220</v>
      </c>
      <c r="B9118" t="str">
        <f>"114116011"</f>
        <v>114116011</v>
      </c>
      <c r="C9118" t="s">
        <v>50</v>
      </c>
      <c r="D9118" t="s">
        <v>13755</v>
      </c>
      <c r="E9118" t="s">
        <v>181</v>
      </c>
      <c r="F9118" t="s">
        <v>4730</v>
      </c>
      <c r="G9118" t="s">
        <v>73</v>
      </c>
      <c r="H9118" t="str">
        <f>"ΜΟΥΡΝΙΩΝ 15 ΧΑΝΙΑ"</f>
        <v>ΜΟΥΡΝΙΩΝ 15 ΧΑΝΙΑ</v>
      </c>
      <c r="I9118">
        <v>73300</v>
      </c>
      <c r="K9118">
        <v>6944981381</v>
      </c>
      <c r="N9118" t="s">
        <v>306</v>
      </c>
      <c r="O9118" t="s">
        <v>307</v>
      </c>
      <c r="R9118" t="s">
        <v>57</v>
      </c>
      <c r="S9118">
        <v>6</v>
      </c>
      <c r="T9118">
        <v>234</v>
      </c>
      <c r="U9118" s="1">
        <v>38960</v>
      </c>
      <c r="V9118" t="s">
        <v>66</v>
      </c>
      <c r="W9118" t="s">
        <v>67</v>
      </c>
      <c r="X9118" t="s">
        <v>58</v>
      </c>
      <c r="Y9118">
        <v>23</v>
      </c>
      <c r="Z9118" t="s">
        <v>59</v>
      </c>
      <c r="AA9118" t="s">
        <v>59</v>
      </c>
      <c r="AB9118" t="s">
        <v>59</v>
      </c>
      <c r="AC9118" t="s">
        <v>59</v>
      </c>
      <c r="AD9118" t="s">
        <v>59</v>
      </c>
      <c r="AF9118" s="1">
        <v>38961</v>
      </c>
      <c r="AG9118" t="s">
        <v>8645</v>
      </c>
      <c r="AH9118" t="s">
        <v>8646</v>
      </c>
      <c r="AI9118" t="str">
        <f>"9410180"</f>
        <v>9410180</v>
      </c>
      <c r="AJ9118" t="s">
        <v>12696</v>
      </c>
      <c r="AK9118">
        <v>2831031206</v>
      </c>
      <c r="AL9118" t="s">
        <v>12697</v>
      </c>
      <c r="AM9118" t="s">
        <v>64</v>
      </c>
      <c r="AN9118" t="s">
        <v>65</v>
      </c>
      <c r="AO9118" t="s">
        <v>5720</v>
      </c>
      <c r="AP9118" t="s">
        <v>12698</v>
      </c>
      <c r="AQ9118">
        <v>2</v>
      </c>
      <c r="AR9118" t="s">
        <v>66</v>
      </c>
      <c r="AS9118" t="s">
        <v>67</v>
      </c>
      <c r="AT9118" t="s">
        <v>58</v>
      </c>
      <c r="AU9118" t="s">
        <v>68</v>
      </c>
      <c r="AV9118" t="s">
        <v>69</v>
      </c>
      <c r="AW9118" s="1">
        <v>29366</v>
      </c>
      <c r="AX9118">
        <v>1</v>
      </c>
    </row>
    <row r="9119" spans="1:50">
      <c r="A9119">
        <v>586055</v>
      </c>
      <c r="B9119" t="str">
        <f>"061544822"</f>
        <v>061544822</v>
      </c>
      <c r="C9119" t="s">
        <v>50</v>
      </c>
      <c r="D9119" t="s">
        <v>11690</v>
      </c>
      <c r="E9119" t="s">
        <v>52</v>
      </c>
      <c r="F9119" t="s">
        <v>995</v>
      </c>
      <c r="G9119" t="s">
        <v>13756</v>
      </c>
      <c r="H9119" t="str">
        <f>"ΠΑΤΡΟΚΛΟΥ 6 ΡΕΘΥΜΝΟ"</f>
        <v>ΠΑΤΡΟΚΛΟΥ 6 ΡΕΘΥΜΝΟ</v>
      </c>
      <c r="I9119">
        <v>74132</v>
      </c>
      <c r="K9119">
        <v>6945358859</v>
      </c>
      <c r="M9119" t="s">
        <v>13757</v>
      </c>
      <c r="N9119" t="s">
        <v>615</v>
      </c>
      <c r="O9119" t="s">
        <v>616</v>
      </c>
      <c r="R9119" t="s">
        <v>57</v>
      </c>
      <c r="S9119">
        <v>10</v>
      </c>
      <c r="T9119">
        <v>165</v>
      </c>
      <c r="U9119" s="1">
        <v>36040</v>
      </c>
      <c r="V9119" t="s">
        <v>66</v>
      </c>
      <c r="W9119" t="s">
        <v>67</v>
      </c>
      <c r="X9119" t="s">
        <v>58</v>
      </c>
      <c r="Y9119">
        <v>21</v>
      </c>
      <c r="Z9119" t="s">
        <v>59</v>
      </c>
      <c r="AA9119" t="s">
        <v>59</v>
      </c>
      <c r="AB9119" t="s">
        <v>59</v>
      </c>
      <c r="AC9119" t="s">
        <v>59</v>
      </c>
      <c r="AD9119" t="s">
        <v>59</v>
      </c>
      <c r="AF9119" s="1">
        <v>36040</v>
      </c>
      <c r="AG9119" t="s">
        <v>8645</v>
      </c>
      <c r="AH9119" t="s">
        <v>8646</v>
      </c>
      <c r="AI9119" t="str">
        <f>"9410263"</f>
        <v>9410263</v>
      </c>
      <c r="AJ9119" t="s">
        <v>12672</v>
      </c>
      <c r="AK9119">
        <v>2831053818</v>
      </c>
      <c r="AL9119" t="s">
        <v>12673</v>
      </c>
      <c r="AM9119" t="s">
        <v>64</v>
      </c>
      <c r="AN9119" t="s">
        <v>65</v>
      </c>
      <c r="AO9119" t="s">
        <v>65</v>
      </c>
      <c r="AP9119" t="s">
        <v>65</v>
      </c>
      <c r="AQ9119">
        <v>1</v>
      </c>
      <c r="AR9119" t="s">
        <v>66</v>
      </c>
      <c r="AS9119" t="s">
        <v>67</v>
      </c>
      <c r="AT9119" t="s">
        <v>58</v>
      </c>
      <c r="AU9119" t="s">
        <v>68</v>
      </c>
      <c r="AV9119" t="s">
        <v>69</v>
      </c>
      <c r="AW9119" s="1">
        <v>24184</v>
      </c>
      <c r="AX9119">
        <v>1</v>
      </c>
    </row>
    <row r="9120" spans="1:50">
      <c r="A9120">
        <v>600305</v>
      </c>
      <c r="B9120" t="str">
        <f>"061704453"</f>
        <v>061704453</v>
      </c>
      <c r="C9120" t="s">
        <v>105</v>
      </c>
      <c r="D9120" t="s">
        <v>13758</v>
      </c>
      <c r="E9120" t="s">
        <v>309</v>
      </c>
      <c r="F9120" t="s">
        <v>995</v>
      </c>
      <c r="G9120" t="s">
        <v>13759</v>
      </c>
      <c r="H9120" t="str">
        <f>"ΓΩΝΙΑ ΡΕΘΥΜΝΟΥ ΡΕΘΥΜΝΟ"</f>
        <v>ΓΩΝΙΑ ΡΕΘΥΜΝΟΥ ΡΕΘΥΜΝΟ</v>
      </c>
      <c r="I9120">
        <v>74132</v>
      </c>
      <c r="J9120">
        <v>2831036228</v>
      </c>
      <c r="K9120">
        <v>6981876026</v>
      </c>
      <c r="L9120">
        <v>6376457046</v>
      </c>
      <c r="N9120" t="s">
        <v>615</v>
      </c>
      <c r="O9120" t="s">
        <v>616</v>
      </c>
      <c r="R9120" t="s">
        <v>57</v>
      </c>
      <c r="S9120">
        <v>9</v>
      </c>
      <c r="T9120">
        <v>195</v>
      </c>
      <c r="U9120" s="1">
        <v>37497</v>
      </c>
      <c r="V9120" t="s">
        <v>66</v>
      </c>
      <c r="W9120" t="s">
        <v>67</v>
      </c>
      <c r="X9120" t="s">
        <v>58</v>
      </c>
      <c r="Y9120">
        <v>22</v>
      </c>
      <c r="Z9120" t="s">
        <v>59</v>
      </c>
      <c r="AA9120" t="s">
        <v>59</v>
      </c>
      <c r="AB9120" t="s">
        <v>59</v>
      </c>
      <c r="AC9120" t="s">
        <v>59</v>
      </c>
      <c r="AD9120" t="s">
        <v>59</v>
      </c>
      <c r="AF9120" s="1">
        <v>37501</v>
      </c>
      <c r="AG9120" t="s">
        <v>8645</v>
      </c>
      <c r="AH9120" t="s">
        <v>8646</v>
      </c>
      <c r="AI9120" t="str">
        <f>"9410169"</f>
        <v>9410169</v>
      </c>
      <c r="AJ9120" t="s">
        <v>12936</v>
      </c>
      <c r="AK9120">
        <v>2831031123</v>
      </c>
      <c r="AL9120" t="s">
        <v>12937</v>
      </c>
      <c r="AM9120" t="s">
        <v>64</v>
      </c>
      <c r="AN9120" t="s">
        <v>65</v>
      </c>
      <c r="AO9120" t="s">
        <v>5720</v>
      </c>
      <c r="AP9120" t="s">
        <v>12938</v>
      </c>
      <c r="AQ9120">
        <v>2</v>
      </c>
      <c r="AR9120" t="s">
        <v>66</v>
      </c>
      <c r="AS9120" t="s">
        <v>67</v>
      </c>
      <c r="AT9120" t="s">
        <v>58</v>
      </c>
      <c r="AU9120" t="s">
        <v>68</v>
      </c>
      <c r="AV9120" t="s">
        <v>69</v>
      </c>
      <c r="AW9120" s="1">
        <v>23515</v>
      </c>
      <c r="AX9120">
        <v>1</v>
      </c>
    </row>
    <row r="9121" spans="1:50">
      <c r="A9121">
        <v>601031</v>
      </c>
      <c r="B9121" t="str">
        <f>"113634363"</f>
        <v>113634363</v>
      </c>
      <c r="C9121" t="s">
        <v>50</v>
      </c>
      <c r="D9121" t="s">
        <v>13760</v>
      </c>
      <c r="E9121" t="s">
        <v>52</v>
      </c>
      <c r="F9121" t="s">
        <v>111</v>
      </c>
      <c r="G9121" t="s">
        <v>1078</v>
      </c>
      <c r="H9121" t="str">
        <f>"ΣΤΑΥΡΩΜΕΝΟΣ ΡΕΘΥΜΝΟ"</f>
        <v>ΣΤΑΥΡΩΜΕΝΟΣ ΡΕΘΥΜΝΟ</v>
      </c>
      <c r="I9121">
        <v>74100</v>
      </c>
      <c r="J9121">
        <v>2831071907</v>
      </c>
      <c r="K9121">
        <v>6944863432</v>
      </c>
      <c r="N9121" t="s">
        <v>615</v>
      </c>
      <c r="O9121" t="s">
        <v>616</v>
      </c>
      <c r="R9121" t="s">
        <v>57</v>
      </c>
      <c r="S9121">
        <v>8</v>
      </c>
      <c r="T9121">
        <v>207</v>
      </c>
      <c r="U9121" s="1">
        <v>37866</v>
      </c>
      <c r="V9121" t="s">
        <v>66</v>
      </c>
      <c r="W9121" t="s">
        <v>67</v>
      </c>
      <c r="X9121" t="s">
        <v>58</v>
      </c>
      <c r="Y9121">
        <v>22</v>
      </c>
      <c r="Z9121" t="s">
        <v>59</v>
      </c>
      <c r="AA9121" t="s">
        <v>59</v>
      </c>
      <c r="AB9121" t="s">
        <v>59</v>
      </c>
      <c r="AC9121" t="s">
        <v>59</v>
      </c>
      <c r="AD9121" t="s">
        <v>59</v>
      </c>
      <c r="AF9121" s="1">
        <v>37866</v>
      </c>
      <c r="AG9121" t="s">
        <v>8645</v>
      </c>
      <c r="AH9121" t="s">
        <v>8646</v>
      </c>
      <c r="AI9121" t="str">
        <f>"9410226"</f>
        <v>9410226</v>
      </c>
      <c r="AJ9121" t="s">
        <v>12702</v>
      </c>
      <c r="AK9121">
        <v>2831071088</v>
      </c>
      <c r="AL9121" t="s">
        <v>12703</v>
      </c>
      <c r="AM9121" t="s">
        <v>64</v>
      </c>
      <c r="AN9121" t="s">
        <v>65</v>
      </c>
      <c r="AO9121" t="s">
        <v>12694</v>
      </c>
      <c r="AP9121" t="s">
        <v>12704</v>
      </c>
      <c r="AQ9121">
        <v>3</v>
      </c>
      <c r="AR9121" t="s">
        <v>66</v>
      </c>
      <c r="AS9121" t="s">
        <v>67</v>
      </c>
      <c r="AT9121" t="s">
        <v>58</v>
      </c>
      <c r="AU9121" t="s">
        <v>68</v>
      </c>
      <c r="AV9121" t="s">
        <v>69</v>
      </c>
      <c r="AW9121" s="1">
        <v>26116</v>
      </c>
      <c r="AX9121">
        <v>1</v>
      </c>
    </row>
    <row r="9122" spans="1:50">
      <c r="B9122" t="str">
        <f>"137649475"</f>
        <v>137649475</v>
      </c>
      <c r="C9122" t="s">
        <v>50</v>
      </c>
      <c r="D9122" t="s">
        <v>13761</v>
      </c>
      <c r="E9122" t="s">
        <v>440</v>
      </c>
      <c r="F9122" t="s">
        <v>72</v>
      </c>
      <c r="G9122" t="s">
        <v>237</v>
      </c>
      <c r="H9122" t="str">
        <f>"ΔΡΑΚΟΝΤΟΣ 43 ΠΙΚΕΡΜΙ"</f>
        <v>ΔΡΑΚΟΝΤΟΣ 43 ΠΙΚΕΡΜΙ</v>
      </c>
      <c r="I9122">
        <v>19009</v>
      </c>
      <c r="J9122">
        <v>2106044509</v>
      </c>
      <c r="K9122">
        <v>6948596922</v>
      </c>
      <c r="N9122" t="s">
        <v>615</v>
      </c>
      <c r="O9122" t="s">
        <v>616</v>
      </c>
      <c r="R9122" t="s">
        <v>159</v>
      </c>
      <c r="S9122">
        <v>4</v>
      </c>
      <c r="T9122" t="s">
        <v>8675</v>
      </c>
      <c r="U9122" s="1">
        <v>43348</v>
      </c>
      <c r="V9122" t="s">
        <v>66</v>
      </c>
      <c r="W9122" t="s">
        <v>67</v>
      </c>
      <c r="X9122" t="s">
        <v>58</v>
      </c>
      <c r="Y9122">
        <v>24</v>
      </c>
      <c r="Z9122" t="s">
        <v>59</v>
      </c>
      <c r="AA9122" t="s">
        <v>59</v>
      </c>
      <c r="AB9122" t="s">
        <v>59</v>
      </c>
      <c r="AC9122" t="s">
        <v>59</v>
      </c>
      <c r="AD9122" t="s">
        <v>59</v>
      </c>
      <c r="AF9122" s="1">
        <v>43348</v>
      </c>
      <c r="AG9122" t="s">
        <v>8645</v>
      </c>
      <c r="AH9122" t="s">
        <v>8646</v>
      </c>
      <c r="AI9122" t="str">
        <f>"9410030"</f>
        <v>9410030</v>
      </c>
      <c r="AJ9122" t="s">
        <v>12743</v>
      </c>
      <c r="AK9122">
        <v>2834093217</v>
      </c>
      <c r="AL9122" t="s">
        <v>12744</v>
      </c>
      <c r="AM9122" t="s">
        <v>64</v>
      </c>
      <c r="AN9122" t="s">
        <v>65</v>
      </c>
      <c r="AO9122" t="s">
        <v>12694</v>
      </c>
      <c r="AP9122" t="s">
        <v>12745</v>
      </c>
      <c r="AQ9122">
        <v>3</v>
      </c>
      <c r="AR9122" t="s">
        <v>66</v>
      </c>
      <c r="AS9122" t="s">
        <v>67</v>
      </c>
      <c r="AT9122" t="s">
        <v>58</v>
      </c>
      <c r="AU9122" t="s">
        <v>8673</v>
      </c>
      <c r="AV9122" t="s">
        <v>132</v>
      </c>
      <c r="AW9122" s="1">
        <v>31819</v>
      </c>
      <c r="AX9122">
        <v>1</v>
      </c>
    </row>
    <row r="9123" spans="1:50">
      <c r="A9123">
        <v>588033</v>
      </c>
      <c r="B9123" t="str">
        <f>"054791634"</f>
        <v>054791634</v>
      </c>
      <c r="C9123" t="s">
        <v>50</v>
      </c>
      <c r="D9123" t="s">
        <v>13762</v>
      </c>
      <c r="E9123" t="s">
        <v>73</v>
      </c>
      <c r="F9123" t="s">
        <v>72</v>
      </c>
      <c r="G9123" t="s">
        <v>52</v>
      </c>
      <c r="H9123" t="str">
        <f>"ΚΑΠΟΔΙΣΤΡΙΟΥ 61 ΚΑΛΛΙΘΕΑ ΡΕΘΥΜΝΟ"</f>
        <v>ΚΑΠΟΔΙΣΤΡΙΟΥ 61 ΚΑΛΛΙΘΕΑ ΡΕΘΥΜΝΟ</v>
      </c>
      <c r="I9123">
        <v>74100</v>
      </c>
      <c r="J9123">
        <v>2831052137</v>
      </c>
      <c r="K9123">
        <v>6972320161</v>
      </c>
      <c r="M9123" t="s">
        <v>13763</v>
      </c>
      <c r="N9123" t="s">
        <v>1525</v>
      </c>
      <c r="O9123" t="s">
        <v>1526</v>
      </c>
      <c r="R9123" t="s">
        <v>57</v>
      </c>
      <c r="S9123">
        <v>9</v>
      </c>
      <c r="T9123">
        <v>250</v>
      </c>
      <c r="U9123" s="1">
        <v>36160</v>
      </c>
      <c r="V9123" t="s">
        <v>66</v>
      </c>
      <c r="W9123" t="s">
        <v>67</v>
      </c>
      <c r="X9123" t="s">
        <v>58</v>
      </c>
      <c r="Y9123">
        <v>25</v>
      </c>
      <c r="Z9123" t="s">
        <v>59</v>
      </c>
      <c r="AA9123" t="s">
        <v>59</v>
      </c>
      <c r="AB9123" t="s">
        <v>59</v>
      </c>
      <c r="AC9123" t="s">
        <v>59</v>
      </c>
      <c r="AD9123" t="s">
        <v>59</v>
      </c>
      <c r="AF9123" s="1">
        <v>36182</v>
      </c>
      <c r="AG9123" t="s">
        <v>8651</v>
      </c>
      <c r="AH9123" t="s">
        <v>8652</v>
      </c>
      <c r="AI9123" t="str">
        <f>"9410266"</f>
        <v>9410266</v>
      </c>
      <c r="AJ9123" t="s">
        <v>12753</v>
      </c>
      <c r="AK9123">
        <v>2831022467</v>
      </c>
      <c r="AL9123" t="s">
        <v>12754</v>
      </c>
      <c r="AM9123" t="s">
        <v>64</v>
      </c>
      <c r="AN9123" t="s">
        <v>65</v>
      </c>
      <c r="AO9123" t="s">
        <v>65</v>
      </c>
      <c r="AP9123" t="s">
        <v>65</v>
      </c>
      <c r="AQ9123">
        <v>1</v>
      </c>
      <c r="AR9123" t="s">
        <v>66</v>
      </c>
      <c r="AS9123" t="s">
        <v>67</v>
      </c>
      <c r="AT9123" t="s">
        <v>58</v>
      </c>
      <c r="AU9123" t="s">
        <v>68</v>
      </c>
      <c r="AV9123" t="s">
        <v>69</v>
      </c>
      <c r="AW9123" s="1">
        <v>25396</v>
      </c>
      <c r="AX9123">
        <v>1</v>
      </c>
    </row>
    <row r="9124" spans="1:50">
      <c r="A9124">
        <v>604879</v>
      </c>
      <c r="B9124" t="str">
        <f>"065719200"</f>
        <v>065719200</v>
      </c>
      <c r="C9124" t="s">
        <v>105</v>
      </c>
      <c r="D9124" t="s">
        <v>13764</v>
      </c>
      <c r="E9124" t="s">
        <v>202</v>
      </c>
      <c r="F9124" t="s">
        <v>99</v>
      </c>
      <c r="G9124" t="s">
        <v>255</v>
      </c>
      <c r="H9124" t="str">
        <f>"ΜΑΚΕΔΟΝΙΑΣ  6 ΡΕΘΥΜΝΟ"</f>
        <v>ΜΑΚΕΔΟΝΙΑΣ  6 ΡΕΘΥΜΝΟ</v>
      </c>
      <c r="I9124">
        <v>74100</v>
      </c>
      <c r="J9124">
        <v>2831056290</v>
      </c>
      <c r="K9124">
        <v>6988702461</v>
      </c>
      <c r="L9124">
        <v>6974591099</v>
      </c>
      <c r="M9124" t="s">
        <v>13765</v>
      </c>
      <c r="N9124" t="s">
        <v>615</v>
      </c>
      <c r="O9124" t="s">
        <v>616</v>
      </c>
      <c r="R9124" t="s">
        <v>57</v>
      </c>
      <c r="S9124">
        <v>8</v>
      </c>
      <c r="T9124">
        <v>231</v>
      </c>
      <c r="U9124" s="1">
        <v>38230</v>
      </c>
      <c r="V9124" t="s">
        <v>66</v>
      </c>
      <c r="W9124" t="s">
        <v>67</v>
      </c>
      <c r="X9124" t="s">
        <v>58</v>
      </c>
      <c r="Y9124">
        <v>22</v>
      </c>
      <c r="Z9124" t="s">
        <v>59</v>
      </c>
      <c r="AA9124" t="s">
        <v>59</v>
      </c>
      <c r="AB9124" t="s">
        <v>59</v>
      </c>
      <c r="AC9124" t="s">
        <v>59</v>
      </c>
      <c r="AD9124" t="s">
        <v>59</v>
      </c>
      <c r="AF9124" s="1">
        <v>38231</v>
      </c>
      <c r="AG9124" t="s">
        <v>8645</v>
      </c>
      <c r="AH9124" t="s">
        <v>8646</v>
      </c>
      <c r="AI9124" t="str">
        <f>"9410152"</f>
        <v>9410152</v>
      </c>
      <c r="AJ9124" t="s">
        <v>12686</v>
      </c>
      <c r="AK9124">
        <v>2831029088</v>
      </c>
      <c r="AL9124" t="s">
        <v>12687</v>
      </c>
      <c r="AM9124" t="s">
        <v>64</v>
      </c>
      <c r="AN9124" t="s">
        <v>65</v>
      </c>
      <c r="AO9124" t="s">
        <v>65</v>
      </c>
      <c r="AP9124" t="s">
        <v>65</v>
      </c>
      <c r="AQ9124">
        <v>1</v>
      </c>
      <c r="AR9124" t="s">
        <v>66</v>
      </c>
      <c r="AS9124" t="s">
        <v>67</v>
      </c>
      <c r="AT9124" t="s">
        <v>58</v>
      </c>
      <c r="AU9124" t="s">
        <v>68</v>
      </c>
      <c r="AV9124" t="s">
        <v>69</v>
      </c>
      <c r="AW9124" s="1">
        <v>26525</v>
      </c>
      <c r="AX9124">
        <v>1</v>
      </c>
    </row>
    <row r="9125" spans="1:50">
      <c r="A9125">
        <v>607317</v>
      </c>
      <c r="B9125" t="str">
        <f>"119686008"</f>
        <v>119686008</v>
      </c>
      <c r="C9125" t="s">
        <v>50</v>
      </c>
      <c r="D9125" t="s">
        <v>4163</v>
      </c>
      <c r="E9125" t="s">
        <v>1068</v>
      </c>
      <c r="F9125" t="s">
        <v>99</v>
      </c>
      <c r="G9125" t="s">
        <v>52</v>
      </c>
      <c r="H9125" t="str">
        <f>"ΑΠΟΛΛΩΝΙΟΥ ΡΟΔΙΟΥ 44 ΗΡΑΚΛΕΙΟΥ"</f>
        <v>ΑΠΟΛΛΩΝΙΟΥ ΡΟΔΙΟΥ 44 ΗΡΑΚΛΕΙΟΥ</v>
      </c>
      <c r="I9125">
        <v>71305</v>
      </c>
      <c r="J9125">
        <v>2810212803</v>
      </c>
      <c r="K9125">
        <v>6955472397</v>
      </c>
      <c r="M9125" t="s">
        <v>13766</v>
      </c>
      <c r="N9125" t="s">
        <v>615</v>
      </c>
      <c r="O9125" t="s">
        <v>616</v>
      </c>
      <c r="R9125" t="s">
        <v>57</v>
      </c>
      <c r="S9125">
        <v>7</v>
      </c>
      <c r="T9125">
        <v>217</v>
      </c>
      <c r="U9125" s="1">
        <v>38596</v>
      </c>
      <c r="V9125" t="s">
        <v>66</v>
      </c>
      <c r="W9125" t="s">
        <v>67</v>
      </c>
      <c r="X9125" t="s">
        <v>58</v>
      </c>
      <c r="Y9125">
        <v>23</v>
      </c>
      <c r="Z9125" t="s">
        <v>59</v>
      </c>
      <c r="AA9125" t="s">
        <v>59</v>
      </c>
      <c r="AB9125" t="s">
        <v>59</v>
      </c>
      <c r="AC9125" t="s">
        <v>59</v>
      </c>
      <c r="AD9125" t="s">
        <v>59</v>
      </c>
      <c r="AF9125" s="1">
        <v>38600</v>
      </c>
      <c r="AG9125" t="s">
        <v>8645</v>
      </c>
      <c r="AH9125" t="s">
        <v>8646</v>
      </c>
      <c r="AI9125" t="str">
        <f>"9410152"</f>
        <v>9410152</v>
      </c>
      <c r="AJ9125" t="s">
        <v>12686</v>
      </c>
      <c r="AK9125">
        <v>2831029088</v>
      </c>
      <c r="AL9125" t="s">
        <v>12687</v>
      </c>
      <c r="AM9125" t="s">
        <v>64</v>
      </c>
      <c r="AN9125" t="s">
        <v>65</v>
      </c>
      <c r="AO9125" t="s">
        <v>65</v>
      </c>
      <c r="AP9125" t="s">
        <v>65</v>
      </c>
      <c r="AQ9125">
        <v>1</v>
      </c>
      <c r="AR9125" t="s">
        <v>66</v>
      </c>
      <c r="AS9125" t="s">
        <v>67</v>
      </c>
      <c r="AT9125" t="s">
        <v>58</v>
      </c>
      <c r="AU9125" t="s">
        <v>68</v>
      </c>
      <c r="AV9125" t="s">
        <v>69</v>
      </c>
      <c r="AW9125" s="1">
        <v>29405</v>
      </c>
      <c r="AX9125">
        <v>1</v>
      </c>
    </row>
    <row r="9126" spans="1:50">
      <c r="A9126">
        <v>600319</v>
      </c>
      <c r="B9126" t="str">
        <f>"113600810"</f>
        <v>113600810</v>
      </c>
      <c r="C9126" t="s">
        <v>50</v>
      </c>
      <c r="D9126" t="s">
        <v>4165</v>
      </c>
      <c r="E9126" t="s">
        <v>860</v>
      </c>
      <c r="F9126" t="s">
        <v>72</v>
      </c>
      <c r="G9126" t="s">
        <v>414</v>
      </c>
      <c r="H9126" t="str">
        <f>"Μ. ΠΟΡΤΑΛΙΟΥ 19-21 ΡΕΘΥΜΝΟ"</f>
        <v>Μ. ΠΟΡΤΑΛΙΟΥ 19-21 ΡΕΘΥΜΝΟ</v>
      </c>
      <c r="I9126">
        <v>74100</v>
      </c>
      <c r="J9126">
        <v>2831027242</v>
      </c>
      <c r="K9126">
        <v>6977511157</v>
      </c>
      <c r="N9126" t="s">
        <v>1525</v>
      </c>
      <c r="O9126" t="s">
        <v>1526</v>
      </c>
      <c r="R9126" t="s">
        <v>57</v>
      </c>
      <c r="S9126">
        <v>7</v>
      </c>
      <c r="T9126">
        <v>195</v>
      </c>
      <c r="U9126" s="1">
        <v>37497</v>
      </c>
      <c r="V9126" t="s">
        <v>66</v>
      </c>
      <c r="W9126" t="s">
        <v>67</v>
      </c>
      <c r="X9126" t="s">
        <v>58</v>
      </c>
      <c r="Y9126">
        <v>25</v>
      </c>
      <c r="Z9126" t="s">
        <v>59</v>
      </c>
      <c r="AA9126" t="s">
        <v>59</v>
      </c>
      <c r="AB9126" t="s">
        <v>59</v>
      </c>
      <c r="AC9126" t="s">
        <v>59</v>
      </c>
      <c r="AD9126" t="s">
        <v>59</v>
      </c>
      <c r="AF9126" s="1">
        <v>37497</v>
      </c>
      <c r="AG9126" t="s">
        <v>8651</v>
      </c>
      <c r="AH9126" t="s">
        <v>8652</v>
      </c>
      <c r="AI9126" t="str">
        <f>"9410247"</f>
        <v>9410247</v>
      </c>
      <c r="AJ9126" t="s">
        <v>12907</v>
      </c>
      <c r="AK9126">
        <v>2831022381</v>
      </c>
      <c r="AL9126" t="s">
        <v>12908</v>
      </c>
      <c r="AM9126" t="s">
        <v>64</v>
      </c>
      <c r="AN9126" t="s">
        <v>65</v>
      </c>
      <c r="AO9126" t="s">
        <v>65</v>
      </c>
      <c r="AP9126" t="s">
        <v>65</v>
      </c>
      <c r="AQ9126">
        <v>1</v>
      </c>
      <c r="AR9126" t="s">
        <v>66</v>
      </c>
      <c r="AS9126" t="s">
        <v>67</v>
      </c>
      <c r="AT9126" t="s">
        <v>58</v>
      </c>
      <c r="AU9126" t="s">
        <v>68</v>
      </c>
      <c r="AV9126" t="s">
        <v>69</v>
      </c>
      <c r="AW9126" s="1">
        <v>27393</v>
      </c>
      <c r="AX9126">
        <v>1</v>
      </c>
    </row>
    <row r="9127" spans="1:50">
      <c r="A9127">
        <v>613183</v>
      </c>
      <c r="B9127" t="str">
        <f>"125962165"</f>
        <v>125962165</v>
      </c>
      <c r="C9127" t="s">
        <v>50</v>
      </c>
      <c r="D9127" t="s">
        <v>13767</v>
      </c>
      <c r="E9127" t="s">
        <v>13768</v>
      </c>
      <c r="F9127" t="s">
        <v>309</v>
      </c>
      <c r="G9127" t="s">
        <v>52</v>
      </c>
      <c r="H9127" t="str">
        <f>"ΕΛΕΥΘΕΡΙΟΥ ΒΕΝΙΖΕΛΟΥ 214 ΜΑΛΙΑ"</f>
        <v>ΕΛΕΥΘΕΡΙΟΥ ΒΕΝΙΖΕΛΟΥ 214 ΜΑΛΙΑ</v>
      </c>
      <c r="I9127">
        <v>70007</v>
      </c>
      <c r="J9127">
        <v>2897031855</v>
      </c>
      <c r="K9127">
        <v>6946873077</v>
      </c>
      <c r="N9127" t="s">
        <v>615</v>
      </c>
      <c r="O9127" t="s">
        <v>616</v>
      </c>
      <c r="R9127" t="s">
        <v>57</v>
      </c>
      <c r="S9127">
        <v>6</v>
      </c>
      <c r="T9127">
        <v>598</v>
      </c>
      <c r="U9127" s="1">
        <v>39310</v>
      </c>
      <c r="V9127" t="s">
        <v>66</v>
      </c>
      <c r="W9127" t="s">
        <v>67</v>
      </c>
      <c r="X9127" t="s">
        <v>58</v>
      </c>
      <c r="Y9127">
        <v>23</v>
      </c>
      <c r="Z9127" t="s">
        <v>59</v>
      </c>
      <c r="AA9127" t="s">
        <v>59</v>
      </c>
      <c r="AB9127" t="s">
        <v>59</v>
      </c>
      <c r="AC9127" t="s">
        <v>59</v>
      </c>
      <c r="AD9127" t="s">
        <v>59</v>
      </c>
      <c r="AF9127" s="1">
        <v>39328</v>
      </c>
      <c r="AG9127" t="s">
        <v>8645</v>
      </c>
      <c r="AH9127" t="s">
        <v>8646</v>
      </c>
      <c r="AI9127" t="str">
        <f>"9410065"</f>
        <v>9410065</v>
      </c>
      <c r="AJ9127" t="s">
        <v>12717</v>
      </c>
      <c r="AK9127">
        <v>2831022519</v>
      </c>
      <c r="AL9127" t="s">
        <v>12718</v>
      </c>
      <c r="AM9127" t="s">
        <v>64</v>
      </c>
      <c r="AN9127" t="s">
        <v>65</v>
      </c>
      <c r="AO9127" t="s">
        <v>65</v>
      </c>
      <c r="AP9127" t="s">
        <v>65</v>
      </c>
      <c r="AQ9127">
        <v>1</v>
      </c>
      <c r="AR9127" t="s">
        <v>66</v>
      </c>
      <c r="AS9127" t="s">
        <v>67</v>
      </c>
      <c r="AT9127" t="s">
        <v>58</v>
      </c>
      <c r="AU9127" t="s">
        <v>68</v>
      </c>
      <c r="AV9127" t="s">
        <v>69</v>
      </c>
      <c r="AW9127" s="1">
        <v>30280</v>
      </c>
      <c r="AX9127">
        <v>1</v>
      </c>
    </row>
    <row r="9128" spans="1:50">
      <c r="B9128" t="str">
        <f>"125962177"</f>
        <v>125962177</v>
      </c>
      <c r="C9128" t="s">
        <v>50</v>
      </c>
      <c r="D9128" t="s">
        <v>13767</v>
      </c>
      <c r="E9128" t="s">
        <v>3150</v>
      </c>
      <c r="F9128" t="s">
        <v>309</v>
      </c>
      <c r="G9128" t="s">
        <v>52</v>
      </c>
      <c r="H9128" t="str">
        <f>" "</f>
        <v xml:space="preserve"> </v>
      </c>
      <c r="N9128" t="s">
        <v>1525</v>
      </c>
      <c r="O9128" t="s">
        <v>1526</v>
      </c>
      <c r="R9128" t="s">
        <v>121</v>
      </c>
      <c r="S9128">
        <v>1</v>
      </c>
      <c r="T9128" t="s">
        <v>10716</v>
      </c>
      <c r="U9128" s="1">
        <v>43377</v>
      </c>
      <c r="V9128" t="s">
        <v>66</v>
      </c>
      <c r="W9128" t="s">
        <v>67</v>
      </c>
      <c r="X9128" t="s">
        <v>58</v>
      </c>
      <c r="Y9128">
        <v>25</v>
      </c>
      <c r="Z9128" t="s">
        <v>59</v>
      </c>
      <c r="AD9128" t="s">
        <v>59</v>
      </c>
      <c r="AF9128" s="1">
        <v>43377</v>
      </c>
      <c r="AG9128" t="s">
        <v>8651</v>
      </c>
      <c r="AH9128" t="s">
        <v>8652</v>
      </c>
      <c r="AI9128" t="str">
        <f>"9410258"</f>
        <v>9410258</v>
      </c>
      <c r="AJ9128" t="s">
        <v>12762</v>
      </c>
      <c r="AK9128">
        <v>2831022058</v>
      </c>
      <c r="AL9128" t="s">
        <v>12763</v>
      </c>
      <c r="AM9128" t="s">
        <v>64</v>
      </c>
      <c r="AN9128" t="s">
        <v>65</v>
      </c>
      <c r="AO9128" t="s">
        <v>65</v>
      </c>
      <c r="AP9128" t="s">
        <v>65</v>
      </c>
      <c r="AQ9128">
        <v>1</v>
      </c>
      <c r="AR9128" t="s">
        <v>66</v>
      </c>
      <c r="AS9128" t="s">
        <v>67</v>
      </c>
      <c r="AT9128" t="s">
        <v>58</v>
      </c>
      <c r="AU9128" t="s">
        <v>8673</v>
      </c>
      <c r="AV9128" t="s">
        <v>132</v>
      </c>
      <c r="AW9128" s="1">
        <v>31362</v>
      </c>
      <c r="AX9128">
        <v>1</v>
      </c>
    </row>
    <row r="9129" spans="1:50">
      <c r="A9129">
        <v>589645</v>
      </c>
      <c r="B9129" t="str">
        <f>"043631608"</f>
        <v>043631608</v>
      </c>
      <c r="C9129" t="s">
        <v>50</v>
      </c>
      <c r="D9129" t="s">
        <v>13769</v>
      </c>
      <c r="E9129" t="s">
        <v>237</v>
      </c>
      <c r="F9129" t="s">
        <v>72</v>
      </c>
      <c r="G9129" t="s">
        <v>507</v>
      </c>
      <c r="H9129" t="str">
        <f>"ΠΑΝΟΡΜΟ ΡΕΘΥΜΝΟ"</f>
        <v>ΠΑΝΟΡΜΟ ΡΕΘΥΜΝΟ</v>
      </c>
      <c r="I9129">
        <v>74057</v>
      </c>
      <c r="J9129">
        <v>2831074281</v>
      </c>
      <c r="K9129">
        <v>6975703770</v>
      </c>
      <c r="M9129" t="s">
        <v>13770</v>
      </c>
      <c r="N9129" t="s">
        <v>1525</v>
      </c>
      <c r="O9129" t="s">
        <v>1526</v>
      </c>
      <c r="R9129" t="s">
        <v>57</v>
      </c>
      <c r="S9129">
        <v>11</v>
      </c>
      <c r="T9129">
        <v>176</v>
      </c>
      <c r="U9129" s="1">
        <v>36403</v>
      </c>
      <c r="V9129" t="s">
        <v>66</v>
      </c>
      <c r="W9129" t="s">
        <v>67</v>
      </c>
      <c r="X9129" t="s">
        <v>58</v>
      </c>
      <c r="Y9129">
        <v>25</v>
      </c>
      <c r="Z9129" t="s">
        <v>59</v>
      </c>
      <c r="AA9129" t="s">
        <v>59</v>
      </c>
      <c r="AB9129" t="s">
        <v>59</v>
      </c>
      <c r="AC9129" t="s">
        <v>59</v>
      </c>
      <c r="AD9129" t="s">
        <v>59</v>
      </c>
      <c r="AF9129" s="1">
        <v>36404</v>
      </c>
      <c r="AG9129" t="s">
        <v>8651</v>
      </c>
      <c r="AH9129" t="s">
        <v>8652</v>
      </c>
      <c r="AI9129" t="str">
        <f>"9410203"</f>
        <v>9410203</v>
      </c>
      <c r="AJ9129" t="s">
        <v>13771</v>
      </c>
      <c r="AK9129">
        <v>2834051404</v>
      </c>
      <c r="AL9129" t="s">
        <v>13772</v>
      </c>
      <c r="AM9129" t="s">
        <v>64</v>
      </c>
      <c r="AN9129" t="s">
        <v>5672</v>
      </c>
      <c r="AO9129" t="s">
        <v>5673</v>
      </c>
      <c r="AP9129" t="s">
        <v>5674</v>
      </c>
      <c r="AQ9129">
        <v>10</v>
      </c>
      <c r="AR9129" t="s">
        <v>66</v>
      </c>
      <c r="AS9129" t="s">
        <v>67</v>
      </c>
      <c r="AT9129" t="s">
        <v>58</v>
      </c>
      <c r="AU9129" t="s">
        <v>68</v>
      </c>
      <c r="AV9129" t="s">
        <v>69</v>
      </c>
      <c r="AW9129" s="1">
        <v>24170</v>
      </c>
      <c r="AX9129">
        <v>1</v>
      </c>
    </row>
    <row r="9130" spans="1:50">
      <c r="B9130" t="str">
        <f>"073261708"</f>
        <v>073261708</v>
      </c>
      <c r="C9130" t="s">
        <v>50</v>
      </c>
      <c r="D9130" t="s">
        <v>13773</v>
      </c>
      <c r="E9130" t="s">
        <v>263</v>
      </c>
      <c r="F9130" t="s">
        <v>309</v>
      </c>
      <c r="G9130" t="s">
        <v>809</v>
      </c>
      <c r="H9130" t="str">
        <f>"ΝΕΑ ΑΠΟΛΛΩΝΙΑ "</f>
        <v xml:space="preserve">ΝΕΑ ΑΠΟΛΛΩΝΙΑ </v>
      </c>
      <c r="I9130">
        <v>57015</v>
      </c>
      <c r="J9130">
        <v>2393041788</v>
      </c>
      <c r="K9130">
        <v>6972333717</v>
      </c>
      <c r="N9130" t="s">
        <v>306</v>
      </c>
      <c r="O9130" t="s">
        <v>307</v>
      </c>
      <c r="R9130" t="s">
        <v>121</v>
      </c>
      <c r="S9130">
        <v>1</v>
      </c>
      <c r="T9130" t="s">
        <v>8675</v>
      </c>
      <c r="U9130" s="1">
        <v>43348</v>
      </c>
      <c r="V9130" t="s">
        <v>66</v>
      </c>
      <c r="W9130" t="s">
        <v>67</v>
      </c>
      <c r="X9130" t="s">
        <v>58</v>
      </c>
      <c r="Y9130">
        <v>24</v>
      </c>
      <c r="Z9130" t="s">
        <v>59</v>
      </c>
      <c r="AA9130" t="s">
        <v>59</v>
      </c>
      <c r="AB9130" t="s">
        <v>59</v>
      </c>
      <c r="AC9130" t="s">
        <v>59</v>
      </c>
      <c r="AD9130" t="s">
        <v>59</v>
      </c>
      <c r="AF9130" s="1">
        <v>43348</v>
      </c>
      <c r="AG9130" t="s">
        <v>8645</v>
      </c>
      <c r="AH9130" t="s">
        <v>8646</v>
      </c>
      <c r="AI9130" t="str">
        <f>"9410070"</f>
        <v>9410070</v>
      </c>
      <c r="AJ9130" t="s">
        <v>12757</v>
      </c>
      <c r="AK9130">
        <v>2831028583</v>
      </c>
      <c r="AL9130" t="s">
        <v>12758</v>
      </c>
      <c r="AM9130" t="s">
        <v>64</v>
      </c>
      <c r="AN9130" t="s">
        <v>65</v>
      </c>
      <c r="AO9130" t="s">
        <v>65</v>
      </c>
      <c r="AP9130" t="s">
        <v>65</v>
      </c>
      <c r="AQ9130">
        <v>1</v>
      </c>
      <c r="AR9130" t="s">
        <v>66</v>
      </c>
      <c r="AS9130" t="s">
        <v>67</v>
      </c>
      <c r="AT9130" t="s">
        <v>58</v>
      </c>
      <c r="AU9130" t="s">
        <v>8673</v>
      </c>
      <c r="AV9130" t="s">
        <v>132</v>
      </c>
      <c r="AW9130" s="1">
        <v>26040</v>
      </c>
      <c r="AX9130">
        <v>1</v>
      </c>
    </row>
    <row r="9131" spans="1:50">
      <c r="A9131">
        <v>608302</v>
      </c>
      <c r="B9131" t="str">
        <f>"034820053"</f>
        <v>034820053</v>
      </c>
      <c r="C9131" t="s">
        <v>50</v>
      </c>
      <c r="D9131" t="s">
        <v>13774</v>
      </c>
      <c r="E9131" t="s">
        <v>6093</v>
      </c>
      <c r="F9131" t="s">
        <v>95</v>
      </c>
      <c r="G9131" t="s">
        <v>1189</v>
      </c>
      <c r="H9131" t="str">
        <f>"Κ.ΠΑΛΑΜΑ 4 ΡΕΘΥΜΝΟ"</f>
        <v>Κ.ΠΑΛΑΜΑ 4 ΡΕΘΥΜΝΟ</v>
      </c>
      <c r="I9131">
        <v>74100</v>
      </c>
      <c r="J9131">
        <v>2831056890</v>
      </c>
      <c r="K9131">
        <v>6948182262</v>
      </c>
      <c r="N9131" t="s">
        <v>1525</v>
      </c>
      <c r="O9131" t="s">
        <v>1526</v>
      </c>
      <c r="R9131" t="s">
        <v>57</v>
      </c>
      <c r="S9131">
        <v>8</v>
      </c>
      <c r="T9131">
        <v>217</v>
      </c>
      <c r="U9131" s="1">
        <v>38596</v>
      </c>
      <c r="V9131" t="s">
        <v>66</v>
      </c>
      <c r="W9131" t="s">
        <v>67</v>
      </c>
      <c r="X9131" t="s">
        <v>58</v>
      </c>
      <c r="Y9131">
        <v>25</v>
      </c>
      <c r="Z9131" t="s">
        <v>59</v>
      </c>
      <c r="AA9131" t="s">
        <v>59</v>
      </c>
      <c r="AB9131" t="s">
        <v>59</v>
      </c>
      <c r="AC9131" t="s">
        <v>59</v>
      </c>
      <c r="AD9131" t="s">
        <v>59</v>
      </c>
      <c r="AF9131" s="1">
        <v>38600</v>
      </c>
      <c r="AG9131" t="s">
        <v>8651</v>
      </c>
      <c r="AH9131" t="s">
        <v>8652</v>
      </c>
      <c r="AI9131" t="str">
        <f>"9410189"</f>
        <v>9410189</v>
      </c>
      <c r="AJ9131" t="s">
        <v>12706</v>
      </c>
      <c r="AK9131">
        <v>2831028290</v>
      </c>
      <c r="AL9131" t="s">
        <v>12707</v>
      </c>
      <c r="AM9131" t="s">
        <v>64</v>
      </c>
      <c r="AN9131" t="s">
        <v>65</v>
      </c>
      <c r="AO9131" t="s">
        <v>65</v>
      </c>
      <c r="AP9131" t="s">
        <v>65</v>
      </c>
      <c r="AQ9131">
        <v>1</v>
      </c>
      <c r="AR9131" t="s">
        <v>66</v>
      </c>
      <c r="AS9131" t="s">
        <v>67</v>
      </c>
      <c r="AT9131" t="s">
        <v>58</v>
      </c>
      <c r="AU9131" t="s">
        <v>68</v>
      </c>
      <c r="AV9131" t="s">
        <v>69</v>
      </c>
      <c r="AW9131" s="1">
        <v>24319</v>
      </c>
      <c r="AX9131">
        <v>1</v>
      </c>
    </row>
    <row r="9132" spans="1:50">
      <c r="A9132">
        <v>570706</v>
      </c>
      <c r="B9132" t="str">
        <f>"037291605"</f>
        <v>037291605</v>
      </c>
      <c r="C9132" t="s">
        <v>50</v>
      </c>
      <c r="D9132" t="s">
        <v>13775</v>
      </c>
      <c r="E9132" t="s">
        <v>52</v>
      </c>
      <c r="F9132" t="s">
        <v>72</v>
      </c>
      <c r="G9132" t="s">
        <v>104</v>
      </c>
      <c r="H9132" t="str">
        <f>" "</f>
        <v xml:space="preserve"> </v>
      </c>
      <c r="K9132">
        <v>6973277711</v>
      </c>
      <c r="M9132" t="s">
        <v>13776</v>
      </c>
      <c r="N9132" t="s">
        <v>615</v>
      </c>
      <c r="O9132" t="s">
        <v>616</v>
      </c>
      <c r="R9132" t="s">
        <v>57</v>
      </c>
      <c r="S9132">
        <v>13</v>
      </c>
      <c r="T9132">
        <v>138</v>
      </c>
      <c r="U9132" s="1">
        <v>34206</v>
      </c>
      <c r="V9132" t="s">
        <v>66</v>
      </c>
      <c r="W9132" t="s">
        <v>67</v>
      </c>
      <c r="X9132" t="s">
        <v>58</v>
      </c>
      <c r="Y9132">
        <v>21</v>
      </c>
      <c r="Z9132" t="s">
        <v>59</v>
      </c>
      <c r="AA9132" t="s">
        <v>59</v>
      </c>
      <c r="AB9132" t="s">
        <v>59</v>
      </c>
      <c r="AC9132" t="s">
        <v>59</v>
      </c>
      <c r="AD9132" t="s">
        <v>59</v>
      </c>
      <c r="AF9132" s="1">
        <v>34213</v>
      </c>
      <c r="AG9132" t="s">
        <v>8645</v>
      </c>
      <c r="AH9132" t="s">
        <v>8646</v>
      </c>
      <c r="AI9132" t="str">
        <f>"9410257"</f>
        <v>9410257</v>
      </c>
      <c r="AJ9132" t="s">
        <v>12828</v>
      </c>
      <c r="AK9132">
        <v>2831056242</v>
      </c>
      <c r="AL9132" t="s">
        <v>12829</v>
      </c>
      <c r="AM9132" t="s">
        <v>64</v>
      </c>
      <c r="AN9132" t="s">
        <v>65</v>
      </c>
      <c r="AO9132" t="s">
        <v>65</v>
      </c>
      <c r="AP9132" t="s">
        <v>65</v>
      </c>
      <c r="AQ9132">
        <v>1</v>
      </c>
      <c r="AR9132" t="s">
        <v>66</v>
      </c>
      <c r="AS9132" t="s">
        <v>67</v>
      </c>
      <c r="AT9132" t="s">
        <v>58</v>
      </c>
      <c r="AU9132" t="s">
        <v>68</v>
      </c>
      <c r="AV9132" t="s">
        <v>69</v>
      </c>
      <c r="AW9132" s="1">
        <v>23980</v>
      </c>
      <c r="AX9132">
        <v>1</v>
      </c>
    </row>
    <row r="9133" spans="1:50">
      <c r="B9133" t="str">
        <f>"054024783"</f>
        <v>054024783</v>
      </c>
      <c r="C9133" t="s">
        <v>105</v>
      </c>
      <c r="D9133" t="s">
        <v>11714</v>
      </c>
      <c r="E9133" t="s">
        <v>782</v>
      </c>
      <c r="F9133" t="s">
        <v>95</v>
      </c>
      <c r="G9133" t="s">
        <v>964</v>
      </c>
      <c r="H9133" t="str">
        <f>"ΓΕΩΡΓΙΟΥ ΣΤΑΥΡΟΥ 1 ΛΑΡΙΣΑ"</f>
        <v>ΓΕΩΡΓΙΟΥ ΣΤΑΥΡΟΥ 1 ΛΑΡΙΣΑ</v>
      </c>
      <c r="I9133">
        <v>41221</v>
      </c>
      <c r="J9133">
        <v>2140553385</v>
      </c>
      <c r="K9133">
        <v>6973052477</v>
      </c>
      <c r="N9133" t="s">
        <v>176</v>
      </c>
      <c r="O9133" t="s">
        <v>177</v>
      </c>
      <c r="R9133" t="s">
        <v>159</v>
      </c>
      <c r="S9133">
        <v>3</v>
      </c>
      <c r="T9133" t="s">
        <v>8675</v>
      </c>
      <c r="U9133" s="1">
        <v>43348</v>
      </c>
      <c r="V9133" t="s">
        <v>66</v>
      </c>
      <c r="W9133" t="s">
        <v>67</v>
      </c>
      <c r="X9133" t="s">
        <v>58</v>
      </c>
      <c r="Y9133">
        <v>24</v>
      </c>
      <c r="Z9133" t="s">
        <v>59</v>
      </c>
      <c r="AA9133" t="s">
        <v>59</v>
      </c>
      <c r="AB9133" t="s">
        <v>59</v>
      </c>
      <c r="AC9133" t="s">
        <v>59</v>
      </c>
      <c r="AD9133" t="s">
        <v>59</v>
      </c>
      <c r="AF9133" s="1">
        <v>43348</v>
      </c>
      <c r="AG9133" t="s">
        <v>8645</v>
      </c>
      <c r="AH9133" t="s">
        <v>8646</v>
      </c>
      <c r="AI9133" t="str">
        <f>"9410003"</f>
        <v>9410003</v>
      </c>
      <c r="AJ9133" t="s">
        <v>12794</v>
      </c>
      <c r="AK9133">
        <v>2834031213</v>
      </c>
      <c r="AL9133" t="s">
        <v>12795</v>
      </c>
      <c r="AM9133" t="s">
        <v>64</v>
      </c>
      <c r="AN9133" t="s">
        <v>5737</v>
      </c>
      <c r="AO9133" t="s">
        <v>5737</v>
      </c>
      <c r="AP9133" t="s">
        <v>5737</v>
      </c>
      <c r="AQ9133">
        <v>9</v>
      </c>
      <c r="AR9133" t="s">
        <v>66</v>
      </c>
      <c r="AS9133" t="s">
        <v>67</v>
      </c>
      <c r="AT9133" t="s">
        <v>58</v>
      </c>
      <c r="AU9133" t="s">
        <v>8673</v>
      </c>
      <c r="AV9133" t="s">
        <v>132</v>
      </c>
      <c r="AW9133" s="1">
        <v>23876</v>
      </c>
      <c r="AX9133">
        <v>1</v>
      </c>
    </row>
    <row r="9134" spans="1:50">
      <c r="B9134" t="str">
        <f>"131463356"</f>
        <v>131463356</v>
      </c>
      <c r="C9134" t="s">
        <v>50</v>
      </c>
      <c r="D9134" t="s">
        <v>4196</v>
      </c>
      <c r="E9134" t="s">
        <v>314</v>
      </c>
      <c r="F9134" t="s">
        <v>95</v>
      </c>
      <c r="G9134" t="s">
        <v>250</v>
      </c>
      <c r="H9134" t="str">
        <f>" "</f>
        <v xml:space="preserve"> </v>
      </c>
      <c r="N9134" t="s">
        <v>1525</v>
      </c>
      <c r="O9134" t="s">
        <v>1526</v>
      </c>
      <c r="R9134" t="s">
        <v>121</v>
      </c>
      <c r="S9134">
        <v>1</v>
      </c>
      <c r="T9134" t="s">
        <v>13406</v>
      </c>
      <c r="U9134" s="1">
        <v>42979</v>
      </c>
      <c r="V9134" t="s">
        <v>66</v>
      </c>
      <c r="W9134" t="s">
        <v>67</v>
      </c>
      <c r="X9134" t="s">
        <v>58</v>
      </c>
      <c r="Y9134">
        <v>25</v>
      </c>
      <c r="Z9134" t="s">
        <v>59</v>
      </c>
      <c r="AA9134" t="s">
        <v>59</v>
      </c>
      <c r="AB9134" t="s">
        <v>59</v>
      </c>
      <c r="AC9134" t="s">
        <v>59</v>
      </c>
      <c r="AD9134" t="s">
        <v>59</v>
      </c>
      <c r="AF9134" s="1">
        <v>43344</v>
      </c>
      <c r="AI9134" t="str">
        <f>""</f>
        <v/>
      </c>
      <c r="AS9134" t="s">
        <v>67</v>
      </c>
      <c r="AT9134" t="s">
        <v>58</v>
      </c>
      <c r="AU9134" t="s">
        <v>912</v>
      </c>
      <c r="AW9134" s="1">
        <v>29608</v>
      </c>
      <c r="AX9134">
        <v>1</v>
      </c>
    </row>
    <row r="9135" spans="1:50">
      <c r="B9135" t="str">
        <f>"046847959"</f>
        <v>046847959</v>
      </c>
      <c r="C9135" t="s">
        <v>50</v>
      </c>
      <c r="D9135" t="s">
        <v>4196</v>
      </c>
      <c r="E9135" t="s">
        <v>563</v>
      </c>
      <c r="F9135" t="s">
        <v>99</v>
      </c>
      <c r="G9135" t="s">
        <v>250</v>
      </c>
      <c r="H9135" t="str">
        <f>"Ι.Μ.ΠΡΕΒΕΛΗ 10 ΡΕΘΥΜΝΟ"</f>
        <v>Ι.Μ.ΠΡΕΒΕΛΗ 10 ΡΕΘΥΜΝΟ</v>
      </c>
      <c r="I9135">
        <v>74100</v>
      </c>
      <c r="J9135">
        <v>2831026322</v>
      </c>
      <c r="K9135">
        <v>6972919963</v>
      </c>
      <c r="N9135" t="s">
        <v>615</v>
      </c>
      <c r="O9135" t="s">
        <v>616</v>
      </c>
      <c r="R9135" t="s">
        <v>159</v>
      </c>
      <c r="S9135">
        <v>3</v>
      </c>
      <c r="T9135" t="s">
        <v>8675</v>
      </c>
      <c r="U9135" s="1">
        <v>43348</v>
      </c>
      <c r="V9135" t="s">
        <v>66</v>
      </c>
      <c r="W9135" t="s">
        <v>67</v>
      </c>
      <c r="X9135" t="s">
        <v>58</v>
      </c>
      <c r="Y9135">
        <v>24</v>
      </c>
      <c r="Z9135" t="s">
        <v>59</v>
      </c>
      <c r="AA9135" t="s">
        <v>59</v>
      </c>
      <c r="AB9135" t="s">
        <v>59</v>
      </c>
      <c r="AC9135" t="s">
        <v>59</v>
      </c>
      <c r="AD9135" t="s">
        <v>59</v>
      </c>
      <c r="AF9135" s="1">
        <v>43348</v>
      </c>
      <c r="AG9135" t="s">
        <v>8645</v>
      </c>
      <c r="AH9135" t="s">
        <v>8646</v>
      </c>
      <c r="AI9135" t="str">
        <f>"9410263"</f>
        <v>9410263</v>
      </c>
      <c r="AJ9135" t="s">
        <v>12672</v>
      </c>
      <c r="AK9135">
        <v>2831053818</v>
      </c>
      <c r="AL9135" t="s">
        <v>12673</v>
      </c>
      <c r="AM9135" t="s">
        <v>64</v>
      </c>
      <c r="AN9135" t="s">
        <v>65</v>
      </c>
      <c r="AO9135" t="s">
        <v>65</v>
      </c>
      <c r="AP9135" t="s">
        <v>65</v>
      </c>
      <c r="AQ9135">
        <v>1</v>
      </c>
      <c r="AR9135" t="s">
        <v>66</v>
      </c>
      <c r="AS9135" t="s">
        <v>67</v>
      </c>
      <c r="AT9135" t="s">
        <v>58</v>
      </c>
      <c r="AU9135" t="s">
        <v>8673</v>
      </c>
      <c r="AV9135" t="s">
        <v>132</v>
      </c>
      <c r="AW9135" s="1">
        <v>25253</v>
      </c>
      <c r="AX9135">
        <v>1</v>
      </c>
    </row>
    <row r="9136" spans="1:50">
      <c r="A9136">
        <v>616796</v>
      </c>
      <c r="B9136" t="str">
        <f>"065347368"</f>
        <v>065347368</v>
      </c>
      <c r="C9136" t="s">
        <v>105</v>
      </c>
      <c r="D9136" t="s">
        <v>4198</v>
      </c>
      <c r="E9136" t="s">
        <v>95</v>
      </c>
      <c r="F9136" t="s">
        <v>111</v>
      </c>
      <c r="G9136" t="s">
        <v>255</v>
      </c>
      <c r="H9136" t="str">
        <f>" "</f>
        <v xml:space="preserve"> </v>
      </c>
      <c r="J9136">
        <v>2831051931</v>
      </c>
      <c r="K9136">
        <v>6942648140</v>
      </c>
      <c r="N9136" t="s">
        <v>615</v>
      </c>
      <c r="O9136" t="s">
        <v>616</v>
      </c>
      <c r="P9136" t="s">
        <v>1116</v>
      </c>
      <c r="Q9136" t="s">
        <v>1117</v>
      </c>
      <c r="R9136" t="s">
        <v>57</v>
      </c>
      <c r="S9136">
        <v>8</v>
      </c>
      <c r="T9136">
        <v>774</v>
      </c>
      <c r="U9136" s="1">
        <v>39680</v>
      </c>
      <c r="V9136" t="s">
        <v>66</v>
      </c>
      <c r="W9136" t="s">
        <v>67</v>
      </c>
      <c r="X9136" t="s">
        <v>58</v>
      </c>
      <c r="Y9136">
        <v>23</v>
      </c>
      <c r="Z9136" t="s">
        <v>59</v>
      </c>
      <c r="AA9136" t="s">
        <v>59</v>
      </c>
      <c r="AB9136" t="s">
        <v>59</v>
      </c>
      <c r="AC9136" t="s">
        <v>59</v>
      </c>
      <c r="AD9136" t="s">
        <v>59</v>
      </c>
      <c r="AF9136" s="1">
        <v>39681</v>
      </c>
      <c r="AG9136" t="s">
        <v>8645</v>
      </c>
      <c r="AH9136" t="s">
        <v>8646</v>
      </c>
      <c r="AI9136" t="str">
        <f>"9410226"</f>
        <v>9410226</v>
      </c>
      <c r="AJ9136" t="s">
        <v>12702</v>
      </c>
      <c r="AK9136">
        <v>2831071088</v>
      </c>
      <c r="AL9136" t="s">
        <v>12703</v>
      </c>
      <c r="AM9136" t="s">
        <v>64</v>
      </c>
      <c r="AN9136" t="s">
        <v>65</v>
      </c>
      <c r="AO9136" t="s">
        <v>12694</v>
      </c>
      <c r="AP9136" t="s">
        <v>12704</v>
      </c>
      <c r="AQ9136">
        <v>3</v>
      </c>
      <c r="AR9136" t="s">
        <v>66</v>
      </c>
      <c r="AS9136" t="s">
        <v>67</v>
      </c>
      <c r="AT9136" t="s">
        <v>58</v>
      </c>
      <c r="AU9136" t="s">
        <v>68</v>
      </c>
      <c r="AV9136" t="s">
        <v>69</v>
      </c>
      <c r="AW9136" s="1">
        <v>28546</v>
      </c>
      <c r="AX9136">
        <v>1</v>
      </c>
    </row>
    <row r="9137" spans="1:50">
      <c r="A9137">
        <v>586266</v>
      </c>
      <c r="B9137" t="str">
        <f>"059292324"</f>
        <v>059292324</v>
      </c>
      <c r="C9137" t="s">
        <v>105</v>
      </c>
      <c r="D9137" t="s">
        <v>13777</v>
      </c>
      <c r="E9137" t="s">
        <v>304</v>
      </c>
      <c r="F9137" t="s">
        <v>166</v>
      </c>
      <c r="G9137" t="s">
        <v>563</v>
      </c>
      <c r="H9137" t="str">
        <f>"ΚΡΙΑΡΗ 11 ΡΕΘΥΜΝΟ"</f>
        <v>ΚΡΙΑΡΗ 11 ΡΕΘΥΜΝΟ</v>
      </c>
      <c r="I9137">
        <v>74100</v>
      </c>
      <c r="J9137">
        <v>2831026246</v>
      </c>
      <c r="K9137">
        <v>6976706977</v>
      </c>
      <c r="M9137" t="s">
        <v>13778</v>
      </c>
      <c r="N9137" t="s">
        <v>615</v>
      </c>
      <c r="O9137" t="s">
        <v>616</v>
      </c>
      <c r="R9137" t="s">
        <v>57</v>
      </c>
      <c r="S9137">
        <v>10</v>
      </c>
      <c r="T9137">
        <v>165</v>
      </c>
      <c r="U9137" s="1">
        <v>32388</v>
      </c>
      <c r="V9137" t="s">
        <v>66</v>
      </c>
      <c r="W9137" t="s">
        <v>67</v>
      </c>
      <c r="X9137" t="s">
        <v>58</v>
      </c>
      <c r="Y9137">
        <v>21</v>
      </c>
      <c r="Z9137" t="s">
        <v>59</v>
      </c>
      <c r="AA9137" t="s">
        <v>59</v>
      </c>
      <c r="AB9137" t="s">
        <v>59</v>
      </c>
      <c r="AC9137" t="s">
        <v>59</v>
      </c>
      <c r="AD9137" t="s">
        <v>59</v>
      </c>
      <c r="AF9137" s="1">
        <v>36040</v>
      </c>
      <c r="AG9137" t="s">
        <v>8645</v>
      </c>
      <c r="AH9137" t="s">
        <v>8646</v>
      </c>
      <c r="AI9137" t="str">
        <f>"9410257"</f>
        <v>9410257</v>
      </c>
      <c r="AJ9137" t="s">
        <v>12828</v>
      </c>
      <c r="AK9137">
        <v>2831056242</v>
      </c>
      <c r="AL9137" t="s">
        <v>12829</v>
      </c>
      <c r="AM9137" t="s">
        <v>64</v>
      </c>
      <c r="AN9137" t="s">
        <v>65</v>
      </c>
      <c r="AO9137" t="s">
        <v>65</v>
      </c>
      <c r="AP9137" t="s">
        <v>65</v>
      </c>
      <c r="AQ9137">
        <v>1</v>
      </c>
      <c r="AR9137" t="s">
        <v>66</v>
      </c>
      <c r="AS9137" t="s">
        <v>67</v>
      </c>
      <c r="AT9137" t="s">
        <v>58</v>
      </c>
      <c r="AU9137" t="s">
        <v>68</v>
      </c>
      <c r="AV9137" t="s">
        <v>69</v>
      </c>
      <c r="AW9137" s="1">
        <v>25111</v>
      </c>
      <c r="AX9137">
        <v>1</v>
      </c>
    </row>
    <row r="9138" spans="1:50">
      <c r="B9138" t="str">
        <f>"140467680"</f>
        <v>140467680</v>
      </c>
      <c r="C9138" t="s">
        <v>105</v>
      </c>
      <c r="D9138" t="s">
        <v>13779</v>
      </c>
      <c r="E9138" t="s">
        <v>315</v>
      </c>
      <c r="F9138" t="s">
        <v>459</v>
      </c>
      <c r="G9138" t="s">
        <v>221</v>
      </c>
      <c r="H9138" t="str">
        <f>" "</f>
        <v xml:space="preserve"> </v>
      </c>
      <c r="N9138" t="s">
        <v>8834</v>
      </c>
      <c r="O9138" t="s">
        <v>8695</v>
      </c>
      <c r="R9138" t="s">
        <v>159</v>
      </c>
      <c r="S9138">
        <v>3</v>
      </c>
      <c r="T9138" t="s">
        <v>8835</v>
      </c>
      <c r="U9138" s="1">
        <v>43348</v>
      </c>
      <c r="V9138" t="s">
        <v>66</v>
      </c>
      <c r="W9138" t="s">
        <v>67</v>
      </c>
      <c r="X9138" t="s">
        <v>58</v>
      </c>
      <c r="Y9138">
        <v>24</v>
      </c>
      <c r="Z9138" t="s">
        <v>59</v>
      </c>
      <c r="AA9138" t="s">
        <v>59</v>
      </c>
      <c r="AB9138" t="s">
        <v>59</v>
      </c>
      <c r="AD9138" t="s">
        <v>59</v>
      </c>
      <c r="AF9138" s="1">
        <v>43348</v>
      </c>
      <c r="AG9138" t="s">
        <v>8645</v>
      </c>
      <c r="AH9138" t="s">
        <v>8646</v>
      </c>
      <c r="AI9138" t="str">
        <f>"9410061"</f>
        <v>9410061</v>
      </c>
      <c r="AJ9138" t="s">
        <v>12760</v>
      </c>
      <c r="AK9138">
        <v>2831024378</v>
      </c>
      <c r="AL9138" t="s">
        <v>12761</v>
      </c>
      <c r="AM9138" t="s">
        <v>64</v>
      </c>
      <c r="AN9138" t="s">
        <v>65</v>
      </c>
      <c r="AO9138" t="s">
        <v>65</v>
      </c>
      <c r="AP9138" t="s">
        <v>65</v>
      </c>
      <c r="AQ9138">
        <v>1</v>
      </c>
      <c r="AR9138" t="s">
        <v>66</v>
      </c>
      <c r="AS9138" t="s">
        <v>67</v>
      </c>
      <c r="AT9138" t="s">
        <v>58</v>
      </c>
      <c r="AU9138" t="s">
        <v>131</v>
      </c>
      <c r="AV9138" t="s">
        <v>132</v>
      </c>
      <c r="AW9138" s="1">
        <v>33231</v>
      </c>
      <c r="AX9138">
        <v>1</v>
      </c>
    </row>
    <row r="9139" spans="1:50">
      <c r="B9139" t="str">
        <f>"147077280"</f>
        <v>147077280</v>
      </c>
      <c r="C9139" t="s">
        <v>50</v>
      </c>
      <c r="D9139" t="s">
        <v>4212</v>
      </c>
      <c r="E9139" t="s">
        <v>263</v>
      </c>
      <c r="F9139" t="s">
        <v>72</v>
      </c>
      <c r="G9139" t="s">
        <v>964</v>
      </c>
      <c r="H9139" t="str">
        <f>" "</f>
        <v xml:space="preserve"> </v>
      </c>
      <c r="N9139" t="s">
        <v>384</v>
      </c>
      <c r="O9139" t="s">
        <v>385</v>
      </c>
      <c r="R9139" t="s">
        <v>121</v>
      </c>
      <c r="S9139">
        <v>1</v>
      </c>
      <c r="T9139" t="s">
        <v>8675</v>
      </c>
      <c r="U9139" s="1">
        <v>43348</v>
      </c>
      <c r="V9139" t="s">
        <v>66</v>
      </c>
      <c r="W9139" t="s">
        <v>67</v>
      </c>
      <c r="X9139" t="s">
        <v>58</v>
      </c>
      <c r="Y9139">
        <v>24</v>
      </c>
      <c r="Z9139" t="s">
        <v>59</v>
      </c>
      <c r="AA9139" t="s">
        <v>59</v>
      </c>
      <c r="AB9139" t="s">
        <v>59</v>
      </c>
      <c r="AD9139" t="s">
        <v>59</v>
      </c>
      <c r="AF9139" s="1">
        <v>43348</v>
      </c>
      <c r="AG9139" t="s">
        <v>8645</v>
      </c>
      <c r="AH9139" t="s">
        <v>8646</v>
      </c>
      <c r="AI9139" t="str">
        <f>"9410212"</f>
        <v>9410212</v>
      </c>
      <c r="AJ9139" t="s">
        <v>12747</v>
      </c>
      <c r="AK9139">
        <v>2831022132</v>
      </c>
      <c r="AL9139" t="s">
        <v>12748</v>
      </c>
      <c r="AM9139" t="s">
        <v>64</v>
      </c>
      <c r="AN9139" t="s">
        <v>65</v>
      </c>
      <c r="AO9139" t="s">
        <v>65</v>
      </c>
      <c r="AP9139" t="s">
        <v>65</v>
      </c>
      <c r="AQ9139">
        <v>1</v>
      </c>
      <c r="AR9139" t="s">
        <v>66</v>
      </c>
      <c r="AS9139" t="s">
        <v>67</v>
      </c>
      <c r="AT9139" t="s">
        <v>58</v>
      </c>
      <c r="AU9139" t="s">
        <v>8673</v>
      </c>
      <c r="AV9139" t="s">
        <v>132</v>
      </c>
      <c r="AW9139" s="1">
        <v>32665</v>
      </c>
      <c r="AX9139">
        <v>1</v>
      </c>
    </row>
    <row r="9140" spans="1:50">
      <c r="B9140" t="str">
        <f>"153002735"</f>
        <v>153002735</v>
      </c>
      <c r="C9140" t="s">
        <v>50</v>
      </c>
      <c r="D9140" t="s">
        <v>6651</v>
      </c>
      <c r="E9140" t="s">
        <v>2251</v>
      </c>
      <c r="F9140" t="s">
        <v>99</v>
      </c>
      <c r="G9140" t="s">
        <v>553</v>
      </c>
      <c r="H9140" t="str">
        <f>" "</f>
        <v xml:space="preserve"> </v>
      </c>
      <c r="N9140" t="s">
        <v>384</v>
      </c>
      <c r="O9140" t="s">
        <v>385</v>
      </c>
      <c r="R9140" t="s">
        <v>121</v>
      </c>
      <c r="S9140">
        <v>1</v>
      </c>
      <c r="T9140" t="s">
        <v>8675</v>
      </c>
      <c r="U9140" s="1">
        <v>43348</v>
      </c>
      <c r="V9140" t="s">
        <v>66</v>
      </c>
      <c r="W9140" t="s">
        <v>67</v>
      </c>
      <c r="X9140" t="s">
        <v>58</v>
      </c>
      <c r="Y9140">
        <v>24</v>
      </c>
      <c r="Z9140" t="s">
        <v>59</v>
      </c>
      <c r="AA9140" t="s">
        <v>59</v>
      </c>
      <c r="AB9140" t="s">
        <v>59</v>
      </c>
      <c r="AD9140" t="s">
        <v>59</v>
      </c>
      <c r="AF9140" s="1">
        <v>43348</v>
      </c>
      <c r="AG9140" t="s">
        <v>8645</v>
      </c>
      <c r="AH9140" t="s">
        <v>8646</v>
      </c>
      <c r="AI9140" t="str">
        <f>"9410241"</f>
        <v>9410241</v>
      </c>
      <c r="AJ9140" t="s">
        <v>12783</v>
      </c>
      <c r="AK9140">
        <v>2831022616</v>
      </c>
      <c r="AL9140" t="s">
        <v>12784</v>
      </c>
      <c r="AM9140" t="s">
        <v>64</v>
      </c>
      <c r="AN9140" t="s">
        <v>65</v>
      </c>
      <c r="AO9140" t="s">
        <v>65</v>
      </c>
      <c r="AP9140" t="s">
        <v>65</v>
      </c>
      <c r="AQ9140">
        <v>1</v>
      </c>
      <c r="AR9140" t="s">
        <v>66</v>
      </c>
      <c r="AS9140" t="s">
        <v>67</v>
      </c>
      <c r="AT9140" t="s">
        <v>58</v>
      </c>
      <c r="AU9140" t="s">
        <v>8673</v>
      </c>
      <c r="AV9140" t="s">
        <v>132</v>
      </c>
      <c r="AW9140" s="1">
        <v>32339</v>
      </c>
      <c r="AX9140">
        <v>1</v>
      </c>
    </row>
    <row r="9141" spans="1:50">
      <c r="A9141">
        <v>618816</v>
      </c>
      <c r="B9141" t="str">
        <f>"143658949"</f>
        <v>143658949</v>
      </c>
      <c r="C9141" t="s">
        <v>50</v>
      </c>
      <c r="D9141" t="s">
        <v>11750</v>
      </c>
      <c r="E9141" t="s">
        <v>396</v>
      </c>
      <c r="F9141" t="s">
        <v>309</v>
      </c>
      <c r="G9141" t="s">
        <v>563</v>
      </c>
      <c r="H9141" t="str">
        <f>"ΖΗΣΙΜΟΠΟΥΛΟΥ 38 ΠΑΛΑΙΟ ΦΑΛΗΡΟ"</f>
        <v>ΖΗΣΙΜΟΠΟΥΛΟΥ 38 ΠΑΛΑΙΟ ΦΑΛΗΡΟ</v>
      </c>
      <c r="I9141">
        <v>17564</v>
      </c>
      <c r="J9141">
        <v>2109428941</v>
      </c>
      <c r="K9141">
        <v>6936329846</v>
      </c>
      <c r="M9141" t="s">
        <v>13780</v>
      </c>
      <c r="N9141" t="s">
        <v>615</v>
      </c>
      <c r="O9141" t="s">
        <v>616</v>
      </c>
      <c r="R9141" t="s">
        <v>57</v>
      </c>
      <c r="S9141">
        <v>5</v>
      </c>
      <c r="T9141">
        <v>774</v>
      </c>
      <c r="U9141" s="1">
        <v>39680</v>
      </c>
      <c r="V9141" t="s">
        <v>66</v>
      </c>
      <c r="W9141" t="s">
        <v>67</v>
      </c>
      <c r="X9141" t="s">
        <v>58</v>
      </c>
      <c r="Y9141">
        <v>23</v>
      </c>
      <c r="Z9141" t="s">
        <v>59</v>
      </c>
      <c r="AA9141" t="s">
        <v>59</v>
      </c>
      <c r="AB9141" t="s">
        <v>59</v>
      </c>
      <c r="AC9141" t="s">
        <v>59</v>
      </c>
      <c r="AD9141" t="s">
        <v>59</v>
      </c>
      <c r="AF9141" s="1">
        <v>39681</v>
      </c>
      <c r="AG9141" t="s">
        <v>8645</v>
      </c>
      <c r="AH9141" t="s">
        <v>8646</v>
      </c>
      <c r="AI9141" t="str">
        <f>"9410048"</f>
        <v>9410048</v>
      </c>
      <c r="AJ9141" t="s">
        <v>12656</v>
      </c>
      <c r="AK9141">
        <v>2834020221</v>
      </c>
      <c r="AL9141" t="s">
        <v>12657</v>
      </c>
      <c r="AM9141" t="s">
        <v>64</v>
      </c>
      <c r="AN9141" t="s">
        <v>5672</v>
      </c>
      <c r="AO9141" t="s">
        <v>5673</v>
      </c>
      <c r="AP9141" t="s">
        <v>5674</v>
      </c>
      <c r="AQ9141">
        <v>10</v>
      </c>
      <c r="AR9141" t="s">
        <v>66</v>
      </c>
      <c r="AS9141" t="s">
        <v>67</v>
      </c>
      <c r="AT9141" t="s">
        <v>58</v>
      </c>
      <c r="AU9141" t="s">
        <v>68</v>
      </c>
      <c r="AV9141" t="s">
        <v>69</v>
      </c>
      <c r="AW9141" s="1">
        <v>31337</v>
      </c>
      <c r="AX9141">
        <v>1</v>
      </c>
    </row>
    <row r="9142" spans="1:50">
      <c r="B9142" t="str">
        <f>"142697781"</f>
        <v>142697781</v>
      </c>
      <c r="C9142" t="s">
        <v>50</v>
      </c>
      <c r="D9142" t="s">
        <v>11750</v>
      </c>
      <c r="E9142" t="s">
        <v>714</v>
      </c>
      <c r="F9142" t="s">
        <v>95</v>
      </c>
      <c r="G9142" t="s">
        <v>1484</v>
      </c>
      <c r="H9142" t="str">
        <f>" "</f>
        <v xml:space="preserve"> </v>
      </c>
      <c r="N9142" t="s">
        <v>615</v>
      </c>
      <c r="O9142" t="s">
        <v>616</v>
      </c>
      <c r="R9142" t="s">
        <v>121</v>
      </c>
      <c r="S9142">
        <v>1</v>
      </c>
      <c r="T9142" t="s">
        <v>8675</v>
      </c>
      <c r="U9142" s="1">
        <v>43348</v>
      </c>
      <c r="V9142" t="s">
        <v>66</v>
      </c>
      <c r="W9142" t="s">
        <v>67</v>
      </c>
      <c r="X9142" t="s">
        <v>58</v>
      </c>
      <c r="Y9142">
        <v>24</v>
      </c>
      <c r="Z9142" t="s">
        <v>59</v>
      </c>
      <c r="AA9142" t="s">
        <v>59</v>
      </c>
      <c r="AB9142" t="s">
        <v>59</v>
      </c>
      <c r="AC9142" t="s">
        <v>59</v>
      </c>
      <c r="AD9142" t="s">
        <v>59</v>
      </c>
      <c r="AF9142" s="1">
        <v>43348</v>
      </c>
      <c r="AG9142" t="s">
        <v>8645</v>
      </c>
      <c r="AH9142" t="s">
        <v>8646</v>
      </c>
      <c r="AI9142" t="str">
        <f>"9410114"</f>
        <v>9410114</v>
      </c>
      <c r="AJ9142" t="s">
        <v>12877</v>
      </c>
      <c r="AK9142">
        <v>2832031291</v>
      </c>
      <c r="AL9142" t="s">
        <v>12878</v>
      </c>
      <c r="AM9142" t="s">
        <v>64</v>
      </c>
      <c r="AN9142" t="s">
        <v>5882</v>
      </c>
      <c r="AO9142" t="s">
        <v>6099</v>
      </c>
      <c r="AP9142" t="s">
        <v>12815</v>
      </c>
      <c r="AQ9142">
        <v>5</v>
      </c>
      <c r="AR9142" t="s">
        <v>66</v>
      </c>
      <c r="AS9142" t="s">
        <v>67</v>
      </c>
      <c r="AT9142" t="s">
        <v>58</v>
      </c>
      <c r="AU9142" t="s">
        <v>8673</v>
      </c>
      <c r="AV9142" t="s">
        <v>132</v>
      </c>
      <c r="AW9142" s="1">
        <v>32688</v>
      </c>
      <c r="AX9142">
        <v>1</v>
      </c>
    </row>
    <row r="9143" spans="1:50">
      <c r="A9143">
        <v>615515</v>
      </c>
      <c r="B9143" t="str">
        <f>"077866307"</f>
        <v>077866307</v>
      </c>
      <c r="C9143" t="s">
        <v>50</v>
      </c>
      <c r="D9143" t="s">
        <v>6658</v>
      </c>
      <c r="E9143" t="s">
        <v>54</v>
      </c>
      <c r="F9143" t="s">
        <v>111</v>
      </c>
      <c r="G9143" t="s">
        <v>801</v>
      </c>
      <c r="H9143" t="str">
        <f>"Ν. ΜΑΝΔΗΛΑΡΑ 11 ΜΙΣΙΡΙΑ-ΡΕΘΥΜΝΟ"</f>
        <v>Ν. ΜΑΝΔΗΛΑΡΑ 11 ΜΙΣΙΡΙΑ-ΡΕΘΥΜΝΟ</v>
      </c>
      <c r="I9143">
        <v>74100</v>
      </c>
      <c r="J9143">
        <v>2831051139</v>
      </c>
      <c r="K9143">
        <v>6977771428</v>
      </c>
      <c r="M9143" t="s">
        <v>13781</v>
      </c>
      <c r="N9143" t="s">
        <v>1525</v>
      </c>
      <c r="O9143" t="s">
        <v>1526</v>
      </c>
      <c r="R9143" t="s">
        <v>57</v>
      </c>
      <c r="S9143">
        <v>6</v>
      </c>
      <c r="T9143">
        <v>598</v>
      </c>
      <c r="U9143" s="1">
        <v>39310</v>
      </c>
      <c r="V9143" t="s">
        <v>66</v>
      </c>
      <c r="W9143" t="s">
        <v>67</v>
      </c>
      <c r="X9143" t="s">
        <v>58</v>
      </c>
      <c r="Y9143">
        <v>25</v>
      </c>
      <c r="Z9143" t="s">
        <v>59</v>
      </c>
      <c r="AA9143" t="s">
        <v>59</v>
      </c>
      <c r="AB9143" t="s">
        <v>59</v>
      </c>
      <c r="AC9143" t="s">
        <v>59</v>
      </c>
      <c r="AD9143" t="s">
        <v>59</v>
      </c>
      <c r="AF9143" s="1">
        <v>39328</v>
      </c>
      <c r="AG9143" t="s">
        <v>8651</v>
      </c>
      <c r="AH9143" t="s">
        <v>8652</v>
      </c>
      <c r="AI9143" t="str">
        <f>"9410151"</f>
        <v>9410151</v>
      </c>
      <c r="AJ9143" t="s">
        <v>12700</v>
      </c>
      <c r="AK9143">
        <v>2831024336</v>
      </c>
      <c r="AL9143" t="s">
        <v>12701</v>
      </c>
      <c r="AM9143" t="s">
        <v>64</v>
      </c>
      <c r="AN9143" t="s">
        <v>65</v>
      </c>
      <c r="AO9143" t="s">
        <v>65</v>
      </c>
      <c r="AP9143" t="s">
        <v>65</v>
      </c>
      <c r="AQ9143">
        <v>1</v>
      </c>
      <c r="AR9143" t="s">
        <v>66</v>
      </c>
      <c r="AS9143" t="s">
        <v>67</v>
      </c>
      <c r="AT9143" t="s">
        <v>58</v>
      </c>
      <c r="AU9143" t="s">
        <v>68</v>
      </c>
      <c r="AV9143" t="s">
        <v>69</v>
      </c>
      <c r="AW9143" s="1">
        <v>28296</v>
      </c>
      <c r="AX9143">
        <v>1</v>
      </c>
    </row>
    <row r="9144" spans="1:50">
      <c r="A9144">
        <v>602200</v>
      </c>
      <c r="B9144" t="str">
        <f>"103801162"</f>
        <v>103801162</v>
      </c>
      <c r="C9144" t="s">
        <v>50</v>
      </c>
      <c r="D9144" t="s">
        <v>4255</v>
      </c>
      <c r="E9144" t="s">
        <v>52</v>
      </c>
      <c r="F9144" t="s">
        <v>53</v>
      </c>
      <c r="G9144" t="s">
        <v>255</v>
      </c>
      <c r="H9144" t="str">
        <f>"Τ.Θ. 4-496 ΑΤΣΙΠΟΠΟΥΛΟ"</f>
        <v>Τ.Θ. 4-496 ΑΤΣΙΠΟΠΟΥΛΟ</v>
      </c>
      <c r="I9144">
        <v>74100</v>
      </c>
      <c r="J9144">
        <v>2831027876</v>
      </c>
      <c r="K9144">
        <v>6973408368</v>
      </c>
      <c r="M9144" t="s">
        <v>13782</v>
      </c>
      <c r="N9144" t="s">
        <v>615</v>
      </c>
      <c r="O9144" t="s">
        <v>616</v>
      </c>
      <c r="R9144" t="s">
        <v>57</v>
      </c>
      <c r="S9144">
        <v>7</v>
      </c>
      <c r="T9144">
        <v>207</v>
      </c>
      <c r="U9144" s="1">
        <v>37866</v>
      </c>
      <c r="V9144" t="s">
        <v>66</v>
      </c>
      <c r="W9144" t="s">
        <v>67</v>
      </c>
      <c r="X9144" t="s">
        <v>58</v>
      </c>
      <c r="Y9144">
        <v>22</v>
      </c>
      <c r="Z9144" t="s">
        <v>59</v>
      </c>
      <c r="AA9144" t="s">
        <v>59</v>
      </c>
      <c r="AB9144" t="s">
        <v>59</v>
      </c>
      <c r="AC9144" t="s">
        <v>59</v>
      </c>
      <c r="AD9144" t="s">
        <v>59</v>
      </c>
      <c r="AF9144" s="1">
        <v>37866</v>
      </c>
      <c r="AG9144" t="s">
        <v>8645</v>
      </c>
      <c r="AH9144" t="s">
        <v>8646</v>
      </c>
      <c r="AI9144" t="str">
        <f>"9521348"</f>
        <v>9521348</v>
      </c>
      <c r="AJ9144" t="s">
        <v>12714</v>
      </c>
      <c r="AK9144">
        <v>2831021334</v>
      </c>
      <c r="AL9144" t="s">
        <v>12715</v>
      </c>
      <c r="AM9144" t="s">
        <v>64</v>
      </c>
      <c r="AN9144" t="s">
        <v>65</v>
      </c>
      <c r="AO9144" t="s">
        <v>5720</v>
      </c>
      <c r="AP9144" t="s">
        <v>5721</v>
      </c>
      <c r="AQ9144">
        <v>2</v>
      </c>
      <c r="AR9144" t="s">
        <v>66</v>
      </c>
      <c r="AS9144" t="s">
        <v>67</v>
      </c>
      <c r="AT9144" t="s">
        <v>58</v>
      </c>
      <c r="AU9144" t="s">
        <v>68</v>
      </c>
      <c r="AV9144" t="s">
        <v>69</v>
      </c>
      <c r="AW9144" s="1">
        <v>27619</v>
      </c>
      <c r="AX9144">
        <v>1</v>
      </c>
    </row>
    <row r="9145" spans="1:50">
      <c r="A9145">
        <v>601733</v>
      </c>
      <c r="B9145" t="str">
        <f>"110347400"</f>
        <v>110347400</v>
      </c>
      <c r="C9145" t="s">
        <v>105</v>
      </c>
      <c r="D9145" t="s">
        <v>13783</v>
      </c>
      <c r="E9145" t="s">
        <v>95</v>
      </c>
      <c r="F9145" t="s">
        <v>2847</v>
      </c>
      <c r="G9145" t="s">
        <v>255</v>
      </c>
      <c r="H9145" t="str">
        <f>" "</f>
        <v xml:space="preserve"> </v>
      </c>
      <c r="J9145">
        <v>2841042684</v>
      </c>
      <c r="K9145">
        <v>6976168988</v>
      </c>
      <c r="M9145" t="s">
        <v>13784</v>
      </c>
      <c r="N9145" t="s">
        <v>615</v>
      </c>
      <c r="O9145" t="s">
        <v>616</v>
      </c>
      <c r="P9145" t="s">
        <v>146</v>
      </c>
      <c r="Q9145" t="s">
        <v>147</v>
      </c>
      <c r="R9145" t="s">
        <v>57</v>
      </c>
      <c r="S9145">
        <v>9</v>
      </c>
      <c r="T9145">
        <v>207</v>
      </c>
      <c r="U9145" s="1">
        <v>37866</v>
      </c>
      <c r="V9145" t="s">
        <v>66</v>
      </c>
      <c r="W9145" t="s">
        <v>67</v>
      </c>
      <c r="X9145" t="s">
        <v>58</v>
      </c>
      <c r="Y9145">
        <v>22</v>
      </c>
      <c r="Z9145" t="s">
        <v>59</v>
      </c>
      <c r="AA9145" t="s">
        <v>59</v>
      </c>
      <c r="AB9145" t="s">
        <v>59</v>
      </c>
      <c r="AC9145" t="s">
        <v>59</v>
      </c>
      <c r="AD9145" t="s">
        <v>59</v>
      </c>
      <c r="AF9145" s="1">
        <v>37866</v>
      </c>
      <c r="AG9145" t="s">
        <v>8645</v>
      </c>
      <c r="AH9145" t="s">
        <v>8646</v>
      </c>
      <c r="AI9145" t="str">
        <f>"9410155"</f>
        <v>9410155</v>
      </c>
      <c r="AJ9145" t="s">
        <v>12663</v>
      </c>
      <c r="AK9145">
        <v>2831028697</v>
      </c>
      <c r="AL9145" t="s">
        <v>12664</v>
      </c>
      <c r="AM9145" t="s">
        <v>64</v>
      </c>
      <c r="AN9145" t="s">
        <v>65</v>
      </c>
      <c r="AO9145" t="s">
        <v>65</v>
      </c>
      <c r="AP9145" t="s">
        <v>65</v>
      </c>
      <c r="AQ9145">
        <v>1</v>
      </c>
      <c r="AR9145" t="s">
        <v>66</v>
      </c>
      <c r="AS9145" t="s">
        <v>67</v>
      </c>
      <c r="AT9145" t="s">
        <v>58</v>
      </c>
      <c r="AU9145" t="s">
        <v>68</v>
      </c>
      <c r="AV9145" t="s">
        <v>69</v>
      </c>
      <c r="AW9145" s="1">
        <v>27735</v>
      </c>
      <c r="AX9145">
        <v>1</v>
      </c>
    </row>
    <row r="9146" spans="1:50">
      <c r="B9146" t="str">
        <f>"124495770"</f>
        <v>124495770</v>
      </c>
      <c r="C9146" t="s">
        <v>50</v>
      </c>
      <c r="D9146" t="s">
        <v>13785</v>
      </c>
      <c r="E9146" t="s">
        <v>476</v>
      </c>
      <c r="F9146" t="s">
        <v>95</v>
      </c>
      <c r="G9146" t="s">
        <v>52</v>
      </c>
      <c r="H9146" t="str">
        <f>"Ν. ΑΣΚΟΥΤΣΗ 38 "</f>
        <v xml:space="preserve">Ν. ΑΣΚΟΥΤΣΗ 38 </v>
      </c>
      <c r="I9146">
        <v>74100</v>
      </c>
      <c r="J9146">
        <v>2831024944</v>
      </c>
      <c r="K9146">
        <v>6944861679</v>
      </c>
      <c r="N9146" t="s">
        <v>9829</v>
      </c>
      <c r="O9146" t="s">
        <v>9830</v>
      </c>
      <c r="R9146" t="s">
        <v>159</v>
      </c>
      <c r="S9146">
        <v>5</v>
      </c>
      <c r="T9146" t="s">
        <v>8696</v>
      </c>
      <c r="U9146" s="1">
        <v>43348</v>
      </c>
      <c r="V9146" t="s">
        <v>66</v>
      </c>
      <c r="W9146" t="s">
        <v>67</v>
      </c>
      <c r="X9146" t="s">
        <v>58</v>
      </c>
      <c r="Y9146">
        <v>25</v>
      </c>
      <c r="Z9146" t="s">
        <v>59</v>
      </c>
      <c r="AA9146" t="s">
        <v>59</v>
      </c>
      <c r="AB9146" t="s">
        <v>59</v>
      </c>
      <c r="AC9146" t="s">
        <v>59</v>
      </c>
      <c r="AD9146" t="s">
        <v>59</v>
      </c>
      <c r="AF9146" s="1">
        <v>43348</v>
      </c>
      <c r="AG9146" t="s">
        <v>8651</v>
      </c>
      <c r="AH9146" t="s">
        <v>8652</v>
      </c>
      <c r="AI9146" t="str">
        <f>"9410220"</f>
        <v>9410220</v>
      </c>
      <c r="AJ9146" t="s">
        <v>12943</v>
      </c>
      <c r="AK9146">
        <v>2831055513</v>
      </c>
      <c r="AL9146" t="s">
        <v>12944</v>
      </c>
      <c r="AM9146" t="s">
        <v>64</v>
      </c>
      <c r="AN9146" t="s">
        <v>65</v>
      </c>
      <c r="AO9146" t="s">
        <v>65</v>
      </c>
      <c r="AP9146" t="s">
        <v>65</v>
      </c>
      <c r="AQ9146">
        <v>1</v>
      </c>
      <c r="AR9146" t="s">
        <v>66</v>
      </c>
      <c r="AS9146" t="s">
        <v>67</v>
      </c>
      <c r="AT9146" t="s">
        <v>58</v>
      </c>
      <c r="AU9146" t="s">
        <v>350</v>
      </c>
      <c r="AV9146" t="s">
        <v>132</v>
      </c>
      <c r="AW9146" s="1">
        <v>30723</v>
      </c>
      <c r="AX9146">
        <v>1</v>
      </c>
    </row>
    <row r="9147" spans="1:50">
      <c r="A9147">
        <v>613745</v>
      </c>
      <c r="B9147" t="str">
        <f>"121016120"</f>
        <v>121016120</v>
      </c>
      <c r="C9147" t="s">
        <v>50</v>
      </c>
      <c r="D9147" t="s">
        <v>13786</v>
      </c>
      <c r="E9147" t="s">
        <v>610</v>
      </c>
      <c r="F9147" t="s">
        <v>72</v>
      </c>
      <c r="G9147" t="s">
        <v>13787</v>
      </c>
      <c r="H9147" t="str">
        <f>"ΤΣΑΚΑΛΙ ΟΔΟΣ ΛΑΖΑΡΟΥ ΜΑΓΟΥΛΑ"</f>
        <v>ΤΣΑΚΑΛΙ ΟΔΟΣ ΛΑΖΑΡΟΥ ΜΑΓΟΥΛΑ</v>
      </c>
      <c r="I9147">
        <v>19600</v>
      </c>
      <c r="J9147">
        <v>2105557079</v>
      </c>
      <c r="K9147">
        <v>6979775402</v>
      </c>
      <c r="L9147">
        <v>2831050274</v>
      </c>
      <c r="N9147" t="s">
        <v>615</v>
      </c>
      <c r="O9147" t="s">
        <v>616</v>
      </c>
      <c r="R9147" t="s">
        <v>57</v>
      </c>
      <c r="S9147">
        <v>6</v>
      </c>
      <c r="T9147">
        <v>598</v>
      </c>
      <c r="U9147" s="1">
        <v>39310</v>
      </c>
      <c r="V9147" t="s">
        <v>66</v>
      </c>
      <c r="W9147" t="s">
        <v>67</v>
      </c>
      <c r="X9147" t="s">
        <v>58</v>
      </c>
      <c r="Y9147">
        <v>23</v>
      </c>
      <c r="Z9147" t="s">
        <v>59</v>
      </c>
      <c r="AA9147" t="s">
        <v>59</v>
      </c>
      <c r="AB9147" t="s">
        <v>59</v>
      </c>
      <c r="AC9147" t="s">
        <v>59</v>
      </c>
      <c r="AD9147" t="s">
        <v>59</v>
      </c>
      <c r="AF9147" s="1">
        <v>39328</v>
      </c>
      <c r="AG9147" t="s">
        <v>8645</v>
      </c>
      <c r="AH9147" t="s">
        <v>8646</v>
      </c>
      <c r="AI9147" t="str">
        <f>"9410152"</f>
        <v>9410152</v>
      </c>
      <c r="AJ9147" t="s">
        <v>12686</v>
      </c>
      <c r="AK9147">
        <v>2831029088</v>
      </c>
      <c r="AL9147" t="s">
        <v>12687</v>
      </c>
      <c r="AM9147" t="s">
        <v>64</v>
      </c>
      <c r="AN9147" t="s">
        <v>65</v>
      </c>
      <c r="AO9147" t="s">
        <v>65</v>
      </c>
      <c r="AP9147" t="s">
        <v>65</v>
      </c>
      <c r="AQ9147">
        <v>1</v>
      </c>
      <c r="AR9147" t="s">
        <v>66</v>
      </c>
      <c r="AS9147" t="s">
        <v>67</v>
      </c>
      <c r="AT9147" t="s">
        <v>58</v>
      </c>
      <c r="AU9147" t="s">
        <v>68</v>
      </c>
      <c r="AV9147" t="s">
        <v>69</v>
      </c>
      <c r="AW9147" s="1">
        <v>30249</v>
      </c>
      <c r="AX9147">
        <v>1</v>
      </c>
    </row>
    <row r="9148" spans="1:50">
      <c r="A9148">
        <v>701445</v>
      </c>
      <c r="B9148" t="str">
        <f>"137522335"</f>
        <v>137522335</v>
      </c>
      <c r="C9148" t="s">
        <v>50</v>
      </c>
      <c r="D9148" t="s">
        <v>13788</v>
      </c>
      <c r="E9148" t="s">
        <v>931</v>
      </c>
      <c r="F9148" t="s">
        <v>474</v>
      </c>
      <c r="G9148" t="s">
        <v>1085</v>
      </c>
      <c r="H9148" t="str">
        <f>"ΡΟΔΟΥ 6 ΑΝΩ ΓΛΥΦΑΔΑ"</f>
        <v>ΡΟΔΟΥ 6 ΑΝΩ ΓΛΥΦΑΔΑ</v>
      </c>
      <c r="I9148">
        <v>16561</v>
      </c>
      <c r="J9148">
        <v>2109612790</v>
      </c>
      <c r="K9148">
        <v>6938446937</v>
      </c>
      <c r="M9148" t="s">
        <v>13789</v>
      </c>
      <c r="N9148" t="s">
        <v>615</v>
      </c>
      <c r="O9148" t="s">
        <v>616</v>
      </c>
      <c r="R9148" t="s">
        <v>57</v>
      </c>
      <c r="S9148">
        <v>4</v>
      </c>
      <c r="T9148">
        <v>772</v>
      </c>
      <c r="U9148" s="1">
        <v>40413</v>
      </c>
      <c r="V9148" t="s">
        <v>66</v>
      </c>
      <c r="W9148" t="s">
        <v>67</v>
      </c>
      <c r="X9148" t="s">
        <v>58</v>
      </c>
      <c r="Y9148">
        <v>24</v>
      </c>
      <c r="Z9148" t="s">
        <v>59</v>
      </c>
      <c r="AA9148" t="s">
        <v>59</v>
      </c>
      <c r="AB9148" t="s">
        <v>59</v>
      </c>
      <c r="AC9148" t="s">
        <v>59</v>
      </c>
      <c r="AD9148" t="s">
        <v>59</v>
      </c>
      <c r="AF9148" s="1">
        <v>40413</v>
      </c>
      <c r="AG9148" t="s">
        <v>8645</v>
      </c>
      <c r="AH9148" t="s">
        <v>8646</v>
      </c>
      <c r="AI9148" t="str">
        <f>"9410051"</f>
        <v>9410051</v>
      </c>
      <c r="AJ9148" t="s">
        <v>12660</v>
      </c>
      <c r="AK9148">
        <v>2834022247</v>
      </c>
      <c r="AL9148" t="s">
        <v>12661</v>
      </c>
      <c r="AM9148" t="s">
        <v>64</v>
      </c>
      <c r="AN9148" t="s">
        <v>5672</v>
      </c>
      <c r="AO9148" t="s">
        <v>5673</v>
      </c>
      <c r="AP9148" t="s">
        <v>5689</v>
      </c>
      <c r="AQ9148">
        <v>7</v>
      </c>
      <c r="AR9148" t="s">
        <v>66</v>
      </c>
      <c r="AS9148" t="s">
        <v>67</v>
      </c>
      <c r="AT9148" t="s">
        <v>58</v>
      </c>
      <c r="AU9148" t="s">
        <v>68</v>
      </c>
      <c r="AV9148" t="s">
        <v>69</v>
      </c>
      <c r="AW9148" s="1">
        <v>31578</v>
      </c>
      <c r="AX9148">
        <v>1</v>
      </c>
    </row>
    <row r="9149" spans="1:50">
      <c r="A9149">
        <v>600347</v>
      </c>
      <c r="B9149" t="str">
        <f>"050470405"</f>
        <v>050470405</v>
      </c>
      <c r="C9149" t="s">
        <v>105</v>
      </c>
      <c r="D9149" t="s">
        <v>6660</v>
      </c>
      <c r="E9149" t="s">
        <v>166</v>
      </c>
      <c r="F9149" t="s">
        <v>106</v>
      </c>
      <c r="G9149" t="s">
        <v>13790</v>
      </c>
      <c r="H9149" t="str">
        <f>" "</f>
        <v xml:space="preserve"> </v>
      </c>
      <c r="J9149">
        <v>2831051010</v>
      </c>
      <c r="K9149">
        <v>6932012228</v>
      </c>
      <c r="N9149" t="s">
        <v>615</v>
      </c>
      <c r="O9149" t="s">
        <v>616</v>
      </c>
      <c r="R9149" t="s">
        <v>57</v>
      </c>
      <c r="S9149">
        <v>9</v>
      </c>
      <c r="T9149">
        <v>195</v>
      </c>
      <c r="U9149" s="1">
        <v>37497</v>
      </c>
      <c r="V9149" t="s">
        <v>66</v>
      </c>
      <c r="W9149" t="s">
        <v>67</v>
      </c>
      <c r="X9149" t="s">
        <v>58</v>
      </c>
      <c r="Y9149">
        <v>22</v>
      </c>
      <c r="Z9149" t="s">
        <v>59</v>
      </c>
      <c r="AA9149" t="s">
        <v>59</v>
      </c>
      <c r="AB9149" t="s">
        <v>59</v>
      </c>
      <c r="AC9149" t="s">
        <v>59</v>
      </c>
      <c r="AD9149" t="s">
        <v>59</v>
      </c>
      <c r="AF9149" s="1">
        <v>37501</v>
      </c>
      <c r="AG9149" t="s">
        <v>8645</v>
      </c>
      <c r="AH9149" t="s">
        <v>8646</v>
      </c>
      <c r="AI9149" t="str">
        <f>"9410152"</f>
        <v>9410152</v>
      </c>
      <c r="AJ9149" t="s">
        <v>12686</v>
      </c>
      <c r="AK9149">
        <v>2831029088</v>
      </c>
      <c r="AL9149" t="s">
        <v>12687</v>
      </c>
      <c r="AM9149" t="s">
        <v>64</v>
      </c>
      <c r="AN9149" t="s">
        <v>65</v>
      </c>
      <c r="AO9149" t="s">
        <v>65</v>
      </c>
      <c r="AP9149" t="s">
        <v>65</v>
      </c>
      <c r="AQ9149">
        <v>1</v>
      </c>
      <c r="AR9149" t="s">
        <v>66</v>
      </c>
      <c r="AS9149" t="s">
        <v>67</v>
      </c>
      <c r="AT9149" t="s">
        <v>58</v>
      </c>
      <c r="AU9149" t="s">
        <v>68</v>
      </c>
      <c r="AV9149" t="s">
        <v>69</v>
      </c>
      <c r="AW9149" s="1">
        <v>24233</v>
      </c>
      <c r="AX9149">
        <v>1</v>
      </c>
    </row>
    <row r="9150" spans="1:50">
      <c r="A9150">
        <v>559424</v>
      </c>
      <c r="B9150" t="str">
        <f>"042290836"</f>
        <v>042290836</v>
      </c>
      <c r="C9150" t="s">
        <v>105</v>
      </c>
      <c r="D9150" t="s">
        <v>6660</v>
      </c>
      <c r="E9150" t="s">
        <v>53</v>
      </c>
      <c r="F9150" t="s">
        <v>53</v>
      </c>
      <c r="G9150" t="s">
        <v>263</v>
      </c>
      <c r="H9150" t="str">
        <f>"ΜΑΧΗΤΩΝ ΣΧ. ΧΩΡΟΦΥΛΑΚΗΣ 1 ΡΕΘΥΜΝΟ"</f>
        <v>ΜΑΧΗΤΩΝ ΣΧ. ΧΩΡΟΦΥΛΑΚΗΣ 1 ΡΕΘΥΜΝΟ</v>
      </c>
      <c r="I9150">
        <v>74100</v>
      </c>
      <c r="J9150">
        <v>2831058055</v>
      </c>
      <c r="K9150">
        <v>6946084633</v>
      </c>
      <c r="M9150" t="s">
        <v>13791</v>
      </c>
      <c r="N9150" t="s">
        <v>615</v>
      </c>
      <c r="O9150" t="s">
        <v>616</v>
      </c>
      <c r="R9150" t="s">
        <v>57</v>
      </c>
      <c r="S9150">
        <v>17</v>
      </c>
      <c r="T9150">
        <v>168</v>
      </c>
      <c r="U9150" s="1">
        <v>32010</v>
      </c>
      <c r="V9150" t="s">
        <v>66</v>
      </c>
      <c r="W9150" t="s">
        <v>67</v>
      </c>
      <c r="X9150" t="s">
        <v>58</v>
      </c>
      <c r="Y9150">
        <v>21</v>
      </c>
      <c r="Z9150" t="s">
        <v>59</v>
      </c>
      <c r="AA9150" t="s">
        <v>59</v>
      </c>
      <c r="AB9150" t="s">
        <v>59</v>
      </c>
      <c r="AC9150" t="s">
        <v>59</v>
      </c>
      <c r="AD9150" t="s">
        <v>59</v>
      </c>
      <c r="AF9150" s="1">
        <v>32010</v>
      </c>
      <c r="AG9150" t="s">
        <v>8645</v>
      </c>
      <c r="AH9150" t="s">
        <v>8646</v>
      </c>
      <c r="AI9150" t="str">
        <f>"9410069"</f>
        <v>9410069</v>
      </c>
      <c r="AJ9150" t="s">
        <v>12674</v>
      </c>
      <c r="AK9150">
        <v>2831029296</v>
      </c>
      <c r="AL9150" t="s">
        <v>12675</v>
      </c>
      <c r="AM9150" t="s">
        <v>64</v>
      </c>
      <c r="AN9150" t="s">
        <v>65</v>
      </c>
      <c r="AO9150" t="s">
        <v>65</v>
      </c>
      <c r="AP9150" t="s">
        <v>65</v>
      </c>
      <c r="AQ9150">
        <v>1</v>
      </c>
      <c r="AR9150" t="s">
        <v>66</v>
      </c>
      <c r="AS9150" t="s">
        <v>67</v>
      </c>
      <c r="AT9150" t="s">
        <v>58</v>
      </c>
      <c r="AU9150" t="s">
        <v>68</v>
      </c>
      <c r="AV9150" t="s">
        <v>69</v>
      </c>
      <c r="AW9150" s="1">
        <v>23567</v>
      </c>
      <c r="AX9150">
        <v>1</v>
      </c>
    </row>
    <row r="9151" spans="1:50">
      <c r="A9151">
        <v>571612</v>
      </c>
      <c r="B9151" t="str">
        <f>"034384263"</f>
        <v>034384263</v>
      </c>
      <c r="C9151" t="s">
        <v>50</v>
      </c>
      <c r="D9151" t="s">
        <v>8560</v>
      </c>
      <c r="E9151" t="s">
        <v>1189</v>
      </c>
      <c r="F9151" t="s">
        <v>95</v>
      </c>
      <c r="G9151" t="s">
        <v>237</v>
      </c>
      <c r="H9151" t="str">
        <f>"ΓΟΒΑΤΖΙΔΑΚΗ 36 ΡΕΘΥΜΝΟ"</f>
        <v>ΓΟΒΑΤΖΙΔΑΚΗ 36 ΡΕΘΥΜΝΟ</v>
      </c>
      <c r="I9151">
        <v>74100</v>
      </c>
      <c r="J9151">
        <v>2831020160</v>
      </c>
      <c r="K9151">
        <v>6948050457</v>
      </c>
      <c r="M9151" t="s">
        <v>13792</v>
      </c>
      <c r="N9151" t="s">
        <v>1525</v>
      </c>
      <c r="O9151" t="s">
        <v>1526</v>
      </c>
      <c r="R9151" t="s">
        <v>57</v>
      </c>
      <c r="S9151">
        <v>15</v>
      </c>
      <c r="T9151">
        <v>138</v>
      </c>
      <c r="U9151" s="1">
        <v>34206</v>
      </c>
      <c r="V9151" t="s">
        <v>66</v>
      </c>
      <c r="W9151" t="s">
        <v>67</v>
      </c>
      <c r="X9151" t="s">
        <v>58</v>
      </c>
      <c r="Y9151">
        <v>25</v>
      </c>
      <c r="Z9151" t="s">
        <v>59</v>
      </c>
      <c r="AA9151" t="s">
        <v>59</v>
      </c>
      <c r="AB9151" t="s">
        <v>59</v>
      </c>
      <c r="AC9151" t="s">
        <v>59</v>
      </c>
      <c r="AD9151" t="s">
        <v>59</v>
      </c>
      <c r="AF9151" s="1">
        <v>34213</v>
      </c>
      <c r="AG9151" t="s">
        <v>8651</v>
      </c>
      <c r="AH9151" t="s">
        <v>8652</v>
      </c>
      <c r="AI9151" t="str">
        <f>"9410240"</f>
        <v>9410240</v>
      </c>
      <c r="AJ9151" t="s">
        <v>13102</v>
      </c>
      <c r="AK9151">
        <v>2831072568</v>
      </c>
      <c r="AL9151" t="s">
        <v>13103</v>
      </c>
      <c r="AM9151" t="s">
        <v>64</v>
      </c>
      <c r="AN9151" t="s">
        <v>65</v>
      </c>
      <c r="AO9151" t="s">
        <v>12694</v>
      </c>
      <c r="AP9151" t="s">
        <v>12704</v>
      </c>
      <c r="AQ9151">
        <v>3</v>
      </c>
      <c r="AR9151" t="s">
        <v>66</v>
      </c>
      <c r="AS9151" t="s">
        <v>67</v>
      </c>
      <c r="AT9151" t="s">
        <v>58</v>
      </c>
      <c r="AU9151" t="s">
        <v>68</v>
      </c>
      <c r="AV9151" t="s">
        <v>69</v>
      </c>
      <c r="AW9151" s="1">
        <v>23918</v>
      </c>
      <c r="AX9151">
        <v>1</v>
      </c>
    </row>
    <row r="9152" spans="1:50">
      <c r="A9152">
        <v>702520</v>
      </c>
      <c r="B9152" t="str">
        <f>"142453530"</f>
        <v>142453530</v>
      </c>
      <c r="C9152" t="s">
        <v>50</v>
      </c>
      <c r="D9152" t="s">
        <v>5591</v>
      </c>
      <c r="E9152" t="s">
        <v>367</v>
      </c>
      <c r="F9152" t="s">
        <v>72</v>
      </c>
      <c r="G9152" t="s">
        <v>460</v>
      </c>
      <c r="H9152" t="str">
        <f>"ΡΙΖΙΑ ΡΙΖΙΑ ΝΕΑΣ ΒΥΣΣΑΣ"</f>
        <v>ΡΙΖΙΑ ΡΙΖΙΑ ΝΕΑΣ ΒΥΣΣΑΣ</v>
      </c>
      <c r="I9152">
        <v>68014</v>
      </c>
      <c r="J9152">
        <v>2552094436</v>
      </c>
      <c r="K9152">
        <v>6945192630</v>
      </c>
      <c r="N9152" t="s">
        <v>615</v>
      </c>
      <c r="O9152" t="s">
        <v>616</v>
      </c>
      <c r="R9152" t="s">
        <v>57</v>
      </c>
      <c r="S9152">
        <v>4</v>
      </c>
      <c r="T9152" t="s">
        <v>9547</v>
      </c>
      <c r="U9152" s="1">
        <v>40413</v>
      </c>
      <c r="V9152" t="s">
        <v>66</v>
      </c>
      <c r="W9152" t="s">
        <v>67</v>
      </c>
      <c r="X9152" t="s">
        <v>58</v>
      </c>
      <c r="Y9152">
        <v>24</v>
      </c>
      <c r="Z9152" t="s">
        <v>59</v>
      </c>
      <c r="AA9152" t="s">
        <v>59</v>
      </c>
      <c r="AB9152" t="s">
        <v>59</v>
      </c>
      <c r="AC9152" t="s">
        <v>59</v>
      </c>
      <c r="AD9152" t="s">
        <v>59</v>
      </c>
      <c r="AF9152" s="1">
        <v>40413</v>
      </c>
      <c r="AG9152" t="s">
        <v>8645</v>
      </c>
      <c r="AH9152" t="s">
        <v>8646</v>
      </c>
      <c r="AI9152" t="str">
        <f>"9410127"</f>
        <v>9410127</v>
      </c>
      <c r="AJ9152" t="s">
        <v>12767</v>
      </c>
      <c r="AK9152">
        <v>2833022347</v>
      </c>
      <c r="AL9152" t="s">
        <v>12768</v>
      </c>
      <c r="AM9152" t="s">
        <v>64</v>
      </c>
      <c r="AN9152" t="s">
        <v>5713</v>
      </c>
      <c r="AO9152" t="s">
        <v>5714</v>
      </c>
      <c r="AP9152" t="s">
        <v>5715</v>
      </c>
      <c r="AQ9152">
        <v>5</v>
      </c>
      <c r="AR9152" t="s">
        <v>66</v>
      </c>
      <c r="AS9152" t="s">
        <v>67</v>
      </c>
      <c r="AT9152" t="s">
        <v>58</v>
      </c>
      <c r="AU9152" t="s">
        <v>68</v>
      </c>
      <c r="AV9152" t="s">
        <v>69</v>
      </c>
      <c r="AW9152" s="1">
        <v>31659</v>
      </c>
      <c r="AX9152">
        <v>1</v>
      </c>
    </row>
    <row r="9153" spans="1:50">
      <c r="A9153">
        <v>582849</v>
      </c>
      <c r="B9153" t="str">
        <f>"039473408"</f>
        <v>039473408</v>
      </c>
      <c r="C9153" t="s">
        <v>50</v>
      </c>
      <c r="D9153" t="s">
        <v>4281</v>
      </c>
      <c r="E9153" t="s">
        <v>83</v>
      </c>
      <c r="F9153" t="s">
        <v>154</v>
      </c>
      <c r="G9153" t="s">
        <v>215</v>
      </c>
      <c r="H9153" t="str">
        <f>" "</f>
        <v xml:space="preserve"> </v>
      </c>
      <c r="N9153" t="s">
        <v>1525</v>
      </c>
      <c r="O9153" t="s">
        <v>1526</v>
      </c>
      <c r="R9153" t="s">
        <v>57</v>
      </c>
      <c r="S9153">
        <v>12</v>
      </c>
      <c r="T9153">
        <v>179</v>
      </c>
      <c r="U9153" s="1">
        <v>35674</v>
      </c>
      <c r="V9153" t="s">
        <v>66</v>
      </c>
      <c r="W9153" t="s">
        <v>67</v>
      </c>
      <c r="X9153" t="s">
        <v>58</v>
      </c>
      <c r="Y9153">
        <v>25</v>
      </c>
      <c r="Z9153" t="s">
        <v>59</v>
      </c>
      <c r="AA9153" t="s">
        <v>59</v>
      </c>
      <c r="AB9153" t="s">
        <v>59</v>
      </c>
      <c r="AC9153" t="s">
        <v>59</v>
      </c>
      <c r="AD9153" t="s">
        <v>59</v>
      </c>
      <c r="AF9153" s="1">
        <v>35674</v>
      </c>
      <c r="AG9153" t="s">
        <v>8651</v>
      </c>
      <c r="AH9153" t="s">
        <v>8652</v>
      </c>
      <c r="AI9153" t="str">
        <f>"9410220"</f>
        <v>9410220</v>
      </c>
      <c r="AJ9153" t="s">
        <v>12943</v>
      </c>
      <c r="AK9153">
        <v>2831055513</v>
      </c>
      <c r="AL9153" t="s">
        <v>12944</v>
      </c>
      <c r="AM9153" t="s">
        <v>64</v>
      </c>
      <c r="AN9153" t="s">
        <v>65</v>
      </c>
      <c r="AO9153" t="s">
        <v>65</v>
      </c>
      <c r="AP9153" t="s">
        <v>65</v>
      </c>
      <c r="AQ9153">
        <v>1</v>
      </c>
      <c r="AR9153" t="s">
        <v>66</v>
      </c>
      <c r="AS9153" t="s">
        <v>67</v>
      </c>
      <c r="AT9153" t="s">
        <v>58</v>
      </c>
      <c r="AU9153" t="s">
        <v>68</v>
      </c>
      <c r="AV9153" t="s">
        <v>69</v>
      </c>
      <c r="AW9153" s="1">
        <v>24196</v>
      </c>
      <c r="AX9153">
        <v>1</v>
      </c>
    </row>
    <row r="9154" spans="1:50">
      <c r="B9154" t="str">
        <f>"137490450"</f>
        <v>137490450</v>
      </c>
      <c r="C9154" t="s">
        <v>50</v>
      </c>
      <c r="D9154" t="s">
        <v>4281</v>
      </c>
      <c r="E9154" t="s">
        <v>52</v>
      </c>
      <c r="F9154" t="s">
        <v>106</v>
      </c>
      <c r="G9154" t="s">
        <v>755</v>
      </c>
      <c r="H9154" t="str">
        <f>"ΚΩΝΣΤΑΝΤΙΝΟΥΠΟΛΕΩΣ 21 ΡΕΘΥΜΝΟ"</f>
        <v>ΚΩΝΣΤΑΝΤΙΝΟΥΠΟΛΕΩΣ 21 ΡΕΘΥΜΝΟ</v>
      </c>
      <c r="I9154">
        <v>74100</v>
      </c>
      <c r="J9154">
        <v>2831055448</v>
      </c>
      <c r="K9154">
        <v>6977824532</v>
      </c>
      <c r="M9154" t="s">
        <v>13793</v>
      </c>
      <c r="N9154" t="s">
        <v>615</v>
      </c>
      <c r="O9154" t="s">
        <v>616</v>
      </c>
      <c r="R9154" t="s">
        <v>159</v>
      </c>
      <c r="S9154">
        <v>3</v>
      </c>
      <c r="T9154" t="s">
        <v>8675</v>
      </c>
      <c r="U9154" s="1">
        <v>43348</v>
      </c>
      <c r="V9154" t="s">
        <v>66</v>
      </c>
      <c r="W9154" t="s">
        <v>67</v>
      </c>
      <c r="X9154" t="s">
        <v>58</v>
      </c>
      <c r="Y9154">
        <v>24</v>
      </c>
      <c r="Z9154" t="s">
        <v>59</v>
      </c>
      <c r="AA9154" t="s">
        <v>59</v>
      </c>
      <c r="AB9154" t="s">
        <v>59</v>
      </c>
      <c r="AC9154" t="s">
        <v>59</v>
      </c>
      <c r="AD9154" t="s">
        <v>59</v>
      </c>
      <c r="AF9154" s="1">
        <v>43348</v>
      </c>
      <c r="AG9154" t="s">
        <v>8645</v>
      </c>
      <c r="AH9154" t="s">
        <v>8646</v>
      </c>
      <c r="AI9154" t="str">
        <f>"9410030"</f>
        <v>9410030</v>
      </c>
      <c r="AJ9154" t="s">
        <v>12743</v>
      </c>
      <c r="AK9154">
        <v>2834093217</v>
      </c>
      <c r="AL9154" t="s">
        <v>12744</v>
      </c>
      <c r="AM9154" t="s">
        <v>64</v>
      </c>
      <c r="AN9154" t="s">
        <v>65</v>
      </c>
      <c r="AO9154" t="s">
        <v>12694</v>
      </c>
      <c r="AP9154" t="s">
        <v>12745</v>
      </c>
      <c r="AQ9154">
        <v>3</v>
      </c>
      <c r="AR9154" t="s">
        <v>66</v>
      </c>
      <c r="AS9154" t="s">
        <v>67</v>
      </c>
      <c r="AT9154" t="s">
        <v>58</v>
      </c>
      <c r="AU9154" t="s">
        <v>8673</v>
      </c>
      <c r="AV9154" t="s">
        <v>132</v>
      </c>
      <c r="AW9154" s="1">
        <v>32041</v>
      </c>
      <c r="AX9154">
        <v>1</v>
      </c>
    </row>
    <row r="9155" spans="1:50">
      <c r="A9155">
        <v>615304</v>
      </c>
      <c r="B9155" t="str">
        <f>"058681147"</f>
        <v>058681147</v>
      </c>
      <c r="C9155" t="s">
        <v>50</v>
      </c>
      <c r="D9155" t="s">
        <v>13794</v>
      </c>
      <c r="E9155" t="s">
        <v>13795</v>
      </c>
      <c r="F9155" t="s">
        <v>106</v>
      </c>
      <c r="G9155" t="s">
        <v>255</v>
      </c>
      <c r="H9155" t="str">
        <f>"ΡΟΥΣΣΟΣΠΙΤΙ ΡΕΘΥΜΝΟΥ ΡΕΘΥΜΝΟ"</f>
        <v>ΡΟΥΣΣΟΣΠΙΤΙ ΡΕΘΥΜΝΟΥ ΡΕΘΥΜΝΟ</v>
      </c>
      <c r="I9155">
        <v>74100</v>
      </c>
      <c r="J9155">
        <v>2831075054</v>
      </c>
      <c r="M9155" t="s">
        <v>13796</v>
      </c>
      <c r="N9155" t="s">
        <v>1525</v>
      </c>
      <c r="O9155" t="s">
        <v>1526</v>
      </c>
      <c r="R9155" t="s">
        <v>57</v>
      </c>
      <c r="S9155">
        <v>8</v>
      </c>
      <c r="T9155" t="s">
        <v>13797</v>
      </c>
      <c r="U9155" s="1">
        <v>39328</v>
      </c>
      <c r="V9155" t="s">
        <v>66</v>
      </c>
      <c r="W9155" t="s">
        <v>67</v>
      </c>
      <c r="X9155" t="s">
        <v>58</v>
      </c>
      <c r="Y9155">
        <v>25</v>
      </c>
      <c r="Z9155" t="s">
        <v>59</v>
      </c>
      <c r="AA9155" t="s">
        <v>59</v>
      </c>
      <c r="AB9155" t="s">
        <v>59</v>
      </c>
      <c r="AC9155" t="s">
        <v>59</v>
      </c>
      <c r="AD9155" t="s">
        <v>59</v>
      </c>
      <c r="AF9155" s="1">
        <v>39328</v>
      </c>
      <c r="AG9155" t="s">
        <v>8651</v>
      </c>
      <c r="AH9155" t="s">
        <v>8652</v>
      </c>
      <c r="AI9155" t="str">
        <f>"9410240"</f>
        <v>9410240</v>
      </c>
      <c r="AJ9155" t="s">
        <v>13102</v>
      </c>
      <c r="AK9155">
        <v>2831072568</v>
      </c>
      <c r="AL9155" t="s">
        <v>13103</v>
      </c>
      <c r="AM9155" t="s">
        <v>64</v>
      </c>
      <c r="AN9155" t="s">
        <v>65</v>
      </c>
      <c r="AO9155" t="s">
        <v>12694</v>
      </c>
      <c r="AP9155" t="s">
        <v>12704</v>
      </c>
      <c r="AQ9155">
        <v>3</v>
      </c>
      <c r="AR9155" t="s">
        <v>66</v>
      </c>
      <c r="AS9155" t="s">
        <v>67</v>
      </c>
      <c r="AT9155" t="s">
        <v>58</v>
      </c>
      <c r="AU9155" t="s">
        <v>68</v>
      </c>
      <c r="AV9155" t="s">
        <v>69</v>
      </c>
      <c r="AW9155" s="1">
        <v>26579</v>
      </c>
      <c r="AX9155">
        <v>1</v>
      </c>
    </row>
    <row r="9156" spans="1:50">
      <c r="A9156">
        <v>609108</v>
      </c>
      <c r="B9156" t="str">
        <f>"113600789"</f>
        <v>113600789</v>
      </c>
      <c r="C9156" t="s">
        <v>50</v>
      </c>
      <c r="D9156" t="s">
        <v>4296</v>
      </c>
      <c r="E9156" t="s">
        <v>54</v>
      </c>
      <c r="F9156" t="s">
        <v>154</v>
      </c>
      <c r="G9156" t="s">
        <v>83</v>
      </c>
      <c r="H9156" t="str">
        <f>" "</f>
        <v xml:space="preserve"> </v>
      </c>
      <c r="J9156">
        <v>2831022969</v>
      </c>
      <c r="K9156">
        <v>6976225319</v>
      </c>
      <c r="N9156" t="s">
        <v>306</v>
      </c>
      <c r="O9156" t="s">
        <v>307</v>
      </c>
      <c r="R9156" t="s">
        <v>57</v>
      </c>
      <c r="S9156">
        <v>9</v>
      </c>
      <c r="T9156">
        <v>218</v>
      </c>
      <c r="U9156" s="1">
        <v>38596</v>
      </c>
      <c r="V9156" t="s">
        <v>66</v>
      </c>
      <c r="W9156" t="s">
        <v>67</v>
      </c>
      <c r="X9156" t="s">
        <v>58</v>
      </c>
      <c r="Y9156">
        <v>22</v>
      </c>
      <c r="Z9156" t="s">
        <v>59</v>
      </c>
      <c r="AA9156" t="s">
        <v>59</v>
      </c>
      <c r="AB9156" t="s">
        <v>59</v>
      </c>
      <c r="AC9156" t="s">
        <v>59</v>
      </c>
      <c r="AD9156" t="s">
        <v>59</v>
      </c>
      <c r="AF9156" s="1">
        <v>38600</v>
      </c>
      <c r="AG9156" t="s">
        <v>8645</v>
      </c>
      <c r="AH9156" t="s">
        <v>8646</v>
      </c>
      <c r="AI9156" t="str">
        <f>"9410212"</f>
        <v>9410212</v>
      </c>
      <c r="AJ9156" t="s">
        <v>12747</v>
      </c>
      <c r="AK9156">
        <v>2831022132</v>
      </c>
      <c r="AL9156" t="s">
        <v>12748</v>
      </c>
      <c r="AM9156" t="s">
        <v>64</v>
      </c>
      <c r="AN9156" t="s">
        <v>65</v>
      </c>
      <c r="AO9156" t="s">
        <v>65</v>
      </c>
      <c r="AP9156" t="s">
        <v>65</v>
      </c>
      <c r="AQ9156">
        <v>1</v>
      </c>
      <c r="AR9156" t="s">
        <v>66</v>
      </c>
      <c r="AS9156" t="s">
        <v>67</v>
      </c>
      <c r="AT9156" t="s">
        <v>58</v>
      </c>
      <c r="AU9156" t="s">
        <v>68</v>
      </c>
      <c r="AV9156" t="s">
        <v>69</v>
      </c>
      <c r="AW9156" s="1">
        <v>27674</v>
      </c>
      <c r="AX9156">
        <v>1</v>
      </c>
    </row>
    <row r="9157" spans="1:50">
      <c r="A9157">
        <v>605752</v>
      </c>
      <c r="B9157" t="str">
        <f>"100089539"</f>
        <v>100089539</v>
      </c>
      <c r="C9157" t="s">
        <v>50</v>
      </c>
      <c r="D9157" t="s">
        <v>4315</v>
      </c>
      <c r="E9157" t="s">
        <v>476</v>
      </c>
      <c r="F9157" t="s">
        <v>202</v>
      </c>
      <c r="G9157" t="s">
        <v>9269</v>
      </c>
      <c r="H9157" t="str">
        <f>" "</f>
        <v xml:space="preserve"> </v>
      </c>
      <c r="J9157">
        <v>2831032098</v>
      </c>
      <c r="K9157">
        <v>6937127537</v>
      </c>
      <c r="N9157" t="s">
        <v>615</v>
      </c>
      <c r="O9157" t="s">
        <v>616</v>
      </c>
      <c r="R9157" t="s">
        <v>57</v>
      </c>
      <c r="S9157">
        <v>7</v>
      </c>
      <c r="T9157">
        <v>231</v>
      </c>
      <c r="U9157" s="1">
        <v>38230</v>
      </c>
      <c r="V9157" t="s">
        <v>66</v>
      </c>
      <c r="W9157" t="s">
        <v>67</v>
      </c>
      <c r="X9157" t="s">
        <v>58</v>
      </c>
      <c r="Y9157">
        <v>22</v>
      </c>
      <c r="Z9157" t="s">
        <v>59</v>
      </c>
      <c r="AA9157" t="s">
        <v>59</v>
      </c>
      <c r="AB9157" t="s">
        <v>59</v>
      </c>
      <c r="AC9157" t="s">
        <v>59</v>
      </c>
      <c r="AD9157" t="s">
        <v>59</v>
      </c>
      <c r="AF9157" s="1">
        <v>38231</v>
      </c>
      <c r="AG9157" t="s">
        <v>8645</v>
      </c>
      <c r="AH9157" t="s">
        <v>8646</v>
      </c>
      <c r="AI9157" t="str">
        <f>"9410155"</f>
        <v>9410155</v>
      </c>
      <c r="AJ9157" t="s">
        <v>12663</v>
      </c>
      <c r="AK9157">
        <v>2831028697</v>
      </c>
      <c r="AL9157" t="s">
        <v>12664</v>
      </c>
      <c r="AM9157" t="s">
        <v>64</v>
      </c>
      <c r="AN9157" t="s">
        <v>65</v>
      </c>
      <c r="AO9157" t="s">
        <v>65</v>
      </c>
      <c r="AP9157" t="s">
        <v>65</v>
      </c>
      <c r="AQ9157">
        <v>1</v>
      </c>
      <c r="AR9157" t="s">
        <v>66</v>
      </c>
      <c r="AS9157" t="s">
        <v>67</v>
      </c>
      <c r="AT9157" t="s">
        <v>58</v>
      </c>
      <c r="AU9157" t="s">
        <v>68</v>
      </c>
      <c r="AV9157" t="s">
        <v>69</v>
      </c>
      <c r="AW9157" s="1">
        <v>29726</v>
      </c>
      <c r="AX9157">
        <v>1</v>
      </c>
    </row>
    <row r="9158" spans="1:50">
      <c r="A9158">
        <v>621202</v>
      </c>
      <c r="B9158" t="str">
        <f>"065821507"</f>
        <v>065821507</v>
      </c>
      <c r="C9158" t="s">
        <v>50</v>
      </c>
      <c r="D9158" t="s">
        <v>4315</v>
      </c>
      <c r="E9158" t="s">
        <v>52</v>
      </c>
      <c r="F9158" t="s">
        <v>450</v>
      </c>
      <c r="G9158" t="s">
        <v>73</v>
      </c>
      <c r="H9158" t="str">
        <f>"ΚΑΖΑΝΤΖΑΚΗ 48 ΡΕΘΥΜΝΟ"</f>
        <v>ΚΑΖΑΝΤΖΑΚΗ 48 ΡΕΘΥΜΝΟ</v>
      </c>
      <c r="I9158">
        <v>74100</v>
      </c>
      <c r="J9158">
        <v>2831029019</v>
      </c>
      <c r="K9158">
        <v>6974640342</v>
      </c>
      <c r="N9158" t="s">
        <v>615</v>
      </c>
      <c r="O9158" t="s">
        <v>616</v>
      </c>
      <c r="R9158" t="s">
        <v>57</v>
      </c>
      <c r="S9158">
        <v>6</v>
      </c>
      <c r="T9158">
        <v>653</v>
      </c>
      <c r="U9158" s="1">
        <v>40043</v>
      </c>
      <c r="V9158" t="s">
        <v>66</v>
      </c>
      <c r="W9158" t="s">
        <v>67</v>
      </c>
      <c r="X9158" t="s">
        <v>58</v>
      </c>
      <c r="Y9158">
        <v>24</v>
      </c>
      <c r="Z9158" t="s">
        <v>59</v>
      </c>
      <c r="AA9158" t="s">
        <v>59</v>
      </c>
      <c r="AB9158" t="s">
        <v>59</v>
      </c>
      <c r="AC9158" t="s">
        <v>59</v>
      </c>
      <c r="AD9158" t="s">
        <v>59</v>
      </c>
      <c r="AF9158" s="1">
        <v>40043</v>
      </c>
      <c r="AG9158" t="s">
        <v>8645</v>
      </c>
      <c r="AH9158" t="s">
        <v>8676</v>
      </c>
      <c r="AI9158" t="str">
        <f>"9410145"</f>
        <v>9410145</v>
      </c>
      <c r="AJ9158" t="s">
        <v>13424</v>
      </c>
      <c r="AK9158">
        <v>2833041268</v>
      </c>
      <c r="AL9158" t="s">
        <v>13425</v>
      </c>
      <c r="AM9158" t="s">
        <v>64</v>
      </c>
      <c r="AN9158" t="s">
        <v>5713</v>
      </c>
      <c r="AO9158" t="s">
        <v>5780</v>
      </c>
      <c r="AP9158" t="s">
        <v>5781</v>
      </c>
      <c r="AQ9158">
        <v>6</v>
      </c>
      <c r="AR9158" t="s">
        <v>66</v>
      </c>
      <c r="AS9158" t="s">
        <v>67</v>
      </c>
      <c r="AT9158" t="s">
        <v>58</v>
      </c>
      <c r="AU9158" t="s">
        <v>68</v>
      </c>
      <c r="AV9158" t="s">
        <v>69</v>
      </c>
      <c r="AW9158" s="1">
        <v>31587</v>
      </c>
      <c r="AX9158">
        <v>1</v>
      </c>
    </row>
    <row r="9159" spans="1:50">
      <c r="A9159">
        <v>614978</v>
      </c>
      <c r="B9159" t="str">
        <f>"119368516"</f>
        <v>119368516</v>
      </c>
      <c r="C9159" t="s">
        <v>50</v>
      </c>
      <c r="D9159" t="s">
        <v>13798</v>
      </c>
      <c r="E9159" t="s">
        <v>460</v>
      </c>
      <c r="F9159" t="s">
        <v>309</v>
      </c>
      <c r="G9159" t="s">
        <v>52</v>
      </c>
      <c r="H9159" t="str">
        <f>"ΠΑΝΕΠΙΣΤΗΜΙΟΥ ΚΡΗΤΗΣ  7 ΡΕΘΥΜΝΟ"</f>
        <v>ΠΑΝΕΠΙΣΤΗΜΙΟΥ ΚΡΗΤΗΣ  7 ΡΕΘΥΜΝΟ</v>
      </c>
      <c r="I9159">
        <v>74100</v>
      </c>
      <c r="J9159">
        <v>2103420418</v>
      </c>
      <c r="K9159">
        <v>6979527073</v>
      </c>
      <c r="M9159" t="s">
        <v>13799</v>
      </c>
      <c r="N9159" t="s">
        <v>615</v>
      </c>
      <c r="O9159" t="s">
        <v>616</v>
      </c>
      <c r="R9159" t="s">
        <v>57</v>
      </c>
      <c r="S9159">
        <v>5</v>
      </c>
      <c r="T9159">
        <v>598</v>
      </c>
      <c r="U9159" s="1">
        <v>39310</v>
      </c>
      <c r="V9159" t="s">
        <v>66</v>
      </c>
      <c r="W9159" t="s">
        <v>67</v>
      </c>
      <c r="X9159" t="s">
        <v>58</v>
      </c>
      <c r="Y9159">
        <v>25</v>
      </c>
      <c r="Z9159" t="s">
        <v>59</v>
      </c>
      <c r="AA9159" t="s">
        <v>59</v>
      </c>
      <c r="AB9159" t="s">
        <v>59</v>
      </c>
      <c r="AC9159" t="s">
        <v>59</v>
      </c>
      <c r="AD9159" t="s">
        <v>59</v>
      </c>
      <c r="AF9159" s="1">
        <v>39328</v>
      </c>
      <c r="AG9159" t="s">
        <v>8645</v>
      </c>
      <c r="AH9159" t="s">
        <v>8676</v>
      </c>
      <c r="AI9159" t="str">
        <f>"9410055"</f>
        <v>9410055</v>
      </c>
      <c r="AJ9159" t="s">
        <v>12677</v>
      </c>
      <c r="AK9159">
        <v>2834051109</v>
      </c>
      <c r="AL9159" t="s">
        <v>12678</v>
      </c>
      <c r="AM9159" t="s">
        <v>64</v>
      </c>
      <c r="AN9159" t="s">
        <v>5672</v>
      </c>
      <c r="AO9159" t="s">
        <v>5673</v>
      </c>
      <c r="AP9159" t="s">
        <v>12679</v>
      </c>
      <c r="AQ9159">
        <v>10</v>
      </c>
      <c r="AR9159" t="s">
        <v>66</v>
      </c>
      <c r="AS9159" t="s">
        <v>67</v>
      </c>
      <c r="AT9159" t="s">
        <v>58</v>
      </c>
      <c r="AU9159" t="s">
        <v>68</v>
      </c>
      <c r="AV9159" t="s">
        <v>69</v>
      </c>
      <c r="AW9159" s="1">
        <v>30402</v>
      </c>
      <c r="AX9159">
        <v>1</v>
      </c>
    </row>
    <row r="9160" spans="1:50">
      <c r="A9160">
        <v>559515</v>
      </c>
      <c r="B9160" t="str">
        <f>"032354160"</f>
        <v>032354160</v>
      </c>
      <c r="C9160" t="s">
        <v>50</v>
      </c>
      <c r="D9160" t="s">
        <v>4329</v>
      </c>
      <c r="E9160" t="s">
        <v>52</v>
      </c>
      <c r="F9160" t="s">
        <v>166</v>
      </c>
      <c r="G9160" t="s">
        <v>104</v>
      </c>
      <c r="H9160" t="str">
        <f>"ΒΙΟΛΙ ΧΑΡΑΚΙ  ΡΕΘΥΜΝΟ"</f>
        <v>ΒΙΟΛΙ ΧΑΡΑΚΙ  ΡΕΘΥΜΝΟ</v>
      </c>
      <c r="I9160">
        <v>74132</v>
      </c>
      <c r="J9160">
        <v>2831051733</v>
      </c>
      <c r="K9160">
        <v>6972986541</v>
      </c>
      <c r="M9160" t="s">
        <v>13800</v>
      </c>
      <c r="N9160" t="s">
        <v>615</v>
      </c>
      <c r="O9160" t="s">
        <v>616</v>
      </c>
      <c r="R9160" t="s">
        <v>57</v>
      </c>
      <c r="S9160">
        <v>19</v>
      </c>
      <c r="T9160">
        <v>168</v>
      </c>
      <c r="U9160" s="1">
        <v>32010</v>
      </c>
      <c r="V9160" t="s">
        <v>66</v>
      </c>
      <c r="W9160" t="s">
        <v>67</v>
      </c>
      <c r="X9160" t="s">
        <v>58</v>
      </c>
      <c r="Y9160">
        <v>21</v>
      </c>
      <c r="Z9160" t="s">
        <v>59</v>
      </c>
      <c r="AA9160" t="s">
        <v>59</v>
      </c>
      <c r="AB9160" t="s">
        <v>59</v>
      </c>
      <c r="AC9160" t="s">
        <v>59</v>
      </c>
      <c r="AD9160" t="s">
        <v>59</v>
      </c>
      <c r="AF9160" s="1">
        <v>32021</v>
      </c>
      <c r="AG9160" t="s">
        <v>8645</v>
      </c>
      <c r="AH9160" t="s">
        <v>8646</v>
      </c>
      <c r="AI9160" t="str">
        <f>"9410064"</f>
        <v>9410064</v>
      </c>
      <c r="AJ9160" t="s">
        <v>12683</v>
      </c>
      <c r="AK9160">
        <v>2831028390</v>
      </c>
      <c r="AL9160" t="s">
        <v>12684</v>
      </c>
      <c r="AM9160" t="s">
        <v>64</v>
      </c>
      <c r="AN9160" t="s">
        <v>65</v>
      </c>
      <c r="AO9160" t="s">
        <v>65</v>
      </c>
      <c r="AP9160" t="s">
        <v>65</v>
      </c>
      <c r="AQ9160">
        <v>1</v>
      </c>
      <c r="AR9160" t="s">
        <v>66</v>
      </c>
      <c r="AS9160" t="s">
        <v>67</v>
      </c>
      <c r="AT9160" t="s">
        <v>58</v>
      </c>
      <c r="AU9160" t="s">
        <v>68</v>
      </c>
      <c r="AV9160" t="s">
        <v>69</v>
      </c>
      <c r="AW9160" s="1">
        <v>24009</v>
      </c>
      <c r="AX9160">
        <v>1</v>
      </c>
    </row>
    <row r="9161" spans="1:50">
      <c r="A9161">
        <v>579058</v>
      </c>
      <c r="B9161" t="str">
        <f>"065623459"</f>
        <v>065623459</v>
      </c>
      <c r="C9161" t="s">
        <v>50</v>
      </c>
      <c r="D9161" t="s">
        <v>4329</v>
      </c>
      <c r="E9161" t="s">
        <v>7030</v>
      </c>
      <c r="F9161" t="s">
        <v>13801</v>
      </c>
      <c r="G9161" t="s">
        <v>181</v>
      </c>
      <c r="H9161" t="str">
        <f>" "</f>
        <v xml:space="preserve"> </v>
      </c>
      <c r="K9161">
        <v>6976134192</v>
      </c>
      <c r="N9161" t="s">
        <v>615</v>
      </c>
      <c r="O9161" t="s">
        <v>616</v>
      </c>
      <c r="R9161" t="s">
        <v>57</v>
      </c>
      <c r="S9161">
        <v>12</v>
      </c>
      <c r="T9161">
        <v>165</v>
      </c>
      <c r="U9161" s="1">
        <v>35300</v>
      </c>
      <c r="V9161" t="s">
        <v>66</v>
      </c>
      <c r="W9161" t="s">
        <v>67</v>
      </c>
      <c r="X9161" t="s">
        <v>58</v>
      </c>
      <c r="Y9161">
        <v>21</v>
      </c>
      <c r="Z9161" t="s">
        <v>59</v>
      </c>
      <c r="AA9161" t="s">
        <v>59</v>
      </c>
      <c r="AB9161" t="s">
        <v>59</v>
      </c>
      <c r="AC9161" t="s">
        <v>59</v>
      </c>
      <c r="AD9161" t="s">
        <v>59</v>
      </c>
      <c r="AF9161" s="1">
        <v>35313</v>
      </c>
      <c r="AG9161" t="s">
        <v>8645</v>
      </c>
      <c r="AH9161" t="s">
        <v>8646</v>
      </c>
      <c r="AI9161" t="str">
        <f>"9410003"</f>
        <v>9410003</v>
      </c>
      <c r="AJ9161" t="s">
        <v>12794</v>
      </c>
      <c r="AK9161">
        <v>2834031213</v>
      </c>
      <c r="AL9161" t="s">
        <v>12795</v>
      </c>
      <c r="AM9161" t="s">
        <v>64</v>
      </c>
      <c r="AN9161" t="s">
        <v>5737</v>
      </c>
      <c r="AO9161" t="s">
        <v>5737</v>
      </c>
      <c r="AP9161" t="s">
        <v>5737</v>
      </c>
      <c r="AQ9161">
        <v>9</v>
      </c>
      <c r="AR9161" t="s">
        <v>66</v>
      </c>
      <c r="AS9161" t="s">
        <v>67</v>
      </c>
      <c r="AT9161" t="s">
        <v>58</v>
      </c>
      <c r="AU9161" t="s">
        <v>68</v>
      </c>
      <c r="AV9161" t="s">
        <v>69</v>
      </c>
      <c r="AW9161" s="1">
        <v>22292</v>
      </c>
      <c r="AX9161">
        <v>1</v>
      </c>
    </row>
    <row r="9162" spans="1:50">
      <c r="A9162">
        <v>608940</v>
      </c>
      <c r="B9162" t="str">
        <f>"115382636"</f>
        <v>115382636</v>
      </c>
      <c r="C9162" t="s">
        <v>50</v>
      </c>
      <c r="D9162" t="s">
        <v>13802</v>
      </c>
      <c r="E9162" t="s">
        <v>13803</v>
      </c>
      <c r="F9162" t="s">
        <v>309</v>
      </c>
      <c r="G9162" t="s">
        <v>2239</v>
      </c>
      <c r="H9162" t="str">
        <f>"Β. ΞΑΝΘΟΠΟΥΛΟΥ 4 ΡΕΘΥΜΝΟ"</f>
        <v>Β. ΞΑΝΘΟΠΟΥΛΟΥ 4 ΡΕΘΥΜΝΟ</v>
      </c>
      <c r="I9162">
        <v>74100</v>
      </c>
      <c r="J9162">
        <v>2351101077</v>
      </c>
      <c r="K9162">
        <v>6942450810</v>
      </c>
      <c r="M9162" t="s">
        <v>13804</v>
      </c>
      <c r="N9162" t="s">
        <v>1525</v>
      </c>
      <c r="O9162" t="s">
        <v>1526</v>
      </c>
      <c r="R9162" t="s">
        <v>57</v>
      </c>
      <c r="S9162">
        <v>6</v>
      </c>
      <c r="T9162">
        <v>217</v>
      </c>
      <c r="U9162" s="1">
        <v>38596</v>
      </c>
      <c r="V9162" t="s">
        <v>66</v>
      </c>
      <c r="W9162" t="s">
        <v>67</v>
      </c>
      <c r="X9162" t="s">
        <v>58</v>
      </c>
      <c r="Y9162">
        <v>25</v>
      </c>
      <c r="Z9162" t="s">
        <v>59</v>
      </c>
      <c r="AA9162" t="s">
        <v>59</v>
      </c>
      <c r="AB9162" t="s">
        <v>59</v>
      </c>
      <c r="AC9162" t="s">
        <v>59</v>
      </c>
      <c r="AD9162" t="s">
        <v>59</v>
      </c>
      <c r="AF9162" s="1">
        <v>38601</v>
      </c>
      <c r="AG9162" t="s">
        <v>8651</v>
      </c>
      <c r="AH9162" t="s">
        <v>8652</v>
      </c>
      <c r="AI9162" t="str">
        <f>"9410239"</f>
        <v>9410239</v>
      </c>
      <c r="AJ9162" t="s">
        <v>13263</v>
      </c>
      <c r="AK9162">
        <v>2832091121</v>
      </c>
      <c r="AL9162" t="s">
        <v>13264</v>
      </c>
      <c r="AM9162" t="s">
        <v>64</v>
      </c>
      <c r="AN9162" t="s">
        <v>5882</v>
      </c>
      <c r="AO9162" t="s">
        <v>5883</v>
      </c>
      <c r="AP9162" t="s">
        <v>12732</v>
      </c>
      <c r="AQ9162">
        <v>6</v>
      </c>
      <c r="AR9162" t="s">
        <v>66</v>
      </c>
      <c r="AS9162" t="s">
        <v>67</v>
      </c>
      <c r="AT9162" t="s">
        <v>58</v>
      </c>
      <c r="AU9162" t="s">
        <v>68</v>
      </c>
      <c r="AV9162" t="s">
        <v>69</v>
      </c>
      <c r="AW9162" s="1">
        <v>27936</v>
      </c>
      <c r="AX9162">
        <v>1</v>
      </c>
    </row>
    <row r="9163" spans="1:50">
      <c r="A9163">
        <v>701978</v>
      </c>
      <c r="B9163" t="str">
        <f>"137451516"</f>
        <v>137451516</v>
      </c>
      <c r="C9163" t="s">
        <v>50</v>
      </c>
      <c r="D9163" t="s">
        <v>4337</v>
      </c>
      <c r="E9163" t="s">
        <v>372</v>
      </c>
      <c r="F9163" t="s">
        <v>99</v>
      </c>
      <c r="G9163" t="s">
        <v>83</v>
      </c>
      <c r="H9163" t="str">
        <f>"Λ. ΚΟΥΝΤΟΥΡΙΩΤΗ 36 ΡΕΘΥΜΝΟ"</f>
        <v>Λ. ΚΟΥΝΤΟΥΡΙΩΤΗ 36 ΡΕΘΥΜΝΟ</v>
      </c>
      <c r="I9163">
        <v>74100</v>
      </c>
      <c r="J9163">
        <v>2831022082</v>
      </c>
      <c r="K9163">
        <v>6977445675</v>
      </c>
      <c r="M9163" t="s">
        <v>13805</v>
      </c>
      <c r="N9163" t="s">
        <v>615</v>
      </c>
      <c r="O9163" t="s">
        <v>616</v>
      </c>
      <c r="R9163" t="s">
        <v>57</v>
      </c>
      <c r="S9163">
        <v>7</v>
      </c>
      <c r="T9163" t="s">
        <v>13806</v>
      </c>
      <c r="U9163" s="1">
        <v>40413</v>
      </c>
      <c r="V9163" t="s">
        <v>66</v>
      </c>
      <c r="W9163" t="s">
        <v>67</v>
      </c>
      <c r="X9163" t="s">
        <v>58</v>
      </c>
      <c r="Y9163">
        <v>23</v>
      </c>
      <c r="Z9163" t="s">
        <v>59</v>
      </c>
      <c r="AA9163" t="s">
        <v>59</v>
      </c>
      <c r="AB9163" t="s">
        <v>59</v>
      </c>
      <c r="AC9163" t="s">
        <v>59</v>
      </c>
      <c r="AD9163" t="s">
        <v>59</v>
      </c>
      <c r="AF9163" s="1">
        <v>40413</v>
      </c>
      <c r="AG9163" t="s">
        <v>8645</v>
      </c>
      <c r="AH9163" t="s">
        <v>8646</v>
      </c>
      <c r="AI9163" t="str">
        <f>"9410170"</f>
        <v>9410170</v>
      </c>
      <c r="AJ9163" t="s">
        <v>12658</v>
      </c>
      <c r="AK9163">
        <v>2831061220</v>
      </c>
      <c r="AL9163" t="s">
        <v>12659</v>
      </c>
      <c r="AM9163" t="s">
        <v>64</v>
      </c>
      <c r="AN9163" t="s">
        <v>65</v>
      </c>
      <c r="AO9163" t="s">
        <v>5657</v>
      </c>
      <c r="AP9163" t="s">
        <v>1437</v>
      </c>
      <c r="AQ9163">
        <v>2</v>
      </c>
      <c r="AR9163" t="s">
        <v>66</v>
      </c>
      <c r="AS9163" t="s">
        <v>67</v>
      </c>
      <c r="AT9163" t="s">
        <v>58</v>
      </c>
      <c r="AU9163" t="s">
        <v>68</v>
      </c>
      <c r="AV9163" t="s">
        <v>69</v>
      </c>
      <c r="AW9163" s="1">
        <v>31331</v>
      </c>
      <c r="AX9163">
        <v>1</v>
      </c>
    </row>
    <row r="9164" spans="1:50">
      <c r="B9164" t="str">
        <f>"132980763"</f>
        <v>132980763</v>
      </c>
      <c r="C9164" t="s">
        <v>50</v>
      </c>
      <c r="D9164" t="s">
        <v>4343</v>
      </c>
      <c r="E9164" t="s">
        <v>52</v>
      </c>
      <c r="F9164" t="s">
        <v>153</v>
      </c>
      <c r="G9164" t="s">
        <v>263</v>
      </c>
      <c r="H9164" t="str">
        <f>" "</f>
        <v xml:space="preserve"> </v>
      </c>
      <c r="N9164" t="s">
        <v>1525</v>
      </c>
      <c r="O9164" t="s">
        <v>1526</v>
      </c>
      <c r="R9164" t="s">
        <v>121</v>
      </c>
      <c r="S9164">
        <v>1</v>
      </c>
      <c r="T9164" t="s">
        <v>10716</v>
      </c>
      <c r="U9164" s="1">
        <v>43377</v>
      </c>
      <c r="V9164" t="s">
        <v>66</v>
      </c>
      <c r="W9164" t="s">
        <v>67</v>
      </c>
      <c r="X9164" t="s">
        <v>58</v>
      </c>
      <c r="Y9164">
        <v>25</v>
      </c>
      <c r="Z9164" t="s">
        <v>59</v>
      </c>
      <c r="AA9164" t="s">
        <v>59</v>
      </c>
      <c r="AB9164" t="s">
        <v>59</v>
      </c>
      <c r="AD9164" t="s">
        <v>59</v>
      </c>
      <c r="AF9164" s="1">
        <v>43377</v>
      </c>
      <c r="AG9164" t="s">
        <v>8651</v>
      </c>
      <c r="AH9164" t="s">
        <v>8652</v>
      </c>
      <c r="AI9164" t="str">
        <f>"9410002"</f>
        <v>9410002</v>
      </c>
      <c r="AJ9164" t="s">
        <v>13382</v>
      </c>
      <c r="AK9164">
        <v>2834031184</v>
      </c>
      <c r="AL9164" t="s">
        <v>13383</v>
      </c>
      <c r="AM9164" t="s">
        <v>64</v>
      </c>
      <c r="AN9164" t="s">
        <v>5737</v>
      </c>
      <c r="AO9164" t="s">
        <v>5737</v>
      </c>
      <c r="AP9164" t="s">
        <v>5737</v>
      </c>
      <c r="AQ9164">
        <v>9</v>
      </c>
      <c r="AR9164" t="s">
        <v>66</v>
      </c>
      <c r="AS9164" t="s">
        <v>67</v>
      </c>
      <c r="AT9164" t="s">
        <v>58</v>
      </c>
      <c r="AU9164" t="s">
        <v>8673</v>
      </c>
      <c r="AV9164" t="s">
        <v>132</v>
      </c>
      <c r="AW9164" s="1">
        <v>31224</v>
      </c>
      <c r="AX9164">
        <v>1</v>
      </c>
    </row>
    <row r="9165" spans="1:50">
      <c r="A9165">
        <v>613798</v>
      </c>
      <c r="B9165" t="str">
        <f>"074085522"</f>
        <v>074085522</v>
      </c>
      <c r="C9165" t="s">
        <v>50</v>
      </c>
      <c r="D9165" t="s">
        <v>4343</v>
      </c>
      <c r="E9165" t="s">
        <v>460</v>
      </c>
      <c r="F9165" t="s">
        <v>166</v>
      </c>
      <c r="G9165" t="s">
        <v>73</v>
      </c>
      <c r="H9165" t="str">
        <f>"Γ. ΧΑΤΖΗΔΑΚΗ 2-4 ΡΕΘΥΜΝΟ"</f>
        <v>Γ. ΧΑΤΖΗΔΑΚΗ 2-4 ΡΕΘΥΜΝΟ</v>
      </c>
      <c r="I9165">
        <v>74100</v>
      </c>
      <c r="J9165">
        <v>2831025735</v>
      </c>
      <c r="K9165">
        <v>6974778874</v>
      </c>
      <c r="N9165" t="s">
        <v>615</v>
      </c>
      <c r="O9165" t="s">
        <v>616</v>
      </c>
      <c r="R9165" t="s">
        <v>57</v>
      </c>
      <c r="S9165">
        <v>6</v>
      </c>
      <c r="T9165">
        <v>598</v>
      </c>
      <c r="U9165" s="1">
        <v>39310</v>
      </c>
      <c r="V9165" t="s">
        <v>66</v>
      </c>
      <c r="W9165" t="s">
        <v>67</v>
      </c>
      <c r="X9165" t="s">
        <v>58</v>
      </c>
      <c r="Y9165">
        <v>23</v>
      </c>
      <c r="Z9165" t="s">
        <v>59</v>
      </c>
      <c r="AA9165" t="s">
        <v>59</v>
      </c>
      <c r="AB9165" t="s">
        <v>59</v>
      </c>
      <c r="AC9165" t="s">
        <v>59</v>
      </c>
      <c r="AD9165" t="s">
        <v>59</v>
      </c>
      <c r="AF9165" s="1">
        <v>39310</v>
      </c>
      <c r="AG9165" t="s">
        <v>8645</v>
      </c>
      <c r="AH9165" t="s">
        <v>8646</v>
      </c>
      <c r="AI9165" t="str">
        <f>"9410167"</f>
        <v>9410167</v>
      </c>
      <c r="AJ9165" t="s">
        <v>12911</v>
      </c>
      <c r="AK9165">
        <v>2831031455</v>
      </c>
      <c r="AL9165" t="s">
        <v>12912</v>
      </c>
      <c r="AM9165" t="s">
        <v>64</v>
      </c>
      <c r="AN9165" t="s">
        <v>65</v>
      </c>
      <c r="AO9165" t="s">
        <v>5720</v>
      </c>
      <c r="AP9165" t="s">
        <v>12913</v>
      </c>
      <c r="AQ9165">
        <v>2</v>
      </c>
      <c r="AR9165" t="s">
        <v>66</v>
      </c>
      <c r="AS9165" t="s">
        <v>67</v>
      </c>
      <c r="AT9165" t="s">
        <v>58</v>
      </c>
      <c r="AU9165" t="s">
        <v>68</v>
      </c>
      <c r="AV9165" t="s">
        <v>69</v>
      </c>
      <c r="AW9165" s="1">
        <v>29827</v>
      </c>
      <c r="AX9165">
        <v>1</v>
      </c>
    </row>
    <row r="9166" spans="1:50">
      <c r="A9166">
        <v>568854</v>
      </c>
      <c r="B9166" t="str">
        <f>"035633743"</f>
        <v>035633743</v>
      </c>
      <c r="C9166" t="s">
        <v>105</v>
      </c>
      <c r="D9166" t="s">
        <v>13807</v>
      </c>
      <c r="E9166" t="s">
        <v>309</v>
      </c>
      <c r="F9166" t="s">
        <v>13808</v>
      </c>
      <c r="G9166" t="s">
        <v>964</v>
      </c>
      <c r="H9166" t="str">
        <f>"ΚΑΠΟΔΙΣΤΡΙΟΥ 27 ΡΕΘΥΜΝΟ"</f>
        <v>ΚΑΠΟΔΙΣΤΡΙΟΥ 27 ΡΕΘΥΜΝΟ</v>
      </c>
      <c r="I9166">
        <v>74100</v>
      </c>
      <c r="J9166">
        <v>2831029746</v>
      </c>
      <c r="K9166">
        <v>6977453703</v>
      </c>
      <c r="N9166" t="s">
        <v>615</v>
      </c>
      <c r="O9166" t="s">
        <v>616</v>
      </c>
      <c r="R9166" t="s">
        <v>57</v>
      </c>
      <c r="S9166">
        <v>16</v>
      </c>
      <c r="T9166">
        <v>162</v>
      </c>
      <c r="U9166" s="1">
        <v>33844</v>
      </c>
      <c r="V9166" t="s">
        <v>66</v>
      </c>
      <c r="W9166" t="s">
        <v>67</v>
      </c>
      <c r="X9166" t="s">
        <v>58</v>
      </c>
      <c r="Y9166">
        <v>21</v>
      </c>
      <c r="Z9166" t="s">
        <v>59</v>
      </c>
      <c r="AA9166" t="s">
        <v>59</v>
      </c>
      <c r="AB9166" t="s">
        <v>59</v>
      </c>
      <c r="AC9166" t="s">
        <v>59</v>
      </c>
      <c r="AD9166" t="s">
        <v>59</v>
      </c>
      <c r="AF9166" s="1">
        <v>33848</v>
      </c>
      <c r="AG9166" t="s">
        <v>8645</v>
      </c>
      <c r="AH9166" t="s">
        <v>8646</v>
      </c>
      <c r="AI9166" t="str">
        <f>"9410064"</f>
        <v>9410064</v>
      </c>
      <c r="AJ9166" t="s">
        <v>12683</v>
      </c>
      <c r="AK9166">
        <v>2831028390</v>
      </c>
      <c r="AL9166" t="s">
        <v>12684</v>
      </c>
      <c r="AM9166" t="s">
        <v>64</v>
      </c>
      <c r="AN9166" t="s">
        <v>65</v>
      </c>
      <c r="AO9166" t="s">
        <v>65</v>
      </c>
      <c r="AP9166" t="s">
        <v>65</v>
      </c>
      <c r="AQ9166">
        <v>1</v>
      </c>
      <c r="AR9166" t="s">
        <v>66</v>
      </c>
      <c r="AS9166" t="s">
        <v>67</v>
      </c>
      <c r="AT9166" t="s">
        <v>58</v>
      </c>
      <c r="AU9166" t="s">
        <v>68</v>
      </c>
      <c r="AV9166" t="s">
        <v>69</v>
      </c>
      <c r="AW9166" s="1">
        <v>23700</v>
      </c>
      <c r="AX9166">
        <v>1</v>
      </c>
    </row>
    <row r="9167" spans="1:50">
      <c r="A9167">
        <v>610763</v>
      </c>
      <c r="B9167" t="str">
        <f>"125588216"</f>
        <v>125588216</v>
      </c>
      <c r="C9167" t="s">
        <v>50</v>
      </c>
      <c r="D9167" t="s">
        <v>13809</v>
      </c>
      <c r="E9167" t="s">
        <v>11234</v>
      </c>
      <c r="F9167" t="s">
        <v>315</v>
      </c>
      <c r="G9167" t="s">
        <v>83</v>
      </c>
      <c r="H9167" t="str">
        <f>" "</f>
        <v xml:space="preserve"> </v>
      </c>
      <c r="J9167">
        <v>2810231860</v>
      </c>
      <c r="K9167">
        <v>6942467069</v>
      </c>
      <c r="N9167" t="s">
        <v>615</v>
      </c>
      <c r="O9167" t="s">
        <v>616</v>
      </c>
      <c r="R9167" t="s">
        <v>57</v>
      </c>
      <c r="S9167">
        <v>6</v>
      </c>
      <c r="T9167">
        <v>233</v>
      </c>
      <c r="U9167" s="1">
        <v>38960</v>
      </c>
      <c r="V9167" t="s">
        <v>66</v>
      </c>
      <c r="W9167" t="s">
        <v>67</v>
      </c>
      <c r="X9167" t="s">
        <v>58</v>
      </c>
      <c r="Y9167">
        <v>23</v>
      </c>
      <c r="Z9167" t="s">
        <v>59</v>
      </c>
      <c r="AA9167" t="s">
        <v>59</v>
      </c>
      <c r="AB9167" t="s">
        <v>59</v>
      </c>
      <c r="AC9167" t="s">
        <v>59</v>
      </c>
      <c r="AD9167" t="s">
        <v>59</v>
      </c>
      <c r="AF9167" s="1">
        <v>38961</v>
      </c>
      <c r="AG9167" t="s">
        <v>60</v>
      </c>
      <c r="AH9167" t="s">
        <v>453</v>
      </c>
      <c r="AI9167" t="str">
        <f>"9941101"</f>
        <v>9941101</v>
      </c>
      <c r="AJ9167" t="s">
        <v>67</v>
      </c>
      <c r="AK9167">
        <v>2831022325</v>
      </c>
      <c r="AL9167" t="s">
        <v>12931</v>
      </c>
      <c r="AM9167" t="s">
        <v>64</v>
      </c>
      <c r="AN9167" t="s">
        <v>65</v>
      </c>
      <c r="AO9167" t="s">
        <v>65</v>
      </c>
      <c r="AP9167" t="s">
        <v>65</v>
      </c>
      <c r="AS9167" t="s">
        <v>67</v>
      </c>
      <c r="AT9167" t="s">
        <v>58</v>
      </c>
      <c r="AU9167" t="s">
        <v>68</v>
      </c>
      <c r="AV9167" t="s">
        <v>455</v>
      </c>
      <c r="AW9167" s="1">
        <v>30100</v>
      </c>
      <c r="AX9167">
        <v>1</v>
      </c>
    </row>
    <row r="9168" spans="1:50">
      <c r="A9168">
        <v>700389</v>
      </c>
      <c r="B9168" t="str">
        <f>"136338141"</f>
        <v>136338141</v>
      </c>
      <c r="C9168" t="s">
        <v>50</v>
      </c>
      <c r="D9168" t="s">
        <v>13810</v>
      </c>
      <c r="E9168" t="s">
        <v>340</v>
      </c>
      <c r="F9168" t="s">
        <v>609</v>
      </c>
      <c r="G9168" t="s">
        <v>268</v>
      </c>
      <c r="H9168" t="str">
        <f>"ΔΥΤ. ΘΡΑΚΗΣ 19 ΣΕΡΡΕΣ"</f>
        <v>ΔΥΤ. ΘΡΑΚΗΣ 19 ΣΕΡΡΕΣ</v>
      </c>
      <c r="I9168">
        <v>62124</v>
      </c>
      <c r="J9168">
        <v>2321021241</v>
      </c>
      <c r="K9168">
        <v>6936507936</v>
      </c>
      <c r="N9168" t="s">
        <v>615</v>
      </c>
      <c r="O9168" t="s">
        <v>616</v>
      </c>
      <c r="R9168" t="s">
        <v>57</v>
      </c>
      <c r="S9168">
        <v>4</v>
      </c>
      <c r="T9168">
        <v>772</v>
      </c>
      <c r="U9168" s="1">
        <v>40413</v>
      </c>
      <c r="V9168" t="s">
        <v>66</v>
      </c>
      <c r="W9168" t="s">
        <v>67</v>
      </c>
      <c r="X9168" t="s">
        <v>58</v>
      </c>
      <c r="Y9168">
        <v>24</v>
      </c>
      <c r="Z9168" t="s">
        <v>59</v>
      </c>
      <c r="AA9168" t="s">
        <v>59</v>
      </c>
      <c r="AB9168" t="s">
        <v>59</v>
      </c>
      <c r="AC9168" t="s">
        <v>59</v>
      </c>
      <c r="AD9168" t="s">
        <v>59</v>
      </c>
      <c r="AF9168" s="1">
        <v>40413</v>
      </c>
      <c r="AG9168" t="s">
        <v>8645</v>
      </c>
      <c r="AH9168" t="s">
        <v>8646</v>
      </c>
      <c r="AI9168" t="str">
        <f>"9410033"</f>
        <v>9410033</v>
      </c>
      <c r="AJ9168" t="s">
        <v>12778</v>
      </c>
      <c r="AK9168">
        <v>2834061210</v>
      </c>
      <c r="AL9168" t="s">
        <v>12779</v>
      </c>
      <c r="AM9168" t="s">
        <v>64</v>
      </c>
      <c r="AN9168" t="s">
        <v>5672</v>
      </c>
      <c r="AO9168" t="s">
        <v>12780</v>
      </c>
      <c r="AP9168" t="s">
        <v>12780</v>
      </c>
      <c r="AQ9168">
        <v>9</v>
      </c>
      <c r="AR9168" t="s">
        <v>66</v>
      </c>
      <c r="AS9168" t="s">
        <v>67</v>
      </c>
      <c r="AT9168" t="s">
        <v>58</v>
      </c>
      <c r="AU9168" t="s">
        <v>68</v>
      </c>
      <c r="AV9168" t="s">
        <v>69</v>
      </c>
      <c r="AW9168" s="1">
        <v>31789</v>
      </c>
      <c r="AX9168">
        <v>1</v>
      </c>
    </row>
    <row r="9169" spans="1:50">
      <c r="B9169" t="str">
        <f>"133337151"</f>
        <v>133337151</v>
      </c>
      <c r="C9169" t="s">
        <v>50</v>
      </c>
      <c r="D9169" t="s">
        <v>6696</v>
      </c>
      <c r="E9169" t="s">
        <v>52</v>
      </c>
      <c r="F9169" t="s">
        <v>72</v>
      </c>
      <c r="G9169" t="s">
        <v>3604</v>
      </c>
      <c r="H9169" t="str">
        <f>"ΣΩΜΑΤΑΣ ΡΕΘΥΜΝΟ"</f>
        <v>ΣΩΜΑΤΑΣ ΡΕΘΥΜΝΟ</v>
      </c>
      <c r="I9169">
        <v>74100</v>
      </c>
      <c r="J9169">
        <v>2831041404</v>
      </c>
      <c r="K9169">
        <v>6975801238</v>
      </c>
      <c r="N9169" t="s">
        <v>306</v>
      </c>
      <c r="O9169" t="s">
        <v>307</v>
      </c>
      <c r="R9169" t="s">
        <v>159</v>
      </c>
      <c r="S9169">
        <v>2</v>
      </c>
      <c r="T9169" t="s">
        <v>8675</v>
      </c>
      <c r="U9169" s="1">
        <v>43348</v>
      </c>
      <c r="V9169" t="s">
        <v>66</v>
      </c>
      <c r="W9169" t="s">
        <v>67</v>
      </c>
      <c r="X9169" t="s">
        <v>58</v>
      </c>
      <c r="Y9169">
        <v>24</v>
      </c>
      <c r="Z9169" t="s">
        <v>59</v>
      </c>
      <c r="AA9169" t="s">
        <v>59</v>
      </c>
      <c r="AB9169" t="s">
        <v>59</v>
      </c>
      <c r="AC9169" t="s">
        <v>59</v>
      </c>
      <c r="AD9169" t="s">
        <v>59</v>
      </c>
      <c r="AF9169" s="1">
        <v>43348</v>
      </c>
      <c r="AG9169" t="s">
        <v>8645</v>
      </c>
      <c r="AH9169" t="s">
        <v>8646</v>
      </c>
      <c r="AI9169" t="str">
        <f>"9410169"</f>
        <v>9410169</v>
      </c>
      <c r="AJ9169" t="s">
        <v>12936</v>
      </c>
      <c r="AK9169">
        <v>2831031123</v>
      </c>
      <c r="AL9169" t="s">
        <v>12937</v>
      </c>
      <c r="AM9169" t="s">
        <v>64</v>
      </c>
      <c r="AN9169" t="s">
        <v>65</v>
      </c>
      <c r="AO9169" t="s">
        <v>5720</v>
      </c>
      <c r="AP9169" t="s">
        <v>12938</v>
      </c>
      <c r="AQ9169">
        <v>2</v>
      </c>
      <c r="AR9169" t="s">
        <v>66</v>
      </c>
      <c r="AS9169" t="s">
        <v>67</v>
      </c>
      <c r="AT9169" t="s">
        <v>58</v>
      </c>
      <c r="AU9169" t="s">
        <v>8673</v>
      </c>
      <c r="AV9169" t="s">
        <v>132</v>
      </c>
      <c r="AW9169" s="1">
        <v>30761</v>
      </c>
      <c r="AX9169">
        <v>1</v>
      </c>
    </row>
    <row r="9170" spans="1:50">
      <c r="B9170" t="str">
        <f>"149613501"</f>
        <v>149613501</v>
      </c>
      <c r="C9170" t="s">
        <v>50</v>
      </c>
      <c r="D9170" t="s">
        <v>13811</v>
      </c>
      <c r="E9170" t="s">
        <v>263</v>
      </c>
      <c r="F9170" t="s">
        <v>72</v>
      </c>
      <c r="G9170" t="s">
        <v>71</v>
      </c>
      <c r="H9170" t="str">
        <f>"Πανεπιστημίου Κρήτης 9 Ρέθυμνο"</f>
        <v>Πανεπιστημίου Κρήτης 9 Ρέθυμνο</v>
      </c>
      <c r="K9170">
        <v>6980364229</v>
      </c>
      <c r="M9170" t="s">
        <v>13812</v>
      </c>
      <c r="N9170" t="s">
        <v>615</v>
      </c>
      <c r="O9170" t="s">
        <v>616</v>
      </c>
      <c r="R9170" t="s">
        <v>159</v>
      </c>
      <c r="S9170">
        <v>1</v>
      </c>
      <c r="T9170" t="s">
        <v>8675</v>
      </c>
      <c r="U9170" s="1">
        <v>43348</v>
      </c>
      <c r="V9170" t="s">
        <v>66</v>
      </c>
      <c r="W9170" t="s">
        <v>67</v>
      </c>
      <c r="X9170" t="s">
        <v>58</v>
      </c>
      <c r="Y9170">
        <v>24</v>
      </c>
      <c r="Z9170" t="s">
        <v>59</v>
      </c>
      <c r="AA9170" t="s">
        <v>59</v>
      </c>
      <c r="AB9170" t="s">
        <v>59</v>
      </c>
      <c r="AD9170" t="s">
        <v>59</v>
      </c>
      <c r="AF9170" s="1">
        <v>43348</v>
      </c>
      <c r="AG9170" t="s">
        <v>8645</v>
      </c>
      <c r="AH9170" t="s">
        <v>8646</v>
      </c>
      <c r="AI9170" t="str">
        <f>"9410038"</f>
        <v>9410038</v>
      </c>
      <c r="AJ9170" t="s">
        <v>12669</v>
      </c>
      <c r="AK9170">
        <v>2834061471</v>
      </c>
      <c r="AL9170" t="s">
        <v>12670</v>
      </c>
      <c r="AM9170" t="s">
        <v>64</v>
      </c>
      <c r="AN9170" t="s">
        <v>5672</v>
      </c>
      <c r="AO9170" t="s">
        <v>5698</v>
      </c>
      <c r="AP9170" t="s">
        <v>5699</v>
      </c>
      <c r="AQ9170">
        <v>9</v>
      </c>
      <c r="AR9170" t="s">
        <v>66</v>
      </c>
      <c r="AS9170" t="s">
        <v>67</v>
      </c>
      <c r="AT9170" t="s">
        <v>58</v>
      </c>
      <c r="AU9170" t="s">
        <v>8673</v>
      </c>
      <c r="AV9170" t="s">
        <v>132</v>
      </c>
      <c r="AW9170" s="1">
        <v>32701</v>
      </c>
      <c r="AX9170">
        <v>1</v>
      </c>
    </row>
    <row r="9171" spans="1:50">
      <c r="B9171" t="str">
        <f>"159510790"</f>
        <v>159510790</v>
      </c>
      <c r="C9171" t="s">
        <v>50</v>
      </c>
      <c r="D9171" t="s">
        <v>13813</v>
      </c>
      <c r="E9171" t="s">
        <v>5603</v>
      </c>
      <c r="F9171" t="s">
        <v>13814</v>
      </c>
      <c r="G9171" t="s">
        <v>13815</v>
      </c>
      <c r="H9171" t="str">
        <f>" "</f>
        <v xml:space="preserve"> </v>
      </c>
      <c r="K9171">
        <v>6976652144</v>
      </c>
      <c r="M9171" t="s">
        <v>13816</v>
      </c>
      <c r="N9171" t="s">
        <v>8694</v>
      </c>
      <c r="O9171" t="s">
        <v>8695</v>
      </c>
      <c r="R9171" t="s">
        <v>159</v>
      </c>
      <c r="S9171">
        <v>1</v>
      </c>
      <c r="T9171" t="s">
        <v>8835</v>
      </c>
      <c r="U9171" s="1">
        <v>43348</v>
      </c>
      <c r="V9171" t="s">
        <v>66</v>
      </c>
      <c r="W9171" t="s">
        <v>67</v>
      </c>
      <c r="X9171" t="s">
        <v>58</v>
      </c>
      <c r="Y9171">
        <v>24</v>
      </c>
      <c r="Z9171" t="s">
        <v>59</v>
      </c>
      <c r="AA9171" t="s">
        <v>59</v>
      </c>
      <c r="AB9171" t="s">
        <v>59</v>
      </c>
      <c r="AD9171" t="s">
        <v>59</v>
      </c>
      <c r="AF9171" s="1">
        <v>43348</v>
      </c>
      <c r="AG9171" t="s">
        <v>8645</v>
      </c>
      <c r="AH9171" t="s">
        <v>8646</v>
      </c>
      <c r="AI9171" t="str">
        <f>"9410212"</f>
        <v>9410212</v>
      </c>
      <c r="AJ9171" t="s">
        <v>12747</v>
      </c>
      <c r="AK9171">
        <v>2831022132</v>
      </c>
      <c r="AL9171" t="s">
        <v>12748</v>
      </c>
      <c r="AM9171" t="s">
        <v>64</v>
      </c>
      <c r="AN9171" t="s">
        <v>65</v>
      </c>
      <c r="AO9171" t="s">
        <v>65</v>
      </c>
      <c r="AP9171" t="s">
        <v>65</v>
      </c>
      <c r="AQ9171">
        <v>1</v>
      </c>
      <c r="AR9171" t="s">
        <v>66</v>
      </c>
      <c r="AS9171" t="s">
        <v>67</v>
      </c>
      <c r="AT9171" t="s">
        <v>58</v>
      </c>
      <c r="AU9171" t="s">
        <v>131</v>
      </c>
      <c r="AV9171" t="s">
        <v>132</v>
      </c>
      <c r="AW9171" s="1">
        <v>34218</v>
      </c>
      <c r="AX9171">
        <v>1</v>
      </c>
    </row>
    <row r="9172" spans="1:50">
      <c r="A9172">
        <v>614774</v>
      </c>
      <c r="B9172" t="str">
        <f>"115622950"</f>
        <v>115622950</v>
      </c>
      <c r="C9172" t="s">
        <v>50</v>
      </c>
      <c r="D9172" t="s">
        <v>13817</v>
      </c>
      <c r="E9172" t="s">
        <v>396</v>
      </c>
      <c r="F9172" t="s">
        <v>450</v>
      </c>
      <c r="G9172" t="s">
        <v>506</v>
      </c>
      <c r="H9172" t="str">
        <f>"ΚΑΡΩΤΗ ΡΕΘΥΜΝΟ"</f>
        <v>ΚΑΡΩΤΗ ΡΕΘΥΜΝΟ</v>
      </c>
      <c r="I9172">
        <v>74055</v>
      </c>
      <c r="K9172">
        <v>6944835734</v>
      </c>
      <c r="N9172" t="s">
        <v>615</v>
      </c>
      <c r="O9172" t="s">
        <v>616</v>
      </c>
      <c r="R9172" t="s">
        <v>57</v>
      </c>
      <c r="S9172">
        <v>6</v>
      </c>
      <c r="T9172">
        <v>598</v>
      </c>
      <c r="U9172" s="1">
        <v>39310</v>
      </c>
      <c r="V9172" t="s">
        <v>66</v>
      </c>
      <c r="W9172" t="s">
        <v>67</v>
      </c>
      <c r="X9172" t="s">
        <v>58</v>
      </c>
      <c r="Y9172">
        <v>23</v>
      </c>
      <c r="Z9172" t="s">
        <v>59</v>
      </c>
      <c r="AA9172" t="s">
        <v>59</v>
      </c>
      <c r="AB9172" t="s">
        <v>59</v>
      </c>
      <c r="AC9172" t="s">
        <v>59</v>
      </c>
      <c r="AD9172" t="s">
        <v>59</v>
      </c>
      <c r="AF9172" s="1">
        <v>39328</v>
      </c>
      <c r="AG9172" t="s">
        <v>8645</v>
      </c>
      <c r="AH9172" t="s">
        <v>8646</v>
      </c>
      <c r="AI9172" t="str">
        <f>"9410170"</f>
        <v>9410170</v>
      </c>
      <c r="AJ9172" t="s">
        <v>12658</v>
      </c>
      <c r="AK9172">
        <v>2831061220</v>
      </c>
      <c r="AL9172" t="s">
        <v>12659</v>
      </c>
      <c r="AM9172" t="s">
        <v>64</v>
      </c>
      <c r="AN9172" t="s">
        <v>65</v>
      </c>
      <c r="AO9172" t="s">
        <v>5657</v>
      </c>
      <c r="AP9172" t="s">
        <v>1437</v>
      </c>
      <c r="AQ9172">
        <v>2</v>
      </c>
      <c r="AR9172" t="s">
        <v>66</v>
      </c>
      <c r="AS9172" t="s">
        <v>67</v>
      </c>
      <c r="AT9172" t="s">
        <v>58</v>
      </c>
      <c r="AU9172" t="s">
        <v>68</v>
      </c>
      <c r="AV9172" t="s">
        <v>69</v>
      </c>
      <c r="AW9172" s="1">
        <v>30499</v>
      </c>
      <c r="AX9172">
        <v>1</v>
      </c>
    </row>
    <row r="9173" spans="1:50">
      <c r="B9173" t="str">
        <f>"114297340"</f>
        <v>114297340</v>
      </c>
      <c r="C9173" t="s">
        <v>50</v>
      </c>
      <c r="D9173" t="s">
        <v>11825</v>
      </c>
      <c r="E9173" t="s">
        <v>534</v>
      </c>
      <c r="F9173" t="s">
        <v>154</v>
      </c>
      <c r="G9173" t="s">
        <v>215</v>
      </c>
      <c r="H9173" t="str">
        <f>"ΥΓΕΙΑΣ 5 ΗΡΑΚΛΕΙΟ"</f>
        <v>ΥΓΕΙΑΣ 5 ΗΡΑΚΛΕΙΟ</v>
      </c>
      <c r="I9173">
        <v>0</v>
      </c>
      <c r="J9173">
        <v>2810250042</v>
      </c>
      <c r="K9173">
        <v>6946710457</v>
      </c>
      <c r="N9173" t="s">
        <v>288</v>
      </c>
      <c r="O9173" t="s">
        <v>289</v>
      </c>
      <c r="R9173" t="s">
        <v>121</v>
      </c>
      <c r="S9173">
        <v>1</v>
      </c>
      <c r="T9173" t="s">
        <v>9034</v>
      </c>
      <c r="U9173" s="1">
        <v>43377</v>
      </c>
      <c r="V9173" t="s">
        <v>66</v>
      </c>
      <c r="W9173" t="s">
        <v>67</v>
      </c>
      <c r="X9173" t="s">
        <v>58</v>
      </c>
      <c r="Y9173">
        <v>14</v>
      </c>
      <c r="Z9173" t="s">
        <v>59</v>
      </c>
      <c r="AA9173" t="s">
        <v>59</v>
      </c>
      <c r="AB9173" t="s">
        <v>59</v>
      </c>
      <c r="AC9173" t="s">
        <v>59</v>
      </c>
      <c r="AD9173" t="s">
        <v>59</v>
      </c>
      <c r="AF9173" s="1">
        <v>43377</v>
      </c>
      <c r="AG9173" t="s">
        <v>8645</v>
      </c>
      <c r="AH9173" t="s">
        <v>8646</v>
      </c>
      <c r="AI9173" t="str">
        <f>"9410003"</f>
        <v>9410003</v>
      </c>
      <c r="AJ9173" t="s">
        <v>12794</v>
      </c>
      <c r="AK9173">
        <v>2834031213</v>
      </c>
      <c r="AL9173" t="s">
        <v>12795</v>
      </c>
      <c r="AM9173" t="s">
        <v>64</v>
      </c>
      <c r="AN9173" t="s">
        <v>5737</v>
      </c>
      <c r="AO9173" t="s">
        <v>5737</v>
      </c>
      <c r="AP9173" t="s">
        <v>5737</v>
      </c>
      <c r="AQ9173">
        <v>9</v>
      </c>
      <c r="AR9173" t="s">
        <v>66</v>
      </c>
      <c r="AS9173" t="s">
        <v>67</v>
      </c>
      <c r="AT9173" t="s">
        <v>58</v>
      </c>
      <c r="AU9173" t="s">
        <v>8686</v>
      </c>
      <c r="AV9173" t="s">
        <v>132</v>
      </c>
      <c r="AW9173" s="1">
        <v>28408</v>
      </c>
      <c r="AX9173">
        <v>1</v>
      </c>
    </row>
    <row r="9174" spans="1:50">
      <c r="A9174">
        <v>622610</v>
      </c>
      <c r="B9174" t="str">
        <f>"120031923"</f>
        <v>120031923</v>
      </c>
      <c r="C9174" t="s">
        <v>50</v>
      </c>
      <c r="D9174" t="s">
        <v>6701</v>
      </c>
      <c r="E9174" t="s">
        <v>143</v>
      </c>
      <c r="F9174" t="s">
        <v>72</v>
      </c>
      <c r="G9174" t="s">
        <v>52</v>
      </c>
      <c r="H9174" t="str">
        <f>"ΜΙΚΡΑ ΑΝΩΓΕΙΑ ΡΕΘΥΜΝΟ"</f>
        <v>ΜΙΚΡΑ ΑΝΩΓΕΙΑ ΡΕΘΥΜΝΟ</v>
      </c>
      <c r="I9174">
        <v>74100</v>
      </c>
      <c r="J9174">
        <v>2831058639</v>
      </c>
      <c r="K9174">
        <v>6972973185</v>
      </c>
      <c r="M9174" t="s">
        <v>13818</v>
      </c>
      <c r="N9174" t="s">
        <v>1525</v>
      </c>
      <c r="O9174" t="s">
        <v>1526</v>
      </c>
      <c r="R9174" t="s">
        <v>57</v>
      </c>
      <c r="S9174">
        <v>4</v>
      </c>
      <c r="T9174">
        <v>653</v>
      </c>
      <c r="U9174" s="1">
        <v>40043</v>
      </c>
      <c r="V9174" t="s">
        <v>66</v>
      </c>
      <c r="W9174" t="s">
        <v>67</v>
      </c>
      <c r="X9174" t="s">
        <v>58</v>
      </c>
      <c r="Y9174">
        <v>25</v>
      </c>
      <c r="Z9174" t="s">
        <v>59</v>
      </c>
      <c r="AA9174" t="s">
        <v>59</v>
      </c>
      <c r="AB9174" t="s">
        <v>59</v>
      </c>
      <c r="AC9174" t="s">
        <v>59</v>
      </c>
      <c r="AD9174" t="s">
        <v>59</v>
      </c>
      <c r="AF9174" s="1">
        <v>40043</v>
      </c>
      <c r="AG9174" t="s">
        <v>8651</v>
      </c>
      <c r="AH9174" t="s">
        <v>8652</v>
      </c>
      <c r="AI9174" t="str">
        <f>"9410265"</f>
        <v>9410265</v>
      </c>
      <c r="AJ9174" t="s">
        <v>12654</v>
      </c>
      <c r="AK9174">
        <v>2831027473</v>
      </c>
      <c r="AL9174" t="s">
        <v>12655</v>
      </c>
      <c r="AM9174" t="s">
        <v>64</v>
      </c>
      <c r="AN9174" t="s">
        <v>65</v>
      </c>
      <c r="AO9174" t="s">
        <v>65</v>
      </c>
      <c r="AP9174" t="s">
        <v>65</v>
      </c>
      <c r="AQ9174">
        <v>1</v>
      </c>
      <c r="AR9174" t="s">
        <v>66</v>
      </c>
      <c r="AS9174" t="s">
        <v>67</v>
      </c>
      <c r="AT9174" t="s">
        <v>58</v>
      </c>
      <c r="AU9174" t="s">
        <v>68</v>
      </c>
      <c r="AV9174" t="s">
        <v>69</v>
      </c>
      <c r="AW9174" s="1">
        <v>31184</v>
      </c>
      <c r="AX9174">
        <v>1</v>
      </c>
    </row>
    <row r="9175" spans="1:50">
      <c r="B9175" t="str">
        <f>"135218030"</f>
        <v>135218030</v>
      </c>
      <c r="C9175" t="s">
        <v>50</v>
      </c>
      <c r="D9175" t="s">
        <v>13819</v>
      </c>
      <c r="E9175" t="s">
        <v>52</v>
      </c>
      <c r="F9175" t="s">
        <v>13820</v>
      </c>
      <c r="G9175" t="s">
        <v>250</v>
      </c>
      <c r="H9175" t="str">
        <f>"Π.ΒΑΒΟΥΛΕ 15 "</f>
        <v xml:space="preserve">Π.ΒΑΒΟΥΛΕ 15 </v>
      </c>
      <c r="I9175">
        <v>73100</v>
      </c>
      <c r="J9175">
        <v>2821052883</v>
      </c>
      <c r="K9175">
        <v>6949926760</v>
      </c>
      <c r="N9175" t="s">
        <v>306</v>
      </c>
      <c r="O9175" t="s">
        <v>307</v>
      </c>
      <c r="R9175" t="s">
        <v>159</v>
      </c>
      <c r="S9175">
        <v>3</v>
      </c>
      <c r="T9175" t="s">
        <v>8675</v>
      </c>
      <c r="U9175" s="1">
        <v>43348</v>
      </c>
      <c r="V9175" t="s">
        <v>66</v>
      </c>
      <c r="W9175" t="s">
        <v>67</v>
      </c>
      <c r="X9175" t="s">
        <v>58</v>
      </c>
      <c r="Y9175">
        <v>24</v>
      </c>
      <c r="Z9175" t="s">
        <v>59</v>
      </c>
      <c r="AA9175" t="s">
        <v>59</v>
      </c>
      <c r="AB9175" t="s">
        <v>59</v>
      </c>
      <c r="AC9175" t="s">
        <v>59</v>
      </c>
      <c r="AD9175" t="s">
        <v>59</v>
      </c>
      <c r="AF9175" s="1">
        <v>43348</v>
      </c>
      <c r="AG9175" t="s">
        <v>8645</v>
      </c>
      <c r="AH9175" t="s">
        <v>8646</v>
      </c>
      <c r="AI9175" t="str">
        <f>"9410170"</f>
        <v>9410170</v>
      </c>
      <c r="AJ9175" t="s">
        <v>12658</v>
      </c>
      <c r="AK9175">
        <v>2831061220</v>
      </c>
      <c r="AL9175" t="s">
        <v>12659</v>
      </c>
      <c r="AM9175" t="s">
        <v>64</v>
      </c>
      <c r="AN9175" t="s">
        <v>65</v>
      </c>
      <c r="AO9175" t="s">
        <v>5657</v>
      </c>
      <c r="AP9175" t="s">
        <v>1437</v>
      </c>
      <c r="AQ9175">
        <v>2</v>
      </c>
      <c r="AR9175" t="s">
        <v>66</v>
      </c>
      <c r="AS9175" t="s">
        <v>67</v>
      </c>
      <c r="AT9175" t="s">
        <v>58</v>
      </c>
      <c r="AU9175" t="s">
        <v>8673</v>
      </c>
      <c r="AV9175" t="s">
        <v>132</v>
      </c>
      <c r="AW9175" s="1">
        <v>31300</v>
      </c>
      <c r="AX9175">
        <v>1</v>
      </c>
    </row>
    <row r="9176" spans="1:50">
      <c r="A9176">
        <v>701291</v>
      </c>
      <c r="B9176" t="str">
        <f>"128330063"</f>
        <v>128330063</v>
      </c>
      <c r="C9176" t="s">
        <v>50</v>
      </c>
      <c r="D9176" t="s">
        <v>113</v>
      </c>
      <c r="E9176" t="s">
        <v>237</v>
      </c>
      <c r="F9176" t="s">
        <v>1229</v>
      </c>
      <c r="G9176" t="s">
        <v>1189</v>
      </c>
      <c r="H9176" t="str">
        <f>"ΟΙΚΙΣΜΟΣ ΑΘΑΝΑΤΩΝ "</f>
        <v xml:space="preserve">ΟΙΚΙΣΜΟΣ ΑΘΑΝΑΤΩΝ </v>
      </c>
      <c r="I9176">
        <v>71500</v>
      </c>
      <c r="J9176">
        <v>2810542906</v>
      </c>
      <c r="K9176">
        <v>6973290661</v>
      </c>
      <c r="N9176" t="s">
        <v>615</v>
      </c>
      <c r="O9176" t="s">
        <v>616</v>
      </c>
      <c r="P9176" t="s">
        <v>299</v>
      </c>
      <c r="Q9176" t="s">
        <v>300</v>
      </c>
      <c r="R9176" t="s">
        <v>57</v>
      </c>
      <c r="S9176">
        <v>4</v>
      </c>
      <c r="T9176">
        <v>772</v>
      </c>
      <c r="U9176" s="1">
        <v>40413</v>
      </c>
      <c r="V9176" t="s">
        <v>66</v>
      </c>
      <c r="W9176" t="s">
        <v>67</v>
      </c>
      <c r="X9176" t="s">
        <v>58</v>
      </c>
      <c r="Y9176">
        <v>25</v>
      </c>
      <c r="Z9176" t="s">
        <v>59</v>
      </c>
      <c r="AA9176" t="s">
        <v>59</v>
      </c>
      <c r="AB9176" t="s">
        <v>59</v>
      </c>
      <c r="AC9176" t="s">
        <v>59</v>
      </c>
      <c r="AD9176" t="s">
        <v>59</v>
      </c>
      <c r="AF9176" s="1">
        <v>40413</v>
      </c>
      <c r="AG9176" t="s">
        <v>8645</v>
      </c>
      <c r="AH9176" t="s">
        <v>8676</v>
      </c>
      <c r="AI9176" t="str">
        <f>"9410144"</f>
        <v>9410144</v>
      </c>
      <c r="AJ9176" t="s">
        <v>13043</v>
      </c>
      <c r="AK9176">
        <v>2833031274</v>
      </c>
      <c r="AL9176" t="s">
        <v>13044</v>
      </c>
      <c r="AM9176" t="s">
        <v>64</v>
      </c>
      <c r="AN9176" t="s">
        <v>5713</v>
      </c>
      <c r="AO9176" t="s">
        <v>5780</v>
      </c>
      <c r="AP9176" t="s">
        <v>13045</v>
      </c>
      <c r="AQ9176">
        <v>6</v>
      </c>
      <c r="AR9176" t="s">
        <v>66</v>
      </c>
      <c r="AS9176" t="s">
        <v>67</v>
      </c>
      <c r="AT9176" t="s">
        <v>58</v>
      </c>
      <c r="AU9176" t="s">
        <v>68</v>
      </c>
      <c r="AV9176" t="s">
        <v>69</v>
      </c>
      <c r="AW9176" s="1">
        <v>29599</v>
      </c>
      <c r="AX9176">
        <v>1</v>
      </c>
    </row>
    <row r="9177" spans="1:50">
      <c r="B9177" t="str">
        <f>"134032980"</f>
        <v>134032980</v>
      </c>
      <c r="C9177" t="s">
        <v>50</v>
      </c>
      <c r="D9177" t="s">
        <v>13821</v>
      </c>
      <c r="E9177" t="s">
        <v>155</v>
      </c>
      <c r="F9177" t="s">
        <v>154</v>
      </c>
      <c r="G9177" t="s">
        <v>52</v>
      </c>
      <c r="H9177" t="str">
        <f>"ΒΑΡΔΟΥΣΙΩΝ 10 "</f>
        <v xml:space="preserve">ΒΑΡΔΟΥΣΙΩΝ 10 </v>
      </c>
      <c r="I9177">
        <v>13671</v>
      </c>
      <c r="K9177">
        <v>6972991754</v>
      </c>
      <c r="N9177" t="s">
        <v>1525</v>
      </c>
      <c r="O9177" t="s">
        <v>1526</v>
      </c>
      <c r="R9177" t="s">
        <v>159</v>
      </c>
      <c r="S9177">
        <v>3</v>
      </c>
      <c r="T9177" t="s">
        <v>8670</v>
      </c>
      <c r="U9177" s="1">
        <v>43348</v>
      </c>
      <c r="V9177" t="s">
        <v>66</v>
      </c>
      <c r="W9177" t="s">
        <v>67</v>
      </c>
      <c r="X9177" t="s">
        <v>58</v>
      </c>
      <c r="Y9177">
        <v>25</v>
      </c>
      <c r="Z9177" t="s">
        <v>59</v>
      </c>
      <c r="AA9177" t="s">
        <v>59</v>
      </c>
      <c r="AB9177" t="s">
        <v>59</v>
      </c>
      <c r="AC9177" t="s">
        <v>59</v>
      </c>
      <c r="AD9177" t="s">
        <v>59</v>
      </c>
      <c r="AF9177" s="1">
        <v>43348</v>
      </c>
      <c r="AG9177" t="s">
        <v>8651</v>
      </c>
      <c r="AH9177" t="s">
        <v>8652</v>
      </c>
      <c r="AI9177" t="str">
        <f>"9410216"</f>
        <v>9410216</v>
      </c>
      <c r="AJ9177" t="s">
        <v>13822</v>
      </c>
      <c r="AK9177">
        <v>2834041321</v>
      </c>
      <c r="AL9177" t="s">
        <v>13823</v>
      </c>
      <c r="AM9177" t="s">
        <v>64</v>
      </c>
      <c r="AN9177" t="s">
        <v>5672</v>
      </c>
      <c r="AO9177" t="s">
        <v>5698</v>
      </c>
      <c r="AP9177" t="s">
        <v>12787</v>
      </c>
      <c r="AQ9177">
        <v>9</v>
      </c>
      <c r="AR9177" t="s">
        <v>66</v>
      </c>
      <c r="AS9177" t="s">
        <v>67</v>
      </c>
      <c r="AT9177" t="s">
        <v>58</v>
      </c>
      <c r="AU9177" t="s">
        <v>8673</v>
      </c>
      <c r="AV9177" t="s">
        <v>132</v>
      </c>
      <c r="AW9177" s="1">
        <v>30115</v>
      </c>
      <c r="AX9177">
        <v>1</v>
      </c>
    </row>
    <row r="9178" spans="1:50">
      <c r="A9178">
        <v>622574</v>
      </c>
      <c r="B9178" t="str">
        <f>"131462661"</f>
        <v>131462661</v>
      </c>
      <c r="C9178" t="s">
        <v>50</v>
      </c>
      <c r="D9178" t="s">
        <v>4424</v>
      </c>
      <c r="E9178" t="s">
        <v>52</v>
      </c>
      <c r="F9178" t="s">
        <v>2503</v>
      </c>
      <c r="G9178" t="s">
        <v>1553</v>
      </c>
      <c r="H9178" t="str">
        <f>"ΚΟΥΝΤΟΥΡΙΩΤΟΥ 196 ΡΕΘΥΜΝΟ"</f>
        <v>ΚΟΥΝΤΟΥΡΙΩΤΟΥ 196 ΡΕΘΥΜΝΟ</v>
      </c>
      <c r="I9178">
        <v>74100</v>
      </c>
      <c r="J9178">
        <v>2832025116</v>
      </c>
      <c r="K9178">
        <v>6944364021</v>
      </c>
      <c r="L9178">
        <v>2831041290</v>
      </c>
      <c r="M9178" t="s">
        <v>13824</v>
      </c>
      <c r="N9178" t="s">
        <v>1525</v>
      </c>
      <c r="O9178" t="s">
        <v>1526</v>
      </c>
      <c r="R9178" t="s">
        <v>57</v>
      </c>
      <c r="S9178">
        <v>6</v>
      </c>
      <c r="T9178">
        <v>653</v>
      </c>
      <c r="U9178" s="1">
        <v>40043</v>
      </c>
      <c r="V9178" t="s">
        <v>66</v>
      </c>
      <c r="W9178" t="s">
        <v>67</v>
      </c>
      <c r="X9178" t="s">
        <v>58</v>
      </c>
      <c r="Y9178">
        <v>25</v>
      </c>
      <c r="Z9178" t="s">
        <v>59</v>
      </c>
      <c r="AA9178" t="s">
        <v>59</v>
      </c>
      <c r="AB9178" t="s">
        <v>59</v>
      </c>
      <c r="AC9178" t="s">
        <v>59</v>
      </c>
      <c r="AD9178" t="s">
        <v>59</v>
      </c>
      <c r="AF9178" s="1">
        <v>40043</v>
      </c>
      <c r="AG9178" t="s">
        <v>8651</v>
      </c>
      <c r="AH9178" t="s">
        <v>8652</v>
      </c>
      <c r="AI9178" t="str">
        <f>"9410250"</f>
        <v>9410250</v>
      </c>
      <c r="AJ9178" t="s">
        <v>12772</v>
      </c>
      <c r="AK9178">
        <v>2832022298</v>
      </c>
      <c r="AL9178" t="s">
        <v>12773</v>
      </c>
      <c r="AM9178" t="s">
        <v>64</v>
      </c>
      <c r="AN9178" t="s">
        <v>5882</v>
      </c>
      <c r="AO9178" t="s">
        <v>5883</v>
      </c>
      <c r="AP9178" t="s">
        <v>12774</v>
      </c>
      <c r="AQ9178">
        <v>5</v>
      </c>
      <c r="AR9178" t="s">
        <v>66</v>
      </c>
      <c r="AS9178" t="s">
        <v>67</v>
      </c>
      <c r="AT9178" t="s">
        <v>58</v>
      </c>
      <c r="AU9178" t="s">
        <v>68</v>
      </c>
      <c r="AV9178" t="s">
        <v>69</v>
      </c>
      <c r="AW9178" s="1">
        <v>30147</v>
      </c>
      <c r="AX9178">
        <v>1</v>
      </c>
    </row>
    <row r="9179" spans="1:50">
      <c r="A9179">
        <v>579643</v>
      </c>
      <c r="B9179" t="str">
        <f>"065492295"</f>
        <v>065492295</v>
      </c>
      <c r="C9179" t="s">
        <v>50</v>
      </c>
      <c r="D9179" t="s">
        <v>13825</v>
      </c>
      <c r="E9179" t="s">
        <v>13826</v>
      </c>
      <c r="F9179" t="s">
        <v>1506</v>
      </c>
      <c r="G9179" t="s">
        <v>1744</v>
      </c>
      <c r="H9179" t="str">
        <f>"ΠΑΠΑΔΟΓΙΑΝΝΗ 9 ΡΕΘΥΜΝΟ"</f>
        <v>ΠΑΠΑΔΟΓΙΑΝΝΗ 9 ΡΕΘΥΜΝΟ</v>
      </c>
      <c r="I9179">
        <v>74100</v>
      </c>
      <c r="J9179">
        <v>2831036170</v>
      </c>
      <c r="K9179">
        <v>6932710285</v>
      </c>
      <c r="M9179" t="s">
        <v>13827</v>
      </c>
      <c r="N9179" t="s">
        <v>615</v>
      </c>
      <c r="O9179" t="s">
        <v>616</v>
      </c>
      <c r="R9179" t="s">
        <v>57</v>
      </c>
      <c r="S9179">
        <v>11</v>
      </c>
      <c r="T9179">
        <v>165</v>
      </c>
      <c r="U9179" s="1">
        <v>35300</v>
      </c>
      <c r="V9179" t="s">
        <v>66</v>
      </c>
      <c r="W9179" t="s">
        <v>67</v>
      </c>
      <c r="X9179" t="s">
        <v>58</v>
      </c>
      <c r="Y9179">
        <v>21</v>
      </c>
      <c r="Z9179" t="s">
        <v>59</v>
      </c>
      <c r="AA9179" t="s">
        <v>59</v>
      </c>
      <c r="AB9179" t="s">
        <v>59</v>
      </c>
      <c r="AC9179" t="s">
        <v>59</v>
      </c>
      <c r="AD9179" t="s">
        <v>59</v>
      </c>
      <c r="AF9179" s="1">
        <v>35310</v>
      </c>
      <c r="AG9179" t="s">
        <v>8645</v>
      </c>
      <c r="AH9179" t="s">
        <v>8646</v>
      </c>
      <c r="AI9179" t="str">
        <f>"9410257"</f>
        <v>9410257</v>
      </c>
      <c r="AJ9179" t="s">
        <v>12828</v>
      </c>
      <c r="AK9179">
        <v>2831056242</v>
      </c>
      <c r="AL9179" t="s">
        <v>12829</v>
      </c>
      <c r="AM9179" t="s">
        <v>64</v>
      </c>
      <c r="AN9179" t="s">
        <v>65</v>
      </c>
      <c r="AO9179" t="s">
        <v>65</v>
      </c>
      <c r="AP9179" t="s">
        <v>65</v>
      </c>
      <c r="AQ9179">
        <v>1</v>
      </c>
      <c r="AR9179" t="s">
        <v>66</v>
      </c>
      <c r="AS9179" t="s">
        <v>67</v>
      </c>
      <c r="AT9179" t="s">
        <v>58</v>
      </c>
      <c r="AU9179" t="s">
        <v>68</v>
      </c>
      <c r="AV9179" t="s">
        <v>69</v>
      </c>
      <c r="AW9179" s="1">
        <v>24809</v>
      </c>
      <c r="AX9179">
        <v>1</v>
      </c>
    </row>
    <row r="9180" spans="1:50">
      <c r="B9180" t="str">
        <f>"142255340"</f>
        <v>142255340</v>
      </c>
      <c r="C9180" t="s">
        <v>105</v>
      </c>
      <c r="D9180" t="s">
        <v>1926</v>
      </c>
      <c r="E9180" t="s">
        <v>72</v>
      </c>
      <c r="F9180" t="s">
        <v>315</v>
      </c>
      <c r="G9180" t="s">
        <v>263</v>
      </c>
      <c r="H9180" t="str">
        <f>"ΓΑΡΕΦΙ ΑΡΙΔΑΙΑ"</f>
        <v>ΓΑΡΕΦΙ ΑΡΙΔΑΙΑ</v>
      </c>
      <c r="I9180">
        <v>58400</v>
      </c>
      <c r="J9180">
        <v>2384075135</v>
      </c>
      <c r="K9180">
        <v>6948114276</v>
      </c>
      <c r="M9180" t="s">
        <v>13828</v>
      </c>
      <c r="N9180" t="s">
        <v>615</v>
      </c>
      <c r="O9180" t="s">
        <v>616</v>
      </c>
      <c r="R9180" t="s">
        <v>159</v>
      </c>
      <c r="S9180">
        <v>5</v>
      </c>
      <c r="T9180" t="s">
        <v>8675</v>
      </c>
      <c r="U9180" s="1">
        <v>43348</v>
      </c>
      <c r="V9180" t="s">
        <v>66</v>
      </c>
      <c r="W9180" t="s">
        <v>67</v>
      </c>
      <c r="X9180" t="s">
        <v>58</v>
      </c>
      <c r="Y9180">
        <v>24</v>
      </c>
      <c r="Z9180" t="s">
        <v>59</v>
      </c>
      <c r="AA9180" t="s">
        <v>59</v>
      </c>
      <c r="AB9180" t="s">
        <v>59</v>
      </c>
      <c r="AC9180" t="s">
        <v>59</v>
      </c>
      <c r="AD9180" t="s">
        <v>59</v>
      </c>
      <c r="AF9180" s="1">
        <v>43348</v>
      </c>
      <c r="AG9180" t="s">
        <v>8645</v>
      </c>
      <c r="AH9180" t="s">
        <v>8646</v>
      </c>
      <c r="AI9180" t="str">
        <f>"9410038"</f>
        <v>9410038</v>
      </c>
      <c r="AJ9180" t="s">
        <v>12669</v>
      </c>
      <c r="AK9180">
        <v>2834061471</v>
      </c>
      <c r="AL9180" t="s">
        <v>12670</v>
      </c>
      <c r="AM9180" t="s">
        <v>64</v>
      </c>
      <c r="AN9180" t="s">
        <v>5672</v>
      </c>
      <c r="AO9180" t="s">
        <v>5698</v>
      </c>
      <c r="AP9180" t="s">
        <v>5699</v>
      </c>
      <c r="AQ9180">
        <v>9</v>
      </c>
      <c r="AR9180" t="s">
        <v>66</v>
      </c>
      <c r="AS9180" t="s">
        <v>67</v>
      </c>
      <c r="AT9180" t="s">
        <v>58</v>
      </c>
      <c r="AU9180" t="s">
        <v>8673</v>
      </c>
      <c r="AV9180" t="s">
        <v>132</v>
      </c>
      <c r="AW9180" s="1">
        <v>31600</v>
      </c>
      <c r="AX9180">
        <v>1</v>
      </c>
    </row>
    <row r="9181" spans="1:50">
      <c r="A9181">
        <v>616780</v>
      </c>
      <c r="B9181" t="str">
        <f>"045172155"</f>
        <v>045172155</v>
      </c>
      <c r="C9181" t="s">
        <v>105</v>
      </c>
      <c r="D9181" t="s">
        <v>4443</v>
      </c>
      <c r="E9181" t="s">
        <v>95</v>
      </c>
      <c r="F9181" t="s">
        <v>564</v>
      </c>
      <c r="G9181" t="s">
        <v>143</v>
      </c>
      <c r="H9181" t="str">
        <f>"ΜΕΣΟΛΟΓΓΙΟΥ 47  ΡΕΘΥΜΝΟ"</f>
        <v>ΜΕΣΟΛΟΓΓΙΟΥ 47  ΡΕΘΥΜΝΟ</v>
      </c>
      <c r="J9181">
        <v>2831091003</v>
      </c>
      <c r="K9181">
        <v>6932403694</v>
      </c>
      <c r="N9181" t="s">
        <v>615</v>
      </c>
      <c r="O9181" t="s">
        <v>616</v>
      </c>
      <c r="R9181" t="s">
        <v>57</v>
      </c>
      <c r="S9181">
        <v>5</v>
      </c>
      <c r="T9181" t="s">
        <v>13829</v>
      </c>
      <c r="U9181" s="1">
        <v>39680</v>
      </c>
      <c r="V9181" t="s">
        <v>66</v>
      </c>
      <c r="W9181" t="s">
        <v>67</v>
      </c>
      <c r="X9181" t="s">
        <v>58</v>
      </c>
      <c r="Y9181">
        <v>23</v>
      </c>
      <c r="Z9181" t="s">
        <v>59</v>
      </c>
      <c r="AA9181" t="s">
        <v>59</v>
      </c>
      <c r="AB9181" t="s">
        <v>59</v>
      </c>
      <c r="AC9181" t="s">
        <v>59</v>
      </c>
      <c r="AD9181" t="s">
        <v>59</v>
      </c>
      <c r="AF9181" s="1">
        <v>39685</v>
      </c>
      <c r="AG9181" t="s">
        <v>8645</v>
      </c>
      <c r="AH9181" t="s">
        <v>8646</v>
      </c>
      <c r="AI9181" t="str">
        <f>"9410170"</f>
        <v>9410170</v>
      </c>
      <c r="AJ9181" t="s">
        <v>12658</v>
      </c>
      <c r="AK9181">
        <v>2831061220</v>
      </c>
      <c r="AL9181" t="s">
        <v>12659</v>
      </c>
      <c r="AM9181" t="s">
        <v>64</v>
      </c>
      <c r="AN9181" t="s">
        <v>65</v>
      </c>
      <c r="AO9181" t="s">
        <v>5657</v>
      </c>
      <c r="AP9181" t="s">
        <v>1437</v>
      </c>
      <c r="AQ9181">
        <v>2</v>
      </c>
      <c r="AR9181" t="s">
        <v>66</v>
      </c>
      <c r="AS9181" t="s">
        <v>67</v>
      </c>
      <c r="AT9181" t="s">
        <v>58</v>
      </c>
      <c r="AU9181" t="s">
        <v>68</v>
      </c>
      <c r="AV9181" t="s">
        <v>69</v>
      </c>
      <c r="AW9181" s="1">
        <v>22288</v>
      </c>
      <c r="AX9181">
        <v>1</v>
      </c>
    </row>
    <row r="9182" spans="1:50">
      <c r="A9182">
        <v>595637</v>
      </c>
      <c r="B9182" t="str">
        <f>"113609182"</f>
        <v>113609182</v>
      </c>
      <c r="C9182" t="s">
        <v>50</v>
      </c>
      <c r="D9182" t="s">
        <v>6708</v>
      </c>
      <c r="E9182" t="s">
        <v>964</v>
      </c>
      <c r="F9182" t="s">
        <v>1373</v>
      </c>
      <c r="G9182" t="s">
        <v>7662</v>
      </c>
      <c r="H9182" t="str">
        <f>"ΤΣΑΚΩΝΑ  16Α ΡΕΘΥΜΝΟ"</f>
        <v>ΤΣΑΚΩΝΑ  16Α ΡΕΘΥΜΝΟ</v>
      </c>
      <c r="I9182">
        <v>74100</v>
      </c>
      <c r="J9182">
        <v>2831055304</v>
      </c>
      <c r="K9182">
        <v>6945391748</v>
      </c>
      <c r="N9182" t="s">
        <v>1525</v>
      </c>
      <c r="O9182" t="s">
        <v>1526</v>
      </c>
      <c r="R9182" t="s">
        <v>57</v>
      </c>
      <c r="S9182">
        <v>10</v>
      </c>
      <c r="T9182">
        <v>218</v>
      </c>
      <c r="U9182" s="1">
        <v>37134</v>
      </c>
      <c r="V9182" t="s">
        <v>66</v>
      </c>
      <c r="W9182" t="s">
        <v>67</v>
      </c>
      <c r="X9182" t="s">
        <v>58</v>
      </c>
      <c r="Y9182">
        <v>25</v>
      </c>
      <c r="Z9182" t="s">
        <v>59</v>
      </c>
      <c r="AA9182" t="s">
        <v>59</v>
      </c>
      <c r="AB9182" t="s">
        <v>59</v>
      </c>
      <c r="AC9182" t="s">
        <v>59</v>
      </c>
      <c r="AD9182" t="s">
        <v>59</v>
      </c>
      <c r="AF9182" s="1">
        <v>37137</v>
      </c>
      <c r="AG9182" t="s">
        <v>8651</v>
      </c>
      <c r="AH9182" t="s">
        <v>8652</v>
      </c>
      <c r="AI9182" t="str">
        <f>"9410231"</f>
        <v>9410231</v>
      </c>
      <c r="AJ9182" t="s">
        <v>12868</v>
      </c>
      <c r="AK9182">
        <v>2831025022</v>
      </c>
      <c r="AL9182" t="s">
        <v>12869</v>
      </c>
      <c r="AM9182" t="s">
        <v>64</v>
      </c>
      <c r="AN9182" t="s">
        <v>65</v>
      </c>
      <c r="AO9182" t="s">
        <v>65</v>
      </c>
      <c r="AP9182" t="s">
        <v>65</v>
      </c>
      <c r="AQ9182">
        <v>1</v>
      </c>
      <c r="AR9182" t="s">
        <v>66</v>
      </c>
      <c r="AS9182" t="s">
        <v>67</v>
      </c>
      <c r="AT9182" t="s">
        <v>58</v>
      </c>
      <c r="AU9182" t="s">
        <v>68</v>
      </c>
      <c r="AV9182" t="s">
        <v>69</v>
      </c>
      <c r="AW9182" s="1">
        <v>27122</v>
      </c>
      <c r="AX9182">
        <v>1</v>
      </c>
    </row>
    <row r="9183" spans="1:50">
      <c r="A9183">
        <v>619367</v>
      </c>
      <c r="B9183" t="str">
        <f>"115334350"</f>
        <v>115334350</v>
      </c>
      <c r="C9183" t="s">
        <v>50</v>
      </c>
      <c r="D9183" t="s">
        <v>4445</v>
      </c>
      <c r="E9183" t="s">
        <v>13830</v>
      </c>
      <c r="F9183" t="s">
        <v>581</v>
      </c>
      <c r="G9183" t="s">
        <v>73</v>
      </c>
      <c r="H9183" t="str">
        <f>"ΜΑΡΚΟΥ ΜΠΡΙΛΛΑΚΗ 3 ΠΕΡΙΒΟΛΙΑ "</f>
        <v xml:space="preserve">ΜΑΡΚΟΥ ΜΠΡΙΛΛΑΚΗ 3 ΠΕΡΙΒΟΛΙΑ </v>
      </c>
      <c r="I9183">
        <v>74100</v>
      </c>
      <c r="J9183">
        <v>2106610290</v>
      </c>
      <c r="K9183">
        <v>6932436088</v>
      </c>
      <c r="L9183">
        <v>2831029755</v>
      </c>
      <c r="N9183" t="s">
        <v>1525</v>
      </c>
      <c r="O9183" t="s">
        <v>1526</v>
      </c>
      <c r="R9183" t="s">
        <v>57</v>
      </c>
      <c r="S9183">
        <v>6</v>
      </c>
      <c r="T9183">
        <v>774</v>
      </c>
      <c r="U9183" s="1">
        <v>39680</v>
      </c>
      <c r="V9183" t="s">
        <v>66</v>
      </c>
      <c r="W9183" t="s">
        <v>67</v>
      </c>
      <c r="X9183" t="s">
        <v>58</v>
      </c>
      <c r="Y9183">
        <v>25</v>
      </c>
      <c r="Z9183" t="s">
        <v>59</v>
      </c>
      <c r="AA9183" t="s">
        <v>59</v>
      </c>
      <c r="AB9183" t="s">
        <v>59</v>
      </c>
      <c r="AC9183" t="s">
        <v>59</v>
      </c>
      <c r="AD9183" t="s">
        <v>59</v>
      </c>
      <c r="AF9183" s="1">
        <v>39681</v>
      </c>
      <c r="AG9183" t="s">
        <v>8651</v>
      </c>
      <c r="AH9183" t="s">
        <v>8652</v>
      </c>
      <c r="AI9183" t="str">
        <f>"9410158"</f>
        <v>9410158</v>
      </c>
      <c r="AJ9183" t="s">
        <v>13207</v>
      </c>
      <c r="AK9183">
        <v>2831081040</v>
      </c>
      <c r="AL9183" t="s">
        <v>13208</v>
      </c>
      <c r="AM9183" t="s">
        <v>64</v>
      </c>
      <c r="AN9183" t="s">
        <v>65</v>
      </c>
      <c r="AO9183" t="s">
        <v>5657</v>
      </c>
      <c r="AP9183" t="s">
        <v>12982</v>
      </c>
      <c r="AQ9183">
        <v>4</v>
      </c>
      <c r="AR9183" t="s">
        <v>66</v>
      </c>
      <c r="AS9183" t="s">
        <v>67</v>
      </c>
      <c r="AT9183" t="s">
        <v>58</v>
      </c>
      <c r="AU9183" t="s">
        <v>68</v>
      </c>
      <c r="AV9183" t="s">
        <v>69</v>
      </c>
      <c r="AW9183" s="1">
        <v>30398</v>
      </c>
      <c r="AX9183">
        <v>1</v>
      </c>
    </row>
    <row r="9184" spans="1:50">
      <c r="B9184" t="str">
        <f>"137483380"</f>
        <v>137483380</v>
      </c>
      <c r="C9184" t="s">
        <v>50</v>
      </c>
      <c r="D9184" t="s">
        <v>12639</v>
      </c>
      <c r="E9184" t="s">
        <v>52</v>
      </c>
      <c r="F9184" t="s">
        <v>936</v>
      </c>
      <c r="G9184" t="s">
        <v>5231</v>
      </c>
      <c r="H9184" t="str">
        <f>"ΚΟΥΡΜΟΥΛΗ 61 ΡΕΘΥΜΝΟ"</f>
        <v>ΚΟΥΡΜΟΥΛΗ 61 ΡΕΘΥΜΝΟ</v>
      </c>
      <c r="I9184">
        <v>74100</v>
      </c>
      <c r="J9184">
        <v>2831500313</v>
      </c>
      <c r="K9184">
        <v>6970283770</v>
      </c>
      <c r="M9184" t="s">
        <v>13831</v>
      </c>
      <c r="N9184" t="s">
        <v>615</v>
      </c>
      <c r="O9184" t="s">
        <v>616</v>
      </c>
      <c r="R9184" t="s">
        <v>159</v>
      </c>
      <c r="S9184">
        <v>3</v>
      </c>
      <c r="T9184" t="s">
        <v>8675</v>
      </c>
      <c r="U9184" s="1">
        <v>43348</v>
      </c>
      <c r="V9184" t="s">
        <v>66</v>
      </c>
      <c r="W9184" t="s">
        <v>67</v>
      </c>
      <c r="X9184" t="s">
        <v>58</v>
      </c>
      <c r="Y9184">
        <v>24</v>
      </c>
      <c r="Z9184" t="s">
        <v>59</v>
      </c>
      <c r="AA9184" t="s">
        <v>59</v>
      </c>
      <c r="AB9184" t="s">
        <v>59</v>
      </c>
      <c r="AC9184" t="s">
        <v>59</v>
      </c>
      <c r="AD9184" t="s">
        <v>59</v>
      </c>
      <c r="AF9184" s="1">
        <v>43348</v>
      </c>
      <c r="AG9184" t="s">
        <v>8645</v>
      </c>
      <c r="AH9184" t="s">
        <v>8646</v>
      </c>
      <c r="AI9184" t="str">
        <f>"9410033"</f>
        <v>9410033</v>
      </c>
      <c r="AJ9184" t="s">
        <v>12778</v>
      </c>
      <c r="AK9184">
        <v>2834061210</v>
      </c>
      <c r="AL9184" t="s">
        <v>12779</v>
      </c>
      <c r="AM9184" t="s">
        <v>64</v>
      </c>
      <c r="AN9184" t="s">
        <v>5672</v>
      </c>
      <c r="AO9184" t="s">
        <v>12780</v>
      </c>
      <c r="AP9184" t="s">
        <v>12780</v>
      </c>
      <c r="AQ9184">
        <v>9</v>
      </c>
      <c r="AR9184" t="s">
        <v>66</v>
      </c>
      <c r="AS9184" t="s">
        <v>67</v>
      </c>
      <c r="AT9184" t="s">
        <v>58</v>
      </c>
      <c r="AU9184" t="s">
        <v>8673</v>
      </c>
      <c r="AV9184" t="s">
        <v>132</v>
      </c>
      <c r="AW9184" s="1">
        <v>31689</v>
      </c>
      <c r="AX9184">
        <v>1</v>
      </c>
    </row>
    <row r="9185" spans="1:50">
      <c r="A9185">
        <v>701693</v>
      </c>
      <c r="B9185" t="str">
        <f>"129432735"</f>
        <v>129432735</v>
      </c>
      <c r="C9185" t="s">
        <v>50</v>
      </c>
      <c r="D9185" t="s">
        <v>11853</v>
      </c>
      <c r="E9185" t="s">
        <v>11638</v>
      </c>
      <c r="F9185" t="s">
        <v>383</v>
      </c>
      <c r="G9185" t="s">
        <v>4695</v>
      </c>
      <c r="H9185" t="str">
        <f>"ΜΑΥΡΟΘΑΛΑΣΣΑ ΣΕΡΡΩΝ ΣΕΡΡΕΣ"</f>
        <v>ΜΑΥΡΟΘΑΛΑΣΣΑ ΣΕΡΡΩΝ ΣΕΡΡΕΣ</v>
      </c>
      <c r="I9185">
        <v>62049</v>
      </c>
      <c r="J9185">
        <v>2322031027</v>
      </c>
      <c r="K9185">
        <v>6973828545</v>
      </c>
      <c r="M9185" t="s">
        <v>13832</v>
      </c>
      <c r="N9185" t="s">
        <v>615</v>
      </c>
      <c r="O9185" t="s">
        <v>616</v>
      </c>
      <c r="R9185" t="s">
        <v>57</v>
      </c>
      <c r="S9185">
        <v>4</v>
      </c>
      <c r="T9185">
        <v>772</v>
      </c>
      <c r="U9185" s="1">
        <v>40413</v>
      </c>
      <c r="V9185" t="s">
        <v>66</v>
      </c>
      <c r="W9185" t="s">
        <v>67</v>
      </c>
      <c r="X9185" t="s">
        <v>58</v>
      </c>
      <c r="Y9185">
        <v>24</v>
      </c>
      <c r="Z9185" t="s">
        <v>59</v>
      </c>
      <c r="AA9185" t="s">
        <v>59</v>
      </c>
      <c r="AB9185" t="s">
        <v>59</v>
      </c>
      <c r="AC9185" t="s">
        <v>59</v>
      </c>
      <c r="AD9185" t="s">
        <v>59</v>
      </c>
      <c r="AF9185" s="1">
        <v>40413</v>
      </c>
      <c r="AG9185" t="s">
        <v>8645</v>
      </c>
      <c r="AH9185" t="s">
        <v>8646</v>
      </c>
      <c r="AI9185" t="str">
        <f>"9410006"</f>
        <v>9410006</v>
      </c>
      <c r="AJ9185" t="s">
        <v>12902</v>
      </c>
      <c r="AK9185">
        <v>2834022320</v>
      </c>
      <c r="AL9185" t="s">
        <v>12903</v>
      </c>
      <c r="AM9185" t="s">
        <v>64</v>
      </c>
      <c r="AN9185" t="s">
        <v>5672</v>
      </c>
      <c r="AO9185" t="s">
        <v>5673</v>
      </c>
      <c r="AP9185" t="s">
        <v>12904</v>
      </c>
      <c r="AQ9185">
        <v>8</v>
      </c>
      <c r="AR9185" t="s">
        <v>66</v>
      </c>
      <c r="AS9185" t="s">
        <v>67</v>
      </c>
      <c r="AT9185" t="s">
        <v>58</v>
      </c>
      <c r="AU9185" t="s">
        <v>68</v>
      </c>
      <c r="AV9185" t="s">
        <v>69</v>
      </c>
      <c r="AW9185" s="1">
        <v>31535</v>
      </c>
      <c r="AX9185">
        <v>1</v>
      </c>
    </row>
    <row r="9186" spans="1:50">
      <c r="A9186">
        <v>571211</v>
      </c>
      <c r="B9186" t="str">
        <f>"076137229"</f>
        <v>076137229</v>
      </c>
      <c r="C9186" t="s">
        <v>50</v>
      </c>
      <c r="D9186" t="s">
        <v>4466</v>
      </c>
      <c r="E9186" t="s">
        <v>1355</v>
      </c>
      <c r="F9186" t="s">
        <v>3049</v>
      </c>
      <c r="G9186" t="s">
        <v>3802</v>
      </c>
      <c r="H9186" t="str">
        <f>"ΤΙΜ. ΒΕΝΙΕΡΗ 6 ΡΕΘΥΜΝΟ"</f>
        <v>ΤΙΜ. ΒΕΝΙΕΡΗ 6 ΡΕΘΥΜΝΟ</v>
      </c>
      <c r="I9186">
        <v>74100</v>
      </c>
      <c r="J9186">
        <v>2831055451</v>
      </c>
      <c r="K9186">
        <v>6944184342</v>
      </c>
      <c r="M9186" t="s">
        <v>13833</v>
      </c>
      <c r="N9186" t="s">
        <v>615</v>
      </c>
      <c r="O9186" t="s">
        <v>616</v>
      </c>
      <c r="R9186" t="s">
        <v>57</v>
      </c>
      <c r="S9186">
        <v>15</v>
      </c>
      <c r="T9186">
        <v>138</v>
      </c>
      <c r="U9186" s="1">
        <v>34206</v>
      </c>
      <c r="V9186" t="s">
        <v>66</v>
      </c>
      <c r="W9186" t="s">
        <v>67</v>
      </c>
      <c r="X9186" t="s">
        <v>58</v>
      </c>
      <c r="Y9186">
        <v>21</v>
      </c>
      <c r="Z9186" t="s">
        <v>59</v>
      </c>
      <c r="AA9186" t="s">
        <v>59</v>
      </c>
      <c r="AB9186" t="s">
        <v>59</v>
      </c>
      <c r="AC9186" t="s">
        <v>59</v>
      </c>
      <c r="AD9186" t="s">
        <v>59</v>
      </c>
      <c r="AF9186" s="1">
        <v>34213</v>
      </c>
      <c r="AG9186" t="s">
        <v>8645</v>
      </c>
      <c r="AH9186" t="s">
        <v>8646</v>
      </c>
      <c r="AI9186" t="str">
        <f>"9410069"</f>
        <v>9410069</v>
      </c>
      <c r="AJ9186" t="s">
        <v>12674</v>
      </c>
      <c r="AK9186">
        <v>2831029296</v>
      </c>
      <c r="AL9186" t="s">
        <v>12675</v>
      </c>
      <c r="AM9186" t="s">
        <v>64</v>
      </c>
      <c r="AN9186" t="s">
        <v>65</v>
      </c>
      <c r="AO9186" t="s">
        <v>65</v>
      </c>
      <c r="AP9186" t="s">
        <v>65</v>
      </c>
      <c r="AQ9186">
        <v>1</v>
      </c>
      <c r="AR9186" t="s">
        <v>66</v>
      </c>
      <c r="AS9186" t="s">
        <v>67</v>
      </c>
      <c r="AT9186" t="s">
        <v>58</v>
      </c>
      <c r="AU9186" t="s">
        <v>68</v>
      </c>
      <c r="AV9186" t="s">
        <v>69</v>
      </c>
      <c r="AW9186" s="1">
        <v>24375</v>
      </c>
      <c r="AX9186">
        <v>1</v>
      </c>
    </row>
    <row r="9187" spans="1:50">
      <c r="A9187">
        <v>605491</v>
      </c>
      <c r="B9187" t="str">
        <f>"120010687"</f>
        <v>120010687</v>
      </c>
      <c r="C9187" t="s">
        <v>50</v>
      </c>
      <c r="D9187" t="s">
        <v>11857</v>
      </c>
      <c r="E9187" t="s">
        <v>13834</v>
      </c>
      <c r="F9187" t="s">
        <v>53</v>
      </c>
      <c r="G9187" t="s">
        <v>13835</v>
      </c>
      <c r="H9187" t="str">
        <f>" "</f>
        <v xml:space="preserve"> </v>
      </c>
      <c r="J9187">
        <v>2105984680</v>
      </c>
      <c r="K9187">
        <v>6932255356</v>
      </c>
      <c r="N9187" t="s">
        <v>615</v>
      </c>
      <c r="O9187" t="s">
        <v>616</v>
      </c>
      <c r="R9187" t="s">
        <v>57</v>
      </c>
      <c r="S9187">
        <v>7</v>
      </c>
      <c r="T9187">
        <v>231</v>
      </c>
      <c r="U9187" s="1">
        <v>38230</v>
      </c>
      <c r="V9187" t="s">
        <v>66</v>
      </c>
      <c r="W9187" t="s">
        <v>67</v>
      </c>
      <c r="X9187" t="s">
        <v>58</v>
      </c>
      <c r="Y9187">
        <v>22</v>
      </c>
      <c r="Z9187" t="s">
        <v>59</v>
      </c>
      <c r="AA9187" t="s">
        <v>59</v>
      </c>
      <c r="AB9187" t="s">
        <v>59</v>
      </c>
      <c r="AC9187" t="s">
        <v>59</v>
      </c>
      <c r="AD9187" t="s">
        <v>59</v>
      </c>
      <c r="AF9187" s="1">
        <v>38231</v>
      </c>
      <c r="AG9187" t="s">
        <v>8645</v>
      </c>
      <c r="AH9187" t="s">
        <v>8646</v>
      </c>
      <c r="AI9187" t="str">
        <f>"9410064"</f>
        <v>9410064</v>
      </c>
      <c r="AJ9187" t="s">
        <v>12683</v>
      </c>
      <c r="AK9187">
        <v>2831028390</v>
      </c>
      <c r="AL9187" t="s">
        <v>12684</v>
      </c>
      <c r="AM9187" t="s">
        <v>64</v>
      </c>
      <c r="AN9187" t="s">
        <v>65</v>
      </c>
      <c r="AO9187" t="s">
        <v>65</v>
      </c>
      <c r="AP9187" t="s">
        <v>65</v>
      </c>
      <c r="AQ9187">
        <v>1</v>
      </c>
      <c r="AR9187" t="s">
        <v>66</v>
      </c>
      <c r="AS9187" t="s">
        <v>67</v>
      </c>
      <c r="AT9187" t="s">
        <v>58</v>
      </c>
      <c r="AU9187" t="s">
        <v>68</v>
      </c>
      <c r="AV9187" t="s">
        <v>69</v>
      </c>
      <c r="AW9187" s="1">
        <v>27988</v>
      </c>
      <c r="AX9187">
        <v>1</v>
      </c>
    </row>
    <row r="9188" spans="1:50">
      <c r="A9188">
        <v>600450</v>
      </c>
      <c r="B9188" t="str">
        <f>"065170454"</f>
        <v>065170454</v>
      </c>
      <c r="C9188" t="s">
        <v>50</v>
      </c>
      <c r="D9188" t="s">
        <v>13836</v>
      </c>
      <c r="E9188" t="s">
        <v>52</v>
      </c>
      <c r="F9188" t="s">
        <v>84</v>
      </c>
      <c r="G9188" t="s">
        <v>378</v>
      </c>
      <c r="H9188" t="str">
        <f>" "</f>
        <v xml:space="preserve"> </v>
      </c>
      <c r="J9188">
        <v>2831056397</v>
      </c>
      <c r="K9188">
        <v>6974766063</v>
      </c>
      <c r="N9188" t="s">
        <v>615</v>
      </c>
      <c r="O9188" t="s">
        <v>616</v>
      </c>
      <c r="R9188" t="s">
        <v>57</v>
      </c>
      <c r="S9188">
        <v>8</v>
      </c>
      <c r="T9188">
        <v>195</v>
      </c>
      <c r="U9188" s="1">
        <v>37497</v>
      </c>
      <c r="V9188" t="s">
        <v>66</v>
      </c>
      <c r="W9188" t="s">
        <v>67</v>
      </c>
      <c r="X9188" t="s">
        <v>58</v>
      </c>
      <c r="Y9188">
        <v>22</v>
      </c>
      <c r="Z9188" t="s">
        <v>59</v>
      </c>
      <c r="AA9188" t="s">
        <v>59</v>
      </c>
      <c r="AB9188" t="s">
        <v>59</v>
      </c>
      <c r="AC9188" t="s">
        <v>59</v>
      </c>
      <c r="AD9188" t="s">
        <v>59</v>
      </c>
      <c r="AF9188" s="1">
        <v>37501</v>
      </c>
      <c r="AG9188" t="s">
        <v>8645</v>
      </c>
      <c r="AH9188" t="s">
        <v>8646</v>
      </c>
      <c r="AI9188" t="str">
        <f>"9410048"</f>
        <v>9410048</v>
      </c>
      <c r="AJ9188" t="s">
        <v>12656</v>
      </c>
      <c r="AK9188">
        <v>2834020221</v>
      </c>
      <c r="AL9188" t="s">
        <v>12657</v>
      </c>
      <c r="AM9188" t="s">
        <v>64</v>
      </c>
      <c r="AN9188" t="s">
        <v>5672</v>
      </c>
      <c r="AO9188" t="s">
        <v>5673</v>
      </c>
      <c r="AP9188" t="s">
        <v>5674</v>
      </c>
      <c r="AQ9188">
        <v>10</v>
      </c>
      <c r="AR9188" t="s">
        <v>66</v>
      </c>
      <c r="AS9188" t="s">
        <v>67</v>
      </c>
      <c r="AT9188" t="s">
        <v>58</v>
      </c>
      <c r="AU9188" t="s">
        <v>68</v>
      </c>
      <c r="AV9188" t="s">
        <v>69</v>
      </c>
      <c r="AW9188" s="1">
        <v>24991</v>
      </c>
      <c r="AX9188">
        <v>1</v>
      </c>
    </row>
    <row r="9189" spans="1:50">
      <c r="A9189">
        <v>610631</v>
      </c>
      <c r="B9189" t="str">
        <f>"120001992"</f>
        <v>120001992</v>
      </c>
      <c r="C9189" t="s">
        <v>50</v>
      </c>
      <c r="D9189" t="s">
        <v>13837</v>
      </c>
      <c r="E9189" t="s">
        <v>566</v>
      </c>
      <c r="F9189" t="s">
        <v>760</v>
      </c>
      <c r="G9189" t="s">
        <v>83</v>
      </c>
      <c r="H9189" t="str">
        <f>"ΚΟΥΜΟΙ ΡΕΘΥΜΝΟ"</f>
        <v>ΚΟΥΜΟΙ ΡΕΘΥΜΝΟ</v>
      </c>
      <c r="I9189">
        <v>74100</v>
      </c>
      <c r="J9189">
        <v>2831023118</v>
      </c>
      <c r="K9189">
        <v>6947458334</v>
      </c>
      <c r="N9189" t="s">
        <v>615</v>
      </c>
      <c r="O9189" t="s">
        <v>616</v>
      </c>
      <c r="R9189" t="s">
        <v>57</v>
      </c>
      <c r="S9189">
        <v>6</v>
      </c>
      <c r="T9189">
        <v>233</v>
      </c>
      <c r="U9189" s="1">
        <v>38960</v>
      </c>
      <c r="V9189" t="s">
        <v>66</v>
      </c>
      <c r="W9189" t="s">
        <v>67</v>
      </c>
      <c r="X9189" t="s">
        <v>58</v>
      </c>
      <c r="Y9189">
        <v>23</v>
      </c>
      <c r="Z9189" t="s">
        <v>59</v>
      </c>
      <c r="AA9189" t="s">
        <v>59</v>
      </c>
      <c r="AB9189" t="s">
        <v>59</v>
      </c>
      <c r="AC9189" t="s">
        <v>59</v>
      </c>
      <c r="AD9189" t="s">
        <v>59</v>
      </c>
      <c r="AF9189" s="1">
        <v>38961</v>
      </c>
      <c r="AG9189" t="s">
        <v>8645</v>
      </c>
      <c r="AH9189" t="s">
        <v>8646</v>
      </c>
      <c r="AI9189" t="str">
        <f>"9410092"</f>
        <v>9410092</v>
      </c>
      <c r="AJ9189" t="s">
        <v>12823</v>
      </c>
      <c r="AK9189">
        <v>2832051056</v>
      </c>
      <c r="AL9189" t="s">
        <v>12824</v>
      </c>
      <c r="AM9189" t="s">
        <v>64</v>
      </c>
      <c r="AN9189" t="s">
        <v>5882</v>
      </c>
      <c r="AO9189" t="s">
        <v>6099</v>
      </c>
      <c r="AP9189" t="s">
        <v>12825</v>
      </c>
      <c r="AQ9189">
        <v>5</v>
      </c>
      <c r="AR9189" t="s">
        <v>66</v>
      </c>
      <c r="AS9189" t="s">
        <v>67</v>
      </c>
      <c r="AT9189" t="s">
        <v>58</v>
      </c>
      <c r="AU9189" t="s">
        <v>68</v>
      </c>
      <c r="AV9189" t="s">
        <v>69</v>
      </c>
      <c r="AW9189" s="1">
        <v>30292</v>
      </c>
      <c r="AX9189">
        <v>1</v>
      </c>
    </row>
    <row r="9190" spans="1:50">
      <c r="B9190" t="str">
        <f>"137453177"</f>
        <v>137453177</v>
      </c>
      <c r="C9190" t="s">
        <v>50</v>
      </c>
      <c r="D9190" t="s">
        <v>4482</v>
      </c>
      <c r="E9190" t="s">
        <v>263</v>
      </c>
      <c r="F9190" t="s">
        <v>1070</v>
      </c>
      <c r="G9190" t="s">
        <v>112</v>
      </c>
      <c r="H9190" t="str">
        <f>" "</f>
        <v xml:space="preserve"> </v>
      </c>
      <c r="N9190" t="s">
        <v>1525</v>
      </c>
      <c r="O9190" t="s">
        <v>1526</v>
      </c>
      <c r="R9190" t="s">
        <v>121</v>
      </c>
      <c r="S9190">
        <v>1</v>
      </c>
      <c r="T9190" t="s">
        <v>8670</v>
      </c>
      <c r="U9190" s="1">
        <v>43348</v>
      </c>
      <c r="V9190" t="s">
        <v>66</v>
      </c>
      <c r="W9190" t="s">
        <v>67</v>
      </c>
      <c r="X9190" t="s">
        <v>58</v>
      </c>
      <c r="Y9190">
        <v>25</v>
      </c>
      <c r="Z9190" t="s">
        <v>59</v>
      </c>
      <c r="AA9190" t="s">
        <v>59</v>
      </c>
      <c r="AB9190" t="s">
        <v>59</v>
      </c>
      <c r="AD9190" t="s">
        <v>59</v>
      </c>
      <c r="AF9190" s="1">
        <v>43348</v>
      </c>
      <c r="AG9190" t="s">
        <v>8651</v>
      </c>
      <c r="AH9190" t="s">
        <v>8652</v>
      </c>
      <c r="AI9190" t="str">
        <f>"9410158"</f>
        <v>9410158</v>
      </c>
      <c r="AJ9190" t="s">
        <v>13207</v>
      </c>
      <c r="AK9190">
        <v>2831081040</v>
      </c>
      <c r="AL9190" t="s">
        <v>13208</v>
      </c>
      <c r="AM9190" t="s">
        <v>64</v>
      </c>
      <c r="AN9190" t="s">
        <v>65</v>
      </c>
      <c r="AO9190" t="s">
        <v>5657</v>
      </c>
      <c r="AP9190" t="s">
        <v>12982</v>
      </c>
      <c r="AQ9190">
        <v>4</v>
      </c>
      <c r="AR9190" t="s">
        <v>66</v>
      </c>
      <c r="AS9190" t="s">
        <v>67</v>
      </c>
      <c r="AT9190" t="s">
        <v>58</v>
      </c>
      <c r="AU9190" t="s">
        <v>8673</v>
      </c>
      <c r="AV9190" t="s">
        <v>132</v>
      </c>
      <c r="AW9190" s="1">
        <v>30088</v>
      </c>
      <c r="AX9190">
        <v>1</v>
      </c>
    </row>
    <row r="9191" spans="1:50">
      <c r="A9191">
        <v>621859</v>
      </c>
      <c r="B9191" t="str">
        <f>"134563987"</f>
        <v>134563987</v>
      </c>
      <c r="C9191" t="s">
        <v>50</v>
      </c>
      <c r="D9191" t="s">
        <v>13838</v>
      </c>
      <c r="E9191" t="s">
        <v>335</v>
      </c>
      <c r="F9191" t="s">
        <v>315</v>
      </c>
      <c r="G9191" t="s">
        <v>3866</v>
      </c>
      <c r="H9191" t="str">
        <f>"ΠΥΘΑΓΟΡΑ 19 ΑΡΚΑΔΙΚΟ ΔΡΑΜΑ"</f>
        <v>ΠΥΘΑΓΟΡΑ 19 ΑΡΚΑΔΙΚΟ ΔΡΑΜΑ</v>
      </c>
      <c r="I9191">
        <v>66100</v>
      </c>
      <c r="J9191">
        <v>2521038630</v>
      </c>
      <c r="K9191">
        <v>6937407763</v>
      </c>
      <c r="L9191">
        <v>2831051233</v>
      </c>
      <c r="M9191" t="s">
        <v>13839</v>
      </c>
      <c r="N9191" t="s">
        <v>615</v>
      </c>
      <c r="O9191" t="s">
        <v>616</v>
      </c>
      <c r="R9191" t="s">
        <v>57</v>
      </c>
      <c r="S9191">
        <v>5</v>
      </c>
      <c r="T9191">
        <v>653</v>
      </c>
      <c r="U9191" s="1">
        <v>40043</v>
      </c>
      <c r="V9191" t="s">
        <v>66</v>
      </c>
      <c r="W9191" t="s">
        <v>67</v>
      </c>
      <c r="X9191" t="s">
        <v>58</v>
      </c>
      <c r="Y9191">
        <v>23</v>
      </c>
      <c r="Z9191" t="s">
        <v>59</v>
      </c>
      <c r="AA9191" t="s">
        <v>59</v>
      </c>
      <c r="AB9191" t="s">
        <v>59</v>
      </c>
      <c r="AC9191" t="s">
        <v>59</v>
      </c>
      <c r="AD9191" t="s">
        <v>59</v>
      </c>
      <c r="AF9191" s="1">
        <v>40043</v>
      </c>
      <c r="AG9191" t="s">
        <v>8645</v>
      </c>
      <c r="AH9191" t="s">
        <v>8646</v>
      </c>
      <c r="AI9191" t="str">
        <f>"9521348"</f>
        <v>9521348</v>
      </c>
      <c r="AJ9191" t="s">
        <v>12714</v>
      </c>
      <c r="AK9191">
        <v>2831021334</v>
      </c>
      <c r="AL9191" t="s">
        <v>12715</v>
      </c>
      <c r="AM9191" t="s">
        <v>64</v>
      </c>
      <c r="AN9191" t="s">
        <v>65</v>
      </c>
      <c r="AO9191" t="s">
        <v>5720</v>
      </c>
      <c r="AP9191" t="s">
        <v>5721</v>
      </c>
      <c r="AQ9191">
        <v>2</v>
      </c>
      <c r="AR9191" t="s">
        <v>66</v>
      </c>
      <c r="AS9191" t="s">
        <v>67</v>
      </c>
      <c r="AT9191" t="s">
        <v>58</v>
      </c>
      <c r="AU9191" t="s">
        <v>68</v>
      </c>
      <c r="AV9191" t="s">
        <v>69</v>
      </c>
      <c r="AW9191" s="1">
        <v>31188</v>
      </c>
      <c r="AX9191">
        <v>1</v>
      </c>
    </row>
    <row r="9192" spans="1:50">
      <c r="A9192">
        <v>567831</v>
      </c>
      <c r="B9192" t="str">
        <f>"034742648"</f>
        <v>034742648</v>
      </c>
      <c r="C9192" t="s">
        <v>50</v>
      </c>
      <c r="D9192" t="s">
        <v>4490</v>
      </c>
      <c r="E9192" t="s">
        <v>54</v>
      </c>
      <c r="F9192" t="s">
        <v>383</v>
      </c>
      <c r="G9192" t="s">
        <v>1361</v>
      </c>
      <c r="H9192" t="str">
        <f>" "</f>
        <v xml:space="preserve"> </v>
      </c>
      <c r="N9192" t="s">
        <v>1525</v>
      </c>
      <c r="O9192" t="s">
        <v>1526</v>
      </c>
      <c r="R9192" t="s">
        <v>57</v>
      </c>
      <c r="S9192">
        <v>14</v>
      </c>
      <c r="T9192">
        <v>133</v>
      </c>
      <c r="U9192" s="1">
        <v>33456</v>
      </c>
      <c r="V9192" t="s">
        <v>66</v>
      </c>
      <c r="W9192" t="s">
        <v>67</v>
      </c>
      <c r="X9192" t="s">
        <v>58</v>
      </c>
      <c r="Y9192">
        <v>25</v>
      </c>
      <c r="Z9192" t="s">
        <v>59</v>
      </c>
      <c r="AA9192" t="s">
        <v>59</v>
      </c>
      <c r="AB9192" t="s">
        <v>59</v>
      </c>
      <c r="AC9192" t="s">
        <v>59</v>
      </c>
      <c r="AD9192" t="s">
        <v>59</v>
      </c>
      <c r="AF9192" s="1">
        <v>33483</v>
      </c>
      <c r="AG9192" t="s">
        <v>8651</v>
      </c>
      <c r="AH9192" t="s">
        <v>8652</v>
      </c>
      <c r="AI9192" t="str">
        <f>"9410237"</f>
        <v>9410237</v>
      </c>
      <c r="AJ9192" t="s">
        <v>13104</v>
      </c>
      <c r="AK9192">
        <v>2834093305</v>
      </c>
      <c r="AL9192" t="s">
        <v>13105</v>
      </c>
      <c r="AM9192" t="s">
        <v>64</v>
      </c>
      <c r="AN9192" t="s">
        <v>65</v>
      </c>
      <c r="AO9192" t="s">
        <v>12694</v>
      </c>
      <c r="AP9192" t="s">
        <v>12745</v>
      </c>
      <c r="AQ9192">
        <v>3</v>
      </c>
      <c r="AR9192" t="s">
        <v>66</v>
      </c>
      <c r="AS9192" t="s">
        <v>67</v>
      </c>
      <c r="AT9192" t="s">
        <v>58</v>
      </c>
      <c r="AU9192" t="s">
        <v>68</v>
      </c>
      <c r="AV9192" t="s">
        <v>69</v>
      </c>
      <c r="AW9192" s="1">
        <v>23908</v>
      </c>
      <c r="AX9192">
        <v>1</v>
      </c>
    </row>
    <row r="9193" spans="1:50">
      <c r="A9193">
        <v>701593</v>
      </c>
      <c r="B9193" t="str">
        <f>"120045386"</f>
        <v>120045386</v>
      </c>
      <c r="C9193" t="s">
        <v>50</v>
      </c>
      <c r="D9193" t="s">
        <v>13840</v>
      </c>
      <c r="E9193" t="s">
        <v>507</v>
      </c>
      <c r="F9193" t="s">
        <v>53</v>
      </c>
      <c r="G9193" t="s">
        <v>1068</v>
      </c>
      <c r="H9193" t="str">
        <f>"ΕΥΑΓ. ΔΑΣΚΑΛΑΚΗ 54 ΚΑΣΤΕΛΑΚΙΑ ΡΕΘΥΜΝΟ"</f>
        <v>ΕΥΑΓ. ΔΑΣΚΑΛΑΚΗ 54 ΚΑΣΤΕΛΑΚΙΑ ΡΕΘΥΜΝΟ</v>
      </c>
      <c r="I9193">
        <v>74100</v>
      </c>
      <c r="J9193">
        <v>2831027214</v>
      </c>
      <c r="K9193">
        <v>6972033045</v>
      </c>
      <c r="N9193" t="s">
        <v>615</v>
      </c>
      <c r="O9193" t="s">
        <v>616</v>
      </c>
      <c r="R9193" t="s">
        <v>57</v>
      </c>
      <c r="S9193">
        <v>6</v>
      </c>
      <c r="T9193">
        <v>772</v>
      </c>
      <c r="U9193" s="1">
        <v>40413</v>
      </c>
      <c r="V9193" t="s">
        <v>66</v>
      </c>
      <c r="W9193" t="s">
        <v>67</v>
      </c>
      <c r="X9193" t="s">
        <v>58</v>
      </c>
      <c r="Y9193">
        <v>23</v>
      </c>
      <c r="Z9193" t="s">
        <v>59</v>
      </c>
      <c r="AA9193" t="s">
        <v>59</v>
      </c>
      <c r="AB9193" t="s">
        <v>59</v>
      </c>
      <c r="AC9193" t="s">
        <v>59</v>
      </c>
      <c r="AD9193" t="s">
        <v>59</v>
      </c>
      <c r="AF9193" s="1">
        <v>40413</v>
      </c>
      <c r="AG9193" t="s">
        <v>8645</v>
      </c>
      <c r="AH9193" t="s">
        <v>8646</v>
      </c>
      <c r="AI9193" t="str">
        <f>"9410061"</f>
        <v>9410061</v>
      </c>
      <c r="AJ9193" t="s">
        <v>12760</v>
      </c>
      <c r="AK9193">
        <v>2831024378</v>
      </c>
      <c r="AL9193" t="s">
        <v>12761</v>
      </c>
      <c r="AM9193" t="s">
        <v>64</v>
      </c>
      <c r="AN9193" t="s">
        <v>65</v>
      </c>
      <c r="AO9193" t="s">
        <v>65</v>
      </c>
      <c r="AP9193" t="s">
        <v>65</v>
      </c>
      <c r="AQ9193">
        <v>1</v>
      </c>
      <c r="AR9193" t="s">
        <v>66</v>
      </c>
      <c r="AS9193" t="s">
        <v>67</v>
      </c>
      <c r="AT9193" t="s">
        <v>58</v>
      </c>
      <c r="AU9193" t="s">
        <v>68</v>
      </c>
      <c r="AV9193" t="s">
        <v>69</v>
      </c>
      <c r="AW9193" s="1">
        <v>29831</v>
      </c>
      <c r="AX9193">
        <v>1</v>
      </c>
    </row>
    <row r="9194" spans="1:50">
      <c r="A9194">
        <v>579345</v>
      </c>
      <c r="B9194" t="str">
        <f>"044260502"</f>
        <v>044260502</v>
      </c>
      <c r="C9194" t="s">
        <v>50</v>
      </c>
      <c r="D9194" t="s">
        <v>11873</v>
      </c>
      <c r="E9194" t="s">
        <v>52</v>
      </c>
      <c r="F9194" t="s">
        <v>1258</v>
      </c>
      <c r="G9194" t="s">
        <v>330</v>
      </c>
      <c r="H9194" t="str">
        <f>"ΑΣΚΟΥΤΣΗ 47 ΡΕΘΥΜΝΟΥ"</f>
        <v>ΑΣΚΟΥΤΣΗ 47 ΡΕΘΥΜΝΟΥ</v>
      </c>
      <c r="I9194">
        <v>74100</v>
      </c>
      <c r="J9194">
        <v>2831042687</v>
      </c>
      <c r="K9194">
        <v>6946014028</v>
      </c>
      <c r="L9194">
        <v>6945797563</v>
      </c>
      <c r="M9194" t="s">
        <v>13841</v>
      </c>
      <c r="N9194" t="s">
        <v>615</v>
      </c>
      <c r="O9194" t="s">
        <v>616</v>
      </c>
      <c r="R9194" t="s">
        <v>57</v>
      </c>
      <c r="S9194">
        <v>13</v>
      </c>
      <c r="T9194">
        <v>165</v>
      </c>
      <c r="U9194" s="1">
        <v>35300</v>
      </c>
      <c r="V9194" t="s">
        <v>66</v>
      </c>
      <c r="W9194" t="s">
        <v>67</v>
      </c>
      <c r="X9194" t="s">
        <v>58</v>
      </c>
      <c r="Y9194">
        <v>21</v>
      </c>
      <c r="Z9194" t="s">
        <v>59</v>
      </c>
      <c r="AA9194" t="s">
        <v>59</v>
      </c>
      <c r="AB9194" t="s">
        <v>59</v>
      </c>
      <c r="AC9194" t="s">
        <v>59</v>
      </c>
      <c r="AD9194" t="s">
        <v>59</v>
      </c>
      <c r="AF9194" s="1">
        <v>35313</v>
      </c>
      <c r="AG9194" t="s">
        <v>8645</v>
      </c>
      <c r="AH9194" t="s">
        <v>8646</v>
      </c>
      <c r="AI9194" t="str">
        <f>"9410067"</f>
        <v>9410067</v>
      </c>
      <c r="AJ9194" t="s">
        <v>12736</v>
      </c>
      <c r="AK9194">
        <v>2831022836</v>
      </c>
      <c r="AL9194" t="s">
        <v>12737</v>
      </c>
      <c r="AM9194" t="s">
        <v>64</v>
      </c>
      <c r="AN9194" t="s">
        <v>65</v>
      </c>
      <c r="AO9194" t="s">
        <v>65</v>
      </c>
      <c r="AP9194" t="s">
        <v>65</v>
      </c>
      <c r="AQ9194">
        <v>1</v>
      </c>
      <c r="AR9194" t="s">
        <v>66</v>
      </c>
      <c r="AS9194" t="s">
        <v>67</v>
      </c>
      <c r="AT9194" t="s">
        <v>58</v>
      </c>
      <c r="AU9194" t="s">
        <v>68</v>
      </c>
      <c r="AV9194" t="s">
        <v>69</v>
      </c>
      <c r="AW9194" s="1">
        <v>24680</v>
      </c>
      <c r="AX9194">
        <v>1</v>
      </c>
    </row>
    <row r="9195" spans="1:50">
      <c r="B9195" t="str">
        <f>"158104986"</f>
        <v>158104986</v>
      </c>
      <c r="C9195" t="s">
        <v>50</v>
      </c>
      <c r="D9195" t="s">
        <v>13842</v>
      </c>
      <c r="E9195" t="s">
        <v>396</v>
      </c>
      <c r="F9195" t="s">
        <v>377</v>
      </c>
      <c r="G9195" t="s">
        <v>13843</v>
      </c>
      <c r="H9195" t="str">
        <f>" "</f>
        <v xml:space="preserve"> </v>
      </c>
      <c r="N9195" t="s">
        <v>8834</v>
      </c>
      <c r="O9195" t="s">
        <v>8695</v>
      </c>
      <c r="R9195" t="s">
        <v>159</v>
      </c>
      <c r="S9195">
        <v>3</v>
      </c>
      <c r="T9195" t="s">
        <v>8835</v>
      </c>
      <c r="U9195" s="1">
        <v>43348</v>
      </c>
      <c r="V9195" t="s">
        <v>66</v>
      </c>
      <c r="W9195" t="s">
        <v>67</v>
      </c>
      <c r="X9195" t="s">
        <v>58</v>
      </c>
      <c r="Y9195">
        <v>24</v>
      </c>
      <c r="Z9195" t="s">
        <v>59</v>
      </c>
      <c r="AA9195" t="s">
        <v>59</v>
      </c>
      <c r="AB9195" t="s">
        <v>59</v>
      </c>
      <c r="AD9195" t="s">
        <v>59</v>
      </c>
      <c r="AF9195" s="1">
        <v>43348</v>
      </c>
      <c r="AG9195" t="s">
        <v>8645</v>
      </c>
      <c r="AH9195" t="s">
        <v>8646</v>
      </c>
      <c r="AI9195" t="str">
        <f>"9410064"</f>
        <v>9410064</v>
      </c>
      <c r="AJ9195" t="s">
        <v>12683</v>
      </c>
      <c r="AK9195">
        <v>2831028390</v>
      </c>
      <c r="AL9195" t="s">
        <v>12684</v>
      </c>
      <c r="AM9195" t="s">
        <v>64</v>
      </c>
      <c r="AN9195" t="s">
        <v>65</v>
      </c>
      <c r="AO9195" t="s">
        <v>65</v>
      </c>
      <c r="AP9195" t="s">
        <v>65</v>
      </c>
      <c r="AQ9195">
        <v>1</v>
      </c>
      <c r="AR9195" t="s">
        <v>66</v>
      </c>
      <c r="AS9195" t="s">
        <v>67</v>
      </c>
      <c r="AT9195" t="s">
        <v>58</v>
      </c>
      <c r="AU9195" t="s">
        <v>131</v>
      </c>
      <c r="AV9195" t="s">
        <v>132</v>
      </c>
      <c r="AW9195" s="1">
        <v>33722</v>
      </c>
      <c r="AX9195">
        <v>1</v>
      </c>
    </row>
    <row r="9196" spans="1:50">
      <c r="A9196">
        <v>585959</v>
      </c>
      <c r="B9196" t="str">
        <f>"055528412"</f>
        <v>055528412</v>
      </c>
      <c r="C9196" t="s">
        <v>105</v>
      </c>
      <c r="D9196" t="s">
        <v>13844</v>
      </c>
      <c r="E9196" t="s">
        <v>92</v>
      </c>
      <c r="F9196" t="s">
        <v>166</v>
      </c>
      <c r="G9196" t="s">
        <v>658</v>
      </c>
      <c r="H9196" t="str">
        <f>" ΡΕΘΥΜΝΟ"</f>
        <v xml:space="preserve"> ΡΕΘΥΜΝΟ</v>
      </c>
      <c r="I9196">
        <v>74100</v>
      </c>
      <c r="J9196">
        <v>2831021319</v>
      </c>
      <c r="K9196">
        <v>6976814938</v>
      </c>
      <c r="N9196" t="s">
        <v>615</v>
      </c>
      <c r="O9196" t="s">
        <v>616</v>
      </c>
      <c r="R9196" t="s">
        <v>57</v>
      </c>
      <c r="S9196">
        <v>11</v>
      </c>
      <c r="T9196">
        <v>165</v>
      </c>
      <c r="U9196" s="1">
        <v>36040</v>
      </c>
      <c r="V9196" t="s">
        <v>66</v>
      </c>
      <c r="W9196" t="s">
        <v>67</v>
      </c>
      <c r="X9196" t="s">
        <v>58</v>
      </c>
      <c r="Y9196">
        <v>21</v>
      </c>
      <c r="Z9196" t="s">
        <v>59</v>
      </c>
      <c r="AA9196" t="s">
        <v>59</v>
      </c>
      <c r="AB9196" t="s">
        <v>59</v>
      </c>
      <c r="AC9196" t="s">
        <v>59</v>
      </c>
      <c r="AD9196" t="s">
        <v>59</v>
      </c>
      <c r="AF9196" s="1">
        <v>36041</v>
      </c>
      <c r="AG9196" t="s">
        <v>8645</v>
      </c>
      <c r="AH9196" t="s">
        <v>8646</v>
      </c>
      <c r="AI9196" t="str">
        <f>"9410069"</f>
        <v>9410069</v>
      </c>
      <c r="AJ9196" t="s">
        <v>12674</v>
      </c>
      <c r="AK9196">
        <v>2831029296</v>
      </c>
      <c r="AL9196" t="s">
        <v>12675</v>
      </c>
      <c r="AM9196" t="s">
        <v>64</v>
      </c>
      <c r="AN9196" t="s">
        <v>65</v>
      </c>
      <c r="AO9196" t="s">
        <v>65</v>
      </c>
      <c r="AP9196" t="s">
        <v>65</v>
      </c>
      <c r="AQ9196">
        <v>1</v>
      </c>
      <c r="AR9196" t="s">
        <v>66</v>
      </c>
      <c r="AS9196" t="s">
        <v>67</v>
      </c>
      <c r="AT9196" t="s">
        <v>58</v>
      </c>
      <c r="AU9196" t="s">
        <v>68</v>
      </c>
      <c r="AV9196" t="s">
        <v>69</v>
      </c>
      <c r="AW9196" s="1">
        <v>24482</v>
      </c>
      <c r="AX9196">
        <v>1</v>
      </c>
    </row>
    <row r="9197" spans="1:50">
      <c r="A9197">
        <v>587037</v>
      </c>
      <c r="B9197" t="str">
        <f>"079416494"</f>
        <v>079416494</v>
      </c>
      <c r="C9197" t="s">
        <v>50</v>
      </c>
      <c r="D9197" t="s">
        <v>6721</v>
      </c>
      <c r="E9197" t="s">
        <v>237</v>
      </c>
      <c r="F9197" t="s">
        <v>106</v>
      </c>
      <c r="G9197" t="s">
        <v>52</v>
      </c>
      <c r="H9197" t="str">
        <f>" "</f>
        <v xml:space="preserve"> </v>
      </c>
      <c r="N9197" t="s">
        <v>1525</v>
      </c>
      <c r="O9197" t="s">
        <v>1526</v>
      </c>
      <c r="R9197" t="s">
        <v>57</v>
      </c>
      <c r="S9197">
        <v>12</v>
      </c>
      <c r="T9197">
        <v>165</v>
      </c>
      <c r="U9197" s="1">
        <v>36040</v>
      </c>
      <c r="V9197" t="s">
        <v>66</v>
      </c>
      <c r="W9197" t="s">
        <v>67</v>
      </c>
      <c r="X9197" t="s">
        <v>58</v>
      </c>
      <c r="Y9197">
        <v>25</v>
      </c>
      <c r="Z9197" t="s">
        <v>59</v>
      </c>
      <c r="AA9197" t="s">
        <v>59</v>
      </c>
      <c r="AB9197" t="s">
        <v>59</v>
      </c>
      <c r="AC9197" t="s">
        <v>59</v>
      </c>
      <c r="AD9197" t="s">
        <v>59</v>
      </c>
      <c r="AF9197" s="1">
        <v>36042</v>
      </c>
      <c r="AG9197" t="s">
        <v>8651</v>
      </c>
      <c r="AH9197" t="s">
        <v>8652</v>
      </c>
      <c r="AI9197" t="str">
        <f>"9410260"</f>
        <v>9410260</v>
      </c>
      <c r="AJ9197" t="s">
        <v>12844</v>
      </c>
      <c r="AK9197">
        <v>2834023621</v>
      </c>
      <c r="AL9197" t="s">
        <v>12845</v>
      </c>
      <c r="AM9197" t="s">
        <v>64</v>
      </c>
      <c r="AN9197" t="s">
        <v>5672</v>
      </c>
      <c r="AO9197" t="s">
        <v>5673</v>
      </c>
      <c r="AP9197" t="s">
        <v>5689</v>
      </c>
      <c r="AQ9197">
        <v>7</v>
      </c>
      <c r="AR9197" t="s">
        <v>66</v>
      </c>
      <c r="AS9197" t="s">
        <v>67</v>
      </c>
      <c r="AT9197" t="s">
        <v>58</v>
      </c>
      <c r="AU9197" t="s">
        <v>68</v>
      </c>
      <c r="AV9197" t="s">
        <v>69</v>
      </c>
      <c r="AW9197" s="1">
        <v>24307</v>
      </c>
      <c r="AX9197">
        <v>1</v>
      </c>
    </row>
    <row r="9198" spans="1:50">
      <c r="A9198">
        <v>574796</v>
      </c>
      <c r="B9198" t="str">
        <f>"032869209"</f>
        <v>032869209</v>
      </c>
      <c r="C9198" t="s">
        <v>50</v>
      </c>
      <c r="D9198" t="s">
        <v>6721</v>
      </c>
      <c r="E9198" t="s">
        <v>83</v>
      </c>
      <c r="F9198" t="s">
        <v>106</v>
      </c>
      <c r="G9198" t="s">
        <v>52</v>
      </c>
      <c r="H9198" t="str">
        <f>" ΡΕΘΥΜΝΟ"</f>
        <v xml:space="preserve"> ΡΕΘΥΜΝΟ</v>
      </c>
      <c r="I9198">
        <v>74100</v>
      </c>
      <c r="J9198">
        <v>2831054893</v>
      </c>
      <c r="K9198">
        <v>6980902030</v>
      </c>
      <c r="N9198" t="s">
        <v>176</v>
      </c>
      <c r="O9198" t="s">
        <v>177</v>
      </c>
      <c r="R9198" t="s">
        <v>57</v>
      </c>
      <c r="S9198">
        <v>14</v>
      </c>
      <c r="T9198">
        <v>158</v>
      </c>
      <c r="U9198" s="1">
        <v>34582</v>
      </c>
      <c r="V9198" t="s">
        <v>66</v>
      </c>
      <c r="W9198" t="s">
        <v>67</v>
      </c>
      <c r="X9198" t="s">
        <v>58</v>
      </c>
      <c r="Y9198">
        <v>21</v>
      </c>
      <c r="Z9198" t="s">
        <v>59</v>
      </c>
      <c r="AA9198" t="s">
        <v>59</v>
      </c>
      <c r="AB9198" t="s">
        <v>59</v>
      </c>
      <c r="AC9198" t="s">
        <v>59</v>
      </c>
      <c r="AD9198" t="s">
        <v>59</v>
      </c>
      <c r="AF9198" s="1">
        <v>34582</v>
      </c>
      <c r="AG9198" t="s">
        <v>8645</v>
      </c>
      <c r="AH9198" t="s">
        <v>8646</v>
      </c>
      <c r="AI9198" t="str">
        <f>"9410069"</f>
        <v>9410069</v>
      </c>
      <c r="AJ9198" t="s">
        <v>12674</v>
      </c>
      <c r="AK9198">
        <v>2831029296</v>
      </c>
      <c r="AL9198" t="s">
        <v>12675</v>
      </c>
      <c r="AM9198" t="s">
        <v>64</v>
      </c>
      <c r="AN9198" t="s">
        <v>65</v>
      </c>
      <c r="AO9198" t="s">
        <v>65</v>
      </c>
      <c r="AP9198" t="s">
        <v>65</v>
      </c>
      <c r="AQ9198">
        <v>1</v>
      </c>
      <c r="AR9198" t="s">
        <v>66</v>
      </c>
      <c r="AS9198" t="s">
        <v>67</v>
      </c>
      <c r="AT9198" t="s">
        <v>58</v>
      </c>
      <c r="AU9198" t="s">
        <v>68</v>
      </c>
      <c r="AV9198" t="s">
        <v>69</v>
      </c>
      <c r="AW9198" s="1">
        <v>23682</v>
      </c>
      <c r="AX9198">
        <v>1</v>
      </c>
    </row>
    <row r="9199" spans="1:50">
      <c r="B9199" t="str">
        <f>"138991579"</f>
        <v>138991579</v>
      </c>
      <c r="C9199" t="s">
        <v>50</v>
      </c>
      <c r="D9199" t="s">
        <v>11878</v>
      </c>
      <c r="E9199" t="s">
        <v>473</v>
      </c>
      <c r="F9199" t="s">
        <v>510</v>
      </c>
      <c r="G9199" t="s">
        <v>13845</v>
      </c>
      <c r="H9199" t="str">
        <f>"ΚΑΛΗΣΠΕΡΗΔΩΝ 9 ΗΡΑΚΛΕΙΟ "</f>
        <v xml:space="preserve">ΚΑΛΗΣΠΕΡΗΔΩΝ 9 ΗΡΑΚΛΕΙΟ </v>
      </c>
      <c r="I9199">
        <v>71307</v>
      </c>
      <c r="J9199">
        <v>2810229385</v>
      </c>
      <c r="K9199">
        <v>6945996732</v>
      </c>
      <c r="N9199" t="s">
        <v>288</v>
      </c>
      <c r="O9199" t="s">
        <v>289</v>
      </c>
      <c r="R9199" t="s">
        <v>121</v>
      </c>
      <c r="S9199">
        <v>1</v>
      </c>
      <c r="T9199" t="s">
        <v>9034</v>
      </c>
      <c r="U9199" s="1">
        <v>43377</v>
      </c>
      <c r="V9199" t="s">
        <v>66</v>
      </c>
      <c r="W9199" t="s">
        <v>67</v>
      </c>
      <c r="X9199" t="s">
        <v>58</v>
      </c>
      <c r="Y9199">
        <v>14</v>
      </c>
      <c r="Z9199" t="s">
        <v>59</v>
      </c>
      <c r="AA9199" t="s">
        <v>59</v>
      </c>
      <c r="AB9199" t="s">
        <v>59</v>
      </c>
      <c r="AC9199" t="s">
        <v>59</v>
      </c>
      <c r="AD9199" t="s">
        <v>59</v>
      </c>
      <c r="AF9199" s="1">
        <v>43377</v>
      </c>
      <c r="AG9199" t="s">
        <v>8645</v>
      </c>
      <c r="AH9199" t="s">
        <v>8646</v>
      </c>
      <c r="AI9199" t="str">
        <f>"9410242"</f>
        <v>9410242</v>
      </c>
      <c r="AJ9199" t="s">
        <v>12796</v>
      </c>
      <c r="AK9199">
        <v>2834023145</v>
      </c>
      <c r="AL9199" t="s">
        <v>12797</v>
      </c>
      <c r="AM9199" t="s">
        <v>64</v>
      </c>
      <c r="AN9199" t="s">
        <v>5672</v>
      </c>
      <c r="AO9199" t="s">
        <v>5673</v>
      </c>
      <c r="AP9199" t="s">
        <v>5689</v>
      </c>
      <c r="AQ9199">
        <v>7</v>
      </c>
      <c r="AR9199" t="s">
        <v>66</v>
      </c>
      <c r="AS9199" t="s">
        <v>67</v>
      </c>
      <c r="AT9199" t="s">
        <v>58</v>
      </c>
      <c r="AU9199" t="s">
        <v>8686</v>
      </c>
      <c r="AV9199" t="s">
        <v>132</v>
      </c>
      <c r="AW9199" s="1">
        <v>31179</v>
      </c>
      <c r="AX9199">
        <v>1</v>
      </c>
    </row>
    <row r="9200" spans="1:50">
      <c r="A9200">
        <v>615654</v>
      </c>
      <c r="B9200" t="str">
        <f>"100064404"</f>
        <v>100064404</v>
      </c>
      <c r="C9200" t="s">
        <v>50</v>
      </c>
      <c r="D9200" t="s">
        <v>13846</v>
      </c>
      <c r="E9200" t="s">
        <v>237</v>
      </c>
      <c r="F9200" t="s">
        <v>309</v>
      </c>
      <c r="G9200" t="s">
        <v>340</v>
      </c>
      <c r="H9200" t="str">
        <f>" ΑΤΣΙΠΟΠΟΥΛΟ ΡΕΘΥΜΝΟΥ"</f>
        <v xml:space="preserve"> ΑΤΣΙΠΟΠΟΥΛΟ ΡΕΘΥΜΝΟΥ</v>
      </c>
      <c r="I9200">
        <v>74100</v>
      </c>
      <c r="J9200">
        <v>2831031749</v>
      </c>
      <c r="K9200">
        <v>6947779488</v>
      </c>
      <c r="N9200" t="s">
        <v>1525</v>
      </c>
      <c r="O9200" t="s">
        <v>1526</v>
      </c>
      <c r="R9200" t="s">
        <v>57</v>
      </c>
      <c r="S9200">
        <v>5</v>
      </c>
      <c r="T9200">
        <v>600</v>
      </c>
      <c r="U9200" s="1">
        <v>39310</v>
      </c>
      <c r="V9200" t="s">
        <v>66</v>
      </c>
      <c r="W9200" t="s">
        <v>67</v>
      </c>
      <c r="X9200" t="s">
        <v>58</v>
      </c>
      <c r="Y9200">
        <v>25</v>
      </c>
      <c r="Z9200" t="s">
        <v>59</v>
      </c>
      <c r="AA9200" t="s">
        <v>59</v>
      </c>
      <c r="AB9200" t="s">
        <v>59</v>
      </c>
      <c r="AC9200" t="s">
        <v>59</v>
      </c>
      <c r="AD9200" t="s">
        <v>59</v>
      </c>
      <c r="AF9200" s="1">
        <v>39328</v>
      </c>
      <c r="AG9200" t="s">
        <v>8651</v>
      </c>
      <c r="AH9200" t="s">
        <v>8652</v>
      </c>
      <c r="AI9200" t="str">
        <f>"9410248"</f>
        <v>9410248</v>
      </c>
      <c r="AJ9200" t="s">
        <v>13373</v>
      </c>
      <c r="AK9200">
        <v>2831071898</v>
      </c>
      <c r="AL9200" t="s">
        <v>13374</v>
      </c>
      <c r="AM9200" t="s">
        <v>64</v>
      </c>
      <c r="AN9200" t="s">
        <v>65</v>
      </c>
      <c r="AO9200" t="s">
        <v>12694</v>
      </c>
      <c r="AP9200" t="s">
        <v>12695</v>
      </c>
      <c r="AQ9200">
        <v>3</v>
      </c>
      <c r="AR9200" t="s">
        <v>66</v>
      </c>
      <c r="AS9200" t="s">
        <v>67</v>
      </c>
      <c r="AT9200" t="s">
        <v>58</v>
      </c>
      <c r="AU9200" t="s">
        <v>68</v>
      </c>
      <c r="AV9200" t="s">
        <v>69</v>
      </c>
      <c r="AW9200" s="1">
        <v>24949</v>
      </c>
      <c r="AX9200">
        <v>1</v>
      </c>
    </row>
    <row r="9201" spans="1:50">
      <c r="B9201" t="str">
        <f>"302034438"</f>
        <v>302034438</v>
      </c>
      <c r="C9201" t="s">
        <v>50</v>
      </c>
      <c r="D9201" t="s">
        <v>13847</v>
      </c>
      <c r="E9201" t="s">
        <v>13848</v>
      </c>
      <c r="F9201" t="s">
        <v>13849</v>
      </c>
      <c r="G9201" t="s">
        <v>13850</v>
      </c>
      <c r="H9201" t="str">
        <f>"ΣΑΡΑΝΤΑΠΟΡΟΥ 10 "</f>
        <v xml:space="preserve">ΣΑΡΑΝΤΑΠΟΡΟΥ 10 </v>
      </c>
      <c r="I9201">
        <v>56224</v>
      </c>
      <c r="J9201">
        <v>2310703265</v>
      </c>
      <c r="K9201">
        <v>6973207273</v>
      </c>
      <c r="N9201" t="s">
        <v>615</v>
      </c>
      <c r="O9201" t="s">
        <v>616</v>
      </c>
      <c r="R9201" t="s">
        <v>159</v>
      </c>
      <c r="S9201">
        <v>3</v>
      </c>
      <c r="T9201" t="s">
        <v>8675</v>
      </c>
      <c r="U9201" s="1">
        <v>43348</v>
      </c>
      <c r="V9201" t="s">
        <v>89</v>
      </c>
      <c r="W9201" t="s">
        <v>90</v>
      </c>
      <c r="X9201" t="s">
        <v>58</v>
      </c>
      <c r="Y9201">
        <v>24</v>
      </c>
      <c r="Z9201" t="s">
        <v>59</v>
      </c>
      <c r="AA9201" t="s">
        <v>59</v>
      </c>
      <c r="AB9201" t="s">
        <v>59</v>
      </c>
      <c r="AC9201" t="s">
        <v>59</v>
      </c>
      <c r="AD9201" t="s">
        <v>59</v>
      </c>
      <c r="AF9201" s="1">
        <v>43348</v>
      </c>
      <c r="AG9201" t="s">
        <v>8645</v>
      </c>
      <c r="AH9201" t="s">
        <v>8646</v>
      </c>
      <c r="AI9201" t="str">
        <f>"9500148"</f>
        <v>9500148</v>
      </c>
      <c r="AJ9201" t="s">
        <v>13851</v>
      </c>
      <c r="AK9201">
        <v>2821068328</v>
      </c>
      <c r="AL9201" t="s">
        <v>13852</v>
      </c>
      <c r="AM9201" t="s">
        <v>88</v>
      </c>
      <c r="AN9201" t="s">
        <v>88</v>
      </c>
      <c r="AO9201" t="s">
        <v>6785</v>
      </c>
      <c r="AP9201" t="s">
        <v>13853</v>
      </c>
      <c r="AQ9201">
        <v>3</v>
      </c>
      <c r="AR9201" t="s">
        <v>89</v>
      </c>
      <c r="AS9201" t="s">
        <v>90</v>
      </c>
      <c r="AT9201" t="s">
        <v>58</v>
      </c>
      <c r="AU9201" t="s">
        <v>8673</v>
      </c>
      <c r="AV9201" t="s">
        <v>132</v>
      </c>
      <c r="AW9201" s="1">
        <v>29040</v>
      </c>
      <c r="AX9201">
        <v>1</v>
      </c>
    </row>
    <row r="9202" spans="1:50">
      <c r="A9202">
        <v>593081</v>
      </c>
      <c r="B9202" t="str">
        <f>"119108104"</f>
        <v>119108104</v>
      </c>
      <c r="C9202" t="s">
        <v>50</v>
      </c>
      <c r="D9202" t="s">
        <v>13854</v>
      </c>
      <c r="E9202" t="s">
        <v>620</v>
      </c>
      <c r="F9202" t="s">
        <v>10564</v>
      </c>
      <c r="G9202" t="s">
        <v>143</v>
      </c>
      <c r="H9202" t="str">
        <f>"ΕΙΡΗΝΗΣ 32 ΣΟΥΔΑ ΧΑΝΙΑ"</f>
        <v>ΕΙΡΗΝΗΣ 32 ΣΟΥΔΑ ΧΑΝΙΑ</v>
      </c>
      <c r="I9202">
        <v>73200</v>
      </c>
      <c r="J9202">
        <v>2825041262</v>
      </c>
      <c r="K9202">
        <v>6978869816</v>
      </c>
      <c r="M9202" t="s">
        <v>13855</v>
      </c>
      <c r="N9202" t="s">
        <v>615</v>
      </c>
      <c r="O9202" t="s">
        <v>616</v>
      </c>
      <c r="R9202" t="s">
        <v>57</v>
      </c>
      <c r="S9202">
        <v>8</v>
      </c>
      <c r="T9202">
        <v>218</v>
      </c>
      <c r="U9202" s="1">
        <v>37134</v>
      </c>
      <c r="V9202" t="s">
        <v>89</v>
      </c>
      <c r="W9202" t="s">
        <v>90</v>
      </c>
      <c r="X9202" t="s">
        <v>58</v>
      </c>
      <c r="Y9202">
        <v>22</v>
      </c>
      <c r="Z9202" t="s">
        <v>59</v>
      </c>
      <c r="AA9202" t="s">
        <v>59</v>
      </c>
      <c r="AB9202" t="s">
        <v>59</v>
      </c>
      <c r="AC9202" t="s">
        <v>59</v>
      </c>
      <c r="AD9202" t="s">
        <v>59</v>
      </c>
      <c r="AF9202" s="1">
        <v>37134</v>
      </c>
      <c r="AG9202" t="s">
        <v>8645</v>
      </c>
      <c r="AH9202" t="s">
        <v>8646</v>
      </c>
      <c r="AI9202" t="str">
        <f>"9500024"</f>
        <v>9500024</v>
      </c>
      <c r="AJ9202" t="s">
        <v>13856</v>
      </c>
      <c r="AK9202">
        <v>2825041345</v>
      </c>
      <c r="AL9202" t="s">
        <v>13857</v>
      </c>
      <c r="AM9202" t="s">
        <v>88</v>
      </c>
      <c r="AN9202" t="s">
        <v>6775</v>
      </c>
      <c r="AO9202" t="s">
        <v>11883</v>
      </c>
      <c r="AP9202" t="s">
        <v>13858</v>
      </c>
      <c r="AQ9202">
        <v>7</v>
      </c>
      <c r="AR9202" t="s">
        <v>89</v>
      </c>
      <c r="AS9202" t="s">
        <v>90</v>
      </c>
      <c r="AT9202" t="s">
        <v>58</v>
      </c>
      <c r="AU9202" t="s">
        <v>68</v>
      </c>
      <c r="AV9202" t="s">
        <v>69</v>
      </c>
      <c r="AW9202" s="1">
        <v>27532</v>
      </c>
      <c r="AX9202">
        <v>1</v>
      </c>
    </row>
    <row r="9203" spans="1:50">
      <c r="B9203" t="str">
        <f>"108801403"</f>
        <v>108801403</v>
      </c>
      <c r="C9203" t="s">
        <v>50</v>
      </c>
      <c r="D9203" t="s">
        <v>13859</v>
      </c>
      <c r="E9203" t="s">
        <v>181</v>
      </c>
      <c r="F9203" t="s">
        <v>3049</v>
      </c>
      <c r="G9203" t="s">
        <v>143</v>
      </c>
      <c r="H9203" t="str">
        <f>"ΝΙΚΟΜΗΔΕΙΑΣ  29 ΘΕΣΣΑΛΟΝΙΚΗ"</f>
        <v>ΝΙΚΟΜΗΔΕΙΑΣ  29 ΘΕΣΣΑΛΟΝΙΚΗ</v>
      </c>
      <c r="I9203">
        <v>56431</v>
      </c>
      <c r="J9203">
        <v>2310809280</v>
      </c>
      <c r="K9203">
        <v>6973805558</v>
      </c>
      <c r="L9203">
        <v>2310809280</v>
      </c>
      <c r="M9203" t="s">
        <v>13860</v>
      </c>
      <c r="N9203" t="s">
        <v>306</v>
      </c>
      <c r="O9203" t="s">
        <v>307</v>
      </c>
      <c r="R9203" t="s">
        <v>159</v>
      </c>
      <c r="S9203">
        <v>3</v>
      </c>
      <c r="T9203" t="s">
        <v>8675</v>
      </c>
      <c r="U9203" s="1">
        <v>43348</v>
      </c>
      <c r="V9203" t="s">
        <v>89</v>
      </c>
      <c r="W9203" t="s">
        <v>90</v>
      </c>
      <c r="X9203" t="s">
        <v>58</v>
      </c>
      <c r="Y9203">
        <v>24</v>
      </c>
      <c r="Z9203" t="s">
        <v>59</v>
      </c>
      <c r="AA9203" t="s">
        <v>59</v>
      </c>
      <c r="AB9203" t="s">
        <v>59</v>
      </c>
      <c r="AC9203" t="s">
        <v>59</v>
      </c>
      <c r="AD9203" t="s">
        <v>59</v>
      </c>
      <c r="AF9203" s="1">
        <v>43348</v>
      </c>
      <c r="AG9203" t="s">
        <v>8645</v>
      </c>
      <c r="AH9203" t="s">
        <v>8646</v>
      </c>
      <c r="AI9203" t="str">
        <f>"9500205"</f>
        <v>9500205</v>
      </c>
      <c r="AJ9203" t="s">
        <v>13861</v>
      </c>
      <c r="AK9203">
        <v>2822031289</v>
      </c>
      <c r="AL9203" t="s">
        <v>13862</v>
      </c>
      <c r="AM9203" t="s">
        <v>88</v>
      </c>
      <c r="AN9203" t="s">
        <v>6744</v>
      </c>
      <c r="AO9203" t="s">
        <v>13863</v>
      </c>
      <c r="AP9203" t="s">
        <v>13864</v>
      </c>
      <c r="AQ9203">
        <v>9</v>
      </c>
      <c r="AR9203" t="s">
        <v>89</v>
      </c>
      <c r="AS9203" t="s">
        <v>90</v>
      </c>
      <c r="AT9203" t="s">
        <v>58</v>
      </c>
      <c r="AU9203" t="s">
        <v>8673</v>
      </c>
      <c r="AV9203" t="s">
        <v>132</v>
      </c>
      <c r="AW9203" s="1">
        <v>27863</v>
      </c>
      <c r="AX9203">
        <v>1</v>
      </c>
    </row>
    <row r="9204" spans="1:50">
      <c r="A9204">
        <v>591024</v>
      </c>
      <c r="B9204" t="str">
        <f>"036052786"</f>
        <v>036052786</v>
      </c>
      <c r="C9204" t="s">
        <v>50</v>
      </c>
      <c r="D9204" t="s">
        <v>187</v>
      </c>
      <c r="E9204" t="s">
        <v>11970</v>
      </c>
      <c r="F9204" t="s">
        <v>510</v>
      </c>
      <c r="G9204" t="s">
        <v>237</v>
      </c>
      <c r="H9204" t="str">
        <f>"ΠΛΑΚΟΥΡΕΣ ΑΚΡΩΤΗΡΙ"</f>
        <v>ΠΛΑΚΟΥΡΕΣ ΑΚΡΩΤΗΡΙ</v>
      </c>
      <c r="I9204">
        <v>73100</v>
      </c>
      <c r="J9204">
        <v>2821069377</v>
      </c>
      <c r="K9204">
        <v>6973389296</v>
      </c>
      <c r="N9204" t="s">
        <v>615</v>
      </c>
      <c r="O9204" t="s">
        <v>616</v>
      </c>
      <c r="R9204" t="s">
        <v>57</v>
      </c>
      <c r="S9204">
        <v>14</v>
      </c>
      <c r="T9204">
        <v>249</v>
      </c>
      <c r="U9204" s="1">
        <v>36769</v>
      </c>
      <c r="V9204" t="s">
        <v>89</v>
      </c>
      <c r="W9204" t="s">
        <v>90</v>
      </c>
      <c r="X9204" t="s">
        <v>58</v>
      </c>
      <c r="Y9204">
        <v>21</v>
      </c>
      <c r="Z9204" t="s">
        <v>59</v>
      </c>
      <c r="AA9204" t="s">
        <v>59</v>
      </c>
      <c r="AB9204" t="s">
        <v>59</v>
      </c>
      <c r="AC9204" t="s">
        <v>59</v>
      </c>
      <c r="AD9204" t="s">
        <v>59</v>
      </c>
      <c r="AF9204" s="1">
        <v>36769</v>
      </c>
      <c r="AG9204" t="s">
        <v>8645</v>
      </c>
      <c r="AH9204" t="s">
        <v>8646</v>
      </c>
      <c r="AI9204" t="str">
        <f>"9500093"</f>
        <v>9500093</v>
      </c>
      <c r="AJ9204" t="s">
        <v>13865</v>
      </c>
      <c r="AK9204">
        <v>2821064537</v>
      </c>
      <c r="AL9204" t="s">
        <v>13866</v>
      </c>
      <c r="AM9204" t="s">
        <v>88</v>
      </c>
      <c r="AN9204" t="s">
        <v>88</v>
      </c>
      <c r="AO9204" t="s">
        <v>6770</v>
      </c>
      <c r="AP9204" t="s">
        <v>6771</v>
      </c>
      <c r="AQ9204">
        <v>2</v>
      </c>
      <c r="AR9204" t="s">
        <v>89</v>
      </c>
      <c r="AS9204" t="s">
        <v>90</v>
      </c>
      <c r="AT9204" t="s">
        <v>58</v>
      </c>
      <c r="AU9204" t="s">
        <v>68</v>
      </c>
      <c r="AV9204" t="s">
        <v>69</v>
      </c>
      <c r="AW9204" s="1">
        <v>25246</v>
      </c>
      <c r="AX9204">
        <v>1</v>
      </c>
    </row>
    <row r="9205" spans="1:50">
      <c r="A9205">
        <v>227792</v>
      </c>
      <c r="B9205" t="str">
        <f>"062630550"</f>
        <v>062630550</v>
      </c>
      <c r="C9205" t="s">
        <v>105</v>
      </c>
      <c r="D9205" t="s">
        <v>197</v>
      </c>
      <c r="E9205" t="s">
        <v>166</v>
      </c>
      <c r="F9205" t="s">
        <v>11020</v>
      </c>
      <c r="G9205" t="s">
        <v>73</v>
      </c>
      <c r="H9205" t="str">
        <f>"ΕΡΩΦΙΛΗΣ 31 ΧΑΝΙΑ"</f>
        <v>ΕΡΩΦΙΛΗΣ 31 ΧΑΝΙΑ</v>
      </c>
      <c r="I9205">
        <v>73100</v>
      </c>
      <c r="J9205">
        <v>2821052087</v>
      </c>
      <c r="K9205">
        <v>6977245423</v>
      </c>
      <c r="N9205" t="s">
        <v>176</v>
      </c>
      <c r="O9205" t="s">
        <v>177</v>
      </c>
      <c r="R9205" t="s">
        <v>57</v>
      </c>
      <c r="S9205">
        <v>8</v>
      </c>
      <c r="T9205">
        <v>654</v>
      </c>
      <c r="U9205" s="1">
        <v>40043</v>
      </c>
      <c r="V9205" t="s">
        <v>89</v>
      </c>
      <c r="W9205" t="s">
        <v>90</v>
      </c>
      <c r="X9205" t="s">
        <v>58</v>
      </c>
      <c r="Y9205">
        <v>23</v>
      </c>
      <c r="Z9205" t="s">
        <v>59</v>
      </c>
      <c r="AA9205" t="s">
        <v>59</v>
      </c>
      <c r="AB9205" t="s">
        <v>59</v>
      </c>
      <c r="AC9205" t="s">
        <v>59</v>
      </c>
      <c r="AD9205" t="s">
        <v>59</v>
      </c>
      <c r="AF9205" s="1">
        <v>40043</v>
      </c>
      <c r="AG9205" t="s">
        <v>8645</v>
      </c>
      <c r="AH9205" t="s">
        <v>8646</v>
      </c>
      <c r="AI9205" t="str">
        <f>"9500407"</f>
        <v>9500407</v>
      </c>
      <c r="AJ9205" t="s">
        <v>13867</v>
      </c>
      <c r="AK9205">
        <v>2821089224</v>
      </c>
      <c r="AL9205" t="s">
        <v>13868</v>
      </c>
      <c r="AM9205" t="s">
        <v>88</v>
      </c>
      <c r="AN9205" t="s">
        <v>88</v>
      </c>
      <c r="AO9205" t="s">
        <v>6748</v>
      </c>
      <c r="AP9205" t="s">
        <v>6748</v>
      </c>
      <c r="AQ9205">
        <v>2</v>
      </c>
      <c r="AR9205" t="s">
        <v>89</v>
      </c>
      <c r="AS9205" t="s">
        <v>90</v>
      </c>
      <c r="AT9205" t="s">
        <v>58</v>
      </c>
      <c r="AU9205" t="s">
        <v>68</v>
      </c>
      <c r="AV9205" t="s">
        <v>132</v>
      </c>
      <c r="AW9205" s="1">
        <v>26999</v>
      </c>
      <c r="AX9205">
        <v>1</v>
      </c>
    </row>
    <row r="9206" spans="1:50">
      <c r="B9206" t="str">
        <f>"160430676"</f>
        <v>160430676</v>
      </c>
      <c r="C9206" t="s">
        <v>50</v>
      </c>
      <c r="D9206" t="s">
        <v>8669</v>
      </c>
      <c r="E9206" t="s">
        <v>52</v>
      </c>
      <c r="F9206" t="s">
        <v>99</v>
      </c>
      <c r="G9206" t="s">
        <v>314</v>
      </c>
      <c r="H9206" t="str">
        <f>" "</f>
        <v xml:space="preserve"> </v>
      </c>
      <c r="N9206" t="s">
        <v>8694</v>
      </c>
      <c r="O9206" t="s">
        <v>8695</v>
      </c>
      <c r="R9206" t="s">
        <v>121</v>
      </c>
      <c r="S9206">
        <v>1</v>
      </c>
      <c r="T9206" t="s">
        <v>8835</v>
      </c>
      <c r="U9206" s="1">
        <v>43348</v>
      </c>
      <c r="V9206" t="s">
        <v>89</v>
      </c>
      <c r="W9206" t="s">
        <v>90</v>
      </c>
      <c r="X9206" t="s">
        <v>58</v>
      </c>
      <c r="Y9206">
        <v>24</v>
      </c>
      <c r="Z9206" t="s">
        <v>59</v>
      </c>
      <c r="AD9206" t="s">
        <v>59</v>
      </c>
      <c r="AF9206" s="1">
        <v>43348</v>
      </c>
      <c r="AG9206" t="s">
        <v>8645</v>
      </c>
      <c r="AH9206" t="s">
        <v>8676</v>
      </c>
      <c r="AI9206" t="str">
        <f>"9500207"</f>
        <v>9500207</v>
      </c>
      <c r="AJ9206" t="s">
        <v>13869</v>
      </c>
      <c r="AK9206">
        <v>2822061217</v>
      </c>
      <c r="AL9206" t="s">
        <v>13870</v>
      </c>
      <c r="AM9206" t="s">
        <v>88</v>
      </c>
      <c r="AN9206" t="s">
        <v>6744</v>
      </c>
      <c r="AO9206" t="s">
        <v>13871</v>
      </c>
      <c r="AP9206" t="s">
        <v>13872</v>
      </c>
      <c r="AQ9206">
        <v>9</v>
      </c>
      <c r="AR9206" t="s">
        <v>89</v>
      </c>
      <c r="AS9206" t="s">
        <v>90</v>
      </c>
      <c r="AT9206" t="s">
        <v>58</v>
      </c>
      <c r="AU9206" t="s">
        <v>131</v>
      </c>
      <c r="AV9206" t="s">
        <v>132</v>
      </c>
      <c r="AW9206" s="1">
        <v>34744</v>
      </c>
      <c r="AX9206">
        <v>1</v>
      </c>
    </row>
    <row r="9207" spans="1:50">
      <c r="B9207" t="str">
        <f>"105305659"</f>
        <v>105305659</v>
      </c>
      <c r="C9207" t="s">
        <v>105</v>
      </c>
      <c r="D9207" t="s">
        <v>3104</v>
      </c>
      <c r="E9207" t="s">
        <v>377</v>
      </c>
      <c r="F9207" t="s">
        <v>309</v>
      </c>
      <c r="G9207" t="s">
        <v>8287</v>
      </c>
      <c r="H9207" t="str">
        <f>"Κ.ΚΑΖΑΝΤΖΗ 2 "</f>
        <v xml:space="preserve">Κ.ΚΑΖΑΝΤΖΗ 2 </v>
      </c>
      <c r="I9207">
        <v>45332</v>
      </c>
      <c r="J9207">
        <v>2651067574</v>
      </c>
      <c r="K9207">
        <v>6948882810</v>
      </c>
      <c r="N9207" t="s">
        <v>615</v>
      </c>
      <c r="O9207" t="s">
        <v>616</v>
      </c>
      <c r="R9207" t="s">
        <v>159</v>
      </c>
      <c r="S9207">
        <v>4</v>
      </c>
      <c r="T9207" t="s">
        <v>8675</v>
      </c>
      <c r="U9207" s="1">
        <v>43348</v>
      </c>
      <c r="V9207" t="s">
        <v>89</v>
      </c>
      <c r="W9207" t="s">
        <v>90</v>
      </c>
      <c r="X9207" t="s">
        <v>58</v>
      </c>
      <c r="Y9207">
        <v>24</v>
      </c>
      <c r="Z9207" t="s">
        <v>59</v>
      </c>
      <c r="AA9207" t="s">
        <v>59</v>
      </c>
      <c r="AB9207" t="s">
        <v>59</v>
      </c>
      <c r="AC9207" t="s">
        <v>59</v>
      </c>
      <c r="AD9207" t="s">
        <v>59</v>
      </c>
      <c r="AF9207" s="1">
        <v>43348</v>
      </c>
      <c r="AG9207" t="s">
        <v>8645</v>
      </c>
      <c r="AH9207" t="s">
        <v>8646</v>
      </c>
      <c r="AI9207" t="str">
        <f>"9500017"</f>
        <v>9500017</v>
      </c>
      <c r="AJ9207" t="s">
        <v>13873</v>
      </c>
      <c r="AK9207">
        <v>2825083173</v>
      </c>
      <c r="AL9207" t="s">
        <v>13874</v>
      </c>
      <c r="AM9207" t="s">
        <v>88</v>
      </c>
      <c r="AN9207" t="s">
        <v>6775</v>
      </c>
      <c r="AO9207" t="s">
        <v>11883</v>
      </c>
      <c r="AP9207" t="s">
        <v>13875</v>
      </c>
      <c r="AQ9207">
        <v>7</v>
      </c>
      <c r="AR9207" t="s">
        <v>89</v>
      </c>
      <c r="AS9207" t="s">
        <v>90</v>
      </c>
      <c r="AT9207" t="s">
        <v>58</v>
      </c>
      <c r="AU9207" t="s">
        <v>8673</v>
      </c>
      <c r="AV9207" t="s">
        <v>132</v>
      </c>
      <c r="AW9207" s="1">
        <v>31076</v>
      </c>
      <c r="AX9207">
        <v>1</v>
      </c>
    </row>
    <row r="9208" spans="1:50">
      <c r="A9208">
        <v>612771</v>
      </c>
      <c r="B9208" t="str">
        <f>"066736808"</f>
        <v>066736808</v>
      </c>
      <c r="C9208" t="s">
        <v>50</v>
      </c>
      <c r="D9208" t="s">
        <v>13876</v>
      </c>
      <c r="E9208" t="s">
        <v>52</v>
      </c>
      <c r="F9208" t="s">
        <v>108</v>
      </c>
      <c r="G9208" t="s">
        <v>255</v>
      </c>
      <c r="H9208" t="str">
        <f>"ΓΑΛΗΝΗ ΛΑΡΙΣΑΣ ΛΑΡΙΣΑ"</f>
        <v>ΓΑΛΗΝΗ ΛΑΡΙΣΑΣ ΛΑΡΙΣΑ</v>
      </c>
      <c r="I9208">
        <v>40009</v>
      </c>
      <c r="J9208">
        <v>2410971472</v>
      </c>
      <c r="K9208">
        <v>6932502399</v>
      </c>
      <c r="N9208" t="s">
        <v>1525</v>
      </c>
      <c r="O9208" t="s">
        <v>1526</v>
      </c>
      <c r="R9208" t="s">
        <v>57</v>
      </c>
      <c r="S9208">
        <v>6</v>
      </c>
      <c r="T9208">
        <v>254</v>
      </c>
      <c r="U9208" s="1">
        <v>38973</v>
      </c>
      <c r="V9208" t="s">
        <v>89</v>
      </c>
      <c r="W9208" t="s">
        <v>90</v>
      </c>
      <c r="X9208" t="s">
        <v>58</v>
      </c>
      <c r="Y9208">
        <v>25</v>
      </c>
      <c r="Z9208" t="s">
        <v>59</v>
      </c>
      <c r="AA9208" t="s">
        <v>59</v>
      </c>
      <c r="AB9208" t="s">
        <v>59</v>
      </c>
      <c r="AC9208" t="s">
        <v>59</v>
      </c>
      <c r="AD9208" t="s">
        <v>59</v>
      </c>
      <c r="AF9208" s="1">
        <v>38975</v>
      </c>
      <c r="AG9208" t="s">
        <v>8651</v>
      </c>
      <c r="AH9208" t="s">
        <v>8652</v>
      </c>
      <c r="AI9208" t="str">
        <f>"9500269"</f>
        <v>9500269</v>
      </c>
      <c r="AJ9208" t="s">
        <v>13877</v>
      </c>
      <c r="AK9208">
        <v>2821077364</v>
      </c>
      <c r="AL9208" t="s">
        <v>13878</v>
      </c>
      <c r="AM9208" t="s">
        <v>88</v>
      </c>
      <c r="AN9208" t="s">
        <v>6764</v>
      </c>
      <c r="AO9208" t="s">
        <v>6885</v>
      </c>
      <c r="AP9208" t="s">
        <v>13879</v>
      </c>
      <c r="AQ9208">
        <v>4</v>
      </c>
      <c r="AR9208" t="s">
        <v>89</v>
      </c>
      <c r="AS9208" t="s">
        <v>90</v>
      </c>
      <c r="AT9208" t="s">
        <v>58</v>
      </c>
      <c r="AU9208" t="s">
        <v>68</v>
      </c>
      <c r="AV9208" t="s">
        <v>69</v>
      </c>
      <c r="AW9208" s="1">
        <v>27478</v>
      </c>
      <c r="AX9208">
        <v>1</v>
      </c>
    </row>
    <row r="9209" spans="1:50">
      <c r="B9209" t="str">
        <f>"137213540"</f>
        <v>137213540</v>
      </c>
      <c r="C9209" t="s">
        <v>50</v>
      </c>
      <c r="D9209" t="s">
        <v>13880</v>
      </c>
      <c r="E9209" t="s">
        <v>13881</v>
      </c>
      <c r="F9209" t="s">
        <v>1062</v>
      </c>
      <c r="G9209" t="s">
        <v>52</v>
      </c>
      <c r="H9209" t="str">
        <f>"Μητροπολίτη Κυρίλου 22 Χανιά"</f>
        <v>Μητροπολίτη Κυρίλου 22 Χανιά</v>
      </c>
      <c r="K9209">
        <v>6948105157</v>
      </c>
      <c r="N9209" t="s">
        <v>615</v>
      </c>
      <c r="O9209" t="s">
        <v>616</v>
      </c>
      <c r="R9209" t="s">
        <v>121</v>
      </c>
      <c r="S9209">
        <v>1</v>
      </c>
      <c r="T9209" t="s">
        <v>9034</v>
      </c>
      <c r="U9209" s="1">
        <v>43377</v>
      </c>
      <c r="V9209" t="s">
        <v>89</v>
      </c>
      <c r="W9209" t="s">
        <v>90</v>
      </c>
      <c r="X9209" t="s">
        <v>58</v>
      </c>
      <c r="Y9209">
        <v>24</v>
      </c>
      <c r="Z9209" t="s">
        <v>59</v>
      </c>
      <c r="AA9209" t="s">
        <v>59</v>
      </c>
      <c r="AB9209" t="s">
        <v>59</v>
      </c>
      <c r="AD9209" t="s">
        <v>59</v>
      </c>
      <c r="AF9209" s="1">
        <v>43377</v>
      </c>
      <c r="AG9209" t="s">
        <v>8645</v>
      </c>
      <c r="AH9209" t="s">
        <v>8646</v>
      </c>
      <c r="AI9209" t="str">
        <f>"9500148"</f>
        <v>9500148</v>
      </c>
      <c r="AJ9209" t="s">
        <v>13851</v>
      </c>
      <c r="AK9209">
        <v>2821068328</v>
      </c>
      <c r="AL9209" t="s">
        <v>13852</v>
      </c>
      <c r="AM9209" t="s">
        <v>88</v>
      </c>
      <c r="AN9209" t="s">
        <v>88</v>
      </c>
      <c r="AO9209" t="s">
        <v>6785</v>
      </c>
      <c r="AP9209" t="s">
        <v>13853</v>
      </c>
      <c r="AQ9209">
        <v>3</v>
      </c>
      <c r="AR9209" t="s">
        <v>89</v>
      </c>
      <c r="AS9209" t="s">
        <v>90</v>
      </c>
      <c r="AT9209" t="s">
        <v>58</v>
      </c>
      <c r="AU9209" t="s">
        <v>8673</v>
      </c>
      <c r="AV9209" t="s">
        <v>132</v>
      </c>
      <c r="AW9209" s="1">
        <v>32750</v>
      </c>
      <c r="AX9209">
        <v>1</v>
      </c>
    </row>
    <row r="9210" spans="1:50">
      <c r="A9210">
        <v>592428</v>
      </c>
      <c r="B9210" t="str">
        <f>"035385939"</f>
        <v>035385939</v>
      </c>
      <c r="C9210" t="s">
        <v>105</v>
      </c>
      <c r="D9210" t="s">
        <v>13882</v>
      </c>
      <c r="E9210" t="s">
        <v>201</v>
      </c>
      <c r="F9210" t="s">
        <v>995</v>
      </c>
      <c r="G9210" t="s">
        <v>7030</v>
      </c>
      <c r="H9210" t="str">
        <f>"ΣΥΓΚΡΟΤΗΜΑ ΚΑΤΟΙΚΙΩΝ ΑΡΓΟΥΛΙΔΕΣ ΑΚΡΩΤΗΡΙ"</f>
        <v>ΣΥΓΚΡΟΤΗΜΑ ΚΑΤΟΙΚΙΩΝ ΑΡΓΟΥΛΙΔΕΣ ΑΚΡΩΤΗΡΙ</v>
      </c>
      <c r="I9210">
        <v>73100</v>
      </c>
      <c r="J9210">
        <v>2821066653</v>
      </c>
      <c r="K9210">
        <v>6946350747</v>
      </c>
      <c r="N9210" t="s">
        <v>176</v>
      </c>
      <c r="O9210" t="s">
        <v>177</v>
      </c>
      <c r="R9210" t="s">
        <v>57</v>
      </c>
      <c r="S9210">
        <v>11</v>
      </c>
      <c r="T9210">
        <v>251</v>
      </c>
      <c r="U9210" s="1">
        <v>36769</v>
      </c>
      <c r="V9210" t="s">
        <v>89</v>
      </c>
      <c r="W9210" t="s">
        <v>90</v>
      </c>
      <c r="X9210" t="s">
        <v>58</v>
      </c>
      <c r="Y9210">
        <v>21</v>
      </c>
      <c r="Z9210" t="s">
        <v>59</v>
      </c>
      <c r="AA9210" t="s">
        <v>59</v>
      </c>
      <c r="AB9210" t="s">
        <v>59</v>
      </c>
      <c r="AC9210" t="s">
        <v>59</v>
      </c>
      <c r="AD9210" t="s">
        <v>59</v>
      </c>
      <c r="AF9210" s="1">
        <v>36775</v>
      </c>
      <c r="AG9210" t="s">
        <v>8645</v>
      </c>
      <c r="AH9210" t="s">
        <v>8646</v>
      </c>
      <c r="AI9210" t="str">
        <f>"9500094"</f>
        <v>9500094</v>
      </c>
      <c r="AJ9210" t="s">
        <v>13883</v>
      </c>
      <c r="AK9210">
        <v>2821039330</v>
      </c>
      <c r="AL9210" t="s">
        <v>13884</v>
      </c>
      <c r="AM9210" t="s">
        <v>88</v>
      </c>
      <c r="AN9210" t="s">
        <v>88</v>
      </c>
      <c r="AO9210" t="s">
        <v>6770</v>
      </c>
      <c r="AP9210" t="s">
        <v>6771</v>
      </c>
      <c r="AQ9210">
        <v>2</v>
      </c>
      <c r="AR9210" t="s">
        <v>89</v>
      </c>
      <c r="AS9210" t="s">
        <v>90</v>
      </c>
      <c r="AT9210" t="s">
        <v>58</v>
      </c>
      <c r="AU9210" t="s">
        <v>68</v>
      </c>
      <c r="AV9210" t="s">
        <v>69</v>
      </c>
      <c r="AW9210" s="1">
        <v>23942</v>
      </c>
      <c r="AX9210">
        <v>1</v>
      </c>
    </row>
    <row r="9211" spans="1:50">
      <c r="A9211">
        <v>614256</v>
      </c>
      <c r="B9211" t="str">
        <f>"128520995"</f>
        <v>128520995</v>
      </c>
      <c r="C9211" t="s">
        <v>50</v>
      </c>
      <c r="D9211" t="s">
        <v>13885</v>
      </c>
      <c r="E9211" t="s">
        <v>507</v>
      </c>
      <c r="F9211" t="s">
        <v>99</v>
      </c>
      <c r="G9211" t="s">
        <v>620</v>
      </c>
      <c r="H9211" t="str">
        <f>"ΟΜΑΛΟΥ 3 ΧΑΝΙΑ"</f>
        <v>ΟΜΑΛΟΥ 3 ΧΑΝΙΑ</v>
      </c>
      <c r="I9211">
        <v>93100</v>
      </c>
      <c r="J9211">
        <v>2374024475</v>
      </c>
      <c r="K9211">
        <v>6974638787</v>
      </c>
      <c r="M9211" t="s">
        <v>13886</v>
      </c>
      <c r="N9211" t="s">
        <v>615</v>
      </c>
      <c r="O9211" t="s">
        <v>616</v>
      </c>
      <c r="R9211" t="s">
        <v>57</v>
      </c>
      <c r="S9211">
        <v>6</v>
      </c>
      <c r="T9211">
        <v>598</v>
      </c>
      <c r="U9211" s="1">
        <v>39310</v>
      </c>
      <c r="V9211" t="s">
        <v>89</v>
      </c>
      <c r="W9211" t="s">
        <v>90</v>
      </c>
      <c r="X9211" t="s">
        <v>58</v>
      </c>
      <c r="Y9211">
        <v>23</v>
      </c>
      <c r="Z9211" t="s">
        <v>59</v>
      </c>
      <c r="AA9211" t="s">
        <v>59</v>
      </c>
      <c r="AB9211" t="s">
        <v>59</v>
      </c>
      <c r="AC9211" t="s">
        <v>59</v>
      </c>
      <c r="AD9211" t="s">
        <v>59</v>
      </c>
      <c r="AF9211" s="1">
        <v>39310</v>
      </c>
      <c r="AG9211" t="s">
        <v>8645</v>
      </c>
      <c r="AH9211" t="s">
        <v>8646</v>
      </c>
      <c r="AI9211" t="str">
        <f>"9500045"</f>
        <v>9500045</v>
      </c>
      <c r="AJ9211" t="s">
        <v>13887</v>
      </c>
      <c r="AK9211">
        <v>2821044369</v>
      </c>
      <c r="AL9211" t="s">
        <v>13888</v>
      </c>
      <c r="AM9211" t="s">
        <v>88</v>
      </c>
      <c r="AN9211" t="s">
        <v>88</v>
      </c>
      <c r="AO9211" t="s">
        <v>88</v>
      </c>
      <c r="AP9211" t="s">
        <v>88</v>
      </c>
      <c r="AQ9211">
        <v>1</v>
      </c>
      <c r="AR9211" t="s">
        <v>89</v>
      </c>
      <c r="AS9211" t="s">
        <v>90</v>
      </c>
      <c r="AT9211" t="s">
        <v>58</v>
      </c>
      <c r="AU9211" t="s">
        <v>68</v>
      </c>
      <c r="AV9211" t="s">
        <v>1092</v>
      </c>
      <c r="AW9211" s="1">
        <v>30670</v>
      </c>
      <c r="AX9211">
        <v>1</v>
      </c>
    </row>
    <row r="9212" spans="1:50">
      <c r="A9212">
        <v>622253</v>
      </c>
      <c r="B9212" t="str">
        <f>"073431019"</f>
        <v>073431019</v>
      </c>
      <c r="C9212" t="s">
        <v>50</v>
      </c>
      <c r="D9212" t="s">
        <v>13889</v>
      </c>
      <c r="E9212" t="s">
        <v>109</v>
      </c>
      <c r="F9212" t="s">
        <v>4999</v>
      </c>
      <c r="G9212" t="s">
        <v>52</v>
      </c>
      <c r="H9212" t="str">
        <f>"Τ.Θ. 2315  Δ. Κουτρουμπά ΤΣΙΚΑΛΑΡΙΑ"</f>
        <v>Τ.Θ. 2315  Δ. Κουτρουμπά ΤΣΙΚΑΛΑΡΙΑ</v>
      </c>
      <c r="I9212">
        <v>73200</v>
      </c>
      <c r="J9212">
        <v>2821079228</v>
      </c>
      <c r="K9212">
        <v>6936144886</v>
      </c>
      <c r="L9212">
        <v>6936927075</v>
      </c>
      <c r="M9212" t="s">
        <v>13890</v>
      </c>
      <c r="N9212" t="s">
        <v>1525</v>
      </c>
      <c r="O9212" t="s">
        <v>1526</v>
      </c>
      <c r="R9212" t="s">
        <v>57</v>
      </c>
      <c r="S9212">
        <v>5</v>
      </c>
      <c r="T9212">
        <v>653</v>
      </c>
      <c r="U9212" s="1">
        <v>40043</v>
      </c>
      <c r="V9212" t="s">
        <v>89</v>
      </c>
      <c r="W9212" t="s">
        <v>90</v>
      </c>
      <c r="X9212" t="s">
        <v>58</v>
      </c>
      <c r="Y9212">
        <v>25</v>
      </c>
      <c r="Z9212" t="s">
        <v>59</v>
      </c>
      <c r="AA9212" t="s">
        <v>59</v>
      </c>
      <c r="AB9212" t="s">
        <v>59</v>
      </c>
      <c r="AC9212" t="s">
        <v>59</v>
      </c>
      <c r="AD9212" t="s">
        <v>59</v>
      </c>
      <c r="AF9212" s="1">
        <v>40043</v>
      </c>
      <c r="AG9212" t="s">
        <v>8651</v>
      </c>
      <c r="AH9212" t="s">
        <v>8652</v>
      </c>
      <c r="AI9212" t="str">
        <f>"9521606"</f>
        <v>9521606</v>
      </c>
      <c r="AJ9212" t="s">
        <v>13891</v>
      </c>
      <c r="AK9212">
        <v>2821093393</v>
      </c>
      <c r="AL9212" t="s">
        <v>13892</v>
      </c>
      <c r="AM9212" t="s">
        <v>88</v>
      </c>
      <c r="AN9212" t="s">
        <v>88</v>
      </c>
      <c r="AO9212" t="s">
        <v>6733</v>
      </c>
      <c r="AP9212" t="s">
        <v>6755</v>
      </c>
      <c r="AQ9212">
        <v>2</v>
      </c>
      <c r="AR9212" t="s">
        <v>89</v>
      </c>
      <c r="AS9212" t="s">
        <v>90</v>
      </c>
      <c r="AT9212" t="s">
        <v>58</v>
      </c>
      <c r="AU9212" t="s">
        <v>68</v>
      </c>
      <c r="AV9212" t="s">
        <v>69</v>
      </c>
      <c r="AW9212" s="1">
        <v>26179</v>
      </c>
      <c r="AX9212">
        <v>1</v>
      </c>
    </row>
    <row r="9213" spans="1:50">
      <c r="A9213">
        <v>609520</v>
      </c>
      <c r="B9213" t="str">
        <f>"073431068"</f>
        <v>073431068</v>
      </c>
      <c r="C9213" t="s">
        <v>50</v>
      </c>
      <c r="D9213" t="s">
        <v>13889</v>
      </c>
      <c r="E9213" t="s">
        <v>9904</v>
      </c>
      <c r="F9213" t="s">
        <v>315</v>
      </c>
      <c r="G9213" t="s">
        <v>52</v>
      </c>
      <c r="H9213" t="str">
        <f>" "</f>
        <v xml:space="preserve"> </v>
      </c>
      <c r="J9213">
        <v>2821081519</v>
      </c>
      <c r="K9213">
        <v>6973731654</v>
      </c>
      <c r="N9213" t="s">
        <v>615</v>
      </c>
      <c r="O9213" t="s">
        <v>616</v>
      </c>
      <c r="P9213" t="s">
        <v>1525</v>
      </c>
      <c r="Q9213" t="s">
        <v>1526</v>
      </c>
      <c r="R9213" t="s">
        <v>57</v>
      </c>
      <c r="S9213">
        <v>10</v>
      </c>
      <c r="T9213">
        <v>221</v>
      </c>
      <c r="U9213" s="1">
        <v>38601</v>
      </c>
      <c r="V9213" t="s">
        <v>89</v>
      </c>
      <c r="W9213" t="s">
        <v>90</v>
      </c>
      <c r="X9213" t="s">
        <v>58</v>
      </c>
      <c r="Y9213">
        <v>21</v>
      </c>
      <c r="Z9213" t="s">
        <v>59</v>
      </c>
      <c r="AA9213" t="s">
        <v>59</v>
      </c>
      <c r="AB9213" t="s">
        <v>59</v>
      </c>
      <c r="AC9213" t="s">
        <v>59</v>
      </c>
      <c r="AD9213" t="s">
        <v>59</v>
      </c>
      <c r="AF9213" s="1">
        <v>38601</v>
      </c>
      <c r="AG9213" t="s">
        <v>8645</v>
      </c>
      <c r="AH9213" t="s">
        <v>8646</v>
      </c>
      <c r="AI9213" t="str">
        <f>"9500423"</f>
        <v>9500423</v>
      </c>
      <c r="AJ9213" t="s">
        <v>13893</v>
      </c>
      <c r="AK9213">
        <v>2821023473</v>
      </c>
      <c r="AL9213" t="s">
        <v>13894</v>
      </c>
      <c r="AM9213" t="s">
        <v>88</v>
      </c>
      <c r="AN9213" t="s">
        <v>88</v>
      </c>
      <c r="AO9213" t="s">
        <v>88</v>
      </c>
      <c r="AP9213" t="s">
        <v>88</v>
      </c>
      <c r="AQ9213">
        <v>1</v>
      </c>
      <c r="AR9213" t="s">
        <v>89</v>
      </c>
      <c r="AS9213" t="s">
        <v>90</v>
      </c>
      <c r="AT9213" t="s">
        <v>58</v>
      </c>
      <c r="AU9213" t="s">
        <v>68</v>
      </c>
      <c r="AV9213" t="s">
        <v>69</v>
      </c>
      <c r="AW9213" s="1">
        <v>25196</v>
      </c>
      <c r="AX9213">
        <v>1</v>
      </c>
    </row>
    <row r="9214" spans="1:50">
      <c r="B9214" t="str">
        <f>"107739144"</f>
        <v>107739144</v>
      </c>
      <c r="C9214" t="s">
        <v>50</v>
      </c>
      <c r="D9214" t="s">
        <v>13895</v>
      </c>
      <c r="E9214" t="s">
        <v>396</v>
      </c>
      <c r="F9214" t="s">
        <v>13896</v>
      </c>
      <c r="H9214" t="str">
        <f>" "</f>
        <v xml:space="preserve"> </v>
      </c>
      <c r="N9214" t="s">
        <v>8694</v>
      </c>
      <c r="O9214" t="s">
        <v>8695</v>
      </c>
      <c r="R9214" t="s">
        <v>159</v>
      </c>
      <c r="S9214">
        <v>2</v>
      </c>
      <c r="T9214" t="s">
        <v>8696</v>
      </c>
      <c r="U9214" s="1">
        <v>43348</v>
      </c>
      <c r="V9214" t="s">
        <v>89</v>
      </c>
      <c r="W9214" t="s">
        <v>90</v>
      </c>
      <c r="X9214" t="s">
        <v>58</v>
      </c>
      <c r="Y9214">
        <v>24</v>
      </c>
      <c r="Z9214" t="s">
        <v>59</v>
      </c>
      <c r="AA9214" t="s">
        <v>59</v>
      </c>
      <c r="AB9214" t="s">
        <v>59</v>
      </c>
      <c r="AC9214" t="s">
        <v>59</v>
      </c>
      <c r="AD9214" t="s">
        <v>59</v>
      </c>
      <c r="AF9214" s="1">
        <v>43348</v>
      </c>
      <c r="AG9214" t="s">
        <v>8645</v>
      </c>
      <c r="AH9214" t="s">
        <v>8646</v>
      </c>
      <c r="AI9214" t="str">
        <f>"9500004"</f>
        <v>9500004</v>
      </c>
      <c r="AJ9214" t="s">
        <v>13897</v>
      </c>
      <c r="AK9214">
        <v>2825022272</v>
      </c>
      <c r="AL9214" t="s">
        <v>13898</v>
      </c>
      <c r="AM9214" t="s">
        <v>88</v>
      </c>
      <c r="AN9214" t="s">
        <v>6775</v>
      </c>
      <c r="AO9214" t="s">
        <v>6776</v>
      </c>
      <c r="AP9214" t="s">
        <v>6776</v>
      </c>
      <c r="AQ9214">
        <v>7</v>
      </c>
      <c r="AR9214" t="s">
        <v>89</v>
      </c>
      <c r="AS9214" t="s">
        <v>90</v>
      </c>
      <c r="AT9214" t="s">
        <v>58</v>
      </c>
      <c r="AU9214" t="s">
        <v>350</v>
      </c>
      <c r="AV9214" t="s">
        <v>132</v>
      </c>
      <c r="AW9214" s="1">
        <v>33416</v>
      </c>
      <c r="AX9214">
        <v>1</v>
      </c>
    </row>
    <row r="9215" spans="1:50">
      <c r="A9215">
        <v>583928</v>
      </c>
      <c r="B9215" t="str">
        <f>"066839846"</f>
        <v>066839846</v>
      </c>
      <c r="C9215" t="s">
        <v>50</v>
      </c>
      <c r="D9215" t="s">
        <v>248</v>
      </c>
      <c r="E9215" t="s">
        <v>382</v>
      </c>
      <c r="F9215" t="s">
        <v>383</v>
      </c>
      <c r="G9215" t="s">
        <v>4942</v>
      </c>
      <c r="H9215" t="str">
        <f>"Β. ΚΑΤΣΑΝΕΒΑΚΗ 18 ΧΑΛΕΠΑ"</f>
        <v>Β. ΚΑΤΣΑΝΕΒΑΚΗ 18 ΧΑΛΕΠΑ</v>
      </c>
      <c r="I9215">
        <v>73100</v>
      </c>
      <c r="J9215">
        <v>2821054181</v>
      </c>
      <c r="K9215">
        <v>6940885462</v>
      </c>
      <c r="N9215" t="s">
        <v>615</v>
      </c>
      <c r="O9215" t="s">
        <v>616</v>
      </c>
      <c r="R9215" t="s">
        <v>57</v>
      </c>
      <c r="S9215">
        <v>13</v>
      </c>
      <c r="T9215">
        <v>165</v>
      </c>
      <c r="U9215" s="1">
        <v>36040</v>
      </c>
      <c r="V9215" t="s">
        <v>89</v>
      </c>
      <c r="W9215" t="s">
        <v>90</v>
      </c>
      <c r="X9215" t="s">
        <v>58</v>
      </c>
      <c r="Y9215">
        <v>21</v>
      </c>
      <c r="Z9215" t="s">
        <v>59</v>
      </c>
      <c r="AA9215" t="s">
        <v>59</v>
      </c>
      <c r="AB9215" t="s">
        <v>59</v>
      </c>
      <c r="AC9215" t="s">
        <v>59</v>
      </c>
      <c r="AD9215" t="s">
        <v>59</v>
      </c>
      <c r="AF9215" s="1">
        <v>36040</v>
      </c>
      <c r="AG9215" t="s">
        <v>8645</v>
      </c>
      <c r="AH9215" t="s">
        <v>8646</v>
      </c>
      <c r="AI9215" t="str">
        <f>"9500038"</f>
        <v>9500038</v>
      </c>
      <c r="AJ9215" t="s">
        <v>13899</v>
      </c>
      <c r="AK9215">
        <v>2821042407</v>
      </c>
      <c r="AL9215" t="s">
        <v>13900</v>
      </c>
      <c r="AM9215" t="s">
        <v>88</v>
      </c>
      <c r="AN9215" t="s">
        <v>88</v>
      </c>
      <c r="AO9215" t="s">
        <v>88</v>
      </c>
      <c r="AP9215" t="s">
        <v>88</v>
      </c>
      <c r="AQ9215">
        <v>1</v>
      </c>
      <c r="AR9215" t="s">
        <v>89</v>
      </c>
      <c r="AS9215" t="s">
        <v>90</v>
      </c>
      <c r="AT9215" t="s">
        <v>58</v>
      </c>
      <c r="AU9215" t="s">
        <v>68</v>
      </c>
      <c r="AV9215" t="s">
        <v>69</v>
      </c>
      <c r="AW9215" s="1">
        <v>24721</v>
      </c>
      <c r="AX9215">
        <v>1</v>
      </c>
    </row>
    <row r="9216" spans="1:50">
      <c r="A9216">
        <v>619837</v>
      </c>
      <c r="B9216" t="str">
        <f>"113187269"</f>
        <v>113187269</v>
      </c>
      <c r="C9216" t="s">
        <v>50</v>
      </c>
      <c r="D9216" t="s">
        <v>248</v>
      </c>
      <c r="E9216" t="s">
        <v>54</v>
      </c>
      <c r="F9216" t="s">
        <v>383</v>
      </c>
      <c r="G9216" t="s">
        <v>1207</v>
      </c>
      <c r="H9216" t="str">
        <f>" "</f>
        <v xml:space="preserve"> </v>
      </c>
      <c r="J9216">
        <v>2821027408</v>
      </c>
      <c r="K9216">
        <v>6973974045</v>
      </c>
      <c r="N9216" t="s">
        <v>176</v>
      </c>
      <c r="O9216" t="s">
        <v>177</v>
      </c>
      <c r="R9216" t="s">
        <v>57</v>
      </c>
      <c r="S9216">
        <v>6</v>
      </c>
      <c r="T9216">
        <v>775</v>
      </c>
      <c r="U9216" s="1">
        <v>39680</v>
      </c>
      <c r="V9216" t="s">
        <v>89</v>
      </c>
      <c r="W9216" t="s">
        <v>90</v>
      </c>
      <c r="X9216" t="s">
        <v>58</v>
      </c>
      <c r="Y9216">
        <v>23</v>
      </c>
      <c r="Z9216" t="s">
        <v>59</v>
      </c>
      <c r="AA9216" t="s">
        <v>59</v>
      </c>
      <c r="AB9216" t="s">
        <v>59</v>
      </c>
      <c r="AC9216" t="s">
        <v>59</v>
      </c>
      <c r="AD9216" t="s">
        <v>59</v>
      </c>
      <c r="AF9216" s="1">
        <v>39681</v>
      </c>
      <c r="AG9216" t="s">
        <v>60</v>
      </c>
      <c r="AH9216" t="s">
        <v>61</v>
      </c>
      <c r="AI9216" t="str">
        <f>"9000657"</f>
        <v>9000657</v>
      </c>
      <c r="AJ9216" t="s">
        <v>86</v>
      </c>
      <c r="AK9216">
        <v>2821054390</v>
      </c>
      <c r="AL9216" t="s">
        <v>87</v>
      </c>
      <c r="AM9216" t="s">
        <v>88</v>
      </c>
      <c r="AN9216" t="s">
        <v>88</v>
      </c>
      <c r="AO9216" t="s">
        <v>88</v>
      </c>
      <c r="AP9216" t="s">
        <v>88</v>
      </c>
      <c r="AR9216" t="s">
        <v>89</v>
      </c>
      <c r="AS9216" t="s">
        <v>90</v>
      </c>
      <c r="AT9216" t="s">
        <v>58</v>
      </c>
      <c r="AU9216" t="s">
        <v>68</v>
      </c>
      <c r="AV9216" t="s">
        <v>69</v>
      </c>
      <c r="AW9216" s="1">
        <v>26424</v>
      </c>
      <c r="AX9216">
        <v>0</v>
      </c>
    </row>
    <row r="9217" spans="1:50">
      <c r="A9217">
        <v>589966</v>
      </c>
      <c r="B9217" t="str">
        <f>"074843755"</f>
        <v>074843755</v>
      </c>
      <c r="C9217" t="s">
        <v>105</v>
      </c>
      <c r="D9217" t="s">
        <v>13901</v>
      </c>
      <c r="E9217" t="s">
        <v>53</v>
      </c>
      <c r="F9217" t="s">
        <v>383</v>
      </c>
      <c r="G9217" t="s">
        <v>1207</v>
      </c>
      <c r="H9217" t="str">
        <f>" "</f>
        <v xml:space="preserve"> </v>
      </c>
      <c r="J9217">
        <v>2821086585</v>
      </c>
      <c r="K9217">
        <v>6979160572</v>
      </c>
      <c r="L9217">
        <v>2821061267</v>
      </c>
      <c r="M9217" t="s">
        <v>13902</v>
      </c>
      <c r="N9217" t="s">
        <v>176</v>
      </c>
      <c r="O9217" t="s">
        <v>177</v>
      </c>
      <c r="P9217" t="s">
        <v>257</v>
      </c>
      <c r="Q9217" t="s">
        <v>258</v>
      </c>
      <c r="R9217" t="s">
        <v>57</v>
      </c>
      <c r="S9217">
        <v>11</v>
      </c>
      <c r="T9217">
        <v>177</v>
      </c>
      <c r="U9217" s="1">
        <v>36403</v>
      </c>
      <c r="V9217" t="s">
        <v>89</v>
      </c>
      <c r="W9217" t="s">
        <v>90</v>
      </c>
      <c r="X9217" t="s">
        <v>58</v>
      </c>
      <c r="Y9217">
        <v>22</v>
      </c>
      <c r="Z9217" t="s">
        <v>59</v>
      </c>
      <c r="AA9217" t="s">
        <v>59</v>
      </c>
      <c r="AB9217" t="s">
        <v>59</v>
      </c>
      <c r="AC9217" t="s">
        <v>59</v>
      </c>
      <c r="AD9217" t="s">
        <v>59</v>
      </c>
      <c r="AF9217" s="1">
        <v>36403</v>
      </c>
      <c r="AG9217" t="s">
        <v>8645</v>
      </c>
      <c r="AH9217" t="s">
        <v>8646</v>
      </c>
      <c r="AI9217" t="str">
        <f>"9500077"</f>
        <v>9500077</v>
      </c>
      <c r="AJ9217" t="s">
        <v>13903</v>
      </c>
      <c r="AK9217">
        <v>2821054404</v>
      </c>
      <c r="AL9217" t="s">
        <v>13904</v>
      </c>
      <c r="AM9217" t="s">
        <v>88</v>
      </c>
      <c r="AN9217" t="s">
        <v>88</v>
      </c>
      <c r="AO9217" t="s">
        <v>88</v>
      </c>
      <c r="AP9217" t="s">
        <v>88</v>
      </c>
      <c r="AQ9217">
        <v>1</v>
      </c>
      <c r="AR9217" t="s">
        <v>89</v>
      </c>
      <c r="AS9217" t="s">
        <v>90</v>
      </c>
      <c r="AT9217" t="s">
        <v>58</v>
      </c>
      <c r="AU9217" t="s">
        <v>68</v>
      </c>
      <c r="AV9217" t="s">
        <v>69</v>
      </c>
      <c r="AW9217" s="1">
        <v>25874</v>
      </c>
      <c r="AX9217">
        <v>1</v>
      </c>
    </row>
    <row r="9218" spans="1:50">
      <c r="A9218">
        <v>584989</v>
      </c>
      <c r="B9218" t="str">
        <f>"037065687"</f>
        <v>037065687</v>
      </c>
      <c r="C9218" t="s">
        <v>50</v>
      </c>
      <c r="D9218" t="s">
        <v>261</v>
      </c>
      <c r="E9218" t="s">
        <v>13905</v>
      </c>
      <c r="F9218" t="s">
        <v>304</v>
      </c>
      <c r="G9218" t="s">
        <v>1484</v>
      </c>
      <c r="H9218" t="str">
        <f>"ΓΙΑΜΠΟΥΔΑΚΗ 103 ΧΑΝΙΑ"</f>
        <v>ΓΙΑΜΠΟΥΔΑΚΗ 103 ΧΑΝΙΑ</v>
      </c>
      <c r="I9218">
        <v>73134</v>
      </c>
      <c r="J9218">
        <v>2821041277</v>
      </c>
      <c r="K9218">
        <v>6945108748</v>
      </c>
      <c r="N9218" t="s">
        <v>615</v>
      </c>
      <c r="O9218" t="s">
        <v>616</v>
      </c>
      <c r="R9218" t="s">
        <v>57</v>
      </c>
      <c r="S9218">
        <v>11</v>
      </c>
      <c r="T9218">
        <v>165</v>
      </c>
      <c r="U9218" s="1">
        <v>36040</v>
      </c>
      <c r="V9218" t="s">
        <v>89</v>
      </c>
      <c r="W9218" t="s">
        <v>90</v>
      </c>
      <c r="X9218" t="s">
        <v>58</v>
      </c>
      <c r="Y9218">
        <v>21</v>
      </c>
      <c r="Z9218" t="s">
        <v>59</v>
      </c>
      <c r="AA9218" t="s">
        <v>59</v>
      </c>
      <c r="AB9218" t="s">
        <v>59</v>
      </c>
      <c r="AC9218" t="s">
        <v>59</v>
      </c>
      <c r="AD9218" t="s">
        <v>59</v>
      </c>
      <c r="AF9218" s="1">
        <v>36040</v>
      </c>
      <c r="AG9218" t="s">
        <v>8645</v>
      </c>
      <c r="AH9218" t="s">
        <v>8646</v>
      </c>
      <c r="AI9218" t="str">
        <f>"9500040"</f>
        <v>9500040</v>
      </c>
      <c r="AJ9218" t="s">
        <v>13906</v>
      </c>
      <c r="AK9218">
        <v>2821045356</v>
      </c>
      <c r="AL9218" t="s">
        <v>13907</v>
      </c>
      <c r="AM9218" t="s">
        <v>88</v>
      </c>
      <c r="AN9218" t="s">
        <v>88</v>
      </c>
      <c r="AO9218" t="s">
        <v>88</v>
      </c>
      <c r="AP9218" t="s">
        <v>88</v>
      </c>
      <c r="AQ9218">
        <v>1</v>
      </c>
      <c r="AR9218" t="s">
        <v>89</v>
      </c>
      <c r="AS9218" t="s">
        <v>90</v>
      </c>
      <c r="AT9218" t="s">
        <v>58</v>
      </c>
      <c r="AU9218" t="s">
        <v>68</v>
      </c>
      <c r="AV9218" t="s">
        <v>69</v>
      </c>
      <c r="AW9218" s="1">
        <v>24880</v>
      </c>
      <c r="AX9218">
        <v>1</v>
      </c>
    </row>
    <row r="9219" spans="1:50">
      <c r="B9219" t="str">
        <f>"049426163"</f>
        <v>049426163</v>
      </c>
      <c r="C9219" t="s">
        <v>50</v>
      </c>
      <c r="D9219" t="s">
        <v>287</v>
      </c>
      <c r="E9219" t="s">
        <v>237</v>
      </c>
      <c r="F9219" t="s">
        <v>106</v>
      </c>
      <c r="G9219" t="s">
        <v>52</v>
      </c>
      <c r="H9219" t="str">
        <f>"ΑΛΚ. ΑΓΟΡΑΣΤΑΚΗ 33 ΧΑΝΙΑ"</f>
        <v>ΑΛΚ. ΑΓΟΡΑΣΤΑΚΗ 33 ΧΑΝΙΑ</v>
      </c>
      <c r="I9219">
        <v>73133</v>
      </c>
      <c r="J9219">
        <v>2821046193</v>
      </c>
      <c r="K9219">
        <v>6978185039</v>
      </c>
      <c r="N9219" t="s">
        <v>1525</v>
      </c>
      <c r="O9219" t="s">
        <v>1526</v>
      </c>
      <c r="R9219" t="s">
        <v>57</v>
      </c>
      <c r="S9219">
        <v>4</v>
      </c>
      <c r="T9219" t="s">
        <v>8670</v>
      </c>
      <c r="U9219" s="1">
        <v>43348</v>
      </c>
      <c r="V9219" t="s">
        <v>89</v>
      </c>
      <c r="W9219" t="s">
        <v>90</v>
      </c>
      <c r="X9219" t="s">
        <v>58</v>
      </c>
      <c r="Y9219">
        <v>25</v>
      </c>
      <c r="Z9219" t="s">
        <v>59</v>
      </c>
      <c r="AA9219" t="s">
        <v>59</v>
      </c>
      <c r="AB9219" t="s">
        <v>59</v>
      </c>
      <c r="AC9219" t="s">
        <v>59</v>
      </c>
      <c r="AD9219" t="s">
        <v>59</v>
      </c>
      <c r="AF9219" s="1">
        <v>43348</v>
      </c>
      <c r="AG9219" t="s">
        <v>8651</v>
      </c>
      <c r="AH9219" t="s">
        <v>8652</v>
      </c>
      <c r="AI9219" t="str">
        <f>"9500383"</f>
        <v>9500383</v>
      </c>
      <c r="AJ9219" t="s">
        <v>13908</v>
      </c>
      <c r="AK9219">
        <v>2821054010</v>
      </c>
      <c r="AL9219" t="s">
        <v>13909</v>
      </c>
      <c r="AM9219" t="s">
        <v>88</v>
      </c>
      <c r="AN9219" t="s">
        <v>88</v>
      </c>
      <c r="AO9219" t="s">
        <v>88</v>
      </c>
      <c r="AP9219" t="s">
        <v>88</v>
      </c>
      <c r="AQ9219">
        <v>1</v>
      </c>
      <c r="AR9219" t="s">
        <v>89</v>
      </c>
      <c r="AS9219" t="s">
        <v>90</v>
      </c>
      <c r="AT9219" t="s">
        <v>58</v>
      </c>
      <c r="AU9219" t="s">
        <v>8673</v>
      </c>
      <c r="AV9219" t="s">
        <v>132</v>
      </c>
      <c r="AW9219" s="1">
        <v>26809</v>
      </c>
      <c r="AX9219">
        <v>1</v>
      </c>
    </row>
    <row r="9220" spans="1:50">
      <c r="A9220">
        <v>593886</v>
      </c>
      <c r="B9220" t="str">
        <f>"101595028"</f>
        <v>101595028</v>
      </c>
      <c r="C9220" t="s">
        <v>50</v>
      </c>
      <c r="D9220" t="s">
        <v>287</v>
      </c>
      <c r="E9220" t="s">
        <v>755</v>
      </c>
      <c r="F9220" t="s">
        <v>377</v>
      </c>
      <c r="G9220" t="s">
        <v>83</v>
      </c>
      <c r="H9220" t="str">
        <f>"Χ. ΔΑΣΚΑΛΑΚΗ 8 ΧΑΝΙΑ"</f>
        <v>Χ. ΔΑΣΚΑΛΑΚΗ 8 ΧΑΝΙΑ</v>
      </c>
      <c r="I9220">
        <v>73100</v>
      </c>
      <c r="J9220">
        <v>2821052059</v>
      </c>
      <c r="K9220">
        <v>6979818267</v>
      </c>
      <c r="M9220" t="s">
        <v>13910</v>
      </c>
      <c r="N9220" t="s">
        <v>615</v>
      </c>
      <c r="O9220" t="s">
        <v>616</v>
      </c>
      <c r="R9220" t="s">
        <v>57</v>
      </c>
      <c r="S9220">
        <v>9</v>
      </c>
      <c r="T9220">
        <v>218</v>
      </c>
      <c r="U9220" s="1">
        <v>37134</v>
      </c>
      <c r="V9220" t="s">
        <v>89</v>
      </c>
      <c r="W9220" t="s">
        <v>90</v>
      </c>
      <c r="X9220" t="s">
        <v>58</v>
      </c>
      <c r="Y9220">
        <v>22</v>
      </c>
      <c r="Z9220" t="s">
        <v>59</v>
      </c>
      <c r="AA9220" t="s">
        <v>59</v>
      </c>
      <c r="AB9220" t="s">
        <v>59</v>
      </c>
      <c r="AC9220" t="s">
        <v>59</v>
      </c>
      <c r="AD9220" t="s">
        <v>59</v>
      </c>
      <c r="AF9220" s="1">
        <v>37134</v>
      </c>
      <c r="AG9220" t="s">
        <v>8645</v>
      </c>
      <c r="AH9220" t="s">
        <v>8646</v>
      </c>
      <c r="AI9220" t="str">
        <f>"9500045"</f>
        <v>9500045</v>
      </c>
      <c r="AJ9220" t="s">
        <v>13887</v>
      </c>
      <c r="AK9220">
        <v>2821044369</v>
      </c>
      <c r="AL9220" t="s">
        <v>13888</v>
      </c>
      <c r="AM9220" t="s">
        <v>88</v>
      </c>
      <c r="AN9220" t="s">
        <v>88</v>
      </c>
      <c r="AO9220" t="s">
        <v>88</v>
      </c>
      <c r="AP9220" t="s">
        <v>88</v>
      </c>
      <c r="AQ9220">
        <v>1</v>
      </c>
      <c r="AR9220" t="s">
        <v>89</v>
      </c>
      <c r="AS9220" t="s">
        <v>90</v>
      </c>
      <c r="AT9220" t="s">
        <v>58</v>
      </c>
      <c r="AU9220" t="s">
        <v>68</v>
      </c>
      <c r="AV9220" t="s">
        <v>69</v>
      </c>
      <c r="AW9220" s="1">
        <v>25176</v>
      </c>
      <c r="AX9220">
        <v>1</v>
      </c>
    </row>
    <row r="9221" spans="1:50">
      <c r="A9221">
        <v>595243</v>
      </c>
      <c r="B9221" t="str">
        <f>"102154012"</f>
        <v>102154012</v>
      </c>
      <c r="C9221" t="s">
        <v>50</v>
      </c>
      <c r="D9221" t="s">
        <v>13911</v>
      </c>
      <c r="E9221" t="s">
        <v>396</v>
      </c>
      <c r="F9221" t="s">
        <v>383</v>
      </c>
      <c r="G9221" t="s">
        <v>809</v>
      </c>
      <c r="H9221" t="str">
        <f>"ΘΕΟΤΟΚΟΠΟΥΛΟΥ 13 ΑΓ. ΟΝΟΥΦΡΙΟΥ-ΧΑΝΙΑ"</f>
        <v>ΘΕΟΤΟΚΟΠΟΥΛΟΥ 13 ΑΓ. ΟΝΟΥΦΡΙΟΥ-ΧΑΝΙΑ</v>
      </c>
      <c r="I9221">
        <v>73100</v>
      </c>
      <c r="J9221">
        <v>2821064058</v>
      </c>
      <c r="K9221">
        <v>6973019968</v>
      </c>
      <c r="M9221" t="s">
        <v>13912</v>
      </c>
      <c r="N9221" t="s">
        <v>615</v>
      </c>
      <c r="O9221" t="s">
        <v>616</v>
      </c>
      <c r="R9221" t="s">
        <v>57</v>
      </c>
      <c r="S9221">
        <v>8</v>
      </c>
      <c r="T9221">
        <v>218</v>
      </c>
      <c r="U9221" s="1">
        <v>37134</v>
      </c>
      <c r="V9221" t="s">
        <v>89</v>
      </c>
      <c r="W9221" t="s">
        <v>90</v>
      </c>
      <c r="X9221" t="s">
        <v>58</v>
      </c>
      <c r="Y9221">
        <v>22</v>
      </c>
      <c r="Z9221" t="s">
        <v>59</v>
      </c>
      <c r="AA9221" t="s">
        <v>59</v>
      </c>
      <c r="AB9221" t="s">
        <v>59</v>
      </c>
      <c r="AC9221" t="s">
        <v>59</v>
      </c>
      <c r="AD9221" t="s">
        <v>59</v>
      </c>
      <c r="AF9221" s="1">
        <v>37134</v>
      </c>
      <c r="AG9221" t="s">
        <v>8645</v>
      </c>
      <c r="AH9221" t="s">
        <v>8646</v>
      </c>
      <c r="AI9221" t="str">
        <f>"9520693"</f>
        <v>9520693</v>
      </c>
      <c r="AJ9221" t="s">
        <v>13913</v>
      </c>
      <c r="AK9221">
        <v>2821066910</v>
      </c>
      <c r="AL9221" t="s">
        <v>13914</v>
      </c>
      <c r="AM9221" t="s">
        <v>88</v>
      </c>
      <c r="AN9221" t="s">
        <v>88</v>
      </c>
      <c r="AO9221" t="s">
        <v>6770</v>
      </c>
      <c r="AP9221" t="s">
        <v>6771</v>
      </c>
      <c r="AQ9221">
        <v>2</v>
      </c>
      <c r="AR9221" t="s">
        <v>89</v>
      </c>
      <c r="AS9221" t="s">
        <v>90</v>
      </c>
      <c r="AT9221" t="s">
        <v>58</v>
      </c>
      <c r="AU9221" t="s">
        <v>68</v>
      </c>
      <c r="AV9221" t="s">
        <v>69</v>
      </c>
      <c r="AW9221" s="1">
        <v>28719</v>
      </c>
      <c r="AX9221">
        <v>1</v>
      </c>
    </row>
    <row r="9222" spans="1:50">
      <c r="A9222">
        <v>581540</v>
      </c>
      <c r="B9222" t="str">
        <f>"120240917"</f>
        <v>120240917</v>
      </c>
      <c r="C9222" t="s">
        <v>50</v>
      </c>
      <c r="D9222" t="s">
        <v>13915</v>
      </c>
      <c r="E9222" t="s">
        <v>73</v>
      </c>
      <c r="F9222" t="s">
        <v>84</v>
      </c>
      <c r="G9222" t="s">
        <v>83</v>
      </c>
      <c r="H9222" t="str">
        <f>" "</f>
        <v xml:space="preserve"> </v>
      </c>
      <c r="J9222">
        <v>2821046195</v>
      </c>
      <c r="K9222">
        <v>6977065985</v>
      </c>
      <c r="M9222" t="s">
        <v>13916</v>
      </c>
      <c r="N9222" t="s">
        <v>615</v>
      </c>
      <c r="O9222" t="s">
        <v>616</v>
      </c>
      <c r="R9222" t="s">
        <v>57</v>
      </c>
      <c r="S9222">
        <v>13</v>
      </c>
      <c r="T9222">
        <v>179</v>
      </c>
      <c r="U9222" s="1">
        <v>35674</v>
      </c>
      <c r="V9222" t="s">
        <v>89</v>
      </c>
      <c r="W9222" t="s">
        <v>90</v>
      </c>
      <c r="X9222" t="s">
        <v>58</v>
      </c>
      <c r="Y9222">
        <v>21</v>
      </c>
      <c r="Z9222" t="s">
        <v>59</v>
      </c>
      <c r="AA9222" t="s">
        <v>59</v>
      </c>
      <c r="AB9222" t="s">
        <v>59</v>
      </c>
      <c r="AC9222" t="s">
        <v>59</v>
      </c>
      <c r="AD9222" t="s">
        <v>59</v>
      </c>
      <c r="AF9222" s="1">
        <v>35674</v>
      </c>
      <c r="AG9222" t="s">
        <v>8645</v>
      </c>
      <c r="AH9222" t="s">
        <v>8646</v>
      </c>
      <c r="AI9222" t="str">
        <f>"9500045"</f>
        <v>9500045</v>
      </c>
      <c r="AJ9222" t="s">
        <v>13887</v>
      </c>
      <c r="AK9222">
        <v>2821044369</v>
      </c>
      <c r="AL9222" t="s">
        <v>13888</v>
      </c>
      <c r="AM9222" t="s">
        <v>88</v>
      </c>
      <c r="AN9222" t="s">
        <v>88</v>
      </c>
      <c r="AO9222" t="s">
        <v>88</v>
      </c>
      <c r="AP9222" t="s">
        <v>88</v>
      </c>
      <c r="AQ9222">
        <v>1</v>
      </c>
      <c r="AR9222" t="s">
        <v>89</v>
      </c>
      <c r="AS9222" t="s">
        <v>90</v>
      </c>
      <c r="AT9222" t="s">
        <v>58</v>
      </c>
      <c r="AU9222" t="s">
        <v>68</v>
      </c>
      <c r="AV9222" t="s">
        <v>69</v>
      </c>
      <c r="AW9222" s="1">
        <v>24499</v>
      </c>
      <c r="AX9222">
        <v>1</v>
      </c>
    </row>
    <row r="9223" spans="1:50">
      <c r="B9223" t="str">
        <f>"149139165"</f>
        <v>149139165</v>
      </c>
      <c r="C9223" t="s">
        <v>50</v>
      </c>
      <c r="D9223" t="s">
        <v>13915</v>
      </c>
      <c r="E9223" t="s">
        <v>83</v>
      </c>
      <c r="F9223" t="s">
        <v>936</v>
      </c>
      <c r="G9223" t="s">
        <v>440</v>
      </c>
      <c r="H9223" t="str">
        <f>" "</f>
        <v xml:space="preserve"> </v>
      </c>
      <c r="N9223" t="s">
        <v>683</v>
      </c>
      <c r="O9223" t="s">
        <v>684</v>
      </c>
      <c r="R9223" t="s">
        <v>121</v>
      </c>
      <c r="S9223">
        <v>1</v>
      </c>
      <c r="T9223" t="s">
        <v>8675</v>
      </c>
      <c r="U9223" s="1">
        <v>43348</v>
      </c>
      <c r="V9223" t="s">
        <v>89</v>
      </c>
      <c r="W9223" t="s">
        <v>90</v>
      </c>
      <c r="X9223" t="s">
        <v>58</v>
      </c>
      <c r="Y9223">
        <v>24</v>
      </c>
      <c r="Z9223" t="s">
        <v>59</v>
      </c>
      <c r="AD9223" t="s">
        <v>59</v>
      </c>
      <c r="AF9223" s="1">
        <v>43348</v>
      </c>
      <c r="AG9223" t="s">
        <v>8645</v>
      </c>
      <c r="AH9223" t="s">
        <v>8646</v>
      </c>
      <c r="AI9223" t="str">
        <f>"9520693"</f>
        <v>9520693</v>
      </c>
      <c r="AJ9223" t="s">
        <v>13913</v>
      </c>
      <c r="AK9223">
        <v>2821066910</v>
      </c>
      <c r="AL9223" t="s">
        <v>13914</v>
      </c>
      <c r="AM9223" t="s">
        <v>88</v>
      </c>
      <c r="AN9223" t="s">
        <v>88</v>
      </c>
      <c r="AO9223" t="s">
        <v>6770</v>
      </c>
      <c r="AP9223" t="s">
        <v>6771</v>
      </c>
      <c r="AQ9223">
        <v>2</v>
      </c>
      <c r="AR9223" t="s">
        <v>89</v>
      </c>
      <c r="AS9223" t="s">
        <v>90</v>
      </c>
      <c r="AT9223" t="s">
        <v>58</v>
      </c>
      <c r="AU9223" t="s">
        <v>8673</v>
      </c>
      <c r="AV9223" t="s">
        <v>132</v>
      </c>
      <c r="AW9223" s="1">
        <v>32143</v>
      </c>
      <c r="AX9223">
        <v>1</v>
      </c>
    </row>
    <row r="9224" spans="1:50">
      <c r="A9224">
        <v>602104</v>
      </c>
      <c r="B9224" t="str">
        <f>"113195430"</f>
        <v>113195430</v>
      </c>
      <c r="C9224" t="s">
        <v>50</v>
      </c>
      <c r="D9224" t="s">
        <v>313</v>
      </c>
      <c r="E9224" t="s">
        <v>155</v>
      </c>
      <c r="F9224" t="s">
        <v>589</v>
      </c>
      <c r="G9224" t="s">
        <v>5434</v>
      </c>
      <c r="H9224" t="str">
        <f>" "</f>
        <v xml:space="preserve"> </v>
      </c>
      <c r="J9224">
        <v>2821051664</v>
      </c>
      <c r="K9224">
        <v>6973383223</v>
      </c>
      <c r="N9224" t="s">
        <v>615</v>
      </c>
      <c r="O9224" t="s">
        <v>616</v>
      </c>
      <c r="R9224" t="s">
        <v>57</v>
      </c>
      <c r="S9224">
        <v>10</v>
      </c>
      <c r="T9224" t="s">
        <v>13917</v>
      </c>
      <c r="U9224" s="1">
        <v>37866</v>
      </c>
      <c r="V9224" t="s">
        <v>89</v>
      </c>
      <c r="W9224" t="s">
        <v>90</v>
      </c>
      <c r="X9224" t="s">
        <v>58</v>
      </c>
      <c r="Y9224">
        <v>22</v>
      </c>
      <c r="Z9224" t="s">
        <v>59</v>
      </c>
      <c r="AA9224" t="s">
        <v>59</v>
      </c>
      <c r="AB9224" t="s">
        <v>59</v>
      </c>
      <c r="AC9224" t="s">
        <v>59</v>
      </c>
      <c r="AD9224" t="s">
        <v>59</v>
      </c>
      <c r="AF9224" s="1">
        <v>37866</v>
      </c>
      <c r="AG9224" t="s">
        <v>8645</v>
      </c>
      <c r="AH9224" t="s">
        <v>8646</v>
      </c>
      <c r="AI9224" t="str">
        <f>"9500107"</f>
        <v>9500107</v>
      </c>
      <c r="AJ9224" t="s">
        <v>13918</v>
      </c>
      <c r="AK9224">
        <v>2821096244</v>
      </c>
      <c r="AL9224" t="s">
        <v>13919</v>
      </c>
      <c r="AM9224" t="s">
        <v>88</v>
      </c>
      <c r="AN9224" t="s">
        <v>88</v>
      </c>
      <c r="AO9224" t="s">
        <v>13920</v>
      </c>
      <c r="AP9224" t="s">
        <v>13921</v>
      </c>
      <c r="AQ9224">
        <v>3</v>
      </c>
      <c r="AR9224" t="s">
        <v>89</v>
      </c>
      <c r="AS9224" t="s">
        <v>90</v>
      </c>
      <c r="AT9224" t="s">
        <v>58</v>
      </c>
      <c r="AU9224" t="s">
        <v>68</v>
      </c>
      <c r="AV9224" t="s">
        <v>69</v>
      </c>
      <c r="AW9224" s="1">
        <v>29221</v>
      </c>
      <c r="AX9224">
        <v>1</v>
      </c>
    </row>
    <row r="9225" spans="1:50">
      <c r="B9225" t="str">
        <f>"073731495"</f>
        <v>073731495</v>
      </c>
      <c r="C9225" t="s">
        <v>50</v>
      </c>
      <c r="D9225" t="s">
        <v>320</v>
      </c>
      <c r="E9225" t="s">
        <v>931</v>
      </c>
      <c r="F9225" t="s">
        <v>72</v>
      </c>
      <c r="H9225" t="str">
        <f>" "</f>
        <v xml:space="preserve"> </v>
      </c>
      <c r="N9225" t="s">
        <v>683</v>
      </c>
      <c r="O9225" t="s">
        <v>684</v>
      </c>
      <c r="R9225" t="s">
        <v>159</v>
      </c>
      <c r="S9225">
        <v>1</v>
      </c>
      <c r="T9225" t="s">
        <v>8675</v>
      </c>
      <c r="U9225" s="1">
        <v>43348</v>
      </c>
      <c r="V9225" t="s">
        <v>89</v>
      </c>
      <c r="W9225" t="s">
        <v>90</v>
      </c>
      <c r="X9225" t="s">
        <v>58</v>
      </c>
      <c r="Y9225">
        <v>24</v>
      </c>
      <c r="Z9225" t="s">
        <v>59</v>
      </c>
      <c r="AA9225" t="s">
        <v>59</v>
      </c>
      <c r="AB9225" t="s">
        <v>59</v>
      </c>
      <c r="AC9225" t="s">
        <v>59</v>
      </c>
      <c r="AD9225" t="s">
        <v>59</v>
      </c>
      <c r="AF9225" s="1">
        <v>43348</v>
      </c>
      <c r="AG9225" t="s">
        <v>8645</v>
      </c>
      <c r="AH9225" t="s">
        <v>8646</v>
      </c>
      <c r="AI9225" t="str">
        <f>"9500167"</f>
        <v>9500167</v>
      </c>
      <c r="AJ9225" t="s">
        <v>13922</v>
      </c>
      <c r="AK9225">
        <v>2821068357</v>
      </c>
      <c r="AL9225" t="s">
        <v>13923</v>
      </c>
      <c r="AM9225" t="s">
        <v>88</v>
      </c>
      <c r="AN9225" t="s">
        <v>6764</v>
      </c>
      <c r="AO9225" t="s">
        <v>6764</v>
      </c>
      <c r="AP9225" t="s">
        <v>6764</v>
      </c>
      <c r="AQ9225">
        <v>5</v>
      </c>
      <c r="AR9225" t="s">
        <v>89</v>
      </c>
      <c r="AS9225" t="s">
        <v>90</v>
      </c>
      <c r="AT9225" t="s">
        <v>58</v>
      </c>
      <c r="AU9225" t="s">
        <v>8673</v>
      </c>
      <c r="AV9225" t="s">
        <v>132</v>
      </c>
      <c r="AW9225" s="1">
        <v>27083</v>
      </c>
      <c r="AX9225">
        <v>1</v>
      </c>
    </row>
    <row r="9226" spans="1:50">
      <c r="A9226">
        <v>701958</v>
      </c>
      <c r="B9226" t="str">
        <f>"146313560"</f>
        <v>146313560</v>
      </c>
      <c r="C9226" t="s">
        <v>50</v>
      </c>
      <c r="D9226" t="s">
        <v>6804</v>
      </c>
      <c r="E9226" t="s">
        <v>96</v>
      </c>
      <c r="F9226" t="s">
        <v>1679</v>
      </c>
      <c r="G9226" t="s">
        <v>263</v>
      </c>
      <c r="H9226" t="str">
        <f>"ΣΕΛΙΝΟΥ 82 ΧΑΝΙΑ"</f>
        <v>ΣΕΛΙΝΟΥ 82 ΧΑΝΙΑ</v>
      </c>
      <c r="I9226">
        <v>73131</v>
      </c>
      <c r="K9226">
        <v>6978220741</v>
      </c>
      <c r="N9226" t="s">
        <v>1525</v>
      </c>
      <c r="O9226" t="s">
        <v>1526</v>
      </c>
      <c r="R9226" t="s">
        <v>57</v>
      </c>
      <c r="S9226">
        <v>4</v>
      </c>
      <c r="T9226">
        <v>772</v>
      </c>
      <c r="U9226" s="1">
        <v>40413</v>
      </c>
      <c r="V9226" t="s">
        <v>89</v>
      </c>
      <c r="W9226" t="s">
        <v>90</v>
      </c>
      <c r="X9226" t="s">
        <v>58</v>
      </c>
      <c r="Y9226">
        <v>25</v>
      </c>
      <c r="Z9226" t="s">
        <v>59</v>
      </c>
      <c r="AA9226" t="s">
        <v>59</v>
      </c>
      <c r="AB9226" t="s">
        <v>59</v>
      </c>
      <c r="AC9226" t="s">
        <v>59</v>
      </c>
      <c r="AD9226" t="s">
        <v>59</v>
      </c>
      <c r="AF9226" s="1">
        <v>40413</v>
      </c>
      <c r="AG9226" t="s">
        <v>8651</v>
      </c>
      <c r="AH9226" t="s">
        <v>8652</v>
      </c>
      <c r="AI9226" t="str">
        <f>"9500007"</f>
        <v>9500007</v>
      </c>
      <c r="AJ9226" t="s">
        <v>13924</v>
      </c>
      <c r="AK9226">
        <v>2825051704</v>
      </c>
      <c r="AL9226" t="s">
        <v>13925</v>
      </c>
      <c r="AM9226" t="s">
        <v>88</v>
      </c>
      <c r="AN9226" t="s">
        <v>6775</v>
      </c>
      <c r="AO9226" t="s">
        <v>6781</v>
      </c>
      <c r="AP9226" t="s">
        <v>6782</v>
      </c>
      <c r="AQ9226">
        <v>8</v>
      </c>
      <c r="AR9226" t="s">
        <v>89</v>
      </c>
      <c r="AS9226" t="s">
        <v>90</v>
      </c>
      <c r="AT9226" t="s">
        <v>58</v>
      </c>
      <c r="AU9226" t="s">
        <v>68</v>
      </c>
      <c r="AV9226" t="s">
        <v>69</v>
      </c>
      <c r="AW9226" s="1">
        <v>31033</v>
      </c>
      <c r="AX9226">
        <v>1</v>
      </c>
    </row>
    <row r="9227" spans="1:50">
      <c r="B9227" t="str">
        <f>"145511007"</f>
        <v>145511007</v>
      </c>
      <c r="C9227" t="s">
        <v>105</v>
      </c>
      <c r="D9227" t="s">
        <v>13926</v>
      </c>
      <c r="E9227" t="s">
        <v>450</v>
      </c>
      <c r="F9227" t="s">
        <v>309</v>
      </c>
      <c r="G9227" t="s">
        <v>98</v>
      </c>
      <c r="H9227" t="str">
        <f>"ΗΡΑΚΛΕΙΑΣ 11 "</f>
        <v xml:space="preserve">ΗΡΑΚΛΕΙΑΣ 11 </v>
      </c>
      <c r="I9227">
        <v>65404</v>
      </c>
      <c r="J9227">
        <v>2510245942</v>
      </c>
      <c r="K9227">
        <v>6976603698</v>
      </c>
      <c r="N9227" t="s">
        <v>615</v>
      </c>
      <c r="O9227" t="s">
        <v>616</v>
      </c>
      <c r="R9227" t="s">
        <v>159</v>
      </c>
      <c r="S9227">
        <v>2</v>
      </c>
      <c r="T9227" t="s">
        <v>8675</v>
      </c>
      <c r="U9227" s="1">
        <v>43348</v>
      </c>
      <c r="V9227" t="s">
        <v>89</v>
      </c>
      <c r="W9227" t="s">
        <v>90</v>
      </c>
      <c r="X9227" t="s">
        <v>58</v>
      </c>
      <c r="Y9227">
        <v>24</v>
      </c>
      <c r="Z9227" t="s">
        <v>59</v>
      </c>
      <c r="AA9227" t="s">
        <v>59</v>
      </c>
      <c r="AB9227" t="s">
        <v>59</v>
      </c>
      <c r="AC9227" t="s">
        <v>59</v>
      </c>
      <c r="AD9227" t="s">
        <v>59</v>
      </c>
      <c r="AF9227" s="1">
        <v>43348</v>
      </c>
      <c r="AG9227" t="s">
        <v>8645</v>
      </c>
      <c r="AH9227" t="s">
        <v>8646</v>
      </c>
      <c r="AI9227" t="str">
        <f>"9500009"</f>
        <v>9500009</v>
      </c>
      <c r="AJ9227" t="s">
        <v>13927</v>
      </c>
      <c r="AK9227">
        <v>2825061346</v>
      </c>
      <c r="AL9227" t="s">
        <v>13928</v>
      </c>
      <c r="AM9227" t="s">
        <v>88</v>
      </c>
      <c r="AN9227" t="s">
        <v>6775</v>
      </c>
      <c r="AO9227" t="s">
        <v>13929</v>
      </c>
      <c r="AP9227" t="s">
        <v>13929</v>
      </c>
      <c r="AQ9227">
        <v>8</v>
      </c>
      <c r="AR9227" t="s">
        <v>89</v>
      </c>
      <c r="AS9227" t="s">
        <v>90</v>
      </c>
      <c r="AT9227" t="s">
        <v>58</v>
      </c>
      <c r="AU9227" t="s">
        <v>8673</v>
      </c>
      <c r="AV9227" t="s">
        <v>132</v>
      </c>
      <c r="AW9227" s="1">
        <v>32577</v>
      </c>
      <c r="AX9227">
        <v>1</v>
      </c>
    </row>
    <row r="9228" spans="1:50">
      <c r="A9228">
        <v>602878</v>
      </c>
      <c r="B9228" t="str">
        <f>"036005355"</f>
        <v>036005355</v>
      </c>
      <c r="C9228" t="s">
        <v>50</v>
      </c>
      <c r="D9228" t="s">
        <v>8733</v>
      </c>
      <c r="E9228" t="s">
        <v>109</v>
      </c>
      <c r="F9228" t="s">
        <v>53</v>
      </c>
      <c r="G9228" t="s">
        <v>705</v>
      </c>
      <c r="H9228" t="str">
        <f>"ΓΑΛΑΤΑΣ ΝΕΑΣ ΚΥΔΩΝΙΑΣ ΧΑΝΙΑ-ΝΕΑ ΚΥΔΩΝΙΑ"</f>
        <v>ΓΑΛΑΤΑΣ ΝΕΑΣ ΚΥΔΩΝΙΑΣ ΧΑΝΙΑ-ΝΕΑ ΚΥΔΩΝΙΑ</v>
      </c>
      <c r="I9228">
        <v>73100</v>
      </c>
      <c r="J9228">
        <v>2821032670</v>
      </c>
      <c r="N9228" t="s">
        <v>1525</v>
      </c>
      <c r="O9228" t="s">
        <v>1526</v>
      </c>
      <c r="R9228" t="s">
        <v>57</v>
      </c>
      <c r="S9228">
        <v>11</v>
      </c>
      <c r="T9228">
        <v>207</v>
      </c>
      <c r="U9228" s="1">
        <v>37866</v>
      </c>
      <c r="V9228" t="s">
        <v>89</v>
      </c>
      <c r="W9228" t="s">
        <v>90</v>
      </c>
      <c r="X9228" t="s">
        <v>58</v>
      </c>
      <c r="Y9228">
        <v>25</v>
      </c>
      <c r="Z9228" t="s">
        <v>59</v>
      </c>
      <c r="AA9228" t="s">
        <v>59</v>
      </c>
      <c r="AB9228" t="s">
        <v>59</v>
      </c>
      <c r="AC9228" t="s">
        <v>59</v>
      </c>
      <c r="AD9228" t="s">
        <v>59</v>
      </c>
      <c r="AF9228" s="1">
        <v>37868</v>
      </c>
      <c r="AG9228" t="s">
        <v>8651</v>
      </c>
      <c r="AH9228" t="s">
        <v>8652</v>
      </c>
      <c r="AI9228" t="str">
        <f>"9500366"</f>
        <v>9500366</v>
      </c>
      <c r="AJ9228" t="s">
        <v>13930</v>
      </c>
      <c r="AK9228">
        <v>2821032585</v>
      </c>
      <c r="AL9228" t="s">
        <v>13931</v>
      </c>
      <c r="AM9228" t="s">
        <v>88</v>
      </c>
      <c r="AN9228" t="s">
        <v>88</v>
      </c>
      <c r="AO9228" t="s">
        <v>6785</v>
      </c>
      <c r="AP9228" t="s">
        <v>13932</v>
      </c>
      <c r="AQ9228">
        <v>3</v>
      </c>
      <c r="AR9228" t="s">
        <v>89</v>
      </c>
      <c r="AS9228" t="s">
        <v>90</v>
      </c>
      <c r="AT9228" t="s">
        <v>58</v>
      </c>
      <c r="AU9228" t="s">
        <v>68</v>
      </c>
      <c r="AV9228" t="s">
        <v>69</v>
      </c>
      <c r="AW9228" s="1">
        <v>24833</v>
      </c>
      <c r="AX9228">
        <v>1</v>
      </c>
    </row>
    <row r="9229" spans="1:50">
      <c r="A9229">
        <v>581020</v>
      </c>
      <c r="B9229" t="str">
        <f>"066839385"</f>
        <v>066839385</v>
      </c>
      <c r="C9229" t="s">
        <v>50</v>
      </c>
      <c r="D9229" t="s">
        <v>8733</v>
      </c>
      <c r="E9229" t="s">
        <v>215</v>
      </c>
      <c r="F9229" t="s">
        <v>166</v>
      </c>
      <c r="G9229" t="s">
        <v>513</v>
      </c>
      <c r="H9229" t="str">
        <f>"ΛΑΚΚΩΝ 10 ΧΑΛΕΠΑ"</f>
        <v>ΛΑΚΚΩΝ 10 ΧΑΛΕΠΑ</v>
      </c>
      <c r="I9229">
        <v>73100</v>
      </c>
      <c r="J9229">
        <v>2821050682</v>
      </c>
      <c r="K9229">
        <v>6978872444</v>
      </c>
      <c r="M9229" t="s">
        <v>13933</v>
      </c>
      <c r="N9229" t="s">
        <v>615</v>
      </c>
      <c r="O9229" t="s">
        <v>616</v>
      </c>
      <c r="R9229" t="s">
        <v>57</v>
      </c>
      <c r="S9229">
        <v>12</v>
      </c>
      <c r="T9229">
        <v>179</v>
      </c>
      <c r="U9229" s="1">
        <v>35674</v>
      </c>
      <c r="V9229" t="s">
        <v>89</v>
      </c>
      <c r="W9229" t="s">
        <v>90</v>
      </c>
      <c r="X9229" t="s">
        <v>58</v>
      </c>
      <c r="Y9229">
        <v>21</v>
      </c>
      <c r="Z9229" t="s">
        <v>59</v>
      </c>
      <c r="AA9229" t="s">
        <v>59</v>
      </c>
      <c r="AB9229" t="s">
        <v>59</v>
      </c>
      <c r="AC9229" t="s">
        <v>59</v>
      </c>
      <c r="AD9229" t="s">
        <v>59</v>
      </c>
      <c r="AF9229" s="1">
        <v>35674</v>
      </c>
      <c r="AG9229" t="s">
        <v>8645</v>
      </c>
      <c r="AH9229" t="s">
        <v>8646</v>
      </c>
      <c r="AI9229" t="str">
        <f>"9500045"</f>
        <v>9500045</v>
      </c>
      <c r="AJ9229" t="s">
        <v>13887</v>
      </c>
      <c r="AK9229">
        <v>2821044369</v>
      </c>
      <c r="AL9229" t="s">
        <v>13888</v>
      </c>
      <c r="AM9229" t="s">
        <v>88</v>
      </c>
      <c r="AN9229" t="s">
        <v>88</v>
      </c>
      <c r="AO9229" t="s">
        <v>88</v>
      </c>
      <c r="AP9229" t="s">
        <v>88</v>
      </c>
      <c r="AQ9229">
        <v>1</v>
      </c>
      <c r="AR9229" t="s">
        <v>89</v>
      </c>
      <c r="AS9229" t="s">
        <v>90</v>
      </c>
      <c r="AT9229" t="s">
        <v>58</v>
      </c>
      <c r="AU9229" t="s">
        <v>68</v>
      </c>
      <c r="AV9229" t="s">
        <v>69</v>
      </c>
      <c r="AW9229" s="1">
        <v>24418</v>
      </c>
      <c r="AX9229">
        <v>1</v>
      </c>
    </row>
    <row r="9230" spans="1:50">
      <c r="A9230">
        <v>612474</v>
      </c>
      <c r="B9230" t="str">
        <f>"057529441"</f>
        <v>057529441</v>
      </c>
      <c r="C9230" t="s">
        <v>105</v>
      </c>
      <c r="D9230" t="s">
        <v>13934</v>
      </c>
      <c r="E9230" t="s">
        <v>95</v>
      </c>
      <c r="F9230" t="s">
        <v>72</v>
      </c>
      <c r="G9230" t="s">
        <v>71</v>
      </c>
      <c r="H9230" t="str">
        <f>"ΑΓ.ΠΑΝΤΕΛΕΗΜΟΝΑ 11 ΜΟΥΡΝΙΕΣ"</f>
        <v>ΑΓ.ΠΑΝΤΕΛΕΗΜΟΝΑ 11 ΜΟΥΡΝΙΕΣ</v>
      </c>
      <c r="I9230">
        <v>73300</v>
      </c>
      <c r="J9230">
        <v>2821088243</v>
      </c>
      <c r="K9230">
        <v>6947155423</v>
      </c>
      <c r="N9230" t="s">
        <v>176</v>
      </c>
      <c r="O9230" t="s">
        <v>177</v>
      </c>
      <c r="R9230" t="s">
        <v>57</v>
      </c>
      <c r="S9230">
        <v>8</v>
      </c>
      <c r="T9230">
        <v>234</v>
      </c>
      <c r="U9230" s="1">
        <v>38960</v>
      </c>
      <c r="V9230" t="s">
        <v>89</v>
      </c>
      <c r="W9230" t="s">
        <v>90</v>
      </c>
      <c r="X9230" t="s">
        <v>58</v>
      </c>
      <c r="Y9230">
        <v>22</v>
      </c>
      <c r="Z9230" t="s">
        <v>59</v>
      </c>
      <c r="AA9230" t="s">
        <v>59</v>
      </c>
      <c r="AB9230" t="s">
        <v>59</v>
      </c>
      <c r="AC9230" t="s">
        <v>59</v>
      </c>
      <c r="AD9230" t="s">
        <v>59</v>
      </c>
      <c r="AF9230" s="1">
        <v>38960</v>
      </c>
      <c r="AG9230" t="s">
        <v>8645</v>
      </c>
      <c r="AH9230" t="s">
        <v>8646</v>
      </c>
      <c r="AI9230" t="str">
        <f>"9500113"</f>
        <v>9500113</v>
      </c>
      <c r="AJ9230" t="s">
        <v>13935</v>
      </c>
      <c r="AK9230">
        <v>2821077187</v>
      </c>
      <c r="AL9230" t="s">
        <v>13936</v>
      </c>
      <c r="AM9230" t="s">
        <v>88</v>
      </c>
      <c r="AN9230" t="s">
        <v>6764</v>
      </c>
      <c r="AO9230" t="s">
        <v>6885</v>
      </c>
      <c r="AP9230" t="s">
        <v>13937</v>
      </c>
      <c r="AQ9230">
        <v>4</v>
      </c>
      <c r="AR9230" t="s">
        <v>89</v>
      </c>
      <c r="AS9230" t="s">
        <v>90</v>
      </c>
      <c r="AT9230" t="s">
        <v>58</v>
      </c>
      <c r="AU9230" t="s">
        <v>68</v>
      </c>
      <c r="AV9230" t="s">
        <v>69</v>
      </c>
      <c r="AW9230" s="1">
        <v>25564</v>
      </c>
      <c r="AX9230">
        <v>1</v>
      </c>
    </row>
    <row r="9231" spans="1:50">
      <c r="A9231">
        <v>601228</v>
      </c>
      <c r="B9231" t="str">
        <f>"047560020"</f>
        <v>047560020</v>
      </c>
      <c r="C9231" t="s">
        <v>105</v>
      </c>
      <c r="D9231" t="s">
        <v>13938</v>
      </c>
      <c r="E9231" t="s">
        <v>670</v>
      </c>
      <c r="F9231" t="s">
        <v>6169</v>
      </c>
      <c r="G9231" t="s">
        <v>589</v>
      </c>
      <c r="H9231" t="str">
        <f>"Λ. ΚΑΡΑΓΙΑΝΝΗ 1 ΠΑΝΟΡΑΜΑ ΘΕΣΣΑΛΟΝΙΚΗΣ"</f>
        <v>Λ. ΚΑΡΑΓΙΑΝΝΗ 1 ΠΑΝΟΡΑΜΑ ΘΕΣΣΑΛΟΝΙΚΗΣ</v>
      </c>
      <c r="J9231">
        <v>2310342391</v>
      </c>
      <c r="K9231">
        <v>6977592015</v>
      </c>
      <c r="N9231" t="s">
        <v>615</v>
      </c>
      <c r="O9231" t="s">
        <v>616</v>
      </c>
      <c r="R9231" t="s">
        <v>57</v>
      </c>
      <c r="S9231">
        <v>8</v>
      </c>
      <c r="T9231">
        <v>207</v>
      </c>
      <c r="U9231" s="1">
        <v>37866</v>
      </c>
      <c r="V9231" t="s">
        <v>89</v>
      </c>
      <c r="W9231" t="s">
        <v>90</v>
      </c>
      <c r="X9231" t="s">
        <v>58</v>
      </c>
      <c r="Y9231">
        <v>22</v>
      </c>
      <c r="Z9231" t="s">
        <v>59</v>
      </c>
      <c r="AA9231" t="s">
        <v>59</v>
      </c>
      <c r="AB9231" t="s">
        <v>59</v>
      </c>
      <c r="AC9231" t="s">
        <v>59</v>
      </c>
      <c r="AD9231" t="s">
        <v>59</v>
      </c>
      <c r="AF9231" s="1">
        <v>37866</v>
      </c>
      <c r="AG9231" t="s">
        <v>8645</v>
      </c>
      <c r="AH9231" t="s">
        <v>8646</v>
      </c>
      <c r="AI9231" t="str">
        <f>"9500359"</f>
        <v>9500359</v>
      </c>
      <c r="AJ9231" t="s">
        <v>13939</v>
      </c>
      <c r="AK9231">
        <v>2821095778</v>
      </c>
      <c r="AL9231" t="s">
        <v>13940</v>
      </c>
      <c r="AM9231" t="s">
        <v>88</v>
      </c>
      <c r="AN9231" t="s">
        <v>88</v>
      </c>
      <c r="AO9231" t="s">
        <v>6733</v>
      </c>
      <c r="AP9231" t="s">
        <v>6755</v>
      </c>
      <c r="AQ9231">
        <v>2</v>
      </c>
      <c r="AR9231" t="s">
        <v>89</v>
      </c>
      <c r="AS9231" t="s">
        <v>90</v>
      </c>
      <c r="AT9231" t="s">
        <v>58</v>
      </c>
      <c r="AU9231" t="s">
        <v>68</v>
      </c>
      <c r="AV9231" t="s">
        <v>69</v>
      </c>
      <c r="AW9231" s="1">
        <v>25972</v>
      </c>
      <c r="AX9231">
        <v>1</v>
      </c>
    </row>
    <row r="9232" spans="1:50">
      <c r="B9232" t="str">
        <f>"054144639"</f>
        <v>054144639</v>
      </c>
      <c r="C9232" t="s">
        <v>50</v>
      </c>
      <c r="D9232" t="s">
        <v>433</v>
      </c>
      <c r="E9232" t="s">
        <v>237</v>
      </c>
      <c r="F9232" t="s">
        <v>900</v>
      </c>
      <c r="G9232" t="s">
        <v>610</v>
      </c>
      <c r="H9232" t="str">
        <f>"ΓΛΑΡΟΣ Ν. ΚΥΔΩΝΙΑΣ "</f>
        <v xml:space="preserve">ΓΛΑΡΟΣ Ν. ΚΥΔΩΝΙΑΣ </v>
      </c>
      <c r="I9232">
        <v>73100</v>
      </c>
      <c r="J9232">
        <v>2821071122</v>
      </c>
      <c r="K9232">
        <v>6972181879</v>
      </c>
      <c r="N9232" t="s">
        <v>1525</v>
      </c>
      <c r="O9232" t="s">
        <v>1526</v>
      </c>
      <c r="R9232" t="s">
        <v>159</v>
      </c>
      <c r="S9232">
        <v>4</v>
      </c>
      <c r="T9232" t="s">
        <v>8670</v>
      </c>
      <c r="U9232" s="1">
        <v>43348</v>
      </c>
      <c r="V9232" t="s">
        <v>89</v>
      </c>
      <c r="W9232" t="s">
        <v>90</v>
      </c>
      <c r="X9232" t="s">
        <v>58</v>
      </c>
      <c r="Y9232">
        <v>25</v>
      </c>
      <c r="Z9232" t="s">
        <v>59</v>
      </c>
      <c r="AA9232" t="s">
        <v>59</v>
      </c>
      <c r="AB9232" t="s">
        <v>59</v>
      </c>
      <c r="AC9232" t="s">
        <v>59</v>
      </c>
      <c r="AD9232" t="s">
        <v>59</v>
      </c>
      <c r="AF9232" s="1">
        <v>43348</v>
      </c>
      <c r="AG9232" t="s">
        <v>8651</v>
      </c>
      <c r="AH9232" t="s">
        <v>8652</v>
      </c>
      <c r="AI9232" t="str">
        <f>"9500370"</f>
        <v>9500370</v>
      </c>
      <c r="AJ9232" t="s">
        <v>13941</v>
      </c>
      <c r="AK9232">
        <v>2821093892</v>
      </c>
      <c r="AL9232" t="s">
        <v>13942</v>
      </c>
      <c r="AM9232" t="s">
        <v>88</v>
      </c>
      <c r="AN9232" t="s">
        <v>88</v>
      </c>
      <c r="AO9232" t="s">
        <v>6733</v>
      </c>
      <c r="AP9232" t="s">
        <v>6755</v>
      </c>
      <c r="AQ9232">
        <v>2</v>
      </c>
      <c r="AR9232" t="s">
        <v>89</v>
      </c>
      <c r="AS9232" t="s">
        <v>90</v>
      </c>
      <c r="AT9232" t="s">
        <v>58</v>
      </c>
      <c r="AU9232" t="s">
        <v>8673</v>
      </c>
      <c r="AV9232" t="s">
        <v>132</v>
      </c>
      <c r="AW9232" s="1">
        <v>25115</v>
      </c>
      <c r="AX9232">
        <v>1</v>
      </c>
    </row>
    <row r="9233" spans="1:50">
      <c r="A9233">
        <v>579129</v>
      </c>
      <c r="B9233" t="str">
        <f>"035050979"</f>
        <v>035050979</v>
      </c>
      <c r="C9233" t="s">
        <v>50</v>
      </c>
      <c r="D9233" t="s">
        <v>13943</v>
      </c>
      <c r="E9233" t="s">
        <v>1752</v>
      </c>
      <c r="F9233" t="s">
        <v>450</v>
      </c>
      <c r="G9233" t="s">
        <v>4737</v>
      </c>
      <c r="H9233" t="str">
        <f>"Λ. Κότζαλη 15 Σούδα"</f>
        <v>Λ. Κότζαλη 15 Σούδα</v>
      </c>
      <c r="J9233">
        <v>2821081515</v>
      </c>
      <c r="K9233">
        <v>6931588011</v>
      </c>
      <c r="N9233" t="s">
        <v>615</v>
      </c>
      <c r="O9233" t="s">
        <v>616</v>
      </c>
      <c r="R9233" t="s">
        <v>57</v>
      </c>
      <c r="S9233">
        <v>14</v>
      </c>
      <c r="T9233">
        <v>165</v>
      </c>
      <c r="U9233" s="1">
        <v>35300</v>
      </c>
      <c r="V9233" t="s">
        <v>89</v>
      </c>
      <c r="W9233" t="s">
        <v>90</v>
      </c>
      <c r="X9233" t="s">
        <v>58</v>
      </c>
      <c r="Y9233">
        <v>21</v>
      </c>
      <c r="Z9233" t="s">
        <v>59</v>
      </c>
      <c r="AA9233" t="s">
        <v>59</v>
      </c>
      <c r="AB9233" t="s">
        <v>59</v>
      </c>
      <c r="AC9233" t="s">
        <v>59</v>
      </c>
      <c r="AD9233" t="s">
        <v>59</v>
      </c>
      <c r="AF9233" s="1">
        <v>35300</v>
      </c>
      <c r="AG9233" t="s">
        <v>8645</v>
      </c>
      <c r="AH9233" t="s">
        <v>8646</v>
      </c>
      <c r="AI9233" t="str">
        <f>"9500041"</f>
        <v>9500041</v>
      </c>
      <c r="AJ9233" t="s">
        <v>13944</v>
      </c>
      <c r="AK9233">
        <v>2821028218</v>
      </c>
      <c r="AL9233" t="s">
        <v>13945</v>
      </c>
      <c r="AM9233" t="s">
        <v>88</v>
      </c>
      <c r="AN9233" t="s">
        <v>88</v>
      </c>
      <c r="AO9233" t="s">
        <v>88</v>
      </c>
      <c r="AP9233" t="s">
        <v>88</v>
      </c>
      <c r="AQ9233">
        <v>1</v>
      </c>
      <c r="AR9233" t="s">
        <v>89</v>
      </c>
      <c r="AS9233" t="s">
        <v>90</v>
      </c>
      <c r="AT9233" t="s">
        <v>58</v>
      </c>
      <c r="AU9233" t="s">
        <v>68</v>
      </c>
      <c r="AV9233" t="s">
        <v>69</v>
      </c>
      <c r="AW9233" s="1">
        <v>24346</v>
      </c>
      <c r="AX9233">
        <v>1</v>
      </c>
    </row>
    <row r="9234" spans="1:50">
      <c r="A9234">
        <v>702535</v>
      </c>
      <c r="B9234" t="str">
        <f>"144049017"</f>
        <v>144049017</v>
      </c>
      <c r="C9234" t="s">
        <v>50</v>
      </c>
      <c r="D9234" t="s">
        <v>13946</v>
      </c>
      <c r="E9234" t="s">
        <v>52</v>
      </c>
      <c r="F9234" t="s">
        <v>95</v>
      </c>
      <c r="G9234" t="s">
        <v>96</v>
      </c>
      <c r="H9234" t="str">
        <f>"ΘΕΟΤΟΚΟΠΟΥΛΟΥ 14 ΧΑΝΙΑ"</f>
        <v>ΘΕΟΤΟΚΟΠΟΥΛΟΥ 14 ΧΑΝΙΑ</v>
      </c>
      <c r="I9234">
        <v>73100</v>
      </c>
      <c r="J9234">
        <v>2821072486</v>
      </c>
      <c r="K9234">
        <v>6976908390</v>
      </c>
      <c r="L9234">
        <v>2831057819</v>
      </c>
      <c r="M9234" t="s">
        <v>13947</v>
      </c>
      <c r="N9234" t="s">
        <v>615</v>
      </c>
      <c r="O9234" t="s">
        <v>616</v>
      </c>
      <c r="R9234" t="s">
        <v>57</v>
      </c>
      <c r="S9234">
        <v>6</v>
      </c>
      <c r="T9234">
        <v>772</v>
      </c>
      <c r="U9234" s="1">
        <v>40413</v>
      </c>
      <c r="V9234" t="s">
        <v>89</v>
      </c>
      <c r="W9234" t="s">
        <v>90</v>
      </c>
      <c r="X9234" t="s">
        <v>58</v>
      </c>
      <c r="Y9234">
        <v>25</v>
      </c>
      <c r="Z9234" t="s">
        <v>59</v>
      </c>
      <c r="AA9234" t="s">
        <v>59</v>
      </c>
      <c r="AB9234" t="s">
        <v>59</v>
      </c>
      <c r="AC9234" t="s">
        <v>59</v>
      </c>
      <c r="AD9234" t="s">
        <v>59</v>
      </c>
      <c r="AF9234" s="1">
        <v>40413</v>
      </c>
      <c r="AG9234" t="s">
        <v>8645</v>
      </c>
      <c r="AH9234" t="s">
        <v>8646</v>
      </c>
      <c r="AI9234" t="str">
        <f>"9500358"</f>
        <v>9500358</v>
      </c>
      <c r="AJ9234" t="s">
        <v>13948</v>
      </c>
      <c r="AK9234">
        <v>2821093459</v>
      </c>
      <c r="AL9234" t="s">
        <v>13949</v>
      </c>
      <c r="AM9234" t="s">
        <v>88</v>
      </c>
      <c r="AN9234" t="s">
        <v>88</v>
      </c>
      <c r="AO9234" t="s">
        <v>6733</v>
      </c>
      <c r="AP9234" t="s">
        <v>6755</v>
      </c>
      <c r="AQ9234">
        <v>2</v>
      </c>
      <c r="AR9234" t="s">
        <v>89</v>
      </c>
      <c r="AS9234" t="s">
        <v>90</v>
      </c>
      <c r="AT9234" t="s">
        <v>58</v>
      </c>
      <c r="AU9234" t="s">
        <v>68</v>
      </c>
      <c r="AV9234" t="s">
        <v>69</v>
      </c>
      <c r="AW9234" s="1">
        <v>31712</v>
      </c>
      <c r="AX9234">
        <v>1</v>
      </c>
    </row>
    <row r="9235" spans="1:50">
      <c r="A9235">
        <v>619391</v>
      </c>
      <c r="B9235" t="str">
        <f>"130407404"</f>
        <v>130407404</v>
      </c>
      <c r="C9235" t="s">
        <v>50</v>
      </c>
      <c r="D9235" t="s">
        <v>13946</v>
      </c>
      <c r="E9235" t="s">
        <v>372</v>
      </c>
      <c r="F9235" t="s">
        <v>95</v>
      </c>
      <c r="G9235" t="s">
        <v>96</v>
      </c>
      <c r="H9235" t="str">
        <f>"Β' ΠΑΡΟΔΟΣ ΑΓΙΩΝ ΑΠΟΣΤΟΛΩΝ  ΚΟΥΜΠΕΣ ΧΑΝΙΩΝ"</f>
        <v>Β' ΠΑΡΟΔΟΣ ΑΓΙΩΝ ΑΠΟΣΤΟΛΩΝ  ΚΟΥΜΠΕΣ ΧΑΝΙΩΝ</v>
      </c>
      <c r="I9235">
        <v>73100</v>
      </c>
      <c r="J9235">
        <v>2821072486</v>
      </c>
      <c r="K9235">
        <v>6936846557</v>
      </c>
      <c r="N9235" t="s">
        <v>1525</v>
      </c>
      <c r="O9235" t="s">
        <v>1526</v>
      </c>
      <c r="R9235" t="s">
        <v>57</v>
      </c>
      <c r="S9235">
        <v>5</v>
      </c>
      <c r="T9235">
        <v>774</v>
      </c>
      <c r="U9235" s="1">
        <v>39680</v>
      </c>
      <c r="V9235" t="s">
        <v>89</v>
      </c>
      <c r="W9235" t="s">
        <v>90</v>
      </c>
      <c r="X9235" t="s">
        <v>58</v>
      </c>
      <c r="Y9235">
        <v>25</v>
      </c>
      <c r="Z9235" t="s">
        <v>59</v>
      </c>
      <c r="AA9235" t="s">
        <v>59</v>
      </c>
      <c r="AB9235" t="s">
        <v>59</v>
      </c>
      <c r="AC9235" t="s">
        <v>59</v>
      </c>
      <c r="AD9235" t="s">
        <v>59</v>
      </c>
      <c r="AF9235" s="1">
        <v>39681</v>
      </c>
      <c r="AG9235" t="s">
        <v>8651</v>
      </c>
      <c r="AH9235" t="s">
        <v>8652</v>
      </c>
      <c r="AI9235" t="str">
        <f>"9500343"</f>
        <v>9500343</v>
      </c>
      <c r="AJ9235" t="s">
        <v>13950</v>
      </c>
      <c r="AK9235">
        <v>2824022284</v>
      </c>
      <c r="AL9235" t="s">
        <v>13951</v>
      </c>
      <c r="AM9235" t="s">
        <v>88</v>
      </c>
      <c r="AN9235" t="s">
        <v>6764</v>
      </c>
      <c r="AO9235" t="s">
        <v>6765</v>
      </c>
      <c r="AP9235" t="s">
        <v>13952</v>
      </c>
      <c r="AQ9235">
        <v>6</v>
      </c>
      <c r="AR9235" t="s">
        <v>89</v>
      </c>
      <c r="AS9235" t="s">
        <v>90</v>
      </c>
      <c r="AT9235" t="s">
        <v>58</v>
      </c>
      <c r="AU9235" t="s">
        <v>68</v>
      </c>
      <c r="AV9235" t="s">
        <v>69</v>
      </c>
      <c r="AW9235" s="1">
        <v>30747</v>
      </c>
      <c r="AX9235">
        <v>1</v>
      </c>
    </row>
    <row r="9236" spans="1:50">
      <c r="A9236">
        <v>604490</v>
      </c>
      <c r="B9236" t="str">
        <f>"077683202"</f>
        <v>077683202</v>
      </c>
      <c r="C9236" t="s">
        <v>50</v>
      </c>
      <c r="D9236" t="s">
        <v>13953</v>
      </c>
      <c r="E9236" t="s">
        <v>114</v>
      </c>
      <c r="F9236" t="s">
        <v>510</v>
      </c>
      <c r="G9236" t="s">
        <v>1068</v>
      </c>
      <c r="H9236" t="str">
        <f>"Π. ΜΠΟΛΙΩΤΗ-(ΜΑΝΟΥΣΑΚΑ) 68 ΧΑΝΙΑ"</f>
        <v>Π. ΜΠΟΛΙΩΤΗ-(ΜΑΝΟΥΣΑΚΑ) 68 ΧΑΝΙΑ</v>
      </c>
      <c r="I9236">
        <v>73134</v>
      </c>
      <c r="J9236">
        <v>2821051411</v>
      </c>
      <c r="K9236">
        <v>6972085423</v>
      </c>
      <c r="M9236" t="s">
        <v>13954</v>
      </c>
      <c r="N9236" t="s">
        <v>615</v>
      </c>
      <c r="O9236" t="s">
        <v>616</v>
      </c>
      <c r="R9236" t="s">
        <v>57</v>
      </c>
      <c r="S9236">
        <v>10</v>
      </c>
      <c r="T9236">
        <v>231</v>
      </c>
      <c r="U9236" s="1">
        <v>38230</v>
      </c>
      <c r="V9236" t="s">
        <v>89</v>
      </c>
      <c r="W9236" t="s">
        <v>90</v>
      </c>
      <c r="X9236" t="s">
        <v>58</v>
      </c>
      <c r="Y9236">
        <v>21</v>
      </c>
      <c r="Z9236" t="s">
        <v>59</v>
      </c>
      <c r="AA9236" t="s">
        <v>59</v>
      </c>
      <c r="AB9236" t="s">
        <v>59</v>
      </c>
      <c r="AC9236" t="s">
        <v>59</v>
      </c>
      <c r="AD9236" t="s">
        <v>59</v>
      </c>
      <c r="AF9236" s="1">
        <v>38230</v>
      </c>
      <c r="AG9236" t="s">
        <v>8645</v>
      </c>
      <c r="AH9236" t="s">
        <v>8646</v>
      </c>
      <c r="AI9236" t="str">
        <f>"9500075"</f>
        <v>9500075</v>
      </c>
      <c r="AJ9236" t="s">
        <v>13955</v>
      </c>
      <c r="AK9236">
        <v>2821046505</v>
      </c>
      <c r="AL9236" t="s">
        <v>13956</v>
      </c>
      <c r="AM9236" t="s">
        <v>88</v>
      </c>
      <c r="AN9236" t="s">
        <v>88</v>
      </c>
      <c r="AO9236" t="s">
        <v>88</v>
      </c>
      <c r="AP9236" t="s">
        <v>88</v>
      </c>
      <c r="AQ9236">
        <v>1</v>
      </c>
      <c r="AR9236" t="s">
        <v>89</v>
      </c>
      <c r="AS9236" t="s">
        <v>90</v>
      </c>
      <c r="AT9236" t="s">
        <v>58</v>
      </c>
      <c r="AU9236" t="s">
        <v>68</v>
      </c>
      <c r="AV9236" t="s">
        <v>69</v>
      </c>
      <c r="AW9236" s="1">
        <v>25310</v>
      </c>
      <c r="AX9236">
        <v>1</v>
      </c>
    </row>
    <row r="9237" spans="1:50">
      <c r="A9237">
        <v>582477</v>
      </c>
      <c r="B9237" t="str">
        <f>"051850332"</f>
        <v>051850332</v>
      </c>
      <c r="C9237" t="s">
        <v>50</v>
      </c>
      <c r="D9237" t="s">
        <v>13953</v>
      </c>
      <c r="E9237" t="s">
        <v>13957</v>
      </c>
      <c r="F9237" t="s">
        <v>154</v>
      </c>
      <c r="G9237" t="s">
        <v>52</v>
      </c>
      <c r="H9237" t="str">
        <f>"ΓΚΕΡΟΛΑ 47 "</f>
        <v xml:space="preserve">ΓΚΕΡΟΛΑ 47 </v>
      </c>
      <c r="I9237">
        <v>73132</v>
      </c>
      <c r="J9237">
        <v>2821057491</v>
      </c>
      <c r="K9237">
        <v>6944957952</v>
      </c>
      <c r="N9237" t="s">
        <v>615</v>
      </c>
      <c r="O9237" t="s">
        <v>616</v>
      </c>
      <c r="R9237" t="s">
        <v>57</v>
      </c>
      <c r="S9237">
        <v>12</v>
      </c>
      <c r="T9237">
        <v>179</v>
      </c>
      <c r="U9237" s="1">
        <v>35674</v>
      </c>
      <c r="V9237" t="s">
        <v>89</v>
      </c>
      <c r="W9237" t="s">
        <v>90</v>
      </c>
      <c r="X9237" t="s">
        <v>58</v>
      </c>
      <c r="Y9237">
        <v>21</v>
      </c>
      <c r="Z9237" t="s">
        <v>59</v>
      </c>
      <c r="AA9237" t="s">
        <v>59</v>
      </c>
      <c r="AB9237" t="s">
        <v>59</v>
      </c>
      <c r="AC9237" t="s">
        <v>59</v>
      </c>
      <c r="AD9237" t="s">
        <v>59</v>
      </c>
      <c r="AF9237" s="1">
        <v>35674</v>
      </c>
      <c r="AG9237" t="s">
        <v>8645</v>
      </c>
      <c r="AH9237" t="s">
        <v>8646</v>
      </c>
      <c r="AI9237" t="str">
        <f>"9500423"</f>
        <v>9500423</v>
      </c>
      <c r="AJ9237" t="s">
        <v>13893</v>
      </c>
      <c r="AK9237">
        <v>2821023473</v>
      </c>
      <c r="AL9237" t="s">
        <v>13894</v>
      </c>
      <c r="AM9237" t="s">
        <v>88</v>
      </c>
      <c r="AN9237" t="s">
        <v>88</v>
      </c>
      <c r="AO9237" t="s">
        <v>88</v>
      </c>
      <c r="AP9237" t="s">
        <v>88</v>
      </c>
      <c r="AQ9237">
        <v>1</v>
      </c>
      <c r="AR9237" t="s">
        <v>89</v>
      </c>
      <c r="AS9237" t="s">
        <v>90</v>
      </c>
      <c r="AT9237" t="s">
        <v>58</v>
      </c>
      <c r="AU9237" t="s">
        <v>68</v>
      </c>
      <c r="AV9237" t="s">
        <v>69</v>
      </c>
      <c r="AW9237" s="1">
        <v>25213</v>
      </c>
      <c r="AX9237">
        <v>1</v>
      </c>
    </row>
    <row r="9238" spans="1:50">
      <c r="A9238">
        <v>610241</v>
      </c>
      <c r="B9238" t="str">
        <f>"113150577"</f>
        <v>113150577</v>
      </c>
      <c r="C9238" t="s">
        <v>50</v>
      </c>
      <c r="D9238" t="s">
        <v>13953</v>
      </c>
      <c r="E9238" t="s">
        <v>460</v>
      </c>
      <c r="F9238" t="s">
        <v>72</v>
      </c>
      <c r="G9238" t="s">
        <v>83</v>
      </c>
      <c r="H9238" t="str">
        <f>"Κ. ΜΑΝΟΥ 11 Α ΧΑΝΙΑ"</f>
        <v>Κ. ΜΑΝΟΥ 11 Α ΧΑΝΙΑ</v>
      </c>
      <c r="I9238">
        <v>73100</v>
      </c>
      <c r="J9238">
        <v>2821050643</v>
      </c>
      <c r="K9238">
        <v>6974930887</v>
      </c>
      <c r="N9238" t="s">
        <v>615</v>
      </c>
      <c r="O9238" t="s">
        <v>616</v>
      </c>
      <c r="R9238" t="s">
        <v>57</v>
      </c>
      <c r="S9238">
        <v>7</v>
      </c>
      <c r="T9238">
        <v>233</v>
      </c>
      <c r="U9238" s="1">
        <v>38960</v>
      </c>
      <c r="V9238" t="s">
        <v>89</v>
      </c>
      <c r="W9238" t="s">
        <v>90</v>
      </c>
      <c r="X9238" t="s">
        <v>58</v>
      </c>
      <c r="Y9238">
        <v>23</v>
      </c>
      <c r="Z9238" t="s">
        <v>59</v>
      </c>
      <c r="AA9238" t="s">
        <v>59</v>
      </c>
      <c r="AB9238" t="s">
        <v>59</v>
      </c>
      <c r="AC9238" t="s">
        <v>59</v>
      </c>
      <c r="AD9238" t="s">
        <v>59</v>
      </c>
      <c r="AF9238" s="1">
        <v>38960</v>
      </c>
      <c r="AG9238" t="s">
        <v>8645</v>
      </c>
      <c r="AH9238" t="s">
        <v>8646</v>
      </c>
      <c r="AI9238" t="str">
        <f>"9500093"</f>
        <v>9500093</v>
      </c>
      <c r="AJ9238" t="s">
        <v>13865</v>
      </c>
      <c r="AK9238">
        <v>2821064537</v>
      </c>
      <c r="AL9238" t="s">
        <v>13866</v>
      </c>
      <c r="AM9238" t="s">
        <v>88</v>
      </c>
      <c r="AN9238" t="s">
        <v>88</v>
      </c>
      <c r="AO9238" t="s">
        <v>6770</v>
      </c>
      <c r="AP9238" t="s">
        <v>6771</v>
      </c>
      <c r="AQ9238">
        <v>2</v>
      </c>
      <c r="AR9238" t="s">
        <v>89</v>
      </c>
      <c r="AS9238" t="s">
        <v>90</v>
      </c>
      <c r="AT9238" t="s">
        <v>58</v>
      </c>
      <c r="AU9238" t="s">
        <v>68</v>
      </c>
      <c r="AV9238" t="s">
        <v>69</v>
      </c>
      <c r="AW9238" s="1">
        <v>24794</v>
      </c>
      <c r="AX9238">
        <v>1</v>
      </c>
    </row>
    <row r="9239" spans="1:50">
      <c r="B9239" t="str">
        <f>"152565675"</f>
        <v>152565675</v>
      </c>
      <c r="C9239" t="s">
        <v>50</v>
      </c>
      <c r="D9239" t="s">
        <v>13958</v>
      </c>
      <c r="E9239" t="s">
        <v>83</v>
      </c>
      <c r="F9239" t="s">
        <v>459</v>
      </c>
      <c r="G9239" t="s">
        <v>191</v>
      </c>
      <c r="H9239" t="str">
        <f>" "</f>
        <v xml:space="preserve"> </v>
      </c>
      <c r="N9239" t="s">
        <v>683</v>
      </c>
      <c r="O9239" t="s">
        <v>684</v>
      </c>
      <c r="R9239" t="s">
        <v>121</v>
      </c>
      <c r="S9239">
        <v>1</v>
      </c>
      <c r="T9239" t="s">
        <v>8675</v>
      </c>
      <c r="U9239" s="1">
        <v>43348</v>
      </c>
      <c r="V9239" t="s">
        <v>89</v>
      </c>
      <c r="W9239" t="s">
        <v>90</v>
      </c>
      <c r="X9239" t="s">
        <v>58</v>
      </c>
      <c r="Y9239">
        <v>24</v>
      </c>
      <c r="Z9239" t="s">
        <v>59</v>
      </c>
      <c r="AA9239" t="s">
        <v>59</v>
      </c>
      <c r="AB9239" t="s">
        <v>59</v>
      </c>
      <c r="AD9239" t="s">
        <v>59</v>
      </c>
      <c r="AF9239" s="1">
        <v>43348</v>
      </c>
      <c r="AG9239" t="s">
        <v>8645</v>
      </c>
      <c r="AH9239" t="s">
        <v>8646</v>
      </c>
      <c r="AI9239" t="str">
        <f>"9500338"</f>
        <v>9500338</v>
      </c>
      <c r="AJ9239" t="s">
        <v>13959</v>
      </c>
      <c r="AK9239">
        <v>2821040556</v>
      </c>
      <c r="AL9239" t="s">
        <v>13960</v>
      </c>
      <c r="AM9239" t="s">
        <v>88</v>
      </c>
      <c r="AN9239" t="s">
        <v>88</v>
      </c>
      <c r="AO9239" t="s">
        <v>88</v>
      </c>
      <c r="AP9239" t="s">
        <v>88</v>
      </c>
      <c r="AQ9239">
        <v>1</v>
      </c>
      <c r="AR9239" t="s">
        <v>89</v>
      </c>
      <c r="AS9239" t="s">
        <v>90</v>
      </c>
      <c r="AT9239" t="s">
        <v>58</v>
      </c>
      <c r="AU9239" t="s">
        <v>8673</v>
      </c>
      <c r="AV9239" t="s">
        <v>132</v>
      </c>
      <c r="AW9239" s="1">
        <v>33557</v>
      </c>
      <c r="AX9239">
        <v>1</v>
      </c>
    </row>
    <row r="9240" spans="1:50">
      <c r="A9240">
        <v>603830</v>
      </c>
      <c r="B9240" t="str">
        <f>"120228375"</f>
        <v>120228375</v>
      </c>
      <c r="C9240" t="s">
        <v>50</v>
      </c>
      <c r="D9240" t="s">
        <v>13961</v>
      </c>
      <c r="E9240" t="s">
        <v>620</v>
      </c>
      <c r="F9240" t="s">
        <v>95</v>
      </c>
      <c r="G9240" t="s">
        <v>237</v>
      </c>
      <c r="H9240" t="str">
        <f>" "</f>
        <v xml:space="preserve"> </v>
      </c>
      <c r="J9240">
        <v>2821055585</v>
      </c>
      <c r="K9240">
        <v>6973433939</v>
      </c>
      <c r="N9240" t="s">
        <v>615</v>
      </c>
      <c r="O9240" t="s">
        <v>616</v>
      </c>
      <c r="R9240" t="s">
        <v>57</v>
      </c>
      <c r="S9240">
        <v>7</v>
      </c>
      <c r="T9240">
        <v>231</v>
      </c>
      <c r="U9240" s="1">
        <v>38230</v>
      </c>
      <c r="V9240" t="s">
        <v>89</v>
      </c>
      <c r="W9240" t="s">
        <v>90</v>
      </c>
      <c r="X9240" t="s">
        <v>58</v>
      </c>
      <c r="Y9240">
        <v>22</v>
      </c>
      <c r="Z9240" t="s">
        <v>59</v>
      </c>
      <c r="AA9240" t="s">
        <v>59</v>
      </c>
      <c r="AB9240" t="s">
        <v>59</v>
      </c>
      <c r="AC9240" t="s">
        <v>59</v>
      </c>
      <c r="AD9240" t="s">
        <v>59</v>
      </c>
      <c r="AF9240" s="1">
        <v>38230</v>
      </c>
      <c r="AG9240" t="s">
        <v>8645</v>
      </c>
      <c r="AH9240" t="s">
        <v>8646</v>
      </c>
      <c r="AI9240" t="str">
        <f>"9500107"</f>
        <v>9500107</v>
      </c>
      <c r="AJ9240" t="s">
        <v>13918</v>
      </c>
      <c r="AK9240">
        <v>2821096244</v>
      </c>
      <c r="AL9240" t="s">
        <v>13919</v>
      </c>
      <c r="AM9240" t="s">
        <v>88</v>
      </c>
      <c r="AN9240" t="s">
        <v>88</v>
      </c>
      <c r="AO9240" t="s">
        <v>13920</v>
      </c>
      <c r="AP9240" t="s">
        <v>13921</v>
      </c>
      <c r="AQ9240">
        <v>3</v>
      </c>
      <c r="AR9240" t="s">
        <v>89</v>
      </c>
      <c r="AS9240" t="s">
        <v>90</v>
      </c>
      <c r="AT9240" t="s">
        <v>58</v>
      </c>
      <c r="AU9240" t="s">
        <v>68</v>
      </c>
      <c r="AV9240" t="s">
        <v>69</v>
      </c>
      <c r="AW9240" s="1">
        <v>29945</v>
      </c>
      <c r="AX9240">
        <v>1</v>
      </c>
    </row>
    <row r="9241" spans="1:50">
      <c r="A9241">
        <v>616272</v>
      </c>
      <c r="B9241" t="str">
        <f>"112358514"</f>
        <v>112358514</v>
      </c>
      <c r="C9241" t="s">
        <v>50</v>
      </c>
      <c r="D9241" t="s">
        <v>467</v>
      </c>
      <c r="E9241" t="s">
        <v>755</v>
      </c>
      <c r="F9241" t="s">
        <v>166</v>
      </c>
      <c r="G9241" t="s">
        <v>367</v>
      </c>
      <c r="H9241" t="str">
        <f>"ΝΟΧΙΑ-ΚΙΣΑΜΟΥ ΧΑΝΙΑ"</f>
        <v>ΝΟΧΙΑ-ΚΙΣΑΜΟΥ ΧΑΝΙΑ</v>
      </c>
      <c r="I9241">
        <v>73006</v>
      </c>
      <c r="J9241">
        <v>2824091514</v>
      </c>
      <c r="K9241">
        <v>6947427265</v>
      </c>
      <c r="N9241" t="s">
        <v>1525</v>
      </c>
      <c r="O9241" t="s">
        <v>1526</v>
      </c>
      <c r="R9241" t="s">
        <v>57</v>
      </c>
      <c r="S9241">
        <v>5</v>
      </c>
      <c r="T9241">
        <v>660</v>
      </c>
      <c r="U9241" s="1">
        <v>39311</v>
      </c>
      <c r="V9241" t="s">
        <v>89</v>
      </c>
      <c r="W9241" t="s">
        <v>90</v>
      </c>
      <c r="X9241" t="s">
        <v>58</v>
      </c>
      <c r="Y9241">
        <v>25</v>
      </c>
      <c r="Z9241" t="s">
        <v>59</v>
      </c>
      <c r="AA9241" t="s">
        <v>59</v>
      </c>
      <c r="AB9241" t="s">
        <v>59</v>
      </c>
      <c r="AC9241" t="s">
        <v>59</v>
      </c>
      <c r="AD9241" t="s">
        <v>59</v>
      </c>
      <c r="AF9241" s="1">
        <v>39328</v>
      </c>
      <c r="AG9241" t="s">
        <v>8651</v>
      </c>
      <c r="AH9241" t="s">
        <v>8652</v>
      </c>
      <c r="AI9241" t="str">
        <f>"9500127"</f>
        <v>9500127</v>
      </c>
      <c r="AJ9241" t="s">
        <v>13962</v>
      </c>
      <c r="AK9241">
        <v>2824031321</v>
      </c>
      <c r="AL9241" t="s">
        <v>13963</v>
      </c>
      <c r="AM9241" t="s">
        <v>88</v>
      </c>
      <c r="AN9241" t="s">
        <v>6764</v>
      </c>
      <c r="AO9241" t="s">
        <v>6765</v>
      </c>
      <c r="AP9241" t="s">
        <v>6765</v>
      </c>
      <c r="AQ9241">
        <v>6</v>
      </c>
      <c r="AR9241" t="s">
        <v>89</v>
      </c>
      <c r="AS9241" t="s">
        <v>90</v>
      </c>
      <c r="AT9241" t="s">
        <v>58</v>
      </c>
      <c r="AU9241" t="s">
        <v>68</v>
      </c>
      <c r="AV9241" t="s">
        <v>69</v>
      </c>
      <c r="AW9241" s="1">
        <v>28664</v>
      </c>
      <c r="AX9241">
        <v>1</v>
      </c>
    </row>
    <row r="9242" spans="1:50">
      <c r="B9242" t="str">
        <f>"127721666"</f>
        <v>127721666</v>
      </c>
      <c r="C9242" t="s">
        <v>50</v>
      </c>
      <c r="D9242" t="s">
        <v>467</v>
      </c>
      <c r="E9242" t="s">
        <v>83</v>
      </c>
      <c r="F9242" t="s">
        <v>99</v>
      </c>
      <c r="G9242" t="s">
        <v>215</v>
      </c>
      <c r="H9242" t="str">
        <f>"ΠΟΛ. ΣΚΟΥΛΑ 139 ΚΑΤΩ ΔΑΡΑΤΣΟ "</f>
        <v xml:space="preserve">ΠΟΛ. ΣΚΟΥΛΑ 139 ΚΑΤΩ ΔΑΡΑΤΣΟ </v>
      </c>
      <c r="I9242">
        <v>73100</v>
      </c>
      <c r="J9242">
        <v>2821032544</v>
      </c>
      <c r="K9242">
        <v>6974365965</v>
      </c>
      <c r="N9242" t="s">
        <v>1525</v>
      </c>
      <c r="O9242" t="s">
        <v>1526</v>
      </c>
      <c r="R9242" t="s">
        <v>159</v>
      </c>
      <c r="S9242">
        <v>4</v>
      </c>
      <c r="T9242" t="s">
        <v>8670</v>
      </c>
      <c r="U9242" s="1">
        <v>43348</v>
      </c>
      <c r="V9242" t="s">
        <v>89</v>
      </c>
      <c r="W9242" t="s">
        <v>90</v>
      </c>
      <c r="X9242" t="s">
        <v>58</v>
      </c>
      <c r="Y9242">
        <v>25</v>
      </c>
      <c r="Z9242" t="s">
        <v>59</v>
      </c>
      <c r="AA9242" t="s">
        <v>59</v>
      </c>
      <c r="AB9242" t="s">
        <v>59</v>
      </c>
      <c r="AC9242" t="s">
        <v>59</v>
      </c>
      <c r="AD9242" t="s">
        <v>59</v>
      </c>
      <c r="AF9242" s="1">
        <v>43348</v>
      </c>
      <c r="AG9242" t="s">
        <v>8651</v>
      </c>
      <c r="AH9242" t="s">
        <v>8652</v>
      </c>
      <c r="AI9242" t="str">
        <f>"9500278"</f>
        <v>9500278</v>
      </c>
      <c r="AJ9242" t="s">
        <v>13964</v>
      </c>
      <c r="AK9242">
        <v>2823051396</v>
      </c>
      <c r="AL9242" t="s">
        <v>13965</v>
      </c>
      <c r="AM9242" t="s">
        <v>88</v>
      </c>
      <c r="AN9242" t="s">
        <v>6824</v>
      </c>
      <c r="AO9242" t="s">
        <v>13966</v>
      </c>
      <c r="AP9242" t="s">
        <v>13967</v>
      </c>
      <c r="AQ9242">
        <v>11</v>
      </c>
      <c r="AR9242" t="s">
        <v>89</v>
      </c>
      <c r="AS9242" t="s">
        <v>90</v>
      </c>
      <c r="AT9242" t="s">
        <v>58</v>
      </c>
      <c r="AU9242" t="s">
        <v>8673</v>
      </c>
      <c r="AV9242" t="s">
        <v>132</v>
      </c>
      <c r="AW9242" s="1">
        <v>30416</v>
      </c>
      <c r="AX9242">
        <v>1</v>
      </c>
    </row>
    <row r="9243" spans="1:50">
      <c r="B9243" t="str">
        <f>"301327620"</f>
        <v>301327620</v>
      </c>
      <c r="C9243" t="s">
        <v>50</v>
      </c>
      <c r="D9243" t="s">
        <v>13968</v>
      </c>
      <c r="E9243" t="s">
        <v>707</v>
      </c>
      <c r="F9243" t="s">
        <v>72</v>
      </c>
      <c r="H9243" t="str">
        <f>" "</f>
        <v xml:space="preserve"> </v>
      </c>
      <c r="N9243" t="s">
        <v>1525</v>
      </c>
      <c r="O9243" t="s">
        <v>1526</v>
      </c>
      <c r="R9243" t="s">
        <v>159</v>
      </c>
      <c r="S9243">
        <v>1</v>
      </c>
      <c r="T9243" t="s">
        <v>8670</v>
      </c>
      <c r="U9243" s="1">
        <v>43348</v>
      </c>
      <c r="V9243" t="s">
        <v>89</v>
      </c>
      <c r="W9243" t="s">
        <v>90</v>
      </c>
      <c r="X9243" t="s">
        <v>58</v>
      </c>
      <c r="Y9243">
        <v>25</v>
      </c>
      <c r="Z9243" t="s">
        <v>59</v>
      </c>
      <c r="AA9243" t="s">
        <v>59</v>
      </c>
      <c r="AB9243" t="s">
        <v>59</v>
      </c>
      <c r="AC9243" t="s">
        <v>59</v>
      </c>
      <c r="AD9243" t="s">
        <v>59</v>
      </c>
      <c r="AF9243" s="1">
        <v>43348</v>
      </c>
      <c r="AG9243" t="s">
        <v>8651</v>
      </c>
      <c r="AH9243" t="s">
        <v>8652</v>
      </c>
      <c r="AI9243" t="str">
        <f>"9500310"</f>
        <v>9500310</v>
      </c>
      <c r="AJ9243" t="s">
        <v>13969</v>
      </c>
      <c r="AK9243">
        <v>2822061268</v>
      </c>
      <c r="AL9243" t="s">
        <v>13970</v>
      </c>
      <c r="AM9243" t="s">
        <v>88</v>
      </c>
      <c r="AN9243" t="s">
        <v>6744</v>
      </c>
      <c r="AO9243" t="s">
        <v>13871</v>
      </c>
      <c r="AP9243" t="s">
        <v>13872</v>
      </c>
      <c r="AQ9243">
        <v>9</v>
      </c>
      <c r="AR9243" t="s">
        <v>89</v>
      </c>
      <c r="AS9243" t="s">
        <v>90</v>
      </c>
      <c r="AT9243" t="s">
        <v>58</v>
      </c>
      <c r="AU9243" t="s">
        <v>8673</v>
      </c>
      <c r="AV9243" t="s">
        <v>132</v>
      </c>
      <c r="AW9243" s="1">
        <v>31181</v>
      </c>
      <c r="AX9243">
        <v>1</v>
      </c>
    </row>
    <row r="9244" spans="1:50">
      <c r="A9244">
        <v>615556</v>
      </c>
      <c r="B9244" t="str">
        <f>"044681136"</f>
        <v>044681136</v>
      </c>
      <c r="C9244" t="s">
        <v>50</v>
      </c>
      <c r="D9244" t="s">
        <v>11962</v>
      </c>
      <c r="E9244" t="s">
        <v>52</v>
      </c>
      <c r="F9244" t="s">
        <v>4097</v>
      </c>
      <c r="G9244" t="s">
        <v>237</v>
      </c>
      <c r="H9244" t="str">
        <f>"ΦΟΥΡΝΕΣ ΑΛΙΚΙΑΝΟΣ ΧΑΝΙΑ"</f>
        <v>ΦΟΥΡΝΕΣ ΑΛΙΚΙΑΝΟΣ ΧΑΝΙΑ</v>
      </c>
      <c r="I9244">
        <v>73005</v>
      </c>
      <c r="J9244">
        <v>2821078716</v>
      </c>
      <c r="K9244">
        <v>6978194897</v>
      </c>
      <c r="N9244" t="s">
        <v>1525</v>
      </c>
      <c r="O9244" t="s">
        <v>1526</v>
      </c>
      <c r="R9244" t="s">
        <v>57</v>
      </c>
      <c r="S9244">
        <v>6</v>
      </c>
      <c r="T9244">
        <v>598</v>
      </c>
      <c r="U9244" s="1">
        <v>39310</v>
      </c>
      <c r="V9244" t="s">
        <v>89</v>
      </c>
      <c r="W9244" t="s">
        <v>90</v>
      </c>
      <c r="X9244" t="s">
        <v>58</v>
      </c>
      <c r="Y9244">
        <v>25</v>
      </c>
      <c r="Z9244" t="s">
        <v>59</v>
      </c>
      <c r="AA9244" t="s">
        <v>59</v>
      </c>
      <c r="AB9244" t="s">
        <v>59</v>
      </c>
      <c r="AC9244" t="s">
        <v>59</v>
      </c>
      <c r="AD9244" t="s">
        <v>59</v>
      </c>
      <c r="AF9244" s="1">
        <v>39328</v>
      </c>
      <c r="AG9244" t="s">
        <v>8651</v>
      </c>
      <c r="AH9244" t="s">
        <v>8652</v>
      </c>
      <c r="AI9244" t="str">
        <f>"9500255"</f>
        <v>9500255</v>
      </c>
      <c r="AJ9244" t="s">
        <v>13971</v>
      </c>
      <c r="AK9244">
        <v>2821078777</v>
      </c>
      <c r="AL9244" t="s">
        <v>13972</v>
      </c>
      <c r="AM9244" t="s">
        <v>88</v>
      </c>
      <c r="AN9244" t="s">
        <v>6764</v>
      </c>
      <c r="AO9244" t="s">
        <v>6885</v>
      </c>
      <c r="AP9244" t="s">
        <v>6886</v>
      </c>
      <c r="AQ9244">
        <v>4</v>
      </c>
      <c r="AR9244" t="s">
        <v>89</v>
      </c>
      <c r="AS9244" t="s">
        <v>90</v>
      </c>
      <c r="AT9244" t="s">
        <v>58</v>
      </c>
      <c r="AU9244" t="s">
        <v>68</v>
      </c>
      <c r="AV9244" t="s">
        <v>69</v>
      </c>
      <c r="AW9244" s="1">
        <v>24269</v>
      </c>
      <c r="AX9244">
        <v>1</v>
      </c>
    </row>
    <row r="9245" spans="1:50">
      <c r="A9245">
        <v>567106</v>
      </c>
      <c r="B9245" t="str">
        <f>"039249564"</f>
        <v>039249564</v>
      </c>
      <c r="C9245" t="s">
        <v>50</v>
      </c>
      <c r="D9245" t="s">
        <v>505</v>
      </c>
      <c r="E9245" t="s">
        <v>801</v>
      </c>
      <c r="F9245" t="s">
        <v>72</v>
      </c>
      <c r="G9245" t="s">
        <v>411</v>
      </c>
      <c r="H9245" t="str">
        <f>"ΘΕΟΤΟΚΟΠΟΥΛΟΥ 18 ΧΑΝΙΑ"</f>
        <v>ΘΕΟΤΟΚΟΠΟΥΛΟΥ 18 ΧΑΝΙΑ</v>
      </c>
      <c r="I9245">
        <v>73100</v>
      </c>
      <c r="J9245">
        <v>2821049372</v>
      </c>
      <c r="K9245">
        <v>6944318656</v>
      </c>
      <c r="N9245" t="s">
        <v>615</v>
      </c>
      <c r="O9245" t="s">
        <v>616</v>
      </c>
      <c r="R9245" t="s">
        <v>57</v>
      </c>
      <c r="S9245">
        <v>16</v>
      </c>
      <c r="T9245">
        <v>133</v>
      </c>
      <c r="U9245" s="1">
        <v>33456</v>
      </c>
      <c r="V9245" t="s">
        <v>89</v>
      </c>
      <c r="W9245" t="s">
        <v>90</v>
      </c>
      <c r="X9245" t="s">
        <v>58</v>
      </c>
      <c r="Y9245">
        <v>21</v>
      </c>
      <c r="Z9245" t="s">
        <v>59</v>
      </c>
      <c r="AA9245" t="s">
        <v>59</v>
      </c>
      <c r="AB9245" t="s">
        <v>59</v>
      </c>
      <c r="AC9245" t="s">
        <v>59</v>
      </c>
      <c r="AD9245" t="s">
        <v>59</v>
      </c>
      <c r="AF9245" s="1">
        <v>33456</v>
      </c>
      <c r="AG9245" t="s">
        <v>8645</v>
      </c>
      <c r="AH9245" t="s">
        <v>8646</v>
      </c>
      <c r="AI9245" t="str">
        <f>"9500338"</f>
        <v>9500338</v>
      </c>
      <c r="AJ9245" t="s">
        <v>13959</v>
      </c>
      <c r="AK9245">
        <v>2821040556</v>
      </c>
      <c r="AL9245" t="s">
        <v>13960</v>
      </c>
      <c r="AM9245" t="s">
        <v>88</v>
      </c>
      <c r="AN9245" t="s">
        <v>88</v>
      </c>
      <c r="AO9245" t="s">
        <v>88</v>
      </c>
      <c r="AP9245" t="s">
        <v>88</v>
      </c>
      <c r="AQ9245">
        <v>1</v>
      </c>
      <c r="AR9245" t="s">
        <v>89</v>
      </c>
      <c r="AS9245" t="s">
        <v>90</v>
      </c>
      <c r="AT9245" t="s">
        <v>58</v>
      </c>
      <c r="AU9245" t="s">
        <v>68</v>
      </c>
      <c r="AV9245" t="s">
        <v>69</v>
      </c>
      <c r="AW9245" s="1">
        <v>24383</v>
      </c>
      <c r="AX9245">
        <v>1</v>
      </c>
    </row>
    <row r="9246" spans="1:50">
      <c r="B9246" t="str">
        <f>"120131891"</f>
        <v>120131891</v>
      </c>
      <c r="C9246" t="s">
        <v>105</v>
      </c>
      <c r="D9246" t="s">
        <v>8881</v>
      </c>
      <c r="E9246" t="s">
        <v>95</v>
      </c>
      <c r="F9246" t="s">
        <v>698</v>
      </c>
      <c r="G9246" t="s">
        <v>934</v>
      </c>
      <c r="H9246" t="str">
        <f>"ΜΑΡΑΘΩΝΟΣ 15 "</f>
        <v xml:space="preserve">ΜΑΡΑΘΩΝΟΣ 15 </v>
      </c>
      <c r="I9246">
        <v>62124</v>
      </c>
      <c r="J9246">
        <v>2321063246</v>
      </c>
      <c r="K9246">
        <v>6944670289</v>
      </c>
      <c r="N9246" t="s">
        <v>615</v>
      </c>
      <c r="O9246" t="s">
        <v>616</v>
      </c>
      <c r="R9246" t="s">
        <v>159</v>
      </c>
      <c r="S9246">
        <v>5</v>
      </c>
      <c r="T9246" t="s">
        <v>8675</v>
      </c>
      <c r="U9246" s="1">
        <v>43348</v>
      </c>
      <c r="V9246" t="s">
        <v>89</v>
      </c>
      <c r="W9246" t="s">
        <v>90</v>
      </c>
      <c r="X9246" t="s">
        <v>58</v>
      </c>
      <c r="Y9246">
        <v>24</v>
      </c>
      <c r="Z9246" t="s">
        <v>59</v>
      </c>
      <c r="AA9246" t="s">
        <v>59</v>
      </c>
      <c r="AB9246" t="s">
        <v>59</v>
      </c>
      <c r="AC9246" t="s">
        <v>59</v>
      </c>
      <c r="AD9246" t="s">
        <v>59</v>
      </c>
      <c r="AF9246" s="1">
        <v>43348</v>
      </c>
      <c r="AG9246" t="s">
        <v>8645</v>
      </c>
      <c r="AH9246" t="s">
        <v>8646</v>
      </c>
      <c r="AI9246" t="str">
        <f>"9500148"</f>
        <v>9500148</v>
      </c>
      <c r="AJ9246" t="s">
        <v>13851</v>
      </c>
      <c r="AK9246">
        <v>2821068328</v>
      </c>
      <c r="AL9246" t="s">
        <v>13852</v>
      </c>
      <c r="AM9246" t="s">
        <v>88</v>
      </c>
      <c r="AN9246" t="s">
        <v>88</v>
      </c>
      <c r="AO9246" t="s">
        <v>6785</v>
      </c>
      <c r="AP9246" t="s">
        <v>13853</v>
      </c>
      <c r="AQ9246">
        <v>3</v>
      </c>
      <c r="AR9246" t="s">
        <v>89</v>
      </c>
      <c r="AS9246" t="s">
        <v>90</v>
      </c>
      <c r="AT9246" t="s">
        <v>58</v>
      </c>
      <c r="AU9246" t="s">
        <v>8673</v>
      </c>
      <c r="AV9246" t="s">
        <v>132</v>
      </c>
      <c r="AW9246" s="1">
        <v>31331</v>
      </c>
      <c r="AX9246">
        <v>1</v>
      </c>
    </row>
    <row r="9247" spans="1:50">
      <c r="A9247">
        <v>584543</v>
      </c>
      <c r="B9247" t="str">
        <f>"038891135"</f>
        <v>038891135</v>
      </c>
      <c r="C9247" t="s">
        <v>105</v>
      </c>
      <c r="D9247" t="s">
        <v>13973</v>
      </c>
      <c r="E9247" t="s">
        <v>2970</v>
      </c>
      <c r="F9247" t="s">
        <v>1392</v>
      </c>
      <c r="G9247" t="s">
        <v>2709</v>
      </c>
      <c r="H9247" t="str">
        <f>"ΑΓ. ΒΑΣΙΛΕΙΟΥ 17 ΠΑΣΑΚΑΚΙ-ΧΑΝΙΑ"</f>
        <v>ΑΓ. ΒΑΣΙΛΕΙΟΥ 17 ΠΑΣΑΚΑΚΙ-ΧΑΝΙΑ</v>
      </c>
      <c r="I9247">
        <v>73300</v>
      </c>
      <c r="K9247">
        <v>6978654989</v>
      </c>
      <c r="N9247" t="s">
        <v>615</v>
      </c>
      <c r="O9247" t="s">
        <v>616</v>
      </c>
      <c r="R9247" t="s">
        <v>57</v>
      </c>
      <c r="S9247">
        <v>12</v>
      </c>
      <c r="T9247">
        <v>165</v>
      </c>
      <c r="U9247" s="1">
        <v>36040</v>
      </c>
      <c r="V9247" t="s">
        <v>89</v>
      </c>
      <c r="W9247" t="s">
        <v>90</v>
      </c>
      <c r="X9247" t="s">
        <v>58</v>
      </c>
      <c r="Y9247">
        <v>21</v>
      </c>
      <c r="Z9247" t="s">
        <v>59</v>
      </c>
      <c r="AA9247" t="s">
        <v>59</v>
      </c>
      <c r="AB9247" t="s">
        <v>59</v>
      </c>
      <c r="AC9247" t="s">
        <v>59</v>
      </c>
      <c r="AD9247" t="s">
        <v>59</v>
      </c>
      <c r="AF9247" s="1">
        <v>36040</v>
      </c>
      <c r="AG9247" t="s">
        <v>8645</v>
      </c>
      <c r="AH9247" t="s">
        <v>8646</v>
      </c>
      <c r="AI9247" t="str">
        <f>"9500077"</f>
        <v>9500077</v>
      </c>
      <c r="AJ9247" t="s">
        <v>13903</v>
      </c>
      <c r="AK9247">
        <v>2821054404</v>
      </c>
      <c r="AL9247" t="s">
        <v>13904</v>
      </c>
      <c r="AM9247" t="s">
        <v>88</v>
      </c>
      <c r="AN9247" t="s">
        <v>88</v>
      </c>
      <c r="AO9247" t="s">
        <v>88</v>
      </c>
      <c r="AP9247" t="s">
        <v>88</v>
      </c>
      <c r="AQ9247">
        <v>1</v>
      </c>
      <c r="AR9247" t="s">
        <v>89</v>
      </c>
      <c r="AS9247" t="s">
        <v>90</v>
      </c>
      <c r="AT9247" t="s">
        <v>58</v>
      </c>
      <c r="AU9247" t="s">
        <v>68</v>
      </c>
      <c r="AV9247" t="s">
        <v>69</v>
      </c>
      <c r="AW9247" s="1">
        <v>23774</v>
      </c>
      <c r="AX9247">
        <v>1</v>
      </c>
    </row>
    <row r="9248" spans="1:50">
      <c r="A9248">
        <v>576040</v>
      </c>
      <c r="B9248" t="str">
        <f>"063806729"</f>
        <v>063806729</v>
      </c>
      <c r="C9248" t="s">
        <v>50</v>
      </c>
      <c r="D9248" t="s">
        <v>13974</v>
      </c>
      <c r="E9248" t="s">
        <v>255</v>
      </c>
      <c r="F9248" t="s">
        <v>995</v>
      </c>
      <c r="G9248" t="s">
        <v>290</v>
      </c>
      <c r="H9248" t="str">
        <f>"ΙΔΗΣ 13 ΧΑΝΙΑ"</f>
        <v>ΙΔΗΣ 13 ΧΑΝΙΑ</v>
      </c>
      <c r="I9248">
        <v>73135</v>
      </c>
      <c r="J9248">
        <v>2821094891</v>
      </c>
      <c r="M9248" t="s">
        <v>13975</v>
      </c>
      <c r="N9248" t="s">
        <v>1525</v>
      </c>
      <c r="O9248" t="s">
        <v>1526</v>
      </c>
      <c r="R9248" t="s">
        <v>57</v>
      </c>
      <c r="S9248">
        <v>12</v>
      </c>
      <c r="T9248">
        <v>184</v>
      </c>
      <c r="U9248" s="1">
        <v>34941</v>
      </c>
      <c r="V9248" t="s">
        <v>89</v>
      </c>
      <c r="W9248" t="s">
        <v>90</v>
      </c>
      <c r="X9248" t="s">
        <v>58</v>
      </c>
      <c r="Y9248">
        <v>25</v>
      </c>
      <c r="Z9248" t="s">
        <v>59</v>
      </c>
      <c r="AA9248" t="s">
        <v>59</v>
      </c>
      <c r="AB9248" t="s">
        <v>59</v>
      </c>
      <c r="AC9248" t="s">
        <v>59</v>
      </c>
      <c r="AD9248" t="s">
        <v>59</v>
      </c>
      <c r="AF9248" s="1">
        <v>34943</v>
      </c>
      <c r="AG9248" t="s">
        <v>8651</v>
      </c>
      <c r="AH9248" t="s">
        <v>8652</v>
      </c>
      <c r="AI9248" t="str">
        <f>"9500250"</f>
        <v>9500250</v>
      </c>
      <c r="AJ9248" t="s">
        <v>13976</v>
      </c>
      <c r="AK9248">
        <v>2821071236</v>
      </c>
      <c r="AL9248" t="s">
        <v>13977</v>
      </c>
      <c r="AM9248" t="s">
        <v>88</v>
      </c>
      <c r="AN9248" t="s">
        <v>88</v>
      </c>
      <c r="AO9248" t="s">
        <v>88</v>
      </c>
      <c r="AP9248" t="s">
        <v>88</v>
      </c>
      <c r="AQ9248">
        <v>1</v>
      </c>
      <c r="AR9248" t="s">
        <v>89</v>
      </c>
      <c r="AS9248" t="s">
        <v>90</v>
      </c>
      <c r="AT9248" t="s">
        <v>58</v>
      </c>
      <c r="AU9248" t="s">
        <v>68</v>
      </c>
      <c r="AV9248" t="s">
        <v>69</v>
      </c>
      <c r="AW9248" s="1">
        <v>24084</v>
      </c>
      <c r="AX9248">
        <v>1</v>
      </c>
    </row>
    <row r="9249" spans="1:50">
      <c r="A9249">
        <v>551587</v>
      </c>
      <c r="B9249" t="str">
        <f>"028122690"</f>
        <v>028122690</v>
      </c>
      <c r="C9249" t="s">
        <v>105</v>
      </c>
      <c r="D9249" t="s">
        <v>13978</v>
      </c>
      <c r="E9249" t="s">
        <v>166</v>
      </c>
      <c r="F9249" t="s">
        <v>760</v>
      </c>
      <c r="G9249" t="s">
        <v>52</v>
      </c>
      <c r="H9249" t="str">
        <f>" "</f>
        <v xml:space="preserve"> </v>
      </c>
      <c r="N9249" t="s">
        <v>615</v>
      </c>
      <c r="O9249" t="s">
        <v>616</v>
      </c>
      <c r="R9249" t="s">
        <v>57</v>
      </c>
      <c r="S9249">
        <v>19</v>
      </c>
      <c r="T9249">
        <v>271</v>
      </c>
      <c r="U9249" s="1">
        <v>30923</v>
      </c>
      <c r="V9249" t="s">
        <v>89</v>
      </c>
      <c r="W9249" t="s">
        <v>90</v>
      </c>
      <c r="X9249" t="s">
        <v>58</v>
      </c>
      <c r="Y9249">
        <v>21</v>
      </c>
      <c r="Z9249" t="s">
        <v>59</v>
      </c>
      <c r="AA9249" t="s">
        <v>59</v>
      </c>
      <c r="AB9249" t="s">
        <v>59</v>
      </c>
      <c r="AC9249" t="s">
        <v>59</v>
      </c>
      <c r="AD9249" t="s">
        <v>59</v>
      </c>
      <c r="AF9249" s="1">
        <v>30923</v>
      </c>
      <c r="AG9249" t="s">
        <v>8645</v>
      </c>
      <c r="AH9249" t="s">
        <v>8646</v>
      </c>
      <c r="AI9249" t="str">
        <f>"9500035"</f>
        <v>9500035</v>
      </c>
      <c r="AJ9249" t="s">
        <v>13979</v>
      </c>
      <c r="AK9249">
        <v>2821094678</v>
      </c>
      <c r="AL9249" t="s">
        <v>13980</v>
      </c>
      <c r="AM9249" t="s">
        <v>88</v>
      </c>
      <c r="AN9249" t="s">
        <v>88</v>
      </c>
      <c r="AO9249" t="s">
        <v>88</v>
      </c>
      <c r="AP9249" t="s">
        <v>88</v>
      </c>
      <c r="AQ9249">
        <v>2</v>
      </c>
      <c r="AR9249" t="s">
        <v>89</v>
      </c>
      <c r="AS9249" t="s">
        <v>90</v>
      </c>
      <c r="AT9249" t="s">
        <v>58</v>
      </c>
      <c r="AU9249" t="s">
        <v>68</v>
      </c>
      <c r="AV9249" t="s">
        <v>69</v>
      </c>
      <c r="AW9249" s="1">
        <v>22496</v>
      </c>
      <c r="AX9249">
        <v>1</v>
      </c>
    </row>
    <row r="9250" spans="1:50">
      <c r="A9250">
        <v>621295</v>
      </c>
      <c r="B9250" t="str">
        <f>"136424276"</f>
        <v>136424276</v>
      </c>
      <c r="C9250" t="s">
        <v>50</v>
      </c>
      <c r="D9250" t="s">
        <v>523</v>
      </c>
      <c r="E9250" t="s">
        <v>9669</v>
      </c>
      <c r="F9250" t="s">
        <v>72</v>
      </c>
      <c r="G9250" t="s">
        <v>73</v>
      </c>
      <c r="H9250" t="str">
        <f>"25Η ΜΑΡΤΙΟΥ 43 ΣΟΥΔΑ ΧΑΝΙΑ"</f>
        <v>25Η ΜΑΡΤΙΟΥ 43 ΣΟΥΔΑ ΧΑΝΙΑ</v>
      </c>
      <c r="I9250">
        <v>73200</v>
      </c>
      <c r="J9250">
        <v>2821089677</v>
      </c>
      <c r="K9250">
        <v>6976844583</v>
      </c>
      <c r="N9250" t="s">
        <v>615</v>
      </c>
      <c r="O9250" t="s">
        <v>616</v>
      </c>
      <c r="R9250" t="s">
        <v>57</v>
      </c>
      <c r="S9250">
        <v>7</v>
      </c>
      <c r="T9250">
        <v>653</v>
      </c>
      <c r="U9250" s="1">
        <v>40043</v>
      </c>
      <c r="V9250" t="s">
        <v>89</v>
      </c>
      <c r="W9250" t="s">
        <v>90</v>
      </c>
      <c r="X9250" t="s">
        <v>58</v>
      </c>
      <c r="Y9250">
        <v>23</v>
      </c>
      <c r="Z9250" t="s">
        <v>59</v>
      </c>
      <c r="AA9250" t="s">
        <v>59</v>
      </c>
      <c r="AB9250" t="s">
        <v>59</v>
      </c>
      <c r="AC9250" t="s">
        <v>59</v>
      </c>
      <c r="AD9250" t="s">
        <v>59</v>
      </c>
      <c r="AF9250" s="1">
        <v>40057</v>
      </c>
      <c r="AG9250" t="s">
        <v>8645</v>
      </c>
      <c r="AH9250" t="s">
        <v>8646</v>
      </c>
      <c r="AI9250" t="str">
        <f>"9500408"</f>
        <v>9500408</v>
      </c>
      <c r="AJ9250" t="s">
        <v>13981</v>
      </c>
      <c r="AK9250">
        <v>2821081655</v>
      </c>
      <c r="AL9250" t="s">
        <v>13982</v>
      </c>
      <c r="AM9250" t="s">
        <v>88</v>
      </c>
      <c r="AN9250" t="s">
        <v>88</v>
      </c>
      <c r="AO9250" t="s">
        <v>6748</v>
      </c>
      <c r="AP9250" t="s">
        <v>6748</v>
      </c>
      <c r="AQ9250">
        <v>2</v>
      </c>
      <c r="AR9250" t="s">
        <v>89</v>
      </c>
      <c r="AS9250" t="s">
        <v>90</v>
      </c>
      <c r="AT9250" t="s">
        <v>58</v>
      </c>
      <c r="AU9250" t="s">
        <v>68</v>
      </c>
      <c r="AV9250" t="s">
        <v>69</v>
      </c>
      <c r="AW9250" s="1">
        <v>31317</v>
      </c>
      <c r="AX9250">
        <v>1</v>
      </c>
    </row>
    <row r="9251" spans="1:50">
      <c r="A9251">
        <v>579483</v>
      </c>
      <c r="B9251" t="str">
        <f>"052947139"</f>
        <v>052947139</v>
      </c>
      <c r="C9251" t="s">
        <v>105</v>
      </c>
      <c r="D9251" t="s">
        <v>13983</v>
      </c>
      <c r="E9251" t="s">
        <v>304</v>
      </c>
      <c r="F9251" t="s">
        <v>383</v>
      </c>
      <c r="G9251" t="s">
        <v>13984</v>
      </c>
      <c r="H9251" t="str">
        <f>"ΡΟΥΦΟΥ 4 ΧΑΝΙΑ"</f>
        <v>ΡΟΥΦΟΥ 4 ΧΑΝΙΑ</v>
      </c>
      <c r="I9251">
        <v>73132</v>
      </c>
      <c r="J9251">
        <v>2821051080</v>
      </c>
      <c r="N9251" t="s">
        <v>615</v>
      </c>
      <c r="O9251" t="s">
        <v>616</v>
      </c>
      <c r="R9251" t="s">
        <v>57</v>
      </c>
      <c r="S9251">
        <v>12</v>
      </c>
      <c r="T9251">
        <v>165</v>
      </c>
      <c r="U9251" s="1">
        <v>35300</v>
      </c>
      <c r="V9251" t="s">
        <v>89</v>
      </c>
      <c r="W9251" t="s">
        <v>90</v>
      </c>
      <c r="X9251" t="s">
        <v>58</v>
      </c>
      <c r="Y9251">
        <v>21</v>
      </c>
      <c r="Z9251" t="s">
        <v>59</v>
      </c>
      <c r="AA9251" t="s">
        <v>59</v>
      </c>
      <c r="AB9251" t="s">
        <v>59</v>
      </c>
      <c r="AC9251" t="s">
        <v>59</v>
      </c>
      <c r="AD9251" t="s">
        <v>59</v>
      </c>
      <c r="AF9251" s="1">
        <v>35300</v>
      </c>
      <c r="AG9251" t="s">
        <v>8645</v>
      </c>
      <c r="AH9251" t="s">
        <v>8646</v>
      </c>
      <c r="AI9251" t="str">
        <f>"9500040"</f>
        <v>9500040</v>
      </c>
      <c r="AJ9251" t="s">
        <v>13906</v>
      </c>
      <c r="AK9251">
        <v>2821045356</v>
      </c>
      <c r="AL9251" t="s">
        <v>13907</v>
      </c>
      <c r="AM9251" t="s">
        <v>88</v>
      </c>
      <c r="AN9251" t="s">
        <v>88</v>
      </c>
      <c r="AO9251" t="s">
        <v>88</v>
      </c>
      <c r="AP9251" t="s">
        <v>88</v>
      </c>
      <c r="AQ9251">
        <v>1</v>
      </c>
      <c r="AR9251" t="s">
        <v>89</v>
      </c>
      <c r="AS9251" t="s">
        <v>90</v>
      </c>
      <c r="AT9251" t="s">
        <v>58</v>
      </c>
      <c r="AU9251" t="s">
        <v>68</v>
      </c>
      <c r="AV9251" t="s">
        <v>69</v>
      </c>
      <c r="AW9251" s="1">
        <v>24538</v>
      </c>
      <c r="AX9251">
        <v>1</v>
      </c>
    </row>
    <row r="9252" spans="1:50">
      <c r="A9252">
        <v>557289</v>
      </c>
      <c r="B9252" t="str">
        <f>"048020903"</f>
        <v>048020903</v>
      </c>
      <c r="C9252" t="s">
        <v>50</v>
      </c>
      <c r="D9252" t="s">
        <v>13985</v>
      </c>
      <c r="E9252" t="s">
        <v>1189</v>
      </c>
      <c r="F9252" t="s">
        <v>920</v>
      </c>
      <c r="G9252" t="s">
        <v>1068</v>
      </c>
      <c r="H9252" t="str">
        <f>"ΓΕΡΟΥΛΑΝΟΥ 22 ΑΛΙΜΟΣ"</f>
        <v>ΓΕΡΟΥΛΑΝΟΥ 22 ΑΛΙΜΟΣ</v>
      </c>
      <c r="I9252">
        <v>17455</v>
      </c>
      <c r="J9252">
        <v>2109628881</v>
      </c>
      <c r="K9252">
        <v>6972307367</v>
      </c>
      <c r="N9252" t="s">
        <v>615</v>
      </c>
      <c r="O9252" t="s">
        <v>616</v>
      </c>
      <c r="P9252" t="s">
        <v>299</v>
      </c>
      <c r="Q9252" t="s">
        <v>300</v>
      </c>
      <c r="R9252" t="s">
        <v>57</v>
      </c>
      <c r="S9252">
        <v>16</v>
      </c>
      <c r="T9252">
        <v>168</v>
      </c>
      <c r="U9252" s="1">
        <v>32010</v>
      </c>
      <c r="V9252" t="s">
        <v>89</v>
      </c>
      <c r="W9252" t="s">
        <v>90</v>
      </c>
      <c r="X9252" t="s">
        <v>58</v>
      </c>
      <c r="Y9252">
        <v>21</v>
      </c>
      <c r="Z9252" t="s">
        <v>59</v>
      </c>
      <c r="AA9252" t="s">
        <v>59</v>
      </c>
      <c r="AB9252" t="s">
        <v>59</v>
      </c>
      <c r="AC9252" t="s">
        <v>59</v>
      </c>
      <c r="AD9252" t="s">
        <v>59</v>
      </c>
      <c r="AF9252" s="1">
        <v>32021</v>
      </c>
      <c r="AG9252" t="s">
        <v>8645</v>
      </c>
      <c r="AH9252" t="s">
        <v>8646</v>
      </c>
      <c r="AI9252" t="str">
        <f>"9500191"</f>
        <v>9500191</v>
      </c>
      <c r="AJ9252" t="s">
        <v>13986</v>
      </c>
      <c r="AK9252">
        <v>2822022042</v>
      </c>
      <c r="AL9252" t="s">
        <v>13987</v>
      </c>
      <c r="AM9252" t="s">
        <v>88</v>
      </c>
      <c r="AN9252" t="s">
        <v>6744</v>
      </c>
      <c r="AO9252" t="s">
        <v>6744</v>
      </c>
      <c r="AP9252" t="s">
        <v>6744</v>
      </c>
      <c r="AQ9252">
        <v>9</v>
      </c>
      <c r="AR9252" t="s">
        <v>89</v>
      </c>
      <c r="AS9252" t="s">
        <v>90</v>
      </c>
      <c r="AT9252" t="s">
        <v>58</v>
      </c>
      <c r="AU9252" t="s">
        <v>68</v>
      </c>
      <c r="AV9252" t="s">
        <v>69</v>
      </c>
      <c r="AW9252" s="1">
        <v>21087</v>
      </c>
      <c r="AX9252">
        <v>1</v>
      </c>
    </row>
    <row r="9253" spans="1:50">
      <c r="A9253">
        <v>574305</v>
      </c>
      <c r="B9253" t="str">
        <f>"037873513"</f>
        <v>037873513</v>
      </c>
      <c r="C9253" t="s">
        <v>50</v>
      </c>
      <c r="D9253" t="s">
        <v>13985</v>
      </c>
      <c r="E9253" t="s">
        <v>367</v>
      </c>
      <c r="F9253" t="s">
        <v>84</v>
      </c>
      <c r="G9253" t="s">
        <v>563</v>
      </c>
      <c r="H9253" t="str">
        <f>"ΠΟΛΟΓΙΩΡΓΗ 27 ΧΑΝΙΑ"</f>
        <v>ΠΟΛΟΓΙΩΡΓΗ 27 ΧΑΝΙΑ</v>
      </c>
      <c r="I9253">
        <v>73134</v>
      </c>
      <c r="J9253">
        <v>2821050019</v>
      </c>
      <c r="K9253">
        <v>6977390279</v>
      </c>
      <c r="N9253" t="s">
        <v>615</v>
      </c>
      <c r="O9253" t="s">
        <v>616</v>
      </c>
      <c r="R9253" t="s">
        <v>57</v>
      </c>
      <c r="S9253">
        <v>14</v>
      </c>
      <c r="T9253">
        <v>160</v>
      </c>
      <c r="U9253" s="1">
        <v>34582</v>
      </c>
      <c r="V9253" t="s">
        <v>89</v>
      </c>
      <c r="W9253" t="s">
        <v>90</v>
      </c>
      <c r="X9253" t="s">
        <v>58</v>
      </c>
      <c r="Y9253">
        <v>21</v>
      </c>
      <c r="Z9253" t="s">
        <v>59</v>
      </c>
      <c r="AA9253" t="s">
        <v>59</v>
      </c>
      <c r="AB9253" t="s">
        <v>59</v>
      </c>
      <c r="AC9253" t="s">
        <v>59</v>
      </c>
      <c r="AD9253" t="s">
        <v>59</v>
      </c>
      <c r="AF9253" s="1">
        <v>34582</v>
      </c>
      <c r="AG9253" t="s">
        <v>8645</v>
      </c>
      <c r="AH9253" t="s">
        <v>8646</v>
      </c>
      <c r="AI9253" t="str">
        <f>"9500078"</f>
        <v>9500078</v>
      </c>
      <c r="AJ9253" t="s">
        <v>13988</v>
      </c>
      <c r="AK9253">
        <v>2821028788</v>
      </c>
      <c r="AL9253" t="s">
        <v>13989</v>
      </c>
      <c r="AM9253" t="s">
        <v>88</v>
      </c>
      <c r="AN9253" t="s">
        <v>88</v>
      </c>
      <c r="AO9253" t="s">
        <v>88</v>
      </c>
      <c r="AP9253" t="s">
        <v>88</v>
      </c>
      <c r="AQ9253">
        <v>1</v>
      </c>
      <c r="AR9253" t="s">
        <v>89</v>
      </c>
      <c r="AS9253" t="s">
        <v>90</v>
      </c>
      <c r="AT9253" t="s">
        <v>58</v>
      </c>
      <c r="AU9253" t="s">
        <v>68</v>
      </c>
      <c r="AV9253" t="s">
        <v>69</v>
      </c>
      <c r="AW9253" s="1">
        <v>24290</v>
      </c>
      <c r="AX9253">
        <v>1</v>
      </c>
    </row>
    <row r="9254" spans="1:50">
      <c r="B9254" t="str">
        <f>"302204481"</f>
        <v>302204481</v>
      </c>
      <c r="C9254" t="s">
        <v>50</v>
      </c>
      <c r="D9254" t="s">
        <v>13990</v>
      </c>
      <c r="E9254" t="s">
        <v>13991</v>
      </c>
      <c r="F9254" t="s">
        <v>510</v>
      </c>
      <c r="G9254" t="s">
        <v>4493</v>
      </c>
      <c r="H9254" t="str">
        <f>" "</f>
        <v xml:space="preserve"> </v>
      </c>
      <c r="N9254" t="s">
        <v>683</v>
      </c>
      <c r="O9254" t="s">
        <v>684</v>
      </c>
      <c r="R9254" t="s">
        <v>121</v>
      </c>
      <c r="S9254">
        <v>1</v>
      </c>
      <c r="T9254" t="s">
        <v>8675</v>
      </c>
      <c r="U9254" s="1">
        <v>43348</v>
      </c>
      <c r="V9254" t="s">
        <v>89</v>
      </c>
      <c r="W9254" t="s">
        <v>90</v>
      </c>
      <c r="X9254" t="s">
        <v>58</v>
      </c>
      <c r="Y9254">
        <v>24</v>
      </c>
      <c r="Z9254" t="s">
        <v>59</v>
      </c>
      <c r="AD9254" t="s">
        <v>59</v>
      </c>
      <c r="AF9254" s="1">
        <v>43348</v>
      </c>
      <c r="AG9254" t="s">
        <v>8645</v>
      </c>
      <c r="AH9254" t="s">
        <v>8646</v>
      </c>
      <c r="AI9254" t="str">
        <f>"9500218"</f>
        <v>9500218</v>
      </c>
      <c r="AJ9254" t="s">
        <v>13992</v>
      </c>
      <c r="AK9254">
        <v>2824022216</v>
      </c>
      <c r="AL9254" t="s">
        <v>13993</v>
      </c>
      <c r="AM9254" t="s">
        <v>88</v>
      </c>
      <c r="AN9254" t="s">
        <v>6764</v>
      </c>
      <c r="AO9254" t="s">
        <v>6799</v>
      </c>
      <c r="AP9254" t="s">
        <v>6799</v>
      </c>
      <c r="AQ9254">
        <v>6</v>
      </c>
      <c r="AR9254" t="s">
        <v>89</v>
      </c>
      <c r="AS9254" t="s">
        <v>90</v>
      </c>
      <c r="AT9254" t="s">
        <v>58</v>
      </c>
      <c r="AU9254" t="s">
        <v>8673</v>
      </c>
      <c r="AV9254" t="s">
        <v>132</v>
      </c>
      <c r="AW9254" s="1">
        <v>33422</v>
      </c>
      <c r="AX9254">
        <v>1</v>
      </c>
    </row>
    <row r="9255" spans="1:50">
      <c r="A9255">
        <v>594253</v>
      </c>
      <c r="B9255" t="str">
        <f>"101593115"</f>
        <v>101593115</v>
      </c>
      <c r="C9255" t="s">
        <v>50</v>
      </c>
      <c r="D9255" t="s">
        <v>4586</v>
      </c>
      <c r="E9255" t="s">
        <v>73</v>
      </c>
      <c r="F9255" t="s">
        <v>72</v>
      </c>
      <c r="G9255" t="s">
        <v>52</v>
      </c>
      <c r="H9255" t="str">
        <f>" "</f>
        <v xml:space="preserve"> </v>
      </c>
      <c r="N9255" t="s">
        <v>615</v>
      </c>
      <c r="O9255" t="s">
        <v>616</v>
      </c>
      <c r="R9255" t="s">
        <v>57</v>
      </c>
      <c r="S9255">
        <v>8</v>
      </c>
      <c r="T9255">
        <v>218</v>
      </c>
      <c r="U9255" s="1">
        <v>37134</v>
      </c>
      <c r="V9255" t="s">
        <v>89</v>
      </c>
      <c r="W9255" t="s">
        <v>90</v>
      </c>
      <c r="X9255" t="s">
        <v>58</v>
      </c>
      <c r="Y9255">
        <v>22</v>
      </c>
      <c r="Z9255" t="s">
        <v>59</v>
      </c>
      <c r="AA9255" t="s">
        <v>59</v>
      </c>
      <c r="AB9255" t="s">
        <v>59</v>
      </c>
      <c r="AC9255" t="s">
        <v>59</v>
      </c>
      <c r="AD9255" t="s">
        <v>59</v>
      </c>
      <c r="AF9255" s="1">
        <v>37134</v>
      </c>
      <c r="AG9255" t="s">
        <v>8645</v>
      </c>
      <c r="AH9255" t="s">
        <v>8646</v>
      </c>
      <c r="AI9255" t="str">
        <f>"9500084"</f>
        <v>9500084</v>
      </c>
      <c r="AJ9255" t="s">
        <v>13994</v>
      </c>
      <c r="AK9255">
        <v>2821031270</v>
      </c>
      <c r="AL9255" t="s">
        <v>13995</v>
      </c>
      <c r="AM9255" t="s">
        <v>88</v>
      </c>
      <c r="AN9255" t="s">
        <v>88</v>
      </c>
      <c r="AO9255" t="s">
        <v>13920</v>
      </c>
      <c r="AP9255" t="s">
        <v>13996</v>
      </c>
      <c r="AQ9255">
        <v>3</v>
      </c>
      <c r="AR9255" t="s">
        <v>89</v>
      </c>
      <c r="AS9255" t="s">
        <v>90</v>
      </c>
      <c r="AT9255" t="s">
        <v>58</v>
      </c>
      <c r="AU9255" t="s">
        <v>68</v>
      </c>
      <c r="AV9255" t="s">
        <v>69</v>
      </c>
      <c r="AW9255" s="1">
        <v>28538</v>
      </c>
      <c r="AX9255">
        <v>1</v>
      </c>
    </row>
    <row r="9256" spans="1:50">
      <c r="A9256">
        <v>567979</v>
      </c>
      <c r="B9256" t="str">
        <f>"101592978"</f>
        <v>101592978</v>
      </c>
      <c r="C9256" t="s">
        <v>50</v>
      </c>
      <c r="D9256" t="s">
        <v>13997</v>
      </c>
      <c r="E9256" t="s">
        <v>1085</v>
      </c>
      <c r="F9256" t="s">
        <v>3049</v>
      </c>
      <c r="G9256" t="s">
        <v>13998</v>
      </c>
      <c r="H9256" t="str">
        <f>"ΘΕΜΙΣΤΟΚΛΕΟΥΣ 10 ΧΑΝΙΑ"</f>
        <v>ΘΕΜΙΣΤΟΚΛΕΟΥΣ 10 ΧΑΝΙΑ</v>
      </c>
      <c r="I9256">
        <v>73100</v>
      </c>
      <c r="J9256">
        <v>2821032806</v>
      </c>
      <c r="K9256">
        <v>6974700107</v>
      </c>
      <c r="M9256" t="s">
        <v>13999</v>
      </c>
      <c r="N9256" t="s">
        <v>1525</v>
      </c>
      <c r="O9256" t="s">
        <v>1526</v>
      </c>
      <c r="R9256" t="s">
        <v>57</v>
      </c>
      <c r="S9256">
        <v>16</v>
      </c>
      <c r="T9256">
        <v>133</v>
      </c>
      <c r="U9256" s="1">
        <v>33456</v>
      </c>
      <c r="V9256" t="s">
        <v>89</v>
      </c>
      <c r="W9256" t="s">
        <v>90</v>
      </c>
      <c r="X9256" t="s">
        <v>58</v>
      </c>
      <c r="Y9256">
        <v>25</v>
      </c>
      <c r="Z9256" t="s">
        <v>59</v>
      </c>
      <c r="AA9256" t="s">
        <v>59</v>
      </c>
      <c r="AB9256" t="s">
        <v>59</v>
      </c>
      <c r="AC9256" t="s">
        <v>59</v>
      </c>
      <c r="AD9256" t="s">
        <v>59</v>
      </c>
      <c r="AF9256" s="1">
        <v>33485</v>
      </c>
      <c r="AG9256" t="s">
        <v>8651</v>
      </c>
      <c r="AH9256" t="s">
        <v>8652</v>
      </c>
      <c r="AI9256" t="str">
        <f>"9500368"</f>
        <v>9500368</v>
      </c>
      <c r="AJ9256" t="s">
        <v>14000</v>
      </c>
      <c r="AK9256">
        <v>2821031690</v>
      </c>
      <c r="AL9256" t="s">
        <v>14001</v>
      </c>
      <c r="AM9256" t="s">
        <v>88</v>
      </c>
      <c r="AN9256" t="s">
        <v>88</v>
      </c>
      <c r="AO9256" t="s">
        <v>6785</v>
      </c>
      <c r="AP9256" t="s">
        <v>13932</v>
      </c>
      <c r="AQ9256">
        <v>3</v>
      </c>
      <c r="AR9256" t="s">
        <v>89</v>
      </c>
      <c r="AS9256" t="s">
        <v>90</v>
      </c>
      <c r="AT9256" t="s">
        <v>58</v>
      </c>
      <c r="AU9256" t="s">
        <v>68</v>
      </c>
      <c r="AV9256" t="s">
        <v>69</v>
      </c>
      <c r="AW9256" s="1">
        <v>24161</v>
      </c>
      <c r="AX9256">
        <v>1</v>
      </c>
    </row>
    <row r="9257" spans="1:50">
      <c r="A9257">
        <v>607748</v>
      </c>
      <c r="B9257" t="str">
        <f>"039793465"</f>
        <v>039793465</v>
      </c>
      <c r="C9257" t="s">
        <v>105</v>
      </c>
      <c r="D9257" t="s">
        <v>5716</v>
      </c>
      <c r="E9257" t="s">
        <v>670</v>
      </c>
      <c r="F9257" t="s">
        <v>450</v>
      </c>
      <c r="G9257" t="s">
        <v>1164</v>
      </c>
      <c r="H9257" t="str">
        <f>" "</f>
        <v xml:space="preserve"> </v>
      </c>
      <c r="J9257">
        <v>2105769883</v>
      </c>
      <c r="K9257">
        <v>6936684695</v>
      </c>
      <c r="N9257" t="s">
        <v>615</v>
      </c>
      <c r="O9257" t="s">
        <v>616</v>
      </c>
      <c r="R9257" t="s">
        <v>57</v>
      </c>
      <c r="S9257">
        <v>13</v>
      </c>
      <c r="T9257">
        <v>217</v>
      </c>
      <c r="U9257" s="1">
        <v>38596</v>
      </c>
      <c r="V9257" t="s">
        <v>89</v>
      </c>
      <c r="W9257" t="s">
        <v>90</v>
      </c>
      <c r="X9257" t="s">
        <v>58</v>
      </c>
      <c r="Y9257">
        <v>25</v>
      </c>
      <c r="Z9257" t="s">
        <v>59</v>
      </c>
      <c r="AA9257" t="s">
        <v>59</v>
      </c>
      <c r="AB9257" t="s">
        <v>59</v>
      </c>
      <c r="AC9257" t="s">
        <v>59</v>
      </c>
      <c r="AD9257" t="s">
        <v>59</v>
      </c>
      <c r="AF9257" s="1">
        <v>38596</v>
      </c>
      <c r="AG9257" t="s">
        <v>8645</v>
      </c>
      <c r="AH9257" t="s">
        <v>8676</v>
      </c>
      <c r="AI9257" t="str">
        <f>"9521626"</f>
        <v>9521626</v>
      </c>
      <c r="AJ9257" t="s">
        <v>14002</v>
      </c>
      <c r="AM9257" t="s">
        <v>88</v>
      </c>
      <c r="AN9257" t="s">
        <v>88</v>
      </c>
      <c r="AO9257" t="s">
        <v>88</v>
      </c>
      <c r="AP9257" t="s">
        <v>88</v>
      </c>
      <c r="AR9257" t="s">
        <v>89</v>
      </c>
      <c r="AS9257" t="s">
        <v>90</v>
      </c>
      <c r="AT9257" t="s">
        <v>58</v>
      </c>
      <c r="AU9257" t="s">
        <v>68</v>
      </c>
      <c r="AV9257" t="s">
        <v>69</v>
      </c>
      <c r="AW9257" s="1">
        <v>25182</v>
      </c>
      <c r="AX9257">
        <v>1</v>
      </c>
    </row>
    <row r="9258" spans="1:50">
      <c r="B9258" t="str">
        <f>"066846468"</f>
        <v>066846468</v>
      </c>
      <c r="C9258" t="s">
        <v>105</v>
      </c>
      <c r="D9258" t="s">
        <v>585</v>
      </c>
      <c r="E9258" t="s">
        <v>408</v>
      </c>
      <c r="F9258" t="s">
        <v>106</v>
      </c>
      <c r="G9258" t="s">
        <v>5820</v>
      </c>
      <c r="H9258" t="str">
        <f>"ΚΟΡΑΚΙΕΣ ΑΚΡΩΤΗΡΙΟΥ ΧΑΝΙΑ"</f>
        <v>ΚΟΡΑΚΙΕΣ ΑΚΡΩΤΗΡΙΟΥ ΧΑΝΙΑ</v>
      </c>
      <c r="I9258">
        <v>73100</v>
      </c>
      <c r="J9258">
        <v>2821069498</v>
      </c>
      <c r="K9258">
        <v>6973433959</v>
      </c>
      <c r="N9258" t="s">
        <v>176</v>
      </c>
      <c r="O9258" t="s">
        <v>177</v>
      </c>
      <c r="R9258" t="s">
        <v>159</v>
      </c>
      <c r="S9258">
        <v>6</v>
      </c>
      <c r="T9258" t="s">
        <v>8675</v>
      </c>
      <c r="U9258" s="1">
        <v>43348</v>
      </c>
      <c r="V9258" t="s">
        <v>89</v>
      </c>
      <c r="W9258" t="s">
        <v>90</v>
      </c>
      <c r="X9258" t="s">
        <v>58</v>
      </c>
      <c r="Y9258">
        <v>24</v>
      </c>
      <c r="Z9258" t="s">
        <v>59</v>
      </c>
      <c r="AA9258" t="s">
        <v>59</v>
      </c>
      <c r="AB9258" t="s">
        <v>59</v>
      </c>
      <c r="AC9258" t="s">
        <v>59</v>
      </c>
      <c r="AD9258" t="s">
        <v>59</v>
      </c>
      <c r="AF9258" s="1">
        <v>43348</v>
      </c>
      <c r="AG9258" t="s">
        <v>8645</v>
      </c>
      <c r="AH9258" t="s">
        <v>8646</v>
      </c>
      <c r="AI9258" t="str">
        <f>"9500084"</f>
        <v>9500084</v>
      </c>
      <c r="AJ9258" t="s">
        <v>13994</v>
      </c>
      <c r="AK9258">
        <v>2821031270</v>
      </c>
      <c r="AL9258" t="s">
        <v>13995</v>
      </c>
      <c r="AM9258" t="s">
        <v>88</v>
      </c>
      <c r="AN9258" t="s">
        <v>88</v>
      </c>
      <c r="AO9258" t="s">
        <v>13920</v>
      </c>
      <c r="AP9258" t="s">
        <v>13996</v>
      </c>
      <c r="AQ9258">
        <v>3</v>
      </c>
      <c r="AR9258" t="s">
        <v>89</v>
      </c>
      <c r="AS9258" t="s">
        <v>90</v>
      </c>
      <c r="AT9258" t="s">
        <v>58</v>
      </c>
      <c r="AU9258" t="s">
        <v>8673</v>
      </c>
      <c r="AV9258" t="s">
        <v>132</v>
      </c>
      <c r="AW9258" s="1">
        <v>29278</v>
      </c>
      <c r="AX9258">
        <v>1</v>
      </c>
    </row>
    <row r="9259" spans="1:50">
      <c r="A9259">
        <v>611324</v>
      </c>
      <c r="B9259" t="str">
        <f>"113157345"</f>
        <v>113157345</v>
      </c>
      <c r="C9259" t="s">
        <v>50</v>
      </c>
      <c r="D9259" t="s">
        <v>8937</v>
      </c>
      <c r="E9259" t="s">
        <v>83</v>
      </c>
      <c r="F9259" t="s">
        <v>72</v>
      </c>
      <c r="G9259" t="s">
        <v>513</v>
      </c>
      <c r="H9259" t="str">
        <f>"vasil.amalias 45 k vyronos ΚΑΛΑΜΑΤΑ"</f>
        <v>vasil.amalias 45 k vyronos ΚΑΛΑΜΑΤΑ</v>
      </c>
      <c r="I9259">
        <v>24110</v>
      </c>
      <c r="K9259">
        <v>6976743520</v>
      </c>
      <c r="N9259" t="s">
        <v>1525</v>
      </c>
      <c r="O9259" t="s">
        <v>1526</v>
      </c>
      <c r="R9259" t="s">
        <v>57</v>
      </c>
      <c r="S9259">
        <v>7</v>
      </c>
      <c r="T9259">
        <v>233</v>
      </c>
      <c r="U9259" s="1">
        <v>38960</v>
      </c>
      <c r="V9259" t="s">
        <v>89</v>
      </c>
      <c r="W9259" t="s">
        <v>90</v>
      </c>
      <c r="X9259" t="s">
        <v>58</v>
      </c>
      <c r="Y9259">
        <v>25</v>
      </c>
      <c r="Z9259" t="s">
        <v>59</v>
      </c>
      <c r="AA9259" t="s">
        <v>59</v>
      </c>
      <c r="AB9259" t="s">
        <v>59</v>
      </c>
      <c r="AC9259" t="s">
        <v>59</v>
      </c>
      <c r="AD9259" t="s">
        <v>59</v>
      </c>
      <c r="AF9259" s="1">
        <v>38961</v>
      </c>
      <c r="AG9259" t="s">
        <v>8651</v>
      </c>
      <c r="AH9259" t="s">
        <v>8652</v>
      </c>
      <c r="AI9259" t="str">
        <f>"9500270"</f>
        <v>9500270</v>
      </c>
      <c r="AJ9259" t="s">
        <v>14003</v>
      </c>
      <c r="AK9259">
        <v>2825031104</v>
      </c>
      <c r="AL9259" t="s">
        <v>14004</v>
      </c>
      <c r="AM9259" t="s">
        <v>88</v>
      </c>
      <c r="AN9259" t="s">
        <v>6775</v>
      </c>
      <c r="AO9259" t="s">
        <v>11883</v>
      </c>
      <c r="AP9259" t="s">
        <v>13875</v>
      </c>
      <c r="AQ9259">
        <v>7</v>
      </c>
      <c r="AR9259" t="s">
        <v>89</v>
      </c>
      <c r="AS9259" t="s">
        <v>90</v>
      </c>
      <c r="AT9259" t="s">
        <v>58</v>
      </c>
      <c r="AU9259" t="s">
        <v>68</v>
      </c>
      <c r="AV9259" t="s">
        <v>69</v>
      </c>
      <c r="AW9259" s="1">
        <v>23200</v>
      </c>
      <c r="AX9259">
        <v>1</v>
      </c>
    </row>
    <row r="9260" spans="1:50">
      <c r="A9260">
        <v>594127</v>
      </c>
      <c r="B9260" t="str">
        <f>"101298490"</f>
        <v>101298490</v>
      </c>
      <c r="C9260" t="s">
        <v>50</v>
      </c>
      <c r="D9260" t="s">
        <v>14005</v>
      </c>
      <c r="E9260" t="s">
        <v>255</v>
      </c>
      <c r="F9260" t="s">
        <v>84</v>
      </c>
      <c r="G9260" t="s">
        <v>340</v>
      </c>
      <c r="H9260" t="str">
        <f>" "</f>
        <v xml:space="preserve"> </v>
      </c>
      <c r="N9260" t="s">
        <v>615</v>
      </c>
      <c r="O9260" t="s">
        <v>616</v>
      </c>
      <c r="R9260" t="s">
        <v>57</v>
      </c>
      <c r="S9260">
        <v>8</v>
      </c>
      <c r="T9260">
        <v>218</v>
      </c>
      <c r="U9260" s="1">
        <v>37134</v>
      </c>
      <c r="V9260" t="s">
        <v>89</v>
      </c>
      <c r="W9260" t="s">
        <v>90</v>
      </c>
      <c r="X9260" t="s">
        <v>58</v>
      </c>
      <c r="Y9260">
        <v>22</v>
      </c>
      <c r="Z9260" t="s">
        <v>59</v>
      </c>
      <c r="AA9260" t="s">
        <v>59</v>
      </c>
      <c r="AB9260" t="s">
        <v>59</v>
      </c>
      <c r="AC9260" t="s">
        <v>59</v>
      </c>
      <c r="AD9260" t="s">
        <v>59</v>
      </c>
      <c r="AF9260" s="1">
        <v>37134</v>
      </c>
      <c r="AG9260" t="s">
        <v>8645</v>
      </c>
      <c r="AH9260" t="s">
        <v>8646</v>
      </c>
      <c r="AI9260" t="str">
        <f>"9520693"</f>
        <v>9520693</v>
      </c>
      <c r="AJ9260" t="s">
        <v>13913</v>
      </c>
      <c r="AK9260">
        <v>2821066910</v>
      </c>
      <c r="AL9260" t="s">
        <v>13914</v>
      </c>
      <c r="AM9260" t="s">
        <v>88</v>
      </c>
      <c r="AN9260" t="s">
        <v>88</v>
      </c>
      <c r="AO9260" t="s">
        <v>6770</v>
      </c>
      <c r="AP9260" t="s">
        <v>6771</v>
      </c>
      <c r="AQ9260">
        <v>2</v>
      </c>
      <c r="AR9260" t="s">
        <v>89</v>
      </c>
      <c r="AS9260" t="s">
        <v>90</v>
      </c>
      <c r="AT9260" t="s">
        <v>58</v>
      </c>
      <c r="AU9260" t="s">
        <v>68</v>
      </c>
      <c r="AV9260" t="s">
        <v>69</v>
      </c>
      <c r="AW9260" s="1">
        <v>26024</v>
      </c>
      <c r="AX9260">
        <v>1</v>
      </c>
    </row>
    <row r="9261" spans="1:50">
      <c r="A9261">
        <v>610137</v>
      </c>
      <c r="B9261" t="str">
        <f>"079823407"</f>
        <v>079823407</v>
      </c>
      <c r="C9261" t="s">
        <v>50</v>
      </c>
      <c r="D9261" t="s">
        <v>606</v>
      </c>
      <c r="E9261" t="s">
        <v>658</v>
      </c>
      <c r="F9261" t="s">
        <v>760</v>
      </c>
      <c r="G9261" t="s">
        <v>237</v>
      </c>
      <c r="H9261" t="str">
        <f>" "</f>
        <v xml:space="preserve"> </v>
      </c>
      <c r="J9261">
        <v>2821071751</v>
      </c>
      <c r="K9261">
        <v>6972236984</v>
      </c>
      <c r="M9261" t="s">
        <v>14006</v>
      </c>
      <c r="N9261" t="s">
        <v>615</v>
      </c>
      <c r="O9261" t="s">
        <v>616</v>
      </c>
      <c r="R9261" t="s">
        <v>57</v>
      </c>
      <c r="S9261">
        <v>10</v>
      </c>
      <c r="T9261">
        <v>233</v>
      </c>
      <c r="U9261" s="1">
        <v>38960</v>
      </c>
      <c r="V9261" t="s">
        <v>89</v>
      </c>
      <c r="W9261" t="s">
        <v>90</v>
      </c>
      <c r="X9261" t="s">
        <v>58</v>
      </c>
      <c r="Y9261">
        <v>21</v>
      </c>
      <c r="Z9261" t="s">
        <v>59</v>
      </c>
      <c r="AA9261" t="s">
        <v>59</v>
      </c>
      <c r="AB9261" t="s">
        <v>59</v>
      </c>
      <c r="AC9261" t="s">
        <v>59</v>
      </c>
      <c r="AD9261" t="s">
        <v>59</v>
      </c>
      <c r="AF9261" s="1">
        <v>38960</v>
      </c>
      <c r="AG9261" t="s">
        <v>8645</v>
      </c>
      <c r="AH9261" t="s">
        <v>8646</v>
      </c>
      <c r="AI9261" t="str">
        <f>"9500024"</f>
        <v>9500024</v>
      </c>
      <c r="AJ9261" t="s">
        <v>13856</v>
      </c>
      <c r="AK9261">
        <v>2825041345</v>
      </c>
      <c r="AL9261" t="s">
        <v>13857</v>
      </c>
      <c r="AM9261" t="s">
        <v>88</v>
      </c>
      <c r="AN9261" t="s">
        <v>6775</v>
      </c>
      <c r="AO9261" t="s">
        <v>11883</v>
      </c>
      <c r="AP9261" t="s">
        <v>13858</v>
      </c>
      <c r="AQ9261">
        <v>7</v>
      </c>
      <c r="AR9261" t="s">
        <v>89</v>
      </c>
      <c r="AS9261" t="s">
        <v>90</v>
      </c>
      <c r="AT9261" t="s">
        <v>58</v>
      </c>
      <c r="AU9261" t="s">
        <v>68</v>
      </c>
      <c r="AV9261" t="s">
        <v>69</v>
      </c>
      <c r="AW9261" s="1">
        <v>25755</v>
      </c>
      <c r="AX9261">
        <v>1</v>
      </c>
    </row>
    <row r="9262" spans="1:50">
      <c r="A9262">
        <v>574668</v>
      </c>
      <c r="B9262" t="str">
        <f>"032600270"</f>
        <v>032600270</v>
      </c>
      <c r="C9262" t="s">
        <v>50</v>
      </c>
      <c r="D9262" t="s">
        <v>606</v>
      </c>
      <c r="E9262" t="s">
        <v>14007</v>
      </c>
      <c r="F9262" t="s">
        <v>166</v>
      </c>
      <c r="G9262" t="s">
        <v>1120</v>
      </c>
      <c r="H9262" t="str">
        <f>"Aκτή Παπανικολή 17 Ν.Χώρα"</f>
        <v>Aκτή Παπανικολή 17 Ν.Χώρα</v>
      </c>
      <c r="I9262">
        <v>73131</v>
      </c>
      <c r="J9262">
        <v>2821075528</v>
      </c>
      <c r="K9262">
        <v>6947459740</v>
      </c>
      <c r="N9262" t="s">
        <v>306</v>
      </c>
      <c r="O9262" t="s">
        <v>307</v>
      </c>
      <c r="R9262" t="s">
        <v>57</v>
      </c>
      <c r="S9262">
        <v>14</v>
      </c>
      <c r="T9262">
        <v>158</v>
      </c>
      <c r="U9262" s="1">
        <v>34582</v>
      </c>
      <c r="V9262" t="s">
        <v>89</v>
      </c>
      <c r="W9262" t="s">
        <v>90</v>
      </c>
      <c r="X9262" t="s">
        <v>58</v>
      </c>
      <c r="Y9262">
        <v>21</v>
      </c>
      <c r="Z9262" t="s">
        <v>59</v>
      </c>
      <c r="AA9262" t="s">
        <v>59</v>
      </c>
      <c r="AB9262" t="s">
        <v>59</v>
      </c>
      <c r="AC9262" t="s">
        <v>59</v>
      </c>
      <c r="AD9262" t="s">
        <v>59</v>
      </c>
      <c r="AF9262" s="1">
        <v>34582</v>
      </c>
      <c r="AG9262" t="s">
        <v>8645</v>
      </c>
      <c r="AH9262" t="s">
        <v>8646</v>
      </c>
      <c r="AI9262" t="str">
        <f>"9500147"</f>
        <v>9500147</v>
      </c>
      <c r="AJ9262" t="s">
        <v>14008</v>
      </c>
      <c r="AK9262">
        <v>2821094573</v>
      </c>
      <c r="AL9262" t="s">
        <v>14009</v>
      </c>
      <c r="AM9262" t="s">
        <v>88</v>
      </c>
      <c r="AN9262" t="s">
        <v>88</v>
      </c>
      <c r="AO9262" t="s">
        <v>88</v>
      </c>
      <c r="AP9262" t="s">
        <v>88</v>
      </c>
      <c r="AQ9262">
        <v>1</v>
      </c>
      <c r="AR9262" t="s">
        <v>89</v>
      </c>
      <c r="AS9262" t="s">
        <v>90</v>
      </c>
      <c r="AT9262" t="s">
        <v>58</v>
      </c>
      <c r="AU9262" t="s">
        <v>68</v>
      </c>
      <c r="AV9262" t="s">
        <v>69</v>
      </c>
      <c r="AW9262" s="1">
        <v>25361</v>
      </c>
      <c r="AX9262">
        <v>1</v>
      </c>
    </row>
    <row r="9263" spans="1:50">
      <c r="A9263">
        <v>557432</v>
      </c>
      <c r="B9263" t="str">
        <f>"032155121"</f>
        <v>032155121</v>
      </c>
      <c r="C9263" t="s">
        <v>105</v>
      </c>
      <c r="D9263" t="s">
        <v>622</v>
      </c>
      <c r="E9263" t="s">
        <v>154</v>
      </c>
      <c r="F9263" t="s">
        <v>95</v>
      </c>
      <c r="G9263" t="s">
        <v>13577</v>
      </c>
      <c r="H9263" t="str">
        <f>" "</f>
        <v xml:space="preserve"> </v>
      </c>
      <c r="N9263" t="s">
        <v>615</v>
      </c>
      <c r="O9263" t="s">
        <v>616</v>
      </c>
      <c r="R9263" t="s">
        <v>57</v>
      </c>
      <c r="S9263">
        <v>16</v>
      </c>
      <c r="T9263">
        <v>168</v>
      </c>
      <c r="U9263" s="1">
        <v>32010</v>
      </c>
      <c r="V9263" t="s">
        <v>89</v>
      </c>
      <c r="W9263" t="s">
        <v>90</v>
      </c>
      <c r="X9263" t="s">
        <v>58</v>
      </c>
      <c r="Y9263">
        <v>21</v>
      </c>
      <c r="Z9263" t="s">
        <v>59</v>
      </c>
      <c r="AA9263" t="s">
        <v>59</v>
      </c>
      <c r="AB9263" t="s">
        <v>59</v>
      </c>
      <c r="AC9263" t="s">
        <v>59</v>
      </c>
      <c r="AD9263" t="s">
        <v>59</v>
      </c>
      <c r="AF9263" s="1">
        <v>32010</v>
      </c>
      <c r="AG9263" t="s">
        <v>8645</v>
      </c>
      <c r="AH9263" t="s">
        <v>8646</v>
      </c>
      <c r="AI9263" t="str">
        <f>"9500144"</f>
        <v>9500144</v>
      </c>
      <c r="AJ9263" t="s">
        <v>14010</v>
      </c>
      <c r="AK9263">
        <v>2821094171</v>
      </c>
      <c r="AL9263" t="s">
        <v>14011</v>
      </c>
      <c r="AM9263" t="s">
        <v>88</v>
      </c>
      <c r="AN9263" t="s">
        <v>88</v>
      </c>
      <c r="AO9263" t="s">
        <v>88</v>
      </c>
      <c r="AP9263" t="s">
        <v>88</v>
      </c>
      <c r="AQ9263">
        <v>1</v>
      </c>
      <c r="AR9263" t="s">
        <v>89</v>
      </c>
      <c r="AS9263" t="s">
        <v>90</v>
      </c>
      <c r="AT9263" t="s">
        <v>58</v>
      </c>
      <c r="AU9263" t="s">
        <v>68</v>
      </c>
      <c r="AV9263" t="s">
        <v>2039</v>
      </c>
      <c r="AW9263" s="1">
        <v>23028</v>
      </c>
      <c r="AX9263">
        <v>1</v>
      </c>
    </row>
    <row r="9264" spans="1:50">
      <c r="A9264">
        <v>609090</v>
      </c>
      <c r="B9264" t="str">
        <f>"052408390"</f>
        <v>052408390</v>
      </c>
      <c r="C9264" t="s">
        <v>105</v>
      </c>
      <c r="D9264" t="s">
        <v>622</v>
      </c>
      <c r="E9264" t="s">
        <v>99</v>
      </c>
      <c r="F9264" t="s">
        <v>95</v>
      </c>
      <c r="G9264" t="s">
        <v>476</v>
      </c>
      <c r="H9264" t="str">
        <f>"ΠΑΖΙΝΟΣ ΑΚΡΩΤΗΡΙΟΥ ΣΤΕΡΝΕΣ"</f>
        <v>ΠΑΖΙΝΟΣ ΑΚΡΩΤΗΡΙΟΥ ΣΤΕΡΝΕΣ</v>
      </c>
      <c r="I9264">
        <v>73100</v>
      </c>
      <c r="J9264">
        <v>2821063959</v>
      </c>
      <c r="M9264" t="s">
        <v>14012</v>
      </c>
      <c r="N9264" t="s">
        <v>306</v>
      </c>
      <c r="O9264" t="s">
        <v>307</v>
      </c>
      <c r="R9264" t="s">
        <v>57</v>
      </c>
      <c r="S9264">
        <v>9</v>
      </c>
      <c r="T9264">
        <v>218</v>
      </c>
      <c r="U9264" s="1">
        <v>38596</v>
      </c>
      <c r="V9264" t="s">
        <v>89</v>
      </c>
      <c r="W9264" t="s">
        <v>90</v>
      </c>
      <c r="X9264" t="s">
        <v>58</v>
      </c>
      <c r="Y9264">
        <v>22</v>
      </c>
      <c r="Z9264" t="s">
        <v>59</v>
      </c>
      <c r="AA9264" t="s">
        <v>59</v>
      </c>
      <c r="AB9264" t="s">
        <v>59</v>
      </c>
      <c r="AC9264" t="s">
        <v>59</v>
      </c>
      <c r="AD9264" t="s">
        <v>59</v>
      </c>
      <c r="AF9264" s="1">
        <v>38596</v>
      </c>
      <c r="AG9264" t="s">
        <v>8645</v>
      </c>
      <c r="AH9264" t="s">
        <v>8646</v>
      </c>
      <c r="AI9264" t="str">
        <f>"9500114"</f>
        <v>9500114</v>
      </c>
      <c r="AJ9264" t="s">
        <v>14013</v>
      </c>
      <c r="AK9264">
        <v>2821063458</v>
      </c>
      <c r="AL9264" t="s">
        <v>14014</v>
      </c>
      <c r="AM9264" t="s">
        <v>88</v>
      </c>
      <c r="AN9264" t="s">
        <v>88</v>
      </c>
      <c r="AO9264" t="s">
        <v>6770</v>
      </c>
      <c r="AP9264" t="s">
        <v>14015</v>
      </c>
      <c r="AQ9264">
        <v>2</v>
      </c>
      <c r="AR9264" t="s">
        <v>89</v>
      </c>
      <c r="AS9264" t="s">
        <v>90</v>
      </c>
      <c r="AT9264" t="s">
        <v>58</v>
      </c>
      <c r="AU9264" t="s">
        <v>68</v>
      </c>
      <c r="AV9264" t="s">
        <v>69</v>
      </c>
      <c r="AW9264" s="1">
        <v>25949</v>
      </c>
      <c r="AX9264">
        <v>1</v>
      </c>
    </row>
    <row r="9265" spans="1:50">
      <c r="A9265">
        <v>557161</v>
      </c>
      <c r="B9265" t="str">
        <f>"033242484"</f>
        <v>033242484</v>
      </c>
      <c r="C9265" t="s">
        <v>105</v>
      </c>
      <c r="D9265" t="s">
        <v>6892</v>
      </c>
      <c r="E9265" t="s">
        <v>53</v>
      </c>
      <c r="F9265" t="s">
        <v>459</v>
      </c>
      <c r="G9265" t="s">
        <v>367</v>
      </c>
      <c r="H9265" t="str">
        <f>"Λιβάδια-Γερανίου Γεράνι"</f>
        <v>Λιβάδια-Γερανίου Γεράνι</v>
      </c>
      <c r="J9265">
        <v>2821061689</v>
      </c>
      <c r="K9265">
        <v>6937781628</v>
      </c>
      <c r="N9265" t="s">
        <v>615</v>
      </c>
      <c r="O9265" t="s">
        <v>616</v>
      </c>
      <c r="R9265" t="s">
        <v>57</v>
      </c>
      <c r="S9265">
        <v>16</v>
      </c>
      <c r="T9265">
        <v>168</v>
      </c>
      <c r="U9265" s="1">
        <v>32010</v>
      </c>
      <c r="V9265" t="s">
        <v>89</v>
      </c>
      <c r="W9265" t="s">
        <v>90</v>
      </c>
      <c r="X9265" t="s">
        <v>58</v>
      </c>
      <c r="Y9265">
        <v>21</v>
      </c>
      <c r="Z9265" t="s">
        <v>59</v>
      </c>
      <c r="AA9265" t="s">
        <v>59</v>
      </c>
      <c r="AB9265" t="s">
        <v>59</v>
      </c>
      <c r="AC9265" t="s">
        <v>59</v>
      </c>
      <c r="AD9265" t="s">
        <v>59</v>
      </c>
      <c r="AF9265" s="1">
        <v>32010</v>
      </c>
      <c r="AG9265" t="s">
        <v>8645</v>
      </c>
      <c r="AH9265" t="s">
        <v>8646</v>
      </c>
      <c r="AI9265" t="str">
        <f>"9500041"</f>
        <v>9500041</v>
      </c>
      <c r="AJ9265" t="s">
        <v>13944</v>
      </c>
      <c r="AK9265">
        <v>2821028218</v>
      </c>
      <c r="AL9265" t="s">
        <v>13945</v>
      </c>
      <c r="AM9265" t="s">
        <v>88</v>
      </c>
      <c r="AN9265" t="s">
        <v>88</v>
      </c>
      <c r="AO9265" t="s">
        <v>88</v>
      </c>
      <c r="AP9265" t="s">
        <v>88</v>
      </c>
      <c r="AQ9265">
        <v>1</v>
      </c>
      <c r="AR9265" t="s">
        <v>89</v>
      </c>
      <c r="AS9265" t="s">
        <v>90</v>
      </c>
      <c r="AT9265" t="s">
        <v>58</v>
      </c>
      <c r="AU9265" t="s">
        <v>68</v>
      </c>
      <c r="AV9265" t="s">
        <v>69</v>
      </c>
      <c r="AW9265" s="1">
        <v>23331</v>
      </c>
      <c r="AX9265">
        <v>1</v>
      </c>
    </row>
    <row r="9266" spans="1:50">
      <c r="A9266">
        <v>566040</v>
      </c>
      <c r="B9266" t="str">
        <f>"037410186"</f>
        <v>037410186</v>
      </c>
      <c r="C9266" t="s">
        <v>50</v>
      </c>
      <c r="D9266" t="s">
        <v>5741</v>
      </c>
      <c r="E9266" t="s">
        <v>6014</v>
      </c>
      <c r="F9266" t="s">
        <v>166</v>
      </c>
      <c r="G9266" t="s">
        <v>52</v>
      </c>
      <c r="H9266" t="str">
        <f>" "</f>
        <v xml:space="preserve"> </v>
      </c>
      <c r="N9266" t="s">
        <v>615</v>
      </c>
      <c r="O9266" t="s">
        <v>616</v>
      </c>
      <c r="R9266" t="s">
        <v>57</v>
      </c>
      <c r="S9266">
        <v>14</v>
      </c>
      <c r="T9266">
        <v>161</v>
      </c>
      <c r="U9266" s="1">
        <v>33119</v>
      </c>
      <c r="V9266" t="s">
        <v>89</v>
      </c>
      <c r="W9266" t="s">
        <v>90</v>
      </c>
      <c r="X9266" t="s">
        <v>58</v>
      </c>
      <c r="Y9266">
        <v>21</v>
      </c>
      <c r="Z9266" t="s">
        <v>59</v>
      </c>
      <c r="AA9266" t="s">
        <v>59</v>
      </c>
      <c r="AB9266" t="s">
        <v>59</v>
      </c>
      <c r="AC9266" t="s">
        <v>59</v>
      </c>
      <c r="AD9266" t="s">
        <v>59</v>
      </c>
      <c r="AF9266" s="1">
        <v>33119</v>
      </c>
      <c r="AG9266" t="s">
        <v>8645</v>
      </c>
      <c r="AH9266" t="s">
        <v>8646</v>
      </c>
      <c r="AI9266" t="str">
        <f>"9500084"</f>
        <v>9500084</v>
      </c>
      <c r="AJ9266" t="s">
        <v>13994</v>
      </c>
      <c r="AK9266">
        <v>2821031270</v>
      </c>
      <c r="AL9266" t="s">
        <v>13995</v>
      </c>
      <c r="AM9266" t="s">
        <v>88</v>
      </c>
      <c r="AN9266" t="s">
        <v>88</v>
      </c>
      <c r="AO9266" t="s">
        <v>13920</v>
      </c>
      <c r="AP9266" t="s">
        <v>13996</v>
      </c>
      <c r="AQ9266">
        <v>3</v>
      </c>
      <c r="AR9266" t="s">
        <v>89</v>
      </c>
      <c r="AS9266" t="s">
        <v>90</v>
      </c>
      <c r="AT9266" t="s">
        <v>58</v>
      </c>
      <c r="AU9266" t="s">
        <v>68</v>
      </c>
      <c r="AV9266" t="s">
        <v>69</v>
      </c>
      <c r="AW9266" s="1">
        <v>24158</v>
      </c>
      <c r="AX9266">
        <v>1</v>
      </c>
    </row>
    <row r="9267" spans="1:50">
      <c r="A9267">
        <v>700361</v>
      </c>
      <c r="B9267" t="str">
        <f>"130791735"</f>
        <v>130791735</v>
      </c>
      <c r="C9267" t="s">
        <v>105</v>
      </c>
      <c r="D9267" t="s">
        <v>14016</v>
      </c>
      <c r="E9267" t="s">
        <v>106</v>
      </c>
      <c r="F9267" t="s">
        <v>84</v>
      </c>
      <c r="G9267" t="s">
        <v>143</v>
      </c>
      <c r="H9267" t="str">
        <f>"ΑΡΙΣΤΟΤΕΛΟΥΣ 171 "</f>
        <v xml:space="preserve">ΑΡΙΣΤΟΤΕΛΟΥΣ 171 </v>
      </c>
      <c r="I9267">
        <v>59033</v>
      </c>
      <c r="J9267">
        <v>2331043114</v>
      </c>
      <c r="K9267">
        <v>6970129161</v>
      </c>
      <c r="N9267" t="s">
        <v>615</v>
      </c>
      <c r="O9267" t="s">
        <v>616</v>
      </c>
      <c r="R9267" t="s">
        <v>57</v>
      </c>
      <c r="S9267">
        <v>4</v>
      </c>
      <c r="T9267">
        <v>772</v>
      </c>
      <c r="U9267" s="1">
        <v>40413</v>
      </c>
      <c r="V9267" t="s">
        <v>89</v>
      </c>
      <c r="W9267" t="s">
        <v>90</v>
      </c>
      <c r="X9267" t="s">
        <v>58</v>
      </c>
      <c r="Y9267">
        <v>24</v>
      </c>
      <c r="Z9267" t="s">
        <v>59</v>
      </c>
      <c r="AA9267" t="s">
        <v>59</v>
      </c>
      <c r="AB9267" t="s">
        <v>59</v>
      </c>
      <c r="AC9267" t="s">
        <v>59</v>
      </c>
      <c r="AD9267" t="s">
        <v>59</v>
      </c>
      <c r="AF9267" s="1">
        <v>40413</v>
      </c>
      <c r="AG9267" t="s">
        <v>8645</v>
      </c>
      <c r="AH9267" t="s">
        <v>8646</v>
      </c>
      <c r="AI9267" t="str">
        <f>"9500259"</f>
        <v>9500259</v>
      </c>
      <c r="AJ9267" t="s">
        <v>14017</v>
      </c>
      <c r="AK9267">
        <v>2823041459</v>
      </c>
      <c r="AL9267" t="s">
        <v>14018</v>
      </c>
      <c r="AM9267" t="s">
        <v>88</v>
      </c>
      <c r="AN9267" t="s">
        <v>6824</v>
      </c>
      <c r="AO9267" t="s">
        <v>6870</v>
      </c>
      <c r="AP9267" t="s">
        <v>14019</v>
      </c>
      <c r="AQ9267">
        <v>11</v>
      </c>
      <c r="AR9267" t="s">
        <v>89</v>
      </c>
      <c r="AS9267" t="s">
        <v>90</v>
      </c>
      <c r="AT9267" t="s">
        <v>58</v>
      </c>
      <c r="AU9267" t="s">
        <v>68</v>
      </c>
      <c r="AV9267" t="s">
        <v>69</v>
      </c>
      <c r="AW9267" s="1">
        <v>31175</v>
      </c>
      <c r="AX9267">
        <v>1</v>
      </c>
    </row>
    <row r="9268" spans="1:50">
      <c r="B9268" t="str">
        <f>"151568460"</f>
        <v>151568460</v>
      </c>
      <c r="C9268" t="s">
        <v>50</v>
      </c>
      <c r="D9268" t="s">
        <v>14020</v>
      </c>
      <c r="E9268" t="s">
        <v>14021</v>
      </c>
      <c r="F9268" t="s">
        <v>95</v>
      </c>
      <c r="G9268" t="s">
        <v>1068</v>
      </c>
      <c r="H9268" t="str">
        <f>" "</f>
        <v xml:space="preserve"> </v>
      </c>
      <c r="N9268" t="s">
        <v>615</v>
      </c>
      <c r="O9268" t="s">
        <v>616</v>
      </c>
      <c r="R9268" t="s">
        <v>159</v>
      </c>
      <c r="S9268">
        <v>1</v>
      </c>
      <c r="T9268" t="s">
        <v>8717</v>
      </c>
      <c r="U9268" s="1">
        <v>43348</v>
      </c>
      <c r="V9268" t="s">
        <v>89</v>
      </c>
      <c r="W9268" t="s">
        <v>90</v>
      </c>
      <c r="X9268" t="s">
        <v>58</v>
      </c>
      <c r="Y9268">
        <v>24</v>
      </c>
      <c r="Z9268" t="s">
        <v>59</v>
      </c>
      <c r="AA9268" t="s">
        <v>59</v>
      </c>
      <c r="AB9268" t="s">
        <v>59</v>
      </c>
      <c r="AD9268" t="s">
        <v>59</v>
      </c>
      <c r="AF9268" s="1">
        <v>43348</v>
      </c>
      <c r="AG9268" t="s">
        <v>8645</v>
      </c>
      <c r="AH9268" t="s">
        <v>8646</v>
      </c>
      <c r="AI9268" t="str">
        <f>"9500360"</f>
        <v>9500360</v>
      </c>
      <c r="AJ9268" t="s">
        <v>14022</v>
      </c>
      <c r="AK9268">
        <v>2821031253</v>
      </c>
      <c r="AL9268" t="s">
        <v>14023</v>
      </c>
      <c r="AM9268" t="s">
        <v>88</v>
      </c>
      <c r="AN9268" t="s">
        <v>88</v>
      </c>
      <c r="AO9268" t="s">
        <v>6785</v>
      </c>
      <c r="AP9268" t="s">
        <v>13932</v>
      </c>
      <c r="AQ9268">
        <v>3</v>
      </c>
      <c r="AR9268" t="s">
        <v>89</v>
      </c>
      <c r="AS9268" t="s">
        <v>90</v>
      </c>
      <c r="AT9268" t="s">
        <v>58</v>
      </c>
      <c r="AU9268" t="s">
        <v>8720</v>
      </c>
      <c r="AV9268" t="s">
        <v>132</v>
      </c>
      <c r="AW9268" s="1">
        <v>32692</v>
      </c>
      <c r="AX9268">
        <v>1</v>
      </c>
    </row>
    <row r="9269" spans="1:50">
      <c r="B9269" t="str">
        <f>"150106174"</f>
        <v>150106174</v>
      </c>
      <c r="C9269" t="s">
        <v>105</v>
      </c>
      <c r="D9269" t="s">
        <v>637</v>
      </c>
      <c r="E9269" t="s">
        <v>95</v>
      </c>
      <c r="F9269" t="s">
        <v>315</v>
      </c>
      <c r="G9269" t="s">
        <v>934</v>
      </c>
      <c r="H9269" t="str">
        <f>"ΚΑΖΑΝΤΖΑΚΗ 2 "</f>
        <v xml:space="preserve">ΚΑΖΑΝΤΖΑΚΗ 2 </v>
      </c>
      <c r="I9269">
        <v>66100</v>
      </c>
      <c r="J9269">
        <v>2521027074</v>
      </c>
      <c r="K9269">
        <v>6948726239</v>
      </c>
      <c r="N9269" t="s">
        <v>8694</v>
      </c>
      <c r="O9269" t="s">
        <v>8695</v>
      </c>
      <c r="R9269" t="s">
        <v>159</v>
      </c>
      <c r="S9269">
        <v>2</v>
      </c>
      <c r="T9269" t="s">
        <v>8696</v>
      </c>
      <c r="U9269" s="1">
        <v>43348</v>
      </c>
      <c r="V9269" t="s">
        <v>89</v>
      </c>
      <c r="W9269" t="s">
        <v>90</v>
      </c>
      <c r="X9269" t="s">
        <v>58</v>
      </c>
      <c r="Y9269">
        <v>24</v>
      </c>
      <c r="Z9269" t="s">
        <v>59</v>
      </c>
      <c r="AA9269" t="s">
        <v>59</v>
      </c>
      <c r="AB9269" t="s">
        <v>59</v>
      </c>
      <c r="AC9269" t="s">
        <v>59</v>
      </c>
      <c r="AD9269" t="s">
        <v>59</v>
      </c>
      <c r="AF9269" s="1">
        <v>43348</v>
      </c>
      <c r="AG9269" t="s">
        <v>8645</v>
      </c>
      <c r="AH9269" t="s">
        <v>8697</v>
      </c>
      <c r="AI9269" t="str">
        <f>"9500361"</f>
        <v>9500361</v>
      </c>
      <c r="AJ9269" t="s">
        <v>14024</v>
      </c>
      <c r="AK9269">
        <v>2821070176</v>
      </c>
      <c r="AL9269" t="s">
        <v>14025</v>
      </c>
      <c r="AM9269" t="s">
        <v>88</v>
      </c>
      <c r="AN9269" t="s">
        <v>88</v>
      </c>
      <c r="AO9269" t="s">
        <v>88</v>
      </c>
      <c r="AP9269" t="s">
        <v>88</v>
      </c>
      <c r="AQ9269">
        <v>1</v>
      </c>
      <c r="AR9269" t="s">
        <v>89</v>
      </c>
      <c r="AS9269" t="s">
        <v>90</v>
      </c>
      <c r="AT9269" t="s">
        <v>58</v>
      </c>
      <c r="AU9269" t="s">
        <v>350</v>
      </c>
      <c r="AV9269" t="s">
        <v>132</v>
      </c>
      <c r="AW9269" s="1">
        <v>32073</v>
      </c>
      <c r="AX9269">
        <v>1</v>
      </c>
    </row>
    <row r="9270" spans="1:50">
      <c r="A9270">
        <v>553249</v>
      </c>
      <c r="B9270" t="str">
        <f>"062825562"</f>
        <v>062825562</v>
      </c>
      <c r="C9270" t="s">
        <v>50</v>
      </c>
      <c r="D9270" t="s">
        <v>8995</v>
      </c>
      <c r="E9270" t="s">
        <v>250</v>
      </c>
      <c r="F9270" t="s">
        <v>1357</v>
      </c>
      <c r="G9270" t="s">
        <v>396</v>
      </c>
      <c r="H9270" t="str">
        <f>"ΚΑΛΛΙΘΕΑ-ΒΑΜΒΑΚΟΠΟΥΛΟ ΒΑΜΒΑΚΟΠΟΥΛΟ"</f>
        <v>ΚΑΛΛΙΘΕΑ-ΒΑΜΒΑΚΟΠΟΥΛΟ ΒΑΜΒΑΚΟΠΟΥΛΟ</v>
      </c>
      <c r="I9270">
        <v>73131</v>
      </c>
      <c r="J9270">
        <v>2821070685</v>
      </c>
      <c r="K9270">
        <v>6972989043</v>
      </c>
      <c r="M9270" t="s">
        <v>14026</v>
      </c>
      <c r="N9270" t="s">
        <v>1525</v>
      </c>
      <c r="O9270" t="s">
        <v>1526</v>
      </c>
      <c r="R9270" t="s">
        <v>57</v>
      </c>
      <c r="S9270">
        <v>17</v>
      </c>
      <c r="T9270">
        <v>433</v>
      </c>
      <c r="U9270" s="1">
        <v>31044</v>
      </c>
      <c r="V9270" t="s">
        <v>89</v>
      </c>
      <c r="W9270" t="s">
        <v>90</v>
      </c>
      <c r="X9270" t="s">
        <v>58</v>
      </c>
      <c r="Y9270">
        <v>25</v>
      </c>
      <c r="Z9270" t="s">
        <v>59</v>
      </c>
      <c r="AA9270" t="s">
        <v>59</v>
      </c>
      <c r="AB9270" t="s">
        <v>59</v>
      </c>
      <c r="AC9270" t="s">
        <v>59</v>
      </c>
      <c r="AD9270" t="s">
        <v>59</v>
      </c>
      <c r="AF9270" s="1">
        <v>31051</v>
      </c>
      <c r="AG9270" t="s">
        <v>8651</v>
      </c>
      <c r="AH9270" t="s">
        <v>8652</v>
      </c>
      <c r="AI9270" t="str">
        <f>"9500412"</f>
        <v>9500412</v>
      </c>
      <c r="AJ9270" t="s">
        <v>14027</v>
      </c>
      <c r="AK9270">
        <v>2821096875</v>
      </c>
      <c r="AL9270" t="s">
        <v>14028</v>
      </c>
      <c r="AM9270" t="s">
        <v>88</v>
      </c>
      <c r="AN9270" t="s">
        <v>88</v>
      </c>
      <c r="AO9270" t="s">
        <v>13920</v>
      </c>
      <c r="AP9270" t="s">
        <v>14029</v>
      </c>
      <c r="AQ9270">
        <v>3</v>
      </c>
      <c r="AR9270" t="s">
        <v>89</v>
      </c>
      <c r="AS9270" t="s">
        <v>90</v>
      </c>
      <c r="AT9270" t="s">
        <v>58</v>
      </c>
      <c r="AU9270" t="s">
        <v>68</v>
      </c>
      <c r="AV9270" t="s">
        <v>69</v>
      </c>
      <c r="AW9270" s="1">
        <v>22556</v>
      </c>
      <c r="AX9270">
        <v>1</v>
      </c>
    </row>
    <row r="9271" spans="1:50">
      <c r="A9271">
        <v>600746</v>
      </c>
      <c r="B9271" t="str">
        <f>"054499985"</f>
        <v>054499985</v>
      </c>
      <c r="C9271" t="s">
        <v>105</v>
      </c>
      <c r="D9271" t="s">
        <v>14030</v>
      </c>
      <c r="E9271" t="s">
        <v>95</v>
      </c>
      <c r="F9271" t="s">
        <v>309</v>
      </c>
      <c r="G9271" t="s">
        <v>372</v>
      </c>
      <c r="H9271" t="str">
        <f>"ΠΑΡΓΑΣ 10 "</f>
        <v xml:space="preserve">ΠΑΡΓΑΣ 10 </v>
      </c>
      <c r="I9271">
        <v>11527</v>
      </c>
      <c r="J9271">
        <v>2107704909</v>
      </c>
      <c r="K9271">
        <v>6972526221</v>
      </c>
      <c r="N9271" t="s">
        <v>615</v>
      </c>
      <c r="O9271" t="s">
        <v>616</v>
      </c>
      <c r="R9271" t="s">
        <v>57</v>
      </c>
      <c r="S9271">
        <v>10</v>
      </c>
      <c r="T9271">
        <v>207</v>
      </c>
      <c r="U9271" s="1">
        <v>37866</v>
      </c>
      <c r="V9271" t="s">
        <v>89</v>
      </c>
      <c r="W9271" t="s">
        <v>90</v>
      </c>
      <c r="X9271" t="s">
        <v>58</v>
      </c>
      <c r="Y9271">
        <v>21</v>
      </c>
      <c r="Z9271" t="s">
        <v>59</v>
      </c>
      <c r="AA9271" t="s">
        <v>59</v>
      </c>
      <c r="AB9271" t="s">
        <v>59</v>
      </c>
      <c r="AC9271" t="s">
        <v>59</v>
      </c>
      <c r="AD9271" t="s">
        <v>59</v>
      </c>
      <c r="AF9271" s="1">
        <v>37866</v>
      </c>
      <c r="AG9271" t="s">
        <v>8645</v>
      </c>
      <c r="AH9271" t="s">
        <v>8646</v>
      </c>
      <c r="AI9271" t="str">
        <f>"9520693"</f>
        <v>9520693</v>
      </c>
      <c r="AJ9271" t="s">
        <v>13913</v>
      </c>
      <c r="AK9271">
        <v>2821066910</v>
      </c>
      <c r="AL9271" t="s">
        <v>13914</v>
      </c>
      <c r="AM9271" t="s">
        <v>88</v>
      </c>
      <c r="AN9271" t="s">
        <v>88</v>
      </c>
      <c r="AO9271" t="s">
        <v>6770</v>
      </c>
      <c r="AP9271" t="s">
        <v>6771</v>
      </c>
      <c r="AQ9271">
        <v>2</v>
      </c>
      <c r="AR9271" t="s">
        <v>89</v>
      </c>
      <c r="AS9271" t="s">
        <v>90</v>
      </c>
      <c r="AT9271" t="s">
        <v>58</v>
      </c>
      <c r="AU9271" t="s">
        <v>68</v>
      </c>
      <c r="AV9271" t="s">
        <v>69</v>
      </c>
      <c r="AW9271" s="1">
        <v>25275</v>
      </c>
      <c r="AX9271">
        <v>1</v>
      </c>
    </row>
    <row r="9272" spans="1:50">
      <c r="A9272">
        <v>597126</v>
      </c>
      <c r="B9272" t="str">
        <f>"100615507"</f>
        <v>100615507</v>
      </c>
      <c r="C9272" t="s">
        <v>50</v>
      </c>
      <c r="D9272" t="s">
        <v>14031</v>
      </c>
      <c r="E9272" t="s">
        <v>809</v>
      </c>
      <c r="F9272" t="s">
        <v>920</v>
      </c>
      <c r="G9272" t="s">
        <v>950</v>
      </c>
      <c r="H9272" t="str">
        <f>"ΕΙΡΗΝΗΣ 395 ΚΥΔΩΝΙΑΣ"</f>
        <v>ΕΙΡΗΝΗΣ 395 ΚΥΔΩΝΙΑΣ</v>
      </c>
      <c r="I9272">
        <v>73100</v>
      </c>
      <c r="J9272">
        <v>2821031953</v>
      </c>
      <c r="K9272">
        <v>6944794147</v>
      </c>
      <c r="N9272" t="s">
        <v>1525</v>
      </c>
      <c r="O9272" t="s">
        <v>1526</v>
      </c>
      <c r="R9272" t="s">
        <v>57</v>
      </c>
      <c r="S9272">
        <v>8</v>
      </c>
      <c r="T9272">
        <v>195</v>
      </c>
      <c r="U9272" s="1">
        <v>37497</v>
      </c>
      <c r="V9272" t="s">
        <v>89</v>
      </c>
      <c r="W9272" t="s">
        <v>90</v>
      </c>
      <c r="X9272" t="s">
        <v>58</v>
      </c>
      <c r="Y9272">
        <v>25</v>
      </c>
      <c r="Z9272" t="s">
        <v>59</v>
      </c>
      <c r="AA9272" t="s">
        <v>59</v>
      </c>
      <c r="AB9272" t="s">
        <v>59</v>
      </c>
      <c r="AC9272" t="s">
        <v>59</v>
      </c>
      <c r="AD9272" t="s">
        <v>59</v>
      </c>
      <c r="AF9272" s="1">
        <v>37503</v>
      </c>
      <c r="AG9272" t="s">
        <v>8651</v>
      </c>
      <c r="AH9272" t="s">
        <v>8652</v>
      </c>
      <c r="AI9272" t="str">
        <f>"9500271"</f>
        <v>9500271</v>
      </c>
      <c r="AJ9272" t="s">
        <v>14032</v>
      </c>
      <c r="AK9272">
        <v>2821038248</v>
      </c>
      <c r="AL9272" t="s">
        <v>14033</v>
      </c>
      <c r="AM9272" t="s">
        <v>88</v>
      </c>
      <c r="AN9272" t="s">
        <v>88</v>
      </c>
      <c r="AO9272" t="s">
        <v>6785</v>
      </c>
      <c r="AP9272" t="s">
        <v>13853</v>
      </c>
      <c r="AQ9272">
        <v>3</v>
      </c>
      <c r="AR9272" t="s">
        <v>89</v>
      </c>
      <c r="AS9272" t="s">
        <v>90</v>
      </c>
      <c r="AT9272" t="s">
        <v>58</v>
      </c>
      <c r="AU9272" t="s">
        <v>68</v>
      </c>
      <c r="AV9272" t="s">
        <v>69</v>
      </c>
      <c r="AW9272" s="1">
        <v>26408</v>
      </c>
      <c r="AX9272">
        <v>1</v>
      </c>
    </row>
    <row r="9273" spans="1:50">
      <c r="A9273">
        <v>591297</v>
      </c>
      <c r="B9273" t="str">
        <f>"074094414"</f>
        <v>074094414</v>
      </c>
      <c r="C9273" t="s">
        <v>105</v>
      </c>
      <c r="D9273" t="s">
        <v>4606</v>
      </c>
      <c r="E9273" t="s">
        <v>2580</v>
      </c>
      <c r="F9273" t="s">
        <v>72</v>
      </c>
      <c r="G9273" t="s">
        <v>109</v>
      </c>
      <c r="H9273" t="str">
        <f>"ΠΟΥΤΙΣΤΗΡΙΑ ΠΟΤΙΣΤΗΡΙΑ"</f>
        <v>ΠΟΥΤΙΣΤΗΡΙΑ ΠΟΤΙΣΤΗΡΙΑ</v>
      </c>
      <c r="K9273">
        <v>6997141800</v>
      </c>
      <c r="N9273" t="s">
        <v>615</v>
      </c>
      <c r="O9273" t="s">
        <v>616</v>
      </c>
      <c r="R9273" t="s">
        <v>57</v>
      </c>
      <c r="S9273">
        <v>10</v>
      </c>
      <c r="T9273">
        <v>249</v>
      </c>
      <c r="U9273" s="1">
        <v>36769</v>
      </c>
      <c r="V9273" t="s">
        <v>89</v>
      </c>
      <c r="W9273" t="s">
        <v>90</v>
      </c>
      <c r="X9273" t="s">
        <v>58</v>
      </c>
      <c r="Y9273">
        <v>21</v>
      </c>
      <c r="Z9273" t="s">
        <v>59</v>
      </c>
      <c r="AA9273" t="s">
        <v>59</v>
      </c>
      <c r="AB9273" t="s">
        <v>59</v>
      </c>
      <c r="AC9273" t="s">
        <v>59</v>
      </c>
      <c r="AD9273" t="s">
        <v>59</v>
      </c>
      <c r="AF9273" s="1">
        <v>36769</v>
      </c>
      <c r="AG9273" t="s">
        <v>8645</v>
      </c>
      <c r="AH9273" t="s">
        <v>8646</v>
      </c>
      <c r="AI9273" t="str">
        <f>"9500081"</f>
        <v>9500081</v>
      </c>
      <c r="AJ9273" t="s">
        <v>14034</v>
      </c>
      <c r="AK9273">
        <v>2821077150</v>
      </c>
      <c r="AL9273" t="s">
        <v>14035</v>
      </c>
      <c r="AM9273" t="s">
        <v>88</v>
      </c>
      <c r="AN9273" t="s">
        <v>6764</v>
      </c>
      <c r="AO9273" t="s">
        <v>6885</v>
      </c>
      <c r="AP9273" t="s">
        <v>6886</v>
      </c>
      <c r="AQ9273">
        <v>4</v>
      </c>
      <c r="AR9273" t="s">
        <v>89</v>
      </c>
      <c r="AS9273" t="s">
        <v>90</v>
      </c>
      <c r="AT9273" t="s">
        <v>58</v>
      </c>
      <c r="AU9273" t="s">
        <v>68</v>
      </c>
      <c r="AV9273" t="s">
        <v>2039</v>
      </c>
      <c r="AW9273" s="1">
        <v>24224</v>
      </c>
      <c r="AX9273">
        <v>1</v>
      </c>
    </row>
    <row r="9274" spans="1:50">
      <c r="A9274">
        <v>561235</v>
      </c>
      <c r="B9274" t="str">
        <f>"110859595"</f>
        <v>110859595</v>
      </c>
      <c r="C9274" t="s">
        <v>50</v>
      </c>
      <c r="D9274" t="s">
        <v>5747</v>
      </c>
      <c r="E9274" t="s">
        <v>52</v>
      </c>
      <c r="F9274" t="s">
        <v>2847</v>
      </c>
      <c r="G9274" t="s">
        <v>14036</v>
      </c>
      <c r="H9274" t="str">
        <f>"ΚΙΣΑΜΟΣ ΧΑΝΙΩΝ "</f>
        <v xml:space="preserve">ΚΙΣΑΜΟΣ ΧΑΝΙΩΝ </v>
      </c>
      <c r="I9274">
        <v>73400</v>
      </c>
      <c r="J9274">
        <v>2822022765</v>
      </c>
      <c r="K9274">
        <v>6948458670</v>
      </c>
      <c r="N9274" t="s">
        <v>615</v>
      </c>
      <c r="O9274" t="s">
        <v>616</v>
      </c>
      <c r="R9274" t="s">
        <v>57</v>
      </c>
      <c r="S9274">
        <v>16</v>
      </c>
      <c r="T9274" t="s">
        <v>14037</v>
      </c>
      <c r="U9274" s="1">
        <v>32385</v>
      </c>
      <c r="V9274" t="s">
        <v>89</v>
      </c>
      <c r="W9274" t="s">
        <v>90</v>
      </c>
      <c r="X9274" t="s">
        <v>58</v>
      </c>
      <c r="Y9274">
        <v>21</v>
      </c>
      <c r="Z9274" t="s">
        <v>59</v>
      </c>
      <c r="AA9274" t="s">
        <v>59</v>
      </c>
      <c r="AB9274" t="s">
        <v>59</v>
      </c>
      <c r="AC9274" t="s">
        <v>59</v>
      </c>
      <c r="AD9274" t="s">
        <v>59</v>
      </c>
      <c r="AF9274" s="1">
        <v>32385</v>
      </c>
      <c r="AG9274" t="s">
        <v>8645</v>
      </c>
      <c r="AH9274" t="s">
        <v>8646</v>
      </c>
      <c r="AI9274" t="str">
        <f>"9500189"</f>
        <v>9500189</v>
      </c>
      <c r="AJ9274" t="s">
        <v>14038</v>
      </c>
      <c r="AK9274">
        <v>2822022119</v>
      </c>
      <c r="AL9274" t="s">
        <v>14039</v>
      </c>
      <c r="AM9274" t="s">
        <v>88</v>
      </c>
      <c r="AN9274" t="s">
        <v>6744</v>
      </c>
      <c r="AO9274" t="s">
        <v>6744</v>
      </c>
      <c r="AP9274" t="s">
        <v>6744</v>
      </c>
      <c r="AQ9274">
        <v>9</v>
      </c>
      <c r="AR9274" t="s">
        <v>89</v>
      </c>
      <c r="AS9274" t="s">
        <v>90</v>
      </c>
      <c r="AT9274" t="s">
        <v>58</v>
      </c>
      <c r="AU9274" t="s">
        <v>68</v>
      </c>
      <c r="AV9274" t="s">
        <v>69</v>
      </c>
      <c r="AW9274" s="1">
        <v>23792</v>
      </c>
      <c r="AX9274">
        <v>1</v>
      </c>
    </row>
    <row r="9275" spans="1:50">
      <c r="A9275">
        <v>594378</v>
      </c>
      <c r="B9275" t="str">
        <f>"054568610"</f>
        <v>054568610</v>
      </c>
      <c r="C9275" t="s">
        <v>50</v>
      </c>
      <c r="D9275" t="s">
        <v>5747</v>
      </c>
      <c r="E9275" t="s">
        <v>1157</v>
      </c>
      <c r="F9275" t="s">
        <v>72</v>
      </c>
      <c r="G9275" t="s">
        <v>181</v>
      </c>
      <c r="H9275" t="str">
        <f>" "</f>
        <v xml:space="preserve"> </v>
      </c>
      <c r="N9275" t="s">
        <v>615</v>
      </c>
      <c r="O9275" t="s">
        <v>616</v>
      </c>
      <c r="R9275" t="s">
        <v>57</v>
      </c>
      <c r="S9275">
        <v>10</v>
      </c>
      <c r="T9275">
        <v>218</v>
      </c>
      <c r="U9275" s="1">
        <v>37134</v>
      </c>
      <c r="V9275" t="s">
        <v>89</v>
      </c>
      <c r="W9275" t="s">
        <v>90</v>
      </c>
      <c r="X9275" t="s">
        <v>58</v>
      </c>
      <c r="Y9275">
        <v>21</v>
      </c>
      <c r="Z9275" t="s">
        <v>59</v>
      </c>
      <c r="AA9275" t="s">
        <v>59</v>
      </c>
      <c r="AB9275" t="s">
        <v>59</v>
      </c>
      <c r="AC9275" t="s">
        <v>59</v>
      </c>
      <c r="AD9275" t="s">
        <v>59</v>
      </c>
      <c r="AF9275" s="1">
        <v>37134</v>
      </c>
      <c r="AG9275" t="s">
        <v>8645</v>
      </c>
      <c r="AH9275" t="s">
        <v>8646</v>
      </c>
      <c r="AI9275" t="str">
        <f>"9500103"</f>
        <v>9500103</v>
      </c>
      <c r="AJ9275" t="s">
        <v>14040</v>
      </c>
      <c r="AK9275">
        <v>2821090920</v>
      </c>
      <c r="AL9275" t="s">
        <v>14041</v>
      </c>
      <c r="AM9275" t="s">
        <v>88</v>
      </c>
      <c r="AN9275" t="s">
        <v>88</v>
      </c>
      <c r="AO9275" t="s">
        <v>6733</v>
      </c>
      <c r="AP9275" t="s">
        <v>6734</v>
      </c>
      <c r="AQ9275">
        <v>2</v>
      </c>
      <c r="AR9275" t="s">
        <v>89</v>
      </c>
      <c r="AS9275" t="s">
        <v>90</v>
      </c>
      <c r="AT9275" t="s">
        <v>58</v>
      </c>
      <c r="AU9275" t="s">
        <v>68</v>
      </c>
      <c r="AV9275" t="s">
        <v>69</v>
      </c>
      <c r="AW9275" s="1">
        <v>25609</v>
      </c>
      <c r="AX9275">
        <v>1</v>
      </c>
    </row>
    <row r="9276" spans="1:50">
      <c r="A9276">
        <v>606044</v>
      </c>
      <c r="B9276" t="str">
        <f>"135204104"</f>
        <v>135204104</v>
      </c>
      <c r="C9276" t="s">
        <v>50</v>
      </c>
      <c r="D9276" t="s">
        <v>14042</v>
      </c>
      <c r="E9276" t="s">
        <v>742</v>
      </c>
      <c r="F9276" t="s">
        <v>309</v>
      </c>
      <c r="G9276" t="s">
        <v>3483</v>
      </c>
      <c r="H9276" t="str">
        <f>"ΔΗΜΗΤΡΑΚΑΚΗ 41Γ ΧΑΝΙΑ"</f>
        <v>ΔΗΜΗΤΡΑΚΑΚΗ 41Γ ΧΑΝΙΑ</v>
      </c>
      <c r="I9276">
        <v>73100</v>
      </c>
      <c r="J9276">
        <v>2821055063</v>
      </c>
      <c r="K9276">
        <v>6973306084</v>
      </c>
      <c r="N9276" t="s">
        <v>1525</v>
      </c>
      <c r="O9276" t="s">
        <v>1526</v>
      </c>
      <c r="R9276" t="s">
        <v>57</v>
      </c>
      <c r="S9276">
        <v>10</v>
      </c>
      <c r="T9276">
        <v>231</v>
      </c>
      <c r="U9276" s="1">
        <v>38230</v>
      </c>
      <c r="V9276" t="s">
        <v>89</v>
      </c>
      <c r="W9276" t="s">
        <v>90</v>
      </c>
      <c r="X9276" t="s">
        <v>58</v>
      </c>
      <c r="Y9276">
        <v>25</v>
      </c>
      <c r="Z9276" t="s">
        <v>59</v>
      </c>
      <c r="AA9276" t="s">
        <v>59</v>
      </c>
      <c r="AB9276" t="s">
        <v>59</v>
      </c>
      <c r="AC9276" t="s">
        <v>59</v>
      </c>
      <c r="AD9276" t="s">
        <v>59</v>
      </c>
      <c r="AF9276" s="1">
        <v>38232</v>
      </c>
      <c r="AG9276" t="s">
        <v>8651</v>
      </c>
      <c r="AH9276" t="s">
        <v>8652</v>
      </c>
      <c r="AI9276" t="str">
        <f>"9500042"</f>
        <v>9500042</v>
      </c>
      <c r="AJ9276" t="s">
        <v>14043</v>
      </c>
      <c r="AK9276">
        <v>2821053815</v>
      </c>
      <c r="AL9276" t="s">
        <v>14044</v>
      </c>
      <c r="AM9276" t="s">
        <v>88</v>
      </c>
      <c r="AN9276" t="s">
        <v>88</v>
      </c>
      <c r="AO9276" t="s">
        <v>88</v>
      </c>
      <c r="AP9276" t="s">
        <v>88</v>
      </c>
      <c r="AQ9276">
        <v>1</v>
      </c>
      <c r="AR9276" t="s">
        <v>89</v>
      </c>
      <c r="AS9276" t="s">
        <v>90</v>
      </c>
      <c r="AT9276" t="s">
        <v>58</v>
      </c>
      <c r="AU9276" t="s">
        <v>68</v>
      </c>
      <c r="AV9276" t="s">
        <v>69</v>
      </c>
      <c r="AW9276" s="1">
        <v>23773</v>
      </c>
      <c r="AX9276">
        <v>1</v>
      </c>
    </row>
    <row r="9277" spans="1:50">
      <c r="B9277" t="str">
        <f>"144001661"</f>
        <v>144001661</v>
      </c>
      <c r="C9277" t="s">
        <v>50</v>
      </c>
      <c r="D9277" t="s">
        <v>14045</v>
      </c>
      <c r="E9277" t="s">
        <v>600</v>
      </c>
      <c r="F9277" t="s">
        <v>92</v>
      </c>
      <c r="G9277" t="s">
        <v>52</v>
      </c>
      <c r="H9277" t="str">
        <f>"1η Πάροδος Καραισκάκη 8 Τ.Θ.282 Κουνουπιδιανά"</f>
        <v>1η Πάροδος Καραισκάκη 8 Τ.Θ.282 Κουνουπιδιανά</v>
      </c>
      <c r="I9277">
        <v>73142</v>
      </c>
      <c r="J9277">
        <v>2821049269</v>
      </c>
      <c r="K9277">
        <v>6986115326</v>
      </c>
      <c r="M9277" t="s">
        <v>14046</v>
      </c>
      <c r="N9277" t="s">
        <v>9829</v>
      </c>
      <c r="O9277" t="s">
        <v>9830</v>
      </c>
      <c r="R9277" t="s">
        <v>159</v>
      </c>
      <c r="S9277">
        <v>4</v>
      </c>
      <c r="T9277" t="s">
        <v>8696</v>
      </c>
      <c r="U9277" s="1">
        <v>43348</v>
      </c>
      <c r="V9277" t="s">
        <v>89</v>
      </c>
      <c r="W9277" t="s">
        <v>90</v>
      </c>
      <c r="X9277" t="s">
        <v>58</v>
      </c>
      <c r="Y9277">
        <v>25</v>
      </c>
      <c r="Z9277" t="s">
        <v>59</v>
      </c>
      <c r="AA9277" t="s">
        <v>59</v>
      </c>
      <c r="AB9277" t="s">
        <v>59</v>
      </c>
      <c r="AC9277" t="s">
        <v>59</v>
      </c>
      <c r="AD9277" t="s">
        <v>59</v>
      </c>
      <c r="AF9277" s="1">
        <v>43348</v>
      </c>
      <c r="AG9277" t="s">
        <v>8651</v>
      </c>
      <c r="AH9277" t="s">
        <v>9015</v>
      </c>
      <c r="AI9277" t="str">
        <f>"9500373"</f>
        <v>9500373</v>
      </c>
      <c r="AJ9277" t="s">
        <v>14047</v>
      </c>
      <c r="AK9277">
        <v>2821074322</v>
      </c>
      <c r="AL9277" t="s">
        <v>14048</v>
      </c>
      <c r="AM9277" t="s">
        <v>88</v>
      </c>
      <c r="AN9277" t="s">
        <v>88</v>
      </c>
      <c r="AO9277" t="s">
        <v>6770</v>
      </c>
      <c r="AP9277" t="s">
        <v>14015</v>
      </c>
      <c r="AQ9277">
        <v>2</v>
      </c>
      <c r="AR9277" t="s">
        <v>89</v>
      </c>
      <c r="AS9277" t="s">
        <v>90</v>
      </c>
      <c r="AT9277" t="s">
        <v>58</v>
      </c>
      <c r="AU9277" t="s">
        <v>350</v>
      </c>
      <c r="AV9277" t="s">
        <v>132</v>
      </c>
      <c r="AW9277" s="1">
        <v>32604</v>
      </c>
      <c r="AX9277">
        <v>1</v>
      </c>
    </row>
    <row r="9278" spans="1:50">
      <c r="A9278">
        <v>621467</v>
      </c>
      <c r="B9278" t="str">
        <f>"130447832"</f>
        <v>130447832</v>
      </c>
      <c r="C9278" t="s">
        <v>50</v>
      </c>
      <c r="D9278" t="s">
        <v>14045</v>
      </c>
      <c r="E9278" t="s">
        <v>366</v>
      </c>
      <c r="F9278" t="s">
        <v>92</v>
      </c>
      <c r="G9278" t="s">
        <v>52</v>
      </c>
      <c r="H9278" t="str">
        <f>"1η πάροδος Καραϊσκάκη 8 Κουνουπιδιανά "</f>
        <v xml:space="preserve">1η πάροδος Καραϊσκάκη 8 Κουνουπιδιανά </v>
      </c>
      <c r="J9278">
        <v>2821049269</v>
      </c>
      <c r="K9278">
        <v>6937476943</v>
      </c>
      <c r="M9278" t="s">
        <v>14049</v>
      </c>
      <c r="N9278" t="s">
        <v>615</v>
      </c>
      <c r="O9278" t="s">
        <v>616</v>
      </c>
      <c r="R9278" t="s">
        <v>57</v>
      </c>
      <c r="S9278">
        <v>4</v>
      </c>
      <c r="T9278">
        <v>653</v>
      </c>
      <c r="U9278" s="1">
        <v>40043</v>
      </c>
      <c r="V9278" t="s">
        <v>89</v>
      </c>
      <c r="W9278" t="s">
        <v>90</v>
      </c>
      <c r="X9278" t="s">
        <v>58</v>
      </c>
      <c r="Y9278">
        <v>23</v>
      </c>
      <c r="Z9278" t="s">
        <v>59</v>
      </c>
      <c r="AA9278" t="s">
        <v>59</v>
      </c>
      <c r="AB9278" t="s">
        <v>59</v>
      </c>
      <c r="AC9278" t="s">
        <v>59</v>
      </c>
      <c r="AD9278" t="s">
        <v>59</v>
      </c>
      <c r="AF9278" s="1">
        <v>40043</v>
      </c>
      <c r="AG9278" t="s">
        <v>8645</v>
      </c>
      <c r="AH9278" t="s">
        <v>8646</v>
      </c>
      <c r="AI9278" t="str">
        <f>"9500218"</f>
        <v>9500218</v>
      </c>
      <c r="AJ9278" t="s">
        <v>13992</v>
      </c>
      <c r="AK9278">
        <v>2824022216</v>
      </c>
      <c r="AL9278" t="s">
        <v>13993</v>
      </c>
      <c r="AM9278" t="s">
        <v>88</v>
      </c>
      <c r="AN9278" t="s">
        <v>6764</v>
      </c>
      <c r="AO9278" t="s">
        <v>6799</v>
      </c>
      <c r="AP9278" t="s">
        <v>6799</v>
      </c>
      <c r="AQ9278">
        <v>6</v>
      </c>
      <c r="AR9278" t="s">
        <v>89</v>
      </c>
      <c r="AS9278" t="s">
        <v>90</v>
      </c>
      <c r="AT9278" t="s">
        <v>58</v>
      </c>
      <c r="AU9278" t="s">
        <v>68</v>
      </c>
      <c r="AV9278" t="s">
        <v>69</v>
      </c>
      <c r="AW9278" s="1">
        <v>31153</v>
      </c>
      <c r="AX9278">
        <v>1</v>
      </c>
    </row>
    <row r="9279" spans="1:50">
      <c r="A9279">
        <v>617646</v>
      </c>
      <c r="B9279" t="str">
        <f>"122957217"</f>
        <v>122957217</v>
      </c>
      <c r="C9279" t="s">
        <v>50</v>
      </c>
      <c r="D9279" t="s">
        <v>14045</v>
      </c>
      <c r="E9279" t="s">
        <v>1068</v>
      </c>
      <c r="F9279" t="s">
        <v>92</v>
      </c>
      <c r="G9279" t="s">
        <v>52</v>
      </c>
      <c r="H9279" t="str">
        <f>"ΚΑΠΟΔΙΣΤΡΙΟΥ 8 ΚΟΥΝΟΥΠΙΔΙΑΝΑ ΧΑΝΙΑ"</f>
        <v>ΚΑΠΟΔΙΣΤΡΙΟΥ 8 ΚΟΥΝΟΥΠΙΔΙΑΝΑ ΧΑΝΙΑ</v>
      </c>
      <c r="I9279">
        <v>73100</v>
      </c>
      <c r="J9279">
        <v>2821064912</v>
      </c>
      <c r="K9279">
        <v>6947892679</v>
      </c>
      <c r="N9279" t="s">
        <v>615</v>
      </c>
      <c r="O9279" t="s">
        <v>616</v>
      </c>
      <c r="R9279" t="s">
        <v>57</v>
      </c>
      <c r="S9279">
        <v>6</v>
      </c>
      <c r="T9279">
        <v>774</v>
      </c>
      <c r="U9279" s="1">
        <v>39680</v>
      </c>
      <c r="V9279" t="s">
        <v>89</v>
      </c>
      <c r="W9279" t="s">
        <v>90</v>
      </c>
      <c r="X9279" t="s">
        <v>58</v>
      </c>
      <c r="Y9279">
        <v>23</v>
      </c>
      <c r="Z9279" t="s">
        <v>59</v>
      </c>
      <c r="AA9279" t="s">
        <v>59</v>
      </c>
      <c r="AB9279" t="s">
        <v>59</v>
      </c>
      <c r="AC9279" t="s">
        <v>59</v>
      </c>
      <c r="AD9279" t="s">
        <v>59</v>
      </c>
      <c r="AF9279" s="1">
        <v>39680</v>
      </c>
      <c r="AG9279" t="s">
        <v>8645</v>
      </c>
      <c r="AH9279" t="s">
        <v>8646</v>
      </c>
      <c r="AI9279" t="str">
        <f>"9520693"</f>
        <v>9520693</v>
      </c>
      <c r="AJ9279" t="s">
        <v>13913</v>
      </c>
      <c r="AK9279">
        <v>2821066910</v>
      </c>
      <c r="AL9279" t="s">
        <v>13914</v>
      </c>
      <c r="AM9279" t="s">
        <v>88</v>
      </c>
      <c r="AN9279" t="s">
        <v>88</v>
      </c>
      <c r="AO9279" t="s">
        <v>6770</v>
      </c>
      <c r="AP9279" t="s">
        <v>6771</v>
      </c>
      <c r="AQ9279">
        <v>2</v>
      </c>
      <c r="AR9279" t="s">
        <v>89</v>
      </c>
      <c r="AS9279" t="s">
        <v>90</v>
      </c>
      <c r="AT9279" t="s">
        <v>58</v>
      </c>
      <c r="AU9279" t="s">
        <v>68</v>
      </c>
      <c r="AV9279" t="s">
        <v>69</v>
      </c>
      <c r="AW9279" s="1">
        <v>30673</v>
      </c>
      <c r="AX9279">
        <v>1</v>
      </c>
    </row>
    <row r="9280" spans="1:50">
      <c r="A9280">
        <v>181989</v>
      </c>
      <c r="B9280" t="str">
        <f>"047323627"</f>
        <v>047323627</v>
      </c>
      <c r="C9280" t="s">
        <v>50</v>
      </c>
      <c r="D9280" t="s">
        <v>657</v>
      </c>
      <c r="E9280" t="s">
        <v>83</v>
      </c>
      <c r="F9280" t="s">
        <v>53</v>
      </c>
      <c r="G9280" t="s">
        <v>52</v>
      </c>
      <c r="H9280" t="str">
        <f>" "</f>
        <v xml:space="preserve"> </v>
      </c>
      <c r="N9280" t="s">
        <v>204</v>
      </c>
      <c r="O9280" t="s">
        <v>205</v>
      </c>
      <c r="R9280" t="s">
        <v>57</v>
      </c>
      <c r="S9280">
        <v>10</v>
      </c>
      <c r="T9280">
        <v>164</v>
      </c>
      <c r="U9280" s="1">
        <v>36040</v>
      </c>
      <c r="V9280" t="s">
        <v>89</v>
      </c>
      <c r="W9280" t="s">
        <v>90</v>
      </c>
      <c r="X9280" t="s">
        <v>58</v>
      </c>
      <c r="Y9280">
        <v>21</v>
      </c>
      <c r="Z9280" t="s">
        <v>59</v>
      </c>
      <c r="AA9280" t="s">
        <v>59</v>
      </c>
      <c r="AB9280" t="s">
        <v>59</v>
      </c>
      <c r="AC9280" t="s">
        <v>59</v>
      </c>
      <c r="AD9280" t="s">
        <v>59</v>
      </c>
      <c r="AF9280" s="1">
        <v>36046</v>
      </c>
      <c r="AG9280" t="s">
        <v>8645</v>
      </c>
      <c r="AH9280" t="s">
        <v>8646</v>
      </c>
      <c r="AI9280" t="str">
        <f>"9500139"</f>
        <v>9500139</v>
      </c>
      <c r="AJ9280" t="s">
        <v>14050</v>
      </c>
      <c r="AK9280">
        <v>2821096819</v>
      </c>
      <c r="AL9280" t="s">
        <v>14051</v>
      </c>
      <c r="AM9280" t="s">
        <v>88</v>
      </c>
      <c r="AN9280" t="s">
        <v>88</v>
      </c>
      <c r="AO9280" t="s">
        <v>88</v>
      </c>
      <c r="AP9280" t="s">
        <v>88</v>
      </c>
      <c r="AQ9280">
        <v>1</v>
      </c>
      <c r="AR9280" t="s">
        <v>89</v>
      </c>
      <c r="AS9280" t="s">
        <v>90</v>
      </c>
      <c r="AT9280" t="s">
        <v>58</v>
      </c>
      <c r="AU9280" t="s">
        <v>68</v>
      </c>
      <c r="AV9280" t="s">
        <v>69</v>
      </c>
      <c r="AW9280" s="1">
        <v>25748</v>
      </c>
      <c r="AX9280">
        <v>1</v>
      </c>
    </row>
    <row r="9281" spans="1:50">
      <c r="A9281">
        <v>563293</v>
      </c>
      <c r="B9281" t="str">
        <f>"032695518"</f>
        <v>032695518</v>
      </c>
      <c r="C9281" t="s">
        <v>105</v>
      </c>
      <c r="D9281" t="s">
        <v>667</v>
      </c>
      <c r="E9281" t="s">
        <v>670</v>
      </c>
      <c r="F9281" t="s">
        <v>450</v>
      </c>
      <c r="G9281" t="s">
        <v>73</v>
      </c>
      <c r="H9281" t="str">
        <f>"ΔΙΓΕΝΗ ΑΚΡΙΤΑ 6 ΧΑΝΙΑ"</f>
        <v>ΔΙΓΕΝΗ ΑΚΡΙΤΑ 6 ΧΑΝΙΑ</v>
      </c>
      <c r="I9281">
        <v>73131</v>
      </c>
      <c r="J9281">
        <v>2821028262</v>
      </c>
      <c r="K9281">
        <v>6972879991</v>
      </c>
      <c r="N9281" t="s">
        <v>615</v>
      </c>
      <c r="O9281" t="s">
        <v>616</v>
      </c>
      <c r="R9281" t="s">
        <v>57</v>
      </c>
      <c r="S9281">
        <v>15</v>
      </c>
      <c r="T9281">
        <v>194</v>
      </c>
      <c r="U9281" s="1">
        <v>32762</v>
      </c>
      <c r="V9281" t="s">
        <v>89</v>
      </c>
      <c r="W9281" t="s">
        <v>90</v>
      </c>
      <c r="X9281" t="s">
        <v>58</v>
      </c>
      <c r="Y9281">
        <v>21</v>
      </c>
      <c r="Z9281" t="s">
        <v>59</v>
      </c>
      <c r="AA9281" t="s">
        <v>59</v>
      </c>
      <c r="AB9281" t="s">
        <v>59</v>
      </c>
      <c r="AC9281" t="s">
        <v>59</v>
      </c>
      <c r="AD9281" t="s">
        <v>59</v>
      </c>
      <c r="AF9281" s="1">
        <v>32762</v>
      </c>
      <c r="AG9281" t="s">
        <v>8645</v>
      </c>
      <c r="AH9281" t="s">
        <v>8646</v>
      </c>
      <c r="AI9281" t="str">
        <f>"9500139"</f>
        <v>9500139</v>
      </c>
      <c r="AJ9281" t="s">
        <v>14050</v>
      </c>
      <c r="AK9281">
        <v>2821096819</v>
      </c>
      <c r="AL9281" t="s">
        <v>14051</v>
      </c>
      <c r="AM9281" t="s">
        <v>88</v>
      </c>
      <c r="AN9281" t="s">
        <v>88</v>
      </c>
      <c r="AO9281" t="s">
        <v>88</v>
      </c>
      <c r="AP9281" t="s">
        <v>88</v>
      </c>
      <c r="AQ9281">
        <v>1</v>
      </c>
      <c r="AR9281" t="s">
        <v>89</v>
      </c>
      <c r="AS9281" t="s">
        <v>90</v>
      </c>
      <c r="AT9281" t="s">
        <v>58</v>
      </c>
      <c r="AU9281" t="s">
        <v>68</v>
      </c>
      <c r="AV9281" t="s">
        <v>69</v>
      </c>
      <c r="AW9281" s="1">
        <v>23567</v>
      </c>
      <c r="AX9281">
        <v>1</v>
      </c>
    </row>
    <row r="9282" spans="1:50">
      <c r="A9282">
        <v>701631</v>
      </c>
      <c r="B9282" t="str">
        <f>"136434061"</f>
        <v>136434061</v>
      </c>
      <c r="C9282" t="s">
        <v>50</v>
      </c>
      <c r="D9282" t="s">
        <v>14052</v>
      </c>
      <c r="E9282" t="s">
        <v>263</v>
      </c>
      <c r="F9282" t="s">
        <v>166</v>
      </c>
      <c r="G9282" t="s">
        <v>1078</v>
      </c>
      <c r="H9282" t="str">
        <f>"ΔΙΟΓΕΝΟΥΣ 19 ΧΑΝΙΑ"</f>
        <v>ΔΙΟΓΕΝΟΥΣ 19 ΧΑΝΙΑ</v>
      </c>
      <c r="I9282">
        <v>73100</v>
      </c>
      <c r="J9282">
        <v>2821059881</v>
      </c>
      <c r="K9282">
        <v>6947156001</v>
      </c>
      <c r="N9282" t="s">
        <v>615</v>
      </c>
      <c r="O9282" t="s">
        <v>616</v>
      </c>
      <c r="R9282" t="s">
        <v>57</v>
      </c>
      <c r="S9282">
        <v>5</v>
      </c>
      <c r="T9282">
        <v>772</v>
      </c>
      <c r="U9282" s="1">
        <v>40413</v>
      </c>
      <c r="V9282" t="s">
        <v>89</v>
      </c>
      <c r="W9282" t="s">
        <v>90</v>
      </c>
      <c r="X9282" t="s">
        <v>58</v>
      </c>
      <c r="Y9282">
        <v>23</v>
      </c>
      <c r="Z9282" t="s">
        <v>59</v>
      </c>
      <c r="AA9282" t="s">
        <v>59</v>
      </c>
      <c r="AB9282" t="s">
        <v>59</v>
      </c>
      <c r="AC9282" t="s">
        <v>59</v>
      </c>
      <c r="AD9282" t="s">
        <v>59</v>
      </c>
      <c r="AF9282" s="1">
        <v>40413</v>
      </c>
      <c r="AG9282" t="s">
        <v>8645</v>
      </c>
      <c r="AH9282" t="s">
        <v>8646</v>
      </c>
      <c r="AI9282" t="str">
        <f>"9520693"</f>
        <v>9520693</v>
      </c>
      <c r="AJ9282" t="s">
        <v>13913</v>
      </c>
      <c r="AK9282">
        <v>2821066910</v>
      </c>
      <c r="AL9282" t="s">
        <v>13914</v>
      </c>
      <c r="AM9282" t="s">
        <v>88</v>
      </c>
      <c r="AN9282" t="s">
        <v>88</v>
      </c>
      <c r="AO9282" t="s">
        <v>6770</v>
      </c>
      <c r="AP9282" t="s">
        <v>6771</v>
      </c>
      <c r="AQ9282">
        <v>2</v>
      </c>
      <c r="AR9282" t="s">
        <v>89</v>
      </c>
      <c r="AS9282" t="s">
        <v>90</v>
      </c>
      <c r="AT9282" t="s">
        <v>58</v>
      </c>
      <c r="AU9282" t="s">
        <v>68</v>
      </c>
      <c r="AV9282" t="s">
        <v>69</v>
      </c>
      <c r="AW9282" s="1">
        <v>31219</v>
      </c>
      <c r="AX9282">
        <v>1</v>
      </c>
    </row>
    <row r="9283" spans="1:50">
      <c r="B9283" t="str">
        <f>"150647163"</f>
        <v>150647163</v>
      </c>
      <c r="C9283" t="s">
        <v>50</v>
      </c>
      <c r="D9283" t="s">
        <v>5756</v>
      </c>
      <c r="E9283" t="s">
        <v>14053</v>
      </c>
      <c r="F9283" t="s">
        <v>95</v>
      </c>
      <c r="G9283" t="s">
        <v>340</v>
      </c>
      <c r="H9283" t="str">
        <f>" "</f>
        <v xml:space="preserve"> </v>
      </c>
      <c r="N9283" t="s">
        <v>615</v>
      </c>
      <c r="O9283" t="s">
        <v>616</v>
      </c>
      <c r="R9283" t="s">
        <v>159</v>
      </c>
      <c r="S9283">
        <v>3</v>
      </c>
      <c r="T9283" t="s">
        <v>9034</v>
      </c>
      <c r="U9283" s="1">
        <v>43377</v>
      </c>
      <c r="V9283" t="s">
        <v>89</v>
      </c>
      <c r="W9283" t="s">
        <v>90</v>
      </c>
      <c r="X9283" t="s">
        <v>58</v>
      </c>
      <c r="Y9283">
        <v>24</v>
      </c>
      <c r="Z9283" t="s">
        <v>59</v>
      </c>
      <c r="AA9283" t="s">
        <v>59</v>
      </c>
      <c r="AB9283" t="s">
        <v>59</v>
      </c>
      <c r="AD9283" t="s">
        <v>59</v>
      </c>
      <c r="AF9283" s="1">
        <v>43377</v>
      </c>
      <c r="AG9283" t="s">
        <v>8645</v>
      </c>
      <c r="AH9283" t="s">
        <v>8646</v>
      </c>
      <c r="AI9283" t="str">
        <f>"9500021"</f>
        <v>9500021</v>
      </c>
      <c r="AJ9283" t="s">
        <v>14054</v>
      </c>
      <c r="AK9283">
        <v>2825096298</v>
      </c>
      <c r="AL9283" t="s">
        <v>14055</v>
      </c>
      <c r="AM9283" t="s">
        <v>88</v>
      </c>
      <c r="AN9283" t="s">
        <v>6775</v>
      </c>
      <c r="AO9283" t="s">
        <v>13929</v>
      </c>
      <c r="AP9283" t="s">
        <v>14056</v>
      </c>
      <c r="AQ9283">
        <v>8</v>
      </c>
      <c r="AR9283" t="s">
        <v>89</v>
      </c>
      <c r="AS9283" t="s">
        <v>90</v>
      </c>
      <c r="AT9283" t="s">
        <v>58</v>
      </c>
      <c r="AU9283" t="s">
        <v>8673</v>
      </c>
      <c r="AV9283" t="s">
        <v>132</v>
      </c>
      <c r="AW9283" s="1">
        <v>33747</v>
      </c>
      <c r="AX9283">
        <v>1</v>
      </c>
    </row>
    <row r="9284" spans="1:50">
      <c r="A9284">
        <v>566058</v>
      </c>
      <c r="B9284" t="str">
        <f>"033398050"</f>
        <v>033398050</v>
      </c>
      <c r="C9284" t="s">
        <v>105</v>
      </c>
      <c r="D9284" t="s">
        <v>678</v>
      </c>
      <c r="E9284" t="s">
        <v>95</v>
      </c>
      <c r="F9284" t="s">
        <v>72</v>
      </c>
      <c r="G9284" t="s">
        <v>1452</v>
      </c>
      <c r="H9284" t="str">
        <f>"ΔΑΡΑΤΣΟ ΝΕΑ ΚΥΔΩΝΙΑ"</f>
        <v>ΔΑΡΑΤΣΟ ΝΕΑ ΚΥΔΩΝΙΑ</v>
      </c>
      <c r="I9284">
        <v>73100</v>
      </c>
      <c r="J9284">
        <v>2821031658</v>
      </c>
      <c r="K9284">
        <v>6981046936</v>
      </c>
      <c r="M9284" t="s">
        <v>14057</v>
      </c>
      <c r="N9284" t="s">
        <v>615</v>
      </c>
      <c r="O9284" t="s">
        <v>616</v>
      </c>
      <c r="R9284" t="s">
        <v>57</v>
      </c>
      <c r="S9284">
        <v>14</v>
      </c>
      <c r="T9284">
        <v>161</v>
      </c>
      <c r="U9284" s="1">
        <v>33119</v>
      </c>
      <c r="V9284" t="s">
        <v>89</v>
      </c>
      <c r="W9284" t="s">
        <v>90</v>
      </c>
      <c r="X9284" t="s">
        <v>58</v>
      </c>
      <c r="Y9284">
        <v>21</v>
      </c>
      <c r="Z9284" t="s">
        <v>59</v>
      </c>
      <c r="AA9284" t="s">
        <v>59</v>
      </c>
      <c r="AB9284" t="s">
        <v>59</v>
      </c>
      <c r="AC9284" t="s">
        <v>59</v>
      </c>
      <c r="AD9284" t="s">
        <v>59</v>
      </c>
      <c r="AF9284" s="1">
        <v>33119</v>
      </c>
      <c r="AG9284" t="s">
        <v>8645</v>
      </c>
      <c r="AH9284" t="s">
        <v>8646</v>
      </c>
      <c r="AI9284" t="str">
        <f>"9500360"</f>
        <v>9500360</v>
      </c>
      <c r="AJ9284" t="s">
        <v>14022</v>
      </c>
      <c r="AK9284">
        <v>2821031253</v>
      </c>
      <c r="AL9284" t="s">
        <v>14023</v>
      </c>
      <c r="AM9284" t="s">
        <v>88</v>
      </c>
      <c r="AN9284" t="s">
        <v>88</v>
      </c>
      <c r="AO9284" t="s">
        <v>6785</v>
      </c>
      <c r="AP9284" t="s">
        <v>13932</v>
      </c>
      <c r="AQ9284">
        <v>3</v>
      </c>
      <c r="AR9284" t="s">
        <v>89</v>
      </c>
      <c r="AS9284" t="s">
        <v>90</v>
      </c>
      <c r="AT9284" t="s">
        <v>58</v>
      </c>
      <c r="AU9284" t="s">
        <v>68</v>
      </c>
      <c r="AV9284" t="s">
        <v>69</v>
      </c>
      <c r="AW9284" s="1">
        <v>21894</v>
      </c>
      <c r="AX9284">
        <v>1</v>
      </c>
    </row>
    <row r="9285" spans="1:50">
      <c r="B9285" t="str">
        <f>"066455734"</f>
        <v>066455734</v>
      </c>
      <c r="C9285" t="s">
        <v>50</v>
      </c>
      <c r="D9285" t="s">
        <v>9063</v>
      </c>
      <c r="E9285" t="s">
        <v>372</v>
      </c>
      <c r="F9285" t="s">
        <v>72</v>
      </c>
      <c r="G9285" t="s">
        <v>250</v>
      </c>
      <c r="H9285" t="str">
        <f>"ΝΑΡΚΙΣΣΟΥ 20 ΗΡΑΚΛΕΙΟ"</f>
        <v>ΝΑΡΚΙΣΣΟΥ 20 ΗΡΑΚΛΕΙΟ</v>
      </c>
      <c r="I9285">
        <v>71410</v>
      </c>
      <c r="J9285">
        <v>2810318352</v>
      </c>
      <c r="K9285">
        <v>6973202819</v>
      </c>
      <c r="N9285" t="s">
        <v>615</v>
      </c>
      <c r="O9285" t="s">
        <v>616</v>
      </c>
      <c r="R9285" t="s">
        <v>159</v>
      </c>
      <c r="S9285">
        <v>4</v>
      </c>
      <c r="T9285" t="s">
        <v>8675</v>
      </c>
      <c r="U9285" s="1">
        <v>43348</v>
      </c>
      <c r="V9285" t="s">
        <v>89</v>
      </c>
      <c r="W9285" t="s">
        <v>90</v>
      </c>
      <c r="X9285" t="s">
        <v>58</v>
      </c>
      <c r="Y9285">
        <v>24</v>
      </c>
      <c r="Z9285" t="s">
        <v>59</v>
      </c>
      <c r="AA9285" t="s">
        <v>59</v>
      </c>
      <c r="AB9285" t="s">
        <v>59</v>
      </c>
      <c r="AC9285" t="s">
        <v>59</v>
      </c>
      <c r="AD9285" t="s">
        <v>59</v>
      </c>
      <c r="AF9285" s="1">
        <v>43348</v>
      </c>
      <c r="AG9285" t="s">
        <v>8645</v>
      </c>
      <c r="AH9285" t="s">
        <v>8646</v>
      </c>
      <c r="AI9285" t="str">
        <f>"9500225"</f>
        <v>9500225</v>
      </c>
      <c r="AJ9285" t="s">
        <v>14058</v>
      </c>
      <c r="AK9285">
        <v>2822041233</v>
      </c>
      <c r="AL9285" t="s">
        <v>14059</v>
      </c>
      <c r="AM9285" t="s">
        <v>88</v>
      </c>
      <c r="AN9285" t="s">
        <v>6744</v>
      </c>
      <c r="AO9285" t="s">
        <v>6744</v>
      </c>
      <c r="AP9285" t="s">
        <v>13045</v>
      </c>
      <c r="AQ9285">
        <v>9</v>
      </c>
      <c r="AR9285" t="s">
        <v>89</v>
      </c>
      <c r="AS9285" t="s">
        <v>90</v>
      </c>
      <c r="AT9285" t="s">
        <v>58</v>
      </c>
      <c r="AU9285" t="s">
        <v>8673</v>
      </c>
      <c r="AV9285" t="s">
        <v>132</v>
      </c>
      <c r="AW9285" s="1">
        <v>27333</v>
      </c>
      <c r="AX9285">
        <v>1</v>
      </c>
    </row>
    <row r="9286" spans="1:50">
      <c r="A9286">
        <v>621013</v>
      </c>
      <c r="B9286" t="str">
        <f>"142657955"</f>
        <v>142657955</v>
      </c>
      <c r="C9286" t="s">
        <v>50</v>
      </c>
      <c r="D9286" t="s">
        <v>9069</v>
      </c>
      <c r="E9286" t="s">
        <v>507</v>
      </c>
      <c r="F9286" t="s">
        <v>95</v>
      </c>
      <c r="G9286" t="s">
        <v>96</v>
      </c>
      <c r="H9286" t="str">
        <f>"ΝΙΚΟΜΗΔΕΙΑΣ 7 ΣΕΡΡΕΣ"</f>
        <v>ΝΙΚΟΜΗΔΕΙΑΣ 7 ΣΕΡΡΕΣ</v>
      </c>
      <c r="I9286">
        <v>62124</v>
      </c>
      <c r="J9286">
        <v>2321025460</v>
      </c>
      <c r="K9286">
        <v>6973352796</v>
      </c>
      <c r="N9286" t="s">
        <v>615</v>
      </c>
      <c r="O9286" t="s">
        <v>616</v>
      </c>
      <c r="R9286" t="s">
        <v>57</v>
      </c>
      <c r="S9286">
        <v>3</v>
      </c>
      <c r="T9286">
        <v>653</v>
      </c>
      <c r="U9286" s="1">
        <v>40043</v>
      </c>
      <c r="V9286" t="s">
        <v>89</v>
      </c>
      <c r="W9286" t="s">
        <v>90</v>
      </c>
      <c r="X9286" t="s">
        <v>58</v>
      </c>
      <c r="Y9286">
        <v>24</v>
      </c>
      <c r="Z9286" t="s">
        <v>59</v>
      </c>
      <c r="AA9286" t="s">
        <v>59</v>
      </c>
      <c r="AB9286" t="s">
        <v>59</v>
      </c>
      <c r="AC9286" t="s">
        <v>59</v>
      </c>
      <c r="AD9286" t="s">
        <v>59</v>
      </c>
      <c r="AF9286" s="1">
        <v>40043</v>
      </c>
      <c r="AG9286" t="s">
        <v>8645</v>
      </c>
      <c r="AH9286" t="s">
        <v>8646</v>
      </c>
      <c r="AI9286" t="str">
        <f>"9500006"</f>
        <v>9500006</v>
      </c>
      <c r="AJ9286" t="s">
        <v>14060</v>
      </c>
      <c r="AK9286">
        <v>2825051220</v>
      </c>
      <c r="AL9286" t="s">
        <v>14061</v>
      </c>
      <c r="AM9286" t="s">
        <v>88</v>
      </c>
      <c r="AN9286" t="s">
        <v>6775</v>
      </c>
      <c r="AO9286" t="s">
        <v>6781</v>
      </c>
      <c r="AP9286" t="s">
        <v>6782</v>
      </c>
      <c r="AQ9286">
        <v>8</v>
      </c>
      <c r="AR9286" t="s">
        <v>89</v>
      </c>
      <c r="AS9286" t="s">
        <v>90</v>
      </c>
      <c r="AT9286" t="s">
        <v>58</v>
      </c>
      <c r="AU9286" t="s">
        <v>68</v>
      </c>
      <c r="AV9286" t="s">
        <v>69</v>
      </c>
      <c r="AW9286" s="1">
        <v>31459</v>
      </c>
      <c r="AX9286">
        <v>1</v>
      </c>
    </row>
    <row r="9287" spans="1:50">
      <c r="B9287" t="str">
        <f>"116115777"</f>
        <v>116115777</v>
      </c>
      <c r="C9287" t="s">
        <v>50</v>
      </c>
      <c r="D9287" t="s">
        <v>14062</v>
      </c>
      <c r="E9287" t="s">
        <v>658</v>
      </c>
      <c r="F9287" t="s">
        <v>99</v>
      </c>
      <c r="G9287" t="s">
        <v>372</v>
      </c>
      <c r="H9287" t="str">
        <f>"ΕΥΖΩΝΩΝ   70 "</f>
        <v xml:space="preserve">ΕΥΖΩΝΩΝ   70 </v>
      </c>
      <c r="I9287">
        <v>43100</v>
      </c>
      <c r="J9287">
        <v>2441041907</v>
      </c>
      <c r="K9287">
        <v>6976596457</v>
      </c>
      <c r="N9287" t="s">
        <v>1525</v>
      </c>
      <c r="O9287" t="s">
        <v>1526</v>
      </c>
      <c r="R9287" t="s">
        <v>159</v>
      </c>
      <c r="S9287">
        <v>2</v>
      </c>
      <c r="T9287" t="s">
        <v>8670</v>
      </c>
      <c r="U9287" s="1">
        <v>43348</v>
      </c>
      <c r="V9287" t="s">
        <v>89</v>
      </c>
      <c r="W9287" t="s">
        <v>90</v>
      </c>
      <c r="X9287" t="s">
        <v>58</v>
      </c>
      <c r="Y9287">
        <v>25</v>
      </c>
      <c r="Z9287" t="s">
        <v>59</v>
      </c>
      <c r="AA9287" t="s">
        <v>59</v>
      </c>
      <c r="AB9287" t="s">
        <v>59</v>
      </c>
      <c r="AC9287" t="s">
        <v>59</v>
      </c>
      <c r="AD9287" t="s">
        <v>59</v>
      </c>
      <c r="AF9287" s="1">
        <v>43348</v>
      </c>
      <c r="AG9287" t="s">
        <v>8651</v>
      </c>
      <c r="AH9287" t="s">
        <v>8652</v>
      </c>
      <c r="AI9287" t="str">
        <f>"9500226"</f>
        <v>9500226</v>
      </c>
      <c r="AJ9287" t="s">
        <v>14063</v>
      </c>
      <c r="AK9287">
        <v>2822041706</v>
      </c>
      <c r="AL9287" t="s">
        <v>14064</v>
      </c>
      <c r="AM9287" t="s">
        <v>88</v>
      </c>
      <c r="AN9287" t="s">
        <v>6744</v>
      </c>
      <c r="AO9287" t="s">
        <v>6744</v>
      </c>
      <c r="AP9287" t="s">
        <v>13045</v>
      </c>
      <c r="AQ9287">
        <v>9</v>
      </c>
      <c r="AR9287" t="s">
        <v>89</v>
      </c>
      <c r="AS9287" t="s">
        <v>90</v>
      </c>
      <c r="AT9287" t="s">
        <v>58</v>
      </c>
      <c r="AU9287" t="s">
        <v>8673</v>
      </c>
      <c r="AV9287" t="s">
        <v>132</v>
      </c>
      <c r="AW9287" s="1">
        <v>31763</v>
      </c>
      <c r="AX9287">
        <v>1</v>
      </c>
    </row>
    <row r="9288" spans="1:50">
      <c r="A9288">
        <v>582017</v>
      </c>
      <c r="B9288" t="str">
        <f>"062361892"</f>
        <v>062361892</v>
      </c>
      <c r="C9288" t="s">
        <v>50</v>
      </c>
      <c r="D9288" t="s">
        <v>703</v>
      </c>
      <c r="E9288" t="s">
        <v>250</v>
      </c>
      <c r="F9288" t="s">
        <v>900</v>
      </c>
      <c r="G9288" t="s">
        <v>2235</v>
      </c>
      <c r="H9288" t="str">
        <f>" "</f>
        <v xml:space="preserve"> </v>
      </c>
      <c r="N9288" t="s">
        <v>615</v>
      </c>
      <c r="O9288" t="s">
        <v>616</v>
      </c>
      <c r="R9288" t="s">
        <v>57</v>
      </c>
      <c r="S9288">
        <v>12</v>
      </c>
      <c r="T9288">
        <v>179</v>
      </c>
      <c r="U9288" s="1">
        <v>35674</v>
      </c>
      <c r="V9288" t="s">
        <v>89</v>
      </c>
      <c r="W9288" t="s">
        <v>90</v>
      </c>
      <c r="X9288" t="s">
        <v>58</v>
      </c>
      <c r="Y9288">
        <v>21</v>
      </c>
      <c r="Z9288" t="s">
        <v>59</v>
      </c>
      <c r="AA9288" t="s">
        <v>59</v>
      </c>
      <c r="AB9288" t="s">
        <v>59</v>
      </c>
      <c r="AC9288" t="s">
        <v>59</v>
      </c>
      <c r="AD9288" t="s">
        <v>59</v>
      </c>
      <c r="AF9288" s="1">
        <v>35674</v>
      </c>
      <c r="AG9288" t="s">
        <v>8645</v>
      </c>
      <c r="AH9288" t="s">
        <v>8646</v>
      </c>
      <c r="AI9288" t="str">
        <f>"9500035"</f>
        <v>9500035</v>
      </c>
      <c r="AJ9288" t="s">
        <v>13979</v>
      </c>
      <c r="AK9288">
        <v>2821094678</v>
      </c>
      <c r="AL9288" t="s">
        <v>13980</v>
      </c>
      <c r="AM9288" t="s">
        <v>88</v>
      </c>
      <c r="AN9288" t="s">
        <v>88</v>
      </c>
      <c r="AO9288" t="s">
        <v>88</v>
      </c>
      <c r="AP9288" t="s">
        <v>88</v>
      </c>
      <c r="AQ9288">
        <v>2</v>
      </c>
      <c r="AR9288" t="s">
        <v>89</v>
      </c>
      <c r="AS9288" t="s">
        <v>90</v>
      </c>
      <c r="AT9288" t="s">
        <v>58</v>
      </c>
      <c r="AU9288" t="s">
        <v>68</v>
      </c>
      <c r="AV9288" t="s">
        <v>69</v>
      </c>
      <c r="AW9288" s="1">
        <v>23660</v>
      </c>
      <c r="AX9288">
        <v>1</v>
      </c>
    </row>
    <row r="9289" spans="1:50">
      <c r="B9289" t="str">
        <f>"127712577"</f>
        <v>127712577</v>
      </c>
      <c r="C9289" t="s">
        <v>50</v>
      </c>
      <c r="D9289" t="s">
        <v>14065</v>
      </c>
      <c r="E9289" t="s">
        <v>52</v>
      </c>
      <c r="F9289" t="s">
        <v>95</v>
      </c>
      <c r="H9289" t="str">
        <f>" "</f>
        <v xml:space="preserve"> </v>
      </c>
      <c r="N9289" t="s">
        <v>1525</v>
      </c>
      <c r="O9289" t="s">
        <v>1526</v>
      </c>
      <c r="R9289" t="s">
        <v>159</v>
      </c>
      <c r="S9289">
        <v>1</v>
      </c>
      <c r="T9289" t="s">
        <v>8670</v>
      </c>
      <c r="U9289" s="1">
        <v>43348</v>
      </c>
      <c r="V9289" t="s">
        <v>89</v>
      </c>
      <c r="W9289" t="s">
        <v>90</v>
      </c>
      <c r="X9289" t="s">
        <v>58</v>
      </c>
      <c r="Y9289">
        <v>25</v>
      </c>
      <c r="Z9289" t="s">
        <v>59</v>
      </c>
      <c r="AA9289" t="s">
        <v>59</v>
      </c>
      <c r="AB9289" t="s">
        <v>59</v>
      </c>
      <c r="AC9289" t="s">
        <v>59</v>
      </c>
      <c r="AD9289" t="s">
        <v>59</v>
      </c>
      <c r="AF9289" s="1">
        <v>43348</v>
      </c>
      <c r="AG9289" t="s">
        <v>8651</v>
      </c>
      <c r="AH9289" t="s">
        <v>8652</v>
      </c>
      <c r="AI9289" t="str">
        <f>"9500421"</f>
        <v>9500421</v>
      </c>
      <c r="AJ9289" t="s">
        <v>14066</v>
      </c>
      <c r="AK9289">
        <v>2831061184</v>
      </c>
      <c r="AL9289" t="s">
        <v>14067</v>
      </c>
      <c r="AM9289" t="s">
        <v>88</v>
      </c>
      <c r="AN9289" t="s">
        <v>6775</v>
      </c>
      <c r="AO9289" t="s">
        <v>13929</v>
      </c>
      <c r="AP9289" t="s">
        <v>14068</v>
      </c>
      <c r="AQ9289">
        <v>8</v>
      </c>
      <c r="AR9289" t="s">
        <v>89</v>
      </c>
      <c r="AS9289" t="s">
        <v>90</v>
      </c>
      <c r="AT9289" t="s">
        <v>58</v>
      </c>
      <c r="AU9289" t="s">
        <v>8673</v>
      </c>
      <c r="AV9289" t="s">
        <v>132</v>
      </c>
      <c r="AW9289" s="1">
        <v>29263</v>
      </c>
      <c r="AX9289">
        <v>1</v>
      </c>
    </row>
    <row r="9290" spans="1:50">
      <c r="A9290">
        <v>702203</v>
      </c>
      <c r="B9290" t="str">
        <f>"139718536"</f>
        <v>139718536</v>
      </c>
      <c r="C9290" t="s">
        <v>50</v>
      </c>
      <c r="D9290" t="s">
        <v>14069</v>
      </c>
      <c r="E9290" t="s">
        <v>366</v>
      </c>
      <c r="F9290" t="s">
        <v>84</v>
      </c>
      <c r="G9290" t="s">
        <v>6269</v>
      </c>
      <c r="H9290" t="str">
        <f>"ΑΓΙΑ ΠΑΡΑΣΚΕΥΗ ΔΡΑΜΑ"</f>
        <v>ΑΓΙΑ ΠΑΡΑΣΚΕΥΗ ΔΡΑΜΑ</v>
      </c>
      <c r="I9290">
        <v>66031</v>
      </c>
      <c r="J9290">
        <v>2521051469</v>
      </c>
      <c r="K9290">
        <v>6932139661</v>
      </c>
      <c r="N9290" t="s">
        <v>615</v>
      </c>
      <c r="O9290" t="s">
        <v>616</v>
      </c>
      <c r="R9290" t="s">
        <v>57</v>
      </c>
      <c r="S9290">
        <v>4</v>
      </c>
      <c r="T9290">
        <v>772</v>
      </c>
      <c r="U9290" s="1">
        <v>40413</v>
      </c>
      <c r="V9290" t="s">
        <v>89</v>
      </c>
      <c r="W9290" t="s">
        <v>90</v>
      </c>
      <c r="X9290" t="s">
        <v>58</v>
      </c>
      <c r="Y9290">
        <v>24</v>
      </c>
      <c r="Z9290" t="s">
        <v>59</v>
      </c>
      <c r="AA9290" t="s">
        <v>59</v>
      </c>
      <c r="AB9290" t="s">
        <v>59</v>
      </c>
      <c r="AC9290" t="s">
        <v>59</v>
      </c>
      <c r="AD9290" t="s">
        <v>59</v>
      </c>
      <c r="AF9290" s="1">
        <v>40413</v>
      </c>
      <c r="AG9290" t="s">
        <v>8645</v>
      </c>
      <c r="AH9290" t="s">
        <v>8646</v>
      </c>
      <c r="AI9290" t="str">
        <f>"9500021"</f>
        <v>9500021</v>
      </c>
      <c r="AJ9290" t="s">
        <v>14054</v>
      </c>
      <c r="AK9290">
        <v>2825096298</v>
      </c>
      <c r="AL9290" t="s">
        <v>14055</v>
      </c>
      <c r="AM9290" t="s">
        <v>88</v>
      </c>
      <c r="AN9290" t="s">
        <v>6775</v>
      </c>
      <c r="AO9290" t="s">
        <v>13929</v>
      </c>
      <c r="AP9290" t="s">
        <v>14056</v>
      </c>
      <c r="AQ9290">
        <v>8</v>
      </c>
      <c r="AR9290" t="s">
        <v>89</v>
      </c>
      <c r="AS9290" t="s">
        <v>90</v>
      </c>
      <c r="AT9290" t="s">
        <v>58</v>
      </c>
      <c r="AU9290" t="s">
        <v>68</v>
      </c>
      <c r="AV9290" t="s">
        <v>69</v>
      </c>
      <c r="AW9290" s="1">
        <v>31830</v>
      </c>
      <c r="AX9290">
        <v>1</v>
      </c>
    </row>
    <row r="9291" spans="1:50">
      <c r="A9291">
        <v>589085</v>
      </c>
      <c r="B9291" t="str">
        <f>"136437339"</f>
        <v>136437339</v>
      </c>
      <c r="C9291" t="s">
        <v>50</v>
      </c>
      <c r="D9291" t="s">
        <v>14070</v>
      </c>
      <c r="E9291" t="s">
        <v>52</v>
      </c>
      <c r="F9291" t="s">
        <v>995</v>
      </c>
      <c r="G9291" t="s">
        <v>372</v>
      </c>
      <c r="H9291" t="str">
        <f>"ΑΚΡΩΤΗΡΙΟΥ ΚΟΥΝΟΥΠΙΔΙΑΝΑ-ΧΑΝΙΑ"</f>
        <v>ΑΚΡΩΤΗΡΙΟΥ ΚΟΥΝΟΥΠΙΔΙΑΝΑ-ΧΑΝΙΑ</v>
      </c>
      <c r="I9291">
        <v>73100</v>
      </c>
      <c r="K9291">
        <v>6949477309</v>
      </c>
      <c r="N9291" t="s">
        <v>615</v>
      </c>
      <c r="O9291" t="s">
        <v>616</v>
      </c>
      <c r="R9291" t="s">
        <v>57</v>
      </c>
      <c r="S9291">
        <v>9</v>
      </c>
      <c r="T9291">
        <v>176</v>
      </c>
      <c r="U9291" s="1">
        <v>36403</v>
      </c>
      <c r="V9291" t="s">
        <v>89</v>
      </c>
      <c r="W9291" t="s">
        <v>90</v>
      </c>
      <c r="X9291" t="s">
        <v>58</v>
      </c>
      <c r="Y9291">
        <v>21</v>
      </c>
      <c r="Z9291" t="s">
        <v>59</v>
      </c>
      <c r="AA9291" t="s">
        <v>59</v>
      </c>
      <c r="AB9291" t="s">
        <v>59</v>
      </c>
      <c r="AC9291" t="s">
        <v>59</v>
      </c>
      <c r="AD9291" t="s">
        <v>59</v>
      </c>
      <c r="AF9291" s="1">
        <v>36403</v>
      </c>
      <c r="AG9291" t="s">
        <v>8645</v>
      </c>
      <c r="AH9291" t="s">
        <v>8646</v>
      </c>
      <c r="AI9291" t="str">
        <f>"9500093"</f>
        <v>9500093</v>
      </c>
      <c r="AJ9291" t="s">
        <v>13865</v>
      </c>
      <c r="AK9291">
        <v>2821064537</v>
      </c>
      <c r="AL9291" t="s">
        <v>13866</v>
      </c>
      <c r="AM9291" t="s">
        <v>88</v>
      </c>
      <c r="AN9291" t="s">
        <v>88</v>
      </c>
      <c r="AO9291" t="s">
        <v>6770</v>
      </c>
      <c r="AP9291" t="s">
        <v>6771</v>
      </c>
      <c r="AQ9291">
        <v>2</v>
      </c>
      <c r="AR9291" t="s">
        <v>89</v>
      </c>
      <c r="AS9291" t="s">
        <v>90</v>
      </c>
      <c r="AT9291" t="s">
        <v>58</v>
      </c>
      <c r="AU9291" t="s">
        <v>68</v>
      </c>
      <c r="AV9291" t="s">
        <v>69</v>
      </c>
      <c r="AW9291" s="1">
        <v>24946</v>
      </c>
      <c r="AX9291">
        <v>1</v>
      </c>
    </row>
    <row r="9292" spans="1:50">
      <c r="B9292" t="str">
        <f>"144029055"</f>
        <v>144029055</v>
      </c>
      <c r="C9292" t="s">
        <v>50</v>
      </c>
      <c r="D9292" t="s">
        <v>14071</v>
      </c>
      <c r="E9292" t="s">
        <v>396</v>
      </c>
      <c r="F9292" t="s">
        <v>95</v>
      </c>
      <c r="G9292" t="s">
        <v>52</v>
      </c>
      <c r="H9292" t="str">
        <f>"ΚΑΖΑΝΤΖΑΚΗ 72 "</f>
        <v xml:space="preserve">ΚΑΖΑΝΤΖΑΚΗ 72 </v>
      </c>
      <c r="I9292">
        <v>73100</v>
      </c>
      <c r="J9292">
        <v>2821073781</v>
      </c>
      <c r="K9292">
        <v>6955914500</v>
      </c>
      <c r="N9292" t="s">
        <v>615</v>
      </c>
      <c r="O9292" t="s">
        <v>616</v>
      </c>
      <c r="R9292" t="s">
        <v>159</v>
      </c>
      <c r="S9292">
        <v>3</v>
      </c>
      <c r="T9292" t="s">
        <v>8675</v>
      </c>
      <c r="U9292" s="1">
        <v>43348</v>
      </c>
      <c r="V9292" t="s">
        <v>89</v>
      </c>
      <c r="W9292" t="s">
        <v>90</v>
      </c>
      <c r="X9292" t="s">
        <v>58</v>
      </c>
      <c r="Y9292">
        <v>25</v>
      </c>
      <c r="Z9292" t="s">
        <v>59</v>
      </c>
      <c r="AA9292" t="s">
        <v>59</v>
      </c>
      <c r="AB9292" t="s">
        <v>59</v>
      </c>
      <c r="AC9292" t="s">
        <v>59</v>
      </c>
      <c r="AD9292" t="s">
        <v>59</v>
      </c>
      <c r="AF9292" s="1">
        <v>43348</v>
      </c>
      <c r="AG9292" t="s">
        <v>8645</v>
      </c>
      <c r="AH9292" t="s">
        <v>8676</v>
      </c>
      <c r="AI9292" t="str">
        <f>"9500091"</f>
        <v>9500091</v>
      </c>
      <c r="AJ9292" t="s">
        <v>14072</v>
      </c>
      <c r="AK9292">
        <v>2821065223</v>
      </c>
      <c r="AL9292" t="s">
        <v>14073</v>
      </c>
      <c r="AM9292" t="s">
        <v>88</v>
      </c>
      <c r="AN9292" t="s">
        <v>88</v>
      </c>
      <c r="AO9292" t="s">
        <v>14074</v>
      </c>
      <c r="AP9292" t="s">
        <v>14075</v>
      </c>
      <c r="AQ9292">
        <v>2</v>
      </c>
      <c r="AR9292" t="s">
        <v>89</v>
      </c>
      <c r="AS9292" t="s">
        <v>90</v>
      </c>
      <c r="AT9292" t="s">
        <v>58</v>
      </c>
      <c r="AU9292" t="s">
        <v>8673</v>
      </c>
      <c r="AV9292" t="s">
        <v>132</v>
      </c>
      <c r="AW9292" s="1">
        <v>32481</v>
      </c>
      <c r="AX9292">
        <v>1</v>
      </c>
    </row>
    <row r="9293" spans="1:50">
      <c r="B9293" t="str">
        <f>"155804499"</f>
        <v>155804499</v>
      </c>
      <c r="C9293" t="s">
        <v>50</v>
      </c>
      <c r="D9293" t="s">
        <v>14076</v>
      </c>
      <c r="E9293" t="s">
        <v>14077</v>
      </c>
      <c r="F9293" t="s">
        <v>920</v>
      </c>
      <c r="G9293" t="s">
        <v>1355</v>
      </c>
      <c r="H9293" t="str">
        <f>"ΤΣΟΝΤΟΥ ΒΑΡΔΑ 59 "</f>
        <v xml:space="preserve">ΤΣΟΝΤΟΥ ΒΑΡΔΑ 59 </v>
      </c>
      <c r="I9293">
        <v>73100</v>
      </c>
      <c r="J9293">
        <v>2821059682</v>
      </c>
      <c r="K9293">
        <v>6989870179</v>
      </c>
      <c r="N9293" t="s">
        <v>615</v>
      </c>
      <c r="O9293" t="s">
        <v>616</v>
      </c>
      <c r="R9293" t="s">
        <v>159</v>
      </c>
      <c r="S9293">
        <v>2</v>
      </c>
      <c r="T9293" t="s">
        <v>8675</v>
      </c>
      <c r="U9293" s="1">
        <v>43348</v>
      </c>
      <c r="V9293" t="s">
        <v>89</v>
      </c>
      <c r="W9293" t="s">
        <v>90</v>
      </c>
      <c r="X9293" t="s">
        <v>58</v>
      </c>
      <c r="Y9293">
        <v>24</v>
      </c>
      <c r="Z9293" t="s">
        <v>59</v>
      </c>
      <c r="AA9293" t="s">
        <v>59</v>
      </c>
      <c r="AB9293" t="s">
        <v>59</v>
      </c>
      <c r="AC9293" t="s">
        <v>59</v>
      </c>
      <c r="AD9293" t="s">
        <v>59</v>
      </c>
      <c r="AF9293" s="1">
        <v>43348</v>
      </c>
      <c r="AG9293" t="s">
        <v>8645</v>
      </c>
      <c r="AH9293" t="s">
        <v>8646</v>
      </c>
      <c r="AI9293" t="str">
        <f>"9500218"</f>
        <v>9500218</v>
      </c>
      <c r="AJ9293" t="s">
        <v>13992</v>
      </c>
      <c r="AK9293">
        <v>2824022216</v>
      </c>
      <c r="AL9293" t="s">
        <v>13993</v>
      </c>
      <c r="AM9293" t="s">
        <v>88</v>
      </c>
      <c r="AN9293" t="s">
        <v>6764</v>
      </c>
      <c r="AO9293" t="s">
        <v>6799</v>
      </c>
      <c r="AP9293" t="s">
        <v>6799</v>
      </c>
      <c r="AQ9293">
        <v>6</v>
      </c>
      <c r="AR9293" t="s">
        <v>89</v>
      </c>
      <c r="AS9293" t="s">
        <v>90</v>
      </c>
      <c r="AT9293" t="s">
        <v>58</v>
      </c>
      <c r="AU9293" t="s">
        <v>8673</v>
      </c>
      <c r="AV9293" t="s">
        <v>132</v>
      </c>
      <c r="AW9293" s="1">
        <v>28024</v>
      </c>
      <c r="AX9293">
        <v>1</v>
      </c>
    </row>
    <row r="9294" spans="1:50">
      <c r="A9294">
        <v>565191</v>
      </c>
      <c r="B9294" t="str">
        <f>"035138117"</f>
        <v>035138117</v>
      </c>
      <c r="C9294" t="s">
        <v>50</v>
      </c>
      <c r="D9294" t="s">
        <v>14078</v>
      </c>
      <c r="E9294" t="s">
        <v>237</v>
      </c>
      <c r="F9294" t="s">
        <v>383</v>
      </c>
      <c r="G9294" t="s">
        <v>330</v>
      </c>
      <c r="H9294" t="str">
        <f>"Αγ. Κων/νου Κάτω- Σούδας"</f>
        <v>Αγ. Κων/νου Κάτω- Σούδας</v>
      </c>
      <c r="I9294">
        <v>73200</v>
      </c>
      <c r="J9294">
        <v>2821081433</v>
      </c>
      <c r="K9294">
        <v>6945755446</v>
      </c>
      <c r="N9294" t="s">
        <v>615</v>
      </c>
      <c r="O9294" t="s">
        <v>616</v>
      </c>
      <c r="R9294" t="s">
        <v>57</v>
      </c>
      <c r="S9294">
        <v>14</v>
      </c>
      <c r="T9294">
        <v>161</v>
      </c>
      <c r="U9294" s="1">
        <v>33119</v>
      </c>
      <c r="V9294" t="s">
        <v>89</v>
      </c>
      <c r="W9294" t="s">
        <v>90</v>
      </c>
      <c r="X9294" t="s">
        <v>58</v>
      </c>
      <c r="Y9294">
        <v>21</v>
      </c>
      <c r="Z9294" t="s">
        <v>59</v>
      </c>
      <c r="AA9294" t="s">
        <v>59</v>
      </c>
      <c r="AB9294" t="s">
        <v>59</v>
      </c>
      <c r="AC9294" t="s">
        <v>59</v>
      </c>
      <c r="AD9294" t="s">
        <v>59</v>
      </c>
      <c r="AF9294" s="1">
        <v>33119</v>
      </c>
      <c r="AG9294" t="s">
        <v>8645</v>
      </c>
      <c r="AH9294" t="s">
        <v>8646</v>
      </c>
      <c r="AI9294" t="str">
        <f>"9500408"</f>
        <v>9500408</v>
      </c>
      <c r="AJ9294" t="s">
        <v>13981</v>
      </c>
      <c r="AK9294">
        <v>2821081655</v>
      </c>
      <c r="AL9294" t="s">
        <v>13982</v>
      </c>
      <c r="AM9294" t="s">
        <v>88</v>
      </c>
      <c r="AN9294" t="s">
        <v>88</v>
      </c>
      <c r="AO9294" t="s">
        <v>6748</v>
      </c>
      <c r="AP9294" t="s">
        <v>6748</v>
      </c>
      <c r="AQ9294">
        <v>2</v>
      </c>
      <c r="AR9294" t="s">
        <v>89</v>
      </c>
      <c r="AS9294" t="s">
        <v>90</v>
      </c>
      <c r="AT9294" t="s">
        <v>58</v>
      </c>
      <c r="AU9294" t="s">
        <v>68</v>
      </c>
      <c r="AV9294" t="s">
        <v>69</v>
      </c>
      <c r="AW9294" s="1">
        <v>24096</v>
      </c>
      <c r="AX9294">
        <v>1</v>
      </c>
    </row>
    <row r="9295" spans="1:50">
      <c r="A9295">
        <v>608948</v>
      </c>
      <c r="B9295" t="str">
        <f>"111053782"</f>
        <v>111053782</v>
      </c>
      <c r="C9295" t="s">
        <v>50</v>
      </c>
      <c r="D9295" t="s">
        <v>9105</v>
      </c>
      <c r="E9295" t="s">
        <v>396</v>
      </c>
      <c r="F9295" t="s">
        <v>304</v>
      </c>
      <c r="G9295" t="s">
        <v>52</v>
      </c>
      <c r="H9295" t="str">
        <f>"ΚΑΛΙΝΙΚΟΥ ΣΑΡΠΑΚΗ 14 ΧΑΝΙΑ"</f>
        <v>ΚΑΛΙΝΙΚΟΥ ΣΑΡΠΑΚΗ 14 ΧΑΝΙΑ</v>
      </c>
      <c r="I9295">
        <v>73100</v>
      </c>
      <c r="K9295">
        <v>6976258848</v>
      </c>
      <c r="M9295" t="s">
        <v>14079</v>
      </c>
      <c r="N9295" t="s">
        <v>1525</v>
      </c>
      <c r="O9295" t="s">
        <v>1526</v>
      </c>
      <c r="R9295" t="s">
        <v>57</v>
      </c>
      <c r="S9295">
        <v>6</v>
      </c>
      <c r="T9295">
        <v>217</v>
      </c>
      <c r="U9295" s="1">
        <v>38596</v>
      </c>
      <c r="V9295" t="s">
        <v>89</v>
      </c>
      <c r="W9295" t="s">
        <v>90</v>
      </c>
      <c r="X9295" t="s">
        <v>58</v>
      </c>
      <c r="Y9295">
        <v>25</v>
      </c>
      <c r="Z9295" t="s">
        <v>59</v>
      </c>
      <c r="AA9295" t="s">
        <v>59</v>
      </c>
      <c r="AB9295" t="s">
        <v>59</v>
      </c>
      <c r="AC9295" t="s">
        <v>59</v>
      </c>
      <c r="AD9295" t="s">
        <v>59</v>
      </c>
      <c r="AF9295" s="1">
        <v>38600</v>
      </c>
      <c r="AG9295" t="s">
        <v>8651</v>
      </c>
      <c r="AH9295" t="s">
        <v>8652</v>
      </c>
      <c r="AI9295" t="str">
        <f>"9500369"</f>
        <v>9500369</v>
      </c>
      <c r="AJ9295" t="s">
        <v>14080</v>
      </c>
      <c r="AK9295">
        <v>2821099596</v>
      </c>
      <c r="AL9295" t="s">
        <v>14081</v>
      </c>
      <c r="AM9295" t="s">
        <v>88</v>
      </c>
      <c r="AN9295" t="s">
        <v>88</v>
      </c>
      <c r="AO9295" t="s">
        <v>6733</v>
      </c>
      <c r="AP9295" t="s">
        <v>6755</v>
      </c>
      <c r="AQ9295">
        <v>2</v>
      </c>
      <c r="AR9295" t="s">
        <v>89</v>
      </c>
      <c r="AS9295" t="s">
        <v>90</v>
      </c>
      <c r="AT9295" t="s">
        <v>58</v>
      </c>
      <c r="AU9295" t="s">
        <v>68</v>
      </c>
      <c r="AV9295" t="s">
        <v>69</v>
      </c>
      <c r="AW9295" s="1">
        <v>27110</v>
      </c>
      <c r="AX9295">
        <v>1</v>
      </c>
    </row>
    <row r="9296" spans="1:50">
      <c r="A9296">
        <v>613400</v>
      </c>
      <c r="B9296" t="str">
        <f>"128910739"</f>
        <v>128910739</v>
      </c>
      <c r="C9296" t="s">
        <v>50</v>
      </c>
      <c r="D9296" t="s">
        <v>14082</v>
      </c>
      <c r="E9296" t="s">
        <v>237</v>
      </c>
      <c r="F9296" t="s">
        <v>920</v>
      </c>
      <c r="G9296" t="s">
        <v>964</v>
      </c>
      <c r="H9296" t="str">
        <f>"ΧΑΛΑΣΤΡΑ ΘΕΣΣΑΛΟΝΙΚΗ"</f>
        <v>ΧΑΛΑΣΤΡΑ ΘΕΣΣΑΛΟΝΙΚΗ</v>
      </c>
      <c r="I9296">
        <v>57300</v>
      </c>
      <c r="J9296">
        <v>2310793495</v>
      </c>
      <c r="K9296">
        <v>6945411072</v>
      </c>
      <c r="N9296" t="s">
        <v>615</v>
      </c>
      <c r="O9296" t="s">
        <v>616</v>
      </c>
      <c r="R9296" t="s">
        <v>57</v>
      </c>
      <c r="S9296">
        <v>6</v>
      </c>
      <c r="T9296">
        <v>598</v>
      </c>
      <c r="U9296" s="1">
        <v>39310</v>
      </c>
      <c r="V9296" t="s">
        <v>89</v>
      </c>
      <c r="W9296" t="s">
        <v>90</v>
      </c>
      <c r="X9296" t="s">
        <v>58</v>
      </c>
      <c r="Y9296">
        <v>23</v>
      </c>
      <c r="Z9296" t="s">
        <v>59</v>
      </c>
      <c r="AA9296" t="s">
        <v>59</v>
      </c>
      <c r="AB9296" t="s">
        <v>59</v>
      </c>
      <c r="AC9296" t="s">
        <v>59</v>
      </c>
      <c r="AD9296" t="s">
        <v>59</v>
      </c>
      <c r="AF9296" s="1">
        <v>39328</v>
      </c>
      <c r="AG9296" t="s">
        <v>8645</v>
      </c>
      <c r="AH9296" t="s">
        <v>8646</v>
      </c>
      <c r="AI9296" t="str">
        <f>"9500113"</f>
        <v>9500113</v>
      </c>
      <c r="AJ9296" t="s">
        <v>13935</v>
      </c>
      <c r="AK9296">
        <v>2821077187</v>
      </c>
      <c r="AL9296" t="s">
        <v>13936</v>
      </c>
      <c r="AM9296" t="s">
        <v>88</v>
      </c>
      <c r="AN9296" t="s">
        <v>6764</v>
      </c>
      <c r="AO9296" t="s">
        <v>6885</v>
      </c>
      <c r="AP9296" t="s">
        <v>13937</v>
      </c>
      <c r="AQ9296">
        <v>4</v>
      </c>
      <c r="AR9296" t="s">
        <v>89</v>
      </c>
      <c r="AS9296" t="s">
        <v>90</v>
      </c>
      <c r="AT9296" t="s">
        <v>58</v>
      </c>
      <c r="AU9296" t="s">
        <v>68</v>
      </c>
      <c r="AV9296" t="s">
        <v>69</v>
      </c>
      <c r="AW9296" s="1">
        <v>29905</v>
      </c>
      <c r="AX9296">
        <v>1</v>
      </c>
    </row>
    <row r="9297" spans="1:50">
      <c r="B9297" t="str">
        <f>"146166254"</f>
        <v>146166254</v>
      </c>
      <c r="C9297" t="s">
        <v>50</v>
      </c>
      <c r="D9297" t="s">
        <v>5765</v>
      </c>
      <c r="E9297" t="s">
        <v>658</v>
      </c>
      <c r="F9297" t="s">
        <v>84</v>
      </c>
      <c r="G9297" t="s">
        <v>14083</v>
      </c>
      <c r="H9297" t="str">
        <f>" "</f>
        <v xml:space="preserve"> </v>
      </c>
      <c r="N9297" t="s">
        <v>9829</v>
      </c>
      <c r="O9297" t="s">
        <v>9830</v>
      </c>
      <c r="R9297" t="s">
        <v>159</v>
      </c>
      <c r="S9297">
        <v>3</v>
      </c>
      <c r="T9297" t="s">
        <v>8696</v>
      </c>
      <c r="U9297" s="1">
        <v>43348</v>
      </c>
      <c r="V9297" t="s">
        <v>89</v>
      </c>
      <c r="W9297" t="s">
        <v>90</v>
      </c>
      <c r="X9297" t="s">
        <v>58</v>
      </c>
      <c r="Y9297">
        <v>25</v>
      </c>
      <c r="Z9297" t="s">
        <v>59</v>
      </c>
      <c r="AA9297" t="s">
        <v>59</v>
      </c>
      <c r="AB9297" t="s">
        <v>59</v>
      </c>
      <c r="AD9297" t="s">
        <v>59</v>
      </c>
      <c r="AF9297" s="1">
        <v>43348</v>
      </c>
      <c r="AG9297" t="s">
        <v>8651</v>
      </c>
      <c r="AH9297" t="s">
        <v>8652</v>
      </c>
      <c r="AI9297" t="str">
        <f>"9500007"</f>
        <v>9500007</v>
      </c>
      <c r="AJ9297" t="s">
        <v>13924</v>
      </c>
      <c r="AK9297">
        <v>2825051704</v>
      </c>
      <c r="AL9297" t="s">
        <v>13925</v>
      </c>
      <c r="AM9297" t="s">
        <v>88</v>
      </c>
      <c r="AN9297" t="s">
        <v>6775</v>
      </c>
      <c r="AO9297" t="s">
        <v>6781</v>
      </c>
      <c r="AP9297" t="s">
        <v>6782</v>
      </c>
      <c r="AQ9297">
        <v>8</v>
      </c>
      <c r="AR9297" t="s">
        <v>89</v>
      </c>
      <c r="AS9297" t="s">
        <v>90</v>
      </c>
      <c r="AT9297" t="s">
        <v>58</v>
      </c>
      <c r="AU9297" t="s">
        <v>350</v>
      </c>
      <c r="AV9297" t="s">
        <v>132</v>
      </c>
      <c r="AW9297" s="1">
        <v>32364</v>
      </c>
      <c r="AX9297">
        <v>1</v>
      </c>
    </row>
    <row r="9298" spans="1:50">
      <c r="A9298">
        <v>582333</v>
      </c>
      <c r="B9298" t="str">
        <f>"044681566"</f>
        <v>044681566</v>
      </c>
      <c r="C9298" t="s">
        <v>50</v>
      </c>
      <c r="D9298" t="s">
        <v>14084</v>
      </c>
      <c r="E9298" t="s">
        <v>52</v>
      </c>
      <c r="F9298" t="s">
        <v>450</v>
      </c>
      <c r="G9298" t="s">
        <v>14085</v>
      </c>
      <c r="H9298" t="str">
        <f>"Πεύκων 1 ¶γ. Ματθαίος ΧΑΝΙΑ"</f>
        <v>Πεύκων 1 ¶γ. Ματθαίος ΧΑΝΙΑ</v>
      </c>
      <c r="J9298">
        <v>2821040401</v>
      </c>
      <c r="K9298">
        <v>6947286857</v>
      </c>
      <c r="L9298">
        <v>2821040401</v>
      </c>
      <c r="M9298" t="s">
        <v>14086</v>
      </c>
      <c r="N9298" t="s">
        <v>615</v>
      </c>
      <c r="O9298" t="s">
        <v>616</v>
      </c>
      <c r="R9298" t="s">
        <v>57</v>
      </c>
      <c r="S9298">
        <v>10</v>
      </c>
      <c r="T9298">
        <v>179</v>
      </c>
      <c r="U9298" s="1">
        <v>35674</v>
      </c>
      <c r="V9298" t="s">
        <v>89</v>
      </c>
      <c r="W9298" t="s">
        <v>90</v>
      </c>
      <c r="X9298" t="s">
        <v>58</v>
      </c>
      <c r="Y9298">
        <v>21</v>
      </c>
      <c r="Z9298" t="s">
        <v>59</v>
      </c>
      <c r="AA9298" t="s">
        <v>59</v>
      </c>
      <c r="AB9298" t="s">
        <v>59</v>
      </c>
      <c r="AC9298" t="s">
        <v>59</v>
      </c>
      <c r="AD9298" t="s">
        <v>59</v>
      </c>
      <c r="AF9298" s="1">
        <v>35674</v>
      </c>
      <c r="AG9298" t="s">
        <v>8645</v>
      </c>
      <c r="AH9298" t="s">
        <v>8646</v>
      </c>
      <c r="AI9298" t="str">
        <f>"9500075"</f>
        <v>9500075</v>
      </c>
      <c r="AJ9298" t="s">
        <v>13955</v>
      </c>
      <c r="AK9298">
        <v>2821046505</v>
      </c>
      <c r="AL9298" t="s">
        <v>13956</v>
      </c>
      <c r="AM9298" t="s">
        <v>88</v>
      </c>
      <c r="AN9298" t="s">
        <v>88</v>
      </c>
      <c r="AO9298" t="s">
        <v>88</v>
      </c>
      <c r="AP9298" t="s">
        <v>88</v>
      </c>
      <c r="AQ9298">
        <v>1</v>
      </c>
      <c r="AR9298" t="s">
        <v>89</v>
      </c>
      <c r="AS9298" t="s">
        <v>90</v>
      </c>
      <c r="AT9298" t="s">
        <v>58</v>
      </c>
      <c r="AU9298" t="s">
        <v>68</v>
      </c>
      <c r="AV9298" t="s">
        <v>69</v>
      </c>
      <c r="AW9298" s="1">
        <v>23824</v>
      </c>
      <c r="AX9298">
        <v>1</v>
      </c>
    </row>
    <row r="9299" spans="1:50">
      <c r="A9299">
        <v>611200</v>
      </c>
      <c r="B9299" t="str">
        <f>"112359639"</f>
        <v>112359639</v>
      </c>
      <c r="C9299" t="s">
        <v>50</v>
      </c>
      <c r="D9299" t="s">
        <v>14087</v>
      </c>
      <c r="E9299" t="s">
        <v>755</v>
      </c>
      <c r="F9299" t="s">
        <v>1516</v>
      </c>
      <c r="G9299" t="s">
        <v>4695</v>
      </c>
      <c r="H9299" t="str">
        <f>"ΑΡΙΣΤΟΤΕΛΟΥΣ ΚΟΡΑΚΙΕΣ ΑΚΡΩΤΗΡΙΟΥ"</f>
        <v>ΑΡΙΣΤΟΤΕΛΟΥΣ ΚΟΡΑΚΙΕΣ ΑΚΡΩΤΗΡΙΟΥ</v>
      </c>
      <c r="I9299">
        <v>73100</v>
      </c>
      <c r="J9299">
        <v>2821069769</v>
      </c>
      <c r="K9299">
        <v>6972623306</v>
      </c>
      <c r="N9299" t="s">
        <v>1525</v>
      </c>
      <c r="O9299" t="s">
        <v>1526</v>
      </c>
      <c r="R9299" t="s">
        <v>57</v>
      </c>
      <c r="S9299">
        <v>7</v>
      </c>
      <c r="T9299">
        <v>233</v>
      </c>
      <c r="U9299" s="1">
        <v>38960</v>
      </c>
      <c r="V9299" t="s">
        <v>89</v>
      </c>
      <c r="W9299" t="s">
        <v>90</v>
      </c>
      <c r="X9299" t="s">
        <v>58</v>
      </c>
      <c r="Y9299">
        <v>25</v>
      </c>
      <c r="Z9299" t="s">
        <v>59</v>
      </c>
      <c r="AA9299" t="s">
        <v>59</v>
      </c>
      <c r="AB9299" t="s">
        <v>59</v>
      </c>
      <c r="AC9299" t="s">
        <v>59</v>
      </c>
      <c r="AD9299" t="s">
        <v>59</v>
      </c>
      <c r="AF9299" s="1">
        <v>38961</v>
      </c>
      <c r="AG9299" t="s">
        <v>8651</v>
      </c>
      <c r="AH9299" t="s">
        <v>8652</v>
      </c>
      <c r="AI9299" t="str">
        <f>"9500405"</f>
        <v>9500405</v>
      </c>
      <c r="AJ9299" t="s">
        <v>14088</v>
      </c>
      <c r="AK9299">
        <v>2821047840</v>
      </c>
      <c r="AL9299" t="s">
        <v>14089</v>
      </c>
      <c r="AM9299" t="s">
        <v>88</v>
      </c>
      <c r="AN9299" t="s">
        <v>88</v>
      </c>
      <c r="AO9299" t="s">
        <v>6770</v>
      </c>
      <c r="AP9299" t="s">
        <v>14090</v>
      </c>
      <c r="AQ9299">
        <v>2</v>
      </c>
      <c r="AR9299" t="s">
        <v>89</v>
      </c>
      <c r="AS9299" t="s">
        <v>90</v>
      </c>
      <c r="AT9299" t="s">
        <v>58</v>
      </c>
      <c r="AU9299" t="s">
        <v>68</v>
      </c>
      <c r="AV9299" t="s">
        <v>69</v>
      </c>
      <c r="AW9299" s="1">
        <v>24626</v>
      </c>
      <c r="AX9299">
        <v>1</v>
      </c>
    </row>
    <row r="9300" spans="1:50">
      <c r="A9300">
        <v>552499</v>
      </c>
      <c r="B9300" t="str">
        <f>"113157277"</f>
        <v>113157277</v>
      </c>
      <c r="C9300" t="s">
        <v>50</v>
      </c>
      <c r="D9300" t="s">
        <v>14091</v>
      </c>
      <c r="E9300" t="s">
        <v>52</v>
      </c>
      <c r="F9300" t="s">
        <v>95</v>
      </c>
      <c r="G9300" t="s">
        <v>1458</v>
      </c>
      <c r="H9300" t="str">
        <f>"ΜΑΝΑΡΩΛΗ 12 ΧΑΝΙΑ"</f>
        <v>ΜΑΝΑΡΩΛΗ 12 ΧΑΝΙΑ</v>
      </c>
      <c r="I9300">
        <v>73134</v>
      </c>
      <c r="J9300">
        <v>2821044324</v>
      </c>
      <c r="K9300">
        <v>6906987692</v>
      </c>
      <c r="N9300" t="s">
        <v>1525</v>
      </c>
      <c r="O9300" t="s">
        <v>1526</v>
      </c>
      <c r="R9300" t="s">
        <v>57</v>
      </c>
      <c r="S9300">
        <v>17</v>
      </c>
      <c r="T9300">
        <v>281</v>
      </c>
      <c r="U9300" s="1">
        <v>30558</v>
      </c>
      <c r="V9300" t="s">
        <v>89</v>
      </c>
      <c r="W9300" t="s">
        <v>90</v>
      </c>
      <c r="X9300" t="s">
        <v>58</v>
      </c>
      <c r="Y9300">
        <v>25</v>
      </c>
      <c r="Z9300" t="s">
        <v>59</v>
      </c>
      <c r="AA9300" t="s">
        <v>59</v>
      </c>
      <c r="AB9300" t="s">
        <v>59</v>
      </c>
      <c r="AC9300" t="s">
        <v>59</v>
      </c>
      <c r="AD9300" t="s">
        <v>59</v>
      </c>
      <c r="AF9300" s="1">
        <v>30567</v>
      </c>
      <c r="AG9300" t="s">
        <v>8651</v>
      </c>
      <c r="AH9300" t="s">
        <v>8652</v>
      </c>
      <c r="AI9300" t="str">
        <f>"9500076"</f>
        <v>9500076</v>
      </c>
      <c r="AJ9300" t="s">
        <v>14092</v>
      </c>
      <c r="AK9300">
        <v>2821027020</v>
      </c>
      <c r="AL9300" t="s">
        <v>14093</v>
      </c>
      <c r="AM9300" t="s">
        <v>88</v>
      </c>
      <c r="AN9300" t="s">
        <v>88</v>
      </c>
      <c r="AO9300" t="s">
        <v>88</v>
      </c>
      <c r="AP9300" t="s">
        <v>88</v>
      </c>
      <c r="AQ9300">
        <v>1</v>
      </c>
      <c r="AR9300" t="s">
        <v>89</v>
      </c>
      <c r="AS9300" t="s">
        <v>90</v>
      </c>
      <c r="AT9300" t="s">
        <v>58</v>
      </c>
      <c r="AU9300" t="s">
        <v>68</v>
      </c>
      <c r="AV9300" t="s">
        <v>69</v>
      </c>
      <c r="AW9300" s="1">
        <v>22697</v>
      </c>
      <c r="AX9300">
        <v>1</v>
      </c>
    </row>
    <row r="9301" spans="1:50">
      <c r="A9301">
        <v>597835</v>
      </c>
      <c r="B9301" t="str">
        <f>"061828820"</f>
        <v>061828820</v>
      </c>
      <c r="C9301" t="s">
        <v>105</v>
      </c>
      <c r="D9301" t="s">
        <v>14094</v>
      </c>
      <c r="E9301" t="s">
        <v>99</v>
      </c>
      <c r="F9301" t="s">
        <v>3246</v>
      </c>
      <c r="G9301" t="s">
        <v>950</v>
      </c>
      <c r="H9301" t="str">
        <f>"ΑΡΝΑΙΑ ΑΡΝΑΙΑ ΧΑΛΚΙΔΙΚΗΣ"</f>
        <v>ΑΡΝΑΙΑ ΑΡΝΑΙΑ ΧΑΛΚΙΔΙΚΗΣ</v>
      </c>
      <c r="I9301">
        <v>63074</v>
      </c>
      <c r="J9301">
        <v>2825092237</v>
      </c>
      <c r="K9301">
        <v>6974916305</v>
      </c>
      <c r="M9301" t="s">
        <v>14095</v>
      </c>
      <c r="N9301" t="s">
        <v>615</v>
      </c>
      <c r="O9301" t="s">
        <v>616</v>
      </c>
      <c r="R9301" t="s">
        <v>57</v>
      </c>
      <c r="S9301">
        <v>9</v>
      </c>
      <c r="T9301">
        <v>195</v>
      </c>
      <c r="U9301" s="1">
        <v>37497</v>
      </c>
      <c r="V9301" t="s">
        <v>89</v>
      </c>
      <c r="W9301" t="s">
        <v>90</v>
      </c>
      <c r="X9301" t="s">
        <v>58</v>
      </c>
      <c r="Y9301">
        <v>22</v>
      </c>
      <c r="Z9301" t="s">
        <v>59</v>
      </c>
      <c r="AA9301" t="s">
        <v>59</v>
      </c>
      <c r="AB9301" t="s">
        <v>59</v>
      </c>
      <c r="AC9301" t="s">
        <v>59</v>
      </c>
      <c r="AD9301" t="s">
        <v>59</v>
      </c>
      <c r="AF9301" s="1">
        <v>37503</v>
      </c>
      <c r="AG9301" t="s">
        <v>8645</v>
      </c>
      <c r="AH9301" t="s">
        <v>8646</v>
      </c>
      <c r="AI9301" t="str">
        <f>"9500055"</f>
        <v>9500055</v>
      </c>
      <c r="AJ9301" t="s">
        <v>14096</v>
      </c>
      <c r="AK9301">
        <v>2825092237</v>
      </c>
      <c r="AL9301" t="s">
        <v>14095</v>
      </c>
      <c r="AM9301" t="s">
        <v>88</v>
      </c>
      <c r="AN9301" t="s">
        <v>6995</v>
      </c>
      <c r="AO9301" t="s">
        <v>6995</v>
      </c>
      <c r="AP9301" t="s">
        <v>14097</v>
      </c>
      <c r="AQ9301">
        <v>10</v>
      </c>
      <c r="AR9301" t="s">
        <v>89</v>
      </c>
      <c r="AS9301" t="s">
        <v>90</v>
      </c>
      <c r="AT9301" t="s">
        <v>58</v>
      </c>
      <c r="AU9301" t="s">
        <v>68</v>
      </c>
      <c r="AV9301" t="s">
        <v>69</v>
      </c>
      <c r="AW9301" s="1">
        <v>24576</v>
      </c>
      <c r="AX9301">
        <v>1</v>
      </c>
    </row>
    <row r="9302" spans="1:50">
      <c r="A9302">
        <v>591978</v>
      </c>
      <c r="B9302" t="str">
        <f>"101565153"</f>
        <v>101565153</v>
      </c>
      <c r="C9302" t="s">
        <v>50</v>
      </c>
      <c r="D9302" t="s">
        <v>14098</v>
      </c>
      <c r="E9302" t="s">
        <v>1345</v>
      </c>
      <c r="F9302" t="s">
        <v>95</v>
      </c>
      <c r="G9302" t="s">
        <v>54</v>
      </c>
      <c r="H9302" t="str">
        <f>"ΑΚΡΟΠΟΛΕΩΣ 10 "</f>
        <v xml:space="preserve">ΑΚΡΟΠΟΛΕΩΣ 10 </v>
      </c>
      <c r="I9302">
        <v>73300</v>
      </c>
      <c r="K9302">
        <v>6945806839</v>
      </c>
      <c r="M9302" t="s">
        <v>14099</v>
      </c>
      <c r="N9302" t="s">
        <v>1525</v>
      </c>
      <c r="O9302" t="s">
        <v>1526</v>
      </c>
      <c r="R9302" t="s">
        <v>57</v>
      </c>
      <c r="S9302">
        <v>11</v>
      </c>
      <c r="T9302">
        <v>249</v>
      </c>
      <c r="U9302" s="1">
        <v>36769</v>
      </c>
      <c r="V9302" t="s">
        <v>89</v>
      </c>
      <c r="W9302" t="s">
        <v>90</v>
      </c>
      <c r="X9302" t="s">
        <v>58</v>
      </c>
      <c r="Y9302">
        <v>25</v>
      </c>
      <c r="Z9302" t="s">
        <v>59</v>
      </c>
      <c r="AA9302" t="s">
        <v>59</v>
      </c>
      <c r="AB9302" t="s">
        <v>59</v>
      </c>
      <c r="AC9302" t="s">
        <v>59</v>
      </c>
      <c r="AD9302" t="s">
        <v>59</v>
      </c>
      <c r="AF9302" s="1">
        <v>36770</v>
      </c>
      <c r="AG9302" t="s">
        <v>8651</v>
      </c>
      <c r="AH9302" t="s">
        <v>8652</v>
      </c>
      <c r="AI9302" t="str">
        <f>"9500369"</f>
        <v>9500369</v>
      </c>
      <c r="AJ9302" t="s">
        <v>14080</v>
      </c>
      <c r="AK9302">
        <v>2821099596</v>
      </c>
      <c r="AL9302" t="s">
        <v>14081</v>
      </c>
      <c r="AM9302" t="s">
        <v>88</v>
      </c>
      <c r="AN9302" t="s">
        <v>88</v>
      </c>
      <c r="AO9302" t="s">
        <v>6733</v>
      </c>
      <c r="AP9302" t="s">
        <v>6755</v>
      </c>
      <c r="AQ9302">
        <v>2</v>
      </c>
      <c r="AR9302" t="s">
        <v>89</v>
      </c>
      <c r="AS9302" t="s">
        <v>90</v>
      </c>
      <c r="AT9302" t="s">
        <v>58</v>
      </c>
      <c r="AU9302" t="s">
        <v>68</v>
      </c>
      <c r="AV9302" t="s">
        <v>69</v>
      </c>
      <c r="AW9302" s="1">
        <v>27073</v>
      </c>
      <c r="AX9302">
        <v>1</v>
      </c>
    </row>
    <row r="9303" spans="1:50">
      <c r="A9303">
        <v>584412</v>
      </c>
      <c r="B9303" t="str">
        <f>"112397540"</f>
        <v>112397540</v>
      </c>
      <c r="C9303" t="s">
        <v>50</v>
      </c>
      <c r="D9303" t="s">
        <v>771</v>
      </c>
      <c r="E9303" t="s">
        <v>484</v>
      </c>
      <c r="F9303" t="s">
        <v>450</v>
      </c>
      <c r="G9303" t="s">
        <v>250</v>
      </c>
      <c r="H9303" t="str">
        <f>"Γ.ΣΕΦΕΡΗ 10 "</f>
        <v xml:space="preserve">Γ.ΣΕΦΕΡΗ 10 </v>
      </c>
      <c r="J9303">
        <v>2821071939</v>
      </c>
      <c r="N9303" t="s">
        <v>615</v>
      </c>
      <c r="O9303" t="s">
        <v>616</v>
      </c>
      <c r="R9303" t="s">
        <v>57</v>
      </c>
      <c r="S9303">
        <v>12</v>
      </c>
      <c r="T9303">
        <v>165</v>
      </c>
      <c r="U9303" s="1">
        <v>36040</v>
      </c>
      <c r="V9303" t="s">
        <v>89</v>
      </c>
      <c r="W9303" t="s">
        <v>90</v>
      </c>
      <c r="X9303" t="s">
        <v>58</v>
      </c>
      <c r="Y9303">
        <v>21</v>
      </c>
      <c r="Z9303" t="s">
        <v>59</v>
      </c>
      <c r="AA9303" t="s">
        <v>59</v>
      </c>
      <c r="AB9303" t="s">
        <v>59</v>
      </c>
      <c r="AC9303" t="s">
        <v>59</v>
      </c>
      <c r="AD9303" t="s">
        <v>59</v>
      </c>
      <c r="AF9303" s="1">
        <v>36040</v>
      </c>
      <c r="AG9303" t="s">
        <v>8645</v>
      </c>
      <c r="AH9303" t="s">
        <v>8646</v>
      </c>
      <c r="AI9303" t="str">
        <f>"9500320"</f>
        <v>9500320</v>
      </c>
      <c r="AJ9303" t="s">
        <v>14100</v>
      </c>
      <c r="AK9303">
        <v>2821099577</v>
      </c>
      <c r="AL9303" t="s">
        <v>14101</v>
      </c>
      <c r="AM9303" t="s">
        <v>88</v>
      </c>
      <c r="AN9303" t="s">
        <v>88</v>
      </c>
      <c r="AO9303" t="s">
        <v>88</v>
      </c>
      <c r="AP9303" t="s">
        <v>88</v>
      </c>
      <c r="AQ9303">
        <v>1</v>
      </c>
      <c r="AR9303" t="s">
        <v>89</v>
      </c>
      <c r="AS9303" t="s">
        <v>90</v>
      </c>
      <c r="AT9303" t="s">
        <v>58</v>
      </c>
      <c r="AU9303" t="s">
        <v>68</v>
      </c>
      <c r="AV9303" t="s">
        <v>69</v>
      </c>
      <c r="AW9303" s="1">
        <v>24435</v>
      </c>
      <c r="AX9303">
        <v>1</v>
      </c>
    </row>
    <row r="9304" spans="1:50">
      <c r="A9304">
        <v>594162</v>
      </c>
      <c r="B9304" t="str">
        <f>"100939864"</f>
        <v>100939864</v>
      </c>
      <c r="C9304" t="s">
        <v>50</v>
      </c>
      <c r="D9304" t="s">
        <v>14102</v>
      </c>
      <c r="E9304" t="s">
        <v>263</v>
      </c>
      <c r="F9304" t="s">
        <v>95</v>
      </c>
      <c r="G9304" t="s">
        <v>73</v>
      </c>
      <c r="H9304" t="str">
        <f>" "</f>
        <v xml:space="preserve"> </v>
      </c>
      <c r="N9304" t="s">
        <v>615</v>
      </c>
      <c r="O9304" t="s">
        <v>616</v>
      </c>
      <c r="R9304" t="s">
        <v>57</v>
      </c>
      <c r="S9304">
        <v>8</v>
      </c>
      <c r="T9304">
        <v>218</v>
      </c>
      <c r="U9304" s="1">
        <v>37134</v>
      </c>
      <c r="V9304" t="s">
        <v>89</v>
      </c>
      <c r="W9304" t="s">
        <v>90</v>
      </c>
      <c r="X9304" t="s">
        <v>58</v>
      </c>
      <c r="Y9304">
        <v>22</v>
      </c>
      <c r="Z9304" t="s">
        <v>59</v>
      </c>
      <c r="AA9304" t="s">
        <v>59</v>
      </c>
      <c r="AB9304" t="s">
        <v>59</v>
      </c>
      <c r="AC9304" t="s">
        <v>59</v>
      </c>
      <c r="AD9304" t="s">
        <v>59</v>
      </c>
      <c r="AF9304" s="1">
        <v>37134</v>
      </c>
      <c r="AG9304" t="s">
        <v>8645</v>
      </c>
      <c r="AH9304" t="s">
        <v>8646</v>
      </c>
      <c r="AI9304" t="str">
        <f>"9500153"</f>
        <v>9500153</v>
      </c>
      <c r="AJ9304" t="s">
        <v>14103</v>
      </c>
      <c r="AK9304">
        <v>2821061267</v>
      </c>
      <c r="AL9304" t="s">
        <v>14104</v>
      </c>
      <c r="AM9304" t="s">
        <v>88</v>
      </c>
      <c r="AN9304" t="s">
        <v>6764</v>
      </c>
      <c r="AO9304" t="s">
        <v>6764</v>
      </c>
      <c r="AP9304" t="s">
        <v>12913</v>
      </c>
      <c r="AQ9304">
        <v>10</v>
      </c>
      <c r="AR9304" t="s">
        <v>89</v>
      </c>
      <c r="AS9304" t="s">
        <v>90</v>
      </c>
      <c r="AT9304" t="s">
        <v>58</v>
      </c>
      <c r="AU9304" t="s">
        <v>68</v>
      </c>
      <c r="AV9304" t="s">
        <v>69</v>
      </c>
      <c r="AW9304" s="1">
        <v>27608</v>
      </c>
      <c r="AX9304">
        <v>1</v>
      </c>
    </row>
    <row r="9305" spans="1:50">
      <c r="B9305" t="str">
        <f>"062798322"</f>
        <v>062798322</v>
      </c>
      <c r="C9305" t="s">
        <v>50</v>
      </c>
      <c r="D9305" t="s">
        <v>9140</v>
      </c>
      <c r="E9305" t="s">
        <v>2248</v>
      </c>
      <c r="F9305" t="s">
        <v>72</v>
      </c>
      <c r="G9305" t="s">
        <v>237</v>
      </c>
      <c r="H9305" t="str">
        <f>"ΑΡΜΕΝΩΝ 6 ΧΑΝΙΑ"</f>
        <v>ΑΡΜΕΝΩΝ 6 ΧΑΝΙΑ</v>
      </c>
      <c r="I9305">
        <v>73133</v>
      </c>
      <c r="J9305">
        <v>2821053098</v>
      </c>
      <c r="K9305">
        <v>6944415959</v>
      </c>
      <c r="N9305" t="s">
        <v>478</v>
      </c>
      <c r="O9305" t="s">
        <v>479</v>
      </c>
      <c r="R9305" t="s">
        <v>57</v>
      </c>
      <c r="S9305">
        <v>5</v>
      </c>
      <c r="T9305" t="s">
        <v>9034</v>
      </c>
      <c r="U9305" s="1">
        <v>43377</v>
      </c>
      <c r="V9305" t="s">
        <v>89</v>
      </c>
      <c r="W9305" t="s">
        <v>90</v>
      </c>
      <c r="X9305" t="s">
        <v>58</v>
      </c>
      <c r="Y9305">
        <v>15</v>
      </c>
      <c r="Z9305" t="s">
        <v>59</v>
      </c>
      <c r="AA9305" t="s">
        <v>59</v>
      </c>
      <c r="AB9305" t="s">
        <v>59</v>
      </c>
      <c r="AC9305" t="s">
        <v>59</v>
      </c>
      <c r="AD9305" t="s">
        <v>59</v>
      </c>
      <c r="AF9305" s="1">
        <v>43377</v>
      </c>
      <c r="AG9305" t="s">
        <v>8645</v>
      </c>
      <c r="AH9305" t="s">
        <v>8646</v>
      </c>
      <c r="AI9305" t="str">
        <f>"9500017"</f>
        <v>9500017</v>
      </c>
      <c r="AJ9305" t="s">
        <v>13873</v>
      </c>
      <c r="AK9305">
        <v>2825083173</v>
      </c>
      <c r="AL9305" t="s">
        <v>13874</v>
      </c>
      <c r="AM9305" t="s">
        <v>88</v>
      </c>
      <c r="AN9305" t="s">
        <v>6775</v>
      </c>
      <c r="AO9305" t="s">
        <v>11883</v>
      </c>
      <c r="AP9305" t="s">
        <v>13875</v>
      </c>
      <c r="AQ9305">
        <v>7</v>
      </c>
      <c r="AR9305" t="s">
        <v>89</v>
      </c>
      <c r="AS9305" t="s">
        <v>90</v>
      </c>
      <c r="AT9305" t="s">
        <v>58</v>
      </c>
      <c r="AU9305" t="s">
        <v>8686</v>
      </c>
      <c r="AV9305" t="s">
        <v>132</v>
      </c>
      <c r="AW9305" s="1">
        <v>27072</v>
      </c>
      <c r="AX9305">
        <v>1</v>
      </c>
    </row>
    <row r="9306" spans="1:50">
      <c r="A9306">
        <v>586680</v>
      </c>
      <c r="B9306" t="str">
        <f>"059379294"</f>
        <v>059379294</v>
      </c>
      <c r="C9306" t="s">
        <v>105</v>
      </c>
      <c r="D9306" t="s">
        <v>14105</v>
      </c>
      <c r="E9306" t="s">
        <v>13015</v>
      </c>
      <c r="F9306" t="s">
        <v>72</v>
      </c>
      <c r="G9306" t="s">
        <v>73</v>
      </c>
      <c r="H9306" t="str">
        <f>"Σπάρτης 43 Κουμ-καπί"</f>
        <v>Σπάρτης 43 Κουμ-καπί</v>
      </c>
      <c r="I9306">
        <v>73132</v>
      </c>
      <c r="J9306">
        <v>2821054031</v>
      </c>
      <c r="K9306">
        <v>6976672742</v>
      </c>
      <c r="N9306" t="s">
        <v>615</v>
      </c>
      <c r="O9306" t="s">
        <v>616</v>
      </c>
      <c r="R9306" t="s">
        <v>57</v>
      </c>
      <c r="S9306">
        <v>10</v>
      </c>
      <c r="T9306">
        <v>165</v>
      </c>
      <c r="U9306" s="1">
        <v>36040</v>
      </c>
      <c r="V9306" t="s">
        <v>89</v>
      </c>
      <c r="W9306" t="s">
        <v>90</v>
      </c>
      <c r="X9306" t="s">
        <v>58</v>
      </c>
      <c r="Y9306">
        <v>21</v>
      </c>
      <c r="Z9306" t="s">
        <v>59</v>
      </c>
      <c r="AA9306" t="s">
        <v>59</v>
      </c>
      <c r="AB9306" t="s">
        <v>59</v>
      </c>
      <c r="AC9306" t="s">
        <v>59</v>
      </c>
      <c r="AD9306" t="s">
        <v>59</v>
      </c>
      <c r="AF9306" s="1">
        <v>36040</v>
      </c>
      <c r="AG9306" t="s">
        <v>8645</v>
      </c>
      <c r="AH9306" t="s">
        <v>8646</v>
      </c>
      <c r="AI9306" t="str">
        <f>"9500147"</f>
        <v>9500147</v>
      </c>
      <c r="AJ9306" t="s">
        <v>14008</v>
      </c>
      <c r="AK9306">
        <v>2821094573</v>
      </c>
      <c r="AL9306" t="s">
        <v>14009</v>
      </c>
      <c r="AM9306" t="s">
        <v>88</v>
      </c>
      <c r="AN9306" t="s">
        <v>88</v>
      </c>
      <c r="AO9306" t="s">
        <v>88</v>
      </c>
      <c r="AP9306" t="s">
        <v>88</v>
      </c>
      <c r="AQ9306">
        <v>1</v>
      </c>
      <c r="AR9306" t="s">
        <v>89</v>
      </c>
      <c r="AS9306" t="s">
        <v>90</v>
      </c>
      <c r="AT9306" t="s">
        <v>58</v>
      </c>
      <c r="AU9306" t="s">
        <v>68</v>
      </c>
      <c r="AV9306" t="s">
        <v>69</v>
      </c>
      <c r="AW9306" s="1">
        <v>25329</v>
      </c>
      <c r="AX9306">
        <v>1</v>
      </c>
    </row>
    <row r="9307" spans="1:50">
      <c r="A9307">
        <v>557480</v>
      </c>
      <c r="B9307" t="str">
        <f>"135215641"</f>
        <v>135215641</v>
      </c>
      <c r="C9307" t="s">
        <v>50</v>
      </c>
      <c r="D9307" t="s">
        <v>5774</v>
      </c>
      <c r="E9307" t="s">
        <v>54</v>
      </c>
      <c r="F9307" t="s">
        <v>154</v>
      </c>
      <c r="G9307" t="s">
        <v>52</v>
      </c>
      <c r="H9307" t="str">
        <f>" "</f>
        <v xml:space="preserve"> </v>
      </c>
      <c r="N9307" t="s">
        <v>615</v>
      </c>
      <c r="O9307" t="s">
        <v>616</v>
      </c>
      <c r="R9307" t="s">
        <v>57</v>
      </c>
      <c r="S9307">
        <v>16</v>
      </c>
      <c r="T9307">
        <v>168</v>
      </c>
      <c r="U9307" s="1">
        <v>32010</v>
      </c>
      <c r="V9307" t="s">
        <v>89</v>
      </c>
      <c r="W9307" t="s">
        <v>90</v>
      </c>
      <c r="X9307" t="s">
        <v>58</v>
      </c>
      <c r="Y9307">
        <v>21</v>
      </c>
      <c r="Z9307" t="s">
        <v>59</v>
      </c>
      <c r="AA9307" t="s">
        <v>59</v>
      </c>
      <c r="AB9307" t="s">
        <v>59</v>
      </c>
      <c r="AC9307" t="s">
        <v>59</v>
      </c>
      <c r="AD9307" t="s">
        <v>59</v>
      </c>
      <c r="AF9307" s="1">
        <v>32010</v>
      </c>
      <c r="AG9307" t="s">
        <v>8645</v>
      </c>
      <c r="AH9307" t="s">
        <v>8646</v>
      </c>
      <c r="AI9307" t="str">
        <f>"9500041"</f>
        <v>9500041</v>
      </c>
      <c r="AJ9307" t="s">
        <v>13944</v>
      </c>
      <c r="AK9307">
        <v>2821028218</v>
      </c>
      <c r="AL9307" t="s">
        <v>13945</v>
      </c>
      <c r="AM9307" t="s">
        <v>88</v>
      </c>
      <c r="AN9307" t="s">
        <v>88</v>
      </c>
      <c r="AO9307" t="s">
        <v>88</v>
      </c>
      <c r="AP9307" t="s">
        <v>88</v>
      </c>
      <c r="AQ9307">
        <v>1</v>
      </c>
      <c r="AR9307" t="s">
        <v>89</v>
      </c>
      <c r="AS9307" t="s">
        <v>90</v>
      </c>
      <c r="AT9307" t="s">
        <v>58</v>
      </c>
      <c r="AU9307" t="s">
        <v>68</v>
      </c>
      <c r="AV9307" t="s">
        <v>2039</v>
      </c>
      <c r="AW9307" s="1">
        <v>20952</v>
      </c>
      <c r="AX9307">
        <v>1</v>
      </c>
    </row>
    <row r="9308" spans="1:50">
      <c r="A9308">
        <v>555259</v>
      </c>
      <c r="B9308" t="str">
        <f>"100644263"</f>
        <v>100644263</v>
      </c>
      <c r="C9308" t="s">
        <v>50</v>
      </c>
      <c r="D9308" t="s">
        <v>796</v>
      </c>
      <c r="E9308" t="s">
        <v>52</v>
      </c>
      <c r="F9308" t="s">
        <v>900</v>
      </c>
      <c r="G9308" t="s">
        <v>3866</v>
      </c>
      <c r="H9308" t="str">
        <f>"ΤΑΥΡΩΝΙΤΗΣ ΤΑΥΡΩΝΙΤΗΣ"</f>
        <v>ΤΑΥΡΩΝΙΤΗΣ ΤΑΥΡΩΝΙΤΗΣ</v>
      </c>
      <c r="I9308">
        <v>73006</v>
      </c>
      <c r="J9308">
        <v>2824023643</v>
      </c>
      <c r="K9308">
        <v>6942404517</v>
      </c>
      <c r="N9308" t="s">
        <v>615</v>
      </c>
      <c r="O9308" t="s">
        <v>616</v>
      </c>
      <c r="R9308" t="s">
        <v>57</v>
      </c>
      <c r="S9308">
        <v>16</v>
      </c>
      <c r="T9308">
        <v>200</v>
      </c>
      <c r="U9308" s="1">
        <v>31657</v>
      </c>
      <c r="V9308" t="s">
        <v>89</v>
      </c>
      <c r="W9308" t="s">
        <v>90</v>
      </c>
      <c r="X9308" t="s">
        <v>58</v>
      </c>
      <c r="Y9308">
        <v>21</v>
      </c>
      <c r="Z9308" t="s">
        <v>59</v>
      </c>
      <c r="AA9308" t="s">
        <v>59</v>
      </c>
      <c r="AB9308" t="s">
        <v>59</v>
      </c>
      <c r="AC9308" t="s">
        <v>59</v>
      </c>
      <c r="AD9308" t="s">
        <v>59</v>
      </c>
      <c r="AF9308" s="1">
        <v>31665</v>
      </c>
      <c r="AG9308" t="s">
        <v>8645</v>
      </c>
      <c r="AH9308" t="s">
        <v>8646</v>
      </c>
      <c r="AI9308" t="str">
        <f>"9500236"</f>
        <v>9500236</v>
      </c>
      <c r="AJ9308" t="s">
        <v>14106</v>
      </c>
      <c r="AK9308">
        <v>2824022347</v>
      </c>
      <c r="AL9308" t="s">
        <v>14107</v>
      </c>
      <c r="AM9308" t="s">
        <v>88</v>
      </c>
      <c r="AN9308" t="s">
        <v>6764</v>
      </c>
      <c r="AO9308" t="s">
        <v>6765</v>
      </c>
      <c r="AP9308" t="s">
        <v>13952</v>
      </c>
      <c r="AQ9308">
        <v>6</v>
      </c>
      <c r="AR9308" t="s">
        <v>89</v>
      </c>
      <c r="AS9308" t="s">
        <v>90</v>
      </c>
      <c r="AT9308" t="s">
        <v>58</v>
      </c>
      <c r="AU9308" t="s">
        <v>68</v>
      </c>
      <c r="AV9308" t="s">
        <v>69</v>
      </c>
      <c r="AW9308" s="1">
        <v>22851</v>
      </c>
      <c r="AX9308">
        <v>1</v>
      </c>
    </row>
    <row r="9309" spans="1:50">
      <c r="B9309" t="str">
        <f>"129305734"</f>
        <v>129305734</v>
      </c>
      <c r="C9309" t="s">
        <v>50</v>
      </c>
      <c r="D9309" t="s">
        <v>14108</v>
      </c>
      <c r="E9309" t="s">
        <v>250</v>
      </c>
      <c r="F9309" t="s">
        <v>1506</v>
      </c>
      <c r="G9309" t="s">
        <v>507</v>
      </c>
      <c r="H9309" t="str">
        <f>" "</f>
        <v xml:space="preserve"> </v>
      </c>
      <c r="N9309" t="s">
        <v>1525</v>
      </c>
      <c r="O9309" t="s">
        <v>1526</v>
      </c>
      <c r="R9309" t="s">
        <v>159</v>
      </c>
      <c r="S9309">
        <v>1</v>
      </c>
      <c r="T9309" t="s">
        <v>8670</v>
      </c>
      <c r="U9309" s="1">
        <v>43348</v>
      </c>
      <c r="V9309" t="s">
        <v>89</v>
      </c>
      <c r="W9309" t="s">
        <v>90</v>
      </c>
      <c r="X9309" t="s">
        <v>58</v>
      </c>
      <c r="Y9309">
        <v>25</v>
      </c>
      <c r="Z9309" t="s">
        <v>59</v>
      </c>
      <c r="AA9309" t="s">
        <v>59</v>
      </c>
      <c r="AB9309" t="s">
        <v>59</v>
      </c>
      <c r="AD9309" t="s">
        <v>59</v>
      </c>
      <c r="AF9309" s="1">
        <v>43348</v>
      </c>
      <c r="AG9309" t="s">
        <v>8651</v>
      </c>
      <c r="AH9309" t="s">
        <v>8652</v>
      </c>
      <c r="AI9309" t="str">
        <f>"9500273"</f>
        <v>9500273</v>
      </c>
      <c r="AJ9309" t="s">
        <v>14109</v>
      </c>
      <c r="AK9309">
        <v>2821038005</v>
      </c>
      <c r="AL9309" t="s">
        <v>14110</v>
      </c>
      <c r="AM9309" t="s">
        <v>88</v>
      </c>
      <c r="AN9309" t="s">
        <v>6764</v>
      </c>
      <c r="AO9309" t="s">
        <v>6764</v>
      </c>
      <c r="AP9309" t="s">
        <v>6764</v>
      </c>
      <c r="AQ9309">
        <v>5</v>
      </c>
      <c r="AR9309" t="s">
        <v>89</v>
      </c>
      <c r="AS9309" t="s">
        <v>90</v>
      </c>
      <c r="AT9309" t="s">
        <v>58</v>
      </c>
      <c r="AU9309" t="s">
        <v>8673</v>
      </c>
      <c r="AV9309" t="s">
        <v>132</v>
      </c>
      <c r="AW9309" s="1">
        <v>29488</v>
      </c>
      <c r="AX9309">
        <v>1</v>
      </c>
    </row>
    <row r="9310" spans="1:50">
      <c r="A9310">
        <v>606268</v>
      </c>
      <c r="B9310" t="str">
        <f>"100636933"</f>
        <v>100636933</v>
      </c>
      <c r="C9310" t="s">
        <v>50</v>
      </c>
      <c r="D9310" t="s">
        <v>6948</v>
      </c>
      <c r="E9310" t="s">
        <v>54</v>
      </c>
      <c r="F9310" t="s">
        <v>2233</v>
      </c>
      <c r="G9310" t="s">
        <v>250</v>
      </c>
      <c r="H9310" t="str">
        <f>" "</f>
        <v xml:space="preserve"> </v>
      </c>
      <c r="J9310">
        <v>2825041769</v>
      </c>
      <c r="K9310">
        <v>6977578652</v>
      </c>
      <c r="N9310" t="s">
        <v>1525</v>
      </c>
      <c r="O9310" t="s">
        <v>1526</v>
      </c>
      <c r="R9310" t="s">
        <v>57</v>
      </c>
      <c r="S9310">
        <v>7</v>
      </c>
      <c r="T9310" t="s">
        <v>14111</v>
      </c>
      <c r="U9310" s="1">
        <v>38230</v>
      </c>
      <c r="V9310" t="s">
        <v>89</v>
      </c>
      <c r="W9310" t="s">
        <v>90</v>
      </c>
      <c r="X9310" t="s">
        <v>58</v>
      </c>
      <c r="Y9310">
        <v>25</v>
      </c>
      <c r="Z9310" t="s">
        <v>59</v>
      </c>
      <c r="AA9310" t="s">
        <v>59</v>
      </c>
      <c r="AB9310" t="s">
        <v>59</v>
      </c>
      <c r="AC9310" t="s">
        <v>59</v>
      </c>
      <c r="AD9310" t="s">
        <v>59</v>
      </c>
      <c r="AF9310" s="1">
        <v>38231</v>
      </c>
      <c r="AG9310" t="s">
        <v>8651</v>
      </c>
      <c r="AH9310" t="s">
        <v>8652</v>
      </c>
      <c r="AI9310" t="str">
        <f>"9500350"</f>
        <v>9500350</v>
      </c>
      <c r="AJ9310" t="s">
        <v>14112</v>
      </c>
      <c r="AK9310">
        <v>2825041555</v>
      </c>
      <c r="AL9310" t="s">
        <v>14113</v>
      </c>
      <c r="AM9310" t="s">
        <v>88</v>
      </c>
      <c r="AN9310" t="s">
        <v>6775</v>
      </c>
      <c r="AO9310" t="s">
        <v>11883</v>
      </c>
      <c r="AP9310" t="s">
        <v>14114</v>
      </c>
      <c r="AQ9310">
        <v>7</v>
      </c>
      <c r="AR9310" t="s">
        <v>89</v>
      </c>
      <c r="AS9310" t="s">
        <v>90</v>
      </c>
      <c r="AT9310" t="s">
        <v>58</v>
      </c>
      <c r="AU9310" t="s">
        <v>68</v>
      </c>
      <c r="AV9310" t="s">
        <v>69</v>
      </c>
      <c r="AW9310" s="1">
        <v>27512</v>
      </c>
      <c r="AX9310">
        <v>1</v>
      </c>
    </row>
    <row r="9311" spans="1:50">
      <c r="A9311">
        <v>618294</v>
      </c>
      <c r="B9311" t="str">
        <f>"136232070"</f>
        <v>136232070</v>
      </c>
      <c r="C9311" t="s">
        <v>50</v>
      </c>
      <c r="D9311" t="s">
        <v>5777</v>
      </c>
      <c r="E9311" t="s">
        <v>1074</v>
      </c>
      <c r="F9311" t="s">
        <v>72</v>
      </c>
      <c r="G9311" t="s">
        <v>83</v>
      </c>
      <c r="H9311" t="str">
        <f>"ΕΠΤΑΠΥΡΓΙΟΥ 143 ΘΕΣΣΑΛΟΝΙΚΗ"</f>
        <v>ΕΠΤΑΠΥΡΓΙΟΥ 143 ΘΕΣΣΑΛΟΝΙΚΗ</v>
      </c>
      <c r="I9311">
        <v>56626</v>
      </c>
      <c r="J9311">
        <v>2310219653</v>
      </c>
      <c r="K9311">
        <v>6946150715</v>
      </c>
      <c r="N9311" t="s">
        <v>615</v>
      </c>
      <c r="O9311" t="s">
        <v>616</v>
      </c>
      <c r="R9311" t="s">
        <v>57</v>
      </c>
      <c r="S9311">
        <v>7</v>
      </c>
      <c r="T9311">
        <v>774</v>
      </c>
      <c r="U9311" s="1">
        <v>39681</v>
      </c>
      <c r="V9311" t="s">
        <v>89</v>
      </c>
      <c r="W9311" t="s">
        <v>90</v>
      </c>
      <c r="X9311" t="s">
        <v>58</v>
      </c>
      <c r="Y9311">
        <v>23</v>
      </c>
      <c r="Z9311" t="s">
        <v>59</v>
      </c>
      <c r="AA9311" t="s">
        <v>59</v>
      </c>
      <c r="AB9311" t="s">
        <v>59</v>
      </c>
      <c r="AC9311" t="s">
        <v>59</v>
      </c>
      <c r="AD9311" t="s">
        <v>59</v>
      </c>
      <c r="AF9311" s="1">
        <v>39681</v>
      </c>
      <c r="AG9311" t="s">
        <v>8645</v>
      </c>
      <c r="AH9311" t="s">
        <v>8646</v>
      </c>
      <c r="AI9311" t="str">
        <f>"9500407"</f>
        <v>9500407</v>
      </c>
      <c r="AJ9311" t="s">
        <v>13867</v>
      </c>
      <c r="AK9311">
        <v>2821089224</v>
      </c>
      <c r="AL9311" t="s">
        <v>13868</v>
      </c>
      <c r="AM9311" t="s">
        <v>88</v>
      </c>
      <c r="AN9311" t="s">
        <v>88</v>
      </c>
      <c r="AO9311" t="s">
        <v>6748</v>
      </c>
      <c r="AP9311" t="s">
        <v>6748</v>
      </c>
      <c r="AQ9311">
        <v>2</v>
      </c>
      <c r="AR9311" t="s">
        <v>89</v>
      </c>
      <c r="AS9311" t="s">
        <v>90</v>
      </c>
      <c r="AT9311" t="s">
        <v>58</v>
      </c>
      <c r="AU9311" t="s">
        <v>68</v>
      </c>
      <c r="AV9311" t="s">
        <v>69</v>
      </c>
      <c r="AW9311" s="1">
        <v>31094</v>
      </c>
      <c r="AX9311">
        <v>1</v>
      </c>
    </row>
    <row r="9312" spans="1:50">
      <c r="A9312">
        <v>620167</v>
      </c>
      <c r="B9312" t="str">
        <f>"057085930"</f>
        <v>057085930</v>
      </c>
      <c r="C9312" t="s">
        <v>50</v>
      </c>
      <c r="D9312" t="s">
        <v>822</v>
      </c>
      <c r="E9312" t="s">
        <v>155</v>
      </c>
      <c r="F9312" t="s">
        <v>459</v>
      </c>
      <c r="G9312" t="s">
        <v>52</v>
      </c>
      <c r="H9312" t="str">
        <f>"ΦΑΙΣΤΟΥ 5 ΚΑΛΑΜΑΚΙ"</f>
        <v>ΦΑΙΣΤΟΥ 5 ΚΑΛΑΜΑΚΙ</v>
      </c>
      <c r="I9312">
        <v>73100</v>
      </c>
      <c r="J9312">
        <v>2821064706</v>
      </c>
      <c r="K9312">
        <v>6985783028</v>
      </c>
      <c r="M9312" t="s">
        <v>14115</v>
      </c>
      <c r="N9312" t="s">
        <v>306</v>
      </c>
      <c r="O9312" t="s">
        <v>307</v>
      </c>
      <c r="R9312" t="s">
        <v>57</v>
      </c>
      <c r="S9312">
        <v>7</v>
      </c>
      <c r="T9312">
        <v>862</v>
      </c>
      <c r="U9312" s="1">
        <v>39706</v>
      </c>
      <c r="V9312" t="s">
        <v>89</v>
      </c>
      <c r="W9312" t="s">
        <v>90</v>
      </c>
      <c r="X9312" t="s">
        <v>58</v>
      </c>
      <c r="Y9312">
        <v>23</v>
      </c>
      <c r="Z9312" t="s">
        <v>59</v>
      </c>
      <c r="AA9312" t="s">
        <v>59</v>
      </c>
      <c r="AB9312" t="s">
        <v>59</v>
      </c>
      <c r="AC9312" t="s">
        <v>59</v>
      </c>
      <c r="AD9312" t="s">
        <v>59</v>
      </c>
      <c r="AF9312" s="1">
        <v>39708</v>
      </c>
      <c r="AG9312" t="s">
        <v>8645</v>
      </c>
      <c r="AH9312" t="s">
        <v>8646</v>
      </c>
      <c r="AI9312" t="str">
        <f>"9500314"</f>
        <v>9500314</v>
      </c>
      <c r="AJ9312" t="s">
        <v>14116</v>
      </c>
      <c r="AK9312">
        <v>2821097640</v>
      </c>
      <c r="AL9312" t="s">
        <v>14117</v>
      </c>
      <c r="AM9312" t="s">
        <v>88</v>
      </c>
      <c r="AN9312" t="s">
        <v>88</v>
      </c>
      <c r="AO9312" t="s">
        <v>88</v>
      </c>
      <c r="AP9312" t="s">
        <v>88</v>
      </c>
      <c r="AQ9312">
        <v>1</v>
      </c>
      <c r="AR9312" t="s">
        <v>89</v>
      </c>
      <c r="AS9312" t="s">
        <v>90</v>
      </c>
      <c r="AT9312" t="s">
        <v>58</v>
      </c>
      <c r="AU9312" t="s">
        <v>68</v>
      </c>
      <c r="AV9312" t="s">
        <v>69</v>
      </c>
      <c r="AW9312" s="1">
        <v>29754</v>
      </c>
      <c r="AX9312">
        <v>1</v>
      </c>
    </row>
    <row r="9313" spans="1:50">
      <c r="A9313">
        <v>596081</v>
      </c>
      <c r="B9313" t="str">
        <f>"053561394"</f>
        <v>053561394</v>
      </c>
      <c r="C9313" t="s">
        <v>50</v>
      </c>
      <c r="D9313" t="s">
        <v>827</v>
      </c>
      <c r="E9313" t="s">
        <v>112</v>
      </c>
      <c r="F9313" t="s">
        <v>1357</v>
      </c>
      <c r="G9313" t="s">
        <v>1361</v>
      </c>
      <c r="H9313" t="str">
        <f>"ΠΕΡΙΒΟΛΙΑ ΧΑΝΙΑ"</f>
        <v>ΠΕΡΙΒΟΛΙΑ ΧΑΝΙΑ</v>
      </c>
      <c r="J9313">
        <v>2821079432</v>
      </c>
      <c r="K9313">
        <v>6948046700</v>
      </c>
      <c r="N9313" t="s">
        <v>615</v>
      </c>
      <c r="O9313" t="s">
        <v>616</v>
      </c>
      <c r="R9313" t="s">
        <v>57</v>
      </c>
      <c r="S9313">
        <v>9</v>
      </c>
      <c r="T9313">
        <v>218</v>
      </c>
      <c r="U9313" s="1">
        <v>37134</v>
      </c>
      <c r="V9313" t="s">
        <v>89</v>
      </c>
      <c r="W9313" t="s">
        <v>90</v>
      </c>
      <c r="X9313" t="s">
        <v>58</v>
      </c>
      <c r="Y9313">
        <v>22</v>
      </c>
      <c r="Z9313" t="s">
        <v>59</v>
      </c>
      <c r="AA9313" t="s">
        <v>59</v>
      </c>
      <c r="AB9313" t="s">
        <v>59</v>
      </c>
      <c r="AC9313" t="s">
        <v>59</v>
      </c>
      <c r="AD9313" t="s">
        <v>59</v>
      </c>
      <c r="AF9313" s="1">
        <v>37134</v>
      </c>
      <c r="AG9313" t="s">
        <v>8645</v>
      </c>
      <c r="AH9313" t="s">
        <v>8646</v>
      </c>
      <c r="AI9313" t="str">
        <f>"9500107"</f>
        <v>9500107</v>
      </c>
      <c r="AJ9313" t="s">
        <v>13918</v>
      </c>
      <c r="AK9313">
        <v>2821096244</v>
      </c>
      <c r="AL9313" t="s">
        <v>13919</v>
      </c>
      <c r="AM9313" t="s">
        <v>88</v>
      </c>
      <c r="AN9313" t="s">
        <v>88</v>
      </c>
      <c r="AO9313" t="s">
        <v>13920</v>
      </c>
      <c r="AP9313" t="s">
        <v>13921</v>
      </c>
      <c r="AQ9313">
        <v>3</v>
      </c>
      <c r="AR9313" t="s">
        <v>89</v>
      </c>
      <c r="AS9313" t="s">
        <v>90</v>
      </c>
      <c r="AT9313" t="s">
        <v>58</v>
      </c>
      <c r="AU9313" t="s">
        <v>68</v>
      </c>
      <c r="AV9313" t="s">
        <v>69</v>
      </c>
      <c r="AW9313" s="1">
        <v>24493</v>
      </c>
      <c r="AX9313">
        <v>1</v>
      </c>
    </row>
    <row r="9314" spans="1:50">
      <c r="B9314" t="str">
        <f>"143759945"</f>
        <v>143759945</v>
      </c>
      <c r="C9314" t="s">
        <v>50</v>
      </c>
      <c r="D9314" t="s">
        <v>14118</v>
      </c>
      <c r="E9314" t="s">
        <v>620</v>
      </c>
      <c r="F9314" t="s">
        <v>53</v>
      </c>
      <c r="G9314" t="s">
        <v>174</v>
      </c>
      <c r="H9314" t="str">
        <f>"ΠΤ. ΘΕΜΕΛΗ 9 "</f>
        <v xml:space="preserve">ΠΤ. ΘΕΜΕΛΗ 9 </v>
      </c>
      <c r="I9314">
        <v>54248</v>
      </c>
      <c r="J9314">
        <v>2310315190</v>
      </c>
      <c r="K9314">
        <v>6973434155</v>
      </c>
      <c r="N9314" t="s">
        <v>384</v>
      </c>
      <c r="O9314" t="s">
        <v>385</v>
      </c>
      <c r="R9314" t="s">
        <v>159</v>
      </c>
      <c r="S9314">
        <v>2</v>
      </c>
      <c r="T9314" t="s">
        <v>8675</v>
      </c>
      <c r="U9314" s="1">
        <v>43348</v>
      </c>
      <c r="V9314" t="s">
        <v>89</v>
      </c>
      <c r="W9314" t="s">
        <v>90</v>
      </c>
      <c r="X9314" t="s">
        <v>58</v>
      </c>
      <c r="Y9314">
        <v>24</v>
      </c>
      <c r="Z9314" t="s">
        <v>59</v>
      </c>
      <c r="AA9314" t="s">
        <v>59</v>
      </c>
      <c r="AB9314" t="s">
        <v>59</v>
      </c>
      <c r="AC9314" t="s">
        <v>59</v>
      </c>
      <c r="AD9314" t="s">
        <v>59</v>
      </c>
      <c r="AF9314" s="1">
        <v>43348</v>
      </c>
      <c r="AG9314" t="s">
        <v>8645</v>
      </c>
      <c r="AH9314" t="s">
        <v>8646</v>
      </c>
      <c r="AI9314" t="str">
        <f>"9500148"</f>
        <v>9500148</v>
      </c>
      <c r="AJ9314" t="s">
        <v>13851</v>
      </c>
      <c r="AK9314">
        <v>2821068328</v>
      </c>
      <c r="AL9314" t="s">
        <v>13852</v>
      </c>
      <c r="AM9314" t="s">
        <v>88</v>
      </c>
      <c r="AN9314" t="s">
        <v>88</v>
      </c>
      <c r="AO9314" t="s">
        <v>6785</v>
      </c>
      <c r="AP9314" t="s">
        <v>13853</v>
      </c>
      <c r="AQ9314">
        <v>3</v>
      </c>
      <c r="AR9314" t="s">
        <v>89</v>
      </c>
      <c r="AS9314" t="s">
        <v>90</v>
      </c>
      <c r="AT9314" t="s">
        <v>58</v>
      </c>
      <c r="AU9314" t="s">
        <v>8673</v>
      </c>
      <c r="AV9314" t="s">
        <v>132</v>
      </c>
      <c r="AW9314" s="1">
        <v>32167</v>
      </c>
      <c r="AX9314">
        <v>1</v>
      </c>
    </row>
    <row r="9315" spans="1:50">
      <c r="A9315">
        <v>602975</v>
      </c>
      <c r="B9315" t="str">
        <f>"113191191"</f>
        <v>113191191</v>
      </c>
      <c r="C9315" t="s">
        <v>50</v>
      </c>
      <c r="D9315" t="s">
        <v>14119</v>
      </c>
      <c r="E9315" t="s">
        <v>52</v>
      </c>
      <c r="F9315" t="s">
        <v>2933</v>
      </c>
      <c r="G9315" t="s">
        <v>4999</v>
      </c>
      <c r="H9315" t="str">
        <f>" "</f>
        <v xml:space="preserve"> </v>
      </c>
      <c r="J9315">
        <v>2821073944</v>
      </c>
      <c r="K9315">
        <v>6978995785</v>
      </c>
      <c r="N9315" t="s">
        <v>1525</v>
      </c>
      <c r="O9315" t="s">
        <v>1526</v>
      </c>
      <c r="R9315" t="s">
        <v>57</v>
      </c>
      <c r="S9315">
        <v>7</v>
      </c>
      <c r="T9315">
        <v>207</v>
      </c>
      <c r="U9315" s="1">
        <v>37866</v>
      </c>
      <c r="V9315" t="s">
        <v>89</v>
      </c>
      <c r="W9315" t="s">
        <v>90</v>
      </c>
      <c r="X9315" t="s">
        <v>58</v>
      </c>
      <c r="Y9315">
        <v>25</v>
      </c>
      <c r="Z9315" t="s">
        <v>59</v>
      </c>
      <c r="AA9315" t="s">
        <v>59</v>
      </c>
      <c r="AB9315" t="s">
        <v>59</v>
      </c>
      <c r="AC9315" t="s">
        <v>59</v>
      </c>
      <c r="AD9315" t="s">
        <v>59</v>
      </c>
      <c r="AF9315" s="1">
        <v>37867</v>
      </c>
      <c r="AG9315" t="s">
        <v>8651</v>
      </c>
      <c r="AH9315" t="s">
        <v>8652</v>
      </c>
      <c r="AI9315" t="str">
        <f>"9500145"</f>
        <v>9500145</v>
      </c>
      <c r="AJ9315" t="s">
        <v>14120</v>
      </c>
      <c r="AK9315">
        <v>2821072991</v>
      </c>
      <c r="AL9315" t="s">
        <v>14121</v>
      </c>
      <c r="AM9315" t="s">
        <v>88</v>
      </c>
      <c r="AN9315" t="s">
        <v>88</v>
      </c>
      <c r="AO9315" t="s">
        <v>88</v>
      </c>
      <c r="AP9315" t="s">
        <v>88</v>
      </c>
      <c r="AQ9315">
        <v>1</v>
      </c>
      <c r="AR9315" t="s">
        <v>89</v>
      </c>
      <c r="AS9315" t="s">
        <v>90</v>
      </c>
      <c r="AT9315" t="s">
        <v>58</v>
      </c>
      <c r="AU9315" t="s">
        <v>68</v>
      </c>
      <c r="AV9315" t="s">
        <v>69</v>
      </c>
      <c r="AW9315" s="1">
        <v>23851</v>
      </c>
      <c r="AX9315">
        <v>1</v>
      </c>
    </row>
    <row r="9316" spans="1:50">
      <c r="B9316" t="str">
        <f>"145083451"</f>
        <v>145083451</v>
      </c>
      <c r="C9316" t="s">
        <v>50</v>
      </c>
      <c r="D9316" t="s">
        <v>14122</v>
      </c>
      <c r="E9316" t="s">
        <v>237</v>
      </c>
      <c r="F9316" t="s">
        <v>99</v>
      </c>
      <c r="G9316" t="s">
        <v>476</v>
      </c>
      <c r="H9316" t="str">
        <f>" "</f>
        <v xml:space="preserve"> </v>
      </c>
      <c r="K9316">
        <v>6983617780</v>
      </c>
      <c r="M9316" t="s">
        <v>14123</v>
      </c>
      <c r="N9316" t="s">
        <v>615</v>
      </c>
      <c r="O9316" t="s">
        <v>616</v>
      </c>
      <c r="R9316" t="s">
        <v>121</v>
      </c>
      <c r="S9316">
        <v>3</v>
      </c>
      <c r="T9316" t="s">
        <v>8675</v>
      </c>
      <c r="U9316" s="1">
        <v>43348</v>
      </c>
      <c r="V9316" t="s">
        <v>89</v>
      </c>
      <c r="W9316" t="s">
        <v>90</v>
      </c>
      <c r="X9316" t="s">
        <v>58</v>
      </c>
      <c r="Y9316">
        <v>24</v>
      </c>
      <c r="Z9316" t="s">
        <v>59</v>
      </c>
      <c r="AA9316" t="s">
        <v>59</v>
      </c>
      <c r="AB9316" t="s">
        <v>59</v>
      </c>
      <c r="AC9316" t="s">
        <v>59</v>
      </c>
      <c r="AD9316" t="s">
        <v>59</v>
      </c>
      <c r="AF9316" s="1">
        <v>43348</v>
      </c>
      <c r="AG9316" t="s">
        <v>8645</v>
      </c>
      <c r="AH9316" t="s">
        <v>8646</v>
      </c>
      <c r="AI9316" t="str">
        <f>"9500360"</f>
        <v>9500360</v>
      </c>
      <c r="AJ9316" t="s">
        <v>14022</v>
      </c>
      <c r="AK9316">
        <v>2821031253</v>
      </c>
      <c r="AL9316" t="s">
        <v>14023</v>
      </c>
      <c r="AM9316" t="s">
        <v>88</v>
      </c>
      <c r="AN9316" t="s">
        <v>88</v>
      </c>
      <c r="AO9316" t="s">
        <v>6785</v>
      </c>
      <c r="AP9316" t="s">
        <v>13932</v>
      </c>
      <c r="AQ9316">
        <v>3</v>
      </c>
      <c r="AR9316" t="s">
        <v>89</v>
      </c>
      <c r="AS9316" t="s">
        <v>90</v>
      </c>
      <c r="AT9316" t="s">
        <v>58</v>
      </c>
      <c r="AU9316" t="s">
        <v>8673</v>
      </c>
      <c r="AV9316" t="s">
        <v>132</v>
      </c>
      <c r="AW9316" s="1">
        <v>32633</v>
      </c>
      <c r="AX9316">
        <v>1</v>
      </c>
    </row>
    <row r="9317" spans="1:50">
      <c r="A9317">
        <v>702369</v>
      </c>
      <c r="B9317" t="str">
        <f>"027342800"</f>
        <v>027342800</v>
      </c>
      <c r="C9317" t="s">
        <v>50</v>
      </c>
      <c r="D9317" t="s">
        <v>14124</v>
      </c>
      <c r="E9317" t="s">
        <v>600</v>
      </c>
      <c r="F9317" t="s">
        <v>760</v>
      </c>
      <c r="G9317" t="s">
        <v>476</v>
      </c>
      <c r="H9317" t="str">
        <f>"ΙΔΟΜΕΝΕΩΣ-ΚΑΛΑΘΑΣ  ΧΑΝΙΑ"</f>
        <v>ΙΔΟΜΕΝΕΩΣ-ΚΑΛΑΘΑΣ  ΧΑΝΙΑ</v>
      </c>
      <c r="I9317">
        <v>73100</v>
      </c>
      <c r="J9317">
        <v>2821090744</v>
      </c>
      <c r="K9317">
        <v>6932701254</v>
      </c>
      <c r="N9317" t="s">
        <v>1525</v>
      </c>
      <c r="O9317" t="s">
        <v>1526</v>
      </c>
      <c r="R9317" t="s">
        <v>57</v>
      </c>
      <c r="S9317">
        <v>5</v>
      </c>
      <c r="T9317">
        <v>772</v>
      </c>
      <c r="U9317" s="1">
        <v>40413</v>
      </c>
      <c r="V9317" t="s">
        <v>89</v>
      </c>
      <c r="W9317" t="s">
        <v>90</v>
      </c>
      <c r="X9317" t="s">
        <v>58</v>
      </c>
      <c r="Y9317">
        <v>25</v>
      </c>
      <c r="Z9317" t="s">
        <v>59</v>
      </c>
      <c r="AA9317" t="s">
        <v>59</v>
      </c>
      <c r="AB9317" t="s">
        <v>59</v>
      </c>
      <c r="AC9317" t="s">
        <v>59</v>
      </c>
      <c r="AD9317" t="s">
        <v>59</v>
      </c>
      <c r="AF9317" s="1">
        <v>40413</v>
      </c>
      <c r="AG9317" t="s">
        <v>8651</v>
      </c>
      <c r="AH9317" t="s">
        <v>8652</v>
      </c>
      <c r="AI9317" t="str">
        <f>"9500413"</f>
        <v>9500413</v>
      </c>
      <c r="AJ9317" t="s">
        <v>14125</v>
      </c>
      <c r="AK9317">
        <v>2821064655</v>
      </c>
      <c r="AL9317" t="s">
        <v>14126</v>
      </c>
      <c r="AM9317" t="s">
        <v>88</v>
      </c>
      <c r="AN9317" t="s">
        <v>88</v>
      </c>
      <c r="AO9317" t="s">
        <v>6770</v>
      </c>
      <c r="AP9317" t="s">
        <v>6771</v>
      </c>
      <c r="AQ9317">
        <v>2</v>
      </c>
      <c r="AR9317" t="s">
        <v>89</v>
      </c>
      <c r="AS9317" t="s">
        <v>90</v>
      </c>
      <c r="AT9317" t="s">
        <v>58</v>
      </c>
      <c r="AU9317" t="s">
        <v>68</v>
      </c>
      <c r="AV9317" t="s">
        <v>69</v>
      </c>
      <c r="AW9317" s="1">
        <v>25613</v>
      </c>
      <c r="AX9317">
        <v>1</v>
      </c>
    </row>
    <row r="9318" spans="1:50">
      <c r="B9318" t="str">
        <f>"120237218"</f>
        <v>120237218</v>
      </c>
      <c r="C9318" t="s">
        <v>50</v>
      </c>
      <c r="D9318" t="s">
        <v>14124</v>
      </c>
      <c r="E9318" t="s">
        <v>263</v>
      </c>
      <c r="F9318" t="s">
        <v>106</v>
      </c>
      <c r="G9318" t="s">
        <v>476</v>
      </c>
      <c r="H9318" t="str">
        <f>"ΣΕΛΙΝΟΥ 92 ΧΑΝΙΑ"</f>
        <v>ΣΕΛΙΝΟΥ 92 ΧΑΝΙΑ</v>
      </c>
      <c r="I9318">
        <v>73100</v>
      </c>
      <c r="J9318">
        <v>2821076418</v>
      </c>
      <c r="K9318">
        <v>6977774018</v>
      </c>
      <c r="N9318" t="s">
        <v>306</v>
      </c>
      <c r="O9318" t="s">
        <v>307</v>
      </c>
      <c r="R9318" t="s">
        <v>159</v>
      </c>
      <c r="S9318">
        <v>3</v>
      </c>
      <c r="T9318" t="s">
        <v>8675</v>
      </c>
      <c r="U9318" s="1">
        <v>43348</v>
      </c>
      <c r="V9318" t="s">
        <v>89</v>
      </c>
      <c r="W9318" t="s">
        <v>90</v>
      </c>
      <c r="X9318" t="s">
        <v>58</v>
      </c>
      <c r="Y9318">
        <v>24</v>
      </c>
      <c r="Z9318" t="s">
        <v>59</v>
      </c>
      <c r="AA9318" t="s">
        <v>59</v>
      </c>
      <c r="AB9318" t="s">
        <v>59</v>
      </c>
      <c r="AC9318" t="s">
        <v>59</v>
      </c>
      <c r="AD9318" t="s">
        <v>59</v>
      </c>
      <c r="AF9318" s="1">
        <v>43348</v>
      </c>
      <c r="AG9318" t="s">
        <v>8645</v>
      </c>
      <c r="AH9318" t="s">
        <v>8646</v>
      </c>
      <c r="AI9318" t="str">
        <f>"9500259"</f>
        <v>9500259</v>
      </c>
      <c r="AJ9318" t="s">
        <v>14017</v>
      </c>
      <c r="AK9318">
        <v>2823041459</v>
      </c>
      <c r="AL9318" t="s">
        <v>14018</v>
      </c>
      <c r="AM9318" t="s">
        <v>88</v>
      </c>
      <c r="AN9318" t="s">
        <v>6824</v>
      </c>
      <c r="AO9318" t="s">
        <v>6870</v>
      </c>
      <c r="AP9318" t="s">
        <v>14019</v>
      </c>
      <c r="AQ9318">
        <v>11</v>
      </c>
      <c r="AR9318" t="s">
        <v>89</v>
      </c>
      <c r="AS9318" t="s">
        <v>90</v>
      </c>
      <c r="AT9318" t="s">
        <v>58</v>
      </c>
      <c r="AU9318" t="s">
        <v>8673</v>
      </c>
      <c r="AV9318" t="s">
        <v>132</v>
      </c>
      <c r="AW9318" s="1">
        <v>28460</v>
      </c>
      <c r="AX9318">
        <v>1</v>
      </c>
    </row>
    <row r="9319" spans="1:50">
      <c r="A9319">
        <v>208971</v>
      </c>
      <c r="B9319" t="str">
        <f>"103975395"</f>
        <v>103975395</v>
      </c>
      <c r="C9319" t="s">
        <v>105</v>
      </c>
      <c r="D9319" t="s">
        <v>14127</v>
      </c>
      <c r="E9319" t="s">
        <v>99</v>
      </c>
      <c r="F9319" t="s">
        <v>1493</v>
      </c>
      <c r="G9319" t="s">
        <v>1448</v>
      </c>
      <c r="H9319" t="str">
        <f>" "</f>
        <v xml:space="preserve"> </v>
      </c>
      <c r="J9319">
        <v>2821049607</v>
      </c>
      <c r="K9319">
        <v>6937193944</v>
      </c>
      <c r="M9319" t="s">
        <v>14128</v>
      </c>
      <c r="N9319" t="s">
        <v>204</v>
      </c>
      <c r="O9319" t="s">
        <v>205</v>
      </c>
      <c r="R9319" t="s">
        <v>57</v>
      </c>
      <c r="S9319">
        <v>7</v>
      </c>
      <c r="T9319">
        <v>218</v>
      </c>
      <c r="U9319" s="1">
        <v>38596</v>
      </c>
      <c r="V9319" t="s">
        <v>89</v>
      </c>
      <c r="W9319" t="s">
        <v>90</v>
      </c>
      <c r="X9319" t="s">
        <v>58</v>
      </c>
      <c r="Y9319">
        <v>22</v>
      </c>
      <c r="Z9319" t="s">
        <v>59</v>
      </c>
      <c r="AA9319" t="s">
        <v>59</v>
      </c>
      <c r="AB9319" t="s">
        <v>59</v>
      </c>
      <c r="AC9319" t="s">
        <v>59</v>
      </c>
      <c r="AD9319" t="s">
        <v>59</v>
      </c>
      <c r="AF9319" s="1">
        <v>38602</v>
      </c>
      <c r="AG9319" t="s">
        <v>8645</v>
      </c>
      <c r="AH9319" t="s">
        <v>8646</v>
      </c>
      <c r="AI9319" t="str">
        <f>"9500093"</f>
        <v>9500093</v>
      </c>
      <c r="AJ9319" t="s">
        <v>13865</v>
      </c>
      <c r="AK9319">
        <v>2821064537</v>
      </c>
      <c r="AL9319" t="s">
        <v>13866</v>
      </c>
      <c r="AM9319" t="s">
        <v>88</v>
      </c>
      <c r="AN9319" t="s">
        <v>88</v>
      </c>
      <c r="AO9319" t="s">
        <v>6770</v>
      </c>
      <c r="AP9319" t="s">
        <v>6771</v>
      </c>
      <c r="AQ9319">
        <v>2</v>
      </c>
      <c r="AR9319" t="s">
        <v>89</v>
      </c>
      <c r="AS9319" t="s">
        <v>90</v>
      </c>
      <c r="AT9319" t="s">
        <v>58</v>
      </c>
      <c r="AU9319" t="s">
        <v>68</v>
      </c>
      <c r="AV9319" t="s">
        <v>69</v>
      </c>
      <c r="AW9319" s="1">
        <v>27329</v>
      </c>
      <c r="AX9319">
        <v>1</v>
      </c>
    </row>
    <row r="9320" spans="1:50">
      <c r="A9320">
        <v>586904</v>
      </c>
      <c r="B9320" t="str">
        <f>"041924970"</f>
        <v>041924970</v>
      </c>
      <c r="C9320" t="s">
        <v>50</v>
      </c>
      <c r="D9320" t="s">
        <v>5801</v>
      </c>
      <c r="E9320" t="s">
        <v>83</v>
      </c>
      <c r="F9320" t="s">
        <v>154</v>
      </c>
      <c r="G9320" t="s">
        <v>237</v>
      </c>
      <c r="H9320" t="str">
        <f>"ΚΙΣΑΜΟΣ ΧΑΝΙΑ"</f>
        <v>ΚΙΣΑΜΟΣ ΧΑΝΙΑ</v>
      </c>
      <c r="I9320">
        <v>73400</v>
      </c>
      <c r="J9320">
        <v>2822023750</v>
      </c>
      <c r="N9320" t="s">
        <v>1525</v>
      </c>
      <c r="O9320" t="s">
        <v>1526</v>
      </c>
      <c r="R9320" t="s">
        <v>57</v>
      </c>
      <c r="S9320">
        <v>13</v>
      </c>
      <c r="T9320">
        <v>165</v>
      </c>
      <c r="U9320" s="1">
        <v>36040</v>
      </c>
      <c r="V9320" t="s">
        <v>89</v>
      </c>
      <c r="W9320" t="s">
        <v>90</v>
      </c>
      <c r="X9320" t="s">
        <v>58</v>
      </c>
      <c r="Y9320">
        <v>25</v>
      </c>
      <c r="Z9320" t="s">
        <v>59</v>
      </c>
      <c r="AA9320" t="s">
        <v>59</v>
      </c>
      <c r="AB9320" t="s">
        <v>59</v>
      </c>
      <c r="AC9320" t="s">
        <v>59</v>
      </c>
      <c r="AD9320" t="s">
        <v>59</v>
      </c>
      <c r="AF9320" s="1">
        <v>36040</v>
      </c>
      <c r="AG9320" t="s">
        <v>8651</v>
      </c>
      <c r="AH9320" t="s">
        <v>8652</v>
      </c>
      <c r="AI9320" t="str">
        <f>"9500385"</f>
        <v>9500385</v>
      </c>
      <c r="AJ9320" t="s">
        <v>14129</v>
      </c>
      <c r="AK9320">
        <v>2822022513</v>
      </c>
      <c r="AL9320" t="s">
        <v>14130</v>
      </c>
      <c r="AM9320" t="s">
        <v>88</v>
      </c>
      <c r="AN9320" t="s">
        <v>6744</v>
      </c>
      <c r="AO9320" t="s">
        <v>6744</v>
      </c>
      <c r="AP9320" t="s">
        <v>6744</v>
      </c>
      <c r="AQ9320">
        <v>9</v>
      </c>
      <c r="AR9320" t="s">
        <v>89</v>
      </c>
      <c r="AS9320" t="s">
        <v>90</v>
      </c>
      <c r="AT9320" t="s">
        <v>58</v>
      </c>
      <c r="AU9320" t="s">
        <v>68</v>
      </c>
      <c r="AV9320" t="s">
        <v>69</v>
      </c>
      <c r="AW9320" s="1">
        <v>24410</v>
      </c>
      <c r="AX9320">
        <v>1</v>
      </c>
    </row>
    <row r="9321" spans="1:50">
      <c r="A9321">
        <v>620420</v>
      </c>
      <c r="B9321" t="str">
        <f>"139622827"</f>
        <v>139622827</v>
      </c>
      <c r="C9321" t="s">
        <v>50</v>
      </c>
      <c r="D9321" t="s">
        <v>6981</v>
      </c>
      <c r="E9321" t="s">
        <v>14131</v>
      </c>
      <c r="F9321" t="s">
        <v>760</v>
      </c>
      <c r="G9321" t="s">
        <v>14132</v>
      </c>
      <c r="H9321" t="str">
        <f>"ΑΓ. ΣΟΦΙΑΣ 90 ΑΘΗΝΑ"</f>
        <v>ΑΓ. ΣΟΦΙΑΣ 90 ΑΘΗΝΑ</v>
      </c>
      <c r="I9321">
        <v>10444</v>
      </c>
      <c r="J9321">
        <v>2105129924</v>
      </c>
      <c r="K9321">
        <v>6936959846</v>
      </c>
      <c r="M9321" t="s">
        <v>14133</v>
      </c>
      <c r="N9321" t="s">
        <v>615</v>
      </c>
      <c r="O9321" t="s">
        <v>616</v>
      </c>
      <c r="R9321" t="s">
        <v>57</v>
      </c>
      <c r="S9321">
        <v>5</v>
      </c>
      <c r="T9321">
        <v>653</v>
      </c>
      <c r="U9321" s="1">
        <v>40043</v>
      </c>
      <c r="V9321" t="s">
        <v>89</v>
      </c>
      <c r="W9321" t="s">
        <v>90</v>
      </c>
      <c r="X9321" t="s">
        <v>58</v>
      </c>
      <c r="Y9321">
        <v>23</v>
      </c>
      <c r="Z9321" t="s">
        <v>59</v>
      </c>
      <c r="AA9321" t="s">
        <v>59</v>
      </c>
      <c r="AB9321" t="s">
        <v>59</v>
      </c>
      <c r="AC9321" t="s">
        <v>59</v>
      </c>
      <c r="AD9321" t="s">
        <v>59</v>
      </c>
      <c r="AF9321" s="1">
        <v>40045</v>
      </c>
      <c r="AG9321" t="s">
        <v>8645</v>
      </c>
      <c r="AH9321" t="s">
        <v>8646</v>
      </c>
      <c r="AI9321" t="str">
        <f>"9500225"</f>
        <v>9500225</v>
      </c>
      <c r="AJ9321" t="s">
        <v>14058</v>
      </c>
      <c r="AK9321">
        <v>2822041233</v>
      </c>
      <c r="AL9321" t="s">
        <v>14059</v>
      </c>
      <c r="AM9321" t="s">
        <v>88</v>
      </c>
      <c r="AN9321" t="s">
        <v>6744</v>
      </c>
      <c r="AO9321" t="s">
        <v>6744</v>
      </c>
      <c r="AP9321" t="s">
        <v>13045</v>
      </c>
      <c r="AQ9321">
        <v>9</v>
      </c>
      <c r="AR9321" t="s">
        <v>89</v>
      </c>
      <c r="AS9321" t="s">
        <v>90</v>
      </c>
      <c r="AT9321" t="s">
        <v>58</v>
      </c>
      <c r="AU9321" t="s">
        <v>68</v>
      </c>
      <c r="AV9321" t="s">
        <v>69</v>
      </c>
      <c r="AW9321" s="1">
        <v>30546</v>
      </c>
      <c r="AX9321">
        <v>1</v>
      </c>
    </row>
    <row r="9322" spans="1:50">
      <c r="A9322">
        <v>703771</v>
      </c>
      <c r="B9322" t="str">
        <f>"115224228"</f>
        <v>115224228</v>
      </c>
      <c r="C9322" t="s">
        <v>50</v>
      </c>
      <c r="D9322" t="s">
        <v>14134</v>
      </c>
      <c r="E9322" t="s">
        <v>714</v>
      </c>
      <c r="F9322" t="s">
        <v>53</v>
      </c>
      <c r="G9322" t="s">
        <v>335</v>
      </c>
      <c r="H9322" t="str">
        <f>"ΟΛΥΜΠΟΥ 1 ΚΑΤΕΡΙΝΗ"</f>
        <v>ΟΛΥΜΠΟΥ 1 ΚΑΤΕΡΙΝΗ</v>
      </c>
      <c r="I9322">
        <v>60100</v>
      </c>
      <c r="J9322">
        <v>2351036739</v>
      </c>
      <c r="K9322">
        <v>6947272038</v>
      </c>
      <c r="N9322" t="s">
        <v>1525</v>
      </c>
      <c r="O9322" t="s">
        <v>1526</v>
      </c>
      <c r="R9322" t="s">
        <v>57</v>
      </c>
      <c r="S9322">
        <v>4</v>
      </c>
      <c r="T9322">
        <v>224</v>
      </c>
      <c r="U9322" s="1">
        <v>41695</v>
      </c>
      <c r="V9322" t="s">
        <v>89</v>
      </c>
      <c r="W9322" t="s">
        <v>90</v>
      </c>
      <c r="X9322" t="s">
        <v>58</v>
      </c>
      <c r="Y9322">
        <v>25</v>
      </c>
      <c r="Z9322" t="s">
        <v>59</v>
      </c>
      <c r="AA9322" t="s">
        <v>59</v>
      </c>
      <c r="AB9322" t="s">
        <v>59</v>
      </c>
      <c r="AC9322" t="s">
        <v>59</v>
      </c>
      <c r="AD9322" t="s">
        <v>59</v>
      </c>
      <c r="AF9322" s="1">
        <v>41695</v>
      </c>
      <c r="AG9322" t="s">
        <v>8651</v>
      </c>
      <c r="AH9322" t="s">
        <v>8652</v>
      </c>
      <c r="AI9322" t="str">
        <f>"9500333"</f>
        <v>9500333</v>
      </c>
      <c r="AJ9322" t="s">
        <v>14135</v>
      </c>
      <c r="AK9322">
        <v>2821031361</v>
      </c>
      <c r="AL9322" t="s">
        <v>14136</v>
      </c>
      <c r="AM9322" t="s">
        <v>88</v>
      </c>
      <c r="AN9322" t="s">
        <v>88</v>
      </c>
      <c r="AO9322" t="s">
        <v>13920</v>
      </c>
      <c r="AP9322" t="s">
        <v>13996</v>
      </c>
      <c r="AQ9322">
        <v>3</v>
      </c>
      <c r="AR9322" t="s">
        <v>89</v>
      </c>
      <c r="AS9322" t="s">
        <v>90</v>
      </c>
      <c r="AT9322" t="s">
        <v>58</v>
      </c>
      <c r="AU9322" t="s">
        <v>68</v>
      </c>
      <c r="AV9322" t="s">
        <v>69</v>
      </c>
      <c r="AW9322" s="1">
        <v>30317</v>
      </c>
      <c r="AX9322">
        <v>1</v>
      </c>
    </row>
    <row r="9323" spans="1:50">
      <c r="A9323">
        <v>603029</v>
      </c>
      <c r="B9323" t="str">
        <f>"074420838"</f>
        <v>074420838</v>
      </c>
      <c r="C9323" t="s">
        <v>50</v>
      </c>
      <c r="D9323" t="s">
        <v>14137</v>
      </c>
      <c r="E9323" t="s">
        <v>112</v>
      </c>
      <c r="F9323" t="s">
        <v>1679</v>
      </c>
      <c r="G9323" t="s">
        <v>52</v>
      </c>
      <c r="H9323" t="str">
        <f>"ΔΩΔΕΚΑΝΗΣΟΥ 18 ΚΑΤΩ ΚΟΥΜ-ΚΑΠΙ"</f>
        <v>ΔΩΔΕΚΑΝΗΣΟΥ 18 ΚΑΤΩ ΚΟΥΜ-ΚΑΠΙ</v>
      </c>
      <c r="I9323">
        <v>73132</v>
      </c>
      <c r="J9323">
        <v>2821099722</v>
      </c>
      <c r="K9323">
        <v>6947329197</v>
      </c>
      <c r="N9323" t="s">
        <v>1525</v>
      </c>
      <c r="O9323" t="s">
        <v>1526</v>
      </c>
      <c r="R9323" t="s">
        <v>57</v>
      </c>
      <c r="S9323">
        <v>7</v>
      </c>
      <c r="T9323">
        <v>207</v>
      </c>
      <c r="U9323" s="1">
        <v>37866</v>
      </c>
      <c r="V9323" t="s">
        <v>89</v>
      </c>
      <c r="W9323" t="s">
        <v>90</v>
      </c>
      <c r="X9323" t="s">
        <v>58</v>
      </c>
      <c r="Y9323">
        <v>25</v>
      </c>
      <c r="Z9323" t="s">
        <v>59</v>
      </c>
      <c r="AA9323" t="s">
        <v>59</v>
      </c>
      <c r="AB9323" t="s">
        <v>59</v>
      </c>
      <c r="AC9323" t="s">
        <v>59</v>
      </c>
      <c r="AD9323" t="s">
        <v>59</v>
      </c>
      <c r="AF9323" s="1">
        <v>37866</v>
      </c>
      <c r="AG9323" t="s">
        <v>8651</v>
      </c>
      <c r="AH9323" t="s">
        <v>8652</v>
      </c>
      <c r="AI9323" t="str">
        <f>"9500367"</f>
        <v>9500367</v>
      </c>
      <c r="AJ9323" t="s">
        <v>14138</v>
      </c>
      <c r="AK9323">
        <v>2821031251</v>
      </c>
      <c r="AL9323" t="s">
        <v>14139</v>
      </c>
      <c r="AM9323" t="s">
        <v>88</v>
      </c>
      <c r="AN9323" t="s">
        <v>88</v>
      </c>
      <c r="AO9323" t="s">
        <v>6785</v>
      </c>
      <c r="AP9323" t="s">
        <v>6786</v>
      </c>
      <c r="AQ9323">
        <v>3</v>
      </c>
      <c r="AR9323" t="s">
        <v>89</v>
      </c>
      <c r="AS9323" t="s">
        <v>90</v>
      </c>
      <c r="AT9323" t="s">
        <v>58</v>
      </c>
      <c r="AU9323" t="s">
        <v>68</v>
      </c>
      <c r="AV9323" t="s">
        <v>69</v>
      </c>
      <c r="AW9323" s="1">
        <v>26389</v>
      </c>
      <c r="AX9323">
        <v>1</v>
      </c>
    </row>
    <row r="9324" spans="1:50">
      <c r="B9324" t="str">
        <f>"150374052"</f>
        <v>150374052</v>
      </c>
      <c r="C9324" t="s">
        <v>50</v>
      </c>
      <c r="D9324" t="s">
        <v>14140</v>
      </c>
      <c r="E9324" t="s">
        <v>620</v>
      </c>
      <c r="F9324" t="s">
        <v>450</v>
      </c>
      <c r="G9324" t="s">
        <v>181</v>
      </c>
      <c r="H9324" t="str">
        <f>" "</f>
        <v xml:space="preserve"> </v>
      </c>
      <c r="N9324" t="s">
        <v>615</v>
      </c>
      <c r="O9324" t="s">
        <v>616</v>
      </c>
      <c r="R9324" t="s">
        <v>121</v>
      </c>
      <c r="S9324">
        <v>1</v>
      </c>
      <c r="T9324" t="s">
        <v>9034</v>
      </c>
      <c r="U9324" s="1">
        <v>43377</v>
      </c>
      <c r="V9324" t="s">
        <v>89</v>
      </c>
      <c r="W9324" t="s">
        <v>90</v>
      </c>
      <c r="X9324" t="s">
        <v>58</v>
      </c>
      <c r="Y9324">
        <v>24</v>
      </c>
      <c r="Z9324" t="s">
        <v>59</v>
      </c>
      <c r="AA9324" t="s">
        <v>59</v>
      </c>
      <c r="AB9324" t="s">
        <v>59</v>
      </c>
      <c r="AD9324" t="s">
        <v>59</v>
      </c>
      <c r="AF9324" s="1">
        <v>43377</v>
      </c>
      <c r="AG9324" t="s">
        <v>8645</v>
      </c>
      <c r="AH9324" t="s">
        <v>8646</v>
      </c>
      <c r="AI9324" t="str">
        <f>"9500225"</f>
        <v>9500225</v>
      </c>
      <c r="AJ9324" t="s">
        <v>14058</v>
      </c>
      <c r="AK9324">
        <v>2822041233</v>
      </c>
      <c r="AL9324" t="s">
        <v>14059</v>
      </c>
      <c r="AM9324" t="s">
        <v>88</v>
      </c>
      <c r="AN9324" t="s">
        <v>6744</v>
      </c>
      <c r="AO9324" t="s">
        <v>6744</v>
      </c>
      <c r="AP9324" t="s">
        <v>13045</v>
      </c>
      <c r="AQ9324">
        <v>9</v>
      </c>
      <c r="AR9324" t="s">
        <v>89</v>
      </c>
      <c r="AS9324" t="s">
        <v>90</v>
      </c>
      <c r="AT9324" t="s">
        <v>58</v>
      </c>
      <c r="AU9324" t="s">
        <v>8673</v>
      </c>
      <c r="AV9324" t="s">
        <v>132</v>
      </c>
      <c r="AW9324" s="1">
        <v>32745</v>
      </c>
      <c r="AX9324">
        <v>1</v>
      </c>
    </row>
    <row r="9325" spans="1:50">
      <c r="A9325">
        <v>576095</v>
      </c>
      <c r="B9325" t="str">
        <f>"100638594"</f>
        <v>100638594</v>
      </c>
      <c r="C9325" t="s">
        <v>50</v>
      </c>
      <c r="D9325" t="s">
        <v>5806</v>
      </c>
      <c r="E9325" t="s">
        <v>96</v>
      </c>
      <c r="F9325" t="s">
        <v>6252</v>
      </c>
      <c r="G9325" t="s">
        <v>610</v>
      </c>
      <c r="H9325" t="str">
        <f>"ΕΙΡΗΝΗΣ 222 ΚΥΔΩΝΙΑ"</f>
        <v>ΕΙΡΗΝΗΣ 222 ΚΥΔΩΝΙΑ</v>
      </c>
      <c r="I9325">
        <v>73100</v>
      </c>
      <c r="J9325">
        <v>2821033019</v>
      </c>
      <c r="K9325">
        <v>6972475776</v>
      </c>
      <c r="N9325" t="s">
        <v>1525</v>
      </c>
      <c r="O9325" t="s">
        <v>1526</v>
      </c>
      <c r="R9325" t="s">
        <v>57</v>
      </c>
      <c r="S9325">
        <v>13</v>
      </c>
      <c r="T9325">
        <v>184</v>
      </c>
      <c r="U9325" s="1">
        <v>34941</v>
      </c>
      <c r="V9325" t="s">
        <v>89</v>
      </c>
      <c r="W9325" t="s">
        <v>90</v>
      </c>
      <c r="X9325" t="s">
        <v>58</v>
      </c>
      <c r="Y9325">
        <v>25</v>
      </c>
      <c r="Z9325" t="s">
        <v>59</v>
      </c>
      <c r="AA9325" t="s">
        <v>59</v>
      </c>
      <c r="AB9325" t="s">
        <v>59</v>
      </c>
      <c r="AC9325" t="s">
        <v>59</v>
      </c>
      <c r="AD9325" t="s">
        <v>59</v>
      </c>
      <c r="AF9325" s="1">
        <v>34943</v>
      </c>
      <c r="AG9325" t="s">
        <v>8651</v>
      </c>
      <c r="AH9325" t="s">
        <v>8652</v>
      </c>
      <c r="AI9325" t="str">
        <f>"9500271"</f>
        <v>9500271</v>
      </c>
      <c r="AJ9325" t="s">
        <v>14032</v>
      </c>
      <c r="AK9325">
        <v>2821038248</v>
      </c>
      <c r="AL9325" t="s">
        <v>14033</v>
      </c>
      <c r="AM9325" t="s">
        <v>88</v>
      </c>
      <c r="AN9325" t="s">
        <v>88</v>
      </c>
      <c r="AO9325" t="s">
        <v>6785</v>
      </c>
      <c r="AP9325" t="s">
        <v>13853</v>
      </c>
      <c r="AQ9325">
        <v>3</v>
      </c>
      <c r="AR9325" t="s">
        <v>89</v>
      </c>
      <c r="AS9325" t="s">
        <v>90</v>
      </c>
      <c r="AT9325" t="s">
        <v>58</v>
      </c>
      <c r="AU9325" t="s">
        <v>68</v>
      </c>
      <c r="AV9325" t="s">
        <v>69</v>
      </c>
      <c r="AW9325" s="1">
        <v>23961</v>
      </c>
      <c r="AX9325">
        <v>1</v>
      </c>
    </row>
    <row r="9326" spans="1:50">
      <c r="B9326" t="str">
        <f>"063805407"</f>
        <v>063805407</v>
      </c>
      <c r="C9326" t="s">
        <v>50</v>
      </c>
      <c r="D9326" t="s">
        <v>14141</v>
      </c>
      <c r="E9326" t="s">
        <v>250</v>
      </c>
      <c r="F9326" t="s">
        <v>304</v>
      </c>
      <c r="G9326" t="s">
        <v>52</v>
      </c>
      <c r="H9326" t="str">
        <f>"ΠΑΝΔΡΟΣΟΥ 39 ΑΤΤΙΚΗ"</f>
        <v>ΠΑΝΔΡΟΣΟΥ 39 ΑΤΤΙΚΗ</v>
      </c>
      <c r="I9326">
        <v>17564</v>
      </c>
      <c r="J9326">
        <v>2102235067</v>
      </c>
      <c r="K9326">
        <v>6999560917</v>
      </c>
      <c r="N9326" t="s">
        <v>615</v>
      </c>
      <c r="O9326" t="s">
        <v>616</v>
      </c>
      <c r="R9326" t="s">
        <v>159</v>
      </c>
      <c r="S9326">
        <v>4</v>
      </c>
      <c r="T9326" t="s">
        <v>8675</v>
      </c>
      <c r="U9326" s="1">
        <v>43348</v>
      </c>
      <c r="V9326" t="s">
        <v>89</v>
      </c>
      <c r="W9326" t="s">
        <v>90</v>
      </c>
      <c r="X9326" t="s">
        <v>58</v>
      </c>
      <c r="Y9326">
        <v>24</v>
      </c>
      <c r="Z9326" t="s">
        <v>59</v>
      </c>
      <c r="AA9326" t="s">
        <v>59</v>
      </c>
      <c r="AB9326" t="s">
        <v>59</v>
      </c>
      <c r="AC9326" t="s">
        <v>59</v>
      </c>
      <c r="AD9326" t="s">
        <v>59</v>
      </c>
      <c r="AF9326" s="1">
        <v>43348</v>
      </c>
      <c r="AG9326" t="s">
        <v>8645</v>
      </c>
      <c r="AH9326" t="s">
        <v>8646</v>
      </c>
      <c r="AI9326" t="str">
        <f>"9500103"</f>
        <v>9500103</v>
      </c>
      <c r="AJ9326" t="s">
        <v>14040</v>
      </c>
      <c r="AK9326">
        <v>2821090920</v>
      </c>
      <c r="AL9326" t="s">
        <v>14041</v>
      </c>
      <c r="AM9326" t="s">
        <v>88</v>
      </c>
      <c r="AN9326" t="s">
        <v>88</v>
      </c>
      <c r="AO9326" t="s">
        <v>6733</v>
      </c>
      <c r="AP9326" t="s">
        <v>6734</v>
      </c>
      <c r="AQ9326">
        <v>2</v>
      </c>
      <c r="AR9326" t="s">
        <v>89</v>
      </c>
      <c r="AS9326" t="s">
        <v>90</v>
      </c>
      <c r="AT9326" t="s">
        <v>58</v>
      </c>
      <c r="AU9326" t="s">
        <v>8673</v>
      </c>
      <c r="AV9326" t="s">
        <v>132</v>
      </c>
      <c r="AW9326" s="1">
        <v>30453</v>
      </c>
      <c r="AX9326">
        <v>1</v>
      </c>
    </row>
    <row r="9327" spans="1:50">
      <c r="A9327">
        <v>567309</v>
      </c>
      <c r="B9327" t="str">
        <f>"035890631"</f>
        <v>035890631</v>
      </c>
      <c r="C9327" t="s">
        <v>105</v>
      </c>
      <c r="D9327" t="s">
        <v>14142</v>
      </c>
      <c r="E9327" t="s">
        <v>1316</v>
      </c>
      <c r="F9327" t="s">
        <v>84</v>
      </c>
      <c r="G9327" t="s">
        <v>12146</v>
      </c>
      <c r="H9327" t="str">
        <f>"ΠΕΖΑΝΟΥ 4 ΧΑΝΙΑ"</f>
        <v>ΠΕΖΑΝΟΥ 4 ΧΑΝΙΑ</v>
      </c>
      <c r="I9327">
        <v>73132</v>
      </c>
      <c r="J9327">
        <v>2821050816</v>
      </c>
      <c r="K9327">
        <v>6947568007</v>
      </c>
      <c r="N9327" t="s">
        <v>615</v>
      </c>
      <c r="O9327" t="s">
        <v>616</v>
      </c>
      <c r="R9327" t="s">
        <v>57</v>
      </c>
      <c r="S9327">
        <v>13</v>
      </c>
      <c r="T9327">
        <v>133</v>
      </c>
      <c r="U9327" s="1">
        <v>33456</v>
      </c>
      <c r="V9327" t="s">
        <v>89</v>
      </c>
      <c r="W9327" t="s">
        <v>90</v>
      </c>
      <c r="X9327" t="s">
        <v>58</v>
      </c>
      <c r="Y9327">
        <v>21</v>
      </c>
      <c r="Z9327" t="s">
        <v>59</v>
      </c>
      <c r="AA9327" t="s">
        <v>59</v>
      </c>
      <c r="AB9327" t="s">
        <v>59</v>
      </c>
      <c r="AC9327" t="s">
        <v>59</v>
      </c>
      <c r="AD9327" t="s">
        <v>59</v>
      </c>
      <c r="AF9327" s="1">
        <v>33456</v>
      </c>
      <c r="AG9327" t="s">
        <v>8645</v>
      </c>
      <c r="AH9327" t="s">
        <v>8646</v>
      </c>
      <c r="AI9327" t="str">
        <f>"9500359"</f>
        <v>9500359</v>
      </c>
      <c r="AJ9327" t="s">
        <v>13939</v>
      </c>
      <c r="AK9327">
        <v>2821095778</v>
      </c>
      <c r="AL9327" t="s">
        <v>13940</v>
      </c>
      <c r="AM9327" t="s">
        <v>88</v>
      </c>
      <c r="AN9327" t="s">
        <v>88</v>
      </c>
      <c r="AO9327" t="s">
        <v>6733</v>
      </c>
      <c r="AP9327" t="s">
        <v>6755</v>
      </c>
      <c r="AQ9327">
        <v>2</v>
      </c>
      <c r="AR9327" t="s">
        <v>89</v>
      </c>
      <c r="AS9327" t="s">
        <v>90</v>
      </c>
      <c r="AT9327" t="s">
        <v>58</v>
      </c>
      <c r="AU9327" t="s">
        <v>68</v>
      </c>
      <c r="AV9327" t="s">
        <v>69</v>
      </c>
      <c r="AW9327" s="1">
        <v>23957</v>
      </c>
      <c r="AX9327">
        <v>1</v>
      </c>
    </row>
    <row r="9328" spans="1:50">
      <c r="A9328">
        <v>604554</v>
      </c>
      <c r="B9328" t="str">
        <f>"101588283"</f>
        <v>101588283</v>
      </c>
      <c r="C9328" t="s">
        <v>50</v>
      </c>
      <c r="D9328" t="s">
        <v>14143</v>
      </c>
      <c r="E9328" t="s">
        <v>396</v>
      </c>
      <c r="F9328" t="s">
        <v>166</v>
      </c>
      <c r="G9328" t="s">
        <v>255</v>
      </c>
      <c r="H9328" t="str">
        <f>" "</f>
        <v xml:space="preserve"> </v>
      </c>
      <c r="J9328">
        <v>2821079476</v>
      </c>
      <c r="K9328">
        <v>6972875858</v>
      </c>
      <c r="N9328" t="s">
        <v>615</v>
      </c>
      <c r="O9328" t="s">
        <v>616</v>
      </c>
      <c r="R9328" t="s">
        <v>57</v>
      </c>
      <c r="S9328">
        <v>7</v>
      </c>
      <c r="T9328">
        <v>231</v>
      </c>
      <c r="U9328" s="1">
        <v>38230</v>
      </c>
      <c r="V9328" t="s">
        <v>89</v>
      </c>
      <c r="W9328" t="s">
        <v>90</v>
      </c>
      <c r="X9328" t="s">
        <v>58</v>
      </c>
      <c r="Y9328">
        <v>22</v>
      </c>
      <c r="Z9328" t="s">
        <v>59</v>
      </c>
      <c r="AA9328" t="s">
        <v>59</v>
      </c>
      <c r="AB9328" t="s">
        <v>59</v>
      </c>
      <c r="AC9328" t="s">
        <v>59</v>
      </c>
      <c r="AD9328" t="s">
        <v>59</v>
      </c>
      <c r="AF9328" s="1">
        <v>38230</v>
      </c>
      <c r="AG9328" t="s">
        <v>8645</v>
      </c>
      <c r="AH9328" t="s">
        <v>8646</v>
      </c>
      <c r="AI9328" t="str">
        <f>"9500144"</f>
        <v>9500144</v>
      </c>
      <c r="AJ9328" t="s">
        <v>14010</v>
      </c>
      <c r="AK9328">
        <v>2821094171</v>
      </c>
      <c r="AL9328" t="s">
        <v>14011</v>
      </c>
      <c r="AM9328" t="s">
        <v>88</v>
      </c>
      <c r="AN9328" t="s">
        <v>88</v>
      </c>
      <c r="AO9328" t="s">
        <v>88</v>
      </c>
      <c r="AP9328" t="s">
        <v>88</v>
      </c>
      <c r="AQ9328">
        <v>1</v>
      </c>
      <c r="AR9328" t="s">
        <v>89</v>
      </c>
      <c r="AS9328" t="s">
        <v>90</v>
      </c>
      <c r="AT9328" t="s">
        <v>58</v>
      </c>
      <c r="AU9328" t="s">
        <v>68</v>
      </c>
      <c r="AV9328" t="s">
        <v>69</v>
      </c>
      <c r="AW9328" s="1">
        <v>28663</v>
      </c>
      <c r="AX9328">
        <v>1</v>
      </c>
    </row>
    <row r="9329" spans="1:50">
      <c r="A9329">
        <v>580739</v>
      </c>
      <c r="B9329" t="str">
        <f>"054917340"</f>
        <v>054917340</v>
      </c>
      <c r="C9329" t="s">
        <v>50</v>
      </c>
      <c r="D9329" t="s">
        <v>14144</v>
      </c>
      <c r="E9329" t="s">
        <v>14145</v>
      </c>
      <c r="F9329" t="s">
        <v>53</v>
      </c>
      <c r="G9329" t="s">
        <v>658</v>
      </c>
      <c r="H9329" t="str">
        <f>"ΑΡΩΝΙ ΑΚΡΩΤΗΡΙ"</f>
        <v>ΑΡΩΝΙ ΑΚΡΩΤΗΡΙ</v>
      </c>
      <c r="I9329">
        <v>73100</v>
      </c>
      <c r="J9329">
        <v>2821066319</v>
      </c>
      <c r="K9329">
        <v>6999029639</v>
      </c>
      <c r="N9329" t="s">
        <v>615</v>
      </c>
      <c r="O9329" t="s">
        <v>616</v>
      </c>
      <c r="P9329" t="s">
        <v>204</v>
      </c>
      <c r="Q9329" t="s">
        <v>205</v>
      </c>
      <c r="R9329" t="s">
        <v>57</v>
      </c>
      <c r="S9329">
        <v>10</v>
      </c>
      <c r="T9329">
        <v>179</v>
      </c>
      <c r="U9329" s="1">
        <v>35674</v>
      </c>
      <c r="V9329" t="s">
        <v>89</v>
      </c>
      <c r="W9329" t="s">
        <v>90</v>
      </c>
      <c r="X9329" t="s">
        <v>58</v>
      </c>
      <c r="Y9329">
        <v>21</v>
      </c>
      <c r="Z9329" t="s">
        <v>59</v>
      </c>
      <c r="AA9329" t="s">
        <v>59</v>
      </c>
      <c r="AB9329" t="s">
        <v>59</v>
      </c>
      <c r="AC9329" t="s">
        <v>59</v>
      </c>
      <c r="AD9329" t="s">
        <v>59</v>
      </c>
      <c r="AF9329" s="1">
        <v>35674</v>
      </c>
      <c r="AG9329" t="s">
        <v>8645</v>
      </c>
      <c r="AH9329" t="s">
        <v>8646</v>
      </c>
      <c r="AI9329" t="str">
        <f>"9500338"</f>
        <v>9500338</v>
      </c>
      <c r="AJ9329" t="s">
        <v>13959</v>
      </c>
      <c r="AK9329">
        <v>2821040556</v>
      </c>
      <c r="AL9329" t="s">
        <v>13960</v>
      </c>
      <c r="AM9329" t="s">
        <v>88</v>
      </c>
      <c r="AN9329" t="s">
        <v>88</v>
      </c>
      <c r="AO9329" t="s">
        <v>88</v>
      </c>
      <c r="AP9329" t="s">
        <v>88</v>
      </c>
      <c r="AQ9329">
        <v>1</v>
      </c>
      <c r="AR9329" t="s">
        <v>89</v>
      </c>
      <c r="AS9329" t="s">
        <v>90</v>
      </c>
      <c r="AT9329" t="s">
        <v>58</v>
      </c>
      <c r="AU9329" t="s">
        <v>68</v>
      </c>
      <c r="AV9329" t="s">
        <v>69</v>
      </c>
      <c r="AW9329" s="1">
        <v>24416</v>
      </c>
      <c r="AX9329">
        <v>1</v>
      </c>
    </row>
    <row r="9330" spans="1:50">
      <c r="A9330">
        <v>205107</v>
      </c>
      <c r="B9330" t="str">
        <f>"105683879"</f>
        <v>105683879</v>
      </c>
      <c r="C9330" t="s">
        <v>50</v>
      </c>
      <c r="D9330" t="s">
        <v>894</v>
      </c>
      <c r="E9330" t="s">
        <v>476</v>
      </c>
      <c r="F9330" t="s">
        <v>106</v>
      </c>
      <c r="G9330" t="s">
        <v>1189</v>
      </c>
      <c r="H9330" t="str">
        <f>"ΣΟΦ. ΒΕΝΙΖΕΛΟΥ 66-68 ΜΟΥΡΝΙΕΣ"</f>
        <v>ΣΟΦ. ΒΕΝΙΖΕΛΟΥ 66-68 ΜΟΥΡΝΙΕΣ</v>
      </c>
      <c r="I9330">
        <v>73300</v>
      </c>
      <c r="J9330">
        <v>2106541753</v>
      </c>
      <c r="K9330">
        <v>6974791117</v>
      </c>
      <c r="L9330">
        <v>281089428</v>
      </c>
      <c r="N9330" t="s">
        <v>204</v>
      </c>
      <c r="O9330" t="s">
        <v>205</v>
      </c>
      <c r="R9330" t="s">
        <v>57</v>
      </c>
      <c r="S9330">
        <v>7</v>
      </c>
      <c r="T9330">
        <v>231</v>
      </c>
      <c r="U9330" s="1">
        <v>38230</v>
      </c>
      <c r="V9330" t="s">
        <v>89</v>
      </c>
      <c r="W9330" t="s">
        <v>90</v>
      </c>
      <c r="X9330" t="s">
        <v>58</v>
      </c>
      <c r="Y9330">
        <v>22</v>
      </c>
      <c r="Z9330" t="s">
        <v>59</v>
      </c>
      <c r="AA9330" t="s">
        <v>59</v>
      </c>
      <c r="AB9330" t="s">
        <v>59</v>
      </c>
      <c r="AC9330" t="s">
        <v>59</v>
      </c>
      <c r="AD9330" t="s">
        <v>59</v>
      </c>
      <c r="AF9330" s="1">
        <v>38236</v>
      </c>
      <c r="AG9330" t="s">
        <v>8645</v>
      </c>
      <c r="AH9330" t="s">
        <v>8646</v>
      </c>
      <c r="AI9330" t="str">
        <f>"9500320"</f>
        <v>9500320</v>
      </c>
      <c r="AJ9330" t="s">
        <v>14100</v>
      </c>
      <c r="AK9330">
        <v>2821099577</v>
      </c>
      <c r="AL9330" t="s">
        <v>14101</v>
      </c>
      <c r="AM9330" t="s">
        <v>88</v>
      </c>
      <c r="AN9330" t="s">
        <v>88</v>
      </c>
      <c r="AO9330" t="s">
        <v>88</v>
      </c>
      <c r="AP9330" t="s">
        <v>88</v>
      </c>
      <c r="AQ9330">
        <v>1</v>
      </c>
      <c r="AR9330" t="s">
        <v>89</v>
      </c>
      <c r="AS9330" t="s">
        <v>90</v>
      </c>
      <c r="AT9330" t="s">
        <v>58</v>
      </c>
      <c r="AU9330" t="s">
        <v>68</v>
      </c>
      <c r="AV9330" t="s">
        <v>69</v>
      </c>
      <c r="AW9330" s="1">
        <v>27921</v>
      </c>
      <c r="AX9330">
        <v>1</v>
      </c>
    </row>
    <row r="9331" spans="1:50">
      <c r="B9331" t="str">
        <f>"136854934"</f>
        <v>136854934</v>
      </c>
      <c r="C9331" t="s">
        <v>50</v>
      </c>
      <c r="D9331" t="s">
        <v>14146</v>
      </c>
      <c r="E9331" t="s">
        <v>420</v>
      </c>
      <c r="F9331" t="s">
        <v>99</v>
      </c>
      <c r="G9331" t="s">
        <v>155</v>
      </c>
      <c r="H9331" t="str">
        <f>"ΙΟΥΣΤΙΝΙΑΝΟΥ 9 ΛΑΜΙΑ "</f>
        <v xml:space="preserve">ΙΟΥΣΤΙΝΙΑΝΟΥ 9 ΛΑΜΙΑ </v>
      </c>
      <c r="I9331">
        <v>35100</v>
      </c>
      <c r="K9331">
        <v>6945996632</v>
      </c>
      <c r="M9331" t="s">
        <v>14147</v>
      </c>
      <c r="N9331" t="s">
        <v>337</v>
      </c>
      <c r="O9331" t="s">
        <v>338</v>
      </c>
      <c r="R9331" t="s">
        <v>121</v>
      </c>
      <c r="S9331">
        <v>1</v>
      </c>
      <c r="T9331" t="s">
        <v>8675</v>
      </c>
      <c r="U9331" s="1">
        <v>43348</v>
      </c>
      <c r="V9331" t="s">
        <v>89</v>
      </c>
      <c r="W9331" t="s">
        <v>90</v>
      </c>
      <c r="X9331" t="s">
        <v>58</v>
      </c>
      <c r="Y9331">
        <v>24</v>
      </c>
      <c r="Z9331" t="s">
        <v>59</v>
      </c>
      <c r="AA9331" t="s">
        <v>59</v>
      </c>
      <c r="AB9331" t="s">
        <v>59</v>
      </c>
      <c r="AC9331" t="s">
        <v>59</v>
      </c>
      <c r="AD9331" t="s">
        <v>59</v>
      </c>
      <c r="AF9331" s="1">
        <v>43348</v>
      </c>
      <c r="AG9331" t="s">
        <v>8645</v>
      </c>
      <c r="AH9331" t="s">
        <v>8646</v>
      </c>
      <c r="AI9331" t="str">
        <f>"9500009"</f>
        <v>9500009</v>
      </c>
      <c r="AJ9331" t="s">
        <v>13927</v>
      </c>
      <c r="AK9331">
        <v>2825061346</v>
      </c>
      <c r="AL9331" t="s">
        <v>13928</v>
      </c>
      <c r="AM9331" t="s">
        <v>88</v>
      </c>
      <c r="AN9331" t="s">
        <v>6775</v>
      </c>
      <c r="AO9331" t="s">
        <v>13929</v>
      </c>
      <c r="AP9331" t="s">
        <v>13929</v>
      </c>
      <c r="AQ9331">
        <v>8</v>
      </c>
      <c r="AR9331" t="s">
        <v>89</v>
      </c>
      <c r="AS9331" t="s">
        <v>90</v>
      </c>
      <c r="AT9331" t="s">
        <v>58</v>
      </c>
      <c r="AU9331" t="s">
        <v>8673</v>
      </c>
      <c r="AV9331" t="s">
        <v>132</v>
      </c>
      <c r="AW9331" s="1">
        <v>31693</v>
      </c>
      <c r="AX9331">
        <v>1</v>
      </c>
    </row>
    <row r="9332" spans="1:50">
      <c r="B9332" t="str">
        <f>"111809541"</f>
        <v>111809541</v>
      </c>
      <c r="C9332" t="s">
        <v>105</v>
      </c>
      <c r="D9332" t="s">
        <v>7000</v>
      </c>
      <c r="E9332" t="s">
        <v>581</v>
      </c>
      <c r="F9332" t="s">
        <v>106</v>
      </c>
      <c r="H9332" t="str">
        <f>" "</f>
        <v xml:space="preserve"> </v>
      </c>
      <c r="N9332" t="s">
        <v>8834</v>
      </c>
      <c r="O9332" t="s">
        <v>8695</v>
      </c>
      <c r="R9332" t="s">
        <v>57</v>
      </c>
      <c r="S9332">
        <v>1</v>
      </c>
      <c r="T9332">
        <v>1291</v>
      </c>
      <c r="U9332" s="1">
        <v>40543</v>
      </c>
      <c r="V9332" t="s">
        <v>89</v>
      </c>
      <c r="W9332" t="s">
        <v>90</v>
      </c>
      <c r="X9332" t="s">
        <v>58</v>
      </c>
      <c r="Y9332">
        <v>24</v>
      </c>
      <c r="Z9332" t="s">
        <v>59</v>
      </c>
      <c r="AA9332" t="s">
        <v>59</v>
      </c>
      <c r="AB9332" t="s">
        <v>59</v>
      </c>
      <c r="AC9332" t="s">
        <v>59</v>
      </c>
      <c r="AD9332" t="s">
        <v>59</v>
      </c>
      <c r="AF9332" s="1">
        <v>40543</v>
      </c>
      <c r="AG9332" t="s">
        <v>8645</v>
      </c>
      <c r="AH9332" t="s">
        <v>8697</v>
      </c>
      <c r="AI9332" t="str">
        <f>"9521567"</f>
        <v>9521567</v>
      </c>
      <c r="AJ9332" t="s">
        <v>14148</v>
      </c>
      <c r="AK9332">
        <v>2821086921</v>
      </c>
      <c r="AL9332" t="s">
        <v>14149</v>
      </c>
      <c r="AM9332" t="s">
        <v>88</v>
      </c>
      <c r="AN9332" t="s">
        <v>88</v>
      </c>
      <c r="AO9332" t="s">
        <v>88</v>
      </c>
      <c r="AP9332" t="s">
        <v>88</v>
      </c>
      <c r="AQ9332">
        <v>1</v>
      </c>
      <c r="AR9332" t="s">
        <v>89</v>
      </c>
      <c r="AS9332" t="s">
        <v>90</v>
      </c>
      <c r="AT9332" t="s">
        <v>58</v>
      </c>
      <c r="AU9332" t="s">
        <v>68</v>
      </c>
      <c r="AV9332" t="s">
        <v>69</v>
      </c>
      <c r="AX9332">
        <v>1</v>
      </c>
    </row>
    <row r="9333" spans="1:50">
      <c r="A9333">
        <v>573704</v>
      </c>
      <c r="B9333" t="str">
        <f>"036807813"</f>
        <v>036807813</v>
      </c>
      <c r="C9333" t="s">
        <v>105</v>
      </c>
      <c r="D9333" t="s">
        <v>14150</v>
      </c>
      <c r="E9333" t="s">
        <v>95</v>
      </c>
      <c r="F9333" t="s">
        <v>383</v>
      </c>
      <c r="G9333" t="s">
        <v>1281</v>
      </c>
      <c r="H9333" t="str">
        <f>" "</f>
        <v xml:space="preserve"> </v>
      </c>
      <c r="N9333" t="s">
        <v>615</v>
      </c>
      <c r="O9333" t="s">
        <v>616</v>
      </c>
      <c r="R9333" t="s">
        <v>57</v>
      </c>
      <c r="S9333">
        <v>13</v>
      </c>
      <c r="T9333">
        <v>160</v>
      </c>
      <c r="U9333" s="1">
        <v>34582</v>
      </c>
      <c r="V9333" t="s">
        <v>89</v>
      </c>
      <c r="W9333" t="s">
        <v>90</v>
      </c>
      <c r="X9333" t="s">
        <v>58</v>
      </c>
      <c r="Y9333">
        <v>21</v>
      </c>
      <c r="Z9333" t="s">
        <v>59</v>
      </c>
      <c r="AA9333" t="s">
        <v>59</v>
      </c>
      <c r="AB9333" t="s">
        <v>59</v>
      </c>
      <c r="AC9333" t="s">
        <v>59</v>
      </c>
      <c r="AD9333" t="s">
        <v>59</v>
      </c>
      <c r="AF9333" s="1">
        <v>34582</v>
      </c>
      <c r="AG9333" t="s">
        <v>8645</v>
      </c>
      <c r="AH9333" t="s">
        <v>8646</v>
      </c>
      <c r="AI9333" t="str">
        <f>"9500148"</f>
        <v>9500148</v>
      </c>
      <c r="AJ9333" t="s">
        <v>13851</v>
      </c>
      <c r="AK9333">
        <v>2821068328</v>
      </c>
      <c r="AL9333" t="s">
        <v>13852</v>
      </c>
      <c r="AM9333" t="s">
        <v>88</v>
      </c>
      <c r="AN9333" t="s">
        <v>88</v>
      </c>
      <c r="AO9333" t="s">
        <v>6785</v>
      </c>
      <c r="AP9333" t="s">
        <v>13853</v>
      </c>
      <c r="AQ9333">
        <v>3</v>
      </c>
      <c r="AR9333" t="s">
        <v>89</v>
      </c>
      <c r="AS9333" t="s">
        <v>90</v>
      </c>
      <c r="AT9333" t="s">
        <v>58</v>
      </c>
      <c r="AU9333" t="s">
        <v>68</v>
      </c>
      <c r="AV9333" t="s">
        <v>69</v>
      </c>
      <c r="AW9333" s="1">
        <v>23834</v>
      </c>
      <c r="AX9333">
        <v>1</v>
      </c>
    </row>
    <row r="9334" spans="1:50">
      <c r="A9334">
        <v>615265</v>
      </c>
      <c r="B9334" t="str">
        <f>"135206066"</f>
        <v>135206066</v>
      </c>
      <c r="C9334" t="s">
        <v>50</v>
      </c>
      <c r="D9334" t="s">
        <v>14151</v>
      </c>
      <c r="E9334" t="s">
        <v>83</v>
      </c>
      <c r="F9334" t="s">
        <v>84</v>
      </c>
      <c r="G9334" t="s">
        <v>215</v>
      </c>
      <c r="H9334" t="str">
        <f>"Oμαλού 2 Χαλέπα"</f>
        <v>Oμαλού 2 Χαλέπα</v>
      </c>
      <c r="I9334">
        <v>73133</v>
      </c>
      <c r="J9334">
        <v>2821027911</v>
      </c>
      <c r="K9334">
        <v>6976908639</v>
      </c>
      <c r="N9334" t="s">
        <v>1525</v>
      </c>
      <c r="O9334" t="s">
        <v>1526</v>
      </c>
      <c r="R9334" t="s">
        <v>57</v>
      </c>
      <c r="S9334">
        <v>6</v>
      </c>
      <c r="T9334">
        <v>598</v>
      </c>
      <c r="U9334" s="1">
        <v>39310</v>
      </c>
      <c r="V9334" t="s">
        <v>89</v>
      </c>
      <c r="W9334" t="s">
        <v>90</v>
      </c>
      <c r="X9334" t="s">
        <v>58</v>
      </c>
      <c r="Y9334">
        <v>25</v>
      </c>
      <c r="Z9334" t="s">
        <v>59</v>
      </c>
      <c r="AA9334" t="s">
        <v>59</v>
      </c>
      <c r="AB9334" t="s">
        <v>59</v>
      </c>
      <c r="AC9334" t="s">
        <v>59</v>
      </c>
      <c r="AD9334" t="s">
        <v>59</v>
      </c>
      <c r="AF9334" s="1">
        <v>39328</v>
      </c>
      <c r="AG9334" t="s">
        <v>8651</v>
      </c>
      <c r="AH9334" t="s">
        <v>8652</v>
      </c>
      <c r="AI9334" t="str">
        <f>"9500322"</f>
        <v>9500322</v>
      </c>
      <c r="AJ9334" t="s">
        <v>14152</v>
      </c>
      <c r="AK9334">
        <v>2821054010</v>
      </c>
      <c r="AL9334" t="s">
        <v>14153</v>
      </c>
      <c r="AM9334" t="s">
        <v>88</v>
      </c>
      <c r="AN9334" t="s">
        <v>88</v>
      </c>
      <c r="AO9334" t="s">
        <v>88</v>
      </c>
      <c r="AP9334" t="s">
        <v>88</v>
      </c>
      <c r="AQ9334">
        <v>1</v>
      </c>
      <c r="AR9334" t="s">
        <v>89</v>
      </c>
      <c r="AS9334" t="s">
        <v>90</v>
      </c>
      <c r="AT9334" t="s">
        <v>58</v>
      </c>
      <c r="AU9334" t="s">
        <v>68</v>
      </c>
      <c r="AV9334" t="s">
        <v>69</v>
      </c>
      <c r="AW9334" s="1">
        <v>24606</v>
      </c>
      <c r="AX9334">
        <v>1</v>
      </c>
    </row>
    <row r="9335" spans="1:50">
      <c r="A9335">
        <v>608371</v>
      </c>
      <c r="B9335" t="str">
        <f>"112351826"</f>
        <v>112351826</v>
      </c>
      <c r="C9335" t="s">
        <v>50</v>
      </c>
      <c r="D9335" t="s">
        <v>7004</v>
      </c>
      <c r="E9335" t="s">
        <v>52</v>
      </c>
      <c r="F9335" t="s">
        <v>995</v>
      </c>
      <c r="G9335" t="s">
        <v>96</v>
      </c>
      <c r="H9335" t="str">
        <f>" "</f>
        <v xml:space="preserve"> </v>
      </c>
      <c r="N9335" t="s">
        <v>1525</v>
      </c>
      <c r="O9335" t="s">
        <v>1526</v>
      </c>
      <c r="R9335" t="s">
        <v>57</v>
      </c>
      <c r="S9335">
        <v>8</v>
      </c>
      <c r="T9335">
        <v>217</v>
      </c>
      <c r="U9335" s="1">
        <v>38596</v>
      </c>
      <c r="V9335" t="s">
        <v>89</v>
      </c>
      <c r="W9335" t="s">
        <v>90</v>
      </c>
      <c r="X9335" t="s">
        <v>58</v>
      </c>
      <c r="Y9335">
        <v>25</v>
      </c>
      <c r="Z9335" t="s">
        <v>59</v>
      </c>
      <c r="AA9335" t="s">
        <v>59</v>
      </c>
      <c r="AB9335" t="s">
        <v>59</v>
      </c>
      <c r="AC9335" t="s">
        <v>59</v>
      </c>
      <c r="AD9335" t="s">
        <v>59</v>
      </c>
      <c r="AF9335" s="1">
        <v>38601</v>
      </c>
      <c r="AG9335" t="s">
        <v>8651</v>
      </c>
      <c r="AH9335" t="s">
        <v>8652</v>
      </c>
      <c r="AI9335" t="str">
        <f>"9500371"</f>
        <v>9500371</v>
      </c>
      <c r="AJ9335" t="s">
        <v>14154</v>
      </c>
      <c r="AK9335">
        <v>2821092925</v>
      </c>
      <c r="AL9335" t="s">
        <v>14155</v>
      </c>
      <c r="AM9335" t="s">
        <v>88</v>
      </c>
      <c r="AN9335" t="s">
        <v>88</v>
      </c>
      <c r="AO9335" t="s">
        <v>6733</v>
      </c>
      <c r="AP9335" t="s">
        <v>6755</v>
      </c>
      <c r="AQ9335">
        <v>2</v>
      </c>
      <c r="AR9335" t="s">
        <v>89</v>
      </c>
      <c r="AS9335" t="s">
        <v>90</v>
      </c>
      <c r="AT9335" t="s">
        <v>58</v>
      </c>
      <c r="AU9335" t="s">
        <v>68</v>
      </c>
      <c r="AV9335" t="s">
        <v>69</v>
      </c>
      <c r="AW9335" s="1">
        <v>24929</v>
      </c>
      <c r="AX9335">
        <v>1</v>
      </c>
    </row>
    <row r="9336" spans="1:50">
      <c r="B9336" t="str">
        <f>"119796850"</f>
        <v>119796850</v>
      </c>
      <c r="C9336" t="s">
        <v>50</v>
      </c>
      <c r="D9336" t="s">
        <v>14156</v>
      </c>
      <c r="E9336" t="s">
        <v>335</v>
      </c>
      <c r="F9336" t="s">
        <v>309</v>
      </c>
      <c r="G9336" t="s">
        <v>2719</v>
      </c>
      <c r="H9336" t="str">
        <f>"ΕΜ.ΦΙΛΗ 13 ΘΕΣΣΑΛΟΝΙΚΗ"</f>
        <v>ΕΜ.ΦΙΛΗ 13 ΘΕΣΣΑΛΟΝΙΚΗ</v>
      </c>
      <c r="I9336">
        <v>54352</v>
      </c>
      <c r="J9336">
        <v>2310927132</v>
      </c>
      <c r="K9336">
        <v>6970903101</v>
      </c>
      <c r="N9336" t="s">
        <v>1525</v>
      </c>
      <c r="O9336" t="s">
        <v>1526</v>
      </c>
      <c r="R9336" t="s">
        <v>159</v>
      </c>
      <c r="S9336">
        <v>6</v>
      </c>
      <c r="T9336" t="s">
        <v>8670</v>
      </c>
      <c r="U9336" s="1">
        <v>43348</v>
      </c>
      <c r="V9336" t="s">
        <v>89</v>
      </c>
      <c r="W9336" t="s">
        <v>90</v>
      </c>
      <c r="X9336" t="s">
        <v>58</v>
      </c>
      <c r="Y9336">
        <v>25</v>
      </c>
      <c r="Z9336" t="s">
        <v>59</v>
      </c>
      <c r="AA9336" t="s">
        <v>59</v>
      </c>
      <c r="AB9336" t="s">
        <v>59</v>
      </c>
      <c r="AC9336" t="s">
        <v>59</v>
      </c>
      <c r="AD9336" t="s">
        <v>59</v>
      </c>
      <c r="AF9336" s="1">
        <v>43348</v>
      </c>
      <c r="AG9336" t="s">
        <v>8651</v>
      </c>
      <c r="AH9336" t="s">
        <v>8652</v>
      </c>
      <c r="AI9336" t="str">
        <f>"9521553"</f>
        <v>9521553</v>
      </c>
      <c r="AJ9336" t="s">
        <v>14157</v>
      </c>
      <c r="AK9336">
        <v>2821092365</v>
      </c>
      <c r="AL9336" t="s">
        <v>14158</v>
      </c>
      <c r="AM9336" t="s">
        <v>88</v>
      </c>
      <c r="AN9336" t="s">
        <v>88</v>
      </c>
      <c r="AO9336" t="s">
        <v>88</v>
      </c>
      <c r="AP9336" t="s">
        <v>88</v>
      </c>
      <c r="AQ9336">
        <v>1</v>
      </c>
      <c r="AR9336" t="s">
        <v>89</v>
      </c>
      <c r="AS9336" t="s">
        <v>90</v>
      </c>
      <c r="AT9336" t="s">
        <v>58</v>
      </c>
      <c r="AU9336" t="s">
        <v>8673</v>
      </c>
      <c r="AV9336" t="s">
        <v>132</v>
      </c>
      <c r="AW9336" s="1">
        <v>30138</v>
      </c>
      <c r="AX9336">
        <v>1</v>
      </c>
    </row>
    <row r="9337" spans="1:50">
      <c r="B9337" t="str">
        <f>"135214251"</f>
        <v>135214251</v>
      </c>
      <c r="C9337" t="s">
        <v>50</v>
      </c>
      <c r="D9337" t="s">
        <v>14159</v>
      </c>
      <c r="E9337" t="s">
        <v>255</v>
      </c>
      <c r="F9337" t="s">
        <v>166</v>
      </c>
      <c r="G9337" t="s">
        <v>237</v>
      </c>
      <c r="H9337" t="str">
        <f>"ΣΟΛΩΜΟΥ ΙΣΑΑΚ 10 ΧΑΝΙΑ"</f>
        <v>ΣΟΛΩΜΟΥ ΙΣΑΑΚ 10 ΧΑΝΙΑ</v>
      </c>
      <c r="I9337">
        <v>73133</v>
      </c>
      <c r="J9337">
        <v>2821045703</v>
      </c>
      <c r="K9337">
        <v>6972402062</v>
      </c>
      <c r="N9337" t="s">
        <v>683</v>
      </c>
      <c r="O9337" t="s">
        <v>684</v>
      </c>
      <c r="R9337" t="s">
        <v>159</v>
      </c>
      <c r="S9337">
        <v>6</v>
      </c>
      <c r="T9337" t="s">
        <v>8675</v>
      </c>
      <c r="U9337" s="1">
        <v>43348</v>
      </c>
      <c r="V9337" t="s">
        <v>89</v>
      </c>
      <c r="W9337" t="s">
        <v>90</v>
      </c>
      <c r="X9337" t="s">
        <v>58</v>
      </c>
      <c r="Y9337">
        <v>24</v>
      </c>
      <c r="Z9337" t="s">
        <v>59</v>
      </c>
      <c r="AA9337" t="s">
        <v>59</v>
      </c>
      <c r="AB9337" t="s">
        <v>59</v>
      </c>
      <c r="AC9337" t="s">
        <v>59</v>
      </c>
      <c r="AD9337" t="s">
        <v>59</v>
      </c>
      <c r="AF9337" s="1">
        <v>43348</v>
      </c>
      <c r="AG9337" t="s">
        <v>8645</v>
      </c>
      <c r="AH9337" t="s">
        <v>8646</v>
      </c>
      <c r="AI9337" t="str">
        <f>"9500040"</f>
        <v>9500040</v>
      </c>
      <c r="AJ9337" t="s">
        <v>13906</v>
      </c>
      <c r="AK9337">
        <v>2821045356</v>
      </c>
      <c r="AL9337" t="s">
        <v>13907</v>
      </c>
      <c r="AM9337" t="s">
        <v>88</v>
      </c>
      <c r="AN9337" t="s">
        <v>88</v>
      </c>
      <c r="AO9337" t="s">
        <v>88</v>
      </c>
      <c r="AP9337" t="s">
        <v>88</v>
      </c>
      <c r="AQ9337">
        <v>1</v>
      </c>
      <c r="AR9337" t="s">
        <v>89</v>
      </c>
      <c r="AS9337" t="s">
        <v>90</v>
      </c>
      <c r="AT9337" t="s">
        <v>58</v>
      </c>
      <c r="AU9337" t="s">
        <v>8673</v>
      </c>
      <c r="AV9337" t="s">
        <v>132</v>
      </c>
      <c r="AW9337" s="1">
        <v>30031</v>
      </c>
      <c r="AX9337">
        <v>1</v>
      </c>
    </row>
    <row r="9338" spans="1:50">
      <c r="A9338">
        <v>587543</v>
      </c>
      <c r="B9338" t="str">
        <f>"039890714"</f>
        <v>039890714</v>
      </c>
      <c r="C9338" t="s">
        <v>105</v>
      </c>
      <c r="D9338" t="s">
        <v>14160</v>
      </c>
      <c r="E9338" t="s">
        <v>995</v>
      </c>
      <c r="F9338" t="s">
        <v>377</v>
      </c>
      <c r="G9338" t="s">
        <v>52</v>
      </c>
      <c r="H9338" t="str">
        <f>"ΑΡΕΤΗΣ 2 ΧΑΝΙΑ"</f>
        <v>ΑΡΕΤΗΣ 2 ΧΑΝΙΑ</v>
      </c>
      <c r="I9338">
        <v>73100</v>
      </c>
      <c r="J9338">
        <v>2821055279</v>
      </c>
      <c r="K9338">
        <v>6977120022</v>
      </c>
      <c r="N9338" t="s">
        <v>176</v>
      </c>
      <c r="O9338" t="s">
        <v>177</v>
      </c>
      <c r="R9338" t="s">
        <v>57</v>
      </c>
      <c r="S9338">
        <v>12</v>
      </c>
      <c r="T9338">
        <v>164</v>
      </c>
      <c r="U9338" s="1">
        <v>36040</v>
      </c>
      <c r="V9338" t="s">
        <v>89</v>
      </c>
      <c r="W9338" t="s">
        <v>90</v>
      </c>
      <c r="X9338" t="s">
        <v>58</v>
      </c>
      <c r="Y9338">
        <v>21</v>
      </c>
      <c r="Z9338" t="s">
        <v>59</v>
      </c>
      <c r="AA9338" t="s">
        <v>59</v>
      </c>
      <c r="AB9338" t="s">
        <v>59</v>
      </c>
      <c r="AC9338" t="s">
        <v>59</v>
      </c>
      <c r="AD9338" t="s">
        <v>59</v>
      </c>
      <c r="AF9338" s="1">
        <v>36040</v>
      </c>
      <c r="AG9338" t="s">
        <v>8645</v>
      </c>
      <c r="AH9338" t="s">
        <v>8646</v>
      </c>
      <c r="AI9338" t="str">
        <f>"9500038"</f>
        <v>9500038</v>
      </c>
      <c r="AJ9338" t="s">
        <v>13899</v>
      </c>
      <c r="AK9338">
        <v>2821042407</v>
      </c>
      <c r="AL9338" t="s">
        <v>13900</v>
      </c>
      <c r="AM9338" t="s">
        <v>88</v>
      </c>
      <c r="AN9338" t="s">
        <v>88</v>
      </c>
      <c r="AO9338" t="s">
        <v>88</v>
      </c>
      <c r="AP9338" t="s">
        <v>88</v>
      </c>
      <c r="AQ9338">
        <v>1</v>
      </c>
      <c r="AR9338" t="s">
        <v>89</v>
      </c>
      <c r="AS9338" t="s">
        <v>90</v>
      </c>
      <c r="AT9338" t="s">
        <v>58</v>
      </c>
      <c r="AU9338" t="s">
        <v>68</v>
      </c>
      <c r="AV9338" t="s">
        <v>69</v>
      </c>
      <c r="AW9338" s="1">
        <v>24150</v>
      </c>
      <c r="AX9338">
        <v>1</v>
      </c>
    </row>
    <row r="9339" spans="1:50">
      <c r="A9339">
        <v>617825</v>
      </c>
      <c r="B9339" t="str">
        <f>"135516019"</f>
        <v>135516019</v>
      </c>
      <c r="C9339" t="s">
        <v>50</v>
      </c>
      <c r="D9339" t="s">
        <v>933</v>
      </c>
      <c r="E9339" t="s">
        <v>181</v>
      </c>
      <c r="F9339" t="s">
        <v>95</v>
      </c>
      <c r="G9339" t="s">
        <v>1068</v>
      </c>
      <c r="H9339" t="str">
        <f>"Λουλακάκη3 Αμπεριά ΧΑΝΙΑ"</f>
        <v>Λουλακάκη3 Αμπεριά ΧΑΝΙΑ</v>
      </c>
      <c r="I9339">
        <v>61100</v>
      </c>
      <c r="J9339">
        <v>2341023989</v>
      </c>
      <c r="K9339">
        <v>6974801799</v>
      </c>
      <c r="L9339">
        <v>2341023989</v>
      </c>
      <c r="N9339" t="s">
        <v>615</v>
      </c>
      <c r="O9339" t="s">
        <v>616</v>
      </c>
      <c r="R9339" t="s">
        <v>57</v>
      </c>
      <c r="S9339">
        <v>5</v>
      </c>
      <c r="T9339">
        <v>774</v>
      </c>
      <c r="U9339" s="1">
        <v>39661</v>
      </c>
      <c r="V9339" t="s">
        <v>89</v>
      </c>
      <c r="W9339" t="s">
        <v>90</v>
      </c>
      <c r="X9339" t="s">
        <v>58</v>
      </c>
      <c r="Y9339">
        <v>23</v>
      </c>
      <c r="Z9339" t="s">
        <v>59</v>
      </c>
      <c r="AA9339" t="s">
        <v>59</v>
      </c>
      <c r="AB9339" t="s">
        <v>59</v>
      </c>
      <c r="AC9339" t="s">
        <v>59</v>
      </c>
      <c r="AD9339" t="s">
        <v>59</v>
      </c>
      <c r="AF9339" s="1">
        <v>39681</v>
      </c>
      <c r="AG9339" t="s">
        <v>8645</v>
      </c>
      <c r="AH9339" t="s">
        <v>8646</v>
      </c>
      <c r="AI9339" t="str">
        <f>"9500075"</f>
        <v>9500075</v>
      </c>
      <c r="AJ9339" t="s">
        <v>13955</v>
      </c>
      <c r="AK9339">
        <v>2821046505</v>
      </c>
      <c r="AL9339" t="s">
        <v>13956</v>
      </c>
      <c r="AM9339" t="s">
        <v>88</v>
      </c>
      <c r="AN9339" t="s">
        <v>88</v>
      </c>
      <c r="AO9339" t="s">
        <v>88</v>
      </c>
      <c r="AP9339" t="s">
        <v>88</v>
      </c>
      <c r="AQ9339">
        <v>1</v>
      </c>
      <c r="AR9339" t="s">
        <v>89</v>
      </c>
      <c r="AS9339" t="s">
        <v>90</v>
      </c>
      <c r="AT9339" t="s">
        <v>58</v>
      </c>
      <c r="AU9339" t="s">
        <v>68</v>
      </c>
      <c r="AV9339" t="s">
        <v>69</v>
      </c>
      <c r="AW9339" s="1">
        <v>29480</v>
      </c>
      <c r="AX9339">
        <v>1</v>
      </c>
    </row>
    <row r="9340" spans="1:50">
      <c r="A9340">
        <v>597046</v>
      </c>
      <c r="B9340" t="str">
        <f>"057934053"</f>
        <v>057934053</v>
      </c>
      <c r="C9340" t="s">
        <v>50</v>
      </c>
      <c r="D9340" t="s">
        <v>14161</v>
      </c>
      <c r="E9340" t="s">
        <v>250</v>
      </c>
      <c r="F9340" t="s">
        <v>304</v>
      </c>
      <c r="G9340" t="s">
        <v>112</v>
      </c>
      <c r="H9340" t="str">
        <f>"ΝΙΚ. ΦΩΚΑ  20 ΧΑΝΙΑ"</f>
        <v>ΝΙΚ. ΦΩΚΑ  20 ΧΑΝΙΑ</v>
      </c>
      <c r="I9340">
        <v>73132</v>
      </c>
      <c r="J9340">
        <v>2821087964</v>
      </c>
      <c r="K9340">
        <v>6932379652</v>
      </c>
      <c r="N9340" t="s">
        <v>1525</v>
      </c>
      <c r="O9340" t="s">
        <v>1526</v>
      </c>
      <c r="R9340" t="s">
        <v>57</v>
      </c>
      <c r="S9340">
        <v>8</v>
      </c>
      <c r="T9340">
        <v>195</v>
      </c>
      <c r="U9340" s="1">
        <v>37497</v>
      </c>
      <c r="V9340" t="s">
        <v>89</v>
      </c>
      <c r="W9340" t="s">
        <v>90</v>
      </c>
      <c r="X9340" t="s">
        <v>58</v>
      </c>
      <c r="Y9340">
        <v>25</v>
      </c>
      <c r="Z9340" t="s">
        <v>59</v>
      </c>
      <c r="AA9340" t="s">
        <v>59</v>
      </c>
      <c r="AB9340" t="s">
        <v>59</v>
      </c>
      <c r="AC9340" t="s">
        <v>59</v>
      </c>
      <c r="AD9340" t="s">
        <v>59</v>
      </c>
      <c r="AF9340" s="1">
        <v>37501</v>
      </c>
      <c r="AG9340" t="s">
        <v>8651</v>
      </c>
      <c r="AH9340" t="s">
        <v>8652</v>
      </c>
      <c r="AI9340" t="str">
        <f>"9500258"</f>
        <v>9500258</v>
      </c>
      <c r="AJ9340" t="s">
        <v>14162</v>
      </c>
      <c r="AK9340">
        <v>2821090938</v>
      </c>
      <c r="AL9340" t="s">
        <v>14163</v>
      </c>
      <c r="AM9340" t="s">
        <v>88</v>
      </c>
      <c r="AN9340" t="s">
        <v>88</v>
      </c>
      <c r="AO9340" t="s">
        <v>88</v>
      </c>
      <c r="AP9340" t="s">
        <v>88</v>
      </c>
      <c r="AQ9340">
        <v>1</v>
      </c>
      <c r="AR9340" t="s">
        <v>89</v>
      </c>
      <c r="AS9340" t="s">
        <v>90</v>
      </c>
      <c r="AT9340" t="s">
        <v>58</v>
      </c>
      <c r="AU9340" t="s">
        <v>68</v>
      </c>
      <c r="AV9340" t="s">
        <v>69</v>
      </c>
      <c r="AW9340" s="1">
        <v>26448</v>
      </c>
      <c r="AX9340">
        <v>1</v>
      </c>
    </row>
    <row r="9341" spans="1:50">
      <c r="B9341" t="str">
        <f>"144014331"</f>
        <v>144014331</v>
      </c>
      <c r="C9341" t="s">
        <v>50</v>
      </c>
      <c r="D9341" t="s">
        <v>14164</v>
      </c>
      <c r="E9341" t="s">
        <v>73</v>
      </c>
      <c r="F9341" t="s">
        <v>564</v>
      </c>
      <c r="G9341" t="s">
        <v>52</v>
      </c>
      <c r="H9341" t="str">
        <f>" "</f>
        <v xml:space="preserve"> </v>
      </c>
      <c r="N9341" t="s">
        <v>1525</v>
      </c>
      <c r="O9341" t="s">
        <v>1526</v>
      </c>
      <c r="R9341" t="s">
        <v>121</v>
      </c>
      <c r="S9341">
        <v>1</v>
      </c>
      <c r="T9341" t="s">
        <v>8670</v>
      </c>
      <c r="U9341" s="1">
        <v>43348</v>
      </c>
      <c r="V9341" t="s">
        <v>89</v>
      </c>
      <c r="W9341" t="s">
        <v>90</v>
      </c>
      <c r="X9341" t="s">
        <v>58</v>
      </c>
      <c r="Y9341">
        <v>25</v>
      </c>
      <c r="Z9341" t="s">
        <v>59</v>
      </c>
      <c r="AD9341" t="s">
        <v>59</v>
      </c>
      <c r="AF9341" s="1">
        <v>43348</v>
      </c>
      <c r="AG9341" t="s">
        <v>8651</v>
      </c>
      <c r="AH9341" t="s">
        <v>8652</v>
      </c>
      <c r="AI9341" t="str">
        <f>"9500308"</f>
        <v>9500308</v>
      </c>
      <c r="AJ9341" t="s">
        <v>14165</v>
      </c>
      <c r="AK9341">
        <v>2825092360</v>
      </c>
      <c r="AL9341" t="s">
        <v>14166</v>
      </c>
      <c r="AM9341" t="s">
        <v>88</v>
      </c>
      <c r="AN9341" t="s">
        <v>6995</v>
      </c>
      <c r="AO9341" t="s">
        <v>6995</v>
      </c>
      <c r="AP9341" t="s">
        <v>14097</v>
      </c>
      <c r="AQ9341">
        <v>10</v>
      </c>
      <c r="AR9341" t="s">
        <v>89</v>
      </c>
      <c r="AS9341" t="s">
        <v>90</v>
      </c>
      <c r="AT9341" t="s">
        <v>58</v>
      </c>
      <c r="AU9341" t="s">
        <v>8673</v>
      </c>
      <c r="AV9341" t="s">
        <v>132</v>
      </c>
      <c r="AW9341" s="1">
        <v>32196</v>
      </c>
      <c r="AX9341">
        <v>1</v>
      </c>
    </row>
    <row r="9342" spans="1:50">
      <c r="B9342" t="str">
        <f>"112431250"</f>
        <v>112431250</v>
      </c>
      <c r="C9342" t="s">
        <v>50</v>
      </c>
      <c r="D9342" t="s">
        <v>14167</v>
      </c>
      <c r="E9342" t="s">
        <v>250</v>
      </c>
      <c r="F9342" t="s">
        <v>53</v>
      </c>
      <c r="G9342" t="s">
        <v>52</v>
      </c>
      <c r="H9342" t="str">
        <f>"ΚΩΣΤΑΛΕΞΙ ΛΑΜΙΑ"</f>
        <v>ΚΩΣΤΑΛΕΞΙ ΛΑΜΙΑ</v>
      </c>
      <c r="I9342">
        <v>35100</v>
      </c>
      <c r="J9342">
        <v>2231096612</v>
      </c>
      <c r="K9342">
        <v>6979466639</v>
      </c>
      <c r="M9342" t="s">
        <v>14168</v>
      </c>
      <c r="N9342" t="s">
        <v>337</v>
      </c>
      <c r="O9342" t="s">
        <v>338</v>
      </c>
      <c r="R9342" t="s">
        <v>159</v>
      </c>
      <c r="S9342">
        <v>6</v>
      </c>
      <c r="T9342" t="s">
        <v>8675</v>
      </c>
      <c r="U9342" s="1">
        <v>43348</v>
      </c>
      <c r="V9342" t="s">
        <v>89</v>
      </c>
      <c r="W9342" t="s">
        <v>90</v>
      </c>
      <c r="X9342" t="s">
        <v>58</v>
      </c>
      <c r="Y9342">
        <v>24</v>
      </c>
      <c r="Z9342" t="s">
        <v>59</v>
      </c>
      <c r="AA9342" t="s">
        <v>59</v>
      </c>
      <c r="AB9342" t="s">
        <v>59</v>
      </c>
      <c r="AC9342" t="s">
        <v>59</v>
      </c>
      <c r="AD9342" t="s">
        <v>59</v>
      </c>
      <c r="AF9342" s="1">
        <v>43348</v>
      </c>
      <c r="AG9342" t="s">
        <v>8645</v>
      </c>
      <c r="AH9342" t="s">
        <v>8646</v>
      </c>
      <c r="AI9342" t="str">
        <f>"9500017"</f>
        <v>9500017</v>
      </c>
      <c r="AJ9342" t="s">
        <v>13873</v>
      </c>
      <c r="AK9342">
        <v>2825083173</v>
      </c>
      <c r="AL9342" t="s">
        <v>13874</v>
      </c>
      <c r="AM9342" t="s">
        <v>88</v>
      </c>
      <c r="AN9342" t="s">
        <v>6775</v>
      </c>
      <c r="AO9342" t="s">
        <v>11883</v>
      </c>
      <c r="AP9342" t="s">
        <v>13875</v>
      </c>
      <c r="AQ9342">
        <v>7</v>
      </c>
      <c r="AR9342" t="s">
        <v>89</v>
      </c>
      <c r="AS9342" t="s">
        <v>90</v>
      </c>
      <c r="AT9342" t="s">
        <v>58</v>
      </c>
      <c r="AU9342" t="s">
        <v>8673</v>
      </c>
      <c r="AV9342" t="s">
        <v>132</v>
      </c>
      <c r="AW9342" s="1">
        <v>28870</v>
      </c>
      <c r="AX9342">
        <v>1</v>
      </c>
    </row>
    <row r="9343" spans="1:50">
      <c r="B9343" t="str">
        <f>"127725770"</f>
        <v>127725770</v>
      </c>
      <c r="C9343" t="s">
        <v>50</v>
      </c>
      <c r="D9343" t="s">
        <v>14169</v>
      </c>
      <c r="E9343" t="s">
        <v>155</v>
      </c>
      <c r="F9343" t="s">
        <v>154</v>
      </c>
      <c r="G9343" t="s">
        <v>181</v>
      </c>
      <c r="H9343" t="str">
        <f>"ΒΑΡΥΠΕΤΡΟ ΚΥΔΩΝΙΑΣ "</f>
        <v xml:space="preserve">ΒΑΡΥΠΕΤΡΟ ΚΥΔΩΝΙΑΣ </v>
      </c>
      <c r="I9343">
        <v>73100</v>
      </c>
      <c r="J9343">
        <v>2821086349</v>
      </c>
      <c r="K9343">
        <v>6971808066</v>
      </c>
      <c r="N9343" t="s">
        <v>1525</v>
      </c>
      <c r="O9343" t="s">
        <v>1526</v>
      </c>
      <c r="R9343" t="s">
        <v>159</v>
      </c>
      <c r="S9343">
        <v>4</v>
      </c>
      <c r="T9343" t="s">
        <v>8670</v>
      </c>
      <c r="U9343" s="1">
        <v>43348</v>
      </c>
      <c r="V9343" t="s">
        <v>89</v>
      </c>
      <c r="W9343" t="s">
        <v>90</v>
      </c>
      <c r="X9343" t="s">
        <v>58</v>
      </c>
      <c r="Y9343">
        <v>25</v>
      </c>
      <c r="Z9343" t="s">
        <v>59</v>
      </c>
      <c r="AA9343" t="s">
        <v>59</v>
      </c>
      <c r="AB9343" t="s">
        <v>59</v>
      </c>
      <c r="AC9343" t="s">
        <v>59</v>
      </c>
      <c r="AD9343" t="s">
        <v>59</v>
      </c>
      <c r="AF9343" s="1">
        <v>43348</v>
      </c>
      <c r="AG9343" t="s">
        <v>8651</v>
      </c>
      <c r="AH9343" t="s">
        <v>8652</v>
      </c>
      <c r="AI9343" t="str">
        <f>"9500141"</f>
        <v>9500141</v>
      </c>
      <c r="AJ9343" t="s">
        <v>14170</v>
      </c>
      <c r="AK9343">
        <v>2821092365</v>
      </c>
      <c r="AL9343" t="s">
        <v>14171</v>
      </c>
      <c r="AM9343" t="s">
        <v>88</v>
      </c>
      <c r="AN9343" t="s">
        <v>88</v>
      </c>
      <c r="AO9343" t="s">
        <v>88</v>
      </c>
      <c r="AP9343" t="s">
        <v>88</v>
      </c>
      <c r="AQ9343">
        <v>1</v>
      </c>
      <c r="AR9343" t="s">
        <v>89</v>
      </c>
      <c r="AS9343" t="s">
        <v>90</v>
      </c>
      <c r="AT9343" t="s">
        <v>58</v>
      </c>
      <c r="AU9343" t="s">
        <v>8673</v>
      </c>
      <c r="AV9343" t="s">
        <v>132</v>
      </c>
      <c r="AW9343" s="1">
        <v>24560</v>
      </c>
      <c r="AX9343">
        <v>1</v>
      </c>
    </row>
    <row r="9344" spans="1:50">
      <c r="B9344" t="str">
        <f>"057174705"</f>
        <v>057174705</v>
      </c>
      <c r="C9344" t="s">
        <v>50</v>
      </c>
      <c r="D9344" t="s">
        <v>14172</v>
      </c>
      <c r="E9344" t="s">
        <v>14173</v>
      </c>
      <c r="F9344" t="s">
        <v>10564</v>
      </c>
      <c r="G9344" t="s">
        <v>109</v>
      </c>
      <c r="H9344" t="str">
        <f>" "</f>
        <v xml:space="preserve"> </v>
      </c>
      <c r="N9344" t="s">
        <v>8834</v>
      </c>
      <c r="O9344" t="s">
        <v>8695</v>
      </c>
      <c r="R9344" t="s">
        <v>121</v>
      </c>
      <c r="S9344">
        <v>3</v>
      </c>
      <c r="T9344" t="s">
        <v>8835</v>
      </c>
      <c r="U9344" s="1">
        <v>43348</v>
      </c>
      <c r="V9344" t="s">
        <v>89</v>
      </c>
      <c r="W9344" t="s">
        <v>90</v>
      </c>
      <c r="X9344" t="s">
        <v>58</v>
      </c>
      <c r="Y9344">
        <v>24</v>
      </c>
      <c r="Z9344" t="s">
        <v>59</v>
      </c>
      <c r="AA9344" t="s">
        <v>59</v>
      </c>
      <c r="AB9344" t="s">
        <v>59</v>
      </c>
      <c r="AD9344" t="s">
        <v>59</v>
      </c>
      <c r="AF9344" s="1">
        <v>43348</v>
      </c>
      <c r="AG9344" t="s">
        <v>8645</v>
      </c>
      <c r="AH9344" t="s">
        <v>8646</v>
      </c>
      <c r="AI9344" t="str">
        <f>"9500315"</f>
        <v>9500315</v>
      </c>
      <c r="AJ9344" t="s">
        <v>14174</v>
      </c>
      <c r="AK9344">
        <v>2821040565</v>
      </c>
      <c r="AL9344" t="s">
        <v>14175</v>
      </c>
      <c r="AM9344" t="s">
        <v>88</v>
      </c>
      <c r="AN9344" t="s">
        <v>88</v>
      </c>
      <c r="AO9344" t="s">
        <v>88</v>
      </c>
      <c r="AP9344" t="s">
        <v>88</v>
      </c>
      <c r="AQ9344">
        <v>1</v>
      </c>
      <c r="AR9344" t="s">
        <v>89</v>
      </c>
      <c r="AS9344" t="s">
        <v>90</v>
      </c>
      <c r="AT9344" t="s">
        <v>58</v>
      </c>
      <c r="AU9344" t="s">
        <v>131</v>
      </c>
      <c r="AV9344" t="s">
        <v>132</v>
      </c>
      <c r="AW9344" s="1">
        <v>33938</v>
      </c>
      <c r="AX9344">
        <v>1</v>
      </c>
    </row>
    <row r="9345" spans="1:50">
      <c r="A9345">
        <v>557647</v>
      </c>
      <c r="B9345" t="str">
        <f>"033349226"</f>
        <v>033349226</v>
      </c>
      <c r="C9345" t="s">
        <v>105</v>
      </c>
      <c r="D9345" t="s">
        <v>14176</v>
      </c>
      <c r="E9345" t="s">
        <v>979</v>
      </c>
      <c r="F9345" t="s">
        <v>474</v>
      </c>
      <c r="G9345" t="s">
        <v>659</v>
      </c>
      <c r="H9345" t="str">
        <f>"ΤΑΥΡΩΝΙΤΗΣ ΤΑΥΡΩΝΙΤΗΣ "</f>
        <v xml:space="preserve">ΤΑΥΡΩΝΙΤΗΣ ΤΑΥΡΩΝΙΤΗΣ </v>
      </c>
      <c r="I9345">
        <v>73006</v>
      </c>
      <c r="J9345">
        <v>2824023643</v>
      </c>
      <c r="K9345">
        <v>6945991361</v>
      </c>
      <c r="N9345" t="s">
        <v>615</v>
      </c>
      <c r="O9345" t="s">
        <v>616</v>
      </c>
      <c r="R9345" t="s">
        <v>57</v>
      </c>
      <c r="S9345">
        <v>15</v>
      </c>
      <c r="T9345">
        <v>168</v>
      </c>
      <c r="U9345" s="1">
        <v>32010</v>
      </c>
      <c r="V9345" t="s">
        <v>89</v>
      </c>
      <c r="W9345" t="s">
        <v>90</v>
      </c>
      <c r="X9345" t="s">
        <v>58</v>
      </c>
      <c r="Y9345">
        <v>21</v>
      </c>
      <c r="Z9345" t="s">
        <v>59</v>
      </c>
      <c r="AA9345" t="s">
        <v>59</v>
      </c>
      <c r="AB9345" t="s">
        <v>59</v>
      </c>
      <c r="AC9345" t="s">
        <v>59</v>
      </c>
      <c r="AD9345" t="s">
        <v>59</v>
      </c>
      <c r="AF9345" s="1">
        <v>32023</v>
      </c>
      <c r="AG9345" t="s">
        <v>8645</v>
      </c>
      <c r="AH9345" t="s">
        <v>8646</v>
      </c>
      <c r="AI9345" t="str">
        <f>"9500236"</f>
        <v>9500236</v>
      </c>
      <c r="AJ9345" t="s">
        <v>14106</v>
      </c>
      <c r="AK9345">
        <v>2824022347</v>
      </c>
      <c r="AL9345" t="s">
        <v>14107</v>
      </c>
      <c r="AM9345" t="s">
        <v>88</v>
      </c>
      <c r="AN9345" t="s">
        <v>6764</v>
      </c>
      <c r="AO9345" t="s">
        <v>6765</v>
      </c>
      <c r="AP9345" t="s">
        <v>13952</v>
      </c>
      <c r="AQ9345">
        <v>6</v>
      </c>
      <c r="AR9345" t="s">
        <v>89</v>
      </c>
      <c r="AS9345" t="s">
        <v>90</v>
      </c>
      <c r="AT9345" t="s">
        <v>58</v>
      </c>
      <c r="AU9345" t="s">
        <v>68</v>
      </c>
      <c r="AV9345" t="s">
        <v>69</v>
      </c>
      <c r="AW9345" s="1">
        <v>22451</v>
      </c>
      <c r="AX9345">
        <v>1</v>
      </c>
    </row>
    <row r="9346" spans="1:50">
      <c r="A9346">
        <v>181590</v>
      </c>
      <c r="B9346" t="str">
        <f>"059840566"</f>
        <v>059840566</v>
      </c>
      <c r="C9346" t="s">
        <v>105</v>
      </c>
      <c r="D9346" t="s">
        <v>14177</v>
      </c>
      <c r="E9346" t="s">
        <v>84</v>
      </c>
      <c r="F9346" t="s">
        <v>95</v>
      </c>
      <c r="G9346" t="s">
        <v>104</v>
      </c>
      <c r="H9346" t="str">
        <f>" "</f>
        <v xml:space="preserve"> </v>
      </c>
      <c r="K9346">
        <v>6944691696</v>
      </c>
      <c r="N9346" t="s">
        <v>176</v>
      </c>
      <c r="O9346" t="s">
        <v>177</v>
      </c>
      <c r="R9346" t="s">
        <v>57</v>
      </c>
      <c r="S9346">
        <v>9</v>
      </c>
      <c r="T9346">
        <v>164</v>
      </c>
      <c r="U9346" s="1">
        <v>36040</v>
      </c>
      <c r="V9346" t="s">
        <v>89</v>
      </c>
      <c r="W9346" t="s">
        <v>90</v>
      </c>
      <c r="X9346" t="s">
        <v>58</v>
      </c>
      <c r="Y9346">
        <v>22</v>
      </c>
      <c r="Z9346" t="s">
        <v>59</v>
      </c>
      <c r="AA9346" t="s">
        <v>59</v>
      </c>
      <c r="AB9346" t="s">
        <v>59</v>
      </c>
      <c r="AC9346" t="s">
        <v>59</v>
      </c>
      <c r="AD9346" t="s">
        <v>59</v>
      </c>
      <c r="AF9346" s="1">
        <v>36045</v>
      </c>
      <c r="AG9346" t="s">
        <v>8645</v>
      </c>
      <c r="AH9346" t="s">
        <v>8646</v>
      </c>
      <c r="AI9346" t="str">
        <f>"9500103"</f>
        <v>9500103</v>
      </c>
      <c r="AJ9346" t="s">
        <v>14040</v>
      </c>
      <c r="AK9346">
        <v>2821090920</v>
      </c>
      <c r="AL9346" t="s">
        <v>14041</v>
      </c>
      <c r="AM9346" t="s">
        <v>88</v>
      </c>
      <c r="AN9346" t="s">
        <v>88</v>
      </c>
      <c r="AO9346" t="s">
        <v>6733</v>
      </c>
      <c r="AP9346" t="s">
        <v>6734</v>
      </c>
      <c r="AQ9346">
        <v>2</v>
      </c>
      <c r="AR9346" t="s">
        <v>89</v>
      </c>
      <c r="AS9346" t="s">
        <v>90</v>
      </c>
      <c r="AT9346" t="s">
        <v>58</v>
      </c>
      <c r="AU9346" t="s">
        <v>68</v>
      </c>
      <c r="AV9346" t="s">
        <v>132</v>
      </c>
      <c r="AW9346" s="1">
        <v>22664</v>
      </c>
      <c r="AX9346">
        <v>1</v>
      </c>
    </row>
    <row r="9347" spans="1:50">
      <c r="A9347">
        <v>597341</v>
      </c>
      <c r="B9347" t="str">
        <f>"071388945"</f>
        <v>071388945</v>
      </c>
      <c r="C9347" t="s">
        <v>50</v>
      </c>
      <c r="D9347" t="s">
        <v>14178</v>
      </c>
      <c r="E9347" t="s">
        <v>1179</v>
      </c>
      <c r="F9347" t="s">
        <v>230</v>
      </c>
      <c r="G9347" t="s">
        <v>1361</v>
      </c>
      <c r="H9347" t="str">
        <f>" "</f>
        <v xml:space="preserve"> </v>
      </c>
      <c r="N9347" t="s">
        <v>176</v>
      </c>
      <c r="O9347" t="s">
        <v>177</v>
      </c>
      <c r="R9347" t="s">
        <v>57</v>
      </c>
      <c r="S9347">
        <v>8</v>
      </c>
      <c r="T9347">
        <v>212</v>
      </c>
      <c r="U9347" s="1">
        <v>37485</v>
      </c>
      <c r="V9347" t="s">
        <v>89</v>
      </c>
      <c r="W9347" t="s">
        <v>90</v>
      </c>
      <c r="X9347" t="s">
        <v>58</v>
      </c>
      <c r="Y9347">
        <v>22</v>
      </c>
      <c r="Z9347" t="s">
        <v>59</v>
      </c>
      <c r="AA9347" t="s">
        <v>59</v>
      </c>
      <c r="AB9347" t="s">
        <v>59</v>
      </c>
      <c r="AC9347" t="s">
        <v>59</v>
      </c>
      <c r="AD9347" t="s">
        <v>59</v>
      </c>
      <c r="AF9347" s="1">
        <v>37516</v>
      </c>
      <c r="AG9347" t="s">
        <v>8645</v>
      </c>
      <c r="AH9347" t="s">
        <v>8646</v>
      </c>
      <c r="AI9347" t="str">
        <f>"9500407"</f>
        <v>9500407</v>
      </c>
      <c r="AJ9347" t="s">
        <v>13867</v>
      </c>
      <c r="AK9347">
        <v>2821089224</v>
      </c>
      <c r="AL9347" t="s">
        <v>13868</v>
      </c>
      <c r="AM9347" t="s">
        <v>88</v>
      </c>
      <c r="AN9347" t="s">
        <v>88</v>
      </c>
      <c r="AO9347" t="s">
        <v>6748</v>
      </c>
      <c r="AP9347" t="s">
        <v>6748</v>
      </c>
      <c r="AQ9347">
        <v>2</v>
      </c>
      <c r="AR9347" t="s">
        <v>89</v>
      </c>
      <c r="AS9347" t="s">
        <v>90</v>
      </c>
      <c r="AT9347" t="s">
        <v>58</v>
      </c>
      <c r="AU9347" t="s">
        <v>68</v>
      </c>
      <c r="AV9347" t="s">
        <v>69</v>
      </c>
      <c r="AW9347" s="1">
        <v>27542</v>
      </c>
      <c r="AX9347">
        <v>1</v>
      </c>
    </row>
    <row r="9348" spans="1:50">
      <c r="B9348" t="str">
        <f>"110429104"</f>
        <v>110429104</v>
      </c>
      <c r="C9348" t="s">
        <v>50</v>
      </c>
      <c r="D9348" t="s">
        <v>9265</v>
      </c>
      <c r="E9348" t="s">
        <v>237</v>
      </c>
      <c r="F9348" t="s">
        <v>450</v>
      </c>
      <c r="G9348" t="s">
        <v>9786</v>
      </c>
      <c r="H9348" t="str">
        <f>"ΑΡΧΑΙΟΥ ΘΕΑΤΡΟΥ 54 Χαλκίδα Χαλκίδα"</f>
        <v>ΑΡΧΑΙΟΥ ΘΕΑΤΡΟΥ 54 Χαλκίδα Χαλκίδα</v>
      </c>
      <c r="I9348">
        <v>34008</v>
      </c>
      <c r="K9348">
        <v>6973241532</v>
      </c>
      <c r="M9348" t="s">
        <v>14179</v>
      </c>
      <c r="N9348" t="s">
        <v>683</v>
      </c>
      <c r="O9348" t="s">
        <v>684</v>
      </c>
      <c r="R9348" t="s">
        <v>159</v>
      </c>
      <c r="S9348">
        <v>1</v>
      </c>
      <c r="T9348" t="s">
        <v>8675</v>
      </c>
      <c r="U9348" s="1">
        <v>43348</v>
      </c>
      <c r="V9348" t="s">
        <v>89</v>
      </c>
      <c r="W9348" t="s">
        <v>90</v>
      </c>
      <c r="X9348" t="s">
        <v>58</v>
      </c>
      <c r="Y9348">
        <v>24</v>
      </c>
      <c r="Z9348" t="s">
        <v>59</v>
      </c>
      <c r="AA9348" t="s">
        <v>59</v>
      </c>
      <c r="AB9348" t="s">
        <v>59</v>
      </c>
      <c r="AC9348" t="s">
        <v>59</v>
      </c>
      <c r="AD9348" t="s">
        <v>59</v>
      </c>
      <c r="AF9348" s="1">
        <v>43348</v>
      </c>
      <c r="AG9348" t="s">
        <v>8645</v>
      </c>
      <c r="AH9348" t="s">
        <v>8646</v>
      </c>
      <c r="AI9348" t="str">
        <f>"9500115"</f>
        <v>9500115</v>
      </c>
      <c r="AJ9348" t="s">
        <v>14180</v>
      </c>
      <c r="AK9348">
        <v>2821081133</v>
      </c>
      <c r="AL9348" t="s">
        <v>14181</v>
      </c>
      <c r="AM9348" t="s">
        <v>88</v>
      </c>
      <c r="AN9348" t="s">
        <v>88</v>
      </c>
      <c r="AO9348" t="s">
        <v>6748</v>
      </c>
      <c r="AP9348" t="s">
        <v>14182</v>
      </c>
      <c r="AQ9348">
        <v>2</v>
      </c>
      <c r="AR9348" t="s">
        <v>89</v>
      </c>
      <c r="AS9348" t="s">
        <v>90</v>
      </c>
      <c r="AT9348" t="s">
        <v>58</v>
      </c>
      <c r="AU9348" t="s">
        <v>8673</v>
      </c>
      <c r="AV9348" t="s">
        <v>132</v>
      </c>
      <c r="AW9348" s="1">
        <v>27030</v>
      </c>
      <c r="AX9348">
        <v>1</v>
      </c>
    </row>
    <row r="9349" spans="1:50">
      <c r="B9349" t="str">
        <f>"141065189"</f>
        <v>141065189</v>
      </c>
      <c r="C9349" t="s">
        <v>50</v>
      </c>
      <c r="D9349" t="s">
        <v>14183</v>
      </c>
      <c r="E9349" t="s">
        <v>506</v>
      </c>
      <c r="F9349" t="s">
        <v>95</v>
      </c>
      <c r="G9349" t="s">
        <v>922</v>
      </c>
      <c r="H9349" t="str">
        <f>"ΕΣΠΕΡΙΔΩΝ 58 "</f>
        <v xml:space="preserve">ΕΣΠΕΡΙΔΩΝ 58 </v>
      </c>
      <c r="I9349">
        <v>17671</v>
      </c>
      <c r="J9349">
        <v>2109593223</v>
      </c>
      <c r="K9349">
        <v>6984757463</v>
      </c>
      <c r="N9349" t="s">
        <v>384</v>
      </c>
      <c r="O9349" t="s">
        <v>385</v>
      </c>
      <c r="R9349" t="s">
        <v>159</v>
      </c>
      <c r="S9349">
        <v>2</v>
      </c>
      <c r="T9349" t="s">
        <v>8675</v>
      </c>
      <c r="U9349" s="1">
        <v>43348</v>
      </c>
      <c r="V9349" t="s">
        <v>89</v>
      </c>
      <c r="W9349" t="s">
        <v>90</v>
      </c>
      <c r="X9349" t="s">
        <v>58</v>
      </c>
      <c r="Y9349">
        <v>24</v>
      </c>
      <c r="Z9349" t="s">
        <v>59</v>
      </c>
      <c r="AA9349" t="s">
        <v>59</v>
      </c>
      <c r="AB9349" t="s">
        <v>59</v>
      </c>
      <c r="AC9349" t="s">
        <v>59</v>
      </c>
      <c r="AD9349" t="s">
        <v>59</v>
      </c>
      <c r="AF9349" s="1">
        <v>43348</v>
      </c>
      <c r="AG9349" t="s">
        <v>8645</v>
      </c>
      <c r="AH9349" t="s">
        <v>8646</v>
      </c>
      <c r="AI9349" t="str">
        <f>"9500360"</f>
        <v>9500360</v>
      </c>
      <c r="AJ9349" t="s">
        <v>14022</v>
      </c>
      <c r="AK9349">
        <v>2821031253</v>
      </c>
      <c r="AL9349" t="s">
        <v>14023</v>
      </c>
      <c r="AM9349" t="s">
        <v>88</v>
      </c>
      <c r="AN9349" t="s">
        <v>88</v>
      </c>
      <c r="AO9349" t="s">
        <v>6785</v>
      </c>
      <c r="AP9349" t="s">
        <v>13932</v>
      </c>
      <c r="AQ9349">
        <v>3</v>
      </c>
      <c r="AR9349" t="s">
        <v>89</v>
      </c>
      <c r="AS9349" t="s">
        <v>90</v>
      </c>
      <c r="AT9349" t="s">
        <v>58</v>
      </c>
      <c r="AU9349" t="s">
        <v>8673</v>
      </c>
      <c r="AV9349" t="s">
        <v>132</v>
      </c>
      <c r="AW9349" s="1">
        <v>31174</v>
      </c>
      <c r="AX9349">
        <v>1</v>
      </c>
    </row>
    <row r="9350" spans="1:50">
      <c r="B9350" t="str">
        <f>"142536579"</f>
        <v>142536579</v>
      </c>
      <c r="C9350" t="s">
        <v>50</v>
      </c>
      <c r="D9350" t="s">
        <v>14183</v>
      </c>
      <c r="E9350" t="s">
        <v>1484</v>
      </c>
      <c r="F9350" t="s">
        <v>53</v>
      </c>
      <c r="G9350" t="s">
        <v>1740</v>
      </c>
      <c r="H9350" t="str">
        <f>"ΚΟΡΙΝΘΟΥ 342 ΠΑΤΡΑ"</f>
        <v>ΚΟΡΙΝΘΟΥ 342 ΠΑΤΡΑ</v>
      </c>
      <c r="I9350">
        <v>26222</v>
      </c>
      <c r="K9350">
        <v>6937379296</v>
      </c>
      <c r="M9350" t="s">
        <v>14184</v>
      </c>
      <c r="N9350" t="s">
        <v>8694</v>
      </c>
      <c r="O9350" t="s">
        <v>8695</v>
      </c>
      <c r="R9350" t="s">
        <v>159</v>
      </c>
      <c r="S9350">
        <v>4</v>
      </c>
      <c r="T9350" t="s">
        <v>9831</v>
      </c>
      <c r="U9350" s="1">
        <v>43348</v>
      </c>
      <c r="V9350" t="s">
        <v>89</v>
      </c>
      <c r="W9350" t="s">
        <v>90</v>
      </c>
      <c r="X9350" t="s">
        <v>58</v>
      </c>
      <c r="Y9350">
        <v>24</v>
      </c>
      <c r="Z9350" t="s">
        <v>59</v>
      </c>
      <c r="AA9350" t="s">
        <v>59</v>
      </c>
      <c r="AB9350" t="s">
        <v>59</v>
      </c>
      <c r="AC9350" t="s">
        <v>59</v>
      </c>
      <c r="AD9350" t="s">
        <v>59</v>
      </c>
      <c r="AF9350" s="1">
        <v>43348</v>
      </c>
      <c r="AG9350" t="s">
        <v>60</v>
      </c>
      <c r="AH9350" t="s">
        <v>61</v>
      </c>
      <c r="AI9350" t="str">
        <f>"9000657"</f>
        <v>9000657</v>
      </c>
      <c r="AJ9350" t="s">
        <v>86</v>
      </c>
      <c r="AK9350">
        <v>2821054390</v>
      </c>
      <c r="AL9350" t="s">
        <v>87</v>
      </c>
      <c r="AM9350" t="s">
        <v>88</v>
      </c>
      <c r="AN9350" t="s">
        <v>88</v>
      </c>
      <c r="AO9350" t="s">
        <v>88</v>
      </c>
      <c r="AP9350" t="s">
        <v>88</v>
      </c>
      <c r="AR9350" t="s">
        <v>89</v>
      </c>
      <c r="AS9350" t="s">
        <v>90</v>
      </c>
      <c r="AT9350" t="s">
        <v>58</v>
      </c>
      <c r="AU9350" t="s">
        <v>350</v>
      </c>
      <c r="AV9350" t="s">
        <v>132</v>
      </c>
      <c r="AW9350" s="1">
        <v>32673</v>
      </c>
      <c r="AX9350">
        <v>0</v>
      </c>
    </row>
    <row r="9351" spans="1:50">
      <c r="B9351" t="str">
        <f>"133494052"</f>
        <v>133494052</v>
      </c>
      <c r="C9351" t="s">
        <v>50</v>
      </c>
      <c r="D9351" t="s">
        <v>14185</v>
      </c>
      <c r="E9351" t="s">
        <v>83</v>
      </c>
      <c r="F9351" t="s">
        <v>564</v>
      </c>
      <c r="G9351" t="s">
        <v>600</v>
      </c>
      <c r="H9351" t="str">
        <f>"ΝΙΚΗ ΦΛΩΡΙΝΑ"</f>
        <v>ΝΙΚΗ ΦΛΩΡΙΝΑ</v>
      </c>
      <c r="I9351">
        <v>53100</v>
      </c>
      <c r="J9351">
        <v>2385092689</v>
      </c>
      <c r="K9351">
        <v>6973006203</v>
      </c>
      <c r="N9351" t="s">
        <v>176</v>
      </c>
      <c r="O9351" t="s">
        <v>177</v>
      </c>
      <c r="R9351" t="s">
        <v>159</v>
      </c>
      <c r="S9351">
        <v>2</v>
      </c>
      <c r="T9351" t="s">
        <v>9034</v>
      </c>
      <c r="U9351" s="1">
        <v>43377</v>
      </c>
      <c r="V9351" t="s">
        <v>89</v>
      </c>
      <c r="W9351" t="s">
        <v>90</v>
      </c>
      <c r="X9351" t="s">
        <v>58</v>
      </c>
      <c r="Y9351">
        <v>24</v>
      </c>
      <c r="Z9351" t="s">
        <v>59</v>
      </c>
      <c r="AA9351" t="s">
        <v>59</v>
      </c>
      <c r="AB9351" t="s">
        <v>59</v>
      </c>
      <c r="AC9351" t="s">
        <v>59</v>
      </c>
      <c r="AD9351" t="s">
        <v>59</v>
      </c>
      <c r="AF9351" s="1">
        <v>43377</v>
      </c>
      <c r="AG9351" t="s">
        <v>8645</v>
      </c>
      <c r="AH9351" t="s">
        <v>8646</v>
      </c>
      <c r="AI9351" t="str">
        <f>"9500205"</f>
        <v>9500205</v>
      </c>
      <c r="AJ9351" t="s">
        <v>13861</v>
      </c>
      <c r="AK9351">
        <v>2822031289</v>
      </c>
      <c r="AL9351" t="s">
        <v>13862</v>
      </c>
      <c r="AM9351" t="s">
        <v>88</v>
      </c>
      <c r="AN9351" t="s">
        <v>6744</v>
      </c>
      <c r="AO9351" t="s">
        <v>13863</v>
      </c>
      <c r="AP9351" t="s">
        <v>13864</v>
      </c>
      <c r="AQ9351">
        <v>9</v>
      </c>
      <c r="AR9351" t="s">
        <v>89</v>
      </c>
      <c r="AS9351" t="s">
        <v>90</v>
      </c>
      <c r="AT9351" t="s">
        <v>58</v>
      </c>
      <c r="AU9351" t="s">
        <v>8673</v>
      </c>
      <c r="AV9351" t="s">
        <v>132</v>
      </c>
      <c r="AW9351" s="1">
        <v>30324</v>
      </c>
      <c r="AX9351">
        <v>1</v>
      </c>
    </row>
    <row r="9352" spans="1:50">
      <c r="A9352">
        <v>615405</v>
      </c>
      <c r="B9352" t="str">
        <f>"105725365"</f>
        <v>105725365</v>
      </c>
      <c r="C9352" t="s">
        <v>50</v>
      </c>
      <c r="D9352" t="s">
        <v>14186</v>
      </c>
      <c r="E9352" t="s">
        <v>14187</v>
      </c>
      <c r="F9352" t="s">
        <v>760</v>
      </c>
      <c r="G9352" t="s">
        <v>83</v>
      </c>
      <c r="H9352" t="str">
        <f>"ΑΓ. ΝΕΚΤΑΡΙΟΥ 20 ΧΑΝΙΑ"</f>
        <v>ΑΓ. ΝΕΚΤΑΡΙΟΥ 20 ΧΑΝΙΑ</v>
      </c>
      <c r="I9352">
        <v>73300</v>
      </c>
      <c r="J9352">
        <v>2821113358</v>
      </c>
      <c r="K9352">
        <v>6974043971</v>
      </c>
      <c r="N9352" t="s">
        <v>1525</v>
      </c>
      <c r="O9352" t="s">
        <v>1526</v>
      </c>
      <c r="R9352" t="s">
        <v>57</v>
      </c>
      <c r="S9352">
        <v>6</v>
      </c>
      <c r="T9352">
        <v>598</v>
      </c>
      <c r="U9352" s="1">
        <v>39310</v>
      </c>
      <c r="V9352" t="s">
        <v>89</v>
      </c>
      <c r="W9352" t="s">
        <v>90</v>
      </c>
      <c r="X9352" t="s">
        <v>58</v>
      </c>
      <c r="Y9352">
        <v>25</v>
      </c>
      <c r="Z9352" t="s">
        <v>59</v>
      </c>
      <c r="AA9352" t="s">
        <v>59</v>
      </c>
      <c r="AB9352" t="s">
        <v>59</v>
      </c>
      <c r="AC9352" t="s">
        <v>59</v>
      </c>
      <c r="AD9352" t="s">
        <v>59</v>
      </c>
      <c r="AF9352" s="1">
        <v>39328</v>
      </c>
      <c r="AG9352" t="s">
        <v>8651</v>
      </c>
      <c r="AH9352" t="s">
        <v>8652</v>
      </c>
      <c r="AI9352" t="str">
        <f>"9500370"</f>
        <v>9500370</v>
      </c>
      <c r="AJ9352" t="s">
        <v>13941</v>
      </c>
      <c r="AK9352">
        <v>2821093892</v>
      </c>
      <c r="AL9352" t="s">
        <v>13942</v>
      </c>
      <c r="AM9352" t="s">
        <v>88</v>
      </c>
      <c r="AN9352" t="s">
        <v>88</v>
      </c>
      <c r="AO9352" t="s">
        <v>6733</v>
      </c>
      <c r="AP9352" t="s">
        <v>6755</v>
      </c>
      <c r="AQ9352">
        <v>2</v>
      </c>
      <c r="AR9352" t="s">
        <v>89</v>
      </c>
      <c r="AS9352" t="s">
        <v>90</v>
      </c>
      <c r="AT9352" t="s">
        <v>58</v>
      </c>
      <c r="AU9352" t="s">
        <v>68</v>
      </c>
      <c r="AV9352" t="s">
        <v>69</v>
      </c>
      <c r="AW9352" s="1">
        <v>28089</v>
      </c>
      <c r="AX9352">
        <v>1</v>
      </c>
    </row>
    <row r="9353" spans="1:50">
      <c r="A9353">
        <v>561768</v>
      </c>
      <c r="B9353" t="str">
        <f>"024397853"</f>
        <v>024397853</v>
      </c>
      <c r="C9353" t="s">
        <v>50</v>
      </c>
      <c r="D9353" t="s">
        <v>14188</v>
      </c>
      <c r="E9353" t="s">
        <v>83</v>
      </c>
      <c r="F9353" t="s">
        <v>95</v>
      </c>
      <c r="G9353" t="s">
        <v>52</v>
      </c>
      <c r="H9353" t="str">
        <f>"Α.ΚΟΛΟΓΕΡΗ 20 ΧΑΝΙΑ"</f>
        <v>Α.ΚΟΛΟΓΕΡΗ 20 ΧΑΝΙΑ</v>
      </c>
      <c r="I9353">
        <v>73136</v>
      </c>
      <c r="J9353">
        <v>2821087037</v>
      </c>
      <c r="K9353">
        <v>6978186765</v>
      </c>
      <c r="N9353" t="s">
        <v>1525</v>
      </c>
      <c r="O9353" t="s">
        <v>1526</v>
      </c>
      <c r="R9353" t="s">
        <v>57</v>
      </c>
      <c r="S9353">
        <v>19</v>
      </c>
      <c r="T9353">
        <v>159</v>
      </c>
      <c r="U9353" s="1">
        <v>32385</v>
      </c>
      <c r="V9353" t="s">
        <v>89</v>
      </c>
      <c r="W9353" t="s">
        <v>90</v>
      </c>
      <c r="X9353" t="s">
        <v>58</v>
      </c>
      <c r="Y9353">
        <v>25</v>
      </c>
      <c r="Z9353" t="s">
        <v>59</v>
      </c>
      <c r="AA9353" t="s">
        <v>59</v>
      </c>
      <c r="AB9353" t="s">
        <v>59</v>
      </c>
      <c r="AC9353" t="s">
        <v>59</v>
      </c>
      <c r="AD9353" t="s">
        <v>59</v>
      </c>
      <c r="AF9353" s="1">
        <v>32387</v>
      </c>
      <c r="AG9353" t="s">
        <v>8651</v>
      </c>
      <c r="AH9353" t="s">
        <v>8652</v>
      </c>
      <c r="AI9353" t="str">
        <f>"9500136"</f>
        <v>9500136</v>
      </c>
      <c r="AJ9353" t="s">
        <v>14189</v>
      </c>
      <c r="AK9353">
        <v>2821092159</v>
      </c>
      <c r="AL9353" t="s">
        <v>14190</v>
      </c>
      <c r="AM9353" t="s">
        <v>88</v>
      </c>
      <c r="AN9353" t="s">
        <v>88</v>
      </c>
      <c r="AO9353" t="s">
        <v>88</v>
      </c>
      <c r="AP9353" t="s">
        <v>88</v>
      </c>
      <c r="AQ9353">
        <v>1</v>
      </c>
      <c r="AR9353" t="s">
        <v>89</v>
      </c>
      <c r="AS9353" t="s">
        <v>90</v>
      </c>
      <c r="AT9353" t="s">
        <v>58</v>
      </c>
      <c r="AU9353" t="s">
        <v>68</v>
      </c>
      <c r="AV9353" t="s">
        <v>69</v>
      </c>
      <c r="AW9353" s="1">
        <v>23315</v>
      </c>
      <c r="AX9353">
        <v>1</v>
      </c>
    </row>
    <row r="9354" spans="1:50">
      <c r="A9354">
        <v>586792</v>
      </c>
      <c r="B9354" t="str">
        <f>"052581776"</f>
        <v>052581776</v>
      </c>
      <c r="C9354" t="s">
        <v>50</v>
      </c>
      <c r="D9354" t="s">
        <v>14191</v>
      </c>
      <c r="E9354" t="s">
        <v>52</v>
      </c>
      <c r="F9354" t="s">
        <v>383</v>
      </c>
      <c r="G9354" t="s">
        <v>54</v>
      </c>
      <c r="H9354" t="str">
        <f>" "</f>
        <v xml:space="preserve"> </v>
      </c>
      <c r="N9354" t="s">
        <v>615</v>
      </c>
      <c r="O9354" t="s">
        <v>616</v>
      </c>
      <c r="R9354" t="s">
        <v>57</v>
      </c>
      <c r="S9354">
        <v>12</v>
      </c>
      <c r="T9354">
        <v>165</v>
      </c>
      <c r="U9354" s="1">
        <v>36040</v>
      </c>
      <c r="V9354" t="s">
        <v>89</v>
      </c>
      <c r="W9354" t="s">
        <v>90</v>
      </c>
      <c r="X9354" t="s">
        <v>58</v>
      </c>
      <c r="Y9354">
        <v>21</v>
      </c>
      <c r="Z9354" t="s">
        <v>59</v>
      </c>
      <c r="AA9354" t="s">
        <v>59</v>
      </c>
      <c r="AB9354" t="s">
        <v>59</v>
      </c>
      <c r="AC9354" t="s">
        <v>59</v>
      </c>
      <c r="AD9354" t="s">
        <v>59</v>
      </c>
      <c r="AF9354" s="1">
        <v>36040</v>
      </c>
      <c r="AG9354" t="s">
        <v>8645</v>
      </c>
      <c r="AH9354" t="s">
        <v>8646</v>
      </c>
      <c r="AI9354" t="str">
        <f>"9500040"</f>
        <v>9500040</v>
      </c>
      <c r="AJ9354" t="s">
        <v>13906</v>
      </c>
      <c r="AK9354">
        <v>2821045356</v>
      </c>
      <c r="AL9354" t="s">
        <v>13907</v>
      </c>
      <c r="AM9354" t="s">
        <v>88</v>
      </c>
      <c r="AN9354" t="s">
        <v>88</v>
      </c>
      <c r="AO9354" t="s">
        <v>88</v>
      </c>
      <c r="AP9354" t="s">
        <v>88</v>
      </c>
      <c r="AQ9354">
        <v>1</v>
      </c>
      <c r="AR9354" t="s">
        <v>89</v>
      </c>
      <c r="AS9354" t="s">
        <v>90</v>
      </c>
      <c r="AT9354" t="s">
        <v>58</v>
      </c>
      <c r="AU9354" t="s">
        <v>68</v>
      </c>
      <c r="AV9354" t="s">
        <v>69</v>
      </c>
      <c r="AW9354" s="1">
        <v>25557</v>
      </c>
      <c r="AX9354">
        <v>1</v>
      </c>
    </row>
    <row r="9355" spans="1:50">
      <c r="B9355" t="str">
        <f>"070657120"</f>
        <v>070657120</v>
      </c>
      <c r="C9355" t="s">
        <v>50</v>
      </c>
      <c r="D9355" t="s">
        <v>14192</v>
      </c>
      <c r="E9355" t="s">
        <v>14193</v>
      </c>
      <c r="F9355" t="s">
        <v>95</v>
      </c>
      <c r="G9355" t="s">
        <v>755</v>
      </c>
      <c r="H9355" t="str">
        <f>" "</f>
        <v xml:space="preserve"> </v>
      </c>
      <c r="N9355" t="s">
        <v>1525</v>
      </c>
      <c r="O9355" t="s">
        <v>1526</v>
      </c>
      <c r="R9355" t="s">
        <v>121</v>
      </c>
      <c r="S9355">
        <v>1</v>
      </c>
      <c r="T9355" t="s">
        <v>8670</v>
      </c>
      <c r="U9355" s="1">
        <v>43348</v>
      </c>
      <c r="V9355" t="s">
        <v>89</v>
      </c>
      <c r="W9355" t="s">
        <v>90</v>
      </c>
      <c r="X9355" t="s">
        <v>58</v>
      </c>
      <c r="Y9355">
        <v>25</v>
      </c>
      <c r="Z9355" t="s">
        <v>59</v>
      </c>
      <c r="AD9355" t="s">
        <v>59</v>
      </c>
      <c r="AF9355" s="1">
        <v>43348</v>
      </c>
      <c r="AG9355" t="s">
        <v>8651</v>
      </c>
      <c r="AH9355" t="s">
        <v>8652</v>
      </c>
      <c r="AI9355" t="str">
        <f>"9500397"</f>
        <v>9500397</v>
      </c>
      <c r="AJ9355" t="s">
        <v>14194</v>
      </c>
      <c r="AK9355">
        <v>2825092304</v>
      </c>
      <c r="AL9355" t="s">
        <v>14195</v>
      </c>
      <c r="AM9355" t="s">
        <v>88</v>
      </c>
      <c r="AN9355" t="s">
        <v>6995</v>
      </c>
      <c r="AO9355" t="s">
        <v>6995</v>
      </c>
      <c r="AP9355" t="s">
        <v>14196</v>
      </c>
      <c r="AQ9355">
        <v>10</v>
      </c>
      <c r="AR9355" t="s">
        <v>89</v>
      </c>
      <c r="AS9355" t="s">
        <v>90</v>
      </c>
      <c r="AT9355" t="s">
        <v>58</v>
      </c>
      <c r="AU9355" t="s">
        <v>8673</v>
      </c>
      <c r="AV9355" t="s">
        <v>132</v>
      </c>
      <c r="AW9355" s="1">
        <v>29104</v>
      </c>
      <c r="AX9355">
        <v>1</v>
      </c>
    </row>
    <row r="9356" spans="1:50">
      <c r="A9356">
        <v>620635</v>
      </c>
      <c r="B9356" t="str">
        <f>"144555577"</f>
        <v>144555577</v>
      </c>
      <c r="C9356" t="s">
        <v>50</v>
      </c>
      <c r="D9356" t="s">
        <v>14197</v>
      </c>
      <c r="E9356" t="s">
        <v>237</v>
      </c>
      <c r="F9356" t="s">
        <v>53</v>
      </c>
      <c r="G9356" t="s">
        <v>83</v>
      </c>
      <c r="H9356" t="str">
        <f>"ΝΑΥΑΡΙΝΟΥ 21 ΑΓΙΟΙ ΑΝΑΡΓΥΡΟΙ"</f>
        <v>ΝΑΥΑΡΙΝΟΥ 21 ΑΓΙΟΙ ΑΝΑΡΓΥΡΟΙ</v>
      </c>
      <c r="I9356">
        <v>13562</v>
      </c>
      <c r="J9356">
        <v>2102635871</v>
      </c>
      <c r="K9356">
        <v>6973517073</v>
      </c>
      <c r="N9356" t="s">
        <v>615</v>
      </c>
      <c r="O9356" t="s">
        <v>616</v>
      </c>
      <c r="R9356" t="s">
        <v>57</v>
      </c>
      <c r="S9356">
        <v>5</v>
      </c>
      <c r="T9356">
        <v>653</v>
      </c>
      <c r="U9356" s="1">
        <v>40043</v>
      </c>
      <c r="V9356" t="s">
        <v>89</v>
      </c>
      <c r="W9356" t="s">
        <v>90</v>
      </c>
      <c r="X9356" t="s">
        <v>58</v>
      </c>
      <c r="Y9356">
        <v>23</v>
      </c>
      <c r="Z9356" t="s">
        <v>59</v>
      </c>
      <c r="AA9356" t="s">
        <v>59</v>
      </c>
      <c r="AB9356" t="s">
        <v>59</v>
      </c>
      <c r="AC9356" t="s">
        <v>59</v>
      </c>
      <c r="AD9356" t="s">
        <v>59</v>
      </c>
      <c r="AF9356" s="1">
        <v>40045</v>
      </c>
      <c r="AG9356" t="s">
        <v>8645</v>
      </c>
      <c r="AH9356" t="s">
        <v>8646</v>
      </c>
      <c r="AI9356" t="str">
        <f>"9500259"</f>
        <v>9500259</v>
      </c>
      <c r="AJ9356" t="s">
        <v>14017</v>
      </c>
      <c r="AK9356">
        <v>2823041459</v>
      </c>
      <c r="AL9356" t="s">
        <v>14018</v>
      </c>
      <c r="AM9356" t="s">
        <v>88</v>
      </c>
      <c r="AN9356" t="s">
        <v>6824</v>
      </c>
      <c r="AO9356" t="s">
        <v>6870</v>
      </c>
      <c r="AP9356" t="s">
        <v>14019</v>
      </c>
      <c r="AQ9356">
        <v>11</v>
      </c>
      <c r="AR9356" t="s">
        <v>89</v>
      </c>
      <c r="AS9356" t="s">
        <v>90</v>
      </c>
      <c r="AT9356" t="s">
        <v>58</v>
      </c>
      <c r="AU9356" t="s">
        <v>68</v>
      </c>
      <c r="AV9356" t="s">
        <v>69</v>
      </c>
      <c r="AW9356" s="1">
        <v>30887</v>
      </c>
      <c r="AX9356">
        <v>1</v>
      </c>
    </row>
    <row r="9357" spans="1:50">
      <c r="B9357" t="str">
        <f>"122090353"</f>
        <v>122090353</v>
      </c>
      <c r="C9357" t="s">
        <v>105</v>
      </c>
      <c r="D9357" t="s">
        <v>14198</v>
      </c>
      <c r="E9357" t="s">
        <v>99</v>
      </c>
      <c r="F9357" t="s">
        <v>1543</v>
      </c>
      <c r="G9357" t="s">
        <v>221</v>
      </c>
      <c r="H9357" t="str">
        <f>" "</f>
        <v xml:space="preserve"> </v>
      </c>
      <c r="N9357" t="s">
        <v>683</v>
      </c>
      <c r="O9357" t="s">
        <v>684</v>
      </c>
      <c r="R9357" t="s">
        <v>121</v>
      </c>
      <c r="S9357">
        <v>1</v>
      </c>
      <c r="T9357" t="s">
        <v>8675</v>
      </c>
      <c r="U9357" s="1">
        <v>43348</v>
      </c>
      <c r="V9357" t="s">
        <v>89</v>
      </c>
      <c r="W9357" t="s">
        <v>90</v>
      </c>
      <c r="X9357" t="s">
        <v>58</v>
      </c>
      <c r="Y9357">
        <v>24</v>
      </c>
      <c r="Z9357" t="s">
        <v>59</v>
      </c>
      <c r="AA9357" t="s">
        <v>59</v>
      </c>
      <c r="AB9357" t="s">
        <v>59</v>
      </c>
      <c r="AD9357" t="s">
        <v>59</v>
      </c>
      <c r="AF9357" s="1">
        <v>43348</v>
      </c>
      <c r="AG9357" t="s">
        <v>8645</v>
      </c>
      <c r="AH9357" t="s">
        <v>14199</v>
      </c>
      <c r="AI9357" t="str">
        <f>"9500140"</f>
        <v>9500140</v>
      </c>
      <c r="AJ9357" t="s">
        <v>14200</v>
      </c>
      <c r="AK9357">
        <v>2821097348</v>
      </c>
      <c r="AL9357" t="s">
        <v>14201</v>
      </c>
      <c r="AM9357" t="s">
        <v>88</v>
      </c>
      <c r="AN9357" t="s">
        <v>88</v>
      </c>
      <c r="AO9357" t="s">
        <v>88</v>
      </c>
      <c r="AP9357" t="s">
        <v>88</v>
      </c>
      <c r="AQ9357">
        <v>1</v>
      </c>
      <c r="AR9357" t="s">
        <v>89</v>
      </c>
      <c r="AS9357" t="s">
        <v>90</v>
      </c>
      <c r="AT9357" t="s">
        <v>58</v>
      </c>
      <c r="AU9357" t="s">
        <v>8673</v>
      </c>
      <c r="AV9357" t="s">
        <v>132</v>
      </c>
      <c r="AW9357" s="1">
        <v>32664</v>
      </c>
      <c r="AX9357">
        <v>1</v>
      </c>
    </row>
    <row r="9358" spans="1:50">
      <c r="B9358" t="str">
        <f>"151557794"</f>
        <v>151557794</v>
      </c>
      <c r="C9358" t="s">
        <v>50</v>
      </c>
      <c r="D9358" t="s">
        <v>974</v>
      </c>
      <c r="E9358" t="s">
        <v>4671</v>
      </c>
      <c r="F9358" t="s">
        <v>99</v>
      </c>
      <c r="G9358" t="s">
        <v>83</v>
      </c>
      <c r="H9358" t="str">
        <f>" "</f>
        <v xml:space="preserve"> </v>
      </c>
      <c r="N9358" t="s">
        <v>8834</v>
      </c>
      <c r="O9358" t="s">
        <v>8695</v>
      </c>
      <c r="R9358" t="s">
        <v>159</v>
      </c>
      <c r="S9358">
        <v>3</v>
      </c>
      <c r="T9358" t="s">
        <v>8835</v>
      </c>
      <c r="U9358" s="1">
        <v>43348</v>
      </c>
      <c r="V9358" t="s">
        <v>89</v>
      </c>
      <c r="W9358" t="s">
        <v>90</v>
      </c>
      <c r="X9358" t="s">
        <v>58</v>
      </c>
      <c r="Y9358">
        <v>24</v>
      </c>
      <c r="Z9358" t="s">
        <v>59</v>
      </c>
      <c r="AA9358" t="s">
        <v>59</v>
      </c>
      <c r="AB9358" t="s">
        <v>59</v>
      </c>
      <c r="AD9358" t="s">
        <v>59</v>
      </c>
      <c r="AF9358" s="1">
        <v>43348</v>
      </c>
      <c r="AG9358" t="s">
        <v>8645</v>
      </c>
      <c r="AH9358" t="s">
        <v>8646</v>
      </c>
      <c r="AI9358" t="str">
        <f>"9500017"</f>
        <v>9500017</v>
      </c>
      <c r="AJ9358" t="s">
        <v>13873</v>
      </c>
      <c r="AK9358">
        <v>2825083173</v>
      </c>
      <c r="AL9358" t="s">
        <v>13874</v>
      </c>
      <c r="AM9358" t="s">
        <v>88</v>
      </c>
      <c r="AN9358" t="s">
        <v>6775</v>
      </c>
      <c r="AO9358" t="s">
        <v>11883</v>
      </c>
      <c r="AP9358" t="s">
        <v>13875</v>
      </c>
      <c r="AQ9358">
        <v>7</v>
      </c>
      <c r="AR9358" t="s">
        <v>89</v>
      </c>
      <c r="AS9358" t="s">
        <v>90</v>
      </c>
      <c r="AT9358" t="s">
        <v>58</v>
      </c>
      <c r="AU9358" t="s">
        <v>131</v>
      </c>
      <c r="AV9358" t="s">
        <v>132</v>
      </c>
      <c r="AW9358" s="1">
        <v>32913</v>
      </c>
      <c r="AX9358">
        <v>1</v>
      </c>
    </row>
    <row r="9359" spans="1:50">
      <c r="A9359">
        <v>571082</v>
      </c>
      <c r="B9359" t="str">
        <f>"050793102"</f>
        <v>050793102</v>
      </c>
      <c r="C9359" t="s">
        <v>50</v>
      </c>
      <c r="D9359" t="s">
        <v>974</v>
      </c>
      <c r="E9359" t="s">
        <v>96</v>
      </c>
      <c r="F9359" t="s">
        <v>92</v>
      </c>
      <c r="G9359" t="s">
        <v>109</v>
      </c>
      <c r="H9359" t="str">
        <f>"ΛΙΣΟΥ 17 ΧΑΝΙΑ"</f>
        <v>ΛΙΣΟΥ 17 ΧΑΝΙΑ</v>
      </c>
      <c r="I9359">
        <v>73135</v>
      </c>
      <c r="J9359">
        <v>2821070158</v>
      </c>
      <c r="K9359">
        <v>6974331013</v>
      </c>
      <c r="M9359" t="s">
        <v>14107</v>
      </c>
      <c r="N9359" t="s">
        <v>615</v>
      </c>
      <c r="O9359" t="s">
        <v>616</v>
      </c>
      <c r="R9359" t="s">
        <v>57</v>
      </c>
      <c r="S9359">
        <v>14</v>
      </c>
      <c r="T9359">
        <v>138</v>
      </c>
      <c r="U9359" s="1">
        <v>34206</v>
      </c>
      <c r="V9359" t="s">
        <v>89</v>
      </c>
      <c r="W9359" t="s">
        <v>90</v>
      </c>
      <c r="X9359" t="s">
        <v>58</v>
      </c>
      <c r="Y9359">
        <v>21</v>
      </c>
      <c r="Z9359" t="s">
        <v>59</v>
      </c>
      <c r="AA9359" t="s">
        <v>59</v>
      </c>
      <c r="AB9359" t="s">
        <v>59</v>
      </c>
      <c r="AC9359" t="s">
        <v>59</v>
      </c>
      <c r="AD9359" t="s">
        <v>59</v>
      </c>
      <c r="AF9359" s="1">
        <v>34206</v>
      </c>
      <c r="AG9359" t="s">
        <v>8645</v>
      </c>
      <c r="AH9359" t="s">
        <v>8646</v>
      </c>
      <c r="AI9359" t="str">
        <f>"9500315"</f>
        <v>9500315</v>
      </c>
      <c r="AJ9359" t="s">
        <v>14174</v>
      </c>
      <c r="AK9359">
        <v>2821040565</v>
      </c>
      <c r="AL9359" t="s">
        <v>14175</v>
      </c>
      <c r="AM9359" t="s">
        <v>88</v>
      </c>
      <c r="AN9359" t="s">
        <v>88</v>
      </c>
      <c r="AO9359" t="s">
        <v>88</v>
      </c>
      <c r="AP9359" t="s">
        <v>88</v>
      </c>
      <c r="AQ9359">
        <v>1</v>
      </c>
      <c r="AR9359" t="s">
        <v>89</v>
      </c>
      <c r="AS9359" t="s">
        <v>90</v>
      </c>
      <c r="AT9359" t="s">
        <v>58</v>
      </c>
      <c r="AU9359" t="s">
        <v>68</v>
      </c>
      <c r="AV9359" t="s">
        <v>69</v>
      </c>
      <c r="AW9359" s="1">
        <v>24192</v>
      </c>
      <c r="AX9359">
        <v>1</v>
      </c>
    </row>
    <row r="9360" spans="1:50">
      <c r="A9360">
        <v>603947</v>
      </c>
      <c r="B9360" t="str">
        <f>"078321932"</f>
        <v>078321932</v>
      </c>
      <c r="C9360" t="s">
        <v>105</v>
      </c>
      <c r="D9360" t="s">
        <v>978</v>
      </c>
      <c r="E9360" t="s">
        <v>95</v>
      </c>
      <c r="F9360" t="s">
        <v>154</v>
      </c>
      <c r="G9360" t="s">
        <v>3671</v>
      </c>
      <c r="H9360" t="str">
        <f>"Α.ΜΑΚΑΡΙΟΥ 10 ΙΩΑΝΝΙΝΑ"</f>
        <v>Α.ΜΑΚΑΡΙΟΥ 10 ΙΩΑΝΝΙΝΑ</v>
      </c>
      <c r="J9360">
        <v>2651020190</v>
      </c>
      <c r="K9360">
        <v>6986918941</v>
      </c>
      <c r="N9360" t="s">
        <v>615</v>
      </c>
      <c r="O9360" t="s">
        <v>616</v>
      </c>
      <c r="R9360" t="s">
        <v>57</v>
      </c>
      <c r="S9360">
        <v>8</v>
      </c>
      <c r="T9360">
        <v>231</v>
      </c>
      <c r="U9360" s="1">
        <v>38230</v>
      </c>
      <c r="V9360" t="s">
        <v>89</v>
      </c>
      <c r="W9360" t="s">
        <v>90</v>
      </c>
      <c r="X9360" t="s">
        <v>58</v>
      </c>
      <c r="Y9360">
        <v>22</v>
      </c>
      <c r="Z9360" t="s">
        <v>59</v>
      </c>
      <c r="AA9360" t="s">
        <v>59</v>
      </c>
      <c r="AB9360" t="s">
        <v>59</v>
      </c>
      <c r="AC9360" t="s">
        <v>59</v>
      </c>
      <c r="AD9360" t="s">
        <v>59</v>
      </c>
      <c r="AF9360" s="1">
        <v>38230</v>
      </c>
      <c r="AG9360" t="s">
        <v>8645</v>
      </c>
      <c r="AH9360" t="s">
        <v>8646</v>
      </c>
      <c r="AI9360" t="str">
        <f>"9500147"</f>
        <v>9500147</v>
      </c>
      <c r="AJ9360" t="s">
        <v>14008</v>
      </c>
      <c r="AK9360">
        <v>2821094573</v>
      </c>
      <c r="AL9360" t="s">
        <v>14009</v>
      </c>
      <c r="AM9360" t="s">
        <v>88</v>
      </c>
      <c r="AN9360" t="s">
        <v>88</v>
      </c>
      <c r="AO9360" t="s">
        <v>88</v>
      </c>
      <c r="AP9360" t="s">
        <v>88</v>
      </c>
      <c r="AQ9360">
        <v>1</v>
      </c>
      <c r="AR9360" t="s">
        <v>89</v>
      </c>
      <c r="AS9360" t="s">
        <v>90</v>
      </c>
      <c r="AT9360" t="s">
        <v>58</v>
      </c>
      <c r="AU9360" t="s">
        <v>68</v>
      </c>
      <c r="AV9360" t="s">
        <v>69</v>
      </c>
      <c r="AW9360" s="1">
        <v>26278</v>
      </c>
      <c r="AX9360">
        <v>1</v>
      </c>
    </row>
    <row r="9361" spans="1:50">
      <c r="A9361">
        <v>622213</v>
      </c>
      <c r="B9361" t="str">
        <f>"073767500"</f>
        <v>073767500</v>
      </c>
      <c r="C9361" t="s">
        <v>50</v>
      </c>
      <c r="D9361" t="s">
        <v>7047</v>
      </c>
      <c r="E9361" t="s">
        <v>143</v>
      </c>
      <c r="F9361" t="s">
        <v>564</v>
      </c>
      <c r="G9361" t="s">
        <v>11701</v>
      </c>
      <c r="H9361" t="str">
        <f>"Δ.ΜΙΧΕΛΟΓΙΑΝΝΗ 35 ΧΑΝΙΑ"</f>
        <v>Δ.ΜΙΧΕΛΟΓΙΑΝΝΗ 35 ΧΑΝΙΑ</v>
      </c>
      <c r="I9361">
        <v>73133</v>
      </c>
      <c r="J9361">
        <v>2821057940</v>
      </c>
      <c r="K9361">
        <v>6947541717</v>
      </c>
      <c r="N9361" t="s">
        <v>1525</v>
      </c>
      <c r="O9361" t="s">
        <v>1526</v>
      </c>
      <c r="R9361" t="s">
        <v>57</v>
      </c>
      <c r="S9361">
        <v>5</v>
      </c>
      <c r="T9361">
        <v>653</v>
      </c>
      <c r="U9361" s="1">
        <v>40043</v>
      </c>
      <c r="V9361" t="s">
        <v>89</v>
      </c>
      <c r="W9361" t="s">
        <v>90</v>
      </c>
      <c r="X9361" t="s">
        <v>58</v>
      </c>
      <c r="Y9361">
        <v>25</v>
      </c>
      <c r="Z9361" t="s">
        <v>59</v>
      </c>
      <c r="AA9361" t="s">
        <v>59</v>
      </c>
      <c r="AB9361" t="s">
        <v>59</v>
      </c>
      <c r="AC9361" t="s">
        <v>59</v>
      </c>
      <c r="AD9361" t="s">
        <v>59</v>
      </c>
      <c r="AF9361" s="1">
        <v>40043</v>
      </c>
      <c r="AG9361" t="s">
        <v>8651</v>
      </c>
      <c r="AH9361" t="s">
        <v>8652</v>
      </c>
      <c r="AI9361" t="str">
        <f>"9500146"</f>
        <v>9500146</v>
      </c>
      <c r="AJ9361" t="s">
        <v>14202</v>
      </c>
      <c r="AK9361">
        <v>2821088080</v>
      </c>
      <c r="AL9361" t="s">
        <v>14203</v>
      </c>
      <c r="AM9361" t="s">
        <v>88</v>
      </c>
      <c r="AN9361" t="s">
        <v>88</v>
      </c>
      <c r="AO9361" t="s">
        <v>88</v>
      </c>
      <c r="AP9361" t="s">
        <v>88</v>
      </c>
      <c r="AQ9361">
        <v>1</v>
      </c>
      <c r="AR9361" t="s">
        <v>89</v>
      </c>
      <c r="AS9361" t="s">
        <v>90</v>
      </c>
      <c r="AT9361" t="s">
        <v>58</v>
      </c>
      <c r="AU9361" t="s">
        <v>68</v>
      </c>
      <c r="AV9361" t="s">
        <v>69</v>
      </c>
      <c r="AW9361" s="1">
        <v>25375</v>
      </c>
      <c r="AX9361">
        <v>1</v>
      </c>
    </row>
    <row r="9362" spans="1:50">
      <c r="A9362">
        <v>701453</v>
      </c>
      <c r="B9362" t="str">
        <f>"146114301"</f>
        <v>146114301</v>
      </c>
      <c r="C9362" t="s">
        <v>50</v>
      </c>
      <c r="D9362" t="s">
        <v>14204</v>
      </c>
      <c r="E9362" t="s">
        <v>14205</v>
      </c>
      <c r="F9362" t="s">
        <v>99</v>
      </c>
      <c r="G9362" t="s">
        <v>52</v>
      </c>
      <c r="H9362" t="str">
        <f>"ΣΥΛΛΗΣ 2Α ΠΕΡΙΣΣΟΣ"</f>
        <v>ΣΥΛΛΗΣ 2Α ΠΕΡΙΣΣΟΣ</v>
      </c>
      <c r="I9362">
        <v>14232</v>
      </c>
      <c r="J9362">
        <v>2102531958</v>
      </c>
      <c r="K9362">
        <v>6979971126</v>
      </c>
      <c r="M9362" t="s">
        <v>14206</v>
      </c>
      <c r="N9362" t="s">
        <v>615</v>
      </c>
      <c r="O9362" t="s">
        <v>616</v>
      </c>
      <c r="R9362" t="s">
        <v>57</v>
      </c>
      <c r="S9362">
        <v>4</v>
      </c>
      <c r="T9362">
        <v>772</v>
      </c>
      <c r="U9362" s="1">
        <v>40413</v>
      </c>
      <c r="V9362" t="s">
        <v>89</v>
      </c>
      <c r="W9362" t="s">
        <v>90</v>
      </c>
      <c r="X9362" t="s">
        <v>58</v>
      </c>
      <c r="Y9362">
        <v>24</v>
      </c>
      <c r="Z9362" t="s">
        <v>59</v>
      </c>
      <c r="AA9362" t="s">
        <v>59</v>
      </c>
      <c r="AB9362" t="s">
        <v>59</v>
      </c>
      <c r="AC9362" t="s">
        <v>59</v>
      </c>
      <c r="AD9362" t="s">
        <v>59</v>
      </c>
      <c r="AF9362" s="1">
        <v>40413</v>
      </c>
      <c r="AG9362" t="s">
        <v>8645</v>
      </c>
      <c r="AH9362" t="s">
        <v>8646</v>
      </c>
      <c r="AI9362" t="str">
        <f>"9500358"</f>
        <v>9500358</v>
      </c>
      <c r="AJ9362" t="s">
        <v>13948</v>
      </c>
      <c r="AK9362">
        <v>2821093459</v>
      </c>
      <c r="AL9362" t="s">
        <v>13949</v>
      </c>
      <c r="AM9362" t="s">
        <v>88</v>
      </c>
      <c r="AN9362" t="s">
        <v>88</v>
      </c>
      <c r="AO9362" t="s">
        <v>6733</v>
      </c>
      <c r="AP9362" t="s">
        <v>6755</v>
      </c>
      <c r="AQ9362">
        <v>2</v>
      </c>
      <c r="AR9362" t="s">
        <v>89</v>
      </c>
      <c r="AS9362" t="s">
        <v>90</v>
      </c>
      <c r="AT9362" t="s">
        <v>58</v>
      </c>
      <c r="AU9362" t="s">
        <v>68</v>
      </c>
      <c r="AV9362" t="s">
        <v>69</v>
      </c>
      <c r="AW9362" s="1">
        <v>31722</v>
      </c>
      <c r="AX9362">
        <v>1</v>
      </c>
    </row>
    <row r="9363" spans="1:50">
      <c r="A9363">
        <v>701990</v>
      </c>
      <c r="B9363" t="str">
        <f>"135208521"</f>
        <v>135208521</v>
      </c>
      <c r="C9363" t="s">
        <v>50</v>
      </c>
      <c r="D9363" t="s">
        <v>7050</v>
      </c>
      <c r="E9363" t="s">
        <v>109</v>
      </c>
      <c r="F9363" t="s">
        <v>99</v>
      </c>
      <c r="G9363" t="s">
        <v>191</v>
      </c>
      <c r="H9363" t="str">
        <f>"ΨΥΛΛΑΚΗ 27 ΧΑΝΙΑ "</f>
        <v xml:space="preserve">ΨΥΛΛΑΚΗ 27 ΧΑΝΙΑ </v>
      </c>
      <c r="I9363">
        <v>73100</v>
      </c>
      <c r="J9363">
        <v>2821041613</v>
      </c>
      <c r="K9363">
        <v>6974640878</v>
      </c>
      <c r="N9363" t="s">
        <v>615</v>
      </c>
      <c r="O9363" t="s">
        <v>616</v>
      </c>
      <c r="R9363" t="s">
        <v>57</v>
      </c>
      <c r="S9363">
        <v>4</v>
      </c>
      <c r="T9363" t="s">
        <v>14207</v>
      </c>
      <c r="U9363" s="1">
        <v>40413</v>
      </c>
      <c r="V9363" t="s">
        <v>89</v>
      </c>
      <c r="W9363" t="s">
        <v>90</v>
      </c>
      <c r="X9363" t="s">
        <v>58</v>
      </c>
      <c r="Y9363">
        <v>24</v>
      </c>
      <c r="Z9363" t="s">
        <v>59</v>
      </c>
      <c r="AA9363" t="s">
        <v>59</v>
      </c>
      <c r="AB9363" t="s">
        <v>59</v>
      </c>
      <c r="AC9363" t="s">
        <v>59</v>
      </c>
      <c r="AD9363" t="s">
        <v>59</v>
      </c>
      <c r="AF9363" s="1">
        <v>40422</v>
      </c>
      <c r="AG9363" t="s">
        <v>8645</v>
      </c>
      <c r="AH9363" t="s">
        <v>8646</v>
      </c>
      <c r="AI9363" t="str">
        <f>"9500360"</f>
        <v>9500360</v>
      </c>
      <c r="AJ9363" t="s">
        <v>14022</v>
      </c>
      <c r="AK9363">
        <v>2821031253</v>
      </c>
      <c r="AL9363" t="s">
        <v>14023</v>
      </c>
      <c r="AM9363" t="s">
        <v>88</v>
      </c>
      <c r="AN9363" t="s">
        <v>88</v>
      </c>
      <c r="AO9363" t="s">
        <v>6785</v>
      </c>
      <c r="AP9363" t="s">
        <v>13932</v>
      </c>
      <c r="AQ9363">
        <v>3</v>
      </c>
      <c r="AR9363" t="s">
        <v>89</v>
      </c>
      <c r="AS9363" t="s">
        <v>90</v>
      </c>
      <c r="AT9363" t="s">
        <v>58</v>
      </c>
      <c r="AU9363" t="s">
        <v>68</v>
      </c>
      <c r="AV9363" t="s">
        <v>69</v>
      </c>
      <c r="AW9363" s="1">
        <v>31238</v>
      </c>
      <c r="AX9363">
        <v>1</v>
      </c>
    </row>
    <row r="9364" spans="1:50">
      <c r="A9364">
        <v>701022</v>
      </c>
      <c r="B9364" t="str">
        <f>"133714667"</f>
        <v>133714667</v>
      </c>
      <c r="C9364" t="s">
        <v>50</v>
      </c>
      <c r="D9364" t="s">
        <v>14208</v>
      </c>
      <c r="E9364" t="s">
        <v>96</v>
      </c>
      <c r="F9364" t="s">
        <v>84</v>
      </c>
      <c r="G9364" t="s">
        <v>372</v>
      </c>
      <c r="H9364" t="str">
        <f>"ΠΡΟΒΑΤΑΣ ΣΕΡΡΕΣ"</f>
        <v>ΠΡΟΒΑΤΑΣ ΣΕΡΡΕΣ</v>
      </c>
      <c r="I9364">
        <v>62100</v>
      </c>
      <c r="J9364">
        <v>2321088402</v>
      </c>
      <c r="K9364">
        <v>6948723439</v>
      </c>
      <c r="N9364" t="s">
        <v>615</v>
      </c>
      <c r="O9364" t="s">
        <v>616</v>
      </c>
      <c r="R9364" t="s">
        <v>57</v>
      </c>
      <c r="S9364">
        <v>5</v>
      </c>
      <c r="T9364">
        <v>772</v>
      </c>
      <c r="U9364" s="1">
        <v>40413</v>
      </c>
      <c r="V9364" t="s">
        <v>89</v>
      </c>
      <c r="W9364" t="s">
        <v>90</v>
      </c>
      <c r="X9364" t="s">
        <v>58</v>
      </c>
      <c r="Y9364">
        <v>23</v>
      </c>
      <c r="Z9364" t="s">
        <v>59</v>
      </c>
      <c r="AA9364" t="s">
        <v>59</v>
      </c>
      <c r="AB9364" t="s">
        <v>59</v>
      </c>
      <c r="AC9364" t="s">
        <v>59</v>
      </c>
      <c r="AD9364" t="s">
        <v>59</v>
      </c>
      <c r="AF9364" s="1">
        <v>40414</v>
      </c>
      <c r="AG9364" t="s">
        <v>8645</v>
      </c>
      <c r="AH9364" t="s">
        <v>8646</v>
      </c>
      <c r="AI9364" t="str">
        <f>"9500360"</f>
        <v>9500360</v>
      </c>
      <c r="AJ9364" t="s">
        <v>14022</v>
      </c>
      <c r="AK9364">
        <v>2821031253</v>
      </c>
      <c r="AL9364" t="s">
        <v>14023</v>
      </c>
      <c r="AM9364" t="s">
        <v>88</v>
      </c>
      <c r="AN9364" t="s">
        <v>88</v>
      </c>
      <c r="AO9364" t="s">
        <v>6785</v>
      </c>
      <c r="AP9364" t="s">
        <v>13932</v>
      </c>
      <c r="AQ9364">
        <v>3</v>
      </c>
      <c r="AR9364" t="s">
        <v>89</v>
      </c>
      <c r="AS9364" t="s">
        <v>90</v>
      </c>
      <c r="AT9364" t="s">
        <v>58</v>
      </c>
      <c r="AU9364" t="s">
        <v>68</v>
      </c>
      <c r="AV9364" t="s">
        <v>69</v>
      </c>
      <c r="AW9364" s="1">
        <v>31276</v>
      </c>
      <c r="AX9364">
        <v>1</v>
      </c>
    </row>
    <row r="9365" spans="1:50">
      <c r="A9365">
        <v>567376</v>
      </c>
      <c r="B9365" t="str">
        <f>"113192986"</f>
        <v>113192986</v>
      </c>
      <c r="C9365" t="s">
        <v>50</v>
      </c>
      <c r="D9365" t="s">
        <v>7053</v>
      </c>
      <c r="E9365" t="s">
        <v>73</v>
      </c>
      <c r="F9365" t="s">
        <v>99</v>
      </c>
      <c r="G9365" t="s">
        <v>1361</v>
      </c>
      <c r="H9365" t="str">
        <f>"ΔΩΔΕΚΑΝΗΣΩΝ 10 ΧΑΝΙΑ"</f>
        <v>ΔΩΔΕΚΑΝΗΣΩΝ 10 ΧΑΝΙΑ</v>
      </c>
      <c r="K9365">
        <v>6978845080</v>
      </c>
      <c r="N9365" t="s">
        <v>615</v>
      </c>
      <c r="O9365" t="s">
        <v>616</v>
      </c>
      <c r="R9365" t="s">
        <v>57</v>
      </c>
      <c r="S9365">
        <v>14</v>
      </c>
      <c r="T9365">
        <v>133</v>
      </c>
      <c r="U9365" s="1">
        <v>33456</v>
      </c>
      <c r="V9365" t="s">
        <v>89</v>
      </c>
      <c r="W9365" t="s">
        <v>90</v>
      </c>
      <c r="X9365" t="s">
        <v>58</v>
      </c>
      <c r="Y9365">
        <v>21</v>
      </c>
      <c r="Z9365" t="s">
        <v>59</v>
      </c>
      <c r="AA9365" t="s">
        <v>59</v>
      </c>
      <c r="AB9365" t="s">
        <v>59</v>
      </c>
      <c r="AC9365" t="s">
        <v>59</v>
      </c>
      <c r="AD9365" t="s">
        <v>59</v>
      </c>
      <c r="AF9365" s="1">
        <v>33456</v>
      </c>
      <c r="AG9365" t="s">
        <v>8645</v>
      </c>
      <c r="AH9365" t="s">
        <v>8646</v>
      </c>
      <c r="AI9365" t="str">
        <f>"9500071"</f>
        <v>9500071</v>
      </c>
      <c r="AJ9365" t="s">
        <v>14209</v>
      </c>
      <c r="AK9365">
        <v>2821093760</v>
      </c>
      <c r="AL9365" t="s">
        <v>14210</v>
      </c>
      <c r="AM9365" t="s">
        <v>88</v>
      </c>
      <c r="AN9365" t="s">
        <v>88</v>
      </c>
      <c r="AO9365" t="s">
        <v>88</v>
      </c>
      <c r="AP9365" t="s">
        <v>88</v>
      </c>
      <c r="AQ9365">
        <v>1</v>
      </c>
      <c r="AR9365" t="s">
        <v>89</v>
      </c>
      <c r="AS9365" t="s">
        <v>90</v>
      </c>
      <c r="AT9365" t="s">
        <v>58</v>
      </c>
      <c r="AU9365" t="s">
        <v>68</v>
      </c>
      <c r="AV9365" t="s">
        <v>69</v>
      </c>
      <c r="AW9365" s="1">
        <v>23935</v>
      </c>
      <c r="AX9365">
        <v>1</v>
      </c>
    </row>
    <row r="9366" spans="1:50">
      <c r="A9366">
        <v>588155</v>
      </c>
      <c r="B9366" t="str">
        <f>"078784625"</f>
        <v>078784625</v>
      </c>
      <c r="C9366" t="s">
        <v>105</v>
      </c>
      <c r="D9366" t="s">
        <v>14211</v>
      </c>
      <c r="E9366" t="s">
        <v>95</v>
      </c>
      <c r="F9366" t="s">
        <v>72</v>
      </c>
      <c r="G9366" t="s">
        <v>191</v>
      </c>
      <c r="H9366" t="str">
        <f>"Ι.ΣΦΑΚΙΑΝΑΚΗ ΧΑΝΙΑ"</f>
        <v>Ι.ΣΦΑΚΙΑΝΑΚΗ ΧΑΝΙΑ</v>
      </c>
      <c r="J9366">
        <v>2821042055</v>
      </c>
      <c r="K9366">
        <v>6975748531</v>
      </c>
      <c r="N9366" t="s">
        <v>615</v>
      </c>
      <c r="O9366" t="s">
        <v>616</v>
      </c>
      <c r="R9366" t="s">
        <v>57</v>
      </c>
      <c r="S9366">
        <v>10</v>
      </c>
      <c r="T9366">
        <v>176</v>
      </c>
      <c r="U9366" s="1">
        <v>36403</v>
      </c>
      <c r="V9366" t="s">
        <v>89</v>
      </c>
      <c r="W9366" t="s">
        <v>90</v>
      </c>
      <c r="X9366" t="s">
        <v>58</v>
      </c>
      <c r="Y9366">
        <v>21</v>
      </c>
      <c r="Z9366" t="s">
        <v>59</v>
      </c>
      <c r="AA9366" t="s">
        <v>59</v>
      </c>
      <c r="AB9366" t="s">
        <v>59</v>
      </c>
      <c r="AC9366" t="s">
        <v>59</v>
      </c>
      <c r="AD9366" t="s">
        <v>59</v>
      </c>
      <c r="AF9366" s="1">
        <v>36403</v>
      </c>
      <c r="AG9366" t="s">
        <v>8645</v>
      </c>
      <c r="AH9366" t="s">
        <v>14199</v>
      </c>
      <c r="AI9366" t="str">
        <f>"9500140"</f>
        <v>9500140</v>
      </c>
      <c r="AJ9366" t="s">
        <v>14200</v>
      </c>
      <c r="AK9366">
        <v>2821097348</v>
      </c>
      <c r="AL9366" t="s">
        <v>14201</v>
      </c>
      <c r="AM9366" t="s">
        <v>88</v>
      </c>
      <c r="AN9366" t="s">
        <v>88</v>
      </c>
      <c r="AO9366" t="s">
        <v>88</v>
      </c>
      <c r="AP9366" t="s">
        <v>88</v>
      </c>
      <c r="AQ9366">
        <v>1</v>
      </c>
      <c r="AR9366" t="s">
        <v>89</v>
      </c>
      <c r="AS9366" t="s">
        <v>90</v>
      </c>
      <c r="AT9366" t="s">
        <v>58</v>
      </c>
      <c r="AU9366" t="s">
        <v>68</v>
      </c>
      <c r="AV9366" t="s">
        <v>69</v>
      </c>
      <c r="AW9366" s="1">
        <v>23669</v>
      </c>
      <c r="AX9366">
        <v>1</v>
      </c>
    </row>
    <row r="9367" spans="1:50">
      <c r="A9367">
        <v>586838</v>
      </c>
      <c r="B9367" t="str">
        <f>"034205044"</f>
        <v>034205044</v>
      </c>
      <c r="C9367" t="s">
        <v>50</v>
      </c>
      <c r="D9367" t="s">
        <v>14212</v>
      </c>
      <c r="E9367" t="s">
        <v>215</v>
      </c>
      <c r="F9367" t="s">
        <v>166</v>
      </c>
      <c r="G9367" t="s">
        <v>52</v>
      </c>
      <c r="H9367" t="str">
        <f>" "</f>
        <v xml:space="preserve"> </v>
      </c>
      <c r="N9367" t="s">
        <v>1525</v>
      </c>
      <c r="O9367" t="s">
        <v>1526</v>
      </c>
      <c r="R9367" t="s">
        <v>57</v>
      </c>
      <c r="S9367">
        <v>12</v>
      </c>
      <c r="T9367">
        <v>165</v>
      </c>
      <c r="U9367" s="1">
        <v>36040</v>
      </c>
      <c r="V9367" t="s">
        <v>89</v>
      </c>
      <c r="W9367" t="s">
        <v>90</v>
      </c>
      <c r="X9367" t="s">
        <v>58</v>
      </c>
      <c r="Y9367">
        <v>25</v>
      </c>
      <c r="Z9367" t="s">
        <v>59</v>
      </c>
      <c r="AA9367" t="s">
        <v>59</v>
      </c>
      <c r="AB9367" t="s">
        <v>59</v>
      </c>
      <c r="AC9367" t="s">
        <v>59</v>
      </c>
      <c r="AD9367" t="s">
        <v>59</v>
      </c>
      <c r="AF9367" s="1">
        <v>36041</v>
      </c>
      <c r="AG9367" t="s">
        <v>8651</v>
      </c>
      <c r="AH9367" t="s">
        <v>8652</v>
      </c>
      <c r="AI9367" t="str">
        <f>"9500425"</f>
        <v>9500425</v>
      </c>
      <c r="AJ9367" t="s">
        <v>14213</v>
      </c>
      <c r="AK9367">
        <v>2821094663</v>
      </c>
      <c r="AL9367" t="s">
        <v>14214</v>
      </c>
      <c r="AM9367" t="s">
        <v>88</v>
      </c>
      <c r="AN9367" t="s">
        <v>88</v>
      </c>
      <c r="AO9367" t="s">
        <v>6733</v>
      </c>
      <c r="AP9367" t="s">
        <v>6734</v>
      </c>
      <c r="AQ9367">
        <v>2</v>
      </c>
      <c r="AR9367" t="s">
        <v>89</v>
      </c>
      <c r="AS9367" t="s">
        <v>90</v>
      </c>
      <c r="AT9367" t="s">
        <v>58</v>
      </c>
      <c r="AU9367" t="s">
        <v>68</v>
      </c>
      <c r="AV9367" t="s">
        <v>69</v>
      </c>
      <c r="AW9367" s="1">
        <v>24288</v>
      </c>
      <c r="AX9367">
        <v>1</v>
      </c>
    </row>
    <row r="9368" spans="1:50">
      <c r="A9368">
        <v>590265</v>
      </c>
      <c r="B9368" t="str">
        <f>"056153890"</f>
        <v>056153890</v>
      </c>
      <c r="C9368" t="s">
        <v>50</v>
      </c>
      <c r="D9368" t="s">
        <v>14215</v>
      </c>
      <c r="E9368" t="s">
        <v>134</v>
      </c>
      <c r="F9368" t="s">
        <v>995</v>
      </c>
      <c r="G9368" t="s">
        <v>9630</v>
      </c>
      <c r="H9368" t="str">
        <f>"Γεωργίου Καμπούρη 8Α "</f>
        <v xml:space="preserve">Γεωργίου Καμπούρη 8Α </v>
      </c>
      <c r="J9368">
        <v>2812042343</v>
      </c>
      <c r="K9368">
        <v>6946796776</v>
      </c>
      <c r="N9368" t="s">
        <v>176</v>
      </c>
      <c r="O9368" t="s">
        <v>177</v>
      </c>
      <c r="R9368" t="s">
        <v>57</v>
      </c>
      <c r="S9368">
        <v>10</v>
      </c>
      <c r="T9368">
        <v>177</v>
      </c>
      <c r="U9368" s="1">
        <v>36403</v>
      </c>
      <c r="V9368" t="s">
        <v>89</v>
      </c>
      <c r="W9368" t="s">
        <v>90</v>
      </c>
      <c r="X9368" t="s">
        <v>58</v>
      </c>
      <c r="Y9368">
        <v>21</v>
      </c>
      <c r="Z9368" t="s">
        <v>59</v>
      </c>
      <c r="AA9368" t="s">
        <v>59</v>
      </c>
      <c r="AB9368" t="s">
        <v>59</v>
      </c>
      <c r="AC9368" t="s">
        <v>59</v>
      </c>
      <c r="AD9368" t="s">
        <v>59</v>
      </c>
      <c r="AF9368" s="1">
        <v>36403</v>
      </c>
      <c r="AG9368" t="s">
        <v>8645</v>
      </c>
      <c r="AH9368" t="s">
        <v>8646</v>
      </c>
      <c r="AI9368" t="str">
        <f>"9500041"</f>
        <v>9500041</v>
      </c>
      <c r="AJ9368" t="s">
        <v>13944</v>
      </c>
      <c r="AK9368">
        <v>2821028218</v>
      </c>
      <c r="AL9368" t="s">
        <v>13945</v>
      </c>
      <c r="AM9368" t="s">
        <v>88</v>
      </c>
      <c r="AN9368" t="s">
        <v>88</v>
      </c>
      <c r="AO9368" t="s">
        <v>88</v>
      </c>
      <c r="AP9368" t="s">
        <v>88</v>
      </c>
      <c r="AQ9368">
        <v>1</v>
      </c>
      <c r="AR9368" t="s">
        <v>89</v>
      </c>
      <c r="AS9368" t="s">
        <v>90</v>
      </c>
      <c r="AT9368" t="s">
        <v>58</v>
      </c>
      <c r="AU9368" t="s">
        <v>68</v>
      </c>
      <c r="AV9368" t="s">
        <v>69</v>
      </c>
      <c r="AW9368" s="1">
        <v>24225</v>
      </c>
      <c r="AX9368">
        <v>1</v>
      </c>
    </row>
    <row r="9369" spans="1:50">
      <c r="A9369">
        <v>205125</v>
      </c>
      <c r="B9369" t="str">
        <f>"049476375"</f>
        <v>049476375</v>
      </c>
      <c r="C9369" t="s">
        <v>50</v>
      </c>
      <c r="D9369" t="s">
        <v>14216</v>
      </c>
      <c r="E9369" t="s">
        <v>52</v>
      </c>
      <c r="F9369" t="s">
        <v>106</v>
      </c>
      <c r="G9369" t="s">
        <v>473</v>
      </c>
      <c r="H9369" t="str">
        <f>" "</f>
        <v xml:space="preserve"> </v>
      </c>
      <c r="J9369">
        <v>2810237685</v>
      </c>
      <c r="K9369">
        <v>6976407968</v>
      </c>
      <c r="N9369" t="s">
        <v>204</v>
      </c>
      <c r="O9369" t="s">
        <v>205</v>
      </c>
      <c r="R9369" t="s">
        <v>57</v>
      </c>
      <c r="S9369">
        <v>7</v>
      </c>
      <c r="T9369">
        <v>231</v>
      </c>
      <c r="U9369" s="1">
        <v>38230</v>
      </c>
      <c r="V9369" t="s">
        <v>89</v>
      </c>
      <c r="W9369" t="s">
        <v>90</v>
      </c>
      <c r="X9369" t="s">
        <v>58</v>
      </c>
      <c r="Y9369">
        <v>22</v>
      </c>
      <c r="Z9369" t="s">
        <v>59</v>
      </c>
      <c r="AA9369" t="s">
        <v>59</v>
      </c>
      <c r="AB9369" t="s">
        <v>59</v>
      </c>
      <c r="AC9369" t="s">
        <v>59</v>
      </c>
      <c r="AD9369" t="s">
        <v>59</v>
      </c>
      <c r="AF9369" s="1">
        <v>38231</v>
      </c>
      <c r="AG9369" t="s">
        <v>8645</v>
      </c>
      <c r="AH9369" t="s">
        <v>8646</v>
      </c>
      <c r="AI9369" t="str">
        <f>"9500148"</f>
        <v>9500148</v>
      </c>
      <c r="AJ9369" t="s">
        <v>13851</v>
      </c>
      <c r="AK9369">
        <v>2821068328</v>
      </c>
      <c r="AL9369" t="s">
        <v>13852</v>
      </c>
      <c r="AM9369" t="s">
        <v>88</v>
      </c>
      <c r="AN9369" t="s">
        <v>88</v>
      </c>
      <c r="AO9369" t="s">
        <v>6785</v>
      </c>
      <c r="AP9369" t="s">
        <v>13853</v>
      </c>
      <c r="AQ9369">
        <v>3</v>
      </c>
      <c r="AR9369" t="s">
        <v>89</v>
      </c>
      <c r="AS9369" t="s">
        <v>90</v>
      </c>
      <c r="AT9369" t="s">
        <v>58</v>
      </c>
      <c r="AU9369" t="s">
        <v>68</v>
      </c>
      <c r="AV9369" t="s">
        <v>69</v>
      </c>
      <c r="AW9369" s="1">
        <v>29088</v>
      </c>
      <c r="AX9369">
        <v>1</v>
      </c>
    </row>
    <row r="9370" spans="1:50">
      <c r="A9370">
        <v>560475</v>
      </c>
      <c r="B9370" t="str">
        <f>"113188881"</f>
        <v>113188881</v>
      </c>
      <c r="C9370" t="s">
        <v>50</v>
      </c>
      <c r="D9370" t="s">
        <v>14217</v>
      </c>
      <c r="E9370" t="s">
        <v>484</v>
      </c>
      <c r="F9370" t="s">
        <v>95</v>
      </c>
      <c r="G9370" t="s">
        <v>52</v>
      </c>
      <c r="H9370" t="str">
        <f>" "</f>
        <v xml:space="preserve"> </v>
      </c>
      <c r="N9370" t="s">
        <v>1525</v>
      </c>
      <c r="O9370" t="s">
        <v>1526</v>
      </c>
      <c r="R9370" t="s">
        <v>57</v>
      </c>
      <c r="S9370">
        <v>16</v>
      </c>
      <c r="T9370">
        <v>185</v>
      </c>
      <c r="U9370" s="1">
        <v>32035</v>
      </c>
      <c r="V9370" t="s">
        <v>89</v>
      </c>
      <c r="W9370" t="s">
        <v>90</v>
      </c>
      <c r="X9370" t="s">
        <v>58</v>
      </c>
      <c r="Y9370">
        <v>25</v>
      </c>
      <c r="Z9370" t="s">
        <v>59</v>
      </c>
      <c r="AA9370" t="s">
        <v>59</v>
      </c>
      <c r="AB9370" t="s">
        <v>59</v>
      </c>
      <c r="AC9370" t="s">
        <v>59</v>
      </c>
      <c r="AD9370" t="s">
        <v>59</v>
      </c>
      <c r="AF9370" s="1">
        <v>32043</v>
      </c>
      <c r="AG9370" t="s">
        <v>8651</v>
      </c>
      <c r="AH9370" t="s">
        <v>8652</v>
      </c>
      <c r="AI9370" t="str">
        <f>"9500422"</f>
        <v>9500422</v>
      </c>
      <c r="AJ9370" t="s">
        <v>14218</v>
      </c>
      <c r="AK9370">
        <v>2821095574</v>
      </c>
      <c r="AL9370" t="s">
        <v>14219</v>
      </c>
      <c r="AM9370" t="s">
        <v>88</v>
      </c>
      <c r="AN9370" t="s">
        <v>88</v>
      </c>
      <c r="AO9370" t="s">
        <v>6733</v>
      </c>
      <c r="AP9370" t="s">
        <v>6755</v>
      </c>
      <c r="AQ9370">
        <v>2</v>
      </c>
      <c r="AR9370" t="s">
        <v>89</v>
      </c>
      <c r="AS9370" t="s">
        <v>90</v>
      </c>
      <c r="AT9370" t="s">
        <v>58</v>
      </c>
      <c r="AU9370" t="s">
        <v>68</v>
      </c>
      <c r="AV9370" t="s">
        <v>69</v>
      </c>
      <c r="AW9370" s="1">
        <v>23282</v>
      </c>
      <c r="AX9370">
        <v>1</v>
      </c>
    </row>
    <row r="9371" spans="1:50">
      <c r="A9371">
        <v>590486</v>
      </c>
      <c r="B9371" t="str">
        <f>"055144871"</f>
        <v>055144871</v>
      </c>
      <c r="C9371" t="s">
        <v>50</v>
      </c>
      <c r="D9371" t="s">
        <v>14220</v>
      </c>
      <c r="E9371" t="s">
        <v>1713</v>
      </c>
      <c r="F9371" t="s">
        <v>95</v>
      </c>
      <c r="G9371" t="s">
        <v>1227</v>
      </c>
      <c r="H9371" t="str">
        <f>"ΝΕΡΟΚΟΥΡΟΥ 34 ΧΑΝΙΑ"</f>
        <v>ΝΕΡΟΚΟΥΡΟΥ 34 ΧΑΝΙΑ</v>
      </c>
      <c r="J9371">
        <v>2821079267</v>
      </c>
      <c r="K9371">
        <v>6948530216</v>
      </c>
      <c r="N9371" t="s">
        <v>337</v>
      </c>
      <c r="O9371" t="s">
        <v>338</v>
      </c>
      <c r="R9371" t="s">
        <v>57</v>
      </c>
      <c r="S9371">
        <v>10</v>
      </c>
      <c r="T9371">
        <v>177</v>
      </c>
      <c r="U9371" s="1">
        <v>36403</v>
      </c>
      <c r="V9371" t="s">
        <v>89</v>
      </c>
      <c r="W9371" t="s">
        <v>90</v>
      </c>
      <c r="X9371" t="s">
        <v>58</v>
      </c>
      <c r="Y9371">
        <v>21</v>
      </c>
      <c r="Z9371" t="s">
        <v>59</v>
      </c>
      <c r="AA9371" t="s">
        <v>59</v>
      </c>
      <c r="AB9371" t="s">
        <v>59</v>
      </c>
      <c r="AC9371" t="s">
        <v>59</v>
      </c>
      <c r="AD9371" t="s">
        <v>59</v>
      </c>
      <c r="AF9371" s="1">
        <v>36405</v>
      </c>
      <c r="AG9371" t="s">
        <v>8645</v>
      </c>
      <c r="AH9371" t="s">
        <v>8646</v>
      </c>
      <c r="AI9371" t="str">
        <f>"9500070"</f>
        <v>9500070</v>
      </c>
      <c r="AJ9371" t="s">
        <v>14221</v>
      </c>
      <c r="AK9371">
        <v>2821095817</v>
      </c>
      <c r="AL9371" t="s">
        <v>14222</v>
      </c>
      <c r="AM9371" t="s">
        <v>88</v>
      </c>
      <c r="AN9371" t="s">
        <v>88</v>
      </c>
      <c r="AO9371" t="s">
        <v>88</v>
      </c>
      <c r="AP9371" t="s">
        <v>88</v>
      </c>
      <c r="AQ9371">
        <v>1</v>
      </c>
      <c r="AR9371" t="s">
        <v>89</v>
      </c>
      <c r="AS9371" t="s">
        <v>90</v>
      </c>
      <c r="AT9371" t="s">
        <v>58</v>
      </c>
      <c r="AU9371" t="s">
        <v>68</v>
      </c>
      <c r="AV9371" t="s">
        <v>69</v>
      </c>
      <c r="AW9371" s="1">
        <v>25763</v>
      </c>
      <c r="AX9371">
        <v>1</v>
      </c>
    </row>
    <row r="9372" spans="1:50">
      <c r="A9372">
        <v>570243</v>
      </c>
      <c r="B9372" t="str">
        <f>"100637597"</f>
        <v>100637597</v>
      </c>
      <c r="C9372" t="s">
        <v>50</v>
      </c>
      <c r="D9372" t="s">
        <v>7057</v>
      </c>
      <c r="E9372" t="s">
        <v>250</v>
      </c>
      <c r="F9372" t="s">
        <v>166</v>
      </c>
      <c r="G9372" t="s">
        <v>263</v>
      </c>
      <c r="H9372" t="str">
        <f>"ΚΟΛΥΜΒΑΡΙ ΧΑΝΙΩΝ"</f>
        <v>ΚΟΛΥΜΒΑΡΙ ΧΑΝΙΩΝ</v>
      </c>
      <c r="I9372">
        <v>73006</v>
      </c>
      <c r="J9372">
        <v>2824024063</v>
      </c>
      <c r="N9372" t="s">
        <v>306</v>
      </c>
      <c r="O9372" t="s">
        <v>307</v>
      </c>
      <c r="R9372" t="s">
        <v>57</v>
      </c>
      <c r="S9372">
        <v>13</v>
      </c>
      <c r="T9372">
        <v>239</v>
      </c>
      <c r="U9372" s="1">
        <v>33969</v>
      </c>
      <c r="V9372" t="s">
        <v>89</v>
      </c>
      <c r="W9372" t="s">
        <v>90</v>
      </c>
      <c r="X9372" t="s">
        <v>58</v>
      </c>
      <c r="Y9372">
        <v>21</v>
      </c>
      <c r="Z9372" t="s">
        <v>59</v>
      </c>
      <c r="AA9372" t="s">
        <v>59</v>
      </c>
      <c r="AB9372" t="s">
        <v>59</v>
      </c>
      <c r="AC9372" t="s">
        <v>59</v>
      </c>
      <c r="AD9372" t="s">
        <v>59</v>
      </c>
      <c r="AF9372" s="1">
        <v>33977</v>
      </c>
      <c r="AG9372" t="s">
        <v>8645</v>
      </c>
      <c r="AH9372" t="s">
        <v>8646</v>
      </c>
      <c r="AI9372" t="str">
        <f>"9500218"</f>
        <v>9500218</v>
      </c>
      <c r="AJ9372" t="s">
        <v>13992</v>
      </c>
      <c r="AK9372">
        <v>2824022216</v>
      </c>
      <c r="AL9372" t="s">
        <v>13993</v>
      </c>
      <c r="AM9372" t="s">
        <v>88</v>
      </c>
      <c r="AN9372" t="s">
        <v>6764</v>
      </c>
      <c r="AO9372" t="s">
        <v>6799</v>
      </c>
      <c r="AP9372" t="s">
        <v>6799</v>
      </c>
      <c r="AQ9372">
        <v>6</v>
      </c>
      <c r="AR9372" t="s">
        <v>89</v>
      </c>
      <c r="AS9372" t="s">
        <v>90</v>
      </c>
      <c r="AT9372" t="s">
        <v>58</v>
      </c>
      <c r="AU9372" t="s">
        <v>68</v>
      </c>
      <c r="AV9372" t="s">
        <v>69</v>
      </c>
      <c r="AW9372" s="1">
        <v>24169</v>
      </c>
      <c r="AX9372">
        <v>1</v>
      </c>
    </row>
    <row r="9373" spans="1:50">
      <c r="A9373">
        <v>551782</v>
      </c>
      <c r="B9373" t="str">
        <f>"064779862"</f>
        <v>064779862</v>
      </c>
      <c r="C9373" t="s">
        <v>50</v>
      </c>
      <c r="D9373" t="s">
        <v>7057</v>
      </c>
      <c r="E9373" t="s">
        <v>250</v>
      </c>
      <c r="F9373" t="s">
        <v>53</v>
      </c>
      <c r="G9373" t="s">
        <v>330</v>
      </c>
      <c r="H9373" t="str">
        <f>"ΖΥΜΒΡΑΚΑΚΗΔΩΝ 155 "</f>
        <v xml:space="preserve">ΖΥΜΒΡΑΚΑΚΗΔΩΝ 155 </v>
      </c>
      <c r="J9373">
        <v>2821091781</v>
      </c>
      <c r="K9373">
        <v>6973052729</v>
      </c>
      <c r="N9373" t="s">
        <v>615</v>
      </c>
      <c r="O9373" t="s">
        <v>616</v>
      </c>
      <c r="R9373" t="s">
        <v>57</v>
      </c>
      <c r="S9373">
        <v>17</v>
      </c>
      <c r="T9373">
        <v>271</v>
      </c>
      <c r="U9373" s="1">
        <v>30923</v>
      </c>
      <c r="V9373" t="s">
        <v>89</v>
      </c>
      <c r="W9373" t="s">
        <v>90</v>
      </c>
      <c r="X9373" t="s">
        <v>58</v>
      </c>
      <c r="Y9373">
        <v>21</v>
      </c>
      <c r="Z9373" t="s">
        <v>59</v>
      </c>
      <c r="AA9373" t="s">
        <v>59</v>
      </c>
      <c r="AB9373" t="s">
        <v>59</v>
      </c>
      <c r="AC9373" t="s">
        <v>59</v>
      </c>
      <c r="AD9373" t="s">
        <v>59</v>
      </c>
      <c r="AF9373" s="1">
        <v>30923</v>
      </c>
      <c r="AG9373" t="s">
        <v>8645</v>
      </c>
      <c r="AH9373" t="s">
        <v>8646</v>
      </c>
      <c r="AI9373" t="str">
        <f>"9500070"</f>
        <v>9500070</v>
      </c>
      <c r="AJ9373" t="s">
        <v>14221</v>
      </c>
      <c r="AK9373">
        <v>2821095817</v>
      </c>
      <c r="AL9373" t="s">
        <v>14222</v>
      </c>
      <c r="AM9373" t="s">
        <v>88</v>
      </c>
      <c r="AN9373" t="s">
        <v>88</v>
      </c>
      <c r="AO9373" t="s">
        <v>88</v>
      </c>
      <c r="AP9373" t="s">
        <v>88</v>
      </c>
      <c r="AQ9373">
        <v>1</v>
      </c>
      <c r="AR9373" t="s">
        <v>89</v>
      </c>
      <c r="AS9373" t="s">
        <v>90</v>
      </c>
      <c r="AT9373" t="s">
        <v>58</v>
      </c>
      <c r="AU9373" t="s">
        <v>68</v>
      </c>
      <c r="AV9373" t="s">
        <v>69</v>
      </c>
      <c r="AW9373" s="1">
        <v>22352</v>
      </c>
      <c r="AX9373">
        <v>1</v>
      </c>
    </row>
    <row r="9374" spans="1:50">
      <c r="B9374" t="str">
        <f>"100299820"</f>
        <v>100299820</v>
      </c>
      <c r="C9374" t="s">
        <v>50</v>
      </c>
      <c r="D9374" t="s">
        <v>14223</v>
      </c>
      <c r="E9374" t="s">
        <v>7030</v>
      </c>
      <c r="F9374" t="s">
        <v>72</v>
      </c>
      <c r="G9374" t="s">
        <v>96</v>
      </c>
      <c r="H9374" t="str">
        <f>"ΚΑΛΑΜΠΑΚΑΣ  8 ΤΡΙΚΑΛΑ"</f>
        <v>ΚΑΛΑΜΠΑΚΑΣ  8 ΤΡΙΚΑΛΑ</v>
      </c>
      <c r="I9374">
        <v>42100</v>
      </c>
      <c r="J9374">
        <v>2431021886</v>
      </c>
      <c r="K9374">
        <v>6977089313</v>
      </c>
      <c r="M9374" t="s">
        <v>14224</v>
      </c>
      <c r="N9374" t="s">
        <v>176</v>
      </c>
      <c r="O9374" t="s">
        <v>177</v>
      </c>
      <c r="R9374" t="s">
        <v>57</v>
      </c>
      <c r="S9374">
        <v>5</v>
      </c>
      <c r="T9374" t="s">
        <v>8675</v>
      </c>
      <c r="U9374" s="1">
        <v>43348</v>
      </c>
      <c r="V9374" t="s">
        <v>89</v>
      </c>
      <c r="W9374" t="s">
        <v>90</v>
      </c>
      <c r="X9374" t="s">
        <v>58</v>
      </c>
      <c r="Y9374">
        <v>23</v>
      </c>
      <c r="Z9374" t="s">
        <v>59</v>
      </c>
      <c r="AA9374" t="s">
        <v>59</v>
      </c>
      <c r="AB9374" t="s">
        <v>59</v>
      </c>
      <c r="AC9374" t="s">
        <v>59</v>
      </c>
      <c r="AD9374" t="s">
        <v>59</v>
      </c>
      <c r="AF9374" s="1">
        <v>43348</v>
      </c>
      <c r="AG9374" t="s">
        <v>8645</v>
      </c>
      <c r="AH9374" t="s">
        <v>8646</v>
      </c>
      <c r="AI9374" t="str">
        <f>"9500191"</f>
        <v>9500191</v>
      </c>
      <c r="AJ9374" t="s">
        <v>13986</v>
      </c>
      <c r="AK9374">
        <v>2822022042</v>
      </c>
      <c r="AL9374" t="s">
        <v>13987</v>
      </c>
      <c r="AM9374" t="s">
        <v>88</v>
      </c>
      <c r="AN9374" t="s">
        <v>6744</v>
      </c>
      <c r="AO9374" t="s">
        <v>6744</v>
      </c>
      <c r="AP9374" t="s">
        <v>6744</v>
      </c>
      <c r="AQ9374">
        <v>9</v>
      </c>
      <c r="AR9374" t="s">
        <v>89</v>
      </c>
      <c r="AS9374" t="s">
        <v>90</v>
      </c>
      <c r="AT9374" t="s">
        <v>58</v>
      </c>
      <c r="AU9374" t="s">
        <v>8673</v>
      </c>
      <c r="AV9374" t="s">
        <v>132</v>
      </c>
      <c r="AW9374" s="1">
        <v>25029</v>
      </c>
      <c r="AX9374">
        <v>1</v>
      </c>
    </row>
    <row r="9375" spans="1:50">
      <c r="A9375">
        <v>210681</v>
      </c>
      <c r="B9375" t="str">
        <f>"139805700"</f>
        <v>139805700</v>
      </c>
      <c r="C9375" t="s">
        <v>50</v>
      </c>
      <c r="D9375" t="s">
        <v>14225</v>
      </c>
      <c r="E9375" t="s">
        <v>964</v>
      </c>
      <c r="F9375" t="s">
        <v>202</v>
      </c>
      <c r="G9375" t="s">
        <v>155</v>
      </c>
      <c r="H9375" t="str">
        <f>"ΛΟΥΛΑΚΑΚΗ   16 ΧΑΝΙΑ"</f>
        <v>ΛΟΥΛΑΚΑΚΗ   16 ΧΑΝΙΑ</v>
      </c>
      <c r="I9375">
        <v>73100</v>
      </c>
      <c r="J9375">
        <v>2821020123</v>
      </c>
      <c r="K9375">
        <v>6944918803</v>
      </c>
      <c r="N9375" t="s">
        <v>306</v>
      </c>
      <c r="O9375" t="s">
        <v>307</v>
      </c>
      <c r="R9375" t="s">
        <v>57</v>
      </c>
      <c r="S9375">
        <v>8</v>
      </c>
      <c r="T9375">
        <v>256</v>
      </c>
      <c r="U9375" s="1">
        <v>38624</v>
      </c>
      <c r="V9375" t="s">
        <v>89</v>
      </c>
      <c r="W9375" t="s">
        <v>90</v>
      </c>
      <c r="X9375" t="s">
        <v>58</v>
      </c>
      <c r="Y9375">
        <v>23</v>
      </c>
      <c r="Z9375" t="s">
        <v>59</v>
      </c>
      <c r="AA9375" t="s">
        <v>59</v>
      </c>
      <c r="AB9375" t="s">
        <v>59</v>
      </c>
      <c r="AC9375" t="s">
        <v>59</v>
      </c>
      <c r="AD9375" t="s">
        <v>59</v>
      </c>
      <c r="AF9375" s="1">
        <v>38628</v>
      </c>
      <c r="AG9375" t="s">
        <v>8645</v>
      </c>
      <c r="AH9375" t="s">
        <v>8646</v>
      </c>
      <c r="AI9375" t="str">
        <f>"9500315"</f>
        <v>9500315</v>
      </c>
      <c r="AJ9375" t="s">
        <v>14174</v>
      </c>
      <c r="AK9375">
        <v>2821040565</v>
      </c>
      <c r="AL9375" t="s">
        <v>14175</v>
      </c>
      <c r="AM9375" t="s">
        <v>88</v>
      </c>
      <c r="AN9375" t="s">
        <v>88</v>
      </c>
      <c r="AO9375" t="s">
        <v>88</v>
      </c>
      <c r="AP9375" t="s">
        <v>88</v>
      </c>
      <c r="AQ9375">
        <v>1</v>
      </c>
      <c r="AR9375" t="s">
        <v>89</v>
      </c>
      <c r="AS9375" t="s">
        <v>90</v>
      </c>
      <c r="AT9375" t="s">
        <v>58</v>
      </c>
      <c r="AU9375" t="s">
        <v>68</v>
      </c>
      <c r="AV9375" t="s">
        <v>69</v>
      </c>
      <c r="AW9375" s="1">
        <v>27850</v>
      </c>
      <c r="AX9375">
        <v>1</v>
      </c>
    </row>
    <row r="9376" spans="1:50">
      <c r="A9376">
        <v>620011</v>
      </c>
      <c r="B9376" t="str">
        <f>"102711750"</f>
        <v>102711750</v>
      </c>
      <c r="C9376" t="s">
        <v>50</v>
      </c>
      <c r="D9376" t="s">
        <v>14225</v>
      </c>
      <c r="E9376" t="s">
        <v>155</v>
      </c>
      <c r="F9376" t="s">
        <v>84</v>
      </c>
      <c r="G9376" t="s">
        <v>4729</v>
      </c>
      <c r="H9376" t="str">
        <f>"ΣΕΛΙΝΟΥ 151 ΧΑΝΙΑ"</f>
        <v>ΣΕΛΙΝΟΥ 151 ΧΑΝΙΑ</v>
      </c>
      <c r="I9376">
        <v>73100</v>
      </c>
      <c r="K9376">
        <v>6976713310</v>
      </c>
      <c r="N9376" t="s">
        <v>176</v>
      </c>
      <c r="O9376" t="s">
        <v>177</v>
      </c>
      <c r="R9376" t="s">
        <v>57</v>
      </c>
      <c r="S9376">
        <v>8</v>
      </c>
      <c r="T9376">
        <v>775</v>
      </c>
      <c r="U9376" s="1">
        <v>39680</v>
      </c>
      <c r="V9376" t="s">
        <v>89</v>
      </c>
      <c r="W9376" t="s">
        <v>90</v>
      </c>
      <c r="X9376" t="s">
        <v>58</v>
      </c>
      <c r="Y9376">
        <v>23</v>
      </c>
      <c r="Z9376" t="s">
        <v>59</v>
      </c>
      <c r="AA9376" t="s">
        <v>59</v>
      </c>
      <c r="AB9376" t="s">
        <v>59</v>
      </c>
      <c r="AC9376" t="s">
        <v>59</v>
      </c>
      <c r="AD9376" t="s">
        <v>59</v>
      </c>
      <c r="AF9376" s="1">
        <v>39680</v>
      </c>
      <c r="AG9376" t="s">
        <v>60</v>
      </c>
      <c r="AH9376" t="s">
        <v>453</v>
      </c>
      <c r="AI9376" t="str">
        <f>"9950101"</f>
        <v>9950101</v>
      </c>
      <c r="AJ9376" t="s">
        <v>90</v>
      </c>
      <c r="AK9376">
        <v>2821047300</v>
      </c>
      <c r="AL9376" t="s">
        <v>14226</v>
      </c>
      <c r="AM9376" t="s">
        <v>88</v>
      </c>
      <c r="AN9376" t="s">
        <v>88</v>
      </c>
      <c r="AO9376" t="s">
        <v>88</v>
      </c>
      <c r="AP9376" t="s">
        <v>88</v>
      </c>
      <c r="AS9376" t="s">
        <v>90</v>
      </c>
      <c r="AT9376" t="s">
        <v>58</v>
      </c>
      <c r="AU9376" t="s">
        <v>68</v>
      </c>
      <c r="AV9376" t="s">
        <v>455</v>
      </c>
      <c r="AW9376" s="1">
        <v>29152</v>
      </c>
      <c r="AX9376">
        <v>1</v>
      </c>
    </row>
    <row r="9377" spans="1:50">
      <c r="A9377">
        <v>619867</v>
      </c>
      <c r="B9377" t="str">
        <f>"065914287"</f>
        <v>065914287</v>
      </c>
      <c r="C9377" t="s">
        <v>50</v>
      </c>
      <c r="D9377" t="s">
        <v>14227</v>
      </c>
      <c r="E9377" t="s">
        <v>215</v>
      </c>
      <c r="F9377" t="s">
        <v>321</v>
      </c>
      <c r="G9377" t="s">
        <v>83</v>
      </c>
      <c r="H9377" t="str">
        <f>" "</f>
        <v xml:space="preserve"> </v>
      </c>
      <c r="J9377">
        <v>2821093986</v>
      </c>
      <c r="K9377">
        <v>6942470768</v>
      </c>
      <c r="M9377" t="s">
        <v>14228</v>
      </c>
      <c r="N9377" t="s">
        <v>176</v>
      </c>
      <c r="O9377" t="s">
        <v>177</v>
      </c>
      <c r="R9377" t="s">
        <v>57</v>
      </c>
      <c r="S9377">
        <v>6</v>
      </c>
      <c r="T9377">
        <v>775</v>
      </c>
      <c r="U9377" s="1">
        <v>39680</v>
      </c>
      <c r="V9377" t="s">
        <v>89</v>
      </c>
      <c r="W9377" t="s">
        <v>90</v>
      </c>
      <c r="X9377" t="s">
        <v>58</v>
      </c>
      <c r="Y9377">
        <v>23</v>
      </c>
      <c r="Z9377" t="s">
        <v>59</v>
      </c>
      <c r="AA9377" t="s">
        <v>59</v>
      </c>
      <c r="AB9377" t="s">
        <v>59</v>
      </c>
      <c r="AC9377" t="s">
        <v>59</v>
      </c>
      <c r="AD9377" t="s">
        <v>59</v>
      </c>
      <c r="AF9377" s="1">
        <v>39681</v>
      </c>
      <c r="AG9377" t="s">
        <v>8645</v>
      </c>
      <c r="AH9377" t="s">
        <v>8646</v>
      </c>
      <c r="AI9377" t="str">
        <f>"9500153"</f>
        <v>9500153</v>
      </c>
      <c r="AJ9377" t="s">
        <v>14103</v>
      </c>
      <c r="AK9377">
        <v>2821061267</v>
      </c>
      <c r="AL9377" t="s">
        <v>14104</v>
      </c>
      <c r="AM9377" t="s">
        <v>88</v>
      </c>
      <c r="AN9377" t="s">
        <v>6764</v>
      </c>
      <c r="AO9377" t="s">
        <v>6764</v>
      </c>
      <c r="AP9377" t="s">
        <v>12913</v>
      </c>
      <c r="AQ9377">
        <v>10</v>
      </c>
      <c r="AR9377" t="s">
        <v>89</v>
      </c>
      <c r="AS9377" t="s">
        <v>90</v>
      </c>
      <c r="AT9377" t="s">
        <v>58</v>
      </c>
      <c r="AU9377" t="s">
        <v>68</v>
      </c>
      <c r="AV9377" t="s">
        <v>132</v>
      </c>
      <c r="AW9377" s="1">
        <v>28719</v>
      </c>
      <c r="AX9377">
        <v>1</v>
      </c>
    </row>
    <row r="9378" spans="1:50">
      <c r="A9378">
        <v>597946</v>
      </c>
      <c r="B9378" t="str">
        <f>"100648409"</f>
        <v>100648409</v>
      </c>
      <c r="C9378" t="s">
        <v>50</v>
      </c>
      <c r="D9378" t="s">
        <v>14229</v>
      </c>
      <c r="E9378" t="s">
        <v>255</v>
      </c>
      <c r="F9378" t="s">
        <v>1363</v>
      </c>
      <c r="G9378" t="s">
        <v>98</v>
      </c>
      <c r="H9378" t="str">
        <f>"ΟΑΣΗ ΒΑΡΥΠΕΤΡΟΥ ΧΑΝΙΑ"</f>
        <v>ΟΑΣΗ ΒΑΡΥΠΕΤΡΟΥ ΧΑΝΙΑ</v>
      </c>
      <c r="I9378">
        <v>73100</v>
      </c>
      <c r="J9378">
        <v>2821031593</v>
      </c>
      <c r="K9378">
        <v>6944598489</v>
      </c>
      <c r="N9378" t="s">
        <v>615</v>
      </c>
      <c r="O9378" t="s">
        <v>616</v>
      </c>
      <c r="R9378" t="s">
        <v>57</v>
      </c>
      <c r="S9378">
        <v>8</v>
      </c>
      <c r="T9378">
        <v>195</v>
      </c>
      <c r="U9378" s="1">
        <v>37497</v>
      </c>
      <c r="V9378" t="s">
        <v>89</v>
      </c>
      <c r="W9378" t="s">
        <v>90</v>
      </c>
      <c r="X9378" t="s">
        <v>58</v>
      </c>
      <c r="Y9378">
        <v>22</v>
      </c>
      <c r="Z9378" t="s">
        <v>59</v>
      </c>
      <c r="AA9378" t="s">
        <v>59</v>
      </c>
      <c r="AB9378" t="s">
        <v>59</v>
      </c>
      <c r="AC9378" t="s">
        <v>59</v>
      </c>
      <c r="AD9378" t="s">
        <v>59</v>
      </c>
      <c r="AF9378" s="1">
        <v>37497</v>
      </c>
      <c r="AG9378" t="s">
        <v>8645</v>
      </c>
      <c r="AH9378" t="s">
        <v>8646</v>
      </c>
      <c r="AI9378" t="str">
        <f>"9500403"</f>
        <v>9500403</v>
      </c>
      <c r="AJ9378" t="s">
        <v>14230</v>
      </c>
      <c r="AK9378">
        <v>2821034094</v>
      </c>
      <c r="AL9378" t="s">
        <v>14231</v>
      </c>
      <c r="AM9378" t="s">
        <v>88</v>
      </c>
      <c r="AN9378" t="s">
        <v>88</v>
      </c>
      <c r="AO9378" t="s">
        <v>6785</v>
      </c>
      <c r="AP9378" t="s">
        <v>13932</v>
      </c>
      <c r="AQ9378">
        <v>3</v>
      </c>
      <c r="AR9378" t="s">
        <v>89</v>
      </c>
      <c r="AS9378" t="s">
        <v>90</v>
      </c>
      <c r="AT9378" t="s">
        <v>58</v>
      </c>
      <c r="AU9378" t="s">
        <v>68</v>
      </c>
      <c r="AV9378" t="s">
        <v>69</v>
      </c>
      <c r="AW9378" s="1">
        <v>25713</v>
      </c>
      <c r="AX9378">
        <v>1</v>
      </c>
    </row>
    <row r="9379" spans="1:50">
      <c r="B9379" t="str">
        <f>"144477884"</f>
        <v>144477884</v>
      </c>
      <c r="C9379" t="s">
        <v>50</v>
      </c>
      <c r="D9379" t="s">
        <v>4693</v>
      </c>
      <c r="E9379" t="s">
        <v>3290</v>
      </c>
      <c r="F9379" t="s">
        <v>99</v>
      </c>
      <c r="G9379" t="s">
        <v>8287</v>
      </c>
      <c r="H9379" t="str">
        <f>"ΘΕΙΡΩΝ 22 "</f>
        <v xml:space="preserve">ΘΕΙΡΩΝ 22 </v>
      </c>
      <c r="I9379">
        <v>56728</v>
      </c>
      <c r="J9379">
        <v>2310627378</v>
      </c>
      <c r="K9379">
        <v>6978355679</v>
      </c>
      <c r="N9379" t="s">
        <v>8834</v>
      </c>
      <c r="O9379" t="s">
        <v>8695</v>
      </c>
      <c r="R9379" t="s">
        <v>159</v>
      </c>
      <c r="S9379">
        <v>5</v>
      </c>
      <c r="T9379" t="s">
        <v>8835</v>
      </c>
      <c r="U9379" s="1">
        <v>43348</v>
      </c>
      <c r="V9379" t="s">
        <v>89</v>
      </c>
      <c r="W9379" t="s">
        <v>90</v>
      </c>
      <c r="X9379" t="s">
        <v>58</v>
      </c>
      <c r="Y9379">
        <v>24</v>
      </c>
      <c r="Z9379" t="s">
        <v>59</v>
      </c>
      <c r="AA9379" t="s">
        <v>59</v>
      </c>
      <c r="AB9379" t="s">
        <v>59</v>
      </c>
      <c r="AC9379" t="s">
        <v>59</v>
      </c>
      <c r="AD9379" t="s">
        <v>59</v>
      </c>
      <c r="AF9379" s="1">
        <v>43348</v>
      </c>
      <c r="AG9379" t="s">
        <v>8645</v>
      </c>
      <c r="AH9379" t="s">
        <v>8646</v>
      </c>
      <c r="AI9379" t="str">
        <f>"9500423"</f>
        <v>9500423</v>
      </c>
      <c r="AJ9379" t="s">
        <v>13893</v>
      </c>
      <c r="AK9379">
        <v>2821023473</v>
      </c>
      <c r="AL9379" t="s">
        <v>13894</v>
      </c>
      <c r="AM9379" t="s">
        <v>88</v>
      </c>
      <c r="AN9379" t="s">
        <v>88</v>
      </c>
      <c r="AO9379" t="s">
        <v>88</v>
      </c>
      <c r="AP9379" t="s">
        <v>88</v>
      </c>
      <c r="AQ9379">
        <v>1</v>
      </c>
      <c r="AR9379" t="s">
        <v>89</v>
      </c>
      <c r="AS9379" t="s">
        <v>90</v>
      </c>
      <c r="AT9379" t="s">
        <v>58</v>
      </c>
      <c r="AU9379" t="s">
        <v>131</v>
      </c>
      <c r="AV9379" t="s">
        <v>132</v>
      </c>
      <c r="AW9379" s="1">
        <v>32111</v>
      </c>
      <c r="AX9379">
        <v>1</v>
      </c>
    </row>
    <row r="9380" spans="1:50">
      <c r="B9380" t="str">
        <f>"070214806"</f>
        <v>070214806</v>
      </c>
      <c r="C9380" t="s">
        <v>50</v>
      </c>
      <c r="D9380" t="s">
        <v>4693</v>
      </c>
      <c r="E9380" t="s">
        <v>83</v>
      </c>
      <c r="F9380" t="s">
        <v>95</v>
      </c>
      <c r="G9380" t="s">
        <v>892</v>
      </c>
      <c r="H9380" t="str">
        <f>" "</f>
        <v xml:space="preserve"> </v>
      </c>
      <c r="N9380" t="s">
        <v>384</v>
      </c>
      <c r="O9380" t="s">
        <v>385</v>
      </c>
      <c r="R9380" t="s">
        <v>121</v>
      </c>
      <c r="S9380">
        <v>3</v>
      </c>
      <c r="T9380" t="s">
        <v>8696</v>
      </c>
      <c r="U9380" s="1">
        <v>43348</v>
      </c>
      <c r="V9380" t="s">
        <v>89</v>
      </c>
      <c r="W9380" t="s">
        <v>90</v>
      </c>
      <c r="X9380" t="s">
        <v>58</v>
      </c>
      <c r="Y9380">
        <v>24</v>
      </c>
      <c r="Z9380" t="s">
        <v>59</v>
      </c>
      <c r="AA9380" t="s">
        <v>59</v>
      </c>
      <c r="AB9380" t="s">
        <v>59</v>
      </c>
      <c r="AD9380" t="s">
        <v>59</v>
      </c>
      <c r="AF9380" s="1">
        <v>43348</v>
      </c>
      <c r="AG9380" t="s">
        <v>8645</v>
      </c>
      <c r="AH9380" t="s">
        <v>8697</v>
      </c>
      <c r="AI9380" t="str">
        <f>"9500424"</f>
        <v>9500424</v>
      </c>
      <c r="AJ9380" t="s">
        <v>14232</v>
      </c>
      <c r="AK9380">
        <v>2821044022</v>
      </c>
      <c r="AL9380" t="s">
        <v>14233</v>
      </c>
      <c r="AM9380" t="s">
        <v>88</v>
      </c>
      <c r="AN9380" t="s">
        <v>88</v>
      </c>
      <c r="AO9380" t="s">
        <v>88</v>
      </c>
      <c r="AP9380" t="s">
        <v>88</v>
      </c>
      <c r="AQ9380">
        <v>1</v>
      </c>
      <c r="AR9380" t="s">
        <v>89</v>
      </c>
      <c r="AS9380" t="s">
        <v>90</v>
      </c>
      <c r="AT9380" t="s">
        <v>58</v>
      </c>
      <c r="AU9380" t="s">
        <v>350</v>
      </c>
      <c r="AV9380" t="s">
        <v>132</v>
      </c>
      <c r="AW9380" s="1">
        <v>33604</v>
      </c>
      <c r="AX9380">
        <v>1</v>
      </c>
    </row>
    <row r="9381" spans="1:50">
      <c r="A9381">
        <v>607894</v>
      </c>
      <c r="B9381" t="str">
        <f>"105963171"</f>
        <v>105963171</v>
      </c>
      <c r="C9381" t="s">
        <v>50</v>
      </c>
      <c r="D9381" t="s">
        <v>4693</v>
      </c>
      <c r="E9381" t="s">
        <v>52</v>
      </c>
      <c r="F9381" t="s">
        <v>698</v>
      </c>
      <c r="G9381" t="s">
        <v>134</v>
      </c>
      <c r="H9381" t="str">
        <f>"ΕΜΜ. ΠΑΝΥΓΗΡΑΚΗ 20-22 ΧΑΝΙΑ"</f>
        <v>ΕΜΜ. ΠΑΝΥΓΗΡΑΚΗ 20-22 ΧΑΝΙΑ</v>
      </c>
      <c r="I9381">
        <v>73100</v>
      </c>
      <c r="J9381">
        <v>2821086751</v>
      </c>
      <c r="K9381">
        <v>6945410395</v>
      </c>
      <c r="M9381" t="s">
        <v>14234</v>
      </c>
      <c r="N9381" t="s">
        <v>615</v>
      </c>
      <c r="O9381" t="s">
        <v>616</v>
      </c>
      <c r="R9381" t="s">
        <v>57</v>
      </c>
      <c r="S9381">
        <v>7</v>
      </c>
      <c r="T9381">
        <v>217</v>
      </c>
      <c r="U9381" s="1">
        <v>38596</v>
      </c>
      <c r="V9381" t="s">
        <v>89</v>
      </c>
      <c r="W9381" t="s">
        <v>90</v>
      </c>
      <c r="X9381" t="s">
        <v>58</v>
      </c>
      <c r="Y9381">
        <v>23</v>
      </c>
      <c r="Z9381" t="s">
        <v>59</v>
      </c>
      <c r="AA9381" t="s">
        <v>59</v>
      </c>
      <c r="AB9381" t="s">
        <v>59</v>
      </c>
      <c r="AC9381" t="s">
        <v>59</v>
      </c>
      <c r="AD9381" t="s">
        <v>59</v>
      </c>
      <c r="AF9381" s="1">
        <v>38601</v>
      </c>
      <c r="AG9381" t="s">
        <v>8645</v>
      </c>
      <c r="AH9381" t="s">
        <v>8646</v>
      </c>
      <c r="AI9381" t="str">
        <f>"9500084"</f>
        <v>9500084</v>
      </c>
      <c r="AJ9381" t="s">
        <v>13994</v>
      </c>
      <c r="AK9381">
        <v>2821031270</v>
      </c>
      <c r="AL9381" t="s">
        <v>13995</v>
      </c>
      <c r="AM9381" t="s">
        <v>88</v>
      </c>
      <c r="AN9381" t="s">
        <v>88</v>
      </c>
      <c r="AO9381" t="s">
        <v>13920</v>
      </c>
      <c r="AP9381" t="s">
        <v>13996</v>
      </c>
      <c r="AQ9381">
        <v>3</v>
      </c>
      <c r="AR9381" t="s">
        <v>89</v>
      </c>
      <c r="AS9381" t="s">
        <v>90</v>
      </c>
      <c r="AT9381" t="s">
        <v>58</v>
      </c>
      <c r="AU9381" t="s">
        <v>68</v>
      </c>
      <c r="AV9381" t="s">
        <v>69</v>
      </c>
      <c r="AW9381" s="1">
        <v>29635</v>
      </c>
      <c r="AX9381">
        <v>1</v>
      </c>
    </row>
    <row r="9382" spans="1:50">
      <c r="A9382">
        <v>700768</v>
      </c>
      <c r="B9382" t="str">
        <f>"144045111"</f>
        <v>144045111</v>
      </c>
      <c r="C9382" t="s">
        <v>50</v>
      </c>
      <c r="D9382" t="s">
        <v>1044</v>
      </c>
      <c r="E9382" t="s">
        <v>263</v>
      </c>
      <c r="F9382" t="s">
        <v>304</v>
      </c>
      <c r="G9382" t="s">
        <v>964</v>
      </c>
      <c r="H9382" t="str">
        <f>"ΒΟΥΚΟΛΙΕΣ ΒΟΥΚΟΛΙΕΣ ΧΑΝΙΩΝ"</f>
        <v>ΒΟΥΚΟΛΙΕΣ ΒΟΥΚΟΛΙΕΣ ΧΑΝΙΩΝ</v>
      </c>
      <c r="I9382">
        <v>73002</v>
      </c>
      <c r="J9382">
        <v>2824031732</v>
      </c>
      <c r="K9382">
        <v>6945023349</v>
      </c>
      <c r="M9382" t="s">
        <v>14235</v>
      </c>
      <c r="N9382" t="s">
        <v>615</v>
      </c>
      <c r="O9382" t="s">
        <v>616</v>
      </c>
      <c r="R9382" t="s">
        <v>57</v>
      </c>
      <c r="S9382">
        <v>4</v>
      </c>
      <c r="T9382">
        <v>772</v>
      </c>
      <c r="U9382" s="1">
        <v>40413</v>
      </c>
      <c r="V9382" t="s">
        <v>89</v>
      </c>
      <c r="W9382" t="s">
        <v>90</v>
      </c>
      <c r="X9382" t="s">
        <v>58</v>
      </c>
      <c r="Y9382">
        <v>24</v>
      </c>
      <c r="Z9382" t="s">
        <v>59</v>
      </c>
      <c r="AA9382" t="s">
        <v>59</v>
      </c>
      <c r="AB9382" t="s">
        <v>59</v>
      </c>
      <c r="AC9382" t="s">
        <v>59</v>
      </c>
      <c r="AD9382" t="s">
        <v>59</v>
      </c>
      <c r="AF9382" s="1">
        <v>40414</v>
      </c>
      <c r="AG9382" t="s">
        <v>8645</v>
      </c>
      <c r="AH9382" t="s">
        <v>8646</v>
      </c>
      <c r="AI9382" t="str">
        <f>"9500360"</f>
        <v>9500360</v>
      </c>
      <c r="AJ9382" t="s">
        <v>14022</v>
      </c>
      <c r="AK9382">
        <v>2821031253</v>
      </c>
      <c r="AL9382" t="s">
        <v>14023</v>
      </c>
      <c r="AM9382" t="s">
        <v>88</v>
      </c>
      <c r="AN9382" t="s">
        <v>88</v>
      </c>
      <c r="AO9382" t="s">
        <v>6785</v>
      </c>
      <c r="AP9382" t="s">
        <v>13932</v>
      </c>
      <c r="AQ9382">
        <v>3</v>
      </c>
      <c r="AR9382" t="s">
        <v>89</v>
      </c>
      <c r="AS9382" t="s">
        <v>90</v>
      </c>
      <c r="AT9382" t="s">
        <v>58</v>
      </c>
      <c r="AU9382" t="s">
        <v>68</v>
      </c>
      <c r="AV9382" t="s">
        <v>69</v>
      </c>
      <c r="AW9382" s="1">
        <v>31587</v>
      </c>
      <c r="AX9382">
        <v>1</v>
      </c>
    </row>
    <row r="9383" spans="1:50">
      <c r="A9383">
        <v>703327</v>
      </c>
      <c r="B9383" t="str">
        <f>"117850733"</f>
        <v>117850733</v>
      </c>
      <c r="C9383" t="s">
        <v>50</v>
      </c>
      <c r="D9383" t="s">
        <v>14236</v>
      </c>
      <c r="E9383" t="s">
        <v>83</v>
      </c>
      <c r="F9383" t="s">
        <v>99</v>
      </c>
      <c r="G9383" t="s">
        <v>513</v>
      </c>
      <c r="H9383" t="str">
        <f>"ΒΩΜ 6 ΧΑΝΙΑ"</f>
        <v>ΒΩΜ 6 ΧΑΝΙΑ</v>
      </c>
      <c r="I9383">
        <v>73300</v>
      </c>
      <c r="K9383">
        <v>6982551244</v>
      </c>
      <c r="N9383" t="s">
        <v>615</v>
      </c>
      <c r="O9383" t="s">
        <v>616</v>
      </c>
      <c r="R9383" t="s">
        <v>57</v>
      </c>
      <c r="S9383">
        <v>4</v>
      </c>
      <c r="T9383">
        <v>588</v>
      </c>
      <c r="U9383" s="1">
        <v>40778</v>
      </c>
      <c r="V9383" t="s">
        <v>89</v>
      </c>
      <c r="W9383" t="s">
        <v>90</v>
      </c>
      <c r="X9383" t="s">
        <v>58</v>
      </c>
      <c r="Y9383">
        <v>24</v>
      </c>
      <c r="Z9383" t="s">
        <v>59</v>
      </c>
      <c r="AA9383" t="s">
        <v>59</v>
      </c>
      <c r="AB9383" t="s">
        <v>59</v>
      </c>
      <c r="AC9383" t="s">
        <v>59</v>
      </c>
      <c r="AD9383" t="s">
        <v>59</v>
      </c>
      <c r="AF9383" s="1">
        <v>40781</v>
      </c>
      <c r="AG9383" t="s">
        <v>8645</v>
      </c>
      <c r="AH9383" t="s">
        <v>8697</v>
      </c>
      <c r="AI9383" t="str">
        <f>"9500424"</f>
        <v>9500424</v>
      </c>
      <c r="AJ9383" t="s">
        <v>14232</v>
      </c>
      <c r="AK9383">
        <v>2821044022</v>
      </c>
      <c r="AL9383" t="s">
        <v>14233</v>
      </c>
      <c r="AM9383" t="s">
        <v>88</v>
      </c>
      <c r="AN9383" t="s">
        <v>88</v>
      </c>
      <c r="AO9383" t="s">
        <v>88</v>
      </c>
      <c r="AP9383" t="s">
        <v>88</v>
      </c>
      <c r="AQ9383">
        <v>1</v>
      </c>
      <c r="AR9383" t="s">
        <v>89</v>
      </c>
      <c r="AS9383" t="s">
        <v>90</v>
      </c>
      <c r="AT9383" t="s">
        <v>58</v>
      </c>
      <c r="AU9383" t="s">
        <v>68</v>
      </c>
      <c r="AV9383" t="s">
        <v>69</v>
      </c>
      <c r="AW9383" s="1">
        <v>27140</v>
      </c>
      <c r="AX9383">
        <v>1</v>
      </c>
    </row>
    <row r="9384" spans="1:50">
      <c r="A9384">
        <v>574302</v>
      </c>
      <c r="B9384" t="str">
        <f>"054465122"</f>
        <v>054465122</v>
      </c>
      <c r="C9384" t="s">
        <v>50</v>
      </c>
      <c r="D9384" t="s">
        <v>14237</v>
      </c>
      <c r="E9384" t="s">
        <v>460</v>
      </c>
      <c r="F9384" t="s">
        <v>72</v>
      </c>
      <c r="G9384" t="s">
        <v>513</v>
      </c>
      <c r="H9384" t="str">
        <f>"ΑΡΙΣΤΟΤΕΛΟΥΣ 63 ΧΑΝΙΑ"</f>
        <v>ΑΡΙΣΤΟΤΕΛΟΥΣ 63 ΧΑΝΙΑ</v>
      </c>
      <c r="I9384">
        <v>73100</v>
      </c>
      <c r="J9384">
        <v>2821064232</v>
      </c>
      <c r="K9384">
        <v>6977270742</v>
      </c>
      <c r="M9384" t="s">
        <v>14238</v>
      </c>
      <c r="N9384" t="s">
        <v>615</v>
      </c>
      <c r="O9384" t="s">
        <v>616</v>
      </c>
      <c r="R9384" t="s">
        <v>57</v>
      </c>
      <c r="S9384">
        <v>12</v>
      </c>
      <c r="T9384">
        <v>160</v>
      </c>
      <c r="U9384" s="1">
        <v>34582</v>
      </c>
      <c r="V9384" t="s">
        <v>89</v>
      </c>
      <c r="W9384" t="s">
        <v>90</v>
      </c>
      <c r="X9384" t="s">
        <v>58</v>
      </c>
      <c r="Y9384">
        <v>21</v>
      </c>
      <c r="Z9384" t="s">
        <v>59</v>
      </c>
      <c r="AA9384" t="s">
        <v>59</v>
      </c>
      <c r="AB9384" t="s">
        <v>59</v>
      </c>
      <c r="AC9384" t="s">
        <v>59</v>
      </c>
      <c r="AD9384" t="s">
        <v>59</v>
      </c>
      <c r="AF9384" s="1">
        <v>34582</v>
      </c>
      <c r="AG9384" t="s">
        <v>8645</v>
      </c>
      <c r="AH9384" t="s">
        <v>8646</v>
      </c>
      <c r="AI9384" t="str">
        <f>"9500083"</f>
        <v>9500083</v>
      </c>
      <c r="AJ9384" t="s">
        <v>14239</v>
      </c>
      <c r="AK9384">
        <v>2821063500</v>
      </c>
      <c r="AL9384" t="s">
        <v>14240</v>
      </c>
      <c r="AM9384" t="s">
        <v>88</v>
      </c>
      <c r="AN9384" t="s">
        <v>88</v>
      </c>
      <c r="AO9384" t="s">
        <v>6770</v>
      </c>
      <c r="AP9384" t="s">
        <v>14090</v>
      </c>
      <c r="AQ9384">
        <v>2</v>
      </c>
      <c r="AR9384" t="s">
        <v>89</v>
      </c>
      <c r="AS9384" t="s">
        <v>90</v>
      </c>
      <c r="AT9384" t="s">
        <v>58</v>
      </c>
      <c r="AU9384" t="s">
        <v>68</v>
      </c>
      <c r="AV9384" t="s">
        <v>69</v>
      </c>
      <c r="AW9384" s="1">
        <v>23936</v>
      </c>
      <c r="AX9384">
        <v>1</v>
      </c>
    </row>
    <row r="9385" spans="1:50">
      <c r="A9385">
        <v>595107</v>
      </c>
      <c r="B9385" t="str">
        <f>"054362145"</f>
        <v>054362145</v>
      </c>
      <c r="C9385" t="s">
        <v>105</v>
      </c>
      <c r="D9385" t="s">
        <v>3857</v>
      </c>
      <c r="E9385" t="s">
        <v>72</v>
      </c>
      <c r="F9385" t="s">
        <v>383</v>
      </c>
      <c r="G9385" t="s">
        <v>93</v>
      </c>
      <c r="H9385" t="str">
        <f>"ΣΟΦΟΚΛΗ ΒΕΝΙΖΕΛΟΥ 106 "</f>
        <v xml:space="preserve">ΣΟΦΟΚΛΗ ΒΕΝΙΖΕΛΟΥ 106 </v>
      </c>
      <c r="J9385">
        <v>2821033627</v>
      </c>
      <c r="K9385">
        <v>6977335999</v>
      </c>
      <c r="N9385" t="s">
        <v>615</v>
      </c>
      <c r="O9385" t="s">
        <v>616</v>
      </c>
      <c r="R9385" t="s">
        <v>57</v>
      </c>
      <c r="S9385">
        <v>9</v>
      </c>
      <c r="T9385">
        <v>218</v>
      </c>
      <c r="U9385" s="1">
        <v>37134</v>
      </c>
      <c r="V9385" t="s">
        <v>89</v>
      </c>
      <c r="W9385" t="s">
        <v>90</v>
      </c>
      <c r="X9385" t="s">
        <v>58</v>
      </c>
      <c r="Y9385">
        <v>22</v>
      </c>
      <c r="Z9385" t="s">
        <v>59</v>
      </c>
      <c r="AA9385" t="s">
        <v>59</v>
      </c>
      <c r="AB9385" t="s">
        <v>59</v>
      </c>
      <c r="AC9385" t="s">
        <v>59</v>
      </c>
      <c r="AD9385" t="s">
        <v>59</v>
      </c>
      <c r="AF9385" s="1">
        <v>37134</v>
      </c>
      <c r="AG9385" t="s">
        <v>8645</v>
      </c>
      <c r="AH9385" t="s">
        <v>8646</v>
      </c>
      <c r="AI9385" t="str">
        <f>"9500329"</f>
        <v>9500329</v>
      </c>
      <c r="AJ9385" t="s">
        <v>14241</v>
      </c>
      <c r="AK9385">
        <v>2821099075</v>
      </c>
      <c r="AL9385" t="s">
        <v>14242</v>
      </c>
      <c r="AM9385" t="s">
        <v>88</v>
      </c>
      <c r="AN9385" t="s">
        <v>88</v>
      </c>
      <c r="AO9385" t="s">
        <v>6733</v>
      </c>
      <c r="AP9385" t="s">
        <v>6734</v>
      </c>
      <c r="AQ9385">
        <v>2</v>
      </c>
      <c r="AR9385" t="s">
        <v>89</v>
      </c>
      <c r="AS9385" t="s">
        <v>90</v>
      </c>
      <c r="AT9385" t="s">
        <v>58</v>
      </c>
      <c r="AU9385" t="s">
        <v>68</v>
      </c>
      <c r="AV9385" t="s">
        <v>69</v>
      </c>
      <c r="AW9385" s="1">
        <v>24385</v>
      </c>
      <c r="AX9385">
        <v>1</v>
      </c>
    </row>
    <row r="9386" spans="1:50">
      <c r="B9386" t="str">
        <f>"141146819"</f>
        <v>141146819</v>
      </c>
      <c r="C9386" t="s">
        <v>50</v>
      </c>
      <c r="D9386" t="s">
        <v>1048</v>
      </c>
      <c r="E9386" t="s">
        <v>143</v>
      </c>
      <c r="F9386" t="s">
        <v>383</v>
      </c>
      <c r="G9386" t="s">
        <v>10634</v>
      </c>
      <c r="H9386" t="str">
        <f>"ΚΩΝ/ΝΟΥ ΠΑΛΑΙΟΛΟΓΟΥ-12 "</f>
        <v xml:space="preserve">ΚΩΝ/ΝΟΥ ΠΑΛΑΙΟΛΟΓΟΥ-12 </v>
      </c>
      <c r="I9386">
        <v>60100</v>
      </c>
      <c r="J9386">
        <v>2351075315</v>
      </c>
      <c r="K9386">
        <v>6978250036</v>
      </c>
      <c r="N9386" t="s">
        <v>8694</v>
      </c>
      <c r="O9386" t="s">
        <v>8695</v>
      </c>
      <c r="R9386" t="s">
        <v>159</v>
      </c>
      <c r="S9386">
        <v>3</v>
      </c>
      <c r="T9386" t="s">
        <v>8696</v>
      </c>
      <c r="U9386" s="1">
        <v>43348</v>
      </c>
      <c r="V9386" t="s">
        <v>89</v>
      </c>
      <c r="W9386" t="s">
        <v>90</v>
      </c>
      <c r="X9386" t="s">
        <v>58</v>
      </c>
      <c r="Y9386">
        <v>24</v>
      </c>
      <c r="Z9386" t="s">
        <v>59</v>
      </c>
      <c r="AA9386" t="s">
        <v>59</v>
      </c>
      <c r="AB9386" t="s">
        <v>59</v>
      </c>
      <c r="AC9386" t="s">
        <v>59</v>
      </c>
      <c r="AD9386" t="s">
        <v>59</v>
      </c>
      <c r="AF9386" s="1">
        <v>43348</v>
      </c>
      <c r="AG9386" t="s">
        <v>8645</v>
      </c>
      <c r="AH9386" t="s">
        <v>8646</v>
      </c>
      <c r="AI9386" t="str">
        <f>"9500107"</f>
        <v>9500107</v>
      </c>
      <c r="AJ9386" t="s">
        <v>13918</v>
      </c>
      <c r="AK9386">
        <v>2821096244</v>
      </c>
      <c r="AL9386" t="s">
        <v>13919</v>
      </c>
      <c r="AM9386" t="s">
        <v>88</v>
      </c>
      <c r="AN9386" t="s">
        <v>88</v>
      </c>
      <c r="AO9386" t="s">
        <v>13920</v>
      </c>
      <c r="AP9386" t="s">
        <v>13921</v>
      </c>
      <c r="AQ9386">
        <v>3</v>
      </c>
      <c r="AR9386" t="s">
        <v>89</v>
      </c>
      <c r="AS9386" t="s">
        <v>90</v>
      </c>
      <c r="AT9386" t="s">
        <v>58</v>
      </c>
      <c r="AU9386" t="s">
        <v>350</v>
      </c>
      <c r="AV9386" t="s">
        <v>132</v>
      </c>
      <c r="AW9386" s="1">
        <v>31973</v>
      </c>
      <c r="AX9386">
        <v>1</v>
      </c>
    </row>
    <row r="9387" spans="1:50">
      <c r="B9387" t="str">
        <f>"147783487"</f>
        <v>147783487</v>
      </c>
      <c r="C9387" t="s">
        <v>50</v>
      </c>
      <c r="D9387" t="s">
        <v>1051</v>
      </c>
      <c r="E9387" t="s">
        <v>237</v>
      </c>
      <c r="F9387" t="s">
        <v>321</v>
      </c>
      <c r="G9387" t="s">
        <v>707</v>
      </c>
      <c r="H9387" t="str">
        <f>" "</f>
        <v xml:space="preserve"> </v>
      </c>
      <c r="N9387" t="s">
        <v>615</v>
      </c>
      <c r="O9387" t="s">
        <v>616</v>
      </c>
      <c r="R9387" t="s">
        <v>159</v>
      </c>
      <c r="S9387">
        <v>1</v>
      </c>
      <c r="T9387" t="s">
        <v>8717</v>
      </c>
      <c r="U9387" s="1">
        <v>43348</v>
      </c>
      <c r="V9387" t="s">
        <v>89</v>
      </c>
      <c r="W9387" t="s">
        <v>90</v>
      </c>
      <c r="X9387" t="s">
        <v>58</v>
      </c>
      <c r="Y9387">
        <v>24</v>
      </c>
      <c r="Z9387" t="s">
        <v>59</v>
      </c>
      <c r="AA9387" t="s">
        <v>59</v>
      </c>
      <c r="AB9387" t="s">
        <v>59</v>
      </c>
      <c r="AD9387" t="s">
        <v>59</v>
      </c>
      <c r="AF9387" s="1">
        <v>43348</v>
      </c>
      <c r="AG9387" t="s">
        <v>8645</v>
      </c>
      <c r="AH9387" t="s">
        <v>8646</v>
      </c>
      <c r="AI9387" t="str">
        <f>"9500148"</f>
        <v>9500148</v>
      </c>
      <c r="AJ9387" t="s">
        <v>13851</v>
      </c>
      <c r="AK9387">
        <v>2821068328</v>
      </c>
      <c r="AL9387" t="s">
        <v>13852</v>
      </c>
      <c r="AM9387" t="s">
        <v>88</v>
      </c>
      <c r="AN9387" t="s">
        <v>88</v>
      </c>
      <c r="AO9387" t="s">
        <v>6785</v>
      </c>
      <c r="AP9387" t="s">
        <v>13853</v>
      </c>
      <c r="AQ9387">
        <v>3</v>
      </c>
      <c r="AR9387" t="s">
        <v>89</v>
      </c>
      <c r="AS9387" t="s">
        <v>90</v>
      </c>
      <c r="AT9387" t="s">
        <v>58</v>
      </c>
      <c r="AU9387" t="s">
        <v>8720</v>
      </c>
      <c r="AV9387" t="s">
        <v>132</v>
      </c>
      <c r="AW9387" s="1">
        <v>32947</v>
      </c>
      <c r="AX9387">
        <v>1</v>
      </c>
    </row>
    <row r="9388" spans="1:50">
      <c r="A9388">
        <v>582476</v>
      </c>
      <c r="B9388" t="str">
        <f>"044904809"</f>
        <v>044904809</v>
      </c>
      <c r="C9388" t="s">
        <v>50</v>
      </c>
      <c r="D9388" t="s">
        <v>14243</v>
      </c>
      <c r="E9388" t="s">
        <v>755</v>
      </c>
      <c r="F9388" t="s">
        <v>2184</v>
      </c>
      <c r="G9388" t="s">
        <v>1189</v>
      </c>
      <c r="H9388" t="str">
        <f>"ΕΘΝΙΚΗΣ ΑΝΤΙΣΤΑΣΗΣ 10 ΧΑΝΙΑ"</f>
        <v>ΕΘΝΙΚΗΣ ΑΝΤΙΣΤΑΣΗΣ 10 ΧΑΝΙΑ</v>
      </c>
      <c r="I9388">
        <v>73300</v>
      </c>
      <c r="J9388">
        <v>2821042452</v>
      </c>
      <c r="K9388">
        <v>6977401677</v>
      </c>
      <c r="N9388" t="s">
        <v>615</v>
      </c>
      <c r="O9388" t="s">
        <v>616</v>
      </c>
      <c r="R9388" t="s">
        <v>57</v>
      </c>
      <c r="S9388">
        <v>11</v>
      </c>
      <c r="T9388">
        <v>179</v>
      </c>
      <c r="U9388" s="1">
        <v>35674</v>
      </c>
      <c r="V9388" t="s">
        <v>89</v>
      </c>
      <c r="W9388" t="s">
        <v>90</v>
      </c>
      <c r="X9388" t="s">
        <v>58</v>
      </c>
      <c r="Y9388">
        <v>21</v>
      </c>
      <c r="Z9388" t="s">
        <v>59</v>
      </c>
      <c r="AA9388" t="s">
        <v>59</v>
      </c>
      <c r="AB9388" t="s">
        <v>59</v>
      </c>
      <c r="AC9388" t="s">
        <v>59</v>
      </c>
      <c r="AD9388" t="s">
        <v>59</v>
      </c>
      <c r="AF9388" s="1">
        <v>35674</v>
      </c>
      <c r="AG9388" t="s">
        <v>8645</v>
      </c>
      <c r="AH9388" t="s">
        <v>8646</v>
      </c>
      <c r="AI9388" t="str">
        <f>"9500338"</f>
        <v>9500338</v>
      </c>
      <c r="AJ9388" t="s">
        <v>13959</v>
      </c>
      <c r="AK9388">
        <v>2821040556</v>
      </c>
      <c r="AL9388" t="s">
        <v>13960</v>
      </c>
      <c r="AM9388" t="s">
        <v>88</v>
      </c>
      <c r="AN9388" t="s">
        <v>88</v>
      </c>
      <c r="AO9388" t="s">
        <v>88</v>
      </c>
      <c r="AP9388" t="s">
        <v>88</v>
      </c>
      <c r="AQ9388">
        <v>1</v>
      </c>
      <c r="AR9388" t="s">
        <v>89</v>
      </c>
      <c r="AS9388" t="s">
        <v>90</v>
      </c>
      <c r="AT9388" t="s">
        <v>58</v>
      </c>
      <c r="AU9388" t="s">
        <v>68</v>
      </c>
      <c r="AV9388" t="s">
        <v>69</v>
      </c>
      <c r="AW9388" s="1">
        <v>24991</v>
      </c>
      <c r="AX9388">
        <v>1</v>
      </c>
    </row>
    <row r="9389" spans="1:50">
      <c r="A9389">
        <v>597349</v>
      </c>
      <c r="B9389" t="str">
        <f>"100619868"</f>
        <v>100619868</v>
      </c>
      <c r="C9389" t="s">
        <v>50</v>
      </c>
      <c r="D9389" t="s">
        <v>14244</v>
      </c>
      <c r="E9389" t="s">
        <v>396</v>
      </c>
      <c r="F9389" t="s">
        <v>106</v>
      </c>
      <c r="G9389" t="s">
        <v>2811</v>
      </c>
      <c r="H9389" t="str">
        <f>" "</f>
        <v xml:space="preserve"> </v>
      </c>
      <c r="J9389">
        <v>2824031364</v>
      </c>
      <c r="L9389">
        <v>2821074185</v>
      </c>
      <c r="N9389" t="s">
        <v>176</v>
      </c>
      <c r="O9389" t="s">
        <v>177</v>
      </c>
      <c r="R9389" t="s">
        <v>57</v>
      </c>
      <c r="S9389">
        <v>10</v>
      </c>
      <c r="T9389">
        <v>193</v>
      </c>
      <c r="U9389" s="1">
        <v>37497</v>
      </c>
      <c r="V9389" t="s">
        <v>89</v>
      </c>
      <c r="W9389" t="s">
        <v>90</v>
      </c>
      <c r="X9389" t="s">
        <v>58</v>
      </c>
      <c r="Y9389">
        <v>21</v>
      </c>
      <c r="Z9389" t="s">
        <v>59</v>
      </c>
      <c r="AA9389" t="s">
        <v>59</v>
      </c>
      <c r="AB9389" t="s">
        <v>59</v>
      </c>
      <c r="AC9389" t="s">
        <v>59</v>
      </c>
      <c r="AD9389" t="s">
        <v>59</v>
      </c>
      <c r="AF9389" s="1">
        <v>37497</v>
      </c>
      <c r="AG9389" t="s">
        <v>8645</v>
      </c>
      <c r="AH9389" t="s">
        <v>8646</v>
      </c>
      <c r="AI9389" t="str">
        <f>"9500329"</f>
        <v>9500329</v>
      </c>
      <c r="AJ9389" t="s">
        <v>14241</v>
      </c>
      <c r="AK9389">
        <v>2821099075</v>
      </c>
      <c r="AL9389" t="s">
        <v>14242</v>
      </c>
      <c r="AM9389" t="s">
        <v>88</v>
      </c>
      <c r="AN9389" t="s">
        <v>88</v>
      </c>
      <c r="AO9389" t="s">
        <v>6733</v>
      </c>
      <c r="AP9389" t="s">
        <v>6734</v>
      </c>
      <c r="AQ9389">
        <v>2</v>
      </c>
      <c r="AR9389" t="s">
        <v>89</v>
      </c>
      <c r="AS9389" t="s">
        <v>90</v>
      </c>
      <c r="AT9389" t="s">
        <v>58</v>
      </c>
      <c r="AU9389" t="s">
        <v>68</v>
      </c>
      <c r="AV9389" t="s">
        <v>69</v>
      </c>
      <c r="AW9389" s="1">
        <v>23554</v>
      </c>
      <c r="AX9389">
        <v>1</v>
      </c>
    </row>
    <row r="9390" spans="1:50">
      <c r="B9390" t="str">
        <f>"146313314"</f>
        <v>146313314</v>
      </c>
      <c r="C9390" t="s">
        <v>50</v>
      </c>
      <c r="D9390" t="s">
        <v>1064</v>
      </c>
      <c r="E9390" t="s">
        <v>112</v>
      </c>
      <c r="F9390" t="s">
        <v>154</v>
      </c>
      <c r="G9390" t="s">
        <v>314</v>
      </c>
      <c r="H9390" t="str">
        <f>"ΜΑΡΓΟΥΝΙΟΥ 31 ΧΑΝΙΑ"</f>
        <v>ΜΑΡΓΟΥΝΙΟΥ 31 ΧΑΝΙΑ</v>
      </c>
      <c r="I9390">
        <v>73100</v>
      </c>
      <c r="J9390">
        <v>2821090255</v>
      </c>
      <c r="K9390">
        <v>6978624832</v>
      </c>
      <c r="N9390" t="s">
        <v>615</v>
      </c>
      <c r="O9390" t="s">
        <v>616</v>
      </c>
      <c r="R9390" t="s">
        <v>159</v>
      </c>
      <c r="S9390">
        <v>2</v>
      </c>
      <c r="T9390" t="s">
        <v>8675</v>
      </c>
      <c r="U9390" s="1">
        <v>43348</v>
      </c>
      <c r="V9390" t="s">
        <v>89</v>
      </c>
      <c r="W9390" t="s">
        <v>90</v>
      </c>
      <c r="X9390" t="s">
        <v>58</v>
      </c>
      <c r="Y9390">
        <v>24</v>
      </c>
      <c r="Z9390" t="s">
        <v>59</v>
      </c>
      <c r="AA9390" t="s">
        <v>59</v>
      </c>
      <c r="AB9390" t="s">
        <v>59</v>
      </c>
      <c r="AC9390" t="s">
        <v>59</v>
      </c>
      <c r="AD9390" t="s">
        <v>59</v>
      </c>
      <c r="AF9390" s="1">
        <v>43348</v>
      </c>
      <c r="AG9390" t="s">
        <v>8645</v>
      </c>
      <c r="AH9390" t="s">
        <v>8646</v>
      </c>
      <c r="AI9390" t="str">
        <f>"9500075"</f>
        <v>9500075</v>
      </c>
      <c r="AJ9390" t="s">
        <v>13955</v>
      </c>
      <c r="AK9390">
        <v>2821046505</v>
      </c>
      <c r="AL9390" t="s">
        <v>13956</v>
      </c>
      <c r="AM9390" t="s">
        <v>88</v>
      </c>
      <c r="AN9390" t="s">
        <v>88</v>
      </c>
      <c r="AO9390" t="s">
        <v>88</v>
      </c>
      <c r="AP9390" t="s">
        <v>88</v>
      </c>
      <c r="AQ9390">
        <v>1</v>
      </c>
      <c r="AR9390" t="s">
        <v>89</v>
      </c>
      <c r="AS9390" t="s">
        <v>90</v>
      </c>
      <c r="AT9390" t="s">
        <v>58</v>
      </c>
      <c r="AU9390" t="s">
        <v>8673</v>
      </c>
      <c r="AV9390" t="s">
        <v>132</v>
      </c>
      <c r="AW9390" s="1">
        <v>32304</v>
      </c>
      <c r="AX9390">
        <v>1</v>
      </c>
    </row>
    <row r="9391" spans="1:50">
      <c r="A9391">
        <v>587549</v>
      </c>
      <c r="B9391" t="str">
        <f>"050062065"</f>
        <v>050062065</v>
      </c>
      <c r="C9391" t="s">
        <v>105</v>
      </c>
      <c r="D9391" t="s">
        <v>1073</v>
      </c>
      <c r="E9391" t="s">
        <v>1363</v>
      </c>
      <c r="F9391" t="s">
        <v>900</v>
      </c>
      <c r="G9391" t="s">
        <v>237</v>
      </c>
      <c r="H9391" t="str">
        <f>"ΤΑΥΡΩΝΙΤΗΣ ΚΙΣΑΜΟΥ ΚΙΣΑΜΟΥ"</f>
        <v>ΤΑΥΡΩΝΙΤΗΣ ΚΙΣΑΜΟΥ ΚΙΣΑΜΟΥ</v>
      </c>
      <c r="I9391">
        <v>73006</v>
      </c>
      <c r="J9391">
        <v>2824022858</v>
      </c>
      <c r="N9391" t="s">
        <v>176</v>
      </c>
      <c r="O9391" t="s">
        <v>177</v>
      </c>
      <c r="R9391" t="s">
        <v>57</v>
      </c>
      <c r="S9391">
        <v>12</v>
      </c>
      <c r="T9391">
        <v>164</v>
      </c>
      <c r="U9391" s="1">
        <v>36040</v>
      </c>
      <c r="V9391" t="s">
        <v>89</v>
      </c>
      <c r="W9391" t="s">
        <v>90</v>
      </c>
      <c r="X9391" t="s">
        <v>58</v>
      </c>
      <c r="Y9391">
        <v>21</v>
      </c>
      <c r="Z9391" t="s">
        <v>59</v>
      </c>
      <c r="AA9391" t="s">
        <v>59</v>
      </c>
      <c r="AB9391" t="s">
        <v>59</v>
      </c>
      <c r="AC9391" t="s">
        <v>59</v>
      </c>
      <c r="AD9391" t="s">
        <v>59</v>
      </c>
      <c r="AF9391" s="1">
        <v>36040</v>
      </c>
      <c r="AG9391" t="s">
        <v>8645</v>
      </c>
      <c r="AH9391" t="s">
        <v>8646</v>
      </c>
      <c r="AI9391" t="str">
        <f>"9500126"</f>
        <v>9500126</v>
      </c>
      <c r="AJ9391" t="s">
        <v>14245</v>
      </c>
      <c r="AK9391">
        <v>2824031229</v>
      </c>
      <c r="AL9391" t="s">
        <v>14246</v>
      </c>
      <c r="AM9391" t="s">
        <v>88</v>
      </c>
      <c r="AN9391" t="s">
        <v>6764</v>
      </c>
      <c r="AO9391" t="s">
        <v>6765</v>
      </c>
      <c r="AP9391" t="s">
        <v>6765</v>
      </c>
      <c r="AQ9391">
        <v>6</v>
      </c>
      <c r="AR9391" t="s">
        <v>89</v>
      </c>
      <c r="AS9391" t="s">
        <v>90</v>
      </c>
      <c r="AT9391" t="s">
        <v>58</v>
      </c>
      <c r="AU9391" t="s">
        <v>68</v>
      </c>
      <c r="AV9391" t="s">
        <v>69</v>
      </c>
      <c r="AW9391" s="1">
        <v>23928</v>
      </c>
      <c r="AX9391">
        <v>1</v>
      </c>
    </row>
    <row r="9392" spans="1:50">
      <c r="A9392">
        <v>557525</v>
      </c>
      <c r="B9392" t="str">
        <f>"031876553"</f>
        <v>031876553</v>
      </c>
      <c r="C9392" t="s">
        <v>105</v>
      </c>
      <c r="D9392" t="s">
        <v>1073</v>
      </c>
      <c r="E9392" t="s">
        <v>72</v>
      </c>
      <c r="F9392" t="s">
        <v>166</v>
      </c>
      <c r="G9392" t="s">
        <v>714</v>
      </c>
      <c r="H9392" t="str">
        <f>"ΤΑΥΡΩΝΙΤΗΣ ΚΙΣΑΜΟΥ  ΚΙΣΑΜΟΣ"</f>
        <v>ΤΑΥΡΩΝΙΤΗΣ ΚΙΣΑΜΟΥ  ΚΙΣΑΜΟΣ</v>
      </c>
      <c r="I9392">
        <v>73006</v>
      </c>
      <c r="J9392">
        <v>2824023571</v>
      </c>
      <c r="K9392">
        <v>6944633427</v>
      </c>
      <c r="N9392" t="s">
        <v>615</v>
      </c>
      <c r="O9392" t="s">
        <v>616</v>
      </c>
      <c r="R9392" t="s">
        <v>57</v>
      </c>
      <c r="S9392">
        <v>16</v>
      </c>
      <c r="T9392">
        <v>168</v>
      </c>
      <c r="U9392" s="1">
        <v>32010</v>
      </c>
      <c r="V9392" t="s">
        <v>89</v>
      </c>
      <c r="W9392" t="s">
        <v>90</v>
      </c>
      <c r="X9392" t="s">
        <v>58</v>
      </c>
      <c r="Y9392">
        <v>21</v>
      </c>
      <c r="Z9392" t="s">
        <v>59</v>
      </c>
      <c r="AA9392" t="s">
        <v>59</v>
      </c>
      <c r="AB9392" t="s">
        <v>59</v>
      </c>
      <c r="AC9392" t="s">
        <v>59</v>
      </c>
      <c r="AD9392" t="s">
        <v>59</v>
      </c>
      <c r="AF9392" s="1">
        <v>32023</v>
      </c>
      <c r="AG9392" t="s">
        <v>8645</v>
      </c>
      <c r="AH9392" t="s">
        <v>8646</v>
      </c>
      <c r="AI9392" t="str">
        <f>"9500126"</f>
        <v>9500126</v>
      </c>
      <c r="AJ9392" t="s">
        <v>14245</v>
      </c>
      <c r="AK9392">
        <v>2824031229</v>
      </c>
      <c r="AL9392" t="s">
        <v>14246</v>
      </c>
      <c r="AM9392" t="s">
        <v>88</v>
      </c>
      <c r="AN9392" t="s">
        <v>6764</v>
      </c>
      <c r="AO9392" t="s">
        <v>6765</v>
      </c>
      <c r="AP9392" t="s">
        <v>6765</v>
      </c>
      <c r="AQ9392">
        <v>6</v>
      </c>
      <c r="AR9392" t="s">
        <v>89</v>
      </c>
      <c r="AS9392" t="s">
        <v>90</v>
      </c>
      <c r="AT9392" t="s">
        <v>58</v>
      </c>
      <c r="AU9392" t="s">
        <v>68</v>
      </c>
      <c r="AV9392" t="s">
        <v>69</v>
      </c>
      <c r="AW9392" s="1">
        <v>23152</v>
      </c>
      <c r="AX9392">
        <v>1</v>
      </c>
    </row>
    <row r="9393" spans="1:50">
      <c r="A9393">
        <v>587228</v>
      </c>
      <c r="B9393" t="str">
        <f>"036797852"</f>
        <v>036797852</v>
      </c>
      <c r="C9393" t="s">
        <v>50</v>
      </c>
      <c r="D9393" t="s">
        <v>14247</v>
      </c>
      <c r="E9393" t="s">
        <v>964</v>
      </c>
      <c r="F9393" t="s">
        <v>474</v>
      </c>
      <c r="G9393" t="s">
        <v>2088</v>
      </c>
      <c r="H9393" t="str">
        <f>"Τ.Θ. 200 ΚΟΥΝΟΥΠΙΔΙΑΝΑ"</f>
        <v>Τ.Θ. 200 ΚΟΥΝΟΥΠΙΔΙΑΝΑ</v>
      </c>
      <c r="I9393">
        <v>73142</v>
      </c>
      <c r="J9393">
        <v>2821064499</v>
      </c>
      <c r="K9393">
        <v>6973747752</v>
      </c>
      <c r="N9393" t="s">
        <v>1525</v>
      </c>
      <c r="O9393" t="s">
        <v>1526</v>
      </c>
      <c r="R9393" t="s">
        <v>57</v>
      </c>
      <c r="S9393">
        <v>11</v>
      </c>
      <c r="T9393">
        <v>165</v>
      </c>
      <c r="U9393" s="1">
        <v>36040</v>
      </c>
      <c r="V9393" t="s">
        <v>89</v>
      </c>
      <c r="W9393" t="s">
        <v>90</v>
      </c>
      <c r="X9393" t="s">
        <v>58</v>
      </c>
      <c r="Y9393">
        <v>25</v>
      </c>
      <c r="Z9393" t="s">
        <v>59</v>
      </c>
      <c r="AA9393" t="s">
        <v>59</v>
      </c>
      <c r="AB9393" t="s">
        <v>59</v>
      </c>
      <c r="AC9393" t="s">
        <v>59</v>
      </c>
      <c r="AD9393" t="s">
        <v>59</v>
      </c>
      <c r="AF9393" s="1">
        <v>36040</v>
      </c>
      <c r="AG9393" t="s">
        <v>8651</v>
      </c>
      <c r="AH9393" t="s">
        <v>8652</v>
      </c>
      <c r="AI9393" t="str">
        <f>"9500309"</f>
        <v>9500309</v>
      </c>
      <c r="AJ9393" t="s">
        <v>14248</v>
      </c>
      <c r="AK9393">
        <v>2821066285</v>
      </c>
      <c r="AL9393" t="s">
        <v>14249</v>
      </c>
      <c r="AM9393" t="s">
        <v>88</v>
      </c>
      <c r="AN9393" t="s">
        <v>88</v>
      </c>
      <c r="AO9393" t="s">
        <v>6770</v>
      </c>
      <c r="AP9393" t="s">
        <v>14090</v>
      </c>
      <c r="AQ9393">
        <v>2</v>
      </c>
      <c r="AR9393" t="s">
        <v>89</v>
      </c>
      <c r="AS9393" t="s">
        <v>90</v>
      </c>
      <c r="AT9393" t="s">
        <v>58</v>
      </c>
      <c r="AU9393" t="s">
        <v>68</v>
      </c>
      <c r="AV9393" t="s">
        <v>69</v>
      </c>
      <c r="AW9393" s="1">
        <v>23902</v>
      </c>
      <c r="AX9393">
        <v>1</v>
      </c>
    </row>
    <row r="9394" spans="1:50">
      <c r="A9394">
        <v>203208</v>
      </c>
      <c r="B9394" t="str">
        <f>"077618000"</f>
        <v>077618000</v>
      </c>
      <c r="C9394" t="s">
        <v>50</v>
      </c>
      <c r="D9394" t="s">
        <v>14250</v>
      </c>
      <c r="E9394" t="s">
        <v>14251</v>
      </c>
      <c r="F9394" t="s">
        <v>14252</v>
      </c>
      <c r="G9394" t="s">
        <v>14253</v>
      </c>
      <c r="H9394" t="str">
        <f>" "</f>
        <v xml:space="preserve"> </v>
      </c>
      <c r="N9394" t="s">
        <v>306</v>
      </c>
      <c r="O9394" t="s">
        <v>307</v>
      </c>
      <c r="R9394" t="s">
        <v>57</v>
      </c>
      <c r="S9394">
        <v>7</v>
      </c>
      <c r="T9394">
        <v>231</v>
      </c>
      <c r="U9394" s="1">
        <v>38230</v>
      </c>
      <c r="V9394" t="s">
        <v>89</v>
      </c>
      <c r="W9394" t="s">
        <v>90</v>
      </c>
      <c r="X9394" t="s">
        <v>58</v>
      </c>
      <c r="Y9394">
        <v>23</v>
      </c>
      <c r="Z9394" t="s">
        <v>59</v>
      </c>
      <c r="AA9394" t="s">
        <v>59</v>
      </c>
      <c r="AB9394" t="s">
        <v>59</v>
      </c>
      <c r="AC9394" t="s">
        <v>59</v>
      </c>
      <c r="AD9394" t="s">
        <v>59</v>
      </c>
      <c r="AF9394" s="1">
        <v>38236</v>
      </c>
      <c r="AG9394" t="s">
        <v>8645</v>
      </c>
      <c r="AH9394" t="s">
        <v>8646</v>
      </c>
      <c r="AI9394" t="str">
        <f>"9500407"</f>
        <v>9500407</v>
      </c>
      <c r="AJ9394" t="s">
        <v>13867</v>
      </c>
      <c r="AK9394">
        <v>2821089224</v>
      </c>
      <c r="AL9394" t="s">
        <v>13868</v>
      </c>
      <c r="AM9394" t="s">
        <v>88</v>
      </c>
      <c r="AN9394" t="s">
        <v>88</v>
      </c>
      <c r="AO9394" t="s">
        <v>6748</v>
      </c>
      <c r="AP9394" t="s">
        <v>6748</v>
      </c>
      <c r="AQ9394">
        <v>2</v>
      </c>
      <c r="AR9394" t="s">
        <v>89</v>
      </c>
      <c r="AS9394" t="s">
        <v>90</v>
      </c>
      <c r="AT9394" t="s">
        <v>58</v>
      </c>
      <c r="AU9394" t="s">
        <v>68</v>
      </c>
      <c r="AV9394" t="s">
        <v>69</v>
      </c>
      <c r="AW9394" s="1">
        <v>24259</v>
      </c>
      <c r="AX9394">
        <v>1</v>
      </c>
    </row>
    <row r="9395" spans="1:50">
      <c r="B9395" t="str">
        <f>"139553786"</f>
        <v>139553786</v>
      </c>
      <c r="C9395" t="s">
        <v>50</v>
      </c>
      <c r="D9395" t="s">
        <v>14254</v>
      </c>
      <c r="E9395" t="s">
        <v>250</v>
      </c>
      <c r="F9395" t="s">
        <v>670</v>
      </c>
      <c r="G9395" t="s">
        <v>4717</v>
      </c>
      <c r="H9395" t="str">
        <f>"ΕΡΥΜΑΝΘΟΥ 27 "</f>
        <v xml:space="preserve">ΕΡΥΜΑΝΘΟΥ 27 </v>
      </c>
      <c r="I9395">
        <v>41335</v>
      </c>
      <c r="J9395">
        <v>2410627327</v>
      </c>
      <c r="K9395">
        <v>6987894720</v>
      </c>
      <c r="N9395" t="s">
        <v>10066</v>
      </c>
      <c r="O9395" t="s">
        <v>9830</v>
      </c>
      <c r="R9395" t="s">
        <v>121</v>
      </c>
      <c r="S9395">
        <v>2</v>
      </c>
      <c r="T9395" t="s">
        <v>8835</v>
      </c>
      <c r="U9395" s="1">
        <v>43348</v>
      </c>
      <c r="V9395" t="s">
        <v>89</v>
      </c>
      <c r="W9395" t="s">
        <v>90</v>
      </c>
      <c r="X9395" t="s">
        <v>58</v>
      </c>
      <c r="Y9395">
        <v>25</v>
      </c>
      <c r="Z9395" t="s">
        <v>59</v>
      </c>
      <c r="AA9395" t="s">
        <v>59</v>
      </c>
      <c r="AB9395" t="s">
        <v>59</v>
      </c>
      <c r="AC9395" t="s">
        <v>59</v>
      </c>
      <c r="AD9395" t="s">
        <v>59</v>
      </c>
      <c r="AF9395" s="1">
        <v>43348</v>
      </c>
      <c r="AG9395" t="s">
        <v>8651</v>
      </c>
      <c r="AH9395" t="s">
        <v>8652</v>
      </c>
      <c r="AI9395" t="str">
        <f>"9500402"</f>
        <v>9500402</v>
      </c>
      <c r="AJ9395" t="s">
        <v>14255</v>
      </c>
      <c r="AK9395">
        <v>2821042809</v>
      </c>
      <c r="AL9395" t="s">
        <v>14256</v>
      </c>
      <c r="AM9395" t="s">
        <v>88</v>
      </c>
      <c r="AN9395" t="s">
        <v>88</v>
      </c>
      <c r="AO9395" t="s">
        <v>88</v>
      </c>
      <c r="AP9395" t="s">
        <v>88</v>
      </c>
      <c r="AQ9395">
        <v>1</v>
      </c>
      <c r="AR9395" t="s">
        <v>89</v>
      </c>
      <c r="AS9395" t="s">
        <v>90</v>
      </c>
      <c r="AT9395" t="s">
        <v>58</v>
      </c>
      <c r="AU9395" t="s">
        <v>131</v>
      </c>
      <c r="AV9395" t="s">
        <v>132</v>
      </c>
      <c r="AW9395" s="1">
        <v>32514</v>
      </c>
      <c r="AX9395">
        <v>1</v>
      </c>
    </row>
    <row r="9396" spans="1:50">
      <c r="A9396">
        <v>579182</v>
      </c>
      <c r="B9396" t="str">
        <f>"035861870"</f>
        <v>035861870</v>
      </c>
      <c r="C9396" t="s">
        <v>105</v>
      </c>
      <c r="D9396" t="s">
        <v>1082</v>
      </c>
      <c r="E9396" t="s">
        <v>53</v>
      </c>
      <c r="F9396" t="s">
        <v>383</v>
      </c>
      <c r="G9396" t="s">
        <v>237</v>
      </c>
      <c r="H9396" t="str">
        <f>"ΜΑΝ.ΜΑΝΟΥΣΕΛΗ ΧΑΝΙΑ"</f>
        <v>ΜΑΝ.ΜΑΝΟΥΣΕΛΗ ΧΑΝΙΑ</v>
      </c>
      <c r="I9396">
        <v>73100</v>
      </c>
      <c r="J9396">
        <v>2821045769</v>
      </c>
      <c r="K9396">
        <v>6977191126</v>
      </c>
      <c r="N9396" t="s">
        <v>615</v>
      </c>
      <c r="O9396" t="s">
        <v>616</v>
      </c>
      <c r="P9396" t="s">
        <v>232</v>
      </c>
      <c r="Q9396" t="s">
        <v>233</v>
      </c>
      <c r="R9396" t="s">
        <v>57</v>
      </c>
      <c r="S9396">
        <v>15</v>
      </c>
      <c r="T9396">
        <v>165</v>
      </c>
      <c r="U9396" s="1">
        <v>35300</v>
      </c>
      <c r="V9396" t="s">
        <v>89</v>
      </c>
      <c r="W9396" t="s">
        <v>90</v>
      </c>
      <c r="X9396" t="s">
        <v>58</v>
      </c>
      <c r="Y9396">
        <v>21</v>
      </c>
      <c r="Z9396" t="s">
        <v>59</v>
      </c>
      <c r="AA9396" t="s">
        <v>59</v>
      </c>
      <c r="AB9396" t="s">
        <v>59</v>
      </c>
      <c r="AC9396" t="s">
        <v>59</v>
      </c>
      <c r="AD9396" t="s">
        <v>59</v>
      </c>
      <c r="AF9396" s="1">
        <v>35300</v>
      </c>
      <c r="AG9396" t="s">
        <v>8645</v>
      </c>
      <c r="AH9396" t="s">
        <v>8646</v>
      </c>
      <c r="AI9396" t="str">
        <f>"9500035"</f>
        <v>9500035</v>
      </c>
      <c r="AJ9396" t="s">
        <v>13979</v>
      </c>
      <c r="AK9396">
        <v>2821094678</v>
      </c>
      <c r="AL9396" t="s">
        <v>13980</v>
      </c>
      <c r="AM9396" t="s">
        <v>88</v>
      </c>
      <c r="AN9396" t="s">
        <v>88</v>
      </c>
      <c r="AO9396" t="s">
        <v>88</v>
      </c>
      <c r="AP9396" t="s">
        <v>88</v>
      </c>
      <c r="AQ9396">
        <v>2</v>
      </c>
      <c r="AR9396" t="s">
        <v>89</v>
      </c>
      <c r="AS9396" t="s">
        <v>90</v>
      </c>
      <c r="AT9396" t="s">
        <v>58</v>
      </c>
      <c r="AU9396" t="s">
        <v>68</v>
      </c>
      <c r="AV9396" t="s">
        <v>69</v>
      </c>
      <c r="AW9396" s="1">
        <v>24231</v>
      </c>
      <c r="AX9396">
        <v>1</v>
      </c>
    </row>
    <row r="9397" spans="1:50">
      <c r="A9397">
        <v>702700</v>
      </c>
      <c r="B9397" t="str">
        <f>"113583844"</f>
        <v>113583844</v>
      </c>
      <c r="C9397" t="s">
        <v>50</v>
      </c>
      <c r="D9397" t="s">
        <v>14257</v>
      </c>
      <c r="E9397" t="s">
        <v>143</v>
      </c>
      <c r="F9397" t="s">
        <v>72</v>
      </c>
      <c r="G9397" t="s">
        <v>340</v>
      </c>
      <c r="H9397" t="str">
        <f>"ΚΑΡΑΟΛΗ - ΔΗΜΗΤΡΙΟΥ 32 ΒΟΛΟΣ"</f>
        <v>ΚΑΡΑΟΛΗ - ΔΗΜΗΤΡΙΟΥ 32 ΒΟΛΟΣ</v>
      </c>
      <c r="I9397">
        <v>38221</v>
      </c>
      <c r="J9397">
        <v>2421054446</v>
      </c>
      <c r="K9397">
        <v>6978779100</v>
      </c>
      <c r="N9397" t="s">
        <v>1525</v>
      </c>
      <c r="O9397" t="s">
        <v>1526</v>
      </c>
      <c r="R9397" t="s">
        <v>57</v>
      </c>
      <c r="S9397">
        <v>7</v>
      </c>
      <c r="T9397">
        <v>772</v>
      </c>
      <c r="U9397" s="1">
        <v>40413</v>
      </c>
      <c r="V9397" t="s">
        <v>89</v>
      </c>
      <c r="W9397" t="s">
        <v>90</v>
      </c>
      <c r="X9397" t="s">
        <v>58</v>
      </c>
      <c r="Y9397">
        <v>25</v>
      </c>
      <c r="Z9397" t="s">
        <v>59</v>
      </c>
      <c r="AA9397" t="s">
        <v>59</v>
      </c>
      <c r="AB9397" t="s">
        <v>59</v>
      </c>
      <c r="AC9397" t="s">
        <v>59</v>
      </c>
      <c r="AD9397" t="s">
        <v>59</v>
      </c>
      <c r="AF9397" s="1">
        <v>40413</v>
      </c>
      <c r="AG9397" t="s">
        <v>8651</v>
      </c>
      <c r="AH9397" t="s">
        <v>8652</v>
      </c>
      <c r="AI9397" t="str">
        <f>"9500108"</f>
        <v>9500108</v>
      </c>
      <c r="AJ9397" t="s">
        <v>14258</v>
      </c>
      <c r="AK9397">
        <v>2821079280</v>
      </c>
      <c r="AL9397" t="s">
        <v>14259</v>
      </c>
      <c r="AM9397" t="s">
        <v>88</v>
      </c>
      <c r="AN9397" t="s">
        <v>88</v>
      </c>
      <c r="AO9397" t="s">
        <v>13920</v>
      </c>
      <c r="AP9397" t="s">
        <v>13921</v>
      </c>
      <c r="AQ9397">
        <v>3</v>
      </c>
      <c r="AR9397" t="s">
        <v>89</v>
      </c>
      <c r="AS9397" t="s">
        <v>90</v>
      </c>
      <c r="AT9397" t="s">
        <v>58</v>
      </c>
      <c r="AU9397" t="s">
        <v>68</v>
      </c>
      <c r="AV9397" t="s">
        <v>69</v>
      </c>
      <c r="AW9397" s="1">
        <v>30382</v>
      </c>
      <c r="AX9397">
        <v>1</v>
      </c>
    </row>
    <row r="9398" spans="1:50">
      <c r="A9398">
        <v>701024</v>
      </c>
      <c r="B9398" t="str">
        <f>"118199269"</f>
        <v>118199269</v>
      </c>
      <c r="C9398" t="s">
        <v>50</v>
      </c>
      <c r="D9398" t="s">
        <v>14260</v>
      </c>
      <c r="E9398" t="s">
        <v>52</v>
      </c>
      <c r="F9398" t="s">
        <v>84</v>
      </c>
      <c r="G9398" t="s">
        <v>1189</v>
      </c>
      <c r="H9398" t="str">
        <f>"ΕΜ. ΜΠΕΝΑΚΗ 9 ΑΓ ΑΝΑΡΓΥΡΟΙ"</f>
        <v>ΕΜ. ΜΠΕΝΑΚΗ 9 ΑΓ ΑΝΑΡΓΥΡΟΙ</v>
      </c>
      <c r="I9398">
        <v>13561</v>
      </c>
      <c r="J9398">
        <v>2108321914</v>
      </c>
      <c r="K9398">
        <v>6972393624</v>
      </c>
      <c r="N9398" t="s">
        <v>615</v>
      </c>
      <c r="O9398" t="s">
        <v>616</v>
      </c>
      <c r="R9398" t="s">
        <v>57</v>
      </c>
      <c r="S9398">
        <v>5</v>
      </c>
      <c r="T9398">
        <v>772</v>
      </c>
      <c r="U9398" s="1">
        <v>40413</v>
      </c>
      <c r="V9398" t="s">
        <v>89</v>
      </c>
      <c r="W9398" t="s">
        <v>90</v>
      </c>
      <c r="X9398" t="s">
        <v>58</v>
      </c>
      <c r="Y9398">
        <v>23</v>
      </c>
      <c r="Z9398" t="s">
        <v>59</v>
      </c>
      <c r="AA9398" t="s">
        <v>59</v>
      </c>
      <c r="AB9398" t="s">
        <v>59</v>
      </c>
      <c r="AC9398" t="s">
        <v>59</v>
      </c>
      <c r="AD9398" t="s">
        <v>59</v>
      </c>
      <c r="AF9398" s="1">
        <v>40413</v>
      </c>
      <c r="AG9398" t="s">
        <v>8645</v>
      </c>
      <c r="AH9398" t="s">
        <v>14199</v>
      </c>
      <c r="AI9398" t="str">
        <f>"9500140"</f>
        <v>9500140</v>
      </c>
      <c r="AJ9398" t="s">
        <v>14200</v>
      </c>
      <c r="AK9398">
        <v>2821097348</v>
      </c>
      <c r="AL9398" t="s">
        <v>14201</v>
      </c>
      <c r="AM9398" t="s">
        <v>88</v>
      </c>
      <c r="AN9398" t="s">
        <v>88</v>
      </c>
      <c r="AO9398" t="s">
        <v>88</v>
      </c>
      <c r="AP9398" t="s">
        <v>88</v>
      </c>
      <c r="AQ9398">
        <v>1</v>
      </c>
      <c r="AR9398" t="s">
        <v>89</v>
      </c>
      <c r="AS9398" t="s">
        <v>90</v>
      </c>
      <c r="AT9398" t="s">
        <v>58</v>
      </c>
      <c r="AU9398" t="s">
        <v>68</v>
      </c>
      <c r="AV9398" t="s">
        <v>69</v>
      </c>
      <c r="AW9398" s="1">
        <v>29790</v>
      </c>
      <c r="AX9398">
        <v>1</v>
      </c>
    </row>
    <row r="9399" spans="1:50">
      <c r="B9399" t="str">
        <f>"127246236"</f>
        <v>127246236</v>
      </c>
      <c r="C9399" t="s">
        <v>50</v>
      </c>
      <c r="D9399" t="s">
        <v>14261</v>
      </c>
      <c r="E9399" t="s">
        <v>1074</v>
      </c>
      <c r="F9399" t="s">
        <v>1743</v>
      </c>
      <c r="G9399" t="s">
        <v>1078</v>
      </c>
      <c r="H9399" t="str">
        <f>"ΚΟΤΥΩΡΩΝ 19 ΚΑΒΑΛΑ"</f>
        <v>ΚΟΤΥΩΡΩΝ 19 ΚΑΒΑΛΑ</v>
      </c>
      <c r="I9399">
        <v>65404</v>
      </c>
      <c r="J9399">
        <v>2510838108</v>
      </c>
      <c r="K9399">
        <v>6947371788</v>
      </c>
      <c r="M9399" t="s">
        <v>14262</v>
      </c>
      <c r="N9399" t="s">
        <v>306</v>
      </c>
      <c r="O9399" t="s">
        <v>307</v>
      </c>
      <c r="R9399" t="s">
        <v>159</v>
      </c>
      <c r="S9399">
        <v>3</v>
      </c>
      <c r="T9399" t="s">
        <v>8675</v>
      </c>
      <c r="U9399" s="1">
        <v>43348</v>
      </c>
      <c r="V9399" t="s">
        <v>89</v>
      </c>
      <c r="W9399" t="s">
        <v>90</v>
      </c>
      <c r="X9399" t="s">
        <v>58</v>
      </c>
      <c r="Y9399">
        <v>24</v>
      </c>
      <c r="Z9399" t="s">
        <v>59</v>
      </c>
      <c r="AA9399" t="s">
        <v>59</v>
      </c>
      <c r="AB9399" t="s">
        <v>59</v>
      </c>
      <c r="AC9399" t="s">
        <v>59</v>
      </c>
      <c r="AD9399" t="s">
        <v>59</v>
      </c>
      <c r="AF9399" s="1">
        <v>43348</v>
      </c>
      <c r="AG9399" t="s">
        <v>8645</v>
      </c>
      <c r="AH9399" t="s">
        <v>8646</v>
      </c>
      <c r="AI9399" t="str">
        <f>"9500225"</f>
        <v>9500225</v>
      </c>
      <c r="AJ9399" t="s">
        <v>14058</v>
      </c>
      <c r="AK9399">
        <v>2822041233</v>
      </c>
      <c r="AL9399" t="s">
        <v>14059</v>
      </c>
      <c r="AM9399" t="s">
        <v>88</v>
      </c>
      <c r="AN9399" t="s">
        <v>6744</v>
      </c>
      <c r="AO9399" t="s">
        <v>6744</v>
      </c>
      <c r="AP9399" t="s">
        <v>13045</v>
      </c>
      <c r="AQ9399">
        <v>9</v>
      </c>
      <c r="AR9399" t="s">
        <v>89</v>
      </c>
      <c r="AS9399" t="s">
        <v>90</v>
      </c>
      <c r="AT9399" t="s">
        <v>58</v>
      </c>
      <c r="AU9399" t="s">
        <v>8673</v>
      </c>
      <c r="AV9399" t="s">
        <v>132</v>
      </c>
      <c r="AW9399" s="1">
        <v>30171</v>
      </c>
      <c r="AX9399">
        <v>1</v>
      </c>
    </row>
    <row r="9400" spans="1:50">
      <c r="B9400" t="str">
        <f>"140936162"</f>
        <v>140936162</v>
      </c>
      <c r="C9400" t="s">
        <v>50</v>
      </c>
      <c r="D9400" t="s">
        <v>7081</v>
      </c>
      <c r="E9400" t="s">
        <v>1019</v>
      </c>
      <c r="F9400" t="s">
        <v>53</v>
      </c>
      <c r="G9400" t="s">
        <v>250</v>
      </c>
      <c r="H9400" t="str">
        <f>"ΠΑΡΟΔΟΣ ΜΙΑΟΥΛΗ -ΚΟΥΝΟΥΠΙΔΙΑΝΑ ΧΑΝΙΑ"</f>
        <v>ΠΑΡΟΔΟΣ ΜΙΑΟΥΛΗ -ΚΟΥΝΟΥΠΙΔΙΑΝΑ ΧΑΝΙΑ</v>
      </c>
      <c r="I9400">
        <v>73100</v>
      </c>
      <c r="J9400">
        <v>2821041311</v>
      </c>
      <c r="K9400">
        <v>6982379207</v>
      </c>
      <c r="N9400" t="s">
        <v>8834</v>
      </c>
      <c r="O9400" t="s">
        <v>8695</v>
      </c>
      <c r="R9400" t="s">
        <v>159</v>
      </c>
      <c r="S9400">
        <v>3</v>
      </c>
      <c r="T9400" t="s">
        <v>8835</v>
      </c>
      <c r="U9400" s="1">
        <v>43348</v>
      </c>
      <c r="V9400" t="s">
        <v>89</v>
      </c>
      <c r="W9400" t="s">
        <v>90</v>
      </c>
      <c r="X9400" t="s">
        <v>58</v>
      </c>
      <c r="Y9400">
        <v>24</v>
      </c>
      <c r="Z9400" t="s">
        <v>59</v>
      </c>
      <c r="AA9400" t="s">
        <v>59</v>
      </c>
      <c r="AB9400" t="s">
        <v>59</v>
      </c>
      <c r="AC9400" t="s">
        <v>59</v>
      </c>
      <c r="AD9400" t="s">
        <v>59</v>
      </c>
      <c r="AF9400" s="1">
        <v>43348</v>
      </c>
      <c r="AG9400" t="s">
        <v>8645</v>
      </c>
      <c r="AH9400" t="s">
        <v>8646</v>
      </c>
      <c r="AI9400" t="str">
        <f>"9520693"</f>
        <v>9520693</v>
      </c>
      <c r="AJ9400" t="s">
        <v>13913</v>
      </c>
      <c r="AK9400">
        <v>2821066910</v>
      </c>
      <c r="AL9400" t="s">
        <v>13914</v>
      </c>
      <c r="AM9400" t="s">
        <v>88</v>
      </c>
      <c r="AN9400" t="s">
        <v>88</v>
      </c>
      <c r="AO9400" t="s">
        <v>6770</v>
      </c>
      <c r="AP9400" t="s">
        <v>6771</v>
      </c>
      <c r="AQ9400">
        <v>2</v>
      </c>
      <c r="AR9400" t="s">
        <v>89</v>
      </c>
      <c r="AS9400" t="s">
        <v>90</v>
      </c>
      <c r="AT9400" t="s">
        <v>58</v>
      </c>
      <c r="AU9400" t="s">
        <v>131</v>
      </c>
      <c r="AV9400" t="s">
        <v>132</v>
      </c>
      <c r="AW9400" s="1">
        <v>33763</v>
      </c>
      <c r="AX9400">
        <v>1</v>
      </c>
    </row>
    <row r="9401" spans="1:50">
      <c r="A9401">
        <v>607590</v>
      </c>
      <c r="B9401" t="str">
        <f>"117093674"</f>
        <v>117093674</v>
      </c>
      <c r="C9401" t="s">
        <v>50</v>
      </c>
      <c r="D9401" t="s">
        <v>14263</v>
      </c>
      <c r="E9401" t="s">
        <v>809</v>
      </c>
      <c r="F9401" t="s">
        <v>1414</v>
      </c>
      <c r="G9401" t="s">
        <v>476</v>
      </c>
      <c r="H9401" t="str">
        <f>"ΘΕΑΓΕΝΟΥΣ 25 ΚΑΙΣΑΡΙΑΝΗ"</f>
        <v>ΘΕΑΓΕΝΟΥΣ 25 ΚΑΙΣΑΡΙΑΝΗ</v>
      </c>
      <c r="I9401">
        <v>16121</v>
      </c>
      <c r="J9401">
        <v>2110103468</v>
      </c>
      <c r="K9401">
        <v>6977238939</v>
      </c>
      <c r="M9401" t="s">
        <v>14264</v>
      </c>
      <c r="N9401" t="s">
        <v>615</v>
      </c>
      <c r="O9401" t="s">
        <v>616</v>
      </c>
      <c r="R9401" t="s">
        <v>57</v>
      </c>
      <c r="S9401">
        <v>8</v>
      </c>
      <c r="T9401">
        <v>217</v>
      </c>
      <c r="U9401" s="1">
        <v>38596</v>
      </c>
      <c r="V9401" t="s">
        <v>89</v>
      </c>
      <c r="W9401" t="s">
        <v>90</v>
      </c>
      <c r="X9401" t="s">
        <v>58</v>
      </c>
      <c r="Y9401">
        <v>23</v>
      </c>
      <c r="Z9401" t="s">
        <v>59</v>
      </c>
      <c r="AA9401" t="s">
        <v>59</v>
      </c>
      <c r="AB9401" t="s">
        <v>59</v>
      </c>
      <c r="AC9401" t="s">
        <v>59</v>
      </c>
      <c r="AD9401" t="s">
        <v>59</v>
      </c>
      <c r="AF9401" s="1">
        <v>38601</v>
      </c>
      <c r="AG9401" t="s">
        <v>8645</v>
      </c>
      <c r="AH9401" t="s">
        <v>8646</v>
      </c>
      <c r="AI9401" t="str">
        <f>"9500094"</f>
        <v>9500094</v>
      </c>
      <c r="AJ9401" t="s">
        <v>13883</v>
      </c>
      <c r="AK9401">
        <v>2821039330</v>
      </c>
      <c r="AL9401" t="s">
        <v>13884</v>
      </c>
      <c r="AM9401" t="s">
        <v>88</v>
      </c>
      <c r="AN9401" t="s">
        <v>88</v>
      </c>
      <c r="AO9401" t="s">
        <v>6770</v>
      </c>
      <c r="AP9401" t="s">
        <v>6771</v>
      </c>
      <c r="AQ9401">
        <v>2</v>
      </c>
      <c r="AR9401" t="s">
        <v>89</v>
      </c>
      <c r="AS9401" t="s">
        <v>90</v>
      </c>
      <c r="AT9401" t="s">
        <v>58</v>
      </c>
      <c r="AU9401" t="s">
        <v>68</v>
      </c>
      <c r="AV9401" t="s">
        <v>69</v>
      </c>
      <c r="AW9401" s="1">
        <v>30136</v>
      </c>
      <c r="AX9401">
        <v>1</v>
      </c>
    </row>
    <row r="9402" spans="1:50">
      <c r="A9402">
        <v>607762</v>
      </c>
      <c r="B9402" t="str">
        <f>"110853738"</f>
        <v>110853738</v>
      </c>
      <c r="C9402" t="s">
        <v>105</v>
      </c>
      <c r="D9402" t="s">
        <v>14265</v>
      </c>
      <c r="E9402" t="s">
        <v>99</v>
      </c>
      <c r="F9402" t="s">
        <v>72</v>
      </c>
      <c r="G9402" t="s">
        <v>755</v>
      </c>
      <c r="H9402" t="str">
        <f>"ΜΕΓΑΛΟΥ ΑΛΕΞΑΝΔΡΟΥ 6 ΣΟΥΔΑ ΧΑΝΙΩΝ"</f>
        <v>ΜΕΓΑΛΟΥ ΑΛΕΞΑΝΔΡΟΥ 6 ΣΟΥΔΑ ΧΑΝΙΩΝ</v>
      </c>
      <c r="I9402">
        <v>73200</v>
      </c>
      <c r="J9402">
        <v>2822041283</v>
      </c>
      <c r="K9402">
        <v>6976672352</v>
      </c>
      <c r="M9402" t="s">
        <v>14266</v>
      </c>
      <c r="N9402" t="s">
        <v>615</v>
      </c>
      <c r="O9402" t="s">
        <v>616</v>
      </c>
      <c r="R9402" t="s">
        <v>57</v>
      </c>
      <c r="S9402">
        <v>6</v>
      </c>
      <c r="T9402">
        <v>217</v>
      </c>
      <c r="U9402" s="1">
        <v>38596</v>
      </c>
      <c r="V9402" t="s">
        <v>89</v>
      </c>
      <c r="W9402" t="s">
        <v>90</v>
      </c>
      <c r="X9402" t="s">
        <v>58</v>
      </c>
      <c r="Y9402">
        <v>23</v>
      </c>
      <c r="Z9402" t="s">
        <v>59</v>
      </c>
      <c r="AA9402" t="s">
        <v>59</v>
      </c>
      <c r="AB9402" t="s">
        <v>59</v>
      </c>
      <c r="AC9402" t="s">
        <v>59</v>
      </c>
      <c r="AD9402" t="s">
        <v>59</v>
      </c>
      <c r="AF9402" s="1">
        <v>38600</v>
      </c>
      <c r="AG9402" t="s">
        <v>8645</v>
      </c>
      <c r="AH9402" t="s">
        <v>8646</v>
      </c>
      <c r="AI9402" t="str">
        <f>"9500115"</f>
        <v>9500115</v>
      </c>
      <c r="AJ9402" t="s">
        <v>14180</v>
      </c>
      <c r="AK9402">
        <v>2821081133</v>
      </c>
      <c r="AL9402" t="s">
        <v>14181</v>
      </c>
      <c r="AM9402" t="s">
        <v>88</v>
      </c>
      <c r="AN9402" t="s">
        <v>88</v>
      </c>
      <c r="AO9402" t="s">
        <v>6748</v>
      </c>
      <c r="AP9402" t="s">
        <v>14182</v>
      </c>
      <c r="AQ9402">
        <v>2</v>
      </c>
      <c r="AR9402" t="s">
        <v>89</v>
      </c>
      <c r="AS9402" t="s">
        <v>90</v>
      </c>
      <c r="AT9402" t="s">
        <v>58</v>
      </c>
      <c r="AU9402" t="s">
        <v>68</v>
      </c>
      <c r="AV9402" t="s">
        <v>69</v>
      </c>
      <c r="AW9402" s="1">
        <v>29552</v>
      </c>
      <c r="AX9402">
        <v>1</v>
      </c>
    </row>
    <row r="9403" spans="1:50">
      <c r="B9403" t="str">
        <f>"146926272"</f>
        <v>146926272</v>
      </c>
      <c r="C9403" t="s">
        <v>50</v>
      </c>
      <c r="D9403" t="s">
        <v>14267</v>
      </c>
      <c r="E9403" t="s">
        <v>6137</v>
      </c>
      <c r="F9403" t="s">
        <v>53</v>
      </c>
      <c r="G9403" t="s">
        <v>71</v>
      </c>
      <c r="H9403" t="str">
        <f>" "</f>
        <v xml:space="preserve"> </v>
      </c>
      <c r="K9403">
        <v>6977583242</v>
      </c>
      <c r="N9403" t="s">
        <v>8694</v>
      </c>
      <c r="O9403" t="s">
        <v>8695</v>
      </c>
      <c r="R9403" t="s">
        <v>159</v>
      </c>
      <c r="S9403">
        <v>1</v>
      </c>
      <c r="T9403" t="s">
        <v>8835</v>
      </c>
      <c r="U9403" s="1">
        <v>43348</v>
      </c>
      <c r="V9403" t="s">
        <v>89</v>
      </c>
      <c r="W9403" t="s">
        <v>90</v>
      </c>
      <c r="X9403" t="s">
        <v>58</v>
      </c>
      <c r="Y9403">
        <v>24</v>
      </c>
      <c r="Z9403" t="s">
        <v>59</v>
      </c>
      <c r="AA9403" t="s">
        <v>59</v>
      </c>
      <c r="AB9403" t="s">
        <v>59</v>
      </c>
      <c r="AD9403" t="s">
        <v>59</v>
      </c>
      <c r="AF9403" s="1">
        <v>43348</v>
      </c>
      <c r="AG9403" t="s">
        <v>8645</v>
      </c>
      <c r="AH9403" t="s">
        <v>8646</v>
      </c>
      <c r="AI9403" t="str">
        <f>"9500147"</f>
        <v>9500147</v>
      </c>
      <c r="AJ9403" t="s">
        <v>14008</v>
      </c>
      <c r="AK9403">
        <v>2821094573</v>
      </c>
      <c r="AL9403" t="s">
        <v>14009</v>
      </c>
      <c r="AM9403" t="s">
        <v>88</v>
      </c>
      <c r="AN9403" t="s">
        <v>88</v>
      </c>
      <c r="AO9403" t="s">
        <v>88</v>
      </c>
      <c r="AP9403" t="s">
        <v>88</v>
      </c>
      <c r="AQ9403">
        <v>1</v>
      </c>
      <c r="AR9403" t="s">
        <v>89</v>
      </c>
      <c r="AS9403" t="s">
        <v>90</v>
      </c>
      <c r="AT9403" t="s">
        <v>58</v>
      </c>
      <c r="AU9403" t="s">
        <v>131</v>
      </c>
      <c r="AV9403" t="s">
        <v>132</v>
      </c>
      <c r="AW9403" s="1">
        <v>33970</v>
      </c>
      <c r="AX9403">
        <v>1</v>
      </c>
    </row>
    <row r="9404" spans="1:50">
      <c r="A9404">
        <v>219735</v>
      </c>
      <c r="B9404" t="str">
        <f>"071034866"</f>
        <v>071034866</v>
      </c>
      <c r="C9404" t="s">
        <v>50</v>
      </c>
      <c r="D9404" t="s">
        <v>1099</v>
      </c>
      <c r="E9404" t="s">
        <v>1189</v>
      </c>
      <c r="F9404" t="s">
        <v>72</v>
      </c>
      <c r="G9404" t="s">
        <v>83</v>
      </c>
      <c r="H9404" t="str">
        <f>"ΚΑΠΟΔΙΣΤΡΙΟΥ 2Α ΧΑΝΙΑ"</f>
        <v>ΚΑΠΟΔΙΣΤΡΙΟΥ 2Α ΧΑΝΙΑ</v>
      </c>
      <c r="I9404">
        <v>73100</v>
      </c>
      <c r="J9404">
        <v>2821058988</v>
      </c>
      <c r="K9404">
        <v>6945892524</v>
      </c>
      <c r="M9404" t="s">
        <v>14268</v>
      </c>
      <c r="N9404" t="s">
        <v>176</v>
      </c>
      <c r="O9404" t="s">
        <v>177</v>
      </c>
      <c r="R9404" t="s">
        <v>57</v>
      </c>
      <c r="S9404">
        <v>8</v>
      </c>
      <c r="T9404">
        <v>599</v>
      </c>
      <c r="U9404" s="1">
        <v>39310</v>
      </c>
      <c r="V9404" t="s">
        <v>89</v>
      </c>
      <c r="W9404" t="s">
        <v>90</v>
      </c>
      <c r="X9404" t="s">
        <v>58</v>
      </c>
      <c r="Y9404">
        <v>22</v>
      </c>
      <c r="Z9404" t="s">
        <v>59</v>
      </c>
      <c r="AA9404" t="s">
        <v>59</v>
      </c>
      <c r="AB9404" t="s">
        <v>59</v>
      </c>
      <c r="AC9404" t="s">
        <v>59</v>
      </c>
      <c r="AD9404" t="s">
        <v>59</v>
      </c>
      <c r="AF9404" s="1">
        <v>39328</v>
      </c>
      <c r="AG9404" t="s">
        <v>8645</v>
      </c>
      <c r="AH9404" t="s">
        <v>8646</v>
      </c>
      <c r="AI9404" t="str">
        <f>"9500338"</f>
        <v>9500338</v>
      </c>
      <c r="AJ9404" t="s">
        <v>13959</v>
      </c>
      <c r="AK9404">
        <v>2821040556</v>
      </c>
      <c r="AL9404" t="s">
        <v>13960</v>
      </c>
      <c r="AM9404" t="s">
        <v>88</v>
      </c>
      <c r="AN9404" t="s">
        <v>88</v>
      </c>
      <c r="AO9404" t="s">
        <v>88</v>
      </c>
      <c r="AP9404" t="s">
        <v>88</v>
      </c>
      <c r="AQ9404">
        <v>1</v>
      </c>
      <c r="AR9404" t="s">
        <v>89</v>
      </c>
      <c r="AS9404" t="s">
        <v>90</v>
      </c>
      <c r="AT9404" t="s">
        <v>58</v>
      </c>
      <c r="AU9404" t="s">
        <v>68</v>
      </c>
      <c r="AV9404" t="s">
        <v>132</v>
      </c>
      <c r="AW9404" s="1">
        <v>26891</v>
      </c>
      <c r="AX9404">
        <v>1</v>
      </c>
    </row>
    <row r="9405" spans="1:50">
      <c r="A9405">
        <v>575756</v>
      </c>
      <c r="B9405" t="str">
        <f>"113189797"</f>
        <v>113189797</v>
      </c>
      <c r="C9405" t="s">
        <v>50</v>
      </c>
      <c r="D9405" t="s">
        <v>1099</v>
      </c>
      <c r="E9405" t="s">
        <v>334</v>
      </c>
      <c r="F9405" t="s">
        <v>383</v>
      </c>
      <c r="G9405" t="s">
        <v>1068</v>
      </c>
      <c r="H9405" t="str">
        <f>"Δ.ΜΙΧΕΛΟΓΙΑΝΝΗ 68-72 ΧΑΝΙΑ"</f>
        <v>Δ.ΜΙΧΕΛΟΓΙΑΝΝΗ 68-72 ΧΑΝΙΑ</v>
      </c>
      <c r="J9405">
        <v>2821050394</v>
      </c>
      <c r="K9405">
        <v>6972001743</v>
      </c>
      <c r="N9405" t="s">
        <v>615</v>
      </c>
      <c r="O9405" t="s">
        <v>616</v>
      </c>
      <c r="R9405" t="s">
        <v>57</v>
      </c>
      <c r="S9405">
        <v>11</v>
      </c>
      <c r="T9405">
        <v>184</v>
      </c>
      <c r="U9405" s="1">
        <v>34941</v>
      </c>
      <c r="V9405" t="s">
        <v>89</v>
      </c>
      <c r="W9405" t="s">
        <v>90</v>
      </c>
      <c r="X9405" t="s">
        <v>58</v>
      </c>
      <c r="Y9405">
        <v>21</v>
      </c>
      <c r="Z9405" t="s">
        <v>59</v>
      </c>
      <c r="AA9405" t="s">
        <v>59</v>
      </c>
      <c r="AB9405" t="s">
        <v>59</v>
      </c>
      <c r="AC9405" t="s">
        <v>59</v>
      </c>
      <c r="AD9405" t="s">
        <v>59</v>
      </c>
      <c r="AF9405" s="1">
        <v>34946</v>
      </c>
      <c r="AG9405" t="s">
        <v>8645</v>
      </c>
      <c r="AH9405" t="s">
        <v>8646</v>
      </c>
      <c r="AI9405" t="str">
        <f>"9500147"</f>
        <v>9500147</v>
      </c>
      <c r="AJ9405" t="s">
        <v>14008</v>
      </c>
      <c r="AK9405">
        <v>2821094573</v>
      </c>
      <c r="AL9405" t="s">
        <v>14009</v>
      </c>
      <c r="AM9405" t="s">
        <v>88</v>
      </c>
      <c r="AN9405" t="s">
        <v>88</v>
      </c>
      <c r="AO9405" t="s">
        <v>88</v>
      </c>
      <c r="AP9405" t="s">
        <v>88</v>
      </c>
      <c r="AQ9405">
        <v>1</v>
      </c>
      <c r="AR9405" t="s">
        <v>89</v>
      </c>
      <c r="AS9405" t="s">
        <v>90</v>
      </c>
      <c r="AT9405" t="s">
        <v>58</v>
      </c>
      <c r="AU9405" t="s">
        <v>68</v>
      </c>
      <c r="AV9405" t="s">
        <v>2039</v>
      </c>
      <c r="AW9405" s="1">
        <v>23803</v>
      </c>
      <c r="AX9405">
        <v>1</v>
      </c>
    </row>
    <row r="9406" spans="1:50">
      <c r="A9406">
        <v>567687</v>
      </c>
      <c r="B9406" t="str">
        <f>"041944549"</f>
        <v>041944549</v>
      </c>
      <c r="C9406" t="s">
        <v>50</v>
      </c>
      <c r="D9406" t="s">
        <v>1101</v>
      </c>
      <c r="E9406" t="s">
        <v>7030</v>
      </c>
      <c r="F9406" t="s">
        <v>377</v>
      </c>
      <c r="G9406" t="s">
        <v>52</v>
      </c>
      <c r="H9406" t="str">
        <f>"ΨΗΛΟΡΕΙΤΗ 6 ΧΑΝΙΑ"</f>
        <v>ΨΗΛΟΡΕΙΤΗ 6 ΧΑΝΙΑ</v>
      </c>
      <c r="J9406">
        <v>2821052817</v>
      </c>
      <c r="K9406">
        <v>6977229395</v>
      </c>
      <c r="L9406">
        <v>2821052817</v>
      </c>
      <c r="M9406" t="s">
        <v>14269</v>
      </c>
      <c r="N9406" t="s">
        <v>615</v>
      </c>
      <c r="O9406" t="s">
        <v>616</v>
      </c>
      <c r="R9406" t="s">
        <v>57</v>
      </c>
      <c r="S9406">
        <v>16</v>
      </c>
      <c r="T9406">
        <v>133</v>
      </c>
      <c r="U9406" s="1">
        <v>33456</v>
      </c>
      <c r="V9406" t="s">
        <v>89</v>
      </c>
      <c r="W9406" t="s">
        <v>90</v>
      </c>
      <c r="X9406" t="s">
        <v>58</v>
      </c>
      <c r="Y9406">
        <v>21</v>
      </c>
      <c r="Z9406" t="s">
        <v>59</v>
      </c>
      <c r="AA9406" t="s">
        <v>59</v>
      </c>
      <c r="AB9406" t="s">
        <v>59</v>
      </c>
      <c r="AC9406" t="s">
        <v>59</v>
      </c>
      <c r="AD9406" t="s">
        <v>59</v>
      </c>
      <c r="AF9406" s="1">
        <v>33456</v>
      </c>
      <c r="AG9406" t="s">
        <v>8645</v>
      </c>
      <c r="AH9406" t="s">
        <v>8646</v>
      </c>
      <c r="AI9406" t="str">
        <f>"9500075"</f>
        <v>9500075</v>
      </c>
      <c r="AJ9406" t="s">
        <v>13955</v>
      </c>
      <c r="AK9406">
        <v>2821046505</v>
      </c>
      <c r="AL9406" t="s">
        <v>13956</v>
      </c>
      <c r="AM9406" t="s">
        <v>88</v>
      </c>
      <c r="AN9406" t="s">
        <v>88</v>
      </c>
      <c r="AO9406" t="s">
        <v>88</v>
      </c>
      <c r="AP9406" t="s">
        <v>88</v>
      </c>
      <c r="AQ9406">
        <v>1</v>
      </c>
      <c r="AR9406" t="s">
        <v>89</v>
      </c>
      <c r="AS9406" t="s">
        <v>90</v>
      </c>
      <c r="AT9406" t="s">
        <v>58</v>
      </c>
      <c r="AU9406" t="s">
        <v>68</v>
      </c>
      <c r="AV9406" t="s">
        <v>69</v>
      </c>
      <c r="AW9406" s="1">
        <v>23988</v>
      </c>
      <c r="AX9406">
        <v>1</v>
      </c>
    </row>
    <row r="9407" spans="1:50">
      <c r="A9407">
        <v>559864</v>
      </c>
      <c r="B9407" t="str">
        <f>"031759465"</f>
        <v>031759465</v>
      </c>
      <c r="C9407" t="s">
        <v>50</v>
      </c>
      <c r="D9407" t="s">
        <v>14270</v>
      </c>
      <c r="E9407" t="s">
        <v>52</v>
      </c>
      <c r="F9407" t="s">
        <v>99</v>
      </c>
      <c r="G9407" t="s">
        <v>83</v>
      </c>
      <c r="H9407" t="str">
        <f>"ΝΕΑ ΑΝΑΤΟΛΗ ΙΕΡΑΠΕΤΡΑ"</f>
        <v>ΝΕΑ ΑΝΑΤΟΛΗ ΙΕΡΑΠΕΤΡΑ</v>
      </c>
      <c r="I9407">
        <v>72200</v>
      </c>
      <c r="J9407">
        <v>2842041278</v>
      </c>
      <c r="K9407">
        <v>6946626588</v>
      </c>
      <c r="M9407" t="s">
        <v>14271</v>
      </c>
      <c r="N9407" t="s">
        <v>1525</v>
      </c>
      <c r="O9407" t="s">
        <v>1526</v>
      </c>
      <c r="R9407" t="s">
        <v>57</v>
      </c>
      <c r="S9407">
        <v>18</v>
      </c>
      <c r="T9407">
        <v>175</v>
      </c>
      <c r="U9407" s="1">
        <v>32021</v>
      </c>
      <c r="V9407" t="s">
        <v>89</v>
      </c>
      <c r="W9407" t="s">
        <v>90</v>
      </c>
      <c r="X9407" t="s">
        <v>58</v>
      </c>
      <c r="Y9407">
        <v>25</v>
      </c>
      <c r="Z9407" t="s">
        <v>59</v>
      </c>
      <c r="AA9407" t="s">
        <v>59</v>
      </c>
      <c r="AB9407" t="s">
        <v>59</v>
      </c>
      <c r="AC9407" t="s">
        <v>59</v>
      </c>
      <c r="AD9407" t="s">
        <v>59</v>
      </c>
      <c r="AF9407" s="1">
        <v>32021</v>
      </c>
      <c r="AG9407" t="s">
        <v>8651</v>
      </c>
      <c r="AH9407" t="s">
        <v>8652</v>
      </c>
      <c r="AI9407" t="str">
        <f>"9500042"</f>
        <v>9500042</v>
      </c>
      <c r="AJ9407" t="s">
        <v>14043</v>
      </c>
      <c r="AK9407">
        <v>2821053815</v>
      </c>
      <c r="AL9407" t="s">
        <v>14044</v>
      </c>
      <c r="AM9407" t="s">
        <v>88</v>
      </c>
      <c r="AN9407" t="s">
        <v>88</v>
      </c>
      <c r="AO9407" t="s">
        <v>88</v>
      </c>
      <c r="AP9407" t="s">
        <v>88</v>
      </c>
      <c r="AQ9407">
        <v>1</v>
      </c>
      <c r="AR9407" t="s">
        <v>89</v>
      </c>
      <c r="AS9407" t="s">
        <v>90</v>
      </c>
      <c r="AT9407" t="s">
        <v>58</v>
      </c>
      <c r="AU9407" t="s">
        <v>68</v>
      </c>
      <c r="AV9407" t="s">
        <v>69</v>
      </c>
      <c r="AW9407" s="1">
        <v>23344</v>
      </c>
      <c r="AX9407">
        <v>1</v>
      </c>
    </row>
    <row r="9408" spans="1:50">
      <c r="A9408">
        <v>554029</v>
      </c>
      <c r="B9408" t="str">
        <f>"030588115"</f>
        <v>030588115</v>
      </c>
      <c r="C9408" t="s">
        <v>50</v>
      </c>
      <c r="D9408" t="s">
        <v>14272</v>
      </c>
      <c r="E9408" t="s">
        <v>14273</v>
      </c>
      <c r="F9408" t="s">
        <v>53</v>
      </c>
      <c r="G9408" t="s">
        <v>14274</v>
      </c>
      <c r="H9408" t="str">
        <f>" "</f>
        <v xml:space="preserve"> </v>
      </c>
      <c r="N9408" t="s">
        <v>615</v>
      </c>
      <c r="O9408" t="s">
        <v>616</v>
      </c>
      <c r="R9408" t="s">
        <v>57</v>
      </c>
      <c r="S9408">
        <v>16</v>
      </c>
      <c r="T9408">
        <v>235</v>
      </c>
      <c r="U9408" s="1">
        <v>31289</v>
      </c>
      <c r="V9408" t="s">
        <v>89</v>
      </c>
      <c r="W9408" t="s">
        <v>90</v>
      </c>
      <c r="X9408" t="s">
        <v>58</v>
      </c>
      <c r="Y9408">
        <v>21</v>
      </c>
      <c r="Z9408" t="s">
        <v>59</v>
      </c>
      <c r="AA9408" t="s">
        <v>59</v>
      </c>
      <c r="AB9408" t="s">
        <v>59</v>
      </c>
      <c r="AC9408" t="s">
        <v>59</v>
      </c>
      <c r="AD9408" t="s">
        <v>59</v>
      </c>
      <c r="AF9408" s="1">
        <v>31289</v>
      </c>
      <c r="AG9408" t="s">
        <v>8645</v>
      </c>
      <c r="AH9408" t="s">
        <v>8646</v>
      </c>
      <c r="AI9408" t="str">
        <f>"9500315"</f>
        <v>9500315</v>
      </c>
      <c r="AJ9408" t="s">
        <v>14174</v>
      </c>
      <c r="AK9408">
        <v>2821040565</v>
      </c>
      <c r="AL9408" t="s">
        <v>14175</v>
      </c>
      <c r="AM9408" t="s">
        <v>88</v>
      </c>
      <c r="AN9408" t="s">
        <v>88</v>
      </c>
      <c r="AO9408" t="s">
        <v>88</v>
      </c>
      <c r="AP9408" t="s">
        <v>88</v>
      </c>
      <c r="AQ9408">
        <v>1</v>
      </c>
      <c r="AR9408" t="s">
        <v>89</v>
      </c>
      <c r="AS9408" t="s">
        <v>90</v>
      </c>
      <c r="AT9408" t="s">
        <v>58</v>
      </c>
      <c r="AU9408" t="s">
        <v>68</v>
      </c>
      <c r="AV9408" t="s">
        <v>69</v>
      </c>
      <c r="AW9408" s="1">
        <v>22981</v>
      </c>
      <c r="AX9408">
        <v>1</v>
      </c>
    </row>
    <row r="9409" spans="1:50">
      <c r="A9409">
        <v>614554</v>
      </c>
      <c r="B9409" t="str">
        <f>"146316826"</f>
        <v>146316826</v>
      </c>
      <c r="C9409" t="s">
        <v>50</v>
      </c>
      <c r="D9409" t="s">
        <v>14275</v>
      </c>
      <c r="E9409" t="s">
        <v>707</v>
      </c>
      <c r="F9409" t="s">
        <v>72</v>
      </c>
      <c r="G9409" t="s">
        <v>52</v>
      </c>
      <c r="H9409" t="str">
        <f>"ΠΑΡΟΔΟΣ ΑΓ.ΛΑΥΡΑΣ 6 ΧΑΝΙΑ"</f>
        <v>ΠΑΡΟΔΟΣ ΑΓ.ΛΑΥΡΑΣ 6 ΧΑΝΙΑ</v>
      </c>
      <c r="I9409">
        <v>73132</v>
      </c>
      <c r="J9409">
        <v>2821043703</v>
      </c>
      <c r="K9409">
        <v>6974032513</v>
      </c>
      <c r="N9409" t="s">
        <v>615</v>
      </c>
      <c r="O9409" t="s">
        <v>616</v>
      </c>
      <c r="R9409" t="s">
        <v>57</v>
      </c>
      <c r="S9409">
        <v>5</v>
      </c>
      <c r="T9409">
        <v>598</v>
      </c>
      <c r="U9409" s="1">
        <v>39310</v>
      </c>
      <c r="V9409" t="s">
        <v>89</v>
      </c>
      <c r="W9409" t="s">
        <v>90</v>
      </c>
      <c r="X9409" t="s">
        <v>58</v>
      </c>
      <c r="Y9409">
        <v>23</v>
      </c>
      <c r="Z9409" t="s">
        <v>59</v>
      </c>
      <c r="AA9409" t="s">
        <v>59</v>
      </c>
      <c r="AB9409" t="s">
        <v>59</v>
      </c>
      <c r="AC9409" t="s">
        <v>59</v>
      </c>
      <c r="AD9409" t="s">
        <v>59</v>
      </c>
      <c r="AF9409" s="1">
        <v>39328</v>
      </c>
      <c r="AG9409" t="s">
        <v>8645</v>
      </c>
      <c r="AH9409" t="s">
        <v>8646</v>
      </c>
      <c r="AI9409" t="str">
        <f>"9500077"</f>
        <v>9500077</v>
      </c>
      <c r="AJ9409" t="s">
        <v>13903</v>
      </c>
      <c r="AK9409">
        <v>2821054404</v>
      </c>
      <c r="AL9409" t="s">
        <v>13904</v>
      </c>
      <c r="AM9409" t="s">
        <v>88</v>
      </c>
      <c r="AN9409" t="s">
        <v>88</v>
      </c>
      <c r="AO9409" t="s">
        <v>88</v>
      </c>
      <c r="AP9409" t="s">
        <v>88</v>
      </c>
      <c r="AQ9409">
        <v>1</v>
      </c>
      <c r="AR9409" t="s">
        <v>89</v>
      </c>
      <c r="AS9409" t="s">
        <v>90</v>
      </c>
      <c r="AT9409" t="s">
        <v>58</v>
      </c>
      <c r="AU9409" t="s">
        <v>68</v>
      </c>
      <c r="AV9409" t="s">
        <v>69</v>
      </c>
      <c r="AW9409" s="1">
        <v>31086</v>
      </c>
      <c r="AX9409">
        <v>1</v>
      </c>
    </row>
    <row r="9410" spans="1:50">
      <c r="A9410">
        <v>702855</v>
      </c>
      <c r="B9410" t="str">
        <f>"069325761"</f>
        <v>069325761</v>
      </c>
      <c r="C9410" t="s">
        <v>50</v>
      </c>
      <c r="D9410" t="s">
        <v>14276</v>
      </c>
      <c r="E9410" t="s">
        <v>114</v>
      </c>
      <c r="F9410" t="s">
        <v>153</v>
      </c>
      <c r="G9410" t="s">
        <v>14277</v>
      </c>
      <c r="H9410" t="str">
        <f>" "</f>
        <v xml:space="preserve"> </v>
      </c>
      <c r="N9410" t="s">
        <v>8347</v>
      </c>
      <c r="O9410" t="s">
        <v>8348</v>
      </c>
      <c r="R9410" t="s">
        <v>57</v>
      </c>
      <c r="S9410">
        <v>10</v>
      </c>
      <c r="T9410">
        <v>1208</v>
      </c>
      <c r="U9410" s="1">
        <v>40533</v>
      </c>
      <c r="V9410" t="s">
        <v>89</v>
      </c>
      <c r="W9410" t="s">
        <v>90</v>
      </c>
      <c r="X9410" t="s">
        <v>58</v>
      </c>
      <c r="Y9410">
        <v>22</v>
      </c>
      <c r="Z9410" t="s">
        <v>59</v>
      </c>
      <c r="AA9410" t="s">
        <v>59</v>
      </c>
      <c r="AB9410" t="s">
        <v>59</v>
      </c>
      <c r="AC9410" t="s">
        <v>59</v>
      </c>
      <c r="AD9410" t="s">
        <v>59</v>
      </c>
      <c r="AF9410" s="1">
        <v>40554</v>
      </c>
      <c r="AG9410" t="s">
        <v>8645</v>
      </c>
      <c r="AH9410" t="s">
        <v>8697</v>
      </c>
      <c r="AI9410" t="str">
        <f>"9500424"</f>
        <v>9500424</v>
      </c>
      <c r="AJ9410" t="s">
        <v>14232</v>
      </c>
      <c r="AK9410">
        <v>2821044022</v>
      </c>
      <c r="AL9410" t="s">
        <v>14233</v>
      </c>
      <c r="AM9410" t="s">
        <v>88</v>
      </c>
      <c r="AN9410" t="s">
        <v>88</v>
      </c>
      <c r="AO9410" t="s">
        <v>88</v>
      </c>
      <c r="AP9410" t="s">
        <v>88</v>
      </c>
      <c r="AQ9410">
        <v>1</v>
      </c>
      <c r="AR9410" t="s">
        <v>89</v>
      </c>
      <c r="AS9410" t="s">
        <v>90</v>
      </c>
      <c r="AT9410" t="s">
        <v>58</v>
      </c>
      <c r="AU9410" t="s">
        <v>68</v>
      </c>
      <c r="AV9410" t="s">
        <v>69</v>
      </c>
      <c r="AW9410" s="1">
        <v>27459</v>
      </c>
      <c r="AX9410">
        <v>1</v>
      </c>
    </row>
    <row r="9411" spans="1:50">
      <c r="B9411" t="str">
        <f>"132142583"</f>
        <v>132142583</v>
      </c>
      <c r="C9411" t="s">
        <v>50</v>
      </c>
      <c r="D9411" t="s">
        <v>14278</v>
      </c>
      <c r="E9411" t="s">
        <v>699</v>
      </c>
      <c r="F9411" t="s">
        <v>72</v>
      </c>
      <c r="H9411" t="str">
        <f>" "</f>
        <v xml:space="preserve"> </v>
      </c>
      <c r="K9411">
        <v>6979059181</v>
      </c>
      <c r="M9411" t="s">
        <v>14279</v>
      </c>
      <c r="N9411" t="s">
        <v>9829</v>
      </c>
      <c r="O9411" t="s">
        <v>9830</v>
      </c>
      <c r="R9411" t="s">
        <v>159</v>
      </c>
      <c r="S9411">
        <v>4</v>
      </c>
      <c r="T9411" t="s">
        <v>8696</v>
      </c>
      <c r="U9411" s="1">
        <v>43348</v>
      </c>
      <c r="V9411" t="s">
        <v>89</v>
      </c>
      <c r="W9411" t="s">
        <v>90</v>
      </c>
      <c r="X9411" t="s">
        <v>58</v>
      </c>
      <c r="Y9411">
        <v>25</v>
      </c>
      <c r="Z9411" t="s">
        <v>59</v>
      </c>
      <c r="AA9411" t="s">
        <v>59</v>
      </c>
      <c r="AB9411" t="s">
        <v>59</v>
      </c>
      <c r="AC9411" t="s">
        <v>59</v>
      </c>
      <c r="AD9411" t="s">
        <v>59</v>
      </c>
      <c r="AF9411" s="1">
        <v>43348</v>
      </c>
      <c r="AG9411" t="s">
        <v>8651</v>
      </c>
      <c r="AH9411" t="s">
        <v>9015</v>
      </c>
      <c r="AI9411" t="str">
        <f>"9500372"</f>
        <v>9500372</v>
      </c>
      <c r="AJ9411" t="s">
        <v>14280</v>
      </c>
      <c r="AK9411">
        <v>2821070176</v>
      </c>
      <c r="AL9411" t="s">
        <v>14281</v>
      </c>
      <c r="AM9411" t="s">
        <v>88</v>
      </c>
      <c r="AN9411" t="s">
        <v>88</v>
      </c>
      <c r="AO9411" t="s">
        <v>88</v>
      </c>
      <c r="AP9411" t="s">
        <v>88</v>
      </c>
      <c r="AQ9411">
        <v>1</v>
      </c>
      <c r="AR9411" t="s">
        <v>89</v>
      </c>
      <c r="AS9411" t="s">
        <v>90</v>
      </c>
      <c r="AT9411" t="s">
        <v>58</v>
      </c>
      <c r="AU9411" t="s">
        <v>350</v>
      </c>
      <c r="AV9411" t="s">
        <v>132</v>
      </c>
      <c r="AW9411" s="1">
        <v>32188</v>
      </c>
      <c r="AX9411">
        <v>1</v>
      </c>
    </row>
    <row r="9412" spans="1:50">
      <c r="B9412" t="str">
        <f>"105608241"</f>
        <v>105608241</v>
      </c>
      <c r="C9412" t="s">
        <v>50</v>
      </c>
      <c r="D9412" t="s">
        <v>14282</v>
      </c>
      <c r="E9412" t="s">
        <v>155</v>
      </c>
      <c r="F9412" t="s">
        <v>459</v>
      </c>
      <c r="G9412" t="s">
        <v>83</v>
      </c>
      <c r="H9412" t="str">
        <f>"ΣΥΝ  ΝΕΑ ΖΩΗ 186 ΙΩΑΝΝΙΝΑ"</f>
        <v>ΣΥΝ  ΝΕΑ ΖΩΗ 186 ΙΩΑΝΝΙΝΑ</v>
      </c>
      <c r="I9412">
        <v>45500</v>
      </c>
      <c r="J9412">
        <v>2651029379</v>
      </c>
      <c r="K9412">
        <v>6947811368</v>
      </c>
      <c r="N9412" t="s">
        <v>1817</v>
      </c>
      <c r="O9412" t="s">
        <v>1818</v>
      </c>
      <c r="R9412" t="s">
        <v>121</v>
      </c>
      <c r="S9412">
        <v>3</v>
      </c>
      <c r="T9412" t="s">
        <v>8696</v>
      </c>
      <c r="U9412" s="1">
        <v>43348</v>
      </c>
      <c r="V9412" t="s">
        <v>89</v>
      </c>
      <c r="W9412" t="s">
        <v>90</v>
      </c>
      <c r="X9412" t="s">
        <v>58</v>
      </c>
      <c r="Y9412">
        <v>24</v>
      </c>
      <c r="Z9412" t="s">
        <v>59</v>
      </c>
      <c r="AA9412" t="s">
        <v>59</v>
      </c>
      <c r="AB9412" t="s">
        <v>59</v>
      </c>
      <c r="AC9412" t="s">
        <v>59</v>
      </c>
      <c r="AD9412" t="s">
        <v>59</v>
      </c>
      <c r="AF9412" s="1">
        <v>43348</v>
      </c>
      <c r="AG9412" t="s">
        <v>8645</v>
      </c>
      <c r="AH9412" t="s">
        <v>8697</v>
      </c>
      <c r="AI9412" t="str">
        <f>"9500328"</f>
        <v>9500328</v>
      </c>
      <c r="AJ9412" t="s">
        <v>14283</v>
      </c>
      <c r="AK9412">
        <v>2821097756</v>
      </c>
      <c r="AL9412" t="s">
        <v>14284</v>
      </c>
      <c r="AM9412" t="s">
        <v>88</v>
      </c>
      <c r="AN9412" t="s">
        <v>88</v>
      </c>
      <c r="AO9412" t="s">
        <v>6770</v>
      </c>
      <c r="AP9412" t="s">
        <v>14015</v>
      </c>
      <c r="AQ9412">
        <v>2</v>
      </c>
      <c r="AR9412" t="s">
        <v>89</v>
      </c>
      <c r="AS9412" t="s">
        <v>90</v>
      </c>
      <c r="AT9412" t="s">
        <v>58</v>
      </c>
      <c r="AU9412" t="s">
        <v>350</v>
      </c>
      <c r="AV9412" t="s">
        <v>132</v>
      </c>
      <c r="AW9412" s="1">
        <v>27367</v>
      </c>
      <c r="AX9412">
        <v>1</v>
      </c>
    </row>
    <row r="9413" spans="1:50">
      <c r="A9413">
        <v>593054</v>
      </c>
      <c r="B9413" t="str">
        <f>"111227786"</f>
        <v>111227786</v>
      </c>
      <c r="C9413" t="s">
        <v>50</v>
      </c>
      <c r="D9413" t="s">
        <v>14285</v>
      </c>
      <c r="E9413" t="s">
        <v>1752</v>
      </c>
      <c r="F9413" t="s">
        <v>99</v>
      </c>
      <c r="G9413" t="s">
        <v>181</v>
      </c>
      <c r="H9413" t="str">
        <f>"ΚΕΦΑΛΑ ΣΤΑΜΑΤΙΑΝΩΝ "</f>
        <v xml:space="preserve">ΚΕΦΑΛΑ ΣΤΑΜΑΤΙΑΝΩΝ </v>
      </c>
      <c r="I9413">
        <v>73100</v>
      </c>
      <c r="J9413">
        <v>2821032318</v>
      </c>
      <c r="K9413">
        <v>6945771904</v>
      </c>
      <c r="N9413" t="s">
        <v>615</v>
      </c>
      <c r="O9413" t="s">
        <v>616</v>
      </c>
      <c r="R9413" t="s">
        <v>57</v>
      </c>
      <c r="S9413">
        <v>8</v>
      </c>
      <c r="T9413">
        <v>218</v>
      </c>
      <c r="U9413" s="1">
        <v>37134</v>
      </c>
      <c r="V9413" t="s">
        <v>89</v>
      </c>
      <c r="W9413" t="s">
        <v>90</v>
      </c>
      <c r="X9413" t="s">
        <v>58</v>
      </c>
      <c r="Y9413">
        <v>22</v>
      </c>
      <c r="Z9413" t="s">
        <v>59</v>
      </c>
      <c r="AA9413" t="s">
        <v>59</v>
      </c>
      <c r="AB9413" t="s">
        <v>59</v>
      </c>
      <c r="AC9413" t="s">
        <v>59</v>
      </c>
      <c r="AD9413" t="s">
        <v>59</v>
      </c>
      <c r="AF9413" s="1">
        <v>37138</v>
      </c>
      <c r="AG9413" t="s">
        <v>8645</v>
      </c>
      <c r="AH9413" t="s">
        <v>8646</v>
      </c>
      <c r="AI9413" t="str">
        <f>"9500119"</f>
        <v>9500119</v>
      </c>
      <c r="AJ9413" t="s">
        <v>14286</v>
      </c>
      <c r="AK9413">
        <v>2821095816</v>
      </c>
      <c r="AL9413" t="s">
        <v>14287</v>
      </c>
      <c r="AM9413" t="s">
        <v>88</v>
      </c>
      <c r="AN9413" t="s">
        <v>88</v>
      </c>
      <c r="AO9413" t="s">
        <v>13920</v>
      </c>
      <c r="AP9413" t="s">
        <v>14029</v>
      </c>
      <c r="AQ9413">
        <v>3</v>
      </c>
      <c r="AR9413" t="s">
        <v>89</v>
      </c>
      <c r="AS9413" t="s">
        <v>90</v>
      </c>
      <c r="AT9413" t="s">
        <v>58</v>
      </c>
      <c r="AU9413" t="s">
        <v>68</v>
      </c>
      <c r="AV9413" t="s">
        <v>69</v>
      </c>
      <c r="AW9413" s="1">
        <v>28771</v>
      </c>
      <c r="AX9413">
        <v>1</v>
      </c>
    </row>
    <row r="9414" spans="1:50">
      <c r="A9414">
        <v>612880</v>
      </c>
      <c r="B9414" t="str">
        <f>"121335904"</f>
        <v>121335904</v>
      </c>
      <c r="C9414" t="s">
        <v>50</v>
      </c>
      <c r="D9414" t="s">
        <v>14288</v>
      </c>
      <c r="E9414" t="s">
        <v>52</v>
      </c>
      <c r="F9414" t="s">
        <v>14289</v>
      </c>
      <c r="G9414" t="s">
        <v>181</v>
      </c>
      <c r="H9414" t="str">
        <f>"ΓΑΛΑΤΑΣ ΝΕΑΣ ΚΥΔΩΝΙΑΣ ΧΑΝΙΑ"</f>
        <v>ΓΑΛΑΤΑΣ ΝΕΑΣ ΚΥΔΩΝΙΑΣ ΧΑΝΙΑ</v>
      </c>
      <c r="I9414">
        <v>73100</v>
      </c>
      <c r="K9414">
        <v>6956036062</v>
      </c>
      <c r="N9414" t="s">
        <v>306</v>
      </c>
      <c r="O9414" t="s">
        <v>307</v>
      </c>
      <c r="R9414" t="s">
        <v>57</v>
      </c>
      <c r="S9414">
        <v>6</v>
      </c>
      <c r="T9414">
        <v>298</v>
      </c>
      <c r="U9414" s="1">
        <v>38985</v>
      </c>
      <c r="V9414" t="s">
        <v>89</v>
      </c>
      <c r="W9414" t="s">
        <v>90</v>
      </c>
      <c r="X9414" t="s">
        <v>58</v>
      </c>
      <c r="Y9414">
        <v>23</v>
      </c>
      <c r="Z9414" t="s">
        <v>59</v>
      </c>
      <c r="AA9414" t="s">
        <v>59</v>
      </c>
      <c r="AB9414" t="s">
        <v>59</v>
      </c>
      <c r="AC9414" t="s">
        <v>59</v>
      </c>
      <c r="AD9414" t="s">
        <v>59</v>
      </c>
      <c r="AF9414" s="1">
        <v>38987</v>
      </c>
      <c r="AG9414" t="s">
        <v>8645</v>
      </c>
      <c r="AH9414" t="s">
        <v>8646</v>
      </c>
      <c r="AI9414" t="str">
        <f>"9500113"</f>
        <v>9500113</v>
      </c>
      <c r="AJ9414" t="s">
        <v>13935</v>
      </c>
      <c r="AK9414">
        <v>2821077187</v>
      </c>
      <c r="AL9414" t="s">
        <v>13936</v>
      </c>
      <c r="AM9414" t="s">
        <v>88</v>
      </c>
      <c r="AN9414" t="s">
        <v>6764</v>
      </c>
      <c r="AO9414" t="s">
        <v>6885</v>
      </c>
      <c r="AP9414" t="s">
        <v>13937</v>
      </c>
      <c r="AQ9414">
        <v>4</v>
      </c>
      <c r="AR9414" t="s">
        <v>89</v>
      </c>
      <c r="AS9414" t="s">
        <v>90</v>
      </c>
      <c r="AT9414" t="s">
        <v>58</v>
      </c>
      <c r="AU9414" t="s">
        <v>68</v>
      </c>
      <c r="AV9414" t="s">
        <v>69</v>
      </c>
      <c r="AW9414" s="1">
        <v>29504</v>
      </c>
      <c r="AX9414">
        <v>1</v>
      </c>
    </row>
    <row r="9415" spans="1:50">
      <c r="A9415">
        <v>605397</v>
      </c>
      <c r="B9415" t="str">
        <f>"126855228"</f>
        <v>126855228</v>
      </c>
      <c r="C9415" t="s">
        <v>50</v>
      </c>
      <c r="D9415" t="s">
        <v>14290</v>
      </c>
      <c r="E9415" t="s">
        <v>238</v>
      </c>
      <c r="F9415" t="s">
        <v>10674</v>
      </c>
      <c r="G9415" t="s">
        <v>396</v>
      </c>
      <c r="H9415" t="str">
        <f>"ΣΦΑΚΙΩΤΑΚΗ 36 ΧΑΝΙΑ"</f>
        <v>ΣΦΑΚΙΩΤΑΚΗ 36 ΧΑΝΙΑ</v>
      </c>
      <c r="J9415">
        <v>2106120188</v>
      </c>
      <c r="K9415">
        <v>6938160278</v>
      </c>
      <c r="M9415" t="s">
        <v>14291</v>
      </c>
      <c r="N9415" t="s">
        <v>615</v>
      </c>
      <c r="O9415" t="s">
        <v>616</v>
      </c>
      <c r="R9415" t="s">
        <v>57</v>
      </c>
      <c r="S9415">
        <v>7</v>
      </c>
      <c r="T9415">
        <v>231</v>
      </c>
      <c r="U9415" s="1">
        <v>38230</v>
      </c>
      <c r="V9415" t="s">
        <v>89</v>
      </c>
      <c r="W9415" t="s">
        <v>90</v>
      </c>
      <c r="X9415" t="s">
        <v>58</v>
      </c>
      <c r="Y9415">
        <v>22</v>
      </c>
      <c r="Z9415" t="s">
        <v>59</v>
      </c>
      <c r="AA9415" t="s">
        <v>59</v>
      </c>
      <c r="AB9415" t="s">
        <v>59</v>
      </c>
      <c r="AC9415" t="s">
        <v>59</v>
      </c>
      <c r="AD9415" t="s">
        <v>59</v>
      </c>
      <c r="AF9415" s="1">
        <v>38230</v>
      </c>
      <c r="AG9415" t="s">
        <v>8645</v>
      </c>
      <c r="AH9415" t="s">
        <v>8646</v>
      </c>
      <c r="AI9415" t="str">
        <f>"9500071"</f>
        <v>9500071</v>
      </c>
      <c r="AJ9415" t="s">
        <v>14209</v>
      </c>
      <c r="AK9415">
        <v>2821093760</v>
      </c>
      <c r="AL9415" t="s">
        <v>14210</v>
      </c>
      <c r="AM9415" t="s">
        <v>88</v>
      </c>
      <c r="AN9415" t="s">
        <v>88</v>
      </c>
      <c r="AO9415" t="s">
        <v>88</v>
      </c>
      <c r="AP9415" t="s">
        <v>88</v>
      </c>
      <c r="AQ9415">
        <v>1</v>
      </c>
      <c r="AR9415" t="s">
        <v>89</v>
      </c>
      <c r="AS9415" t="s">
        <v>90</v>
      </c>
      <c r="AT9415" t="s">
        <v>58</v>
      </c>
      <c r="AU9415" t="s">
        <v>68</v>
      </c>
      <c r="AV9415" t="s">
        <v>69</v>
      </c>
      <c r="AW9415" s="1">
        <v>28720</v>
      </c>
      <c r="AX9415">
        <v>1</v>
      </c>
    </row>
    <row r="9416" spans="1:50">
      <c r="A9416">
        <v>587979</v>
      </c>
      <c r="B9416" t="str">
        <f>"074402519"</f>
        <v>074402519</v>
      </c>
      <c r="C9416" t="s">
        <v>105</v>
      </c>
      <c r="D9416" t="s">
        <v>14292</v>
      </c>
      <c r="E9416" t="s">
        <v>53</v>
      </c>
      <c r="F9416" t="s">
        <v>309</v>
      </c>
      <c r="G9416" t="s">
        <v>460</v>
      </c>
      <c r="H9416" t="str">
        <f>"ΒΑΡΔΑ ΤΣΟΝΤΟΥ 11 ΧΑΝΙΑ"</f>
        <v>ΒΑΡΔΑ ΤΣΟΝΤΟΥ 11 ΧΑΝΙΑ</v>
      </c>
      <c r="I9416">
        <v>73100</v>
      </c>
      <c r="J9416">
        <v>2821112679</v>
      </c>
      <c r="K9416">
        <v>6944614059</v>
      </c>
      <c r="N9416" t="s">
        <v>615</v>
      </c>
      <c r="O9416" t="s">
        <v>616</v>
      </c>
      <c r="R9416" t="s">
        <v>57</v>
      </c>
      <c r="S9416">
        <v>11</v>
      </c>
      <c r="T9416">
        <v>250</v>
      </c>
      <c r="U9416" s="1">
        <v>36160</v>
      </c>
      <c r="V9416" t="s">
        <v>89</v>
      </c>
      <c r="W9416" t="s">
        <v>90</v>
      </c>
      <c r="X9416" t="s">
        <v>58</v>
      </c>
      <c r="Y9416">
        <v>21</v>
      </c>
      <c r="Z9416" t="s">
        <v>59</v>
      </c>
      <c r="AA9416" t="s">
        <v>59</v>
      </c>
      <c r="AB9416" t="s">
        <v>59</v>
      </c>
      <c r="AC9416" t="s">
        <v>59</v>
      </c>
      <c r="AD9416" t="s">
        <v>59</v>
      </c>
      <c r="AF9416" s="1">
        <v>36175</v>
      </c>
      <c r="AG9416" t="s">
        <v>8645</v>
      </c>
      <c r="AH9416" t="s">
        <v>8646</v>
      </c>
      <c r="AI9416" t="str">
        <f>"9500077"</f>
        <v>9500077</v>
      </c>
      <c r="AJ9416" t="s">
        <v>13903</v>
      </c>
      <c r="AK9416">
        <v>2821054404</v>
      </c>
      <c r="AL9416" t="s">
        <v>13904</v>
      </c>
      <c r="AM9416" t="s">
        <v>88</v>
      </c>
      <c r="AN9416" t="s">
        <v>88</v>
      </c>
      <c r="AO9416" t="s">
        <v>88</v>
      </c>
      <c r="AP9416" t="s">
        <v>88</v>
      </c>
      <c r="AQ9416">
        <v>1</v>
      </c>
      <c r="AR9416" t="s">
        <v>89</v>
      </c>
      <c r="AS9416" t="s">
        <v>90</v>
      </c>
      <c r="AT9416" t="s">
        <v>58</v>
      </c>
      <c r="AU9416" t="s">
        <v>68</v>
      </c>
      <c r="AV9416" t="s">
        <v>69</v>
      </c>
      <c r="AW9416" s="1">
        <v>26592</v>
      </c>
      <c r="AX9416">
        <v>1</v>
      </c>
    </row>
    <row r="9417" spans="1:50">
      <c r="A9417">
        <v>618556</v>
      </c>
      <c r="B9417" t="str">
        <f>"138419458"</f>
        <v>138419458</v>
      </c>
      <c r="C9417" t="s">
        <v>50</v>
      </c>
      <c r="D9417" t="s">
        <v>14293</v>
      </c>
      <c r="E9417" t="s">
        <v>2248</v>
      </c>
      <c r="F9417" t="s">
        <v>1336</v>
      </c>
      <c r="G9417" t="s">
        <v>484</v>
      </c>
      <c r="H9417" t="str">
        <f>"ΚΡΗΝΗ ΝΕΣΤΟΥ ΧΡΥΣΟΥΠΟΛΗ"</f>
        <v>ΚΡΗΝΗ ΝΕΣΤΟΥ ΧΡΥΣΟΥΠΟΛΗ</v>
      </c>
      <c r="I9417">
        <v>64200</v>
      </c>
      <c r="J9417">
        <v>2591052346</v>
      </c>
      <c r="K9417">
        <v>6982319468</v>
      </c>
      <c r="N9417" t="s">
        <v>615</v>
      </c>
      <c r="O9417" t="s">
        <v>616</v>
      </c>
      <c r="R9417" t="s">
        <v>57</v>
      </c>
      <c r="S9417">
        <v>3</v>
      </c>
      <c r="T9417">
        <v>774</v>
      </c>
      <c r="U9417" s="1">
        <v>39680</v>
      </c>
      <c r="V9417" t="s">
        <v>89</v>
      </c>
      <c r="W9417" t="s">
        <v>90</v>
      </c>
      <c r="X9417" t="s">
        <v>58</v>
      </c>
      <c r="Y9417">
        <v>24</v>
      </c>
      <c r="Z9417" t="s">
        <v>59</v>
      </c>
      <c r="AA9417" t="s">
        <v>59</v>
      </c>
      <c r="AB9417" t="s">
        <v>59</v>
      </c>
      <c r="AC9417" t="s">
        <v>59</v>
      </c>
      <c r="AD9417" t="s">
        <v>59</v>
      </c>
      <c r="AF9417" s="1">
        <v>39685</v>
      </c>
      <c r="AG9417" t="s">
        <v>8645</v>
      </c>
      <c r="AH9417" t="s">
        <v>8646</v>
      </c>
      <c r="AI9417" t="str">
        <f>"9500236"</f>
        <v>9500236</v>
      </c>
      <c r="AJ9417" t="s">
        <v>14106</v>
      </c>
      <c r="AK9417">
        <v>2824022347</v>
      </c>
      <c r="AL9417" t="s">
        <v>14107</v>
      </c>
      <c r="AM9417" t="s">
        <v>88</v>
      </c>
      <c r="AN9417" t="s">
        <v>6764</v>
      </c>
      <c r="AO9417" t="s">
        <v>6765</v>
      </c>
      <c r="AP9417" t="s">
        <v>13952</v>
      </c>
      <c r="AQ9417">
        <v>6</v>
      </c>
      <c r="AR9417" t="s">
        <v>89</v>
      </c>
      <c r="AS9417" t="s">
        <v>90</v>
      </c>
      <c r="AT9417" t="s">
        <v>58</v>
      </c>
      <c r="AU9417" t="s">
        <v>68</v>
      </c>
      <c r="AV9417" t="s">
        <v>69</v>
      </c>
      <c r="AW9417" s="1">
        <v>30865</v>
      </c>
      <c r="AX9417">
        <v>1</v>
      </c>
    </row>
    <row r="9418" spans="1:50">
      <c r="A9418">
        <v>590882</v>
      </c>
      <c r="B9418" t="str">
        <f>"101937266"</f>
        <v>101937266</v>
      </c>
      <c r="C9418" t="s">
        <v>50</v>
      </c>
      <c r="D9418" t="s">
        <v>14294</v>
      </c>
      <c r="E9418" t="s">
        <v>52</v>
      </c>
      <c r="F9418" t="s">
        <v>99</v>
      </c>
      <c r="G9418" t="s">
        <v>112</v>
      </c>
      <c r="H9418" t="str">
        <f>"ΕΥΣΤΑΘΙΟΥ ΠΕΡΟΥΛΗ ΚΑΛΑΘΑΣ"</f>
        <v>ΕΥΣΤΑΘΙΟΥ ΠΕΡΟΥΛΗ ΚΑΛΑΘΑΣ</v>
      </c>
      <c r="I9418">
        <v>73100</v>
      </c>
      <c r="J9418">
        <v>2821049094</v>
      </c>
      <c r="N9418" t="s">
        <v>615</v>
      </c>
      <c r="O9418" t="s">
        <v>616</v>
      </c>
      <c r="R9418" t="s">
        <v>57</v>
      </c>
      <c r="S9418">
        <v>10</v>
      </c>
      <c r="T9418">
        <v>249</v>
      </c>
      <c r="U9418" s="1">
        <v>36769</v>
      </c>
      <c r="V9418" t="s">
        <v>89</v>
      </c>
      <c r="W9418" t="s">
        <v>90</v>
      </c>
      <c r="X9418" t="s">
        <v>58</v>
      </c>
      <c r="Y9418">
        <v>21</v>
      </c>
      <c r="Z9418" t="s">
        <v>59</v>
      </c>
      <c r="AA9418" t="s">
        <v>59</v>
      </c>
      <c r="AB9418" t="s">
        <v>59</v>
      </c>
      <c r="AC9418" t="s">
        <v>59</v>
      </c>
      <c r="AD9418" t="s">
        <v>59</v>
      </c>
      <c r="AF9418" s="1">
        <v>36769</v>
      </c>
      <c r="AG9418" t="s">
        <v>8645</v>
      </c>
      <c r="AH9418" t="s">
        <v>8646</v>
      </c>
      <c r="AI9418" t="str">
        <f>"9500040"</f>
        <v>9500040</v>
      </c>
      <c r="AJ9418" t="s">
        <v>13906</v>
      </c>
      <c r="AK9418">
        <v>2821045356</v>
      </c>
      <c r="AL9418" t="s">
        <v>13907</v>
      </c>
      <c r="AM9418" t="s">
        <v>88</v>
      </c>
      <c r="AN9418" t="s">
        <v>88</v>
      </c>
      <c r="AO9418" t="s">
        <v>88</v>
      </c>
      <c r="AP9418" t="s">
        <v>88</v>
      </c>
      <c r="AQ9418">
        <v>1</v>
      </c>
      <c r="AR9418" t="s">
        <v>89</v>
      </c>
      <c r="AS9418" t="s">
        <v>90</v>
      </c>
      <c r="AT9418" t="s">
        <v>58</v>
      </c>
      <c r="AU9418" t="s">
        <v>68</v>
      </c>
      <c r="AV9418" t="s">
        <v>2039</v>
      </c>
      <c r="AW9418" s="1">
        <v>23858</v>
      </c>
      <c r="AX9418">
        <v>1</v>
      </c>
    </row>
    <row r="9419" spans="1:50">
      <c r="A9419">
        <v>702539</v>
      </c>
      <c r="B9419" t="str">
        <f>"113179510"</f>
        <v>113179510</v>
      </c>
      <c r="C9419" t="s">
        <v>50</v>
      </c>
      <c r="D9419" t="s">
        <v>14295</v>
      </c>
      <c r="E9419" t="s">
        <v>14296</v>
      </c>
      <c r="F9419" t="s">
        <v>2337</v>
      </c>
      <c r="G9419" t="s">
        <v>14297</v>
      </c>
      <c r="H9419" t="str">
        <f>"ΣΕΛΙΝΟΥ 85 ΧΑΝΙΑ"</f>
        <v>ΣΕΛΙΝΟΥ 85 ΧΑΝΙΑ</v>
      </c>
      <c r="I9419">
        <v>73100</v>
      </c>
      <c r="J9419">
        <v>2821051578</v>
      </c>
      <c r="K9419">
        <v>6975908318</v>
      </c>
      <c r="N9419" t="s">
        <v>615</v>
      </c>
      <c r="O9419" t="s">
        <v>616</v>
      </c>
      <c r="R9419" t="s">
        <v>57</v>
      </c>
      <c r="S9419">
        <v>4</v>
      </c>
      <c r="T9419">
        <v>772</v>
      </c>
      <c r="U9419" s="1">
        <v>40413</v>
      </c>
      <c r="V9419" t="s">
        <v>89</v>
      </c>
      <c r="W9419" t="s">
        <v>90</v>
      </c>
      <c r="X9419" t="s">
        <v>58</v>
      </c>
      <c r="Y9419">
        <v>23</v>
      </c>
      <c r="Z9419" t="s">
        <v>59</v>
      </c>
      <c r="AA9419" t="s">
        <v>59</v>
      </c>
      <c r="AB9419" t="s">
        <v>59</v>
      </c>
      <c r="AC9419" t="s">
        <v>59</v>
      </c>
      <c r="AD9419" t="s">
        <v>59</v>
      </c>
      <c r="AF9419" s="1">
        <v>40413</v>
      </c>
      <c r="AG9419" t="s">
        <v>8645</v>
      </c>
      <c r="AH9419" t="s">
        <v>14199</v>
      </c>
      <c r="AI9419" t="str">
        <f>"9500140"</f>
        <v>9500140</v>
      </c>
      <c r="AJ9419" t="s">
        <v>14200</v>
      </c>
      <c r="AK9419">
        <v>2821097348</v>
      </c>
      <c r="AL9419" t="s">
        <v>14201</v>
      </c>
      <c r="AM9419" t="s">
        <v>88</v>
      </c>
      <c r="AN9419" t="s">
        <v>88</v>
      </c>
      <c r="AO9419" t="s">
        <v>88</v>
      </c>
      <c r="AP9419" t="s">
        <v>88</v>
      </c>
      <c r="AQ9419">
        <v>1</v>
      </c>
      <c r="AR9419" t="s">
        <v>89</v>
      </c>
      <c r="AS9419" t="s">
        <v>90</v>
      </c>
      <c r="AT9419" t="s">
        <v>58</v>
      </c>
      <c r="AU9419" t="s">
        <v>68</v>
      </c>
      <c r="AV9419" t="s">
        <v>69</v>
      </c>
      <c r="AW9419" s="1">
        <v>25385</v>
      </c>
      <c r="AX9419">
        <v>1</v>
      </c>
    </row>
    <row r="9420" spans="1:50">
      <c r="A9420">
        <v>613861</v>
      </c>
      <c r="B9420" t="str">
        <f>"118499113"</f>
        <v>118499113</v>
      </c>
      <c r="C9420" t="s">
        <v>50</v>
      </c>
      <c r="D9420" t="s">
        <v>14298</v>
      </c>
      <c r="E9420" t="s">
        <v>96</v>
      </c>
      <c r="F9420" t="s">
        <v>995</v>
      </c>
      <c r="G9420" t="s">
        <v>4671</v>
      </c>
      <c r="H9420" t="str">
        <f>"ΕΜΜ.ΤΟΜΠΑΖΗ 36 ΝΕΡΟΚΟΥΡΟΥ ΧΑΝΙΑ"</f>
        <v>ΕΜΜ.ΤΟΜΠΑΖΗ 36 ΝΕΡΟΚΟΥΡΟΥ ΧΑΝΙΑ</v>
      </c>
      <c r="I9420">
        <v>73100</v>
      </c>
      <c r="J9420">
        <v>2821072080</v>
      </c>
      <c r="K9420">
        <v>6970969850</v>
      </c>
      <c r="N9420" t="s">
        <v>615</v>
      </c>
      <c r="O9420" t="s">
        <v>616</v>
      </c>
      <c r="R9420" t="s">
        <v>57</v>
      </c>
      <c r="S9420">
        <v>6</v>
      </c>
      <c r="T9420">
        <v>598</v>
      </c>
      <c r="U9420" s="1">
        <v>39310</v>
      </c>
      <c r="V9420" t="s">
        <v>89</v>
      </c>
      <c r="W9420" t="s">
        <v>90</v>
      </c>
      <c r="X9420" t="s">
        <v>58</v>
      </c>
      <c r="Y9420">
        <v>23</v>
      </c>
      <c r="Z9420" t="s">
        <v>59</v>
      </c>
      <c r="AA9420" t="s">
        <v>59</v>
      </c>
      <c r="AB9420" t="s">
        <v>59</v>
      </c>
      <c r="AC9420" t="s">
        <v>59</v>
      </c>
      <c r="AD9420" t="s">
        <v>59</v>
      </c>
      <c r="AF9420" s="1">
        <v>39310</v>
      </c>
      <c r="AG9420" t="s">
        <v>8645</v>
      </c>
      <c r="AH9420" t="s">
        <v>8646</v>
      </c>
      <c r="AI9420" t="str">
        <f>"9500407"</f>
        <v>9500407</v>
      </c>
      <c r="AJ9420" t="s">
        <v>13867</v>
      </c>
      <c r="AK9420">
        <v>2821089224</v>
      </c>
      <c r="AL9420" t="s">
        <v>13868</v>
      </c>
      <c r="AM9420" t="s">
        <v>88</v>
      </c>
      <c r="AN9420" t="s">
        <v>88</v>
      </c>
      <c r="AO9420" t="s">
        <v>6748</v>
      </c>
      <c r="AP9420" t="s">
        <v>6748</v>
      </c>
      <c r="AQ9420">
        <v>2</v>
      </c>
      <c r="AR9420" t="s">
        <v>89</v>
      </c>
      <c r="AS9420" t="s">
        <v>90</v>
      </c>
      <c r="AT9420" t="s">
        <v>58</v>
      </c>
      <c r="AU9420" t="s">
        <v>68</v>
      </c>
      <c r="AV9420" t="s">
        <v>69</v>
      </c>
      <c r="AW9420" s="1">
        <v>30484</v>
      </c>
      <c r="AX9420">
        <v>1</v>
      </c>
    </row>
    <row r="9421" spans="1:50">
      <c r="A9421">
        <v>616594</v>
      </c>
      <c r="B9421" t="str">
        <f>"121750301"</f>
        <v>121750301</v>
      </c>
      <c r="C9421" t="s">
        <v>50</v>
      </c>
      <c r="D9421" t="s">
        <v>14299</v>
      </c>
      <c r="E9421" t="s">
        <v>14300</v>
      </c>
      <c r="F9421" t="s">
        <v>920</v>
      </c>
      <c r="G9421" t="s">
        <v>11866</v>
      </c>
      <c r="H9421" t="str">
        <f>"Α΄ ΤΡΙΚΟΡΦΟ ΧΑΛΚΙΔΙΚΗ"</f>
        <v>Α΄ ΤΡΙΚΟΡΦΟ ΧΑΛΚΙΔΙΚΗ</v>
      </c>
      <c r="I9421">
        <v>63100</v>
      </c>
      <c r="J9421">
        <v>2373023831</v>
      </c>
      <c r="K9421">
        <v>6975899430</v>
      </c>
      <c r="N9421" t="s">
        <v>1525</v>
      </c>
      <c r="O9421" t="s">
        <v>1526</v>
      </c>
      <c r="R9421" t="s">
        <v>57</v>
      </c>
      <c r="S9421">
        <v>5</v>
      </c>
      <c r="T9421">
        <v>660</v>
      </c>
      <c r="U9421" s="1">
        <v>39311</v>
      </c>
      <c r="V9421" t="s">
        <v>89</v>
      </c>
      <c r="W9421" t="s">
        <v>90</v>
      </c>
      <c r="X9421" t="s">
        <v>58</v>
      </c>
      <c r="Y9421">
        <v>25</v>
      </c>
      <c r="Z9421" t="s">
        <v>59</v>
      </c>
      <c r="AA9421" t="s">
        <v>59</v>
      </c>
      <c r="AB9421" t="s">
        <v>59</v>
      </c>
      <c r="AC9421" t="s">
        <v>59</v>
      </c>
      <c r="AD9421" t="s">
        <v>59</v>
      </c>
      <c r="AF9421" s="1">
        <v>39328</v>
      </c>
      <c r="AG9421" t="s">
        <v>8651</v>
      </c>
      <c r="AH9421" t="s">
        <v>8652</v>
      </c>
      <c r="AI9421" t="str">
        <f>"9500176"</f>
        <v>9500176</v>
      </c>
      <c r="AJ9421" t="s">
        <v>14301</v>
      </c>
      <c r="AK9421">
        <v>2823041288</v>
      </c>
      <c r="AL9421" t="s">
        <v>14302</v>
      </c>
      <c r="AM9421" t="s">
        <v>88</v>
      </c>
      <c r="AN9421" t="s">
        <v>6824</v>
      </c>
      <c r="AO9421" t="s">
        <v>6870</v>
      </c>
      <c r="AP9421" t="s">
        <v>6871</v>
      </c>
      <c r="AQ9421">
        <v>11</v>
      </c>
      <c r="AR9421" t="s">
        <v>89</v>
      </c>
      <c r="AS9421" t="s">
        <v>90</v>
      </c>
      <c r="AT9421" t="s">
        <v>58</v>
      </c>
      <c r="AU9421" t="s">
        <v>68</v>
      </c>
      <c r="AV9421" t="s">
        <v>69</v>
      </c>
      <c r="AW9421" s="1">
        <v>30218</v>
      </c>
      <c r="AX9421">
        <v>1</v>
      </c>
    </row>
    <row r="9422" spans="1:50">
      <c r="B9422" t="str">
        <f>"129702045"</f>
        <v>129702045</v>
      </c>
      <c r="C9422" t="s">
        <v>50</v>
      </c>
      <c r="D9422" t="s">
        <v>12969</v>
      </c>
      <c r="E9422" t="s">
        <v>237</v>
      </c>
      <c r="F9422" t="s">
        <v>760</v>
      </c>
      <c r="G9422" t="s">
        <v>506</v>
      </c>
      <c r="H9422" t="str">
        <f>"ΑΣΚΛΗΠΙΟΥ 9 ΚΑΛΑΜΠΑΚΑ"</f>
        <v>ΑΣΚΛΗΠΙΟΥ 9 ΚΑΛΑΜΠΑΚΑ</v>
      </c>
      <c r="I9422">
        <v>42200</v>
      </c>
      <c r="J9422">
        <v>2432024956</v>
      </c>
      <c r="K9422">
        <v>6976590959</v>
      </c>
      <c r="N9422" t="s">
        <v>1525</v>
      </c>
      <c r="O9422" t="s">
        <v>1526</v>
      </c>
      <c r="R9422" t="s">
        <v>159</v>
      </c>
      <c r="S9422">
        <v>3</v>
      </c>
      <c r="T9422" t="s">
        <v>8670</v>
      </c>
      <c r="U9422" s="1">
        <v>43348</v>
      </c>
      <c r="V9422" t="s">
        <v>89</v>
      </c>
      <c r="W9422" t="s">
        <v>90</v>
      </c>
      <c r="X9422" t="s">
        <v>58</v>
      </c>
      <c r="Y9422">
        <v>25</v>
      </c>
      <c r="Z9422" t="s">
        <v>59</v>
      </c>
      <c r="AA9422" t="s">
        <v>59</v>
      </c>
      <c r="AB9422" t="s">
        <v>59</v>
      </c>
      <c r="AC9422" t="s">
        <v>59</v>
      </c>
      <c r="AD9422" t="s">
        <v>59</v>
      </c>
      <c r="AF9422" s="1">
        <v>43348</v>
      </c>
      <c r="AG9422" t="s">
        <v>8651</v>
      </c>
      <c r="AH9422" t="s">
        <v>8652</v>
      </c>
      <c r="AI9422" t="str">
        <f>"9500190"</f>
        <v>9500190</v>
      </c>
      <c r="AJ9422" t="s">
        <v>14303</v>
      </c>
      <c r="AK9422">
        <v>2822022357</v>
      </c>
      <c r="AL9422" t="s">
        <v>14304</v>
      </c>
      <c r="AM9422" t="s">
        <v>88</v>
      </c>
      <c r="AN9422" t="s">
        <v>6744</v>
      </c>
      <c r="AO9422" t="s">
        <v>6744</v>
      </c>
      <c r="AP9422" t="s">
        <v>6744</v>
      </c>
      <c r="AQ9422">
        <v>9</v>
      </c>
      <c r="AR9422" t="s">
        <v>89</v>
      </c>
      <c r="AS9422" t="s">
        <v>90</v>
      </c>
      <c r="AT9422" t="s">
        <v>58</v>
      </c>
      <c r="AU9422" t="s">
        <v>8673</v>
      </c>
      <c r="AV9422" t="s">
        <v>132</v>
      </c>
      <c r="AW9422" s="1">
        <v>30460</v>
      </c>
      <c r="AX9422">
        <v>1</v>
      </c>
    </row>
    <row r="9423" spans="1:50">
      <c r="A9423">
        <v>598058</v>
      </c>
      <c r="B9423" t="str">
        <f>"079156981"</f>
        <v>079156981</v>
      </c>
      <c r="C9423" t="s">
        <v>50</v>
      </c>
      <c r="D9423" t="s">
        <v>14305</v>
      </c>
      <c r="E9423" t="s">
        <v>237</v>
      </c>
      <c r="F9423" t="s">
        <v>900</v>
      </c>
      <c r="G9423" t="s">
        <v>5207</v>
      </c>
      <c r="H9423" t="str">
        <f>"ΓΚΑΜΠΟΥΡΗ 15 ΧΑΝΙΑ"</f>
        <v>ΓΚΑΜΠΟΥΡΗ 15 ΧΑΝΙΑ</v>
      </c>
      <c r="J9423">
        <v>2665022084</v>
      </c>
      <c r="K9423">
        <v>6936973356</v>
      </c>
      <c r="N9423" t="s">
        <v>615</v>
      </c>
      <c r="O9423" t="s">
        <v>616</v>
      </c>
      <c r="R9423" t="s">
        <v>57</v>
      </c>
      <c r="S9423">
        <v>8</v>
      </c>
      <c r="T9423">
        <v>195</v>
      </c>
      <c r="U9423" s="1">
        <v>37497</v>
      </c>
      <c r="V9423" t="s">
        <v>89</v>
      </c>
      <c r="W9423" t="s">
        <v>90</v>
      </c>
      <c r="X9423" t="s">
        <v>58</v>
      </c>
      <c r="Y9423">
        <v>22</v>
      </c>
      <c r="Z9423" t="s">
        <v>59</v>
      </c>
      <c r="AA9423" t="s">
        <v>59</v>
      </c>
      <c r="AB9423" t="s">
        <v>59</v>
      </c>
      <c r="AC9423" t="s">
        <v>59</v>
      </c>
      <c r="AD9423" t="s">
        <v>59</v>
      </c>
      <c r="AF9423" s="1">
        <v>37497</v>
      </c>
      <c r="AG9423" t="s">
        <v>8645</v>
      </c>
      <c r="AH9423" t="s">
        <v>8646</v>
      </c>
      <c r="AI9423" t="str">
        <f>"9500038"</f>
        <v>9500038</v>
      </c>
      <c r="AJ9423" t="s">
        <v>13899</v>
      </c>
      <c r="AK9423">
        <v>2821042407</v>
      </c>
      <c r="AL9423" t="s">
        <v>13900</v>
      </c>
      <c r="AM9423" t="s">
        <v>88</v>
      </c>
      <c r="AN9423" t="s">
        <v>88</v>
      </c>
      <c r="AO9423" t="s">
        <v>88</v>
      </c>
      <c r="AP9423" t="s">
        <v>88</v>
      </c>
      <c r="AQ9423">
        <v>1</v>
      </c>
      <c r="AR9423" t="s">
        <v>89</v>
      </c>
      <c r="AS9423" t="s">
        <v>90</v>
      </c>
      <c r="AT9423" t="s">
        <v>58</v>
      </c>
      <c r="AU9423" t="s">
        <v>68</v>
      </c>
      <c r="AV9423" t="s">
        <v>69</v>
      </c>
      <c r="AW9423" s="1">
        <v>26581</v>
      </c>
      <c r="AX9423">
        <v>1</v>
      </c>
    </row>
    <row r="9424" spans="1:50">
      <c r="A9424">
        <v>585898</v>
      </c>
      <c r="B9424" t="str">
        <f>"064646113"</f>
        <v>064646113</v>
      </c>
      <c r="C9424" t="s">
        <v>50</v>
      </c>
      <c r="D9424" t="s">
        <v>14306</v>
      </c>
      <c r="E9424" t="s">
        <v>1902</v>
      </c>
      <c r="F9424" t="s">
        <v>4730</v>
      </c>
      <c r="G9424" t="s">
        <v>783</v>
      </c>
      <c r="H9424" t="str">
        <f>"ΝΙΚΟΛΑΟΥ ΓΕΝΑΔΗ ΚΑΛΑΘΑΣ"</f>
        <v>ΝΙΚΟΛΑΟΥ ΓΕΝΑΔΗ ΚΑΛΑΘΑΣ</v>
      </c>
      <c r="I9424">
        <v>73100</v>
      </c>
      <c r="J9424">
        <v>2821063133</v>
      </c>
      <c r="N9424" t="s">
        <v>615</v>
      </c>
      <c r="O9424" t="s">
        <v>616</v>
      </c>
      <c r="R9424" t="s">
        <v>57</v>
      </c>
      <c r="S9424">
        <v>11</v>
      </c>
      <c r="T9424">
        <v>165</v>
      </c>
      <c r="U9424" s="1">
        <v>36040</v>
      </c>
      <c r="V9424" t="s">
        <v>89</v>
      </c>
      <c r="W9424" t="s">
        <v>90</v>
      </c>
      <c r="X9424" t="s">
        <v>58</v>
      </c>
      <c r="Y9424">
        <v>21</v>
      </c>
      <c r="Z9424" t="s">
        <v>59</v>
      </c>
      <c r="AA9424" t="s">
        <v>59</v>
      </c>
      <c r="AB9424" t="s">
        <v>59</v>
      </c>
      <c r="AC9424" t="s">
        <v>59</v>
      </c>
      <c r="AD9424" t="s">
        <v>59</v>
      </c>
      <c r="AF9424" s="1">
        <v>36040</v>
      </c>
      <c r="AG9424" t="s">
        <v>8645</v>
      </c>
      <c r="AH9424" t="s">
        <v>8646</v>
      </c>
      <c r="AI9424" t="str">
        <f>"9500093"</f>
        <v>9500093</v>
      </c>
      <c r="AJ9424" t="s">
        <v>13865</v>
      </c>
      <c r="AK9424">
        <v>2821064537</v>
      </c>
      <c r="AL9424" t="s">
        <v>13866</v>
      </c>
      <c r="AM9424" t="s">
        <v>88</v>
      </c>
      <c r="AN9424" t="s">
        <v>88</v>
      </c>
      <c r="AO9424" t="s">
        <v>6770</v>
      </c>
      <c r="AP9424" t="s">
        <v>6771</v>
      </c>
      <c r="AQ9424">
        <v>2</v>
      </c>
      <c r="AR9424" t="s">
        <v>89</v>
      </c>
      <c r="AS9424" t="s">
        <v>90</v>
      </c>
      <c r="AT9424" t="s">
        <v>58</v>
      </c>
      <c r="AU9424" t="s">
        <v>68</v>
      </c>
      <c r="AV9424" t="s">
        <v>69</v>
      </c>
      <c r="AW9424" s="1">
        <v>24454</v>
      </c>
      <c r="AX9424">
        <v>1</v>
      </c>
    </row>
    <row r="9425" spans="1:50">
      <c r="A9425">
        <v>612497</v>
      </c>
      <c r="B9425" t="str">
        <f>"101558520"</f>
        <v>101558520</v>
      </c>
      <c r="C9425" t="s">
        <v>105</v>
      </c>
      <c r="D9425" t="s">
        <v>14307</v>
      </c>
      <c r="E9425" t="s">
        <v>309</v>
      </c>
      <c r="F9425" t="s">
        <v>670</v>
      </c>
      <c r="G9425" t="s">
        <v>809</v>
      </c>
      <c r="H9425" t="str">
        <f>"ΠΑΡΟΔΟΣ ΤΙΜΙΟΥ ΠΡΟΔΡΟΜΟΥ ΚΟΡΑΚΙΕΣ-ΑΚΡΩΤΗΡΙΟΥ"</f>
        <v>ΠΑΡΟΔΟΣ ΤΙΜΙΟΥ ΠΡΟΔΡΟΜΟΥ ΚΟΡΑΚΙΕΣ-ΑΚΡΩΤΗΡΙΟΥ</v>
      </c>
      <c r="I9425">
        <v>73142</v>
      </c>
      <c r="J9425">
        <v>2821066981</v>
      </c>
      <c r="K9425">
        <v>6932212172</v>
      </c>
      <c r="N9425" t="s">
        <v>176</v>
      </c>
      <c r="O9425" t="s">
        <v>177</v>
      </c>
      <c r="R9425" t="s">
        <v>57</v>
      </c>
      <c r="S9425">
        <v>8</v>
      </c>
      <c r="T9425">
        <v>234</v>
      </c>
      <c r="U9425" s="1">
        <v>38960</v>
      </c>
      <c r="V9425" t="s">
        <v>89</v>
      </c>
      <c r="W9425" t="s">
        <v>90</v>
      </c>
      <c r="X9425" t="s">
        <v>58</v>
      </c>
      <c r="Y9425">
        <v>22</v>
      </c>
      <c r="Z9425" t="s">
        <v>59</v>
      </c>
      <c r="AA9425" t="s">
        <v>59</v>
      </c>
      <c r="AB9425" t="s">
        <v>59</v>
      </c>
      <c r="AC9425" t="s">
        <v>59</v>
      </c>
      <c r="AD9425" t="s">
        <v>59</v>
      </c>
      <c r="AF9425" s="1">
        <v>38960</v>
      </c>
      <c r="AG9425" t="s">
        <v>8645</v>
      </c>
      <c r="AH9425" t="s">
        <v>8646</v>
      </c>
      <c r="AI9425" t="str">
        <f>"9520693"</f>
        <v>9520693</v>
      </c>
      <c r="AJ9425" t="s">
        <v>13913</v>
      </c>
      <c r="AK9425">
        <v>2821066910</v>
      </c>
      <c r="AL9425" t="s">
        <v>13914</v>
      </c>
      <c r="AM9425" t="s">
        <v>88</v>
      </c>
      <c r="AN9425" t="s">
        <v>88</v>
      </c>
      <c r="AO9425" t="s">
        <v>6770</v>
      </c>
      <c r="AP9425" t="s">
        <v>6771</v>
      </c>
      <c r="AQ9425">
        <v>2</v>
      </c>
      <c r="AR9425" t="s">
        <v>89</v>
      </c>
      <c r="AS9425" t="s">
        <v>90</v>
      </c>
      <c r="AT9425" t="s">
        <v>58</v>
      </c>
      <c r="AU9425" t="s">
        <v>68</v>
      </c>
      <c r="AV9425" t="s">
        <v>69</v>
      </c>
      <c r="AW9425" s="1">
        <v>26704</v>
      </c>
      <c r="AX9425">
        <v>1</v>
      </c>
    </row>
    <row r="9426" spans="1:50">
      <c r="A9426">
        <v>701041</v>
      </c>
      <c r="B9426" t="str">
        <f>"131093064"</f>
        <v>131093064</v>
      </c>
      <c r="C9426" t="s">
        <v>50</v>
      </c>
      <c r="D9426" t="s">
        <v>14308</v>
      </c>
      <c r="E9426" t="s">
        <v>809</v>
      </c>
      <c r="F9426" t="s">
        <v>95</v>
      </c>
      <c r="G9426" t="s">
        <v>237</v>
      </c>
      <c r="H9426" t="str">
        <f>"ΒΙΘΥΝΙΑΣ 238 ΝΙΚΑΙΑ"</f>
        <v>ΒΙΘΥΝΙΑΣ 238 ΝΙΚΑΙΑ</v>
      </c>
      <c r="I9426">
        <v>18453</v>
      </c>
      <c r="J9426">
        <v>2821009282</v>
      </c>
      <c r="K9426">
        <v>6972725799</v>
      </c>
      <c r="N9426" t="s">
        <v>615</v>
      </c>
      <c r="O9426" t="s">
        <v>616</v>
      </c>
      <c r="R9426" t="s">
        <v>57</v>
      </c>
      <c r="S9426">
        <v>5</v>
      </c>
      <c r="T9426">
        <v>772</v>
      </c>
      <c r="U9426" s="1">
        <v>40413</v>
      </c>
      <c r="V9426" t="s">
        <v>89</v>
      </c>
      <c r="W9426" t="s">
        <v>90</v>
      </c>
      <c r="X9426" t="s">
        <v>58</v>
      </c>
      <c r="Y9426">
        <v>23</v>
      </c>
      <c r="Z9426" t="s">
        <v>59</v>
      </c>
      <c r="AA9426" t="s">
        <v>59</v>
      </c>
      <c r="AB9426" t="s">
        <v>59</v>
      </c>
      <c r="AC9426" t="s">
        <v>59</v>
      </c>
      <c r="AD9426" t="s">
        <v>59</v>
      </c>
      <c r="AF9426" s="1">
        <v>40413</v>
      </c>
      <c r="AG9426" t="s">
        <v>8645</v>
      </c>
      <c r="AH9426" t="s">
        <v>8646</v>
      </c>
      <c r="AI9426" t="str">
        <f>"9500315"</f>
        <v>9500315</v>
      </c>
      <c r="AJ9426" t="s">
        <v>14174</v>
      </c>
      <c r="AK9426">
        <v>2821040565</v>
      </c>
      <c r="AL9426" t="s">
        <v>14175</v>
      </c>
      <c r="AM9426" t="s">
        <v>88</v>
      </c>
      <c r="AN9426" t="s">
        <v>88</v>
      </c>
      <c r="AO9426" t="s">
        <v>88</v>
      </c>
      <c r="AP9426" t="s">
        <v>88</v>
      </c>
      <c r="AQ9426">
        <v>1</v>
      </c>
      <c r="AR9426" t="s">
        <v>89</v>
      </c>
      <c r="AS9426" t="s">
        <v>90</v>
      </c>
      <c r="AT9426" t="s">
        <v>58</v>
      </c>
      <c r="AU9426" t="s">
        <v>68</v>
      </c>
      <c r="AV9426" t="s">
        <v>69</v>
      </c>
      <c r="AW9426" s="1">
        <v>31319</v>
      </c>
      <c r="AX9426">
        <v>1</v>
      </c>
    </row>
    <row r="9427" spans="1:50">
      <c r="A9427">
        <v>597244</v>
      </c>
      <c r="B9427" t="str">
        <f>"120219342"</f>
        <v>120219342</v>
      </c>
      <c r="C9427" t="s">
        <v>50</v>
      </c>
      <c r="D9427" t="s">
        <v>14309</v>
      </c>
      <c r="E9427" t="s">
        <v>237</v>
      </c>
      <c r="F9427" t="s">
        <v>450</v>
      </c>
      <c r="G9427" t="s">
        <v>14310</v>
      </c>
      <c r="H9427" t="str">
        <f>"ΒΑΡΥΠΕΤΡΟ ΧΑΝΙΑ"</f>
        <v>ΒΑΡΥΠΕΤΡΟ ΧΑΝΙΑ</v>
      </c>
      <c r="J9427">
        <v>2821075624</v>
      </c>
      <c r="K9427">
        <v>6944585442</v>
      </c>
      <c r="N9427" t="s">
        <v>1525</v>
      </c>
      <c r="O9427" t="s">
        <v>1526</v>
      </c>
      <c r="R9427" t="s">
        <v>57</v>
      </c>
      <c r="S9427">
        <v>8</v>
      </c>
      <c r="T9427">
        <v>195</v>
      </c>
      <c r="U9427" s="1">
        <v>37497</v>
      </c>
      <c r="V9427" t="s">
        <v>89</v>
      </c>
      <c r="W9427" t="s">
        <v>90</v>
      </c>
      <c r="X9427" t="s">
        <v>58</v>
      </c>
      <c r="Y9427">
        <v>25</v>
      </c>
      <c r="Z9427" t="s">
        <v>59</v>
      </c>
      <c r="AA9427" t="s">
        <v>59</v>
      </c>
      <c r="AB9427" t="s">
        <v>59</v>
      </c>
      <c r="AC9427" t="s">
        <v>59</v>
      </c>
      <c r="AD9427" t="s">
        <v>59</v>
      </c>
      <c r="AF9427" s="1">
        <v>37502</v>
      </c>
      <c r="AG9427" t="s">
        <v>8651</v>
      </c>
      <c r="AH9427" t="s">
        <v>8652</v>
      </c>
      <c r="AI9427" t="str">
        <f>"9500333"</f>
        <v>9500333</v>
      </c>
      <c r="AJ9427" t="s">
        <v>14135</v>
      </c>
      <c r="AK9427">
        <v>2821031361</v>
      </c>
      <c r="AL9427" t="s">
        <v>14136</v>
      </c>
      <c r="AM9427" t="s">
        <v>88</v>
      </c>
      <c r="AN9427" t="s">
        <v>88</v>
      </c>
      <c r="AO9427" t="s">
        <v>13920</v>
      </c>
      <c r="AP9427" t="s">
        <v>13996</v>
      </c>
      <c r="AQ9427">
        <v>3</v>
      </c>
      <c r="AR9427" t="s">
        <v>89</v>
      </c>
      <c r="AS9427" t="s">
        <v>90</v>
      </c>
      <c r="AT9427" t="s">
        <v>58</v>
      </c>
      <c r="AU9427" t="s">
        <v>68</v>
      </c>
      <c r="AV9427" t="s">
        <v>69</v>
      </c>
      <c r="AW9427" s="1">
        <v>24854</v>
      </c>
      <c r="AX9427">
        <v>1</v>
      </c>
    </row>
    <row r="9428" spans="1:50">
      <c r="A9428">
        <v>566721</v>
      </c>
      <c r="B9428" t="str">
        <f>"110869251"</f>
        <v>110869251</v>
      </c>
      <c r="C9428" t="s">
        <v>50</v>
      </c>
      <c r="D9428" t="s">
        <v>14311</v>
      </c>
      <c r="E9428" t="s">
        <v>237</v>
      </c>
      <c r="F9428" t="s">
        <v>279</v>
      </c>
      <c r="G9428" t="s">
        <v>910</v>
      </c>
      <c r="H9428" t="str">
        <f>"ΚΑΣΤΕΛΙ ΚΙΣΑΜΟΥ ΧΑΝΙΩΝ"</f>
        <v>ΚΑΣΤΕΛΙ ΚΙΣΑΜΟΥ ΧΑΝΙΩΝ</v>
      </c>
      <c r="I9428">
        <v>73400</v>
      </c>
      <c r="J9428">
        <v>2822023092</v>
      </c>
      <c r="K9428">
        <v>6932238201</v>
      </c>
      <c r="M9428" t="s">
        <v>14312</v>
      </c>
      <c r="N9428" t="s">
        <v>1525</v>
      </c>
      <c r="O9428" t="s">
        <v>1526</v>
      </c>
      <c r="R9428" t="s">
        <v>57</v>
      </c>
      <c r="S9428">
        <v>15</v>
      </c>
      <c r="T9428">
        <v>161</v>
      </c>
      <c r="U9428" s="1">
        <v>33119</v>
      </c>
      <c r="V9428" t="s">
        <v>89</v>
      </c>
      <c r="W9428" t="s">
        <v>90</v>
      </c>
      <c r="X9428" t="s">
        <v>58</v>
      </c>
      <c r="Y9428">
        <v>25</v>
      </c>
      <c r="Z9428" t="s">
        <v>59</v>
      </c>
      <c r="AA9428" t="s">
        <v>59</v>
      </c>
      <c r="AB9428" t="s">
        <v>59</v>
      </c>
      <c r="AC9428" t="s">
        <v>59</v>
      </c>
      <c r="AD9428" t="s">
        <v>59</v>
      </c>
      <c r="AF9428" s="1">
        <v>33121</v>
      </c>
      <c r="AG9428" t="s">
        <v>8651</v>
      </c>
      <c r="AH9428" t="s">
        <v>8652</v>
      </c>
      <c r="AI9428" t="str">
        <f>"9521009"</f>
        <v>9521009</v>
      </c>
      <c r="AJ9428" t="s">
        <v>14313</v>
      </c>
      <c r="AK9428">
        <v>2822023452</v>
      </c>
      <c r="AL9428" t="s">
        <v>14314</v>
      </c>
      <c r="AM9428" t="s">
        <v>88</v>
      </c>
      <c r="AN9428" t="s">
        <v>6744</v>
      </c>
      <c r="AO9428" t="s">
        <v>6744</v>
      </c>
      <c r="AP9428" t="s">
        <v>6744</v>
      </c>
      <c r="AQ9428">
        <v>9</v>
      </c>
      <c r="AR9428" t="s">
        <v>89</v>
      </c>
      <c r="AS9428" t="s">
        <v>90</v>
      </c>
      <c r="AT9428" t="s">
        <v>58</v>
      </c>
      <c r="AU9428" t="s">
        <v>68</v>
      </c>
      <c r="AV9428" t="s">
        <v>69</v>
      </c>
      <c r="AW9428" s="1">
        <v>22583</v>
      </c>
      <c r="AX9428">
        <v>1</v>
      </c>
    </row>
    <row r="9429" spans="1:50">
      <c r="A9429">
        <v>582176</v>
      </c>
      <c r="B9429" t="str">
        <f>"044209075"</f>
        <v>044209075</v>
      </c>
      <c r="C9429" t="s">
        <v>105</v>
      </c>
      <c r="D9429" t="s">
        <v>12080</v>
      </c>
      <c r="E9429" t="s">
        <v>1651</v>
      </c>
      <c r="F9429" t="s">
        <v>920</v>
      </c>
      <c r="G9429" t="s">
        <v>52</v>
      </c>
      <c r="H9429" t="str">
        <f>" "</f>
        <v xml:space="preserve"> </v>
      </c>
      <c r="N9429" t="s">
        <v>615</v>
      </c>
      <c r="O9429" t="s">
        <v>616</v>
      </c>
      <c r="R9429" t="s">
        <v>57</v>
      </c>
      <c r="S9429">
        <v>11</v>
      </c>
      <c r="T9429">
        <v>179</v>
      </c>
      <c r="U9429" s="1">
        <v>35674</v>
      </c>
      <c r="V9429" t="s">
        <v>89</v>
      </c>
      <c r="W9429" t="s">
        <v>90</v>
      </c>
      <c r="X9429" t="s">
        <v>58</v>
      </c>
      <c r="Y9429">
        <v>21</v>
      </c>
      <c r="Z9429" t="s">
        <v>59</v>
      </c>
      <c r="AA9429" t="s">
        <v>59</v>
      </c>
      <c r="AB9429" t="s">
        <v>59</v>
      </c>
      <c r="AC9429" t="s">
        <v>59</v>
      </c>
      <c r="AD9429" t="s">
        <v>59</v>
      </c>
      <c r="AF9429" s="1">
        <v>35674</v>
      </c>
      <c r="AG9429" t="s">
        <v>8645</v>
      </c>
      <c r="AH9429" t="s">
        <v>8646</v>
      </c>
      <c r="AI9429" t="str">
        <f>"9500423"</f>
        <v>9500423</v>
      </c>
      <c r="AJ9429" t="s">
        <v>13893</v>
      </c>
      <c r="AK9429">
        <v>2821023473</v>
      </c>
      <c r="AL9429" t="s">
        <v>13894</v>
      </c>
      <c r="AM9429" t="s">
        <v>88</v>
      </c>
      <c r="AN9429" t="s">
        <v>88</v>
      </c>
      <c r="AO9429" t="s">
        <v>88</v>
      </c>
      <c r="AP9429" t="s">
        <v>88</v>
      </c>
      <c r="AQ9429">
        <v>1</v>
      </c>
      <c r="AR9429" t="s">
        <v>89</v>
      </c>
      <c r="AS9429" t="s">
        <v>90</v>
      </c>
      <c r="AT9429" t="s">
        <v>58</v>
      </c>
      <c r="AU9429" t="s">
        <v>68</v>
      </c>
      <c r="AV9429" t="s">
        <v>69</v>
      </c>
      <c r="AW9429" s="1">
        <v>23665</v>
      </c>
      <c r="AX9429">
        <v>1</v>
      </c>
    </row>
    <row r="9430" spans="1:50">
      <c r="A9430">
        <v>582565</v>
      </c>
      <c r="B9430" t="str">
        <f>"064645454"</f>
        <v>064645454</v>
      </c>
      <c r="C9430" t="s">
        <v>50</v>
      </c>
      <c r="D9430" t="s">
        <v>14315</v>
      </c>
      <c r="E9430" t="s">
        <v>1553</v>
      </c>
      <c r="F9430" t="s">
        <v>670</v>
      </c>
      <c r="G9430" t="s">
        <v>191</v>
      </c>
      <c r="H9430" t="str">
        <f>"ΓΡΑΜΒΟΥΣΑ-ΚΙΣΑΜΟΣ "</f>
        <v xml:space="preserve">ΓΡΑΜΒΟΥΣΑ-ΚΙΣΑΜΟΣ </v>
      </c>
      <c r="I9430">
        <v>73400</v>
      </c>
      <c r="J9430">
        <v>2822023772</v>
      </c>
      <c r="K9430">
        <v>6945470881</v>
      </c>
      <c r="N9430" t="s">
        <v>615</v>
      </c>
      <c r="O9430" t="s">
        <v>616</v>
      </c>
      <c r="R9430" t="s">
        <v>57</v>
      </c>
      <c r="S9430">
        <v>11</v>
      </c>
      <c r="T9430">
        <v>179</v>
      </c>
      <c r="U9430" s="1">
        <v>35674</v>
      </c>
      <c r="V9430" t="s">
        <v>89</v>
      </c>
      <c r="W9430" t="s">
        <v>90</v>
      </c>
      <c r="X9430" t="s">
        <v>58</v>
      </c>
      <c r="Y9430">
        <v>21</v>
      </c>
      <c r="Z9430" t="s">
        <v>59</v>
      </c>
      <c r="AA9430" t="s">
        <v>59</v>
      </c>
      <c r="AB9430" t="s">
        <v>59</v>
      </c>
      <c r="AC9430" t="s">
        <v>59</v>
      </c>
      <c r="AD9430" t="s">
        <v>59</v>
      </c>
      <c r="AF9430" s="1">
        <v>35674</v>
      </c>
      <c r="AG9430" t="s">
        <v>8645</v>
      </c>
      <c r="AH9430" t="s">
        <v>8646</v>
      </c>
      <c r="AI9430" t="str">
        <f>"9500225"</f>
        <v>9500225</v>
      </c>
      <c r="AJ9430" t="s">
        <v>14058</v>
      </c>
      <c r="AK9430">
        <v>2822041233</v>
      </c>
      <c r="AL9430" t="s">
        <v>14059</v>
      </c>
      <c r="AM9430" t="s">
        <v>88</v>
      </c>
      <c r="AN9430" t="s">
        <v>6744</v>
      </c>
      <c r="AO9430" t="s">
        <v>6744</v>
      </c>
      <c r="AP9430" t="s">
        <v>13045</v>
      </c>
      <c r="AQ9430">
        <v>9</v>
      </c>
      <c r="AR9430" t="s">
        <v>89</v>
      </c>
      <c r="AS9430" t="s">
        <v>90</v>
      </c>
      <c r="AT9430" t="s">
        <v>58</v>
      </c>
      <c r="AU9430" t="s">
        <v>68</v>
      </c>
      <c r="AV9430" t="s">
        <v>69</v>
      </c>
      <c r="AW9430" s="1">
        <v>24907</v>
      </c>
      <c r="AX9430">
        <v>1</v>
      </c>
    </row>
    <row r="9431" spans="1:50">
      <c r="B9431" t="str">
        <f>"148964388"</f>
        <v>148964388</v>
      </c>
      <c r="C9431" t="s">
        <v>50</v>
      </c>
      <c r="D9431" t="s">
        <v>14316</v>
      </c>
      <c r="E9431" t="s">
        <v>52</v>
      </c>
      <c r="F9431" t="s">
        <v>377</v>
      </c>
      <c r="G9431" t="s">
        <v>1902</v>
      </c>
      <c r="H9431" t="str">
        <f>" "</f>
        <v xml:space="preserve"> </v>
      </c>
      <c r="J9431">
        <v>2351031828</v>
      </c>
      <c r="N9431" t="s">
        <v>8834</v>
      </c>
      <c r="O9431" t="s">
        <v>8695</v>
      </c>
      <c r="R9431" t="s">
        <v>159</v>
      </c>
      <c r="S9431">
        <v>3</v>
      </c>
      <c r="T9431" t="s">
        <v>8696</v>
      </c>
      <c r="U9431" s="1">
        <v>43348</v>
      </c>
      <c r="V9431" t="s">
        <v>89</v>
      </c>
      <c r="W9431" t="s">
        <v>90</v>
      </c>
      <c r="X9431" t="s">
        <v>58</v>
      </c>
      <c r="Y9431">
        <v>24</v>
      </c>
      <c r="Z9431" t="s">
        <v>59</v>
      </c>
      <c r="AA9431" t="s">
        <v>59</v>
      </c>
      <c r="AB9431" t="s">
        <v>59</v>
      </c>
      <c r="AD9431" t="s">
        <v>59</v>
      </c>
      <c r="AF9431" s="1">
        <v>43348</v>
      </c>
      <c r="AG9431" t="s">
        <v>8645</v>
      </c>
      <c r="AH9431" t="s">
        <v>8697</v>
      </c>
      <c r="AI9431" t="str">
        <f>"9500424"</f>
        <v>9500424</v>
      </c>
      <c r="AJ9431" t="s">
        <v>14232</v>
      </c>
      <c r="AK9431">
        <v>2821044022</v>
      </c>
      <c r="AL9431" t="s">
        <v>14233</v>
      </c>
      <c r="AM9431" t="s">
        <v>88</v>
      </c>
      <c r="AN9431" t="s">
        <v>88</v>
      </c>
      <c r="AO9431" t="s">
        <v>88</v>
      </c>
      <c r="AP9431" t="s">
        <v>88</v>
      </c>
      <c r="AQ9431">
        <v>1</v>
      </c>
      <c r="AR9431" t="s">
        <v>89</v>
      </c>
      <c r="AS9431" t="s">
        <v>90</v>
      </c>
      <c r="AT9431" t="s">
        <v>58</v>
      </c>
      <c r="AU9431" t="s">
        <v>350</v>
      </c>
      <c r="AV9431" t="s">
        <v>132</v>
      </c>
      <c r="AW9431" s="1">
        <v>32833</v>
      </c>
      <c r="AX9431">
        <v>1</v>
      </c>
    </row>
    <row r="9432" spans="1:50">
      <c r="A9432">
        <v>584810</v>
      </c>
      <c r="B9432" t="str">
        <f>"035925101"</f>
        <v>035925101</v>
      </c>
      <c r="C9432" t="s">
        <v>50</v>
      </c>
      <c r="D9432" t="s">
        <v>14317</v>
      </c>
      <c r="E9432" t="s">
        <v>263</v>
      </c>
      <c r="F9432" t="s">
        <v>92</v>
      </c>
      <c r="G9432" t="s">
        <v>52</v>
      </c>
      <c r="H9432" t="str">
        <f>"ΑΡΓΟΥΛΙΔΕΣ ΧΑΝΙΑ-ΑΚΡΩΤΗΡΙ"</f>
        <v>ΑΡΓΟΥΛΙΔΕΣ ΧΑΝΙΑ-ΑΚΡΩΤΗΡΙ</v>
      </c>
      <c r="I9432">
        <v>73100</v>
      </c>
      <c r="J9432">
        <v>2821075400</v>
      </c>
      <c r="K9432">
        <v>6984650616</v>
      </c>
      <c r="M9432" t="s">
        <v>14318</v>
      </c>
      <c r="N9432" t="s">
        <v>615</v>
      </c>
      <c r="O9432" t="s">
        <v>616</v>
      </c>
      <c r="R9432" t="s">
        <v>57</v>
      </c>
      <c r="S9432">
        <v>12</v>
      </c>
      <c r="T9432">
        <v>165</v>
      </c>
      <c r="U9432" s="1">
        <v>36040</v>
      </c>
      <c r="V9432" t="s">
        <v>89</v>
      </c>
      <c r="W9432" t="s">
        <v>90</v>
      </c>
      <c r="X9432" t="s">
        <v>58</v>
      </c>
      <c r="Y9432">
        <v>21</v>
      </c>
      <c r="Z9432" t="s">
        <v>59</v>
      </c>
      <c r="AA9432" t="s">
        <v>59</v>
      </c>
      <c r="AB9432" t="s">
        <v>59</v>
      </c>
      <c r="AC9432" t="s">
        <v>59</v>
      </c>
      <c r="AD9432" t="s">
        <v>59</v>
      </c>
      <c r="AF9432" s="1">
        <v>36042</v>
      </c>
      <c r="AG9432" t="s">
        <v>8645</v>
      </c>
      <c r="AH9432" t="s">
        <v>8646</v>
      </c>
      <c r="AI9432" t="str">
        <f>"9520693"</f>
        <v>9520693</v>
      </c>
      <c r="AJ9432" t="s">
        <v>13913</v>
      </c>
      <c r="AK9432">
        <v>2821066910</v>
      </c>
      <c r="AL9432" t="s">
        <v>13914</v>
      </c>
      <c r="AM9432" t="s">
        <v>88</v>
      </c>
      <c r="AN9432" t="s">
        <v>88</v>
      </c>
      <c r="AO9432" t="s">
        <v>6770</v>
      </c>
      <c r="AP9432" t="s">
        <v>6771</v>
      </c>
      <c r="AQ9432">
        <v>2</v>
      </c>
      <c r="AR9432" t="s">
        <v>89</v>
      </c>
      <c r="AS9432" t="s">
        <v>90</v>
      </c>
      <c r="AT9432" t="s">
        <v>58</v>
      </c>
      <c r="AU9432" t="s">
        <v>68</v>
      </c>
      <c r="AV9432" t="s">
        <v>69</v>
      </c>
      <c r="AW9432" s="1">
        <v>24267</v>
      </c>
      <c r="AX9432">
        <v>1</v>
      </c>
    </row>
    <row r="9433" spans="1:50">
      <c r="A9433">
        <v>614977</v>
      </c>
      <c r="B9433" t="str">
        <f>"127721734"</f>
        <v>127721734</v>
      </c>
      <c r="C9433" t="s">
        <v>50</v>
      </c>
      <c r="D9433" t="s">
        <v>14317</v>
      </c>
      <c r="E9433" t="s">
        <v>83</v>
      </c>
      <c r="F9433" t="s">
        <v>92</v>
      </c>
      <c r="G9433" t="s">
        <v>263</v>
      </c>
      <c r="H9433" t="str">
        <f>"ΛΟΥΛΑΚΑΚΗ 20Β ΧΑΝΙΑ"</f>
        <v>ΛΟΥΛΑΚΑΚΗ 20Β ΧΑΝΙΑ</v>
      </c>
      <c r="J9433">
        <v>2821088165</v>
      </c>
      <c r="K9433">
        <v>6948548844</v>
      </c>
      <c r="N9433" t="s">
        <v>615</v>
      </c>
      <c r="O9433" t="s">
        <v>616</v>
      </c>
      <c r="R9433" t="s">
        <v>57</v>
      </c>
      <c r="S9433">
        <v>6</v>
      </c>
      <c r="T9433">
        <v>598</v>
      </c>
      <c r="U9433" s="1">
        <v>39310</v>
      </c>
      <c r="V9433" t="s">
        <v>89</v>
      </c>
      <c r="W9433" t="s">
        <v>90</v>
      </c>
      <c r="X9433" t="s">
        <v>58</v>
      </c>
      <c r="Y9433">
        <v>23</v>
      </c>
      <c r="Z9433" t="s">
        <v>59</v>
      </c>
      <c r="AA9433" t="s">
        <v>59</v>
      </c>
      <c r="AB9433" t="s">
        <v>59</v>
      </c>
      <c r="AC9433" t="s">
        <v>59</v>
      </c>
      <c r="AD9433" t="s">
        <v>59</v>
      </c>
      <c r="AF9433" s="1">
        <v>39310</v>
      </c>
      <c r="AG9433" t="s">
        <v>8645</v>
      </c>
      <c r="AH9433" t="s">
        <v>8646</v>
      </c>
      <c r="AI9433" t="str">
        <f>"9500119"</f>
        <v>9500119</v>
      </c>
      <c r="AJ9433" t="s">
        <v>14286</v>
      </c>
      <c r="AK9433">
        <v>2821095816</v>
      </c>
      <c r="AL9433" t="s">
        <v>14287</v>
      </c>
      <c r="AM9433" t="s">
        <v>88</v>
      </c>
      <c r="AN9433" t="s">
        <v>88</v>
      </c>
      <c r="AO9433" t="s">
        <v>13920</v>
      </c>
      <c r="AP9433" t="s">
        <v>14029</v>
      </c>
      <c r="AQ9433">
        <v>3</v>
      </c>
      <c r="AR9433" t="s">
        <v>89</v>
      </c>
      <c r="AS9433" t="s">
        <v>90</v>
      </c>
      <c r="AT9433" t="s">
        <v>58</v>
      </c>
      <c r="AU9433" t="s">
        <v>68</v>
      </c>
      <c r="AV9433" t="s">
        <v>69</v>
      </c>
      <c r="AW9433" s="1">
        <v>30405</v>
      </c>
      <c r="AX9433">
        <v>1</v>
      </c>
    </row>
    <row r="9434" spans="1:50">
      <c r="A9434">
        <v>568947</v>
      </c>
      <c r="B9434" t="str">
        <f>"112354797"</f>
        <v>112354797</v>
      </c>
      <c r="C9434" t="s">
        <v>50</v>
      </c>
      <c r="D9434" t="s">
        <v>14319</v>
      </c>
      <c r="E9434" t="s">
        <v>237</v>
      </c>
      <c r="F9434" t="s">
        <v>95</v>
      </c>
      <c r="G9434" t="s">
        <v>1001</v>
      </c>
      <c r="H9434" t="str">
        <f>"ΒΟΥΚΟΛΕ 550 ΑΓ.ΜΑΡΙΝΑ-ΧΑΝΙΑ"</f>
        <v>ΒΟΥΚΟΛΕ 550 ΑΓ.ΜΑΡΙΝΑ-ΧΑΝΙΑ</v>
      </c>
      <c r="I9434">
        <v>73014</v>
      </c>
      <c r="J9434">
        <v>2821068640</v>
      </c>
      <c r="K9434">
        <v>6972990446</v>
      </c>
      <c r="N9434" t="s">
        <v>615</v>
      </c>
      <c r="O9434" t="s">
        <v>616</v>
      </c>
      <c r="R9434" t="s">
        <v>57</v>
      </c>
      <c r="S9434">
        <v>14</v>
      </c>
      <c r="T9434">
        <v>162</v>
      </c>
      <c r="U9434" s="1">
        <v>33844</v>
      </c>
      <c r="V9434" t="s">
        <v>89</v>
      </c>
      <c r="W9434" t="s">
        <v>90</v>
      </c>
      <c r="X9434" t="s">
        <v>58</v>
      </c>
      <c r="Y9434">
        <v>21</v>
      </c>
      <c r="Z9434" t="s">
        <v>59</v>
      </c>
      <c r="AA9434" t="s">
        <v>59</v>
      </c>
      <c r="AB9434" t="s">
        <v>59</v>
      </c>
      <c r="AC9434" t="s">
        <v>59</v>
      </c>
      <c r="AD9434" t="s">
        <v>59</v>
      </c>
      <c r="AF9434" s="1">
        <v>33844</v>
      </c>
      <c r="AG9434" t="s">
        <v>8645</v>
      </c>
      <c r="AH9434" t="s">
        <v>8646</v>
      </c>
      <c r="AI9434" t="str">
        <f>"9500148"</f>
        <v>9500148</v>
      </c>
      <c r="AJ9434" t="s">
        <v>13851</v>
      </c>
      <c r="AK9434">
        <v>2821068328</v>
      </c>
      <c r="AL9434" t="s">
        <v>13852</v>
      </c>
      <c r="AM9434" t="s">
        <v>88</v>
      </c>
      <c r="AN9434" t="s">
        <v>88</v>
      </c>
      <c r="AO9434" t="s">
        <v>6785</v>
      </c>
      <c r="AP9434" t="s">
        <v>13853</v>
      </c>
      <c r="AQ9434">
        <v>3</v>
      </c>
      <c r="AR9434" t="s">
        <v>89</v>
      </c>
      <c r="AS9434" t="s">
        <v>90</v>
      </c>
      <c r="AT9434" t="s">
        <v>58</v>
      </c>
      <c r="AU9434" t="s">
        <v>68</v>
      </c>
      <c r="AV9434" t="s">
        <v>69</v>
      </c>
      <c r="AW9434" s="1">
        <v>23413</v>
      </c>
      <c r="AX9434">
        <v>1</v>
      </c>
    </row>
    <row r="9435" spans="1:50">
      <c r="A9435">
        <v>559657</v>
      </c>
      <c r="B9435" t="str">
        <f>"101588770"</f>
        <v>101588770</v>
      </c>
      <c r="C9435" t="s">
        <v>50</v>
      </c>
      <c r="D9435" t="s">
        <v>14319</v>
      </c>
      <c r="E9435" t="s">
        <v>52</v>
      </c>
      <c r="F9435" t="s">
        <v>95</v>
      </c>
      <c r="G9435" t="s">
        <v>1001</v>
      </c>
      <c r="H9435" t="str">
        <f>"ΗΡΩΩΝ ΠΟΛΥΤΕΧΝΕΙΟΥ 15 ΧΑΝΙΑ"</f>
        <v>ΗΡΩΩΝ ΠΟΛΥΤΕΧΝΕΙΟΥ 15 ΧΑΝΙΑ</v>
      </c>
      <c r="I9435">
        <v>73133</v>
      </c>
      <c r="J9435">
        <v>2821041789</v>
      </c>
      <c r="K9435">
        <v>6948256672</v>
      </c>
      <c r="N9435" t="s">
        <v>615</v>
      </c>
      <c r="O9435" t="s">
        <v>616</v>
      </c>
      <c r="R9435" t="s">
        <v>57</v>
      </c>
      <c r="S9435">
        <v>16</v>
      </c>
      <c r="T9435">
        <v>168</v>
      </c>
      <c r="U9435" s="1">
        <v>32010</v>
      </c>
      <c r="V9435" t="s">
        <v>89</v>
      </c>
      <c r="W9435" t="s">
        <v>90</v>
      </c>
      <c r="X9435" t="s">
        <v>58</v>
      </c>
      <c r="Y9435">
        <v>21</v>
      </c>
      <c r="Z9435" t="s">
        <v>59</v>
      </c>
      <c r="AA9435" t="s">
        <v>59</v>
      </c>
      <c r="AB9435" t="s">
        <v>59</v>
      </c>
      <c r="AC9435" t="s">
        <v>59</v>
      </c>
      <c r="AD9435" t="s">
        <v>59</v>
      </c>
      <c r="AF9435" s="1">
        <v>32010</v>
      </c>
      <c r="AG9435" t="s">
        <v>8645</v>
      </c>
      <c r="AH9435" t="s">
        <v>8646</v>
      </c>
      <c r="AI9435" t="str">
        <f>"9500315"</f>
        <v>9500315</v>
      </c>
      <c r="AJ9435" t="s">
        <v>14174</v>
      </c>
      <c r="AK9435">
        <v>2821040565</v>
      </c>
      <c r="AL9435" t="s">
        <v>14175</v>
      </c>
      <c r="AM9435" t="s">
        <v>88</v>
      </c>
      <c r="AN9435" t="s">
        <v>88</v>
      </c>
      <c r="AO9435" t="s">
        <v>88</v>
      </c>
      <c r="AP9435" t="s">
        <v>88</v>
      </c>
      <c r="AQ9435">
        <v>1</v>
      </c>
      <c r="AR9435" t="s">
        <v>89</v>
      </c>
      <c r="AS9435" t="s">
        <v>90</v>
      </c>
      <c r="AT9435" t="s">
        <v>58</v>
      </c>
      <c r="AU9435" t="s">
        <v>68</v>
      </c>
      <c r="AV9435" t="s">
        <v>69</v>
      </c>
      <c r="AW9435" s="1">
        <v>21279</v>
      </c>
      <c r="AX9435">
        <v>1</v>
      </c>
    </row>
    <row r="9436" spans="1:50">
      <c r="A9436">
        <v>611966</v>
      </c>
      <c r="B9436" t="str">
        <f>"062876330"</f>
        <v>062876330</v>
      </c>
      <c r="C9436" t="s">
        <v>50</v>
      </c>
      <c r="D9436" t="s">
        <v>14320</v>
      </c>
      <c r="E9436" t="s">
        <v>83</v>
      </c>
      <c r="F9436" t="s">
        <v>13820</v>
      </c>
      <c r="G9436" t="s">
        <v>396</v>
      </c>
      <c r="H9436" t="str">
        <f>"ΠΕΙΡΑΙΩΣ 29 ΧΑΝΙΑ"</f>
        <v>ΠΕΙΡΑΙΩΣ 29 ΧΑΝΙΑ</v>
      </c>
      <c r="I9436">
        <v>73131</v>
      </c>
      <c r="J9436">
        <v>2821079329</v>
      </c>
      <c r="K9436">
        <v>6937409199</v>
      </c>
      <c r="N9436" t="s">
        <v>1525</v>
      </c>
      <c r="O9436" t="s">
        <v>1526</v>
      </c>
      <c r="R9436" t="s">
        <v>57</v>
      </c>
      <c r="S9436">
        <v>6</v>
      </c>
      <c r="T9436">
        <v>233</v>
      </c>
      <c r="U9436" s="1">
        <v>38960</v>
      </c>
      <c r="V9436" t="s">
        <v>89</v>
      </c>
      <c r="W9436" t="s">
        <v>90</v>
      </c>
      <c r="X9436" t="s">
        <v>58</v>
      </c>
      <c r="Y9436">
        <v>25</v>
      </c>
      <c r="Z9436" t="s">
        <v>59</v>
      </c>
      <c r="AA9436" t="s">
        <v>59</v>
      </c>
      <c r="AB9436" t="s">
        <v>59</v>
      </c>
      <c r="AC9436" t="s">
        <v>59</v>
      </c>
      <c r="AD9436" t="s">
        <v>59</v>
      </c>
      <c r="AF9436" s="1">
        <v>38961</v>
      </c>
      <c r="AG9436" t="s">
        <v>8651</v>
      </c>
      <c r="AH9436" t="s">
        <v>8652</v>
      </c>
      <c r="AI9436" t="str">
        <f>"9500366"</f>
        <v>9500366</v>
      </c>
      <c r="AJ9436" t="s">
        <v>13930</v>
      </c>
      <c r="AK9436">
        <v>2821032585</v>
      </c>
      <c r="AL9436" t="s">
        <v>13931</v>
      </c>
      <c r="AM9436" t="s">
        <v>88</v>
      </c>
      <c r="AN9436" t="s">
        <v>88</v>
      </c>
      <c r="AO9436" t="s">
        <v>6785</v>
      </c>
      <c r="AP9436" t="s">
        <v>13932</v>
      </c>
      <c r="AQ9436">
        <v>3</v>
      </c>
      <c r="AR9436" t="s">
        <v>89</v>
      </c>
      <c r="AS9436" t="s">
        <v>90</v>
      </c>
      <c r="AT9436" t="s">
        <v>58</v>
      </c>
      <c r="AU9436" t="s">
        <v>68</v>
      </c>
      <c r="AV9436" t="s">
        <v>69</v>
      </c>
      <c r="AW9436" s="1">
        <v>27071</v>
      </c>
      <c r="AX9436">
        <v>1</v>
      </c>
    </row>
    <row r="9437" spans="1:50">
      <c r="A9437">
        <v>621760</v>
      </c>
      <c r="B9437" t="str">
        <f>"136331729"</f>
        <v>136331729</v>
      </c>
      <c r="C9437" t="s">
        <v>50</v>
      </c>
      <c r="D9437" t="s">
        <v>14321</v>
      </c>
      <c r="E9437" t="s">
        <v>134</v>
      </c>
      <c r="F9437" t="s">
        <v>459</v>
      </c>
      <c r="G9437" t="s">
        <v>630</v>
      </c>
      <c r="H9437" t="str">
        <f>"ΗΡΑΚΛΕΙΑΣ 3 ΣΕΡΡΕΣ"</f>
        <v>ΗΡΑΚΛΕΙΑΣ 3 ΣΕΡΡΕΣ</v>
      </c>
      <c r="I9437">
        <v>62100</v>
      </c>
      <c r="J9437">
        <v>2321053270</v>
      </c>
      <c r="K9437">
        <v>6946677028</v>
      </c>
      <c r="M9437" t="s">
        <v>14322</v>
      </c>
      <c r="N9437" t="s">
        <v>615</v>
      </c>
      <c r="O9437" t="s">
        <v>616</v>
      </c>
      <c r="R9437" t="s">
        <v>57</v>
      </c>
      <c r="S9437">
        <v>4</v>
      </c>
      <c r="T9437">
        <v>653</v>
      </c>
      <c r="U9437" s="1">
        <v>40043</v>
      </c>
      <c r="V9437" t="s">
        <v>89</v>
      </c>
      <c r="W9437" t="s">
        <v>90</v>
      </c>
      <c r="X9437" t="s">
        <v>58</v>
      </c>
      <c r="Y9437">
        <v>23</v>
      </c>
      <c r="Z9437" t="s">
        <v>59</v>
      </c>
      <c r="AA9437" t="s">
        <v>59</v>
      </c>
      <c r="AB9437" t="s">
        <v>59</v>
      </c>
      <c r="AC9437" t="s">
        <v>59</v>
      </c>
      <c r="AD9437" t="s">
        <v>59</v>
      </c>
      <c r="AF9437" s="1">
        <v>40045</v>
      </c>
      <c r="AG9437" t="s">
        <v>8645</v>
      </c>
      <c r="AH9437" t="s">
        <v>8646</v>
      </c>
      <c r="AI9437" t="str">
        <f>"9500009"</f>
        <v>9500009</v>
      </c>
      <c r="AJ9437" t="s">
        <v>13927</v>
      </c>
      <c r="AK9437">
        <v>2825061346</v>
      </c>
      <c r="AL9437" t="s">
        <v>13928</v>
      </c>
      <c r="AM9437" t="s">
        <v>88</v>
      </c>
      <c r="AN9437" t="s">
        <v>6775</v>
      </c>
      <c r="AO9437" t="s">
        <v>13929</v>
      </c>
      <c r="AP9437" t="s">
        <v>13929</v>
      </c>
      <c r="AQ9437">
        <v>8</v>
      </c>
      <c r="AR9437" t="s">
        <v>89</v>
      </c>
      <c r="AS9437" t="s">
        <v>90</v>
      </c>
      <c r="AT9437" t="s">
        <v>58</v>
      </c>
      <c r="AU9437" t="s">
        <v>68</v>
      </c>
      <c r="AV9437" t="s">
        <v>69</v>
      </c>
      <c r="AW9437" s="1">
        <v>31777</v>
      </c>
      <c r="AX9437">
        <v>1</v>
      </c>
    </row>
    <row r="9438" spans="1:50">
      <c r="A9438">
        <v>704017</v>
      </c>
      <c r="B9438" t="str">
        <f>"117337231"</f>
        <v>117337231</v>
      </c>
      <c r="C9438" t="s">
        <v>50</v>
      </c>
      <c r="D9438" t="s">
        <v>14323</v>
      </c>
      <c r="E9438" t="s">
        <v>255</v>
      </c>
      <c r="F9438" t="s">
        <v>315</v>
      </c>
      <c r="G9438" t="s">
        <v>155</v>
      </c>
      <c r="H9438" t="str">
        <f>"ΜΑΛΑΚΑΣΗ 3 "</f>
        <v xml:space="preserve">ΜΑΛΑΚΑΣΗ 3 </v>
      </c>
      <c r="I9438">
        <v>41336</v>
      </c>
      <c r="J9438">
        <v>2410284376</v>
      </c>
      <c r="K9438">
        <v>6977850575</v>
      </c>
      <c r="N9438" t="s">
        <v>1525</v>
      </c>
      <c r="O9438" t="s">
        <v>1526</v>
      </c>
      <c r="R9438" t="s">
        <v>57</v>
      </c>
      <c r="S9438">
        <v>3</v>
      </c>
      <c r="T9438">
        <v>1350</v>
      </c>
      <c r="U9438" s="1">
        <v>42732</v>
      </c>
      <c r="V9438" t="s">
        <v>89</v>
      </c>
      <c r="W9438" t="s">
        <v>90</v>
      </c>
      <c r="X9438" t="s">
        <v>58</v>
      </c>
      <c r="Y9438">
        <v>25</v>
      </c>
      <c r="Z9438" t="s">
        <v>59</v>
      </c>
      <c r="AA9438" t="s">
        <v>59</v>
      </c>
      <c r="AB9438" t="s">
        <v>59</v>
      </c>
      <c r="AC9438" t="s">
        <v>59</v>
      </c>
      <c r="AD9438" t="s">
        <v>59</v>
      </c>
      <c r="AF9438" s="1">
        <v>42734</v>
      </c>
      <c r="AG9438" t="s">
        <v>8651</v>
      </c>
      <c r="AH9438" t="s">
        <v>8652</v>
      </c>
      <c r="AI9438" t="str">
        <f>"9500127"</f>
        <v>9500127</v>
      </c>
      <c r="AJ9438" t="s">
        <v>13962</v>
      </c>
      <c r="AK9438">
        <v>2824031321</v>
      </c>
      <c r="AL9438" t="s">
        <v>13963</v>
      </c>
      <c r="AM9438" t="s">
        <v>88</v>
      </c>
      <c r="AN9438" t="s">
        <v>6764</v>
      </c>
      <c r="AO9438" t="s">
        <v>6765</v>
      </c>
      <c r="AP9438" t="s">
        <v>6765</v>
      </c>
      <c r="AQ9438">
        <v>6</v>
      </c>
      <c r="AR9438" t="s">
        <v>89</v>
      </c>
      <c r="AS9438" t="s">
        <v>90</v>
      </c>
      <c r="AT9438" t="s">
        <v>58</v>
      </c>
      <c r="AU9438" t="s">
        <v>68</v>
      </c>
      <c r="AV9438" t="s">
        <v>69</v>
      </c>
      <c r="AW9438" s="1">
        <v>28491</v>
      </c>
      <c r="AX9438">
        <v>1</v>
      </c>
    </row>
    <row r="9439" spans="1:50">
      <c r="A9439">
        <v>596535</v>
      </c>
      <c r="B9439" t="str">
        <f>"131311103"</f>
        <v>131311103</v>
      </c>
      <c r="C9439" t="s">
        <v>50</v>
      </c>
      <c r="D9439" t="s">
        <v>14324</v>
      </c>
      <c r="E9439" t="s">
        <v>238</v>
      </c>
      <c r="F9439" t="s">
        <v>95</v>
      </c>
      <c r="G9439" t="s">
        <v>14325</v>
      </c>
      <c r="H9439" t="str">
        <f>" "</f>
        <v xml:space="preserve"> </v>
      </c>
      <c r="N9439" t="s">
        <v>615</v>
      </c>
      <c r="O9439" t="s">
        <v>616</v>
      </c>
      <c r="R9439" t="s">
        <v>57</v>
      </c>
      <c r="S9439">
        <v>7</v>
      </c>
      <c r="T9439">
        <v>195</v>
      </c>
      <c r="U9439" s="1">
        <v>37497</v>
      </c>
      <c r="V9439" t="s">
        <v>89</v>
      </c>
      <c r="W9439" t="s">
        <v>90</v>
      </c>
      <c r="X9439" t="s">
        <v>58</v>
      </c>
      <c r="Y9439">
        <v>25</v>
      </c>
      <c r="Z9439" t="s">
        <v>59</v>
      </c>
      <c r="AA9439" t="s">
        <v>59</v>
      </c>
      <c r="AB9439" t="s">
        <v>59</v>
      </c>
      <c r="AC9439" t="s">
        <v>59</v>
      </c>
      <c r="AD9439" t="s">
        <v>59</v>
      </c>
      <c r="AF9439" s="1">
        <v>37497</v>
      </c>
      <c r="AG9439" t="s">
        <v>8645</v>
      </c>
      <c r="AH9439" t="s">
        <v>8676</v>
      </c>
      <c r="AI9439" t="str">
        <f>"9521627"</f>
        <v>9521627</v>
      </c>
      <c r="AJ9439" t="s">
        <v>14326</v>
      </c>
      <c r="AM9439" t="s">
        <v>88</v>
      </c>
      <c r="AN9439" t="s">
        <v>88</v>
      </c>
      <c r="AO9439" t="s">
        <v>6770</v>
      </c>
      <c r="AP9439" t="s">
        <v>6771</v>
      </c>
      <c r="AR9439" t="s">
        <v>89</v>
      </c>
      <c r="AS9439" t="s">
        <v>90</v>
      </c>
      <c r="AT9439" t="s">
        <v>58</v>
      </c>
      <c r="AU9439" t="s">
        <v>68</v>
      </c>
      <c r="AV9439" t="s">
        <v>69</v>
      </c>
      <c r="AW9439" s="1">
        <v>24855</v>
      </c>
      <c r="AX9439">
        <v>1</v>
      </c>
    </row>
    <row r="9440" spans="1:50">
      <c r="A9440">
        <v>601744</v>
      </c>
      <c r="B9440" t="str">
        <f>"066100413"</f>
        <v>066100413</v>
      </c>
      <c r="C9440" t="s">
        <v>50</v>
      </c>
      <c r="D9440" t="s">
        <v>14327</v>
      </c>
      <c r="E9440" t="s">
        <v>83</v>
      </c>
      <c r="F9440" t="s">
        <v>72</v>
      </c>
      <c r="G9440" t="s">
        <v>52</v>
      </c>
      <c r="H9440" t="str">
        <f>"ΙΩΑΝΝΗ ΑΝΝΙΤΣΑΚΗ 15 ΧΑΝΙΑ"</f>
        <v>ΙΩΑΝΝΗ ΑΝΝΙΤΣΑΚΗ 15 ΧΑΝΙΑ</v>
      </c>
      <c r="I9440">
        <v>73100</v>
      </c>
      <c r="J9440">
        <v>2821023283</v>
      </c>
      <c r="K9440">
        <v>6977078943</v>
      </c>
      <c r="N9440" t="s">
        <v>615</v>
      </c>
      <c r="O9440" t="s">
        <v>616</v>
      </c>
      <c r="R9440" t="s">
        <v>57</v>
      </c>
      <c r="S9440">
        <v>9</v>
      </c>
      <c r="T9440">
        <v>207</v>
      </c>
      <c r="U9440" s="1">
        <v>37866</v>
      </c>
      <c r="V9440" t="s">
        <v>89</v>
      </c>
      <c r="W9440" t="s">
        <v>90</v>
      </c>
      <c r="X9440" t="s">
        <v>58</v>
      </c>
      <c r="Y9440">
        <v>22</v>
      </c>
      <c r="Z9440" t="s">
        <v>59</v>
      </c>
      <c r="AA9440" t="s">
        <v>59</v>
      </c>
      <c r="AB9440" t="s">
        <v>59</v>
      </c>
      <c r="AC9440" t="s">
        <v>59</v>
      </c>
      <c r="AD9440" t="s">
        <v>59</v>
      </c>
      <c r="AF9440" s="1">
        <v>37866</v>
      </c>
      <c r="AG9440" t="s">
        <v>8645</v>
      </c>
      <c r="AH9440" t="s">
        <v>8646</v>
      </c>
      <c r="AI9440" t="str">
        <f>"9500314"</f>
        <v>9500314</v>
      </c>
      <c r="AJ9440" t="s">
        <v>14116</v>
      </c>
      <c r="AK9440">
        <v>2821097640</v>
      </c>
      <c r="AL9440" t="s">
        <v>14117</v>
      </c>
      <c r="AM9440" t="s">
        <v>88</v>
      </c>
      <c r="AN9440" t="s">
        <v>88</v>
      </c>
      <c r="AO9440" t="s">
        <v>88</v>
      </c>
      <c r="AP9440" t="s">
        <v>88</v>
      </c>
      <c r="AQ9440">
        <v>1</v>
      </c>
      <c r="AR9440" t="s">
        <v>89</v>
      </c>
      <c r="AS9440" t="s">
        <v>90</v>
      </c>
      <c r="AT9440" t="s">
        <v>58</v>
      </c>
      <c r="AU9440" t="s">
        <v>68</v>
      </c>
      <c r="AV9440" t="s">
        <v>2039</v>
      </c>
      <c r="AW9440" s="1">
        <v>26917</v>
      </c>
      <c r="AX9440">
        <v>1</v>
      </c>
    </row>
    <row r="9441" spans="1:50">
      <c r="A9441">
        <v>586345</v>
      </c>
      <c r="B9441" t="str">
        <f>"063808366"</f>
        <v>063808366</v>
      </c>
      <c r="C9441" t="s">
        <v>50</v>
      </c>
      <c r="D9441" t="s">
        <v>1175</v>
      </c>
      <c r="E9441" t="s">
        <v>476</v>
      </c>
      <c r="F9441" t="s">
        <v>995</v>
      </c>
      <c r="G9441" t="s">
        <v>14328</v>
      </c>
      <c r="H9441" t="str">
        <f>"ΕΛΕΥΘΕΡΙΑΣ-ΠΑΣΑΚΑΚΙ ΧΑΝΙΑ"</f>
        <v>ΕΛΕΥΘΕΡΙΑΣ-ΠΑΣΑΚΑΚΙ ΧΑΝΙΑ</v>
      </c>
      <c r="I9441">
        <v>73100</v>
      </c>
      <c r="J9441">
        <v>2821087722</v>
      </c>
      <c r="K9441">
        <v>6974777373</v>
      </c>
      <c r="N9441" t="s">
        <v>615</v>
      </c>
      <c r="O9441" t="s">
        <v>616</v>
      </c>
      <c r="R9441" t="s">
        <v>57</v>
      </c>
      <c r="S9441">
        <v>11</v>
      </c>
      <c r="T9441">
        <v>165</v>
      </c>
      <c r="U9441" s="1">
        <v>36040</v>
      </c>
      <c r="V9441" t="s">
        <v>89</v>
      </c>
      <c r="W9441" t="s">
        <v>90</v>
      </c>
      <c r="X9441" t="s">
        <v>58</v>
      </c>
      <c r="Y9441">
        <v>21</v>
      </c>
      <c r="Z9441" t="s">
        <v>59</v>
      </c>
      <c r="AA9441" t="s">
        <v>59</v>
      </c>
      <c r="AB9441" t="s">
        <v>59</v>
      </c>
      <c r="AC9441" t="s">
        <v>59</v>
      </c>
      <c r="AD9441" t="s">
        <v>59</v>
      </c>
      <c r="AF9441" s="1">
        <v>36040</v>
      </c>
      <c r="AG9441" t="s">
        <v>8645</v>
      </c>
      <c r="AH9441" t="s">
        <v>8646</v>
      </c>
      <c r="AI9441" t="str">
        <f>"9500107"</f>
        <v>9500107</v>
      </c>
      <c r="AJ9441" t="s">
        <v>13918</v>
      </c>
      <c r="AK9441">
        <v>2821096244</v>
      </c>
      <c r="AL9441" t="s">
        <v>13919</v>
      </c>
      <c r="AM9441" t="s">
        <v>88</v>
      </c>
      <c r="AN9441" t="s">
        <v>88</v>
      </c>
      <c r="AO9441" t="s">
        <v>13920</v>
      </c>
      <c r="AP9441" t="s">
        <v>13921</v>
      </c>
      <c r="AQ9441">
        <v>3</v>
      </c>
      <c r="AR9441" t="s">
        <v>89</v>
      </c>
      <c r="AS9441" t="s">
        <v>90</v>
      </c>
      <c r="AT9441" t="s">
        <v>58</v>
      </c>
      <c r="AU9441" t="s">
        <v>68</v>
      </c>
      <c r="AV9441" t="s">
        <v>69</v>
      </c>
      <c r="AW9441" s="1">
        <v>25648</v>
      </c>
      <c r="AX9441">
        <v>1</v>
      </c>
    </row>
    <row r="9442" spans="1:50">
      <c r="A9442">
        <v>601298</v>
      </c>
      <c r="B9442" t="str">
        <f>"100609931"</f>
        <v>100609931</v>
      </c>
      <c r="C9442" t="s">
        <v>50</v>
      </c>
      <c r="D9442" t="s">
        <v>1175</v>
      </c>
      <c r="E9442" t="s">
        <v>620</v>
      </c>
      <c r="F9442" t="s">
        <v>92</v>
      </c>
      <c r="G9442" t="s">
        <v>237</v>
      </c>
      <c r="H9442" t="str">
        <f>"ΚΑΛΥΒΕΣ ΑΠΟΚΟΡΩΝΟΥ ΧΑΝΙΑ"</f>
        <v>ΚΑΛΥΒΕΣ ΑΠΟΚΟΡΩΝΟΥ ΧΑΝΙΑ</v>
      </c>
      <c r="I9442">
        <v>73003</v>
      </c>
      <c r="J9442">
        <v>2825032435</v>
      </c>
      <c r="K9442">
        <v>6972928180</v>
      </c>
      <c r="N9442" t="s">
        <v>615</v>
      </c>
      <c r="O9442" t="s">
        <v>616</v>
      </c>
      <c r="R9442" t="s">
        <v>57</v>
      </c>
      <c r="S9442">
        <v>8</v>
      </c>
      <c r="T9442">
        <v>207</v>
      </c>
      <c r="U9442" s="1">
        <v>37866</v>
      </c>
      <c r="V9442" t="s">
        <v>89</v>
      </c>
      <c r="W9442" t="s">
        <v>90</v>
      </c>
      <c r="X9442" t="s">
        <v>58</v>
      </c>
      <c r="Y9442">
        <v>22</v>
      </c>
      <c r="Z9442" t="s">
        <v>59</v>
      </c>
      <c r="AA9442" t="s">
        <v>59</v>
      </c>
      <c r="AB9442" t="s">
        <v>59</v>
      </c>
      <c r="AC9442" t="s">
        <v>59</v>
      </c>
      <c r="AD9442" t="s">
        <v>59</v>
      </c>
      <c r="AF9442" s="1">
        <v>37866</v>
      </c>
      <c r="AG9442" t="s">
        <v>8645</v>
      </c>
      <c r="AH9442" t="s">
        <v>8646</v>
      </c>
      <c r="AI9442" t="str">
        <f>"9500017"</f>
        <v>9500017</v>
      </c>
      <c r="AJ9442" t="s">
        <v>13873</v>
      </c>
      <c r="AK9442">
        <v>2825083173</v>
      </c>
      <c r="AL9442" t="s">
        <v>13874</v>
      </c>
      <c r="AM9442" t="s">
        <v>88</v>
      </c>
      <c r="AN9442" t="s">
        <v>6775</v>
      </c>
      <c r="AO9442" t="s">
        <v>11883</v>
      </c>
      <c r="AP9442" t="s">
        <v>13875</v>
      </c>
      <c r="AQ9442">
        <v>7</v>
      </c>
      <c r="AR9442" t="s">
        <v>89</v>
      </c>
      <c r="AS9442" t="s">
        <v>90</v>
      </c>
      <c r="AT9442" t="s">
        <v>58</v>
      </c>
      <c r="AU9442" t="s">
        <v>68</v>
      </c>
      <c r="AV9442" t="s">
        <v>69</v>
      </c>
      <c r="AW9442" s="1">
        <v>26869</v>
      </c>
      <c r="AX9442">
        <v>1</v>
      </c>
    </row>
    <row r="9443" spans="1:50">
      <c r="A9443">
        <v>597365</v>
      </c>
      <c r="B9443" t="str">
        <f>"066830249"</f>
        <v>066830249</v>
      </c>
      <c r="C9443" t="s">
        <v>105</v>
      </c>
      <c r="D9443" t="s">
        <v>1178</v>
      </c>
      <c r="E9443" t="s">
        <v>95</v>
      </c>
      <c r="F9443" t="s">
        <v>166</v>
      </c>
      <c r="G9443" t="s">
        <v>52</v>
      </c>
      <c r="H9443" t="str">
        <f>"ΚΡΟΚΙΔΑ 4 ΧΑΝΙΑ"</f>
        <v>ΚΡΟΚΙΔΑ 4 ΧΑΝΙΑ</v>
      </c>
      <c r="I9443">
        <v>73100</v>
      </c>
      <c r="J9443">
        <v>2821027815</v>
      </c>
      <c r="K9443">
        <v>6976466086</v>
      </c>
      <c r="L9443">
        <v>2821055833</v>
      </c>
      <c r="N9443" t="s">
        <v>176</v>
      </c>
      <c r="O9443" t="s">
        <v>177</v>
      </c>
      <c r="R9443" t="s">
        <v>57</v>
      </c>
      <c r="S9443">
        <v>8</v>
      </c>
      <c r="T9443">
        <v>193</v>
      </c>
      <c r="U9443" s="1">
        <v>37497</v>
      </c>
      <c r="V9443" t="s">
        <v>89</v>
      </c>
      <c r="W9443" t="s">
        <v>90</v>
      </c>
      <c r="X9443" t="s">
        <v>58</v>
      </c>
      <c r="Y9443">
        <v>22</v>
      </c>
      <c r="Z9443" t="s">
        <v>59</v>
      </c>
      <c r="AA9443" t="s">
        <v>59</v>
      </c>
      <c r="AB9443" t="s">
        <v>59</v>
      </c>
      <c r="AC9443" t="s">
        <v>59</v>
      </c>
      <c r="AD9443" t="s">
        <v>59</v>
      </c>
      <c r="AF9443" s="1">
        <v>37497</v>
      </c>
      <c r="AG9443" t="s">
        <v>8645</v>
      </c>
      <c r="AH9443" t="s">
        <v>8646</v>
      </c>
      <c r="AI9443" t="str">
        <f>"9500115"</f>
        <v>9500115</v>
      </c>
      <c r="AJ9443" t="s">
        <v>14180</v>
      </c>
      <c r="AK9443">
        <v>2821081133</v>
      </c>
      <c r="AL9443" t="s">
        <v>14181</v>
      </c>
      <c r="AM9443" t="s">
        <v>88</v>
      </c>
      <c r="AN9443" t="s">
        <v>88</v>
      </c>
      <c r="AO9443" t="s">
        <v>6748</v>
      </c>
      <c r="AP9443" t="s">
        <v>14182</v>
      </c>
      <c r="AQ9443">
        <v>2</v>
      </c>
      <c r="AR9443" t="s">
        <v>89</v>
      </c>
      <c r="AS9443" t="s">
        <v>90</v>
      </c>
      <c r="AT9443" t="s">
        <v>58</v>
      </c>
      <c r="AU9443" t="s">
        <v>68</v>
      </c>
      <c r="AV9443" t="s">
        <v>69</v>
      </c>
      <c r="AW9443" s="1">
        <v>26523</v>
      </c>
      <c r="AX9443">
        <v>1</v>
      </c>
    </row>
    <row r="9444" spans="1:50">
      <c r="A9444">
        <v>602062</v>
      </c>
      <c r="B9444" t="str">
        <f>"046907440"</f>
        <v>046907440</v>
      </c>
      <c r="C9444" t="s">
        <v>50</v>
      </c>
      <c r="D9444" t="s">
        <v>14329</v>
      </c>
      <c r="E9444" t="s">
        <v>83</v>
      </c>
      <c r="F9444" t="s">
        <v>99</v>
      </c>
      <c r="G9444" t="s">
        <v>14330</v>
      </c>
      <c r="H9444" t="str">
        <f>"ΑΠΤΕΡΑ ΧΑΝΙΑ"</f>
        <v>ΑΠΤΕΡΑ ΧΑΝΙΑ</v>
      </c>
      <c r="I9444">
        <v>73200</v>
      </c>
      <c r="J9444">
        <v>2382025705</v>
      </c>
      <c r="K9444">
        <v>6932454477</v>
      </c>
      <c r="N9444" t="s">
        <v>615</v>
      </c>
      <c r="O9444" t="s">
        <v>616</v>
      </c>
      <c r="R9444" t="s">
        <v>57</v>
      </c>
      <c r="S9444">
        <v>8</v>
      </c>
      <c r="T9444">
        <v>207</v>
      </c>
      <c r="U9444" s="1">
        <v>37866</v>
      </c>
      <c r="V9444" t="s">
        <v>89</v>
      </c>
      <c r="W9444" t="s">
        <v>90</v>
      </c>
      <c r="X9444" t="s">
        <v>58</v>
      </c>
      <c r="Y9444">
        <v>22</v>
      </c>
      <c r="Z9444" t="s">
        <v>59</v>
      </c>
      <c r="AA9444" t="s">
        <v>59</v>
      </c>
      <c r="AB9444" t="s">
        <v>59</v>
      </c>
      <c r="AC9444" t="s">
        <v>59</v>
      </c>
      <c r="AD9444" t="s">
        <v>59</v>
      </c>
      <c r="AF9444" s="1">
        <v>37866</v>
      </c>
      <c r="AG9444" t="s">
        <v>8645</v>
      </c>
      <c r="AH9444" t="s">
        <v>8646</v>
      </c>
      <c r="AI9444" t="str">
        <f>"9500408"</f>
        <v>9500408</v>
      </c>
      <c r="AJ9444" t="s">
        <v>13981</v>
      </c>
      <c r="AK9444">
        <v>2821081655</v>
      </c>
      <c r="AL9444" t="s">
        <v>13982</v>
      </c>
      <c r="AM9444" t="s">
        <v>88</v>
      </c>
      <c r="AN9444" t="s">
        <v>88</v>
      </c>
      <c r="AO9444" t="s">
        <v>6748</v>
      </c>
      <c r="AP9444" t="s">
        <v>6748</v>
      </c>
      <c r="AQ9444">
        <v>2</v>
      </c>
      <c r="AR9444" t="s">
        <v>89</v>
      </c>
      <c r="AS9444" t="s">
        <v>90</v>
      </c>
      <c r="AT9444" t="s">
        <v>58</v>
      </c>
      <c r="AU9444" t="s">
        <v>68</v>
      </c>
      <c r="AV9444" t="s">
        <v>69</v>
      </c>
      <c r="AW9444" s="1">
        <v>28363</v>
      </c>
      <c r="AX9444">
        <v>1</v>
      </c>
    </row>
    <row r="9445" spans="1:50">
      <c r="A9445">
        <v>586135</v>
      </c>
      <c r="B9445" t="str">
        <f>"113357355"</f>
        <v>113357355</v>
      </c>
      <c r="C9445" t="s">
        <v>50</v>
      </c>
      <c r="D9445" t="s">
        <v>14329</v>
      </c>
      <c r="E9445" t="s">
        <v>892</v>
      </c>
      <c r="F9445" t="s">
        <v>920</v>
      </c>
      <c r="G9445" t="s">
        <v>238</v>
      </c>
      <c r="H9445" t="str">
        <f>" "</f>
        <v xml:space="preserve"> </v>
      </c>
      <c r="N9445" t="s">
        <v>615</v>
      </c>
      <c r="O9445" t="s">
        <v>616</v>
      </c>
      <c r="R9445" t="s">
        <v>57</v>
      </c>
      <c r="S9445">
        <v>11</v>
      </c>
      <c r="T9445">
        <v>165</v>
      </c>
      <c r="U9445" s="1">
        <v>36040</v>
      </c>
      <c r="V9445" t="s">
        <v>89</v>
      </c>
      <c r="W9445" t="s">
        <v>90</v>
      </c>
      <c r="X9445" t="s">
        <v>58</v>
      </c>
      <c r="Y9445">
        <v>21</v>
      </c>
      <c r="Z9445" t="s">
        <v>59</v>
      </c>
      <c r="AA9445" t="s">
        <v>59</v>
      </c>
      <c r="AB9445" t="s">
        <v>59</v>
      </c>
      <c r="AC9445" t="s">
        <v>59</v>
      </c>
      <c r="AD9445" t="s">
        <v>59</v>
      </c>
      <c r="AF9445" s="1">
        <v>36047</v>
      </c>
      <c r="AG9445" t="s">
        <v>8645</v>
      </c>
      <c r="AH9445" t="s">
        <v>8646</v>
      </c>
      <c r="AI9445" t="str">
        <f>"9500359"</f>
        <v>9500359</v>
      </c>
      <c r="AJ9445" t="s">
        <v>13939</v>
      </c>
      <c r="AK9445">
        <v>2821095778</v>
      </c>
      <c r="AL9445" t="s">
        <v>13940</v>
      </c>
      <c r="AM9445" t="s">
        <v>88</v>
      </c>
      <c r="AN9445" t="s">
        <v>88</v>
      </c>
      <c r="AO9445" t="s">
        <v>6733</v>
      </c>
      <c r="AP9445" t="s">
        <v>6755</v>
      </c>
      <c r="AQ9445">
        <v>2</v>
      </c>
      <c r="AR9445" t="s">
        <v>89</v>
      </c>
      <c r="AS9445" t="s">
        <v>90</v>
      </c>
      <c r="AT9445" t="s">
        <v>58</v>
      </c>
      <c r="AU9445" t="s">
        <v>68</v>
      </c>
      <c r="AV9445" t="s">
        <v>2039</v>
      </c>
      <c r="AW9445" s="1">
        <v>22545</v>
      </c>
      <c r="AX9445">
        <v>1</v>
      </c>
    </row>
    <row r="9446" spans="1:50">
      <c r="A9446">
        <v>617172</v>
      </c>
      <c r="B9446" t="str">
        <f>"127720608"</f>
        <v>127720608</v>
      </c>
      <c r="C9446" t="s">
        <v>50</v>
      </c>
      <c r="D9446" t="s">
        <v>14331</v>
      </c>
      <c r="E9446" t="s">
        <v>237</v>
      </c>
      <c r="F9446" t="s">
        <v>72</v>
      </c>
      <c r="G9446" t="s">
        <v>1277</v>
      </c>
      <c r="H9446" t="str">
        <f>" "</f>
        <v xml:space="preserve"> </v>
      </c>
      <c r="J9446">
        <v>2821094787</v>
      </c>
      <c r="K9446">
        <v>6946999072</v>
      </c>
      <c r="N9446" t="s">
        <v>615</v>
      </c>
      <c r="O9446" t="s">
        <v>616</v>
      </c>
      <c r="R9446" t="s">
        <v>57</v>
      </c>
      <c r="S9446">
        <v>6</v>
      </c>
      <c r="T9446">
        <v>774</v>
      </c>
      <c r="U9446" s="1">
        <v>39680</v>
      </c>
      <c r="V9446" t="s">
        <v>89</v>
      </c>
      <c r="W9446" t="s">
        <v>90</v>
      </c>
      <c r="X9446" t="s">
        <v>58</v>
      </c>
      <c r="Y9446">
        <v>23</v>
      </c>
      <c r="Z9446" t="s">
        <v>59</v>
      </c>
      <c r="AA9446" t="s">
        <v>59</v>
      </c>
      <c r="AB9446" t="s">
        <v>59</v>
      </c>
      <c r="AC9446" t="s">
        <v>59</v>
      </c>
      <c r="AD9446" t="s">
        <v>59</v>
      </c>
      <c r="AF9446" s="1">
        <v>39680</v>
      </c>
      <c r="AG9446" t="s">
        <v>8645</v>
      </c>
      <c r="AH9446" t="s">
        <v>8646</v>
      </c>
      <c r="AI9446" t="str">
        <f>"9500329"</f>
        <v>9500329</v>
      </c>
      <c r="AJ9446" t="s">
        <v>14241</v>
      </c>
      <c r="AK9446">
        <v>2821099075</v>
      </c>
      <c r="AL9446" t="s">
        <v>14242</v>
      </c>
      <c r="AM9446" t="s">
        <v>88</v>
      </c>
      <c r="AN9446" t="s">
        <v>88</v>
      </c>
      <c r="AO9446" t="s">
        <v>6733</v>
      </c>
      <c r="AP9446" t="s">
        <v>6734</v>
      </c>
      <c r="AQ9446">
        <v>2</v>
      </c>
      <c r="AR9446" t="s">
        <v>89</v>
      </c>
      <c r="AS9446" t="s">
        <v>90</v>
      </c>
      <c r="AT9446" t="s">
        <v>58</v>
      </c>
      <c r="AU9446" t="s">
        <v>68</v>
      </c>
      <c r="AV9446" t="s">
        <v>69</v>
      </c>
      <c r="AW9446" s="1">
        <v>30695</v>
      </c>
      <c r="AX9446">
        <v>1</v>
      </c>
    </row>
    <row r="9447" spans="1:50">
      <c r="A9447">
        <v>605725</v>
      </c>
      <c r="B9447" t="str">
        <f>"109136433"</f>
        <v>109136433</v>
      </c>
      <c r="C9447" t="s">
        <v>50</v>
      </c>
      <c r="D9447" t="s">
        <v>14332</v>
      </c>
      <c r="E9447" t="s">
        <v>54</v>
      </c>
      <c r="F9447" t="s">
        <v>920</v>
      </c>
      <c r="G9447" t="s">
        <v>143</v>
      </c>
      <c r="H9447" t="str">
        <f>"ΘΕΡΙΣΣΟΥ 1  Τ.Θ.162 ΜΟΥΡΝΙΕΣ"</f>
        <v>ΘΕΡΙΣΣΟΥ 1  Τ.Θ.162 ΜΟΥΡΝΙΕΣ</v>
      </c>
      <c r="I9447">
        <v>73300</v>
      </c>
      <c r="J9447">
        <v>2821094571</v>
      </c>
      <c r="K9447">
        <v>6972832012</v>
      </c>
      <c r="M9447" t="s">
        <v>14333</v>
      </c>
      <c r="N9447" t="s">
        <v>615</v>
      </c>
      <c r="O9447" t="s">
        <v>616</v>
      </c>
      <c r="R9447" t="s">
        <v>57</v>
      </c>
      <c r="S9447">
        <v>9</v>
      </c>
      <c r="T9447">
        <v>231</v>
      </c>
      <c r="U9447" s="1">
        <v>38230</v>
      </c>
      <c r="V9447" t="s">
        <v>89</v>
      </c>
      <c r="W9447" t="s">
        <v>90</v>
      </c>
      <c r="X9447" t="s">
        <v>58</v>
      </c>
      <c r="Y9447">
        <v>22</v>
      </c>
      <c r="Z9447" t="s">
        <v>59</v>
      </c>
      <c r="AA9447" t="s">
        <v>59</v>
      </c>
      <c r="AB9447" t="s">
        <v>59</v>
      </c>
      <c r="AC9447" t="s">
        <v>59</v>
      </c>
      <c r="AD9447" t="s">
        <v>59</v>
      </c>
      <c r="AF9447" s="1">
        <v>38231</v>
      </c>
      <c r="AG9447" t="s">
        <v>8645</v>
      </c>
      <c r="AH9447" t="s">
        <v>8646</v>
      </c>
      <c r="AI9447" t="str">
        <f>"9500078"</f>
        <v>9500078</v>
      </c>
      <c r="AJ9447" t="s">
        <v>13988</v>
      </c>
      <c r="AK9447">
        <v>2821028788</v>
      </c>
      <c r="AL9447" t="s">
        <v>13989</v>
      </c>
      <c r="AM9447" t="s">
        <v>88</v>
      </c>
      <c r="AN9447" t="s">
        <v>88</v>
      </c>
      <c r="AO9447" t="s">
        <v>88</v>
      </c>
      <c r="AP9447" t="s">
        <v>88</v>
      </c>
      <c r="AQ9447">
        <v>1</v>
      </c>
      <c r="AR9447" t="s">
        <v>89</v>
      </c>
      <c r="AS9447" t="s">
        <v>90</v>
      </c>
      <c r="AT9447" t="s">
        <v>58</v>
      </c>
      <c r="AU9447" t="s">
        <v>68</v>
      </c>
      <c r="AV9447" t="s">
        <v>69</v>
      </c>
      <c r="AW9447" s="1">
        <v>28393</v>
      </c>
      <c r="AX9447">
        <v>1</v>
      </c>
    </row>
    <row r="9448" spans="1:50">
      <c r="A9448">
        <v>596947</v>
      </c>
      <c r="B9448" t="str">
        <f>"065377613"</f>
        <v>065377613</v>
      </c>
      <c r="C9448" t="s">
        <v>50</v>
      </c>
      <c r="D9448" t="s">
        <v>7137</v>
      </c>
      <c r="E9448" t="s">
        <v>237</v>
      </c>
      <c r="F9448" t="s">
        <v>95</v>
      </c>
      <c r="G9448" t="s">
        <v>4992</v>
      </c>
      <c r="H9448" t="str">
        <f>"Επισκόπου Αγαθαγγέλου Ξηρουχάκη  17 c"</f>
        <v>Επισκόπου Αγαθαγγέλου Ξηρουχάκη  17 c</v>
      </c>
      <c r="I9448">
        <v>73135</v>
      </c>
      <c r="J9448">
        <v>2821079198</v>
      </c>
      <c r="K9448">
        <v>6974009204</v>
      </c>
      <c r="L9448">
        <v>2821072785</v>
      </c>
      <c r="M9448" t="s">
        <v>14334</v>
      </c>
      <c r="N9448" t="s">
        <v>1525</v>
      </c>
      <c r="O9448" t="s">
        <v>1526</v>
      </c>
      <c r="R9448" t="s">
        <v>57</v>
      </c>
      <c r="S9448">
        <v>9</v>
      </c>
      <c r="T9448">
        <v>195</v>
      </c>
      <c r="U9448" s="1">
        <v>37497</v>
      </c>
      <c r="V9448" t="s">
        <v>89</v>
      </c>
      <c r="W9448" t="s">
        <v>90</v>
      </c>
      <c r="X9448" t="s">
        <v>58</v>
      </c>
      <c r="Y9448">
        <v>25</v>
      </c>
      <c r="Z9448" t="s">
        <v>59</v>
      </c>
      <c r="AA9448" t="s">
        <v>59</v>
      </c>
      <c r="AB9448" t="s">
        <v>59</v>
      </c>
      <c r="AC9448" t="s">
        <v>59</v>
      </c>
      <c r="AD9448" t="s">
        <v>59</v>
      </c>
      <c r="AF9448" s="1">
        <v>37502</v>
      </c>
      <c r="AG9448" t="s">
        <v>8651</v>
      </c>
      <c r="AH9448" t="s">
        <v>8652</v>
      </c>
      <c r="AI9448" t="str">
        <f>"9500378"</f>
        <v>9500378</v>
      </c>
      <c r="AJ9448" t="s">
        <v>14335</v>
      </c>
      <c r="AK9448">
        <v>2821094168</v>
      </c>
      <c r="AL9448" t="s">
        <v>14336</v>
      </c>
      <c r="AM9448" t="s">
        <v>88</v>
      </c>
      <c r="AN9448" t="s">
        <v>88</v>
      </c>
      <c r="AO9448" t="s">
        <v>88</v>
      </c>
      <c r="AP9448" t="s">
        <v>88</v>
      </c>
      <c r="AQ9448">
        <v>1</v>
      </c>
      <c r="AR9448" t="s">
        <v>89</v>
      </c>
      <c r="AS9448" t="s">
        <v>90</v>
      </c>
      <c r="AT9448" t="s">
        <v>58</v>
      </c>
      <c r="AU9448" t="s">
        <v>68</v>
      </c>
      <c r="AV9448" t="s">
        <v>69</v>
      </c>
      <c r="AW9448" s="1">
        <v>22661</v>
      </c>
      <c r="AX9448">
        <v>1</v>
      </c>
    </row>
    <row r="9449" spans="1:50">
      <c r="A9449">
        <v>702061</v>
      </c>
      <c r="B9449" t="str">
        <f>"146481266"</f>
        <v>146481266</v>
      </c>
      <c r="C9449" t="s">
        <v>50</v>
      </c>
      <c r="D9449" t="s">
        <v>14337</v>
      </c>
      <c r="E9449" t="s">
        <v>73</v>
      </c>
      <c r="F9449" t="s">
        <v>166</v>
      </c>
      <c r="G9449" t="s">
        <v>372</v>
      </c>
      <c r="H9449" t="str">
        <f>"ΘΕΟΤΟΚΟΠΟΥΛΟΥ 26 ΑΓΙΟΣ ΝΙΚΟΛΑΟΣ-ΛΑΣΙΘΙΟΥ"</f>
        <v>ΘΕΟΤΟΚΟΠΟΥΛΟΥ 26 ΑΓΙΟΣ ΝΙΚΟΛΑΟΣ-ΛΑΣΙΘΙΟΥ</v>
      </c>
      <c r="I9449">
        <v>72100</v>
      </c>
      <c r="J9449">
        <v>2841023428</v>
      </c>
      <c r="K9449">
        <v>6948600889</v>
      </c>
      <c r="N9449" t="s">
        <v>615</v>
      </c>
      <c r="O9449" t="s">
        <v>616</v>
      </c>
      <c r="R9449" t="s">
        <v>57</v>
      </c>
      <c r="S9449">
        <v>4</v>
      </c>
      <c r="T9449">
        <v>772</v>
      </c>
      <c r="U9449" s="1">
        <v>40413</v>
      </c>
      <c r="V9449" t="s">
        <v>89</v>
      </c>
      <c r="W9449" t="s">
        <v>90</v>
      </c>
      <c r="X9449" t="s">
        <v>58</v>
      </c>
      <c r="Y9449">
        <v>24</v>
      </c>
      <c r="Z9449" t="s">
        <v>59</v>
      </c>
      <c r="AA9449" t="s">
        <v>59</v>
      </c>
      <c r="AB9449" t="s">
        <v>59</v>
      </c>
      <c r="AC9449" t="s">
        <v>59</v>
      </c>
      <c r="AD9449" t="s">
        <v>59</v>
      </c>
      <c r="AF9449" s="1">
        <v>40413</v>
      </c>
      <c r="AG9449" t="s">
        <v>8645</v>
      </c>
      <c r="AH9449" t="s">
        <v>8646</v>
      </c>
      <c r="AI9449" t="str">
        <f>"9500358"</f>
        <v>9500358</v>
      </c>
      <c r="AJ9449" t="s">
        <v>13948</v>
      </c>
      <c r="AK9449">
        <v>2821093459</v>
      </c>
      <c r="AL9449" t="s">
        <v>13949</v>
      </c>
      <c r="AM9449" t="s">
        <v>88</v>
      </c>
      <c r="AN9449" t="s">
        <v>88</v>
      </c>
      <c r="AO9449" t="s">
        <v>6733</v>
      </c>
      <c r="AP9449" t="s">
        <v>6755</v>
      </c>
      <c r="AQ9449">
        <v>2</v>
      </c>
      <c r="AR9449" t="s">
        <v>89</v>
      </c>
      <c r="AS9449" t="s">
        <v>90</v>
      </c>
      <c r="AT9449" t="s">
        <v>58</v>
      </c>
      <c r="AU9449" t="s">
        <v>68</v>
      </c>
      <c r="AV9449" t="s">
        <v>69</v>
      </c>
      <c r="AW9449" s="1">
        <v>31863</v>
      </c>
      <c r="AX9449">
        <v>1</v>
      </c>
    </row>
    <row r="9450" spans="1:50">
      <c r="A9450">
        <v>609506</v>
      </c>
      <c r="B9450" t="str">
        <f>"053626108"</f>
        <v>053626108</v>
      </c>
      <c r="C9450" t="s">
        <v>105</v>
      </c>
      <c r="D9450" t="s">
        <v>14338</v>
      </c>
      <c r="E9450" t="s">
        <v>377</v>
      </c>
      <c r="F9450" t="s">
        <v>72</v>
      </c>
      <c r="G9450" t="s">
        <v>513</v>
      </c>
      <c r="H9450" t="str">
        <f>"ΣΟΦΟΚΛΕΟΥΣ 18 ΧΑΝΙΑ"</f>
        <v>ΣΟΦΟΚΛΕΟΥΣ 18 ΧΑΝΙΑ</v>
      </c>
      <c r="I9450">
        <v>73100</v>
      </c>
      <c r="J9450">
        <v>2821051507</v>
      </c>
      <c r="K9450">
        <v>6947157676</v>
      </c>
      <c r="M9450" t="s">
        <v>14339</v>
      </c>
      <c r="N9450" t="s">
        <v>176</v>
      </c>
      <c r="O9450" t="s">
        <v>177</v>
      </c>
      <c r="R9450" t="s">
        <v>57</v>
      </c>
      <c r="S9450">
        <v>8</v>
      </c>
      <c r="T9450">
        <v>218</v>
      </c>
      <c r="U9450" s="1">
        <v>38601</v>
      </c>
      <c r="V9450" t="s">
        <v>89</v>
      </c>
      <c r="W9450" t="s">
        <v>90</v>
      </c>
      <c r="X9450" t="s">
        <v>58</v>
      </c>
      <c r="Y9450">
        <v>22</v>
      </c>
      <c r="Z9450" t="s">
        <v>59</v>
      </c>
      <c r="AA9450" t="s">
        <v>59</v>
      </c>
      <c r="AB9450" t="s">
        <v>59</v>
      </c>
      <c r="AC9450" t="s">
        <v>59</v>
      </c>
      <c r="AD9450" t="s">
        <v>59</v>
      </c>
      <c r="AF9450" s="1">
        <v>38601</v>
      </c>
      <c r="AG9450" t="s">
        <v>8645</v>
      </c>
      <c r="AH9450" t="s">
        <v>8646</v>
      </c>
      <c r="AI9450" t="str">
        <f>"9500119"</f>
        <v>9500119</v>
      </c>
      <c r="AJ9450" t="s">
        <v>14286</v>
      </c>
      <c r="AK9450">
        <v>2821095816</v>
      </c>
      <c r="AL9450" t="s">
        <v>14287</v>
      </c>
      <c r="AM9450" t="s">
        <v>88</v>
      </c>
      <c r="AN9450" t="s">
        <v>88</v>
      </c>
      <c r="AO9450" t="s">
        <v>13920</v>
      </c>
      <c r="AP9450" t="s">
        <v>14029</v>
      </c>
      <c r="AQ9450">
        <v>3</v>
      </c>
      <c r="AR9450" t="s">
        <v>89</v>
      </c>
      <c r="AS9450" t="s">
        <v>90</v>
      </c>
      <c r="AT9450" t="s">
        <v>58</v>
      </c>
      <c r="AU9450" t="s">
        <v>68</v>
      </c>
      <c r="AV9450" t="s">
        <v>132</v>
      </c>
      <c r="AW9450" s="1">
        <v>25814</v>
      </c>
      <c r="AX9450">
        <v>1</v>
      </c>
    </row>
    <row r="9451" spans="1:50">
      <c r="A9451">
        <v>602067</v>
      </c>
      <c r="B9451" t="str">
        <f>"118476738"</f>
        <v>118476738</v>
      </c>
      <c r="C9451" t="s">
        <v>50</v>
      </c>
      <c r="D9451" t="s">
        <v>14340</v>
      </c>
      <c r="E9451" t="s">
        <v>83</v>
      </c>
      <c r="F9451" t="s">
        <v>95</v>
      </c>
      <c r="G9451" t="s">
        <v>263</v>
      </c>
      <c r="H9451" t="str">
        <f>"ΛΕΩΝΙΔΑ 7 ΜΟΥΡΝΙΕΣ ΧΑΝΙΑ"</f>
        <v>ΛΕΩΝΙΔΑ 7 ΜΟΥΡΝΙΕΣ ΧΑΝΙΑ</v>
      </c>
      <c r="I9451">
        <v>73300</v>
      </c>
      <c r="J9451">
        <v>2821092983</v>
      </c>
      <c r="K9451">
        <v>6974501133</v>
      </c>
      <c r="N9451" t="s">
        <v>615</v>
      </c>
      <c r="O9451" t="s">
        <v>616</v>
      </c>
      <c r="R9451" t="s">
        <v>57</v>
      </c>
      <c r="S9451">
        <v>7</v>
      </c>
      <c r="T9451">
        <v>207</v>
      </c>
      <c r="U9451" s="1">
        <v>37502</v>
      </c>
      <c r="V9451" t="s">
        <v>89</v>
      </c>
      <c r="W9451" t="s">
        <v>90</v>
      </c>
      <c r="X9451" t="s">
        <v>58</v>
      </c>
      <c r="Y9451">
        <v>22</v>
      </c>
      <c r="Z9451" t="s">
        <v>59</v>
      </c>
      <c r="AA9451" t="s">
        <v>59</v>
      </c>
      <c r="AB9451" t="s">
        <v>59</v>
      </c>
      <c r="AC9451" t="s">
        <v>59</v>
      </c>
      <c r="AD9451" t="s">
        <v>59</v>
      </c>
      <c r="AF9451" s="1">
        <v>37866</v>
      </c>
      <c r="AG9451" t="s">
        <v>8645</v>
      </c>
      <c r="AH9451" t="s">
        <v>8646</v>
      </c>
      <c r="AI9451" t="str">
        <f>"9500107"</f>
        <v>9500107</v>
      </c>
      <c r="AJ9451" t="s">
        <v>13918</v>
      </c>
      <c r="AK9451">
        <v>2821096244</v>
      </c>
      <c r="AL9451" t="s">
        <v>13919</v>
      </c>
      <c r="AM9451" t="s">
        <v>88</v>
      </c>
      <c r="AN9451" t="s">
        <v>88</v>
      </c>
      <c r="AO9451" t="s">
        <v>13920</v>
      </c>
      <c r="AP9451" t="s">
        <v>13921</v>
      </c>
      <c r="AQ9451">
        <v>3</v>
      </c>
      <c r="AR9451" t="s">
        <v>89</v>
      </c>
      <c r="AS9451" t="s">
        <v>90</v>
      </c>
      <c r="AT9451" t="s">
        <v>58</v>
      </c>
      <c r="AU9451" t="s">
        <v>68</v>
      </c>
      <c r="AV9451" t="s">
        <v>69</v>
      </c>
      <c r="AW9451" s="1">
        <v>28312</v>
      </c>
      <c r="AX9451">
        <v>1</v>
      </c>
    </row>
    <row r="9452" spans="1:50">
      <c r="A9452">
        <v>210806</v>
      </c>
      <c r="B9452" t="str">
        <f>"127736970"</f>
        <v>127736970</v>
      </c>
      <c r="C9452" t="s">
        <v>105</v>
      </c>
      <c r="D9452" t="s">
        <v>1215</v>
      </c>
      <c r="E9452" t="s">
        <v>154</v>
      </c>
      <c r="F9452" t="s">
        <v>106</v>
      </c>
      <c r="G9452" t="s">
        <v>83</v>
      </c>
      <c r="H9452" t="str">
        <f>" "</f>
        <v xml:space="preserve"> </v>
      </c>
      <c r="J9452">
        <v>2821075464</v>
      </c>
      <c r="K9452">
        <v>6942414687</v>
      </c>
      <c r="N9452" t="s">
        <v>204</v>
      </c>
      <c r="O9452" t="s">
        <v>205</v>
      </c>
      <c r="R9452" t="s">
        <v>57</v>
      </c>
      <c r="S9452">
        <v>6</v>
      </c>
      <c r="T9452">
        <v>262</v>
      </c>
      <c r="U9452" s="1">
        <v>38629</v>
      </c>
      <c r="V9452" t="s">
        <v>89</v>
      </c>
      <c r="W9452" t="s">
        <v>90</v>
      </c>
      <c r="X9452" t="s">
        <v>58</v>
      </c>
      <c r="Y9452">
        <v>23</v>
      </c>
      <c r="Z9452" t="s">
        <v>59</v>
      </c>
      <c r="AA9452" t="s">
        <v>59</v>
      </c>
      <c r="AB9452" t="s">
        <v>59</v>
      </c>
      <c r="AC9452" t="s">
        <v>59</v>
      </c>
      <c r="AD9452" t="s">
        <v>59</v>
      </c>
      <c r="AF9452" s="1">
        <v>38632</v>
      </c>
      <c r="AG9452" t="s">
        <v>8645</v>
      </c>
      <c r="AH9452" t="s">
        <v>8646</v>
      </c>
      <c r="AI9452" t="str">
        <f>"9500218"</f>
        <v>9500218</v>
      </c>
      <c r="AJ9452" t="s">
        <v>13992</v>
      </c>
      <c r="AK9452">
        <v>2824022216</v>
      </c>
      <c r="AL9452" t="s">
        <v>13993</v>
      </c>
      <c r="AM9452" t="s">
        <v>88</v>
      </c>
      <c r="AN9452" t="s">
        <v>6764</v>
      </c>
      <c r="AO9452" t="s">
        <v>6799</v>
      </c>
      <c r="AP9452" t="s">
        <v>6799</v>
      </c>
      <c r="AQ9452">
        <v>6</v>
      </c>
      <c r="AR9452" t="s">
        <v>89</v>
      </c>
      <c r="AS9452" t="s">
        <v>90</v>
      </c>
      <c r="AT9452" t="s">
        <v>58</v>
      </c>
      <c r="AU9452" t="s">
        <v>68</v>
      </c>
      <c r="AV9452" t="s">
        <v>69</v>
      </c>
      <c r="AW9452" s="1">
        <v>28966</v>
      </c>
      <c r="AX9452">
        <v>1</v>
      </c>
    </row>
    <row r="9453" spans="1:50">
      <c r="B9453" t="str">
        <f>"135043955"</f>
        <v>135043955</v>
      </c>
      <c r="C9453" t="s">
        <v>50</v>
      </c>
      <c r="D9453" t="s">
        <v>12995</v>
      </c>
      <c r="E9453" t="s">
        <v>237</v>
      </c>
      <c r="F9453" t="s">
        <v>95</v>
      </c>
      <c r="G9453" t="s">
        <v>922</v>
      </c>
      <c r="H9453" t="str">
        <f>"ΝΙΚΟΜΗΔΕΙΑΣ 61 "</f>
        <v xml:space="preserve">ΝΙΚΟΜΗΔΕΙΑΣ 61 </v>
      </c>
      <c r="I9453">
        <v>58200</v>
      </c>
      <c r="J9453">
        <v>2381027452</v>
      </c>
      <c r="K9453">
        <v>6934322187</v>
      </c>
      <c r="N9453" t="s">
        <v>615</v>
      </c>
      <c r="O9453" t="s">
        <v>616</v>
      </c>
      <c r="R9453" t="s">
        <v>159</v>
      </c>
      <c r="S9453">
        <v>3</v>
      </c>
      <c r="T9453" t="s">
        <v>8675</v>
      </c>
      <c r="U9453" s="1">
        <v>43348</v>
      </c>
      <c r="V9453" t="s">
        <v>89</v>
      </c>
      <c r="W9453" t="s">
        <v>90</v>
      </c>
      <c r="X9453" t="s">
        <v>58</v>
      </c>
      <c r="Y9453">
        <v>24</v>
      </c>
      <c r="Z9453" t="s">
        <v>59</v>
      </c>
      <c r="AA9453" t="s">
        <v>59</v>
      </c>
      <c r="AB9453" t="s">
        <v>59</v>
      </c>
      <c r="AC9453" t="s">
        <v>59</v>
      </c>
      <c r="AD9453" t="s">
        <v>59</v>
      </c>
      <c r="AF9453" s="1">
        <v>43348</v>
      </c>
      <c r="AG9453" t="s">
        <v>8645</v>
      </c>
      <c r="AH9453" t="s">
        <v>8646</v>
      </c>
      <c r="AI9453" t="str">
        <f>"9500006"</f>
        <v>9500006</v>
      </c>
      <c r="AJ9453" t="s">
        <v>14060</v>
      </c>
      <c r="AK9453">
        <v>2825051220</v>
      </c>
      <c r="AL9453" t="s">
        <v>14061</v>
      </c>
      <c r="AM9453" t="s">
        <v>88</v>
      </c>
      <c r="AN9453" t="s">
        <v>6775</v>
      </c>
      <c r="AO9453" t="s">
        <v>6781</v>
      </c>
      <c r="AP9453" t="s">
        <v>6782</v>
      </c>
      <c r="AQ9453">
        <v>8</v>
      </c>
      <c r="AR9453" t="s">
        <v>89</v>
      </c>
      <c r="AS9453" t="s">
        <v>90</v>
      </c>
      <c r="AT9453" t="s">
        <v>58</v>
      </c>
      <c r="AU9453" t="s">
        <v>8673</v>
      </c>
      <c r="AV9453" t="s">
        <v>132</v>
      </c>
      <c r="AW9453" s="1">
        <v>31942</v>
      </c>
      <c r="AX9453">
        <v>1</v>
      </c>
    </row>
    <row r="9454" spans="1:50">
      <c r="B9454" t="str">
        <f>"154101121"</f>
        <v>154101121</v>
      </c>
      <c r="C9454" t="s">
        <v>50</v>
      </c>
      <c r="D9454" t="s">
        <v>14341</v>
      </c>
      <c r="E9454" t="s">
        <v>263</v>
      </c>
      <c r="F9454" t="s">
        <v>84</v>
      </c>
      <c r="G9454" t="s">
        <v>237</v>
      </c>
      <c r="H9454" t="str">
        <f>" "</f>
        <v xml:space="preserve"> </v>
      </c>
      <c r="N9454" t="s">
        <v>10066</v>
      </c>
      <c r="O9454" t="s">
        <v>9830</v>
      </c>
      <c r="R9454" t="s">
        <v>159</v>
      </c>
      <c r="S9454">
        <v>2</v>
      </c>
      <c r="T9454" t="s">
        <v>8696</v>
      </c>
      <c r="U9454" s="1">
        <v>43348</v>
      </c>
      <c r="V9454" t="s">
        <v>89</v>
      </c>
      <c r="W9454" t="s">
        <v>90</v>
      </c>
      <c r="X9454" t="s">
        <v>58</v>
      </c>
      <c r="Y9454">
        <v>25</v>
      </c>
      <c r="Z9454" t="s">
        <v>59</v>
      </c>
      <c r="AA9454" t="s">
        <v>59</v>
      </c>
      <c r="AB9454" t="s">
        <v>59</v>
      </c>
      <c r="AC9454" t="s">
        <v>59</v>
      </c>
      <c r="AD9454" t="s">
        <v>59</v>
      </c>
      <c r="AF9454" s="1">
        <v>43348</v>
      </c>
      <c r="AG9454" t="s">
        <v>8651</v>
      </c>
      <c r="AH9454" t="s">
        <v>8652</v>
      </c>
      <c r="AI9454" t="str">
        <f>"9500346"</f>
        <v>9500346</v>
      </c>
      <c r="AJ9454" t="s">
        <v>14342</v>
      </c>
      <c r="AK9454">
        <v>2821076501</v>
      </c>
      <c r="AL9454" t="s">
        <v>14343</v>
      </c>
      <c r="AM9454" t="s">
        <v>88</v>
      </c>
      <c r="AN9454" t="s">
        <v>88</v>
      </c>
      <c r="AO9454" t="s">
        <v>88</v>
      </c>
      <c r="AP9454" t="s">
        <v>88</v>
      </c>
      <c r="AQ9454">
        <v>1</v>
      </c>
      <c r="AR9454" t="s">
        <v>89</v>
      </c>
      <c r="AS9454" t="s">
        <v>90</v>
      </c>
      <c r="AT9454" t="s">
        <v>58</v>
      </c>
      <c r="AU9454" t="s">
        <v>350</v>
      </c>
      <c r="AV9454" t="s">
        <v>132</v>
      </c>
      <c r="AW9454" s="1">
        <v>33151</v>
      </c>
      <c r="AX9454">
        <v>1</v>
      </c>
    </row>
    <row r="9455" spans="1:50">
      <c r="B9455" t="str">
        <f>"147165949"</f>
        <v>147165949</v>
      </c>
      <c r="C9455" t="s">
        <v>50</v>
      </c>
      <c r="D9455" t="s">
        <v>1221</v>
      </c>
      <c r="E9455" t="s">
        <v>755</v>
      </c>
      <c r="F9455" t="s">
        <v>106</v>
      </c>
      <c r="G9455" t="s">
        <v>215</v>
      </c>
      <c r="H9455" t="str">
        <f>" "</f>
        <v xml:space="preserve"> </v>
      </c>
      <c r="N9455" t="s">
        <v>1525</v>
      </c>
      <c r="O9455" t="s">
        <v>1526</v>
      </c>
      <c r="R9455" t="s">
        <v>121</v>
      </c>
      <c r="S9455">
        <v>1</v>
      </c>
      <c r="T9455" t="s">
        <v>8670</v>
      </c>
      <c r="U9455" s="1">
        <v>43348</v>
      </c>
      <c r="V9455" t="s">
        <v>89</v>
      </c>
      <c r="W9455" t="s">
        <v>90</v>
      </c>
      <c r="X9455" t="s">
        <v>58</v>
      </c>
      <c r="Y9455">
        <v>25</v>
      </c>
      <c r="Z9455" t="s">
        <v>59</v>
      </c>
      <c r="AD9455" t="s">
        <v>59</v>
      </c>
      <c r="AF9455" s="1">
        <v>43348</v>
      </c>
      <c r="AG9455" t="s">
        <v>8651</v>
      </c>
      <c r="AH9455" t="s">
        <v>8652</v>
      </c>
      <c r="AI9455" t="str">
        <f>"9500417"</f>
        <v>9500417</v>
      </c>
      <c r="AJ9455" t="s">
        <v>14344</v>
      </c>
      <c r="AK9455">
        <v>2822032013</v>
      </c>
      <c r="AL9455" t="s">
        <v>14345</v>
      </c>
      <c r="AM9455" t="s">
        <v>88</v>
      </c>
      <c r="AN9455" t="s">
        <v>6744</v>
      </c>
      <c r="AO9455" t="s">
        <v>13863</v>
      </c>
      <c r="AP9455" t="s">
        <v>14346</v>
      </c>
      <c r="AQ9455">
        <v>9</v>
      </c>
      <c r="AR9455" t="s">
        <v>89</v>
      </c>
      <c r="AS9455" t="s">
        <v>90</v>
      </c>
      <c r="AT9455" t="s">
        <v>58</v>
      </c>
      <c r="AU9455" t="s">
        <v>8673</v>
      </c>
      <c r="AV9455" t="s">
        <v>132</v>
      </c>
      <c r="AW9455" s="1">
        <v>32389</v>
      </c>
      <c r="AX9455">
        <v>1</v>
      </c>
    </row>
    <row r="9456" spans="1:50">
      <c r="A9456">
        <v>570310</v>
      </c>
      <c r="B9456" t="str">
        <f>"038009884"</f>
        <v>038009884</v>
      </c>
      <c r="C9456" t="s">
        <v>50</v>
      </c>
      <c r="D9456" t="s">
        <v>1221</v>
      </c>
      <c r="E9456" t="s">
        <v>83</v>
      </c>
      <c r="F9456" t="s">
        <v>99</v>
      </c>
      <c r="G9456" t="s">
        <v>1443</v>
      </c>
      <c r="H9456" t="str">
        <f>"ΠΑΠΑΡΗΓΟΠΟΥΛΟΥ 4 ΧΑΝΙΑ"</f>
        <v>ΠΑΠΑΡΗΓΟΠΟΥΛΟΥ 4 ΧΑΝΙΑ</v>
      </c>
      <c r="I9456">
        <v>73134</v>
      </c>
      <c r="J9456">
        <v>2821040041</v>
      </c>
      <c r="K9456">
        <v>6936845314</v>
      </c>
      <c r="N9456" t="s">
        <v>306</v>
      </c>
      <c r="O9456" t="s">
        <v>307</v>
      </c>
      <c r="R9456" t="s">
        <v>57</v>
      </c>
      <c r="S9456">
        <v>13</v>
      </c>
      <c r="T9456">
        <v>239</v>
      </c>
      <c r="U9456" s="1">
        <v>33969</v>
      </c>
      <c r="V9456" t="s">
        <v>89</v>
      </c>
      <c r="W9456" t="s">
        <v>90</v>
      </c>
      <c r="X9456" t="s">
        <v>58</v>
      </c>
      <c r="Y9456">
        <v>21</v>
      </c>
      <c r="Z9456" t="s">
        <v>59</v>
      </c>
      <c r="AA9456" t="s">
        <v>59</v>
      </c>
      <c r="AB9456" t="s">
        <v>59</v>
      </c>
      <c r="AC9456" t="s">
        <v>59</v>
      </c>
      <c r="AD9456" t="s">
        <v>59</v>
      </c>
      <c r="AF9456" s="1">
        <v>33969</v>
      </c>
      <c r="AG9456" t="s">
        <v>8645</v>
      </c>
      <c r="AH9456" t="s">
        <v>8646</v>
      </c>
      <c r="AI9456" t="str">
        <f>"9500078"</f>
        <v>9500078</v>
      </c>
      <c r="AJ9456" t="s">
        <v>13988</v>
      </c>
      <c r="AK9456">
        <v>2821028788</v>
      </c>
      <c r="AL9456" t="s">
        <v>13989</v>
      </c>
      <c r="AM9456" t="s">
        <v>88</v>
      </c>
      <c r="AN9456" t="s">
        <v>88</v>
      </c>
      <c r="AO9456" t="s">
        <v>88</v>
      </c>
      <c r="AP9456" t="s">
        <v>88</v>
      </c>
      <c r="AQ9456">
        <v>1</v>
      </c>
      <c r="AR9456" t="s">
        <v>89</v>
      </c>
      <c r="AS9456" t="s">
        <v>90</v>
      </c>
      <c r="AT9456" t="s">
        <v>58</v>
      </c>
      <c r="AU9456" t="s">
        <v>68</v>
      </c>
      <c r="AV9456" t="s">
        <v>69</v>
      </c>
      <c r="AW9456" s="1">
        <v>24100</v>
      </c>
      <c r="AX9456">
        <v>1</v>
      </c>
    </row>
    <row r="9457" spans="1:50">
      <c r="A9457">
        <v>597369</v>
      </c>
      <c r="B9457" t="str">
        <f>"073765321"</f>
        <v>073765321</v>
      </c>
      <c r="C9457" t="s">
        <v>50</v>
      </c>
      <c r="D9457" t="s">
        <v>1221</v>
      </c>
      <c r="E9457" t="s">
        <v>255</v>
      </c>
      <c r="F9457" t="s">
        <v>53</v>
      </c>
      <c r="G9457" t="s">
        <v>396</v>
      </c>
      <c r="H9457" t="str">
        <f>" "</f>
        <v xml:space="preserve"> </v>
      </c>
      <c r="N9457" t="s">
        <v>306</v>
      </c>
      <c r="O9457" t="s">
        <v>307</v>
      </c>
      <c r="R9457" t="s">
        <v>57</v>
      </c>
      <c r="S9457">
        <v>8</v>
      </c>
      <c r="T9457">
        <v>194</v>
      </c>
      <c r="U9457" s="1">
        <v>37497</v>
      </c>
      <c r="V9457" t="s">
        <v>89</v>
      </c>
      <c r="W9457" t="s">
        <v>90</v>
      </c>
      <c r="X9457" t="s">
        <v>58</v>
      </c>
      <c r="Y9457">
        <v>22</v>
      </c>
      <c r="Z9457" t="s">
        <v>59</v>
      </c>
      <c r="AA9457" t="s">
        <v>59</v>
      </c>
      <c r="AB9457" t="s">
        <v>59</v>
      </c>
      <c r="AC9457" t="s">
        <v>59</v>
      </c>
      <c r="AD9457" t="s">
        <v>59</v>
      </c>
      <c r="AF9457" s="1">
        <v>37497</v>
      </c>
      <c r="AG9457" t="s">
        <v>8645</v>
      </c>
      <c r="AH9457" t="s">
        <v>8646</v>
      </c>
      <c r="AI9457" t="str">
        <f>"9500084"</f>
        <v>9500084</v>
      </c>
      <c r="AJ9457" t="s">
        <v>13994</v>
      </c>
      <c r="AK9457">
        <v>2821031270</v>
      </c>
      <c r="AL9457" t="s">
        <v>13995</v>
      </c>
      <c r="AM9457" t="s">
        <v>88</v>
      </c>
      <c r="AN9457" t="s">
        <v>88</v>
      </c>
      <c r="AO9457" t="s">
        <v>13920</v>
      </c>
      <c r="AP9457" t="s">
        <v>13996</v>
      </c>
      <c r="AQ9457">
        <v>3</v>
      </c>
      <c r="AR9457" t="s">
        <v>89</v>
      </c>
      <c r="AS9457" t="s">
        <v>90</v>
      </c>
      <c r="AT9457" t="s">
        <v>58</v>
      </c>
      <c r="AU9457" t="s">
        <v>68</v>
      </c>
      <c r="AV9457" t="s">
        <v>69</v>
      </c>
      <c r="AW9457" s="1">
        <v>26240</v>
      </c>
      <c r="AX9457">
        <v>1</v>
      </c>
    </row>
    <row r="9458" spans="1:50">
      <c r="B9458" t="str">
        <f>"140932138"</f>
        <v>140932138</v>
      </c>
      <c r="C9458" t="s">
        <v>50</v>
      </c>
      <c r="D9458" t="s">
        <v>1221</v>
      </c>
      <c r="E9458" t="s">
        <v>109</v>
      </c>
      <c r="F9458" t="s">
        <v>1041</v>
      </c>
      <c r="G9458" t="s">
        <v>52</v>
      </c>
      <c r="H9458" t="str">
        <f>"ΠΕΡΙΒΟΛΙΩΝ 107 ΧΑΝΙΑ"</f>
        <v>ΠΕΡΙΒΟΛΙΩΝ 107 ΧΑΝΙΑ</v>
      </c>
      <c r="I9458">
        <v>73136</v>
      </c>
      <c r="J9458">
        <v>2821097545</v>
      </c>
      <c r="K9458">
        <v>6982040852</v>
      </c>
      <c r="N9458" t="s">
        <v>615</v>
      </c>
      <c r="O9458" t="s">
        <v>616</v>
      </c>
      <c r="R9458" t="s">
        <v>159</v>
      </c>
      <c r="S9458">
        <v>3</v>
      </c>
      <c r="T9458" t="s">
        <v>8675</v>
      </c>
      <c r="U9458" s="1">
        <v>43348</v>
      </c>
      <c r="V9458" t="s">
        <v>89</v>
      </c>
      <c r="W9458" t="s">
        <v>90</v>
      </c>
      <c r="X9458" t="s">
        <v>58</v>
      </c>
      <c r="Y9458">
        <v>24</v>
      </c>
      <c r="Z9458" t="s">
        <v>59</v>
      </c>
      <c r="AA9458" t="s">
        <v>59</v>
      </c>
      <c r="AB9458" t="s">
        <v>59</v>
      </c>
      <c r="AC9458" t="s">
        <v>59</v>
      </c>
      <c r="AD9458" t="s">
        <v>59</v>
      </c>
      <c r="AF9458" s="1">
        <v>43348</v>
      </c>
      <c r="AG9458" t="s">
        <v>8645</v>
      </c>
      <c r="AH9458" t="s">
        <v>8646</v>
      </c>
      <c r="AI9458" t="str">
        <f>"9500004"</f>
        <v>9500004</v>
      </c>
      <c r="AJ9458" t="s">
        <v>13897</v>
      </c>
      <c r="AK9458">
        <v>2825022272</v>
      </c>
      <c r="AL9458" t="s">
        <v>13898</v>
      </c>
      <c r="AM9458" t="s">
        <v>88</v>
      </c>
      <c r="AN9458" t="s">
        <v>6775</v>
      </c>
      <c r="AO9458" t="s">
        <v>6776</v>
      </c>
      <c r="AP9458" t="s">
        <v>6776</v>
      </c>
      <c r="AQ9458">
        <v>7</v>
      </c>
      <c r="AR9458" t="s">
        <v>89</v>
      </c>
      <c r="AS9458" t="s">
        <v>90</v>
      </c>
      <c r="AT9458" t="s">
        <v>58</v>
      </c>
      <c r="AU9458" t="s">
        <v>8673</v>
      </c>
      <c r="AV9458" t="s">
        <v>132</v>
      </c>
      <c r="AW9458" s="1">
        <v>32152</v>
      </c>
      <c r="AX9458">
        <v>1</v>
      </c>
    </row>
    <row r="9459" spans="1:50">
      <c r="A9459">
        <v>607414</v>
      </c>
      <c r="B9459" t="str">
        <f>"100613803"</f>
        <v>100613803</v>
      </c>
      <c r="C9459" t="s">
        <v>50</v>
      </c>
      <c r="D9459" t="s">
        <v>1221</v>
      </c>
      <c r="E9459" t="s">
        <v>52</v>
      </c>
      <c r="F9459" t="s">
        <v>2233</v>
      </c>
      <c r="G9459" t="s">
        <v>54</v>
      </c>
      <c r="H9459" t="str">
        <f>"ΚΟΝΤΟΠΟΥΛΩΝ 4 ΧΑΝΙΑ"</f>
        <v>ΚΟΝΤΟΠΟΥΛΩΝ 4 ΧΑΝΙΑ</v>
      </c>
      <c r="I9459">
        <v>73100</v>
      </c>
      <c r="J9459">
        <v>2821097086</v>
      </c>
      <c r="K9459">
        <v>6976788743</v>
      </c>
      <c r="N9459" t="s">
        <v>615</v>
      </c>
      <c r="O9459" t="s">
        <v>616</v>
      </c>
      <c r="R9459" t="s">
        <v>57</v>
      </c>
      <c r="S9459">
        <v>7</v>
      </c>
      <c r="T9459">
        <v>217</v>
      </c>
      <c r="U9459" s="1">
        <v>38601</v>
      </c>
      <c r="V9459" t="s">
        <v>89</v>
      </c>
      <c r="W9459" t="s">
        <v>90</v>
      </c>
      <c r="X9459" t="s">
        <v>58</v>
      </c>
      <c r="Y9459">
        <v>22</v>
      </c>
      <c r="Z9459" t="s">
        <v>59</v>
      </c>
      <c r="AA9459" t="s">
        <v>59</v>
      </c>
      <c r="AB9459" t="s">
        <v>59</v>
      </c>
      <c r="AC9459" t="s">
        <v>59</v>
      </c>
      <c r="AD9459" t="s">
        <v>59</v>
      </c>
      <c r="AF9459" s="1">
        <v>38601</v>
      </c>
      <c r="AG9459" t="s">
        <v>8645</v>
      </c>
      <c r="AH9459" t="s">
        <v>8646</v>
      </c>
      <c r="AI9459" t="str">
        <f>"9500070"</f>
        <v>9500070</v>
      </c>
      <c r="AJ9459" t="s">
        <v>14221</v>
      </c>
      <c r="AK9459">
        <v>2821095817</v>
      </c>
      <c r="AL9459" t="s">
        <v>14222</v>
      </c>
      <c r="AM9459" t="s">
        <v>88</v>
      </c>
      <c r="AN9459" t="s">
        <v>88</v>
      </c>
      <c r="AO9459" t="s">
        <v>88</v>
      </c>
      <c r="AP9459" t="s">
        <v>88</v>
      </c>
      <c r="AQ9459">
        <v>1</v>
      </c>
      <c r="AR9459" t="s">
        <v>89</v>
      </c>
      <c r="AS9459" t="s">
        <v>90</v>
      </c>
      <c r="AT9459" t="s">
        <v>58</v>
      </c>
      <c r="AU9459" t="s">
        <v>68</v>
      </c>
      <c r="AV9459" t="s">
        <v>69</v>
      </c>
      <c r="AW9459" s="1">
        <v>29278</v>
      </c>
      <c r="AX9459">
        <v>1</v>
      </c>
    </row>
    <row r="9460" spans="1:50">
      <c r="A9460">
        <v>603063</v>
      </c>
      <c r="B9460" t="str">
        <f>"072477560"</f>
        <v>072477560</v>
      </c>
      <c r="C9460" t="s">
        <v>50</v>
      </c>
      <c r="D9460" t="s">
        <v>1221</v>
      </c>
      <c r="E9460" t="s">
        <v>52</v>
      </c>
      <c r="F9460" t="s">
        <v>920</v>
      </c>
      <c r="G9460" t="s">
        <v>250</v>
      </c>
      <c r="H9460" t="str">
        <f>" "</f>
        <v xml:space="preserve"> </v>
      </c>
      <c r="J9460">
        <v>2106840453</v>
      </c>
      <c r="K9460">
        <v>6945628793</v>
      </c>
      <c r="N9460" t="s">
        <v>1525</v>
      </c>
      <c r="O9460" t="s">
        <v>1526</v>
      </c>
      <c r="R9460" t="s">
        <v>57</v>
      </c>
      <c r="S9460">
        <v>7</v>
      </c>
      <c r="T9460">
        <v>207</v>
      </c>
      <c r="U9460" s="1">
        <v>37866</v>
      </c>
      <c r="V9460" t="s">
        <v>89</v>
      </c>
      <c r="W9460" t="s">
        <v>90</v>
      </c>
      <c r="X9460" t="s">
        <v>58</v>
      </c>
      <c r="Y9460">
        <v>25</v>
      </c>
      <c r="Z9460" t="s">
        <v>59</v>
      </c>
      <c r="AA9460" t="s">
        <v>59</v>
      </c>
      <c r="AB9460" t="s">
        <v>59</v>
      </c>
      <c r="AC9460" t="s">
        <v>59</v>
      </c>
      <c r="AD9460" t="s">
        <v>59</v>
      </c>
      <c r="AF9460" s="1">
        <v>37869</v>
      </c>
      <c r="AG9460" t="s">
        <v>8651</v>
      </c>
      <c r="AH9460" t="s">
        <v>8652</v>
      </c>
      <c r="AI9460" t="str">
        <f>"9500108"</f>
        <v>9500108</v>
      </c>
      <c r="AJ9460" t="s">
        <v>14258</v>
      </c>
      <c r="AK9460">
        <v>2821079280</v>
      </c>
      <c r="AL9460" t="s">
        <v>14259</v>
      </c>
      <c r="AM9460" t="s">
        <v>88</v>
      </c>
      <c r="AN9460" t="s">
        <v>88</v>
      </c>
      <c r="AO9460" t="s">
        <v>13920</v>
      </c>
      <c r="AP9460" t="s">
        <v>13921</v>
      </c>
      <c r="AQ9460">
        <v>3</v>
      </c>
      <c r="AR9460" t="s">
        <v>89</v>
      </c>
      <c r="AS9460" t="s">
        <v>90</v>
      </c>
      <c r="AT9460" t="s">
        <v>58</v>
      </c>
      <c r="AU9460" t="s">
        <v>68</v>
      </c>
      <c r="AV9460" t="s">
        <v>69</v>
      </c>
      <c r="AW9460" s="1">
        <v>25638</v>
      </c>
      <c r="AX9460">
        <v>1</v>
      </c>
    </row>
    <row r="9461" spans="1:50">
      <c r="A9461">
        <v>229042</v>
      </c>
      <c r="B9461" t="str">
        <f>"120224390"</f>
        <v>120224390</v>
      </c>
      <c r="C9461" t="s">
        <v>50</v>
      </c>
      <c r="D9461" t="s">
        <v>1221</v>
      </c>
      <c r="E9461" t="s">
        <v>14347</v>
      </c>
      <c r="F9461" t="s">
        <v>166</v>
      </c>
      <c r="G9461" t="s">
        <v>2208</v>
      </c>
      <c r="H9461" t="str">
        <f>"ΤΕΡΜΑ ΠΑΠΑΝΑΣΤΑΣΙΟΥ(ΠΑΡΟΔΟΣ) ΧΑΝΙΑ"</f>
        <v>ΤΕΡΜΑ ΠΑΠΑΝΑΣΤΑΣΙΟΥ(ΠΑΡΟΔΟΣ) ΧΑΝΙΑ</v>
      </c>
      <c r="I9461">
        <v>73100</v>
      </c>
      <c r="J9461">
        <v>2821051444</v>
      </c>
      <c r="K9461">
        <v>6977442602</v>
      </c>
      <c r="M9461" t="s">
        <v>14348</v>
      </c>
      <c r="N9461" t="s">
        <v>306</v>
      </c>
      <c r="O9461" t="s">
        <v>307</v>
      </c>
      <c r="R9461" t="s">
        <v>57</v>
      </c>
      <c r="S9461">
        <v>7</v>
      </c>
      <c r="T9461" t="s">
        <v>14349</v>
      </c>
      <c r="U9461" s="1">
        <v>40059</v>
      </c>
      <c r="V9461" t="s">
        <v>89</v>
      </c>
      <c r="W9461" t="s">
        <v>90</v>
      </c>
      <c r="X9461" t="s">
        <v>58</v>
      </c>
      <c r="Y9461">
        <v>23</v>
      </c>
      <c r="Z9461" t="s">
        <v>59</v>
      </c>
      <c r="AA9461" t="s">
        <v>59</v>
      </c>
      <c r="AB9461" t="s">
        <v>59</v>
      </c>
      <c r="AC9461" t="s">
        <v>59</v>
      </c>
      <c r="AD9461" t="s">
        <v>59</v>
      </c>
      <c r="AF9461" s="1">
        <v>40060</v>
      </c>
      <c r="AG9461" t="s">
        <v>8645</v>
      </c>
      <c r="AH9461" t="s">
        <v>8646</v>
      </c>
      <c r="AI9461" t="str">
        <f>"9500119"</f>
        <v>9500119</v>
      </c>
      <c r="AJ9461" t="s">
        <v>14286</v>
      </c>
      <c r="AK9461">
        <v>2821095816</v>
      </c>
      <c r="AL9461" t="s">
        <v>14287</v>
      </c>
      <c r="AM9461" t="s">
        <v>88</v>
      </c>
      <c r="AN9461" t="s">
        <v>88</v>
      </c>
      <c r="AO9461" t="s">
        <v>13920</v>
      </c>
      <c r="AP9461" t="s">
        <v>14029</v>
      </c>
      <c r="AQ9461">
        <v>3</v>
      </c>
      <c r="AR9461" t="s">
        <v>89</v>
      </c>
      <c r="AS9461" t="s">
        <v>90</v>
      </c>
      <c r="AT9461" t="s">
        <v>58</v>
      </c>
      <c r="AU9461" t="s">
        <v>68</v>
      </c>
      <c r="AV9461" t="s">
        <v>69</v>
      </c>
      <c r="AW9461" s="1">
        <v>27926</v>
      </c>
      <c r="AX9461">
        <v>1</v>
      </c>
    </row>
    <row r="9462" spans="1:50">
      <c r="A9462">
        <v>592789</v>
      </c>
      <c r="B9462" t="str">
        <f>"046184348"</f>
        <v>046184348</v>
      </c>
      <c r="C9462" t="s">
        <v>105</v>
      </c>
      <c r="D9462" t="s">
        <v>1232</v>
      </c>
      <c r="E9462" t="s">
        <v>72</v>
      </c>
      <c r="F9462" t="s">
        <v>92</v>
      </c>
      <c r="G9462" t="s">
        <v>73</v>
      </c>
      <c r="H9462" t="str">
        <f>"ΤΣΙΚΑΛΑΡΙΑ   ΤΘ2319 ΤΣΙΚΑΛΑΡΙΑ"</f>
        <v>ΤΣΙΚΑΛΑΡΙΑ   ΤΘ2319 ΤΣΙΚΑΛΑΡΙΑ</v>
      </c>
      <c r="I9462">
        <v>73200</v>
      </c>
      <c r="J9462">
        <v>2821089203</v>
      </c>
      <c r="K9462">
        <v>6978980233</v>
      </c>
      <c r="L9462">
        <v>6980044200</v>
      </c>
      <c r="M9462" t="s">
        <v>14350</v>
      </c>
      <c r="N9462" t="s">
        <v>615</v>
      </c>
      <c r="O9462" t="s">
        <v>616</v>
      </c>
      <c r="R9462" t="s">
        <v>57</v>
      </c>
      <c r="S9462">
        <v>10</v>
      </c>
      <c r="T9462" t="s">
        <v>14351</v>
      </c>
      <c r="U9462" s="1">
        <v>37124</v>
      </c>
      <c r="V9462" t="s">
        <v>89</v>
      </c>
      <c r="W9462" t="s">
        <v>90</v>
      </c>
      <c r="X9462" t="s">
        <v>58</v>
      </c>
      <c r="Y9462">
        <v>21</v>
      </c>
      <c r="Z9462" t="s">
        <v>59</v>
      </c>
      <c r="AA9462" t="s">
        <v>59</v>
      </c>
      <c r="AB9462" t="s">
        <v>59</v>
      </c>
      <c r="AC9462" t="s">
        <v>59</v>
      </c>
      <c r="AD9462" t="s">
        <v>59</v>
      </c>
      <c r="AF9462" s="1">
        <v>37134</v>
      </c>
      <c r="AG9462" t="s">
        <v>8645</v>
      </c>
      <c r="AH9462" t="s">
        <v>8646</v>
      </c>
      <c r="AI9462" t="str">
        <f>"9500329"</f>
        <v>9500329</v>
      </c>
      <c r="AJ9462" t="s">
        <v>14241</v>
      </c>
      <c r="AK9462">
        <v>2821099075</v>
      </c>
      <c r="AL9462" t="s">
        <v>14242</v>
      </c>
      <c r="AM9462" t="s">
        <v>88</v>
      </c>
      <c r="AN9462" t="s">
        <v>88</v>
      </c>
      <c r="AO9462" t="s">
        <v>6733</v>
      </c>
      <c r="AP9462" t="s">
        <v>6734</v>
      </c>
      <c r="AQ9462">
        <v>2</v>
      </c>
      <c r="AR9462" t="s">
        <v>89</v>
      </c>
      <c r="AS9462" t="s">
        <v>90</v>
      </c>
      <c r="AT9462" t="s">
        <v>58</v>
      </c>
      <c r="AU9462" t="s">
        <v>68</v>
      </c>
      <c r="AV9462" t="s">
        <v>69</v>
      </c>
      <c r="AW9462" s="1">
        <v>26221</v>
      </c>
      <c r="AX9462">
        <v>1</v>
      </c>
    </row>
    <row r="9463" spans="1:50">
      <c r="A9463">
        <v>604771</v>
      </c>
      <c r="B9463" t="str">
        <f>"057468271"</f>
        <v>057468271</v>
      </c>
      <c r="C9463" t="s">
        <v>105</v>
      </c>
      <c r="D9463" t="s">
        <v>1232</v>
      </c>
      <c r="E9463" t="s">
        <v>53</v>
      </c>
      <c r="F9463" t="s">
        <v>72</v>
      </c>
      <c r="G9463" t="s">
        <v>5041</v>
      </c>
      <c r="H9463" t="str">
        <f>"ΑΛΙΚΙΑΝΟΣ ΑΛΙΚΙΑΝΟΣ"</f>
        <v>ΑΛΙΚΙΑΝΟΣ ΑΛΙΚΙΑΝΟΣ</v>
      </c>
      <c r="I9463">
        <v>73005</v>
      </c>
      <c r="J9463">
        <v>2821078796</v>
      </c>
      <c r="K9463">
        <v>6945383893</v>
      </c>
      <c r="N9463" t="s">
        <v>615</v>
      </c>
      <c r="O9463" t="s">
        <v>616</v>
      </c>
      <c r="R9463" t="s">
        <v>57</v>
      </c>
      <c r="S9463">
        <v>8</v>
      </c>
      <c r="T9463">
        <v>231</v>
      </c>
      <c r="U9463" s="1">
        <v>38230</v>
      </c>
      <c r="V9463" t="s">
        <v>89</v>
      </c>
      <c r="W9463" t="s">
        <v>90</v>
      </c>
      <c r="X9463" t="s">
        <v>58</v>
      </c>
      <c r="Y9463">
        <v>22</v>
      </c>
      <c r="Z9463" t="s">
        <v>59</v>
      </c>
      <c r="AA9463" t="s">
        <v>59</v>
      </c>
      <c r="AB9463" t="s">
        <v>59</v>
      </c>
      <c r="AC9463" t="s">
        <v>59</v>
      </c>
      <c r="AD9463" t="s">
        <v>59</v>
      </c>
      <c r="AF9463" s="1">
        <v>38230</v>
      </c>
      <c r="AG9463" t="s">
        <v>8645</v>
      </c>
      <c r="AH9463" t="s">
        <v>8646</v>
      </c>
      <c r="AI9463" t="str">
        <f>"9500081"</f>
        <v>9500081</v>
      </c>
      <c r="AJ9463" t="s">
        <v>14034</v>
      </c>
      <c r="AK9463">
        <v>2821077150</v>
      </c>
      <c r="AL9463" t="s">
        <v>14035</v>
      </c>
      <c r="AM9463" t="s">
        <v>88</v>
      </c>
      <c r="AN9463" t="s">
        <v>6764</v>
      </c>
      <c r="AO9463" t="s">
        <v>6885</v>
      </c>
      <c r="AP9463" t="s">
        <v>6886</v>
      </c>
      <c r="AQ9463">
        <v>4</v>
      </c>
      <c r="AR9463" t="s">
        <v>89</v>
      </c>
      <c r="AS9463" t="s">
        <v>90</v>
      </c>
      <c r="AT9463" t="s">
        <v>58</v>
      </c>
      <c r="AU9463" t="s">
        <v>68</v>
      </c>
      <c r="AV9463" t="s">
        <v>69</v>
      </c>
      <c r="AW9463" s="1">
        <v>23137</v>
      </c>
      <c r="AX9463">
        <v>1</v>
      </c>
    </row>
    <row r="9464" spans="1:50">
      <c r="A9464">
        <v>597092</v>
      </c>
      <c r="B9464" t="str">
        <f>"052220055"</f>
        <v>052220055</v>
      </c>
      <c r="C9464" t="s">
        <v>50</v>
      </c>
      <c r="D9464" t="s">
        <v>14352</v>
      </c>
      <c r="E9464" t="s">
        <v>98</v>
      </c>
      <c r="F9464" t="s">
        <v>309</v>
      </c>
      <c r="G9464" t="s">
        <v>155</v>
      </c>
      <c r="H9464" t="str">
        <f>"ΣΥΡΟΥ 9 ΧΑΝΙΑ"</f>
        <v>ΣΥΡΟΥ 9 ΧΑΝΙΑ</v>
      </c>
      <c r="I9464">
        <v>73131</v>
      </c>
      <c r="J9464">
        <v>2467028412</v>
      </c>
      <c r="K9464">
        <v>6947403754</v>
      </c>
      <c r="L9464">
        <v>2821500933</v>
      </c>
      <c r="N9464" t="s">
        <v>1525</v>
      </c>
      <c r="O9464" t="s">
        <v>1526</v>
      </c>
      <c r="R9464" t="s">
        <v>57</v>
      </c>
      <c r="S9464">
        <v>8</v>
      </c>
      <c r="T9464">
        <v>195</v>
      </c>
      <c r="U9464" s="1">
        <v>37497</v>
      </c>
      <c r="V9464" t="s">
        <v>89</v>
      </c>
      <c r="W9464" t="s">
        <v>90</v>
      </c>
      <c r="X9464" t="s">
        <v>58</v>
      </c>
      <c r="Y9464">
        <v>25</v>
      </c>
      <c r="Z9464" t="s">
        <v>59</v>
      </c>
      <c r="AA9464" t="s">
        <v>59</v>
      </c>
      <c r="AB9464" t="s">
        <v>59</v>
      </c>
      <c r="AC9464" t="s">
        <v>59</v>
      </c>
      <c r="AD9464" t="s">
        <v>59</v>
      </c>
      <c r="AF9464" s="1">
        <v>37502</v>
      </c>
      <c r="AG9464" t="s">
        <v>8651</v>
      </c>
      <c r="AH9464" t="s">
        <v>8652</v>
      </c>
      <c r="AI9464" t="str">
        <f>"9500368"</f>
        <v>9500368</v>
      </c>
      <c r="AJ9464" t="s">
        <v>14000</v>
      </c>
      <c r="AK9464">
        <v>2821031690</v>
      </c>
      <c r="AL9464" t="s">
        <v>14001</v>
      </c>
      <c r="AM9464" t="s">
        <v>88</v>
      </c>
      <c r="AN9464" t="s">
        <v>88</v>
      </c>
      <c r="AO9464" t="s">
        <v>6785</v>
      </c>
      <c r="AP9464" t="s">
        <v>13932</v>
      </c>
      <c r="AQ9464">
        <v>3</v>
      </c>
      <c r="AR9464" t="s">
        <v>89</v>
      </c>
      <c r="AS9464" t="s">
        <v>90</v>
      </c>
      <c r="AT9464" t="s">
        <v>58</v>
      </c>
      <c r="AU9464" t="s">
        <v>68</v>
      </c>
      <c r="AV9464" t="s">
        <v>69</v>
      </c>
      <c r="AW9464" s="1">
        <v>25346</v>
      </c>
      <c r="AX9464">
        <v>1</v>
      </c>
    </row>
    <row r="9465" spans="1:50">
      <c r="A9465">
        <v>606134</v>
      </c>
      <c r="B9465" t="str">
        <f>"109143590"</f>
        <v>109143590</v>
      </c>
      <c r="C9465" t="s">
        <v>50</v>
      </c>
      <c r="D9465" t="s">
        <v>14353</v>
      </c>
      <c r="E9465" t="s">
        <v>860</v>
      </c>
      <c r="F9465" t="s">
        <v>95</v>
      </c>
      <c r="G9465" t="s">
        <v>73</v>
      </c>
      <c r="H9465" t="str">
        <f>"Α.ΠΑΠΑΝΔΡΕΟΥ 84 ΧΑΝΙΑ"</f>
        <v>Α.ΠΑΠΑΝΔΡΕΟΥ 84 ΧΑΝΙΑ</v>
      </c>
      <c r="I9465">
        <v>73132</v>
      </c>
      <c r="J9465">
        <v>2821041230</v>
      </c>
      <c r="K9465">
        <v>6977243136</v>
      </c>
      <c r="N9465" t="s">
        <v>1525</v>
      </c>
      <c r="O9465" t="s">
        <v>1526</v>
      </c>
      <c r="R9465" t="s">
        <v>57</v>
      </c>
      <c r="S9465">
        <v>7</v>
      </c>
      <c r="T9465">
        <v>231</v>
      </c>
      <c r="U9465" s="1">
        <v>38230</v>
      </c>
      <c r="V9465" t="s">
        <v>89</v>
      </c>
      <c r="W9465" t="s">
        <v>90</v>
      </c>
      <c r="X9465" t="s">
        <v>58</v>
      </c>
      <c r="Y9465">
        <v>25</v>
      </c>
      <c r="Z9465" t="s">
        <v>59</v>
      </c>
      <c r="AA9465" t="s">
        <v>59</v>
      </c>
      <c r="AB9465" t="s">
        <v>59</v>
      </c>
      <c r="AC9465" t="s">
        <v>59</v>
      </c>
      <c r="AD9465" t="s">
        <v>59</v>
      </c>
      <c r="AF9465" s="1">
        <v>38231</v>
      </c>
      <c r="AG9465" t="s">
        <v>8651</v>
      </c>
      <c r="AH9465" t="s">
        <v>8652</v>
      </c>
      <c r="AI9465" t="str">
        <f>"9500282"</f>
        <v>9500282</v>
      </c>
      <c r="AJ9465" t="s">
        <v>14354</v>
      </c>
      <c r="AK9465">
        <v>2821040081</v>
      </c>
      <c r="AL9465" t="s">
        <v>14355</v>
      </c>
      <c r="AM9465" t="s">
        <v>88</v>
      </c>
      <c r="AN9465" t="s">
        <v>88</v>
      </c>
      <c r="AO9465" t="s">
        <v>88</v>
      </c>
      <c r="AP9465" t="s">
        <v>88</v>
      </c>
      <c r="AQ9465">
        <v>1</v>
      </c>
      <c r="AR9465" t="s">
        <v>89</v>
      </c>
      <c r="AS9465" t="s">
        <v>90</v>
      </c>
      <c r="AT9465" t="s">
        <v>58</v>
      </c>
      <c r="AU9465" t="s">
        <v>68</v>
      </c>
      <c r="AV9465" t="s">
        <v>69</v>
      </c>
      <c r="AW9465" s="1">
        <v>27874</v>
      </c>
      <c r="AX9465">
        <v>1</v>
      </c>
    </row>
    <row r="9466" spans="1:50">
      <c r="B9466" t="str">
        <f>"140309744"</f>
        <v>140309744</v>
      </c>
      <c r="C9466" t="s">
        <v>105</v>
      </c>
      <c r="D9466" t="s">
        <v>13001</v>
      </c>
      <c r="E9466" t="s">
        <v>900</v>
      </c>
      <c r="F9466" t="s">
        <v>383</v>
      </c>
      <c r="G9466" t="s">
        <v>263</v>
      </c>
      <c r="H9466" t="str">
        <f>"ΑΙΓΙΟΥ 7 "</f>
        <v xml:space="preserve">ΑΙΓΙΟΥ 7 </v>
      </c>
      <c r="I9466">
        <v>13674</v>
      </c>
      <c r="J9466">
        <v>2102406951</v>
      </c>
      <c r="K9466">
        <v>6972570041</v>
      </c>
      <c r="N9466" t="s">
        <v>615</v>
      </c>
      <c r="O9466" t="s">
        <v>616</v>
      </c>
      <c r="R9466" t="s">
        <v>159</v>
      </c>
      <c r="S9466">
        <v>3</v>
      </c>
      <c r="T9466" t="s">
        <v>8675</v>
      </c>
      <c r="U9466" s="1">
        <v>43348</v>
      </c>
      <c r="V9466" t="s">
        <v>89</v>
      </c>
      <c r="W9466" t="s">
        <v>90</v>
      </c>
      <c r="X9466" t="s">
        <v>58</v>
      </c>
      <c r="Y9466">
        <v>25</v>
      </c>
      <c r="Z9466" t="s">
        <v>59</v>
      </c>
      <c r="AA9466" t="s">
        <v>59</v>
      </c>
      <c r="AB9466" t="s">
        <v>59</v>
      </c>
      <c r="AC9466" t="s">
        <v>59</v>
      </c>
      <c r="AD9466" t="s">
        <v>59</v>
      </c>
      <c r="AF9466" s="1">
        <v>43348</v>
      </c>
      <c r="AG9466" t="s">
        <v>8645</v>
      </c>
      <c r="AH9466" t="s">
        <v>8676</v>
      </c>
      <c r="AI9466" t="str">
        <f>"9500032"</f>
        <v>9500032</v>
      </c>
      <c r="AJ9466" t="s">
        <v>14356</v>
      </c>
      <c r="AK9466">
        <v>2825071301</v>
      </c>
      <c r="AL9466" t="s">
        <v>14357</v>
      </c>
      <c r="AM9466" t="s">
        <v>88</v>
      </c>
      <c r="AN9466" t="s">
        <v>6775</v>
      </c>
      <c r="AO9466" t="s">
        <v>14358</v>
      </c>
      <c r="AP9466" t="s">
        <v>14358</v>
      </c>
      <c r="AQ9466">
        <v>7</v>
      </c>
      <c r="AR9466" t="s">
        <v>89</v>
      </c>
      <c r="AS9466" t="s">
        <v>90</v>
      </c>
      <c r="AT9466" t="s">
        <v>58</v>
      </c>
      <c r="AU9466" t="s">
        <v>8673</v>
      </c>
      <c r="AV9466" t="s">
        <v>132</v>
      </c>
      <c r="AW9466" s="1">
        <v>31740</v>
      </c>
      <c r="AX9466">
        <v>1</v>
      </c>
    </row>
    <row r="9467" spans="1:50">
      <c r="A9467">
        <v>581363</v>
      </c>
      <c r="B9467" t="str">
        <f>"052559167"</f>
        <v>052559167</v>
      </c>
      <c r="C9467" t="s">
        <v>50</v>
      </c>
      <c r="D9467" t="s">
        <v>13005</v>
      </c>
      <c r="E9467" t="s">
        <v>382</v>
      </c>
      <c r="F9467" t="s">
        <v>95</v>
      </c>
      <c r="G9467" t="s">
        <v>340</v>
      </c>
      <c r="H9467" t="str">
        <f>"ΚΟΡΑΚΑ 34 ΧΑΝΙΑ"</f>
        <v>ΚΟΡΑΚΑ 34 ΧΑΝΙΑ</v>
      </c>
      <c r="I9467">
        <v>73100</v>
      </c>
      <c r="J9467">
        <v>2821073432</v>
      </c>
      <c r="K9467">
        <v>6947809543</v>
      </c>
      <c r="N9467" t="s">
        <v>615</v>
      </c>
      <c r="O9467" t="s">
        <v>616</v>
      </c>
      <c r="R9467" t="s">
        <v>57</v>
      </c>
      <c r="S9467">
        <v>12</v>
      </c>
      <c r="T9467">
        <v>179</v>
      </c>
      <c r="U9467" s="1">
        <v>35674</v>
      </c>
      <c r="V9467" t="s">
        <v>89</v>
      </c>
      <c r="W9467" t="s">
        <v>90</v>
      </c>
      <c r="X9467" t="s">
        <v>58</v>
      </c>
      <c r="Y9467">
        <v>21</v>
      </c>
      <c r="Z9467" t="s">
        <v>59</v>
      </c>
      <c r="AA9467" t="s">
        <v>59</v>
      </c>
      <c r="AB9467" t="s">
        <v>59</v>
      </c>
      <c r="AC9467" t="s">
        <v>59</v>
      </c>
      <c r="AD9467" t="s">
        <v>59</v>
      </c>
      <c r="AF9467" s="1">
        <v>35674</v>
      </c>
      <c r="AG9467" t="s">
        <v>8645</v>
      </c>
      <c r="AH9467" t="s">
        <v>8646</v>
      </c>
      <c r="AI9467" t="str">
        <f>"9500314"</f>
        <v>9500314</v>
      </c>
      <c r="AJ9467" t="s">
        <v>14116</v>
      </c>
      <c r="AK9467">
        <v>2821097640</v>
      </c>
      <c r="AL9467" t="s">
        <v>14117</v>
      </c>
      <c r="AM9467" t="s">
        <v>88</v>
      </c>
      <c r="AN9467" t="s">
        <v>88</v>
      </c>
      <c r="AO9467" t="s">
        <v>88</v>
      </c>
      <c r="AP9467" t="s">
        <v>88</v>
      </c>
      <c r="AQ9467">
        <v>1</v>
      </c>
      <c r="AR9467" t="s">
        <v>89</v>
      </c>
      <c r="AS9467" t="s">
        <v>90</v>
      </c>
      <c r="AT9467" t="s">
        <v>58</v>
      </c>
      <c r="AU9467" t="s">
        <v>68</v>
      </c>
      <c r="AV9467" t="s">
        <v>69</v>
      </c>
      <c r="AW9467" s="1">
        <v>24252</v>
      </c>
      <c r="AX9467">
        <v>1</v>
      </c>
    </row>
    <row r="9468" spans="1:50">
      <c r="A9468">
        <v>571505</v>
      </c>
      <c r="B9468" t="str">
        <f>"035501107"</f>
        <v>035501107</v>
      </c>
      <c r="C9468" t="s">
        <v>105</v>
      </c>
      <c r="D9468" t="s">
        <v>14359</v>
      </c>
      <c r="E9468" t="s">
        <v>53</v>
      </c>
      <c r="F9468" t="s">
        <v>72</v>
      </c>
      <c r="G9468" t="s">
        <v>54</v>
      </c>
      <c r="H9468" t="str">
        <f>"ΤΕΡΣΑΝΑΣ ΧΩΡΑΦΑΚΙΑ-ΧΑΝΙΑ"</f>
        <v>ΤΕΡΣΑΝΑΣ ΧΩΡΑΦΑΚΙΑ-ΧΑΝΙΑ</v>
      </c>
      <c r="I9468">
        <v>73100</v>
      </c>
      <c r="J9468">
        <v>2821049304</v>
      </c>
      <c r="K9468">
        <v>6973339313</v>
      </c>
      <c r="N9468" t="s">
        <v>615</v>
      </c>
      <c r="O9468" t="s">
        <v>616</v>
      </c>
      <c r="R9468" t="s">
        <v>57</v>
      </c>
      <c r="S9468">
        <v>13</v>
      </c>
      <c r="T9468">
        <v>138</v>
      </c>
      <c r="U9468" s="1">
        <v>34206</v>
      </c>
      <c r="V9468" t="s">
        <v>89</v>
      </c>
      <c r="W9468" t="s">
        <v>90</v>
      </c>
      <c r="X9468" t="s">
        <v>58</v>
      </c>
      <c r="Y9468">
        <v>21</v>
      </c>
      <c r="Z9468" t="s">
        <v>59</v>
      </c>
      <c r="AA9468" t="s">
        <v>59</v>
      </c>
      <c r="AB9468" t="s">
        <v>59</v>
      </c>
      <c r="AC9468" t="s">
        <v>59</v>
      </c>
      <c r="AD9468" t="s">
        <v>59</v>
      </c>
      <c r="AF9468" s="1">
        <v>34206</v>
      </c>
      <c r="AG9468" t="s">
        <v>8645</v>
      </c>
      <c r="AH9468" t="s">
        <v>8646</v>
      </c>
      <c r="AI9468" t="str">
        <f>"9500094"</f>
        <v>9500094</v>
      </c>
      <c r="AJ9468" t="s">
        <v>13883</v>
      </c>
      <c r="AK9468">
        <v>2821039330</v>
      </c>
      <c r="AL9468" t="s">
        <v>13884</v>
      </c>
      <c r="AM9468" t="s">
        <v>88</v>
      </c>
      <c r="AN9468" t="s">
        <v>88</v>
      </c>
      <c r="AO9468" t="s">
        <v>6770</v>
      </c>
      <c r="AP9468" t="s">
        <v>6771</v>
      </c>
      <c r="AQ9468">
        <v>2</v>
      </c>
      <c r="AR9468" t="s">
        <v>89</v>
      </c>
      <c r="AS9468" t="s">
        <v>90</v>
      </c>
      <c r="AT9468" t="s">
        <v>58</v>
      </c>
      <c r="AU9468" t="s">
        <v>68</v>
      </c>
      <c r="AV9468" t="s">
        <v>69</v>
      </c>
      <c r="AW9468" s="1">
        <v>24038</v>
      </c>
      <c r="AX9468">
        <v>1</v>
      </c>
    </row>
    <row r="9469" spans="1:50">
      <c r="A9469">
        <v>613263</v>
      </c>
      <c r="B9469" t="str">
        <f>"135518363"</f>
        <v>135518363</v>
      </c>
      <c r="C9469" t="s">
        <v>50</v>
      </c>
      <c r="D9469" t="s">
        <v>14360</v>
      </c>
      <c r="E9469" t="s">
        <v>155</v>
      </c>
      <c r="F9469" t="s">
        <v>459</v>
      </c>
      <c r="G9469" t="s">
        <v>714</v>
      </c>
      <c r="H9469" t="str">
        <f>"ΚΟΥΝΟΥΠΙΔΙΑΝΑ ΧΑΝΙΑ"</f>
        <v>ΚΟΥΝΟΥΠΙΔΙΑΝΑ ΧΑΝΙΑ</v>
      </c>
      <c r="I9469">
        <v>73100</v>
      </c>
      <c r="J9469">
        <v>2821049170</v>
      </c>
      <c r="K9469">
        <v>6972001077</v>
      </c>
      <c r="N9469" t="s">
        <v>615</v>
      </c>
      <c r="O9469" t="s">
        <v>616</v>
      </c>
      <c r="R9469" t="s">
        <v>57</v>
      </c>
      <c r="S9469">
        <v>6</v>
      </c>
      <c r="T9469">
        <v>598</v>
      </c>
      <c r="U9469" s="1">
        <v>39310</v>
      </c>
      <c r="V9469" t="s">
        <v>89</v>
      </c>
      <c r="W9469" t="s">
        <v>90</v>
      </c>
      <c r="X9469" t="s">
        <v>58</v>
      </c>
      <c r="Y9469">
        <v>23</v>
      </c>
      <c r="Z9469" t="s">
        <v>59</v>
      </c>
      <c r="AA9469" t="s">
        <v>59</v>
      </c>
      <c r="AB9469" t="s">
        <v>59</v>
      </c>
      <c r="AC9469" t="s">
        <v>59</v>
      </c>
      <c r="AD9469" t="s">
        <v>59</v>
      </c>
      <c r="AF9469" s="1">
        <v>39310</v>
      </c>
      <c r="AG9469" t="s">
        <v>8645</v>
      </c>
      <c r="AH9469" t="s">
        <v>8646</v>
      </c>
      <c r="AI9469" t="str">
        <f>"9500094"</f>
        <v>9500094</v>
      </c>
      <c r="AJ9469" t="s">
        <v>13883</v>
      </c>
      <c r="AK9469">
        <v>2821039330</v>
      </c>
      <c r="AL9469" t="s">
        <v>13884</v>
      </c>
      <c r="AM9469" t="s">
        <v>88</v>
      </c>
      <c r="AN9469" t="s">
        <v>88</v>
      </c>
      <c r="AO9469" t="s">
        <v>6770</v>
      </c>
      <c r="AP9469" t="s">
        <v>6771</v>
      </c>
      <c r="AQ9469">
        <v>2</v>
      </c>
      <c r="AR9469" t="s">
        <v>89</v>
      </c>
      <c r="AS9469" t="s">
        <v>90</v>
      </c>
      <c r="AT9469" t="s">
        <v>58</v>
      </c>
      <c r="AU9469" t="s">
        <v>68</v>
      </c>
      <c r="AV9469" t="s">
        <v>69</v>
      </c>
      <c r="AW9469" s="1">
        <v>30148</v>
      </c>
      <c r="AX9469">
        <v>1</v>
      </c>
    </row>
    <row r="9470" spans="1:50">
      <c r="A9470">
        <v>703741</v>
      </c>
      <c r="B9470" t="str">
        <f>"131541690"</f>
        <v>131541690</v>
      </c>
      <c r="C9470" t="s">
        <v>50</v>
      </c>
      <c r="D9470" t="s">
        <v>14361</v>
      </c>
      <c r="E9470" t="s">
        <v>215</v>
      </c>
      <c r="F9470" t="s">
        <v>311</v>
      </c>
      <c r="G9470" t="s">
        <v>237</v>
      </c>
      <c r="H9470" t="str">
        <f>"ΒΥΘΙΝΙΑΣ 8 ΚΟΚΚΙΝΟ ΜΕΤΟΧΙ"</f>
        <v>ΒΥΘΙΝΙΑΣ 8 ΚΟΚΚΙΝΟ ΜΕΤΟΧΙ</v>
      </c>
      <c r="I9470">
        <v>73100</v>
      </c>
      <c r="J9470">
        <v>2821088584</v>
      </c>
      <c r="K9470">
        <v>6995495262</v>
      </c>
      <c r="M9470" t="s">
        <v>14362</v>
      </c>
      <c r="N9470" t="s">
        <v>1525</v>
      </c>
      <c r="O9470" t="s">
        <v>1526</v>
      </c>
      <c r="R9470" t="s">
        <v>57</v>
      </c>
      <c r="S9470">
        <v>3</v>
      </c>
      <c r="T9470">
        <v>224</v>
      </c>
      <c r="U9470" s="1">
        <v>41695</v>
      </c>
      <c r="V9470" t="s">
        <v>89</v>
      </c>
      <c r="W9470" t="s">
        <v>90</v>
      </c>
      <c r="X9470" t="s">
        <v>58</v>
      </c>
      <c r="Y9470">
        <v>25</v>
      </c>
      <c r="Z9470" t="s">
        <v>59</v>
      </c>
      <c r="AA9470" t="s">
        <v>59</v>
      </c>
      <c r="AB9470" t="s">
        <v>59</v>
      </c>
      <c r="AC9470" t="s">
        <v>59</v>
      </c>
      <c r="AD9470" t="s">
        <v>59</v>
      </c>
      <c r="AF9470" s="1">
        <v>41695</v>
      </c>
      <c r="AG9470" t="s">
        <v>8651</v>
      </c>
      <c r="AH9470" t="s">
        <v>8652</v>
      </c>
      <c r="AI9470" t="str">
        <f>"9500362"</f>
        <v>9500362</v>
      </c>
      <c r="AJ9470" t="s">
        <v>14363</v>
      </c>
      <c r="AK9470">
        <v>2825022337</v>
      </c>
      <c r="AL9470" t="s">
        <v>14364</v>
      </c>
      <c r="AM9470" t="s">
        <v>88</v>
      </c>
      <c r="AN9470" t="s">
        <v>6775</v>
      </c>
      <c r="AO9470" t="s">
        <v>6776</v>
      </c>
      <c r="AP9470" t="s">
        <v>6776</v>
      </c>
      <c r="AQ9470">
        <v>7</v>
      </c>
      <c r="AR9470" t="s">
        <v>89</v>
      </c>
      <c r="AS9470" t="s">
        <v>90</v>
      </c>
      <c r="AT9470" t="s">
        <v>58</v>
      </c>
      <c r="AU9470" t="s">
        <v>68</v>
      </c>
      <c r="AV9470" t="s">
        <v>69</v>
      </c>
      <c r="AW9470" s="1">
        <v>31048</v>
      </c>
      <c r="AX9470">
        <v>1</v>
      </c>
    </row>
    <row r="9471" spans="1:50">
      <c r="A9471">
        <v>595101</v>
      </c>
      <c r="B9471" t="str">
        <f>"101588664"</f>
        <v>101588664</v>
      </c>
      <c r="C9471" t="s">
        <v>50</v>
      </c>
      <c r="D9471" t="s">
        <v>1251</v>
      </c>
      <c r="E9471" t="s">
        <v>73</v>
      </c>
      <c r="F9471" t="s">
        <v>2184</v>
      </c>
      <c r="G9471" t="s">
        <v>221</v>
      </c>
      <c r="H9471" t="str">
        <f>"ΜΑΡΙΑΝΑΚΗ 30 ΧΑΝΙΑ"</f>
        <v>ΜΑΡΙΑΝΑΚΗ 30 ΧΑΝΙΑ</v>
      </c>
      <c r="I9471">
        <v>73100</v>
      </c>
      <c r="J9471">
        <v>2821079628</v>
      </c>
      <c r="N9471" t="s">
        <v>615</v>
      </c>
      <c r="O9471" t="s">
        <v>616</v>
      </c>
      <c r="R9471" t="s">
        <v>57</v>
      </c>
      <c r="S9471">
        <v>9</v>
      </c>
      <c r="T9471">
        <v>218</v>
      </c>
      <c r="U9471" s="1">
        <v>37134</v>
      </c>
      <c r="V9471" t="s">
        <v>89</v>
      </c>
      <c r="W9471" t="s">
        <v>90</v>
      </c>
      <c r="X9471" t="s">
        <v>58</v>
      </c>
      <c r="Y9471">
        <v>22</v>
      </c>
      <c r="Z9471" t="s">
        <v>59</v>
      </c>
      <c r="AA9471" t="s">
        <v>59</v>
      </c>
      <c r="AB9471" t="s">
        <v>59</v>
      </c>
      <c r="AC9471" t="s">
        <v>59</v>
      </c>
      <c r="AD9471" t="s">
        <v>59</v>
      </c>
      <c r="AF9471" s="1">
        <v>37134</v>
      </c>
      <c r="AG9471" t="s">
        <v>8645</v>
      </c>
      <c r="AH9471" t="s">
        <v>8646</v>
      </c>
      <c r="AI9471" t="str">
        <f>"9500314"</f>
        <v>9500314</v>
      </c>
      <c r="AJ9471" t="s">
        <v>14116</v>
      </c>
      <c r="AK9471">
        <v>2821097640</v>
      </c>
      <c r="AL9471" t="s">
        <v>14117</v>
      </c>
      <c r="AM9471" t="s">
        <v>88</v>
      </c>
      <c r="AN9471" t="s">
        <v>88</v>
      </c>
      <c r="AO9471" t="s">
        <v>88</v>
      </c>
      <c r="AP9471" t="s">
        <v>88</v>
      </c>
      <c r="AQ9471">
        <v>1</v>
      </c>
      <c r="AR9471" t="s">
        <v>89</v>
      </c>
      <c r="AS9471" t="s">
        <v>90</v>
      </c>
      <c r="AT9471" t="s">
        <v>58</v>
      </c>
      <c r="AU9471" t="s">
        <v>68</v>
      </c>
      <c r="AV9471" t="s">
        <v>69</v>
      </c>
      <c r="AW9471" s="1">
        <v>25308</v>
      </c>
      <c r="AX9471">
        <v>1</v>
      </c>
    </row>
    <row r="9472" spans="1:50">
      <c r="A9472">
        <v>616315</v>
      </c>
      <c r="B9472" t="str">
        <f>"066842248"</f>
        <v>066842248</v>
      </c>
      <c r="C9472" t="s">
        <v>50</v>
      </c>
      <c r="D9472" t="s">
        <v>1251</v>
      </c>
      <c r="E9472" t="s">
        <v>83</v>
      </c>
      <c r="F9472" t="s">
        <v>99</v>
      </c>
      <c r="G9472" t="s">
        <v>52</v>
      </c>
      <c r="H9472" t="str">
        <f>"ΕΛ.ΒΕΝΙΖΕΛΟΥ 32 ΜΟΥΡΝΙΕΣ"</f>
        <v>ΕΛ.ΒΕΝΙΖΕΛΟΥ 32 ΜΟΥΡΝΙΕΣ</v>
      </c>
      <c r="I9472">
        <v>73300</v>
      </c>
      <c r="J9472">
        <v>2825031106</v>
      </c>
      <c r="K9472">
        <v>6945892559</v>
      </c>
      <c r="N9472" t="s">
        <v>1525</v>
      </c>
      <c r="O9472" t="s">
        <v>1526</v>
      </c>
      <c r="R9472" t="s">
        <v>57</v>
      </c>
      <c r="S9472">
        <v>5</v>
      </c>
      <c r="T9472">
        <v>660</v>
      </c>
      <c r="U9472" s="1">
        <v>39311</v>
      </c>
      <c r="V9472" t="s">
        <v>89</v>
      </c>
      <c r="W9472" t="s">
        <v>90</v>
      </c>
      <c r="X9472" t="s">
        <v>58</v>
      </c>
      <c r="Y9472">
        <v>25</v>
      </c>
      <c r="Z9472" t="s">
        <v>59</v>
      </c>
      <c r="AA9472" t="s">
        <v>59</v>
      </c>
      <c r="AB9472" t="s">
        <v>59</v>
      </c>
      <c r="AC9472" t="s">
        <v>59</v>
      </c>
      <c r="AD9472" t="s">
        <v>59</v>
      </c>
      <c r="AF9472" s="1">
        <v>39328</v>
      </c>
      <c r="AG9472" t="s">
        <v>8651</v>
      </c>
      <c r="AH9472" t="s">
        <v>8652</v>
      </c>
      <c r="AI9472" t="str">
        <f>"9500291"</f>
        <v>9500291</v>
      </c>
      <c r="AJ9472" t="s">
        <v>14365</v>
      </c>
      <c r="AK9472">
        <v>2821081793</v>
      </c>
      <c r="AL9472" t="s">
        <v>14366</v>
      </c>
      <c r="AM9472" t="s">
        <v>88</v>
      </c>
      <c r="AN9472" t="s">
        <v>88</v>
      </c>
      <c r="AO9472" t="s">
        <v>6748</v>
      </c>
      <c r="AP9472" t="s">
        <v>14182</v>
      </c>
      <c r="AQ9472">
        <v>2</v>
      </c>
      <c r="AR9472" t="s">
        <v>89</v>
      </c>
      <c r="AS9472" t="s">
        <v>90</v>
      </c>
      <c r="AT9472" t="s">
        <v>58</v>
      </c>
      <c r="AU9472" t="s">
        <v>68</v>
      </c>
      <c r="AV9472" t="s">
        <v>69</v>
      </c>
      <c r="AW9472" s="1">
        <v>29879</v>
      </c>
      <c r="AX9472">
        <v>1</v>
      </c>
    </row>
    <row r="9473" spans="1:50">
      <c r="A9473">
        <v>620170</v>
      </c>
      <c r="B9473" t="str">
        <f>"110881762"</f>
        <v>110881762</v>
      </c>
      <c r="C9473" t="s">
        <v>50</v>
      </c>
      <c r="D9473" t="s">
        <v>14367</v>
      </c>
      <c r="E9473" t="s">
        <v>314</v>
      </c>
      <c r="F9473" t="s">
        <v>99</v>
      </c>
      <c r="G9473" t="s">
        <v>263</v>
      </c>
      <c r="H9473" t="str">
        <f>"ΠΑΡΟΔΟΣ ΑΝΤ.ΑΡΕΤΑΚΗ 1 ΝΕΑ ΧΩΡΑ"</f>
        <v>ΠΑΡΟΔΟΣ ΑΝΤ.ΑΡΕΤΑΚΗ 1 ΝΕΑ ΧΩΡΑ</v>
      </c>
      <c r="I9473">
        <v>73100</v>
      </c>
      <c r="K9473">
        <v>6972110259</v>
      </c>
      <c r="N9473" t="s">
        <v>306</v>
      </c>
      <c r="O9473" t="s">
        <v>307</v>
      </c>
      <c r="R9473" t="s">
        <v>57</v>
      </c>
      <c r="S9473">
        <v>5</v>
      </c>
      <c r="T9473" t="s">
        <v>14368</v>
      </c>
      <c r="U9473" s="1">
        <v>39693</v>
      </c>
      <c r="V9473" t="s">
        <v>89</v>
      </c>
      <c r="W9473" t="s">
        <v>90</v>
      </c>
      <c r="X9473" t="s">
        <v>58</v>
      </c>
      <c r="Y9473">
        <v>23</v>
      </c>
      <c r="Z9473" t="s">
        <v>59</v>
      </c>
      <c r="AA9473" t="s">
        <v>59</v>
      </c>
      <c r="AB9473" t="s">
        <v>59</v>
      </c>
      <c r="AC9473" t="s">
        <v>59</v>
      </c>
      <c r="AD9473" t="s">
        <v>59</v>
      </c>
      <c r="AF9473" s="1">
        <v>39708</v>
      </c>
      <c r="AG9473" t="s">
        <v>8645</v>
      </c>
      <c r="AH9473" t="s">
        <v>8646</v>
      </c>
      <c r="AI9473" t="str">
        <f>"9500081"</f>
        <v>9500081</v>
      </c>
      <c r="AJ9473" t="s">
        <v>14034</v>
      </c>
      <c r="AK9473">
        <v>2821077150</v>
      </c>
      <c r="AL9473" t="s">
        <v>14035</v>
      </c>
      <c r="AM9473" t="s">
        <v>88</v>
      </c>
      <c r="AN9473" t="s">
        <v>6764</v>
      </c>
      <c r="AO9473" t="s">
        <v>6885</v>
      </c>
      <c r="AP9473" t="s">
        <v>6886</v>
      </c>
      <c r="AQ9473">
        <v>4</v>
      </c>
      <c r="AR9473" t="s">
        <v>89</v>
      </c>
      <c r="AS9473" t="s">
        <v>90</v>
      </c>
      <c r="AT9473" t="s">
        <v>58</v>
      </c>
      <c r="AU9473" t="s">
        <v>68</v>
      </c>
      <c r="AV9473" t="s">
        <v>69</v>
      </c>
      <c r="AW9473" s="1">
        <v>30353</v>
      </c>
      <c r="AX9473">
        <v>1</v>
      </c>
    </row>
    <row r="9474" spans="1:50">
      <c r="B9474" t="str">
        <f>"075823489"</f>
        <v>075823489</v>
      </c>
      <c r="C9474" t="s">
        <v>50</v>
      </c>
      <c r="D9474" t="s">
        <v>1276</v>
      </c>
      <c r="E9474" t="s">
        <v>83</v>
      </c>
      <c r="F9474" t="s">
        <v>1330</v>
      </c>
      <c r="G9474" t="s">
        <v>52</v>
      </c>
      <c r="H9474" t="str">
        <f>"Π. ΠΟΛΥΧΡΟΝΙΔΗ 35 "</f>
        <v xml:space="preserve">Π. ΠΟΛΥΧΡΟΝΙΔΗ 35 </v>
      </c>
      <c r="I9474">
        <v>73132</v>
      </c>
      <c r="J9474">
        <v>2821023486</v>
      </c>
      <c r="K9474">
        <v>6936906261</v>
      </c>
      <c r="N9474" t="s">
        <v>1525</v>
      </c>
      <c r="O9474" t="s">
        <v>1526</v>
      </c>
      <c r="R9474" t="s">
        <v>159</v>
      </c>
      <c r="S9474">
        <v>3</v>
      </c>
      <c r="T9474" t="s">
        <v>8670</v>
      </c>
      <c r="U9474" s="1">
        <v>43348</v>
      </c>
      <c r="V9474" t="s">
        <v>89</v>
      </c>
      <c r="W9474" t="s">
        <v>90</v>
      </c>
      <c r="X9474" t="s">
        <v>58</v>
      </c>
      <c r="Y9474">
        <v>25</v>
      </c>
      <c r="Z9474" t="s">
        <v>59</v>
      </c>
      <c r="AA9474" t="s">
        <v>59</v>
      </c>
      <c r="AB9474" t="s">
        <v>59</v>
      </c>
      <c r="AC9474" t="s">
        <v>59</v>
      </c>
      <c r="AD9474" t="s">
        <v>59</v>
      </c>
      <c r="AF9474" s="1">
        <v>43348</v>
      </c>
      <c r="AG9474" t="s">
        <v>8651</v>
      </c>
      <c r="AH9474" t="s">
        <v>8652</v>
      </c>
      <c r="AI9474" t="str">
        <f>"9500268"</f>
        <v>9500268</v>
      </c>
      <c r="AJ9474" t="s">
        <v>14369</v>
      </c>
      <c r="AK9474">
        <v>2831082298</v>
      </c>
      <c r="AL9474" t="s">
        <v>14370</v>
      </c>
      <c r="AM9474" t="s">
        <v>88</v>
      </c>
      <c r="AN9474" t="s">
        <v>6775</v>
      </c>
      <c r="AO9474" t="s">
        <v>14371</v>
      </c>
      <c r="AP9474" t="s">
        <v>14371</v>
      </c>
      <c r="AQ9474">
        <v>8</v>
      </c>
      <c r="AR9474" t="s">
        <v>89</v>
      </c>
      <c r="AS9474" t="s">
        <v>90</v>
      </c>
      <c r="AT9474" t="s">
        <v>58</v>
      </c>
      <c r="AU9474" t="s">
        <v>8673</v>
      </c>
      <c r="AV9474" t="s">
        <v>132</v>
      </c>
      <c r="AW9474" s="1">
        <v>26868</v>
      </c>
      <c r="AX9474">
        <v>1</v>
      </c>
    </row>
    <row r="9475" spans="1:50">
      <c r="A9475">
        <v>597376</v>
      </c>
      <c r="B9475" t="str">
        <f>"072263650"</f>
        <v>072263650</v>
      </c>
      <c r="C9475" t="s">
        <v>50</v>
      </c>
      <c r="D9475" t="s">
        <v>14372</v>
      </c>
      <c r="E9475" t="s">
        <v>134</v>
      </c>
      <c r="F9475" t="s">
        <v>166</v>
      </c>
      <c r="G9475" t="s">
        <v>52</v>
      </c>
      <c r="H9475" t="str">
        <f>"Γ.ΞΕΠΑΠΑ 34 ΧΑΝΙΑ"</f>
        <v>Γ.ΞΕΠΑΠΑ 34 ΧΑΝΙΑ</v>
      </c>
      <c r="I9475">
        <v>73100</v>
      </c>
      <c r="J9475">
        <v>2821090708</v>
      </c>
      <c r="K9475">
        <v>6974375939</v>
      </c>
      <c r="N9475" t="s">
        <v>176</v>
      </c>
      <c r="O9475" t="s">
        <v>177</v>
      </c>
      <c r="R9475" t="s">
        <v>57</v>
      </c>
      <c r="S9475">
        <v>10</v>
      </c>
      <c r="T9475">
        <v>193</v>
      </c>
      <c r="U9475" s="1">
        <v>37497</v>
      </c>
      <c r="V9475" t="s">
        <v>89</v>
      </c>
      <c r="W9475" t="s">
        <v>90</v>
      </c>
      <c r="X9475" t="s">
        <v>58</v>
      </c>
      <c r="Y9475">
        <v>21</v>
      </c>
      <c r="Z9475" t="s">
        <v>59</v>
      </c>
      <c r="AA9475" t="s">
        <v>59</v>
      </c>
      <c r="AB9475" t="s">
        <v>59</v>
      </c>
      <c r="AC9475" t="s">
        <v>59</v>
      </c>
      <c r="AD9475" t="s">
        <v>59</v>
      </c>
      <c r="AF9475" s="1">
        <v>37497</v>
      </c>
      <c r="AG9475" t="s">
        <v>8645</v>
      </c>
      <c r="AH9475" t="s">
        <v>8646</v>
      </c>
      <c r="AI9475" t="str">
        <f>"9500314"</f>
        <v>9500314</v>
      </c>
      <c r="AJ9475" t="s">
        <v>14116</v>
      </c>
      <c r="AK9475">
        <v>2821097640</v>
      </c>
      <c r="AL9475" t="s">
        <v>14117</v>
      </c>
      <c r="AM9475" t="s">
        <v>88</v>
      </c>
      <c r="AN9475" t="s">
        <v>88</v>
      </c>
      <c r="AO9475" t="s">
        <v>88</v>
      </c>
      <c r="AP9475" t="s">
        <v>88</v>
      </c>
      <c r="AQ9475">
        <v>1</v>
      </c>
      <c r="AR9475" t="s">
        <v>89</v>
      </c>
      <c r="AS9475" t="s">
        <v>90</v>
      </c>
      <c r="AT9475" t="s">
        <v>58</v>
      </c>
      <c r="AU9475" t="s">
        <v>68</v>
      </c>
      <c r="AV9475" t="s">
        <v>69</v>
      </c>
      <c r="AW9475" s="1">
        <v>24026</v>
      </c>
      <c r="AX9475">
        <v>1</v>
      </c>
    </row>
    <row r="9476" spans="1:50">
      <c r="A9476">
        <v>567458</v>
      </c>
      <c r="B9476" t="str">
        <f>"112379546"</f>
        <v>112379546</v>
      </c>
      <c r="C9476" t="s">
        <v>50</v>
      </c>
      <c r="D9476" t="s">
        <v>14373</v>
      </c>
      <c r="E9476" t="s">
        <v>237</v>
      </c>
      <c r="F9476" t="s">
        <v>95</v>
      </c>
      <c r="G9476" t="s">
        <v>2088</v>
      </c>
      <c r="H9476" t="str">
        <f>"ΠΟΣΕΙΔΩΝΟΣ 5 ΧΑΝΙΑ"</f>
        <v>ΠΟΣΕΙΔΩΝΟΣ 5 ΧΑΝΙΑ</v>
      </c>
      <c r="I9476">
        <v>73134</v>
      </c>
      <c r="J9476">
        <v>2821040924</v>
      </c>
      <c r="K9476">
        <v>6945383524</v>
      </c>
      <c r="M9476" t="s">
        <v>14374</v>
      </c>
      <c r="N9476" t="s">
        <v>615</v>
      </c>
      <c r="O9476" t="s">
        <v>616</v>
      </c>
      <c r="R9476" t="s">
        <v>57</v>
      </c>
      <c r="S9476">
        <v>14</v>
      </c>
      <c r="T9476">
        <v>133</v>
      </c>
      <c r="U9476" s="1">
        <v>33456</v>
      </c>
      <c r="V9476" t="s">
        <v>89</v>
      </c>
      <c r="W9476" t="s">
        <v>90</v>
      </c>
      <c r="X9476" t="s">
        <v>58</v>
      </c>
      <c r="Y9476">
        <v>21</v>
      </c>
      <c r="Z9476" t="s">
        <v>59</v>
      </c>
      <c r="AA9476" t="s">
        <v>59</v>
      </c>
      <c r="AB9476" t="s">
        <v>59</v>
      </c>
      <c r="AC9476" t="s">
        <v>59</v>
      </c>
      <c r="AD9476" t="s">
        <v>59</v>
      </c>
      <c r="AF9476" s="1">
        <v>33456</v>
      </c>
      <c r="AG9476" t="s">
        <v>8645</v>
      </c>
      <c r="AH9476" t="s">
        <v>8646</v>
      </c>
      <c r="AI9476" t="str">
        <f>"9500315"</f>
        <v>9500315</v>
      </c>
      <c r="AJ9476" t="s">
        <v>14174</v>
      </c>
      <c r="AK9476">
        <v>2821040565</v>
      </c>
      <c r="AL9476" t="s">
        <v>14175</v>
      </c>
      <c r="AM9476" t="s">
        <v>88</v>
      </c>
      <c r="AN9476" t="s">
        <v>88</v>
      </c>
      <c r="AO9476" t="s">
        <v>88</v>
      </c>
      <c r="AP9476" t="s">
        <v>88</v>
      </c>
      <c r="AQ9476">
        <v>1</v>
      </c>
      <c r="AR9476" t="s">
        <v>89</v>
      </c>
      <c r="AS9476" t="s">
        <v>90</v>
      </c>
      <c r="AT9476" t="s">
        <v>58</v>
      </c>
      <c r="AU9476" t="s">
        <v>68</v>
      </c>
      <c r="AV9476" t="s">
        <v>69</v>
      </c>
      <c r="AW9476" s="1">
        <v>24131</v>
      </c>
      <c r="AX9476">
        <v>1</v>
      </c>
    </row>
    <row r="9477" spans="1:50">
      <c r="A9477">
        <v>589366</v>
      </c>
      <c r="B9477" t="str">
        <f>"059439744"</f>
        <v>059439744</v>
      </c>
      <c r="C9477" t="s">
        <v>105</v>
      </c>
      <c r="D9477" t="s">
        <v>14375</v>
      </c>
      <c r="E9477" t="s">
        <v>53</v>
      </c>
      <c r="F9477" t="s">
        <v>95</v>
      </c>
      <c r="G9477" t="s">
        <v>215</v>
      </c>
      <c r="H9477" t="str">
        <f>"Γ.ΚΑΜΠΟΥΡΗ 8Α ΧΑΛΕΠΑ ΧΑΝΙΑ"</f>
        <v>Γ.ΚΑΜΠΟΥΡΗ 8Α ΧΑΛΕΠΑ ΧΑΝΙΑ</v>
      </c>
      <c r="I9477">
        <v>73100</v>
      </c>
      <c r="J9477">
        <v>2821040284</v>
      </c>
      <c r="K9477">
        <v>6974455038</v>
      </c>
      <c r="N9477" t="s">
        <v>615</v>
      </c>
      <c r="O9477" t="s">
        <v>616</v>
      </c>
      <c r="R9477" t="s">
        <v>57</v>
      </c>
      <c r="S9477">
        <v>10</v>
      </c>
      <c r="T9477">
        <v>176</v>
      </c>
      <c r="U9477" s="1">
        <v>36403</v>
      </c>
      <c r="V9477" t="s">
        <v>89</v>
      </c>
      <c r="W9477" t="s">
        <v>90</v>
      </c>
      <c r="X9477" t="s">
        <v>58</v>
      </c>
      <c r="Y9477">
        <v>21</v>
      </c>
      <c r="Z9477" t="s">
        <v>59</v>
      </c>
      <c r="AA9477" t="s">
        <v>59</v>
      </c>
      <c r="AB9477" t="s">
        <v>59</v>
      </c>
      <c r="AC9477" t="s">
        <v>59</v>
      </c>
      <c r="AD9477" t="s">
        <v>59</v>
      </c>
      <c r="AF9477" s="1">
        <v>36404</v>
      </c>
      <c r="AG9477" t="s">
        <v>8645</v>
      </c>
      <c r="AH9477" t="s">
        <v>8646</v>
      </c>
      <c r="AI9477" t="str">
        <f>"9500236"</f>
        <v>9500236</v>
      </c>
      <c r="AJ9477" t="s">
        <v>14106</v>
      </c>
      <c r="AK9477">
        <v>2824022347</v>
      </c>
      <c r="AL9477" t="s">
        <v>14107</v>
      </c>
      <c r="AM9477" t="s">
        <v>88</v>
      </c>
      <c r="AN9477" t="s">
        <v>6764</v>
      </c>
      <c r="AO9477" t="s">
        <v>6765</v>
      </c>
      <c r="AP9477" t="s">
        <v>13952</v>
      </c>
      <c r="AQ9477">
        <v>6</v>
      </c>
      <c r="AR9477" t="s">
        <v>89</v>
      </c>
      <c r="AS9477" t="s">
        <v>90</v>
      </c>
      <c r="AT9477" t="s">
        <v>58</v>
      </c>
      <c r="AU9477" t="s">
        <v>68</v>
      </c>
      <c r="AV9477" t="s">
        <v>69</v>
      </c>
      <c r="AW9477" s="1">
        <v>25333</v>
      </c>
      <c r="AX9477">
        <v>1</v>
      </c>
    </row>
    <row r="9478" spans="1:50">
      <c r="A9478">
        <v>208055</v>
      </c>
      <c r="B9478" t="str">
        <f>"061166683"</f>
        <v>061166683</v>
      </c>
      <c r="C9478" t="s">
        <v>50</v>
      </c>
      <c r="D9478" t="s">
        <v>1287</v>
      </c>
      <c r="E9478" t="s">
        <v>326</v>
      </c>
      <c r="F9478" t="s">
        <v>1023</v>
      </c>
      <c r="G9478" t="s">
        <v>1114</v>
      </c>
      <c r="H9478" t="str">
        <f>" "</f>
        <v xml:space="preserve"> </v>
      </c>
      <c r="J9478">
        <v>2825041386</v>
      </c>
      <c r="K9478">
        <v>6946710927</v>
      </c>
      <c r="N9478" t="s">
        <v>176</v>
      </c>
      <c r="O9478" t="s">
        <v>177</v>
      </c>
      <c r="R9478" t="s">
        <v>57</v>
      </c>
      <c r="S9478">
        <v>8</v>
      </c>
      <c r="T9478">
        <v>218</v>
      </c>
      <c r="U9478" s="1">
        <v>38596</v>
      </c>
      <c r="V9478" t="s">
        <v>89</v>
      </c>
      <c r="W9478" t="s">
        <v>90</v>
      </c>
      <c r="X9478" t="s">
        <v>58</v>
      </c>
      <c r="Y9478">
        <v>22</v>
      </c>
      <c r="Z9478" t="s">
        <v>59</v>
      </c>
      <c r="AA9478" t="s">
        <v>59</v>
      </c>
      <c r="AB9478" t="s">
        <v>59</v>
      </c>
      <c r="AC9478" t="s">
        <v>59</v>
      </c>
      <c r="AD9478" t="s">
        <v>59</v>
      </c>
      <c r="AF9478" s="1">
        <v>38602</v>
      </c>
      <c r="AG9478" t="s">
        <v>8645</v>
      </c>
      <c r="AH9478" t="s">
        <v>8646</v>
      </c>
      <c r="AI9478" t="str">
        <f>"9500017"</f>
        <v>9500017</v>
      </c>
      <c r="AJ9478" t="s">
        <v>13873</v>
      </c>
      <c r="AK9478">
        <v>2825083173</v>
      </c>
      <c r="AL9478" t="s">
        <v>13874</v>
      </c>
      <c r="AM9478" t="s">
        <v>88</v>
      </c>
      <c r="AN9478" t="s">
        <v>6775</v>
      </c>
      <c r="AO9478" t="s">
        <v>11883</v>
      </c>
      <c r="AP9478" t="s">
        <v>13875</v>
      </c>
      <c r="AQ9478">
        <v>7</v>
      </c>
      <c r="AR9478" t="s">
        <v>89</v>
      </c>
      <c r="AS9478" t="s">
        <v>90</v>
      </c>
      <c r="AT9478" t="s">
        <v>58</v>
      </c>
      <c r="AU9478" t="s">
        <v>68</v>
      </c>
      <c r="AV9478" t="s">
        <v>69</v>
      </c>
      <c r="AW9478" s="1">
        <v>26620</v>
      </c>
      <c r="AX9478">
        <v>1</v>
      </c>
    </row>
    <row r="9479" spans="1:50">
      <c r="A9479">
        <v>621044</v>
      </c>
      <c r="B9479" t="str">
        <f>"132241641"</f>
        <v>132241641</v>
      </c>
      <c r="C9479" t="s">
        <v>50</v>
      </c>
      <c r="D9479" t="s">
        <v>1287</v>
      </c>
      <c r="E9479" t="s">
        <v>191</v>
      </c>
      <c r="F9479" t="s">
        <v>72</v>
      </c>
      <c r="G9479" t="s">
        <v>93</v>
      </c>
      <c r="H9479" t="str">
        <f>"ΑΘΑΝΑΣΙΟΥ ΔΙΑΚΟΥ 14 ΔΕΜΕΝΙΚΑ ΠΑΤΡΑ"</f>
        <v>ΑΘΑΝΑΣΙΟΥ ΔΙΑΚΟΥ 14 ΔΕΜΕΝΙΚΑ ΠΑΤΡΑ</v>
      </c>
      <c r="I9479">
        <v>26500</v>
      </c>
      <c r="J9479">
        <v>2610521624</v>
      </c>
      <c r="K9479">
        <v>6937159350</v>
      </c>
      <c r="N9479" t="s">
        <v>615</v>
      </c>
      <c r="O9479" t="s">
        <v>616</v>
      </c>
      <c r="R9479" t="s">
        <v>57</v>
      </c>
      <c r="S9479">
        <v>5</v>
      </c>
      <c r="T9479">
        <v>653</v>
      </c>
      <c r="U9479" s="1">
        <v>40043</v>
      </c>
      <c r="V9479" t="s">
        <v>89</v>
      </c>
      <c r="W9479" t="s">
        <v>90</v>
      </c>
      <c r="X9479" t="s">
        <v>58</v>
      </c>
      <c r="Y9479">
        <v>25</v>
      </c>
      <c r="Z9479" t="s">
        <v>59</v>
      </c>
      <c r="AA9479" t="s">
        <v>59</v>
      </c>
      <c r="AB9479" t="s">
        <v>59</v>
      </c>
      <c r="AC9479" t="s">
        <v>59</v>
      </c>
      <c r="AD9479" t="s">
        <v>59</v>
      </c>
      <c r="AF9479" s="1">
        <v>40043</v>
      </c>
      <c r="AG9479" t="s">
        <v>8645</v>
      </c>
      <c r="AH9479" t="s">
        <v>8676</v>
      </c>
      <c r="AI9479" t="str">
        <f>"9500411"</f>
        <v>9500411</v>
      </c>
      <c r="AJ9479" t="s">
        <v>14376</v>
      </c>
      <c r="AK9479">
        <v>2821077364</v>
      </c>
      <c r="AL9479" t="s">
        <v>14377</v>
      </c>
      <c r="AM9479" t="s">
        <v>88</v>
      </c>
      <c r="AN9479" t="s">
        <v>6764</v>
      </c>
      <c r="AO9479" t="s">
        <v>6885</v>
      </c>
      <c r="AP9479" t="s">
        <v>13879</v>
      </c>
      <c r="AQ9479">
        <v>4</v>
      </c>
      <c r="AR9479" t="s">
        <v>89</v>
      </c>
      <c r="AS9479" t="s">
        <v>90</v>
      </c>
      <c r="AT9479" t="s">
        <v>58</v>
      </c>
      <c r="AU9479" t="s">
        <v>68</v>
      </c>
      <c r="AV9479" t="s">
        <v>69</v>
      </c>
      <c r="AW9479" s="1">
        <v>31146</v>
      </c>
      <c r="AX9479">
        <v>1</v>
      </c>
    </row>
    <row r="9480" spans="1:50">
      <c r="A9480">
        <v>609481</v>
      </c>
      <c r="B9480" t="str">
        <f>"061996710"</f>
        <v>061996710</v>
      </c>
      <c r="C9480" t="s">
        <v>50</v>
      </c>
      <c r="D9480" t="s">
        <v>1290</v>
      </c>
      <c r="E9480" t="s">
        <v>5201</v>
      </c>
      <c r="F9480" t="s">
        <v>99</v>
      </c>
      <c r="G9480" t="s">
        <v>155</v>
      </c>
      <c r="H9480" t="str">
        <f>"ΕΙΡΗΝΗΣ 15 ΚΑΛΑΜΑΚΙ"</f>
        <v>ΕΙΡΗΝΗΣ 15 ΚΑΛΑΜΑΚΙ</v>
      </c>
      <c r="I9480">
        <v>73100</v>
      </c>
      <c r="J9480">
        <v>2286023995</v>
      </c>
      <c r="K9480">
        <v>6934722653</v>
      </c>
      <c r="N9480" t="s">
        <v>176</v>
      </c>
      <c r="O9480" t="s">
        <v>177</v>
      </c>
      <c r="R9480" t="s">
        <v>57</v>
      </c>
      <c r="S9480">
        <v>8</v>
      </c>
      <c r="T9480">
        <v>218</v>
      </c>
      <c r="U9480" s="1">
        <v>38596</v>
      </c>
      <c r="V9480" t="s">
        <v>89</v>
      </c>
      <c r="W9480" t="s">
        <v>90</v>
      </c>
      <c r="X9480" t="s">
        <v>58</v>
      </c>
      <c r="Y9480">
        <v>22</v>
      </c>
      <c r="Z9480" t="s">
        <v>59</v>
      </c>
      <c r="AA9480" t="s">
        <v>59</v>
      </c>
      <c r="AB9480" t="s">
        <v>59</v>
      </c>
      <c r="AC9480" t="s">
        <v>59</v>
      </c>
      <c r="AD9480" t="s">
        <v>59</v>
      </c>
      <c r="AF9480" s="1">
        <v>38596</v>
      </c>
      <c r="AG9480" t="s">
        <v>8645</v>
      </c>
      <c r="AH9480" t="s">
        <v>8646</v>
      </c>
      <c r="AI9480" t="str">
        <f>"9500403"</f>
        <v>9500403</v>
      </c>
      <c r="AJ9480" t="s">
        <v>14230</v>
      </c>
      <c r="AK9480">
        <v>2821034094</v>
      </c>
      <c r="AL9480" t="s">
        <v>14231</v>
      </c>
      <c r="AM9480" t="s">
        <v>88</v>
      </c>
      <c r="AN9480" t="s">
        <v>88</v>
      </c>
      <c r="AO9480" t="s">
        <v>6785</v>
      </c>
      <c r="AP9480" t="s">
        <v>13932</v>
      </c>
      <c r="AQ9480">
        <v>3</v>
      </c>
      <c r="AR9480" t="s">
        <v>89</v>
      </c>
      <c r="AS9480" t="s">
        <v>90</v>
      </c>
      <c r="AT9480" t="s">
        <v>58</v>
      </c>
      <c r="AU9480" t="s">
        <v>68</v>
      </c>
      <c r="AV9480" t="s">
        <v>69</v>
      </c>
      <c r="AW9480" s="1">
        <v>25043</v>
      </c>
      <c r="AX9480">
        <v>1</v>
      </c>
    </row>
    <row r="9481" spans="1:50">
      <c r="A9481">
        <v>608900</v>
      </c>
      <c r="B9481" t="str">
        <f>"067333962"</f>
        <v>067333962</v>
      </c>
      <c r="C9481" t="s">
        <v>50</v>
      </c>
      <c r="D9481" t="s">
        <v>1290</v>
      </c>
      <c r="E9481" t="s">
        <v>372</v>
      </c>
      <c r="F9481" t="s">
        <v>9387</v>
      </c>
      <c r="G9481" t="s">
        <v>4737</v>
      </c>
      <c r="H9481" t="str">
        <f>"ΚΑΜΠΗ ΑΡΤΑΣ ΦΙΛΙΠΠΙΑΔΑ"</f>
        <v>ΚΑΜΠΗ ΑΡΤΑΣ ΦΙΛΙΠΠΙΑΔΑ</v>
      </c>
      <c r="I9481">
        <v>48200</v>
      </c>
      <c r="J9481">
        <v>2683023569</v>
      </c>
      <c r="K9481">
        <v>6972428972</v>
      </c>
      <c r="N9481" t="s">
        <v>1525</v>
      </c>
      <c r="O9481" t="s">
        <v>1526</v>
      </c>
      <c r="R9481" t="s">
        <v>57</v>
      </c>
      <c r="S9481">
        <v>6</v>
      </c>
      <c r="T9481">
        <v>217</v>
      </c>
      <c r="U9481" s="1">
        <v>38596</v>
      </c>
      <c r="V9481" t="s">
        <v>89</v>
      </c>
      <c r="W9481" t="s">
        <v>90</v>
      </c>
      <c r="X9481" t="s">
        <v>58</v>
      </c>
      <c r="Y9481">
        <v>25</v>
      </c>
      <c r="Z9481" t="s">
        <v>59</v>
      </c>
      <c r="AA9481" t="s">
        <v>59</v>
      </c>
      <c r="AB9481" t="s">
        <v>59</v>
      </c>
      <c r="AC9481" t="s">
        <v>59</v>
      </c>
      <c r="AD9481" t="s">
        <v>59</v>
      </c>
      <c r="AF9481" s="1">
        <v>38601</v>
      </c>
      <c r="AG9481" t="s">
        <v>8651</v>
      </c>
      <c r="AH9481" t="s">
        <v>8652</v>
      </c>
      <c r="AI9481" t="str">
        <f>"9500136"</f>
        <v>9500136</v>
      </c>
      <c r="AJ9481" t="s">
        <v>14189</v>
      </c>
      <c r="AK9481">
        <v>2821092159</v>
      </c>
      <c r="AL9481" t="s">
        <v>14190</v>
      </c>
      <c r="AM9481" t="s">
        <v>88</v>
      </c>
      <c r="AN9481" t="s">
        <v>88</v>
      </c>
      <c r="AO9481" t="s">
        <v>88</v>
      </c>
      <c r="AP9481" t="s">
        <v>88</v>
      </c>
      <c r="AQ9481">
        <v>1</v>
      </c>
      <c r="AR9481" t="s">
        <v>89</v>
      </c>
      <c r="AS9481" t="s">
        <v>90</v>
      </c>
      <c r="AT9481" t="s">
        <v>58</v>
      </c>
      <c r="AU9481" t="s">
        <v>68</v>
      </c>
      <c r="AV9481" t="s">
        <v>69</v>
      </c>
      <c r="AW9481" s="1">
        <v>27458</v>
      </c>
      <c r="AX9481">
        <v>1</v>
      </c>
    </row>
    <row r="9482" spans="1:50">
      <c r="A9482">
        <v>576141</v>
      </c>
      <c r="B9482" t="str">
        <f>"034362897"</f>
        <v>034362897</v>
      </c>
      <c r="C9482" t="s">
        <v>50</v>
      </c>
      <c r="D9482" t="s">
        <v>1292</v>
      </c>
      <c r="E9482" t="s">
        <v>83</v>
      </c>
      <c r="F9482" t="s">
        <v>53</v>
      </c>
      <c r="G9482" t="s">
        <v>52</v>
      </c>
      <c r="H9482" t="str">
        <f>"ΠΑΛΑΙΟΧΩΡΑ ΧΑΝΙΩΝ ΠΑΛΑΙΟΧΩΡΑ"</f>
        <v>ΠΑΛΑΙΟΧΩΡΑ ΧΑΝΙΩΝ ΠΑΛΑΙΟΧΩΡΑ</v>
      </c>
      <c r="I9482">
        <v>73001</v>
      </c>
      <c r="J9482">
        <v>2823041353</v>
      </c>
      <c r="N9482" t="s">
        <v>1525</v>
      </c>
      <c r="O9482" t="s">
        <v>1526</v>
      </c>
      <c r="R9482" t="s">
        <v>57</v>
      </c>
      <c r="S9482">
        <v>15</v>
      </c>
      <c r="T9482">
        <v>184</v>
      </c>
      <c r="U9482" s="1">
        <v>34941</v>
      </c>
      <c r="V9482" t="s">
        <v>89</v>
      </c>
      <c r="W9482" t="s">
        <v>90</v>
      </c>
      <c r="X9482" t="s">
        <v>58</v>
      </c>
      <c r="Y9482">
        <v>25</v>
      </c>
      <c r="Z9482" t="s">
        <v>59</v>
      </c>
      <c r="AA9482" t="s">
        <v>59</v>
      </c>
      <c r="AB9482" t="s">
        <v>59</v>
      </c>
      <c r="AC9482" t="s">
        <v>59</v>
      </c>
      <c r="AD9482" t="s">
        <v>59</v>
      </c>
      <c r="AF9482" s="1">
        <v>34946</v>
      </c>
      <c r="AG9482" t="s">
        <v>8651</v>
      </c>
      <c r="AH9482" t="s">
        <v>8652</v>
      </c>
      <c r="AI9482" t="str">
        <f>"9500176"</f>
        <v>9500176</v>
      </c>
      <c r="AJ9482" t="s">
        <v>14301</v>
      </c>
      <c r="AK9482">
        <v>2823041288</v>
      </c>
      <c r="AL9482" t="s">
        <v>14302</v>
      </c>
      <c r="AM9482" t="s">
        <v>88</v>
      </c>
      <c r="AN9482" t="s">
        <v>6824</v>
      </c>
      <c r="AO9482" t="s">
        <v>6870</v>
      </c>
      <c r="AP9482" t="s">
        <v>6871</v>
      </c>
      <c r="AQ9482">
        <v>11</v>
      </c>
      <c r="AR9482" t="s">
        <v>89</v>
      </c>
      <c r="AS9482" t="s">
        <v>90</v>
      </c>
      <c r="AT9482" t="s">
        <v>58</v>
      </c>
      <c r="AU9482" t="s">
        <v>68</v>
      </c>
      <c r="AV9482" t="s">
        <v>69</v>
      </c>
      <c r="AW9482" s="1">
        <v>24197</v>
      </c>
      <c r="AX9482">
        <v>1</v>
      </c>
    </row>
    <row r="9483" spans="1:50">
      <c r="B9483" t="str">
        <f>"150103135"</f>
        <v>150103135</v>
      </c>
      <c r="C9483" t="s">
        <v>50</v>
      </c>
      <c r="D9483" t="s">
        <v>1300</v>
      </c>
      <c r="E9483" t="s">
        <v>460</v>
      </c>
      <c r="F9483" t="s">
        <v>72</v>
      </c>
      <c r="G9483" t="s">
        <v>372</v>
      </c>
      <c r="H9483" t="str">
        <f>" "</f>
        <v xml:space="preserve"> </v>
      </c>
      <c r="J9483">
        <v>2310666802</v>
      </c>
      <c r="K9483">
        <v>6936633098</v>
      </c>
      <c r="N9483" t="s">
        <v>615</v>
      </c>
      <c r="O9483" t="s">
        <v>616</v>
      </c>
      <c r="R9483" t="s">
        <v>121</v>
      </c>
      <c r="S9483">
        <v>1</v>
      </c>
      <c r="T9483" t="s">
        <v>9034</v>
      </c>
      <c r="U9483" s="1">
        <v>43377</v>
      </c>
      <c r="V9483" t="s">
        <v>89</v>
      </c>
      <c r="W9483" t="s">
        <v>90</v>
      </c>
      <c r="X9483" t="s">
        <v>58</v>
      </c>
      <c r="Y9483">
        <v>24</v>
      </c>
      <c r="Z9483" t="s">
        <v>59</v>
      </c>
      <c r="AA9483" t="s">
        <v>59</v>
      </c>
      <c r="AB9483" t="s">
        <v>59</v>
      </c>
      <c r="AD9483" t="s">
        <v>59</v>
      </c>
      <c r="AF9483" s="1">
        <v>43377</v>
      </c>
      <c r="AG9483" t="s">
        <v>8645</v>
      </c>
      <c r="AH9483" t="s">
        <v>8646</v>
      </c>
      <c r="AI9483" t="str">
        <f>"9500218"</f>
        <v>9500218</v>
      </c>
      <c r="AJ9483" t="s">
        <v>13992</v>
      </c>
      <c r="AK9483">
        <v>2824022216</v>
      </c>
      <c r="AL9483" t="s">
        <v>13993</v>
      </c>
      <c r="AM9483" t="s">
        <v>88</v>
      </c>
      <c r="AN9483" t="s">
        <v>6764</v>
      </c>
      <c r="AO9483" t="s">
        <v>6799</v>
      </c>
      <c r="AP9483" t="s">
        <v>6799</v>
      </c>
      <c r="AQ9483">
        <v>6</v>
      </c>
      <c r="AR9483" t="s">
        <v>89</v>
      </c>
      <c r="AS9483" t="s">
        <v>90</v>
      </c>
      <c r="AT9483" t="s">
        <v>58</v>
      </c>
      <c r="AU9483" t="s">
        <v>8673</v>
      </c>
      <c r="AV9483" t="s">
        <v>132</v>
      </c>
      <c r="AW9483" s="1">
        <v>32906</v>
      </c>
      <c r="AX9483">
        <v>1</v>
      </c>
    </row>
    <row r="9484" spans="1:50">
      <c r="A9484">
        <v>622577</v>
      </c>
      <c r="B9484" t="str">
        <f>"063195951"</f>
        <v>063195951</v>
      </c>
      <c r="C9484" t="s">
        <v>50</v>
      </c>
      <c r="D9484" t="s">
        <v>14378</v>
      </c>
      <c r="E9484" t="s">
        <v>83</v>
      </c>
      <c r="F9484" t="s">
        <v>72</v>
      </c>
      <c r="G9484" t="s">
        <v>1189</v>
      </c>
      <c r="H9484" t="str">
        <f>"3η παρ.  Καζατζάκη 4  ΧΑΝΙΑ"</f>
        <v>3η παρ.  Καζατζάκη 4  ΧΑΝΙΑ</v>
      </c>
      <c r="I9484">
        <v>73100</v>
      </c>
      <c r="J9484">
        <v>2821099058</v>
      </c>
      <c r="K9484">
        <v>6946773010</v>
      </c>
      <c r="N9484" t="s">
        <v>1525</v>
      </c>
      <c r="O9484" t="s">
        <v>1526</v>
      </c>
      <c r="R9484" t="s">
        <v>57</v>
      </c>
      <c r="S9484">
        <v>4</v>
      </c>
      <c r="T9484">
        <v>653</v>
      </c>
      <c r="U9484" s="1">
        <v>40043</v>
      </c>
      <c r="V9484" t="s">
        <v>89</v>
      </c>
      <c r="W9484" t="s">
        <v>90</v>
      </c>
      <c r="X9484" t="s">
        <v>58</v>
      </c>
      <c r="Y9484">
        <v>25</v>
      </c>
      <c r="Z9484" t="s">
        <v>59</v>
      </c>
      <c r="AA9484" t="s">
        <v>59</v>
      </c>
      <c r="AB9484" t="s">
        <v>59</v>
      </c>
      <c r="AC9484" t="s">
        <v>59</v>
      </c>
      <c r="AD9484" t="s">
        <v>59</v>
      </c>
      <c r="AF9484" s="1">
        <v>40044</v>
      </c>
      <c r="AG9484" t="s">
        <v>8651</v>
      </c>
      <c r="AH9484" t="s">
        <v>8652</v>
      </c>
      <c r="AI9484" t="str">
        <f>"9500375"</f>
        <v>9500375</v>
      </c>
      <c r="AJ9484" t="s">
        <v>14379</v>
      </c>
      <c r="AK9484">
        <v>2821068911</v>
      </c>
      <c r="AL9484" t="s">
        <v>14380</v>
      </c>
      <c r="AM9484" t="s">
        <v>88</v>
      </c>
      <c r="AN9484" t="s">
        <v>88</v>
      </c>
      <c r="AO9484" t="s">
        <v>6785</v>
      </c>
      <c r="AP9484" t="s">
        <v>14381</v>
      </c>
      <c r="AQ9484">
        <v>3</v>
      </c>
      <c r="AR9484" t="s">
        <v>89</v>
      </c>
      <c r="AS9484" t="s">
        <v>90</v>
      </c>
      <c r="AT9484" t="s">
        <v>58</v>
      </c>
      <c r="AU9484" t="s">
        <v>68</v>
      </c>
      <c r="AV9484" t="s">
        <v>69</v>
      </c>
      <c r="AW9484" s="1">
        <v>31633</v>
      </c>
      <c r="AX9484">
        <v>1</v>
      </c>
    </row>
    <row r="9485" spans="1:50">
      <c r="A9485">
        <v>608632</v>
      </c>
      <c r="B9485" t="str">
        <f>"101249863"</f>
        <v>101249863</v>
      </c>
      <c r="C9485" t="s">
        <v>50</v>
      </c>
      <c r="D9485" t="s">
        <v>14382</v>
      </c>
      <c r="E9485" t="s">
        <v>476</v>
      </c>
      <c r="F9485" t="s">
        <v>53</v>
      </c>
      <c r="G9485" t="s">
        <v>809</v>
      </c>
      <c r="H9485" t="str">
        <f>"ΠΑΣΧΙΔΗ 2 "</f>
        <v xml:space="preserve">ΠΑΣΧΙΔΗ 2 </v>
      </c>
      <c r="K9485">
        <v>6947840810</v>
      </c>
      <c r="N9485" t="s">
        <v>1525</v>
      </c>
      <c r="O9485" t="s">
        <v>1526</v>
      </c>
      <c r="R9485" t="s">
        <v>57</v>
      </c>
      <c r="S9485">
        <v>6</v>
      </c>
      <c r="T9485">
        <v>217</v>
      </c>
      <c r="U9485" s="1">
        <v>38596</v>
      </c>
      <c r="V9485" t="s">
        <v>89</v>
      </c>
      <c r="W9485" t="s">
        <v>90</v>
      </c>
      <c r="X9485" t="s">
        <v>58</v>
      </c>
      <c r="Y9485">
        <v>25</v>
      </c>
      <c r="Z9485" t="s">
        <v>59</v>
      </c>
      <c r="AA9485" t="s">
        <v>59</v>
      </c>
      <c r="AB9485" t="s">
        <v>59</v>
      </c>
      <c r="AC9485" t="s">
        <v>59</v>
      </c>
      <c r="AD9485" t="s">
        <v>59</v>
      </c>
      <c r="AF9485" s="1">
        <v>38602</v>
      </c>
      <c r="AG9485" t="s">
        <v>8651</v>
      </c>
      <c r="AH9485" t="s">
        <v>8652</v>
      </c>
      <c r="AI9485" t="str">
        <f>"9500400"</f>
        <v>9500400</v>
      </c>
      <c r="AJ9485" t="s">
        <v>14383</v>
      </c>
      <c r="AK9485">
        <v>2821090544</v>
      </c>
      <c r="AL9485" t="s">
        <v>14384</v>
      </c>
      <c r="AM9485" t="s">
        <v>88</v>
      </c>
      <c r="AN9485" t="s">
        <v>88</v>
      </c>
      <c r="AO9485" t="s">
        <v>88</v>
      </c>
      <c r="AP9485" t="s">
        <v>88</v>
      </c>
      <c r="AQ9485">
        <v>2</v>
      </c>
      <c r="AR9485" t="s">
        <v>89</v>
      </c>
      <c r="AS9485" t="s">
        <v>90</v>
      </c>
      <c r="AT9485" t="s">
        <v>58</v>
      </c>
      <c r="AU9485" t="s">
        <v>68</v>
      </c>
      <c r="AV9485" t="s">
        <v>69</v>
      </c>
      <c r="AW9485" s="1">
        <v>27975</v>
      </c>
      <c r="AX9485">
        <v>1</v>
      </c>
    </row>
    <row r="9486" spans="1:50">
      <c r="A9486">
        <v>621551</v>
      </c>
      <c r="B9486" t="str">
        <f>"119993856"</f>
        <v>119993856</v>
      </c>
      <c r="C9486" t="s">
        <v>50</v>
      </c>
      <c r="D9486" t="s">
        <v>14385</v>
      </c>
      <c r="E9486" t="s">
        <v>396</v>
      </c>
      <c r="F9486" t="s">
        <v>72</v>
      </c>
      <c r="G9486" t="s">
        <v>8707</v>
      </c>
      <c r="H9486" t="str">
        <f>"ΣΜΥΡΝΗΣ 20  ΜΕΣΣΗΝΙΑ"</f>
        <v>ΣΜΥΡΝΗΣ 20  ΜΕΣΣΗΝΙΑ</v>
      </c>
      <c r="I9486">
        <v>24100</v>
      </c>
      <c r="J9486">
        <v>2721091429</v>
      </c>
      <c r="K9486">
        <v>6947210659</v>
      </c>
      <c r="N9486" t="s">
        <v>615</v>
      </c>
      <c r="O9486" t="s">
        <v>616</v>
      </c>
      <c r="R9486" t="s">
        <v>57</v>
      </c>
      <c r="S9486">
        <v>5</v>
      </c>
      <c r="T9486">
        <v>653</v>
      </c>
      <c r="U9486" s="1">
        <v>40043</v>
      </c>
      <c r="V9486" t="s">
        <v>89</v>
      </c>
      <c r="W9486" t="s">
        <v>90</v>
      </c>
      <c r="X9486" t="s">
        <v>58</v>
      </c>
      <c r="Y9486">
        <v>23</v>
      </c>
      <c r="Z9486" t="s">
        <v>59</v>
      </c>
      <c r="AA9486" t="s">
        <v>59</v>
      </c>
      <c r="AB9486" t="s">
        <v>59</v>
      </c>
      <c r="AC9486" t="s">
        <v>59</v>
      </c>
      <c r="AD9486" t="s">
        <v>59</v>
      </c>
      <c r="AF9486" s="1">
        <v>40045</v>
      </c>
      <c r="AG9486" t="s">
        <v>8645</v>
      </c>
      <c r="AH9486" t="s">
        <v>8646</v>
      </c>
      <c r="AI9486" t="str">
        <f>"9500338"</f>
        <v>9500338</v>
      </c>
      <c r="AJ9486" t="s">
        <v>13959</v>
      </c>
      <c r="AK9486">
        <v>2821040556</v>
      </c>
      <c r="AL9486" t="s">
        <v>13960</v>
      </c>
      <c r="AM9486" t="s">
        <v>88</v>
      </c>
      <c r="AN9486" t="s">
        <v>88</v>
      </c>
      <c r="AO9486" t="s">
        <v>88</v>
      </c>
      <c r="AP9486" t="s">
        <v>88</v>
      </c>
      <c r="AQ9486">
        <v>1</v>
      </c>
      <c r="AR9486" t="s">
        <v>89</v>
      </c>
      <c r="AS9486" t="s">
        <v>90</v>
      </c>
      <c r="AT9486" t="s">
        <v>58</v>
      </c>
      <c r="AU9486" t="s">
        <v>68</v>
      </c>
      <c r="AV9486" t="s">
        <v>69</v>
      </c>
      <c r="AW9486" s="1">
        <v>29089</v>
      </c>
      <c r="AX9486">
        <v>1</v>
      </c>
    </row>
    <row r="9487" spans="1:50">
      <c r="B9487" t="str">
        <f>"133672727"</f>
        <v>133672727</v>
      </c>
      <c r="C9487" t="s">
        <v>50</v>
      </c>
      <c r="D9487" t="s">
        <v>14386</v>
      </c>
      <c r="E9487" t="s">
        <v>922</v>
      </c>
      <c r="F9487" t="s">
        <v>95</v>
      </c>
      <c r="G9487" t="s">
        <v>52</v>
      </c>
      <c r="H9487" t="str">
        <f>"ΠΑΛΑΙΟΚΑΤΟΥΝΑΣ "</f>
        <v xml:space="preserve">ΠΑΛΑΙΟΚΑΤΟΥΝΑΣ </v>
      </c>
      <c r="I9487">
        <v>36072</v>
      </c>
      <c r="J9487">
        <v>2237095896</v>
      </c>
      <c r="K9487">
        <v>6979230023</v>
      </c>
      <c r="N9487" t="s">
        <v>1525</v>
      </c>
      <c r="O9487" t="s">
        <v>1526</v>
      </c>
      <c r="R9487" t="s">
        <v>159</v>
      </c>
      <c r="S9487">
        <v>3</v>
      </c>
      <c r="T9487" t="s">
        <v>8670</v>
      </c>
      <c r="U9487" s="1">
        <v>43348</v>
      </c>
      <c r="V9487" t="s">
        <v>89</v>
      </c>
      <c r="W9487" t="s">
        <v>90</v>
      </c>
      <c r="X9487" t="s">
        <v>58</v>
      </c>
      <c r="Y9487">
        <v>25</v>
      </c>
      <c r="Z9487" t="s">
        <v>59</v>
      </c>
      <c r="AA9487" t="s">
        <v>59</v>
      </c>
      <c r="AB9487" t="s">
        <v>59</v>
      </c>
      <c r="AC9487" t="s">
        <v>59</v>
      </c>
      <c r="AD9487" t="s">
        <v>59</v>
      </c>
      <c r="AF9487" s="1">
        <v>43348</v>
      </c>
      <c r="AG9487" t="s">
        <v>8651</v>
      </c>
      <c r="AH9487" t="s">
        <v>8652</v>
      </c>
      <c r="AI9487" t="str">
        <f>"9500332"</f>
        <v>9500332</v>
      </c>
      <c r="AJ9487" t="s">
        <v>14387</v>
      </c>
      <c r="AK9487">
        <v>2823042440</v>
      </c>
      <c r="AL9487" t="s">
        <v>14388</v>
      </c>
      <c r="AM9487" t="s">
        <v>88</v>
      </c>
      <c r="AN9487" t="s">
        <v>6824</v>
      </c>
      <c r="AO9487" t="s">
        <v>6870</v>
      </c>
      <c r="AP9487" t="s">
        <v>14019</v>
      </c>
      <c r="AQ9487">
        <v>11</v>
      </c>
      <c r="AR9487" t="s">
        <v>89</v>
      </c>
      <c r="AS9487" t="s">
        <v>90</v>
      </c>
      <c r="AT9487" t="s">
        <v>58</v>
      </c>
      <c r="AU9487" t="s">
        <v>8673</v>
      </c>
      <c r="AV9487" t="s">
        <v>132</v>
      </c>
      <c r="AW9487" s="1">
        <v>30549</v>
      </c>
      <c r="AX9487">
        <v>1</v>
      </c>
    </row>
    <row r="9488" spans="1:50">
      <c r="A9488">
        <v>577061</v>
      </c>
      <c r="B9488" t="str">
        <f>"037260980"</f>
        <v>037260980</v>
      </c>
      <c r="C9488" t="s">
        <v>105</v>
      </c>
      <c r="D9488" t="s">
        <v>14389</v>
      </c>
      <c r="E9488" t="s">
        <v>53</v>
      </c>
      <c r="F9488" t="s">
        <v>920</v>
      </c>
      <c r="G9488" t="s">
        <v>411</v>
      </c>
      <c r="H9488" t="str">
        <f>"ΒΟΥΛΓΑΡΙΔΗ 15 ΧΑΝΙΑ"</f>
        <v>ΒΟΥΛΓΑΡΙΔΗ 15 ΧΑΝΙΑ</v>
      </c>
      <c r="I9488">
        <v>73133</v>
      </c>
      <c r="J9488">
        <v>2821054225</v>
      </c>
      <c r="K9488">
        <v>6945170702</v>
      </c>
      <c r="N9488" t="s">
        <v>176</v>
      </c>
      <c r="O9488" t="s">
        <v>177</v>
      </c>
      <c r="R9488" t="s">
        <v>57</v>
      </c>
      <c r="S9488">
        <v>18</v>
      </c>
      <c r="T9488">
        <v>184</v>
      </c>
      <c r="U9488" s="1">
        <v>34941</v>
      </c>
      <c r="V9488" t="s">
        <v>89</v>
      </c>
      <c r="W9488" t="s">
        <v>90</v>
      </c>
      <c r="X9488" t="s">
        <v>58</v>
      </c>
      <c r="Y9488">
        <v>21</v>
      </c>
      <c r="Z9488" t="s">
        <v>59</v>
      </c>
      <c r="AA9488" t="s">
        <v>59</v>
      </c>
      <c r="AB9488" t="s">
        <v>59</v>
      </c>
      <c r="AC9488" t="s">
        <v>59</v>
      </c>
      <c r="AD9488" t="s">
        <v>59</v>
      </c>
      <c r="AF9488" s="1">
        <v>34941</v>
      </c>
      <c r="AG9488" t="s">
        <v>8645</v>
      </c>
      <c r="AH9488" t="s">
        <v>8646</v>
      </c>
      <c r="AI9488" t="str">
        <f>"9500338"</f>
        <v>9500338</v>
      </c>
      <c r="AJ9488" t="s">
        <v>13959</v>
      </c>
      <c r="AK9488">
        <v>2821040556</v>
      </c>
      <c r="AL9488" t="s">
        <v>13960</v>
      </c>
      <c r="AM9488" t="s">
        <v>88</v>
      </c>
      <c r="AN9488" t="s">
        <v>88</v>
      </c>
      <c r="AO9488" t="s">
        <v>88</v>
      </c>
      <c r="AP9488" t="s">
        <v>88</v>
      </c>
      <c r="AQ9488">
        <v>1</v>
      </c>
      <c r="AR9488" t="s">
        <v>89</v>
      </c>
      <c r="AS9488" t="s">
        <v>90</v>
      </c>
      <c r="AT9488" t="s">
        <v>58</v>
      </c>
      <c r="AU9488" t="s">
        <v>68</v>
      </c>
      <c r="AV9488" t="s">
        <v>69</v>
      </c>
      <c r="AW9488" s="1">
        <v>23782</v>
      </c>
      <c r="AX9488">
        <v>1</v>
      </c>
    </row>
    <row r="9489" spans="1:50">
      <c r="A9489">
        <v>700433</v>
      </c>
      <c r="B9489" t="str">
        <f>"142268372"</f>
        <v>142268372</v>
      </c>
      <c r="C9489" t="s">
        <v>50</v>
      </c>
      <c r="D9489" t="s">
        <v>14390</v>
      </c>
      <c r="E9489" t="s">
        <v>868</v>
      </c>
      <c r="F9489" t="s">
        <v>14391</v>
      </c>
      <c r="G9489" t="s">
        <v>314</v>
      </c>
      <c r="H9489" t="str">
        <f>"ΑΓΙΑΣ ΣΟΦΙΑΣ 26 ΑΡΙΔΑΙΑ Ν.ΠΕΛΛΑΣ"</f>
        <v>ΑΓΙΑΣ ΣΟΦΙΑΣ 26 ΑΡΙΔΑΙΑ Ν.ΠΕΛΛΑΣ</v>
      </c>
      <c r="I9489">
        <v>58400</v>
      </c>
      <c r="J9489">
        <v>2384023752</v>
      </c>
      <c r="K9489">
        <v>6974140100</v>
      </c>
      <c r="N9489" t="s">
        <v>615</v>
      </c>
      <c r="O9489" t="s">
        <v>616</v>
      </c>
      <c r="R9489" t="s">
        <v>57</v>
      </c>
      <c r="S9489">
        <v>4</v>
      </c>
      <c r="T9489">
        <v>772</v>
      </c>
      <c r="U9489" s="1">
        <v>40413</v>
      </c>
      <c r="V9489" t="s">
        <v>89</v>
      </c>
      <c r="W9489" t="s">
        <v>90</v>
      </c>
      <c r="X9489" t="s">
        <v>58</v>
      </c>
      <c r="Y9489">
        <v>24</v>
      </c>
      <c r="Z9489" t="s">
        <v>59</v>
      </c>
      <c r="AA9489" t="s">
        <v>59</v>
      </c>
      <c r="AB9489" t="s">
        <v>59</v>
      </c>
      <c r="AC9489" t="s">
        <v>59</v>
      </c>
      <c r="AD9489" t="s">
        <v>59</v>
      </c>
      <c r="AF9489" s="1">
        <v>40413</v>
      </c>
      <c r="AG9489" t="s">
        <v>8645</v>
      </c>
      <c r="AH9489" t="s">
        <v>8646</v>
      </c>
      <c r="AI9489" t="str">
        <f>"9500113"</f>
        <v>9500113</v>
      </c>
      <c r="AJ9489" t="s">
        <v>13935</v>
      </c>
      <c r="AK9489">
        <v>2821077187</v>
      </c>
      <c r="AL9489" t="s">
        <v>13936</v>
      </c>
      <c r="AM9489" t="s">
        <v>88</v>
      </c>
      <c r="AN9489" t="s">
        <v>6764</v>
      </c>
      <c r="AO9489" t="s">
        <v>6885</v>
      </c>
      <c r="AP9489" t="s">
        <v>13937</v>
      </c>
      <c r="AQ9489">
        <v>4</v>
      </c>
      <c r="AR9489" t="s">
        <v>89</v>
      </c>
      <c r="AS9489" t="s">
        <v>90</v>
      </c>
      <c r="AT9489" t="s">
        <v>58</v>
      </c>
      <c r="AU9489" t="s">
        <v>68</v>
      </c>
      <c r="AV9489" t="s">
        <v>69</v>
      </c>
      <c r="AW9489" s="1">
        <v>31518</v>
      </c>
      <c r="AX9489">
        <v>1</v>
      </c>
    </row>
    <row r="9490" spans="1:50">
      <c r="A9490">
        <v>208059</v>
      </c>
      <c r="B9490" t="str">
        <f>"056650058"</f>
        <v>056650058</v>
      </c>
      <c r="C9490" t="s">
        <v>105</v>
      </c>
      <c r="D9490" t="s">
        <v>14392</v>
      </c>
      <c r="E9490" t="s">
        <v>92</v>
      </c>
      <c r="F9490" t="s">
        <v>408</v>
      </c>
      <c r="G9490" t="s">
        <v>83</v>
      </c>
      <c r="H9490" t="str">
        <f>"8ης ΔΕΚΕΜΒΡΙΟΥ 9 ΧΑΝΙΑ"</f>
        <v>8ης ΔΕΚΕΜΒΡΙΟΥ 9 ΧΑΝΙΑ</v>
      </c>
      <c r="I9490">
        <v>73100</v>
      </c>
      <c r="J9490">
        <v>2821057663</v>
      </c>
      <c r="K9490">
        <v>6938185353</v>
      </c>
      <c r="L9490">
        <v>6938185353</v>
      </c>
      <c r="M9490" t="s">
        <v>14393</v>
      </c>
      <c r="N9490" t="s">
        <v>176</v>
      </c>
      <c r="O9490" t="s">
        <v>177</v>
      </c>
      <c r="R9490" t="s">
        <v>57</v>
      </c>
      <c r="S9490">
        <v>8</v>
      </c>
      <c r="T9490">
        <v>218</v>
      </c>
      <c r="U9490" s="1">
        <v>38596</v>
      </c>
      <c r="V9490" t="s">
        <v>89</v>
      </c>
      <c r="W9490" t="s">
        <v>90</v>
      </c>
      <c r="X9490" t="s">
        <v>58</v>
      </c>
      <c r="Y9490">
        <v>22</v>
      </c>
      <c r="Z9490" t="s">
        <v>59</v>
      </c>
      <c r="AA9490" t="s">
        <v>59</v>
      </c>
      <c r="AB9490" t="s">
        <v>59</v>
      </c>
      <c r="AC9490" t="s">
        <v>59</v>
      </c>
      <c r="AD9490" t="s">
        <v>59</v>
      </c>
      <c r="AF9490" s="1">
        <v>38603</v>
      </c>
      <c r="AG9490" t="s">
        <v>8645</v>
      </c>
      <c r="AH9490" t="s">
        <v>8646</v>
      </c>
      <c r="AI9490" t="str">
        <f>"9500315"</f>
        <v>9500315</v>
      </c>
      <c r="AJ9490" t="s">
        <v>14174</v>
      </c>
      <c r="AK9490">
        <v>2821040565</v>
      </c>
      <c r="AL9490" t="s">
        <v>14175</v>
      </c>
      <c r="AM9490" t="s">
        <v>88</v>
      </c>
      <c r="AN9490" t="s">
        <v>88</v>
      </c>
      <c r="AO9490" t="s">
        <v>88</v>
      </c>
      <c r="AP9490" t="s">
        <v>88</v>
      </c>
      <c r="AQ9490">
        <v>1</v>
      </c>
      <c r="AR9490" t="s">
        <v>89</v>
      </c>
      <c r="AS9490" t="s">
        <v>90</v>
      </c>
      <c r="AT9490" t="s">
        <v>58</v>
      </c>
      <c r="AU9490" t="s">
        <v>68</v>
      </c>
      <c r="AV9490" t="s">
        <v>132</v>
      </c>
      <c r="AW9490" s="1">
        <v>24526</v>
      </c>
      <c r="AX9490">
        <v>1</v>
      </c>
    </row>
    <row r="9491" spans="1:50">
      <c r="A9491">
        <v>601090</v>
      </c>
      <c r="B9491" t="str">
        <f>"063805978"</f>
        <v>063805978</v>
      </c>
      <c r="C9491" t="s">
        <v>50</v>
      </c>
      <c r="D9491" t="s">
        <v>14394</v>
      </c>
      <c r="E9491" t="s">
        <v>237</v>
      </c>
      <c r="F9491" t="s">
        <v>202</v>
      </c>
      <c r="G9491" t="s">
        <v>73</v>
      </c>
      <c r="H9491" t="str">
        <f>"ΦΙΛΙΑΣ ΤΩΝ ΛΑΩΝ ΚΑΛΑΘΑΣ ΧΑΝΙΑ"</f>
        <v>ΦΙΛΙΑΣ ΤΩΝ ΛΑΩΝ ΚΑΛΑΘΑΣ ΧΑΝΙΑ</v>
      </c>
      <c r="I9491">
        <v>73100</v>
      </c>
      <c r="J9491">
        <v>2821020762</v>
      </c>
      <c r="K9491">
        <v>6977211065</v>
      </c>
      <c r="N9491" t="s">
        <v>615</v>
      </c>
      <c r="O9491" t="s">
        <v>616</v>
      </c>
      <c r="R9491" t="s">
        <v>57</v>
      </c>
      <c r="S9491">
        <v>8</v>
      </c>
      <c r="T9491">
        <v>207</v>
      </c>
      <c r="U9491" s="1">
        <v>37866</v>
      </c>
      <c r="V9491" t="s">
        <v>89</v>
      </c>
      <c r="W9491" t="s">
        <v>90</v>
      </c>
      <c r="X9491" t="s">
        <v>58</v>
      </c>
      <c r="Y9491">
        <v>22</v>
      </c>
      <c r="Z9491" t="s">
        <v>59</v>
      </c>
      <c r="AA9491" t="s">
        <v>59</v>
      </c>
      <c r="AB9491" t="s">
        <v>59</v>
      </c>
      <c r="AC9491" t="s">
        <v>59</v>
      </c>
      <c r="AD9491" t="s">
        <v>59</v>
      </c>
      <c r="AF9491" s="1">
        <v>37866</v>
      </c>
      <c r="AG9491" t="s">
        <v>8645</v>
      </c>
      <c r="AH9491" t="s">
        <v>8646</v>
      </c>
      <c r="AI9491" t="str">
        <f>"9500407"</f>
        <v>9500407</v>
      </c>
      <c r="AJ9491" t="s">
        <v>13867</v>
      </c>
      <c r="AK9491">
        <v>2821089224</v>
      </c>
      <c r="AL9491" t="s">
        <v>13868</v>
      </c>
      <c r="AM9491" t="s">
        <v>88</v>
      </c>
      <c r="AN9491" t="s">
        <v>88</v>
      </c>
      <c r="AO9491" t="s">
        <v>6748</v>
      </c>
      <c r="AP9491" t="s">
        <v>6748</v>
      </c>
      <c r="AQ9491">
        <v>2</v>
      </c>
      <c r="AR9491" t="s">
        <v>89</v>
      </c>
      <c r="AS9491" t="s">
        <v>90</v>
      </c>
      <c r="AT9491" t="s">
        <v>58</v>
      </c>
      <c r="AU9491" t="s">
        <v>68</v>
      </c>
      <c r="AV9491" t="s">
        <v>69</v>
      </c>
      <c r="AW9491" s="1">
        <v>25818</v>
      </c>
      <c r="AX9491">
        <v>1</v>
      </c>
    </row>
    <row r="9492" spans="1:50">
      <c r="B9492" t="str">
        <f>"127703243"</f>
        <v>127703243</v>
      </c>
      <c r="C9492" t="s">
        <v>50</v>
      </c>
      <c r="D9492" t="s">
        <v>7180</v>
      </c>
      <c r="E9492" t="s">
        <v>314</v>
      </c>
      <c r="F9492" t="s">
        <v>1070</v>
      </c>
      <c r="G9492" t="s">
        <v>255</v>
      </c>
      <c r="H9492" t="str">
        <f>"ΦΟΥΜΗΔΩΝ 9 ΝΕΑ ΧΩΡΑ ΧΑΝΙΑ"</f>
        <v>ΦΟΥΜΗΔΩΝ 9 ΝΕΑ ΧΩΡΑ ΧΑΝΙΑ</v>
      </c>
      <c r="I9492">
        <v>73100</v>
      </c>
      <c r="J9492">
        <v>2821070715</v>
      </c>
      <c r="K9492">
        <v>6974875357</v>
      </c>
      <c r="N9492" t="s">
        <v>8694</v>
      </c>
      <c r="O9492" t="s">
        <v>8695</v>
      </c>
      <c r="R9492" t="s">
        <v>57</v>
      </c>
      <c r="S9492">
        <v>4</v>
      </c>
      <c r="T9492" t="s">
        <v>8696</v>
      </c>
      <c r="U9492" s="1">
        <v>43348</v>
      </c>
      <c r="V9492" t="s">
        <v>89</v>
      </c>
      <c r="W9492" t="s">
        <v>90</v>
      </c>
      <c r="X9492" t="s">
        <v>58</v>
      </c>
      <c r="Y9492">
        <v>24</v>
      </c>
      <c r="Z9492" t="s">
        <v>59</v>
      </c>
      <c r="AA9492" t="s">
        <v>59</v>
      </c>
      <c r="AB9492" t="s">
        <v>59</v>
      </c>
      <c r="AC9492" t="s">
        <v>59</v>
      </c>
      <c r="AD9492" t="s">
        <v>59</v>
      </c>
      <c r="AF9492" s="1">
        <v>43348</v>
      </c>
      <c r="AG9492" t="s">
        <v>8645</v>
      </c>
      <c r="AH9492" t="s">
        <v>8646</v>
      </c>
      <c r="AI9492" t="str">
        <f>"9500083"</f>
        <v>9500083</v>
      </c>
      <c r="AJ9492" t="s">
        <v>14239</v>
      </c>
      <c r="AK9492">
        <v>2821063500</v>
      </c>
      <c r="AL9492" t="s">
        <v>14240</v>
      </c>
      <c r="AM9492" t="s">
        <v>88</v>
      </c>
      <c r="AN9492" t="s">
        <v>88</v>
      </c>
      <c r="AO9492" t="s">
        <v>6770</v>
      </c>
      <c r="AP9492" t="s">
        <v>14090</v>
      </c>
      <c r="AQ9492">
        <v>2</v>
      </c>
      <c r="AR9492" t="s">
        <v>89</v>
      </c>
      <c r="AS9492" t="s">
        <v>90</v>
      </c>
      <c r="AT9492" t="s">
        <v>58</v>
      </c>
      <c r="AU9492" t="s">
        <v>350</v>
      </c>
      <c r="AV9492" t="s">
        <v>132</v>
      </c>
      <c r="AW9492" s="1">
        <v>31375</v>
      </c>
      <c r="AX9492">
        <v>1</v>
      </c>
    </row>
    <row r="9493" spans="1:50">
      <c r="B9493" t="str">
        <f>"139430320"</f>
        <v>139430320</v>
      </c>
      <c r="C9493" t="s">
        <v>50</v>
      </c>
      <c r="D9493" t="s">
        <v>7180</v>
      </c>
      <c r="E9493" t="s">
        <v>2194</v>
      </c>
      <c r="F9493" t="s">
        <v>670</v>
      </c>
      <c r="G9493" t="s">
        <v>1644</v>
      </c>
      <c r="H9493" t="str">
        <f>"ΚΗΠΙΑ "</f>
        <v xml:space="preserve">ΚΗΠΙΑ </v>
      </c>
      <c r="I9493">
        <v>64100</v>
      </c>
      <c r="J9493">
        <v>2592051298</v>
      </c>
      <c r="K9493">
        <v>6946456999</v>
      </c>
      <c r="N9493" t="s">
        <v>615</v>
      </c>
      <c r="O9493" t="s">
        <v>616</v>
      </c>
      <c r="R9493" t="s">
        <v>159</v>
      </c>
      <c r="S9493">
        <v>4</v>
      </c>
      <c r="T9493" t="s">
        <v>8675</v>
      </c>
      <c r="U9493" s="1">
        <v>43348</v>
      </c>
      <c r="V9493" t="s">
        <v>89</v>
      </c>
      <c r="W9493" t="s">
        <v>90</v>
      </c>
      <c r="X9493" t="s">
        <v>58</v>
      </c>
      <c r="Y9493">
        <v>24</v>
      </c>
      <c r="Z9493" t="s">
        <v>59</v>
      </c>
      <c r="AA9493" t="s">
        <v>59</v>
      </c>
      <c r="AB9493" t="s">
        <v>59</v>
      </c>
      <c r="AC9493" t="s">
        <v>59</v>
      </c>
      <c r="AD9493" t="s">
        <v>59</v>
      </c>
      <c r="AF9493" s="1">
        <v>43348</v>
      </c>
      <c r="AG9493" t="s">
        <v>8645</v>
      </c>
      <c r="AH9493" t="s">
        <v>8646</v>
      </c>
      <c r="AI9493" t="str">
        <f>"9500084"</f>
        <v>9500084</v>
      </c>
      <c r="AJ9493" t="s">
        <v>13994</v>
      </c>
      <c r="AK9493">
        <v>2821031270</v>
      </c>
      <c r="AL9493" t="s">
        <v>13995</v>
      </c>
      <c r="AM9493" t="s">
        <v>88</v>
      </c>
      <c r="AN9493" t="s">
        <v>88</v>
      </c>
      <c r="AO9493" t="s">
        <v>13920</v>
      </c>
      <c r="AP9493" t="s">
        <v>13996</v>
      </c>
      <c r="AQ9493">
        <v>3</v>
      </c>
      <c r="AR9493" t="s">
        <v>89</v>
      </c>
      <c r="AS9493" t="s">
        <v>90</v>
      </c>
      <c r="AT9493" t="s">
        <v>58</v>
      </c>
      <c r="AU9493" t="s">
        <v>8673</v>
      </c>
      <c r="AV9493" t="s">
        <v>132</v>
      </c>
      <c r="AW9493" s="1">
        <v>31808</v>
      </c>
      <c r="AX9493">
        <v>1</v>
      </c>
    </row>
    <row r="9494" spans="1:50">
      <c r="B9494" t="str">
        <f>"136400440"</f>
        <v>136400440</v>
      </c>
      <c r="C9494" t="s">
        <v>50</v>
      </c>
      <c r="D9494" t="s">
        <v>7180</v>
      </c>
      <c r="E9494" t="s">
        <v>14395</v>
      </c>
      <c r="F9494" t="s">
        <v>1070</v>
      </c>
      <c r="G9494" t="s">
        <v>610</v>
      </c>
      <c r="H9494" t="str">
        <f>"ΕΘΝ. ΒΕΝΙΖΕΛΟΥ 154 ΣΟΥΔΑ"</f>
        <v>ΕΘΝ. ΒΕΝΙΖΕΛΟΥ 154 ΣΟΥΔΑ</v>
      </c>
      <c r="I9494">
        <v>73200</v>
      </c>
      <c r="J9494">
        <v>2823051018</v>
      </c>
      <c r="K9494">
        <v>6972261463</v>
      </c>
      <c r="N9494" t="s">
        <v>615</v>
      </c>
      <c r="O9494" t="s">
        <v>616</v>
      </c>
      <c r="R9494" t="s">
        <v>159</v>
      </c>
      <c r="S9494">
        <v>2</v>
      </c>
      <c r="T9494" t="s">
        <v>8675</v>
      </c>
      <c r="U9494" s="1">
        <v>43348</v>
      </c>
      <c r="V9494" t="s">
        <v>89</v>
      </c>
      <c r="W9494" t="s">
        <v>90</v>
      </c>
      <c r="X9494" t="s">
        <v>58</v>
      </c>
      <c r="Y9494">
        <v>25</v>
      </c>
      <c r="Z9494" t="s">
        <v>59</v>
      </c>
      <c r="AA9494" t="s">
        <v>59</v>
      </c>
      <c r="AB9494" t="s">
        <v>59</v>
      </c>
      <c r="AC9494" t="s">
        <v>59</v>
      </c>
      <c r="AD9494" t="s">
        <v>59</v>
      </c>
      <c r="AF9494" s="1">
        <v>43348</v>
      </c>
      <c r="AG9494" t="s">
        <v>8645</v>
      </c>
      <c r="AH9494" t="s">
        <v>8676</v>
      </c>
      <c r="AI9494" t="str">
        <f>"9500184"</f>
        <v>9500184</v>
      </c>
      <c r="AJ9494" t="s">
        <v>14396</v>
      </c>
      <c r="AK9494">
        <v>2823051220</v>
      </c>
      <c r="AL9494" t="s">
        <v>14397</v>
      </c>
      <c r="AM9494" t="s">
        <v>88</v>
      </c>
      <c r="AN9494" t="s">
        <v>6824</v>
      </c>
      <c r="AO9494" t="s">
        <v>13966</v>
      </c>
      <c r="AP9494" t="s">
        <v>13967</v>
      </c>
      <c r="AQ9494">
        <v>11</v>
      </c>
      <c r="AR9494" t="s">
        <v>89</v>
      </c>
      <c r="AS9494" t="s">
        <v>90</v>
      </c>
      <c r="AT9494" t="s">
        <v>58</v>
      </c>
      <c r="AU9494" t="s">
        <v>8673</v>
      </c>
      <c r="AV9494" t="s">
        <v>132</v>
      </c>
      <c r="AW9494" s="1">
        <v>32351</v>
      </c>
      <c r="AX9494">
        <v>1</v>
      </c>
    </row>
    <row r="9495" spans="1:50">
      <c r="A9495">
        <v>619787</v>
      </c>
      <c r="B9495" t="str">
        <f>"113475083"</f>
        <v>113475083</v>
      </c>
      <c r="C9495" t="s">
        <v>50</v>
      </c>
      <c r="D9495" t="s">
        <v>14398</v>
      </c>
      <c r="E9495" t="s">
        <v>83</v>
      </c>
      <c r="F9495" t="s">
        <v>95</v>
      </c>
      <c r="G9495" t="s">
        <v>367</v>
      </c>
      <c r="H9495" t="str">
        <f>"ΝΕΑΡΧΟΥ 13 ΧΑΝΙΑ"</f>
        <v>ΝΕΑΡΧΟΥ 13 ΧΑΝΙΑ</v>
      </c>
      <c r="I9495">
        <v>73134</v>
      </c>
      <c r="J9495">
        <v>2821059112</v>
      </c>
      <c r="K9495">
        <v>6944562616</v>
      </c>
      <c r="M9495" t="s">
        <v>14399</v>
      </c>
      <c r="N9495" t="s">
        <v>176</v>
      </c>
      <c r="O9495" t="s">
        <v>177</v>
      </c>
      <c r="R9495" t="s">
        <v>57</v>
      </c>
      <c r="S9495">
        <v>7</v>
      </c>
      <c r="T9495">
        <v>775</v>
      </c>
      <c r="U9495" s="1">
        <v>39680</v>
      </c>
      <c r="V9495" t="s">
        <v>89</v>
      </c>
      <c r="W9495" t="s">
        <v>90</v>
      </c>
      <c r="X9495" t="s">
        <v>58</v>
      </c>
      <c r="Y9495">
        <v>22</v>
      </c>
      <c r="Z9495" t="s">
        <v>59</v>
      </c>
      <c r="AA9495" t="s">
        <v>59</v>
      </c>
      <c r="AB9495" t="s">
        <v>59</v>
      </c>
      <c r="AC9495" t="s">
        <v>59</v>
      </c>
      <c r="AD9495" t="s">
        <v>59</v>
      </c>
      <c r="AF9495" s="1">
        <v>39685</v>
      </c>
      <c r="AG9495" t="s">
        <v>8645</v>
      </c>
      <c r="AH9495" t="s">
        <v>8646</v>
      </c>
      <c r="AI9495" t="str">
        <f>"9500009"</f>
        <v>9500009</v>
      </c>
      <c r="AJ9495" t="s">
        <v>13927</v>
      </c>
      <c r="AK9495">
        <v>2825061346</v>
      </c>
      <c r="AL9495" t="s">
        <v>13928</v>
      </c>
      <c r="AM9495" t="s">
        <v>88</v>
      </c>
      <c r="AN9495" t="s">
        <v>6775</v>
      </c>
      <c r="AO9495" t="s">
        <v>13929</v>
      </c>
      <c r="AP9495" t="s">
        <v>13929</v>
      </c>
      <c r="AQ9495">
        <v>8</v>
      </c>
      <c r="AR9495" t="s">
        <v>89</v>
      </c>
      <c r="AS9495" t="s">
        <v>90</v>
      </c>
      <c r="AT9495" t="s">
        <v>58</v>
      </c>
      <c r="AU9495" t="s">
        <v>68</v>
      </c>
      <c r="AV9495" t="s">
        <v>69</v>
      </c>
      <c r="AW9495" s="1">
        <v>28545</v>
      </c>
      <c r="AX9495">
        <v>1</v>
      </c>
    </row>
    <row r="9496" spans="1:50">
      <c r="A9496">
        <v>617140</v>
      </c>
      <c r="B9496" t="str">
        <f>"108420723"</f>
        <v>108420723</v>
      </c>
      <c r="C9496" t="s">
        <v>50</v>
      </c>
      <c r="D9496" t="s">
        <v>4787</v>
      </c>
      <c r="E9496" t="s">
        <v>964</v>
      </c>
      <c r="F9496" t="s">
        <v>53</v>
      </c>
      <c r="G9496" t="s">
        <v>367</v>
      </c>
      <c r="H9496" t="str">
        <f>"ΣΟΛΩΜΟΥ-ΙΣΑΑΚ 7 ΧΑΝΙΑ"</f>
        <v>ΣΟΛΩΜΟΥ-ΙΣΑΑΚ 7 ΧΑΝΙΑ</v>
      </c>
      <c r="I9496">
        <v>73100</v>
      </c>
      <c r="J9496">
        <v>2821042633</v>
      </c>
      <c r="K9496">
        <v>6936112265</v>
      </c>
      <c r="M9496" t="s">
        <v>14400</v>
      </c>
      <c r="N9496" t="s">
        <v>615</v>
      </c>
      <c r="O9496" t="s">
        <v>616</v>
      </c>
      <c r="R9496" t="s">
        <v>57</v>
      </c>
      <c r="S9496">
        <v>6</v>
      </c>
      <c r="T9496">
        <v>774</v>
      </c>
      <c r="U9496" s="1">
        <v>39680</v>
      </c>
      <c r="V9496" t="s">
        <v>89</v>
      </c>
      <c r="W9496" t="s">
        <v>90</v>
      </c>
      <c r="X9496" t="s">
        <v>58</v>
      </c>
      <c r="Y9496">
        <v>23</v>
      </c>
      <c r="Z9496" t="s">
        <v>59</v>
      </c>
      <c r="AA9496" t="s">
        <v>59</v>
      </c>
      <c r="AB9496" t="s">
        <v>59</v>
      </c>
      <c r="AC9496" t="s">
        <v>59</v>
      </c>
      <c r="AD9496" t="s">
        <v>59</v>
      </c>
      <c r="AF9496" s="1">
        <v>39680</v>
      </c>
      <c r="AG9496" t="s">
        <v>8645</v>
      </c>
      <c r="AH9496" t="s">
        <v>8646</v>
      </c>
      <c r="AI9496" t="str">
        <f>"9500137"</f>
        <v>9500137</v>
      </c>
      <c r="AJ9496" t="s">
        <v>14401</v>
      </c>
      <c r="AK9496">
        <v>2821093156</v>
      </c>
      <c r="AL9496" t="s">
        <v>14402</v>
      </c>
      <c r="AM9496" t="s">
        <v>88</v>
      </c>
      <c r="AN9496" t="s">
        <v>88</v>
      </c>
      <c r="AO9496" t="s">
        <v>88</v>
      </c>
      <c r="AP9496" t="s">
        <v>88</v>
      </c>
      <c r="AQ9496">
        <v>1</v>
      </c>
      <c r="AR9496" t="s">
        <v>89</v>
      </c>
      <c r="AS9496" t="s">
        <v>90</v>
      </c>
      <c r="AT9496" t="s">
        <v>58</v>
      </c>
      <c r="AU9496" t="s">
        <v>68</v>
      </c>
      <c r="AV9496" t="s">
        <v>69</v>
      </c>
      <c r="AW9496" s="1">
        <v>30671</v>
      </c>
      <c r="AX9496">
        <v>1</v>
      </c>
    </row>
    <row r="9497" spans="1:50">
      <c r="A9497">
        <v>609460</v>
      </c>
      <c r="B9497" t="str">
        <f>"064620785"</f>
        <v>064620785</v>
      </c>
      <c r="C9497" t="s">
        <v>50</v>
      </c>
      <c r="D9497" t="s">
        <v>4787</v>
      </c>
      <c r="E9497" t="s">
        <v>14403</v>
      </c>
      <c r="F9497" t="s">
        <v>936</v>
      </c>
      <c r="G9497" t="s">
        <v>174</v>
      </c>
      <c r="H9497" t="str">
        <f>"ΠΕΛΛΑΣ 1 ΘΕΣ/ΝΙΚΗ"</f>
        <v>ΠΕΛΛΑΣ 1 ΘΕΣ/ΝΙΚΗ</v>
      </c>
      <c r="I9497">
        <v>57300</v>
      </c>
      <c r="J9497">
        <v>2310794016</v>
      </c>
      <c r="K9497">
        <v>6984433227</v>
      </c>
      <c r="N9497" t="s">
        <v>176</v>
      </c>
      <c r="O9497" t="s">
        <v>177</v>
      </c>
      <c r="R9497" t="s">
        <v>57</v>
      </c>
      <c r="S9497">
        <v>8</v>
      </c>
      <c r="T9497">
        <v>218</v>
      </c>
      <c r="U9497" s="1">
        <v>38601</v>
      </c>
      <c r="V9497" t="s">
        <v>89</v>
      </c>
      <c r="W9497" t="s">
        <v>90</v>
      </c>
      <c r="X9497" t="s">
        <v>58</v>
      </c>
      <c r="Y9497">
        <v>22</v>
      </c>
      <c r="Z9497" t="s">
        <v>59</v>
      </c>
      <c r="AA9497" t="s">
        <v>59</v>
      </c>
      <c r="AB9497" t="s">
        <v>59</v>
      </c>
      <c r="AC9497" t="s">
        <v>59</v>
      </c>
      <c r="AD9497" t="s">
        <v>59</v>
      </c>
      <c r="AF9497" s="1">
        <v>38601</v>
      </c>
      <c r="AG9497" t="s">
        <v>8645</v>
      </c>
      <c r="AH9497" t="s">
        <v>8646</v>
      </c>
      <c r="AI9497" t="str">
        <f>"9500259"</f>
        <v>9500259</v>
      </c>
      <c r="AJ9497" t="s">
        <v>14017</v>
      </c>
      <c r="AK9497">
        <v>2823041459</v>
      </c>
      <c r="AL9497" t="s">
        <v>14018</v>
      </c>
      <c r="AM9497" t="s">
        <v>88</v>
      </c>
      <c r="AN9497" t="s">
        <v>6824</v>
      </c>
      <c r="AO9497" t="s">
        <v>6870</v>
      </c>
      <c r="AP9497" t="s">
        <v>14019</v>
      </c>
      <c r="AQ9497">
        <v>11</v>
      </c>
      <c r="AR9497" t="s">
        <v>89</v>
      </c>
      <c r="AS9497" t="s">
        <v>90</v>
      </c>
      <c r="AT9497" t="s">
        <v>58</v>
      </c>
      <c r="AU9497" t="s">
        <v>68</v>
      </c>
      <c r="AV9497" t="s">
        <v>69</v>
      </c>
      <c r="AW9497" s="1">
        <v>24587</v>
      </c>
      <c r="AX9497">
        <v>1</v>
      </c>
    </row>
    <row r="9498" spans="1:50">
      <c r="B9498" t="str">
        <f>"126330910"</f>
        <v>126330910</v>
      </c>
      <c r="C9498" t="s">
        <v>50</v>
      </c>
      <c r="D9498" t="s">
        <v>1331</v>
      </c>
      <c r="E9498" t="s">
        <v>14404</v>
      </c>
      <c r="F9498" t="s">
        <v>72</v>
      </c>
      <c r="G9498" t="s">
        <v>14405</v>
      </c>
      <c r="H9498" t="str">
        <f>" ΧΑΝΙΑ"</f>
        <v xml:space="preserve"> ΧΑΝΙΑ</v>
      </c>
      <c r="J9498">
        <v>2821502971</v>
      </c>
      <c r="K9498">
        <v>6973098526</v>
      </c>
      <c r="N9498" t="s">
        <v>615</v>
      </c>
      <c r="O9498" t="s">
        <v>616</v>
      </c>
      <c r="R9498" t="s">
        <v>159</v>
      </c>
      <c r="S9498">
        <v>1</v>
      </c>
      <c r="T9498" t="s">
        <v>8717</v>
      </c>
      <c r="U9498" s="1">
        <v>43348</v>
      </c>
      <c r="V9498" t="s">
        <v>89</v>
      </c>
      <c r="W9498" t="s">
        <v>90</v>
      </c>
      <c r="X9498" t="s">
        <v>58</v>
      </c>
      <c r="Y9498">
        <v>24</v>
      </c>
      <c r="Z9498" t="s">
        <v>59</v>
      </c>
      <c r="AA9498" t="s">
        <v>59</v>
      </c>
      <c r="AB9498" t="s">
        <v>59</v>
      </c>
      <c r="AD9498" t="s">
        <v>59</v>
      </c>
      <c r="AF9498" s="1">
        <v>43348</v>
      </c>
      <c r="AG9498" t="s">
        <v>8645</v>
      </c>
      <c r="AH9498" t="s">
        <v>8646</v>
      </c>
      <c r="AI9498" t="str">
        <f>"9500137"</f>
        <v>9500137</v>
      </c>
      <c r="AJ9498" t="s">
        <v>14401</v>
      </c>
      <c r="AK9498">
        <v>2821093156</v>
      </c>
      <c r="AL9498" t="s">
        <v>14402</v>
      </c>
      <c r="AM9498" t="s">
        <v>88</v>
      </c>
      <c r="AN9498" t="s">
        <v>88</v>
      </c>
      <c r="AO9498" t="s">
        <v>88</v>
      </c>
      <c r="AP9498" t="s">
        <v>88</v>
      </c>
      <c r="AQ9498">
        <v>1</v>
      </c>
      <c r="AR9498" t="s">
        <v>89</v>
      </c>
      <c r="AS9498" t="s">
        <v>90</v>
      </c>
      <c r="AT9498" t="s">
        <v>58</v>
      </c>
      <c r="AU9498" t="s">
        <v>8720</v>
      </c>
      <c r="AV9498" t="s">
        <v>132</v>
      </c>
      <c r="AW9498" s="1">
        <v>32661</v>
      </c>
      <c r="AX9498">
        <v>1</v>
      </c>
    </row>
    <row r="9499" spans="1:50">
      <c r="A9499">
        <v>205177</v>
      </c>
      <c r="B9499" t="str">
        <f>"077460854"</f>
        <v>077460854</v>
      </c>
      <c r="C9499" t="s">
        <v>50</v>
      </c>
      <c r="D9499" t="s">
        <v>14406</v>
      </c>
      <c r="E9499" t="s">
        <v>3150</v>
      </c>
      <c r="F9499" t="s">
        <v>72</v>
      </c>
      <c r="G9499" t="s">
        <v>215</v>
      </c>
      <c r="H9499" t="str">
        <f>"ΓΕΡΟΓΙΑΝΝΗ 1  "</f>
        <v xml:space="preserve">ΓΕΡΟΓΙΑΝΝΗ 1  </v>
      </c>
      <c r="I9499">
        <v>73100</v>
      </c>
      <c r="J9499">
        <v>2821059883</v>
      </c>
      <c r="K9499">
        <v>6945853532</v>
      </c>
      <c r="N9499" t="s">
        <v>204</v>
      </c>
      <c r="O9499" t="s">
        <v>205</v>
      </c>
      <c r="R9499" t="s">
        <v>57</v>
      </c>
      <c r="S9499">
        <v>9</v>
      </c>
      <c r="T9499">
        <v>231</v>
      </c>
      <c r="U9499" s="1">
        <v>38230</v>
      </c>
      <c r="V9499" t="s">
        <v>89</v>
      </c>
      <c r="W9499" t="s">
        <v>90</v>
      </c>
      <c r="X9499" t="s">
        <v>58</v>
      </c>
      <c r="Y9499">
        <v>23</v>
      </c>
      <c r="Z9499" t="s">
        <v>59</v>
      </c>
      <c r="AA9499" t="s">
        <v>59</v>
      </c>
      <c r="AB9499" t="s">
        <v>59</v>
      </c>
      <c r="AC9499" t="s">
        <v>59</v>
      </c>
      <c r="AD9499" t="s">
        <v>59</v>
      </c>
      <c r="AF9499" s="1">
        <v>38231</v>
      </c>
      <c r="AG9499" t="s">
        <v>8645</v>
      </c>
      <c r="AH9499" t="s">
        <v>8646</v>
      </c>
      <c r="AI9499" t="str">
        <f>"9500040"</f>
        <v>9500040</v>
      </c>
      <c r="AJ9499" t="s">
        <v>13906</v>
      </c>
      <c r="AK9499">
        <v>2821045356</v>
      </c>
      <c r="AL9499" t="s">
        <v>13907</v>
      </c>
      <c r="AM9499" t="s">
        <v>88</v>
      </c>
      <c r="AN9499" t="s">
        <v>88</v>
      </c>
      <c r="AO9499" t="s">
        <v>88</v>
      </c>
      <c r="AP9499" t="s">
        <v>88</v>
      </c>
      <c r="AQ9499">
        <v>1</v>
      </c>
      <c r="AR9499" t="s">
        <v>89</v>
      </c>
      <c r="AS9499" t="s">
        <v>90</v>
      </c>
      <c r="AT9499" t="s">
        <v>58</v>
      </c>
      <c r="AU9499" t="s">
        <v>68</v>
      </c>
      <c r="AV9499" t="s">
        <v>69</v>
      </c>
      <c r="AW9499" s="1">
        <v>29335</v>
      </c>
      <c r="AX9499">
        <v>1</v>
      </c>
    </row>
    <row r="9500" spans="1:50">
      <c r="A9500">
        <v>608765</v>
      </c>
      <c r="B9500" t="str">
        <f>"111075866"</f>
        <v>111075866</v>
      </c>
      <c r="C9500" t="s">
        <v>50</v>
      </c>
      <c r="D9500" t="s">
        <v>14407</v>
      </c>
      <c r="E9500" t="s">
        <v>1796</v>
      </c>
      <c r="F9500" t="s">
        <v>564</v>
      </c>
      <c r="G9500" t="s">
        <v>4695</v>
      </c>
      <c r="H9500" t="str">
        <f>" "</f>
        <v xml:space="preserve"> </v>
      </c>
      <c r="K9500">
        <v>6945357949</v>
      </c>
      <c r="N9500" t="s">
        <v>1525</v>
      </c>
      <c r="O9500" t="s">
        <v>1526</v>
      </c>
      <c r="R9500" t="s">
        <v>57</v>
      </c>
      <c r="S9500">
        <v>6</v>
      </c>
      <c r="T9500">
        <v>217</v>
      </c>
      <c r="U9500" s="1">
        <v>38596</v>
      </c>
      <c r="V9500" t="s">
        <v>89</v>
      </c>
      <c r="W9500" t="s">
        <v>90</v>
      </c>
      <c r="X9500" t="s">
        <v>58</v>
      </c>
      <c r="Y9500">
        <v>25</v>
      </c>
      <c r="Z9500" t="s">
        <v>59</v>
      </c>
      <c r="AA9500" t="s">
        <v>59</v>
      </c>
      <c r="AB9500" t="s">
        <v>59</v>
      </c>
      <c r="AC9500" t="s">
        <v>59</v>
      </c>
      <c r="AD9500" t="s">
        <v>59</v>
      </c>
      <c r="AF9500" s="1">
        <v>38603</v>
      </c>
      <c r="AG9500" t="s">
        <v>8651</v>
      </c>
      <c r="AH9500" t="s">
        <v>8652</v>
      </c>
      <c r="AI9500" t="str">
        <f>"9521650"</f>
        <v>9521650</v>
      </c>
      <c r="AJ9500" t="s">
        <v>14408</v>
      </c>
      <c r="AK9500">
        <v>2821009699</v>
      </c>
      <c r="AL9500" t="s">
        <v>14409</v>
      </c>
      <c r="AM9500" t="s">
        <v>88</v>
      </c>
      <c r="AN9500" t="s">
        <v>88</v>
      </c>
      <c r="AO9500" t="s">
        <v>6785</v>
      </c>
      <c r="AP9500" t="s">
        <v>13932</v>
      </c>
      <c r="AQ9500">
        <v>3</v>
      </c>
      <c r="AR9500" t="s">
        <v>89</v>
      </c>
      <c r="AS9500" t="s">
        <v>90</v>
      </c>
      <c r="AT9500" t="s">
        <v>58</v>
      </c>
      <c r="AU9500" t="s">
        <v>68</v>
      </c>
      <c r="AV9500" t="s">
        <v>69</v>
      </c>
      <c r="AW9500" s="1">
        <v>27893</v>
      </c>
      <c r="AX9500">
        <v>1</v>
      </c>
    </row>
    <row r="9501" spans="1:50">
      <c r="A9501">
        <v>558498</v>
      </c>
      <c r="B9501" t="str">
        <f>"101571878"</f>
        <v>101571878</v>
      </c>
      <c r="C9501" t="s">
        <v>50</v>
      </c>
      <c r="D9501" t="s">
        <v>14410</v>
      </c>
      <c r="E9501" t="s">
        <v>9782</v>
      </c>
      <c r="F9501" t="s">
        <v>670</v>
      </c>
      <c r="G9501" t="s">
        <v>14411</v>
      </c>
      <c r="H9501" t="str">
        <f>"Μονής Γωνιάς 7 "</f>
        <v xml:space="preserve">Μονής Γωνιάς 7 </v>
      </c>
      <c r="I9501">
        <v>73132</v>
      </c>
      <c r="J9501">
        <v>2821074606</v>
      </c>
      <c r="K9501">
        <v>6986899999</v>
      </c>
      <c r="N9501" t="s">
        <v>615</v>
      </c>
      <c r="O9501" t="s">
        <v>616</v>
      </c>
      <c r="R9501" t="s">
        <v>57</v>
      </c>
      <c r="S9501">
        <v>16</v>
      </c>
      <c r="T9501">
        <v>168</v>
      </c>
      <c r="U9501" s="1">
        <v>32010</v>
      </c>
      <c r="V9501" t="s">
        <v>89</v>
      </c>
      <c r="W9501" t="s">
        <v>90</v>
      </c>
      <c r="X9501" t="s">
        <v>58</v>
      </c>
      <c r="Y9501">
        <v>21</v>
      </c>
      <c r="Z9501" t="s">
        <v>59</v>
      </c>
      <c r="AA9501" t="s">
        <v>59</v>
      </c>
      <c r="AB9501" t="s">
        <v>59</v>
      </c>
      <c r="AC9501" t="s">
        <v>59</v>
      </c>
      <c r="AD9501" t="s">
        <v>59</v>
      </c>
      <c r="AF9501" s="1">
        <v>32010</v>
      </c>
      <c r="AG9501" t="s">
        <v>8645</v>
      </c>
      <c r="AH9501" t="s">
        <v>8646</v>
      </c>
      <c r="AI9501" t="str">
        <f>"9500144"</f>
        <v>9500144</v>
      </c>
      <c r="AJ9501" t="s">
        <v>14010</v>
      </c>
      <c r="AK9501">
        <v>2821094171</v>
      </c>
      <c r="AL9501" t="s">
        <v>14011</v>
      </c>
      <c r="AM9501" t="s">
        <v>88</v>
      </c>
      <c r="AN9501" t="s">
        <v>88</v>
      </c>
      <c r="AO9501" t="s">
        <v>88</v>
      </c>
      <c r="AP9501" t="s">
        <v>88</v>
      </c>
      <c r="AQ9501">
        <v>1</v>
      </c>
      <c r="AR9501" t="s">
        <v>89</v>
      </c>
      <c r="AS9501" t="s">
        <v>90</v>
      </c>
      <c r="AT9501" t="s">
        <v>58</v>
      </c>
      <c r="AU9501" t="s">
        <v>68</v>
      </c>
      <c r="AV9501" t="s">
        <v>69</v>
      </c>
      <c r="AW9501" s="1">
        <v>22184</v>
      </c>
      <c r="AX9501">
        <v>1</v>
      </c>
    </row>
    <row r="9502" spans="1:50">
      <c r="B9502" t="str">
        <f>"145248655"</f>
        <v>145248655</v>
      </c>
      <c r="C9502" t="s">
        <v>105</v>
      </c>
      <c r="D9502" t="s">
        <v>14412</v>
      </c>
      <c r="E9502" t="s">
        <v>989</v>
      </c>
      <c r="F9502" t="s">
        <v>53</v>
      </c>
      <c r="H9502" t="str">
        <f>" "</f>
        <v xml:space="preserve"> </v>
      </c>
      <c r="N9502" t="s">
        <v>337</v>
      </c>
      <c r="O9502" t="s">
        <v>338</v>
      </c>
      <c r="R9502" t="s">
        <v>159</v>
      </c>
      <c r="S9502">
        <v>2</v>
      </c>
      <c r="T9502" t="s">
        <v>8675</v>
      </c>
      <c r="U9502" s="1">
        <v>43348</v>
      </c>
      <c r="V9502" t="s">
        <v>89</v>
      </c>
      <c r="W9502" t="s">
        <v>90</v>
      </c>
      <c r="X9502" t="s">
        <v>58</v>
      </c>
      <c r="Y9502">
        <v>24</v>
      </c>
      <c r="Z9502" t="s">
        <v>59</v>
      </c>
      <c r="AA9502" t="s">
        <v>59</v>
      </c>
      <c r="AB9502" t="s">
        <v>59</v>
      </c>
      <c r="AC9502" t="s">
        <v>59</v>
      </c>
      <c r="AD9502" t="s">
        <v>59</v>
      </c>
      <c r="AF9502" s="1">
        <v>43348</v>
      </c>
      <c r="AG9502" t="s">
        <v>8645</v>
      </c>
      <c r="AH9502" t="s">
        <v>8646</v>
      </c>
      <c r="AI9502" t="str">
        <f>"9500083"</f>
        <v>9500083</v>
      </c>
      <c r="AJ9502" t="s">
        <v>14239</v>
      </c>
      <c r="AK9502">
        <v>2821063500</v>
      </c>
      <c r="AL9502" t="s">
        <v>14240</v>
      </c>
      <c r="AM9502" t="s">
        <v>88</v>
      </c>
      <c r="AN9502" t="s">
        <v>88</v>
      </c>
      <c r="AO9502" t="s">
        <v>6770</v>
      </c>
      <c r="AP9502" t="s">
        <v>14090</v>
      </c>
      <c r="AQ9502">
        <v>2</v>
      </c>
      <c r="AR9502" t="s">
        <v>89</v>
      </c>
      <c r="AS9502" t="s">
        <v>90</v>
      </c>
      <c r="AT9502" t="s">
        <v>58</v>
      </c>
      <c r="AU9502" t="s">
        <v>8673</v>
      </c>
      <c r="AV9502" t="s">
        <v>132</v>
      </c>
      <c r="AW9502" s="1">
        <v>31569</v>
      </c>
      <c r="AX9502">
        <v>1</v>
      </c>
    </row>
    <row r="9503" spans="1:50">
      <c r="A9503">
        <v>623045</v>
      </c>
      <c r="B9503" t="str">
        <f>"119878504"</f>
        <v>119878504</v>
      </c>
      <c r="C9503" t="s">
        <v>50</v>
      </c>
      <c r="D9503" t="s">
        <v>14413</v>
      </c>
      <c r="E9503" t="s">
        <v>215</v>
      </c>
      <c r="F9503" t="s">
        <v>609</v>
      </c>
      <c r="G9503" t="s">
        <v>83</v>
      </c>
      <c r="H9503" t="str">
        <f>"115 ΠΤΕΡΥΓΑ ΜΑΧΗΣ ΣΤΓ 911 ΧΑΝΙΑ"</f>
        <v>115 ΠΤΕΡΥΓΑ ΜΑΧΗΣ ΣΤΓ 911 ΧΑΝΙΑ</v>
      </c>
      <c r="I9503">
        <v>73100</v>
      </c>
      <c r="J9503">
        <v>2821009372</v>
      </c>
      <c r="K9503">
        <v>6944575248</v>
      </c>
      <c r="M9503" t="s">
        <v>14414</v>
      </c>
      <c r="N9503" t="s">
        <v>1525</v>
      </c>
      <c r="O9503" t="s">
        <v>1526</v>
      </c>
      <c r="R9503" t="s">
        <v>57</v>
      </c>
      <c r="S9503">
        <v>6</v>
      </c>
      <c r="T9503" t="s">
        <v>14415</v>
      </c>
      <c r="U9503" s="1">
        <v>39326</v>
      </c>
      <c r="V9503" t="s">
        <v>89</v>
      </c>
      <c r="W9503" t="s">
        <v>90</v>
      </c>
      <c r="X9503" t="s">
        <v>58</v>
      </c>
      <c r="Y9503">
        <v>25</v>
      </c>
      <c r="Z9503" t="s">
        <v>59</v>
      </c>
      <c r="AA9503" t="s">
        <v>59</v>
      </c>
      <c r="AB9503" t="s">
        <v>59</v>
      </c>
      <c r="AC9503" t="s">
        <v>59</v>
      </c>
      <c r="AD9503" t="s">
        <v>59</v>
      </c>
      <c r="AF9503" s="1">
        <v>39326</v>
      </c>
      <c r="AG9503" t="s">
        <v>8651</v>
      </c>
      <c r="AH9503" t="s">
        <v>8652</v>
      </c>
      <c r="AI9503" t="str">
        <f>"9500295"</f>
        <v>9500295</v>
      </c>
      <c r="AJ9503" t="s">
        <v>14416</v>
      </c>
      <c r="AK9503">
        <v>2821039559</v>
      </c>
      <c r="AL9503" t="s">
        <v>14417</v>
      </c>
      <c r="AM9503" t="s">
        <v>88</v>
      </c>
      <c r="AN9503" t="s">
        <v>88</v>
      </c>
      <c r="AO9503" t="s">
        <v>6770</v>
      </c>
      <c r="AP9503" t="s">
        <v>6771</v>
      </c>
      <c r="AQ9503">
        <v>2</v>
      </c>
      <c r="AR9503" t="s">
        <v>89</v>
      </c>
      <c r="AS9503" t="s">
        <v>90</v>
      </c>
      <c r="AT9503" t="s">
        <v>58</v>
      </c>
      <c r="AU9503" t="s">
        <v>68</v>
      </c>
      <c r="AV9503" t="s">
        <v>69</v>
      </c>
      <c r="AW9503" s="1">
        <v>30255</v>
      </c>
      <c r="AX9503">
        <v>1</v>
      </c>
    </row>
    <row r="9504" spans="1:50">
      <c r="A9504">
        <v>216039</v>
      </c>
      <c r="B9504" t="str">
        <f>"079011478"</f>
        <v>079011478</v>
      </c>
      <c r="C9504" t="s">
        <v>50</v>
      </c>
      <c r="D9504" t="s">
        <v>7184</v>
      </c>
      <c r="E9504" t="s">
        <v>143</v>
      </c>
      <c r="F9504" t="s">
        <v>9574</v>
      </c>
      <c r="G9504" t="s">
        <v>610</v>
      </c>
      <c r="H9504" t="str">
        <f>"ΘΕΡΙΣΟΥ  54 ΧΑΝΙΑ"</f>
        <v>ΘΕΡΙΣΟΥ  54 ΧΑΝΙΑ</v>
      </c>
      <c r="I9504">
        <v>73100</v>
      </c>
      <c r="J9504">
        <v>2310827243</v>
      </c>
      <c r="K9504">
        <v>6947180186</v>
      </c>
      <c r="L9504">
        <v>2821087488</v>
      </c>
      <c r="M9504" t="s">
        <v>14418</v>
      </c>
      <c r="N9504" t="s">
        <v>204</v>
      </c>
      <c r="O9504" t="s">
        <v>205</v>
      </c>
      <c r="R9504" t="s">
        <v>57</v>
      </c>
      <c r="S9504">
        <v>7</v>
      </c>
      <c r="T9504">
        <v>232</v>
      </c>
      <c r="U9504" s="1">
        <v>38960</v>
      </c>
      <c r="V9504" t="s">
        <v>89</v>
      </c>
      <c r="W9504" t="s">
        <v>90</v>
      </c>
      <c r="X9504" t="s">
        <v>58</v>
      </c>
      <c r="Y9504">
        <v>23</v>
      </c>
      <c r="Z9504" t="s">
        <v>59</v>
      </c>
      <c r="AA9504" t="s">
        <v>59</v>
      </c>
      <c r="AB9504" t="s">
        <v>59</v>
      </c>
      <c r="AC9504" t="s">
        <v>59</v>
      </c>
      <c r="AD9504" t="s">
        <v>59</v>
      </c>
      <c r="AF9504" s="1">
        <v>38964</v>
      </c>
      <c r="AG9504" t="s">
        <v>8645</v>
      </c>
      <c r="AH9504" t="s">
        <v>8646</v>
      </c>
      <c r="AI9504" t="str">
        <f>"9500191"</f>
        <v>9500191</v>
      </c>
      <c r="AJ9504" t="s">
        <v>13986</v>
      </c>
      <c r="AK9504">
        <v>2822022042</v>
      </c>
      <c r="AL9504" t="s">
        <v>13987</v>
      </c>
      <c r="AM9504" t="s">
        <v>88</v>
      </c>
      <c r="AN9504" t="s">
        <v>6744</v>
      </c>
      <c r="AO9504" t="s">
        <v>6744</v>
      </c>
      <c r="AP9504" t="s">
        <v>6744</v>
      </c>
      <c r="AQ9504">
        <v>9</v>
      </c>
      <c r="AR9504" t="s">
        <v>89</v>
      </c>
      <c r="AS9504" t="s">
        <v>90</v>
      </c>
      <c r="AT9504" t="s">
        <v>58</v>
      </c>
      <c r="AU9504" t="s">
        <v>68</v>
      </c>
      <c r="AV9504" t="s">
        <v>69</v>
      </c>
      <c r="AW9504" s="1">
        <v>26841</v>
      </c>
      <c r="AX9504">
        <v>1</v>
      </c>
    </row>
    <row r="9505" spans="1:50">
      <c r="A9505">
        <v>215389</v>
      </c>
      <c r="B9505" t="str">
        <f>"066836322"</f>
        <v>066836322</v>
      </c>
      <c r="C9505" t="s">
        <v>50</v>
      </c>
      <c r="D9505" t="s">
        <v>14419</v>
      </c>
      <c r="E9505" t="s">
        <v>14420</v>
      </c>
      <c r="F9505" t="s">
        <v>106</v>
      </c>
      <c r="G9505" t="s">
        <v>316</v>
      </c>
      <c r="H9505" t="str">
        <f>"ΡΗΓΑ ΦΕΡΑΙΟΥ 7 "</f>
        <v xml:space="preserve">ΡΗΓΑ ΦΕΡΑΙΟΥ 7 </v>
      </c>
      <c r="I9505">
        <v>73133</v>
      </c>
      <c r="J9505">
        <v>2821044277</v>
      </c>
      <c r="K9505">
        <v>6946622714</v>
      </c>
      <c r="M9505" t="s">
        <v>14421</v>
      </c>
      <c r="N9505" t="s">
        <v>204</v>
      </c>
      <c r="O9505" t="s">
        <v>205</v>
      </c>
      <c r="R9505" t="s">
        <v>57</v>
      </c>
      <c r="S9505">
        <v>6</v>
      </c>
      <c r="T9505">
        <v>231</v>
      </c>
      <c r="U9505" s="1">
        <v>38960</v>
      </c>
      <c r="V9505" t="s">
        <v>89</v>
      </c>
      <c r="W9505" t="s">
        <v>90</v>
      </c>
      <c r="X9505" t="s">
        <v>58</v>
      </c>
      <c r="Y9505">
        <v>23</v>
      </c>
      <c r="Z9505" t="s">
        <v>59</v>
      </c>
      <c r="AA9505" t="s">
        <v>59</v>
      </c>
      <c r="AB9505" t="s">
        <v>59</v>
      </c>
      <c r="AC9505" t="s">
        <v>59</v>
      </c>
      <c r="AD9505" t="s">
        <v>59</v>
      </c>
      <c r="AF9505" s="1">
        <v>38961</v>
      </c>
      <c r="AG9505" t="s">
        <v>8645</v>
      </c>
      <c r="AH9505" t="s">
        <v>8646</v>
      </c>
      <c r="AI9505" t="str">
        <f>"9500075"</f>
        <v>9500075</v>
      </c>
      <c r="AJ9505" t="s">
        <v>13955</v>
      </c>
      <c r="AK9505">
        <v>2821046505</v>
      </c>
      <c r="AL9505" t="s">
        <v>13956</v>
      </c>
      <c r="AM9505" t="s">
        <v>88</v>
      </c>
      <c r="AN9505" t="s">
        <v>88</v>
      </c>
      <c r="AO9505" t="s">
        <v>88</v>
      </c>
      <c r="AP9505" t="s">
        <v>88</v>
      </c>
      <c r="AQ9505">
        <v>1</v>
      </c>
      <c r="AR9505" t="s">
        <v>89</v>
      </c>
      <c r="AS9505" t="s">
        <v>90</v>
      </c>
      <c r="AT9505" t="s">
        <v>58</v>
      </c>
      <c r="AU9505" t="s">
        <v>68</v>
      </c>
      <c r="AV9505" t="s">
        <v>69</v>
      </c>
      <c r="AW9505" s="1">
        <v>29355</v>
      </c>
      <c r="AX9505">
        <v>1</v>
      </c>
    </row>
    <row r="9506" spans="1:50">
      <c r="A9506">
        <v>594167</v>
      </c>
      <c r="B9506" t="str">
        <f>"063141463"</f>
        <v>063141463</v>
      </c>
      <c r="C9506" t="s">
        <v>50</v>
      </c>
      <c r="D9506" t="s">
        <v>1341</v>
      </c>
      <c r="E9506" t="s">
        <v>460</v>
      </c>
      <c r="F9506" t="s">
        <v>670</v>
      </c>
      <c r="G9506" t="s">
        <v>52</v>
      </c>
      <c r="H9506" t="str">
        <f>" "</f>
        <v xml:space="preserve"> </v>
      </c>
      <c r="N9506" t="s">
        <v>615</v>
      </c>
      <c r="O9506" t="s">
        <v>616</v>
      </c>
      <c r="R9506" t="s">
        <v>57</v>
      </c>
      <c r="S9506">
        <v>9</v>
      </c>
      <c r="T9506">
        <v>218</v>
      </c>
      <c r="U9506" s="1">
        <v>37134</v>
      </c>
      <c r="V9506" t="s">
        <v>89</v>
      </c>
      <c r="W9506" t="s">
        <v>90</v>
      </c>
      <c r="X9506" t="s">
        <v>58</v>
      </c>
      <c r="Y9506">
        <v>22</v>
      </c>
      <c r="Z9506" t="s">
        <v>59</v>
      </c>
      <c r="AA9506" t="s">
        <v>59</v>
      </c>
      <c r="AB9506" t="s">
        <v>59</v>
      </c>
      <c r="AC9506" t="s">
        <v>59</v>
      </c>
      <c r="AD9506" t="s">
        <v>59</v>
      </c>
      <c r="AF9506" s="1">
        <v>37134</v>
      </c>
      <c r="AG9506" t="s">
        <v>8645</v>
      </c>
      <c r="AH9506" t="s">
        <v>8646</v>
      </c>
      <c r="AI9506" t="str">
        <f>"9500407"</f>
        <v>9500407</v>
      </c>
      <c r="AJ9506" t="s">
        <v>13867</v>
      </c>
      <c r="AK9506">
        <v>2821089224</v>
      </c>
      <c r="AL9506" t="s">
        <v>13868</v>
      </c>
      <c r="AM9506" t="s">
        <v>88</v>
      </c>
      <c r="AN9506" t="s">
        <v>88</v>
      </c>
      <c r="AO9506" t="s">
        <v>6748</v>
      </c>
      <c r="AP9506" t="s">
        <v>6748</v>
      </c>
      <c r="AQ9506">
        <v>2</v>
      </c>
      <c r="AR9506" t="s">
        <v>89</v>
      </c>
      <c r="AS9506" t="s">
        <v>90</v>
      </c>
      <c r="AT9506" t="s">
        <v>58</v>
      </c>
      <c r="AU9506" t="s">
        <v>68</v>
      </c>
      <c r="AV9506" t="s">
        <v>69</v>
      </c>
      <c r="AW9506" s="1">
        <v>26930</v>
      </c>
      <c r="AX9506">
        <v>1</v>
      </c>
    </row>
    <row r="9507" spans="1:50">
      <c r="A9507">
        <v>598216</v>
      </c>
      <c r="B9507" t="str">
        <f>"062715533"</f>
        <v>062715533</v>
      </c>
      <c r="C9507" t="s">
        <v>105</v>
      </c>
      <c r="D9507" t="s">
        <v>1344</v>
      </c>
      <c r="E9507" t="s">
        <v>72</v>
      </c>
      <c r="F9507" t="s">
        <v>1286</v>
      </c>
      <c r="G9507" t="s">
        <v>255</v>
      </c>
      <c r="H9507" t="str">
        <f>"ΜΠΟΝΙΑΛΗ 12 ΧΑΝΙΑ"</f>
        <v>ΜΠΟΝΙΑΛΗ 12 ΧΑΝΙΑ</v>
      </c>
      <c r="I9507">
        <v>73100</v>
      </c>
      <c r="J9507">
        <v>2821044081</v>
      </c>
      <c r="K9507">
        <v>6972196497</v>
      </c>
      <c r="N9507" t="s">
        <v>615</v>
      </c>
      <c r="O9507" t="s">
        <v>616</v>
      </c>
      <c r="R9507" t="s">
        <v>57</v>
      </c>
      <c r="S9507">
        <v>8</v>
      </c>
      <c r="T9507">
        <v>195</v>
      </c>
      <c r="U9507" s="1">
        <v>37497</v>
      </c>
      <c r="V9507" t="s">
        <v>89</v>
      </c>
      <c r="W9507" t="s">
        <v>90</v>
      </c>
      <c r="X9507" t="s">
        <v>58</v>
      </c>
      <c r="Y9507">
        <v>22</v>
      </c>
      <c r="Z9507" t="s">
        <v>59</v>
      </c>
      <c r="AA9507" t="s">
        <v>59</v>
      </c>
      <c r="AB9507" t="s">
        <v>59</v>
      </c>
      <c r="AC9507" t="s">
        <v>59</v>
      </c>
      <c r="AD9507" t="s">
        <v>59</v>
      </c>
      <c r="AF9507" s="1">
        <v>37497</v>
      </c>
      <c r="AG9507" t="s">
        <v>8645</v>
      </c>
      <c r="AH9507" t="s">
        <v>8646</v>
      </c>
      <c r="AI9507" t="str">
        <f>"9500137"</f>
        <v>9500137</v>
      </c>
      <c r="AJ9507" t="s">
        <v>14401</v>
      </c>
      <c r="AK9507">
        <v>2821093156</v>
      </c>
      <c r="AL9507" t="s">
        <v>14402</v>
      </c>
      <c r="AM9507" t="s">
        <v>88</v>
      </c>
      <c r="AN9507" t="s">
        <v>88</v>
      </c>
      <c r="AO9507" t="s">
        <v>88</v>
      </c>
      <c r="AP9507" t="s">
        <v>88</v>
      </c>
      <c r="AQ9507">
        <v>1</v>
      </c>
      <c r="AR9507" t="s">
        <v>89</v>
      </c>
      <c r="AS9507" t="s">
        <v>90</v>
      </c>
      <c r="AT9507" t="s">
        <v>58</v>
      </c>
      <c r="AU9507" t="s">
        <v>68</v>
      </c>
      <c r="AV9507" t="s">
        <v>69</v>
      </c>
      <c r="AW9507" s="1">
        <v>26046</v>
      </c>
      <c r="AX9507">
        <v>1</v>
      </c>
    </row>
    <row r="9508" spans="1:50">
      <c r="A9508">
        <v>622311</v>
      </c>
      <c r="B9508" t="str">
        <f>"118472900"</f>
        <v>118472900</v>
      </c>
      <c r="C9508" t="s">
        <v>50</v>
      </c>
      <c r="D9508" t="s">
        <v>9608</v>
      </c>
      <c r="E9508" t="s">
        <v>109</v>
      </c>
      <c r="F9508" t="s">
        <v>99</v>
      </c>
      <c r="G9508" t="s">
        <v>237</v>
      </c>
      <c r="H9508" t="str">
        <f>"ΕΙΡΗΝΗΣ 240 ΧΑΝΙΑ"</f>
        <v>ΕΙΡΗΝΗΣ 240 ΧΑΝΙΑ</v>
      </c>
      <c r="I9508">
        <v>73100</v>
      </c>
      <c r="J9508">
        <v>2821032925</v>
      </c>
      <c r="K9508">
        <v>6972013464</v>
      </c>
      <c r="N9508" t="s">
        <v>1525</v>
      </c>
      <c r="O9508" t="s">
        <v>1526</v>
      </c>
      <c r="R9508" t="s">
        <v>57</v>
      </c>
      <c r="S9508">
        <v>5</v>
      </c>
      <c r="T9508">
        <v>653</v>
      </c>
      <c r="U9508" s="1">
        <v>40043</v>
      </c>
      <c r="V9508" t="s">
        <v>89</v>
      </c>
      <c r="W9508" t="s">
        <v>90</v>
      </c>
      <c r="X9508" t="s">
        <v>58</v>
      </c>
      <c r="Y9508">
        <v>25</v>
      </c>
      <c r="Z9508" t="s">
        <v>59</v>
      </c>
      <c r="AA9508" t="s">
        <v>59</v>
      </c>
      <c r="AB9508" t="s">
        <v>59</v>
      </c>
      <c r="AC9508" t="s">
        <v>59</v>
      </c>
      <c r="AD9508" t="s">
        <v>59</v>
      </c>
      <c r="AF9508" s="1">
        <v>40043</v>
      </c>
      <c r="AG9508" t="s">
        <v>8651</v>
      </c>
      <c r="AH9508" t="s">
        <v>8652</v>
      </c>
      <c r="AI9508" t="str">
        <f>"9500375"</f>
        <v>9500375</v>
      </c>
      <c r="AJ9508" t="s">
        <v>14379</v>
      </c>
      <c r="AK9508">
        <v>2821068911</v>
      </c>
      <c r="AL9508" t="s">
        <v>14380</v>
      </c>
      <c r="AM9508" t="s">
        <v>88</v>
      </c>
      <c r="AN9508" t="s">
        <v>88</v>
      </c>
      <c r="AO9508" t="s">
        <v>6785</v>
      </c>
      <c r="AP9508" t="s">
        <v>14381</v>
      </c>
      <c r="AQ9508">
        <v>3</v>
      </c>
      <c r="AR9508" t="s">
        <v>89</v>
      </c>
      <c r="AS9508" t="s">
        <v>90</v>
      </c>
      <c r="AT9508" t="s">
        <v>58</v>
      </c>
      <c r="AU9508" t="s">
        <v>68</v>
      </c>
      <c r="AV9508" t="s">
        <v>69</v>
      </c>
      <c r="AW9508" s="1">
        <v>28287</v>
      </c>
      <c r="AX9508">
        <v>1</v>
      </c>
    </row>
    <row r="9509" spans="1:50">
      <c r="A9509">
        <v>619246</v>
      </c>
      <c r="B9509" t="str">
        <f>"064591632"</f>
        <v>064591632</v>
      </c>
      <c r="C9509" t="s">
        <v>50</v>
      </c>
      <c r="D9509" t="s">
        <v>14422</v>
      </c>
      <c r="E9509" t="s">
        <v>83</v>
      </c>
      <c r="F9509" t="s">
        <v>383</v>
      </c>
      <c r="G9509" t="s">
        <v>484</v>
      </c>
      <c r="H9509" t="str">
        <f>"ΤΕΡΜΑ ΝΙΚΟΛΑΟΥ ΠΛΑΣΤΗΡΑ ΤΣΙΚΑΛΑΡΙΑ"</f>
        <v>ΤΕΡΜΑ ΝΙΚΟΛΑΟΥ ΠΛΑΣΤΗΡΑ ΤΣΙΚΑΛΑΡΙΑ</v>
      </c>
      <c r="I9509">
        <v>73200</v>
      </c>
      <c r="J9509">
        <v>2821056651</v>
      </c>
      <c r="K9509">
        <v>6941666101</v>
      </c>
      <c r="N9509" t="s">
        <v>1525</v>
      </c>
      <c r="O9509" t="s">
        <v>1526</v>
      </c>
      <c r="R9509" t="s">
        <v>57</v>
      </c>
      <c r="S9509">
        <v>4</v>
      </c>
      <c r="T9509">
        <v>774</v>
      </c>
      <c r="U9509" s="1">
        <v>39680</v>
      </c>
      <c r="V9509" t="s">
        <v>89</v>
      </c>
      <c r="W9509" t="s">
        <v>90</v>
      </c>
      <c r="X9509" t="s">
        <v>58</v>
      </c>
      <c r="Y9509">
        <v>25</v>
      </c>
      <c r="Z9509" t="s">
        <v>59</v>
      </c>
      <c r="AA9509" t="s">
        <v>59</v>
      </c>
      <c r="AB9509" t="s">
        <v>59</v>
      </c>
      <c r="AC9509" t="s">
        <v>59</v>
      </c>
      <c r="AD9509" t="s">
        <v>59</v>
      </c>
      <c r="AF9509" s="1">
        <v>39681</v>
      </c>
      <c r="AG9509" t="s">
        <v>8651</v>
      </c>
      <c r="AH9509" t="s">
        <v>8652</v>
      </c>
      <c r="AI9509" t="str">
        <f>"9521553"</f>
        <v>9521553</v>
      </c>
      <c r="AJ9509" t="s">
        <v>14157</v>
      </c>
      <c r="AK9509">
        <v>2821092365</v>
      </c>
      <c r="AL9509" t="s">
        <v>14158</v>
      </c>
      <c r="AM9509" t="s">
        <v>88</v>
      </c>
      <c r="AN9509" t="s">
        <v>88</v>
      </c>
      <c r="AO9509" t="s">
        <v>88</v>
      </c>
      <c r="AP9509" t="s">
        <v>88</v>
      </c>
      <c r="AQ9509">
        <v>1</v>
      </c>
      <c r="AR9509" t="s">
        <v>89</v>
      </c>
      <c r="AS9509" t="s">
        <v>90</v>
      </c>
      <c r="AT9509" t="s">
        <v>58</v>
      </c>
      <c r="AU9509" t="s">
        <v>68</v>
      </c>
      <c r="AV9509" t="s">
        <v>69</v>
      </c>
      <c r="AW9509" s="1">
        <v>28696</v>
      </c>
      <c r="AX9509">
        <v>1</v>
      </c>
    </row>
    <row r="9510" spans="1:50">
      <c r="B9510" t="str">
        <f>"110857196"</f>
        <v>110857196</v>
      </c>
      <c r="C9510" t="s">
        <v>50</v>
      </c>
      <c r="D9510" t="s">
        <v>14423</v>
      </c>
      <c r="E9510" t="s">
        <v>114</v>
      </c>
      <c r="F9510" t="s">
        <v>670</v>
      </c>
      <c r="G9510" t="s">
        <v>52</v>
      </c>
      <c r="H9510" t="str">
        <f>"ΚΙΣΑΜΟΣ "</f>
        <v xml:space="preserve">ΚΙΣΑΜΟΣ </v>
      </c>
      <c r="I9510">
        <v>73400</v>
      </c>
      <c r="J9510">
        <v>2822022835</v>
      </c>
      <c r="K9510">
        <v>6974434164</v>
      </c>
      <c r="N9510" t="s">
        <v>1525</v>
      </c>
      <c r="O9510" t="s">
        <v>1526</v>
      </c>
      <c r="R9510" t="s">
        <v>159</v>
      </c>
      <c r="S9510">
        <v>3</v>
      </c>
      <c r="T9510" t="s">
        <v>8670</v>
      </c>
      <c r="U9510" s="1">
        <v>43348</v>
      </c>
      <c r="V9510" t="s">
        <v>89</v>
      </c>
      <c r="W9510" t="s">
        <v>90</v>
      </c>
      <c r="X9510" t="s">
        <v>58</v>
      </c>
      <c r="Y9510">
        <v>25</v>
      </c>
      <c r="Z9510" t="s">
        <v>59</v>
      </c>
      <c r="AA9510" t="s">
        <v>59</v>
      </c>
      <c r="AB9510" t="s">
        <v>59</v>
      </c>
      <c r="AC9510" t="s">
        <v>59</v>
      </c>
      <c r="AD9510" t="s">
        <v>59</v>
      </c>
      <c r="AF9510" s="1">
        <v>43348</v>
      </c>
      <c r="AG9510" t="s">
        <v>8651</v>
      </c>
      <c r="AH9510" t="s">
        <v>8652</v>
      </c>
      <c r="AI9510" t="str">
        <f>"9500417"</f>
        <v>9500417</v>
      </c>
      <c r="AJ9510" t="s">
        <v>14344</v>
      </c>
      <c r="AK9510">
        <v>2822032013</v>
      </c>
      <c r="AL9510" t="s">
        <v>14345</v>
      </c>
      <c r="AM9510" t="s">
        <v>88</v>
      </c>
      <c r="AN9510" t="s">
        <v>6744</v>
      </c>
      <c r="AO9510" t="s">
        <v>13863</v>
      </c>
      <c r="AP9510" t="s">
        <v>14346</v>
      </c>
      <c r="AQ9510">
        <v>9</v>
      </c>
      <c r="AR9510" t="s">
        <v>89</v>
      </c>
      <c r="AS9510" t="s">
        <v>90</v>
      </c>
      <c r="AT9510" t="s">
        <v>58</v>
      </c>
      <c r="AU9510" t="s">
        <v>8673</v>
      </c>
      <c r="AV9510" t="s">
        <v>132</v>
      </c>
      <c r="AW9510" s="1">
        <v>29102</v>
      </c>
      <c r="AX9510">
        <v>1</v>
      </c>
    </row>
    <row r="9511" spans="1:50">
      <c r="A9511">
        <v>619421</v>
      </c>
      <c r="B9511" t="str">
        <f>"125618815"</f>
        <v>125618815</v>
      </c>
      <c r="C9511" t="s">
        <v>50</v>
      </c>
      <c r="D9511" t="s">
        <v>14424</v>
      </c>
      <c r="E9511" t="s">
        <v>382</v>
      </c>
      <c r="F9511" t="s">
        <v>564</v>
      </c>
      <c r="G9511" t="s">
        <v>699</v>
      </c>
      <c r="H9511" t="str">
        <f>"ΚΙΣΑΜΟΣ "</f>
        <v xml:space="preserve">ΚΙΣΑΜΟΣ </v>
      </c>
      <c r="I9511">
        <v>73400</v>
      </c>
      <c r="K9511">
        <v>6946732817</v>
      </c>
      <c r="N9511" t="s">
        <v>1525</v>
      </c>
      <c r="O9511" t="s">
        <v>1526</v>
      </c>
      <c r="R9511" t="s">
        <v>57</v>
      </c>
      <c r="S9511">
        <v>5</v>
      </c>
      <c r="T9511">
        <v>774</v>
      </c>
      <c r="U9511" s="1">
        <v>39680</v>
      </c>
      <c r="V9511" t="s">
        <v>89</v>
      </c>
      <c r="W9511" t="s">
        <v>90</v>
      </c>
      <c r="X9511" t="s">
        <v>58</v>
      </c>
      <c r="Y9511">
        <v>25</v>
      </c>
      <c r="Z9511" t="s">
        <v>59</v>
      </c>
      <c r="AA9511" t="s">
        <v>59</v>
      </c>
      <c r="AB9511" t="s">
        <v>59</v>
      </c>
      <c r="AC9511" t="s">
        <v>59</v>
      </c>
      <c r="AD9511" t="s">
        <v>59</v>
      </c>
      <c r="AF9511" s="1">
        <v>39682</v>
      </c>
      <c r="AG9511" t="s">
        <v>8651</v>
      </c>
      <c r="AH9511" t="s">
        <v>8652</v>
      </c>
      <c r="AI9511" t="str">
        <f>"9500416"</f>
        <v>9500416</v>
      </c>
      <c r="AJ9511" t="s">
        <v>14425</v>
      </c>
      <c r="AK9511">
        <v>2822023003</v>
      </c>
      <c r="AL9511" t="s">
        <v>14426</v>
      </c>
      <c r="AM9511" t="s">
        <v>88</v>
      </c>
      <c r="AN9511" t="s">
        <v>6744</v>
      </c>
      <c r="AO9511" t="s">
        <v>6744</v>
      </c>
      <c r="AP9511" t="s">
        <v>6744</v>
      </c>
      <c r="AQ9511">
        <v>9</v>
      </c>
      <c r="AR9511" t="s">
        <v>89</v>
      </c>
      <c r="AS9511" t="s">
        <v>90</v>
      </c>
      <c r="AT9511" t="s">
        <v>58</v>
      </c>
      <c r="AU9511" t="s">
        <v>68</v>
      </c>
      <c r="AV9511" t="s">
        <v>69</v>
      </c>
      <c r="AW9511" s="1">
        <v>29120</v>
      </c>
      <c r="AX9511">
        <v>1</v>
      </c>
    </row>
    <row r="9512" spans="1:50">
      <c r="A9512">
        <v>594393</v>
      </c>
      <c r="B9512" t="str">
        <f>"056509167"</f>
        <v>056509167</v>
      </c>
      <c r="C9512" t="s">
        <v>50</v>
      </c>
      <c r="D9512" t="s">
        <v>14427</v>
      </c>
      <c r="E9512" t="s">
        <v>4729</v>
      </c>
      <c r="F9512" t="s">
        <v>670</v>
      </c>
      <c r="G9512" t="s">
        <v>52</v>
      </c>
      <c r="H9512" t="str">
        <f>"ΑΡΩΝΙ ΧΑΝΙΑ-ΑΚΡΩΤΗΡΙ"</f>
        <v>ΑΡΩΝΙ ΧΑΝΙΑ-ΑΚΡΩΤΗΡΙ</v>
      </c>
      <c r="I9512">
        <v>73100</v>
      </c>
      <c r="J9512">
        <v>2821066390</v>
      </c>
      <c r="K9512">
        <v>6944760551</v>
      </c>
      <c r="N9512" t="s">
        <v>615</v>
      </c>
      <c r="O9512" t="s">
        <v>616</v>
      </c>
      <c r="R9512" t="s">
        <v>57</v>
      </c>
      <c r="S9512">
        <v>8</v>
      </c>
      <c r="T9512">
        <v>218</v>
      </c>
      <c r="U9512" s="1">
        <v>37134</v>
      </c>
      <c r="V9512" t="s">
        <v>89</v>
      </c>
      <c r="W9512" t="s">
        <v>90</v>
      </c>
      <c r="X9512" t="s">
        <v>58</v>
      </c>
      <c r="Y9512">
        <v>22</v>
      </c>
      <c r="Z9512" t="s">
        <v>59</v>
      </c>
      <c r="AA9512" t="s">
        <v>59</v>
      </c>
      <c r="AB9512" t="s">
        <v>59</v>
      </c>
      <c r="AC9512" t="s">
        <v>59</v>
      </c>
      <c r="AD9512" t="s">
        <v>59</v>
      </c>
      <c r="AF9512" s="1">
        <v>37134</v>
      </c>
      <c r="AG9512" t="s">
        <v>8645</v>
      </c>
      <c r="AH9512" t="s">
        <v>8646</v>
      </c>
      <c r="AI9512" t="str">
        <f>"9500114"</f>
        <v>9500114</v>
      </c>
      <c r="AJ9512" t="s">
        <v>14013</v>
      </c>
      <c r="AK9512">
        <v>2821063458</v>
      </c>
      <c r="AL9512" t="s">
        <v>14014</v>
      </c>
      <c r="AM9512" t="s">
        <v>88</v>
      </c>
      <c r="AN9512" t="s">
        <v>88</v>
      </c>
      <c r="AO9512" t="s">
        <v>6770</v>
      </c>
      <c r="AP9512" t="s">
        <v>14015</v>
      </c>
      <c r="AQ9512">
        <v>2</v>
      </c>
      <c r="AR9512" t="s">
        <v>89</v>
      </c>
      <c r="AS9512" t="s">
        <v>90</v>
      </c>
      <c r="AT9512" t="s">
        <v>58</v>
      </c>
      <c r="AU9512" t="s">
        <v>68</v>
      </c>
      <c r="AV9512" t="s">
        <v>69</v>
      </c>
      <c r="AW9512" s="1">
        <v>27220</v>
      </c>
      <c r="AX9512">
        <v>1</v>
      </c>
    </row>
    <row r="9513" spans="1:50">
      <c r="A9513">
        <v>622787</v>
      </c>
      <c r="B9513" t="str">
        <f>"128557116"</f>
        <v>128557116</v>
      </c>
      <c r="C9513" t="s">
        <v>50</v>
      </c>
      <c r="D9513" t="s">
        <v>14428</v>
      </c>
      <c r="E9513" t="s">
        <v>964</v>
      </c>
      <c r="F9513" t="s">
        <v>459</v>
      </c>
      <c r="G9513" t="s">
        <v>5556</v>
      </c>
      <c r="H9513" t="str">
        <f>"ΔΗΜΑΡΧ. ΓΕΩΡΓΙΑΔΟΥ 223 ΒΟΛΟΣ"</f>
        <v>ΔΗΜΑΡΧ. ΓΕΩΡΓΙΑΔΟΥ 223 ΒΟΛΟΣ</v>
      </c>
      <c r="I9513">
        <v>38221</v>
      </c>
      <c r="J9513">
        <v>2821074647</v>
      </c>
      <c r="K9513">
        <v>6974262910</v>
      </c>
      <c r="L9513">
        <v>2841023186</v>
      </c>
      <c r="M9513" t="s">
        <v>14429</v>
      </c>
      <c r="N9513" t="s">
        <v>1525</v>
      </c>
      <c r="O9513" t="s">
        <v>1526</v>
      </c>
      <c r="R9513" t="s">
        <v>57</v>
      </c>
      <c r="S9513">
        <v>7</v>
      </c>
      <c r="T9513">
        <v>653</v>
      </c>
      <c r="U9513" s="1">
        <v>40043</v>
      </c>
      <c r="V9513" t="s">
        <v>89</v>
      </c>
      <c r="W9513" t="s">
        <v>90</v>
      </c>
      <c r="X9513" t="s">
        <v>58</v>
      </c>
      <c r="Y9513">
        <v>25</v>
      </c>
      <c r="Z9513" t="s">
        <v>59</v>
      </c>
      <c r="AA9513" t="s">
        <v>59</v>
      </c>
      <c r="AB9513" t="s">
        <v>59</v>
      </c>
      <c r="AC9513" t="s">
        <v>59</v>
      </c>
      <c r="AD9513" t="s">
        <v>59</v>
      </c>
      <c r="AF9513" s="1">
        <v>40043</v>
      </c>
      <c r="AG9513" t="s">
        <v>8651</v>
      </c>
      <c r="AH9513" t="s">
        <v>8652</v>
      </c>
      <c r="AI9513" t="str">
        <f>"9500257"</f>
        <v>9500257</v>
      </c>
      <c r="AJ9513" t="s">
        <v>14430</v>
      </c>
      <c r="AK9513">
        <v>2821077365</v>
      </c>
      <c r="AL9513" t="s">
        <v>14431</v>
      </c>
      <c r="AM9513" t="s">
        <v>88</v>
      </c>
      <c r="AN9513" t="s">
        <v>6764</v>
      </c>
      <c r="AO9513" t="s">
        <v>6885</v>
      </c>
      <c r="AP9513" t="s">
        <v>13937</v>
      </c>
      <c r="AQ9513">
        <v>4</v>
      </c>
      <c r="AR9513" t="s">
        <v>89</v>
      </c>
      <c r="AS9513" t="s">
        <v>90</v>
      </c>
      <c r="AT9513" t="s">
        <v>58</v>
      </c>
      <c r="AU9513" t="s">
        <v>68</v>
      </c>
      <c r="AV9513" t="s">
        <v>69</v>
      </c>
      <c r="AW9513" s="1">
        <v>29295</v>
      </c>
      <c r="AX9513">
        <v>1</v>
      </c>
    </row>
    <row r="9514" spans="1:50">
      <c r="A9514">
        <v>585862</v>
      </c>
      <c r="B9514" t="str">
        <f>"070326146"</f>
        <v>070326146</v>
      </c>
      <c r="C9514" t="s">
        <v>50</v>
      </c>
      <c r="D9514" t="s">
        <v>1391</v>
      </c>
      <c r="E9514" t="s">
        <v>4266</v>
      </c>
      <c r="F9514" t="s">
        <v>202</v>
      </c>
      <c r="G9514" t="s">
        <v>5416</v>
      </c>
      <c r="H9514" t="str">
        <f>"ΚΟΡΑΚΙΕΣ Τ.Θ. 387 ΑΚΡΩΤΗΡΙ"</f>
        <v>ΚΟΡΑΚΙΕΣ Τ.Θ. 387 ΑΚΡΩΤΗΡΙ</v>
      </c>
      <c r="I9514">
        <v>73142</v>
      </c>
      <c r="J9514">
        <v>2821069870</v>
      </c>
      <c r="K9514">
        <v>6973426262</v>
      </c>
      <c r="N9514" t="s">
        <v>615</v>
      </c>
      <c r="O9514" t="s">
        <v>616</v>
      </c>
      <c r="R9514" t="s">
        <v>57</v>
      </c>
      <c r="S9514">
        <v>11</v>
      </c>
      <c r="T9514">
        <v>165</v>
      </c>
      <c r="U9514" s="1">
        <v>36040</v>
      </c>
      <c r="V9514" t="s">
        <v>89</v>
      </c>
      <c r="W9514" t="s">
        <v>90</v>
      </c>
      <c r="X9514" t="s">
        <v>58</v>
      </c>
      <c r="Y9514">
        <v>21</v>
      </c>
      <c r="Z9514" t="s">
        <v>59</v>
      </c>
      <c r="AA9514" t="s">
        <v>59</v>
      </c>
      <c r="AB9514" t="s">
        <v>59</v>
      </c>
      <c r="AC9514" t="s">
        <v>59</v>
      </c>
      <c r="AD9514" t="s">
        <v>59</v>
      </c>
      <c r="AF9514" s="1">
        <v>36040</v>
      </c>
      <c r="AG9514" t="s">
        <v>8645</v>
      </c>
      <c r="AH9514" t="s">
        <v>8646</v>
      </c>
      <c r="AI9514" t="str">
        <f>"9500040"</f>
        <v>9500040</v>
      </c>
      <c r="AJ9514" t="s">
        <v>13906</v>
      </c>
      <c r="AK9514">
        <v>2821045356</v>
      </c>
      <c r="AL9514" t="s">
        <v>13907</v>
      </c>
      <c r="AM9514" t="s">
        <v>88</v>
      </c>
      <c r="AN9514" t="s">
        <v>88</v>
      </c>
      <c r="AO9514" t="s">
        <v>88</v>
      </c>
      <c r="AP9514" t="s">
        <v>88</v>
      </c>
      <c r="AQ9514">
        <v>1</v>
      </c>
      <c r="AR9514" t="s">
        <v>89</v>
      </c>
      <c r="AS9514" t="s">
        <v>90</v>
      </c>
      <c r="AT9514" t="s">
        <v>58</v>
      </c>
      <c r="AU9514" t="s">
        <v>68</v>
      </c>
      <c r="AV9514" t="s">
        <v>69</v>
      </c>
      <c r="AW9514" s="1">
        <v>24670</v>
      </c>
      <c r="AX9514">
        <v>1</v>
      </c>
    </row>
    <row r="9515" spans="1:50">
      <c r="A9515">
        <v>619987</v>
      </c>
      <c r="B9515" t="str">
        <f>"047148600"</f>
        <v>047148600</v>
      </c>
      <c r="C9515" t="s">
        <v>50</v>
      </c>
      <c r="D9515" t="s">
        <v>14432</v>
      </c>
      <c r="E9515" t="s">
        <v>4729</v>
      </c>
      <c r="F9515" t="s">
        <v>72</v>
      </c>
      <c r="G9515" t="s">
        <v>237</v>
      </c>
      <c r="H9515" t="str">
        <f>"ΠΑΝΤΑΖΙΔΟΥ 1 ΘΕΣΣΑΛΟΝΙΚΗ"</f>
        <v>ΠΑΝΤΑΖΙΔΟΥ 1 ΘΕΣΣΑΛΟΝΙΚΗ</v>
      </c>
      <c r="I9515">
        <v>54352</v>
      </c>
      <c r="J9515">
        <v>2310926818</v>
      </c>
      <c r="K9515">
        <v>6949202616</v>
      </c>
      <c r="M9515" t="s">
        <v>14433</v>
      </c>
      <c r="N9515" t="s">
        <v>176</v>
      </c>
      <c r="O9515" t="s">
        <v>177</v>
      </c>
      <c r="R9515" t="s">
        <v>57</v>
      </c>
      <c r="S9515">
        <v>6</v>
      </c>
      <c r="T9515">
        <v>775</v>
      </c>
      <c r="U9515" s="1">
        <v>39680</v>
      </c>
      <c r="V9515" t="s">
        <v>89</v>
      </c>
      <c r="W9515" t="s">
        <v>90</v>
      </c>
      <c r="X9515" t="s">
        <v>58</v>
      </c>
      <c r="Y9515">
        <v>23</v>
      </c>
      <c r="Z9515" t="s">
        <v>59</v>
      </c>
      <c r="AA9515" t="s">
        <v>59</v>
      </c>
      <c r="AB9515" t="s">
        <v>59</v>
      </c>
      <c r="AC9515" t="s">
        <v>59</v>
      </c>
      <c r="AD9515" t="s">
        <v>59</v>
      </c>
      <c r="AF9515" s="1">
        <v>39681</v>
      </c>
      <c r="AG9515" t="s">
        <v>60</v>
      </c>
      <c r="AH9515" t="s">
        <v>453</v>
      </c>
      <c r="AI9515" t="str">
        <f>"9950101"</f>
        <v>9950101</v>
      </c>
      <c r="AJ9515" t="s">
        <v>90</v>
      </c>
      <c r="AK9515">
        <v>2821047300</v>
      </c>
      <c r="AL9515" t="s">
        <v>14226</v>
      </c>
      <c r="AM9515" t="s">
        <v>88</v>
      </c>
      <c r="AN9515" t="s">
        <v>88</v>
      </c>
      <c r="AO9515" t="s">
        <v>88</v>
      </c>
      <c r="AP9515" t="s">
        <v>88</v>
      </c>
      <c r="AS9515" t="s">
        <v>90</v>
      </c>
      <c r="AT9515" t="s">
        <v>58</v>
      </c>
      <c r="AU9515" t="s">
        <v>68</v>
      </c>
      <c r="AV9515" t="s">
        <v>455</v>
      </c>
      <c r="AW9515" s="1">
        <v>25248</v>
      </c>
      <c r="AX9515">
        <v>1</v>
      </c>
    </row>
    <row r="9516" spans="1:50">
      <c r="A9516">
        <v>579509</v>
      </c>
      <c r="B9516" t="str">
        <f>"118459348"</f>
        <v>118459348</v>
      </c>
      <c r="C9516" t="s">
        <v>50</v>
      </c>
      <c r="D9516" t="s">
        <v>7194</v>
      </c>
      <c r="E9516" t="s">
        <v>52</v>
      </c>
      <c r="F9516" t="s">
        <v>99</v>
      </c>
      <c r="G9516" t="s">
        <v>14434</v>
      </c>
      <c r="H9516" t="str">
        <f>"ΠΟΛΟΓΙΩΡΓΗ 15 ΧΑΝΙΑ"</f>
        <v>ΠΟΛΟΓΙΩΡΓΗ 15 ΧΑΝΙΑ</v>
      </c>
      <c r="I9516">
        <v>73100</v>
      </c>
      <c r="J9516">
        <v>2821059389</v>
      </c>
      <c r="K9516">
        <v>6945717901</v>
      </c>
      <c r="L9516">
        <v>2821059389</v>
      </c>
      <c r="M9516" t="s">
        <v>14435</v>
      </c>
      <c r="N9516" t="s">
        <v>615</v>
      </c>
      <c r="O9516" t="s">
        <v>616</v>
      </c>
      <c r="R9516" t="s">
        <v>57</v>
      </c>
      <c r="S9516">
        <v>13</v>
      </c>
      <c r="T9516">
        <v>165</v>
      </c>
      <c r="U9516" s="1">
        <v>35300</v>
      </c>
      <c r="V9516" t="s">
        <v>89</v>
      </c>
      <c r="W9516" t="s">
        <v>90</v>
      </c>
      <c r="X9516" t="s">
        <v>58</v>
      </c>
      <c r="Y9516">
        <v>21</v>
      </c>
      <c r="Z9516" t="s">
        <v>59</v>
      </c>
      <c r="AA9516" t="s">
        <v>59</v>
      </c>
      <c r="AB9516" t="s">
        <v>59</v>
      </c>
      <c r="AC9516" t="s">
        <v>59</v>
      </c>
      <c r="AD9516" t="s">
        <v>59</v>
      </c>
      <c r="AF9516" s="1">
        <v>35300</v>
      </c>
      <c r="AG9516" t="s">
        <v>8645</v>
      </c>
      <c r="AH9516" t="s">
        <v>8646</v>
      </c>
      <c r="AI9516" t="str">
        <f>"9500075"</f>
        <v>9500075</v>
      </c>
      <c r="AJ9516" t="s">
        <v>13955</v>
      </c>
      <c r="AK9516">
        <v>2821046505</v>
      </c>
      <c r="AL9516" t="s">
        <v>13956</v>
      </c>
      <c r="AM9516" t="s">
        <v>88</v>
      </c>
      <c r="AN9516" t="s">
        <v>88</v>
      </c>
      <c r="AO9516" t="s">
        <v>88</v>
      </c>
      <c r="AP9516" t="s">
        <v>88</v>
      </c>
      <c r="AQ9516">
        <v>1</v>
      </c>
      <c r="AR9516" t="s">
        <v>89</v>
      </c>
      <c r="AS9516" t="s">
        <v>90</v>
      </c>
      <c r="AT9516" t="s">
        <v>58</v>
      </c>
      <c r="AU9516" t="s">
        <v>68</v>
      </c>
      <c r="AV9516" t="s">
        <v>69</v>
      </c>
      <c r="AW9516" s="1">
        <v>24781</v>
      </c>
      <c r="AX9516">
        <v>1</v>
      </c>
    </row>
    <row r="9517" spans="1:50">
      <c r="A9517">
        <v>701029</v>
      </c>
      <c r="B9517" t="str">
        <f>"140444689"</f>
        <v>140444689</v>
      </c>
      <c r="C9517" t="s">
        <v>50</v>
      </c>
      <c r="D9517" t="s">
        <v>14436</v>
      </c>
      <c r="E9517" t="s">
        <v>52</v>
      </c>
      <c r="F9517" t="s">
        <v>450</v>
      </c>
      <c r="G9517" t="s">
        <v>73</v>
      </c>
      <c r="H9517" t="str">
        <f>"ΜΑΡΑΣΛΗ 4 ΛΑΡΙΣΑ"</f>
        <v>ΜΑΡΑΣΛΗ 4 ΛΑΡΙΣΑ</v>
      </c>
      <c r="I9517">
        <v>40100</v>
      </c>
      <c r="J9517">
        <v>2492023961</v>
      </c>
      <c r="K9517">
        <v>6934168022</v>
      </c>
      <c r="N9517" t="s">
        <v>615</v>
      </c>
      <c r="O9517" t="s">
        <v>616</v>
      </c>
      <c r="R9517" t="s">
        <v>57</v>
      </c>
      <c r="S9517">
        <v>5</v>
      </c>
      <c r="T9517">
        <v>772</v>
      </c>
      <c r="U9517" s="1">
        <v>40413</v>
      </c>
      <c r="V9517" t="s">
        <v>89</v>
      </c>
      <c r="W9517" t="s">
        <v>90</v>
      </c>
      <c r="X9517" t="s">
        <v>58</v>
      </c>
      <c r="Y9517">
        <v>23</v>
      </c>
      <c r="Z9517" t="s">
        <v>59</v>
      </c>
      <c r="AA9517" t="s">
        <v>59</v>
      </c>
      <c r="AB9517" t="s">
        <v>59</v>
      </c>
      <c r="AC9517" t="s">
        <v>59</v>
      </c>
      <c r="AD9517" t="s">
        <v>59</v>
      </c>
      <c r="AF9517" s="1">
        <v>40413</v>
      </c>
      <c r="AG9517" t="s">
        <v>8645</v>
      </c>
      <c r="AH9517" t="s">
        <v>14199</v>
      </c>
      <c r="AI9517" t="str">
        <f>"9500140"</f>
        <v>9500140</v>
      </c>
      <c r="AJ9517" t="s">
        <v>14200</v>
      </c>
      <c r="AK9517">
        <v>2821097348</v>
      </c>
      <c r="AL9517" t="s">
        <v>14201</v>
      </c>
      <c r="AM9517" t="s">
        <v>88</v>
      </c>
      <c r="AN9517" t="s">
        <v>88</v>
      </c>
      <c r="AO9517" t="s">
        <v>88</v>
      </c>
      <c r="AP9517" t="s">
        <v>88</v>
      </c>
      <c r="AQ9517">
        <v>1</v>
      </c>
      <c r="AR9517" t="s">
        <v>89</v>
      </c>
      <c r="AS9517" t="s">
        <v>90</v>
      </c>
      <c r="AT9517" t="s">
        <v>58</v>
      </c>
      <c r="AU9517" t="s">
        <v>68</v>
      </c>
      <c r="AV9517" t="s">
        <v>69</v>
      </c>
      <c r="AW9517" s="1">
        <v>31190</v>
      </c>
      <c r="AX9517">
        <v>1</v>
      </c>
    </row>
    <row r="9518" spans="1:50">
      <c r="A9518">
        <v>596982</v>
      </c>
      <c r="B9518" t="str">
        <f>"052263079"</f>
        <v>052263079</v>
      </c>
      <c r="C9518" t="s">
        <v>50</v>
      </c>
      <c r="D9518" t="s">
        <v>14437</v>
      </c>
      <c r="E9518" t="s">
        <v>710</v>
      </c>
      <c r="F9518" t="s">
        <v>72</v>
      </c>
      <c r="G9518" t="s">
        <v>52</v>
      </c>
      <c r="H9518" t="str">
        <f>"ΣΤ. ΜΠΑΤΣΑΚΗ 6 ΧΑΝΙΑ"</f>
        <v>ΣΤ. ΜΠΑΤΣΑΚΗ 6 ΧΑΝΙΑ</v>
      </c>
      <c r="I9518">
        <v>73100</v>
      </c>
      <c r="J9518">
        <v>2821058443</v>
      </c>
      <c r="K9518">
        <v>6972201368</v>
      </c>
      <c r="N9518" t="s">
        <v>1525</v>
      </c>
      <c r="O9518" t="s">
        <v>1526</v>
      </c>
      <c r="R9518" t="s">
        <v>57</v>
      </c>
      <c r="S9518">
        <v>8</v>
      </c>
      <c r="T9518">
        <v>195</v>
      </c>
      <c r="U9518" s="1">
        <v>37497</v>
      </c>
      <c r="V9518" t="s">
        <v>89</v>
      </c>
      <c r="W9518" t="s">
        <v>90</v>
      </c>
      <c r="X9518" t="s">
        <v>58</v>
      </c>
      <c r="Y9518">
        <v>25</v>
      </c>
      <c r="Z9518" t="s">
        <v>59</v>
      </c>
      <c r="AA9518" t="s">
        <v>59</v>
      </c>
      <c r="AB9518" t="s">
        <v>59</v>
      </c>
      <c r="AC9518" t="s">
        <v>59</v>
      </c>
      <c r="AD9518" t="s">
        <v>59</v>
      </c>
      <c r="AF9518" s="1">
        <v>37502</v>
      </c>
      <c r="AG9518" t="s">
        <v>8651</v>
      </c>
      <c r="AH9518" t="s">
        <v>8652</v>
      </c>
      <c r="AI9518" t="str">
        <f>"9500079"</f>
        <v>9500079</v>
      </c>
      <c r="AJ9518" t="s">
        <v>14438</v>
      </c>
      <c r="AK9518">
        <v>2821056880</v>
      </c>
      <c r="AL9518" t="s">
        <v>14439</v>
      </c>
      <c r="AM9518" t="s">
        <v>88</v>
      </c>
      <c r="AN9518" t="s">
        <v>88</v>
      </c>
      <c r="AO9518" t="s">
        <v>88</v>
      </c>
      <c r="AP9518" t="s">
        <v>88</v>
      </c>
      <c r="AQ9518">
        <v>1</v>
      </c>
      <c r="AR9518" t="s">
        <v>89</v>
      </c>
      <c r="AS9518" t="s">
        <v>90</v>
      </c>
      <c r="AT9518" t="s">
        <v>58</v>
      </c>
      <c r="AU9518" t="s">
        <v>68</v>
      </c>
      <c r="AV9518" t="s">
        <v>69</v>
      </c>
      <c r="AW9518" s="1">
        <v>25001</v>
      </c>
      <c r="AX9518">
        <v>1</v>
      </c>
    </row>
    <row r="9519" spans="1:50">
      <c r="A9519">
        <v>619788</v>
      </c>
      <c r="B9519" t="str">
        <f>"046592184"</f>
        <v>046592184</v>
      </c>
      <c r="C9519" t="s">
        <v>50</v>
      </c>
      <c r="D9519" t="s">
        <v>9656</v>
      </c>
      <c r="E9519" t="s">
        <v>83</v>
      </c>
      <c r="F9519" t="s">
        <v>166</v>
      </c>
      <c r="G9519" t="s">
        <v>280</v>
      </c>
      <c r="H9519" t="str">
        <f>"Α' ΔΙΚΩΝΥΜΟΥ 28 ΧΑΝΙΑ"</f>
        <v>Α' ΔΙΚΩΝΥΜΟΥ 28 ΧΑΝΙΑ</v>
      </c>
      <c r="I9519">
        <v>73100</v>
      </c>
      <c r="J9519">
        <v>2821087522</v>
      </c>
      <c r="K9519">
        <v>6973880001</v>
      </c>
      <c r="N9519" t="s">
        <v>176</v>
      </c>
      <c r="O9519" t="s">
        <v>177</v>
      </c>
      <c r="R9519" t="s">
        <v>57</v>
      </c>
      <c r="S9519">
        <v>8</v>
      </c>
      <c r="T9519">
        <v>775</v>
      </c>
      <c r="U9519" s="1">
        <v>39680</v>
      </c>
      <c r="V9519" t="s">
        <v>89</v>
      </c>
      <c r="W9519" t="s">
        <v>90</v>
      </c>
      <c r="X9519" t="s">
        <v>58</v>
      </c>
      <c r="Y9519">
        <v>22</v>
      </c>
      <c r="Z9519" t="s">
        <v>59</v>
      </c>
      <c r="AA9519" t="s">
        <v>59</v>
      </c>
      <c r="AB9519" t="s">
        <v>59</v>
      </c>
      <c r="AC9519" t="s">
        <v>59</v>
      </c>
      <c r="AD9519" t="s">
        <v>59</v>
      </c>
      <c r="AF9519" s="1">
        <v>39681</v>
      </c>
      <c r="AG9519" t="s">
        <v>8645</v>
      </c>
      <c r="AH9519" t="s">
        <v>8646</v>
      </c>
      <c r="AI9519" t="str">
        <f>"9500205"</f>
        <v>9500205</v>
      </c>
      <c r="AJ9519" t="s">
        <v>13861</v>
      </c>
      <c r="AK9519">
        <v>2822031289</v>
      </c>
      <c r="AL9519" t="s">
        <v>13862</v>
      </c>
      <c r="AM9519" t="s">
        <v>88</v>
      </c>
      <c r="AN9519" t="s">
        <v>6744</v>
      </c>
      <c r="AO9519" t="s">
        <v>13863</v>
      </c>
      <c r="AP9519" t="s">
        <v>13864</v>
      </c>
      <c r="AQ9519">
        <v>9</v>
      </c>
      <c r="AR9519" t="s">
        <v>89</v>
      </c>
      <c r="AS9519" t="s">
        <v>90</v>
      </c>
      <c r="AT9519" t="s">
        <v>58</v>
      </c>
      <c r="AU9519" t="s">
        <v>68</v>
      </c>
      <c r="AV9519" t="s">
        <v>69</v>
      </c>
      <c r="AW9519" s="1">
        <v>25675</v>
      </c>
      <c r="AX9519">
        <v>1</v>
      </c>
    </row>
    <row r="9520" spans="1:50">
      <c r="A9520">
        <v>581787</v>
      </c>
      <c r="B9520" t="str">
        <f>"035578450"</f>
        <v>035578450</v>
      </c>
      <c r="C9520" t="s">
        <v>50</v>
      </c>
      <c r="D9520" t="s">
        <v>14440</v>
      </c>
      <c r="E9520" t="s">
        <v>460</v>
      </c>
      <c r="F9520" t="s">
        <v>153</v>
      </c>
      <c r="G9520" t="s">
        <v>563</v>
      </c>
      <c r="H9520" t="str">
        <f>"ΣΜΥΡΝΗΣ 53 ΧΑΝΙΑ"</f>
        <v>ΣΜΥΡΝΗΣ 53 ΧΑΝΙΑ</v>
      </c>
      <c r="I9520">
        <v>73136</v>
      </c>
      <c r="J9520">
        <v>2821093092</v>
      </c>
      <c r="K9520">
        <v>6941632190</v>
      </c>
      <c r="N9520" t="s">
        <v>615</v>
      </c>
      <c r="O9520" t="s">
        <v>616</v>
      </c>
      <c r="R9520" t="s">
        <v>57</v>
      </c>
      <c r="S9520">
        <v>11</v>
      </c>
      <c r="T9520">
        <v>179</v>
      </c>
      <c r="U9520" s="1">
        <v>35674</v>
      </c>
      <c r="V9520" t="s">
        <v>89</v>
      </c>
      <c r="W9520" t="s">
        <v>90</v>
      </c>
      <c r="X9520" t="s">
        <v>58</v>
      </c>
      <c r="Y9520">
        <v>21</v>
      </c>
      <c r="Z9520" t="s">
        <v>59</v>
      </c>
      <c r="AA9520" t="s">
        <v>59</v>
      </c>
      <c r="AB9520" t="s">
        <v>59</v>
      </c>
      <c r="AC9520" t="s">
        <v>59</v>
      </c>
      <c r="AD9520" t="s">
        <v>59</v>
      </c>
      <c r="AF9520" s="1">
        <v>35674</v>
      </c>
      <c r="AG9520" t="s">
        <v>8645</v>
      </c>
      <c r="AH9520" t="s">
        <v>8646</v>
      </c>
      <c r="AI9520" t="str">
        <f>"9500137"</f>
        <v>9500137</v>
      </c>
      <c r="AJ9520" t="s">
        <v>14401</v>
      </c>
      <c r="AK9520">
        <v>2821093156</v>
      </c>
      <c r="AL9520" t="s">
        <v>14402</v>
      </c>
      <c r="AM9520" t="s">
        <v>88</v>
      </c>
      <c r="AN9520" t="s">
        <v>88</v>
      </c>
      <c r="AO9520" t="s">
        <v>88</v>
      </c>
      <c r="AP9520" t="s">
        <v>88</v>
      </c>
      <c r="AQ9520">
        <v>1</v>
      </c>
      <c r="AR9520" t="s">
        <v>89</v>
      </c>
      <c r="AS9520" t="s">
        <v>90</v>
      </c>
      <c r="AT9520" t="s">
        <v>58</v>
      </c>
      <c r="AU9520" t="s">
        <v>68</v>
      </c>
      <c r="AV9520" t="s">
        <v>69</v>
      </c>
      <c r="AW9520" s="1">
        <v>24525</v>
      </c>
      <c r="AX9520">
        <v>1</v>
      </c>
    </row>
    <row r="9521" spans="1:50">
      <c r="A9521">
        <v>619542</v>
      </c>
      <c r="B9521" t="str">
        <f>"139912763"</f>
        <v>139912763</v>
      </c>
      <c r="C9521" t="s">
        <v>50</v>
      </c>
      <c r="D9521" t="s">
        <v>14441</v>
      </c>
      <c r="E9521" t="s">
        <v>6095</v>
      </c>
      <c r="F9521" t="s">
        <v>106</v>
      </c>
      <c r="G9521" t="s">
        <v>143</v>
      </c>
      <c r="H9521" t="str">
        <f>"- ΑΣΚΥΦΟΥ ΣΦΑΚΙΩΝ"</f>
        <v>- ΑΣΚΥΦΟΥ ΣΦΑΚΙΩΝ</v>
      </c>
      <c r="I9521">
        <v>73011</v>
      </c>
      <c r="J9521">
        <v>2825095461</v>
      </c>
      <c r="K9521">
        <v>6979923715</v>
      </c>
      <c r="L9521">
        <v>2106892825</v>
      </c>
      <c r="N9521" t="s">
        <v>1525</v>
      </c>
      <c r="O9521" t="s">
        <v>1526</v>
      </c>
      <c r="R9521" t="s">
        <v>57</v>
      </c>
      <c r="S9521">
        <v>5</v>
      </c>
      <c r="T9521">
        <v>774</v>
      </c>
      <c r="U9521" s="1">
        <v>39680</v>
      </c>
      <c r="V9521" t="s">
        <v>89</v>
      </c>
      <c r="W9521" t="s">
        <v>90</v>
      </c>
      <c r="X9521" t="s">
        <v>58</v>
      </c>
      <c r="Y9521">
        <v>25</v>
      </c>
      <c r="Z9521" t="s">
        <v>59</v>
      </c>
      <c r="AA9521" t="s">
        <v>59</v>
      </c>
      <c r="AB9521" t="s">
        <v>59</v>
      </c>
      <c r="AC9521" t="s">
        <v>59</v>
      </c>
      <c r="AD9521" t="s">
        <v>59</v>
      </c>
      <c r="AF9521" s="1">
        <v>39682</v>
      </c>
      <c r="AG9521" t="s">
        <v>8651</v>
      </c>
      <c r="AH9521" t="s">
        <v>8652</v>
      </c>
      <c r="AI9521" t="str">
        <f>"9500410"</f>
        <v>9500410</v>
      </c>
      <c r="AJ9521" t="s">
        <v>14442</v>
      </c>
      <c r="AK9521">
        <v>2825095296</v>
      </c>
      <c r="AL9521" t="s">
        <v>14443</v>
      </c>
      <c r="AM9521" t="s">
        <v>88</v>
      </c>
      <c r="AN9521" t="s">
        <v>6995</v>
      </c>
      <c r="AO9521" t="s">
        <v>6995</v>
      </c>
      <c r="AP9521" t="s">
        <v>14444</v>
      </c>
      <c r="AQ9521">
        <v>10</v>
      </c>
      <c r="AR9521" t="s">
        <v>89</v>
      </c>
      <c r="AS9521" t="s">
        <v>90</v>
      </c>
      <c r="AT9521" t="s">
        <v>58</v>
      </c>
      <c r="AU9521" t="s">
        <v>68</v>
      </c>
      <c r="AV9521" t="s">
        <v>69</v>
      </c>
      <c r="AW9521" s="1">
        <v>30697</v>
      </c>
      <c r="AX9521">
        <v>1</v>
      </c>
    </row>
    <row r="9522" spans="1:50">
      <c r="A9522">
        <v>610761</v>
      </c>
      <c r="B9522" t="str">
        <f>"135226876"</f>
        <v>135226876</v>
      </c>
      <c r="C9522" t="s">
        <v>50</v>
      </c>
      <c r="D9522" t="s">
        <v>1420</v>
      </c>
      <c r="E9522" t="s">
        <v>83</v>
      </c>
      <c r="F9522" t="s">
        <v>95</v>
      </c>
      <c r="G9522" t="s">
        <v>238</v>
      </c>
      <c r="H9522" t="str">
        <f>"ΜΗΤΡΟΠΟΛΙΤΟΥ ΚΥΡΙΛΛΟΥ 22 ΧΑΝΙΑ"</f>
        <v>ΜΗΤΡΟΠΟΛΙΤΟΥ ΚΥΡΙΛΛΟΥ 22 ΧΑΝΙΑ</v>
      </c>
      <c r="I9522">
        <v>73100</v>
      </c>
      <c r="J9522">
        <v>2821094368</v>
      </c>
      <c r="K9522">
        <v>6948886134</v>
      </c>
      <c r="N9522" t="s">
        <v>615</v>
      </c>
      <c r="O9522" t="s">
        <v>616</v>
      </c>
      <c r="R9522" t="s">
        <v>57</v>
      </c>
      <c r="S9522">
        <v>6</v>
      </c>
      <c r="T9522">
        <v>233</v>
      </c>
      <c r="U9522" s="1">
        <v>38960</v>
      </c>
      <c r="V9522" t="s">
        <v>89</v>
      </c>
      <c r="W9522" t="s">
        <v>90</v>
      </c>
      <c r="X9522" t="s">
        <v>58</v>
      </c>
      <c r="Y9522">
        <v>23</v>
      </c>
      <c r="Z9522" t="s">
        <v>59</v>
      </c>
      <c r="AA9522" t="s">
        <v>59</v>
      </c>
      <c r="AB9522" t="s">
        <v>59</v>
      </c>
      <c r="AC9522" t="s">
        <v>59</v>
      </c>
      <c r="AD9522" t="s">
        <v>59</v>
      </c>
      <c r="AF9522" s="1">
        <v>38960</v>
      </c>
      <c r="AG9522" t="s">
        <v>8645</v>
      </c>
      <c r="AH9522" t="s">
        <v>8646</v>
      </c>
      <c r="AI9522" t="str">
        <f>"9500147"</f>
        <v>9500147</v>
      </c>
      <c r="AJ9522" t="s">
        <v>14008</v>
      </c>
      <c r="AK9522">
        <v>2821094573</v>
      </c>
      <c r="AL9522" t="s">
        <v>14009</v>
      </c>
      <c r="AM9522" t="s">
        <v>88</v>
      </c>
      <c r="AN9522" t="s">
        <v>88</v>
      </c>
      <c r="AO9522" t="s">
        <v>88</v>
      </c>
      <c r="AP9522" t="s">
        <v>88</v>
      </c>
      <c r="AQ9522">
        <v>1</v>
      </c>
      <c r="AR9522" t="s">
        <v>89</v>
      </c>
      <c r="AS9522" t="s">
        <v>90</v>
      </c>
      <c r="AT9522" t="s">
        <v>58</v>
      </c>
      <c r="AU9522" t="s">
        <v>68</v>
      </c>
      <c r="AV9522" t="s">
        <v>69</v>
      </c>
      <c r="AW9522" s="1">
        <v>30321</v>
      </c>
      <c r="AX9522">
        <v>1</v>
      </c>
    </row>
    <row r="9523" spans="1:50">
      <c r="A9523">
        <v>557914</v>
      </c>
      <c r="B9523" t="str">
        <f>"032410634"</f>
        <v>032410634</v>
      </c>
      <c r="C9523" t="s">
        <v>50</v>
      </c>
      <c r="D9523" t="s">
        <v>12146</v>
      </c>
      <c r="E9523" t="s">
        <v>3666</v>
      </c>
      <c r="F9523" t="s">
        <v>3246</v>
      </c>
      <c r="G9523" t="s">
        <v>372</v>
      </c>
      <c r="H9523" t="str">
        <f>"ΕΜΜΑΝΟΥΗΛ ΜΑΝΤΑΚΑ 34 Χανιά ΧΑΝΙΑ"</f>
        <v>ΕΜΜΑΝΟΥΗΛ ΜΑΝΤΑΚΑ 34 Χανιά ΧΑΝΙΑ</v>
      </c>
      <c r="I9523">
        <v>73133</v>
      </c>
      <c r="J9523">
        <v>2821044154</v>
      </c>
      <c r="K9523">
        <v>6978947179</v>
      </c>
      <c r="L9523">
        <v>2821044154</v>
      </c>
      <c r="M9523" t="s">
        <v>14445</v>
      </c>
      <c r="N9523" t="s">
        <v>615</v>
      </c>
      <c r="O9523" t="s">
        <v>616</v>
      </c>
      <c r="R9523" t="s">
        <v>57</v>
      </c>
      <c r="S9523">
        <v>16</v>
      </c>
      <c r="T9523">
        <v>168</v>
      </c>
      <c r="U9523" s="1">
        <v>32010</v>
      </c>
      <c r="V9523" t="s">
        <v>89</v>
      </c>
      <c r="W9523" t="s">
        <v>90</v>
      </c>
      <c r="X9523" t="s">
        <v>58</v>
      </c>
      <c r="Y9523">
        <v>21</v>
      </c>
      <c r="Z9523" t="s">
        <v>59</v>
      </c>
      <c r="AA9523" t="s">
        <v>59</v>
      </c>
      <c r="AB9523" t="s">
        <v>59</v>
      </c>
      <c r="AC9523" t="s">
        <v>59</v>
      </c>
      <c r="AD9523" t="s">
        <v>59</v>
      </c>
      <c r="AF9523" s="1">
        <v>32010</v>
      </c>
      <c r="AG9523" t="s">
        <v>8645</v>
      </c>
      <c r="AH9523" t="s">
        <v>8646</v>
      </c>
      <c r="AI9523" t="str">
        <f>"9500075"</f>
        <v>9500075</v>
      </c>
      <c r="AJ9523" t="s">
        <v>13955</v>
      </c>
      <c r="AK9523">
        <v>2821046505</v>
      </c>
      <c r="AL9523" t="s">
        <v>13956</v>
      </c>
      <c r="AM9523" t="s">
        <v>88</v>
      </c>
      <c r="AN9523" t="s">
        <v>88</v>
      </c>
      <c r="AO9523" t="s">
        <v>88</v>
      </c>
      <c r="AP9523" t="s">
        <v>88</v>
      </c>
      <c r="AQ9523">
        <v>1</v>
      </c>
      <c r="AR9523" t="s">
        <v>89</v>
      </c>
      <c r="AS9523" t="s">
        <v>90</v>
      </c>
      <c r="AT9523" t="s">
        <v>58</v>
      </c>
      <c r="AU9523" t="s">
        <v>68</v>
      </c>
      <c r="AV9523" t="s">
        <v>69</v>
      </c>
      <c r="AW9523" s="1">
        <v>22032</v>
      </c>
      <c r="AX9523">
        <v>1</v>
      </c>
    </row>
    <row r="9524" spans="1:50">
      <c r="A9524">
        <v>621742</v>
      </c>
      <c r="B9524" t="str">
        <f>"139867879"</f>
        <v>139867879</v>
      </c>
      <c r="C9524" t="s">
        <v>50</v>
      </c>
      <c r="D9524" t="s">
        <v>12147</v>
      </c>
      <c r="E9524" t="s">
        <v>83</v>
      </c>
      <c r="F9524" t="s">
        <v>1543</v>
      </c>
      <c r="G9524" t="s">
        <v>191</v>
      </c>
      <c r="H9524" t="str">
        <f>"ΠΕΡΙΓΙΑΛΙ 62 ΚΑΒΑΛΑ"</f>
        <v>ΠΕΡΙΓΙΑΛΙ 62 ΚΑΒΑΛΑ</v>
      </c>
      <c r="I9524">
        <v>65201</v>
      </c>
      <c r="J9524">
        <v>2510836872</v>
      </c>
      <c r="K9524">
        <v>6932669168</v>
      </c>
      <c r="N9524" t="s">
        <v>615</v>
      </c>
      <c r="O9524" t="s">
        <v>616</v>
      </c>
      <c r="R9524" t="s">
        <v>57</v>
      </c>
      <c r="S9524">
        <v>7</v>
      </c>
      <c r="T9524">
        <v>653</v>
      </c>
      <c r="U9524" s="1">
        <v>40043</v>
      </c>
      <c r="V9524" t="s">
        <v>89</v>
      </c>
      <c r="W9524" t="s">
        <v>90</v>
      </c>
      <c r="X9524" t="s">
        <v>58</v>
      </c>
      <c r="Y9524">
        <v>25</v>
      </c>
      <c r="Z9524" t="s">
        <v>59</v>
      </c>
      <c r="AA9524" t="s">
        <v>59</v>
      </c>
      <c r="AB9524" t="s">
        <v>59</v>
      </c>
      <c r="AC9524" t="s">
        <v>59</v>
      </c>
      <c r="AD9524" t="s">
        <v>59</v>
      </c>
      <c r="AF9524" s="1">
        <v>40046</v>
      </c>
      <c r="AG9524" t="s">
        <v>8645</v>
      </c>
      <c r="AH9524" t="s">
        <v>8676</v>
      </c>
      <c r="AI9524" t="str">
        <f>"9500411"</f>
        <v>9500411</v>
      </c>
      <c r="AJ9524" t="s">
        <v>14376</v>
      </c>
      <c r="AK9524">
        <v>2821077364</v>
      </c>
      <c r="AL9524" t="s">
        <v>14377</v>
      </c>
      <c r="AM9524" t="s">
        <v>88</v>
      </c>
      <c r="AN9524" t="s">
        <v>6764</v>
      </c>
      <c r="AO9524" t="s">
        <v>6885</v>
      </c>
      <c r="AP9524" t="s">
        <v>13879</v>
      </c>
      <c r="AQ9524">
        <v>4</v>
      </c>
      <c r="AR9524" t="s">
        <v>89</v>
      </c>
      <c r="AS9524" t="s">
        <v>90</v>
      </c>
      <c r="AT9524" t="s">
        <v>58</v>
      </c>
      <c r="AU9524" t="s">
        <v>68</v>
      </c>
      <c r="AV9524" t="s">
        <v>69</v>
      </c>
      <c r="AW9524" s="1">
        <v>31355</v>
      </c>
      <c r="AX9524">
        <v>1</v>
      </c>
    </row>
    <row r="9525" spans="1:50">
      <c r="A9525">
        <v>586899</v>
      </c>
      <c r="B9525" t="str">
        <f>"065555876"</f>
        <v>065555876</v>
      </c>
      <c r="C9525" t="s">
        <v>50</v>
      </c>
      <c r="D9525" t="s">
        <v>1430</v>
      </c>
      <c r="E9525" t="s">
        <v>255</v>
      </c>
      <c r="F9525" t="s">
        <v>6675</v>
      </c>
      <c r="G9525" t="s">
        <v>411</v>
      </c>
      <c r="H9525" t="str">
        <f>" "</f>
        <v xml:space="preserve"> </v>
      </c>
      <c r="N9525" t="s">
        <v>1525</v>
      </c>
      <c r="O9525" t="s">
        <v>1526</v>
      </c>
      <c r="R9525" t="s">
        <v>57</v>
      </c>
      <c r="S9525">
        <v>12</v>
      </c>
      <c r="T9525">
        <v>165</v>
      </c>
      <c r="U9525" s="1">
        <v>36040</v>
      </c>
      <c r="V9525" t="s">
        <v>89</v>
      </c>
      <c r="W9525" t="s">
        <v>90</v>
      </c>
      <c r="X9525" t="s">
        <v>58</v>
      </c>
      <c r="Y9525">
        <v>25</v>
      </c>
      <c r="Z9525" t="s">
        <v>59</v>
      </c>
      <c r="AA9525" t="s">
        <v>59</v>
      </c>
      <c r="AB9525" t="s">
        <v>59</v>
      </c>
      <c r="AC9525" t="s">
        <v>59</v>
      </c>
      <c r="AD9525" t="s">
        <v>59</v>
      </c>
      <c r="AF9525" s="1">
        <v>36040</v>
      </c>
      <c r="AG9525" t="s">
        <v>8651</v>
      </c>
      <c r="AH9525" t="s">
        <v>8652</v>
      </c>
      <c r="AI9525" t="str">
        <f>"9500415"</f>
        <v>9500415</v>
      </c>
      <c r="AJ9525" t="s">
        <v>14446</v>
      </c>
      <c r="AK9525">
        <v>2825031104</v>
      </c>
      <c r="AL9525" t="s">
        <v>14447</v>
      </c>
      <c r="AM9525" t="s">
        <v>88</v>
      </c>
      <c r="AN9525" t="s">
        <v>6775</v>
      </c>
      <c r="AO9525" t="s">
        <v>11883</v>
      </c>
      <c r="AP9525" t="s">
        <v>13875</v>
      </c>
      <c r="AQ9525">
        <v>7</v>
      </c>
      <c r="AR9525" t="s">
        <v>89</v>
      </c>
      <c r="AS9525" t="s">
        <v>90</v>
      </c>
      <c r="AT9525" t="s">
        <v>58</v>
      </c>
      <c r="AU9525" t="s">
        <v>68</v>
      </c>
      <c r="AV9525" t="s">
        <v>69</v>
      </c>
      <c r="AW9525" s="1">
        <v>22665</v>
      </c>
      <c r="AX9525">
        <v>1</v>
      </c>
    </row>
    <row r="9526" spans="1:50">
      <c r="B9526" t="str">
        <f>"156955380"</f>
        <v>156955380</v>
      </c>
      <c r="C9526" t="s">
        <v>50</v>
      </c>
      <c r="D9526" t="s">
        <v>14448</v>
      </c>
      <c r="E9526" t="s">
        <v>1078</v>
      </c>
      <c r="F9526" t="s">
        <v>1376</v>
      </c>
      <c r="G9526" t="s">
        <v>83</v>
      </c>
      <c r="H9526" t="str">
        <f>"ΕΘΝ. ΑΝΤΙΣΤΑΣΗΣ 25 "</f>
        <v xml:space="preserve">ΕΘΝ. ΑΝΤΙΣΤΑΣΗΣ 25 </v>
      </c>
      <c r="I9526">
        <v>41335</v>
      </c>
      <c r="J9526">
        <v>2410623294</v>
      </c>
      <c r="K9526">
        <v>6979050401</v>
      </c>
      <c r="N9526" t="s">
        <v>615</v>
      </c>
      <c r="O9526" t="s">
        <v>616</v>
      </c>
      <c r="R9526" t="s">
        <v>159</v>
      </c>
      <c r="S9526">
        <v>5</v>
      </c>
      <c r="T9526" t="s">
        <v>8675</v>
      </c>
      <c r="U9526" s="1">
        <v>43348</v>
      </c>
      <c r="V9526" t="s">
        <v>89</v>
      </c>
      <c r="W9526" t="s">
        <v>90</v>
      </c>
      <c r="X9526" t="s">
        <v>58</v>
      </c>
      <c r="Y9526">
        <v>24</v>
      </c>
      <c r="Z9526" t="s">
        <v>59</v>
      </c>
      <c r="AA9526" t="s">
        <v>59</v>
      </c>
      <c r="AB9526" t="s">
        <v>59</v>
      </c>
      <c r="AC9526" t="s">
        <v>59</v>
      </c>
      <c r="AD9526" t="s">
        <v>59</v>
      </c>
      <c r="AF9526" s="1">
        <v>43348</v>
      </c>
      <c r="AG9526" t="s">
        <v>8645</v>
      </c>
      <c r="AH9526" t="s">
        <v>8646</v>
      </c>
      <c r="AI9526" t="str">
        <f>"9520693"</f>
        <v>9520693</v>
      </c>
      <c r="AJ9526" t="s">
        <v>13913</v>
      </c>
      <c r="AK9526">
        <v>2821066910</v>
      </c>
      <c r="AL9526" t="s">
        <v>13914</v>
      </c>
      <c r="AM9526" t="s">
        <v>88</v>
      </c>
      <c r="AN9526" t="s">
        <v>88</v>
      </c>
      <c r="AO9526" t="s">
        <v>6770</v>
      </c>
      <c r="AP9526" t="s">
        <v>6771</v>
      </c>
      <c r="AQ9526">
        <v>2</v>
      </c>
      <c r="AR9526" t="s">
        <v>89</v>
      </c>
      <c r="AS9526" t="s">
        <v>90</v>
      </c>
      <c r="AT9526" t="s">
        <v>58</v>
      </c>
      <c r="AU9526" t="s">
        <v>8673</v>
      </c>
      <c r="AV9526" t="s">
        <v>132</v>
      </c>
      <c r="AW9526" s="1">
        <v>32349</v>
      </c>
      <c r="AX9526">
        <v>1</v>
      </c>
    </row>
    <row r="9527" spans="1:50">
      <c r="A9527">
        <v>581825</v>
      </c>
      <c r="B9527" t="str">
        <f>"039967330"</f>
        <v>039967330</v>
      </c>
      <c r="C9527" t="s">
        <v>50</v>
      </c>
      <c r="D9527" t="s">
        <v>1455</v>
      </c>
      <c r="E9527" t="s">
        <v>83</v>
      </c>
      <c r="F9527" t="s">
        <v>72</v>
      </c>
      <c r="G9527" t="s">
        <v>1120</v>
      </c>
      <c r="H9527" t="str">
        <f>"ΜΕΛΕΤΙΟΥ ΜΕΤΑΞΑΚΗ 50 ΧΑΝΙΑ"</f>
        <v>ΜΕΛΕΤΙΟΥ ΜΕΤΑΞΑΚΗ 50 ΧΑΝΙΑ</v>
      </c>
      <c r="I9527">
        <v>73100</v>
      </c>
      <c r="J9527">
        <v>2821036102</v>
      </c>
      <c r="K9527">
        <v>6972313055</v>
      </c>
      <c r="L9527">
        <v>2821036102</v>
      </c>
      <c r="N9527" t="s">
        <v>615</v>
      </c>
      <c r="O9527" t="s">
        <v>616</v>
      </c>
      <c r="R9527" t="s">
        <v>57</v>
      </c>
      <c r="S9527">
        <v>13</v>
      </c>
      <c r="T9527">
        <v>179</v>
      </c>
      <c r="U9527" s="1">
        <v>35674</v>
      </c>
      <c r="V9527" t="s">
        <v>89</v>
      </c>
      <c r="W9527" t="s">
        <v>90</v>
      </c>
      <c r="X9527" t="s">
        <v>58</v>
      </c>
      <c r="Y9527">
        <v>21</v>
      </c>
      <c r="Z9527" t="s">
        <v>59</v>
      </c>
      <c r="AA9527" t="s">
        <v>59</v>
      </c>
      <c r="AB9527" t="s">
        <v>59</v>
      </c>
      <c r="AC9527" t="s">
        <v>59</v>
      </c>
      <c r="AD9527" t="s">
        <v>59</v>
      </c>
      <c r="AF9527" s="1">
        <v>35674</v>
      </c>
      <c r="AG9527" t="s">
        <v>8645</v>
      </c>
      <c r="AH9527" t="s">
        <v>8676</v>
      </c>
      <c r="AI9527" t="str">
        <f>"9521626"</f>
        <v>9521626</v>
      </c>
      <c r="AJ9527" t="s">
        <v>14002</v>
      </c>
      <c r="AM9527" t="s">
        <v>88</v>
      </c>
      <c r="AN9527" t="s">
        <v>88</v>
      </c>
      <c r="AO9527" t="s">
        <v>88</v>
      </c>
      <c r="AP9527" t="s">
        <v>88</v>
      </c>
      <c r="AR9527" t="s">
        <v>89</v>
      </c>
      <c r="AS9527" t="s">
        <v>90</v>
      </c>
      <c r="AT9527" t="s">
        <v>58</v>
      </c>
      <c r="AU9527" t="s">
        <v>68</v>
      </c>
      <c r="AV9527" t="s">
        <v>69</v>
      </c>
      <c r="AW9527" s="1">
        <v>24255</v>
      </c>
      <c r="AX9527">
        <v>1</v>
      </c>
    </row>
    <row r="9528" spans="1:50">
      <c r="A9528">
        <v>555331</v>
      </c>
      <c r="B9528" t="str">
        <f>"110880648"</f>
        <v>110880648</v>
      </c>
      <c r="C9528" t="s">
        <v>50</v>
      </c>
      <c r="D9528" t="s">
        <v>1459</v>
      </c>
      <c r="E9528" t="s">
        <v>155</v>
      </c>
      <c r="F9528" t="s">
        <v>53</v>
      </c>
      <c r="G9528" t="s">
        <v>52</v>
      </c>
      <c r="H9528" t="str">
        <f>"ΚΑΛΟΥΔΙΑΝΑ ΚΙΣΑΜΟΥ "</f>
        <v xml:space="preserve">ΚΑΛΟΥΔΙΑΝΑ ΚΙΣΑΜΟΥ </v>
      </c>
      <c r="I9528">
        <v>73400</v>
      </c>
      <c r="J9528">
        <v>2822032007</v>
      </c>
      <c r="N9528" t="s">
        <v>615</v>
      </c>
      <c r="O9528" t="s">
        <v>616</v>
      </c>
      <c r="R9528" t="s">
        <v>57</v>
      </c>
      <c r="S9528">
        <v>16</v>
      </c>
      <c r="T9528">
        <v>200</v>
      </c>
      <c r="U9528" s="1">
        <v>31373</v>
      </c>
      <c r="V9528" t="s">
        <v>89</v>
      </c>
      <c r="W9528" t="s">
        <v>90</v>
      </c>
      <c r="X9528" t="s">
        <v>58</v>
      </c>
      <c r="Y9528">
        <v>21</v>
      </c>
      <c r="Z9528" t="s">
        <v>59</v>
      </c>
      <c r="AA9528" t="s">
        <v>59</v>
      </c>
      <c r="AB9528" t="s">
        <v>59</v>
      </c>
      <c r="AC9528" t="s">
        <v>59</v>
      </c>
      <c r="AD9528" t="s">
        <v>59</v>
      </c>
      <c r="AF9528" s="1">
        <v>31657</v>
      </c>
      <c r="AG9528" t="s">
        <v>8645</v>
      </c>
      <c r="AH9528" t="s">
        <v>8646</v>
      </c>
      <c r="AI9528" t="str">
        <f>"9500205"</f>
        <v>9500205</v>
      </c>
      <c r="AJ9528" t="s">
        <v>13861</v>
      </c>
      <c r="AK9528">
        <v>2822031289</v>
      </c>
      <c r="AL9528" t="s">
        <v>13862</v>
      </c>
      <c r="AM9528" t="s">
        <v>88</v>
      </c>
      <c r="AN9528" t="s">
        <v>6744</v>
      </c>
      <c r="AO9528" t="s">
        <v>13863</v>
      </c>
      <c r="AP9528" t="s">
        <v>13864</v>
      </c>
      <c r="AQ9528">
        <v>9</v>
      </c>
      <c r="AR9528" t="s">
        <v>89</v>
      </c>
      <c r="AS9528" t="s">
        <v>90</v>
      </c>
      <c r="AT9528" t="s">
        <v>58</v>
      </c>
      <c r="AU9528" t="s">
        <v>68</v>
      </c>
      <c r="AV9528" t="s">
        <v>69</v>
      </c>
      <c r="AW9528" s="1">
        <v>23080</v>
      </c>
      <c r="AX9528">
        <v>1</v>
      </c>
    </row>
    <row r="9529" spans="1:50">
      <c r="A9529">
        <v>564977</v>
      </c>
      <c r="B9529" t="str">
        <f>"053179457"</f>
        <v>053179457</v>
      </c>
      <c r="C9529" t="s">
        <v>50</v>
      </c>
      <c r="D9529" t="s">
        <v>1459</v>
      </c>
      <c r="E9529" t="s">
        <v>83</v>
      </c>
      <c r="F9529" t="s">
        <v>99</v>
      </c>
      <c r="G9529" t="s">
        <v>263</v>
      </c>
      <c r="H9529" t="str">
        <f>"Γ. ΒΕΡΥΚΑΚΗ 16-18 ΧΑΝΙΑ"</f>
        <v>Γ. ΒΕΡΥΚΑΚΗ 16-18 ΧΑΝΙΑ</v>
      </c>
      <c r="I9529">
        <v>73100</v>
      </c>
      <c r="J9529">
        <v>2821033804</v>
      </c>
      <c r="K9529">
        <v>6947401781</v>
      </c>
      <c r="N9529" t="s">
        <v>615</v>
      </c>
      <c r="O9529" t="s">
        <v>616</v>
      </c>
      <c r="R9529" t="s">
        <v>57</v>
      </c>
      <c r="S9529">
        <v>19</v>
      </c>
      <c r="T9529">
        <v>161</v>
      </c>
      <c r="U9529" s="1">
        <v>33119</v>
      </c>
      <c r="V9529" t="s">
        <v>89</v>
      </c>
      <c r="W9529" t="s">
        <v>90</v>
      </c>
      <c r="X9529" t="s">
        <v>58</v>
      </c>
      <c r="Y9529">
        <v>21</v>
      </c>
      <c r="Z9529" t="s">
        <v>59</v>
      </c>
      <c r="AA9529" t="s">
        <v>59</v>
      </c>
      <c r="AB9529" t="s">
        <v>59</v>
      </c>
      <c r="AC9529" t="s">
        <v>59</v>
      </c>
      <c r="AD9529" t="s">
        <v>59</v>
      </c>
      <c r="AF9529" s="1">
        <v>33119</v>
      </c>
      <c r="AG9529" t="s">
        <v>8645</v>
      </c>
      <c r="AH9529" t="s">
        <v>8646</v>
      </c>
      <c r="AI9529" t="str">
        <f>"9500107"</f>
        <v>9500107</v>
      </c>
      <c r="AJ9529" t="s">
        <v>13918</v>
      </c>
      <c r="AK9529">
        <v>2821096244</v>
      </c>
      <c r="AL9529" t="s">
        <v>13919</v>
      </c>
      <c r="AM9529" t="s">
        <v>88</v>
      </c>
      <c r="AN9529" t="s">
        <v>88</v>
      </c>
      <c r="AO9529" t="s">
        <v>13920</v>
      </c>
      <c r="AP9529" t="s">
        <v>13921</v>
      </c>
      <c r="AQ9529">
        <v>3</v>
      </c>
      <c r="AR9529" t="s">
        <v>89</v>
      </c>
      <c r="AS9529" t="s">
        <v>90</v>
      </c>
      <c r="AT9529" t="s">
        <v>58</v>
      </c>
      <c r="AU9529" t="s">
        <v>68</v>
      </c>
      <c r="AV9529" t="s">
        <v>69</v>
      </c>
      <c r="AW9529" s="1">
        <v>24293</v>
      </c>
      <c r="AX9529">
        <v>1</v>
      </c>
    </row>
    <row r="9530" spans="1:50">
      <c r="B9530" t="str">
        <f>"136812365"</f>
        <v>136812365</v>
      </c>
      <c r="C9530" t="s">
        <v>50</v>
      </c>
      <c r="D9530" t="s">
        <v>1459</v>
      </c>
      <c r="E9530" t="s">
        <v>1085</v>
      </c>
      <c r="F9530" t="s">
        <v>99</v>
      </c>
      <c r="G9530" t="s">
        <v>73</v>
      </c>
      <c r="H9530" t="str">
        <f>"ΑΘ. ΜΑΡΙΟΛΑΚΗ 31 ΧΑΝΙΑ"</f>
        <v>ΑΘ. ΜΑΡΙΟΛΑΚΗ 31 ΧΑΝΙΑ</v>
      </c>
      <c r="I9530">
        <v>73100</v>
      </c>
      <c r="J9530">
        <v>2821072693</v>
      </c>
      <c r="K9530">
        <v>6976970936</v>
      </c>
      <c r="N9530" t="s">
        <v>8694</v>
      </c>
      <c r="O9530" t="s">
        <v>8695</v>
      </c>
      <c r="R9530" t="s">
        <v>57</v>
      </c>
      <c r="S9530">
        <v>5</v>
      </c>
      <c r="T9530" t="s">
        <v>8696</v>
      </c>
      <c r="U9530" s="1">
        <v>43348</v>
      </c>
      <c r="V9530" t="s">
        <v>89</v>
      </c>
      <c r="W9530" t="s">
        <v>90</v>
      </c>
      <c r="X9530" t="s">
        <v>58</v>
      </c>
      <c r="Y9530">
        <v>23</v>
      </c>
      <c r="Z9530" t="s">
        <v>59</v>
      </c>
      <c r="AA9530" t="s">
        <v>59</v>
      </c>
      <c r="AB9530" t="s">
        <v>59</v>
      </c>
      <c r="AC9530" t="s">
        <v>59</v>
      </c>
      <c r="AD9530" t="s">
        <v>59</v>
      </c>
      <c r="AF9530" s="1">
        <v>43348</v>
      </c>
      <c r="AG9530" t="s">
        <v>8645</v>
      </c>
      <c r="AH9530" t="s">
        <v>8646</v>
      </c>
      <c r="AI9530" t="str">
        <f>"9500191"</f>
        <v>9500191</v>
      </c>
      <c r="AJ9530" t="s">
        <v>13986</v>
      </c>
      <c r="AK9530">
        <v>2822022042</v>
      </c>
      <c r="AL9530" t="s">
        <v>13987</v>
      </c>
      <c r="AM9530" t="s">
        <v>88</v>
      </c>
      <c r="AN9530" t="s">
        <v>6744</v>
      </c>
      <c r="AO9530" t="s">
        <v>6744</v>
      </c>
      <c r="AP9530" t="s">
        <v>6744</v>
      </c>
      <c r="AQ9530">
        <v>9</v>
      </c>
      <c r="AR9530" t="s">
        <v>89</v>
      </c>
      <c r="AS9530" t="s">
        <v>90</v>
      </c>
      <c r="AT9530" t="s">
        <v>58</v>
      </c>
      <c r="AU9530" t="s">
        <v>350</v>
      </c>
      <c r="AV9530" t="s">
        <v>132</v>
      </c>
      <c r="AW9530" s="1">
        <v>29740</v>
      </c>
      <c r="AX9530">
        <v>1</v>
      </c>
    </row>
    <row r="9531" spans="1:50">
      <c r="A9531">
        <v>700693</v>
      </c>
      <c r="B9531" t="str">
        <f>"117203394"</f>
        <v>117203394</v>
      </c>
      <c r="C9531" t="s">
        <v>50</v>
      </c>
      <c r="D9531" t="s">
        <v>5962</v>
      </c>
      <c r="E9531" t="s">
        <v>742</v>
      </c>
      <c r="F9531" t="s">
        <v>154</v>
      </c>
      <c r="G9531" t="s">
        <v>8548</v>
      </c>
      <c r="H9531" t="str">
        <f>"ΝΙκου Καββαδία &amp; Κεχαγιά , Σούδα Χανιά"</f>
        <v>ΝΙκου Καββαδία &amp; Κεχαγιά , Σούδα Χανιά</v>
      </c>
      <c r="I9531">
        <v>73200</v>
      </c>
      <c r="J9531">
        <v>2332023311</v>
      </c>
      <c r="K9531">
        <v>6936765602</v>
      </c>
      <c r="M9531" t="s">
        <v>14449</v>
      </c>
      <c r="N9531" t="s">
        <v>1525</v>
      </c>
      <c r="O9531" t="s">
        <v>1526</v>
      </c>
      <c r="R9531" t="s">
        <v>57</v>
      </c>
      <c r="S9531">
        <v>4</v>
      </c>
      <c r="T9531">
        <v>772</v>
      </c>
      <c r="U9531" s="1">
        <v>40413</v>
      </c>
      <c r="V9531" t="s">
        <v>89</v>
      </c>
      <c r="W9531" t="s">
        <v>90</v>
      </c>
      <c r="X9531" t="s">
        <v>58</v>
      </c>
      <c r="Y9531">
        <v>25</v>
      </c>
      <c r="Z9531" t="s">
        <v>59</v>
      </c>
      <c r="AA9531" t="s">
        <v>59</v>
      </c>
      <c r="AB9531" t="s">
        <v>59</v>
      </c>
      <c r="AC9531" t="s">
        <v>59</v>
      </c>
      <c r="AD9531" t="s">
        <v>59</v>
      </c>
      <c r="AF9531" s="1">
        <v>40413</v>
      </c>
      <c r="AG9531" t="s">
        <v>8651</v>
      </c>
      <c r="AH9531" t="s">
        <v>8652</v>
      </c>
      <c r="AI9531" t="str">
        <f>"9500348"</f>
        <v>9500348</v>
      </c>
      <c r="AJ9531" t="s">
        <v>14450</v>
      </c>
      <c r="AK9531">
        <v>2821077606</v>
      </c>
      <c r="AL9531" t="s">
        <v>14451</v>
      </c>
      <c r="AM9531" t="s">
        <v>88</v>
      </c>
      <c r="AN9531" t="s">
        <v>88</v>
      </c>
      <c r="AO9531" t="s">
        <v>13920</v>
      </c>
      <c r="AP9531" t="s">
        <v>12838</v>
      </c>
      <c r="AQ9531">
        <v>10</v>
      </c>
      <c r="AR9531" t="s">
        <v>89</v>
      </c>
      <c r="AS9531" t="s">
        <v>90</v>
      </c>
      <c r="AT9531" t="s">
        <v>58</v>
      </c>
      <c r="AU9531" t="s">
        <v>68</v>
      </c>
      <c r="AV9531" t="s">
        <v>69</v>
      </c>
      <c r="AW9531" s="1">
        <v>30824</v>
      </c>
      <c r="AX9531">
        <v>1</v>
      </c>
    </row>
    <row r="9532" spans="1:50">
      <c r="A9532">
        <v>621921</v>
      </c>
      <c r="B9532" t="str">
        <f>"148451792"</f>
        <v>148451792</v>
      </c>
      <c r="C9532" t="s">
        <v>50</v>
      </c>
      <c r="D9532" t="s">
        <v>9712</v>
      </c>
      <c r="E9532" t="s">
        <v>6093</v>
      </c>
      <c r="F9532" t="s">
        <v>1062</v>
      </c>
      <c r="G9532" t="s">
        <v>687</v>
      </c>
      <c r="H9532" t="str">
        <f>"ΞΗΡΟΚΑΜΠΟΣ ΚΑΛΑΜΠΑΚΑ"</f>
        <v>ΞΗΡΟΚΑΜΠΟΣ ΚΑΛΑΜΠΑΚΑ</v>
      </c>
      <c r="I9532">
        <v>42200</v>
      </c>
      <c r="J9532">
        <v>2432082324</v>
      </c>
      <c r="K9532">
        <v>6977434424</v>
      </c>
      <c r="N9532" t="s">
        <v>615</v>
      </c>
      <c r="O9532" t="s">
        <v>616</v>
      </c>
      <c r="R9532" t="s">
        <v>57</v>
      </c>
      <c r="S9532">
        <v>5</v>
      </c>
      <c r="T9532">
        <v>653</v>
      </c>
      <c r="U9532" s="1">
        <v>40043</v>
      </c>
      <c r="V9532" t="s">
        <v>89</v>
      </c>
      <c r="W9532" t="s">
        <v>90</v>
      </c>
      <c r="X9532" t="s">
        <v>58</v>
      </c>
      <c r="Y9532">
        <v>23</v>
      </c>
      <c r="Z9532" t="s">
        <v>59</v>
      </c>
      <c r="AA9532" t="s">
        <v>59</v>
      </c>
      <c r="AB9532" t="s">
        <v>59</v>
      </c>
      <c r="AC9532" t="s">
        <v>59</v>
      </c>
      <c r="AD9532" t="s">
        <v>59</v>
      </c>
      <c r="AF9532" s="1">
        <v>40043</v>
      </c>
      <c r="AG9532" t="s">
        <v>8645</v>
      </c>
      <c r="AH9532" t="s">
        <v>8646</v>
      </c>
      <c r="AI9532" t="str">
        <f>"9500148"</f>
        <v>9500148</v>
      </c>
      <c r="AJ9532" t="s">
        <v>13851</v>
      </c>
      <c r="AK9532">
        <v>2821068328</v>
      </c>
      <c r="AL9532" t="s">
        <v>13852</v>
      </c>
      <c r="AM9532" t="s">
        <v>88</v>
      </c>
      <c r="AN9532" t="s">
        <v>88</v>
      </c>
      <c r="AO9532" t="s">
        <v>6785</v>
      </c>
      <c r="AP9532" t="s">
        <v>13853</v>
      </c>
      <c r="AQ9532">
        <v>3</v>
      </c>
      <c r="AR9532" t="s">
        <v>89</v>
      </c>
      <c r="AS9532" t="s">
        <v>90</v>
      </c>
      <c r="AT9532" t="s">
        <v>58</v>
      </c>
      <c r="AU9532" t="s">
        <v>68</v>
      </c>
      <c r="AV9532" t="s">
        <v>69</v>
      </c>
      <c r="AW9532" s="1">
        <v>31287</v>
      </c>
      <c r="AX9532">
        <v>1</v>
      </c>
    </row>
    <row r="9533" spans="1:50">
      <c r="B9533" t="str">
        <f>"149155595"</f>
        <v>149155595</v>
      </c>
      <c r="C9533" t="s">
        <v>50</v>
      </c>
      <c r="D9533" t="s">
        <v>14452</v>
      </c>
      <c r="E9533" t="s">
        <v>83</v>
      </c>
      <c r="F9533" t="s">
        <v>72</v>
      </c>
      <c r="G9533" t="s">
        <v>484</v>
      </c>
      <c r="H9533" t="str">
        <f>"ΚΕΦΑΛΛΗΝΙΑΣ 128 ΠΕΤΡΟΥΠΟΛΗ"</f>
        <v>ΚΕΦΑΛΛΗΝΙΑΣ 128 ΠΕΤΡΟΥΠΟΛΗ</v>
      </c>
      <c r="I9533">
        <v>13231</v>
      </c>
      <c r="J9533">
        <v>2105023008</v>
      </c>
      <c r="K9533">
        <v>6981940914</v>
      </c>
      <c r="N9533" t="s">
        <v>11371</v>
      </c>
      <c r="O9533" t="s">
        <v>11372</v>
      </c>
      <c r="R9533" t="s">
        <v>121</v>
      </c>
      <c r="S9533">
        <v>1</v>
      </c>
      <c r="T9533" t="s">
        <v>8696</v>
      </c>
      <c r="U9533" s="1">
        <v>43348</v>
      </c>
      <c r="V9533" t="s">
        <v>89</v>
      </c>
      <c r="W9533" t="s">
        <v>90</v>
      </c>
      <c r="X9533" t="s">
        <v>58</v>
      </c>
      <c r="Y9533">
        <v>24</v>
      </c>
      <c r="Z9533" t="s">
        <v>59</v>
      </c>
      <c r="AA9533" t="s">
        <v>59</v>
      </c>
      <c r="AB9533" t="s">
        <v>59</v>
      </c>
      <c r="AD9533" t="s">
        <v>59</v>
      </c>
      <c r="AF9533" s="1">
        <v>43348</v>
      </c>
      <c r="AG9533" t="s">
        <v>8645</v>
      </c>
      <c r="AH9533" t="s">
        <v>8697</v>
      </c>
      <c r="AI9533" t="str">
        <f>"9500424"</f>
        <v>9500424</v>
      </c>
      <c r="AJ9533" t="s">
        <v>14232</v>
      </c>
      <c r="AK9533">
        <v>2821044022</v>
      </c>
      <c r="AL9533" t="s">
        <v>14233</v>
      </c>
      <c r="AM9533" t="s">
        <v>88</v>
      </c>
      <c r="AN9533" t="s">
        <v>88</v>
      </c>
      <c r="AO9533" t="s">
        <v>88</v>
      </c>
      <c r="AP9533" t="s">
        <v>88</v>
      </c>
      <c r="AQ9533">
        <v>1</v>
      </c>
      <c r="AR9533" t="s">
        <v>89</v>
      </c>
      <c r="AS9533" t="s">
        <v>90</v>
      </c>
      <c r="AT9533" t="s">
        <v>58</v>
      </c>
      <c r="AU9533" t="s">
        <v>350</v>
      </c>
      <c r="AV9533" t="s">
        <v>132</v>
      </c>
      <c r="AW9533" s="1">
        <v>32467</v>
      </c>
      <c r="AX9533">
        <v>1</v>
      </c>
    </row>
    <row r="9534" spans="1:50">
      <c r="A9534">
        <v>616353</v>
      </c>
      <c r="B9534" t="str">
        <f>"128259402"</f>
        <v>128259402</v>
      </c>
      <c r="C9534" t="s">
        <v>50</v>
      </c>
      <c r="D9534" t="s">
        <v>14453</v>
      </c>
      <c r="E9534" t="s">
        <v>52</v>
      </c>
      <c r="F9534" t="s">
        <v>558</v>
      </c>
      <c r="G9534" t="s">
        <v>367</v>
      </c>
      <c r="H9534" t="str">
        <f>"κιλκισίου 30 Εύοσμος"</f>
        <v>κιλκισίου 30 Εύοσμος</v>
      </c>
      <c r="I9534">
        <v>56224</v>
      </c>
      <c r="J9534">
        <v>2310937474</v>
      </c>
      <c r="K9534">
        <v>6974169937</v>
      </c>
      <c r="N9534" t="s">
        <v>1525</v>
      </c>
      <c r="O9534" t="s">
        <v>1526</v>
      </c>
      <c r="R9534" t="s">
        <v>57</v>
      </c>
      <c r="S9534">
        <v>5</v>
      </c>
      <c r="T9534">
        <v>660</v>
      </c>
      <c r="U9534" s="1">
        <v>39311</v>
      </c>
      <c r="V9534" t="s">
        <v>89</v>
      </c>
      <c r="W9534" t="s">
        <v>90</v>
      </c>
      <c r="X9534" t="s">
        <v>58</v>
      </c>
      <c r="Y9534">
        <v>25</v>
      </c>
      <c r="Z9534" t="s">
        <v>59</v>
      </c>
      <c r="AA9534" t="s">
        <v>59</v>
      </c>
      <c r="AB9534" t="s">
        <v>59</v>
      </c>
      <c r="AC9534" t="s">
        <v>59</v>
      </c>
      <c r="AD9534" t="s">
        <v>59</v>
      </c>
      <c r="AF9534" s="1">
        <v>39329</v>
      </c>
      <c r="AG9534" t="s">
        <v>8651</v>
      </c>
      <c r="AH9534" t="s">
        <v>8652</v>
      </c>
      <c r="AI9534" t="str">
        <f>"9500308"</f>
        <v>9500308</v>
      </c>
      <c r="AJ9534" t="s">
        <v>14165</v>
      </c>
      <c r="AK9534">
        <v>2825092360</v>
      </c>
      <c r="AL9534" t="s">
        <v>14166</v>
      </c>
      <c r="AM9534" t="s">
        <v>88</v>
      </c>
      <c r="AN9534" t="s">
        <v>6995</v>
      </c>
      <c r="AO9534" t="s">
        <v>6995</v>
      </c>
      <c r="AP9534" t="s">
        <v>14097</v>
      </c>
      <c r="AQ9534">
        <v>10</v>
      </c>
      <c r="AR9534" t="s">
        <v>89</v>
      </c>
      <c r="AS9534" t="s">
        <v>90</v>
      </c>
      <c r="AT9534" t="s">
        <v>58</v>
      </c>
      <c r="AU9534" t="s">
        <v>68</v>
      </c>
      <c r="AV9534" t="s">
        <v>69</v>
      </c>
      <c r="AW9534" s="1">
        <v>29797</v>
      </c>
      <c r="AX9534">
        <v>1</v>
      </c>
    </row>
    <row r="9535" spans="1:50">
      <c r="A9535">
        <v>618582</v>
      </c>
      <c r="B9535" t="str">
        <f>"126566098"</f>
        <v>126566098</v>
      </c>
      <c r="C9535" t="s">
        <v>105</v>
      </c>
      <c r="D9535" t="s">
        <v>7222</v>
      </c>
      <c r="E9535" t="s">
        <v>2990</v>
      </c>
      <c r="F9535" t="s">
        <v>84</v>
      </c>
      <c r="G9535" t="s">
        <v>2185</v>
      </c>
      <c r="H9535" t="str">
        <f>"ΙΩΑΝΝΟΥ ΚΟΜΝΗΝΟΥ 46 ΙΛΙΟΝ"</f>
        <v>ΙΩΑΝΝΟΥ ΚΟΜΝΗΝΟΥ 46 ΙΛΙΟΝ</v>
      </c>
      <c r="I9535">
        <v>13121</v>
      </c>
      <c r="J9535">
        <v>2105060671</v>
      </c>
      <c r="K9535">
        <v>6937191457</v>
      </c>
      <c r="M9535" t="s">
        <v>14454</v>
      </c>
      <c r="N9535" t="s">
        <v>615</v>
      </c>
      <c r="O9535" t="s">
        <v>616</v>
      </c>
      <c r="R9535" t="s">
        <v>57</v>
      </c>
      <c r="S9535">
        <v>5</v>
      </c>
      <c r="T9535">
        <v>774</v>
      </c>
      <c r="U9535" s="1">
        <v>39680</v>
      </c>
      <c r="V9535" t="s">
        <v>89</v>
      </c>
      <c r="W9535" t="s">
        <v>90</v>
      </c>
      <c r="X9535" t="s">
        <v>58</v>
      </c>
      <c r="Y9535">
        <v>23</v>
      </c>
      <c r="Z9535" t="s">
        <v>59</v>
      </c>
      <c r="AA9535" t="s">
        <v>59</v>
      </c>
      <c r="AB9535" t="s">
        <v>59</v>
      </c>
      <c r="AC9535" t="s">
        <v>59</v>
      </c>
      <c r="AD9535" t="s">
        <v>59</v>
      </c>
      <c r="AF9535" s="1">
        <v>39682</v>
      </c>
      <c r="AG9535" t="s">
        <v>8645</v>
      </c>
      <c r="AH9535" t="s">
        <v>8646</v>
      </c>
      <c r="AI9535" t="str">
        <f>"9500205"</f>
        <v>9500205</v>
      </c>
      <c r="AJ9535" t="s">
        <v>13861</v>
      </c>
      <c r="AK9535">
        <v>2822031289</v>
      </c>
      <c r="AL9535" t="s">
        <v>13862</v>
      </c>
      <c r="AM9535" t="s">
        <v>88</v>
      </c>
      <c r="AN9535" t="s">
        <v>6744</v>
      </c>
      <c r="AO9535" t="s">
        <v>13863</v>
      </c>
      <c r="AP9535" t="s">
        <v>13864</v>
      </c>
      <c r="AQ9535">
        <v>9</v>
      </c>
      <c r="AR9535" t="s">
        <v>89</v>
      </c>
      <c r="AS9535" t="s">
        <v>90</v>
      </c>
      <c r="AT9535" t="s">
        <v>58</v>
      </c>
      <c r="AU9535" t="s">
        <v>68</v>
      </c>
      <c r="AV9535" t="s">
        <v>69</v>
      </c>
      <c r="AW9535" s="1">
        <v>30330</v>
      </c>
      <c r="AX9535">
        <v>1</v>
      </c>
    </row>
    <row r="9536" spans="1:50">
      <c r="A9536">
        <v>622916</v>
      </c>
      <c r="B9536" t="str">
        <f>"111829392"</f>
        <v>111829392</v>
      </c>
      <c r="C9536" t="s">
        <v>50</v>
      </c>
      <c r="D9536" t="s">
        <v>14455</v>
      </c>
      <c r="E9536" t="s">
        <v>964</v>
      </c>
      <c r="F9536" t="s">
        <v>166</v>
      </c>
      <c r="G9536" t="s">
        <v>610</v>
      </c>
      <c r="H9536" t="str">
        <f>"ΑΓΑΜΕΜΝΩΝΟΣ 18 ΚΙΣΑΜΟΣ ΧΑΝΙΑ"</f>
        <v>ΑΓΑΜΕΜΝΩΝΟΣ 18 ΚΙΣΑΜΟΣ ΧΑΝΙΑ</v>
      </c>
      <c r="I9536">
        <v>73400</v>
      </c>
      <c r="J9536">
        <v>2822022853</v>
      </c>
      <c r="K9536">
        <v>6972506842</v>
      </c>
      <c r="N9536" t="s">
        <v>306</v>
      </c>
      <c r="O9536" t="s">
        <v>307</v>
      </c>
      <c r="R9536" t="s">
        <v>57</v>
      </c>
      <c r="S9536">
        <v>5</v>
      </c>
      <c r="T9536">
        <v>720</v>
      </c>
      <c r="U9536" s="1">
        <v>40059</v>
      </c>
      <c r="V9536" t="s">
        <v>89</v>
      </c>
      <c r="W9536" t="s">
        <v>90</v>
      </c>
      <c r="X9536" t="s">
        <v>58</v>
      </c>
      <c r="Y9536">
        <v>23</v>
      </c>
      <c r="Z9536" t="s">
        <v>59</v>
      </c>
      <c r="AA9536" t="s">
        <v>59</v>
      </c>
      <c r="AB9536" t="s">
        <v>59</v>
      </c>
      <c r="AC9536" t="s">
        <v>59</v>
      </c>
      <c r="AD9536" t="s">
        <v>59</v>
      </c>
      <c r="AF9536" s="1">
        <v>40060</v>
      </c>
      <c r="AG9536" t="s">
        <v>8645</v>
      </c>
      <c r="AH9536" t="s">
        <v>8646</v>
      </c>
      <c r="AI9536" t="str">
        <f>"9500189"</f>
        <v>9500189</v>
      </c>
      <c r="AJ9536" t="s">
        <v>14038</v>
      </c>
      <c r="AK9536">
        <v>2822022119</v>
      </c>
      <c r="AL9536" t="s">
        <v>14039</v>
      </c>
      <c r="AM9536" t="s">
        <v>88</v>
      </c>
      <c r="AN9536" t="s">
        <v>6744</v>
      </c>
      <c r="AO9536" t="s">
        <v>6744</v>
      </c>
      <c r="AP9536" t="s">
        <v>6744</v>
      </c>
      <c r="AQ9536">
        <v>9</v>
      </c>
      <c r="AR9536" t="s">
        <v>89</v>
      </c>
      <c r="AS9536" t="s">
        <v>90</v>
      </c>
      <c r="AT9536" t="s">
        <v>58</v>
      </c>
      <c r="AU9536" t="s">
        <v>68</v>
      </c>
      <c r="AV9536" t="s">
        <v>69</v>
      </c>
      <c r="AW9536" s="1">
        <v>29433</v>
      </c>
      <c r="AX9536">
        <v>1</v>
      </c>
    </row>
    <row r="9537" spans="1:50">
      <c r="A9537">
        <v>619342</v>
      </c>
      <c r="B9537" t="str">
        <f>"113170750"</f>
        <v>113170750</v>
      </c>
      <c r="C9537" t="s">
        <v>50</v>
      </c>
      <c r="D9537" t="s">
        <v>14456</v>
      </c>
      <c r="E9537" t="s">
        <v>964</v>
      </c>
      <c r="F9537" t="s">
        <v>383</v>
      </c>
      <c r="G9537" t="s">
        <v>52</v>
      </c>
      <c r="H9537" t="str">
        <f>"ΜΑΡΙΑΚΑΚΗ 32 ΧΑΝΙΑ"</f>
        <v>ΜΑΡΙΑΚΑΚΗ 32 ΧΑΝΙΑ</v>
      </c>
      <c r="I9537">
        <v>73100</v>
      </c>
      <c r="J9537">
        <v>2821073151</v>
      </c>
      <c r="K9537">
        <v>6973524570</v>
      </c>
      <c r="N9537" t="s">
        <v>1525</v>
      </c>
      <c r="O9537" t="s">
        <v>1526</v>
      </c>
      <c r="R9537" t="s">
        <v>57</v>
      </c>
      <c r="S9537">
        <v>5</v>
      </c>
      <c r="T9537">
        <v>774</v>
      </c>
      <c r="U9537" s="1">
        <v>39680</v>
      </c>
      <c r="V9537" t="s">
        <v>89</v>
      </c>
      <c r="W9537" t="s">
        <v>90</v>
      </c>
      <c r="X9537" t="s">
        <v>58</v>
      </c>
      <c r="Y9537">
        <v>25</v>
      </c>
      <c r="Z9537" t="s">
        <v>59</v>
      </c>
      <c r="AA9537" t="s">
        <v>59</v>
      </c>
      <c r="AB9537" t="s">
        <v>59</v>
      </c>
      <c r="AC9537" t="s">
        <v>59</v>
      </c>
      <c r="AD9537" t="s">
        <v>59</v>
      </c>
      <c r="AF9537" s="1">
        <v>39681</v>
      </c>
      <c r="AG9537" t="s">
        <v>8651</v>
      </c>
      <c r="AH9537" t="s">
        <v>8652</v>
      </c>
      <c r="AI9537" t="str">
        <f>"9500333"</f>
        <v>9500333</v>
      </c>
      <c r="AJ9537" t="s">
        <v>14135</v>
      </c>
      <c r="AK9537">
        <v>2821031361</v>
      </c>
      <c r="AL9537" t="s">
        <v>14136</v>
      </c>
      <c r="AM9537" t="s">
        <v>88</v>
      </c>
      <c r="AN9537" t="s">
        <v>88</v>
      </c>
      <c r="AO9537" t="s">
        <v>13920</v>
      </c>
      <c r="AP9537" t="s">
        <v>13996</v>
      </c>
      <c r="AQ9537">
        <v>3</v>
      </c>
      <c r="AR9537" t="s">
        <v>89</v>
      </c>
      <c r="AS9537" t="s">
        <v>90</v>
      </c>
      <c r="AT9537" t="s">
        <v>58</v>
      </c>
      <c r="AU9537" t="s">
        <v>68</v>
      </c>
      <c r="AV9537" t="s">
        <v>69</v>
      </c>
      <c r="AW9537" s="1">
        <v>28053</v>
      </c>
      <c r="AX9537">
        <v>1</v>
      </c>
    </row>
    <row r="9538" spans="1:50">
      <c r="A9538">
        <v>620765</v>
      </c>
      <c r="B9538" t="str">
        <f>"143605030"</f>
        <v>143605030</v>
      </c>
      <c r="C9538" t="s">
        <v>50</v>
      </c>
      <c r="D9538" t="s">
        <v>9728</v>
      </c>
      <c r="E9538" t="s">
        <v>109</v>
      </c>
      <c r="F9538" t="s">
        <v>760</v>
      </c>
      <c r="G9538" t="s">
        <v>237</v>
      </c>
      <c r="H9538" t="str">
        <f>"ΑΓΑΜΕΜΝΩΝΟΣ 8 ΚΙΣΣΑΜΟΣ ΧΑΝΙΩΝ"</f>
        <v>ΑΓΑΜΕΜΝΩΝΟΣ 8 ΚΙΣΣΑΜΟΣ ΧΑΝΙΩΝ</v>
      </c>
      <c r="I9538">
        <v>73400</v>
      </c>
      <c r="J9538">
        <v>2822024292</v>
      </c>
      <c r="K9538">
        <v>6973791133</v>
      </c>
      <c r="M9538" t="s">
        <v>14457</v>
      </c>
      <c r="N9538" t="s">
        <v>615</v>
      </c>
      <c r="O9538" t="s">
        <v>616</v>
      </c>
      <c r="R9538" t="s">
        <v>57</v>
      </c>
      <c r="S9538">
        <v>5</v>
      </c>
      <c r="T9538" t="s">
        <v>14458</v>
      </c>
      <c r="U9538" s="1">
        <v>40043</v>
      </c>
      <c r="V9538" t="s">
        <v>89</v>
      </c>
      <c r="W9538" t="s">
        <v>90</v>
      </c>
      <c r="X9538" t="s">
        <v>58</v>
      </c>
      <c r="Y9538">
        <v>23</v>
      </c>
      <c r="Z9538" t="s">
        <v>59</v>
      </c>
      <c r="AA9538" t="s">
        <v>59</v>
      </c>
      <c r="AB9538" t="s">
        <v>59</v>
      </c>
      <c r="AC9538" t="s">
        <v>59</v>
      </c>
      <c r="AD9538" t="s">
        <v>59</v>
      </c>
      <c r="AF9538" s="1">
        <v>40044</v>
      </c>
      <c r="AG9538" t="s">
        <v>8645</v>
      </c>
      <c r="AH9538" t="s">
        <v>8646</v>
      </c>
      <c r="AI9538" t="str">
        <f>"9500191"</f>
        <v>9500191</v>
      </c>
      <c r="AJ9538" t="s">
        <v>13986</v>
      </c>
      <c r="AK9538">
        <v>2822022042</v>
      </c>
      <c r="AL9538" t="s">
        <v>13987</v>
      </c>
      <c r="AM9538" t="s">
        <v>88</v>
      </c>
      <c r="AN9538" t="s">
        <v>6744</v>
      </c>
      <c r="AO9538" t="s">
        <v>6744</v>
      </c>
      <c r="AP9538" t="s">
        <v>6744</v>
      </c>
      <c r="AQ9538">
        <v>9</v>
      </c>
      <c r="AR9538" t="s">
        <v>89</v>
      </c>
      <c r="AS9538" t="s">
        <v>90</v>
      </c>
      <c r="AT9538" t="s">
        <v>58</v>
      </c>
      <c r="AU9538" t="s">
        <v>68</v>
      </c>
      <c r="AV9538" t="s">
        <v>69</v>
      </c>
      <c r="AW9538" s="1">
        <v>31153</v>
      </c>
      <c r="AX9538">
        <v>1</v>
      </c>
    </row>
    <row r="9539" spans="1:50">
      <c r="A9539">
        <v>601936</v>
      </c>
      <c r="B9539" t="str">
        <f>"073337271"</f>
        <v>073337271</v>
      </c>
      <c r="C9539" t="s">
        <v>50</v>
      </c>
      <c r="D9539" t="s">
        <v>9728</v>
      </c>
      <c r="E9539" t="s">
        <v>52</v>
      </c>
      <c r="F9539" t="s">
        <v>95</v>
      </c>
      <c r="G9539" t="s">
        <v>4770</v>
      </c>
      <c r="H9539" t="str">
        <f>" "</f>
        <v xml:space="preserve"> </v>
      </c>
      <c r="K9539">
        <v>6932478606</v>
      </c>
      <c r="N9539" t="s">
        <v>615</v>
      </c>
      <c r="O9539" t="s">
        <v>616</v>
      </c>
      <c r="R9539" t="s">
        <v>57</v>
      </c>
      <c r="S9539">
        <v>10</v>
      </c>
      <c r="T9539">
        <v>207</v>
      </c>
      <c r="U9539" s="1">
        <v>37866</v>
      </c>
      <c r="V9539" t="s">
        <v>89</v>
      </c>
      <c r="W9539" t="s">
        <v>90</v>
      </c>
      <c r="X9539" t="s">
        <v>58</v>
      </c>
      <c r="Y9539">
        <v>22</v>
      </c>
      <c r="Z9539" t="s">
        <v>59</v>
      </c>
      <c r="AA9539" t="s">
        <v>59</v>
      </c>
      <c r="AB9539" t="s">
        <v>59</v>
      </c>
      <c r="AC9539" t="s">
        <v>59</v>
      </c>
      <c r="AD9539" t="s">
        <v>59</v>
      </c>
      <c r="AF9539" s="1">
        <v>37866</v>
      </c>
      <c r="AG9539" t="s">
        <v>8645</v>
      </c>
      <c r="AH9539" t="s">
        <v>8646</v>
      </c>
      <c r="AI9539" t="str">
        <f>"9500021"</f>
        <v>9500021</v>
      </c>
      <c r="AJ9539" t="s">
        <v>14054</v>
      </c>
      <c r="AK9539">
        <v>2825096298</v>
      </c>
      <c r="AL9539" t="s">
        <v>14055</v>
      </c>
      <c r="AM9539" t="s">
        <v>88</v>
      </c>
      <c r="AN9539" t="s">
        <v>6775</v>
      </c>
      <c r="AO9539" t="s">
        <v>13929</v>
      </c>
      <c r="AP9539" t="s">
        <v>14056</v>
      </c>
      <c r="AQ9539">
        <v>8</v>
      </c>
      <c r="AR9539" t="s">
        <v>89</v>
      </c>
      <c r="AS9539" t="s">
        <v>90</v>
      </c>
      <c r="AT9539" t="s">
        <v>58</v>
      </c>
      <c r="AU9539" t="s">
        <v>68</v>
      </c>
      <c r="AV9539" t="s">
        <v>69</v>
      </c>
      <c r="AW9539" s="1">
        <v>28631</v>
      </c>
      <c r="AX9539">
        <v>1</v>
      </c>
    </row>
    <row r="9540" spans="1:50">
      <c r="A9540">
        <v>598291</v>
      </c>
      <c r="B9540" t="str">
        <f>"052594330"</f>
        <v>052594330</v>
      </c>
      <c r="C9540" t="s">
        <v>50</v>
      </c>
      <c r="D9540" t="s">
        <v>14459</v>
      </c>
      <c r="E9540" t="s">
        <v>484</v>
      </c>
      <c r="F9540" t="s">
        <v>108</v>
      </c>
      <c r="G9540" t="s">
        <v>14460</v>
      </c>
      <c r="H9540" t="str">
        <f>"ΕΛ.ΒΕΝΙΖΕΛΟΥ 34Α ΧΑΝΙΑ"</f>
        <v>ΕΛ.ΒΕΝΙΖΕΛΟΥ 34Α ΧΑΝΙΑ</v>
      </c>
      <c r="I9540">
        <v>73100</v>
      </c>
      <c r="J9540">
        <v>2103616208</v>
      </c>
      <c r="K9540">
        <v>6972838395</v>
      </c>
      <c r="L9540">
        <v>2821057805</v>
      </c>
      <c r="N9540" t="s">
        <v>615</v>
      </c>
      <c r="O9540" t="s">
        <v>616</v>
      </c>
      <c r="R9540" t="s">
        <v>57</v>
      </c>
      <c r="S9540">
        <v>9</v>
      </c>
      <c r="T9540">
        <v>195</v>
      </c>
      <c r="U9540" s="1">
        <v>37497</v>
      </c>
      <c r="V9540" t="s">
        <v>89</v>
      </c>
      <c r="W9540" t="s">
        <v>90</v>
      </c>
      <c r="X9540" t="s">
        <v>58</v>
      </c>
      <c r="Y9540">
        <v>22</v>
      </c>
      <c r="Z9540" t="s">
        <v>59</v>
      </c>
      <c r="AA9540" t="s">
        <v>59</v>
      </c>
      <c r="AB9540" t="s">
        <v>59</v>
      </c>
      <c r="AC9540" t="s">
        <v>59</v>
      </c>
      <c r="AD9540" t="s">
        <v>59</v>
      </c>
      <c r="AF9540" s="1">
        <v>37497</v>
      </c>
      <c r="AG9540" t="s">
        <v>8645</v>
      </c>
      <c r="AH9540" t="s">
        <v>14199</v>
      </c>
      <c r="AI9540" t="str">
        <f>"9500140"</f>
        <v>9500140</v>
      </c>
      <c r="AJ9540" t="s">
        <v>14200</v>
      </c>
      <c r="AK9540">
        <v>2821097348</v>
      </c>
      <c r="AL9540" t="s">
        <v>14201</v>
      </c>
      <c r="AM9540" t="s">
        <v>88</v>
      </c>
      <c r="AN9540" t="s">
        <v>88</v>
      </c>
      <c r="AO9540" t="s">
        <v>88</v>
      </c>
      <c r="AP9540" t="s">
        <v>88</v>
      </c>
      <c r="AQ9540">
        <v>1</v>
      </c>
      <c r="AR9540" t="s">
        <v>89</v>
      </c>
      <c r="AS9540" t="s">
        <v>90</v>
      </c>
      <c r="AT9540" t="s">
        <v>58</v>
      </c>
      <c r="AU9540" t="s">
        <v>68</v>
      </c>
      <c r="AV9540" t="s">
        <v>69</v>
      </c>
      <c r="AW9540" s="1">
        <v>24841</v>
      </c>
      <c r="AX9540">
        <v>1</v>
      </c>
    </row>
    <row r="9541" spans="1:50">
      <c r="A9541">
        <v>612249</v>
      </c>
      <c r="B9541" t="str">
        <f>"101554175"</f>
        <v>101554175</v>
      </c>
      <c r="C9541" t="s">
        <v>50</v>
      </c>
      <c r="D9541" t="s">
        <v>7227</v>
      </c>
      <c r="E9541" t="s">
        <v>143</v>
      </c>
      <c r="F9541" t="s">
        <v>72</v>
      </c>
      <c r="G9541" t="s">
        <v>1553</v>
      </c>
      <c r="H9541" t="str">
        <f>"ΣΩΚΡΑΤΟΥΣ 5 ΧΑΝΙΑ"</f>
        <v>ΣΩΚΡΑΤΟΥΣ 5 ΧΑΝΙΑ</v>
      </c>
      <c r="I9541">
        <v>73133</v>
      </c>
      <c r="J9541">
        <v>2821096877</v>
      </c>
      <c r="K9541">
        <v>6976125112</v>
      </c>
      <c r="N9541" t="s">
        <v>306</v>
      </c>
      <c r="O9541" t="s">
        <v>307</v>
      </c>
      <c r="R9541" t="s">
        <v>57</v>
      </c>
      <c r="S9541">
        <v>6</v>
      </c>
      <c r="T9541">
        <v>234</v>
      </c>
      <c r="U9541" s="1">
        <v>38960</v>
      </c>
      <c r="V9541" t="s">
        <v>89</v>
      </c>
      <c r="W9541" t="s">
        <v>90</v>
      </c>
      <c r="X9541" t="s">
        <v>58</v>
      </c>
      <c r="Y9541">
        <v>23</v>
      </c>
      <c r="Z9541" t="s">
        <v>59</v>
      </c>
      <c r="AA9541" t="s">
        <v>59</v>
      </c>
      <c r="AB9541" t="s">
        <v>59</v>
      </c>
      <c r="AC9541" t="s">
        <v>59</v>
      </c>
      <c r="AD9541" t="s">
        <v>59</v>
      </c>
      <c r="AF9541" s="1">
        <v>38960</v>
      </c>
      <c r="AG9541" t="s">
        <v>8645</v>
      </c>
      <c r="AH9541" t="s">
        <v>8646</v>
      </c>
      <c r="AI9541" t="str">
        <f>"9500329"</f>
        <v>9500329</v>
      </c>
      <c r="AJ9541" t="s">
        <v>14241</v>
      </c>
      <c r="AK9541">
        <v>2821099075</v>
      </c>
      <c r="AL9541" t="s">
        <v>14242</v>
      </c>
      <c r="AM9541" t="s">
        <v>88</v>
      </c>
      <c r="AN9541" t="s">
        <v>88</v>
      </c>
      <c r="AO9541" t="s">
        <v>6733</v>
      </c>
      <c r="AP9541" t="s">
        <v>6734</v>
      </c>
      <c r="AQ9541">
        <v>2</v>
      </c>
      <c r="AR9541" t="s">
        <v>89</v>
      </c>
      <c r="AS9541" t="s">
        <v>90</v>
      </c>
      <c r="AT9541" t="s">
        <v>58</v>
      </c>
      <c r="AU9541" t="s">
        <v>68</v>
      </c>
      <c r="AV9541" t="s">
        <v>69</v>
      </c>
      <c r="AW9541" s="1">
        <v>27806</v>
      </c>
      <c r="AX9541">
        <v>1</v>
      </c>
    </row>
    <row r="9542" spans="1:50">
      <c r="A9542">
        <v>564212</v>
      </c>
      <c r="B9542" t="str">
        <f>"034695354"</f>
        <v>034695354</v>
      </c>
      <c r="C9542" t="s">
        <v>105</v>
      </c>
      <c r="D9542" t="s">
        <v>14461</v>
      </c>
      <c r="E9542" t="s">
        <v>99</v>
      </c>
      <c r="F9542" t="s">
        <v>920</v>
      </c>
      <c r="G9542" t="s">
        <v>1361</v>
      </c>
      <c r="H9542" t="str">
        <f>"ΚΑΛΑΜΑΚΙ-ALEXANTROS ΧΑΝΙΑ"</f>
        <v>ΚΑΛΑΜΑΚΙ-ALEXANTROS ΧΑΝΙΑ</v>
      </c>
      <c r="I9542">
        <v>73100</v>
      </c>
      <c r="K9542">
        <v>6972176622</v>
      </c>
      <c r="N9542" t="s">
        <v>615</v>
      </c>
      <c r="O9542" t="s">
        <v>616</v>
      </c>
      <c r="R9542" t="s">
        <v>57</v>
      </c>
      <c r="S9542">
        <v>14</v>
      </c>
      <c r="T9542">
        <v>161</v>
      </c>
      <c r="U9542" s="1">
        <v>33119</v>
      </c>
      <c r="V9542" t="s">
        <v>89</v>
      </c>
      <c r="W9542" t="s">
        <v>90</v>
      </c>
      <c r="X9542" t="s">
        <v>58</v>
      </c>
      <c r="Y9542">
        <v>21</v>
      </c>
      <c r="Z9542" t="s">
        <v>59</v>
      </c>
      <c r="AA9542" t="s">
        <v>59</v>
      </c>
      <c r="AB9542" t="s">
        <v>59</v>
      </c>
      <c r="AC9542" t="s">
        <v>59</v>
      </c>
      <c r="AD9542" t="s">
        <v>59</v>
      </c>
      <c r="AF9542" s="1">
        <v>33121</v>
      </c>
      <c r="AG9542" t="s">
        <v>8645</v>
      </c>
      <c r="AH9542" t="s">
        <v>8646</v>
      </c>
      <c r="AI9542" t="str">
        <f>"9500077"</f>
        <v>9500077</v>
      </c>
      <c r="AJ9542" t="s">
        <v>13903</v>
      </c>
      <c r="AK9542">
        <v>2821054404</v>
      </c>
      <c r="AL9542" t="s">
        <v>13904</v>
      </c>
      <c r="AM9542" t="s">
        <v>88</v>
      </c>
      <c r="AN9542" t="s">
        <v>88</v>
      </c>
      <c r="AO9542" t="s">
        <v>88</v>
      </c>
      <c r="AP9542" t="s">
        <v>88</v>
      </c>
      <c r="AQ9542">
        <v>1</v>
      </c>
      <c r="AR9542" t="s">
        <v>89</v>
      </c>
      <c r="AS9542" t="s">
        <v>90</v>
      </c>
      <c r="AT9542" t="s">
        <v>58</v>
      </c>
      <c r="AU9542" t="s">
        <v>68</v>
      </c>
      <c r="AV9542" t="s">
        <v>69</v>
      </c>
      <c r="AW9542" s="1">
        <v>23811</v>
      </c>
      <c r="AX9542">
        <v>1</v>
      </c>
    </row>
    <row r="9543" spans="1:50">
      <c r="B9543" t="str">
        <f>"120020853"</f>
        <v>120020853</v>
      </c>
      <c r="C9543" t="s">
        <v>50</v>
      </c>
      <c r="D9543" t="s">
        <v>14462</v>
      </c>
      <c r="E9543" t="s">
        <v>83</v>
      </c>
      <c r="F9543" t="s">
        <v>1414</v>
      </c>
      <c r="G9543" t="s">
        <v>658</v>
      </c>
      <c r="H9543" t="str">
        <f>"Κ. ΜΑΝΟΥ 6 ΠΕΛΕΚΑΠΙΝΑ ΧΑΝΙΑ"</f>
        <v>Κ. ΜΑΝΟΥ 6 ΠΕΛΕΚΑΠΙΝΑ ΧΑΝΙΑ</v>
      </c>
      <c r="I9543">
        <v>73135</v>
      </c>
      <c r="K9543">
        <v>6945641022</v>
      </c>
      <c r="M9543" t="s">
        <v>14463</v>
      </c>
      <c r="N9543" t="s">
        <v>9829</v>
      </c>
      <c r="O9543" t="s">
        <v>9830</v>
      </c>
      <c r="R9543" t="s">
        <v>159</v>
      </c>
      <c r="S9543">
        <v>6</v>
      </c>
      <c r="T9543" t="s">
        <v>8835</v>
      </c>
      <c r="U9543" s="1">
        <v>43348</v>
      </c>
      <c r="V9543" t="s">
        <v>89</v>
      </c>
      <c r="W9543" t="s">
        <v>90</v>
      </c>
      <c r="X9543" t="s">
        <v>58</v>
      </c>
      <c r="Y9543">
        <v>25</v>
      </c>
      <c r="Z9543" t="s">
        <v>59</v>
      </c>
      <c r="AA9543" t="s">
        <v>59</v>
      </c>
      <c r="AB9543" t="s">
        <v>59</v>
      </c>
      <c r="AC9543" t="s">
        <v>59</v>
      </c>
      <c r="AD9543" t="s">
        <v>59</v>
      </c>
      <c r="AF9543" s="1">
        <v>43348</v>
      </c>
      <c r="AG9543" t="s">
        <v>8651</v>
      </c>
      <c r="AH9543" t="s">
        <v>8652</v>
      </c>
      <c r="AI9543" t="str">
        <f>"9500413"</f>
        <v>9500413</v>
      </c>
      <c r="AJ9543" t="s">
        <v>14125</v>
      </c>
      <c r="AK9543">
        <v>2821064655</v>
      </c>
      <c r="AL9543" t="s">
        <v>14126</v>
      </c>
      <c r="AM9543" t="s">
        <v>88</v>
      </c>
      <c r="AN9543" t="s">
        <v>88</v>
      </c>
      <c r="AO9543" t="s">
        <v>6770</v>
      </c>
      <c r="AP9543" t="s">
        <v>6771</v>
      </c>
      <c r="AQ9543">
        <v>2</v>
      </c>
      <c r="AR9543" t="s">
        <v>89</v>
      </c>
      <c r="AS9543" t="s">
        <v>90</v>
      </c>
      <c r="AT9543" t="s">
        <v>58</v>
      </c>
      <c r="AU9543" t="s">
        <v>131</v>
      </c>
      <c r="AV9543" t="s">
        <v>132</v>
      </c>
      <c r="AW9543" s="1">
        <v>28678</v>
      </c>
      <c r="AX9543">
        <v>1</v>
      </c>
    </row>
    <row r="9544" spans="1:50">
      <c r="A9544">
        <v>623010</v>
      </c>
      <c r="B9544" t="str">
        <f>"128940062"</f>
        <v>128940062</v>
      </c>
      <c r="C9544" t="s">
        <v>50</v>
      </c>
      <c r="D9544" t="s">
        <v>14464</v>
      </c>
      <c r="E9544" t="s">
        <v>155</v>
      </c>
      <c r="F9544" t="s">
        <v>1316</v>
      </c>
      <c r="G9544" t="s">
        <v>367</v>
      </c>
      <c r="H9544" t="str">
        <f>"ΚΑΡΑΚΑΣΗ 46 ΧΑΡΙΛΑΟΥ ΘΕΣΣΑΛΟΝΙΚΗΣ"</f>
        <v>ΚΑΡΑΚΑΣΗ 46 ΧΑΡΙΛΑΟΥ ΘΕΣΣΑΛΟΝΙΚΗΣ</v>
      </c>
      <c r="I9544">
        <v>54248</v>
      </c>
      <c r="J9544">
        <v>2343041235</v>
      </c>
      <c r="K9544">
        <v>6944503727</v>
      </c>
      <c r="N9544" t="s">
        <v>306</v>
      </c>
      <c r="O9544" t="s">
        <v>307</v>
      </c>
      <c r="R9544" t="s">
        <v>57</v>
      </c>
      <c r="S9544">
        <v>5</v>
      </c>
      <c r="T9544">
        <v>720</v>
      </c>
      <c r="U9544" s="1">
        <v>40059</v>
      </c>
      <c r="V9544" t="s">
        <v>89</v>
      </c>
      <c r="W9544" t="s">
        <v>90</v>
      </c>
      <c r="X9544" t="s">
        <v>58</v>
      </c>
      <c r="Y9544">
        <v>24</v>
      </c>
      <c r="Z9544" t="s">
        <v>59</v>
      </c>
      <c r="AA9544" t="s">
        <v>59</v>
      </c>
      <c r="AB9544" t="s">
        <v>59</v>
      </c>
      <c r="AC9544" t="s">
        <v>59</v>
      </c>
      <c r="AD9544" t="s">
        <v>59</v>
      </c>
      <c r="AF9544" s="1">
        <v>40063</v>
      </c>
      <c r="AG9544" t="s">
        <v>8645</v>
      </c>
      <c r="AH9544" t="s">
        <v>8646</v>
      </c>
      <c r="AI9544" t="str">
        <f>"9500259"</f>
        <v>9500259</v>
      </c>
      <c r="AJ9544" t="s">
        <v>14017</v>
      </c>
      <c r="AK9544">
        <v>2823041459</v>
      </c>
      <c r="AL9544" t="s">
        <v>14018</v>
      </c>
      <c r="AM9544" t="s">
        <v>88</v>
      </c>
      <c r="AN9544" t="s">
        <v>6824</v>
      </c>
      <c r="AO9544" t="s">
        <v>6870</v>
      </c>
      <c r="AP9544" t="s">
        <v>14019</v>
      </c>
      <c r="AQ9544">
        <v>11</v>
      </c>
      <c r="AR9544" t="s">
        <v>89</v>
      </c>
      <c r="AS9544" t="s">
        <v>90</v>
      </c>
      <c r="AT9544" t="s">
        <v>58</v>
      </c>
      <c r="AU9544" t="s">
        <v>68</v>
      </c>
      <c r="AV9544" t="s">
        <v>69</v>
      </c>
      <c r="AW9544" s="1">
        <v>30232</v>
      </c>
      <c r="AX9544">
        <v>1</v>
      </c>
    </row>
    <row r="9545" spans="1:50">
      <c r="B9545" t="str">
        <f>"141025211"</f>
        <v>141025211</v>
      </c>
      <c r="C9545" t="s">
        <v>50</v>
      </c>
      <c r="D9545" t="s">
        <v>14465</v>
      </c>
      <c r="E9545" t="s">
        <v>809</v>
      </c>
      <c r="F9545" t="s">
        <v>920</v>
      </c>
      <c r="G9545" t="s">
        <v>109</v>
      </c>
      <c r="H9545" t="str">
        <f>" "</f>
        <v xml:space="preserve"> </v>
      </c>
      <c r="N9545" t="s">
        <v>384</v>
      </c>
      <c r="O9545" t="s">
        <v>385</v>
      </c>
      <c r="R9545" t="s">
        <v>121</v>
      </c>
      <c r="S9545">
        <v>1</v>
      </c>
      <c r="T9545" t="s">
        <v>8675</v>
      </c>
      <c r="U9545" s="1">
        <v>43348</v>
      </c>
      <c r="V9545" t="s">
        <v>89</v>
      </c>
      <c r="W9545" t="s">
        <v>90</v>
      </c>
      <c r="X9545" t="s">
        <v>58</v>
      </c>
      <c r="Y9545">
        <v>24</v>
      </c>
      <c r="Z9545" t="s">
        <v>59</v>
      </c>
      <c r="AA9545" t="s">
        <v>59</v>
      </c>
      <c r="AB9545" t="s">
        <v>59</v>
      </c>
      <c r="AD9545" t="s">
        <v>59</v>
      </c>
      <c r="AF9545" s="1">
        <v>43348</v>
      </c>
      <c r="AG9545" t="s">
        <v>8645</v>
      </c>
      <c r="AH9545" t="s">
        <v>8646</v>
      </c>
      <c r="AI9545" t="str">
        <f>"9500191"</f>
        <v>9500191</v>
      </c>
      <c r="AJ9545" t="s">
        <v>13986</v>
      </c>
      <c r="AK9545">
        <v>2822022042</v>
      </c>
      <c r="AL9545" t="s">
        <v>13987</v>
      </c>
      <c r="AM9545" t="s">
        <v>88</v>
      </c>
      <c r="AN9545" t="s">
        <v>6744</v>
      </c>
      <c r="AO9545" t="s">
        <v>6744</v>
      </c>
      <c r="AP9545" t="s">
        <v>6744</v>
      </c>
      <c r="AQ9545">
        <v>9</v>
      </c>
      <c r="AR9545" t="s">
        <v>89</v>
      </c>
      <c r="AS9545" t="s">
        <v>90</v>
      </c>
      <c r="AT9545" t="s">
        <v>58</v>
      </c>
      <c r="AU9545" t="s">
        <v>8673</v>
      </c>
      <c r="AV9545" t="s">
        <v>132</v>
      </c>
      <c r="AW9545" s="1">
        <v>33040</v>
      </c>
      <c r="AX9545">
        <v>1</v>
      </c>
    </row>
    <row r="9546" spans="1:50">
      <c r="A9546">
        <v>610259</v>
      </c>
      <c r="B9546" t="str">
        <f>"113178040"</f>
        <v>113178040</v>
      </c>
      <c r="C9546" t="s">
        <v>50</v>
      </c>
      <c r="D9546" t="s">
        <v>5973</v>
      </c>
      <c r="E9546" t="s">
        <v>964</v>
      </c>
      <c r="F9546" t="s">
        <v>304</v>
      </c>
      <c r="G9546" t="s">
        <v>237</v>
      </c>
      <c r="H9546" t="str">
        <f>"ΚΩΝΣΤΑΝΤΟΥΛΑΚΗΔΩΝ  ΚΑΤΩ ΣΤΑΛΟΣ"</f>
        <v>ΚΩΝΣΤΑΝΤΟΥΛΑΚΗΔΩΝ  ΚΑΤΩ ΣΤΑΛΟΣ</v>
      </c>
      <c r="J9546">
        <v>2821033726</v>
      </c>
      <c r="K9546">
        <v>6948489143</v>
      </c>
      <c r="N9546" t="s">
        <v>615</v>
      </c>
      <c r="O9546" t="s">
        <v>616</v>
      </c>
      <c r="R9546" t="s">
        <v>57</v>
      </c>
      <c r="S9546">
        <v>7</v>
      </c>
      <c r="T9546">
        <v>233</v>
      </c>
      <c r="U9546" s="1">
        <v>38960</v>
      </c>
      <c r="V9546" t="s">
        <v>89</v>
      </c>
      <c r="W9546" t="s">
        <v>90</v>
      </c>
      <c r="X9546" t="s">
        <v>58</v>
      </c>
      <c r="Y9546">
        <v>22</v>
      </c>
      <c r="Z9546" t="s">
        <v>59</v>
      </c>
      <c r="AA9546" t="s">
        <v>59</v>
      </c>
      <c r="AB9546" t="s">
        <v>59</v>
      </c>
      <c r="AC9546" t="s">
        <v>59</v>
      </c>
      <c r="AD9546" t="s">
        <v>59</v>
      </c>
      <c r="AF9546" s="1">
        <v>38960</v>
      </c>
      <c r="AG9546" t="s">
        <v>8645</v>
      </c>
      <c r="AH9546" t="s">
        <v>8646</v>
      </c>
      <c r="AI9546" t="str">
        <f>"9500071"</f>
        <v>9500071</v>
      </c>
      <c r="AJ9546" t="s">
        <v>14209</v>
      </c>
      <c r="AK9546">
        <v>2821093760</v>
      </c>
      <c r="AL9546" t="s">
        <v>14210</v>
      </c>
      <c r="AM9546" t="s">
        <v>88</v>
      </c>
      <c r="AN9546" t="s">
        <v>88</v>
      </c>
      <c r="AO9546" t="s">
        <v>88</v>
      </c>
      <c r="AP9546" t="s">
        <v>88</v>
      </c>
      <c r="AQ9546">
        <v>1</v>
      </c>
      <c r="AR9546" t="s">
        <v>89</v>
      </c>
      <c r="AS9546" t="s">
        <v>90</v>
      </c>
      <c r="AT9546" t="s">
        <v>58</v>
      </c>
      <c r="AU9546" t="s">
        <v>68</v>
      </c>
      <c r="AV9546" t="s">
        <v>69</v>
      </c>
      <c r="AW9546" s="1">
        <v>28428</v>
      </c>
      <c r="AX9546">
        <v>1</v>
      </c>
    </row>
    <row r="9547" spans="1:50">
      <c r="A9547">
        <v>598302</v>
      </c>
      <c r="B9547" t="str">
        <f>"072280878"</f>
        <v>072280878</v>
      </c>
      <c r="C9547" t="s">
        <v>50</v>
      </c>
      <c r="D9547" t="s">
        <v>5973</v>
      </c>
      <c r="E9547" t="s">
        <v>382</v>
      </c>
      <c r="F9547" t="s">
        <v>414</v>
      </c>
      <c r="G9547" t="s">
        <v>52</v>
      </c>
      <c r="H9547" t="str">
        <f>"Λ. Κ. ΚΑΡΑΜΑΝΛΗ 4 ΧΑΝΙΑ"</f>
        <v>Λ. Κ. ΚΑΡΑΜΑΝΛΗ 4 ΧΑΝΙΑ</v>
      </c>
      <c r="I9547">
        <v>73100</v>
      </c>
      <c r="J9547">
        <v>2821097281</v>
      </c>
      <c r="K9547">
        <v>6934691029</v>
      </c>
      <c r="N9547" t="s">
        <v>615</v>
      </c>
      <c r="O9547" t="s">
        <v>616</v>
      </c>
      <c r="R9547" t="s">
        <v>57</v>
      </c>
      <c r="S9547">
        <v>8</v>
      </c>
      <c r="T9547">
        <v>195</v>
      </c>
      <c r="U9547" s="1">
        <v>37497</v>
      </c>
      <c r="V9547" t="s">
        <v>89</v>
      </c>
      <c r="W9547" t="s">
        <v>90</v>
      </c>
      <c r="X9547" t="s">
        <v>58</v>
      </c>
      <c r="Y9547">
        <v>22</v>
      </c>
      <c r="Z9547" t="s">
        <v>59</v>
      </c>
      <c r="AA9547" t="s">
        <v>59</v>
      </c>
      <c r="AB9547" t="s">
        <v>59</v>
      </c>
      <c r="AC9547" t="s">
        <v>59</v>
      </c>
      <c r="AD9547" t="s">
        <v>59</v>
      </c>
      <c r="AF9547" s="1">
        <v>37497</v>
      </c>
      <c r="AG9547" t="s">
        <v>8645</v>
      </c>
      <c r="AH9547" t="s">
        <v>8646</v>
      </c>
      <c r="AI9547" t="str">
        <f>"9500035"</f>
        <v>9500035</v>
      </c>
      <c r="AJ9547" t="s">
        <v>13979</v>
      </c>
      <c r="AK9547">
        <v>2821094678</v>
      </c>
      <c r="AL9547" t="s">
        <v>13980</v>
      </c>
      <c r="AM9547" t="s">
        <v>88</v>
      </c>
      <c r="AN9547" t="s">
        <v>88</v>
      </c>
      <c r="AO9547" t="s">
        <v>88</v>
      </c>
      <c r="AP9547" t="s">
        <v>88</v>
      </c>
      <c r="AQ9547">
        <v>2</v>
      </c>
      <c r="AR9547" t="s">
        <v>89</v>
      </c>
      <c r="AS9547" t="s">
        <v>90</v>
      </c>
      <c r="AT9547" t="s">
        <v>58</v>
      </c>
      <c r="AU9547" t="s">
        <v>68</v>
      </c>
      <c r="AV9547" t="s">
        <v>69</v>
      </c>
      <c r="AW9547" s="1">
        <v>25296</v>
      </c>
      <c r="AX9547">
        <v>1</v>
      </c>
    </row>
    <row r="9548" spans="1:50">
      <c r="A9548">
        <v>614757</v>
      </c>
      <c r="B9548" t="str">
        <f>"112366970"</f>
        <v>112366970</v>
      </c>
      <c r="C9548" t="s">
        <v>50</v>
      </c>
      <c r="D9548" t="s">
        <v>5973</v>
      </c>
      <c r="E9548" t="s">
        <v>473</v>
      </c>
      <c r="F9548" t="s">
        <v>106</v>
      </c>
      <c r="G9548" t="s">
        <v>52</v>
      </c>
      <c r="H9548" t="str">
        <f>"ΧΡΥΣΟΠΗΓΗΣ 13 ΧΑΝΙΑ"</f>
        <v>ΧΡΥΣΟΠΗΓΗΣ 13 ΧΑΝΙΑ</v>
      </c>
      <c r="I9548">
        <v>73100</v>
      </c>
      <c r="J9548">
        <v>2821094866</v>
      </c>
      <c r="K9548">
        <v>6970813100</v>
      </c>
      <c r="N9548" t="s">
        <v>615</v>
      </c>
      <c r="O9548" t="s">
        <v>616</v>
      </c>
      <c r="R9548" t="s">
        <v>57</v>
      </c>
      <c r="S9548">
        <v>7</v>
      </c>
      <c r="T9548">
        <v>598</v>
      </c>
      <c r="U9548" s="1">
        <v>39310</v>
      </c>
      <c r="V9548" t="s">
        <v>89</v>
      </c>
      <c r="W9548" t="s">
        <v>90</v>
      </c>
      <c r="X9548" t="s">
        <v>58</v>
      </c>
      <c r="Y9548">
        <v>22</v>
      </c>
      <c r="Z9548" t="s">
        <v>59</v>
      </c>
      <c r="AA9548" t="s">
        <v>59</v>
      </c>
      <c r="AB9548" t="s">
        <v>59</v>
      </c>
      <c r="AC9548" t="s">
        <v>59</v>
      </c>
      <c r="AD9548" t="s">
        <v>59</v>
      </c>
      <c r="AF9548" s="1">
        <v>39310</v>
      </c>
      <c r="AG9548" t="s">
        <v>8645</v>
      </c>
      <c r="AH9548" t="s">
        <v>8646</v>
      </c>
      <c r="AI9548" t="str">
        <f>"9500314"</f>
        <v>9500314</v>
      </c>
      <c r="AJ9548" t="s">
        <v>14116</v>
      </c>
      <c r="AK9548">
        <v>2821097640</v>
      </c>
      <c r="AL9548" t="s">
        <v>14117</v>
      </c>
      <c r="AM9548" t="s">
        <v>88</v>
      </c>
      <c r="AN9548" t="s">
        <v>88</v>
      </c>
      <c r="AO9548" t="s">
        <v>88</v>
      </c>
      <c r="AP9548" t="s">
        <v>88</v>
      </c>
      <c r="AQ9548">
        <v>1</v>
      </c>
      <c r="AR9548" t="s">
        <v>89</v>
      </c>
      <c r="AS9548" t="s">
        <v>90</v>
      </c>
      <c r="AT9548" t="s">
        <v>58</v>
      </c>
      <c r="AU9548" t="s">
        <v>68</v>
      </c>
      <c r="AV9548" t="s">
        <v>69</v>
      </c>
      <c r="AW9548" s="1">
        <v>29960</v>
      </c>
      <c r="AX9548">
        <v>1</v>
      </c>
    </row>
    <row r="9549" spans="1:50">
      <c r="B9549" t="str">
        <f>"157856989"</f>
        <v>157856989</v>
      </c>
      <c r="C9549" t="s">
        <v>50</v>
      </c>
      <c r="D9549" t="s">
        <v>5973</v>
      </c>
      <c r="E9549" t="s">
        <v>681</v>
      </c>
      <c r="F9549" t="s">
        <v>111</v>
      </c>
      <c r="G9549" t="s">
        <v>681</v>
      </c>
      <c r="H9549" t="str">
        <f>"ΠΑΝΙΩΝΙΟΥ 33 ΠΑΓΚΡΑΤΙ"</f>
        <v>ΠΑΝΙΩΝΙΟΥ 33 ΠΑΓΚΡΑΤΙ</v>
      </c>
      <c r="I9549">
        <v>16121</v>
      </c>
      <c r="J9549">
        <v>2107228833</v>
      </c>
      <c r="K9549">
        <v>6978504902</v>
      </c>
      <c r="M9549" t="s">
        <v>14466</v>
      </c>
      <c r="N9549" t="s">
        <v>615</v>
      </c>
      <c r="O9549" t="s">
        <v>616</v>
      </c>
      <c r="R9549" t="s">
        <v>159</v>
      </c>
      <c r="S9549">
        <v>3</v>
      </c>
      <c r="T9549" t="s">
        <v>9034</v>
      </c>
      <c r="U9549" s="1">
        <v>43377</v>
      </c>
      <c r="V9549" t="s">
        <v>89</v>
      </c>
      <c r="W9549" t="s">
        <v>90</v>
      </c>
      <c r="X9549" t="s">
        <v>58</v>
      </c>
      <c r="Y9549">
        <v>24</v>
      </c>
      <c r="Z9549" t="s">
        <v>59</v>
      </c>
      <c r="AA9549" t="s">
        <v>59</v>
      </c>
      <c r="AB9549" t="s">
        <v>59</v>
      </c>
      <c r="AD9549" t="s">
        <v>59</v>
      </c>
      <c r="AF9549" s="1">
        <v>43377</v>
      </c>
      <c r="AG9549" t="s">
        <v>8645</v>
      </c>
      <c r="AH9549" t="s">
        <v>8646</v>
      </c>
      <c r="AI9549" t="str">
        <f>"9500081"</f>
        <v>9500081</v>
      </c>
      <c r="AJ9549" t="s">
        <v>14034</v>
      </c>
      <c r="AK9549">
        <v>2821077150</v>
      </c>
      <c r="AL9549" t="s">
        <v>14035</v>
      </c>
      <c r="AM9549" t="s">
        <v>88</v>
      </c>
      <c r="AN9549" t="s">
        <v>6764</v>
      </c>
      <c r="AO9549" t="s">
        <v>6885</v>
      </c>
      <c r="AP9549" t="s">
        <v>6886</v>
      </c>
      <c r="AQ9549">
        <v>4</v>
      </c>
      <c r="AR9549" t="s">
        <v>89</v>
      </c>
      <c r="AS9549" t="s">
        <v>90</v>
      </c>
      <c r="AT9549" t="s">
        <v>58</v>
      </c>
      <c r="AU9549" t="s">
        <v>8673</v>
      </c>
      <c r="AV9549" t="s">
        <v>132</v>
      </c>
      <c r="AW9549" s="1">
        <v>33673</v>
      </c>
      <c r="AX9549">
        <v>1</v>
      </c>
    </row>
    <row r="9550" spans="1:50">
      <c r="A9550">
        <v>615424</v>
      </c>
      <c r="B9550" t="str">
        <f>"051467527"</f>
        <v>051467527</v>
      </c>
      <c r="C9550" t="s">
        <v>50</v>
      </c>
      <c r="D9550" t="s">
        <v>5973</v>
      </c>
      <c r="E9550" t="s">
        <v>54</v>
      </c>
      <c r="F9550" t="s">
        <v>5397</v>
      </c>
      <c r="G9550" t="s">
        <v>73</v>
      </c>
      <c r="H9550" t="str">
        <f>"ΠΛΑΤΑΝΙ  ΣΟΥΔΑ"</f>
        <v>ΠΛΑΤΑΝΙ  ΣΟΥΔΑ</v>
      </c>
      <c r="I9550">
        <v>73200</v>
      </c>
      <c r="J9550">
        <v>2821089573</v>
      </c>
      <c r="K9550">
        <v>6972854851</v>
      </c>
      <c r="L9550">
        <v>6973329690</v>
      </c>
      <c r="N9550" t="s">
        <v>1525</v>
      </c>
      <c r="O9550" t="s">
        <v>1526</v>
      </c>
      <c r="R9550" t="s">
        <v>57</v>
      </c>
      <c r="S9550">
        <v>6</v>
      </c>
      <c r="T9550">
        <v>598</v>
      </c>
      <c r="U9550" s="1">
        <v>39310</v>
      </c>
      <c r="V9550" t="s">
        <v>89</v>
      </c>
      <c r="W9550" t="s">
        <v>90</v>
      </c>
      <c r="X9550" t="s">
        <v>58</v>
      </c>
      <c r="Y9550">
        <v>25</v>
      </c>
      <c r="Z9550" t="s">
        <v>59</v>
      </c>
      <c r="AA9550" t="s">
        <v>59</v>
      </c>
      <c r="AB9550" t="s">
        <v>59</v>
      </c>
      <c r="AC9550" t="s">
        <v>59</v>
      </c>
      <c r="AD9550" t="s">
        <v>59</v>
      </c>
      <c r="AF9550" s="1">
        <v>39328</v>
      </c>
      <c r="AG9550" t="s">
        <v>8651</v>
      </c>
      <c r="AH9550" t="s">
        <v>8652</v>
      </c>
      <c r="AI9550" t="str">
        <f>"9500350"</f>
        <v>9500350</v>
      </c>
      <c r="AJ9550" t="s">
        <v>14112</v>
      </c>
      <c r="AK9550">
        <v>2825041555</v>
      </c>
      <c r="AL9550" t="s">
        <v>14113</v>
      </c>
      <c r="AM9550" t="s">
        <v>88</v>
      </c>
      <c r="AN9550" t="s">
        <v>6775</v>
      </c>
      <c r="AO9550" t="s">
        <v>11883</v>
      </c>
      <c r="AP9550" t="s">
        <v>14114</v>
      </c>
      <c r="AQ9550">
        <v>7</v>
      </c>
      <c r="AR9550" t="s">
        <v>89</v>
      </c>
      <c r="AS9550" t="s">
        <v>90</v>
      </c>
      <c r="AT9550" t="s">
        <v>58</v>
      </c>
      <c r="AU9550" t="s">
        <v>68</v>
      </c>
      <c r="AV9550" t="s">
        <v>69</v>
      </c>
      <c r="AW9550" s="1">
        <v>24714</v>
      </c>
      <c r="AX9550">
        <v>1</v>
      </c>
    </row>
    <row r="9551" spans="1:50">
      <c r="B9551" t="str">
        <f>"101910659"</f>
        <v>101910659</v>
      </c>
      <c r="C9551" t="s">
        <v>50</v>
      </c>
      <c r="D9551" t="s">
        <v>1494</v>
      </c>
      <c r="E9551" t="s">
        <v>11502</v>
      </c>
      <c r="F9551" t="s">
        <v>53</v>
      </c>
      <c r="G9551" t="s">
        <v>783</v>
      </c>
      <c r="H9551" t="str">
        <f>"ΥΔΡΑΣ 3 ΛΑΜΙΑ"</f>
        <v>ΥΔΡΑΣ 3 ΛΑΜΙΑ</v>
      </c>
      <c r="I9551">
        <v>35100</v>
      </c>
      <c r="J9551">
        <v>2231043375</v>
      </c>
      <c r="K9551">
        <v>6978444176</v>
      </c>
      <c r="N9551" t="s">
        <v>306</v>
      </c>
      <c r="O9551" t="s">
        <v>307</v>
      </c>
      <c r="R9551" t="s">
        <v>159</v>
      </c>
      <c r="S9551">
        <v>4</v>
      </c>
      <c r="T9551" t="s">
        <v>8675</v>
      </c>
      <c r="U9551" s="1">
        <v>43348</v>
      </c>
      <c r="V9551" t="s">
        <v>89</v>
      </c>
      <c r="W9551" t="s">
        <v>90</v>
      </c>
      <c r="X9551" t="s">
        <v>58</v>
      </c>
      <c r="Y9551">
        <v>24</v>
      </c>
      <c r="Z9551" t="s">
        <v>59</v>
      </c>
      <c r="AA9551" t="s">
        <v>59</v>
      </c>
      <c r="AB9551" t="s">
        <v>59</v>
      </c>
      <c r="AC9551" t="s">
        <v>59</v>
      </c>
      <c r="AD9551" t="s">
        <v>59</v>
      </c>
      <c r="AF9551" s="1">
        <v>43348</v>
      </c>
      <c r="AG9551" t="s">
        <v>8645</v>
      </c>
      <c r="AH9551" t="s">
        <v>8646</v>
      </c>
      <c r="AI9551" t="str">
        <f>"9500055"</f>
        <v>9500055</v>
      </c>
      <c r="AJ9551" t="s">
        <v>14096</v>
      </c>
      <c r="AK9551">
        <v>2825092237</v>
      </c>
      <c r="AL9551" t="s">
        <v>14095</v>
      </c>
      <c r="AM9551" t="s">
        <v>88</v>
      </c>
      <c r="AN9551" t="s">
        <v>6995</v>
      </c>
      <c r="AO9551" t="s">
        <v>6995</v>
      </c>
      <c r="AP9551" t="s">
        <v>14097</v>
      </c>
      <c r="AQ9551">
        <v>10</v>
      </c>
      <c r="AR9551" t="s">
        <v>89</v>
      </c>
      <c r="AS9551" t="s">
        <v>90</v>
      </c>
      <c r="AT9551" t="s">
        <v>58</v>
      </c>
      <c r="AU9551" t="s">
        <v>8673</v>
      </c>
      <c r="AV9551" t="s">
        <v>132</v>
      </c>
      <c r="AW9551" s="1">
        <v>28035</v>
      </c>
      <c r="AX9551">
        <v>1</v>
      </c>
    </row>
    <row r="9552" spans="1:50">
      <c r="A9552">
        <v>602366</v>
      </c>
      <c r="B9552" t="str">
        <f>"113817782"</f>
        <v>113817782</v>
      </c>
      <c r="C9552" t="s">
        <v>105</v>
      </c>
      <c r="D9552" t="s">
        <v>1501</v>
      </c>
      <c r="E9552" t="s">
        <v>72</v>
      </c>
      <c r="F9552" t="s">
        <v>377</v>
      </c>
      <c r="G9552" t="s">
        <v>1588</v>
      </c>
      <c r="H9552" t="str">
        <f>"ΧΑΡΑΛΑΜΠΟΥ ΚΟΥΤΡΟΥΛΗ 19 ΧΑΝΙΑ"</f>
        <v>ΧΑΡΑΛΑΜΠΟΥ ΚΟΥΤΡΟΥΛΗ 19 ΧΑΝΙΑ</v>
      </c>
      <c r="I9552">
        <v>73133</v>
      </c>
      <c r="J9552">
        <v>2821058943</v>
      </c>
      <c r="K9552">
        <v>6984618365</v>
      </c>
      <c r="L9552">
        <v>2107790506</v>
      </c>
      <c r="N9552" t="s">
        <v>615</v>
      </c>
      <c r="O9552" t="s">
        <v>616</v>
      </c>
      <c r="R9552" t="s">
        <v>57</v>
      </c>
      <c r="S9552">
        <v>8</v>
      </c>
      <c r="T9552">
        <v>207</v>
      </c>
      <c r="U9552" s="1">
        <v>37866</v>
      </c>
      <c r="V9552" t="s">
        <v>89</v>
      </c>
      <c r="W9552" t="s">
        <v>90</v>
      </c>
      <c r="X9552" t="s">
        <v>58</v>
      </c>
      <c r="Y9552">
        <v>22</v>
      </c>
      <c r="Z9552" t="s">
        <v>59</v>
      </c>
      <c r="AA9552" t="s">
        <v>59</v>
      </c>
      <c r="AB9552" t="s">
        <v>59</v>
      </c>
      <c r="AC9552" t="s">
        <v>59</v>
      </c>
      <c r="AD9552" t="s">
        <v>59</v>
      </c>
      <c r="AF9552" s="1">
        <v>37868</v>
      </c>
      <c r="AG9552" t="s">
        <v>8645</v>
      </c>
      <c r="AH9552" t="s">
        <v>8646</v>
      </c>
      <c r="AI9552" t="str">
        <f>"9500314"</f>
        <v>9500314</v>
      </c>
      <c r="AJ9552" t="s">
        <v>14116</v>
      </c>
      <c r="AK9552">
        <v>2821097640</v>
      </c>
      <c r="AL9552" t="s">
        <v>14117</v>
      </c>
      <c r="AM9552" t="s">
        <v>88</v>
      </c>
      <c r="AN9552" t="s">
        <v>88</v>
      </c>
      <c r="AO9552" t="s">
        <v>88</v>
      </c>
      <c r="AP9552" t="s">
        <v>88</v>
      </c>
      <c r="AQ9552">
        <v>1</v>
      </c>
      <c r="AR9552" t="s">
        <v>89</v>
      </c>
      <c r="AS9552" t="s">
        <v>90</v>
      </c>
      <c r="AT9552" t="s">
        <v>58</v>
      </c>
      <c r="AU9552" t="s">
        <v>68</v>
      </c>
      <c r="AV9552" t="s">
        <v>69</v>
      </c>
      <c r="AW9552" s="1">
        <v>27229</v>
      </c>
      <c r="AX9552">
        <v>1</v>
      </c>
    </row>
    <row r="9553" spans="1:50">
      <c r="A9553">
        <v>579476</v>
      </c>
      <c r="B9553" t="str">
        <f>"037805067"</f>
        <v>037805067</v>
      </c>
      <c r="C9553" t="s">
        <v>50</v>
      </c>
      <c r="D9553" t="s">
        <v>14467</v>
      </c>
      <c r="E9553" t="s">
        <v>237</v>
      </c>
      <c r="F9553" t="s">
        <v>106</v>
      </c>
      <c r="G9553" t="s">
        <v>52</v>
      </c>
      <c r="H9553" t="str">
        <f>"ΗΡ. ΠΟΛΥΤΕΧΝΕΙΟΥ 3 ΒΑΜΒΑΚΟΠΟΥΛΟ-ΧΑΝΙΑ"</f>
        <v>ΗΡ. ΠΟΛΥΤΕΧΝΕΙΟΥ 3 ΒΑΜΒΑΚΟΠΟΥΛΟ-ΧΑΝΙΑ</v>
      </c>
      <c r="I9553">
        <v>73133</v>
      </c>
      <c r="J9553">
        <v>2821092567</v>
      </c>
      <c r="K9553">
        <v>6945388848</v>
      </c>
      <c r="N9553" t="s">
        <v>615</v>
      </c>
      <c r="O9553" t="s">
        <v>616</v>
      </c>
      <c r="R9553" t="s">
        <v>57</v>
      </c>
      <c r="S9553">
        <v>13</v>
      </c>
      <c r="T9553">
        <v>165</v>
      </c>
      <c r="U9553" s="1">
        <v>35300</v>
      </c>
      <c r="V9553" t="s">
        <v>89</v>
      </c>
      <c r="W9553" t="s">
        <v>90</v>
      </c>
      <c r="X9553" t="s">
        <v>58</v>
      </c>
      <c r="Y9553">
        <v>21</v>
      </c>
      <c r="Z9553" t="s">
        <v>59</v>
      </c>
      <c r="AA9553" t="s">
        <v>59</v>
      </c>
      <c r="AB9553" t="s">
        <v>59</v>
      </c>
      <c r="AC9553" t="s">
        <v>59</v>
      </c>
      <c r="AD9553" t="s">
        <v>59</v>
      </c>
      <c r="AF9553" s="1">
        <v>35300</v>
      </c>
      <c r="AG9553" t="s">
        <v>8645</v>
      </c>
      <c r="AH9553" t="s">
        <v>8646</v>
      </c>
      <c r="AI9553" t="str">
        <f>"9500139"</f>
        <v>9500139</v>
      </c>
      <c r="AJ9553" t="s">
        <v>14050</v>
      </c>
      <c r="AK9553">
        <v>2821096819</v>
      </c>
      <c r="AL9553" t="s">
        <v>14051</v>
      </c>
      <c r="AM9553" t="s">
        <v>88</v>
      </c>
      <c r="AN9553" t="s">
        <v>88</v>
      </c>
      <c r="AO9553" t="s">
        <v>88</v>
      </c>
      <c r="AP9553" t="s">
        <v>88</v>
      </c>
      <c r="AQ9553">
        <v>1</v>
      </c>
      <c r="AR9553" t="s">
        <v>89</v>
      </c>
      <c r="AS9553" t="s">
        <v>90</v>
      </c>
      <c r="AT9553" t="s">
        <v>58</v>
      </c>
      <c r="AU9553" t="s">
        <v>68</v>
      </c>
      <c r="AV9553" t="s">
        <v>69</v>
      </c>
      <c r="AW9553" s="1">
        <v>24762</v>
      </c>
      <c r="AX9553">
        <v>1</v>
      </c>
    </row>
    <row r="9554" spans="1:50">
      <c r="A9554">
        <v>563178</v>
      </c>
      <c r="B9554" t="str">
        <f>"032853783"</f>
        <v>032853783</v>
      </c>
      <c r="C9554" t="s">
        <v>50</v>
      </c>
      <c r="D9554" t="s">
        <v>1509</v>
      </c>
      <c r="E9554" t="s">
        <v>845</v>
      </c>
      <c r="F9554" t="s">
        <v>510</v>
      </c>
      <c r="G9554" t="s">
        <v>263</v>
      </c>
      <c r="H9554" t="str">
        <f>" "</f>
        <v xml:space="preserve"> </v>
      </c>
      <c r="N9554" t="s">
        <v>1525</v>
      </c>
      <c r="O9554" t="s">
        <v>1526</v>
      </c>
      <c r="R9554" t="s">
        <v>57</v>
      </c>
      <c r="S9554">
        <v>15</v>
      </c>
      <c r="T9554">
        <v>187</v>
      </c>
      <c r="U9554" s="1">
        <v>32750</v>
      </c>
      <c r="V9554" t="s">
        <v>89</v>
      </c>
      <c r="W9554" t="s">
        <v>90</v>
      </c>
      <c r="X9554" t="s">
        <v>58</v>
      </c>
      <c r="Y9554">
        <v>25</v>
      </c>
      <c r="Z9554" t="s">
        <v>59</v>
      </c>
      <c r="AA9554" t="s">
        <v>59</v>
      </c>
      <c r="AB9554" t="s">
        <v>59</v>
      </c>
      <c r="AC9554" t="s">
        <v>59</v>
      </c>
      <c r="AD9554" t="s">
        <v>59</v>
      </c>
      <c r="AF9554" s="1">
        <v>32752</v>
      </c>
      <c r="AG9554" t="s">
        <v>8651</v>
      </c>
      <c r="AH9554" t="s">
        <v>8652</v>
      </c>
      <c r="AI9554" t="str">
        <f>"9500044"</f>
        <v>9500044</v>
      </c>
      <c r="AJ9554" t="s">
        <v>14468</v>
      </c>
      <c r="AK9554">
        <v>2821053815</v>
      </c>
      <c r="AL9554" t="s">
        <v>14469</v>
      </c>
      <c r="AM9554" t="s">
        <v>88</v>
      </c>
      <c r="AN9554" t="s">
        <v>88</v>
      </c>
      <c r="AO9554" t="s">
        <v>88</v>
      </c>
      <c r="AP9554" t="s">
        <v>88</v>
      </c>
      <c r="AQ9554">
        <v>1</v>
      </c>
      <c r="AR9554" t="s">
        <v>89</v>
      </c>
      <c r="AS9554" t="s">
        <v>90</v>
      </c>
      <c r="AT9554" t="s">
        <v>58</v>
      </c>
      <c r="AU9554" t="s">
        <v>68</v>
      </c>
      <c r="AV9554" t="s">
        <v>69</v>
      </c>
      <c r="AW9554" s="1">
        <v>23668</v>
      </c>
      <c r="AX9554">
        <v>1</v>
      </c>
    </row>
    <row r="9555" spans="1:50">
      <c r="A9555">
        <v>700353</v>
      </c>
      <c r="B9555" t="str">
        <f>"147059004"</f>
        <v>147059004</v>
      </c>
      <c r="C9555" t="s">
        <v>50</v>
      </c>
      <c r="D9555" t="s">
        <v>1509</v>
      </c>
      <c r="E9555" t="s">
        <v>181</v>
      </c>
      <c r="F9555" t="s">
        <v>72</v>
      </c>
      <c r="G9555" t="s">
        <v>52</v>
      </c>
      <c r="H9555" t="str">
        <f>"ΖΗΡΟΣ ΔΗΜΟΣ ΛΕΥΚΗΣ ΛΑΣΙΘΙΟΥ"</f>
        <v>ΖΗΡΟΣ ΔΗΜΟΣ ΛΕΥΚΗΣ ΛΑΣΙΘΙΟΥ</v>
      </c>
      <c r="I9555">
        <v>72059</v>
      </c>
      <c r="J9555">
        <v>2843091423</v>
      </c>
      <c r="K9555">
        <v>6979728038</v>
      </c>
      <c r="N9555" t="s">
        <v>615</v>
      </c>
      <c r="O9555" t="s">
        <v>616</v>
      </c>
      <c r="R9555" t="s">
        <v>57</v>
      </c>
      <c r="S9555">
        <v>4</v>
      </c>
      <c r="T9555" t="s">
        <v>14470</v>
      </c>
      <c r="U9555" s="1">
        <v>40413</v>
      </c>
      <c r="V9555" t="s">
        <v>89</v>
      </c>
      <c r="W9555" t="s">
        <v>90</v>
      </c>
      <c r="X9555" t="s">
        <v>58</v>
      </c>
      <c r="Y9555">
        <v>23</v>
      </c>
      <c r="Z9555" t="s">
        <v>59</v>
      </c>
      <c r="AA9555" t="s">
        <v>59</v>
      </c>
      <c r="AB9555" t="s">
        <v>59</v>
      </c>
      <c r="AC9555" t="s">
        <v>59</v>
      </c>
      <c r="AD9555" t="s">
        <v>59</v>
      </c>
      <c r="AF9555" s="1">
        <v>40414</v>
      </c>
      <c r="AG9555" t="s">
        <v>8645</v>
      </c>
      <c r="AH9555" t="s">
        <v>8646</v>
      </c>
      <c r="AI9555" t="str">
        <f>"9500017"</f>
        <v>9500017</v>
      </c>
      <c r="AJ9555" t="s">
        <v>13873</v>
      </c>
      <c r="AK9555">
        <v>2825083173</v>
      </c>
      <c r="AL9555" t="s">
        <v>13874</v>
      </c>
      <c r="AM9555" t="s">
        <v>88</v>
      </c>
      <c r="AN9555" t="s">
        <v>6775</v>
      </c>
      <c r="AO9555" t="s">
        <v>11883</v>
      </c>
      <c r="AP9555" t="s">
        <v>13875</v>
      </c>
      <c r="AQ9555">
        <v>7</v>
      </c>
      <c r="AR9555" t="s">
        <v>89</v>
      </c>
      <c r="AS9555" t="s">
        <v>90</v>
      </c>
      <c r="AT9555" t="s">
        <v>58</v>
      </c>
      <c r="AU9555" t="s">
        <v>68</v>
      </c>
      <c r="AV9555" t="s">
        <v>69</v>
      </c>
      <c r="AW9555" s="1">
        <v>31139</v>
      </c>
      <c r="AX9555">
        <v>1</v>
      </c>
    </row>
    <row r="9556" spans="1:50">
      <c r="B9556" t="str">
        <f>"135918567"</f>
        <v>135918567</v>
      </c>
      <c r="C9556" t="s">
        <v>50</v>
      </c>
      <c r="D9556" t="s">
        <v>5977</v>
      </c>
      <c r="E9556" t="s">
        <v>237</v>
      </c>
      <c r="F9556" t="s">
        <v>72</v>
      </c>
      <c r="G9556" t="s">
        <v>238</v>
      </c>
      <c r="H9556" t="str">
        <f>" "</f>
        <v xml:space="preserve"> </v>
      </c>
      <c r="J9556">
        <v>2105142365</v>
      </c>
      <c r="K9556">
        <v>6979055261</v>
      </c>
      <c r="N9556" t="s">
        <v>683</v>
      </c>
      <c r="O9556" t="s">
        <v>684</v>
      </c>
      <c r="R9556" t="s">
        <v>121</v>
      </c>
      <c r="S9556">
        <v>1</v>
      </c>
      <c r="T9556" t="s">
        <v>8675</v>
      </c>
      <c r="U9556" s="1">
        <v>43348</v>
      </c>
      <c r="V9556" t="s">
        <v>89</v>
      </c>
      <c r="W9556" t="s">
        <v>90</v>
      </c>
      <c r="X9556" t="s">
        <v>58</v>
      </c>
      <c r="Y9556">
        <v>24</v>
      </c>
      <c r="Z9556" t="s">
        <v>59</v>
      </c>
      <c r="AA9556" t="s">
        <v>59</v>
      </c>
      <c r="AB9556" t="s">
        <v>59</v>
      </c>
      <c r="AD9556" t="s">
        <v>59</v>
      </c>
      <c r="AF9556" s="1">
        <v>43348</v>
      </c>
      <c r="AG9556" t="s">
        <v>8645</v>
      </c>
      <c r="AH9556" t="s">
        <v>8646</v>
      </c>
      <c r="AI9556" t="str">
        <f>"9500070"</f>
        <v>9500070</v>
      </c>
      <c r="AJ9556" t="s">
        <v>14221</v>
      </c>
      <c r="AK9556">
        <v>2821095817</v>
      </c>
      <c r="AL9556" t="s">
        <v>14222</v>
      </c>
      <c r="AM9556" t="s">
        <v>88</v>
      </c>
      <c r="AN9556" t="s">
        <v>88</v>
      </c>
      <c r="AO9556" t="s">
        <v>88</v>
      </c>
      <c r="AP9556" t="s">
        <v>88</v>
      </c>
      <c r="AQ9556">
        <v>1</v>
      </c>
      <c r="AR9556" t="s">
        <v>89</v>
      </c>
      <c r="AS9556" t="s">
        <v>90</v>
      </c>
      <c r="AT9556" t="s">
        <v>58</v>
      </c>
      <c r="AU9556" t="s">
        <v>8673</v>
      </c>
      <c r="AV9556" t="s">
        <v>132</v>
      </c>
      <c r="AW9556" s="1">
        <v>30927</v>
      </c>
      <c r="AX9556">
        <v>1</v>
      </c>
    </row>
    <row r="9557" spans="1:50">
      <c r="A9557">
        <v>603558</v>
      </c>
      <c r="B9557" t="str">
        <f>"104891321"</f>
        <v>104891321</v>
      </c>
      <c r="C9557" t="s">
        <v>50</v>
      </c>
      <c r="D9557" t="s">
        <v>14471</v>
      </c>
      <c r="E9557" t="s">
        <v>237</v>
      </c>
      <c r="F9557" t="s">
        <v>450</v>
      </c>
      <c r="G9557" t="s">
        <v>14472</v>
      </c>
      <c r="H9557" t="str">
        <f>"ΦΛΕΣΣΑ 3 ΝΑΥΠΛΙΟ"</f>
        <v>ΦΛΕΣΣΑ 3 ΝΑΥΠΛΙΟ</v>
      </c>
      <c r="I9557">
        <v>21100</v>
      </c>
      <c r="K9557">
        <v>6934546773</v>
      </c>
      <c r="L9557">
        <v>6988896072</v>
      </c>
      <c r="N9557" t="s">
        <v>5035</v>
      </c>
      <c r="O9557" t="s">
        <v>5036</v>
      </c>
      <c r="R9557" t="s">
        <v>57</v>
      </c>
      <c r="S9557">
        <v>5</v>
      </c>
      <c r="T9557">
        <v>275</v>
      </c>
      <c r="U9557" s="1">
        <v>37956</v>
      </c>
      <c r="V9557" t="s">
        <v>89</v>
      </c>
      <c r="W9557" t="s">
        <v>90</v>
      </c>
      <c r="X9557" t="s">
        <v>58</v>
      </c>
      <c r="Y9557">
        <v>30</v>
      </c>
      <c r="Z9557" t="s">
        <v>59</v>
      </c>
      <c r="AA9557" t="s">
        <v>59</v>
      </c>
      <c r="AB9557" t="s">
        <v>59</v>
      </c>
      <c r="AC9557" t="s">
        <v>59</v>
      </c>
      <c r="AD9557" t="s">
        <v>59</v>
      </c>
      <c r="AF9557" s="1">
        <v>37977</v>
      </c>
      <c r="AG9557" t="s">
        <v>8645</v>
      </c>
      <c r="AH9557" t="s">
        <v>8697</v>
      </c>
      <c r="AI9557" t="str">
        <f>"9500361"</f>
        <v>9500361</v>
      </c>
      <c r="AJ9557" t="s">
        <v>14024</v>
      </c>
      <c r="AK9557">
        <v>2821070176</v>
      </c>
      <c r="AL9557" t="s">
        <v>14025</v>
      </c>
      <c r="AM9557" t="s">
        <v>88</v>
      </c>
      <c r="AN9557" t="s">
        <v>88</v>
      </c>
      <c r="AO9557" t="s">
        <v>88</v>
      </c>
      <c r="AP9557" t="s">
        <v>88</v>
      </c>
      <c r="AQ9557">
        <v>1</v>
      </c>
      <c r="AR9557" t="s">
        <v>89</v>
      </c>
      <c r="AS9557" t="s">
        <v>90</v>
      </c>
      <c r="AT9557" t="s">
        <v>58</v>
      </c>
      <c r="AU9557" t="s">
        <v>68</v>
      </c>
      <c r="AV9557" t="s">
        <v>69</v>
      </c>
      <c r="AW9557" s="1">
        <v>29346</v>
      </c>
      <c r="AX9557">
        <v>1</v>
      </c>
    </row>
    <row r="9558" spans="1:50">
      <c r="A9558">
        <v>598324</v>
      </c>
      <c r="B9558" t="str">
        <f>"077565375"</f>
        <v>077565375</v>
      </c>
      <c r="C9558" t="s">
        <v>105</v>
      </c>
      <c r="D9558" t="s">
        <v>14473</v>
      </c>
      <c r="E9558" t="s">
        <v>1023</v>
      </c>
      <c r="F9558" t="s">
        <v>99</v>
      </c>
      <c r="G9558" t="s">
        <v>112</v>
      </c>
      <c r="H9558" t="str">
        <f>"ΚΑΛΗΣΠΕΡΗΔΩΝ 1 ΧΑΝΙΑ"</f>
        <v>ΚΑΛΗΣΠΕΡΗΔΩΝ 1 ΧΑΝΙΑ</v>
      </c>
      <c r="I9558">
        <v>73131</v>
      </c>
      <c r="J9558">
        <v>2441021169</v>
      </c>
      <c r="K9558">
        <v>6936644095</v>
      </c>
      <c r="L9558">
        <v>2821093189</v>
      </c>
      <c r="N9558" t="s">
        <v>615</v>
      </c>
      <c r="O9558" t="s">
        <v>616</v>
      </c>
      <c r="R9558" t="s">
        <v>57</v>
      </c>
      <c r="S9558">
        <v>9</v>
      </c>
      <c r="T9558">
        <v>195</v>
      </c>
      <c r="U9558" s="1">
        <v>37497</v>
      </c>
      <c r="V9558" t="s">
        <v>89</v>
      </c>
      <c r="W9558" t="s">
        <v>90</v>
      </c>
      <c r="X9558" t="s">
        <v>58</v>
      </c>
      <c r="Y9558">
        <v>22</v>
      </c>
      <c r="Z9558" t="s">
        <v>59</v>
      </c>
      <c r="AA9558" t="s">
        <v>59</v>
      </c>
      <c r="AB9558" t="s">
        <v>59</v>
      </c>
      <c r="AC9558" t="s">
        <v>59</v>
      </c>
      <c r="AD9558" t="s">
        <v>59</v>
      </c>
      <c r="AF9558" s="1">
        <v>37497</v>
      </c>
      <c r="AG9558" t="s">
        <v>8645</v>
      </c>
      <c r="AH9558" t="s">
        <v>8646</v>
      </c>
      <c r="AI9558" t="str">
        <f>"9500144"</f>
        <v>9500144</v>
      </c>
      <c r="AJ9558" t="s">
        <v>14010</v>
      </c>
      <c r="AK9558">
        <v>2821094171</v>
      </c>
      <c r="AL9558" t="s">
        <v>14011</v>
      </c>
      <c r="AM9558" t="s">
        <v>88</v>
      </c>
      <c r="AN9558" t="s">
        <v>88</v>
      </c>
      <c r="AO9558" t="s">
        <v>88</v>
      </c>
      <c r="AP9558" t="s">
        <v>88</v>
      </c>
      <c r="AQ9558">
        <v>1</v>
      </c>
      <c r="AR9558" t="s">
        <v>89</v>
      </c>
      <c r="AS9558" t="s">
        <v>90</v>
      </c>
      <c r="AT9558" t="s">
        <v>58</v>
      </c>
      <c r="AU9558" t="s">
        <v>68</v>
      </c>
      <c r="AV9558" t="s">
        <v>69</v>
      </c>
      <c r="AW9558" s="1">
        <v>24607</v>
      </c>
      <c r="AX9558">
        <v>1</v>
      </c>
    </row>
    <row r="9559" spans="1:50">
      <c r="A9559">
        <v>617301</v>
      </c>
      <c r="B9559" t="str">
        <f>"135276474"</f>
        <v>135276474</v>
      </c>
      <c r="C9559" t="s">
        <v>50</v>
      </c>
      <c r="D9559" t="s">
        <v>1538</v>
      </c>
      <c r="E9559" t="s">
        <v>476</v>
      </c>
      <c r="F9559" t="s">
        <v>510</v>
      </c>
      <c r="G9559" t="s">
        <v>52</v>
      </c>
      <c r="H9559" t="str">
        <f>"ΓΚΕΡΤΣΟΥ 23 ΚΟΖΑΝΗ"</f>
        <v>ΓΚΕΡΤΣΟΥ 23 ΚΟΖΑΝΗ</v>
      </c>
      <c r="I9559">
        <v>50100</v>
      </c>
      <c r="J9559">
        <v>2461031886</v>
      </c>
      <c r="K9559">
        <v>6988904502</v>
      </c>
      <c r="N9559" t="s">
        <v>615</v>
      </c>
      <c r="O9559" t="s">
        <v>616</v>
      </c>
      <c r="R9559" t="s">
        <v>57</v>
      </c>
      <c r="S9559">
        <v>6</v>
      </c>
      <c r="T9559">
        <v>774</v>
      </c>
      <c r="U9559" s="1">
        <v>39680</v>
      </c>
      <c r="V9559" t="s">
        <v>89</v>
      </c>
      <c r="W9559" t="s">
        <v>90</v>
      </c>
      <c r="X9559" t="s">
        <v>58</v>
      </c>
      <c r="Y9559">
        <v>23</v>
      </c>
      <c r="Z9559" t="s">
        <v>59</v>
      </c>
      <c r="AA9559" t="s">
        <v>59</v>
      </c>
      <c r="AB9559" t="s">
        <v>59</v>
      </c>
      <c r="AC9559" t="s">
        <v>59</v>
      </c>
      <c r="AD9559" t="s">
        <v>59</v>
      </c>
      <c r="AF9559" s="1">
        <v>39682</v>
      </c>
      <c r="AG9559" t="s">
        <v>8645</v>
      </c>
      <c r="AH9559" t="s">
        <v>8646</v>
      </c>
      <c r="AI9559" t="str">
        <f>"9500144"</f>
        <v>9500144</v>
      </c>
      <c r="AJ9559" t="s">
        <v>14010</v>
      </c>
      <c r="AK9559">
        <v>2821094171</v>
      </c>
      <c r="AL9559" t="s">
        <v>14011</v>
      </c>
      <c r="AM9559" t="s">
        <v>88</v>
      </c>
      <c r="AN9559" t="s">
        <v>88</v>
      </c>
      <c r="AO9559" t="s">
        <v>88</v>
      </c>
      <c r="AP9559" t="s">
        <v>88</v>
      </c>
      <c r="AQ9559">
        <v>1</v>
      </c>
      <c r="AR9559" t="s">
        <v>89</v>
      </c>
      <c r="AS9559" t="s">
        <v>90</v>
      </c>
      <c r="AT9559" t="s">
        <v>58</v>
      </c>
      <c r="AU9559" t="s">
        <v>68</v>
      </c>
      <c r="AV9559" t="s">
        <v>69</v>
      </c>
      <c r="AW9559" s="1">
        <v>29770</v>
      </c>
      <c r="AX9559">
        <v>1</v>
      </c>
    </row>
    <row r="9560" spans="1:50">
      <c r="A9560">
        <v>598326</v>
      </c>
      <c r="B9560" t="str">
        <f>"111607943"</f>
        <v>111607943</v>
      </c>
      <c r="C9560" t="s">
        <v>50</v>
      </c>
      <c r="D9560" t="s">
        <v>1538</v>
      </c>
      <c r="E9560" t="s">
        <v>114</v>
      </c>
      <c r="F9560" t="s">
        <v>995</v>
      </c>
      <c r="G9560" t="s">
        <v>372</v>
      </c>
      <c r="H9560" t="str">
        <f>"ΣΕΣΚΛΟΥ 9 ΒΟΛΟΣ"</f>
        <v>ΣΕΣΚΛΟΥ 9 ΒΟΛΟΣ</v>
      </c>
      <c r="I9560">
        <v>38333</v>
      </c>
      <c r="J9560">
        <v>2421401401</v>
      </c>
      <c r="K9560">
        <v>6976944434</v>
      </c>
      <c r="N9560" t="s">
        <v>615</v>
      </c>
      <c r="O9560" t="s">
        <v>616</v>
      </c>
      <c r="R9560" t="s">
        <v>57</v>
      </c>
      <c r="S9560">
        <v>9</v>
      </c>
      <c r="T9560">
        <v>195</v>
      </c>
      <c r="U9560" s="1">
        <v>37496</v>
      </c>
      <c r="V9560" t="s">
        <v>89</v>
      </c>
      <c r="W9560" t="s">
        <v>90</v>
      </c>
      <c r="X9560" t="s">
        <v>58</v>
      </c>
      <c r="Y9560">
        <v>22</v>
      </c>
      <c r="Z9560" t="s">
        <v>59</v>
      </c>
      <c r="AA9560" t="s">
        <v>59</v>
      </c>
      <c r="AB9560" t="s">
        <v>59</v>
      </c>
      <c r="AC9560" t="s">
        <v>59</v>
      </c>
      <c r="AD9560" t="s">
        <v>59</v>
      </c>
      <c r="AF9560" s="1">
        <v>37501</v>
      </c>
      <c r="AG9560" t="s">
        <v>8645</v>
      </c>
      <c r="AH9560" t="s">
        <v>8646</v>
      </c>
      <c r="AI9560" t="str">
        <f>"9500218"</f>
        <v>9500218</v>
      </c>
      <c r="AJ9560" t="s">
        <v>13992</v>
      </c>
      <c r="AK9560">
        <v>2824022216</v>
      </c>
      <c r="AL9560" t="s">
        <v>13993</v>
      </c>
      <c r="AM9560" t="s">
        <v>88</v>
      </c>
      <c r="AN9560" t="s">
        <v>6764</v>
      </c>
      <c r="AO9560" t="s">
        <v>6799</v>
      </c>
      <c r="AP9560" t="s">
        <v>6799</v>
      </c>
      <c r="AQ9560">
        <v>6</v>
      </c>
      <c r="AR9560" t="s">
        <v>89</v>
      </c>
      <c r="AS9560" t="s">
        <v>90</v>
      </c>
      <c r="AT9560" t="s">
        <v>58</v>
      </c>
      <c r="AU9560" t="s">
        <v>68</v>
      </c>
      <c r="AV9560" t="s">
        <v>69</v>
      </c>
      <c r="AW9560" s="1">
        <v>24427</v>
      </c>
      <c r="AX9560">
        <v>1</v>
      </c>
    </row>
    <row r="9561" spans="1:50">
      <c r="B9561" t="str">
        <f>"144523592"</f>
        <v>144523592</v>
      </c>
      <c r="C9561" t="s">
        <v>50</v>
      </c>
      <c r="D9561" t="s">
        <v>1538</v>
      </c>
      <c r="E9561" t="s">
        <v>620</v>
      </c>
      <c r="F9561" t="s">
        <v>84</v>
      </c>
      <c r="G9561" t="s">
        <v>52</v>
      </c>
      <c r="H9561" t="str">
        <f>"ΝΟΤΑΡΑ 31 "</f>
        <v xml:space="preserve">ΝΟΤΑΡΑ 31 </v>
      </c>
      <c r="I9561">
        <v>60100</v>
      </c>
      <c r="J9561">
        <v>2351037336</v>
      </c>
      <c r="K9561">
        <v>6932648368</v>
      </c>
      <c r="M9561" t="s">
        <v>14474</v>
      </c>
      <c r="N9561" t="s">
        <v>615</v>
      </c>
      <c r="O9561" t="s">
        <v>616</v>
      </c>
      <c r="R9561" t="s">
        <v>159</v>
      </c>
      <c r="S9561">
        <v>3</v>
      </c>
      <c r="T9561" t="s">
        <v>8675</v>
      </c>
      <c r="U9561" s="1">
        <v>43348</v>
      </c>
      <c r="V9561" t="s">
        <v>89</v>
      </c>
      <c r="W9561" t="s">
        <v>90</v>
      </c>
      <c r="X9561" t="s">
        <v>58</v>
      </c>
      <c r="Y9561">
        <v>24</v>
      </c>
      <c r="Z9561" t="s">
        <v>59</v>
      </c>
      <c r="AA9561" t="s">
        <v>59</v>
      </c>
      <c r="AB9561" t="s">
        <v>59</v>
      </c>
      <c r="AC9561" t="s">
        <v>59</v>
      </c>
      <c r="AD9561" t="s">
        <v>59</v>
      </c>
      <c r="AF9561" s="1">
        <v>43348</v>
      </c>
      <c r="AG9561" t="s">
        <v>8645</v>
      </c>
      <c r="AH9561" t="s">
        <v>8646</v>
      </c>
      <c r="AI9561" t="str">
        <f>"9500038"</f>
        <v>9500038</v>
      </c>
      <c r="AJ9561" t="s">
        <v>13899</v>
      </c>
      <c r="AK9561">
        <v>2821042407</v>
      </c>
      <c r="AL9561" t="s">
        <v>13900</v>
      </c>
      <c r="AM9561" t="s">
        <v>88</v>
      </c>
      <c r="AN9561" t="s">
        <v>88</v>
      </c>
      <c r="AO9561" t="s">
        <v>88</v>
      </c>
      <c r="AP9561" t="s">
        <v>88</v>
      </c>
      <c r="AQ9561">
        <v>1</v>
      </c>
      <c r="AR9561" t="s">
        <v>89</v>
      </c>
      <c r="AS9561" t="s">
        <v>90</v>
      </c>
      <c r="AT9561" t="s">
        <v>58</v>
      </c>
      <c r="AU9561" t="s">
        <v>8673</v>
      </c>
      <c r="AV9561" t="s">
        <v>132</v>
      </c>
      <c r="AW9561" s="1">
        <v>32316</v>
      </c>
      <c r="AX9561">
        <v>1</v>
      </c>
    </row>
    <row r="9562" spans="1:50">
      <c r="A9562">
        <v>619986</v>
      </c>
      <c r="B9562" t="str">
        <f>"128726936"</f>
        <v>128726936</v>
      </c>
      <c r="C9562" t="s">
        <v>50</v>
      </c>
      <c r="D9562" t="s">
        <v>14475</v>
      </c>
      <c r="E9562" t="s">
        <v>109</v>
      </c>
      <c r="F9562" t="s">
        <v>782</v>
      </c>
      <c r="G9562" t="s">
        <v>714</v>
      </c>
      <c r="H9562" t="str">
        <f>"ΚΑΔΜΟΥ 71 ΘΗΒΑ-ΒΟΙΩΤΙΑΣ"</f>
        <v>ΚΑΔΜΟΥ 71 ΘΗΒΑ-ΒΟΙΩΤΙΑΣ</v>
      </c>
      <c r="I9562">
        <v>32200</v>
      </c>
      <c r="J9562">
        <v>2262028348</v>
      </c>
      <c r="K9562">
        <v>6972338666</v>
      </c>
      <c r="L9562">
        <v>2821181106</v>
      </c>
      <c r="N9562" t="s">
        <v>176</v>
      </c>
      <c r="O9562" t="s">
        <v>177</v>
      </c>
      <c r="R9562" t="s">
        <v>57</v>
      </c>
      <c r="S9562">
        <v>6</v>
      </c>
      <c r="T9562">
        <v>775</v>
      </c>
      <c r="U9562" s="1">
        <v>39680</v>
      </c>
      <c r="V9562" t="s">
        <v>89</v>
      </c>
      <c r="W9562" t="s">
        <v>90</v>
      </c>
      <c r="X9562" t="s">
        <v>58</v>
      </c>
      <c r="Y9562">
        <v>23</v>
      </c>
      <c r="Z9562" t="s">
        <v>59</v>
      </c>
      <c r="AA9562" t="s">
        <v>59</v>
      </c>
      <c r="AB9562" t="s">
        <v>59</v>
      </c>
      <c r="AC9562" t="s">
        <v>59</v>
      </c>
      <c r="AD9562" t="s">
        <v>59</v>
      </c>
      <c r="AF9562" s="1">
        <v>39682</v>
      </c>
      <c r="AG9562" t="s">
        <v>8645</v>
      </c>
      <c r="AH9562" t="s">
        <v>14199</v>
      </c>
      <c r="AI9562" t="str">
        <f>"9500140"</f>
        <v>9500140</v>
      </c>
      <c r="AJ9562" t="s">
        <v>14200</v>
      </c>
      <c r="AK9562">
        <v>2821097348</v>
      </c>
      <c r="AL9562" t="s">
        <v>14201</v>
      </c>
      <c r="AM9562" t="s">
        <v>88</v>
      </c>
      <c r="AN9562" t="s">
        <v>88</v>
      </c>
      <c r="AO9562" t="s">
        <v>88</v>
      </c>
      <c r="AP9562" t="s">
        <v>88</v>
      </c>
      <c r="AQ9562">
        <v>1</v>
      </c>
      <c r="AR9562" t="s">
        <v>89</v>
      </c>
      <c r="AS9562" t="s">
        <v>90</v>
      </c>
      <c r="AT9562" t="s">
        <v>58</v>
      </c>
      <c r="AU9562" t="s">
        <v>68</v>
      </c>
      <c r="AV9562" t="s">
        <v>132</v>
      </c>
      <c r="AW9562" s="1">
        <v>29229</v>
      </c>
      <c r="AX9562">
        <v>1</v>
      </c>
    </row>
    <row r="9563" spans="1:50">
      <c r="A9563">
        <v>594142</v>
      </c>
      <c r="B9563" t="str">
        <f>"100608878"</f>
        <v>100608878</v>
      </c>
      <c r="C9563" t="s">
        <v>50</v>
      </c>
      <c r="D9563" t="s">
        <v>9760</v>
      </c>
      <c r="E9563" t="s">
        <v>755</v>
      </c>
      <c r="F9563" t="s">
        <v>989</v>
      </c>
      <c r="G9563" t="s">
        <v>83</v>
      </c>
      <c r="H9563" t="str">
        <f>"ΑΓ. ΜΑΡΙΝΑΣ 60 ΧΑΝΙΑ"</f>
        <v>ΑΓ. ΜΑΡΙΝΑΣ 60 ΧΑΝΙΑ</v>
      </c>
      <c r="I9563">
        <v>73300</v>
      </c>
      <c r="J9563">
        <v>2821091364</v>
      </c>
      <c r="K9563">
        <v>6972006723</v>
      </c>
      <c r="N9563" t="s">
        <v>615</v>
      </c>
      <c r="O9563" t="s">
        <v>616</v>
      </c>
      <c r="R9563" t="s">
        <v>57</v>
      </c>
      <c r="S9563">
        <v>8</v>
      </c>
      <c r="T9563">
        <v>218</v>
      </c>
      <c r="U9563" s="1">
        <v>37134</v>
      </c>
      <c r="V9563" t="s">
        <v>89</v>
      </c>
      <c r="W9563" t="s">
        <v>90</v>
      </c>
      <c r="X9563" t="s">
        <v>58</v>
      </c>
      <c r="Y9563">
        <v>22</v>
      </c>
      <c r="Z9563" t="s">
        <v>59</v>
      </c>
      <c r="AA9563" t="s">
        <v>59</v>
      </c>
      <c r="AB9563" t="s">
        <v>59</v>
      </c>
      <c r="AC9563" t="s">
        <v>59</v>
      </c>
      <c r="AD9563" t="s">
        <v>59</v>
      </c>
      <c r="AF9563" s="1">
        <v>37134</v>
      </c>
      <c r="AG9563" t="s">
        <v>8645</v>
      </c>
      <c r="AH9563" t="s">
        <v>8646</v>
      </c>
      <c r="AI9563" t="str">
        <f>"9500358"</f>
        <v>9500358</v>
      </c>
      <c r="AJ9563" t="s">
        <v>13948</v>
      </c>
      <c r="AK9563">
        <v>2821093459</v>
      </c>
      <c r="AL9563" t="s">
        <v>13949</v>
      </c>
      <c r="AM9563" t="s">
        <v>88</v>
      </c>
      <c r="AN9563" t="s">
        <v>88</v>
      </c>
      <c r="AO9563" t="s">
        <v>6733</v>
      </c>
      <c r="AP9563" t="s">
        <v>6755</v>
      </c>
      <c r="AQ9563">
        <v>2</v>
      </c>
      <c r="AR9563" t="s">
        <v>89</v>
      </c>
      <c r="AS9563" t="s">
        <v>90</v>
      </c>
      <c r="AT9563" t="s">
        <v>58</v>
      </c>
      <c r="AU9563" t="s">
        <v>68</v>
      </c>
      <c r="AV9563" t="s">
        <v>69</v>
      </c>
      <c r="AW9563" s="1">
        <v>28574</v>
      </c>
      <c r="AX9563">
        <v>1</v>
      </c>
    </row>
    <row r="9564" spans="1:50">
      <c r="A9564">
        <v>557636</v>
      </c>
      <c r="B9564" t="str">
        <f>"032849419"</f>
        <v>032849419</v>
      </c>
      <c r="C9564" t="s">
        <v>105</v>
      </c>
      <c r="D9564" t="s">
        <v>14476</v>
      </c>
      <c r="E9564" t="s">
        <v>6024</v>
      </c>
      <c r="F9564" t="s">
        <v>670</v>
      </c>
      <c r="G9564" t="s">
        <v>93</v>
      </c>
      <c r="H9564" t="str">
        <f>"ΑΝΤ.ΓΙΑΝΝΑΡΗ 6 ΧΑΝΙΑ"</f>
        <v>ΑΝΤ.ΓΙΑΝΝΑΡΗ 6 ΧΑΝΙΑ</v>
      </c>
      <c r="I9564">
        <v>73100</v>
      </c>
      <c r="J9564">
        <v>2821028274</v>
      </c>
      <c r="N9564" t="s">
        <v>615</v>
      </c>
      <c r="O9564" t="s">
        <v>616</v>
      </c>
      <c r="R9564" t="s">
        <v>57</v>
      </c>
      <c r="S9564">
        <v>15</v>
      </c>
      <c r="T9564">
        <v>168</v>
      </c>
      <c r="U9564" s="1">
        <v>32010</v>
      </c>
      <c r="V9564" t="s">
        <v>89</v>
      </c>
      <c r="W9564" t="s">
        <v>90</v>
      </c>
      <c r="X9564" t="s">
        <v>58</v>
      </c>
      <c r="Y9564">
        <v>21</v>
      </c>
      <c r="Z9564" t="s">
        <v>59</v>
      </c>
      <c r="AA9564" t="s">
        <v>59</v>
      </c>
      <c r="AB9564" t="s">
        <v>59</v>
      </c>
      <c r="AC9564" t="s">
        <v>59</v>
      </c>
      <c r="AD9564" t="s">
        <v>59</v>
      </c>
      <c r="AF9564" s="1">
        <v>32010</v>
      </c>
      <c r="AG9564" t="s">
        <v>8645</v>
      </c>
      <c r="AH9564" t="s">
        <v>8646</v>
      </c>
      <c r="AI9564" t="str">
        <f>"9500320"</f>
        <v>9500320</v>
      </c>
      <c r="AJ9564" t="s">
        <v>14100</v>
      </c>
      <c r="AK9564">
        <v>2821099577</v>
      </c>
      <c r="AL9564" t="s">
        <v>14101</v>
      </c>
      <c r="AM9564" t="s">
        <v>88</v>
      </c>
      <c r="AN9564" t="s">
        <v>88</v>
      </c>
      <c r="AO9564" t="s">
        <v>88</v>
      </c>
      <c r="AP9564" t="s">
        <v>88</v>
      </c>
      <c r="AQ9564">
        <v>1</v>
      </c>
      <c r="AR9564" t="s">
        <v>89</v>
      </c>
      <c r="AS9564" t="s">
        <v>90</v>
      </c>
      <c r="AT9564" t="s">
        <v>58</v>
      </c>
      <c r="AU9564" t="s">
        <v>68</v>
      </c>
      <c r="AV9564" t="s">
        <v>69</v>
      </c>
      <c r="AW9564" s="1">
        <v>23196</v>
      </c>
      <c r="AX9564">
        <v>1</v>
      </c>
    </row>
    <row r="9565" spans="1:50">
      <c r="A9565">
        <v>601885</v>
      </c>
      <c r="B9565" t="str">
        <f>"120773470"</f>
        <v>120773470</v>
      </c>
      <c r="C9565" t="s">
        <v>50</v>
      </c>
      <c r="D9565" t="s">
        <v>5985</v>
      </c>
      <c r="E9565" t="s">
        <v>83</v>
      </c>
      <c r="F9565" t="s">
        <v>315</v>
      </c>
      <c r="G9565" t="s">
        <v>3234</v>
      </c>
      <c r="H9565" t="str">
        <f>"ΣΕΛΙΝΟΥ 24 ΧΑΝΙΑ"</f>
        <v>ΣΕΛΙΝΟΥ 24 ΧΑΝΙΑ</v>
      </c>
      <c r="I9565">
        <v>73100</v>
      </c>
      <c r="J9565">
        <v>2821112650</v>
      </c>
      <c r="K9565">
        <v>6993675776</v>
      </c>
      <c r="N9565" t="s">
        <v>615</v>
      </c>
      <c r="O9565" t="s">
        <v>616</v>
      </c>
      <c r="R9565" t="s">
        <v>57</v>
      </c>
      <c r="S9565">
        <v>7</v>
      </c>
      <c r="T9565">
        <v>207</v>
      </c>
      <c r="U9565" s="1">
        <v>37866</v>
      </c>
      <c r="V9565" t="s">
        <v>89</v>
      </c>
      <c r="W9565" t="s">
        <v>90</v>
      </c>
      <c r="X9565" t="s">
        <v>58</v>
      </c>
      <c r="Y9565">
        <v>22</v>
      </c>
      <c r="Z9565" t="s">
        <v>59</v>
      </c>
      <c r="AA9565" t="s">
        <v>59</v>
      </c>
      <c r="AB9565" t="s">
        <v>59</v>
      </c>
      <c r="AC9565" t="s">
        <v>59</v>
      </c>
      <c r="AD9565" t="s">
        <v>59</v>
      </c>
      <c r="AF9565" s="1">
        <v>37866</v>
      </c>
      <c r="AG9565" t="s">
        <v>8645</v>
      </c>
      <c r="AH9565" t="s">
        <v>8646</v>
      </c>
      <c r="AI9565" t="str">
        <f>"9500137"</f>
        <v>9500137</v>
      </c>
      <c r="AJ9565" t="s">
        <v>14401</v>
      </c>
      <c r="AK9565">
        <v>2821093156</v>
      </c>
      <c r="AL9565" t="s">
        <v>14402</v>
      </c>
      <c r="AM9565" t="s">
        <v>88</v>
      </c>
      <c r="AN9565" t="s">
        <v>88</v>
      </c>
      <c r="AO9565" t="s">
        <v>88</v>
      </c>
      <c r="AP9565" t="s">
        <v>88</v>
      </c>
      <c r="AQ9565">
        <v>1</v>
      </c>
      <c r="AR9565" t="s">
        <v>89</v>
      </c>
      <c r="AS9565" t="s">
        <v>90</v>
      </c>
      <c r="AT9565" t="s">
        <v>58</v>
      </c>
      <c r="AU9565" t="s">
        <v>68</v>
      </c>
      <c r="AV9565" t="s">
        <v>69</v>
      </c>
      <c r="AW9565" s="1">
        <v>28850</v>
      </c>
      <c r="AX9565">
        <v>1</v>
      </c>
    </row>
    <row r="9566" spans="1:50">
      <c r="A9566">
        <v>617354</v>
      </c>
      <c r="B9566" t="str">
        <f>"129276341"</f>
        <v>129276341</v>
      </c>
      <c r="C9566" t="s">
        <v>50</v>
      </c>
      <c r="D9566" t="s">
        <v>5985</v>
      </c>
      <c r="E9566" t="s">
        <v>5304</v>
      </c>
      <c r="F9566" t="s">
        <v>72</v>
      </c>
      <c r="G9566" t="s">
        <v>671</v>
      </c>
      <c r="H9566" t="str">
        <f>" "</f>
        <v xml:space="preserve"> </v>
      </c>
      <c r="J9566">
        <v>2510245247</v>
      </c>
      <c r="K9566">
        <v>6946953741</v>
      </c>
      <c r="N9566" t="s">
        <v>615</v>
      </c>
      <c r="O9566" t="s">
        <v>616</v>
      </c>
      <c r="R9566" t="s">
        <v>57</v>
      </c>
      <c r="S9566">
        <v>12</v>
      </c>
      <c r="T9566">
        <v>774</v>
      </c>
      <c r="U9566" s="1">
        <v>39680</v>
      </c>
      <c r="V9566" t="s">
        <v>89</v>
      </c>
      <c r="W9566" t="s">
        <v>90</v>
      </c>
      <c r="X9566" t="s">
        <v>58</v>
      </c>
      <c r="Y9566">
        <v>23</v>
      </c>
      <c r="Z9566" t="s">
        <v>59</v>
      </c>
      <c r="AA9566" t="s">
        <v>59</v>
      </c>
      <c r="AB9566" t="s">
        <v>59</v>
      </c>
      <c r="AC9566" t="s">
        <v>59</v>
      </c>
      <c r="AD9566" t="s">
        <v>59</v>
      </c>
      <c r="AF9566" s="1">
        <v>39680</v>
      </c>
      <c r="AG9566" t="s">
        <v>8645</v>
      </c>
      <c r="AH9566" t="s">
        <v>8646</v>
      </c>
      <c r="AI9566" t="str">
        <f>"9500153"</f>
        <v>9500153</v>
      </c>
      <c r="AJ9566" t="s">
        <v>14103</v>
      </c>
      <c r="AK9566">
        <v>2821061267</v>
      </c>
      <c r="AL9566" t="s">
        <v>14104</v>
      </c>
      <c r="AM9566" t="s">
        <v>88</v>
      </c>
      <c r="AN9566" t="s">
        <v>6764</v>
      </c>
      <c r="AO9566" t="s">
        <v>6764</v>
      </c>
      <c r="AP9566" t="s">
        <v>12913</v>
      </c>
      <c r="AQ9566">
        <v>10</v>
      </c>
      <c r="AR9566" t="s">
        <v>89</v>
      </c>
      <c r="AS9566" t="s">
        <v>90</v>
      </c>
      <c r="AT9566" t="s">
        <v>58</v>
      </c>
      <c r="AU9566" t="s">
        <v>68</v>
      </c>
      <c r="AV9566" t="s">
        <v>69</v>
      </c>
      <c r="AW9566" s="1">
        <v>25991</v>
      </c>
      <c r="AX9566">
        <v>1</v>
      </c>
    </row>
    <row r="9567" spans="1:50">
      <c r="A9567">
        <v>592032</v>
      </c>
      <c r="B9567" t="str">
        <f>"044683295"</f>
        <v>044683295</v>
      </c>
      <c r="C9567" t="s">
        <v>50</v>
      </c>
      <c r="D9567" t="s">
        <v>14477</v>
      </c>
      <c r="E9567" t="s">
        <v>340</v>
      </c>
      <c r="F9567" t="s">
        <v>760</v>
      </c>
      <c r="G9567" t="s">
        <v>14478</v>
      </c>
      <c r="H9567" t="str">
        <f>"ΣΚΙΝΕΣ ΣΚΙΝΕΣ-ΧΑΝΙΑ"</f>
        <v>ΣΚΙΝΕΣ ΣΚΙΝΕΣ-ΧΑΝΙΑ</v>
      </c>
      <c r="I9567">
        <v>73005</v>
      </c>
      <c r="J9567">
        <v>2821077112</v>
      </c>
      <c r="K9567">
        <v>6970244241</v>
      </c>
      <c r="N9567" t="s">
        <v>1525</v>
      </c>
      <c r="O9567" t="s">
        <v>1526</v>
      </c>
      <c r="R9567" t="s">
        <v>57</v>
      </c>
      <c r="S9567">
        <v>10</v>
      </c>
      <c r="T9567">
        <v>249</v>
      </c>
      <c r="U9567" s="1">
        <v>36769</v>
      </c>
      <c r="V9567" t="s">
        <v>89</v>
      </c>
      <c r="W9567" t="s">
        <v>90</v>
      </c>
      <c r="X9567" t="s">
        <v>58</v>
      </c>
      <c r="Y9567">
        <v>25</v>
      </c>
      <c r="Z9567" t="s">
        <v>59</v>
      </c>
      <c r="AA9567" t="s">
        <v>59</v>
      </c>
      <c r="AB9567" t="s">
        <v>59</v>
      </c>
      <c r="AC9567" t="s">
        <v>59</v>
      </c>
      <c r="AD9567" t="s">
        <v>59</v>
      </c>
      <c r="AF9567" s="1">
        <v>36770</v>
      </c>
      <c r="AG9567" t="s">
        <v>8651</v>
      </c>
      <c r="AH9567" t="s">
        <v>8652</v>
      </c>
      <c r="AI9567" t="str">
        <f>"9500257"</f>
        <v>9500257</v>
      </c>
      <c r="AJ9567" t="s">
        <v>14430</v>
      </c>
      <c r="AK9567">
        <v>2821077365</v>
      </c>
      <c r="AL9567" t="s">
        <v>14431</v>
      </c>
      <c r="AM9567" t="s">
        <v>88</v>
      </c>
      <c r="AN9567" t="s">
        <v>6764</v>
      </c>
      <c r="AO9567" t="s">
        <v>6885</v>
      </c>
      <c r="AP9567" t="s">
        <v>13937</v>
      </c>
      <c r="AQ9567">
        <v>4</v>
      </c>
      <c r="AR9567" t="s">
        <v>89</v>
      </c>
      <c r="AS9567" t="s">
        <v>90</v>
      </c>
      <c r="AT9567" t="s">
        <v>58</v>
      </c>
      <c r="AU9567" t="s">
        <v>68</v>
      </c>
      <c r="AV9567" t="s">
        <v>69</v>
      </c>
      <c r="AW9567" s="1">
        <v>21267</v>
      </c>
      <c r="AX9567">
        <v>1</v>
      </c>
    </row>
    <row r="9568" spans="1:50">
      <c r="B9568" t="str">
        <f>"156538117"</f>
        <v>156538117</v>
      </c>
      <c r="C9568" t="s">
        <v>50</v>
      </c>
      <c r="D9568" t="s">
        <v>14479</v>
      </c>
      <c r="E9568" t="s">
        <v>143</v>
      </c>
      <c r="F9568" t="s">
        <v>1258</v>
      </c>
      <c r="G9568" t="s">
        <v>14480</v>
      </c>
      <c r="H9568" t="str">
        <f>" "</f>
        <v xml:space="preserve"> </v>
      </c>
      <c r="N9568" t="s">
        <v>8694</v>
      </c>
      <c r="O9568" t="s">
        <v>8695</v>
      </c>
      <c r="R9568" t="s">
        <v>159</v>
      </c>
      <c r="S9568">
        <v>1</v>
      </c>
      <c r="T9568" t="s">
        <v>8696</v>
      </c>
      <c r="U9568" s="1">
        <v>43348</v>
      </c>
      <c r="V9568" t="s">
        <v>89</v>
      </c>
      <c r="W9568" t="s">
        <v>90</v>
      </c>
      <c r="X9568" t="s">
        <v>58</v>
      </c>
      <c r="Y9568">
        <v>24</v>
      </c>
      <c r="Z9568" t="s">
        <v>59</v>
      </c>
      <c r="AA9568" t="s">
        <v>59</v>
      </c>
      <c r="AB9568" t="s">
        <v>59</v>
      </c>
      <c r="AD9568" t="s">
        <v>59</v>
      </c>
      <c r="AF9568" s="1">
        <v>43348</v>
      </c>
      <c r="AG9568" t="s">
        <v>8645</v>
      </c>
      <c r="AH9568" t="s">
        <v>8676</v>
      </c>
      <c r="AI9568" t="str">
        <f>"9500012"</f>
        <v>9500012</v>
      </c>
      <c r="AJ9568" t="s">
        <v>14481</v>
      </c>
      <c r="AK9568">
        <v>2825051487</v>
      </c>
      <c r="AL9568" t="s">
        <v>14482</v>
      </c>
      <c r="AM9568" t="s">
        <v>88</v>
      </c>
      <c r="AN9568" t="s">
        <v>6775</v>
      </c>
      <c r="AO9568" t="s">
        <v>6781</v>
      </c>
      <c r="AP9568" t="s">
        <v>14483</v>
      </c>
      <c r="AQ9568">
        <v>8</v>
      </c>
      <c r="AR9568" t="s">
        <v>89</v>
      </c>
      <c r="AS9568" t="s">
        <v>90</v>
      </c>
      <c r="AT9568" t="s">
        <v>58</v>
      </c>
      <c r="AU9568" t="s">
        <v>350</v>
      </c>
      <c r="AV9568" t="s">
        <v>132</v>
      </c>
      <c r="AW9568" s="1">
        <v>33772</v>
      </c>
      <c r="AX9568">
        <v>1</v>
      </c>
    </row>
    <row r="9569" spans="1:50">
      <c r="A9569">
        <v>619965</v>
      </c>
      <c r="B9569" t="str">
        <f>"076877256"</f>
        <v>076877256</v>
      </c>
      <c r="C9569" t="s">
        <v>50</v>
      </c>
      <c r="D9569" t="s">
        <v>14484</v>
      </c>
      <c r="E9569" t="s">
        <v>83</v>
      </c>
      <c r="F9569" t="s">
        <v>202</v>
      </c>
      <c r="G9569" t="s">
        <v>5201</v>
      </c>
      <c r="H9569" t="str">
        <f>"ΕΡΑΤΟΣΘΕΝΟΥΣ 6 ΑΝΘΟΚΗΠΟΙ ΠΟΛΙΧΝΗΣ"</f>
        <v>ΕΡΑΤΟΣΘΕΝΟΥΣ 6 ΑΝΘΟΚΗΠΟΙ ΠΟΛΙΧΝΗΣ</v>
      </c>
      <c r="I9569">
        <v>56429</v>
      </c>
      <c r="J9569">
        <v>2310608787</v>
      </c>
      <c r="K9569">
        <v>6936597376</v>
      </c>
      <c r="N9569" t="s">
        <v>176</v>
      </c>
      <c r="O9569" t="s">
        <v>177</v>
      </c>
      <c r="R9569" t="s">
        <v>57</v>
      </c>
      <c r="S9569">
        <v>12</v>
      </c>
      <c r="T9569">
        <v>775</v>
      </c>
      <c r="U9569" s="1">
        <v>39680</v>
      </c>
      <c r="V9569" t="s">
        <v>89</v>
      </c>
      <c r="W9569" t="s">
        <v>90</v>
      </c>
      <c r="X9569" t="s">
        <v>58</v>
      </c>
      <c r="Y9569">
        <v>23</v>
      </c>
      <c r="Z9569" t="s">
        <v>59</v>
      </c>
      <c r="AA9569" t="s">
        <v>59</v>
      </c>
      <c r="AB9569" t="s">
        <v>59</v>
      </c>
      <c r="AC9569" t="s">
        <v>59</v>
      </c>
      <c r="AD9569" t="s">
        <v>59</v>
      </c>
      <c r="AF9569" s="1">
        <v>39685</v>
      </c>
      <c r="AG9569" t="s">
        <v>8645</v>
      </c>
      <c r="AH9569" t="s">
        <v>8646</v>
      </c>
      <c r="AI9569" t="str">
        <f>"9500338"</f>
        <v>9500338</v>
      </c>
      <c r="AJ9569" t="s">
        <v>13959</v>
      </c>
      <c r="AK9569">
        <v>2821040556</v>
      </c>
      <c r="AL9569" t="s">
        <v>13960</v>
      </c>
      <c r="AM9569" t="s">
        <v>88</v>
      </c>
      <c r="AN9569" t="s">
        <v>88</v>
      </c>
      <c r="AO9569" t="s">
        <v>88</v>
      </c>
      <c r="AP9569" t="s">
        <v>88</v>
      </c>
      <c r="AQ9569">
        <v>1</v>
      </c>
      <c r="AR9569" t="s">
        <v>89</v>
      </c>
      <c r="AS9569" t="s">
        <v>90</v>
      </c>
      <c r="AT9569" t="s">
        <v>58</v>
      </c>
      <c r="AU9569" t="s">
        <v>68</v>
      </c>
      <c r="AV9569" t="s">
        <v>132</v>
      </c>
      <c r="AW9569" s="1">
        <v>27381</v>
      </c>
      <c r="AX9569">
        <v>1</v>
      </c>
    </row>
    <row r="9570" spans="1:50">
      <c r="A9570">
        <v>578886</v>
      </c>
      <c r="B9570" t="str">
        <f>"100631556"</f>
        <v>100631556</v>
      </c>
      <c r="C9570" t="s">
        <v>50</v>
      </c>
      <c r="D9570" t="s">
        <v>14485</v>
      </c>
      <c r="E9570" t="s">
        <v>1068</v>
      </c>
      <c r="F9570" t="s">
        <v>450</v>
      </c>
      <c r="G9570" t="s">
        <v>529</v>
      </c>
      <c r="H9570" t="str">
        <f>"ΒΛΑΧΕΡΩΝΙΤΙΣΣΑ ΧΑΝΙΑ"</f>
        <v>ΒΛΑΧΕΡΩΝΙΤΙΣΣΑ ΧΑΝΙΑ</v>
      </c>
      <c r="I9570">
        <v>73002</v>
      </c>
      <c r="K9570">
        <v>6976674041</v>
      </c>
      <c r="N9570" t="s">
        <v>615</v>
      </c>
      <c r="O9570" t="s">
        <v>616</v>
      </c>
      <c r="R9570" t="s">
        <v>57</v>
      </c>
      <c r="S9570">
        <v>12</v>
      </c>
      <c r="T9570">
        <v>165</v>
      </c>
      <c r="U9570" s="1">
        <v>35300</v>
      </c>
      <c r="V9570" t="s">
        <v>89</v>
      </c>
      <c r="W9570" t="s">
        <v>90</v>
      </c>
      <c r="X9570" t="s">
        <v>58</v>
      </c>
      <c r="Y9570">
        <v>21</v>
      </c>
      <c r="Z9570" t="s">
        <v>59</v>
      </c>
      <c r="AA9570" t="s">
        <v>59</v>
      </c>
      <c r="AB9570" t="s">
        <v>59</v>
      </c>
      <c r="AC9570" t="s">
        <v>59</v>
      </c>
      <c r="AD9570" t="s">
        <v>59</v>
      </c>
      <c r="AF9570" s="1">
        <v>35300</v>
      </c>
      <c r="AG9570" t="s">
        <v>8645</v>
      </c>
      <c r="AH9570" t="s">
        <v>8646</v>
      </c>
      <c r="AI9570" t="str">
        <f>"9500160"</f>
        <v>9500160</v>
      </c>
      <c r="AJ9570" t="s">
        <v>14486</v>
      </c>
      <c r="AK9570">
        <v>2821062458</v>
      </c>
      <c r="AL9570" t="s">
        <v>14487</v>
      </c>
      <c r="AM9570" t="s">
        <v>88</v>
      </c>
      <c r="AN9570" t="s">
        <v>6764</v>
      </c>
      <c r="AO9570" t="s">
        <v>6764</v>
      </c>
      <c r="AP9570" t="s">
        <v>14488</v>
      </c>
      <c r="AQ9570">
        <v>5</v>
      </c>
      <c r="AR9570" t="s">
        <v>89</v>
      </c>
      <c r="AS9570" t="s">
        <v>90</v>
      </c>
      <c r="AT9570" t="s">
        <v>58</v>
      </c>
      <c r="AU9570" t="s">
        <v>68</v>
      </c>
      <c r="AV9570" t="s">
        <v>69</v>
      </c>
      <c r="AW9570" s="1">
        <v>24565</v>
      </c>
      <c r="AX9570">
        <v>1</v>
      </c>
    </row>
    <row r="9571" spans="1:50">
      <c r="B9571" t="str">
        <f>"053378514"</f>
        <v>053378514</v>
      </c>
      <c r="C9571" t="s">
        <v>50</v>
      </c>
      <c r="D9571" t="s">
        <v>14489</v>
      </c>
      <c r="E9571" t="s">
        <v>143</v>
      </c>
      <c r="F9571" t="s">
        <v>202</v>
      </c>
      <c r="G9571" t="s">
        <v>83</v>
      </c>
      <c r="H9571" t="str">
        <f>" "</f>
        <v xml:space="preserve"> </v>
      </c>
      <c r="N9571" t="s">
        <v>615</v>
      </c>
      <c r="O9571" t="s">
        <v>616</v>
      </c>
      <c r="R9571" t="s">
        <v>121</v>
      </c>
      <c r="S9571">
        <v>1</v>
      </c>
      <c r="T9571" t="s">
        <v>8717</v>
      </c>
      <c r="U9571" s="1">
        <v>43348</v>
      </c>
      <c r="V9571" t="s">
        <v>89</v>
      </c>
      <c r="W9571" t="s">
        <v>90</v>
      </c>
      <c r="X9571" t="s">
        <v>58</v>
      </c>
      <c r="Y9571">
        <v>24</v>
      </c>
      <c r="Z9571" t="s">
        <v>59</v>
      </c>
      <c r="AA9571" t="s">
        <v>59</v>
      </c>
      <c r="AB9571" t="s">
        <v>59</v>
      </c>
      <c r="AD9571" t="s">
        <v>59</v>
      </c>
      <c r="AF9571" s="1">
        <v>43348</v>
      </c>
      <c r="AG9571" t="s">
        <v>8645</v>
      </c>
      <c r="AH9571" t="s">
        <v>8646</v>
      </c>
      <c r="AI9571" t="str">
        <f>"9500017"</f>
        <v>9500017</v>
      </c>
      <c r="AJ9571" t="s">
        <v>13873</v>
      </c>
      <c r="AK9571">
        <v>2825083173</v>
      </c>
      <c r="AL9571" t="s">
        <v>13874</v>
      </c>
      <c r="AM9571" t="s">
        <v>88</v>
      </c>
      <c r="AN9571" t="s">
        <v>6775</v>
      </c>
      <c r="AO9571" t="s">
        <v>11883</v>
      </c>
      <c r="AP9571" t="s">
        <v>13875</v>
      </c>
      <c r="AQ9571">
        <v>7</v>
      </c>
      <c r="AR9571" t="s">
        <v>89</v>
      </c>
      <c r="AS9571" t="s">
        <v>90</v>
      </c>
      <c r="AT9571" t="s">
        <v>58</v>
      </c>
      <c r="AU9571" t="s">
        <v>8720</v>
      </c>
      <c r="AV9571" t="s">
        <v>132</v>
      </c>
      <c r="AW9571" s="1">
        <v>25790</v>
      </c>
      <c r="AX9571">
        <v>1</v>
      </c>
    </row>
    <row r="9572" spans="1:50">
      <c r="B9572" t="str">
        <f>"144014195"</f>
        <v>144014195</v>
      </c>
      <c r="C9572" t="s">
        <v>50</v>
      </c>
      <c r="D9572" t="s">
        <v>14490</v>
      </c>
      <c r="E9572" t="s">
        <v>563</v>
      </c>
      <c r="F9572" t="s">
        <v>760</v>
      </c>
      <c r="G9572" t="s">
        <v>83</v>
      </c>
      <c r="H9572" t="str">
        <f>" "</f>
        <v xml:space="preserve"> </v>
      </c>
      <c r="N9572" t="s">
        <v>1525</v>
      </c>
      <c r="O9572" t="s">
        <v>1526</v>
      </c>
      <c r="R9572" t="s">
        <v>121</v>
      </c>
      <c r="S9572">
        <v>1</v>
      </c>
      <c r="T9572" t="s">
        <v>8670</v>
      </c>
      <c r="U9572" s="1">
        <v>43348</v>
      </c>
      <c r="V9572" t="s">
        <v>89</v>
      </c>
      <c r="W9572" t="s">
        <v>90</v>
      </c>
      <c r="X9572" t="s">
        <v>58</v>
      </c>
      <c r="Y9572">
        <v>25</v>
      </c>
      <c r="Z9572" t="s">
        <v>59</v>
      </c>
      <c r="AD9572" t="s">
        <v>59</v>
      </c>
      <c r="AF9572" s="1">
        <v>43348</v>
      </c>
      <c r="AG9572" t="s">
        <v>8651</v>
      </c>
      <c r="AH9572" t="s">
        <v>8652</v>
      </c>
      <c r="AI9572" t="str">
        <f>"9500418"</f>
        <v>9500418</v>
      </c>
      <c r="AJ9572" t="s">
        <v>14491</v>
      </c>
      <c r="AK9572">
        <v>2825092009</v>
      </c>
      <c r="AL9572" t="s">
        <v>14492</v>
      </c>
      <c r="AM9572" t="s">
        <v>88</v>
      </c>
      <c r="AN9572" t="s">
        <v>6995</v>
      </c>
      <c r="AO9572" t="s">
        <v>6995</v>
      </c>
      <c r="AP9572" t="s">
        <v>14493</v>
      </c>
      <c r="AQ9572">
        <v>10</v>
      </c>
      <c r="AR9572" t="s">
        <v>89</v>
      </c>
      <c r="AS9572" t="s">
        <v>90</v>
      </c>
      <c r="AT9572" t="s">
        <v>58</v>
      </c>
      <c r="AU9572" t="s">
        <v>8673</v>
      </c>
      <c r="AV9572" t="s">
        <v>132</v>
      </c>
      <c r="AW9572" s="1">
        <v>31989</v>
      </c>
      <c r="AX9572">
        <v>1</v>
      </c>
    </row>
    <row r="9573" spans="1:50">
      <c r="A9573">
        <v>614894</v>
      </c>
      <c r="B9573" t="str">
        <f>"113170275"</f>
        <v>113170275</v>
      </c>
      <c r="C9573" t="s">
        <v>50</v>
      </c>
      <c r="D9573" t="s">
        <v>14494</v>
      </c>
      <c r="E9573" t="s">
        <v>14495</v>
      </c>
      <c r="F9573" t="s">
        <v>108</v>
      </c>
      <c r="G9573" t="s">
        <v>783</v>
      </c>
      <c r="H9573" t="str">
        <f>"Ι.ΞΕΝΟΥ ΚΑΙ ΓΟΥΒΕΡΝΕΤΟΥ ΧΑΝΙΑ"</f>
        <v>Ι.ΞΕΝΟΥ ΚΑΙ ΓΟΥΒΕΡΝΕΤΟΥ ΧΑΝΙΑ</v>
      </c>
      <c r="I9573">
        <v>73100</v>
      </c>
      <c r="J9573">
        <v>2821056654</v>
      </c>
      <c r="K9573">
        <v>6944330272</v>
      </c>
      <c r="M9573" t="s">
        <v>14496</v>
      </c>
      <c r="N9573" t="s">
        <v>615</v>
      </c>
      <c r="O9573" t="s">
        <v>616</v>
      </c>
      <c r="R9573" t="s">
        <v>57</v>
      </c>
      <c r="S9573">
        <v>5</v>
      </c>
      <c r="T9573">
        <v>598</v>
      </c>
      <c r="U9573" s="1">
        <v>39310</v>
      </c>
      <c r="V9573" t="s">
        <v>89</v>
      </c>
      <c r="W9573" t="s">
        <v>90</v>
      </c>
      <c r="X9573" t="s">
        <v>58</v>
      </c>
      <c r="Y9573">
        <v>23</v>
      </c>
      <c r="Z9573" t="s">
        <v>59</v>
      </c>
      <c r="AA9573" t="s">
        <v>59</v>
      </c>
      <c r="AB9573" t="s">
        <v>59</v>
      </c>
      <c r="AC9573" t="s">
        <v>59</v>
      </c>
      <c r="AD9573" t="s">
        <v>59</v>
      </c>
      <c r="AF9573" s="1">
        <v>39310</v>
      </c>
      <c r="AG9573" t="s">
        <v>8645</v>
      </c>
      <c r="AH9573" t="s">
        <v>8646</v>
      </c>
      <c r="AI9573" t="str">
        <f>"9500144"</f>
        <v>9500144</v>
      </c>
      <c r="AJ9573" t="s">
        <v>14010</v>
      </c>
      <c r="AK9573">
        <v>2821094171</v>
      </c>
      <c r="AL9573" t="s">
        <v>14011</v>
      </c>
      <c r="AM9573" t="s">
        <v>88</v>
      </c>
      <c r="AN9573" t="s">
        <v>88</v>
      </c>
      <c r="AO9573" t="s">
        <v>88</v>
      </c>
      <c r="AP9573" t="s">
        <v>88</v>
      </c>
      <c r="AQ9573">
        <v>1</v>
      </c>
      <c r="AR9573" t="s">
        <v>89</v>
      </c>
      <c r="AS9573" t="s">
        <v>90</v>
      </c>
      <c r="AT9573" t="s">
        <v>58</v>
      </c>
      <c r="AU9573" t="s">
        <v>68</v>
      </c>
      <c r="AV9573" t="s">
        <v>69</v>
      </c>
      <c r="AW9573" s="1">
        <v>31120</v>
      </c>
      <c r="AX9573">
        <v>1</v>
      </c>
    </row>
    <row r="9574" spans="1:50">
      <c r="A9574">
        <v>612483</v>
      </c>
      <c r="B9574" t="str">
        <f>"074693945"</f>
        <v>074693945</v>
      </c>
      <c r="C9574" t="s">
        <v>50</v>
      </c>
      <c r="D9574" t="s">
        <v>14494</v>
      </c>
      <c r="E9574" t="s">
        <v>681</v>
      </c>
      <c r="F9574" t="s">
        <v>95</v>
      </c>
      <c r="G9574" t="s">
        <v>801</v>
      </c>
      <c r="H9574" t="str">
        <f>"ΑΝΑΓΝΩΣΤΟΥ ΓΟΓΟΝΗ 110 ΧΑΝΙΑ"</f>
        <v>ΑΝΑΓΝΩΣΤΟΥ ΓΟΓΟΝΗ 110 ΧΑΝΙΑ</v>
      </c>
      <c r="I9574">
        <v>73136</v>
      </c>
      <c r="J9574">
        <v>2821069744</v>
      </c>
      <c r="K9574">
        <v>6977309652</v>
      </c>
      <c r="N9574" t="s">
        <v>176</v>
      </c>
      <c r="O9574" t="s">
        <v>177</v>
      </c>
      <c r="R9574" t="s">
        <v>57</v>
      </c>
      <c r="S9574">
        <v>11</v>
      </c>
      <c r="T9574">
        <v>234</v>
      </c>
      <c r="U9574" s="1">
        <v>38960</v>
      </c>
      <c r="V9574" t="s">
        <v>89</v>
      </c>
      <c r="W9574" t="s">
        <v>90</v>
      </c>
      <c r="X9574" t="s">
        <v>58</v>
      </c>
      <c r="Y9574">
        <v>22</v>
      </c>
      <c r="Z9574" t="s">
        <v>59</v>
      </c>
      <c r="AA9574" t="s">
        <v>59</v>
      </c>
      <c r="AB9574" t="s">
        <v>59</v>
      </c>
      <c r="AC9574" t="s">
        <v>59</v>
      </c>
      <c r="AD9574" t="s">
        <v>59</v>
      </c>
      <c r="AF9574" s="1">
        <v>38961</v>
      </c>
      <c r="AG9574" t="s">
        <v>8645</v>
      </c>
      <c r="AH9574" t="s">
        <v>8676</v>
      </c>
      <c r="AI9574" t="str">
        <f>"9500032"</f>
        <v>9500032</v>
      </c>
      <c r="AJ9574" t="s">
        <v>14356</v>
      </c>
      <c r="AK9574">
        <v>2825071301</v>
      </c>
      <c r="AL9574" t="s">
        <v>14357</v>
      </c>
      <c r="AM9574" t="s">
        <v>88</v>
      </c>
      <c r="AN9574" t="s">
        <v>6775</v>
      </c>
      <c r="AO9574" t="s">
        <v>14358</v>
      </c>
      <c r="AP9574" t="s">
        <v>14358</v>
      </c>
      <c r="AQ9574">
        <v>7</v>
      </c>
      <c r="AR9574" t="s">
        <v>89</v>
      </c>
      <c r="AS9574" t="s">
        <v>90</v>
      </c>
      <c r="AT9574" t="s">
        <v>58</v>
      </c>
      <c r="AU9574" t="s">
        <v>68</v>
      </c>
      <c r="AV9574" t="s">
        <v>69</v>
      </c>
      <c r="AW9574" s="1">
        <v>25590</v>
      </c>
      <c r="AX9574">
        <v>1</v>
      </c>
    </row>
    <row r="9575" spans="1:50">
      <c r="A9575">
        <v>578877</v>
      </c>
      <c r="B9575" t="str">
        <f>"101593188"</f>
        <v>101593188</v>
      </c>
      <c r="C9575" t="s">
        <v>50</v>
      </c>
      <c r="D9575" t="s">
        <v>14494</v>
      </c>
      <c r="E9575" t="s">
        <v>553</v>
      </c>
      <c r="F9575" t="s">
        <v>154</v>
      </c>
      <c r="G9575" t="s">
        <v>304</v>
      </c>
      <c r="H9575" t="str">
        <f>"ΑΓΟΡΑΣΤΑΚΗ 11 ΧΑΝΙΑ"</f>
        <v>ΑΓΟΡΑΣΤΑΚΗ 11 ΧΑΝΙΑ</v>
      </c>
      <c r="I9575">
        <v>73100</v>
      </c>
      <c r="J9575">
        <v>2821051597</v>
      </c>
      <c r="K9575">
        <v>6948743756</v>
      </c>
      <c r="M9575" t="s">
        <v>14497</v>
      </c>
      <c r="N9575" t="s">
        <v>615</v>
      </c>
      <c r="O9575" t="s">
        <v>616</v>
      </c>
      <c r="R9575" t="s">
        <v>57</v>
      </c>
      <c r="S9575">
        <v>13</v>
      </c>
      <c r="T9575">
        <v>165</v>
      </c>
      <c r="U9575" s="1">
        <v>35300</v>
      </c>
      <c r="V9575" t="s">
        <v>89</v>
      </c>
      <c r="W9575" t="s">
        <v>90</v>
      </c>
      <c r="X9575" t="s">
        <v>58</v>
      </c>
      <c r="Y9575">
        <v>21</v>
      </c>
      <c r="Z9575" t="s">
        <v>59</v>
      </c>
      <c r="AA9575" t="s">
        <v>59</v>
      </c>
      <c r="AB9575" t="s">
        <v>59</v>
      </c>
      <c r="AC9575" t="s">
        <v>59</v>
      </c>
      <c r="AD9575" t="s">
        <v>59</v>
      </c>
      <c r="AF9575" s="1">
        <v>35300</v>
      </c>
      <c r="AG9575" t="s">
        <v>8645</v>
      </c>
      <c r="AH9575" t="s">
        <v>8646</v>
      </c>
      <c r="AI9575" t="str">
        <f>"9500045"</f>
        <v>9500045</v>
      </c>
      <c r="AJ9575" t="s">
        <v>13887</v>
      </c>
      <c r="AK9575">
        <v>2821044369</v>
      </c>
      <c r="AL9575" t="s">
        <v>13888</v>
      </c>
      <c r="AM9575" t="s">
        <v>88</v>
      </c>
      <c r="AN9575" t="s">
        <v>88</v>
      </c>
      <c r="AO9575" t="s">
        <v>88</v>
      </c>
      <c r="AP9575" t="s">
        <v>88</v>
      </c>
      <c r="AQ9575">
        <v>1</v>
      </c>
      <c r="AR9575" t="s">
        <v>89</v>
      </c>
      <c r="AS9575" t="s">
        <v>90</v>
      </c>
      <c r="AT9575" t="s">
        <v>58</v>
      </c>
      <c r="AU9575" t="s">
        <v>68</v>
      </c>
      <c r="AV9575" t="s">
        <v>69</v>
      </c>
      <c r="AW9575" s="1">
        <v>23992</v>
      </c>
      <c r="AX9575">
        <v>1</v>
      </c>
    </row>
    <row r="9576" spans="1:50">
      <c r="A9576">
        <v>701366</v>
      </c>
      <c r="B9576" t="str">
        <f>"136314597"</f>
        <v>136314597</v>
      </c>
      <c r="C9576" t="s">
        <v>50</v>
      </c>
      <c r="D9576" t="s">
        <v>14498</v>
      </c>
      <c r="E9576" t="s">
        <v>14499</v>
      </c>
      <c r="F9576" t="s">
        <v>99</v>
      </c>
      <c r="G9576" t="s">
        <v>181</v>
      </c>
      <c r="H9576" t="str">
        <f>"ΚΟΥΝΟΥΠΙΔΙΑΝΑ ΧΑΝΙΑ"</f>
        <v>ΚΟΥΝΟΥΠΙΔΙΑΝΑ ΧΑΝΙΑ</v>
      </c>
      <c r="I9576">
        <v>73100</v>
      </c>
      <c r="J9576">
        <v>2321039070</v>
      </c>
      <c r="K9576">
        <v>6938604434</v>
      </c>
      <c r="N9576" t="s">
        <v>615</v>
      </c>
      <c r="O9576" t="s">
        <v>616</v>
      </c>
      <c r="R9576" t="s">
        <v>57</v>
      </c>
      <c r="S9576">
        <v>4</v>
      </c>
      <c r="T9576">
        <v>772</v>
      </c>
      <c r="U9576" s="1">
        <v>40413</v>
      </c>
      <c r="V9576" t="s">
        <v>89</v>
      </c>
      <c r="W9576" t="s">
        <v>90</v>
      </c>
      <c r="X9576" t="s">
        <v>58</v>
      </c>
      <c r="Y9576">
        <v>23</v>
      </c>
      <c r="Z9576" t="s">
        <v>59</v>
      </c>
      <c r="AA9576" t="s">
        <v>59</v>
      </c>
      <c r="AB9576" t="s">
        <v>59</v>
      </c>
      <c r="AC9576" t="s">
        <v>59</v>
      </c>
      <c r="AD9576" t="s">
        <v>59</v>
      </c>
      <c r="AF9576" s="1">
        <v>40413</v>
      </c>
      <c r="AG9576" t="s">
        <v>8645</v>
      </c>
      <c r="AH9576" t="s">
        <v>8646</v>
      </c>
      <c r="AI9576" t="str">
        <f>"9500083"</f>
        <v>9500083</v>
      </c>
      <c r="AJ9576" t="s">
        <v>14239</v>
      </c>
      <c r="AK9576">
        <v>2821063500</v>
      </c>
      <c r="AL9576" t="s">
        <v>14240</v>
      </c>
      <c r="AM9576" t="s">
        <v>88</v>
      </c>
      <c r="AN9576" t="s">
        <v>88</v>
      </c>
      <c r="AO9576" t="s">
        <v>6770</v>
      </c>
      <c r="AP9576" t="s">
        <v>14090</v>
      </c>
      <c r="AQ9576">
        <v>2</v>
      </c>
      <c r="AR9576" t="s">
        <v>89</v>
      </c>
      <c r="AS9576" t="s">
        <v>90</v>
      </c>
      <c r="AT9576" t="s">
        <v>58</v>
      </c>
      <c r="AU9576" t="s">
        <v>68</v>
      </c>
      <c r="AV9576" t="s">
        <v>69</v>
      </c>
      <c r="AW9576" s="1">
        <v>31471</v>
      </c>
      <c r="AX9576">
        <v>1</v>
      </c>
    </row>
    <row r="9577" spans="1:50">
      <c r="B9577" t="str">
        <f>"155843071"</f>
        <v>155843071</v>
      </c>
      <c r="C9577" t="s">
        <v>50</v>
      </c>
      <c r="D9577" t="s">
        <v>14500</v>
      </c>
      <c r="E9577" t="s">
        <v>513</v>
      </c>
      <c r="F9577" t="s">
        <v>166</v>
      </c>
      <c r="G9577" t="s">
        <v>96</v>
      </c>
      <c r="H9577" t="str">
        <f>" "</f>
        <v xml:space="preserve"> </v>
      </c>
      <c r="N9577" t="s">
        <v>8694</v>
      </c>
      <c r="O9577" t="s">
        <v>8695</v>
      </c>
      <c r="R9577" t="s">
        <v>159</v>
      </c>
      <c r="S9577">
        <v>1</v>
      </c>
      <c r="T9577" t="s">
        <v>8696</v>
      </c>
      <c r="U9577" s="1">
        <v>43348</v>
      </c>
      <c r="V9577" t="s">
        <v>89</v>
      </c>
      <c r="W9577" t="s">
        <v>90</v>
      </c>
      <c r="X9577" t="s">
        <v>58</v>
      </c>
      <c r="Y9577">
        <v>24</v>
      </c>
      <c r="Z9577" t="s">
        <v>59</v>
      </c>
      <c r="AA9577" t="s">
        <v>59</v>
      </c>
      <c r="AB9577" t="s">
        <v>59</v>
      </c>
      <c r="AD9577" t="s">
        <v>59</v>
      </c>
      <c r="AF9577" s="1">
        <v>43348</v>
      </c>
      <c r="AG9577" t="s">
        <v>8645</v>
      </c>
      <c r="AH9577" t="s">
        <v>8676</v>
      </c>
      <c r="AI9577" t="str">
        <f>"9500184"</f>
        <v>9500184</v>
      </c>
      <c r="AJ9577" t="s">
        <v>14396</v>
      </c>
      <c r="AK9577">
        <v>2823051220</v>
      </c>
      <c r="AL9577" t="s">
        <v>14397</v>
      </c>
      <c r="AM9577" t="s">
        <v>88</v>
      </c>
      <c r="AN9577" t="s">
        <v>6824</v>
      </c>
      <c r="AO9577" t="s">
        <v>13966</v>
      </c>
      <c r="AP9577" t="s">
        <v>13967</v>
      </c>
      <c r="AQ9577">
        <v>11</v>
      </c>
      <c r="AR9577" t="s">
        <v>89</v>
      </c>
      <c r="AS9577" t="s">
        <v>90</v>
      </c>
      <c r="AT9577" t="s">
        <v>58</v>
      </c>
      <c r="AU9577" t="s">
        <v>350</v>
      </c>
      <c r="AV9577" t="s">
        <v>132</v>
      </c>
      <c r="AW9577" s="1">
        <v>34271</v>
      </c>
      <c r="AX9577">
        <v>1</v>
      </c>
    </row>
    <row r="9578" spans="1:50">
      <c r="A9578">
        <v>619516</v>
      </c>
      <c r="B9578" t="str">
        <f>"132689078"</f>
        <v>132689078</v>
      </c>
      <c r="C9578" t="s">
        <v>50</v>
      </c>
      <c r="D9578" t="s">
        <v>14501</v>
      </c>
      <c r="E9578" t="s">
        <v>255</v>
      </c>
      <c r="F9578" t="s">
        <v>2933</v>
      </c>
      <c r="G9578" t="s">
        <v>143</v>
      </c>
      <c r="H9578" t="str">
        <f>"ΛΙΟΝΑΚΗ ΛΕΩΝΙΔΑ 10 ΚΑΣΤΕΛΛΙ"</f>
        <v>ΛΙΟΝΑΚΗ ΛΕΩΝΙΔΑ 10 ΚΑΣΤΕΛΛΙ</v>
      </c>
      <c r="I9578">
        <v>73400</v>
      </c>
      <c r="J9578">
        <v>2822023735</v>
      </c>
      <c r="K9578">
        <v>6947772448</v>
      </c>
      <c r="M9578" t="s">
        <v>14502</v>
      </c>
      <c r="N9578" t="s">
        <v>1525</v>
      </c>
      <c r="O9578" t="s">
        <v>1526</v>
      </c>
      <c r="R9578" t="s">
        <v>57</v>
      </c>
      <c r="S9578">
        <v>5</v>
      </c>
      <c r="T9578">
        <v>774</v>
      </c>
      <c r="U9578" s="1">
        <v>39680</v>
      </c>
      <c r="V9578" t="s">
        <v>89</v>
      </c>
      <c r="W9578" t="s">
        <v>90</v>
      </c>
      <c r="X9578" t="s">
        <v>58</v>
      </c>
      <c r="Y9578">
        <v>25</v>
      </c>
      <c r="Z9578" t="s">
        <v>59</v>
      </c>
      <c r="AA9578" t="s">
        <v>59</v>
      </c>
      <c r="AB9578" t="s">
        <v>59</v>
      </c>
      <c r="AC9578" t="s">
        <v>59</v>
      </c>
      <c r="AD9578" t="s">
        <v>59</v>
      </c>
      <c r="AF9578" s="1">
        <v>39681</v>
      </c>
      <c r="AG9578" t="s">
        <v>8651</v>
      </c>
      <c r="AH9578" t="s">
        <v>8652</v>
      </c>
      <c r="AI9578" t="str">
        <f>"9500192"</f>
        <v>9500192</v>
      </c>
      <c r="AJ9578" t="s">
        <v>14503</v>
      </c>
      <c r="AK9578">
        <v>2822023376</v>
      </c>
      <c r="AL9578" t="s">
        <v>14504</v>
      </c>
      <c r="AM9578" t="s">
        <v>88</v>
      </c>
      <c r="AN9578" t="s">
        <v>6744</v>
      </c>
      <c r="AO9578" t="s">
        <v>6744</v>
      </c>
      <c r="AP9578" t="s">
        <v>6744</v>
      </c>
      <c r="AQ9578">
        <v>9</v>
      </c>
      <c r="AR9578" t="s">
        <v>89</v>
      </c>
      <c r="AS9578" t="s">
        <v>90</v>
      </c>
      <c r="AT9578" t="s">
        <v>58</v>
      </c>
      <c r="AU9578" t="s">
        <v>68</v>
      </c>
      <c r="AV9578" t="s">
        <v>69</v>
      </c>
      <c r="AW9578" s="1">
        <v>30917</v>
      </c>
      <c r="AX9578">
        <v>1</v>
      </c>
    </row>
    <row r="9579" spans="1:50">
      <c r="A9579">
        <v>616406</v>
      </c>
      <c r="B9579" t="str">
        <f>"131596720"</f>
        <v>131596720</v>
      </c>
      <c r="C9579" t="s">
        <v>50</v>
      </c>
      <c r="D9579" t="s">
        <v>14505</v>
      </c>
      <c r="E9579" t="s">
        <v>191</v>
      </c>
      <c r="F9579" t="s">
        <v>166</v>
      </c>
      <c r="G9579" t="s">
        <v>109</v>
      </c>
      <c r="H9579" t="str">
        <f>"ΑΓ. ΑΠΟΣΤΟΛΩΝ 57 ΧΑΝΙΑ ΚΑΤΩ ΔΑΡΑΤΣΟ"</f>
        <v>ΑΓ. ΑΠΟΣΤΟΛΩΝ 57 ΧΑΝΙΑ ΚΑΤΩ ΔΑΡΑΤΣΟ</v>
      </c>
      <c r="I9579">
        <v>73100</v>
      </c>
      <c r="K9579">
        <v>6947757443</v>
      </c>
      <c r="N9579" t="s">
        <v>1525</v>
      </c>
      <c r="O9579" t="s">
        <v>1526</v>
      </c>
      <c r="R9579" t="s">
        <v>57</v>
      </c>
      <c r="S9579">
        <v>5</v>
      </c>
      <c r="T9579">
        <v>660</v>
      </c>
      <c r="U9579" s="1">
        <v>39311</v>
      </c>
      <c r="V9579" t="s">
        <v>89</v>
      </c>
      <c r="W9579" t="s">
        <v>90</v>
      </c>
      <c r="X9579" t="s">
        <v>58</v>
      </c>
      <c r="Y9579">
        <v>25</v>
      </c>
      <c r="Z9579" t="s">
        <v>59</v>
      </c>
      <c r="AA9579" t="s">
        <v>59</v>
      </c>
      <c r="AB9579" t="s">
        <v>59</v>
      </c>
      <c r="AC9579" t="s">
        <v>59</v>
      </c>
      <c r="AD9579" t="s">
        <v>59</v>
      </c>
      <c r="AF9579" s="1">
        <v>39328</v>
      </c>
      <c r="AG9579" t="s">
        <v>8651</v>
      </c>
      <c r="AH9579" t="s">
        <v>8652</v>
      </c>
      <c r="AI9579" t="str">
        <f>"9500256"</f>
        <v>9500256</v>
      </c>
      <c r="AJ9579" t="s">
        <v>14506</v>
      </c>
      <c r="AK9579">
        <v>2821099485</v>
      </c>
      <c r="AL9579" t="s">
        <v>14507</v>
      </c>
      <c r="AM9579" t="s">
        <v>88</v>
      </c>
      <c r="AN9579" t="s">
        <v>88</v>
      </c>
      <c r="AO9579" t="s">
        <v>13920</v>
      </c>
      <c r="AP9579" t="s">
        <v>14029</v>
      </c>
      <c r="AQ9579">
        <v>3</v>
      </c>
      <c r="AR9579" t="s">
        <v>89</v>
      </c>
      <c r="AS9579" t="s">
        <v>90</v>
      </c>
      <c r="AT9579" t="s">
        <v>58</v>
      </c>
      <c r="AU9579" t="s">
        <v>68</v>
      </c>
      <c r="AV9579" t="s">
        <v>69</v>
      </c>
      <c r="AW9579" s="1">
        <v>29858</v>
      </c>
      <c r="AX9579">
        <v>1</v>
      </c>
    </row>
    <row r="9580" spans="1:50">
      <c r="A9580">
        <v>586861</v>
      </c>
      <c r="B9580" t="str">
        <f>"065504993"</f>
        <v>065504993</v>
      </c>
      <c r="C9580" t="s">
        <v>50</v>
      </c>
      <c r="D9580" t="s">
        <v>14508</v>
      </c>
      <c r="E9580" t="s">
        <v>396</v>
      </c>
      <c r="F9580" t="s">
        <v>995</v>
      </c>
      <c r="G9580" t="s">
        <v>191</v>
      </c>
      <c r="H9580" t="str">
        <f>"ΕΥΑΓΓΕΛΟΥ ΝΙΚΟΛΟΥΔΗ 23 ΧΑΝΙΑ"</f>
        <v>ΕΥΑΓΓΕΛΟΥ ΝΙΚΟΛΟΥΔΗ 23 ΧΑΝΙΑ</v>
      </c>
      <c r="I9580">
        <v>73100</v>
      </c>
      <c r="J9580">
        <v>2821046320</v>
      </c>
      <c r="N9580" t="s">
        <v>1525</v>
      </c>
      <c r="O9580" t="s">
        <v>1526</v>
      </c>
      <c r="R9580" t="s">
        <v>57</v>
      </c>
      <c r="S9580">
        <v>10</v>
      </c>
      <c r="T9580">
        <v>165</v>
      </c>
      <c r="U9580" s="1">
        <v>36040</v>
      </c>
      <c r="V9580" t="s">
        <v>89</v>
      </c>
      <c r="W9580" t="s">
        <v>90</v>
      </c>
      <c r="X9580" t="s">
        <v>58</v>
      </c>
      <c r="Y9580">
        <v>25</v>
      </c>
      <c r="Z9580" t="s">
        <v>59</v>
      </c>
      <c r="AA9580" t="s">
        <v>59</v>
      </c>
      <c r="AB9580" t="s">
        <v>59</v>
      </c>
      <c r="AC9580" t="s">
        <v>59</v>
      </c>
      <c r="AD9580" t="s">
        <v>59</v>
      </c>
      <c r="AF9580" s="1">
        <v>36041</v>
      </c>
      <c r="AG9580" t="s">
        <v>8651</v>
      </c>
      <c r="AH9580" t="s">
        <v>8652</v>
      </c>
      <c r="AI9580" t="str">
        <f>"9521637"</f>
        <v>9521637</v>
      </c>
      <c r="AJ9580" t="s">
        <v>14509</v>
      </c>
      <c r="AK9580">
        <v>2821052402</v>
      </c>
      <c r="AL9580" t="s">
        <v>14510</v>
      </c>
      <c r="AM9580" t="s">
        <v>88</v>
      </c>
      <c r="AN9580" t="s">
        <v>88</v>
      </c>
      <c r="AO9580" t="s">
        <v>88</v>
      </c>
      <c r="AP9580" t="s">
        <v>88</v>
      </c>
      <c r="AQ9580">
        <v>1</v>
      </c>
      <c r="AR9580" t="s">
        <v>89</v>
      </c>
      <c r="AS9580" t="s">
        <v>90</v>
      </c>
      <c r="AT9580" t="s">
        <v>58</v>
      </c>
      <c r="AU9580" t="s">
        <v>68</v>
      </c>
      <c r="AV9580" t="s">
        <v>69</v>
      </c>
      <c r="AW9580" s="1">
        <v>23078</v>
      </c>
      <c r="AX9580">
        <v>1</v>
      </c>
    </row>
    <row r="9581" spans="1:50">
      <c r="A9581">
        <v>596217</v>
      </c>
      <c r="B9581" t="str">
        <f>"063878264"</f>
        <v>063878264</v>
      </c>
      <c r="C9581" t="s">
        <v>50</v>
      </c>
      <c r="D9581" t="s">
        <v>1605</v>
      </c>
      <c r="E9581" t="s">
        <v>83</v>
      </c>
      <c r="F9581" t="s">
        <v>900</v>
      </c>
      <c r="G9581" t="s">
        <v>112</v>
      </c>
      <c r="H9581" t="str">
        <f>"ΣΟΦΟΚΛΕΟΥΣ 13 ΧΑΝΙΑ"</f>
        <v>ΣΟΦΟΚΛΕΟΥΣ 13 ΧΑΝΙΑ</v>
      </c>
      <c r="I9581">
        <v>73100</v>
      </c>
      <c r="J9581">
        <v>2821056384</v>
      </c>
      <c r="K9581">
        <v>6976579387</v>
      </c>
      <c r="N9581" t="s">
        <v>1525</v>
      </c>
      <c r="O9581" t="s">
        <v>1526</v>
      </c>
      <c r="R9581" t="s">
        <v>57</v>
      </c>
      <c r="S9581">
        <v>10</v>
      </c>
      <c r="T9581">
        <v>218</v>
      </c>
      <c r="U9581" s="1">
        <v>37134</v>
      </c>
      <c r="V9581" t="s">
        <v>89</v>
      </c>
      <c r="W9581" t="s">
        <v>90</v>
      </c>
      <c r="X9581" t="s">
        <v>58</v>
      </c>
      <c r="Y9581">
        <v>25</v>
      </c>
      <c r="Z9581" t="s">
        <v>59</v>
      </c>
      <c r="AA9581" t="s">
        <v>59</v>
      </c>
      <c r="AB9581" t="s">
        <v>59</v>
      </c>
      <c r="AC9581" t="s">
        <v>59</v>
      </c>
      <c r="AD9581" t="s">
        <v>59</v>
      </c>
      <c r="AF9581" s="1">
        <v>37141</v>
      </c>
      <c r="AG9581" t="s">
        <v>8651</v>
      </c>
      <c r="AH9581" t="s">
        <v>8652</v>
      </c>
      <c r="AI9581" t="str">
        <f>"9500039"</f>
        <v>9500039</v>
      </c>
      <c r="AJ9581" t="s">
        <v>14511</v>
      </c>
      <c r="AK9581">
        <v>2821045625</v>
      </c>
      <c r="AL9581" t="s">
        <v>14512</v>
      </c>
      <c r="AM9581" t="s">
        <v>88</v>
      </c>
      <c r="AN9581" t="s">
        <v>88</v>
      </c>
      <c r="AO9581" t="s">
        <v>88</v>
      </c>
      <c r="AP9581" t="s">
        <v>88</v>
      </c>
      <c r="AQ9581">
        <v>1</v>
      </c>
      <c r="AR9581" t="s">
        <v>89</v>
      </c>
      <c r="AS9581" t="s">
        <v>90</v>
      </c>
      <c r="AT9581" t="s">
        <v>58</v>
      </c>
      <c r="AU9581" t="s">
        <v>68</v>
      </c>
      <c r="AV9581" t="s">
        <v>69</v>
      </c>
      <c r="AW9581" s="1">
        <v>23513</v>
      </c>
      <c r="AX9581">
        <v>1</v>
      </c>
    </row>
    <row r="9582" spans="1:50">
      <c r="A9582">
        <v>586704</v>
      </c>
      <c r="B9582" t="str">
        <f>"118478850"</f>
        <v>118478850</v>
      </c>
      <c r="C9582" t="s">
        <v>50</v>
      </c>
      <c r="D9582" t="s">
        <v>1609</v>
      </c>
      <c r="E9582" t="s">
        <v>237</v>
      </c>
      <c r="F9582" t="s">
        <v>202</v>
      </c>
      <c r="G9582" t="s">
        <v>112</v>
      </c>
      <c r="H9582" t="str">
        <f>"ΑΘΗΝΑ ΜΑΡΙΟΛΑΚΗ ΧΑΝΙΑ"</f>
        <v>ΑΘΗΝΑ ΜΑΡΙΟΛΑΚΗ ΧΑΝΙΑ</v>
      </c>
      <c r="I9582">
        <v>73100</v>
      </c>
      <c r="J9582">
        <v>2821071935</v>
      </c>
      <c r="K9582">
        <v>6976472215</v>
      </c>
      <c r="N9582" t="s">
        <v>615</v>
      </c>
      <c r="O9582" t="s">
        <v>616</v>
      </c>
      <c r="R9582" t="s">
        <v>57</v>
      </c>
      <c r="S9582">
        <v>10</v>
      </c>
      <c r="T9582">
        <v>165</v>
      </c>
      <c r="U9582" s="1">
        <v>36040</v>
      </c>
      <c r="V9582" t="s">
        <v>89</v>
      </c>
      <c r="W9582" t="s">
        <v>90</v>
      </c>
      <c r="X9582" t="s">
        <v>58</v>
      </c>
      <c r="Y9582">
        <v>21</v>
      </c>
      <c r="Z9582" t="s">
        <v>59</v>
      </c>
      <c r="AA9582" t="s">
        <v>59</v>
      </c>
      <c r="AB9582" t="s">
        <v>59</v>
      </c>
      <c r="AC9582" t="s">
        <v>59</v>
      </c>
      <c r="AD9582" t="s">
        <v>59</v>
      </c>
      <c r="AF9582" s="1">
        <v>36040</v>
      </c>
      <c r="AG9582" t="s">
        <v>8645</v>
      </c>
      <c r="AH9582" t="s">
        <v>8646</v>
      </c>
      <c r="AI9582" t="str">
        <f>"9500035"</f>
        <v>9500035</v>
      </c>
      <c r="AJ9582" t="s">
        <v>13979</v>
      </c>
      <c r="AK9582">
        <v>2821094678</v>
      </c>
      <c r="AL9582" t="s">
        <v>13980</v>
      </c>
      <c r="AM9582" t="s">
        <v>88</v>
      </c>
      <c r="AN9582" t="s">
        <v>88</v>
      </c>
      <c r="AO9582" t="s">
        <v>88</v>
      </c>
      <c r="AP9582" t="s">
        <v>88</v>
      </c>
      <c r="AQ9582">
        <v>2</v>
      </c>
      <c r="AR9582" t="s">
        <v>89</v>
      </c>
      <c r="AS9582" t="s">
        <v>90</v>
      </c>
      <c r="AT9582" t="s">
        <v>58</v>
      </c>
      <c r="AU9582" t="s">
        <v>68</v>
      </c>
      <c r="AV9582" t="s">
        <v>69</v>
      </c>
      <c r="AW9582" s="1">
        <v>24940</v>
      </c>
      <c r="AX9582">
        <v>1</v>
      </c>
    </row>
    <row r="9583" spans="1:50">
      <c r="A9583">
        <v>704382</v>
      </c>
      <c r="B9583" t="str">
        <f>"073455472"</f>
        <v>073455472</v>
      </c>
      <c r="C9583" t="s">
        <v>50</v>
      </c>
      <c r="D9583" t="s">
        <v>9796</v>
      </c>
      <c r="E9583" t="s">
        <v>237</v>
      </c>
      <c r="F9583" t="s">
        <v>304</v>
      </c>
      <c r="H9583" t="str">
        <f>" "</f>
        <v xml:space="preserve"> </v>
      </c>
      <c r="N9583" t="s">
        <v>615</v>
      </c>
      <c r="O9583" t="s">
        <v>616</v>
      </c>
      <c r="R9583" t="s">
        <v>57</v>
      </c>
      <c r="S9583">
        <v>11</v>
      </c>
      <c r="T9583">
        <v>32</v>
      </c>
      <c r="U9583" s="1">
        <v>36570</v>
      </c>
      <c r="V9583" t="s">
        <v>89</v>
      </c>
      <c r="W9583" t="s">
        <v>90</v>
      </c>
      <c r="X9583" t="s">
        <v>58</v>
      </c>
      <c r="Y9583">
        <v>22</v>
      </c>
      <c r="Z9583" t="s">
        <v>59</v>
      </c>
      <c r="AA9583" t="s">
        <v>59</v>
      </c>
      <c r="AB9583" t="s">
        <v>59</v>
      </c>
      <c r="AC9583" t="s">
        <v>59</v>
      </c>
      <c r="AD9583" t="s">
        <v>59</v>
      </c>
      <c r="AF9583" s="1">
        <v>36570</v>
      </c>
      <c r="AG9583" t="s">
        <v>8645</v>
      </c>
      <c r="AH9583" t="s">
        <v>8697</v>
      </c>
      <c r="AI9583" t="str">
        <f>"9521567"</f>
        <v>9521567</v>
      </c>
      <c r="AJ9583" t="s">
        <v>14148</v>
      </c>
      <c r="AK9583">
        <v>2821086921</v>
      </c>
      <c r="AL9583" t="s">
        <v>14149</v>
      </c>
      <c r="AM9583" t="s">
        <v>88</v>
      </c>
      <c r="AN9583" t="s">
        <v>88</v>
      </c>
      <c r="AO9583" t="s">
        <v>88</v>
      </c>
      <c r="AP9583" t="s">
        <v>88</v>
      </c>
      <c r="AQ9583">
        <v>1</v>
      </c>
      <c r="AR9583" t="s">
        <v>89</v>
      </c>
      <c r="AS9583" t="s">
        <v>90</v>
      </c>
      <c r="AT9583" t="s">
        <v>58</v>
      </c>
      <c r="AU9583" t="s">
        <v>68</v>
      </c>
      <c r="AV9583" t="s">
        <v>69</v>
      </c>
      <c r="AX9583">
        <v>1</v>
      </c>
    </row>
    <row r="9584" spans="1:50">
      <c r="A9584">
        <v>555005</v>
      </c>
      <c r="B9584" t="str">
        <f>"032410658"</f>
        <v>032410658</v>
      </c>
      <c r="C9584" t="s">
        <v>105</v>
      </c>
      <c r="D9584" t="s">
        <v>1612</v>
      </c>
      <c r="E9584" t="s">
        <v>2847</v>
      </c>
      <c r="F9584" t="s">
        <v>166</v>
      </c>
      <c r="G9584" t="s">
        <v>396</v>
      </c>
      <c r="H9584" t="str">
        <f>"ΠΟΥΛΑΚΑ 11 ΧΑΝΙΑ"</f>
        <v>ΠΟΥΛΑΚΑ 11 ΧΑΝΙΑ</v>
      </c>
      <c r="I9584">
        <v>73134</v>
      </c>
      <c r="J9584">
        <v>2821054637</v>
      </c>
      <c r="K9584">
        <v>6976685367</v>
      </c>
      <c r="M9584" t="s">
        <v>13923</v>
      </c>
      <c r="N9584" t="s">
        <v>615</v>
      </c>
      <c r="O9584" t="s">
        <v>616</v>
      </c>
      <c r="R9584" t="s">
        <v>57</v>
      </c>
      <c r="S9584">
        <v>16</v>
      </c>
      <c r="T9584">
        <v>200</v>
      </c>
      <c r="U9584" s="1">
        <v>31657</v>
      </c>
      <c r="V9584" t="s">
        <v>89</v>
      </c>
      <c r="W9584" t="s">
        <v>90</v>
      </c>
      <c r="X9584" t="s">
        <v>58</v>
      </c>
      <c r="Y9584">
        <v>21</v>
      </c>
      <c r="Z9584" t="s">
        <v>59</v>
      </c>
      <c r="AA9584" t="s">
        <v>59</v>
      </c>
      <c r="AB9584" t="s">
        <v>59</v>
      </c>
      <c r="AC9584" t="s">
        <v>59</v>
      </c>
      <c r="AD9584" t="s">
        <v>59</v>
      </c>
      <c r="AF9584" s="1">
        <v>31657</v>
      </c>
      <c r="AG9584" t="s">
        <v>8645</v>
      </c>
      <c r="AH9584" t="s">
        <v>8646</v>
      </c>
      <c r="AI9584" t="str">
        <f>"9500040"</f>
        <v>9500040</v>
      </c>
      <c r="AJ9584" t="s">
        <v>13906</v>
      </c>
      <c r="AK9584">
        <v>2821045356</v>
      </c>
      <c r="AL9584" t="s">
        <v>13907</v>
      </c>
      <c r="AM9584" t="s">
        <v>88</v>
      </c>
      <c r="AN9584" t="s">
        <v>88</v>
      </c>
      <c r="AO9584" t="s">
        <v>88</v>
      </c>
      <c r="AP9584" t="s">
        <v>88</v>
      </c>
      <c r="AQ9584">
        <v>1</v>
      </c>
      <c r="AR9584" t="s">
        <v>89</v>
      </c>
      <c r="AS9584" t="s">
        <v>90</v>
      </c>
      <c r="AT9584" t="s">
        <v>58</v>
      </c>
      <c r="AU9584" t="s">
        <v>68</v>
      </c>
      <c r="AV9584" t="s">
        <v>69</v>
      </c>
      <c r="AW9584" s="1">
        <v>22689</v>
      </c>
      <c r="AX9584">
        <v>1</v>
      </c>
    </row>
    <row r="9585" spans="1:50">
      <c r="A9585">
        <v>612967</v>
      </c>
      <c r="B9585" t="str">
        <f>"047445920"</f>
        <v>047445920</v>
      </c>
      <c r="C9585" t="s">
        <v>50</v>
      </c>
      <c r="D9585" t="s">
        <v>1613</v>
      </c>
      <c r="E9585" t="s">
        <v>83</v>
      </c>
      <c r="F9585" t="s">
        <v>84</v>
      </c>
      <c r="G9585" t="s">
        <v>52</v>
      </c>
      <c r="H9585" t="str">
        <f>"ΒΩΜ 3 ΧΑΝΙΑ"</f>
        <v>ΒΩΜ 3 ΧΑΝΙΑ</v>
      </c>
      <c r="I9585">
        <v>73100</v>
      </c>
      <c r="J9585">
        <v>2821501028</v>
      </c>
      <c r="K9585">
        <v>6972603427</v>
      </c>
      <c r="N9585" t="s">
        <v>615</v>
      </c>
      <c r="O9585" t="s">
        <v>616</v>
      </c>
      <c r="R9585" t="s">
        <v>57</v>
      </c>
      <c r="S9585">
        <v>7</v>
      </c>
      <c r="T9585">
        <v>598</v>
      </c>
      <c r="U9585" s="1">
        <v>39310</v>
      </c>
      <c r="V9585" t="s">
        <v>89</v>
      </c>
      <c r="W9585" t="s">
        <v>90</v>
      </c>
      <c r="X9585" t="s">
        <v>58</v>
      </c>
      <c r="Y9585">
        <v>22</v>
      </c>
      <c r="Z9585" t="s">
        <v>59</v>
      </c>
      <c r="AA9585" t="s">
        <v>59</v>
      </c>
      <c r="AB9585" t="s">
        <v>59</v>
      </c>
      <c r="AC9585" t="s">
        <v>59</v>
      </c>
      <c r="AD9585" t="s">
        <v>59</v>
      </c>
      <c r="AF9585" s="1">
        <v>39310</v>
      </c>
      <c r="AG9585" t="s">
        <v>8645</v>
      </c>
      <c r="AH9585" t="s">
        <v>8646</v>
      </c>
      <c r="AI9585" t="str">
        <f>"9500173"</f>
        <v>9500173</v>
      </c>
      <c r="AJ9585" t="s">
        <v>14513</v>
      </c>
      <c r="AK9585">
        <v>2823022235</v>
      </c>
      <c r="AL9585" t="s">
        <v>14514</v>
      </c>
      <c r="AM9585" t="s">
        <v>88</v>
      </c>
      <c r="AN9585" t="s">
        <v>6824</v>
      </c>
      <c r="AO9585" t="s">
        <v>6825</v>
      </c>
      <c r="AP9585" t="s">
        <v>6826</v>
      </c>
      <c r="AQ9585">
        <v>11</v>
      </c>
      <c r="AR9585" t="s">
        <v>89</v>
      </c>
      <c r="AS9585" t="s">
        <v>90</v>
      </c>
      <c r="AT9585" t="s">
        <v>58</v>
      </c>
      <c r="AU9585" t="s">
        <v>68</v>
      </c>
      <c r="AV9585" t="s">
        <v>69</v>
      </c>
      <c r="AW9585" s="1">
        <v>27736</v>
      </c>
      <c r="AX9585">
        <v>1</v>
      </c>
    </row>
    <row r="9586" spans="1:50">
      <c r="A9586">
        <v>611662</v>
      </c>
      <c r="B9586" t="str">
        <f>"127727775"</f>
        <v>127727775</v>
      </c>
      <c r="C9586" t="s">
        <v>50</v>
      </c>
      <c r="D9586" t="s">
        <v>14515</v>
      </c>
      <c r="E9586" t="s">
        <v>83</v>
      </c>
      <c r="F9586" t="s">
        <v>72</v>
      </c>
      <c r="G9586" t="s">
        <v>83</v>
      </c>
      <c r="H9586" t="str">
        <f>"ΕΛΕΥΘΕΡΙΟΥ ΒΕΝΙΖΕΛΟΥ 124 ΧΑΝΙΑ"</f>
        <v>ΕΛΕΥΘΕΡΙΟΥ ΒΕΝΙΖΕΛΟΥ 124 ΧΑΝΙΑ</v>
      </c>
      <c r="I9586">
        <v>73100</v>
      </c>
      <c r="J9586">
        <v>2821041813</v>
      </c>
      <c r="K9586">
        <v>6974644081</v>
      </c>
      <c r="N9586" t="s">
        <v>1525</v>
      </c>
      <c r="O9586" t="s">
        <v>1526</v>
      </c>
      <c r="R9586" t="s">
        <v>57</v>
      </c>
      <c r="S9586">
        <v>6</v>
      </c>
      <c r="T9586">
        <v>233</v>
      </c>
      <c r="U9586" s="1">
        <v>38960</v>
      </c>
      <c r="V9586" t="s">
        <v>89</v>
      </c>
      <c r="W9586" t="s">
        <v>90</v>
      </c>
      <c r="X9586" t="s">
        <v>58</v>
      </c>
      <c r="Y9586">
        <v>25</v>
      </c>
      <c r="Z9586" t="s">
        <v>59</v>
      </c>
      <c r="AA9586" t="s">
        <v>59</v>
      </c>
      <c r="AB9586" t="s">
        <v>59</v>
      </c>
      <c r="AC9586" t="s">
        <v>59</v>
      </c>
      <c r="AD9586" t="s">
        <v>59</v>
      </c>
      <c r="AF9586" s="1">
        <v>38961</v>
      </c>
      <c r="AG9586" t="s">
        <v>8651</v>
      </c>
      <c r="AH9586" t="s">
        <v>8652</v>
      </c>
      <c r="AI9586" t="str">
        <f>"9500341"</f>
        <v>9500341</v>
      </c>
      <c r="AJ9586" t="s">
        <v>14516</v>
      </c>
      <c r="AK9586">
        <v>2821057345</v>
      </c>
      <c r="AL9586" t="s">
        <v>14517</v>
      </c>
      <c r="AM9586" t="s">
        <v>88</v>
      </c>
      <c r="AN9586" t="s">
        <v>88</v>
      </c>
      <c r="AO9586" t="s">
        <v>88</v>
      </c>
      <c r="AP9586" t="s">
        <v>88</v>
      </c>
      <c r="AQ9586">
        <v>1</v>
      </c>
      <c r="AR9586" t="s">
        <v>89</v>
      </c>
      <c r="AS9586" t="s">
        <v>90</v>
      </c>
      <c r="AT9586" t="s">
        <v>58</v>
      </c>
      <c r="AU9586" t="s">
        <v>68</v>
      </c>
      <c r="AV9586" t="s">
        <v>69</v>
      </c>
      <c r="AW9586" s="1">
        <v>29710</v>
      </c>
      <c r="AX9586">
        <v>1</v>
      </c>
    </row>
    <row r="9587" spans="1:50">
      <c r="B9587" t="str">
        <f>"139416374"</f>
        <v>139416374</v>
      </c>
      <c r="C9587" t="s">
        <v>50</v>
      </c>
      <c r="D9587" t="s">
        <v>14518</v>
      </c>
      <c r="E9587" t="s">
        <v>14519</v>
      </c>
      <c r="F9587" t="s">
        <v>9387</v>
      </c>
      <c r="G9587" t="s">
        <v>8029</v>
      </c>
      <c r="H9587" t="str">
        <f>"ΜΟΣΙΟΠΟΥΛΟΥ-ΠΑΠΑΘΑΝΑΣΗ 13 "</f>
        <v xml:space="preserve">ΜΟΣΙΟΠΟΥΛΟΥ-ΠΑΠΑΘΑΝΑΣΗ 13 </v>
      </c>
      <c r="I9587">
        <v>68100</v>
      </c>
      <c r="J9587">
        <v>2551082176</v>
      </c>
      <c r="K9587">
        <v>6997172348</v>
      </c>
      <c r="N9587" t="s">
        <v>615</v>
      </c>
      <c r="O9587" t="s">
        <v>616</v>
      </c>
      <c r="R9587" t="s">
        <v>159</v>
      </c>
      <c r="S9587">
        <v>2</v>
      </c>
      <c r="T9587" t="s">
        <v>8675</v>
      </c>
      <c r="U9587" s="1">
        <v>43348</v>
      </c>
      <c r="V9587" t="s">
        <v>89</v>
      </c>
      <c r="W9587" t="s">
        <v>90</v>
      </c>
      <c r="X9587" t="s">
        <v>58</v>
      </c>
      <c r="Y9587">
        <v>24</v>
      </c>
      <c r="Z9587" t="s">
        <v>59</v>
      </c>
      <c r="AA9587" t="s">
        <v>59</v>
      </c>
      <c r="AB9587" t="s">
        <v>59</v>
      </c>
      <c r="AC9587" t="s">
        <v>59</v>
      </c>
      <c r="AD9587" t="s">
        <v>59</v>
      </c>
      <c r="AF9587" s="1">
        <v>43348</v>
      </c>
      <c r="AG9587" t="s">
        <v>8645</v>
      </c>
      <c r="AH9587" t="s">
        <v>8646</v>
      </c>
      <c r="AI9587" t="str">
        <f>"9500189"</f>
        <v>9500189</v>
      </c>
      <c r="AJ9587" t="s">
        <v>14038</v>
      </c>
      <c r="AK9587">
        <v>2822022119</v>
      </c>
      <c r="AL9587" t="s">
        <v>14039</v>
      </c>
      <c r="AM9587" t="s">
        <v>88</v>
      </c>
      <c r="AN9587" t="s">
        <v>6744</v>
      </c>
      <c r="AO9587" t="s">
        <v>6744</v>
      </c>
      <c r="AP9587" t="s">
        <v>6744</v>
      </c>
      <c r="AQ9587">
        <v>9</v>
      </c>
      <c r="AR9587" t="s">
        <v>89</v>
      </c>
      <c r="AS9587" t="s">
        <v>90</v>
      </c>
      <c r="AT9587" t="s">
        <v>58</v>
      </c>
      <c r="AU9587" t="s">
        <v>8673</v>
      </c>
      <c r="AV9587" t="s">
        <v>132</v>
      </c>
      <c r="AW9587" s="1">
        <v>31455</v>
      </c>
      <c r="AX9587">
        <v>1</v>
      </c>
    </row>
    <row r="9588" spans="1:50">
      <c r="A9588">
        <v>610937</v>
      </c>
      <c r="B9588" t="str">
        <f>"120732266"</f>
        <v>120732266</v>
      </c>
      <c r="C9588" t="s">
        <v>105</v>
      </c>
      <c r="D9588" t="s">
        <v>14520</v>
      </c>
      <c r="E9588" t="s">
        <v>1720</v>
      </c>
      <c r="F9588" t="s">
        <v>309</v>
      </c>
      <c r="G9588" t="s">
        <v>6609</v>
      </c>
      <c r="H9588" t="str">
        <f>"ΕΦΕΔΡΩΝ ΠΟΛΕΜΙΣΤΩΝ 23 ΧΑΝΙΑ"</f>
        <v>ΕΦΕΔΡΩΝ ΠΟΛΕΜΙΣΤΩΝ 23 ΧΑΝΙΑ</v>
      </c>
      <c r="I9588">
        <v>73100</v>
      </c>
      <c r="J9588">
        <v>2351026975</v>
      </c>
      <c r="K9588">
        <v>6938175575</v>
      </c>
      <c r="N9588" t="s">
        <v>615</v>
      </c>
      <c r="O9588" t="s">
        <v>616</v>
      </c>
      <c r="R9588" t="s">
        <v>57</v>
      </c>
      <c r="S9588">
        <v>6</v>
      </c>
      <c r="T9588">
        <v>233</v>
      </c>
      <c r="U9588" s="1">
        <v>38960</v>
      </c>
      <c r="V9588" t="s">
        <v>89</v>
      </c>
      <c r="W9588" t="s">
        <v>90</v>
      </c>
      <c r="X9588" t="s">
        <v>58</v>
      </c>
      <c r="Y9588">
        <v>23</v>
      </c>
      <c r="Z9588" t="s">
        <v>59</v>
      </c>
      <c r="AA9588" t="s">
        <v>59</v>
      </c>
      <c r="AB9588" t="s">
        <v>59</v>
      </c>
      <c r="AC9588" t="s">
        <v>59</v>
      </c>
      <c r="AD9588" t="s">
        <v>59</v>
      </c>
      <c r="AF9588" s="1">
        <v>38961</v>
      </c>
      <c r="AG9588" t="s">
        <v>8645</v>
      </c>
      <c r="AH9588" t="s">
        <v>8646</v>
      </c>
      <c r="AI9588" t="str">
        <f>"9500314"</f>
        <v>9500314</v>
      </c>
      <c r="AJ9588" t="s">
        <v>14116</v>
      </c>
      <c r="AK9588">
        <v>2821097640</v>
      </c>
      <c r="AL9588" t="s">
        <v>14117</v>
      </c>
      <c r="AM9588" t="s">
        <v>88</v>
      </c>
      <c r="AN9588" t="s">
        <v>88</v>
      </c>
      <c r="AO9588" t="s">
        <v>88</v>
      </c>
      <c r="AP9588" t="s">
        <v>88</v>
      </c>
      <c r="AQ9588">
        <v>1</v>
      </c>
      <c r="AR9588" t="s">
        <v>89</v>
      </c>
      <c r="AS9588" t="s">
        <v>90</v>
      </c>
      <c r="AT9588" t="s">
        <v>58</v>
      </c>
      <c r="AU9588" t="s">
        <v>68</v>
      </c>
      <c r="AV9588" t="s">
        <v>69</v>
      </c>
      <c r="AW9588" s="1">
        <v>29409</v>
      </c>
      <c r="AX9588">
        <v>1</v>
      </c>
    </row>
    <row r="9589" spans="1:50">
      <c r="A9589">
        <v>704077</v>
      </c>
      <c r="B9589" t="str">
        <f>"068299612"</f>
        <v>068299612</v>
      </c>
      <c r="C9589" t="s">
        <v>50</v>
      </c>
      <c r="D9589" t="s">
        <v>7282</v>
      </c>
      <c r="E9589" t="s">
        <v>52</v>
      </c>
      <c r="F9589" t="s">
        <v>1651</v>
      </c>
      <c r="G9589" t="s">
        <v>964</v>
      </c>
      <c r="H9589" t="str">
        <f>"ΙΠΠΟΚΡΑΤΟΥΣ 2-4Β ΑΘΗΝΑ"</f>
        <v>ΙΠΠΟΚΡΑΤΟΥΣ 2-4Β ΑΘΗΝΑ</v>
      </c>
      <c r="I9589">
        <v>14452</v>
      </c>
      <c r="J9589">
        <v>2102830709</v>
      </c>
      <c r="K9589">
        <v>6946880404</v>
      </c>
      <c r="N9589" t="s">
        <v>306</v>
      </c>
      <c r="O9589" t="s">
        <v>307</v>
      </c>
      <c r="R9589" t="s">
        <v>57</v>
      </c>
      <c r="S9589">
        <v>5</v>
      </c>
      <c r="T9589">
        <v>1350</v>
      </c>
      <c r="U9589" s="1">
        <v>42732</v>
      </c>
      <c r="V9589" t="s">
        <v>89</v>
      </c>
      <c r="W9589" t="s">
        <v>90</v>
      </c>
      <c r="X9589" t="s">
        <v>58</v>
      </c>
      <c r="Y9589">
        <v>24</v>
      </c>
      <c r="Z9589" t="s">
        <v>59</v>
      </c>
      <c r="AA9589" t="s">
        <v>59</v>
      </c>
      <c r="AB9589" t="s">
        <v>59</v>
      </c>
      <c r="AC9589" t="s">
        <v>59</v>
      </c>
      <c r="AD9589" t="s">
        <v>59</v>
      </c>
      <c r="AF9589" s="1">
        <v>42734</v>
      </c>
      <c r="AG9589" t="s">
        <v>8645</v>
      </c>
      <c r="AH9589" t="s">
        <v>8646</v>
      </c>
      <c r="AI9589" t="str">
        <f>"9500218"</f>
        <v>9500218</v>
      </c>
      <c r="AJ9589" t="s">
        <v>13992</v>
      </c>
      <c r="AK9589">
        <v>2824022216</v>
      </c>
      <c r="AL9589" t="s">
        <v>13993</v>
      </c>
      <c r="AM9589" t="s">
        <v>88</v>
      </c>
      <c r="AN9589" t="s">
        <v>6764</v>
      </c>
      <c r="AO9589" t="s">
        <v>6799</v>
      </c>
      <c r="AP9589" t="s">
        <v>6799</v>
      </c>
      <c r="AQ9589">
        <v>6</v>
      </c>
      <c r="AR9589" t="s">
        <v>89</v>
      </c>
      <c r="AS9589" t="s">
        <v>90</v>
      </c>
      <c r="AT9589" t="s">
        <v>58</v>
      </c>
      <c r="AU9589" t="s">
        <v>68</v>
      </c>
      <c r="AV9589" t="s">
        <v>69</v>
      </c>
      <c r="AW9589" s="1">
        <v>29641</v>
      </c>
      <c r="AX9589">
        <v>1</v>
      </c>
    </row>
    <row r="9590" spans="1:50">
      <c r="A9590">
        <v>610768</v>
      </c>
      <c r="B9590" t="str">
        <f>"137467378"</f>
        <v>137467378</v>
      </c>
      <c r="C9590" t="s">
        <v>50</v>
      </c>
      <c r="D9590" t="s">
        <v>7282</v>
      </c>
      <c r="E9590" t="s">
        <v>52</v>
      </c>
      <c r="F9590" t="s">
        <v>450</v>
      </c>
      <c r="G9590" t="s">
        <v>8692</v>
      </c>
      <c r="H9590" t="str">
        <f>"ΠΛΑΚΟΥΡΕΣ ΑΚΡΩΤΗΡΙΟΥ ΧΑΝΙΑ-ΑΚΡΩΤΗΡΙ"</f>
        <v>ΠΛΑΚΟΥΡΕΣ ΑΚΡΩΤΗΡΙΟΥ ΧΑΝΙΑ-ΑΚΡΩΤΗΡΙ</v>
      </c>
      <c r="I9590">
        <v>73100</v>
      </c>
      <c r="J9590">
        <v>2103604151</v>
      </c>
      <c r="K9590">
        <v>6932566733</v>
      </c>
      <c r="N9590" t="s">
        <v>615</v>
      </c>
      <c r="O9590" t="s">
        <v>616</v>
      </c>
      <c r="R9590" t="s">
        <v>57</v>
      </c>
      <c r="S9590">
        <v>6</v>
      </c>
      <c r="T9590">
        <v>233</v>
      </c>
      <c r="U9590" s="1">
        <v>38960</v>
      </c>
      <c r="V9590" t="s">
        <v>89</v>
      </c>
      <c r="W9590" t="s">
        <v>90</v>
      </c>
      <c r="X9590" t="s">
        <v>58</v>
      </c>
      <c r="Y9590">
        <v>23</v>
      </c>
      <c r="Z9590" t="s">
        <v>59</v>
      </c>
      <c r="AA9590" t="s">
        <v>59</v>
      </c>
      <c r="AB9590" t="s">
        <v>59</v>
      </c>
      <c r="AC9590" t="s">
        <v>59</v>
      </c>
      <c r="AD9590" t="s">
        <v>59</v>
      </c>
      <c r="AF9590" s="1">
        <v>38961</v>
      </c>
      <c r="AG9590" t="s">
        <v>8645</v>
      </c>
      <c r="AH9590" t="s">
        <v>8646</v>
      </c>
      <c r="AI9590" t="str">
        <f>"9500093"</f>
        <v>9500093</v>
      </c>
      <c r="AJ9590" t="s">
        <v>13865</v>
      </c>
      <c r="AK9590">
        <v>2821064537</v>
      </c>
      <c r="AL9590" t="s">
        <v>13866</v>
      </c>
      <c r="AM9590" t="s">
        <v>88</v>
      </c>
      <c r="AN9590" t="s">
        <v>88</v>
      </c>
      <c r="AO9590" t="s">
        <v>6770</v>
      </c>
      <c r="AP9590" t="s">
        <v>6771</v>
      </c>
      <c r="AQ9590">
        <v>2</v>
      </c>
      <c r="AR9590" t="s">
        <v>89</v>
      </c>
      <c r="AS9590" t="s">
        <v>90</v>
      </c>
      <c r="AT9590" t="s">
        <v>58</v>
      </c>
      <c r="AU9590" t="s">
        <v>68</v>
      </c>
      <c r="AV9590" t="s">
        <v>69</v>
      </c>
      <c r="AW9590" s="1">
        <v>30091</v>
      </c>
      <c r="AX9590">
        <v>1</v>
      </c>
    </row>
    <row r="9591" spans="1:50">
      <c r="A9591">
        <v>553423</v>
      </c>
      <c r="B9591" t="str">
        <f>"025600777"</f>
        <v>025600777</v>
      </c>
      <c r="C9591" t="s">
        <v>105</v>
      </c>
      <c r="D9591" t="s">
        <v>14521</v>
      </c>
      <c r="E9591" t="s">
        <v>154</v>
      </c>
      <c r="F9591" t="s">
        <v>106</v>
      </c>
      <c r="G9591" t="s">
        <v>250</v>
      </c>
      <c r="H9591" t="str">
        <f>"Β.ΤΖΟΥΤΖΟΥΛΑΚΗ 86 ΧΑΝΙΑ"</f>
        <v>Β.ΤΖΟΥΤΖΟΥΛΑΚΗ 86 ΧΑΝΙΑ</v>
      </c>
      <c r="I9591">
        <v>73134</v>
      </c>
      <c r="J9591">
        <v>2821092120</v>
      </c>
      <c r="K9591">
        <v>6973514034</v>
      </c>
      <c r="N9591" t="s">
        <v>615</v>
      </c>
      <c r="O9591" t="s">
        <v>616</v>
      </c>
      <c r="R9591" t="s">
        <v>57</v>
      </c>
      <c r="S9591">
        <v>16</v>
      </c>
      <c r="T9591">
        <v>235</v>
      </c>
      <c r="U9591" s="1">
        <v>31289</v>
      </c>
      <c r="V9591" t="s">
        <v>89</v>
      </c>
      <c r="W9591" t="s">
        <v>90</v>
      </c>
      <c r="X9591" t="s">
        <v>58</v>
      </c>
      <c r="Y9591">
        <v>21</v>
      </c>
      <c r="Z9591" t="s">
        <v>59</v>
      </c>
      <c r="AA9591" t="s">
        <v>59</v>
      </c>
      <c r="AB9591" t="s">
        <v>59</v>
      </c>
      <c r="AC9591" t="s">
        <v>59</v>
      </c>
      <c r="AD9591" t="s">
        <v>59</v>
      </c>
      <c r="AF9591" s="1">
        <v>31289</v>
      </c>
      <c r="AG9591" t="s">
        <v>8645</v>
      </c>
      <c r="AH9591" t="s">
        <v>8646</v>
      </c>
      <c r="AI9591" t="str">
        <f>"9500035"</f>
        <v>9500035</v>
      </c>
      <c r="AJ9591" t="s">
        <v>13979</v>
      </c>
      <c r="AK9591">
        <v>2821094678</v>
      </c>
      <c r="AL9591" t="s">
        <v>13980</v>
      </c>
      <c r="AM9591" t="s">
        <v>88</v>
      </c>
      <c r="AN9591" t="s">
        <v>88</v>
      </c>
      <c r="AO9591" t="s">
        <v>88</v>
      </c>
      <c r="AP9591" t="s">
        <v>88</v>
      </c>
      <c r="AQ9591">
        <v>2</v>
      </c>
      <c r="AR9591" t="s">
        <v>89</v>
      </c>
      <c r="AS9591" t="s">
        <v>90</v>
      </c>
      <c r="AT9591" t="s">
        <v>58</v>
      </c>
      <c r="AU9591" t="s">
        <v>68</v>
      </c>
      <c r="AV9591" t="s">
        <v>69</v>
      </c>
      <c r="AW9591" s="1">
        <v>21687</v>
      </c>
      <c r="AX9591">
        <v>1</v>
      </c>
    </row>
    <row r="9592" spans="1:50">
      <c r="B9592" t="str">
        <f>"150401279"</f>
        <v>150401279</v>
      </c>
      <c r="C9592" t="s">
        <v>50</v>
      </c>
      <c r="D9592" t="s">
        <v>9818</v>
      </c>
      <c r="E9592" t="s">
        <v>460</v>
      </c>
      <c r="F9592" t="s">
        <v>95</v>
      </c>
      <c r="G9592" t="s">
        <v>52</v>
      </c>
      <c r="H9592" t="str">
        <f>" "</f>
        <v xml:space="preserve"> </v>
      </c>
      <c r="M9592" t="s">
        <v>14522</v>
      </c>
      <c r="N9592" t="s">
        <v>615</v>
      </c>
      <c r="O9592" t="s">
        <v>616</v>
      </c>
      <c r="R9592" t="s">
        <v>159</v>
      </c>
      <c r="S9592">
        <v>1</v>
      </c>
      <c r="T9592" t="s">
        <v>8717</v>
      </c>
      <c r="U9592" s="1">
        <v>43348</v>
      </c>
      <c r="V9592" t="s">
        <v>89</v>
      </c>
      <c r="W9592" t="s">
        <v>90</v>
      </c>
      <c r="X9592" t="s">
        <v>58</v>
      </c>
      <c r="Y9592">
        <v>24</v>
      </c>
      <c r="Z9592" t="s">
        <v>59</v>
      </c>
      <c r="AA9592" t="s">
        <v>59</v>
      </c>
      <c r="AB9592" t="s">
        <v>59</v>
      </c>
      <c r="AD9592" t="s">
        <v>59</v>
      </c>
      <c r="AF9592" s="1">
        <v>43348</v>
      </c>
      <c r="AG9592" t="s">
        <v>8645</v>
      </c>
      <c r="AH9592" t="s">
        <v>8646</v>
      </c>
      <c r="AI9592" t="str">
        <f>"9500407"</f>
        <v>9500407</v>
      </c>
      <c r="AJ9592" t="s">
        <v>13867</v>
      </c>
      <c r="AK9592">
        <v>2821089224</v>
      </c>
      <c r="AL9592" t="s">
        <v>13868</v>
      </c>
      <c r="AM9592" t="s">
        <v>88</v>
      </c>
      <c r="AN9592" t="s">
        <v>88</v>
      </c>
      <c r="AO9592" t="s">
        <v>6748</v>
      </c>
      <c r="AP9592" t="s">
        <v>6748</v>
      </c>
      <c r="AQ9592">
        <v>2</v>
      </c>
      <c r="AR9592" t="s">
        <v>89</v>
      </c>
      <c r="AS9592" t="s">
        <v>90</v>
      </c>
      <c r="AT9592" t="s">
        <v>58</v>
      </c>
      <c r="AU9592" t="s">
        <v>8720</v>
      </c>
      <c r="AV9592" t="s">
        <v>132</v>
      </c>
      <c r="AW9592" s="1">
        <v>32803</v>
      </c>
      <c r="AX9592">
        <v>1</v>
      </c>
    </row>
    <row r="9593" spans="1:50">
      <c r="B9593" t="str">
        <f>"143650602"</f>
        <v>143650602</v>
      </c>
      <c r="C9593" t="s">
        <v>50</v>
      </c>
      <c r="D9593" t="s">
        <v>14523</v>
      </c>
      <c r="E9593" t="s">
        <v>52</v>
      </c>
      <c r="F9593" t="s">
        <v>995</v>
      </c>
      <c r="G9593" t="s">
        <v>964</v>
      </c>
      <c r="H9593" t="str">
        <f>" "</f>
        <v xml:space="preserve"> </v>
      </c>
      <c r="N9593" t="s">
        <v>9829</v>
      </c>
      <c r="O9593" t="s">
        <v>9830</v>
      </c>
      <c r="R9593" t="s">
        <v>121</v>
      </c>
      <c r="S9593">
        <v>3</v>
      </c>
      <c r="T9593" t="s">
        <v>8835</v>
      </c>
      <c r="U9593" s="1">
        <v>43348</v>
      </c>
      <c r="V9593" t="s">
        <v>89</v>
      </c>
      <c r="W9593" t="s">
        <v>90</v>
      </c>
      <c r="X9593" t="s">
        <v>58</v>
      </c>
      <c r="Y9593">
        <v>25</v>
      </c>
      <c r="Z9593" t="s">
        <v>59</v>
      </c>
      <c r="AA9593" t="s">
        <v>59</v>
      </c>
      <c r="AB9593" t="s">
        <v>59</v>
      </c>
      <c r="AD9593" t="s">
        <v>59</v>
      </c>
      <c r="AF9593" s="1">
        <v>43348</v>
      </c>
      <c r="AG9593" t="s">
        <v>8651</v>
      </c>
      <c r="AH9593" t="s">
        <v>8652</v>
      </c>
      <c r="AI9593" t="str">
        <f>"9500312"</f>
        <v>9500312</v>
      </c>
      <c r="AJ9593" t="s">
        <v>14524</v>
      </c>
      <c r="AK9593">
        <v>2822023924</v>
      </c>
      <c r="AL9593" t="s">
        <v>14525</v>
      </c>
      <c r="AM9593" t="s">
        <v>88</v>
      </c>
      <c r="AN9593" t="s">
        <v>6744</v>
      </c>
      <c r="AO9593" t="s">
        <v>6744</v>
      </c>
      <c r="AP9593" t="s">
        <v>14526</v>
      </c>
      <c r="AQ9593">
        <v>9</v>
      </c>
      <c r="AR9593" t="s">
        <v>89</v>
      </c>
      <c r="AS9593" t="s">
        <v>90</v>
      </c>
      <c r="AT9593" t="s">
        <v>58</v>
      </c>
      <c r="AU9593" t="s">
        <v>131</v>
      </c>
      <c r="AV9593" t="s">
        <v>132</v>
      </c>
      <c r="AW9593" s="1">
        <v>31754</v>
      </c>
      <c r="AX9593">
        <v>1</v>
      </c>
    </row>
    <row r="9594" spans="1:50">
      <c r="A9594">
        <v>560572</v>
      </c>
      <c r="B9594" t="str">
        <f>"028283134"</f>
        <v>028283134</v>
      </c>
      <c r="C9594" t="s">
        <v>105</v>
      </c>
      <c r="D9594" t="s">
        <v>7288</v>
      </c>
      <c r="E9594" t="s">
        <v>84</v>
      </c>
      <c r="F9594" t="s">
        <v>12417</v>
      </c>
      <c r="G9594" t="s">
        <v>52</v>
      </c>
      <c r="H9594" t="str">
        <f>"ΚΡΥΟΝΕΡΙΔΑΣ 12Α ΧΑΝΙΑ"</f>
        <v>ΚΡΥΟΝΕΡΙΔΑΣ 12Α ΧΑΝΙΑ</v>
      </c>
      <c r="I9594">
        <v>73100</v>
      </c>
      <c r="J9594">
        <v>2821045488</v>
      </c>
      <c r="K9594">
        <v>6974191562</v>
      </c>
      <c r="N9594" t="s">
        <v>615</v>
      </c>
      <c r="O9594" t="s">
        <v>616</v>
      </c>
      <c r="R9594" t="s">
        <v>57</v>
      </c>
      <c r="S9594">
        <v>15</v>
      </c>
      <c r="T9594">
        <v>159</v>
      </c>
      <c r="U9594" s="1">
        <v>32385</v>
      </c>
      <c r="V9594" t="s">
        <v>89</v>
      </c>
      <c r="W9594" t="s">
        <v>90</v>
      </c>
      <c r="X9594" t="s">
        <v>58</v>
      </c>
      <c r="Y9594">
        <v>21</v>
      </c>
      <c r="Z9594" t="s">
        <v>59</v>
      </c>
      <c r="AA9594" t="s">
        <v>59</v>
      </c>
      <c r="AB9594" t="s">
        <v>59</v>
      </c>
      <c r="AC9594" t="s">
        <v>59</v>
      </c>
      <c r="AD9594" t="s">
        <v>59</v>
      </c>
      <c r="AF9594" s="1">
        <v>32385</v>
      </c>
      <c r="AG9594" t="s">
        <v>8645</v>
      </c>
      <c r="AH9594" t="s">
        <v>8646</v>
      </c>
      <c r="AI9594" t="str">
        <f>"9500038"</f>
        <v>9500038</v>
      </c>
      <c r="AJ9594" t="s">
        <v>13899</v>
      </c>
      <c r="AK9594">
        <v>2821042407</v>
      </c>
      <c r="AL9594" t="s">
        <v>13900</v>
      </c>
      <c r="AM9594" t="s">
        <v>88</v>
      </c>
      <c r="AN9594" t="s">
        <v>88</v>
      </c>
      <c r="AO9594" t="s">
        <v>88</v>
      </c>
      <c r="AP9594" t="s">
        <v>88</v>
      </c>
      <c r="AQ9594">
        <v>1</v>
      </c>
      <c r="AR9594" t="s">
        <v>89</v>
      </c>
      <c r="AS9594" t="s">
        <v>90</v>
      </c>
      <c r="AT9594" t="s">
        <v>58</v>
      </c>
      <c r="AU9594" t="s">
        <v>68</v>
      </c>
      <c r="AV9594" t="s">
        <v>69</v>
      </c>
      <c r="AW9594" s="1">
        <v>23021</v>
      </c>
      <c r="AX9594">
        <v>1</v>
      </c>
    </row>
    <row r="9595" spans="1:50">
      <c r="A9595">
        <v>205225</v>
      </c>
      <c r="B9595" t="str">
        <f>"074897597"</f>
        <v>074897597</v>
      </c>
      <c r="C9595" t="s">
        <v>105</v>
      </c>
      <c r="D9595" t="s">
        <v>14527</v>
      </c>
      <c r="E9595" t="s">
        <v>53</v>
      </c>
      <c r="F9595" t="s">
        <v>95</v>
      </c>
      <c r="G9595" t="s">
        <v>73</v>
      </c>
      <c r="H9595" t="str">
        <f>" "</f>
        <v xml:space="preserve"> </v>
      </c>
      <c r="J9595">
        <v>2821055927</v>
      </c>
      <c r="K9595">
        <v>6944540168</v>
      </c>
      <c r="N9595" t="s">
        <v>204</v>
      </c>
      <c r="O9595" t="s">
        <v>205</v>
      </c>
      <c r="P9595" t="s">
        <v>282</v>
      </c>
      <c r="Q9595" t="s">
        <v>283</v>
      </c>
      <c r="R9595" t="s">
        <v>57</v>
      </c>
      <c r="S9595">
        <v>7</v>
      </c>
      <c r="T9595">
        <v>231</v>
      </c>
      <c r="U9595" s="1">
        <v>38230</v>
      </c>
      <c r="V9595" t="s">
        <v>89</v>
      </c>
      <c r="W9595" t="s">
        <v>90</v>
      </c>
      <c r="X9595" t="s">
        <v>58</v>
      </c>
      <c r="Y9595">
        <v>22</v>
      </c>
      <c r="Z9595" t="s">
        <v>59</v>
      </c>
      <c r="AA9595" t="s">
        <v>59</v>
      </c>
      <c r="AB9595" t="s">
        <v>59</v>
      </c>
      <c r="AC9595" t="s">
        <v>59</v>
      </c>
      <c r="AD9595" t="s">
        <v>59</v>
      </c>
      <c r="AF9595" s="1">
        <v>38231</v>
      </c>
      <c r="AG9595" t="s">
        <v>8645</v>
      </c>
      <c r="AH9595" t="s">
        <v>8646</v>
      </c>
      <c r="AI9595" t="str">
        <f>"9500084"</f>
        <v>9500084</v>
      </c>
      <c r="AJ9595" t="s">
        <v>13994</v>
      </c>
      <c r="AK9595">
        <v>2821031270</v>
      </c>
      <c r="AL9595" t="s">
        <v>13995</v>
      </c>
      <c r="AM9595" t="s">
        <v>88</v>
      </c>
      <c r="AN9595" t="s">
        <v>88</v>
      </c>
      <c r="AO9595" t="s">
        <v>13920</v>
      </c>
      <c r="AP9595" t="s">
        <v>13996</v>
      </c>
      <c r="AQ9595">
        <v>3</v>
      </c>
      <c r="AR9595" t="s">
        <v>89</v>
      </c>
      <c r="AS9595" t="s">
        <v>90</v>
      </c>
      <c r="AT9595" t="s">
        <v>58</v>
      </c>
      <c r="AU9595" t="s">
        <v>68</v>
      </c>
      <c r="AV9595" t="s">
        <v>69</v>
      </c>
      <c r="AW9595" s="1">
        <v>28058</v>
      </c>
      <c r="AX9595">
        <v>1</v>
      </c>
    </row>
    <row r="9596" spans="1:50">
      <c r="A9596">
        <v>562215</v>
      </c>
      <c r="B9596" t="str">
        <f>"036478957"</f>
        <v>036478957</v>
      </c>
      <c r="C9596" t="s">
        <v>50</v>
      </c>
      <c r="D9596" t="s">
        <v>14528</v>
      </c>
      <c r="E9596" t="s">
        <v>255</v>
      </c>
      <c r="F9596" t="s">
        <v>99</v>
      </c>
      <c r="G9596" t="s">
        <v>964</v>
      </c>
      <c r="H9596" t="str">
        <f>" "</f>
        <v xml:space="preserve"> </v>
      </c>
      <c r="N9596" t="s">
        <v>615</v>
      </c>
      <c r="O9596" t="s">
        <v>616</v>
      </c>
      <c r="R9596" t="s">
        <v>57</v>
      </c>
      <c r="S9596">
        <v>15</v>
      </c>
      <c r="T9596">
        <v>187</v>
      </c>
      <c r="U9596" s="1">
        <v>32750</v>
      </c>
      <c r="V9596" t="s">
        <v>89</v>
      </c>
      <c r="W9596" t="s">
        <v>90</v>
      </c>
      <c r="X9596" t="s">
        <v>58</v>
      </c>
      <c r="Y9596">
        <v>21</v>
      </c>
      <c r="Z9596" t="s">
        <v>59</v>
      </c>
      <c r="AA9596" t="s">
        <v>59</v>
      </c>
      <c r="AB9596" t="s">
        <v>59</v>
      </c>
      <c r="AC9596" t="s">
        <v>59</v>
      </c>
      <c r="AD9596" t="s">
        <v>59</v>
      </c>
      <c r="AF9596" s="1">
        <v>32756</v>
      </c>
      <c r="AG9596" t="s">
        <v>8645</v>
      </c>
      <c r="AH9596" t="s">
        <v>8646</v>
      </c>
      <c r="AI9596" t="str">
        <f>"9500374"</f>
        <v>9500374</v>
      </c>
      <c r="AJ9596" t="s">
        <v>14529</v>
      </c>
      <c r="AK9596">
        <v>2822023194</v>
      </c>
      <c r="AL9596" t="s">
        <v>14530</v>
      </c>
      <c r="AM9596" t="s">
        <v>88</v>
      </c>
      <c r="AN9596" t="s">
        <v>6744</v>
      </c>
      <c r="AO9596" t="s">
        <v>6744</v>
      </c>
      <c r="AP9596" t="s">
        <v>6744</v>
      </c>
      <c r="AQ9596">
        <v>9</v>
      </c>
      <c r="AR9596" t="s">
        <v>89</v>
      </c>
      <c r="AS9596" t="s">
        <v>90</v>
      </c>
      <c r="AT9596" t="s">
        <v>58</v>
      </c>
      <c r="AU9596" t="s">
        <v>68</v>
      </c>
      <c r="AV9596" t="s">
        <v>69</v>
      </c>
      <c r="AW9596" s="1">
        <v>23504</v>
      </c>
      <c r="AX9596">
        <v>1</v>
      </c>
    </row>
    <row r="9597" spans="1:50">
      <c r="A9597">
        <v>606020</v>
      </c>
      <c r="B9597" t="str">
        <f>"039775299"</f>
        <v>039775299</v>
      </c>
      <c r="C9597" t="s">
        <v>50</v>
      </c>
      <c r="D9597" t="s">
        <v>14531</v>
      </c>
      <c r="E9597" t="s">
        <v>255</v>
      </c>
      <c r="F9597" t="s">
        <v>304</v>
      </c>
      <c r="G9597" t="s">
        <v>4127</v>
      </c>
      <c r="H9597" t="str">
        <f>" "</f>
        <v xml:space="preserve"> </v>
      </c>
      <c r="J9597">
        <v>2821086027</v>
      </c>
      <c r="K9597">
        <v>6976899191</v>
      </c>
      <c r="N9597" t="s">
        <v>1525</v>
      </c>
      <c r="O9597" t="s">
        <v>1526</v>
      </c>
      <c r="R9597" t="s">
        <v>57</v>
      </c>
      <c r="S9597">
        <v>10</v>
      </c>
      <c r="T9597">
        <v>231</v>
      </c>
      <c r="U9597" s="1">
        <v>38230</v>
      </c>
      <c r="V9597" t="s">
        <v>89</v>
      </c>
      <c r="W9597" t="s">
        <v>90</v>
      </c>
      <c r="X9597" t="s">
        <v>58</v>
      </c>
      <c r="Y9597">
        <v>25</v>
      </c>
      <c r="Z9597" t="s">
        <v>59</v>
      </c>
      <c r="AA9597" t="s">
        <v>59</v>
      </c>
      <c r="AB9597" t="s">
        <v>59</v>
      </c>
      <c r="AC9597" t="s">
        <v>59</v>
      </c>
      <c r="AD9597" t="s">
        <v>59</v>
      </c>
      <c r="AF9597" s="1">
        <v>38232</v>
      </c>
      <c r="AG9597" t="s">
        <v>8651</v>
      </c>
      <c r="AH9597" t="s">
        <v>8652</v>
      </c>
      <c r="AI9597" t="str">
        <f>"9500275"</f>
        <v>9500275</v>
      </c>
      <c r="AJ9597" t="s">
        <v>14532</v>
      </c>
      <c r="AK9597">
        <v>2821028788</v>
      </c>
      <c r="AL9597" t="s">
        <v>14533</v>
      </c>
      <c r="AM9597" t="s">
        <v>88</v>
      </c>
      <c r="AN9597" t="s">
        <v>88</v>
      </c>
      <c r="AO9597" t="s">
        <v>88</v>
      </c>
      <c r="AP9597" t="s">
        <v>88</v>
      </c>
      <c r="AQ9597">
        <v>1</v>
      </c>
      <c r="AR9597" t="s">
        <v>89</v>
      </c>
      <c r="AS9597" t="s">
        <v>90</v>
      </c>
      <c r="AT9597" t="s">
        <v>58</v>
      </c>
      <c r="AU9597" t="s">
        <v>68</v>
      </c>
      <c r="AV9597" t="s">
        <v>69</v>
      </c>
      <c r="AW9597" s="1">
        <v>24772</v>
      </c>
      <c r="AX9597">
        <v>1</v>
      </c>
    </row>
    <row r="9598" spans="1:50">
      <c r="A9598">
        <v>586337</v>
      </c>
      <c r="B9598" t="str">
        <f>"068141218"</f>
        <v>068141218</v>
      </c>
      <c r="C9598" t="s">
        <v>50</v>
      </c>
      <c r="D9598" t="s">
        <v>1634</v>
      </c>
      <c r="E9598" t="s">
        <v>52</v>
      </c>
      <c r="F9598" t="s">
        <v>72</v>
      </c>
      <c r="G9598" t="s">
        <v>340</v>
      </c>
      <c r="H9598" t="str">
        <f>"ΠΑΖΙΝΟΣ ΑΚΡΩΤΗΡΙΟΥ ΑΚΡΩΤΗΡΙ"</f>
        <v>ΠΑΖΙΝΟΣ ΑΚΡΩΤΗΡΙΟΥ ΑΚΡΩΤΗΡΙ</v>
      </c>
      <c r="I9598">
        <v>73100</v>
      </c>
      <c r="J9598">
        <v>2821063155</v>
      </c>
      <c r="K9598">
        <v>6974615733</v>
      </c>
      <c r="N9598" t="s">
        <v>615</v>
      </c>
      <c r="O9598" t="s">
        <v>616</v>
      </c>
      <c r="R9598" t="s">
        <v>57</v>
      </c>
      <c r="S9598">
        <v>10</v>
      </c>
      <c r="T9598">
        <v>165</v>
      </c>
      <c r="U9598" s="1">
        <v>36040</v>
      </c>
      <c r="V9598" t="s">
        <v>89</v>
      </c>
      <c r="W9598" t="s">
        <v>90</v>
      </c>
      <c r="X9598" t="s">
        <v>58</v>
      </c>
      <c r="Y9598">
        <v>21</v>
      </c>
      <c r="Z9598" t="s">
        <v>59</v>
      </c>
      <c r="AA9598" t="s">
        <v>59</v>
      </c>
      <c r="AB9598" t="s">
        <v>59</v>
      </c>
      <c r="AC9598" t="s">
        <v>59</v>
      </c>
      <c r="AD9598" t="s">
        <v>59</v>
      </c>
      <c r="AF9598" s="1">
        <v>36040</v>
      </c>
      <c r="AG9598" t="s">
        <v>8645</v>
      </c>
      <c r="AH9598" t="s">
        <v>8646</v>
      </c>
      <c r="AI9598" t="str">
        <f>"9500114"</f>
        <v>9500114</v>
      </c>
      <c r="AJ9598" t="s">
        <v>14013</v>
      </c>
      <c r="AK9598">
        <v>2821063458</v>
      </c>
      <c r="AL9598" t="s">
        <v>14014</v>
      </c>
      <c r="AM9598" t="s">
        <v>88</v>
      </c>
      <c r="AN9598" t="s">
        <v>88</v>
      </c>
      <c r="AO9598" t="s">
        <v>6770</v>
      </c>
      <c r="AP9598" t="s">
        <v>14015</v>
      </c>
      <c r="AQ9598">
        <v>2</v>
      </c>
      <c r="AR9598" t="s">
        <v>89</v>
      </c>
      <c r="AS9598" t="s">
        <v>90</v>
      </c>
      <c r="AT9598" t="s">
        <v>58</v>
      </c>
      <c r="AU9598" t="s">
        <v>68</v>
      </c>
      <c r="AV9598" t="s">
        <v>69</v>
      </c>
      <c r="AW9598" s="1">
        <v>24442</v>
      </c>
      <c r="AX9598">
        <v>1</v>
      </c>
    </row>
    <row r="9599" spans="1:50">
      <c r="A9599">
        <v>600749</v>
      </c>
      <c r="B9599" t="str">
        <f>"074447795"</f>
        <v>074447795</v>
      </c>
      <c r="C9599" t="s">
        <v>50</v>
      </c>
      <c r="D9599" t="s">
        <v>14534</v>
      </c>
      <c r="E9599" t="s">
        <v>52</v>
      </c>
      <c r="F9599" t="s">
        <v>315</v>
      </c>
      <c r="G9599" t="s">
        <v>14535</v>
      </c>
      <c r="H9599" t="str">
        <f>"ΛΥΚΟΒΑΡΔΗ 7Α ΧΑΝΙΑ"</f>
        <v>ΛΥΚΟΒΑΡΔΗ 7Α ΧΑΝΙΑ</v>
      </c>
      <c r="I9599">
        <v>73100</v>
      </c>
      <c r="J9599">
        <v>2821055376</v>
      </c>
      <c r="L9599">
        <v>2821055376</v>
      </c>
      <c r="N9599" t="s">
        <v>615</v>
      </c>
      <c r="O9599" t="s">
        <v>616</v>
      </c>
      <c r="R9599" t="s">
        <v>57</v>
      </c>
      <c r="S9599">
        <v>9</v>
      </c>
      <c r="T9599">
        <v>207</v>
      </c>
      <c r="U9599" s="1">
        <v>37866</v>
      </c>
      <c r="V9599" t="s">
        <v>89</v>
      </c>
      <c r="W9599" t="s">
        <v>90</v>
      </c>
      <c r="X9599" t="s">
        <v>58</v>
      </c>
      <c r="Y9599">
        <v>22</v>
      </c>
      <c r="Z9599" t="s">
        <v>59</v>
      </c>
      <c r="AA9599" t="s">
        <v>59</v>
      </c>
      <c r="AB9599" t="s">
        <v>59</v>
      </c>
      <c r="AC9599" t="s">
        <v>59</v>
      </c>
      <c r="AD9599" t="s">
        <v>59</v>
      </c>
      <c r="AF9599" s="1">
        <v>37866</v>
      </c>
      <c r="AG9599" t="s">
        <v>8645</v>
      </c>
      <c r="AH9599" t="s">
        <v>8646</v>
      </c>
      <c r="AI9599" t="str">
        <f>"9500423"</f>
        <v>9500423</v>
      </c>
      <c r="AJ9599" t="s">
        <v>13893</v>
      </c>
      <c r="AK9599">
        <v>2821023473</v>
      </c>
      <c r="AL9599" t="s">
        <v>13894</v>
      </c>
      <c r="AM9599" t="s">
        <v>88</v>
      </c>
      <c r="AN9599" t="s">
        <v>88</v>
      </c>
      <c r="AO9599" t="s">
        <v>88</v>
      </c>
      <c r="AP9599" t="s">
        <v>88</v>
      </c>
      <c r="AQ9599">
        <v>1</v>
      </c>
      <c r="AR9599" t="s">
        <v>89</v>
      </c>
      <c r="AS9599" t="s">
        <v>90</v>
      </c>
      <c r="AT9599" t="s">
        <v>58</v>
      </c>
      <c r="AU9599" t="s">
        <v>68</v>
      </c>
      <c r="AV9599" t="s">
        <v>69</v>
      </c>
      <c r="AW9599" s="1">
        <v>25149</v>
      </c>
      <c r="AX9599">
        <v>1</v>
      </c>
    </row>
    <row r="9600" spans="1:50">
      <c r="A9600">
        <v>617297</v>
      </c>
      <c r="B9600" t="str">
        <f>"102530060"</f>
        <v>102530060</v>
      </c>
      <c r="C9600" t="s">
        <v>50</v>
      </c>
      <c r="D9600" t="s">
        <v>14536</v>
      </c>
      <c r="E9600" t="s">
        <v>143</v>
      </c>
      <c r="F9600" t="s">
        <v>510</v>
      </c>
      <c r="G9600" t="s">
        <v>366</v>
      </c>
      <c r="H9600" t="str">
        <f>"ΚΥΔΩΝΙΑΣ 147 ΧΑΝΙΑ"</f>
        <v>ΚΥΔΩΝΙΑΣ 147 ΧΑΝΙΑ</v>
      </c>
      <c r="I9600">
        <v>73100</v>
      </c>
      <c r="K9600">
        <v>6934811479</v>
      </c>
      <c r="N9600" t="s">
        <v>615</v>
      </c>
      <c r="O9600" t="s">
        <v>616</v>
      </c>
      <c r="R9600" t="s">
        <v>57</v>
      </c>
      <c r="S9600">
        <v>6</v>
      </c>
      <c r="T9600">
        <v>774</v>
      </c>
      <c r="U9600" s="1">
        <v>39680</v>
      </c>
      <c r="V9600" t="s">
        <v>89</v>
      </c>
      <c r="W9600" t="s">
        <v>90</v>
      </c>
      <c r="X9600" t="s">
        <v>58</v>
      </c>
      <c r="Y9600">
        <v>23</v>
      </c>
      <c r="Z9600" t="s">
        <v>59</v>
      </c>
      <c r="AA9600" t="s">
        <v>59</v>
      </c>
      <c r="AB9600" t="s">
        <v>59</v>
      </c>
      <c r="AC9600" t="s">
        <v>59</v>
      </c>
      <c r="AD9600" t="s">
        <v>59</v>
      </c>
      <c r="AF9600" s="1">
        <v>39685</v>
      </c>
      <c r="AG9600" t="s">
        <v>8645</v>
      </c>
      <c r="AH9600" t="s">
        <v>8646</v>
      </c>
      <c r="AI9600" t="str">
        <f>"9500139"</f>
        <v>9500139</v>
      </c>
      <c r="AJ9600" t="s">
        <v>14050</v>
      </c>
      <c r="AK9600">
        <v>2821096819</v>
      </c>
      <c r="AL9600" t="s">
        <v>14051</v>
      </c>
      <c r="AM9600" t="s">
        <v>88</v>
      </c>
      <c r="AN9600" t="s">
        <v>88</v>
      </c>
      <c r="AO9600" t="s">
        <v>88</v>
      </c>
      <c r="AP9600" t="s">
        <v>88</v>
      </c>
      <c r="AQ9600">
        <v>1</v>
      </c>
      <c r="AR9600" t="s">
        <v>89</v>
      </c>
      <c r="AS9600" t="s">
        <v>90</v>
      </c>
      <c r="AT9600" t="s">
        <v>58</v>
      </c>
      <c r="AU9600" t="s">
        <v>68</v>
      </c>
      <c r="AV9600" t="s">
        <v>69</v>
      </c>
      <c r="AW9600" s="1">
        <v>30627</v>
      </c>
      <c r="AX9600">
        <v>1</v>
      </c>
    </row>
    <row r="9601" spans="1:50">
      <c r="B9601" t="str">
        <f>"123604711"</f>
        <v>123604711</v>
      </c>
      <c r="C9601" t="s">
        <v>50</v>
      </c>
      <c r="D9601" t="s">
        <v>14536</v>
      </c>
      <c r="E9601" t="s">
        <v>367</v>
      </c>
      <c r="F9601" t="s">
        <v>309</v>
      </c>
      <c r="G9601" t="s">
        <v>566</v>
      </c>
      <c r="H9601" t="str">
        <f>"ΑΔΡΙΑΝΗ "</f>
        <v xml:space="preserve">ΑΔΡΙΑΝΗ </v>
      </c>
      <c r="I9601">
        <v>66100</v>
      </c>
      <c r="J9601">
        <v>2521082342</v>
      </c>
      <c r="K9601">
        <v>6958877718</v>
      </c>
      <c r="N9601" t="s">
        <v>615</v>
      </c>
      <c r="O9601" t="s">
        <v>616</v>
      </c>
      <c r="R9601" t="s">
        <v>159</v>
      </c>
      <c r="S9601">
        <v>3</v>
      </c>
      <c r="T9601" t="s">
        <v>8675</v>
      </c>
      <c r="U9601" s="1">
        <v>43348</v>
      </c>
      <c r="V9601" t="s">
        <v>89</v>
      </c>
      <c r="W9601" t="s">
        <v>90</v>
      </c>
      <c r="X9601" t="s">
        <v>58</v>
      </c>
      <c r="Y9601">
        <v>24</v>
      </c>
      <c r="Z9601" t="s">
        <v>59</v>
      </c>
      <c r="AA9601" t="s">
        <v>59</v>
      </c>
      <c r="AB9601" t="s">
        <v>59</v>
      </c>
      <c r="AC9601" t="s">
        <v>59</v>
      </c>
      <c r="AD9601" t="s">
        <v>59</v>
      </c>
      <c r="AF9601" s="1">
        <v>43348</v>
      </c>
      <c r="AG9601" t="s">
        <v>8645</v>
      </c>
      <c r="AH9601" t="s">
        <v>8646</v>
      </c>
      <c r="AI9601" t="str">
        <f>"9500021"</f>
        <v>9500021</v>
      </c>
      <c r="AJ9601" t="s">
        <v>14054</v>
      </c>
      <c r="AK9601">
        <v>2825096298</v>
      </c>
      <c r="AL9601" t="s">
        <v>14055</v>
      </c>
      <c r="AM9601" t="s">
        <v>88</v>
      </c>
      <c r="AN9601" t="s">
        <v>6775</v>
      </c>
      <c r="AO9601" t="s">
        <v>13929</v>
      </c>
      <c r="AP9601" t="s">
        <v>14056</v>
      </c>
      <c r="AQ9601">
        <v>8</v>
      </c>
      <c r="AR9601" t="s">
        <v>89</v>
      </c>
      <c r="AS9601" t="s">
        <v>90</v>
      </c>
      <c r="AT9601" t="s">
        <v>58</v>
      </c>
      <c r="AU9601" t="s">
        <v>8673</v>
      </c>
      <c r="AV9601" t="s">
        <v>132</v>
      </c>
      <c r="AW9601" s="1">
        <v>31987</v>
      </c>
      <c r="AX9601">
        <v>1</v>
      </c>
    </row>
    <row r="9602" spans="1:50">
      <c r="A9602">
        <v>598421</v>
      </c>
      <c r="B9602" t="str">
        <f>"046870268"</f>
        <v>046870268</v>
      </c>
      <c r="C9602" t="s">
        <v>105</v>
      </c>
      <c r="D9602" t="s">
        <v>12191</v>
      </c>
      <c r="E9602" t="s">
        <v>99</v>
      </c>
      <c r="F9602" t="s">
        <v>72</v>
      </c>
      <c r="G9602" t="s">
        <v>52</v>
      </c>
      <c r="H9602" t="str">
        <f>"ΠΑΛΑΙΟΧΩΡΑ ΧΑΝΙΑ"</f>
        <v>ΠΑΛΑΙΟΧΩΡΑ ΧΑΝΙΑ</v>
      </c>
      <c r="I9602">
        <v>73001</v>
      </c>
      <c r="J9602">
        <v>2823041384</v>
      </c>
      <c r="K9602">
        <v>6974717313</v>
      </c>
      <c r="N9602" t="s">
        <v>615</v>
      </c>
      <c r="O9602" t="s">
        <v>616</v>
      </c>
      <c r="R9602" t="s">
        <v>57</v>
      </c>
      <c r="S9602">
        <v>9</v>
      </c>
      <c r="T9602">
        <v>195</v>
      </c>
      <c r="U9602" s="1">
        <v>37497</v>
      </c>
      <c r="V9602" t="s">
        <v>89</v>
      </c>
      <c r="W9602" t="s">
        <v>90</v>
      </c>
      <c r="X9602" t="s">
        <v>58</v>
      </c>
      <c r="Y9602">
        <v>22</v>
      </c>
      <c r="Z9602" t="s">
        <v>59</v>
      </c>
      <c r="AA9602" t="s">
        <v>59</v>
      </c>
      <c r="AB9602" t="s">
        <v>59</v>
      </c>
      <c r="AC9602" t="s">
        <v>59</v>
      </c>
      <c r="AD9602" t="s">
        <v>59</v>
      </c>
      <c r="AF9602" s="1">
        <v>37497</v>
      </c>
      <c r="AG9602" t="s">
        <v>8645</v>
      </c>
      <c r="AH9602" t="s">
        <v>8646</v>
      </c>
      <c r="AI9602" t="str">
        <f>"9500173"</f>
        <v>9500173</v>
      </c>
      <c r="AJ9602" t="s">
        <v>14513</v>
      </c>
      <c r="AK9602">
        <v>2823022235</v>
      </c>
      <c r="AL9602" t="s">
        <v>14514</v>
      </c>
      <c r="AM9602" t="s">
        <v>88</v>
      </c>
      <c r="AN9602" t="s">
        <v>6824</v>
      </c>
      <c r="AO9602" t="s">
        <v>6825</v>
      </c>
      <c r="AP9602" t="s">
        <v>6826</v>
      </c>
      <c r="AQ9602">
        <v>11</v>
      </c>
      <c r="AR9602" t="s">
        <v>89</v>
      </c>
      <c r="AS9602" t="s">
        <v>90</v>
      </c>
      <c r="AT9602" t="s">
        <v>58</v>
      </c>
      <c r="AU9602" t="s">
        <v>68</v>
      </c>
      <c r="AV9602" t="s">
        <v>69</v>
      </c>
      <c r="AW9602" s="1">
        <v>24263</v>
      </c>
      <c r="AX9602">
        <v>1</v>
      </c>
    </row>
    <row r="9603" spans="1:50">
      <c r="A9603">
        <v>614891</v>
      </c>
      <c r="B9603" t="str">
        <f>"117798152"</f>
        <v>117798152</v>
      </c>
      <c r="C9603" t="s">
        <v>50</v>
      </c>
      <c r="D9603" t="s">
        <v>14537</v>
      </c>
      <c r="E9603" t="s">
        <v>263</v>
      </c>
      <c r="F9603" t="s">
        <v>670</v>
      </c>
      <c r="G9603" t="s">
        <v>3706</v>
      </c>
      <c r="H9603" t="str">
        <f>"ΕΛΕΥΘΕΡΙΟΥ ΒΕΝΙΖΕΛΟΥ 16 ΛΗΤΗ-ΘΕΣ/ΝΙΚΗΣ"</f>
        <v>ΕΛΕΥΘΕΡΙΟΥ ΒΕΝΙΖΕΛΟΥ 16 ΛΗΤΗ-ΘΕΣ/ΝΙΚΗΣ</v>
      </c>
      <c r="I9603">
        <v>57200</v>
      </c>
      <c r="J9603">
        <v>2394071225</v>
      </c>
      <c r="K9603">
        <v>6977791368</v>
      </c>
      <c r="N9603" t="s">
        <v>615</v>
      </c>
      <c r="O9603" t="s">
        <v>616</v>
      </c>
      <c r="R9603" t="s">
        <v>57</v>
      </c>
      <c r="S9603">
        <v>6</v>
      </c>
      <c r="T9603">
        <v>598</v>
      </c>
      <c r="U9603" s="1">
        <v>39310</v>
      </c>
      <c r="V9603" t="s">
        <v>89</v>
      </c>
      <c r="W9603" t="s">
        <v>90</v>
      </c>
      <c r="X9603" t="s">
        <v>58</v>
      </c>
      <c r="Y9603">
        <v>23</v>
      </c>
      <c r="Z9603" t="s">
        <v>59</v>
      </c>
      <c r="AA9603" t="s">
        <v>59</v>
      </c>
      <c r="AB9603" t="s">
        <v>59</v>
      </c>
      <c r="AC9603" t="s">
        <v>59</v>
      </c>
      <c r="AD9603" t="s">
        <v>59</v>
      </c>
      <c r="AF9603" s="1">
        <v>39328</v>
      </c>
      <c r="AG9603" t="s">
        <v>8645</v>
      </c>
      <c r="AH9603" t="s">
        <v>8646</v>
      </c>
      <c r="AI9603" t="str">
        <f>"9500175"</f>
        <v>9500175</v>
      </c>
      <c r="AJ9603" t="s">
        <v>14538</v>
      </c>
      <c r="AK9603">
        <v>2823041233</v>
      </c>
      <c r="AL9603" t="s">
        <v>14539</v>
      </c>
      <c r="AM9603" t="s">
        <v>88</v>
      </c>
      <c r="AN9603" t="s">
        <v>6824</v>
      </c>
      <c r="AO9603" t="s">
        <v>6870</v>
      </c>
      <c r="AP9603" t="s">
        <v>6871</v>
      </c>
      <c r="AQ9603">
        <v>11</v>
      </c>
      <c r="AR9603" t="s">
        <v>89</v>
      </c>
      <c r="AS9603" t="s">
        <v>90</v>
      </c>
      <c r="AT9603" t="s">
        <v>58</v>
      </c>
      <c r="AU9603" t="s">
        <v>68</v>
      </c>
      <c r="AV9603" t="s">
        <v>69</v>
      </c>
      <c r="AW9603" s="1">
        <v>30689</v>
      </c>
      <c r="AX9603">
        <v>1</v>
      </c>
    </row>
    <row r="9604" spans="1:50">
      <c r="A9604">
        <v>615978</v>
      </c>
      <c r="B9604" t="str">
        <f>"078044579"</f>
        <v>078044579</v>
      </c>
      <c r="C9604" t="s">
        <v>50</v>
      </c>
      <c r="D9604" t="s">
        <v>14540</v>
      </c>
      <c r="E9604" t="s">
        <v>181</v>
      </c>
      <c r="F9604" t="s">
        <v>14541</v>
      </c>
      <c r="G9604" t="s">
        <v>335</v>
      </c>
      <c r="H9604" t="str">
        <f>"Γ.ΠΑΠΑΝΔΡΕΟΥ 21 ΔΡΑΜΑ"</f>
        <v>Γ.ΠΑΠΑΝΔΡΕΟΥ 21 ΔΡΑΜΑ</v>
      </c>
      <c r="I9604">
        <v>66100</v>
      </c>
      <c r="J9604">
        <v>2521037028</v>
      </c>
      <c r="K9604">
        <v>6948525250</v>
      </c>
      <c r="L9604">
        <v>6946777397</v>
      </c>
      <c r="M9604" t="s">
        <v>14542</v>
      </c>
      <c r="N9604" t="s">
        <v>176</v>
      </c>
      <c r="O9604" t="s">
        <v>177</v>
      </c>
      <c r="R9604" t="s">
        <v>57</v>
      </c>
      <c r="S9604">
        <v>7</v>
      </c>
      <c r="T9604">
        <v>600</v>
      </c>
      <c r="U9604" s="1">
        <v>39310</v>
      </c>
      <c r="V9604" t="s">
        <v>89</v>
      </c>
      <c r="W9604" t="s">
        <v>90</v>
      </c>
      <c r="X9604" t="s">
        <v>58</v>
      </c>
      <c r="Y9604">
        <v>22</v>
      </c>
      <c r="Z9604" t="s">
        <v>59</v>
      </c>
      <c r="AA9604" t="s">
        <v>59</v>
      </c>
      <c r="AB9604" t="s">
        <v>59</v>
      </c>
      <c r="AC9604" t="s">
        <v>59</v>
      </c>
      <c r="AD9604" t="s">
        <v>59</v>
      </c>
      <c r="AF9604" s="1">
        <v>39328</v>
      </c>
      <c r="AG9604" t="s">
        <v>8645</v>
      </c>
      <c r="AH9604" t="s">
        <v>8646</v>
      </c>
      <c r="AI9604" t="str">
        <f>"9500024"</f>
        <v>9500024</v>
      </c>
      <c r="AJ9604" t="s">
        <v>13856</v>
      </c>
      <c r="AK9604">
        <v>2825041345</v>
      </c>
      <c r="AL9604" t="s">
        <v>13857</v>
      </c>
      <c r="AM9604" t="s">
        <v>88</v>
      </c>
      <c r="AN9604" t="s">
        <v>6775</v>
      </c>
      <c r="AO9604" t="s">
        <v>11883</v>
      </c>
      <c r="AP9604" t="s">
        <v>13858</v>
      </c>
      <c r="AQ9604">
        <v>7</v>
      </c>
      <c r="AR9604" t="s">
        <v>89</v>
      </c>
      <c r="AS9604" t="s">
        <v>90</v>
      </c>
      <c r="AT9604" t="s">
        <v>58</v>
      </c>
      <c r="AU9604" t="s">
        <v>68</v>
      </c>
      <c r="AV9604" t="s">
        <v>69</v>
      </c>
      <c r="AW9604" s="1">
        <v>25845</v>
      </c>
      <c r="AX9604">
        <v>1</v>
      </c>
    </row>
    <row r="9605" spans="1:50">
      <c r="B9605" t="str">
        <f>"125851293"</f>
        <v>125851293</v>
      </c>
      <c r="C9605" t="s">
        <v>50</v>
      </c>
      <c r="D9605" t="s">
        <v>14543</v>
      </c>
      <c r="E9605" t="s">
        <v>250</v>
      </c>
      <c r="F9605" t="s">
        <v>965</v>
      </c>
      <c r="G9605" t="s">
        <v>52</v>
      </c>
      <c r="H9605" t="str">
        <f>" "</f>
        <v xml:space="preserve"> </v>
      </c>
      <c r="N9605" t="s">
        <v>615</v>
      </c>
      <c r="O9605" t="s">
        <v>616</v>
      </c>
      <c r="R9605" t="s">
        <v>159</v>
      </c>
      <c r="S9605">
        <v>1</v>
      </c>
      <c r="T9605" t="s">
        <v>8717</v>
      </c>
      <c r="U9605" s="1">
        <v>43348</v>
      </c>
      <c r="V9605" t="s">
        <v>89</v>
      </c>
      <c r="W9605" t="s">
        <v>90</v>
      </c>
      <c r="X9605" t="s">
        <v>58</v>
      </c>
      <c r="Y9605">
        <v>24</v>
      </c>
      <c r="Z9605" t="s">
        <v>59</v>
      </c>
      <c r="AA9605" t="s">
        <v>59</v>
      </c>
      <c r="AB9605" t="s">
        <v>59</v>
      </c>
      <c r="AD9605" t="s">
        <v>59</v>
      </c>
      <c r="AF9605" s="1">
        <v>43348</v>
      </c>
      <c r="AG9605" t="s">
        <v>8645</v>
      </c>
      <c r="AH9605" t="s">
        <v>8646</v>
      </c>
      <c r="AI9605" t="str">
        <f>"9500189"</f>
        <v>9500189</v>
      </c>
      <c r="AJ9605" t="s">
        <v>14038</v>
      </c>
      <c r="AK9605">
        <v>2822022119</v>
      </c>
      <c r="AL9605" t="s">
        <v>14039</v>
      </c>
      <c r="AM9605" t="s">
        <v>88</v>
      </c>
      <c r="AN9605" t="s">
        <v>6744</v>
      </c>
      <c r="AO9605" t="s">
        <v>6744</v>
      </c>
      <c r="AP9605" t="s">
        <v>6744</v>
      </c>
      <c r="AQ9605">
        <v>9</v>
      </c>
      <c r="AR9605" t="s">
        <v>89</v>
      </c>
      <c r="AS9605" t="s">
        <v>90</v>
      </c>
      <c r="AT9605" t="s">
        <v>58</v>
      </c>
      <c r="AU9605" t="s">
        <v>8720</v>
      </c>
      <c r="AV9605" t="s">
        <v>132</v>
      </c>
      <c r="AW9605" s="1">
        <v>32761</v>
      </c>
      <c r="AX9605">
        <v>1</v>
      </c>
    </row>
    <row r="9606" spans="1:50">
      <c r="A9606">
        <v>219039</v>
      </c>
      <c r="B9606" t="str">
        <f>"077672039"</f>
        <v>077672039</v>
      </c>
      <c r="C9606" t="s">
        <v>50</v>
      </c>
      <c r="D9606" t="s">
        <v>1693</v>
      </c>
      <c r="E9606" t="s">
        <v>52</v>
      </c>
      <c r="F9606" t="s">
        <v>474</v>
      </c>
      <c r="G9606" t="s">
        <v>134</v>
      </c>
      <c r="H9606" t="str">
        <f>"ΓΙΑΜΠΟΥΔΑΚΗ 111 ΧΑΝΙΑ"</f>
        <v>ΓΙΑΜΠΟΥΔΑΚΗ 111 ΧΑΝΙΑ</v>
      </c>
      <c r="I9606">
        <v>73100</v>
      </c>
      <c r="J9606">
        <v>2821042667</v>
      </c>
      <c r="K9606">
        <v>6977974072</v>
      </c>
      <c r="M9606" t="s">
        <v>14544</v>
      </c>
      <c r="N9606" t="s">
        <v>478</v>
      </c>
      <c r="O9606" t="s">
        <v>479</v>
      </c>
      <c r="P9606" t="s">
        <v>836</v>
      </c>
      <c r="Q9606" t="s">
        <v>837</v>
      </c>
      <c r="R9606" t="s">
        <v>57</v>
      </c>
      <c r="S9606">
        <v>6</v>
      </c>
      <c r="T9606">
        <v>599</v>
      </c>
      <c r="U9606" s="1">
        <v>39310</v>
      </c>
      <c r="V9606" t="s">
        <v>89</v>
      </c>
      <c r="W9606" t="s">
        <v>90</v>
      </c>
      <c r="X9606" t="s">
        <v>58</v>
      </c>
      <c r="Y9606">
        <v>23</v>
      </c>
      <c r="Z9606" t="s">
        <v>59</v>
      </c>
      <c r="AA9606" t="s">
        <v>59</v>
      </c>
      <c r="AB9606" t="s">
        <v>59</v>
      </c>
      <c r="AC9606" t="s">
        <v>59</v>
      </c>
      <c r="AD9606" t="s">
        <v>59</v>
      </c>
      <c r="AF9606" s="1">
        <v>39328</v>
      </c>
      <c r="AG9606" t="s">
        <v>8645</v>
      </c>
      <c r="AH9606" t="s">
        <v>8646</v>
      </c>
      <c r="AI9606" t="str">
        <f>"9500075"</f>
        <v>9500075</v>
      </c>
      <c r="AJ9606" t="s">
        <v>13955</v>
      </c>
      <c r="AK9606">
        <v>2821046505</v>
      </c>
      <c r="AL9606" t="s">
        <v>13956</v>
      </c>
      <c r="AM9606" t="s">
        <v>88</v>
      </c>
      <c r="AN9606" t="s">
        <v>88</v>
      </c>
      <c r="AO9606" t="s">
        <v>88</v>
      </c>
      <c r="AP9606" t="s">
        <v>88</v>
      </c>
      <c r="AQ9606">
        <v>1</v>
      </c>
      <c r="AR9606" t="s">
        <v>89</v>
      </c>
      <c r="AS9606" t="s">
        <v>90</v>
      </c>
      <c r="AT9606" t="s">
        <v>58</v>
      </c>
      <c r="AU9606" t="s">
        <v>68</v>
      </c>
      <c r="AV9606" t="s">
        <v>132</v>
      </c>
      <c r="AW9606" s="1">
        <v>26041</v>
      </c>
      <c r="AX9606">
        <v>1</v>
      </c>
    </row>
    <row r="9607" spans="1:50">
      <c r="A9607">
        <v>619823</v>
      </c>
      <c r="B9607" t="str">
        <f>"078047300"</f>
        <v>078047300</v>
      </c>
      <c r="C9607" t="s">
        <v>50</v>
      </c>
      <c r="D9607" t="s">
        <v>1693</v>
      </c>
      <c r="E9607" t="s">
        <v>1157</v>
      </c>
      <c r="F9607" t="s">
        <v>474</v>
      </c>
      <c r="G9607" t="s">
        <v>134</v>
      </c>
      <c r="H9607" t="str">
        <f>"ΑΓΑΘ. ΝΙΝΟΛΑΚΗ 30 ΧΑΝΙΑ"</f>
        <v>ΑΓΑΘ. ΝΙΝΟΛΑΚΗ 30 ΧΑΝΙΑ</v>
      </c>
      <c r="I9607">
        <v>73100</v>
      </c>
      <c r="J9607">
        <v>2821091802</v>
      </c>
      <c r="K9607">
        <v>6977550618</v>
      </c>
      <c r="N9607" t="s">
        <v>176</v>
      </c>
      <c r="O9607" t="s">
        <v>177</v>
      </c>
      <c r="R9607" t="s">
        <v>57</v>
      </c>
      <c r="S9607">
        <v>7</v>
      </c>
      <c r="T9607">
        <v>775</v>
      </c>
      <c r="U9607" s="1">
        <v>39680</v>
      </c>
      <c r="V9607" t="s">
        <v>89</v>
      </c>
      <c r="W9607" t="s">
        <v>90</v>
      </c>
      <c r="X9607" t="s">
        <v>58</v>
      </c>
      <c r="Y9607">
        <v>23</v>
      </c>
      <c r="Z9607" t="s">
        <v>59</v>
      </c>
      <c r="AA9607" t="s">
        <v>59</v>
      </c>
      <c r="AB9607" t="s">
        <v>59</v>
      </c>
      <c r="AC9607" t="s">
        <v>59</v>
      </c>
      <c r="AD9607" t="s">
        <v>59</v>
      </c>
      <c r="AF9607" s="1">
        <v>39681</v>
      </c>
      <c r="AG9607" t="s">
        <v>8645</v>
      </c>
      <c r="AH9607" t="s">
        <v>8646</v>
      </c>
      <c r="AI9607" t="str">
        <f>"9500114"</f>
        <v>9500114</v>
      </c>
      <c r="AJ9607" t="s">
        <v>14013</v>
      </c>
      <c r="AK9607">
        <v>2821063458</v>
      </c>
      <c r="AL9607" t="s">
        <v>14014</v>
      </c>
      <c r="AM9607" t="s">
        <v>88</v>
      </c>
      <c r="AN9607" t="s">
        <v>88</v>
      </c>
      <c r="AO9607" t="s">
        <v>6770</v>
      </c>
      <c r="AP9607" t="s">
        <v>14015</v>
      </c>
      <c r="AQ9607">
        <v>2</v>
      </c>
      <c r="AR9607" t="s">
        <v>89</v>
      </c>
      <c r="AS9607" t="s">
        <v>90</v>
      </c>
      <c r="AT9607" t="s">
        <v>58</v>
      </c>
      <c r="AU9607" t="s">
        <v>68</v>
      </c>
      <c r="AV9607" t="s">
        <v>69</v>
      </c>
      <c r="AW9607" s="1">
        <v>26706</v>
      </c>
      <c r="AX9607">
        <v>1</v>
      </c>
    </row>
    <row r="9608" spans="1:50">
      <c r="B9608" t="str">
        <f>"149620172"</f>
        <v>149620172</v>
      </c>
      <c r="C9608" t="s">
        <v>50</v>
      </c>
      <c r="D9608" t="s">
        <v>14545</v>
      </c>
      <c r="E9608" t="s">
        <v>14546</v>
      </c>
      <c r="F9608" t="s">
        <v>72</v>
      </c>
      <c r="G9608" t="s">
        <v>52</v>
      </c>
      <c r="H9608" t="str">
        <f>"ΕΛΕΥΘΕΡΙΑΣ "</f>
        <v xml:space="preserve">ΕΛΕΥΘΕΡΙΑΣ </v>
      </c>
      <c r="I9608">
        <v>73100</v>
      </c>
      <c r="J9608">
        <v>2821031970</v>
      </c>
      <c r="K9608">
        <v>6970556956</v>
      </c>
      <c r="N9608" t="s">
        <v>615</v>
      </c>
      <c r="O9608" t="s">
        <v>616</v>
      </c>
      <c r="R9608" t="s">
        <v>159</v>
      </c>
      <c r="S9608">
        <v>3</v>
      </c>
      <c r="T9608" t="s">
        <v>8675</v>
      </c>
      <c r="U9608" s="1">
        <v>43348</v>
      </c>
      <c r="V9608" t="s">
        <v>89</v>
      </c>
      <c r="W9608" t="s">
        <v>90</v>
      </c>
      <c r="X9608" t="s">
        <v>58</v>
      </c>
      <c r="Y9608">
        <v>24</v>
      </c>
      <c r="Z9608" t="s">
        <v>59</v>
      </c>
      <c r="AA9608" t="s">
        <v>59</v>
      </c>
      <c r="AB9608" t="s">
        <v>59</v>
      </c>
      <c r="AC9608" t="s">
        <v>59</v>
      </c>
      <c r="AD9608" t="s">
        <v>59</v>
      </c>
      <c r="AF9608" s="1">
        <v>43348</v>
      </c>
      <c r="AG9608" t="s">
        <v>8645</v>
      </c>
      <c r="AH9608" t="s">
        <v>8646</v>
      </c>
      <c r="AI9608" t="str">
        <f>"9500205"</f>
        <v>9500205</v>
      </c>
      <c r="AJ9608" t="s">
        <v>13861</v>
      </c>
      <c r="AK9608">
        <v>2822031289</v>
      </c>
      <c r="AL9608" t="s">
        <v>13862</v>
      </c>
      <c r="AM9608" t="s">
        <v>88</v>
      </c>
      <c r="AN9608" t="s">
        <v>6744</v>
      </c>
      <c r="AO9608" t="s">
        <v>13863</v>
      </c>
      <c r="AP9608" t="s">
        <v>13864</v>
      </c>
      <c r="AQ9608">
        <v>9</v>
      </c>
      <c r="AR9608" t="s">
        <v>89</v>
      </c>
      <c r="AS9608" t="s">
        <v>90</v>
      </c>
      <c r="AT9608" t="s">
        <v>58</v>
      </c>
      <c r="AU9608" t="s">
        <v>8673</v>
      </c>
      <c r="AV9608" t="s">
        <v>132</v>
      </c>
      <c r="AW9608" s="1">
        <v>32114</v>
      </c>
      <c r="AX9608">
        <v>1</v>
      </c>
    </row>
    <row r="9609" spans="1:50">
      <c r="A9609">
        <v>702510</v>
      </c>
      <c r="B9609" t="str">
        <f>"135308869"</f>
        <v>135308869</v>
      </c>
      <c r="C9609" t="s">
        <v>50</v>
      </c>
      <c r="D9609" t="s">
        <v>14545</v>
      </c>
      <c r="E9609" t="s">
        <v>14547</v>
      </c>
      <c r="F9609" t="s">
        <v>670</v>
      </c>
      <c r="G9609" t="s">
        <v>396</v>
      </c>
      <c r="H9609" t="str">
        <f>"ΑΓΙΟΣ ΠΕΤΡΟΣ ΚΙΛΚΙΣ ΚΙΛΚΙΣ"</f>
        <v>ΑΓΙΟΣ ΠΕΤΡΟΣ ΚΙΛΚΙΣ ΚΙΛΚΙΣ</v>
      </c>
      <c r="I9609">
        <v>61007</v>
      </c>
      <c r="K9609">
        <v>6985791192</v>
      </c>
      <c r="N9609" t="s">
        <v>615</v>
      </c>
      <c r="O9609" t="s">
        <v>616</v>
      </c>
      <c r="R9609" t="s">
        <v>57</v>
      </c>
      <c r="S9609">
        <v>4</v>
      </c>
      <c r="T9609">
        <v>772</v>
      </c>
      <c r="U9609" s="1">
        <v>40413</v>
      </c>
      <c r="V9609" t="s">
        <v>89</v>
      </c>
      <c r="W9609" t="s">
        <v>90</v>
      </c>
      <c r="X9609" t="s">
        <v>58</v>
      </c>
      <c r="Y9609">
        <v>24</v>
      </c>
      <c r="Z9609" t="s">
        <v>59</v>
      </c>
      <c r="AA9609" t="s">
        <v>59</v>
      </c>
      <c r="AB9609" t="s">
        <v>59</v>
      </c>
      <c r="AC9609" t="s">
        <v>59</v>
      </c>
      <c r="AD9609" t="s">
        <v>59</v>
      </c>
      <c r="AF9609" s="1">
        <v>40413</v>
      </c>
      <c r="AG9609" t="s">
        <v>8645</v>
      </c>
      <c r="AH9609" t="s">
        <v>8646</v>
      </c>
      <c r="AI9609" t="str">
        <f>"9500360"</f>
        <v>9500360</v>
      </c>
      <c r="AJ9609" t="s">
        <v>14022</v>
      </c>
      <c r="AK9609">
        <v>2821031253</v>
      </c>
      <c r="AL9609" t="s">
        <v>14023</v>
      </c>
      <c r="AM9609" t="s">
        <v>88</v>
      </c>
      <c r="AN9609" t="s">
        <v>88</v>
      </c>
      <c r="AO9609" t="s">
        <v>6785</v>
      </c>
      <c r="AP9609" t="s">
        <v>13932</v>
      </c>
      <c r="AQ9609">
        <v>3</v>
      </c>
      <c r="AR9609" t="s">
        <v>89</v>
      </c>
      <c r="AS9609" t="s">
        <v>90</v>
      </c>
      <c r="AT9609" t="s">
        <v>58</v>
      </c>
      <c r="AU9609" t="s">
        <v>68</v>
      </c>
      <c r="AV9609" t="s">
        <v>69</v>
      </c>
      <c r="AW9609" s="1">
        <v>31725</v>
      </c>
      <c r="AX9609">
        <v>1</v>
      </c>
    </row>
    <row r="9610" spans="1:50">
      <c r="A9610">
        <v>617052</v>
      </c>
      <c r="B9610" t="str">
        <f>"122703057"</f>
        <v>122703057</v>
      </c>
      <c r="C9610" t="s">
        <v>50</v>
      </c>
      <c r="D9610" t="s">
        <v>14548</v>
      </c>
      <c r="E9610" t="s">
        <v>922</v>
      </c>
      <c r="F9610" t="s">
        <v>154</v>
      </c>
      <c r="G9610" t="s">
        <v>314</v>
      </c>
      <c r="H9610" t="str">
        <f>" "</f>
        <v xml:space="preserve"> </v>
      </c>
      <c r="J9610">
        <v>2331063246</v>
      </c>
      <c r="K9610">
        <v>6975906236</v>
      </c>
      <c r="N9610" t="s">
        <v>615</v>
      </c>
      <c r="O9610" t="s">
        <v>616</v>
      </c>
      <c r="R9610" t="s">
        <v>57</v>
      </c>
      <c r="S9610">
        <v>6</v>
      </c>
      <c r="T9610">
        <v>774</v>
      </c>
      <c r="U9610" s="1">
        <v>39680</v>
      </c>
      <c r="V9610" t="s">
        <v>89</v>
      </c>
      <c r="W9610" t="s">
        <v>90</v>
      </c>
      <c r="X9610" t="s">
        <v>58</v>
      </c>
      <c r="Y9610">
        <v>23</v>
      </c>
      <c r="Z9610" t="s">
        <v>59</v>
      </c>
      <c r="AA9610" t="s">
        <v>59</v>
      </c>
      <c r="AB9610" t="s">
        <v>59</v>
      </c>
      <c r="AC9610" t="s">
        <v>59</v>
      </c>
      <c r="AD9610" t="s">
        <v>59</v>
      </c>
      <c r="AF9610" s="1">
        <v>39681</v>
      </c>
      <c r="AG9610" t="s">
        <v>8645</v>
      </c>
      <c r="AH9610" t="s">
        <v>8646</v>
      </c>
      <c r="AI9610" t="str">
        <f>"9500407"</f>
        <v>9500407</v>
      </c>
      <c r="AJ9610" t="s">
        <v>13867</v>
      </c>
      <c r="AK9610">
        <v>2821089224</v>
      </c>
      <c r="AL9610" t="s">
        <v>13868</v>
      </c>
      <c r="AM9610" t="s">
        <v>88</v>
      </c>
      <c r="AN9610" t="s">
        <v>88</v>
      </c>
      <c r="AO9610" t="s">
        <v>6748</v>
      </c>
      <c r="AP9610" t="s">
        <v>6748</v>
      </c>
      <c r="AQ9610">
        <v>2</v>
      </c>
      <c r="AR9610" t="s">
        <v>89</v>
      </c>
      <c r="AS9610" t="s">
        <v>90</v>
      </c>
      <c r="AT9610" t="s">
        <v>58</v>
      </c>
      <c r="AU9610" t="s">
        <v>68</v>
      </c>
      <c r="AV9610" t="s">
        <v>69</v>
      </c>
      <c r="AW9610" s="1">
        <v>30519</v>
      </c>
      <c r="AX9610">
        <v>1</v>
      </c>
    </row>
    <row r="9611" spans="1:50">
      <c r="A9611">
        <v>555654</v>
      </c>
      <c r="B9611" t="str">
        <f>"027382300"</f>
        <v>027382300</v>
      </c>
      <c r="C9611" t="s">
        <v>105</v>
      </c>
      <c r="D9611" t="s">
        <v>14549</v>
      </c>
      <c r="E9611" t="s">
        <v>95</v>
      </c>
      <c r="F9611" t="s">
        <v>106</v>
      </c>
      <c r="G9611" t="s">
        <v>109</v>
      </c>
      <c r="H9611" t="str">
        <f>"Π. ΦΙΩΤΑΚΗ 9 ΧΑΝΙΑ"</f>
        <v>Π. ΦΙΩΤΑΚΗ 9 ΧΑΝΙΑ</v>
      </c>
      <c r="I9611">
        <v>73134</v>
      </c>
      <c r="J9611">
        <v>2821054347</v>
      </c>
      <c r="K9611">
        <v>6977010512</v>
      </c>
      <c r="L9611">
        <v>2824091230</v>
      </c>
      <c r="M9611" t="s">
        <v>14550</v>
      </c>
      <c r="N9611" t="s">
        <v>615</v>
      </c>
      <c r="O9611" t="s">
        <v>616</v>
      </c>
      <c r="R9611" t="s">
        <v>57</v>
      </c>
      <c r="S9611">
        <v>16</v>
      </c>
      <c r="T9611">
        <v>200</v>
      </c>
      <c r="U9611" s="1">
        <v>31657</v>
      </c>
      <c r="V9611" t="s">
        <v>89</v>
      </c>
      <c r="W9611" t="s">
        <v>90</v>
      </c>
      <c r="X9611" t="s">
        <v>58</v>
      </c>
      <c r="Y9611">
        <v>21</v>
      </c>
      <c r="Z9611" t="s">
        <v>59</v>
      </c>
      <c r="AA9611" t="s">
        <v>59</v>
      </c>
      <c r="AB9611" t="s">
        <v>59</v>
      </c>
      <c r="AC9611" t="s">
        <v>59</v>
      </c>
      <c r="AD9611" t="s">
        <v>59</v>
      </c>
      <c r="AF9611" s="1">
        <v>31664</v>
      </c>
      <c r="AG9611" t="s">
        <v>8645</v>
      </c>
      <c r="AH9611" t="s">
        <v>8646</v>
      </c>
      <c r="AI9611" t="str">
        <f>"9500315"</f>
        <v>9500315</v>
      </c>
      <c r="AJ9611" t="s">
        <v>14174</v>
      </c>
      <c r="AK9611">
        <v>2821040565</v>
      </c>
      <c r="AL9611" t="s">
        <v>14175</v>
      </c>
      <c r="AM9611" t="s">
        <v>88</v>
      </c>
      <c r="AN9611" t="s">
        <v>88</v>
      </c>
      <c r="AO9611" t="s">
        <v>88</v>
      </c>
      <c r="AP9611" t="s">
        <v>88</v>
      </c>
      <c r="AQ9611">
        <v>1</v>
      </c>
      <c r="AR9611" t="s">
        <v>89</v>
      </c>
      <c r="AS9611" t="s">
        <v>90</v>
      </c>
      <c r="AT9611" t="s">
        <v>58</v>
      </c>
      <c r="AU9611" t="s">
        <v>68</v>
      </c>
      <c r="AV9611" t="s">
        <v>69</v>
      </c>
      <c r="AW9611" s="1">
        <v>23124</v>
      </c>
      <c r="AX9611">
        <v>1</v>
      </c>
    </row>
    <row r="9612" spans="1:50">
      <c r="B9612" t="str">
        <f>"151561629"</f>
        <v>151561629</v>
      </c>
      <c r="C9612" t="s">
        <v>105</v>
      </c>
      <c r="D9612" t="s">
        <v>14549</v>
      </c>
      <c r="E9612" t="s">
        <v>202</v>
      </c>
      <c r="F9612" t="s">
        <v>154</v>
      </c>
      <c r="G9612" t="s">
        <v>2719</v>
      </c>
      <c r="H9612" t="str">
        <f>"ΣΥΡΙΛΙ ΠΛΑΤΑΝΙΑ "</f>
        <v xml:space="preserve">ΣΥΡΙΛΙ ΠΛΑΤΑΝΙΑ </v>
      </c>
      <c r="I9612">
        <v>73002</v>
      </c>
      <c r="J9612">
        <v>2824031504</v>
      </c>
      <c r="K9612">
        <v>6987288127</v>
      </c>
      <c r="N9612" t="s">
        <v>615</v>
      </c>
      <c r="O9612" t="s">
        <v>616</v>
      </c>
      <c r="R9612" t="s">
        <v>159</v>
      </c>
      <c r="S9612">
        <v>2</v>
      </c>
      <c r="T9612" t="s">
        <v>8675</v>
      </c>
      <c r="U9612" s="1">
        <v>43348</v>
      </c>
      <c r="V9612" t="s">
        <v>89</v>
      </c>
      <c r="W9612" t="s">
        <v>90</v>
      </c>
      <c r="X9612" t="s">
        <v>58</v>
      </c>
      <c r="Y9612">
        <v>24</v>
      </c>
      <c r="Z9612" t="s">
        <v>59</v>
      </c>
      <c r="AA9612" t="s">
        <v>59</v>
      </c>
      <c r="AB9612" t="s">
        <v>59</v>
      </c>
      <c r="AC9612" t="s">
        <v>59</v>
      </c>
      <c r="AD9612" t="s">
        <v>59</v>
      </c>
      <c r="AF9612" s="1">
        <v>43348</v>
      </c>
      <c r="AG9612" t="s">
        <v>8645</v>
      </c>
      <c r="AH9612" t="s">
        <v>8646</v>
      </c>
      <c r="AI9612" t="str">
        <f>"9500320"</f>
        <v>9500320</v>
      </c>
      <c r="AJ9612" t="s">
        <v>14100</v>
      </c>
      <c r="AK9612">
        <v>2821099577</v>
      </c>
      <c r="AL9612" t="s">
        <v>14101</v>
      </c>
      <c r="AM9612" t="s">
        <v>88</v>
      </c>
      <c r="AN9612" t="s">
        <v>88</v>
      </c>
      <c r="AO9612" t="s">
        <v>88</v>
      </c>
      <c r="AP9612" t="s">
        <v>88</v>
      </c>
      <c r="AQ9612">
        <v>1</v>
      </c>
      <c r="AR9612" t="s">
        <v>89</v>
      </c>
      <c r="AS9612" t="s">
        <v>90</v>
      </c>
      <c r="AT9612" t="s">
        <v>58</v>
      </c>
      <c r="AU9612" t="s">
        <v>8673</v>
      </c>
      <c r="AV9612" t="s">
        <v>132</v>
      </c>
      <c r="AW9612" s="1">
        <v>32319</v>
      </c>
      <c r="AX9612">
        <v>1</v>
      </c>
    </row>
    <row r="9613" spans="1:50">
      <c r="B9613" t="str">
        <f>"147324953"</f>
        <v>147324953</v>
      </c>
      <c r="C9613" t="s">
        <v>50</v>
      </c>
      <c r="D9613" t="s">
        <v>14551</v>
      </c>
      <c r="E9613" t="s">
        <v>2546</v>
      </c>
      <c r="F9613" t="s">
        <v>609</v>
      </c>
      <c r="G9613" t="s">
        <v>1068</v>
      </c>
      <c r="H9613" t="str">
        <f>"ΚΑΛΛΙΓΑ 8 "</f>
        <v xml:space="preserve">ΚΑΛΛΙΓΑ 8 </v>
      </c>
      <c r="I9613">
        <v>54645</v>
      </c>
      <c r="J9613">
        <v>2310822037</v>
      </c>
      <c r="K9613">
        <v>6947203517</v>
      </c>
      <c r="N9613" t="s">
        <v>1525</v>
      </c>
      <c r="O9613" t="s">
        <v>1526</v>
      </c>
      <c r="R9613" t="s">
        <v>159</v>
      </c>
      <c r="S9613">
        <v>2</v>
      </c>
      <c r="T9613" t="s">
        <v>8670</v>
      </c>
      <c r="U9613" s="1">
        <v>43348</v>
      </c>
      <c r="V9613" t="s">
        <v>89</v>
      </c>
      <c r="W9613" t="s">
        <v>90</v>
      </c>
      <c r="X9613" t="s">
        <v>58</v>
      </c>
      <c r="Y9613">
        <v>25</v>
      </c>
      <c r="Z9613" t="s">
        <v>59</v>
      </c>
      <c r="AA9613" t="s">
        <v>59</v>
      </c>
      <c r="AB9613" t="s">
        <v>59</v>
      </c>
      <c r="AC9613" t="s">
        <v>59</v>
      </c>
      <c r="AD9613" t="s">
        <v>59</v>
      </c>
      <c r="AF9613" s="1">
        <v>43348</v>
      </c>
      <c r="AG9613" t="s">
        <v>8651</v>
      </c>
      <c r="AH9613" t="s">
        <v>8652</v>
      </c>
      <c r="AI9613" t="str">
        <f>"9500289"</f>
        <v>9500289</v>
      </c>
      <c r="AJ9613" t="s">
        <v>14552</v>
      </c>
      <c r="AK9613">
        <v>2825096381</v>
      </c>
      <c r="AL9613" t="s">
        <v>14553</v>
      </c>
      <c r="AM9613" t="s">
        <v>88</v>
      </c>
      <c r="AN9613" t="s">
        <v>6775</v>
      </c>
      <c r="AO9613" t="s">
        <v>13929</v>
      </c>
      <c r="AP9613" t="s">
        <v>14056</v>
      </c>
      <c r="AQ9613">
        <v>8</v>
      </c>
      <c r="AR9613" t="s">
        <v>89</v>
      </c>
      <c r="AS9613" t="s">
        <v>90</v>
      </c>
      <c r="AT9613" t="s">
        <v>58</v>
      </c>
      <c r="AU9613" t="s">
        <v>8673</v>
      </c>
      <c r="AV9613" t="s">
        <v>132</v>
      </c>
      <c r="AW9613" s="1">
        <v>31685</v>
      </c>
      <c r="AX9613">
        <v>1</v>
      </c>
    </row>
    <row r="9614" spans="1:50">
      <c r="B9614" t="str">
        <f>"144767598"</f>
        <v>144767598</v>
      </c>
      <c r="C9614" t="s">
        <v>50</v>
      </c>
      <c r="D9614" t="s">
        <v>14554</v>
      </c>
      <c r="E9614" t="s">
        <v>366</v>
      </c>
      <c r="F9614" t="s">
        <v>5642</v>
      </c>
      <c r="G9614" t="s">
        <v>143</v>
      </c>
      <c r="H9614" t="str">
        <f>"ΚΟΥΝΤΟΥΡΙΩΤΟΥ 18 "</f>
        <v xml:space="preserve">ΚΟΥΝΤΟΥΡΙΩΤΟΥ 18 </v>
      </c>
      <c r="I9614">
        <v>18451</v>
      </c>
      <c r="J9614">
        <v>2104910355</v>
      </c>
      <c r="K9614">
        <v>6983028353</v>
      </c>
      <c r="N9614" t="s">
        <v>1525</v>
      </c>
      <c r="O9614" t="s">
        <v>1526</v>
      </c>
      <c r="R9614" t="s">
        <v>159</v>
      </c>
      <c r="S9614">
        <v>2</v>
      </c>
      <c r="T9614" t="s">
        <v>8670</v>
      </c>
      <c r="U9614" s="1">
        <v>43348</v>
      </c>
      <c r="V9614" t="s">
        <v>89</v>
      </c>
      <c r="W9614" t="s">
        <v>90</v>
      </c>
      <c r="X9614" t="s">
        <v>58</v>
      </c>
      <c r="Y9614">
        <v>25</v>
      </c>
      <c r="Z9614" t="s">
        <v>59</v>
      </c>
      <c r="AA9614" t="s">
        <v>59</v>
      </c>
      <c r="AB9614" t="s">
        <v>59</v>
      </c>
      <c r="AC9614" t="s">
        <v>59</v>
      </c>
      <c r="AD9614" t="s">
        <v>59</v>
      </c>
      <c r="AF9614" s="1">
        <v>43348</v>
      </c>
      <c r="AG9614" t="s">
        <v>8651</v>
      </c>
      <c r="AH9614" t="s">
        <v>8652</v>
      </c>
      <c r="AI9614" t="str">
        <f>"9500312"</f>
        <v>9500312</v>
      </c>
      <c r="AJ9614" t="s">
        <v>14524</v>
      </c>
      <c r="AK9614">
        <v>2822023924</v>
      </c>
      <c r="AL9614" t="s">
        <v>14525</v>
      </c>
      <c r="AM9614" t="s">
        <v>88</v>
      </c>
      <c r="AN9614" t="s">
        <v>6744</v>
      </c>
      <c r="AO9614" t="s">
        <v>6744</v>
      </c>
      <c r="AP9614" t="s">
        <v>14526</v>
      </c>
      <c r="AQ9614">
        <v>9</v>
      </c>
      <c r="AR9614" t="s">
        <v>89</v>
      </c>
      <c r="AS9614" t="s">
        <v>90</v>
      </c>
      <c r="AT9614" t="s">
        <v>58</v>
      </c>
      <c r="AU9614" t="s">
        <v>8673</v>
      </c>
      <c r="AV9614" t="s">
        <v>132</v>
      </c>
      <c r="AW9614" s="1">
        <v>31062</v>
      </c>
      <c r="AX9614">
        <v>1</v>
      </c>
    </row>
    <row r="9615" spans="1:50">
      <c r="A9615">
        <v>617824</v>
      </c>
      <c r="B9615" t="str">
        <f>"123233839"</f>
        <v>123233839</v>
      </c>
      <c r="C9615" t="s">
        <v>50</v>
      </c>
      <c r="D9615" t="s">
        <v>9890</v>
      </c>
      <c r="E9615" t="s">
        <v>52</v>
      </c>
      <c r="F9615" t="s">
        <v>53</v>
      </c>
      <c r="G9615" t="s">
        <v>263</v>
      </c>
      <c r="H9615" t="str">
        <f>"ΟΙΚΙΣΜΟΣ ΝΑΥΣΤΑΘΜΟΥ ΚΡΗΤΗΣ ΧΑΝΙΑ"</f>
        <v>ΟΙΚΙΣΜΟΣ ΝΑΥΣΤΑΘΜΟΥ ΚΡΗΤΗΣ ΧΑΝΙΑ</v>
      </c>
      <c r="I9615">
        <v>73200</v>
      </c>
      <c r="J9615">
        <v>2821082660</v>
      </c>
      <c r="K9615">
        <v>6956032839</v>
      </c>
      <c r="M9615" t="s">
        <v>14555</v>
      </c>
      <c r="N9615" t="s">
        <v>615</v>
      </c>
      <c r="O9615" t="s">
        <v>616</v>
      </c>
      <c r="R9615" t="s">
        <v>57</v>
      </c>
      <c r="S9615">
        <v>5</v>
      </c>
      <c r="T9615">
        <v>774</v>
      </c>
      <c r="U9615" s="1">
        <v>39680</v>
      </c>
      <c r="V9615" t="s">
        <v>89</v>
      </c>
      <c r="W9615" t="s">
        <v>90</v>
      </c>
      <c r="X9615" t="s">
        <v>58</v>
      </c>
      <c r="Y9615">
        <v>23</v>
      </c>
      <c r="Z9615" t="s">
        <v>59</v>
      </c>
      <c r="AA9615" t="s">
        <v>59</v>
      </c>
      <c r="AB9615" t="s">
        <v>59</v>
      </c>
      <c r="AC9615" t="s">
        <v>59</v>
      </c>
      <c r="AD9615" t="s">
        <v>59</v>
      </c>
      <c r="AF9615" s="1">
        <v>39680</v>
      </c>
      <c r="AG9615" t="s">
        <v>8645</v>
      </c>
      <c r="AH9615" t="s">
        <v>8646</v>
      </c>
      <c r="AI9615" t="str">
        <f>"9500115"</f>
        <v>9500115</v>
      </c>
      <c r="AJ9615" t="s">
        <v>14180</v>
      </c>
      <c r="AK9615">
        <v>2821081133</v>
      </c>
      <c r="AL9615" t="s">
        <v>14181</v>
      </c>
      <c r="AM9615" t="s">
        <v>88</v>
      </c>
      <c r="AN9615" t="s">
        <v>88</v>
      </c>
      <c r="AO9615" t="s">
        <v>6748</v>
      </c>
      <c r="AP9615" t="s">
        <v>14182</v>
      </c>
      <c r="AQ9615">
        <v>2</v>
      </c>
      <c r="AR9615" t="s">
        <v>89</v>
      </c>
      <c r="AS9615" t="s">
        <v>90</v>
      </c>
      <c r="AT9615" t="s">
        <v>58</v>
      </c>
      <c r="AU9615" t="s">
        <v>68</v>
      </c>
      <c r="AV9615" t="s">
        <v>69</v>
      </c>
      <c r="AW9615" s="1">
        <v>30442</v>
      </c>
      <c r="AX9615">
        <v>1</v>
      </c>
    </row>
    <row r="9616" spans="1:50">
      <c r="B9616" t="str">
        <f>"037368404"</f>
        <v>037368404</v>
      </c>
      <c r="C9616" t="s">
        <v>50</v>
      </c>
      <c r="D9616" t="s">
        <v>14556</v>
      </c>
      <c r="E9616" t="s">
        <v>580</v>
      </c>
      <c r="F9616" t="s">
        <v>99</v>
      </c>
      <c r="G9616" t="s">
        <v>476</v>
      </c>
      <c r="H9616" t="str">
        <f>"ΚΩΝ/ΠΟΛΕΩΣ ΚΑΙ ΠΟΛΕΝΤΑ 75 "</f>
        <v xml:space="preserve">ΚΩΝ/ΠΟΛΕΩΣ ΚΑΙ ΠΟΛΕΝΤΑ 75 </v>
      </c>
      <c r="I9616">
        <v>73136</v>
      </c>
      <c r="K9616">
        <v>6945957373</v>
      </c>
      <c r="N9616" t="s">
        <v>1525</v>
      </c>
      <c r="O9616" t="s">
        <v>1526</v>
      </c>
      <c r="R9616" t="s">
        <v>159</v>
      </c>
      <c r="S9616">
        <v>3</v>
      </c>
      <c r="T9616" t="s">
        <v>8670</v>
      </c>
      <c r="U9616" s="1">
        <v>43348</v>
      </c>
      <c r="V9616" t="s">
        <v>89</v>
      </c>
      <c r="W9616" t="s">
        <v>90</v>
      </c>
      <c r="X9616" t="s">
        <v>58</v>
      </c>
      <c r="Y9616">
        <v>25</v>
      </c>
      <c r="Z9616" t="s">
        <v>59</v>
      </c>
      <c r="AA9616" t="s">
        <v>59</v>
      </c>
      <c r="AB9616" t="s">
        <v>59</v>
      </c>
      <c r="AC9616" t="s">
        <v>59</v>
      </c>
      <c r="AD9616" t="s">
        <v>59</v>
      </c>
      <c r="AF9616" s="1">
        <v>43348</v>
      </c>
      <c r="AG9616" t="s">
        <v>8651</v>
      </c>
      <c r="AH9616" t="s">
        <v>8652</v>
      </c>
      <c r="AI9616" t="str">
        <f>"9500127"</f>
        <v>9500127</v>
      </c>
      <c r="AJ9616" t="s">
        <v>13962</v>
      </c>
      <c r="AK9616">
        <v>2824031321</v>
      </c>
      <c r="AL9616" t="s">
        <v>13963</v>
      </c>
      <c r="AM9616" t="s">
        <v>88</v>
      </c>
      <c r="AN9616" t="s">
        <v>6764</v>
      </c>
      <c r="AO9616" t="s">
        <v>6765</v>
      </c>
      <c r="AP9616" t="s">
        <v>6765</v>
      </c>
      <c r="AQ9616">
        <v>6</v>
      </c>
      <c r="AR9616" t="s">
        <v>89</v>
      </c>
      <c r="AS9616" t="s">
        <v>90</v>
      </c>
      <c r="AT9616" t="s">
        <v>58</v>
      </c>
      <c r="AU9616" t="s">
        <v>8673</v>
      </c>
      <c r="AV9616" t="s">
        <v>132</v>
      </c>
      <c r="AW9616" s="1">
        <v>25410</v>
      </c>
      <c r="AX9616">
        <v>1</v>
      </c>
    </row>
    <row r="9617" spans="1:50">
      <c r="A9617">
        <v>611041</v>
      </c>
      <c r="B9617" t="str">
        <f>"119138563"</f>
        <v>119138563</v>
      </c>
      <c r="C9617" t="s">
        <v>50</v>
      </c>
      <c r="D9617" t="s">
        <v>14557</v>
      </c>
      <c r="E9617" t="s">
        <v>14558</v>
      </c>
      <c r="F9617" t="s">
        <v>106</v>
      </c>
      <c r="G9617" t="s">
        <v>650</v>
      </c>
      <c r="H9617" t="str">
        <f>"ΓΕΩΡΓΙΑΚΑΚΗΔΩΝ 31 ΧΑΝΙΑ"</f>
        <v>ΓΕΩΡΓΙΑΚΑΚΗΔΩΝ 31 ΧΑΝΙΑ</v>
      </c>
      <c r="I9617">
        <v>73100</v>
      </c>
      <c r="J9617">
        <v>2821112524</v>
      </c>
      <c r="K9617">
        <v>6945235954</v>
      </c>
      <c r="N9617" t="s">
        <v>615</v>
      </c>
      <c r="O9617" t="s">
        <v>616</v>
      </c>
      <c r="R9617" t="s">
        <v>57</v>
      </c>
      <c r="S9617">
        <v>6</v>
      </c>
      <c r="T9617">
        <v>233</v>
      </c>
      <c r="U9617" s="1">
        <v>38960</v>
      </c>
      <c r="V9617" t="s">
        <v>89</v>
      </c>
      <c r="W9617" t="s">
        <v>90</v>
      </c>
      <c r="X9617" t="s">
        <v>58</v>
      </c>
      <c r="Y9617">
        <v>23</v>
      </c>
      <c r="Z9617" t="s">
        <v>59</v>
      </c>
      <c r="AA9617" t="s">
        <v>59</v>
      </c>
      <c r="AB9617" t="s">
        <v>59</v>
      </c>
      <c r="AC9617" t="s">
        <v>59</v>
      </c>
      <c r="AD9617" t="s">
        <v>59</v>
      </c>
      <c r="AF9617" s="1">
        <v>38961</v>
      </c>
      <c r="AG9617" t="s">
        <v>8645</v>
      </c>
      <c r="AH9617" t="s">
        <v>8646</v>
      </c>
      <c r="AI9617" t="str">
        <f>"9500403"</f>
        <v>9500403</v>
      </c>
      <c r="AJ9617" t="s">
        <v>14230</v>
      </c>
      <c r="AK9617">
        <v>2821034094</v>
      </c>
      <c r="AL9617" t="s">
        <v>14231</v>
      </c>
      <c r="AM9617" t="s">
        <v>88</v>
      </c>
      <c r="AN9617" t="s">
        <v>88</v>
      </c>
      <c r="AO9617" t="s">
        <v>6785</v>
      </c>
      <c r="AP9617" t="s">
        <v>13932</v>
      </c>
      <c r="AQ9617">
        <v>3</v>
      </c>
      <c r="AR9617" t="s">
        <v>89</v>
      </c>
      <c r="AS9617" t="s">
        <v>90</v>
      </c>
      <c r="AT9617" t="s">
        <v>58</v>
      </c>
      <c r="AU9617" t="s">
        <v>68</v>
      </c>
      <c r="AV9617" t="s">
        <v>69</v>
      </c>
      <c r="AW9617" s="1">
        <v>30158</v>
      </c>
      <c r="AX9617">
        <v>1</v>
      </c>
    </row>
    <row r="9618" spans="1:50">
      <c r="B9618" t="str">
        <f>"110356365"</f>
        <v>110356365</v>
      </c>
      <c r="C9618" t="s">
        <v>50</v>
      </c>
      <c r="D9618" t="s">
        <v>14559</v>
      </c>
      <c r="E9618" t="s">
        <v>109</v>
      </c>
      <c r="F9618" t="s">
        <v>99</v>
      </c>
      <c r="G9618" t="s">
        <v>2719</v>
      </c>
      <c r="H9618" t="str">
        <f>"Ν.ΠΛΑΣΤΗΡΑ 67 ΣΗΤΕΙΑ"</f>
        <v>Ν.ΠΛΑΣΤΗΡΑ 67 ΣΗΤΕΙΑ</v>
      </c>
      <c r="I9618">
        <v>72300</v>
      </c>
      <c r="J9618">
        <v>2843023092</v>
      </c>
      <c r="K9618">
        <v>6942493463</v>
      </c>
      <c r="N9618" t="s">
        <v>306</v>
      </c>
      <c r="O9618" t="s">
        <v>307</v>
      </c>
      <c r="R9618" t="s">
        <v>159</v>
      </c>
      <c r="S9618">
        <v>4</v>
      </c>
      <c r="T9618" t="s">
        <v>8675</v>
      </c>
      <c r="U9618" s="1">
        <v>43348</v>
      </c>
      <c r="V9618" t="s">
        <v>89</v>
      </c>
      <c r="W9618" t="s">
        <v>90</v>
      </c>
      <c r="X9618" t="s">
        <v>58</v>
      </c>
      <c r="Y9618">
        <v>24</v>
      </c>
      <c r="Z9618" t="s">
        <v>59</v>
      </c>
      <c r="AA9618" t="s">
        <v>59</v>
      </c>
      <c r="AB9618" t="s">
        <v>59</v>
      </c>
      <c r="AC9618" t="s">
        <v>59</v>
      </c>
      <c r="AD9618" t="s">
        <v>59</v>
      </c>
      <c r="AF9618" s="1">
        <v>43348</v>
      </c>
      <c r="AG9618" t="s">
        <v>8645</v>
      </c>
      <c r="AH9618" t="s">
        <v>8646</v>
      </c>
      <c r="AI9618" t="str">
        <f>"9500024"</f>
        <v>9500024</v>
      </c>
      <c r="AJ9618" t="s">
        <v>13856</v>
      </c>
      <c r="AK9618">
        <v>2825041345</v>
      </c>
      <c r="AL9618" t="s">
        <v>13857</v>
      </c>
      <c r="AM9618" t="s">
        <v>88</v>
      </c>
      <c r="AN9618" t="s">
        <v>6775</v>
      </c>
      <c r="AO9618" t="s">
        <v>11883</v>
      </c>
      <c r="AP9618" t="s">
        <v>13858</v>
      </c>
      <c r="AQ9618">
        <v>7</v>
      </c>
      <c r="AR9618" t="s">
        <v>89</v>
      </c>
      <c r="AS9618" t="s">
        <v>90</v>
      </c>
      <c r="AT9618" t="s">
        <v>58</v>
      </c>
      <c r="AU9618" t="s">
        <v>8673</v>
      </c>
      <c r="AV9618" t="s">
        <v>132</v>
      </c>
      <c r="AW9618" s="1">
        <v>30151</v>
      </c>
      <c r="AX9618">
        <v>1</v>
      </c>
    </row>
    <row r="9619" spans="1:50">
      <c r="A9619">
        <v>562543</v>
      </c>
      <c r="B9619" t="str">
        <f>"031325386"</f>
        <v>031325386</v>
      </c>
      <c r="C9619" t="s">
        <v>105</v>
      </c>
      <c r="D9619" t="s">
        <v>1726</v>
      </c>
      <c r="E9619" t="s">
        <v>72</v>
      </c>
      <c r="F9619" t="s">
        <v>936</v>
      </c>
      <c r="G9619" t="s">
        <v>1727</v>
      </c>
      <c r="H9619" t="str">
        <f>"Μ. ΜΕΤΑΞΑΚΗ 32 ΧΑΝΙΑ"</f>
        <v>Μ. ΜΕΤΑΞΑΚΗ 32 ΧΑΝΙΑ</v>
      </c>
      <c r="I9619">
        <v>73100</v>
      </c>
      <c r="J9619">
        <v>2821075165</v>
      </c>
      <c r="K9619">
        <v>6948402054</v>
      </c>
      <c r="N9619" t="s">
        <v>615</v>
      </c>
      <c r="O9619" t="s">
        <v>616</v>
      </c>
      <c r="R9619" t="s">
        <v>57</v>
      </c>
      <c r="S9619">
        <v>15</v>
      </c>
      <c r="T9619">
        <v>187</v>
      </c>
      <c r="U9619" s="1">
        <v>32750</v>
      </c>
      <c r="V9619" t="s">
        <v>89</v>
      </c>
      <c r="W9619" t="s">
        <v>90</v>
      </c>
      <c r="X9619" t="s">
        <v>58</v>
      </c>
      <c r="Y9619">
        <v>21</v>
      </c>
      <c r="Z9619" t="s">
        <v>59</v>
      </c>
      <c r="AA9619" t="s">
        <v>59</v>
      </c>
      <c r="AB9619" t="s">
        <v>59</v>
      </c>
      <c r="AC9619" t="s">
        <v>59</v>
      </c>
      <c r="AD9619" t="s">
        <v>59</v>
      </c>
      <c r="AF9619" s="1">
        <v>32750</v>
      </c>
      <c r="AG9619" t="s">
        <v>8645</v>
      </c>
      <c r="AH9619" t="s">
        <v>8646</v>
      </c>
      <c r="AI9619" t="str">
        <f>"9500147"</f>
        <v>9500147</v>
      </c>
      <c r="AJ9619" t="s">
        <v>14008</v>
      </c>
      <c r="AK9619">
        <v>2821094573</v>
      </c>
      <c r="AL9619" t="s">
        <v>14009</v>
      </c>
      <c r="AM9619" t="s">
        <v>88</v>
      </c>
      <c r="AN9619" t="s">
        <v>88</v>
      </c>
      <c r="AO9619" t="s">
        <v>88</v>
      </c>
      <c r="AP9619" t="s">
        <v>88</v>
      </c>
      <c r="AQ9619">
        <v>1</v>
      </c>
      <c r="AR9619" t="s">
        <v>89</v>
      </c>
      <c r="AS9619" t="s">
        <v>90</v>
      </c>
      <c r="AT9619" t="s">
        <v>58</v>
      </c>
      <c r="AU9619" t="s">
        <v>68</v>
      </c>
      <c r="AV9619" t="s">
        <v>69</v>
      </c>
      <c r="AW9619" s="1">
        <v>23162</v>
      </c>
      <c r="AX9619">
        <v>1</v>
      </c>
    </row>
    <row r="9620" spans="1:50">
      <c r="A9620">
        <v>591778</v>
      </c>
      <c r="B9620" t="str">
        <f>"072445585"</f>
        <v>072445585</v>
      </c>
      <c r="C9620" t="s">
        <v>50</v>
      </c>
      <c r="D9620" t="s">
        <v>14560</v>
      </c>
      <c r="E9620" t="s">
        <v>476</v>
      </c>
      <c r="F9620" t="s">
        <v>989</v>
      </c>
      <c r="G9620" t="s">
        <v>83</v>
      </c>
      <c r="H9620" t="str">
        <f>"ΑΓ. ΓΕΩΡΓΙΟΥ 12 ΚΑΛΛΙΘΕΑ-ΒΑΜΒΑΚΟΠΟΥΛΟ"</f>
        <v>ΑΓ. ΓΕΩΡΓΙΟΥ 12 ΚΑΛΛΙΘΕΑ-ΒΑΜΒΑΚΟΠΟΥΛΟ</v>
      </c>
      <c r="I9620">
        <v>73100</v>
      </c>
      <c r="K9620">
        <v>6974143863</v>
      </c>
      <c r="N9620" t="s">
        <v>1525</v>
      </c>
      <c r="O9620" t="s">
        <v>1526</v>
      </c>
      <c r="R9620" t="s">
        <v>57</v>
      </c>
      <c r="S9620">
        <v>10</v>
      </c>
      <c r="T9620">
        <v>249</v>
      </c>
      <c r="U9620" s="1">
        <v>36769</v>
      </c>
      <c r="V9620" t="s">
        <v>89</v>
      </c>
      <c r="W9620" t="s">
        <v>90</v>
      </c>
      <c r="X9620" t="s">
        <v>58</v>
      </c>
      <c r="Y9620">
        <v>25</v>
      </c>
      <c r="Z9620" t="s">
        <v>59</v>
      </c>
      <c r="AA9620" t="s">
        <v>59</v>
      </c>
      <c r="AB9620" t="s">
        <v>59</v>
      </c>
      <c r="AC9620" t="s">
        <v>59</v>
      </c>
      <c r="AD9620" t="s">
        <v>59</v>
      </c>
      <c r="AF9620" s="1">
        <v>36770</v>
      </c>
      <c r="AG9620" t="s">
        <v>8651</v>
      </c>
      <c r="AH9620" t="s">
        <v>8652</v>
      </c>
      <c r="AI9620" t="str">
        <f>"9500256"</f>
        <v>9500256</v>
      </c>
      <c r="AJ9620" t="s">
        <v>14506</v>
      </c>
      <c r="AK9620">
        <v>2821099485</v>
      </c>
      <c r="AL9620" t="s">
        <v>14507</v>
      </c>
      <c r="AM9620" t="s">
        <v>88</v>
      </c>
      <c r="AN9620" t="s">
        <v>88</v>
      </c>
      <c r="AO9620" t="s">
        <v>13920</v>
      </c>
      <c r="AP9620" t="s">
        <v>14029</v>
      </c>
      <c r="AQ9620">
        <v>3</v>
      </c>
      <c r="AR9620" t="s">
        <v>89</v>
      </c>
      <c r="AS9620" t="s">
        <v>90</v>
      </c>
      <c r="AT9620" t="s">
        <v>58</v>
      </c>
      <c r="AU9620" t="s">
        <v>68</v>
      </c>
      <c r="AV9620" t="s">
        <v>69</v>
      </c>
      <c r="AW9620" s="1">
        <v>24787</v>
      </c>
      <c r="AX9620">
        <v>1</v>
      </c>
    </row>
    <row r="9621" spans="1:50">
      <c r="A9621">
        <v>577298</v>
      </c>
      <c r="B9621" t="str">
        <f>"101554986"</f>
        <v>101554986</v>
      </c>
      <c r="C9621" t="s">
        <v>50</v>
      </c>
      <c r="D9621" t="s">
        <v>14561</v>
      </c>
      <c r="E9621" t="s">
        <v>755</v>
      </c>
      <c r="F9621" t="s">
        <v>106</v>
      </c>
      <c r="G9621" t="s">
        <v>1345</v>
      </c>
      <c r="H9621" t="str">
        <f>"ΧΡΥΣΟΣΤΟΜΟΥ ΣΜΥΡΝΗΣ 16 ΧΑΝΙΑ"</f>
        <v>ΧΡΥΣΟΣΤΟΜΟΥ ΣΜΥΡΝΗΣ 16 ΧΑΝΙΑ</v>
      </c>
      <c r="I9621">
        <v>73100</v>
      </c>
      <c r="J9621">
        <v>2821074741</v>
      </c>
      <c r="K9621">
        <v>6945594909</v>
      </c>
      <c r="N9621" t="s">
        <v>176</v>
      </c>
      <c r="O9621" t="s">
        <v>177</v>
      </c>
      <c r="R9621" t="s">
        <v>57</v>
      </c>
      <c r="S9621">
        <v>12</v>
      </c>
      <c r="T9621">
        <v>184</v>
      </c>
      <c r="U9621" s="1">
        <v>34941</v>
      </c>
      <c r="V9621" t="s">
        <v>89</v>
      </c>
      <c r="W9621" t="s">
        <v>90</v>
      </c>
      <c r="X9621" t="s">
        <v>58</v>
      </c>
      <c r="Y9621">
        <v>21</v>
      </c>
      <c r="Z9621" t="s">
        <v>59</v>
      </c>
      <c r="AA9621" t="s">
        <v>59</v>
      </c>
      <c r="AB9621" t="s">
        <v>59</v>
      </c>
      <c r="AC9621" t="s">
        <v>59</v>
      </c>
      <c r="AD9621" t="s">
        <v>59</v>
      </c>
      <c r="AF9621" s="1">
        <v>34941</v>
      </c>
      <c r="AG9621" t="s">
        <v>8645</v>
      </c>
      <c r="AH9621" t="s">
        <v>8646</v>
      </c>
      <c r="AI9621" t="str">
        <f>"9500144"</f>
        <v>9500144</v>
      </c>
      <c r="AJ9621" t="s">
        <v>14010</v>
      </c>
      <c r="AK9621">
        <v>2821094171</v>
      </c>
      <c r="AL9621" t="s">
        <v>14011</v>
      </c>
      <c r="AM9621" t="s">
        <v>88</v>
      </c>
      <c r="AN9621" t="s">
        <v>88</v>
      </c>
      <c r="AO9621" t="s">
        <v>88</v>
      </c>
      <c r="AP9621" t="s">
        <v>88</v>
      </c>
      <c r="AQ9621">
        <v>1</v>
      </c>
      <c r="AR9621" t="s">
        <v>89</v>
      </c>
      <c r="AS9621" t="s">
        <v>90</v>
      </c>
      <c r="AT9621" t="s">
        <v>58</v>
      </c>
      <c r="AU9621" t="s">
        <v>68</v>
      </c>
      <c r="AV9621" t="s">
        <v>69</v>
      </c>
      <c r="AW9621" s="1">
        <v>23151</v>
      </c>
      <c r="AX9621">
        <v>1</v>
      </c>
    </row>
    <row r="9622" spans="1:50">
      <c r="A9622">
        <v>618047</v>
      </c>
      <c r="B9622" t="str">
        <f>"136825336"</f>
        <v>136825336</v>
      </c>
      <c r="C9622" t="s">
        <v>50</v>
      </c>
      <c r="D9622" t="s">
        <v>14562</v>
      </c>
      <c r="E9622" t="s">
        <v>143</v>
      </c>
      <c r="F9622" t="s">
        <v>84</v>
      </c>
      <c r="G9622" t="s">
        <v>181</v>
      </c>
      <c r="H9622" t="str">
        <f>"ΜΟΝΗΣ ΓΩΝΙΑΣ 2 ΝΕΑ ΧΩΡΑ"</f>
        <v>ΜΟΝΗΣ ΓΩΝΙΑΣ 2 ΝΕΑ ΧΩΡΑ</v>
      </c>
      <c r="I9622">
        <v>73100</v>
      </c>
      <c r="J9622">
        <v>2351029603</v>
      </c>
      <c r="K9622">
        <v>6978942626</v>
      </c>
      <c r="M9622" t="s">
        <v>14563</v>
      </c>
      <c r="N9622" t="s">
        <v>615</v>
      </c>
      <c r="O9622" t="s">
        <v>616</v>
      </c>
      <c r="R9622" t="s">
        <v>57</v>
      </c>
      <c r="S9622">
        <v>5</v>
      </c>
      <c r="T9622">
        <v>774</v>
      </c>
      <c r="U9622" s="1">
        <v>39680</v>
      </c>
      <c r="V9622" t="s">
        <v>89</v>
      </c>
      <c r="W9622" t="s">
        <v>90</v>
      </c>
      <c r="X9622" t="s">
        <v>58</v>
      </c>
      <c r="Y9622">
        <v>25</v>
      </c>
      <c r="Z9622" t="s">
        <v>59</v>
      </c>
      <c r="AA9622" t="s">
        <v>59</v>
      </c>
      <c r="AB9622" t="s">
        <v>59</v>
      </c>
      <c r="AC9622" t="s">
        <v>59</v>
      </c>
      <c r="AD9622" t="s">
        <v>59</v>
      </c>
      <c r="AF9622" s="1">
        <v>39681</v>
      </c>
      <c r="AG9622" t="s">
        <v>8645</v>
      </c>
      <c r="AH9622" t="s">
        <v>8676</v>
      </c>
      <c r="AI9622" t="str">
        <f>"9500184"</f>
        <v>9500184</v>
      </c>
      <c r="AJ9622" t="s">
        <v>14396</v>
      </c>
      <c r="AK9622">
        <v>2823051220</v>
      </c>
      <c r="AL9622" t="s">
        <v>14397</v>
      </c>
      <c r="AM9622" t="s">
        <v>88</v>
      </c>
      <c r="AN9622" t="s">
        <v>6824</v>
      </c>
      <c r="AO9622" t="s">
        <v>13966</v>
      </c>
      <c r="AP9622" t="s">
        <v>13967</v>
      </c>
      <c r="AQ9622">
        <v>11</v>
      </c>
      <c r="AR9622" t="s">
        <v>89</v>
      </c>
      <c r="AS9622" t="s">
        <v>90</v>
      </c>
      <c r="AT9622" t="s">
        <v>58</v>
      </c>
      <c r="AU9622" t="s">
        <v>68</v>
      </c>
      <c r="AV9622" t="s">
        <v>69</v>
      </c>
      <c r="AW9622" s="1">
        <v>30619</v>
      </c>
      <c r="AX9622">
        <v>1</v>
      </c>
    </row>
    <row r="9623" spans="1:50">
      <c r="A9623">
        <v>602405</v>
      </c>
      <c r="B9623" t="str">
        <f>"115760897"</f>
        <v>115760897</v>
      </c>
      <c r="C9623" t="s">
        <v>50</v>
      </c>
      <c r="D9623" t="s">
        <v>14564</v>
      </c>
      <c r="E9623" t="s">
        <v>1588</v>
      </c>
      <c r="F9623" t="s">
        <v>84</v>
      </c>
      <c r="G9623" t="s">
        <v>191</v>
      </c>
      <c r="H9623" t="str">
        <f>"ΑΓΑΘΑΓΓΕΛΟΥ ΝΙΝΟΛΑΚΗ 46 ΧΑΝΙΑ"</f>
        <v>ΑΓΑΘΑΓΓΕΛΟΥ ΝΙΝΟΛΑΚΗ 46 ΧΑΝΙΑ</v>
      </c>
      <c r="I9623">
        <v>73100</v>
      </c>
      <c r="J9623">
        <v>2108328763</v>
      </c>
      <c r="K9623">
        <v>6944912315</v>
      </c>
      <c r="N9623" t="s">
        <v>615</v>
      </c>
      <c r="O9623" t="s">
        <v>616</v>
      </c>
      <c r="R9623" t="s">
        <v>57</v>
      </c>
      <c r="S9623">
        <v>7</v>
      </c>
      <c r="T9623">
        <v>207</v>
      </c>
      <c r="U9623" s="1">
        <v>37866</v>
      </c>
      <c r="V9623" t="s">
        <v>89</v>
      </c>
      <c r="W9623" t="s">
        <v>90</v>
      </c>
      <c r="X9623" t="s">
        <v>58</v>
      </c>
      <c r="Y9623">
        <v>22</v>
      </c>
      <c r="Z9623" t="s">
        <v>59</v>
      </c>
      <c r="AA9623" t="s">
        <v>59</v>
      </c>
      <c r="AB9623" t="s">
        <v>59</v>
      </c>
      <c r="AC9623" t="s">
        <v>59</v>
      </c>
      <c r="AD9623" t="s">
        <v>59</v>
      </c>
      <c r="AF9623" s="1">
        <v>37868</v>
      </c>
      <c r="AG9623" t="s">
        <v>8645</v>
      </c>
      <c r="AH9623" t="s">
        <v>8646</v>
      </c>
      <c r="AI9623" t="str">
        <f>"9500358"</f>
        <v>9500358</v>
      </c>
      <c r="AJ9623" t="s">
        <v>13948</v>
      </c>
      <c r="AK9623">
        <v>2821093459</v>
      </c>
      <c r="AL9623" t="s">
        <v>13949</v>
      </c>
      <c r="AM9623" t="s">
        <v>88</v>
      </c>
      <c r="AN9623" t="s">
        <v>88</v>
      </c>
      <c r="AO9623" t="s">
        <v>6733</v>
      </c>
      <c r="AP9623" t="s">
        <v>6755</v>
      </c>
      <c r="AQ9623">
        <v>2</v>
      </c>
      <c r="AR9623" t="s">
        <v>89</v>
      </c>
      <c r="AS9623" t="s">
        <v>90</v>
      </c>
      <c r="AT9623" t="s">
        <v>58</v>
      </c>
      <c r="AU9623" t="s">
        <v>68</v>
      </c>
      <c r="AV9623" t="s">
        <v>69</v>
      </c>
      <c r="AW9623" s="1">
        <v>28362</v>
      </c>
      <c r="AX9623">
        <v>1</v>
      </c>
    </row>
    <row r="9624" spans="1:50">
      <c r="A9624">
        <v>203962</v>
      </c>
      <c r="B9624" t="str">
        <f>"052809382"</f>
        <v>052809382</v>
      </c>
      <c r="C9624" t="s">
        <v>50</v>
      </c>
      <c r="D9624" t="s">
        <v>9911</v>
      </c>
      <c r="E9624" t="s">
        <v>513</v>
      </c>
      <c r="F9624" t="s">
        <v>698</v>
      </c>
      <c r="G9624" t="s">
        <v>860</v>
      </c>
      <c r="H9624" t="str">
        <f>"ΕΛ. ΒΕΝΙΖΕΛΟΥ 176 "</f>
        <v xml:space="preserve">ΕΛ. ΒΕΝΙΖΕΛΟΥ 176 </v>
      </c>
      <c r="I9624">
        <v>73100</v>
      </c>
      <c r="J9624">
        <v>2821040756</v>
      </c>
      <c r="K9624">
        <v>6944963109</v>
      </c>
      <c r="M9624" t="s">
        <v>14565</v>
      </c>
      <c r="N9624" t="s">
        <v>176</v>
      </c>
      <c r="O9624" t="s">
        <v>177</v>
      </c>
      <c r="P9624" t="s">
        <v>1116</v>
      </c>
      <c r="Q9624" t="s">
        <v>1117</v>
      </c>
      <c r="R9624" t="s">
        <v>57</v>
      </c>
      <c r="S9624">
        <v>8</v>
      </c>
      <c r="T9624">
        <v>231</v>
      </c>
      <c r="U9624" s="1">
        <v>38230</v>
      </c>
      <c r="V9624" t="s">
        <v>89</v>
      </c>
      <c r="W9624" t="s">
        <v>90</v>
      </c>
      <c r="X9624" t="s">
        <v>58</v>
      </c>
      <c r="Y9624">
        <v>22</v>
      </c>
      <c r="Z9624" t="s">
        <v>59</v>
      </c>
      <c r="AA9624" t="s">
        <v>59</v>
      </c>
      <c r="AB9624" t="s">
        <v>59</v>
      </c>
      <c r="AC9624" t="s">
        <v>59</v>
      </c>
      <c r="AD9624" t="s">
        <v>59</v>
      </c>
      <c r="AF9624" s="1">
        <v>38232</v>
      </c>
      <c r="AG9624" t="s">
        <v>8645</v>
      </c>
      <c r="AH9624" t="s">
        <v>8646</v>
      </c>
      <c r="AI9624" t="str">
        <f>"9500045"</f>
        <v>9500045</v>
      </c>
      <c r="AJ9624" t="s">
        <v>13887</v>
      </c>
      <c r="AK9624">
        <v>2821044369</v>
      </c>
      <c r="AL9624" t="s">
        <v>13888</v>
      </c>
      <c r="AM9624" t="s">
        <v>88</v>
      </c>
      <c r="AN9624" t="s">
        <v>88</v>
      </c>
      <c r="AO9624" t="s">
        <v>88</v>
      </c>
      <c r="AP9624" t="s">
        <v>88</v>
      </c>
      <c r="AQ9624">
        <v>1</v>
      </c>
      <c r="AR9624" t="s">
        <v>89</v>
      </c>
      <c r="AS9624" t="s">
        <v>90</v>
      </c>
      <c r="AT9624" t="s">
        <v>58</v>
      </c>
      <c r="AU9624" t="s">
        <v>68</v>
      </c>
      <c r="AV9624" t="s">
        <v>132</v>
      </c>
      <c r="AW9624" s="1">
        <v>27099</v>
      </c>
      <c r="AX9624">
        <v>1</v>
      </c>
    </row>
    <row r="9625" spans="1:50">
      <c r="A9625">
        <v>608118</v>
      </c>
      <c r="B9625" t="str">
        <f>"066832490"</f>
        <v>066832490</v>
      </c>
      <c r="C9625" t="s">
        <v>50</v>
      </c>
      <c r="D9625" t="s">
        <v>14566</v>
      </c>
      <c r="E9625" t="s">
        <v>964</v>
      </c>
      <c r="F9625" t="s">
        <v>99</v>
      </c>
      <c r="G9625" t="s">
        <v>73</v>
      </c>
      <c r="H9625" t="str">
        <f>"ΚΑΛΑΘΑΣ- ΑΚΡΩΤΗΡΙΟΥ ΑΚΡΩΤΗΡΙ"</f>
        <v>ΚΑΛΑΘΑΣ- ΑΚΡΩΤΗΡΙΟΥ ΑΚΡΩΤΗΡΙ</v>
      </c>
      <c r="I9625">
        <v>73100</v>
      </c>
      <c r="J9625">
        <v>2821053148</v>
      </c>
      <c r="K9625">
        <v>6976230991</v>
      </c>
      <c r="N9625" t="s">
        <v>1525</v>
      </c>
      <c r="O9625" t="s">
        <v>1526</v>
      </c>
      <c r="R9625" t="s">
        <v>57</v>
      </c>
      <c r="S9625">
        <v>9</v>
      </c>
      <c r="T9625">
        <v>217</v>
      </c>
      <c r="U9625" s="1">
        <v>38600</v>
      </c>
      <c r="V9625" t="s">
        <v>89</v>
      </c>
      <c r="W9625" t="s">
        <v>90</v>
      </c>
      <c r="X9625" t="s">
        <v>58</v>
      </c>
      <c r="Y9625">
        <v>25</v>
      </c>
      <c r="Z9625" t="s">
        <v>59</v>
      </c>
      <c r="AA9625" t="s">
        <v>59</v>
      </c>
      <c r="AB9625" t="s">
        <v>59</v>
      </c>
      <c r="AC9625" t="s">
        <v>59</v>
      </c>
      <c r="AD9625" t="s">
        <v>59</v>
      </c>
      <c r="AF9625" s="1">
        <v>38600</v>
      </c>
      <c r="AG9625" t="s">
        <v>8651</v>
      </c>
      <c r="AH9625" t="s">
        <v>8652</v>
      </c>
      <c r="AI9625" t="str">
        <f>"9500299"</f>
        <v>9500299</v>
      </c>
      <c r="AJ9625" t="s">
        <v>14567</v>
      </c>
      <c r="AK9625">
        <v>2821009110</v>
      </c>
      <c r="AL9625" t="s">
        <v>14568</v>
      </c>
      <c r="AM9625" t="s">
        <v>88</v>
      </c>
      <c r="AN9625" t="s">
        <v>88</v>
      </c>
      <c r="AO9625" t="s">
        <v>6770</v>
      </c>
      <c r="AP9625" t="s">
        <v>6771</v>
      </c>
      <c r="AQ9625">
        <v>2</v>
      </c>
      <c r="AR9625" t="s">
        <v>89</v>
      </c>
      <c r="AS9625" t="s">
        <v>90</v>
      </c>
      <c r="AT9625" t="s">
        <v>58</v>
      </c>
      <c r="AU9625" t="s">
        <v>68</v>
      </c>
      <c r="AV9625" t="s">
        <v>69</v>
      </c>
      <c r="AW9625" s="1">
        <v>24495</v>
      </c>
      <c r="AX9625">
        <v>1</v>
      </c>
    </row>
    <row r="9626" spans="1:50">
      <c r="A9626">
        <v>607902</v>
      </c>
      <c r="B9626" t="str">
        <f>"100600776"</f>
        <v>100600776</v>
      </c>
      <c r="C9626" t="s">
        <v>50</v>
      </c>
      <c r="D9626" t="s">
        <v>14569</v>
      </c>
      <c r="E9626" t="s">
        <v>52</v>
      </c>
      <c r="F9626" t="s">
        <v>72</v>
      </c>
      <c r="G9626" t="s">
        <v>1176</v>
      </c>
      <c r="H9626" t="str">
        <f>"ΜΕΓΑΛΟΥ ΑΛΕΞΑΝΔΡΟΥ 6 ΣΟΥΔΑ ΧΑΝΙΩΝ"</f>
        <v>ΜΕΓΑΛΟΥ ΑΛΕΞΑΝΔΡΟΥ 6 ΣΟΥΔΑ ΧΑΝΙΩΝ</v>
      </c>
      <c r="I9626">
        <v>73200</v>
      </c>
      <c r="J9626">
        <v>2821080372</v>
      </c>
      <c r="K9626">
        <v>6947684914</v>
      </c>
      <c r="M9626" t="s">
        <v>14570</v>
      </c>
      <c r="N9626" t="s">
        <v>615</v>
      </c>
      <c r="O9626" t="s">
        <v>616</v>
      </c>
      <c r="R9626" t="s">
        <v>57</v>
      </c>
      <c r="S9626">
        <v>7</v>
      </c>
      <c r="T9626">
        <v>217</v>
      </c>
      <c r="U9626" s="1">
        <v>38596</v>
      </c>
      <c r="V9626" t="s">
        <v>89</v>
      </c>
      <c r="W9626" t="s">
        <v>90</v>
      </c>
      <c r="X9626" t="s">
        <v>58</v>
      </c>
      <c r="Y9626">
        <v>22</v>
      </c>
      <c r="Z9626" t="s">
        <v>59</v>
      </c>
      <c r="AA9626" t="s">
        <v>59</v>
      </c>
      <c r="AB9626" t="s">
        <v>59</v>
      </c>
      <c r="AC9626" t="s">
        <v>59</v>
      </c>
      <c r="AD9626" t="s">
        <v>59</v>
      </c>
      <c r="AF9626" s="1">
        <v>38596</v>
      </c>
      <c r="AG9626" t="s">
        <v>8645</v>
      </c>
      <c r="AH9626" t="s">
        <v>8646</v>
      </c>
      <c r="AI9626" t="str">
        <f>"9500115"</f>
        <v>9500115</v>
      </c>
      <c r="AJ9626" t="s">
        <v>14180</v>
      </c>
      <c r="AK9626">
        <v>2821081133</v>
      </c>
      <c r="AL9626" t="s">
        <v>14181</v>
      </c>
      <c r="AM9626" t="s">
        <v>88</v>
      </c>
      <c r="AN9626" t="s">
        <v>88</v>
      </c>
      <c r="AO9626" t="s">
        <v>6748</v>
      </c>
      <c r="AP9626" t="s">
        <v>14182</v>
      </c>
      <c r="AQ9626">
        <v>2</v>
      </c>
      <c r="AR9626" t="s">
        <v>89</v>
      </c>
      <c r="AS9626" t="s">
        <v>90</v>
      </c>
      <c r="AT9626" t="s">
        <v>58</v>
      </c>
      <c r="AU9626" t="s">
        <v>68</v>
      </c>
      <c r="AV9626" t="s">
        <v>69</v>
      </c>
      <c r="AW9626" s="1">
        <v>29485</v>
      </c>
      <c r="AX9626">
        <v>1</v>
      </c>
    </row>
    <row r="9627" spans="1:50">
      <c r="A9627">
        <v>607368</v>
      </c>
      <c r="B9627" t="str">
        <f>"131483400"</f>
        <v>131483400</v>
      </c>
      <c r="C9627" t="s">
        <v>50</v>
      </c>
      <c r="D9627" t="s">
        <v>14571</v>
      </c>
      <c r="E9627" t="s">
        <v>52</v>
      </c>
      <c r="F9627" t="s">
        <v>95</v>
      </c>
      <c r="G9627" t="s">
        <v>7030</v>
      </c>
      <c r="H9627" t="str">
        <f>"ΒΑΛΕΣΤΡΑΣ 32 "</f>
        <v xml:space="preserve">ΒΑΛΕΣΤΡΑΣ 32 </v>
      </c>
      <c r="I9627">
        <v>73100</v>
      </c>
      <c r="J9627">
        <v>2226041318</v>
      </c>
      <c r="K9627">
        <v>6972025248</v>
      </c>
      <c r="L9627">
        <v>2821071158</v>
      </c>
      <c r="N9627" t="s">
        <v>615</v>
      </c>
      <c r="O9627" t="s">
        <v>616</v>
      </c>
      <c r="R9627" t="s">
        <v>57</v>
      </c>
      <c r="S9627">
        <v>7</v>
      </c>
      <c r="T9627">
        <v>217</v>
      </c>
      <c r="U9627" s="1">
        <v>38596</v>
      </c>
      <c r="V9627" t="s">
        <v>89</v>
      </c>
      <c r="W9627" t="s">
        <v>90</v>
      </c>
      <c r="X9627" t="s">
        <v>58</v>
      </c>
      <c r="Y9627">
        <v>23</v>
      </c>
      <c r="Z9627" t="s">
        <v>59</v>
      </c>
      <c r="AA9627" t="s">
        <v>59</v>
      </c>
      <c r="AB9627" t="s">
        <v>59</v>
      </c>
      <c r="AC9627" t="s">
        <v>59</v>
      </c>
      <c r="AD9627" t="s">
        <v>59</v>
      </c>
      <c r="AF9627" s="1">
        <v>38596</v>
      </c>
      <c r="AG9627" t="s">
        <v>8645</v>
      </c>
      <c r="AH9627" t="s">
        <v>8646</v>
      </c>
      <c r="AI9627" t="str">
        <f>"9500084"</f>
        <v>9500084</v>
      </c>
      <c r="AJ9627" t="s">
        <v>13994</v>
      </c>
      <c r="AK9627">
        <v>2821031270</v>
      </c>
      <c r="AL9627" t="s">
        <v>13995</v>
      </c>
      <c r="AM9627" t="s">
        <v>88</v>
      </c>
      <c r="AN9627" t="s">
        <v>88</v>
      </c>
      <c r="AO9627" t="s">
        <v>13920</v>
      </c>
      <c r="AP9627" t="s">
        <v>13996</v>
      </c>
      <c r="AQ9627">
        <v>3</v>
      </c>
      <c r="AR9627" t="s">
        <v>89</v>
      </c>
      <c r="AS9627" t="s">
        <v>90</v>
      </c>
      <c r="AT9627" t="s">
        <v>58</v>
      </c>
      <c r="AU9627" t="s">
        <v>68</v>
      </c>
      <c r="AV9627" t="s">
        <v>69</v>
      </c>
      <c r="AW9627" s="1">
        <v>29508</v>
      </c>
      <c r="AX9627">
        <v>1</v>
      </c>
    </row>
    <row r="9628" spans="1:50">
      <c r="A9628">
        <v>613236</v>
      </c>
      <c r="B9628" t="str">
        <f>"113151261"</f>
        <v>113151261</v>
      </c>
      <c r="C9628" t="s">
        <v>50</v>
      </c>
      <c r="D9628" t="s">
        <v>14572</v>
      </c>
      <c r="E9628" t="s">
        <v>7319</v>
      </c>
      <c r="F9628" t="s">
        <v>72</v>
      </c>
      <c r="G9628" t="s">
        <v>114</v>
      </c>
      <c r="H9628" t="str">
        <f>"ΔΗΜΟΚΡΑΤΙΑΣ 22 ΧΑΝΙΑ"</f>
        <v>ΔΗΜΟΚΡΑΤΙΑΣ 22 ΧΑΝΙΑ</v>
      </c>
      <c r="I9628">
        <v>73200</v>
      </c>
      <c r="K9628">
        <v>6986488741</v>
      </c>
      <c r="N9628" t="s">
        <v>615</v>
      </c>
      <c r="O9628" t="s">
        <v>616</v>
      </c>
      <c r="R9628" t="s">
        <v>57</v>
      </c>
      <c r="S9628">
        <v>6</v>
      </c>
      <c r="T9628">
        <v>598</v>
      </c>
      <c r="U9628" s="1">
        <v>39328</v>
      </c>
      <c r="V9628" t="s">
        <v>89</v>
      </c>
      <c r="W9628" t="s">
        <v>90</v>
      </c>
      <c r="X9628" t="s">
        <v>58</v>
      </c>
      <c r="Y9628">
        <v>23</v>
      </c>
      <c r="Z9628" t="s">
        <v>59</v>
      </c>
      <c r="AA9628" t="s">
        <v>59</v>
      </c>
      <c r="AB9628" t="s">
        <v>59</v>
      </c>
      <c r="AC9628" t="s">
        <v>59</v>
      </c>
      <c r="AD9628" t="s">
        <v>59</v>
      </c>
      <c r="AF9628" s="1">
        <v>39328</v>
      </c>
      <c r="AG9628" t="s">
        <v>8645</v>
      </c>
      <c r="AH9628" t="s">
        <v>8646</v>
      </c>
      <c r="AI9628" t="str">
        <f>"9500359"</f>
        <v>9500359</v>
      </c>
      <c r="AJ9628" t="s">
        <v>13939</v>
      </c>
      <c r="AK9628">
        <v>2821095778</v>
      </c>
      <c r="AL9628" t="s">
        <v>13940</v>
      </c>
      <c r="AM9628" t="s">
        <v>88</v>
      </c>
      <c r="AN9628" t="s">
        <v>88</v>
      </c>
      <c r="AO9628" t="s">
        <v>6733</v>
      </c>
      <c r="AP9628" t="s">
        <v>6755</v>
      </c>
      <c r="AQ9628">
        <v>2</v>
      </c>
      <c r="AR9628" t="s">
        <v>89</v>
      </c>
      <c r="AS9628" t="s">
        <v>90</v>
      </c>
      <c r="AT9628" t="s">
        <v>58</v>
      </c>
      <c r="AU9628" t="s">
        <v>68</v>
      </c>
      <c r="AV9628" t="s">
        <v>69</v>
      </c>
      <c r="AW9628" s="1">
        <v>30200</v>
      </c>
      <c r="AX9628">
        <v>1</v>
      </c>
    </row>
    <row r="9629" spans="1:50">
      <c r="A9629">
        <v>589881</v>
      </c>
      <c r="B9629" t="str">
        <f>"078561130"</f>
        <v>078561130</v>
      </c>
      <c r="C9629" t="s">
        <v>50</v>
      </c>
      <c r="D9629" t="s">
        <v>14573</v>
      </c>
      <c r="E9629" t="s">
        <v>255</v>
      </c>
      <c r="F9629" t="s">
        <v>377</v>
      </c>
      <c r="G9629" t="s">
        <v>647</v>
      </c>
      <c r="H9629" t="str">
        <f>"ΜΠΟΥΜΠΟΥΛΙΝΑΣ 45 ΑΤΤΙΚΗ"</f>
        <v>ΜΠΟΥΜΠΟΥΛΙΝΑΣ 45 ΑΤΤΙΚΗ</v>
      </c>
      <c r="I9629">
        <v>15342</v>
      </c>
      <c r="J9629">
        <v>2106528375</v>
      </c>
      <c r="K9629">
        <v>6936905920</v>
      </c>
      <c r="L9629">
        <v>2821070787</v>
      </c>
      <c r="N9629" t="s">
        <v>306</v>
      </c>
      <c r="O9629" t="s">
        <v>307</v>
      </c>
      <c r="P9629" t="s">
        <v>146</v>
      </c>
      <c r="Q9629" t="s">
        <v>147</v>
      </c>
      <c r="R9629" t="s">
        <v>57</v>
      </c>
      <c r="S9629">
        <v>9</v>
      </c>
      <c r="T9629">
        <v>177</v>
      </c>
      <c r="U9629" s="1">
        <v>36403</v>
      </c>
      <c r="V9629" t="s">
        <v>89</v>
      </c>
      <c r="W9629" t="s">
        <v>90</v>
      </c>
      <c r="X9629" t="s">
        <v>58</v>
      </c>
      <c r="Y9629">
        <v>22</v>
      </c>
      <c r="Z9629" t="s">
        <v>59</v>
      </c>
      <c r="AA9629" t="s">
        <v>59</v>
      </c>
      <c r="AB9629" t="s">
        <v>59</v>
      </c>
      <c r="AC9629" t="s">
        <v>59</v>
      </c>
      <c r="AD9629" t="s">
        <v>59</v>
      </c>
      <c r="AF9629" s="1">
        <v>36405</v>
      </c>
      <c r="AG9629" t="s">
        <v>8645</v>
      </c>
      <c r="AH9629" t="s">
        <v>8646</v>
      </c>
      <c r="AI9629" t="str">
        <f>"9500144"</f>
        <v>9500144</v>
      </c>
      <c r="AJ9629" t="s">
        <v>14010</v>
      </c>
      <c r="AK9629">
        <v>2821094171</v>
      </c>
      <c r="AL9629" t="s">
        <v>14011</v>
      </c>
      <c r="AM9629" t="s">
        <v>88</v>
      </c>
      <c r="AN9629" t="s">
        <v>88</v>
      </c>
      <c r="AO9629" t="s">
        <v>88</v>
      </c>
      <c r="AP9629" t="s">
        <v>88</v>
      </c>
      <c r="AQ9629">
        <v>1</v>
      </c>
      <c r="AR9629" t="s">
        <v>89</v>
      </c>
      <c r="AS9629" t="s">
        <v>90</v>
      </c>
      <c r="AT9629" t="s">
        <v>58</v>
      </c>
      <c r="AU9629" t="s">
        <v>68</v>
      </c>
      <c r="AV9629" t="s">
        <v>69</v>
      </c>
      <c r="AW9629" s="1">
        <v>26980</v>
      </c>
      <c r="AX9629">
        <v>1</v>
      </c>
    </row>
    <row r="9630" spans="1:50">
      <c r="A9630">
        <v>615313</v>
      </c>
      <c r="B9630" t="str">
        <f>"127704092"</f>
        <v>127704092</v>
      </c>
      <c r="C9630" t="s">
        <v>50</v>
      </c>
      <c r="D9630" t="s">
        <v>14574</v>
      </c>
      <c r="E9630" t="s">
        <v>52</v>
      </c>
      <c r="F9630" t="s">
        <v>13742</v>
      </c>
      <c r="G9630" t="s">
        <v>755</v>
      </c>
      <c r="H9630" t="str">
        <f>"ΚΙΣΣΑΜΟΥ 104 "</f>
        <v xml:space="preserve">ΚΙΣΣΑΜΟΥ 104 </v>
      </c>
      <c r="I9630">
        <v>73134</v>
      </c>
      <c r="J9630">
        <v>2821095190</v>
      </c>
      <c r="K9630">
        <v>6932392240</v>
      </c>
      <c r="N9630" t="s">
        <v>1525</v>
      </c>
      <c r="O9630" t="s">
        <v>1526</v>
      </c>
      <c r="R9630" t="s">
        <v>57</v>
      </c>
      <c r="S9630">
        <v>6</v>
      </c>
      <c r="T9630">
        <v>598</v>
      </c>
      <c r="U9630" s="1">
        <v>39310</v>
      </c>
      <c r="V9630" t="s">
        <v>89</v>
      </c>
      <c r="W9630" t="s">
        <v>90</v>
      </c>
      <c r="X9630" t="s">
        <v>58</v>
      </c>
      <c r="Y9630">
        <v>25</v>
      </c>
      <c r="Z9630" t="s">
        <v>59</v>
      </c>
      <c r="AA9630" t="s">
        <v>59</v>
      </c>
      <c r="AB9630" t="s">
        <v>59</v>
      </c>
      <c r="AC9630" t="s">
        <v>59</v>
      </c>
      <c r="AD9630" t="s">
        <v>59</v>
      </c>
      <c r="AF9630" s="1">
        <v>39328</v>
      </c>
      <c r="AG9630" t="s">
        <v>8651</v>
      </c>
      <c r="AH9630" t="s">
        <v>8652</v>
      </c>
      <c r="AI9630" t="str">
        <f>"9500283"</f>
        <v>9500283</v>
      </c>
      <c r="AJ9630" t="s">
        <v>14575</v>
      </c>
      <c r="AK9630">
        <v>2821072270</v>
      </c>
      <c r="AM9630" t="s">
        <v>88</v>
      </c>
      <c r="AN9630" t="s">
        <v>88</v>
      </c>
      <c r="AO9630" t="s">
        <v>88</v>
      </c>
      <c r="AP9630" t="s">
        <v>88</v>
      </c>
      <c r="AQ9630">
        <v>1</v>
      </c>
      <c r="AR9630" t="s">
        <v>89</v>
      </c>
      <c r="AS9630" t="s">
        <v>90</v>
      </c>
      <c r="AT9630" t="s">
        <v>58</v>
      </c>
      <c r="AU9630" t="s">
        <v>68</v>
      </c>
      <c r="AV9630" t="s">
        <v>69</v>
      </c>
      <c r="AW9630" s="1">
        <v>28625</v>
      </c>
      <c r="AX9630">
        <v>1</v>
      </c>
    </row>
    <row r="9631" spans="1:50">
      <c r="A9631">
        <v>596123</v>
      </c>
      <c r="B9631" t="str">
        <f>"100605458"</f>
        <v>100605458</v>
      </c>
      <c r="C9631" t="s">
        <v>50</v>
      </c>
      <c r="D9631" t="s">
        <v>7318</v>
      </c>
      <c r="E9631" t="s">
        <v>109</v>
      </c>
      <c r="F9631" t="s">
        <v>111</v>
      </c>
      <c r="G9631" t="s">
        <v>1189</v>
      </c>
      <c r="H9631" t="str">
        <f>"ΚΑΝΑΡΗ 1 ΚΑΤΩ ΣΟΥΔΑ "</f>
        <v xml:space="preserve">ΚΑΝΑΡΗ 1 ΚΑΤΩ ΣΟΥΔΑ </v>
      </c>
      <c r="I9631">
        <v>73200</v>
      </c>
      <c r="J9631">
        <v>2821081874</v>
      </c>
      <c r="K9631">
        <v>6974506473</v>
      </c>
      <c r="N9631" t="s">
        <v>615</v>
      </c>
      <c r="O9631" t="s">
        <v>616</v>
      </c>
      <c r="R9631" t="s">
        <v>57</v>
      </c>
      <c r="S9631">
        <v>9</v>
      </c>
      <c r="T9631">
        <v>218</v>
      </c>
      <c r="U9631" s="1">
        <v>37104</v>
      </c>
      <c r="V9631" t="s">
        <v>89</v>
      </c>
      <c r="W9631" t="s">
        <v>90</v>
      </c>
      <c r="X9631" t="s">
        <v>58</v>
      </c>
      <c r="Y9631">
        <v>22</v>
      </c>
      <c r="Z9631" t="s">
        <v>59</v>
      </c>
      <c r="AA9631" t="s">
        <v>59</v>
      </c>
      <c r="AB9631" t="s">
        <v>59</v>
      </c>
      <c r="AC9631" t="s">
        <v>59</v>
      </c>
      <c r="AD9631" t="s">
        <v>59</v>
      </c>
      <c r="AF9631" s="1">
        <v>37134</v>
      </c>
      <c r="AG9631" t="s">
        <v>8645</v>
      </c>
      <c r="AH9631" t="s">
        <v>8646</v>
      </c>
      <c r="AI9631" t="str">
        <f>"9500408"</f>
        <v>9500408</v>
      </c>
      <c r="AJ9631" t="s">
        <v>13981</v>
      </c>
      <c r="AK9631">
        <v>2821081655</v>
      </c>
      <c r="AL9631" t="s">
        <v>13982</v>
      </c>
      <c r="AM9631" t="s">
        <v>88</v>
      </c>
      <c r="AN9631" t="s">
        <v>88</v>
      </c>
      <c r="AO9631" t="s">
        <v>6748</v>
      </c>
      <c r="AP9631" t="s">
        <v>6748</v>
      </c>
      <c r="AQ9631">
        <v>2</v>
      </c>
      <c r="AR9631" t="s">
        <v>89</v>
      </c>
      <c r="AS9631" t="s">
        <v>90</v>
      </c>
      <c r="AT9631" t="s">
        <v>58</v>
      </c>
      <c r="AU9631" t="s">
        <v>68</v>
      </c>
      <c r="AV9631" t="s">
        <v>69</v>
      </c>
      <c r="AW9631" s="1">
        <v>25569</v>
      </c>
      <c r="AX9631">
        <v>1</v>
      </c>
    </row>
    <row r="9632" spans="1:50">
      <c r="A9632">
        <v>591543</v>
      </c>
      <c r="B9632" t="str">
        <f>"052495980"</f>
        <v>052495980</v>
      </c>
      <c r="C9632" t="s">
        <v>50</v>
      </c>
      <c r="D9632" t="s">
        <v>7318</v>
      </c>
      <c r="E9632" t="s">
        <v>14576</v>
      </c>
      <c r="F9632" t="s">
        <v>111</v>
      </c>
      <c r="G9632" t="s">
        <v>1189</v>
      </c>
      <c r="H9632" t="str">
        <f>"ΚΑΛΒΟΥ 1 ΧΑΝΙΑ ΧΑΝΙΑ"</f>
        <v>ΚΑΛΒΟΥ 1 ΧΑΝΙΑ ΧΑΝΙΑ</v>
      </c>
      <c r="I9632">
        <v>73100</v>
      </c>
      <c r="J9632">
        <v>2821039371</v>
      </c>
      <c r="K9632">
        <v>6974929626</v>
      </c>
      <c r="M9632" t="s">
        <v>14012</v>
      </c>
      <c r="N9632" t="s">
        <v>615</v>
      </c>
      <c r="O9632" t="s">
        <v>616</v>
      </c>
      <c r="R9632" t="s">
        <v>57</v>
      </c>
      <c r="S9632">
        <v>11</v>
      </c>
      <c r="T9632">
        <v>249</v>
      </c>
      <c r="U9632" s="1">
        <v>36769</v>
      </c>
      <c r="V9632" t="s">
        <v>89</v>
      </c>
      <c r="W9632" t="s">
        <v>90</v>
      </c>
      <c r="X9632" t="s">
        <v>58</v>
      </c>
      <c r="Y9632">
        <v>22</v>
      </c>
      <c r="Z9632" t="s">
        <v>59</v>
      </c>
      <c r="AA9632" t="s">
        <v>59</v>
      </c>
      <c r="AB9632" t="s">
        <v>59</v>
      </c>
      <c r="AC9632" t="s">
        <v>59</v>
      </c>
      <c r="AD9632" t="s">
        <v>59</v>
      </c>
      <c r="AF9632" s="1">
        <v>36769</v>
      </c>
      <c r="AG9632" t="s">
        <v>8645</v>
      </c>
      <c r="AH9632" t="s">
        <v>8646</v>
      </c>
      <c r="AI9632" t="str">
        <f>"9500075"</f>
        <v>9500075</v>
      </c>
      <c r="AJ9632" t="s">
        <v>13955</v>
      </c>
      <c r="AK9632">
        <v>2821046505</v>
      </c>
      <c r="AL9632" t="s">
        <v>13956</v>
      </c>
      <c r="AM9632" t="s">
        <v>88</v>
      </c>
      <c r="AN9632" t="s">
        <v>88</v>
      </c>
      <c r="AO9632" t="s">
        <v>88</v>
      </c>
      <c r="AP9632" t="s">
        <v>88</v>
      </c>
      <c r="AQ9632">
        <v>1</v>
      </c>
      <c r="AR9632" t="s">
        <v>89</v>
      </c>
      <c r="AS9632" t="s">
        <v>90</v>
      </c>
      <c r="AT9632" t="s">
        <v>58</v>
      </c>
      <c r="AU9632" t="s">
        <v>68</v>
      </c>
      <c r="AV9632" t="s">
        <v>69</v>
      </c>
      <c r="AW9632" s="1">
        <v>25063</v>
      </c>
      <c r="AX9632">
        <v>1</v>
      </c>
    </row>
    <row r="9633" spans="1:50">
      <c r="A9633">
        <v>576158</v>
      </c>
      <c r="B9633" t="str">
        <f>"065067881"</f>
        <v>065067881</v>
      </c>
      <c r="C9633" t="s">
        <v>50</v>
      </c>
      <c r="D9633" t="s">
        <v>9922</v>
      </c>
      <c r="E9633" t="s">
        <v>143</v>
      </c>
      <c r="F9633" t="s">
        <v>1062</v>
      </c>
      <c r="G9633" t="s">
        <v>112</v>
      </c>
      <c r="H9633" t="str">
        <f>"ΑΝΔΡΕΑΔΑΚΗ Τ.Θ. 82 ΚΑΜΠΑΝΙ-ΑΚΡΩΤΗΡΙΟΥ"</f>
        <v>ΑΝΔΡΕΑΔΑΚΗ Τ.Θ. 82 ΚΑΜΠΑΝΙ-ΑΚΡΩΤΗΡΙΟΥ</v>
      </c>
      <c r="I9633">
        <v>73100</v>
      </c>
      <c r="J9633">
        <v>2821069501</v>
      </c>
      <c r="K9633">
        <v>6978755125</v>
      </c>
      <c r="N9633" t="s">
        <v>1525</v>
      </c>
      <c r="O9633" t="s">
        <v>1526</v>
      </c>
      <c r="R9633" t="s">
        <v>57</v>
      </c>
      <c r="S9633">
        <v>13</v>
      </c>
      <c r="T9633">
        <v>184</v>
      </c>
      <c r="U9633" s="1">
        <v>34946</v>
      </c>
      <c r="V9633" t="s">
        <v>89</v>
      </c>
      <c r="W9633" t="s">
        <v>90</v>
      </c>
      <c r="X9633" t="s">
        <v>58</v>
      </c>
      <c r="Y9633">
        <v>25</v>
      </c>
      <c r="Z9633" t="s">
        <v>59</v>
      </c>
      <c r="AA9633" t="s">
        <v>59</v>
      </c>
      <c r="AB9633" t="s">
        <v>59</v>
      </c>
      <c r="AC9633" t="s">
        <v>59</v>
      </c>
      <c r="AD9633" t="s">
        <v>59</v>
      </c>
      <c r="AF9633" s="1">
        <v>34946</v>
      </c>
      <c r="AG9633" t="s">
        <v>8651</v>
      </c>
      <c r="AH9633" t="s">
        <v>8652</v>
      </c>
      <c r="AI9633" t="str">
        <f>"9500299"</f>
        <v>9500299</v>
      </c>
      <c r="AJ9633" t="s">
        <v>14567</v>
      </c>
      <c r="AK9633">
        <v>2821009110</v>
      </c>
      <c r="AL9633" t="s">
        <v>14568</v>
      </c>
      <c r="AM9633" t="s">
        <v>88</v>
      </c>
      <c r="AN9633" t="s">
        <v>88</v>
      </c>
      <c r="AO9633" t="s">
        <v>6770</v>
      </c>
      <c r="AP9633" t="s">
        <v>6771</v>
      </c>
      <c r="AQ9633">
        <v>2</v>
      </c>
      <c r="AR9633" t="s">
        <v>89</v>
      </c>
      <c r="AS9633" t="s">
        <v>90</v>
      </c>
      <c r="AT9633" t="s">
        <v>58</v>
      </c>
      <c r="AU9633" t="s">
        <v>68</v>
      </c>
      <c r="AV9633" t="s">
        <v>69</v>
      </c>
      <c r="AW9633" s="1">
        <v>23923</v>
      </c>
      <c r="AX9633">
        <v>1</v>
      </c>
    </row>
    <row r="9634" spans="1:50">
      <c r="A9634">
        <v>606424</v>
      </c>
      <c r="B9634" t="str">
        <f>"104285173"</f>
        <v>104285173</v>
      </c>
      <c r="C9634" t="s">
        <v>50</v>
      </c>
      <c r="D9634" t="s">
        <v>14577</v>
      </c>
      <c r="E9634" t="s">
        <v>316</v>
      </c>
      <c r="F9634" t="s">
        <v>84</v>
      </c>
      <c r="G9634" t="s">
        <v>73</v>
      </c>
      <c r="H9634" t="str">
        <f>"ΗΡΩΩΝ ΠΟΛΥΤΕΧΝΕΙΟΥ 64 ΚΙΣΣΑΜΟΣ ΧΑΝΙΩΝ"</f>
        <v>ΗΡΩΩΝ ΠΟΛΥΤΕΧΝΕΙΟΥ 64 ΚΙΣΣΑΜΟΣ ΧΑΝΙΩΝ</v>
      </c>
      <c r="I9634">
        <v>73400</v>
      </c>
      <c r="K9634">
        <v>6972309881</v>
      </c>
      <c r="N9634" t="s">
        <v>1525</v>
      </c>
      <c r="O9634" t="s">
        <v>1526</v>
      </c>
      <c r="R9634" t="s">
        <v>57</v>
      </c>
      <c r="S9634">
        <v>7</v>
      </c>
      <c r="T9634">
        <v>231</v>
      </c>
      <c r="U9634" s="1">
        <v>38230</v>
      </c>
      <c r="V9634" t="s">
        <v>89</v>
      </c>
      <c r="W9634" t="s">
        <v>90</v>
      </c>
      <c r="X9634" t="s">
        <v>58</v>
      </c>
      <c r="Y9634">
        <v>25</v>
      </c>
      <c r="Z9634" t="s">
        <v>59</v>
      </c>
      <c r="AA9634" t="s">
        <v>59</v>
      </c>
      <c r="AB9634" t="s">
        <v>59</v>
      </c>
      <c r="AC9634" t="s">
        <v>59</v>
      </c>
      <c r="AD9634" t="s">
        <v>59</v>
      </c>
      <c r="AF9634" s="1">
        <v>38231</v>
      </c>
      <c r="AG9634" t="s">
        <v>8651</v>
      </c>
      <c r="AH9634" t="s">
        <v>8652</v>
      </c>
      <c r="AI9634" t="str">
        <f>"9521009"</f>
        <v>9521009</v>
      </c>
      <c r="AJ9634" t="s">
        <v>14313</v>
      </c>
      <c r="AK9634">
        <v>2822023452</v>
      </c>
      <c r="AL9634" t="s">
        <v>14314</v>
      </c>
      <c r="AM9634" t="s">
        <v>88</v>
      </c>
      <c r="AN9634" t="s">
        <v>6744</v>
      </c>
      <c r="AO9634" t="s">
        <v>6744</v>
      </c>
      <c r="AP9634" t="s">
        <v>6744</v>
      </c>
      <c r="AQ9634">
        <v>9</v>
      </c>
      <c r="AR9634" t="s">
        <v>89</v>
      </c>
      <c r="AS9634" t="s">
        <v>90</v>
      </c>
      <c r="AT9634" t="s">
        <v>58</v>
      </c>
      <c r="AU9634" t="s">
        <v>68</v>
      </c>
      <c r="AV9634" t="s">
        <v>69</v>
      </c>
      <c r="AW9634" s="1">
        <v>27932</v>
      </c>
      <c r="AX9634">
        <v>1</v>
      </c>
    </row>
    <row r="9635" spans="1:50">
      <c r="B9635" t="str">
        <f>"136416995"</f>
        <v>136416995</v>
      </c>
      <c r="C9635" t="s">
        <v>105</v>
      </c>
      <c r="D9635" t="s">
        <v>14578</v>
      </c>
      <c r="E9635" t="s">
        <v>920</v>
      </c>
      <c r="F9635" t="s">
        <v>72</v>
      </c>
      <c r="G9635" t="s">
        <v>112</v>
      </c>
      <c r="H9635" t="str">
        <f>"Μιχαήλ Κόρακα 56 Α Χανιά"</f>
        <v>Μιχαήλ Κόρακα 56 Α Χανιά</v>
      </c>
      <c r="J9635">
        <v>2821087236</v>
      </c>
      <c r="K9635">
        <v>6974482775</v>
      </c>
      <c r="M9635" t="s">
        <v>14579</v>
      </c>
      <c r="N9635" t="s">
        <v>8834</v>
      </c>
      <c r="O9635" t="s">
        <v>8695</v>
      </c>
      <c r="R9635" t="s">
        <v>121</v>
      </c>
      <c r="S9635">
        <v>3</v>
      </c>
      <c r="T9635" t="s">
        <v>8835</v>
      </c>
      <c r="U9635" s="1">
        <v>43348</v>
      </c>
      <c r="V9635" t="s">
        <v>89</v>
      </c>
      <c r="W9635" t="s">
        <v>90</v>
      </c>
      <c r="X9635" t="s">
        <v>58</v>
      </c>
      <c r="Y9635">
        <v>24</v>
      </c>
      <c r="Z9635" t="s">
        <v>59</v>
      </c>
      <c r="AA9635" t="s">
        <v>59</v>
      </c>
      <c r="AB9635" t="s">
        <v>59</v>
      </c>
      <c r="AD9635" t="s">
        <v>59</v>
      </c>
      <c r="AF9635" s="1">
        <v>43348</v>
      </c>
      <c r="AG9635" t="s">
        <v>8645</v>
      </c>
      <c r="AH9635" t="s">
        <v>8646</v>
      </c>
      <c r="AI9635" t="str">
        <f>"9500338"</f>
        <v>9500338</v>
      </c>
      <c r="AJ9635" t="s">
        <v>13959</v>
      </c>
      <c r="AK9635">
        <v>2821040556</v>
      </c>
      <c r="AL9635" t="s">
        <v>13960</v>
      </c>
      <c r="AM9635" t="s">
        <v>88</v>
      </c>
      <c r="AN9635" t="s">
        <v>88</v>
      </c>
      <c r="AO9635" t="s">
        <v>88</v>
      </c>
      <c r="AP9635" t="s">
        <v>88</v>
      </c>
      <c r="AQ9635">
        <v>1</v>
      </c>
      <c r="AR9635" t="s">
        <v>89</v>
      </c>
      <c r="AS9635" t="s">
        <v>90</v>
      </c>
      <c r="AT9635" t="s">
        <v>58</v>
      </c>
      <c r="AU9635" t="s">
        <v>131</v>
      </c>
      <c r="AV9635" t="s">
        <v>132</v>
      </c>
      <c r="AW9635" s="1">
        <v>32571</v>
      </c>
      <c r="AX9635">
        <v>1</v>
      </c>
    </row>
    <row r="9636" spans="1:50">
      <c r="B9636" t="str">
        <f>"123418361"</f>
        <v>123418361</v>
      </c>
      <c r="C9636" t="s">
        <v>50</v>
      </c>
      <c r="D9636" t="s">
        <v>1754</v>
      </c>
      <c r="E9636" t="s">
        <v>710</v>
      </c>
      <c r="F9636" t="s">
        <v>202</v>
      </c>
      <c r="G9636" t="s">
        <v>73</v>
      </c>
      <c r="H9636" t="str">
        <f>"ΓΡ. ΜΟΥΡΙΚΗ  13 "</f>
        <v xml:space="preserve">ΓΡ. ΜΟΥΡΙΚΗ  13 </v>
      </c>
      <c r="I9636">
        <v>17343</v>
      </c>
      <c r="J9636">
        <v>2109708630</v>
      </c>
      <c r="K9636">
        <v>6982150914</v>
      </c>
      <c r="N9636" t="s">
        <v>1525</v>
      </c>
      <c r="O9636" t="s">
        <v>1526</v>
      </c>
      <c r="R9636" t="s">
        <v>159</v>
      </c>
      <c r="S9636">
        <v>2</v>
      </c>
      <c r="T9636" t="s">
        <v>8670</v>
      </c>
      <c r="U9636" s="1">
        <v>43348</v>
      </c>
      <c r="V9636" t="s">
        <v>89</v>
      </c>
      <c r="W9636" t="s">
        <v>90</v>
      </c>
      <c r="X9636" t="s">
        <v>58</v>
      </c>
      <c r="Y9636">
        <v>25</v>
      </c>
      <c r="Z9636" t="s">
        <v>59</v>
      </c>
      <c r="AA9636" t="s">
        <v>59</v>
      </c>
      <c r="AB9636" t="s">
        <v>59</v>
      </c>
      <c r="AC9636" t="s">
        <v>59</v>
      </c>
      <c r="AD9636" t="s">
        <v>59</v>
      </c>
      <c r="AF9636" s="1">
        <v>43348</v>
      </c>
      <c r="AG9636" t="s">
        <v>8651</v>
      </c>
      <c r="AH9636" t="s">
        <v>8652</v>
      </c>
      <c r="AI9636" t="str">
        <f>"9500226"</f>
        <v>9500226</v>
      </c>
      <c r="AJ9636" t="s">
        <v>14063</v>
      </c>
      <c r="AK9636">
        <v>2822041706</v>
      </c>
      <c r="AL9636" t="s">
        <v>14064</v>
      </c>
      <c r="AM9636" t="s">
        <v>88</v>
      </c>
      <c r="AN9636" t="s">
        <v>6744</v>
      </c>
      <c r="AO9636" t="s">
        <v>6744</v>
      </c>
      <c r="AP9636" t="s">
        <v>13045</v>
      </c>
      <c r="AQ9636">
        <v>9</v>
      </c>
      <c r="AR9636" t="s">
        <v>89</v>
      </c>
      <c r="AS9636" t="s">
        <v>90</v>
      </c>
      <c r="AT9636" t="s">
        <v>58</v>
      </c>
      <c r="AU9636" t="s">
        <v>8673</v>
      </c>
      <c r="AV9636" t="s">
        <v>132</v>
      </c>
      <c r="AW9636" s="1">
        <v>30710</v>
      </c>
      <c r="AX9636">
        <v>1</v>
      </c>
    </row>
    <row r="9637" spans="1:50">
      <c r="A9637">
        <v>561392</v>
      </c>
      <c r="B9637" t="str">
        <f>"101565177"</f>
        <v>101565177</v>
      </c>
      <c r="C9637" t="s">
        <v>50</v>
      </c>
      <c r="D9637" t="s">
        <v>14580</v>
      </c>
      <c r="E9637" t="s">
        <v>52</v>
      </c>
      <c r="F9637" t="s">
        <v>995</v>
      </c>
      <c r="G9637" t="s">
        <v>1361</v>
      </c>
      <c r="H9637" t="str">
        <f>"ΑΝΤ. ΓΙΑΝΝΑΡΗ 6 ΧΑΝΙΑ"</f>
        <v>ΑΝΤ. ΓΙΑΝΝΑΡΗ 6 ΧΑΝΙΑ</v>
      </c>
      <c r="I9637">
        <v>73134</v>
      </c>
      <c r="J9637">
        <v>2821028274</v>
      </c>
      <c r="K9637">
        <v>6977977507</v>
      </c>
      <c r="M9637" t="s">
        <v>14581</v>
      </c>
      <c r="N9637" t="s">
        <v>615</v>
      </c>
      <c r="O9637" t="s">
        <v>616</v>
      </c>
      <c r="R9637" t="s">
        <v>57</v>
      </c>
      <c r="S9637">
        <v>16</v>
      </c>
      <c r="T9637">
        <v>159</v>
      </c>
      <c r="U9637" s="1">
        <v>32385</v>
      </c>
      <c r="V9637" t="s">
        <v>89</v>
      </c>
      <c r="W9637" t="s">
        <v>90</v>
      </c>
      <c r="X9637" t="s">
        <v>58</v>
      </c>
      <c r="Y9637">
        <v>21</v>
      </c>
      <c r="Z9637" t="s">
        <v>59</v>
      </c>
      <c r="AA9637" t="s">
        <v>59</v>
      </c>
      <c r="AB9637" t="s">
        <v>59</v>
      </c>
      <c r="AC9637" t="s">
        <v>59</v>
      </c>
      <c r="AD9637" t="s">
        <v>59</v>
      </c>
      <c r="AF9637" s="1">
        <v>32385</v>
      </c>
      <c r="AG9637" t="s">
        <v>8645</v>
      </c>
      <c r="AH9637" t="s">
        <v>8646</v>
      </c>
      <c r="AI9637" t="str">
        <f>"9500045"</f>
        <v>9500045</v>
      </c>
      <c r="AJ9637" t="s">
        <v>13887</v>
      </c>
      <c r="AK9637">
        <v>2821044369</v>
      </c>
      <c r="AL9637" t="s">
        <v>13888</v>
      </c>
      <c r="AM9637" t="s">
        <v>88</v>
      </c>
      <c r="AN9637" t="s">
        <v>88</v>
      </c>
      <c r="AO9637" t="s">
        <v>88</v>
      </c>
      <c r="AP9637" t="s">
        <v>88</v>
      </c>
      <c r="AQ9637">
        <v>1</v>
      </c>
      <c r="AR9637" t="s">
        <v>89</v>
      </c>
      <c r="AS9637" t="s">
        <v>90</v>
      </c>
      <c r="AT9637" t="s">
        <v>58</v>
      </c>
      <c r="AU9637" t="s">
        <v>68</v>
      </c>
      <c r="AV9637" t="s">
        <v>2039</v>
      </c>
      <c r="AW9637" s="1">
        <v>23852</v>
      </c>
      <c r="AX9637">
        <v>1</v>
      </c>
    </row>
    <row r="9638" spans="1:50">
      <c r="A9638">
        <v>561883</v>
      </c>
      <c r="B9638" t="str">
        <f>"033400915"</f>
        <v>033400915</v>
      </c>
      <c r="C9638" t="s">
        <v>50</v>
      </c>
      <c r="D9638" t="s">
        <v>14582</v>
      </c>
      <c r="E9638" t="s">
        <v>14583</v>
      </c>
      <c r="F9638" t="s">
        <v>377</v>
      </c>
      <c r="G9638" t="s">
        <v>411</v>
      </c>
      <c r="H9638" t="str">
        <f>"Γ. ΠΑΠΑΝΔΡΕΟΥ 13 ΣΥΡΟΣ"</f>
        <v>Γ. ΠΑΠΑΝΔΡΕΟΥ 13 ΣΥΡΟΣ</v>
      </c>
      <c r="I9638">
        <v>84100</v>
      </c>
      <c r="J9638">
        <v>2281080508</v>
      </c>
      <c r="K9638">
        <v>6979774050</v>
      </c>
      <c r="M9638" t="s">
        <v>14584</v>
      </c>
      <c r="N9638" t="s">
        <v>1525</v>
      </c>
      <c r="O9638" t="s">
        <v>1526</v>
      </c>
      <c r="R9638" t="s">
        <v>57</v>
      </c>
      <c r="S9638">
        <v>15</v>
      </c>
      <c r="T9638">
        <v>159</v>
      </c>
      <c r="U9638" s="1">
        <v>32385</v>
      </c>
      <c r="V9638" t="s">
        <v>89</v>
      </c>
      <c r="W9638" t="s">
        <v>90</v>
      </c>
      <c r="X9638" t="s">
        <v>58</v>
      </c>
      <c r="Y9638">
        <v>25</v>
      </c>
      <c r="Z9638" t="s">
        <v>59</v>
      </c>
      <c r="AA9638" t="s">
        <v>59</v>
      </c>
      <c r="AB9638" t="s">
        <v>452</v>
      </c>
      <c r="AC9638" t="s">
        <v>59</v>
      </c>
      <c r="AD9638" t="s">
        <v>59</v>
      </c>
      <c r="AF9638" s="1">
        <v>32387</v>
      </c>
      <c r="AG9638" t="s">
        <v>8651</v>
      </c>
      <c r="AH9638" t="s">
        <v>8652</v>
      </c>
      <c r="AI9638" t="str">
        <f>"9500321"</f>
        <v>9500321</v>
      </c>
      <c r="AJ9638" t="s">
        <v>14585</v>
      </c>
      <c r="AK9638">
        <v>2825061584</v>
      </c>
      <c r="AL9638" t="s">
        <v>14586</v>
      </c>
      <c r="AM9638" t="s">
        <v>88</v>
      </c>
      <c r="AN9638" t="s">
        <v>6775</v>
      </c>
      <c r="AO9638" t="s">
        <v>13929</v>
      </c>
      <c r="AP9638" t="s">
        <v>13929</v>
      </c>
      <c r="AQ9638">
        <v>8</v>
      </c>
      <c r="AR9638" t="s">
        <v>89</v>
      </c>
      <c r="AS9638" t="s">
        <v>90</v>
      </c>
      <c r="AT9638" t="s">
        <v>58</v>
      </c>
      <c r="AU9638" t="s">
        <v>68</v>
      </c>
      <c r="AV9638" t="s">
        <v>69</v>
      </c>
      <c r="AW9638" s="1">
        <v>23660</v>
      </c>
      <c r="AX9638">
        <v>1</v>
      </c>
    </row>
    <row r="9639" spans="1:50">
      <c r="B9639" t="str">
        <f>"151473132"</f>
        <v>151473132</v>
      </c>
      <c r="C9639" t="s">
        <v>50</v>
      </c>
      <c r="D9639" t="s">
        <v>14587</v>
      </c>
      <c r="E9639" t="s">
        <v>484</v>
      </c>
      <c r="F9639" t="s">
        <v>53</v>
      </c>
      <c r="G9639" t="s">
        <v>314</v>
      </c>
      <c r="H9639" t="str">
        <f>" "</f>
        <v xml:space="preserve"> </v>
      </c>
      <c r="N9639" t="s">
        <v>8834</v>
      </c>
      <c r="O9639" t="s">
        <v>8695</v>
      </c>
      <c r="R9639" t="s">
        <v>121</v>
      </c>
      <c r="S9639">
        <v>3</v>
      </c>
      <c r="T9639" t="s">
        <v>8835</v>
      </c>
      <c r="U9639" s="1">
        <v>43348</v>
      </c>
      <c r="V9639" t="s">
        <v>89</v>
      </c>
      <c r="W9639" t="s">
        <v>90</v>
      </c>
      <c r="X9639" t="s">
        <v>58</v>
      </c>
      <c r="Y9639">
        <v>24</v>
      </c>
      <c r="Z9639" t="s">
        <v>59</v>
      </c>
      <c r="AA9639" t="s">
        <v>59</v>
      </c>
      <c r="AB9639" t="s">
        <v>59</v>
      </c>
      <c r="AD9639" t="s">
        <v>59</v>
      </c>
      <c r="AF9639" s="1">
        <v>43348</v>
      </c>
      <c r="AG9639" t="s">
        <v>8645</v>
      </c>
      <c r="AH9639" t="s">
        <v>8646</v>
      </c>
      <c r="AI9639" t="str">
        <f>"9500175"</f>
        <v>9500175</v>
      </c>
      <c r="AJ9639" t="s">
        <v>14538</v>
      </c>
      <c r="AK9639">
        <v>2823041233</v>
      </c>
      <c r="AL9639" t="s">
        <v>14539</v>
      </c>
      <c r="AM9639" t="s">
        <v>88</v>
      </c>
      <c r="AN9639" t="s">
        <v>6824</v>
      </c>
      <c r="AO9639" t="s">
        <v>6870</v>
      </c>
      <c r="AP9639" t="s">
        <v>6871</v>
      </c>
      <c r="AQ9639">
        <v>11</v>
      </c>
      <c r="AR9639" t="s">
        <v>89</v>
      </c>
      <c r="AS9639" t="s">
        <v>90</v>
      </c>
      <c r="AT9639" t="s">
        <v>58</v>
      </c>
      <c r="AU9639" t="s">
        <v>131</v>
      </c>
      <c r="AV9639" t="s">
        <v>132</v>
      </c>
      <c r="AW9639" s="1">
        <v>33475</v>
      </c>
      <c r="AX9639">
        <v>1</v>
      </c>
    </row>
    <row r="9640" spans="1:50">
      <c r="A9640">
        <v>595844</v>
      </c>
      <c r="B9640" t="str">
        <f>"079902078"</f>
        <v>079902078</v>
      </c>
      <c r="C9640" t="s">
        <v>50</v>
      </c>
      <c r="D9640" t="s">
        <v>14588</v>
      </c>
      <c r="E9640" t="s">
        <v>314</v>
      </c>
      <c r="F9640" t="s">
        <v>106</v>
      </c>
      <c r="G9640" t="s">
        <v>600</v>
      </c>
      <c r="H9640" t="str">
        <f>"Θ.ΚΟΛΟΚΟΤΡΩΝΗ 6 Κ.ΔΑΡΑΤΣΟ-ΧΑΝΙΑ"</f>
        <v>Θ.ΚΟΛΟΚΟΤΡΩΝΗ 6 Κ.ΔΑΡΑΤΣΟ-ΧΑΝΙΑ</v>
      </c>
      <c r="I9640">
        <v>73100</v>
      </c>
      <c r="J9640">
        <v>2821034076</v>
      </c>
      <c r="N9640" t="s">
        <v>1525</v>
      </c>
      <c r="O9640" t="s">
        <v>1526</v>
      </c>
      <c r="R9640" t="s">
        <v>57</v>
      </c>
      <c r="S9640">
        <v>9</v>
      </c>
      <c r="T9640">
        <v>218</v>
      </c>
      <c r="U9640" s="1">
        <v>37134</v>
      </c>
      <c r="V9640" t="s">
        <v>89</v>
      </c>
      <c r="W9640" t="s">
        <v>90</v>
      </c>
      <c r="X9640" t="s">
        <v>58</v>
      </c>
      <c r="Y9640">
        <v>25</v>
      </c>
      <c r="Z9640" t="s">
        <v>59</v>
      </c>
      <c r="AA9640" t="s">
        <v>59</v>
      </c>
      <c r="AB9640" t="s">
        <v>59</v>
      </c>
      <c r="AC9640" t="s">
        <v>59</v>
      </c>
      <c r="AD9640" t="s">
        <v>59</v>
      </c>
      <c r="AF9640" s="1">
        <v>37144</v>
      </c>
      <c r="AG9640" t="s">
        <v>8651</v>
      </c>
      <c r="AH9640" t="s">
        <v>8652</v>
      </c>
      <c r="AI9640" t="str">
        <f>"9500271"</f>
        <v>9500271</v>
      </c>
      <c r="AJ9640" t="s">
        <v>14032</v>
      </c>
      <c r="AK9640">
        <v>2821038248</v>
      </c>
      <c r="AL9640" t="s">
        <v>14033</v>
      </c>
      <c r="AM9640" t="s">
        <v>88</v>
      </c>
      <c r="AN9640" t="s">
        <v>88</v>
      </c>
      <c r="AO9640" t="s">
        <v>6785</v>
      </c>
      <c r="AP9640" t="s">
        <v>13853</v>
      </c>
      <c r="AQ9640">
        <v>3</v>
      </c>
      <c r="AR9640" t="s">
        <v>89</v>
      </c>
      <c r="AS9640" t="s">
        <v>90</v>
      </c>
      <c r="AT9640" t="s">
        <v>58</v>
      </c>
      <c r="AU9640" t="s">
        <v>68</v>
      </c>
      <c r="AV9640" t="s">
        <v>69</v>
      </c>
      <c r="AW9640" s="1">
        <v>23370</v>
      </c>
      <c r="AX9640">
        <v>1</v>
      </c>
    </row>
    <row r="9641" spans="1:50">
      <c r="A9641">
        <v>578008</v>
      </c>
      <c r="B9641" t="str">
        <f>"122966670"</f>
        <v>122966670</v>
      </c>
      <c r="C9641" t="s">
        <v>50</v>
      </c>
      <c r="D9641" t="s">
        <v>14589</v>
      </c>
      <c r="E9641" t="s">
        <v>237</v>
      </c>
      <c r="F9641" t="s">
        <v>315</v>
      </c>
      <c r="G9641" t="s">
        <v>83</v>
      </c>
      <c r="H9641" t="str">
        <f>"Ι.ΚΑΖΑΚΟΥ 20 ΧΑΝΙΑ"</f>
        <v>Ι.ΚΑΖΑΚΟΥ 20 ΧΑΝΙΑ</v>
      </c>
      <c r="I9641">
        <v>73100</v>
      </c>
      <c r="J9641">
        <v>2821058217</v>
      </c>
      <c r="K9641">
        <v>6972381031</v>
      </c>
      <c r="N9641" t="s">
        <v>615</v>
      </c>
      <c r="O9641" t="s">
        <v>616</v>
      </c>
      <c r="R9641" t="s">
        <v>57</v>
      </c>
      <c r="S9641">
        <v>13</v>
      </c>
      <c r="T9641">
        <v>165</v>
      </c>
      <c r="U9641" s="1">
        <v>35300</v>
      </c>
      <c r="V9641" t="s">
        <v>89</v>
      </c>
      <c r="W9641" t="s">
        <v>90</v>
      </c>
      <c r="X9641" t="s">
        <v>58</v>
      </c>
      <c r="Y9641">
        <v>21</v>
      </c>
      <c r="Z9641" t="s">
        <v>59</v>
      </c>
      <c r="AA9641" t="s">
        <v>59</v>
      </c>
      <c r="AB9641" t="s">
        <v>59</v>
      </c>
      <c r="AC9641" t="s">
        <v>59</v>
      </c>
      <c r="AD9641" t="s">
        <v>59</v>
      </c>
      <c r="AF9641" s="1">
        <v>35300</v>
      </c>
      <c r="AG9641" t="s">
        <v>8645</v>
      </c>
      <c r="AH9641" t="s">
        <v>8646</v>
      </c>
      <c r="AI9641" t="str">
        <f>"9500315"</f>
        <v>9500315</v>
      </c>
      <c r="AJ9641" t="s">
        <v>14174</v>
      </c>
      <c r="AK9641">
        <v>2821040565</v>
      </c>
      <c r="AL9641" t="s">
        <v>14175</v>
      </c>
      <c r="AM9641" t="s">
        <v>88</v>
      </c>
      <c r="AN9641" t="s">
        <v>88</v>
      </c>
      <c r="AO9641" t="s">
        <v>88</v>
      </c>
      <c r="AP9641" t="s">
        <v>88</v>
      </c>
      <c r="AQ9641">
        <v>1</v>
      </c>
      <c r="AR9641" t="s">
        <v>89</v>
      </c>
      <c r="AS9641" t="s">
        <v>90</v>
      </c>
      <c r="AT9641" t="s">
        <v>58</v>
      </c>
      <c r="AU9641" t="s">
        <v>68</v>
      </c>
      <c r="AV9641" t="s">
        <v>69</v>
      </c>
      <c r="AW9641" s="1">
        <v>23395</v>
      </c>
      <c r="AX9641">
        <v>1</v>
      </c>
    </row>
    <row r="9642" spans="1:50">
      <c r="A9642">
        <v>608052</v>
      </c>
      <c r="B9642" t="str">
        <f>"039008720"</f>
        <v>039008720</v>
      </c>
      <c r="C9642" t="s">
        <v>50</v>
      </c>
      <c r="D9642" t="s">
        <v>1763</v>
      </c>
      <c r="E9642" t="s">
        <v>460</v>
      </c>
      <c r="F9642" t="s">
        <v>99</v>
      </c>
      <c r="G9642" t="s">
        <v>83</v>
      </c>
      <c r="H9642" t="str">
        <f>"Θ.ΒΑΜΒΟΥΝΑΚΗ Κ.ΔΑΡΑΤΣΟ-ΧΑΝΙΑ"</f>
        <v>Θ.ΒΑΜΒΟΥΝΑΚΗ Κ.ΔΑΡΑΤΣΟ-ΧΑΝΙΑ</v>
      </c>
      <c r="I9642">
        <v>73100</v>
      </c>
      <c r="J9642">
        <v>2821034150</v>
      </c>
      <c r="K9642">
        <v>6979200225</v>
      </c>
      <c r="N9642" t="s">
        <v>1525</v>
      </c>
      <c r="O9642" t="s">
        <v>1526</v>
      </c>
      <c r="R9642" t="s">
        <v>57</v>
      </c>
      <c r="S9642">
        <v>9</v>
      </c>
      <c r="T9642">
        <v>217</v>
      </c>
      <c r="U9642" s="1">
        <v>38596</v>
      </c>
      <c r="V9642" t="s">
        <v>89</v>
      </c>
      <c r="W9642" t="s">
        <v>90</v>
      </c>
      <c r="X9642" t="s">
        <v>58</v>
      </c>
      <c r="Y9642">
        <v>25</v>
      </c>
      <c r="Z9642" t="s">
        <v>59</v>
      </c>
      <c r="AA9642" t="s">
        <v>59</v>
      </c>
      <c r="AB9642" t="s">
        <v>59</v>
      </c>
      <c r="AC9642" t="s">
        <v>59</v>
      </c>
      <c r="AD9642" t="s">
        <v>59</v>
      </c>
      <c r="AF9642" s="1">
        <v>38600</v>
      </c>
      <c r="AG9642" t="s">
        <v>8651</v>
      </c>
      <c r="AH9642" t="s">
        <v>8652</v>
      </c>
      <c r="AI9642" t="str">
        <f>"9500367"</f>
        <v>9500367</v>
      </c>
      <c r="AJ9642" t="s">
        <v>14138</v>
      </c>
      <c r="AK9642">
        <v>2821031251</v>
      </c>
      <c r="AL9642" t="s">
        <v>14139</v>
      </c>
      <c r="AM9642" t="s">
        <v>88</v>
      </c>
      <c r="AN9642" t="s">
        <v>88</v>
      </c>
      <c r="AO9642" t="s">
        <v>6785</v>
      </c>
      <c r="AP9642" t="s">
        <v>6786</v>
      </c>
      <c r="AQ9642">
        <v>3</v>
      </c>
      <c r="AR9642" t="s">
        <v>89</v>
      </c>
      <c r="AS9642" t="s">
        <v>90</v>
      </c>
      <c r="AT9642" t="s">
        <v>58</v>
      </c>
      <c r="AU9642" t="s">
        <v>68</v>
      </c>
      <c r="AV9642" t="s">
        <v>69</v>
      </c>
      <c r="AW9642" s="1">
        <v>24237</v>
      </c>
      <c r="AX9642">
        <v>1</v>
      </c>
    </row>
    <row r="9643" spans="1:50">
      <c r="A9643">
        <v>621907</v>
      </c>
      <c r="B9643" t="str">
        <f>"137068122"</f>
        <v>137068122</v>
      </c>
      <c r="C9643" t="s">
        <v>50</v>
      </c>
      <c r="D9643" t="s">
        <v>14590</v>
      </c>
      <c r="E9643" t="s">
        <v>143</v>
      </c>
      <c r="F9643" t="s">
        <v>309</v>
      </c>
      <c r="G9643" t="s">
        <v>13119</v>
      </c>
      <c r="H9643" t="str">
        <f>"ΔΙΑΒΑΤΟΣ ΔΙΑΒΑΤΟΣ ΗΜΑΘΙΑΣ"</f>
        <v>ΔΙΑΒΑΤΟΣ ΔΙΑΒΑΤΟΣ ΗΜΑΘΙΑΣ</v>
      </c>
      <c r="I9643">
        <v>59033</v>
      </c>
      <c r="J9643">
        <v>2331042390</v>
      </c>
      <c r="K9643">
        <v>6979438446</v>
      </c>
      <c r="N9643" t="s">
        <v>615</v>
      </c>
      <c r="O9643" t="s">
        <v>616</v>
      </c>
      <c r="R9643" t="s">
        <v>57</v>
      </c>
      <c r="S9643">
        <v>5</v>
      </c>
      <c r="T9643">
        <v>653</v>
      </c>
      <c r="U9643" s="1">
        <v>40043</v>
      </c>
      <c r="V9643" t="s">
        <v>89</v>
      </c>
      <c r="W9643" t="s">
        <v>90</v>
      </c>
      <c r="X9643" t="s">
        <v>58</v>
      </c>
      <c r="Y9643">
        <v>23</v>
      </c>
      <c r="Z9643" t="s">
        <v>59</v>
      </c>
      <c r="AA9643" t="s">
        <v>59</v>
      </c>
      <c r="AB9643" t="s">
        <v>59</v>
      </c>
      <c r="AC9643" t="s">
        <v>59</v>
      </c>
      <c r="AD9643" t="s">
        <v>59</v>
      </c>
      <c r="AF9643" s="1">
        <v>40043</v>
      </c>
      <c r="AG9643" t="s">
        <v>8645</v>
      </c>
      <c r="AH9643" t="s">
        <v>8646</v>
      </c>
      <c r="AI9643" t="str">
        <f>"9500009"</f>
        <v>9500009</v>
      </c>
      <c r="AJ9643" t="s">
        <v>13927</v>
      </c>
      <c r="AK9643">
        <v>2825061346</v>
      </c>
      <c r="AL9643" t="s">
        <v>13928</v>
      </c>
      <c r="AM9643" t="s">
        <v>88</v>
      </c>
      <c r="AN9643" t="s">
        <v>6775</v>
      </c>
      <c r="AO9643" t="s">
        <v>13929</v>
      </c>
      <c r="AP9643" t="s">
        <v>13929</v>
      </c>
      <c r="AQ9643">
        <v>8</v>
      </c>
      <c r="AR9643" t="s">
        <v>89</v>
      </c>
      <c r="AS9643" t="s">
        <v>90</v>
      </c>
      <c r="AT9643" t="s">
        <v>58</v>
      </c>
      <c r="AU9643" t="s">
        <v>68</v>
      </c>
      <c r="AV9643" t="s">
        <v>69</v>
      </c>
      <c r="AW9643" s="1">
        <v>31458</v>
      </c>
      <c r="AX9643">
        <v>1</v>
      </c>
    </row>
    <row r="9644" spans="1:50">
      <c r="B9644" t="str">
        <f>"130410040"</f>
        <v>130410040</v>
      </c>
      <c r="C9644" t="s">
        <v>50</v>
      </c>
      <c r="D9644" t="s">
        <v>14591</v>
      </c>
      <c r="E9644" t="s">
        <v>715</v>
      </c>
      <c r="F9644" t="s">
        <v>154</v>
      </c>
      <c r="G9644" t="s">
        <v>52</v>
      </c>
      <c r="H9644" t="str">
        <f>"ΧΡΥΣΟΠΗΓΗΣ 89 "</f>
        <v xml:space="preserve">ΧΡΥΣΟΠΗΓΗΣ 89 </v>
      </c>
      <c r="I9644">
        <v>73100</v>
      </c>
      <c r="J9644">
        <v>2821097961</v>
      </c>
      <c r="K9644">
        <v>6942635586</v>
      </c>
      <c r="M9644" t="s">
        <v>14592</v>
      </c>
      <c r="N9644" t="s">
        <v>1525</v>
      </c>
      <c r="O9644" t="s">
        <v>1526</v>
      </c>
      <c r="R9644" t="s">
        <v>159</v>
      </c>
      <c r="S9644">
        <v>4</v>
      </c>
      <c r="T9644" t="s">
        <v>8670</v>
      </c>
      <c r="U9644" s="1">
        <v>43348</v>
      </c>
      <c r="V9644" t="s">
        <v>89</v>
      </c>
      <c r="W9644" t="s">
        <v>90</v>
      </c>
      <c r="X9644" t="s">
        <v>58</v>
      </c>
      <c r="Y9644">
        <v>25</v>
      </c>
      <c r="Z9644" t="s">
        <v>59</v>
      </c>
      <c r="AA9644" t="s">
        <v>59</v>
      </c>
      <c r="AB9644" t="s">
        <v>59</v>
      </c>
      <c r="AC9644" t="s">
        <v>59</v>
      </c>
      <c r="AD9644" t="s">
        <v>59</v>
      </c>
      <c r="AF9644" s="1">
        <v>43348</v>
      </c>
      <c r="AG9644" t="s">
        <v>8651</v>
      </c>
      <c r="AH9644" t="s">
        <v>8652</v>
      </c>
      <c r="AI9644" t="str">
        <f>"9500345"</f>
        <v>9500345</v>
      </c>
      <c r="AJ9644" t="s">
        <v>14593</v>
      </c>
      <c r="AK9644">
        <v>2821054443</v>
      </c>
      <c r="AL9644" t="s">
        <v>14594</v>
      </c>
      <c r="AM9644" t="s">
        <v>88</v>
      </c>
      <c r="AN9644" t="s">
        <v>88</v>
      </c>
      <c r="AO9644" t="s">
        <v>88</v>
      </c>
      <c r="AP9644" t="s">
        <v>88</v>
      </c>
      <c r="AQ9644">
        <v>1</v>
      </c>
      <c r="AR9644" t="s">
        <v>89</v>
      </c>
      <c r="AS9644" t="s">
        <v>90</v>
      </c>
      <c r="AT9644" t="s">
        <v>58</v>
      </c>
      <c r="AU9644" t="s">
        <v>8673</v>
      </c>
      <c r="AV9644" t="s">
        <v>132</v>
      </c>
      <c r="AW9644" s="1">
        <v>30065</v>
      </c>
      <c r="AX9644">
        <v>1</v>
      </c>
    </row>
    <row r="9645" spans="1:50">
      <c r="A9645">
        <v>187952</v>
      </c>
      <c r="B9645" t="str">
        <f>"044332391"</f>
        <v>044332391</v>
      </c>
      <c r="C9645" t="s">
        <v>105</v>
      </c>
      <c r="D9645" t="s">
        <v>14595</v>
      </c>
      <c r="E9645" t="s">
        <v>99</v>
      </c>
      <c r="F9645" t="s">
        <v>581</v>
      </c>
      <c r="G9645" t="s">
        <v>83</v>
      </c>
      <c r="H9645" t="str">
        <f>"ΜΟΝΗ ΓΩΝΙΑΣ 45 ΝΕΑ ΧΩΡΑ"</f>
        <v>ΜΟΝΗ ΓΩΝΙΑΣ 45 ΝΕΑ ΧΩΡΑ</v>
      </c>
      <c r="J9645">
        <v>2821086460</v>
      </c>
      <c r="K9645">
        <v>6947861809</v>
      </c>
      <c r="N9645" t="s">
        <v>204</v>
      </c>
      <c r="O9645" t="s">
        <v>205</v>
      </c>
      <c r="R9645" t="s">
        <v>57</v>
      </c>
      <c r="S9645">
        <v>13</v>
      </c>
      <c r="T9645">
        <v>251</v>
      </c>
      <c r="U9645" s="1">
        <v>36769</v>
      </c>
      <c r="V9645" t="s">
        <v>89</v>
      </c>
      <c r="W9645" t="s">
        <v>90</v>
      </c>
      <c r="X9645" t="s">
        <v>58</v>
      </c>
      <c r="Y9645">
        <v>21</v>
      </c>
      <c r="Z9645" t="s">
        <v>59</v>
      </c>
      <c r="AA9645" t="s">
        <v>59</v>
      </c>
      <c r="AB9645" t="s">
        <v>59</v>
      </c>
      <c r="AC9645" t="s">
        <v>59</v>
      </c>
      <c r="AD9645" t="s">
        <v>59</v>
      </c>
      <c r="AF9645" s="1">
        <v>36770</v>
      </c>
      <c r="AG9645" t="s">
        <v>8645</v>
      </c>
      <c r="AH9645" t="s">
        <v>8646</v>
      </c>
      <c r="AI9645" t="str">
        <f>"9500041"</f>
        <v>9500041</v>
      </c>
      <c r="AJ9645" t="s">
        <v>13944</v>
      </c>
      <c r="AK9645">
        <v>2821028218</v>
      </c>
      <c r="AL9645" t="s">
        <v>13945</v>
      </c>
      <c r="AM9645" t="s">
        <v>88</v>
      </c>
      <c r="AN9645" t="s">
        <v>88</v>
      </c>
      <c r="AO9645" t="s">
        <v>88</v>
      </c>
      <c r="AP9645" t="s">
        <v>88</v>
      </c>
      <c r="AQ9645">
        <v>1</v>
      </c>
      <c r="AR9645" t="s">
        <v>89</v>
      </c>
      <c r="AS9645" t="s">
        <v>90</v>
      </c>
      <c r="AT9645" t="s">
        <v>58</v>
      </c>
      <c r="AU9645" t="s">
        <v>68</v>
      </c>
      <c r="AV9645" t="s">
        <v>69</v>
      </c>
      <c r="AW9645" s="1">
        <v>24572</v>
      </c>
      <c r="AX9645">
        <v>1</v>
      </c>
    </row>
    <row r="9646" spans="1:50">
      <c r="B9646" t="str">
        <f>"146567584"</f>
        <v>146567584</v>
      </c>
      <c r="C9646" t="s">
        <v>50</v>
      </c>
      <c r="D9646" t="s">
        <v>14596</v>
      </c>
      <c r="E9646" t="s">
        <v>869</v>
      </c>
      <c r="F9646" t="s">
        <v>99</v>
      </c>
      <c r="G9646" t="s">
        <v>396</v>
      </c>
      <c r="H9646" t="str">
        <f>"ΚΑΛΛΙΘΗΡΟ ΚΑΡΔΙΤΣΑ"</f>
        <v>ΚΑΛΛΙΘΗΡΟ ΚΑΡΔΙΤΣΑ</v>
      </c>
      <c r="I9646">
        <v>43100</v>
      </c>
      <c r="J9646">
        <v>2441081604</v>
      </c>
      <c r="K9646">
        <v>6947536144</v>
      </c>
      <c r="M9646" t="s">
        <v>14597</v>
      </c>
      <c r="N9646" t="s">
        <v>615</v>
      </c>
      <c r="O9646" t="s">
        <v>616</v>
      </c>
      <c r="R9646" t="s">
        <v>159</v>
      </c>
      <c r="S9646">
        <v>3</v>
      </c>
      <c r="T9646" t="s">
        <v>8675</v>
      </c>
      <c r="U9646" s="1">
        <v>43348</v>
      </c>
      <c r="V9646" t="s">
        <v>89</v>
      </c>
      <c r="W9646" t="s">
        <v>90</v>
      </c>
      <c r="X9646" t="s">
        <v>58</v>
      </c>
      <c r="Y9646">
        <v>24</v>
      </c>
      <c r="Z9646" t="s">
        <v>59</v>
      </c>
      <c r="AA9646" t="s">
        <v>59</v>
      </c>
      <c r="AB9646" t="s">
        <v>59</v>
      </c>
      <c r="AC9646" t="s">
        <v>59</v>
      </c>
      <c r="AD9646" t="s">
        <v>59</v>
      </c>
      <c r="AF9646" s="1">
        <v>43348</v>
      </c>
      <c r="AG9646" t="s">
        <v>8645</v>
      </c>
      <c r="AH9646" t="s">
        <v>8646</v>
      </c>
      <c r="AI9646" t="str">
        <f>"9500055"</f>
        <v>9500055</v>
      </c>
      <c r="AJ9646" t="s">
        <v>14096</v>
      </c>
      <c r="AK9646">
        <v>2825092237</v>
      </c>
      <c r="AL9646" t="s">
        <v>14095</v>
      </c>
      <c r="AM9646" t="s">
        <v>88</v>
      </c>
      <c r="AN9646" t="s">
        <v>6995</v>
      </c>
      <c r="AO9646" t="s">
        <v>6995</v>
      </c>
      <c r="AP9646" t="s">
        <v>14097</v>
      </c>
      <c r="AQ9646">
        <v>10</v>
      </c>
      <c r="AR9646" t="s">
        <v>89</v>
      </c>
      <c r="AS9646" t="s">
        <v>90</v>
      </c>
      <c r="AT9646" t="s">
        <v>58</v>
      </c>
      <c r="AU9646" t="s">
        <v>8673</v>
      </c>
      <c r="AV9646" t="s">
        <v>132</v>
      </c>
      <c r="AW9646" s="1">
        <v>32111</v>
      </c>
      <c r="AX9646">
        <v>1</v>
      </c>
    </row>
    <row r="9647" spans="1:50">
      <c r="B9647" t="str">
        <f>"132138987"</f>
        <v>132138987</v>
      </c>
      <c r="C9647" t="s">
        <v>50</v>
      </c>
      <c r="D9647" t="s">
        <v>14598</v>
      </c>
      <c r="E9647" t="s">
        <v>155</v>
      </c>
      <c r="F9647" t="s">
        <v>936</v>
      </c>
      <c r="G9647" t="s">
        <v>237</v>
      </c>
      <c r="H9647" t="str">
        <f>"ΑΡΙΣΤΟΤΕΛΟΥΣ 33 ΝΑΟΥΣΑ"</f>
        <v>ΑΡΙΣΤΟΤΕΛΟΥΣ 33 ΝΑΟΥΣΑ</v>
      </c>
      <c r="I9647">
        <v>59200</v>
      </c>
      <c r="J9647">
        <v>2332023006</v>
      </c>
      <c r="K9647">
        <v>6973658913</v>
      </c>
      <c r="M9647" t="s">
        <v>14599</v>
      </c>
      <c r="N9647" t="s">
        <v>1525</v>
      </c>
      <c r="O9647" t="s">
        <v>1526</v>
      </c>
      <c r="R9647" t="s">
        <v>57</v>
      </c>
      <c r="S9647">
        <v>4</v>
      </c>
      <c r="T9647" t="s">
        <v>8670</v>
      </c>
      <c r="U9647" s="1">
        <v>43348</v>
      </c>
      <c r="V9647" t="s">
        <v>89</v>
      </c>
      <c r="W9647" t="s">
        <v>90</v>
      </c>
      <c r="X9647" t="s">
        <v>58</v>
      </c>
      <c r="Y9647">
        <v>25</v>
      </c>
      <c r="Z9647" t="s">
        <v>59</v>
      </c>
      <c r="AA9647" t="s">
        <v>59</v>
      </c>
      <c r="AB9647" t="s">
        <v>59</v>
      </c>
      <c r="AC9647" t="s">
        <v>59</v>
      </c>
      <c r="AD9647" t="s">
        <v>59</v>
      </c>
      <c r="AF9647" s="1">
        <v>43348</v>
      </c>
      <c r="AG9647" t="s">
        <v>8651</v>
      </c>
      <c r="AH9647" t="s">
        <v>8652</v>
      </c>
      <c r="AI9647" t="str">
        <f>"9500382"</f>
        <v>9500382</v>
      </c>
      <c r="AJ9647" t="s">
        <v>14600</v>
      </c>
      <c r="AK9647">
        <v>2821062343</v>
      </c>
      <c r="AL9647" t="s">
        <v>14601</v>
      </c>
      <c r="AM9647" t="s">
        <v>88</v>
      </c>
      <c r="AN9647" t="s">
        <v>6764</v>
      </c>
      <c r="AO9647" t="s">
        <v>6764</v>
      </c>
      <c r="AP9647" t="s">
        <v>14488</v>
      </c>
      <c r="AQ9647">
        <v>5</v>
      </c>
      <c r="AR9647" t="s">
        <v>89</v>
      </c>
      <c r="AS9647" t="s">
        <v>90</v>
      </c>
      <c r="AT9647" t="s">
        <v>58</v>
      </c>
      <c r="AU9647" t="s">
        <v>8673</v>
      </c>
      <c r="AV9647" t="s">
        <v>132</v>
      </c>
      <c r="AW9647" s="1">
        <v>30507</v>
      </c>
      <c r="AX9647">
        <v>1</v>
      </c>
    </row>
    <row r="9648" spans="1:50">
      <c r="A9648">
        <v>575979</v>
      </c>
      <c r="B9648" t="str">
        <f>"036341873"</f>
        <v>036341873</v>
      </c>
      <c r="C9648" t="s">
        <v>50</v>
      </c>
      <c r="D9648" t="s">
        <v>14602</v>
      </c>
      <c r="E9648" t="s">
        <v>755</v>
      </c>
      <c r="F9648" t="s">
        <v>202</v>
      </c>
      <c r="G9648" t="s">
        <v>52</v>
      </c>
      <c r="H9648" t="str">
        <f>"ΕΥΑΓΓΕΛΙΣΤΡΙΑΣ ΚΟΥΝΟΥΠΙΔΙΑΝΑ-ΧΑΝΙΑ"</f>
        <v>ΕΥΑΓΓΕΛΙΣΤΡΙΑΣ ΚΟΥΝΟΥΠΙΔΙΑΝΑ-ΧΑΝΙΑ</v>
      </c>
      <c r="I9648">
        <v>73100</v>
      </c>
      <c r="J9648">
        <v>2821069632</v>
      </c>
      <c r="K9648">
        <v>6939377625</v>
      </c>
      <c r="N9648" t="s">
        <v>1525</v>
      </c>
      <c r="O9648" t="s">
        <v>1526</v>
      </c>
      <c r="R9648" t="s">
        <v>57</v>
      </c>
      <c r="S9648">
        <v>13</v>
      </c>
      <c r="T9648">
        <v>184</v>
      </c>
      <c r="U9648" s="1">
        <v>34941</v>
      </c>
      <c r="V9648" t="s">
        <v>89</v>
      </c>
      <c r="W9648" t="s">
        <v>90</v>
      </c>
      <c r="X9648" t="s">
        <v>58</v>
      </c>
      <c r="Y9648">
        <v>25</v>
      </c>
      <c r="Z9648" t="s">
        <v>59</v>
      </c>
      <c r="AA9648" t="s">
        <v>59</v>
      </c>
      <c r="AB9648" t="s">
        <v>59</v>
      </c>
      <c r="AC9648" t="s">
        <v>59</v>
      </c>
      <c r="AD9648" t="s">
        <v>59</v>
      </c>
      <c r="AF9648" s="1">
        <v>34943</v>
      </c>
      <c r="AG9648" t="s">
        <v>8651</v>
      </c>
      <c r="AH9648" t="s">
        <v>8652</v>
      </c>
      <c r="AI9648" t="str">
        <f>"9500413"</f>
        <v>9500413</v>
      </c>
      <c r="AJ9648" t="s">
        <v>14125</v>
      </c>
      <c r="AK9648">
        <v>2821064655</v>
      </c>
      <c r="AL9648" t="s">
        <v>14126</v>
      </c>
      <c r="AM9648" t="s">
        <v>88</v>
      </c>
      <c r="AN9648" t="s">
        <v>88</v>
      </c>
      <c r="AO9648" t="s">
        <v>6770</v>
      </c>
      <c r="AP9648" t="s">
        <v>6771</v>
      </c>
      <c r="AQ9648">
        <v>2</v>
      </c>
      <c r="AR9648" t="s">
        <v>89</v>
      </c>
      <c r="AS9648" t="s">
        <v>90</v>
      </c>
      <c r="AT9648" t="s">
        <v>58</v>
      </c>
      <c r="AU9648" t="s">
        <v>68</v>
      </c>
      <c r="AV9648" t="s">
        <v>69</v>
      </c>
      <c r="AW9648" s="1">
        <v>24060</v>
      </c>
      <c r="AX9648">
        <v>1</v>
      </c>
    </row>
    <row r="9649" spans="1:50">
      <c r="A9649">
        <v>613750</v>
      </c>
      <c r="B9649" t="str">
        <f>"044140565"</f>
        <v>044140565</v>
      </c>
      <c r="C9649" t="s">
        <v>50</v>
      </c>
      <c r="D9649" t="s">
        <v>14603</v>
      </c>
      <c r="E9649" t="s">
        <v>14604</v>
      </c>
      <c r="F9649" t="s">
        <v>95</v>
      </c>
      <c r="G9649" t="s">
        <v>83</v>
      </c>
      <c r="H9649" t="str">
        <f>"ΜΑΡΙΔΑΚΗ ΚΑΙ ΚΟΚΟΤΣΗ ΧΑΝΙΑ"</f>
        <v>ΜΑΡΙΔΑΚΗ ΚΑΙ ΚΟΚΟΤΣΗ ΧΑΝΙΑ</v>
      </c>
      <c r="I9649">
        <v>73100</v>
      </c>
      <c r="J9649">
        <v>2821027698</v>
      </c>
      <c r="K9649">
        <v>6945336709</v>
      </c>
      <c r="N9649" t="s">
        <v>615</v>
      </c>
      <c r="O9649" t="s">
        <v>616</v>
      </c>
      <c r="R9649" t="s">
        <v>57</v>
      </c>
      <c r="S9649">
        <v>9</v>
      </c>
      <c r="T9649">
        <v>598</v>
      </c>
      <c r="U9649" s="1">
        <v>39310</v>
      </c>
      <c r="V9649" t="s">
        <v>89</v>
      </c>
      <c r="W9649" t="s">
        <v>90</v>
      </c>
      <c r="X9649" t="s">
        <v>58</v>
      </c>
      <c r="Y9649">
        <v>22</v>
      </c>
      <c r="Z9649" t="s">
        <v>59</v>
      </c>
      <c r="AA9649" t="s">
        <v>59</v>
      </c>
      <c r="AB9649" t="s">
        <v>59</v>
      </c>
      <c r="AC9649" t="s">
        <v>59</v>
      </c>
      <c r="AD9649" t="s">
        <v>59</v>
      </c>
      <c r="AF9649" s="1">
        <v>39310</v>
      </c>
      <c r="AG9649" t="s">
        <v>8645</v>
      </c>
      <c r="AH9649" t="s">
        <v>8646</v>
      </c>
      <c r="AI9649" t="str">
        <f>"9500338"</f>
        <v>9500338</v>
      </c>
      <c r="AJ9649" t="s">
        <v>13959</v>
      </c>
      <c r="AK9649">
        <v>2821040556</v>
      </c>
      <c r="AL9649" t="s">
        <v>13960</v>
      </c>
      <c r="AM9649" t="s">
        <v>88</v>
      </c>
      <c r="AN9649" t="s">
        <v>88</v>
      </c>
      <c r="AO9649" t="s">
        <v>88</v>
      </c>
      <c r="AP9649" t="s">
        <v>88</v>
      </c>
      <c r="AQ9649">
        <v>1</v>
      </c>
      <c r="AR9649" t="s">
        <v>89</v>
      </c>
      <c r="AS9649" t="s">
        <v>90</v>
      </c>
      <c r="AT9649" t="s">
        <v>58</v>
      </c>
      <c r="AU9649" t="s">
        <v>68</v>
      </c>
      <c r="AV9649" t="s">
        <v>69</v>
      </c>
      <c r="AW9649" s="1">
        <v>23955</v>
      </c>
      <c r="AX9649">
        <v>1</v>
      </c>
    </row>
    <row r="9650" spans="1:50">
      <c r="A9650">
        <v>620462</v>
      </c>
      <c r="B9650" t="str">
        <f>"144252265"</f>
        <v>144252265</v>
      </c>
      <c r="C9650" t="s">
        <v>50</v>
      </c>
      <c r="D9650" t="s">
        <v>14605</v>
      </c>
      <c r="E9650" t="s">
        <v>842</v>
      </c>
      <c r="F9650" t="s">
        <v>99</v>
      </c>
      <c r="G9650" t="s">
        <v>8330</v>
      </c>
      <c r="H9650" t="str">
        <f>"1914 - 32 ΚΟΜΟΤΗΝΗ"</f>
        <v>1914 - 32 ΚΟΜΟΤΗΝΗ</v>
      </c>
      <c r="I9650">
        <v>69100</v>
      </c>
      <c r="J9650">
        <v>2531026161</v>
      </c>
      <c r="K9650">
        <v>6948252662</v>
      </c>
      <c r="N9650" t="s">
        <v>615</v>
      </c>
      <c r="O9650" t="s">
        <v>616</v>
      </c>
      <c r="R9650" t="s">
        <v>57</v>
      </c>
      <c r="S9650">
        <v>5</v>
      </c>
      <c r="T9650">
        <v>653</v>
      </c>
      <c r="U9650" s="1">
        <v>40043</v>
      </c>
      <c r="V9650" t="s">
        <v>89</v>
      </c>
      <c r="W9650" t="s">
        <v>90</v>
      </c>
      <c r="X9650" t="s">
        <v>58</v>
      </c>
      <c r="Y9650">
        <v>23</v>
      </c>
      <c r="Z9650" t="s">
        <v>59</v>
      </c>
      <c r="AA9650" t="s">
        <v>59</v>
      </c>
      <c r="AB9650" t="s">
        <v>59</v>
      </c>
      <c r="AC9650" t="s">
        <v>59</v>
      </c>
      <c r="AD9650" t="s">
        <v>59</v>
      </c>
      <c r="AF9650" s="1">
        <v>40045</v>
      </c>
      <c r="AG9650" t="s">
        <v>8645</v>
      </c>
      <c r="AH9650" t="s">
        <v>8646</v>
      </c>
      <c r="AI9650" t="str">
        <f>"9500167"</f>
        <v>9500167</v>
      </c>
      <c r="AJ9650" t="s">
        <v>13922</v>
      </c>
      <c r="AK9650">
        <v>2821068357</v>
      </c>
      <c r="AL9650" t="s">
        <v>13923</v>
      </c>
      <c r="AM9650" t="s">
        <v>88</v>
      </c>
      <c r="AN9650" t="s">
        <v>6764</v>
      </c>
      <c r="AO9650" t="s">
        <v>6764</v>
      </c>
      <c r="AP9650" t="s">
        <v>6764</v>
      </c>
      <c r="AQ9650">
        <v>5</v>
      </c>
      <c r="AR9650" t="s">
        <v>89</v>
      </c>
      <c r="AS9650" t="s">
        <v>90</v>
      </c>
      <c r="AT9650" t="s">
        <v>58</v>
      </c>
      <c r="AU9650" t="s">
        <v>68</v>
      </c>
      <c r="AV9650" t="s">
        <v>69</v>
      </c>
      <c r="AW9650" s="1">
        <v>30420</v>
      </c>
      <c r="AX9650">
        <v>1</v>
      </c>
    </row>
    <row r="9651" spans="1:50">
      <c r="B9651" t="str">
        <f>"137085420"</f>
        <v>137085420</v>
      </c>
      <c r="C9651" t="s">
        <v>50</v>
      </c>
      <c r="D9651" t="s">
        <v>7342</v>
      </c>
      <c r="E9651" t="s">
        <v>484</v>
      </c>
      <c r="F9651" t="s">
        <v>99</v>
      </c>
      <c r="G9651" t="s">
        <v>155</v>
      </c>
      <c r="H9651" t="str">
        <f>"ΚΑΡΑΪΣΚΑΚΗ 11 "</f>
        <v xml:space="preserve">ΚΑΡΑΪΣΚΑΚΗ 11 </v>
      </c>
      <c r="I9651">
        <v>59031</v>
      </c>
      <c r="J9651">
        <v>2331082195</v>
      </c>
      <c r="K9651">
        <v>6982007597</v>
      </c>
      <c r="N9651" t="s">
        <v>615</v>
      </c>
      <c r="O9651" t="s">
        <v>616</v>
      </c>
      <c r="R9651" t="s">
        <v>159</v>
      </c>
      <c r="S9651">
        <v>4</v>
      </c>
      <c r="T9651" t="s">
        <v>8675</v>
      </c>
      <c r="U9651" s="1">
        <v>43348</v>
      </c>
      <c r="V9651" t="s">
        <v>89</v>
      </c>
      <c r="W9651" t="s">
        <v>90</v>
      </c>
      <c r="X9651" t="s">
        <v>58</v>
      </c>
      <c r="Y9651">
        <v>24</v>
      </c>
      <c r="Z9651" t="s">
        <v>59</v>
      </c>
      <c r="AA9651" t="s">
        <v>59</v>
      </c>
      <c r="AB9651" t="s">
        <v>59</v>
      </c>
      <c r="AC9651" t="s">
        <v>59</v>
      </c>
      <c r="AD9651" t="s">
        <v>59</v>
      </c>
      <c r="AF9651" s="1">
        <v>43348</v>
      </c>
      <c r="AG9651" t="s">
        <v>8645</v>
      </c>
      <c r="AH9651" t="s">
        <v>8646</v>
      </c>
      <c r="AI9651" t="str">
        <f>"9500148"</f>
        <v>9500148</v>
      </c>
      <c r="AJ9651" t="s">
        <v>13851</v>
      </c>
      <c r="AK9651">
        <v>2821068328</v>
      </c>
      <c r="AL9651" t="s">
        <v>13852</v>
      </c>
      <c r="AM9651" t="s">
        <v>88</v>
      </c>
      <c r="AN9651" t="s">
        <v>88</v>
      </c>
      <c r="AO9651" t="s">
        <v>6785</v>
      </c>
      <c r="AP9651" t="s">
        <v>13853</v>
      </c>
      <c r="AQ9651">
        <v>3</v>
      </c>
      <c r="AR9651" t="s">
        <v>89</v>
      </c>
      <c r="AS9651" t="s">
        <v>90</v>
      </c>
      <c r="AT9651" t="s">
        <v>58</v>
      </c>
      <c r="AU9651" t="s">
        <v>8673</v>
      </c>
      <c r="AV9651" t="s">
        <v>132</v>
      </c>
      <c r="AW9651" s="1">
        <v>31759</v>
      </c>
      <c r="AX9651">
        <v>1</v>
      </c>
    </row>
    <row r="9652" spans="1:50">
      <c r="B9652" t="str">
        <f>"150399359"</f>
        <v>150399359</v>
      </c>
      <c r="C9652" t="s">
        <v>50</v>
      </c>
      <c r="D9652" t="s">
        <v>14606</v>
      </c>
      <c r="E9652" t="s">
        <v>366</v>
      </c>
      <c r="F9652" t="s">
        <v>111</v>
      </c>
      <c r="G9652" t="s">
        <v>610</v>
      </c>
      <c r="H9652" t="str">
        <f>"Αριστοτέλους 121 Κουνουπιδιανά Χανιά"</f>
        <v>Αριστοτέλους 121 Κουνουπιδιανά Χανιά</v>
      </c>
      <c r="I9652">
        <v>73100</v>
      </c>
      <c r="J9652">
        <v>2821045423</v>
      </c>
      <c r="K9652">
        <v>6976579395</v>
      </c>
      <c r="M9652" t="s">
        <v>14607</v>
      </c>
      <c r="N9652" t="s">
        <v>615</v>
      </c>
      <c r="O9652" t="s">
        <v>616</v>
      </c>
      <c r="R9652" t="s">
        <v>159</v>
      </c>
      <c r="S9652">
        <v>2</v>
      </c>
      <c r="T9652" t="s">
        <v>8675</v>
      </c>
      <c r="U9652" s="1">
        <v>43348</v>
      </c>
      <c r="V9652" t="s">
        <v>89</v>
      </c>
      <c r="W9652" t="s">
        <v>90</v>
      </c>
      <c r="X9652" t="s">
        <v>58</v>
      </c>
      <c r="Y9652">
        <v>24</v>
      </c>
      <c r="Z9652" t="s">
        <v>59</v>
      </c>
      <c r="AA9652" t="s">
        <v>59</v>
      </c>
      <c r="AB9652" t="s">
        <v>59</v>
      </c>
      <c r="AC9652" t="s">
        <v>59</v>
      </c>
      <c r="AD9652" t="s">
        <v>59</v>
      </c>
      <c r="AF9652" s="1">
        <v>43348</v>
      </c>
      <c r="AG9652" t="s">
        <v>8645</v>
      </c>
      <c r="AH9652" t="s">
        <v>8646</v>
      </c>
      <c r="AI9652" t="str">
        <f>"9500017"</f>
        <v>9500017</v>
      </c>
      <c r="AJ9652" t="s">
        <v>13873</v>
      </c>
      <c r="AK9652">
        <v>2825083173</v>
      </c>
      <c r="AL9652" t="s">
        <v>13874</v>
      </c>
      <c r="AM9652" t="s">
        <v>88</v>
      </c>
      <c r="AN9652" t="s">
        <v>6775</v>
      </c>
      <c r="AO9652" t="s">
        <v>11883</v>
      </c>
      <c r="AP9652" t="s">
        <v>13875</v>
      </c>
      <c r="AQ9652">
        <v>7</v>
      </c>
      <c r="AR9652" t="s">
        <v>89</v>
      </c>
      <c r="AS9652" t="s">
        <v>90</v>
      </c>
      <c r="AT9652" t="s">
        <v>58</v>
      </c>
      <c r="AU9652" t="s">
        <v>8673</v>
      </c>
      <c r="AV9652" t="s">
        <v>132</v>
      </c>
      <c r="AW9652" s="1">
        <v>32300</v>
      </c>
      <c r="AX9652">
        <v>1</v>
      </c>
    </row>
    <row r="9653" spans="1:50">
      <c r="B9653" t="str">
        <f>"150853991"</f>
        <v>150853991</v>
      </c>
      <c r="C9653" t="s">
        <v>50</v>
      </c>
      <c r="D9653" t="s">
        <v>14606</v>
      </c>
      <c r="E9653" t="s">
        <v>845</v>
      </c>
      <c r="F9653" t="s">
        <v>111</v>
      </c>
      <c r="G9653" t="s">
        <v>610</v>
      </c>
      <c r="H9653" t="str">
        <f>" "</f>
        <v xml:space="preserve"> </v>
      </c>
      <c r="N9653" t="s">
        <v>615</v>
      </c>
      <c r="O9653" t="s">
        <v>616</v>
      </c>
      <c r="R9653" t="s">
        <v>121</v>
      </c>
      <c r="S9653">
        <v>1</v>
      </c>
      <c r="T9653" t="s">
        <v>9034</v>
      </c>
      <c r="U9653" s="1">
        <v>43377</v>
      </c>
      <c r="V9653" t="s">
        <v>89</v>
      </c>
      <c r="W9653" t="s">
        <v>90</v>
      </c>
      <c r="X9653" t="s">
        <v>58</v>
      </c>
      <c r="Y9653">
        <v>25</v>
      </c>
      <c r="Z9653" t="s">
        <v>59</v>
      </c>
      <c r="AA9653" t="s">
        <v>59</v>
      </c>
      <c r="AB9653" t="s">
        <v>59</v>
      </c>
      <c r="AC9653" t="s">
        <v>59</v>
      </c>
      <c r="AD9653" t="s">
        <v>59</v>
      </c>
      <c r="AF9653" s="1">
        <v>43377</v>
      </c>
      <c r="AG9653" t="s">
        <v>8645</v>
      </c>
      <c r="AH9653" t="s">
        <v>8676</v>
      </c>
      <c r="AI9653" t="str">
        <f>"9500170"</f>
        <v>9500170</v>
      </c>
      <c r="AJ9653" t="s">
        <v>14608</v>
      </c>
      <c r="AK9653">
        <v>2823041125</v>
      </c>
      <c r="AL9653" t="s">
        <v>14609</v>
      </c>
      <c r="AM9653" t="s">
        <v>88</v>
      </c>
      <c r="AN9653" t="s">
        <v>14610</v>
      </c>
      <c r="AO9653" t="s">
        <v>14610</v>
      </c>
      <c r="AP9653" t="s">
        <v>14610</v>
      </c>
      <c r="AQ9653">
        <v>12</v>
      </c>
      <c r="AR9653" t="s">
        <v>89</v>
      </c>
      <c r="AS9653" t="s">
        <v>90</v>
      </c>
      <c r="AT9653" t="s">
        <v>58</v>
      </c>
      <c r="AU9653" t="s">
        <v>8673</v>
      </c>
      <c r="AV9653" t="s">
        <v>132</v>
      </c>
      <c r="AW9653" s="1">
        <v>32826</v>
      </c>
      <c r="AX9653">
        <v>1</v>
      </c>
    </row>
    <row r="9654" spans="1:50">
      <c r="A9654">
        <v>601311</v>
      </c>
      <c r="B9654" t="str">
        <f>"123781948"</f>
        <v>123781948</v>
      </c>
      <c r="C9654" t="s">
        <v>50</v>
      </c>
      <c r="D9654" t="s">
        <v>14611</v>
      </c>
      <c r="E9654" t="s">
        <v>396</v>
      </c>
      <c r="F9654" t="s">
        <v>11303</v>
      </c>
      <c r="G9654" t="s">
        <v>83</v>
      </c>
      <c r="H9654" t="str">
        <f>"ΠΥΘΙΑΣ 1 ΚΥΨΕΛΗ"</f>
        <v>ΠΥΘΙΑΣ 1 ΚΥΨΕΛΗ</v>
      </c>
      <c r="J9654">
        <v>2373023555</v>
      </c>
      <c r="K9654">
        <v>6932165701</v>
      </c>
      <c r="N9654" t="s">
        <v>615</v>
      </c>
      <c r="O9654" t="s">
        <v>616</v>
      </c>
      <c r="R9654" t="s">
        <v>57</v>
      </c>
      <c r="S9654">
        <v>9</v>
      </c>
      <c r="T9654">
        <v>207</v>
      </c>
      <c r="U9654" s="1">
        <v>37866</v>
      </c>
      <c r="V9654" t="s">
        <v>89</v>
      </c>
      <c r="W9654" t="s">
        <v>90</v>
      </c>
      <c r="X9654" t="s">
        <v>58</v>
      </c>
      <c r="Y9654">
        <v>23</v>
      </c>
      <c r="Z9654" t="s">
        <v>59</v>
      </c>
      <c r="AA9654" t="s">
        <v>59</v>
      </c>
      <c r="AB9654" t="s">
        <v>59</v>
      </c>
      <c r="AC9654" t="s">
        <v>59</v>
      </c>
      <c r="AD9654" t="s">
        <v>59</v>
      </c>
      <c r="AF9654" s="1">
        <v>37866</v>
      </c>
      <c r="AG9654" t="s">
        <v>8645</v>
      </c>
      <c r="AH9654" t="s">
        <v>14199</v>
      </c>
      <c r="AI9654" t="str">
        <f>"9500140"</f>
        <v>9500140</v>
      </c>
      <c r="AJ9654" t="s">
        <v>14200</v>
      </c>
      <c r="AK9654">
        <v>2821097348</v>
      </c>
      <c r="AL9654" t="s">
        <v>14201</v>
      </c>
      <c r="AM9654" t="s">
        <v>88</v>
      </c>
      <c r="AN9654" t="s">
        <v>88</v>
      </c>
      <c r="AO9654" t="s">
        <v>88</v>
      </c>
      <c r="AP9654" t="s">
        <v>88</v>
      </c>
      <c r="AQ9654">
        <v>1</v>
      </c>
      <c r="AR9654" t="s">
        <v>89</v>
      </c>
      <c r="AS9654" t="s">
        <v>90</v>
      </c>
      <c r="AT9654" t="s">
        <v>58</v>
      </c>
      <c r="AU9654" t="s">
        <v>68</v>
      </c>
      <c r="AV9654" t="s">
        <v>69</v>
      </c>
      <c r="AW9654" s="1">
        <v>28251</v>
      </c>
      <c r="AX9654">
        <v>1</v>
      </c>
    </row>
    <row r="9655" spans="1:50">
      <c r="A9655">
        <v>611210</v>
      </c>
      <c r="B9655" t="str">
        <f>"066804557"</f>
        <v>066804557</v>
      </c>
      <c r="C9655" t="s">
        <v>50</v>
      </c>
      <c r="D9655" t="s">
        <v>6038</v>
      </c>
      <c r="E9655" t="s">
        <v>109</v>
      </c>
      <c r="F9655" t="s">
        <v>95</v>
      </c>
      <c r="G9655" t="s">
        <v>1207</v>
      </c>
      <c r="H9655" t="str">
        <f>"ΣΚΙΝΕΡ 5 ΧΑΝΙΑ"</f>
        <v>ΣΚΙΝΕΡ 5 ΧΑΝΙΑ</v>
      </c>
      <c r="I9655">
        <v>73131</v>
      </c>
      <c r="J9655">
        <v>2821097627</v>
      </c>
      <c r="K9655">
        <v>6938386432</v>
      </c>
      <c r="N9655" t="s">
        <v>1525</v>
      </c>
      <c r="O9655" t="s">
        <v>1526</v>
      </c>
      <c r="R9655" t="s">
        <v>57</v>
      </c>
      <c r="S9655">
        <v>7</v>
      </c>
      <c r="T9655">
        <v>233</v>
      </c>
      <c r="U9655" s="1">
        <v>38960</v>
      </c>
      <c r="V9655" t="s">
        <v>89</v>
      </c>
      <c r="W9655" t="s">
        <v>90</v>
      </c>
      <c r="X9655" t="s">
        <v>58</v>
      </c>
      <c r="Y9655">
        <v>25</v>
      </c>
      <c r="Z9655" t="s">
        <v>59</v>
      </c>
      <c r="AA9655" t="s">
        <v>59</v>
      </c>
      <c r="AB9655" t="s">
        <v>59</v>
      </c>
      <c r="AC9655" t="s">
        <v>59</v>
      </c>
      <c r="AD9655" t="s">
        <v>59</v>
      </c>
      <c r="AF9655" s="1">
        <v>38961</v>
      </c>
      <c r="AG9655" t="s">
        <v>8651</v>
      </c>
      <c r="AH9655" t="s">
        <v>8652</v>
      </c>
      <c r="AI9655" t="str">
        <f>"9500273"</f>
        <v>9500273</v>
      </c>
      <c r="AJ9655" t="s">
        <v>14109</v>
      </c>
      <c r="AK9655">
        <v>2821038005</v>
      </c>
      <c r="AL9655" t="s">
        <v>14110</v>
      </c>
      <c r="AM9655" t="s">
        <v>88</v>
      </c>
      <c r="AN9655" t="s">
        <v>6764</v>
      </c>
      <c r="AO9655" t="s">
        <v>6764</v>
      </c>
      <c r="AP9655" t="s">
        <v>6764</v>
      </c>
      <c r="AQ9655">
        <v>5</v>
      </c>
      <c r="AR9655" t="s">
        <v>89</v>
      </c>
      <c r="AS9655" t="s">
        <v>90</v>
      </c>
      <c r="AT9655" t="s">
        <v>58</v>
      </c>
      <c r="AU9655" t="s">
        <v>68</v>
      </c>
      <c r="AV9655" t="s">
        <v>69</v>
      </c>
      <c r="AW9655" s="1">
        <v>26768</v>
      </c>
      <c r="AX9655">
        <v>1</v>
      </c>
    </row>
    <row r="9656" spans="1:50">
      <c r="B9656" t="str">
        <f>"146885261"</f>
        <v>146885261</v>
      </c>
      <c r="C9656" t="s">
        <v>50</v>
      </c>
      <c r="D9656" t="s">
        <v>14612</v>
      </c>
      <c r="E9656" t="s">
        <v>14460</v>
      </c>
      <c r="F9656" t="s">
        <v>95</v>
      </c>
      <c r="G9656" t="s">
        <v>6088</v>
      </c>
      <c r="H9656" t="str">
        <f>"ΠΡΩΪΜΟΥ ΣΤΕΦΑΝΟΥ 12 "</f>
        <v xml:space="preserve">ΠΡΩΪΜΟΥ ΣΤΕΦΑΝΟΥ 12 </v>
      </c>
      <c r="I9656">
        <v>73134</v>
      </c>
      <c r="J9656">
        <v>2821052866</v>
      </c>
      <c r="K9656">
        <v>6975532831</v>
      </c>
      <c r="N9656" t="s">
        <v>615</v>
      </c>
      <c r="O9656" t="s">
        <v>616</v>
      </c>
      <c r="R9656" t="s">
        <v>159</v>
      </c>
      <c r="S9656">
        <v>3</v>
      </c>
      <c r="T9656" t="s">
        <v>8675</v>
      </c>
      <c r="U9656" s="1">
        <v>43348</v>
      </c>
      <c r="V9656" t="s">
        <v>89</v>
      </c>
      <c r="W9656" t="s">
        <v>90</v>
      </c>
      <c r="X9656" t="s">
        <v>58</v>
      </c>
      <c r="Y9656">
        <v>24</v>
      </c>
      <c r="Z9656" t="s">
        <v>59</v>
      </c>
      <c r="AA9656" t="s">
        <v>59</v>
      </c>
      <c r="AB9656" t="s">
        <v>59</v>
      </c>
      <c r="AC9656" t="s">
        <v>59</v>
      </c>
      <c r="AD9656" t="s">
        <v>59</v>
      </c>
      <c r="AF9656" s="1">
        <v>43348</v>
      </c>
      <c r="AG9656" t="s">
        <v>8645</v>
      </c>
      <c r="AH9656" t="s">
        <v>8646</v>
      </c>
      <c r="AI9656" t="str">
        <f>"9500175"</f>
        <v>9500175</v>
      </c>
      <c r="AJ9656" t="s">
        <v>14538</v>
      </c>
      <c r="AK9656">
        <v>2823041233</v>
      </c>
      <c r="AL9656" t="s">
        <v>14539</v>
      </c>
      <c r="AM9656" t="s">
        <v>88</v>
      </c>
      <c r="AN9656" t="s">
        <v>6824</v>
      </c>
      <c r="AO9656" t="s">
        <v>6870</v>
      </c>
      <c r="AP9656" t="s">
        <v>6871</v>
      </c>
      <c r="AQ9656">
        <v>11</v>
      </c>
      <c r="AR9656" t="s">
        <v>89</v>
      </c>
      <c r="AS9656" t="s">
        <v>90</v>
      </c>
      <c r="AT9656" t="s">
        <v>58</v>
      </c>
      <c r="AU9656" t="s">
        <v>8673</v>
      </c>
      <c r="AV9656" t="s">
        <v>132</v>
      </c>
      <c r="AW9656" s="1">
        <v>32549</v>
      </c>
      <c r="AX9656">
        <v>1</v>
      </c>
    </row>
    <row r="9657" spans="1:50">
      <c r="B9657" t="str">
        <f>"142655937"</f>
        <v>142655937</v>
      </c>
      <c r="C9657" t="s">
        <v>50</v>
      </c>
      <c r="D9657" t="s">
        <v>14613</v>
      </c>
      <c r="E9657" t="s">
        <v>255</v>
      </c>
      <c r="F9657" t="s">
        <v>309</v>
      </c>
      <c r="G9657" t="s">
        <v>263</v>
      </c>
      <c r="H9657" t="str">
        <f>"ΕΥΖΩΝΩΝ 2 "</f>
        <v xml:space="preserve">ΕΥΖΩΝΩΝ 2 </v>
      </c>
      <c r="I9657">
        <v>62125</v>
      </c>
      <c r="J9657">
        <v>2321037033</v>
      </c>
      <c r="K9657">
        <v>6970067408</v>
      </c>
      <c r="N9657" t="s">
        <v>615</v>
      </c>
      <c r="O9657" t="s">
        <v>616</v>
      </c>
      <c r="R9657" t="s">
        <v>159</v>
      </c>
      <c r="S9657">
        <v>3</v>
      </c>
      <c r="T9657" t="s">
        <v>8675</v>
      </c>
      <c r="U9657" s="1">
        <v>43348</v>
      </c>
      <c r="V9657" t="s">
        <v>89</v>
      </c>
      <c r="W9657" t="s">
        <v>90</v>
      </c>
      <c r="X9657" t="s">
        <v>58</v>
      </c>
      <c r="Y9657">
        <v>24</v>
      </c>
      <c r="Z9657" t="s">
        <v>59</v>
      </c>
      <c r="AA9657" t="s">
        <v>59</v>
      </c>
      <c r="AB9657" t="s">
        <v>59</v>
      </c>
      <c r="AC9657" t="s">
        <v>59</v>
      </c>
      <c r="AD9657" t="s">
        <v>59</v>
      </c>
      <c r="AF9657" s="1">
        <v>43348</v>
      </c>
      <c r="AG9657" t="s">
        <v>8645</v>
      </c>
      <c r="AH9657" t="s">
        <v>8646</v>
      </c>
      <c r="AI9657" t="str">
        <f>"9520693"</f>
        <v>9520693</v>
      </c>
      <c r="AJ9657" t="s">
        <v>13913</v>
      </c>
      <c r="AK9657">
        <v>2821066910</v>
      </c>
      <c r="AL9657" t="s">
        <v>13914</v>
      </c>
      <c r="AM9657" t="s">
        <v>88</v>
      </c>
      <c r="AN9657" t="s">
        <v>88</v>
      </c>
      <c r="AO9657" t="s">
        <v>6770</v>
      </c>
      <c r="AP9657" t="s">
        <v>6771</v>
      </c>
      <c r="AQ9657">
        <v>2</v>
      </c>
      <c r="AR9657" t="s">
        <v>89</v>
      </c>
      <c r="AS9657" t="s">
        <v>90</v>
      </c>
      <c r="AT9657" t="s">
        <v>58</v>
      </c>
      <c r="AU9657" t="s">
        <v>8673</v>
      </c>
      <c r="AV9657" t="s">
        <v>132</v>
      </c>
      <c r="AW9657" s="1">
        <v>31869</v>
      </c>
      <c r="AX9657">
        <v>1</v>
      </c>
    </row>
    <row r="9658" spans="1:50">
      <c r="A9658">
        <v>621263</v>
      </c>
      <c r="B9658" t="str">
        <f>"127238920"</f>
        <v>127238920</v>
      </c>
      <c r="C9658" t="s">
        <v>50</v>
      </c>
      <c r="D9658" t="s">
        <v>14614</v>
      </c>
      <c r="E9658" t="s">
        <v>484</v>
      </c>
      <c r="F9658" t="s">
        <v>53</v>
      </c>
      <c r="G9658" t="s">
        <v>83</v>
      </c>
      <c r="H9658" t="str">
        <f>"ΗΓ.ΓΑΒΡΙΗΛ 42 ΡΕΘΥΜΝΟ"</f>
        <v>ΗΓ.ΓΑΒΡΙΗΛ 42 ΡΕΘΥΜΝΟ</v>
      </c>
      <c r="I9658">
        <v>73100</v>
      </c>
      <c r="K9658">
        <v>6934723966</v>
      </c>
      <c r="N9658" t="s">
        <v>615</v>
      </c>
      <c r="O9658" t="s">
        <v>616</v>
      </c>
      <c r="R9658" t="s">
        <v>57</v>
      </c>
      <c r="S9658">
        <v>5</v>
      </c>
      <c r="T9658">
        <v>653</v>
      </c>
      <c r="U9658" s="1">
        <v>40043</v>
      </c>
      <c r="V9658" t="s">
        <v>89</v>
      </c>
      <c r="W9658" t="s">
        <v>90</v>
      </c>
      <c r="X9658" t="s">
        <v>58</v>
      </c>
      <c r="Y9658">
        <v>23</v>
      </c>
      <c r="Z9658" t="s">
        <v>59</v>
      </c>
      <c r="AA9658" t="s">
        <v>59</v>
      </c>
      <c r="AB9658" t="s">
        <v>59</v>
      </c>
      <c r="AC9658" t="s">
        <v>59</v>
      </c>
      <c r="AD9658" t="s">
        <v>59</v>
      </c>
      <c r="AF9658" s="1">
        <v>40044</v>
      </c>
      <c r="AG9658" t="s">
        <v>8645</v>
      </c>
      <c r="AH9658" t="s">
        <v>8646</v>
      </c>
      <c r="AI9658" t="str">
        <f>"9500021"</f>
        <v>9500021</v>
      </c>
      <c r="AJ9658" t="s">
        <v>14054</v>
      </c>
      <c r="AK9658">
        <v>2825096298</v>
      </c>
      <c r="AL9658" t="s">
        <v>14055</v>
      </c>
      <c r="AM9658" t="s">
        <v>88</v>
      </c>
      <c r="AN9658" t="s">
        <v>6775</v>
      </c>
      <c r="AO9658" t="s">
        <v>13929</v>
      </c>
      <c r="AP9658" t="s">
        <v>14056</v>
      </c>
      <c r="AQ9658">
        <v>8</v>
      </c>
      <c r="AR9658" t="s">
        <v>89</v>
      </c>
      <c r="AS9658" t="s">
        <v>90</v>
      </c>
      <c r="AT9658" t="s">
        <v>58</v>
      </c>
      <c r="AU9658" t="s">
        <v>68</v>
      </c>
      <c r="AV9658" t="s">
        <v>69</v>
      </c>
      <c r="AW9658" s="1">
        <v>31328</v>
      </c>
      <c r="AX9658">
        <v>1</v>
      </c>
    </row>
    <row r="9659" spans="1:50">
      <c r="A9659">
        <v>616240</v>
      </c>
      <c r="B9659" t="str">
        <f>"062614482"</f>
        <v>062614482</v>
      </c>
      <c r="C9659" t="s">
        <v>50</v>
      </c>
      <c r="D9659" t="s">
        <v>1826</v>
      </c>
      <c r="E9659" t="s">
        <v>83</v>
      </c>
      <c r="F9659" t="s">
        <v>311</v>
      </c>
      <c r="G9659" t="s">
        <v>215</v>
      </c>
      <c r="H9659" t="str">
        <f>"ΠΙΘΑΡΙ ΑΚΡΩΤΗΡΙΟΥ ΧΑΝΙΑ-ΑΚΡΩΤΗΡΙ"</f>
        <v>ΠΙΘΑΡΙ ΑΚΡΩΤΗΡΙΟΥ ΧΑΝΙΑ-ΑΚΡΩΤΗΡΙ</v>
      </c>
      <c r="I9659">
        <v>73100</v>
      </c>
      <c r="K9659">
        <v>6945011510</v>
      </c>
      <c r="N9659" t="s">
        <v>1525</v>
      </c>
      <c r="O9659" t="s">
        <v>1526</v>
      </c>
      <c r="R9659" t="s">
        <v>57</v>
      </c>
      <c r="S9659">
        <v>5</v>
      </c>
      <c r="T9659">
        <v>660</v>
      </c>
      <c r="U9659" s="1">
        <v>39311</v>
      </c>
      <c r="V9659" t="s">
        <v>89</v>
      </c>
      <c r="W9659" t="s">
        <v>90</v>
      </c>
      <c r="X9659" t="s">
        <v>58</v>
      </c>
      <c r="Y9659">
        <v>25</v>
      </c>
      <c r="Z9659" t="s">
        <v>59</v>
      </c>
      <c r="AA9659" t="s">
        <v>59</v>
      </c>
      <c r="AB9659" t="s">
        <v>59</v>
      </c>
      <c r="AC9659" t="s">
        <v>59</v>
      </c>
      <c r="AD9659" t="s">
        <v>59</v>
      </c>
      <c r="AF9659" s="1">
        <v>39328</v>
      </c>
      <c r="AG9659" t="s">
        <v>8651</v>
      </c>
      <c r="AH9659" t="s">
        <v>8652</v>
      </c>
      <c r="AI9659" t="str">
        <f>"9500047"</f>
        <v>9500047</v>
      </c>
      <c r="AJ9659" t="s">
        <v>14615</v>
      </c>
      <c r="AK9659">
        <v>2821089155</v>
      </c>
      <c r="AL9659" t="s">
        <v>14616</v>
      </c>
      <c r="AM9659" t="s">
        <v>88</v>
      </c>
      <c r="AN9659" t="s">
        <v>88</v>
      </c>
      <c r="AO9659" t="s">
        <v>6748</v>
      </c>
      <c r="AP9659" t="s">
        <v>6748</v>
      </c>
      <c r="AQ9659">
        <v>2</v>
      </c>
      <c r="AR9659" t="s">
        <v>89</v>
      </c>
      <c r="AS9659" t="s">
        <v>90</v>
      </c>
      <c r="AT9659" t="s">
        <v>58</v>
      </c>
      <c r="AU9659" t="s">
        <v>68</v>
      </c>
      <c r="AV9659" t="s">
        <v>69</v>
      </c>
      <c r="AW9659" s="1">
        <v>28730</v>
      </c>
      <c r="AX9659">
        <v>1</v>
      </c>
    </row>
    <row r="9660" spans="1:50">
      <c r="A9660">
        <v>567356</v>
      </c>
      <c r="B9660" t="str">
        <f>"035992346"</f>
        <v>035992346</v>
      </c>
      <c r="C9660" t="s">
        <v>105</v>
      </c>
      <c r="D9660" t="s">
        <v>1829</v>
      </c>
      <c r="E9660" t="s">
        <v>84</v>
      </c>
      <c r="F9660" t="s">
        <v>53</v>
      </c>
      <c r="G9660" t="s">
        <v>215</v>
      </c>
      <c r="H9660" t="str">
        <f>"Ι. ΛΕΚΑΝΙΔΗ 7 ΧΑΝΙΑ"</f>
        <v>Ι. ΛΕΚΑΝΙΔΗ 7 ΧΑΝΙΑ</v>
      </c>
      <c r="I9660">
        <v>73134</v>
      </c>
      <c r="K9660">
        <v>6976727247</v>
      </c>
      <c r="N9660" t="s">
        <v>615</v>
      </c>
      <c r="O9660" t="s">
        <v>616</v>
      </c>
      <c r="R9660" t="s">
        <v>57</v>
      </c>
      <c r="S9660">
        <v>15</v>
      </c>
      <c r="T9660">
        <v>133</v>
      </c>
      <c r="U9660" s="1">
        <v>33456</v>
      </c>
      <c r="V9660" t="s">
        <v>89</v>
      </c>
      <c r="W9660" t="s">
        <v>90</v>
      </c>
      <c r="X9660" t="s">
        <v>58</v>
      </c>
      <c r="Y9660">
        <v>21</v>
      </c>
      <c r="Z9660" t="s">
        <v>59</v>
      </c>
      <c r="AA9660" t="s">
        <v>59</v>
      </c>
      <c r="AB9660" t="s">
        <v>59</v>
      </c>
      <c r="AC9660" t="s">
        <v>59</v>
      </c>
      <c r="AD9660" t="s">
        <v>59</v>
      </c>
      <c r="AF9660" s="1">
        <v>33456</v>
      </c>
      <c r="AG9660" t="s">
        <v>8645</v>
      </c>
      <c r="AH9660" t="s">
        <v>8646</v>
      </c>
      <c r="AI9660" t="str">
        <f>"9500078"</f>
        <v>9500078</v>
      </c>
      <c r="AJ9660" t="s">
        <v>13988</v>
      </c>
      <c r="AK9660">
        <v>2821028788</v>
      </c>
      <c r="AL9660" t="s">
        <v>13989</v>
      </c>
      <c r="AM9660" t="s">
        <v>88</v>
      </c>
      <c r="AN9660" t="s">
        <v>88</v>
      </c>
      <c r="AO9660" t="s">
        <v>88</v>
      </c>
      <c r="AP9660" t="s">
        <v>88</v>
      </c>
      <c r="AQ9660">
        <v>1</v>
      </c>
      <c r="AR9660" t="s">
        <v>89</v>
      </c>
      <c r="AS9660" t="s">
        <v>90</v>
      </c>
      <c r="AT9660" t="s">
        <v>58</v>
      </c>
      <c r="AU9660" t="s">
        <v>68</v>
      </c>
      <c r="AV9660" t="s">
        <v>69</v>
      </c>
      <c r="AW9660" s="1">
        <v>21736</v>
      </c>
      <c r="AX9660">
        <v>1</v>
      </c>
    </row>
    <row r="9661" spans="1:50">
      <c r="A9661">
        <v>600599</v>
      </c>
      <c r="B9661" t="str">
        <f>"039891409"</f>
        <v>039891409</v>
      </c>
      <c r="C9661" t="s">
        <v>50</v>
      </c>
      <c r="D9661" t="s">
        <v>7354</v>
      </c>
      <c r="E9661" t="s">
        <v>263</v>
      </c>
      <c r="F9661" t="s">
        <v>53</v>
      </c>
      <c r="G9661" t="s">
        <v>727</v>
      </c>
      <c r="H9661" t="str">
        <f>"ΑΡΚΑΔΙΟΥ 57 ΧΡΥΣΟΠΗΓΗ-ΧΑΝΙΑ"</f>
        <v>ΑΡΚΑΔΙΟΥ 57 ΧΡΥΣΟΠΗΓΗ-ΧΑΝΙΑ</v>
      </c>
      <c r="I9661">
        <v>73100</v>
      </c>
      <c r="J9661">
        <v>2821059053</v>
      </c>
      <c r="K9661">
        <v>6973491860</v>
      </c>
      <c r="N9661" t="s">
        <v>14617</v>
      </c>
      <c r="O9661" t="s">
        <v>14618</v>
      </c>
      <c r="R9661" t="s">
        <v>57</v>
      </c>
      <c r="S9661">
        <v>14</v>
      </c>
      <c r="T9661">
        <v>136</v>
      </c>
      <c r="U9661" s="1">
        <v>34550</v>
      </c>
      <c r="V9661" t="s">
        <v>89</v>
      </c>
      <c r="W9661" t="s">
        <v>90</v>
      </c>
      <c r="X9661" t="s">
        <v>58</v>
      </c>
      <c r="Y9661">
        <v>21</v>
      </c>
      <c r="Z9661" t="s">
        <v>59</v>
      </c>
      <c r="AA9661" t="s">
        <v>59</v>
      </c>
      <c r="AB9661" t="s">
        <v>59</v>
      </c>
      <c r="AC9661" t="s">
        <v>59</v>
      </c>
      <c r="AD9661" t="s">
        <v>59</v>
      </c>
      <c r="AF9661" s="1">
        <v>34578</v>
      </c>
      <c r="AG9661" t="s">
        <v>8645</v>
      </c>
      <c r="AH9661" t="s">
        <v>8697</v>
      </c>
      <c r="AI9661" t="str">
        <f>"9500361"</f>
        <v>9500361</v>
      </c>
      <c r="AJ9661" t="s">
        <v>14024</v>
      </c>
      <c r="AK9661">
        <v>2821070176</v>
      </c>
      <c r="AL9661" t="s">
        <v>14025</v>
      </c>
      <c r="AM9661" t="s">
        <v>88</v>
      </c>
      <c r="AN9661" t="s">
        <v>88</v>
      </c>
      <c r="AO9661" t="s">
        <v>88</v>
      </c>
      <c r="AP9661" t="s">
        <v>88</v>
      </c>
      <c r="AQ9661">
        <v>1</v>
      </c>
      <c r="AR9661" t="s">
        <v>89</v>
      </c>
      <c r="AS9661" t="s">
        <v>90</v>
      </c>
      <c r="AT9661" t="s">
        <v>58</v>
      </c>
      <c r="AU9661" t="s">
        <v>68</v>
      </c>
      <c r="AV9661" t="s">
        <v>69</v>
      </c>
      <c r="AW9661" s="1">
        <v>24875</v>
      </c>
      <c r="AX9661">
        <v>1</v>
      </c>
    </row>
    <row r="9662" spans="1:50">
      <c r="A9662">
        <v>703997</v>
      </c>
      <c r="B9662" t="str">
        <f>"052906551"</f>
        <v>052906551</v>
      </c>
      <c r="C9662" t="s">
        <v>50</v>
      </c>
      <c r="D9662" t="s">
        <v>10019</v>
      </c>
      <c r="E9662" t="s">
        <v>237</v>
      </c>
      <c r="F9662" t="s">
        <v>95</v>
      </c>
      <c r="G9662" t="s">
        <v>114</v>
      </c>
      <c r="H9662" t="str">
        <f>" "</f>
        <v xml:space="preserve"> </v>
      </c>
      <c r="N9662" t="s">
        <v>1525</v>
      </c>
      <c r="O9662" t="s">
        <v>1526</v>
      </c>
      <c r="R9662" t="s">
        <v>57</v>
      </c>
      <c r="S9662">
        <v>4</v>
      </c>
      <c r="T9662">
        <v>1350</v>
      </c>
      <c r="U9662" s="1">
        <v>42732</v>
      </c>
      <c r="V9662" t="s">
        <v>89</v>
      </c>
      <c r="W9662" t="s">
        <v>90</v>
      </c>
      <c r="X9662" t="s">
        <v>58</v>
      </c>
      <c r="Y9662">
        <v>25</v>
      </c>
      <c r="Z9662" t="s">
        <v>59</v>
      </c>
      <c r="AA9662" t="s">
        <v>59</v>
      </c>
      <c r="AB9662" t="s">
        <v>59</v>
      </c>
      <c r="AC9662" t="s">
        <v>59</v>
      </c>
      <c r="AD9662" t="s">
        <v>59</v>
      </c>
      <c r="AF9662" s="1">
        <v>42734</v>
      </c>
      <c r="AG9662" t="s">
        <v>8651</v>
      </c>
      <c r="AH9662" t="s">
        <v>8652</v>
      </c>
      <c r="AI9662" t="str">
        <f>"9500309"</f>
        <v>9500309</v>
      </c>
      <c r="AJ9662" t="s">
        <v>14248</v>
      </c>
      <c r="AK9662">
        <v>2821066285</v>
      </c>
      <c r="AL9662" t="s">
        <v>14249</v>
      </c>
      <c r="AM9662" t="s">
        <v>88</v>
      </c>
      <c r="AN9662" t="s">
        <v>88</v>
      </c>
      <c r="AO9662" t="s">
        <v>6770</v>
      </c>
      <c r="AP9662" t="s">
        <v>14090</v>
      </c>
      <c r="AQ9662">
        <v>2</v>
      </c>
      <c r="AR9662" t="s">
        <v>89</v>
      </c>
      <c r="AS9662" t="s">
        <v>90</v>
      </c>
      <c r="AT9662" t="s">
        <v>58</v>
      </c>
      <c r="AU9662" t="s">
        <v>68</v>
      </c>
      <c r="AV9662" t="s">
        <v>69</v>
      </c>
      <c r="AW9662" s="1">
        <v>24946</v>
      </c>
      <c r="AX9662">
        <v>1</v>
      </c>
    </row>
    <row r="9663" spans="1:50">
      <c r="B9663" t="str">
        <f>"116927130"</f>
        <v>116927130</v>
      </c>
      <c r="C9663" t="s">
        <v>50</v>
      </c>
      <c r="D9663" t="s">
        <v>14619</v>
      </c>
      <c r="E9663" t="s">
        <v>181</v>
      </c>
      <c r="F9663" t="s">
        <v>670</v>
      </c>
      <c r="G9663" t="s">
        <v>460</v>
      </c>
      <c r="H9663" t="str">
        <f>"ΠΛΑΤΑΙΩΝ 89 ΧΑΪΔΑΡΙ"</f>
        <v>ΠΛΑΤΑΙΩΝ 89 ΧΑΪΔΑΡΙ</v>
      </c>
      <c r="I9663">
        <v>12461</v>
      </c>
      <c r="J9663">
        <v>2105905183</v>
      </c>
      <c r="K9663">
        <v>6970832922</v>
      </c>
      <c r="N9663" t="s">
        <v>384</v>
      </c>
      <c r="O9663" t="s">
        <v>385</v>
      </c>
      <c r="R9663" t="s">
        <v>159</v>
      </c>
      <c r="S9663">
        <v>5</v>
      </c>
      <c r="T9663" t="s">
        <v>8675</v>
      </c>
      <c r="U9663" s="1">
        <v>43348</v>
      </c>
      <c r="V9663" t="s">
        <v>89</v>
      </c>
      <c r="W9663" t="s">
        <v>90</v>
      </c>
      <c r="X9663" t="s">
        <v>58</v>
      </c>
      <c r="Y9663">
        <v>24</v>
      </c>
      <c r="Z9663" t="s">
        <v>59</v>
      </c>
      <c r="AA9663" t="s">
        <v>59</v>
      </c>
      <c r="AB9663" t="s">
        <v>59</v>
      </c>
      <c r="AC9663" t="s">
        <v>59</v>
      </c>
      <c r="AD9663" t="s">
        <v>59</v>
      </c>
      <c r="AF9663" s="1">
        <v>43348</v>
      </c>
      <c r="AG9663" t="s">
        <v>8645</v>
      </c>
      <c r="AH9663" t="s">
        <v>8646</v>
      </c>
      <c r="AI9663" t="str">
        <f>"9500093"</f>
        <v>9500093</v>
      </c>
      <c r="AJ9663" t="s">
        <v>13865</v>
      </c>
      <c r="AK9663">
        <v>2821064537</v>
      </c>
      <c r="AL9663" t="s">
        <v>13866</v>
      </c>
      <c r="AM9663" t="s">
        <v>88</v>
      </c>
      <c r="AN9663" t="s">
        <v>88</v>
      </c>
      <c r="AO9663" t="s">
        <v>6770</v>
      </c>
      <c r="AP9663" t="s">
        <v>6771</v>
      </c>
      <c r="AQ9663">
        <v>2</v>
      </c>
      <c r="AR9663" t="s">
        <v>89</v>
      </c>
      <c r="AS9663" t="s">
        <v>90</v>
      </c>
      <c r="AT9663" t="s">
        <v>58</v>
      </c>
      <c r="AU9663" t="s">
        <v>8673</v>
      </c>
      <c r="AV9663" t="s">
        <v>132</v>
      </c>
      <c r="AW9663" s="1">
        <v>29530</v>
      </c>
      <c r="AX9663">
        <v>1</v>
      </c>
    </row>
    <row r="9664" spans="1:50">
      <c r="A9664">
        <v>566392</v>
      </c>
      <c r="B9664" t="str">
        <f>"079462333"</f>
        <v>079462333</v>
      </c>
      <c r="C9664" t="s">
        <v>50</v>
      </c>
      <c r="D9664" t="s">
        <v>1858</v>
      </c>
      <c r="E9664" t="s">
        <v>2400</v>
      </c>
      <c r="F9664" t="s">
        <v>72</v>
      </c>
      <c r="G9664" t="s">
        <v>52</v>
      </c>
      <c r="H9664" t="str">
        <f>" "</f>
        <v xml:space="preserve"> </v>
      </c>
      <c r="K9664">
        <v>6974777347</v>
      </c>
      <c r="N9664" t="s">
        <v>1525</v>
      </c>
      <c r="O9664" t="s">
        <v>1526</v>
      </c>
      <c r="R9664" t="s">
        <v>57</v>
      </c>
      <c r="S9664">
        <v>19</v>
      </c>
      <c r="T9664">
        <v>161</v>
      </c>
      <c r="U9664" s="1">
        <v>33129</v>
      </c>
      <c r="V9664" t="s">
        <v>89</v>
      </c>
      <c r="W9664" t="s">
        <v>90</v>
      </c>
      <c r="X9664" t="s">
        <v>58</v>
      </c>
      <c r="Y9664">
        <v>25</v>
      </c>
      <c r="Z9664" t="s">
        <v>59</v>
      </c>
      <c r="AA9664" t="s">
        <v>59</v>
      </c>
      <c r="AB9664" t="s">
        <v>59</v>
      </c>
      <c r="AC9664" t="s">
        <v>59</v>
      </c>
      <c r="AD9664" t="s">
        <v>59</v>
      </c>
      <c r="AF9664" s="1">
        <v>33133</v>
      </c>
      <c r="AG9664" t="s">
        <v>8651</v>
      </c>
      <c r="AH9664" t="s">
        <v>8652</v>
      </c>
      <c r="AI9664" t="str">
        <f>"9500074"</f>
        <v>9500074</v>
      </c>
      <c r="AJ9664" t="s">
        <v>14620</v>
      </c>
      <c r="AK9664">
        <v>2821027355</v>
      </c>
      <c r="AL9664" t="s">
        <v>14621</v>
      </c>
      <c r="AM9664" t="s">
        <v>88</v>
      </c>
      <c r="AN9664" t="s">
        <v>88</v>
      </c>
      <c r="AO9664" t="s">
        <v>88</v>
      </c>
      <c r="AP9664" t="s">
        <v>88</v>
      </c>
      <c r="AQ9664">
        <v>1</v>
      </c>
      <c r="AR9664" t="s">
        <v>89</v>
      </c>
      <c r="AS9664" t="s">
        <v>90</v>
      </c>
      <c r="AT9664" t="s">
        <v>58</v>
      </c>
      <c r="AU9664" t="s">
        <v>68</v>
      </c>
      <c r="AV9664" t="s">
        <v>69</v>
      </c>
      <c r="AW9664" s="1">
        <v>20230</v>
      </c>
      <c r="AX9664">
        <v>1</v>
      </c>
    </row>
    <row r="9665" spans="1:50">
      <c r="A9665">
        <v>588649</v>
      </c>
      <c r="B9665" t="str">
        <f>"038063458"</f>
        <v>038063458</v>
      </c>
      <c r="C9665" t="s">
        <v>50</v>
      </c>
      <c r="D9665" t="s">
        <v>7363</v>
      </c>
      <c r="E9665" t="s">
        <v>52</v>
      </c>
      <c r="F9665" t="s">
        <v>92</v>
      </c>
      <c r="G9665" t="s">
        <v>109</v>
      </c>
      <c r="H9665" t="str">
        <f>" "</f>
        <v xml:space="preserve"> </v>
      </c>
      <c r="N9665" t="s">
        <v>615</v>
      </c>
      <c r="O9665" t="s">
        <v>616</v>
      </c>
      <c r="R9665" t="s">
        <v>57</v>
      </c>
      <c r="S9665">
        <v>10</v>
      </c>
      <c r="T9665">
        <v>176</v>
      </c>
      <c r="U9665" s="1">
        <v>36403</v>
      </c>
      <c r="V9665" t="s">
        <v>89</v>
      </c>
      <c r="W9665" t="s">
        <v>90</v>
      </c>
      <c r="X9665" t="s">
        <v>58</v>
      </c>
      <c r="Y9665">
        <v>21</v>
      </c>
      <c r="Z9665" t="s">
        <v>59</v>
      </c>
      <c r="AA9665" t="s">
        <v>59</v>
      </c>
      <c r="AB9665" t="s">
        <v>59</v>
      </c>
      <c r="AC9665" t="s">
        <v>59</v>
      </c>
      <c r="AD9665" t="s">
        <v>59</v>
      </c>
      <c r="AF9665" s="1">
        <v>36403</v>
      </c>
      <c r="AG9665" t="s">
        <v>8645</v>
      </c>
      <c r="AH9665" t="s">
        <v>8646</v>
      </c>
      <c r="AI9665" t="str">
        <f>"9500358"</f>
        <v>9500358</v>
      </c>
      <c r="AJ9665" t="s">
        <v>13948</v>
      </c>
      <c r="AK9665">
        <v>2821093459</v>
      </c>
      <c r="AL9665" t="s">
        <v>13949</v>
      </c>
      <c r="AM9665" t="s">
        <v>88</v>
      </c>
      <c r="AN9665" t="s">
        <v>88</v>
      </c>
      <c r="AO9665" t="s">
        <v>6733</v>
      </c>
      <c r="AP9665" t="s">
        <v>6755</v>
      </c>
      <c r="AQ9665">
        <v>2</v>
      </c>
      <c r="AR9665" t="s">
        <v>89</v>
      </c>
      <c r="AS9665" t="s">
        <v>90</v>
      </c>
      <c r="AT9665" t="s">
        <v>58</v>
      </c>
      <c r="AU9665" t="s">
        <v>68</v>
      </c>
      <c r="AV9665" t="s">
        <v>69</v>
      </c>
      <c r="AW9665" s="1">
        <v>25266</v>
      </c>
      <c r="AX9665">
        <v>1</v>
      </c>
    </row>
    <row r="9666" spans="1:50">
      <c r="A9666">
        <v>617779</v>
      </c>
      <c r="B9666" t="str">
        <f>"131194557"</f>
        <v>131194557</v>
      </c>
      <c r="C9666" t="s">
        <v>50</v>
      </c>
      <c r="D9666" t="s">
        <v>14622</v>
      </c>
      <c r="E9666" t="s">
        <v>513</v>
      </c>
      <c r="F9666" t="s">
        <v>95</v>
      </c>
      <c r="G9666" t="s">
        <v>83</v>
      </c>
      <c r="H9666" t="str">
        <f>"ΕΠΙΣΚΟΠΗΣ 10 ΑΒΕΡΩΦ"</f>
        <v>ΕΠΙΣΚΟΠΗΣ 10 ΑΒΕΡΩΦ</v>
      </c>
      <c r="I9666">
        <v>41335</v>
      </c>
      <c r="J9666">
        <v>2410660953</v>
      </c>
      <c r="K9666">
        <v>6942975429</v>
      </c>
      <c r="N9666" t="s">
        <v>615</v>
      </c>
      <c r="O9666" t="s">
        <v>616</v>
      </c>
      <c r="R9666" t="s">
        <v>57</v>
      </c>
      <c r="S9666">
        <v>5</v>
      </c>
      <c r="T9666">
        <v>774</v>
      </c>
      <c r="U9666" s="1">
        <v>39680</v>
      </c>
      <c r="V9666" t="s">
        <v>89</v>
      </c>
      <c r="W9666" t="s">
        <v>90</v>
      </c>
      <c r="X9666" t="s">
        <v>58</v>
      </c>
      <c r="Y9666">
        <v>23</v>
      </c>
      <c r="Z9666" t="s">
        <v>59</v>
      </c>
      <c r="AA9666" t="s">
        <v>59</v>
      </c>
      <c r="AB9666" t="s">
        <v>59</v>
      </c>
      <c r="AC9666" t="s">
        <v>59</v>
      </c>
      <c r="AD9666" t="s">
        <v>59</v>
      </c>
      <c r="AF9666" s="1">
        <v>39681</v>
      </c>
      <c r="AG9666" t="s">
        <v>8645</v>
      </c>
      <c r="AH9666" t="s">
        <v>8646</v>
      </c>
      <c r="AI9666" t="str">
        <f>"9500113"</f>
        <v>9500113</v>
      </c>
      <c r="AJ9666" t="s">
        <v>13935</v>
      </c>
      <c r="AK9666">
        <v>2821077187</v>
      </c>
      <c r="AL9666" t="s">
        <v>13936</v>
      </c>
      <c r="AM9666" t="s">
        <v>88</v>
      </c>
      <c r="AN9666" t="s">
        <v>6764</v>
      </c>
      <c r="AO9666" t="s">
        <v>6885</v>
      </c>
      <c r="AP9666" t="s">
        <v>13937</v>
      </c>
      <c r="AQ9666">
        <v>4</v>
      </c>
      <c r="AR9666" t="s">
        <v>89</v>
      </c>
      <c r="AS9666" t="s">
        <v>90</v>
      </c>
      <c r="AT9666" t="s">
        <v>58</v>
      </c>
      <c r="AU9666" t="s">
        <v>68</v>
      </c>
      <c r="AV9666" t="s">
        <v>69</v>
      </c>
      <c r="AW9666" s="1">
        <v>30958</v>
      </c>
      <c r="AX9666">
        <v>1</v>
      </c>
    </row>
    <row r="9667" spans="1:50">
      <c r="A9667">
        <v>557820</v>
      </c>
      <c r="B9667" t="str">
        <f>"031876830"</f>
        <v>031876830</v>
      </c>
      <c r="C9667" t="s">
        <v>50</v>
      </c>
      <c r="D9667" t="s">
        <v>14623</v>
      </c>
      <c r="E9667" t="s">
        <v>96</v>
      </c>
      <c r="F9667" t="s">
        <v>95</v>
      </c>
      <c r="G9667" t="s">
        <v>237</v>
      </c>
      <c r="H9667" t="str">
        <f>"ΚΙΣΑΜΟΣ ΧΑΝΙΩΝ ΧΑΝΙΑ"</f>
        <v>ΚΙΣΑΜΟΣ ΧΑΝΙΩΝ ΧΑΝΙΑ</v>
      </c>
      <c r="I9667">
        <v>73400</v>
      </c>
      <c r="J9667">
        <v>2822023695</v>
      </c>
      <c r="K9667">
        <v>6978755180</v>
      </c>
      <c r="N9667" t="s">
        <v>615</v>
      </c>
      <c r="O9667" t="s">
        <v>616</v>
      </c>
      <c r="R9667" t="s">
        <v>57</v>
      </c>
      <c r="S9667">
        <v>16</v>
      </c>
      <c r="T9667">
        <v>168</v>
      </c>
      <c r="U9667" s="1">
        <v>32010</v>
      </c>
      <c r="V9667" t="s">
        <v>89</v>
      </c>
      <c r="W9667" t="s">
        <v>90</v>
      </c>
      <c r="X9667" t="s">
        <v>58</v>
      </c>
      <c r="Y9667">
        <v>21</v>
      </c>
      <c r="Z9667" t="s">
        <v>59</v>
      </c>
      <c r="AA9667" t="s">
        <v>59</v>
      </c>
      <c r="AB9667" t="s">
        <v>59</v>
      </c>
      <c r="AC9667" t="s">
        <v>59</v>
      </c>
      <c r="AD9667" t="s">
        <v>59</v>
      </c>
      <c r="AF9667" s="1">
        <v>32023</v>
      </c>
      <c r="AG9667" t="s">
        <v>8645</v>
      </c>
      <c r="AH9667" t="s">
        <v>8646</v>
      </c>
      <c r="AI9667" t="str">
        <f>"9500191"</f>
        <v>9500191</v>
      </c>
      <c r="AJ9667" t="s">
        <v>13986</v>
      </c>
      <c r="AK9667">
        <v>2822022042</v>
      </c>
      <c r="AL9667" t="s">
        <v>13987</v>
      </c>
      <c r="AM9667" t="s">
        <v>88</v>
      </c>
      <c r="AN9667" t="s">
        <v>6744</v>
      </c>
      <c r="AO9667" t="s">
        <v>6744</v>
      </c>
      <c r="AP9667" t="s">
        <v>6744</v>
      </c>
      <c r="AQ9667">
        <v>9</v>
      </c>
      <c r="AR9667" t="s">
        <v>89</v>
      </c>
      <c r="AS9667" t="s">
        <v>90</v>
      </c>
      <c r="AT9667" t="s">
        <v>58</v>
      </c>
      <c r="AU9667" t="s">
        <v>68</v>
      </c>
      <c r="AV9667" t="s">
        <v>69</v>
      </c>
      <c r="AW9667" s="1">
        <v>23943</v>
      </c>
      <c r="AX9667">
        <v>1</v>
      </c>
    </row>
    <row r="9668" spans="1:50">
      <c r="A9668">
        <v>604126</v>
      </c>
      <c r="B9668" t="str">
        <f>"063485917"</f>
        <v>063485917</v>
      </c>
      <c r="C9668" t="s">
        <v>50</v>
      </c>
      <c r="D9668" t="s">
        <v>10032</v>
      </c>
      <c r="E9668" t="s">
        <v>476</v>
      </c>
      <c r="F9668" t="s">
        <v>106</v>
      </c>
      <c r="G9668" t="s">
        <v>143</v>
      </c>
      <c r="H9668" t="str">
        <f>"Ελ. Βενιζέλου 73 Κ.Κουμ Καπί"</f>
        <v>Ελ. Βενιζέλου 73 Κ.Κουμ Καπί</v>
      </c>
      <c r="J9668">
        <v>2821099259</v>
      </c>
      <c r="K9668">
        <v>6946062127</v>
      </c>
      <c r="M9668" t="s">
        <v>14624</v>
      </c>
      <c r="N9668" t="s">
        <v>615</v>
      </c>
      <c r="O9668" t="s">
        <v>616</v>
      </c>
      <c r="R9668" t="s">
        <v>57</v>
      </c>
      <c r="S9668">
        <v>8</v>
      </c>
      <c r="T9668">
        <v>231</v>
      </c>
      <c r="U9668" s="1">
        <v>38230</v>
      </c>
      <c r="V9668" t="s">
        <v>89</v>
      </c>
      <c r="W9668" t="s">
        <v>90</v>
      </c>
      <c r="X9668" t="s">
        <v>58</v>
      </c>
      <c r="Y9668">
        <v>22</v>
      </c>
      <c r="Z9668" t="s">
        <v>59</v>
      </c>
      <c r="AA9668" t="s">
        <v>59</v>
      </c>
      <c r="AB9668" t="s">
        <v>59</v>
      </c>
      <c r="AC9668" t="s">
        <v>59</v>
      </c>
      <c r="AD9668" t="s">
        <v>59</v>
      </c>
      <c r="AF9668" s="1">
        <v>38230</v>
      </c>
      <c r="AG9668" t="s">
        <v>8645</v>
      </c>
      <c r="AH9668" t="s">
        <v>8646</v>
      </c>
      <c r="AI9668" t="str">
        <f>"9500041"</f>
        <v>9500041</v>
      </c>
      <c r="AJ9668" t="s">
        <v>13944</v>
      </c>
      <c r="AK9668">
        <v>2821028218</v>
      </c>
      <c r="AL9668" t="s">
        <v>13945</v>
      </c>
      <c r="AM9668" t="s">
        <v>88</v>
      </c>
      <c r="AN9668" t="s">
        <v>88</v>
      </c>
      <c r="AO9668" t="s">
        <v>88</v>
      </c>
      <c r="AP9668" t="s">
        <v>88</v>
      </c>
      <c r="AQ9668">
        <v>1</v>
      </c>
      <c r="AR9668" t="s">
        <v>89</v>
      </c>
      <c r="AS9668" t="s">
        <v>90</v>
      </c>
      <c r="AT9668" t="s">
        <v>58</v>
      </c>
      <c r="AU9668" t="s">
        <v>68</v>
      </c>
      <c r="AV9668" t="s">
        <v>69</v>
      </c>
      <c r="AW9668" s="1">
        <v>27355</v>
      </c>
      <c r="AX9668">
        <v>1</v>
      </c>
    </row>
    <row r="9669" spans="1:50">
      <c r="A9669">
        <v>564313</v>
      </c>
      <c r="B9669" t="str">
        <f>"037748401"</f>
        <v>037748401</v>
      </c>
      <c r="C9669" t="s">
        <v>50</v>
      </c>
      <c r="D9669" t="s">
        <v>10032</v>
      </c>
      <c r="E9669" t="s">
        <v>367</v>
      </c>
      <c r="F9669" t="s">
        <v>6252</v>
      </c>
      <c r="G9669" t="s">
        <v>9332</v>
      </c>
      <c r="H9669" t="str">
        <f>"ΠΑΛΑΙΟΧΩΡΑ ΠΑΛΑΙΟΧΩΡΑ"</f>
        <v>ΠΑΛΑΙΟΧΩΡΑ ΠΑΛΑΙΟΧΩΡΑ</v>
      </c>
      <c r="I9669">
        <v>73001</v>
      </c>
      <c r="J9669">
        <v>2823041779</v>
      </c>
      <c r="K9669">
        <v>6974292032</v>
      </c>
      <c r="N9669" t="s">
        <v>615</v>
      </c>
      <c r="O9669" t="s">
        <v>616</v>
      </c>
      <c r="R9669" t="s">
        <v>57</v>
      </c>
      <c r="S9669">
        <v>15</v>
      </c>
      <c r="T9669">
        <v>161</v>
      </c>
      <c r="U9669" s="1">
        <v>33119</v>
      </c>
      <c r="V9669" t="s">
        <v>89</v>
      </c>
      <c r="W9669" t="s">
        <v>90</v>
      </c>
      <c r="X9669" t="s">
        <v>58</v>
      </c>
      <c r="Y9669">
        <v>21</v>
      </c>
      <c r="Z9669" t="s">
        <v>59</v>
      </c>
      <c r="AA9669" t="s">
        <v>59</v>
      </c>
      <c r="AB9669" t="s">
        <v>59</v>
      </c>
      <c r="AC9669" t="s">
        <v>59</v>
      </c>
      <c r="AD9669" t="s">
        <v>59</v>
      </c>
      <c r="AF9669" s="1">
        <v>33121</v>
      </c>
      <c r="AG9669" t="s">
        <v>8645</v>
      </c>
      <c r="AH9669" t="s">
        <v>8646</v>
      </c>
      <c r="AI9669" t="str">
        <f>"9500175"</f>
        <v>9500175</v>
      </c>
      <c r="AJ9669" t="s">
        <v>14538</v>
      </c>
      <c r="AK9669">
        <v>2823041233</v>
      </c>
      <c r="AL9669" t="s">
        <v>14539</v>
      </c>
      <c r="AM9669" t="s">
        <v>88</v>
      </c>
      <c r="AN9669" t="s">
        <v>6824</v>
      </c>
      <c r="AO9669" t="s">
        <v>6870</v>
      </c>
      <c r="AP9669" t="s">
        <v>6871</v>
      </c>
      <c r="AQ9669">
        <v>11</v>
      </c>
      <c r="AR9669" t="s">
        <v>89</v>
      </c>
      <c r="AS9669" t="s">
        <v>90</v>
      </c>
      <c r="AT9669" t="s">
        <v>58</v>
      </c>
      <c r="AU9669" t="s">
        <v>68</v>
      </c>
      <c r="AV9669" t="s">
        <v>69</v>
      </c>
      <c r="AW9669" s="1">
        <v>24402</v>
      </c>
      <c r="AX9669">
        <v>1</v>
      </c>
    </row>
    <row r="9670" spans="1:50">
      <c r="A9670">
        <v>622195</v>
      </c>
      <c r="B9670" t="str">
        <f>"112382004"</f>
        <v>112382004</v>
      </c>
      <c r="C9670" t="s">
        <v>50</v>
      </c>
      <c r="D9670" t="s">
        <v>10032</v>
      </c>
      <c r="E9670" t="s">
        <v>314</v>
      </c>
      <c r="F9670" t="s">
        <v>106</v>
      </c>
      <c r="G9670" t="s">
        <v>1065</v>
      </c>
      <c r="H9670" t="str">
        <f>"ΜΙΑΟΥΛΗ ΚΟΥΝΟΥΠΙΔΙΑΝΑ ΧΑΝΙΑ"</f>
        <v>ΜΙΑΟΥΛΗ ΚΟΥΝΟΥΠΙΔΙΑΝΑ ΧΑΝΙΑ</v>
      </c>
      <c r="I9670">
        <v>73100</v>
      </c>
      <c r="J9670">
        <v>2821069384</v>
      </c>
      <c r="K9670">
        <v>6972930284</v>
      </c>
      <c r="N9670" t="s">
        <v>1525</v>
      </c>
      <c r="O9670" t="s">
        <v>1526</v>
      </c>
      <c r="R9670" t="s">
        <v>57</v>
      </c>
      <c r="S9670">
        <v>7</v>
      </c>
      <c r="T9670">
        <v>653</v>
      </c>
      <c r="U9670" s="1">
        <v>40043</v>
      </c>
      <c r="V9670" t="s">
        <v>89</v>
      </c>
      <c r="W9670" t="s">
        <v>90</v>
      </c>
      <c r="X9670" t="s">
        <v>58</v>
      </c>
      <c r="Y9670">
        <v>25</v>
      </c>
      <c r="Z9670" t="s">
        <v>59</v>
      </c>
      <c r="AA9670" t="s">
        <v>59</v>
      </c>
      <c r="AB9670" t="s">
        <v>59</v>
      </c>
      <c r="AC9670" t="s">
        <v>59</v>
      </c>
      <c r="AD9670" t="s">
        <v>59</v>
      </c>
      <c r="AF9670" s="1">
        <v>40043</v>
      </c>
      <c r="AG9670" t="s">
        <v>8651</v>
      </c>
      <c r="AH9670" t="s">
        <v>8652</v>
      </c>
      <c r="AI9670" t="str">
        <f>"9500406"</f>
        <v>9500406</v>
      </c>
      <c r="AJ9670" t="s">
        <v>14625</v>
      </c>
      <c r="AK9670">
        <v>2821081597</v>
      </c>
      <c r="AL9670" t="s">
        <v>14626</v>
      </c>
      <c r="AM9670" t="s">
        <v>88</v>
      </c>
      <c r="AN9670" t="s">
        <v>88</v>
      </c>
      <c r="AO9670" t="s">
        <v>6748</v>
      </c>
      <c r="AP9670" t="s">
        <v>6748</v>
      </c>
      <c r="AQ9670">
        <v>2</v>
      </c>
      <c r="AR9670" t="s">
        <v>89</v>
      </c>
      <c r="AS9670" t="s">
        <v>90</v>
      </c>
      <c r="AT9670" t="s">
        <v>58</v>
      </c>
      <c r="AU9670" t="s">
        <v>68</v>
      </c>
      <c r="AV9670" t="s">
        <v>69</v>
      </c>
      <c r="AW9670" s="1">
        <v>25784</v>
      </c>
      <c r="AX9670">
        <v>1</v>
      </c>
    </row>
    <row r="9671" spans="1:50">
      <c r="A9671">
        <v>613243</v>
      </c>
      <c r="B9671" t="str">
        <f>"063734594"</f>
        <v>063734594</v>
      </c>
      <c r="C9671" t="s">
        <v>50</v>
      </c>
      <c r="D9671" t="s">
        <v>10032</v>
      </c>
      <c r="E9671" t="s">
        <v>181</v>
      </c>
      <c r="F9671" t="s">
        <v>95</v>
      </c>
      <c r="G9671" t="s">
        <v>73</v>
      </c>
      <c r="H9671" t="str">
        <f>"ΞΑΝΘΟΥΔΙΔΟΥ 7 ΧΑΝΙΑ"</f>
        <v>ΞΑΝΘΟΥΔΙΔΟΥ 7 ΧΑΝΙΑ</v>
      </c>
      <c r="I9671">
        <v>73132</v>
      </c>
      <c r="J9671">
        <v>2821064164</v>
      </c>
      <c r="K9671">
        <v>6974647844</v>
      </c>
      <c r="N9671" t="s">
        <v>615</v>
      </c>
      <c r="O9671" t="s">
        <v>616</v>
      </c>
      <c r="R9671" t="s">
        <v>57</v>
      </c>
      <c r="S9671">
        <v>6</v>
      </c>
      <c r="T9671">
        <v>598</v>
      </c>
      <c r="U9671" s="1">
        <v>39310</v>
      </c>
      <c r="V9671" t="s">
        <v>89</v>
      </c>
      <c r="W9671" t="s">
        <v>90</v>
      </c>
      <c r="X9671" t="s">
        <v>58</v>
      </c>
      <c r="Y9671">
        <v>23</v>
      </c>
      <c r="Z9671" t="s">
        <v>59</v>
      </c>
      <c r="AA9671" t="s">
        <v>59</v>
      </c>
      <c r="AB9671" t="s">
        <v>59</v>
      </c>
      <c r="AC9671" t="s">
        <v>59</v>
      </c>
      <c r="AD9671" t="s">
        <v>59</v>
      </c>
      <c r="AF9671" s="1">
        <v>39310</v>
      </c>
      <c r="AG9671" t="s">
        <v>8645</v>
      </c>
      <c r="AH9671" t="s">
        <v>8646</v>
      </c>
      <c r="AI9671" t="str">
        <f>"9500423"</f>
        <v>9500423</v>
      </c>
      <c r="AJ9671" t="s">
        <v>13893</v>
      </c>
      <c r="AK9671">
        <v>2821023473</v>
      </c>
      <c r="AL9671" t="s">
        <v>13894</v>
      </c>
      <c r="AM9671" t="s">
        <v>88</v>
      </c>
      <c r="AN9671" t="s">
        <v>88</v>
      </c>
      <c r="AO9671" t="s">
        <v>88</v>
      </c>
      <c r="AP9671" t="s">
        <v>88</v>
      </c>
      <c r="AQ9671">
        <v>1</v>
      </c>
      <c r="AR9671" t="s">
        <v>89</v>
      </c>
      <c r="AS9671" t="s">
        <v>90</v>
      </c>
      <c r="AT9671" t="s">
        <v>58</v>
      </c>
      <c r="AU9671" t="s">
        <v>68</v>
      </c>
      <c r="AV9671" t="s">
        <v>69</v>
      </c>
      <c r="AW9671" s="1">
        <v>30121</v>
      </c>
      <c r="AX9671">
        <v>1</v>
      </c>
    </row>
    <row r="9672" spans="1:50">
      <c r="A9672">
        <v>572700</v>
      </c>
      <c r="B9672" t="str">
        <f>"043428932"</f>
        <v>043428932</v>
      </c>
      <c r="C9672" t="s">
        <v>105</v>
      </c>
      <c r="D9672" t="s">
        <v>1865</v>
      </c>
      <c r="E9672" t="s">
        <v>72</v>
      </c>
      <c r="F9672" t="s">
        <v>1070</v>
      </c>
      <c r="G9672" t="s">
        <v>83</v>
      </c>
      <c r="H9672" t="str">
        <f>"1Η ΠΑΡ. ΤΖΙΤΖΙΦΙΑΝΑΚΗ 2 ΧΑΝΙΑ"</f>
        <v>1Η ΠΑΡ. ΤΖΙΤΖΙΦΙΑΝΑΚΗ 2 ΧΑΝΙΑ</v>
      </c>
      <c r="I9672">
        <v>73133</v>
      </c>
      <c r="J9672">
        <v>2821040609</v>
      </c>
      <c r="K9672">
        <v>6946292215</v>
      </c>
      <c r="N9672" t="s">
        <v>337</v>
      </c>
      <c r="O9672" t="s">
        <v>338</v>
      </c>
      <c r="R9672" t="s">
        <v>57</v>
      </c>
      <c r="S9672">
        <v>13</v>
      </c>
      <c r="T9672">
        <v>154</v>
      </c>
      <c r="U9672" s="1">
        <v>34225</v>
      </c>
      <c r="V9672" t="s">
        <v>89</v>
      </c>
      <c r="W9672" t="s">
        <v>90</v>
      </c>
      <c r="X9672" t="s">
        <v>58</v>
      </c>
      <c r="Y9672">
        <v>21</v>
      </c>
      <c r="Z9672" t="s">
        <v>59</v>
      </c>
      <c r="AA9672" t="s">
        <v>59</v>
      </c>
      <c r="AB9672" t="s">
        <v>59</v>
      </c>
      <c r="AC9672" t="s">
        <v>59</v>
      </c>
      <c r="AD9672" t="s">
        <v>59</v>
      </c>
      <c r="AF9672" s="1">
        <v>34225</v>
      </c>
      <c r="AG9672" t="s">
        <v>8645</v>
      </c>
      <c r="AH9672" t="s">
        <v>8646</v>
      </c>
      <c r="AI9672" t="str">
        <f>"9500358"</f>
        <v>9500358</v>
      </c>
      <c r="AJ9672" t="s">
        <v>13948</v>
      </c>
      <c r="AK9672">
        <v>2821093459</v>
      </c>
      <c r="AL9672" t="s">
        <v>13949</v>
      </c>
      <c r="AM9672" t="s">
        <v>88</v>
      </c>
      <c r="AN9672" t="s">
        <v>88</v>
      </c>
      <c r="AO9672" t="s">
        <v>6733</v>
      </c>
      <c r="AP9672" t="s">
        <v>6755</v>
      </c>
      <c r="AQ9672">
        <v>2</v>
      </c>
      <c r="AR9672" t="s">
        <v>89</v>
      </c>
      <c r="AS9672" t="s">
        <v>90</v>
      </c>
      <c r="AT9672" t="s">
        <v>58</v>
      </c>
      <c r="AU9672" t="s">
        <v>68</v>
      </c>
      <c r="AV9672" t="s">
        <v>69</v>
      </c>
      <c r="AW9672" s="1">
        <v>22725</v>
      </c>
      <c r="AX9672">
        <v>1</v>
      </c>
    </row>
    <row r="9673" spans="1:50">
      <c r="A9673">
        <v>597419</v>
      </c>
      <c r="B9673" t="str">
        <f>"052309977"</f>
        <v>052309977</v>
      </c>
      <c r="C9673" t="s">
        <v>50</v>
      </c>
      <c r="D9673" t="s">
        <v>7365</v>
      </c>
      <c r="E9673" t="s">
        <v>237</v>
      </c>
      <c r="F9673" t="s">
        <v>383</v>
      </c>
      <c r="G9673" t="s">
        <v>1207</v>
      </c>
      <c r="H9673" t="str">
        <f>"ΠΕΙΡΑΙΩΣ 61 ΧΑΝΙΑ"</f>
        <v>ΠΕΙΡΑΙΩΣ 61 ΧΑΝΙΑ</v>
      </c>
      <c r="I9673">
        <v>73131</v>
      </c>
      <c r="J9673">
        <v>2822022353</v>
      </c>
      <c r="K9673">
        <v>6949962840</v>
      </c>
      <c r="L9673">
        <v>2821086831</v>
      </c>
      <c r="N9673" t="s">
        <v>176</v>
      </c>
      <c r="O9673" t="s">
        <v>177</v>
      </c>
      <c r="R9673" t="s">
        <v>57</v>
      </c>
      <c r="S9673">
        <v>11</v>
      </c>
      <c r="T9673">
        <v>193</v>
      </c>
      <c r="U9673" s="1">
        <v>37497</v>
      </c>
      <c r="V9673" t="s">
        <v>89</v>
      </c>
      <c r="W9673" t="s">
        <v>90</v>
      </c>
      <c r="X9673" t="s">
        <v>58</v>
      </c>
      <c r="Y9673">
        <v>21</v>
      </c>
      <c r="Z9673" t="s">
        <v>59</v>
      </c>
      <c r="AA9673" t="s">
        <v>59</v>
      </c>
      <c r="AB9673" t="s">
        <v>59</v>
      </c>
      <c r="AC9673" t="s">
        <v>59</v>
      </c>
      <c r="AD9673" t="s">
        <v>59</v>
      </c>
      <c r="AF9673" s="1">
        <v>37497</v>
      </c>
      <c r="AG9673" t="s">
        <v>8645</v>
      </c>
      <c r="AH9673" t="s">
        <v>14199</v>
      </c>
      <c r="AI9673" t="str">
        <f>"9500140"</f>
        <v>9500140</v>
      </c>
      <c r="AJ9673" t="s">
        <v>14200</v>
      </c>
      <c r="AK9673">
        <v>2821097348</v>
      </c>
      <c r="AL9673" t="s">
        <v>14201</v>
      </c>
      <c r="AM9673" t="s">
        <v>88</v>
      </c>
      <c r="AN9673" t="s">
        <v>88</v>
      </c>
      <c r="AO9673" t="s">
        <v>88</v>
      </c>
      <c r="AP9673" t="s">
        <v>88</v>
      </c>
      <c r="AQ9673">
        <v>1</v>
      </c>
      <c r="AR9673" t="s">
        <v>89</v>
      </c>
      <c r="AS9673" t="s">
        <v>90</v>
      </c>
      <c r="AT9673" t="s">
        <v>58</v>
      </c>
      <c r="AU9673" t="s">
        <v>68</v>
      </c>
      <c r="AV9673" t="s">
        <v>69</v>
      </c>
      <c r="AW9673" s="1">
        <v>24361</v>
      </c>
      <c r="AX9673">
        <v>1</v>
      </c>
    </row>
    <row r="9674" spans="1:50">
      <c r="A9674">
        <v>559065</v>
      </c>
      <c r="B9674" t="str">
        <f>"100644275"</f>
        <v>100644275</v>
      </c>
      <c r="C9674" t="s">
        <v>50</v>
      </c>
      <c r="D9674" t="s">
        <v>7365</v>
      </c>
      <c r="E9674" t="s">
        <v>114</v>
      </c>
      <c r="F9674" t="s">
        <v>92</v>
      </c>
      <c r="G9674" t="s">
        <v>1189</v>
      </c>
      <c r="H9674" t="str">
        <f>"ΤΑΥΡΩΝΙΤΗΣ ΚΙΣΑΜΟΥ ΤΑΥΡΩΝΙΤΗΣ"</f>
        <v>ΤΑΥΡΩΝΙΤΗΣ ΚΙΣΑΜΟΥ ΤΑΥΡΩΝΙΤΗΣ</v>
      </c>
      <c r="I9674">
        <v>73006</v>
      </c>
      <c r="J9674">
        <v>2824023571</v>
      </c>
      <c r="K9674">
        <v>6946394534</v>
      </c>
      <c r="N9674" t="s">
        <v>615</v>
      </c>
      <c r="O9674" t="s">
        <v>616</v>
      </c>
      <c r="R9674" t="s">
        <v>57</v>
      </c>
      <c r="S9674">
        <v>15</v>
      </c>
      <c r="T9674">
        <v>168</v>
      </c>
      <c r="U9674" s="1">
        <v>32010</v>
      </c>
      <c r="V9674" t="s">
        <v>89</v>
      </c>
      <c r="W9674" t="s">
        <v>90</v>
      </c>
      <c r="X9674" t="s">
        <v>58</v>
      </c>
      <c r="Y9674">
        <v>21</v>
      </c>
      <c r="Z9674" t="s">
        <v>59</v>
      </c>
      <c r="AA9674" t="s">
        <v>59</v>
      </c>
      <c r="AB9674" t="s">
        <v>59</v>
      </c>
      <c r="AC9674" t="s">
        <v>59</v>
      </c>
      <c r="AD9674" t="s">
        <v>59</v>
      </c>
      <c r="AF9674" s="1">
        <v>32022</v>
      </c>
      <c r="AG9674" t="s">
        <v>8645</v>
      </c>
      <c r="AH9674" t="s">
        <v>8646</v>
      </c>
      <c r="AI9674" t="str">
        <f>"9500126"</f>
        <v>9500126</v>
      </c>
      <c r="AJ9674" t="s">
        <v>14245</v>
      </c>
      <c r="AK9674">
        <v>2824031229</v>
      </c>
      <c r="AL9674" t="s">
        <v>14246</v>
      </c>
      <c r="AM9674" t="s">
        <v>88</v>
      </c>
      <c r="AN9674" t="s">
        <v>6764</v>
      </c>
      <c r="AO9674" t="s">
        <v>6765</v>
      </c>
      <c r="AP9674" t="s">
        <v>6765</v>
      </c>
      <c r="AQ9674">
        <v>6</v>
      </c>
      <c r="AR9674" t="s">
        <v>89</v>
      </c>
      <c r="AS9674" t="s">
        <v>90</v>
      </c>
      <c r="AT9674" t="s">
        <v>58</v>
      </c>
      <c r="AU9674" t="s">
        <v>68</v>
      </c>
      <c r="AV9674" t="s">
        <v>69</v>
      </c>
      <c r="AW9674" s="1">
        <v>23858</v>
      </c>
      <c r="AX9674">
        <v>1</v>
      </c>
    </row>
    <row r="9675" spans="1:50">
      <c r="B9675" t="str">
        <f>"146313142"</f>
        <v>146313142</v>
      </c>
      <c r="C9675" t="s">
        <v>50</v>
      </c>
      <c r="D9675" t="s">
        <v>7365</v>
      </c>
      <c r="E9675" t="s">
        <v>52</v>
      </c>
      <c r="F9675" t="s">
        <v>1070</v>
      </c>
      <c r="G9675" t="s">
        <v>83</v>
      </c>
      <c r="H9675" t="str">
        <f>"Μ. ΜΕΤΑΞΑΚΗ 51 ΧΑΝΙΑ"</f>
        <v>Μ. ΜΕΤΑΞΑΚΗ 51 ΧΑΝΙΑ</v>
      </c>
      <c r="I9675">
        <v>73100</v>
      </c>
      <c r="J9675">
        <v>2821072833</v>
      </c>
      <c r="K9675">
        <v>6977011549</v>
      </c>
      <c r="N9675" t="s">
        <v>8694</v>
      </c>
      <c r="O9675" t="s">
        <v>8695</v>
      </c>
      <c r="R9675" t="s">
        <v>159</v>
      </c>
      <c r="S9675">
        <v>3</v>
      </c>
      <c r="T9675" t="s">
        <v>8835</v>
      </c>
      <c r="U9675" s="1">
        <v>43348</v>
      </c>
      <c r="V9675" t="s">
        <v>89</v>
      </c>
      <c r="W9675" t="s">
        <v>90</v>
      </c>
      <c r="X9675" t="s">
        <v>58</v>
      </c>
      <c r="Y9675">
        <v>24</v>
      </c>
      <c r="Z9675" t="s">
        <v>59</v>
      </c>
      <c r="AA9675" t="s">
        <v>59</v>
      </c>
      <c r="AB9675" t="s">
        <v>59</v>
      </c>
      <c r="AC9675" t="s">
        <v>59</v>
      </c>
      <c r="AD9675" t="s">
        <v>59</v>
      </c>
      <c r="AF9675" s="1">
        <v>43348</v>
      </c>
      <c r="AG9675" t="s">
        <v>8645</v>
      </c>
      <c r="AH9675" t="s">
        <v>8646</v>
      </c>
      <c r="AI9675" t="str">
        <f>"9500093"</f>
        <v>9500093</v>
      </c>
      <c r="AJ9675" t="s">
        <v>13865</v>
      </c>
      <c r="AK9675">
        <v>2821064537</v>
      </c>
      <c r="AL9675" t="s">
        <v>13866</v>
      </c>
      <c r="AM9675" t="s">
        <v>88</v>
      </c>
      <c r="AN9675" t="s">
        <v>88</v>
      </c>
      <c r="AO9675" t="s">
        <v>6770</v>
      </c>
      <c r="AP9675" t="s">
        <v>6771</v>
      </c>
      <c r="AQ9675">
        <v>2</v>
      </c>
      <c r="AR9675" t="s">
        <v>89</v>
      </c>
      <c r="AS9675" t="s">
        <v>90</v>
      </c>
      <c r="AT9675" t="s">
        <v>58</v>
      </c>
      <c r="AU9675" t="s">
        <v>131</v>
      </c>
      <c r="AV9675" t="s">
        <v>132</v>
      </c>
      <c r="AW9675" s="1">
        <v>31261</v>
      </c>
      <c r="AX9675">
        <v>1</v>
      </c>
    </row>
    <row r="9676" spans="1:50">
      <c r="A9676">
        <v>564829</v>
      </c>
      <c r="B9676" t="str">
        <f>"034361620"</f>
        <v>034361620</v>
      </c>
      <c r="C9676" t="s">
        <v>105</v>
      </c>
      <c r="D9676" t="s">
        <v>7366</v>
      </c>
      <c r="E9676" t="s">
        <v>377</v>
      </c>
      <c r="F9676" t="s">
        <v>760</v>
      </c>
      <c r="G9676" t="s">
        <v>96</v>
      </c>
      <c r="H9676" t="str">
        <f>"Λ.Ν. ΚΑΖΑΝΤΖΑΚΗ 99 ΧΑΝΙΑ"</f>
        <v>Λ.Ν. ΚΑΖΑΝΤΖΑΚΗ 99 ΧΑΝΙΑ</v>
      </c>
      <c r="I9676">
        <v>73100</v>
      </c>
      <c r="J9676">
        <v>2821091036</v>
      </c>
      <c r="K9676">
        <v>6947934468</v>
      </c>
      <c r="N9676" t="s">
        <v>615</v>
      </c>
      <c r="O9676" t="s">
        <v>616</v>
      </c>
      <c r="R9676" t="s">
        <v>57</v>
      </c>
      <c r="S9676">
        <v>16</v>
      </c>
      <c r="T9676">
        <v>161</v>
      </c>
      <c r="U9676" s="1">
        <v>33119</v>
      </c>
      <c r="V9676" t="s">
        <v>89</v>
      </c>
      <c r="W9676" t="s">
        <v>90</v>
      </c>
      <c r="X9676" t="s">
        <v>58</v>
      </c>
      <c r="Y9676">
        <v>21</v>
      </c>
      <c r="Z9676" t="s">
        <v>59</v>
      </c>
      <c r="AA9676" t="s">
        <v>59</v>
      </c>
      <c r="AB9676" t="s">
        <v>59</v>
      </c>
      <c r="AC9676" t="s">
        <v>59</v>
      </c>
      <c r="AD9676" t="s">
        <v>59</v>
      </c>
      <c r="AF9676" s="1">
        <v>33119</v>
      </c>
      <c r="AG9676" t="s">
        <v>8645</v>
      </c>
      <c r="AH9676" t="s">
        <v>8646</v>
      </c>
      <c r="AI9676" t="str">
        <f>"9500359"</f>
        <v>9500359</v>
      </c>
      <c r="AJ9676" t="s">
        <v>13939</v>
      </c>
      <c r="AK9676">
        <v>2821095778</v>
      </c>
      <c r="AL9676" t="s">
        <v>13940</v>
      </c>
      <c r="AM9676" t="s">
        <v>88</v>
      </c>
      <c r="AN9676" t="s">
        <v>88</v>
      </c>
      <c r="AO9676" t="s">
        <v>6733</v>
      </c>
      <c r="AP9676" t="s">
        <v>6755</v>
      </c>
      <c r="AQ9676">
        <v>2</v>
      </c>
      <c r="AR9676" t="s">
        <v>89</v>
      </c>
      <c r="AS9676" t="s">
        <v>90</v>
      </c>
      <c r="AT9676" t="s">
        <v>58</v>
      </c>
      <c r="AU9676" t="s">
        <v>68</v>
      </c>
      <c r="AV9676" t="s">
        <v>69</v>
      </c>
      <c r="AW9676" s="1">
        <v>24192</v>
      </c>
      <c r="AX9676">
        <v>1</v>
      </c>
    </row>
    <row r="9677" spans="1:50">
      <c r="A9677">
        <v>608300</v>
      </c>
      <c r="B9677" t="str">
        <f>"122989100"</f>
        <v>122989100</v>
      </c>
      <c r="C9677" t="s">
        <v>50</v>
      </c>
      <c r="D9677" t="s">
        <v>14627</v>
      </c>
      <c r="E9677" t="s">
        <v>314</v>
      </c>
      <c r="F9677" t="s">
        <v>99</v>
      </c>
      <c r="G9677" t="s">
        <v>109</v>
      </c>
      <c r="H9677" t="str">
        <f>"ΚΟΛΥΜΠΑΡΙ ΧΑΝΙΩΝ ΚΟΛΥΜΠΑΡΙ"</f>
        <v>ΚΟΛΥΜΠΑΡΙ ΧΑΝΙΩΝ ΚΟΛΥΜΠΑΡΙ</v>
      </c>
      <c r="I9677">
        <v>73006</v>
      </c>
      <c r="J9677">
        <v>2824022229</v>
      </c>
      <c r="K9677">
        <v>6977421489</v>
      </c>
      <c r="N9677" t="s">
        <v>1525</v>
      </c>
      <c r="O9677" t="s">
        <v>1526</v>
      </c>
      <c r="R9677" t="s">
        <v>57</v>
      </c>
      <c r="S9677">
        <v>8</v>
      </c>
      <c r="T9677">
        <v>217</v>
      </c>
      <c r="U9677" s="1">
        <v>38596</v>
      </c>
      <c r="V9677" t="s">
        <v>89</v>
      </c>
      <c r="W9677" t="s">
        <v>90</v>
      </c>
      <c r="X9677" t="s">
        <v>58</v>
      </c>
      <c r="Y9677">
        <v>25</v>
      </c>
      <c r="Z9677" t="s">
        <v>59</v>
      </c>
      <c r="AA9677" t="s">
        <v>59</v>
      </c>
      <c r="AB9677" t="s">
        <v>59</v>
      </c>
      <c r="AC9677" t="s">
        <v>59</v>
      </c>
      <c r="AD9677" t="s">
        <v>59</v>
      </c>
      <c r="AF9677" s="1">
        <v>38600</v>
      </c>
      <c r="AG9677" t="s">
        <v>8651</v>
      </c>
      <c r="AH9677" t="s">
        <v>8652</v>
      </c>
      <c r="AI9677" t="str">
        <f>"9500274"</f>
        <v>9500274</v>
      </c>
      <c r="AJ9677" t="s">
        <v>14628</v>
      </c>
      <c r="AK9677">
        <v>2824022008</v>
      </c>
      <c r="AL9677" t="s">
        <v>14629</v>
      </c>
      <c r="AM9677" t="s">
        <v>88</v>
      </c>
      <c r="AN9677" t="s">
        <v>6764</v>
      </c>
      <c r="AO9677" t="s">
        <v>6799</v>
      </c>
      <c r="AP9677" t="s">
        <v>6799</v>
      </c>
      <c r="AQ9677">
        <v>6</v>
      </c>
      <c r="AR9677" t="s">
        <v>89</v>
      </c>
      <c r="AS9677" t="s">
        <v>90</v>
      </c>
      <c r="AT9677" t="s">
        <v>58</v>
      </c>
      <c r="AU9677" t="s">
        <v>68</v>
      </c>
      <c r="AV9677" t="s">
        <v>69</v>
      </c>
      <c r="AW9677" s="1">
        <v>23877</v>
      </c>
      <c r="AX9677">
        <v>1</v>
      </c>
    </row>
    <row r="9678" spans="1:50">
      <c r="A9678">
        <v>564505</v>
      </c>
      <c r="B9678" t="str">
        <f>"037803768"</f>
        <v>037803768</v>
      </c>
      <c r="C9678" t="s">
        <v>50</v>
      </c>
      <c r="D9678" t="s">
        <v>14630</v>
      </c>
      <c r="E9678" t="s">
        <v>3706</v>
      </c>
      <c r="F9678" t="s">
        <v>166</v>
      </c>
      <c r="G9678" t="s">
        <v>255</v>
      </c>
      <c r="H9678" t="str">
        <f>"ΑΚΤΗ ΚΑΝΑΡΗ 5 ΧΑΝΙΑ"</f>
        <v>ΑΚΤΗ ΚΑΝΑΡΗ 5 ΧΑΝΙΑ</v>
      </c>
      <c r="I9678">
        <v>73100</v>
      </c>
      <c r="J9678">
        <v>2821050042</v>
      </c>
      <c r="K9678">
        <v>6947943323</v>
      </c>
      <c r="N9678" t="s">
        <v>615</v>
      </c>
      <c r="O9678" t="s">
        <v>616</v>
      </c>
      <c r="R9678" t="s">
        <v>57</v>
      </c>
      <c r="S9678">
        <v>14</v>
      </c>
      <c r="T9678">
        <v>161</v>
      </c>
      <c r="U9678" s="1">
        <v>33119</v>
      </c>
      <c r="V9678" t="s">
        <v>89</v>
      </c>
      <c r="W9678" t="s">
        <v>90</v>
      </c>
      <c r="X9678" t="s">
        <v>58</v>
      </c>
      <c r="Y9678">
        <v>21</v>
      </c>
      <c r="Z9678" t="s">
        <v>59</v>
      </c>
      <c r="AA9678" t="s">
        <v>59</v>
      </c>
      <c r="AB9678" t="s">
        <v>59</v>
      </c>
      <c r="AC9678" t="s">
        <v>59</v>
      </c>
      <c r="AD9678" t="s">
        <v>59</v>
      </c>
      <c r="AF9678" s="1">
        <v>33119</v>
      </c>
      <c r="AG9678" t="s">
        <v>8645</v>
      </c>
      <c r="AH9678" t="s">
        <v>8646</v>
      </c>
      <c r="AI9678" t="str">
        <f>"9500144"</f>
        <v>9500144</v>
      </c>
      <c r="AJ9678" t="s">
        <v>14010</v>
      </c>
      <c r="AK9678">
        <v>2821094171</v>
      </c>
      <c r="AL9678" t="s">
        <v>14011</v>
      </c>
      <c r="AM9678" t="s">
        <v>88</v>
      </c>
      <c r="AN9678" t="s">
        <v>88</v>
      </c>
      <c r="AO9678" t="s">
        <v>88</v>
      </c>
      <c r="AP9678" t="s">
        <v>88</v>
      </c>
      <c r="AQ9678">
        <v>1</v>
      </c>
      <c r="AR9678" t="s">
        <v>89</v>
      </c>
      <c r="AS9678" t="s">
        <v>90</v>
      </c>
      <c r="AT9678" t="s">
        <v>58</v>
      </c>
      <c r="AU9678" t="s">
        <v>68</v>
      </c>
      <c r="AV9678" t="s">
        <v>69</v>
      </c>
      <c r="AW9678" s="1">
        <v>24225</v>
      </c>
      <c r="AX9678">
        <v>1</v>
      </c>
    </row>
    <row r="9679" spans="1:50">
      <c r="A9679">
        <v>210502</v>
      </c>
      <c r="B9679" t="str">
        <f>"130911762"</f>
        <v>130911762</v>
      </c>
      <c r="C9679" t="s">
        <v>50</v>
      </c>
      <c r="D9679" t="s">
        <v>14631</v>
      </c>
      <c r="E9679" t="s">
        <v>237</v>
      </c>
      <c r="F9679" t="s">
        <v>309</v>
      </c>
      <c r="G9679" t="s">
        <v>134</v>
      </c>
      <c r="H9679" t="str">
        <f>" "</f>
        <v xml:space="preserve"> </v>
      </c>
      <c r="J9679">
        <v>2310617182</v>
      </c>
      <c r="K9679">
        <v>6972472286</v>
      </c>
      <c r="N9679" t="s">
        <v>306</v>
      </c>
      <c r="O9679" t="s">
        <v>307</v>
      </c>
      <c r="R9679" t="s">
        <v>57</v>
      </c>
      <c r="S9679">
        <v>6</v>
      </c>
      <c r="T9679">
        <v>249</v>
      </c>
      <c r="U9679" s="1">
        <v>38617</v>
      </c>
      <c r="V9679" t="s">
        <v>89</v>
      </c>
      <c r="W9679" t="s">
        <v>90</v>
      </c>
      <c r="X9679" t="s">
        <v>58</v>
      </c>
      <c r="Y9679">
        <v>23</v>
      </c>
      <c r="Z9679" t="s">
        <v>59</v>
      </c>
      <c r="AA9679" t="s">
        <v>59</v>
      </c>
      <c r="AB9679" t="s">
        <v>59</v>
      </c>
      <c r="AC9679" t="s">
        <v>59</v>
      </c>
      <c r="AD9679" t="s">
        <v>59</v>
      </c>
      <c r="AF9679" s="1">
        <v>38621</v>
      </c>
      <c r="AG9679" t="s">
        <v>8645</v>
      </c>
      <c r="AH9679" t="s">
        <v>8646</v>
      </c>
      <c r="AI9679" t="str">
        <f>"9500338"</f>
        <v>9500338</v>
      </c>
      <c r="AJ9679" t="s">
        <v>13959</v>
      </c>
      <c r="AK9679">
        <v>2821040556</v>
      </c>
      <c r="AL9679" t="s">
        <v>13960</v>
      </c>
      <c r="AM9679" t="s">
        <v>88</v>
      </c>
      <c r="AN9679" t="s">
        <v>88</v>
      </c>
      <c r="AO9679" t="s">
        <v>88</v>
      </c>
      <c r="AP9679" t="s">
        <v>88</v>
      </c>
      <c r="AQ9679">
        <v>1</v>
      </c>
      <c r="AR9679" t="s">
        <v>89</v>
      </c>
      <c r="AS9679" t="s">
        <v>90</v>
      </c>
      <c r="AT9679" t="s">
        <v>58</v>
      </c>
      <c r="AU9679" t="s">
        <v>68</v>
      </c>
      <c r="AV9679" t="s">
        <v>69</v>
      </c>
      <c r="AW9679" s="1">
        <v>29869</v>
      </c>
      <c r="AX9679">
        <v>1</v>
      </c>
    </row>
    <row r="9680" spans="1:50">
      <c r="B9680" t="str">
        <f>"118456973"</f>
        <v>118456973</v>
      </c>
      <c r="C9680" t="s">
        <v>50</v>
      </c>
      <c r="D9680" t="s">
        <v>14632</v>
      </c>
      <c r="E9680" t="s">
        <v>73</v>
      </c>
      <c r="F9680" t="s">
        <v>72</v>
      </c>
      <c r="G9680" t="s">
        <v>52</v>
      </c>
      <c r="H9680" t="str">
        <f>"ΜΑΝΑΡΩΛΗ 12 "</f>
        <v xml:space="preserve">ΜΑΝΑΡΩΛΗ 12 </v>
      </c>
      <c r="I9680">
        <v>73134</v>
      </c>
      <c r="J9680">
        <v>2821044324</v>
      </c>
      <c r="K9680">
        <v>6942635573</v>
      </c>
      <c r="N9680" t="s">
        <v>306</v>
      </c>
      <c r="O9680" t="s">
        <v>307</v>
      </c>
      <c r="R9680" t="s">
        <v>159</v>
      </c>
      <c r="S9680">
        <v>3</v>
      </c>
      <c r="T9680" t="s">
        <v>8675</v>
      </c>
      <c r="U9680" s="1">
        <v>43348</v>
      </c>
      <c r="V9680" t="s">
        <v>89</v>
      </c>
      <c r="W9680" t="s">
        <v>90</v>
      </c>
      <c r="X9680" t="s">
        <v>58</v>
      </c>
      <c r="Y9680">
        <v>24</v>
      </c>
      <c r="Z9680" t="s">
        <v>59</v>
      </c>
      <c r="AA9680" t="s">
        <v>59</v>
      </c>
      <c r="AB9680" t="s">
        <v>59</v>
      </c>
      <c r="AC9680" t="s">
        <v>59</v>
      </c>
      <c r="AD9680" t="s">
        <v>59</v>
      </c>
      <c r="AF9680" s="1">
        <v>43348</v>
      </c>
      <c r="AG9680" t="s">
        <v>8645</v>
      </c>
      <c r="AH9680" t="s">
        <v>8646</v>
      </c>
      <c r="AI9680" t="str">
        <f>"9500006"</f>
        <v>9500006</v>
      </c>
      <c r="AJ9680" t="s">
        <v>14060</v>
      </c>
      <c r="AK9680">
        <v>2825051220</v>
      </c>
      <c r="AL9680" t="s">
        <v>14061</v>
      </c>
      <c r="AM9680" t="s">
        <v>88</v>
      </c>
      <c r="AN9680" t="s">
        <v>6775</v>
      </c>
      <c r="AO9680" t="s">
        <v>6781</v>
      </c>
      <c r="AP9680" t="s">
        <v>6782</v>
      </c>
      <c r="AQ9680">
        <v>8</v>
      </c>
      <c r="AR9680" t="s">
        <v>89</v>
      </c>
      <c r="AS9680" t="s">
        <v>90</v>
      </c>
      <c r="AT9680" t="s">
        <v>58</v>
      </c>
      <c r="AU9680" t="s">
        <v>8673</v>
      </c>
      <c r="AV9680" t="s">
        <v>132</v>
      </c>
      <c r="AW9680" s="1">
        <v>31003</v>
      </c>
      <c r="AX9680">
        <v>1</v>
      </c>
    </row>
    <row r="9681" spans="1:50">
      <c r="A9681">
        <v>700260</v>
      </c>
      <c r="B9681" t="str">
        <f>"120229138"</f>
        <v>120229138</v>
      </c>
      <c r="C9681" t="s">
        <v>50</v>
      </c>
      <c r="D9681" t="s">
        <v>1903</v>
      </c>
      <c r="E9681" t="s">
        <v>143</v>
      </c>
      <c r="F9681" t="s">
        <v>99</v>
      </c>
      <c r="G9681" t="s">
        <v>5820</v>
      </c>
      <c r="H9681" t="str">
        <f>"ΔΕΛΗΓΙΑΝΝΑΚΗΔΩΝ 17 ΧΑΝΙΑ"</f>
        <v>ΔΕΛΗΓΙΑΝΝΑΚΗΔΩΝ 17 ΧΑΝΙΑ</v>
      </c>
      <c r="I9681">
        <v>73133</v>
      </c>
      <c r="J9681">
        <v>2821052868</v>
      </c>
      <c r="K9681">
        <v>6973820127</v>
      </c>
      <c r="N9681" t="s">
        <v>1525</v>
      </c>
      <c r="O9681" t="s">
        <v>1526</v>
      </c>
      <c r="R9681" t="s">
        <v>57</v>
      </c>
      <c r="S9681">
        <v>4</v>
      </c>
      <c r="T9681">
        <v>772</v>
      </c>
      <c r="U9681" s="1">
        <v>40413</v>
      </c>
      <c r="V9681" t="s">
        <v>89</v>
      </c>
      <c r="W9681" t="s">
        <v>90</v>
      </c>
      <c r="X9681" t="s">
        <v>58</v>
      </c>
      <c r="Y9681">
        <v>25</v>
      </c>
      <c r="Z9681" t="s">
        <v>59</v>
      </c>
      <c r="AA9681" t="s">
        <v>59</v>
      </c>
      <c r="AB9681" t="s">
        <v>59</v>
      </c>
      <c r="AC9681" t="s">
        <v>59</v>
      </c>
      <c r="AD9681" t="s">
        <v>59</v>
      </c>
      <c r="AF9681" s="1">
        <v>40413</v>
      </c>
      <c r="AG9681" t="s">
        <v>8651</v>
      </c>
      <c r="AH9681" t="s">
        <v>8652</v>
      </c>
      <c r="AI9681" t="str">
        <f>"9500368"</f>
        <v>9500368</v>
      </c>
      <c r="AJ9681" t="s">
        <v>14000</v>
      </c>
      <c r="AK9681">
        <v>2821031690</v>
      </c>
      <c r="AL9681" t="s">
        <v>14001</v>
      </c>
      <c r="AM9681" t="s">
        <v>88</v>
      </c>
      <c r="AN9681" t="s">
        <v>88</v>
      </c>
      <c r="AO9681" t="s">
        <v>6785</v>
      </c>
      <c r="AP9681" t="s">
        <v>13932</v>
      </c>
      <c r="AQ9681">
        <v>3</v>
      </c>
      <c r="AR9681" t="s">
        <v>89</v>
      </c>
      <c r="AS9681" t="s">
        <v>90</v>
      </c>
      <c r="AT9681" t="s">
        <v>58</v>
      </c>
      <c r="AU9681" t="s">
        <v>68</v>
      </c>
      <c r="AV9681" t="s">
        <v>69</v>
      </c>
      <c r="AW9681" s="1">
        <v>29261</v>
      </c>
      <c r="AX9681">
        <v>1</v>
      </c>
    </row>
    <row r="9682" spans="1:50">
      <c r="A9682">
        <v>704388</v>
      </c>
      <c r="B9682" t="str">
        <f>"039890394"</f>
        <v>039890394</v>
      </c>
      <c r="C9682" t="s">
        <v>50</v>
      </c>
      <c r="D9682" t="s">
        <v>14633</v>
      </c>
      <c r="E9682" t="s">
        <v>96</v>
      </c>
      <c r="F9682" t="s">
        <v>609</v>
      </c>
      <c r="H9682" t="str">
        <f>" "</f>
        <v xml:space="preserve"> </v>
      </c>
      <c r="N9682" t="s">
        <v>55</v>
      </c>
      <c r="O9682" t="s">
        <v>56</v>
      </c>
      <c r="R9682" t="s">
        <v>57</v>
      </c>
      <c r="S9682">
        <v>13</v>
      </c>
      <c r="T9682">
        <v>1066</v>
      </c>
      <c r="U9682" s="1">
        <v>43035</v>
      </c>
      <c r="V9682" t="s">
        <v>89</v>
      </c>
      <c r="W9682" t="s">
        <v>90</v>
      </c>
      <c r="X9682" t="s">
        <v>58</v>
      </c>
      <c r="Y9682">
        <v>21</v>
      </c>
      <c r="Z9682" t="s">
        <v>59</v>
      </c>
      <c r="AA9682" t="s">
        <v>59</v>
      </c>
      <c r="AB9682" t="s">
        <v>59</v>
      </c>
      <c r="AD9682" t="s">
        <v>59</v>
      </c>
      <c r="AF9682" s="1">
        <v>43038</v>
      </c>
      <c r="AG9682" t="s">
        <v>8645</v>
      </c>
      <c r="AH9682" t="s">
        <v>8697</v>
      </c>
      <c r="AI9682" t="str">
        <f>"9521567"</f>
        <v>9521567</v>
      </c>
      <c r="AJ9682" t="s">
        <v>14148</v>
      </c>
      <c r="AK9682">
        <v>2821086921</v>
      </c>
      <c r="AL9682" t="s">
        <v>14149</v>
      </c>
      <c r="AM9682" t="s">
        <v>88</v>
      </c>
      <c r="AN9682" t="s">
        <v>88</v>
      </c>
      <c r="AO9682" t="s">
        <v>88</v>
      </c>
      <c r="AP9682" t="s">
        <v>88</v>
      </c>
      <c r="AQ9682">
        <v>1</v>
      </c>
      <c r="AR9682" t="s">
        <v>89</v>
      </c>
      <c r="AS9682" t="s">
        <v>90</v>
      </c>
      <c r="AT9682" t="s">
        <v>58</v>
      </c>
      <c r="AU9682" t="s">
        <v>68</v>
      </c>
      <c r="AV9682" t="s">
        <v>69</v>
      </c>
      <c r="AX9682">
        <v>1</v>
      </c>
    </row>
    <row r="9683" spans="1:50">
      <c r="A9683">
        <v>609691</v>
      </c>
      <c r="B9683" t="str">
        <f>"049361129"</f>
        <v>049361129</v>
      </c>
      <c r="C9683" t="s">
        <v>105</v>
      </c>
      <c r="D9683" t="s">
        <v>14634</v>
      </c>
      <c r="E9683" t="s">
        <v>202</v>
      </c>
      <c r="F9683" t="s">
        <v>14635</v>
      </c>
      <c r="G9683" t="s">
        <v>335</v>
      </c>
      <c r="H9683" t="str">
        <f>" "</f>
        <v xml:space="preserve"> </v>
      </c>
      <c r="J9683">
        <v>2353031422</v>
      </c>
      <c r="K9683">
        <v>6948241738</v>
      </c>
      <c r="N9683" t="s">
        <v>176</v>
      </c>
      <c r="O9683" t="s">
        <v>177</v>
      </c>
      <c r="R9683" t="s">
        <v>57</v>
      </c>
      <c r="S9683">
        <v>6</v>
      </c>
      <c r="T9683">
        <v>225</v>
      </c>
      <c r="U9683" s="1">
        <v>38604</v>
      </c>
      <c r="V9683" t="s">
        <v>89</v>
      </c>
      <c r="W9683" t="s">
        <v>90</v>
      </c>
      <c r="X9683" t="s">
        <v>58</v>
      </c>
      <c r="Y9683">
        <v>23</v>
      </c>
      <c r="Z9683" t="s">
        <v>59</v>
      </c>
      <c r="AA9683" t="s">
        <v>59</v>
      </c>
      <c r="AB9683" t="s">
        <v>59</v>
      </c>
      <c r="AC9683" t="s">
        <v>59</v>
      </c>
      <c r="AD9683" t="s">
        <v>59</v>
      </c>
      <c r="AF9683" s="1">
        <v>38608</v>
      </c>
      <c r="AG9683" t="s">
        <v>8645</v>
      </c>
      <c r="AH9683" t="s">
        <v>8676</v>
      </c>
      <c r="AI9683" t="str">
        <f>"9500201"</f>
        <v>9500201</v>
      </c>
      <c r="AJ9683" t="s">
        <v>14636</v>
      </c>
      <c r="AK9683">
        <v>2822041442</v>
      </c>
      <c r="AL9683" t="s">
        <v>14637</v>
      </c>
      <c r="AM9683" t="s">
        <v>88</v>
      </c>
      <c r="AN9683" t="s">
        <v>6744</v>
      </c>
      <c r="AO9683" t="s">
        <v>6744</v>
      </c>
      <c r="AP9683" t="s">
        <v>14526</v>
      </c>
      <c r="AQ9683">
        <v>9</v>
      </c>
      <c r="AR9683" t="s">
        <v>89</v>
      </c>
      <c r="AS9683" t="s">
        <v>90</v>
      </c>
      <c r="AT9683" t="s">
        <v>58</v>
      </c>
      <c r="AU9683" t="s">
        <v>68</v>
      </c>
      <c r="AV9683" t="s">
        <v>69</v>
      </c>
      <c r="AW9683" s="1">
        <v>29682</v>
      </c>
      <c r="AX9683">
        <v>1</v>
      </c>
    </row>
    <row r="9684" spans="1:50">
      <c r="B9684" t="str">
        <f>"130438687"</f>
        <v>130438687</v>
      </c>
      <c r="C9684" t="s">
        <v>50</v>
      </c>
      <c r="D9684" t="s">
        <v>14638</v>
      </c>
      <c r="E9684" t="s">
        <v>109</v>
      </c>
      <c r="F9684" t="s">
        <v>84</v>
      </c>
      <c r="G9684" t="s">
        <v>54</v>
      </c>
      <c r="H9684" t="str">
        <f>"Κ.ΦΟΥΜΗ 75 "</f>
        <v xml:space="preserve">Κ.ΦΟΥΜΗ 75 </v>
      </c>
      <c r="I9684">
        <v>73300</v>
      </c>
      <c r="J9684">
        <v>2821098192</v>
      </c>
      <c r="K9684">
        <v>6956033711</v>
      </c>
      <c r="N9684" t="s">
        <v>615</v>
      </c>
      <c r="O9684" t="s">
        <v>616</v>
      </c>
      <c r="R9684" t="s">
        <v>159</v>
      </c>
      <c r="S9684">
        <v>2</v>
      </c>
      <c r="T9684" t="s">
        <v>8675</v>
      </c>
      <c r="U9684" s="1">
        <v>43348</v>
      </c>
      <c r="V9684" t="s">
        <v>89</v>
      </c>
      <c r="W9684" t="s">
        <v>90</v>
      </c>
      <c r="X9684" t="s">
        <v>58</v>
      </c>
      <c r="Y9684">
        <v>24</v>
      </c>
      <c r="Z9684" t="s">
        <v>59</v>
      </c>
      <c r="AA9684" t="s">
        <v>59</v>
      </c>
      <c r="AB9684" t="s">
        <v>59</v>
      </c>
      <c r="AC9684" t="s">
        <v>59</v>
      </c>
      <c r="AD9684" t="s">
        <v>59</v>
      </c>
      <c r="AF9684" s="1">
        <v>43348</v>
      </c>
      <c r="AG9684" t="s">
        <v>8645</v>
      </c>
      <c r="AH9684" t="s">
        <v>8646</v>
      </c>
      <c r="AI9684" t="str">
        <f>"9500094"</f>
        <v>9500094</v>
      </c>
      <c r="AJ9684" t="s">
        <v>13883</v>
      </c>
      <c r="AK9684">
        <v>2821039330</v>
      </c>
      <c r="AL9684" t="s">
        <v>13884</v>
      </c>
      <c r="AM9684" t="s">
        <v>88</v>
      </c>
      <c r="AN9684" t="s">
        <v>88</v>
      </c>
      <c r="AO9684" t="s">
        <v>6770</v>
      </c>
      <c r="AP9684" t="s">
        <v>6771</v>
      </c>
      <c r="AQ9684">
        <v>2</v>
      </c>
      <c r="AR9684" t="s">
        <v>89</v>
      </c>
      <c r="AS9684" t="s">
        <v>90</v>
      </c>
      <c r="AT9684" t="s">
        <v>58</v>
      </c>
      <c r="AU9684" t="s">
        <v>8673</v>
      </c>
      <c r="AV9684" t="s">
        <v>132</v>
      </c>
      <c r="AW9684" s="1">
        <v>32420</v>
      </c>
      <c r="AX9684">
        <v>1</v>
      </c>
    </row>
    <row r="9685" spans="1:50">
      <c r="A9685">
        <v>608141</v>
      </c>
      <c r="B9685" t="str">
        <f>"063899548"</f>
        <v>063899548</v>
      </c>
      <c r="C9685" t="s">
        <v>50</v>
      </c>
      <c r="D9685" t="s">
        <v>14638</v>
      </c>
      <c r="E9685" t="s">
        <v>52</v>
      </c>
      <c r="F9685" t="s">
        <v>760</v>
      </c>
      <c r="G9685" t="s">
        <v>3483</v>
      </c>
      <c r="H9685" t="str">
        <f>" "</f>
        <v xml:space="preserve"> </v>
      </c>
      <c r="J9685">
        <v>2821087723</v>
      </c>
      <c r="K9685">
        <v>6977177253</v>
      </c>
      <c r="N9685" t="s">
        <v>1525</v>
      </c>
      <c r="O9685" t="s">
        <v>1526</v>
      </c>
      <c r="R9685" t="s">
        <v>57</v>
      </c>
      <c r="S9685">
        <v>8</v>
      </c>
      <c r="T9685">
        <v>217</v>
      </c>
      <c r="U9685" s="1">
        <v>38596</v>
      </c>
      <c r="V9685" t="s">
        <v>89</v>
      </c>
      <c r="W9685" t="s">
        <v>90</v>
      </c>
      <c r="X9685" t="s">
        <v>58</v>
      </c>
      <c r="Y9685">
        <v>25</v>
      </c>
      <c r="Z9685" t="s">
        <v>59</v>
      </c>
      <c r="AA9685" t="s">
        <v>59</v>
      </c>
      <c r="AB9685" t="s">
        <v>59</v>
      </c>
      <c r="AC9685" t="s">
        <v>59</v>
      </c>
      <c r="AD9685" t="s">
        <v>59</v>
      </c>
      <c r="AF9685" s="1">
        <v>38600</v>
      </c>
      <c r="AG9685" t="s">
        <v>8651</v>
      </c>
      <c r="AH9685" t="s">
        <v>8652</v>
      </c>
      <c r="AI9685" t="str">
        <f>"9500136"</f>
        <v>9500136</v>
      </c>
      <c r="AJ9685" t="s">
        <v>14189</v>
      </c>
      <c r="AK9685">
        <v>2821092159</v>
      </c>
      <c r="AL9685" t="s">
        <v>14190</v>
      </c>
      <c r="AM9685" t="s">
        <v>88</v>
      </c>
      <c r="AN9685" t="s">
        <v>88</v>
      </c>
      <c r="AO9685" t="s">
        <v>88</v>
      </c>
      <c r="AP9685" t="s">
        <v>88</v>
      </c>
      <c r="AQ9685">
        <v>1</v>
      </c>
      <c r="AR9685" t="s">
        <v>89</v>
      </c>
      <c r="AS9685" t="s">
        <v>90</v>
      </c>
      <c r="AT9685" t="s">
        <v>58</v>
      </c>
      <c r="AU9685" t="s">
        <v>68</v>
      </c>
      <c r="AV9685" t="s">
        <v>69</v>
      </c>
      <c r="AW9685" s="1">
        <v>24488</v>
      </c>
      <c r="AX9685">
        <v>1</v>
      </c>
    </row>
    <row r="9686" spans="1:50">
      <c r="B9686" t="str">
        <f>"142344686"</f>
        <v>142344686</v>
      </c>
      <c r="C9686" t="s">
        <v>50</v>
      </c>
      <c r="D9686" t="s">
        <v>14639</v>
      </c>
      <c r="E9686" t="s">
        <v>382</v>
      </c>
      <c r="F9686" t="s">
        <v>309</v>
      </c>
      <c r="G9686" t="s">
        <v>340</v>
      </c>
      <c r="H9686" t="str">
        <f>"Αδμήτου 44 Βόλος"</f>
        <v>Αδμήτου 44 Βόλος</v>
      </c>
      <c r="I9686">
        <v>38333</v>
      </c>
      <c r="J9686">
        <v>2421027478</v>
      </c>
      <c r="K9686">
        <v>6981916579</v>
      </c>
      <c r="N9686" t="s">
        <v>615</v>
      </c>
      <c r="O9686" t="s">
        <v>616</v>
      </c>
      <c r="R9686" t="s">
        <v>159</v>
      </c>
      <c r="S9686">
        <v>3</v>
      </c>
      <c r="T9686" t="s">
        <v>9034</v>
      </c>
      <c r="U9686" s="1">
        <v>43377</v>
      </c>
      <c r="V9686" t="s">
        <v>89</v>
      </c>
      <c r="W9686" t="s">
        <v>90</v>
      </c>
      <c r="X9686" t="s">
        <v>58</v>
      </c>
      <c r="Y9686">
        <v>24</v>
      </c>
      <c r="Z9686" t="s">
        <v>59</v>
      </c>
      <c r="AA9686" t="s">
        <v>59</v>
      </c>
      <c r="AB9686" t="s">
        <v>59</v>
      </c>
      <c r="AD9686" t="s">
        <v>59</v>
      </c>
      <c r="AF9686" s="1">
        <v>43377</v>
      </c>
      <c r="AI9686" t="str">
        <f>""</f>
        <v/>
      </c>
      <c r="AS9686" t="s">
        <v>90</v>
      </c>
      <c r="AT9686" t="s">
        <v>58</v>
      </c>
      <c r="AU9686" t="s">
        <v>8673</v>
      </c>
      <c r="AW9686" s="1">
        <v>32988</v>
      </c>
      <c r="AX9686">
        <v>1</v>
      </c>
    </row>
    <row r="9687" spans="1:50">
      <c r="A9687">
        <v>578391</v>
      </c>
      <c r="B9687" t="str">
        <f>"039655880"</f>
        <v>039655880</v>
      </c>
      <c r="C9687" t="s">
        <v>50</v>
      </c>
      <c r="D9687" t="s">
        <v>13155</v>
      </c>
      <c r="E9687" t="s">
        <v>473</v>
      </c>
      <c r="F9687" t="s">
        <v>1070</v>
      </c>
      <c r="G9687" t="s">
        <v>52</v>
      </c>
      <c r="H9687" t="str">
        <f>" "</f>
        <v xml:space="preserve"> </v>
      </c>
      <c r="N9687" t="s">
        <v>615</v>
      </c>
      <c r="O9687" t="s">
        <v>616</v>
      </c>
      <c r="R9687" t="s">
        <v>57</v>
      </c>
      <c r="S9687">
        <v>12</v>
      </c>
      <c r="T9687">
        <v>165</v>
      </c>
      <c r="U9687" s="1">
        <v>35300</v>
      </c>
      <c r="V9687" t="s">
        <v>89</v>
      </c>
      <c r="W9687" t="s">
        <v>90</v>
      </c>
      <c r="X9687" t="s">
        <v>58</v>
      </c>
      <c r="Y9687">
        <v>21</v>
      </c>
      <c r="Z9687" t="s">
        <v>59</v>
      </c>
      <c r="AA9687" t="s">
        <v>59</v>
      </c>
      <c r="AB9687" t="s">
        <v>59</v>
      </c>
      <c r="AC9687" t="s">
        <v>59</v>
      </c>
      <c r="AD9687" t="s">
        <v>59</v>
      </c>
      <c r="AF9687" s="1">
        <v>35313</v>
      </c>
      <c r="AG9687" t="s">
        <v>8645</v>
      </c>
      <c r="AH9687" t="s">
        <v>8646</v>
      </c>
      <c r="AI9687" t="str">
        <f>"9500153"</f>
        <v>9500153</v>
      </c>
      <c r="AJ9687" t="s">
        <v>14103</v>
      </c>
      <c r="AK9687">
        <v>2821061267</v>
      </c>
      <c r="AL9687" t="s">
        <v>14104</v>
      </c>
      <c r="AM9687" t="s">
        <v>88</v>
      </c>
      <c r="AN9687" t="s">
        <v>6764</v>
      </c>
      <c r="AO9687" t="s">
        <v>6764</v>
      </c>
      <c r="AP9687" t="s">
        <v>12913</v>
      </c>
      <c r="AQ9687">
        <v>10</v>
      </c>
      <c r="AR9687" t="s">
        <v>89</v>
      </c>
      <c r="AS9687" t="s">
        <v>90</v>
      </c>
      <c r="AT9687" t="s">
        <v>58</v>
      </c>
      <c r="AU9687" t="s">
        <v>68</v>
      </c>
      <c r="AV9687" t="s">
        <v>69</v>
      </c>
      <c r="AW9687" s="1">
        <v>24875</v>
      </c>
      <c r="AX9687">
        <v>1</v>
      </c>
    </row>
    <row r="9688" spans="1:50">
      <c r="B9688" t="str">
        <f>"144021912"</f>
        <v>144021912</v>
      </c>
      <c r="C9688" t="s">
        <v>50</v>
      </c>
      <c r="D9688" t="s">
        <v>7379</v>
      </c>
      <c r="E9688" t="s">
        <v>237</v>
      </c>
      <c r="F9688" t="s">
        <v>698</v>
      </c>
      <c r="G9688" t="s">
        <v>460</v>
      </c>
      <c r="H9688" t="str">
        <f>"ΔΗΜΟΣ ΜΟΥΣΟΥΡΩΝ "</f>
        <v xml:space="preserve">ΔΗΜΟΣ ΜΟΥΣΟΥΡΩΝ </v>
      </c>
      <c r="I9688">
        <v>73005</v>
      </c>
      <c r="J9688">
        <v>2821077287</v>
      </c>
      <c r="K9688">
        <v>6973771679</v>
      </c>
      <c r="N9688" t="s">
        <v>615</v>
      </c>
      <c r="O9688" t="s">
        <v>616</v>
      </c>
      <c r="R9688" t="s">
        <v>159</v>
      </c>
      <c r="S9688">
        <v>3</v>
      </c>
      <c r="T9688" t="s">
        <v>8675</v>
      </c>
      <c r="U9688" s="1">
        <v>43348</v>
      </c>
      <c r="V9688" t="s">
        <v>89</v>
      </c>
      <c r="W9688" t="s">
        <v>90</v>
      </c>
      <c r="X9688" t="s">
        <v>58</v>
      </c>
      <c r="Y9688">
        <v>24</v>
      </c>
      <c r="Z9688" t="s">
        <v>59</v>
      </c>
      <c r="AA9688" t="s">
        <v>59</v>
      </c>
      <c r="AB9688" t="s">
        <v>59</v>
      </c>
      <c r="AC9688" t="s">
        <v>59</v>
      </c>
      <c r="AD9688" t="s">
        <v>59</v>
      </c>
      <c r="AF9688" s="1">
        <v>43348</v>
      </c>
      <c r="AG9688" t="s">
        <v>8645</v>
      </c>
      <c r="AH9688" t="s">
        <v>8646</v>
      </c>
      <c r="AI9688" t="str">
        <f>"9500006"</f>
        <v>9500006</v>
      </c>
      <c r="AJ9688" t="s">
        <v>14060</v>
      </c>
      <c r="AK9688">
        <v>2825051220</v>
      </c>
      <c r="AL9688" t="s">
        <v>14061</v>
      </c>
      <c r="AM9688" t="s">
        <v>88</v>
      </c>
      <c r="AN9688" t="s">
        <v>6775</v>
      </c>
      <c r="AO9688" t="s">
        <v>6781</v>
      </c>
      <c r="AP9688" t="s">
        <v>6782</v>
      </c>
      <c r="AQ9688">
        <v>8</v>
      </c>
      <c r="AR9688" t="s">
        <v>89</v>
      </c>
      <c r="AS9688" t="s">
        <v>90</v>
      </c>
      <c r="AT9688" t="s">
        <v>58</v>
      </c>
      <c r="AU9688" t="s">
        <v>8673</v>
      </c>
      <c r="AV9688" t="s">
        <v>132</v>
      </c>
      <c r="AW9688" s="1">
        <v>31887</v>
      </c>
      <c r="AX9688">
        <v>1</v>
      </c>
    </row>
    <row r="9689" spans="1:50">
      <c r="A9689">
        <v>578457</v>
      </c>
      <c r="B9689" t="str">
        <f>"037251183"</f>
        <v>037251183</v>
      </c>
      <c r="C9689" t="s">
        <v>50</v>
      </c>
      <c r="D9689" t="s">
        <v>7379</v>
      </c>
      <c r="E9689" t="s">
        <v>3467</v>
      </c>
      <c r="F9689" t="s">
        <v>72</v>
      </c>
      <c r="G9689" t="s">
        <v>705</v>
      </c>
      <c r="H9689" t="str">
        <f>"ΝΕΡΟΚΟΥΡΟΥ 80 ΧΑΝΙΑ"</f>
        <v>ΝΕΡΟΚΟΥΡΟΥ 80 ΧΑΝΙΑ</v>
      </c>
      <c r="I9689">
        <v>73100</v>
      </c>
      <c r="J9689">
        <v>2821093820</v>
      </c>
      <c r="K9689">
        <v>6974667333</v>
      </c>
      <c r="N9689" t="s">
        <v>615</v>
      </c>
      <c r="O9689" t="s">
        <v>616</v>
      </c>
      <c r="R9689" t="s">
        <v>57</v>
      </c>
      <c r="S9689">
        <v>14</v>
      </c>
      <c r="T9689">
        <v>165</v>
      </c>
      <c r="U9689" s="1">
        <v>35300</v>
      </c>
      <c r="V9689" t="s">
        <v>89</v>
      </c>
      <c r="W9689" t="s">
        <v>90</v>
      </c>
      <c r="X9689" t="s">
        <v>58</v>
      </c>
      <c r="Y9689">
        <v>21</v>
      </c>
      <c r="Z9689" t="s">
        <v>59</v>
      </c>
      <c r="AA9689" t="s">
        <v>59</v>
      </c>
      <c r="AB9689" t="s">
        <v>59</v>
      </c>
      <c r="AC9689" t="s">
        <v>59</v>
      </c>
      <c r="AD9689" t="s">
        <v>59</v>
      </c>
      <c r="AF9689" s="1">
        <v>35300</v>
      </c>
      <c r="AG9689" t="s">
        <v>8645</v>
      </c>
      <c r="AH9689" t="s">
        <v>8646</v>
      </c>
      <c r="AI9689" t="str">
        <f>"9500359"</f>
        <v>9500359</v>
      </c>
      <c r="AJ9689" t="s">
        <v>13939</v>
      </c>
      <c r="AK9689">
        <v>2821095778</v>
      </c>
      <c r="AL9689" t="s">
        <v>13940</v>
      </c>
      <c r="AM9689" t="s">
        <v>88</v>
      </c>
      <c r="AN9689" t="s">
        <v>88</v>
      </c>
      <c r="AO9689" t="s">
        <v>6733</v>
      </c>
      <c r="AP9689" t="s">
        <v>6755</v>
      </c>
      <c r="AQ9689">
        <v>2</v>
      </c>
      <c r="AR9689" t="s">
        <v>89</v>
      </c>
      <c r="AS9689" t="s">
        <v>90</v>
      </c>
      <c r="AT9689" t="s">
        <v>58</v>
      </c>
      <c r="AU9689" t="s">
        <v>68</v>
      </c>
      <c r="AV9689" t="s">
        <v>69</v>
      </c>
      <c r="AW9689" s="1">
        <v>24437</v>
      </c>
      <c r="AX9689">
        <v>1</v>
      </c>
    </row>
    <row r="9690" spans="1:50">
      <c r="A9690">
        <v>572279</v>
      </c>
      <c r="B9690" t="str">
        <f>"037952100"</f>
        <v>037952100</v>
      </c>
      <c r="C9690" t="s">
        <v>50</v>
      </c>
      <c r="D9690" t="s">
        <v>7379</v>
      </c>
      <c r="E9690" t="s">
        <v>181</v>
      </c>
      <c r="F9690" t="s">
        <v>202</v>
      </c>
      <c r="G9690" t="s">
        <v>888</v>
      </c>
      <c r="H9690" t="str">
        <f>"ΒΑΛΑΩΡΙΤΟΥ 2 ΧΑΝΙΑ"</f>
        <v>ΒΑΛΑΩΡΙΤΟΥ 2 ΧΑΝΙΑ</v>
      </c>
      <c r="I9690">
        <v>73134</v>
      </c>
      <c r="J9690">
        <v>2821045172</v>
      </c>
      <c r="K9690">
        <v>6944392237</v>
      </c>
      <c r="M9690" t="s">
        <v>14640</v>
      </c>
      <c r="N9690" t="s">
        <v>306</v>
      </c>
      <c r="O9690" t="s">
        <v>307</v>
      </c>
      <c r="R9690" t="s">
        <v>57</v>
      </c>
      <c r="S9690">
        <v>15</v>
      </c>
      <c r="T9690">
        <v>154</v>
      </c>
      <c r="U9690" s="1">
        <v>34225</v>
      </c>
      <c r="V9690" t="s">
        <v>89</v>
      </c>
      <c r="W9690" t="s">
        <v>90</v>
      </c>
      <c r="X9690" t="s">
        <v>58</v>
      </c>
      <c r="Y9690">
        <v>21</v>
      </c>
      <c r="Z9690" t="s">
        <v>59</v>
      </c>
      <c r="AA9690" t="s">
        <v>59</v>
      </c>
      <c r="AB9690" t="s">
        <v>59</v>
      </c>
      <c r="AC9690" t="s">
        <v>59</v>
      </c>
      <c r="AD9690" t="s">
        <v>59</v>
      </c>
      <c r="AF9690" s="1">
        <v>34225</v>
      </c>
      <c r="AG9690" t="s">
        <v>8645</v>
      </c>
      <c r="AH9690" t="s">
        <v>8646</v>
      </c>
      <c r="AI9690" t="str">
        <f>"9500045"</f>
        <v>9500045</v>
      </c>
      <c r="AJ9690" t="s">
        <v>13887</v>
      </c>
      <c r="AK9690">
        <v>2821044369</v>
      </c>
      <c r="AL9690" t="s">
        <v>13888</v>
      </c>
      <c r="AM9690" t="s">
        <v>88</v>
      </c>
      <c r="AN9690" t="s">
        <v>88</v>
      </c>
      <c r="AO9690" t="s">
        <v>88</v>
      </c>
      <c r="AP9690" t="s">
        <v>88</v>
      </c>
      <c r="AQ9690">
        <v>1</v>
      </c>
      <c r="AR9690" t="s">
        <v>89</v>
      </c>
      <c r="AS9690" t="s">
        <v>90</v>
      </c>
      <c r="AT9690" t="s">
        <v>58</v>
      </c>
      <c r="AU9690" t="s">
        <v>68</v>
      </c>
      <c r="AV9690" t="s">
        <v>69</v>
      </c>
      <c r="AW9690" s="1">
        <v>24483</v>
      </c>
      <c r="AX9690">
        <v>1</v>
      </c>
    </row>
    <row r="9691" spans="1:50">
      <c r="A9691">
        <v>581789</v>
      </c>
      <c r="B9691" t="str">
        <f>"052421180"</f>
        <v>052421180</v>
      </c>
      <c r="C9691" t="s">
        <v>105</v>
      </c>
      <c r="D9691" t="s">
        <v>14641</v>
      </c>
      <c r="E9691" t="s">
        <v>84</v>
      </c>
      <c r="F9691" t="s">
        <v>920</v>
      </c>
      <c r="G9691" t="s">
        <v>1189</v>
      </c>
      <c r="H9691" t="str">
        <f>"ΡΕΘΥΜΝΟΥ 24 ΧΑΝΙΑ"</f>
        <v>ΡΕΘΥΜΝΟΥ 24 ΧΑΝΙΑ</v>
      </c>
      <c r="I9691">
        <v>73134</v>
      </c>
      <c r="J9691">
        <v>2821052827</v>
      </c>
      <c r="K9691">
        <v>6972500411</v>
      </c>
      <c r="N9691" t="s">
        <v>615</v>
      </c>
      <c r="O9691" t="s">
        <v>616</v>
      </c>
      <c r="R9691" t="s">
        <v>57</v>
      </c>
      <c r="S9691">
        <v>11</v>
      </c>
      <c r="T9691">
        <v>179</v>
      </c>
      <c r="U9691" s="1">
        <v>35674</v>
      </c>
      <c r="V9691" t="s">
        <v>89</v>
      </c>
      <c r="W9691" t="s">
        <v>90</v>
      </c>
      <c r="X9691" t="s">
        <v>58</v>
      </c>
      <c r="Y9691">
        <v>21</v>
      </c>
      <c r="Z9691" t="s">
        <v>59</v>
      </c>
      <c r="AA9691" t="s">
        <v>59</v>
      </c>
      <c r="AB9691" t="s">
        <v>59</v>
      </c>
      <c r="AC9691" t="s">
        <v>59</v>
      </c>
      <c r="AD9691" t="s">
        <v>59</v>
      </c>
      <c r="AF9691" s="1">
        <v>35674</v>
      </c>
      <c r="AG9691" t="s">
        <v>8645</v>
      </c>
      <c r="AH9691" t="s">
        <v>8646</v>
      </c>
      <c r="AI9691" t="str">
        <f>"9500160"</f>
        <v>9500160</v>
      </c>
      <c r="AJ9691" t="s">
        <v>14486</v>
      </c>
      <c r="AK9691">
        <v>2821062458</v>
      </c>
      <c r="AL9691" t="s">
        <v>14487</v>
      </c>
      <c r="AM9691" t="s">
        <v>88</v>
      </c>
      <c r="AN9691" t="s">
        <v>6764</v>
      </c>
      <c r="AO9691" t="s">
        <v>6764</v>
      </c>
      <c r="AP9691" t="s">
        <v>14488</v>
      </c>
      <c r="AQ9691">
        <v>5</v>
      </c>
      <c r="AR9691" t="s">
        <v>89</v>
      </c>
      <c r="AS9691" t="s">
        <v>90</v>
      </c>
      <c r="AT9691" t="s">
        <v>58</v>
      </c>
      <c r="AU9691" t="s">
        <v>68</v>
      </c>
      <c r="AV9691" t="s">
        <v>69</v>
      </c>
      <c r="AW9691" s="1">
        <v>24362</v>
      </c>
      <c r="AX9691">
        <v>1</v>
      </c>
    </row>
    <row r="9692" spans="1:50">
      <c r="A9692">
        <v>609310</v>
      </c>
      <c r="B9692" t="str">
        <f>"061954442"</f>
        <v>061954442</v>
      </c>
      <c r="C9692" t="s">
        <v>105</v>
      </c>
      <c r="D9692" t="s">
        <v>13163</v>
      </c>
      <c r="E9692" t="s">
        <v>2320</v>
      </c>
      <c r="F9692" t="s">
        <v>304</v>
      </c>
      <c r="G9692" t="s">
        <v>155</v>
      </c>
      <c r="H9692" t="str">
        <f>"ΚΝΩΣΣΟΥ 10 ΑΜΠΕΡΙΑ-ΧΑΝΙΑ"</f>
        <v>ΚΝΩΣΣΟΥ 10 ΑΜΠΕΡΙΑ-ΧΑΝΙΑ</v>
      </c>
      <c r="I9692">
        <v>73100</v>
      </c>
      <c r="K9692">
        <v>6932272613</v>
      </c>
      <c r="N9692" t="s">
        <v>176</v>
      </c>
      <c r="O9692" t="s">
        <v>177</v>
      </c>
      <c r="R9692" t="s">
        <v>57</v>
      </c>
      <c r="S9692">
        <v>8</v>
      </c>
      <c r="T9692">
        <v>218</v>
      </c>
      <c r="U9692" s="1">
        <v>38596</v>
      </c>
      <c r="V9692" t="s">
        <v>89</v>
      </c>
      <c r="W9692" t="s">
        <v>90</v>
      </c>
      <c r="X9692" t="s">
        <v>58</v>
      </c>
      <c r="Y9692">
        <v>22</v>
      </c>
      <c r="Z9692" t="s">
        <v>59</v>
      </c>
      <c r="AA9692" t="s">
        <v>59</v>
      </c>
      <c r="AB9692" t="s">
        <v>59</v>
      </c>
      <c r="AC9692" t="s">
        <v>59</v>
      </c>
      <c r="AD9692" t="s">
        <v>59</v>
      </c>
      <c r="AF9692" s="1">
        <v>38596</v>
      </c>
      <c r="AG9692" t="s">
        <v>8645</v>
      </c>
      <c r="AH9692" t="s">
        <v>8646</v>
      </c>
      <c r="AI9692" t="str">
        <f>"9500360"</f>
        <v>9500360</v>
      </c>
      <c r="AJ9692" t="s">
        <v>14022</v>
      </c>
      <c r="AK9692">
        <v>2821031253</v>
      </c>
      <c r="AL9692" t="s">
        <v>14023</v>
      </c>
      <c r="AM9692" t="s">
        <v>88</v>
      </c>
      <c r="AN9692" t="s">
        <v>88</v>
      </c>
      <c r="AO9692" t="s">
        <v>6785</v>
      </c>
      <c r="AP9692" t="s">
        <v>13932</v>
      </c>
      <c r="AQ9692">
        <v>3</v>
      </c>
      <c r="AR9692" t="s">
        <v>89</v>
      </c>
      <c r="AS9692" t="s">
        <v>90</v>
      </c>
      <c r="AT9692" t="s">
        <v>58</v>
      </c>
      <c r="AU9692" t="s">
        <v>68</v>
      </c>
      <c r="AV9692" t="s">
        <v>69</v>
      </c>
      <c r="AW9692" s="1">
        <v>21079</v>
      </c>
      <c r="AX9692">
        <v>1</v>
      </c>
    </row>
    <row r="9693" spans="1:50">
      <c r="A9693">
        <v>227932</v>
      </c>
      <c r="B9693" t="str">
        <f>"047067338"</f>
        <v>047067338</v>
      </c>
      <c r="C9693" t="s">
        <v>105</v>
      </c>
      <c r="D9693" t="s">
        <v>14642</v>
      </c>
      <c r="E9693" t="s">
        <v>202</v>
      </c>
      <c r="F9693" t="s">
        <v>6558</v>
      </c>
      <c r="G9693" t="s">
        <v>934</v>
      </c>
      <c r="H9693" t="str">
        <f>"ΛΟΥΛΑΚΑΚΗ 2 ΧΑΝΙΑ"</f>
        <v>ΛΟΥΛΑΚΑΚΗ 2 ΧΑΝΙΑ</v>
      </c>
      <c r="I9693">
        <v>73133</v>
      </c>
      <c r="J9693">
        <v>2821054838</v>
      </c>
      <c r="K9693">
        <v>6946262022</v>
      </c>
      <c r="N9693" t="s">
        <v>176</v>
      </c>
      <c r="O9693" t="s">
        <v>177</v>
      </c>
      <c r="R9693" t="s">
        <v>57</v>
      </c>
      <c r="S9693">
        <v>7</v>
      </c>
      <c r="T9693">
        <v>654</v>
      </c>
      <c r="U9693" s="1">
        <v>40043</v>
      </c>
      <c r="V9693" t="s">
        <v>89</v>
      </c>
      <c r="W9693" t="s">
        <v>90</v>
      </c>
      <c r="X9693" t="s">
        <v>58</v>
      </c>
      <c r="Y9693">
        <v>23</v>
      </c>
      <c r="Z9693" t="s">
        <v>59</v>
      </c>
      <c r="AA9693" t="s">
        <v>59</v>
      </c>
      <c r="AB9693" t="s">
        <v>59</v>
      </c>
      <c r="AC9693" t="s">
        <v>59</v>
      </c>
      <c r="AD9693" t="s">
        <v>59</v>
      </c>
      <c r="AF9693" s="1">
        <v>40046</v>
      </c>
      <c r="AG9693" t="s">
        <v>8645</v>
      </c>
      <c r="AH9693" t="s">
        <v>8646</v>
      </c>
      <c r="AI9693" t="str">
        <f>"9500070"</f>
        <v>9500070</v>
      </c>
      <c r="AJ9693" t="s">
        <v>14221</v>
      </c>
      <c r="AK9693">
        <v>2821095817</v>
      </c>
      <c r="AL9693" t="s">
        <v>14222</v>
      </c>
      <c r="AM9693" t="s">
        <v>88</v>
      </c>
      <c r="AN9693" t="s">
        <v>88</v>
      </c>
      <c r="AO9693" t="s">
        <v>88</v>
      </c>
      <c r="AP9693" t="s">
        <v>88</v>
      </c>
      <c r="AQ9693">
        <v>1</v>
      </c>
      <c r="AR9693" t="s">
        <v>89</v>
      </c>
      <c r="AS9693" t="s">
        <v>90</v>
      </c>
      <c r="AT9693" t="s">
        <v>58</v>
      </c>
      <c r="AU9693" t="s">
        <v>68</v>
      </c>
      <c r="AV9693" t="s">
        <v>132</v>
      </c>
      <c r="AW9693" s="1">
        <v>26792</v>
      </c>
      <c r="AX9693">
        <v>1</v>
      </c>
    </row>
    <row r="9694" spans="1:50">
      <c r="A9694">
        <v>612184</v>
      </c>
      <c r="B9694" t="str">
        <f>"067794780"</f>
        <v>067794780</v>
      </c>
      <c r="C9694" t="s">
        <v>50</v>
      </c>
      <c r="D9694" t="s">
        <v>14643</v>
      </c>
      <c r="E9694" t="s">
        <v>14644</v>
      </c>
      <c r="F9694" t="s">
        <v>670</v>
      </c>
      <c r="G9694" t="s">
        <v>877</v>
      </c>
      <c r="H9694" t="str">
        <f>"ΓΚΑΛΛΙ 30 ΧΑΝΙΑ"</f>
        <v>ΓΚΑΛΛΙ 30 ΧΑΝΙΑ</v>
      </c>
      <c r="I9694">
        <v>73132</v>
      </c>
      <c r="J9694">
        <v>2421036478</v>
      </c>
      <c r="K9694">
        <v>6934674204</v>
      </c>
      <c r="M9694" t="s">
        <v>14645</v>
      </c>
      <c r="N9694" t="s">
        <v>306</v>
      </c>
      <c r="O9694" t="s">
        <v>307</v>
      </c>
      <c r="R9694" t="s">
        <v>57</v>
      </c>
      <c r="S9694">
        <v>8</v>
      </c>
      <c r="T9694" t="s">
        <v>14646</v>
      </c>
      <c r="U9694" s="1">
        <v>38960</v>
      </c>
      <c r="V9694" t="s">
        <v>89</v>
      </c>
      <c r="W9694" t="s">
        <v>90</v>
      </c>
      <c r="X9694" t="s">
        <v>58</v>
      </c>
      <c r="Y9694">
        <v>23</v>
      </c>
      <c r="Z9694" t="s">
        <v>59</v>
      </c>
      <c r="AA9694" t="s">
        <v>59</v>
      </c>
      <c r="AB9694" t="s">
        <v>59</v>
      </c>
      <c r="AC9694" t="s">
        <v>59</v>
      </c>
      <c r="AD9694" t="s">
        <v>59</v>
      </c>
      <c r="AF9694" s="1">
        <v>38960</v>
      </c>
      <c r="AG9694" t="s">
        <v>8645</v>
      </c>
      <c r="AH9694" t="s">
        <v>8646</v>
      </c>
      <c r="AI9694" t="str">
        <f>"9500153"</f>
        <v>9500153</v>
      </c>
      <c r="AJ9694" t="s">
        <v>14103</v>
      </c>
      <c r="AK9694">
        <v>2821061267</v>
      </c>
      <c r="AL9694" t="s">
        <v>14104</v>
      </c>
      <c r="AM9694" t="s">
        <v>88</v>
      </c>
      <c r="AN9694" t="s">
        <v>6764</v>
      </c>
      <c r="AO9694" t="s">
        <v>6764</v>
      </c>
      <c r="AP9694" t="s">
        <v>12913</v>
      </c>
      <c r="AQ9694">
        <v>10</v>
      </c>
      <c r="AR9694" t="s">
        <v>89</v>
      </c>
      <c r="AS9694" t="s">
        <v>90</v>
      </c>
      <c r="AT9694" t="s">
        <v>58</v>
      </c>
      <c r="AU9694" t="s">
        <v>68</v>
      </c>
      <c r="AV9694" t="s">
        <v>69</v>
      </c>
      <c r="AW9694" s="1">
        <v>27687</v>
      </c>
      <c r="AX9694">
        <v>1</v>
      </c>
    </row>
    <row r="9695" spans="1:50">
      <c r="A9695">
        <v>590557</v>
      </c>
      <c r="B9695" t="str">
        <f>"079635710"</f>
        <v>079635710</v>
      </c>
      <c r="C9695" t="s">
        <v>50</v>
      </c>
      <c r="D9695" t="s">
        <v>14647</v>
      </c>
      <c r="E9695" t="s">
        <v>476</v>
      </c>
      <c r="F9695" t="s">
        <v>72</v>
      </c>
      <c r="G9695" t="s">
        <v>52</v>
      </c>
      <c r="H9695" t="str">
        <f>"ΑΝΕΜΩΝ ΚΟΡΑΚΙΕΣ-ΧΑΝΙΑ"</f>
        <v>ΑΝΕΜΩΝ ΚΟΡΑΚΙΕΣ-ΧΑΝΙΑ</v>
      </c>
      <c r="I9695">
        <v>73100</v>
      </c>
      <c r="J9695">
        <v>2821090873</v>
      </c>
      <c r="K9695">
        <v>6938807000</v>
      </c>
      <c r="N9695" t="s">
        <v>1525</v>
      </c>
      <c r="O9695" t="s">
        <v>1526</v>
      </c>
      <c r="R9695" t="s">
        <v>57</v>
      </c>
      <c r="S9695">
        <v>9</v>
      </c>
      <c r="T9695">
        <v>176</v>
      </c>
      <c r="U9695" s="1">
        <v>36403</v>
      </c>
      <c r="V9695" t="s">
        <v>89</v>
      </c>
      <c r="W9695" t="s">
        <v>90</v>
      </c>
      <c r="X9695" t="s">
        <v>58</v>
      </c>
      <c r="Y9695">
        <v>25</v>
      </c>
      <c r="Z9695" t="s">
        <v>59</v>
      </c>
      <c r="AA9695" t="s">
        <v>59</v>
      </c>
      <c r="AB9695" t="s">
        <v>59</v>
      </c>
      <c r="AC9695" t="s">
        <v>59</v>
      </c>
      <c r="AD9695" t="s">
        <v>59</v>
      </c>
      <c r="AF9695" s="1">
        <v>36405</v>
      </c>
      <c r="AG9695" t="s">
        <v>8651</v>
      </c>
      <c r="AH9695" t="s">
        <v>8652</v>
      </c>
      <c r="AI9695" t="str">
        <f>"9500291"</f>
        <v>9500291</v>
      </c>
      <c r="AJ9695" t="s">
        <v>14365</v>
      </c>
      <c r="AK9695">
        <v>2821081793</v>
      </c>
      <c r="AL9695" t="s">
        <v>14366</v>
      </c>
      <c r="AM9695" t="s">
        <v>88</v>
      </c>
      <c r="AN9695" t="s">
        <v>88</v>
      </c>
      <c r="AO9695" t="s">
        <v>6748</v>
      </c>
      <c r="AP9695" t="s">
        <v>14182</v>
      </c>
      <c r="AQ9695">
        <v>2</v>
      </c>
      <c r="AR9695" t="s">
        <v>89</v>
      </c>
      <c r="AS9695" t="s">
        <v>90</v>
      </c>
      <c r="AT9695" t="s">
        <v>58</v>
      </c>
      <c r="AU9695" t="s">
        <v>68</v>
      </c>
      <c r="AV9695" t="s">
        <v>69</v>
      </c>
      <c r="AW9695" s="1">
        <v>26873</v>
      </c>
      <c r="AX9695">
        <v>1</v>
      </c>
    </row>
    <row r="9696" spans="1:50">
      <c r="A9696">
        <v>604396</v>
      </c>
      <c r="B9696" t="str">
        <f>"118818755"</f>
        <v>118818755</v>
      </c>
      <c r="C9696" t="s">
        <v>105</v>
      </c>
      <c r="D9696" t="s">
        <v>14648</v>
      </c>
      <c r="E9696" t="s">
        <v>53</v>
      </c>
      <c r="F9696" t="s">
        <v>309</v>
      </c>
      <c r="G9696" t="s">
        <v>96</v>
      </c>
      <c r="H9696" t="str">
        <f>"Λ.ΚΑΖΑΝΤΖΑΚΗ 76 ΧΑΝΙΑ"</f>
        <v>Λ.ΚΑΖΑΝΤΖΑΚΗ 76 ΧΑΝΙΑ</v>
      </c>
      <c r="I9696">
        <v>73100</v>
      </c>
      <c r="J9696">
        <v>2821089227</v>
      </c>
      <c r="K9696">
        <v>6984458764</v>
      </c>
      <c r="N9696" t="s">
        <v>615</v>
      </c>
      <c r="O9696" t="s">
        <v>616</v>
      </c>
      <c r="R9696" t="s">
        <v>57</v>
      </c>
      <c r="S9696">
        <v>7</v>
      </c>
      <c r="T9696">
        <v>231</v>
      </c>
      <c r="U9696" s="1">
        <v>38230</v>
      </c>
      <c r="V9696" t="s">
        <v>89</v>
      </c>
      <c r="W9696" t="s">
        <v>90</v>
      </c>
      <c r="X9696" t="s">
        <v>58</v>
      </c>
      <c r="Y9696">
        <v>23</v>
      </c>
      <c r="Z9696" t="s">
        <v>59</v>
      </c>
      <c r="AA9696" t="s">
        <v>59</v>
      </c>
      <c r="AB9696" t="s">
        <v>59</v>
      </c>
      <c r="AC9696" t="s">
        <v>59</v>
      </c>
      <c r="AD9696" t="s">
        <v>59</v>
      </c>
      <c r="AF9696" s="1">
        <v>38230</v>
      </c>
      <c r="AG9696" t="s">
        <v>8645</v>
      </c>
      <c r="AH9696" t="s">
        <v>8646</v>
      </c>
      <c r="AI9696" t="str">
        <f>"9500167"</f>
        <v>9500167</v>
      </c>
      <c r="AJ9696" t="s">
        <v>13922</v>
      </c>
      <c r="AK9696">
        <v>2821068357</v>
      </c>
      <c r="AL9696" t="s">
        <v>13923</v>
      </c>
      <c r="AM9696" t="s">
        <v>88</v>
      </c>
      <c r="AN9696" t="s">
        <v>6764</v>
      </c>
      <c r="AO9696" t="s">
        <v>6764</v>
      </c>
      <c r="AP9696" t="s">
        <v>6764</v>
      </c>
      <c r="AQ9696">
        <v>5</v>
      </c>
      <c r="AR9696" t="s">
        <v>89</v>
      </c>
      <c r="AS9696" t="s">
        <v>90</v>
      </c>
      <c r="AT9696" t="s">
        <v>58</v>
      </c>
      <c r="AU9696" t="s">
        <v>68</v>
      </c>
      <c r="AV9696" t="s">
        <v>69</v>
      </c>
      <c r="AW9696" s="1">
        <v>29011</v>
      </c>
      <c r="AX9696">
        <v>1</v>
      </c>
    </row>
    <row r="9697" spans="1:50">
      <c r="A9697">
        <v>211491</v>
      </c>
      <c r="B9697" t="str">
        <f>"072392606"</f>
        <v>072392606</v>
      </c>
      <c r="C9697" t="s">
        <v>50</v>
      </c>
      <c r="D9697" t="s">
        <v>14649</v>
      </c>
      <c r="E9697" t="s">
        <v>563</v>
      </c>
      <c r="F9697" t="s">
        <v>106</v>
      </c>
      <c r="G9697" t="s">
        <v>14650</v>
      </c>
      <c r="H9697" t="str">
        <f>"ΜΟΝΗΣ ΓΩΝΙΑΣ 36 "</f>
        <v xml:space="preserve">ΜΟΝΗΣ ΓΩΝΙΑΣ 36 </v>
      </c>
      <c r="I9697">
        <v>73133</v>
      </c>
      <c r="J9697">
        <v>2821094327</v>
      </c>
      <c r="K9697">
        <v>6973533642</v>
      </c>
      <c r="N9697" t="s">
        <v>204</v>
      </c>
      <c r="O9697" t="s">
        <v>205</v>
      </c>
      <c r="R9697" t="s">
        <v>57</v>
      </c>
      <c r="S9697">
        <v>9</v>
      </c>
      <c r="T9697">
        <v>316</v>
      </c>
      <c r="U9697" s="1">
        <v>38681</v>
      </c>
      <c r="V9697" t="s">
        <v>89</v>
      </c>
      <c r="W9697" t="s">
        <v>90</v>
      </c>
      <c r="X9697" t="s">
        <v>58</v>
      </c>
      <c r="Y9697">
        <v>23</v>
      </c>
      <c r="Z9697" t="s">
        <v>59</v>
      </c>
      <c r="AA9697" t="s">
        <v>59</v>
      </c>
      <c r="AB9697" t="s">
        <v>59</v>
      </c>
      <c r="AC9697" t="s">
        <v>59</v>
      </c>
      <c r="AD9697" t="s">
        <v>59</v>
      </c>
      <c r="AF9697" s="1">
        <v>38685</v>
      </c>
      <c r="AG9697" t="s">
        <v>8645</v>
      </c>
      <c r="AH9697" t="s">
        <v>8646</v>
      </c>
      <c r="AI9697" t="str">
        <f>"9500314"</f>
        <v>9500314</v>
      </c>
      <c r="AJ9697" t="s">
        <v>14116</v>
      </c>
      <c r="AK9697">
        <v>2821097640</v>
      </c>
      <c r="AL9697" t="s">
        <v>14117</v>
      </c>
      <c r="AM9697" t="s">
        <v>88</v>
      </c>
      <c r="AN9697" t="s">
        <v>88</v>
      </c>
      <c r="AO9697" t="s">
        <v>88</v>
      </c>
      <c r="AP9697" t="s">
        <v>88</v>
      </c>
      <c r="AQ9697">
        <v>1</v>
      </c>
      <c r="AR9697" t="s">
        <v>89</v>
      </c>
      <c r="AS9697" t="s">
        <v>90</v>
      </c>
      <c r="AT9697" t="s">
        <v>58</v>
      </c>
      <c r="AU9697" t="s">
        <v>68</v>
      </c>
      <c r="AV9697" t="s">
        <v>69</v>
      </c>
      <c r="AW9697" s="1">
        <v>26839</v>
      </c>
      <c r="AX9697">
        <v>1</v>
      </c>
    </row>
    <row r="9698" spans="1:50">
      <c r="A9698">
        <v>621906</v>
      </c>
      <c r="B9698" t="str">
        <f>"140633300"</f>
        <v>140633300</v>
      </c>
      <c r="C9698" t="s">
        <v>50</v>
      </c>
      <c r="D9698" t="s">
        <v>14651</v>
      </c>
      <c r="E9698" t="s">
        <v>221</v>
      </c>
      <c r="F9698" t="s">
        <v>53</v>
      </c>
      <c r="G9698" t="s">
        <v>809</v>
      </c>
      <c r="H9698" t="str">
        <f>"ΧΑΛΑΣΤΡΑ ΘΕΣΣΑΛΟΝΙΚΗ"</f>
        <v>ΧΑΛΑΣΤΡΑ ΘΕΣΣΑΛΟΝΙΚΗ</v>
      </c>
      <c r="I9698">
        <v>57300</v>
      </c>
      <c r="J9698">
        <v>2310792936</v>
      </c>
      <c r="K9698">
        <v>6943012076</v>
      </c>
      <c r="N9698" t="s">
        <v>615</v>
      </c>
      <c r="O9698" t="s">
        <v>616</v>
      </c>
      <c r="R9698" t="s">
        <v>57</v>
      </c>
      <c r="S9698">
        <v>5</v>
      </c>
      <c r="T9698">
        <v>653</v>
      </c>
      <c r="U9698" s="1">
        <v>40043</v>
      </c>
      <c r="V9698" t="s">
        <v>89</v>
      </c>
      <c r="W9698" t="s">
        <v>90</v>
      </c>
      <c r="X9698" t="s">
        <v>58</v>
      </c>
      <c r="Y9698">
        <v>23</v>
      </c>
      <c r="Z9698" t="s">
        <v>59</v>
      </c>
      <c r="AA9698" t="s">
        <v>59</v>
      </c>
      <c r="AB9698" t="s">
        <v>59</v>
      </c>
      <c r="AC9698" t="s">
        <v>59</v>
      </c>
      <c r="AD9698" t="s">
        <v>59</v>
      </c>
      <c r="AF9698" s="1">
        <v>40043</v>
      </c>
      <c r="AG9698" t="s">
        <v>8645</v>
      </c>
      <c r="AH9698" t="s">
        <v>8646</v>
      </c>
      <c r="AI9698" t="str">
        <f>"9500024"</f>
        <v>9500024</v>
      </c>
      <c r="AJ9698" t="s">
        <v>13856</v>
      </c>
      <c r="AK9698">
        <v>2825041345</v>
      </c>
      <c r="AL9698" t="s">
        <v>13857</v>
      </c>
      <c r="AM9698" t="s">
        <v>88</v>
      </c>
      <c r="AN9698" t="s">
        <v>6775</v>
      </c>
      <c r="AO9698" t="s">
        <v>11883</v>
      </c>
      <c r="AP9698" t="s">
        <v>13858</v>
      </c>
      <c r="AQ9698">
        <v>7</v>
      </c>
      <c r="AR9698" t="s">
        <v>89</v>
      </c>
      <c r="AS9698" t="s">
        <v>90</v>
      </c>
      <c r="AT9698" t="s">
        <v>58</v>
      </c>
      <c r="AU9698" t="s">
        <v>68</v>
      </c>
      <c r="AV9698" t="s">
        <v>69</v>
      </c>
      <c r="AW9698" s="1">
        <v>31238</v>
      </c>
      <c r="AX9698">
        <v>1</v>
      </c>
    </row>
    <row r="9699" spans="1:50">
      <c r="A9699">
        <v>612723</v>
      </c>
      <c r="B9699" t="str">
        <f>"054363781"</f>
        <v>054363781</v>
      </c>
      <c r="C9699" t="s">
        <v>50</v>
      </c>
      <c r="D9699" t="s">
        <v>14652</v>
      </c>
      <c r="E9699" t="s">
        <v>155</v>
      </c>
      <c r="F9699" t="s">
        <v>95</v>
      </c>
      <c r="G9699" t="s">
        <v>73</v>
      </c>
      <c r="H9699" t="str">
        <f>"ΠΑΧΙΑΝΩΝ 54 ΧΑΝΙΑ"</f>
        <v>ΠΑΧΙΑΝΩΝ 54 ΧΑΝΙΑ</v>
      </c>
      <c r="I9699">
        <v>73100</v>
      </c>
      <c r="J9699">
        <v>2821095870</v>
      </c>
      <c r="K9699">
        <v>6976043221</v>
      </c>
      <c r="N9699" t="s">
        <v>1525</v>
      </c>
      <c r="O9699" t="s">
        <v>1526</v>
      </c>
      <c r="R9699" t="s">
        <v>57</v>
      </c>
      <c r="S9699">
        <v>6</v>
      </c>
      <c r="T9699">
        <v>254</v>
      </c>
      <c r="U9699" s="1">
        <v>38973</v>
      </c>
      <c r="V9699" t="s">
        <v>89</v>
      </c>
      <c r="W9699" t="s">
        <v>90</v>
      </c>
      <c r="X9699" t="s">
        <v>58</v>
      </c>
      <c r="Y9699">
        <v>25</v>
      </c>
      <c r="Z9699" t="s">
        <v>59</v>
      </c>
      <c r="AA9699" t="s">
        <v>59</v>
      </c>
      <c r="AB9699" t="s">
        <v>59</v>
      </c>
      <c r="AC9699" t="s">
        <v>59</v>
      </c>
      <c r="AD9699" t="s">
        <v>59</v>
      </c>
      <c r="AF9699" s="1">
        <v>38975</v>
      </c>
      <c r="AG9699" t="s">
        <v>8651</v>
      </c>
      <c r="AH9699" t="s">
        <v>8652</v>
      </c>
      <c r="AI9699" t="str">
        <f>"9500422"</f>
        <v>9500422</v>
      </c>
      <c r="AJ9699" t="s">
        <v>14218</v>
      </c>
      <c r="AK9699">
        <v>2821095574</v>
      </c>
      <c r="AL9699" t="s">
        <v>14219</v>
      </c>
      <c r="AM9699" t="s">
        <v>88</v>
      </c>
      <c r="AN9699" t="s">
        <v>88</v>
      </c>
      <c r="AO9699" t="s">
        <v>6733</v>
      </c>
      <c r="AP9699" t="s">
        <v>6755</v>
      </c>
      <c r="AQ9699">
        <v>2</v>
      </c>
      <c r="AR9699" t="s">
        <v>89</v>
      </c>
      <c r="AS9699" t="s">
        <v>90</v>
      </c>
      <c r="AT9699" t="s">
        <v>58</v>
      </c>
      <c r="AU9699" t="s">
        <v>68</v>
      </c>
      <c r="AV9699" t="s">
        <v>69</v>
      </c>
      <c r="AW9699" s="1">
        <v>25248</v>
      </c>
      <c r="AX9699">
        <v>1</v>
      </c>
    </row>
    <row r="9700" spans="1:50">
      <c r="A9700">
        <v>591920</v>
      </c>
      <c r="B9700" t="str">
        <f>"052030794"</f>
        <v>052030794</v>
      </c>
      <c r="C9700" t="s">
        <v>50</v>
      </c>
      <c r="D9700" t="s">
        <v>10090</v>
      </c>
      <c r="E9700" t="s">
        <v>134</v>
      </c>
      <c r="F9700" t="s">
        <v>989</v>
      </c>
      <c r="G9700" t="s">
        <v>14653</v>
      </c>
      <c r="H9700" t="str">
        <f>"ΚΩΝΣΤΑΝΤΙΝΟΥ ΔΕΒΟΓΑ 20 ΧΑΛΕΠΑ"</f>
        <v>ΚΩΝΣΤΑΝΤΙΝΟΥ ΔΕΒΟΓΑ 20 ΧΑΛΕΠΑ</v>
      </c>
      <c r="I9700">
        <v>73132</v>
      </c>
      <c r="J9700">
        <v>2821052192</v>
      </c>
      <c r="K9700">
        <v>6974820957</v>
      </c>
      <c r="L9700">
        <v>2821052192</v>
      </c>
      <c r="M9700" t="s">
        <v>14654</v>
      </c>
      <c r="N9700" t="s">
        <v>1525</v>
      </c>
      <c r="O9700" t="s">
        <v>1526</v>
      </c>
      <c r="R9700" t="s">
        <v>57</v>
      </c>
      <c r="S9700">
        <v>9</v>
      </c>
      <c r="T9700">
        <v>249</v>
      </c>
      <c r="U9700" s="1">
        <v>36769</v>
      </c>
      <c r="V9700" t="s">
        <v>89</v>
      </c>
      <c r="W9700" t="s">
        <v>90</v>
      </c>
      <c r="X9700" t="s">
        <v>58</v>
      </c>
      <c r="Y9700">
        <v>25</v>
      </c>
      <c r="Z9700" t="s">
        <v>59</v>
      </c>
      <c r="AA9700" t="s">
        <v>59</v>
      </c>
      <c r="AB9700" t="s">
        <v>59</v>
      </c>
      <c r="AC9700" t="s">
        <v>59</v>
      </c>
      <c r="AD9700" t="s">
        <v>59</v>
      </c>
      <c r="AF9700" s="1">
        <v>36770</v>
      </c>
      <c r="AG9700" t="s">
        <v>8651</v>
      </c>
      <c r="AH9700" t="s">
        <v>8652</v>
      </c>
      <c r="AI9700" t="str">
        <f>"9500042"</f>
        <v>9500042</v>
      </c>
      <c r="AJ9700" t="s">
        <v>14043</v>
      </c>
      <c r="AK9700">
        <v>2821053815</v>
      </c>
      <c r="AL9700" t="s">
        <v>14044</v>
      </c>
      <c r="AM9700" t="s">
        <v>88</v>
      </c>
      <c r="AN9700" t="s">
        <v>88</v>
      </c>
      <c r="AO9700" t="s">
        <v>88</v>
      </c>
      <c r="AP9700" t="s">
        <v>88</v>
      </c>
      <c r="AQ9700">
        <v>1</v>
      </c>
      <c r="AR9700" t="s">
        <v>89</v>
      </c>
      <c r="AS9700" t="s">
        <v>90</v>
      </c>
      <c r="AT9700" t="s">
        <v>58</v>
      </c>
      <c r="AU9700" t="s">
        <v>68</v>
      </c>
      <c r="AV9700" t="s">
        <v>69</v>
      </c>
      <c r="AW9700" s="1">
        <v>25070</v>
      </c>
      <c r="AX9700">
        <v>1</v>
      </c>
    </row>
    <row r="9701" spans="1:50">
      <c r="A9701">
        <v>621719</v>
      </c>
      <c r="B9701" t="str">
        <f>"104943069"</f>
        <v>104943069</v>
      </c>
      <c r="C9701" t="s">
        <v>105</v>
      </c>
      <c r="D9701" t="s">
        <v>14655</v>
      </c>
      <c r="E9701" t="s">
        <v>154</v>
      </c>
      <c r="F9701" t="s">
        <v>95</v>
      </c>
      <c r="G9701" t="s">
        <v>237</v>
      </c>
      <c r="H9701" t="str">
        <f>"ΚΩΝΣΤΑΝΤΙΝΟΥΠΟΛΕΩΣ 263 ΧΑΝΙΑ"</f>
        <v>ΚΩΝΣΤΑΝΤΙΝΟΥΠΟΛΕΩΣ 263 ΧΑΝΙΑ</v>
      </c>
      <c r="K9701">
        <v>6972899691</v>
      </c>
      <c r="N9701" t="s">
        <v>615</v>
      </c>
      <c r="O9701" t="s">
        <v>616</v>
      </c>
      <c r="R9701" t="s">
        <v>57</v>
      </c>
      <c r="S9701">
        <v>4</v>
      </c>
      <c r="T9701">
        <v>653</v>
      </c>
      <c r="U9701" s="1">
        <v>40043</v>
      </c>
      <c r="V9701" t="s">
        <v>89</v>
      </c>
      <c r="W9701" t="s">
        <v>90</v>
      </c>
      <c r="X9701" t="s">
        <v>58</v>
      </c>
      <c r="Y9701">
        <v>24</v>
      </c>
      <c r="Z9701" t="s">
        <v>59</v>
      </c>
      <c r="AA9701" t="s">
        <v>59</v>
      </c>
      <c r="AB9701" t="s">
        <v>59</v>
      </c>
      <c r="AC9701" t="s">
        <v>59</v>
      </c>
      <c r="AD9701" t="s">
        <v>59</v>
      </c>
      <c r="AF9701" s="1">
        <v>40043</v>
      </c>
      <c r="AG9701" t="s">
        <v>8645</v>
      </c>
      <c r="AH9701" t="s">
        <v>8646</v>
      </c>
      <c r="AI9701" t="str">
        <f>"9500360"</f>
        <v>9500360</v>
      </c>
      <c r="AJ9701" t="s">
        <v>14022</v>
      </c>
      <c r="AK9701">
        <v>2821031253</v>
      </c>
      <c r="AL9701" t="s">
        <v>14023</v>
      </c>
      <c r="AM9701" t="s">
        <v>88</v>
      </c>
      <c r="AN9701" t="s">
        <v>88</v>
      </c>
      <c r="AO9701" t="s">
        <v>6785</v>
      </c>
      <c r="AP9701" t="s">
        <v>13932</v>
      </c>
      <c r="AQ9701">
        <v>3</v>
      </c>
      <c r="AR9701" t="s">
        <v>89</v>
      </c>
      <c r="AS9701" t="s">
        <v>90</v>
      </c>
      <c r="AT9701" t="s">
        <v>58</v>
      </c>
      <c r="AU9701" t="s">
        <v>68</v>
      </c>
      <c r="AV9701" t="s">
        <v>69</v>
      </c>
      <c r="AW9701" s="1">
        <v>31637</v>
      </c>
      <c r="AX9701">
        <v>1</v>
      </c>
    </row>
    <row r="9702" spans="1:50">
      <c r="B9702" t="str">
        <f>"160206132"</f>
        <v>160206132</v>
      </c>
      <c r="C9702" t="s">
        <v>50</v>
      </c>
      <c r="D9702" t="s">
        <v>14656</v>
      </c>
      <c r="E9702" t="s">
        <v>52</v>
      </c>
      <c r="F9702" t="s">
        <v>450</v>
      </c>
      <c r="H9702" t="str">
        <f>" "</f>
        <v xml:space="preserve"> </v>
      </c>
      <c r="N9702" t="s">
        <v>8694</v>
      </c>
      <c r="O9702" t="s">
        <v>8695</v>
      </c>
      <c r="R9702" t="s">
        <v>159</v>
      </c>
      <c r="S9702">
        <v>2</v>
      </c>
      <c r="T9702" t="s">
        <v>8696</v>
      </c>
      <c r="U9702" s="1">
        <v>43348</v>
      </c>
      <c r="V9702" t="s">
        <v>89</v>
      </c>
      <c r="W9702" t="s">
        <v>90</v>
      </c>
      <c r="X9702" t="s">
        <v>58</v>
      </c>
      <c r="Y9702">
        <v>24</v>
      </c>
      <c r="Z9702" t="s">
        <v>59</v>
      </c>
      <c r="AA9702" t="s">
        <v>59</v>
      </c>
      <c r="AB9702" t="s">
        <v>59</v>
      </c>
      <c r="AC9702" t="s">
        <v>59</v>
      </c>
      <c r="AD9702" t="s">
        <v>59</v>
      </c>
      <c r="AF9702" s="1">
        <v>43348</v>
      </c>
      <c r="AG9702" t="s">
        <v>8645</v>
      </c>
      <c r="AH9702" t="s">
        <v>8697</v>
      </c>
      <c r="AI9702" t="str">
        <f>"9500424"</f>
        <v>9500424</v>
      </c>
      <c r="AJ9702" t="s">
        <v>14232</v>
      </c>
      <c r="AK9702">
        <v>2821044022</v>
      </c>
      <c r="AL9702" t="s">
        <v>14233</v>
      </c>
      <c r="AM9702" t="s">
        <v>88</v>
      </c>
      <c r="AN9702" t="s">
        <v>88</v>
      </c>
      <c r="AO9702" t="s">
        <v>88</v>
      </c>
      <c r="AP9702" t="s">
        <v>88</v>
      </c>
      <c r="AQ9702">
        <v>1</v>
      </c>
      <c r="AR9702" t="s">
        <v>89</v>
      </c>
      <c r="AS9702" t="s">
        <v>90</v>
      </c>
      <c r="AT9702" t="s">
        <v>58</v>
      </c>
      <c r="AU9702" t="s">
        <v>350</v>
      </c>
      <c r="AV9702" t="s">
        <v>132</v>
      </c>
      <c r="AW9702" s="1">
        <v>33571</v>
      </c>
      <c r="AX9702">
        <v>1</v>
      </c>
    </row>
    <row r="9703" spans="1:50">
      <c r="B9703" t="str">
        <f>"153063704"</f>
        <v>153063704</v>
      </c>
      <c r="C9703" t="s">
        <v>50</v>
      </c>
      <c r="D9703" t="s">
        <v>6067</v>
      </c>
      <c r="E9703" t="s">
        <v>1108</v>
      </c>
      <c r="F9703" t="s">
        <v>965</v>
      </c>
      <c r="G9703" t="s">
        <v>1345</v>
      </c>
      <c r="H9703" t="str">
        <f>" "</f>
        <v xml:space="preserve"> </v>
      </c>
      <c r="K9703">
        <v>6974657195</v>
      </c>
      <c r="N9703" t="s">
        <v>683</v>
      </c>
      <c r="O9703" t="s">
        <v>684</v>
      </c>
      <c r="R9703" t="s">
        <v>121</v>
      </c>
      <c r="S9703">
        <v>1</v>
      </c>
      <c r="T9703" t="s">
        <v>8675</v>
      </c>
      <c r="U9703" s="1">
        <v>43348</v>
      </c>
      <c r="V9703" t="s">
        <v>89</v>
      </c>
      <c r="W9703" t="s">
        <v>90</v>
      </c>
      <c r="X9703" t="s">
        <v>58</v>
      </c>
      <c r="Y9703">
        <v>24</v>
      </c>
      <c r="Z9703" t="s">
        <v>59</v>
      </c>
      <c r="AA9703" t="s">
        <v>59</v>
      </c>
      <c r="AB9703" t="s">
        <v>59</v>
      </c>
      <c r="AD9703" t="s">
        <v>59</v>
      </c>
      <c r="AF9703" s="1">
        <v>43348</v>
      </c>
      <c r="AG9703" t="s">
        <v>8645</v>
      </c>
      <c r="AH9703" t="s">
        <v>8646</v>
      </c>
      <c r="AI9703" t="str">
        <f>"9500078"</f>
        <v>9500078</v>
      </c>
      <c r="AJ9703" t="s">
        <v>13988</v>
      </c>
      <c r="AK9703">
        <v>2821028788</v>
      </c>
      <c r="AL9703" t="s">
        <v>13989</v>
      </c>
      <c r="AM9703" t="s">
        <v>88</v>
      </c>
      <c r="AN9703" t="s">
        <v>88</v>
      </c>
      <c r="AO9703" t="s">
        <v>88</v>
      </c>
      <c r="AP9703" t="s">
        <v>88</v>
      </c>
      <c r="AQ9703">
        <v>1</v>
      </c>
      <c r="AR9703" t="s">
        <v>89</v>
      </c>
      <c r="AS9703" t="s">
        <v>90</v>
      </c>
      <c r="AT9703" t="s">
        <v>58</v>
      </c>
      <c r="AU9703" t="s">
        <v>8673</v>
      </c>
      <c r="AV9703" t="s">
        <v>132</v>
      </c>
      <c r="AW9703" s="1">
        <v>33315</v>
      </c>
      <c r="AX9703">
        <v>1</v>
      </c>
    </row>
    <row r="9704" spans="1:50">
      <c r="A9704">
        <v>581421</v>
      </c>
      <c r="B9704" t="str">
        <f>"037081325"</f>
        <v>037081325</v>
      </c>
      <c r="C9704" t="s">
        <v>50</v>
      </c>
      <c r="D9704" t="s">
        <v>14657</v>
      </c>
      <c r="E9704" t="s">
        <v>367</v>
      </c>
      <c r="F9704" t="s">
        <v>450</v>
      </c>
      <c r="G9704" t="s">
        <v>155</v>
      </c>
      <c r="H9704" t="str">
        <f>"ΕΜΜ.ΑΝΤΩΝΙΑΔΟΥ 42 ΧΑΝΙΑ"</f>
        <v>ΕΜΜ.ΑΝΤΩΝΙΑΔΟΥ 42 ΧΑΝΙΑ</v>
      </c>
      <c r="I9704">
        <v>73100</v>
      </c>
      <c r="J9704">
        <v>2821074641</v>
      </c>
      <c r="K9704">
        <v>6934367057</v>
      </c>
      <c r="N9704" t="s">
        <v>615</v>
      </c>
      <c r="O9704" t="s">
        <v>616</v>
      </c>
      <c r="R9704" t="s">
        <v>57</v>
      </c>
      <c r="S9704">
        <v>13</v>
      </c>
      <c r="T9704">
        <v>179</v>
      </c>
      <c r="U9704" s="1">
        <v>35674</v>
      </c>
      <c r="V9704" t="s">
        <v>89</v>
      </c>
      <c r="W9704" t="s">
        <v>90</v>
      </c>
      <c r="X9704" t="s">
        <v>58</v>
      </c>
      <c r="Y9704">
        <v>21</v>
      </c>
      <c r="Z9704" t="s">
        <v>59</v>
      </c>
      <c r="AA9704" t="s">
        <v>59</v>
      </c>
      <c r="AB9704" t="s">
        <v>59</v>
      </c>
      <c r="AC9704" t="s">
        <v>59</v>
      </c>
      <c r="AD9704" t="s">
        <v>59</v>
      </c>
      <c r="AF9704" s="1">
        <v>35674</v>
      </c>
      <c r="AG9704" t="s">
        <v>8645</v>
      </c>
      <c r="AH9704" t="s">
        <v>8646</v>
      </c>
      <c r="AI9704" t="str">
        <f>"9500320"</f>
        <v>9500320</v>
      </c>
      <c r="AJ9704" t="s">
        <v>14100</v>
      </c>
      <c r="AK9704">
        <v>2821099577</v>
      </c>
      <c r="AL9704" t="s">
        <v>14101</v>
      </c>
      <c r="AM9704" t="s">
        <v>88</v>
      </c>
      <c r="AN9704" t="s">
        <v>88</v>
      </c>
      <c r="AO9704" t="s">
        <v>88</v>
      </c>
      <c r="AP9704" t="s">
        <v>88</v>
      </c>
      <c r="AQ9704">
        <v>1</v>
      </c>
      <c r="AR9704" t="s">
        <v>89</v>
      </c>
      <c r="AS9704" t="s">
        <v>90</v>
      </c>
      <c r="AT9704" t="s">
        <v>58</v>
      </c>
      <c r="AU9704" t="s">
        <v>68</v>
      </c>
      <c r="AV9704" t="s">
        <v>69</v>
      </c>
      <c r="AW9704" s="1">
        <v>23381</v>
      </c>
      <c r="AX9704">
        <v>1</v>
      </c>
    </row>
    <row r="9705" spans="1:50">
      <c r="B9705" t="str">
        <f>"113081520"</f>
        <v>113081520</v>
      </c>
      <c r="C9705" t="s">
        <v>50</v>
      </c>
      <c r="D9705" t="s">
        <v>14658</v>
      </c>
      <c r="E9705" t="s">
        <v>396</v>
      </c>
      <c r="F9705" t="s">
        <v>95</v>
      </c>
      <c r="G9705" t="s">
        <v>237</v>
      </c>
      <c r="H9705" t="str">
        <f>"ΣΤΑΥΡΑΚΙΟΥ 58 ΙΩΑΝΝΙΝΑ"</f>
        <v>ΣΤΑΥΡΑΚΙΟΥ 58 ΙΩΑΝΝΙΝΑ</v>
      </c>
      <c r="I9705">
        <v>45500</v>
      </c>
      <c r="J9705">
        <v>2651043268</v>
      </c>
      <c r="K9705">
        <v>6944883212</v>
      </c>
      <c r="N9705" t="s">
        <v>615</v>
      </c>
      <c r="O9705" t="s">
        <v>616</v>
      </c>
      <c r="R9705" t="s">
        <v>159</v>
      </c>
      <c r="S9705">
        <v>5</v>
      </c>
      <c r="T9705" t="s">
        <v>8675</v>
      </c>
      <c r="U9705" s="1">
        <v>43348</v>
      </c>
      <c r="V9705" t="s">
        <v>89</v>
      </c>
      <c r="W9705" t="s">
        <v>90</v>
      </c>
      <c r="X9705" t="s">
        <v>58</v>
      </c>
      <c r="Y9705">
        <v>24</v>
      </c>
      <c r="Z9705" t="s">
        <v>59</v>
      </c>
      <c r="AA9705" t="s">
        <v>59</v>
      </c>
      <c r="AB9705" t="s">
        <v>59</v>
      </c>
      <c r="AC9705" t="s">
        <v>59</v>
      </c>
      <c r="AD9705" t="s">
        <v>59</v>
      </c>
      <c r="AF9705" s="1">
        <v>43348</v>
      </c>
      <c r="AG9705" t="s">
        <v>8645</v>
      </c>
      <c r="AH9705" t="s">
        <v>8646</v>
      </c>
      <c r="AI9705" t="str">
        <f>"9500017"</f>
        <v>9500017</v>
      </c>
      <c r="AJ9705" t="s">
        <v>13873</v>
      </c>
      <c r="AK9705">
        <v>2825083173</v>
      </c>
      <c r="AL9705" t="s">
        <v>13874</v>
      </c>
      <c r="AM9705" t="s">
        <v>88</v>
      </c>
      <c r="AN9705" t="s">
        <v>6775</v>
      </c>
      <c r="AO9705" t="s">
        <v>11883</v>
      </c>
      <c r="AP9705" t="s">
        <v>13875</v>
      </c>
      <c r="AQ9705">
        <v>7</v>
      </c>
      <c r="AR9705" t="s">
        <v>89</v>
      </c>
      <c r="AS9705" t="s">
        <v>90</v>
      </c>
      <c r="AT9705" t="s">
        <v>58</v>
      </c>
      <c r="AU9705" t="s">
        <v>8673</v>
      </c>
      <c r="AV9705" t="s">
        <v>132</v>
      </c>
      <c r="AW9705" s="1">
        <v>30092</v>
      </c>
      <c r="AX9705">
        <v>1</v>
      </c>
    </row>
    <row r="9706" spans="1:50">
      <c r="A9706">
        <v>582213</v>
      </c>
      <c r="B9706" t="str">
        <f>"053742513"</f>
        <v>053742513</v>
      </c>
      <c r="C9706" t="s">
        <v>50</v>
      </c>
      <c r="D9706" t="s">
        <v>7395</v>
      </c>
      <c r="E9706" t="s">
        <v>14659</v>
      </c>
      <c r="F9706" t="s">
        <v>108</v>
      </c>
      <c r="G9706" t="s">
        <v>600</v>
      </c>
      <c r="H9706" t="str">
        <f>" "</f>
        <v xml:space="preserve"> </v>
      </c>
      <c r="N9706" t="s">
        <v>615</v>
      </c>
      <c r="O9706" t="s">
        <v>616</v>
      </c>
      <c r="R9706" t="s">
        <v>57</v>
      </c>
      <c r="S9706">
        <v>12</v>
      </c>
      <c r="T9706">
        <v>179</v>
      </c>
      <c r="U9706" s="1">
        <v>35674</v>
      </c>
      <c r="V9706" t="s">
        <v>89</v>
      </c>
      <c r="W9706" t="s">
        <v>90</v>
      </c>
      <c r="X9706" t="s">
        <v>58</v>
      </c>
      <c r="Y9706">
        <v>21</v>
      </c>
      <c r="Z9706" t="s">
        <v>59</v>
      </c>
      <c r="AA9706" t="s">
        <v>59</v>
      </c>
      <c r="AB9706" t="s">
        <v>59</v>
      </c>
      <c r="AC9706" t="s">
        <v>59</v>
      </c>
      <c r="AD9706" t="s">
        <v>59</v>
      </c>
      <c r="AF9706" s="1">
        <v>35678</v>
      </c>
      <c r="AG9706" t="s">
        <v>8645</v>
      </c>
      <c r="AH9706" t="s">
        <v>8646</v>
      </c>
      <c r="AI9706" t="str">
        <f>"9500040"</f>
        <v>9500040</v>
      </c>
      <c r="AJ9706" t="s">
        <v>13906</v>
      </c>
      <c r="AK9706">
        <v>2821045356</v>
      </c>
      <c r="AL9706" t="s">
        <v>13907</v>
      </c>
      <c r="AM9706" t="s">
        <v>88</v>
      </c>
      <c r="AN9706" t="s">
        <v>88</v>
      </c>
      <c r="AO9706" t="s">
        <v>88</v>
      </c>
      <c r="AP9706" t="s">
        <v>88</v>
      </c>
      <c r="AQ9706">
        <v>1</v>
      </c>
      <c r="AR9706" t="s">
        <v>89</v>
      </c>
      <c r="AS9706" t="s">
        <v>90</v>
      </c>
      <c r="AT9706" t="s">
        <v>58</v>
      </c>
      <c r="AU9706" t="s">
        <v>68</v>
      </c>
      <c r="AV9706" t="s">
        <v>69</v>
      </c>
      <c r="AW9706" s="1">
        <v>24162</v>
      </c>
      <c r="AX9706">
        <v>1</v>
      </c>
    </row>
    <row r="9707" spans="1:50">
      <c r="A9707">
        <v>552441</v>
      </c>
      <c r="B9707" t="str">
        <f>"100647867"</f>
        <v>100647867</v>
      </c>
      <c r="C9707" t="s">
        <v>50</v>
      </c>
      <c r="D9707" t="s">
        <v>14660</v>
      </c>
      <c r="E9707" t="s">
        <v>155</v>
      </c>
      <c r="F9707" t="s">
        <v>53</v>
      </c>
      <c r="G9707" t="s">
        <v>52</v>
      </c>
      <c r="H9707" t="str">
        <f>" "</f>
        <v xml:space="preserve"> </v>
      </c>
      <c r="N9707" t="s">
        <v>1525</v>
      </c>
      <c r="O9707" t="s">
        <v>1526</v>
      </c>
      <c r="R9707" t="s">
        <v>57</v>
      </c>
      <c r="S9707">
        <v>17</v>
      </c>
      <c r="T9707">
        <v>271</v>
      </c>
      <c r="U9707" s="1">
        <v>30923</v>
      </c>
      <c r="V9707" t="s">
        <v>89</v>
      </c>
      <c r="W9707" t="s">
        <v>90</v>
      </c>
      <c r="X9707" t="s">
        <v>58</v>
      </c>
      <c r="Y9707">
        <v>25</v>
      </c>
      <c r="Z9707" t="s">
        <v>59</v>
      </c>
      <c r="AA9707" t="s">
        <v>59</v>
      </c>
      <c r="AB9707" t="s">
        <v>59</v>
      </c>
      <c r="AC9707" t="s">
        <v>59</v>
      </c>
      <c r="AD9707" t="s">
        <v>59</v>
      </c>
      <c r="AF9707" s="1">
        <v>30928</v>
      </c>
      <c r="AG9707" t="s">
        <v>8651</v>
      </c>
      <c r="AH9707" t="s">
        <v>8652</v>
      </c>
      <c r="AI9707" t="str">
        <f>"9500425"</f>
        <v>9500425</v>
      </c>
      <c r="AJ9707" t="s">
        <v>14213</v>
      </c>
      <c r="AK9707">
        <v>2821094663</v>
      </c>
      <c r="AL9707" t="s">
        <v>14214</v>
      </c>
      <c r="AM9707" t="s">
        <v>88</v>
      </c>
      <c r="AN9707" t="s">
        <v>88</v>
      </c>
      <c r="AO9707" t="s">
        <v>6733</v>
      </c>
      <c r="AP9707" t="s">
        <v>6734</v>
      </c>
      <c r="AQ9707">
        <v>2</v>
      </c>
      <c r="AR9707" t="s">
        <v>89</v>
      </c>
      <c r="AS9707" t="s">
        <v>90</v>
      </c>
      <c r="AT9707" t="s">
        <v>58</v>
      </c>
      <c r="AU9707" t="s">
        <v>68</v>
      </c>
      <c r="AV9707" t="s">
        <v>69</v>
      </c>
      <c r="AW9707" s="1">
        <v>22494</v>
      </c>
      <c r="AX9707">
        <v>1</v>
      </c>
    </row>
    <row r="9708" spans="1:50">
      <c r="A9708">
        <v>622494</v>
      </c>
      <c r="B9708" t="str">
        <f>"135237798"</f>
        <v>135237798</v>
      </c>
      <c r="C9708" t="s">
        <v>50</v>
      </c>
      <c r="D9708" t="s">
        <v>14661</v>
      </c>
      <c r="E9708" t="s">
        <v>191</v>
      </c>
      <c r="F9708" t="s">
        <v>99</v>
      </c>
      <c r="G9708" t="s">
        <v>250</v>
      </c>
      <c r="H9708" t="str">
        <f>"1 ΧΛΜ ΕΘΝΙΚΗΣ ΟΔΟΥ ΜΟΥΡΝΙΩΝ-ΒΑΜΒΑΚΟΠΟΥΛΟΥ ΒΑΜΒΑΚΟΠΟΥΛΟ-ΧΑΝΙΑ"</f>
        <v>1 ΧΛΜ ΕΘΝΙΚΗΣ ΟΔΟΥ ΜΟΥΡΝΙΩΝ-ΒΑΜΒΑΚΟΠΟΥΛΟΥ ΒΑΜΒΑΚΟΠΟΥΛΟ-ΧΑΝΙΑ</v>
      </c>
      <c r="I9708">
        <v>73300</v>
      </c>
      <c r="J9708">
        <v>2821087979</v>
      </c>
      <c r="K9708">
        <v>6974549513</v>
      </c>
      <c r="N9708" t="s">
        <v>1525</v>
      </c>
      <c r="O9708" t="s">
        <v>1526</v>
      </c>
      <c r="R9708" t="s">
        <v>57</v>
      </c>
      <c r="S9708">
        <v>5</v>
      </c>
      <c r="T9708">
        <v>653</v>
      </c>
      <c r="U9708" s="1">
        <v>40043</v>
      </c>
      <c r="V9708" t="s">
        <v>89</v>
      </c>
      <c r="W9708" t="s">
        <v>90</v>
      </c>
      <c r="X9708" t="s">
        <v>58</v>
      </c>
      <c r="Y9708">
        <v>25</v>
      </c>
      <c r="Z9708" t="s">
        <v>59</v>
      </c>
      <c r="AA9708" t="s">
        <v>59</v>
      </c>
      <c r="AB9708" t="s">
        <v>59</v>
      </c>
      <c r="AC9708" t="s">
        <v>59</v>
      </c>
      <c r="AD9708" t="s">
        <v>59</v>
      </c>
      <c r="AF9708" s="1">
        <v>40043</v>
      </c>
      <c r="AG9708" t="s">
        <v>8651</v>
      </c>
      <c r="AH9708" t="s">
        <v>8652</v>
      </c>
      <c r="AI9708" t="str">
        <f>"9521606"</f>
        <v>9521606</v>
      </c>
      <c r="AJ9708" t="s">
        <v>13891</v>
      </c>
      <c r="AK9708">
        <v>2821093393</v>
      </c>
      <c r="AL9708" t="s">
        <v>13892</v>
      </c>
      <c r="AM9708" t="s">
        <v>88</v>
      </c>
      <c r="AN9708" t="s">
        <v>88</v>
      </c>
      <c r="AO9708" t="s">
        <v>6733</v>
      </c>
      <c r="AP9708" t="s">
        <v>6755</v>
      </c>
      <c r="AQ9708">
        <v>2</v>
      </c>
      <c r="AR9708" t="s">
        <v>89</v>
      </c>
      <c r="AS9708" t="s">
        <v>90</v>
      </c>
      <c r="AT9708" t="s">
        <v>58</v>
      </c>
      <c r="AU9708" t="s">
        <v>68</v>
      </c>
      <c r="AV9708" t="s">
        <v>69</v>
      </c>
      <c r="AW9708" s="1">
        <v>30138</v>
      </c>
      <c r="AX9708">
        <v>1</v>
      </c>
    </row>
    <row r="9709" spans="1:50">
      <c r="B9709" t="str">
        <f>"120147735"</f>
        <v>120147735</v>
      </c>
      <c r="C9709" t="s">
        <v>105</v>
      </c>
      <c r="D9709" t="s">
        <v>14662</v>
      </c>
      <c r="E9709" t="s">
        <v>72</v>
      </c>
      <c r="F9709" t="s">
        <v>99</v>
      </c>
      <c r="H9709" t="str">
        <f>"ΕΜΜΑΝΟΥΗΛ ΠΑΠΠΑ 125 ΣΕΡΡΕΣ"</f>
        <v>ΕΜΜΑΝΟΥΗΛ ΠΑΠΠΑ 125 ΣΕΡΡΕΣ</v>
      </c>
      <c r="I9709">
        <v>62100</v>
      </c>
      <c r="J9709">
        <v>2321051794</v>
      </c>
      <c r="K9709">
        <v>6978718529</v>
      </c>
      <c r="M9709" t="s">
        <v>14663</v>
      </c>
      <c r="N9709" t="s">
        <v>8694</v>
      </c>
      <c r="O9709" t="s">
        <v>8695</v>
      </c>
      <c r="R9709" t="s">
        <v>159</v>
      </c>
      <c r="S9709">
        <v>4</v>
      </c>
      <c r="T9709" t="s">
        <v>8696</v>
      </c>
      <c r="U9709" s="1">
        <v>43348</v>
      </c>
      <c r="V9709" t="s">
        <v>89</v>
      </c>
      <c r="W9709" t="s">
        <v>90</v>
      </c>
      <c r="X9709" t="s">
        <v>58</v>
      </c>
      <c r="Y9709">
        <v>24</v>
      </c>
      <c r="Z9709" t="s">
        <v>59</v>
      </c>
      <c r="AA9709" t="s">
        <v>59</v>
      </c>
      <c r="AB9709" t="s">
        <v>59</v>
      </c>
      <c r="AC9709" t="s">
        <v>59</v>
      </c>
      <c r="AD9709" t="s">
        <v>59</v>
      </c>
      <c r="AF9709" s="1">
        <v>43348</v>
      </c>
      <c r="AG9709" t="s">
        <v>8645</v>
      </c>
      <c r="AH9709" t="s">
        <v>8697</v>
      </c>
      <c r="AI9709" t="str">
        <f>"9500361"</f>
        <v>9500361</v>
      </c>
      <c r="AJ9709" t="s">
        <v>14024</v>
      </c>
      <c r="AK9709">
        <v>2821070176</v>
      </c>
      <c r="AL9709" t="s">
        <v>14025</v>
      </c>
      <c r="AM9709" t="s">
        <v>88</v>
      </c>
      <c r="AN9709" t="s">
        <v>88</v>
      </c>
      <c r="AO9709" t="s">
        <v>88</v>
      </c>
      <c r="AP9709" t="s">
        <v>88</v>
      </c>
      <c r="AQ9709">
        <v>1</v>
      </c>
      <c r="AR9709" t="s">
        <v>89</v>
      </c>
      <c r="AS9709" t="s">
        <v>90</v>
      </c>
      <c r="AT9709" t="s">
        <v>58</v>
      </c>
      <c r="AU9709" t="s">
        <v>350</v>
      </c>
      <c r="AV9709" t="s">
        <v>132</v>
      </c>
      <c r="AW9709" s="1">
        <v>33043</v>
      </c>
      <c r="AX9709">
        <v>1</v>
      </c>
    </row>
    <row r="9710" spans="1:50">
      <c r="A9710">
        <v>617078</v>
      </c>
      <c r="B9710" t="str">
        <f>"137709937"</f>
        <v>137709937</v>
      </c>
      <c r="C9710" t="s">
        <v>50</v>
      </c>
      <c r="D9710" t="s">
        <v>14664</v>
      </c>
      <c r="E9710" t="s">
        <v>964</v>
      </c>
      <c r="F9710" t="s">
        <v>377</v>
      </c>
      <c r="G9710" t="s">
        <v>563</v>
      </c>
      <c r="H9710" t="str">
        <f>"ΑΓ. ΜΑΡΙΝΑ ΑΓ.ΜΑΡΙΝΑ-ΧΑΝΙΑ"</f>
        <v>ΑΓ. ΜΑΡΙΝΑ ΑΓ.ΜΑΡΙΝΑ-ΧΑΝΙΑ</v>
      </c>
      <c r="I9710">
        <v>73100</v>
      </c>
      <c r="J9710">
        <v>2221084453</v>
      </c>
      <c r="K9710">
        <v>6932652289</v>
      </c>
      <c r="N9710" t="s">
        <v>615</v>
      </c>
      <c r="O9710" t="s">
        <v>616</v>
      </c>
      <c r="R9710" t="s">
        <v>57</v>
      </c>
      <c r="S9710">
        <v>6</v>
      </c>
      <c r="T9710">
        <v>774</v>
      </c>
      <c r="U9710" s="1">
        <v>39680</v>
      </c>
      <c r="V9710" t="s">
        <v>89</v>
      </c>
      <c r="W9710" t="s">
        <v>90</v>
      </c>
      <c r="X9710" t="s">
        <v>58</v>
      </c>
      <c r="Y9710">
        <v>23</v>
      </c>
      <c r="Z9710" t="s">
        <v>59</v>
      </c>
      <c r="AA9710" t="s">
        <v>59</v>
      </c>
      <c r="AB9710" t="s">
        <v>59</v>
      </c>
      <c r="AC9710" t="s">
        <v>59</v>
      </c>
      <c r="AD9710" t="s">
        <v>59</v>
      </c>
      <c r="AF9710" s="1">
        <v>39680</v>
      </c>
      <c r="AG9710" t="s">
        <v>8645</v>
      </c>
      <c r="AH9710" t="s">
        <v>8646</v>
      </c>
      <c r="AI9710" t="str">
        <f>"9500160"</f>
        <v>9500160</v>
      </c>
      <c r="AJ9710" t="s">
        <v>14486</v>
      </c>
      <c r="AK9710">
        <v>2821062458</v>
      </c>
      <c r="AL9710" t="s">
        <v>14487</v>
      </c>
      <c r="AM9710" t="s">
        <v>88</v>
      </c>
      <c r="AN9710" t="s">
        <v>6764</v>
      </c>
      <c r="AO9710" t="s">
        <v>6764</v>
      </c>
      <c r="AP9710" t="s">
        <v>14488</v>
      </c>
      <c r="AQ9710">
        <v>5</v>
      </c>
      <c r="AR9710" t="s">
        <v>89</v>
      </c>
      <c r="AS9710" t="s">
        <v>90</v>
      </c>
      <c r="AT9710" t="s">
        <v>58</v>
      </c>
      <c r="AU9710" t="s">
        <v>68</v>
      </c>
      <c r="AV9710" t="s">
        <v>69</v>
      </c>
      <c r="AW9710" s="1">
        <v>30144</v>
      </c>
      <c r="AX9710">
        <v>1</v>
      </c>
    </row>
    <row r="9711" spans="1:50">
      <c r="B9711" t="str">
        <f>"135475395"</f>
        <v>135475395</v>
      </c>
      <c r="C9711" t="s">
        <v>50</v>
      </c>
      <c r="D9711" t="s">
        <v>14665</v>
      </c>
      <c r="E9711" t="s">
        <v>155</v>
      </c>
      <c r="F9711" t="s">
        <v>450</v>
      </c>
      <c r="G9711" t="s">
        <v>71</v>
      </c>
      <c r="H9711" t="str">
        <f>"ΜΕΝΙΠΠΟΥ 38 "</f>
        <v xml:space="preserve">ΜΕΝΙΠΠΟΥ 38 </v>
      </c>
      <c r="I9711">
        <v>15562</v>
      </c>
      <c r="J9711">
        <v>2106536195</v>
      </c>
      <c r="K9711">
        <v>6979641579</v>
      </c>
      <c r="N9711" t="s">
        <v>337</v>
      </c>
      <c r="O9711" t="s">
        <v>338</v>
      </c>
      <c r="R9711" t="s">
        <v>121</v>
      </c>
      <c r="S9711">
        <v>1</v>
      </c>
      <c r="T9711" t="s">
        <v>8675</v>
      </c>
      <c r="U9711" s="1">
        <v>43348</v>
      </c>
      <c r="V9711" t="s">
        <v>89</v>
      </c>
      <c r="W9711" t="s">
        <v>90</v>
      </c>
      <c r="X9711" t="s">
        <v>58</v>
      </c>
      <c r="Y9711">
        <v>24</v>
      </c>
      <c r="Z9711" t="s">
        <v>59</v>
      </c>
      <c r="AA9711" t="s">
        <v>59</v>
      </c>
      <c r="AB9711" t="s">
        <v>59</v>
      </c>
      <c r="AC9711" t="s">
        <v>59</v>
      </c>
      <c r="AD9711" t="s">
        <v>59</v>
      </c>
      <c r="AF9711" s="1">
        <v>43348</v>
      </c>
      <c r="AG9711" t="s">
        <v>8645</v>
      </c>
      <c r="AH9711" t="s">
        <v>8646</v>
      </c>
      <c r="AI9711" t="str">
        <f>"9500191"</f>
        <v>9500191</v>
      </c>
      <c r="AJ9711" t="s">
        <v>13986</v>
      </c>
      <c r="AK9711">
        <v>2822022042</v>
      </c>
      <c r="AL9711" t="s">
        <v>13987</v>
      </c>
      <c r="AM9711" t="s">
        <v>88</v>
      </c>
      <c r="AN9711" t="s">
        <v>6744</v>
      </c>
      <c r="AO9711" t="s">
        <v>6744</v>
      </c>
      <c r="AP9711" t="s">
        <v>6744</v>
      </c>
      <c r="AQ9711">
        <v>9</v>
      </c>
      <c r="AR9711" t="s">
        <v>89</v>
      </c>
      <c r="AS9711" t="s">
        <v>90</v>
      </c>
      <c r="AT9711" t="s">
        <v>58</v>
      </c>
      <c r="AU9711" t="s">
        <v>8673</v>
      </c>
      <c r="AV9711" t="s">
        <v>132</v>
      </c>
      <c r="AW9711" s="1">
        <v>31711</v>
      </c>
      <c r="AX9711">
        <v>1</v>
      </c>
    </row>
    <row r="9712" spans="1:50">
      <c r="A9712">
        <v>620502</v>
      </c>
      <c r="B9712" t="str">
        <f>"122626508"</f>
        <v>122626508</v>
      </c>
      <c r="C9712" t="s">
        <v>50</v>
      </c>
      <c r="D9712" t="s">
        <v>14666</v>
      </c>
      <c r="E9712" t="s">
        <v>14667</v>
      </c>
      <c r="F9712" t="s">
        <v>609</v>
      </c>
      <c r="G9712" t="s">
        <v>54</v>
      </c>
      <c r="H9712" t="str">
        <f>"ΓΕΡΑΝΩΝ 10 ΑΘΗΝΑ"</f>
        <v>ΓΕΡΑΝΩΝ 10 ΑΘΗΝΑ</v>
      </c>
      <c r="I9712">
        <v>11364</v>
      </c>
      <c r="J9712">
        <v>2108616120</v>
      </c>
      <c r="K9712">
        <v>6936394394</v>
      </c>
      <c r="M9712" t="s">
        <v>14668</v>
      </c>
      <c r="N9712" t="s">
        <v>615</v>
      </c>
      <c r="O9712" t="s">
        <v>616</v>
      </c>
      <c r="R9712" t="s">
        <v>57</v>
      </c>
      <c r="S9712">
        <v>5</v>
      </c>
      <c r="T9712">
        <v>653</v>
      </c>
      <c r="U9712" s="1">
        <v>40043</v>
      </c>
      <c r="V9712" t="s">
        <v>89</v>
      </c>
      <c r="W9712" t="s">
        <v>90</v>
      </c>
      <c r="X9712" t="s">
        <v>58</v>
      </c>
      <c r="Y9712">
        <v>23</v>
      </c>
      <c r="Z9712" t="s">
        <v>59</v>
      </c>
      <c r="AA9712" t="s">
        <v>59</v>
      </c>
      <c r="AB9712" t="s">
        <v>59</v>
      </c>
      <c r="AC9712" t="s">
        <v>59</v>
      </c>
      <c r="AD9712" t="s">
        <v>59</v>
      </c>
      <c r="AF9712" s="1">
        <v>40046</v>
      </c>
      <c r="AG9712" t="s">
        <v>8645</v>
      </c>
      <c r="AH9712" t="s">
        <v>8676</v>
      </c>
      <c r="AI9712" t="str">
        <f>"9521626"</f>
        <v>9521626</v>
      </c>
      <c r="AJ9712" t="s">
        <v>14002</v>
      </c>
      <c r="AM9712" t="s">
        <v>88</v>
      </c>
      <c r="AN9712" t="s">
        <v>88</v>
      </c>
      <c r="AO9712" t="s">
        <v>88</v>
      </c>
      <c r="AP9712" t="s">
        <v>88</v>
      </c>
      <c r="AR9712" t="s">
        <v>89</v>
      </c>
      <c r="AS9712" t="s">
        <v>90</v>
      </c>
      <c r="AT9712" t="s">
        <v>58</v>
      </c>
      <c r="AU9712" t="s">
        <v>68</v>
      </c>
      <c r="AV9712" t="s">
        <v>69</v>
      </c>
      <c r="AW9712" s="1">
        <v>30989</v>
      </c>
      <c r="AX9712">
        <v>1</v>
      </c>
    </row>
    <row r="9713" spans="1:50">
      <c r="A9713">
        <v>581479</v>
      </c>
      <c r="B9713" t="str">
        <f>"118457214"</f>
        <v>118457214</v>
      </c>
      <c r="C9713" t="s">
        <v>50</v>
      </c>
      <c r="D9713" t="s">
        <v>14669</v>
      </c>
      <c r="E9713" t="s">
        <v>1520</v>
      </c>
      <c r="F9713" t="s">
        <v>53</v>
      </c>
      <c r="G9713" t="s">
        <v>396</v>
      </c>
      <c r="H9713" t="str">
        <f>"ΔΗΜΟΚΡΑΤΙΑΣ 7 ΒΑΜΒΑΚΟΠΟΥΛΟ"</f>
        <v>ΔΗΜΟΚΡΑΤΙΑΣ 7 ΒΑΜΒΑΚΟΠΟΥΛΟ</v>
      </c>
      <c r="I9713">
        <v>73100</v>
      </c>
      <c r="J9713">
        <v>2821072705</v>
      </c>
      <c r="K9713">
        <v>6972421262</v>
      </c>
      <c r="N9713" t="s">
        <v>615</v>
      </c>
      <c r="O9713" t="s">
        <v>616</v>
      </c>
      <c r="R9713" t="s">
        <v>57</v>
      </c>
      <c r="S9713">
        <v>13</v>
      </c>
      <c r="T9713">
        <v>179</v>
      </c>
      <c r="U9713" s="1">
        <v>35674</v>
      </c>
      <c r="V9713" t="s">
        <v>89</v>
      </c>
      <c r="W9713" t="s">
        <v>90</v>
      </c>
      <c r="X9713" t="s">
        <v>58</v>
      </c>
      <c r="Y9713">
        <v>21</v>
      </c>
      <c r="Z9713" t="s">
        <v>59</v>
      </c>
      <c r="AA9713" t="s">
        <v>59</v>
      </c>
      <c r="AB9713" t="s">
        <v>59</v>
      </c>
      <c r="AC9713" t="s">
        <v>59</v>
      </c>
      <c r="AD9713" t="s">
        <v>59</v>
      </c>
      <c r="AF9713" s="1">
        <v>35674</v>
      </c>
      <c r="AG9713" t="s">
        <v>8645</v>
      </c>
      <c r="AH9713" t="s">
        <v>8646</v>
      </c>
      <c r="AI9713" t="str">
        <f>"9500119"</f>
        <v>9500119</v>
      </c>
      <c r="AJ9713" t="s">
        <v>14286</v>
      </c>
      <c r="AK9713">
        <v>2821095816</v>
      </c>
      <c r="AL9713" t="s">
        <v>14287</v>
      </c>
      <c r="AM9713" t="s">
        <v>88</v>
      </c>
      <c r="AN9713" t="s">
        <v>88</v>
      </c>
      <c r="AO9713" t="s">
        <v>13920</v>
      </c>
      <c r="AP9713" t="s">
        <v>14029</v>
      </c>
      <c r="AQ9713">
        <v>3</v>
      </c>
      <c r="AR9713" t="s">
        <v>89</v>
      </c>
      <c r="AS9713" t="s">
        <v>90</v>
      </c>
      <c r="AT9713" t="s">
        <v>58</v>
      </c>
      <c r="AU9713" t="s">
        <v>68</v>
      </c>
      <c r="AV9713" t="s">
        <v>69</v>
      </c>
      <c r="AW9713" s="1">
        <v>24706</v>
      </c>
      <c r="AX9713">
        <v>1</v>
      </c>
    </row>
    <row r="9714" spans="1:50">
      <c r="A9714">
        <v>573664</v>
      </c>
      <c r="B9714" t="str">
        <f>"030412459"</f>
        <v>030412459</v>
      </c>
      <c r="C9714" t="s">
        <v>105</v>
      </c>
      <c r="D9714" t="s">
        <v>14670</v>
      </c>
      <c r="E9714" t="s">
        <v>11814</v>
      </c>
      <c r="F9714" t="s">
        <v>309</v>
      </c>
      <c r="G9714" t="s">
        <v>14460</v>
      </c>
      <c r="H9714" t="str">
        <f>"ΓΑΛΑΤΑΣ ΧΑΝΙΑ ΧΑΝΙΑ"</f>
        <v>ΓΑΛΑΤΑΣ ΧΑΝΙΑ ΧΑΝΙΑ</v>
      </c>
      <c r="I9714">
        <v>73131</v>
      </c>
      <c r="J9714">
        <v>2821091550</v>
      </c>
      <c r="K9714">
        <v>6975969678</v>
      </c>
      <c r="N9714" t="s">
        <v>615</v>
      </c>
      <c r="O9714" t="s">
        <v>616</v>
      </c>
      <c r="R9714" t="s">
        <v>57</v>
      </c>
      <c r="S9714">
        <v>15</v>
      </c>
      <c r="T9714">
        <v>160</v>
      </c>
      <c r="U9714" s="1">
        <v>34582</v>
      </c>
      <c r="V9714" t="s">
        <v>89</v>
      </c>
      <c r="W9714" t="s">
        <v>90</v>
      </c>
      <c r="X9714" t="s">
        <v>58</v>
      </c>
      <c r="Y9714">
        <v>21</v>
      </c>
      <c r="Z9714" t="s">
        <v>59</v>
      </c>
      <c r="AA9714" t="s">
        <v>59</v>
      </c>
      <c r="AB9714" t="s">
        <v>59</v>
      </c>
      <c r="AC9714" t="s">
        <v>59</v>
      </c>
      <c r="AD9714" t="s">
        <v>59</v>
      </c>
      <c r="AF9714" s="1">
        <v>34582</v>
      </c>
      <c r="AG9714" t="s">
        <v>8645</v>
      </c>
      <c r="AH9714" t="s">
        <v>8646</v>
      </c>
      <c r="AI9714" t="str">
        <f>"9500407"</f>
        <v>9500407</v>
      </c>
      <c r="AJ9714" t="s">
        <v>13867</v>
      </c>
      <c r="AK9714">
        <v>2821089224</v>
      </c>
      <c r="AL9714" t="s">
        <v>13868</v>
      </c>
      <c r="AM9714" t="s">
        <v>88</v>
      </c>
      <c r="AN9714" t="s">
        <v>88</v>
      </c>
      <c r="AO9714" t="s">
        <v>6748</v>
      </c>
      <c r="AP9714" t="s">
        <v>6748</v>
      </c>
      <c r="AQ9714">
        <v>2</v>
      </c>
      <c r="AR9714" t="s">
        <v>89</v>
      </c>
      <c r="AS9714" t="s">
        <v>90</v>
      </c>
      <c r="AT9714" t="s">
        <v>58</v>
      </c>
      <c r="AU9714" t="s">
        <v>68</v>
      </c>
      <c r="AV9714" t="s">
        <v>69</v>
      </c>
      <c r="AW9714" s="1">
        <v>23775</v>
      </c>
      <c r="AX9714">
        <v>1</v>
      </c>
    </row>
    <row r="9715" spans="1:50">
      <c r="B9715" t="str">
        <f>"138394712"</f>
        <v>138394712</v>
      </c>
      <c r="C9715" t="s">
        <v>50</v>
      </c>
      <c r="D9715" t="s">
        <v>7409</v>
      </c>
      <c r="E9715" t="s">
        <v>83</v>
      </c>
      <c r="F9715" t="s">
        <v>510</v>
      </c>
      <c r="G9715" t="s">
        <v>12300</v>
      </c>
      <c r="H9715" t="str">
        <f>"Ρωμανιώλη 8 ΑΙΓΙΟ"</f>
        <v>Ρωμανιώλη 8 ΑΙΓΙΟ</v>
      </c>
      <c r="I9715">
        <v>25100</v>
      </c>
      <c r="K9715">
        <v>6978697628</v>
      </c>
      <c r="M9715" t="s">
        <v>14671</v>
      </c>
      <c r="N9715" t="s">
        <v>615</v>
      </c>
      <c r="O9715" t="s">
        <v>616</v>
      </c>
      <c r="R9715" t="s">
        <v>159</v>
      </c>
      <c r="S9715">
        <v>3</v>
      </c>
      <c r="T9715" t="s">
        <v>8717</v>
      </c>
      <c r="U9715" s="1">
        <v>43348</v>
      </c>
      <c r="V9715" t="s">
        <v>89</v>
      </c>
      <c r="W9715" t="s">
        <v>90</v>
      </c>
      <c r="X9715" t="s">
        <v>58</v>
      </c>
      <c r="Y9715">
        <v>24</v>
      </c>
      <c r="Z9715" t="s">
        <v>59</v>
      </c>
      <c r="AA9715" t="s">
        <v>59</v>
      </c>
      <c r="AB9715" t="s">
        <v>59</v>
      </c>
      <c r="AD9715" t="s">
        <v>59</v>
      </c>
      <c r="AF9715" s="1">
        <v>43348</v>
      </c>
      <c r="AG9715" t="s">
        <v>8645</v>
      </c>
      <c r="AH9715" t="s">
        <v>8646</v>
      </c>
      <c r="AI9715" t="str">
        <f>"9500070"</f>
        <v>9500070</v>
      </c>
      <c r="AJ9715" t="s">
        <v>14221</v>
      </c>
      <c r="AK9715">
        <v>2821095817</v>
      </c>
      <c r="AL9715" t="s">
        <v>14222</v>
      </c>
      <c r="AM9715" t="s">
        <v>88</v>
      </c>
      <c r="AN9715" t="s">
        <v>88</v>
      </c>
      <c r="AO9715" t="s">
        <v>88</v>
      </c>
      <c r="AP9715" t="s">
        <v>88</v>
      </c>
      <c r="AQ9715">
        <v>1</v>
      </c>
      <c r="AR9715" t="s">
        <v>89</v>
      </c>
      <c r="AS9715" t="s">
        <v>90</v>
      </c>
      <c r="AT9715" t="s">
        <v>58</v>
      </c>
      <c r="AU9715" t="s">
        <v>8720</v>
      </c>
      <c r="AV9715" t="s">
        <v>132</v>
      </c>
      <c r="AW9715" s="1">
        <v>32814</v>
      </c>
      <c r="AX9715">
        <v>1</v>
      </c>
    </row>
    <row r="9716" spans="1:50">
      <c r="B9716" t="str">
        <f>"102707434"</f>
        <v>102707434</v>
      </c>
      <c r="C9716" t="s">
        <v>50</v>
      </c>
      <c r="D9716" t="s">
        <v>7410</v>
      </c>
      <c r="E9716" t="s">
        <v>484</v>
      </c>
      <c r="F9716" t="s">
        <v>72</v>
      </c>
      <c r="G9716" t="s">
        <v>96</v>
      </c>
      <c r="H9716" t="str">
        <f>"ΚΛΕΜΑΝΣΩ  48 ΞΑΝΘΗ"</f>
        <v>ΚΛΕΜΑΝΣΩ  48 ΞΑΝΘΗ</v>
      </c>
      <c r="I9716">
        <v>67100</v>
      </c>
      <c r="J9716">
        <v>2541020388</v>
      </c>
      <c r="K9716">
        <v>6946232529</v>
      </c>
      <c r="L9716">
        <v>6944816051</v>
      </c>
      <c r="N9716" t="s">
        <v>615</v>
      </c>
      <c r="O9716" t="s">
        <v>616</v>
      </c>
      <c r="R9716" t="s">
        <v>159</v>
      </c>
      <c r="S9716">
        <v>3</v>
      </c>
      <c r="T9716" t="s">
        <v>8675</v>
      </c>
      <c r="U9716" s="1">
        <v>43348</v>
      </c>
      <c r="V9716" t="s">
        <v>89</v>
      </c>
      <c r="W9716" t="s">
        <v>90</v>
      </c>
      <c r="X9716" t="s">
        <v>58</v>
      </c>
      <c r="Y9716">
        <v>24</v>
      </c>
      <c r="Z9716" t="s">
        <v>59</v>
      </c>
      <c r="AA9716" t="s">
        <v>59</v>
      </c>
      <c r="AB9716" t="s">
        <v>59</v>
      </c>
      <c r="AC9716" t="s">
        <v>59</v>
      </c>
      <c r="AD9716" t="s">
        <v>59</v>
      </c>
      <c r="AF9716" s="1">
        <v>43348</v>
      </c>
      <c r="AG9716" t="s">
        <v>8645</v>
      </c>
      <c r="AH9716" t="s">
        <v>8646</v>
      </c>
      <c r="AI9716" t="str">
        <f>"9500041"</f>
        <v>9500041</v>
      </c>
      <c r="AJ9716" t="s">
        <v>13944</v>
      </c>
      <c r="AK9716">
        <v>2821028218</v>
      </c>
      <c r="AL9716" t="s">
        <v>13945</v>
      </c>
      <c r="AM9716" t="s">
        <v>88</v>
      </c>
      <c r="AN9716" t="s">
        <v>88</v>
      </c>
      <c r="AO9716" t="s">
        <v>88</v>
      </c>
      <c r="AP9716" t="s">
        <v>88</v>
      </c>
      <c r="AQ9716">
        <v>1</v>
      </c>
      <c r="AR9716" t="s">
        <v>89</v>
      </c>
      <c r="AS9716" t="s">
        <v>90</v>
      </c>
      <c r="AT9716" t="s">
        <v>58</v>
      </c>
      <c r="AU9716" t="s">
        <v>8673</v>
      </c>
      <c r="AV9716" t="s">
        <v>132</v>
      </c>
      <c r="AW9716" s="1">
        <v>29398</v>
      </c>
      <c r="AX9716">
        <v>1</v>
      </c>
    </row>
    <row r="9717" spans="1:50">
      <c r="B9717" t="str">
        <f>"071655370"</f>
        <v>071655370</v>
      </c>
      <c r="C9717" t="s">
        <v>50</v>
      </c>
      <c r="D9717" t="s">
        <v>10124</v>
      </c>
      <c r="E9717" t="s">
        <v>250</v>
      </c>
      <c r="F9717" t="s">
        <v>383</v>
      </c>
      <c r="G9717" t="s">
        <v>414</v>
      </c>
      <c r="H9717" t="str">
        <f>"ΓΑΛΛΟΥ ΡΕΘΥΜΝΟ"</f>
        <v>ΓΑΛΛΟΥ ΡΕΘΥΜΝΟ</v>
      </c>
      <c r="I9717">
        <v>74100</v>
      </c>
      <c r="J9717">
        <v>2831055579</v>
      </c>
      <c r="K9717">
        <v>6936704854</v>
      </c>
      <c r="N9717" t="s">
        <v>11371</v>
      </c>
      <c r="O9717" t="s">
        <v>11372</v>
      </c>
      <c r="R9717" t="s">
        <v>159</v>
      </c>
      <c r="S9717">
        <v>5</v>
      </c>
      <c r="T9717" t="s">
        <v>8696</v>
      </c>
      <c r="U9717" s="1">
        <v>43348</v>
      </c>
      <c r="V9717" t="s">
        <v>89</v>
      </c>
      <c r="W9717" t="s">
        <v>90</v>
      </c>
      <c r="X9717" t="s">
        <v>58</v>
      </c>
      <c r="Y9717">
        <v>24</v>
      </c>
      <c r="Z9717" t="s">
        <v>59</v>
      </c>
      <c r="AA9717" t="s">
        <v>59</v>
      </c>
      <c r="AB9717" t="s">
        <v>59</v>
      </c>
      <c r="AC9717" t="s">
        <v>59</v>
      </c>
      <c r="AD9717" t="s">
        <v>59</v>
      </c>
      <c r="AF9717" s="1">
        <v>43348</v>
      </c>
      <c r="AG9717" t="s">
        <v>8645</v>
      </c>
      <c r="AH9717" t="s">
        <v>8697</v>
      </c>
      <c r="AI9717" t="str">
        <f>"9521567"</f>
        <v>9521567</v>
      </c>
      <c r="AJ9717" t="s">
        <v>14148</v>
      </c>
      <c r="AK9717">
        <v>2821086921</v>
      </c>
      <c r="AL9717" t="s">
        <v>14149</v>
      </c>
      <c r="AM9717" t="s">
        <v>88</v>
      </c>
      <c r="AN9717" t="s">
        <v>88</v>
      </c>
      <c r="AO9717" t="s">
        <v>88</v>
      </c>
      <c r="AP9717" t="s">
        <v>88</v>
      </c>
      <c r="AQ9717">
        <v>1</v>
      </c>
      <c r="AR9717" t="s">
        <v>89</v>
      </c>
      <c r="AS9717" t="s">
        <v>90</v>
      </c>
      <c r="AT9717" t="s">
        <v>58</v>
      </c>
      <c r="AU9717" t="s">
        <v>350</v>
      </c>
      <c r="AV9717" t="s">
        <v>132</v>
      </c>
      <c r="AW9717" s="1">
        <v>25020</v>
      </c>
      <c r="AX9717">
        <v>1</v>
      </c>
    </row>
    <row r="9718" spans="1:50">
      <c r="A9718">
        <v>618450</v>
      </c>
      <c r="B9718" t="str">
        <f>"130448030"</f>
        <v>130448030</v>
      </c>
      <c r="C9718" t="s">
        <v>50</v>
      </c>
      <c r="D9718" t="s">
        <v>10124</v>
      </c>
      <c r="E9718" t="s">
        <v>2136</v>
      </c>
      <c r="F9718" t="s">
        <v>92</v>
      </c>
      <c r="G9718" t="s">
        <v>52</v>
      </c>
      <c r="H9718" t="str">
        <f>"ΠΑΡ. ΕΜΜ. ΚΛΑΔΟΥ ΒΛΗΤΕΣ-ΣΟΥΔΑΣ"</f>
        <v>ΠΑΡ. ΕΜΜ. ΚΛΑΔΟΥ ΒΛΗΤΕΣ-ΣΟΥΔΑΣ</v>
      </c>
      <c r="I9718">
        <v>73200</v>
      </c>
      <c r="J9718">
        <v>2821081946</v>
      </c>
      <c r="K9718">
        <v>6944819165</v>
      </c>
      <c r="N9718" t="s">
        <v>615</v>
      </c>
      <c r="O9718" t="s">
        <v>616</v>
      </c>
      <c r="R9718" t="s">
        <v>57</v>
      </c>
      <c r="S9718">
        <v>5</v>
      </c>
      <c r="T9718">
        <v>774</v>
      </c>
      <c r="U9718" s="1">
        <v>39680</v>
      </c>
      <c r="V9718" t="s">
        <v>89</v>
      </c>
      <c r="W9718" t="s">
        <v>90</v>
      </c>
      <c r="X9718" t="s">
        <v>58</v>
      </c>
      <c r="Y9718">
        <v>23</v>
      </c>
      <c r="Z9718" t="s">
        <v>59</v>
      </c>
      <c r="AA9718" t="s">
        <v>59</v>
      </c>
      <c r="AB9718" t="s">
        <v>59</v>
      </c>
      <c r="AC9718" t="s">
        <v>59</v>
      </c>
      <c r="AD9718" t="s">
        <v>59</v>
      </c>
      <c r="AF9718" s="1">
        <v>39680</v>
      </c>
      <c r="AG9718" t="s">
        <v>8645</v>
      </c>
      <c r="AH9718" t="s">
        <v>8646</v>
      </c>
      <c r="AI9718" t="str">
        <f>"9500139"</f>
        <v>9500139</v>
      </c>
      <c r="AJ9718" t="s">
        <v>14050</v>
      </c>
      <c r="AK9718">
        <v>2821096819</v>
      </c>
      <c r="AL9718" t="s">
        <v>14051</v>
      </c>
      <c r="AM9718" t="s">
        <v>88</v>
      </c>
      <c r="AN9718" t="s">
        <v>88</v>
      </c>
      <c r="AO9718" t="s">
        <v>88</v>
      </c>
      <c r="AP9718" t="s">
        <v>88</v>
      </c>
      <c r="AQ9718">
        <v>1</v>
      </c>
      <c r="AR9718" t="s">
        <v>89</v>
      </c>
      <c r="AS9718" t="s">
        <v>90</v>
      </c>
      <c r="AT9718" t="s">
        <v>58</v>
      </c>
      <c r="AU9718" t="s">
        <v>68</v>
      </c>
      <c r="AV9718" t="s">
        <v>69</v>
      </c>
      <c r="AW9718" s="1">
        <v>30994</v>
      </c>
      <c r="AX9718">
        <v>1</v>
      </c>
    </row>
    <row r="9719" spans="1:50">
      <c r="A9719">
        <v>559976</v>
      </c>
      <c r="B9719" t="str">
        <f>"101592573"</f>
        <v>101592573</v>
      </c>
      <c r="C9719" t="s">
        <v>50</v>
      </c>
      <c r="D9719" t="s">
        <v>10124</v>
      </c>
      <c r="E9719" t="s">
        <v>181</v>
      </c>
      <c r="F9719" t="s">
        <v>920</v>
      </c>
      <c r="G9719" t="s">
        <v>699</v>
      </c>
      <c r="H9719" t="str">
        <f>"ΚΑΛΑΘΑΣ ΑΚΡΩΤΗΡΙΟΥ ΚΑΛΑΘΑΣ"</f>
        <v>ΚΑΛΑΘΑΣ ΑΚΡΩΤΗΡΙΟΥ ΚΑΛΑΘΑΣ</v>
      </c>
      <c r="I9719">
        <v>73100</v>
      </c>
      <c r="J9719">
        <v>2821069875</v>
      </c>
      <c r="K9719">
        <v>6976650582</v>
      </c>
      <c r="L9719">
        <v>2821069875</v>
      </c>
      <c r="N9719" t="s">
        <v>615</v>
      </c>
      <c r="O9719" t="s">
        <v>616</v>
      </c>
      <c r="R9719" t="s">
        <v>57</v>
      </c>
      <c r="S9719">
        <v>15</v>
      </c>
      <c r="T9719">
        <v>175</v>
      </c>
      <c r="U9719" s="1">
        <v>32020</v>
      </c>
      <c r="V9719" t="s">
        <v>89</v>
      </c>
      <c r="W9719" t="s">
        <v>90</v>
      </c>
      <c r="X9719" t="s">
        <v>58</v>
      </c>
      <c r="Y9719">
        <v>21</v>
      </c>
      <c r="Z9719" t="s">
        <v>59</v>
      </c>
      <c r="AA9719" t="s">
        <v>59</v>
      </c>
      <c r="AB9719" t="s">
        <v>59</v>
      </c>
      <c r="AC9719" t="s">
        <v>59</v>
      </c>
      <c r="AD9719" t="s">
        <v>59</v>
      </c>
      <c r="AF9719" s="1">
        <v>32020</v>
      </c>
      <c r="AG9719" t="s">
        <v>8645</v>
      </c>
      <c r="AH9719" t="s">
        <v>8646</v>
      </c>
      <c r="AI9719" t="str">
        <f>"9500075"</f>
        <v>9500075</v>
      </c>
      <c r="AJ9719" t="s">
        <v>13955</v>
      </c>
      <c r="AK9719">
        <v>2821046505</v>
      </c>
      <c r="AL9719" t="s">
        <v>13956</v>
      </c>
      <c r="AM9719" t="s">
        <v>88</v>
      </c>
      <c r="AN9719" t="s">
        <v>88</v>
      </c>
      <c r="AO9719" t="s">
        <v>88</v>
      </c>
      <c r="AP9719" t="s">
        <v>88</v>
      </c>
      <c r="AQ9719">
        <v>1</v>
      </c>
      <c r="AR9719" t="s">
        <v>89</v>
      </c>
      <c r="AS9719" t="s">
        <v>90</v>
      </c>
      <c r="AT9719" t="s">
        <v>58</v>
      </c>
      <c r="AU9719" t="s">
        <v>68</v>
      </c>
      <c r="AV9719" t="s">
        <v>69</v>
      </c>
      <c r="AW9719" s="1">
        <v>23346</v>
      </c>
      <c r="AX9719">
        <v>1</v>
      </c>
    </row>
    <row r="9720" spans="1:50">
      <c r="B9720" t="str">
        <f>"135208637"</f>
        <v>135208637</v>
      </c>
      <c r="C9720" t="s">
        <v>50</v>
      </c>
      <c r="D9720" t="s">
        <v>14672</v>
      </c>
      <c r="E9720" t="s">
        <v>109</v>
      </c>
      <c r="F9720" t="s">
        <v>693</v>
      </c>
      <c r="G9720" t="s">
        <v>964</v>
      </c>
      <c r="H9720" t="str">
        <f>"ΣΙΓΑΝΟΥ ΠΑΡΕΝ ΣΟΔΥ "</f>
        <v xml:space="preserve">ΣΙΓΑΝΟΥ ΠΑΡΕΝ ΣΟΔΥ </v>
      </c>
      <c r="I9720">
        <v>73134</v>
      </c>
      <c r="J9720">
        <v>2821055355</v>
      </c>
      <c r="K9720">
        <v>6972856773</v>
      </c>
      <c r="N9720" t="s">
        <v>1525</v>
      </c>
      <c r="O9720" t="s">
        <v>1526</v>
      </c>
      <c r="R9720" t="s">
        <v>159</v>
      </c>
      <c r="S9720">
        <v>4</v>
      </c>
      <c r="T9720" t="s">
        <v>8670</v>
      </c>
      <c r="U9720" s="1">
        <v>43348</v>
      </c>
      <c r="V9720" t="s">
        <v>89</v>
      </c>
      <c r="W9720" t="s">
        <v>90</v>
      </c>
      <c r="X9720" t="s">
        <v>58</v>
      </c>
      <c r="Y9720">
        <v>25</v>
      </c>
      <c r="Z9720" t="s">
        <v>59</v>
      </c>
      <c r="AA9720" t="s">
        <v>59</v>
      </c>
      <c r="AB9720" t="s">
        <v>59</v>
      </c>
      <c r="AC9720" t="s">
        <v>59</v>
      </c>
      <c r="AD9720" t="s">
        <v>59</v>
      </c>
      <c r="AF9720" s="1">
        <v>43348</v>
      </c>
      <c r="AG9720" t="s">
        <v>8651</v>
      </c>
      <c r="AH9720" t="s">
        <v>8652</v>
      </c>
      <c r="AI9720" t="str">
        <f>"9500273"</f>
        <v>9500273</v>
      </c>
      <c r="AJ9720" t="s">
        <v>14109</v>
      </c>
      <c r="AK9720">
        <v>2821038005</v>
      </c>
      <c r="AL9720" t="s">
        <v>14110</v>
      </c>
      <c r="AM9720" t="s">
        <v>88</v>
      </c>
      <c r="AN9720" t="s">
        <v>6764</v>
      </c>
      <c r="AO9720" t="s">
        <v>6764</v>
      </c>
      <c r="AP9720" t="s">
        <v>6764</v>
      </c>
      <c r="AQ9720">
        <v>5</v>
      </c>
      <c r="AR9720" t="s">
        <v>89</v>
      </c>
      <c r="AS9720" t="s">
        <v>90</v>
      </c>
      <c r="AT9720" t="s">
        <v>58</v>
      </c>
      <c r="AU9720" t="s">
        <v>8673</v>
      </c>
      <c r="AV9720" t="s">
        <v>132</v>
      </c>
      <c r="AW9720" s="1">
        <v>31078</v>
      </c>
      <c r="AX9720">
        <v>1</v>
      </c>
    </row>
    <row r="9721" spans="1:50">
      <c r="B9721" t="str">
        <f>"113611337"</f>
        <v>113611337</v>
      </c>
      <c r="C9721" t="s">
        <v>50</v>
      </c>
      <c r="D9721" t="s">
        <v>14672</v>
      </c>
      <c r="E9721" t="s">
        <v>809</v>
      </c>
      <c r="F9721" t="s">
        <v>760</v>
      </c>
      <c r="G9721" t="s">
        <v>109</v>
      </c>
      <c r="H9721" t="str">
        <f>" "</f>
        <v xml:space="preserve"> </v>
      </c>
      <c r="N9721" t="s">
        <v>9829</v>
      </c>
      <c r="O9721" t="s">
        <v>9830</v>
      </c>
      <c r="R9721" t="s">
        <v>121</v>
      </c>
      <c r="S9721">
        <v>3</v>
      </c>
      <c r="T9721" t="s">
        <v>8696</v>
      </c>
      <c r="U9721" s="1">
        <v>43348</v>
      </c>
      <c r="V9721" t="s">
        <v>89</v>
      </c>
      <c r="W9721" t="s">
        <v>90</v>
      </c>
      <c r="X9721" t="s">
        <v>58</v>
      </c>
      <c r="Y9721">
        <v>25</v>
      </c>
      <c r="Z9721" t="s">
        <v>59</v>
      </c>
      <c r="AA9721" t="s">
        <v>59</v>
      </c>
      <c r="AB9721" t="s">
        <v>59</v>
      </c>
      <c r="AD9721" t="s">
        <v>59</v>
      </c>
      <c r="AF9721" s="1">
        <v>43348</v>
      </c>
      <c r="AG9721" t="s">
        <v>8651</v>
      </c>
      <c r="AH9721" t="s">
        <v>8652</v>
      </c>
      <c r="AI9721" t="str">
        <f>"9500299"</f>
        <v>9500299</v>
      </c>
      <c r="AJ9721" t="s">
        <v>14567</v>
      </c>
      <c r="AK9721">
        <v>2821009110</v>
      </c>
      <c r="AL9721" t="s">
        <v>14568</v>
      </c>
      <c r="AM9721" t="s">
        <v>88</v>
      </c>
      <c r="AN9721" t="s">
        <v>88</v>
      </c>
      <c r="AO9721" t="s">
        <v>6770</v>
      </c>
      <c r="AP9721" t="s">
        <v>6771</v>
      </c>
      <c r="AQ9721">
        <v>2</v>
      </c>
      <c r="AR9721" t="s">
        <v>89</v>
      </c>
      <c r="AS9721" t="s">
        <v>90</v>
      </c>
      <c r="AT9721" t="s">
        <v>58</v>
      </c>
      <c r="AU9721" t="s">
        <v>350</v>
      </c>
      <c r="AV9721" t="s">
        <v>132</v>
      </c>
      <c r="AW9721" s="1">
        <v>33273</v>
      </c>
      <c r="AX9721">
        <v>1</v>
      </c>
    </row>
    <row r="9722" spans="1:50">
      <c r="A9722">
        <v>618351</v>
      </c>
      <c r="B9722" t="str">
        <f>"112358110"</f>
        <v>112358110</v>
      </c>
      <c r="C9722" t="s">
        <v>50</v>
      </c>
      <c r="D9722" t="s">
        <v>14673</v>
      </c>
      <c r="E9722" t="s">
        <v>14674</v>
      </c>
      <c r="F9722" t="s">
        <v>166</v>
      </c>
      <c r="G9722" t="s">
        <v>52</v>
      </c>
      <c r="H9722" t="str">
        <f>"ΤΣΙΚΑΛΑΡΙΩΝ 57 ΧΑΝΙΑ"</f>
        <v>ΤΣΙΚΑΛΑΡΙΩΝ 57 ΧΑΝΙΑ</v>
      </c>
      <c r="I9722">
        <v>73200</v>
      </c>
      <c r="J9722">
        <v>2821089750</v>
      </c>
      <c r="K9722">
        <v>6946095023</v>
      </c>
      <c r="N9722" t="s">
        <v>615</v>
      </c>
      <c r="O9722" t="s">
        <v>616</v>
      </c>
      <c r="R9722" t="s">
        <v>57</v>
      </c>
      <c r="S9722">
        <v>5</v>
      </c>
      <c r="T9722">
        <v>774</v>
      </c>
      <c r="U9722" s="1">
        <v>39680</v>
      </c>
      <c r="V9722" t="s">
        <v>89</v>
      </c>
      <c r="W9722" t="s">
        <v>90</v>
      </c>
      <c r="X9722" t="s">
        <v>58</v>
      </c>
      <c r="Y9722">
        <v>23</v>
      </c>
      <c r="Z9722" t="s">
        <v>59</v>
      </c>
      <c r="AA9722" t="s">
        <v>59</v>
      </c>
      <c r="AB9722" t="s">
        <v>59</v>
      </c>
      <c r="AC9722" t="s">
        <v>59</v>
      </c>
      <c r="AD9722" t="s">
        <v>59</v>
      </c>
      <c r="AF9722" s="1">
        <v>39680</v>
      </c>
      <c r="AG9722" t="s">
        <v>8645</v>
      </c>
      <c r="AH9722" t="s">
        <v>8646</v>
      </c>
      <c r="AI9722" t="str">
        <f>"9500407"</f>
        <v>9500407</v>
      </c>
      <c r="AJ9722" t="s">
        <v>13867</v>
      </c>
      <c r="AK9722">
        <v>2821089224</v>
      </c>
      <c r="AL9722" t="s">
        <v>13868</v>
      </c>
      <c r="AM9722" t="s">
        <v>88</v>
      </c>
      <c r="AN9722" t="s">
        <v>88</v>
      </c>
      <c r="AO9722" t="s">
        <v>6748</v>
      </c>
      <c r="AP9722" t="s">
        <v>6748</v>
      </c>
      <c r="AQ9722">
        <v>2</v>
      </c>
      <c r="AR9722" t="s">
        <v>89</v>
      </c>
      <c r="AS9722" t="s">
        <v>90</v>
      </c>
      <c r="AT9722" t="s">
        <v>58</v>
      </c>
      <c r="AU9722" t="s">
        <v>68</v>
      </c>
      <c r="AV9722" t="s">
        <v>69</v>
      </c>
      <c r="AW9722" s="1">
        <v>31098</v>
      </c>
      <c r="AX9722">
        <v>1</v>
      </c>
    </row>
    <row r="9723" spans="1:50">
      <c r="B9723" t="str">
        <f>"144019627"</f>
        <v>144019627</v>
      </c>
      <c r="C9723" t="s">
        <v>50</v>
      </c>
      <c r="D9723" t="s">
        <v>14675</v>
      </c>
      <c r="E9723" t="s">
        <v>9336</v>
      </c>
      <c r="F9723" t="s">
        <v>166</v>
      </c>
      <c r="G9723" t="s">
        <v>263</v>
      </c>
      <c r="H9723" t="str">
        <f>"ΝΕΡΟΚΟΥΡΟΥ-ΤΖΟΜΠΑΝΑ "</f>
        <v xml:space="preserve">ΝΕΡΟΚΟΥΡΟΥ-ΤΖΟΜΠΑΝΑ </v>
      </c>
      <c r="I9723">
        <v>73100</v>
      </c>
      <c r="J9723">
        <v>2821074950</v>
      </c>
      <c r="K9723">
        <v>6973935524</v>
      </c>
      <c r="N9723" t="s">
        <v>615</v>
      </c>
      <c r="O9723" t="s">
        <v>616</v>
      </c>
      <c r="R9723" t="s">
        <v>159</v>
      </c>
      <c r="S9723">
        <v>3</v>
      </c>
      <c r="T9723" t="s">
        <v>8675</v>
      </c>
      <c r="U9723" s="1">
        <v>43348</v>
      </c>
      <c r="V9723" t="s">
        <v>89</v>
      </c>
      <c r="W9723" t="s">
        <v>90</v>
      </c>
      <c r="X9723" t="s">
        <v>58</v>
      </c>
      <c r="Y9723">
        <v>24</v>
      </c>
      <c r="Z9723" t="s">
        <v>59</v>
      </c>
      <c r="AA9723" t="s">
        <v>59</v>
      </c>
      <c r="AB9723" t="s">
        <v>59</v>
      </c>
      <c r="AC9723" t="s">
        <v>59</v>
      </c>
      <c r="AD9723" t="s">
        <v>59</v>
      </c>
      <c r="AF9723" s="1">
        <v>43348</v>
      </c>
      <c r="AG9723" t="s">
        <v>8645</v>
      </c>
      <c r="AH9723" t="s">
        <v>8646</v>
      </c>
      <c r="AI9723" t="str">
        <f>"9500160"</f>
        <v>9500160</v>
      </c>
      <c r="AJ9723" t="s">
        <v>14486</v>
      </c>
      <c r="AK9723">
        <v>2821062458</v>
      </c>
      <c r="AL9723" t="s">
        <v>14487</v>
      </c>
      <c r="AM9723" t="s">
        <v>88</v>
      </c>
      <c r="AN9723" t="s">
        <v>6764</v>
      </c>
      <c r="AO9723" t="s">
        <v>6764</v>
      </c>
      <c r="AP9723" t="s">
        <v>14488</v>
      </c>
      <c r="AQ9723">
        <v>5</v>
      </c>
      <c r="AR9723" t="s">
        <v>89</v>
      </c>
      <c r="AS9723" t="s">
        <v>90</v>
      </c>
      <c r="AT9723" t="s">
        <v>58</v>
      </c>
      <c r="AU9723" t="s">
        <v>8673</v>
      </c>
      <c r="AV9723" t="s">
        <v>132</v>
      </c>
      <c r="AW9723" s="1">
        <v>31971</v>
      </c>
      <c r="AX9723">
        <v>1</v>
      </c>
    </row>
    <row r="9724" spans="1:50">
      <c r="A9724">
        <v>567078</v>
      </c>
      <c r="B9724" t="str">
        <f>"113170195"</f>
        <v>113170195</v>
      </c>
      <c r="C9724" t="s">
        <v>50</v>
      </c>
      <c r="D9724" t="s">
        <v>14675</v>
      </c>
      <c r="E9724" t="s">
        <v>52</v>
      </c>
      <c r="F9724" t="s">
        <v>383</v>
      </c>
      <c r="G9724" t="s">
        <v>801</v>
      </c>
      <c r="H9724" t="str">
        <f>"ΟΜΑΛΟΥ 4 ΧΑΝΙΑ"</f>
        <v>ΟΜΑΛΟΥ 4 ΧΑΝΙΑ</v>
      </c>
      <c r="I9724">
        <v>73133</v>
      </c>
      <c r="J9724">
        <v>2821042407</v>
      </c>
      <c r="K9724">
        <v>6939200381</v>
      </c>
      <c r="L9724">
        <v>2821042407</v>
      </c>
      <c r="M9724" t="s">
        <v>14676</v>
      </c>
      <c r="N9724" t="s">
        <v>615</v>
      </c>
      <c r="O9724" t="s">
        <v>616</v>
      </c>
      <c r="R9724" t="s">
        <v>57</v>
      </c>
      <c r="S9724">
        <v>15</v>
      </c>
      <c r="T9724">
        <v>133</v>
      </c>
      <c r="U9724" s="1">
        <v>33456</v>
      </c>
      <c r="V9724" t="s">
        <v>89</v>
      </c>
      <c r="W9724" t="s">
        <v>90</v>
      </c>
      <c r="X9724" t="s">
        <v>58</v>
      </c>
      <c r="Y9724">
        <v>21</v>
      </c>
      <c r="Z9724" t="s">
        <v>59</v>
      </c>
      <c r="AA9724" t="s">
        <v>59</v>
      </c>
      <c r="AB9724" t="s">
        <v>59</v>
      </c>
      <c r="AC9724" t="s">
        <v>59</v>
      </c>
      <c r="AD9724" t="s">
        <v>59</v>
      </c>
      <c r="AF9724" s="1">
        <v>33456</v>
      </c>
      <c r="AG9724" t="s">
        <v>8645</v>
      </c>
      <c r="AH9724" t="s">
        <v>8646</v>
      </c>
      <c r="AI9724" t="str">
        <f>"9500038"</f>
        <v>9500038</v>
      </c>
      <c r="AJ9724" t="s">
        <v>13899</v>
      </c>
      <c r="AK9724">
        <v>2821042407</v>
      </c>
      <c r="AL9724" t="s">
        <v>13900</v>
      </c>
      <c r="AM9724" t="s">
        <v>88</v>
      </c>
      <c r="AN9724" t="s">
        <v>88</v>
      </c>
      <c r="AO9724" t="s">
        <v>88</v>
      </c>
      <c r="AP9724" t="s">
        <v>88</v>
      </c>
      <c r="AQ9724">
        <v>1</v>
      </c>
      <c r="AR9724" t="s">
        <v>89</v>
      </c>
      <c r="AS9724" t="s">
        <v>90</v>
      </c>
      <c r="AT9724" t="s">
        <v>58</v>
      </c>
      <c r="AU9724" t="s">
        <v>68</v>
      </c>
      <c r="AV9724" t="s">
        <v>69</v>
      </c>
      <c r="AW9724" s="1">
        <v>22712</v>
      </c>
      <c r="AX9724">
        <v>1</v>
      </c>
    </row>
    <row r="9725" spans="1:50">
      <c r="A9725">
        <v>606011</v>
      </c>
      <c r="B9725" t="str">
        <f>"101561050"</f>
        <v>101561050</v>
      </c>
      <c r="C9725" t="s">
        <v>50</v>
      </c>
      <c r="D9725" t="s">
        <v>14677</v>
      </c>
      <c r="E9725" t="s">
        <v>809</v>
      </c>
      <c r="F9725" t="s">
        <v>1414</v>
      </c>
      <c r="G9725" t="s">
        <v>83</v>
      </c>
      <c r="H9725" t="str">
        <f>"Ε. ΠΙΜΠΛΗ 31 ΧΑΝΙΑ"</f>
        <v>Ε. ΠΙΜΠΛΗ 31 ΧΑΝΙΑ</v>
      </c>
      <c r="I9725">
        <v>73134</v>
      </c>
      <c r="J9725">
        <v>2821050386</v>
      </c>
      <c r="K9725">
        <v>6932247355</v>
      </c>
      <c r="N9725" t="s">
        <v>1525</v>
      </c>
      <c r="O9725" t="s">
        <v>1526</v>
      </c>
      <c r="R9725" t="s">
        <v>57</v>
      </c>
      <c r="S9725">
        <v>10</v>
      </c>
      <c r="T9725">
        <v>231</v>
      </c>
      <c r="U9725" s="1">
        <v>38230</v>
      </c>
      <c r="V9725" t="s">
        <v>89</v>
      </c>
      <c r="W9725" t="s">
        <v>90</v>
      </c>
      <c r="X9725" t="s">
        <v>58</v>
      </c>
      <c r="Y9725">
        <v>25</v>
      </c>
      <c r="Z9725" t="s">
        <v>59</v>
      </c>
      <c r="AA9725" t="s">
        <v>59</v>
      </c>
      <c r="AB9725" t="s">
        <v>59</v>
      </c>
      <c r="AC9725" t="s">
        <v>59</v>
      </c>
      <c r="AD9725" t="s">
        <v>59</v>
      </c>
      <c r="AF9725" s="1">
        <v>38230</v>
      </c>
      <c r="AG9725" t="s">
        <v>8651</v>
      </c>
      <c r="AH9725" t="s">
        <v>8652</v>
      </c>
      <c r="AI9725" t="str">
        <f>"9500039"</f>
        <v>9500039</v>
      </c>
      <c r="AJ9725" t="s">
        <v>14511</v>
      </c>
      <c r="AK9725">
        <v>2821045625</v>
      </c>
      <c r="AL9725" t="s">
        <v>14512</v>
      </c>
      <c r="AM9725" t="s">
        <v>88</v>
      </c>
      <c r="AN9725" t="s">
        <v>88</v>
      </c>
      <c r="AO9725" t="s">
        <v>88</v>
      </c>
      <c r="AP9725" t="s">
        <v>88</v>
      </c>
      <c r="AQ9725">
        <v>1</v>
      </c>
      <c r="AR9725" t="s">
        <v>89</v>
      </c>
      <c r="AS9725" t="s">
        <v>90</v>
      </c>
      <c r="AT9725" t="s">
        <v>58</v>
      </c>
      <c r="AU9725" t="s">
        <v>68</v>
      </c>
      <c r="AV9725" t="s">
        <v>69</v>
      </c>
      <c r="AW9725" s="1">
        <v>23676</v>
      </c>
      <c r="AX9725">
        <v>1</v>
      </c>
    </row>
    <row r="9726" spans="1:50">
      <c r="A9726">
        <v>568704</v>
      </c>
      <c r="B9726" t="str">
        <f>"034764481"</f>
        <v>034764481</v>
      </c>
      <c r="C9726" t="s">
        <v>50</v>
      </c>
      <c r="D9726" t="s">
        <v>14678</v>
      </c>
      <c r="E9726" t="s">
        <v>460</v>
      </c>
      <c r="F9726" t="s">
        <v>106</v>
      </c>
      <c r="G9726" t="s">
        <v>1361</v>
      </c>
      <c r="H9726" t="str">
        <f>"Μ.ΜΕΤΑΞΑΚΗ 32 ΧΑΝΙΑ"</f>
        <v>Μ.ΜΕΤΑΞΑΚΗ 32 ΧΑΝΙΑ</v>
      </c>
      <c r="I9726">
        <v>73100</v>
      </c>
      <c r="J9726">
        <v>2821075165</v>
      </c>
      <c r="K9726">
        <v>6945184348</v>
      </c>
      <c r="N9726" t="s">
        <v>615</v>
      </c>
      <c r="O9726" t="s">
        <v>616</v>
      </c>
      <c r="R9726" t="s">
        <v>57</v>
      </c>
      <c r="S9726">
        <v>14</v>
      </c>
      <c r="T9726">
        <v>162</v>
      </c>
      <c r="U9726" s="1">
        <v>33844</v>
      </c>
      <c r="V9726" t="s">
        <v>89</v>
      </c>
      <c r="W9726" t="s">
        <v>90</v>
      </c>
      <c r="X9726" t="s">
        <v>58</v>
      </c>
      <c r="Y9726">
        <v>21</v>
      </c>
      <c r="Z9726" t="s">
        <v>59</v>
      </c>
      <c r="AA9726" t="s">
        <v>59</v>
      </c>
      <c r="AB9726" t="s">
        <v>59</v>
      </c>
      <c r="AC9726" t="s">
        <v>59</v>
      </c>
      <c r="AD9726" t="s">
        <v>59</v>
      </c>
      <c r="AF9726" s="1">
        <v>33844</v>
      </c>
      <c r="AG9726" t="s">
        <v>8645</v>
      </c>
      <c r="AH9726" t="s">
        <v>8646</v>
      </c>
      <c r="AI9726" t="str">
        <f>"9500147"</f>
        <v>9500147</v>
      </c>
      <c r="AJ9726" t="s">
        <v>14008</v>
      </c>
      <c r="AK9726">
        <v>2821094573</v>
      </c>
      <c r="AL9726" t="s">
        <v>14009</v>
      </c>
      <c r="AM9726" t="s">
        <v>88</v>
      </c>
      <c r="AN9726" t="s">
        <v>88</v>
      </c>
      <c r="AO9726" t="s">
        <v>88</v>
      </c>
      <c r="AP9726" t="s">
        <v>88</v>
      </c>
      <c r="AQ9726">
        <v>1</v>
      </c>
      <c r="AR9726" t="s">
        <v>89</v>
      </c>
      <c r="AS9726" t="s">
        <v>90</v>
      </c>
      <c r="AT9726" t="s">
        <v>58</v>
      </c>
      <c r="AU9726" t="s">
        <v>68</v>
      </c>
      <c r="AV9726" t="s">
        <v>69</v>
      </c>
      <c r="AW9726" s="1">
        <v>23683</v>
      </c>
      <c r="AX9726">
        <v>1</v>
      </c>
    </row>
    <row r="9727" spans="1:50">
      <c r="A9727">
        <v>595887</v>
      </c>
      <c r="B9727" t="str">
        <f>"052809683"</f>
        <v>052809683</v>
      </c>
      <c r="C9727" t="s">
        <v>50</v>
      </c>
      <c r="D9727" t="s">
        <v>14679</v>
      </c>
      <c r="E9727" t="s">
        <v>73</v>
      </c>
      <c r="F9727" t="s">
        <v>640</v>
      </c>
      <c r="G9727" t="s">
        <v>9078</v>
      </c>
      <c r="H9727" t="str">
        <f>"Ν.ΜΑΡΙΑΚΑΚΗ 24 ΧΑΝΙΑ"</f>
        <v>Ν.ΜΑΡΙΑΚΑΚΗ 24 ΧΑΝΙΑ</v>
      </c>
      <c r="I9727">
        <v>73135</v>
      </c>
      <c r="J9727">
        <v>2821075764</v>
      </c>
      <c r="K9727">
        <v>6976723899</v>
      </c>
      <c r="N9727" t="s">
        <v>615</v>
      </c>
      <c r="O9727" t="s">
        <v>616</v>
      </c>
      <c r="R9727" t="s">
        <v>57</v>
      </c>
      <c r="S9727">
        <v>13</v>
      </c>
      <c r="T9727">
        <v>218</v>
      </c>
      <c r="U9727" s="1">
        <v>37134</v>
      </c>
      <c r="V9727" t="s">
        <v>89</v>
      </c>
      <c r="W9727" t="s">
        <v>90</v>
      </c>
      <c r="X9727" t="s">
        <v>58</v>
      </c>
      <c r="Y9727">
        <v>22</v>
      </c>
      <c r="Z9727" t="s">
        <v>59</v>
      </c>
      <c r="AA9727" t="s">
        <v>59</v>
      </c>
      <c r="AB9727" t="s">
        <v>59</v>
      </c>
      <c r="AC9727" t="s">
        <v>59</v>
      </c>
      <c r="AD9727" t="s">
        <v>59</v>
      </c>
      <c r="AF9727" s="1">
        <v>37134</v>
      </c>
      <c r="AG9727" t="s">
        <v>8645</v>
      </c>
      <c r="AH9727" t="s">
        <v>8646</v>
      </c>
      <c r="AI9727" t="str">
        <f>"9500144"</f>
        <v>9500144</v>
      </c>
      <c r="AJ9727" t="s">
        <v>14010</v>
      </c>
      <c r="AK9727">
        <v>2821094171</v>
      </c>
      <c r="AL9727" t="s">
        <v>14011</v>
      </c>
      <c r="AM9727" t="s">
        <v>88</v>
      </c>
      <c r="AN9727" t="s">
        <v>88</v>
      </c>
      <c r="AO9727" t="s">
        <v>88</v>
      </c>
      <c r="AP9727" t="s">
        <v>88</v>
      </c>
      <c r="AQ9727">
        <v>1</v>
      </c>
      <c r="AR9727" t="s">
        <v>89</v>
      </c>
      <c r="AS9727" t="s">
        <v>90</v>
      </c>
      <c r="AT9727" t="s">
        <v>58</v>
      </c>
      <c r="AU9727" t="s">
        <v>68</v>
      </c>
      <c r="AV9727" t="s">
        <v>69</v>
      </c>
      <c r="AW9727" s="1">
        <v>25287</v>
      </c>
      <c r="AX9727">
        <v>1</v>
      </c>
    </row>
    <row r="9728" spans="1:50">
      <c r="A9728">
        <v>593899</v>
      </c>
      <c r="B9728" t="str">
        <f>"062715637"</f>
        <v>062715637</v>
      </c>
      <c r="C9728" t="s">
        <v>50</v>
      </c>
      <c r="D9728" t="s">
        <v>14679</v>
      </c>
      <c r="E9728" t="s">
        <v>52</v>
      </c>
      <c r="F9728" t="s">
        <v>640</v>
      </c>
      <c r="G9728" t="s">
        <v>610</v>
      </c>
      <c r="H9728" t="str">
        <f>"ΑΓΙΑΣ ΛΑΥΡΑΣ 14 ΧΑΝΙΑ"</f>
        <v>ΑΓΙΑΣ ΛΑΥΡΑΣ 14 ΧΑΝΙΑ</v>
      </c>
      <c r="I9728">
        <v>73132</v>
      </c>
      <c r="J9728">
        <v>2821051430</v>
      </c>
      <c r="K9728">
        <v>6973348834</v>
      </c>
      <c r="N9728" t="s">
        <v>615</v>
      </c>
      <c r="O9728" t="s">
        <v>616</v>
      </c>
      <c r="R9728" t="s">
        <v>57</v>
      </c>
      <c r="S9728">
        <v>8</v>
      </c>
      <c r="T9728">
        <v>218</v>
      </c>
      <c r="U9728" s="1">
        <v>37134</v>
      </c>
      <c r="V9728" t="s">
        <v>89</v>
      </c>
      <c r="W9728" t="s">
        <v>90</v>
      </c>
      <c r="X9728" t="s">
        <v>58</v>
      </c>
      <c r="Y9728">
        <v>22</v>
      </c>
      <c r="Z9728" t="s">
        <v>59</v>
      </c>
      <c r="AA9728" t="s">
        <v>59</v>
      </c>
      <c r="AB9728" t="s">
        <v>59</v>
      </c>
      <c r="AC9728" t="s">
        <v>59</v>
      </c>
      <c r="AD9728" t="s">
        <v>59</v>
      </c>
      <c r="AF9728" s="1">
        <v>37134</v>
      </c>
      <c r="AG9728" t="s">
        <v>8645</v>
      </c>
      <c r="AH9728" t="s">
        <v>8646</v>
      </c>
      <c r="AI9728" t="str">
        <f>"9500041"</f>
        <v>9500041</v>
      </c>
      <c r="AJ9728" t="s">
        <v>13944</v>
      </c>
      <c r="AK9728">
        <v>2821028218</v>
      </c>
      <c r="AL9728" t="s">
        <v>13945</v>
      </c>
      <c r="AM9728" t="s">
        <v>88</v>
      </c>
      <c r="AN9728" t="s">
        <v>88</v>
      </c>
      <c r="AO9728" t="s">
        <v>88</v>
      </c>
      <c r="AP9728" t="s">
        <v>88</v>
      </c>
      <c r="AQ9728">
        <v>1</v>
      </c>
      <c r="AR9728" t="s">
        <v>89</v>
      </c>
      <c r="AS9728" t="s">
        <v>90</v>
      </c>
      <c r="AT9728" t="s">
        <v>58</v>
      </c>
      <c r="AU9728" t="s">
        <v>68</v>
      </c>
      <c r="AV9728" t="s">
        <v>69</v>
      </c>
      <c r="AW9728" s="1">
        <v>26732</v>
      </c>
      <c r="AX9728">
        <v>1</v>
      </c>
    </row>
    <row r="9729" spans="1:50">
      <c r="A9729">
        <v>602241</v>
      </c>
      <c r="B9729" t="str">
        <f>"016331298"</f>
        <v>016331298</v>
      </c>
      <c r="C9729" t="s">
        <v>50</v>
      </c>
      <c r="D9729" t="s">
        <v>14680</v>
      </c>
      <c r="E9729" t="s">
        <v>54</v>
      </c>
      <c r="F9729" t="s">
        <v>1506</v>
      </c>
      <c r="G9729" t="s">
        <v>473</v>
      </c>
      <c r="H9729" t="str">
        <f>"ΠΡΙΝΟΥ ΧΑΝΙΑ"</f>
        <v>ΠΡΙΝΟΥ ΧΑΝΙΑ</v>
      </c>
      <c r="I9729">
        <v>73100</v>
      </c>
      <c r="J9729">
        <v>2821049034</v>
      </c>
      <c r="K9729">
        <v>6973623062</v>
      </c>
      <c r="N9729" t="s">
        <v>615</v>
      </c>
      <c r="O9729" t="s">
        <v>616</v>
      </c>
      <c r="R9729" t="s">
        <v>57</v>
      </c>
      <c r="S9729">
        <v>10</v>
      </c>
      <c r="T9729">
        <v>207</v>
      </c>
      <c r="U9729" s="1">
        <v>37866</v>
      </c>
      <c r="V9729" t="s">
        <v>89</v>
      </c>
      <c r="W9729" t="s">
        <v>90</v>
      </c>
      <c r="X9729" t="s">
        <v>58</v>
      </c>
      <c r="Y9729">
        <v>21</v>
      </c>
      <c r="Z9729" t="s">
        <v>59</v>
      </c>
      <c r="AA9729" t="s">
        <v>59</v>
      </c>
      <c r="AB9729" t="s">
        <v>59</v>
      </c>
      <c r="AC9729" t="s">
        <v>59</v>
      </c>
      <c r="AD9729" t="s">
        <v>59</v>
      </c>
      <c r="AF9729" s="1">
        <v>37866</v>
      </c>
      <c r="AG9729" t="s">
        <v>8645</v>
      </c>
      <c r="AH9729" t="s">
        <v>8646</v>
      </c>
      <c r="AI9729" t="str">
        <f>"9500408"</f>
        <v>9500408</v>
      </c>
      <c r="AJ9729" t="s">
        <v>13981</v>
      </c>
      <c r="AK9729">
        <v>2821081655</v>
      </c>
      <c r="AL9729" t="s">
        <v>13982</v>
      </c>
      <c r="AM9729" t="s">
        <v>88</v>
      </c>
      <c r="AN9729" t="s">
        <v>88</v>
      </c>
      <c r="AO9729" t="s">
        <v>6748</v>
      </c>
      <c r="AP9729" t="s">
        <v>6748</v>
      </c>
      <c r="AQ9729">
        <v>2</v>
      </c>
      <c r="AR9729" t="s">
        <v>89</v>
      </c>
      <c r="AS9729" t="s">
        <v>90</v>
      </c>
      <c r="AT9729" t="s">
        <v>58</v>
      </c>
      <c r="AU9729" t="s">
        <v>68</v>
      </c>
      <c r="AV9729" t="s">
        <v>69</v>
      </c>
      <c r="AW9729" s="1">
        <v>26099</v>
      </c>
      <c r="AX9729">
        <v>1</v>
      </c>
    </row>
    <row r="9730" spans="1:50">
      <c r="A9730">
        <v>608543</v>
      </c>
      <c r="B9730" t="str">
        <f>"058935742"</f>
        <v>058935742</v>
      </c>
      <c r="C9730" t="s">
        <v>50</v>
      </c>
      <c r="D9730" t="s">
        <v>14681</v>
      </c>
      <c r="E9730" t="s">
        <v>9782</v>
      </c>
      <c r="F9730" t="s">
        <v>92</v>
      </c>
      <c r="G9730" t="s">
        <v>1764</v>
      </c>
      <c r="H9730" t="str">
        <f>"ΨΙΛΑΚΗ 16 ΧΑΝΙΑ"</f>
        <v>ΨΙΛΑΚΗ 16 ΧΑΝΙΑ</v>
      </c>
      <c r="I9730">
        <v>73134</v>
      </c>
      <c r="J9730">
        <v>2821045741</v>
      </c>
      <c r="K9730">
        <v>6974091815</v>
      </c>
      <c r="N9730" t="s">
        <v>1525</v>
      </c>
      <c r="O9730" t="s">
        <v>1526</v>
      </c>
      <c r="R9730" t="s">
        <v>57</v>
      </c>
      <c r="S9730">
        <v>7</v>
      </c>
      <c r="T9730">
        <v>217</v>
      </c>
      <c r="U9730" s="1">
        <v>38596</v>
      </c>
      <c r="V9730" t="s">
        <v>89</v>
      </c>
      <c r="W9730" t="s">
        <v>90</v>
      </c>
      <c r="X9730" t="s">
        <v>58</v>
      </c>
      <c r="Y9730">
        <v>25</v>
      </c>
      <c r="Z9730" t="s">
        <v>59</v>
      </c>
      <c r="AA9730" t="s">
        <v>59</v>
      </c>
      <c r="AB9730" t="s">
        <v>59</v>
      </c>
      <c r="AC9730" t="s">
        <v>59</v>
      </c>
      <c r="AD9730" t="s">
        <v>59</v>
      </c>
      <c r="AF9730" s="1">
        <v>38600</v>
      </c>
      <c r="AG9730" t="s">
        <v>8651</v>
      </c>
      <c r="AH9730" t="s">
        <v>8652</v>
      </c>
      <c r="AI9730" t="str">
        <f>"9500079"</f>
        <v>9500079</v>
      </c>
      <c r="AJ9730" t="s">
        <v>14438</v>
      </c>
      <c r="AK9730">
        <v>2821056880</v>
      </c>
      <c r="AL9730" t="s">
        <v>14439</v>
      </c>
      <c r="AM9730" t="s">
        <v>88</v>
      </c>
      <c r="AN9730" t="s">
        <v>88</v>
      </c>
      <c r="AO9730" t="s">
        <v>88</v>
      </c>
      <c r="AP9730" t="s">
        <v>88</v>
      </c>
      <c r="AQ9730">
        <v>1</v>
      </c>
      <c r="AR9730" t="s">
        <v>89</v>
      </c>
      <c r="AS9730" t="s">
        <v>90</v>
      </c>
      <c r="AT9730" t="s">
        <v>58</v>
      </c>
      <c r="AU9730" t="s">
        <v>68</v>
      </c>
      <c r="AV9730" t="s">
        <v>69</v>
      </c>
      <c r="AW9730" s="1">
        <v>24436</v>
      </c>
      <c r="AX9730">
        <v>1</v>
      </c>
    </row>
    <row r="9731" spans="1:50">
      <c r="A9731">
        <v>701738</v>
      </c>
      <c r="B9731" t="str">
        <f>"140912293"</f>
        <v>140912293</v>
      </c>
      <c r="C9731" t="s">
        <v>50</v>
      </c>
      <c r="D9731" t="s">
        <v>1987</v>
      </c>
      <c r="E9731" t="s">
        <v>255</v>
      </c>
      <c r="F9731" t="s">
        <v>2227</v>
      </c>
      <c r="G9731" t="s">
        <v>181</v>
      </c>
      <c r="H9731" t="str">
        <f>"Δ.ΤΖΑΓΚΑΡΑΚΗ 3 ΧΑΝΙΑ"</f>
        <v>Δ.ΤΖΑΓΚΑΡΑΚΗ 3 ΧΑΝΙΑ</v>
      </c>
      <c r="I9731">
        <v>73134</v>
      </c>
      <c r="J9731">
        <v>2821054636</v>
      </c>
      <c r="K9731">
        <v>6973741506</v>
      </c>
      <c r="N9731" t="s">
        <v>615</v>
      </c>
      <c r="O9731" t="s">
        <v>616</v>
      </c>
      <c r="R9731" t="s">
        <v>57</v>
      </c>
      <c r="S9731">
        <v>4</v>
      </c>
      <c r="T9731">
        <v>772</v>
      </c>
      <c r="U9731" s="1">
        <v>40413</v>
      </c>
      <c r="V9731" t="s">
        <v>89</v>
      </c>
      <c r="W9731" t="s">
        <v>90</v>
      </c>
      <c r="X9731" t="s">
        <v>58</v>
      </c>
      <c r="Y9731">
        <v>24</v>
      </c>
      <c r="Z9731" t="s">
        <v>59</v>
      </c>
      <c r="AA9731" t="s">
        <v>59</v>
      </c>
      <c r="AB9731" t="s">
        <v>59</v>
      </c>
      <c r="AC9731" t="s">
        <v>59</v>
      </c>
      <c r="AD9731" t="s">
        <v>59</v>
      </c>
      <c r="AF9731" s="1">
        <v>40413</v>
      </c>
      <c r="AG9731" t="s">
        <v>8645</v>
      </c>
      <c r="AH9731" t="s">
        <v>8646</v>
      </c>
      <c r="AI9731" t="str">
        <f>"9500017"</f>
        <v>9500017</v>
      </c>
      <c r="AJ9731" t="s">
        <v>13873</v>
      </c>
      <c r="AK9731">
        <v>2825083173</v>
      </c>
      <c r="AL9731" t="s">
        <v>13874</v>
      </c>
      <c r="AM9731" t="s">
        <v>88</v>
      </c>
      <c r="AN9731" t="s">
        <v>6775</v>
      </c>
      <c r="AO9731" t="s">
        <v>11883</v>
      </c>
      <c r="AP9731" t="s">
        <v>13875</v>
      </c>
      <c r="AQ9731">
        <v>7</v>
      </c>
      <c r="AR9731" t="s">
        <v>89</v>
      </c>
      <c r="AS9731" t="s">
        <v>90</v>
      </c>
      <c r="AT9731" t="s">
        <v>58</v>
      </c>
      <c r="AU9731" t="s">
        <v>68</v>
      </c>
      <c r="AV9731" t="s">
        <v>69</v>
      </c>
      <c r="AW9731" s="1">
        <v>31573</v>
      </c>
      <c r="AX9731">
        <v>1</v>
      </c>
    </row>
    <row r="9732" spans="1:50">
      <c r="A9732">
        <v>178318</v>
      </c>
      <c r="B9732" t="str">
        <f>"034626115"</f>
        <v>034626115</v>
      </c>
      <c r="C9732" t="s">
        <v>105</v>
      </c>
      <c r="D9732" t="s">
        <v>1994</v>
      </c>
      <c r="E9732" t="s">
        <v>510</v>
      </c>
      <c r="F9732" t="s">
        <v>95</v>
      </c>
      <c r="G9732" t="s">
        <v>783</v>
      </c>
      <c r="H9732" t="str">
        <f>"Μ.ΜΠΟΤΣΑΡΗ   14 Χανιά ΧΑΝΙΑ"</f>
        <v>Μ.ΜΠΟΤΣΑΡΗ   14 Χανιά ΧΑΝΙΑ</v>
      </c>
      <c r="J9732">
        <v>2821051337</v>
      </c>
      <c r="K9732">
        <v>6972503799</v>
      </c>
      <c r="L9732">
        <v>6972503799</v>
      </c>
      <c r="M9732" t="s">
        <v>14682</v>
      </c>
      <c r="N9732" t="s">
        <v>204</v>
      </c>
      <c r="O9732" t="s">
        <v>205</v>
      </c>
      <c r="R9732" t="s">
        <v>57</v>
      </c>
      <c r="S9732">
        <v>11</v>
      </c>
      <c r="T9732">
        <v>180</v>
      </c>
      <c r="U9732" s="1">
        <v>35674</v>
      </c>
      <c r="V9732" t="s">
        <v>89</v>
      </c>
      <c r="W9732" t="s">
        <v>90</v>
      </c>
      <c r="X9732" t="s">
        <v>58</v>
      </c>
      <c r="Y9732">
        <v>21</v>
      </c>
      <c r="Z9732" t="s">
        <v>59</v>
      </c>
      <c r="AA9732" t="s">
        <v>59</v>
      </c>
      <c r="AB9732" t="s">
        <v>59</v>
      </c>
      <c r="AC9732" t="s">
        <v>59</v>
      </c>
      <c r="AD9732" t="s">
        <v>59</v>
      </c>
      <c r="AF9732" s="1">
        <v>35678</v>
      </c>
      <c r="AG9732" t="s">
        <v>8645</v>
      </c>
      <c r="AH9732" t="s">
        <v>8646</v>
      </c>
      <c r="AI9732" t="str">
        <f>"9500115"</f>
        <v>9500115</v>
      </c>
      <c r="AJ9732" t="s">
        <v>14180</v>
      </c>
      <c r="AK9732">
        <v>2821081133</v>
      </c>
      <c r="AL9732" t="s">
        <v>14181</v>
      </c>
      <c r="AM9732" t="s">
        <v>88</v>
      </c>
      <c r="AN9732" t="s">
        <v>88</v>
      </c>
      <c r="AO9732" t="s">
        <v>6748</v>
      </c>
      <c r="AP9732" t="s">
        <v>14182</v>
      </c>
      <c r="AQ9732">
        <v>2</v>
      </c>
      <c r="AR9732" t="s">
        <v>89</v>
      </c>
      <c r="AS9732" t="s">
        <v>90</v>
      </c>
      <c r="AT9732" t="s">
        <v>58</v>
      </c>
      <c r="AU9732" t="s">
        <v>68</v>
      </c>
      <c r="AV9732" t="s">
        <v>69</v>
      </c>
      <c r="AW9732" s="1">
        <v>22488</v>
      </c>
      <c r="AX9732">
        <v>1</v>
      </c>
    </row>
    <row r="9733" spans="1:50">
      <c r="A9733">
        <v>589178</v>
      </c>
      <c r="B9733" t="str">
        <f>"038915740"</f>
        <v>038915740</v>
      </c>
      <c r="C9733" t="s">
        <v>50</v>
      </c>
      <c r="D9733" t="s">
        <v>13184</v>
      </c>
      <c r="E9733" t="s">
        <v>476</v>
      </c>
      <c r="F9733" t="s">
        <v>2933</v>
      </c>
      <c r="G9733" t="s">
        <v>114</v>
      </c>
      <c r="H9733" t="str">
        <f>"ΟΑΣΗ ΒΑΡΥΠΕΤΡΟΥ ΧΑΝΙΑ"</f>
        <v>ΟΑΣΗ ΒΑΡΥΠΕΤΡΟΥ ΧΑΝΙΑ</v>
      </c>
      <c r="I9733">
        <v>73100</v>
      </c>
      <c r="J9733">
        <v>2821074725</v>
      </c>
      <c r="K9733">
        <v>6972082376</v>
      </c>
      <c r="N9733" t="s">
        <v>615</v>
      </c>
      <c r="O9733" t="s">
        <v>616</v>
      </c>
      <c r="R9733" t="s">
        <v>57</v>
      </c>
      <c r="S9733">
        <v>10</v>
      </c>
      <c r="T9733">
        <v>176</v>
      </c>
      <c r="U9733" s="1">
        <v>36403</v>
      </c>
      <c r="V9733" t="s">
        <v>89</v>
      </c>
      <c r="W9733" t="s">
        <v>90</v>
      </c>
      <c r="X9733" t="s">
        <v>58</v>
      </c>
      <c r="Y9733">
        <v>21</v>
      </c>
      <c r="Z9733" t="s">
        <v>59</v>
      </c>
      <c r="AA9733" t="s">
        <v>59</v>
      </c>
      <c r="AB9733" t="s">
        <v>59</v>
      </c>
      <c r="AC9733" t="s">
        <v>59</v>
      </c>
      <c r="AD9733" t="s">
        <v>59</v>
      </c>
      <c r="AF9733" s="1">
        <v>36403</v>
      </c>
      <c r="AG9733" t="s">
        <v>8645</v>
      </c>
      <c r="AH9733" t="s">
        <v>8646</v>
      </c>
      <c r="AI9733" t="str">
        <f>"9500084"</f>
        <v>9500084</v>
      </c>
      <c r="AJ9733" t="s">
        <v>13994</v>
      </c>
      <c r="AK9733">
        <v>2821031270</v>
      </c>
      <c r="AL9733" t="s">
        <v>13995</v>
      </c>
      <c r="AM9733" t="s">
        <v>88</v>
      </c>
      <c r="AN9733" t="s">
        <v>88</v>
      </c>
      <c r="AO9733" t="s">
        <v>13920</v>
      </c>
      <c r="AP9733" t="s">
        <v>13996</v>
      </c>
      <c r="AQ9733">
        <v>3</v>
      </c>
      <c r="AR9733" t="s">
        <v>89</v>
      </c>
      <c r="AS9733" t="s">
        <v>90</v>
      </c>
      <c r="AT9733" t="s">
        <v>58</v>
      </c>
      <c r="AU9733" t="s">
        <v>68</v>
      </c>
      <c r="AV9733" t="s">
        <v>69</v>
      </c>
      <c r="AW9733" s="1">
        <v>25218</v>
      </c>
      <c r="AX9733">
        <v>1</v>
      </c>
    </row>
    <row r="9734" spans="1:50">
      <c r="A9734">
        <v>568041</v>
      </c>
      <c r="B9734" t="str">
        <f>"037620811"</f>
        <v>037620811</v>
      </c>
      <c r="C9734" t="s">
        <v>105</v>
      </c>
      <c r="D9734" t="s">
        <v>14683</v>
      </c>
      <c r="E9734" t="s">
        <v>95</v>
      </c>
      <c r="F9734" t="s">
        <v>72</v>
      </c>
      <c r="G9734" t="s">
        <v>255</v>
      </c>
      <c r="H9734" t="str">
        <f>"6Η ΠΑΡΟΔΟΣ ΑΓ.ΟΝΟΥΦΡΙΟΥ ΧΑΝΙΑ"</f>
        <v>6Η ΠΑΡΟΔΟΣ ΑΓ.ΟΝΟΥΦΡΙΟΥ ΧΑΝΙΑ</v>
      </c>
      <c r="I9734">
        <v>73135</v>
      </c>
      <c r="J9734">
        <v>2821069098</v>
      </c>
      <c r="N9734" t="s">
        <v>615</v>
      </c>
      <c r="O9734" t="s">
        <v>616</v>
      </c>
      <c r="R9734" t="s">
        <v>57</v>
      </c>
      <c r="S9734">
        <v>14</v>
      </c>
      <c r="T9734">
        <v>162</v>
      </c>
      <c r="U9734" s="1">
        <v>33844</v>
      </c>
      <c r="V9734" t="s">
        <v>89</v>
      </c>
      <c r="W9734" t="s">
        <v>90</v>
      </c>
      <c r="X9734" t="s">
        <v>58</v>
      </c>
      <c r="Y9734">
        <v>21</v>
      </c>
      <c r="Z9734" t="s">
        <v>59</v>
      </c>
      <c r="AA9734" t="s">
        <v>59</v>
      </c>
      <c r="AB9734" t="s">
        <v>59</v>
      </c>
      <c r="AC9734" t="s">
        <v>59</v>
      </c>
      <c r="AD9734" t="s">
        <v>59</v>
      </c>
      <c r="AF9734" s="1">
        <v>33844</v>
      </c>
      <c r="AG9734" t="s">
        <v>8645</v>
      </c>
      <c r="AH9734" t="s">
        <v>8646</v>
      </c>
      <c r="AI9734" t="str">
        <f>"9500338"</f>
        <v>9500338</v>
      </c>
      <c r="AJ9734" t="s">
        <v>13959</v>
      </c>
      <c r="AK9734">
        <v>2821040556</v>
      </c>
      <c r="AL9734" t="s">
        <v>13960</v>
      </c>
      <c r="AM9734" t="s">
        <v>88</v>
      </c>
      <c r="AN9734" t="s">
        <v>88</v>
      </c>
      <c r="AO9734" t="s">
        <v>88</v>
      </c>
      <c r="AP9734" t="s">
        <v>88</v>
      </c>
      <c r="AQ9734">
        <v>1</v>
      </c>
      <c r="AR9734" t="s">
        <v>89</v>
      </c>
      <c r="AS9734" t="s">
        <v>90</v>
      </c>
      <c r="AT9734" t="s">
        <v>58</v>
      </c>
      <c r="AU9734" t="s">
        <v>68</v>
      </c>
      <c r="AV9734" t="s">
        <v>69</v>
      </c>
      <c r="AW9734" s="1">
        <v>24110</v>
      </c>
      <c r="AX9734">
        <v>1</v>
      </c>
    </row>
    <row r="9735" spans="1:50">
      <c r="A9735">
        <v>563055</v>
      </c>
      <c r="B9735" t="str">
        <f>"101584653"</f>
        <v>101584653</v>
      </c>
      <c r="C9735" t="s">
        <v>50</v>
      </c>
      <c r="D9735" t="s">
        <v>14684</v>
      </c>
      <c r="E9735" t="s">
        <v>83</v>
      </c>
      <c r="F9735" t="s">
        <v>99</v>
      </c>
      <c r="G9735" t="s">
        <v>263</v>
      </c>
      <c r="H9735" t="str">
        <f>"ΓΡ.ΛΑΜΠΡΑΚΗ 2 ΝΕΑ ΚΥΔΩΝΙΑ"</f>
        <v>ΓΡ.ΛΑΜΠΡΑΚΗ 2 ΝΕΑ ΚΥΔΩΝΙΑ</v>
      </c>
      <c r="I9735">
        <v>73100</v>
      </c>
      <c r="J9735">
        <v>2821031945</v>
      </c>
      <c r="K9735">
        <v>6977979147</v>
      </c>
      <c r="N9735" t="s">
        <v>1525</v>
      </c>
      <c r="O9735" t="s">
        <v>1526</v>
      </c>
      <c r="R9735" t="s">
        <v>57</v>
      </c>
      <c r="S9735">
        <v>16</v>
      </c>
      <c r="T9735">
        <v>187</v>
      </c>
      <c r="U9735" s="1">
        <v>32750</v>
      </c>
      <c r="V9735" t="s">
        <v>89</v>
      </c>
      <c r="W9735" t="s">
        <v>90</v>
      </c>
      <c r="X9735" t="s">
        <v>58</v>
      </c>
      <c r="Y9735">
        <v>25</v>
      </c>
      <c r="Z9735" t="s">
        <v>59</v>
      </c>
      <c r="AA9735" t="s">
        <v>59</v>
      </c>
      <c r="AB9735" t="s">
        <v>59</v>
      </c>
      <c r="AC9735" t="s">
        <v>59</v>
      </c>
      <c r="AD9735" t="s">
        <v>59</v>
      </c>
      <c r="AF9735" s="1">
        <v>32752</v>
      </c>
      <c r="AG9735" t="s">
        <v>8651</v>
      </c>
      <c r="AH9735" t="s">
        <v>8652</v>
      </c>
      <c r="AI9735" t="str">
        <f>"9521555"</f>
        <v>9521555</v>
      </c>
      <c r="AJ9735" t="s">
        <v>14685</v>
      </c>
      <c r="AK9735">
        <v>2821034411</v>
      </c>
      <c r="AL9735" t="s">
        <v>14686</v>
      </c>
      <c r="AM9735" t="s">
        <v>88</v>
      </c>
      <c r="AN9735" t="s">
        <v>88</v>
      </c>
      <c r="AO9735" t="s">
        <v>6785</v>
      </c>
      <c r="AP9735" t="s">
        <v>6786</v>
      </c>
      <c r="AQ9735">
        <v>3</v>
      </c>
      <c r="AR9735" t="s">
        <v>89</v>
      </c>
      <c r="AS9735" t="s">
        <v>90</v>
      </c>
      <c r="AT9735" t="s">
        <v>58</v>
      </c>
      <c r="AU9735" t="s">
        <v>68</v>
      </c>
      <c r="AV9735" t="s">
        <v>69</v>
      </c>
      <c r="AW9735" s="1">
        <v>21125</v>
      </c>
      <c r="AX9735">
        <v>1</v>
      </c>
    </row>
    <row r="9736" spans="1:50">
      <c r="A9736">
        <v>581500</v>
      </c>
      <c r="B9736" t="str">
        <f>"113190575"</f>
        <v>113190575</v>
      </c>
      <c r="C9736" t="s">
        <v>50</v>
      </c>
      <c r="D9736" t="s">
        <v>14684</v>
      </c>
      <c r="E9736" t="s">
        <v>181</v>
      </c>
      <c r="F9736" t="s">
        <v>95</v>
      </c>
      <c r="G9736" t="s">
        <v>476</v>
      </c>
      <c r="H9736" t="str">
        <f>"Γ' ΣΟΔΥ ΚΑΛΑΘΑ ΧΑΝΙΑ"</f>
        <v>Γ' ΣΟΔΥ ΚΑΛΑΘΑ ΧΑΝΙΑ</v>
      </c>
      <c r="I9736">
        <v>73100</v>
      </c>
      <c r="J9736">
        <v>2821020723</v>
      </c>
      <c r="K9736">
        <v>6973992919</v>
      </c>
      <c r="N9736" t="s">
        <v>615</v>
      </c>
      <c r="O9736" t="s">
        <v>616</v>
      </c>
      <c r="R9736" t="s">
        <v>57</v>
      </c>
      <c r="S9736">
        <v>13</v>
      </c>
      <c r="T9736">
        <v>179</v>
      </c>
      <c r="U9736" s="1">
        <v>35674</v>
      </c>
      <c r="V9736" t="s">
        <v>89</v>
      </c>
      <c r="W9736" t="s">
        <v>90</v>
      </c>
      <c r="X9736" t="s">
        <v>58</v>
      </c>
      <c r="Y9736">
        <v>21</v>
      </c>
      <c r="Z9736" t="s">
        <v>59</v>
      </c>
      <c r="AA9736" t="s">
        <v>59</v>
      </c>
      <c r="AB9736" t="s">
        <v>59</v>
      </c>
      <c r="AC9736" t="s">
        <v>59</v>
      </c>
      <c r="AD9736" t="s">
        <v>59</v>
      </c>
      <c r="AF9736" s="1">
        <v>35674</v>
      </c>
      <c r="AG9736" t="s">
        <v>8645</v>
      </c>
      <c r="AH9736" t="s">
        <v>8646</v>
      </c>
      <c r="AI9736" t="str">
        <f>"9500320"</f>
        <v>9500320</v>
      </c>
      <c r="AJ9736" t="s">
        <v>14100</v>
      </c>
      <c r="AK9736">
        <v>2821099577</v>
      </c>
      <c r="AL9736" t="s">
        <v>14101</v>
      </c>
      <c r="AM9736" t="s">
        <v>88</v>
      </c>
      <c r="AN9736" t="s">
        <v>88</v>
      </c>
      <c r="AO9736" t="s">
        <v>88</v>
      </c>
      <c r="AP9736" t="s">
        <v>88</v>
      </c>
      <c r="AQ9736">
        <v>1</v>
      </c>
      <c r="AR9736" t="s">
        <v>89</v>
      </c>
      <c r="AS9736" t="s">
        <v>90</v>
      </c>
      <c r="AT9736" t="s">
        <v>58</v>
      </c>
      <c r="AU9736" t="s">
        <v>68</v>
      </c>
      <c r="AV9736" t="s">
        <v>2039</v>
      </c>
      <c r="AW9736" s="1">
        <v>23072</v>
      </c>
      <c r="AX9736">
        <v>1</v>
      </c>
    </row>
    <row r="9737" spans="1:50">
      <c r="A9737">
        <v>576675</v>
      </c>
      <c r="B9737" t="str">
        <f>"036200150"</f>
        <v>036200150</v>
      </c>
      <c r="C9737" t="s">
        <v>105</v>
      </c>
      <c r="D9737" t="s">
        <v>14687</v>
      </c>
      <c r="E9737" t="s">
        <v>1559</v>
      </c>
      <c r="F9737" t="s">
        <v>154</v>
      </c>
      <c r="G9737" t="s">
        <v>155</v>
      </c>
      <c r="H9737" t="str">
        <f>"ΣΚΙΝΕΡ 23 ΧΑΝΙΑ"</f>
        <v>ΣΚΙΝΕΡ 23 ΧΑΝΙΑ</v>
      </c>
      <c r="I9737">
        <v>73131</v>
      </c>
      <c r="J9737">
        <v>2821091277</v>
      </c>
      <c r="K9737">
        <v>6945795431</v>
      </c>
      <c r="N9737" t="s">
        <v>176</v>
      </c>
      <c r="O9737" t="s">
        <v>177</v>
      </c>
      <c r="R9737" t="s">
        <v>57</v>
      </c>
      <c r="S9737">
        <v>13</v>
      </c>
      <c r="T9737">
        <v>184</v>
      </c>
      <c r="U9737" s="1">
        <v>34941</v>
      </c>
      <c r="V9737" t="s">
        <v>89</v>
      </c>
      <c r="W9737" t="s">
        <v>90</v>
      </c>
      <c r="X9737" t="s">
        <v>58</v>
      </c>
      <c r="Y9737">
        <v>21</v>
      </c>
      <c r="Z9737" t="s">
        <v>59</v>
      </c>
      <c r="AA9737" t="s">
        <v>59</v>
      </c>
      <c r="AB9737" t="s">
        <v>59</v>
      </c>
      <c r="AC9737" t="s">
        <v>59</v>
      </c>
      <c r="AD9737" t="s">
        <v>59</v>
      </c>
      <c r="AF9737" s="1">
        <v>34941</v>
      </c>
      <c r="AG9737" t="s">
        <v>8645</v>
      </c>
      <c r="AH9737" t="s">
        <v>8646</v>
      </c>
      <c r="AI9737" t="str">
        <f>"9500320"</f>
        <v>9500320</v>
      </c>
      <c r="AJ9737" t="s">
        <v>14100</v>
      </c>
      <c r="AK9737">
        <v>2821099577</v>
      </c>
      <c r="AL9737" t="s">
        <v>14101</v>
      </c>
      <c r="AM9737" t="s">
        <v>88</v>
      </c>
      <c r="AN9737" t="s">
        <v>88</v>
      </c>
      <c r="AO9737" t="s">
        <v>88</v>
      </c>
      <c r="AP9737" t="s">
        <v>88</v>
      </c>
      <c r="AQ9737">
        <v>1</v>
      </c>
      <c r="AR9737" t="s">
        <v>89</v>
      </c>
      <c r="AS9737" t="s">
        <v>90</v>
      </c>
      <c r="AT9737" t="s">
        <v>58</v>
      </c>
      <c r="AU9737" t="s">
        <v>68</v>
      </c>
      <c r="AV9737" t="s">
        <v>69</v>
      </c>
      <c r="AW9737" s="1">
        <v>23708</v>
      </c>
      <c r="AX9737">
        <v>1</v>
      </c>
    </row>
    <row r="9738" spans="1:50">
      <c r="A9738">
        <v>601450</v>
      </c>
      <c r="B9738" t="str">
        <f>"066835313"</f>
        <v>066835313</v>
      </c>
      <c r="C9738" t="s">
        <v>50</v>
      </c>
      <c r="D9738" t="s">
        <v>2022</v>
      </c>
      <c r="E9738" t="s">
        <v>52</v>
      </c>
      <c r="F9738" t="s">
        <v>166</v>
      </c>
      <c r="G9738" t="s">
        <v>755</v>
      </c>
      <c r="H9738" t="str">
        <f>"Κυριάκου Χειλιουδάκη 6 ΧΑΝΙΑ"</f>
        <v>Κυριάκου Χειλιουδάκη 6 ΧΑΝΙΑ</v>
      </c>
      <c r="I9738">
        <v>73100</v>
      </c>
      <c r="J9738">
        <v>2821096608</v>
      </c>
      <c r="K9738">
        <v>6977297558</v>
      </c>
      <c r="M9738" t="s">
        <v>14688</v>
      </c>
      <c r="N9738" t="s">
        <v>615</v>
      </c>
      <c r="O9738" t="s">
        <v>616</v>
      </c>
      <c r="R9738" t="s">
        <v>57</v>
      </c>
      <c r="S9738">
        <v>8</v>
      </c>
      <c r="T9738">
        <v>207</v>
      </c>
      <c r="U9738" s="1">
        <v>37866</v>
      </c>
      <c r="V9738" t="s">
        <v>89</v>
      </c>
      <c r="W9738" t="s">
        <v>90</v>
      </c>
      <c r="X9738" t="s">
        <v>58</v>
      </c>
      <c r="Y9738">
        <v>22</v>
      </c>
      <c r="Z9738" t="s">
        <v>59</v>
      </c>
      <c r="AA9738" t="s">
        <v>59</v>
      </c>
      <c r="AB9738" t="s">
        <v>59</v>
      </c>
      <c r="AC9738" t="s">
        <v>59</v>
      </c>
      <c r="AD9738" t="s">
        <v>59</v>
      </c>
      <c r="AF9738" s="1">
        <v>37866</v>
      </c>
      <c r="AG9738" t="s">
        <v>8645</v>
      </c>
      <c r="AH9738" t="s">
        <v>8646</v>
      </c>
      <c r="AI9738" t="str">
        <f>"9500320"</f>
        <v>9500320</v>
      </c>
      <c r="AJ9738" t="s">
        <v>14100</v>
      </c>
      <c r="AK9738">
        <v>2821099577</v>
      </c>
      <c r="AL9738" t="s">
        <v>14101</v>
      </c>
      <c r="AM9738" t="s">
        <v>88</v>
      </c>
      <c r="AN9738" t="s">
        <v>88</v>
      </c>
      <c r="AO9738" t="s">
        <v>88</v>
      </c>
      <c r="AP9738" t="s">
        <v>88</v>
      </c>
      <c r="AQ9738">
        <v>1</v>
      </c>
      <c r="AR9738" t="s">
        <v>89</v>
      </c>
      <c r="AS9738" t="s">
        <v>90</v>
      </c>
      <c r="AT9738" t="s">
        <v>58</v>
      </c>
      <c r="AU9738" t="s">
        <v>68</v>
      </c>
      <c r="AV9738" t="s">
        <v>69</v>
      </c>
      <c r="AW9738" s="1">
        <v>26863</v>
      </c>
      <c r="AX9738">
        <v>1</v>
      </c>
    </row>
    <row r="9739" spans="1:50">
      <c r="B9739" t="str">
        <f>"140590029"</f>
        <v>140590029</v>
      </c>
      <c r="C9739" t="s">
        <v>50</v>
      </c>
      <c r="D9739" t="s">
        <v>14689</v>
      </c>
      <c r="E9739" t="s">
        <v>14690</v>
      </c>
      <c r="F9739" t="s">
        <v>14691</v>
      </c>
      <c r="H9739" t="str">
        <f>" "</f>
        <v xml:space="preserve"> </v>
      </c>
      <c r="K9739">
        <v>6943829517</v>
      </c>
      <c r="M9739" t="s">
        <v>14692</v>
      </c>
      <c r="N9739" t="s">
        <v>384</v>
      </c>
      <c r="O9739" t="s">
        <v>385</v>
      </c>
      <c r="R9739" t="s">
        <v>121</v>
      </c>
      <c r="S9739">
        <v>1</v>
      </c>
      <c r="T9739" t="s">
        <v>8675</v>
      </c>
      <c r="U9739" s="1">
        <v>43348</v>
      </c>
      <c r="V9739" t="s">
        <v>89</v>
      </c>
      <c r="W9739" t="s">
        <v>90</v>
      </c>
      <c r="X9739" t="s">
        <v>58</v>
      </c>
      <c r="Y9739">
        <v>24</v>
      </c>
      <c r="Z9739" t="s">
        <v>59</v>
      </c>
      <c r="AA9739" t="s">
        <v>59</v>
      </c>
      <c r="AB9739" t="s">
        <v>59</v>
      </c>
      <c r="AC9739" t="s">
        <v>59</v>
      </c>
      <c r="AD9739" t="s">
        <v>59</v>
      </c>
      <c r="AF9739" s="1">
        <v>43348</v>
      </c>
      <c r="AG9739" t="s">
        <v>8645</v>
      </c>
      <c r="AH9739" t="s">
        <v>8646</v>
      </c>
      <c r="AI9739" t="str">
        <f>"9500009"</f>
        <v>9500009</v>
      </c>
      <c r="AJ9739" t="s">
        <v>13927</v>
      </c>
      <c r="AK9739">
        <v>2825061346</v>
      </c>
      <c r="AL9739" t="s">
        <v>13928</v>
      </c>
      <c r="AM9739" t="s">
        <v>88</v>
      </c>
      <c r="AN9739" t="s">
        <v>6775</v>
      </c>
      <c r="AO9739" t="s">
        <v>13929</v>
      </c>
      <c r="AP9739" t="s">
        <v>13929</v>
      </c>
      <c r="AQ9739">
        <v>8</v>
      </c>
      <c r="AR9739" t="s">
        <v>89</v>
      </c>
      <c r="AS9739" t="s">
        <v>90</v>
      </c>
      <c r="AT9739" t="s">
        <v>58</v>
      </c>
      <c r="AU9739" t="s">
        <v>8673</v>
      </c>
      <c r="AV9739" t="s">
        <v>132</v>
      </c>
      <c r="AW9739" s="1">
        <v>32874</v>
      </c>
      <c r="AX9739">
        <v>1</v>
      </c>
    </row>
    <row r="9740" spans="1:50">
      <c r="A9740">
        <v>609523</v>
      </c>
      <c r="B9740" t="str">
        <f>"079321272"</f>
        <v>079321272</v>
      </c>
      <c r="C9740" t="s">
        <v>50</v>
      </c>
      <c r="D9740" t="s">
        <v>14693</v>
      </c>
      <c r="E9740" t="s">
        <v>801</v>
      </c>
      <c r="F9740" t="s">
        <v>84</v>
      </c>
      <c r="G9740" t="s">
        <v>3866</v>
      </c>
      <c r="H9740" t="str">
        <f>"ΚΩΝΣΤΑΝΤΙΝΟΥΠΟΛΕΩΣ 15 ΧΑΝΙΑ"</f>
        <v>ΚΩΝΣΤΑΝΤΙΝΟΥΠΟΛΕΩΣ 15 ΧΑΝΙΑ</v>
      </c>
      <c r="I9740">
        <v>73100</v>
      </c>
      <c r="J9740">
        <v>2102921718</v>
      </c>
      <c r="K9740">
        <v>6974358751</v>
      </c>
      <c r="N9740" t="s">
        <v>615</v>
      </c>
      <c r="O9740" t="s">
        <v>616</v>
      </c>
      <c r="R9740" t="s">
        <v>57</v>
      </c>
      <c r="S9740">
        <v>7</v>
      </c>
      <c r="T9740">
        <v>221</v>
      </c>
      <c r="U9740" s="1">
        <v>38601</v>
      </c>
      <c r="V9740" t="s">
        <v>89</v>
      </c>
      <c r="W9740" t="s">
        <v>90</v>
      </c>
      <c r="X9740" t="s">
        <v>58</v>
      </c>
      <c r="Y9740">
        <v>22</v>
      </c>
      <c r="Z9740" t="s">
        <v>59</v>
      </c>
      <c r="AA9740" t="s">
        <v>59</v>
      </c>
      <c r="AB9740" t="s">
        <v>59</v>
      </c>
      <c r="AC9740" t="s">
        <v>59</v>
      </c>
      <c r="AD9740" t="s">
        <v>59</v>
      </c>
      <c r="AF9740" s="1">
        <v>38601</v>
      </c>
      <c r="AG9740" t="s">
        <v>8645</v>
      </c>
      <c r="AH9740" t="s">
        <v>8646</v>
      </c>
      <c r="AI9740" t="str">
        <f>"9500360"</f>
        <v>9500360</v>
      </c>
      <c r="AJ9740" t="s">
        <v>14022</v>
      </c>
      <c r="AK9740">
        <v>2821031253</v>
      </c>
      <c r="AL9740" t="s">
        <v>14023</v>
      </c>
      <c r="AM9740" t="s">
        <v>88</v>
      </c>
      <c r="AN9740" t="s">
        <v>88</v>
      </c>
      <c r="AO9740" t="s">
        <v>6785</v>
      </c>
      <c r="AP9740" t="s">
        <v>13932</v>
      </c>
      <c r="AQ9740">
        <v>3</v>
      </c>
      <c r="AR9740" t="s">
        <v>89</v>
      </c>
      <c r="AS9740" t="s">
        <v>90</v>
      </c>
      <c r="AT9740" t="s">
        <v>58</v>
      </c>
      <c r="AU9740" t="s">
        <v>68</v>
      </c>
      <c r="AV9740" t="s">
        <v>69</v>
      </c>
      <c r="AW9740" s="1">
        <v>27187</v>
      </c>
      <c r="AX9740">
        <v>1</v>
      </c>
    </row>
    <row r="9741" spans="1:50">
      <c r="B9741" t="str">
        <f>"137479389"</f>
        <v>137479389</v>
      </c>
      <c r="C9741" t="s">
        <v>50</v>
      </c>
      <c r="D9741" t="s">
        <v>7438</v>
      </c>
      <c r="E9741" t="s">
        <v>109</v>
      </c>
      <c r="F9741" t="s">
        <v>1023</v>
      </c>
      <c r="G9741" t="s">
        <v>143</v>
      </c>
      <c r="H9741" t="str">
        <f>"ΠΑΡΟΔΟΣ ΖΕΓΓΙΝΗ "</f>
        <v xml:space="preserve">ΠΑΡΟΔΟΣ ΖΕΓΓΙΝΗ </v>
      </c>
      <c r="I9741">
        <v>32200</v>
      </c>
      <c r="J9741">
        <v>2262026158</v>
      </c>
      <c r="K9741">
        <v>6939587774</v>
      </c>
      <c r="N9741" t="s">
        <v>1525</v>
      </c>
      <c r="O9741" t="s">
        <v>1526</v>
      </c>
      <c r="R9741" t="s">
        <v>159</v>
      </c>
      <c r="S9741">
        <v>4</v>
      </c>
      <c r="T9741" t="s">
        <v>8670</v>
      </c>
      <c r="U9741" s="1">
        <v>43348</v>
      </c>
      <c r="V9741" t="s">
        <v>89</v>
      </c>
      <c r="W9741" t="s">
        <v>90</v>
      </c>
      <c r="X9741" t="s">
        <v>58</v>
      </c>
      <c r="Y9741">
        <v>25</v>
      </c>
      <c r="Z9741" t="s">
        <v>59</v>
      </c>
      <c r="AA9741" t="s">
        <v>59</v>
      </c>
      <c r="AB9741" t="s">
        <v>59</v>
      </c>
      <c r="AC9741" t="s">
        <v>59</v>
      </c>
      <c r="AD9741" t="s">
        <v>59</v>
      </c>
      <c r="AF9741" s="1">
        <v>43348</v>
      </c>
      <c r="AG9741" t="s">
        <v>8651</v>
      </c>
      <c r="AH9741" t="s">
        <v>8652</v>
      </c>
      <c r="AI9741" t="str">
        <f>"9500416"</f>
        <v>9500416</v>
      </c>
      <c r="AJ9741" t="s">
        <v>14425</v>
      </c>
      <c r="AK9741">
        <v>2822023003</v>
      </c>
      <c r="AL9741" t="s">
        <v>14426</v>
      </c>
      <c r="AM9741" t="s">
        <v>88</v>
      </c>
      <c r="AN9741" t="s">
        <v>6744</v>
      </c>
      <c r="AO9741" t="s">
        <v>6744</v>
      </c>
      <c r="AP9741" t="s">
        <v>6744</v>
      </c>
      <c r="AQ9741">
        <v>9</v>
      </c>
      <c r="AR9741" t="s">
        <v>89</v>
      </c>
      <c r="AS9741" t="s">
        <v>90</v>
      </c>
      <c r="AT9741" t="s">
        <v>58</v>
      </c>
      <c r="AU9741" t="s">
        <v>8673</v>
      </c>
      <c r="AV9741" t="s">
        <v>132</v>
      </c>
      <c r="AW9741" s="1">
        <v>30340</v>
      </c>
      <c r="AX9741">
        <v>1</v>
      </c>
    </row>
    <row r="9742" spans="1:50">
      <c r="B9742" t="str">
        <f>"157798078"</f>
        <v>157798078</v>
      </c>
      <c r="C9742" t="s">
        <v>50</v>
      </c>
      <c r="D9742" t="s">
        <v>14694</v>
      </c>
      <c r="E9742" t="s">
        <v>98</v>
      </c>
      <c r="F9742" t="s">
        <v>72</v>
      </c>
      <c r="G9742" t="s">
        <v>1694</v>
      </c>
      <c r="H9742" t="str">
        <f>" "</f>
        <v xml:space="preserve"> </v>
      </c>
      <c r="N9742" t="s">
        <v>8694</v>
      </c>
      <c r="O9742" t="s">
        <v>8695</v>
      </c>
      <c r="R9742" t="s">
        <v>159</v>
      </c>
      <c r="S9742">
        <v>1</v>
      </c>
      <c r="T9742" t="s">
        <v>8696</v>
      </c>
      <c r="U9742" s="1">
        <v>43348</v>
      </c>
      <c r="V9742" t="s">
        <v>89</v>
      </c>
      <c r="W9742" t="s">
        <v>90</v>
      </c>
      <c r="X9742" t="s">
        <v>58</v>
      </c>
      <c r="Y9742">
        <v>24</v>
      </c>
      <c r="Z9742" t="s">
        <v>59</v>
      </c>
      <c r="AA9742" t="s">
        <v>59</v>
      </c>
      <c r="AB9742" t="s">
        <v>59</v>
      </c>
      <c r="AD9742" t="s">
        <v>59</v>
      </c>
      <c r="AF9742" s="1">
        <v>43348</v>
      </c>
      <c r="AG9742" t="s">
        <v>8645</v>
      </c>
      <c r="AH9742" t="s">
        <v>8646</v>
      </c>
      <c r="AI9742" t="str">
        <f>"9500355"</f>
        <v>9500355</v>
      </c>
      <c r="AJ9742" t="s">
        <v>14695</v>
      </c>
      <c r="AK9742">
        <v>2825095295</v>
      </c>
      <c r="AL9742" t="s">
        <v>14696</v>
      </c>
      <c r="AM9742" t="s">
        <v>88</v>
      </c>
      <c r="AN9742" t="s">
        <v>6995</v>
      </c>
      <c r="AO9742" t="s">
        <v>6995</v>
      </c>
      <c r="AP9742" t="s">
        <v>14444</v>
      </c>
      <c r="AQ9742">
        <v>10</v>
      </c>
      <c r="AR9742" t="s">
        <v>89</v>
      </c>
      <c r="AS9742" t="s">
        <v>90</v>
      </c>
      <c r="AT9742" t="s">
        <v>58</v>
      </c>
      <c r="AU9742" t="s">
        <v>350</v>
      </c>
      <c r="AV9742" t="s">
        <v>132</v>
      </c>
      <c r="AW9742" s="1">
        <v>34206</v>
      </c>
      <c r="AX9742">
        <v>1</v>
      </c>
    </row>
    <row r="9743" spans="1:50">
      <c r="A9743">
        <v>564929</v>
      </c>
      <c r="B9743" t="str">
        <f>"034941072"</f>
        <v>034941072</v>
      </c>
      <c r="C9743" t="s">
        <v>50</v>
      </c>
      <c r="D9743" t="s">
        <v>14697</v>
      </c>
      <c r="E9743" t="s">
        <v>476</v>
      </c>
      <c r="F9743" t="s">
        <v>995</v>
      </c>
      <c r="G9743" t="s">
        <v>83</v>
      </c>
      <c r="H9743" t="str">
        <f>"ΑΚΡΩΤΗΡΙΟΥ 72 ΧΑΝΙΑ"</f>
        <v>ΑΚΡΩΤΗΡΙΟΥ 72 ΧΑΝΙΑ</v>
      </c>
      <c r="I9743">
        <v>73132</v>
      </c>
      <c r="J9743">
        <v>2821052474</v>
      </c>
      <c r="K9743">
        <v>6937360608</v>
      </c>
      <c r="N9743" t="s">
        <v>615</v>
      </c>
      <c r="O9743" t="s">
        <v>616</v>
      </c>
      <c r="R9743" t="s">
        <v>57</v>
      </c>
      <c r="S9743">
        <v>14</v>
      </c>
      <c r="T9743">
        <v>161</v>
      </c>
      <c r="U9743" s="1">
        <v>33119</v>
      </c>
      <c r="V9743" t="s">
        <v>89</v>
      </c>
      <c r="W9743" t="s">
        <v>90</v>
      </c>
      <c r="X9743" t="s">
        <v>58</v>
      </c>
      <c r="Y9743">
        <v>21</v>
      </c>
      <c r="Z9743" t="s">
        <v>59</v>
      </c>
      <c r="AA9743" t="s">
        <v>59</v>
      </c>
      <c r="AB9743" t="s">
        <v>59</v>
      </c>
      <c r="AC9743" t="s">
        <v>59</v>
      </c>
      <c r="AD9743" t="s">
        <v>59</v>
      </c>
      <c r="AF9743" s="1">
        <v>33119</v>
      </c>
      <c r="AG9743" t="s">
        <v>8645</v>
      </c>
      <c r="AH9743" t="s">
        <v>8646</v>
      </c>
      <c r="AI9743" t="str">
        <f>"9500114"</f>
        <v>9500114</v>
      </c>
      <c r="AJ9743" t="s">
        <v>14013</v>
      </c>
      <c r="AK9743">
        <v>2821063458</v>
      </c>
      <c r="AL9743" t="s">
        <v>14014</v>
      </c>
      <c r="AM9743" t="s">
        <v>88</v>
      </c>
      <c r="AN9743" t="s">
        <v>88</v>
      </c>
      <c r="AO9743" t="s">
        <v>6770</v>
      </c>
      <c r="AP9743" t="s">
        <v>14015</v>
      </c>
      <c r="AQ9743">
        <v>2</v>
      </c>
      <c r="AR9743" t="s">
        <v>89</v>
      </c>
      <c r="AS9743" t="s">
        <v>90</v>
      </c>
      <c r="AT9743" t="s">
        <v>58</v>
      </c>
      <c r="AU9743" t="s">
        <v>68</v>
      </c>
      <c r="AV9743" t="s">
        <v>69</v>
      </c>
      <c r="AW9743" s="1">
        <v>24006</v>
      </c>
      <c r="AX9743">
        <v>1</v>
      </c>
    </row>
    <row r="9744" spans="1:50">
      <c r="A9744">
        <v>617189</v>
      </c>
      <c r="B9744" t="str">
        <f>"131659090"</f>
        <v>131659090</v>
      </c>
      <c r="C9744" t="s">
        <v>50</v>
      </c>
      <c r="D9744" t="s">
        <v>14698</v>
      </c>
      <c r="E9744" t="s">
        <v>73</v>
      </c>
      <c r="F9744" t="s">
        <v>995</v>
      </c>
      <c r="G9744" t="s">
        <v>366</v>
      </c>
      <c r="H9744" t="str">
        <f>"ΣΟΦΟΚΛΗ ΒΕΝΙΖΕΛΟΥ 61Γ ΜΟΥΡΝΙΕΣ"</f>
        <v>ΣΟΦΟΚΛΗ ΒΕΝΙΖΕΛΟΥ 61Γ ΜΟΥΡΝΙΕΣ</v>
      </c>
      <c r="I9744">
        <v>73100</v>
      </c>
      <c r="J9744">
        <v>2821072176</v>
      </c>
      <c r="K9744">
        <v>6973496074</v>
      </c>
      <c r="L9744">
        <v>2109354477</v>
      </c>
      <c r="N9744" t="s">
        <v>615</v>
      </c>
      <c r="O9744" t="s">
        <v>616</v>
      </c>
      <c r="R9744" t="s">
        <v>57</v>
      </c>
      <c r="S9744">
        <v>6</v>
      </c>
      <c r="T9744">
        <v>774</v>
      </c>
      <c r="U9744" s="1">
        <v>39680</v>
      </c>
      <c r="V9744" t="s">
        <v>89</v>
      </c>
      <c r="W9744" t="s">
        <v>90</v>
      </c>
      <c r="X9744" t="s">
        <v>58</v>
      </c>
      <c r="Y9744">
        <v>23</v>
      </c>
      <c r="Z9744" t="s">
        <v>59</v>
      </c>
      <c r="AA9744" t="s">
        <v>59</v>
      </c>
      <c r="AB9744" t="s">
        <v>59</v>
      </c>
      <c r="AC9744" t="s">
        <v>59</v>
      </c>
      <c r="AD9744" t="s">
        <v>59</v>
      </c>
      <c r="AF9744" s="1">
        <v>39682</v>
      </c>
      <c r="AG9744" t="s">
        <v>8645</v>
      </c>
      <c r="AH9744" t="s">
        <v>8646</v>
      </c>
      <c r="AI9744" t="str">
        <f>"9500103"</f>
        <v>9500103</v>
      </c>
      <c r="AJ9744" t="s">
        <v>14040</v>
      </c>
      <c r="AK9744">
        <v>2821090920</v>
      </c>
      <c r="AL9744" t="s">
        <v>14041</v>
      </c>
      <c r="AM9744" t="s">
        <v>88</v>
      </c>
      <c r="AN9744" t="s">
        <v>88</v>
      </c>
      <c r="AO9744" t="s">
        <v>6733</v>
      </c>
      <c r="AP9744" t="s">
        <v>6734</v>
      </c>
      <c r="AQ9744">
        <v>2</v>
      </c>
      <c r="AR9744" t="s">
        <v>89</v>
      </c>
      <c r="AS9744" t="s">
        <v>90</v>
      </c>
      <c r="AT9744" t="s">
        <v>58</v>
      </c>
      <c r="AU9744" t="s">
        <v>68</v>
      </c>
      <c r="AV9744" t="s">
        <v>69</v>
      </c>
      <c r="AW9744" s="1">
        <v>30129</v>
      </c>
      <c r="AX9744">
        <v>1</v>
      </c>
    </row>
    <row r="9745" spans="1:50">
      <c r="A9745">
        <v>215494</v>
      </c>
      <c r="B9745" t="str">
        <f>"063160256"</f>
        <v>063160256</v>
      </c>
      <c r="C9745" t="s">
        <v>50</v>
      </c>
      <c r="D9745" t="s">
        <v>4958</v>
      </c>
      <c r="E9745" t="s">
        <v>250</v>
      </c>
      <c r="F9745" t="s">
        <v>99</v>
      </c>
      <c r="G9745" t="s">
        <v>83</v>
      </c>
      <c r="H9745" t="str">
        <f>" "</f>
        <v xml:space="preserve"> </v>
      </c>
      <c r="J9745">
        <v>2821031500</v>
      </c>
      <c r="K9745">
        <v>6974247828</v>
      </c>
      <c r="N9745" t="s">
        <v>204</v>
      </c>
      <c r="O9745" t="s">
        <v>205</v>
      </c>
      <c r="R9745" t="s">
        <v>57</v>
      </c>
      <c r="S9745">
        <v>6</v>
      </c>
      <c r="T9745">
        <v>231</v>
      </c>
      <c r="U9745" s="1">
        <v>38960</v>
      </c>
      <c r="V9745" t="s">
        <v>89</v>
      </c>
      <c r="W9745" t="s">
        <v>90</v>
      </c>
      <c r="X9745" t="s">
        <v>58</v>
      </c>
      <c r="Y9745">
        <v>23</v>
      </c>
      <c r="Z9745" t="s">
        <v>59</v>
      </c>
      <c r="AA9745" t="s">
        <v>59</v>
      </c>
      <c r="AB9745" t="s">
        <v>59</v>
      </c>
      <c r="AC9745" t="s">
        <v>59</v>
      </c>
      <c r="AD9745" t="s">
        <v>59</v>
      </c>
      <c r="AF9745" s="1">
        <v>38961</v>
      </c>
      <c r="AG9745" t="s">
        <v>8645</v>
      </c>
      <c r="AH9745" t="s">
        <v>8646</v>
      </c>
      <c r="AI9745" t="str">
        <f>"9500144"</f>
        <v>9500144</v>
      </c>
      <c r="AJ9745" t="s">
        <v>14010</v>
      </c>
      <c r="AK9745">
        <v>2821094171</v>
      </c>
      <c r="AL9745" t="s">
        <v>14011</v>
      </c>
      <c r="AM9745" t="s">
        <v>88</v>
      </c>
      <c r="AN9745" t="s">
        <v>88</v>
      </c>
      <c r="AO9745" t="s">
        <v>88</v>
      </c>
      <c r="AP9745" t="s">
        <v>88</v>
      </c>
      <c r="AQ9745">
        <v>1</v>
      </c>
      <c r="AR9745" t="s">
        <v>89</v>
      </c>
      <c r="AS9745" t="s">
        <v>90</v>
      </c>
      <c r="AT9745" t="s">
        <v>58</v>
      </c>
      <c r="AU9745" t="s">
        <v>68</v>
      </c>
      <c r="AV9745" t="s">
        <v>69</v>
      </c>
      <c r="AW9745" s="1">
        <v>29107</v>
      </c>
      <c r="AX9745">
        <v>1</v>
      </c>
    </row>
    <row r="9746" spans="1:50">
      <c r="A9746">
        <v>615925</v>
      </c>
      <c r="B9746" t="str">
        <f>"057715409"</f>
        <v>057715409</v>
      </c>
      <c r="C9746" t="s">
        <v>105</v>
      </c>
      <c r="D9746" t="s">
        <v>14699</v>
      </c>
      <c r="E9746" t="s">
        <v>95</v>
      </c>
      <c r="F9746" t="s">
        <v>166</v>
      </c>
      <c r="G9746" t="s">
        <v>1189</v>
      </c>
      <c r="H9746" t="str">
        <f>"ΝΕΑΡΧΟΥ 13 ΧΑΝΙΑ"</f>
        <v>ΝΕΑΡΧΟΥ 13 ΧΑΝΙΑ</v>
      </c>
      <c r="I9746">
        <v>73100</v>
      </c>
      <c r="J9746">
        <v>2821059112</v>
      </c>
      <c r="K9746">
        <v>6942278242</v>
      </c>
      <c r="N9746" t="s">
        <v>176</v>
      </c>
      <c r="O9746" t="s">
        <v>177</v>
      </c>
      <c r="R9746" t="s">
        <v>57</v>
      </c>
      <c r="S9746">
        <v>7</v>
      </c>
      <c r="T9746">
        <v>600</v>
      </c>
      <c r="U9746" s="1">
        <v>39310</v>
      </c>
      <c r="V9746" t="s">
        <v>89</v>
      </c>
      <c r="W9746" t="s">
        <v>90</v>
      </c>
      <c r="X9746" t="s">
        <v>58</v>
      </c>
      <c r="Y9746">
        <v>22</v>
      </c>
      <c r="Z9746" t="s">
        <v>59</v>
      </c>
      <c r="AA9746" t="s">
        <v>59</v>
      </c>
      <c r="AB9746" t="s">
        <v>59</v>
      </c>
      <c r="AC9746" t="s">
        <v>59</v>
      </c>
      <c r="AD9746" t="s">
        <v>59</v>
      </c>
      <c r="AF9746" s="1">
        <v>39329</v>
      </c>
      <c r="AG9746" t="s">
        <v>8645</v>
      </c>
      <c r="AH9746" t="s">
        <v>8646</v>
      </c>
      <c r="AI9746" t="str">
        <f>"9500021"</f>
        <v>9500021</v>
      </c>
      <c r="AJ9746" t="s">
        <v>14054</v>
      </c>
      <c r="AK9746">
        <v>2825096298</v>
      </c>
      <c r="AL9746" t="s">
        <v>14055</v>
      </c>
      <c r="AM9746" t="s">
        <v>88</v>
      </c>
      <c r="AN9746" t="s">
        <v>6775</v>
      </c>
      <c r="AO9746" t="s">
        <v>13929</v>
      </c>
      <c r="AP9746" t="s">
        <v>14056</v>
      </c>
      <c r="AQ9746">
        <v>8</v>
      </c>
      <c r="AR9746" t="s">
        <v>89</v>
      </c>
      <c r="AS9746" t="s">
        <v>90</v>
      </c>
      <c r="AT9746" t="s">
        <v>58</v>
      </c>
      <c r="AU9746" t="s">
        <v>68</v>
      </c>
      <c r="AV9746" t="s">
        <v>69</v>
      </c>
      <c r="AW9746" s="1">
        <v>23812</v>
      </c>
      <c r="AX9746">
        <v>1</v>
      </c>
    </row>
    <row r="9747" spans="1:50">
      <c r="B9747" t="str">
        <f>"112383178"</f>
        <v>112383178</v>
      </c>
      <c r="C9747" t="s">
        <v>50</v>
      </c>
      <c r="D9747" t="s">
        <v>14700</v>
      </c>
      <c r="E9747" t="s">
        <v>801</v>
      </c>
      <c r="F9747" t="s">
        <v>95</v>
      </c>
      <c r="G9747" t="s">
        <v>54</v>
      </c>
      <c r="H9747" t="str">
        <f>"ΚΟΡΑΚΑ "</f>
        <v xml:space="preserve">ΚΟΡΑΚΑ </v>
      </c>
      <c r="I9747">
        <v>73135</v>
      </c>
      <c r="J9747">
        <v>2821093598</v>
      </c>
      <c r="K9747">
        <v>6982999855</v>
      </c>
      <c r="N9747" t="s">
        <v>615</v>
      </c>
      <c r="O9747" t="s">
        <v>616</v>
      </c>
      <c r="R9747" t="s">
        <v>159</v>
      </c>
      <c r="S9747">
        <v>6</v>
      </c>
      <c r="T9747" t="s">
        <v>8675</v>
      </c>
      <c r="U9747" s="1">
        <v>43348</v>
      </c>
      <c r="V9747" t="s">
        <v>89</v>
      </c>
      <c r="W9747" t="s">
        <v>90</v>
      </c>
      <c r="X9747" t="s">
        <v>58</v>
      </c>
      <c r="Y9747">
        <v>24</v>
      </c>
      <c r="Z9747" t="s">
        <v>59</v>
      </c>
      <c r="AA9747" t="s">
        <v>59</v>
      </c>
      <c r="AB9747" t="s">
        <v>59</v>
      </c>
      <c r="AC9747" t="s">
        <v>59</v>
      </c>
      <c r="AD9747" t="s">
        <v>59</v>
      </c>
      <c r="AF9747" s="1">
        <v>43348</v>
      </c>
      <c r="AG9747" t="s">
        <v>8645</v>
      </c>
      <c r="AH9747" t="s">
        <v>8646</v>
      </c>
      <c r="AI9747" t="str">
        <f>"9500093"</f>
        <v>9500093</v>
      </c>
      <c r="AJ9747" t="s">
        <v>13865</v>
      </c>
      <c r="AK9747">
        <v>2821064537</v>
      </c>
      <c r="AL9747" t="s">
        <v>13866</v>
      </c>
      <c r="AM9747" t="s">
        <v>88</v>
      </c>
      <c r="AN9747" t="s">
        <v>88</v>
      </c>
      <c r="AO9747" t="s">
        <v>6770</v>
      </c>
      <c r="AP9747" t="s">
        <v>6771</v>
      </c>
      <c r="AQ9747">
        <v>2</v>
      </c>
      <c r="AR9747" t="s">
        <v>89</v>
      </c>
      <c r="AS9747" t="s">
        <v>90</v>
      </c>
      <c r="AT9747" t="s">
        <v>58</v>
      </c>
      <c r="AU9747" t="s">
        <v>8673</v>
      </c>
      <c r="AV9747" t="s">
        <v>132</v>
      </c>
      <c r="AW9747" s="1">
        <v>27585</v>
      </c>
      <c r="AX9747">
        <v>1</v>
      </c>
    </row>
    <row r="9748" spans="1:50">
      <c r="B9748" t="str">
        <f>"114534663"</f>
        <v>114534663</v>
      </c>
      <c r="C9748" t="s">
        <v>50</v>
      </c>
      <c r="D9748" t="s">
        <v>6083</v>
      </c>
      <c r="E9748" t="s">
        <v>155</v>
      </c>
      <c r="F9748" t="s">
        <v>72</v>
      </c>
      <c r="G9748" t="s">
        <v>563</v>
      </c>
      <c r="H9748" t="str">
        <f>"ΝΙΚΑΙΑ ΛΑΡΙΣΑΣ ΛΑΡΙΣΑ"</f>
        <v>ΝΙΚΑΙΑ ΛΑΡΙΣΑΣ ΛΑΡΙΣΑ</v>
      </c>
      <c r="I9748">
        <v>41500</v>
      </c>
      <c r="J9748">
        <v>2410921874</v>
      </c>
      <c r="K9748">
        <v>6971817374</v>
      </c>
      <c r="N9748" t="s">
        <v>8834</v>
      </c>
      <c r="O9748" t="s">
        <v>8695</v>
      </c>
      <c r="P9748" t="s">
        <v>8694</v>
      </c>
      <c r="Q9748" t="s">
        <v>8695</v>
      </c>
      <c r="R9748" t="s">
        <v>57</v>
      </c>
      <c r="S9748">
        <v>1</v>
      </c>
      <c r="T9748">
        <v>654</v>
      </c>
      <c r="U9748" s="1">
        <v>40788</v>
      </c>
      <c r="V9748" t="s">
        <v>89</v>
      </c>
      <c r="W9748" t="s">
        <v>90</v>
      </c>
      <c r="X9748" t="s">
        <v>58</v>
      </c>
      <c r="Y9748">
        <v>24</v>
      </c>
      <c r="Z9748" t="s">
        <v>59</v>
      </c>
      <c r="AA9748" t="s">
        <v>59</v>
      </c>
      <c r="AB9748" t="s">
        <v>59</v>
      </c>
      <c r="AC9748" t="s">
        <v>59</v>
      </c>
      <c r="AD9748" t="s">
        <v>59</v>
      </c>
      <c r="AF9748" s="1">
        <v>40788</v>
      </c>
      <c r="AG9748" t="s">
        <v>8645</v>
      </c>
      <c r="AH9748" t="s">
        <v>8697</v>
      </c>
      <c r="AI9748" t="str">
        <f>"9521567"</f>
        <v>9521567</v>
      </c>
      <c r="AJ9748" t="s">
        <v>14148</v>
      </c>
      <c r="AK9748">
        <v>2821086921</v>
      </c>
      <c r="AL9748" t="s">
        <v>14149</v>
      </c>
      <c r="AM9748" t="s">
        <v>88</v>
      </c>
      <c r="AN9748" t="s">
        <v>88</v>
      </c>
      <c r="AO9748" t="s">
        <v>88</v>
      </c>
      <c r="AP9748" t="s">
        <v>88</v>
      </c>
      <c r="AQ9748">
        <v>1</v>
      </c>
      <c r="AR9748" t="s">
        <v>89</v>
      </c>
      <c r="AS9748" t="s">
        <v>90</v>
      </c>
      <c r="AT9748" t="s">
        <v>58</v>
      </c>
      <c r="AU9748" t="s">
        <v>68</v>
      </c>
      <c r="AV9748" t="s">
        <v>69</v>
      </c>
      <c r="AW9748" s="1">
        <v>29952</v>
      </c>
      <c r="AX9748">
        <v>1</v>
      </c>
    </row>
    <row r="9749" spans="1:50">
      <c r="A9749">
        <v>587074</v>
      </c>
      <c r="B9749" t="str">
        <f>"062798021"</f>
        <v>062798021</v>
      </c>
      <c r="C9749" t="s">
        <v>50</v>
      </c>
      <c r="D9749" t="s">
        <v>6083</v>
      </c>
      <c r="E9749" t="s">
        <v>563</v>
      </c>
      <c r="F9749" t="s">
        <v>92</v>
      </c>
      <c r="G9749" t="s">
        <v>155</v>
      </c>
      <c r="H9749" t="str">
        <f>"ΠΑΧΙΑΝΩΝ 75 ΧΑΝΙΑ"</f>
        <v>ΠΑΧΙΑΝΩΝ 75 ΧΑΝΙΑ</v>
      </c>
      <c r="I9749">
        <v>73100</v>
      </c>
      <c r="J9749">
        <v>2821086510</v>
      </c>
      <c r="K9749">
        <v>6948245636</v>
      </c>
      <c r="N9749" t="s">
        <v>1525</v>
      </c>
      <c r="O9749" t="s">
        <v>1526</v>
      </c>
      <c r="R9749" t="s">
        <v>57</v>
      </c>
      <c r="S9749">
        <v>12</v>
      </c>
      <c r="T9749">
        <v>165</v>
      </c>
      <c r="U9749" s="1">
        <v>36040</v>
      </c>
      <c r="V9749" t="s">
        <v>89</v>
      </c>
      <c r="W9749" t="s">
        <v>90</v>
      </c>
      <c r="X9749" t="s">
        <v>58</v>
      </c>
      <c r="Y9749">
        <v>25</v>
      </c>
      <c r="Z9749" t="s">
        <v>59</v>
      </c>
      <c r="AA9749" t="s">
        <v>59</v>
      </c>
      <c r="AB9749" t="s">
        <v>59</v>
      </c>
      <c r="AC9749" t="s">
        <v>59</v>
      </c>
      <c r="AD9749" t="s">
        <v>59</v>
      </c>
      <c r="AF9749" s="1">
        <v>36040</v>
      </c>
      <c r="AG9749" t="s">
        <v>8651</v>
      </c>
      <c r="AH9749" t="s">
        <v>8652</v>
      </c>
      <c r="AI9749" t="str">
        <f>"9500250"</f>
        <v>9500250</v>
      </c>
      <c r="AJ9749" t="s">
        <v>13976</v>
      </c>
      <c r="AK9749">
        <v>2821071236</v>
      </c>
      <c r="AL9749" t="s">
        <v>13977</v>
      </c>
      <c r="AM9749" t="s">
        <v>88</v>
      </c>
      <c r="AN9749" t="s">
        <v>88</v>
      </c>
      <c r="AO9749" t="s">
        <v>88</v>
      </c>
      <c r="AP9749" t="s">
        <v>88</v>
      </c>
      <c r="AQ9749">
        <v>1</v>
      </c>
      <c r="AR9749" t="s">
        <v>89</v>
      </c>
      <c r="AS9749" t="s">
        <v>90</v>
      </c>
      <c r="AT9749" t="s">
        <v>58</v>
      </c>
      <c r="AU9749" t="s">
        <v>68</v>
      </c>
      <c r="AV9749" t="s">
        <v>69</v>
      </c>
      <c r="AW9749" s="1">
        <v>24020</v>
      </c>
      <c r="AX9749">
        <v>1</v>
      </c>
    </row>
    <row r="9750" spans="1:50">
      <c r="B9750" t="str">
        <f>"112189007"</f>
        <v>112189007</v>
      </c>
      <c r="C9750" t="s">
        <v>50</v>
      </c>
      <c r="D9750" t="s">
        <v>14701</v>
      </c>
      <c r="E9750" t="s">
        <v>73</v>
      </c>
      <c r="F9750" t="s">
        <v>166</v>
      </c>
      <c r="G9750" t="s">
        <v>809</v>
      </c>
      <c r="H9750" t="str">
        <f>"ΛΑΚΩΝΙΑΣ 31 "</f>
        <v xml:space="preserve">ΛΑΚΩΝΙΑΣ 31 </v>
      </c>
      <c r="I9750">
        <v>14564</v>
      </c>
      <c r="J9750">
        <v>2108033746</v>
      </c>
      <c r="K9750">
        <v>6974829523</v>
      </c>
      <c r="M9750" t="s">
        <v>14702</v>
      </c>
      <c r="N9750" t="s">
        <v>384</v>
      </c>
      <c r="O9750" t="s">
        <v>385</v>
      </c>
      <c r="R9750" t="s">
        <v>121</v>
      </c>
      <c r="S9750">
        <v>1</v>
      </c>
      <c r="T9750" t="s">
        <v>8675</v>
      </c>
      <c r="U9750" s="1">
        <v>43348</v>
      </c>
      <c r="V9750" t="s">
        <v>89</v>
      </c>
      <c r="W9750" t="s">
        <v>90</v>
      </c>
      <c r="X9750" t="s">
        <v>58</v>
      </c>
      <c r="Y9750">
        <v>24</v>
      </c>
      <c r="Z9750" t="s">
        <v>59</v>
      </c>
      <c r="AA9750" t="s">
        <v>59</v>
      </c>
      <c r="AB9750" t="s">
        <v>59</v>
      </c>
      <c r="AC9750" t="s">
        <v>59</v>
      </c>
      <c r="AD9750" t="s">
        <v>59</v>
      </c>
      <c r="AF9750" s="1">
        <v>43348</v>
      </c>
      <c r="AG9750" t="s">
        <v>8645</v>
      </c>
      <c r="AH9750" t="s">
        <v>8646</v>
      </c>
      <c r="AI9750" t="str">
        <f>"9500041"</f>
        <v>9500041</v>
      </c>
      <c r="AJ9750" t="s">
        <v>13944</v>
      </c>
      <c r="AK9750">
        <v>2821028218</v>
      </c>
      <c r="AL9750" t="s">
        <v>13945</v>
      </c>
      <c r="AM9750" t="s">
        <v>88</v>
      </c>
      <c r="AN9750" t="s">
        <v>88</v>
      </c>
      <c r="AO9750" t="s">
        <v>88</v>
      </c>
      <c r="AP9750" t="s">
        <v>88</v>
      </c>
      <c r="AQ9750">
        <v>1</v>
      </c>
      <c r="AR9750" t="s">
        <v>89</v>
      </c>
      <c r="AS9750" t="s">
        <v>90</v>
      </c>
      <c r="AT9750" t="s">
        <v>58</v>
      </c>
      <c r="AU9750" t="s">
        <v>8673</v>
      </c>
      <c r="AV9750" t="s">
        <v>132</v>
      </c>
      <c r="AW9750" s="1">
        <v>27345</v>
      </c>
      <c r="AX9750">
        <v>1</v>
      </c>
    </row>
    <row r="9751" spans="1:50">
      <c r="A9751">
        <v>582469</v>
      </c>
      <c r="B9751" t="str">
        <f>"039725561"</f>
        <v>039725561</v>
      </c>
      <c r="C9751" t="s">
        <v>50</v>
      </c>
      <c r="D9751" t="s">
        <v>2073</v>
      </c>
      <c r="E9751" t="s">
        <v>1355</v>
      </c>
      <c r="F9751" t="s">
        <v>995</v>
      </c>
      <c r="G9751" t="s">
        <v>237</v>
      </c>
      <c r="H9751" t="str">
        <f>"ΤΣΟΝΤΟΥ ΒΑΡΔΑ 6 ΧΑΝΙΑ"</f>
        <v>ΤΣΟΝΤΟΥ ΒΑΡΔΑ 6 ΧΑΝΙΑ</v>
      </c>
      <c r="I9751">
        <v>73100</v>
      </c>
      <c r="J9751">
        <v>2821046403</v>
      </c>
      <c r="K9751">
        <v>6972297560</v>
      </c>
      <c r="N9751" t="s">
        <v>615</v>
      </c>
      <c r="O9751" t="s">
        <v>616</v>
      </c>
      <c r="R9751" t="s">
        <v>57</v>
      </c>
      <c r="S9751">
        <v>13</v>
      </c>
      <c r="T9751">
        <v>179</v>
      </c>
      <c r="U9751" s="1">
        <v>35684</v>
      </c>
      <c r="V9751" t="s">
        <v>89</v>
      </c>
      <c r="W9751" t="s">
        <v>90</v>
      </c>
      <c r="X9751" t="s">
        <v>58</v>
      </c>
      <c r="Y9751">
        <v>21</v>
      </c>
      <c r="Z9751" t="s">
        <v>59</v>
      </c>
      <c r="AA9751" t="s">
        <v>59</v>
      </c>
      <c r="AB9751" t="s">
        <v>59</v>
      </c>
      <c r="AC9751" t="s">
        <v>59</v>
      </c>
      <c r="AD9751" t="s">
        <v>59</v>
      </c>
      <c r="AF9751" s="1">
        <v>35684</v>
      </c>
      <c r="AG9751" t="s">
        <v>8645</v>
      </c>
      <c r="AH9751" t="s">
        <v>8646</v>
      </c>
      <c r="AI9751" t="str">
        <f>"9500078"</f>
        <v>9500078</v>
      </c>
      <c r="AJ9751" t="s">
        <v>13988</v>
      </c>
      <c r="AK9751">
        <v>2821028788</v>
      </c>
      <c r="AL9751" t="s">
        <v>13989</v>
      </c>
      <c r="AM9751" t="s">
        <v>88</v>
      </c>
      <c r="AN9751" t="s">
        <v>88</v>
      </c>
      <c r="AO9751" t="s">
        <v>88</v>
      </c>
      <c r="AP9751" t="s">
        <v>88</v>
      </c>
      <c r="AQ9751">
        <v>1</v>
      </c>
      <c r="AR9751" t="s">
        <v>89</v>
      </c>
      <c r="AS9751" t="s">
        <v>90</v>
      </c>
      <c r="AT9751" t="s">
        <v>58</v>
      </c>
      <c r="AU9751" t="s">
        <v>68</v>
      </c>
      <c r="AV9751" t="s">
        <v>69</v>
      </c>
      <c r="AW9751" s="1">
        <v>24945</v>
      </c>
      <c r="AX9751">
        <v>1</v>
      </c>
    </row>
    <row r="9752" spans="1:50">
      <c r="A9752">
        <v>597142</v>
      </c>
      <c r="B9752" t="str">
        <f>"109126427"</f>
        <v>109126427</v>
      </c>
      <c r="C9752" t="s">
        <v>50</v>
      </c>
      <c r="D9752" t="s">
        <v>6085</v>
      </c>
      <c r="E9752" t="s">
        <v>1074</v>
      </c>
      <c r="F9752" t="s">
        <v>53</v>
      </c>
      <c r="G9752" t="s">
        <v>83</v>
      </c>
      <c r="H9752" t="str">
        <f>" "</f>
        <v xml:space="preserve"> </v>
      </c>
      <c r="J9752">
        <v>2831071923</v>
      </c>
      <c r="K9752">
        <v>6977707456</v>
      </c>
      <c r="N9752" t="s">
        <v>1525</v>
      </c>
      <c r="O9752" t="s">
        <v>1526</v>
      </c>
      <c r="R9752" t="s">
        <v>57</v>
      </c>
      <c r="S9752">
        <v>8</v>
      </c>
      <c r="T9752">
        <v>195</v>
      </c>
      <c r="U9752" s="1">
        <v>37497</v>
      </c>
      <c r="V9752" t="s">
        <v>89</v>
      </c>
      <c r="W9752" t="s">
        <v>90</v>
      </c>
      <c r="X9752" t="s">
        <v>58</v>
      </c>
      <c r="Y9752">
        <v>25</v>
      </c>
      <c r="Z9752" t="s">
        <v>59</v>
      </c>
      <c r="AA9752" t="s">
        <v>59</v>
      </c>
      <c r="AB9752" t="s">
        <v>59</v>
      </c>
      <c r="AC9752" t="s">
        <v>59</v>
      </c>
      <c r="AD9752" t="s">
        <v>59</v>
      </c>
      <c r="AF9752" s="1">
        <v>37503</v>
      </c>
      <c r="AG9752" t="s">
        <v>8651</v>
      </c>
      <c r="AH9752" t="s">
        <v>8652</v>
      </c>
      <c r="AI9752" t="str">
        <f>"9500276"</f>
        <v>9500276</v>
      </c>
      <c r="AJ9752" t="s">
        <v>14703</v>
      </c>
      <c r="AK9752">
        <v>2821054388</v>
      </c>
      <c r="AL9752" t="s">
        <v>14704</v>
      </c>
      <c r="AM9752" t="s">
        <v>88</v>
      </c>
      <c r="AN9752" t="s">
        <v>88</v>
      </c>
      <c r="AO9752" t="s">
        <v>88</v>
      </c>
      <c r="AP9752" t="s">
        <v>88</v>
      </c>
      <c r="AQ9752">
        <v>1</v>
      </c>
      <c r="AR9752" t="s">
        <v>89</v>
      </c>
      <c r="AS9752" t="s">
        <v>90</v>
      </c>
      <c r="AT9752" t="s">
        <v>58</v>
      </c>
      <c r="AU9752" t="s">
        <v>68</v>
      </c>
      <c r="AV9752" t="s">
        <v>69</v>
      </c>
      <c r="AW9752" s="1">
        <v>27274</v>
      </c>
      <c r="AX9752">
        <v>1</v>
      </c>
    </row>
    <row r="9753" spans="1:50">
      <c r="A9753">
        <v>603012</v>
      </c>
      <c r="B9753" t="str">
        <f>"109136027"</f>
        <v>109136027</v>
      </c>
      <c r="C9753" t="s">
        <v>50</v>
      </c>
      <c r="D9753" t="s">
        <v>2079</v>
      </c>
      <c r="E9753" t="s">
        <v>237</v>
      </c>
      <c r="F9753" t="s">
        <v>95</v>
      </c>
      <c r="G9753" t="s">
        <v>382</v>
      </c>
      <c r="H9753" t="str">
        <f>"3Η ΠΑΡ. ΑΚΡΩΤΗΡΙΟΥ ΧΑΝΙΑ"</f>
        <v>3Η ΠΑΡ. ΑΚΡΩΤΗΡΙΟΥ ΧΑΝΙΑ</v>
      </c>
      <c r="I9753">
        <v>73100</v>
      </c>
      <c r="J9753">
        <v>2821049387</v>
      </c>
      <c r="K9753">
        <v>6972506902</v>
      </c>
      <c r="N9753" t="s">
        <v>1525</v>
      </c>
      <c r="O9753" t="s">
        <v>1526</v>
      </c>
      <c r="R9753" t="s">
        <v>57</v>
      </c>
      <c r="S9753">
        <v>9</v>
      </c>
      <c r="T9753">
        <v>207</v>
      </c>
      <c r="U9753" s="1">
        <v>37866</v>
      </c>
      <c r="V9753" t="s">
        <v>89</v>
      </c>
      <c r="W9753" t="s">
        <v>90</v>
      </c>
      <c r="X9753" t="s">
        <v>58</v>
      </c>
      <c r="Y9753">
        <v>25</v>
      </c>
      <c r="Z9753" t="s">
        <v>59</v>
      </c>
      <c r="AA9753" t="s">
        <v>59</v>
      </c>
      <c r="AB9753" t="s">
        <v>59</v>
      </c>
      <c r="AC9753" t="s">
        <v>59</v>
      </c>
      <c r="AD9753" t="s">
        <v>59</v>
      </c>
      <c r="AF9753" s="1">
        <v>37866</v>
      </c>
      <c r="AG9753" t="s">
        <v>8651</v>
      </c>
      <c r="AH9753" t="s">
        <v>8652</v>
      </c>
      <c r="AI9753" t="str">
        <f>"9500301"</f>
        <v>9500301</v>
      </c>
      <c r="AJ9753" t="s">
        <v>14705</v>
      </c>
      <c r="AK9753">
        <v>2821066076</v>
      </c>
      <c r="AL9753" t="s">
        <v>14706</v>
      </c>
      <c r="AM9753" t="s">
        <v>88</v>
      </c>
      <c r="AN9753" t="s">
        <v>88</v>
      </c>
      <c r="AO9753" t="s">
        <v>6770</v>
      </c>
      <c r="AP9753" t="s">
        <v>14015</v>
      </c>
      <c r="AQ9753">
        <v>2</v>
      </c>
      <c r="AR9753" t="s">
        <v>89</v>
      </c>
      <c r="AS9753" t="s">
        <v>90</v>
      </c>
      <c r="AT9753" t="s">
        <v>58</v>
      </c>
      <c r="AU9753" t="s">
        <v>68</v>
      </c>
      <c r="AV9753" t="s">
        <v>69</v>
      </c>
      <c r="AW9753" s="1">
        <v>28249</v>
      </c>
      <c r="AX9753">
        <v>1</v>
      </c>
    </row>
    <row r="9754" spans="1:50">
      <c r="A9754">
        <v>600837</v>
      </c>
      <c r="B9754" t="str">
        <f>"077112208"</f>
        <v>077112208</v>
      </c>
      <c r="C9754" t="s">
        <v>50</v>
      </c>
      <c r="D9754" t="s">
        <v>2079</v>
      </c>
      <c r="E9754" t="s">
        <v>566</v>
      </c>
      <c r="F9754" t="s">
        <v>53</v>
      </c>
      <c r="G9754" t="s">
        <v>755</v>
      </c>
      <c r="H9754" t="str">
        <f>"Ν. ΣΚΟΥΛΑ 66 ΧΑΝΙΑ"</f>
        <v>Ν. ΣΚΟΥΛΑ 66 ΧΑΝΙΑ</v>
      </c>
      <c r="I9754">
        <v>73136</v>
      </c>
      <c r="J9754">
        <v>2821091868</v>
      </c>
      <c r="K9754">
        <v>6944337270</v>
      </c>
      <c r="L9754">
        <v>6973212953</v>
      </c>
      <c r="N9754" t="s">
        <v>615</v>
      </c>
      <c r="O9754" t="s">
        <v>616</v>
      </c>
      <c r="R9754" t="s">
        <v>57</v>
      </c>
      <c r="S9754">
        <v>10</v>
      </c>
      <c r="T9754">
        <v>207</v>
      </c>
      <c r="U9754" s="1">
        <v>37866</v>
      </c>
      <c r="V9754" t="s">
        <v>89</v>
      </c>
      <c r="W9754" t="s">
        <v>90</v>
      </c>
      <c r="X9754" t="s">
        <v>58</v>
      </c>
      <c r="Y9754">
        <v>21</v>
      </c>
      <c r="Z9754" t="s">
        <v>59</v>
      </c>
      <c r="AA9754" t="s">
        <v>59</v>
      </c>
      <c r="AB9754" t="s">
        <v>59</v>
      </c>
      <c r="AC9754" t="s">
        <v>59</v>
      </c>
      <c r="AD9754" t="s">
        <v>59</v>
      </c>
      <c r="AF9754" s="1">
        <v>37866</v>
      </c>
      <c r="AG9754" t="s">
        <v>8645</v>
      </c>
      <c r="AH9754" t="s">
        <v>8646</v>
      </c>
      <c r="AI9754" t="str">
        <f>"9500119"</f>
        <v>9500119</v>
      </c>
      <c r="AJ9754" t="s">
        <v>14286</v>
      </c>
      <c r="AK9754">
        <v>2821095816</v>
      </c>
      <c r="AL9754" t="s">
        <v>14287</v>
      </c>
      <c r="AM9754" t="s">
        <v>88</v>
      </c>
      <c r="AN9754" t="s">
        <v>88</v>
      </c>
      <c r="AO9754" t="s">
        <v>13920</v>
      </c>
      <c r="AP9754" t="s">
        <v>14029</v>
      </c>
      <c r="AQ9754">
        <v>3</v>
      </c>
      <c r="AR9754" t="s">
        <v>89</v>
      </c>
      <c r="AS9754" t="s">
        <v>90</v>
      </c>
      <c r="AT9754" t="s">
        <v>58</v>
      </c>
      <c r="AU9754" t="s">
        <v>68</v>
      </c>
      <c r="AV9754" t="s">
        <v>69</v>
      </c>
      <c r="AW9754" s="1">
        <v>26484</v>
      </c>
      <c r="AX9754">
        <v>1</v>
      </c>
    </row>
    <row r="9755" spans="1:50">
      <c r="A9755">
        <v>608263</v>
      </c>
      <c r="B9755" t="str">
        <f>"101558752"</f>
        <v>101558752</v>
      </c>
      <c r="C9755" t="s">
        <v>50</v>
      </c>
      <c r="D9755" t="s">
        <v>14707</v>
      </c>
      <c r="E9755" t="s">
        <v>1176</v>
      </c>
      <c r="F9755" t="s">
        <v>166</v>
      </c>
      <c r="G9755" t="s">
        <v>563</v>
      </c>
      <c r="H9755" t="str">
        <f>"ΠΛΑΤΗ-ΠΥΘΑΡΙ ΧΑΝΙΑ-ΑΚΡΩΤΗΡΙ"</f>
        <v>ΠΛΑΤΗ-ΠΥΘΑΡΙ ΧΑΝΙΑ-ΑΚΡΩΤΗΡΙ</v>
      </c>
      <c r="I9755">
        <v>73100</v>
      </c>
      <c r="J9755">
        <v>2821072322</v>
      </c>
      <c r="K9755">
        <v>6976797120</v>
      </c>
      <c r="N9755" t="s">
        <v>1525</v>
      </c>
      <c r="O9755" t="s">
        <v>1526</v>
      </c>
      <c r="R9755" t="s">
        <v>57</v>
      </c>
      <c r="S9755">
        <v>8</v>
      </c>
      <c r="T9755">
        <v>217</v>
      </c>
      <c r="U9755" s="1">
        <v>38596</v>
      </c>
      <c r="V9755" t="s">
        <v>89</v>
      </c>
      <c r="W9755" t="s">
        <v>90</v>
      </c>
      <c r="X9755" t="s">
        <v>58</v>
      </c>
      <c r="Y9755">
        <v>25</v>
      </c>
      <c r="Z9755" t="s">
        <v>59</v>
      </c>
      <c r="AA9755" t="s">
        <v>59</v>
      </c>
      <c r="AB9755" t="s">
        <v>59</v>
      </c>
      <c r="AC9755" t="s">
        <v>59</v>
      </c>
      <c r="AD9755" t="s">
        <v>59</v>
      </c>
      <c r="AF9755" s="1">
        <v>38600</v>
      </c>
      <c r="AG9755" t="s">
        <v>8651</v>
      </c>
      <c r="AH9755" t="s">
        <v>8652</v>
      </c>
      <c r="AI9755" t="str">
        <f>"9521554"</f>
        <v>9521554</v>
      </c>
      <c r="AJ9755" t="s">
        <v>14708</v>
      </c>
      <c r="AK9755">
        <v>2821009201</v>
      </c>
      <c r="AL9755" t="s">
        <v>14709</v>
      </c>
      <c r="AM9755" t="s">
        <v>88</v>
      </c>
      <c r="AN9755" t="s">
        <v>88</v>
      </c>
      <c r="AO9755" t="s">
        <v>6770</v>
      </c>
      <c r="AP9755" t="s">
        <v>6771</v>
      </c>
      <c r="AQ9755">
        <v>2</v>
      </c>
      <c r="AR9755" t="s">
        <v>89</v>
      </c>
      <c r="AS9755" t="s">
        <v>90</v>
      </c>
      <c r="AT9755" t="s">
        <v>58</v>
      </c>
      <c r="AU9755" t="s">
        <v>68</v>
      </c>
      <c r="AV9755" t="s">
        <v>69</v>
      </c>
      <c r="AW9755" s="1">
        <v>23824</v>
      </c>
      <c r="AX9755">
        <v>1</v>
      </c>
    </row>
    <row r="9756" spans="1:50">
      <c r="A9756">
        <v>604590</v>
      </c>
      <c r="B9756" t="str">
        <f>"110868440"</f>
        <v>110868440</v>
      </c>
      <c r="C9756" t="s">
        <v>50</v>
      </c>
      <c r="D9756" t="s">
        <v>14710</v>
      </c>
      <c r="E9756" t="s">
        <v>237</v>
      </c>
      <c r="F9756" t="s">
        <v>309</v>
      </c>
      <c r="G9756" t="s">
        <v>1189</v>
      </c>
      <c r="H9756" t="str">
        <f>"ΚΑΣΤΕΛΙ ΚΙΣΑΜΟΥ  ΚΙΣΑΜΟΣ ΧΑΝΙΩΝ"</f>
        <v>ΚΑΣΤΕΛΙ ΚΙΣΑΜΟΥ  ΚΙΣΑΜΟΣ ΧΑΝΙΩΝ</v>
      </c>
      <c r="I9756">
        <v>73400</v>
      </c>
      <c r="J9756">
        <v>2822083442</v>
      </c>
      <c r="K9756">
        <v>6955251606</v>
      </c>
      <c r="N9756" t="s">
        <v>615</v>
      </c>
      <c r="O9756" t="s">
        <v>616</v>
      </c>
      <c r="R9756" t="s">
        <v>57</v>
      </c>
      <c r="S9756">
        <v>7</v>
      </c>
      <c r="T9756">
        <v>231</v>
      </c>
      <c r="U9756" s="1">
        <v>38230</v>
      </c>
      <c r="V9756" t="s">
        <v>89</v>
      </c>
      <c r="W9756" t="s">
        <v>90</v>
      </c>
      <c r="X9756" t="s">
        <v>58</v>
      </c>
      <c r="Y9756">
        <v>22</v>
      </c>
      <c r="Z9756" t="s">
        <v>59</v>
      </c>
      <c r="AA9756" t="s">
        <v>59</v>
      </c>
      <c r="AB9756" t="s">
        <v>59</v>
      </c>
      <c r="AC9756" t="s">
        <v>59</v>
      </c>
      <c r="AD9756" t="s">
        <v>59</v>
      </c>
      <c r="AF9756" s="1">
        <v>38231</v>
      </c>
      <c r="AG9756" t="s">
        <v>8645</v>
      </c>
      <c r="AH9756" t="s">
        <v>8646</v>
      </c>
      <c r="AI9756" t="str">
        <f>"9500191"</f>
        <v>9500191</v>
      </c>
      <c r="AJ9756" t="s">
        <v>13986</v>
      </c>
      <c r="AK9756">
        <v>2822022042</v>
      </c>
      <c r="AL9756" t="s">
        <v>13987</v>
      </c>
      <c r="AM9756" t="s">
        <v>88</v>
      </c>
      <c r="AN9756" t="s">
        <v>6744</v>
      </c>
      <c r="AO9756" t="s">
        <v>6744</v>
      </c>
      <c r="AP9756" t="s">
        <v>6744</v>
      </c>
      <c r="AQ9756">
        <v>9</v>
      </c>
      <c r="AR9756" t="s">
        <v>89</v>
      </c>
      <c r="AS9756" t="s">
        <v>90</v>
      </c>
      <c r="AT9756" t="s">
        <v>58</v>
      </c>
      <c r="AU9756" t="s">
        <v>68</v>
      </c>
      <c r="AV9756" t="s">
        <v>69</v>
      </c>
      <c r="AW9756" s="1">
        <v>29100</v>
      </c>
      <c r="AX9756">
        <v>1</v>
      </c>
    </row>
    <row r="9757" spans="1:50">
      <c r="A9757">
        <v>702106</v>
      </c>
      <c r="B9757" t="str">
        <f>"146562540"</f>
        <v>146562540</v>
      </c>
      <c r="C9757" t="s">
        <v>50</v>
      </c>
      <c r="D9757" t="s">
        <v>14711</v>
      </c>
      <c r="E9757" t="s">
        <v>155</v>
      </c>
      <c r="F9757" t="s">
        <v>202</v>
      </c>
      <c r="G9757" t="s">
        <v>600</v>
      </c>
      <c r="H9757" t="str">
        <f>"ΜΕΣΕΝΙΚΟΛΑΣ ΚΑΡΔΙΤΣΑ"</f>
        <v>ΜΕΣΕΝΙΚΟΛΑΣ ΚΑΡΔΙΤΣΑ</v>
      </c>
      <c r="I9757">
        <v>43100</v>
      </c>
      <c r="J9757">
        <v>2441095103</v>
      </c>
      <c r="K9757">
        <v>6979317844</v>
      </c>
      <c r="M9757" t="s">
        <v>14712</v>
      </c>
      <c r="N9757" t="s">
        <v>615</v>
      </c>
      <c r="O9757" t="s">
        <v>616</v>
      </c>
      <c r="R9757" t="s">
        <v>57</v>
      </c>
      <c r="S9757">
        <v>4</v>
      </c>
      <c r="T9757" t="s">
        <v>6506</v>
      </c>
      <c r="U9757" s="1">
        <v>40413</v>
      </c>
      <c r="V9757" t="s">
        <v>89</v>
      </c>
      <c r="W9757" t="s">
        <v>90</v>
      </c>
      <c r="X9757" t="s">
        <v>58</v>
      </c>
      <c r="Y9757">
        <v>24</v>
      </c>
      <c r="Z9757" t="s">
        <v>59</v>
      </c>
      <c r="AA9757" t="s">
        <v>59</v>
      </c>
      <c r="AB9757" t="s">
        <v>59</v>
      </c>
      <c r="AC9757" t="s">
        <v>59</v>
      </c>
      <c r="AD9757" t="s">
        <v>59</v>
      </c>
      <c r="AF9757" s="1">
        <v>40413</v>
      </c>
      <c r="AG9757" t="s">
        <v>8645</v>
      </c>
      <c r="AH9757" t="s">
        <v>8646</v>
      </c>
      <c r="AI9757" t="str">
        <f>"9500218"</f>
        <v>9500218</v>
      </c>
      <c r="AJ9757" t="s">
        <v>13992</v>
      </c>
      <c r="AK9757">
        <v>2824022216</v>
      </c>
      <c r="AL9757" t="s">
        <v>13993</v>
      </c>
      <c r="AM9757" t="s">
        <v>88</v>
      </c>
      <c r="AN9757" t="s">
        <v>6764</v>
      </c>
      <c r="AO9757" t="s">
        <v>6799</v>
      </c>
      <c r="AP9757" t="s">
        <v>6799</v>
      </c>
      <c r="AQ9757">
        <v>6</v>
      </c>
      <c r="AR9757" t="s">
        <v>89</v>
      </c>
      <c r="AS9757" t="s">
        <v>90</v>
      </c>
      <c r="AT9757" t="s">
        <v>58</v>
      </c>
      <c r="AU9757" t="s">
        <v>68</v>
      </c>
      <c r="AV9757" t="s">
        <v>69</v>
      </c>
      <c r="AW9757" s="1">
        <v>31768</v>
      </c>
      <c r="AX9757">
        <v>1</v>
      </c>
    </row>
    <row r="9758" spans="1:50">
      <c r="A9758">
        <v>618347</v>
      </c>
      <c r="B9758" t="str">
        <f>"128571910"</f>
        <v>128571910</v>
      </c>
      <c r="C9758" t="s">
        <v>50</v>
      </c>
      <c r="D9758" t="s">
        <v>14713</v>
      </c>
      <c r="E9758" t="s">
        <v>563</v>
      </c>
      <c r="F9758" t="s">
        <v>450</v>
      </c>
      <c r="G9758" t="s">
        <v>3249</v>
      </c>
      <c r="H9758" t="str">
        <f>"54ΟΥ ΣΥΝΤ. ΕΛΑΣ 180 ΒΟΛΟΣ"</f>
        <v>54ΟΥ ΣΥΝΤ. ΕΛΑΣ 180 ΒΟΛΟΣ</v>
      </c>
      <c r="I9758">
        <v>38333</v>
      </c>
      <c r="J9758">
        <v>2421047739</v>
      </c>
      <c r="K9758">
        <v>6937181978</v>
      </c>
      <c r="N9758" t="s">
        <v>615</v>
      </c>
      <c r="O9758" t="s">
        <v>616</v>
      </c>
      <c r="R9758" t="s">
        <v>57</v>
      </c>
      <c r="S9758">
        <v>5</v>
      </c>
      <c r="T9758">
        <v>774</v>
      </c>
      <c r="U9758" s="1">
        <v>39680</v>
      </c>
      <c r="V9758" t="s">
        <v>89</v>
      </c>
      <c r="W9758" t="s">
        <v>90</v>
      </c>
      <c r="X9758" t="s">
        <v>58</v>
      </c>
      <c r="Y9758">
        <v>23</v>
      </c>
      <c r="Z9758" t="s">
        <v>59</v>
      </c>
      <c r="AA9758" t="s">
        <v>59</v>
      </c>
      <c r="AB9758" t="s">
        <v>59</v>
      </c>
      <c r="AC9758" t="s">
        <v>59</v>
      </c>
      <c r="AD9758" t="s">
        <v>59</v>
      </c>
      <c r="AF9758" s="1">
        <v>39681</v>
      </c>
      <c r="AG9758" t="s">
        <v>8645</v>
      </c>
      <c r="AH9758" t="s">
        <v>8646</v>
      </c>
      <c r="AI9758" t="str">
        <f>"9500218"</f>
        <v>9500218</v>
      </c>
      <c r="AJ9758" t="s">
        <v>13992</v>
      </c>
      <c r="AK9758">
        <v>2824022216</v>
      </c>
      <c r="AL9758" t="s">
        <v>13993</v>
      </c>
      <c r="AM9758" t="s">
        <v>88</v>
      </c>
      <c r="AN9758" t="s">
        <v>6764</v>
      </c>
      <c r="AO9758" t="s">
        <v>6799</v>
      </c>
      <c r="AP9758" t="s">
        <v>6799</v>
      </c>
      <c r="AQ9758">
        <v>6</v>
      </c>
      <c r="AR9758" t="s">
        <v>89</v>
      </c>
      <c r="AS9758" t="s">
        <v>90</v>
      </c>
      <c r="AT9758" t="s">
        <v>58</v>
      </c>
      <c r="AU9758" t="s">
        <v>68</v>
      </c>
      <c r="AV9758" t="s">
        <v>69</v>
      </c>
      <c r="AW9758" s="1">
        <v>30954</v>
      </c>
      <c r="AX9758">
        <v>1</v>
      </c>
    </row>
    <row r="9759" spans="1:50">
      <c r="A9759">
        <v>565622</v>
      </c>
      <c r="B9759" t="str">
        <f>"033046393"</f>
        <v>033046393</v>
      </c>
      <c r="C9759" t="s">
        <v>50</v>
      </c>
      <c r="D9759" t="s">
        <v>2092</v>
      </c>
      <c r="E9759" t="s">
        <v>237</v>
      </c>
      <c r="F9759" t="s">
        <v>84</v>
      </c>
      <c r="G9759" t="s">
        <v>52</v>
      </c>
      <c r="H9759" t="str">
        <f>"ΚΟΡΝΑΡΟΥ 4 ΧΑΝΙΑ"</f>
        <v>ΚΟΡΝΑΡΟΥ 4 ΧΑΝΙΑ</v>
      </c>
      <c r="I9759">
        <v>73100</v>
      </c>
      <c r="J9759">
        <v>2821053821</v>
      </c>
      <c r="K9759">
        <v>6977393837</v>
      </c>
      <c r="N9759" t="s">
        <v>615</v>
      </c>
      <c r="O9759" t="s">
        <v>616</v>
      </c>
      <c r="R9759" t="s">
        <v>57</v>
      </c>
      <c r="S9759">
        <v>16</v>
      </c>
      <c r="T9759">
        <v>161</v>
      </c>
      <c r="U9759" s="1">
        <v>33119</v>
      </c>
      <c r="V9759" t="s">
        <v>89</v>
      </c>
      <c r="W9759" t="s">
        <v>90</v>
      </c>
      <c r="X9759" t="s">
        <v>58</v>
      </c>
      <c r="Y9759">
        <v>21</v>
      </c>
      <c r="Z9759" t="s">
        <v>59</v>
      </c>
      <c r="AA9759" t="s">
        <v>59</v>
      </c>
      <c r="AB9759" t="s">
        <v>59</v>
      </c>
      <c r="AC9759" t="s">
        <v>59</v>
      </c>
      <c r="AD9759" t="s">
        <v>59</v>
      </c>
      <c r="AF9759" s="1">
        <v>33121</v>
      </c>
      <c r="AG9759" t="s">
        <v>8645</v>
      </c>
      <c r="AH9759" t="s">
        <v>8646</v>
      </c>
      <c r="AI9759" t="str">
        <f>"9500078"</f>
        <v>9500078</v>
      </c>
      <c r="AJ9759" t="s">
        <v>13988</v>
      </c>
      <c r="AK9759">
        <v>2821028788</v>
      </c>
      <c r="AL9759" t="s">
        <v>13989</v>
      </c>
      <c r="AM9759" t="s">
        <v>88</v>
      </c>
      <c r="AN9759" t="s">
        <v>88</v>
      </c>
      <c r="AO9759" t="s">
        <v>88</v>
      </c>
      <c r="AP9759" t="s">
        <v>88</v>
      </c>
      <c r="AQ9759">
        <v>1</v>
      </c>
      <c r="AR9759" t="s">
        <v>89</v>
      </c>
      <c r="AS9759" t="s">
        <v>90</v>
      </c>
      <c r="AT9759" t="s">
        <v>58</v>
      </c>
      <c r="AU9759" t="s">
        <v>68</v>
      </c>
      <c r="AV9759" t="s">
        <v>69</v>
      </c>
      <c r="AW9759" s="1">
        <v>23803</v>
      </c>
      <c r="AX9759">
        <v>1</v>
      </c>
    </row>
    <row r="9760" spans="1:50">
      <c r="A9760">
        <v>190463</v>
      </c>
      <c r="B9760" t="str">
        <f>"052722830"</f>
        <v>052722830</v>
      </c>
      <c r="C9760" t="s">
        <v>50</v>
      </c>
      <c r="D9760" t="s">
        <v>14714</v>
      </c>
      <c r="E9760" t="s">
        <v>237</v>
      </c>
      <c r="F9760" t="s">
        <v>14715</v>
      </c>
      <c r="G9760" t="s">
        <v>14716</v>
      </c>
      <c r="H9760" t="str">
        <f>" "</f>
        <v xml:space="preserve"> </v>
      </c>
      <c r="J9760">
        <v>2821075604</v>
      </c>
      <c r="K9760">
        <v>6934864106</v>
      </c>
      <c r="M9760" t="s">
        <v>14717</v>
      </c>
      <c r="N9760" t="s">
        <v>288</v>
      </c>
      <c r="O9760" t="s">
        <v>289</v>
      </c>
      <c r="R9760" t="s">
        <v>57</v>
      </c>
      <c r="S9760">
        <v>8</v>
      </c>
      <c r="T9760">
        <v>219</v>
      </c>
      <c r="U9760" s="1">
        <v>37134</v>
      </c>
      <c r="V9760" t="s">
        <v>89</v>
      </c>
      <c r="W9760" t="s">
        <v>90</v>
      </c>
      <c r="X9760" t="s">
        <v>58</v>
      </c>
      <c r="Y9760">
        <v>22</v>
      </c>
      <c r="Z9760" t="s">
        <v>59</v>
      </c>
      <c r="AA9760" t="s">
        <v>59</v>
      </c>
      <c r="AB9760" t="s">
        <v>59</v>
      </c>
      <c r="AC9760" t="s">
        <v>59</v>
      </c>
      <c r="AD9760" t="s">
        <v>59</v>
      </c>
      <c r="AF9760" s="1">
        <v>37138</v>
      </c>
      <c r="AG9760" t="s">
        <v>8645</v>
      </c>
      <c r="AH9760" t="s">
        <v>8646</v>
      </c>
      <c r="AI9760" t="str">
        <f>"9500078"</f>
        <v>9500078</v>
      </c>
      <c r="AJ9760" t="s">
        <v>13988</v>
      </c>
      <c r="AK9760">
        <v>2821028788</v>
      </c>
      <c r="AL9760" t="s">
        <v>13989</v>
      </c>
      <c r="AM9760" t="s">
        <v>88</v>
      </c>
      <c r="AN9760" t="s">
        <v>88</v>
      </c>
      <c r="AO9760" t="s">
        <v>88</v>
      </c>
      <c r="AP9760" t="s">
        <v>88</v>
      </c>
      <c r="AQ9760">
        <v>1</v>
      </c>
      <c r="AR9760" t="s">
        <v>89</v>
      </c>
      <c r="AS9760" t="s">
        <v>90</v>
      </c>
      <c r="AT9760" t="s">
        <v>58</v>
      </c>
      <c r="AU9760" t="s">
        <v>68</v>
      </c>
      <c r="AV9760" t="s">
        <v>132</v>
      </c>
      <c r="AW9760" s="1">
        <v>25443</v>
      </c>
      <c r="AX9760">
        <v>1</v>
      </c>
    </row>
    <row r="9761" spans="1:50">
      <c r="A9761">
        <v>604447</v>
      </c>
      <c r="B9761" t="str">
        <f>"053559534"</f>
        <v>053559534</v>
      </c>
      <c r="C9761" t="s">
        <v>50</v>
      </c>
      <c r="D9761" t="s">
        <v>14718</v>
      </c>
      <c r="E9761" t="s">
        <v>964</v>
      </c>
      <c r="F9761" t="s">
        <v>450</v>
      </c>
      <c r="G9761" t="s">
        <v>14719</v>
      </c>
      <c r="H9761" t="str">
        <f>"ΜΕΤΟΧΙ-ΣΤΑΛΟΣ ΣΤΑΛΟΣ-ΧΑΝΙΑ"</f>
        <v>ΜΕΤΟΧΙ-ΣΤΑΛΟΣ ΣΤΑΛΟΣ-ΧΑΝΙΑ</v>
      </c>
      <c r="I9761">
        <v>73134</v>
      </c>
      <c r="J9761">
        <v>2821057935</v>
      </c>
      <c r="K9761">
        <v>6942200848</v>
      </c>
      <c r="N9761" t="s">
        <v>615</v>
      </c>
      <c r="O9761" t="s">
        <v>616</v>
      </c>
      <c r="R9761" t="s">
        <v>57</v>
      </c>
      <c r="S9761">
        <v>9</v>
      </c>
      <c r="T9761">
        <v>231</v>
      </c>
      <c r="U9761" s="1">
        <v>38230</v>
      </c>
      <c r="V9761" t="s">
        <v>89</v>
      </c>
      <c r="W9761" t="s">
        <v>90</v>
      </c>
      <c r="X9761" t="s">
        <v>58</v>
      </c>
      <c r="Y9761">
        <v>22</v>
      </c>
      <c r="Z9761" t="s">
        <v>59</v>
      </c>
      <c r="AA9761" t="s">
        <v>59</v>
      </c>
      <c r="AB9761" t="s">
        <v>59</v>
      </c>
      <c r="AC9761" t="s">
        <v>59</v>
      </c>
      <c r="AD9761" t="s">
        <v>59</v>
      </c>
      <c r="AF9761" s="1">
        <v>38230</v>
      </c>
      <c r="AG9761" t="s">
        <v>8645</v>
      </c>
      <c r="AH9761" t="s">
        <v>8646</v>
      </c>
      <c r="AI9761" t="str">
        <f>"9500403"</f>
        <v>9500403</v>
      </c>
      <c r="AJ9761" t="s">
        <v>14230</v>
      </c>
      <c r="AK9761">
        <v>2821034094</v>
      </c>
      <c r="AL9761" t="s">
        <v>14231</v>
      </c>
      <c r="AM9761" t="s">
        <v>88</v>
      </c>
      <c r="AN9761" t="s">
        <v>88</v>
      </c>
      <c r="AO9761" t="s">
        <v>6785</v>
      </c>
      <c r="AP9761" t="s">
        <v>13932</v>
      </c>
      <c r="AQ9761">
        <v>3</v>
      </c>
      <c r="AR9761" t="s">
        <v>89</v>
      </c>
      <c r="AS9761" t="s">
        <v>90</v>
      </c>
      <c r="AT9761" t="s">
        <v>58</v>
      </c>
      <c r="AU9761" t="s">
        <v>68</v>
      </c>
      <c r="AV9761" t="s">
        <v>69</v>
      </c>
      <c r="AW9761" s="1">
        <v>25475</v>
      </c>
      <c r="AX9761">
        <v>1</v>
      </c>
    </row>
    <row r="9762" spans="1:50">
      <c r="A9762">
        <v>598698</v>
      </c>
      <c r="B9762" t="str">
        <f>"113151285"</f>
        <v>113151285</v>
      </c>
      <c r="C9762" t="s">
        <v>50</v>
      </c>
      <c r="D9762" t="s">
        <v>7463</v>
      </c>
      <c r="E9762" t="s">
        <v>238</v>
      </c>
      <c r="F9762" t="s">
        <v>589</v>
      </c>
      <c r="G9762" t="s">
        <v>71</v>
      </c>
      <c r="H9762" t="str">
        <f>"ΧΟΥΛΙΟΥΠΟΥΛΟΥ 6 ΧΑΝΙΑ"</f>
        <v>ΧΟΥΛΙΟΥΠΟΥΛΟΥ 6 ΧΑΝΙΑ</v>
      </c>
      <c r="I9762">
        <v>73100</v>
      </c>
      <c r="J9762">
        <v>2821075069</v>
      </c>
      <c r="K9762">
        <v>6977201547</v>
      </c>
      <c r="N9762" t="s">
        <v>615</v>
      </c>
      <c r="O9762" t="s">
        <v>616</v>
      </c>
      <c r="R9762" t="s">
        <v>57</v>
      </c>
      <c r="S9762">
        <v>8</v>
      </c>
      <c r="T9762">
        <v>195</v>
      </c>
      <c r="U9762" s="1">
        <v>37497</v>
      </c>
      <c r="V9762" t="s">
        <v>89</v>
      </c>
      <c r="W9762" t="s">
        <v>90</v>
      </c>
      <c r="X9762" t="s">
        <v>58</v>
      </c>
      <c r="Y9762">
        <v>22</v>
      </c>
      <c r="Z9762" t="s">
        <v>59</v>
      </c>
      <c r="AA9762" t="s">
        <v>59</v>
      </c>
      <c r="AB9762" t="s">
        <v>59</v>
      </c>
      <c r="AC9762" t="s">
        <v>59</v>
      </c>
      <c r="AD9762" t="s">
        <v>59</v>
      </c>
      <c r="AF9762" s="1">
        <v>37497</v>
      </c>
      <c r="AG9762" t="s">
        <v>8645</v>
      </c>
      <c r="AH9762" t="s">
        <v>8646</v>
      </c>
      <c r="AI9762" t="str">
        <f>"9500137"</f>
        <v>9500137</v>
      </c>
      <c r="AJ9762" t="s">
        <v>14401</v>
      </c>
      <c r="AK9762">
        <v>2821093156</v>
      </c>
      <c r="AL9762" t="s">
        <v>14402</v>
      </c>
      <c r="AM9762" t="s">
        <v>88</v>
      </c>
      <c r="AN9762" t="s">
        <v>88</v>
      </c>
      <c r="AO9762" t="s">
        <v>88</v>
      </c>
      <c r="AP9762" t="s">
        <v>88</v>
      </c>
      <c r="AQ9762">
        <v>1</v>
      </c>
      <c r="AR9762" t="s">
        <v>89</v>
      </c>
      <c r="AS9762" t="s">
        <v>90</v>
      </c>
      <c r="AT9762" t="s">
        <v>58</v>
      </c>
      <c r="AU9762" t="s">
        <v>68</v>
      </c>
      <c r="AV9762" t="s">
        <v>69</v>
      </c>
      <c r="AW9762" s="1">
        <v>25982</v>
      </c>
      <c r="AX9762">
        <v>1</v>
      </c>
    </row>
    <row r="9763" spans="1:50">
      <c r="A9763">
        <v>614152</v>
      </c>
      <c r="B9763" t="str">
        <f>"122297630"</f>
        <v>122297630</v>
      </c>
      <c r="C9763" t="s">
        <v>50</v>
      </c>
      <c r="D9763" t="s">
        <v>7463</v>
      </c>
      <c r="E9763" t="s">
        <v>83</v>
      </c>
      <c r="F9763" t="s">
        <v>99</v>
      </c>
      <c r="G9763" t="s">
        <v>143</v>
      </c>
      <c r="H9763" t="str">
        <f>"ΔΗΜΑΚΟΠΟΥΛΟΥ 1 ΧΑΝΙΑ"</f>
        <v>ΔΗΜΑΚΟΠΟΥΛΟΥ 1 ΧΑΝΙΑ</v>
      </c>
      <c r="I9763">
        <v>73100</v>
      </c>
      <c r="J9763">
        <v>2821046266</v>
      </c>
      <c r="K9763">
        <v>6946071846</v>
      </c>
      <c r="N9763" t="s">
        <v>615</v>
      </c>
      <c r="O9763" t="s">
        <v>616</v>
      </c>
      <c r="R9763" t="s">
        <v>57</v>
      </c>
      <c r="S9763">
        <v>8</v>
      </c>
      <c r="T9763">
        <v>598</v>
      </c>
      <c r="U9763" s="1">
        <v>39310</v>
      </c>
      <c r="V9763" t="s">
        <v>89</v>
      </c>
      <c r="W9763" t="s">
        <v>90</v>
      </c>
      <c r="X9763" t="s">
        <v>58</v>
      </c>
      <c r="Y9763">
        <v>23</v>
      </c>
      <c r="Z9763" t="s">
        <v>59</v>
      </c>
      <c r="AA9763" t="s">
        <v>59</v>
      </c>
      <c r="AB9763" t="s">
        <v>59</v>
      </c>
      <c r="AC9763" t="s">
        <v>59</v>
      </c>
      <c r="AD9763" t="s">
        <v>59</v>
      </c>
      <c r="AF9763" s="1">
        <v>39310</v>
      </c>
      <c r="AG9763" t="s">
        <v>8645</v>
      </c>
      <c r="AH9763" t="s">
        <v>8646</v>
      </c>
      <c r="AI9763" t="str">
        <f>"9500077"</f>
        <v>9500077</v>
      </c>
      <c r="AJ9763" t="s">
        <v>13903</v>
      </c>
      <c r="AK9763">
        <v>2821054404</v>
      </c>
      <c r="AL9763" t="s">
        <v>13904</v>
      </c>
      <c r="AM9763" t="s">
        <v>88</v>
      </c>
      <c r="AN9763" t="s">
        <v>88</v>
      </c>
      <c r="AO9763" t="s">
        <v>88</v>
      </c>
      <c r="AP9763" t="s">
        <v>88</v>
      </c>
      <c r="AQ9763">
        <v>1</v>
      </c>
      <c r="AR9763" t="s">
        <v>89</v>
      </c>
      <c r="AS9763" t="s">
        <v>90</v>
      </c>
      <c r="AT9763" t="s">
        <v>58</v>
      </c>
      <c r="AU9763" t="s">
        <v>68</v>
      </c>
      <c r="AV9763" t="s">
        <v>69</v>
      </c>
      <c r="AW9763" s="1">
        <v>29046</v>
      </c>
      <c r="AX9763">
        <v>1</v>
      </c>
    </row>
    <row r="9764" spans="1:50">
      <c r="A9764">
        <v>611097</v>
      </c>
      <c r="B9764" t="str">
        <f>"113161149"</f>
        <v>113161149</v>
      </c>
      <c r="C9764" t="s">
        <v>50</v>
      </c>
      <c r="D9764" t="s">
        <v>7463</v>
      </c>
      <c r="E9764" t="s">
        <v>109</v>
      </c>
      <c r="F9764" t="s">
        <v>14720</v>
      </c>
      <c r="G9764" t="s">
        <v>96</v>
      </c>
      <c r="H9764" t="str">
        <f>"ΠΛΑΚΟΥΡΕΣ ΑΚΡΩΤΗΡΙΟΥ ΧΑΝΙΑ"</f>
        <v>ΠΛΑΚΟΥΡΕΣ ΑΚΡΩΤΗΡΙΟΥ ΧΑΝΙΑ</v>
      </c>
      <c r="I9764">
        <v>73100</v>
      </c>
      <c r="J9764">
        <v>2821009026</v>
      </c>
      <c r="K9764">
        <v>6944625515</v>
      </c>
      <c r="N9764" t="s">
        <v>615</v>
      </c>
      <c r="O9764" t="s">
        <v>616</v>
      </c>
      <c r="R9764" t="s">
        <v>57</v>
      </c>
      <c r="S9764">
        <v>6</v>
      </c>
      <c r="T9764">
        <v>233</v>
      </c>
      <c r="U9764" s="1">
        <v>38960</v>
      </c>
      <c r="V9764" t="s">
        <v>89</v>
      </c>
      <c r="W9764" t="s">
        <v>90</v>
      </c>
      <c r="X9764" t="s">
        <v>58</v>
      </c>
      <c r="Y9764">
        <v>23</v>
      </c>
      <c r="Z9764" t="s">
        <v>59</v>
      </c>
      <c r="AA9764" t="s">
        <v>59</v>
      </c>
      <c r="AB9764" t="s">
        <v>59</v>
      </c>
      <c r="AC9764" t="s">
        <v>59</v>
      </c>
      <c r="AD9764" t="s">
        <v>59</v>
      </c>
      <c r="AF9764" s="1">
        <v>38960</v>
      </c>
      <c r="AG9764" t="s">
        <v>8645</v>
      </c>
      <c r="AH9764" t="s">
        <v>8646</v>
      </c>
      <c r="AI9764" t="str">
        <f>"9520693"</f>
        <v>9520693</v>
      </c>
      <c r="AJ9764" t="s">
        <v>13913</v>
      </c>
      <c r="AK9764">
        <v>2821066910</v>
      </c>
      <c r="AL9764" t="s">
        <v>13914</v>
      </c>
      <c r="AM9764" t="s">
        <v>88</v>
      </c>
      <c r="AN9764" t="s">
        <v>88</v>
      </c>
      <c r="AO9764" t="s">
        <v>6770</v>
      </c>
      <c r="AP9764" t="s">
        <v>6771</v>
      </c>
      <c r="AQ9764">
        <v>2</v>
      </c>
      <c r="AR9764" t="s">
        <v>89</v>
      </c>
      <c r="AS9764" t="s">
        <v>90</v>
      </c>
      <c r="AT9764" t="s">
        <v>58</v>
      </c>
      <c r="AU9764" t="s">
        <v>68</v>
      </c>
      <c r="AV9764" t="s">
        <v>69</v>
      </c>
      <c r="AW9764" s="1">
        <v>30078</v>
      </c>
      <c r="AX9764">
        <v>1</v>
      </c>
    </row>
    <row r="9765" spans="1:50">
      <c r="A9765">
        <v>575625</v>
      </c>
      <c r="B9765" t="str">
        <f>"037562667"</f>
        <v>037562667</v>
      </c>
      <c r="C9765" t="s">
        <v>50</v>
      </c>
      <c r="D9765" t="s">
        <v>14721</v>
      </c>
      <c r="E9765" t="s">
        <v>1085</v>
      </c>
      <c r="F9765" t="s">
        <v>309</v>
      </c>
      <c r="G9765" t="s">
        <v>2205</v>
      </c>
      <c r="H9765" t="str">
        <f>"Αργυρόκαστρου 12 Παπάγου"</f>
        <v>Αργυρόκαστρου 12 Παπάγου</v>
      </c>
      <c r="I9765">
        <v>15669</v>
      </c>
      <c r="J9765">
        <v>2103306894</v>
      </c>
      <c r="K9765">
        <v>6934526079</v>
      </c>
      <c r="L9765">
        <v>2821052988</v>
      </c>
      <c r="M9765" t="s">
        <v>14722</v>
      </c>
      <c r="N9765" t="s">
        <v>615</v>
      </c>
      <c r="O9765" t="s">
        <v>616</v>
      </c>
      <c r="R9765" t="s">
        <v>57</v>
      </c>
      <c r="S9765">
        <v>13</v>
      </c>
      <c r="T9765">
        <v>184</v>
      </c>
      <c r="U9765" s="1">
        <v>34941</v>
      </c>
      <c r="V9765" t="s">
        <v>89</v>
      </c>
      <c r="W9765" t="s">
        <v>90</v>
      </c>
      <c r="X9765" t="s">
        <v>58</v>
      </c>
      <c r="Y9765">
        <v>21</v>
      </c>
      <c r="Z9765" t="s">
        <v>59</v>
      </c>
      <c r="AA9765" t="s">
        <v>59</v>
      </c>
      <c r="AB9765" t="s">
        <v>59</v>
      </c>
      <c r="AC9765" t="s">
        <v>59</v>
      </c>
      <c r="AD9765" t="s">
        <v>59</v>
      </c>
      <c r="AF9765" s="1">
        <v>34949</v>
      </c>
      <c r="AG9765" t="s">
        <v>8645</v>
      </c>
      <c r="AH9765" t="s">
        <v>8646</v>
      </c>
      <c r="AI9765" t="str">
        <f>"9500077"</f>
        <v>9500077</v>
      </c>
      <c r="AJ9765" t="s">
        <v>13903</v>
      </c>
      <c r="AK9765">
        <v>2821054404</v>
      </c>
      <c r="AL9765" t="s">
        <v>13904</v>
      </c>
      <c r="AM9765" t="s">
        <v>88</v>
      </c>
      <c r="AN9765" t="s">
        <v>88</v>
      </c>
      <c r="AO9765" t="s">
        <v>88</v>
      </c>
      <c r="AP9765" t="s">
        <v>88</v>
      </c>
      <c r="AQ9765">
        <v>1</v>
      </c>
      <c r="AR9765" t="s">
        <v>89</v>
      </c>
      <c r="AS9765" t="s">
        <v>90</v>
      </c>
      <c r="AT9765" t="s">
        <v>58</v>
      </c>
      <c r="AU9765" t="s">
        <v>68</v>
      </c>
      <c r="AV9765" t="s">
        <v>69</v>
      </c>
      <c r="AW9765" s="1">
        <v>24482</v>
      </c>
      <c r="AX9765">
        <v>1</v>
      </c>
    </row>
    <row r="9766" spans="1:50">
      <c r="B9766" t="str">
        <f>"147307796"</f>
        <v>147307796</v>
      </c>
      <c r="C9766" t="s">
        <v>50</v>
      </c>
      <c r="D9766" t="s">
        <v>14723</v>
      </c>
      <c r="E9766" t="s">
        <v>610</v>
      </c>
      <c r="F9766" t="s">
        <v>153</v>
      </c>
      <c r="G9766" t="s">
        <v>181</v>
      </c>
      <c r="H9766" t="str">
        <f>"ΟΡΕΣΤΟΥ 45 "</f>
        <v xml:space="preserve">ΟΡΕΣΤΟΥ 45 </v>
      </c>
      <c r="I9766">
        <v>54642</v>
      </c>
      <c r="J9766">
        <v>2310842276</v>
      </c>
      <c r="K9766">
        <v>6983004035</v>
      </c>
      <c r="N9766" t="s">
        <v>615</v>
      </c>
      <c r="O9766" t="s">
        <v>616</v>
      </c>
      <c r="R9766" t="s">
        <v>159</v>
      </c>
      <c r="S9766">
        <v>3</v>
      </c>
      <c r="T9766" t="s">
        <v>8675</v>
      </c>
      <c r="U9766" s="1">
        <v>43348</v>
      </c>
      <c r="V9766" t="s">
        <v>89</v>
      </c>
      <c r="W9766" t="s">
        <v>90</v>
      </c>
      <c r="X9766" t="s">
        <v>58</v>
      </c>
      <c r="Y9766">
        <v>24</v>
      </c>
      <c r="Z9766" t="s">
        <v>59</v>
      </c>
      <c r="AA9766" t="s">
        <v>59</v>
      </c>
      <c r="AB9766" t="s">
        <v>59</v>
      </c>
      <c r="AC9766" t="s">
        <v>59</v>
      </c>
      <c r="AD9766" t="s">
        <v>59</v>
      </c>
      <c r="AF9766" s="1">
        <v>43348</v>
      </c>
      <c r="AG9766" t="s">
        <v>8645</v>
      </c>
      <c r="AH9766" t="s">
        <v>8646</v>
      </c>
      <c r="AI9766" t="str">
        <f>"9500153"</f>
        <v>9500153</v>
      </c>
      <c r="AJ9766" t="s">
        <v>14103</v>
      </c>
      <c r="AK9766">
        <v>2821061267</v>
      </c>
      <c r="AL9766" t="s">
        <v>14104</v>
      </c>
      <c r="AM9766" t="s">
        <v>88</v>
      </c>
      <c r="AN9766" t="s">
        <v>6764</v>
      </c>
      <c r="AO9766" t="s">
        <v>6764</v>
      </c>
      <c r="AP9766" t="s">
        <v>12913</v>
      </c>
      <c r="AQ9766">
        <v>10</v>
      </c>
      <c r="AR9766" t="s">
        <v>89</v>
      </c>
      <c r="AS9766" t="s">
        <v>90</v>
      </c>
      <c r="AT9766" t="s">
        <v>58</v>
      </c>
      <c r="AU9766" t="s">
        <v>8673</v>
      </c>
      <c r="AV9766" t="s">
        <v>132</v>
      </c>
      <c r="AW9766" s="1">
        <v>32143</v>
      </c>
      <c r="AX9766">
        <v>1</v>
      </c>
    </row>
    <row r="9767" spans="1:50">
      <c r="A9767">
        <v>609808</v>
      </c>
      <c r="B9767" t="str">
        <f>"067126309"</f>
        <v>067126309</v>
      </c>
      <c r="C9767" t="s">
        <v>50</v>
      </c>
      <c r="D9767" t="s">
        <v>14724</v>
      </c>
      <c r="E9767" t="s">
        <v>263</v>
      </c>
      <c r="F9767" t="s">
        <v>510</v>
      </c>
      <c r="G9767" t="s">
        <v>4127</v>
      </c>
      <c r="H9767" t="str">
        <f>"ΒΑΜΟΣ ΑΠΟΚΟΡΩΝΟΥ ΧΑΝΙΑ"</f>
        <v>ΒΑΜΟΣ ΑΠΟΚΟΡΩΝΟΥ ΧΑΝΙΑ</v>
      </c>
      <c r="I9767">
        <v>73008</v>
      </c>
      <c r="J9767">
        <v>2825022827</v>
      </c>
      <c r="K9767">
        <v>6974932253</v>
      </c>
      <c r="L9767">
        <v>2104410740</v>
      </c>
      <c r="N9767" t="s">
        <v>306</v>
      </c>
      <c r="O9767" t="s">
        <v>307</v>
      </c>
      <c r="R9767" t="s">
        <v>57</v>
      </c>
      <c r="S9767">
        <v>8</v>
      </c>
      <c r="T9767">
        <v>249</v>
      </c>
      <c r="U9767" s="1">
        <v>38617</v>
      </c>
      <c r="V9767" t="s">
        <v>89</v>
      </c>
      <c r="W9767" t="s">
        <v>90</v>
      </c>
      <c r="X9767" t="s">
        <v>58</v>
      </c>
      <c r="Y9767">
        <v>23</v>
      </c>
      <c r="Z9767" t="s">
        <v>59</v>
      </c>
      <c r="AA9767" t="s">
        <v>59</v>
      </c>
      <c r="AB9767" t="s">
        <v>59</v>
      </c>
      <c r="AC9767" t="s">
        <v>59</v>
      </c>
      <c r="AD9767" t="s">
        <v>59</v>
      </c>
      <c r="AF9767" s="1">
        <v>38617</v>
      </c>
      <c r="AG9767" t="s">
        <v>8645</v>
      </c>
      <c r="AH9767" t="s">
        <v>8646</v>
      </c>
      <c r="AI9767" t="str">
        <f>"9500017"</f>
        <v>9500017</v>
      </c>
      <c r="AJ9767" t="s">
        <v>13873</v>
      </c>
      <c r="AK9767">
        <v>2825083173</v>
      </c>
      <c r="AL9767" t="s">
        <v>13874</v>
      </c>
      <c r="AM9767" t="s">
        <v>88</v>
      </c>
      <c r="AN9767" t="s">
        <v>6775</v>
      </c>
      <c r="AO9767" t="s">
        <v>11883</v>
      </c>
      <c r="AP9767" t="s">
        <v>13875</v>
      </c>
      <c r="AQ9767">
        <v>7</v>
      </c>
      <c r="AR9767" t="s">
        <v>89</v>
      </c>
      <c r="AS9767" t="s">
        <v>90</v>
      </c>
      <c r="AT9767" t="s">
        <v>58</v>
      </c>
      <c r="AU9767" t="s">
        <v>68</v>
      </c>
      <c r="AV9767" t="s">
        <v>69</v>
      </c>
      <c r="AW9767" s="1">
        <v>28173</v>
      </c>
      <c r="AX9767">
        <v>1</v>
      </c>
    </row>
    <row r="9768" spans="1:50">
      <c r="A9768">
        <v>579866</v>
      </c>
      <c r="B9768" t="str">
        <f>"113192913"</f>
        <v>113192913</v>
      </c>
      <c r="C9768" t="s">
        <v>50</v>
      </c>
      <c r="D9768" t="s">
        <v>14725</v>
      </c>
      <c r="E9768" t="s">
        <v>3866</v>
      </c>
      <c r="F9768" t="s">
        <v>92</v>
      </c>
      <c r="G9768" t="s">
        <v>484</v>
      </c>
      <c r="H9768" t="str">
        <f>"ΚΑΘΙΑΝΑ ΑΚΡΩΤΗΡΙ-ΧΑΝΙΑ"</f>
        <v>ΚΑΘΙΑΝΑ ΑΚΡΩΤΗΡΙ-ΧΑΝΙΑ</v>
      </c>
      <c r="I9768">
        <v>73132</v>
      </c>
      <c r="J9768">
        <v>2821063844</v>
      </c>
      <c r="K9768">
        <v>6945953632</v>
      </c>
      <c r="N9768" t="s">
        <v>1525</v>
      </c>
      <c r="O9768" t="s">
        <v>1526</v>
      </c>
      <c r="R9768" t="s">
        <v>57</v>
      </c>
      <c r="S9768">
        <v>12</v>
      </c>
      <c r="T9768">
        <v>165</v>
      </c>
      <c r="U9768" s="1">
        <v>35300</v>
      </c>
      <c r="V9768" t="s">
        <v>89</v>
      </c>
      <c r="W9768" t="s">
        <v>90</v>
      </c>
      <c r="X9768" t="s">
        <v>58</v>
      </c>
      <c r="Y9768">
        <v>25</v>
      </c>
      <c r="Z9768" t="s">
        <v>59</v>
      </c>
      <c r="AA9768" t="s">
        <v>59</v>
      </c>
      <c r="AB9768" t="s">
        <v>59</v>
      </c>
      <c r="AC9768" t="s">
        <v>59</v>
      </c>
      <c r="AD9768" t="s">
        <v>59</v>
      </c>
      <c r="AF9768" s="1">
        <v>35310</v>
      </c>
      <c r="AG9768" t="s">
        <v>8651</v>
      </c>
      <c r="AH9768" t="s">
        <v>8652</v>
      </c>
      <c r="AI9768" t="str">
        <f>"9520720"</f>
        <v>9520720</v>
      </c>
      <c r="AJ9768" t="s">
        <v>14726</v>
      </c>
      <c r="AK9768">
        <v>2821066510</v>
      </c>
      <c r="AL9768" t="s">
        <v>14727</v>
      </c>
      <c r="AM9768" t="s">
        <v>88</v>
      </c>
      <c r="AN9768" t="s">
        <v>88</v>
      </c>
      <c r="AO9768" t="s">
        <v>6770</v>
      </c>
      <c r="AP9768" t="s">
        <v>6771</v>
      </c>
      <c r="AQ9768">
        <v>2</v>
      </c>
      <c r="AR9768" t="s">
        <v>89</v>
      </c>
      <c r="AS9768" t="s">
        <v>90</v>
      </c>
      <c r="AT9768" t="s">
        <v>58</v>
      </c>
      <c r="AU9768" t="s">
        <v>68</v>
      </c>
      <c r="AV9768" t="s">
        <v>69</v>
      </c>
      <c r="AW9768" s="1">
        <v>23477</v>
      </c>
      <c r="AX9768">
        <v>1</v>
      </c>
    </row>
    <row r="9769" spans="1:50">
      <c r="A9769">
        <v>609369</v>
      </c>
      <c r="B9769" t="str">
        <f>"059873954"</f>
        <v>059873954</v>
      </c>
      <c r="C9769" t="s">
        <v>105</v>
      </c>
      <c r="D9769" t="s">
        <v>14728</v>
      </c>
      <c r="E9769" t="s">
        <v>900</v>
      </c>
      <c r="F9769" t="s">
        <v>1070</v>
      </c>
      <c r="G9769" t="s">
        <v>378</v>
      </c>
      <c r="H9769" t="str">
        <f>"ΑΓ.ΦΑΝΟΥΡΙΟΥ 194 ΚΑΛΑΜΑΚΙ"</f>
        <v>ΑΓ.ΦΑΝΟΥΡΙΟΥ 194 ΚΑΛΑΜΑΚΙ</v>
      </c>
      <c r="I9769">
        <v>73100</v>
      </c>
      <c r="J9769">
        <v>2821074167</v>
      </c>
      <c r="K9769">
        <v>6945773373</v>
      </c>
      <c r="N9769" t="s">
        <v>176</v>
      </c>
      <c r="O9769" t="s">
        <v>177</v>
      </c>
      <c r="R9769" t="s">
        <v>57</v>
      </c>
      <c r="S9769">
        <v>8</v>
      </c>
      <c r="T9769">
        <v>218</v>
      </c>
      <c r="U9769" s="1">
        <v>38596</v>
      </c>
      <c r="V9769" t="s">
        <v>89</v>
      </c>
      <c r="W9769" t="s">
        <v>90</v>
      </c>
      <c r="X9769" t="s">
        <v>58</v>
      </c>
      <c r="Y9769">
        <v>22</v>
      </c>
      <c r="Z9769" t="s">
        <v>59</v>
      </c>
      <c r="AA9769" t="s">
        <v>59</v>
      </c>
      <c r="AB9769" t="s">
        <v>59</v>
      </c>
      <c r="AC9769" t="s">
        <v>59</v>
      </c>
      <c r="AD9769" t="s">
        <v>59</v>
      </c>
      <c r="AF9769" s="1">
        <v>38596</v>
      </c>
      <c r="AG9769" t="s">
        <v>8645</v>
      </c>
      <c r="AH9769" t="s">
        <v>8646</v>
      </c>
      <c r="AI9769" t="str">
        <f>"9500408"</f>
        <v>9500408</v>
      </c>
      <c r="AJ9769" t="s">
        <v>13981</v>
      </c>
      <c r="AK9769">
        <v>2821081655</v>
      </c>
      <c r="AL9769" t="s">
        <v>13982</v>
      </c>
      <c r="AM9769" t="s">
        <v>88</v>
      </c>
      <c r="AN9769" t="s">
        <v>88</v>
      </c>
      <c r="AO9769" t="s">
        <v>6748</v>
      </c>
      <c r="AP9769" t="s">
        <v>6748</v>
      </c>
      <c r="AQ9769">
        <v>2</v>
      </c>
      <c r="AR9769" t="s">
        <v>89</v>
      </c>
      <c r="AS9769" t="s">
        <v>90</v>
      </c>
      <c r="AT9769" t="s">
        <v>58</v>
      </c>
      <c r="AU9769" t="s">
        <v>68</v>
      </c>
      <c r="AV9769" t="s">
        <v>69</v>
      </c>
      <c r="AW9769" s="1">
        <v>26691</v>
      </c>
      <c r="AX9769">
        <v>1</v>
      </c>
    </row>
    <row r="9770" spans="1:50">
      <c r="A9770">
        <v>607358</v>
      </c>
      <c r="B9770" t="str">
        <f>"120212236"</f>
        <v>120212236</v>
      </c>
      <c r="C9770" t="s">
        <v>50</v>
      </c>
      <c r="D9770" t="s">
        <v>14729</v>
      </c>
      <c r="E9770" t="s">
        <v>52</v>
      </c>
      <c r="F9770" t="s">
        <v>92</v>
      </c>
      <c r="G9770" t="s">
        <v>52</v>
      </c>
      <c r="H9770" t="str">
        <f>" "</f>
        <v xml:space="preserve"> </v>
      </c>
      <c r="J9770">
        <v>2825061063</v>
      </c>
      <c r="K9770">
        <v>6936956323</v>
      </c>
      <c r="N9770" t="s">
        <v>615</v>
      </c>
      <c r="O9770" t="s">
        <v>616</v>
      </c>
      <c r="R9770" t="s">
        <v>57</v>
      </c>
      <c r="S9770">
        <v>7</v>
      </c>
      <c r="T9770">
        <v>217</v>
      </c>
      <c r="U9770" s="1">
        <v>38596</v>
      </c>
      <c r="V9770" t="s">
        <v>89</v>
      </c>
      <c r="W9770" t="s">
        <v>90</v>
      </c>
      <c r="X9770" t="s">
        <v>58</v>
      </c>
      <c r="Y9770">
        <v>23</v>
      </c>
      <c r="Z9770" t="s">
        <v>59</v>
      </c>
      <c r="AA9770" t="s">
        <v>59</v>
      </c>
      <c r="AB9770" t="s">
        <v>59</v>
      </c>
      <c r="AC9770" t="s">
        <v>59</v>
      </c>
      <c r="AD9770" t="s">
        <v>59</v>
      </c>
      <c r="AF9770" s="1">
        <v>38596</v>
      </c>
      <c r="AG9770" t="s">
        <v>8645</v>
      </c>
      <c r="AH9770" t="s">
        <v>8646</v>
      </c>
      <c r="AI9770" t="str">
        <f>"9500407"</f>
        <v>9500407</v>
      </c>
      <c r="AJ9770" t="s">
        <v>13867</v>
      </c>
      <c r="AK9770">
        <v>2821089224</v>
      </c>
      <c r="AL9770" t="s">
        <v>13868</v>
      </c>
      <c r="AM9770" t="s">
        <v>88</v>
      </c>
      <c r="AN9770" t="s">
        <v>88</v>
      </c>
      <c r="AO9770" t="s">
        <v>6748</v>
      </c>
      <c r="AP9770" t="s">
        <v>6748</v>
      </c>
      <c r="AQ9770">
        <v>2</v>
      </c>
      <c r="AR9770" t="s">
        <v>89</v>
      </c>
      <c r="AS9770" t="s">
        <v>90</v>
      </c>
      <c r="AT9770" t="s">
        <v>58</v>
      </c>
      <c r="AU9770" t="s">
        <v>68</v>
      </c>
      <c r="AV9770" t="s">
        <v>1092</v>
      </c>
      <c r="AW9770" s="1">
        <v>27924</v>
      </c>
      <c r="AX9770">
        <v>1</v>
      </c>
    </row>
    <row r="9771" spans="1:50">
      <c r="A9771">
        <v>621617</v>
      </c>
      <c r="B9771" t="str">
        <f>"134848620"</f>
        <v>134848620</v>
      </c>
      <c r="C9771" t="s">
        <v>50</v>
      </c>
      <c r="D9771" t="s">
        <v>14730</v>
      </c>
      <c r="E9771" t="s">
        <v>1074</v>
      </c>
      <c r="F9771" t="s">
        <v>1841</v>
      </c>
      <c r="G9771" t="s">
        <v>1189</v>
      </c>
      <c r="H9771" t="str">
        <f>"Μ. ΑΛΕΞΑΝΔΡΟΥ 100 ΓΙΑΝΝΙΤΣΑ"</f>
        <v>Μ. ΑΛΕΞΑΝΔΡΟΥ 100 ΓΙΑΝΝΙΤΣΑ</v>
      </c>
      <c r="I9771">
        <v>58100</v>
      </c>
      <c r="J9771">
        <v>2382024948</v>
      </c>
      <c r="K9771">
        <v>6948519160</v>
      </c>
      <c r="N9771" t="s">
        <v>615</v>
      </c>
      <c r="O9771" t="s">
        <v>616</v>
      </c>
      <c r="R9771" t="s">
        <v>57</v>
      </c>
      <c r="S9771">
        <v>4</v>
      </c>
      <c r="T9771">
        <v>653</v>
      </c>
      <c r="U9771" s="1">
        <v>40043</v>
      </c>
      <c r="V9771" t="s">
        <v>89</v>
      </c>
      <c r="W9771" t="s">
        <v>90</v>
      </c>
      <c r="X9771" t="s">
        <v>58</v>
      </c>
      <c r="Y9771">
        <v>23</v>
      </c>
      <c r="Z9771" t="s">
        <v>59</v>
      </c>
      <c r="AA9771" t="s">
        <v>59</v>
      </c>
      <c r="AB9771" t="s">
        <v>59</v>
      </c>
      <c r="AC9771" t="s">
        <v>59</v>
      </c>
      <c r="AD9771" t="s">
        <v>59</v>
      </c>
      <c r="AF9771" s="1">
        <v>40043</v>
      </c>
      <c r="AG9771" t="s">
        <v>8645</v>
      </c>
      <c r="AH9771" t="s">
        <v>8646</v>
      </c>
      <c r="AI9771" t="str">
        <f>"9500338"</f>
        <v>9500338</v>
      </c>
      <c r="AJ9771" t="s">
        <v>13959</v>
      </c>
      <c r="AK9771">
        <v>2821040556</v>
      </c>
      <c r="AL9771" t="s">
        <v>13960</v>
      </c>
      <c r="AM9771" t="s">
        <v>88</v>
      </c>
      <c r="AN9771" t="s">
        <v>88</v>
      </c>
      <c r="AO9771" t="s">
        <v>88</v>
      </c>
      <c r="AP9771" t="s">
        <v>88</v>
      </c>
      <c r="AQ9771">
        <v>1</v>
      </c>
      <c r="AR9771" t="s">
        <v>89</v>
      </c>
      <c r="AS9771" t="s">
        <v>90</v>
      </c>
      <c r="AT9771" t="s">
        <v>58</v>
      </c>
      <c r="AU9771" t="s">
        <v>68</v>
      </c>
      <c r="AV9771" t="s">
        <v>69</v>
      </c>
      <c r="AW9771" s="1">
        <v>31709</v>
      </c>
      <c r="AX9771">
        <v>1</v>
      </c>
    </row>
    <row r="9772" spans="1:50">
      <c r="A9772">
        <v>621729</v>
      </c>
      <c r="B9772" t="str">
        <f>"136703437"</f>
        <v>136703437</v>
      </c>
      <c r="C9772" t="s">
        <v>50</v>
      </c>
      <c r="D9772" t="s">
        <v>14731</v>
      </c>
      <c r="E9772" t="s">
        <v>52</v>
      </c>
      <c r="F9772" t="s">
        <v>383</v>
      </c>
      <c r="G9772" t="s">
        <v>255</v>
      </c>
      <c r="H9772" t="str">
        <f>"ΝΕΑΡΧΟΥ 11 ΧΑΝΙΑ"</f>
        <v>ΝΕΑΡΧΟΥ 11 ΧΑΝΙΑ</v>
      </c>
      <c r="I9772">
        <v>73100</v>
      </c>
      <c r="K9772">
        <v>6980527722</v>
      </c>
      <c r="N9772" t="s">
        <v>615</v>
      </c>
      <c r="O9772" t="s">
        <v>616</v>
      </c>
      <c r="R9772" t="s">
        <v>57</v>
      </c>
      <c r="S9772">
        <v>6</v>
      </c>
      <c r="T9772">
        <v>653</v>
      </c>
      <c r="U9772" s="1">
        <v>40043</v>
      </c>
      <c r="V9772" t="s">
        <v>89</v>
      </c>
      <c r="W9772" t="s">
        <v>90</v>
      </c>
      <c r="X9772" t="s">
        <v>58</v>
      </c>
      <c r="Y9772">
        <v>23</v>
      </c>
      <c r="Z9772" t="s">
        <v>59</v>
      </c>
      <c r="AA9772" t="s">
        <v>59</v>
      </c>
      <c r="AB9772" t="s">
        <v>59</v>
      </c>
      <c r="AC9772" t="s">
        <v>59</v>
      </c>
      <c r="AD9772" t="s">
        <v>59</v>
      </c>
      <c r="AF9772" s="1">
        <v>40045</v>
      </c>
      <c r="AG9772" t="s">
        <v>8645</v>
      </c>
      <c r="AH9772" t="s">
        <v>8646</v>
      </c>
      <c r="AI9772" t="str">
        <f>"9500083"</f>
        <v>9500083</v>
      </c>
      <c r="AJ9772" t="s">
        <v>14239</v>
      </c>
      <c r="AK9772">
        <v>2821063500</v>
      </c>
      <c r="AL9772" t="s">
        <v>14240</v>
      </c>
      <c r="AM9772" t="s">
        <v>88</v>
      </c>
      <c r="AN9772" t="s">
        <v>88</v>
      </c>
      <c r="AO9772" t="s">
        <v>6770</v>
      </c>
      <c r="AP9772" t="s">
        <v>14090</v>
      </c>
      <c r="AQ9772">
        <v>2</v>
      </c>
      <c r="AR9772" t="s">
        <v>89</v>
      </c>
      <c r="AS9772" t="s">
        <v>90</v>
      </c>
      <c r="AT9772" t="s">
        <v>58</v>
      </c>
      <c r="AU9772" t="s">
        <v>68</v>
      </c>
      <c r="AV9772" t="s">
        <v>69</v>
      </c>
      <c r="AW9772" s="1">
        <v>31144</v>
      </c>
      <c r="AX9772">
        <v>1</v>
      </c>
    </row>
    <row r="9773" spans="1:50">
      <c r="B9773" t="str">
        <f>"134838072"</f>
        <v>134838072</v>
      </c>
      <c r="C9773" t="s">
        <v>50</v>
      </c>
      <c r="D9773" t="s">
        <v>14732</v>
      </c>
      <c r="E9773" t="s">
        <v>155</v>
      </c>
      <c r="F9773" t="s">
        <v>2632</v>
      </c>
      <c r="G9773" t="s">
        <v>5887</v>
      </c>
      <c r="H9773" t="str">
        <f>"ΠΑΛΑΙΦΥΤΟ Μ. ΑΛΕΞΑΝΔΡΟΥ "</f>
        <v xml:space="preserve">ΠΑΛΑΙΦΥΤΟ Μ. ΑΛΕΞΑΝΔΡΟΥ </v>
      </c>
      <c r="I9773">
        <v>58100</v>
      </c>
      <c r="J9773">
        <v>2382042213</v>
      </c>
      <c r="K9773">
        <v>6932520855</v>
      </c>
      <c r="N9773" t="s">
        <v>8694</v>
      </c>
      <c r="O9773" t="s">
        <v>8695</v>
      </c>
      <c r="R9773" t="s">
        <v>159</v>
      </c>
      <c r="S9773">
        <v>6</v>
      </c>
      <c r="T9773" t="s">
        <v>8696</v>
      </c>
      <c r="U9773" s="1">
        <v>43348</v>
      </c>
      <c r="V9773" t="s">
        <v>89</v>
      </c>
      <c r="W9773" t="s">
        <v>90</v>
      </c>
      <c r="X9773" t="s">
        <v>58</v>
      </c>
      <c r="Y9773">
        <v>24</v>
      </c>
      <c r="Z9773" t="s">
        <v>59</v>
      </c>
      <c r="AA9773" t="s">
        <v>59</v>
      </c>
      <c r="AB9773" t="s">
        <v>59</v>
      </c>
      <c r="AC9773" t="s">
        <v>59</v>
      </c>
      <c r="AD9773" t="s">
        <v>59</v>
      </c>
      <c r="AF9773" s="1">
        <v>43348</v>
      </c>
      <c r="AG9773" t="s">
        <v>8645</v>
      </c>
      <c r="AH9773" t="s">
        <v>8646</v>
      </c>
      <c r="AI9773" t="str">
        <f>"9500103"</f>
        <v>9500103</v>
      </c>
      <c r="AJ9773" t="s">
        <v>14040</v>
      </c>
      <c r="AK9773">
        <v>2821090920</v>
      </c>
      <c r="AL9773" t="s">
        <v>14041</v>
      </c>
      <c r="AM9773" t="s">
        <v>88</v>
      </c>
      <c r="AN9773" t="s">
        <v>88</v>
      </c>
      <c r="AO9773" t="s">
        <v>6733</v>
      </c>
      <c r="AP9773" t="s">
        <v>6734</v>
      </c>
      <c r="AQ9773">
        <v>2</v>
      </c>
      <c r="AR9773" t="s">
        <v>89</v>
      </c>
      <c r="AS9773" t="s">
        <v>90</v>
      </c>
      <c r="AT9773" t="s">
        <v>58</v>
      </c>
      <c r="AU9773" t="s">
        <v>350</v>
      </c>
      <c r="AV9773" t="s">
        <v>132</v>
      </c>
      <c r="AW9773" s="1">
        <v>31684</v>
      </c>
      <c r="AX9773">
        <v>1</v>
      </c>
    </row>
    <row r="9774" spans="1:50">
      <c r="A9774">
        <v>617364</v>
      </c>
      <c r="B9774" t="str">
        <f>"122748991"</f>
        <v>122748991</v>
      </c>
      <c r="C9774" t="s">
        <v>50</v>
      </c>
      <c r="D9774" t="s">
        <v>14733</v>
      </c>
      <c r="E9774" t="s">
        <v>1074</v>
      </c>
      <c r="F9774" t="s">
        <v>144</v>
      </c>
      <c r="G9774" t="s">
        <v>191</v>
      </c>
      <c r="H9774" t="str">
        <f>"ΜΑΚΕΔΟΝΟΜΑΧΩΝ 11 "</f>
        <v xml:space="preserve">ΜΑΚΕΔΟΝΟΜΑΧΩΝ 11 </v>
      </c>
      <c r="I9774">
        <v>59100</v>
      </c>
      <c r="J9774">
        <v>2331060605</v>
      </c>
      <c r="K9774">
        <v>6944644295</v>
      </c>
      <c r="N9774" t="s">
        <v>615</v>
      </c>
      <c r="O9774" t="s">
        <v>616</v>
      </c>
      <c r="R9774" t="s">
        <v>57</v>
      </c>
      <c r="S9774">
        <v>6</v>
      </c>
      <c r="T9774">
        <v>774</v>
      </c>
      <c r="U9774" s="1">
        <v>39680</v>
      </c>
      <c r="V9774" t="s">
        <v>89</v>
      </c>
      <c r="W9774" t="s">
        <v>90</v>
      </c>
      <c r="X9774" t="s">
        <v>58</v>
      </c>
      <c r="Y9774">
        <v>23</v>
      </c>
      <c r="Z9774" t="s">
        <v>59</v>
      </c>
      <c r="AA9774" t="s">
        <v>59</v>
      </c>
      <c r="AB9774" t="s">
        <v>59</v>
      </c>
      <c r="AC9774" t="s">
        <v>59</v>
      </c>
      <c r="AD9774" t="s">
        <v>59</v>
      </c>
      <c r="AF9774" s="1">
        <v>39681</v>
      </c>
      <c r="AG9774" t="s">
        <v>8645</v>
      </c>
      <c r="AH9774" t="s">
        <v>8646</v>
      </c>
      <c r="AI9774" t="str">
        <f>"9500148"</f>
        <v>9500148</v>
      </c>
      <c r="AJ9774" t="s">
        <v>13851</v>
      </c>
      <c r="AK9774">
        <v>2821068328</v>
      </c>
      <c r="AL9774" t="s">
        <v>13852</v>
      </c>
      <c r="AM9774" t="s">
        <v>88</v>
      </c>
      <c r="AN9774" t="s">
        <v>88</v>
      </c>
      <c r="AO9774" t="s">
        <v>6785</v>
      </c>
      <c r="AP9774" t="s">
        <v>13853</v>
      </c>
      <c r="AQ9774">
        <v>3</v>
      </c>
      <c r="AR9774" t="s">
        <v>89</v>
      </c>
      <c r="AS9774" t="s">
        <v>90</v>
      </c>
      <c r="AT9774" t="s">
        <v>58</v>
      </c>
      <c r="AU9774" t="s">
        <v>68</v>
      </c>
      <c r="AV9774" t="s">
        <v>69</v>
      </c>
      <c r="AW9774" s="1">
        <v>30590</v>
      </c>
      <c r="AX9774">
        <v>1</v>
      </c>
    </row>
    <row r="9775" spans="1:50">
      <c r="A9775">
        <v>216094</v>
      </c>
      <c r="B9775" t="str">
        <f>"047285839"</f>
        <v>047285839</v>
      </c>
      <c r="C9775" t="s">
        <v>105</v>
      </c>
      <c r="D9775" t="s">
        <v>14734</v>
      </c>
      <c r="E9775" t="s">
        <v>760</v>
      </c>
      <c r="F9775" t="s">
        <v>106</v>
      </c>
      <c r="G9775" t="s">
        <v>52</v>
      </c>
      <c r="H9775" t="str">
        <f>"ΓΕΝΕΡΑΛΗ 3 "</f>
        <v xml:space="preserve">ΓΕΝΕΡΑΛΗ 3 </v>
      </c>
      <c r="I9775">
        <v>73100</v>
      </c>
      <c r="J9775">
        <v>2821052635</v>
      </c>
      <c r="K9775">
        <v>6936865045</v>
      </c>
      <c r="N9775" t="s">
        <v>204</v>
      </c>
      <c r="O9775" t="s">
        <v>205</v>
      </c>
      <c r="R9775" t="s">
        <v>57</v>
      </c>
      <c r="S9775">
        <v>6</v>
      </c>
      <c r="T9775">
        <v>232</v>
      </c>
      <c r="U9775" s="1">
        <v>38960</v>
      </c>
      <c r="V9775" t="s">
        <v>89</v>
      </c>
      <c r="W9775" t="s">
        <v>90</v>
      </c>
      <c r="X9775" t="s">
        <v>58</v>
      </c>
      <c r="Y9775">
        <v>23</v>
      </c>
      <c r="Z9775" t="s">
        <v>59</v>
      </c>
      <c r="AA9775" t="s">
        <v>59</v>
      </c>
      <c r="AB9775" t="s">
        <v>59</v>
      </c>
      <c r="AC9775" t="s">
        <v>59</v>
      </c>
      <c r="AD9775" t="s">
        <v>59</v>
      </c>
      <c r="AF9775" s="1">
        <v>38964</v>
      </c>
      <c r="AG9775" t="s">
        <v>8645</v>
      </c>
      <c r="AH9775" t="s">
        <v>8646</v>
      </c>
      <c r="AI9775" t="str">
        <f>"9500338"</f>
        <v>9500338</v>
      </c>
      <c r="AJ9775" t="s">
        <v>13959</v>
      </c>
      <c r="AK9775">
        <v>2821040556</v>
      </c>
      <c r="AL9775" t="s">
        <v>13960</v>
      </c>
      <c r="AM9775" t="s">
        <v>88</v>
      </c>
      <c r="AN9775" t="s">
        <v>88</v>
      </c>
      <c r="AO9775" t="s">
        <v>88</v>
      </c>
      <c r="AP9775" t="s">
        <v>88</v>
      </c>
      <c r="AQ9775">
        <v>1</v>
      </c>
      <c r="AR9775" t="s">
        <v>89</v>
      </c>
      <c r="AS9775" t="s">
        <v>90</v>
      </c>
      <c r="AT9775" t="s">
        <v>58</v>
      </c>
      <c r="AU9775" t="s">
        <v>68</v>
      </c>
      <c r="AV9775" t="s">
        <v>69</v>
      </c>
      <c r="AW9775" s="1">
        <v>28419</v>
      </c>
      <c r="AX9775">
        <v>1</v>
      </c>
    </row>
    <row r="9776" spans="1:50">
      <c r="A9776">
        <v>576652</v>
      </c>
      <c r="B9776" t="str">
        <f>"032594897"</f>
        <v>032594897</v>
      </c>
      <c r="C9776" t="s">
        <v>50</v>
      </c>
      <c r="D9776" t="s">
        <v>14735</v>
      </c>
      <c r="E9776" t="s">
        <v>699</v>
      </c>
      <c r="F9776" t="s">
        <v>72</v>
      </c>
      <c r="G9776" t="s">
        <v>93</v>
      </c>
      <c r="H9776" t="str">
        <f>"ΜΟΝΤΕ ΒΑΡΔΙΑ ΧΑΝΙΑ"</f>
        <v>ΜΟΝΤΕ ΒΑΡΔΙΑ ΧΑΝΙΑ</v>
      </c>
      <c r="I9776">
        <v>73142</v>
      </c>
      <c r="J9776">
        <v>2821053791</v>
      </c>
      <c r="K9776">
        <v>6974432592</v>
      </c>
      <c r="M9776" t="s">
        <v>14736</v>
      </c>
      <c r="N9776" t="s">
        <v>176</v>
      </c>
      <c r="O9776" t="s">
        <v>177</v>
      </c>
      <c r="R9776" t="s">
        <v>57</v>
      </c>
      <c r="S9776">
        <v>13</v>
      </c>
      <c r="T9776">
        <v>184</v>
      </c>
      <c r="U9776" s="1">
        <v>34941</v>
      </c>
      <c r="V9776" t="s">
        <v>89</v>
      </c>
      <c r="W9776" t="s">
        <v>90</v>
      </c>
      <c r="X9776" t="s">
        <v>58</v>
      </c>
      <c r="Y9776">
        <v>21</v>
      </c>
      <c r="Z9776" t="s">
        <v>59</v>
      </c>
      <c r="AA9776" t="s">
        <v>59</v>
      </c>
      <c r="AB9776" t="s">
        <v>59</v>
      </c>
      <c r="AC9776" t="s">
        <v>59</v>
      </c>
      <c r="AD9776" t="s">
        <v>59</v>
      </c>
      <c r="AF9776" s="1">
        <v>34941</v>
      </c>
      <c r="AG9776" t="s">
        <v>8645</v>
      </c>
      <c r="AH9776" t="s">
        <v>8646</v>
      </c>
      <c r="AI9776" t="str">
        <f>"9500045"</f>
        <v>9500045</v>
      </c>
      <c r="AJ9776" t="s">
        <v>13887</v>
      </c>
      <c r="AK9776">
        <v>2821044369</v>
      </c>
      <c r="AL9776" t="s">
        <v>13888</v>
      </c>
      <c r="AM9776" t="s">
        <v>88</v>
      </c>
      <c r="AN9776" t="s">
        <v>88</v>
      </c>
      <c r="AO9776" t="s">
        <v>88</v>
      </c>
      <c r="AP9776" t="s">
        <v>88</v>
      </c>
      <c r="AQ9776">
        <v>1</v>
      </c>
      <c r="AR9776" t="s">
        <v>89</v>
      </c>
      <c r="AS9776" t="s">
        <v>90</v>
      </c>
      <c r="AT9776" t="s">
        <v>58</v>
      </c>
      <c r="AU9776" t="s">
        <v>68</v>
      </c>
      <c r="AV9776" t="s">
        <v>69</v>
      </c>
      <c r="AW9776" s="1">
        <v>24125</v>
      </c>
      <c r="AX9776">
        <v>1</v>
      </c>
    </row>
    <row r="9777" spans="1:50">
      <c r="A9777">
        <v>604208</v>
      </c>
      <c r="B9777" t="str">
        <f>"066836672"</f>
        <v>066836672</v>
      </c>
      <c r="C9777" t="s">
        <v>50</v>
      </c>
      <c r="D9777" t="s">
        <v>2120</v>
      </c>
      <c r="E9777" t="s">
        <v>473</v>
      </c>
      <c r="F9777" t="s">
        <v>589</v>
      </c>
      <c r="G9777" t="s">
        <v>263</v>
      </c>
      <c r="H9777" t="str">
        <f>"Ι. ΓΕΩΡΓΑΚΑΚΗ 6 ΧΑΝΙΑ"</f>
        <v>Ι. ΓΕΩΡΓΑΚΑΚΗ 6 ΧΑΝΙΑ</v>
      </c>
      <c r="I9777">
        <v>73100</v>
      </c>
      <c r="J9777">
        <v>2821046887</v>
      </c>
      <c r="K9777">
        <v>6978461565</v>
      </c>
      <c r="N9777" t="s">
        <v>615</v>
      </c>
      <c r="O9777" t="s">
        <v>616</v>
      </c>
      <c r="R9777" t="s">
        <v>57</v>
      </c>
      <c r="S9777">
        <v>8</v>
      </c>
      <c r="T9777">
        <v>231</v>
      </c>
      <c r="U9777" s="1">
        <v>38231</v>
      </c>
      <c r="V9777" t="s">
        <v>89</v>
      </c>
      <c r="W9777" t="s">
        <v>90</v>
      </c>
      <c r="X9777" t="s">
        <v>58</v>
      </c>
      <c r="Y9777">
        <v>22</v>
      </c>
      <c r="Z9777" t="s">
        <v>59</v>
      </c>
      <c r="AA9777" t="s">
        <v>59</v>
      </c>
      <c r="AB9777" t="s">
        <v>59</v>
      </c>
      <c r="AC9777" t="s">
        <v>59</v>
      </c>
      <c r="AD9777" t="s">
        <v>59</v>
      </c>
      <c r="AF9777" s="1">
        <v>38231</v>
      </c>
      <c r="AG9777" t="s">
        <v>8645</v>
      </c>
      <c r="AH9777" t="s">
        <v>8646</v>
      </c>
      <c r="AI9777" t="str">
        <f>"9500078"</f>
        <v>9500078</v>
      </c>
      <c r="AJ9777" t="s">
        <v>13988</v>
      </c>
      <c r="AK9777">
        <v>2821028788</v>
      </c>
      <c r="AL9777" t="s">
        <v>13989</v>
      </c>
      <c r="AM9777" t="s">
        <v>88</v>
      </c>
      <c r="AN9777" t="s">
        <v>88</v>
      </c>
      <c r="AO9777" t="s">
        <v>88</v>
      </c>
      <c r="AP9777" t="s">
        <v>88</v>
      </c>
      <c r="AQ9777">
        <v>1</v>
      </c>
      <c r="AR9777" t="s">
        <v>89</v>
      </c>
      <c r="AS9777" t="s">
        <v>90</v>
      </c>
      <c r="AT9777" t="s">
        <v>58</v>
      </c>
      <c r="AU9777" t="s">
        <v>68</v>
      </c>
      <c r="AV9777" t="s">
        <v>69</v>
      </c>
      <c r="AW9777" s="1">
        <v>26318</v>
      </c>
      <c r="AX9777">
        <v>1</v>
      </c>
    </row>
    <row r="9778" spans="1:50">
      <c r="A9778">
        <v>581851</v>
      </c>
      <c r="B9778" t="str">
        <f>"078790447"</f>
        <v>078790447</v>
      </c>
      <c r="C9778" t="s">
        <v>105</v>
      </c>
      <c r="D9778" t="s">
        <v>14737</v>
      </c>
      <c r="E9778" t="s">
        <v>1493</v>
      </c>
      <c r="F9778" t="s">
        <v>95</v>
      </c>
      <c r="G9778" t="s">
        <v>335</v>
      </c>
      <c r="H9778" t="str">
        <f>"SLUISWARCHTERSHOEVE APELDOORN"</f>
        <v>SLUISWARCHTERSHOEVE APELDOORN</v>
      </c>
      <c r="L9778">
        <v>555415313</v>
      </c>
      <c r="N9778" t="s">
        <v>615</v>
      </c>
      <c r="O9778" t="s">
        <v>616</v>
      </c>
      <c r="R9778" t="s">
        <v>57</v>
      </c>
      <c r="S9778">
        <v>10</v>
      </c>
      <c r="T9778">
        <v>179</v>
      </c>
      <c r="U9778" s="1">
        <v>35674</v>
      </c>
      <c r="V9778" t="s">
        <v>89</v>
      </c>
      <c r="W9778" t="s">
        <v>90</v>
      </c>
      <c r="X9778" t="s">
        <v>58</v>
      </c>
      <c r="Y9778">
        <v>21</v>
      </c>
      <c r="Z9778" t="s">
        <v>59</v>
      </c>
      <c r="AA9778" t="s">
        <v>59</v>
      </c>
      <c r="AB9778" t="s">
        <v>59</v>
      </c>
      <c r="AC9778" t="s">
        <v>59</v>
      </c>
      <c r="AD9778" t="s">
        <v>59</v>
      </c>
      <c r="AF9778" s="1">
        <v>35674</v>
      </c>
      <c r="AG9778" t="s">
        <v>8645</v>
      </c>
      <c r="AH9778" t="s">
        <v>8646</v>
      </c>
      <c r="AI9778" t="str">
        <f>"9500360"</f>
        <v>9500360</v>
      </c>
      <c r="AJ9778" t="s">
        <v>14022</v>
      </c>
      <c r="AK9778">
        <v>2821031253</v>
      </c>
      <c r="AL9778" t="s">
        <v>14023</v>
      </c>
      <c r="AM9778" t="s">
        <v>88</v>
      </c>
      <c r="AN9778" t="s">
        <v>88</v>
      </c>
      <c r="AO9778" t="s">
        <v>6785</v>
      </c>
      <c r="AP9778" t="s">
        <v>13932</v>
      </c>
      <c r="AQ9778">
        <v>3</v>
      </c>
      <c r="AR9778" t="s">
        <v>89</v>
      </c>
      <c r="AS9778" t="s">
        <v>90</v>
      </c>
      <c r="AT9778" t="s">
        <v>58</v>
      </c>
      <c r="AU9778" t="s">
        <v>68</v>
      </c>
      <c r="AV9778" t="s">
        <v>69</v>
      </c>
      <c r="AW9778" s="1">
        <v>22221</v>
      </c>
      <c r="AX9778">
        <v>1</v>
      </c>
    </row>
    <row r="9779" spans="1:50">
      <c r="A9779">
        <v>570140</v>
      </c>
      <c r="B9779" t="str">
        <f>"033432488"</f>
        <v>033432488</v>
      </c>
      <c r="C9779" t="s">
        <v>50</v>
      </c>
      <c r="D9779" t="s">
        <v>10241</v>
      </c>
      <c r="E9779" t="s">
        <v>1724</v>
      </c>
      <c r="F9779" t="s">
        <v>1679</v>
      </c>
      <c r="G9779" t="s">
        <v>52</v>
      </c>
      <c r="H9779" t="str">
        <f>"ΠΛΑΤΩΝΟΣ 4 ΧΑΝΙΑ"</f>
        <v>ΠΛΑΤΩΝΟΣ 4 ΧΑΝΙΑ</v>
      </c>
      <c r="I9779">
        <v>73132</v>
      </c>
      <c r="J9779">
        <v>2821043141</v>
      </c>
      <c r="K9779">
        <v>6944886544</v>
      </c>
      <c r="N9779" t="s">
        <v>306</v>
      </c>
      <c r="O9779" t="s">
        <v>307</v>
      </c>
      <c r="R9779" t="s">
        <v>57</v>
      </c>
      <c r="S9779">
        <v>13</v>
      </c>
      <c r="T9779">
        <v>239</v>
      </c>
      <c r="U9779" s="1">
        <v>33969</v>
      </c>
      <c r="V9779" t="s">
        <v>89</v>
      </c>
      <c r="W9779" t="s">
        <v>90</v>
      </c>
      <c r="X9779" t="s">
        <v>58</v>
      </c>
      <c r="Y9779">
        <v>21</v>
      </c>
      <c r="Z9779" t="s">
        <v>59</v>
      </c>
      <c r="AA9779" t="s">
        <v>59</v>
      </c>
      <c r="AB9779" t="s">
        <v>59</v>
      </c>
      <c r="AC9779" t="s">
        <v>59</v>
      </c>
      <c r="AD9779" t="s">
        <v>59</v>
      </c>
      <c r="AF9779" s="1">
        <v>33969</v>
      </c>
      <c r="AG9779" t="s">
        <v>8645</v>
      </c>
      <c r="AH9779" t="s">
        <v>8646</v>
      </c>
      <c r="AI9779" t="str">
        <f>"9500407"</f>
        <v>9500407</v>
      </c>
      <c r="AJ9779" t="s">
        <v>13867</v>
      </c>
      <c r="AK9779">
        <v>2821089224</v>
      </c>
      <c r="AL9779" t="s">
        <v>13868</v>
      </c>
      <c r="AM9779" t="s">
        <v>88</v>
      </c>
      <c r="AN9779" t="s">
        <v>88</v>
      </c>
      <c r="AO9779" t="s">
        <v>6748</v>
      </c>
      <c r="AP9779" t="s">
        <v>6748</v>
      </c>
      <c r="AQ9779">
        <v>2</v>
      </c>
      <c r="AR9779" t="s">
        <v>89</v>
      </c>
      <c r="AS9779" t="s">
        <v>90</v>
      </c>
      <c r="AT9779" t="s">
        <v>58</v>
      </c>
      <c r="AU9779" t="s">
        <v>68</v>
      </c>
      <c r="AV9779" t="s">
        <v>69</v>
      </c>
      <c r="AW9779" s="1">
        <v>23805</v>
      </c>
      <c r="AX9779">
        <v>1</v>
      </c>
    </row>
    <row r="9780" spans="1:50">
      <c r="A9780">
        <v>216096</v>
      </c>
      <c r="B9780" t="str">
        <f>"067023740"</f>
        <v>067023740</v>
      </c>
      <c r="C9780" t="s">
        <v>105</v>
      </c>
      <c r="D9780" t="s">
        <v>14738</v>
      </c>
      <c r="E9780" t="s">
        <v>106</v>
      </c>
      <c r="F9780" t="s">
        <v>95</v>
      </c>
      <c r="G9780" t="s">
        <v>1019</v>
      </c>
      <c r="H9780" t="str">
        <f>" "</f>
        <v xml:space="preserve"> </v>
      </c>
      <c r="J9780">
        <v>2821092236</v>
      </c>
      <c r="K9780">
        <v>6946293519</v>
      </c>
      <c r="N9780" t="s">
        <v>204</v>
      </c>
      <c r="O9780" t="s">
        <v>205</v>
      </c>
      <c r="R9780" t="s">
        <v>57</v>
      </c>
      <c r="S9780">
        <v>6</v>
      </c>
      <c r="T9780">
        <v>232</v>
      </c>
      <c r="U9780" s="1">
        <v>38960</v>
      </c>
      <c r="V9780" t="s">
        <v>89</v>
      </c>
      <c r="W9780" t="s">
        <v>90</v>
      </c>
      <c r="X9780" t="s">
        <v>58</v>
      </c>
      <c r="Y9780">
        <v>23</v>
      </c>
      <c r="Z9780" t="s">
        <v>59</v>
      </c>
      <c r="AA9780" t="s">
        <v>59</v>
      </c>
      <c r="AB9780" t="s">
        <v>59</v>
      </c>
      <c r="AC9780" t="s">
        <v>59</v>
      </c>
      <c r="AD9780" t="s">
        <v>59</v>
      </c>
      <c r="AF9780" s="1">
        <v>38964</v>
      </c>
      <c r="AG9780" t="s">
        <v>8645</v>
      </c>
      <c r="AH9780" t="s">
        <v>8646</v>
      </c>
      <c r="AI9780" t="str">
        <f>"9500167"</f>
        <v>9500167</v>
      </c>
      <c r="AJ9780" t="s">
        <v>13922</v>
      </c>
      <c r="AK9780">
        <v>2821068357</v>
      </c>
      <c r="AL9780" t="s">
        <v>13923</v>
      </c>
      <c r="AM9780" t="s">
        <v>88</v>
      </c>
      <c r="AN9780" t="s">
        <v>6764</v>
      </c>
      <c r="AO9780" t="s">
        <v>6764</v>
      </c>
      <c r="AP9780" t="s">
        <v>6764</v>
      </c>
      <c r="AQ9780">
        <v>5</v>
      </c>
      <c r="AR9780" t="s">
        <v>89</v>
      </c>
      <c r="AS9780" t="s">
        <v>90</v>
      </c>
      <c r="AT9780" t="s">
        <v>58</v>
      </c>
      <c r="AU9780" t="s">
        <v>68</v>
      </c>
      <c r="AV9780" t="s">
        <v>69</v>
      </c>
      <c r="AW9780" s="1">
        <v>27980</v>
      </c>
      <c r="AX9780">
        <v>1</v>
      </c>
    </row>
    <row r="9781" spans="1:50">
      <c r="A9781">
        <v>611993</v>
      </c>
      <c r="B9781" t="str">
        <f>"048029750"</f>
        <v>048029750</v>
      </c>
      <c r="C9781" t="s">
        <v>50</v>
      </c>
      <c r="D9781" t="s">
        <v>14739</v>
      </c>
      <c r="E9781" t="s">
        <v>143</v>
      </c>
      <c r="F9781" t="s">
        <v>95</v>
      </c>
      <c r="G9781" t="s">
        <v>52</v>
      </c>
      <c r="H9781" t="str">
        <f>"Ζαλόγγου και Απτέρων 9 ΧΑΝΙΑ"</f>
        <v>Ζαλόγγου και Απτέρων 9 ΧΑΝΙΑ</v>
      </c>
      <c r="J9781">
        <v>2821002815</v>
      </c>
      <c r="K9781">
        <v>6982033518</v>
      </c>
      <c r="N9781" t="s">
        <v>1525</v>
      </c>
      <c r="O9781" t="s">
        <v>1526</v>
      </c>
      <c r="R9781" t="s">
        <v>57</v>
      </c>
      <c r="S9781">
        <v>6</v>
      </c>
      <c r="T9781">
        <v>233</v>
      </c>
      <c r="U9781" s="1">
        <v>38960</v>
      </c>
      <c r="V9781" t="s">
        <v>89</v>
      </c>
      <c r="W9781" t="s">
        <v>90</v>
      </c>
      <c r="X9781" t="s">
        <v>58</v>
      </c>
      <c r="Y9781">
        <v>25</v>
      </c>
      <c r="Z9781" t="s">
        <v>59</v>
      </c>
      <c r="AA9781" t="s">
        <v>59</v>
      </c>
      <c r="AB9781" t="s">
        <v>59</v>
      </c>
      <c r="AC9781" t="s">
        <v>59</v>
      </c>
      <c r="AD9781" t="s">
        <v>59</v>
      </c>
      <c r="AF9781" s="1">
        <v>38961</v>
      </c>
      <c r="AG9781" t="s">
        <v>8651</v>
      </c>
      <c r="AH9781" t="s">
        <v>8652</v>
      </c>
      <c r="AI9781" t="str">
        <f>"9500427"</f>
        <v>9500427</v>
      </c>
      <c r="AJ9781" t="s">
        <v>14740</v>
      </c>
      <c r="AK9781">
        <v>2821072532</v>
      </c>
      <c r="AL9781" t="s">
        <v>14741</v>
      </c>
      <c r="AM9781" t="s">
        <v>88</v>
      </c>
      <c r="AN9781" t="s">
        <v>88</v>
      </c>
      <c r="AO9781" t="s">
        <v>88</v>
      </c>
      <c r="AP9781" t="s">
        <v>88</v>
      </c>
      <c r="AQ9781">
        <v>1</v>
      </c>
      <c r="AR9781" t="s">
        <v>89</v>
      </c>
      <c r="AS9781" t="s">
        <v>90</v>
      </c>
      <c r="AT9781" t="s">
        <v>58</v>
      </c>
      <c r="AU9781" t="s">
        <v>68</v>
      </c>
      <c r="AV9781" t="s">
        <v>69</v>
      </c>
      <c r="AW9781" s="1">
        <v>27423</v>
      </c>
      <c r="AX9781">
        <v>1</v>
      </c>
    </row>
    <row r="9782" spans="1:50">
      <c r="A9782">
        <v>701394</v>
      </c>
      <c r="B9782" t="str">
        <f>"110891104"</f>
        <v>110891104</v>
      </c>
      <c r="C9782" t="s">
        <v>105</v>
      </c>
      <c r="D9782" t="s">
        <v>7480</v>
      </c>
      <c r="E9782" t="s">
        <v>304</v>
      </c>
      <c r="F9782" t="s">
        <v>154</v>
      </c>
      <c r="G9782" t="s">
        <v>155</v>
      </c>
      <c r="H9782" t="str">
        <f>"ΚΙΣΣΑΜΟΣ "</f>
        <v xml:space="preserve">ΚΙΣΣΑΜΟΣ </v>
      </c>
      <c r="I9782">
        <v>73400</v>
      </c>
      <c r="J9782">
        <v>2822023624</v>
      </c>
      <c r="K9782">
        <v>6972525781</v>
      </c>
      <c r="N9782" t="s">
        <v>615</v>
      </c>
      <c r="O9782" t="s">
        <v>616</v>
      </c>
      <c r="R9782" t="s">
        <v>57</v>
      </c>
      <c r="S9782">
        <v>4</v>
      </c>
      <c r="T9782">
        <v>772</v>
      </c>
      <c r="U9782" s="1">
        <v>40413</v>
      </c>
      <c r="V9782" t="s">
        <v>89</v>
      </c>
      <c r="W9782" t="s">
        <v>90</v>
      </c>
      <c r="X9782" t="s">
        <v>58</v>
      </c>
      <c r="Y9782">
        <v>24</v>
      </c>
      <c r="Z9782" t="s">
        <v>59</v>
      </c>
      <c r="AA9782" t="s">
        <v>59</v>
      </c>
      <c r="AB9782" t="s">
        <v>59</v>
      </c>
      <c r="AC9782" t="s">
        <v>59</v>
      </c>
      <c r="AD9782" t="s">
        <v>59</v>
      </c>
      <c r="AF9782" s="1">
        <v>40413</v>
      </c>
      <c r="AG9782" t="s">
        <v>8645</v>
      </c>
      <c r="AH9782" t="s">
        <v>8646</v>
      </c>
      <c r="AI9782" t="str">
        <f>"9500374"</f>
        <v>9500374</v>
      </c>
      <c r="AJ9782" t="s">
        <v>14529</v>
      </c>
      <c r="AK9782">
        <v>2822023194</v>
      </c>
      <c r="AL9782" t="s">
        <v>14530</v>
      </c>
      <c r="AM9782" t="s">
        <v>88</v>
      </c>
      <c r="AN9782" t="s">
        <v>6744</v>
      </c>
      <c r="AO9782" t="s">
        <v>6744</v>
      </c>
      <c r="AP9782" t="s">
        <v>6744</v>
      </c>
      <c r="AQ9782">
        <v>9</v>
      </c>
      <c r="AR9782" t="s">
        <v>89</v>
      </c>
      <c r="AS9782" t="s">
        <v>90</v>
      </c>
      <c r="AT9782" t="s">
        <v>58</v>
      </c>
      <c r="AU9782" t="s">
        <v>68</v>
      </c>
      <c r="AV9782" t="s">
        <v>69</v>
      </c>
      <c r="AW9782" s="1">
        <v>31261</v>
      </c>
      <c r="AX9782">
        <v>1</v>
      </c>
    </row>
    <row r="9783" spans="1:50">
      <c r="A9783">
        <v>620675</v>
      </c>
      <c r="B9783" t="str">
        <f>"100647308"</f>
        <v>100647308</v>
      </c>
      <c r="C9783" t="s">
        <v>50</v>
      </c>
      <c r="D9783" t="s">
        <v>14742</v>
      </c>
      <c r="E9783" t="s">
        <v>52</v>
      </c>
      <c r="F9783" t="s">
        <v>474</v>
      </c>
      <c r="G9783" t="s">
        <v>566</v>
      </c>
      <c r="H9783" t="str">
        <f>"ΠΑΡ.ΣΤΡΑΤΟΥΔΑΚΗ  ΧΑΝΙΑ"</f>
        <v>ΠΑΡ.ΣΤΡΑΤΟΥΔΑΚΗ  ΧΑΝΙΑ</v>
      </c>
      <c r="I9783">
        <v>73100</v>
      </c>
      <c r="J9783">
        <v>2821099809</v>
      </c>
      <c r="K9783">
        <v>6947350903</v>
      </c>
      <c r="N9783" t="s">
        <v>615</v>
      </c>
      <c r="O9783" t="s">
        <v>616</v>
      </c>
      <c r="R9783" t="s">
        <v>57</v>
      </c>
      <c r="S9783">
        <v>5</v>
      </c>
      <c r="T9783">
        <v>653</v>
      </c>
      <c r="U9783" s="1">
        <v>40043</v>
      </c>
      <c r="V9783" t="s">
        <v>89</v>
      </c>
      <c r="W9783" t="s">
        <v>90</v>
      </c>
      <c r="X9783" t="s">
        <v>58</v>
      </c>
      <c r="Y9783">
        <v>23</v>
      </c>
      <c r="Z9783" t="s">
        <v>59</v>
      </c>
      <c r="AA9783" t="s">
        <v>59</v>
      </c>
      <c r="AB9783" t="s">
        <v>59</v>
      </c>
      <c r="AC9783" t="s">
        <v>59</v>
      </c>
      <c r="AD9783" t="s">
        <v>59</v>
      </c>
      <c r="AF9783" s="1">
        <v>40043</v>
      </c>
      <c r="AG9783" t="s">
        <v>8645</v>
      </c>
      <c r="AH9783" t="s">
        <v>8646</v>
      </c>
      <c r="AI9783" t="str">
        <f>"9500358"</f>
        <v>9500358</v>
      </c>
      <c r="AJ9783" t="s">
        <v>13948</v>
      </c>
      <c r="AK9783">
        <v>2821093459</v>
      </c>
      <c r="AL9783" t="s">
        <v>13949</v>
      </c>
      <c r="AM9783" t="s">
        <v>88</v>
      </c>
      <c r="AN9783" t="s">
        <v>88</v>
      </c>
      <c r="AO9783" t="s">
        <v>6733</v>
      </c>
      <c r="AP9783" t="s">
        <v>6755</v>
      </c>
      <c r="AQ9783">
        <v>2</v>
      </c>
      <c r="AR9783" t="s">
        <v>89</v>
      </c>
      <c r="AS9783" t="s">
        <v>90</v>
      </c>
      <c r="AT9783" t="s">
        <v>58</v>
      </c>
      <c r="AU9783" t="s">
        <v>68</v>
      </c>
      <c r="AV9783" t="s">
        <v>69</v>
      </c>
      <c r="AW9783" s="1">
        <v>31272</v>
      </c>
      <c r="AX9783">
        <v>1</v>
      </c>
    </row>
    <row r="9784" spans="1:50">
      <c r="A9784">
        <v>556779</v>
      </c>
      <c r="B9784" t="str">
        <f>"033432544"</f>
        <v>033432544</v>
      </c>
      <c r="C9784" t="s">
        <v>105</v>
      </c>
      <c r="D9784" t="s">
        <v>14743</v>
      </c>
      <c r="E9784" t="s">
        <v>53</v>
      </c>
      <c r="F9784" t="s">
        <v>6552</v>
      </c>
      <c r="G9784" t="s">
        <v>314</v>
      </c>
      <c r="H9784" t="str">
        <f>"Γ.ΚΟΥΡΚΟΥΤΑΚΗ 30 ΣΟΥΔΑ ΧΑΝΙΩΝ"</f>
        <v>Γ.ΚΟΥΡΚΟΥΤΑΚΗ 30 ΣΟΥΔΑ ΧΑΝΙΩΝ</v>
      </c>
      <c r="I9784">
        <v>73200</v>
      </c>
      <c r="J9784">
        <v>2821089715</v>
      </c>
      <c r="K9784">
        <v>6972649829</v>
      </c>
      <c r="N9784" t="s">
        <v>615</v>
      </c>
      <c r="O9784" t="s">
        <v>616</v>
      </c>
      <c r="R9784" t="s">
        <v>57</v>
      </c>
      <c r="S9784">
        <v>15</v>
      </c>
      <c r="T9784">
        <v>168</v>
      </c>
      <c r="U9784" s="1">
        <v>32010</v>
      </c>
      <c r="V9784" t="s">
        <v>89</v>
      </c>
      <c r="W9784" t="s">
        <v>90</v>
      </c>
      <c r="X9784" t="s">
        <v>58</v>
      </c>
      <c r="Y9784">
        <v>21</v>
      </c>
      <c r="Z9784" t="s">
        <v>59</v>
      </c>
      <c r="AA9784" t="s">
        <v>59</v>
      </c>
      <c r="AB9784" t="s">
        <v>59</v>
      </c>
      <c r="AC9784" t="s">
        <v>59</v>
      </c>
      <c r="AD9784" t="s">
        <v>59</v>
      </c>
      <c r="AF9784" s="1">
        <v>32010</v>
      </c>
      <c r="AG9784" t="s">
        <v>8645</v>
      </c>
      <c r="AH9784" t="s">
        <v>8646</v>
      </c>
      <c r="AI9784" t="str">
        <f>"9500408"</f>
        <v>9500408</v>
      </c>
      <c r="AJ9784" t="s">
        <v>13981</v>
      </c>
      <c r="AK9784">
        <v>2821081655</v>
      </c>
      <c r="AL9784" t="s">
        <v>13982</v>
      </c>
      <c r="AM9784" t="s">
        <v>88</v>
      </c>
      <c r="AN9784" t="s">
        <v>88</v>
      </c>
      <c r="AO9784" t="s">
        <v>6748</v>
      </c>
      <c r="AP9784" t="s">
        <v>6748</v>
      </c>
      <c r="AQ9784">
        <v>2</v>
      </c>
      <c r="AR9784" t="s">
        <v>89</v>
      </c>
      <c r="AS9784" t="s">
        <v>90</v>
      </c>
      <c r="AT9784" t="s">
        <v>58</v>
      </c>
      <c r="AU9784" t="s">
        <v>68</v>
      </c>
      <c r="AV9784" t="s">
        <v>69</v>
      </c>
      <c r="AW9784" s="1">
        <v>23012</v>
      </c>
      <c r="AX9784">
        <v>1</v>
      </c>
    </row>
    <row r="9785" spans="1:50">
      <c r="A9785">
        <v>562827</v>
      </c>
      <c r="B9785" t="str">
        <f>"063812460"</f>
        <v>063812460</v>
      </c>
      <c r="C9785" t="s">
        <v>50</v>
      </c>
      <c r="D9785" t="s">
        <v>14744</v>
      </c>
      <c r="E9785" t="s">
        <v>73</v>
      </c>
      <c r="F9785" t="s">
        <v>154</v>
      </c>
      <c r="G9785" t="s">
        <v>1361</v>
      </c>
      <c r="H9785" t="str">
        <f>"Μ.ΜΠΟΤΣΑΡΗ 15Α ΧΑΝΙΑ"</f>
        <v>Μ.ΜΠΟΤΣΑΡΗ 15Α ΧΑΝΙΑ</v>
      </c>
      <c r="I9785">
        <v>73135</v>
      </c>
      <c r="J9785">
        <v>2821098519</v>
      </c>
      <c r="K9785">
        <v>6971895094</v>
      </c>
      <c r="N9785" t="s">
        <v>615</v>
      </c>
      <c r="O9785" t="s">
        <v>616</v>
      </c>
      <c r="R9785" t="s">
        <v>57</v>
      </c>
      <c r="S9785">
        <v>16</v>
      </c>
      <c r="T9785">
        <v>187</v>
      </c>
      <c r="U9785" s="1">
        <v>32750</v>
      </c>
      <c r="V9785" t="s">
        <v>89</v>
      </c>
      <c r="W9785" t="s">
        <v>90</v>
      </c>
      <c r="X9785" t="s">
        <v>58</v>
      </c>
      <c r="Y9785">
        <v>21</v>
      </c>
      <c r="Z9785" t="s">
        <v>59</v>
      </c>
      <c r="AA9785" t="s">
        <v>59</v>
      </c>
      <c r="AB9785" t="s">
        <v>59</v>
      </c>
      <c r="AC9785" t="s">
        <v>59</v>
      </c>
      <c r="AD9785" t="s">
        <v>59</v>
      </c>
      <c r="AF9785" s="1">
        <v>32750</v>
      </c>
      <c r="AG9785" t="s">
        <v>8645</v>
      </c>
      <c r="AH9785" t="s">
        <v>8646</v>
      </c>
      <c r="AI9785" t="str">
        <f>"9500070"</f>
        <v>9500070</v>
      </c>
      <c r="AJ9785" t="s">
        <v>14221</v>
      </c>
      <c r="AK9785">
        <v>2821095817</v>
      </c>
      <c r="AL9785" t="s">
        <v>14222</v>
      </c>
      <c r="AM9785" t="s">
        <v>88</v>
      </c>
      <c r="AN9785" t="s">
        <v>88</v>
      </c>
      <c r="AO9785" t="s">
        <v>88</v>
      </c>
      <c r="AP9785" t="s">
        <v>88</v>
      </c>
      <c r="AQ9785">
        <v>1</v>
      </c>
      <c r="AR9785" t="s">
        <v>89</v>
      </c>
      <c r="AS9785" t="s">
        <v>90</v>
      </c>
      <c r="AT9785" t="s">
        <v>58</v>
      </c>
      <c r="AU9785" t="s">
        <v>68</v>
      </c>
      <c r="AV9785" t="s">
        <v>69</v>
      </c>
      <c r="AW9785" s="1">
        <v>23807</v>
      </c>
      <c r="AX9785">
        <v>1</v>
      </c>
    </row>
    <row r="9786" spans="1:50">
      <c r="A9786">
        <v>574287</v>
      </c>
      <c r="B9786" t="str">
        <f>"035962133"</f>
        <v>035962133</v>
      </c>
      <c r="C9786" t="s">
        <v>50</v>
      </c>
      <c r="D9786" t="s">
        <v>14745</v>
      </c>
      <c r="E9786" t="s">
        <v>263</v>
      </c>
      <c r="F9786" t="s">
        <v>53</v>
      </c>
      <c r="G9786" t="s">
        <v>4118</v>
      </c>
      <c r="H9786" t="str">
        <f>"ΕΛΥΡΟΥ Κ ΠΟΛΥΡΡΗΝΙΑΣ 22 ΧΑΝΙΑ"</f>
        <v>ΕΛΥΡΟΥ Κ ΠΟΛΥΡΡΗΝΙΑΣ 22 ΧΑΝΙΑ</v>
      </c>
      <c r="I9786">
        <v>73135</v>
      </c>
      <c r="J9786">
        <v>2821400495</v>
      </c>
      <c r="K9786">
        <v>6981025590</v>
      </c>
      <c r="N9786" t="s">
        <v>615</v>
      </c>
      <c r="O9786" t="s">
        <v>616</v>
      </c>
      <c r="R9786" t="s">
        <v>57</v>
      </c>
      <c r="S9786">
        <v>14</v>
      </c>
      <c r="T9786">
        <v>160</v>
      </c>
      <c r="U9786" s="1">
        <v>34582</v>
      </c>
      <c r="V9786" t="s">
        <v>89</v>
      </c>
      <c r="W9786" t="s">
        <v>90</v>
      </c>
      <c r="X9786" t="s">
        <v>58</v>
      </c>
      <c r="Y9786">
        <v>21</v>
      </c>
      <c r="Z9786" t="s">
        <v>59</v>
      </c>
      <c r="AA9786" t="s">
        <v>59</v>
      </c>
      <c r="AB9786" t="s">
        <v>59</v>
      </c>
      <c r="AC9786" t="s">
        <v>59</v>
      </c>
      <c r="AD9786" t="s">
        <v>59</v>
      </c>
      <c r="AF9786" s="1">
        <v>34582</v>
      </c>
      <c r="AG9786" t="s">
        <v>8645</v>
      </c>
      <c r="AH9786" t="s">
        <v>8646</v>
      </c>
      <c r="AI9786" t="str">
        <f>"9500071"</f>
        <v>9500071</v>
      </c>
      <c r="AJ9786" t="s">
        <v>14209</v>
      </c>
      <c r="AK9786">
        <v>2821093760</v>
      </c>
      <c r="AL9786" t="s">
        <v>14210</v>
      </c>
      <c r="AM9786" t="s">
        <v>88</v>
      </c>
      <c r="AN9786" t="s">
        <v>88</v>
      </c>
      <c r="AO9786" t="s">
        <v>88</v>
      </c>
      <c r="AP9786" t="s">
        <v>88</v>
      </c>
      <c r="AQ9786">
        <v>1</v>
      </c>
      <c r="AR9786" t="s">
        <v>89</v>
      </c>
      <c r="AS9786" t="s">
        <v>90</v>
      </c>
      <c r="AT9786" t="s">
        <v>58</v>
      </c>
      <c r="AU9786" t="s">
        <v>68</v>
      </c>
      <c r="AV9786" t="s">
        <v>69</v>
      </c>
      <c r="AW9786" s="1">
        <v>24506</v>
      </c>
      <c r="AX9786">
        <v>1</v>
      </c>
    </row>
    <row r="9787" spans="1:50">
      <c r="A9787">
        <v>701379</v>
      </c>
      <c r="B9787" t="str">
        <f>"131482149"</f>
        <v>131482149</v>
      </c>
      <c r="C9787" t="s">
        <v>105</v>
      </c>
      <c r="D9787" t="s">
        <v>10254</v>
      </c>
      <c r="E9787" t="s">
        <v>154</v>
      </c>
      <c r="F9787" t="s">
        <v>1320</v>
      </c>
      <c r="G9787" t="s">
        <v>964</v>
      </c>
      <c r="H9787" t="str">
        <f>"ΧΡΥΣΑΥΓΗ ΒΟΥΚΟΛΙΩΝ ΧΡΥΣΑΥΓΗ ΒΟΥΚΟΛΙΩΝ"</f>
        <v>ΧΡΥΣΑΥΓΗ ΒΟΥΚΟΛΙΩΝ ΧΡΥΣΑΥΓΗ ΒΟΥΚΟΛΙΩΝ</v>
      </c>
      <c r="I9787">
        <v>73002</v>
      </c>
      <c r="J9787">
        <v>2824031126</v>
      </c>
      <c r="K9787">
        <v>6945793966</v>
      </c>
      <c r="N9787" t="s">
        <v>615</v>
      </c>
      <c r="O9787" t="s">
        <v>616</v>
      </c>
      <c r="R9787" t="s">
        <v>57</v>
      </c>
      <c r="S9787">
        <v>4</v>
      </c>
      <c r="T9787">
        <v>772</v>
      </c>
      <c r="U9787" s="1">
        <v>40413</v>
      </c>
      <c r="V9787" t="s">
        <v>89</v>
      </c>
      <c r="W9787" t="s">
        <v>90</v>
      </c>
      <c r="X9787" t="s">
        <v>58</v>
      </c>
      <c r="Y9787">
        <v>23</v>
      </c>
      <c r="Z9787" t="s">
        <v>59</v>
      </c>
      <c r="AA9787" t="s">
        <v>59</v>
      </c>
      <c r="AB9787" t="s">
        <v>59</v>
      </c>
      <c r="AC9787" t="s">
        <v>59</v>
      </c>
      <c r="AD9787" t="s">
        <v>59</v>
      </c>
      <c r="AF9787" s="1">
        <v>40413</v>
      </c>
      <c r="AG9787" t="s">
        <v>8645</v>
      </c>
      <c r="AH9787" t="s">
        <v>8646</v>
      </c>
      <c r="AI9787" t="str">
        <f>"9500081"</f>
        <v>9500081</v>
      </c>
      <c r="AJ9787" t="s">
        <v>14034</v>
      </c>
      <c r="AK9787">
        <v>2821077150</v>
      </c>
      <c r="AL9787" t="s">
        <v>14035</v>
      </c>
      <c r="AM9787" t="s">
        <v>88</v>
      </c>
      <c r="AN9787" t="s">
        <v>6764</v>
      </c>
      <c r="AO9787" t="s">
        <v>6885</v>
      </c>
      <c r="AP9787" t="s">
        <v>6886</v>
      </c>
      <c r="AQ9787">
        <v>4</v>
      </c>
      <c r="AR9787" t="s">
        <v>89</v>
      </c>
      <c r="AS9787" t="s">
        <v>90</v>
      </c>
      <c r="AT9787" t="s">
        <v>58</v>
      </c>
      <c r="AU9787" t="s">
        <v>68</v>
      </c>
      <c r="AV9787" t="s">
        <v>69</v>
      </c>
      <c r="AW9787" s="1">
        <v>31012</v>
      </c>
      <c r="AX9787">
        <v>1</v>
      </c>
    </row>
    <row r="9788" spans="1:50">
      <c r="A9788">
        <v>594732</v>
      </c>
      <c r="B9788" t="str">
        <f>"074443342"</f>
        <v>074443342</v>
      </c>
      <c r="C9788" t="s">
        <v>105</v>
      </c>
      <c r="D9788" t="s">
        <v>10254</v>
      </c>
      <c r="E9788" t="s">
        <v>776</v>
      </c>
      <c r="F9788" t="s">
        <v>304</v>
      </c>
      <c r="G9788" t="s">
        <v>250</v>
      </c>
      <c r="H9788" t="str">
        <f>"ΧΡΥΣΑΥΓΗ ΚΙΣΑΜΟΥ ΧΑΝΙΑ"</f>
        <v>ΧΡΥΣΑΥΓΗ ΚΙΣΑΜΟΥ ΧΑΝΙΑ</v>
      </c>
      <c r="I9788">
        <v>73002</v>
      </c>
      <c r="J9788">
        <v>2824031717</v>
      </c>
      <c r="K9788">
        <v>6944685972</v>
      </c>
      <c r="N9788" t="s">
        <v>615</v>
      </c>
      <c r="O9788" t="s">
        <v>616</v>
      </c>
      <c r="R9788" t="s">
        <v>57</v>
      </c>
      <c r="S9788">
        <v>8</v>
      </c>
      <c r="T9788">
        <v>218</v>
      </c>
      <c r="U9788" s="1">
        <v>37134</v>
      </c>
      <c r="V9788" t="s">
        <v>89</v>
      </c>
      <c r="W9788" t="s">
        <v>90</v>
      </c>
      <c r="X9788" t="s">
        <v>58</v>
      </c>
      <c r="Y9788">
        <v>22</v>
      </c>
      <c r="Z9788" t="s">
        <v>59</v>
      </c>
      <c r="AA9788" t="s">
        <v>59</v>
      </c>
      <c r="AB9788" t="s">
        <v>59</v>
      </c>
      <c r="AC9788" t="s">
        <v>59</v>
      </c>
      <c r="AD9788" t="s">
        <v>59</v>
      </c>
      <c r="AF9788" s="1">
        <v>37137</v>
      </c>
      <c r="AG9788" t="s">
        <v>8645</v>
      </c>
      <c r="AH9788" t="s">
        <v>8646</v>
      </c>
      <c r="AI9788" t="str">
        <f>"9500126"</f>
        <v>9500126</v>
      </c>
      <c r="AJ9788" t="s">
        <v>14245</v>
      </c>
      <c r="AK9788">
        <v>2824031229</v>
      </c>
      <c r="AL9788" t="s">
        <v>14246</v>
      </c>
      <c r="AM9788" t="s">
        <v>88</v>
      </c>
      <c r="AN9788" t="s">
        <v>6764</v>
      </c>
      <c r="AO9788" t="s">
        <v>6765</v>
      </c>
      <c r="AP9788" t="s">
        <v>6765</v>
      </c>
      <c r="AQ9788">
        <v>6</v>
      </c>
      <c r="AR9788" t="s">
        <v>89</v>
      </c>
      <c r="AS9788" t="s">
        <v>90</v>
      </c>
      <c r="AT9788" t="s">
        <v>58</v>
      </c>
      <c r="AU9788" t="s">
        <v>68</v>
      </c>
      <c r="AV9788" t="s">
        <v>69</v>
      </c>
      <c r="AW9788" s="1">
        <v>25821</v>
      </c>
      <c r="AX9788">
        <v>1</v>
      </c>
    </row>
    <row r="9789" spans="1:50">
      <c r="A9789">
        <v>608904</v>
      </c>
      <c r="B9789" t="str">
        <f>"036523748"</f>
        <v>036523748</v>
      </c>
      <c r="C9789" t="s">
        <v>50</v>
      </c>
      <c r="D9789" t="s">
        <v>14746</v>
      </c>
      <c r="E9789" t="s">
        <v>237</v>
      </c>
      <c r="F9789" t="s">
        <v>72</v>
      </c>
      <c r="G9789" t="s">
        <v>181</v>
      </c>
      <c r="H9789" t="str">
        <f>"ΜΙΑΟΥΛΗ 5 ΓΑΛΑΤΑΣ-ΧΡΥΣΗ ΑΚΤΗ"</f>
        <v>ΜΙΑΟΥΛΗ 5 ΓΑΛΑΤΑΣ-ΧΡΥΣΗ ΑΚΤΗ</v>
      </c>
      <c r="I9789">
        <v>73100</v>
      </c>
      <c r="J9789">
        <v>2821031509</v>
      </c>
      <c r="K9789">
        <v>6975911634</v>
      </c>
      <c r="N9789" t="s">
        <v>1525</v>
      </c>
      <c r="O9789" t="s">
        <v>1526</v>
      </c>
      <c r="R9789" t="s">
        <v>57</v>
      </c>
      <c r="S9789">
        <v>6</v>
      </c>
      <c r="T9789">
        <v>217</v>
      </c>
      <c r="U9789" s="1">
        <v>38596</v>
      </c>
      <c r="V9789" t="s">
        <v>89</v>
      </c>
      <c r="W9789" t="s">
        <v>90</v>
      </c>
      <c r="X9789" t="s">
        <v>58</v>
      </c>
      <c r="Y9789">
        <v>25</v>
      </c>
      <c r="Z9789" t="s">
        <v>59</v>
      </c>
      <c r="AA9789" t="s">
        <v>59</v>
      </c>
      <c r="AB9789" t="s">
        <v>59</v>
      </c>
      <c r="AC9789" t="s">
        <v>59</v>
      </c>
      <c r="AD9789" t="s">
        <v>59</v>
      </c>
      <c r="AF9789" s="1">
        <v>38603</v>
      </c>
      <c r="AG9789" t="s">
        <v>8651</v>
      </c>
      <c r="AH9789" t="s">
        <v>8652</v>
      </c>
      <c r="AI9789" t="str">
        <f>"9500273"</f>
        <v>9500273</v>
      </c>
      <c r="AJ9789" t="s">
        <v>14109</v>
      </c>
      <c r="AK9789">
        <v>2821038005</v>
      </c>
      <c r="AL9789" t="s">
        <v>14110</v>
      </c>
      <c r="AM9789" t="s">
        <v>88</v>
      </c>
      <c r="AN9789" t="s">
        <v>6764</v>
      </c>
      <c r="AO9789" t="s">
        <v>6764</v>
      </c>
      <c r="AP9789" t="s">
        <v>6764</v>
      </c>
      <c r="AQ9789">
        <v>5</v>
      </c>
      <c r="AR9789" t="s">
        <v>89</v>
      </c>
      <c r="AS9789" t="s">
        <v>90</v>
      </c>
      <c r="AT9789" t="s">
        <v>58</v>
      </c>
      <c r="AU9789" t="s">
        <v>68</v>
      </c>
      <c r="AV9789" t="s">
        <v>69</v>
      </c>
      <c r="AW9789" s="1">
        <v>26394</v>
      </c>
      <c r="AX9789">
        <v>1</v>
      </c>
    </row>
    <row r="9790" spans="1:50">
      <c r="B9790" t="str">
        <f>"146346161"</f>
        <v>146346161</v>
      </c>
      <c r="C9790" t="s">
        <v>50</v>
      </c>
      <c r="D9790" t="s">
        <v>14747</v>
      </c>
      <c r="E9790" t="s">
        <v>52</v>
      </c>
      <c r="F9790" t="s">
        <v>459</v>
      </c>
      <c r="G9790" t="s">
        <v>83</v>
      </c>
      <c r="H9790" t="str">
        <f>"ΑΚΡΩΤΗΡΙΟΥ 45 "</f>
        <v xml:space="preserve">ΑΚΡΩΤΗΡΙΟΥ 45 </v>
      </c>
      <c r="I9790">
        <v>73100</v>
      </c>
      <c r="J9790">
        <v>2821066414</v>
      </c>
      <c r="K9790">
        <v>6971989517</v>
      </c>
      <c r="N9790" t="s">
        <v>615</v>
      </c>
      <c r="O9790" t="s">
        <v>616</v>
      </c>
      <c r="R9790" t="s">
        <v>159</v>
      </c>
      <c r="S9790">
        <v>5</v>
      </c>
      <c r="T9790" t="s">
        <v>8675</v>
      </c>
      <c r="U9790" s="1">
        <v>43348</v>
      </c>
      <c r="V9790" t="s">
        <v>89</v>
      </c>
      <c r="W9790" t="s">
        <v>90</v>
      </c>
      <c r="X9790" t="s">
        <v>58</v>
      </c>
      <c r="Y9790">
        <v>25</v>
      </c>
      <c r="Z9790" t="s">
        <v>59</v>
      </c>
      <c r="AA9790" t="s">
        <v>59</v>
      </c>
      <c r="AB9790" t="s">
        <v>59</v>
      </c>
      <c r="AC9790" t="s">
        <v>59</v>
      </c>
      <c r="AD9790" t="s">
        <v>59</v>
      </c>
      <c r="AF9790" s="1">
        <v>43348</v>
      </c>
      <c r="AG9790" t="s">
        <v>8645</v>
      </c>
      <c r="AH9790" t="s">
        <v>8676</v>
      </c>
      <c r="AI9790" t="str">
        <f>"9500061"</f>
        <v>9500061</v>
      </c>
      <c r="AJ9790" t="s">
        <v>14748</v>
      </c>
      <c r="AK9790">
        <v>2825091208</v>
      </c>
      <c r="AL9790" t="s">
        <v>14749</v>
      </c>
      <c r="AM9790" t="s">
        <v>88</v>
      </c>
      <c r="AN9790" t="s">
        <v>6995</v>
      </c>
      <c r="AO9790" t="s">
        <v>6995</v>
      </c>
      <c r="AP9790" t="s">
        <v>6996</v>
      </c>
      <c r="AQ9790">
        <v>10</v>
      </c>
      <c r="AR9790" t="s">
        <v>89</v>
      </c>
      <c r="AS9790" t="s">
        <v>90</v>
      </c>
      <c r="AT9790" t="s">
        <v>58</v>
      </c>
      <c r="AU9790" t="s">
        <v>8673</v>
      </c>
      <c r="AV9790" t="s">
        <v>132</v>
      </c>
      <c r="AW9790" s="1">
        <v>32518</v>
      </c>
      <c r="AX9790">
        <v>1</v>
      </c>
    </row>
    <row r="9791" spans="1:50">
      <c r="B9791" t="str">
        <f>"078829703"</f>
        <v>078829703</v>
      </c>
      <c r="C9791" t="s">
        <v>105</v>
      </c>
      <c r="D9791" t="s">
        <v>14750</v>
      </c>
      <c r="E9791" t="s">
        <v>72</v>
      </c>
      <c r="F9791" t="s">
        <v>1679</v>
      </c>
      <c r="G9791" t="s">
        <v>699</v>
      </c>
      <c r="H9791" t="str">
        <f>" "</f>
        <v xml:space="preserve"> </v>
      </c>
      <c r="N9791" t="s">
        <v>204</v>
      </c>
      <c r="O9791" t="s">
        <v>205</v>
      </c>
      <c r="R9791" t="s">
        <v>121</v>
      </c>
      <c r="S9791">
        <v>1</v>
      </c>
      <c r="T9791" t="s">
        <v>8675</v>
      </c>
      <c r="U9791" s="1">
        <v>43348</v>
      </c>
      <c r="V9791" t="s">
        <v>89</v>
      </c>
      <c r="W9791" t="s">
        <v>90</v>
      </c>
      <c r="X9791" t="s">
        <v>58</v>
      </c>
      <c r="Y9791">
        <v>24</v>
      </c>
      <c r="Z9791" t="s">
        <v>59</v>
      </c>
      <c r="AD9791" t="s">
        <v>59</v>
      </c>
      <c r="AF9791" s="1">
        <v>43348</v>
      </c>
      <c r="AG9791" t="s">
        <v>8645</v>
      </c>
      <c r="AH9791" t="s">
        <v>8646</v>
      </c>
      <c r="AI9791" t="str">
        <f>"9500009"</f>
        <v>9500009</v>
      </c>
      <c r="AJ9791" t="s">
        <v>13927</v>
      </c>
      <c r="AK9791">
        <v>2825061346</v>
      </c>
      <c r="AL9791" t="s">
        <v>13928</v>
      </c>
      <c r="AM9791" t="s">
        <v>88</v>
      </c>
      <c r="AN9791" t="s">
        <v>6775</v>
      </c>
      <c r="AO9791" t="s">
        <v>13929</v>
      </c>
      <c r="AP9791" t="s">
        <v>13929</v>
      </c>
      <c r="AQ9791">
        <v>8</v>
      </c>
      <c r="AR9791" t="s">
        <v>89</v>
      </c>
      <c r="AS9791" t="s">
        <v>90</v>
      </c>
      <c r="AT9791" t="s">
        <v>58</v>
      </c>
      <c r="AU9791" t="s">
        <v>8673</v>
      </c>
      <c r="AV9791" t="s">
        <v>132</v>
      </c>
      <c r="AW9791" s="1">
        <v>25645</v>
      </c>
      <c r="AX9791">
        <v>1</v>
      </c>
    </row>
    <row r="9792" spans="1:50">
      <c r="A9792">
        <v>618892</v>
      </c>
      <c r="B9792" t="str">
        <f>"144866299"</f>
        <v>144866299</v>
      </c>
      <c r="C9792" t="s">
        <v>50</v>
      </c>
      <c r="D9792" t="s">
        <v>14751</v>
      </c>
      <c r="E9792" t="s">
        <v>2400</v>
      </c>
      <c r="F9792" t="s">
        <v>99</v>
      </c>
      <c r="G9792" t="s">
        <v>52</v>
      </c>
      <c r="H9792" t="str">
        <f>"ΚΟΤΡΩΝΙ ΤΡΙΚΑΛΩΝ ΤΡΙΚΑΛΑ"</f>
        <v>ΚΟΤΡΩΝΙ ΤΡΙΚΑΛΩΝ ΤΡΙΚΑΛΑ</v>
      </c>
      <c r="I9792">
        <v>42032</v>
      </c>
      <c r="J9792">
        <v>2434071387</v>
      </c>
      <c r="K9792">
        <v>6978744324</v>
      </c>
      <c r="N9792" t="s">
        <v>615</v>
      </c>
      <c r="O9792" t="s">
        <v>616</v>
      </c>
      <c r="R9792" t="s">
        <v>57</v>
      </c>
      <c r="S9792">
        <v>5</v>
      </c>
      <c r="T9792">
        <v>774</v>
      </c>
      <c r="U9792" s="1">
        <v>39680</v>
      </c>
      <c r="V9792" t="s">
        <v>89</v>
      </c>
      <c r="W9792" t="s">
        <v>90</v>
      </c>
      <c r="X9792" t="s">
        <v>58</v>
      </c>
      <c r="Y9792">
        <v>25</v>
      </c>
      <c r="Z9792" t="s">
        <v>59</v>
      </c>
      <c r="AA9792" t="s">
        <v>59</v>
      </c>
      <c r="AB9792" t="s">
        <v>59</v>
      </c>
      <c r="AC9792" t="s">
        <v>59</v>
      </c>
      <c r="AD9792" t="s">
        <v>59</v>
      </c>
      <c r="AF9792" s="1">
        <v>39685</v>
      </c>
      <c r="AG9792" t="s">
        <v>8645</v>
      </c>
      <c r="AH9792" t="s">
        <v>8676</v>
      </c>
      <c r="AI9792" t="str">
        <f>"9521626"</f>
        <v>9521626</v>
      </c>
      <c r="AJ9792" t="s">
        <v>14002</v>
      </c>
      <c r="AM9792" t="s">
        <v>88</v>
      </c>
      <c r="AN9792" t="s">
        <v>88</v>
      </c>
      <c r="AO9792" t="s">
        <v>88</v>
      </c>
      <c r="AP9792" t="s">
        <v>88</v>
      </c>
      <c r="AR9792" t="s">
        <v>89</v>
      </c>
      <c r="AS9792" t="s">
        <v>90</v>
      </c>
      <c r="AT9792" t="s">
        <v>58</v>
      </c>
      <c r="AU9792" t="s">
        <v>68</v>
      </c>
      <c r="AV9792" t="s">
        <v>69</v>
      </c>
      <c r="AW9792" s="1">
        <v>31364</v>
      </c>
      <c r="AX9792">
        <v>1</v>
      </c>
    </row>
    <row r="9793" spans="1:50">
      <c r="B9793" t="str">
        <f>"130444878"</f>
        <v>130444878</v>
      </c>
      <c r="C9793" t="s">
        <v>50</v>
      </c>
      <c r="D9793" t="s">
        <v>7505</v>
      </c>
      <c r="E9793" t="s">
        <v>600</v>
      </c>
      <c r="F9793" t="s">
        <v>154</v>
      </c>
      <c r="G9793" t="s">
        <v>372</v>
      </c>
      <c r="H9793" t="str">
        <f>"ΛΥΓΙΔΕΣ "</f>
        <v xml:space="preserve">ΛΥΓΙΔΕΣ </v>
      </c>
      <c r="I9793">
        <v>73100</v>
      </c>
      <c r="J9793">
        <v>2821031649</v>
      </c>
      <c r="K9793">
        <v>6981197370</v>
      </c>
      <c r="N9793" t="s">
        <v>9829</v>
      </c>
      <c r="O9793" t="s">
        <v>9830</v>
      </c>
      <c r="R9793" t="s">
        <v>159</v>
      </c>
      <c r="S9793">
        <v>4</v>
      </c>
      <c r="T9793" t="s">
        <v>8696</v>
      </c>
      <c r="U9793" s="1">
        <v>43348</v>
      </c>
      <c r="V9793" t="s">
        <v>89</v>
      </c>
      <c r="W9793" t="s">
        <v>90</v>
      </c>
      <c r="X9793" t="s">
        <v>58</v>
      </c>
      <c r="Y9793">
        <v>25</v>
      </c>
      <c r="Z9793" t="s">
        <v>59</v>
      </c>
      <c r="AA9793" t="s">
        <v>59</v>
      </c>
      <c r="AB9793" t="s">
        <v>59</v>
      </c>
      <c r="AC9793" t="s">
        <v>59</v>
      </c>
      <c r="AD9793" t="s">
        <v>59</v>
      </c>
      <c r="AF9793" s="1">
        <v>43348</v>
      </c>
      <c r="AG9793" t="s">
        <v>8651</v>
      </c>
      <c r="AH9793" t="s">
        <v>8652</v>
      </c>
      <c r="AI9793" t="str">
        <f>"9500258"</f>
        <v>9500258</v>
      </c>
      <c r="AJ9793" t="s">
        <v>14162</v>
      </c>
      <c r="AK9793">
        <v>2821090938</v>
      </c>
      <c r="AL9793" t="s">
        <v>14163</v>
      </c>
      <c r="AM9793" t="s">
        <v>88</v>
      </c>
      <c r="AN9793" t="s">
        <v>88</v>
      </c>
      <c r="AO9793" t="s">
        <v>88</v>
      </c>
      <c r="AP9793" t="s">
        <v>88</v>
      </c>
      <c r="AQ9793">
        <v>1</v>
      </c>
      <c r="AR9793" t="s">
        <v>89</v>
      </c>
      <c r="AS9793" t="s">
        <v>90</v>
      </c>
      <c r="AT9793" t="s">
        <v>58</v>
      </c>
      <c r="AU9793" t="s">
        <v>350</v>
      </c>
      <c r="AV9793" t="s">
        <v>132</v>
      </c>
      <c r="AW9793" s="1">
        <v>31206</v>
      </c>
      <c r="AX9793">
        <v>1</v>
      </c>
    </row>
    <row r="9794" spans="1:50">
      <c r="B9794" t="str">
        <f>"046593691"</f>
        <v>046593691</v>
      </c>
      <c r="C9794" t="s">
        <v>50</v>
      </c>
      <c r="D9794" t="s">
        <v>14752</v>
      </c>
      <c r="E9794" t="s">
        <v>237</v>
      </c>
      <c r="F9794" t="s">
        <v>4602</v>
      </c>
      <c r="G9794" t="s">
        <v>83</v>
      </c>
      <c r="H9794" t="str">
        <f>"Α ΠΑΡ ΑΚΡΩΤΗΡΙΟΥ 12 ΧΑΝΙΑ"</f>
        <v>Α ΠΑΡ ΑΚΡΩΤΗΡΙΟΥ 12 ΧΑΝΙΑ</v>
      </c>
      <c r="I9794">
        <v>73100</v>
      </c>
      <c r="J9794">
        <v>2821041743</v>
      </c>
      <c r="K9794">
        <v>6979299781</v>
      </c>
      <c r="N9794" t="s">
        <v>478</v>
      </c>
      <c r="O9794" t="s">
        <v>479</v>
      </c>
      <c r="R9794" t="s">
        <v>121</v>
      </c>
      <c r="S9794">
        <v>1</v>
      </c>
      <c r="T9794" t="s">
        <v>8675</v>
      </c>
      <c r="U9794" s="1">
        <v>43348</v>
      </c>
      <c r="V9794" t="s">
        <v>89</v>
      </c>
      <c r="W9794" t="s">
        <v>90</v>
      </c>
      <c r="X9794" t="s">
        <v>58</v>
      </c>
      <c r="Y9794">
        <v>24</v>
      </c>
      <c r="Z9794" t="s">
        <v>59</v>
      </c>
      <c r="AA9794" t="s">
        <v>59</v>
      </c>
      <c r="AB9794" t="s">
        <v>59</v>
      </c>
      <c r="AC9794" t="s">
        <v>59</v>
      </c>
      <c r="AD9794" t="s">
        <v>59</v>
      </c>
      <c r="AF9794" s="1">
        <v>43348</v>
      </c>
      <c r="AG9794" t="s">
        <v>8645</v>
      </c>
      <c r="AH9794" t="s">
        <v>8646</v>
      </c>
      <c r="AI9794" t="str">
        <f>"9500045"</f>
        <v>9500045</v>
      </c>
      <c r="AJ9794" t="s">
        <v>13887</v>
      </c>
      <c r="AK9794">
        <v>2821044369</v>
      </c>
      <c r="AL9794" t="s">
        <v>13888</v>
      </c>
      <c r="AM9794" t="s">
        <v>88</v>
      </c>
      <c r="AN9794" t="s">
        <v>88</v>
      </c>
      <c r="AO9794" t="s">
        <v>88</v>
      </c>
      <c r="AP9794" t="s">
        <v>88</v>
      </c>
      <c r="AQ9794">
        <v>1</v>
      </c>
      <c r="AR9794" t="s">
        <v>89</v>
      </c>
      <c r="AS9794" t="s">
        <v>90</v>
      </c>
      <c r="AT9794" t="s">
        <v>58</v>
      </c>
      <c r="AU9794" t="s">
        <v>8673</v>
      </c>
      <c r="AV9794" t="s">
        <v>132</v>
      </c>
      <c r="AW9794" s="1">
        <v>26665</v>
      </c>
      <c r="AX9794">
        <v>1</v>
      </c>
    </row>
    <row r="9795" spans="1:50">
      <c r="A9795">
        <v>702174</v>
      </c>
      <c r="B9795" t="str">
        <f>"127297408"</f>
        <v>127297408</v>
      </c>
      <c r="C9795" t="s">
        <v>50</v>
      </c>
      <c r="D9795" t="s">
        <v>14753</v>
      </c>
      <c r="E9795" t="s">
        <v>600</v>
      </c>
      <c r="F9795" t="s">
        <v>95</v>
      </c>
      <c r="G9795" t="s">
        <v>396</v>
      </c>
      <c r="H9795" t="str">
        <f>"ΛΥΚΟΣΤΟΜΟ ΕΔΕΣΣΑ"</f>
        <v>ΛΥΚΟΣΤΟΜΟ ΕΔΕΣΣΑ</v>
      </c>
      <c r="I9795">
        <v>58400</v>
      </c>
      <c r="J9795">
        <v>2384091077</v>
      </c>
      <c r="K9795">
        <v>6981598994</v>
      </c>
      <c r="N9795" t="s">
        <v>615</v>
      </c>
      <c r="O9795" t="s">
        <v>616</v>
      </c>
      <c r="R9795" t="s">
        <v>57</v>
      </c>
      <c r="S9795">
        <v>4</v>
      </c>
      <c r="T9795">
        <v>772</v>
      </c>
      <c r="U9795" s="1">
        <v>40413</v>
      </c>
      <c r="V9795" t="s">
        <v>89</v>
      </c>
      <c r="W9795" t="s">
        <v>90</v>
      </c>
      <c r="X9795" t="s">
        <v>58</v>
      </c>
      <c r="Y9795">
        <v>24</v>
      </c>
      <c r="Z9795" t="s">
        <v>59</v>
      </c>
      <c r="AA9795" t="s">
        <v>59</v>
      </c>
      <c r="AB9795" t="s">
        <v>59</v>
      </c>
      <c r="AC9795" t="s">
        <v>59</v>
      </c>
      <c r="AD9795" t="s">
        <v>59</v>
      </c>
      <c r="AF9795" s="1">
        <v>40413</v>
      </c>
      <c r="AG9795" t="s">
        <v>8645</v>
      </c>
      <c r="AH9795" t="s">
        <v>8646</v>
      </c>
      <c r="AI9795" t="str">
        <f>"9500126"</f>
        <v>9500126</v>
      </c>
      <c r="AJ9795" t="s">
        <v>14245</v>
      </c>
      <c r="AK9795">
        <v>2824031229</v>
      </c>
      <c r="AL9795" t="s">
        <v>14246</v>
      </c>
      <c r="AM9795" t="s">
        <v>88</v>
      </c>
      <c r="AN9795" t="s">
        <v>6764</v>
      </c>
      <c r="AO9795" t="s">
        <v>6765</v>
      </c>
      <c r="AP9795" t="s">
        <v>6765</v>
      </c>
      <c r="AQ9795">
        <v>6</v>
      </c>
      <c r="AR9795" t="s">
        <v>89</v>
      </c>
      <c r="AS9795" t="s">
        <v>90</v>
      </c>
      <c r="AT9795" t="s">
        <v>58</v>
      </c>
      <c r="AU9795" t="s">
        <v>68</v>
      </c>
      <c r="AV9795" t="s">
        <v>69</v>
      </c>
      <c r="AW9795" s="1">
        <v>31602</v>
      </c>
      <c r="AX9795">
        <v>1</v>
      </c>
    </row>
    <row r="9796" spans="1:50">
      <c r="B9796" t="str">
        <f>"151160926"</f>
        <v>151160926</v>
      </c>
      <c r="C9796" t="s">
        <v>50</v>
      </c>
      <c r="D9796" t="s">
        <v>14754</v>
      </c>
      <c r="E9796" t="s">
        <v>52</v>
      </c>
      <c r="F9796" t="s">
        <v>154</v>
      </c>
      <c r="H9796" t="str">
        <f>" "</f>
        <v xml:space="preserve"> </v>
      </c>
      <c r="N9796" t="s">
        <v>8694</v>
      </c>
      <c r="O9796" t="s">
        <v>8695</v>
      </c>
      <c r="R9796" t="s">
        <v>159</v>
      </c>
      <c r="S9796">
        <v>2</v>
      </c>
      <c r="T9796" t="s">
        <v>8696</v>
      </c>
      <c r="U9796" s="1">
        <v>43348</v>
      </c>
      <c r="V9796" t="s">
        <v>89</v>
      </c>
      <c r="W9796" t="s">
        <v>90</v>
      </c>
      <c r="X9796" t="s">
        <v>58</v>
      </c>
      <c r="Y9796">
        <v>24</v>
      </c>
      <c r="Z9796" t="s">
        <v>59</v>
      </c>
      <c r="AA9796" t="s">
        <v>59</v>
      </c>
      <c r="AB9796" t="s">
        <v>59</v>
      </c>
      <c r="AC9796" t="s">
        <v>59</v>
      </c>
      <c r="AD9796" t="s">
        <v>59</v>
      </c>
      <c r="AF9796" s="1">
        <v>43348</v>
      </c>
      <c r="AG9796" t="s">
        <v>8645</v>
      </c>
      <c r="AH9796" t="s">
        <v>8697</v>
      </c>
      <c r="AI9796" t="str">
        <f>"9521567"</f>
        <v>9521567</v>
      </c>
      <c r="AJ9796" t="s">
        <v>14148</v>
      </c>
      <c r="AK9796">
        <v>2821086921</v>
      </c>
      <c r="AL9796" t="s">
        <v>14149</v>
      </c>
      <c r="AM9796" t="s">
        <v>88</v>
      </c>
      <c r="AN9796" t="s">
        <v>88</v>
      </c>
      <c r="AO9796" t="s">
        <v>88</v>
      </c>
      <c r="AP9796" t="s">
        <v>88</v>
      </c>
      <c r="AQ9796">
        <v>1</v>
      </c>
      <c r="AR9796" t="s">
        <v>89</v>
      </c>
      <c r="AS9796" t="s">
        <v>90</v>
      </c>
      <c r="AT9796" t="s">
        <v>58</v>
      </c>
      <c r="AU9796" t="s">
        <v>350</v>
      </c>
      <c r="AV9796" t="s">
        <v>132</v>
      </c>
      <c r="AW9796" s="1">
        <v>33128</v>
      </c>
      <c r="AX9796">
        <v>1</v>
      </c>
    </row>
    <row r="9797" spans="1:50">
      <c r="A9797">
        <v>575005</v>
      </c>
      <c r="B9797" t="str">
        <f>"035961726"</f>
        <v>035961726</v>
      </c>
      <c r="C9797" t="s">
        <v>105</v>
      </c>
      <c r="D9797" t="s">
        <v>14755</v>
      </c>
      <c r="E9797" t="s">
        <v>760</v>
      </c>
      <c r="F9797" t="s">
        <v>95</v>
      </c>
      <c r="G9797" t="s">
        <v>14756</v>
      </c>
      <c r="H9797" t="str">
        <f>"ΔΕΞΑΜΕΝΗΣ ΣΤΕΡΝΕΣ"</f>
        <v>ΔΕΞΑΜΕΝΗΣ ΣΤΕΡΝΕΣ</v>
      </c>
      <c r="I9797">
        <v>73100</v>
      </c>
      <c r="J9797">
        <v>2821065604</v>
      </c>
      <c r="N9797" t="s">
        <v>615</v>
      </c>
      <c r="O9797" t="s">
        <v>616</v>
      </c>
      <c r="R9797" t="s">
        <v>57</v>
      </c>
      <c r="S9797">
        <v>13</v>
      </c>
      <c r="T9797">
        <v>184</v>
      </c>
      <c r="U9797" s="1">
        <v>34941</v>
      </c>
      <c r="V9797" t="s">
        <v>89</v>
      </c>
      <c r="W9797" t="s">
        <v>90</v>
      </c>
      <c r="X9797" t="s">
        <v>58</v>
      </c>
      <c r="Y9797">
        <v>21</v>
      </c>
      <c r="Z9797" t="s">
        <v>59</v>
      </c>
      <c r="AA9797" t="s">
        <v>59</v>
      </c>
      <c r="AB9797" t="s">
        <v>59</v>
      </c>
      <c r="AC9797" t="s">
        <v>59</v>
      </c>
      <c r="AD9797" t="s">
        <v>59</v>
      </c>
      <c r="AF9797" s="1">
        <v>34941</v>
      </c>
      <c r="AG9797" t="s">
        <v>8645</v>
      </c>
      <c r="AH9797" t="s">
        <v>8646</v>
      </c>
      <c r="AI9797" t="str">
        <f>"9500083"</f>
        <v>9500083</v>
      </c>
      <c r="AJ9797" t="s">
        <v>14239</v>
      </c>
      <c r="AK9797">
        <v>2821063500</v>
      </c>
      <c r="AL9797" t="s">
        <v>14240</v>
      </c>
      <c r="AM9797" t="s">
        <v>88</v>
      </c>
      <c r="AN9797" t="s">
        <v>88</v>
      </c>
      <c r="AO9797" t="s">
        <v>6770</v>
      </c>
      <c r="AP9797" t="s">
        <v>14090</v>
      </c>
      <c r="AQ9797">
        <v>2</v>
      </c>
      <c r="AR9797" t="s">
        <v>89</v>
      </c>
      <c r="AS9797" t="s">
        <v>90</v>
      </c>
      <c r="AT9797" t="s">
        <v>58</v>
      </c>
      <c r="AU9797" t="s">
        <v>68</v>
      </c>
      <c r="AV9797" t="s">
        <v>69</v>
      </c>
      <c r="AW9797" s="1">
        <v>23753</v>
      </c>
      <c r="AX9797">
        <v>1</v>
      </c>
    </row>
    <row r="9798" spans="1:50">
      <c r="A9798">
        <v>564267</v>
      </c>
      <c r="B9798" t="str">
        <f>"037081823"</f>
        <v>037081823</v>
      </c>
      <c r="C9798" t="s">
        <v>50</v>
      </c>
      <c r="D9798" t="s">
        <v>2156</v>
      </c>
      <c r="E9798" t="s">
        <v>1078</v>
      </c>
      <c r="F9798" t="s">
        <v>166</v>
      </c>
      <c r="G9798" t="s">
        <v>382</v>
      </c>
      <c r="H9798" t="str">
        <f>"Σ.ΚΑΡΑΓΙΩΡΓΑ 18 ΧΑΝΙΑ"</f>
        <v>Σ.ΚΑΡΑΓΙΩΡΓΑ 18 ΧΑΝΙΑ</v>
      </c>
      <c r="I9798">
        <v>73100</v>
      </c>
      <c r="J9798">
        <v>2821056643</v>
      </c>
      <c r="K9798">
        <v>6932320145</v>
      </c>
      <c r="N9798" t="s">
        <v>615</v>
      </c>
      <c r="O9798" t="s">
        <v>616</v>
      </c>
      <c r="R9798" t="s">
        <v>57</v>
      </c>
      <c r="S9798">
        <v>14</v>
      </c>
      <c r="T9798">
        <v>161</v>
      </c>
      <c r="U9798" s="1">
        <v>33119</v>
      </c>
      <c r="V9798" t="s">
        <v>89</v>
      </c>
      <c r="W9798" t="s">
        <v>90</v>
      </c>
      <c r="X9798" t="s">
        <v>58</v>
      </c>
      <c r="Y9798">
        <v>21</v>
      </c>
      <c r="Z9798" t="s">
        <v>59</v>
      </c>
      <c r="AA9798" t="s">
        <v>59</v>
      </c>
      <c r="AB9798" t="s">
        <v>59</v>
      </c>
      <c r="AC9798" t="s">
        <v>59</v>
      </c>
      <c r="AD9798" t="s">
        <v>59</v>
      </c>
      <c r="AF9798" s="1">
        <v>33119</v>
      </c>
      <c r="AG9798" t="s">
        <v>8645</v>
      </c>
      <c r="AH9798" t="s">
        <v>8646</v>
      </c>
      <c r="AI9798" t="str">
        <f>"9500338"</f>
        <v>9500338</v>
      </c>
      <c r="AJ9798" t="s">
        <v>13959</v>
      </c>
      <c r="AK9798">
        <v>2821040556</v>
      </c>
      <c r="AL9798" t="s">
        <v>13960</v>
      </c>
      <c r="AM9798" t="s">
        <v>88</v>
      </c>
      <c r="AN9798" t="s">
        <v>88</v>
      </c>
      <c r="AO9798" t="s">
        <v>88</v>
      </c>
      <c r="AP9798" t="s">
        <v>88</v>
      </c>
      <c r="AQ9798">
        <v>1</v>
      </c>
      <c r="AR9798" t="s">
        <v>89</v>
      </c>
      <c r="AS9798" t="s">
        <v>90</v>
      </c>
      <c r="AT9798" t="s">
        <v>58</v>
      </c>
      <c r="AU9798" t="s">
        <v>68</v>
      </c>
      <c r="AV9798" t="s">
        <v>69</v>
      </c>
      <c r="AW9798" s="1">
        <v>23950</v>
      </c>
      <c r="AX9798">
        <v>1</v>
      </c>
    </row>
    <row r="9799" spans="1:50">
      <c r="A9799">
        <v>613599</v>
      </c>
      <c r="B9799" t="str">
        <f>"136401668"</f>
        <v>136401668</v>
      </c>
      <c r="C9799" t="s">
        <v>50</v>
      </c>
      <c r="D9799" t="s">
        <v>6109</v>
      </c>
      <c r="E9799" t="s">
        <v>114</v>
      </c>
      <c r="F9799" t="s">
        <v>84</v>
      </c>
      <c r="G9799" t="s">
        <v>8985</v>
      </c>
      <c r="H9799" t="str">
        <f>"ΑΓΙΟΥ ΔΗΜΗΤΡΙΟΥ ΧΑΝΙΑ"</f>
        <v>ΑΓΙΟΥ ΔΗΜΗΤΡΙΟΥ ΧΑΝΙΑ</v>
      </c>
      <c r="I9799">
        <v>73100</v>
      </c>
      <c r="J9799">
        <v>2821032217</v>
      </c>
      <c r="K9799">
        <v>6972890920</v>
      </c>
      <c r="N9799" t="s">
        <v>615</v>
      </c>
      <c r="O9799" t="s">
        <v>616</v>
      </c>
      <c r="R9799" t="s">
        <v>57</v>
      </c>
      <c r="S9799">
        <v>6</v>
      </c>
      <c r="T9799">
        <v>598</v>
      </c>
      <c r="U9799" s="1">
        <v>39310</v>
      </c>
      <c r="V9799" t="s">
        <v>89</v>
      </c>
      <c r="W9799" t="s">
        <v>90</v>
      </c>
      <c r="X9799" t="s">
        <v>58</v>
      </c>
      <c r="Y9799">
        <v>23</v>
      </c>
      <c r="Z9799" t="s">
        <v>59</v>
      </c>
      <c r="AA9799" t="s">
        <v>59</v>
      </c>
      <c r="AB9799" t="s">
        <v>59</v>
      </c>
      <c r="AC9799" t="s">
        <v>59</v>
      </c>
      <c r="AD9799" t="s">
        <v>59</v>
      </c>
      <c r="AF9799" s="1">
        <v>39328</v>
      </c>
      <c r="AG9799" t="s">
        <v>8645</v>
      </c>
      <c r="AH9799" t="s">
        <v>8646</v>
      </c>
      <c r="AI9799" t="str">
        <f>"9500093"</f>
        <v>9500093</v>
      </c>
      <c r="AJ9799" t="s">
        <v>13865</v>
      </c>
      <c r="AK9799">
        <v>2821064537</v>
      </c>
      <c r="AL9799" t="s">
        <v>13866</v>
      </c>
      <c r="AM9799" t="s">
        <v>88</v>
      </c>
      <c r="AN9799" t="s">
        <v>88</v>
      </c>
      <c r="AO9799" t="s">
        <v>6770</v>
      </c>
      <c r="AP9799" t="s">
        <v>6771</v>
      </c>
      <c r="AQ9799">
        <v>2</v>
      </c>
      <c r="AR9799" t="s">
        <v>89</v>
      </c>
      <c r="AS9799" t="s">
        <v>90</v>
      </c>
      <c r="AT9799" t="s">
        <v>58</v>
      </c>
      <c r="AU9799" t="s">
        <v>68</v>
      </c>
      <c r="AV9799" t="s">
        <v>69</v>
      </c>
      <c r="AW9799" s="1">
        <v>30279</v>
      </c>
      <c r="AX9799">
        <v>1</v>
      </c>
    </row>
    <row r="9800" spans="1:50">
      <c r="A9800">
        <v>618540</v>
      </c>
      <c r="B9800" t="str">
        <f>"137476363"</f>
        <v>137476363</v>
      </c>
      <c r="C9800" t="s">
        <v>50</v>
      </c>
      <c r="D9800" t="s">
        <v>10275</v>
      </c>
      <c r="E9800" t="s">
        <v>52</v>
      </c>
      <c r="F9800" t="s">
        <v>383</v>
      </c>
      <c r="G9800" t="s">
        <v>237</v>
      </c>
      <c r="H9800" t="str">
        <f>"ΛΑΪΝΑΡΤΕΜΗ 3 ΚΙΣΣΑΜΟΣ ΧΑΝΙΩΝ"</f>
        <v>ΛΑΪΝΑΡΤΕΜΗ 3 ΚΙΣΣΑΜΟΣ ΧΑΝΙΩΝ</v>
      </c>
      <c r="I9800">
        <v>73400</v>
      </c>
      <c r="J9800">
        <v>2822022951</v>
      </c>
      <c r="K9800">
        <v>6932688578</v>
      </c>
      <c r="N9800" t="s">
        <v>615</v>
      </c>
      <c r="O9800" t="s">
        <v>616</v>
      </c>
      <c r="R9800" t="s">
        <v>57</v>
      </c>
      <c r="S9800">
        <v>5</v>
      </c>
      <c r="T9800">
        <v>774</v>
      </c>
      <c r="U9800" s="1">
        <v>39680</v>
      </c>
      <c r="V9800" t="s">
        <v>89</v>
      </c>
      <c r="W9800" t="s">
        <v>90</v>
      </c>
      <c r="X9800" t="s">
        <v>58</v>
      </c>
      <c r="Y9800">
        <v>23</v>
      </c>
      <c r="Z9800" t="s">
        <v>59</v>
      </c>
      <c r="AA9800" t="s">
        <v>59</v>
      </c>
      <c r="AB9800" t="s">
        <v>59</v>
      </c>
      <c r="AC9800" t="s">
        <v>59</v>
      </c>
      <c r="AD9800" t="s">
        <v>59</v>
      </c>
      <c r="AF9800" s="1">
        <v>39682</v>
      </c>
      <c r="AG9800" t="s">
        <v>8645</v>
      </c>
      <c r="AH9800" t="s">
        <v>8646</v>
      </c>
      <c r="AI9800" t="str">
        <f>"9500205"</f>
        <v>9500205</v>
      </c>
      <c r="AJ9800" t="s">
        <v>13861</v>
      </c>
      <c r="AK9800">
        <v>2822031289</v>
      </c>
      <c r="AL9800" t="s">
        <v>13862</v>
      </c>
      <c r="AM9800" t="s">
        <v>88</v>
      </c>
      <c r="AN9800" t="s">
        <v>6744</v>
      </c>
      <c r="AO9800" t="s">
        <v>13863</v>
      </c>
      <c r="AP9800" t="s">
        <v>13864</v>
      </c>
      <c r="AQ9800">
        <v>9</v>
      </c>
      <c r="AR9800" t="s">
        <v>89</v>
      </c>
      <c r="AS9800" t="s">
        <v>90</v>
      </c>
      <c r="AT9800" t="s">
        <v>58</v>
      </c>
      <c r="AU9800" t="s">
        <v>68</v>
      </c>
      <c r="AV9800" t="s">
        <v>69</v>
      </c>
      <c r="AW9800" s="1">
        <v>30732</v>
      </c>
      <c r="AX9800">
        <v>1</v>
      </c>
    </row>
    <row r="9801" spans="1:50">
      <c r="A9801">
        <v>614737</v>
      </c>
      <c r="B9801" t="str">
        <f>"137476652"</f>
        <v>137476652</v>
      </c>
      <c r="C9801" t="s">
        <v>50</v>
      </c>
      <c r="D9801" t="s">
        <v>10275</v>
      </c>
      <c r="E9801" t="s">
        <v>1074</v>
      </c>
      <c r="F9801" t="s">
        <v>72</v>
      </c>
      <c r="G9801" t="s">
        <v>52</v>
      </c>
      <c r="H9801" t="str">
        <f>"ΓΡΑΜΒΟΥΣΑ ΚΙΣΑΜΟΥ ΧΑΝΙΑ"</f>
        <v>ΓΡΑΜΒΟΥΣΑ ΚΙΣΑΜΟΥ ΧΑΝΙΑ</v>
      </c>
      <c r="I9801">
        <v>73400</v>
      </c>
      <c r="J9801">
        <v>2822041504</v>
      </c>
      <c r="K9801">
        <v>6974218991</v>
      </c>
      <c r="N9801" t="s">
        <v>615</v>
      </c>
      <c r="O9801" t="s">
        <v>616</v>
      </c>
      <c r="R9801" t="s">
        <v>57</v>
      </c>
      <c r="S9801">
        <v>6</v>
      </c>
      <c r="T9801">
        <v>598</v>
      </c>
      <c r="U9801" s="1">
        <v>39310</v>
      </c>
      <c r="V9801" t="s">
        <v>89</v>
      </c>
      <c r="W9801" t="s">
        <v>90</v>
      </c>
      <c r="X9801" t="s">
        <v>58</v>
      </c>
      <c r="Y9801">
        <v>23</v>
      </c>
      <c r="Z9801" t="s">
        <v>59</v>
      </c>
      <c r="AA9801" t="s">
        <v>59</v>
      </c>
      <c r="AB9801" t="s">
        <v>59</v>
      </c>
      <c r="AC9801" t="s">
        <v>59</v>
      </c>
      <c r="AD9801" t="s">
        <v>59</v>
      </c>
      <c r="AF9801" s="1">
        <v>39328</v>
      </c>
      <c r="AG9801" t="s">
        <v>8645</v>
      </c>
      <c r="AH9801" t="s">
        <v>8646</v>
      </c>
      <c r="AI9801" t="str">
        <f>"9500374"</f>
        <v>9500374</v>
      </c>
      <c r="AJ9801" t="s">
        <v>14529</v>
      </c>
      <c r="AK9801">
        <v>2822023194</v>
      </c>
      <c r="AL9801" t="s">
        <v>14530</v>
      </c>
      <c r="AM9801" t="s">
        <v>88</v>
      </c>
      <c r="AN9801" t="s">
        <v>6744</v>
      </c>
      <c r="AO9801" t="s">
        <v>6744</v>
      </c>
      <c r="AP9801" t="s">
        <v>6744</v>
      </c>
      <c r="AQ9801">
        <v>9</v>
      </c>
      <c r="AR9801" t="s">
        <v>89</v>
      </c>
      <c r="AS9801" t="s">
        <v>90</v>
      </c>
      <c r="AT9801" t="s">
        <v>58</v>
      </c>
      <c r="AU9801" t="s">
        <v>68</v>
      </c>
      <c r="AV9801" t="s">
        <v>69</v>
      </c>
      <c r="AW9801" s="1">
        <v>30704</v>
      </c>
      <c r="AX9801">
        <v>1</v>
      </c>
    </row>
    <row r="9802" spans="1:50">
      <c r="B9802" t="str">
        <f>"160441445"</f>
        <v>160441445</v>
      </c>
      <c r="C9802" t="s">
        <v>50</v>
      </c>
      <c r="D9802" t="s">
        <v>14757</v>
      </c>
      <c r="E9802" t="s">
        <v>112</v>
      </c>
      <c r="F9802" t="s">
        <v>5543</v>
      </c>
      <c r="G9802" t="s">
        <v>1068</v>
      </c>
      <c r="H9802" t="str">
        <f>" "</f>
        <v xml:space="preserve"> </v>
      </c>
      <c r="N9802" t="s">
        <v>8694</v>
      </c>
      <c r="O9802" t="s">
        <v>8695</v>
      </c>
      <c r="R9802" t="s">
        <v>121</v>
      </c>
      <c r="S9802">
        <v>1</v>
      </c>
      <c r="T9802" t="s">
        <v>8835</v>
      </c>
      <c r="U9802" s="1">
        <v>43348</v>
      </c>
      <c r="V9802" t="s">
        <v>89</v>
      </c>
      <c r="W9802" t="s">
        <v>90</v>
      </c>
      <c r="X9802" t="s">
        <v>58</v>
      </c>
      <c r="Y9802">
        <v>24</v>
      </c>
      <c r="Z9802" t="s">
        <v>59</v>
      </c>
      <c r="AD9802" t="s">
        <v>59</v>
      </c>
      <c r="AF9802" s="1">
        <v>43348</v>
      </c>
      <c r="AG9802" t="s">
        <v>8645</v>
      </c>
      <c r="AH9802" t="s">
        <v>8676</v>
      </c>
      <c r="AI9802" t="str">
        <f>"9500207"</f>
        <v>9500207</v>
      </c>
      <c r="AJ9802" t="s">
        <v>13869</v>
      </c>
      <c r="AK9802">
        <v>2822061217</v>
      </c>
      <c r="AL9802" t="s">
        <v>13870</v>
      </c>
      <c r="AM9802" t="s">
        <v>88</v>
      </c>
      <c r="AN9802" t="s">
        <v>6744</v>
      </c>
      <c r="AO9802" t="s">
        <v>13871</v>
      </c>
      <c r="AP9802" t="s">
        <v>13872</v>
      </c>
      <c r="AQ9802">
        <v>9</v>
      </c>
      <c r="AR9802" t="s">
        <v>89</v>
      </c>
      <c r="AS9802" t="s">
        <v>90</v>
      </c>
      <c r="AT9802" t="s">
        <v>58</v>
      </c>
      <c r="AU9802" t="s">
        <v>131</v>
      </c>
      <c r="AV9802" t="s">
        <v>132</v>
      </c>
      <c r="AW9802" s="1">
        <v>34882</v>
      </c>
      <c r="AX9802">
        <v>1</v>
      </c>
    </row>
    <row r="9803" spans="1:50">
      <c r="B9803" t="str">
        <f>"139589107"</f>
        <v>139589107</v>
      </c>
      <c r="C9803" t="s">
        <v>50</v>
      </c>
      <c r="D9803" t="s">
        <v>14758</v>
      </c>
      <c r="E9803" t="s">
        <v>335</v>
      </c>
      <c r="F9803" t="s">
        <v>84</v>
      </c>
      <c r="G9803" t="s">
        <v>340</v>
      </c>
      <c r="H9803" t="str">
        <f>"ΔΗΜΟΚΡΑΤΙΑΣ 1 "</f>
        <v xml:space="preserve">ΔΗΜΟΚΡΑΤΙΑΣ 1 </v>
      </c>
      <c r="I9803">
        <v>40100</v>
      </c>
      <c r="J9803">
        <v>2492026247</v>
      </c>
      <c r="K9803">
        <v>6948236643</v>
      </c>
      <c r="M9803" t="s">
        <v>14759</v>
      </c>
      <c r="N9803" t="s">
        <v>8694</v>
      </c>
      <c r="O9803" t="s">
        <v>8695</v>
      </c>
      <c r="R9803" t="s">
        <v>159</v>
      </c>
      <c r="S9803">
        <v>3</v>
      </c>
      <c r="T9803" t="s">
        <v>8696</v>
      </c>
      <c r="U9803" s="1">
        <v>43348</v>
      </c>
      <c r="V9803" t="s">
        <v>89</v>
      </c>
      <c r="W9803" t="s">
        <v>90</v>
      </c>
      <c r="X9803" t="s">
        <v>58</v>
      </c>
      <c r="Y9803">
        <v>24</v>
      </c>
      <c r="Z9803" t="s">
        <v>59</v>
      </c>
      <c r="AA9803" t="s">
        <v>59</v>
      </c>
      <c r="AB9803" t="s">
        <v>59</v>
      </c>
      <c r="AC9803" t="s">
        <v>59</v>
      </c>
      <c r="AD9803" t="s">
        <v>59</v>
      </c>
      <c r="AF9803" s="1">
        <v>43348</v>
      </c>
      <c r="AG9803" t="s">
        <v>8645</v>
      </c>
      <c r="AH9803" t="s">
        <v>8646</v>
      </c>
      <c r="AI9803" t="str">
        <f>"9500084"</f>
        <v>9500084</v>
      </c>
      <c r="AJ9803" t="s">
        <v>13994</v>
      </c>
      <c r="AK9803">
        <v>2821031270</v>
      </c>
      <c r="AL9803" t="s">
        <v>13995</v>
      </c>
      <c r="AM9803" t="s">
        <v>88</v>
      </c>
      <c r="AN9803" t="s">
        <v>88</v>
      </c>
      <c r="AO9803" t="s">
        <v>13920</v>
      </c>
      <c r="AP9803" t="s">
        <v>13996</v>
      </c>
      <c r="AQ9803">
        <v>3</v>
      </c>
      <c r="AR9803" t="s">
        <v>89</v>
      </c>
      <c r="AS9803" t="s">
        <v>90</v>
      </c>
      <c r="AT9803" t="s">
        <v>58</v>
      </c>
      <c r="AU9803" t="s">
        <v>350</v>
      </c>
      <c r="AV9803" t="s">
        <v>132</v>
      </c>
      <c r="AW9803" s="1">
        <v>32489</v>
      </c>
      <c r="AX9803">
        <v>1</v>
      </c>
    </row>
    <row r="9804" spans="1:50">
      <c r="A9804">
        <v>618393</v>
      </c>
      <c r="B9804" t="str">
        <f>"130411350"</f>
        <v>130411350</v>
      </c>
      <c r="C9804" t="s">
        <v>50</v>
      </c>
      <c r="D9804" t="s">
        <v>10278</v>
      </c>
      <c r="E9804" t="s">
        <v>83</v>
      </c>
      <c r="F9804" t="s">
        <v>609</v>
      </c>
      <c r="G9804" t="s">
        <v>52</v>
      </c>
      <c r="H9804" t="str">
        <f>"25ΗΣ ΜΑΡΤΙΟΥ ΑΓ.ΜΑΡΙΝΑ-ΧΑΝΙΑ"</f>
        <v>25ΗΣ ΜΑΡΤΙΟΥ ΑΓ.ΜΑΡΙΝΑ-ΧΑΝΙΑ</v>
      </c>
      <c r="I9804">
        <v>73100</v>
      </c>
      <c r="J9804">
        <v>2821084981</v>
      </c>
      <c r="K9804">
        <v>6973882019</v>
      </c>
      <c r="N9804" t="s">
        <v>615</v>
      </c>
      <c r="O9804" t="s">
        <v>616</v>
      </c>
      <c r="R9804" t="s">
        <v>57</v>
      </c>
      <c r="S9804">
        <v>5</v>
      </c>
      <c r="T9804">
        <v>774</v>
      </c>
      <c r="U9804" s="1">
        <v>39680</v>
      </c>
      <c r="V9804" t="s">
        <v>89</v>
      </c>
      <c r="W9804" t="s">
        <v>90</v>
      </c>
      <c r="X9804" t="s">
        <v>58</v>
      </c>
      <c r="Y9804">
        <v>23</v>
      </c>
      <c r="Z9804" t="s">
        <v>59</v>
      </c>
      <c r="AA9804" t="s">
        <v>59</v>
      </c>
      <c r="AB9804" t="s">
        <v>59</v>
      </c>
      <c r="AC9804" t="s">
        <v>59</v>
      </c>
      <c r="AD9804" t="s">
        <v>59</v>
      </c>
      <c r="AF9804" s="1">
        <v>39680</v>
      </c>
      <c r="AG9804" t="s">
        <v>8645</v>
      </c>
      <c r="AH9804" t="s">
        <v>8646</v>
      </c>
      <c r="AI9804" t="str">
        <f>"9500167"</f>
        <v>9500167</v>
      </c>
      <c r="AJ9804" t="s">
        <v>13922</v>
      </c>
      <c r="AK9804">
        <v>2821068357</v>
      </c>
      <c r="AL9804" t="s">
        <v>13923</v>
      </c>
      <c r="AM9804" t="s">
        <v>88</v>
      </c>
      <c r="AN9804" t="s">
        <v>6764</v>
      </c>
      <c r="AO9804" t="s">
        <v>6764</v>
      </c>
      <c r="AP9804" t="s">
        <v>6764</v>
      </c>
      <c r="AQ9804">
        <v>5</v>
      </c>
      <c r="AR9804" t="s">
        <v>89</v>
      </c>
      <c r="AS9804" t="s">
        <v>90</v>
      </c>
      <c r="AT9804" t="s">
        <v>58</v>
      </c>
      <c r="AU9804" t="s">
        <v>68</v>
      </c>
      <c r="AV9804" t="s">
        <v>69</v>
      </c>
      <c r="AW9804" s="1">
        <v>30923</v>
      </c>
      <c r="AX9804">
        <v>1</v>
      </c>
    </row>
    <row r="9805" spans="1:50">
      <c r="A9805">
        <v>616715</v>
      </c>
      <c r="B9805" t="str">
        <f>"135797857"</f>
        <v>135797857</v>
      </c>
      <c r="C9805" t="s">
        <v>50</v>
      </c>
      <c r="D9805" t="s">
        <v>14760</v>
      </c>
      <c r="E9805" t="s">
        <v>52</v>
      </c>
      <c r="F9805" t="s">
        <v>230</v>
      </c>
      <c r="G9805" t="s">
        <v>83</v>
      </c>
      <c r="H9805" t="str">
        <f>"ΣΩΚΡΑΤΟΥΣ 23 ΘΕΣΣΑΛΟΝΙΚΗ"</f>
        <v>ΣΩΚΡΑΤΟΥΣ 23 ΘΕΣΣΑΛΟΝΙΚΗ</v>
      </c>
      <c r="I9805">
        <v>56224</v>
      </c>
      <c r="J9805">
        <v>2310707307</v>
      </c>
      <c r="K9805">
        <v>6972921494</v>
      </c>
      <c r="N9805" t="s">
        <v>615</v>
      </c>
      <c r="O9805" t="s">
        <v>616</v>
      </c>
      <c r="R9805" t="s">
        <v>57</v>
      </c>
      <c r="S9805">
        <v>6</v>
      </c>
      <c r="T9805">
        <v>774</v>
      </c>
      <c r="U9805" s="1">
        <v>39680</v>
      </c>
      <c r="V9805" t="s">
        <v>89</v>
      </c>
      <c r="W9805" t="s">
        <v>90</v>
      </c>
      <c r="X9805" t="s">
        <v>58</v>
      </c>
      <c r="Y9805">
        <v>23</v>
      </c>
      <c r="Z9805" t="s">
        <v>59</v>
      </c>
      <c r="AA9805" t="s">
        <v>59</v>
      </c>
      <c r="AB9805" t="s">
        <v>59</v>
      </c>
      <c r="AC9805" t="s">
        <v>59</v>
      </c>
      <c r="AD9805" t="s">
        <v>59</v>
      </c>
      <c r="AF9805" s="1">
        <v>39681</v>
      </c>
      <c r="AG9805" t="s">
        <v>8645</v>
      </c>
      <c r="AH9805" t="s">
        <v>8646</v>
      </c>
      <c r="AI9805" t="str">
        <f>"9500081"</f>
        <v>9500081</v>
      </c>
      <c r="AJ9805" t="s">
        <v>14034</v>
      </c>
      <c r="AK9805">
        <v>2821077150</v>
      </c>
      <c r="AL9805" t="s">
        <v>14035</v>
      </c>
      <c r="AM9805" t="s">
        <v>88</v>
      </c>
      <c r="AN9805" t="s">
        <v>6764</v>
      </c>
      <c r="AO9805" t="s">
        <v>6885</v>
      </c>
      <c r="AP9805" t="s">
        <v>6886</v>
      </c>
      <c r="AQ9805">
        <v>4</v>
      </c>
      <c r="AR9805" t="s">
        <v>89</v>
      </c>
      <c r="AS9805" t="s">
        <v>90</v>
      </c>
      <c r="AT9805" t="s">
        <v>58</v>
      </c>
      <c r="AU9805" t="s">
        <v>68</v>
      </c>
      <c r="AV9805" t="s">
        <v>1092</v>
      </c>
      <c r="AW9805" s="1">
        <v>30699</v>
      </c>
      <c r="AX9805">
        <v>1</v>
      </c>
    </row>
    <row r="9806" spans="1:50">
      <c r="A9806">
        <v>619420</v>
      </c>
      <c r="B9806" t="str">
        <f>"036730854"</f>
        <v>036730854</v>
      </c>
      <c r="C9806" t="s">
        <v>50</v>
      </c>
      <c r="D9806" t="s">
        <v>7522</v>
      </c>
      <c r="E9806" t="s">
        <v>1755</v>
      </c>
      <c r="F9806" t="s">
        <v>53</v>
      </c>
      <c r="G9806" t="s">
        <v>73</v>
      </c>
      <c r="H9806" t="str">
        <f>"ΔΗΜΗΤΡΑΚΑΚΗ 1Α ΧΑΝΙΑ"</f>
        <v>ΔΗΜΗΤΡΑΚΑΚΗ 1Α ΧΑΝΙΑ</v>
      </c>
      <c r="I9806">
        <v>73132</v>
      </c>
      <c r="J9806">
        <v>2821028181</v>
      </c>
      <c r="K9806">
        <v>6956036651</v>
      </c>
      <c r="M9806" t="s">
        <v>14761</v>
      </c>
      <c r="N9806" t="s">
        <v>1525</v>
      </c>
      <c r="O9806" t="s">
        <v>1526</v>
      </c>
      <c r="R9806" t="s">
        <v>57</v>
      </c>
      <c r="S9806">
        <v>5</v>
      </c>
      <c r="T9806">
        <v>774</v>
      </c>
      <c r="U9806" s="1">
        <v>39680</v>
      </c>
      <c r="V9806" t="s">
        <v>89</v>
      </c>
      <c r="W9806" t="s">
        <v>90</v>
      </c>
      <c r="X9806" t="s">
        <v>58</v>
      </c>
      <c r="Y9806">
        <v>25</v>
      </c>
      <c r="Z9806" t="s">
        <v>59</v>
      </c>
      <c r="AA9806" t="s">
        <v>59</v>
      </c>
      <c r="AB9806" t="s">
        <v>59</v>
      </c>
      <c r="AC9806" t="s">
        <v>59</v>
      </c>
      <c r="AD9806" t="s">
        <v>59</v>
      </c>
      <c r="AF9806" s="1">
        <v>39680</v>
      </c>
      <c r="AG9806" t="s">
        <v>8651</v>
      </c>
      <c r="AH9806" t="s">
        <v>8652</v>
      </c>
      <c r="AI9806" t="str">
        <f>"9500296"</f>
        <v>9500296</v>
      </c>
      <c r="AJ9806" t="s">
        <v>14762</v>
      </c>
      <c r="AK9806">
        <v>2821099519</v>
      </c>
      <c r="AL9806" t="s">
        <v>14763</v>
      </c>
      <c r="AM9806" t="s">
        <v>88</v>
      </c>
      <c r="AN9806" t="s">
        <v>88</v>
      </c>
      <c r="AO9806" t="s">
        <v>6733</v>
      </c>
      <c r="AP9806" t="s">
        <v>6734</v>
      </c>
      <c r="AQ9806">
        <v>2</v>
      </c>
      <c r="AR9806" t="s">
        <v>89</v>
      </c>
      <c r="AS9806" t="s">
        <v>90</v>
      </c>
      <c r="AT9806" t="s">
        <v>58</v>
      </c>
      <c r="AU9806" t="s">
        <v>68</v>
      </c>
      <c r="AV9806" t="s">
        <v>69</v>
      </c>
      <c r="AW9806" s="1">
        <v>25209</v>
      </c>
      <c r="AX9806">
        <v>1</v>
      </c>
    </row>
    <row r="9807" spans="1:50">
      <c r="A9807">
        <v>616910</v>
      </c>
      <c r="B9807" t="str">
        <f>"135765153"</f>
        <v>135765153</v>
      </c>
      <c r="C9807" t="s">
        <v>50</v>
      </c>
      <c r="D9807" t="s">
        <v>14764</v>
      </c>
      <c r="E9807" t="s">
        <v>3467</v>
      </c>
      <c r="F9807" t="s">
        <v>995</v>
      </c>
      <c r="G9807" t="s">
        <v>476</v>
      </c>
      <c r="H9807" t="str">
        <f>"ΛΑΓΚΑΔΑ 19 ΕΥΟΣΜΟΣ-ΘΕΣΣΑΛΟΝΙΚΗ"</f>
        <v>ΛΑΓΚΑΔΑ 19 ΕΥΟΣΜΟΣ-ΘΕΣΣΑΛΟΝΙΚΗ</v>
      </c>
      <c r="I9807">
        <v>56431</v>
      </c>
      <c r="J9807">
        <v>2310659356</v>
      </c>
      <c r="K9807">
        <v>6973665153</v>
      </c>
      <c r="N9807" t="s">
        <v>615</v>
      </c>
      <c r="O9807" t="s">
        <v>616</v>
      </c>
      <c r="R9807" t="s">
        <v>57</v>
      </c>
      <c r="S9807">
        <v>6</v>
      </c>
      <c r="T9807">
        <v>774</v>
      </c>
      <c r="U9807" s="1">
        <v>39680</v>
      </c>
      <c r="V9807" t="s">
        <v>89</v>
      </c>
      <c r="W9807" t="s">
        <v>90</v>
      </c>
      <c r="X9807" t="s">
        <v>58</v>
      </c>
      <c r="Y9807">
        <v>23</v>
      </c>
      <c r="Z9807" t="s">
        <v>59</v>
      </c>
      <c r="AA9807" t="s">
        <v>59</v>
      </c>
      <c r="AB9807" t="s">
        <v>59</v>
      </c>
      <c r="AC9807" t="s">
        <v>59</v>
      </c>
      <c r="AD9807" t="s">
        <v>59</v>
      </c>
      <c r="AF9807" s="1">
        <v>39681</v>
      </c>
      <c r="AG9807" t="s">
        <v>8645</v>
      </c>
      <c r="AH9807" t="s">
        <v>8646</v>
      </c>
      <c r="AI9807" t="str">
        <f>"9500374"</f>
        <v>9500374</v>
      </c>
      <c r="AJ9807" t="s">
        <v>14529</v>
      </c>
      <c r="AK9807">
        <v>2822023194</v>
      </c>
      <c r="AL9807" t="s">
        <v>14530</v>
      </c>
      <c r="AM9807" t="s">
        <v>88</v>
      </c>
      <c r="AN9807" t="s">
        <v>6744</v>
      </c>
      <c r="AO9807" t="s">
        <v>6744</v>
      </c>
      <c r="AP9807" t="s">
        <v>6744</v>
      </c>
      <c r="AQ9807">
        <v>9</v>
      </c>
      <c r="AR9807" t="s">
        <v>89</v>
      </c>
      <c r="AS9807" t="s">
        <v>90</v>
      </c>
      <c r="AT9807" t="s">
        <v>58</v>
      </c>
      <c r="AU9807" t="s">
        <v>68</v>
      </c>
      <c r="AV9807" t="s">
        <v>69</v>
      </c>
      <c r="AW9807" s="1">
        <v>30557</v>
      </c>
      <c r="AX9807">
        <v>1</v>
      </c>
    </row>
    <row r="9808" spans="1:50">
      <c r="A9808">
        <v>558392</v>
      </c>
      <c r="B9808" t="str">
        <f>"033433147"</f>
        <v>033433147</v>
      </c>
      <c r="C9808" t="s">
        <v>50</v>
      </c>
      <c r="D9808" t="s">
        <v>10291</v>
      </c>
      <c r="E9808" t="s">
        <v>237</v>
      </c>
      <c r="F9808" t="s">
        <v>9884</v>
      </c>
      <c r="G9808" t="s">
        <v>215</v>
      </c>
      <c r="H9808" t="str">
        <f>"ΠΡΟΦΗΤΗ ΗΛΙΑ 121 ΧΑΝΙΑ"</f>
        <v>ΠΡΟΦΗΤΗ ΗΛΙΑ 121 ΧΑΝΙΑ</v>
      </c>
      <c r="I9808">
        <v>73100</v>
      </c>
      <c r="J9808">
        <v>2821057516</v>
      </c>
      <c r="K9808">
        <v>6978554410</v>
      </c>
      <c r="N9808" t="s">
        <v>615</v>
      </c>
      <c r="O9808" t="s">
        <v>616</v>
      </c>
      <c r="R9808" t="s">
        <v>57</v>
      </c>
      <c r="S9808">
        <v>15</v>
      </c>
      <c r="T9808">
        <v>168</v>
      </c>
      <c r="U9808" s="1">
        <v>32010</v>
      </c>
      <c r="V9808" t="s">
        <v>89</v>
      </c>
      <c r="W9808" t="s">
        <v>90</v>
      </c>
      <c r="X9808" t="s">
        <v>58</v>
      </c>
      <c r="Y9808">
        <v>21</v>
      </c>
      <c r="Z9808" t="s">
        <v>59</v>
      </c>
      <c r="AA9808" t="s">
        <v>59</v>
      </c>
      <c r="AB9808" t="s">
        <v>59</v>
      </c>
      <c r="AC9808" t="s">
        <v>59</v>
      </c>
      <c r="AD9808" t="s">
        <v>59</v>
      </c>
      <c r="AF9808" s="1">
        <v>32010</v>
      </c>
      <c r="AG9808" t="s">
        <v>8645</v>
      </c>
      <c r="AH9808" t="s">
        <v>8646</v>
      </c>
      <c r="AI9808" t="str">
        <f>"9500038"</f>
        <v>9500038</v>
      </c>
      <c r="AJ9808" t="s">
        <v>13899</v>
      </c>
      <c r="AK9808">
        <v>2821042407</v>
      </c>
      <c r="AL9808" t="s">
        <v>13900</v>
      </c>
      <c r="AM9808" t="s">
        <v>88</v>
      </c>
      <c r="AN9808" t="s">
        <v>88</v>
      </c>
      <c r="AO9808" t="s">
        <v>88</v>
      </c>
      <c r="AP9808" t="s">
        <v>88</v>
      </c>
      <c r="AQ9808">
        <v>1</v>
      </c>
      <c r="AR9808" t="s">
        <v>89</v>
      </c>
      <c r="AS9808" t="s">
        <v>90</v>
      </c>
      <c r="AT9808" t="s">
        <v>58</v>
      </c>
      <c r="AU9808" t="s">
        <v>68</v>
      </c>
      <c r="AV9808" t="s">
        <v>69</v>
      </c>
      <c r="AW9808" s="1">
        <v>23646</v>
      </c>
      <c r="AX9808">
        <v>1</v>
      </c>
    </row>
    <row r="9809" spans="1:50">
      <c r="A9809">
        <v>594639</v>
      </c>
      <c r="B9809" t="str">
        <f>"101585822"</f>
        <v>101585822</v>
      </c>
      <c r="C9809" t="s">
        <v>50</v>
      </c>
      <c r="D9809" t="s">
        <v>14765</v>
      </c>
      <c r="E9809" t="s">
        <v>14766</v>
      </c>
      <c r="F9809" t="s">
        <v>1473</v>
      </c>
      <c r="G9809" t="s">
        <v>1120</v>
      </c>
      <c r="H9809" t="str">
        <f>"ΠΙΘΑΡΙ ΠΙΘΑΡΙ-ΑΚΡΩΤΗΡΙ"</f>
        <v>ΠΙΘΑΡΙ ΠΙΘΑΡΙ-ΑΚΡΩΤΗΡΙ</v>
      </c>
      <c r="I9809">
        <v>73100</v>
      </c>
      <c r="J9809">
        <v>2821049003</v>
      </c>
      <c r="K9809">
        <v>6943753711</v>
      </c>
      <c r="N9809" t="s">
        <v>615</v>
      </c>
      <c r="O9809" t="s">
        <v>616</v>
      </c>
      <c r="R9809" t="s">
        <v>57</v>
      </c>
      <c r="S9809">
        <v>8</v>
      </c>
      <c r="T9809">
        <v>218</v>
      </c>
      <c r="U9809" s="1">
        <v>37134</v>
      </c>
      <c r="V9809" t="s">
        <v>89</v>
      </c>
      <c r="W9809" t="s">
        <v>90</v>
      </c>
      <c r="X9809" t="s">
        <v>58</v>
      </c>
      <c r="Y9809">
        <v>22</v>
      </c>
      <c r="Z9809" t="s">
        <v>59</v>
      </c>
      <c r="AA9809" t="s">
        <v>59</v>
      </c>
      <c r="AB9809" t="s">
        <v>59</v>
      </c>
      <c r="AC9809" t="s">
        <v>59</v>
      </c>
      <c r="AD9809" t="s">
        <v>59</v>
      </c>
      <c r="AF9809" s="1">
        <v>37134</v>
      </c>
      <c r="AG9809" t="s">
        <v>8645</v>
      </c>
      <c r="AH9809" t="s">
        <v>8646</v>
      </c>
      <c r="AI9809" t="str">
        <f>"9500083"</f>
        <v>9500083</v>
      </c>
      <c r="AJ9809" t="s">
        <v>14239</v>
      </c>
      <c r="AK9809">
        <v>2821063500</v>
      </c>
      <c r="AL9809" t="s">
        <v>14240</v>
      </c>
      <c r="AM9809" t="s">
        <v>88</v>
      </c>
      <c r="AN9809" t="s">
        <v>88</v>
      </c>
      <c r="AO9809" t="s">
        <v>6770</v>
      </c>
      <c r="AP9809" t="s">
        <v>14090</v>
      </c>
      <c r="AQ9809">
        <v>2</v>
      </c>
      <c r="AR9809" t="s">
        <v>89</v>
      </c>
      <c r="AS9809" t="s">
        <v>90</v>
      </c>
      <c r="AT9809" t="s">
        <v>58</v>
      </c>
      <c r="AU9809" t="s">
        <v>68</v>
      </c>
      <c r="AV9809" t="s">
        <v>69</v>
      </c>
      <c r="AW9809" s="1">
        <v>27240</v>
      </c>
      <c r="AX9809">
        <v>1</v>
      </c>
    </row>
    <row r="9810" spans="1:50">
      <c r="A9810">
        <v>562265</v>
      </c>
      <c r="B9810" t="str">
        <f>"031876878"</f>
        <v>031876878</v>
      </c>
      <c r="C9810" t="s">
        <v>50</v>
      </c>
      <c r="D9810" t="s">
        <v>2170</v>
      </c>
      <c r="E9810" t="s">
        <v>325</v>
      </c>
      <c r="F9810" t="s">
        <v>1363</v>
      </c>
      <c r="G9810" t="s">
        <v>52</v>
      </c>
      <c r="H9810" t="str">
        <f>"ΟΜΟΓΕΝΩΝ ΑΜΕΡΙΚΗΣ 39 ΚΙΣΑΜΟΣ ΧΑΝΙΩΝ"</f>
        <v>ΟΜΟΓΕΝΩΝ ΑΜΕΡΙΚΗΣ 39 ΚΙΣΑΜΟΣ ΧΑΝΙΩΝ</v>
      </c>
      <c r="I9810">
        <v>73400</v>
      </c>
      <c r="J9810">
        <v>2822023394</v>
      </c>
      <c r="K9810">
        <v>6972708829</v>
      </c>
      <c r="N9810" t="s">
        <v>615</v>
      </c>
      <c r="O9810" t="s">
        <v>616</v>
      </c>
      <c r="R9810" t="s">
        <v>57</v>
      </c>
      <c r="S9810">
        <v>15</v>
      </c>
      <c r="T9810">
        <v>187</v>
      </c>
      <c r="U9810" s="1">
        <v>32750</v>
      </c>
      <c r="V9810" t="s">
        <v>89</v>
      </c>
      <c r="W9810" t="s">
        <v>90</v>
      </c>
      <c r="X9810" t="s">
        <v>58</v>
      </c>
      <c r="Y9810">
        <v>21</v>
      </c>
      <c r="Z9810" t="s">
        <v>59</v>
      </c>
      <c r="AA9810" t="s">
        <v>59</v>
      </c>
      <c r="AB9810" t="s">
        <v>59</v>
      </c>
      <c r="AC9810" t="s">
        <v>59</v>
      </c>
      <c r="AD9810" t="s">
        <v>59</v>
      </c>
      <c r="AF9810" s="1">
        <v>32756</v>
      </c>
      <c r="AG9810" t="s">
        <v>8645</v>
      </c>
      <c r="AH9810" t="s">
        <v>8646</v>
      </c>
      <c r="AI9810" t="str">
        <f>"9500191"</f>
        <v>9500191</v>
      </c>
      <c r="AJ9810" t="s">
        <v>13986</v>
      </c>
      <c r="AK9810">
        <v>2822022042</v>
      </c>
      <c r="AL9810" t="s">
        <v>13987</v>
      </c>
      <c r="AM9810" t="s">
        <v>88</v>
      </c>
      <c r="AN9810" t="s">
        <v>6744</v>
      </c>
      <c r="AO9810" t="s">
        <v>6744</v>
      </c>
      <c r="AP9810" t="s">
        <v>6744</v>
      </c>
      <c r="AQ9810">
        <v>9</v>
      </c>
      <c r="AR9810" t="s">
        <v>89</v>
      </c>
      <c r="AS9810" t="s">
        <v>90</v>
      </c>
      <c r="AT9810" t="s">
        <v>58</v>
      </c>
      <c r="AU9810" t="s">
        <v>68</v>
      </c>
      <c r="AV9810" t="s">
        <v>69</v>
      </c>
      <c r="AW9810" s="1">
        <v>23958</v>
      </c>
      <c r="AX9810">
        <v>1</v>
      </c>
    </row>
    <row r="9811" spans="1:50">
      <c r="A9811">
        <v>571081</v>
      </c>
      <c r="B9811" t="str">
        <f>"036274555"</f>
        <v>036274555</v>
      </c>
      <c r="C9811" t="s">
        <v>105</v>
      </c>
      <c r="D9811" t="s">
        <v>14767</v>
      </c>
      <c r="E9811" t="s">
        <v>166</v>
      </c>
      <c r="F9811" t="s">
        <v>108</v>
      </c>
      <c r="G9811" t="s">
        <v>801</v>
      </c>
      <c r="H9811" t="str">
        <f>"ΠΑΛΑΙΟΧΩΡΑ "</f>
        <v xml:space="preserve">ΠΑΛΑΙΟΧΩΡΑ </v>
      </c>
      <c r="I9811">
        <v>73001</v>
      </c>
      <c r="J9811">
        <v>2823042311</v>
      </c>
      <c r="K9811">
        <v>6932578671</v>
      </c>
      <c r="N9811" t="s">
        <v>615</v>
      </c>
      <c r="O9811" t="s">
        <v>616</v>
      </c>
      <c r="R9811" t="s">
        <v>57</v>
      </c>
      <c r="S9811">
        <v>13</v>
      </c>
      <c r="T9811">
        <v>138</v>
      </c>
      <c r="U9811" s="1">
        <v>34206</v>
      </c>
      <c r="V9811" t="s">
        <v>89</v>
      </c>
      <c r="W9811" t="s">
        <v>90</v>
      </c>
      <c r="X9811" t="s">
        <v>58</v>
      </c>
      <c r="Y9811">
        <v>21</v>
      </c>
      <c r="Z9811" t="s">
        <v>59</v>
      </c>
      <c r="AA9811" t="s">
        <v>59</v>
      </c>
      <c r="AB9811" t="s">
        <v>59</v>
      </c>
      <c r="AC9811" t="s">
        <v>59</v>
      </c>
      <c r="AD9811" t="s">
        <v>59</v>
      </c>
      <c r="AF9811" s="1">
        <v>34213</v>
      </c>
      <c r="AG9811" t="s">
        <v>8645</v>
      </c>
      <c r="AH9811" t="s">
        <v>8646</v>
      </c>
      <c r="AI9811" t="str">
        <f>"9500175"</f>
        <v>9500175</v>
      </c>
      <c r="AJ9811" t="s">
        <v>14538</v>
      </c>
      <c r="AK9811">
        <v>2823041233</v>
      </c>
      <c r="AL9811" t="s">
        <v>14539</v>
      </c>
      <c r="AM9811" t="s">
        <v>88</v>
      </c>
      <c r="AN9811" t="s">
        <v>6824</v>
      </c>
      <c r="AO9811" t="s">
        <v>6870</v>
      </c>
      <c r="AP9811" t="s">
        <v>6871</v>
      </c>
      <c r="AQ9811">
        <v>11</v>
      </c>
      <c r="AR9811" t="s">
        <v>89</v>
      </c>
      <c r="AS9811" t="s">
        <v>90</v>
      </c>
      <c r="AT9811" t="s">
        <v>58</v>
      </c>
      <c r="AU9811" t="s">
        <v>68</v>
      </c>
      <c r="AV9811" t="s">
        <v>69</v>
      </c>
      <c r="AW9811" s="1">
        <v>24133</v>
      </c>
      <c r="AX9811">
        <v>1</v>
      </c>
    </row>
    <row r="9812" spans="1:50">
      <c r="A9812">
        <v>590024</v>
      </c>
      <c r="B9812" t="str">
        <f>"044904416"</f>
        <v>044904416</v>
      </c>
      <c r="C9812" t="s">
        <v>50</v>
      </c>
      <c r="D9812" t="s">
        <v>7531</v>
      </c>
      <c r="E9812" t="s">
        <v>112</v>
      </c>
      <c r="F9812" t="s">
        <v>92</v>
      </c>
      <c r="G9812" t="s">
        <v>7771</v>
      </c>
      <c r="H9812" t="str">
        <f>"ΑΓ.ΦΑΝΟΥΡΙΟΥ Κ. ΓΑΛΑΤΑΣ ΧΑΝΙΑ"</f>
        <v>ΑΓ.ΦΑΝΟΥΡΙΟΥ Κ. ΓΑΛΑΤΑΣ ΧΑΝΙΑ</v>
      </c>
      <c r="I9812">
        <v>73100</v>
      </c>
      <c r="J9812">
        <v>2821031484</v>
      </c>
      <c r="K9812">
        <v>6977224750</v>
      </c>
      <c r="N9812" t="s">
        <v>176</v>
      </c>
      <c r="O9812" t="s">
        <v>177</v>
      </c>
      <c r="R9812" t="s">
        <v>57</v>
      </c>
      <c r="S9812">
        <v>11</v>
      </c>
      <c r="T9812">
        <v>177</v>
      </c>
      <c r="U9812" s="1">
        <v>36403</v>
      </c>
      <c r="V9812" t="s">
        <v>89</v>
      </c>
      <c r="W9812" t="s">
        <v>90</v>
      </c>
      <c r="X9812" t="s">
        <v>58</v>
      </c>
      <c r="Y9812">
        <v>22</v>
      </c>
      <c r="Z9812" t="s">
        <v>59</v>
      </c>
      <c r="AA9812" t="s">
        <v>59</v>
      </c>
      <c r="AB9812" t="s">
        <v>59</v>
      </c>
      <c r="AC9812" t="s">
        <v>59</v>
      </c>
      <c r="AD9812" t="s">
        <v>59</v>
      </c>
      <c r="AF9812" s="1">
        <v>36403</v>
      </c>
      <c r="AG9812" t="s">
        <v>8645</v>
      </c>
      <c r="AH9812" t="s">
        <v>8646</v>
      </c>
      <c r="AI9812" t="str">
        <f>"9500147"</f>
        <v>9500147</v>
      </c>
      <c r="AJ9812" t="s">
        <v>14008</v>
      </c>
      <c r="AK9812">
        <v>2821094573</v>
      </c>
      <c r="AL9812" t="s">
        <v>14009</v>
      </c>
      <c r="AM9812" t="s">
        <v>88</v>
      </c>
      <c r="AN9812" t="s">
        <v>88</v>
      </c>
      <c r="AO9812" t="s">
        <v>88</v>
      </c>
      <c r="AP9812" t="s">
        <v>88</v>
      </c>
      <c r="AQ9812">
        <v>1</v>
      </c>
      <c r="AR9812" t="s">
        <v>89</v>
      </c>
      <c r="AS9812" t="s">
        <v>90</v>
      </c>
      <c r="AT9812" t="s">
        <v>58</v>
      </c>
      <c r="AU9812" t="s">
        <v>68</v>
      </c>
      <c r="AV9812" t="s">
        <v>69</v>
      </c>
      <c r="AW9812" s="1">
        <v>25947</v>
      </c>
      <c r="AX9812">
        <v>1</v>
      </c>
    </row>
    <row r="9813" spans="1:50">
      <c r="A9813">
        <v>595149</v>
      </c>
      <c r="B9813" t="str">
        <f>"112366679"</f>
        <v>112366679</v>
      </c>
      <c r="C9813" t="s">
        <v>50</v>
      </c>
      <c r="D9813" t="s">
        <v>10297</v>
      </c>
      <c r="E9813" t="s">
        <v>809</v>
      </c>
      <c r="F9813" t="s">
        <v>95</v>
      </c>
      <c r="G9813" t="s">
        <v>5639</v>
      </c>
      <c r="H9813" t="str">
        <f>"4η ΠΑΡ.ΑΓ.ΟΝΟΥΦΡΙΟΥ  ΚΟΥΝΟΥΠΙΔΙΑΝΑ"</f>
        <v>4η ΠΑΡ.ΑΓ.ΟΝΟΥΦΡΙΟΥ  ΚΟΥΝΟΥΠΙΔΙΑΝΑ</v>
      </c>
      <c r="I9813">
        <v>73100</v>
      </c>
      <c r="J9813">
        <v>2821066654</v>
      </c>
      <c r="K9813">
        <v>6986728409</v>
      </c>
      <c r="M9813" t="s">
        <v>14768</v>
      </c>
      <c r="N9813" t="s">
        <v>615</v>
      </c>
      <c r="O9813" t="s">
        <v>616</v>
      </c>
      <c r="R9813" t="s">
        <v>57</v>
      </c>
      <c r="S9813">
        <v>8</v>
      </c>
      <c r="T9813" t="s">
        <v>14769</v>
      </c>
      <c r="U9813" s="1">
        <v>37134</v>
      </c>
      <c r="V9813" t="s">
        <v>89</v>
      </c>
      <c r="W9813" t="s">
        <v>90</v>
      </c>
      <c r="X9813" t="s">
        <v>58</v>
      </c>
      <c r="Y9813">
        <v>22</v>
      </c>
      <c r="Z9813" t="s">
        <v>59</v>
      </c>
      <c r="AA9813" t="s">
        <v>59</v>
      </c>
      <c r="AB9813" t="s">
        <v>59</v>
      </c>
      <c r="AC9813" t="s">
        <v>59</v>
      </c>
      <c r="AD9813" t="s">
        <v>59</v>
      </c>
      <c r="AF9813" s="1">
        <v>37134</v>
      </c>
      <c r="AG9813" t="s">
        <v>8645</v>
      </c>
      <c r="AH9813" t="s">
        <v>8646</v>
      </c>
      <c r="AI9813" t="str">
        <f>"9500115"</f>
        <v>9500115</v>
      </c>
      <c r="AJ9813" t="s">
        <v>14180</v>
      </c>
      <c r="AK9813">
        <v>2821081133</v>
      </c>
      <c r="AL9813" t="s">
        <v>14181</v>
      </c>
      <c r="AM9813" t="s">
        <v>88</v>
      </c>
      <c r="AN9813" t="s">
        <v>88</v>
      </c>
      <c r="AO9813" t="s">
        <v>6748</v>
      </c>
      <c r="AP9813" t="s">
        <v>14182</v>
      </c>
      <c r="AQ9813">
        <v>2</v>
      </c>
      <c r="AR9813" t="s">
        <v>89</v>
      </c>
      <c r="AS9813" t="s">
        <v>90</v>
      </c>
      <c r="AT9813" t="s">
        <v>58</v>
      </c>
      <c r="AU9813" t="s">
        <v>68</v>
      </c>
      <c r="AV9813" t="s">
        <v>2039</v>
      </c>
      <c r="AW9813" s="1">
        <v>28302</v>
      </c>
      <c r="AX9813">
        <v>1</v>
      </c>
    </row>
    <row r="9814" spans="1:50">
      <c r="A9814">
        <v>618774</v>
      </c>
      <c r="B9814" t="str">
        <f>"100879920"</f>
        <v>100879920</v>
      </c>
      <c r="C9814" t="s">
        <v>50</v>
      </c>
      <c r="D9814" t="s">
        <v>14770</v>
      </c>
      <c r="E9814" t="s">
        <v>52</v>
      </c>
      <c r="F9814" t="s">
        <v>99</v>
      </c>
      <c r="G9814" t="s">
        <v>181</v>
      </c>
      <c r="H9814" t="str">
        <f>"ΕΘΝ.ΒΕΝΙΖΕΛΟΥ 140 ΣΟΥΔΑ ΧΑΝΙΩΝ"</f>
        <v>ΕΘΝ.ΒΕΝΙΖΕΛΟΥ 140 ΣΟΥΔΑ ΧΑΝΙΩΝ</v>
      </c>
      <c r="I9814">
        <v>73200</v>
      </c>
      <c r="K9814">
        <v>6942697145</v>
      </c>
      <c r="M9814" t="s">
        <v>14771</v>
      </c>
      <c r="N9814" t="s">
        <v>615</v>
      </c>
      <c r="O9814" t="s">
        <v>616</v>
      </c>
      <c r="R9814" t="s">
        <v>57</v>
      </c>
      <c r="S9814">
        <v>5</v>
      </c>
      <c r="T9814">
        <v>774</v>
      </c>
      <c r="U9814" s="1">
        <v>39680</v>
      </c>
      <c r="V9814" t="s">
        <v>89</v>
      </c>
      <c r="W9814" t="s">
        <v>90</v>
      </c>
      <c r="X9814" t="s">
        <v>58</v>
      </c>
      <c r="Y9814">
        <v>23</v>
      </c>
      <c r="Z9814" t="s">
        <v>59</v>
      </c>
      <c r="AA9814" t="s">
        <v>59</v>
      </c>
      <c r="AB9814" t="s">
        <v>59</v>
      </c>
      <c r="AC9814" t="s">
        <v>59</v>
      </c>
      <c r="AD9814" t="s">
        <v>59</v>
      </c>
      <c r="AF9814" s="1">
        <v>39681</v>
      </c>
      <c r="AG9814" t="s">
        <v>8645</v>
      </c>
      <c r="AH9814" t="s">
        <v>8646</v>
      </c>
      <c r="AI9814" t="str">
        <f>"9500408"</f>
        <v>9500408</v>
      </c>
      <c r="AJ9814" t="s">
        <v>13981</v>
      </c>
      <c r="AK9814">
        <v>2821081655</v>
      </c>
      <c r="AL9814" t="s">
        <v>13982</v>
      </c>
      <c r="AM9814" t="s">
        <v>88</v>
      </c>
      <c r="AN9814" t="s">
        <v>88</v>
      </c>
      <c r="AO9814" t="s">
        <v>6748</v>
      </c>
      <c r="AP9814" t="s">
        <v>6748</v>
      </c>
      <c r="AQ9814">
        <v>2</v>
      </c>
      <c r="AR9814" t="s">
        <v>89</v>
      </c>
      <c r="AS9814" t="s">
        <v>90</v>
      </c>
      <c r="AT9814" t="s">
        <v>58</v>
      </c>
      <c r="AU9814" t="s">
        <v>68</v>
      </c>
      <c r="AV9814" t="s">
        <v>69</v>
      </c>
      <c r="AW9814" s="1">
        <v>28800</v>
      </c>
      <c r="AX9814">
        <v>1</v>
      </c>
    </row>
    <row r="9815" spans="1:50">
      <c r="B9815" t="str">
        <f>"111644047"</f>
        <v>111644047</v>
      </c>
      <c r="C9815" t="s">
        <v>50</v>
      </c>
      <c r="D9815" t="s">
        <v>14772</v>
      </c>
      <c r="E9815" t="s">
        <v>1644</v>
      </c>
      <c r="F9815" t="s">
        <v>72</v>
      </c>
      <c r="G9815" t="s">
        <v>372</v>
      </c>
      <c r="H9815" t="str">
        <f>"ΔΗΜΗΤΡΙΟΥ ΛΑΠΠΑ 37 "</f>
        <v xml:space="preserve">ΔΗΜΗΤΡΙΟΥ ΛΑΠΠΑ 37 </v>
      </c>
      <c r="I9815">
        <v>43100</v>
      </c>
      <c r="J9815">
        <v>2441073267</v>
      </c>
      <c r="K9815">
        <v>6975780726</v>
      </c>
      <c r="N9815" t="s">
        <v>337</v>
      </c>
      <c r="O9815" t="s">
        <v>338</v>
      </c>
      <c r="R9815" t="s">
        <v>121</v>
      </c>
      <c r="S9815">
        <v>1</v>
      </c>
      <c r="T9815" t="s">
        <v>8675</v>
      </c>
      <c r="U9815" s="1">
        <v>43348</v>
      </c>
      <c r="V9815" t="s">
        <v>89</v>
      </c>
      <c r="W9815" t="s">
        <v>90</v>
      </c>
      <c r="X9815" t="s">
        <v>58</v>
      </c>
      <c r="Y9815">
        <v>24</v>
      </c>
      <c r="Z9815" t="s">
        <v>59</v>
      </c>
      <c r="AA9815" t="s">
        <v>59</v>
      </c>
      <c r="AB9815" t="s">
        <v>59</v>
      </c>
      <c r="AC9815" t="s">
        <v>59</v>
      </c>
      <c r="AD9815" t="s">
        <v>59</v>
      </c>
      <c r="AF9815" s="1">
        <v>43348</v>
      </c>
      <c r="AG9815" t="s">
        <v>8645</v>
      </c>
      <c r="AH9815" t="s">
        <v>8646</v>
      </c>
      <c r="AI9815" t="str">
        <f>"9500315"</f>
        <v>9500315</v>
      </c>
      <c r="AJ9815" t="s">
        <v>14174</v>
      </c>
      <c r="AK9815">
        <v>2821040565</v>
      </c>
      <c r="AL9815" t="s">
        <v>14175</v>
      </c>
      <c r="AM9815" t="s">
        <v>88</v>
      </c>
      <c r="AN9815" t="s">
        <v>88</v>
      </c>
      <c r="AO9815" t="s">
        <v>88</v>
      </c>
      <c r="AP9815" t="s">
        <v>88</v>
      </c>
      <c r="AQ9815">
        <v>1</v>
      </c>
      <c r="AR9815" t="s">
        <v>89</v>
      </c>
      <c r="AS9815" t="s">
        <v>90</v>
      </c>
      <c r="AT9815" t="s">
        <v>58</v>
      </c>
      <c r="AU9815" t="s">
        <v>8673</v>
      </c>
      <c r="AV9815" t="s">
        <v>132</v>
      </c>
      <c r="AW9815" s="1">
        <v>32054</v>
      </c>
      <c r="AX9815">
        <v>1</v>
      </c>
    </row>
    <row r="9816" spans="1:50">
      <c r="A9816">
        <v>598769</v>
      </c>
      <c r="B9816" t="str">
        <f>"054091119"</f>
        <v>054091119</v>
      </c>
      <c r="C9816" t="s">
        <v>50</v>
      </c>
      <c r="D9816" t="s">
        <v>2187</v>
      </c>
      <c r="E9816" t="s">
        <v>440</v>
      </c>
      <c r="F9816" t="s">
        <v>72</v>
      </c>
      <c r="G9816" t="s">
        <v>255</v>
      </c>
      <c r="H9816" t="str">
        <f>"ΑΝΝΑΣ ΒΑΜΒΑΚΗ ΠΡΟΦΗΤΗΣΗ ΗΛΙΑΣ"</f>
        <v>ΑΝΝΑΣ ΒΑΜΒΑΚΗ ΠΡΟΦΗΤΗΣΗ ΗΛΙΑΣ</v>
      </c>
      <c r="I9816">
        <v>73135</v>
      </c>
      <c r="J9816">
        <v>2821050247</v>
      </c>
      <c r="K9816">
        <v>6944621685</v>
      </c>
      <c r="N9816" t="s">
        <v>615</v>
      </c>
      <c r="O9816" t="s">
        <v>616</v>
      </c>
      <c r="R9816" t="s">
        <v>57</v>
      </c>
      <c r="S9816">
        <v>9</v>
      </c>
      <c r="T9816">
        <v>195</v>
      </c>
      <c r="U9816" s="1">
        <v>37497</v>
      </c>
      <c r="V9816" t="s">
        <v>89</v>
      </c>
      <c r="W9816" t="s">
        <v>90</v>
      </c>
      <c r="X9816" t="s">
        <v>58</v>
      </c>
      <c r="Y9816">
        <v>22</v>
      </c>
      <c r="Z9816" t="s">
        <v>59</v>
      </c>
      <c r="AA9816" t="s">
        <v>59</v>
      </c>
      <c r="AB9816" t="s">
        <v>59</v>
      </c>
      <c r="AC9816" t="s">
        <v>59</v>
      </c>
      <c r="AD9816" t="s">
        <v>59</v>
      </c>
      <c r="AF9816" s="1">
        <v>37497</v>
      </c>
      <c r="AG9816" t="s">
        <v>8645</v>
      </c>
      <c r="AH9816" t="s">
        <v>14199</v>
      </c>
      <c r="AI9816" t="str">
        <f>"9500140"</f>
        <v>9500140</v>
      </c>
      <c r="AJ9816" t="s">
        <v>14200</v>
      </c>
      <c r="AK9816">
        <v>2821097348</v>
      </c>
      <c r="AL9816" t="s">
        <v>14201</v>
      </c>
      <c r="AM9816" t="s">
        <v>88</v>
      </c>
      <c r="AN9816" t="s">
        <v>88</v>
      </c>
      <c r="AO9816" t="s">
        <v>88</v>
      </c>
      <c r="AP9816" t="s">
        <v>88</v>
      </c>
      <c r="AQ9816">
        <v>1</v>
      </c>
      <c r="AR9816" t="s">
        <v>89</v>
      </c>
      <c r="AS9816" t="s">
        <v>90</v>
      </c>
      <c r="AT9816" t="s">
        <v>58</v>
      </c>
      <c r="AU9816" t="s">
        <v>68</v>
      </c>
      <c r="AV9816" t="s">
        <v>69</v>
      </c>
      <c r="AW9816" s="1">
        <v>24362</v>
      </c>
      <c r="AX9816">
        <v>1</v>
      </c>
    </row>
    <row r="9817" spans="1:50">
      <c r="A9817">
        <v>591719</v>
      </c>
      <c r="B9817" t="str">
        <f>"110853112"</f>
        <v>110853112</v>
      </c>
      <c r="C9817" t="s">
        <v>50</v>
      </c>
      <c r="D9817" t="s">
        <v>14773</v>
      </c>
      <c r="E9817" t="s">
        <v>83</v>
      </c>
      <c r="F9817" t="s">
        <v>975</v>
      </c>
      <c r="G9817" t="s">
        <v>83</v>
      </c>
      <c r="H9817" t="str">
        <f>"ΠΥΡΓΟΣ ΚΙΣΑΜΟΥ "</f>
        <v xml:space="preserve">ΠΥΡΓΟΣ ΚΙΣΑΜΟΥ </v>
      </c>
      <c r="I9817">
        <v>73400</v>
      </c>
      <c r="J9817">
        <v>2822024057</v>
      </c>
      <c r="K9817">
        <v>6944208260</v>
      </c>
      <c r="N9817" t="s">
        <v>1525</v>
      </c>
      <c r="O9817" t="s">
        <v>1526</v>
      </c>
      <c r="R9817" t="s">
        <v>57</v>
      </c>
      <c r="S9817">
        <v>12</v>
      </c>
      <c r="T9817">
        <v>249</v>
      </c>
      <c r="U9817" s="1">
        <v>36769</v>
      </c>
      <c r="V9817" t="s">
        <v>89</v>
      </c>
      <c r="W9817" t="s">
        <v>90</v>
      </c>
      <c r="X9817" t="s">
        <v>58</v>
      </c>
      <c r="Y9817">
        <v>25</v>
      </c>
      <c r="Z9817" t="s">
        <v>59</v>
      </c>
      <c r="AA9817" t="s">
        <v>59</v>
      </c>
      <c r="AB9817" t="s">
        <v>59</v>
      </c>
      <c r="AC9817" t="s">
        <v>59</v>
      </c>
      <c r="AD9817" t="s">
        <v>59</v>
      </c>
      <c r="AF9817" s="1">
        <v>36774</v>
      </c>
      <c r="AG9817" t="s">
        <v>8651</v>
      </c>
      <c r="AH9817" t="s">
        <v>8652</v>
      </c>
      <c r="AI9817" t="str">
        <f>"9500192"</f>
        <v>9500192</v>
      </c>
      <c r="AJ9817" t="s">
        <v>14503</v>
      </c>
      <c r="AK9817">
        <v>2822023376</v>
      </c>
      <c r="AL9817" t="s">
        <v>14504</v>
      </c>
      <c r="AM9817" t="s">
        <v>88</v>
      </c>
      <c r="AN9817" t="s">
        <v>6744</v>
      </c>
      <c r="AO9817" t="s">
        <v>6744</v>
      </c>
      <c r="AP9817" t="s">
        <v>6744</v>
      </c>
      <c r="AQ9817">
        <v>9</v>
      </c>
      <c r="AR9817" t="s">
        <v>89</v>
      </c>
      <c r="AS9817" t="s">
        <v>90</v>
      </c>
      <c r="AT9817" t="s">
        <v>58</v>
      </c>
      <c r="AU9817" t="s">
        <v>68</v>
      </c>
      <c r="AV9817" t="s">
        <v>69</v>
      </c>
      <c r="AW9817" s="1">
        <v>23962</v>
      </c>
      <c r="AX9817">
        <v>1</v>
      </c>
    </row>
    <row r="9818" spans="1:50">
      <c r="A9818">
        <v>701727</v>
      </c>
      <c r="B9818" t="str">
        <f>"121587413"</f>
        <v>121587413</v>
      </c>
      <c r="C9818" t="s">
        <v>50</v>
      </c>
      <c r="D9818" t="s">
        <v>14774</v>
      </c>
      <c r="E9818" t="s">
        <v>1029</v>
      </c>
      <c r="F9818" t="s">
        <v>53</v>
      </c>
      <c r="G9818" t="s">
        <v>52</v>
      </c>
      <c r="H9818" t="str">
        <f>"ΔΗΜ. ΠΟΛΙΟΡΚΗΤΟΥ 22 "</f>
        <v xml:space="preserve">ΔΗΜ. ΠΟΛΙΟΡΚΗΤΟΥ 22 </v>
      </c>
      <c r="I9818">
        <v>56532</v>
      </c>
      <c r="J9818">
        <v>2310621153</v>
      </c>
      <c r="K9818">
        <v>6930373443</v>
      </c>
      <c r="M9818" t="s">
        <v>14775</v>
      </c>
      <c r="N9818" t="s">
        <v>615</v>
      </c>
      <c r="O9818" t="s">
        <v>616</v>
      </c>
      <c r="R9818" t="s">
        <v>57</v>
      </c>
      <c r="S9818">
        <v>4</v>
      </c>
      <c r="T9818">
        <v>772</v>
      </c>
      <c r="U9818" s="1">
        <v>40413</v>
      </c>
      <c r="V9818" t="s">
        <v>89</v>
      </c>
      <c r="W9818" t="s">
        <v>90</v>
      </c>
      <c r="X9818" t="s">
        <v>58</v>
      </c>
      <c r="Y9818">
        <v>24</v>
      </c>
      <c r="Z9818" t="s">
        <v>59</v>
      </c>
      <c r="AA9818" t="s">
        <v>59</v>
      </c>
      <c r="AB9818" t="s">
        <v>59</v>
      </c>
      <c r="AC9818" t="s">
        <v>59</v>
      </c>
      <c r="AD9818" t="s">
        <v>59</v>
      </c>
      <c r="AF9818" s="1">
        <v>40413</v>
      </c>
      <c r="AG9818" t="s">
        <v>8645</v>
      </c>
      <c r="AH9818" t="s">
        <v>8646</v>
      </c>
      <c r="AI9818" t="str">
        <f>"9500021"</f>
        <v>9500021</v>
      </c>
      <c r="AJ9818" t="s">
        <v>14054</v>
      </c>
      <c r="AK9818">
        <v>2825096298</v>
      </c>
      <c r="AL9818" t="s">
        <v>14055</v>
      </c>
      <c r="AM9818" t="s">
        <v>88</v>
      </c>
      <c r="AN9818" t="s">
        <v>6775</v>
      </c>
      <c r="AO9818" t="s">
        <v>13929</v>
      </c>
      <c r="AP9818" t="s">
        <v>14056</v>
      </c>
      <c r="AQ9818">
        <v>8</v>
      </c>
      <c r="AR9818" t="s">
        <v>89</v>
      </c>
      <c r="AS9818" t="s">
        <v>90</v>
      </c>
      <c r="AT9818" t="s">
        <v>58</v>
      </c>
      <c r="AU9818" t="s">
        <v>68</v>
      </c>
      <c r="AV9818" t="s">
        <v>69</v>
      </c>
      <c r="AW9818" s="1">
        <v>31677</v>
      </c>
      <c r="AX9818">
        <v>1</v>
      </c>
    </row>
    <row r="9819" spans="1:50">
      <c r="B9819" t="str">
        <f>"144213320"</f>
        <v>144213320</v>
      </c>
      <c r="C9819" t="s">
        <v>50</v>
      </c>
      <c r="D9819" t="s">
        <v>14776</v>
      </c>
      <c r="E9819" t="s">
        <v>476</v>
      </c>
      <c r="F9819" t="s">
        <v>1787</v>
      </c>
      <c r="H9819" t="str">
        <f>"ΑΕΤΟΡΑΧΗΣ 7 ΦΑΛΗΡΟ"</f>
        <v>ΑΕΤΟΡΑΧΗΣ 7 ΦΑΛΗΡΟ</v>
      </c>
      <c r="I9819">
        <v>54640</v>
      </c>
      <c r="K9819">
        <v>6999183113</v>
      </c>
      <c r="N9819" t="s">
        <v>8694</v>
      </c>
      <c r="O9819" t="s">
        <v>8695</v>
      </c>
      <c r="R9819" t="s">
        <v>159</v>
      </c>
      <c r="S9819">
        <v>2</v>
      </c>
      <c r="T9819" t="s">
        <v>8696</v>
      </c>
      <c r="U9819" s="1">
        <v>43348</v>
      </c>
      <c r="V9819" t="s">
        <v>89</v>
      </c>
      <c r="W9819" t="s">
        <v>90</v>
      </c>
      <c r="X9819" t="s">
        <v>58</v>
      </c>
      <c r="Y9819">
        <v>24</v>
      </c>
      <c r="Z9819" t="s">
        <v>59</v>
      </c>
      <c r="AA9819" t="s">
        <v>59</v>
      </c>
      <c r="AB9819" t="s">
        <v>59</v>
      </c>
      <c r="AC9819" t="s">
        <v>59</v>
      </c>
      <c r="AD9819" t="s">
        <v>59</v>
      </c>
      <c r="AF9819" s="1">
        <v>43348</v>
      </c>
      <c r="AG9819" t="s">
        <v>8645</v>
      </c>
      <c r="AH9819" t="s">
        <v>8697</v>
      </c>
      <c r="AI9819" t="str">
        <f>"9500361"</f>
        <v>9500361</v>
      </c>
      <c r="AJ9819" t="s">
        <v>14024</v>
      </c>
      <c r="AK9819">
        <v>2821070176</v>
      </c>
      <c r="AL9819" t="s">
        <v>14025</v>
      </c>
      <c r="AM9819" t="s">
        <v>88</v>
      </c>
      <c r="AN9819" t="s">
        <v>88</v>
      </c>
      <c r="AO9819" t="s">
        <v>88</v>
      </c>
      <c r="AP9819" t="s">
        <v>88</v>
      </c>
      <c r="AQ9819">
        <v>1</v>
      </c>
      <c r="AR9819" t="s">
        <v>89</v>
      </c>
      <c r="AS9819" t="s">
        <v>90</v>
      </c>
      <c r="AT9819" t="s">
        <v>58</v>
      </c>
      <c r="AU9819" t="s">
        <v>350</v>
      </c>
      <c r="AV9819" t="s">
        <v>132</v>
      </c>
      <c r="AW9819" s="1">
        <v>33245</v>
      </c>
      <c r="AX9819">
        <v>1</v>
      </c>
    </row>
    <row r="9820" spans="1:50">
      <c r="B9820" t="str">
        <f>"135223641"</f>
        <v>135223641</v>
      </c>
      <c r="C9820" t="s">
        <v>50</v>
      </c>
      <c r="D9820" t="s">
        <v>14777</v>
      </c>
      <c r="E9820" t="s">
        <v>237</v>
      </c>
      <c r="F9820" t="s">
        <v>106</v>
      </c>
      <c r="G9820" t="s">
        <v>13611</v>
      </c>
      <c r="H9820" t="str">
        <f>"ΣΤΕΡΝΕΣ ΑΚΡΩΤΗΡΙΟΥ "</f>
        <v xml:space="preserve">ΣΤΕΡΝΕΣ ΑΚΡΩΤΗΡΙΟΥ </v>
      </c>
      <c r="I9820">
        <v>73100</v>
      </c>
      <c r="J9820">
        <v>2821063577</v>
      </c>
      <c r="K9820">
        <v>6946737369</v>
      </c>
      <c r="N9820" t="s">
        <v>615</v>
      </c>
      <c r="O9820" t="s">
        <v>616</v>
      </c>
      <c r="R9820" t="s">
        <v>159</v>
      </c>
      <c r="S9820">
        <v>4</v>
      </c>
      <c r="T9820" t="s">
        <v>8675</v>
      </c>
      <c r="U9820" s="1">
        <v>43348</v>
      </c>
      <c r="V9820" t="s">
        <v>89</v>
      </c>
      <c r="W9820" t="s">
        <v>90</v>
      </c>
      <c r="X9820" t="s">
        <v>58</v>
      </c>
      <c r="Y9820">
        <v>24</v>
      </c>
      <c r="Z9820" t="s">
        <v>59</v>
      </c>
      <c r="AA9820" t="s">
        <v>59</v>
      </c>
      <c r="AB9820" t="s">
        <v>59</v>
      </c>
      <c r="AC9820" t="s">
        <v>59</v>
      </c>
      <c r="AD9820" t="s">
        <v>59</v>
      </c>
      <c r="AF9820" s="1">
        <v>43348</v>
      </c>
      <c r="AG9820" t="s">
        <v>8645</v>
      </c>
      <c r="AH9820" t="s">
        <v>8646</v>
      </c>
      <c r="AI9820" t="str">
        <f>"9500055"</f>
        <v>9500055</v>
      </c>
      <c r="AJ9820" t="s">
        <v>14096</v>
      </c>
      <c r="AK9820">
        <v>2825092237</v>
      </c>
      <c r="AL9820" t="s">
        <v>14095</v>
      </c>
      <c r="AM9820" t="s">
        <v>88</v>
      </c>
      <c r="AN9820" t="s">
        <v>6995</v>
      </c>
      <c r="AO9820" t="s">
        <v>6995</v>
      </c>
      <c r="AP9820" t="s">
        <v>14097</v>
      </c>
      <c r="AQ9820">
        <v>10</v>
      </c>
      <c r="AR9820" t="s">
        <v>89</v>
      </c>
      <c r="AS9820" t="s">
        <v>90</v>
      </c>
      <c r="AT9820" t="s">
        <v>58</v>
      </c>
      <c r="AU9820" t="s">
        <v>8673</v>
      </c>
      <c r="AV9820" t="s">
        <v>132</v>
      </c>
      <c r="AW9820" s="1">
        <v>31259</v>
      </c>
      <c r="AX9820">
        <v>1</v>
      </c>
    </row>
    <row r="9821" spans="1:50">
      <c r="A9821">
        <v>700350</v>
      </c>
      <c r="B9821" t="str">
        <f>"133888827"</f>
        <v>133888827</v>
      </c>
      <c r="C9821" t="s">
        <v>50</v>
      </c>
      <c r="D9821" t="s">
        <v>14778</v>
      </c>
      <c r="E9821" t="s">
        <v>755</v>
      </c>
      <c r="F9821" t="s">
        <v>2632</v>
      </c>
      <c r="G9821" t="s">
        <v>52</v>
      </c>
      <c r="H9821" t="str">
        <f>"ΚΥΠΡΟΥ 26 ΠΥΛΑΙΑ"</f>
        <v>ΚΥΠΡΟΥ 26 ΠΥΛΑΙΑ</v>
      </c>
      <c r="I9821">
        <v>55535</v>
      </c>
      <c r="J9821">
        <v>2310307977</v>
      </c>
      <c r="K9821">
        <v>6982175207</v>
      </c>
      <c r="N9821" t="s">
        <v>615</v>
      </c>
      <c r="O9821" t="s">
        <v>616</v>
      </c>
      <c r="R9821" t="s">
        <v>57</v>
      </c>
      <c r="S9821">
        <v>5</v>
      </c>
      <c r="T9821">
        <v>772</v>
      </c>
      <c r="U9821" s="1">
        <v>40413</v>
      </c>
      <c r="V9821" t="s">
        <v>89</v>
      </c>
      <c r="W9821" t="s">
        <v>90</v>
      </c>
      <c r="X9821" t="s">
        <v>58</v>
      </c>
      <c r="Y9821">
        <v>23</v>
      </c>
      <c r="Z9821" t="s">
        <v>59</v>
      </c>
      <c r="AA9821" t="s">
        <v>59</v>
      </c>
      <c r="AB9821" t="s">
        <v>59</v>
      </c>
      <c r="AC9821" t="s">
        <v>59</v>
      </c>
      <c r="AD9821" t="s">
        <v>59</v>
      </c>
      <c r="AF9821" s="1">
        <v>40413</v>
      </c>
      <c r="AG9821" t="s">
        <v>8645</v>
      </c>
      <c r="AH9821" t="s">
        <v>14199</v>
      </c>
      <c r="AI9821" t="str">
        <f>"9500140"</f>
        <v>9500140</v>
      </c>
      <c r="AJ9821" t="s">
        <v>14200</v>
      </c>
      <c r="AK9821">
        <v>2821097348</v>
      </c>
      <c r="AL9821" t="s">
        <v>14201</v>
      </c>
      <c r="AM9821" t="s">
        <v>88</v>
      </c>
      <c r="AN9821" t="s">
        <v>88</v>
      </c>
      <c r="AO9821" t="s">
        <v>88</v>
      </c>
      <c r="AP9821" t="s">
        <v>88</v>
      </c>
      <c r="AQ9821">
        <v>1</v>
      </c>
      <c r="AR9821" t="s">
        <v>89</v>
      </c>
      <c r="AS9821" t="s">
        <v>90</v>
      </c>
      <c r="AT9821" t="s">
        <v>58</v>
      </c>
      <c r="AU9821" t="s">
        <v>68</v>
      </c>
      <c r="AV9821" t="s">
        <v>69</v>
      </c>
      <c r="AW9821" s="1">
        <v>31262</v>
      </c>
      <c r="AX9821">
        <v>1</v>
      </c>
    </row>
    <row r="9822" spans="1:50">
      <c r="A9822">
        <v>601229</v>
      </c>
      <c r="B9822" t="str">
        <f>"114296331"</f>
        <v>114296331</v>
      </c>
      <c r="C9822" t="s">
        <v>50</v>
      </c>
      <c r="D9822" t="s">
        <v>10332</v>
      </c>
      <c r="E9822" t="s">
        <v>7632</v>
      </c>
      <c r="F9822" t="s">
        <v>108</v>
      </c>
      <c r="G9822" t="s">
        <v>191</v>
      </c>
      <c r="H9822" t="str">
        <f>"ΠΛΑΤΕΙΑ ΚΑΛΛΙΘΕΑΣ ΒΑΜΒΑΚΟΠΟΥΛΟ ΧΑΝΙΩΝ"</f>
        <v>ΠΛΑΤΕΙΑ ΚΑΛΛΙΘΕΑΣ ΒΑΜΒΑΚΟΠΟΥΛΟ ΧΑΝΙΩΝ</v>
      </c>
      <c r="I9822">
        <v>73100</v>
      </c>
      <c r="J9822">
        <v>2105015861</v>
      </c>
      <c r="K9822">
        <v>6977605276</v>
      </c>
      <c r="L9822">
        <v>2821075368</v>
      </c>
      <c r="N9822" t="s">
        <v>615</v>
      </c>
      <c r="O9822" t="s">
        <v>616</v>
      </c>
      <c r="R9822" t="s">
        <v>57</v>
      </c>
      <c r="S9822">
        <v>8</v>
      </c>
      <c r="T9822">
        <v>207</v>
      </c>
      <c r="U9822" s="1">
        <v>37866</v>
      </c>
      <c r="V9822" t="s">
        <v>89</v>
      </c>
      <c r="W9822" t="s">
        <v>90</v>
      </c>
      <c r="X9822" t="s">
        <v>58</v>
      </c>
      <c r="Y9822">
        <v>22</v>
      </c>
      <c r="Z9822" t="s">
        <v>59</v>
      </c>
      <c r="AA9822" t="s">
        <v>59</v>
      </c>
      <c r="AB9822" t="s">
        <v>59</v>
      </c>
      <c r="AC9822" t="s">
        <v>59</v>
      </c>
      <c r="AD9822" t="s">
        <v>59</v>
      </c>
      <c r="AF9822" s="1">
        <v>37866</v>
      </c>
      <c r="AG9822" t="s">
        <v>8645</v>
      </c>
      <c r="AH9822" t="s">
        <v>8646</v>
      </c>
      <c r="AI9822" t="str">
        <f>"9500119"</f>
        <v>9500119</v>
      </c>
      <c r="AJ9822" t="s">
        <v>14286</v>
      </c>
      <c r="AK9822">
        <v>2821095816</v>
      </c>
      <c r="AL9822" t="s">
        <v>14287</v>
      </c>
      <c r="AM9822" t="s">
        <v>88</v>
      </c>
      <c r="AN9822" t="s">
        <v>88</v>
      </c>
      <c r="AO9822" t="s">
        <v>13920</v>
      </c>
      <c r="AP9822" t="s">
        <v>14029</v>
      </c>
      <c r="AQ9822">
        <v>3</v>
      </c>
      <c r="AR9822" t="s">
        <v>89</v>
      </c>
      <c r="AS9822" t="s">
        <v>90</v>
      </c>
      <c r="AT9822" t="s">
        <v>58</v>
      </c>
      <c r="AU9822" t="s">
        <v>68</v>
      </c>
      <c r="AV9822" t="s">
        <v>69</v>
      </c>
      <c r="AW9822" s="1">
        <v>24365</v>
      </c>
      <c r="AX9822">
        <v>1</v>
      </c>
    </row>
    <row r="9823" spans="1:50">
      <c r="A9823">
        <v>610764</v>
      </c>
      <c r="B9823" t="str">
        <f>"130448773"</f>
        <v>130448773</v>
      </c>
      <c r="C9823" t="s">
        <v>50</v>
      </c>
      <c r="D9823" t="s">
        <v>2232</v>
      </c>
      <c r="E9823" t="s">
        <v>263</v>
      </c>
      <c r="F9823" t="s">
        <v>936</v>
      </c>
      <c r="G9823" t="s">
        <v>52</v>
      </c>
      <c r="H9823" t="str">
        <f>"Ν.ΓΙΑΝΝΑ 32 ΝΕΑ ΙΩΝΙΑ"</f>
        <v>Ν.ΓΙΑΝΝΑ 32 ΝΕΑ ΙΩΝΙΑ</v>
      </c>
      <c r="I9823">
        <v>14233</v>
      </c>
      <c r="J9823">
        <v>2102718616</v>
      </c>
      <c r="K9823">
        <v>6972821377</v>
      </c>
      <c r="N9823" t="s">
        <v>615</v>
      </c>
      <c r="O9823" t="s">
        <v>616</v>
      </c>
      <c r="R9823" t="s">
        <v>57</v>
      </c>
      <c r="S9823">
        <v>6</v>
      </c>
      <c r="T9823">
        <v>233</v>
      </c>
      <c r="U9823" s="1">
        <v>38960</v>
      </c>
      <c r="V9823" t="s">
        <v>89</v>
      </c>
      <c r="W9823" t="s">
        <v>90</v>
      </c>
      <c r="X9823" t="s">
        <v>58</v>
      </c>
      <c r="Y9823">
        <v>23</v>
      </c>
      <c r="Z9823" t="s">
        <v>59</v>
      </c>
      <c r="AA9823" t="s">
        <v>59</v>
      </c>
      <c r="AB9823" t="s">
        <v>59</v>
      </c>
      <c r="AC9823" t="s">
        <v>59</v>
      </c>
      <c r="AD9823" t="s">
        <v>59</v>
      </c>
      <c r="AF9823" s="1">
        <v>38961</v>
      </c>
      <c r="AG9823" t="s">
        <v>8645</v>
      </c>
      <c r="AH9823" t="s">
        <v>8646</v>
      </c>
      <c r="AI9823" t="str">
        <f>"9500153"</f>
        <v>9500153</v>
      </c>
      <c r="AJ9823" t="s">
        <v>14103</v>
      </c>
      <c r="AK9823">
        <v>2821061267</v>
      </c>
      <c r="AL9823" t="s">
        <v>14104</v>
      </c>
      <c r="AM9823" t="s">
        <v>88</v>
      </c>
      <c r="AN9823" t="s">
        <v>6764</v>
      </c>
      <c r="AO9823" t="s">
        <v>6764</v>
      </c>
      <c r="AP9823" t="s">
        <v>12913</v>
      </c>
      <c r="AQ9823">
        <v>10</v>
      </c>
      <c r="AR9823" t="s">
        <v>89</v>
      </c>
      <c r="AS9823" t="s">
        <v>90</v>
      </c>
      <c r="AT9823" t="s">
        <v>58</v>
      </c>
      <c r="AU9823" t="s">
        <v>68</v>
      </c>
      <c r="AV9823" t="s">
        <v>69</v>
      </c>
      <c r="AW9823" s="1">
        <v>30220</v>
      </c>
      <c r="AX9823">
        <v>1</v>
      </c>
    </row>
    <row r="9824" spans="1:50">
      <c r="A9824">
        <v>606538</v>
      </c>
      <c r="B9824" t="str">
        <f>"054196789"</f>
        <v>054196789</v>
      </c>
      <c r="C9824" t="s">
        <v>50</v>
      </c>
      <c r="D9824" t="s">
        <v>2232</v>
      </c>
      <c r="E9824" t="s">
        <v>1713</v>
      </c>
      <c r="F9824" t="s">
        <v>84</v>
      </c>
      <c r="G9824" t="s">
        <v>52</v>
      </c>
      <c r="H9824" t="str">
        <f>"ΓΙΑΜΠΟΥΔΑΚΗ 87 ΧΑΝΙΑ"</f>
        <v>ΓΙΑΜΠΟΥΔΑΚΗ 87 ΧΑΝΙΑ</v>
      </c>
      <c r="I9824">
        <v>73134</v>
      </c>
      <c r="J9824">
        <v>2821052458</v>
      </c>
      <c r="K9824">
        <v>6976795915</v>
      </c>
      <c r="N9824" t="s">
        <v>306</v>
      </c>
      <c r="O9824" t="s">
        <v>307</v>
      </c>
      <c r="R9824" t="s">
        <v>57</v>
      </c>
      <c r="S9824">
        <v>7</v>
      </c>
      <c r="T9824">
        <v>231</v>
      </c>
      <c r="U9824" s="1">
        <v>38230</v>
      </c>
      <c r="V9824" t="s">
        <v>89</v>
      </c>
      <c r="W9824" t="s">
        <v>90</v>
      </c>
      <c r="X9824" t="s">
        <v>58</v>
      </c>
      <c r="Y9824">
        <v>22</v>
      </c>
      <c r="Z9824" t="s">
        <v>59</v>
      </c>
      <c r="AA9824" t="s">
        <v>59</v>
      </c>
      <c r="AB9824" t="s">
        <v>59</v>
      </c>
      <c r="AC9824" t="s">
        <v>59</v>
      </c>
      <c r="AD9824" t="s">
        <v>59</v>
      </c>
      <c r="AF9824" s="1">
        <v>38230</v>
      </c>
      <c r="AG9824" t="s">
        <v>8645</v>
      </c>
      <c r="AH9824" t="s">
        <v>8646</v>
      </c>
      <c r="AI9824" t="str">
        <f>"9500314"</f>
        <v>9500314</v>
      </c>
      <c r="AJ9824" t="s">
        <v>14116</v>
      </c>
      <c r="AK9824">
        <v>2821097640</v>
      </c>
      <c r="AL9824" t="s">
        <v>14117</v>
      </c>
      <c r="AM9824" t="s">
        <v>88</v>
      </c>
      <c r="AN9824" t="s">
        <v>88</v>
      </c>
      <c r="AO9824" t="s">
        <v>88</v>
      </c>
      <c r="AP9824" t="s">
        <v>88</v>
      </c>
      <c r="AQ9824">
        <v>1</v>
      </c>
      <c r="AR9824" t="s">
        <v>89</v>
      </c>
      <c r="AS9824" t="s">
        <v>90</v>
      </c>
      <c r="AT9824" t="s">
        <v>58</v>
      </c>
      <c r="AU9824" t="s">
        <v>68</v>
      </c>
      <c r="AV9824" t="s">
        <v>69</v>
      </c>
      <c r="AW9824" s="1">
        <v>25251</v>
      </c>
      <c r="AX9824">
        <v>1</v>
      </c>
    </row>
    <row r="9825" spans="1:50">
      <c r="A9825">
        <v>567263</v>
      </c>
      <c r="B9825" t="str">
        <f>"036384572"</f>
        <v>036384572</v>
      </c>
      <c r="C9825" t="s">
        <v>50</v>
      </c>
      <c r="D9825" t="s">
        <v>14779</v>
      </c>
      <c r="E9825" t="s">
        <v>14780</v>
      </c>
      <c r="F9825" t="s">
        <v>450</v>
      </c>
      <c r="G9825" t="s">
        <v>513</v>
      </c>
      <c r="H9825" t="str">
        <f>"ΑΓ. ΜΑΡΙΝΑ ΑΓ.ΜΑΡΙΝΑ-ΧΑΝΙΑ"</f>
        <v>ΑΓ. ΜΑΡΙΝΑ ΑΓ.ΜΑΡΙΝΑ-ΧΑΝΙΑ</v>
      </c>
      <c r="I9825">
        <v>73100</v>
      </c>
      <c r="J9825">
        <v>2821038087</v>
      </c>
      <c r="N9825" t="s">
        <v>615</v>
      </c>
      <c r="O9825" t="s">
        <v>616</v>
      </c>
      <c r="R9825" t="s">
        <v>57</v>
      </c>
      <c r="S9825">
        <v>14</v>
      </c>
      <c r="T9825">
        <v>133</v>
      </c>
      <c r="U9825" s="1">
        <v>33456</v>
      </c>
      <c r="V9825" t="s">
        <v>89</v>
      </c>
      <c r="W9825" t="s">
        <v>90</v>
      </c>
      <c r="X9825" t="s">
        <v>58</v>
      </c>
      <c r="Y9825">
        <v>21</v>
      </c>
      <c r="Z9825" t="s">
        <v>59</v>
      </c>
      <c r="AA9825" t="s">
        <v>59</v>
      </c>
      <c r="AB9825" t="s">
        <v>59</v>
      </c>
      <c r="AC9825" t="s">
        <v>59</v>
      </c>
      <c r="AD9825" t="s">
        <v>59</v>
      </c>
      <c r="AF9825" s="1">
        <v>33456</v>
      </c>
      <c r="AG9825" t="s">
        <v>8645</v>
      </c>
      <c r="AH9825" t="s">
        <v>8646</v>
      </c>
      <c r="AI9825" t="str">
        <f>"9500160"</f>
        <v>9500160</v>
      </c>
      <c r="AJ9825" t="s">
        <v>14486</v>
      </c>
      <c r="AK9825">
        <v>2821062458</v>
      </c>
      <c r="AL9825" t="s">
        <v>14487</v>
      </c>
      <c r="AM9825" t="s">
        <v>88</v>
      </c>
      <c r="AN9825" t="s">
        <v>6764</v>
      </c>
      <c r="AO9825" t="s">
        <v>6764</v>
      </c>
      <c r="AP9825" t="s">
        <v>14488</v>
      </c>
      <c r="AQ9825">
        <v>5</v>
      </c>
      <c r="AR9825" t="s">
        <v>89</v>
      </c>
      <c r="AS9825" t="s">
        <v>90</v>
      </c>
      <c r="AT9825" t="s">
        <v>58</v>
      </c>
      <c r="AU9825" t="s">
        <v>68</v>
      </c>
      <c r="AV9825" t="s">
        <v>69</v>
      </c>
      <c r="AW9825" s="1">
        <v>23797</v>
      </c>
      <c r="AX9825">
        <v>1</v>
      </c>
    </row>
    <row r="9826" spans="1:50">
      <c r="A9826">
        <v>607424</v>
      </c>
      <c r="B9826" t="str">
        <f>"130406420"</f>
        <v>130406420</v>
      </c>
      <c r="C9826" t="s">
        <v>50</v>
      </c>
      <c r="D9826" t="s">
        <v>13249</v>
      </c>
      <c r="E9826" t="s">
        <v>83</v>
      </c>
      <c r="F9826" t="s">
        <v>92</v>
      </c>
      <c r="G9826" t="s">
        <v>964</v>
      </c>
      <c r="H9826" t="str">
        <f>"ΑΚΡΩΤΗΡΙΟΥ ΒΛΗΤΕΣ 108 ΧΑΝΙΑ"</f>
        <v>ΑΚΡΩΤΗΡΙΟΥ ΒΛΗΤΕΣ 108 ΧΑΝΙΑ</v>
      </c>
      <c r="I9826">
        <v>73200</v>
      </c>
      <c r="J9826">
        <v>2821089975</v>
      </c>
      <c r="K9826">
        <v>6972138717</v>
      </c>
      <c r="N9826" t="s">
        <v>615</v>
      </c>
      <c r="O9826" t="s">
        <v>616</v>
      </c>
      <c r="R9826" t="s">
        <v>57</v>
      </c>
      <c r="S9826">
        <v>7</v>
      </c>
      <c r="T9826">
        <v>217</v>
      </c>
      <c r="U9826" s="1">
        <v>38596</v>
      </c>
      <c r="V9826" t="s">
        <v>89</v>
      </c>
      <c r="W9826" t="s">
        <v>90</v>
      </c>
      <c r="X9826" t="s">
        <v>58</v>
      </c>
      <c r="Y9826">
        <v>23</v>
      </c>
      <c r="Z9826" t="s">
        <v>59</v>
      </c>
      <c r="AA9826" t="s">
        <v>59</v>
      </c>
      <c r="AB9826" t="s">
        <v>59</v>
      </c>
      <c r="AC9826" t="s">
        <v>59</v>
      </c>
      <c r="AD9826" t="s">
        <v>59</v>
      </c>
      <c r="AF9826" s="1">
        <v>38596</v>
      </c>
      <c r="AG9826" t="s">
        <v>8645</v>
      </c>
      <c r="AH9826" t="s">
        <v>8646</v>
      </c>
      <c r="AI9826" t="str">
        <f>"9500408"</f>
        <v>9500408</v>
      </c>
      <c r="AJ9826" t="s">
        <v>13981</v>
      </c>
      <c r="AK9826">
        <v>2821081655</v>
      </c>
      <c r="AL9826" t="s">
        <v>13982</v>
      </c>
      <c r="AM9826" t="s">
        <v>88</v>
      </c>
      <c r="AN9826" t="s">
        <v>88</v>
      </c>
      <c r="AO9826" t="s">
        <v>6748</v>
      </c>
      <c r="AP9826" t="s">
        <v>6748</v>
      </c>
      <c r="AQ9826">
        <v>2</v>
      </c>
      <c r="AR9826" t="s">
        <v>89</v>
      </c>
      <c r="AS9826" t="s">
        <v>90</v>
      </c>
      <c r="AT9826" t="s">
        <v>58</v>
      </c>
      <c r="AU9826" t="s">
        <v>68</v>
      </c>
      <c r="AV9826" t="s">
        <v>69</v>
      </c>
      <c r="AW9826" s="1">
        <v>29675</v>
      </c>
      <c r="AX9826">
        <v>1</v>
      </c>
    </row>
    <row r="9827" spans="1:50">
      <c r="A9827">
        <v>576129</v>
      </c>
      <c r="B9827" t="str">
        <f>"062715860"</f>
        <v>062715860</v>
      </c>
      <c r="C9827" t="s">
        <v>50</v>
      </c>
      <c r="D9827" t="s">
        <v>7550</v>
      </c>
      <c r="E9827" t="s">
        <v>396</v>
      </c>
      <c r="F9827" t="s">
        <v>377</v>
      </c>
      <c r="G9827" t="s">
        <v>372</v>
      </c>
      <c r="H9827" t="str">
        <f>" "</f>
        <v xml:space="preserve"> </v>
      </c>
      <c r="K9827">
        <v>6986105668</v>
      </c>
      <c r="N9827" t="s">
        <v>1525</v>
      </c>
      <c r="O9827" t="s">
        <v>1526</v>
      </c>
      <c r="R9827" t="s">
        <v>57</v>
      </c>
      <c r="S9827">
        <v>12</v>
      </c>
      <c r="T9827">
        <v>184</v>
      </c>
      <c r="U9827" s="1">
        <v>34941</v>
      </c>
      <c r="V9827" t="s">
        <v>89</v>
      </c>
      <c r="W9827" t="s">
        <v>90</v>
      </c>
      <c r="X9827" t="s">
        <v>58</v>
      </c>
      <c r="Y9827">
        <v>25</v>
      </c>
      <c r="Z9827" t="s">
        <v>59</v>
      </c>
      <c r="AA9827" t="s">
        <v>59</v>
      </c>
      <c r="AB9827" t="s">
        <v>59</v>
      </c>
      <c r="AC9827" t="s">
        <v>59</v>
      </c>
      <c r="AD9827" t="s">
        <v>59</v>
      </c>
      <c r="AF9827" s="1">
        <v>34943</v>
      </c>
      <c r="AG9827" t="s">
        <v>8651</v>
      </c>
      <c r="AH9827" t="s">
        <v>8652</v>
      </c>
      <c r="AI9827" t="str">
        <f>"9500044"</f>
        <v>9500044</v>
      </c>
      <c r="AJ9827" t="s">
        <v>14468</v>
      </c>
      <c r="AK9827">
        <v>2821053815</v>
      </c>
      <c r="AL9827" t="s">
        <v>14469</v>
      </c>
      <c r="AM9827" t="s">
        <v>88</v>
      </c>
      <c r="AN9827" t="s">
        <v>88</v>
      </c>
      <c r="AO9827" t="s">
        <v>88</v>
      </c>
      <c r="AP9827" t="s">
        <v>88</v>
      </c>
      <c r="AQ9827">
        <v>1</v>
      </c>
      <c r="AR9827" t="s">
        <v>89</v>
      </c>
      <c r="AS9827" t="s">
        <v>90</v>
      </c>
      <c r="AT9827" t="s">
        <v>58</v>
      </c>
      <c r="AU9827" t="s">
        <v>68</v>
      </c>
      <c r="AV9827" t="s">
        <v>69</v>
      </c>
      <c r="AW9827" s="1">
        <v>23268</v>
      </c>
      <c r="AX9827">
        <v>1</v>
      </c>
    </row>
    <row r="9828" spans="1:50">
      <c r="B9828" t="str">
        <f>"157711045"</f>
        <v>157711045</v>
      </c>
      <c r="C9828" t="s">
        <v>50</v>
      </c>
      <c r="D9828" t="s">
        <v>14781</v>
      </c>
      <c r="E9828" t="s">
        <v>1574</v>
      </c>
      <c r="F9828" t="s">
        <v>95</v>
      </c>
      <c r="G9828" t="s">
        <v>73</v>
      </c>
      <c r="H9828" t="str">
        <f>" "</f>
        <v xml:space="preserve"> </v>
      </c>
      <c r="N9828" t="s">
        <v>8694</v>
      </c>
      <c r="O9828" t="s">
        <v>8695</v>
      </c>
      <c r="R9828" t="s">
        <v>159</v>
      </c>
      <c r="S9828">
        <v>1</v>
      </c>
      <c r="T9828" t="s">
        <v>8696</v>
      </c>
      <c r="U9828" s="1">
        <v>43348</v>
      </c>
      <c r="V9828" t="s">
        <v>89</v>
      </c>
      <c r="W9828" t="s">
        <v>90</v>
      </c>
      <c r="X9828" t="s">
        <v>58</v>
      </c>
      <c r="Y9828">
        <v>24</v>
      </c>
      <c r="Z9828" t="s">
        <v>59</v>
      </c>
      <c r="AA9828" t="s">
        <v>59</v>
      </c>
      <c r="AB9828" t="s">
        <v>59</v>
      </c>
      <c r="AD9828" t="s">
        <v>59</v>
      </c>
      <c r="AF9828" s="1">
        <v>43348</v>
      </c>
      <c r="AG9828" t="s">
        <v>8645</v>
      </c>
      <c r="AH9828" t="s">
        <v>8697</v>
      </c>
      <c r="AI9828" t="str">
        <f>"9500361"</f>
        <v>9500361</v>
      </c>
      <c r="AJ9828" t="s">
        <v>14024</v>
      </c>
      <c r="AK9828">
        <v>2821070176</v>
      </c>
      <c r="AL9828" t="s">
        <v>14025</v>
      </c>
      <c r="AM9828" t="s">
        <v>88</v>
      </c>
      <c r="AN9828" t="s">
        <v>88</v>
      </c>
      <c r="AO9828" t="s">
        <v>88</v>
      </c>
      <c r="AP9828" t="s">
        <v>88</v>
      </c>
      <c r="AQ9828">
        <v>1</v>
      </c>
      <c r="AR9828" t="s">
        <v>89</v>
      </c>
      <c r="AS9828" t="s">
        <v>90</v>
      </c>
      <c r="AT9828" t="s">
        <v>58</v>
      </c>
      <c r="AU9828" t="s">
        <v>350</v>
      </c>
      <c r="AV9828" t="s">
        <v>132</v>
      </c>
      <c r="AW9828" s="1">
        <v>33869</v>
      </c>
      <c r="AX9828">
        <v>1</v>
      </c>
    </row>
    <row r="9829" spans="1:50">
      <c r="A9829">
        <v>602731</v>
      </c>
      <c r="B9829" t="str">
        <f>"043281014"</f>
        <v>043281014</v>
      </c>
      <c r="C9829" t="s">
        <v>50</v>
      </c>
      <c r="D9829" t="s">
        <v>14782</v>
      </c>
      <c r="E9829" t="s">
        <v>14783</v>
      </c>
      <c r="F9829" t="s">
        <v>14784</v>
      </c>
      <c r="G9829" t="s">
        <v>14785</v>
      </c>
      <c r="H9829" t="str">
        <f>"ΑΓ. ΚΩΝΣΤΑΝΤΙΝΟΥ 6 ΧΑΝΙΑ"</f>
        <v>ΑΓ. ΚΩΝΣΤΑΝΤΙΝΟΥ 6 ΧΑΝΙΑ</v>
      </c>
      <c r="I9829">
        <v>73131</v>
      </c>
      <c r="J9829">
        <v>2821400687</v>
      </c>
      <c r="K9829">
        <v>6977192294</v>
      </c>
      <c r="N9829" t="s">
        <v>615</v>
      </c>
      <c r="O9829" t="s">
        <v>616</v>
      </c>
      <c r="R9829" t="s">
        <v>57</v>
      </c>
      <c r="S9829">
        <v>7</v>
      </c>
      <c r="T9829">
        <v>207</v>
      </c>
      <c r="U9829" s="1">
        <v>37866</v>
      </c>
      <c r="V9829" t="s">
        <v>89</v>
      </c>
      <c r="W9829" t="s">
        <v>90</v>
      </c>
      <c r="X9829" t="s">
        <v>58</v>
      </c>
      <c r="Y9829">
        <v>22</v>
      </c>
      <c r="Z9829" t="s">
        <v>59</v>
      </c>
      <c r="AA9829" t="s">
        <v>59</v>
      </c>
      <c r="AB9829" t="s">
        <v>59</v>
      </c>
      <c r="AC9829" t="s">
        <v>59</v>
      </c>
      <c r="AD9829" t="s">
        <v>59</v>
      </c>
      <c r="AF9829" s="1">
        <v>37866</v>
      </c>
      <c r="AG9829" t="s">
        <v>8645</v>
      </c>
      <c r="AH9829" t="s">
        <v>8646</v>
      </c>
      <c r="AI9829" t="str">
        <f>"9500407"</f>
        <v>9500407</v>
      </c>
      <c r="AJ9829" t="s">
        <v>13867</v>
      </c>
      <c r="AK9829">
        <v>2821089224</v>
      </c>
      <c r="AL9829" t="s">
        <v>13868</v>
      </c>
      <c r="AM9829" t="s">
        <v>88</v>
      </c>
      <c r="AN9829" t="s">
        <v>88</v>
      </c>
      <c r="AO9829" t="s">
        <v>6748</v>
      </c>
      <c r="AP9829" t="s">
        <v>6748</v>
      </c>
      <c r="AQ9829">
        <v>2</v>
      </c>
      <c r="AR9829" t="s">
        <v>89</v>
      </c>
      <c r="AS9829" t="s">
        <v>90</v>
      </c>
      <c r="AT9829" t="s">
        <v>58</v>
      </c>
      <c r="AU9829" t="s">
        <v>68</v>
      </c>
      <c r="AV9829" t="s">
        <v>69</v>
      </c>
      <c r="AW9829" s="1">
        <v>23448</v>
      </c>
      <c r="AX9829">
        <v>1</v>
      </c>
    </row>
    <row r="9830" spans="1:50">
      <c r="A9830">
        <v>598808</v>
      </c>
      <c r="B9830" t="str">
        <f>"051531369"</f>
        <v>051531369</v>
      </c>
      <c r="C9830" t="s">
        <v>50</v>
      </c>
      <c r="D9830" t="s">
        <v>14782</v>
      </c>
      <c r="E9830" t="s">
        <v>877</v>
      </c>
      <c r="F9830" t="s">
        <v>95</v>
      </c>
      <c r="G9830" t="s">
        <v>4622</v>
      </c>
      <c r="H9830" t="str">
        <f>"8 ΔΕΚΕΜΒΡΙΟΥ 9 ΧΑΝΙΑ"</f>
        <v>8 ΔΕΚΕΜΒΡΙΟΥ 9 ΧΑΝΙΑ</v>
      </c>
      <c r="I9830">
        <v>73132</v>
      </c>
      <c r="J9830">
        <v>2821057663</v>
      </c>
      <c r="K9830">
        <v>6940844024</v>
      </c>
      <c r="N9830" t="s">
        <v>615</v>
      </c>
      <c r="O9830" t="s">
        <v>616</v>
      </c>
      <c r="R9830" t="s">
        <v>57</v>
      </c>
      <c r="S9830">
        <v>10</v>
      </c>
      <c r="T9830">
        <v>195</v>
      </c>
      <c r="U9830" s="1">
        <v>37285</v>
      </c>
      <c r="V9830" t="s">
        <v>89</v>
      </c>
      <c r="W9830" t="s">
        <v>90</v>
      </c>
      <c r="X9830" t="s">
        <v>58</v>
      </c>
      <c r="Y9830">
        <v>21</v>
      </c>
      <c r="Z9830" t="s">
        <v>59</v>
      </c>
      <c r="AA9830" t="s">
        <v>59</v>
      </c>
      <c r="AB9830" t="s">
        <v>59</v>
      </c>
      <c r="AC9830" t="s">
        <v>59</v>
      </c>
      <c r="AD9830" t="s">
        <v>59</v>
      </c>
      <c r="AF9830" s="1">
        <v>37497</v>
      </c>
      <c r="AG9830" t="s">
        <v>8645</v>
      </c>
      <c r="AH9830" t="s">
        <v>8646</v>
      </c>
      <c r="AI9830" t="str">
        <f>"9500041"</f>
        <v>9500041</v>
      </c>
      <c r="AJ9830" t="s">
        <v>13944</v>
      </c>
      <c r="AK9830">
        <v>2821028218</v>
      </c>
      <c r="AL9830" t="s">
        <v>13945</v>
      </c>
      <c r="AM9830" t="s">
        <v>88</v>
      </c>
      <c r="AN9830" t="s">
        <v>88</v>
      </c>
      <c r="AO9830" t="s">
        <v>88</v>
      </c>
      <c r="AP9830" t="s">
        <v>88</v>
      </c>
      <c r="AQ9830">
        <v>1</v>
      </c>
      <c r="AR9830" t="s">
        <v>89</v>
      </c>
      <c r="AS9830" t="s">
        <v>90</v>
      </c>
      <c r="AT9830" t="s">
        <v>58</v>
      </c>
      <c r="AU9830" t="s">
        <v>68</v>
      </c>
      <c r="AV9830" t="s">
        <v>69</v>
      </c>
      <c r="AW9830" s="1">
        <v>23120</v>
      </c>
      <c r="AX9830">
        <v>1</v>
      </c>
    </row>
    <row r="9831" spans="1:50">
      <c r="A9831">
        <v>601439</v>
      </c>
      <c r="B9831" t="str">
        <f>"078017694"</f>
        <v>078017694</v>
      </c>
      <c r="C9831" t="s">
        <v>50</v>
      </c>
      <c r="D9831" t="s">
        <v>12301</v>
      </c>
      <c r="E9831" t="s">
        <v>755</v>
      </c>
      <c r="F9831" t="s">
        <v>92</v>
      </c>
      <c r="G9831" t="s">
        <v>143</v>
      </c>
      <c r="H9831" t="str">
        <f>"ΚΝΩΣΟΥ 25 ΧΑΝΙΑ"</f>
        <v>ΚΝΩΣΟΥ 25 ΧΑΝΙΑ</v>
      </c>
      <c r="I9831">
        <v>73100</v>
      </c>
      <c r="J9831">
        <v>2821056754</v>
      </c>
      <c r="K9831">
        <v>6945975781</v>
      </c>
      <c r="N9831" t="s">
        <v>615</v>
      </c>
      <c r="O9831" t="s">
        <v>616</v>
      </c>
      <c r="R9831" t="s">
        <v>57</v>
      </c>
      <c r="S9831">
        <v>8</v>
      </c>
      <c r="T9831">
        <v>207</v>
      </c>
      <c r="U9831" s="1">
        <v>37866</v>
      </c>
      <c r="V9831" t="s">
        <v>89</v>
      </c>
      <c r="W9831" t="s">
        <v>90</v>
      </c>
      <c r="X9831" t="s">
        <v>58</v>
      </c>
      <c r="Y9831">
        <v>22</v>
      </c>
      <c r="Z9831" t="s">
        <v>59</v>
      </c>
      <c r="AA9831" t="s">
        <v>59</v>
      </c>
      <c r="AB9831" t="s">
        <v>59</v>
      </c>
      <c r="AC9831" t="s">
        <v>59</v>
      </c>
      <c r="AD9831" t="s">
        <v>59</v>
      </c>
      <c r="AF9831" s="1">
        <v>37866</v>
      </c>
      <c r="AG9831" t="s">
        <v>8645</v>
      </c>
      <c r="AH9831" t="s">
        <v>8646</v>
      </c>
      <c r="AI9831" t="str">
        <f>"9500040"</f>
        <v>9500040</v>
      </c>
      <c r="AJ9831" t="s">
        <v>13906</v>
      </c>
      <c r="AK9831">
        <v>2821045356</v>
      </c>
      <c r="AL9831" t="s">
        <v>13907</v>
      </c>
      <c r="AM9831" t="s">
        <v>88</v>
      </c>
      <c r="AN9831" t="s">
        <v>88</v>
      </c>
      <c r="AO9831" t="s">
        <v>88</v>
      </c>
      <c r="AP9831" t="s">
        <v>88</v>
      </c>
      <c r="AQ9831">
        <v>1</v>
      </c>
      <c r="AR9831" t="s">
        <v>89</v>
      </c>
      <c r="AS9831" t="s">
        <v>90</v>
      </c>
      <c r="AT9831" t="s">
        <v>58</v>
      </c>
      <c r="AU9831" t="s">
        <v>68</v>
      </c>
      <c r="AV9831" t="s">
        <v>69</v>
      </c>
      <c r="AW9831" s="1">
        <v>25282</v>
      </c>
      <c r="AX9831">
        <v>1</v>
      </c>
    </row>
    <row r="9832" spans="1:50">
      <c r="A9832">
        <v>617319</v>
      </c>
      <c r="B9832" t="str">
        <f>"131487700"</f>
        <v>131487700</v>
      </c>
      <c r="C9832" t="s">
        <v>50</v>
      </c>
      <c r="D9832" t="s">
        <v>14786</v>
      </c>
      <c r="E9832" t="s">
        <v>83</v>
      </c>
      <c r="F9832" t="s">
        <v>9130</v>
      </c>
      <c r="G9832" t="s">
        <v>215</v>
      </c>
      <c r="H9832" t="str">
        <f>"ΑΡΕΤΑΚΗ ΑΔΑΜ 5 ΧΑΝΙΑ"</f>
        <v>ΑΡΕΤΑΚΗ ΑΔΑΜ 5 ΧΑΝΙΑ</v>
      </c>
      <c r="I9832">
        <v>73133</v>
      </c>
      <c r="J9832">
        <v>2821112750</v>
      </c>
      <c r="K9832">
        <v>6975879183</v>
      </c>
      <c r="N9832" t="s">
        <v>615</v>
      </c>
      <c r="O9832" t="s">
        <v>616</v>
      </c>
      <c r="R9832" t="s">
        <v>57</v>
      </c>
      <c r="S9832">
        <v>6</v>
      </c>
      <c r="T9832">
        <v>774</v>
      </c>
      <c r="U9832" s="1">
        <v>39680</v>
      </c>
      <c r="V9832" t="s">
        <v>89</v>
      </c>
      <c r="W9832" t="s">
        <v>90</v>
      </c>
      <c r="X9832" t="s">
        <v>58</v>
      </c>
      <c r="Y9832">
        <v>23</v>
      </c>
      <c r="Z9832" t="s">
        <v>59</v>
      </c>
      <c r="AA9832" t="s">
        <v>59</v>
      </c>
      <c r="AB9832" t="s">
        <v>59</v>
      </c>
      <c r="AC9832" t="s">
        <v>59</v>
      </c>
      <c r="AD9832" t="s">
        <v>59</v>
      </c>
      <c r="AF9832" s="1">
        <v>39681</v>
      </c>
      <c r="AG9832" t="s">
        <v>8645</v>
      </c>
      <c r="AH9832" t="s">
        <v>8646</v>
      </c>
      <c r="AI9832" t="str">
        <f>"9500004"</f>
        <v>9500004</v>
      </c>
      <c r="AJ9832" t="s">
        <v>13897</v>
      </c>
      <c r="AK9832">
        <v>2825022272</v>
      </c>
      <c r="AL9832" t="s">
        <v>13898</v>
      </c>
      <c r="AM9832" t="s">
        <v>88</v>
      </c>
      <c r="AN9832" t="s">
        <v>6775</v>
      </c>
      <c r="AO9832" t="s">
        <v>6776</v>
      </c>
      <c r="AP9832" t="s">
        <v>6776</v>
      </c>
      <c r="AQ9832">
        <v>7</v>
      </c>
      <c r="AR9832" t="s">
        <v>89</v>
      </c>
      <c r="AS9832" t="s">
        <v>90</v>
      </c>
      <c r="AT9832" t="s">
        <v>58</v>
      </c>
      <c r="AU9832" t="s">
        <v>68</v>
      </c>
      <c r="AV9832" t="s">
        <v>69</v>
      </c>
      <c r="AW9832" s="1">
        <v>30401</v>
      </c>
      <c r="AX9832">
        <v>1</v>
      </c>
    </row>
    <row r="9833" spans="1:50">
      <c r="A9833">
        <v>216108</v>
      </c>
      <c r="B9833" t="str">
        <f>"127732459"</f>
        <v>127732459</v>
      </c>
      <c r="C9833" t="s">
        <v>105</v>
      </c>
      <c r="D9833" t="s">
        <v>10345</v>
      </c>
      <c r="E9833" t="s">
        <v>99</v>
      </c>
      <c r="F9833" t="s">
        <v>108</v>
      </c>
      <c r="G9833" t="s">
        <v>255</v>
      </c>
      <c r="H9833" t="str">
        <f>"Α. ΠΑΠΑΝΔΡΕΟΥ 47Α "</f>
        <v xml:space="preserve">Α. ΠΑΠΑΝΔΡΕΟΥ 47Α </v>
      </c>
      <c r="I9833">
        <v>73100</v>
      </c>
      <c r="J9833">
        <v>2821034329</v>
      </c>
      <c r="K9833">
        <v>6974123230</v>
      </c>
      <c r="M9833" t="s">
        <v>14787</v>
      </c>
      <c r="N9833" t="s">
        <v>204</v>
      </c>
      <c r="O9833" t="s">
        <v>205</v>
      </c>
      <c r="R9833" t="s">
        <v>57</v>
      </c>
      <c r="S9833">
        <v>6</v>
      </c>
      <c r="T9833">
        <v>232</v>
      </c>
      <c r="U9833" s="1">
        <v>38960</v>
      </c>
      <c r="V9833" t="s">
        <v>89</v>
      </c>
      <c r="W9833" t="s">
        <v>90</v>
      </c>
      <c r="X9833" t="s">
        <v>58</v>
      </c>
      <c r="Y9833">
        <v>23</v>
      </c>
      <c r="Z9833" t="s">
        <v>59</v>
      </c>
      <c r="AA9833" t="s">
        <v>59</v>
      </c>
      <c r="AB9833" t="s">
        <v>59</v>
      </c>
      <c r="AC9833" t="s">
        <v>59</v>
      </c>
      <c r="AD9833" t="s">
        <v>59</v>
      </c>
      <c r="AF9833" s="1">
        <v>38965</v>
      </c>
      <c r="AG9833" t="s">
        <v>8645</v>
      </c>
      <c r="AH9833" t="s">
        <v>8646</v>
      </c>
      <c r="AI9833" t="str">
        <f>"9500083"</f>
        <v>9500083</v>
      </c>
      <c r="AJ9833" t="s">
        <v>14239</v>
      </c>
      <c r="AK9833">
        <v>2821063500</v>
      </c>
      <c r="AL9833" t="s">
        <v>14240</v>
      </c>
      <c r="AM9833" t="s">
        <v>88</v>
      </c>
      <c r="AN9833" t="s">
        <v>88</v>
      </c>
      <c r="AO9833" t="s">
        <v>6770</v>
      </c>
      <c r="AP9833" t="s">
        <v>14090</v>
      </c>
      <c r="AQ9833">
        <v>2</v>
      </c>
      <c r="AR9833" t="s">
        <v>89</v>
      </c>
      <c r="AS9833" t="s">
        <v>90</v>
      </c>
      <c r="AT9833" t="s">
        <v>58</v>
      </c>
      <c r="AU9833" t="s">
        <v>68</v>
      </c>
      <c r="AV9833" t="s">
        <v>69</v>
      </c>
      <c r="AW9833" s="1">
        <v>28618</v>
      </c>
      <c r="AX9833">
        <v>1</v>
      </c>
    </row>
    <row r="9834" spans="1:50">
      <c r="B9834" t="str">
        <f>"135207886"</f>
        <v>135207886</v>
      </c>
      <c r="C9834" t="s">
        <v>50</v>
      </c>
      <c r="D9834" t="s">
        <v>6119</v>
      </c>
      <c r="E9834" t="s">
        <v>73</v>
      </c>
      <c r="F9834" t="s">
        <v>53</v>
      </c>
      <c r="G9834" t="s">
        <v>83</v>
      </c>
      <c r="H9834" t="str">
        <f>"ΜΟΥΛΕΤΕ 11 ΧΑΝΙΑ"</f>
        <v>ΜΟΥΛΕΤΕ 11 ΧΑΝΙΑ</v>
      </c>
      <c r="I9834">
        <v>73135</v>
      </c>
      <c r="J9834">
        <v>2821071037</v>
      </c>
      <c r="K9834">
        <v>6937695719</v>
      </c>
      <c r="N9834" t="s">
        <v>306</v>
      </c>
      <c r="O9834" t="s">
        <v>307</v>
      </c>
      <c r="R9834" t="s">
        <v>159</v>
      </c>
      <c r="S9834">
        <v>3</v>
      </c>
      <c r="T9834" t="s">
        <v>8675</v>
      </c>
      <c r="U9834" s="1">
        <v>43348</v>
      </c>
      <c r="V9834" t="s">
        <v>89</v>
      </c>
      <c r="W9834" t="s">
        <v>90</v>
      </c>
      <c r="X9834" t="s">
        <v>58</v>
      </c>
      <c r="Y9834">
        <v>24</v>
      </c>
      <c r="Z9834" t="s">
        <v>59</v>
      </c>
      <c r="AA9834" t="s">
        <v>59</v>
      </c>
      <c r="AB9834" t="s">
        <v>59</v>
      </c>
      <c r="AC9834" t="s">
        <v>59</v>
      </c>
      <c r="AD9834" t="s">
        <v>59</v>
      </c>
      <c r="AF9834" s="1">
        <v>43348</v>
      </c>
      <c r="AG9834" t="s">
        <v>8645</v>
      </c>
      <c r="AH9834" t="s">
        <v>8646</v>
      </c>
      <c r="AI9834" t="str">
        <f>"9500004"</f>
        <v>9500004</v>
      </c>
      <c r="AJ9834" t="s">
        <v>13897</v>
      </c>
      <c r="AK9834">
        <v>2825022272</v>
      </c>
      <c r="AL9834" t="s">
        <v>13898</v>
      </c>
      <c r="AM9834" t="s">
        <v>88</v>
      </c>
      <c r="AN9834" t="s">
        <v>6775</v>
      </c>
      <c r="AO9834" t="s">
        <v>6776</v>
      </c>
      <c r="AP9834" t="s">
        <v>6776</v>
      </c>
      <c r="AQ9834">
        <v>7</v>
      </c>
      <c r="AR9834" t="s">
        <v>89</v>
      </c>
      <c r="AS9834" t="s">
        <v>90</v>
      </c>
      <c r="AT9834" t="s">
        <v>58</v>
      </c>
      <c r="AU9834" t="s">
        <v>8673</v>
      </c>
      <c r="AV9834" t="s">
        <v>132</v>
      </c>
      <c r="AW9834" s="1">
        <v>30838</v>
      </c>
      <c r="AX9834">
        <v>1</v>
      </c>
    </row>
    <row r="9835" spans="1:50">
      <c r="A9835">
        <v>700942</v>
      </c>
      <c r="B9835" t="str">
        <f>"100218502"</f>
        <v>100218502</v>
      </c>
      <c r="C9835" t="s">
        <v>50</v>
      </c>
      <c r="D9835" t="s">
        <v>6119</v>
      </c>
      <c r="E9835" t="s">
        <v>314</v>
      </c>
      <c r="F9835" t="s">
        <v>99</v>
      </c>
      <c r="G9835" t="s">
        <v>367</v>
      </c>
      <c r="H9835" t="str">
        <f>"ΤΙΜΙΟΥ ΠΡΟΔΡΟΜΟΥ ΚΟΡΑΚΙΕΣ"</f>
        <v>ΤΙΜΙΟΥ ΠΡΟΔΡΟΜΟΥ ΚΟΡΑΚΙΕΣ</v>
      </c>
      <c r="I9835">
        <v>73100</v>
      </c>
      <c r="J9835">
        <v>2105443668</v>
      </c>
      <c r="K9835">
        <v>6972140158</v>
      </c>
      <c r="N9835" t="s">
        <v>1525</v>
      </c>
      <c r="O9835" t="s">
        <v>1526</v>
      </c>
      <c r="R9835" t="s">
        <v>57</v>
      </c>
      <c r="S9835">
        <v>4</v>
      </c>
      <c r="T9835">
        <v>772</v>
      </c>
      <c r="U9835" s="1">
        <v>40413</v>
      </c>
      <c r="V9835" t="s">
        <v>89</v>
      </c>
      <c r="W9835" t="s">
        <v>90</v>
      </c>
      <c r="X9835" t="s">
        <v>58</v>
      </c>
      <c r="Y9835">
        <v>25</v>
      </c>
      <c r="Z9835" t="s">
        <v>59</v>
      </c>
      <c r="AA9835" t="s">
        <v>59</v>
      </c>
      <c r="AB9835" t="s">
        <v>59</v>
      </c>
      <c r="AC9835" t="s">
        <v>59</v>
      </c>
      <c r="AD9835" t="s">
        <v>59</v>
      </c>
      <c r="AF9835" s="1">
        <v>40413</v>
      </c>
      <c r="AG9835" t="s">
        <v>8651</v>
      </c>
      <c r="AH9835" t="s">
        <v>8652</v>
      </c>
      <c r="AI9835" t="str">
        <f>"9500419"</f>
        <v>9500419</v>
      </c>
      <c r="AJ9835" t="s">
        <v>14788</v>
      </c>
      <c r="AK9835">
        <v>2825071511</v>
      </c>
      <c r="AL9835" t="s">
        <v>14789</v>
      </c>
      <c r="AM9835" t="s">
        <v>88</v>
      </c>
      <c r="AN9835" t="s">
        <v>6775</v>
      </c>
      <c r="AO9835" t="s">
        <v>14358</v>
      </c>
      <c r="AP9835" t="s">
        <v>14790</v>
      </c>
      <c r="AQ9835">
        <v>7</v>
      </c>
      <c r="AR9835" t="s">
        <v>89</v>
      </c>
      <c r="AS9835" t="s">
        <v>90</v>
      </c>
      <c r="AT9835" t="s">
        <v>58</v>
      </c>
      <c r="AU9835" t="s">
        <v>68</v>
      </c>
      <c r="AV9835" t="s">
        <v>69</v>
      </c>
      <c r="AW9835" s="1">
        <v>29754</v>
      </c>
      <c r="AX9835">
        <v>1</v>
      </c>
    </row>
    <row r="9836" spans="1:50">
      <c r="B9836" t="str">
        <f>"121913628"</f>
        <v>121913628</v>
      </c>
      <c r="C9836" t="s">
        <v>50</v>
      </c>
      <c r="D9836" t="s">
        <v>6119</v>
      </c>
      <c r="E9836" t="s">
        <v>1440</v>
      </c>
      <c r="F9836" t="s">
        <v>72</v>
      </c>
      <c r="G9836" t="s">
        <v>263</v>
      </c>
      <c r="H9836" t="str">
        <f>"ΚΥΡΗΝΕΙΑΣ 8 ΘΕΣΣΑΛΟΝΙΚΗ"</f>
        <v>ΚΥΡΗΝΕΙΑΣ 8 ΘΕΣΣΑΛΟΝΙΚΗ</v>
      </c>
      <c r="I9836">
        <v>54249</v>
      </c>
      <c r="J9836">
        <v>2310317426</v>
      </c>
      <c r="K9836">
        <v>6974333090</v>
      </c>
      <c r="N9836" t="s">
        <v>337</v>
      </c>
      <c r="O9836" t="s">
        <v>338</v>
      </c>
      <c r="R9836" t="s">
        <v>159</v>
      </c>
      <c r="S9836">
        <v>4</v>
      </c>
      <c r="T9836" t="s">
        <v>8675</v>
      </c>
      <c r="U9836" s="1">
        <v>43348</v>
      </c>
      <c r="V9836" t="s">
        <v>89</v>
      </c>
      <c r="W9836" t="s">
        <v>90</v>
      </c>
      <c r="X9836" t="s">
        <v>58</v>
      </c>
      <c r="Y9836">
        <v>24</v>
      </c>
      <c r="Z9836" t="s">
        <v>59</v>
      </c>
      <c r="AA9836" t="s">
        <v>59</v>
      </c>
      <c r="AB9836" t="s">
        <v>59</v>
      </c>
      <c r="AC9836" t="s">
        <v>59</v>
      </c>
      <c r="AD9836" t="s">
        <v>59</v>
      </c>
      <c r="AF9836" s="1">
        <v>43348</v>
      </c>
      <c r="AG9836" t="s">
        <v>8645</v>
      </c>
      <c r="AH9836" t="s">
        <v>8646</v>
      </c>
      <c r="AI9836" t="str">
        <f>"9500408"</f>
        <v>9500408</v>
      </c>
      <c r="AJ9836" t="s">
        <v>13981</v>
      </c>
      <c r="AK9836">
        <v>2821081655</v>
      </c>
      <c r="AL9836" t="s">
        <v>13982</v>
      </c>
      <c r="AM9836" t="s">
        <v>88</v>
      </c>
      <c r="AN9836" t="s">
        <v>88</v>
      </c>
      <c r="AO9836" t="s">
        <v>6748</v>
      </c>
      <c r="AP9836" t="s">
        <v>6748</v>
      </c>
      <c r="AQ9836">
        <v>2</v>
      </c>
      <c r="AR9836" t="s">
        <v>89</v>
      </c>
      <c r="AS9836" t="s">
        <v>90</v>
      </c>
      <c r="AT9836" t="s">
        <v>58</v>
      </c>
      <c r="AU9836" t="s">
        <v>8673</v>
      </c>
      <c r="AV9836" t="s">
        <v>132</v>
      </c>
      <c r="AW9836" s="1">
        <v>29001</v>
      </c>
      <c r="AX9836">
        <v>1</v>
      </c>
    </row>
    <row r="9837" spans="1:50">
      <c r="B9837" t="str">
        <f>"119161923"</f>
        <v>119161923</v>
      </c>
      <c r="C9837" t="s">
        <v>50</v>
      </c>
      <c r="D9837" t="s">
        <v>7556</v>
      </c>
      <c r="E9837" t="s">
        <v>366</v>
      </c>
      <c r="F9837" t="s">
        <v>72</v>
      </c>
      <c r="G9837" t="s">
        <v>155</v>
      </c>
      <c r="H9837" t="str">
        <f>" "</f>
        <v xml:space="preserve"> </v>
      </c>
      <c r="N9837" t="s">
        <v>1525</v>
      </c>
      <c r="O9837" t="s">
        <v>1526</v>
      </c>
      <c r="R9837" t="s">
        <v>121</v>
      </c>
      <c r="S9837">
        <v>1</v>
      </c>
      <c r="T9837" t="s">
        <v>10716</v>
      </c>
      <c r="U9837" s="1">
        <v>43377</v>
      </c>
      <c r="V9837" t="s">
        <v>89</v>
      </c>
      <c r="W9837" t="s">
        <v>90</v>
      </c>
      <c r="X9837" t="s">
        <v>58</v>
      </c>
      <c r="Y9837">
        <v>25</v>
      </c>
      <c r="Z9837" t="s">
        <v>59</v>
      </c>
      <c r="AA9837" t="s">
        <v>59</v>
      </c>
      <c r="AB9837" t="s">
        <v>59</v>
      </c>
      <c r="AD9837" t="s">
        <v>59</v>
      </c>
      <c r="AF9837" s="1">
        <v>43377</v>
      </c>
      <c r="AG9837" t="s">
        <v>8651</v>
      </c>
      <c r="AH9837" t="s">
        <v>8652</v>
      </c>
      <c r="AI9837" t="str">
        <f>"9500136"</f>
        <v>9500136</v>
      </c>
      <c r="AJ9837" t="s">
        <v>14189</v>
      </c>
      <c r="AK9837">
        <v>2821092159</v>
      </c>
      <c r="AL9837" t="s">
        <v>14190</v>
      </c>
      <c r="AM9837" t="s">
        <v>88</v>
      </c>
      <c r="AN9837" t="s">
        <v>88</v>
      </c>
      <c r="AO9837" t="s">
        <v>88</v>
      </c>
      <c r="AP9837" t="s">
        <v>88</v>
      </c>
      <c r="AQ9837">
        <v>1</v>
      </c>
      <c r="AR9837" t="s">
        <v>89</v>
      </c>
      <c r="AS9837" t="s">
        <v>90</v>
      </c>
      <c r="AT9837" t="s">
        <v>58</v>
      </c>
      <c r="AU9837" t="s">
        <v>8673</v>
      </c>
      <c r="AV9837" t="s">
        <v>132</v>
      </c>
      <c r="AW9837" s="1">
        <v>29117</v>
      </c>
      <c r="AX9837">
        <v>1</v>
      </c>
    </row>
    <row r="9838" spans="1:50">
      <c r="A9838">
        <v>613061</v>
      </c>
      <c r="B9838" t="str">
        <f>"301910273"</f>
        <v>301910273</v>
      </c>
      <c r="C9838" t="s">
        <v>50</v>
      </c>
      <c r="D9838" t="s">
        <v>7556</v>
      </c>
      <c r="E9838" t="s">
        <v>181</v>
      </c>
      <c r="F9838" t="s">
        <v>1041</v>
      </c>
      <c r="G9838" t="s">
        <v>335</v>
      </c>
      <c r="H9838" t="str">
        <f>"ΠΑΡΟΔΟΣ ΓΟΓΟΝΗΣ 116 ΧΑΝΙΑ"</f>
        <v>ΠΑΡΟΔΟΣ ΓΟΓΟΝΗΣ 116 ΧΑΝΙΑ</v>
      </c>
      <c r="I9838">
        <v>73100</v>
      </c>
      <c r="J9838">
        <v>2821112494</v>
      </c>
      <c r="K9838">
        <v>6948232161</v>
      </c>
      <c r="N9838" t="s">
        <v>615</v>
      </c>
      <c r="O9838" t="s">
        <v>616</v>
      </c>
      <c r="R9838" t="s">
        <v>57</v>
      </c>
      <c r="S9838">
        <v>6</v>
      </c>
      <c r="T9838">
        <v>598</v>
      </c>
      <c r="U9838" s="1">
        <v>37511</v>
      </c>
      <c r="V9838" t="s">
        <v>89</v>
      </c>
      <c r="W9838" t="s">
        <v>90</v>
      </c>
      <c r="X9838" t="s">
        <v>58</v>
      </c>
      <c r="Y9838">
        <v>23</v>
      </c>
      <c r="Z9838" t="s">
        <v>59</v>
      </c>
      <c r="AA9838" t="s">
        <v>59</v>
      </c>
      <c r="AB9838" t="s">
        <v>59</v>
      </c>
      <c r="AC9838" t="s">
        <v>59</v>
      </c>
      <c r="AD9838" t="s">
        <v>59</v>
      </c>
      <c r="AF9838" s="1">
        <v>39310</v>
      </c>
      <c r="AG9838" t="s">
        <v>8645</v>
      </c>
      <c r="AH9838" t="s">
        <v>8646</v>
      </c>
      <c r="AI9838" t="str">
        <f>"9500358"</f>
        <v>9500358</v>
      </c>
      <c r="AJ9838" t="s">
        <v>13948</v>
      </c>
      <c r="AK9838">
        <v>2821093459</v>
      </c>
      <c r="AL9838" t="s">
        <v>13949</v>
      </c>
      <c r="AM9838" t="s">
        <v>88</v>
      </c>
      <c r="AN9838" t="s">
        <v>88</v>
      </c>
      <c r="AO9838" t="s">
        <v>6733</v>
      </c>
      <c r="AP9838" t="s">
        <v>6755</v>
      </c>
      <c r="AQ9838">
        <v>2</v>
      </c>
      <c r="AR9838" t="s">
        <v>89</v>
      </c>
      <c r="AS9838" t="s">
        <v>90</v>
      </c>
      <c r="AT9838" t="s">
        <v>58</v>
      </c>
      <c r="AU9838" t="s">
        <v>68</v>
      </c>
      <c r="AV9838" t="s">
        <v>69</v>
      </c>
      <c r="AW9838" s="1">
        <v>30119</v>
      </c>
      <c r="AX9838">
        <v>1</v>
      </c>
    </row>
    <row r="9839" spans="1:50">
      <c r="A9839">
        <v>586830</v>
      </c>
      <c r="B9839" t="str">
        <f>"101589138"</f>
        <v>101589138</v>
      </c>
      <c r="C9839" t="s">
        <v>50</v>
      </c>
      <c r="D9839" t="s">
        <v>7558</v>
      </c>
      <c r="E9839" t="s">
        <v>134</v>
      </c>
      <c r="F9839" t="s">
        <v>166</v>
      </c>
      <c r="G9839" t="s">
        <v>52</v>
      </c>
      <c r="H9839" t="str">
        <f>" "</f>
        <v xml:space="preserve"> </v>
      </c>
      <c r="N9839" t="s">
        <v>1525</v>
      </c>
      <c r="O9839" t="s">
        <v>1526</v>
      </c>
      <c r="R9839" t="s">
        <v>57</v>
      </c>
      <c r="S9839">
        <v>13</v>
      </c>
      <c r="T9839">
        <v>177</v>
      </c>
      <c r="U9839" s="1">
        <v>35674</v>
      </c>
      <c r="V9839" t="s">
        <v>89</v>
      </c>
      <c r="W9839" t="s">
        <v>90</v>
      </c>
      <c r="X9839" t="s">
        <v>58</v>
      </c>
      <c r="Y9839">
        <v>25</v>
      </c>
      <c r="Z9839" t="s">
        <v>59</v>
      </c>
      <c r="AA9839" t="s">
        <v>59</v>
      </c>
      <c r="AB9839" t="s">
        <v>59</v>
      </c>
      <c r="AC9839" t="s">
        <v>59</v>
      </c>
      <c r="AD9839" t="s">
        <v>59</v>
      </c>
      <c r="AF9839" s="1">
        <v>35674</v>
      </c>
      <c r="AG9839" t="s">
        <v>8651</v>
      </c>
      <c r="AH9839" t="s">
        <v>8652</v>
      </c>
      <c r="AI9839" t="str">
        <f>"9500401"</f>
        <v>9500401</v>
      </c>
      <c r="AJ9839" t="s">
        <v>14791</v>
      </c>
      <c r="AK9839">
        <v>2821097774</v>
      </c>
      <c r="AL9839" t="s">
        <v>14792</v>
      </c>
      <c r="AM9839" t="s">
        <v>88</v>
      </c>
      <c r="AN9839" t="s">
        <v>88</v>
      </c>
      <c r="AO9839" t="s">
        <v>88</v>
      </c>
      <c r="AP9839" t="s">
        <v>88</v>
      </c>
      <c r="AQ9839">
        <v>1</v>
      </c>
      <c r="AR9839" t="s">
        <v>89</v>
      </c>
      <c r="AS9839" t="s">
        <v>90</v>
      </c>
      <c r="AT9839" t="s">
        <v>58</v>
      </c>
      <c r="AU9839" t="s">
        <v>68</v>
      </c>
      <c r="AV9839" t="s">
        <v>69</v>
      </c>
      <c r="AW9839" s="1">
        <v>22857</v>
      </c>
      <c r="AX9839">
        <v>1</v>
      </c>
    </row>
    <row r="9840" spans="1:50">
      <c r="A9840">
        <v>586546</v>
      </c>
      <c r="B9840" t="str">
        <f>"050792209"</f>
        <v>050792209</v>
      </c>
      <c r="C9840" t="s">
        <v>50</v>
      </c>
      <c r="D9840" t="s">
        <v>7558</v>
      </c>
      <c r="E9840" t="s">
        <v>52</v>
      </c>
      <c r="F9840" t="s">
        <v>670</v>
      </c>
      <c r="G9840" t="s">
        <v>143</v>
      </c>
      <c r="H9840" t="str">
        <f>"ΠΡΩΤΕΩΣ-ΔΑΡΑΤΣΟ ΧΑΝΙΑ"</f>
        <v>ΠΡΩΤΕΩΣ-ΔΑΡΑΤΣΟ ΧΑΝΙΑ</v>
      </c>
      <c r="I9840">
        <v>73100</v>
      </c>
      <c r="J9840">
        <v>2821034160</v>
      </c>
      <c r="K9840">
        <v>6972389111</v>
      </c>
      <c r="N9840" t="s">
        <v>615</v>
      </c>
      <c r="O9840" t="s">
        <v>616</v>
      </c>
      <c r="R9840" t="s">
        <v>57</v>
      </c>
      <c r="S9840">
        <v>13</v>
      </c>
      <c r="T9840">
        <v>165</v>
      </c>
      <c r="U9840" s="1">
        <v>36040</v>
      </c>
      <c r="V9840" t="s">
        <v>89</v>
      </c>
      <c r="W9840" t="s">
        <v>90</v>
      </c>
      <c r="X9840" t="s">
        <v>58</v>
      </c>
      <c r="Y9840">
        <v>21</v>
      </c>
      <c r="Z9840" t="s">
        <v>59</v>
      </c>
      <c r="AA9840" t="s">
        <v>59</v>
      </c>
      <c r="AB9840" t="s">
        <v>59</v>
      </c>
      <c r="AC9840" t="s">
        <v>59</v>
      </c>
      <c r="AD9840" t="s">
        <v>59</v>
      </c>
      <c r="AF9840" s="1">
        <v>36040</v>
      </c>
      <c r="AG9840" t="s">
        <v>8645</v>
      </c>
      <c r="AH9840" t="s">
        <v>8646</v>
      </c>
      <c r="AI9840" t="str">
        <f>"9500119"</f>
        <v>9500119</v>
      </c>
      <c r="AJ9840" t="s">
        <v>14286</v>
      </c>
      <c r="AK9840">
        <v>2821095816</v>
      </c>
      <c r="AL9840" t="s">
        <v>14287</v>
      </c>
      <c r="AM9840" t="s">
        <v>88</v>
      </c>
      <c r="AN9840" t="s">
        <v>88</v>
      </c>
      <c r="AO9840" t="s">
        <v>13920</v>
      </c>
      <c r="AP9840" t="s">
        <v>14029</v>
      </c>
      <c r="AQ9840">
        <v>3</v>
      </c>
      <c r="AR9840" t="s">
        <v>89</v>
      </c>
      <c r="AS9840" t="s">
        <v>90</v>
      </c>
      <c r="AT9840" t="s">
        <v>58</v>
      </c>
      <c r="AU9840" t="s">
        <v>68</v>
      </c>
      <c r="AV9840" t="s">
        <v>69</v>
      </c>
      <c r="AW9840" s="1">
        <v>25601</v>
      </c>
      <c r="AX9840">
        <v>1</v>
      </c>
    </row>
    <row r="9841" spans="1:50">
      <c r="A9841">
        <v>594908</v>
      </c>
      <c r="B9841" t="str">
        <f>"053868945"</f>
        <v>053868945</v>
      </c>
      <c r="C9841" t="s">
        <v>50</v>
      </c>
      <c r="D9841" t="s">
        <v>7558</v>
      </c>
      <c r="E9841" t="s">
        <v>13611</v>
      </c>
      <c r="F9841" t="s">
        <v>106</v>
      </c>
      <c r="G9841" t="s">
        <v>109</v>
      </c>
      <c r="H9841" t="str">
        <f>"ΠΟΛΥΡΡΗΝΙΑΣ 20 ΧΑΝΙΑ"</f>
        <v>ΠΟΛΥΡΡΗΝΙΑΣ 20 ΧΑΝΙΑ</v>
      </c>
      <c r="I9841">
        <v>73100</v>
      </c>
      <c r="J9841">
        <v>2821087076</v>
      </c>
      <c r="N9841" t="s">
        <v>615</v>
      </c>
      <c r="O9841" t="s">
        <v>616</v>
      </c>
      <c r="R9841" t="s">
        <v>57</v>
      </c>
      <c r="S9841">
        <v>9</v>
      </c>
      <c r="T9841">
        <v>218</v>
      </c>
      <c r="U9841" s="1">
        <v>37134</v>
      </c>
      <c r="V9841" t="s">
        <v>89</v>
      </c>
      <c r="W9841" t="s">
        <v>90</v>
      </c>
      <c r="X9841" t="s">
        <v>58</v>
      </c>
      <c r="Y9841">
        <v>22</v>
      </c>
      <c r="Z9841" t="s">
        <v>59</v>
      </c>
      <c r="AA9841" t="s">
        <v>59</v>
      </c>
      <c r="AB9841" t="s">
        <v>59</v>
      </c>
      <c r="AC9841" t="s">
        <v>59</v>
      </c>
      <c r="AD9841" t="s">
        <v>59</v>
      </c>
      <c r="AF9841" s="1">
        <v>37134</v>
      </c>
      <c r="AG9841" t="s">
        <v>8645</v>
      </c>
      <c r="AH9841" t="s">
        <v>8646</v>
      </c>
      <c r="AI9841" t="str">
        <f>"9500035"</f>
        <v>9500035</v>
      </c>
      <c r="AJ9841" t="s">
        <v>13979</v>
      </c>
      <c r="AK9841">
        <v>2821094678</v>
      </c>
      <c r="AL9841" t="s">
        <v>13980</v>
      </c>
      <c r="AM9841" t="s">
        <v>88</v>
      </c>
      <c r="AN9841" t="s">
        <v>88</v>
      </c>
      <c r="AO9841" t="s">
        <v>88</v>
      </c>
      <c r="AP9841" t="s">
        <v>88</v>
      </c>
      <c r="AQ9841">
        <v>2</v>
      </c>
      <c r="AR9841" t="s">
        <v>89</v>
      </c>
      <c r="AS9841" t="s">
        <v>90</v>
      </c>
      <c r="AT9841" t="s">
        <v>58</v>
      </c>
      <c r="AU9841" t="s">
        <v>68</v>
      </c>
      <c r="AV9841" t="s">
        <v>69</v>
      </c>
      <c r="AW9841" s="1">
        <v>26024</v>
      </c>
      <c r="AX9841">
        <v>1</v>
      </c>
    </row>
    <row r="9842" spans="1:50">
      <c r="A9842">
        <v>566902</v>
      </c>
      <c r="B9842" t="str">
        <f>"033379010"</f>
        <v>033379010</v>
      </c>
      <c r="C9842" t="s">
        <v>105</v>
      </c>
      <c r="D9842" t="s">
        <v>14793</v>
      </c>
      <c r="E9842" t="s">
        <v>84</v>
      </c>
      <c r="F9842" t="s">
        <v>72</v>
      </c>
      <c r="G9842" t="s">
        <v>73</v>
      </c>
      <c r="H9842" t="str">
        <f>"ΣΠΥΡΙΔΩΓΙΑΝΝΗ 4 ΧΑΝΙΑ"</f>
        <v>ΣΠΥΡΙΔΩΓΙΑΝΝΗ 4 ΧΑΝΙΑ</v>
      </c>
      <c r="I9842">
        <v>73100</v>
      </c>
      <c r="J9842">
        <v>2821054715</v>
      </c>
      <c r="K9842">
        <v>6972501950</v>
      </c>
      <c r="N9842" t="s">
        <v>615</v>
      </c>
      <c r="O9842" t="s">
        <v>616</v>
      </c>
      <c r="R9842" t="s">
        <v>57</v>
      </c>
      <c r="S9842">
        <v>13</v>
      </c>
      <c r="T9842">
        <v>133</v>
      </c>
      <c r="U9842" s="1">
        <v>33456</v>
      </c>
      <c r="V9842" t="s">
        <v>89</v>
      </c>
      <c r="W9842" t="s">
        <v>90</v>
      </c>
      <c r="X9842" t="s">
        <v>58</v>
      </c>
      <c r="Y9842">
        <v>21</v>
      </c>
      <c r="Z9842" t="s">
        <v>59</v>
      </c>
      <c r="AA9842" t="s">
        <v>59</v>
      </c>
      <c r="AB9842" t="s">
        <v>59</v>
      </c>
      <c r="AC9842" t="s">
        <v>59</v>
      </c>
      <c r="AD9842" t="s">
        <v>59</v>
      </c>
      <c r="AF9842" s="1">
        <v>33456</v>
      </c>
      <c r="AG9842" t="s">
        <v>8645</v>
      </c>
      <c r="AH9842" t="s">
        <v>8646</v>
      </c>
      <c r="AI9842" t="str">
        <f>"9500038"</f>
        <v>9500038</v>
      </c>
      <c r="AJ9842" t="s">
        <v>13899</v>
      </c>
      <c r="AK9842">
        <v>2821042407</v>
      </c>
      <c r="AL9842" t="s">
        <v>13900</v>
      </c>
      <c r="AM9842" t="s">
        <v>88</v>
      </c>
      <c r="AN9842" t="s">
        <v>88</v>
      </c>
      <c r="AO9842" t="s">
        <v>88</v>
      </c>
      <c r="AP9842" t="s">
        <v>88</v>
      </c>
      <c r="AQ9842">
        <v>1</v>
      </c>
      <c r="AR9842" t="s">
        <v>89</v>
      </c>
      <c r="AS9842" t="s">
        <v>90</v>
      </c>
      <c r="AT9842" t="s">
        <v>58</v>
      </c>
      <c r="AU9842" t="s">
        <v>68</v>
      </c>
      <c r="AV9842" t="s">
        <v>69</v>
      </c>
      <c r="AW9842" s="1">
        <v>22417</v>
      </c>
      <c r="AX9842">
        <v>1</v>
      </c>
    </row>
    <row r="9843" spans="1:50">
      <c r="A9843">
        <v>604779</v>
      </c>
      <c r="B9843" t="str">
        <f>"074843915"</f>
        <v>074843915</v>
      </c>
      <c r="C9843" t="s">
        <v>50</v>
      </c>
      <c r="D9843" t="s">
        <v>2257</v>
      </c>
      <c r="E9843" t="s">
        <v>460</v>
      </c>
      <c r="F9843" t="s">
        <v>95</v>
      </c>
      <c r="G9843" t="s">
        <v>255</v>
      </c>
      <c r="H9843" t="str">
        <f>"ΠΑΤΡ. ΙΩΑΝΝΙΚΕΙΟΥ 6 ΧΑΝΙΑ"</f>
        <v>ΠΑΤΡ. ΙΩΑΝΝΙΚΕΙΟΥ 6 ΧΑΝΙΑ</v>
      </c>
      <c r="I9843">
        <v>73100</v>
      </c>
      <c r="J9843">
        <v>2821093141</v>
      </c>
      <c r="K9843">
        <v>6944450143</v>
      </c>
      <c r="N9843" t="s">
        <v>615</v>
      </c>
      <c r="O9843" t="s">
        <v>616</v>
      </c>
      <c r="R9843" t="s">
        <v>57</v>
      </c>
      <c r="S9843">
        <v>8</v>
      </c>
      <c r="T9843">
        <v>231</v>
      </c>
      <c r="U9843" s="1">
        <v>38230</v>
      </c>
      <c r="V9843" t="s">
        <v>89</v>
      </c>
      <c r="W9843" t="s">
        <v>90</v>
      </c>
      <c r="X9843" t="s">
        <v>58</v>
      </c>
      <c r="Y9843">
        <v>22</v>
      </c>
      <c r="Z9843" t="s">
        <v>59</v>
      </c>
      <c r="AA9843" t="s">
        <v>59</v>
      </c>
      <c r="AB9843" t="s">
        <v>59</v>
      </c>
      <c r="AC9843" t="s">
        <v>59</v>
      </c>
      <c r="AD9843" t="s">
        <v>59</v>
      </c>
      <c r="AF9843" s="1">
        <v>38230</v>
      </c>
      <c r="AG9843" t="s">
        <v>8645</v>
      </c>
      <c r="AH9843" t="s">
        <v>14199</v>
      </c>
      <c r="AI9843" t="str">
        <f>"9500140"</f>
        <v>9500140</v>
      </c>
      <c r="AJ9843" t="s">
        <v>14200</v>
      </c>
      <c r="AK9843">
        <v>2821097348</v>
      </c>
      <c r="AL9843" t="s">
        <v>14201</v>
      </c>
      <c r="AM9843" t="s">
        <v>88</v>
      </c>
      <c r="AN9843" t="s">
        <v>88</v>
      </c>
      <c r="AO9843" t="s">
        <v>88</v>
      </c>
      <c r="AP9843" t="s">
        <v>88</v>
      </c>
      <c r="AQ9843">
        <v>1</v>
      </c>
      <c r="AR9843" t="s">
        <v>89</v>
      </c>
      <c r="AS9843" t="s">
        <v>90</v>
      </c>
      <c r="AT9843" t="s">
        <v>58</v>
      </c>
      <c r="AU9843" t="s">
        <v>68</v>
      </c>
      <c r="AV9843" t="s">
        <v>69</v>
      </c>
      <c r="AW9843" s="1">
        <v>23507</v>
      </c>
      <c r="AX9843">
        <v>1</v>
      </c>
    </row>
    <row r="9844" spans="1:50">
      <c r="B9844" t="str">
        <f>"105292696"</f>
        <v>105292696</v>
      </c>
      <c r="C9844" t="s">
        <v>50</v>
      </c>
      <c r="D9844" t="s">
        <v>14794</v>
      </c>
      <c r="E9844" t="s">
        <v>316</v>
      </c>
      <c r="F9844" t="s">
        <v>309</v>
      </c>
      <c r="G9844" t="s">
        <v>5201</v>
      </c>
      <c r="H9844" t="str">
        <f>"Λ. ΑΝΑΣΤΑΣΙΑΔΗ 2-ΑΡΓΟΣ ΟΡΕΣΤΙΚΟ "</f>
        <v xml:space="preserve">Λ. ΑΝΑΣΤΑΣΙΑΔΗ 2-ΑΡΓΟΣ ΟΡΕΣΤΙΚΟ </v>
      </c>
      <c r="I9844">
        <v>52200</v>
      </c>
      <c r="J9844">
        <v>2467044198</v>
      </c>
      <c r="K9844">
        <v>6947449843</v>
      </c>
      <c r="N9844" t="s">
        <v>615</v>
      </c>
      <c r="O9844" t="s">
        <v>616</v>
      </c>
      <c r="R9844" t="s">
        <v>159</v>
      </c>
      <c r="S9844">
        <v>3</v>
      </c>
      <c r="T9844" t="s">
        <v>8675</v>
      </c>
      <c r="U9844" s="1">
        <v>43348</v>
      </c>
      <c r="V9844" t="s">
        <v>89</v>
      </c>
      <c r="W9844" t="s">
        <v>90</v>
      </c>
      <c r="X9844" t="s">
        <v>58</v>
      </c>
      <c r="Y9844">
        <v>24</v>
      </c>
      <c r="Z9844" t="s">
        <v>59</v>
      </c>
      <c r="AA9844" t="s">
        <v>59</v>
      </c>
      <c r="AB9844" t="s">
        <v>59</v>
      </c>
      <c r="AC9844" t="s">
        <v>59</v>
      </c>
      <c r="AD9844" t="s">
        <v>59</v>
      </c>
      <c r="AF9844" s="1">
        <v>43348</v>
      </c>
      <c r="AG9844" t="s">
        <v>8645</v>
      </c>
      <c r="AH9844" t="s">
        <v>8646</v>
      </c>
      <c r="AI9844" t="str">
        <f>"9500017"</f>
        <v>9500017</v>
      </c>
      <c r="AJ9844" t="s">
        <v>13873</v>
      </c>
      <c r="AK9844">
        <v>2825083173</v>
      </c>
      <c r="AL9844" t="s">
        <v>13874</v>
      </c>
      <c r="AM9844" t="s">
        <v>88</v>
      </c>
      <c r="AN9844" t="s">
        <v>6775</v>
      </c>
      <c r="AO9844" t="s">
        <v>11883</v>
      </c>
      <c r="AP9844" t="s">
        <v>13875</v>
      </c>
      <c r="AQ9844">
        <v>7</v>
      </c>
      <c r="AR9844" t="s">
        <v>89</v>
      </c>
      <c r="AS9844" t="s">
        <v>90</v>
      </c>
      <c r="AT9844" t="s">
        <v>58</v>
      </c>
      <c r="AU9844" t="s">
        <v>8673</v>
      </c>
      <c r="AV9844" t="s">
        <v>132</v>
      </c>
      <c r="AW9844" s="1">
        <v>31566</v>
      </c>
      <c r="AX9844">
        <v>1</v>
      </c>
    </row>
    <row r="9845" spans="1:50">
      <c r="B9845" t="str">
        <f>"103867347"</f>
        <v>103867347</v>
      </c>
      <c r="C9845" t="s">
        <v>50</v>
      </c>
      <c r="D9845" t="s">
        <v>14794</v>
      </c>
      <c r="E9845" t="s">
        <v>714</v>
      </c>
      <c r="F9845" t="s">
        <v>459</v>
      </c>
      <c r="G9845" t="s">
        <v>5180</v>
      </c>
      <c r="H9845" t="str">
        <f>"ΧΡΥΣΟΣΤΟΜΟΥ ΣΜΥΡΝΗΣ 65 "</f>
        <v xml:space="preserve">ΧΡΥΣΟΣΤΟΜΟΥ ΣΜΥΡΝΗΣ 65 </v>
      </c>
      <c r="I9845">
        <v>11144</v>
      </c>
      <c r="J9845">
        <v>2102012126</v>
      </c>
      <c r="K9845">
        <v>6936416371</v>
      </c>
      <c r="N9845" t="s">
        <v>683</v>
      </c>
      <c r="O9845" t="s">
        <v>684</v>
      </c>
      <c r="R9845" t="s">
        <v>159</v>
      </c>
      <c r="S9845">
        <v>3</v>
      </c>
      <c r="T9845" t="s">
        <v>8675</v>
      </c>
      <c r="U9845" s="1">
        <v>43348</v>
      </c>
      <c r="V9845" t="s">
        <v>89</v>
      </c>
      <c r="W9845" t="s">
        <v>90</v>
      </c>
      <c r="X9845" t="s">
        <v>58</v>
      </c>
      <c r="Y9845">
        <v>24</v>
      </c>
      <c r="Z9845" t="s">
        <v>59</v>
      </c>
      <c r="AA9845" t="s">
        <v>59</v>
      </c>
      <c r="AB9845" t="s">
        <v>59</v>
      </c>
      <c r="AC9845" t="s">
        <v>59</v>
      </c>
      <c r="AD9845" t="s">
        <v>59</v>
      </c>
      <c r="AF9845" s="1">
        <v>43348</v>
      </c>
      <c r="AG9845" t="s">
        <v>8645</v>
      </c>
      <c r="AH9845" t="s">
        <v>8646</v>
      </c>
      <c r="AI9845" t="str">
        <f>"9500139"</f>
        <v>9500139</v>
      </c>
      <c r="AJ9845" t="s">
        <v>14050</v>
      </c>
      <c r="AK9845">
        <v>2821096819</v>
      </c>
      <c r="AL9845" t="s">
        <v>14051</v>
      </c>
      <c r="AM9845" t="s">
        <v>88</v>
      </c>
      <c r="AN9845" t="s">
        <v>88</v>
      </c>
      <c r="AO9845" t="s">
        <v>88</v>
      </c>
      <c r="AP9845" t="s">
        <v>88</v>
      </c>
      <c r="AQ9845">
        <v>1</v>
      </c>
      <c r="AR9845" t="s">
        <v>89</v>
      </c>
      <c r="AS9845" t="s">
        <v>90</v>
      </c>
      <c r="AT9845" t="s">
        <v>58</v>
      </c>
      <c r="AU9845" t="s">
        <v>8673</v>
      </c>
      <c r="AV9845" t="s">
        <v>132</v>
      </c>
      <c r="AW9845" s="1">
        <v>28184</v>
      </c>
      <c r="AX9845">
        <v>1</v>
      </c>
    </row>
    <row r="9846" spans="1:50">
      <c r="A9846">
        <v>619746</v>
      </c>
      <c r="B9846" t="str">
        <f>"140926168"</f>
        <v>140926168</v>
      </c>
      <c r="C9846" t="s">
        <v>50</v>
      </c>
      <c r="D9846" t="s">
        <v>3604</v>
      </c>
      <c r="E9846" t="s">
        <v>4361</v>
      </c>
      <c r="F9846" t="s">
        <v>72</v>
      </c>
      <c r="G9846" t="s">
        <v>1170</v>
      </c>
      <c r="H9846" t="str">
        <f>"ΠΑΠΑΝΑΣΤΑΣΙΟΥ 48 ΧΑΝΙΑ"</f>
        <v>ΠΑΠΑΝΑΣΤΑΣΙΟΥ 48 ΧΑΝΙΑ</v>
      </c>
      <c r="I9846">
        <v>73100</v>
      </c>
      <c r="J9846">
        <v>2821058110</v>
      </c>
      <c r="K9846">
        <v>6973433951</v>
      </c>
      <c r="M9846" t="s">
        <v>14795</v>
      </c>
      <c r="N9846" t="s">
        <v>306</v>
      </c>
      <c r="O9846" t="s">
        <v>307</v>
      </c>
      <c r="R9846" t="s">
        <v>57</v>
      </c>
      <c r="S9846">
        <v>6</v>
      </c>
      <c r="T9846">
        <v>775</v>
      </c>
      <c r="U9846" s="1">
        <v>39680</v>
      </c>
      <c r="V9846" t="s">
        <v>89</v>
      </c>
      <c r="W9846" t="s">
        <v>90</v>
      </c>
      <c r="X9846" t="s">
        <v>58</v>
      </c>
      <c r="Y9846">
        <v>24</v>
      </c>
      <c r="Z9846" t="s">
        <v>59</v>
      </c>
      <c r="AA9846" t="s">
        <v>59</v>
      </c>
      <c r="AB9846" t="s">
        <v>59</v>
      </c>
      <c r="AC9846" t="s">
        <v>59</v>
      </c>
      <c r="AD9846" t="s">
        <v>59</v>
      </c>
      <c r="AF9846" s="1">
        <v>39682</v>
      </c>
      <c r="AG9846" t="s">
        <v>8645</v>
      </c>
      <c r="AH9846" t="s">
        <v>8646</v>
      </c>
      <c r="AI9846" t="str">
        <f>"9500077"</f>
        <v>9500077</v>
      </c>
      <c r="AJ9846" t="s">
        <v>13903</v>
      </c>
      <c r="AK9846">
        <v>2821054404</v>
      </c>
      <c r="AL9846" t="s">
        <v>13904</v>
      </c>
      <c r="AM9846" t="s">
        <v>88</v>
      </c>
      <c r="AN9846" t="s">
        <v>88</v>
      </c>
      <c r="AO9846" t="s">
        <v>88</v>
      </c>
      <c r="AP9846" t="s">
        <v>88</v>
      </c>
      <c r="AQ9846">
        <v>1</v>
      </c>
      <c r="AR9846" t="s">
        <v>89</v>
      </c>
      <c r="AS9846" t="s">
        <v>90</v>
      </c>
      <c r="AT9846" t="s">
        <v>58</v>
      </c>
      <c r="AU9846" t="s">
        <v>68</v>
      </c>
      <c r="AV9846" t="s">
        <v>69</v>
      </c>
      <c r="AW9846" s="1">
        <v>30123</v>
      </c>
      <c r="AX9846">
        <v>1</v>
      </c>
    </row>
    <row r="9847" spans="1:50">
      <c r="A9847">
        <v>623001</v>
      </c>
      <c r="B9847" t="str">
        <f>"140927221"</f>
        <v>140927221</v>
      </c>
      <c r="C9847" t="s">
        <v>50</v>
      </c>
      <c r="D9847" t="s">
        <v>3604</v>
      </c>
      <c r="E9847" t="s">
        <v>14796</v>
      </c>
      <c r="F9847" t="s">
        <v>72</v>
      </c>
      <c r="G9847" t="s">
        <v>1170</v>
      </c>
      <c r="H9847" t="str">
        <f>"ΠΑΠΑΝΑΣΤΑΣΙΟΥ 48 ΧΑΝΙΑ"</f>
        <v>ΠΑΠΑΝΑΣΤΑΣΙΟΥ 48 ΧΑΝΙΑ</v>
      </c>
      <c r="I9847">
        <v>73134</v>
      </c>
      <c r="J9847">
        <v>2821058110</v>
      </c>
      <c r="K9847">
        <v>6973433968</v>
      </c>
      <c r="M9847" t="s">
        <v>14797</v>
      </c>
      <c r="N9847" t="s">
        <v>306</v>
      </c>
      <c r="O9847" t="s">
        <v>307</v>
      </c>
      <c r="R9847" t="s">
        <v>57</v>
      </c>
      <c r="S9847">
        <v>6</v>
      </c>
      <c r="T9847">
        <v>720</v>
      </c>
      <c r="U9847" s="1">
        <v>40059</v>
      </c>
      <c r="V9847" t="s">
        <v>89</v>
      </c>
      <c r="W9847" t="s">
        <v>90</v>
      </c>
      <c r="X9847" t="s">
        <v>58</v>
      </c>
      <c r="Y9847">
        <v>23</v>
      </c>
      <c r="Z9847" t="s">
        <v>59</v>
      </c>
      <c r="AA9847" t="s">
        <v>59</v>
      </c>
      <c r="AB9847" t="s">
        <v>59</v>
      </c>
      <c r="AC9847" t="s">
        <v>59</v>
      </c>
      <c r="AD9847" t="s">
        <v>59</v>
      </c>
      <c r="AF9847" s="1">
        <v>40064</v>
      </c>
      <c r="AG9847" t="s">
        <v>8645</v>
      </c>
      <c r="AH9847" t="s">
        <v>8646</v>
      </c>
      <c r="AI9847" t="str">
        <f>"9500320"</f>
        <v>9500320</v>
      </c>
      <c r="AJ9847" t="s">
        <v>14100</v>
      </c>
      <c r="AK9847">
        <v>2821099577</v>
      </c>
      <c r="AL9847" t="s">
        <v>14101</v>
      </c>
      <c r="AM9847" t="s">
        <v>88</v>
      </c>
      <c r="AN9847" t="s">
        <v>88</v>
      </c>
      <c r="AO9847" t="s">
        <v>88</v>
      </c>
      <c r="AP9847" t="s">
        <v>88</v>
      </c>
      <c r="AQ9847">
        <v>1</v>
      </c>
      <c r="AR9847" t="s">
        <v>89</v>
      </c>
      <c r="AS9847" t="s">
        <v>90</v>
      </c>
      <c r="AT9847" t="s">
        <v>58</v>
      </c>
      <c r="AU9847" t="s">
        <v>68</v>
      </c>
      <c r="AV9847" t="s">
        <v>69</v>
      </c>
      <c r="AW9847" s="1">
        <v>31067</v>
      </c>
      <c r="AX9847">
        <v>1</v>
      </c>
    </row>
    <row r="9848" spans="1:50">
      <c r="A9848">
        <v>606471</v>
      </c>
      <c r="B9848" t="str">
        <f>"035978106"</f>
        <v>035978106</v>
      </c>
      <c r="C9848" t="s">
        <v>50</v>
      </c>
      <c r="D9848" t="s">
        <v>14798</v>
      </c>
      <c r="E9848" t="s">
        <v>52</v>
      </c>
      <c r="F9848" t="s">
        <v>900</v>
      </c>
      <c r="G9848" t="s">
        <v>54</v>
      </c>
      <c r="H9848" t="str">
        <f>"ΑΓ. ΝΙΚΟΛΑΟΥ ΑΡΩΝΙ-ΧΑΝΙΑ"</f>
        <v>ΑΓ. ΝΙΚΟΛΑΟΥ ΑΡΩΝΙ-ΧΑΝΙΑ</v>
      </c>
      <c r="I9848">
        <v>73100</v>
      </c>
      <c r="J9848">
        <v>2821063976</v>
      </c>
      <c r="K9848">
        <v>6974827078</v>
      </c>
      <c r="N9848" t="s">
        <v>1525</v>
      </c>
      <c r="O9848" t="s">
        <v>1526</v>
      </c>
      <c r="R9848" t="s">
        <v>57</v>
      </c>
      <c r="S9848">
        <v>9</v>
      </c>
      <c r="T9848">
        <v>231</v>
      </c>
      <c r="U9848" s="1">
        <v>38230</v>
      </c>
      <c r="V9848" t="s">
        <v>89</v>
      </c>
      <c r="W9848" t="s">
        <v>90</v>
      </c>
      <c r="X9848" t="s">
        <v>58</v>
      </c>
      <c r="Y9848">
        <v>25</v>
      </c>
      <c r="Z9848" t="s">
        <v>59</v>
      </c>
      <c r="AA9848" t="s">
        <v>59</v>
      </c>
      <c r="AB9848" t="s">
        <v>59</v>
      </c>
      <c r="AC9848" t="s">
        <v>59</v>
      </c>
      <c r="AD9848" t="s">
        <v>59</v>
      </c>
      <c r="AF9848" s="1">
        <v>38232</v>
      </c>
      <c r="AG9848" t="s">
        <v>8651</v>
      </c>
      <c r="AH9848" t="s">
        <v>8652</v>
      </c>
      <c r="AI9848" t="str">
        <f>"9500309"</f>
        <v>9500309</v>
      </c>
      <c r="AJ9848" t="s">
        <v>14248</v>
      </c>
      <c r="AK9848">
        <v>2821066285</v>
      </c>
      <c r="AL9848" t="s">
        <v>14249</v>
      </c>
      <c r="AM9848" t="s">
        <v>88</v>
      </c>
      <c r="AN9848" t="s">
        <v>88</v>
      </c>
      <c r="AO9848" t="s">
        <v>6770</v>
      </c>
      <c r="AP9848" t="s">
        <v>14090</v>
      </c>
      <c r="AQ9848">
        <v>2</v>
      </c>
      <c r="AR9848" t="s">
        <v>89</v>
      </c>
      <c r="AS9848" t="s">
        <v>90</v>
      </c>
      <c r="AT9848" t="s">
        <v>58</v>
      </c>
      <c r="AU9848" t="s">
        <v>68</v>
      </c>
      <c r="AV9848" t="s">
        <v>69</v>
      </c>
      <c r="AW9848" s="1">
        <v>24355</v>
      </c>
      <c r="AX9848">
        <v>1</v>
      </c>
    </row>
    <row r="9849" spans="1:50">
      <c r="B9849" t="str">
        <f>"101550895"</f>
        <v>101550895</v>
      </c>
      <c r="C9849" t="s">
        <v>50</v>
      </c>
      <c r="D9849" t="s">
        <v>14798</v>
      </c>
      <c r="E9849" t="s">
        <v>681</v>
      </c>
      <c r="F9849" t="s">
        <v>154</v>
      </c>
      <c r="G9849" t="s">
        <v>73</v>
      </c>
      <c r="H9849" t="str">
        <f>"Γ. ΚΟΥΡΗ 6 ΧΑΝΙΑ"</f>
        <v>Γ. ΚΟΥΡΗ 6 ΧΑΝΙΑ</v>
      </c>
      <c r="I9849">
        <v>73134</v>
      </c>
      <c r="J9849">
        <v>2821072046</v>
      </c>
      <c r="K9849">
        <v>6944831535</v>
      </c>
      <c r="N9849" t="s">
        <v>337</v>
      </c>
      <c r="O9849" t="s">
        <v>338</v>
      </c>
      <c r="R9849" t="s">
        <v>159</v>
      </c>
      <c r="S9849">
        <v>4</v>
      </c>
      <c r="T9849" t="s">
        <v>8675</v>
      </c>
      <c r="U9849" s="1">
        <v>43348</v>
      </c>
      <c r="V9849" t="s">
        <v>89</v>
      </c>
      <c r="W9849" t="s">
        <v>90</v>
      </c>
      <c r="X9849" t="s">
        <v>58</v>
      </c>
      <c r="Y9849">
        <v>24</v>
      </c>
      <c r="Z9849" t="s">
        <v>59</v>
      </c>
      <c r="AA9849" t="s">
        <v>59</v>
      </c>
      <c r="AB9849" t="s">
        <v>59</v>
      </c>
      <c r="AC9849" t="s">
        <v>59</v>
      </c>
      <c r="AD9849" t="s">
        <v>59</v>
      </c>
      <c r="AF9849" s="1">
        <v>43348</v>
      </c>
      <c r="AG9849" t="s">
        <v>8645</v>
      </c>
      <c r="AH9849" t="s">
        <v>8646</v>
      </c>
      <c r="AI9849" t="str">
        <f>"9500035"</f>
        <v>9500035</v>
      </c>
      <c r="AJ9849" t="s">
        <v>13979</v>
      </c>
      <c r="AK9849">
        <v>2821094678</v>
      </c>
      <c r="AL9849" t="s">
        <v>13980</v>
      </c>
      <c r="AM9849" t="s">
        <v>88</v>
      </c>
      <c r="AN9849" t="s">
        <v>88</v>
      </c>
      <c r="AO9849" t="s">
        <v>88</v>
      </c>
      <c r="AP9849" t="s">
        <v>88</v>
      </c>
      <c r="AQ9849">
        <v>2</v>
      </c>
      <c r="AR9849" t="s">
        <v>89</v>
      </c>
      <c r="AS9849" t="s">
        <v>90</v>
      </c>
      <c r="AT9849" t="s">
        <v>58</v>
      </c>
      <c r="AU9849" t="s">
        <v>8673</v>
      </c>
      <c r="AV9849" t="s">
        <v>132</v>
      </c>
      <c r="AW9849" s="1">
        <v>29191</v>
      </c>
      <c r="AX9849">
        <v>1</v>
      </c>
    </row>
    <row r="9850" spans="1:50">
      <c r="B9850" t="str">
        <f>"127816981"</f>
        <v>127816981</v>
      </c>
      <c r="C9850" t="s">
        <v>50</v>
      </c>
      <c r="D9850" t="s">
        <v>14799</v>
      </c>
      <c r="E9850" t="s">
        <v>396</v>
      </c>
      <c r="F9850" t="s">
        <v>53</v>
      </c>
      <c r="G9850" t="s">
        <v>742</v>
      </c>
      <c r="H9850" t="str">
        <f>"ΕΘΝΑΡΧΟΥ ΜΑΚΑΡΙΟΥ ΚΑΙ ΑΓ. ΒΑΡΒΑΡΑΣ 25-27 "</f>
        <v xml:space="preserve">ΕΘΝΑΡΧΟΥ ΜΑΚΑΡΙΟΥ ΚΑΙ ΑΓ. ΒΑΡΒΑΡΑΣ 25-27 </v>
      </c>
      <c r="I9850">
        <v>17235</v>
      </c>
      <c r="J9850">
        <v>2753061548</v>
      </c>
      <c r="K9850">
        <v>6981115243</v>
      </c>
      <c r="N9850" t="s">
        <v>1525</v>
      </c>
      <c r="O9850" t="s">
        <v>1526</v>
      </c>
      <c r="R9850" t="s">
        <v>159</v>
      </c>
      <c r="S9850">
        <v>3</v>
      </c>
      <c r="T9850" t="s">
        <v>8670</v>
      </c>
      <c r="U9850" s="1">
        <v>43348</v>
      </c>
      <c r="V9850" t="s">
        <v>89</v>
      </c>
      <c r="W9850" t="s">
        <v>90</v>
      </c>
      <c r="X9850" t="s">
        <v>58</v>
      </c>
      <c r="Y9850">
        <v>25</v>
      </c>
      <c r="Z9850" t="s">
        <v>59</v>
      </c>
      <c r="AA9850" t="s">
        <v>59</v>
      </c>
      <c r="AB9850" t="s">
        <v>59</v>
      </c>
      <c r="AC9850" t="s">
        <v>59</v>
      </c>
      <c r="AD9850" t="s">
        <v>59</v>
      </c>
      <c r="AF9850" s="1">
        <v>43348</v>
      </c>
      <c r="AG9850" t="s">
        <v>8651</v>
      </c>
      <c r="AH9850" t="s">
        <v>8652</v>
      </c>
      <c r="AI9850" t="str">
        <f>"9500312"</f>
        <v>9500312</v>
      </c>
      <c r="AJ9850" t="s">
        <v>14524</v>
      </c>
      <c r="AK9850">
        <v>2822023924</v>
      </c>
      <c r="AL9850" t="s">
        <v>14525</v>
      </c>
      <c r="AM9850" t="s">
        <v>88</v>
      </c>
      <c r="AN9850" t="s">
        <v>6744</v>
      </c>
      <c r="AO9850" t="s">
        <v>6744</v>
      </c>
      <c r="AP9850" t="s">
        <v>14526</v>
      </c>
      <c r="AQ9850">
        <v>9</v>
      </c>
      <c r="AR9850" t="s">
        <v>89</v>
      </c>
      <c r="AS9850" t="s">
        <v>90</v>
      </c>
      <c r="AT9850" t="s">
        <v>58</v>
      </c>
      <c r="AU9850" t="s">
        <v>8673</v>
      </c>
      <c r="AV9850" t="s">
        <v>132</v>
      </c>
      <c r="AW9850" s="1">
        <v>31219</v>
      </c>
      <c r="AX9850">
        <v>1</v>
      </c>
    </row>
    <row r="9851" spans="1:50">
      <c r="B9851" t="str">
        <f>"149202540"</f>
        <v>149202540</v>
      </c>
      <c r="C9851" t="s">
        <v>50</v>
      </c>
      <c r="D9851" t="s">
        <v>2263</v>
      </c>
      <c r="E9851" t="s">
        <v>52</v>
      </c>
      <c r="F9851" t="s">
        <v>95</v>
      </c>
      <c r="G9851" t="s">
        <v>396</v>
      </c>
      <c r="H9851" t="str">
        <f>" "</f>
        <v xml:space="preserve"> </v>
      </c>
      <c r="N9851" t="s">
        <v>683</v>
      </c>
      <c r="O9851" t="s">
        <v>684</v>
      </c>
      <c r="R9851" t="s">
        <v>121</v>
      </c>
      <c r="S9851">
        <v>1</v>
      </c>
      <c r="T9851" t="s">
        <v>8675</v>
      </c>
      <c r="U9851" s="1">
        <v>43348</v>
      </c>
      <c r="V9851" t="s">
        <v>89</v>
      </c>
      <c r="W9851" t="s">
        <v>90</v>
      </c>
      <c r="X9851" t="s">
        <v>58</v>
      </c>
      <c r="Y9851">
        <v>24</v>
      </c>
      <c r="Z9851" t="s">
        <v>59</v>
      </c>
      <c r="AD9851" t="s">
        <v>59</v>
      </c>
      <c r="AF9851" s="1">
        <v>43348</v>
      </c>
      <c r="AG9851" t="s">
        <v>8645</v>
      </c>
      <c r="AH9851" t="s">
        <v>8646</v>
      </c>
      <c r="AI9851" t="str">
        <f>"9500358"</f>
        <v>9500358</v>
      </c>
      <c r="AJ9851" t="s">
        <v>13948</v>
      </c>
      <c r="AK9851">
        <v>2821093459</v>
      </c>
      <c r="AL9851" t="s">
        <v>13949</v>
      </c>
      <c r="AM9851" t="s">
        <v>88</v>
      </c>
      <c r="AN9851" t="s">
        <v>88</v>
      </c>
      <c r="AO9851" t="s">
        <v>6733</v>
      </c>
      <c r="AP9851" t="s">
        <v>6755</v>
      </c>
      <c r="AQ9851">
        <v>2</v>
      </c>
      <c r="AR9851" t="s">
        <v>89</v>
      </c>
      <c r="AS9851" t="s">
        <v>90</v>
      </c>
      <c r="AT9851" t="s">
        <v>58</v>
      </c>
      <c r="AU9851" t="s">
        <v>8673</v>
      </c>
      <c r="AV9851" t="s">
        <v>132</v>
      </c>
      <c r="AW9851" s="1">
        <v>32631</v>
      </c>
      <c r="AX9851">
        <v>1</v>
      </c>
    </row>
    <row r="9852" spans="1:50">
      <c r="A9852">
        <v>704020</v>
      </c>
      <c r="B9852" t="str">
        <f>"139926313"</f>
        <v>139926313</v>
      </c>
      <c r="C9852" t="s">
        <v>50</v>
      </c>
      <c r="D9852" t="s">
        <v>14800</v>
      </c>
      <c r="E9852" t="s">
        <v>52</v>
      </c>
      <c r="F9852" t="s">
        <v>646</v>
      </c>
      <c r="G9852" t="s">
        <v>255</v>
      </c>
      <c r="H9852" t="str">
        <f>"ΦΛΟΙΑΣ 44 "</f>
        <v xml:space="preserve">ΦΛΟΙΑΣ 44 </v>
      </c>
      <c r="I9852">
        <v>15125</v>
      </c>
      <c r="J9852">
        <v>2108020357</v>
      </c>
      <c r="K9852">
        <v>6938132467</v>
      </c>
      <c r="N9852" t="s">
        <v>1525</v>
      </c>
      <c r="O9852" t="s">
        <v>1526</v>
      </c>
      <c r="R9852" t="s">
        <v>57</v>
      </c>
      <c r="S9852">
        <v>3</v>
      </c>
      <c r="T9852">
        <v>1350</v>
      </c>
      <c r="U9852" s="1">
        <v>42732</v>
      </c>
      <c r="V9852" t="s">
        <v>89</v>
      </c>
      <c r="W9852" t="s">
        <v>90</v>
      </c>
      <c r="X9852" t="s">
        <v>58</v>
      </c>
      <c r="Y9852">
        <v>25</v>
      </c>
      <c r="Z9852" t="s">
        <v>59</v>
      </c>
      <c r="AA9852" t="s">
        <v>59</v>
      </c>
      <c r="AB9852" t="s">
        <v>59</v>
      </c>
      <c r="AC9852" t="s">
        <v>59</v>
      </c>
      <c r="AD9852" t="s">
        <v>59</v>
      </c>
      <c r="AF9852" s="1">
        <v>42734</v>
      </c>
      <c r="AG9852" t="s">
        <v>8651</v>
      </c>
      <c r="AH9852" t="s">
        <v>8652</v>
      </c>
      <c r="AI9852" t="str">
        <f>"9500385"</f>
        <v>9500385</v>
      </c>
      <c r="AJ9852" t="s">
        <v>14129</v>
      </c>
      <c r="AK9852">
        <v>2822022513</v>
      </c>
      <c r="AL9852" t="s">
        <v>14130</v>
      </c>
      <c r="AM9852" t="s">
        <v>88</v>
      </c>
      <c r="AN9852" t="s">
        <v>6744</v>
      </c>
      <c r="AO9852" t="s">
        <v>6744</v>
      </c>
      <c r="AP9852" t="s">
        <v>6744</v>
      </c>
      <c r="AQ9852">
        <v>9</v>
      </c>
      <c r="AR9852" t="s">
        <v>89</v>
      </c>
      <c r="AS9852" t="s">
        <v>90</v>
      </c>
      <c r="AT9852" t="s">
        <v>58</v>
      </c>
      <c r="AU9852" t="s">
        <v>68</v>
      </c>
      <c r="AV9852" t="s">
        <v>69</v>
      </c>
      <c r="AW9852" s="1">
        <v>30365</v>
      </c>
      <c r="AX9852">
        <v>1</v>
      </c>
    </row>
    <row r="9853" spans="1:50">
      <c r="B9853" t="str">
        <f>"145846249"</f>
        <v>145846249</v>
      </c>
      <c r="C9853" t="s">
        <v>50</v>
      </c>
      <c r="D9853" t="s">
        <v>14801</v>
      </c>
      <c r="E9853" t="s">
        <v>263</v>
      </c>
      <c r="F9853" t="s">
        <v>53</v>
      </c>
      <c r="G9853" t="s">
        <v>83</v>
      </c>
      <c r="H9853" t="str">
        <f>" "</f>
        <v xml:space="preserve"> </v>
      </c>
      <c r="N9853" t="s">
        <v>683</v>
      </c>
      <c r="O9853" t="s">
        <v>684</v>
      </c>
      <c r="R9853" t="s">
        <v>121</v>
      </c>
      <c r="S9853">
        <v>1</v>
      </c>
      <c r="T9853" t="s">
        <v>9034</v>
      </c>
      <c r="U9853" s="1">
        <v>43377</v>
      </c>
      <c r="V9853" t="s">
        <v>89</v>
      </c>
      <c r="W9853" t="s">
        <v>90</v>
      </c>
      <c r="X9853" t="s">
        <v>58</v>
      </c>
      <c r="Y9853">
        <v>15</v>
      </c>
      <c r="Z9853" t="s">
        <v>59</v>
      </c>
      <c r="AD9853" t="s">
        <v>59</v>
      </c>
      <c r="AF9853" s="1">
        <v>43377</v>
      </c>
      <c r="AG9853" t="s">
        <v>8645</v>
      </c>
      <c r="AH9853" t="s">
        <v>8646</v>
      </c>
      <c r="AI9853" t="str">
        <f>"9500114"</f>
        <v>9500114</v>
      </c>
      <c r="AJ9853" t="s">
        <v>14013</v>
      </c>
      <c r="AK9853">
        <v>2821063458</v>
      </c>
      <c r="AL9853" t="s">
        <v>14014</v>
      </c>
      <c r="AM9853" t="s">
        <v>88</v>
      </c>
      <c r="AN9853" t="s">
        <v>88</v>
      </c>
      <c r="AO9853" t="s">
        <v>6770</v>
      </c>
      <c r="AP9853" t="s">
        <v>14015</v>
      </c>
      <c r="AQ9853">
        <v>2</v>
      </c>
      <c r="AR9853" t="s">
        <v>89</v>
      </c>
      <c r="AS9853" t="s">
        <v>90</v>
      </c>
      <c r="AT9853" t="s">
        <v>58</v>
      </c>
      <c r="AU9853" t="s">
        <v>8686</v>
      </c>
      <c r="AV9853" t="s">
        <v>132</v>
      </c>
      <c r="AW9853" s="1">
        <v>34304</v>
      </c>
      <c r="AX9853">
        <v>1</v>
      </c>
    </row>
    <row r="9854" spans="1:50">
      <c r="A9854">
        <v>567853</v>
      </c>
      <c r="B9854" t="str">
        <f>"039892351"</f>
        <v>039892351</v>
      </c>
      <c r="C9854" t="s">
        <v>50</v>
      </c>
      <c r="D9854" t="s">
        <v>2269</v>
      </c>
      <c r="E9854" t="s">
        <v>964</v>
      </c>
      <c r="F9854" t="s">
        <v>53</v>
      </c>
      <c r="G9854" t="s">
        <v>3397</v>
      </c>
      <c r="H9854" t="str">
        <f>"Ξέπαπα 3 Χανιά"</f>
        <v>Ξέπαπα 3 Χανιά</v>
      </c>
      <c r="I9854">
        <v>73100</v>
      </c>
      <c r="J9854">
        <v>2821086697</v>
      </c>
      <c r="N9854" t="s">
        <v>1525</v>
      </c>
      <c r="O9854" t="s">
        <v>1526</v>
      </c>
      <c r="R9854" t="s">
        <v>57</v>
      </c>
      <c r="S9854">
        <v>14</v>
      </c>
      <c r="T9854">
        <v>133</v>
      </c>
      <c r="U9854" s="1">
        <v>33456</v>
      </c>
      <c r="V9854" t="s">
        <v>89</v>
      </c>
      <c r="W9854" t="s">
        <v>90</v>
      </c>
      <c r="X9854" t="s">
        <v>58</v>
      </c>
      <c r="Y9854">
        <v>25</v>
      </c>
      <c r="Z9854" t="s">
        <v>59</v>
      </c>
      <c r="AA9854" t="s">
        <v>59</v>
      </c>
      <c r="AB9854" t="s">
        <v>59</v>
      </c>
      <c r="AC9854" t="s">
        <v>59</v>
      </c>
      <c r="AD9854" t="s">
        <v>59</v>
      </c>
      <c r="AF9854" s="1">
        <v>33483</v>
      </c>
      <c r="AG9854" t="s">
        <v>8651</v>
      </c>
      <c r="AH9854" t="s">
        <v>8652</v>
      </c>
      <c r="AI9854" t="str">
        <f>"9500347"</f>
        <v>9500347</v>
      </c>
      <c r="AJ9854" t="s">
        <v>14802</v>
      </c>
      <c r="AK9854">
        <v>2821092365</v>
      </c>
      <c r="AL9854" t="s">
        <v>14803</v>
      </c>
      <c r="AM9854" t="s">
        <v>88</v>
      </c>
      <c r="AN9854" t="s">
        <v>88</v>
      </c>
      <c r="AO9854" t="s">
        <v>88</v>
      </c>
      <c r="AP9854" t="s">
        <v>88</v>
      </c>
      <c r="AQ9854">
        <v>1</v>
      </c>
      <c r="AR9854" t="s">
        <v>89</v>
      </c>
      <c r="AS9854" t="s">
        <v>90</v>
      </c>
      <c r="AT9854" t="s">
        <v>58</v>
      </c>
      <c r="AU9854" t="s">
        <v>68</v>
      </c>
      <c r="AV9854" t="s">
        <v>69</v>
      </c>
      <c r="AW9854" s="1">
        <v>23913</v>
      </c>
      <c r="AX9854">
        <v>1</v>
      </c>
    </row>
    <row r="9855" spans="1:50">
      <c r="A9855">
        <v>602257</v>
      </c>
      <c r="B9855" t="str">
        <f>"057079148"</f>
        <v>057079148</v>
      </c>
      <c r="C9855" t="s">
        <v>50</v>
      </c>
      <c r="D9855" t="s">
        <v>2269</v>
      </c>
      <c r="E9855" t="s">
        <v>14804</v>
      </c>
      <c r="F9855" t="s">
        <v>84</v>
      </c>
      <c r="G9855" t="s">
        <v>83</v>
      </c>
      <c r="H9855" t="str">
        <f>"ΑΓΝΩΣΤΟΥ ΣΤΡΑΤΙΩΤΗ 29 ΧΑΝΙΑ"</f>
        <v>ΑΓΝΩΣΤΟΥ ΣΤΡΑΤΙΩΤΗ 29 ΧΑΝΙΑ</v>
      </c>
      <c r="I9855">
        <v>73100</v>
      </c>
      <c r="J9855">
        <v>2821040933</v>
      </c>
      <c r="K9855">
        <v>6948517718</v>
      </c>
      <c r="M9855" t="s">
        <v>14805</v>
      </c>
      <c r="N9855" t="s">
        <v>615</v>
      </c>
      <c r="O9855" t="s">
        <v>616</v>
      </c>
      <c r="R9855" t="s">
        <v>57</v>
      </c>
      <c r="S9855">
        <v>10</v>
      </c>
      <c r="T9855">
        <v>207</v>
      </c>
      <c r="U9855" s="1">
        <v>37866</v>
      </c>
      <c r="V9855" t="s">
        <v>89</v>
      </c>
      <c r="W9855" t="s">
        <v>90</v>
      </c>
      <c r="X9855" t="s">
        <v>58</v>
      </c>
      <c r="Y9855">
        <v>22</v>
      </c>
      <c r="Z9855" t="s">
        <v>59</v>
      </c>
      <c r="AA9855" t="s">
        <v>59</v>
      </c>
      <c r="AB9855" t="s">
        <v>59</v>
      </c>
      <c r="AC9855" t="s">
        <v>59</v>
      </c>
      <c r="AD9855" t="s">
        <v>59</v>
      </c>
      <c r="AF9855" s="1">
        <v>37866</v>
      </c>
      <c r="AG9855" t="s">
        <v>8645</v>
      </c>
      <c r="AH9855" t="s">
        <v>8646</v>
      </c>
      <c r="AI9855" t="str">
        <f>"9500329"</f>
        <v>9500329</v>
      </c>
      <c r="AJ9855" t="s">
        <v>14241</v>
      </c>
      <c r="AK9855">
        <v>2821099075</v>
      </c>
      <c r="AL9855" t="s">
        <v>14242</v>
      </c>
      <c r="AM9855" t="s">
        <v>88</v>
      </c>
      <c r="AN9855" t="s">
        <v>88</v>
      </c>
      <c r="AO9855" t="s">
        <v>6733</v>
      </c>
      <c r="AP9855" t="s">
        <v>6734</v>
      </c>
      <c r="AQ9855">
        <v>2</v>
      </c>
      <c r="AR9855" t="s">
        <v>89</v>
      </c>
      <c r="AS9855" t="s">
        <v>90</v>
      </c>
      <c r="AT9855" t="s">
        <v>58</v>
      </c>
      <c r="AU9855" t="s">
        <v>68</v>
      </c>
      <c r="AV9855" t="s">
        <v>69</v>
      </c>
      <c r="AW9855" s="1">
        <v>27589</v>
      </c>
      <c r="AX9855">
        <v>1</v>
      </c>
    </row>
    <row r="9856" spans="1:50">
      <c r="A9856">
        <v>587505</v>
      </c>
      <c r="B9856" t="str">
        <f>"034810594"</f>
        <v>034810594</v>
      </c>
      <c r="C9856" t="s">
        <v>105</v>
      </c>
      <c r="D9856" t="s">
        <v>7580</v>
      </c>
      <c r="E9856" t="s">
        <v>377</v>
      </c>
      <c r="F9856" t="s">
        <v>1070</v>
      </c>
      <c r="G9856" t="s">
        <v>1694</v>
      </c>
      <c r="H9856" t="str">
        <f>"ΠΡΕΒΕΛΗΣ ΚΑΤΩ ΔΑΡΑΤΣΟ"</f>
        <v>ΠΡΕΒΕΛΗΣ ΚΑΤΩ ΔΑΡΑΤΣΟ</v>
      </c>
      <c r="I9856">
        <v>73100</v>
      </c>
      <c r="J9856">
        <v>2821087636</v>
      </c>
      <c r="K9856">
        <v>6973660693</v>
      </c>
      <c r="N9856" t="s">
        <v>176</v>
      </c>
      <c r="O9856" t="s">
        <v>177</v>
      </c>
      <c r="R9856" t="s">
        <v>57</v>
      </c>
      <c r="S9856">
        <v>13</v>
      </c>
      <c r="T9856">
        <v>164</v>
      </c>
      <c r="U9856" s="1">
        <v>36040</v>
      </c>
      <c r="V9856" t="s">
        <v>89</v>
      </c>
      <c r="W9856" t="s">
        <v>90</v>
      </c>
      <c r="X9856" t="s">
        <v>58</v>
      </c>
      <c r="Y9856">
        <v>21</v>
      </c>
      <c r="Z9856" t="s">
        <v>59</v>
      </c>
      <c r="AA9856" t="s">
        <v>59</v>
      </c>
      <c r="AB9856" t="s">
        <v>59</v>
      </c>
      <c r="AC9856" t="s">
        <v>59</v>
      </c>
      <c r="AD9856" t="s">
        <v>59</v>
      </c>
      <c r="AF9856" s="1">
        <v>36040</v>
      </c>
      <c r="AG9856" t="s">
        <v>8645</v>
      </c>
      <c r="AH9856" t="s">
        <v>8646</v>
      </c>
      <c r="AI9856" t="str">
        <f>"9500167"</f>
        <v>9500167</v>
      </c>
      <c r="AJ9856" t="s">
        <v>13922</v>
      </c>
      <c r="AK9856">
        <v>2821068357</v>
      </c>
      <c r="AL9856" t="s">
        <v>13923</v>
      </c>
      <c r="AM9856" t="s">
        <v>88</v>
      </c>
      <c r="AN9856" t="s">
        <v>6764</v>
      </c>
      <c r="AO9856" t="s">
        <v>6764</v>
      </c>
      <c r="AP9856" t="s">
        <v>6764</v>
      </c>
      <c r="AQ9856">
        <v>5</v>
      </c>
      <c r="AR9856" t="s">
        <v>89</v>
      </c>
      <c r="AS9856" t="s">
        <v>90</v>
      </c>
      <c r="AT9856" t="s">
        <v>58</v>
      </c>
      <c r="AU9856" t="s">
        <v>68</v>
      </c>
      <c r="AV9856" t="s">
        <v>69</v>
      </c>
      <c r="AW9856" s="1">
        <v>23304</v>
      </c>
      <c r="AX9856">
        <v>1</v>
      </c>
    </row>
    <row r="9857" spans="1:50">
      <c r="A9857">
        <v>603006</v>
      </c>
      <c r="B9857" t="str">
        <f>"057078846"</f>
        <v>057078846</v>
      </c>
      <c r="C9857" t="s">
        <v>105</v>
      </c>
      <c r="D9857" t="s">
        <v>7580</v>
      </c>
      <c r="E9857" t="s">
        <v>106</v>
      </c>
      <c r="F9857" t="s">
        <v>84</v>
      </c>
      <c r="G9857" t="s">
        <v>83</v>
      </c>
      <c r="H9857" t="str">
        <f>" "</f>
        <v xml:space="preserve"> </v>
      </c>
      <c r="J9857">
        <v>2821040933</v>
      </c>
      <c r="K9857">
        <v>6944279757</v>
      </c>
      <c r="N9857" t="s">
        <v>1525</v>
      </c>
      <c r="O9857" t="s">
        <v>1526</v>
      </c>
      <c r="R9857" t="s">
        <v>57</v>
      </c>
      <c r="S9857">
        <v>9</v>
      </c>
      <c r="T9857">
        <v>207</v>
      </c>
      <c r="U9857" s="1">
        <v>37866</v>
      </c>
      <c r="V9857" t="s">
        <v>89</v>
      </c>
      <c r="W9857" t="s">
        <v>90</v>
      </c>
      <c r="X9857" t="s">
        <v>58</v>
      </c>
      <c r="Y9857">
        <v>25</v>
      </c>
      <c r="Z9857" t="s">
        <v>59</v>
      </c>
      <c r="AA9857" t="s">
        <v>59</v>
      </c>
      <c r="AB9857" t="s">
        <v>59</v>
      </c>
      <c r="AC9857" t="s">
        <v>59</v>
      </c>
      <c r="AD9857" t="s">
        <v>59</v>
      </c>
      <c r="AF9857" s="1">
        <v>37866</v>
      </c>
      <c r="AG9857" t="s">
        <v>8651</v>
      </c>
      <c r="AH9857" t="s">
        <v>8652</v>
      </c>
      <c r="AI9857" t="str">
        <f>"9500283"</f>
        <v>9500283</v>
      </c>
      <c r="AJ9857" t="s">
        <v>14575</v>
      </c>
      <c r="AK9857">
        <v>2821072270</v>
      </c>
      <c r="AM9857" t="s">
        <v>88</v>
      </c>
      <c r="AN9857" t="s">
        <v>88</v>
      </c>
      <c r="AO9857" t="s">
        <v>88</v>
      </c>
      <c r="AP9857" t="s">
        <v>88</v>
      </c>
      <c r="AQ9857">
        <v>1</v>
      </c>
      <c r="AR9857" t="s">
        <v>89</v>
      </c>
      <c r="AS9857" t="s">
        <v>90</v>
      </c>
      <c r="AT9857" t="s">
        <v>58</v>
      </c>
      <c r="AU9857" t="s">
        <v>68</v>
      </c>
      <c r="AV9857" t="s">
        <v>69</v>
      </c>
      <c r="AW9857" s="1">
        <v>27215</v>
      </c>
      <c r="AX9857">
        <v>1</v>
      </c>
    </row>
    <row r="9858" spans="1:50">
      <c r="A9858">
        <v>568495</v>
      </c>
      <c r="B9858" t="str">
        <f>"100608412"</f>
        <v>100608412</v>
      </c>
      <c r="C9858" t="s">
        <v>50</v>
      </c>
      <c r="D9858" t="s">
        <v>13270</v>
      </c>
      <c r="E9858" t="s">
        <v>52</v>
      </c>
      <c r="F9858" t="s">
        <v>72</v>
      </c>
      <c r="G9858" t="s">
        <v>109</v>
      </c>
      <c r="H9858" t="str">
        <f>"1η ΠΑΡΟΔΟΣ ΧΡΥΣΟΠΗΓΗΣ ΧΑΝΙΩΝ"</f>
        <v>1η ΠΑΡΟΔΟΣ ΧΡΥΣΟΠΗΓΗΣ ΧΑΝΙΩΝ</v>
      </c>
      <c r="I9858">
        <v>73100</v>
      </c>
      <c r="J9858">
        <v>2821097240</v>
      </c>
      <c r="K9858">
        <v>6936686033</v>
      </c>
      <c r="N9858" t="s">
        <v>615</v>
      </c>
      <c r="O9858" t="s">
        <v>616</v>
      </c>
      <c r="R9858" t="s">
        <v>57</v>
      </c>
      <c r="S9858">
        <v>14</v>
      </c>
      <c r="T9858">
        <v>162</v>
      </c>
      <c r="U9858" s="1">
        <v>33844</v>
      </c>
      <c r="V9858" t="s">
        <v>89</v>
      </c>
      <c r="W9858" t="s">
        <v>90</v>
      </c>
      <c r="X9858" t="s">
        <v>58</v>
      </c>
      <c r="Y9858">
        <v>21</v>
      </c>
      <c r="Z9858" t="s">
        <v>59</v>
      </c>
      <c r="AA9858" t="s">
        <v>59</v>
      </c>
      <c r="AB9858" t="s">
        <v>59</v>
      </c>
      <c r="AC9858" t="s">
        <v>59</v>
      </c>
      <c r="AD9858" t="s">
        <v>59</v>
      </c>
      <c r="AF9858" s="1">
        <v>33844</v>
      </c>
      <c r="AG9858" t="s">
        <v>8645</v>
      </c>
      <c r="AH9858" t="s">
        <v>8646</v>
      </c>
      <c r="AI9858" t="str">
        <f>"9500329"</f>
        <v>9500329</v>
      </c>
      <c r="AJ9858" t="s">
        <v>14241</v>
      </c>
      <c r="AK9858">
        <v>2821099075</v>
      </c>
      <c r="AL9858" t="s">
        <v>14242</v>
      </c>
      <c r="AM9858" t="s">
        <v>88</v>
      </c>
      <c r="AN9858" t="s">
        <v>88</v>
      </c>
      <c r="AO9858" t="s">
        <v>6733</v>
      </c>
      <c r="AP9858" t="s">
        <v>6734</v>
      </c>
      <c r="AQ9858">
        <v>2</v>
      </c>
      <c r="AR9858" t="s">
        <v>89</v>
      </c>
      <c r="AS9858" t="s">
        <v>90</v>
      </c>
      <c r="AT9858" t="s">
        <v>58</v>
      </c>
      <c r="AU9858" t="s">
        <v>68</v>
      </c>
      <c r="AV9858" t="s">
        <v>69</v>
      </c>
      <c r="AW9858" s="1">
        <v>24140</v>
      </c>
      <c r="AX9858">
        <v>1</v>
      </c>
    </row>
    <row r="9859" spans="1:50">
      <c r="A9859">
        <v>620050</v>
      </c>
      <c r="B9859" t="str">
        <f>"057427657"</f>
        <v>057427657</v>
      </c>
      <c r="C9859" t="s">
        <v>105</v>
      </c>
      <c r="D9859" t="s">
        <v>14806</v>
      </c>
      <c r="E9859" t="s">
        <v>53</v>
      </c>
      <c r="F9859" t="s">
        <v>989</v>
      </c>
      <c r="G9859" t="s">
        <v>112</v>
      </c>
      <c r="H9859" t="str">
        <f>"ΜΕΛΙΔΟΝΙΟΥ Κ. ΔΑΡΑΤΣΟ-Ν. ΚΥΔΩΝΙΑΣ"</f>
        <v>ΜΕΛΙΔΟΝΙΟΥ Κ. ΔΑΡΑΤΣΟ-Ν. ΚΥΔΩΝΙΑΣ</v>
      </c>
      <c r="I9859">
        <v>73100</v>
      </c>
      <c r="J9859">
        <v>2821031562</v>
      </c>
      <c r="K9859">
        <v>6978117648</v>
      </c>
      <c r="M9859" t="s">
        <v>14807</v>
      </c>
      <c r="N9859" t="s">
        <v>176</v>
      </c>
      <c r="O9859" t="s">
        <v>177</v>
      </c>
      <c r="R9859" t="s">
        <v>57</v>
      </c>
      <c r="S9859">
        <v>7</v>
      </c>
      <c r="T9859">
        <v>775</v>
      </c>
      <c r="U9859" s="1">
        <v>39680</v>
      </c>
      <c r="V9859" t="s">
        <v>89</v>
      </c>
      <c r="W9859" t="s">
        <v>90</v>
      </c>
      <c r="X9859" t="s">
        <v>58</v>
      </c>
      <c r="Y9859">
        <v>22</v>
      </c>
      <c r="Z9859" t="s">
        <v>59</v>
      </c>
      <c r="AA9859" t="s">
        <v>59</v>
      </c>
      <c r="AB9859" t="s">
        <v>59</v>
      </c>
      <c r="AC9859" t="s">
        <v>59</v>
      </c>
      <c r="AD9859" t="s">
        <v>59</v>
      </c>
      <c r="AF9859" s="1">
        <v>39681</v>
      </c>
      <c r="AG9859" t="s">
        <v>8645</v>
      </c>
      <c r="AH9859" t="s">
        <v>8646</v>
      </c>
      <c r="AI9859" t="str">
        <f>"9500374"</f>
        <v>9500374</v>
      </c>
      <c r="AJ9859" t="s">
        <v>14529</v>
      </c>
      <c r="AK9859">
        <v>2822023194</v>
      </c>
      <c r="AL9859" t="s">
        <v>14530</v>
      </c>
      <c r="AM9859" t="s">
        <v>88</v>
      </c>
      <c r="AN9859" t="s">
        <v>6744</v>
      </c>
      <c r="AO9859" t="s">
        <v>6744</v>
      </c>
      <c r="AP9859" t="s">
        <v>6744</v>
      </c>
      <c r="AQ9859">
        <v>9</v>
      </c>
      <c r="AR9859" t="s">
        <v>89</v>
      </c>
      <c r="AS9859" t="s">
        <v>90</v>
      </c>
      <c r="AT9859" t="s">
        <v>58</v>
      </c>
      <c r="AU9859" t="s">
        <v>68</v>
      </c>
      <c r="AV9859" t="s">
        <v>69</v>
      </c>
      <c r="AW9859" s="1">
        <v>25009</v>
      </c>
      <c r="AX9859">
        <v>1</v>
      </c>
    </row>
    <row r="9860" spans="1:50">
      <c r="A9860">
        <v>621437</v>
      </c>
      <c r="B9860" t="str">
        <f>"125776866"</f>
        <v>125776866</v>
      </c>
      <c r="C9860" t="s">
        <v>50</v>
      </c>
      <c r="D9860" t="s">
        <v>14808</v>
      </c>
      <c r="E9860" t="s">
        <v>14809</v>
      </c>
      <c r="F9860" t="s">
        <v>106</v>
      </c>
      <c r="G9860" t="s">
        <v>507</v>
      </c>
      <c r="H9860" t="str">
        <f>"ΕΛΑΤΗΣ 8 ΘΕΣ/ΝΙΚΗ"</f>
        <v>ΕΛΑΤΗΣ 8 ΘΕΣ/ΝΙΚΗ</v>
      </c>
      <c r="I9860">
        <v>57010</v>
      </c>
      <c r="J9860">
        <v>2310673710</v>
      </c>
      <c r="K9860">
        <v>6937133504</v>
      </c>
      <c r="M9860" t="s">
        <v>14810</v>
      </c>
      <c r="N9860" t="s">
        <v>615</v>
      </c>
      <c r="O9860" t="s">
        <v>616</v>
      </c>
      <c r="R9860" t="s">
        <v>57</v>
      </c>
      <c r="S9860">
        <v>7</v>
      </c>
      <c r="T9860">
        <v>653</v>
      </c>
      <c r="U9860" s="1">
        <v>40043</v>
      </c>
      <c r="V9860" t="s">
        <v>89</v>
      </c>
      <c r="W9860" t="s">
        <v>90</v>
      </c>
      <c r="X9860" t="s">
        <v>58</v>
      </c>
      <c r="Y9860">
        <v>23</v>
      </c>
      <c r="Z9860" t="s">
        <v>59</v>
      </c>
      <c r="AA9860" t="s">
        <v>59</v>
      </c>
      <c r="AB9860" t="s">
        <v>59</v>
      </c>
      <c r="AC9860" t="s">
        <v>59</v>
      </c>
      <c r="AD9860" t="s">
        <v>59</v>
      </c>
      <c r="AF9860" s="1">
        <v>40043</v>
      </c>
      <c r="AG9860" t="s">
        <v>8645</v>
      </c>
      <c r="AH9860" t="s">
        <v>8646</v>
      </c>
      <c r="AI9860" t="str">
        <f>"9500153"</f>
        <v>9500153</v>
      </c>
      <c r="AJ9860" t="s">
        <v>14103</v>
      </c>
      <c r="AK9860">
        <v>2821061267</v>
      </c>
      <c r="AL9860" t="s">
        <v>14104</v>
      </c>
      <c r="AM9860" t="s">
        <v>88</v>
      </c>
      <c r="AN9860" t="s">
        <v>6764</v>
      </c>
      <c r="AO9860" t="s">
        <v>6764</v>
      </c>
      <c r="AP9860" t="s">
        <v>12913</v>
      </c>
      <c r="AQ9860">
        <v>10</v>
      </c>
      <c r="AR9860" t="s">
        <v>89</v>
      </c>
      <c r="AS9860" t="s">
        <v>90</v>
      </c>
      <c r="AT9860" t="s">
        <v>58</v>
      </c>
      <c r="AU9860" t="s">
        <v>68</v>
      </c>
      <c r="AV9860" t="s">
        <v>69</v>
      </c>
      <c r="AW9860" s="1">
        <v>31395</v>
      </c>
      <c r="AX9860">
        <v>1</v>
      </c>
    </row>
    <row r="9861" spans="1:50">
      <c r="A9861">
        <v>587346</v>
      </c>
      <c r="B9861" t="str">
        <f>"045647663"</f>
        <v>045647663</v>
      </c>
      <c r="C9861" t="s">
        <v>50</v>
      </c>
      <c r="D9861" t="s">
        <v>14811</v>
      </c>
      <c r="E9861" t="s">
        <v>681</v>
      </c>
      <c r="F9861" t="s">
        <v>95</v>
      </c>
      <c r="G9861" t="s">
        <v>114</v>
      </c>
      <c r="H9861" t="str">
        <f>"ΑΓ.ΒΑΣΙΛΕΙΟΥ 52 ΠΕΡΙΒΟΛΙΑ ΧΑΝΙΩΝ"</f>
        <v>ΑΓ.ΒΑΣΙΛΕΙΟΥ 52 ΠΕΡΙΒΟΛΙΑ ΧΑΝΙΩΝ</v>
      </c>
      <c r="I9861">
        <v>73136</v>
      </c>
      <c r="J9861">
        <v>2821074253</v>
      </c>
      <c r="K9861">
        <v>6948277395</v>
      </c>
      <c r="M9861" t="s">
        <v>14812</v>
      </c>
      <c r="N9861" t="s">
        <v>306</v>
      </c>
      <c r="O9861" t="s">
        <v>307</v>
      </c>
      <c r="R9861" t="s">
        <v>57</v>
      </c>
      <c r="S9861">
        <v>10</v>
      </c>
      <c r="T9861">
        <v>164</v>
      </c>
      <c r="U9861" s="1">
        <v>36040</v>
      </c>
      <c r="V9861" t="s">
        <v>89</v>
      </c>
      <c r="W9861" t="s">
        <v>90</v>
      </c>
      <c r="X9861" t="s">
        <v>58</v>
      </c>
      <c r="Y9861">
        <v>21</v>
      </c>
      <c r="Z9861" t="s">
        <v>59</v>
      </c>
      <c r="AA9861" t="s">
        <v>59</v>
      </c>
      <c r="AB9861" t="s">
        <v>59</v>
      </c>
      <c r="AC9861" t="s">
        <v>59</v>
      </c>
      <c r="AD9861" t="s">
        <v>59</v>
      </c>
      <c r="AF9861" s="1">
        <v>36040</v>
      </c>
      <c r="AG9861" t="s">
        <v>8645</v>
      </c>
      <c r="AH9861" t="s">
        <v>8646</v>
      </c>
      <c r="AI9861" t="str">
        <f>"9500035"</f>
        <v>9500035</v>
      </c>
      <c r="AJ9861" t="s">
        <v>13979</v>
      </c>
      <c r="AK9861">
        <v>2821094678</v>
      </c>
      <c r="AL9861" t="s">
        <v>13980</v>
      </c>
      <c r="AM9861" t="s">
        <v>88</v>
      </c>
      <c r="AN9861" t="s">
        <v>88</v>
      </c>
      <c r="AO9861" t="s">
        <v>88</v>
      </c>
      <c r="AP9861" t="s">
        <v>88</v>
      </c>
      <c r="AQ9861">
        <v>2</v>
      </c>
      <c r="AR9861" t="s">
        <v>89</v>
      </c>
      <c r="AS9861" t="s">
        <v>90</v>
      </c>
      <c r="AT9861" t="s">
        <v>58</v>
      </c>
      <c r="AU9861" t="s">
        <v>68</v>
      </c>
      <c r="AV9861" t="s">
        <v>69</v>
      </c>
      <c r="AW9861" s="1">
        <v>25087</v>
      </c>
      <c r="AX9861">
        <v>1</v>
      </c>
    </row>
    <row r="9862" spans="1:50">
      <c r="A9862">
        <v>611280</v>
      </c>
      <c r="B9862" t="str">
        <f>"073105552"</f>
        <v>073105552</v>
      </c>
      <c r="C9862" t="s">
        <v>50</v>
      </c>
      <c r="D9862" t="s">
        <v>14813</v>
      </c>
      <c r="E9862" t="s">
        <v>52</v>
      </c>
      <c r="F9862" t="s">
        <v>53</v>
      </c>
      <c r="G9862" t="s">
        <v>1189</v>
      </c>
      <c r="H9862" t="str">
        <f>"ΜΑΚΕΔΟΝΟΜΑΧΩΝ 21 ΚΑΣΤΕΛΙ ΚΙΣΑΜΟΥ"</f>
        <v>ΜΑΚΕΔΟΝΟΜΑΧΩΝ 21 ΚΑΣΤΕΛΙ ΚΙΣΑΜΟΥ</v>
      </c>
      <c r="I9862">
        <v>73400</v>
      </c>
      <c r="J9862">
        <v>2822023020</v>
      </c>
      <c r="K9862">
        <v>6973734371</v>
      </c>
      <c r="N9862" t="s">
        <v>1525</v>
      </c>
      <c r="O9862" t="s">
        <v>1526</v>
      </c>
      <c r="R9862" t="s">
        <v>57</v>
      </c>
      <c r="S9862">
        <v>7</v>
      </c>
      <c r="T9862">
        <v>233</v>
      </c>
      <c r="U9862" s="1">
        <v>38960</v>
      </c>
      <c r="V9862" t="s">
        <v>89</v>
      </c>
      <c r="W9862" t="s">
        <v>90</v>
      </c>
      <c r="X9862" t="s">
        <v>58</v>
      </c>
      <c r="Y9862">
        <v>25</v>
      </c>
      <c r="Z9862" t="s">
        <v>59</v>
      </c>
      <c r="AA9862" t="s">
        <v>59</v>
      </c>
      <c r="AB9862" t="s">
        <v>59</v>
      </c>
      <c r="AC9862" t="s">
        <v>59</v>
      </c>
      <c r="AD9862" t="s">
        <v>59</v>
      </c>
      <c r="AF9862" s="1">
        <v>38961</v>
      </c>
      <c r="AG9862" t="s">
        <v>8651</v>
      </c>
      <c r="AH9862" t="s">
        <v>8652</v>
      </c>
      <c r="AI9862" t="str">
        <f>"9500416"</f>
        <v>9500416</v>
      </c>
      <c r="AJ9862" t="s">
        <v>14425</v>
      </c>
      <c r="AK9862">
        <v>2822023003</v>
      </c>
      <c r="AL9862" t="s">
        <v>14426</v>
      </c>
      <c r="AM9862" t="s">
        <v>88</v>
      </c>
      <c r="AN9862" t="s">
        <v>6744</v>
      </c>
      <c r="AO9862" t="s">
        <v>6744</v>
      </c>
      <c r="AP9862" t="s">
        <v>6744</v>
      </c>
      <c r="AQ9862">
        <v>9</v>
      </c>
      <c r="AR9862" t="s">
        <v>89</v>
      </c>
      <c r="AS9862" t="s">
        <v>90</v>
      </c>
      <c r="AT9862" t="s">
        <v>58</v>
      </c>
      <c r="AU9862" t="s">
        <v>68</v>
      </c>
      <c r="AV9862" t="s">
        <v>69</v>
      </c>
      <c r="AW9862" s="1">
        <v>25853</v>
      </c>
      <c r="AX9862">
        <v>1</v>
      </c>
    </row>
    <row r="9863" spans="1:50">
      <c r="A9863">
        <v>621811</v>
      </c>
      <c r="B9863" t="str">
        <f>"137272133"</f>
        <v>137272133</v>
      </c>
      <c r="C9863" t="s">
        <v>50</v>
      </c>
      <c r="D9863" t="s">
        <v>14814</v>
      </c>
      <c r="E9863" t="s">
        <v>237</v>
      </c>
      <c r="F9863" t="s">
        <v>459</v>
      </c>
      <c r="G9863" t="s">
        <v>396</v>
      </c>
      <c r="H9863" t="str">
        <f>"ΜΕΛΙΣΣΟΧΩΡΙ ΜΕΛΙΣΣΟΧΩΡΙ ΒΟΙΩΤΙΑΣ"</f>
        <v>ΜΕΛΙΣΣΟΧΩΡΙ ΜΕΛΙΣΣΟΧΩΡΙ ΒΟΙΩΤΙΑΣ</v>
      </c>
      <c r="I9863">
        <v>32200</v>
      </c>
      <c r="J9863">
        <v>2262098167</v>
      </c>
      <c r="K9863">
        <v>6939530109</v>
      </c>
      <c r="N9863" t="s">
        <v>615</v>
      </c>
      <c r="O9863" t="s">
        <v>616</v>
      </c>
      <c r="R9863" t="s">
        <v>57</v>
      </c>
      <c r="S9863">
        <v>5</v>
      </c>
      <c r="T9863">
        <v>653</v>
      </c>
      <c r="U9863" s="1">
        <v>40043</v>
      </c>
      <c r="V9863" t="s">
        <v>89</v>
      </c>
      <c r="W9863" t="s">
        <v>90</v>
      </c>
      <c r="X9863" t="s">
        <v>58</v>
      </c>
      <c r="Y9863">
        <v>23</v>
      </c>
      <c r="Z9863" t="s">
        <v>59</v>
      </c>
      <c r="AA9863" t="s">
        <v>59</v>
      </c>
      <c r="AB9863" t="s">
        <v>59</v>
      </c>
      <c r="AC9863" t="s">
        <v>59</v>
      </c>
      <c r="AD9863" t="s">
        <v>59</v>
      </c>
      <c r="AF9863" s="1">
        <v>40044</v>
      </c>
      <c r="AG9863" t="s">
        <v>8645</v>
      </c>
      <c r="AH9863" t="s">
        <v>8646</v>
      </c>
      <c r="AI9863" t="str">
        <f>"9500021"</f>
        <v>9500021</v>
      </c>
      <c r="AJ9863" t="s">
        <v>14054</v>
      </c>
      <c r="AK9863">
        <v>2825096298</v>
      </c>
      <c r="AL9863" t="s">
        <v>14055</v>
      </c>
      <c r="AM9863" t="s">
        <v>88</v>
      </c>
      <c r="AN9863" t="s">
        <v>6775</v>
      </c>
      <c r="AO9863" t="s">
        <v>13929</v>
      </c>
      <c r="AP9863" t="s">
        <v>14056</v>
      </c>
      <c r="AQ9863">
        <v>8</v>
      </c>
      <c r="AR9863" t="s">
        <v>89</v>
      </c>
      <c r="AS9863" t="s">
        <v>90</v>
      </c>
      <c r="AT9863" t="s">
        <v>58</v>
      </c>
      <c r="AU9863" t="s">
        <v>68</v>
      </c>
      <c r="AV9863" t="s">
        <v>69</v>
      </c>
      <c r="AW9863" s="1">
        <v>31437</v>
      </c>
      <c r="AX9863">
        <v>1</v>
      </c>
    </row>
    <row r="9864" spans="1:50">
      <c r="A9864">
        <v>577289</v>
      </c>
      <c r="B9864" t="str">
        <f>"050938934"</f>
        <v>050938934</v>
      </c>
      <c r="C9864" t="s">
        <v>105</v>
      </c>
      <c r="D9864" t="s">
        <v>14815</v>
      </c>
      <c r="E9864" t="s">
        <v>72</v>
      </c>
      <c r="F9864" t="s">
        <v>474</v>
      </c>
      <c r="G9864" t="s">
        <v>73</v>
      </c>
      <c r="H9864" t="str">
        <f>"ΠΑΧΙΑΝΩΝ 46Α ΧΑΝΙΩΝ"</f>
        <v>ΠΑΧΙΑΝΩΝ 46Α ΧΑΝΙΩΝ</v>
      </c>
      <c r="I9864">
        <v>73135</v>
      </c>
      <c r="J9864">
        <v>2821075652</v>
      </c>
      <c r="K9864">
        <v>6973035461</v>
      </c>
      <c r="N9864" t="s">
        <v>176</v>
      </c>
      <c r="O9864" t="s">
        <v>177</v>
      </c>
      <c r="R9864" t="s">
        <v>57</v>
      </c>
      <c r="S9864">
        <v>13</v>
      </c>
      <c r="T9864">
        <v>184</v>
      </c>
      <c r="U9864" s="1">
        <v>34941</v>
      </c>
      <c r="V9864" t="s">
        <v>89</v>
      </c>
      <c r="W9864" t="s">
        <v>90</v>
      </c>
      <c r="X9864" t="s">
        <v>58</v>
      </c>
      <c r="Y9864">
        <v>21</v>
      </c>
      <c r="Z9864" t="s">
        <v>59</v>
      </c>
      <c r="AA9864" t="s">
        <v>59</v>
      </c>
      <c r="AB9864" t="s">
        <v>59</v>
      </c>
      <c r="AC9864" t="s">
        <v>59</v>
      </c>
      <c r="AD9864" t="s">
        <v>59</v>
      </c>
      <c r="AF9864" s="1">
        <v>34941</v>
      </c>
      <c r="AG9864" t="s">
        <v>8645</v>
      </c>
      <c r="AH9864" t="s">
        <v>8646</v>
      </c>
      <c r="AI9864" t="str">
        <f>"9500070"</f>
        <v>9500070</v>
      </c>
      <c r="AJ9864" t="s">
        <v>14221</v>
      </c>
      <c r="AK9864">
        <v>2821095817</v>
      </c>
      <c r="AL9864" t="s">
        <v>14222</v>
      </c>
      <c r="AM9864" t="s">
        <v>88</v>
      </c>
      <c r="AN9864" t="s">
        <v>88</v>
      </c>
      <c r="AO9864" t="s">
        <v>88</v>
      </c>
      <c r="AP9864" t="s">
        <v>88</v>
      </c>
      <c r="AQ9864">
        <v>1</v>
      </c>
      <c r="AR9864" t="s">
        <v>89</v>
      </c>
      <c r="AS9864" t="s">
        <v>90</v>
      </c>
      <c r="AT9864" t="s">
        <v>58</v>
      </c>
      <c r="AU9864" t="s">
        <v>68</v>
      </c>
      <c r="AV9864" t="s">
        <v>69</v>
      </c>
      <c r="AW9864" s="1">
        <v>23658</v>
      </c>
      <c r="AX9864">
        <v>1</v>
      </c>
    </row>
    <row r="9865" spans="1:50">
      <c r="A9865">
        <v>563111</v>
      </c>
      <c r="B9865" t="str">
        <f>"030555620"</f>
        <v>030555620</v>
      </c>
      <c r="C9865" t="s">
        <v>50</v>
      </c>
      <c r="D9865" t="s">
        <v>14816</v>
      </c>
      <c r="E9865" t="s">
        <v>2967</v>
      </c>
      <c r="F9865" t="s">
        <v>72</v>
      </c>
      <c r="G9865" t="s">
        <v>1345</v>
      </c>
      <c r="H9865" t="str">
        <f>" "</f>
        <v xml:space="preserve"> </v>
      </c>
      <c r="N9865" t="s">
        <v>1525</v>
      </c>
      <c r="O9865" t="s">
        <v>1526</v>
      </c>
      <c r="R9865" t="s">
        <v>57</v>
      </c>
      <c r="S9865">
        <v>15</v>
      </c>
      <c r="T9865">
        <v>187</v>
      </c>
      <c r="U9865" s="1">
        <v>32750</v>
      </c>
      <c r="V9865" t="s">
        <v>89</v>
      </c>
      <c r="W9865" t="s">
        <v>90</v>
      </c>
      <c r="X9865" t="s">
        <v>58</v>
      </c>
      <c r="Y9865">
        <v>25</v>
      </c>
      <c r="Z9865" t="s">
        <v>59</v>
      </c>
      <c r="AA9865" t="s">
        <v>59</v>
      </c>
      <c r="AB9865" t="s">
        <v>59</v>
      </c>
      <c r="AC9865" t="s">
        <v>59</v>
      </c>
      <c r="AD9865" t="s">
        <v>59</v>
      </c>
      <c r="AF9865" s="1">
        <v>32752</v>
      </c>
      <c r="AG9865" t="s">
        <v>8651</v>
      </c>
      <c r="AH9865" t="s">
        <v>8652</v>
      </c>
      <c r="AI9865" t="str">
        <f>"9500141"</f>
        <v>9500141</v>
      </c>
      <c r="AJ9865" t="s">
        <v>14170</v>
      </c>
      <c r="AK9865">
        <v>2821092365</v>
      </c>
      <c r="AL9865" t="s">
        <v>14171</v>
      </c>
      <c r="AM9865" t="s">
        <v>88</v>
      </c>
      <c r="AN9865" t="s">
        <v>88</v>
      </c>
      <c r="AO9865" t="s">
        <v>88</v>
      </c>
      <c r="AP9865" t="s">
        <v>88</v>
      </c>
      <c r="AQ9865">
        <v>1</v>
      </c>
      <c r="AR9865" t="s">
        <v>89</v>
      </c>
      <c r="AS9865" t="s">
        <v>90</v>
      </c>
      <c r="AT9865" t="s">
        <v>58</v>
      </c>
      <c r="AU9865" t="s">
        <v>68</v>
      </c>
      <c r="AV9865" t="s">
        <v>69</v>
      </c>
      <c r="AW9865" s="1">
        <v>22272</v>
      </c>
      <c r="AX9865">
        <v>1</v>
      </c>
    </row>
    <row r="9866" spans="1:50">
      <c r="A9866">
        <v>598867</v>
      </c>
      <c r="B9866" t="str">
        <f>"065884033"</f>
        <v>065884033</v>
      </c>
      <c r="C9866" t="s">
        <v>105</v>
      </c>
      <c r="D9866" t="s">
        <v>14817</v>
      </c>
      <c r="E9866" t="s">
        <v>670</v>
      </c>
      <c r="F9866" t="s">
        <v>450</v>
      </c>
      <c r="G9866" t="s">
        <v>964</v>
      </c>
      <c r="H9866" t="str">
        <f>"25ΗΣ ΜΑΡΤΙΟΥ 18 ΧΑΝΙΑ"</f>
        <v>25ΗΣ ΜΑΡΤΙΟΥ 18 ΧΑΝΙΑ</v>
      </c>
      <c r="I9866">
        <v>73100</v>
      </c>
      <c r="J9866">
        <v>2821071835</v>
      </c>
      <c r="K9866">
        <v>6986182984</v>
      </c>
      <c r="N9866" t="s">
        <v>615</v>
      </c>
      <c r="O9866" t="s">
        <v>616</v>
      </c>
      <c r="R9866" t="s">
        <v>57</v>
      </c>
      <c r="S9866">
        <v>9</v>
      </c>
      <c r="T9866">
        <v>195</v>
      </c>
      <c r="U9866" s="1">
        <v>37497</v>
      </c>
      <c r="V9866" t="s">
        <v>89</v>
      </c>
      <c r="W9866" t="s">
        <v>90</v>
      </c>
      <c r="X9866" t="s">
        <v>58</v>
      </c>
      <c r="Y9866">
        <v>22</v>
      </c>
      <c r="Z9866" t="s">
        <v>59</v>
      </c>
      <c r="AA9866" t="s">
        <v>59</v>
      </c>
      <c r="AB9866" t="s">
        <v>59</v>
      </c>
      <c r="AC9866" t="s">
        <v>59</v>
      </c>
      <c r="AD9866" t="s">
        <v>59</v>
      </c>
      <c r="AF9866" s="1">
        <v>37501</v>
      </c>
      <c r="AG9866" t="s">
        <v>8645</v>
      </c>
      <c r="AH9866" t="s">
        <v>8646</v>
      </c>
      <c r="AI9866" t="str">
        <f>"9500107"</f>
        <v>9500107</v>
      </c>
      <c r="AJ9866" t="s">
        <v>13918</v>
      </c>
      <c r="AK9866">
        <v>2821096244</v>
      </c>
      <c r="AL9866" t="s">
        <v>13919</v>
      </c>
      <c r="AM9866" t="s">
        <v>88</v>
      </c>
      <c r="AN9866" t="s">
        <v>88</v>
      </c>
      <c r="AO9866" t="s">
        <v>13920</v>
      </c>
      <c r="AP9866" t="s">
        <v>13921</v>
      </c>
      <c r="AQ9866">
        <v>3</v>
      </c>
      <c r="AR9866" t="s">
        <v>89</v>
      </c>
      <c r="AS9866" t="s">
        <v>90</v>
      </c>
      <c r="AT9866" t="s">
        <v>58</v>
      </c>
      <c r="AU9866" t="s">
        <v>68</v>
      </c>
      <c r="AV9866" t="s">
        <v>2039</v>
      </c>
      <c r="AW9866" s="1">
        <v>22491</v>
      </c>
      <c r="AX9866">
        <v>1</v>
      </c>
    </row>
    <row r="9867" spans="1:50">
      <c r="B9867" t="str">
        <f>"139254854"</f>
        <v>139254854</v>
      </c>
      <c r="C9867" t="s">
        <v>50</v>
      </c>
      <c r="D9867" t="s">
        <v>14818</v>
      </c>
      <c r="E9867" t="s">
        <v>8431</v>
      </c>
      <c r="F9867" t="s">
        <v>95</v>
      </c>
      <c r="G9867" t="s">
        <v>1927</v>
      </c>
      <c r="H9867" t="str">
        <f>"ΠΛΑΤΑΙΩΝ 62 "</f>
        <v xml:space="preserve">ΠΛΑΤΑΙΩΝ 62 </v>
      </c>
      <c r="I9867">
        <v>15235</v>
      </c>
      <c r="J9867">
        <v>2106130397</v>
      </c>
      <c r="K9867">
        <v>6976165563</v>
      </c>
      <c r="N9867" t="s">
        <v>615</v>
      </c>
      <c r="O9867" t="s">
        <v>616</v>
      </c>
      <c r="R9867" t="s">
        <v>159</v>
      </c>
      <c r="S9867">
        <v>4</v>
      </c>
      <c r="T9867" t="s">
        <v>8675</v>
      </c>
      <c r="U9867" s="1">
        <v>43348</v>
      </c>
      <c r="V9867" t="s">
        <v>89</v>
      </c>
      <c r="W9867" t="s">
        <v>90</v>
      </c>
      <c r="X9867" t="s">
        <v>58</v>
      </c>
      <c r="Y9867">
        <v>24</v>
      </c>
      <c r="Z9867" t="s">
        <v>59</v>
      </c>
      <c r="AA9867" t="s">
        <v>59</v>
      </c>
      <c r="AB9867" t="s">
        <v>59</v>
      </c>
      <c r="AC9867" t="s">
        <v>59</v>
      </c>
      <c r="AD9867" t="s">
        <v>59</v>
      </c>
      <c r="AF9867" s="1">
        <v>43348</v>
      </c>
      <c r="AG9867" t="s">
        <v>8645</v>
      </c>
      <c r="AH9867" t="s">
        <v>8646</v>
      </c>
      <c r="AI9867" t="str">
        <f>"9500139"</f>
        <v>9500139</v>
      </c>
      <c r="AJ9867" t="s">
        <v>14050</v>
      </c>
      <c r="AK9867">
        <v>2821096819</v>
      </c>
      <c r="AL9867" t="s">
        <v>14051</v>
      </c>
      <c r="AM9867" t="s">
        <v>88</v>
      </c>
      <c r="AN9867" t="s">
        <v>88</v>
      </c>
      <c r="AO9867" t="s">
        <v>88</v>
      </c>
      <c r="AP9867" t="s">
        <v>88</v>
      </c>
      <c r="AQ9867">
        <v>1</v>
      </c>
      <c r="AR9867" t="s">
        <v>89</v>
      </c>
      <c r="AS9867" t="s">
        <v>90</v>
      </c>
      <c r="AT9867" t="s">
        <v>58</v>
      </c>
      <c r="AU9867" t="s">
        <v>8673</v>
      </c>
      <c r="AV9867" t="s">
        <v>132</v>
      </c>
      <c r="AW9867" s="1">
        <v>31542</v>
      </c>
      <c r="AX9867">
        <v>1</v>
      </c>
    </row>
    <row r="9868" spans="1:50">
      <c r="A9868">
        <v>559750</v>
      </c>
      <c r="B9868" t="str">
        <f>"101559910"</f>
        <v>101559910</v>
      </c>
      <c r="C9868" t="s">
        <v>50</v>
      </c>
      <c r="D9868" t="s">
        <v>2317</v>
      </c>
      <c r="E9868" t="s">
        <v>250</v>
      </c>
      <c r="F9868" t="s">
        <v>5386</v>
      </c>
      <c r="G9868" t="s">
        <v>1727</v>
      </c>
      <c r="H9868" t="str">
        <f>"ΣΙΚΕΛΙΑΝΟΥ ΣΤΑΛΟΣ-ΧΑΝΙΑ"</f>
        <v>ΣΙΚΕΛΙΑΝΟΥ ΣΤΑΛΟΣ-ΧΑΝΙΑ</v>
      </c>
      <c r="I9868">
        <v>73100</v>
      </c>
      <c r="J9868">
        <v>2821068180</v>
      </c>
      <c r="K9868">
        <v>6947079347</v>
      </c>
      <c r="N9868" t="s">
        <v>1525</v>
      </c>
      <c r="O9868" t="s">
        <v>1526</v>
      </c>
      <c r="R9868" t="s">
        <v>57</v>
      </c>
      <c r="S9868">
        <v>16</v>
      </c>
      <c r="T9868">
        <v>175</v>
      </c>
      <c r="U9868" s="1">
        <v>32020</v>
      </c>
      <c r="V9868" t="s">
        <v>89</v>
      </c>
      <c r="W9868" t="s">
        <v>90</v>
      </c>
      <c r="X9868" t="s">
        <v>58</v>
      </c>
      <c r="Y9868">
        <v>25</v>
      </c>
      <c r="Z9868" t="s">
        <v>59</v>
      </c>
      <c r="AA9868" t="s">
        <v>59</v>
      </c>
      <c r="AB9868" t="s">
        <v>59</v>
      </c>
      <c r="AC9868" t="s">
        <v>59</v>
      </c>
      <c r="AD9868" t="s">
        <v>59</v>
      </c>
      <c r="AF9868" s="1">
        <v>32024</v>
      </c>
      <c r="AG9868" t="s">
        <v>8651</v>
      </c>
      <c r="AH9868" t="s">
        <v>8652</v>
      </c>
      <c r="AI9868" t="str">
        <f>"9500375"</f>
        <v>9500375</v>
      </c>
      <c r="AJ9868" t="s">
        <v>14379</v>
      </c>
      <c r="AK9868">
        <v>2821068911</v>
      </c>
      <c r="AL9868" t="s">
        <v>14380</v>
      </c>
      <c r="AM9868" t="s">
        <v>88</v>
      </c>
      <c r="AN9868" t="s">
        <v>88</v>
      </c>
      <c r="AO9868" t="s">
        <v>6785</v>
      </c>
      <c r="AP9868" t="s">
        <v>14381</v>
      </c>
      <c r="AQ9868">
        <v>3</v>
      </c>
      <c r="AR9868" t="s">
        <v>89</v>
      </c>
      <c r="AS9868" t="s">
        <v>90</v>
      </c>
      <c r="AT9868" t="s">
        <v>58</v>
      </c>
      <c r="AU9868" t="s">
        <v>68</v>
      </c>
      <c r="AV9868" t="s">
        <v>69</v>
      </c>
      <c r="AW9868" s="1">
        <v>22521</v>
      </c>
      <c r="AX9868">
        <v>1</v>
      </c>
    </row>
    <row r="9869" spans="1:50">
      <c r="A9869">
        <v>605486</v>
      </c>
      <c r="B9869" t="str">
        <f>"119270015"</f>
        <v>119270015</v>
      </c>
      <c r="C9869" t="s">
        <v>50</v>
      </c>
      <c r="D9869" t="s">
        <v>14819</v>
      </c>
      <c r="E9869" t="s">
        <v>699</v>
      </c>
      <c r="F9869" t="s">
        <v>53</v>
      </c>
      <c r="G9869" t="s">
        <v>1085</v>
      </c>
      <c r="H9869" t="str">
        <f>"ΠΑΛΑΙΟΧΩΡΑ ΧΑΝΙΩΝ "</f>
        <v xml:space="preserve">ΠΑΛΑΙΟΧΩΡΑ ΧΑΝΙΩΝ </v>
      </c>
      <c r="I9869">
        <v>73001</v>
      </c>
      <c r="K9869">
        <v>6974732297</v>
      </c>
      <c r="N9869" t="s">
        <v>615</v>
      </c>
      <c r="O9869" t="s">
        <v>616</v>
      </c>
      <c r="R9869" t="s">
        <v>57</v>
      </c>
      <c r="S9869">
        <v>7</v>
      </c>
      <c r="T9869">
        <v>231</v>
      </c>
      <c r="U9869" s="1">
        <v>38230</v>
      </c>
      <c r="V9869" t="s">
        <v>89</v>
      </c>
      <c r="W9869" t="s">
        <v>90</v>
      </c>
      <c r="X9869" t="s">
        <v>58</v>
      </c>
      <c r="Y9869">
        <v>22</v>
      </c>
      <c r="Z9869" t="s">
        <v>59</v>
      </c>
      <c r="AA9869" t="s">
        <v>59</v>
      </c>
      <c r="AB9869" t="s">
        <v>59</v>
      </c>
      <c r="AC9869" t="s">
        <v>59</v>
      </c>
      <c r="AD9869" t="s">
        <v>59</v>
      </c>
      <c r="AF9869" s="1">
        <v>38231</v>
      </c>
      <c r="AG9869" t="s">
        <v>8645</v>
      </c>
      <c r="AH9869" t="s">
        <v>8646</v>
      </c>
      <c r="AI9869" t="str">
        <f>"9500175"</f>
        <v>9500175</v>
      </c>
      <c r="AJ9869" t="s">
        <v>14538</v>
      </c>
      <c r="AK9869">
        <v>2823041233</v>
      </c>
      <c r="AL9869" t="s">
        <v>14539</v>
      </c>
      <c r="AM9869" t="s">
        <v>88</v>
      </c>
      <c r="AN9869" t="s">
        <v>6824</v>
      </c>
      <c r="AO9869" t="s">
        <v>6870</v>
      </c>
      <c r="AP9869" t="s">
        <v>6871</v>
      </c>
      <c r="AQ9869">
        <v>11</v>
      </c>
      <c r="AR9869" t="s">
        <v>89</v>
      </c>
      <c r="AS9869" t="s">
        <v>90</v>
      </c>
      <c r="AT9869" t="s">
        <v>58</v>
      </c>
      <c r="AU9869" t="s">
        <v>68</v>
      </c>
      <c r="AV9869" t="s">
        <v>69</v>
      </c>
      <c r="AW9869" s="1">
        <v>28519</v>
      </c>
      <c r="AX9869">
        <v>1</v>
      </c>
    </row>
    <row r="9870" spans="1:50">
      <c r="A9870">
        <v>701475</v>
      </c>
      <c r="B9870" t="str">
        <f>"133537542"</f>
        <v>133537542</v>
      </c>
      <c r="C9870" t="s">
        <v>50</v>
      </c>
      <c r="D9870" t="s">
        <v>14820</v>
      </c>
      <c r="E9870" t="s">
        <v>1019</v>
      </c>
      <c r="F9870" t="s">
        <v>920</v>
      </c>
      <c r="G9870" t="s">
        <v>1418</v>
      </c>
      <c r="H9870" t="str">
        <f>"ΑΙΜΟΥ 2Α ΞΑΝΘΗ"</f>
        <v>ΑΙΜΟΥ 2Α ΞΑΝΘΗ</v>
      </c>
      <c r="I9870">
        <v>67100</v>
      </c>
      <c r="J9870">
        <v>2541023172</v>
      </c>
      <c r="K9870">
        <v>6936555392</v>
      </c>
      <c r="N9870" t="s">
        <v>615</v>
      </c>
      <c r="O9870" t="s">
        <v>616</v>
      </c>
      <c r="R9870" t="s">
        <v>57</v>
      </c>
      <c r="S9870">
        <v>6</v>
      </c>
      <c r="T9870">
        <v>772</v>
      </c>
      <c r="U9870" s="1">
        <v>40413</v>
      </c>
      <c r="V9870" t="s">
        <v>89</v>
      </c>
      <c r="W9870" t="s">
        <v>90</v>
      </c>
      <c r="X9870" t="s">
        <v>58</v>
      </c>
      <c r="Y9870">
        <v>24</v>
      </c>
      <c r="Z9870" t="s">
        <v>59</v>
      </c>
      <c r="AA9870" t="s">
        <v>59</v>
      </c>
      <c r="AB9870" t="s">
        <v>59</v>
      </c>
      <c r="AC9870" t="s">
        <v>59</v>
      </c>
      <c r="AD9870" t="s">
        <v>59</v>
      </c>
      <c r="AF9870" s="1">
        <v>40422</v>
      </c>
      <c r="AG9870" t="s">
        <v>8645</v>
      </c>
      <c r="AH9870" t="s">
        <v>8646</v>
      </c>
      <c r="AI9870" t="str">
        <f>"9500119"</f>
        <v>9500119</v>
      </c>
      <c r="AJ9870" t="s">
        <v>14286</v>
      </c>
      <c r="AK9870">
        <v>2821095816</v>
      </c>
      <c r="AL9870" t="s">
        <v>14287</v>
      </c>
      <c r="AM9870" t="s">
        <v>88</v>
      </c>
      <c r="AN9870" t="s">
        <v>88</v>
      </c>
      <c r="AO9870" t="s">
        <v>13920</v>
      </c>
      <c r="AP9870" t="s">
        <v>14029</v>
      </c>
      <c r="AQ9870">
        <v>3</v>
      </c>
      <c r="AR9870" t="s">
        <v>89</v>
      </c>
      <c r="AS9870" t="s">
        <v>90</v>
      </c>
      <c r="AT9870" t="s">
        <v>58</v>
      </c>
      <c r="AU9870" t="s">
        <v>68</v>
      </c>
      <c r="AV9870" t="s">
        <v>69</v>
      </c>
      <c r="AW9870" s="1">
        <v>31575</v>
      </c>
      <c r="AX9870">
        <v>1</v>
      </c>
    </row>
    <row r="9871" spans="1:50">
      <c r="A9871">
        <v>589261</v>
      </c>
      <c r="B9871" t="str">
        <f>"072133485"</f>
        <v>072133485</v>
      </c>
      <c r="C9871" t="s">
        <v>50</v>
      </c>
      <c r="D9871" t="s">
        <v>13282</v>
      </c>
      <c r="E9871" t="s">
        <v>9336</v>
      </c>
      <c r="F9871" t="s">
        <v>95</v>
      </c>
      <c r="G9871" t="s">
        <v>484</v>
      </c>
      <c r="H9871" t="str">
        <f>"ΑΝΔΡΕΑ ΒΑΝΔΟΥΛΑ 17 Χανιά ΧΑΝΙΑ"</f>
        <v>ΑΝΔΡΕΑ ΒΑΝΔΟΥΛΑ 17 Χανιά ΧΑΝΙΑ</v>
      </c>
      <c r="I9871">
        <v>73133</v>
      </c>
      <c r="J9871">
        <v>2821040523</v>
      </c>
      <c r="K9871">
        <v>6944334498</v>
      </c>
      <c r="L9871">
        <v>2821040523</v>
      </c>
      <c r="M9871" t="s">
        <v>14821</v>
      </c>
      <c r="N9871" t="s">
        <v>615</v>
      </c>
      <c r="O9871" t="s">
        <v>616</v>
      </c>
      <c r="R9871" t="s">
        <v>57</v>
      </c>
      <c r="S9871">
        <v>11</v>
      </c>
      <c r="T9871">
        <v>176</v>
      </c>
      <c r="U9871" s="1">
        <v>36403</v>
      </c>
      <c r="V9871" t="s">
        <v>89</v>
      </c>
      <c r="W9871" t="s">
        <v>90</v>
      </c>
      <c r="X9871" t="s">
        <v>58</v>
      </c>
      <c r="Y9871">
        <v>21</v>
      </c>
      <c r="Z9871" t="s">
        <v>59</v>
      </c>
      <c r="AA9871" t="s">
        <v>59</v>
      </c>
      <c r="AB9871" t="s">
        <v>59</v>
      </c>
      <c r="AC9871" t="s">
        <v>59</v>
      </c>
      <c r="AD9871" t="s">
        <v>59</v>
      </c>
      <c r="AF9871" s="1">
        <v>36403</v>
      </c>
      <c r="AG9871" t="s">
        <v>8645</v>
      </c>
      <c r="AH9871" t="s">
        <v>8646</v>
      </c>
      <c r="AI9871" t="str">
        <f>"9500075"</f>
        <v>9500075</v>
      </c>
      <c r="AJ9871" t="s">
        <v>13955</v>
      </c>
      <c r="AK9871">
        <v>2821046505</v>
      </c>
      <c r="AL9871" t="s">
        <v>13956</v>
      </c>
      <c r="AM9871" t="s">
        <v>88</v>
      </c>
      <c r="AN9871" t="s">
        <v>88</v>
      </c>
      <c r="AO9871" t="s">
        <v>88</v>
      </c>
      <c r="AP9871" t="s">
        <v>88</v>
      </c>
      <c r="AQ9871">
        <v>1</v>
      </c>
      <c r="AR9871" t="s">
        <v>89</v>
      </c>
      <c r="AS9871" t="s">
        <v>90</v>
      </c>
      <c r="AT9871" t="s">
        <v>58</v>
      </c>
      <c r="AU9871" t="s">
        <v>68</v>
      </c>
      <c r="AV9871" t="s">
        <v>69</v>
      </c>
      <c r="AW9871" s="1">
        <v>24697</v>
      </c>
      <c r="AX9871">
        <v>1</v>
      </c>
    </row>
    <row r="9872" spans="1:50">
      <c r="A9872">
        <v>577797</v>
      </c>
      <c r="B9872" t="str">
        <f>"065093167"</f>
        <v>065093167</v>
      </c>
      <c r="C9872" t="s">
        <v>50</v>
      </c>
      <c r="D9872" t="s">
        <v>14822</v>
      </c>
      <c r="E9872" t="s">
        <v>783</v>
      </c>
      <c r="F9872" t="s">
        <v>315</v>
      </c>
      <c r="G9872" t="s">
        <v>440</v>
      </c>
      <c r="H9872" t="str">
        <f>"ΑΛ.ΑΑΓΟΡΑΣΤΑΚΗ ΣΟΔΙ-ΑΓ. ΝΟΥΦΡΙΟΣ- ΚΟΥΝΟΥΠΙΔΙΑ"</f>
        <v>ΑΛ.ΑΑΓΟΡΑΣΤΑΚΗ ΣΟΔΙ-ΑΓ. ΝΟΥΦΡΙΟΣ- ΚΟΥΝΟΥΠΙΔΙΑ</v>
      </c>
      <c r="I9872">
        <v>73100</v>
      </c>
      <c r="J9872">
        <v>2821054696</v>
      </c>
      <c r="K9872">
        <v>6936869338</v>
      </c>
      <c r="N9872" t="s">
        <v>615</v>
      </c>
      <c r="O9872" t="s">
        <v>616</v>
      </c>
      <c r="R9872" t="s">
        <v>57</v>
      </c>
      <c r="S9872">
        <v>16</v>
      </c>
      <c r="T9872">
        <v>165</v>
      </c>
      <c r="U9872" s="1">
        <v>35300</v>
      </c>
      <c r="V9872" t="s">
        <v>89</v>
      </c>
      <c r="W9872" t="s">
        <v>90</v>
      </c>
      <c r="X9872" t="s">
        <v>58</v>
      </c>
      <c r="Y9872">
        <v>21</v>
      </c>
      <c r="Z9872" t="s">
        <v>59</v>
      </c>
      <c r="AA9872" t="s">
        <v>59</v>
      </c>
      <c r="AB9872" t="s">
        <v>59</v>
      </c>
      <c r="AC9872" t="s">
        <v>59</v>
      </c>
      <c r="AD9872" t="s">
        <v>59</v>
      </c>
      <c r="AF9872" s="1">
        <v>35300</v>
      </c>
      <c r="AG9872" t="s">
        <v>8645</v>
      </c>
      <c r="AH9872" t="s">
        <v>8646</v>
      </c>
      <c r="AI9872" t="str">
        <f>"9500038"</f>
        <v>9500038</v>
      </c>
      <c r="AJ9872" t="s">
        <v>13899</v>
      </c>
      <c r="AK9872">
        <v>2821042407</v>
      </c>
      <c r="AL9872" t="s">
        <v>13900</v>
      </c>
      <c r="AM9872" t="s">
        <v>88</v>
      </c>
      <c r="AN9872" t="s">
        <v>88</v>
      </c>
      <c r="AO9872" t="s">
        <v>88</v>
      </c>
      <c r="AP9872" t="s">
        <v>88</v>
      </c>
      <c r="AQ9872">
        <v>1</v>
      </c>
      <c r="AR9872" t="s">
        <v>89</v>
      </c>
      <c r="AS9872" t="s">
        <v>90</v>
      </c>
      <c r="AT9872" t="s">
        <v>58</v>
      </c>
      <c r="AU9872" t="s">
        <v>68</v>
      </c>
      <c r="AV9872" t="s">
        <v>69</v>
      </c>
      <c r="AW9872" s="1">
        <v>23712</v>
      </c>
      <c r="AX9872">
        <v>1</v>
      </c>
    </row>
    <row r="9873" spans="1:50">
      <c r="A9873">
        <v>612003</v>
      </c>
      <c r="B9873" t="str">
        <f>"062876691"</f>
        <v>062876691</v>
      </c>
      <c r="C9873" t="s">
        <v>50</v>
      </c>
      <c r="D9873" t="s">
        <v>14823</v>
      </c>
      <c r="E9873" t="s">
        <v>340</v>
      </c>
      <c r="F9873" t="s">
        <v>450</v>
      </c>
      <c r="G9873" t="s">
        <v>237</v>
      </c>
      <c r="H9873" t="str">
        <f>"ΚΑΘΙΑΝΑ ΧΑΝΙΑ"</f>
        <v>ΚΑΘΙΑΝΑ ΧΑΝΙΑ</v>
      </c>
      <c r="I9873">
        <v>73100</v>
      </c>
      <c r="J9873">
        <v>2821065688</v>
      </c>
      <c r="K9873">
        <v>6983031381</v>
      </c>
      <c r="N9873" t="s">
        <v>306</v>
      </c>
      <c r="O9873" t="s">
        <v>307</v>
      </c>
      <c r="R9873" t="s">
        <v>57</v>
      </c>
      <c r="S9873">
        <v>7</v>
      </c>
      <c r="T9873">
        <v>234</v>
      </c>
      <c r="U9873" s="1">
        <v>38960</v>
      </c>
      <c r="V9873" t="s">
        <v>89</v>
      </c>
      <c r="W9873" t="s">
        <v>90</v>
      </c>
      <c r="X9873" t="s">
        <v>58</v>
      </c>
      <c r="Y9873">
        <v>22</v>
      </c>
      <c r="Z9873" t="s">
        <v>59</v>
      </c>
      <c r="AA9873" t="s">
        <v>59</v>
      </c>
      <c r="AB9873" t="s">
        <v>59</v>
      </c>
      <c r="AC9873" t="s">
        <v>59</v>
      </c>
      <c r="AD9873" t="s">
        <v>59</v>
      </c>
      <c r="AF9873" s="1">
        <v>38960</v>
      </c>
      <c r="AG9873" t="s">
        <v>8645</v>
      </c>
      <c r="AH9873" t="s">
        <v>8646</v>
      </c>
      <c r="AI9873" t="str">
        <f>"9520693"</f>
        <v>9520693</v>
      </c>
      <c r="AJ9873" t="s">
        <v>13913</v>
      </c>
      <c r="AK9873">
        <v>2821066910</v>
      </c>
      <c r="AL9873" t="s">
        <v>13914</v>
      </c>
      <c r="AM9873" t="s">
        <v>88</v>
      </c>
      <c r="AN9873" t="s">
        <v>88</v>
      </c>
      <c r="AO9873" t="s">
        <v>6770</v>
      </c>
      <c r="AP9873" t="s">
        <v>6771</v>
      </c>
      <c r="AQ9873">
        <v>2</v>
      </c>
      <c r="AR9873" t="s">
        <v>89</v>
      </c>
      <c r="AS9873" t="s">
        <v>90</v>
      </c>
      <c r="AT9873" t="s">
        <v>58</v>
      </c>
      <c r="AU9873" t="s">
        <v>68</v>
      </c>
      <c r="AV9873" t="s">
        <v>69</v>
      </c>
      <c r="AW9873" s="1">
        <v>27181</v>
      </c>
      <c r="AX9873">
        <v>1</v>
      </c>
    </row>
    <row r="9874" spans="1:50">
      <c r="B9874" t="str">
        <f>"066906840"</f>
        <v>066906840</v>
      </c>
      <c r="C9874" t="s">
        <v>50</v>
      </c>
      <c r="D9874" t="s">
        <v>6145</v>
      </c>
      <c r="E9874" t="s">
        <v>54</v>
      </c>
      <c r="F9874" t="s">
        <v>900</v>
      </c>
      <c r="G9874" t="s">
        <v>755</v>
      </c>
      <c r="H9874" t="str">
        <f>"ΑΝΑΓΝΩΣΤΟΠΟΥΛΟΥ 30Β "</f>
        <v xml:space="preserve">ΑΝΑΓΝΩΣΤΟΠΟΥΛΟΥ 30Β </v>
      </c>
      <c r="I9874">
        <v>38334</v>
      </c>
      <c r="J9874">
        <v>2421083930</v>
      </c>
      <c r="K9874">
        <v>6983508810</v>
      </c>
      <c r="N9874" t="s">
        <v>8694</v>
      </c>
      <c r="O9874" t="s">
        <v>8695</v>
      </c>
      <c r="R9874" t="s">
        <v>159</v>
      </c>
      <c r="S9874">
        <v>5</v>
      </c>
      <c r="T9874" t="s">
        <v>8696</v>
      </c>
      <c r="U9874" s="1">
        <v>43348</v>
      </c>
      <c r="V9874" t="s">
        <v>89</v>
      </c>
      <c r="W9874" t="s">
        <v>90</v>
      </c>
      <c r="X9874" t="s">
        <v>58</v>
      </c>
      <c r="Y9874">
        <v>24</v>
      </c>
      <c r="Z9874" t="s">
        <v>59</v>
      </c>
      <c r="AA9874" t="s">
        <v>59</v>
      </c>
      <c r="AB9874" t="s">
        <v>59</v>
      </c>
      <c r="AC9874" t="s">
        <v>59</v>
      </c>
      <c r="AD9874" t="s">
        <v>59</v>
      </c>
      <c r="AF9874" s="1">
        <v>43348</v>
      </c>
      <c r="AG9874" t="s">
        <v>8645</v>
      </c>
      <c r="AH9874" t="s">
        <v>8697</v>
      </c>
      <c r="AI9874" t="str">
        <f>"9521567"</f>
        <v>9521567</v>
      </c>
      <c r="AJ9874" t="s">
        <v>14148</v>
      </c>
      <c r="AK9874">
        <v>2821086921</v>
      </c>
      <c r="AL9874" t="s">
        <v>14149</v>
      </c>
      <c r="AM9874" t="s">
        <v>88</v>
      </c>
      <c r="AN9874" t="s">
        <v>88</v>
      </c>
      <c r="AO9874" t="s">
        <v>88</v>
      </c>
      <c r="AP9874" t="s">
        <v>88</v>
      </c>
      <c r="AQ9874">
        <v>1</v>
      </c>
      <c r="AR9874" t="s">
        <v>89</v>
      </c>
      <c r="AS9874" t="s">
        <v>90</v>
      </c>
      <c r="AT9874" t="s">
        <v>58</v>
      </c>
      <c r="AU9874" t="s">
        <v>350</v>
      </c>
      <c r="AV9874" t="s">
        <v>132</v>
      </c>
      <c r="AW9874" s="1">
        <v>27935</v>
      </c>
      <c r="AX9874">
        <v>1</v>
      </c>
    </row>
    <row r="9875" spans="1:50">
      <c r="A9875">
        <v>568981</v>
      </c>
      <c r="B9875" t="str">
        <f>"069049817"</f>
        <v>069049817</v>
      </c>
      <c r="C9875" t="s">
        <v>50</v>
      </c>
      <c r="D9875" t="s">
        <v>6149</v>
      </c>
      <c r="E9875" t="s">
        <v>1355</v>
      </c>
      <c r="F9875" t="s">
        <v>154</v>
      </c>
      <c r="G9875" t="s">
        <v>52</v>
      </c>
      <c r="H9875" t="str">
        <f>"ΣΤΑΣΗ ΚΑΝΤΕΡΗ ΚΟΡΑΚΙΕΣ"</f>
        <v>ΣΤΑΣΗ ΚΑΝΤΕΡΗ ΚΟΡΑΚΙΕΣ</v>
      </c>
      <c r="I9875">
        <v>73100</v>
      </c>
      <c r="J9875">
        <v>2821066529</v>
      </c>
      <c r="K9875">
        <v>6973004446</v>
      </c>
      <c r="N9875" t="s">
        <v>615</v>
      </c>
      <c r="O9875" t="s">
        <v>616</v>
      </c>
      <c r="R9875" t="s">
        <v>57</v>
      </c>
      <c r="S9875">
        <v>14</v>
      </c>
      <c r="T9875">
        <v>162</v>
      </c>
      <c r="U9875" s="1">
        <v>33844</v>
      </c>
      <c r="V9875" t="s">
        <v>89</v>
      </c>
      <c r="W9875" t="s">
        <v>90</v>
      </c>
      <c r="X9875" t="s">
        <v>58</v>
      </c>
      <c r="Y9875">
        <v>21</v>
      </c>
      <c r="Z9875" t="s">
        <v>59</v>
      </c>
      <c r="AA9875" t="s">
        <v>59</v>
      </c>
      <c r="AB9875" t="s">
        <v>59</v>
      </c>
      <c r="AC9875" t="s">
        <v>59</v>
      </c>
      <c r="AD9875" t="s">
        <v>59</v>
      </c>
      <c r="AF9875" s="1">
        <v>33844</v>
      </c>
      <c r="AG9875" t="s">
        <v>8645</v>
      </c>
      <c r="AH9875" t="s">
        <v>8646</v>
      </c>
      <c r="AI9875" t="str">
        <f>"9500315"</f>
        <v>9500315</v>
      </c>
      <c r="AJ9875" t="s">
        <v>14174</v>
      </c>
      <c r="AK9875">
        <v>2821040565</v>
      </c>
      <c r="AL9875" t="s">
        <v>14175</v>
      </c>
      <c r="AM9875" t="s">
        <v>88</v>
      </c>
      <c r="AN9875" t="s">
        <v>88</v>
      </c>
      <c r="AO9875" t="s">
        <v>88</v>
      </c>
      <c r="AP9875" t="s">
        <v>88</v>
      </c>
      <c r="AQ9875">
        <v>1</v>
      </c>
      <c r="AR9875" t="s">
        <v>89</v>
      </c>
      <c r="AS9875" t="s">
        <v>90</v>
      </c>
      <c r="AT9875" t="s">
        <v>58</v>
      </c>
      <c r="AU9875" t="s">
        <v>68</v>
      </c>
      <c r="AV9875" t="s">
        <v>69</v>
      </c>
      <c r="AW9875" s="1">
        <v>23779</v>
      </c>
      <c r="AX9875">
        <v>1</v>
      </c>
    </row>
    <row r="9876" spans="1:50">
      <c r="B9876" t="str">
        <f>"143713261"</f>
        <v>143713261</v>
      </c>
      <c r="C9876" t="s">
        <v>105</v>
      </c>
      <c r="D9876" t="s">
        <v>14824</v>
      </c>
      <c r="E9876" t="s">
        <v>309</v>
      </c>
      <c r="F9876" t="s">
        <v>72</v>
      </c>
      <c r="G9876" t="s">
        <v>658</v>
      </c>
      <c r="H9876" t="str">
        <f>" "</f>
        <v xml:space="preserve"> </v>
      </c>
      <c r="N9876" t="s">
        <v>683</v>
      </c>
      <c r="O9876" t="s">
        <v>684</v>
      </c>
      <c r="R9876" t="s">
        <v>121</v>
      </c>
      <c r="S9876">
        <v>1</v>
      </c>
      <c r="T9876" t="s">
        <v>8675</v>
      </c>
      <c r="U9876" s="1">
        <v>43348</v>
      </c>
      <c r="V9876" t="s">
        <v>89</v>
      </c>
      <c r="W9876" t="s">
        <v>90</v>
      </c>
      <c r="X9876" t="s">
        <v>58</v>
      </c>
      <c r="Y9876">
        <v>24</v>
      </c>
      <c r="Z9876" t="s">
        <v>59</v>
      </c>
      <c r="AD9876" t="s">
        <v>59</v>
      </c>
      <c r="AF9876" s="1">
        <v>43348</v>
      </c>
      <c r="AG9876" t="s">
        <v>8645</v>
      </c>
      <c r="AH9876" t="s">
        <v>8646</v>
      </c>
      <c r="AI9876" t="str">
        <f>"9500191"</f>
        <v>9500191</v>
      </c>
      <c r="AJ9876" t="s">
        <v>13986</v>
      </c>
      <c r="AK9876">
        <v>2822022042</v>
      </c>
      <c r="AL9876" t="s">
        <v>13987</v>
      </c>
      <c r="AM9876" t="s">
        <v>88</v>
      </c>
      <c r="AN9876" t="s">
        <v>6744</v>
      </c>
      <c r="AO9876" t="s">
        <v>6744</v>
      </c>
      <c r="AP9876" t="s">
        <v>6744</v>
      </c>
      <c r="AQ9876">
        <v>9</v>
      </c>
      <c r="AR9876" t="s">
        <v>89</v>
      </c>
      <c r="AS9876" t="s">
        <v>90</v>
      </c>
      <c r="AT9876" t="s">
        <v>58</v>
      </c>
      <c r="AU9876" t="s">
        <v>8673</v>
      </c>
      <c r="AV9876" t="s">
        <v>132</v>
      </c>
      <c r="AW9876" s="1">
        <v>32284</v>
      </c>
      <c r="AX9876">
        <v>1</v>
      </c>
    </row>
    <row r="9877" spans="1:50">
      <c r="A9877">
        <v>593004</v>
      </c>
      <c r="B9877" t="str">
        <f>"057733452"</f>
        <v>057733452</v>
      </c>
      <c r="C9877" t="s">
        <v>50</v>
      </c>
      <c r="D9877" t="s">
        <v>14825</v>
      </c>
      <c r="E9877" t="s">
        <v>931</v>
      </c>
      <c r="F9877" t="s">
        <v>304</v>
      </c>
      <c r="G9877" t="s">
        <v>52</v>
      </c>
      <c r="H9877" t="str">
        <f>"ΛΑΜΠΡΟΥ ΚΩΝΣΤΑΝΤΑΡΑ 3 ΧΑΝΙΑ"</f>
        <v>ΛΑΜΠΡΟΥ ΚΩΝΣΤΑΝΤΑΡΑ 3 ΧΑΝΙΑ</v>
      </c>
      <c r="I9877">
        <v>73100</v>
      </c>
      <c r="J9877">
        <v>2821059325</v>
      </c>
      <c r="K9877">
        <v>6932787743</v>
      </c>
      <c r="M9877" t="s">
        <v>14826</v>
      </c>
      <c r="N9877" t="s">
        <v>615</v>
      </c>
      <c r="O9877" t="s">
        <v>616</v>
      </c>
      <c r="R9877" t="s">
        <v>57</v>
      </c>
      <c r="S9877">
        <v>11</v>
      </c>
      <c r="T9877">
        <v>218</v>
      </c>
      <c r="U9877" s="1">
        <v>37134</v>
      </c>
      <c r="V9877" t="s">
        <v>89</v>
      </c>
      <c r="W9877" t="s">
        <v>90</v>
      </c>
      <c r="X9877" t="s">
        <v>58</v>
      </c>
      <c r="Y9877">
        <v>22</v>
      </c>
      <c r="Z9877" t="s">
        <v>59</v>
      </c>
      <c r="AA9877" t="s">
        <v>59</v>
      </c>
      <c r="AB9877" t="s">
        <v>59</v>
      </c>
      <c r="AC9877" t="s">
        <v>59</v>
      </c>
      <c r="AD9877" t="s">
        <v>59</v>
      </c>
      <c r="AF9877" s="1">
        <v>37138</v>
      </c>
      <c r="AG9877" t="s">
        <v>8645</v>
      </c>
      <c r="AH9877" t="s">
        <v>8697</v>
      </c>
      <c r="AI9877" t="str">
        <f>"9500361"</f>
        <v>9500361</v>
      </c>
      <c r="AJ9877" t="s">
        <v>14024</v>
      </c>
      <c r="AK9877">
        <v>2821070176</v>
      </c>
      <c r="AL9877" t="s">
        <v>14025</v>
      </c>
      <c r="AM9877" t="s">
        <v>88</v>
      </c>
      <c r="AN9877" t="s">
        <v>88</v>
      </c>
      <c r="AO9877" t="s">
        <v>88</v>
      </c>
      <c r="AP9877" t="s">
        <v>88</v>
      </c>
      <c r="AQ9877">
        <v>1</v>
      </c>
      <c r="AR9877" t="s">
        <v>89</v>
      </c>
      <c r="AS9877" t="s">
        <v>90</v>
      </c>
      <c r="AT9877" t="s">
        <v>58</v>
      </c>
      <c r="AU9877" t="s">
        <v>68</v>
      </c>
      <c r="AV9877" t="s">
        <v>69</v>
      </c>
      <c r="AW9877" s="1">
        <v>25462</v>
      </c>
      <c r="AX9877">
        <v>1</v>
      </c>
    </row>
    <row r="9878" spans="1:50">
      <c r="A9878">
        <v>594940</v>
      </c>
      <c r="B9878" t="str">
        <f>"067856750"</f>
        <v>067856750</v>
      </c>
      <c r="C9878" t="s">
        <v>50</v>
      </c>
      <c r="D9878" t="s">
        <v>14827</v>
      </c>
      <c r="E9878" t="s">
        <v>73</v>
      </c>
      <c r="F9878" t="s">
        <v>315</v>
      </c>
      <c r="G9878" t="s">
        <v>1189</v>
      </c>
      <c r="H9878" t="str">
        <f>"ΜΙΝΩΘΙΑΝΑ ΚΟΛΥΜΒΑΡΙΟΥ ΚΟΛΥΜΒΑΡΙ-ΧΑΝΙΑ"</f>
        <v>ΜΙΝΩΘΙΑΝΑ ΚΟΛΥΜΒΑΡΙΟΥ ΚΟΛΥΜΒΑΡΙ-ΧΑΝΙΑ</v>
      </c>
      <c r="I9878">
        <v>73006</v>
      </c>
      <c r="J9878">
        <v>2824023624</v>
      </c>
      <c r="K9878">
        <v>6978335798</v>
      </c>
      <c r="M9878" t="s">
        <v>14828</v>
      </c>
      <c r="N9878" t="s">
        <v>615</v>
      </c>
      <c r="O9878" t="s">
        <v>616</v>
      </c>
      <c r="R9878" t="s">
        <v>57</v>
      </c>
      <c r="S9878">
        <v>8</v>
      </c>
      <c r="T9878">
        <v>218</v>
      </c>
      <c r="U9878" s="1">
        <v>37134</v>
      </c>
      <c r="V9878" t="s">
        <v>89</v>
      </c>
      <c r="W9878" t="s">
        <v>90</v>
      </c>
      <c r="X9878" t="s">
        <v>58</v>
      </c>
      <c r="Y9878">
        <v>22</v>
      </c>
      <c r="Z9878" t="s">
        <v>59</v>
      </c>
      <c r="AA9878" t="s">
        <v>59</v>
      </c>
      <c r="AB9878" t="s">
        <v>59</v>
      </c>
      <c r="AC9878" t="s">
        <v>59</v>
      </c>
      <c r="AD9878" t="s">
        <v>59</v>
      </c>
      <c r="AF9878" s="1">
        <v>37137</v>
      </c>
      <c r="AG9878" t="s">
        <v>8645</v>
      </c>
      <c r="AH9878" t="s">
        <v>8646</v>
      </c>
      <c r="AI9878" t="str">
        <f>"9500160"</f>
        <v>9500160</v>
      </c>
      <c r="AJ9878" t="s">
        <v>14486</v>
      </c>
      <c r="AK9878">
        <v>2821062458</v>
      </c>
      <c r="AL9878" t="s">
        <v>14487</v>
      </c>
      <c r="AM9878" t="s">
        <v>88</v>
      </c>
      <c r="AN9878" t="s">
        <v>6764</v>
      </c>
      <c r="AO9878" t="s">
        <v>6764</v>
      </c>
      <c r="AP9878" t="s">
        <v>14488</v>
      </c>
      <c r="AQ9878">
        <v>5</v>
      </c>
      <c r="AR9878" t="s">
        <v>89</v>
      </c>
      <c r="AS9878" t="s">
        <v>90</v>
      </c>
      <c r="AT9878" t="s">
        <v>58</v>
      </c>
      <c r="AU9878" t="s">
        <v>68</v>
      </c>
      <c r="AV9878" t="s">
        <v>69</v>
      </c>
      <c r="AW9878" s="1">
        <v>27263</v>
      </c>
      <c r="AX9878">
        <v>1</v>
      </c>
    </row>
    <row r="9879" spans="1:50">
      <c r="B9879" t="str">
        <f>"143687632"</f>
        <v>143687632</v>
      </c>
      <c r="C9879" t="s">
        <v>50</v>
      </c>
      <c r="D9879" t="s">
        <v>14827</v>
      </c>
      <c r="E9879" t="s">
        <v>109</v>
      </c>
      <c r="F9879" t="s">
        <v>510</v>
      </c>
      <c r="G9879" t="s">
        <v>14829</v>
      </c>
      <c r="H9879" t="str">
        <f>"ΜΗΤΡΟΠΟΛΙΤΟΥ ΚΥΡΙΛΛΟΥ 3 ΧΑΝΙΑ"</f>
        <v>ΜΗΤΡΟΠΟΛΙΤΟΥ ΚΥΡΙΛΛΟΥ 3 ΧΑΝΙΑ</v>
      </c>
      <c r="I9879">
        <v>73100</v>
      </c>
      <c r="J9879">
        <v>2821040174</v>
      </c>
      <c r="K9879">
        <v>6981734603</v>
      </c>
      <c r="N9879" t="s">
        <v>8834</v>
      </c>
      <c r="O9879" t="s">
        <v>8695</v>
      </c>
      <c r="R9879" t="s">
        <v>159</v>
      </c>
      <c r="S9879">
        <v>4</v>
      </c>
      <c r="T9879" t="s">
        <v>8835</v>
      </c>
      <c r="U9879" s="1">
        <v>43348</v>
      </c>
      <c r="V9879" t="s">
        <v>89</v>
      </c>
      <c r="W9879" t="s">
        <v>90</v>
      </c>
      <c r="X9879" t="s">
        <v>58</v>
      </c>
      <c r="Y9879">
        <v>24</v>
      </c>
      <c r="Z9879" t="s">
        <v>59</v>
      </c>
      <c r="AA9879" t="s">
        <v>59</v>
      </c>
      <c r="AB9879" t="s">
        <v>59</v>
      </c>
      <c r="AC9879" t="s">
        <v>59</v>
      </c>
      <c r="AD9879" t="s">
        <v>59</v>
      </c>
      <c r="AF9879" s="1">
        <v>43348</v>
      </c>
      <c r="AG9879" t="s">
        <v>8645</v>
      </c>
      <c r="AH9879" t="s">
        <v>8646</v>
      </c>
      <c r="AI9879" t="str">
        <f>"9500075"</f>
        <v>9500075</v>
      </c>
      <c r="AJ9879" t="s">
        <v>13955</v>
      </c>
      <c r="AK9879">
        <v>2821046505</v>
      </c>
      <c r="AL9879" t="s">
        <v>13956</v>
      </c>
      <c r="AM9879" t="s">
        <v>88</v>
      </c>
      <c r="AN9879" t="s">
        <v>88</v>
      </c>
      <c r="AO9879" t="s">
        <v>88</v>
      </c>
      <c r="AP9879" t="s">
        <v>88</v>
      </c>
      <c r="AQ9879">
        <v>1</v>
      </c>
      <c r="AR9879" t="s">
        <v>89</v>
      </c>
      <c r="AS9879" t="s">
        <v>90</v>
      </c>
      <c r="AT9879" t="s">
        <v>58</v>
      </c>
      <c r="AU9879" t="s">
        <v>131</v>
      </c>
      <c r="AV9879" t="s">
        <v>132</v>
      </c>
      <c r="AW9879" s="1">
        <v>32325</v>
      </c>
      <c r="AX9879">
        <v>1</v>
      </c>
    </row>
    <row r="9880" spans="1:50">
      <c r="A9880">
        <v>615732</v>
      </c>
      <c r="B9880" t="str">
        <f>"135209425"</f>
        <v>135209425</v>
      </c>
      <c r="C9880" t="s">
        <v>50</v>
      </c>
      <c r="D9880" t="s">
        <v>7619</v>
      </c>
      <c r="E9880" t="s">
        <v>237</v>
      </c>
      <c r="F9880" t="s">
        <v>95</v>
      </c>
      <c r="G9880" t="s">
        <v>83</v>
      </c>
      <c r="H9880" t="str">
        <f>"ΠΥΘΑΡΙ ΑΚΡΩΤΗΡΙ-ΧΑΝΙΑ"</f>
        <v>ΠΥΘΑΡΙ ΑΚΡΩΤΗΡΙ-ΧΑΝΙΑ</v>
      </c>
      <c r="I9880">
        <v>73100</v>
      </c>
      <c r="J9880">
        <v>2821005842</v>
      </c>
      <c r="K9880">
        <v>6973656817</v>
      </c>
      <c r="N9880" t="s">
        <v>306</v>
      </c>
      <c r="O9880" t="s">
        <v>307</v>
      </c>
      <c r="R9880" t="s">
        <v>57</v>
      </c>
      <c r="S9880">
        <v>6</v>
      </c>
      <c r="T9880">
        <v>600</v>
      </c>
      <c r="U9880" s="1">
        <v>39310</v>
      </c>
      <c r="V9880" t="s">
        <v>89</v>
      </c>
      <c r="W9880" t="s">
        <v>90</v>
      </c>
      <c r="X9880" t="s">
        <v>58</v>
      </c>
      <c r="Y9880">
        <v>23</v>
      </c>
      <c r="Z9880" t="s">
        <v>59</v>
      </c>
      <c r="AA9880" t="s">
        <v>59</v>
      </c>
      <c r="AB9880" t="s">
        <v>59</v>
      </c>
      <c r="AC9880" t="s">
        <v>59</v>
      </c>
      <c r="AD9880" t="s">
        <v>59</v>
      </c>
      <c r="AF9880" s="1">
        <v>39328</v>
      </c>
      <c r="AG9880" t="s">
        <v>8645</v>
      </c>
      <c r="AH9880" t="s">
        <v>8646</v>
      </c>
      <c r="AI9880" t="str">
        <f>"9500167"</f>
        <v>9500167</v>
      </c>
      <c r="AJ9880" t="s">
        <v>13922</v>
      </c>
      <c r="AK9880">
        <v>2821068357</v>
      </c>
      <c r="AL9880" t="s">
        <v>13923</v>
      </c>
      <c r="AM9880" t="s">
        <v>88</v>
      </c>
      <c r="AN9880" t="s">
        <v>6764</v>
      </c>
      <c r="AO9880" t="s">
        <v>6764</v>
      </c>
      <c r="AP9880" t="s">
        <v>6764</v>
      </c>
      <c r="AQ9880">
        <v>5</v>
      </c>
      <c r="AR9880" t="s">
        <v>89</v>
      </c>
      <c r="AS9880" t="s">
        <v>90</v>
      </c>
      <c r="AT9880" t="s">
        <v>58</v>
      </c>
      <c r="AU9880" t="s">
        <v>68</v>
      </c>
      <c r="AV9880" t="s">
        <v>69</v>
      </c>
      <c r="AW9880" s="1">
        <v>29374</v>
      </c>
      <c r="AX9880">
        <v>1</v>
      </c>
    </row>
    <row r="9881" spans="1:50">
      <c r="A9881">
        <v>562306</v>
      </c>
      <c r="B9881" t="str">
        <f>"031851884"</f>
        <v>031851884</v>
      </c>
      <c r="C9881" t="s">
        <v>50</v>
      </c>
      <c r="D9881" t="s">
        <v>14830</v>
      </c>
      <c r="E9881" t="s">
        <v>263</v>
      </c>
      <c r="F9881" t="s">
        <v>53</v>
      </c>
      <c r="G9881" t="s">
        <v>109</v>
      </c>
      <c r="H9881" t="str">
        <f>"ΛΑΦΟΝΗΣΙΟΥ 7 ΧΑΝΙΩΝ"</f>
        <v>ΛΑΦΟΝΗΣΙΟΥ 7 ΧΑΝΙΩΝ</v>
      </c>
      <c r="I9881">
        <v>73131</v>
      </c>
      <c r="J9881">
        <v>2821075328</v>
      </c>
      <c r="K9881">
        <v>6993137515</v>
      </c>
      <c r="N9881" t="s">
        <v>615</v>
      </c>
      <c r="O9881" t="s">
        <v>616</v>
      </c>
      <c r="R9881" t="s">
        <v>57</v>
      </c>
      <c r="S9881">
        <v>15</v>
      </c>
      <c r="T9881">
        <v>187</v>
      </c>
      <c r="U9881" s="1">
        <v>32750</v>
      </c>
      <c r="V9881" t="s">
        <v>89</v>
      </c>
      <c r="W9881" t="s">
        <v>90</v>
      </c>
      <c r="X9881" t="s">
        <v>58</v>
      </c>
      <c r="Y9881">
        <v>21</v>
      </c>
      <c r="Z9881" t="s">
        <v>59</v>
      </c>
      <c r="AA9881" t="s">
        <v>59</v>
      </c>
      <c r="AB9881" t="s">
        <v>59</v>
      </c>
      <c r="AC9881" t="s">
        <v>59</v>
      </c>
      <c r="AD9881" t="s">
        <v>59</v>
      </c>
      <c r="AF9881" s="1">
        <v>32750</v>
      </c>
      <c r="AG9881" t="s">
        <v>8645</v>
      </c>
      <c r="AH9881" t="s">
        <v>8646</v>
      </c>
      <c r="AI9881" t="str">
        <f>"9500035"</f>
        <v>9500035</v>
      </c>
      <c r="AJ9881" t="s">
        <v>13979</v>
      </c>
      <c r="AK9881">
        <v>2821094678</v>
      </c>
      <c r="AL9881" t="s">
        <v>13980</v>
      </c>
      <c r="AM9881" t="s">
        <v>88</v>
      </c>
      <c r="AN9881" t="s">
        <v>88</v>
      </c>
      <c r="AO9881" t="s">
        <v>88</v>
      </c>
      <c r="AP9881" t="s">
        <v>88</v>
      </c>
      <c r="AQ9881">
        <v>2</v>
      </c>
      <c r="AR9881" t="s">
        <v>89</v>
      </c>
      <c r="AS9881" t="s">
        <v>90</v>
      </c>
      <c r="AT9881" t="s">
        <v>58</v>
      </c>
      <c r="AU9881" t="s">
        <v>68</v>
      </c>
      <c r="AV9881" t="s">
        <v>2039</v>
      </c>
      <c r="AW9881" s="1">
        <v>23977</v>
      </c>
      <c r="AX9881">
        <v>1</v>
      </c>
    </row>
    <row r="9882" spans="1:50">
      <c r="A9882">
        <v>604810</v>
      </c>
      <c r="B9882" t="str">
        <f>"059837642"</f>
        <v>059837642</v>
      </c>
      <c r="C9882" t="s">
        <v>50</v>
      </c>
      <c r="D9882" t="s">
        <v>14831</v>
      </c>
      <c r="E9882" t="s">
        <v>237</v>
      </c>
      <c r="F9882" t="s">
        <v>99</v>
      </c>
      <c r="G9882" t="s">
        <v>14832</v>
      </c>
      <c r="H9882" t="str">
        <f>"ΣΚΡΑ 17 ΧΑΝΙΩΝ"</f>
        <v>ΣΚΡΑ 17 ΧΑΝΙΩΝ</v>
      </c>
      <c r="I9882">
        <v>73100</v>
      </c>
      <c r="J9882">
        <v>2821050675</v>
      </c>
      <c r="K9882">
        <v>6978404696</v>
      </c>
      <c r="N9882" t="s">
        <v>615</v>
      </c>
      <c r="O9882" t="s">
        <v>616</v>
      </c>
      <c r="R9882" t="s">
        <v>57</v>
      </c>
      <c r="S9882">
        <v>10</v>
      </c>
      <c r="T9882">
        <v>231</v>
      </c>
      <c r="U9882" s="1">
        <v>38230</v>
      </c>
      <c r="V9882" t="s">
        <v>89</v>
      </c>
      <c r="W9882" t="s">
        <v>90</v>
      </c>
      <c r="X9882" t="s">
        <v>58</v>
      </c>
      <c r="Y9882">
        <v>21</v>
      </c>
      <c r="Z9882" t="s">
        <v>59</v>
      </c>
      <c r="AA9882" t="s">
        <v>59</v>
      </c>
      <c r="AB9882" t="s">
        <v>59</v>
      </c>
      <c r="AC9882" t="s">
        <v>59</v>
      </c>
      <c r="AD9882" t="s">
        <v>59</v>
      </c>
      <c r="AF9882" s="1">
        <v>38230</v>
      </c>
      <c r="AG9882" t="s">
        <v>8645</v>
      </c>
      <c r="AH9882" t="s">
        <v>8646</v>
      </c>
      <c r="AI9882" t="str">
        <f>"9500045"</f>
        <v>9500045</v>
      </c>
      <c r="AJ9882" t="s">
        <v>13887</v>
      </c>
      <c r="AK9882">
        <v>2821044369</v>
      </c>
      <c r="AL9882" t="s">
        <v>13888</v>
      </c>
      <c r="AM9882" t="s">
        <v>88</v>
      </c>
      <c r="AN9882" t="s">
        <v>88</v>
      </c>
      <c r="AO9882" t="s">
        <v>88</v>
      </c>
      <c r="AP9882" t="s">
        <v>88</v>
      </c>
      <c r="AQ9882">
        <v>1</v>
      </c>
      <c r="AR9882" t="s">
        <v>89</v>
      </c>
      <c r="AS9882" t="s">
        <v>90</v>
      </c>
      <c r="AT9882" t="s">
        <v>58</v>
      </c>
      <c r="AU9882" t="s">
        <v>68</v>
      </c>
      <c r="AV9882" t="s">
        <v>69</v>
      </c>
      <c r="AW9882" s="1">
        <v>25723</v>
      </c>
      <c r="AX9882">
        <v>1</v>
      </c>
    </row>
    <row r="9883" spans="1:50">
      <c r="A9883">
        <v>564040</v>
      </c>
      <c r="B9883" t="str">
        <f>"032853980"</f>
        <v>032853980</v>
      </c>
      <c r="C9883" t="s">
        <v>50</v>
      </c>
      <c r="D9883" t="s">
        <v>14831</v>
      </c>
      <c r="E9883" t="s">
        <v>143</v>
      </c>
      <c r="F9883" t="s">
        <v>95</v>
      </c>
      <c r="G9883" t="s">
        <v>314</v>
      </c>
      <c r="H9883" t="str">
        <f>"ΑΓ.ΞΗΡΟΥΧΑΚΗ 21 ΧΑΝΙΩΝ"</f>
        <v>ΑΓ.ΞΗΡΟΥΧΑΚΗ 21 ΧΑΝΙΩΝ</v>
      </c>
      <c r="I9883">
        <v>73100</v>
      </c>
      <c r="N9883" t="s">
        <v>615</v>
      </c>
      <c r="O9883" t="s">
        <v>616</v>
      </c>
      <c r="R9883" t="s">
        <v>57</v>
      </c>
      <c r="S9883">
        <v>15</v>
      </c>
      <c r="T9883">
        <v>161</v>
      </c>
      <c r="U9883" s="1">
        <v>33119</v>
      </c>
      <c r="V9883" t="s">
        <v>89</v>
      </c>
      <c r="W9883" t="s">
        <v>90</v>
      </c>
      <c r="X9883" t="s">
        <v>58</v>
      </c>
      <c r="Y9883">
        <v>21</v>
      </c>
      <c r="Z9883" t="s">
        <v>59</v>
      </c>
      <c r="AA9883" t="s">
        <v>59</v>
      </c>
      <c r="AB9883" t="s">
        <v>59</v>
      </c>
      <c r="AC9883" t="s">
        <v>59</v>
      </c>
      <c r="AD9883" t="s">
        <v>59</v>
      </c>
      <c r="AF9883" s="1">
        <v>33119</v>
      </c>
      <c r="AG9883" t="s">
        <v>8645</v>
      </c>
      <c r="AH9883" t="s">
        <v>8646</v>
      </c>
      <c r="AI9883" t="str">
        <f>"9500329"</f>
        <v>9500329</v>
      </c>
      <c r="AJ9883" t="s">
        <v>14241</v>
      </c>
      <c r="AK9883">
        <v>2821099075</v>
      </c>
      <c r="AL9883" t="s">
        <v>14242</v>
      </c>
      <c r="AM9883" t="s">
        <v>88</v>
      </c>
      <c r="AN9883" t="s">
        <v>88</v>
      </c>
      <c r="AO9883" t="s">
        <v>6733</v>
      </c>
      <c r="AP9883" t="s">
        <v>6734</v>
      </c>
      <c r="AQ9883">
        <v>2</v>
      </c>
      <c r="AR9883" t="s">
        <v>89</v>
      </c>
      <c r="AS9883" t="s">
        <v>90</v>
      </c>
      <c r="AT9883" t="s">
        <v>58</v>
      </c>
      <c r="AU9883" t="s">
        <v>68</v>
      </c>
      <c r="AV9883" t="s">
        <v>69</v>
      </c>
      <c r="AW9883" s="1">
        <v>23851</v>
      </c>
      <c r="AX9883">
        <v>1</v>
      </c>
    </row>
    <row r="9884" spans="1:50">
      <c r="A9884">
        <v>618871</v>
      </c>
      <c r="B9884" t="str">
        <f>"118468007"</f>
        <v>118468007</v>
      </c>
      <c r="C9884" t="s">
        <v>50</v>
      </c>
      <c r="D9884" t="s">
        <v>10435</v>
      </c>
      <c r="E9884" t="s">
        <v>580</v>
      </c>
      <c r="F9884" t="s">
        <v>99</v>
      </c>
      <c r="G9884" t="s">
        <v>181</v>
      </c>
      <c r="H9884" t="str">
        <f>"ΓΕΡΟΓΙΑΝΝΗΔΩΝ ΓΑΛΑΤΑΣ Ν. ΚΥΔΩΝΙΑΣ"</f>
        <v>ΓΕΡΟΓΙΑΝΝΗΔΩΝ ΓΑΛΑΤΑΣ Ν. ΚΥΔΩΝΙΑΣ</v>
      </c>
      <c r="I9884">
        <v>73100</v>
      </c>
      <c r="J9884">
        <v>2821009661</v>
      </c>
      <c r="K9884">
        <v>6972282757</v>
      </c>
      <c r="N9884" t="s">
        <v>615</v>
      </c>
      <c r="O9884" t="s">
        <v>616</v>
      </c>
      <c r="R9884" t="s">
        <v>57</v>
      </c>
      <c r="S9884">
        <v>5</v>
      </c>
      <c r="T9884">
        <v>774</v>
      </c>
      <c r="U9884" s="1">
        <v>39680</v>
      </c>
      <c r="V9884" t="s">
        <v>89</v>
      </c>
      <c r="W9884" t="s">
        <v>90</v>
      </c>
      <c r="X9884" t="s">
        <v>58</v>
      </c>
      <c r="Y9884">
        <v>23</v>
      </c>
      <c r="Z9884" t="s">
        <v>59</v>
      </c>
      <c r="AA9884" t="s">
        <v>59</v>
      </c>
      <c r="AB9884" t="s">
        <v>59</v>
      </c>
      <c r="AC9884" t="s">
        <v>59</v>
      </c>
      <c r="AD9884" t="s">
        <v>59</v>
      </c>
      <c r="AF9884" s="1">
        <v>39681</v>
      </c>
      <c r="AG9884" t="s">
        <v>8645</v>
      </c>
      <c r="AH9884" t="s">
        <v>8646</v>
      </c>
      <c r="AI9884" t="str">
        <f>"9500148"</f>
        <v>9500148</v>
      </c>
      <c r="AJ9884" t="s">
        <v>13851</v>
      </c>
      <c r="AK9884">
        <v>2821068328</v>
      </c>
      <c r="AL9884" t="s">
        <v>13852</v>
      </c>
      <c r="AM9884" t="s">
        <v>88</v>
      </c>
      <c r="AN9884" t="s">
        <v>88</v>
      </c>
      <c r="AO9884" t="s">
        <v>6785</v>
      </c>
      <c r="AP9884" t="s">
        <v>13853</v>
      </c>
      <c r="AQ9884">
        <v>3</v>
      </c>
      <c r="AR9884" t="s">
        <v>89</v>
      </c>
      <c r="AS9884" t="s">
        <v>90</v>
      </c>
      <c r="AT9884" t="s">
        <v>58</v>
      </c>
      <c r="AU9884" t="s">
        <v>68</v>
      </c>
      <c r="AV9884" t="s">
        <v>69</v>
      </c>
      <c r="AW9884" s="1">
        <v>31197</v>
      </c>
      <c r="AX9884">
        <v>1</v>
      </c>
    </row>
    <row r="9885" spans="1:50">
      <c r="A9885">
        <v>589237</v>
      </c>
      <c r="B9885" t="str">
        <f>"057652719"</f>
        <v>057652719</v>
      </c>
      <c r="C9885" t="s">
        <v>50</v>
      </c>
      <c r="D9885" t="s">
        <v>14833</v>
      </c>
      <c r="E9885" t="s">
        <v>250</v>
      </c>
      <c r="F9885" t="s">
        <v>166</v>
      </c>
      <c r="G9885" t="s">
        <v>2719</v>
      </c>
      <c r="H9885" t="str">
        <f>"ΠΑΤΡΙΑΡΧΟΥ ΑΘΑΝ. Β' ΠΑΡΟΔΟΣ 7 ΧΑΝΙΑ"</f>
        <v>ΠΑΤΡΙΑΡΧΟΥ ΑΘΑΝ. Β' ΠΑΡΟΔΟΣ 7 ΧΑΝΙΑ</v>
      </c>
      <c r="I9885">
        <v>73133</v>
      </c>
      <c r="J9885">
        <v>2821051972</v>
      </c>
      <c r="K9885">
        <v>6944912530</v>
      </c>
      <c r="N9885" t="s">
        <v>615</v>
      </c>
      <c r="O9885" t="s">
        <v>616</v>
      </c>
      <c r="R9885" t="s">
        <v>57</v>
      </c>
      <c r="S9885">
        <v>9</v>
      </c>
      <c r="T9885">
        <v>176</v>
      </c>
      <c r="U9885" s="1">
        <v>36403</v>
      </c>
      <c r="V9885" t="s">
        <v>89</v>
      </c>
      <c r="W9885" t="s">
        <v>90</v>
      </c>
      <c r="X9885" t="s">
        <v>58</v>
      </c>
      <c r="Y9885">
        <v>21</v>
      </c>
      <c r="Z9885" t="s">
        <v>59</v>
      </c>
      <c r="AA9885" t="s">
        <v>59</v>
      </c>
      <c r="AB9885" t="s">
        <v>59</v>
      </c>
      <c r="AC9885" t="s">
        <v>59</v>
      </c>
      <c r="AD9885" t="s">
        <v>59</v>
      </c>
      <c r="AF9885" s="1">
        <v>36403</v>
      </c>
      <c r="AG9885" t="s">
        <v>8645</v>
      </c>
      <c r="AH9885" t="s">
        <v>8646</v>
      </c>
      <c r="AI9885" t="str">
        <f>"9500139"</f>
        <v>9500139</v>
      </c>
      <c r="AJ9885" t="s">
        <v>14050</v>
      </c>
      <c r="AK9885">
        <v>2821096819</v>
      </c>
      <c r="AL9885" t="s">
        <v>14051</v>
      </c>
      <c r="AM9885" t="s">
        <v>88</v>
      </c>
      <c r="AN9885" t="s">
        <v>88</v>
      </c>
      <c r="AO9885" t="s">
        <v>88</v>
      </c>
      <c r="AP9885" t="s">
        <v>88</v>
      </c>
      <c r="AQ9885">
        <v>1</v>
      </c>
      <c r="AR9885" t="s">
        <v>89</v>
      </c>
      <c r="AS9885" t="s">
        <v>90</v>
      </c>
      <c r="AT9885" t="s">
        <v>58</v>
      </c>
      <c r="AU9885" t="s">
        <v>68</v>
      </c>
      <c r="AV9885" t="s">
        <v>69</v>
      </c>
      <c r="AW9885" s="1">
        <v>25136</v>
      </c>
      <c r="AX9885">
        <v>1</v>
      </c>
    </row>
    <row r="9886" spans="1:50">
      <c r="A9886">
        <v>583946</v>
      </c>
      <c r="B9886" t="str">
        <f>"039587528"</f>
        <v>039587528</v>
      </c>
      <c r="C9886" t="s">
        <v>50</v>
      </c>
      <c r="D9886" t="s">
        <v>14833</v>
      </c>
      <c r="E9886" t="s">
        <v>103</v>
      </c>
      <c r="F9886" t="s">
        <v>53</v>
      </c>
      <c r="G9886" t="s">
        <v>112</v>
      </c>
      <c r="H9886" t="str">
        <f>"ΡΑΟΥΛ ΤΡΙΓΚΕΤΑ ΓΑΛΑΤΑΣ Ν.ΚΥΔΩΝΙΑΣ"</f>
        <v>ΡΑΟΥΛ ΤΡΙΓΚΕΤΑ ΓΑΛΑΤΑΣ Ν.ΚΥΔΩΝΙΑΣ</v>
      </c>
      <c r="I9886">
        <v>73100</v>
      </c>
      <c r="J9886">
        <v>2821034047</v>
      </c>
      <c r="K9886">
        <v>6979671229</v>
      </c>
      <c r="N9886" t="s">
        <v>615</v>
      </c>
      <c r="O9886" t="s">
        <v>616</v>
      </c>
      <c r="R9886" t="s">
        <v>57</v>
      </c>
      <c r="S9886">
        <v>12</v>
      </c>
      <c r="T9886">
        <v>165</v>
      </c>
      <c r="U9886" s="1">
        <v>36047</v>
      </c>
      <c r="V9886" t="s">
        <v>89</v>
      </c>
      <c r="W9886" t="s">
        <v>90</v>
      </c>
      <c r="X9886" t="s">
        <v>58</v>
      </c>
      <c r="Y9886">
        <v>21</v>
      </c>
      <c r="Z9886" t="s">
        <v>59</v>
      </c>
      <c r="AA9886" t="s">
        <v>59</v>
      </c>
      <c r="AB9886" t="s">
        <v>59</v>
      </c>
      <c r="AC9886" t="s">
        <v>59</v>
      </c>
      <c r="AD9886" t="s">
        <v>59</v>
      </c>
      <c r="AF9886" s="1">
        <v>36047</v>
      </c>
      <c r="AG9886" t="s">
        <v>8645</v>
      </c>
      <c r="AH9886" t="s">
        <v>8646</v>
      </c>
      <c r="AI9886" t="str">
        <f>"9500139"</f>
        <v>9500139</v>
      </c>
      <c r="AJ9886" t="s">
        <v>14050</v>
      </c>
      <c r="AK9886">
        <v>2821096819</v>
      </c>
      <c r="AL9886" t="s">
        <v>14051</v>
      </c>
      <c r="AM9886" t="s">
        <v>88</v>
      </c>
      <c r="AN9886" t="s">
        <v>88</v>
      </c>
      <c r="AO9886" t="s">
        <v>88</v>
      </c>
      <c r="AP9886" t="s">
        <v>88</v>
      </c>
      <c r="AQ9886">
        <v>1</v>
      </c>
      <c r="AR9886" t="s">
        <v>89</v>
      </c>
      <c r="AS9886" t="s">
        <v>90</v>
      </c>
      <c r="AT9886" t="s">
        <v>58</v>
      </c>
      <c r="AU9886" t="s">
        <v>68</v>
      </c>
      <c r="AV9886" t="s">
        <v>69</v>
      </c>
      <c r="AW9886" s="1">
        <v>24361</v>
      </c>
      <c r="AX9886">
        <v>1</v>
      </c>
    </row>
    <row r="9887" spans="1:50">
      <c r="A9887">
        <v>617951</v>
      </c>
      <c r="B9887" t="str">
        <f>"136420530"</f>
        <v>136420530</v>
      </c>
      <c r="C9887" t="s">
        <v>105</v>
      </c>
      <c r="D9887" t="s">
        <v>7627</v>
      </c>
      <c r="E9887" t="s">
        <v>92</v>
      </c>
      <c r="F9887" t="s">
        <v>106</v>
      </c>
      <c r="G9887" t="s">
        <v>52</v>
      </c>
      <c r="H9887" t="str">
        <f>"ΑΪΒΑΛΙ 10 ΧΑΝΙΑ"</f>
        <v>ΑΪΒΑΛΙ 10 ΧΑΝΙΑ</v>
      </c>
      <c r="I9887">
        <v>73100</v>
      </c>
      <c r="J9887">
        <v>2821072249</v>
      </c>
      <c r="K9887">
        <v>6973474550</v>
      </c>
      <c r="N9887" t="s">
        <v>615</v>
      </c>
      <c r="O9887" t="s">
        <v>616</v>
      </c>
      <c r="R9887" t="s">
        <v>57</v>
      </c>
      <c r="S9887">
        <v>5</v>
      </c>
      <c r="T9887">
        <v>774</v>
      </c>
      <c r="U9887" s="1">
        <v>39680</v>
      </c>
      <c r="V9887" t="s">
        <v>89</v>
      </c>
      <c r="W9887" t="s">
        <v>90</v>
      </c>
      <c r="X9887" t="s">
        <v>58</v>
      </c>
      <c r="Y9887">
        <v>23</v>
      </c>
      <c r="Z9887" t="s">
        <v>59</v>
      </c>
      <c r="AA9887" t="s">
        <v>59</v>
      </c>
      <c r="AB9887" t="s">
        <v>59</v>
      </c>
      <c r="AC9887" t="s">
        <v>59</v>
      </c>
      <c r="AD9887" t="s">
        <v>59</v>
      </c>
      <c r="AF9887" s="1">
        <v>39680</v>
      </c>
      <c r="AG9887" t="s">
        <v>8645</v>
      </c>
      <c r="AH9887" t="s">
        <v>8646</v>
      </c>
      <c r="AI9887" t="str">
        <f>"9500113"</f>
        <v>9500113</v>
      </c>
      <c r="AJ9887" t="s">
        <v>13935</v>
      </c>
      <c r="AK9887">
        <v>2821077187</v>
      </c>
      <c r="AL9887" t="s">
        <v>13936</v>
      </c>
      <c r="AM9887" t="s">
        <v>88</v>
      </c>
      <c r="AN9887" t="s">
        <v>6764</v>
      </c>
      <c r="AO9887" t="s">
        <v>6885</v>
      </c>
      <c r="AP9887" t="s">
        <v>13937</v>
      </c>
      <c r="AQ9887">
        <v>4</v>
      </c>
      <c r="AR9887" t="s">
        <v>89</v>
      </c>
      <c r="AS9887" t="s">
        <v>90</v>
      </c>
      <c r="AT9887" t="s">
        <v>58</v>
      </c>
      <c r="AU9887" t="s">
        <v>68</v>
      </c>
      <c r="AV9887" t="s">
        <v>69</v>
      </c>
      <c r="AW9887" s="1">
        <v>30697</v>
      </c>
      <c r="AX9887">
        <v>1</v>
      </c>
    </row>
    <row r="9888" spans="1:50">
      <c r="A9888">
        <v>592752</v>
      </c>
      <c r="B9888" t="str">
        <f>"054196083"</f>
        <v>054196083</v>
      </c>
      <c r="C9888" t="s">
        <v>50</v>
      </c>
      <c r="D9888" t="s">
        <v>14834</v>
      </c>
      <c r="E9888" t="s">
        <v>103</v>
      </c>
      <c r="F9888" t="s">
        <v>72</v>
      </c>
      <c r="G9888" t="s">
        <v>1361</v>
      </c>
      <c r="H9888" t="str">
        <f>"ΗΡΩΩΝ ΠΟΛΥΤΕΧΝΕΙΟΥ 34 ΧΑΝΙΩΝ"</f>
        <v>ΗΡΩΩΝ ΠΟΛΥΤΕΧΝΕΙΟΥ 34 ΧΑΝΙΩΝ</v>
      </c>
      <c r="I9888">
        <v>73132</v>
      </c>
      <c r="J9888">
        <v>2821051868</v>
      </c>
      <c r="K9888">
        <v>6947988584</v>
      </c>
      <c r="N9888" t="s">
        <v>615</v>
      </c>
      <c r="O9888" t="s">
        <v>616</v>
      </c>
      <c r="R9888" t="s">
        <v>57</v>
      </c>
      <c r="S9888">
        <v>12</v>
      </c>
      <c r="T9888">
        <v>218</v>
      </c>
      <c r="U9888" s="1">
        <v>37134</v>
      </c>
      <c r="V9888" t="s">
        <v>89</v>
      </c>
      <c r="W9888" t="s">
        <v>90</v>
      </c>
      <c r="X9888" t="s">
        <v>58</v>
      </c>
      <c r="Y9888">
        <v>21</v>
      </c>
      <c r="Z9888" t="s">
        <v>59</v>
      </c>
      <c r="AA9888" t="s">
        <v>59</v>
      </c>
      <c r="AB9888" t="s">
        <v>59</v>
      </c>
      <c r="AC9888" t="s">
        <v>59</v>
      </c>
      <c r="AD9888" t="s">
        <v>59</v>
      </c>
      <c r="AF9888" s="1">
        <v>37134</v>
      </c>
      <c r="AG9888" t="s">
        <v>8645</v>
      </c>
      <c r="AH9888" t="s">
        <v>8646</v>
      </c>
      <c r="AI9888" t="str">
        <f>"9500041"</f>
        <v>9500041</v>
      </c>
      <c r="AJ9888" t="s">
        <v>13944</v>
      </c>
      <c r="AK9888">
        <v>2821028218</v>
      </c>
      <c r="AL9888" t="s">
        <v>13945</v>
      </c>
      <c r="AM9888" t="s">
        <v>88</v>
      </c>
      <c r="AN9888" t="s">
        <v>88</v>
      </c>
      <c r="AO9888" t="s">
        <v>88</v>
      </c>
      <c r="AP9888" t="s">
        <v>88</v>
      </c>
      <c r="AQ9888">
        <v>1</v>
      </c>
      <c r="AR9888" t="s">
        <v>89</v>
      </c>
      <c r="AS9888" t="s">
        <v>90</v>
      </c>
      <c r="AT9888" t="s">
        <v>58</v>
      </c>
      <c r="AU9888" t="s">
        <v>68</v>
      </c>
      <c r="AV9888" t="s">
        <v>69</v>
      </c>
      <c r="AW9888" s="1">
        <v>25546</v>
      </c>
      <c r="AX9888">
        <v>1</v>
      </c>
    </row>
    <row r="9889" spans="1:50">
      <c r="A9889">
        <v>612021</v>
      </c>
      <c r="B9889" t="str">
        <f>"113628100"</f>
        <v>113628100</v>
      </c>
      <c r="C9889" t="s">
        <v>50</v>
      </c>
      <c r="D9889" t="s">
        <v>6155</v>
      </c>
      <c r="E9889" t="s">
        <v>727</v>
      </c>
      <c r="F9889" t="s">
        <v>95</v>
      </c>
      <c r="G9889" t="s">
        <v>1342</v>
      </c>
      <c r="H9889" t="str">
        <f>"ΠΑΠΑΝΑΣΤΑΣΙΟΥ 137 ΧΑΝΙΩΝ"</f>
        <v>ΠΑΠΑΝΑΣΤΑΣΙΟΥ 137 ΧΑΝΙΩΝ</v>
      </c>
      <c r="I9889">
        <v>73134</v>
      </c>
      <c r="J9889">
        <v>2821057162</v>
      </c>
      <c r="K9889">
        <v>6977078118</v>
      </c>
      <c r="N9889" t="s">
        <v>306</v>
      </c>
      <c r="O9889" t="s">
        <v>307</v>
      </c>
      <c r="R9889" t="s">
        <v>57</v>
      </c>
      <c r="S9889">
        <v>9</v>
      </c>
      <c r="T9889">
        <v>234</v>
      </c>
      <c r="U9889" s="1">
        <v>38960</v>
      </c>
      <c r="V9889" t="s">
        <v>89</v>
      </c>
      <c r="W9889" t="s">
        <v>90</v>
      </c>
      <c r="X9889" t="s">
        <v>58</v>
      </c>
      <c r="Y9889">
        <v>22</v>
      </c>
      <c r="Z9889" t="s">
        <v>59</v>
      </c>
      <c r="AA9889" t="s">
        <v>59</v>
      </c>
      <c r="AB9889" t="s">
        <v>59</v>
      </c>
      <c r="AC9889" t="s">
        <v>59</v>
      </c>
      <c r="AD9889" t="s">
        <v>59</v>
      </c>
      <c r="AF9889" s="1">
        <v>38961</v>
      </c>
      <c r="AG9889" t="s">
        <v>8645</v>
      </c>
      <c r="AH9889" t="s">
        <v>8646</v>
      </c>
      <c r="AI9889" t="str">
        <f>"9500423"</f>
        <v>9500423</v>
      </c>
      <c r="AJ9889" t="s">
        <v>13893</v>
      </c>
      <c r="AK9889">
        <v>2821023473</v>
      </c>
      <c r="AL9889" t="s">
        <v>13894</v>
      </c>
      <c r="AM9889" t="s">
        <v>88</v>
      </c>
      <c r="AN9889" t="s">
        <v>88</v>
      </c>
      <c r="AO9889" t="s">
        <v>88</v>
      </c>
      <c r="AP9889" t="s">
        <v>88</v>
      </c>
      <c r="AQ9889">
        <v>1</v>
      </c>
      <c r="AR9889" t="s">
        <v>89</v>
      </c>
      <c r="AS9889" t="s">
        <v>90</v>
      </c>
      <c r="AT9889" t="s">
        <v>58</v>
      </c>
      <c r="AU9889" t="s">
        <v>68</v>
      </c>
      <c r="AV9889" t="s">
        <v>69</v>
      </c>
      <c r="AW9889" s="1">
        <v>27990</v>
      </c>
      <c r="AX9889">
        <v>1</v>
      </c>
    </row>
    <row r="9890" spans="1:50">
      <c r="A9890">
        <v>598923</v>
      </c>
      <c r="B9890" t="str">
        <f>"053659999"</f>
        <v>053659999</v>
      </c>
      <c r="C9890" t="s">
        <v>105</v>
      </c>
      <c r="D9890" t="s">
        <v>14835</v>
      </c>
      <c r="E9890" t="s">
        <v>53</v>
      </c>
      <c r="F9890" t="s">
        <v>99</v>
      </c>
      <c r="G9890" t="s">
        <v>14836</v>
      </c>
      <c r="H9890" t="str">
        <f>"ΠΑΡΟΔΟΣ ΑΓΓΕΛΩΝ ΜΑΚΡΥΣ ΤΟΙΧΟΣ ΧΑΝΙΑ"</f>
        <v>ΠΑΡΟΔΟΣ ΑΓΓΕΛΩΝ ΜΑΚΡΥΣ ΤΟΙΧΟΣ ΧΑΝΙΑ</v>
      </c>
      <c r="I9890">
        <v>73100</v>
      </c>
      <c r="K9890">
        <v>6977239285</v>
      </c>
      <c r="N9890" t="s">
        <v>615</v>
      </c>
      <c r="O9890" t="s">
        <v>616</v>
      </c>
      <c r="R9890" t="s">
        <v>57</v>
      </c>
      <c r="S9890">
        <v>10</v>
      </c>
      <c r="T9890">
        <v>195</v>
      </c>
      <c r="U9890" s="1">
        <v>37496</v>
      </c>
      <c r="V9890" t="s">
        <v>89</v>
      </c>
      <c r="W9890" t="s">
        <v>90</v>
      </c>
      <c r="X9890" t="s">
        <v>58</v>
      </c>
      <c r="Y9890">
        <v>22</v>
      </c>
      <c r="Z9890" t="s">
        <v>59</v>
      </c>
      <c r="AA9890" t="s">
        <v>59</v>
      </c>
      <c r="AB9890" t="s">
        <v>59</v>
      </c>
      <c r="AC9890" t="s">
        <v>59</v>
      </c>
      <c r="AD9890" t="s">
        <v>59</v>
      </c>
      <c r="AF9890" s="1">
        <v>37501</v>
      </c>
      <c r="AG9890" t="s">
        <v>8645</v>
      </c>
      <c r="AH9890" t="s">
        <v>8646</v>
      </c>
      <c r="AI9890" t="str">
        <f>"9500218"</f>
        <v>9500218</v>
      </c>
      <c r="AJ9890" t="s">
        <v>13992</v>
      </c>
      <c r="AK9890">
        <v>2824022216</v>
      </c>
      <c r="AL9890" t="s">
        <v>13993</v>
      </c>
      <c r="AM9890" t="s">
        <v>88</v>
      </c>
      <c r="AN9890" t="s">
        <v>6764</v>
      </c>
      <c r="AO9890" t="s">
        <v>6799</v>
      </c>
      <c r="AP9890" t="s">
        <v>6799</v>
      </c>
      <c r="AQ9890">
        <v>6</v>
      </c>
      <c r="AR9890" t="s">
        <v>89</v>
      </c>
      <c r="AS9890" t="s">
        <v>90</v>
      </c>
      <c r="AT9890" t="s">
        <v>58</v>
      </c>
      <c r="AU9890" t="s">
        <v>68</v>
      </c>
      <c r="AV9890" t="s">
        <v>69</v>
      </c>
      <c r="AW9890" s="1">
        <v>24863</v>
      </c>
      <c r="AX9890">
        <v>1</v>
      </c>
    </row>
    <row r="9891" spans="1:50">
      <c r="A9891">
        <v>616371</v>
      </c>
      <c r="B9891" t="str">
        <f>"061212723"</f>
        <v>061212723</v>
      </c>
      <c r="C9891" t="s">
        <v>50</v>
      </c>
      <c r="D9891" t="s">
        <v>14837</v>
      </c>
      <c r="E9891" t="s">
        <v>83</v>
      </c>
      <c r="F9891" t="s">
        <v>14838</v>
      </c>
      <c r="G9891" t="s">
        <v>1355</v>
      </c>
      <c r="H9891" t="str">
        <f>"ΗΛΕΚΤΡΑΣ 46 ΚΑΛΛΙΘΕΑ ΑΘΗΝΑ"</f>
        <v>ΗΛΕΚΤΡΑΣ 46 ΚΑΛΛΙΘΕΑ ΑΘΗΝΑ</v>
      </c>
      <c r="I9891">
        <v>17673</v>
      </c>
      <c r="J9891">
        <v>2109513497</v>
      </c>
      <c r="K9891">
        <v>6974975435</v>
      </c>
      <c r="N9891" t="s">
        <v>1525</v>
      </c>
      <c r="O9891" t="s">
        <v>1526</v>
      </c>
      <c r="R9891" t="s">
        <v>57</v>
      </c>
      <c r="S9891">
        <v>11</v>
      </c>
      <c r="T9891">
        <v>660</v>
      </c>
      <c r="U9891" s="1">
        <v>39311</v>
      </c>
      <c r="V9891" t="s">
        <v>89</v>
      </c>
      <c r="W9891" t="s">
        <v>90</v>
      </c>
      <c r="X9891" t="s">
        <v>58</v>
      </c>
      <c r="Y9891">
        <v>25</v>
      </c>
      <c r="Z9891" t="s">
        <v>59</v>
      </c>
      <c r="AA9891" t="s">
        <v>59</v>
      </c>
      <c r="AB9891" t="s">
        <v>59</v>
      </c>
      <c r="AC9891" t="s">
        <v>59</v>
      </c>
      <c r="AD9891" t="s">
        <v>59</v>
      </c>
      <c r="AF9891" s="1">
        <v>39328</v>
      </c>
      <c r="AG9891" t="s">
        <v>8651</v>
      </c>
      <c r="AH9891" t="s">
        <v>8652</v>
      </c>
      <c r="AI9891" t="str">
        <f>"9500127"</f>
        <v>9500127</v>
      </c>
      <c r="AJ9891" t="s">
        <v>13962</v>
      </c>
      <c r="AK9891">
        <v>2824031321</v>
      </c>
      <c r="AL9891" t="s">
        <v>13963</v>
      </c>
      <c r="AM9891" t="s">
        <v>88</v>
      </c>
      <c r="AN9891" t="s">
        <v>6764</v>
      </c>
      <c r="AO9891" t="s">
        <v>6765</v>
      </c>
      <c r="AP9891" t="s">
        <v>6765</v>
      </c>
      <c r="AQ9891">
        <v>6</v>
      </c>
      <c r="AR9891" t="s">
        <v>89</v>
      </c>
      <c r="AS9891" t="s">
        <v>90</v>
      </c>
      <c r="AT9891" t="s">
        <v>58</v>
      </c>
      <c r="AU9891" t="s">
        <v>68</v>
      </c>
      <c r="AV9891" t="s">
        <v>69</v>
      </c>
      <c r="AW9891" s="1">
        <v>26667</v>
      </c>
      <c r="AX9891">
        <v>1</v>
      </c>
    </row>
    <row r="9892" spans="1:50">
      <c r="A9892">
        <v>572373</v>
      </c>
      <c r="B9892" t="str">
        <f>"051450059"</f>
        <v>051450059</v>
      </c>
      <c r="C9892" t="s">
        <v>50</v>
      </c>
      <c r="D9892" t="s">
        <v>2376</v>
      </c>
      <c r="E9892" t="s">
        <v>188</v>
      </c>
      <c r="F9892" t="s">
        <v>166</v>
      </c>
      <c r="G9892" t="s">
        <v>52</v>
      </c>
      <c r="H9892" t="str">
        <f>"ΜΑΚΡΥΓΙΑΝΝΗ 1 ΧΑΝΙΑ"</f>
        <v>ΜΑΚΡΥΓΙΑΝΝΗ 1 ΧΑΝΙΑ</v>
      </c>
      <c r="I9892">
        <v>73142</v>
      </c>
      <c r="J9892">
        <v>2821064239</v>
      </c>
      <c r="K9892">
        <v>6976636784</v>
      </c>
      <c r="N9892" t="s">
        <v>306</v>
      </c>
      <c r="O9892" t="s">
        <v>307</v>
      </c>
      <c r="R9892" t="s">
        <v>57</v>
      </c>
      <c r="S9892">
        <v>12</v>
      </c>
      <c r="T9892">
        <v>154</v>
      </c>
      <c r="U9892" s="1">
        <v>34225</v>
      </c>
      <c r="V9892" t="s">
        <v>89</v>
      </c>
      <c r="W9892" t="s">
        <v>90</v>
      </c>
      <c r="X9892" t="s">
        <v>58</v>
      </c>
      <c r="Y9892">
        <v>21</v>
      </c>
      <c r="Z9892" t="s">
        <v>59</v>
      </c>
      <c r="AA9892" t="s">
        <v>59</v>
      </c>
      <c r="AB9892" t="s">
        <v>59</v>
      </c>
      <c r="AC9892" t="s">
        <v>59</v>
      </c>
      <c r="AD9892" t="s">
        <v>59</v>
      </c>
      <c r="AF9892" s="1">
        <v>34225</v>
      </c>
      <c r="AG9892" t="s">
        <v>8645</v>
      </c>
      <c r="AH9892" t="s">
        <v>8646</v>
      </c>
      <c r="AI9892" t="str">
        <f>"9500093"</f>
        <v>9500093</v>
      </c>
      <c r="AJ9892" t="s">
        <v>13865</v>
      </c>
      <c r="AK9892">
        <v>2821064537</v>
      </c>
      <c r="AL9892" t="s">
        <v>13866</v>
      </c>
      <c r="AM9892" t="s">
        <v>88</v>
      </c>
      <c r="AN9892" t="s">
        <v>88</v>
      </c>
      <c r="AO9892" t="s">
        <v>6770</v>
      </c>
      <c r="AP9892" t="s">
        <v>6771</v>
      </c>
      <c r="AQ9892">
        <v>2</v>
      </c>
      <c r="AR9892" t="s">
        <v>89</v>
      </c>
      <c r="AS9892" t="s">
        <v>90</v>
      </c>
      <c r="AT9892" t="s">
        <v>58</v>
      </c>
      <c r="AU9892" t="s">
        <v>68</v>
      </c>
      <c r="AV9892" t="s">
        <v>69</v>
      </c>
      <c r="AW9892" s="1">
        <v>24936</v>
      </c>
      <c r="AX9892">
        <v>1</v>
      </c>
    </row>
    <row r="9893" spans="1:50">
      <c r="A9893">
        <v>574848</v>
      </c>
      <c r="B9893" t="str">
        <f>"034694695"</f>
        <v>034694695</v>
      </c>
      <c r="C9893" t="s">
        <v>105</v>
      </c>
      <c r="D9893" t="s">
        <v>14839</v>
      </c>
      <c r="E9893" t="s">
        <v>53</v>
      </c>
      <c r="F9893" t="s">
        <v>95</v>
      </c>
      <c r="G9893" t="s">
        <v>1355</v>
      </c>
      <c r="H9893" t="str">
        <f>"ΕΛΥΡΟΥ ΚΑΙ ΠΟΛΥΡΡΗΝΙΑΣ 22 ΧΑΝΙΑ"</f>
        <v>ΕΛΥΡΟΥ ΚΑΙ ΠΟΛΥΡΡΗΝΙΑΣ 22 ΧΑΝΙΑ</v>
      </c>
      <c r="I9893">
        <v>73135</v>
      </c>
      <c r="J9893">
        <v>2821400495</v>
      </c>
      <c r="K9893">
        <v>6972774811</v>
      </c>
      <c r="N9893" t="s">
        <v>176</v>
      </c>
      <c r="O9893" t="s">
        <v>177</v>
      </c>
      <c r="R9893" t="s">
        <v>57</v>
      </c>
      <c r="S9893">
        <v>14</v>
      </c>
      <c r="T9893">
        <v>158</v>
      </c>
      <c r="U9893" s="1">
        <v>34582</v>
      </c>
      <c r="V9893" t="s">
        <v>89</v>
      </c>
      <c r="W9893" t="s">
        <v>90</v>
      </c>
      <c r="X9893" t="s">
        <v>58</v>
      </c>
      <c r="Y9893">
        <v>21</v>
      </c>
      <c r="Z9893" t="s">
        <v>59</v>
      </c>
      <c r="AA9893" t="s">
        <v>59</v>
      </c>
      <c r="AB9893" t="s">
        <v>59</v>
      </c>
      <c r="AC9893" t="s">
        <v>59</v>
      </c>
      <c r="AD9893" t="s">
        <v>59</v>
      </c>
      <c r="AF9893" s="1">
        <v>34582</v>
      </c>
      <c r="AG9893" t="s">
        <v>8645</v>
      </c>
      <c r="AH9893" t="s">
        <v>8646</v>
      </c>
      <c r="AI9893" t="str">
        <f>"9500071"</f>
        <v>9500071</v>
      </c>
      <c r="AJ9893" t="s">
        <v>14209</v>
      </c>
      <c r="AK9893">
        <v>2821093760</v>
      </c>
      <c r="AL9893" t="s">
        <v>14210</v>
      </c>
      <c r="AM9893" t="s">
        <v>88</v>
      </c>
      <c r="AN9893" t="s">
        <v>88</v>
      </c>
      <c r="AO9893" t="s">
        <v>88</v>
      </c>
      <c r="AP9893" t="s">
        <v>88</v>
      </c>
      <c r="AQ9893">
        <v>1</v>
      </c>
      <c r="AR9893" t="s">
        <v>89</v>
      </c>
      <c r="AS9893" t="s">
        <v>90</v>
      </c>
      <c r="AT9893" t="s">
        <v>58</v>
      </c>
      <c r="AU9893" t="s">
        <v>68</v>
      </c>
      <c r="AV9893" t="s">
        <v>69</v>
      </c>
      <c r="AW9893" s="1">
        <v>23078</v>
      </c>
      <c r="AX9893">
        <v>1</v>
      </c>
    </row>
    <row r="9894" spans="1:50">
      <c r="A9894">
        <v>618500</v>
      </c>
      <c r="B9894" t="str">
        <f>"120287283"</f>
        <v>120287283</v>
      </c>
      <c r="C9894" t="s">
        <v>50</v>
      </c>
      <c r="D9894" t="s">
        <v>14840</v>
      </c>
      <c r="E9894" t="s">
        <v>14841</v>
      </c>
      <c r="F9894" t="s">
        <v>72</v>
      </c>
      <c r="G9894" t="s">
        <v>14842</v>
      </c>
      <c r="H9894" t="str">
        <f>"ΓΑΛΑΤΑΣ Ν.ΚΥΔΩΝΙΑΣ ΧΑΝΙΑ"</f>
        <v>ΓΑΛΑΤΑΣ Ν.ΚΥΔΩΝΙΑΣ ΧΑΝΙΑ</v>
      </c>
      <c r="I9894">
        <v>73100</v>
      </c>
      <c r="K9894">
        <v>6973702272</v>
      </c>
      <c r="N9894" t="s">
        <v>615</v>
      </c>
      <c r="O9894" t="s">
        <v>616</v>
      </c>
      <c r="R9894" t="s">
        <v>57</v>
      </c>
      <c r="S9894">
        <v>5</v>
      </c>
      <c r="T9894">
        <v>774</v>
      </c>
      <c r="U9894" s="1">
        <v>39680</v>
      </c>
      <c r="V9894" t="s">
        <v>89</v>
      </c>
      <c r="W9894" t="s">
        <v>90</v>
      </c>
      <c r="X9894" t="s">
        <v>58</v>
      </c>
      <c r="Y9894">
        <v>23</v>
      </c>
      <c r="Z9894" t="s">
        <v>59</v>
      </c>
      <c r="AA9894" t="s">
        <v>59</v>
      </c>
      <c r="AB9894" t="s">
        <v>59</v>
      </c>
      <c r="AC9894" t="s">
        <v>59</v>
      </c>
      <c r="AD9894" t="s">
        <v>59</v>
      </c>
      <c r="AF9894" s="1">
        <v>39680</v>
      </c>
      <c r="AG9894" t="s">
        <v>8645</v>
      </c>
      <c r="AH9894" t="s">
        <v>8646</v>
      </c>
      <c r="AI9894" t="str">
        <f>"9500167"</f>
        <v>9500167</v>
      </c>
      <c r="AJ9894" t="s">
        <v>13922</v>
      </c>
      <c r="AK9894">
        <v>2821068357</v>
      </c>
      <c r="AL9894" t="s">
        <v>13923</v>
      </c>
      <c r="AM9894" t="s">
        <v>88</v>
      </c>
      <c r="AN9894" t="s">
        <v>6764</v>
      </c>
      <c r="AO9894" t="s">
        <v>6764</v>
      </c>
      <c r="AP9894" t="s">
        <v>6764</v>
      </c>
      <c r="AQ9894">
        <v>5</v>
      </c>
      <c r="AR9894" t="s">
        <v>89</v>
      </c>
      <c r="AS9894" t="s">
        <v>90</v>
      </c>
      <c r="AT9894" t="s">
        <v>58</v>
      </c>
      <c r="AU9894" t="s">
        <v>68</v>
      </c>
      <c r="AV9894" t="s">
        <v>69</v>
      </c>
      <c r="AW9894" s="1">
        <v>30880</v>
      </c>
      <c r="AX9894">
        <v>1</v>
      </c>
    </row>
    <row r="9895" spans="1:50">
      <c r="A9895">
        <v>590661</v>
      </c>
      <c r="B9895" t="str">
        <f>"064511476"</f>
        <v>064511476</v>
      </c>
      <c r="C9895" t="s">
        <v>50</v>
      </c>
      <c r="D9895" t="s">
        <v>14843</v>
      </c>
      <c r="E9895" t="s">
        <v>476</v>
      </c>
      <c r="F9895" t="s">
        <v>315</v>
      </c>
      <c r="G9895" t="s">
        <v>52</v>
      </c>
      <c r="H9895" t="str">
        <f>"ΓΚΕΡΟΛΑ 33 ΧΑΝΙΑ"</f>
        <v>ΓΚΕΡΟΛΑ 33 ΧΑΝΙΑ</v>
      </c>
      <c r="I9895">
        <v>73132</v>
      </c>
      <c r="J9895">
        <v>2821041935</v>
      </c>
      <c r="N9895" t="s">
        <v>1525</v>
      </c>
      <c r="O9895" t="s">
        <v>1526</v>
      </c>
      <c r="R9895" t="s">
        <v>57</v>
      </c>
      <c r="S9895">
        <v>9</v>
      </c>
      <c r="T9895">
        <v>176</v>
      </c>
      <c r="U9895" s="1">
        <v>36403</v>
      </c>
      <c r="V9895" t="s">
        <v>89</v>
      </c>
      <c r="W9895" t="s">
        <v>90</v>
      </c>
      <c r="X9895" t="s">
        <v>58</v>
      </c>
      <c r="Y9895">
        <v>25</v>
      </c>
      <c r="Z9895" t="s">
        <v>59</v>
      </c>
      <c r="AA9895" t="s">
        <v>59</v>
      </c>
      <c r="AB9895" t="s">
        <v>59</v>
      </c>
      <c r="AC9895" t="s">
        <v>59</v>
      </c>
      <c r="AD9895" t="s">
        <v>59</v>
      </c>
      <c r="AF9895" s="1">
        <v>36405</v>
      </c>
      <c r="AG9895" t="s">
        <v>8651</v>
      </c>
      <c r="AH9895" t="s">
        <v>8652</v>
      </c>
      <c r="AI9895" t="str">
        <f>"9500402"</f>
        <v>9500402</v>
      </c>
      <c r="AJ9895" t="s">
        <v>14255</v>
      </c>
      <c r="AK9895">
        <v>2821042809</v>
      </c>
      <c r="AL9895" t="s">
        <v>14256</v>
      </c>
      <c r="AM9895" t="s">
        <v>88</v>
      </c>
      <c r="AN9895" t="s">
        <v>88</v>
      </c>
      <c r="AO9895" t="s">
        <v>88</v>
      </c>
      <c r="AP9895" t="s">
        <v>88</v>
      </c>
      <c r="AQ9895">
        <v>1</v>
      </c>
      <c r="AR9895" t="s">
        <v>89</v>
      </c>
      <c r="AS9895" t="s">
        <v>90</v>
      </c>
      <c r="AT9895" t="s">
        <v>58</v>
      </c>
      <c r="AU9895" t="s">
        <v>68</v>
      </c>
      <c r="AV9895" t="s">
        <v>69</v>
      </c>
      <c r="AW9895" s="1">
        <v>25753</v>
      </c>
      <c r="AX9895">
        <v>1</v>
      </c>
    </row>
    <row r="9896" spans="1:50">
      <c r="B9896" t="str">
        <f>"106159361"</f>
        <v>106159361</v>
      </c>
      <c r="C9896" t="s">
        <v>50</v>
      </c>
      <c r="D9896" t="s">
        <v>13294</v>
      </c>
      <c r="E9896" t="s">
        <v>83</v>
      </c>
      <c r="F9896" t="s">
        <v>84</v>
      </c>
      <c r="G9896" t="s">
        <v>52</v>
      </c>
      <c r="H9896" t="str">
        <f>"ΛΑΓΟΠΑΤΗ 20 ΤΡΙΠΟΛΗ"</f>
        <v>ΛΑΓΟΠΑΤΗ 20 ΤΡΙΠΟΛΗ</v>
      </c>
      <c r="I9896">
        <v>22100</v>
      </c>
      <c r="J9896">
        <v>2710242447</v>
      </c>
      <c r="K9896">
        <v>6974587270</v>
      </c>
      <c r="N9896" t="s">
        <v>337</v>
      </c>
      <c r="O9896" t="s">
        <v>338</v>
      </c>
      <c r="R9896" t="s">
        <v>159</v>
      </c>
      <c r="S9896">
        <v>3</v>
      </c>
      <c r="T9896" t="s">
        <v>8675</v>
      </c>
      <c r="U9896" s="1">
        <v>43348</v>
      </c>
      <c r="V9896" t="s">
        <v>89</v>
      </c>
      <c r="W9896" t="s">
        <v>90</v>
      </c>
      <c r="X9896" t="s">
        <v>58</v>
      </c>
      <c r="Y9896">
        <v>24</v>
      </c>
      <c r="Z9896" t="s">
        <v>59</v>
      </c>
      <c r="AA9896" t="s">
        <v>59</v>
      </c>
      <c r="AB9896" t="s">
        <v>59</v>
      </c>
      <c r="AC9896" t="s">
        <v>59</v>
      </c>
      <c r="AD9896" t="s">
        <v>59</v>
      </c>
      <c r="AF9896" s="1">
        <v>43348</v>
      </c>
      <c r="AG9896" t="s">
        <v>8645</v>
      </c>
      <c r="AH9896" t="s">
        <v>8646</v>
      </c>
      <c r="AI9896" t="str">
        <f>"9500040"</f>
        <v>9500040</v>
      </c>
      <c r="AJ9896" t="s">
        <v>13906</v>
      </c>
      <c r="AK9896">
        <v>2821045356</v>
      </c>
      <c r="AL9896" t="s">
        <v>13907</v>
      </c>
      <c r="AM9896" t="s">
        <v>88</v>
      </c>
      <c r="AN9896" t="s">
        <v>88</v>
      </c>
      <c r="AO9896" t="s">
        <v>88</v>
      </c>
      <c r="AP9896" t="s">
        <v>88</v>
      </c>
      <c r="AQ9896">
        <v>1</v>
      </c>
      <c r="AR9896" t="s">
        <v>89</v>
      </c>
      <c r="AS9896" t="s">
        <v>90</v>
      </c>
      <c r="AT9896" t="s">
        <v>58</v>
      </c>
      <c r="AU9896" t="s">
        <v>8673</v>
      </c>
      <c r="AV9896" t="s">
        <v>132</v>
      </c>
      <c r="AW9896" s="1">
        <v>27965</v>
      </c>
      <c r="AX9896">
        <v>1</v>
      </c>
    </row>
    <row r="9897" spans="1:50">
      <c r="A9897">
        <v>621968</v>
      </c>
      <c r="B9897" t="str">
        <f>"110353977"</f>
        <v>110353977</v>
      </c>
      <c r="C9897" t="s">
        <v>50</v>
      </c>
      <c r="D9897" t="s">
        <v>2387</v>
      </c>
      <c r="E9897" t="s">
        <v>250</v>
      </c>
      <c r="F9897" t="s">
        <v>72</v>
      </c>
      <c r="G9897" t="s">
        <v>52</v>
      </c>
      <c r="H9897" t="str">
        <f>"ΑΣΠΡΑΔΑΚΗ 26 ΣΗΤΕΙΑ"</f>
        <v>ΑΣΠΡΑΔΑΚΗ 26 ΣΗΤΕΙΑ</v>
      </c>
      <c r="I9897">
        <v>72300</v>
      </c>
      <c r="J9897">
        <v>2843024105</v>
      </c>
      <c r="K9897">
        <v>6973651209</v>
      </c>
      <c r="L9897">
        <v>2821057644</v>
      </c>
      <c r="N9897" t="s">
        <v>615</v>
      </c>
      <c r="O9897" t="s">
        <v>616</v>
      </c>
      <c r="R9897" t="s">
        <v>57</v>
      </c>
      <c r="S9897">
        <v>5</v>
      </c>
      <c r="T9897">
        <v>653</v>
      </c>
      <c r="U9897" s="1">
        <v>40043</v>
      </c>
      <c r="V9897" t="s">
        <v>89</v>
      </c>
      <c r="W9897" t="s">
        <v>90</v>
      </c>
      <c r="X9897" t="s">
        <v>58</v>
      </c>
      <c r="Y9897">
        <v>23</v>
      </c>
      <c r="Z9897" t="s">
        <v>59</v>
      </c>
      <c r="AA9897" t="s">
        <v>59</v>
      </c>
      <c r="AB9897" t="s">
        <v>59</v>
      </c>
      <c r="AC9897" t="s">
        <v>59</v>
      </c>
      <c r="AD9897" t="s">
        <v>59</v>
      </c>
      <c r="AF9897" s="1">
        <v>40043</v>
      </c>
      <c r="AG9897" t="s">
        <v>8645</v>
      </c>
      <c r="AH9897" t="s">
        <v>8646</v>
      </c>
      <c r="AI9897" t="str">
        <f>"9500139"</f>
        <v>9500139</v>
      </c>
      <c r="AJ9897" t="s">
        <v>14050</v>
      </c>
      <c r="AK9897">
        <v>2821096819</v>
      </c>
      <c r="AL9897" t="s">
        <v>14051</v>
      </c>
      <c r="AM9897" t="s">
        <v>88</v>
      </c>
      <c r="AN9897" t="s">
        <v>88</v>
      </c>
      <c r="AO9897" t="s">
        <v>88</v>
      </c>
      <c r="AP9897" t="s">
        <v>88</v>
      </c>
      <c r="AQ9897">
        <v>1</v>
      </c>
      <c r="AR9897" t="s">
        <v>89</v>
      </c>
      <c r="AS9897" t="s">
        <v>90</v>
      </c>
      <c r="AT9897" t="s">
        <v>58</v>
      </c>
      <c r="AU9897" t="s">
        <v>68</v>
      </c>
      <c r="AV9897" t="s">
        <v>69</v>
      </c>
      <c r="AW9897" s="1">
        <v>30419</v>
      </c>
      <c r="AX9897">
        <v>1</v>
      </c>
    </row>
    <row r="9898" spans="1:50">
      <c r="A9898">
        <v>557615</v>
      </c>
      <c r="B9898" t="str">
        <f>"033556092"</f>
        <v>033556092</v>
      </c>
      <c r="C9898" t="s">
        <v>105</v>
      </c>
      <c r="D9898" t="s">
        <v>14844</v>
      </c>
      <c r="E9898" t="s">
        <v>7364</v>
      </c>
      <c r="F9898" t="s">
        <v>95</v>
      </c>
      <c r="G9898" t="s">
        <v>5422</v>
      </c>
      <c r="H9898" t="str">
        <f>"ΧΟΡΔΑΚΙ ΑΚΡΩΤΗΡΙ-ΧΑΝΙΑ"</f>
        <v>ΧΟΡΔΑΚΙ ΑΚΡΩΤΗΡΙ-ΧΑΝΙΑ</v>
      </c>
      <c r="I9898">
        <v>73100</v>
      </c>
      <c r="J9898">
        <v>2821063186</v>
      </c>
      <c r="K9898">
        <v>6976228658</v>
      </c>
      <c r="N9898" t="s">
        <v>615</v>
      </c>
      <c r="O9898" t="s">
        <v>616</v>
      </c>
      <c r="R9898" t="s">
        <v>57</v>
      </c>
      <c r="S9898">
        <v>16</v>
      </c>
      <c r="T9898">
        <v>168</v>
      </c>
      <c r="U9898" s="1">
        <v>32010</v>
      </c>
      <c r="V9898" t="s">
        <v>89</v>
      </c>
      <c r="W9898" t="s">
        <v>90</v>
      </c>
      <c r="X9898" t="s">
        <v>58</v>
      </c>
      <c r="Y9898">
        <v>21</v>
      </c>
      <c r="Z9898" t="s">
        <v>59</v>
      </c>
      <c r="AA9898" t="s">
        <v>59</v>
      </c>
      <c r="AB9898" t="s">
        <v>59</v>
      </c>
      <c r="AC9898" t="s">
        <v>59</v>
      </c>
      <c r="AD9898" t="s">
        <v>59</v>
      </c>
      <c r="AF9898" s="1">
        <v>32010</v>
      </c>
      <c r="AG9898" t="s">
        <v>8645</v>
      </c>
      <c r="AH9898" t="s">
        <v>8646</v>
      </c>
      <c r="AI9898" t="str">
        <f>"9500083"</f>
        <v>9500083</v>
      </c>
      <c r="AJ9898" t="s">
        <v>14239</v>
      </c>
      <c r="AK9898">
        <v>2821063500</v>
      </c>
      <c r="AL9898" t="s">
        <v>14240</v>
      </c>
      <c r="AM9898" t="s">
        <v>88</v>
      </c>
      <c r="AN9898" t="s">
        <v>88</v>
      </c>
      <c r="AO9898" t="s">
        <v>6770</v>
      </c>
      <c r="AP9898" t="s">
        <v>14090</v>
      </c>
      <c r="AQ9898">
        <v>2</v>
      </c>
      <c r="AR9898" t="s">
        <v>89</v>
      </c>
      <c r="AS9898" t="s">
        <v>90</v>
      </c>
      <c r="AT9898" t="s">
        <v>58</v>
      </c>
      <c r="AU9898" t="s">
        <v>68</v>
      </c>
      <c r="AV9898" t="s">
        <v>69</v>
      </c>
      <c r="AW9898" s="1">
        <v>23269</v>
      </c>
      <c r="AX9898">
        <v>1</v>
      </c>
    </row>
    <row r="9899" spans="1:50">
      <c r="A9899">
        <v>704051</v>
      </c>
      <c r="B9899" t="str">
        <f>"119117740"</f>
        <v>119117740</v>
      </c>
      <c r="C9899" t="s">
        <v>50</v>
      </c>
      <c r="D9899" t="s">
        <v>14845</v>
      </c>
      <c r="E9899" t="s">
        <v>52</v>
      </c>
      <c r="F9899" t="s">
        <v>315</v>
      </c>
      <c r="G9899" t="s">
        <v>314</v>
      </c>
      <c r="H9899" t="str">
        <f>"ΑΝΤ ΔΑΝΙΟΛΟΥ 26-28 ΘΕΣΣΑΛΟΝΙΚΗ"</f>
        <v>ΑΝΤ ΔΑΝΙΟΛΟΥ 26-28 ΘΕΣΣΑΛΟΝΙΚΗ</v>
      </c>
      <c r="I9899">
        <v>54249</v>
      </c>
      <c r="J9899">
        <v>2310306361</v>
      </c>
      <c r="K9899">
        <v>6947991538</v>
      </c>
      <c r="N9899" t="s">
        <v>306</v>
      </c>
      <c r="O9899" t="s">
        <v>307</v>
      </c>
      <c r="R9899" t="s">
        <v>57</v>
      </c>
      <c r="S9899">
        <v>4</v>
      </c>
      <c r="T9899">
        <v>1350</v>
      </c>
      <c r="U9899" s="1">
        <v>42732</v>
      </c>
      <c r="V9899" t="s">
        <v>89</v>
      </c>
      <c r="W9899" t="s">
        <v>90</v>
      </c>
      <c r="X9899" t="s">
        <v>58</v>
      </c>
      <c r="Y9899">
        <v>24</v>
      </c>
      <c r="Z9899" t="s">
        <v>59</v>
      </c>
      <c r="AA9899" t="s">
        <v>59</v>
      </c>
      <c r="AB9899" t="s">
        <v>59</v>
      </c>
      <c r="AC9899" t="s">
        <v>59</v>
      </c>
      <c r="AD9899" t="s">
        <v>59</v>
      </c>
      <c r="AF9899" s="1">
        <v>42734</v>
      </c>
      <c r="AG9899" t="s">
        <v>8645</v>
      </c>
      <c r="AH9899" t="s">
        <v>8646</v>
      </c>
      <c r="AI9899" t="str">
        <f>"9500004"</f>
        <v>9500004</v>
      </c>
      <c r="AJ9899" t="s">
        <v>13897</v>
      </c>
      <c r="AK9899">
        <v>2825022272</v>
      </c>
      <c r="AL9899" t="s">
        <v>13898</v>
      </c>
      <c r="AM9899" t="s">
        <v>88</v>
      </c>
      <c r="AN9899" t="s">
        <v>6775</v>
      </c>
      <c r="AO9899" t="s">
        <v>6776</v>
      </c>
      <c r="AP9899" t="s">
        <v>6776</v>
      </c>
      <c r="AQ9899">
        <v>7</v>
      </c>
      <c r="AR9899" t="s">
        <v>89</v>
      </c>
      <c r="AS9899" t="s">
        <v>90</v>
      </c>
      <c r="AT9899" t="s">
        <v>58</v>
      </c>
      <c r="AU9899" t="s">
        <v>68</v>
      </c>
      <c r="AV9899" t="s">
        <v>69</v>
      </c>
      <c r="AW9899" s="1">
        <v>29952</v>
      </c>
      <c r="AX9899">
        <v>1</v>
      </c>
    </row>
    <row r="9900" spans="1:50">
      <c r="A9900">
        <v>615715</v>
      </c>
      <c r="B9900" t="str">
        <f>"079387734"</f>
        <v>079387734</v>
      </c>
      <c r="C9900" t="s">
        <v>50</v>
      </c>
      <c r="D9900" t="s">
        <v>7647</v>
      </c>
      <c r="E9900" t="s">
        <v>14846</v>
      </c>
      <c r="F9900" t="s">
        <v>450</v>
      </c>
      <c r="G9900" t="s">
        <v>1281</v>
      </c>
      <c r="H9900" t="str">
        <f>"ΦΑΙΑΚΩΝ 3 ΘΕΣΣΑΛΟΝΙΚΗ"</f>
        <v>ΦΑΙΑΚΩΝ 3 ΘΕΣΣΑΛΟΝΙΚΗ</v>
      </c>
      <c r="I9900">
        <v>54453</v>
      </c>
      <c r="J9900">
        <v>2310916510</v>
      </c>
      <c r="K9900">
        <v>6938782687</v>
      </c>
      <c r="N9900" t="s">
        <v>306</v>
      </c>
      <c r="O9900" t="s">
        <v>307</v>
      </c>
      <c r="R9900" t="s">
        <v>57</v>
      </c>
      <c r="S9900">
        <v>6</v>
      </c>
      <c r="T9900">
        <v>600</v>
      </c>
      <c r="U9900" s="1">
        <v>39310</v>
      </c>
      <c r="V9900" t="s">
        <v>89</v>
      </c>
      <c r="W9900" t="s">
        <v>90</v>
      </c>
      <c r="X9900" t="s">
        <v>58</v>
      </c>
      <c r="Y9900">
        <v>23</v>
      </c>
      <c r="Z9900" t="s">
        <v>59</v>
      </c>
      <c r="AA9900" t="s">
        <v>59</v>
      </c>
      <c r="AB9900" t="s">
        <v>59</v>
      </c>
      <c r="AC9900" t="s">
        <v>59</v>
      </c>
      <c r="AD9900" t="s">
        <v>59</v>
      </c>
      <c r="AF9900" s="1">
        <v>39328</v>
      </c>
      <c r="AG9900" t="s">
        <v>8645</v>
      </c>
      <c r="AH9900" t="s">
        <v>8646</v>
      </c>
      <c r="AI9900" t="str">
        <f>"9500148"</f>
        <v>9500148</v>
      </c>
      <c r="AJ9900" t="s">
        <v>13851</v>
      </c>
      <c r="AK9900">
        <v>2821068328</v>
      </c>
      <c r="AL9900" t="s">
        <v>13852</v>
      </c>
      <c r="AM9900" t="s">
        <v>88</v>
      </c>
      <c r="AN9900" t="s">
        <v>88</v>
      </c>
      <c r="AO9900" t="s">
        <v>6785</v>
      </c>
      <c r="AP9900" t="s">
        <v>13853</v>
      </c>
      <c r="AQ9900">
        <v>3</v>
      </c>
      <c r="AR9900" t="s">
        <v>89</v>
      </c>
      <c r="AS9900" t="s">
        <v>90</v>
      </c>
      <c r="AT9900" t="s">
        <v>58</v>
      </c>
      <c r="AU9900" t="s">
        <v>68</v>
      </c>
      <c r="AV9900" t="s">
        <v>69</v>
      </c>
      <c r="AW9900" s="1">
        <v>26782</v>
      </c>
      <c r="AX9900">
        <v>1</v>
      </c>
    </row>
    <row r="9901" spans="1:50">
      <c r="A9901">
        <v>613249</v>
      </c>
      <c r="B9901" t="str">
        <f>"135203285"</f>
        <v>135203285</v>
      </c>
      <c r="C9901" t="s">
        <v>50</v>
      </c>
      <c r="D9901" t="s">
        <v>14847</v>
      </c>
      <c r="E9901" t="s">
        <v>255</v>
      </c>
      <c r="F9901" t="s">
        <v>166</v>
      </c>
      <c r="G9901" t="s">
        <v>52</v>
      </c>
      <c r="H9901" t="str">
        <f>"ΠΕΤΡΩΦ 46 ΧΑΝΙΑ"</f>
        <v>ΠΕΤΡΩΦ 46 ΧΑΝΙΑ</v>
      </c>
      <c r="I9901">
        <v>73100</v>
      </c>
      <c r="J9901">
        <v>2821090583</v>
      </c>
      <c r="K9901">
        <v>6973807698</v>
      </c>
      <c r="N9901" t="s">
        <v>615</v>
      </c>
      <c r="O9901" t="s">
        <v>616</v>
      </c>
      <c r="R9901" t="s">
        <v>57</v>
      </c>
      <c r="S9901">
        <v>6</v>
      </c>
      <c r="T9901">
        <v>598</v>
      </c>
      <c r="U9901" s="1">
        <v>39307</v>
      </c>
      <c r="V9901" t="s">
        <v>89</v>
      </c>
      <c r="W9901" t="s">
        <v>90</v>
      </c>
      <c r="X9901" t="s">
        <v>58</v>
      </c>
      <c r="Y9901">
        <v>23</v>
      </c>
      <c r="Z9901" t="s">
        <v>59</v>
      </c>
      <c r="AA9901" t="s">
        <v>59</v>
      </c>
      <c r="AB9901" t="s">
        <v>59</v>
      </c>
      <c r="AC9901" t="s">
        <v>59</v>
      </c>
      <c r="AD9901" t="s">
        <v>59</v>
      </c>
      <c r="AF9901" s="1">
        <v>39310</v>
      </c>
      <c r="AG9901" t="s">
        <v>8645</v>
      </c>
      <c r="AH9901" t="s">
        <v>14199</v>
      </c>
      <c r="AI9901" t="str">
        <f>"9500140"</f>
        <v>9500140</v>
      </c>
      <c r="AJ9901" t="s">
        <v>14200</v>
      </c>
      <c r="AK9901">
        <v>2821097348</v>
      </c>
      <c r="AL9901" t="s">
        <v>14201</v>
      </c>
      <c r="AM9901" t="s">
        <v>88</v>
      </c>
      <c r="AN9901" t="s">
        <v>88</v>
      </c>
      <c r="AO9901" t="s">
        <v>88</v>
      </c>
      <c r="AP9901" t="s">
        <v>88</v>
      </c>
      <c r="AQ9901">
        <v>1</v>
      </c>
      <c r="AR9901" t="s">
        <v>89</v>
      </c>
      <c r="AS9901" t="s">
        <v>90</v>
      </c>
      <c r="AT9901" t="s">
        <v>58</v>
      </c>
      <c r="AU9901" t="s">
        <v>68</v>
      </c>
      <c r="AV9901" t="s">
        <v>69</v>
      </c>
      <c r="AW9901" s="1">
        <v>29365</v>
      </c>
      <c r="AX9901">
        <v>1</v>
      </c>
    </row>
    <row r="9902" spans="1:50">
      <c r="A9902">
        <v>620279</v>
      </c>
      <c r="B9902" t="str">
        <f>"131499494"</f>
        <v>131499494</v>
      </c>
      <c r="C9902" t="s">
        <v>50</v>
      </c>
      <c r="D9902" t="s">
        <v>2393</v>
      </c>
      <c r="E9902" t="s">
        <v>250</v>
      </c>
      <c r="F9902" t="s">
        <v>670</v>
      </c>
      <c r="G9902" t="s">
        <v>71</v>
      </c>
      <c r="H9902" t="str">
        <f>"ΠΑΠΑΝΑΣΤΑΣΙΟΥ 179 ΧΑΝΙΑ"</f>
        <v>ΠΑΠΑΝΑΣΤΑΣΙΟΥ 179 ΧΑΝΙΑ</v>
      </c>
      <c r="I9902">
        <v>73133</v>
      </c>
      <c r="J9902">
        <v>2821056676</v>
      </c>
      <c r="K9902">
        <v>6946973708</v>
      </c>
      <c r="N9902" t="s">
        <v>337</v>
      </c>
      <c r="O9902" t="s">
        <v>338</v>
      </c>
      <c r="R9902" t="s">
        <v>57</v>
      </c>
      <c r="S9902">
        <v>6</v>
      </c>
      <c r="T9902">
        <v>652</v>
      </c>
      <c r="U9902" s="1">
        <v>40043</v>
      </c>
      <c r="V9902" t="s">
        <v>89</v>
      </c>
      <c r="W9902" t="s">
        <v>90</v>
      </c>
      <c r="X9902" t="s">
        <v>58</v>
      </c>
      <c r="Y9902">
        <v>23</v>
      </c>
      <c r="Z9902" t="s">
        <v>59</v>
      </c>
      <c r="AA9902" t="s">
        <v>59</v>
      </c>
      <c r="AB9902" t="s">
        <v>59</v>
      </c>
      <c r="AC9902" t="s">
        <v>59</v>
      </c>
      <c r="AD9902" t="s">
        <v>59</v>
      </c>
      <c r="AF9902" s="1">
        <v>40043</v>
      </c>
      <c r="AG9902" t="s">
        <v>8645</v>
      </c>
      <c r="AH9902" t="s">
        <v>8646</v>
      </c>
      <c r="AI9902" t="str">
        <f>"9500218"</f>
        <v>9500218</v>
      </c>
      <c r="AJ9902" t="s">
        <v>13992</v>
      </c>
      <c r="AK9902">
        <v>2824022216</v>
      </c>
      <c r="AL9902" t="s">
        <v>13993</v>
      </c>
      <c r="AM9902" t="s">
        <v>88</v>
      </c>
      <c r="AN9902" t="s">
        <v>6764</v>
      </c>
      <c r="AO9902" t="s">
        <v>6799</v>
      </c>
      <c r="AP9902" t="s">
        <v>6799</v>
      </c>
      <c r="AQ9902">
        <v>6</v>
      </c>
      <c r="AR9902" t="s">
        <v>89</v>
      </c>
      <c r="AS9902" t="s">
        <v>90</v>
      </c>
      <c r="AT9902" t="s">
        <v>58</v>
      </c>
      <c r="AU9902" t="s">
        <v>68</v>
      </c>
      <c r="AV9902" t="s">
        <v>69</v>
      </c>
      <c r="AW9902" s="1">
        <v>29323</v>
      </c>
      <c r="AX9902">
        <v>1</v>
      </c>
    </row>
    <row r="9903" spans="1:50">
      <c r="A9903">
        <v>567961</v>
      </c>
      <c r="B9903" t="str">
        <f>"039326316"</f>
        <v>039326316</v>
      </c>
      <c r="C9903" t="s">
        <v>50</v>
      </c>
      <c r="D9903" t="s">
        <v>14848</v>
      </c>
      <c r="E9903" t="s">
        <v>52</v>
      </c>
      <c r="F9903" t="s">
        <v>99</v>
      </c>
      <c r="G9903" t="s">
        <v>1361</v>
      </c>
      <c r="H9903" t="str">
        <f>" "</f>
        <v xml:space="preserve"> </v>
      </c>
      <c r="N9903" t="s">
        <v>1525</v>
      </c>
      <c r="O9903" t="s">
        <v>1526</v>
      </c>
      <c r="R9903" t="s">
        <v>57</v>
      </c>
      <c r="S9903">
        <v>19</v>
      </c>
      <c r="T9903">
        <v>133</v>
      </c>
      <c r="U9903" s="1">
        <v>33456</v>
      </c>
      <c r="V9903" t="s">
        <v>89</v>
      </c>
      <c r="W9903" t="s">
        <v>90</v>
      </c>
      <c r="X9903" t="s">
        <v>58</v>
      </c>
      <c r="Y9903">
        <v>25</v>
      </c>
      <c r="Z9903" t="s">
        <v>59</v>
      </c>
      <c r="AA9903" t="s">
        <v>59</v>
      </c>
      <c r="AB9903" t="s">
        <v>59</v>
      </c>
      <c r="AC9903" t="s">
        <v>59</v>
      </c>
      <c r="AD9903" t="s">
        <v>59</v>
      </c>
      <c r="AF9903" s="1">
        <v>33483</v>
      </c>
      <c r="AG9903" t="s">
        <v>60</v>
      </c>
      <c r="AH9903" t="s">
        <v>61</v>
      </c>
      <c r="AI9903" t="str">
        <f>"9000657"</f>
        <v>9000657</v>
      </c>
      <c r="AJ9903" t="s">
        <v>86</v>
      </c>
      <c r="AK9903">
        <v>2821054390</v>
      </c>
      <c r="AL9903" t="s">
        <v>87</v>
      </c>
      <c r="AM9903" t="s">
        <v>88</v>
      </c>
      <c r="AN9903" t="s">
        <v>88</v>
      </c>
      <c r="AO9903" t="s">
        <v>88</v>
      </c>
      <c r="AP9903" t="s">
        <v>88</v>
      </c>
      <c r="AR9903" t="s">
        <v>89</v>
      </c>
      <c r="AS9903" t="s">
        <v>90</v>
      </c>
      <c r="AT9903" t="s">
        <v>58</v>
      </c>
      <c r="AU9903" t="s">
        <v>68</v>
      </c>
      <c r="AV9903" t="s">
        <v>69</v>
      </c>
      <c r="AW9903" s="1">
        <v>20787</v>
      </c>
      <c r="AX9903">
        <v>0</v>
      </c>
    </row>
    <row r="9904" spans="1:50">
      <c r="B9904" t="str">
        <f>"130447740"</f>
        <v>130447740</v>
      </c>
      <c r="C9904" t="s">
        <v>50</v>
      </c>
      <c r="D9904" t="s">
        <v>14848</v>
      </c>
      <c r="E9904" t="s">
        <v>801</v>
      </c>
      <c r="F9904" t="s">
        <v>154</v>
      </c>
      <c r="G9904" t="s">
        <v>52</v>
      </c>
      <c r="H9904" t="str">
        <f>"ΔΑΙΔΑΛΟΥ "</f>
        <v xml:space="preserve">ΔΑΙΔΑΛΟΥ </v>
      </c>
      <c r="I9904">
        <v>73100</v>
      </c>
      <c r="J9904">
        <v>2821064259</v>
      </c>
      <c r="K9904">
        <v>6977632150</v>
      </c>
      <c r="N9904" t="s">
        <v>615</v>
      </c>
      <c r="O9904" t="s">
        <v>616</v>
      </c>
      <c r="R9904" t="s">
        <v>159</v>
      </c>
      <c r="S9904">
        <v>3</v>
      </c>
      <c r="T9904" t="s">
        <v>8675</v>
      </c>
      <c r="U9904" s="1">
        <v>43348</v>
      </c>
      <c r="V9904" t="s">
        <v>89</v>
      </c>
      <c r="W9904" t="s">
        <v>90</v>
      </c>
      <c r="X9904" t="s">
        <v>58</v>
      </c>
      <c r="Y9904">
        <v>24</v>
      </c>
      <c r="Z9904" t="s">
        <v>59</v>
      </c>
      <c r="AA9904" t="s">
        <v>59</v>
      </c>
      <c r="AB9904" t="s">
        <v>59</v>
      </c>
      <c r="AC9904" t="s">
        <v>59</v>
      </c>
      <c r="AD9904" t="s">
        <v>59</v>
      </c>
      <c r="AF9904" s="1">
        <v>43348</v>
      </c>
      <c r="AG9904" t="s">
        <v>8645</v>
      </c>
      <c r="AH9904" t="s">
        <v>8646</v>
      </c>
      <c r="AI9904" t="str">
        <f>"9520693"</f>
        <v>9520693</v>
      </c>
      <c r="AJ9904" t="s">
        <v>13913</v>
      </c>
      <c r="AK9904">
        <v>2821066910</v>
      </c>
      <c r="AL9904" t="s">
        <v>13914</v>
      </c>
      <c r="AM9904" t="s">
        <v>88</v>
      </c>
      <c r="AN9904" t="s">
        <v>88</v>
      </c>
      <c r="AO9904" t="s">
        <v>6770</v>
      </c>
      <c r="AP9904" t="s">
        <v>6771</v>
      </c>
      <c r="AQ9904">
        <v>2</v>
      </c>
      <c r="AR9904" t="s">
        <v>89</v>
      </c>
      <c r="AS9904" t="s">
        <v>90</v>
      </c>
      <c r="AT9904" t="s">
        <v>58</v>
      </c>
      <c r="AU9904" t="s">
        <v>8673</v>
      </c>
      <c r="AV9904" t="s">
        <v>132</v>
      </c>
      <c r="AW9904" s="1">
        <v>31882</v>
      </c>
      <c r="AX9904">
        <v>1</v>
      </c>
    </row>
    <row r="9905" spans="1:50">
      <c r="A9905">
        <v>615176</v>
      </c>
      <c r="B9905" t="str">
        <f>"068338760"</f>
        <v>068338760</v>
      </c>
      <c r="C9905" t="s">
        <v>50</v>
      </c>
      <c r="D9905" t="s">
        <v>14849</v>
      </c>
      <c r="E9905" t="s">
        <v>742</v>
      </c>
      <c r="F9905" t="s">
        <v>53</v>
      </c>
      <c r="G9905" t="s">
        <v>85</v>
      </c>
      <c r="H9905" t="str">
        <f>"ΠΛΑΚΟΥΡΕΣ ΑΚΡΩΤΗΡΙ"</f>
        <v>ΠΛΑΚΟΥΡΕΣ ΑΚΡΩΤΗΡΙ</v>
      </c>
      <c r="I9905">
        <v>73100</v>
      </c>
      <c r="J9905">
        <v>2821069109</v>
      </c>
      <c r="K9905">
        <v>6977248320</v>
      </c>
      <c r="L9905">
        <v>693302942</v>
      </c>
      <c r="N9905" t="s">
        <v>1525</v>
      </c>
      <c r="O9905" t="s">
        <v>1526</v>
      </c>
      <c r="R9905" t="s">
        <v>57</v>
      </c>
      <c r="S9905">
        <v>6</v>
      </c>
      <c r="T9905">
        <v>598</v>
      </c>
      <c r="U9905" s="1">
        <v>39310</v>
      </c>
      <c r="V9905" t="s">
        <v>89</v>
      </c>
      <c r="W9905" t="s">
        <v>90</v>
      </c>
      <c r="X9905" t="s">
        <v>58</v>
      </c>
      <c r="Y9905">
        <v>25</v>
      </c>
      <c r="Z9905" t="s">
        <v>59</v>
      </c>
      <c r="AA9905" t="s">
        <v>59</v>
      </c>
      <c r="AB9905" t="s">
        <v>59</v>
      </c>
      <c r="AC9905" t="s">
        <v>59</v>
      </c>
      <c r="AD9905" t="s">
        <v>59</v>
      </c>
      <c r="AF9905" s="1">
        <v>39310</v>
      </c>
      <c r="AG9905" t="s">
        <v>8651</v>
      </c>
      <c r="AH9905" t="s">
        <v>8652</v>
      </c>
      <c r="AI9905" t="str">
        <f>"9500347"</f>
        <v>9500347</v>
      </c>
      <c r="AJ9905" t="s">
        <v>14802</v>
      </c>
      <c r="AK9905">
        <v>2821092365</v>
      </c>
      <c r="AL9905" t="s">
        <v>14803</v>
      </c>
      <c r="AM9905" t="s">
        <v>88</v>
      </c>
      <c r="AN9905" t="s">
        <v>88</v>
      </c>
      <c r="AO9905" t="s">
        <v>88</v>
      </c>
      <c r="AP9905" t="s">
        <v>88</v>
      </c>
      <c r="AQ9905">
        <v>1</v>
      </c>
      <c r="AR9905" t="s">
        <v>89</v>
      </c>
      <c r="AS9905" t="s">
        <v>90</v>
      </c>
      <c r="AT9905" t="s">
        <v>58</v>
      </c>
      <c r="AU9905" t="s">
        <v>68</v>
      </c>
      <c r="AV9905" t="s">
        <v>69</v>
      </c>
      <c r="AW9905" s="1">
        <v>26982</v>
      </c>
      <c r="AX9905">
        <v>1</v>
      </c>
    </row>
    <row r="9906" spans="1:50">
      <c r="A9906">
        <v>617772</v>
      </c>
      <c r="B9906" t="str">
        <f>"134792380"</f>
        <v>134792380</v>
      </c>
      <c r="C9906" t="s">
        <v>50</v>
      </c>
      <c r="D9906" t="s">
        <v>14850</v>
      </c>
      <c r="E9906" t="s">
        <v>83</v>
      </c>
      <c r="F9906" t="s">
        <v>99</v>
      </c>
      <c r="G9906" t="s">
        <v>476</v>
      </c>
      <c r="H9906" t="str">
        <f>"ΕΙΡΗΝΗΣ 2 ΑΣΠΡΟΠΥΡΓΟΣ"</f>
        <v>ΕΙΡΗΝΗΣ 2 ΑΣΠΡΟΠΥΡΓΟΣ</v>
      </c>
      <c r="I9906">
        <v>19300</v>
      </c>
      <c r="J9906">
        <v>2105574030</v>
      </c>
      <c r="K9906">
        <v>6936747506</v>
      </c>
      <c r="N9906" t="s">
        <v>615</v>
      </c>
      <c r="O9906" t="s">
        <v>616</v>
      </c>
      <c r="R9906" t="s">
        <v>57</v>
      </c>
      <c r="S9906">
        <v>5</v>
      </c>
      <c r="T9906">
        <v>774</v>
      </c>
      <c r="U9906" s="1">
        <v>39680</v>
      </c>
      <c r="V9906" t="s">
        <v>89</v>
      </c>
      <c r="W9906" t="s">
        <v>90</v>
      </c>
      <c r="X9906" t="s">
        <v>58</v>
      </c>
      <c r="Y9906">
        <v>23</v>
      </c>
      <c r="Z9906" t="s">
        <v>59</v>
      </c>
      <c r="AA9906" t="s">
        <v>59</v>
      </c>
      <c r="AB9906" t="s">
        <v>59</v>
      </c>
      <c r="AC9906" t="s">
        <v>59</v>
      </c>
      <c r="AD9906" t="s">
        <v>59</v>
      </c>
      <c r="AF9906" s="1">
        <v>39685</v>
      </c>
      <c r="AG9906" t="s">
        <v>8645</v>
      </c>
      <c r="AH9906" t="s">
        <v>8646</v>
      </c>
      <c r="AI9906" t="str">
        <f>"9500320"</f>
        <v>9500320</v>
      </c>
      <c r="AJ9906" t="s">
        <v>14100</v>
      </c>
      <c r="AK9906">
        <v>2821099577</v>
      </c>
      <c r="AL9906" t="s">
        <v>14101</v>
      </c>
      <c r="AM9906" t="s">
        <v>88</v>
      </c>
      <c r="AN9906" t="s">
        <v>88</v>
      </c>
      <c r="AO9906" t="s">
        <v>88</v>
      </c>
      <c r="AP9906" t="s">
        <v>88</v>
      </c>
      <c r="AQ9906">
        <v>1</v>
      </c>
      <c r="AR9906" t="s">
        <v>89</v>
      </c>
      <c r="AS9906" t="s">
        <v>90</v>
      </c>
      <c r="AT9906" t="s">
        <v>58</v>
      </c>
      <c r="AU9906" t="s">
        <v>68</v>
      </c>
      <c r="AV9906" t="s">
        <v>69</v>
      </c>
      <c r="AW9906" s="1">
        <v>30710</v>
      </c>
      <c r="AX9906">
        <v>1</v>
      </c>
    </row>
    <row r="9907" spans="1:50">
      <c r="B9907" t="str">
        <f>"158602963"</f>
        <v>158602963</v>
      </c>
      <c r="C9907" t="s">
        <v>50</v>
      </c>
      <c r="D9907" t="s">
        <v>14851</v>
      </c>
      <c r="E9907" t="s">
        <v>3683</v>
      </c>
      <c r="F9907" t="s">
        <v>670</v>
      </c>
      <c r="G9907" t="s">
        <v>566</v>
      </c>
      <c r="H9907" t="str">
        <f>"Ν. Ζίχνη Σερρών "</f>
        <v xml:space="preserve">Ν. Ζίχνη Σερρών </v>
      </c>
      <c r="K9907">
        <v>6939261777</v>
      </c>
      <c r="N9907" t="s">
        <v>615</v>
      </c>
      <c r="O9907" t="s">
        <v>616</v>
      </c>
      <c r="R9907" t="s">
        <v>159</v>
      </c>
      <c r="S9907">
        <v>1</v>
      </c>
      <c r="T9907" t="s">
        <v>8717</v>
      </c>
      <c r="U9907" s="1">
        <v>43348</v>
      </c>
      <c r="V9907" t="s">
        <v>89</v>
      </c>
      <c r="W9907" t="s">
        <v>90</v>
      </c>
      <c r="X9907" t="s">
        <v>58</v>
      </c>
      <c r="Y9907">
        <v>24</v>
      </c>
      <c r="Z9907" t="s">
        <v>59</v>
      </c>
      <c r="AA9907" t="s">
        <v>59</v>
      </c>
      <c r="AB9907" t="s">
        <v>59</v>
      </c>
      <c r="AD9907" t="s">
        <v>59</v>
      </c>
      <c r="AF9907" s="1">
        <v>43348</v>
      </c>
      <c r="AG9907" t="s">
        <v>8645</v>
      </c>
      <c r="AH9907" t="s">
        <v>8646</v>
      </c>
      <c r="AI9907" t="str">
        <f>"9500041"</f>
        <v>9500041</v>
      </c>
      <c r="AJ9907" t="s">
        <v>13944</v>
      </c>
      <c r="AK9907">
        <v>2821028218</v>
      </c>
      <c r="AL9907" t="s">
        <v>13945</v>
      </c>
      <c r="AM9907" t="s">
        <v>88</v>
      </c>
      <c r="AN9907" t="s">
        <v>88</v>
      </c>
      <c r="AO9907" t="s">
        <v>88</v>
      </c>
      <c r="AP9907" t="s">
        <v>88</v>
      </c>
      <c r="AQ9907">
        <v>1</v>
      </c>
      <c r="AR9907" t="s">
        <v>89</v>
      </c>
      <c r="AS9907" t="s">
        <v>90</v>
      </c>
      <c r="AT9907" t="s">
        <v>58</v>
      </c>
      <c r="AU9907" t="s">
        <v>8720</v>
      </c>
      <c r="AV9907" t="s">
        <v>132</v>
      </c>
      <c r="AW9907" s="1">
        <v>32823</v>
      </c>
      <c r="AX9907">
        <v>1</v>
      </c>
    </row>
    <row r="9908" spans="1:50">
      <c r="A9908">
        <v>561076</v>
      </c>
      <c r="B9908" t="str">
        <f>"079888368"</f>
        <v>079888368</v>
      </c>
      <c r="C9908" t="s">
        <v>50</v>
      </c>
      <c r="D9908" t="s">
        <v>14852</v>
      </c>
      <c r="E9908" t="s">
        <v>52</v>
      </c>
      <c r="F9908" t="s">
        <v>72</v>
      </c>
      <c r="G9908" t="s">
        <v>114</v>
      </c>
      <c r="H9908" t="str">
        <f>"ΜΙΛΗΤΟΥ 2 ΠΑΣΑΚΑΚΙ-ΜΟΥΡΝΙΕΣ"</f>
        <v>ΜΙΛΗΤΟΥ 2 ΠΑΣΑΚΑΚΙ-ΜΟΥΡΝΙΕΣ</v>
      </c>
      <c r="I9908">
        <v>73300</v>
      </c>
      <c r="J9908">
        <v>2821096905</v>
      </c>
      <c r="K9908">
        <v>6974091552</v>
      </c>
      <c r="N9908" t="s">
        <v>615</v>
      </c>
      <c r="O9908" t="s">
        <v>616</v>
      </c>
      <c r="R9908" t="s">
        <v>57</v>
      </c>
      <c r="S9908">
        <v>15</v>
      </c>
      <c r="T9908">
        <v>159</v>
      </c>
      <c r="U9908" s="1">
        <v>32385</v>
      </c>
      <c r="V9908" t="s">
        <v>89</v>
      </c>
      <c r="W9908" t="s">
        <v>90</v>
      </c>
      <c r="X9908" t="s">
        <v>58</v>
      </c>
      <c r="Y9908">
        <v>21</v>
      </c>
      <c r="Z9908" t="s">
        <v>59</v>
      </c>
      <c r="AA9908" t="s">
        <v>59</v>
      </c>
      <c r="AB9908" t="s">
        <v>59</v>
      </c>
      <c r="AC9908" t="s">
        <v>59</v>
      </c>
      <c r="AD9908" t="s">
        <v>59</v>
      </c>
      <c r="AF9908" s="1">
        <v>32385</v>
      </c>
      <c r="AG9908" t="s">
        <v>8645</v>
      </c>
      <c r="AH9908" t="s">
        <v>8646</v>
      </c>
      <c r="AI9908" t="str">
        <f>"9500137"</f>
        <v>9500137</v>
      </c>
      <c r="AJ9908" t="s">
        <v>14401</v>
      </c>
      <c r="AK9908">
        <v>2821093156</v>
      </c>
      <c r="AL9908" t="s">
        <v>14402</v>
      </c>
      <c r="AM9908" t="s">
        <v>88</v>
      </c>
      <c r="AN9908" t="s">
        <v>88</v>
      </c>
      <c r="AO9908" t="s">
        <v>88</v>
      </c>
      <c r="AP9908" t="s">
        <v>88</v>
      </c>
      <c r="AQ9908">
        <v>1</v>
      </c>
      <c r="AR9908" t="s">
        <v>89</v>
      </c>
      <c r="AS9908" t="s">
        <v>90</v>
      </c>
      <c r="AT9908" t="s">
        <v>58</v>
      </c>
      <c r="AU9908" t="s">
        <v>68</v>
      </c>
      <c r="AV9908" t="s">
        <v>2039</v>
      </c>
      <c r="AW9908" s="1">
        <v>23675</v>
      </c>
      <c r="AX9908">
        <v>1</v>
      </c>
    </row>
    <row r="9909" spans="1:50">
      <c r="A9909">
        <v>569032</v>
      </c>
      <c r="B9909" t="str">
        <f>"113190551"</f>
        <v>113190551</v>
      </c>
      <c r="C9909" t="s">
        <v>50</v>
      </c>
      <c r="D9909" t="s">
        <v>7657</v>
      </c>
      <c r="E9909" t="s">
        <v>3290</v>
      </c>
      <c r="F9909" t="s">
        <v>377</v>
      </c>
      <c r="G9909" t="s">
        <v>566</v>
      </c>
      <c r="H9909" t="str">
        <f>"ΜΗΤΡΟΠΟΛΙΤΟΥ ΚΥΡΙΛΛΟΥ 11 ΧΑΝΙΑ"</f>
        <v>ΜΗΤΡΟΠΟΛΙΤΟΥ ΚΥΡΙΛΛΟΥ 11 ΧΑΝΙΑ</v>
      </c>
      <c r="I9909">
        <v>73131</v>
      </c>
      <c r="J9909">
        <v>2821095352</v>
      </c>
      <c r="K9909">
        <v>6938227700</v>
      </c>
      <c r="N9909" t="s">
        <v>615</v>
      </c>
      <c r="O9909" t="s">
        <v>616</v>
      </c>
      <c r="R9909" t="s">
        <v>57</v>
      </c>
      <c r="S9909">
        <v>18</v>
      </c>
      <c r="T9909">
        <v>162</v>
      </c>
      <c r="U9909" s="1">
        <v>33844</v>
      </c>
      <c r="V9909" t="s">
        <v>89</v>
      </c>
      <c r="W9909" t="s">
        <v>90</v>
      </c>
      <c r="X9909" t="s">
        <v>58</v>
      </c>
      <c r="Y9909">
        <v>21</v>
      </c>
      <c r="Z9909" t="s">
        <v>59</v>
      </c>
      <c r="AA9909" t="s">
        <v>59</v>
      </c>
      <c r="AB9909" t="s">
        <v>59</v>
      </c>
      <c r="AC9909" t="s">
        <v>59</v>
      </c>
      <c r="AD9909" t="s">
        <v>59</v>
      </c>
      <c r="AF9909" s="1">
        <v>33844</v>
      </c>
      <c r="AG9909" t="s">
        <v>8645</v>
      </c>
      <c r="AH9909" t="s">
        <v>8646</v>
      </c>
      <c r="AI9909" t="str">
        <f>"9500137"</f>
        <v>9500137</v>
      </c>
      <c r="AJ9909" t="s">
        <v>14401</v>
      </c>
      <c r="AK9909">
        <v>2821093156</v>
      </c>
      <c r="AL9909" t="s">
        <v>14402</v>
      </c>
      <c r="AM9909" t="s">
        <v>88</v>
      </c>
      <c r="AN9909" t="s">
        <v>88</v>
      </c>
      <c r="AO9909" t="s">
        <v>88</v>
      </c>
      <c r="AP9909" t="s">
        <v>88</v>
      </c>
      <c r="AQ9909">
        <v>1</v>
      </c>
      <c r="AR9909" t="s">
        <v>89</v>
      </c>
      <c r="AS9909" t="s">
        <v>90</v>
      </c>
      <c r="AT9909" t="s">
        <v>58</v>
      </c>
      <c r="AU9909" t="s">
        <v>68</v>
      </c>
      <c r="AV9909" t="s">
        <v>69</v>
      </c>
      <c r="AW9909" s="1">
        <v>24115</v>
      </c>
      <c r="AX9909">
        <v>1</v>
      </c>
    </row>
    <row r="9910" spans="1:50">
      <c r="A9910">
        <v>560346</v>
      </c>
      <c r="B9910" t="str">
        <f>"031876880"</f>
        <v>031876880</v>
      </c>
      <c r="C9910" t="s">
        <v>50</v>
      </c>
      <c r="D9910" t="s">
        <v>7657</v>
      </c>
      <c r="E9910" t="s">
        <v>83</v>
      </c>
      <c r="F9910" t="s">
        <v>72</v>
      </c>
      <c r="G9910" t="s">
        <v>155</v>
      </c>
      <c r="H9910" t="str">
        <f>"ΚΙΣΣΑΜΟΣ ΚΙΣΣΑΜΟΣ ΧΑΝΙΩΝ"</f>
        <v>ΚΙΣΣΑΜΟΣ ΚΙΣΣΑΜΟΣ ΧΑΝΙΩΝ</v>
      </c>
      <c r="I9910">
        <v>73400</v>
      </c>
      <c r="J9910">
        <v>2822023454</v>
      </c>
      <c r="N9910" t="s">
        <v>615</v>
      </c>
      <c r="O9910" t="s">
        <v>616</v>
      </c>
      <c r="R9910" t="s">
        <v>57</v>
      </c>
      <c r="S9910">
        <v>16</v>
      </c>
      <c r="T9910">
        <v>185</v>
      </c>
      <c r="U9910" s="1">
        <v>32035</v>
      </c>
      <c r="V9910" t="s">
        <v>89</v>
      </c>
      <c r="W9910" t="s">
        <v>90</v>
      </c>
      <c r="X9910" t="s">
        <v>58</v>
      </c>
      <c r="Y9910">
        <v>21</v>
      </c>
      <c r="Z9910" t="s">
        <v>59</v>
      </c>
      <c r="AA9910" t="s">
        <v>59</v>
      </c>
      <c r="AB9910" t="s">
        <v>59</v>
      </c>
      <c r="AC9910" t="s">
        <v>59</v>
      </c>
      <c r="AD9910" t="s">
        <v>59</v>
      </c>
      <c r="AF9910" s="1">
        <v>32042</v>
      </c>
      <c r="AG9910" t="s">
        <v>8645</v>
      </c>
      <c r="AH9910" t="s">
        <v>8646</v>
      </c>
      <c r="AI9910" t="str">
        <f>"9500374"</f>
        <v>9500374</v>
      </c>
      <c r="AJ9910" t="s">
        <v>14529</v>
      </c>
      <c r="AK9910">
        <v>2822023194</v>
      </c>
      <c r="AL9910" t="s">
        <v>14530</v>
      </c>
      <c r="AM9910" t="s">
        <v>88</v>
      </c>
      <c r="AN9910" t="s">
        <v>6744</v>
      </c>
      <c r="AO9910" t="s">
        <v>6744</v>
      </c>
      <c r="AP9910" t="s">
        <v>6744</v>
      </c>
      <c r="AQ9910">
        <v>9</v>
      </c>
      <c r="AR9910" t="s">
        <v>89</v>
      </c>
      <c r="AS9910" t="s">
        <v>90</v>
      </c>
      <c r="AT9910" t="s">
        <v>58</v>
      </c>
      <c r="AU9910" t="s">
        <v>68</v>
      </c>
      <c r="AV9910" t="s">
        <v>69</v>
      </c>
      <c r="AW9910" s="1">
        <v>23919</v>
      </c>
      <c r="AX9910">
        <v>1</v>
      </c>
    </row>
    <row r="9911" spans="1:50">
      <c r="A9911">
        <v>562411</v>
      </c>
      <c r="B9911" t="str">
        <f>"031876934"</f>
        <v>031876934</v>
      </c>
      <c r="C9911" t="s">
        <v>50</v>
      </c>
      <c r="D9911" t="s">
        <v>7657</v>
      </c>
      <c r="E9911" t="s">
        <v>109</v>
      </c>
      <c r="F9911" t="s">
        <v>989</v>
      </c>
      <c r="G9911" t="s">
        <v>52</v>
      </c>
      <c r="H9911" t="str">
        <f>"ΟΣΙΟΥ ΝΙΚΩΝΟΣ 29 ΧΑΝΙΩΝ"</f>
        <v>ΟΣΙΟΥ ΝΙΚΩΝΟΣ 29 ΧΑΝΙΩΝ</v>
      </c>
      <c r="I9911">
        <v>73100</v>
      </c>
      <c r="J9911">
        <v>2821075079</v>
      </c>
      <c r="N9911" t="s">
        <v>615</v>
      </c>
      <c r="O9911" t="s">
        <v>616</v>
      </c>
      <c r="R9911" t="s">
        <v>57</v>
      </c>
      <c r="S9911">
        <v>15</v>
      </c>
      <c r="T9911">
        <v>187</v>
      </c>
      <c r="U9911" s="1">
        <v>32750</v>
      </c>
      <c r="V9911" t="s">
        <v>89</v>
      </c>
      <c r="W9911" t="s">
        <v>90</v>
      </c>
      <c r="X9911" t="s">
        <v>58</v>
      </c>
      <c r="Y9911">
        <v>21</v>
      </c>
      <c r="Z9911" t="s">
        <v>59</v>
      </c>
      <c r="AA9911" t="s">
        <v>59</v>
      </c>
      <c r="AB9911" t="s">
        <v>59</v>
      </c>
      <c r="AC9911" t="s">
        <v>59</v>
      </c>
      <c r="AD9911" t="s">
        <v>59</v>
      </c>
      <c r="AF9911" s="1">
        <v>32750</v>
      </c>
      <c r="AG9911" t="s">
        <v>8645</v>
      </c>
      <c r="AH9911" t="s">
        <v>8646</v>
      </c>
      <c r="AI9911" t="str">
        <f>"9500191"</f>
        <v>9500191</v>
      </c>
      <c r="AJ9911" t="s">
        <v>13986</v>
      </c>
      <c r="AK9911">
        <v>2822022042</v>
      </c>
      <c r="AL9911" t="s">
        <v>13987</v>
      </c>
      <c r="AM9911" t="s">
        <v>88</v>
      </c>
      <c r="AN9911" t="s">
        <v>6744</v>
      </c>
      <c r="AO9911" t="s">
        <v>6744</v>
      </c>
      <c r="AP9911" t="s">
        <v>6744</v>
      </c>
      <c r="AQ9911">
        <v>9</v>
      </c>
      <c r="AR9911" t="s">
        <v>89</v>
      </c>
      <c r="AS9911" t="s">
        <v>90</v>
      </c>
      <c r="AT9911" t="s">
        <v>58</v>
      </c>
      <c r="AU9911" t="s">
        <v>68</v>
      </c>
      <c r="AV9911" t="s">
        <v>69</v>
      </c>
      <c r="AW9911" s="1">
        <v>23890</v>
      </c>
      <c r="AX9911">
        <v>1</v>
      </c>
    </row>
    <row r="9912" spans="1:50">
      <c r="A9912">
        <v>571142</v>
      </c>
      <c r="B9912" t="str">
        <f>"110859558"</f>
        <v>110859558</v>
      </c>
      <c r="C9912" t="s">
        <v>50</v>
      </c>
      <c r="D9912" t="s">
        <v>7657</v>
      </c>
      <c r="E9912" t="s">
        <v>52</v>
      </c>
      <c r="F9912" t="s">
        <v>95</v>
      </c>
      <c r="G9912" t="s">
        <v>109</v>
      </c>
      <c r="H9912" t="str">
        <f>"ΚΙΣΣΑΜΟΣ ΚΙΣΣΑΜΟΣ ΧΑΝΙΩΝ"</f>
        <v>ΚΙΣΣΑΜΟΣ ΚΙΣΣΑΜΟΣ ΧΑΝΙΩΝ</v>
      </c>
      <c r="I9912">
        <v>73400</v>
      </c>
      <c r="J9912">
        <v>2822023767</v>
      </c>
      <c r="K9912">
        <v>6977521153</v>
      </c>
      <c r="N9912" t="s">
        <v>615</v>
      </c>
      <c r="O9912" t="s">
        <v>616</v>
      </c>
      <c r="R9912" t="s">
        <v>57</v>
      </c>
      <c r="S9912">
        <v>14</v>
      </c>
      <c r="T9912" t="s">
        <v>14853</v>
      </c>
      <c r="U9912" s="1">
        <v>34206</v>
      </c>
      <c r="V9912" t="s">
        <v>89</v>
      </c>
      <c r="W9912" t="s">
        <v>90</v>
      </c>
      <c r="X9912" t="s">
        <v>58</v>
      </c>
      <c r="Y9912">
        <v>21</v>
      </c>
      <c r="Z9912" t="s">
        <v>59</v>
      </c>
      <c r="AA9912" t="s">
        <v>59</v>
      </c>
      <c r="AB9912" t="s">
        <v>59</v>
      </c>
      <c r="AC9912" t="s">
        <v>59</v>
      </c>
      <c r="AD9912" t="s">
        <v>59</v>
      </c>
      <c r="AF9912" s="1">
        <v>34213</v>
      </c>
      <c r="AG9912" t="s">
        <v>8645</v>
      </c>
      <c r="AH9912" t="s">
        <v>8646</v>
      </c>
      <c r="AI9912" t="str">
        <f>"9500191"</f>
        <v>9500191</v>
      </c>
      <c r="AJ9912" t="s">
        <v>13986</v>
      </c>
      <c r="AK9912">
        <v>2822022042</v>
      </c>
      <c r="AL9912" t="s">
        <v>13987</v>
      </c>
      <c r="AM9912" t="s">
        <v>88</v>
      </c>
      <c r="AN9912" t="s">
        <v>6744</v>
      </c>
      <c r="AO9912" t="s">
        <v>6744</v>
      </c>
      <c r="AP9912" t="s">
        <v>6744</v>
      </c>
      <c r="AQ9912">
        <v>9</v>
      </c>
      <c r="AR9912" t="s">
        <v>89</v>
      </c>
      <c r="AS9912" t="s">
        <v>90</v>
      </c>
      <c r="AT9912" t="s">
        <v>58</v>
      </c>
      <c r="AU9912" t="s">
        <v>68</v>
      </c>
      <c r="AV9912" t="s">
        <v>69</v>
      </c>
      <c r="AW9912" s="1">
        <v>23897</v>
      </c>
      <c r="AX9912">
        <v>1</v>
      </c>
    </row>
    <row r="9913" spans="1:50">
      <c r="A9913">
        <v>563175</v>
      </c>
      <c r="B9913" t="str">
        <f>"032033904"</f>
        <v>032033904</v>
      </c>
      <c r="C9913" t="s">
        <v>50</v>
      </c>
      <c r="D9913" t="s">
        <v>14854</v>
      </c>
      <c r="E9913" t="s">
        <v>9746</v>
      </c>
      <c r="F9913" t="s">
        <v>95</v>
      </c>
      <c r="G9913" t="s">
        <v>411</v>
      </c>
      <c r="H9913" t="str">
        <f>" "</f>
        <v xml:space="preserve"> </v>
      </c>
      <c r="N9913" t="s">
        <v>1525</v>
      </c>
      <c r="O9913" t="s">
        <v>1526</v>
      </c>
      <c r="R9913" t="s">
        <v>57</v>
      </c>
      <c r="S9913">
        <v>16</v>
      </c>
      <c r="T9913">
        <v>187</v>
      </c>
      <c r="U9913" s="1">
        <v>32750</v>
      </c>
      <c r="V9913" t="s">
        <v>89</v>
      </c>
      <c r="W9913" t="s">
        <v>90</v>
      </c>
      <c r="X9913" t="s">
        <v>58</v>
      </c>
      <c r="Y9913">
        <v>25</v>
      </c>
      <c r="Z9913" t="s">
        <v>59</v>
      </c>
      <c r="AA9913" t="s">
        <v>59</v>
      </c>
      <c r="AB9913" t="s">
        <v>59</v>
      </c>
      <c r="AC9913" t="s">
        <v>59</v>
      </c>
      <c r="AD9913" t="s">
        <v>59</v>
      </c>
      <c r="AF9913" s="1">
        <v>32750</v>
      </c>
      <c r="AG9913" t="s">
        <v>8651</v>
      </c>
      <c r="AH9913" t="s">
        <v>8652</v>
      </c>
      <c r="AI9913" t="str">
        <f>"9500046"</f>
        <v>9500046</v>
      </c>
      <c r="AJ9913" t="s">
        <v>14855</v>
      </c>
      <c r="AK9913">
        <v>2821040434</v>
      </c>
      <c r="AL9913" t="s">
        <v>14856</v>
      </c>
      <c r="AM9913" t="s">
        <v>88</v>
      </c>
      <c r="AN9913" t="s">
        <v>88</v>
      </c>
      <c r="AO9913" t="s">
        <v>88</v>
      </c>
      <c r="AP9913" t="s">
        <v>88</v>
      </c>
      <c r="AQ9913">
        <v>1</v>
      </c>
      <c r="AR9913" t="s">
        <v>89</v>
      </c>
      <c r="AS9913" t="s">
        <v>90</v>
      </c>
      <c r="AT9913" t="s">
        <v>58</v>
      </c>
      <c r="AU9913" t="s">
        <v>68</v>
      </c>
      <c r="AV9913" t="s">
        <v>69</v>
      </c>
      <c r="AW9913" s="1">
        <v>22215</v>
      </c>
      <c r="AX9913">
        <v>1</v>
      </c>
    </row>
    <row r="9914" spans="1:50">
      <c r="B9914" t="str">
        <f>"077472306"</f>
        <v>077472306</v>
      </c>
      <c r="C9914" t="s">
        <v>105</v>
      </c>
      <c r="D9914" t="s">
        <v>2411</v>
      </c>
      <c r="E9914" t="s">
        <v>53</v>
      </c>
      <c r="F9914" t="s">
        <v>72</v>
      </c>
      <c r="G9914" t="s">
        <v>52</v>
      </c>
      <c r="H9914" t="str">
        <f>"ΠΑΤΡΟΚΛΟΥ - ΓΑΛΑΤΑΣ Ν. ΚΥΔΩΝΙΑΣ ΧΑΝΙΑ"</f>
        <v>ΠΑΤΡΟΚΛΟΥ - ΓΑΛΑΤΑΣ Ν. ΚΥΔΩΝΙΑΣ ΧΑΝΙΑ</v>
      </c>
      <c r="I9914">
        <v>73100</v>
      </c>
      <c r="J9914">
        <v>2821031966</v>
      </c>
      <c r="K9914">
        <v>6973775313</v>
      </c>
      <c r="N9914" t="s">
        <v>176</v>
      </c>
      <c r="O9914" t="s">
        <v>177</v>
      </c>
      <c r="R9914" t="s">
        <v>159</v>
      </c>
      <c r="S9914">
        <v>1</v>
      </c>
      <c r="T9914" t="s">
        <v>8675</v>
      </c>
      <c r="U9914" s="1">
        <v>43348</v>
      </c>
      <c r="V9914" t="s">
        <v>89</v>
      </c>
      <c r="W9914" t="s">
        <v>90</v>
      </c>
      <c r="X9914" t="s">
        <v>58</v>
      </c>
      <c r="Y9914">
        <v>24</v>
      </c>
      <c r="Z9914" t="s">
        <v>59</v>
      </c>
      <c r="AA9914" t="s">
        <v>59</v>
      </c>
      <c r="AB9914" t="s">
        <v>59</v>
      </c>
      <c r="AC9914" t="s">
        <v>59</v>
      </c>
      <c r="AD9914" t="s">
        <v>59</v>
      </c>
      <c r="AF9914" s="1">
        <v>43348</v>
      </c>
      <c r="AG9914" t="s">
        <v>8645</v>
      </c>
      <c r="AH9914" t="s">
        <v>8646</v>
      </c>
      <c r="AI9914" t="str">
        <f>"9500175"</f>
        <v>9500175</v>
      </c>
      <c r="AJ9914" t="s">
        <v>14538</v>
      </c>
      <c r="AK9914">
        <v>2823041233</v>
      </c>
      <c r="AL9914" t="s">
        <v>14539</v>
      </c>
      <c r="AM9914" t="s">
        <v>88</v>
      </c>
      <c r="AN9914" t="s">
        <v>6824</v>
      </c>
      <c r="AO9914" t="s">
        <v>6870</v>
      </c>
      <c r="AP9914" t="s">
        <v>6871</v>
      </c>
      <c r="AQ9914">
        <v>11</v>
      </c>
      <c r="AR9914" t="s">
        <v>89</v>
      </c>
      <c r="AS9914" t="s">
        <v>90</v>
      </c>
      <c r="AT9914" t="s">
        <v>58</v>
      </c>
      <c r="AU9914" t="s">
        <v>8673</v>
      </c>
      <c r="AV9914" t="s">
        <v>132</v>
      </c>
      <c r="AW9914" s="1">
        <v>25947</v>
      </c>
      <c r="AX9914">
        <v>1</v>
      </c>
    </row>
    <row r="9915" spans="1:50">
      <c r="A9915">
        <v>602267</v>
      </c>
      <c r="B9915" t="str">
        <f>"112361174"</f>
        <v>112361174</v>
      </c>
      <c r="C9915" t="s">
        <v>105</v>
      </c>
      <c r="D9915" t="s">
        <v>14857</v>
      </c>
      <c r="E9915" t="s">
        <v>949</v>
      </c>
      <c r="F9915" t="s">
        <v>99</v>
      </c>
      <c r="G9915" t="s">
        <v>83</v>
      </c>
      <c r="H9915" t="str">
        <f>"ΝΕΡΑΤΖΙΑ ΒΟΥΚΟΛΙΩΝ"</f>
        <v>ΝΕΡΑΤΖΙΑ ΒΟΥΚΟΛΙΩΝ</v>
      </c>
      <c r="I9915">
        <v>73002</v>
      </c>
      <c r="J9915">
        <v>2824031965</v>
      </c>
      <c r="K9915">
        <v>6973775768</v>
      </c>
      <c r="N9915" t="s">
        <v>615</v>
      </c>
      <c r="O9915" t="s">
        <v>616</v>
      </c>
      <c r="R9915" t="s">
        <v>57</v>
      </c>
      <c r="S9915">
        <v>7</v>
      </c>
      <c r="T9915">
        <v>207</v>
      </c>
      <c r="U9915" s="1">
        <v>37866</v>
      </c>
      <c r="V9915" t="s">
        <v>89</v>
      </c>
      <c r="W9915" t="s">
        <v>90</v>
      </c>
      <c r="X9915" t="s">
        <v>58</v>
      </c>
      <c r="Y9915">
        <v>22</v>
      </c>
      <c r="Z9915" t="s">
        <v>59</v>
      </c>
      <c r="AA9915" t="s">
        <v>59</v>
      </c>
      <c r="AB9915" t="s">
        <v>59</v>
      </c>
      <c r="AC9915" t="s">
        <v>59</v>
      </c>
      <c r="AD9915" t="s">
        <v>59</v>
      </c>
      <c r="AF9915" s="1">
        <v>37866</v>
      </c>
      <c r="AG9915" t="s">
        <v>8645</v>
      </c>
      <c r="AH9915" t="s">
        <v>8646</v>
      </c>
      <c r="AI9915" t="str">
        <f>"9500126"</f>
        <v>9500126</v>
      </c>
      <c r="AJ9915" t="s">
        <v>14245</v>
      </c>
      <c r="AK9915">
        <v>2824031229</v>
      </c>
      <c r="AL9915" t="s">
        <v>14246</v>
      </c>
      <c r="AM9915" t="s">
        <v>88</v>
      </c>
      <c r="AN9915" t="s">
        <v>6764</v>
      </c>
      <c r="AO9915" t="s">
        <v>6765</v>
      </c>
      <c r="AP9915" t="s">
        <v>6765</v>
      </c>
      <c r="AQ9915">
        <v>6</v>
      </c>
      <c r="AR9915" t="s">
        <v>89</v>
      </c>
      <c r="AS9915" t="s">
        <v>90</v>
      </c>
      <c r="AT9915" t="s">
        <v>58</v>
      </c>
      <c r="AU9915" t="s">
        <v>68</v>
      </c>
      <c r="AV9915" t="s">
        <v>69</v>
      </c>
      <c r="AW9915" s="1">
        <v>26871</v>
      </c>
      <c r="AX9915">
        <v>1</v>
      </c>
    </row>
    <row r="9916" spans="1:50">
      <c r="A9916">
        <v>224158</v>
      </c>
      <c r="B9916" t="str">
        <f>"119427717"</f>
        <v>119427717</v>
      </c>
      <c r="C9916" t="s">
        <v>50</v>
      </c>
      <c r="D9916" t="s">
        <v>14858</v>
      </c>
      <c r="E9916" t="s">
        <v>109</v>
      </c>
      <c r="F9916" t="s">
        <v>2933</v>
      </c>
      <c r="G9916" t="s">
        <v>1085</v>
      </c>
      <c r="H9916" t="str">
        <f>"MAKOY 32 XIOΣ"</f>
        <v>MAKOY 32 XIOΣ</v>
      </c>
      <c r="I9916">
        <v>82100</v>
      </c>
      <c r="K9916">
        <v>6944770488</v>
      </c>
      <c r="M9916" t="s">
        <v>14859</v>
      </c>
      <c r="N9916" t="s">
        <v>306</v>
      </c>
      <c r="O9916" t="s">
        <v>307</v>
      </c>
      <c r="R9916" t="s">
        <v>57</v>
      </c>
      <c r="S9916">
        <v>6</v>
      </c>
      <c r="T9916">
        <v>775</v>
      </c>
      <c r="U9916" s="1">
        <v>39680</v>
      </c>
      <c r="V9916" t="s">
        <v>89</v>
      </c>
      <c r="W9916" t="s">
        <v>90</v>
      </c>
      <c r="X9916" t="s">
        <v>58</v>
      </c>
      <c r="Y9916">
        <v>23</v>
      </c>
      <c r="Z9916" t="s">
        <v>59</v>
      </c>
      <c r="AA9916" t="s">
        <v>59</v>
      </c>
      <c r="AB9916" t="s">
        <v>59</v>
      </c>
      <c r="AC9916" t="s">
        <v>59</v>
      </c>
      <c r="AD9916" t="s">
        <v>59</v>
      </c>
      <c r="AF9916" s="1">
        <v>39681</v>
      </c>
      <c r="AG9916" t="s">
        <v>8645</v>
      </c>
      <c r="AH9916" t="s">
        <v>8646</v>
      </c>
      <c r="AI9916" t="str">
        <f>"9500403"</f>
        <v>9500403</v>
      </c>
      <c r="AJ9916" t="s">
        <v>14230</v>
      </c>
      <c r="AK9916">
        <v>2821034094</v>
      </c>
      <c r="AL9916" t="s">
        <v>14231</v>
      </c>
      <c r="AM9916" t="s">
        <v>88</v>
      </c>
      <c r="AN9916" t="s">
        <v>88</v>
      </c>
      <c r="AO9916" t="s">
        <v>6785</v>
      </c>
      <c r="AP9916" t="s">
        <v>13932</v>
      </c>
      <c r="AQ9916">
        <v>3</v>
      </c>
      <c r="AR9916" t="s">
        <v>89</v>
      </c>
      <c r="AS9916" t="s">
        <v>90</v>
      </c>
      <c r="AT9916" t="s">
        <v>58</v>
      </c>
      <c r="AU9916" t="s">
        <v>68</v>
      </c>
      <c r="AV9916" t="s">
        <v>69</v>
      </c>
      <c r="AW9916" s="1">
        <v>27264</v>
      </c>
      <c r="AX9916">
        <v>1</v>
      </c>
    </row>
    <row r="9917" spans="1:50">
      <c r="A9917">
        <v>604780</v>
      </c>
      <c r="B9917" t="str">
        <f>"064636248"</f>
        <v>064636248</v>
      </c>
      <c r="C9917" t="s">
        <v>50</v>
      </c>
      <c r="D9917" t="s">
        <v>2416</v>
      </c>
      <c r="E9917" t="s">
        <v>707</v>
      </c>
      <c r="F9917" t="s">
        <v>5041</v>
      </c>
      <c r="G9917" t="s">
        <v>1189</v>
      </c>
      <c r="H9917" t="str">
        <f>"ΚΙΣΣΑΜΟΣ ΚΙΣΣΑΜΟΣ ΧΑΝΙΩΝ"</f>
        <v>ΚΙΣΣΑΜΟΣ ΚΙΣΣΑΜΟΣ ΧΑΝΙΩΝ</v>
      </c>
      <c r="I9917">
        <v>73400</v>
      </c>
      <c r="J9917">
        <v>2822024180</v>
      </c>
      <c r="K9917">
        <v>6973738051</v>
      </c>
      <c r="N9917" t="s">
        <v>615</v>
      </c>
      <c r="O9917" t="s">
        <v>616</v>
      </c>
      <c r="R9917" t="s">
        <v>57</v>
      </c>
      <c r="S9917">
        <v>10</v>
      </c>
      <c r="T9917">
        <v>231</v>
      </c>
      <c r="U9917" s="1">
        <v>38230</v>
      </c>
      <c r="V9917" t="s">
        <v>89</v>
      </c>
      <c r="W9917" t="s">
        <v>90</v>
      </c>
      <c r="X9917" t="s">
        <v>58</v>
      </c>
      <c r="Y9917">
        <v>21</v>
      </c>
      <c r="Z9917" t="s">
        <v>59</v>
      </c>
      <c r="AA9917" t="s">
        <v>59</v>
      </c>
      <c r="AB9917" t="s">
        <v>59</v>
      </c>
      <c r="AC9917" t="s">
        <v>59</v>
      </c>
      <c r="AD9917" t="s">
        <v>59</v>
      </c>
      <c r="AF9917" s="1">
        <v>38231</v>
      </c>
      <c r="AG9917" t="s">
        <v>8645</v>
      </c>
      <c r="AH9917" t="s">
        <v>8646</v>
      </c>
      <c r="AI9917" t="str">
        <f>"9500191"</f>
        <v>9500191</v>
      </c>
      <c r="AJ9917" t="s">
        <v>13986</v>
      </c>
      <c r="AK9917">
        <v>2822022042</v>
      </c>
      <c r="AL9917" t="s">
        <v>13987</v>
      </c>
      <c r="AM9917" t="s">
        <v>88</v>
      </c>
      <c r="AN9917" t="s">
        <v>6744</v>
      </c>
      <c r="AO9917" t="s">
        <v>6744</v>
      </c>
      <c r="AP9917" t="s">
        <v>6744</v>
      </c>
      <c r="AQ9917">
        <v>9</v>
      </c>
      <c r="AR9917" t="s">
        <v>89</v>
      </c>
      <c r="AS9917" t="s">
        <v>90</v>
      </c>
      <c r="AT9917" t="s">
        <v>58</v>
      </c>
      <c r="AU9917" t="s">
        <v>68</v>
      </c>
      <c r="AV9917" t="s">
        <v>69</v>
      </c>
      <c r="AW9917" s="1">
        <v>25540</v>
      </c>
      <c r="AX9917">
        <v>1</v>
      </c>
    </row>
    <row r="9918" spans="1:50">
      <c r="A9918">
        <v>569267</v>
      </c>
      <c r="B9918" t="str">
        <f>"100648920"</f>
        <v>100648920</v>
      </c>
      <c r="C9918" t="s">
        <v>50</v>
      </c>
      <c r="D9918" t="s">
        <v>14860</v>
      </c>
      <c r="E9918" t="s">
        <v>476</v>
      </c>
      <c r="F9918" t="s">
        <v>5386</v>
      </c>
      <c r="G9918" t="s">
        <v>52</v>
      </c>
      <c r="H9918" t="str">
        <f>" "</f>
        <v xml:space="preserve"> </v>
      </c>
      <c r="N9918" t="s">
        <v>1525</v>
      </c>
      <c r="O9918" t="s">
        <v>1526</v>
      </c>
      <c r="R9918" t="s">
        <v>57</v>
      </c>
      <c r="S9918">
        <v>19</v>
      </c>
      <c r="T9918">
        <v>162</v>
      </c>
      <c r="U9918" s="1">
        <v>33844</v>
      </c>
      <c r="V9918" t="s">
        <v>89</v>
      </c>
      <c r="W9918" t="s">
        <v>90</v>
      </c>
      <c r="X9918" t="s">
        <v>58</v>
      </c>
      <c r="Y9918">
        <v>25</v>
      </c>
      <c r="Z9918" t="s">
        <v>59</v>
      </c>
      <c r="AA9918" t="s">
        <v>59</v>
      </c>
      <c r="AB9918" t="s">
        <v>59</v>
      </c>
      <c r="AC9918" t="s">
        <v>59</v>
      </c>
      <c r="AD9918" t="s">
        <v>59</v>
      </c>
      <c r="AF9918" s="1">
        <v>33848</v>
      </c>
      <c r="AG9918" t="s">
        <v>8651</v>
      </c>
      <c r="AH9918" t="s">
        <v>8652</v>
      </c>
      <c r="AI9918" t="str">
        <f>"9500305"</f>
        <v>9500305</v>
      </c>
      <c r="AJ9918" t="s">
        <v>14861</v>
      </c>
      <c r="AK9918">
        <v>2821061488</v>
      </c>
      <c r="AL9918" t="s">
        <v>14862</v>
      </c>
      <c r="AM9918" t="s">
        <v>88</v>
      </c>
      <c r="AN9918" t="s">
        <v>6764</v>
      </c>
      <c r="AO9918" t="s">
        <v>6764</v>
      </c>
      <c r="AP9918" t="s">
        <v>12913</v>
      </c>
      <c r="AQ9918">
        <v>5</v>
      </c>
      <c r="AR9918" t="s">
        <v>89</v>
      </c>
      <c r="AS9918" t="s">
        <v>90</v>
      </c>
      <c r="AT9918" t="s">
        <v>58</v>
      </c>
      <c r="AU9918" t="s">
        <v>68</v>
      </c>
      <c r="AV9918" t="s">
        <v>69</v>
      </c>
      <c r="AW9918" s="1">
        <v>24169</v>
      </c>
      <c r="AX9918">
        <v>1</v>
      </c>
    </row>
    <row r="9919" spans="1:50">
      <c r="A9919">
        <v>590255</v>
      </c>
      <c r="B9919" t="str">
        <f>"039392018"</f>
        <v>039392018</v>
      </c>
      <c r="C9919" t="s">
        <v>105</v>
      </c>
      <c r="D9919" t="s">
        <v>10490</v>
      </c>
      <c r="E9919" t="s">
        <v>14863</v>
      </c>
      <c r="F9919" t="s">
        <v>92</v>
      </c>
      <c r="G9919" t="s">
        <v>910</v>
      </c>
      <c r="H9919" t="str">
        <f>"ΑΓ.ΑΠΟΣΤΟΛΟΙ ΑΓ.ΑΠΟΣΤΟΛΟΙ ΧΑΝΙΩΝ"</f>
        <v>ΑΓ.ΑΠΟΣΤΟΛΟΙ ΑΓ.ΑΠΟΣΤΟΛΟΙ ΧΑΝΙΩΝ</v>
      </c>
      <c r="I9919">
        <v>73100</v>
      </c>
      <c r="K9919">
        <v>6975857208</v>
      </c>
      <c r="N9919" t="s">
        <v>176</v>
      </c>
      <c r="O9919" t="s">
        <v>177</v>
      </c>
      <c r="R9919" t="s">
        <v>57</v>
      </c>
      <c r="S9919">
        <v>9</v>
      </c>
      <c r="T9919">
        <v>177</v>
      </c>
      <c r="U9919" s="1">
        <v>36403</v>
      </c>
      <c r="V9919" t="s">
        <v>89</v>
      </c>
      <c r="W9919" t="s">
        <v>90</v>
      </c>
      <c r="X9919" t="s">
        <v>58</v>
      </c>
      <c r="Y9919">
        <v>22</v>
      </c>
      <c r="Z9919" t="s">
        <v>59</v>
      </c>
      <c r="AA9919" t="s">
        <v>59</v>
      </c>
      <c r="AB9919" t="s">
        <v>59</v>
      </c>
      <c r="AC9919" t="s">
        <v>59</v>
      </c>
      <c r="AD9919" t="s">
        <v>59</v>
      </c>
      <c r="AF9919" s="1">
        <v>36409</v>
      </c>
      <c r="AG9919" t="s">
        <v>8645</v>
      </c>
      <c r="AH9919" t="s">
        <v>8646</v>
      </c>
      <c r="AI9919" t="str">
        <f>"9500218"</f>
        <v>9500218</v>
      </c>
      <c r="AJ9919" t="s">
        <v>13992</v>
      </c>
      <c r="AK9919">
        <v>2824022216</v>
      </c>
      <c r="AL9919" t="s">
        <v>13993</v>
      </c>
      <c r="AM9919" t="s">
        <v>88</v>
      </c>
      <c r="AN9919" t="s">
        <v>6764</v>
      </c>
      <c r="AO9919" t="s">
        <v>6799</v>
      </c>
      <c r="AP9919" t="s">
        <v>6799</v>
      </c>
      <c r="AQ9919">
        <v>6</v>
      </c>
      <c r="AR9919" t="s">
        <v>89</v>
      </c>
      <c r="AS9919" t="s">
        <v>90</v>
      </c>
      <c r="AT9919" t="s">
        <v>58</v>
      </c>
      <c r="AU9919" t="s">
        <v>68</v>
      </c>
      <c r="AV9919" t="s">
        <v>69</v>
      </c>
      <c r="AW9919" s="1">
        <v>22298</v>
      </c>
      <c r="AX9919">
        <v>1</v>
      </c>
    </row>
    <row r="9920" spans="1:50">
      <c r="A9920">
        <v>618392</v>
      </c>
      <c r="B9920" t="str">
        <f>"130415698"</f>
        <v>130415698</v>
      </c>
      <c r="C9920" t="s">
        <v>50</v>
      </c>
      <c r="D9920" t="s">
        <v>14864</v>
      </c>
      <c r="E9920" t="s">
        <v>14865</v>
      </c>
      <c r="F9920" t="s">
        <v>154</v>
      </c>
      <c r="G9920" t="s">
        <v>237</v>
      </c>
      <c r="H9920" t="str">
        <f>"ΑΛΙΚΙΑΝΟΣ ΧΑΝΙΑ"</f>
        <v>ΑΛΙΚΙΑΝΟΣ ΧΑΝΙΑ</v>
      </c>
      <c r="I9920">
        <v>73005</v>
      </c>
      <c r="J9920">
        <v>2821078905</v>
      </c>
      <c r="K9920">
        <v>6973738100</v>
      </c>
      <c r="N9920" t="s">
        <v>615</v>
      </c>
      <c r="O9920" t="s">
        <v>616</v>
      </c>
      <c r="R9920" t="s">
        <v>57</v>
      </c>
      <c r="S9920">
        <v>5</v>
      </c>
      <c r="T9920">
        <v>774</v>
      </c>
      <c r="U9920" s="1">
        <v>39680</v>
      </c>
      <c r="V9920" t="s">
        <v>89</v>
      </c>
      <c r="W9920" t="s">
        <v>90</v>
      </c>
      <c r="X9920" t="s">
        <v>58</v>
      </c>
      <c r="Y9920">
        <v>23</v>
      </c>
      <c r="Z9920" t="s">
        <v>59</v>
      </c>
      <c r="AA9920" t="s">
        <v>59</v>
      </c>
      <c r="AB9920" t="s">
        <v>59</v>
      </c>
      <c r="AC9920" t="s">
        <v>59</v>
      </c>
      <c r="AD9920" t="s">
        <v>59</v>
      </c>
      <c r="AF9920" s="1">
        <v>39680</v>
      </c>
      <c r="AG9920" t="s">
        <v>8645</v>
      </c>
      <c r="AH9920" t="s">
        <v>8646</v>
      </c>
      <c r="AI9920" t="str">
        <f>"9500113"</f>
        <v>9500113</v>
      </c>
      <c r="AJ9920" t="s">
        <v>13935</v>
      </c>
      <c r="AK9920">
        <v>2821077187</v>
      </c>
      <c r="AL9920" t="s">
        <v>13936</v>
      </c>
      <c r="AM9920" t="s">
        <v>88</v>
      </c>
      <c r="AN9920" t="s">
        <v>6764</v>
      </c>
      <c r="AO9920" t="s">
        <v>6885</v>
      </c>
      <c r="AP9920" t="s">
        <v>13937</v>
      </c>
      <c r="AQ9920">
        <v>4</v>
      </c>
      <c r="AR9920" t="s">
        <v>89</v>
      </c>
      <c r="AS9920" t="s">
        <v>90</v>
      </c>
      <c r="AT9920" t="s">
        <v>58</v>
      </c>
      <c r="AU9920" t="s">
        <v>68</v>
      </c>
      <c r="AV9920" t="s">
        <v>69</v>
      </c>
      <c r="AW9920" s="1">
        <v>31009</v>
      </c>
      <c r="AX9920">
        <v>1</v>
      </c>
    </row>
    <row r="9921" spans="1:50">
      <c r="A9921">
        <v>585710</v>
      </c>
      <c r="B9921" t="str">
        <f>"055237290"</f>
        <v>055237290</v>
      </c>
      <c r="C9921" t="s">
        <v>50</v>
      </c>
      <c r="D9921" t="s">
        <v>14866</v>
      </c>
      <c r="E9921" t="s">
        <v>155</v>
      </c>
      <c r="F9921" t="s">
        <v>408</v>
      </c>
      <c r="G9921" t="s">
        <v>83</v>
      </c>
      <c r="H9921" t="str">
        <f>"ΦΟΥΜΗΔΩΝ 22 ΧΑΝΙΑ"</f>
        <v>ΦΟΥΜΗΔΩΝ 22 ΧΑΝΙΑ</v>
      </c>
      <c r="I9921">
        <v>73100</v>
      </c>
      <c r="K9921">
        <v>6971607723</v>
      </c>
      <c r="N9921" t="s">
        <v>615</v>
      </c>
      <c r="O9921" t="s">
        <v>616</v>
      </c>
      <c r="R9921" t="s">
        <v>57</v>
      </c>
      <c r="S9921">
        <v>11</v>
      </c>
      <c r="T9921">
        <v>165</v>
      </c>
      <c r="U9921" s="1">
        <v>36040</v>
      </c>
      <c r="V9921" t="s">
        <v>89</v>
      </c>
      <c r="W9921" t="s">
        <v>90</v>
      </c>
      <c r="X9921" t="s">
        <v>58</v>
      </c>
      <c r="Y9921">
        <v>21</v>
      </c>
      <c r="Z9921" t="s">
        <v>59</v>
      </c>
      <c r="AA9921" t="s">
        <v>59</v>
      </c>
      <c r="AB9921" t="s">
        <v>59</v>
      </c>
      <c r="AC9921" t="s">
        <v>59</v>
      </c>
      <c r="AD9921" t="s">
        <v>59</v>
      </c>
      <c r="AF9921" s="1">
        <v>36040</v>
      </c>
      <c r="AG9921" t="s">
        <v>8645</v>
      </c>
      <c r="AH9921" t="s">
        <v>8646</v>
      </c>
      <c r="AI9921" t="str">
        <f>"9500070"</f>
        <v>9500070</v>
      </c>
      <c r="AJ9921" t="s">
        <v>14221</v>
      </c>
      <c r="AK9921">
        <v>2821095817</v>
      </c>
      <c r="AL9921" t="s">
        <v>14222</v>
      </c>
      <c r="AM9921" t="s">
        <v>88</v>
      </c>
      <c r="AN9921" t="s">
        <v>88</v>
      </c>
      <c r="AO9921" t="s">
        <v>88</v>
      </c>
      <c r="AP9921" t="s">
        <v>88</v>
      </c>
      <c r="AQ9921">
        <v>1</v>
      </c>
      <c r="AR9921" t="s">
        <v>89</v>
      </c>
      <c r="AS9921" t="s">
        <v>90</v>
      </c>
      <c r="AT9921" t="s">
        <v>58</v>
      </c>
      <c r="AU9921" t="s">
        <v>68</v>
      </c>
      <c r="AV9921" t="s">
        <v>2039</v>
      </c>
      <c r="AW9921" s="1">
        <v>25140</v>
      </c>
      <c r="AX9921">
        <v>1</v>
      </c>
    </row>
    <row r="9922" spans="1:50">
      <c r="B9922" t="str">
        <f>"143272790"</f>
        <v>143272790</v>
      </c>
      <c r="C9922" t="s">
        <v>50</v>
      </c>
      <c r="D9922" t="s">
        <v>6173</v>
      </c>
      <c r="E9922" t="s">
        <v>52</v>
      </c>
      <c r="F9922" t="s">
        <v>99</v>
      </c>
      <c r="G9922" t="s">
        <v>237</v>
      </c>
      <c r="H9922" t="str">
        <f>"ΠΕΡΑΙΑΣ 4 "</f>
        <v xml:space="preserve">ΠΕΡΑΙΑΣ 4 </v>
      </c>
      <c r="I9922">
        <v>56626</v>
      </c>
      <c r="J9922">
        <v>2310627529</v>
      </c>
      <c r="K9922">
        <v>6976163409</v>
      </c>
      <c r="N9922" t="s">
        <v>615</v>
      </c>
      <c r="O9922" t="s">
        <v>616</v>
      </c>
      <c r="R9922" t="s">
        <v>159</v>
      </c>
      <c r="S9922">
        <v>2</v>
      </c>
      <c r="T9922" t="s">
        <v>8675</v>
      </c>
      <c r="U9922" s="1">
        <v>43348</v>
      </c>
      <c r="V9922" t="s">
        <v>89</v>
      </c>
      <c r="W9922" t="s">
        <v>90</v>
      </c>
      <c r="X9922" t="s">
        <v>58</v>
      </c>
      <c r="Y9922">
        <v>24</v>
      </c>
      <c r="Z9922" t="s">
        <v>59</v>
      </c>
      <c r="AA9922" t="s">
        <v>59</v>
      </c>
      <c r="AB9922" t="s">
        <v>59</v>
      </c>
      <c r="AC9922" t="s">
        <v>59</v>
      </c>
      <c r="AD9922" t="s">
        <v>59</v>
      </c>
      <c r="AF9922" s="1">
        <v>43348</v>
      </c>
      <c r="AG9922" t="s">
        <v>8645</v>
      </c>
      <c r="AH9922" t="s">
        <v>8646</v>
      </c>
      <c r="AI9922" t="str">
        <f>"9500205"</f>
        <v>9500205</v>
      </c>
      <c r="AJ9922" t="s">
        <v>13861</v>
      </c>
      <c r="AK9922">
        <v>2822031289</v>
      </c>
      <c r="AL9922" t="s">
        <v>13862</v>
      </c>
      <c r="AM9922" t="s">
        <v>88</v>
      </c>
      <c r="AN9922" t="s">
        <v>6744</v>
      </c>
      <c r="AO9922" t="s">
        <v>13863</v>
      </c>
      <c r="AP9922" t="s">
        <v>13864</v>
      </c>
      <c r="AQ9922">
        <v>9</v>
      </c>
      <c r="AR9922" t="s">
        <v>89</v>
      </c>
      <c r="AS9922" t="s">
        <v>90</v>
      </c>
      <c r="AT9922" t="s">
        <v>58</v>
      </c>
      <c r="AU9922" t="s">
        <v>8673</v>
      </c>
      <c r="AV9922" t="s">
        <v>132</v>
      </c>
      <c r="AW9922" s="1">
        <v>32343</v>
      </c>
      <c r="AX9922">
        <v>1</v>
      </c>
    </row>
    <row r="9923" spans="1:50">
      <c r="B9923" t="str">
        <f>"135523521"</f>
        <v>135523521</v>
      </c>
      <c r="C9923" t="s">
        <v>50</v>
      </c>
      <c r="D9923" t="s">
        <v>14867</v>
      </c>
      <c r="E9923" t="s">
        <v>52</v>
      </c>
      <c r="F9923" t="s">
        <v>84</v>
      </c>
      <c r="H9923" t="str">
        <f>" "</f>
        <v xml:space="preserve"> </v>
      </c>
      <c r="N9923" t="s">
        <v>1525</v>
      </c>
      <c r="O9923" t="s">
        <v>1526</v>
      </c>
      <c r="R9923" t="s">
        <v>159</v>
      </c>
      <c r="S9923">
        <v>1</v>
      </c>
      <c r="T9923" t="s">
        <v>8670</v>
      </c>
      <c r="U9923" s="1">
        <v>43348</v>
      </c>
      <c r="V9923" t="s">
        <v>89</v>
      </c>
      <c r="W9923" t="s">
        <v>90</v>
      </c>
      <c r="X9923" t="s">
        <v>58</v>
      </c>
      <c r="Y9923">
        <v>25</v>
      </c>
      <c r="Z9923" t="s">
        <v>59</v>
      </c>
      <c r="AA9923" t="s">
        <v>59</v>
      </c>
      <c r="AB9923" t="s">
        <v>59</v>
      </c>
      <c r="AC9923" t="s">
        <v>59</v>
      </c>
      <c r="AD9923" t="s">
        <v>59</v>
      </c>
      <c r="AF9923" s="1">
        <v>43348</v>
      </c>
      <c r="AG9923" t="s">
        <v>8651</v>
      </c>
      <c r="AH9923" t="s">
        <v>8652</v>
      </c>
      <c r="AI9923" t="str">
        <f>"9500421"</f>
        <v>9500421</v>
      </c>
      <c r="AJ9923" t="s">
        <v>14066</v>
      </c>
      <c r="AK9923">
        <v>2831061184</v>
      </c>
      <c r="AL9923" t="s">
        <v>14067</v>
      </c>
      <c r="AM9923" t="s">
        <v>88</v>
      </c>
      <c r="AN9923" t="s">
        <v>6775</v>
      </c>
      <c r="AO9923" t="s">
        <v>13929</v>
      </c>
      <c r="AP9923" t="s">
        <v>14068</v>
      </c>
      <c r="AQ9923">
        <v>8</v>
      </c>
      <c r="AR9923" t="s">
        <v>89</v>
      </c>
      <c r="AS9923" t="s">
        <v>90</v>
      </c>
      <c r="AT9923" t="s">
        <v>58</v>
      </c>
      <c r="AU9923" t="s">
        <v>8673</v>
      </c>
      <c r="AV9923" t="s">
        <v>132</v>
      </c>
      <c r="AW9923" s="1">
        <v>30470</v>
      </c>
      <c r="AX9923">
        <v>1</v>
      </c>
    </row>
    <row r="9924" spans="1:50">
      <c r="A9924">
        <v>608370</v>
      </c>
      <c r="B9924" t="str">
        <f>"116126325"</f>
        <v>116126325</v>
      </c>
      <c r="C9924" t="s">
        <v>50</v>
      </c>
      <c r="D9924" t="s">
        <v>2430</v>
      </c>
      <c r="E9924" t="s">
        <v>52</v>
      </c>
      <c r="F9924" t="s">
        <v>154</v>
      </c>
      <c r="G9924" t="s">
        <v>14868</v>
      </c>
      <c r="H9924" t="str">
        <f>"ΠΙΘΑΡΙ ΑΚΡΩΤΗΡΙΟΥ ΑΚΡΩΤΗΡΙ-ΧΑΝΙΑ"</f>
        <v>ΠΙΘΑΡΙ ΑΚΡΩΤΗΡΙΟΥ ΑΚΡΩΤΗΡΙ-ΧΑΝΙΑ</v>
      </c>
      <c r="I9924">
        <v>73100</v>
      </c>
      <c r="J9924">
        <v>2821066969</v>
      </c>
      <c r="K9924">
        <v>6970395126</v>
      </c>
      <c r="N9924" t="s">
        <v>1525</v>
      </c>
      <c r="O9924" t="s">
        <v>1526</v>
      </c>
      <c r="R9924" t="s">
        <v>57</v>
      </c>
      <c r="S9924">
        <v>8</v>
      </c>
      <c r="T9924">
        <v>217</v>
      </c>
      <c r="U9924" s="1">
        <v>38596</v>
      </c>
      <c r="V9924" t="s">
        <v>89</v>
      </c>
      <c r="W9924" t="s">
        <v>90</v>
      </c>
      <c r="X9924" t="s">
        <v>58</v>
      </c>
      <c r="Y9924">
        <v>25</v>
      </c>
      <c r="Z9924" t="s">
        <v>59</v>
      </c>
      <c r="AA9924" t="s">
        <v>59</v>
      </c>
      <c r="AB9924" t="s">
        <v>59</v>
      </c>
      <c r="AC9924" t="s">
        <v>59</v>
      </c>
      <c r="AD9924" t="s">
        <v>59</v>
      </c>
      <c r="AF9924" s="1">
        <v>38596</v>
      </c>
      <c r="AG9924" t="s">
        <v>8651</v>
      </c>
      <c r="AH9924" t="s">
        <v>8652</v>
      </c>
      <c r="AI9924" t="str">
        <f>"9500413"</f>
        <v>9500413</v>
      </c>
      <c r="AJ9924" t="s">
        <v>14125</v>
      </c>
      <c r="AK9924">
        <v>2821064655</v>
      </c>
      <c r="AL9924" t="s">
        <v>14126</v>
      </c>
      <c r="AM9924" t="s">
        <v>88</v>
      </c>
      <c r="AN9924" t="s">
        <v>88</v>
      </c>
      <c r="AO9924" t="s">
        <v>6770</v>
      </c>
      <c r="AP9924" t="s">
        <v>6771</v>
      </c>
      <c r="AQ9924">
        <v>2</v>
      </c>
      <c r="AR9924" t="s">
        <v>89</v>
      </c>
      <c r="AS9924" t="s">
        <v>90</v>
      </c>
      <c r="AT9924" t="s">
        <v>58</v>
      </c>
      <c r="AU9924" t="s">
        <v>68</v>
      </c>
      <c r="AV9924" t="s">
        <v>69</v>
      </c>
      <c r="AW9924" s="1">
        <v>25257</v>
      </c>
      <c r="AX9924">
        <v>1</v>
      </c>
    </row>
    <row r="9925" spans="1:50">
      <c r="A9925">
        <v>704387</v>
      </c>
      <c r="B9925" t="str">
        <f>"036731906"</f>
        <v>036731906</v>
      </c>
      <c r="C9925" t="s">
        <v>50</v>
      </c>
      <c r="D9925" t="s">
        <v>2438</v>
      </c>
      <c r="E9925" t="s">
        <v>237</v>
      </c>
      <c r="F9925" t="s">
        <v>95</v>
      </c>
      <c r="H9925" t="str">
        <f>" "</f>
        <v xml:space="preserve"> </v>
      </c>
      <c r="N9925" t="s">
        <v>55</v>
      </c>
      <c r="O9925" t="s">
        <v>56</v>
      </c>
      <c r="R9925" t="s">
        <v>57</v>
      </c>
      <c r="S9925">
        <v>14</v>
      </c>
      <c r="T9925">
        <v>1066</v>
      </c>
      <c r="U9925" s="1">
        <v>43035</v>
      </c>
      <c r="V9925" t="s">
        <v>89</v>
      </c>
      <c r="W9925" t="s">
        <v>90</v>
      </c>
      <c r="X9925" t="s">
        <v>58</v>
      </c>
      <c r="Y9925">
        <v>21</v>
      </c>
      <c r="Z9925" t="s">
        <v>59</v>
      </c>
      <c r="AA9925" t="s">
        <v>59</v>
      </c>
      <c r="AB9925" t="s">
        <v>59</v>
      </c>
      <c r="AD9925" t="s">
        <v>59</v>
      </c>
      <c r="AF9925" s="1">
        <v>43038</v>
      </c>
      <c r="AG9925" t="s">
        <v>8645</v>
      </c>
      <c r="AH9925" t="s">
        <v>8697</v>
      </c>
      <c r="AI9925" t="str">
        <f>"9521567"</f>
        <v>9521567</v>
      </c>
      <c r="AJ9925" t="s">
        <v>14148</v>
      </c>
      <c r="AK9925">
        <v>2821086921</v>
      </c>
      <c r="AL9925" t="s">
        <v>14149</v>
      </c>
      <c r="AM9925" t="s">
        <v>88</v>
      </c>
      <c r="AN9925" t="s">
        <v>88</v>
      </c>
      <c r="AO9925" t="s">
        <v>88</v>
      </c>
      <c r="AP9925" t="s">
        <v>88</v>
      </c>
      <c r="AQ9925">
        <v>1</v>
      </c>
      <c r="AR9925" t="s">
        <v>89</v>
      </c>
      <c r="AS9925" t="s">
        <v>90</v>
      </c>
      <c r="AT9925" t="s">
        <v>58</v>
      </c>
      <c r="AU9925" t="s">
        <v>68</v>
      </c>
      <c r="AV9925" t="s">
        <v>69</v>
      </c>
      <c r="AX9925">
        <v>1</v>
      </c>
    </row>
    <row r="9926" spans="1:50">
      <c r="A9926">
        <v>565362</v>
      </c>
      <c r="B9926" t="str">
        <f>"038114229"</f>
        <v>038114229</v>
      </c>
      <c r="C9926" t="s">
        <v>50</v>
      </c>
      <c r="D9926" t="s">
        <v>2438</v>
      </c>
      <c r="E9926" t="s">
        <v>237</v>
      </c>
      <c r="F9926" t="s">
        <v>99</v>
      </c>
      <c r="G9926" t="s">
        <v>250</v>
      </c>
      <c r="H9926" t="str">
        <f>"ΒΡΥΣΩΝ 60Α ΧΑΝΙΑ"</f>
        <v>ΒΡΥΣΩΝ 60Α ΧΑΝΙΑ</v>
      </c>
      <c r="I9926">
        <v>73133</v>
      </c>
      <c r="J9926">
        <v>2821059153</v>
      </c>
      <c r="K9926">
        <v>6947002884</v>
      </c>
      <c r="M9926" t="s">
        <v>14869</v>
      </c>
      <c r="N9926" t="s">
        <v>615</v>
      </c>
      <c r="O9926" t="s">
        <v>616</v>
      </c>
      <c r="R9926" t="s">
        <v>57</v>
      </c>
      <c r="S9926">
        <v>14</v>
      </c>
      <c r="T9926">
        <v>161</v>
      </c>
      <c r="U9926" s="1">
        <v>33119</v>
      </c>
      <c r="V9926" t="s">
        <v>89</v>
      </c>
      <c r="W9926" t="s">
        <v>90</v>
      </c>
      <c r="X9926" t="s">
        <v>58</v>
      </c>
      <c r="Y9926">
        <v>21</v>
      </c>
      <c r="Z9926" t="s">
        <v>59</v>
      </c>
      <c r="AA9926" t="s">
        <v>59</v>
      </c>
      <c r="AB9926" t="s">
        <v>59</v>
      </c>
      <c r="AC9926" t="s">
        <v>59</v>
      </c>
      <c r="AD9926" t="s">
        <v>59</v>
      </c>
      <c r="AF9926" s="1">
        <v>33119</v>
      </c>
      <c r="AG9926" t="s">
        <v>8645</v>
      </c>
      <c r="AH9926" t="s">
        <v>8646</v>
      </c>
      <c r="AI9926" t="str">
        <f>"9500045"</f>
        <v>9500045</v>
      </c>
      <c r="AJ9926" t="s">
        <v>13887</v>
      </c>
      <c r="AK9926">
        <v>2821044369</v>
      </c>
      <c r="AL9926" t="s">
        <v>13888</v>
      </c>
      <c r="AM9926" t="s">
        <v>88</v>
      </c>
      <c r="AN9926" t="s">
        <v>88</v>
      </c>
      <c r="AO9926" t="s">
        <v>88</v>
      </c>
      <c r="AP9926" t="s">
        <v>88</v>
      </c>
      <c r="AQ9926">
        <v>1</v>
      </c>
      <c r="AR9926" t="s">
        <v>89</v>
      </c>
      <c r="AS9926" t="s">
        <v>90</v>
      </c>
      <c r="AT9926" t="s">
        <v>58</v>
      </c>
      <c r="AU9926" t="s">
        <v>68</v>
      </c>
      <c r="AV9926" t="s">
        <v>69</v>
      </c>
      <c r="AW9926" s="1">
        <v>24236</v>
      </c>
      <c r="AX9926">
        <v>1</v>
      </c>
    </row>
    <row r="9927" spans="1:50">
      <c r="A9927">
        <v>578931</v>
      </c>
      <c r="B9927" t="str">
        <f>"036479063"</f>
        <v>036479063</v>
      </c>
      <c r="C9927" t="s">
        <v>50</v>
      </c>
      <c r="D9927" t="s">
        <v>2438</v>
      </c>
      <c r="E9927" t="s">
        <v>755</v>
      </c>
      <c r="F9927" t="s">
        <v>166</v>
      </c>
      <c r="G9927" t="s">
        <v>964</v>
      </c>
      <c r="H9927" t="str">
        <f>"ΔΙΚΤΗΣ 8 ΧΑΝΙΑ"</f>
        <v>ΔΙΚΤΗΣ 8 ΧΑΝΙΑ</v>
      </c>
      <c r="I9927">
        <v>73133</v>
      </c>
      <c r="J9927">
        <v>2821058389</v>
      </c>
      <c r="N9927" t="s">
        <v>615</v>
      </c>
      <c r="O9927" t="s">
        <v>616</v>
      </c>
      <c r="R9927" t="s">
        <v>57</v>
      </c>
      <c r="S9927">
        <v>13</v>
      </c>
      <c r="T9927">
        <v>165</v>
      </c>
      <c r="U9927" s="1">
        <v>35300</v>
      </c>
      <c r="V9927" t="s">
        <v>89</v>
      </c>
      <c r="W9927" t="s">
        <v>90</v>
      </c>
      <c r="X9927" t="s">
        <v>58</v>
      </c>
      <c r="Y9927">
        <v>21</v>
      </c>
      <c r="Z9927" t="s">
        <v>59</v>
      </c>
      <c r="AA9927" t="s">
        <v>59</v>
      </c>
      <c r="AB9927" t="s">
        <v>59</v>
      </c>
      <c r="AC9927" t="s">
        <v>59</v>
      </c>
      <c r="AD9927" t="s">
        <v>59</v>
      </c>
      <c r="AF9927" s="1">
        <v>35300</v>
      </c>
      <c r="AG9927" t="s">
        <v>8645</v>
      </c>
      <c r="AH9927" t="s">
        <v>8646</v>
      </c>
      <c r="AI9927" t="str">
        <f>"9500038"</f>
        <v>9500038</v>
      </c>
      <c r="AJ9927" t="s">
        <v>13899</v>
      </c>
      <c r="AK9927">
        <v>2821042407</v>
      </c>
      <c r="AL9927" t="s">
        <v>13900</v>
      </c>
      <c r="AM9927" t="s">
        <v>88</v>
      </c>
      <c r="AN9927" t="s">
        <v>88</v>
      </c>
      <c r="AO9927" t="s">
        <v>88</v>
      </c>
      <c r="AP9927" t="s">
        <v>88</v>
      </c>
      <c r="AQ9927">
        <v>1</v>
      </c>
      <c r="AR9927" t="s">
        <v>89</v>
      </c>
      <c r="AS9927" t="s">
        <v>90</v>
      </c>
      <c r="AT9927" t="s">
        <v>58</v>
      </c>
      <c r="AU9927" t="s">
        <v>68</v>
      </c>
      <c r="AV9927" t="s">
        <v>69</v>
      </c>
      <c r="AW9927" s="1">
        <v>24287</v>
      </c>
      <c r="AX9927">
        <v>1</v>
      </c>
    </row>
    <row r="9928" spans="1:50">
      <c r="A9928">
        <v>622844</v>
      </c>
      <c r="B9928" t="str">
        <f>"133498641"</f>
        <v>133498641</v>
      </c>
      <c r="C9928" t="s">
        <v>50</v>
      </c>
      <c r="D9928" t="s">
        <v>2438</v>
      </c>
      <c r="E9928" t="s">
        <v>6847</v>
      </c>
      <c r="F9928" t="s">
        <v>72</v>
      </c>
      <c r="G9928" t="s">
        <v>250</v>
      </c>
      <c r="H9928" t="str">
        <f>"ΣΤΥΛΙΑΝΟΥ ΚΟΥΡΤΑΚΗ 5 ΧΑΝΙΑ"</f>
        <v>ΣΤΥΛΙΑΝΟΥ ΚΟΥΡΤΑΚΗ 5 ΧΑΝΙΑ</v>
      </c>
      <c r="I9928">
        <v>73100</v>
      </c>
      <c r="J9928">
        <v>2821073085</v>
      </c>
      <c r="K9928">
        <v>6942447762</v>
      </c>
      <c r="N9928" t="s">
        <v>1525</v>
      </c>
      <c r="O9928" t="s">
        <v>1526</v>
      </c>
      <c r="R9928" t="s">
        <v>57</v>
      </c>
      <c r="S9928">
        <v>4</v>
      </c>
      <c r="T9928">
        <v>653</v>
      </c>
      <c r="U9928" s="1">
        <v>40043</v>
      </c>
      <c r="V9928" t="s">
        <v>89</v>
      </c>
      <c r="W9928" t="s">
        <v>90</v>
      </c>
      <c r="X9928" t="s">
        <v>58</v>
      </c>
      <c r="Y9928">
        <v>25</v>
      </c>
      <c r="Z9928" t="s">
        <v>59</v>
      </c>
      <c r="AA9928" t="s">
        <v>59</v>
      </c>
      <c r="AB9928" t="s">
        <v>59</v>
      </c>
      <c r="AC9928" t="s">
        <v>59</v>
      </c>
      <c r="AD9928" t="s">
        <v>59</v>
      </c>
      <c r="AF9928" s="1">
        <v>40044</v>
      </c>
      <c r="AG9928" t="s">
        <v>8651</v>
      </c>
      <c r="AH9928" t="s">
        <v>8652</v>
      </c>
      <c r="AI9928" t="str">
        <f>"9500305"</f>
        <v>9500305</v>
      </c>
      <c r="AJ9928" t="s">
        <v>14861</v>
      </c>
      <c r="AK9928">
        <v>2821061488</v>
      </c>
      <c r="AL9928" t="s">
        <v>14862</v>
      </c>
      <c r="AM9928" t="s">
        <v>88</v>
      </c>
      <c r="AN9928" t="s">
        <v>6764</v>
      </c>
      <c r="AO9928" t="s">
        <v>6764</v>
      </c>
      <c r="AP9928" t="s">
        <v>12913</v>
      </c>
      <c r="AQ9928">
        <v>5</v>
      </c>
      <c r="AR9928" t="s">
        <v>89</v>
      </c>
      <c r="AS9928" t="s">
        <v>90</v>
      </c>
      <c r="AT9928" t="s">
        <v>58</v>
      </c>
      <c r="AU9928" t="s">
        <v>68</v>
      </c>
      <c r="AV9928" t="s">
        <v>69</v>
      </c>
      <c r="AW9928" s="1">
        <v>30839</v>
      </c>
      <c r="AX9928">
        <v>1</v>
      </c>
    </row>
    <row r="9929" spans="1:50">
      <c r="A9929">
        <v>602600</v>
      </c>
      <c r="B9929" t="str">
        <f>"072263058"</f>
        <v>072263058</v>
      </c>
      <c r="C9929" t="s">
        <v>50</v>
      </c>
      <c r="D9929" t="s">
        <v>2438</v>
      </c>
      <c r="E9929" t="s">
        <v>1644</v>
      </c>
      <c r="F9929" t="s">
        <v>99</v>
      </c>
      <c r="G9929" t="s">
        <v>7119</v>
      </c>
      <c r="H9929" t="str">
        <f>"ΧΑΡΑΛΑΜΠΟΥ ΚΟΥΤΡΟΥΛΗ 19 ΧΑΝΙΑ"</f>
        <v>ΧΑΡΑΛΑΜΠΟΥ ΚΟΥΤΡΟΥΛΗ 19 ΧΑΝΙΑ</v>
      </c>
      <c r="I9929">
        <v>73133</v>
      </c>
      <c r="J9929">
        <v>2821058943</v>
      </c>
      <c r="K9929">
        <v>6948618364</v>
      </c>
      <c r="N9929" t="s">
        <v>615</v>
      </c>
      <c r="O9929" t="s">
        <v>616</v>
      </c>
      <c r="R9929" t="s">
        <v>57</v>
      </c>
      <c r="S9929">
        <v>7</v>
      </c>
      <c r="T9929">
        <v>207</v>
      </c>
      <c r="U9929" s="1">
        <v>37502</v>
      </c>
      <c r="V9929" t="s">
        <v>89</v>
      </c>
      <c r="W9929" t="s">
        <v>90</v>
      </c>
      <c r="X9929" t="s">
        <v>58</v>
      </c>
      <c r="Y9929">
        <v>22</v>
      </c>
      <c r="Z9929" t="s">
        <v>59</v>
      </c>
      <c r="AA9929" t="s">
        <v>59</v>
      </c>
      <c r="AB9929" t="s">
        <v>59</v>
      </c>
      <c r="AC9929" t="s">
        <v>59</v>
      </c>
      <c r="AD9929" t="s">
        <v>59</v>
      </c>
      <c r="AF9929" s="1">
        <v>37866</v>
      </c>
      <c r="AG9929" t="s">
        <v>8645</v>
      </c>
      <c r="AH9929" t="s">
        <v>8646</v>
      </c>
      <c r="AI9929" t="str">
        <f>"9500107"</f>
        <v>9500107</v>
      </c>
      <c r="AJ9929" t="s">
        <v>13918</v>
      </c>
      <c r="AK9929">
        <v>2821096244</v>
      </c>
      <c r="AL9929" t="s">
        <v>13919</v>
      </c>
      <c r="AM9929" t="s">
        <v>88</v>
      </c>
      <c r="AN9929" t="s">
        <v>88</v>
      </c>
      <c r="AO9929" t="s">
        <v>13920</v>
      </c>
      <c r="AP9929" t="s">
        <v>13921</v>
      </c>
      <c r="AQ9929">
        <v>3</v>
      </c>
      <c r="AR9929" t="s">
        <v>89</v>
      </c>
      <c r="AS9929" t="s">
        <v>90</v>
      </c>
      <c r="AT9929" t="s">
        <v>58</v>
      </c>
      <c r="AU9929" t="s">
        <v>68</v>
      </c>
      <c r="AV9929" t="s">
        <v>69</v>
      </c>
      <c r="AW9929" s="1">
        <v>26928</v>
      </c>
      <c r="AX9929">
        <v>1</v>
      </c>
    </row>
    <row r="9930" spans="1:50">
      <c r="A9930">
        <v>205347</v>
      </c>
      <c r="B9930" t="str">
        <f>"070556900"</f>
        <v>070556900</v>
      </c>
      <c r="C9930" t="s">
        <v>50</v>
      </c>
      <c r="D9930" t="s">
        <v>14870</v>
      </c>
      <c r="E9930" t="s">
        <v>513</v>
      </c>
      <c r="F9930" t="s">
        <v>53</v>
      </c>
      <c r="G9930" t="s">
        <v>52</v>
      </c>
      <c r="H9930" t="str">
        <f>"ΚΩΝ/ΛΕΩΣ 36  ΜΟΥΡΝΙΕΣ"</f>
        <v>ΚΩΝ/ΛΕΩΣ 36  ΜΟΥΡΝΙΕΣ</v>
      </c>
      <c r="J9930">
        <v>2821072927</v>
      </c>
      <c r="K9930">
        <v>6937002492</v>
      </c>
      <c r="N9930" t="s">
        <v>204</v>
      </c>
      <c r="O9930" t="s">
        <v>205</v>
      </c>
      <c r="R9930" t="s">
        <v>57</v>
      </c>
      <c r="S9930">
        <v>7</v>
      </c>
      <c r="T9930">
        <v>231</v>
      </c>
      <c r="U9930" s="1">
        <v>38230</v>
      </c>
      <c r="V9930" t="s">
        <v>89</v>
      </c>
      <c r="W9930" t="s">
        <v>90</v>
      </c>
      <c r="X9930" t="s">
        <v>58</v>
      </c>
      <c r="Y9930">
        <v>22</v>
      </c>
      <c r="Z9930" t="s">
        <v>59</v>
      </c>
      <c r="AA9930" t="s">
        <v>59</v>
      </c>
      <c r="AB9930" t="s">
        <v>59</v>
      </c>
      <c r="AC9930" t="s">
        <v>59</v>
      </c>
      <c r="AD9930" t="s">
        <v>59</v>
      </c>
      <c r="AF9930" s="1">
        <v>38233</v>
      </c>
      <c r="AG9930" t="s">
        <v>8645</v>
      </c>
      <c r="AH9930" t="s">
        <v>8646</v>
      </c>
      <c r="AI9930" t="str">
        <f>"9500408"</f>
        <v>9500408</v>
      </c>
      <c r="AJ9930" t="s">
        <v>13981</v>
      </c>
      <c r="AK9930">
        <v>2821081655</v>
      </c>
      <c r="AL9930" t="s">
        <v>13982</v>
      </c>
      <c r="AM9930" t="s">
        <v>88</v>
      </c>
      <c r="AN9930" t="s">
        <v>88</v>
      </c>
      <c r="AO9930" t="s">
        <v>6748</v>
      </c>
      <c r="AP9930" t="s">
        <v>6748</v>
      </c>
      <c r="AQ9930">
        <v>2</v>
      </c>
      <c r="AR9930" t="s">
        <v>89</v>
      </c>
      <c r="AS9930" t="s">
        <v>90</v>
      </c>
      <c r="AT9930" t="s">
        <v>58</v>
      </c>
      <c r="AU9930" t="s">
        <v>68</v>
      </c>
      <c r="AV9930" t="s">
        <v>69</v>
      </c>
      <c r="AW9930" s="1">
        <v>27571</v>
      </c>
      <c r="AX9930">
        <v>1</v>
      </c>
    </row>
    <row r="9931" spans="1:50">
      <c r="A9931">
        <v>580488</v>
      </c>
      <c r="B9931" t="str">
        <f>"042412125"</f>
        <v>042412125</v>
      </c>
      <c r="C9931" t="s">
        <v>50</v>
      </c>
      <c r="D9931" t="s">
        <v>14871</v>
      </c>
      <c r="E9931" t="s">
        <v>262</v>
      </c>
      <c r="F9931" t="s">
        <v>92</v>
      </c>
      <c r="G9931" t="s">
        <v>659</v>
      </c>
      <c r="H9931" t="str">
        <f>"ΡΟΥΦΟΥ 11 ΧΑΝΙΩΝ"</f>
        <v>ΡΟΥΦΟΥ 11 ΧΑΝΙΩΝ</v>
      </c>
      <c r="I9931">
        <v>73133</v>
      </c>
      <c r="J9931">
        <v>2821043247</v>
      </c>
      <c r="K9931">
        <v>6944661914</v>
      </c>
      <c r="M9931" t="s">
        <v>14872</v>
      </c>
      <c r="N9931" t="s">
        <v>337</v>
      </c>
      <c r="O9931" t="s">
        <v>338</v>
      </c>
      <c r="R9931" t="s">
        <v>57</v>
      </c>
      <c r="S9931">
        <v>11</v>
      </c>
      <c r="T9931">
        <v>65</v>
      </c>
      <c r="U9931" s="1">
        <v>35146</v>
      </c>
      <c r="V9931" t="s">
        <v>89</v>
      </c>
      <c r="W9931" t="s">
        <v>90</v>
      </c>
      <c r="X9931" t="s">
        <v>58</v>
      </c>
      <c r="Y9931">
        <v>21</v>
      </c>
      <c r="Z9931" t="s">
        <v>59</v>
      </c>
      <c r="AA9931" t="s">
        <v>59</v>
      </c>
      <c r="AB9931" t="s">
        <v>59</v>
      </c>
      <c r="AC9931" t="s">
        <v>59</v>
      </c>
      <c r="AD9931" t="s">
        <v>59</v>
      </c>
      <c r="AF9931" s="1">
        <v>35146</v>
      </c>
      <c r="AG9931" t="s">
        <v>8645</v>
      </c>
      <c r="AH9931" t="s">
        <v>8646</v>
      </c>
      <c r="AI9931" t="str">
        <f>"9500045"</f>
        <v>9500045</v>
      </c>
      <c r="AJ9931" t="s">
        <v>13887</v>
      </c>
      <c r="AK9931">
        <v>2821044369</v>
      </c>
      <c r="AL9931" t="s">
        <v>13888</v>
      </c>
      <c r="AM9931" t="s">
        <v>88</v>
      </c>
      <c r="AN9931" t="s">
        <v>88</v>
      </c>
      <c r="AO9931" t="s">
        <v>88</v>
      </c>
      <c r="AP9931" t="s">
        <v>88</v>
      </c>
      <c r="AQ9931">
        <v>1</v>
      </c>
      <c r="AR9931" t="s">
        <v>89</v>
      </c>
      <c r="AS9931" t="s">
        <v>90</v>
      </c>
      <c r="AT9931" t="s">
        <v>58</v>
      </c>
      <c r="AU9931" t="s">
        <v>68</v>
      </c>
      <c r="AV9931" t="s">
        <v>69</v>
      </c>
      <c r="AW9931" s="1">
        <v>23530</v>
      </c>
      <c r="AX9931">
        <v>1</v>
      </c>
    </row>
    <row r="9932" spans="1:50">
      <c r="A9932">
        <v>602887</v>
      </c>
      <c r="B9932" t="str">
        <f>"054097959"</f>
        <v>054097959</v>
      </c>
      <c r="C9932" t="s">
        <v>50</v>
      </c>
      <c r="D9932" t="s">
        <v>14873</v>
      </c>
      <c r="E9932" t="s">
        <v>237</v>
      </c>
      <c r="F9932" t="s">
        <v>11353</v>
      </c>
      <c r="G9932" t="s">
        <v>513</v>
      </c>
      <c r="H9932" t="str">
        <f>" "</f>
        <v xml:space="preserve"> </v>
      </c>
      <c r="J9932">
        <v>2825092363</v>
      </c>
      <c r="K9932">
        <v>6973744354</v>
      </c>
      <c r="N9932" t="s">
        <v>1525</v>
      </c>
      <c r="O9932" t="s">
        <v>1526</v>
      </c>
      <c r="R9932" t="s">
        <v>57</v>
      </c>
      <c r="S9932">
        <v>10</v>
      </c>
      <c r="T9932">
        <v>207</v>
      </c>
      <c r="U9932" s="1">
        <v>37866</v>
      </c>
      <c r="V9932" t="s">
        <v>89</v>
      </c>
      <c r="W9932" t="s">
        <v>90</v>
      </c>
      <c r="X9932" t="s">
        <v>58</v>
      </c>
      <c r="Y9932">
        <v>25</v>
      </c>
      <c r="Z9932" t="s">
        <v>59</v>
      </c>
      <c r="AA9932" t="s">
        <v>59</v>
      </c>
      <c r="AB9932" t="s">
        <v>59</v>
      </c>
      <c r="AC9932" t="s">
        <v>59</v>
      </c>
      <c r="AD9932" t="s">
        <v>59</v>
      </c>
      <c r="AF9932" s="1">
        <v>37866</v>
      </c>
      <c r="AG9932" t="s">
        <v>8651</v>
      </c>
      <c r="AH9932" t="s">
        <v>8652</v>
      </c>
      <c r="AI9932" t="str">
        <f>"9500308"</f>
        <v>9500308</v>
      </c>
      <c r="AJ9932" t="s">
        <v>14165</v>
      </c>
      <c r="AK9932">
        <v>2825092360</v>
      </c>
      <c r="AL9932" t="s">
        <v>14166</v>
      </c>
      <c r="AM9932" t="s">
        <v>88</v>
      </c>
      <c r="AN9932" t="s">
        <v>6995</v>
      </c>
      <c r="AO9932" t="s">
        <v>6995</v>
      </c>
      <c r="AP9932" t="s">
        <v>14097</v>
      </c>
      <c r="AQ9932">
        <v>10</v>
      </c>
      <c r="AR9932" t="s">
        <v>89</v>
      </c>
      <c r="AS9932" t="s">
        <v>90</v>
      </c>
      <c r="AT9932" t="s">
        <v>58</v>
      </c>
      <c r="AU9932" t="s">
        <v>68</v>
      </c>
      <c r="AV9932" t="s">
        <v>69</v>
      </c>
      <c r="AW9932" s="1">
        <v>24633</v>
      </c>
      <c r="AX9932">
        <v>1</v>
      </c>
    </row>
    <row r="9933" spans="1:50">
      <c r="A9933">
        <v>589583</v>
      </c>
      <c r="B9933" t="str">
        <f>"063484576"</f>
        <v>063484576</v>
      </c>
      <c r="C9933" t="s">
        <v>50</v>
      </c>
      <c r="D9933" t="s">
        <v>10503</v>
      </c>
      <c r="E9933" t="s">
        <v>250</v>
      </c>
      <c r="F9933" t="s">
        <v>106</v>
      </c>
      <c r="G9933" t="s">
        <v>727</v>
      </c>
      <c r="H9933" t="str">
        <f>"Μ. ΑΝΔΡΙΑΝΑΚΗ 35 ΧΑΝΙΑ"</f>
        <v>Μ. ΑΝΔΡΙΑΝΑΚΗ 35 ΧΑΝΙΑ</v>
      </c>
      <c r="I9933">
        <v>73100</v>
      </c>
      <c r="J9933">
        <v>2821058564</v>
      </c>
      <c r="K9933">
        <v>6943511415</v>
      </c>
      <c r="N9933" t="s">
        <v>1525</v>
      </c>
      <c r="O9933" t="s">
        <v>1526</v>
      </c>
      <c r="R9933" t="s">
        <v>57</v>
      </c>
      <c r="S9933">
        <v>11</v>
      </c>
      <c r="T9933">
        <v>176</v>
      </c>
      <c r="U9933" s="1">
        <v>36403</v>
      </c>
      <c r="V9933" t="s">
        <v>89</v>
      </c>
      <c r="W9933" t="s">
        <v>90</v>
      </c>
      <c r="X9933" t="s">
        <v>58</v>
      </c>
      <c r="Y9933">
        <v>25</v>
      </c>
      <c r="Z9933" t="s">
        <v>59</v>
      </c>
      <c r="AA9933" t="s">
        <v>59</v>
      </c>
      <c r="AB9933" t="s">
        <v>59</v>
      </c>
      <c r="AC9933" t="s">
        <v>59</v>
      </c>
      <c r="AD9933" t="s">
        <v>59</v>
      </c>
      <c r="AF9933" s="1">
        <v>36403</v>
      </c>
      <c r="AG9933" t="s">
        <v>8651</v>
      </c>
      <c r="AH9933" t="s">
        <v>8652</v>
      </c>
      <c r="AI9933" t="str">
        <f>"9520720"</f>
        <v>9520720</v>
      </c>
      <c r="AJ9933" t="s">
        <v>14726</v>
      </c>
      <c r="AK9933">
        <v>2821066510</v>
      </c>
      <c r="AL9933" t="s">
        <v>14727</v>
      </c>
      <c r="AM9933" t="s">
        <v>88</v>
      </c>
      <c r="AN9933" t="s">
        <v>88</v>
      </c>
      <c r="AO9933" t="s">
        <v>6770</v>
      </c>
      <c r="AP9933" t="s">
        <v>6771</v>
      </c>
      <c r="AQ9933">
        <v>2</v>
      </c>
      <c r="AR9933" t="s">
        <v>89</v>
      </c>
      <c r="AS9933" t="s">
        <v>90</v>
      </c>
      <c r="AT9933" t="s">
        <v>58</v>
      </c>
      <c r="AU9933" t="s">
        <v>68</v>
      </c>
      <c r="AV9933" t="s">
        <v>69</v>
      </c>
      <c r="AW9933" s="1">
        <v>23701</v>
      </c>
      <c r="AX9933">
        <v>1</v>
      </c>
    </row>
    <row r="9934" spans="1:50">
      <c r="A9934">
        <v>597469</v>
      </c>
      <c r="B9934" t="str">
        <f>"050061321"</f>
        <v>050061321</v>
      </c>
      <c r="C9934" t="s">
        <v>50</v>
      </c>
      <c r="D9934" t="s">
        <v>10503</v>
      </c>
      <c r="E9934" t="s">
        <v>801</v>
      </c>
      <c r="F9934" t="s">
        <v>309</v>
      </c>
      <c r="G9934" t="s">
        <v>52</v>
      </c>
      <c r="H9934" t="str">
        <f>"ΠΑΛΑΙΟΧΩΡΑ ΠΑΛΑΙΟΧΩΡΑ "</f>
        <v xml:space="preserve">ΠΑΛΑΙΟΧΩΡΑ ΠΑΛΑΙΟΧΩΡΑ </v>
      </c>
      <c r="I9934">
        <v>73001</v>
      </c>
      <c r="J9934">
        <v>2823042311</v>
      </c>
      <c r="K9934">
        <v>6932578671</v>
      </c>
      <c r="N9934" t="s">
        <v>306</v>
      </c>
      <c r="O9934" t="s">
        <v>307</v>
      </c>
      <c r="R9934" t="s">
        <v>57</v>
      </c>
      <c r="S9934">
        <v>10</v>
      </c>
      <c r="T9934">
        <v>193</v>
      </c>
      <c r="U9934" s="1">
        <v>37497</v>
      </c>
      <c r="V9934" t="s">
        <v>89</v>
      </c>
      <c r="W9934" t="s">
        <v>90</v>
      </c>
      <c r="X9934" t="s">
        <v>58</v>
      </c>
      <c r="Y9934">
        <v>21</v>
      </c>
      <c r="Z9934" t="s">
        <v>59</v>
      </c>
      <c r="AA9934" t="s">
        <v>59</v>
      </c>
      <c r="AB9934" t="s">
        <v>59</v>
      </c>
      <c r="AC9934" t="s">
        <v>59</v>
      </c>
      <c r="AD9934" t="s">
        <v>59</v>
      </c>
      <c r="AF9934" s="1">
        <v>37502</v>
      </c>
      <c r="AG9934" t="s">
        <v>8645</v>
      </c>
      <c r="AH9934" t="s">
        <v>8646</v>
      </c>
      <c r="AI9934" t="str">
        <f>"9500175"</f>
        <v>9500175</v>
      </c>
      <c r="AJ9934" t="s">
        <v>14538</v>
      </c>
      <c r="AK9934">
        <v>2823041233</v>
      </c>
      <c r="AL9934" t="s">
        <v>14539</v>
      </c>
      <c r="AM9934" t="s">
        <v>88</v>
      </c>
      <c r="AN9934" t="s">
        <v>6824</v>
      </c>
      <c r="AO9934" t="s">
        <v>6870</v>
      </c>
      <c r="AP9934" t="s">
        <v>6871</v>
      </c>
      <c r="AQ9934">
        <v>11</v>
      </c>
      <c r="AR9934" t="s">
        <v>89</v>
      </c>
      <c r="AS9934" t="s">
        <v>90</v>
      </c>
      <c r="AT9934" t="s">
        <v>58</v>
      </c>
      <c r="AU9934" t="s">
        <v>68</v>
      </c>
      <c r="AV9934" t="s">
        <v>69</v>
      </c>
      <c r="AW9934" s="1">
        <v>23829</v>
      </c>
      <c r="AX9934">
        <v>1</v>
      </c>
    </row>
    <row r="9935" spans="1:50">
      <c r="B9935" t="str">
        <f>"136108218"</f>
        <v>136108218</v>
      </c>
      <c r="C9935" t="s">
        <v>50</v>
      </c>
      <c r="D9935" t="s">
        <v>14874</v>
      </c>
      <c r="E9935" t="s">
        <v>52</v>
      </c>
      <c r="F9935" t="s">
        <v>95</v>
      </c>
      <c r="G9935" t="s">
        <v>255</v>
      </c>
      <c r="H9935" t="str">
        <f>" "</f>
        <v xml:space="preserve"> </v>
      </c>
      <c r="N9935" t="s">
        <v>9829</v>
      </c>
      <c r="O9935" t="s">
        <v>9830</v>
      </c>
      <c r="R9935" t="s">
        <v>121</v>
      </c>
      <c r="S9935">
        <v>3</v>
      </c>
      <c r="T9935" t="s">
        <v>8835</v>
      </c>
      <c r="U9935" s="1">
        <v>43348</v>
      </c>
      <c r="V9935" t="s">
        <v>89</v>
      </c>
      <c r="W9935" t="s">
        <v>90</v>
      </c>
      <c r="X9935" t="s">
        <v>58</v>
      </c>
      <c r="Y9935">
        <v>25</v>
      </c>
      <c r="Z9935" t="s">
        <v>59</v>
      </c>
      <c r="AA9935" t="s">
        <v>59</v>
      </c>
      <c r="AB9935" t="s">
        <v>59</v>
      </c>
      <c r="AD9935" t="s">
        <v>59</v>
      </c>
      <c r="AF9935" s="1">
        <v>43348</v>
      </c>
      <c r="AG9935" t="s">
        <v>8651</v>
      </c>
      <c r="AH9935" t="s">
        <v>8652</v>
      </c>
      <c r="AI9935" t="str">
        <f>"9521556"</f>
        <v>9521556</v>
      </c>
      <c r="AJ9935" t="s">
        <v>14875</v>
      </c>
      <c r="AK9935">
        <v>2821028060</v>
      </c>
      <c r="AL9935" t="s">
        <v>14876</v>
      </c>
      <c r="AM9935" t="s">
        <v>88</v>
      </c>
      <c r="AN9935" t="s">
        <v>88</v>
      </c>
      <c r="AO9935" t="s">
        <v>88</v>
      </c>
      <c r="AP9935" t="s">
        <v>88</v>
      </c>
      <c r="AQ9935">
        <v>1</v>
      </c>
      <c r="AR9935" t="s">
        <v>89</v>
      </c>
      <c r="AS9935" t="s">
        <v>90</v>
      </c>
      <c r="AT9935" t="s">
        <v>58</v>
      </c>
      <c r="AU9935" t="s">
        <v>131</v>
      </c>
      <c r="AV9935" t="s">
        <v>132</v>
      </c>
      <c r="AW9935" s="1">
        <v>30383</v>
      </c>
      <c r="AX9935">
        <v>1</v>
      </c>
    </row>
    <row r="9936" spans="1:50">
      <c r="B9936" t="str">
        <f>"140703249"</f>
        <v>140703249</v>
      </c>
      <c r="C9936" t="s">
        <v>50</v>
      </c>
      <c r="D9936" t="s">
        <v>14877</v>
      </c>
      <c r="E9936" t="s">
        <v>250</v>
      </c>
      <c r="F9936" t="s">
        <v>670</v>
      </c>
      <c r="H9936" t="str">
        <f>" "</f>
        <v xml:space="preserve"> </v>
      </c>
      <c r="N9936" t="s">
        <v>384</v>
      </c>
      <c r="O9936" t="s">
        <v>385</v>
      </c>
      <c r="R9936" t="s">
        <v>159</v>
      </c>
      <c r="S9936">
        <v>1</v>
      </c>
      <c r="T9936" t="s">
        <v>8675</v>
      </c>
      <c r="U9936" s="1">
        <v>43348</v>
      </c>
      <c r="V9936" t="s">
        <v>89</v>
      </c>
      <c r="W9936" t="s">
        <v>90</v>
      </c>
      <c r="X9936" t="s">
        <v>58</v>
      </c>
      <c r="Y9936">
        <v>24</v>
      </c>
      <c r="Z9936" t="s">
        <v>59</v>
      </c>
      <c r="AA9936" t="s">
        <v>59</v>
      </c>
      <c r="AB9936" t="s">
        <v>59</v>
      </c>
      <c r="AC9936" t="s">
        <v>59</v>
      </c>
      <c r="AD9936" t="s">
        <v>59</v>
      </c>
      <c r="AF9936" s="1">
        <v>43348</v>
      </c>
      <c r="AG9936" t="s">
        <v>8645</v>
      </c>
      <c r="AH9936" t="s">
        <v>8646</v>
      </c>
      <c r="AI9936" t="str">
        <f>"9500139"</f>
        <v>9500139</v>
      </c>
      <c r="AJ9936" t="s">
        <v>14050</v>
      </c>
      <c r="AK9936">
        <v>2821096819</v>
      </c>
      <c r="AL9936" t="s">
        <v>14051</v>
      </c>
      <c r="AM9936" t="s">
        <v>88</v>
      </c>
      <c r="AN9936" t="s">
        <v>88</v>
      </c>
      <c r="AO9936" t="s">
        <v>88</v>
      </c>
      <c r="AP9936" t="s">
        <v>88</v>
      </c>
      <c r="AQ9936">
        <v>1</v>
      </c>
      <c r="AR9936" t="s">
        <v>89</v>
      </c>
      <c r="AS9936" t="s">
        <v>90</v>
      </c>
      <c r="AT9936" t="s">
        <v>58</v>
      </c>
      <c r="AU9936" t="s">
        <v>8673</v>
      </c>
      <c r="AV9936" t="s">
        <v>132</v>
      </c>
      <c r="AW9936" s="1">
        <v>31666</v>
      </c>
      <c r="AX9936">
        <v>1</v>
      </c>
    </row>
    <row r="9937" spans="1:50">
      <c r="A9937">
        <v>573694</v>
      </c>
      <c r="B9937" t="str">
        <f>"035045970"</f>
        <v>035045970</v>
      </c>
      <c r="C9937" t="s">
        <v>50</v>
      </c>
      <c r="D9937" t="s">
        <v>14878</v>
      </c>
      <c r="E9937" t="s">
        <v>755</v>
      </c>
      <c r="F9937" t="s">
        <v>760</v>
      </c>
      <c r="G9937" t="s">
        <v>1078</v>
      </c>
      <c r="H9937" t="str">
        <f>"ΕΛΕΥΘΕΡΙΟΥ ΒΕΝΙΖΕΛΟΥ 80Β ΜΟΥΡΝΙΕΣ ΧΑΝΙΩΝ"</f>
        <v>ΕΛΕΥΘΕΡΙΟΥ ΒΕΝΙΖΕΛΟΥ 80Β ΜΟΥΡΝΙΕΣ ΧΑΝΙΩΝ</v>
      </c>
      <c r="I9937">
        <v>73300</v>
      </c>
      <c r="J9937">
        <v>2821071462</v>
      </c>
      <c r="K9937">
        <v>6936577616</v>
      </c>
      <c r="N9937" t="s">
        <v>615</v>
      </c>
      <c r="O9937" t="s">
        <v>616</v>
      </c>
      <c r="R9937" t="s">
        <v>57</v>
      </c>
      <c r="S9937">
        <v>13</v>
      </c>
      <c r="T9937">
        <v>160</v>
      </c>
      <c r="U9937" s="1">
        <v>34582</v>
      </c>
      <c r="V9937" t="s">
        <v>89</v>
      </c>
      <c r="W9937" t="s">
        <v>90</v>
      </c>
      <c r="X9937" t="s">
        <v>58</v>
      </c>
      <c r="Y9937">
        <v>21</v>
      </c>
      <c r="Z9937" t="s">
        <v>59</v>
      </c>
      <c r="AA9937" t="s">
        <v>59</v>
      </c>
      <c r="AB9937" t="s">
        <v>59</v>
      </c>
      <c r="AC9937" t="s">
        <v>59</v>
      </c>
      <c r="AD9937" t="s">
        <v>59</v>
      </c>
      <c r="AF9937" s="1">
        <v>34582</v>
      </c>
      <c r="AG9937" t="s">
        <v>8645</v>
      </c>
      <c r="AH9937" t="s">
        <v>8646</v>
      </c>
      <c r="AI9937" t="str">
        <f>"9500078"</f>
        <v>9500078</v>
      </c>
      <c r="AJ9937" t="s">
        <v>13988</v>
      </c>
      <c r="AK9937">
        <v>2821028788</v>
      </c>
      <c r="AL9937" t="s">
        <v>13989</v>
      </c>
      <c r="AM9937" t="s">
        <v>88</v>
      </c>
      <c r="AN9937" t="s">
        <v>88</v>
      </c>
      <c r="AO9937" t="s">
        <v>88</v>
      </c>
      <c r="AP9937" t="s">
        <v>88</v>
      </c>
      <c r="AQ9937">
        <v>1</v>
      </c>
      <c r="AR9937" t="s">
        <v>89</v>
      </c>
      <c r="AS9937" t="s">
        <v>90</v>
      </c>
      <c r="AT9937" t="s">
        <v>58</v>
      </c>
      <c r="AU9937" t="s">
        <v>68</v>
      </c>
      <c r="AV9937" t="s">
        <v>69</v>
      </c>
      <c r="AW9937" s="1">
        <v>24518</v>
      </c>
      <c r="AX9937">
        <v>1</v>
      </c>
    </row>
    <row r="9938" spans="1:50">
      <c r="A9938">
        <v>589726</v>
      </c>
      <c r="B9938" t="str">
        <f>"035781426"</f>
        <v>035781426</v>
      </c>
      <c r="C9938" t="s">
        <v>50</v>
      </c>
      <c r="D9938" t="s">
        <v>14879</v>
      </c>
      <c r="E9938" t="s">
        <v>964</v>
      </c>
      <c r="F9938" t="s">
        <v>84</v>
      </c>
      <c r="G9938" t="s">
        <v>727</v>
      </c>
      <c r="H9938" t="str">
        <f>"Γ. ΣΚΑΛΙΔΗ 33 ΧΑΝΙΑ"</f>
        <v>Γ. ΣΚΑΛΙΔΗ 33 ΧΑΝΙΑ</v>
      </c>
      <c r="I9938">
        <v>73133</v>
      </c>
      <c r="J9938">
        <v>2821029825</v>
      </c>
      <c r="K9938">
        <v>6945421291</v>
      </c>
      <c r="N9938" t="s">
        <v>1525</v>
      </c>
      <c r="O9938" t="s">
        <v>1526</v>
      </c>
      <c r="R9938" t="s">
        <v>57</v>
      </c>
      <c r="S9938">
        <v>13</v>
      </c>
      <c r="T9938">
        <v>176</v>
      </c>
      <c r="U9938" s="1">
        <v>36403</v>
      </c>
      <c r="V9938" t="s">
        <v>89</v>
      </c>
      <c r="W9938" t="s">
        <v>90</v>
      </c>
      <c r="X9938" t="s">
        <v>58</v>
      </c>
      <c r="Y9938">
        <v>25</v>
      </c>
      <c r="Z9938" t="s">
        <v>59</v>
      </c>
      <c r="AA9938" t="s">
        <v>59</v>
      </c>
      <c r="AB9938" t="s">
        <v>59</v>
      </c>
      <c r="AC9938" t="s">
        <v>59</v>
      </c>
      <c r="AD9938" t="s">
        <v>59</v>
      </c>
      <c r="AF9938" s="1">
        <v>36410</v>
      </c>
      <c r="AG9938" t="s">
        <v>8651</v>
      </c>
      <c r="AH9938" t="s">
        <v>8652</v>
      </c>
      <c r="AI9938" t="str">
        <f>"9500299"</f>
        <v>9500299</v>
      </c>
      <c r="AJ9938" t="s">
        <v>14567</v>
      </c>
      <c r="AK9938">
        <v>2821009110</v>
      </c>
      <c r="AL9938" t="s">
        <v>14568</v>
      </c>
      <c r="AM9938" t="s">
        <v>88</v>
      </c>
      <c r="AN9938" t="s">
        <v>88</v>
      </c>
      <c r="AO9938" t="s">
        <v>6770</v>
      </c>
      <c r="AP9938" t="s">
        <v>6771</v>
      </c>
      <c r="AQ9938">
        <v>2</v>
      </c>
      <c r="AR9938" t="s">
        <v>89</v>
      </c>
      <c r="AS9938" t="s">
        <v>90</v>
      </c>
      <c r="AT9938" t="s">
        <v>58</v>
      </c>
      <c r="AU9938" t="s">
        <v>68</v>
      </c>
      <c r="AV9938" t="s">
        <v>69</v>
      </c>
      <c r="AW9938" s="1">
        <v>24414</v>
      </c>
      <c r="AX9938">
        <v>1</v>
      </c>
    </row>
    <row r="9939" spans="1:50">
      <c r="B9939" t="str">
        <f>"140183424"</f>
        <v>140183424</v>
      </c>
      <c r="C9939" t="s">
        <v>50</v>
      </c>
      <c r="D9939" t="s">
        <v>14880</v>
      </c>
      <c r="E9939" t="s">
        <v>188</v>
      </c>
      <c r="F9939" t="s">
        <v>95</v>
      </c>
      <c r="G9939" t="s">
        <v>112</v>
      </c>
      <c r="H9939" t="str">
        <f>"ΠΟΛΥΔΩΡΟΥ 43 "</f>
        <v xml:space="preserve">ΠΟΛΥΔΩΡΟΥ 43 </v>
      </c>
      <c r="I9939">
        <v>15772</v>
      </c>
      <c r="J9939">
        <v>2107704089</v>
      </c>
      <c r="K9939">
        <v>6936281756</v>
      </c>
      <c r="N9939" t="s">
        <v>1525</v>
      </c>
      <c r="O9939" t="s">
        <v>1526</v>
      </c>
      <c r="R9939" t="s">
        <v>159</v>
      </c>
      <c r="S9939">
        <v>4</v>
      </c>
      <c r="T9939" t="s">
        <v>8670</v>
      </c>
      <c r="U9939" s="1">
        <v>43348</v>
      </c>
      <c r="V9939" t="s">
        <v>89</v>
      </c>
      <c r="W9939" t="s">
        <v>90</v>
      </c>
      <c r="X9939" t="s">
        <v>58</v>
      </c>
      <c r="Y9939">
        <v>25</v>
      </c>
      <c r="Z9939" t="s">
        <v>59</v>
      </c>
      <c r="AA9939" t="s">
        <v>59</v>
      </c>
      <c r="AB9939" t="s">
        <v>59</v>
      </c>
      <c r="AC9939" t="s">
        <v>59</v>
      </c>
      <c r="AD9939" t="s">
        <v>59</v>
      </c>
      <c r="AF9939" s="1">
        <v>43348</v>
      </c>
      <c r="AG9939" t="s">
        <v>8651</v>
      </c>
      <c r="AH9939" t="s">
        <v>8652</v>
      </c>
      <c r="AI9939" t="str">
        <f>"9500413"</f>
        <v>9500413</v>
      </c>
      <c r="AJ9939" t="s">
        <v>14125</v>
      </c>
      <c r="AK9939">
        <v>2821064655</v>
      </c>
      <c r="AL9939" t="s">
        <v>14126</v>
      </c>
      <c r="AM9939" t="s">
        <v>88</v>
      </c>
      <c r="AN9939" t="s">
        <v>88</v>
      </c>
      <c r="AO9939" t="s">
        <v>6770</v>
      </c>
      <c r="AP9939" t="s">
        <v>6771</v>
      </c>
      <c r="AQ9939">
        <v>2</v>
      </c>
      <c r="AR9939" t="s">
        <v>89</v>
      </c>
      <c r="AS9939" t="s">
        <v>90</v>
      </c>
      <c r="AT9939" t="s">
        <v>58</v>
      </c>
      <c r="AU9939" t="s">
        <v>8673</v>
      </c>
      <c r="AV9939" t="s">
        <v>132</v>
      </c>
      <c r="AW9939" s="1">
        <v>31463</v>
      </c>
      <c r="AX9939">
        <v>1</v>
      </c>
    </row>
    <row r="9940" spans="1:50">
      <c r="B9940" t="str">
        <f>"063306784"</f>
        <v>063306784</v>
      </c>
      <c r="C9940" t="s">
        <v>105</v>
      </c>
      <c r="D9940" t="s">
        <v>2486</v>
      </c>
      <c r="E9940" t="s">
        <v>72</v>
      </c>
      <c r="F9940" t="s">
        <v>95</v>
      </c>
      <c r="G9940" t="s">
        <v>506</v>
      </c>
      <c r="H9940" t="str">
        <f>" "</f>
        <v xml:space="preserve"> </v>
      </c>
      <c r="N9940" t="s">
        <v>615</v>
      </c>
      <c r="O9940" t="s">
        <v>616</v>
      </c>
      <c r="R9940" t="s">
        <v>121</v>
      </c>
      <c r="S9940">
        <v>1</v>
      </c>
      <c r="T9940" t="s">
        <v>9034</v>
      </c>
      <c r="U9940" s="1">
        <v>43377</v>
      </c>
      <c r="V9940" t="s">
        <v>89</v>
      </c>
      <c r="W9940" t="s">
        <v>90</v>
      </c>
      <c r="X9940" t="s">
        <v>58</v>
      </c>
      <c r="Y9940">
        <v>24</v>
      </c>
      <c r="Z9940" t="s">
        <v>59</v>
      </c>
      <c r="AA9940" t="s">
        <v>59</v>
      </c>
      <c r="AB9940" t="s">
        <v>59</v>
      </c>
      <c r="AD9940" t="s">
        <v>59</v>
      </c>
      <c r="AF9940" s="1">
        <v>43377</v>
      </c>
      <c r="AG9940" t="s">
        <v>8645</v>
      </c>
      <c r="AH9940" t="s">
        <v>8646</v>
      </c>
      <c r="AI9940" t="str">
        <f>"9500408"</f>
        <v>9500408</v>
      </c>
      <c r="AJ9940" t="s">
        <v>13981</v>
      </c>
      <c r="AK9940">
        <v>2821081655</v>
      </c>
      <c r="AL9940" t="s">
        <v>13982</v>
      </c>
      <c r="AM9940" t="s">
        <v>88</v>
      </c>
      <c r="AN9940" t="s">
        <v>88</v>
      </c>
      <c r="AO9940" t="s">
        <v>6748</v>
      </c>
      <c r="AP9940" t="s">
        <v>6748</v>
      </c>
      <c r="AQ9940">
        <v>2</v>
      </c>
      <c r="AR9940" t="s">
        <v>89</v>
      </c>
      <c r="AS9940" t="s">
        <v>90</v>
      </c>
      <c r="AT9940" t="s">
        <v>58</v>
      </c>
      <c r="AU9940" t="s">
        <v>8673</v>
      </c>
      <c r="AV9940" t="s">
        <v>132</v>
      </c>
      <c r="AW9940" s="1">
        <v>30540</v>
      </c>
      <c r="AX9940">
        <v>1</v>
      </c>
    </row>
    <row r="9941" spans="1:50">
      <c r="A9941">
        <v>586849</v>
      </c>
      <c r="B9941" t="str">
        <f>"101590660"</f>
        <v>101590660</v>
      </c>
      <c r="C9941" t="s">
        <v>50</v>
      </c>
      <c r="D9941" t="s">
        <v>6189</v>
      </c>
      <c r="E9941" t="s">
        <v>237</v>
      </c>
      <c r="F9941" t="s">
        <v>95</v>
      </c>
      <c r="G9941" t="s">
        <v>476</v>
      </c>
      <c r="H9941" t="str">
        <f>"ΝΙΚ. ΣΚΟΥΛΑ 79 ΧΑΝΙΑ"</f>
        <v>ΝΙΚ. ΣΚΟΥΛΑ 79 ΧΑΝΙΑ</v>
      </c>
      <c r="I9941">
        <v>73100</v>
      </c>
      <c r="J9941">
        <v>2821099861</v>
      </c>
      <c r="K9941">
        <v>6976886988</v>
      </c>
      <c r="N9941" t="s">
        <v>1525</v>
      </c>
      <c r="O9941" t="s">
        <v>1526</v>
      </c>
      <c r="R9941" t="s">
        <v>57</v>
      </c>
      <c r="S9941">
        <v>11</v>
      </c>
      <c r="T9941">
        <v>165</v>
      </c>
      <c r="U9941" s="1">
        <v>36040</v>
      </c>
      <c r="V9941" t="s">
        <v>89</v>
      </c>
      <c r="W9941" t="s">
        <v>90</v>
      </c>
      <c r="X9941" t="s">
        <v>58</v>
      </c>
      <c r="Y9941">
        <v>25</v>
      </c>
      <c r="Z9941" t="s">
        <v>59</v>
      </c>
      <c r="AA9941" t="s">
        <v>59</v>
      </c>
      <c r="AB9941" t="s">
        <v>59</v>
      </c>
      <c r="AC9941" t="s">
        <v>59</v>
      </c>
      <c r="AD9941" t="s">
        <v>59</v>
      </c>
      <c r="AF9941" s="1">
        <v>36040</v>
      </c>
      <c r="AG9941" t="s">
        <v>8651</v>
      </c>
      <c r="AH9941" t="s">
        <v>8652</v>
      </c>
      <c r="AI9941" t="str">
        <f>"9500387"</f>
        <v>9500387</v>
      </c>
      <c r="AJ9941" t="s">
        <v>14881</v>
      </c>
      <c r="AK9941">
        <v>2824022332</v>
      </c>
      <c r="AL9941" t="s">
        <v>14882</v>
      </c>
      <c r="AM9941" t="s">
        <v>88</v>
      </c>
      <c r="AN9941" t="s">
        <v>6764</v>
      </c>
      <c r="AO9941" t="s">
        <v>6799</v>
      </c>
      <c r="AP9941" t="s">
        <v>6523</v>
      </c>
      <c r="AQ9941">
        <v>6</v>
      </c>
      <c r="AR9941" t="s">
        <v>89</v>
      </c>
      <c r="AS9941" t="s">
        <v>90</v>
      </c>
      <c r="AT9941" t="s">
        <v>58</v>
      </c>
      <c r="AU9941" t="s">
        <v>68</v>
      </c>
      <c r="AV9941" t="s">
        <v>69</v>
      </c>
      <c r="AW9941" s="1">
        <v>21005</v>
      </c>
      <c r="AX9941">
        <v>1</v>
      </c>
    </row>
    <row r="9942" spans="1:50">
      <c r="A9942">
        <v>607809</v>
      </c>
      <c r="B9942" t="str">
        <f>"120017770"</f>
        <v>120017770</v>
      </c>
      <c r="C9942" t="s">
        <v>50</v>
      </c>
      <c r="D9942" t="s">
        <v>6189</v>
      </c>
      <c r="E9942" t="s">
        <v>2967</v>
      </c>
      <c r="F9942" t="s">
        <v>2972</v>
      </c>
      <c r="G9942" t="s">
        <v>366</v>
      </c>
      <c r="H9942" t="str">
        <f>" "</f>
        <v xml:space="preserve"> </v>
      </c>
      <c r="J9942">
        <v>2825041089</v>
      </c>
      <c r="K9942">
        <v>6974603791</v>
      </c>
      <c r="M9942" t="s">
        <v>14883</v>
      </c>
      <c r="N9942" t="s">
        <v>615</v>
      </c>
      <c r="O9942" t="s">
        <v>616</v>
      </c>
      <c r="R9942" t="s">
        <v>57</v>
      </c>
      <c r="S9942">
        <v>6</v>
      </c>
      <c r="T9942">
        <v>217</v>
      </c>
      <c r="U9942" s="1">
        <v>38596</v>
      </c>
      <c r="V9942" t="s">
        <v>89</v>
      </c>
      <c r="W9942" t="s">
        <v>90</v>
      </c>
      <c r="X9942" t="s">
        <v>58</v>
      </c>
      <c r="Y9942">
        <v>23</v>
      </c>
      <c r="Z9942" t="s">
        <v>59</v>
      </c>
      <c r="AA9942" t="s">
        <v>59</v>
      </c>
      <c r="AB9942" t="s">
        <v>59</v>
      </c>
      <c r="AC9942" t="s">
        <v>59</v>
      </c>
      <c r="AD9942" t="s">
        <v>59</v>
      </c>
      <c r="AF9942" s="1">
        <v>38596</v>
      </c>
      <c r="AG9942" t="s">
        <v>8645</v>
      </c>
      <c r="AH9942" t="s">
        <v>8646</v>
      </c>
      <c r="AI9942" t="str">
        <f>"9500024"</f>
        <v>9500024</v>
      </c>
      <c r="AJ9942" t="s">
        <v>13856</v>
      </c>
      <c r="AK9942">
        <v>2825041345</v>
      </c>
      <c r="AL9942" t="s">
        <v>13857</v>
      </c>
      <c r="AM9942" t="s">
        <v>88</v>
      </c>
      <c r="AN9942" t="s">
        <v>6775</v>
      </c>
      <c r="AO9942" t="s">
        <v>11883</v>
      </c>
      <c r="AP9942" t="s">
        <v>13858</v>
      </c>
      <c r="AQ9942">
        <v>7</v>
      </c>
      <c r="AR9942" t="s">
        <v>89</v>
      </c>
      <c r="AS9942" t="s">
        <v>90</v>
      </c>
      <c r="AT9942" t="s">
        <v>58</v>
      </c>
      <c r="AU9942" t="s">
        <v>68</v>
      </c>
      <c r="AV9942" t="s">
        <v>69</v>
      </c>
      <c r="AW9942" s="1">
        <v>30224</v>
      </c>
      <c r="AX9942">
        <v>1</v>
      </c>
    </row>
    <row r="9943" spans="1:50">
      <c r="A9943">
        <v>578424</v>
      </c>
      <c r="B9943" t="str">
        <f>"054341113"</f>
        <v>054341113</v>
      </c>
      <c r="C9943" t="s">
        <v>50</v>
      </c>
      <c r="D9943" t="s">
        <v>14884</v>
      </c>
      <c r="E9943" t="s">
        <v>3477</v>
      </c>
      <c r="F9943" t="s">
        <v>84</v>
      </c>
      <c r="G9943" t="s">
        <v>340</v>
      </c>
      <c r="H9943" t="str">
        <f>"ΝΕΒΕΛΗ ΠΑΖΙΝΟΣ ΧΑΝΙΩΝ"</f>
        <v>ΝΕΒΕΛΗ ΠΑΖΙΝΟΣ ΧΑΝΙΩΝ</v>
      </c>
      <c r="I9943">
        <v>73100</v>
      </c>
      <c r="J9943">
        <v>2821066996</v>
      </c>
      <c r="K9943">
        <v>6948742871</v>
      </c>
      <c r="N9943" t="s">
        <v>615</v>
      </c>
      <c r="O9943" t="s">
        <v>616</v>
      </c>
      <c r="R9943" t="s">
        <v>57</v>
      </c>
      <c r="S9943">
        <v>12</v>
      </c>
      <c r="T9943">
        <v>165</v>
      </c>
      <c r="U9943" s="1">
        <v>35300</v>
      </c>
      <c r="V9943" t="s">
        <v>89</v>
      </c>
      <c r="W9943" t="s">
        <v>90</v>
      </c>
      <c r="X9943" t="s">
        <v>58</v>
      </c>
      <c r="Y9943">
        <v>21</v>
      </c>
      <c r="Z9943" t="s">
        <v>59</v>
      </c>
      <c r="AA9943" t="s">
        <v>59</v>
      </c>
      <c r="AB9943" t="s">
        <v>59</v>
      </c>
      <c r="AC9943" t="s">
        <v>59</v>
      </c>
      <c r="AD9943" t="s">
        <v>59</v>
      </c>
      <c r="AF9943" s="1">
        <v>35300</v>
      </c>
      <c r="AG9943" t="s">
        <v>8645</v>
      </c>
      <c r="AH9943" t="s">
        <v>8646</v>
      </c>
      <c r="AI9943" t="str">
        <f>"9500114"</f>
        <v>9500114</v>
      </c>
      <c r="AJ9943" t="s">
        <v>14013</v>
      </c>
      <c r="AK9943">
        <v>2821063458</v>
      </c>
      <c r="AL9943" t="s">
        <v>14014</v>
      </c>
      <c r="AM9943" t="s">
        <v>88</v>
      </c>
      <c r="AN9943" t="s">
        <v>88</v>
      </c>
      <c r="AO9943" t="s">
        <v>6770</v>
      </c>
      <c r="AP9943" t="s">
        <v>14015</v>
      </c>
      <c r="AQ9943">
        <v>2</v>
      </c>
      <c r="AR9943" t="s">
        <v>89</v>
      </c>
      <c r="AS9943" t="s">
        <v>90</v>
      </c>
      <c r="AT9943" t="s">
        <v>58</v>
      </c>
      <c r="AU9943" t="s">
        <v>68</v>
      </c>
      <c r="AV9943" t="s">
        <v>69</v>
      </c>
      <c r="AW9943" s="1">
        <v>24891</v>
      </c>
      <c r="AX9943">
        <v>1</v>
      </c>
    </row>
    <row r="9944" spans="1:50">
      <c r="A9944">
        <v>560573</v>
      </c>
      <c r="B9944" t="str">
        <f>"033557330"</f>
        <v>033557330</v>
      </c>
      <c r="C9944" t="s">
        <v>105</v>
      </c>
      <c r="D9944" t="s">
        <v>14885</v>
      </c>
      <c r="E9944" t="s">
        <v>95</v>
      </c>
      <c r="F9944" t="s">
        <v>1679</v>
      </c>
      <c r="G9944" t="s">
        <v>250</v>
      </c>
      <c r="H9944" t="str">
        <f>"ΕΥΕΛΠΙΔΩΝ 8 ΧΑΝΙΑ"</f>
        <v>ΕΥΕΛΠΙΔΩΝ 8 ΧΑΝΙΑ</v>
      </c>
      <c r="I9944">
        <v>73134</v>
      </c>
      <c r="J9944">
        <v>2821058432</v>
      </c>
      <c r="K9944">
        <v>6974020794</v>
      </c>
      <c r="M9944" t="s">
        <v>14886</v>
      </c>
      <c r="N9944" t="s">
        <v>615</v>
      </c>
      <c r="O9944" t="s">
        <v>616</v>
      </c>
      <c r="R9944" t="s">
        <v>57</v>
      </c>
      <c r="S9944">
        <v>15</v>
      </c>
      <c r="T9944">
        <v>159</v>
      </c>
      <c r="U9944" s="1">
        <v>32385</v>
      </c>
      <c r="V9944" t="s">
        <v>89</v>
      </c>
      <c r="W9944" t="s">
        <v>90</v>
      </c>
      <c r="X9944" t="s">
        <v>58</v>
      </c>
      <c r="Y9944">
        <v>21</v>
      </c>
      <c r="Z9944" t="s">
        <v>59</v>
      </c>
      <c r="AA9944" t="s">
        <v>59</v>
      </c>
      <c r="AB9944" t="s">
        <v>59</v>
      </c>
      <c r="AC9944" t="s">
        <v>59</v>
      </c>
      <c r="AD9944" t="s">
        <v>59</v>
      </c>
      <c r="AF9944" s="1">
        <v>32385</v>
      </c>
      <c r="AG9944" t="s">
        <v>8645</v>
      </c>
      <c r="AH9944" t="s">
        <v>8646</v>
      </c>
      <c r="AI9944" t="str">
        <f>"9500035"</f>
        <v>9500035</v>
      </c>
      <c r="AJ9944" t="s">
        <v>13979</v>
      </c>
      <c r="AK9944">
        <v>2821094678</v>
      </c>
      <c r="AL9944" t="s">
        <v>13980</v>
      </c>
      <c r="AM9944" t="s">
        <v>88</v>
      </c>
      <c r="AN9944" t="s">
        <v>88</v>
      </c>
      <c r="AO9944" t="s">
        <v>88</v>
      </c>
      <c r="AP9944" t="s">
        <v>88</v>
      </c>
      <c r="AQ9944">
        <v>2</v>
      </c>
      <c r="AR9944" t="s">
        <v>89</v>
      </c>
      <c r="AS9944" t="s">
        <v>90</v>
      </c>
      <c r="AT9944" t="s">
        <v>58</v>
      </c>
      <c r="AU9944" t="s">
        <v>68</v>
      </c>
      <c r="AV9944" t="s">
        <v>69</v>
      </c>
      <c r="AW9944" s="1">
        <v>22761</v>
      </c>
      <c r="AX9944">
        <v>1</v>
      </c>
    </row>
    <row r="9945" spans="1:50">
      <c r="A9945">
        <v>216120</v>
      </c>
      <c r="B9945" t="str">
        <f>"054363690"</f>
        <v>054363690</v>
      </c>
      <c r="C9945" t="s">
        <v>105</v>
      </c>
      <c r="D9945" t="s">
        <v>14887</v>
      </c>
      <c r="E9945" t="s">
        <v>2233</v>
      </c>
      <c r="F9945" t="s">
        <v>99</v>
      </c>
      <c r="G9945" t="s">
        <v>1001</v>
      </c>
      <c r="H9945" t="str">
        <f>"ΤΣΙΚΑΛΑΡΙΑ 113 ΣΟΥΔΑ"</f>
        <v>ΤΣΙΚΑΛΑΡΙΑ 113 ΣΟΥΔΑ</v>
      </c>
      <c r="I9945">
        <v>73200</v>
      </c>
      <c r="J9945">
        <v>2821080082</v>
      </c>
      <c r="K9945">
        <v>6977984863</v>
      </c>
      <c r="M9945" t="s">
        <v>14888</v>
      </c>
      <c r="N9945" t="s">
        <v>204</v>
      </c>
      <c r="O9945" t="s">
        <v>205</v>
      </c>
      <c r="R9945" t="s">
        <v>57</v>
      </c>
      <c r="S9945">
        <v>6</v>
      </c>
      <c r="T9945">
        <v>232</v>
      </c>
      <c r="U9945" s="1">
        <v>38960</v>
      </c>
      <c r="V9945" t="s">
        <v>89</v>
      </c>
      <c r="W9945" t="s">
        <v>90</v>
      </c>
      <c r="X9945" t="s">
        <v>58</v>
      </c>
      <c r="Y9945">
        <v>23</v>
      </c>
      <c r="Z9945" t="s">
        <v>59</v>
      </c>
      <c r="AA9945" t="s">
        <v>59</v>
      </c>
      <c r="AB9945" t="s">
        <v>59</v>
      </c>
      <c r="AC9945" t="s">
        <v>59</v>
      </c>
      <c r="AD9945" t="s">
        <v>59</v>
      </c>
      <c r="AF9945" s="1">
        <v>38965</v>
      </c>
      <c r="AG9945" t="s">
        <v>8645</v>
      </c>
      <c r="AH9945" t="s">
        <v>8646</v>
      </c>
      <c r="AI9945" t="str">
        <f>"9500358"</f>
        <v>9500358</v>
      </c>
      <c r="AJ9945" t="s">
        <v>13948</v>
      </c>
      <c r="AK9945">
        <v>2821093459</v>
      </c>
      <c r="AL9945" t="s">
        <v>13949</v>
      </c>
      <c r="AM9945" t="s">
        <v>88</v>
      </c>
      <c r="AN9945" t="s">
        <v>88</v>
      </c>
      <c r="AO9945" t="s">
        <v>6733</v>
      </c>
      <c r="AP9945" t="s">
        <v>6755</v>
      </c>
      <c r="AQ9945">
        <v>2</v>
      </c>
      <c r="AR9945" t="s">
        <v>89</v>
      </c>
      <c r="AS9945" t="s">
        <v>90</v>
      </c>
      <c r="AT9945" t="s">
        <v>58</v>
      </c>
      <c r="AU9945" t="s">
        <v>68</v>
      </c>
      <c r="AV9945" t="s">
        <v>69</v>
      </c>
      <c r="AW9945" s="1">
        <v>29337</v>
      </c>
      <c r="AX9945">
        <v>1</v>
      </c>
    </row>
    <row r="9946" spans="1:50">
      <c r="B9946" t="str">
        <f>"056399251"</f>
        <v>056399251</v>
      </c>
      <c r="C9946" t="s">
        <v>50</v>
      </c>
      <c r="D9946" t="s">
        <v>5070</v>
      </c>
      <c r="E9946" t="s">
        <v>73</v>
      </c>
      <c r="F9946" t="s">
        <v>166</v>
      </c>
      <c r="G9946" t="s">
        <v>181</v>
      </c>
      <c r="H9946" t="str">
        <f>"ΘΕΜΙΣΤΟΚΛΕΟΥΣ 30 ΑΜΠΕΛΟΚΗΠΟΙ "</f>
        <v xml:space="preserve">ΘΕΜΙΣΤΟΚΛΕΟΥΣ 30 ΑΜΠΕΛΟΚΗΠΟΙ </v>
      </c>
      <c r="I9946">
        <v>56121</v>
      </c>
      <c r="J9946">
        <v>2310721617</v>
      </c>
      <c r="K9946">
        <v>6977680894</v>
      </c>
      <c r="N9946" t="s">
        <v>615</v>
      </c>
      <c r="O9946" t="s">
        <v>616</v>
      </c>
      <c r="R9946" t="s">
        <v>159</v>
      </c>
      <c r="S9946">
        <v>2</v>
      </c>
      <c r="T9946" t="s">
        <v>8675</v>
      </c>
      <c r="U9946" s="1">
        <v>43348</v>
      </c>
      <c r="V9946" t="s">
        <v>89</v>
      </c>
      <c r="W9946" t="s">
        <v>90</v>
      </c>
      <c r="X9946" t="s">
        <v>58</v>
      </c>
      <c r="Y9946">
        <v>24</v>
      </c>
      <c r="Z9946" t="s">
        <v>59</v>
      </c>
      <c r="AA9946" t="s">
        <v>59</v>
      </c>
      <c r="AB9946" t="s">
        <v>59</v>
      </c>
      <c r="AC9946" t="s">
        <v>59</v>
      </c>
      <c r="AD9946" t="s">
        <v>59</v>
      </c>
      <c r="AF9946" s="1">
        <v>43348</v>
      </c>
      <c r="AG9946" t="s">
        <v>8645</v>
      </c>
      <c r="AH9946" t="s">
        <v>8646</v>
      </c>
      <c r="AI9946" t="str">
        <f>"9500191"</f>
        <v>9500191</v>
      </c>
      <c r="AJ9946" t="s">
        <v>13986</v>
      </c>
      <c r="AK9946">
        <v>2822022042</v>
      </c>
      <c r="AL9946" t="s">
        <v>13987</v>
      </c>
      <c r="AM9946" t="s">
        <v>88</v>
      </c>
      <c r="AN9946" t="s">
        <v>6744</v>
      </c>
      <c r="AO9946" t="s">
        <v>6744</v>
      </c>
      <c r="AP9946" t="s">
        <v>6744</v>
      </c>
      <c r="AQ9946">
        <v>9</v>
      </c>
      <c r="AR9946" t="s">
        <v>89</v>
      </c>
      <c r="AS9946" t="s">
        <v>90</v>
      </c>
      <c r="AT9946" t="s">
        <v>58</v>
      </c>
      <c r="AU9946" t="s">
        <v>8673</v>
      </c>
      <c r="AV9946" t="s">
        <v>132</v>
      </c>
      <c r="AW9946" s="1">
        <v>32343</v>
      </c>
      <c r="AX9946">
        <v>1</v>
      </c>
    </row>
    <row r="9947" spans="1:50">
      <c r="A9947">
        <v>611811</v>
      </c>
      <c r="B9947" t="str">
        <f>"127733561"</f>
        <v>127733561</v>
      </c>
      <c r="C9947" t="s">
        <v>50</v>
      </c>
      <c r="D9947" t="s">
        <v>5070</v>
      </c>
      <c r="E9947" t="s">
        <v>263</v>
      </c>
      <c r="F9947" t="s">
        <v>154</v>
      </c>
      <c r="G9947" t="s">
        <v>3706</v>
      </c>
      <c r="H9947" t="str">
        <f>"ΠΕΙΡΑΙΩΣ 45 ΧΑΝΙΑ"</f>
        <v>ΠΕΙΡΑΙΩΣ 45 ΧΑΝΙΑ</v>
      </c>
      <c r="I9947">
        <v>73100</v>
      </c>
      <c r="J9947">
        <v>2821040636</v>
      </c>
      <c r="K9947">
        <v>6976860586</v>
      </c>
      <c r="L9947">
        <v>2821099792</v>
      </c>
      <c r="N9947" t="s">
        <v>1525</v>
      </c>
      <c r="O9947" t="s">
        <v>1526</v>
      </c>
      <c r="R9947" t="s">
        <v>57</v>
      </c>
      <c r="S9947">
        <v>8</v>
      </c>
      <c r="T9947">
        <v>233</v>
      </c>
      <c r="U9947" s="1">
        <v>38961</v>
      </c>
      <c r="V9947" t="s">
        <v>89</v>
      </c>
      <c r="W9947" t="s">
        <v>90</v>
      </c>
      <c r="X9947" t="s">
        <v>58</v>
      </c>
      <c r="Y9947">
        <v>25</v>
      </c>
      <c r="Z9947" t="s">
        <v>59</v>
      </c>
      <c r="AA9947" t="s">
        <v>59</v>
      </c>
      <c r="AB9947" t="s">
        <v>59</v>
      </c>
      <c r="AC9947" t="s">
        <v>59</v>
      </c>
      <c r="AD9947" t="s">
        <v>59</v>
      </c>
      <c r="AF9947" s="1">
        <v>38961</v>
      </c>
      <c r="AG9947" t="s">
        <v>8651</v>
      </c>
      <c r="AH9947" t="s">
        <v>9015</v>
      </c>
      <c r="AI9947" t="str">
        <f>"9521078"</f>
        <v>9521078</v>
      </c>
      <c r="AJ9947" t="s">
        <v>14889</v>
      </c>
      <c r="AK9947">
        <v>2821044022</v>
      </c>
      <c r="AL9947" t="s">
        <v>14890</v>
      </c>
      <c r="AM9947" t="s">
        <v>88</v>
      </c>
      <c r="AN9947" t="s">
        <v>88</v>
      </c>
      <c r="AO9947" t="s">
        <v>88</v>
      </c>
      <c r="AP9947" t="s">
        <v>88</v>
      </c>
      <c r="AQ9947">
        <v>1</v>
      </c>
      <c r="AR9947" t="s">
        <v>89</v>
      </c>
      <c r="AS9947" t="s">
        <v>90</v>
      </c>
      <c r="AT9947" t="s">
        <v>58</v>
      </c>
      <c r="AU9947" t="s">
        <v>68</v>
      </c>
      <c r="AV9947" t="s">
        <v>69</v>
      </c>
      <c r="AW9947" s="1">
        <v>28573</v>
      </c>
      <c r="AX9947">
        <v>1</v>
      </c>
    </row>
    <row r="9948" spans="1:50">
      <c r="A9948">
        <v>609151</v>
      </c>
      <c r="B9948" t="str">
        <f>"077653271"</f>
        <v>077653271</v>
      </c>
      <c r="C9948" t="s">
        <v>50</v>
      </c>
      <c r="D9948" t="s">
        <v>5070</v>
      </c>
      <c r="E9948" t="s">
        <v>52</v>
      </c>
      <c r="F9948" t="s">
        <v>154</v>
      </c>
      <c r="G9948" t="s">
        <v>14891</v>
      </c>
      <c r="H9948" t="str">
        <f>"ΑΡΩΝΙ ΑΚΡΩΤΗΡΙΟΥ ΑΚΡΩΤΗΡΙ ΧΑΝΙΩΝ"</f>
        <v>ΑΡΩΝΙ ΑΚΡΩΤΗΡΙΟΥ ΑΚΡΩΤΗΡΙ ΧΑΝΙΩΝ</v>
      </c>
      <c r="I9948">
        <v>73100</v>
      </c>
      <c r="J9948">
        <v>2821063964</v>
      </c>
      <c r="K9948">
        <v>6977452961</v>
      </c>
      <c r="N9948" t="s">
        <v>306</v>
      </c>
      <c r="O9948" t="s">
        <v>307</v>
      </c>
      <c r="R9948" t="s">
        <v>57</v>
      </c>
      <c r="S9948">
        <v>8</v>
      </c>
      <c r="T9948">
        <v>218</v>
      </c>
      <c r="U9948" s="1">
        <v>38596</v>
      </c>
      <c r="V9948" t="s">
        <v>89</v>
      </c>
      <c r="W9948" t="s">
        <v>90</v>
      </c>
      <c r="X9948" t="s">
        <v>58</v>
      </c>
      <c r="Y9948">
        <v>22</v>
      </c>
      <c r="Z9948" t="s">
        <v>59</v>
      </c>
      <c r="AA9948" t="s">
        <v>59</v>
      </c>
      <c r="AB9948" t="s">
        <v>59</v>
      </c>
      <c r="AC9948" t="s">
        <v>59</v>
      </c>
      <c r="AD9948" t="s">
        <v>59</v>
      </c>
      <c r="AF9948" s="1">
        <v>38596</v>
      </c>
      <c r="AG9948" t="s">
        <v>8645</v>
      </c>
      <c r="AH9948" t="s">
        <v>8646</v>
      </c>
      <c r="AI9948" t="str">
        <f>"9500359"</f>
        <v>9500359</v>
      </c>
      <c r="AJ9948" t="s">
        <v>13939</v>
      </c>
      <c r="AK9948">
        <v>2821095778</v>
      </c>
      <c r="AL9948" t="s">
        <v>13940</v>
      </c>
      <c r="AM9948" t="s">
        <v>88</v>
      </c>
      <c r="AN9948" t="s">
        <v>88</v>
      </c>
      <c r="AO9948" t="s">
        <v>6733</v>
      </c>
      <c r="AP9948" t="s">
        <v>6755</v>
      </c>
      <c r="AQ9948">
        <v>2</v>
      </c>
      <c r="AR9948" t="s">
        <v>89</v>
      </c>
      <c r="AS9948" t="s">
        <v>90</v>
      </c>
      <c r="AT9948" t="s">
        <v>58</v>
      </c>
      <c r="AU9948" t="s">
        <v>68</v>
      </c>
      <c r="AV9948" t="s">
        <v>69</v>
      </c>
      <c r="AW9948" s="1">
        <v>25790</v>
      </c>
      <c r="AX9948">
        <v>1</v>
      </c>
    </row>
    <row r="9949" spans="1:50">
      <c r="A9949">
        <v>619025</v>
      </c>
      <c r="B9949" t="str">
        <f>"066848972"</f>
        <v>066848972</v>
      </c>
      <c r="C9949" t="s">
        <v>50</v>
      </c>
      <c r="D9949" t="s">
        <v>10527</v>
      </c>
      <c r="E9949" t="s">
        <v>71</v>
      </c>
      <c r="F9949" t="s">
        <v>95</v>
      </c>
      <c r="G9949" t="s">
        <v>73</v>
      </c>
      <c r="H9949" t="str">
        <f>"ΒΑΣ. ΣΠΥΡΙΔΑΚΗ 371 ΓΑΛΑΤΑΣ ΧΑΝΙΑ"</f>
        <v>ΒΑΣ. ΣΠΥΡΙΔΑΚΗ 371 ΓΑΛΑΤΑΣ ΧΑΝΙΑ</v>
      </c>
      <c r="I9949">
        <v>73134</v>
      </c>
      <c r="J9949">
        <v>2821070789</v>
      </c>
      <c r="K9949">
        <v>6943708590</v>
      </c>
      <c r="N9949" t="s">
        <v>1525</v>
      </c>
      <c r="O9949" t="s">
        <v>1526</v>
      </c>
      <c r="R9949" t="s">
        <v>57</v>
      </c>
      <c r="S9949">
        <v>6</v>
      </c>
      <c r="T9949">
        <v>774</v>
      </c>
      <c r="U9949" s="1">
        <v>39680</v>
      </c>
      <c r="V9949" t="s">
        <v>89</v>
      </c>
      <c r="W9949" t="s">
        <v>90</v>
      </c>
      <c r="X9949" t="s">
        <v>58</v>
      </c>
      <c r="Y9949">
        <v>25</v>
      </c>
      <c r="Z9949" t="s">
        <v>59</v>
      </c>
      <c r="AA9949" t="s">
        <v>59</v>
      </c>
      <c r="AB9949" t="s">
        <v>59</v>
      </c>
      <c r="AC9949" t="s">
        <v>59</v>
      </c>
      <c r="AD9949" t="s">
        <v>59</v>
      </c>
      <c r="AF9949" s="1">
        <v>39681</v>
      </c>
      <c r="AG9949" t="s">
        <v>8651</v>
      </c>
      <c r="AH9949" t="s">
        <v>8652</v>
      </c>
      <c r="AI9949" t="str">
        <f>"9521650"</f>
        <v>9521650</v>
      </c>
      <c r="AJ9949" t="s">
        <v>14408</v>
      </c>
      <c r="AK9949">
        <v>2821009699</v>
      </c>
      <c r="AL9949" t="s">
        <v>14409</v>
      </c>
      <c r="AM9949" t="s">
        <v>88</v>
      </c>
      <c r="AN9949" t="s">
        <v>88</v>
      </c>
      <c r="AO9949" t="s">
        <v>6785</v>
      </c>
      <c r="AP9949" t="s">
        <v>13932</v>
      </c>
      <c r="AQ9949">
        <v>3</v>
      </c>
      <c r="AR9949" t="s">
        <v>89</v>
      </c>
      <c r="AS9949" t="s">
        <v>90</v>
      </c>
      <c r="AT9949" t="s">
        <v>58</v>
      </c>
      <c r="AU9949" t="s">
        <v>68</v>
      </c>
      <c r="AV9949" t="s">
        <v>69</v>
      </c>
      <c r="AW9949" s="1">
        <v>29206</v>
      </c>
      <c r="AX9949">
        <v>1</v>
      </c>
    </row>
    <row r="9950" spans="1:50">
      <c r="A9950">
        <v>616477</v>
      </c>
      <c r="B9950" t="str">
        <f>"135969696"</f>
        <v>135969696</v>
      </c>
      <c r="C9950" t="s">
        <v>50</v>
      </c>
      <c r="D9950" t="s">
        <v>14892</v>
      </c>
      <c r="E9950" t="s">
        <v>191</v>
      </c>
      <c r="F9950" t="s">
        <v>564</v>
      </c>
      <c r="G9950" t="s">
        <v>964</v>
      </c>
      <c r="H9950" t="str">
        <f>"ΠΡΩΤΟΠΑΠΑΔΑΚΗ 17 ΧΑΝΙΑ"</f>
        <v>ΠΡΩΤΟΠΑΠΑΔΑΚΗ 17 ΧΑΝΙΑ</v>
      </c>
      <c r="I9950">
        <v>73100</v>
      </c>
      <c r="J9950">
        <v>2632022498</v>
      </c>
      <c r="K9950">
        <v>6947446316</v>
      </c>
      <c r="M9950" t="s">
        <v>14893</v>
      </c>
      <c r="N9950" t="s">
        <v>1525</v>
      </c>
      <c r="O9950" t="s">
        <v>1526</v>
      </c>
      <c r="R9950" t="s">
        <v>57</v>
      </c>
      <c r="S9950">
        <v>5</v>
      </c>
      <c r="T9950">
        <v>660</v>
      </c>
      <c r="U9950" s="1">
        <v>39311</v>
      </c>
      <c r="V9950" t="s">
        <v>89</v>
      </c>
      <c r="W9950" t="s">
        <v>90</v>
      </c>
      <c r="X9950" t="s">
        <v>58</v>
      </c>
      <c r="Y9950">
        <v>25</v>
      </c>
      <c r="Z9950" t="s">
        <v>59</v>
      </c>
      <c r="AA9950" t="s">
        <v>59</v>
      </c>
      <c r="AB9950" t="s">
        <v>59</v>
      </c>
      <c r="AC9950" t="s">
        <v>59</v>
      </c>
      <c r="AD9950" t="s">
        <v>59</v>
      </c>
      <c r="AF9950" s="1">
        <v>39331</v>
      </c>
      <c r="AG9950" t="s">
        <v>8651</v>
      </c>
      <c r="AH9950" t="s">
        <v>8652</v>
      </c>
      <c r="AI9950" t="str">
        <f>"9500138"</f>
        <v>9500138</v>
      </c>
      <c r="AJ9950" t="s">
        <v>14894</v>
      </c>
      <c r="AK9950">
        <v>2821095071</v>
      </c>
      <c r="AL9950" t="s">
        <v>14895</v>
      </c>
      <c r="AM9950" t="s">
        <v>88</v>
      </c>
      <c r="AN9950" t="s">
        <v>88</v>
      </c>
      <c r="AO9950" t="s">
        <v>88</v>
      </c>
      <c r="AP9950" t="s">
        <v>88</v>
      </c>
      <c r="AQ9950">
        <v>1</v>
      </c>
      <c r="AR9950" t="s">
        <v>89</v>
      </c>
      <c r="AS9950" t="s">
        <v>90</v>
      </c>
      <c r="AT9950" t="s">
        <v>58</v>
      </c>
      <c r="AU9950" t="s">
        <v>68</v>
      </c>
      <c r="AV9950" t="s">
        <v>69</v>
      </c>
      <c r="AW9950" s="1">
        <v>30852</v>
      </c>
      <c r="AX9950">
        <v>1</v>
      </c>
    </row>
    <row r="9951" spans="1:50">
      <c r="A9951">
        <v>578724</v>
      </c>
      <c r="B9951" t="str">
        <f>"052408746"</f>
        <v>052408746</v>
      </c>
      <c r="C9951" t="s">
        <v>105</v>
      </c>
      <c r="D9951" t="s">
        <v>14896</v>
      </c>
      <c r="E9951" t="s">
        <v>558</v>
      </c>
      <c r="F9951" t="s">
        <v>581</v>
      </c>
      <c r="G9951" t="s">
        <v>14897</v>
      </c>
      <c r="H9951" t="str">
        <f>"ΑΡΩΝΙ  ΑΚΡΩΤΗΡΙΟΥ"</f>
        <v>ΑΡΩΝΙ  ΑΚΡΩΤΗΡΙΟΥ</v>
      </c>
      <c r="I9951">
        <v>73100</v>
      </c>
      <c r="J9951">
        <v>2821066318</v>
      </c>
      <c r="K9951">
        <v>6959786256</v>
      </c>
      <c r="M9951" t="s">
        <v>14898</v>
      </c>
      <c r="N9951" t="s">
        <v>615</v>
      </c>
      <c r="O9951" t="s">
        <v>616</v>
      </c>
      <c r="R9951" t="s">
        <v>57</v>
      </c>
      <c r="S9951">
        <v>12</v>
      </c>
      <c r="T9951">
        <v>165</v>
      </c>
      <c r="U9951" s="1">
        <v>35300</v>
      </c>
      <c r="V9951" t="s">
        <v>89</v>
      </c>
      <c r="W9951" t="s">
        <v>90</v>
      </c>
      <c r="X9951" t="s">
        <v>58</v>
      </c>
      <c r="Y9951">
        <v>21</v>
      </c>
      <c r="Z9951" t="s">
        <v>59</v>
      </c>
      <c r="AA9951" t="s">
        <v>59</v>
      </c>
      <c r="AB9951" t="s">
        <v>59</v>
      </c>
      <c r="AC9951" t="s">
        <v>59</v>
      </c>
      <c r="AD9951" t="s">
        <v>59</v>
      </c>
      <c r="AF9951" s="1">
        <v>35300</v>
      </c>
      <c r="AG9951" t="s">
        <v>8645</v>
      </c>
      <c r="AH9951" t="s">
        <v>8646</v>
      </c>
      <c r="AI9951" t="str">
        <f>"9500041"</f>
        <v>9500041</v>
      </c>
      <c r="AJ9951" t="s">
        <v>13944</v>
      </c>
      <c r="AK9951">
        <v>2821028218</v>
      </c>
      <c r="AL9951" t="s">
        <v>13945</v>
      </c>
      <c r="AM9951" t="s">
        <v>88</v>
      </c>
      <c r="AN9951" t="s">
        <v>88</v>
      </c>
      <c r="AO9951" t="s">
        <v>88</v>
      </c>
      <c r="AP9951" t="s">
        <v>88</v>
      </c>
      <c r="AQ9951">
        <v>1</v>
      </c>
      <c r="AR9951" t="s">
        <v>89</v>
      </c>
      <c r="AS9951" t="s">
        <v>90</v>
      </c>
      <c r="AT9951" t="s">
        <v>58</v>
      </c>
      <c r="AU9951" t="s">
        <v>68</v>
      </c>
      <c r="AV9951" t="s">
        <v>69</v>
      </c>
      <c r="AW9951" s="1">
        <v>24634</v>
      </c>
      <c r="AX9951">
        <v>1</v>
      </c>
    </row>
    <row r="9952" spans="1:50">
      <c r="A9952">
        <v>617709</v>
      </c>
      <c r="B9952" t="str">
        <f>"135227191"</f>
        <v>135227191</v>
      </c>
      <c r="C9952" t="s">
        <v>50</v>
      </c>
      <c r="D9952" t="s">
        <v>14899</v>
      </c>
      <c r="E9952" t="s">
        <v>237</v>
      </c>
      <c r="F9952" t="s">
        <v>106</v>
      </c>
      <c r="G9952" t="s">
        <v>52</v>
      </c>
      <c r="H9952" t="str">
        <f>"ΣΗΦΑΚΑ 42 ΧΑΝΙΑ"</f>
        <v>ΣΗΦΑΚΑ 42 ΧΑΝΙΑ</v>
      </c>
      <c r="I9952">
        <v>73132</v>
      </c>
      <c r="J9952">
        <v>2821074675</v>
      </c>
      <c r="K9952">
        <v>6974196068</v>
      </c>
      <c r="N9952" t="s">
        <v>615</v>
      </c>
      <c r="O9952" t="s">
        <v>616</v>
      </c>
      <c r="R9952" t="s">
        <v>57</v>
      </c>
      <c r="S9952">
        <v>5</v>
      </c>
      <c r="T9952">
        <v>774</v>
      </c>
      <c r="U9952" s="1">
        <v>39680</v>
      </c>
      <c r="V9952" t="s">
        <v>89</v>
      </c>
      <c r="W9952" t="s">
        <v>90</v>
      </c>
      <c r="X9952" t="s">
        <v>58</v>
      </c>
      <c r="Y9952">
        <v>23</v>
      </c>
      <c r="Z9952" t="s">
        <v>59</v>
      </c>
      <c r="AA9952" t="s">
        <v>59</v>
      </c>
      <c r="AB9952" t="s">
        <v>59</v>
      </c>
      <c r="AC9952" t="s">
        <v>59</v>
      </c>
      <c r="AD9952" t="s">
        <v>59</v>
      </c>
      <c r="AF9952" s="1">
        <v>39681</v>
      </c>
      <c r="AG9952" t="s">
        <v>8645</v>
      </c>
      <c r="AH9952" t="s">
        <v>8646</v>
      </c>
      <c r="AI9952" t="str">
        <f>"9500081"</f>
        <v>9500081</v>
      </c>
      <c r="AJ9952" t="s">
        <v>14034</v>
      </c>
      <c r="AK9952">
        <v>2821077150</v>
      </c>
      <c r="AL9952" t="s">
        <v>14035</v>
      </c>
      <c r="AM9952" t="s">
        <v>88</v>
      </c>
      <c r="AN9952" t="s">
        <v>6764</v>
      </c>
      <c r="AO9952" t="s">
        <v>6885</v>
      </c>
      <c r="AP9952" t="s">
        <v>6886</v>
      </c>
      <c r="AQ9952">
        <v>4</v>
      </c>
      <c r="AR9952" t="s">
        <v>89</v>
      </c>
      <c r="AS9952" t="s">
        <v>90</v>
      </c>
      <c r="AT9952" t="s">
        <v>58</v>
      </c>
      <c r="AU9952" t="s">
        <v>68</v>
      </c>
      <c r="AV9952" t="s">
        <v>69</v>
      </c>
      <c r="AW9952" s="1">
        <v>31097</v>
      </c>
      <c r="AX9952">
        <v>1</v>
      </c>
    </row>
    <row r="9953" spans="1:50">
      <c r="A9953">
        <v>599006</v>
      </c>
      <c r="B9953" t="str">
        <f>"032638364"</f>
        <v>032638364</v>
      </c>
      <c r="C9953" t="s">
        <v>50</v>
      </c>
      <c r="D9953" t="s">
        <v>14900</v>
      </c>
      <c r="E9953" t="s">
        <v>1179</v>
      </c>
      <c r="F9953" t="s">
        <v>10568</v>
      </c>
      <c r="G9953" t="s">
        <v>860</v>
      </c>
      <c r="H9953" t="str">
        <f>"Κ. ΜΑΛΙΝΟΥ 57 ΧΑΝΙΑ"</f>
        <v>Κ. ΜΑΛΙΝΟΥ 57 ΧΑΝΙΑ</v>
      </c>
      <c r="I9953">
        <v>73100</v>
      </c>
      <c r="J9953">
        <v>2821052492</v>
      </c>
      <c r="K9953">
        <v>6978847288</v>
      </c>
      <c r="N9953" t="s">
        <v>615</v>
      </c>
      <c r="O9953" t="s">
        <v>616</v>
      </c>
      <c r="R9953" t="s">
        <v>57</v>
      </c>
      <c r="S9953">
        <v>10</v>
      </c>
      <c r="T9953">
        <v>195</v>
      </c>
      <c r="U9953" s="1">
        <v>37497</v>
      </c>
      <c r="V9953" t="s">
        <v>89</v>
      </c>
      <c r="W9953" t="s">
        <v>90</v>
      </c>
      <c r="X9953" t="s">
        <v>58</v>
      </c>
      <c r="Y9953">
        <v>22</v>
      </c>
      <c r="Z9953" t="s">
        <v>59</v>
      </c>
      <c r="AA9953" t="s">
        <v>59</v>
      </c>
      <c r="AB9953" t="s">
        <v>59</v>
      </c>
      <c r="AC9953" t="s">
        <v>59</v>
      </c>
      <c r="AD9953" t="s">
        <v>59</v>
      </c>
      <c r="AF9953" s="1">
        <v>37497</v>
      </c>
      <c r="AG9953" t="s">
        <v>8645</v>
      </c>
      <c r="AH9953" t="s">
        <v>8646</v>
      </c>
      <c r="AI9953" t="str">
        <f>"9500078"</f>
        <v>9500078</v>
      </c>
      <c r="AJ9953" t="s">
        <v>13988</v>
      </c>
      <c r="AK9953">
        <v>2821028788</v>
      </c>
      <c r="AL9953" t="s">
        <v>13989</v>
      </c>
      <c r="AM9953" t="s">
        <v>88</v>
      </c>
      <c r="AN9953" t="s">
        <v>88</v>
      </c>
      <c r="AO9953" t="s">
        <v>88</v>
      </c>
      <c r="AP9953" t="s">
        <v>88</v>
      </c>
      <c r="AQ9953">
        <v>1</v>
      </c>
      <c r="AR9953" t="s">
        <v>89</v>
      </c>
      <c r="AS9953" t="s">
        <v>90</v>
      </c>
      <c r="AT9953" t="s">
        <v>58</v>
      </c>
      <c r="AU9953" t="s">
        <v>68</v>
      </c>
      <c r="AV9953" t="s">
        <v>69</v>
      </c>
      <c r="AW9953" s="1">
        <v>24526</v>
      </c>
      <c r="AX9953">
        <v>1</v>
      </c>
    </row>
    <row r="9954" spans="1:50">
      <c r="A9954">
        <v>225021</v>
      </c>
      <c r="B9954" t="str">
        <f>"059079144"</f>
        <v>059079144</v>
      </c>
      <c r="C9954" t="s">
        <v>105</v>
      </c>
      <c r="D9954" t="s">
        <v>14901</v>
      </c>
      <c r="E9954" t="s">
        <v>95</v>
      </c>
      <c r="F9954" t="s">
        <v>53</v>
      </c>
      <c r="G9954" t="s">
        <v>83</v>
      </c>
      <c r="H9954" t="str">
        <f>"ΚΟΝΔΥΛΑΚΗ 4 ΑΓΙΟΣ ΟΝΟΥΦΡΙΟΣ-ΧΑΝΙΑ"</f>
        <v>ΚΟΝΔΥΛΑΚΗ 4 ΑΓΙΟΣ ΟΝΟΥΦΡΙΟΣ-ΧΑΝΙΑ</v>
      </c>
      <c r="I9954">
        <v>73100</v>
      </c>
      <c r="K9954">
        <v>6981075489</v>
      </c>
      <c r="M9954" t="s">
        <v>14902</v>
      </c>
      <c r="N9954" t="s">
        <v>176</v>
      </c>
      <c r="O9954" t="s">
        <v>177</v>
      </c>
      <c r="R9954" t="s">
        <v>57</v>
      </c>
      <c r="S9954">
        <v>6</v>
      </c>
      <c r="T9954">
        <v>775</v>
      </c>
      <c r="U9954" s="1">
        <v>39680</v>
      </c>
      <c r="V9954" t="s">
        <v>89</v>
      </c>
      <c r="W9954" t="s">
        <v>90</v>
      </c>
      <c r="X9954" t="s">
        <v>58</v>
      </c>
      <c r="Y9954">
        <v>23</v>
      </c>
      <c r="Z9954" t="s">
        <v>59</v>
      </c>
      <c r="AA9954" t="s">
        <v>59</v>
      </c>
      <c r="AB9954" t="s">
        <v>59</v>
      </c>
      <c r="AC9954" t="s">
        <v>59</v>
      </c>
      <c r="AD9954" t="s">
        <v>59</v>
      </c>
      <c r="AF9954" s="1">
        <v>39681</v>
      </c>
      <c r="AG9954" t="s">
        <v>8645</v>
      </c>
      <c r="AH9954" t="s">
        <v>8646</v>
      </c>
      <c r="AI9954" t="str">
        <f>"9500114"</f>
        <v>9500114</v>
      </c>
      <c r="AJ9954" t="s">
        <v>14013</v>
      </c>
      <c r="AK9954">
        <v>2821063458</v>
      </c>
      <c r="AL9954" t="s">
        <v>14014</v>
      </c>
      <c r="AM9954" t="s">
        <v>88</v>
      </c>
      <c r="AN9954" t="s">
        <v>88</v>
      </c>
      <c r="AO9954" t="s">
        <v>6770</v>
      </c>
      <c r="AP9954" t="s">
        <v>14015</v>
      </c>
      <c r="AQ9954">
        <v>2</v>
      </c>
      <c r="AR9954" t="s">
        <v>89</v>
      </c>
      <c r="AS9954" t="s">
        <v>90</v>
      </c>
      <c r="AT9954" t="s">
        <v>58</v>
      </c>
      <c r="AU9954" t="s">
        <v>68</v>
      </c>
      <c r="AV9954" t="s">
        <v>132</v>
      </c>
      <c r="AW9954" s="1">
        <v>24591</v>
      </c>
      <c r="AX9954">
        <v>1</v>
      </c>
    </row>
    <row r="9955" spans="1:50">
      <c r="A9955">
        <v>612892</v>
      </c>
      <c r="B9955" t="str">
        <f>"100060097"</f>
        <v>100060097</v>
      </c>
      <c r="C9955" t="s">
        <v>50</v>
      </c>
      <c r="D9955" t="s">
        <v>7714</v>
      </c>
      <c r="E9955" t="s">
        <v>9637</v>
      </c>
      <c r="F9955" t="s">
        <v>53</v>
      </c>
      <c r="G9955" t="s">
        <v>263</v>
      </c>
      <c r="H9955" t="str">
        <f>"ΑΓ. ΦΑΝΟΥΡΙΟΥ 16 ΜΟΥΡΝΙΕΣ"</f>
        <v>ΑΓ. ΦΑΝΟΥΡΙΟΥ 16 ΜΟΥΡΝΙΕΣ</v>
      </c>
      <c r="I9955">
        <v>73300</v>
      </c>
      <c r="K9955">
        <v>6973009021</v>
      </c>
      <c r="N9955" t="s">
        <v>5035</v>
      </c>
      <c r="O9955" t="s">
        <v>5036</v>
      </c>
      <c r="R9955" t="s">
        <v>57</v>
      </c>
      <c r="S9955">
        <v>4</v>
      </c>
      <c r="T9955">
        <v>351</v>
      </c>
      <c r="U9955" s="1">
        <v>39010</v>
      </c>
      <c r="V9955" t="s">
        <v>89</v>
      </c>
      <c r="W9955" t="s">
        <v>90</v>
      </c>
      <c r="X9955" t="s">
        <v>58</v>
      </c>
      <c r="Y9955">
        <v>25</v>
      </c>
      <c r="Z9955" t="s">
        <v>59</v>
      </c>
      <c r="AA9955" t="s">
        <v>59</v>
      </c>
      <c r="AB9955" t="s">
        <v>59</v>
      </c>
      <c r="AC9955" t="s">
        <v>59</v>
      </c>
      <c r="AD9955" t="s">
        <v>59</v>
      </c>
      <c r="AF9955" s="1">
        <v>39010</v>
      </c>
      <c r="AG9955" t="s">
        <v>8651</v>
      </c>
      <c r="AH9955" t="s">
        <v>9015</v>
      </c>
      <c r="AI9955" t="str">
        <f>"9500373"</f>
        <v>9500373</v>
      </c>
      <c r="AJ9955" t="s">
        <v>14047</v>
      </c>
      <c r="AK9955">
        <v>2821074322</v>
      </c>
      <c r="AL9955" t="s">
        <v>14048</v>
      </c>
      <c r="AM9955" t="s">
        <v>88</v>
      </c>
      <c r="AN9955" t="s">
        <v>88</v>
      </c>
      <c r="AO9955" t="s">
        <v>6770</v>
      </c>
      <c r="AP9955" t="s">
        <v>14015</v>
      </c>
      <c r="AQ9955">
        <v>2</v>
      </c>
      <c r="AR9955" t="s">
        <v>89</v>
      </c>
      <c r="AS9955" t="s">
        <v>90</v>
      </c>
      <c r="AT9955" t="s">
        <v>58</v>
      </c>
      <c r="AU9955" t="s">
        <v>68</v>
      </c>
      <c r="AV9955" t="s">
        <v>69</v>
      </c>
      <c r="AW9955" s="1">
        <v>28665</v>
      </c>
      <c r="AX9955">
        <v>1</v>
      </c>
    </row>
    <row r="9956" spans="1:50">
      <c r="B9956" t="str">
        <f>"134734117"</f>
        <v>134734117</v>
      </c>
      <c r="C9956" t="s">
        <v>50</v>
      </c>
      <c r="D9956" t="s">
        <v>14903</v>
      </c>
      <c r="E9956" t="s">
        <v>14904</v>
      </c>
      <c r="F9956" t="s">
        <v>383</v>
      </c>
      <c r="G9956" t="s">
        <v>54</v>
      </c>
      <c r="H9956" t="str">
        <f>"ΚΑΝΑΤΑΔΙΚΑ ΙΣΤΙΑΙΑΣ "</f>
        <v xml:space="preserve">ΚΑΝΑΤΑΔΙΚΑ ΙΣΤΙΑΙΑΣ </v>
      </c>
      <c r="I9956">
        <v>34200</v>
      </c>
      <c r="J9956">
        <v>2226055461</v>
      </c>
      <c r="K9956">
        <v>6982930582</v>
      </c>
      <c r="N9956" t="s">
        <v>615</v>
      </c>
      <c r="O9956" t="s">
        <v>616</v>
      </c>
      <c r="R9956" t="s">
        <v>159</v>
      </c>
      <c r="S9956">
        <v>3</v>
      </c>
      <c r="T9956" t="s">
        <v>8675</v>
      </c>
      <c r="U9956" s="1">
        <v>43348</v>
      </c>
      <c r="V9956" t="s">
        <v>89</v>
      </c>
      <c r="W9956" t="s">
        <v>90</v>
      </c>
      <c r="X9956" t="s">
        <v>58</v>
      </c>
      <c r="Y9956">
        <v>24</v>
      </c>
      <c r="Z9956" t="s">
        <v>59</v>
      </c>
      <c r="AA9956" t="s">
        <v>59</v>
      </c>
      <c r="AB9956" t="s">
        <v>59</v>
      </c>
      <c r="AC9956" t="s">
        <v>59</v>
      </c>
      <c r="AD9956" t="s">
        <v>59</v>
      </c>
      <c r="AF9956" s="1">
        <v>43348</v>
      </c>
      <c r="AG9956" t="s">
        <v>8645</v>
      </c>
      <c r="AH9956" t="s">
        <v>8646</v>
      </c>
      <c r="AI9956" t="str">
        <f>"9500004"</f>
        <v>9500004</v>
      </c>
      <c r="AJ9956" t="s">
        <v>13897</v>
      </c>
      <c r="AK9956">
        <v>2825022272</v>
      </c>
      <c r="AL9956" t="s">
        <v>13898</v>
      </c>
      <c r="AM9956" t="s">
        <v>88</v>
      </c>
      <c r="AN9956" t="s">
        <v>6775</v>
      </c>
      <c r="AO9956" t="s">
        <v>6776</v>
      </c>
      <c r="AP9956" t="s">
        <v>6776</v>
      </c>
      <c r="AQ9956">
        <v>7</v>
      </c>
      <c r="AR9956" t="s">
        <v>89</v>
      </c>
      <c r="AS9956" t="s">
        <v>90</v>
      </c>
      <c r="AT9956" t="s">
        <v>58</v>
      </c>
      <c r="AU9956" t="s">
        <v>8673</v>
      </c>
      <c r="AV9956" t="s">
        <v>132</v>
      </c>
      <c r="AW9956" s="1">
        <v>32050</v>
      </c>
      <c r="AX9956">
        <v>1</v>
      </c>
    </row>
    <row r="9957" spans="1:50">
      <c r="A9957">
        <v>581728</v>
      </c>
      <c r="B9957" t="str">
        <f>"038778009"</f>
        <v>038778009</v>
      </c>
      <c r="C9957" t="s">
        <v>50</v>
      </c>
      <c r="D9957" t="s">
        <v>2530</v>
      </c>
      <c r="E9957" t="s">
        <v>6196</v>
      </c>
      <c r="F9957" t="s">
        <v>99</v>
      </c>
      <c r="G9957" t="s">
        <v>367</v>
      </c>
      <c r="H9957" t="str">
        <f>"ΤΑΥΡΩΝΙΤΗΣ ΧΑΝΙΩΝ ΧΑΝΙΑ"</f>
        <v>ΤΑΥΡΩΝΙΤΗΣ ΧΑΝΙΩΝ ΧΑΝΙΑ</v>
      </c>
      <c r="I9957">
        <v>73006</v>
      </c>
      <c r="J9957">
        <v>2824022858</v>
      </c>
      <c r="K9957">
        <v>6942570490</v>
      </c>
      <c r="N9957" t="s">
        <v>615</v>
      </c>
      <c r="O9957" t="s">
        <v>616</v>
      </c>
      <c r="R9957" t="s">
        <v>57</v>
      </c>
      <c r="S9957">
        <v>12</v>
      </c>
      <c r="T9957">
        <v>179</v>
      </c>
      <c r="U9957" s="1">
        <v>35674</v>
      </c>
      <c r="V9957" t="s">
        <v>89</v>
      </c>
      <c r="W9957" t="s">
        <v>90</v>
      </c>
      <c r="X9957" t="s">
        <v>58</v>
      </c>
      <c r="Y9957">
        <v>21</v>
      </c>
      <c r="Z9957" t="s">
        <v>59</v>
      </c>
      <c r="AA9957" t="s">
        <v>59</v>
      </c>
      <c r="AB9957" t="s">
        <v>59</v>
      </c>
      <c r="AC9957" t="s">
        <v>59</v>
      </c>
      <c r="AD9957" t="s">
        <v>59</v>
      </c>
      <c r="AF9957" s="1">
        <v>35676</v>
      </c>
      <c r="AG9957" t="s">
        <v>8645</v>
      </c>
      <c r="AH9957" t="s">
        <v>8646</v>
      </c>
      <c r="AI9957" t="str">
        <f>"9500236"</f>
        <v>9500236</v>
      </c>
      <c r="AJ9957" t="s">
        <v>14106</v>
      </c>
      <c r="AK9957">
        <v>2824022347</v>
      </c>
      <c r="AL9957" t="s">
        <v>14107</v>
      </c>
      <c r="AM9957" t="s">
        <v>88</v>
      </c>
      <c r="AN9957" t="s">
        <v>6764</v>
      </c>
      <c r="AO9957" t="s">
        <v>6765</v>
      </c>
      <c r="AP9957" t="s">
        <v>13952</v>
      </c>
      <c r="AQ9957">
        <v>6</v>
      </c>
      <c r="AR9957" t="s">
        <v>89</v>
      </c>
      <c r="AS9957" t="s">
        <v>90</v>
      </c>
      <c r="AT9957" t="s">
        <v>58</v>
      </c>
      <c r="AU9957" t="s">
        <v>68</v>
      </c>
      <c r="AV9957" t="s">
        <v>69</v>
      </c>
      <c r="AW9957" s="1">
        <v>23693</v>
      </c>
      <c r="AX9957">
        <v>1</v>
      </c>
    </row>
    <row r="9958" spans="1:50">
      <c r="A9958">
        <v>584718</v>
      </c>
      <c r="B9958" t="str">
        <f>"130415557"</f>
        <v>130415557</v>
      </c>
      <c r="C9958" t="s">
        <v>50</v>
      </c>
      <c r="D9958" t="s">
        <v>6204</v>
      </c>
      <c r="E9958" t="s">
        <v>237</v>
      </c>
      <c r="F9958" t="s">
        <v>166</v>
      </c>
      <c r="G9958" t="s">
        <v>610</v>
      </c>
      <c r="H9958" t="str">
        <f>"ΜΑΚΕΔΟΝΙΑΣ 60 ΧΑΝΙΑ"</f>
        <v>ΜΑΚΕΔΟΝΙΑΣ 60 ΧΑΝΙΑ</v>
      </c>
      <c r="I9958">
        <v>73200</v>
      </c>
      <c r="J9958">
        <v>2821075894</v>
      </c>
      <c r="K9958">
        <v>6948753953</v>
      </c>
      <c r="N9958" t="s">
        <v>615</v>
      </c>
      <c r="O9958" t="s">
        <v>616</v>
      </c>
      <c r="R9958" t="s">
        <v>57</v>
      </c>
      <c r="S9958">
        <v>12</v>
      </c>
      <c r="T9958">
        <v>165</v>
      </c>
      <c r="U9958" s="1">
        <v>36042</v>
      </c>
      <c r="V9958" t="s">
        <v>89</v>
      </c>
      <c r="W9958" t="s">
        <v>90</v>
      </c>
      <c r="X9958" t="s">
        <v>58</v>
      </c>
      <c r="Y9958">
        <v>21</v>
      </c>
      <c r="Z9958" t="s">
        <v>59</v>
      </c>
      <c r="AA9958" t="s">
        <v>59</v>
      </c>
      <c r="AB9958" t="s">
        <v>59</v>
      </c>
      <c r="AC9958" t="s">
        <v>59</v>
      </c>
      <c r="AD9958" t="s">
        <v>59</v>
      </c>
      <c r="AF9958" s="1">
        <v>36042</v>
      </c>
      <c r="AG9958" t="s">
        <v>8645</v>
      </c>
      <c r="AH9958" t="s">
        <v>8646</v>
      </c>
      <c r="AI9958" t="str">
        <f>"9500071"</f>
        <v>9500071</v>
      </c>
      <c r="AJ9958" t="s">
        <v>14209</v>
      </c>
      <c r="AK9958">
        <v>2821093760</v>
      </c>
      <c r="AL9958" t="s">
        <v>14210</v>
      </c>
      <c r="AM9958" t="s">
        <v>88</v>
      </c>
      <c r="AN9958" t="s">
        <v>88</v>
      </c>
      <c r="AO9958" t="s">
        <v>88</v>
      </c>
      <c r="AP9958" t="s">
        <v>88</v>
      </c>
      <c r="AQ9958">
        <v>1</v>
      </c>
      <c r="AR9958" t="s">
        <v>89</v>
      </c>
      <c r="AS9958" t="s">
        <v>90</v>
      </c>
      <c r="AT9958" t="s">
        <v>58</v>
      </c>
      <c r="AU9958" t="s">
        <v>68</v>
      </c>
      <c r="AV9958" t="s">
        <v>69</v>
      </c>
      <c r="AW9958" s="1">
        <v>23454</v>
      </c>
      <c r="AX9958">
        <v>1</v>
      </c>
    </row>
    <row r="9959" spans="1:50">
      <c r="A9959">
        <v>559514</v>
      </c>
      <c r="B9959" t="str">
        <f>"032130808"</f>
        <v>032130808</v>
      </c>
      <c r="C9959" t="s">
        <v>50</v>
      </c>
      <c r="D9959" t="s">
        <v>6204</v>
      </c>
      <c r="E9959" t="s">
        <v>52</v>
      </c>
      <c r="F9959" t="s">
        <v>920</v>
      </c>
      <c r="G9959" t="s">
        <v>330</v>
      </c>
      <c r="H9959" t="str">
        <f>"ΕΜΜ. ΜΟΥΝΤΑΚΗ 34 ΧΑΝΙΑ"</f>
        <v>ΕΜΜ. ΜΟΥΝΤΑΚΗ 34 ΧΑΝΙΑ</v>
      </c>
      <c r="I9959">
        <v>73100</v>
      </c>
      <c r="J9959">
        <v>2821055786</v>
      </c>
      <c r="K9959">
        <v>6971564808</v>
      </c>
      <c r="M9959" t="s">
        <v>14905</v>
      </c>
      <c r="N9959" t="s">
        <v>615</v>
      </c>
      <c r="O9959" t="s">
        <v>616</v>
      </c>
      <c r="R9959" t="s">
        <v>57</v>
      </c>
      <c r="S9959">
        <v>16</v>
      </c>
      <c r="T9959">
        <v>168</v>
      </c>
      <c r="U9959" s="1">
        <v>32010</v>
      </c>
      <c r="V9959" t="s">
        <v>89</v>
      </c>
      <c r="W9959" t="s">
        <v>90</v>
      </c>
      <c r="X9959" t="s">
        <v>58</v>
      </c>
      <c r="Y9959">
        <v>21</v>
      </c>
      <c r="Z9959" t="s">
        <v>59</v>
      </c>
      <c r="AA9959" t="s">
        <v>59</v>
      </c>
      <c r="AB9959" t="s">
        <v>59</v>
      </c>
      <c r="AC9959" t="s">
        <v>59</v>
      </c>
      <c r="AD9959" t="s">
        <v>59</v>
      </c>
      <c r="AF9959" s="1">
        <v>32010</v>
      </c>
      <c r="AG9959" t="s">
        <v>8645</v>
      </c>
      <c r="AH9959" t="s">
        <v>8646</v>
      </c>
      <c r="AI9959" t="str">
        <f>"9500045"</f>
        <v>9500045</v>
      </c>
      <c r="AJ9959" t="s">
        <v>13887</v>
      </c>
      <c r="AK9959">
        <v>2821044369</v>
      </c>
      <c r="AL9959" t="s">
        <v>13888</v>
      </c>
      <c r="AM9959" t="s">
        <v>88</v>
      </c>
      <c r="AN9959" t="s">
        <v>88</v>
      </c>
      <c r="AO9959" t="s">
        <v>88</v>
      </c>
      <c r="AP9959" t="s">
        <v>88</v>
      </c>
      <c r="AQ9959">
        <v>1</v>
      </c>
      <c r="AR9959" t="s">
        <v>89</v>
      </c>
      <c r="AS9959" t="s">
        <v>90</v>
      </c>
      <c r="AT9959" t="s">
        <v>58</v>
      </c>
      <c r="AU9959" t="s">
        <v>68</v>
      </c>
      <c r="AV9959" t="s">
        <v>69</v>
      </c>
      <c r="AW9959" s="1">
        <v>23538</v>
      </c>
      <c r="AX9959">
        <v>1</v>
      </c>
    </row>
    <row r="9960" spans="1:50">
      <c r="A9960">
        <v>600602</v>
      </c>
      <c r="B9960" t="str">
        <f>"041886738"</f>
        <v>041886738</v>
      </c>
      <c r="C9960" t="s">
        <v>50</v>
      </c>
      <c r="D9960" t="s">
        <v>7724</v>
      </c>
      <c r="E9960" t="s">
        <v>83</v>
      </c>
      <c r="F9960" t="s">
        <v>377</v>
      </c>
      <c r="G9960" t="s">
        <v>1189</v>
      </c>
      <c r="H9960" t="str">
        <f>"ΓΕΩΡΓΙΛΑΔΩΝ 16 ΚΑΤΩ ΠΥΡΓΟΣ ΠΕΡΙΒΟΛΙΑ"</f>
        <v>ΓΕΩΡΓΙΛΑΔΩΝ 16 ΚΑΤΩ ΠΥΡΓΟΣ ΠΕΡΙΒΟΛΙΑ</v>
      </c>
      <c r="I9960">
        <v>73100</v>
      </c>
      <c r="J9960">
        <v>2821086028</v>
      </c>
      <c r="K9960">
        <v>6970017354</v>
      </c>
      <c r="N9960" t="s">
        <v>100</v>
      </c>
      <c r="O9960" t="s">
        <v>101</v>
      </c>
      <c r="R9960" t="s">
        <v>57</v>
      </c>
      <c r="S9960">
        <v>12</v>
      </c>
      <c r="T9960">
        <v>136</v>
      </c>
      <c r="U9960" s="1">
        <v>34550</v>
      </c>
      <c r="V9960" t="s">
        <v>89</v>
      </c>
      <c r="W9960" t="s">
        <v>90</v>
      </c>
      <c r="X9960" t="s">
        <v>58</v>
      </c>
      <c r="Y9960">
        <v>21</v>
      </c>
      <c r="Z9960" t="s">
        <v>59</v>
      </c>
      <c r="AA9960" t="s">
        <v>59</v>
      </c>
      <c r="AB9960" t="s">
        <v>59</v>
      </c>
      <c r="AC9960" t="s">
        <v>59</v>
      </c>
      <c r="AD9960" t="s">
        <v>59</v>
      </c>
      <c r="AF9960" s="1">
        <v>34550</v>
      </c>
      <c r="AG9960" t="s">
        <v>8645</v>
      </c>
      <c r="AH9960" t="s">
        <v>8697</v>
      </c>
      <c r="AI9960" t="str">
        <f>"9500361"</f>
        <v>9500361</v>
      </c>
      <c r="AJ9960" t="s">
        <v>14024</v>
      </c>
      <c r="AK9960">
        <v>2821070176</v>
      </c>
      <c r="AL9960" t="s">
        <v>14025</v>
      </c>
      <c r="AM9960" t="s">
        <v>88</v>
      </c>
      <c r="AN9960" t="s">
        <v>88</v>
      </c>
      <c r="AO9960" t="s">
        <v>88</v>
      </c>
      <c r="AP9960" t="s">
        <v>88</v>
      </c>
      <c r="AQ9960">
        <v>1</v>
      </c>
      <c r="AR9960" t="s">
        <v>89</v>
      </c>
      <c r="AS9960" t="s">
        <v>90</v>
      </c>
      <c r="AT9960" t="s">
        <v>58</v>
      </c>
      <c r="AU9960" t="s">
        <v>68</v>
      </c>
      <c r="AV9960" t="s">
        <v>69</v>
      </c>
      <c r="AW9960" s="1">
        <v>21256</v>
      </c>
      <c r="AX9960">
        <v>1</v>
      </c>
    </row>
    <row r="9961" spans="1:50">
      <c r="B9961" t="str">
        <f>"077111408"</f>
        <v>077111408</v>
      </c>
      <c r="C9961" t="s">
        <v>50</v>
      </c>
      <c r="D9961" t="s">
        <v>7724</v>
      </c>
      <c r="E9961" t="s">
        <v>96</v>
      </c>
      <c r="F9961" t="s">
        <v>166</v>
      </c>
      <c r="G9961" t="s">
        <v>964</v>
      </c>
      <c r="H9961" t="str">
        <f>" "</f>
        <v xml:space="preserve"> </v>
      </c>
      <c r="N9961" t="s">
        <v>615</v>
      </c>
      <c r="O9961" t="s">
        <v>616</v>
      </c>
      <c r="R9961" t="s">
        <v>121</v>
      </c>
      <c r="S9961">
        <v>1</v>
      </c>
      <c r="T9961" t="s">
        <v>8675</v>
      </c>
      <c r="U9961" s="1">
        <v>43348</v>
      </c>
      <c r="V9961" t="s">
        <v>89</v>
      </c>
      <c r="W9961" t="s">
        <v>90</v>
      </c>
      <c r="X9961" t="s">
        <v>58</v>
      </c>
      <c r="Y9961">
        <v>24</v>
      </c>
      <c r="Z9961" t="s">
        <v>59</v>
      </c>
      <c r="AA9961" t="s">
        <v>59</v>
      </c>
      <c r="AB9961" t="s">
        <v>59</v>
      </c>
      <c r="AC9961" t="s">
        <v>59</v>
      </c>
      <c r="AD9961" t="s">
        <v>59</v>
      </c>
      <c r="AF9961" s="1">
        <v>43348</v>
      </c>
      <c r="AG9961" t="s">
        <v>8645</v>
      </c>
      <c r="AH9961" t="s">
        <v>8646</v>
      </c>
      <c r="AI9961" t="str">
        <f>"9500408"</f>
        <v>9500408</v>
      </c>
      <c r="AJ9961" t="s">
        <v>13981</v>
      </c>
      <c r="AK9961">
        <v>2821081655</v>
      </c>
      <c r="AL9961" t="s">
        <v>13982</v>
      </c>
      <c r="AM9961" t="s">
        <v>88</v>
      </c>
      <c r="AN9961" t="s">
        <v>88</v>
      </c>
      <c r="AO9961" t="s">
        <v>6748</v>
      </c>
      <c r="AP9961" t="s">
        <v>6748</v>
      </c>
      <c r="AQ9961">
        <v>2</v>
      </c>
      <c r="AR9961" t="s">
        <v>89</v>
      </c>
      <c r="AS9961" t="s">
        <v>90</v>
      </c>
      <c r="AT9961" t="s">
        <v>58</v>
      </c>
      <c r="AU9961" t="s">
        <v>8673</v>
      </c>
      <c r="AV9961" t="s">
        <v>132</v>
      </c>
      <c r="AW9961" s="1">
        <v>28313</v>
      </c>
      <c r="AX9961">
        <v>1</v>
      </c>
    </row>
    <row r="9962" spans="1:50">
      <c r="B9962" t="str">
        <f>"157858290"</f>
        <v>157858290</v>
      </c>
      <c r="C9962" t="s">
        <v>50</v>
      </c>
      <c r="D9962" t="s">
        <v>2536</v>
      </c>
      <c r="E9962" t="s">
        <v>2136</v>
      </c>
      <c r="F9962" t="s">
        <v>315</v>
      </c>
      <c r="G9962" t="s">
        <v>476</v>
      </c>
      <c r="H9962" t="str">
        <f>"ΑΓΙΟΙ ΣΑΡΑΝΤΑ-ΝΕΡΟΚΟΥΡΟΥ ΧΑΝΙΑ"</f>
        <v>ΑΓΙΟΙ ΣΑΡΑΝΤΑ-ΝΕΡΟΚΟΥΡΟΥ ΧΑΝΙΑ</v>
      </c>
      <c r="I9962">
        <v>73100</v>
      </c>
      <c r="J9962">
        <v>2821091372</v>
      </c>
      <c r="K9962">
        <v>6948586268</v>
      </c>
      <c r="N9962" t="s">
        <v>615</v>
      </c>
      <c r="O9962" t="s">
        <v>616</v>
      </c>
      <c r="R9962" t="s">
        <v>159</v>
      </c>
      <c r="S9962">
        <v>2</v>
      </c>
      <c r="T9962" t="s">
        <v>8675</v>
      </c>
      <c r="U9962" s="1">
        <v>43348</v>
      </c>
      <c r="V9962" t="s">
        <v>89</v>
      </c>
      <c r="W9962" t="s">
        <v>90</v>
      </c>
      <c r="X9962" t="s">
        <v>58</v>
      </c>
      <c r="Y9962">
        <v>25</v>
      </c>
      <c r="Z9962" t="s">
        <v>59</v>
      </c>
      <c r="AA9962" t="s">
        <v>59</v>
      </c>
      <c r="AB9962" t="s">
        <v>59</v>
      </c>
      <c r="AC9962" t="s">
        <v>59</v>
      </c>
      <c r="AD9962" t="s">
        <v>59</v>
      </c>
      <c r="AF9962" s="1">
        <v>43348</v>
      </c>
      <c r="AG9962" t="s">
        <v>8645</v>
      </c>
      <c r="AH9962" t="s">
        <v>8676</v>
      </c>
      <c r="AI9962" t="str">
        <f>"9500003"</f>
        <v>9500003</v>
      </c>
      <c r="AJ9962" t="s">
        <v>14906</v>
      </c>
      <c r="AK9962">
        <v>2831082298</v>
      </c>
      <c r="AL9962" t="s">
        <v>14907</v>
      </c>
      <c r="AM9962" t="s">
        <v>88</v>
      </c>
      <c r="AN9962" t="s">
        <v>6775</v>
      </c>
      <c r="AO9962" t="s">
        <v>14371</v>
      </c>
      <c r="AP9962" t="s">
        <v>14371</v>
      </c>
      <c r="AQ9962">
        <v>8</v>
      </c>
      <c r="AR9962" t="s">
        <v>89</v>
      </c>
      <c r="AS9962" t="s">
        <v>90</v>
      </c>
      <c r="AT9962" t="s">
        <v>58</v>
      </c>
      <c r="AU9962" t="s">
        <v>8673</v>
      </c>
      <c r="AV9962" t="s">
        <v>132</v>
      </c>
      <c r="AW9962" s="1">
        <v>32371</v>
      </c>
      <c r="AX9962">
        <v>1</v>
      </c>
    </row>
    <row r="9963" spans="1:50">
      <c r="A9963">
        <v>599016</v>
      </c>
      <c r="B9963" t="str">
        <f>"120239574"</f>
        <v>120239574</v>
      </c>
      <c r="C9963" t="s">
        <v>50</v>
      </c>
      <c r="D9963" t="s">
        <v>14908</v>
      </c>
      <c r="E9963" t="s">
        <v>54</v>
      </c>
      <c r="F9963" t="s">
        <v>154</v>
      </c>
      <c r="G9963" t="s">
        <v>755</v>
      </c>
      <c r="H9963" t="str">
        <f>"ΔΗΜΟΚΡΑΤΙΑΣ 99 ΧΑΝΙΑ"</f>
        <v>ΔΗΜΟΚΡΑΤΙΑΣ 99 ΧΑΝΙΑ</v>
      </c>
      <c r="I9963">
        <v>73100</v>
      </c>
      <c r="J9963">
        <v>2821302825</v>
      </c>
      <c r="K9963">
        <v>6937811531</v>
      </c>
      <c r="M9963" t="s">
        <v>14909</v>
      </c>
      <c r="N9963" t="s">
        <v>615</v>
      </c>
      <c r="O9963" t="s">
        <v>616</v>
      </c>
      <c r="R9963" t="s">
        <v>57</v>
      </c>
      <c r="S9963">
        <v>9</v>
      </c>
      <c r="T9963">
        <v>195</v>
      </c>
      <c r="U9963" s="1">
        <v>37497</v>
      </c>
      <c r="V9963" t="s">
        <v>89</v>
      </c>
      <c r="W9963" t="s">
        <v>90</v>
      </c>
      <c r="X9963" t="s">
        <v>58</v>
      </c>
      <c r="Y9963">
        <v>22</v>
      </c>
      <c r="Z9963" t="s">
        <v>59</v>
      </c>
      <c r="AA9963" t="s">
        <v>59</v>
      </c>
      <c r="AB9963" t="s">
        <v>59</v>
      </c>
      <c r="AC9963" t="s">
        <v>59</v>
      </c>
      <c r="AD9963" t="s">
        <v>59</v>
      </c>
      <c r="AF9963" s="1">
        <v>37501</v>
      </c>
      <c r="AG9963" t="s">
        <v>8645</v>
      </c>
      <c r="AH9963" t="s">
        <v>8646</v>
      </c>
      <c r="AI9963" t="str">
        <f>"9500045"</f>
        <v>9500045</v>
      </c>
      <c r="AJ9963" t="s">
        <v>13887</v>
      </c>
      <c r="AK9963">
        <v>2821044369</v>
      </c>
      <c r="AL9963" t="s">
        <v>13888</v>
      </c>
      <c r="AM9963" t="s">
        <v>88</v>
      </c>
      <c r="AN9963" t="s">
        <v>88</v>
      </c>
      <c r="AO9963" t="s">
        <v>88</v>
      </c>
      <c r="AP9963" t="s">
        <v>88</v>
      </c>
      <c r="AQ9963">
        <v>1</v>
      </c>
      <c r="AR9963" t="s">
        <v>89</v>
      </c>
      <c r="AS9963" t="s">
        <v>90</v>
      </c>
      <c r="AT9963" t="s">
        <v>58</v>
      </c>
      <c r="AU9963" t="s">
        <v>68</v>
      </c>
      <c r="AV9963" t="s">
        <v>69</v>
      </c>
      <c r="AW9963" s="1">
        <v>23701</v>
      </c>
      <c r="AX9963">
        <v>1</v>
      </c>
    </row>
    <row r="9964" spans="1:50">
      <c r="A9964">
        <v>614958</v>
      </c>
      <c r="B9964" t="str">
        <f>"122974030"</f>
        <v>122974030</v>
      </c>
      <c r="C9964" t="s">
        <v>50</v>
      </c>
      <c r="D9964" t="s">
        <v>10559</v>
      </c>
      <c r="E9964" t="s">
        <v>1078</v>
      </c>
      <c r="F9964" t="s">
        <v>106</v>
      </c>
      <c r="G9964" t="s">
        <v>250</v>
      </c>
      <c r="H9964" t="str">
        <f>"ΤΑΥΡΩΝΙΤΗΣ ΧΑΝΙΩΝ"</f>
        <v>ΤΑΥΡΩΝΙΤΗΣ ΧΑΝΙΩΝ</v>
      </c>
      <c r="I9964">
        <v>73006</v>
      </c>
      <c r="J9964">
        <v>2824022152</v>
      </c>
      <c r="K9964">
        <v>6947414830</v>
      </c>
      <c r="N9964" t="s">
        <v>615</v>
      </c>
      <c r="O9964" t="s">
        <v>616</v>
      </c>
      <c r="R9964" t="s">
        <v>57</v>
      </c>
      <c r="S9964">
        <v>5</v>
      </c>
      <c r="T9964">
        <v>598</v>
      </c>
      <c r="U9964" s="1">
        <v>39310</v>
      </c>
      <c r="V9964" t="s">
        <v>89</v>
      </c>
      <c r="W9964" t="s">
        <v>90</v>
      </c>
      <c r="X9964" t="s">
        <v>58</v>
      </c>
      <c r="Y9964">
        <v>23</v>
      </c>
      <c r="Z9964" t="s">
        <v>59</v>
      </c>
      <c r="AA9964" t="s">
        <v>59</v>
      </c>
      <c r="AB9964" t="s">
        <v>59</v>
      </c>
      <c r="AC9964" t="s">
        <v>59</v>
      </c>
      <c r="AD9964" t="s">
        <v>59</v>
      </c>
      <c r="AF9964" s="1">
        <v>39328</v>
      </c>
      <c r="AG9964" t="s">
        <v>8645</v>
      </c>
      <c r="AH9964" t="s">
        <v>8646</v>
      </c>
      <c r="AI9964" t="str">
        <f>"9500218"</f>
        <v>9500218</v>
      </c>
      <c r="AJ9964" t="s">
        <v>13992</v>
      </c>
      <c r="AK9964">
        <v>2824022216</v>
      </c>
      <c r="AL9964" t="s">
        <v>13993</v>
      </c>
      <c r="AM9964" t="s">
        <v>88</v>
      </c>
      <c r="AN9964" t="s">
        <v>6764</v>
      </c>
      <c r="AO9964" t="s">
        <v>6799</v>
      </c>
      <c r="AP9964" t="s">
        <v>6799</v>
      </c>
      <c r="AQ9964">
        <v>6</v>
      </c>
      <c r="AR9964" t="s">
        <v>89</v>
      </c>
      <c r="AS9964" t="s">
        <v>90</v>
      </c>
      <c r="AT9964" t="s">
        <v>58</v>
      </c>
      <c r="AU9964" t="s">
        <v>68</v>
      </c>
      <c r="AV9964" t="s">
        <v>69</v>
      </c>
      <c r="AW9964" s="1">
        <v>30985</v>
      </c>
      <c r="AX9964">
        <v>1</v>
      </c>
    </row>
    <row r="9965" spans="1:50">
      <c r="A9965">
        <v>574644</v>
      </c>
      <c r="B9965" t="str">
        <f>"045653694"</f>
        <v>045653694</v>
      </c>
      <c r="C9965" t="s">
        <v>50</v>
      </c>
      <c r="D9965" t="s">
        <v>7742</v>
      </c>
      <c r="E9965" t="s">
        <v>103</v>
      </c>
      <c r="F9965" t="s">
        <v>106</v>
      </c>
      <c r="G9965" t="s">
        <v>83</v>
      </c>
      <c r="H9965" t="str">
        <f>"ΜΕΛΕΤΙΟΥ ΜΕΤΑΞΑΚΗ 39 ΧΑΝΙΑ"</f>
        <v>ΜΕΛΕΤΙΟΥ ΜΕΤΑΞΑΚΗ 39 ΧΑΝΙΑ</v>
      </c>
      <c r="I9965">
        <v>73131</v>
      </c>
      <c r="J9965">
        <v>2821087326</v>
      </c>
      <c r="K9965">
        <v>6974192994</v>
      </c>
      <c r="M9965" t="s">
        <v>14910</v>
      </c>
      <c r="N9965" t="s">
        <v>306</v>
      </c>
      <c r="O9965" t="s">
        <v>307</v>
      </c>
      <c r="R9965" t="s">
        <v>57</v>
      </c>
      <c r="S9965">
        <v>14</v>
      </c>
      <c r="T9965">
        <v>158</v>
      </c>
      <c r="U9965" s="1">
        <v>34582</v>
      </c>
      <c r="V9965" t="s">
        <v>89</v>
      </c>
      <c r="W9965" t="s">
        <v>90</v>
      </c>
      <c r="X9965" t="s">
        <v>58</v>
      </c>
      <c r="Y9965">
        <v>21</v>
      </c>
      <c r="Z9965" t="s">
        <v>59</v>
      </c>
      <c r="AA9965" t="s">
        <v>59</v>
      </c>
      <c r="AB9965" t="s">
        <v>59</v>
      </c>
      <c r="AC9965" t="s">
        <v>59</v>
      </c>
      <c r="AD9965" t="s">
        <v>59</v>
      </c>
      <c r="AF9965" s="1">
        <v>34582</v>
      </c>
      <c r="AG9965" t="s">
        <v>8645</v>
      </c>
      <c r="AH9965" t="s">
        <v>8646</v>
      </c>
      <c r="AI9965" t="str">
        <f>"9500137"</f>
        <v>9500137</v>
      </c>
      <c r="AJ9965" t="s">
        <v>14401</v>
      </c>
      <c r="AK9965">
        <v>2821093156</v>
      </c>
      <c r="AL9965" t="s">
        <v>14402</v>
      </c>
      <c r="AM9965" t="s">
        <v>88</v>
      </c>
      <c r="AN9965" t="s">
        <v>88</v>
      </c>
      <c r="AO9965" t="s">
        <v>88</v>
      </c>
      <c r="AP9965" t="s">
        <v>88</v>
      </c>
      <c r="AQ9965">
        <v>1</v>
      </c>
      <c r="AR9965" t="s">
        <v>89</v>
      </c>
      <c r="AS9965" t="s">
        <v>90</v>
      </c>
      <c r="AT9965" t="s">
        <v>58</v>
      </c>
      <c r="AU9965" t="s">
        <v>68</v>
      </c>
      <c r="AV9965" t="s">
        <v>69</v>
      </c>
      <c r="AW9965" s="1">
        <v>25276</v>
      </c>
      <c r="AX9965">
        <v>1</v>
      </c>
    </row>
    <row r="9966" spans="1:50">
      <c r="A9966">
        <v>601139</v>
      </c>
      <c r="B9966" t="str">
        <f>"079815192"</f>
        <v>079815192</v>
      </c>
      <c r="C9966" t="s">
        <v>50</v>
      </c>
      <c r="D9966" t="s">
        <v>14911</v>
      </c>
      <c r="E9966" t="s">
        <v>250</v>
      </c>
      <c r="F9966" t="s">
        <v>72</v>
      </c>
      <c r="G9966" t="s">
        <v>382</v>
      </c>
      <c r="H9966" t="str">
        <f>"ΠΑΛΛΑΔΟΣ  4 ΧΑΝΙΑ"</f>
        <v>ΠΑΛΛΑΔΟΣ  4 ΧΑΝΙΑ</v>
      </c>
      <c r="I9966">
        <v>73100</v>
      </c>
      <c r="J9966">
        <v>2821033857</v>
      </c>
      <c r="K9966">
        <v>6974950637</v>
      </c>
      <c r="N9966" t="s">
        <v>615</v>
      </c>
      <c r="O9966" t="s">
        <v>616</v>
      </c>
      <c r="R9966" t="s">
        <v>57</v>
      </c>
      <c r="S9966">
        <v>8</v>
      </c>
      <c r="T9966">
        <v>207</v>
      </c>
      <c r="U9966" s="1">
        <v>37866</v>
      </c>
      <c r="V9966" t="s">
        <v>89</v>
      </c>
      <c r="W9966" t="s">
        <v>90</v>
      </c>
      <c r="X9966" t="s">
        <v>58</v>
      </c>
      <c r="Y9966">
        <v>22</v>
      </c>
      <c r="Z9966" t="s">
        <v>59</v>
      </c>
      <c r="AA9966" t="s">
        <v>59</v>
      </c>
      <c r="AB9966" t="s">
        <v>59</v>
      </c>
      <c r="AC9966" t="s">
        <v>59</v>
      </c>
      <c r="AD9966" t="s">
        <v>59</v>
      </c>
      <c r="AF9966" s="1">
        <v>37866</v>
      </c>
      <c r="AG9966" t="s">
        <v>8645</v>
      </c>
      <c r="AH9966" t="s">
        <v>8646</v>
      </c>
      <c r="AI9966" t="str">
        <f>"9500144"</f>
        <v>9500144</v>
      </c>
      <c r="AJ9966" t="s">
        <v>14010</v>
      </c>
      <c r="AK9966">
        <v>2821094171</v>
      </c>
      <c r="AL9966" t="s">
        <v>14011</v>
      </c>
      <c r="AM9966" t="s">
        <v>88</v>
      </c>
      <c r="AN9966" t="s">
        <v>88</v>
      </c>
      <c r="AO9966" t="s">
        <v>88</v>
      </c>
      <c r="AP9966" t="s">
        <v>88</v>
      </c>
      <c r="AQ9966">
        <v>1</v>
      </c>
      <c r="AR9966" t="s">
        <v>89</v>
      </c>
      <c r="AS9966" t="s">
        <v>90</v>
      </c>
      <c r="AT9966" t="s">
        <v>58</v>
      </c>
      <c r="AU9966" t="s">
        <v>68</v>
      </c>
      <c r="AV9966" t="s">
        <v>69</v>
      </c>
      <c r="AW9966" s="1">
        <v>26652</v>
      </c>
      <c r="AX9966">
        <v>1</v>
      </c>
    </row>
    <row r="9967" spans="1:50">
      <c r="A9967">
        <v>585239</v>
      </c>
      <c r="B9967" t="str">
        <f>"038117510"</f>
        <v>038117510</v>
      </c>
      <c r="C9967" t="s">
        <v>50</v>
      </c>
      <c r="D9967" t="s">
        <v>2560</v>
      </c>
      <c r="E9967" t="s">
        <v>73</v>
      </c>
      <c r="F9967" t="s">
        <v>106</v>
      </c>
      <c r="G9967" t="s">
        <v>411</v>
      </c>
      <c r="H9967" t="str">
        <f>"ΕΠΙΣΚ.ΑΝΘΙΜΟΥ ΛΕΛΕΔΑΚΗ  1 ΚΙΣΑΜΟΣ"</f>
        <v>ΕΠΙΣΚ.ΑΝΘΙΜΟΥ ΛΕΛΕΔΑΚΗ  1 ΚΙΣΑΜΟΣ</v>
      </c>
      <c r="I9967">
        <v>73400</v>
      </c>
      <c r="J9967">
        <v>2822024426</v>
      </c>
      <c r="K9967">
        <v>6947751612</v>
      </c>
      <c r="N9967" t="s">
        <v>615</v>
      </c>
      <c r="O9967" t="s">
        <v>616</v>
      </c>
      <c r="R9967" t="s">
        <v>57</v>
      </c>
      <c r="S9967">
        <v>13</v>
      </c>
      <c r="T9967">
        <v>165</v>
      </c>
      <c r="U9967" s="1">
        <v>36040</v>
      </c>
      <c r="V9967" t="s">
        <v>89</v>
      </c>
      <c r="W9967" t="s">
        <v>90</v>
      </c>
      <c r="X9967" t="s">
        <v>58</v>
      </c>
      <c r="Y9967">
        <v>21</v>
      </c>
      <c r="Z9967" t="s">
        <v>59</v>
      </c>
      <c r="AA9967" t="s">
        <v>59</v>
      </c>
      <c r="AB9967" t="s">
        <v>59</v>
      </c>
      <c r="AC9967" t="s">
        <v>59</v>
      </c>
      <c r="AD9967" t="s">
        <v>59</v>
      </c>
      <c r="AF9967" s="1">
        <v>36042</v>
      </c>
      <c r="AG9967" t="s">
        <v>8645</v>
      </c>
      <c r="AH9967" t="s">
        <v>8646</v>
      </c>
      <c r="AI9967" t="str">
        <f>"9500191"</f>
        <v>9500191</v>
      </c>
      <c r="AJ9967" t="s">
        <v>13986</v>
      </c>
      <c r="AK9967">
        <v>2822022042</v>
      </c>
      <c r="AL9967" t="s">
        <v>13987</v>
      </c>
      <c r="AM9967" t="s">
        <v>88</v>
      </c>
      <c r="AN9967" t="s">
        <v>6744</v>
      </c>
      <c r="AO9967" t="s">
        <v>6744</v>
      </c>
      <c r="AP9967" t="s">
        <v>6744</v>
      </c>
      <c r="AQ9967">
        <v>9</v>
      </c>
      <c r="AR9967" t="s">
        <v>89</v>
      </c>
      <c r="AS9967" t="s">
        <v>90</v>
      </c>
      <c r="AT9967" t="s">
        <v>58</v>
      </c>
      <c r="AU9967" t="s">
        <v>68</v>
      </c>
      <c r="AV9967" t="s">
        <v>69</v>
      </c>
      <c r="AW9967" s="1">
        <v>25044</v>
      </c>
      <c r="AX9967">
        <v>1</v>
      </c>
    </row>
    <row r="9968" spans="1:50">
      <c r="A9968">
        <v>199973</v>
      </c>
      <c r="B9968" t="str">
        <f>"118479949"</f>
        <v>118479949</v>
      </c>
      <c r="C9968" t="s">
        <v>105</v>
      </c>
      <c r="D9968" t="s">
        <v>14912</v>
      </c>
      <c r="E9968" t="s">
        <v>760</v>
      </c>
      <c r="F9968" t="s">
        <v>53</v>
      </c>
      <c r="G9968" t="s">
        <v>52</v>
      </c>
      <c r="H9968" t="str">
        <f>" "</f>
        <v xml:space="preserve"> </v>
      </c>
      <c r="J9968">
        <v>2821031921</v>
      </c>
      <c r="K9968">
        <v>6972806918</v>
      </c>
      <c r="N9968" t="s">
        <v>204</v>
      </c>
      <c r="O9968" t="s">
        <v>205</v>
      </c>
      <c r="R9968" t="s">
        <v>57</v>
      </c>
      <c r="S9968">
        <v>8</v>
      </c>
      <c r="T9968">
        <v>206</v>
      </c>
      <c r="U9968" s="1">
        <v>37866</v>
      </c>
      <c r="V9968" t="s">
        <v>89</v>
      </c>
      <c r="W9968" t="s">
        <v>90</v>
      </c>
      <c r="X9968" t="s">
        <v>58</v>
      </c>
      <c r="Y9968">
        <v>22</v>
      </c>
      <c r="Z9968" t="s">
        <v>59</v>
      </c>
      <c r="AA9968" t="s">
        <v>59</v>
      </c>
      <c r="AB9968" t="s">
        <v>59</v>
      </c>
      <c r="AC9968" t="s">
        <v>59</v>
      </c>
      <c r="AD9968" t="s">
        <v>59</v>
      </c>
      <c r="AF9968" s="1">
        <v>37866</v>
      </c>
      <c r="AG9968" t="s">
        <v>8645</v>
      </c>
      <c r="AH9968" t="s">
        <v>8646</v>
      </c>
      <c r="AI9968" t="str">
        <f>"9500038"</f>
        <v>9500038</v>
      </c>
      <c r="AJ9968" t="s">
        <v>13899</v>
      </c>
      <c r="AK9968">
        <v>2821042407</v>
      </c>
      <c r="AL9968" t="s">
        <v>13900</v>
      </c>
      <c r="AM9968" t="s">
        <v>88</v>
      </c>
      <c r="AN9968" t="s">
        <v>88</v>
      </c>
      <c r="AO9968" t="s">
        <v>88</v>
      </c>
      <c r="AP9968" t="s">
        <v>88</v>
      </c>
      <c r="AQ9968">
        <v>1</v>
      </c>
      <c r="AR9968" t="s">
        <v>89</v>
      </c>
      <c r="AS9968" t="s">
        <v>90</v>
      </c>
      <c r="AT9968" t="s">
        <v>58</v>
      </c>
      <c r="AU9968" t="s">
        <v>68</v>
      </c>
      <c r="AV9968" t="s">
        <v>69</v>
      </c>
      <c r="AW9968" s="1">
        <v>27481</v>
      </c>
      <c r="AX9968">
        <v>1</v>
      </c>
    </row>
    <row r="9969" spans="1:50">
      <c r="A9969">
        <v>618341</v>
      </c>
      <c r="B9969" t="str">
        <f>"130415662"</f>
        <v>130415662</v>
      </c>
      <c r="C9969" t="s">
        <v>50</v>
      </c>
      <c r="D9969" t="s">
        <v>7756</v>
      </c>
      <c r="E9969" t="s">
        <v>513</v>
      </c>
      <c r="F9969" t="s">
        <v>995</v>
      </c>
      <c r="G9969" t="s">
        <v>83</v>
      </c>
      <c r="H9969" t="str">
        <f>"ΑΙΓΑΙΟΥ 9 ΧΑΝΙΑ - ΜΟΥΡΝΙΕΣ"</f>
        <v>ΑΙΓΑΙΟΥ 9 ΧΑΝΙΑ - ΜΟΥΡΝΙΕΣ</v>
      </c>
      <c r="I9969">
        <v>73300</v>
      </c>
      <c r="J9969">
        <v>2821096706</v>
      </c>
      <c r="K9969">
        <v>6971542078</v>
      </c>
      <c r="N9969" t="s">
        <v>615</v>
      </c>
      <c r="O9969" t="s">
        <v>616</v>
      </c>
      <c r="R9969" t="s">
        <v>57</v>
      </c>
      <c r="S9969">
        <v>5</v>
      </c>
      <c r="T9969" t="s">
        <v>14913</v>
      </c>
      <c r="U9969" s="1">
        <v>39680</v>
      </c>
      <c r="V9969" t="s">
        <v>89</v>
      </c>
      <c r="W9969" t="s">
        <v>90</v>
      </c>
      <c r="X9969" t="s">
        <v>58</v>
      </c>
      <c r="Y9969">
        <v>23</v>
      </c>
      <c r="Z9969" t="s">
        <v>59</v>
      </c>
      <c r="AA9969" t="s">
        <v>59</v>
      </c>
      <c r="AB9969" t="s">
        <v>59</v>
      </c>
      <c r="AC9969" t="s">
        <v>59</v>
      </c>
      <c r="AD9969" t="s">
        <v>59</v>
      </c>
      <c r="AF9969" s="1">
        <v>39680</v>
      </c>
      <c r="AG9969" t="s">
        <v>8645</v>
      </c>
      <c r="AH9969" t="s">
        <v>8646</v>
      </c>
      <c r="AI9969" t="str">
        <f>"9500119"</f>
        <v>9500119</v>
      </c>
      <c r="AJ9969" t="s">
        <v>14286</v>
      </c>
      <c r="AK9969">
        <v>2821095816</v>
      </c>
      <c r="AL9969" t="s">
        <v>14287</v>
      </c>
      <c r="AM9969" t="s">
        <v>88</v>
      </c>
      <c r="AN9969" t="s">
        <v>88</v>
      </c>
      <c r="AO9969" t="s">
        <v>13920</v>
      </c>
      <c r="AP9969" t="s">
        <v>14029</v>
      </c>
      <c r="AQ9969">
        <v>3</v>
      </c>
      <c r="AR9969" t="s">
        <v>89</v>
      </c>
      <c r="AS9969" t="s">
        <v>90</v>
      </c>
      <c r="AT9969" t="s">
        <v>58</v>
      </c>
      <c r="AU9969" t="s">
        <v>68</v>
      </c>
      <c r="AV9969" t="s">
        <v>69</v>
      </c>
      <c r="AW9969" s="1">
        <v>30960</v>
      </c>
      <c r="AX9969">
        <v>1</v>
      </c>
    </row>
    <row r="9970" spans="1:50">
      <c r="A9970">
        <v>577711</v>
      </c>
      <c r="B9970" t="str">
        <f>"077472251"</f>
        <v>077472251</v>
      </c>
      <c r="C9970" t="s">
        <v>50</v>
      </c>
      <c r="D9970" t="s">
        <v>7756</v>
      </c>
      <c r="E9970" t="s">
        <v>513</v>
      </c>
      <c r="F9970" t="s">
        <v>72</v>
      </c>
      <c r="G9970" t="s">
        <v>167</v>
      </c>
      <c r="H9970" t="str">
        <f>"ΣΤ.ΦΙΩΤΑΚΗ 4 ΧΑΝΙΑ"</f>
        <v>ΣΤ.ΦΙΩΤΑΚΗ 4 ΧΑΝΙΑ</v>
      </c>
      <c r="I9970">
        <v>73133</v>
      </c>
      <c r="J9970">
        <v>2821028196</v>
      </c>
      <c r="K9970">
        <v>6939447161</v>
      </c>
      <c r="N9970" t="s">
        <v>337</v>
      </c>
      <c r="O9970" t="s">
        <v>338</v>
      </c>
      <c r="R9970" t="s">
        <v>57</v>
      </c>
      <c r="S9970">
        <v>11</v>
      </c>
      <c r="T9970">
        <v>65</v>
      </c>
      <c r="U9970" s="1">
        <v>35146</v>
      </c>
      <c r="V9970" t="s">
        <v>89</v>
      </c>
      <c r="W9970" t="s">
        <v>90</v>
      </c>
      <c r="X9970" t="s">
        <v>58</v>
      </c>
      <c r="Y9970">
        <v>21</v>
      </c>
      <c r="Z9970" t="s">
        <v>59</v>
      </c>
      <c r="AA9970" t="s">
        <v>59</v>
      </c>
      <c r="AB9970" t="s">
        <v>59</v>
      </c>
      <c r="AC9970" t="s">
        <v>59</v>
      </c>
      <c r="AD9970" t="s">
        <v>59</v>
      </c>
      <c r="AF9970" s="1">
        <v>35146</v>
      </c>
      <c r="AG9970" t="s">
        <v>8645</v>
      </c>
      <c r="AH9970" t="s">
        <v>8646</v>
      </c>
      <c r="AI9970" t="str">
        <f>"9500329"</f>
        <v>9500329</v>
      </c>
      <c r="AJ9970" t="s">
        <v>14241</v>
      </c>
      <c r="AK9970">
        <v>2821099075</v>
      </c>
      <c r="AL9970" t="s">
        <v>14242</v>
      </c>
      <c r="AM9970" t="s">
        <v>88</v>
      </c>
      <c r="AN9970" t="s">
        <v>88</v>
      </c>
      <c r="AO9970" t="s">
        <v>6733</v>
      </c>
      <c r="AP9970" t="s">
        <v>6734</v>
      </c>
      <c r="AQ9970">
        <v>2</v>
      </c>
      <c r="AR9970" t="s">
        <v>89</v>
      </c>
      <c r="AS9970" t="s">
        <v>90</v>
      </c>
      <c r="AT9970" t="s">
        <v>58</v>
      </c>
      <c r="AU9970" t="s">
        <v>68</v>
      </c>
      <c r="AV9970" t="s">
        <v>69</v>
      </c>
      <c r="AW9970" s="1">
        <v>27261</v>
      </c>
      <c r="AX9970">
        <v>1</v>
      </c>
    </row>
    <row r="9971" spans="1:50">
      <c r="A9971">
        <v>700620</v>
      </c>
      <c r="B9971" t="str">
        <f>"122553432"</f>
        <v>122553432</v>
      </c>
      <c r="C9971" t="s">
        <v>50</v>
      </c>
      <c r="D9971" t="s">
        <v>12351</v>
      </c>
      <c r="E9971" t="s">
        <v>4006</v>
      </c>
      <c r="F9971" t="s">
        <v>760</v>
      </c>
      <c r="G9971" t="s">
        <v>1345</v>
      </c>
      <c r="H9971" t="str">
        <f>"ΜΟΝΕΜΒΑΣΙΑ ΛΑΚΩΝΙΑ"</f>
        <v>ΜΟΝΕΜΒΑΣΙΑ ΛΑΚΩΝΙΑ</v>
      </c>
      <c r="I9971">
        <v>23070</v>
      </c>
      <c r="J9971">
        <v>2732061640</v>
      </c>
      <c r="K9971">
        <v>6942827738</v>
      </c>
      <c r="M9971" t="s">
        <v>14914</v>
      </c>
      <c r="N9971" t="s">
        <v>1525</v>
      </c>
      <c r="O9971" t="s">
        <v>1526</v>
      </c>
      <c r="R9971" t="s">
        <v>57</v>
      </c>
      <c r="S9971">
        <v>5</v>
      </c>
      <c r="T9971" t="s">
        <v>14915</v>
      </c>
      <c r="U9971" s="1">
        <v>40413</v>
      </c>
      <c r="V9971" t="s">
        <v>89</v>
      </c>
      <c r="W9971" t="s">
        <v>90</v>
      </c>
      <c r="X9971" t="s">
        <v>58</v>
      </c>
      <c r="Y9971">
        <v>25</v>
      </c>
      <c r="Z9971" t="s">
        <v>59</v>
      </c>
      <c r="AA9971" t="s">
        <v>59</v>
      </c>
      <c r="AB9971" t="s">
        <v>59</v>
      </c>
      <c r="AC9971" t="s">
        <v>59</v>
      </c>
      <c r="AD9971" t="s">
        <v>59</v>
      </c>
      <c r="AF9971" s="1">
        <v>40413</v>
      </c>
      <c r="AG9971" t="s">
        <v>8651</v>
      </c>
      <c r="AH9971" t="s">
        <v>8652</v>
      </c>
      <c r="AI9971" t="str">
        <f>"9500072"</f>
        <v>9500072</v>
      </c>
      <c r="AJ9971" t="s">
        <v>14916</v>
      </c>
      <c r="AK9971">
        <v>2821094168</v>
      </c>
      <c r="AL9971" t="s">
        <v>14917</v>
      </c>
      <c r="AM9971" t="s">
        <v>88</v>
      </c>
      <c r="AN9971" t="s">
        <v>88</v>
      </c>
      <c r="AO9971" t="s">
        <v>88</v>
      </c>
      <c r="AP9971" t="s">
        <v>88</v>
      </c>
      <c r="AQ9971">
        <v>1</v>
      </c>
      <c r="AR9971" t="s">
        <v>89</v>
      </c>
      <c r="AS9971" t="s">
        <v>90</v>
      </c>
      <c r="AT9971" t="s">
        <v>58</v>
      </c>
      <c r="AU9971" t="s">
        <v>68</v>
      </c>
      <c r="AV9971" t="s">
        <v>69</v>
      </c>
      <c r="AW9971" s="1">
        <v>28913</v>
      </c>
      <c r="AX9971">
        <v>1</v>
      </c>
    </row>
    <row r="9972" spans="1:50">
      <c r="B9972" t="str">
        <f>"126846729"</f>
        <v>126846729</v>
      </c>
      <c r="C9972" t="s">
        <v>50</v>
      </c>
      <c r="D9972" t="s">
        <v>2582</v>
      </c>
      <c r="E9972" t="s">
        <v>11056</v>
      </c>
      <c r="F9972" t="s">
        <v>564</v>
      </c>
      <c r="G9972" t="s">
        <v>255</v>
      </c>
      <c r="H9972" t="str">
        <f>" "</f>
        <v xml:space="preserve"> </v>
      </c>
      <c r="N9972" t="s">
        <v>683</v>
      </c>
      <c r="O9972" t="s">
        <v>684</v>
      </c>
      <c r="R9972" t="s">
        <v>121</v>
      </c>
      <c r="S9972">
        <v>1</v>
      </c>
      <c r="T9972" t="s">
        <v>8675</v>
      </c>
      <c r="U9972" s="1">
        <v>43348</v>
      </c>
      <c r="V9972" t="s">
        <v>89</v>
      </c>
      <c r="W9972" t="s">
        <v>90</v>
      </c>
      <c r="X9972" t="s">
        <v>58</v>
      </c>
      <c r="Y9972">
        <v>24</v>
      </c>
      <c r="Z9972" t="s">
        <v>59</v>
      </c>
      <c r="AD9972" t="s">
        <v>59</v>
      </c>
      <c r="AF9972" s="1">
        <v>43348</v>
      </c>
      <c r="AG9972" t="s">
        <v>8645</v>
      </c>
      <c r="AH9972" t="s">
        <v>8646</v>
      </c>
      <c r="AI9972" t="str">
        <f>"9500407"</f>
        <v>9500407</v>
      </c>
      <c r="AJ9972" t="s">
        <v>13867</v>
      </c>
      <c r="AK9972">
        <v>2821089224</v>
      </c>
      <c r="AL9972" t="s">
        <v>13868</v>
      </c>
      <c r="AM9972" t="s">
        <v>88</v>
      </c>
      <c r="AN9972" t="s">
        <v>88</v>
      </c>
      <c r="AO9972" t="s">
        <v>6748</v>
      </c>
      <c r="AP9972" t="s">
        <v>6748</v>
      </c>
      <c r="AQ9972">
        <v>2</v>
      </c>
      <c r="AR9972" t="s">
        <v>89</v>
      </c>
      <c r="AS9972" t="s">
        <v>90</v>
      </c>
      <c r="AT9972" t="s">
        <v>58</v>
      </c>
      <c r="AU9972" t="s">
        <v>8673</v>
      </c>
      <c r="AV9972" t="s">
        <v>132</v>
      </c>
      <c r="AW9972" s="1">
        <v>32412</v>
      </c>
      <c r="AX9972">
        <v>1</v>
      </c>
    </row>
    <row r="9973" spans="1:50">
      <c r="A9973">
        <v>588953</v>
      </c>
      <c r="B9973" t="str">
        <f>"032532533"</f>
        <v>032532533</v>
      </c>
      <c r="C9973" t="s">
        <v>50</v>
      </c>
      <c r="D9973" t="s">
        <v>2593</v>
      </c>
      <c r="E9973" t="s">
        <v>109</v>
      </c>
      <c r="F9973" t="s">
        <v>106</v>
      </c>
      <c r="G9973" t="s">
        <v>52</v>
      </c>
      <c r="H9973" t="str">
        <f>"Π.ΓΕΡΑΣΙΜΟΥ 44 ΧΑΝΙΑ"</f>
        <v>Π.ΓΕΡΑΣΙΜΟΥ 44 ΧΑΝΙΑ</v>
      </c>
      <c r="I9973">
        <v>73132</v>
      </c>
      <c r="J9973">
        <v>2821074746</v>
      </c>
      <c r="K9973">
        <v>6972739456</v>
      </c>
      <c r="N9973" t="s">
        <v>615</v>
      </c>
      <c r="O9973" t="s">
        <v>616</v>
      </c>
      <c r="R9973" t="s">
        <v>57</v>
      </c>
      <c r="S9973">
        <v>12</v>
      </c>
      <c r="T9973">
        <v>176</v>
      </c>
      <c r="U9973" s="1">
        <v>36403</v>
      </c>
      <c r="V9973" t="s">
        <v>89</v>
      </c>
      <c r="W9973" t="s">
        <v>90</v>
      </c>
      <c r="X9973" t="s">
        <v>58</v>
      </c>
      <c r="Y9973">
        <v>21</v>
      </c>
      <c r="Z9973" t="s">
        <v>59</v>
      </c>
      <c r="AA9973" t="s">
        <v>59</v>
      </c>
      <c r="AB9973" t="s">
        <v>59</v>
      </c>
      <c r="AC9973" t="s">
        <v>59</v>
      </c>
      <c r="AD9973" t="s">
        <v>59</v>
      </c>
      <c r="AF9973" s="1">
        <v>36403</v>
      </c>
      <c r="AG9973" t="s">
        <v>8645</v>
      </c>
      <c r="AH9973" t="s">
        <v>8646</v>
      </c>
      <c r="AI9973" t="str">
        <f>"9500147"</f>
        <v>9500147</v>
      </c>
      <c r="AJ9973" t="s">
        <v>14008</v>
      </c>
      <c r="AK9973">
        <v>2821094573</v>
      </c>
      <c r="AL9973" t="s">
        <v>14009</v>
      </c>
      <c r="AM9973" t="s">
        <v>88</v>
      </c>
      <c r="AN9973" t="s">
        <v>88</v>
      </c>
      <c r="AO9973" t="s">
        <v>88</v>
      </c>
      <c r="AP9973" t="s">
        <v>88</v>
      </c>
      <c r="AQ9973">
        <v>1</v>
      </c>
      <c r="AR9973" t="s">
        <v>89</v>
      </c>
      <c r="AS9973" t="s">
        <v>90</v>
      </c>
      <c r="AT9973" t="s">
        <v>58</v>
      </c>
      <c r="AU9973" t="s">
        <v>68</v>
      </c>
      <c r="AV9973" t="s">
        <v>69</v>
      </c>
      <c r="AW9973" s="1">
        <v>20644</v>
      </c>
      <c r="AX9973">
        <v>1</v>
      </c>
    </row>
    <row r="9974" spans="1:50">
      <c r="A9974">
        <v>587027</v>
      </c>
      <c r="B9974" t="str">
        <f>"066838677"</f>
        <v>066838677</v>
      </c>
      <c r="C9974" t="s">
        <v>50</v>
      </c>
      <c r="D9974" t="s">
        <v>14918</v>
      </c>
      <c r="E9974" t="s">
        <v>96</v>
      </c>
      <c r="F9974" t="s">
        <v>900</v>
      </c>
      <c r="G9974" t="s">
        <v>83</v>
      </c>
      <c r="H9974" t="str">
        <f>"ΑΚΡΩΤΗΡΙΟΥ 33-35 ΧΑΝΙΑ"</f>
        <v>ΑΚΡΩΤΗΡΙΟΥ 33-35 ΧΑΝΙΑ</v>
      </c>
      <c r="I9974">
        <v>73133</v>
      </c>
      <c r="J9974">
        <v>2821046692</v>
      </c>
      <c r="K9974">
        <v>6981014927</v>
      </c>
      <c r="M9974" t="s">
        <v>14919</v>
      </c>
      <c r="N9974" t="s">
        <v>1525</v>
      </c>
      <c r="O9974" t="s">
        <v>1526</v>
      </c>
      <c r="R9974" t="s">
        <v>57</v>
      </c>
      <c r="S9974">
        <v>12</v>
      </c>
      <c r="T9974">
        <v>165</v>
      </c>
      <c r="U9974" s="1">
        <v>36040</v>
      </c>
      <c r="V9974" t="s">
        <v>89</v>
      </c>
      <c r="W9974" t="s">
        <v>90</v>
      </c>
      <c r="X9974" t="s">
        <v>58</v>
      </c>
      <c r="Y9974">
        <v>25</v>
      </c>
      <c r="Z9974" t="s">
        <v>59</v>
      </c>
      <c r="AA9974" t="s">
        <v>59</v>
      </c>
      <c r="AB9974" t="s">
        <v>59</v>
      </c>
      <c r="AC9974" t="s">
        <v>59</v>
      </c>
      <c r="AD9974" t="s">
        <v>59</v>
      </c>
      <c r="AF9974" s="1">
        <v>36040</v>
      </c>
      <c r="AG9974" t="s">
        <v>8651</v>
      </c>
      <c r="AH9974" t="s">
        <v>8652</v>
      </c>
      <c r="AI9974" t="str">
        <f>"9500074"</f>
        <v>9500074</v>
      </c>
      <c r="AJ9974" t="s">
        <v>14620</v>
      </c>
      <c r="AK9974">
        <v>2821027355</v>
      </c>
      <c r="AL9974" t="s">
        <v>14621</v>
      </c>
      <c r="AM9974" t="s">
        <v>88</v>
      </c>
      <c r="AN9974" t="s">
        <v>88</v>
      </c>
      <c r="AO9974" t="s">
        <v>88</v>
      </c>
      <c r="AP9974" t="s">
        <v>88</v>
      </c>
      <c r="AQ9974">
        <v>1</v>
      </c>
      <c r="AR9974" t="s">
        <v>89</v>
      </c>
      <c r="AS9974" t="s">
        <v>90</v>
      </c>
      <c r="AT9974" t="s">
        <v>58</v>
      </c>
      <c r="AU9974" t="s">
        <v>68</v>
      </c>
      <c r="AV9974" t="s">
        <v>69</v>
      </c>
      <c r="AW9974" s="1">
        <v>22178</v>
      </c>
      <c r="AX9974">
        <v>1</v>
      </c>
    </row>
    <row r="9975" spans="1:50">
      <c r="B9975" t="str">
        <f>"146311855"</f>
        <v>146311855</v>
      </c>
      <c r="C9975" t="s">
        <v>50</v>
      </c>
      <c r="D9975" t="s">
        <v>7769</v>
      </c>
      <c r="E9975" t="s">
        <v>476</v>
      </c>
      <c r="F9975" t="s">
        <v>72</v>
      </c>
      <c r="G9975" t="s">
        <v>52</v>
      </c>
      <c r="H9975" t="str">
        <f>"Ν. ΣΚΟΥΛΑ 67 ΧΑΝΙΑ"</f>
        <v>Ν. ΣΚΟΥΛΑ 67 ΧΑΝΙΑ</v>
      </c>
      <c r="I9975">
        <v>73136</v>
      </c>
      <c r="J9975">
        <v>2821099858</v>
      </c>
      <c r="K9975">
        <v>6977629251</v>
      </c>
      <c r="M9975" t="s">
        <v>14920</v>
      </c>
      <c r="N9975" t="s">
        <v>615</v>
      </c>
      <c r="O9975" t="s">
        <v>616</v>
      </c>
      <c r="R9975" t="s">
        <v>159</v>
      </c>
      <c r="S9975">
        <v>3</v>
      </c>
      <c r="T9975" t="s">
        <v>8675</v>
      </c>
      <c r="U9975" s="1">
        <v>43348</v>
      </c>
      <c r="V9975" t="s">
        <v>89</v>
      </c>
      <c r="W9975" t="s">
        <v>90</v>
      </c>
      <c r="X9975" t="s">
        <v>58</v>
      </c>
      <c r="Y9975">
        <v>24</v>
      </c>
      <c r="Z9975" t="s">
        <v>59</v>
      </c>
      <c r="AA9975" t="s">
        <v>59</v>
      </c>
      <c r="AB9975" t="s">
        <v>59</v>
      </c>
      <c r="AC9975" t="s">
        <v>59</v>
      </c>
      <c r="AD9975" t="s">
        <v>59</v>
      </c>
      <c r="AF9975" s="1">
        <v>43348</v>
      </c>
      <c r="AG9975" t="s">
        <v>8645</v>
      </c>
      <c r="AH9975" t="s">
        <v>8646</v>
      </c>
      <c r="AI9975" t="str">
        <f>"9500218"</f>
        <v>9500218</v>
      </c>
      <c r="AJ9975" t="s">
        <v>13992</v>
      </c>
      <c r="AK9975">
        <v>2824022216</v>
      </c>
      <c r="AL9975" t="s">
        <v>13993</v>
      </c>
      <c r="AM9975" t="s">
        <v>88</v>
      </c>
      <c r="AN9975" t="s">
        <v>6764</v>
      </c>
      <c r="AO9975" t="s">
        <v>6799</v>
      </c>
      <c r="AP9975" t="s">
        <v>6799</v>
      </c>
      <c r="AQ9975">
        <v>6</v>
      </c>
      <c r="AR9975" t="s">
        <v>89</v>
      </c>
      <c r="AS9975" t="s">
        <v>90</v>
      </c>
      <c r="AT9975" t="s">
        <v>58</v>
      </c>
      <c r="AU9975" t="s">
        <v>8673</v>
      </c>
      <c r="AV9975" t="s">
        <v>132</v>
      </c>
      <c r="AW9975" s="1">
        <v>32081</v>
      </c>
      <c r="AX9975">
        <v>1</v>
      </c>
    </row>
    <row r="9976" spans="1:50">
      <c r="A9976">
        <v>704383</v>
      </c>
      <c r="B9976" t="str">
        <f>"062595832"</f>
        <v>062595832</v>
      </c>
      <c r="C9976" t="s">
        <v>50</v>
      </c>
      <c r="D9976" t="s">
        <v>7769</v>
      </c>
      <c r="E9976" t="s">
        <v>809</v>
      </c>
      <c r="F9976" t="s">
        <v>377</v>
      </c>
      <c r="H9976" t="str">
        <f>" "</f>
        <v xml:space="preserve"> </v>
      </c>
      <c r="N9976" t="s">
        <v>615</v>
      </c>
      <c r="O9976" t="s">
        <v>616</v>
      </c>
      <c r="R9976" t="s">
        <v>57</v>
      </c>
      <c r="S9976">
        <v>11</v>
      </c>
      <c r="T9976">
        <v>32</v>
      </c>
      <c r="U9976" s="1">
        <v>36570</v>
      </c>
      <c r="V9976" t="s">
        <v>89</v>
      </c>
      <c r="W9976" t="s">
        <v>90</v>
      </c>
      <c r="X9976" t="s">
        <v>58</v>
      </c>
      <c r="Y9976">
        <v>22</v>
      </c>
      <c r="Z9976" t="s">
        <v>59</v>
      </c>
      <c r="AA9976" t="s">
        <v>59</v>
      </c>
      <c r="AB9976" t="s">
        <v>59</v>
      </c>
      <c r="AC9976" t="s">
        <v>59</v>
      </c>
      <c r="AD9976" t="s">
        <v>59</v>
      </c>
      <c r="AF9976" s="1">
        <v>36570</v>
      </c>
      <c r="AG9976" t="s">
        <v>8645</v>
      </c>
      <c r="AH9976" t="s">
        <v>8697</v>
      </c>
      <c r="AI9976" t="str">
        <f>"9521567"</f>
        <v>9521567</v>
      </c>
      <c r="AJ9976" t="s">
        <v>14148</v>
      </c>
      <c r="AK9976">
        <v>2821086921</v>
      </c>
      <c r="AL9976" t="s">
        <v>14149</v>
      </c>
      <c r="AM9976" t="s">
        <v>88</v>
      </c>
      <c r="AN9976" t="s">
        <v>88</v>
      </c>
      <c r="AO9976" t="s">
        <v>88</v>
      </c>
      <c r="AP9976" t="s">
        <v>88</v>
      </c>
      <c r="AQ9976">
        <v>1</v>
      </c>
      <c r="AR9976" t="s">
        <v>89</v>
      </c>
      <c r="AS9976" t="s">
        <v>90</v>
      </c>
      <c r="AT9976" t="s">
        <v>58</v>
      </c>
      <c r="AU9976" t="s">
        <v>68</v>
      </c>
      <c r="AV9976" t="s">
        <v>69</v>
      </c>
      <c r="AX9976">
        <v>1</v>
      </c>
    </row>
    <row r="9977" spans="1:50">
      <c r="B9977" t="str">
        <f>"122983260"</f>
        <v>122983260</v>
      </c>
      <c r="C9977" t="s">
        <v>50</v>
      </c>
      <c r="D9977" t="s">
        <v>14921</v>
      </c>
      <c r="E9977" t="s">
        <v>250</v>
      </c>
      <c r="F9977" t="s">
        <v>72</v>
      </c>
      <c r="G9977" t="s">
        <v>52</v>
      </c>
      <c r="H9977" t="str">
        <f>"Ν. ΙΩΝΙΑΣ 550 "</f>
        <v xml:space="preserve">Ν. ΙΩΝΙΑΣ 550 </v>
      </c>
      <c r="I9977">
        <v>73100</v>
      </c>
      <c r="J9977">
        <v>2821076297</v>
      </c>
      <c r="K9977">
        <v>6936987544</v>
      </c>
      <c r="N9977" t="s">
        <v>615</v>
      </c>
      <c r="O9977" t="s">
        <v>616</v>
      </c>
      <c r="R9977" t="s">
        <v>159</v>
      </c>
      <c r="S9977">
        <v>4</v>
      </c>
      <c r="T9977" t="s">
        <v>8675</v>
      </c>
      <c r="U9977" s="1">
        <v>43348</v>
      </c>
      <c r="V9977" t="s">
        <v>89</v>
      </c>
      <c r="W9977" t="s">
        <v>90</v>
      </c>
      <c r="X9977" t="s">
        <v>58</v>
      </c>
      <c r="Y9977">
        <v>24</v>
      </c>
      <c r="Z9977" t="s">
        <v>59</v>
      </c>
      <c r="AA9977" t="s">
        <v>59</v>
      </c>
      <c r="AB9977" t="s">
        <v>59</v>
      </c>
      <c r="AC9977" t="s">
        <v>59</v>
      </c>
      <c r="AD9977" t="s">
        <v>59</v>
      </c>
      <c r="AF9977" s="1">
        <v>43348</v>
      </c>
      <c r="AG9977" t="s">
        <v>8645</v>
      </c>
      <c r="AH9977" t="s">
        <v>8646</v>
      </c>
      <c r="AI9977" t="str">
        <f>"9520693"</f>
        <v>9520693</v>
      </c>
      <c r="AJ9977" t="s">
        <v>13913</v>
      </c>
      <c r="AK9977">
        <v>2821066910</v>
      </c>
      <c r="AL9977" t="s">
        <v>13914</v>
      </c>
      <c r="AM9977" t="s">
        <v>88</v>
      </c>
      <c r="AN9977" t="s">
        <v>88</v>
      </c>
      <c r="AO9977" t="s">
        <v>6770</v>
      </c>
      <c r="AP9977" t="s">
        <v>6771</v>
      </c>
      <c r="AQ9977">
        <v>2</v>
      </c>
      <c r="AR9977" t="s">
        <v>89</v>
      </c>
      <c r="AS9977" t="s">
        <v>90</v>
      </c>
      <c r="AT9977" t="s">
        <v>58</v>
      </c>
      <c r="AU9977" t="s">
        <v>8673</v>
      </c>
      <c r="AV9977" t="s">
        <v>132</v>
      </c>
      <c r="AW9977" s="1">
        <v>31712</v>
      </c>
      <c r="AX9977">
        <v>1</v>
      </c>
    </row>
    <row r="9978" spans="1:50">
      <c r="B9978" t="str">
        <f>"118362495"</f>
        <v>118362495</v>
      </c>
      <c r="C9978" t="s">
        <v>50</v>
      </c>
      <c r="D9978" t="s">
        <v>14922</v>
      </c>
      <c r="E9978" t="s">
        <v>14923</v>
      </c>
      <c r="F9978" t="s">
        <v>72</v>
      </c>
      <c r="G9978" t="s">
        <v>52</v>
      </c>
      <c r="H9978" t="str">
        <f>"ΣΟΦ. ΒΕΝΙΖΕΛΟΥ 51 ΠΕΡΙΣΤΕΡΙ"</f>
        <v>ΣΟΦ. ΒΕΝΙΖΕΛΟΥ 51 ΠΕΡΙΣΤΕΡΙ</v>
      </c>
      <c r="I9978">
        <v>12131</v>
      </c>
      <c r="J9978">
        <v>2105744730</v>
      </c>
      <c r="K9978">
        <v>6972401572</v>
      </c>
      <c r="N9978" t="s">
        <v>337</v>
      </c>
      <c r="O9978" t="s">
        <v>338</v>
      </c>
      <c r="R9978" t="s">
        <v>159</v>
      </c>
      <c r="S9978">
        <v>4</v>
      </c>
      <c r="T9978" t="s">
        <v>8675</v>
      </c>
      <c r="U9978" s="1">
        <v>43348</v>
      </c>
      <c r="V9978" t="s">
        <v>89</v>
      </c>
      <c r="W9978" t="s">
        <v>90</v>
      </c>
      <c r="X9978" t="s">
        <v>58</v>
      </c>
      <c r="Y9978">
        <v>24</v>
      </c>
      <c r="Z9978" t="s">
        <v>59</v>
      </c>
      <c r="AA9978" t="s">
        <v>59</v>
      </c>
      <c r="AB9978" t="s">
        <v>59</v>
      </c>
      <c r="AC9978" t="s">
        <v>59</v>
      </c>
      <c r="AD9978" t="s">
        <v>59</v>
      </c>
      <c r="AF9978" s="1">
        <v>43348</v>
      </c>
      <c r="AG9978" t="s">
        <v>8645</v>
      </c>
      <c r="AH9978" t="s">
        <v>8646</v>
      </c>
      <c r="AI9978" t="str">
        <f>"9500084"</f>
        <v>9500084</v>
      </c>
      <c r="AJ9978" t="s">
        <v>13994</v>
      </c>
      <c r="AK9978">
        <v>2821031270</v>
      </c>
      <c r="AL9978" t="s">
        <v>13995</v>
      </c>
      <c r="AM9978" t="s">
        <v>88</v>
      </c>
      <c r="AN9978" t="s">
        <v>88</v>
      </c>
      <c r="AO9978" t="s">
        <v>13920</v>
      </c>
      <c r="AP9978" t="s">
        <v>13996</v>
      </c>
      <c r="AQ9978">
        <v>3</v>
      </c>
      <c r="AR9978" t="s">
        <v>89</v>
      </c>
      <c r="AS9978" t="s">
        <v>90</v>
      </c>
      <c r="AT9978" t="s">
        <v>58</v>
      </c>
      <c r="AU9978" t="s">
        <v>8673</v>
      </c>
      <c r="AV9978" t="s">
        <v>132</v>
      </c>
      <c r="AW9978" s="1">
        <v>29312</v>
      </c>
      <c r="AX9978">
        <v>1</v>
      </c>
    </row>
    <row r="9979" spans="1:50">
      <c r="A9979">
        <v>590452</v>
      </c>
      <c r="B9979" t="str">
        <f>"050304753"</f>
        <v>050304753</v>
      </c>
      <c r="C9979" t="s">
        <v>50</v>
      </c>
      <c r="D9979" t="s">
        <v>14924</v>
      </c>
      <c r="E9979" t="s">
        <v>801</v>
      </c>
      <c r="F9979" t="s">
        <v>670</v>
      </c>
      <c r="G9979" t="s">
        <v>7319</v>
      </c>
      <c r="H9979" t="str">
        <f>"ΝΕΡΟΚΟΥΡΟΥ Τ.Θ.803 ΧΑΝΙΑ"</f>
        <v>ΝΕΡΟΚΟΥΡΟΥ Τ.Θ.803 ΧΑΝΙΑ</v>
      </c>
      <c r="I9979">
        <v>73100</v>
      </c>
      <c r="J9979">
        <v>2821073395</v>
      </c>
      <c r="K9979">
        <v>6976219891</v>
      </c>
      <c r="M9979" t="s">
        <v>14925</v>
      </c>
      <c r="N9979" t="s">
        <v>337</v>
      </c>
      <c r="O9979" t="s">
        <v>338</v>
      </c>
      <c r="R9979" t="s">
        <v>57</v>
      </c>
      <c r="S9979">
        <v>11</v>
      </c>
      <c r="T9979">
        <v>177</v>
      </c>
      <c r="U9979" s="1">
        <v>36403</v>
      </c>
      <c r="V9979" t="s">
        <v>89</v>
      </c>
      <c r="W9979" t="s">
        <v>90</v>
      </c>
      <c r="X9979" t="s">
        <v>58</v>
      </c>
      <c r="Y9979">
        <v>21</v>
      </c>
      <c r="Z9979" t="s">
        <v>59</v>
      </c>
      <c r="AA9979" t="s">
        <v>59</v>
      </c>
      <c r="AB9979" t="s">
        <v>59</v>
      </c>
      <c r="AC9979" t="s">
        <v>59</v>
      </c>
      <c r="AD9979" t="s">
        <v>59</v>
      </c>
      <c r="AF9979" s="1">
        <v>36403</v>
      </c>
      <c r="AG9979" t="s">
        <v>8645</v>
      </c>
      <c r="AH9979" t="s">
        <v>8646</v>
      </c>
      <c r="AI9979" t="str">
        <f>"9500115"</f>
        <v>9500115</v>
      </c>
      <c r="AJ9979" t="s">
        <v>14180</v>
      </c>
      <c r="AK9979">
        <v>2821081133</v>
      </c>
      <c r="AL9979" t="s">
        <v>14181</v>
      </c>
      <c r="AM9979" t="s">
        <v>88</v>
      </c>
      <c r="AN9979" t="s">
        <v>88</v>
      </c>
      <c r="AO9979" t="s">
        <v>6748</v>
      </c>
      <c r="AP9979" t="s">
        <v>14182</v>
      </c>
      <c r="AQ9979">
        <v>2</v>
      </c>
      <c r="AR9979" t="s">
        <v>89</v>
      </c>
      <c r="AS9979" t="s">
        <v>90</v>
      </c>
      <c r="AT9979" t="s">
        <v>58</v>
      </c>
      <c r="AU9979" t="s">
        <v>68</v>
      </c>
      <c r="AV9979" t="s">
        <v>69</v>
      </c>
      <c r="AW9979" s="1">
        <v>24754</v>
      </c>
      <c r="AX9979">
        <v>1</v>
      </c>
    </row>
    <row r="9980" spans="1:50">
      <c r="A9980">
        <v>571314</v>
      </c>
      <c r="B9980" t="str">
        <f>"037783034"</f>
        <v>037783034</v>
      </c>
      <c r="C9980" t="s">
        <v>105</v>
      </c>
      <c r="D9980" t="s">
        <v>2614</v>
      </c>
      <c r="E9980" t="s">
        <v>53</v>
      </c>
      <c r="F9980" t="s">
        <v>72</v>
      </c>
      <c r="G9980" t="s">
        <v>96</v>
      </c>
      <c r="H9980" t="str">
        <f>"Γ. ΝΙΚΟΛΑΚΑΚΗ ΚΑΤΩ  ΔΑΡΑΤΣΟ"</f>
        <v>Γ. ΝΙΚΟΛΑΚΑΚΗ ΚΑΤΩ  ΔΑΡΑΤΣΟ</v>
      </c>
      <c r="I9980">
        <v>73100</v>
      </c>
      <c r="K9980">
        <v>6937907728</v>
      </c>
      <c r="N9980" t="s">
        <v>615</v>
      </c>
      <c r="O9980" t="s">
        <v>616</v>
      </c>
      <c r="R9980" t="s">
        <v>57</v>
      </c>
      <c r="S9980">
        <v>13</v>
      </c>
      <c r="T9980">
        <v>138</v>
      </c>
      <c r="U9980" s="1">
        <v>34206</v>
      </c>
      <c r="V9980" t="s">
        <v>89</v>
      </c>
      <c r="W9980" t="s">
        <v>90</v>
      </c>
      <c r="X9980" t="s">
        <v>58</v>
      </c>
      <c r="Y9980">
        <v>21</v>
      </c>
      <c r="Z9980" t="s">
        <v>59</v>
      </c>
      <c r="AA9980" t="s">
        <v>59</v>
      </c>
      <c r="AB9980" t="s">
        <v>59</v>
      </c>
      <c r="AC9980" t="s">
        <v>59</v>
      </c>
      <c r="AD9980" t="s">
        <v>59</v>
      </c>
      <c r="AF9980" s="1">
        <v>34206</v>
      </c>
      <c r="AG9980" t="s">
        <v>8645</v>
      </c>
      <c r="AH9980" t="s">
        <v>8646</v>
      </c>
      <c r="AI9980" t="str">
        <f>"9500119"</f>
        <v>9500119</v>
      </c>
      <c r="AJ9980" t="s">
        <v>14286</v>
      </c>
      <c r="AK9980">
        <v>2821095816</v>
      </c>
      <c r="AL9980" t="s">
        <v>14287</v>
      </c>
      <c r="AM9980" t="s">
        <v>88</v>
      </c>
      <c r="AN9980" t="s">
        <v>88</v>
      </c>
      <c r="AO9980" t="s">
        <v>13920</v>
      </c>
      <c r="AP9980" t="s">
        <v>14029</v>
      </c>
      <c r="AQ9980">
        <v>3</v>
      </c>
      <c r="AR9980" t="s">
        <v>89</v>
      </c>
      <c r="AS9980" t="s">
        <v>90</v>
      </c>
      <c r="AT9980" t="s">
        <v>58</v>
      </c>
      <c r="AU9980" t="s">
        <v>68</v>
      </c>
      <c r="AV9980" t="s">
        <v>69</v>
      </c>
      <c r="AW9980" s="1">
        <v>24258</v>
      </c>
      <c r="AX9980">
        <v>1</v>
      </c>
    </row>
    <row r="9981" spans="1:50">
      <c r="A9981">
        <v>604700</v>
      </c>
      <c r="B9981" t="str">
        <f>"053641277"</f>
        <v>053641277</v>
      </c>
      <c r="C9981" t="s">
        <v>50</v>
      </c>
      <c r="D9981" t="s">
        <v>14926</v>
      </c>
      <c r="E9981" t="s">
        <v>476</v>
      </c>
      <c r="F9981" t="s">
        <v>72</v>
      </c>
      <c r="G9981" t="s">
        <v>14927</v>
      </c>
      <c r="H9981" t="str">
        <f>"Μ. ΜΕΤΑΞΑΚΗ 37 ΧΑΝΙΑ"</f>
        <v>Μ. ΜΕΤΑΞΑΚΗ 37 ΧΑΝΙΑ</v>
      </c>
      <c r="I9981">
        <v>73100</v>
      </c>
      <c r="J9981">
        <v>2821094841</v>
      </c>
      <c r="K9981">
        <v>6936235449</v>
      </c>
      <c r="N9981" t="s">
        <v>615</v>
      </c>
      <c r="O9981" t="s">
        <v>616</v>
      </c>
      <c r="R9981" t="s">
        <v>57</v>
      </c>
      <c r="S9981">
        <v>8</v>
      </c>
      <c r="T9981">
        <v>231</v>
      </c>
      <c r="U9981" s="1">
        <v>38230</v>
      </c>
      <c r="V9981" t="s">
        <v>89</v>
      </c>
      <c r="W9981" t="s">
        <v>90</v>
      </c>
      <c r="X9981" t="s">
        <v>58</v>
      </c>
      <c r="Y9981">
        <v>22</v>
      </c>
      <c r="Z9981" t="s">
        <v>59</v>
      </c>
      <c r="AA9981" t="s">
        <v>59</v>
      </c>
      <c r="AB9981" t="s">
        <v>59</v>
      </c>
      <c r="AC9981" t="s">
        <v>59</v>
      </c>
      <c r="AD9981" t="s">
        <v>59</v>
      </c>
      <c r="AF9981" s="1">
        <v>38230</v>
      </c>
      <c r="AG9981" t="s">
        <v>8645</v>
      </c>
      <c r="AH9981" t="s">
        <v>8646</v>
      </c>
      <c r="AI9981" t="str">
        <f>"9500137"</f>
        <v>9500137</v>
      </c>
      <c r="AJ9981" t="s">
        <v>14401</v>
      </c>
      <c r="AK9981">
        <v>2821093156</v>
      </c>
      <c r="AL9981" t="s">
        <v>14402</v>
      </c>
      <c r="AM9981" t="s">
        <v>88</v>
      </c>
      <c r="AN9981" t="s">
        <v>88</v>
      </c>
      <c r="AO9981" t="s">
        <v>88</v>
      </c>
      <c r="AP9981" t="s">
        <v>88</v>
      </c>
      <c r="AQ9981">
        <v>1</v>
      </c>
      <c r="AR9981" t="s">
        <v>89</v>
      </c>
      <c r="AS9981" t="s">
        <v>90</v>
      </c>
      <c r="AT9981" t="s">
        <v>58</v>
      </c>
      <c r="AU9981" t="s">
        <v>68</v>
      </c>
      <c r="AV9981" t="s">
        <v>69</v>
      </c>
      <c r="AW9981" s="1">
        <v>23806</v>
      </c>
      <c r="AX9981">
        <v>1</v>
      </c>
    </row>
    <row r="9982" spans="1:50">
      <c r="A9982">
        <v>586521</v>
      </c>
      <c r="B9982" t="str">
        <f>"053660292"</f>
        <v>053660292</v>
      </c>
      <c r="C9982" t="s">
        <v>50</v>
      </c>
      <c r="D9982" t="s">
        <v>14928</v>
      </c>
      <c r="E9982" t="s">
        <v>1176</v>
      </c>
      <c r="F9982" t="s">
        <v>510</v>
      </c>
      <c r="G9982" t="s">
        <v>155</v>
      </c>
      <c r="H9982" t="str">
        <f>"ΑΓΙΩΝ  ΑΠΟΣΤΟΛΩΝ ΧΑΝΙΑ"</f>
        <v>ΑΓΙΩΝ  ΑΠΟΣΤΟΛΩΝ ΧΑΝΙΑ</v>
      </c>
      <c r="I9982">
        <v>73400</v>
      </c>
      <c r="J9982">
        <v>2821009828</v>
      </c>
      <c r="K9982">
        <v>6937178773</v>
      </c>
      <c r="N9982" t="s">
        <v>615</v>
      </c>
      <c r="O9982" t="s">
        <v>616</v>
      </c>
      <c r="R9982" t="s">
        <v>57</v>
      </c>
      <c r="S9982">
        <v>10</v>
      </c>
      <c r="T9982">
        <v>165</v>
      </c>
      <c r="U9982" s="1">
        <v>36040</v>
      </c>
      <c r="V9982" t="s">
        <v>89</v>
      </c>
      <c r="W9982" t="s">
        <v>90</v>
      </c>
      <c r="X9982" t="s">
        <v>58</v>
      </c>
      <c r="Y9982">
        <v>21</v>
      </c>
      <c r="Z9982" t="s">
        <v>59</v>
      </c>
      <c r="AA9982" t="s">
        <v>59</v>
      </c>
      <c r="AB9982" t="s">
        <v>59</v>
      </c>
      <c r="AC9982" t="s">
        <v>59</v>
      </c>
      <c r="AD9982" t="s">
        <v>59</v>
      </c>
      <c r="AF9982" s="1">
        <v>36040</v>
      </c>
      <c r="AG9982" t="s">
        <v>8645</v>
      </c>
      <c r="AH9982" t="s">
        <v>8646</v>
      </c>
      <c r="AI9982" t="str">
        <f>"9500403"</f>
        <v>9500403</v>
      </c>
      <c r="AJ9982" t="s">
        <v>14230</v>
      </c>
      <c r="AK9982">
        <v>2821034094</v>
      </c>
      <c r="AL9982" t="s">
        <v>14231</v>
      </c>
      <c r="AM9982" t="s">
        <v>88</v>
      </c>
      <c r="AN9982" t="s">
        <v>88</v>
      </c>
      <c r="AO9982" t="s">
        <v>6785</v>
      </c>
      <c r="AP9982" t="s">
        <v>13932</v>
      </c>
      <c r="AQ9982">
        <v>3</v>
      </c>
      <c r="AR9982" t="s">
        <v>89</v>
      </c>
      <c r="AS9982" t="s">
        <v>90</v>
      </c>
      <c r="AT9982" t="s">
        <v>58</v>
      </c>
      <c r="AU9982" t="s">
        <v>68</v>
      </c>
      <c r="AV9982" t="s">
        <v>69</v>
      </c>
      <c r="AW9982" s="1">
        <v>25218</v>
      </c>
      <c r="AX9982">
        <v>1</v>
      </c>
    </row>
    <row r="9983" spans="1:50">
      <c r="A9983">
        <v>608054</v>
      </c>
      <c r="B9983" t="str">
        <f>"057715121"</f>
        <v>057715121</v>
      </c>
      <c r="C9983" t="s">
        <v>50</v>
      </c>
      <c r="D9983" t="s">
        <v>7775</v>
      </c>
      <c r="E9983" t="s">
        <v>964</v>
      </c>
      <c r="F9983" t="s">
        <v>1286</v>
      </c>
      <c r="G9983" t="s">
        <v>801</v>
      </c>
      <c r="H9983" t="str">
        <f>"ΘΕΟΤΟΚΟΠΟΥΛΟΥ 5 ΚΟΥΜΠΕΣ"</f>
        <v>ΘΕΟΤΟΚΟΠΟΥΛΟΥ 5 ΚΟΥΜΠΕΣ</v>
      </c>
      <c r="I9983">
        <v>73134</v>
      </c>
      <c r="J9983">
        <v>2821071849</v>
      </c>
      <c r="K9983">
        <v>6973861862</v>
      </c>
      <c r="N9983" t="s">
        <v>1525</v>
      </c>
      <c r="O9983" t="s">
        <v>1526</v>
      </c>
      <c r="R9983" t="s">
        <v>57</v>
      </c>
      <c r="S9983">
        <v>9</v>
      </c>
      <c r="T9983">
        <v>217</v>
      </c>
      <c r="U9983" s="1">
        <v>38596</v>
      </c>
      <c r="V9983" t="s">
        <v>89</v>
      </c>
      <c r="W9983" t="s">
        <v>90</v>
      </c>
      <c r="X9983" t="s">
        <v>58</v>
      </c>
      <c r="Y9983">
        <v>25</v>
      </c>
      <c r="Z9983" t="s">
        <v>59</v>
      </c>
      <c r="AA9983" t="s">
        <v>59</v>
      </c>
      <c r="AB9983" t="s">
        <v>59</v>
      </c>
      <c r="AC9983" t="s">
        <v>59</v>
      </c>
      <c r="AD9983" t="s">
        <v>59</v>
      </c>
      <c r="AF9983" s="1">
        <v>38600</v>
      </c>
      <c r="AG9983" t="s">
        <v>8651</v>
      </c>
      <c r="AH9983" t="s">
        <v>8652</v>
      </c>
      <c r="AI9983" t="str">
        <f>"9500036"</f>
        <v>9500036</v>
      </c>
      <c r="AJ9983" t="s">
        <v>14929</v>
      </c>
      <c r="AK9983">
        <v>2821090544</v>
      </c>
      <c r="AL9983" t="s">
        <v>14930</v>
      </c>
      <c r="AM9983" t="s">
        <v>88</v>
      </c>
      <c r="AN9983" t="s">
        <v>88</v>
      </c>
      <c r="AO9983" t="s">
        <v>88</v>
      </c>
      <c r="AP9983" t="s">
        <v>88</v>
      </c>
      <c r="AQ9983">
        <v>2</v>
      </c>
      <c r="AR9983" t="s">
        <v>89</v>
      </c>
      <c r="AS9983" t="s">
        <v>90</v>
      </c>
      <c r="AT9983" t="s">
        <v>58</v>
      </c>
      <c r="AU9983" t="s">
        <v>68</v>
      </c>
      <c r="AV9983" t="s">
        <v>69</v>
      </c>
      <c r="AW9983" s="1">
        <v>23592</v>
      </c>
      <c r="AX9983">
        <v>1</v>
      </c>
    </row>
    <row r="9984" spans="1:50">
      <c r="A9984">
        <v>702482</v>
      </c>
      <c r="B9984" t="str">
        <f>"150368660"</f>
        <v>150368660</v>
      </c>
      <c r="C9984" t="s">
        <v>50</v>
      </c>
      <c r="D9984" t="s">
        <v>7775</v>
      </c>
      <c r="E9984" t="s">
        <v>325</v>
      </c>
      <c r="F9984" t="s">
        <v>84</v>
      </c>
      <c r="G9984" t="s">
        <v>1189</v>
      </c>
      <c r="H9984" t="str">
        <f>"Χ.ΠΙΠΕΡΑΚΗ ΛΕΙΒΑΔΙΑ 23  ΧΑΝΙΑ"</f>
        <v>Χ.ΠΙΠΕΡΑΚΗ ΛΕΙΒΑΔΙΑ 23  ΧΑΝΙΑ</v>
      </c>
      <c r="I9984">
        <v>73134</v>
      </c>
      <c r="J9984">
        <v>2821076370</v>
      </c>
      <c r="K9984">
        <v>6938639236</v>
      </c>
      <c r="N9984" t="s">
        <v>615</v>
      </c>
      <c r="O9984" t="s">
        <v>616</v>
      </c>
      <c r="R9984" t="s">
        <v>57</v>
      </c>
      <c r="S9984">
        <v>4</v>
      </c>
      <c r="T9984">
        <v>772</v>
      </c>
      <c r="U9984" s="1">
        <v>40413</v>
      </c>
      <c r="V9984" t="s">
        <v>89</v>
      </c>
      <c r="W9984" t="s">
        <v>90</v>
      </c>
      <c r="X9984" t="s">
        <v>58</v>
      </c>
      <c r="Y9984">
        <v>24</v>
      </c>
      <c r="Z9984" t="s">
        <v>59</v>
      </c>
      <c r="AA9984" t="s">
        <v>59</v>
      </c>
      <c r="AB9984" t="s">
        <v>59</v>
      </c>
      <c r="AC9984" t="s">
        <v>59</v>
      </c>
      <c r="AD9984" t="s">
        <v>59</v>
      </c>
      <c r="AF9984" s="1">
        <v>40413</v>
      </c>
      <c r="AG9984" t="s">
        <v>8645</v>
      </c>
      <c r="AH9984" t="s">
        <v>8646</v>
      </c>
      <c r="AI9984" t="str">
        <f>"9500259"</f>
        <v>9500259</v>
      </c>
      <c r="AJ9984" t="s">
        <v>14017</v>
      </c>
      <c r="AK9984">
        <v>2823041459</v>
      </c>
      <c r="AL9984" t="s">
        <v>14018</v>
      </c>
      <c r="AM9984" t="s">
        <v>88</v>
      </c>
      <c r="AN9984" t="s">
        <v>6824</v>
      </c>
      <c r="AO9984" t="s">
        <v>6870</v>
      </c>
      <c r="AP9984" t="s">
        <v>14019</v>
      </c>
      <c r="AQ9984">
        <v>11</v>
      </c>
      <c r="AR9984" t="s">
        <v>89</v>
      </c>
      <c r="AS9984" t="s">
        <v>90</v>
      </c>
      <c r="AT9984" t="s">
        <v>58</v>
      </c>
      <c r="AU9984" t="s">
        <v>68</v>
      </c>
      <c r="AV9984" t="s">
        <v>69</v>
      </c>
      <c r="AW9984" s="1">
        <v>31601</v>
      </c>
      <c r="AX9984">
        <v>1</v>
      </c>
    </row>
    <row r="9985" spans="1:50">
      <c r="B9985" t="str">
        <f>"141908806"</f>
        <v>141908806</v>
      </c>
      <c r="C9985" t="s">
        <v>105</v>
      </c>
      <c r="D9985" t="s">
        <v>14931</v>
      </c>
      <c r="E9985" t="s">
        <v>581</v>
      </c>
      <c r="F9985" t="s">
        <v>53</v>
      </c>
      <c r="G9985" t="s">
        <v>52</v>
      </c>
      <c r="H9985" t="str">
        <f>"ΜΕΛΙΣΣΑΤΙΚΑ 108 "</f>
        <v xml:space="preserve">ΜΕΛΙΣΣΑΤΙΚΑ 108 </v>
      </c>
      <c r="I9985">
        <v>38500</v>
      </c>
      <c r="J9985">
        <v>2421069948</v>
      </c>
      <c r="K9985">
        <v>6945253940</v>
      </c>
      <c r="N9985" t="s">
        <v>8694</v>
      </c>
      <c r="O9985" t="s">
        <v>8695</v>
      </c>
      <c r="R9985" t="s">
        <v>159</v>
      </c>
      <c r="S9985">
        <v>3</v>
      </c>
      <c r="T9985" t="s">
        <v>8696</v>
      </c>
      <c r="U9985" s="1">
        <v>43348</v>
      </c>
      <c r="V9985" t="s">
        <v>89</v>
      </c>
      <c r="W9985" t="s">
        <v>90</v>
      </c>
      <c r="X9985" t="s">
        <v>58</v>
      </c>
      <c r="Y9985">
        <v>24</v>
      </c>
      <c r="Z9985" t="s">
        <v>59</v>
      </c>
      <c r="AA9985" t="s">
        <v>59</v>
      </c>
      <c r="AB9985" t="s">
        <v>59</v>
      </c>
      <c r="AC9985" t="s">
        <v>59</v>
      </c>
      <c r="AD9985" t="s">
        <v>59</v>
      </c>
      <c r="AF9985" s="1">
        <v>43348</v>
      </c>
      <c r="AG9985" t="s">
        <v>8645</v>
      </c>
      <c r="AH9985" t="s">
        <v>8646</v>
      </c>
      <c r="AI9985" t="str">
        <f>"9500360"</f>
        <v>9500360</v>
      </c>
      <c r="AJ9985" t="s">
        <v>14022</v>
      </c>
      <c r="AK9985">
        <v>2821031253</v>
      </c>
      <c r="AL9985" t="s">
        <v>14023</v>
      </c>
      <c r="AM9985" t="s">
        <v>88</v>
      </c>
      <c r="AN9985" t="s">
        <v>88</v>
      </c>
      <c r="AO9985" t="s">
        <v>6785</v>
      </c>
      <c r="AP9985" t="s">
        <v>13932</v>
      </c>
      <c r="AQ9985">
        <v>3</v>
      </c>
      <c r="AR9985" t="s">
        <v>89</v>
      </c>
      <c r="AS9985" t="s">
        <v>90</v>
      </c>
      <c r="AT9985" t="s">
        <v>58</v>
      </c>
      <c r="AU9985" t="s">
        <v>350</v>
      </c>
      <c r="AV9985" t="s">
        <v>132</v>
      </c>
      <c r="AW9985" s="1">
        <v>31910</v>
      </c>
      <c r="AX9985">
        <v>1</v>
      </c>
    </row>
    <row r="9986" spans="1:50">
      <c r="A9986">
        <v>584984</v>
      </c>
      <c r="B9986" t="str">
        <f>"065067623"</f>
        <v>065067623</v>
      </c>
      <c r="C9986" t="s">
        <v>105</v>
      </c>
      <c r="D9986" t="s">
        <v>14932</v>
      </c>
      <c r="E9986" t="s">
        <v>975</v>
      </c>
      <c r="F9986" t="s">
        <v>2254</v>
      </c>
      <c r="G9986" t="s">
        <v>155</v>
      </c>
      <c r="H9986" t="str">
        <f>"ΤΑΥΡΩΝΙΤΗΣ ΧΑΝΙΑ "</f>
        <v xml:space="preserve">ΤΑΥΡΩΝΙΤΗΣ ΧΑΝΙΑ </v>
      </c>
      <c r="I9986">
        <v>73006</v>
      </c>
      <c r="J9986">
        <v>2824024006</v>
      </c>
      <c r="K9986">
        <v>6945661334</v>
      </c>
      <c r="N9986" t="s">
        <v>615</v>
      </c>
      <c r="O9986" t="s">
        <v>616</v>
      </c>
      <c r="R9986" t="s">
        <v>57</v>
      </c>
      <c r="S9986">
        <v>10</v>
      </c>
      <c r="T9986">
        <v>165</v>
      </c>
      <c r="U9986" s="1">
        <v>36040</v>
      </c>
      <c r="V9986" t="s">
        <v>89</v>
      </c>
      <c r="W9986" t="s">
        <v>90</v>
      </c>
      <c r="X9986" t="s">
        <v>58</v>
      </c>
      <c r="Y9986">
        <v>21</v>
      </c>
      <c r="Z9986" t="s">
        <v>59</v>
      </c>
      <c r="AA9986" t="s">
        <v>59</v>
      </c>
      <c r="AB9986" t="s">
        <v>59</v>
      </c>
      <c r="AC9986" t="s">
        <v>59</v>
      </c>
      <c r="AD9986" t="s">
        <v>59</v>
      </c>
      <c r="AF9986" s="1">
        <v>36045</v>
      </c>
      <c r="AG9986" t="s">
        <v>8645</v>
      </c>
      <c r="AH9986" t="s">
        <v>8646</v>
      </c>
      <c r="AI9986" t="str">
        <f>"9500218"</f>
        <v>9500218</v>
      </c>
      <c r="AJ9986" t="s">
        <v>13992</v>
      </c>
      <c r="AK9986">
        <v>2824022216</v>
      </c>
      <c r="AL9986" t="s">
        <v>13993</v>
      </c>
      <c r="AM9986" t="s">
        <v>88</v>
      </c>
      <c r="AN9986" t="s">
        <v>6764</v>
      </c>
      <c r="AO9986" t="s">
        <v>6799</v>
      </c>
      <c r="AP9986" t="s">
        <v>6799</v>
      </c>
      <c r="AQ9986">
        <v>6</v>
      </c>
      <c r="AR9986" t="s">
        <v>89</v>
      </c>
      <c r="AS9986" t="s">
        <v>90</v>
      </c>
      <c r="AT9986" t="s">
        <v>58</v>
      </c>
      <c r="AU9986" t="s">
        <v>68</v>
      </c>
      <c r="AV9986" t="s">
        <v>69</v>
      </c>
      <c r="AW9986" s="1">
        <v>24389</v>
      </c>
      <c r="AX9986">
        <v>1</v>
      </c>
    </row>
    <row r="9987" spans="1:50">
      <c r="A9987">
        <v>596651</v>
      </c>
      <c r="B9987" t="str">
        <f>"043994432"</f>
        <v>043994432</v>
      </c>
      <c r="C9987" t="s">
        <v>50</v>
      </c>
      <c r="D9987" t="s">
        <v>102</v>
      </c>
      <c r="E9987" t="s">
        <v>1755</v>
      </c>
      <c r="F9987" t="s">
        <v>95</v>
      </c>
      <c r="G9987" t="s">
        <v>14933</v>
      </c>
      <c r="H9987" t="str">
        <f>"ΠΑΧΙΑΝΩΝ 35 ΧΑΝΙΑ"</f>
        <v>ΠΑΧΙΑΝΩΝ 35 ΧΑΝΙΑ</v>
      </c>
      <c r="I9987">
        <v>73100</v>
      </c>
      <c r="J9987">
        <v>2821099363</v>
      </c>
      <c r="K9987">
        <v>6976894517</v>
      </c>
      <c r="N9987" t="s">
        <v>1525</v>
      </c>
      <c r="O9987" t="s">
        <v>1526</v>
      </c>
      <c r="R9987" t="s">
        <v>57</v>
      </c>
      <c r="S9987">
        <v>10</v>
      </c>
      <c r="T9987">
        <v>195</v>
      </c>
      <c r="U9987" s="1">
        <v>37497</v>
      </c>
      <c r="V9987" t="s">
        <v>89</v>
      </c>
      <c r="W9987" t="s">
        <v>90</v>
      </c>
      <c r="X9987" t="s">
        <v>58</v>
      </c>
      <c r="Y9987">
        <v>25</v>
      </c>
      <c r="Z9987" t="s">
        <v>59</v>
      </c>
      <c r="AA9987" t="s">
        <v>59</v>
      </c>
      <c r="AB9987" t="s">
        <v>59</v>
      </c>
      <c r="AC9987" t="s">
        <v>59</v>
      </c>
      <c r="AD9987" t="s">
        <v>59</v>
      </c>
      <c r="AF9987" s="1">
        <v>37501</v>
      </c>
      <c r="AG9987" t="s">
        <v>8651</v>
      </c>
      <c r="AH9987" t="s">
        <v>8652</v>
      </c>
      <c r="AI9987" t="str">
        <f>"9500146"</f>
        <v>9500146</v>
      </c>
      <c r="AJ9987" t="s">
        <v>14202</v>
      </c>
      <c r="AK9987">
        <v>2821088080</v>
      </c>
      <c r="AL9987" t="s">
        <v>14203</v>
      </c>
      <c r="AM9987" t="s">
        <v>88</v>
      </c>
      <c r="AN9987" t="s">
        <v>88</v>
      </c>
      <c r="AO9987" t="s">
        <v>88</v>
      </c>
      <c r="AP9987" t="s">
        <v>88</v>
      </c>
      <c r="AQ9987">
        <v>1</v>
      </c>
      <c r="AR9987" t="s">
        <v>89</v>
      </c>
      <c r="AS9987" t="s">
        <v>90</v>
      </c>
      <c r="AT9987" t="s">
        <v>58</v>
      </c>
      <c r="AU9987" t="s">
        <v>68</v>
      </c>
      <c r="AV9987" t="s">
        <v>69</v>
      </c>
      <c r="AW9987" s="1">
        <v>22002</v>
      </c>
      <c r="AX9987">
        <v>1</v>
      </c>
    </row>
    <row r="9988" spans="1:50">
      <c r="B9988" t="str">
        <f>"137331309"</f>
        <v>137331309</v>
      </c>
      <c r="C9988" t="s">
        <v>50</v>
      </c>
      <c r="D9988" t="s">
        <v>14934</v>
      </c>
      <c r="E9988" t="s">
        <v>714</v>
      </c>
      <c r="F9988" t="s">
        <v>510</v>
      </c>
      <c r="G9988" t="s">
        <v>569</v>
      </c>
      <c r="H9988" t="str">
        <f>"ΜΙΚΡΑΣ ΑΣΙΑΣ 14 ΘΕΣΣΑΛΟΝΙΚΗ"</f>
        <v>ΜΙΚΡΑΣ ΑΣΙΑΣ 14 ΘΕΣΣΑΛΟΝΙΚΗ</v>
      </c>
      <c r="I9988">
        <v>54454</v>
      </c>
      <c r="J9988">
        <v>2310943763</v>
      </c>
      <c r="K9988">
        <v>6973539286</v>
      </c>
      <c r="N9988" t="s">
        <v>8694</v>
      </c>
      <c r="O9988" t="s">
        <v>8695</v>
      </c>
      <c r="R9988" t="s">
        <v>159</v>
      </c>
      <c r="S9988">
        <v>4</v>
      </c>
      <c r="T9988" t="s">
        <v>8696</v>
      </c>
      <c r="U9988" s="1">
        <v>43348</v>
      </c>
      <c r="V9988" t="s">
        <v>89</v>
      </c>
      <c r="W9988" t="s">
        <v>90</v>
      </c>
      <c r="X9988" t="s">
        <v>58</v>
      </c>
      <c r="Y9988">
        <v>24</v>
      </c>
      <c r="Z9988" t="s">
        <v>59</v>
      </c>
      <c r="AA9988" t="s">
        <v>59</v>
      </c>
      <c r="AB9988" t="s">
        <v>59</v>
      </c>
      <c r="AC9988" t="s">
        <v>59</v>
      </c>
      <c r="AD9988" t="s">
        <v>59</v>
      </c>
      <c r="AF9988" s="1">
        <v>43348</v>
      </c>
      <c r="AG9988" t="s">
        <v>8645</v>
      </c>
      <c r="AH9988" t="s">
        <v>8646</v>
      </c>
      <c r="AI9988" t="str">
        <f>"9500160"</f>
        <v>9500160</v>
      </c>
      <c r="AJ9988" t="s">
        <v>14486</v>
      </c>
      <c r="AK9988">
        <v>2821062458</v>
      </c>
      <c r="AL9988" t="s">
        <v>14487</v>
      </c>
      <c r="AM9988" t="s">
        <v>88</v>
      </c>
      <c r="AN9988" t="s">
        <v>6764</v>
      </c>
      <c r="AO9988" t="s">
        <v>6764</v>
      </c>
      <c r="AP9988" t="s">
        <v>14488</v>
      </c>
      <c r="AQ9988">
        <v>5</v>
      </c>
      <c r="AR9988" t="s">
        <v>89</v>
      </c>
      <c r="AS9988" t="s">
        <v>90</v>
      </c>
      <c r="AT9988" t="s">
        <v>58</v>
      </c>
      <c r="AU9988" t="s">
        <v>350</v>
      </c>
      <c r="AV9988" t="s">
        <v>132</v>
      </c>
      <c r="AW9988" s="1">
        <v>31059</v>
      </c>
      <c r="AX9988">
        <v>1</v>
      </c>
    </row>
    <row r="9989" spans="1:50">
      <c r="B9989" t="str">
        <f>"064244658"</f>
        <v>064244658</v>
      </c>
      <c r="C9989" t="s">
        <v>50</v>
      </c>
      <c r="D9989" t="s">
        <v>14935</v>
      </c>
      <c r="E9989" t="s">
        <v>263</v>
      </c>
      <c r="F9989" t="s">
        <v>95</v>
      </c>
      <c r="G9989" t="s">
        <v>237</v>
      </c>
      <c r="H9989" t="str">
        <f>"ΠΑΛΑΙΑΣ ΚΑΒΑΛΑΣ 174 ΑΙΓΑΛΕΩ"</f>
        <v>ΠΑΛΑΙΑΣ ΚΑΒΑΛΑΣ 174 ΑΙΓΑΛΕΩ</v>
      </c>
      <c r="I9989">
        <v>12243</v>
      </c>
      <c r="J9989">
        <v>2105317232</v>
      </c>
      <c r="K9989">
        <v>6938432324</v>
      </c>
      <c r="M9989" t="s">
        <v>14936</v>
      </c>
      <c r="N9989" t="s">
        <v>615</v>
      </c>
      <c r="O9989" t="s">
        <v>616</v>
      </c>
      <c r="R9989" t="s">
        <v>159</v>
      </c>
      <c r="S9989">
        <v>3</v>
      </c>
      <c r="T9989" t="s">
        <v>8675</v>
      </c>
      <c r="U9989" s="1">
        <v>43348</v>
      </c>
      <c r="V9989" t="s">
        <v>89</v>
      </c>
      <c r="W9989" t="s">
        <v>90</v>
      </c>
      <c r="X9989" t="s">
        <v>58</v>
      </c>
      <c r="Y9989">
        <v>24</v>
      </c>
      <c r="Z9989" t="s">
        <v>59</v>
      </c>
      <c r="AA9989" t="s">
        <v>59</v>
      </c>
      <c r="AB9989" t="s">
        <v>59</v>
      </c>
      <c r="AC9989" t="s">
        <v>59</v>
      </c>
      <c r="AD9989" t="s">
        <v>59</v>
      </c>
      <c r="AF9989" s="1">
        <v>43348</v>
      </c>
      <c r="AG9989" t="s">
        <v>8645</v>
      </c>
      <c r="AH9989" t="s">
        <v>8646</v>
      </c>
      <c r="AI9989" t="str">
        <f>"9500103"</f>
        <v>9500103</v>
      </c>
      <c r="AJ9989" t="s">
        <v>14040</v>
      </c>
      <c r="AK9989">
        <v>2821090920</v>
      </c>
      <c r="AL9989" t="s">
        <v>14041</v>
      </c>
      <c r="AM9989" t="s">
        <v>88</v>
      </c>
      <c r="AN9989" t="s">
        <v>88</v>
      </c>
      <c r="AO9989" t="s">
        <v>6733</v>
      </c>
      <c r="AP9989" t="s">
        <v>6734</v>
      </c>
      <c r="AQ9989">
        <v>2</v>
      </c>
      <c r="AR9989" t="s">
        <v>89</v>
      </c>
      <c r="AS9989" t="s">
        <v>90</v>
      </c>
      <c r="AT9989" t="s">
        <v>58</v>
      </c>
      <c r="AU9989" t="s">
        <v>8673</v>
      </c>
      <c r="AV9989" t="s">
        <v>132</v>
      </c>
      <c r="AW9989" s="1">
        <v>31764</v>
      </c>
      <c r="AX9989">
        <v>1</v>
      </c>
    </row>
    <row r="9990" spans="1:50">
      <c r="A9990">
        <v>618330</v>
      </c>
      <c r="B9990" t="str">
        <f>"136415789"</f>
        <v>136415789</v>
      </c>
      <c r="C9990" t="s">
        <v>50</v>
      </c>
      <c r="D9990" t="s">
        <v>14937</v>
      </c>
      <c r="E9990" t="s">
        <v>681</v>
      </c>
      <c r="F9990" t="s">
        <v>450</v>
      </c>
      <c r="G9990" t="s">
        <v>52</v>
      </c>
      <c r="H9990" t="str">
        <f>"3 ΠΑΡΟΔΟ ΣΟΦ. ΒΕΝΙΖΕΛΟΥ ΣΟΥΔΑ"</f>
        <v>3 ΠΑΡΟΔΟ ΣΟΦ. ΒΕΝΙΖΕΛΟΥ ΣΟΥΔΑ</v>
      </c>
      <c r="I9990">
        <v>73100</v>
      </c>
      <c r="K9990">
        <v>6974532886</v>
      </c>
      <c r="N9990" t="s">
        <v>615</v>
      </c>
      <c r="O9990" t="s">
        <v>616</v>
      </c>
      <c r="R9990" t="s">
        <v>57</v>
      </c>
      <c r="S9990">
        <v>5</v>
      </c>
      <c r="T9990">
        <v>774</v>
      </c>
      <c r="U9990" s="1">
        <v>39680</v>
      </c>
      <c r="V9990" t="s">
        <v>89</v>
      </c>
      <c r="W9990" t="s">
        <v>90</v>
      </c>
      <c r="X9990" t="s">
        <v>58</v>
      </c>
      <c r="Y9990">
        <v>23</v>
      </c>
      <c r="Z9990" t="s">
        <v>59</v>
      </c>
      <c r="AA9990" t="s">
        <v>59</v>
      </c>
      <c r="AB9990" t="s">
        <v>59</v>
      </c>
      <c r="AC9990" t="s">
        <v>59</v>
      </c>
      <c r="AD9990" t="s">
        <v>59</v>
      </c>
      <c r="AF9990" s="1">
        <v>39681</v>
      </c>
      <c r="AG9990" t="s">
        <v>8645</v>
      </c>
      <c r="AH9990" t="s">
        <v>8646</v>
      </c>
      <c r="AI9990" t="str">
        <f>"9500035"</f>
        <v>9500035</v>
      </c>
      <c r="AJ9990" t="s">
        <v>13979</v>
      </c>
      <c r="AK9990">
        <v>2821094678</v>
      </c>
      <c r="AL9990" t="s">
        <v>13980</v>
      </c>
      <c r="AM9990" t="s">
        <v>88</v>
      </c>
      <c r="AN9990" t="s">
        <v>88</v>
      </c>
      <c r="AO9990" t="s">
        <v>88</v>
      </c>
      <c r="AP9990" t="s">
        <v>88</v>
      </c>
      <c r="AQ9990">
        <v>2</v>
      </c>
      <c r="AR9990" t="s">
        <v>89</v>
      </c>
      <c r="AS9990" t="s">
        <v>90</v>
      </c>
      <c r="AT9990" t="s">
        <v>58</v>
      </c>
      <c r="AU9990" t="s">
        <v>68</v>
      </c>
      <c r="AV9990" t="s">
        <v>69</v>
      </c>
      <c r="AW9990" s="1">
        <v>30823</v>
      </c>
      <c r="AX9990">
        <v>1</v>
      </c>
    </row>
    <row r="9991" spans="1:50">
      <c r="A9991">
        <v>592263</v>
      </c>
      <c r="B9991" t="str">
        <f>"072368089"</f>
        <v>072368089</v>
      </c>
      <c r="C9991" t="s">
        <v>105</v>
      </c>
      <c r="D9991" t="s">
        <v>14938</v>
      </c>
      <c r="E9991" t="s">
        <v>95</v>
      </c>
      <c r="F9991" t="s">
        <v>154</v>
      </c>
      <c r="G9991" t="s">
        <v>5887</v>
      </c>
      <c r="H9991" t="str">
        <f>" "</f>
        <v xml:space="preserve"> </v>
      </c>
      <c r="N9991" t="s">
        <v>1525</v>
      </c>
      <c r="O9991" t="s">
        <v>1526</v>
      </c>
      <c r="R9991" t="s">
        <v>57</v>
      </c>
      <c r="S9991">
        <v>9</v>
      </c>
      <c r="T9991">
        <v>249</v>
      </c>
      <c r="U9991" s="1">
        <v>36769</v>
      </c>
      <c r="V9991" t="s">
        <v>89</v>
      </c>
      <c r="W9991" t="s">
        <v>90</v>
      </c>
      <c r="X9991" t="s">
        <v>58</v>
      </c>
      <c r="Y9991">
        <v>25</v>
      </c>
      <c r="Z9991" t="s">
        <v>59</v>
      </c>
      <c r="AA9991" t="s">
        <v>59</v>
      </c>
      <c r="AB9991" t="s">
        <v>59</v>
      </c>
      <c r="AC9991" t="s">
        <v>59</v>
      </c>
      <c r="AD9991" t="s">
        <v>59</v>
      </c>
      <c r="AF9991" s="1">
        <v>36770</v>
      </c>
      <c r="AG9991" t="s">
        <v>8651</v>
      </c>
      <c r="AH9991" t="s">
        <v>8652</v>
      </c>
      <c r="AI9991" t="str">
        <f>"9500305"</f>
        <v>9500305</v>
      </c>
      <c r="AJ9991" t="s">
        <v>14861</v>
      </c>
      <c r="AK9991">
        <v>2821061488</v>
      </c>
      <c r="AL9991" t="s">
        <v>14862</v>
      </c>
      <c r="AM9991" t="s">
        <v>88</v>
      </c>
      <c r="AN9991" t="s">
        <v>6764</v>
      </c>
      <c r="AO9991" t="s">
        <v>6764</v>
      </c>
      <c r="AP9991" t="s">
        <v>12913</v>
      </c>
      <c r="AQ9991">
        <v>5</v>
      </c>
      <c r="AR9991" t="s">
        <v>89</v>
      </c>
      <c r="AS9991" t="s">
        <v>90</v>
      </c>
      <c r="AT9991" t="s">
        <v>58</v>
      </c>
      <c r="AU9991" t="s">
        <v>68</v>
      </c>
      <c r="AV9991" t="s">
        <v>69</v>
      </c>
      <c r="AW9991" s="1">
        <v>25307</v>
      </c>
      <c r="AX9991">
        <v>1</v>
      </c>
    </row>
    <row r="9992" spans="1:50">
      <c r="A9992">
        <v>574569</v>
      </c>
      <c r="B9992" t="str">
        <f>"068674232"</f>
        <v>068674232</v>
      </c>
      <c r="C9992" t="s">
        <v>50</v>
      </c>
      <c r="D9992" t="s">
        <v>7785</v>
      </c>
      <c r="E9992" t="s">
        <v>54</v>
      </c>
      <c r="F9992" t="s">
        <v>53</v>
      </c>
      <c r="G9992" t="s">
        <v>473</v>
      </c>
      <c r="H9992" t="str">
        <f>"ΛΕΝΤΑΡΗΔΩΝ   36 ΧΑΝΙΑ"</f>
        <v>ΛΕΝΤΑΡΗΔΩΝ   36 ΧΑΝΙΑ</v>
      </c>
      <c r="I9992">
        <v>73133</v>
      </c>
      <c r="J9992">
        <v>2821059671</v>
      </c>
      <c r="K9992">
        <v>6956151126</v>
      </c>
      <c r="N9992" t="s">
        <v>306</v>
      </c>
      <c r="O9992" t="s">
        <v>307</v>
      </c>
      <c r="R9992" t="s">
        <v>57</v>
      </c>
      <c r="S9992">
        <v>12</v>
      </c>
      <c r="T9992">
        <v>158</v>
      </c>
      <c r="U9992" s="1">
        <v>34582</v>
      </c>
      <c r="V9992" t="s">
        <v>89</v>
      </c>
      <c r="W9992" t="s">
        <v>90</v>
      </c>
      <c r="X9992" t="s">
        <v>58</v>
      </c>
      <c r="Y9992">
        <v>21</v>
      </c>
      <c r="Z9992" t="s">
        <v>59</v>
      </c>
      <c r="AA9992" t="s">
        <v>59</v>
      </c>
      <c r="AB9992" t="s">
        <v>59</v>
      </c>
      <c r="AC9992" t="s">
        <v>59</v>
      </c>
      <c r="AD9992" t="s">
        <v>59</v>
      </c>
      <c r="AF9992" s="1">
        <v>34582</v>
      </c>
      <c r="AG9992" t="s">
        <v>8645</v>
      </c>
      <c r="AH9992" t="s">
        <v>8646</v>
      </c>
      <c r="AI9992" t="str">
        <f>"9500041"</f>
        <v>9500041</v>
      </c>
      <c r="AJ9992" t="s">
        <v>13944</v>
      </c>
      <c r="AK9992">
        <v>2821028218</v>
      </c>
      <c r="AL9992" t="s">
        <v>13945</v>
      </c>
      <c r="AM9992" t="s">
        <v>88</v>
      </c>
      <c r="AN9992" t="s">
        <v>88</v>
      </c>
      <c r="AO9992" t="s">
        <v>88</v>
      </c>
      <c r="AP9992" t="s">
        <v>88</v>
      </c>
      <c r="AQ9992">
        <v>1</v>
      </c>
      <c r="AR9992" t="s">
        <v>89</v>
      </c>
      <c r="AS9992" t="s">
        <v>90</v>
      </c>
      <c r="AT9992" t="s">
        <v>58</v>
      </c>
      <c r="AU9992" t="s">
        <v>68</v>
      </c>
      <c r="AV9992" t="s">
        <v>69</v>
      </c>
      <c r="AW9992" s="1">
        <v>24211</v>
      </c>
      <c r="AX9992">
        <v>1</v>
      </c>
    </row>
    <row r="9993" spans="1:50">
      <c r="A9993">
        <v>607685</v>
      </c>
      <c r="B9993" t="str">
        <f>"108067310"</f>
        <v>108067310</v>
      </c>
      <c r="C9993" t="s">
        <v>50</v>
      </c>
      <c r="D9993" t="s">
        <v>2634</v>
      </c>
      <c r="E9993" t="s">
        <v>52</v>
      </c>
      <c r="F9993" t="s">
        <v>920</v>
      </c>
      <c r="G9993" t="s">
        <v>705</v>
      </c>
      <c r="H9993" t="str">
        <f>"YALE DR.   1761 MUNDELEIN   CHICAGO"</f>
        <v>YALE DR.   1761 MUNDELEIN   CHICAGO</v>
      </c>
      <c r="I9993">
        <v>60060</v>
      </c>
      <c r="J9993">
        <v>2521042771</v>
      </c>
      <c r="K9993">
        <v>6932352308</v>
      </c>
      <c r="N9993" t="s">
        <v>615</v>
      </c>
      <c r="O9993" t="s">
        <v>616</v>
      </c>
      <c r="R9993" t="s">
        <v>57</v>
      </c>
      <c r="S9993">
        <v>8</v>
      </c>
      <c r="T9993">
        <v>217</v>
      </c>
      <c r="U9993" s="1">
        <v>38596</v>
      </c>
      <c r="V9993" t="s">
        <v>89</v>
      </c>
      <c r="W9993" t="s">
        <v>90</v>
      </c>
      <c r="X9993" t="s">
        <v>58</v>
      </c>
      <c r="Y9993">
        <v>23</v>
      </c>
      <c r="Z9993" t="s">
        <v>59</v>
      </c>
      <c r="AA9993" t="s">
        <v>59</v>
      </c>
      <c r="AB9993" t="s">
        <v>59</v>
      </c>
      <c r="AC9993" t="s">
        <v>59</v>
      </c>
      <c r="AD9993" t="s">
        <v>59</v>
      </c>
      <c r="AF9993" s="1">
        <v>38596</v>
      </c>
      <c r="AG9993" t="s">
        <v>8645</v>
      </c>
      <c r="AH9993" t="s">
        <v>8646</v>
      </c>
      <c r="AI9993" t="str">
        <f>"9500137"</f>
        <v>9500137</v>
      </c>
      <c r="AJ9993" t="s">
        <v>14401</v>
      </c>
      <c r="AK9993">
        <v>2821093156</v>
      </c>
      <c r="AL9993" t="s">
        <v>14402</v>
      </c>
      <c r="AM9993" t="s">
        <v>88</v>
      </c>
      <c r="AN9993" t="s">
        <v>88</v>
      </c>
      <c r="AO9993" t="s">
        <v>88</v>
      </c>
      <c r="AP9993" t="s">
        <v>88</v>
      </c>
      <c r="AQ9993">
        <v>1</v>
      </c>
      <c r="AR9993" t="s">
        <v>89</v>
      </c>
      <c r="AS9993" t="s">
        <v>90</v>
      </c>
      <c r="AT9993" t="s">
        <v>58</v>
      </c>
      <c r="AU9993" t="s">
        <v>68</v>
      </c>
      <c r="AV9993" t="s">
        <v>69</v>
      </c>
      <c r="AW9993" s="1">
        <v>25069</v>
      </c>
      <c r="AX9993">
        <v>1</v>
      </c>
    </row>
    <row r="9994" spans="1:50">
      <c r="B9994" t="str">
        <f>"143287833"</f>
        <v>143287833</v>
      </c>
      <c r="C9994" t="s">
        <v>50</v>
      </c>
      <c r="D9994" t="s">
        <v>10616</v>
      </c>
      <c r="E9994" t="s">
        <v>5142</v>
      </c>
      <c r="F9994" t="s">
        <v>10619</v>
      </c>
      <c r="G9994" t="s">
        <v>5342</v>
      </c>
      <c r="H9994" t="str">
        <f>" "</f>
        <v xml:space="preserve"> </v>
      </c>
      <c r="N9994" t="s">
        <v>615</v>
      </c>
      <c r="O9994" t="s">
        <v>616</v>
      </c>
      <c r="R9994" t="s">
        <v>121</v>
      </c>
      <c r="S9994">
        <v>1</v>
      </c>
      <c r="T9994" t="s">
        <v>9034</v>
      </c>
      <c r="U9994" s="1">
        <v>43377</v>
      </c>
      <c r="V9994" t="s">
        <v>89</v>
      </c>
      <c r="W9994" t="s">
        <v>90</v>
      </c>
      <c r="X9994" t="s">
        <v>58</v>
      </c>
      <c r="Y9994">
        <v>25</v>
      </c>
      <c r="Z9994" t="s">
        <v>59</v>
      </c>
      <c r="AA9994" t="s">
        <v>59</v>
      </c>
      <c r="AB9994" t="s">
        <v>59</v>
      </c>
      <c r="AC9994" t="s">
        <v>59</v>
      </c>
      <c r="AD9994" t="s">
        <v>59</v>
      </c>
      <c r="AF9994" s="1">
        <v>43377</v>
      </c>
      <c r="AG9994" t="s">
        <v>8645</v>
      </c>
      <c r="AH9994" t="s">
        <v>8676</v>
      </c>
      <c r="AI9994" t="str">
        <f>"9500207"</f>
        <v>9500207</v>
      </c>
      <c r="AJ9994" t="s">
        <v>13869</v>
      </c>
      <c r="AK9994">
        <v>2822061217</v>
      </c>
      <c r="AL9994" t="s">
        <v>13870</v>
      </c>
      <c r="AM9994" t="s">
        <v>88</v>
      </c>
      <c r="AN9994" t="s">
        <v>6744</v>
      </c>
      <c r="AO9994" t="s">
        <v>13871</v>
      </c>
      <c r="AP9994" t="s">
        <v>13872</v>
      </c>
      <c r="AQ9994">
        <v>9</v>
      </c>
      <c r="AR9994" t="s">
        <v>89</v>
      </c>
      <c r="AS9994" t="s">
        <v>90</v>
      </c>
      <c r="AT9994" t="s">
        <v>58</v>
      </c>
      <c r="AU9994" t="s">
        <v>8673</v>
      </c>
      <c r="AV9994" t="s">
        <v>132</v>
      </c>
      <c r="AW9994" s="1">
        <v>32835</v>
      </c>
      <c r="AX9994">
        <v>1</v>
      </c>
    </row>
    <row r="9995" spans="1:50">
      <c r="A9995">
        <v>606568</v>
      </c>
      <c r="B9995" t="str">
        <f>"059466586"</f>
        <v>059466586</v>
      </c>
      <c r="C9995" t="s">
        <v>50</v>
      </c>
      <c r="D9995" t="s">
        <v>2639</v>
      </c>
      <c r="E9995" t="s">
        <v>238</v>
      </c>
      <c r="F9995" t="s">
        <v>315</v>
      </c>
      <c r="G9995" t="s">
        <v>367</v>
      </c>
      <c r="H9995" t="str">
        <f>"ΠΑΛΑΙΟΧΩΡΑ - ΠΑΝΟΡΑΜΑ ΠΑΛΑΙΟΧΩΡΑ  ΧΑΝΙΑ"</f>
        <v>ΠΑΛΑΙΟΧΩΡΑ - ΠΑΝΟΡΑΜΑ ΠΑΛΑΙΟΧΩΡΑ  ΧΑΝΙΑ</v>
      </c>
      <c r="I9995">
        <v>73001</v>
      </c>
      <c r="K9995">
        <v>6947058723</v>
      </c>
      <c r="N9995" t="s">
        <v>176</v>
      </c>
      <c r="O9995" t="s">
        <v>177</v>
      </c>
      <c r="R9995" t="s">
        <v>57</v>
      </c>
      <c r="S9995">
        <v>7</v>
      </c>
      <c r="T9995">
        <v>231</v>
      </c>
      <c r="U9995" s="1">
        <v>38230</v>
      </c>
      <c r="V9995" t="s">
        <v>89</v>
      </c>
      <c r="W9995" t="s">
        <v>90</v>
      </c>
      <c r="X9995" t="s">
        <v>58</v>
      </c>
      <c r="Y9995">
        <v>23</v>
      </c>
      <c r="Z9995" t="s">
        <v>59</v>
      </c>
      <c r="AA9995" t="s">
        <v>59</v>
      </c>
      <c r="AB9995" t="s">
        <v>59</v>
      </c>
      <c r="AC9995" t="s">
        <v>59</v>
      </c>
      <c r="AD9995" t="s">
        <v>59</v>
      </c>
      <c r="AF9995" s="1">
        <v>38230</v>
      </c>
      <c r="AG9995" t="s">
        <v>8645</v>
      </c>
      <c r="AH9995" t="s">
        <v>8646</v>
      </c>
      <c r="AI9995" t="str">
        <f>"9500315"</f>
        <v>9500315</v>
      </c>
      <c r="AJ9995" t="s">
        <v>14174</v>
      </c>
      <c r="AK9995">
        <v>2821040565</v>
      </c>
      <c r="AL9995" t="s">
        <v>14175</v>
      </c>
      <c r="AM9995" t="s">
        <v>88</v>
      </c>
      <c r="AN9995" t="s">
        <v>88</v>
      </c>
      <c r="AO9995" t="s">
        <v>88</v>
      </c>
      <c r="AP9995" t="s">
        <v>88</v>
      </c>
      <c r="AQ9995">
        <v>1</v>
      </c>
      <c r="AR9995" t="s">
        <v>89</v>
      </c>
      <c r="AS9995" t="s">
        <v>90</v>
      </c>
      <c r="AT9995" t="s">
        <v>58</v>
      </c>
      <c r="AU9995" t="s">
        <v>68</v>
      </c>
      <c r="AV9995" t="s">
        <v>69</v>
      </c>
      <c r="AW9995" s="1">
        <v>25204</v>
      </c>
      <c r="AX9995">
        <v>1</v>
      </c>
    </row>
    <row r="9996" spans="1:50">
      <c r="A9996">
        <v>579521</v>
      </c>
      <c r="B9996" t="str">
        <f>"044317953"</f>
        <v>044317953</v>
      </c>
      <c r="C9996" t="s">
        <v>50</v>
      </c>
      <c r="D9996" t="s">
        <v>14939</v>
      </c>
      <c r="E9996" t="s">
        <v>783</v>
      </c>
      <c r="F9996" t="s">
        <v>99</v>
      </c>
      <c r="G9996" t="s">
        <v>14940</v>
      </c>
      <c r="H9996" t="str">
        <f>"ΕΛΕΥΘΕΡΙΑΣ 109 ΕΛ.ΒΕΝΙΖΕΛΟΥ"</f>
        <v>ΕΛΕΥΘΕΡΙΑΣ 109 ΕΛ.ΒΕΝΙΖΕΛΟΥ</v>
      </c>
      <c r="I9996">
        <v>73300</v>
      </c>
      <c r="J9996">
        <v>2821075740</v>
      </c>
      <c r="K9996">
        <v>6938229973</v>
      </c>
      <c r="N9996" t="s">
        <v>615</v>
      </c>
      <c r="O9996" t="s">
        <v>616</v>
      </c>
      <c r="R9996" t="s">
        <v>57</v>
      </c>
      <c r="S9996">
        <v>11</v>
      </c>
      <c r="T9996">
        <v>165</v>
      </c>
      <c r="U9996" s="1">
        <v>35300</v>
      </c>
      <c r="V9996" t="s">
        <v>89</v>
      </c>
      <c r="W9996" t="s">
        <v>90</v>
      </c>
      <c r="X9996" t="s">
        <v>58</v>
      </c>
      <c r="Y9996">
        <v>21</v>
      </c>
      <c r="Z9996" t="s">
        <v>59</v>
      </c>
      <c r="AA9996" t="s">
        <v>59</v>
      </c>
      <c r="AB9996" t="s">
        <v>59</v>
      </c>
      <c r="AC9996" t="s">
        <v>59</v>
      </c>
      <c r="AD9996" t="s">
        <v>59</v>
      </c>
      <c r="AF9996" s="1">
        <v>35300</v>
      </c>
      <c r="AG9996" t="s">
        <v>8645</v>
      </c>
      <c r="AH9996" t="s">
        <v>8646</v>
      </c>
      <c r="AI9996" t="str">
        <f>"9500103"</f>
        <v>9500103</v>
      </c>
      <c r="AJ9996" t="s">
        <v>14040</v>
      </c>
      <c r="AK9996">
        <v>2821090920</v>
      </c>
      <c r="AL9996" t="s">
        <v>14041</v>
      </c>
      <c r="AM9996" t="s">
        <v>88</v>
      </c>
      <c r="AN9996" t="s">
        <v>88</v>
      </c>
      <c r="AO9996" t="s">
        <v>6733</v>
      </c>
      <c r="AP9996" t="s">
        <v>6734</v>
      </c>
      <c r="AQ9996">
        <v>2</v>
      </c>
      <c r="AR9996" t="s">
        <v>89</v>
      </c>
      <c r="AS9996" t="s">
        <v>90</v>
      </c>
      <c r="AT9996" t="s">
        <v>58</v>
      </c>
      <c r="AU9996" t="s">
        <v>68</v>
      </c>
      <c r="AV9996" t="s">
        <v>2039</v>
      </c>
      <c r="AW9996" s="1">
        <v>24718</v>
      </c>
      <c r="AX9996">
        <v>1</v>
      </c>
    </row>
    <row r="9997" spans="1:50">
      <c r="A9997">
        <v>586030</v>
      </c>
      <c r="B9997" t="str">
        <f>"033035759"</f>
        <v>033035759</v>
      </c>
      <c r="C9997" t="s">
        <v>105</v>
      </c>
      <c r="D9997" t="s">
        <v>7791</v>
      </c>
      <c r="E9997" t="s">
        <v>670</v>
      </c>
      <c r="F9997" t="s">
        <v>1023</v>
      </c>
      <c r="G9997" t="s">
        <v>2127</v>
      </c>
      <c r="H9997" t="str">
        <f>" Τ.Θ. 387, ΚΟΡΑΚΙΕΣ ΧΑΝΙΑ"</f>
        <v xml:space="preserve"> Τ.Θ. 387, ΚΟΡΑΚΙΕΣ ΧΑΝΙΑ</v>
      </c>
      <c r="I9997">
        <v>73142</v>
      </c>
      <c r="J9997">
        <v>2821069870</v>
      </c>
      <c r="K9997">
        <v>6973771682</v>
      </c>
      <c r="M9997" t="s">
        <v>14941</v>
      </c>
      <c r="N9997" t="s">
        <v>615</v>
      </c>
      <c r="O9997" t="s">
        <v>616</v>
      </c>
      <c r="R9997" t="s">
        <v>57</v>
      </c>
      <c r="S9997">
        <v>11</v>
      </c>
      <c r="T9997">
        <v>165</v>
      </c>
      <c r="U9997" s="1">
        <v>36040</v>
      </c>
      <c r="V9997" t="s">
        <v>89</v>
      </c>
      <c r="W9997" t="s">
        <v>90</v>
      </c>
      <c r="X9997" t="s">
        <v>58</v>
      </c>
      <c r="Y9997">
        <v>21</v>
      </c>
      <c r="Z9997" t="s">
        <v>59</v>
      </c>
      <c r="AA9997" t="s">
        <v>59</v>
      </c>
      <c r="AB9997" t="s">
        <v>59</v>
      </c>
      <c r="AC9997" t="s">
        <v>59</v>
      </c>
      <c r="AD9997" t="s">
        <v>59</v>
      </c>
      <c r="AF9997" s="1">
        <v>36040</v>
      </c>
      <c r="AG9997" t="s">
        <v>8645</v>
      </c>
      <c r="AH9997" t="s">
        <v>8646</v>
      </c>
      <c r="AI9997" t="str">
        <f>"9500094"</f>
        <v>9500094</v>
      </c>
      <c r="AJ9997" t="s">
        <v>13883</v>
      </c>
      <c r="AK9997">
        <v>2821039330</v>
      </c>
      <c r="AL9997" t="s">
        <v>13884</v>
      </c>
      <c r="AM9997" t="s">
        <v>88</v>
      </c>
      <c r="AN9997" t="s">
        <v>88</v>
      </c>
      <c r="AO9997" t="s">
        <v>6770</v>
      </c>
      <c r="AP9997" t="s">
        <v>6771</v>
      </c>
      <c r="AQ9997">
        <v>2</v>
      </c>
      <c r="AR9997" t="s">
        <v>89</v>
      </c>
      <c r="AS9997" t="s">
        <v>90</v>
      </c>
      <c r="AT9997" t="s">
        <v>58</v>
      </c>
      <c r="AU9997" t="s">
        <v>68</v>
      </c>
      <c r="AV9997" t="s">
        <v>2039</v>
      </c>
      <c r="AW9997" s="1">
        <v>22333</v>
      </c>
      <c r="AX9997">
        <v>1</v>
      </c>
    </row>
    <row r="9998" spans="1:50">
      <c r="A9998">
        <v>576104</v>
      </c>
      <c r="B9998" t="str">
        <f>"101567238"</f>
        <v>101567238</v>
      </c>
      <c r="C9998" t="s">
        <v>50</v>
      </c>
      <c r="D9998" t="s">
        <v>14942</v>
      </c>
      <c r="E9998" t="s">
        <v>263</v>
      </c>
      <c r="F9998" t="s">
        <v>99</v>
      </c>
      <c r="G9998" t="s">
        <v>215</v>
      </c>
      <c r="H9998" t="str">
        <f>"ΑΓ. ΚΩΝΣΤΑΝΤΙΝΟΥ 2 ΧΑΝΙΑ"</f>
        <v>ΑΓ. ΚΩΝΣΤΑΝΤΙΝΟΥ 2 ΧΑΝΙΑ</v>
      </c>
      <c r="I9998">
        <v>73100</v>
      </c>
      <c r="J9998">
        <v>2821090832</v>
      </c>
      <c r="K9998">
        <v>6977226194</v>
      </c>
      <c r="N9998" t="s">
        <v>1525</v>
      </c>
      <c r="O9998" t="s">
        <v>1526</v>
      </c>
      <c r="R9998" t="s">
        <v>57</v>
      </c>
      <c r="S9998">
        <v>12</v>
      </c>
      <c r="T9998">
        <v>184</v>
      </c>
      <c r="U9998" s="1">
        <v>34941</v>
      </c>
      <c r="V9998" t="s">
        <v>89</v>
      </c>
      <c r="W9998" t="s">
        <v>90</v>
      </c>
      <c r="X9998" t="s">
        <v>58</v>
      </c>
      <c r="Y9998">
        <v>25</v>
      </c>
      <c r="Z9998" t="s">
        <v>59</v>
      </c>
      <c r="AA9998" t="s">
        <v>59</v>
      </c>
      <c r="AB9998" t="s">
        <v>59</v>
      </c>
      <c r="AC9998" t="s">
        <v>59</v>
      </c>
      <c r="AD9998" t="s">
        <v>59</v>
      </c>
      <c r="AF9998" s="1">
        <v>34941</v>
      </c>
      <c r="AG9998" t="s">
        <v>8651</v>
      </c>
      <c r="AH9998" t="s">
        <v>8652</v>
      </c>
      <c r="AI9998" t="str">
        <f>"9500146"</f>
        <v>9500146</v>
      </c>
      <c r="AJ9998" t="s">
        <v>14202</v>
      </c>
      <c r="AK9998">
        <v>2821088080</v>
      </c>
      <c r="AL9998" t="s">
        <v>14203</v>
      </c>
      <c r="AM9998" t="s">
        <v>88</v>
      </c>
      <c r="AN9998" t="s">
        <v>88</v>
      </c>
      <c r="AO9998" t="s">
        <v>88</v>
      </c>
      <c r="AP9998" t="s">
        <v>88</v>
      </c>
      <c r="AQ9998">
        <v>1</v>
      </c>
      <c r="AR9998" t="s">
        <v>89</v>
      </c>
      <c r="AS9998" t="s">
        <v>90</v>
      </c>
      <c r="AT9998" t="s">
        <v>58</v>
      </c>
      <c r="AU9998" t="s">
        <v>68</v>
      </c>
      <c r="AV9998" t="s">
        <v>69</v>
      </c>
      <c r="AW9998" s="1">
        <v>21793</v>
      </c>
      <c r="AX9998">
        <v>1</v>
      </c>
    </row>
    <row r="9999" spans="1:50">
      <c r="A9999">
        <v>559185</v>
      </c>
      <c r="B9999" t="str">
        <f>"030768058"</f>
        <v>030768058</v>
      </c>
      <c r="C9999" t="s">
        <v>50</v>
      </c>
      <c r="D9999" t="s">
        <v>14942</v>
      </c>
      <c r="E9999" t="s">
        <v>2534</v>
      </c>
      <c r="F9999" t="s">
        <v>84</v>
      </c>
      <c r="G9999" t="s">
        <v>14943</v>
      </c>
      <c r="H9999" t="str">
        <f>"ΤΖΑΝΑΚΑΚΗ  13 ΧΑΝΙΑ"</f>
        <v>ΤΖΑΝΑΚΑΚΗ  13 ΧΑΝΙΑ</v>
      </c>
      <c r="I9999">
        <v>73134</v>
      </c>
      <c r="J9999">
        <v>2821098794</v>
      </c>
      <c r="K9999">
        <v>6937170097</v>
      </c>
      <c r="N9999" t="s">
        <v>615</v>
      </c>
      <c r="O9999" t="s">
        <v>616</v>
      </c>
      <c r="R9999" t="s">
        <v>57</v>
      </c>
      <c r="S9999">
        <v>16</v>
      </c>
      <c r="T9999">
        <v>168</v>
      </c>
      <c r="U9999" s="1">
        <v>32010</v>
      </c>
      <c r="V9999" t="s">
        <v>89</v>
      </c>
      <c r="W9999" t="s">
        <v>90</v>
      </c>
      <c r="X9999" t="s">
        <v>58</v>
      </c>
      <c r="Y9999">
        <v>21</v>
      </c>
      <c r="Z9999" t="s">
        <v>59</v>
      </c>
      <c r="AA9999" t="s">
        <v>59</v>
      </c>
      <c r="AB9999" t="s">
        <v>59</v>
      </c>
      <c r="AC9999" t="s">
        <v>59</v>
      </c>
      <c r="AD9999" t="s">
        <v>59</v>
      </c>
      <c r="AF9999" s="1">
        <v>32023</v>
      </c>
      <c r="AG9999" t="s">
        <v>8645</v>
      </c>
      <c r="AH9999" t="s">
        <v>8646</v>
      </c>
      <c r="AI9999" t="str">
        <f>"9500338"</f>
        <v>9500338</v>
      </c>
      <c r="AJ9999" t="s">
        <v>13959</v>
      </c>
      <c r="AK9999">
        <v>2821040556</v>
      </c>
      <c r="AL9999" t="s">
        <v>13960</v>
      </c>
      <c r="AM9999" t="s">
        <v>88</v>
      </c>
      <c r="AN9999" t="s">
        <v>88</v>
      </c>
      <c r="AO9999" t="s">
        <v>88</v>
      </c>
      <c r="AP9999" t="s">
        <v>88</v>
      </c>
      <c r="AQ9999">
        <v>1</v>
      </c>
      <c r="AR9999" t="s">
        <v>89</v>
      </c>
      <c r="AS9999" t="s">
        <v>90</v>
      </c>
      <c r="AT9999" t="s">
        <v>58</v>
      </c>
      <c r="AU9999" t="s">
        <v>68</v>
      </c>
      <c r="AV9999" t="s">
        <v>2039</v>
      </c>
      <c r="AW9999" s="1">
        <v>23519</v>
      </c>
      <c r="AX9999">
        <v>1</v>
      </c>
    </row>
    <row r="10000" spans="1:50">
      <c r="A10000">
        <v>553469</v>
      </c>
      <c r="B10000" t="str">
        <f>"030719132"</f>
        <v>030719132</v>
      </c>
      <c r="C10000" t="s">
        <v>105</v>
      </c>
      <c r="D10000" t="s">
        <v>14944</v>
      </c>
      <c r="E10000" t="s">
        <v>84</v>
      </c>
      <c r="F10000" t="s">
        <v>995</v>
      </c>
      <c r="G10000" t="s">
        <v>109</v>
      </c>
      <c r="H10000" t="str">
        <f>"ΠΕΡΙΒΟΛΙΑ  ΚΥΔΩΝΙΑΣ ΧΑΝΙΑ"</f>
        <v>ΠΕΡΙΒΟΛΙΑ  ΚΥΔΩΝΙΑΣ ΧΑΝΙΑ</v>
      </c>
      <c r="I10000">
        <v>73100</v>
      </c>
      <c r="J10000">
        <v>2821096458</v>
      </c>
      <c r="N10000" t="s">
        <v>615</v>
      </c>
      <c r="O10000" t="s">
        <v>616</v>
      </c>
      <c r="R10000" t="s">
        <v>57</v>
      </c>
      <c r="S10000">
        <v>16</v>
      </c>
      <c r="T10000">
        <v>235</v>
      </c>
      <c r="U10000" s="1">
        <v>31299</v>
      </c>
      <c r="V10000" t="s">
        <v>89</v>
      </c>
      <c r="W10000" t="s">
        <v>90</v>
      </c>
      <c r="X10000" t="s">
        <v>58</v>
      </c>
      <c r="Y10000">
        <v>21</v>
      </c>
      <c r="Z10000" t="s">
        <v>59</v>
      </c>
      <c r="AA10000" t="s">
        <v>59</v>
      </c>
      <c r="AB10000" t="s">
        <v>59</v>
      </c>
      <c r="AC10000" t="s">
        <v>59</v>
      </c>
      <c r="AD10000" t="s">
        <v>59</v>
      </c>
      <c r="AF10000" s="1">
        <v>31299</v>
      </c>
      <c r="AG10000" t="s">
        <v>8645</v>
      </c>
      <c r="AH10000" t="s">
        <v>8646</v>
      </c>
      <c r="AI10000" t="str">
        <f>"9500359"</f>
        <v>9500359</v>
      </c>
      <c r="AJ10000" t="s">
        <v>13939</v>
      </c>
      <c r="AK10000">
        <v>2821095778</v>
      </c>
      <c r="AL10000" t="s">
        <v>13940</v>
      </c>
      <c r="AM10000" t="s">
        <v>88</v>
      </c>
      <c r="AN10000" t="s">
        <v>88</v>
      </c>
      <c r="AO10000" t="s">
        <v>6733</v>
      </c>
      <c r="AP10000" t="s">
        <v>6755</v>
      </c>
      <c r="AQ10000">
        <v>2</v>
      </c>
      <c r="AR10000" t="s">
        <v>89</v>
      </c>
      <c r="AS10000" t="s">
        <v>90</v>
      </c>
      <c r="AT10000" t="s">
        <v>58</v>
      </c>
      <c r="AU10000" t="s">
        <v>68</v>
      </c>
      <c r="AV10000" t="s">
        <v>69</v>
      </c>
      <c r="AW10000" s="1">
        <v>22578</v>
      </c>
      <c r="AX10000">
        <v>1</v>
      </c>
    </row>
    <row r="10001" spans="1:50">
      <c r="A10001">
        <v>703229</v>
      </c>
      <c r="B10001" t="str">
        <f>"127719241"</f>
        <v>127719241</v>
      </c>
      <c r="C10001" t="s">
        <v>50</v>
      </c>
      <c r="D10001" t="s">
        <v>14945</v>
      </c>
      <c r="E10001" t="s">
        <v>83</v>
      </c>
      <c r="F10001" t="s">
        <v>1506</v>
      </c>
      <c r="G10001" t="s">
        <v>484</v>
      </c>
      <c r="H10001" t="str">
        <f>"ΚΟΥΝΟΥΠΙΔΙΑΝΑ ΑΚΡΩΤΗΡΙΟΥ ΧΑΝΙΑ"</f>
        <v>ΚΟΥΝΟΥΠΙΔΙΑΝΑ ΑΚΡΩΤΗΡΙΟΥ ΧΑΝΙΑ</v>
      </c>
      <c r="I10001">
        <v>73100</v>
      </c>
      <c r="J10001">
        <v>2821069986</v>
      </c>
      <c r="K10001">
        <v>6976042500</v>
      </c>
      <c r="N10001" t="s">
        <v>1525</v>
      </c>
      <c r="O10001" t="s">
        <v>1526</v>
      </c>
      <c r="R10001" t="s">
        <v>57</v>
      </c>
      <c r="S10001">
        <v>5</v>
      </c>
      <c r="T10001">
        <v>588</v>
      </c>
      <c r="U10001" s="1">
        <v>40778</v>
      </c>
      <c r="V10001" t="s">
        <v>89</v>
      </c>
      <c r="W10001" t="s">
        <v>90</v>
      </c>
      <c r="X10001" t="s">
        <v>58</v>
      </c>
      <c r="Y10001">
        <v>25</v>
      </c>
      <c r="Z10001" t="s">
        <v>59</v>
      </c>
      <c r="AA10001" t="s">
        <v>59</v>
      </c>
      <c r="AB10001" t="s">
        <v>59</v>
      </c>
      <c r="AC10001" t="s">
        <v>59</v>
      </c>
      <c r="AD10001" t="s">
        <v>59</v>
      </c>
      <c r="AF10001" s="1">
        <v>40787</v>
      </c>
      <c r="AG10001" t="s">
        <v>8651</v>
      </c>
      <c r="AH10001" t="s">
        <v>8652</v>
      </c>
      <c r="AI10001" t="str">
        <f>"9500343"</f>
        <v>9500343</v>
      </c>
      <c r="AJ10001" t="s">
        <v>13950</v>
      </c>
      <c r="AK10001">
        <v>2824022284</v>
      </c>
      <c r="AL10001" t="s">
        <v>13951</v>
      </c>
      <c r="AM10001" t="s">
        <v>88</v>
      </c>
      <c r="AN10001" t="s">
        <v>6764</v>
      </c>
      <c r="AO10001" t="s">
        <v>6765</v>
      </c>
      <c r="AP10001" t="s">
        <v>13952</v>
      </c>
      <c r="AQ10001">
        <v>6</v>
      </c>
      <c r="AR10001" t="s">
        <v>89</v>
      </c>
      <c r="AS10001" t="s">
        <v>90</v>
      </c>
      <c r="AT10001" t="s">
        <v>58</v>
      </c>
      <c r="AU10001" t="s">
        <v>68</v>
      </c>
      <c r="AV10001" t="s">
        <v>69</v>
      </c>
      <c r="AW10001" s="1">
        <v>30236</v>
      </c>
      <c r="AX10001">
        <v>1</v>
      </c>
    </row>
    <row r="10002" spans="1:50">
      <c r="A10002">
        <v>617208</v>
      </c>
      <c r="B10002" t="str">
        <f>"116345510"</f>
        <v>116345510</v>
      </c>
      <c r="C10002" t="s">
        <v>50</v>
      </c>
      <c r="D10002" t="s">
        <v>14946</v>
      </c>
      <c r="E10002" t="s">
        <v>73</v>
      </c>
      <c r="F10002" t="s">
        <v>315</v>
      </c>
      <c r="G10002" t="s">
        <v>237</v>
      </c>
      <c r="H10002" t="str">
        <f>"ΣΑΛΑΜΙΝΑΣ 7 ΚΑΒΑΛΑΣ"</f>
        <v>ΣΑΛΑΜΙΝΑΣ 7 ΚΑΒΑΛΑΣ</v>
      </c>
      <c r="I10002">
        <v>65403</v>
      </c>
      <c r="J10002">
        <v>2510233721</v>
      </c>
      <c r="K10002">
        <v>6973782393</v>
      </c>
      <c r="M10002" t="s">
        <v>14947</v>
      </c>
      <c r="N10002" t="s">
        <v>615</v>
      </c>
      <c r="O10002" t="s">
        <v>616</v>
      </c>
      <c r="R10002" t="s">
        <v>57</v>
      </c>
      <c r="S10002">
        <v>6</v>
      </c>
      <c r="T10002">
        <v>774</v>
      </c>
      <c r="U10002" s="1">
        <v>39680</v>
      </c>
      <c r="V10002" t="s">
        <v>89</v>
      </c>
      <c r="W10002" t="s">
        <v>90</v>
      </c>
      <c r="X10002" t="s">
        <v>58</v>
      </c>
      <c r="Y10002">
        <v>23</v>
      </c>
      <c r="Z10002" t="s">
        <v>59</v>
      </c>
      <c r="AA10002" t="s">
        <v>59</v>
      </c>
      <c r="AB10002" t="s">
        <v>452</v>
      </c>
      <c r="AC10002" t="s">
        <v>59</v>
      </c>
      <c r="AD10002" t="s">
        <v>59</v>
      </c>
      <c r="AF10002" s="1">
        <v>39685</v>
      </c>
      <c r="AG10002" t="s">
        <v>8645</v>
      </c>
      <c r="AH10002" t="s">
        <v>8646</v>
      </c>
      <c r="AI10002" t="str">
        <f>"9500077"</f>
        <v>9500077</v>
      </c>
      <c r="AJ10002" t="s">
        <v>13903</v>
      </c>
      <c r="AK10002">
        <v>2821054404</v>
      </c>
      <c r="AL10002" t="s">
        <v>13904</v>
      </c>
      <c r="AM10002" t="s">
        <v>88</v>
      </c>
      <c r="AN10002" t="s">
        <v>88</v>
      </c>
      <c r="AO10002" t="s">
        <v>88</v>
      </c>
      <c r="AP10002" t="s">
        <v>88</v>
      </c>
      <c r="AQ10002">
        <v>1</v>
      </c>
      <c r="AR10002" t="s">
        <v>89</v>
      </c>
      <c r="AS10002" t="s">
        <v>90</v>
      </c>
      <c r="AT10002" t="s">
        <v>58</v>
      </c>
      <c r="AU10002" t="s">
        <v>68</v>
      </c>
      <c r="AV10002" t="s">
        <v>69</v>
      </c>
      <c r="AW10002" s="1">
        <v>30577</v>
      </c>
      <c r="AX10002">
        <v>1</v>
      </c>
    </row>
    <row r="10003" spans="1:50">
      <c r="B10003" t="str">
        <f>"132471157"</f>
        <v>132471157</v>
      </c>
      <c r="C10003" t="s">
        <v>50</v>
      </c>
      <c r="D10003" t="s">
        <v>14948</v>
      </c>
      <c r="E10003" t="s">
        <v>1744</v>
      </c>
      <c r="F10003" t="s">
        <v>95</v>
      </c>
      <c r="G10003" t="s">
        <v>396</v>
      </c>
      <c r="H10003" t="str">
        <f>"1Η ΠΑΡ.ΧΡΥΣΟΠΗΓΗΣ 42 "</f>
        <v xml:space="preserve">1Η ΠΑΡ.ΧΡΥΣΟΠΗΓΗΣ 42 </v>
      </c>
      <c r="I10003">
        <v>73100</v>
      </c>
      <c r="J10003">
        <v>2821086604</v>
      </c>
      <c r="K10003">
        <v>6936125791</v>
      </c>
      <c r="N10003" t="s">
        <v>1525</v>
      </c>
      <c r="O10003" t="s">
        <v>1526</v>
      </c>
      <c r="R10003" t="s">
        <v>159</v>
      </c>
      <c r="S10003">
        <v>3</v>
      </c>
      <c r="T10003" t="s">
        <v>8670</v>
      </c>
      <c r="U10003" s="1">
        <v>43348</v>
      </c>
      <c r="V10003" t="s">
        <v>89</v>
      </c>
      <c r="W10003" t="s">
        <v>90</v>
      </c>
      <c r="X10003" t="s">
        <v>58</v>
      </c>
      <c r="Y10003">
        <v>25</v>
      </c>
      <c r="Z10003" t="s">
        <v>59</v>
      </c>
      <c r="AA10003" t="s">
        <v>59</v>
      </c>
      <c r="AB10003" t="s">
        <v>59</v>
      </c>
      <c r="AC10003" t="s">
        <v>59</v>
      </c>
      <c r="AD10003" t="s">
        <v>59</v>
      </c>
      <c r="AF10003" s="1">
        <v>43348</v>
      </c>
      <c r="AG10003" t="s">
        <v>8651</v>
      </c>
      <c r="AH10003" t="s">
        <v>8652</v>
      </c>
      <c r="AI10003" t="str">
        <f>"9500174"</f>
        <v>9500174</v>
      </c>
      <c r="AJ10003" t="s">
        <v>14949</v>
      </c>
      <c r="AK10003">
        <v>2823022202</v>
      </c>
      <c r="AL10003" t="s">
        <v>14950</v>
      </c>
      <c r="AM10003" t="s">
        <v>88</v>
      </c>
      <c r="AN10003" t="s">
        <v>6824</v>
      </c>
      <c r="AO10003" t="s">
        <v>6825</v>
      </c>
      <c r="AP10003" t="s">
        <v>6826</v>
      </c>
      <c r="AQ10003">
        <v>11</v>
      </c>
      <c r="AR10003" t="s">
        <v>89</v>
      </c>
      <c r="AS10003" t="s">
        <v>90</v>
      </c>
      <c r="AT10003" t="s">
        <v>58</v>
      </c>
      <c r="AU10003" t="s">
        <v>8673</v>
      </c>
      <c r="AV10003" t="s">
        <v>132</v>
      </c>
      <c r="AW10003" s="1">
        <v>30760</v>
      </c>
      <c r="AX10003">
        <v>1</v>
      </c>
    </row>
    <row r="10004" spans="1:50">
      <c r="A10004">
        <v>594523</v>
      </c>
      <c r="B10004" t="str">
        <f>"108560260"</f>
        <v>108560260</v>
      </c>
      <c r="C10004" t="s">
        <v>105</v>
      </c>
      <c r="D10004" t="s">
        <v>14951</v>
      </c>
      <c r="E10004" t="s">
        <v>1062</v>
      </c>
      <c r="F10004" t="s">
        <v>383</v>
      </c>
      <c r="G10004" t="s">
        <v>484</v>
      </c>
      <c r="H10004" t="str">
        <f>"ΜΟΥΣΤΕΡΑΚΗ  15 ΧΑΝΙΑ"</f>
        <v>ΜΟΥΣΤΕΡΑΚΗ  15 ΧΑΝΙΑ</v>
      </c>
      <c r="I10004">
        <v>73100</v>
      </c>
      <c r="J10004">
        <v>2821095289</v>
      </c>
      <c r="K10004">
        <v>6974503288</v>
      </c>
      <c r="N10004" t="s">
        <v>615</v>
      </c>
      <c r="O10004" t="s">
        <v>616</v>
      </c>
      <c r="R10004" t="s">
        <v>57</v>
      </c>
      <c r="S10004">
        <v>8</v>
      </c>
      <c r="T10004">
        <v>218</v>
      </c>
      <c r="U10004" s="1">
        <v>37134</v>
      </c>
      <c r="V10004" t="s">
        <v>89</v>
      </c>
      <c r="W10004" t="s">
        <v>90</v>
      </c>
      <c r="X10004" t="s">
        <v>58</v>
      </c>
      <c r="Y10004">
        <v>22</v>
      </c>
      <c r="Z10004" t="s">
        <v>59</v>
      </c>
      <c r="AA10004" t="s">
        <v>59</v>
      </c>
      <c r="AB10004" t="s">
        <v>59</v>
      </c>
      <c r="AC10004" t="s">
        <v>59</v>
      </c>
      <c r="AD10004" t="s">
        <v>59</v>
      </c>
      <c r="AF10004" s="1">
        <v>37134</v>
      </c>
      <c r="AG10004" t="s">
        <v>8645</v>
      </c>
      <c r="AH10004" t="s">
        <v>8646</v>
      </c>
      <c r="AI10004" t="str">
        <f>"9500148"</f>
        <v>9500148</v>
      </c>
      <c r="AJ10004" t="s">
        <v>13851</v>
      </c>
      <c r="AK10004">
        <v>2821068328</v>
      </c>
      <c r="AL10004" t="s">
        <v>13852</v>
      </c>
      <c r="AM10004" t="s">
        <v>88</v>
      </c>
      <c r="AN10004" t="s">
        <v>88</v>
      </c>
      <c r="AO10004" t="s">
        <v>6785</v>
      </c>
      <c r="AP10004" t="s">
        <v>13853</v>
      </c>
      <c r="AQ10004">
        <v>3</v>
      </c>
      <c r="AR10004" t="s">
        <v>89</v>
      </c>
      <c r="AS10004" t="s">
        <v>90</v>
      </c>
      <c r="AT10004" t="s">
        <v>58</v>
      </c>
      <c r="AU10004" t="s">
        <v>68</v>
      </c>
      <c r="AV10004" t="s">
        <v>69</v>
      </c>
      <c r="AW10004" s="1">
        <v>27415</v>
      </c>
      <c r="AX10004">
        <v>1</v>
      </c>
    </row>
    <row r="10005" spans="1:50">
      <c r="A10005">
        <v>586686</v>
      </c>
      <c r="B10005" t="str">
        <f>"054427523"</f>
        <v>054427523</v>
      </c>
      <c r="C10005" t="s">
        <v>50</v>
      </c>
      <c r="D10005" t="s">
        <v>10657</v>
      </c>
      <c r="E10005" t="s">
        <v>109</v>
      </c>
      <c r="F10005" t="s">
        <v>84</v>
      </c>
      <c r="G10005" t="s">
        <v>83</v>
      </c>
      <c r="H10005" t="str">
        <f>"ΗΡΩΩΝ ΠΟΛΥΤΕΧΝΕΙΟΥ  19 ΒΑΜΒΑΚΟΠΟΥΛΟ"</f>
        <v>ΗΡΩΩΝ ΠΟΛΥΤΕΧΝΕΙΟΥ  19 ΒΑΜΒΑΚΟΠΟΥΛΟ</v>
      </c>
      <c r="I10005">
        <v>73100</v>
      </c>
      <c r="J10005">
        <v>2821090048</v>
      </c>
      <c r="K10005">
        <v>6973623925</v>
      </c>
      <c r="N10005" t="s">
        <v>615</v>
      </c>
      <c r="O10005" t="s">
        <v>616</v>
      </c>
      <c r="R10005" t="s">
        <v>57</v>
      </c>
      <c r="S10005">
        <v>12</v>
      </c>
      <c r="T10005">
        <v>165</v>
      </c>
      <c r="U10005" s="1">
        <v>36040</v>
      </c>
      <c r="V10005" t="s">
        <v>89</v>
      </c>
      <c r="W10005" t="s">
        <v>90</v>
      </c>
      <c r="X10005" t="s">
        <v>58</v>
      </c>
      <c r="Y10005">
        <v>21</v>
      </c>
      <c r="Z10005" t="s">
        <v>59</v>
      </c>
      <c r="AA10005" t="s">
        <v>59</v>
      </c>
      <c r="AB10005" t="s">
        <v>59</v>
      </c>
      <c r="AC10005" t="s">
        <v>59</v>
      </c>
      <c r="AD10005" t="s">
        <v>59</v>
      </c>
      <c r="AF10005" s="1">
        <v>36040</v>
      </c>
      <c r="AG10005" t="s">
        <v>8645</v>
      </c>
      <c r="AH10005" t="s">
        <v>8646</v>
      </c>
      <c r="AI10005" t="str">
        <f>"9500119"</f>
        <v>9500119</v>
      </c>
      <c r="AJ10005" t="s">
        <v>14286</v>
      </c>
      <c r="AK10005">
        <v>2821095816</v>
      </c>
      <c r="AL10005" t="s">
        <v>14287</v>
      </c>
      <c r="AM10005" t="s">
        <v>88</v>
      </c>
      <c r="AN10005" t="s">
        <v>88</v>
      </c>
      <c r="AO10005" t="s">
        <v>13920</v>
      </c>
      <c r="AP10005" t="s">
        <v>14029</v>
      </c>
      <c r="AQ10005">
        <v>3</v>
      </c>
      <c r="AR10005" t="s">
        <v>89</v>
      </c>
      <c r="AS10005" t="s">
        <v>90</v>
      </c>
      <c r="AT10005" t="s">
        <v>58</v>
      </c>
      <c r="AU10005" t="s">
        <v>68</v>
      </c>
      <c r="AV10005" t="s">
        <v>69</v>
      </c>
      <c r="AW10005" s="1">
        <v>25031</v>
      </c>
      <c r="AX10005">
        <v>1</v>
      </c>
    </row>
    <row r="10006" spans="1:50">
      <c r="A10006">
        <v>579094</v>
      </c>
      <c r="B10006" t="str">
        <f>"064694448"</f>
        <v>064694448</v>
      </c>
      <c r="C10006" t="s">
        <v>50</v>
      </c>
      <c r="D10006" t="s">
        <v>2679</v>
      </c>
      <c r="E10006" t="s">
        <v>52</v>
      </c>
      <c r="F10006" t="s">
        <v>53</v>
      </c>
      <c r="G10006" t="s">
        <v>191</v>
      </c>
      <c r="H10006" t="str">
        <f>"ΔΕΞΑΜΕΝΗΣ 5 ΓΑΛΑΤΑΣ -ΝΕΑ ΚΥΔΩΝΙΑ"</f>
        <v>ΔΕΞΑΜΕΝΗΣ 5 ΓΑΛΑΤΑΣ -ΝΕΑ ΚΥΔΩΝΙΑ</v>
      </c>
      <c r="I10006">
        <v>73100</v>
      </c>
      <c r="J10006">
        <v>2821032847</v>
      </c>
      <c r="K10006">
        <v>6976552334</v>
      </c>
      <c r="N10006" t="s">
        <v>615</v>
      </c>
      <c r="O10006" t="s">
        <v>616</v>
      </c>
      <c r="R10006" t="s">
        <v>57</v>
      </c>
      <c r="S10006">
        <v>13</v>
      </c>
      <c r="T10006">
        <v>165</v>
      </c>
      <c r="U10006" s="1">
        <v>35300</v>
      </c>
      <c r="V10006" t="s">
        <v>89</v>
      </c>
      <c r="W10006" t="s">
        <v>90</v>
      </c>
      <c r="X10006" t="s">
        <v>58</v>
      </c>
      <c r="Y10006">
        <v>21</v>
      </c>
      <c r="Z10006" t="s">
        <v>59</v>
      </c>
      <c r="AA10006" t="s">
        <v>59</v>
      </c>
      <c r="AB10006" t="s">
        <v>59</v>
      </c>
      <c r="AC10006" t="s">
        <v>59</v>
      </c>
      <c r="AD10006" t="s">
        <v>59</v>
      </c>
      <c r="AF10006" s="1">
        <v>35300</v>
      </c>
      <c r="AG10006" t="s">
        <v>8645</v>
      </c>
      <c r="AH10006" t="s">
        <v>8646</v>
      </c>
      <c r="AI10006" t="str">
        <f>"9500360"</f>
        <v>9500360</v>
      </c>
      <c r="AJ10006" t="s">
        <v>14022</v>
      </c>
      <c r="AK10006">
        <v>2821031253</v>
      </c>
      <c r="AL10006" t="s">
        <v>14023</v>
      </c>
      <c r="AM10006" t="s">
        <v>88</v>
      </c>
      <c r="AN10006" t="s">
        <v>88</v>
      </c>
      <c r="AO10006" t="s">
        <v>6785</v>
      </c>
      <c r="AP10006" t="s">
        <v>13932</v>
      </c>
      <c r="AQ10006">
        <v>3</v>
      </c>
      <c r="AR10006" t="s">
        <v>89</v>
      </c>
      <c r="AS10006" t="s">
        <v>90</v>
      </c>
      <c r="AT10006" t="s">
        <v>58</v>
      </c>
      <c r="AU10006" t="s">
        <v>68</v>
      </c>
      <c r="AV10006" t="s">
        <v>69</v>
      </c>
      <c r="AW10006" s="1">
        <v>23902</v>
      </c>
      <c r="AX10006">
        <v>1</v>
      </c>
    </row>
    <row r="10007" spans="1:50">
      <c r="A10007">
        <v>565973</v>
      </c>
      <c r="B10007" t="str">
        <f>"101599341"</f>
        <v>101599341</v>
      </c>
      <c r="C10007" t="s">
        <v>50</v>
      </c>
      <c r="D10007" t="s">
        <v>10659</v>
      </c>
      <c r="E10007" t="s">
        <v>237</v>
      </c>
      <c r="F10007" t="s">
        <v>53</v>
      </c>
      <c r="G10007" t="s">
        <v>314</v>
      </c>
      <c r="H10007" t="str">
        <f>"Ν. ΣΚΟΥΛΑ 13-15 ΧΑΝΙΑ"</f>
        <v>Ν. ΣΚΟΥΛΑ 13-15 ΧΑΝΙΑ</v>
      </c>
      <c r="I10007">
        <v>73100</v>
      </c>
      <c r="J10007">
        <v>2821098349</v>
      </c>
      <c r="K10007">
        <v>6974123143</v>
      </c>
      <c r="N10007" t="s">
        <v>615</v>
      </c>
      <c r="O10007" t="s">
        <v>616</v>
      </c>
      <c r="R10007" t="s">
        <v>57</v>
      </c>
      <c r="S10007">
        <v>16</v>
      </c>
      <c r="T10007">
        <v>161</v>
      </c>
      <c r="U10007" s="1">
        <v>33119</v>
      </c>
      <c r="V10007" t="s">
        <v>89</v>
      </c>
      <c r="W10007" t="s">
        <v>90</v>
      </c>
      <c r="X10007" t="s">
        <v>58</v>
      </c>
      <c r="Y10007">
        <v>21</v>
      </c>
      <c r="Z10007" t="s">
        <v>59</v>
      </c>
      <c r="AA10007" t="s">
        <v>59</v>
      </c>
      <c r="AB10007" t="s">
        <v>59</v>
      </c>
      <c r="AC10007" t="s">
        <v>59</v>
      </c>
      <c r="AD10007" t="s">
        <v>59</v>
      </c>
      <c r="AF10007" s="1">
        <v>33119</v>
      </c>
      <c r="AG10007" t="s">
        <v>8645</v>
      </c>
      <c r="AH10007" t="s">
        <v>8646</v>
      </c>
      <c r="AI10007" t="str">
        <f>"9500070"</f>
        <v>9500070</v>
      </c>
      <c r="AJ10007" t="s">
        <v>14221</v>
      </c>
      <c r="AK10007">
        <v>2821095817</v>
      </c>
      <c r="AL10007" t="s">
        <v>14222</v>
      </c>
      <c r="AM10007" t="s">
        <v>88</v>
      </c>
      <c r="AN10007" t="s">
        <v>88</v>
      </c>
      <c r="AO10007" t="s">
        <v>88</v>
      </c>
      <c r="AP10007" t="s">
        <v>88</v>
      </c>
      <c r="AQ10007">
        <v>1</v>
      </c>
      <c r="AR10007" t="s">
        <v>89</v>
      </c>
      <c r="AS10007" t="s">
        <v>90</v>
      </c>
      <c r="AT10007" t="s">
        <v>58</v>
      </c>
      <c r="AU10007" t="s">
        <v>68</v>
      </c>
      <c r="AV10007" t="s">
        <v>69</v>
      </c>
      <c r="AW10007" s="1">
        <v>22807</v>
      </c>
      <c r="AX10007">
        <v>1</v>
      </c>
    </row>
    <row r="10008" spans="1:50">
      <c r="B10008" t="str">
        <f>"066833320"</f>
        <v>066833320</v>
      </c>
      <c r="C10008" t="s">
        <v>50</v>
      </c>
      <c r="D10008" t="s">
        <v>2697</v>
      </c>
      <c r="E10008" t="s">
        <v>250</v>
      </c>
      <c r="F10008" t="s">
        <v>10564</v>
      </c>
      <c r="G10008" t="s">
        <v>4987</v>
      </c>
      <c r="H10008" t="str">
        <f>" "</f>
        <v xml:space="preserve"> </v>
      </c>
      <c r="N10008" t="s">
        <v>8694</v>
      </c>
      <c r="O10008" t="s">
        <v>8695</v>
      </c>
      <c r="R10008" t="s">
        <v>159</v>
      </c>
      <c r="S10008">
        <v>1</v>
      </c>
      <c r="T10008" t="s">
        <v>8835</v>
      </c>
      <c r="U10008" s="1">
        <v>43348</v>
      </c>
      <c r="V10008" t="s">
        <v>89</v>
      </c>
      <c r="W10008" t="s">
        <v>90</v>
      </c>
      <c r="X10008" t="s">
        <v>58</v>
      </c>
      <c r="Y10008">
        <v>24</v>
      </c>
      <c r="Z10008" t="s">
        <v>59</v>
      </c>
      <c r="AA10008" t="s">
        <v>59</v>
      </c>
      <c r="AB10008" t="s">
        <v>59</v>
      </c>
      <c r="AD10008" t="s">
        <v>59</v>
      </c>
      <c r="AF10008" s="1">
        <v>43348</v>
      </c>
      <c r="AG10008" t="s">
        <v>8645</v>
      </c>
      <c r="AH10008" t="s">
        <v>14199</v>
      </c>
      <c r="AI10008" t="str">
        <f>"9500140"</f>
        <v>9500140</v>
      </c>
      <c r="AJ10008" t="s">
        <v>14200</v>
      </c>
      <c r="AK10008">
        <v>2821097348</v>
      </c>
      <c r="AL10008" t="s">
        <v>14201</v>
      </c>
      <c r="AM10008" t="s">
        <v>88</v>
      </c>
      <c r="AN10008" t="s">
        <v>88</v>
      </c>
      <c r="AO10008" t="s">
        <v>88</v>
      </c>
      <c r="AP10008" t="s">
        <v>88</v>
      </c>
      <c r="AQ10008">
        <v>1</v>
      </c>
      <c r="AR10008" t="s">
        <v>89</v>
      </c>
      <c r="AS10008" t="s">
        <v>90</v>
      </c>
      <c r="AT10008" t="s">
        <v>58</v>
      </c>
      <c r="AU10008" t="s">
        <v>131</v>
      </c>
      <c r="AV10008" t="s">
        <v>132</v>
      </c>
      <c r="AW10008" s="1">
        <v>33451</v>
      </c>
      <c r="AX10008">
        <v>1</v>
      </c>
    </row>
    <row r="10009" spans="1:50">
      <c r="A10009">
        <v>554817</v>
      </c>
      <c r="B10009" t="str">
        <f>"030407609"</f>
        <v>030407609</v>
      </c>
      <c r="C10009" t="s">
        <v>105</v>
      </c>
      <c r="D10009" t="s">
        <v>14952</v>
      </c>
      <c r="E10009" t="s">
        <v>166</v>
      </c>
      <c r="F10009" t="s">
        <v>95</v>
      </c>
      <c r="G10009" t="s">
        <v>255</v>
      </c>
      <c r="H10009" t="str">
        <f>"ΚΑΛΑΘΑΣ ΧΑΝΙΑ-ΑΚΡΩΤΗΡΙ"</f>
        <v>ΚΑΛΑΘΑΣ ΧΑΝΙΑ-ΑΚΡΩΤΗΡΙ</v>
      </c>
      <c r="I10009">
        <v>73100</v>
      </c>
      <c r="J10009">
        <v>2821069816</v>
      </c>
      <c r="K10009">
        <v>6977913481</v>
      </c>
      <c r="N10009" t="s">
        <v>615</v>
      </c>
      <c r="O10009" t="s">
        <v>616</v>
      </c>
      <c r="R10009" t="s">
        <v>57</v>
      </c>
      <c r="S10009">
        <v>16</v>
      </c>
      <c r="T10009">
        <v>200</v>
      </c>
      <c r="U10009" s="1">
        <v>31657</v>
      </c>
      <c r="V10009" t="s">
        <v>89</v>
      </c>
      <c r="W10009" t="s">
        <v>90</v>
      </c>
      <c r="X10009" t="s">
        <v>58</v>
      </c>
      <c r="Y10009">
        <v>21</v>
      </c>
      <c r="Z10009" t="s">
        <v>59</v>
      </c>
      <c r="AA10009" t="s">
        <v>59</v>
      </c>
      <c r="AB10009" t="s">
        <v>59</v>
      </c>
      <c r="AC10009" t="s">
        <v>59</v>
      </c>
      <c r="AD10009" t="s">
        <v>59</v>
      </c>
      <c r="AF10009" s="1">
        <v>31657</v>
      </c>
      <c r="AG10009" t="s">
        <v>8645</v>
      </c>
      <c r="AH10009" t="s">
        <v>8646</v>
      </c>
      <c r="AI10009" t="str">
        <f>"9520693"</f>
        <v>9520693</v>
      </c>
      <c r="AJ10009" t="s">
        <v>13913</v>
      </c>
      <c r="AK10009">
        <v>2821066910</v>
      </c>
      <c r="AL10009" t="s">
        <v>13914</v>
      </c>
      <c r="AM10009" t="s">
        <v>88</v>
      </c>
      <c r="AN10009" t="s">
        <v>88</v>
      </c>
      <c r="AO10009" t="s">
        <v>6770</v>
      </c>
      <c r="AP10009" t="s">
        <v>6771</v>
      </c>
      <c r="AQ10009">
        <v>2</v>
      </c>
      <c r="AR10009" t="s">
        <v>89</v>
      </c>
      <c r="AS10009" t="s">
        <v>90</v>
      </c>
      <c r="AT10009" t="s">
        <v>58</v>
      </c>
      <c r="AU10009" t="s">
        <v>68</v>
      </c>
      <c r="AV10009" t="s">
        <v>2039</v>
      </c>
      <c r="AW10009" s="1">
        <v>22810</v>
      </c>
      <c r="AX10009">
        <v>1</v>
      </c>
    </row>
    <row r="10010" spans="1:50">
      <c r="A10010">
        <v>615994</v>
      </c>
      <c r="B10010" t="str">
        <f>"061934511"</f>
        <v>061934511</v>
      </c>
      <c r="C10010" t="s">
        <v>50</v>
      </c>
      <c r="D10010" t="s">
        <v>14953</v>
      </c>
      <c r="E10010" t="s">
        <v>109</v>
      </c>
      <c r="F10010" t="s">
        <v>95</v>
      </c>
      <c r="G10010" t="s">
        <v>563</v>
      </c>
      <c r="H10010" t="str">
        <f>" "</f>
        <v xml:space="preserve"> </v>
      </c>
      <c r="J10010">
        <v>2352083246</v>
      </c>
      <c r="K10010">
        <v>6974420380</v>
      </c>
      <c r="N10010" t="s">
        <v>176</v>
      </c>
      <c r="O10010" t="s">
        <v>177</v>
      </c>
      <c r="R10010" t="s">
        <v>57</v>
      </c>
      <c r="S10010">
        <v>7</v>
      </c>
      <c r="T10010">
        <v>600</v>
      </c>
      <c r="U10010" s="1">
        <v>39310</v>
      </c>
      <c r="V10010" t="s">
        <v>89</v>
      </c>
      <c r="W10010" t="s">
        <v>90</v>
      </c>
      <c r="X10010" t="s">
        <v>58</v>
      </c>
      <c r="Y10010">
        <v>22</v>
      </c>
      <c r="Z10010" t="s">
        <v>59</v>
      </c>
      <c r="AA10010" t="s">
        <v>59</v>
      </c>
      <c r="AB10010" t="s">
        <v>59</v>
      </c>
      <c r="AC10010" t="s">
        <v>59</v>
      </c>
      <c r="AD10010" t="s">
        <v>59</v>
      </c>
      <c r="AF10010" s="1">
        <v>39328</v>
      </c>
      <c r="AG10010" t="s">
        <v>8645</v>
      </c>
      <c r="AH10010" t="s">
        <v>8646</v>
      </c>
      <c r="AI10010" t="str">
        <f>"9500139"</f>
        <v>9500139</v>
      </c>
      <c r="AJ10010" t="s">
        <v>14050</v>
      </c>
      <c r="AK10010">
        <v>2821096819</v>
      </c>
      <c r="AL10010" t="s">
        <v>14051</v>
      </c>
      <c r="AM10010" t="s">
        <v>88</v>
      </c>
      <c r="AN10010" t="s">
        <v>88</v>
      </c>
      <c r="AO10010" t="s">
        <v>88</v>
      </c>
      <c r="AP10010" t="s">
        <v>88</v>
      </c>
      <c r="AQ10010">
        <v>1</v>
      </c>
      <c r="AR10010" t="s">
        <v>89</v>
      </c>
      <c r="AS10010" t="s">
        <v>90</v>
      </c>
      <c r="AT10010" t="s">
        <v>58</v>
      </c>
      <c r="AU10010" t="s">
        <v>68</v>
      </c>
      <c r="AV10010" t="s">
        <v>132</v>
      </c>
      <c r="AW10010" s="1">
        <v>26071</v>
      </c>
      <c r="AX10010">
        <v>1</v>
      </c>
    </row>
    <row r="10011" spans="1:50">
      <c r="A10011">
        <v>619749</v>
      </c>
      <c r="B10011" t="str">
        <f>"129814497"</f>
        <v>129814497</v>
      </c>
      <c r="C10011" t="s">
        <v>50</v>
      </c>
      <c r="D10011" t="s">
        <v>2717</v>
      </c>
      <c r="E10011" t="s">
        <v>529</v>
      </c>
      <c r="F10011" t="s">
        <v>1357</v>
      </c>
      <c r="G10011" t="s">
        <v>931</v>
      </c>
      <c r="H10011" t="str">
        <f>"Β' ΠΑΡΟΔΟΣ ΑΠΤΕΡΩΝ ΧΑΝΙΑ"</f>
        <v>Β' ΠΑΡΟΔΟΣ ΑΠΤΕΡΩΝ ΧΑΝΙΑ</v>
      </c>
      <c r="J10011">
        <v>2691060287</v>
      </c>
      <c r="K10011">
        <v>6974555913</v>
      </c>
      <c r="M10011" t="s">
        <v>14954</v>
      </c>
      <c r="N10011" t="s">
        <v>306</v>
      </c>
      <c r="O10011" t="s">
        <v>307</v>
      </c>
      <c r="R10011" t="s">
        <v>57</v>
      </c>
      <c r="S10011">
        <v>5</v>
      </c>
      <c r="T10011">
        <v>775</v>
      </c>
      <c r="U10011" s="1">
        <v>39680</v>
      </c>
      <c r="V10011" t="s">
        <v>89</v>
      </c>
      <c r="W10011" t="s">
        <v>90</v>
      </c>
      <c r="X10011" t="s">
        <v>58</v>
      </c>
      <c r="Y10011">
        <v>23</v>
      </c>
      <c r="Z10011" t="s">
        <v>59</v>
      </c>
      <c r="AA10011" t="s">
        <v>59</v>
      </c>
      <c r="AB10011" t="s">
        <v>59</v>
      </c>
      <c r="AC10011" t="s">
        <v>59</v>
      </c>
      <c r="AD10011" t="s">
        <v>59</v>
      </c>
      <c r="AF10011" s="1">
        <v>39685</v>
      </c>
      <c r="AG10011" t="s">
        <v>8645</v>
      </c>
      <c r="AH10011" t="s">
        <v>8646</v>
      </c>
      <c r="AI10011" t="str">
        <f>"9500115"</f>
        <v>9500115</v>
      </c>
      <c r="AJ10011" t="s">
        <v>14180</v>
      </c>
      <c r="AK10011">
        <v>2821081133</v>
      </c>
      <c r="AL10011" t="s">
        <v>14181</v>
      </c>
      <c r="AM10011" t="s">
        <v>88</v>
      </c>
      <c r="AN10011" t="s">
        <v>88</v>
      </c>
      <c r="AO10011" t="s">
        <v>6748</v>
      </c>
      <c r="AP10011" t="s">
        <v>14182</v>
      </c>
      <c r="AQ10011">
        <v>2</v>
      </c>
      <c r="AR10011" t="s">
        <v>89</v>
      </c>
      <c r="AS10011" t="s">
        <v>90</v>
      </c>
      <c r="AT10011" t="s">
        <v>58</v>
      </c>
      <c r="AU10011" t="s">
        <v>68</v>
      </c>
      <c r="AV10011" t="s">
        <v>69</v>
      </c>
      <c r="AW10011" s="1">
        <v>30655</v>
      </c>
      <c r="AX10011">
        <v>1</v>
      </c>
    </row>
    <row r="10012" spans="1:50">
      <c r="A10012">
        <v>596958</v>
      </c>
      <c r="B10012" t="str">
        <f>"066002420"</f>
        <v>066002420</v>
      </c>
      <c r="C10012" t="s">
        <v>50</v>
      </c>
      <c r="D10012" t="s">
        <v>14955</v>
      </c>
      <c r="E10012" t="s">
        <v>109</v>
      </c>
      <c r="F10012" t="s">
        <v>95</v>
      </c>
      <c r="G10012" t="s">
        <v>314</v>
      </c>
      <c r="H10012" t="str">
        <f>"ΠΑΛΑΙΟΧΩΡΑ ΧΑΝΙΩΝ "</f>
        <v xml:space="preserve">ΠΑΛΑΙΟΧΩΡΑ ΧΑΝΙΩΝ </v>
      </c>
      <c r="I10012">
        <v>73001</v>
      </c>
      <c r="J10012">
        <v>2823041360</v>
      </c>
      <c r="K10012">
        <v>6974660491</v>
      </c>
      <c r="N10012" t="s">
        <v>1525</v>
      </c>
      <c r="O10012" t="s">
        <v>1526</v>
      </c>
      <c r="R10012" t="s">
        <v>57</v>
      </c>
      <c r="S10012">
        <v>10</v>
      </c>
      <c r="T10012">
        <v>195</v>
      </c>
      <c r="U10012" s="1">
        <v>37497</v>
      </c>
      <c r="V10012" t="s">
        <v>89</v>
      </c>
      <c r="W10012" t="s">
        <v>90</v>
      </c>
      <c r="X10012" t="s">
        <v>58</v>
      </c>
      <c r="Y10012">
        <v>25</v>
      </c>
      <c r="Z10012" t="s">
        <v>59</v>
      </c>
      <c r="AA10012" t="s">
        <v>59</v>
      </c>
      <c r="AB10012" t="s">
        <v>59</v>
      </c>
      <c r="AC10012" t="s">
        <v>59</v>
      </c>
      <c r="AD10012" t="s">
        <v>59</v>
      </c>
      <c r="AF10012" s="1">
        <v>37501</v>
      </c>
      <c r="AG10012" t="s">
        <v>8651</v>
      </c>
      <c r="AH10012" t="s">
        <v>8652</v>
      </c>
      <c r="AI10012" t="str">
        <f>"9520799"</f>
        <v>9520799</v>
      </c>
      <c r="AJ10012" t="s">
        <v>14956</v>
      </c>
      <c r="AK10012">
        <v>2823041288</v>
      </c>
      <c r="AL10012" t="s">
        <v>14957</v>
      </c>
      <c r="AM10012" t="s">
        <v>88</v>
      </c>
      <c r="AN10012" t="s">
        <v>6824</v>
      </c>
      <c r="AO10012" t="s">
        <v>6870</v>
      </c>
      <c r="AP10012" t="s">
        <v>6871</v>
      </c>
      <c r="AQ10012">
        <v>11</v>
      </c>
      <c r="AR10012" t="s">
        <v>89</v>
      </c>
      <c r="AS10012" t="s">
        <v>90</v>
      </c>
      <c r="AT10012" t="s">
        <v>58</v>
      </c>
      <c r="AU10012" t="s">
        <v>68</v>
      </c>
      <c r="AV10012" t="s">
        <v>69</v>
      </c>
      <c r="AW10012" s="1">
        <v>26626</v>
      </c>
      <c r="AX10012">
        <v>1</v>
      </c>
    </row>
    <row r="10013" spans="1:50">
      <c r="A10013">
        <v>611906</v>
      </c>
      <c r="B10013" t="str">
        <f>"118106912"</f>
        <v>118106912</v>
      </c>
      <c r="C10013" t="s">
        <v>50</v>
      </c>
      <c r="D10013" t="s">
        <v>2718</v>
      </c>
      <c r="E10013" t="s">
        <v>809</v>
      </c>
      <c r="F10013" t="s">
        <v>84</v>
      </c>
      <c r="G10013" t="s">
        <v>96</v>
      </c>
      <c r="H10013" t="str">
        <f>" "</f>
        <v xml:space="preserve"> </v>
      </c>
      <c r="J10013">
        <v>2821002556</v>
      </c>
      <c r="K10013">
        <v>6947041980</v>
      </c>
      <c r="N10013" t="s">
        <v>1525</v>
      </c>
      <c r="O10013" t="s">
        <v>1526</v>
      </c>
      <c r="R10013" t="s">
        <v>57</v>
      </c>
      <c r="S10013">
        <v>6</v>
      </c>
      <c r="T10013">
        <v>233</v>
      </c>
      <c r="U10013" s="1">
        <v>38960</v>
      </c>
      <c r="V10013" t="s">
        <v>89</v>
      </c>
      <c r="W10013" t="s">
        <v>90</v>
      </c>
      <c r="X10013" t="s">
        <v>58</v>
      </c>
      <c r="Y10013">
        <v>25</v>
      </c>
      <c r="Z10013" t="s">
        <v>59</v>
      </c>
      <c r="AA10013" t="s">
        <v>59</v>
      </c>
      <c r="AB10013" t="s">
        <v>59</v>
      </c>
      <c r="AC10013" t="s">
        <v>59</v>
      </c>
      <c r="AD10013" t="s">
        <v>59</v>
      </c>
      <c r="AF10013" s="1">
        <v>38961</v>
      </c>
      <c r="AG10013" t="s">
        <v>8651</v>
      </c>
      <c r="AH10013" t="s">
        <v>8652</v>
      </c>
      <c r="AI10013" t="str">
        <f>"9521552"</f>
        <v>9521552</v>
      </c>
      <c r="AJ10013" t="s">
        <v>14958</v>
      </c>
      <c r="AK10013">
        <v>2821081793</v>
      </c>
      <c r="AL10013" t="s">
        <v>14959</v>
      </c>
      <c r="AM10013" t="s">
        <v>88</v>
      </c>
      <c r="AN10013" t="s">
        <v>88</v>
      </c>
      <c r="AO10013" t="s">
        <v>6748</v>
      </c>
      <c r="AP10013" t="s">
        <v>14182</v>
      </c>
      <c r="AQ10013">
        <v>2</v>
      </c>
      <c r="AR10013" t="s">
        <v>89</v>
      </c>
      <c r="AS10013" t="s">
        <v>90</v>
      </c>
      <c r="AT10013" t="s">
        <v>58</v>
      </c>
      <c r="AU10013" t="s">
        <v>68</v>
      </c>
      <c r="AV10013" t="s">
        <v>69</v>
      </c>
      <c r="AW10013" s="1">
        <v>29799</v>
      </c>
      <c r="AX10013">
        <v>1</v>
      </c>
    </row>
    <row r="10014" spans="1:50">
      <c r="B10014" t="str">
        <f>"140635525"</f>
        <v>140635525</v>
      </c>
      <c r="C10014" t="s">
        <v>50</v>
      </c>
      <c r="D10014" t="s">
        <v>14960</v>
      </c>
      <c r="E10014" t="s">
        <v>237</v>
      </c>
      <c r="F10014" t="s">
        <v>1316</v>
      </c>
      <c r="G10014" t="s">
        <v>14961</v>
      </c>
      <c r="H10014" t="str">
        <f>"ΝΕΟΧΩΡΟΥΔΑ ΘΕΣΣΑΛΟΝΙΚΗΣ "</f>
        <v xml:space="preserve">ΝΕΟΧΩΡΟΥΔΑ ΘΕΣΣΑΛΟΝΙΚΗΣ </v>
      </c>
      <c r="I10014">
        <v>54500</v>
      </c>
      <c r="J10014">
        <v>2310695578</v>
      </c>
      <c r="K10014">
        <v>6974992674</v>
      </c>
      <c r="N10014" t="s">
        <v>615</v>
      </c>
      <c r="O10014" t="s">
        <v>616</v>
      </c>
      <c r="R10014" t="s">
        <v>159</v>
      </c>
      <c r="S10014">
        <v>5</v>
      </c>
      <c r="T10014" t="s">
        <v>8675</v>
      </c>
      <c r="U10014" s="1">
        <v>43348</v>
      </c>
      <c r="V10014" t="s">
        <v>89</v>
      </c>
      <c r="W10014" t="s">
        <v>90</v>
      </c>
      <c r="X10014" t="s">
        <v>58</v>
      </c>
      <c r="Y10014">
        <v>24</v>
      </c>
      <c r="Z10014" t="s">
        <v>59</v>
      </c>
      <c r="AA10014" t="s">
        <v>59</v>
      </c>
      <c r="AB10014" t="s">
        <v>59</v>
      </c>
      <c r="AC10014" t="s">
        <v>59</v>
      </c>
      <c r="AD10014" t="s">
        <v>59</v>
      </c>
      <c r="AF10014" s="1">
        <v>43348</v>
      </c>
      <c r="AG10014" t="s">
        <v>8645</v>
      </c>
      <c r="AH10014" t="s">
        <v>8646</v>
      </c>
      <c r="AI10014" t="str">
        <f>"9500374"</f>
        <v>9500374</v>
      </c>
      <c r="AJ10014" t="s">
        <v>14529</v>
      </c>
      <c r="AK10014">
        <v>2822023194</v>
      </c>
      <c r="AL10014" t="s">
        <v>14530</v>
      </c>
      <c r="AM10014" t="s">
        <v>88</v>
      </c>
      <c r="AN10014" t="s">
        <v>6744</v>
      </c>
      <c r="AO10014" t="s">
        <v>6744</v>
      </c>
      <c r="AP10014" t="s">
        <v>6744</v>
      </c>
      <c r="AQ10014">
        <v>9</v>
      </c>
      <c r="AR10014" t="s">
        <v>89</v>
      </c>
      <c r="AS10014" t="s">
        <v>90</v>
      </c>
      <c r="AT10014" t="s">
        <v>58</v>
      </c>
      <c r="AU10014" t="s">
        <v>8673</v>
      </c>
      <c r="AV10014" t="s">
        <v>132</v>
      </c>
      <c r="AW10014" s="1">
        <v>32038</v>
      </c>
      <c r="AX10014">
        <v>1</v>
      </c>
    </row>
    <row r="10015" spans="1:50">
      <c r="A10015">
        <v>584263</v>
      </c>
      <c r="B10015" t="str">
        <f>"074643573"</f>
        <v>074643573</v>
      </c>
      <c r="C10015" t="s">
        <v>105</v>
      </c>
      <c r="D10015" t="s">
        <v>14962</v>
      </c>
      <c r="E10015" t="s">
        <v>1328</v>
      </c>
      <c r="F10015" t="s">
        <v>154</v>
      </c>
      <c r="G10015" t="s">
        <v>476</v>
      </c>
      <c r="H10015" t="str">
        <f>"Γ.ΠΕΤΡΑΚΗ  ΚΑΘΙΑΝΑ ΑΚΡΩΤΗΡΙ ΧΑΝΙΑ"</f>
        <v>Γ.ΠΕΤΡΑΚΗ  ΚΑΘΙΑΝΑ ΑΚΡΩΤΗΡΙ ΧΑΝΙΑ</v>
      </c>
      <c r="I10015">
        <v>73100</v>
      </c>
      <c r="J10015">
        <v>2821058712</v>
      </c>
      <c r="K10015">
        <v>6934120463</v>
      </c>
      <c r="N10015" t="s">
        <v>615</v>
      </c>
      <c r="O10015" t="s">
        <v>616</v>
      </c>
      <c r="R10015" t="s">
        <v>57</v>
      </c>
      <c r="S10015">
        <v>10</v>
      </c>
      <c r="T10015">
        <v>165</v>
      </c>
      <c r="U10015" s="1">
        <v>36040</v>
      </c>
      <c r="V10015" t="s">
        <v>89</v>
      </c>
      <c r="W10015" t="s">
        <v>90</v>
      </c>
      <c r="X10015" t="s">
        <v>58</v>
      </c>
      <c r="Y10015">
        <v>21</v>
      </c>
      <c r="Z10015" t="s">
        <v>59</v>
      </c>
      <c r="AA10015" t="s">
        <v>59</v>
      </c>
      <c r="AB10015" t="s">
        <v>59</v>
      </c>
      <c r="AC10015" t="s">
        <v>59</v>
      </c>
      <c r="AD10015" t="s">
        <v>59</v>
      </c>
      <c r="AF10015" s="1">
        <v>36040</v>
      </c>
      <c r="AG10015" t="s">
        <v>8645</v>
      </c>
      <c r="AH10015" t="s">
        <v>8646</v>
      </c>
      <c r="AI10015" t="str">
        <f>"9500040"</f>
        <v>9500040</v>
      </c>
      <c r="AJ10015" t="s">
        <v>13906</v>
      </c>
      <c r="AK10015">
        <v>2821045356</v>
      </c>
      <c r="AL10015" t="s">
        <v>13907</v>
      </c>
      <c r="AM10015" t="s">
        <v>88</v>
      </c>
      <c r="AN10015" t="s">
        <v>88</v>
      </c>
      <c r="AO10015" t="s">
        <v>88</v>
      </c>
      <c r="AP10015" t="s">
        <v>88</v>
      </c>
      <c r="AQ10015">
        <v>1</v>
      </c>
      <c r="AR10015" t="s">
        <v>89</v>
      </c>
      <c r="AS10015" t="s">
        <v>90</v>
      </c>
      <c r="AT10015" t="s">
        <v>58</v>
      </c>
      <c r="AU10015" t="s">
        <v>68</v>
      </c>
      <c r="AV10015" t="s">
        <v>69</v>
      </c>
      <c r="AW10015" s="1">
        <v>24232</v>
      </c>
      <c r="AX10015">
        <v>1</v>
      </c>
    </row>
    <row r="10016" spans="1:50">
      <c r="A10016">
        <v>563553</v>
      </c>
      <c r="B10016" t="str">
        <f>"112360048"</f>
        <v>112360048</v>
      </c>
      <c r="C10016" t="s">
        <v>50</v>
      </c>
      <c r="D10016" t="s">
        <v>106</v>
      </c>
      <c r="E10016" t="s">
        <v>52</v>
      </c>
      <c r="F10016" t="s">
        <v>53</v>
      </c>
      <c r="G10016" t="s">
        <v>250</v>
      </c>
      <c r="H10016" t="str">
        <f>"ΚΑΖΑΝΤΖΑΚΗ Τ.Θ. 788 ΚΟΥΝΟΥΠΙΔΙΑΝΑ-ΧΑΝΙΑ"</f>
        <v>ΚΑΖΑΝΤΖΑΚΗ Τ.Θ. 788 ΚΟΥΝΟΥΠΙΔΙΑΝΑ-ΧΑΝΙΑ</v>
      </c>
      <c r="I10016">
        <v>73142</v>
      </c>
      <c r="J10016">
        <v>2821071418</v>
      </c>
      <c r="K10016">
        <v>6945533346</v>
      </c>
      <c r="M10016" t="s">
        <v>14963</v>
      </c>
      <c r="N10016" t="s">
        <v>615</v>
      </c>
      <c r="O10016" t="s">
        <v>616</v>
      </c>
      <c r="R10016" t="s">
        <v>57</v>
      </c>
      <c r="S10016">
        <v>17</v>
      </c>
      <c r="T10016">
        <v>194</v>
      </c>
      <c r="U10016" s="1">
        <v>32762</v>
      </c>
      <c r="V10016" t="s">
        <v>89</v>
      </c>
      <c r="W10016" t="s">
        <v>90</v>
      </c>
      <c r="X10016" t="s">
        <v>58</v>
      </c>
      <c r="Y10016">
        <v>21</v>
      </c>
      <c r="Z10016" t="s">
        <v>59</v>
      </c>
      <c r="AA10016" t="s">
        <v>59</v>
      </c>
      <c r="AB10016" t="s">
        <v>59</v>
      </c>
      <c r="AC10016" t="s">
        <v>59</v>
      </c>
      <c r="AD10016" t="s">
        <v>59</v>
      </c>
      <c r="AF10016" s="1">
        <v>32762</v>
      </c>
      <c r="AG10016" t="s">
        <v>8645</v>
      </c>
      <c r="AH10016" t="s">
        <v>8646</v>
      </c>
      <c r="AI10016" t="str">
        <f>"9500338"</f>
        <v>9500338</v>
      </c>
      <c r="AJ10016" t="s">
        <v>13959</v>
      </c>
      <c r="AK10016">
        <v>2821040556</v>
      </c>
      <c r="AL10016" t="s">
        <v>13960</v>
      </c>
      <c r="AM10016" t="s">
        <v>88</v>
      </c>
      <c r="AN10016" t="s">
        <v>88</v>
      </c>
      <c r="AO10016" t="s">
        <v>88</v>
      </c>
      <c r="AP10016" t="s">
        <v>88</v>
      </c>
      <c r="AQ10016">
        <v>1</v>
      </c>
      <c r="AR10016" t="s">
        <v>89</v>
      </c>
      <c r="AS10016" t="s">
        <v>90</v>
      </c>
      <c r="AT10016" t="s">
        <v>58</v>
      </c>
      <c r="AU10016" t="s">
        <v>68</v>
      </c>
      <c r="AV10016" t="s">
        <v>69</v>
      </c>
      <c r="AW10016" s="1">
        <v>23961</v>
      </c>
      <c r="AX10016">
        <v>1</v>
      </c>
    </row>
    <row r="10017" spans="1:50">
      <c r="B10017" t="str">
        <f>"147445068"</f>
        <v>147445068</v>
      </c>
      <c r="C10017" t="s">
        <v>50</v>
      </c>
      <c r="D10017" t="s">
        <v>14964</v>
      </c>
      <c r="E10017" t="s">
        <v>52</v>
      </c>
      <c r="F10017" t="s">
        <v>95</v>
      </c>
      <c r="G10017" t="s">
        <v>237</v>
      </c>
      <c r="H10017" t="str">
        <f>" "</f>
        <v xml:space="preserve"> </v>
      </c>
      <c r="N10017" t="s">
        <v>615</v>
      </c>
      <c r="O10017" t="s">
        <v>616</v>
      </c>
      <c r="R10017" t="s">
        <v>121</v>
      </c>
      <c r="S10017">
        <v>1</v>
      </c>
      <c r="T10017" t="s">
        <v>9034</v>
      </c>
      <c r="U10017" s="1">
        <v>43377</v>
      </c>
      <c r="V10017" t="s">
        <v>89</v>
      </c>
      <c r="W10017" t="s">
        <v>90</v>
      </c>
      <c r="X10017" t="s">
        <v>58</v>
      </c>
      <c r="Y10017">
        <v>24</v>
      </c>
      <c r="Z10017" t="s">
        <v>59</v>
      </c>
      <c r="AA10017" t="s">
        <v>59</v>
      </c>
      <c r="AB10017" t="s">
        <v>59</v>
      </c>
      <c r="AD10017" t="s">
        <v>59</v>
      </c>
      <c r="AF10017" s="1">
        <v>43377</v>
      </c>
      <c r="AG10017" t="s">
        <v>8645</v>
      </c>
      <c r="AH10017" t="s">
        <v>8646</v>
      </c>
      <c r="AI10017" t="str">
        <f>"9500045"</f>
        <v>9500045</v>
      </c>
      <c r="AJ10017" t="s">
        <v>13887</v>
      </c>
      <c r="AK10017">
        <v>2821044369</v>
      </c>
      <c r="AL10017" t="s">
        <v>13888</v>
      </c>
      <c r="AM10017" t="s">
        <v>88</v>
      </c>
      <c r="AN10017" t="s">
        <v>88</v>
      </c>
      <c r="AO10017" t="s">
        <v>88</v>
      </c>
      <c r="AP10017" t="s">
        <v>88</v>
      </c>
      <c r="AQ10017">
        <v>1</v>
      </c>
      <c r="AR10017" t="s">
        <v>89</v>
      </c>
      <c r="AS10017" t="s">
        <v>90</v>
      </c>
      <c r="AT10017" t="s">
        <v>58</v>
      </c>
      <c r="AU10017" t="s">
        <v>8673</v>
      </c>
      <c r="AV10017" t="s">
        <v>132</v>
      </c>
      <c r="AW10017" s="1">
        <v>32856</v>
      </c>
      <c r="AX10017">
        <v>1</v>
      </c>
    </row>
    <row r="10018" spans="1:50">
      <c r="B10018" t="str">
        <f>"142303864"</f>
        <v>142303864</v>
      </c>
      <c r="C10018" t="s">
        <v>50</v>
      </c>
      <c r="D10018" t="s">
        <v>5126</v>
      </c>
      <c r="E10018" t="s">
        <v>476</v>
      </c>
      <c r="F10018" t="s">
        <v>84</v>
      </c>
      <c r="G10018" t="s">
        <v>14965</v>
      </c>
      <c r="H10018" t="str">
        <f>"Γ ΣΕΠΤΕΜΒΡΙΟΥ- ΝΑΟΥΣΗΣ 1 ΘΕΣΣΑΛΟΝΙΚΗ"</f>
        <v>Γ ΣΕΠΤΕΜΒΡΙΟΥ- ΝΑΟΥΣΗΣ 1 ΘΕΣΣΑΛΟΝΙΚΗ</v>
      </c>
      <c r="I10018">
        <v>54636</v>
      </c>
      <c r="J10018">
        <v>2310217967</v>
      </c>
      <c r="K10018">
        <v>6974128673</v>
      </c>
      <c r="M10018" t="s">
        <v>14966</v>
      </c>
      <c r="N10018" t="s">
        <v>384</v>
      </c>
      <c r="O10018" t="s">
        <v>385</v>
      </c>
      <c r="R10018" t="s">
        <v>159</v>
      </c>
      <c r="S10018">
        <v>2</v>
      </c>
      <c r="T10018" t="s">
        <v>8675</v>
      </c>
      <c r="U10018" s="1">
        <v>43348</v>
      </c>
      <c r="V10018" t="s">
        <v>89</v>
      </c>
      <c r="W10018" t="s">
        <v>90</v>
      </c>
      <c r="X10018" t="s">
        <v>58</v>
      </c>
      <c r="Y10018">
        <v>24</v>
      </c>
      <c r="Z10018" t="s">
        <v>59</v>
      </c>
      <c r="AA10018" t="s">
        <v>59</v>
      </c>
      <c r="AB10018" t="s">
        <v>59</v>
      </c>
      <c r="AC10018" t="s">
        <v>59</v>
      </c>
      <c r="AD10018" t="s">
        <v>59</v>
      </c>
      <c r="AF10018" s="1">
        <v>43348</v>
      </c>
      <c r="AG10018" t="s">
        <v>8645</v>
      </c>
      <c r="AH10018" t="s">
        <v>8646</v>
      </c>
      <c r="AI10018" t="str">
        <f>"9500035"</f>
        <v>9500035</v>
      </c>
      <c r="AJ10018" t="s">
        <v>13979</v>
      </c>
      <c r="AK10018">
        <v>2821094678</v>
      </c>
      <c r="AL10018" t="s">
        <v>13980</v>
      </c>
      <c r="AM10018" t="s">
        <v>88</v>
      </c>
      <c r="AN10018" t="s">
        <v>88</v>
      </c>
      <c r="AO10018" t="s">
        <v>88</v>
      </c>
      <c r="AP10018" t="s">
        <v>88</v>
      </c>
      <c r="AQ10018">
        <v>2</v>
      </c>
      <c r="AR10018" t="s">
        <v>89</v>
      </c>
      <c r="AS10018" t="s">
        <v>90</v>
      </c>
      <c r="AT10018" t="s">
        <v>58</v>
      </c>
      <c r="AU10018" t="s">
        <v>8673</v>
      </c>
      <c r="AV10018" t="s">
        <v>132</v>
      </c>
      <c r="AW10018" s="1">
        <v>30482</v>
      </c>
      <c r="AX10018">
        <v>1</v>
      </c>
    </row>
    <row r="10019" spans="1:50">
      <c r="B10019" t="str">
        <f>"119971968"</f>
        <v>119971968</v>
      </c>
      <c r="C10019" t="s">
        <v>50</v>
      </c>
      <c r="D10019" t="s">
        <v>14967</v>
      </c>
      <c r="E10019" t="s">
        <v>860</v>
      </c>
      <c r="F10019" t="s">
        <v>154</v>
      </c>
      <c r="G10019" t="s">
        <v>476</v>
      </c>
      <c r="H10019" t="str">
        <f>"ΠΛΑΤΕΙΑ ΒΑΡΝΑΒΑ 7 "</f>
        <v xml:space="preserve">ΠΛΑΤΕΙΑ ΒΑΡΝΑΒΑ 7 </v>
      </c>
      <c r="I10019">
        <v>11635</v>
      </c>
      <c r="J10019">
        <v>2107010951</v>
      </c>
      <c r="K10019">
        <v>6972345930</v>
      </c>
      <c r="L10019">
        <v>2721082816</v>
      </c>
      <c r="M10019" t="s">
        <v>14968</v>
      </c>
      <c r="N10019" t="s">
        <v>683</v>
      </c>
      <c r="O10019" t="s">
        <v>684</v>
      </c>
      <c r="R10019" t="s">
        <v>121</v>
      </c>
      <c r="S10019">
        <v>1</v>
      </c>
      <c r="T10019" t="s">
        <v>8675</v>
      </c>
      <c r="U10019" s="1">
        <v>43348</v>
      </c>
      <c r="V10019" t="s">
        <v>89</v>
      </c>
      <c r="W10019" t="s">
        <v>90</v>
      </c>
      <c r="X10019" t="s">
        <v>58</v>
      </c>
      <c r="Y10019">
        <v>24</v>
      </c>
      <c r="Z10019" t="s">
        <v>59</v>
      </c>
      <c r="AA10019" t="s">
        <v>59</v>
      </c>
      <c r="AB10019" t="s">
        <v>59</v>
      </c>
      <c r="AC10019" t="s">
        <v>59</v>
      </c>
      <c r="AD10019" t="s">
        <v>59</v>
      </c>
      <c r="AF10019" s="1">
        <v>43348</v>
      </c>
      <c r="AG10019" t="s">
        <v>8645</v>
      </c>
      <c r="AH10019" t="s">
        <v>8646</v>
      </c>
      <c r="AI10019" t="str">
        <f>"9500119"</f>
        <v>9500119</v>
      </c>
      <c r="AJ10019" t="s">
        <v>14286</v>
      </c>
      <c r="AK10019">
        <v>2821095816</v>
      </c>
      <c r="AL10019" t="s">
        <v>14287</v>
      </c>
      <c r="AM10019" t="s">
        <v>88</v>
      </c>
      <c r="AN10019" t="s">
        <v>88</v>
      </c>
      <c r="AO10019" t="s">
        <v>13920</v>
      </c>
      <c r="AP10019" t="s">
        <v>14029</v>
      </c>
      <c r="AQ10019">
        <v>3</v>
      </c>
      <c r="AR10019" t="s">
        <v>89</v>
      </c>
      <c r="AS10019" t="s">
        <v>90</v>
      </c>
      <c r="AT10019" t="s">
        <v>58</v>
      </c>
      <c r="AU10019" t="s">
        <v>8673</v>
      </c>
      <c r="AV10019" t="s">
        <v>132</v>
      </c>
      <c r="AW10019" s="1">
        <v>29850</v>
      </c>
      <c r="AX10019">
        <v>1</v>
      </c>
    </row>
    <row r="10020" spans="1:50">
      <c r="A10020">
        <v>591820</v>
      </c>
      <c r="B10020" t="str">
        <f>"046236534"</f>
        <v>046236534</v>
      </c>
      <c r="C10020" t="s">
        <v>50</v>
      </c>
      <c r="D10020" t="s">
        <v>14969</v>
      </c>
      <c r="E10020" t="s">
        <v>109</v>
      </c>
      <c r="F10020" t="s">
        <v>95</v>
      </c>
      <c r="G10020" t="s">
        <v>255</v>
      </c>
      <c r="H10020" t="str">
        <f>"Ι. ΚΟΖΑΚΟΥ 20 ΧΑΝΙΑ"</f>
        <v>Ι. ΚΟΖΑΚΟΥ 20 ΧΑΝΙΑ</v>
      </c>
      <c r="I10020">
        <v>73133</v>
      </c>
      <c r="J10020">
        <v>2821052559</v>
      </c>
      <c r="K10020">
        <v>6945832394</v>
      </c>
      <c r="N10020" t="s">
        <v>1525</v>
      </c>
      <c r="O10020" t="s">
        <v>1526</v>
      </c>
      <c r="R10020" t="s">
        <v>57</v>
      </c>
      <c r="S10020">
        <v>9</v>
      </c>
      <c r="T10020">
        <v>249</v>
      </c>
      <c r="U10020" s="1">
        <v>36769</v>
      </c>
      <c r="V10020" t="s">
        <v>89</v>
      </c>
      <c r="W10020" t="s">
        <v>90</v>
      </c>
      <c r="X10020" t="s">
        <v>58</v>
      </c>
      <c r="Y10020">
        <v>25</v>
      </c>
      <c r="Z10020" t="s">
        <v>59</v>
      </c>
      <c r="AA10020" t="s">
        <v>59</v>
      </c>
      <c r="AB10020" t="s">
        <v>59</v>
      </c>
      <c r="AC10020" t="s">
        <v>59</v>
      </c>
      <c r="AD10020" t="s">
        <v>59</v>
      </c>
      <c r="AF10020" s="1">
        <v>36770</v>
      </c>
      <c r="AG10020" t="s">
        <v>8651</v>
      </c>
      <c r="AH10020" t="s">
        <v>8652</v>
      </c>
      <c r="AI10020" t="str">
        <f>"9500383"</f>
        <v>9500383</v>
      </c>
      <c r="AJ10020" t="s">
        <v>13908</v>
      </c>
      <c r="AK10020">
        <v>2821054010</v>
      </c>
      <c r="AL10020" t="s">
        <v>13909</v>
      </c>
      <c r="AM10020" t="s">
        <v>88</v>
      </c>
      <c r="AN10020" t="s">
        <v>88</v>
      </c>
      <c r="AO10020" t="s">
        <v>88</v>
      </c>
      <c r="AP10020" t="s">
        <v>88</v>
      </c>
      <c r="AQ10020">
        <v>1</v>
      </c>
      <c r="AR10020" t="s">
        <v>89</v>
      </c>
      <c r="AS10020" t="s">
        <v>90</v>
      </c>
      <c r="AT10020" t="s">
        <v>58</v>
      </c>
      <c r="AU10020" t="s">
        <v>68</v>
      </c>
      <c r="AV10020" t="s">
        <v>69</v>
      </c>
      <c r="AW10020" s="1">
        <v>24814</v>
      </c>
      <c r="AX10020">
        <v>1</v>
      </c>
    </row>
    <row r="10021" spans="1:50">
      <c r="A10021">
        <v>590350</v>
      </c>
      <c r="B10021" t="str">
        <f>"077472503"</f>
        <v>077472503</v>
      </c>
      <c r="C10021" t="s">
        <v>50</v>
      </c>
      <c r="D10021" t="s">
        <v>10690</v>
      </c>
      <c r="E10021" t="s">
        <v>316</v>
      </c>
      <c r="F10021" t="s">
        <v>718</v>
      </c>
      <c r="G10021" t="s">
        <v>181</v>
      </c>
      <c r="H10021" t="str">
        <f>"ΑΝ. ΓΟΓΟΝΗ 134 ΧΑΝΙΑ"</f>
        <v>ΑΝ. ΓΟΓΟΝΗ 134 ΧΑΝΙΑ</v>
      </c>
      <c r="I10021">
        <v>73136</v>
      </c>
      <c r="J10021">
        <v>2821073534</v>
      </c>
      <c r="K10021">
        <v>6977259033</v>
      </c>
      <c r="N10021" t="s">
        <v>337</v>
      </c>
      <c r="O10021" t="s">
        <v>338</v>
      </c>
      <c r="R10021" t="s">
        <v>57</v>
      </c>
      <c r="S10021">
        <v>10</v>
      </c>
      <c r="T10021">
        <v>177</v>
      </c>
      <c r="U10021" s="1">
        <v>36403</v>
      </c>
      <c r="V10021" t="s">
        <v>89</v>
      </c>
      <c r="W10021" t="s">
        <v>90</v>
      </c>
      <c r="X10021" t="s">
        <v>58</v>
      </c>
      <c r="Y10021">
        <v>21</v>
      </c>
      <c r="Z10021" t="s">
        <v>59</v>
      </c>
      <c r="AA10021" t="s">
        <v>59</v>
      </c>
      <c r="AB10021" t="s">
        <v>59</v>
      </c>
      <c r="AC10021" t="s">
        <v>59</v>
      </c>
      <c r="AD10021" t="s">
        <v>59</v>
      </c>
      <c r="AF10021" s="1">
        <v>36403</v>
      </c>
      <c r="AG10021" t="s">
        <v>8645</v>
      </c>
      <c r="AH10021" t="s">
        <v>14199</v>
      </c>
      <c r="AI10021" t="str">
        <f>"9500140"</f>
        <v>9500140</v>
      </c>
      <c r="AJ10021" t="s">
        <v>14200</v>
      </c>
      <c r="AK10021">
        <v>2821097348</v>
      </c>
      <c r="AL10021" t="s">
        <v>14201</v>
      </c>
      <c r="AM10021" t="s">
        <v>88</v>
      </c>
      <c r="AN10021" t="s">
        <v>88</v>
      </c>
      <c r="AO10021" t="s">
        <v>88</v>
      </c>
      <c r="AP10021" t="s">
        <v>88</v>
      </c>
      <c r="AQ10021">
        <v>1</v>
      </c>
      <c r="AR10021" t="s">
        <v>89</v>
      </c>
      <c r="AS10021" t="s">
        <v>90</v>
      </c>
      <c r="AT10021" t="s">
        <v>58</v>
      </c>
      <c r="AU10021" t="s">
        <v>68</v>
      </c>
      <c r="AV10021" t="s">
        <v>69</v>
      </c>
      <c r="AW10021" s="1">
        <v>26829</v>
      </c>
      <c r="AX10021">
        <v>1</v>
      </c>
    </row>
    <row r="10022" spans="1:50">
      <c r="A10022">
        <v>605141</v>
      </c>
      <c r="B10022" t="str">
        <f>"100619174"</f>
        <v>100619174</v>
      </c>
      <c r="C10022" t="s">
        <v>50</v>
      </c>
      <c r="D10022" t="s">
        <v>10691</v>
      </c>
      <c r="E10022" t="s">
        <v>314</v>
      </c>
      <c r="F10022" t="s">
        <v>72</v>
      </c>
      <c r="G10022" t="s">
        <v>181</v>
      </c>
      <c r="H10022" t="str">
        <f>"ΑΝΑΓΝΩΣΤΟΥ ΜΑΝΤΑΚΑ  71 ΧΑΝΙΑ"</f>
        <v>ΑΝΑΓΝΩΣΤΟΥ ΜΑΝΤΑΚΑ  71 ΧΑΝΙΑ</v>
      </c>
      <c r="I10022">
        <v>73100</v>
      </c>
      <c r="K10022">
        <v>6942011397</v>
      </c>
      <c r="N10022" t="s">
        <v>615</v>
      </c>
      <c r="O10022" t="s">
        <v>616</v>
      </c>
      <c r="R10022" t="s">
        <v>57</v>
      </c>
      <c r="S10022">
        <v>7</v>
      </c>
      <c r="T10022">
        <v>231</v>
      </c>
      <c r="U10022" s="1">
        <v>38230</v>
      </c>
      <c r="V10022" t="s">
        <v>89</v>
      </c>
      <c r="W10022" t="s">
        <v>90</v>
      </c>
      <c r="X10022" t="s">
        <v>58</v>
      </c>
      <c r="Y10022">
        <v>22</v>
      </c>
      <c r="Z10022" t="s">
        <v>59</v>
      </c>
      <c r="AA10022" t="s">
        <v>59</v>
      </c>
      <c r="AB10022" t="s">
        <v>59</v>
      </c>
      <c r="AC10022" t="s">
        <v>59</v>
      </c>
      <c r="AD10022" t="s">
        <v>59</v>
      </c>
      <c r="AF10022" s="1">
        <v>38231</v>
      </c>
      <c r="AG10022" t="s">
        <v>8645</v>
      </c>
      <c r="AH10022" t="s">
        <v>8646</v>
      </c>
      <c r="AI10022" t="str">
        <f>"9500077"</f>
        <v>9500077</v>
      </c>
      <c r="AJ10022" t="s">
        <v>13903</v>
      </c>
      <c r="AK10022">
        <v>2821054404</v>
      </c>
      <c r="AL10022" t="s">
        <v>13904</v>
      </c>
      <c r="AM10022" t="s">
        <v>88</v>
      </c>
      <c r="AN10022" t="s">
        <v>88</v>
      </c>
      <c r="AO10022" t="s">
        <v>88</v>
      </c>
      <c r="AP10022" t="s">
        <v>88</v>
      </c>
      <c r="AQ10022">
        <v>1</v>
      </c>
      <c r="AR10022" t="s">
        <v>89</v>
      </c>
      <c r="AS10022" t="s">
        <v>90</v>
      </c>
      <c r="AT10022" t="s">
        <v>58</v>
      </c>
      <c r="AU10022" t="s">
        <v>68</v>
      </c>
      <c r="AV10022" t="s">
        <v>69</v>
      </c>
      <c r="AW10022" s="1">
        <v>26614</v>
      </c>
      <c r="AX10022">
        <v>1</v>
      </c>
    </row>
    <row r="10023" spans="1:50">
      <c r="A10023">
        <v>607686</v>
      </c>
      <c r="B10023" t="str">
        <f>"135236790"</f>
        <v>135236790</v>
      </c>
      <c r="C10023" t="s">
        <v>50</v>
      </c>
      <c r="D10023" t="s">
        <v>10691</v>
      </c>
      <c r="E10023" t="s">
        <v>52</v>
      </c>
      <c r="F10023" t="s">
        <v>166</v>
      </c>
      <c r="G10023" t="s">
        <v>83</v>
      </c>
      <c r="H10023" t="str">
        <f>"ΒΕΡΝΑΡΔΑΚΗ  24 ΧΑΝΙΑ"</f>
        <v>ΒΕΡΝΑΡΔΑΚΗ  24 ΧΑΝΙΑ</v>
      </c>
      <c r="I10023">
        <v>73133</v>
      </c>
      <c r="J10023">
        <v>2821059563</v>
      </c>
      <c r="K10023">
        <v>6972569838</v>
      </c>
      <c r="N10023" t="s">
        <v>615</v>
      </c>
      <c r="O10023" t="s">
        <v>616</v>
      </c>
      <c r="R10023" t="s">
        <v>57</v>
      </c>
      <c r="S10023">
        <v>6</v>
      </c>
      <c r="T10023">
        <v>217</v>
      </c>
      <c r="U10023" s="1">
        <v>38596</v>
      </c>
      <c r="V10023" t="s">
        <v>89</v>
      </c>
      <c r="W10023" t="s">
        <v>90</v>
      </c>
      <c r="X10023" t="s">
        <v>58</v>
      </c>
      <c r="Y10023">
        <v>23</v>
      </c>
      <c r="Z10023" t="s">
        <v>59</v>
      </c>
      <c r="AA10023" t="s">
        <v>59</v>
      </c>
      <c r="AB10023" t="s">
        <v>59</v>
      </c>
      <c r="AC10023" t="s">
        <v>59</v>
      </c>
      <c r="AD10023" t="s">
        <v>59</v>
      </c>
      <c r="AF10023" s="1">
        <v>38596</v>
      </c>
      <c r="AG10023" t="s">
        <v>8645</v>
      </c>
      <c r="AH10023" t="s">
        <v>8646</v>
      </c>
      <c r="AI10023" t="str">
        <f>"9500078"</f>
        <v>9500078</v>
      </c>
      <c r="AJ10023" t="s">
        <v>13988</v>
      </c>
      <c r="AK10023">
        <v>2821028788</v>
      </c>
      <c r="AL10023" t="s">
        <v>13989</v>
      </c>
      <c r="AM10023" t="s">
        <v>88</v>
      </c>
      <c r="AN10023" t="s">
        <v>88</v>
      </c>
      <c r="AO10023" t="s">
        <v>88</v>
      </c>
      <c r="AP10023" t="s">
        <v>88</v>
      </c>
      <c r="AQ10023">
        <v>1</v>
      </c>
      <c r="AR10023" t="s">
        <v>89</v>
      </c>
      <c r="AS10023" t="s">
        <v>90</v>
      </c>
      <c r="AT10023" t="s">
        <v>58</v>
      </c>
      <c r="AU10023" t="s">
        <v>68</v>
      </c>
      <c r="AV10023" t="s">
        <v>69</v>
      </c>
      <c r="AW10023" s="1">
        <v>30277</v>
      </c>
      <c r="AX10023">
        <v>1</v>
      </c>
    </row>
    <row r="10024" spans="1:50">
      <c r="A10024">
        <v>613239</v>
      </c>
      <c r="B10024" t="str">
        <f>"113160097"</f>
        <v>113160097</v>
      </c>
      <c r="C10024" t="s">
        <v>50</v>
      </c>
      <c r="D10024" t="s">
        <v>10691</v>
      </c>
      <c r="E10024" t="s">
        <v>681</v>
      </c>
      <c r="F10024" t="s">
        <v>1070</v>
      </c>
      <c r="G10024" t="s">
        <v>109</v>
      </c>
      <c r="H10024" t="str">
        <f>"ΜΑΡΓΟΥΝΙΟΥ 51 ΧΑΝΙΑ"</f>
        <v>ΜΑΡΓΟΥΝΙΟΥ 51 ΧΑΝΙΑ</v>
      </c>
      <c r="I10024">
        <v>73100</v>
      </c>
      <c r="J10024">
        <v>2821079645</v>
      </c>
      <c r="K10024">
        <v>6956029022</v>
      </c>
      <c r="N10024" t="s">
        <v>615</v>
      </c>
      <c r="O10024" t="s">
        <v>616</v>
      </c>
      <c r="R10024" t="s">
        <v>57</v>
      </c>
      <c r="S10024">
        <v>6</v>
      </c>
      <c r="T10024">
        <v>598</v>
      </c>
      <c r="U10024" s="1">
        <v>39310</v>
      </c>
      <c r="V10024" t="s">
        <v>89</v>
      </c>
      <c r="W10024" t="s">
        <v>90</v>
      </c>
      <c r="X10024" t="s">
        <v>58</v>
      </c>
      <c r="Y10024">
        <v>23</v>
      </c>
      <c r="Z10024" t="s">
        <v>59</v>
      </c>
      <c r="AA10024" t="s">
        <v>59</v>
      </c>
      <c r="AB10024" t="s">
        <v>59</v>
      </c>
      <c r="AC10024" t="s">
        <v>59</v>
      </c>
      <c r="AD10024" t="s">
        <v>59</v>
      </c>
      <c r="AF10024" s="1">
        <v>39310</v>
      </c>
      <c r="AG10024" t="s">
        <v>8645</v>
      </c>
      <c r="AH10024" t="s">
        <v>8646</v>
      </c>
      <c r="AI10024" t="str">
        <f>"9500314"</f>
        <v>9500314</v>
      </c>
      <c r="AJ10024" t="s">
        <v>14116</v>
      </c>
      <c r="AK10024">
        <v>2821097640</v>
      </c>
      <c r="AL10024" t="s">
        <v>14117</v>
      </c>
      <c r="AM10024" t="s">
        <v>88</v>
      </c>
      <c r="AN10024" t="s">
        <v>88</v>
      </c>
      <c r="AO10024" t="s">
        <v>88</v>
      </c>
      <c r="AP10024" t="s">
        <v>88</v>
      </c>
      <c r="AQ10024">
        <v>1</v>
      </c>
      <c r="AR10024" t="s">
        <v>89</v>
      </c>
      <c r="AS10024" t="s">
        <v>90</v>
      </c>
      <c r="AT10024" t="s">
        <v>58</v>
      </c>
      <c r="AU10024" t="s">
        <v>68</v>
      </c>
      <c r="AV10024" t="s">
        <v>69</v>
      </c>
      <c r="AW10024" s="1">
        <v>30068</v>
      </c>
      <c r="AX10024">
        <v>1</v>
      </c>
    </row>
    <row r="10025" spans="1:50">
      <c r="A10025">
        <v>605291</v>
      </c>
      <c r="B10025" t="str">
        <f>"100615556"</f>
        <v>100615556</v>
      </c>
      <c r="C10025" t="s">
        <v>50</v>
      </c>
      <c r="D10025" t="s">
        <v>10691</v>
      </c>
      <c r="E10025" t="s">
        <v>1001</v>
      </c>
      <c r="F10025" t="s">
        <v>166</v>
      </c>
      <c r="G10025" t="s">
        <v>1134</v>
      </c>
      <c r="H10025" t="str">
        <f>"ΛΕΝΤΑΡΙΑΝΩΝ  10 ΧΑΝΙΑ"</f>
        <v>ΛΕΝΤΑΡΙΑΝΩΝ  10 ΧΑΝΙΑ</v>
      </c>
      <c r="I10025">
        <v>73100</v>
      </c>
      <c r="K10025">
        <v>6977367904</v>
      </c>
      <c r="L10025">
        <v>6974073994</v>
      </c>
      <c r="N10025" t="s">
        <v>615</v>
      </c>
      <c r="O10025" t="s">
        <v>616</v>
      </c>
      <c r="R10025" t="s">
        <v>57</v>
      </c>
      <c r="S10025">
        <v>7</v>
      </c>
      <c r="T10025">
        <v>231</v>
      </c>
      <c r="U10025" s="1">
        <v>38230</v>
      </c>
      <c r="V10025" t="s">
        <v>89</v>
      </c>
      <c r="W10025" t="s">
        <v>90</v>
      </c>
      <c r="X10025" t="s">
        <v>58</v>
      </c>
      <c r="Y10025">
        <v>22</v>
      </c>
      <c r="Z10025" t="s">
        <v>59</v>
      </c>
      <c r="AA10025" t="s">
        <v>59</v>
      </c>
      <c r="AB10025" t="s">
        <v>59</v>
      </c>
      <c r="AC10025" t="s">
        <v>59</v>
      </c>
      <c r="AD10025" t="s">
        <v>59</v>
      </c>
      <c r="AF10025" s="1">
        <v>38231</v>
      </c>
      <c r="AG10025" t="s">
        <v>8645</v>
      </c>
      <c r="AH10025" t="s">
        <v>8646</v>
      </c>
      <c r="AI10025" t="str">
        <f>"9500107"</f>
        <v>9500107</v>
      </c>
      <c r="AJ10025" t="s">
        <v>13918</v>
      </c>
      <c r="AK10025">
        <v>2821096244</v>
      </c>
      <c r="AL10025" t="s">
        <v>13919</v>
      </c>
      <c r="AM10025" t="s">
        <v>88</v>
      </c>
      <c r="AN10025" t="s">
        <v>88</v>
      </c>
      <c r="AO10025" t="s">
        <v>13920</v>
      </c>
      <c r="AP10025" t="s">
        <v>13921</v>
      </c>
      <c r="AQ10025">
        <v>3</v>
      </c>
      <c r="AR10025" t="s">
        <v>89</v>
      </c>
      <c r="AS10025" t="s">
        <v>90</v>
      </c>
      <c r="AT10025" t="s">
        <v>58</v>
      </c>
      <c r="AU10025" t="s">
        <v>68</v>
      </c>
      <c r="AV10025" t="s">
        <v>69</v>
      </c>
      <c r="AW10025" s="1">
        <v>29589</v>
      </c>
      <c r="AX10025">
        <v>1</v>
      </c>
    </row>
    <row r="10026" spans="1:50">
      <c r="A10026">
        <v>581043</v>
      </c>
      <c r="B10026" t="str">
        <f>"038114371"</f>
        <v>038114371</v>
      </c>
      <c r="C10026" t="s">
        <v>50</v>
      </c>
      <c r="D10026" t="s">
        <v>10691</v>
      </c>
      <c r="E10026" t="s">
        <v>7030</v>
      </c>
      <c r="F10026" t="s">
        <v>321</v>
      </c>
      <c r="G10026" t="s">
        <v>83</v>
      </c>
      <c r="H10026" t="str">
        <f>"Σ. ΣΠΑΝΤΙΔΑΚΗ 28 ΧΑΝΙΑ"</f>
        <v>Σ. ΣΠΑΝΤΙΔΑΚΗ 28 ΧΑΝΙΑ</v>
      </c>
      <c r="I10026">
        <v>73136</v>
      </c>
      <c r="J10026">
        <v>2821075778</v>
      </c>
      <c r="N10026" t="s">
        <v>615</v>
      </c>
      <c r="O10026" t="s">
        <v>616</v>
      </c>
      <c r="R10026" t="s">
        <v>57</v>
      </c>
      <c r="S10026">
        <v>13</v>
      </c>
      <c r="T10026">
        <v>179</v>
      </c>
      <c r="U10026" s="1">
        <v>35674</v>
      </c>
      <c r="V10026" t="s">
        <v>89</v>
      </c>
      <c r="W10026" t="s">
        <v>90</v>
      </c>
      <c r="X10026" t="s">
        <v>58</v>
      </c>
      <c r="Y10026">
        <v>21</v>
      </c>
      <c r="Z10026" t="s">
        <v>59</v>
      </c>
      <c r="AA10026" t="s">
        <v>59</v>
      </c>
      <c r="AB10026" t="s">
        <v>59</v>
      </c>
      <c r="AC10026" t="s">
        <v>59</v>
      </c>
      <c r="AD10026" t="s">
        <v>59</v>
      </c>
      <c r="AF10026" s="1">
        <v>35674</v>
      </c>
      <c r="AG10026" t="s">
        <v>8645</v>
      </c>
      <c r="AH10026" t="s">
        <v>8646</v>
      </c>
      <c r="AI10026" t="str">
        <f>"9500314"</f>
        <v>9500314</v>
      </c>
      <c r="AJ10026" t="s">
        <v>14116</v>
      </c>
      <c r="AK10026">
        <v>2821097640</v>
      </c>
      <c r="AL10026" t="s">
        <v>14117</v>
      </c>
      <c r="AM10026" t="s">
        <v>88</v>
      </c>
      <c r="AN10026" t="s">
        <v>88</v>
      </c>
      <c r="AO10026" t="s">
        <v>88</v>
      </c>
      <c r="AP10026" t="s">
        <v>88</v>
      </c>
      <c r="AQ10026">
        <v>1</v>
      </c>
      <c r="AR10026" t="s">
        <v>89</v>
      </c>
      <c r="AS10026" t="s">
        <v>90</v>
      </c>
      <c r="AT10026" t="s">
        <v>58</v>
      </c>
      <c r="AU10026" t="s">
        <v>68</v>
      </c>
      <c r="AV10026" t="s">
        <v>2039</v>
      </c>
      <c r="AW10026" s="1">
        <v>24538</v>
      </c>
      <c r="AX10026">
        <v>1</v>
      </c>
    </row>
    <row r="10027" spans="1:50">
      <c r="A10027">
        <v>615007</v>
      </c>
      <c r="B10027" t="str">
        <f>"122956430"</f>
        <v>122956430</v>
      </c>
      <c r="C10027" t="s">
        <v>105</v>
      </c>
      <c r="D10027" t="s">
        <v>5130</v>
      </c>
      <c r="E10027" t="s">
        <v>14970</v>
      </c>
      <c r="F10027" t="s">
        <v>166</v>
      </c>
      <c r="G10027" t="s">
        <v>1134</v>
      </c>
      <c r="H10027" t="str">
        <f>"ΑΡΩΝΙ-ΑΚΡΩΤΗΡΙΟΥ ΧΑΝΙΑ"</f>
        <v>ΑΡΩΝΙ-ΑΚΡΩΤΗΡΙΟΥ ΧΑΝΙΑ</v>
      </c>
      <c r="I10027">
        <v>73100</v>
      </c>
      <c r="J10027">
        <v>2821003177</v>
      </c>
      <c r="K10027">
        <v>6985935246</v>
      </c>
      <c r="N10027" t="s">
        <v>615</v>
      </c>
      <c r="O10027" t="s">
        <v>616</v>
      </c>
      <c r="R10027" t="s">
        <v>57</v>
      </c>
      <c r="S10027">
        <v>5</v>
      </c>
      <c r="T10027">
        <v>598</v>
      </c>
      <c r="U10027" s="1">
        <v>39321</v>
      </c>
      <c r="V10027" t="s">
        <v>89</v>
      </c>
      <c r="W10027" t="s">
        <v>90</v>
      </c>
      <c r="X10027" t="s">
        <v>58</v>
      </c>
      <c r="Y10027">
        <v>25</v>
      </c>
      <c r="Z10027" t="s">
        <v>59</v>
      </c>
      <c r="AA10027" t="s">
        <v>59</v>
      </c>
      <c r="AB10027" t="s">
        <v>59</v>
      </c>
      <c r="AC10027" t="s">
        <v>59</v>
      </c>
      <c r="AD10027" t="s">
        <v>59</v>
      </c>
      <c r="AF10027" s="1">
        <v>39328</v>
      </c>
      <c r="AG10027" t="s">
        <v>8645</v>
      </c>
      <c r="AH10027" t="s">
        <v>8676</v>
      </c>
      <c r="AI10027" t="str">
        <f>"9500032"</f>
        <v>9500032</v>
      </c>
      <c r="AJ10027" t="s">
        <v>14356</v>
      </c>
      <c r="AK10027">
        <v>2825071301</v>
      </c>
      <c r="AL10027" t="s">
        <v>14357</v>
      </c>
      <c r="AM10027" t="s">
        <v>88</v>
      </c>
      <c r="AN10027" t="s">
        <v>6775</v>
      </c>
      <c r="AO10027" t="s">
        <v>14358</v>
      </c>
      <c r="AP10027" t="s">
        <v>14358</v>
      </c>
      <c r="AQ10027">
        <v>7</v>
      </c>
      <c r="AR10027" t="s">
        <v>89</v>
      </c>
      <c r="AS10027" t="s">
        <v>90</v>
      </c>
      <c r="AT10027" t="s">
        <v>58</v>
      </c>
      <c r="AU10027" t="s">
        <v>68</v>
      </c>
      <c r="AV10027" t="s">
        <v>69</v>
      </c>
      <c r="AW10027" s="1">
        <v>30457</v>
      </c>
      <c r="AX10027">
        <v>1</v>
      </c>
    </row>
    <row r="10028" spans="1:50">
      <c r="B10028" t="str">
        <f>"134045809"</f>
        <v>134045809</v>
      </c>
      <c r="C10028" t="s">
        <v>50</v>
      </c>
      <c r="D10028" t="s">
        <v>10706</v>
      </c>
      <c r="E10028" t="s">
        <v>513</v>
      </c>
      <c r="F10028" t="s">
        <v>309</v>
      </c>
      <c r="G10028" t="s">
        <v>14971</v>
      </c>
      <c r="H10028" t="str">
        <f>"ΙΠΠΟΔΑΜΟΥ 1  "</f>
        <v xml:space="preserve">ΙΠΠΟΔΑΜΟΥ 1  </v>
      </c>
      <c r="I10028">
        <v>26442</v>
      </c>
      <c r="J10028">
        <v>2610431045</v>
      </c>
      <c r="K10028">
        <v>6976597154</v>
      </c>
      <c r="N10028" t="s">
        <v>1525</v>
      </c>
      <c r="O10028" t="s">
        <v>1526</v>
      </c>
      <c r="R10028" t="s">
        <v>159</v>
      </c>
      <c r="S10028">
        <v>3</v>
      </c>
      <c r="T10028" t="s">
        <v>8670</v>
      </c>
      <c r="U10028" s="1">
        <v>43348</v>
      </c>
      <c r="V10028" t="s">
        <v>89</v>
      </c>
      <c r="W10028" t="s">
        <v>90</v>
      </c>
      <c r="X10028" t="s">
        <v>58</v>
      </c>
      <c r="Y10028">
        <v>25</v>
      </c>
      <c r="Z10028" t="s">
        <v>59</v>
      </c>
      <c r="AA10028" t="s">
        <v>59</v>
      </c>
      <c r="AB10028" t="s">
        <v>59</v>
      </c>
      <c r="AC10028" t="s">
        <v>59</v>
      </c>
      <c r="AD10028" t="s">
        <v>59</v>
      </c>
      <c r="AF10028" s="1">
        <v>43348</v>
      </c>
      <c r="AG10028" t="s">
        <v>8651</v>
      </c>
      <c r="AH10028" t="s">
        <v>8652</v>
      </c>
      <c r="AI10028" t="str">
        <f>"9500344"</f>
        <v>9500344</v>
      </c>
      <c r="AJ10028" t="s">
        <v>14972</v>
      </c>
      <c r="AK10028">
        <v>2821095241</v>
      </c>
      <c r="AL10028" t="s">
        <v>14973</v>
      </c>
      <c r="AM10028" t="s">
        <v>88</v>
      </c>
      <c r="AN10028" t="s">
        <v>88</v>
      </c>
      <c r="AO10028" t="s">
        <v>6733</v>
      </c>
      <c r="AP10028" t="s">
        <v>6734</v>
      </c>
      <c r="AQ10028">
        <v>2</v>
      </c>
      <c r="AR10028" t="s">
        <v>89</v>
      </c>
      <c r="AS10028" t="s">
        <v>90</v>
      </c>
      <c r="AT10028" t="s">
        <v>58</v>
      </c>
      <c r="AU10028" t="s">
        <v>8673</v>
      </c>
      <c r="AV10028" t="s">
        <v>132</v>
      </c>
      <c r="AW10028" s="1">
        <v>31140</v>
      </c>
      <c r="AX10028">
        <v>1</v>
      </c>
    </row>
    <row r="10029" spans="1:50">
      <c r="A10029">
        <v>618271</v>
      </c>
      <c r="B10029" t="str">
        <f>"139585016"</f>
        <v>139585016</v>
      </c>
      <c r="C10029" t="s">
        <v>50</v>
      </c>
      <c r="D10029" t="s">
        <v>14974</v>
      </c>
      <c r="E10029" t="s">
        <v>396</v>
      </c>
      <c r="F10029" t="s">
        <v>989</v>
      </c>
      <c r="G10029" t="s">
        <v>964</v>
      </c>
      <c r="H10029" t="str">
        <f>"ΜΙΧΑΗΛ ΑΠΟΣΤΟΛΙΔΗ 12 ΧΑΝΙΑ"</f>
        <v>ΜΙΧΑΗΛ ΑΠΟΣΤΟΛΙΔΗ 12 ΧΑΝΙΑ</v>
      </c>
      <c r="I10029">
        <v>73100</v>
      </c>
      <c r="K10029">
        <v>6971547194</v>
      </c>
      <c r="N10029" t="s">
        <v>615</v>
      </c>
      <c r="O10029" t="s">
        <v>616</v>
      </c>
      <c r="R10029" t="s">
        <v>57</v>
      </c>
      <c r="S10029">
        <v>5</v>
      </c>
      <c r="T10029">
        <v>774</v>
      </c>
      <c r="U10029" s="1">
        <v>39680</v>
      </c>
      <c r="V10029" t="s">
        <v>89</v>
      </c>
      <c r="W10029" t="s">
        <v>90</v>
      </c>
      <c r="X10029" t="s">
        <v>58</v>
      </c>
      <c r="Y10029">
        <v>23</v>
      </c>
      <c r="Z10029" t="s">
        <v>59</v>
      </c>
      <c r="AA10029" t="s">
        <v>59</v>
      </c>
      <c r="AB10029" t="s">
        <v>59</v>
      </c>
      <c r="AC10029" t="s">
        <v>59</v>
      </c>
      <c r="AD10029" t="s">
        <v>59</v>
      </c>
      <c r="AF10029" s="1">
        <v>39681</v>
      </c>
      <c r="AG10029" t="s">
        <v>8645</v>
      </c>
      <c r="AH10029" t="s">
        <v>8646</v>
      </c>
      <c r="AI10029" t="str">
        <f>"9500218"</f>
        <v>9500218</v>
      </c>
      <c r="AJ10029" t="s">
        <v>13992</v>
      </c>
      <c r="AK10029">
        <v>2824022216</v>
      </c>
      <c r="AL10029" t="s">
        <v>13993</v>
      </c>
      <c r="AM10029" t="s">
        <v>88</v>
      </c>
      <c r="AN10029" t="s">
        <v>6764</v>
      </c>
      <c r="AO10029" t="s">
        <v>6799</v>
      </c>
      <c r="AP10029" t="s">
        <v>6799</v>
      </c>
      <c r="AQ10029">
        <v>6</v>
      </c>
      <c r="AR10029" t="s">
        <v>89</v>
      </c>
      <c r="AS10029" t="s">
        <v>90</v>
      </c>
      <c r="AT10029" t="s">
        <v>58</v>
      </c>
      <c r="AU10029" t="s">
        <v>68</v>
      </c>
      <c r="AV10029" t="s">
        <v>69</v>
      </c>
      <c r="AW10029" s="1">
        <v>30414</v>
      </c>
      <c r="AX10029">
        <v>1</v>
      </c>
    </row>
    <row r="10030" spans="1:50">
      <c r="A10030">
        <v>589672</v>
      </c>
      <c r="B10030" t="str">
        <f>"044125132"</f>
        <v>044125132</v>
      </c>
      <c r="C10030" t="s">
        <v>50</v>
      </c>
      <c r="D10030" t="s">
        <v>14975</v>
      </c>
      <c r="E10030" t="s">
        <v>460</v>
      </c>
      <c r="F10030" t="s">
        <v>99</v>
      </c>
      <c r="G10030" t="s">
        <v>255</v>
      </c>
      <c r="H10030" t="str">
        <f>" "</f>
        <v xml:space="preserve"> </v>
      </c>
      <c r="J10030">
        <v>2821066873</v>
      </c>
      <c r="K10030">
        <v>6976405277</v>
      </c>
      <c r="N10030" t="s">
        <v>1525</v>
      </c>
      <c r="O10030" t="s">
        <v>1526</v>
      </c>
      <c r="R10030" t="s">
        <v>57</v>
      </c>
      <c r="S10030">
        <v>15</v>
      </c>
      <c r="T10030">
        <v>176</v>
      </c>
      <c r="U10030" s="1">
        <v>36403</v>
      </c>
      <c r="V10030" t="s">
        <v>89</v>
      </c>
      <c r="W10030" t="s">
        <v>90</v>
      </c>
      <c r="X10030" t="s">
        <v>58</v>
      </c>
      <c r="Y10030">
        <v>25</v>
      </c>
      <c r="Z10030" t="s">
        <v>59</v>
      </c>
      <c r="AA10030" t="s">
        <v>59</v>
      </c>
      <c r="AB10030" t="s">
        <v>59</v>
      </c>
      <c r="AC10030" t="s">
        <v>59</v>
      </c>
      <c r="AD10030" t="s">
        <v>59</v>
      </c>
      <c r="AF10030" s="1">
        <v>36403</v>
      </c>
      <c r="AG10030" t="s">
        <v>8651</v>
      </c>
      <c r="AH10030" t="s">
        <v>8652</v>
      </c>
      <c r="AI10030" t="str">
        <f>"9521297"</f>
        <v>9521297</v>
      </c>
      <c r="AJ10030" t="s">
        <v>14976</v>
      </c>
      <c r="AK10030">
        <v>2821049570</v>
      </c>
      <c r="AL10030" t="s">
        <v>14977</v>
      </c>
      <c r="AM10030" t="s">
        <v>88</v>
      </c>
      <c r="AN10030" t="s">
        <v>88</v>
      </c>
      <c r="AO10030" t="s">
        <v>6770</v>
      </c>
      <c r="AP10030" t="s">
        <v>6771</v>
      </c>
      <c r="AQ10030">
        <v>2</v>
      </c>
      <c r="AR10030" t="s">
        <v>89</v>
      </c>
      <c r="AS10030" t="s">
        <v>90</v>
      </c>
      <c r="AT10030" t="s">
        <v>58</v>
      </c>
      <c r="AU10030" t="s">
        <v>68</v>
      </c>
      <c r="AV10030" t="s">
        <v>69</v>
      </c>
      <c r="AW10030" s="1">
        <v>22779</v>
      </c>
      <c r="AX10030">
        <v>1</v>
      </c>
    </row>
    <row r="10031" spans="1:50">
      <c r="A10031">
        <v>703812</v>
      </c>
      <c r="B10031" t="str">
        <f>"137078441"</f>
        <v>137078441</v>
      </c>
      <c r="C10031" t="s">
        <v>50</v>
      </c>
      <c r="D10031" t="s">
        <v>14978</v>
      </c>
      <c r="E10031" t="s">
        <v>14979</v>
      </c>
      <c r="F10031" t="s">
        <v>14980</v>
      </c>
      <c r="G10031" t="s">
        <v>14981</v>
      </c>
      <c r="H10031" t="str">
        <f>"ΤΡΑΠΕΖΟΥΝΤΟΣ 2 ΒΕΡΟΙΑ"</f>
        <v>ΤΡΑΠΕΖΟΥΝΤΟΣ 2 ΒΕΡΟΙΑ</v>
      </c>
      <c r="I10031">
        <v>59100</v>
      </c>
      <c r="J10031">
        <v>2331063560</v>
      </c>
      <c r="K10031">
        <v>6944475030</v>
      </c>
      <c r="N10031" t="s">
        <v>615</v>
      </c>
      <c r="O10031" t="s">
        <v>616</v>
      </c>
      <c r="R10031" t="s">
        <v>57</v>
      </c>
      <c r="S10031">
        <v>4</v>
      </c>
      <c r="T10031">
        <v>224</v>
      </c>
      <c r="U10031" s="1">
        <v>41695</v>
      </c>
      <c r="V10031" t="s">
        <v>89</v>
      </c>
      <c r="W10031" t="s">
        <v>90</v>
      </c>
      <c r="X10031" t="s">
        <v>58</v>
      </c>
      <c r="Y10031">
        <v>24</v>
      </c>
      <c r="Z10031" t="s">
        <v>59</v>
      </c>
      <c r="AA10031" t="s">
        <v>59</v>
      </c>
      <c r="AB10031" t="s">
        <v>59</v>
      </c>
      <c r="AC10031" t="s">
        <v>59</v>
      </c>
      <c r="AD10031" t="s">
        <v>59</v>
      </c>
      <c r="AF10031" s="1">
        <v>41695</v>
      </c>
      <c r="AG10031" t="s">
        <v>8645</v>
      </c>
      <c r="AH10031" t="s">
        <v>8646</v>
      </c>
      <c r="AI10031" t="str">
        <f>"9500259"</f>
        <v>9500259</v>
      </c>
      <c r="AJ10031" t="s">
        <v>14017</v>
      </c>
      <c r="AK10031">
        <v>2823041459</v>
      </c>
      <c r="AL10031" t="s">
        <v>14018</v>
      </c>
      <c r="AM10031" t="s">
        <v>88</v>
      </c>
      <c r="AN10031" t="s">
        <v>6824</v>
      </c>
      <c r="AO10031" t="s">
        <v>6870</v>
      </c>
      <c r="AP10031" t="s">
        <v>14019</v>
      </c>
      <c r="AQ10031">
        <v>11</v>
      </c>
      <c r="AR10031" t="s">
        <v>89</v>
      </c>
      <c r="AS10031" t="s">
        <v>90</v>
      </c>
      <c r="AT10031" t="s">
        <v>58</v>
      </c>
      <c r="AU10031" t="s">
        <v>68</v>
      </c>
      <c r="AV10031" t="s">
        <v>69</v>
      </c>
      <c r="AW10031" s="1">
        <v>31413</v>
      </c>
      <c r="AX10031">
        <v>1</v>
      </c>
    </row>
    <row r="10032" spans="1:50">
      <c r="B10032" t="str">
        <f>"128544907"</f>
        <v>128544907</v>
      </c>
      <c r="C10032" t="s">
        <v>50</v>
      </c>
      <c r="D10032" t="s">
        <v>5135</v>
      </c>
      <c r="E10032" t="s">
        <v>263</v>
      </c>
      <c r="F10032" t="s">
        <v>84</v>
      </c>
      <c r="G10032" t="s">
        <v>476</v>
      </c>
      <c r="H10032" t="str">
        <f>" "</f>
        <v xml:space="preserve"> </v>
      </c>
      <c r="N10032" t="s">
        <v>8694</v>
      </c>
      <c r="O10032" t="s">
        <v>8695</v>
      </c>
      <c r="R10032" t="s">
        <v>159</v>
      </c>
      <c r="S10032">
        <v>1</v>
      </c>
      <c r="T10032" t="s">
        <v>8835</v>
      </c>
      <c r="U10032" s="1">
        <v>43348</v>
      </c>
      <c r="V10032" t="s">
        <v>89</v>
      </c>
      <c r="W10032" t="s">
        <v>90</v>
      </c>
      <c r="X10032" t="s">
        <v>58</v>
      </c>
      <c r="Y10032">
        <v>24</v>
      </c>
      <c r="Z10032" t="s">
        <v>59</v>
      </c>
      <c r="AA10032" t="s">
        <v>59</v>
      </c>
      <c r="AB10032" t="s">
        <v>59</v>
      </c>
      <c r="AD10032" t="s">
        <v>59</v>
      </c>
      <c r="AF10032" s="1">
        <v>43348</v>
      </c>
      <c r="AG10032" t="s">
        <v>8645</v>
      </c>
      <c r="AH10032" t="s">
        <v>8646</v>
      </c>
      <c r="AI10032" t="str">
        <f>"9500137"</f>
        <v>9500137</v>
      </c>
      <c r="AJ10032" t="s">
        <v>14401</v>
      </c>
      <c r="AK10032">
        <v>2821093156</v>
      </c>
      <c r="AL10032" t="s">
        <v>14402</v>
      </c>
      <c r="AM10032" t="s">
        <v>88</v>
      </c>
      <c r="AN10032" t="s">
        <v>88</v>
      </c>
      <c r="AO10032" t="s">
        <v>88</v>
      </c>
      <c r="AP10032" t="s">
        <v>88</v>
      </c>
      <c r="AQ10032">
        <v>1</v>
      </c>
      <c r="AR10032" t="s">
        <v>89</v>
      </c>
      <c r="AS10032" t="s">
        <v>90</v>
      </c>
      <c r="AT10032" t="s">
        <v>58</v>
      </c>
      <c r="AU10032" t="s">
        <v>131</v>
      </c>
      <c r="AV10032" t="s">
        <v>132</v>
      </c>
      <c r="AW10032" s="1">
        <v>34286</v>
      </c>
      <c r="AX10032">
        <v>1</v>
      </c>
    </row>
    <row r="10033" spans="1:50">
      <c r="B10033" t="str">
        <f>"123458008"</f>
        <v>123458008</v>
      </c>
      <c r="C10033" t="s">
        <v>50</v>
      </c>
      <c r="D10033" t="s">
        <v>5135</v>
      </c>
      <c r="E10033" t="s">
        <v>1078</v>
      </c>
      <c r="F10033" t="s">
        <v>154</v>
      </c>
      <c r="G10033" t="s">
        <v>707</v>
      </c>
      <c r="H10033" t="str">
        <f>"ΒΑΜΟΣ ΑΠΟΚΟΡΩΝΟΥ ΧΑΝΙΑ"</f>
        <v>ΒΑΜΟΣ ΑΠΟΚΟΡΩΝΟΥ ΧΑΝΙΑ</v>
      </c>
      <c r="I10033">
        <v>73008</v>
      </c>
      <c r="J10033">
        <v>2825022082</v>
      </c>
      <c r="K10033">
        <v>6973613747</v>
      </c>
      <c r="N10033" t="s">
        <v>683</v>
      </c>
      <c r="O10033" t="s">
        <v>684</v>
      </c>
      <c r="R10033" t="s">
        <v>159</v>
      </c>
      <c r="S10033">
        <v>2</v>
      </c>
      <c r="T10033" t="s">
        <v>8675</v>
      </c>
      <c r="U10033" s="1">
        <v>43348</v>
      </c>
      <c r="V10033" t="s">
        <v>89</v>
      </c>
      <c r="W10033" t="s">
        <v>90</v>
      </c>
      <c r="X10033" t="s">
        <v>58</v>
      </c>
      <c r="Y10033">
        <v>24</v>
      </c>
      <c r="Z10033" t="s">
        <v>59</v>
      </c>
      <c r="AA10033" t="s">
        <v>59</v>
      </c>
      <c r="AB10033" t="s">
        <v>59</v>
      </c>
      <c r="AC10033" t="s">
        <v>59</v>
      </c>
      <c r="AD10033" t="s">
        <v>59</v>
      </c>
      <c r="AF10033" s="1">
        <v>43348</v>
      </c>
      <c r="AG10033" t="s">
        <v>8645</v>
      </c>
      <c r="AH10033" t="s">
        <v>8646</v>
      </c>
      <c r="AI10033" t="str">
        <f>"9500017"</f>
        <v>9500017</v>
      </c>
      <c r="AJ10033" t="s">
        <v>13873</v>
      </c>
      <c r="AK10033">
        <v>2825083173</v>
      </c>
      <c r="AL10033" t="s">
        <v>13874</v>
      </c>
      <c r="AM10033" t="s">
        <v>88</v>
      </c>
      <c r="AN10033" t="s">
        <v>6775</v>
      </c>
      <c r="AO10033" t="s">
        <v>11883</v>
      </c>
      <c r="AP10033" t="s">
        <v>13875</v>
      </c>
      <c r="AQ10033">
        <v>7</v>
      </c>
      <c r="AR10033" t="s">
        <v>89</v>
      </c>
      <c r="AS10033" t="s">
        <v>90</v>
      </c>
      <c r="AT10033" t="s">
        <v>58</v>
      </c>
      <c r="AU10033" t="s">
        <v>8673</v>
      </c>
      <c r="AV10033" t="s">
        <v>132</v>
      </c>
      <c r="AW10033" s="1">
        <v>28277</v>
      </c>
      <c r="AX10033">
        <v>1</v>
      </c>
    </row>
    <row r="10034" spans="1:50">
      <c r="A10034">
        <v>613375</v>
      </c>
      <c r="B10034" t="str">
        <f>"101990700"</f>
        <v>101990700</v>
      </c>
      <c r="C10034" t="s">
        <v>50</v>
      </c>
      <c r="D10034" t="s">
        <v>14982</v>
      </c>
      <c r="E10034" t="s">
        <v>7598</v>
      </c>
      <c r="F10034" t="s">
        <v>670</v>
      </c>
      <c r="G10034" t="s">
        <v>73</v>
      </c>
      <c r="H10034" t="str">
        <f>"ΚΑΤΩ ΣΤΑΛΟΣ "</f>
        <v xml:space="preserve">ΚΑΤΩ ΣΤΑΛΟΣ </v>
      </c>
      <c r="I10034">
        <v>73100</v>
      </c>
      <c r="J10034">
        <v>2821038285</v>
      </c>
      <c r="K10034">
        <v>6942557510</v>
      </c>
      <c r="N10034" t="s">
        <v>615</v>
      </c>
      <c r="O10034" t="s">
        <v>616</v>
      </c>
      <c r="R10034" t="s">
        <v>57</v>
      </c>
      <c r="S10034">
        <v>6</v>
      </c>
      <c r="T10034">
        <v>598</v>
      </c>
      <c r="U10034" s="1">
        <v>39310</v>
      </c>
      <c r="V10034" t="s">
        <v>89</v>
      </c>
      <c r="W10034" t="s">
        <v>90</v>
      </c>
      <c r="X10034" t="s">
        <v>58</v>
      </c>
      <c r="Y10034">
        <v>23</v>
      </c>
      <c r="Z10034" t="s">
        <v>59</v>
      </c>
      <c r="AA10034" t="s">
        <v>59</v>
      </c>
      <c r="AB10034" t="s">
        <v>59</v>
      </c>
      <c r="AC10034" t="s">
        <v>59</v>
      </c>
      <c r="AD10034" t="s">
        <v>59</v>
      </c>
      <c r="AF10034" s="1">
        <v>39310</v>
      </c>
      <c r="AG10034" t="s">
        <v>8645</v>
      </c>
      <c r="AH10034" t="s">
        <v>8646</v>
      </c>
      <c r="AI10034" t="str">
        <f>"9500403"</f>
        <v>9500403</v>
      </c>
      <c r="AJ10034" t="s">
        <v>14230</v>
      </c>
      <c r="AK10034">
        <v>2821034094</v>
      </c>
      <c r="AL10034" t="s">
        <v>14231</v>
      </c>
      <c r="AM10034" t="s">
        <v>88</v>
      </c>
      <c r="AN10034" t="s">
        <v>88</v>
      </c>
      <c r="AO10034" t="s">
        <v>6785</v>
      </c>
      <c r="AP10034" t="s">
        <v>13932</v>
      </c>
      <c r="AQ10034">
        <v>3</v>
      </c>
      <c r="AR10034" t="s">
        <v>89</v>
      </c>
      <c r="AS10034" t="s">
        <v>90</v>
      </c>
      <c r="AT10034" t="s">
        <v>58</v>
      </c>
      <c r="AU10034" t="s">
        <v>68</v>
      </c>
      <c r="AV10034" t="s">
        <v>69</v>
      </c>
      <c r="AW10034" s="1">
        <v>30176</v>
      </c>
      <c r="AX10034">
        <v>1</v>
      </c>
    </row>
    <row r="10035" spans="1:50">
      <c r="A10035">
        <v>585609</v>
      </c>
      <c r="B10035" t="str">
        <f>"039657627"</f>
        <v>039657627</v>
      </c>
      <c r="C10035" t="s">
        <v>50</v>
      </c>
      <c r="D10035" t="s">
        <v>2773</v>
      </c>
      <c r="E10035" t="s">
        <v>155</v>
      </c>
      <c r="F10035" t="s">
        <v>760</v>
      </c>
      <c r="G10035" t="s">
        <v>14983</v>
      </c>
      <c r="H10035" t="str">
        <f>"ΘΕΡΑΠΕΥΤΗΡΙΟΥ 8 ΧΑΝΙΑ"</f>
        <v>ΘΕΡΑΠΕΥΤΗΡΙΟΥ 8 ΧΑΝΙΑ</v>
      </c>
      <c r="I10035">
        <v>73200</v>
      </c>
      <c r="J10035">
        <v>2821081589</v>
      </c>
      <c r="K10035">
        <v>6945295858</v>
      </c>
      <c r="N10035" t="s">
        <v>615</v>
      </c>
      <c r="O10035" t="s">
        <v>616</v>
      </c>
      <c r="R10035" t="s">
        <v>57</v>
      </c>
      <c r="S10035">
        <v>12</v>
      </c>
      <c r="T10035">
        <v>165</v>
      </c>
      <c r="U10035" s="1">
        <v>36040</v>
      </c>
      <c r="V10035" t="s">
        <v>89</v>
      </c>
      <c r="W10035" t="s">
        <v>90</v>
      </c>
      <c r="X10035" t="s">
        <v>58</v>
      </c>
      <c r="Y10035">
        <v>21</v>
      </c>
      <c r="Z10035" t="s">
        <v>59</v>
      </c>
      <c r="AA10035" t="s">
        <v>59</v>
      </c>
      <c r="AB10035" t="s">
        <v>59</v>
      </c>
      <c r="AC10035" t="s">
        <v>59</v>
      </c>
      <c r="AD10035" t="s">
        <v>59</v>
      </c>
      <c r="AF10035" s="1">
        <v>36040</v>
      </c>
      <c r="AG10035" t="s">
        <v>8645</v>
      </c>
      <c r="AH10035" t="s">
        <v>8646</v>
      </c>
      <c r="AI10035" t="str">
        <f>"9500329"</f>
        <v>9500329</v>
      </c>
      <c r="AJ10035" t="s">
        <v>14241</v>
      </c>
      <c r="AK10035">
        <v>2821099075</v>
      </c>
      <c r="AL10035" t="s">
        <v>14242</v>
      </c>
      <c r="AM10035" t="s">
        <v>88</v>
      </c>
      <c r="AN10035" t="s">
        <v>88</v>
      </c>
      <c r="AO10035" t="s">
        <v>6733</v>
      </c>
      <c r="AP10035" t="s">
        <v>6734</v>
      </c>
      <c r="AQ10035">
        <v>2</v>
      </c>
      <c r="AR10035" t="s">
        <v>89</v>
      </c>
      <c r="AS10035" t="s">
        <v>90</v>
      </c>
      <c r="AT10035" t="s">
        <v>58</v>
      </c>
      <c r="AU10035" t="s">
        <v>68</v>
      </c>
      <c r="AV10035" t="s">
        <v>69</v>
      </c>
      <c r="AW10035" s="1">
        <v>24311</v>
      </c>
      <c r="AX10035">
        <v>1</v>
      </c>
    </row>
    <row r="10036" spans="1:50">
      <c r="A10036">
        <v>551361</v>
      </c>
      <c r="B10036" t="str">
        <f>"029831269"</f>
        <v>029831269</v>
      </c>
      <c r="C10036" t="s">
        <v>105</v>
      </c>
      <c r="D10036" t="s">
        <v>14984</v>
      </c>
      <c r="E10036" t="s">
        <v>84</v>
      </c>
      <c r="F10036" t="s">
        <v>106</v>
      </c>
      <c r="G10036" t="s">
        <v>1189</v>
      </c>
      <c r="H10036" t="str">
        <f>"ΔΡΟΜΟΝΕΡΟΥ 56 ΧΑΛΕΠΑ ΧΑΝΙΑ"</f>
        <v>ΔΡΟΜΟΝΕΡΟΥ 56 ΧΑΛΕΠΑ ΧΑΝΙΑ</v>
      </c>
      <c r="I10036">
        <v>73133</v>
      </c>
      <c r="J10036">
        <v>2821052169</v>
      </c>
      <c r="K10036">
        <v>6972249850</v>
      </c>
      <c r="N10036" t="s">
        <v>615</v>
      </c>
      <c r="O10036" t="s">
        <v>616</v>
      </c>
      <c r="R10036" t="s">
        <v>57</v>
      </c>
      <c r="S10036">
        <v>17</v>
      </c>
      <c r="T10036">
        <v>271</v>
      </c>
      <c r="U10036" s="1">
        <v>30923</v>
      </c>
      <c r="V10036" t="s">
        <v>89</v>
      </c>
      <c r="W10036" t="s">
        <v>90</v>
      </c>
      <c r="X10036" t="s">
        <v>58</v>
      </c>
      <c r="Y10036">
        <v>21</v>
      </c>
      <c r="Z10036" t="s">
        <v>59</v>
      </c>
      <c r="AA10036" t="s">
        <v>59</v>
      </c>
      <c r="AB10036" t="s">
        <v>59</v>
      </c>
      <c r="AC10036" t="s">
        <v>59</v>
      </c>
      <c r="AD10036" t="s">
        <v>59</v>
      </c>
      <c r="AF10036" s="1">
        <v>30923</v>
      </c>
      <c r="AG10036" t="s">
        <v>8645</v>
      </c>
      <c r="AH10036" t="s">
        <v>8646</v>
      </c>
      <c r="AI10036" t="str">
        <f>"9500315"</f>
        <v>9500315</v>
      </c>
      <c r="AJ10036" t="s">
        <v>14174</v>
      </c>
      <c r="AK10036">
        <v>2821040565</v>
      </c>
      <c r="AL10036" t="s">
        <v>14175</v>
      </c>
      <c r="AM10036" t="s">
        <v>88</v>
      </c>
      <c r="AN10036" t="s">
        <v>88</v>
      </c>
      <c r="AO10036" t="s">
        <v>88</v>
      </c>
      <c r="AP10036" t="s">
        <v>88</v>
      </c>
      <c r="AQ10036">
        <v>1</v>
      </c>
      <c r="AR10036" t="s">
        <v>89</v>
      </c>
      <c r="AS10036" t="s">
        <v>90</v>
      </c>
      <c r="AT10036" t="s">
        <v>58</v>
      </c>
      <c r="AU10036" t="s">
        <v>68</v>
      </c>
      <c r="AV10036" t="s">
        <v>69</v>
      </c>
      <c r="AW10036" s="1">
        <v>21767</v>
      </c>
      <c r="AX10036">
        <v>1</v>
      </c>
    </row>
    <row r="10037" spans="1:50">
      <c r="B10037" t="str">
        <f>"135765116"</f>
        <v>135765116</v>
      </c>
      <c r="C10037" t="s">
        <v>50</v>
      </c>
      <c r="D10037" t="s">
        <v>14985</v>
      </c>
      <c r="E10037" t="s">
        <v>73</v>
      </c>
      <c r="F10037" t="s">
        <v>154</v>
      </c>
      <c r="G10037" t="s">
        <v>6415</v>
      </c>
      <c r="H10037" t="str">
        <f>"25ΗΣ ΜΑΡΤΙΟΥ 87 - ΕΥΟΣΜΟΣ "</f>
        <v xml:space="preserve">25ΗΣ ΜΑΡΤΙΟΥ 87 - ΕΥΟΣΜΟΣ </v>
      </c>
      <c r="I10037">
        <v>56224</v>
      </c>
      <c r="J10037">
        <v>2310758687</v>
      </c>
      <c r="K10037">
        <v>6980210445</v>
      </c>
      <c r="N10037" t="s">
        <v>1525</v>
      </c>
      <c r="O10037" t="s">
        <v>1526</v>
      </c>
      <c r="R10037" t="s">
        <v>159</v>
      </c>
      <c r="S10037">
        <v>3</v>
      </c>
      <c r="T10037" t="s">
        <v>8670</v>
      </c>
      <c r="U10037" s="1">
        <v>43348</v>
      </c>
      <c r="V10037" t="s">
        <v>89</v>
      </c>
      <c r="W10037" t="s">
        <v>90</v>
      </c>
      <c r="X10037" t="s">
        <v>58</v>
      </c>
      <c r="Y10037">
        <v>25</v>
      </c>
      <c r="Z10037" t="s">
        <v>59</v>
      </c>
      <c r="AA10037" t="s">
        <v>59</v>
      </c>
      <c r="AB10037" t="s">
        <v>59</v>
      </c>
      <c r="AC10037" t="s">
        <v>59</v>
      </c>
      <c r="AD10037" t="s">
        <v>59</v>
      </c>
      <c r="AF10037" s="1">
        <v>43348</v>
      </c>
      <c r="AG10037" t="s">
        <v>8651</v>
      </c>
      <c r="AH10037" t="s">
        <v>8652</v>
      </c>
      <c r="AI10037" t="str">
        <f>"9500296"</f>
        <v>9500296</v>
      </c>
      <c r="AJ10037" t="s">
        <v>14762</v>
      </c>
      <c r="AK10037">
        <v>2821099519</v>
      </c>
      <c r="AL10037" t="s">
        <v>14763</v>
      </c>
      <c r="AM10037" t="s">
        <v>88</v>
      </c>
      <c r="AN10037" t="s">
        <v>88</v>
      </c>
      <c r="AO10037" t="s">
        <v>6733</v>
      </c>
      <c r="AP10037" t="s">
        <v>6734</v>
      </c>
      <c r="AQ10037">
        <v>2</v>
      </c>
      <c r="AR10037" t="s">
        <v>89</v>
      </c>
      <c r="AS10037" t="s">
        <v>90</v>
      </c>
      <c r="AT10037" t="s">
        <v>58</v>
      </c>
      <c r="AU10037" t="s">
        <v>8673</v>
      </c>
      <c r="AV10037" t="s">
        <v>132</v>
      </c>
      <c r="AW10037" s="1">
        <v>30835</v>
      </c>
      <c r="AX10037">
        <v>1</v>
      </c>
    </row>
    <row r="10038" spans="1:50">
      <c r="A10038">
        <v>571318</v>
      </c>
      <c r="B10038" t="str">
        <f>"122955088"</f>
        <v>122955088</v>
      </c>
      <c r="C10038" t="s">
        <v>50</v>
      </c>
      <c r="D10038" t="s">
        <v>14986</v>
      </c>
      <c r="E10038" t="s">
        <v>352</v>
      </c>
      <c r="F10038" t="s">
        <v>279</v>
      </c>
      <c r="G10038" t="s">
        <v>52</v>
      </c>
      <c r="H10038" t="str">
        <f>"Γ.ΑΡΕΤΑΚΗ ΚΑΜΠΑΝΙ ΑΚΡΩΤΗΡΙ ΧΑΝΙΑ"</f>
        <v>Γ.ΑΡΕΤΑΚΗ ΚΑΜΠΑΝΙ ΑΚΡΩΤΗΡΙ ΧΑΝΙΑ</v>
      </c>
      <c r="I10038">
        <v>73100</v>
      </c>
      <c r="K10038">
        <v>6974610869</v>
      </c>
      <c r="N10038" t="s">
        <v>615</v>
      </c>
      <c r="O10038" t="s">
        <v>616</v>
      </c>
      <c r="R10038" t="s">
        <v>57</v>
      </c>
      <c r="S10038">
        <v>13</v>
      </c>
      <c r="T10038">
        <v>138</v>
      </c>
      <c r="U10038" s="1">
        <v>34206</v>
      </c>
      <c r="V10038" t="s">
        <v>89</v>
      </c>
      <c r="W10038" t="s">
        <v>90</v>
      </c>
      <c r="X10038" t="s">
        <v>58</v>
      </c>
      <c r="Y10038">
        <v>21</v>
      </c>
      <c r="Z10038" t="s">
        <v>59</v>
      </c>
      <c r="AA10038" t="s">
        <v>59</v>
      </c>
      <c r="AB10038" t="s">
        <v>59</v>
      </c>
      <c r="AC10038" t="s">
        <v>59</v>
      </c>
      <c r="AD10038" t="s">
        <v>59</v>
      </c>
      <c r="AF10038" s="1">
        <v>34206</v>
      </c>
      <c r="AG10038" t="s">
        <v>8645</v>
      </c>
      <c r="AH10038" t="s">
        <v>8646</v>
      </c>
      <c r="AI10038" t="str">
        <f>"9500093"</f>
        <v>9500093</v>
      </c>
      <c r="AJ10038" t="s">
        <v>13865</v>
      </c>
      <c r="AK10038">
        <v>2821064537</v>
      </c>
      <c r="AL10038" t="s">
        <v>13866</v>
      </c>
      <c r="AM10038" t="s">
        <v>88</v>
      </c>
      <c r="AN10038" t="s">
        <v>88</v>
      </c>
      <c r="AO10038" t="s">
        <v>6770</v>
      </c>
      <c r="AP10038" t="s">
        <v>6771</v>
      </c>
      <c r="AQ10038">
        <v>2</v>
      </c>
      <c r="AR10038" t="s">
        <v>89</v>
      </c>
      <c r="AS10038" t="s">
        <v>90</v>
      </c>
      <c r="AT10038" t="s">
        <v>58</v>
      </c>
      <c r="AU10038" t="s">
        <v>68</v>
      </c>
      <c r="AV10038" t="s">
        <v>69</v>
      </c>
      <c r="AW10038" s="1">
        <v>24336</v>
      </c>
      <c r="AX10038">
        <v>1</v>
      </c>
    </row>
    <row r="10039" spans="1:50">
      <c r="A10039">
        <v>560171</v>
      </c>
      <c r="B10039" t="str">
        <f>"031809332"</f>
        <v>031809332</v>
      </c>
      <c r="C10039" t="s">
        <v>50</v>
      </c>
      <c r="D10039" t="s">
        <v>14987</v>
      </c>
      <c r="E10039" t="s">
        <v>1484</v>
      </c>
      <c r="F10039" t="s">
        <v>108</v>
      </c>
      <c r="G10039" t="s">
        <v>396</v>
      </c>
      <c r="H10039" t="str">
        <f>"ΓΕΡΑΣΙΜΟΥ ΠΑΡΔΑΛΗ 30 ΝΕΑ ΧΩΡΑ"</f>
        <v>ΓΕΡΑΣΙΜΟΥ ΠΑΡΔΑΛΗ 30 ΝΕΑ ΧΩΡΑ</v>
      </c>
      <c r="I10039">
        <v>73131</v>
      </c>
      <c r="J10039">
        <v>2821087255</v>
      </c>
      <c r="K10039">
        <v>6973208358</v>
      </c>
      <c r="N10039" t="s">
        <v>615</v>
      </c>
      <c r="O10039" t="s">
        <v>616</v>
      </c>
      <c r="R10039" t="s">
        <v>57</v>
      </c>
      <c r="S10039">
        <v>16</v>
      </c>
      <c r="T10039">
        <v>185</v>
      </c>
      <c r="U10039" s="1">
        <v>32035</v>
      </c>
      <c r="V10039" t="s">
        <v>89</v>
      </c>
      <c r="W10039" t="s">
        <v>90</v>
      </c>
      <c r="X10039" t="s">
        <v>58</v>
      </c>
      <c r="Y10039">
        <v>21</v>
      </c>
      <c r="Z10039" t="s">
        <v>59</v>
      </c>
      <c r="AA10039" t="s">
        <v>59</v>
      </c>
      <c r="AB10039" t="s">
        <v>59</v>
      </c>
      <c r="AC10039" t="s">
        <v>59</v>
      </c>
      <c r="AD10039" t="s">
        <v>59</v>
      </c>
      <c r="AF10039" s="1">
        <v>32035</v>
      </c>
      <c r="AG10039" t="s">
        <v>8645</v>
      </c>
      <c r="AH10039" t="s">
        <v>8646</v>
      </c>
      <c r="AI10039" t="str">
        <f>"9500144"</f>
        <v>9500144</v>
      </c>
      <c r="AJ10039" t="s">
        <v>14010</v>
      </c>
      <c r="AK10039">
        <v>2821094171</v>
      </c>
      <c r="AL10039" t="s">
        <v>14011</v>
      </c>
      <c r="AM10039" t="s">
        <v>88</v>
      </c>
      <c r="AN10039" t="s">
        <v>88</v>
      </c>
      <c r="AO10039" t="s">
        <v>88</v>
      </c>
      <c r="AP10039" t="s">
        <v>88</v>
      </c>
      <c r="AQ10039">
        <v>1</v>
      </c>
      <c r="AR10039" t="s">
        <v>89</v>
      </c>
      <c r="AS10039" t="s">
        <v>90</v>
      </c>
      <c r="AT10039" t="s">
        <v>58</v>
      </c>
      <c r="AU10039" t="s">
        <v>68</v>
      </c>
      <c r="AV10039" t="s">
        <v>69</v>
      </c>
      <c r="AW10039" s="1">
        <v>23752</v>
      </c>
      <c r="AX10039">
        <v>1</v>
      </c>
    </row>
    <row r="10040" spans="1:50">
      <c r="B10040" t="str">
        <f>"136530706"</f>
        <v>136530706</v>
      </c>
      <c r="C10040" t="s">
        <v>50</v>
      </c>
      <c r="D10040" t="s">
        <v>14988</v>
      </c>
      <c r="E10040" t="s">
        <v>809</v>
      </c>
      <c r="F10040" t="s">
        <v>95</v>
      </c>
      <c r="G10040" t="s">
        <v>934</v>
      </c>
      <c r="H10040" t="str">
        <f>" "</f>
        <v xml:space="preserve"> </v>
      </c>
      <c r="N10040" t="s">
        <v>1525</v>
      </c>
      <c r="O10040" t="s">
        <v>1526</v>
      </c>
      <c r="R10040" t="s">
        <v>121</v>
      </c>
      <c r="S10040">
        <v>1</v>
      </c>
      <c r="T10040" t="s">
        <v>10716</v>
      </c>
      <c r="U10040" s="1">
        <v>43377</v>
      </c>
      <c r="V10040" t="s">
        <v>89</v>
      </c>
      <c r="W10040" t="s">
        <v>90</v>
      </c>
      <c r="X10040" t="s">
        <v>58</v>
      </c>
      <c r="Y10040">
        <v>25</v>
      </c>
      <c r="Z10040" t="s">
        <v>59</v>
      </c>
      <c r="AD10040" t="s">
        <v>59</v>
      </c>
      <c r="AF10040" s="1">
        <v>43377</v>
      </c>
      <c r="AG10040" t="s">
        <v>8651</v>
      </c>
      <c r="AH10040" t="s">
        <v>8652</v>
      </c>
      <c r="AI10040" t="str">
        <f>"9500258"</f>
        <v>9500258</v>
      </c>
      <c r="AJ10040" t="s">
        <v>14162</v>
      </c>
      <c r="AK10040">
        <v>2821090938</v>
      </c>
      <c r="AL10040" t="s">
        <v>14163</v>
      </c>
      <c r="AM10040" t="s">
        <v>88</v>
      </c>
      <c r="AN10040" t="s">
        <v>88</v>
      </c>
      <c r="AO10040" t="s">
        <v>88</v>
      </c>
      <c r="AP10040" t="s">
        <v>88</v>
      </c>
      <c r="AQ10040">
        <v>1</v>
      </c>
      <c r="AR10040" t="s">
        <v>89</v>
      </c>
      <c r="AS10040" t="s">
        <v>90</v>
      </c>
      <c r="AT10040" t="s">
        <v>58</v>
      </c>
      <c r="AU10040" t="s">
        <v>8673</v>
      </c>
      <c r="AV10040" t="s">
        <v>132</v>
      </c>
      <c r="AW10040" s="1">
        <v>31541</v>
      </c>
      <c r="AX10040">
        <v>1</v>
      </c>
    </row>
    <row r="10041" spans="1:50">
      <c r="B10041" t="str">
        <f>"146453060"</f>
        <v>146453060</v>
      </c>
      <c r="C10041" t="s">
        <v>50</v>
      </c>
      <c r="D10041" t="s">
        <v>14989</v>
      </c>
      <c r="E10041" t="s">
        <v>255</v>
      </c>
      <c r="F10041" t="s">
        <v>1316</v>
      </c>
      <c r="G10041" t="s">
        <v>699</v>
      </c>
      <c r="H10041" t="str">
        <f>"ΣΟΦΟΚΛΗ ΒΕΝΙΖΕΛΟΥ 53 "</f>
        <v xml:space="preserve">ΣΟΦΟΚΛΗ ΒΕΝΙΖΕΛΟΥ 53 </v>
      </c>
      <c r="I10041">
        <v>59300</v>
      </c>
      <c r="J10041">
        <v>2333024523</v>
      </c>
      <c r="K10041">
        <v>6973363372</v>
      </c>
      <c r="M10041" t="s">
        <v>14990</v>
      </c>
      <c r="N10041" t="s">
        <v>615</v>
      </c>
      <c r="O10041" t="s">
        <v>616</v>
      </c>
      <c r="R10041" t="s">
        <v>159</v>
      </c>
      <c r="S10041">
        <v>3</v>
      </c>
      <c r="T10041" t="s">
        <v>8675</v>
      </c>
      <c r="U10041" s="1">
        <v>43348</v>
      </c>
      <c r="V10041" t="s">
        <v>89</v>
      </c>
      <c r="W10041" t="s">
        <v>90</v>
      </c>
      <c r="X10041" t="s">
        <v>58</v>
      </c>
      <c r="Y10041">
        <v>24</v>
      </c>
      <c r="Z10041" t="s">
        <v>59</v>
      </c>
      <c r="AA10041" t="s">
        <v>59</v>
      </c>
      <c r="AB10041" t="s">
        <v>59</v>
      </c>
      <c r="AC10041" t="s">
        <v>59</v>
      </c>
      <c r="AD10041" t="s">
        <v>59</v>
      </c>
      <c r="AF10041" s="1">
        <v>43348</v>
      </c>
      <c r="AG10041" t="s">
        <v>8645</v>
      </c>
      <c r="AH10041" t="s">
        <v>8646</v>
      </c>
      <c r="AI10041" t="str">
        <f>"9500055"</f>
        <v>9500055</v>
      </c>
      <c r="AJ10041" t="s">
        <v>14096</v>
      </c>
      <c r="AK10041">
        <v>2825092237</v>
      </c>
      <c r="AL10041" t="s">
        <v>14095</v>
      </c>
      <c r="AM10041" t="s">
        <v>88</v>
      </c>
      <c r="AN10041" t="s">
        <v>6995</v>
      </c>
      <c r="AO10041" t="s">
        <v>6995</v>
      </c>
      <c r="AP10041" t="s">
        <v>14097</v>
      </c>
      <c r="AQ10041">
        <v>10</v>
      </c>
      <c r="AR10041" t="s">
        <v>89</v>
      </c>
      <c r="AS10041" t="s">
        <v>90</v>
      </c>
      <c r="AT10041" t="s">
        <v>58</v>
      </c>
      <c r="AU10041" t="s">
        <v>8673</v>
      </c>
      <c r="AV10041" t="s">
        <v>132</v>
      </c>
      <c r="AW10041" s="1">
        <v>32029</v>
      </c>
      <c r="AX10041">
        <v>1</v>
      </c>
    </row>
    <row r="10042" spans="1:50">
      <c r="B10042" t="str">
        <f>"130829791"</f>
        <v>130829791</v>
      </c>
      <c r="C10042" t="s">
        <v>105</v>
      </c>
      <c r="D10042" t="s">
        <v>14991</v>
      </c>
      <c r="E10042" t="s">
        <v>14992</v>
      </c>
      <c r="F10042" t="s">
        <v>14993</v>
      </c>
      <c r="G10042" t="s">
        <v>14994</v>
      </c>
      <c r="H10042" t="str">
        <f>"ΕΡΓ. ΚΑΤ. ΣΑΓΗΝΗΣ 116 "</f>
        <v xml:space="preserve">ΕΡΓ. ΚΑΤ. ΣΑΓΗΝΗΣ 116 </v>
      </c>
      <c r="I10042">
        <v>68200</v>
      </c>
      <c r="J10042">
        <v>2552022982</v>
      </c>
      <c r="K10042">
        <v>6980192762</v>
      </c>
      <c r="N10042" t="s">
        <v>615</v>
      </c>
      <c r="O10042" t="s">
        <v>616</v>
      </c>
      <c r="R10042" t="s">
        <v>159</v>
      </c>
      <c r="S10042">
        <v>3</v>
      </c>
      <c r="T10042" t="s">
        <v>8675</v>
      </c>
      <c r="U10042" s="1">
        <v>43348</v>
      </c>
      <c r="V10042" t="s">
        <v>89</v>
      </c>
      <c r="W10042" t="s">
        <v>90</v>
      </c>
      <c r="X10042" t="s">
        <v>58</v>
      </c>
      <c r="Y10042">
        <v>24</v>
      </c>
      <c r="Z10042" t="s">
        <v>59</v>
      </c>
      <c r="AA10042" t="s">
        <v>59</v>
      </c>
      <c r="AB10042" t="s">
        <v>59</v>
      </c>
      <c r="AC10042" t="s">
        <v>59</v>
      </c>
      <c r="AD10042" t="s">
        <v>59</v>
      </c>
      <c r="AF10042" s="1">
        <v>43348</v>
      </c>
      <c r="AG10042" t="s">
        <v>8645</v>
      </c>
      <c r="AH10042" t="s">
        <v>8646</v>
      </c>
      <c r="AI10042" t="str">
        <f>"9500218"</f>
        <v>9500218</v>
      </c>
      <c r="AJ10042" t="s">
        <v>13992</v>
      </c>
      <c r="AK10042">
        <v>2824022216</v>
      </c>
      <c r="AL10042" t="s">
        <v>13993</v>
      </c>
      <c r="AM10042" t="s">
        <v>88</v>
      </c>
      <c r="AN10042" t="s">
        <v>6764</v>
      </c>
      <c r="AO10042" t="s">
        <v>6799</v>
      </c>
      <c r="AP10042" t="s">
        <v>6799</v>
      </c>
      <c r="AQ10042">
        <v>6</v>
      </c>
      <c r="AR10042" t="s">
        <v>89</v>
      </c>
      <c r="AS10042" t="s">
        <v>90</v>
      </c>
      <c r="AT10042" t="s">
        <v>58</v>
      </c>
      <c r="AU10042" t="s">
        <v>8673</v>
      </c>
      <c r="AV10042" t="s">
        <v>132</v>
      </c>
      <c r="AW10042" s="1">
        <v>29827</v>
      </c>
      <c r="AX10042">
        <v>1</v>
      </c>
    </row>
    <row r="10043" spans="1:50">
      <c r="A10043">
        <v>602481</v>
      </c>
      <c r="B10043" t="str">
        <f>"120038520"</f>
        <v>120038520</v>
      </c>
      <c r="C10043" t="s">
        <v>50</v>
      </c>
      <c r="D10043" t="s">
        <v>14995</v>
      </c>
      <c r="E10043" t="s">
        <v>263</v>
      </c>
      <c r="F10043" t="s">
        <v>315</v>
      </c>
      <c r="G10043" t="s">
        <v>52</v>
      </c>
      <c r="H10043" t="str">
        <f>"ΚΑΡΑΓΙΩΡΓΑ 6 ΧΑΝΙΑ"</f>
        <v>ΚΑΡΑΓΙΩΡΓΑ 6 ΧΑΝΙΑ</v>
      </c>
      <c r="I10043">
        <v>73100</v>
      </c>
      <c r="J10043">
        <v>2821042772</v>
      </c>
      <c r="K10043">
        <v>6983109886</v>
      </c>
      <c r="N10043" t="s">
        <v>615</v>
      </c>
      <c r="O10043" t="s">
        <v>616</v>
      </c>
      <c r="R10043" t="s">
        <v>57</v>
      </c>
      <c r="S10043">
        <v>7</v>
      </c>
      <c r="T10043">
        <v>207</v>
      </c>
      <c r="U10043" s="1">
        <v>37866</v>
      </c>
      <c r="V10043" t="s">
        <v>89</v>
      </c>
      <c r="W10043" t="s">
        <v>90</v>
      </c>
      <c r="X10043" t="s">
        <v>58</v>
      </c>
      <c r="Y10043">
        <v>22</v>
      </c>
      <c r="Z10043" t="s">
        <v>59</v>
      </c>
      <c r="AA10043" t="s">
        <v>59</v>
      </c>
      <c r="AB10043" t="s">
        <v>59</v>
      </c>
      <c r="AC10043" t="s">
        <v>59</v>
      </c>
      <c r="AD10043" t="s">
        <v>59</v>
      </c>
      <c r="AF10043" s="1">
        <v>37866</v>
      </c>
      <c r="AG10043" t="s">
        <v>8645</v>
      </c>
      <c r="AH10043" t="s">
        <v>8646</v>
      </c>
      <c r="AI10043" t="str">
        <f>"9500075"</f>
        <v>9500075</v>
      </c>
      <c r="AJ10043" t="s">
        <v>13955</v>
      </c>
      <c r="AK10043">
        <v>2821046505</v>
      </c>
      <c r="AL10043" t="s">
        <v>13956</v>
      </c>
      <c r="AM10043" t="s">
        <v>88</v>
      </c>
      <c r="AN10043" t="s">
        <v>88</v>
      </c>
      <c r="AO10043" t="s">
        <v>88</v>
      </c>
      <c r="AP10043" t="s">
        <v>88</v>
      </c>
      <c r="AQ10043">
        <v>1</v>
      </c>
      <c r="AR10043" t="s">
        <v>89</v>
      </c>
      <c r="AS10043" t="s">
        <v>90</v>
      </c>
      <c r="AT10043" t="s">
        <v>58</v>
      </c>
      <c r="AU10043" t="s">
        <v>68</v>
      </c>
      <c r="AV10043" t="s">
        <v>69</v>
      </c>
      <c r="AW10043" s="1">
        <v>28174</v>
      </c>
      <c r="AX10043">
        <v>1</v>
      </c>
    </row>
    <row r="10044" spans="1:50">
      <c r="A10044">
        <v>176914</v>
      </c>
      <c r="B10044" t="str">
        <f>"075146911"</f>
        <v>075146911</v>
      </c>
      <c r="C10044" t="s">
        <v>50</v>
      </c>
      <c r="D10044" t="s">
        <v>14996</v>
      </c>
      <c r="E10044" t="s">
        <v>237</v>
      </c>
      <c r="F10044" t="s">
        <v>1679</v>
      </c>
      <c r="G10044" t="s">
        <v>2431</v>
      </c>
      <c r="H10044" t="str">
        <f>" "</f>
        <v xml:space="preserve"> </v>
      </c>
      <c r="N10044" t="s">
        <v>683</v>
      </c>
      <c r="O10044" t="s">
        <v>684</v>
      </c>
      <c r="R10044" t="s">
        <v>57</v>
      </c>
      <c r="S10044">
        <v>10</v>
      </c>
      <c r="T10044">
        <v>180</v>
      </c>
      <c r="U10044" s="1">
        <v>35674</v>
      </c>
      <c r="V10044" t="s">
        <v>89</v>
      </c>
      <c r="W10044" t="s">
        <v>90</v>
      </c>
      <c r="X10044" t="s">
        <v>58</v>
      </c>
      <c r="Y10044">
        <v>21</v>
      </c>
      <c r="Z10044" t="s">
        <v>59</v>
      </c>
      <c r="AA10044" t="s">
        <v>59</v>
      </c>
      <c r="AB10044" t="s">
        <v>59</v>
      </c>
      <c r="AC10044" t="s">
        <v>59</v>
      </c>
      <c r="AD10044" t="s">
        <v>59</v>
      </c>
      <c r="AF10044" s="1">
        <v>35677</v>
      </c>
      <c r="AG10044" t="s">
        <v>8645</v>
      </c>
      <c r="AH10044" t="s">
        <v>8646</v>
      </c>
      <c r="AI10044" t="str">
        <f>"9500093"</f>
        <v>9500093</v>
      </c>
      <c r="AJ10044" t="s">
        <v>13865</v>
      </c>
      <c r="AK10044">
        <v>2821064537</v>
      </c>
      <c r="AL10044" t="s">
        <v>13866</v>
      </c>
      <c r="AM10044" t="s">
        <v>88</v>
      </c>
      <c r="AN10044" t="s">
        <v>88</v>
      </c>
      <c r="AO10044" t="s">
        <v>6770</v>
      </c>
      <c r="AP10044" t="s">
        <v>6771</v>
      </c>
      <c r="AQ10044">
        <v>2</v>
      </c>
      <c r="AR10044" t="s">
        <v>89</v>
      </c>
      <c r="AS10044" t="s">
        <v>90</v>
      </c>
      <c r="AT10044" t="s">
        <v>58</v>
      </c>
      <c r="AU10044" t="s">
        <v>68</v>
      </c>
      <c r="AV10044" t="s">
        <v>69</v>
      </c>
      <c r="AW10044" s="1">
        <v>25797</v>
      </c>
      <c r="AX10044">
        <v>1</v>
      </c>
    </row>
    <row r="10045" spans="1:50">
      <c r="A10045">
        <v>601317</v>
      </c>
      <c r="B10045" t="str">
        <f>"065911760"</f>
        <v>065911760</v>
      </c>
      <c r="C10045" t="s">
        <v>50</v>
      </c>
      <c r="D10045" t="s">
        <v>14996</v>
      </c>
      <c r="E10045" t="s">
        <v>52</v>
      </c>
      <c r="F10045" t="s">
        <v>474</v>
      </c>
      <c r="G10045" t="s">
        <v>414</v>
      </c>
      <c r="H10045" t="str">
        <f>"ΤΣΙΚΑΛΑΡΙΩΝ 152 ΧΑΝΙΑ"</f>
        <v>ΤΣΙΚΑΛΑΡΙΩΝ 152 ΧΑΝΙΑ</v>
      </c>
      <c r="I10045">
        <v>73200</v>
      </c>
      <c r="J10045">
        <v>2821089203</v>
      </c>
      <c r="K10045">
        <v>6978980233</v>
      </c>
      <c r="N10045" t="s">
        <v>615</v>
      </c>
      <c r="O10045" t="s">
        <v>616</v>
      </c>
      <c r="R10045" t="s">
        <v>57</v>
      </c>
      <c r="S10045">
        <v>8</v>
      </c>
      <c r="T10045" t="s">
        <v>14997</v>
      </c>
      <c r="U10045" s="1">
        <v>37866</v>
      </c>
      <c r="V10045" t="s">
        <v>89</v>
      </c>
      <c r="W10045" t="s">
        <v>90</v>
      </c>
      <c r="X10045" t="s">
        <v>58</v>
      </c>
      <c r="Y10045">
        <v>22</v>
      </c>
      <c r="Z10045" t="s">
        <v>59</v>
      </c>
      <c r="AA10045" t="s">
        <v>59</v>
      </c>
      <c r="AB10045" t="s">
        <v>59</v>
      </c>
      <c r="AC10045" t="s">
        <v>59</v>
      </c>
      <c r="AD10045" t="s">
        <v>59</v>
      </c>
      <c r="AF10045" s="1">
        <v>37866</v>
      </c>
      <c r="AG10045" t="s">
        <v>8645</v>
      </c>
      <c r="AH10045" t="s">
        <v>8646</v>
      </c>
      <c r="AI10045" t="str">
        <f>"9500329"</f>
        <v>9500329</v>
      </c>
      <c r="AJ10045" t="s">
        <v>14241</v>
      </c>
      <c r="AK10045">
        <v>2821099075</v>
      </c>
      <c r="AL10045" t="s">
        <v>14242</v>
      </c>
      <c r="AM10045" t="s">
        <v>88</v>
      </c>
      <c r="AN10045" t="s">
        <v>88</v>
      </c>
      <c r="AO10045" t="s">
        <v>6733</v>
      </c>
      <c r="AP10045" t="s">
        <v>6734</v>
      </c>
      <c r="AQ10045">
        <v>2</v>
      </c>
      <c r="AR10045" t="s">
        <v>89</v>
      </c>
      <c r="AS10045" t="s">
        <v>90</v>
      </c>
      <c r="AT10045" t="s">
        <v>58</v>
      </c>
      <c r="AU10045" t="s">
        <v>68</v>
      </c>
      <c r="AV10045" t="s">
        <v>69</v>
      </c>
      <c r="AW10045" s="1">
        <v>26546</v>
      </c>
      <c r="AX10045">
        <v>1</v>
      </c>
    </row>
    <row r="10046" spans="1:50">
      <c r="A10046">
        <v>602710</v>
      </c>
      <c r="B10046" t="str">
        <f>"126494511"</f>
        <v>126494511</v>
      </c>
      <c r="C10046" t="s">
        <v>50</v>
      </c>
      <c r="D10046" t="s">
        <v>7834</v>
      </c>
      <c r="E10046" t="s">
        <v>155</v>
      </c>
      <c r="F10046" t="s">
        <v>202</v>
      </c>
      <c r="G10046" t="s">
        <v>83</v>
      </c>
      <c r="H10046" t="str">
        <f>"ΜΑΥΡΟΚΟΡΔΑΤΟΥ  3 ΚΟΥΜΠΕΣ"</f>
        <v>ΜΑΥΡΟΚΟΡΔΑΤΟΥ  3 ΚΟΥΜΠΕΣ</v>
      </c>
      <c r="I10046">
        <v>73100</v>
      </c>
      <c r="J10046">
        <v>2821036065</v>
      </c>
      <c r="K10046">
        <v>6945257275</v>
      </c>
      <c r="N10046" t="s">
        <v>615</v>
      </c>
      <c r="O10046" t="s">
        <v>616</v>
      </c>
      <c r="R10046" t="s">
        <v>57</v>
      </c>
      <c r="S10046">
        <v>7</v>
      </c>
      <c r="T10046" t="s">
        <v>14998</v>
      </c>
      <c r="U10046" s="1">
        <v>37502</v>
      </c>
      <c r="V10046" t="s">
        <v>89</v>
      </c>
      <c r="W10046" t="s">
        <v>90</v>
      </c>
      <c r="X10046" t="s">
        <v>58</v>
      </c>
      <c r="Y10046">
        <v>22</v>
      </c>
      <c r="Z10046" t="s">
        <v>59</v>
      </c>
      <c r="AA10046" t="s">
        <v>59</v>
      </c>
      <c r="AB10046" t="s">
        <v>59</v>
      </c>
      <c r="AC10046" t="s">
        <v>59</v>
      </c>
      <c r="AD10046" t="s">
        <v>59</v>
      </c>
      <c r="AF10046" s="1">
        <v>37866</v>
      </c>
      <c r="AG10046" t="s">
        <v>8645</v>
      </c>
      <c r="AH10046" t="s">
        <v>8646</v>
      </c>
      <c r="AI10046" t="str">
        <f>"9500358"</f>
        <v>9500358</v>
      </c>
      <c r="AJ10046" t="s">
        <v>13948</v>
      </c>
      <c r="AK10046">
        <v>2821093459</v>
      </c>
      <c r="AL10046" t="s">
        <v>13949</v>
      </c>
      <c r="AM10046" t="s">
        <v>88</v>
      </c>
      <c r="AN10046" t="s">
        <v>88</v>
      </c>
      <c r="AO10046" t="s">
        <v>6733</v>
      </c>
      <c r="AP10046" t="s">
        <v>6755</v>
      </c>
      <c r="AQ10046">
        <v>2</v>
      </c>
      <c r="AR10046" t="s">
        <v>89</v>
      </c>
      <c r="AS10046" t="s">
        <v>90</v>
      </c>
      <c r="AT10046" t="s">
        <v>58</v>
      </c>
      <c r="AU10046" t="s">
        <v>68</v>
      </c>
      <c r="AV10046" t="s">
        <v>69</v>
      </c>
      <c r="AW10046" s="1">
        <v>29530</v>
      </c>
      <c r="AX10046">
        <v>1</v>
      </c>
    </row>
    <row r="10047" spans="1:50">
      <c r="B10047" t="str">
        <f>"131362059"</f>
        <v>131362059</v>
      </c>
      <c r="C10047" t="s">
        <v>50</v>
      </c>
      <c r="D10047" t="s">
        <v>14999</v>
      </c>
      <c r="E10047" t="s">
        <v>15000</v>
      </c>
      <c r="F10047" t="s">
        <v>15001</v>
      </c>
      <c r="G10047" t="s">
        <v>15002</v>
      </c>
      <c r="H10047" t="str">
        <f>"ΓΡΑΜΜΟΥ 73 "</f>
        <v xml:space="preserve">ΓΡΑΜΜΟΥ 73 </v>
      </c>
      <c r="I10047">
        <v>52100</v>
      </c>
      <c r="J10047">
        <v>2467086949</v>
      </c>
      <c r="K10047">
        <v>6987912080</v>
      </c>
      <c r="N10047" t="s">
        <v>615</v>
      </c>
      <c r="O10047" t="s">
        <v>616</v>
      </c>
      <c r="R10047" t="s">
        <v>159</v>
      </c>
      <c r="S10047">
        <v>2</v>
      </c>
      <c r="T10047" t="s">
        <v>8675</v>
      </c>
      <c r="U10047" s="1">
        <v>43348</v>
      </c>
      <c r="V10047" t="s">
        <v>89</v>
      </c>
      <c r="W10047" t="s">
        <v>90</v>
      </c>
      <c r="X10047" t="s">
        <v>58</v>
      </c>
      <c r="Y10047">
        <v>25</v>
      </c>
      <c r="Z10047" t="s">
        <v>59</v>
      </c>
      <c r="AA10047" t="s">
        <v>59</v>
      </c>
      <c r="AB10047" t="s">
        <v>59</v>
      </c>
      <c r="AC10047" t="s">
        <v>59</v>
      </c>
      <c r="AD10047" t="s">
        <v>59</v>
      </c>
      <c r="AF10047" s="1">
        <v>43348</v>
      </c>
      <c r="AG10047" t="s">
        <v>8645</v>
      </c>
      <c r="AH10047" t="s">
        <v>8646</v>
      </c>
      <c r="AI10047" t="str">
        <f>"9500355"</f>
        <v>9500355</v>
      </c>
      <c r="AJ10047" t="s">
        <v>14695</v>
      </c>
      <c r="AK10047">
        <v>2825095295</v>
      </c>
      <c r="AL10047" t="s">
        <v>14696</v>
      </c>
      <c r="AM10047" t="s">
        <v>88</v>
      </c>
      <c r="AN10047" t="s">
        <v>6995</v>
      </c>
      <c r="AO10047" t="s">
        <v>6995</v>
      </c>
      <c r="AP10047" t="s">
        <v>14444</v>
      </c>
      <c r="AQ10047">
        <v>10</v>
      </c>
      <c r="AR10047" t="s">
        <v>89</v>
      </c>
      <c r="AS10047" t="s">
        <v>90</v>
      </c>
      <c r="AT10047" t="s">
        <v>58</v>
      </c>
      <c r="AU10047" t="s">
        <v>8673</v>
      </c>
      <c r="AV10047" t="s">
        <v>132</v>
      </c>
      <c r="AW10047" s="1">
        <v>31596</v>
      </c>
      <c r="AX10047">
        <v>1</v>
      </c>
    </row>
    <row r="10048" spans="1:50">
      <c r="B10048" t="str">
        <f>"150923600"</f>
        <v>150923600</v>
      </c>
      <c r="C10048" t="s">
        <v>105</v>
      </c>
      <c r="D10048" t="s">
        <v>15003</v>
      </c>
      <c r="E10048" t="s">
        <v>15004</v>
      </c>
      <c r="F10048" t="s">
        <v>53</v>
      </c>
      <c r="G10048" t="s">
        <v>143</v>
      </c>
      <c r="H10048" t="str">
        <f>" "</f>
        <v xml:space="preserve"> </v>
      </c>
      <c r="N10048" t="s">
        <v>8834</v>
      </c>
      <c r="O10048" t="s">
        <v>8695</v>
      </c>
      <c r="R10048" t="s">
        <v>121</v>
      </c>
      <c r="S10048">
        <v>3</v>
      </c>
      <c r="T10048" t="s">
        <v>8835</v>
      </c>
      <c r="U10048" s="1">
        <v>43348</v>
      </c>
      <c r="V10048" t="s">
        <v>89</v>
      </c>
      <c r="W10048" t="s">
        <v>90</v>
      </c>
      <c r="X10048" t="s">
        <v>58</v>
      </c>
      <c r="Y10048">
        <v>24</v>
      </c>
      <c r="Z10048" t="s">
        <v>59</v>
      </c>
      <c r="AA10048" t="s">
        <v>59</v>
      </c>
      <c r="AB10048" t="s">
        <v>59</v>
      </c>
      <c r="AD10048" t="s">
        <v>59</v>
      </c>
      <c r="AF10048" s="1">
        <v>43348</v>
      </c>
      <c r="AG10048" t="s">
        <v>8645</v>
      </c>
      <c r="AH10048" t="s">
        <v>8646</v>
      </c>
      <c r="AI10048" t="str">
        <f>"9500055"</f>
        <v>9500055</v>
      </c>
      <c r="AJ10048" t="s">
        <v>14096</v>
      </c>
      <c r="AK10048">
        <v>2825092237</v>
      </c>
      <c r="AL10048" t="s">
        <v>14095</v>
      </c>
      <c r="AM10048" t="s">
        <v>88</v>
      </c>
      <c r="AN10048" t="s">
        <v>6995</v>
      </c>
      <c r="AO10048" t="s">
        <v>6995</v>
      </c>
      <c r="AP10048" t="s">
        <v>14097</v>
      </c>
      <c r="AQ10048">
        <v>10</v>
      </c>
      <c r="AR10048" t="s">
        <v>89</v>
      </c>
      <c r="AS10048" t="s">
        <v>90</v>
      </c>
      <c r="AT10048" t="s">
        <v>58</v>
      </c>
      <c r="AU10048" t="s">
        <v>131</v>
      </c>
      <c r="AV10048" t="s">
        <v>132</v>
      </c>
      <c r="AW10048" s="1">
        <v>33239</v>
      </c>
      <c r="AX10048">
        <v>1</v>
      </c>
    </row>
    <row r="10049" spans="1:50">
      <c r="A10049">
        <v>559725</v>
      </c>
      <c r="B10049" t="str">
        <f>"028717254"</f>
        <v>028717254</v>
      </c>
      <c r="C10049" t="s">
        <v>50</v>
      </c>
      <c r="D10049" t="s">
        <v>15005</v>
      </c>
      <c r="E10049" t="s">
        <v>52</v>
      </c>
      <c r="F10049" t="s">
        <v>72</v>
      </c>
      <c r="G10049" t="s">
        <v>250</v>
      </c>
      <c r="H10049" t="str">
        <f>"Ι. ΜΙΧΕΛΟΓΙΑΝΝΗ  ΧΑΝΙΑ"</f>
        <v>Ι. ΜΙΧΕΛΟΓΙΑΝΝΗ  ΧΑΝΙΑ</v>
      </c>
      <c r="I10049">
        <v>73100</v>
      </c>
      <c r="J10049">
        <v>2821051319</v>
      </c>
      <c r="K10049">
        <v>6978111748</v>
      </c>
      <c r="N10049" t="s">
        <v>1525</v>
      </c>
      <c r="O10049" t="s">
        <v>1526</v>
      </c>
      <c r="R10049" t="s">
        <v>57</v>
      </c>
      <c r="S10049">
        <v>19</v>
      </c>
      <c r="T10049">
        <v>175</v>
      </c>
      <c r="U10049" s="1">
        <v>32020</v>
      </c>
      <c r="V10049" t="s">
        <v>89</v>
      </c>
      <c r="W10049" t="s">
        <v>90</v>
      </c>
      <c r="X10049" t="s">
        <v>58</v>
      </c>
      <c r="Y10049">
        <v>25</v>
      </c>
      <c r="Z10049" t="s">
        <v>59</v>
      </c>
      <c r="AA10049" t="s">
        <v>59</v>
      </c>
      <c r="AB10049" t="s">
        <v>59</v>
      </c>
      <c r="AC10049" t="s">
        <v>59</v>
      </c>
      <c r="AD10049" t="s">
        <v>59</v>
      </c>
      <c r="AF10049" s="1">
        <v>32021</v>
      </c>
      <c r="AG10049" t="s">
        <v>8651</v>
      </c>
      <c r="AH10049" t="s">
        <v>8652</v>
      </c>
      <c r="AI10049" t="str">
        <f>"9500344"</f>
        <v>9500344</v>
      </c>
      <c r="AJ10049" t="s">
        <v>14972</v>
      </c>
      <c r="AK10049">
        <v>2821095241</v>
      </c>
      <c r="AL10049" t="s">
        <v>14973</v>
      </c>
      <c r="AM10049" t="s">
        <v>88</v>
      </c>
      <c r="AN10049" t="s">
        <v>88</v>
      </c>
      <c r="AO10049" t="s">
        <v>6733</v>
      </c>
      <c r="AP10049" t="s">
        <v>6734</v>
      </c>
      <c r="AQ10049">
        <v>2</v>
      </c>
      <c r="AR10049" t="s">
        <v>89</v>
      </c>
      <c r="AS10049" t="s">
        <v>90</v>
      </c>
      <c r="AT10049" t="s">
        <v>58</v>
      </c>
      <c r="AU10049" t="s">
        <v>68</v>
      </c>
      <c r="AV10049" t="s">
        <v>69</v>
      </c>
      <c r="AW10049" s="1">
        <v>23143</v>
      </c>
      <c r="AX10049">
        <v>1</v>
      </c>
    </row>
    <row r="10050" spans="1:50">
      <c r="A10050">
        <v>611859</v>
      </c>
      <c r="B10050" t="str">
        <f>"128205610"</f>
        <v>128205610</v>
      </c>
      <c r="C10050" t="s">
        <v>50</v>
      </c>
      <c r="D10050" t="s">
        <v>15006</v>
      </c>
      <c r="E10050" t="s">
        <v>52</v>
      </c>
      <c r="F10050" t="s">
        <v>99</v>
      </c>
      <c r="G10050" t="s">
        <v>340</v>
      </c>
      <c r="H10050" t="str">
        <f>"ΚΑΣΣΙΑΝΗΣ 42 ΙΛΙΟΝ "</f>
        <v xml:space="preserve">ΚΑΣΣΙΑΝΗΣ 42 ΙΛΙΟΝ </v>
      </c>
      <c r="J10050">
        <v>2105012573</v>
      </c>
      <c r="K10050">
        <v>6974580071</v>
      </c>
      <c r="N10050" t="s">
        <v>1525</v>
      </c>
      <c r="O10050" t="s">
        <v>1526</v>
      </c>
      <c r="R10050" t="s">
        <v>57</v>
      </c>
      <c r="S10050">
        <v>6</v>
      </c>
      <c r="T10050">
        <v>233</v>
      </c>
      <c r="U10050" s="1">
        <v>38960</v>
      </c>
      <c r="V10050" t="s">
        <v>89</v>
      </c>
      <c r="W10050" t="s">
        <v>90</v>
      </c>
      <c r="X10050" t="s">
        <v>58</v>
      </c>
      <c r="Y10050">
        <v>25</v>
      </c>
      <c r="Z10050" t="s">
        <v>59</v>
      </c>
      <c r="AA10050" t="s">
        <v>59</v>
      </c>
      <c r="AB10050" t="s">
        <v>59</v>
      </c>
      <c r="AC10050" t="s">
        <v>59</v>
      </c>
      <c r="AD10050" t="s">
        <v>59</v>
      </c>
      <c r="AF10050" s="1">
        <v>38961</v>
      </c>
      <c r="AG10050" t="s">
        <v>8651</v>
      </c>
      <c r="AH10050" t="s">
        <v>8652</v>
      </c>
      <c r="AI10050" t="str">
        <f>"9500176"</f>
        <v>9500176</v>
      </c>
      <c r="AJ10050" t="s">
        <v>14301</v>
      </c>
      <c r="AK10050">
        <v>2823041288</v>
      </c>
      <c r="AL10050" t="s">
        <v>14302</v>
      </c>
      <c r="AM10050" t="s">
        <v>88</v>
      </c>
      <c r="AN10050" t="s">
        <v>6824</v>
      </c>
      <c r="AO10050" t="s">
        <v>6870</v>
      </c>
      <c r="AP10050" t="s">
        <v>6871</v>
      </c>
      <c r="AQ10050">
        <v>11</v>
      </c>
      <c r="AR10050" t="s">
        <v>89</v>
      </c>
      <c r="AS10050" t="s">
        <v>90</v>
      </c>
      <c r="AT10050" t="s">
        <v>58</v>
      </c>
      <c r="AU10050" t="s">
        <v>68</v>
      </c>
      <c r="AV10050" t="s">
        <v>69</v>
      </c>
      <c r="AW10050" s="1">
        <v>30178</v>
      </c>
      <c r="AX10050">
        <v>1</v>
      </c>
    </row>
    <row r="10051" spans="1:50">
      <c r="B10051" t="str">
        <f>"136703566"</f>
        <v>136703566</v>
      </c>
      <c r="C10051" t="s">
        <v>50</v>
      </c>
      <c r="D10051" t="s">
        <v>15007</v>
      </c>
      <c r="E10051" t="s">
        <v>155</v>
      </c>
      <c r="F10051" t="s">
        <v>230</v>
      </c>
      <c r="G10051" t="s">
        <v>181</v>
      </c>
      <c r="H10051" t="str">
        <f>"ΖΑΠΠΑ 19 ΤΡΙΚΑΛΑ"</f>
        <v>ΖΑΠΠΑ 19 ΤΡΙΚΑΛΑ</v>
      </c>
      <c r="I10051">
        <v>42100</v>
      </c>
      <c r="J10051">
        <v>2431027764</v>
      </c>
      <c r="K10051">
        <v>6977266663</v>
      </c>
      <c r="M10051" t="s">
        <v>15008</v>
      </c>
      <c r="N10051" t="s">
        <v>306</v>
      </c>
      <c r="O10051" t="s">
        <v>307</v>
      </c>
      <c r="R10051" t="s">
        <v>159</v>
      </c>
      <c r="S10051">
        <v>4</v>
      </c>
      <c r="T10051" t="s">
        <v>8675</v>
      </c>
      <c r="U10051" s="1">
        <v>43348</v>
      </c>
      <c r="V10051" t="s">
        <v>89</v>
      </c>
      <c r="W10051" t="s">
        <v>90</v>
      </c>
      <c r="X10051" t="s">
        <v>58</v>
      </c>
      <c r="Y10051">
        <v>24</v>
      </c>
      <c r="Z10051" t="s">
        <v>59</v>
      </c>
      <c r="AA10051" t="s">
        <v>59</v>
      </c>
      <c r="AB10051" t="s">
        <v>59</v>
      </c>
      <c r="AC10051" t="s">
        <v>59</v>
      </c>
      <c r="AD10051" t="s">
        <v>59</v>
      </c>
      <c r="AF10051" s="1">
        <v>43348</v>
      </c>
      <c r="AG10051" t="s">
        <v>8645</v>
      </c>
      <c r="AH10051" t="s">
        <v>8646</v>
      </c>
      <c r="AI10051" t="str">
        <f>"9500314"</f>
        <v>9500314</v>
      </c>
      <c r="AJ10051" t="s">
        <v>14116</v>
      </c>
      <c r="AK10051">
        <v>2821097640</v>
      </c>
      <c r="AL10051" t="s">
        <v>14117</v>
      </c>
      <c r="AM10051" t="s">
        <v>88</v>
      </c>
      <c r="AN10051" t="s">
        <v>88</v>
      </c>
      <c r="AO10051" t="s">
        <v>88</v>
      </c>
      <c r="AP10051" t="s">
        <v>88</v>
      </c>
      <c r="AQ10051">
        <v>1</v>
      </c>
      <c r="AR10051" t="s">
        <v>89</v>
      </c>
      <c r="AS10051" t="s">
        <v>90</v>
      </c>
      <c r="AT10051" t="s">
        <v>58</v>
      </c>
      <c r="AU10051" t="s">
        <v>8673</v>
      </c>
      <c r="AV10051" t="s">
        <v>132</v>
      </c>
      <c r="AW10051" s="1">
        <v>29846</v>
      </c>
      <c r="AX10051">
        <v>1</v>
      </c>
    </row>
    <row r="10052" spans="1:50">
      <c r="A10052">
        <v>611738</v>
      </c>
      <c r="B10052" t="str">
        <f>"136264516"</f>
        <v>136264516</v>
      </c>
      <c r="C10052" t="s">
        <v>50</v>
      </c>
      <c r="D10052" t="s">
        <v>15009</v>
      </c>
      <c r="E10052" t="s">
        <v>2097</v>
      </c>
      <c r="F10052" t="s">
        <v>450</v>
      </c>
      <c r="G10052" t="s">
        <v>3290</v>
      </c>
      <c r="H10052" t="str">
        <f>"ΒΟΥΛΓΑΡΟΚΤΟΝΟΥ 25 ΚΑΛΑΜΑΡΙΑ "</f>
        <v xml:space="preserve">ΒΟΥΛΓΑΡΟΚΤΟΝΟΥ 25 ΚΑΛΑΜΑΡΙΑ </v>
      </c>
      <c r="I10052">
        <v>55133</v>
      </c>
      <c r="J10052">
        <v>2310445536</v>
      </c>
      <c r="K10052">
        <v>6946518422</v>
      </c>
      <c r="N10052" t="s">
        <v>1525</v>
      </c>
      <c r="O10052" t="s">
        <v>1526</v>
      </c>
      <c r="R10052" t="s">
        <v>57</v>
      </c>
      <c r="S10052">
        <v>6</v>
      </c>
      <c r="T10052">
        <v>233</v>
      </c>
      <c r="U10052" s="1">
        <v>38960</v>
      </c>
      <c r="V10052" t="s">
        <v>89</v>
      </c>
      <c r="W10052" t="s">
        <v>90</v>
      </c>
      <c r="X10052" t="s">
        <v>58</v>
      </c>
      <c r="Y10052">
        <v>25</v>
      </c>
      <c r="Z10052" t="s">
        <v>59</v>
      </c>
      <c r="AA10052" t="s">
        <v>59</v>
      </c>
      <c r="AB10052" t="s">
        <v>59</v>
      </c>
      <c r="AC10052" t="s">
        <v>59</v>
      </c>
      <c r="AD10052" t="s">
        <v>59</v>
      </c>
      <c r="AF10052" s="1">
        <v>38961</v>
      </c>
      <c r="AG10052" t="s">
        <v>8651</v>
      </c>
      <c r="AH10052" t="s">
        <v>8652</v>
      </c>
      <c r="AI10052" t="str">
        <f>"9500332"</f>
        <v>9500332</v>
      </c>
      <c r="AJ10052" t="s">
        <v>14387</v>
      </c>
      <c r="AK10052">
        <v>2823042440</v>
      </c>
      <c r="AL10052" t="s">
        <v>14388</v>
      </c>
      <c r="AM10052" t="s">
        <v>88</v>
      </c>
      <c r="AN10052" t="s">
        <v>6824</v>
      </c>
      <c r="AO10052" t="s">
        <v>6870</v>
      </c>
      <c r="AP10052" t="s">
        <v>14019</v>
      </c>
      <c r="AQ10052">
        <v>11</v>
      </c>
      <c r="AR10052" t="s">
        <v>89</v>
      </c>
      <c r="AS10052" t="s">
        <v>90</v>
      </c>
      <c r="AT10052" t="s">
        <v>58</v>
      </c>
      <c r="AU10052" t="s">
        <v>68</v>
      </c>
      <c r="AV10052" t="s">
        <v>69</v>
      </c>
      <c r="AW10052" s="1">
        <v>29235</v>
      </c>
      <c r="AX10052">
        <v>1</v>
      </c>
    </row>
    <row r="10053" spans="1:50">
      <c r="A10053">
        <v>618444</v>
      </c>
      <c r="B10053" t="str">
        <f>"135073591"</f>
        <v>135073591</v>
      </c>
      <c r="C10053" t="s">
        <v>50</v>
      </c>
      <c r="D10053" t="s">
        <v>15010</v>
      </c>
      <c r="E10053" t="s">
        <v>11030</v>
      </c>
      <c r="F10053" t="s">
        <v>108</v>
      </c>
      <c r="G10053" t="s">
        <v>484</v>
      </c>
      <c r="H10053" t="str">
        <f>"ΠΡΕΜΕΤΗΣ 27 ΠΕΙΡΑΙΑΣ"</f>
        <v>ΠΡΕΜΕΤΗΣ 27 ΠΕΙΡΑΙΑΣ</v>
      </c>
      <c r="I10053">
        <v>18542</v>
      </c>
      <c r="J10053">
        <v>2104908061</v>
      </c>
      <c r="K10053">
        <v>6972853446</v>
      </c>
      <c r="N10053" t="s">
        <v>615</v>
      </c>
      <c r="O10053" t="s">
        <v>616</v>
      </c>
      <c r="R10053" t="s">
        <v>57</v>
      </c>
      <c r="S10053">
        <v>5</v>
      </c>
      <c r="T10053">
        <v>774</v>
      </c>
      <c r="U10053" s="1">
        <v>39680</v>
      </c>
      <c r="V10053" t="s">
        <v>89</v>
      </c>
      <c r="W10053" t="s">
        <v>90</v>
      </c>
      <c r="X10053" t="s">
        <v>58</v>
      </c>
      <c r="Y10053">
        <v>23</v>
      </c>
      <c r="Z10053" t="s">
        <v>59</v>
      </c>
      <c r="AA10053" t="s">
        <v>59</v>
      </c>
      <c r="AB10053" t="s">
        <v>59</v>
      </c>
      <c r="AC10053" t="s">
        <v>59</v>
      </c>
      <c r="AD10053" t="s">
        <v>59</v>
      </c>
      <c r="AF10053" s="1">
        <v>39680</v>
      </c>
      <c r="AG10053" t="s">
        <v>8645</v>
      </c>
      <c r="AH10053" t="s">
        <v>14199</v>
      </c>
      <c r="AI10053" t="str">
        <f>"9500140"</f>
        <v>9500140</v>
      </c>
      <c r="AJ10053" t="s">
        <v>14200</v>
      </c>
      <c r="AK10053">
        <v>2821097348</v>
      </c>
      <c r="AL10053" t="s">
        <v>14201</v>
      </c>
      <c r="AM10053" t="s">
        <v>88</v>
      </c>
      <c r="AN10053" t="s">
        <v>88</v>
      </c>
      <c r="AO10053" t="s">
        <v>88</v>
      </c>
      <c r="AP10053" t="s">
        <v>88</v>
      </c>
      <c r="AQ10053">
        <v>1</v>
      </c>
      <c r="AR10053" t="s">
        <v>89</v>
      </c>
      <c r="AS10053" t="s">
        <v>90</v>
      </c>
      <c r="AT10053" t="s">
        <v>58</v>
      </c>
      <c r="AU10053" t="s">
        <v>68</v>
      </c>
      <c r="AV10053" t="s">
        <v>69</v>
      </c>
      <c r="AW10053" s="1">
        <v>30811</v>
      </c>
      <c r="AX10053">
        <v>1</v>
      </c>
    </row>
    <row r="10054" spans="1:50">
      <c r="A10054">
        <v>594129</v>
      </c>
      <c r="B10054" t="str">
        <f>"066612676"</f>
        <v>066612676</v>
      </c>
      <c r="C10054" t="s">
        <v>50</v>
      </c>
      <c r="D10054" t="s">
        <v>15011</v>
      </c>
      <c r="E10054" t="s">
        <v>83</v>
      </c>
      <c r="F10054" t="s">
        <v>53</v>
      </c>
      <c r="G10054" t="s">
        <v>83</v>
      </c>
      <c r="H10054" t="str">
        <f>"ΠΑΖΙΝΟΣ  ΑΚΡΩΤΗΡΙΟΥ"</f>
        <v>ΠΑΖΙΝΟΣ  ΑΚΡΩΤΗΡΙΟΥ</v>
      </c>
      <c r="I10054">
        <v>73100</v>
      </c>
      <c r="J10054">
        <v>2825041345</v>
      </c>
      <c r="K10054">
        <v>6972221522</v>
      </c>
      <c r="L10054">
        <v>6977582664</v>
      </c>
      <c r="N10054" t="s">
        <v>615</v>
      </c>
      <c r="O10054" t="s">
        <v>616</v>
      </c>
      <c r="R10054" t="s">
        <v>57</v>
      </c>
      <c r="S10054">
        <v>8</v>
      </c>
      <c r="T10054">
        <v>218</v>
      </c>
      <c r="U10054" s="1">
        <v>37134</v>
      </c>
      <c r="V10054" t="s">
        <v>89</v>
      </c>
      <c r="W10054" t="s">
        <v>90</v>
      </c>
      <c r="X10054" t="s">
        <v>58</v>
      </c>
      <c r="Y10054">
        <v>22</v>
      </c>
      <c r="Z10054" t="s">
        <v>59</v>
      </c>
      <c r="AA10054" t="s">
        <v>59</v>
      </c>
      <c r="AB10054" t="s">
        <v>59</v>
      </c>
      <c r="AC10054" t="s">
        <v>59</v>
      </c>
      <c r="AD10054" t="s">
        <v>59</v>
      </c>
      <c r="AF10054" s="1">
        <v>37137</v>
      </c>
      <c r="AG10054" t="s">
        <v>8645</v>
      </c>
      <c r="AH10054" t="s">
        <v>8646</v>
      </c>
      <c r="AI10054" t="str">
        <f>"9500114"</f>
        <v>9500114</v>
      </c>
      <c r="AJ10054" t="s">
        <v>14013</v>
      </c>
      <c r="AK10054">
        <v>2821063458</v>
      </c>
      <c r="AL10054" t="s">
        <v>14014</v>
      </c>
      <c r="AM10054" t="s">
        <v>88</v>
      </c>
      <c r="AN10054" t="s">
        <v>88</v>
      </c>
      <c r="AO10054" t="s">
        <v>6770</v>
      </c>
      <c r="AP10054" t="s">
        <v>14015</v>
      </c>
      <c r="AQ10054">
        <v>2</v>
      </c>
      <c r="AR10054" t="s">
        <v>89</v>
      </c>
      <c r="AS10054" t="s">
        <v>90</v>
      </c>
      <c r="AT10054" t="s">
        <v>58</v>
      </c>
      <c r="AU10054" t="s">
        <v>68</v>
      </c>
      <c r="AV10054" t="s">
        <v>69</v>
      </c>
      <c r="AW10054" s="1">
        <v>27612</v>
      </c>
      <c r="AX10054">
        <v>1</v>
      </c>
    </row>
    <row r="10055" spans="1:50">
      <c r="A10055">
        <v>568074</v>
      </c>
      <c r="B10055" t="str">
        <f>"043499826"</f>
        <v>043499826</v>
      </c>
      <c r="C10055" t="s">
        <v>50</v>
      </c>
      <c r="D10055" t="s">
        <v>15012</v>
      </c>
      <c r="E10055" t="s">
        <v>15013</v>
      </c>
      <c r="F10055" t="s">
        <v>1316</v>
      </c>
      <c r="G10055" t="s">
        <v>15014</v>
      </c>
      <c r="H10055" t="str">
        <f>"Κ. ΚΑΡΑΜΑΝΛΗ 74 ΧΑΝΙΑ"</f>
        <v>Κ. ΚΑΡΑΜΑΝΛΗ 74 ΧΑΝΙΑ</v>
      </c>
      <c r="I10055">
        <v>73100</v>
      </c>
      <c r="J10055">
        <v>2821301021</v>
      </c>
      <c r="K10055">
        <v>6909701629</v>
      </c>
      <c r="N10055" t="s">
        <v>615</v>
      </c>
      <c r="O10055" t="s">
        <v>616</v>
      </c>
      <c r="R10055" t="s">
        <v>57</v>
      </c>
      <c r="S10055">
        <v>14</v>
      </c>
      <c r="T10055">
        <v>162</v>
      </c>
      <c r="U10055" s="1">
        <v>33844</v>
      </c>
      <c r="V10055" t="s">
        <v>89</v>
      </c>
      <c r="W10055" t="s">
        <v>90</v>
      </c>
      <c r="X10055" t="s">
        <v>58</v>
      </c>
      <c r="Y10055">
        <v>21</v>
      </c>
      <c r="Z10055" t="s">
        <v>59</v>
      </c>
      <c r="AA10055" t="s">
        <v>59</v>
      </c>
      <c r="AB10055" t="s">
        <v>59</v>
      </c>
      <c r="AC10055" t="s">
        <v>59</v>
      </c>
      <c r="AD10055" t="s">
        <v>59</v>
      </c>
      <c r="AF10055" s="1">
        <v>33844</v>
      </c>
      <c r="AG10055" t="s">
        <v>8645</v>
      </c>
      <c r="AH10055" t="s">
        <v>8646</v>
      </c>
      <c r="AI10055" t="str">
        <f>"9500314"</f>
        <v>9500314</v>
      </c>
      <c r="AJ10055" t="s">
        <v>14116</v>
      </c>
      <c r="AK10055">
        <v>2821097640</v>
      </c>
      <c r="AL10055" t="s">
        <v>14117</v>
      </c>
      <c r="AM10055" t="s">
        <v>88</v>
      </c>
      <c r="AN10055" t="s">
        <v>88</v>
      </c>
      <c r="AO10055" t="s">
        <v>88</v>
      </c>
      <c r="AP10055" t="s">
        <v>88</v>
      </c>
      <c r="AQ10055">
        <v>1</v>
      </c>
      <c r="AR10055" t="s">
        <v>89</v>
      </c>
      <c r="AS10055" t="s">
        <v>90</v>
      </c>
      <c r="AT10055" t="s">
        <v>58</v>
      </c>
      <c r="AU10055" t="s">
        <v>68</v>
      </c>
      <c r="AV10055" t="s">
        <v>69</v>
      </c>
      <c r="AW10055" s="1">
        <v>24024</v>
      </c>
      <c r="AX10055">
        <v>1</v>
      </c>
    </row>
    <row r="10056" spans="1:50">
      <c r="B10056" t="str">
        <f>"134415179"</f>
        <v>134415179</v>
      </c>
      <c r="C10056" t="s">
        <v>50</v>
      </c>
      <c r="D10056" t="s">
        <v>15015</v>
      </c>
      <c r="E10056" t="s">
        <v>476</v>
      </c>
      <c r="F10056" t="s">
        <v>72</v>
      </c>
      <c r="G10056" t="s">
        <v>255</v>
      </c>
      <c r="H10056" t="str">
        <f>"ΑΓΙΟΧΩΡΙ "</f>
        <v xml:space="preserve">ΑΓΙΟΧΩΡΙ </v>
      </c>
      <c r="I10056">
        <v>62045</v>
      </c>
      <c r="J10056">
        <v>2324031908</v>
      </c>
      <c r="K10056">
        <v>6974371261</v>
      </c>
      <c r="N10056" t="s">
        <v>1525</v>
      </c>
      <c r="O10056" t="s">
        <v>1526</v>
      </c>
      <c r="R10056" t="s">
        <v>159</v>
      </c>
      <c r="S10056">
        <v>2</v>
      </c>
      <c r="T10056" t="s">
        <v>8670</v>
      </c>
      <c r="U10056" s="1">
        <v>43348</v>
      </c>
      <c r="V10056" t="s">
        <v>89</v>
      </c>
      <c r="W10056" t="s">
        <v>90</v>
      </c>
      <c r="X10056" t="s">
        <v>58</v>
      </c>
      <c r="Y10056">
        <v>25</v>
      </c>
      <c r="Z10056" t="s">
        <v>59</v>
      </c>
      <c r="AA10056" t="s">
        <v>59</v>
      </c>
      <c r="AB10056" t="s">
        <v>59</v>
      </c>
      <c r="AC10056" t="s">
        <v>59</v>
      </c>
      <c r="AD10056" t="s">
        <v>59</v>
      </c>
      <c r="AF10056" s="1">
        <v>43348</v>
      </c>
      <c r="AG10056" t="s">
        <v>8651</v>
      </c>
      <c r="AH10056" t="s">
        <v>8652</v>
      </c>
      <c r="AI10056" t="str">
        <f>"9500174"</f>
        <v>9500174</v>
      </c>
      <c r="AJ10056" t="s">
        <v>14949</v>
      </c>
      <c r="AK10056">
        <v>2823022202</v>
      </c>
      <c r="AL10056" t="s">
        <v>14950</v>
      </c>
      <c r="AM10056" t="s">
        <v>88</v>
      </c>
      <c r="AN10056" t="s">
        <v>6824</v>
      </c>
      <c r="AO10056" t="s">
        <v>6825</v>
      </c>
      <c r="AP10056" t="s">
        <v>6826</v>
      </c>
      <c r="AQ10056">
        <v>11</v>
      </c>
      <c r="AR10056" t="s">
        <v>89</v>
      </c>
      <c r="AS10056" t="s">
        <v>90</v>
      </c>
      <c r="AT10056" t="s">
        <v>58</v>
      </c>
      <c r="AU10056" t="s">
        <v>8673</v>
      </c>
      <c r="AV10056" t="s">
        <v>132</v>
      </c>
      <c r="AW10056" s="1">
        <v>31079</v>
      </c>
      <c r="AX10056">
        <v>1</v>
      </c>
    </row>
    <row r="10057" spans="1:50">
      <c r="A10057">
        <v>607284</v>
      </c>
      <c r="B10057" t="str">
        <f>"052401757"</f>
        <v>052401757</v>
      </c>
      <c r="C10057" t="s">
        <v>105</v>
      </c>
      <c r="D10057" t="s">
        <v>15016</v>
      </c>
      <c r="E10057" t="s">
        <v>670</v>
      </c>
      <c r="F10057" t="s">
        <v>95</v>
      </c>
      <c r="G10057" t="s">
        <v>484</v>
      </c>
      <c r="H10057" t="str">
        <f>"ΠΑΛΑΙΟΧΩΡΑ ΠΑΛΑΙΟΧΩΡΑ"</f>
        <v>ΠΑΛΑΙΟΧΩΡΑ ΠΑΛΑΙΟΧΩΡΑ</v>
      </c>
      <c r="I10057">
        <v>73001</v>
      </c>
      <c r="J10057">
        <v>2321031663</v>
      </c>
      <c r="K10057">
        <v>6947846444</v>
      </c>
      <c r="N10057" t="s">
        <v>615</v>
      </c>
      <c r="O10057" t="s">
        <v>616</v>
      </c>
      <c r="R10057" t="s">
        <v>57</v>
      </c>
      <c r="S10057">
        <v>6</v>
      </c>
      <c r="T10057">
        <v>217</v>
      </c>
      <c r="U10057" s="1">
        <v>38596</v>
      </c>
      <c r="V10057" t="s">
        <v>89</v>
      </c>
      <c r="W10057" t="s">
        <v>90</v>
      </c>
      <c r="X10057" t="s">
        <v>58</v>
      </c>
      <c r="Y10057">
        <v>23</v>
      </c>
      <c r="Z10057" t="s">
        <v>59</v>
      </c>
      <c r="AA10057" t="s">
        <v>59</v>
      </c>
      <c r="AB10057" t="s">
        <v>59</v>
      </c>
      <c r="AC10057" t="s">
        <v>59</v>
      </c>
      <c r="AD10057" t="s">
        <v>59</v>
      </c>
      <c r="AF10057" s="1">
        <v>38600</v>
      </c>
      <c r="AG10057" t="s">
        <v>8645</v>
      </c>
      <c r="AH10057" t="s">
        <v>8646</v>
      </c>
      <c r="AI10057" t="str">
        <f>"9500175"</f>
        <v>9500175</v>
      </c>
      <c r="AJ10057" t="s">
        <v>14538</v>
      </c>
      <c r="AK10057">
        <v>2823041233</v>
      </c>
      <c r="AL10057" t="s">
        <v>14539</v>
      </c>
      <c r="AM10057" t="s">
        <v>88</v>
      </c>
      <c r="AN10057" t="s">
        <v>6824</v>
      </c>
      <c r="AO10057" t="s">
        <v>6870</v>
      </c>
      <c r="AP10057" t="s">
        <v>6871</v>
      </c>
      <c r="AQ10057">
        <v>11</v>
      </c>
      <c r="AR10057" t="s">
        <v>89</v>
      </c>
      <c r="AS10057" t="s">
        <v>90</v>
      </c>
      <c r="AT10057" t="s">
        <v>58</v>
      </c>
      <c r="AU10057" t="s">
        <v>68</v>
      </c>
      <c r="AV10057" t="s">
        <v>69</v>
      </c>
      <c r="AW10057" s="1">
        <v>25160</v>
      </c>
      <c r="AX10057">
        <v>1</v>
      </c>
    </row>
    <row r="10058" spans="1:50">
      <c r="B10058" t="str">
        <f>"122973600"</f>
        <v>122973600</v>
      </c>
      <c r="C10058" t="s">
        <v>50</v>
      </c>
      <c r="D10058" t="s">
        <v>15017</v>
      </c>
      <c r="E10058" t="s">
        <v>742</v>
      </c>
      <c r="F10058" t="s">
        <v>315</v>
      </c>
      <c r="G10058" t="s">
        <v>1767</v>
      </c>
      <c r="H10058" t="str">
        <f>"ΑΓ. ΑΠΟΣΤΟΛΩΝ 519 ΧΑΝΙΑ"</f>
        <v>ΑΓ. ΑΠΟΣΤΟΛΩΝ 519 ΧΑΝΙΑ</v>
      </c>
      <c r="I10058">
        <v>73300</v>
      </c>
      <c r="J10058">
        <v>2821098592</v>
      </c>
      <c r="K10058">
        <v>6944127146</v>
      </c>
      <c r="N10058" t="s">
        <v>1525</v>
      </c>
      <c r="O10058" t="s">
        <v>1526</v>
      </c>
      <c r="R10058" t="s">
        <v>159</v>
      </c>
      <c r="S10058">
        <v>4</v>
      </c>
      <c r="T10058" t="s">
        <v>8670</v>
      </c>
      <c r="U10058" s="1">
        <v>43348</v>
      </c>
      <c r="V10058" t="s">
        <v>89</v>
      </c>
      <c r="W10058" t="s">
        <v>90</v>
      </c>
      <c r="X10058" t="s">
        <v>58</v>
      </c>
      <c r="Y10058">
        <v>25</v>
      </c>
      <c r="Z10058" t="s">
        <v>59</v>
      </c>
      <c r="AA10058" t="s">
        <v>59</v>
      </c>
      <c r="AB10058" t="s">
        <v>59</v>
      </c>
      <c r="AC10058" t="s">
        <v>59</v>
      </c>
      <c r="AD10058" t="s">
        <v>59</v>
      </c>
      <c r="AF10058" s="1">
        <v>43348</v>
      </c>
      <c r="AG10058" t="s">
        <v>8651</v>
      </c>
      <c r="AH10058" t="s">
        <v>8652</v>
      </c>
      <c r="AI10058" t="str">
        <f>"9500268"</f>
        <v>9500268</v>
      </c>
      <c r="AJ10058" t="s">
        <v>14369</v>
      </c>
      <c r="AK10058">
        <v>2831082298</v>
      </c>
      <c r="AL10058" t="s">
        <v>14370</v>
      </c>
      <c r="AM10058" t="s">
        <v>88</v>
      </c>
      <c r="AN10058" t="s">
        <v>6775</v>
      </c>
      <c r="AO10058" t="s">
        <v>14371</v>
      </c>
      <c r="AP10058" t="s">
        <v>14371</v>
      </c>
      <c r="AQ10058">
        <v>8</v>
      </c>
      <c r="AR10058" t="s">
        <v>89</v>
      </c>
      <c r="AS10058" t="s">
        <v>90</v>
      </c>
      <c r="AT10058" t="s">
        <v>58</v>
      </c>
      <c r="AU10058" t="s">
        <v>8673</v>
      </c>
      <c r="AV10058" t="s">
        <v>132</v>
      </c>
      <c r="AW10058" s="1">
        <v>24232</v>
      </c>
      <c r="AX10058">
        <v>1</v>
      </c>
    </row>
    <row r="10059" spans="1:50">
      <c r="B10059" t="str">
        <f>"103481703"</f>
        <v>103481703</v>
      </c>
      <c r="C10059" t="s">
        <v>50</v>
      </c>
      <c r="D10059" t="s">
        <v>15018</v>
      </c>
      <c r="E10059" t="s">
        <v>476</v>
      </c>
      <c r="F10059" t="s">
        <v>989</v>
      </c>
      <c r="G10059" t="s">
        <v>52</v>
      </c>
      <c r="H10059" t="str">
        <f>" "</f>
        <v xml:space="preserve"> </v>
      </c>
      <c r="N10059" t="s">
        <v>5128</v>
      </c>
      <c r="O10059" t="s">
        <v>5129</v>
      </c>
      <c r="R10059" t="s">
        <v>121</v>
      </c>
      <c r="S10059">
        <v>3</v>
      </c>
      <c r="T10059" t="s">
        <v>8696</v>
      </c>
      <c r="U10059" s="1">
        <v>43348</v>
      </c>
      <c r="V10059" t="s">
        <v>89</v>
      </c>
      <c r="W10059" t="s">
        <v>90</v>
      </c>
      <c r="X10059" t="s">
        <v>58</v>
      </c>
      <c r="Y10059">
        <v>24</v>
      </c>
      <c r="Z10059" t="s">
        <v>59</v>
      </c>
      <c r="AA10059" t="s">
        <v>59</v>
      </c>
      <c r="AB10059" t="s">
        <v>59</v>
      </c>
      <c r="AD10059" t="s">
        <v>59</v>
      </c>
      <c r="AF10059" s="1">
        <v>43348</v>
      </c>
      <c r="AG10059" t="s">
        <v>8645</v>
      </c>
      <c r="AH10059" t="s">
        <v>8697</v>
      </c>
      <c r="AI10059" t="str">
        <f>"9521567"</f>
        <v>9521567</v>
      </c>
      <c r="AJ10059" t="s">
        <v>14148</v>
      </c>
      <c r="AK10059">
        <v>2821086921</v>
      </c>
      <c r="AL10059" t="s">
        <v>14149</v>
      </c>
      <c r="AM10059" t="s">
        <v>88</v>
      </c>
      <c r="AN10059" t="s">
        <v>88</v>
      </c>
      <c r="AO10059" t="s">
        <v>88</v>
      </c>
      <c r="AP10059" t="s">
        <v>88</v>
      </c>
      <c r="AQ10059">
        <v>1</v>
      </c>
      <c r="AR10059" t="s">
        <v>89</v>
      </c>
      <c r="AS10059" t="s">
        <v>90</v>
      </c>
      <c r="AT10059" t="s">
        <v>58</v>
      </c>
      <c r="AU10059" t="s">
        <v>350</v>
      </c>
      <c r="AV10059" t="s">
        <v>132</v>
      </c>
      <c r="AW10059" s="1">
        <v>30798</v>
      </c>
      <c r="AX10059">
        <v>1</v>
      </c>
    </row>
    <row r="10060" spans="1:50">
      <c r="A10060">
        <v>579786</v>
      </c>
      <c r="B10060" t="str">
        <f>"073719666"</f>
        <v>073719666</v>
      </c>
      <c r="C10060" t="s">
        <v>50</v>
      </c>
      <c r="D10060" t="s">
        <v>7860</v>
      </c>
      <c r="E10060" t="s">
        <v>1345</v>
      </c>
      <c r="F10060" t="s">
        <v>304</v>
      </c>
      <c r="G10060" t="s">
        <v>181</v>
      </c>
      <c r="H10060" t="str">
        <f>"ΣΤ. ΚΑΡΤΑΚΗ 3Α ΧΑΝΙΑ"</f>
        <v>ΣΤ. ΚΑΡΤΑΚΗ 3Α ΧΑΝΙΑ</v>
      </c>
      <c r="I10060">
        <v>73100</v>
      </c>
      <c r="J10060">
        <v>2821075389</v>
      </c>
      <c r="K10060">
        <v>6970948708</v>
      </c>
      <c r="N10060" t="s">
        <v>615</v>
      </c>
      <c r="O10060" t="s">
        <v>616</v>
      </c>
      <c r="R10060" t="s">
        <v>57</v>
      </c>
      <c r="S10060">
        <v>11</v>
      </c>
      <c r="T10060">
        <v>165</v>
      </c>
      <c r="U10060" s="1">
        <v>35300</v>
      </c>
      <c r="V10060" t="s">
        <v>89</v>
      </c>
      <c r="W10060" t="s">
        <v>90</v>
      </c>
      <c r="X10060" t="s">
        <v>58</v>
      </c>
      <c r="Y10060">
        <v>21</v>
      </c>
      <c r="Z10060" t="s">
        <v>59</v>
      </c>
      <c r="AA10060" t="s">
        <v>59</v>
      </c>
      <c r="AB10060" t="s">
        <v>59</v>
      </c>
      <c r="AC10060" t="s">
        <v>59</v>
      </c>
      <c r="AD10060" t="s">
        <v>59</v>
      </c>
      <c r="AF10060" s="1">
        <v>35300</v>
      </c>
      <c r="AG10060" t="s">
        <v>8645</v>
      </c>
      <c r="AH10060" t="s">
        <v>8646</v>
      </c>
      <c r="AI10060" t="str">
        <f>"9500144"</f>
        <v>9500144</v>
      </c>
      <c r="AJ10060" t="s">
        <v>14010</v>
      </c>
      <c r="AK10060">
        <v>2821094171</v>
      </c>
      <c r="AL10060" t="s">
        <v>14011</v>
      </c>
      <c r="AM10060" t="s">
        <v>88</v>
      </c>
      <c r="AN10060" t="s">
        <v>88</v>
      </c>
      <c r="AO10060" t="s">
        <v>88</v>
      </c>
      <c r="AP10060" t="s">
        <v>88</v>
      </c>
      <c r="AQ10060">
        <v>1</v>
      </c>
      <c r="AR10060" t="s">
        <v>89</v>
      </c>
      <c r="AS10060" t="s">
        <v>90</v>
      </c>
      <c r="AT10060" t="s">
        <v>58</v>
      </c>
      <c r="AU10060" t="s">
        <v>68</v>
      </c>
      <c r="AV10060" t="s">
        <v>69</v>
      </c>
      <c r="AW10060" s="1">
        <v>25228</v>
      </c>
      <c r="AX10060">
        <v>1</v>
      </c>
    </row>
    <row r="10061" spans="1:50">
      <c r="A10061">
        <v>602552</v>
      </c>
      <c r="B10061" t="str">
        <f>"120207830"</f>
        <v>120207830</v>
      </c>
      <c r="C10061" t="s">
        <v>50</v>
      </c>
      <c r="D10061" t="s">
        <v>15019</v>
      </c>
      <c r="E10061" t="s">
        <v>83</v>
      </c>
      <c r="F10061" t="s">
        <v>7324</v>
      </c>
      <c r="G10061" t="s">
        <v>263</v>
      </c>
      <c r="H10061" t="str">
        <f>"ΚΑΨΩΜΕΝΟΥ 15 ΧΑΝΙΑ"</f>
        <v>ΚΑΨΩΜΕΝΟΥ 15 ΧΑΝΙΑ</v>
      </c>
      <c r="I10061">
        <v>73100</v>
      </c>
      <c r="J10061">
        <v>2821073247</v>
      </c>
      <c r="K10061">
        <v>6944103248</v>
      </c>
      <c r="M10061" t="s">
        <v>15020</v>
      </c>
      <c r="N10061" t="s">
        <v>615</v>
      </c>
      <c r="O10061" t="s">
        <v>616</v>
      </c>
      <c r="R10061" t="s">
        <v>57</v>
      </c>
      <c r="S10061">
        <v>8</v>
      </c>
      <c r="T10061">
        <v>207</v>
      </c>
      <c r="U10061" s="1">
        <v>37866</v>
      </c>
      <c r="V10061" t="s">
        <v>89</v>
      </c>
      <c r="W10061" t="s">
        <v>90</v>
      </c>
      <c r="X10061" t="s">
        <v>58</v>
      </c>
      <c r="Y10061">
        <v>22</v>
      </c>
      <c r="Z10061" t="s">
        <v>59</v>
      </c>
      <c r="AA10061" t="s">
        <v>59</v>
      </c>
      <c r="AB10061" t="s">
        <v>59</v>
      </c>
      <c r="AC10061" t="s">
        <v>59</v>
      </c>
      <c r="AD10061" t="s">
        <v>59</v>
      </c>
      <c r="AF10061" s="1">
        <v>37866</v>
      </c>
      <c r="AG10061" t="s">
        <v>8645</v>
      </c>
      <c r="AH10061" t="s">
        <v>8646</v>
      </c>
      <c r="AI10061" t="str">
        <f>"9500359"</f>
        <v>9500359</v>
      </c>
      <c r="AJ10061" t="s">
        <v>13939</v>
      </c>
      <c r="AK10061">
        <v>2821095778</v>
      </c>
      <c r="AL10061" t="s">
        <v>13940</v>
      </c>
      <c r="AM10061" t="s">
        <v>88</v>
      </c>
      <c r="AN10061" t="s">
        <v>88</v>
      </c>
      <c r="AO10061" t="s">
        <v>6733</v>
      </c>
      <c r="AP10061" t="s">
        <v>6755</v>
      </c>
      <c r="AQ10061">
        <v>2</v>
      </c>
      <c r="AR10061" t="s">
        <v>89</v>
      </c>
      <c r="AS10061" t="s">
        <v>90</v>
      </c>
      <c r="AT10061" t="s">
        <v>58</v>
      </c>
      <c r="AU10061" t="s">
        <v>68</v>
      </c>
      <c r="AV10061" t="s">
        <v>69</v>
      </c>
      <c r="AW10061" s="1">
        <v>28760</v>
      </c>
      <c r="AX10061">
        <v>1</v>
      </c>
    </row>
    <row r="10062" spans="1:50">
      <c r="B10062" t="str">
        <f>"120223042"</f>
        <v>120223042</v>
      </c>
      <c r="C10062" t="s">
        <v>105</v>
      </c>
      <c r="D10062" t="s">
        <v>7862</v>
      </c>
      <c r="E10062" t="s">
        <v>53</v>
      </c>
      <c r="F10062" t="s">
        <v>72</v>
      </c>
      <c r="G10062" t="s">
        <v>52</v>
      </c>
      <c r="H10062" t="str">
        <f>"Β.ΚΑΤΣΑΝΕΒΑΚΗ 3 ΧΑΝΙΑ"</f>
        <v>Β.ΚΑΤΣΑΝΕΒΑΚΗ 3 ΧΑΝΙΑ</v>
      </c>
      <c r="I10062">
        <v>73100</v>
      </c>
      <c r="J10062">
        <v>2821069070</v>
      </c>
      <c r="K10062">
        <v>6949490091</v>
      </c>
      <c r="N10062" t="s">
        <v>204</v>
      </c>
      <c r="O10062" t="s">
        <v>205</v>
      </c>
      <c r="R10062" t="s">
        <v>159</v>
      </c>
      <c r="S10062">
        <v>3</v>
      </c>
      <c r="T10062" t="s">
        <v>8675</v>
      </c>
      <c r="U10062" s="1">
        <v>43348</v>
      </c>
      <c r="V10062" t="s">
        <v>89</v>
      </c>
      <c r="W10062" t="s">
        <v>90</v>
      </c>
      <c r="X10062" t="s">
        <v>58</v>
      </c>
      <c r="Y10062">
        <v>24</v>
      </c>
      <c r="Z10062" t="s">
        <v>59</v>
      </c>
      <c r="AA10062" t="s">
        <v>59</v>
      </c>
      <c r="AB10062" t="s">
        <v>59</v>
      </c>
      <c r="AC10062" t="s">
        <v>59</v>
      </c>
      <c r="AD10062" t="s">
        <v>59</v>
      </c>
      <c r="AF10062" s="1">
        <v>43348</v>
      </c>
      <c r="AG10062" t="s">
        <v>8645</v>
      </c>
      <c r="AH10062" t="s">
        <v>8646</v>
      </c>
      <c r="AI10062" t="str">
        <f>"9500175"</f>
        <v>9500175</v>
      </c>
      <c r="AJ10062" t="s">
        <v>14538</v>
      </c>
      <c r="AK10062">
        <v>2823041233</v>
      </c>
      <c r="AL10062" t="s">
        <v>14539</v>
      </c>
      <c r="AM10062" t="s">
        <v>88</v>
      </c>
      <c r="AN10062" t="s">
        <v>6824</v>
      </c>
      <c r="AO10062" t="s">
        <v>6870</v>
      </c>
      <c r="AP10062" t="s">
        <v>6871</v>
      </c>
      <c r="AQ10062">
        <v>11</v>
      </c>
      <c r="AR10062" t="s">
        <v>89</v>
      </c>
      <c r="AS10062" t="s">
        <v>90</v>
      </c>
      <c r="AT10062" t="s">
        <v>58</v>
      </c>
      <c r="AU10062" t="s">
        <v>8673</v>
      </c>
      <c r="AV10062" t="s">
        <v>132</v>
      </c>
      <c r="AW10062" s="1">
        <v>30422</v>
      </c>
      <c r="AX10062">
        <v>1</v>
      </c>
    </row>
    <row r="10063" spans="1:50">
      <c r="A10063">
        <v>613222</v>
      </c>
      <c r="B10063" t="str">
        <f>"061588216"</f>
        <v>061588216</v>
      </c>
      <c r="C10063" t="s">
        <v>105</v>
      </c>
      <c r="D10063" t="s">
        <v>7865</v>
      </c>
      <c r="E10063" t="s">
        <v>106</v>
      </c>
      <c r="F10063" t="s">
        <v>1070</v>
      </c>
      <c r="G10063" t="s">
        <v>3467</v>
      </c>
      <c r="H10063" t="str">
        <f>"ΚΑΛΙΤΣΟΥΝΑΚΗ  12 ΧΑΝΙΑ"</f>
        <v>ΚΑΛΙΤΣΟΥΝΑΚΗ  12 ΧΑΝΙΑ</v>
      </c>
      <c r="I10063">
        <v>73100</v>
      </c>
      <c r="J10063">
        <v>2821181295</v>
      </c>
      <c r="K10063">
        <v>6973939701</v>
      </c>
      <c r="N10063" t="s">
        <v>615</v>
      </c>
      <c r="O10063" t="s">
        <v>616</v>
      </c>
      <c r="R10063" t="s">
        <v>57</v>
      </c>
      <c r="S10063">
        <v>6</v>
      </c>
      <c r="T10063">
        <v>598</v>
      </c>
      <c r="U10063" s="1">
        <v>39310</v>
      </c>
      <c r="V10063" t="s">
        <v>89</v>
      </c>
      <c r="W10063" t="s">
        <v>90</v>
      </c>
      <c r="X10063" t="s">
        <v>58</v>
      </c>
      <c r="Y10063">
        <v>23</v>
      </c>
      <c r="Z10063" t="s">
        <v>59</v>
      </c>
      <c r="AA10063" t="s">
        <v>59</v>
      </c>
      <c r="AB10063" t="s">
        <v>59</v>
      </c>
      <c r="AC10063" t="s">
        <v>59</v>
      </c>
      <c r="AD10063" t="s">
        <v>59</v>
      </c>
      <c r="AF10063" s="1">
        <v>39310</v>
      </c>
      <c r="AG10063" t="s">
        <v>8645</v>
      </c>
      <c r="AH10063" t="s">
        <v>8646</v>
      </c>
      <c r="AI10063" t="str">
        <f>"9500218"</f>
        <v>9500218</v>
      </c>
      <c r="AJ10063" t="s">
        <v>13992</v>
      </c>
      <c r="AK10063">
        <v>2824022216</v>
      </c>
      <c r="AL10063" t="s">
        <v>13993</v>
      </c>
      <c r="AM10063" t="s">
        <v>88</v>
      </c>
      <c r="AN10063" t="s">
        <v>6764</v>
      </c>
      <c r="AO10063" t="s">
        <v>6799</v>
      </c>
      <c r="AP10063" t="s">
        <v>6799</v>
      </c>
      <c r="AQ10063">
        <v>6</v>
      </c>
      <c r="AR10063" t="s">
        <v>89</v>
      </c>
      <c r="AS10063" t="s">
        <v>90</v>
      </c>
      <c r="AT10063" t="s">
        <v>58</v>
      </c>
      <c r="AU10063" t="s">
        <v>68</v>
      </c>
      <c r="AV10063" t="s">
        <v>69</v>
      </c>
      <c r="AW10063" s="1">
        <v>29421</v>
      </c>
      <c r="AX10063">
        <v>1</v>
      </c>
    </row>
    <row r="10064" spans="1:50">
      <c r="A10064">
        <v>615702</v>
      </c>
      <c r="B10064" t="str">
        <f>"061165533"</f>
        <v>061165533</v>
      </c>
      <c r="C10064" t="s">
        <v>50</v>
      </c>
      <c r="D10064" t="s">
        <v>15021</v>
      </c>
      <c r="E10064" t="s">
        <v>2097</v>
      </c>
      <c r="F10064" t="s">
        <v>10568</v>
      </c>
      <c r="G10064" t="s">
        <v>563</v>
      </c>
      <c r="H10064" t="str">
        <f>"ΓΡΗΓΟΡΙΟΥ Ε 41Α ΧΑΝΙΑ"</f>
        <v>ΓΡΗΓΟΡΙΟΥ Ε 41Α ΧΑΝΙΑ</v>
      </c>
      <c r="I10064">
        <v>73100</v>
      </c>
      <c r="J10064">
        <v>2821111566</v>
      </c>
      <c r="K10064">
        <v>6972765791</v>
      </c>
      <c r="N10064" t="s">
        <v>306</v>
      </c>
      <c r="O10064" t="s">
        <v>307</v>
      </c>
      <c r="R10064" t="s">
        <v>57</v>
      </c>
      <c r="S10064">
        <v>6</v>
      </c>
      <c r="T10064">
        <v>600</v>
      </c>
      <c r="U10064" s="1">
        <v>39310</v>
      </c>
      <c r="V10064" t="s">
        <v>89</v>
      </c>
      <c r="W10064" t="s">
        <v>90</v>
      </c>
      <c r="X10064" t="s">
        <v>58</v>
      </c>
      <c r="Y10064">
        <v>23</v>
      </c>
      <c r="Z10064" t="s">
        <v>59</v>
      </c>
      <c r="AA10064" t="s">
        <v>59</v>
      </c>
      <c r="AB10064" t="s">
        <v>59</v>
      </c>
      <c r="AC10064" t="s">
        <v>59</v>
      </c>
      <c r="AD10064" t="s">
        <v>59</v>
      </c>
      <c r="AF10064" s="1">
        <v>39328</v>
      </c>
      <c r="AG10064" t="s">
        <v>8645</v>
      </c>
      <c r="AH10064" t="s">
        <v>8646</v>
      </c>
      <c r="AI10064" t="str">
        <f>"9500093"</f>
        <v>9500093</v>
      </c>
      <c r="AJ10064" t="s">
        <v>13865</v>
      </c>
      <c r="AK10064">
        <v>2821064537</v>
      </c>
      <c r="AL10064" t="s">
        <v>13866</v>
      </c>
      <c r="AM10064" t="s">
        <v>88</v>
      </c>
      <c r="AN10064" t="s">
        <v>88</v>
      </c>
      <c r="AO10064" t="s">
        <v>6770</v>
      </c>
      <c r="AP10064" t="s">
        <v>6771</v>
      </c>
      <c r="AQ10064">
        <v>2</v>
      </c>
      <c r="AR10064" t="s">
        <v>89</v>
      </c>
      <c r="AS10064" t="s">
        <v>90</v>
      </c>
      <c r="AT10064" t="s">
        <v>58</v>
      </c>
      <c r="AU10064" t="s">
        <v>68</v>
      </c>
      <c r="AV10064" t="s">
        <v>69</v>
      </c>
      <c r="AW10064" s="1">
        <v>27574</v>
      </c>
      <c r="AX10064">
        <v>1</v>
      </c>
    </row>
    <row r="10065" spans="1:50">
      <c r="B10065" t="str">
        <f>"144588418"</f>
        <v>144588418</v>
      </c>
      <c r="C10065" t="s">
        <v>50</v>
      </c>
      <c r="D10065" t="s">
        <v>15022</v>
      </c>
      <c r="E10065" t="s">
        <v>15023</v>
      </c>
      <c r="F10065" t="s">
        <v>1316</v>
      </c>
      <c r="G10065" t="s">
        <v>250</v>
      </c>
      <c r="H10065" t="str">
        <f>" "</f>
        <v xml:space="preserve"> </v>
      </c>
      <c r="N10065" t="s">
        <v>683</v>
      </c>
      <c r="O10065" t="s">
        <v>684</v>
      </c>
      <c r="R10065" t="s">
        <v>121</v>
      </c>
      <c r="S10065">
        <v>1</v>
      </c>
      <c r="T10065" t="s">
        <v>8675</v>
      </c>
      <c r="U10065" s="1">
        <v>43348</v>
      </c>
      <c r="V10065" t="s">
        <v>89</v>
      </c>
      <c r="W10065" t="s">
        <v>90</v>
      </c>
      <c r="X10065" t="s">
        <v>58</v>
      </c>
      <c r="Y10065">
        <v>24</v>
      </c>
      <c r="Z10065" t="s">
        <v>59</v>
      </c>
      <c r="AD10065" t="s">
        <v>59</v>
      </c>
      <c r="AF10065" s="1">
        <v>43348</v>
      </c>
      <c r="AG10065" t="s">
        <v>8645</v>
      </c>
      <c r="AH10065" t="s">
        <v>8646</v>
      </c>
      <c r="AI10065" t="str">
        <f>"9500009"</f>
        <v>9500009</v>
      </c>
      <c r="AJ10065" t="s">
        <v>13927</v>
      </c>
      <c r="AK10065">
        <v>2825061346</v>
      </c>
      <c r="AL10065" t="s">
        <v>13928</v>
      </c>
      <c r="AM10065" t="s">
        <v>88</v>
      </c>
      <c r="AN10065" t="s">
        <v>6775</v>
      </c>
      <c r="AO10065" t="s">
        <v>13929</v>
      </c>
      <c r="AP10065" t="s">
        <v>13929</v>
      </c>
      <c r="AQ10065">
        <v>8</v>
      </c>
      <c r="AR10065" t="s">
        <v>89</v>
      </c>
      <c r="AS10065" t="s">
        <v>90</v>
      </c>
      <c r="AT10065" t="s">
        <v>58</v>
      </c>
      <c r="AU10065" t="s">
        <v>8673</v>
      </c>
      <c r="AV10065" t="s">
        <v>132</v>
      </c>
      <c r="AW10065" s="1">
        <v>33776</v>
      </c>
      <c r="AX10065">
        <v>1</v>
      </c>
    </row>
    <row r="10066" spans="1:50">
      <c r="B10066" t="str">
        <f>"136382730"</f>
        <v>136382730</v>
      </c>
      <c r="C10066" t="s">
        <v>50</v>
      </c>
      <c r="D10066" t="s">
        <v>15024</v>
      </c>
      <c r="E10066" t="s">
        <v>340</v>
      </c>
      <c r="F10066" t="s">
        <v>72</v>
      </c>
      <c r="G10066" t="s">
        <v>109</v>
      </c>
      <c r="H10066" t="str">
        <f>"ΔΥΟΒΟΥΝΙΩΤΟΥ  39 "</f>
        <v xml:space="preserve">ΔΥΟΒΟΥΝΙΩΤΟΥ  39 </v>
      </c>
      <c r="J10066">
        <v>2109240196</v>
      </c>
      <c r="K10066">
        <v>6988228797</v>
      </c>
      <c r="L10066">
        <v>2109313466</v>
      </c>
      <c r="N10066" t="s">
        <v>8834</v>
      </c>
      <c r="O10066" t="s">
        <v>8695</v>
      </c>
      <c r="R10066" t="s">
        <v>159</v>
      </c>
      <c r="S10066">
        <v>3</v>
      </c>
      <c r="T10066" t="s">
        <v>8835</v>
      </c>
      <c r="U10066" s="1">
        <v>43348</v>
      </c>
      <c r="V10066" t="s">
        <v>89</v>
      </c>
      <c r="W10066" t="s">
        <v>90</v>
      </c>
      <c r="X10066" t="s">
        <v>58</v>
      </c>
      <c r="Y10066">
        <v>24</v>
      </c>
      <c r="Z10066" t="s">
        <v>59</v>
      </c>
      <c r="AA10066" t="s">
        <v>59</v>
      </c>
      <c r="AB10066" t="s">
        <v>59</v>
      </c>
      <c r="AD10066" t="s">
        <v>59</v>
      </c>
      <c r="AF10066" s="1">
        <v>43348</v>
      </c>
      <c r="AG10066" t="s">
        <v>8645</v>
      </c>
      <c r="AH10066" t="s">
        <v>8646</v>
      </c>
      <c r="AI10066" t="str">
        <f>"9500358"</f>
        <v>9500358</v>
      </c>
      <c r="AJ10066" t="s">
        <v>13948</v>
      </c>
      <c r="AK10066">
        <v>2821093459</v>
      </c>
      <c r="AL10066" t="s">
        <v>13949</v>
      </c>
      <c r="AM10066" t="s">
        <v>88</v>
      </c>
      <c r="AN10066" t="s">
        <v>88</v>
      </c>
      <c r="AO10066" t="s">
        <v>6733</v>
      </c>
      <c r="AP10066" t="s">
        <v>6755</v>
      </c>
      <c r="AQ10066">
        <v>2</v>
      </c>
      <c r="AR10066" t="s">
        <v>89</v>
      </c>
      <c r="AS10066" t="s">
        <v>90</v>
      </c>
      <c r="AT10066" t="s">
        <v>58</v>
      </c>
      <c r="AU10066" t="s">
        <v>131</v>
      </c>
      <c r="AV10066" t="s">
        <v>132</v>
      </c>
      <c r="AW10066" s="1">
        <v>33383</v>
      </c>
      <c r="AX10066">
        <v>1</v>
      </c>
    </row>
    <row r="10067" spans="1:50">
      <c r="A10067">
        <v>587358</v>
      </c>
      <c r="B10067" t="str">
        <f>"100906163"</f>
        <v>100906163</v>
      </c>
      <c r="C10067" t="s">
        <v>50</v>
      </c>
      <c r="D10067" t="s">
        <v>15025</v>
      </c>
      <c r="E10067" t="s">
        <v>396</v>
      </c>
      <c r="F10067" t="s">
        <v>383</v>
      </c>
      <c r="G10067" t="s">
        <v>1484</v>
      </c>
      <c r="H10067" t="str">
        <f>" "</f>
        <v xml:space="preserve"> </v>
      </c>
      <c r="N10067" t="s">
        <v>306</v>
      </c>
      <c r="O10067" t="s">
        <v>307</v>
      </c>
      <c r="R10067" t="s">
        <v>57</v>
      </c>
      <c r="S10067">
        <v>11</v>
      </c>
      <c r="T10067">
        <v>164</v>
      </c>
      <c r="U10067" s="1">
        <v>36040</v>
      </c>
      <c r="V10067" t="s">
        <v>89</v>
      </c>
      <c r="W10067" t="s">
        <v>90</v>
      </c>
      <c r="X10067" t="s">
        <v>58</v>
      </c>
      <c r="Y10067">
        <v>21</v>
      </c>
      <c r="Z10067" t="s">
        <v>59</v>
      </c>
      <c r="AA10067" t="s">
        <v>59</v>
      </c>
      <c r="AB10067" t="s">
        <v>59</v>
      </c>
      <c r="AC10067" t="s">
        <v>59</v>
      </c>
      <c r="AD10067" t="s">
        <v>59</v>
      </c>
      <c r="AF10067" s="1">
        <v>36045</v>
      </c>
      <c r="AG10067" t="s">
        <v>8645</v>
      </c>
      <c r="AH10067" t="s">
        <v>8646</v>
      </c>
      <c r="AI10067" t="str">
        <f>"9500070"</f>
        <v>9500070</v>
      </c>
      <c r="AJ10067" t="s">
        <v>14221</v>
      </c>
      <c r="AK10067">
        <v>2821095817</v>
      </c>
      <c r="AL10067" t="s">
        <v>14222</v>
      </c>
      <c r="AM10067" t="s">
        <v>88</v>
      </c>
      <c r="AN10067" t="s">
        <v>88</v>
      </c>
      <c r="AO10067" t="s">
        <v>88</v>
      </c>
      <c r="AP10067" t="s">
        <v>88</v>
      </c>
      <c r="AQ10067">
        <v>1</v>
      </c>
      <c r="AR10067" t="s">
        <v>89</v>
      </c>
      <c r="AS10067" t="s">
        <v>90</v>
      </c>
      <c r="AT10067" t="s">
        <v>58</v>
      </c>
      <c r="AU10067" t="s">
        <v>68</v>
      </c>
      <c r="AV10067" t="s">
        <v>69</v>
      </c>
      <c r="AW10067" s="1">
        <v>25450</v>
      </c>
      <c r="AX10067">
        <v>1</v>
      </c>
    </row>
    <row r="10068" spans="1:50">
      <c r="A10068">
        <v>701429</v>
      </c>
      <c r="B10068" t="str">
        <f>"132399118"</f>
        <v>132399118</v>
      </c>
      <c r="C10068" t="s">
        <v>50</v>
      </c>
      <c r="D10068" t="s">
        <v>15026</v>
      </c>
      <c r="E10068" t="s">
        <v>52</v>
      </c>
      <c r="F10068" t="s">
        <v>1848</v>
      </c>
      <c r="G10068" t="s">
        <v>372</v>
      </c>
      <c r="H10068" t="str">
        <f>"ΑΓ. ΕΡΜΙΟΝΗΣ 19 ΧΙΟΣ"</f>
        <v>ΑΓ. ΕΡΜΙΟΝΗΣ 19 ΧΙΟΣ</v>
      </c>
      <c r="I10068">
        <v>82100</v>
      </c>
      <c r="J10068">
        <v>2271042782</v>
      </c>
      <c r="K10068">
        <v>6932990815</v>
      </c>
      <c r="N10068" t="s">
        <v>615</v>
      </c>
      <c r="O10068" t="s">
        <v>616</v>
      </c>
      <c r="R10068" t="s">
        <v>57</v>
      </c>
      <c r="S10068">
        <v>4</v>
      </c>
      <c r="T10068">
        <v>772</v>
      </c>
      <c r="U10068" s="1">
        <v>40413</v>
      </c>
      <c r="V10068" t="s">
        <v>89</v>
      </c>
      <c r="W10068" t="s">
        <v>90</v>
      </c>
      <c r="X10068" t="s">
        <v>58</v>
      </c>
      <c r="Y10068">
        <v>24</v>
      </c>
      <c r="Z10068" t="s">
        <v>59</v>
      </c>
      <c r="AA10068" t="s">
        <v>59</v>
      </c>
      <c r="AB10068" t="s">
        <v>59</v>
      </c>
      <c r="AC10068" t="s">
        <v>59</v>
      </c>
      <c r="AD10068" t="s">
        <v>59</v>
      </c>
      <c r="AF10068" s="1">
        <v>40413</v>
      </c>
      <c r="AG10068" t="s">
        <v>8645</v>
      </c>
      <c r="AH10068" t="s">
        <v>8646</v>
      </c>
      <c r="AI10068" t="str">
        <f>"9500175"</f>
        <v>9500175</v>
      </c>
      <c r="AJ10068" t="s">
        <v>14538</v>
      </c>
      <c r="AK10068">
        <v>2823041233</v>
      </c>
      <c r="AL10068" t="s">
        <v>14539</v>
      </c>
      <c r="AM10068" t="s">
        <v>88</v>
      </c>
      <c r="AN10068" t="s">
        <v>6824</v>
      </c>
      <c r="AO10068" t="s">
        <v>6870</v>
      </c>
      <c r="AP10068" t="s">
        <v>6871</v>
      </c>
      <c r="AQ10068">
        <v>11</v>
      </c>
      <c r="AR10068" t="s">
        <v>89</v>
      </c>
      <c r="AS10068" t="s">
        <v>90</v>
      </c>
      <c r="AT10068" t="s">
        <v>58</v>
      </c>
      <c r="AU10068" t="s">
        <v>68</v>
      </c>
      <c r="AV10068" t="s">
        <v>69</v>
      </c>
      <c r="AW10068" s="1">
        <v>31541</v>
      </c>
      <c r="AX10068">
        <v>1</v>
      </c>
    </row>
    <row r="10069" spans="1:50">
      <c r="A10069">
        <v>551588</v>
      </c>
      <c r="B10069" t="str">
        <f>"027443289"</f>
        <v>027443289</v>
      </c>
      <c r="C10069" t="s">
        <v>105</v>
      </c>
      <c r="D10069" t="s">
        <v>15027</v>
      </c>
      <c r="E10069" t="s">
        <v>106</v>
      </c>
      <c r="F10069" t="s">
        <v>153</v>
      </c>
      <c r="G10069" t="s">
        <v>755</v>
      </c>
      <c r="H10069" t="str">
        <f>"ΚΙΣΣΑΜΟΣ ΧΑΝΙΩΝ "</f>
        <v xml:space="preserve">ΚΙΣΣΑΜΟΣ ΧΑΝΙΩΝ </v>
      </c>
      <c r="I10069">
        <v>73400</v>
      </c>
      <c r="J10069">
        <v>2822031134</v>
      </c>
      <c r="K10069">
        <v>6944525864</v>
      </c>
      <c r="N10069" t="s">
        <v>615</v>
      </c>
      <c r="O10069" t="s">
        <v>616</v>
      </c>
      <c r="R10069" t="s">
        <v>57</v>
      </c>
      <c r="S10069">
        <v>17</v>
      </c>
      <c r="T10069">
        <v>271</v>
      </c>
      <c r="U10069" s="1">
        <v>30641</v>
      </c>
      <c r="V10069" t="s">
        <v>89</v>
      </c>
      <c r="W10069" t="s">
        <v>90</v>
      </c>
      <c r="X10069" t="s">
        <v>58</v>
      </c>
      <c r="Y10069">
        <v>21</v>
      </c>
      <c r="Z10069" t="s">
        <v>59</v>
      </c>
      <c r="AA10069" t="s">
        <v>59</v>
      </c>
      <c r="AB10069" t="s">
        <v>59</v>
      </c>
      <c r="AC10069" t="s">
        <v>59</v>
      </c>
      <c r="AD10069" t="s">
        <v>59</v>
      </c>
      <c r="AF10069" s="1">
        <v>30929</v>
      </c>
      <c r="AG10069" t="s">
        <v>8645</v>
      </c>
      <c r="AH10069" t="s">
        <v>8646</v>
      </c>
      <c r="AI10069" t="str">
        <f>"9500374"</f>
        <v>9500374</v>
      </c>
      <c r="AJ10069" t="s">
        <v>14529</v>
      </c>
      <c r="AK10069">
        <v>2822023194</v>
      </c>
      <c r="AL10069" t="s">
        <v>14530</v>
      </c>
      <c r="AM10069" t="s">
        <v>88</v>
      </c>
      <c r="AN10069" t="s">
        <v>6744</v>
      </c>
      <c r="AO10069" t="s">
        <v>6744</v>
      </c>
      <c r="AP10069" t="s">
        <v>6744</v>
      </c>
      <c r="AQ10069">
        <v>9</v>
      </c>
      <c r="AR10069" t="s">
        <v>89</v>
      </c>
      <c r="AS10069" t="s">
        <v>90</v>
      </c>
      <c r="AT10069" t="s">
        <v>58</v>
      </c>
      <c r="AU10069" t="s">
        <v>68</v>
      </c>
      <c r="AV10069" t="s">
        <v>69</v>
      </c>
      <c r="AW10069" s="1">
        <v>22325</v>
      </c>
      <c r="AX10069">
        <v>1</v>
      </c>
    </row>
    <row r="10070" spans="1:50">
      <c r="A10070">
        <v>574300</v>
      </c>
      <c r="B10070" t="str">
        <f>"035862110"</f>
        <v>035862110</v>
      </c>
      <c r="C10070" t="s">
        <v>50</v>
      </c>
      <c r="D10070" t="s">
        <v>15028</v>
      </c>
      <c r="E10070" t="s">
        <v>237</v>
      </c>
      <c r="F10070" t="s">
        <v>510</v>
      </c>
      <c r="G10070" t="s">
        <v>52</v>
      </c>
      <c r="H10070" t="str">
        <f>"ΠΛΑΙΣΙΟ ΑΡΙΣΤΟΤΕΛΟΥΣ ΚΟΥΝΟΥΠΙΔΙΑΝΑ"</f>
        <v>ΠΛΑΙΣΙΟ ΑΡΙΣΤΟΤΕΛΟΥΣ ΚΟΥΝΟΥΠΙΔΙΑΝΑ</v>
      </c>
      <c r="I10070">
        <v>73100</v>
      </c>
      <c r="J10070">
        <v>2821069383</v>
      </c>
      <c r="K10070">
        <v>6971757701</v>
      </c>
      <c r="L10070">
        <v>2821040565</v>
      </c>
      <c r="N10070" t="s">
        <v>615</v>
      </c>
      <c r="O10070" t="s">
        <v>616</v>
      </c>
      <c r="R10070" t="s">
        <v>57</v>
      </c>
      <c r="S10070">
        <v>12</v>
      </c>
      <c r="T10070">
        <v>160</v>
      </c>
      <c r="U10070" s="1">
        <v>34582</v>
      </c>
      <c r="V10070" t="s">
        <v>89</v>
      </c>
      <c r="W10070" t="s">
        <v>90</v>
      </c>
      <c r="X10070" t="s">
        <v>58</v>
      </c>
      <c r="Y10070">
        <v>21</v>
      </c>
      <c r="Z10070" t="s">
        <v>59</v>
      </c>
      <c r="AA10070" t="s">
        <v>59</v>
      </c>
      <c r="AB10070" t="s">
        <v>59</v>
      </c>
      <c r="AC10070" t="s">
        <v>59</v>
      </c>
      <c r="AD10070" t="s">
        <v>59</v>
      </c>
      <c r="AF10070" s="1">
        <v>34582</v>
      </c>
      <c r="AG10070" t="s">
        <v>8645</v>
      </c>
      <c r="AH10070" t="s">
        <v>8646</v>
      </c>
      <c r="AI10070" t="str">
        <f>"9500315"</f>
        <v>9500315</v>
      </c>
      <c r="AJ10070" t="s">
        <v>14174</v>
      </c>
      <c r="AK10070">
        <v>2821040565</v>
      </c>
      <c r="AL10070" t="s">
        <v>14175</v>
      </c>
      <c r="AM10070" t="s">
        <v>88</v>
      </c>
      <c r="AN10070" t="s">
        <v>88</v>
      </c>
      <c r="AO10070" t="s">
        <v>88</v>
      </c>
      <c r="AP10070" t="s">
        <v>88</v>
      </c>
      <c r="AQ10070">
        <v>1</v>
      </c>
      <c r="AR10070" t="s">
        <v>89</v>
      </c>
      <c r="AS10070" t="s">
        <v>90</v>
      </c>
      <c r="AT10070" t="s">
        <v>58</v>
      </c>
      <c r="AU10070" t="s">
        <v>68</v>
      </c>
      <c r="AV10070" t="s">
        <v>69</v>
      </c>
      <c r="AW10070" s="1">
        <v>23856</v>
      </c>
      <c r="AX10070">
        <v>1</v>
      </c>
    </row>
    <row r="10071" spans="1:50">
      <c r="B10071" t="str">
        <f>"079566134"</f>
        <v>079566134</v>
      </c>
      <c r="C10071" t="s">
        <v>50</v>
      </c>
      <c r="D10071" t="s">
        <v>15029</v>
      </c>
      <c r="E10071" t="s">
        <v>513</v>
      </c>
      <c r="F10071" t="s">
        <v>1023</v>
      </c>
      <c r="G10071" t="s">
        <v>314</v>
      </c>
      <c r="H10071" t="str">
        <f>" "</f>
        <v xml:space="preserve"> </v>
      </c>
      <c r="N10071" t="s">
        <v>615</v>
      </c>
      <c r="O10071" t="s">
        <v>616</v>
      </c>
      <c r="R10071" t="s">
        <v>159</v>
      </c>
      <c r="S10071">
        <v>3</v>
      </c>
      <c r="T10071" t="s">
        <v>9034</v>
      </c>
      <c r="U10071" s="1">
        <v>43377</v>
      </c>
      <c r="V10071" t="s">
        <v>89</v>
      </c>
      <c r="W10071" t="s">
        <v>90</v>
      </c>
      <c r="X10071" t="s">
        <v>58</v>
      </c>
      <c r="Y10071">
        <v>24</v>
      </c>
      <c r="Z10071" t="s">
        <v>59</v>
      </c>
      <c r="AA10071" t="s">
        <v>59</v>
      </c>
      <c r="AB10071" t="s">
        <v>59</v>
      </c>
      <c r="AD10071" t="s">
        <v>59</v>
      </c>
      <c r="AF10071" s="1">
        <v>43377</v>
      </c>
      <c r="AG10071" t="s">
        <v>8645</v>
      </c>
      <c r="AH10071" t="s">
        <v>8646</v>
      </c>
      <c r="AI10071" t="str">
        <f>"9500084"</f>
        <v>9500084</v>
      </c>
      <c r="AJ10071" t="s">
        <v>13994</v>
      </c>
      <c r="AK10071">
        <v>2821031270</v>
      </c>
      <c r="AL10071" t="s">
        <v>13995</v>
      </c>
      <c r="AM10071" t="s">
        <v>88</v>
      </c>
      <c r="AN10071" t="s">
        <v>88</v>
      </c>
      <c r="AO10071" t="s">
        <v>13920</v>
      </c>
      <c r="AP10071" t="s">
        <v>13996</v>
      </c>
      <c r="AQ10071">
        <v>3</v>
      </c>
      <c r="AR10071" t="s">
        <v>89</v>
      </c>
      <c r="AS10071" t="s">
        <v>90</v>
      </c>
      <c r="AT10071" t="s">
        <v>58</v>
      </c>
      <c r="AU10071" t="s">
        <v>8673</v>
      </c>
      <c r="AV10071" t="s">
        <v>132</v>
      </c>
      <c r="AW10071" s="1">
        <v>33632</v>
      </c>
      <c r="AX10071">
        <v>1</v>
      </c>
    </row>
    <row r="10072" spans="1:50">
      <c r="A10072">
        <v>584399</v>
      </c>
      <c r="B10072" t="str">
        <f>"039986287"</f>
        <v>039986287</v>
      </c>
      <c r="C10072" t="s">
        <v>50</v>
      </c>
      <c r="D10072" t="s">
        <v>13394</v>
      </c>
      <c r="E10072" t="s">
        <v>15030</v>
      </c>
      <c r="F10072" t="s">
        <v>989</v>
      </c>
      <c r="G10072" t="s">
        <v>4737</v>
      </c>
      <c r="H10072" t="str">
        <f>"ΠΑΠΑΦΛΕΣΣΑ  8 ΧΑΝΙΑ"</f>
        <v>ΠΑΠΑΦΛΕΣΣΑ  8 ΧΑΝΙΑ</v>
      </c>
      <c r="I10072">
        <v>73100</v>
      </c>
      <c r="J10072">
        <v>2821043663</v>
      </c>
      <c r="K10072">
        <v>6977615922</v>
      </c>
      <c r="N10072" t="s">
        <v>615</v>
      </c>
      <c r="O10072" t="s">
        <v>616</v>
      </c>
      <c r="R10072" t="s">
        <v>57</v>
      </c>
      <c r="S10072">
        <v>12</v>
      </c>
      <c r="T10072">
        <v>165</v>
      </c>
      <c r="U10072" s="1">
        <v>36040</v>
      </c>
      <c r="V10072" t="s">
        <v>89</v>
      </c>
      <c r="W10072" t="s">
        <v>90</v>
      </c>
      <c r="X10072" t="s">
        <v>58</v>
      </c>
      <c r="Y10072">
        <v>21</v>
      </c>
      <c r="Z10072" t="s">
        <v>59</v>
      </c>
      <c r="AA10072" t="s">
        <v>59</v>
      </c>
      <c r="AB10072" t="s">
        <v>59</v>
      </c>
      <c r="AC10072" t="s">
        <v>59</v>
      </c>
      <c r="AD10072" t="s">
        <v>59</v>
      </c>
      <c r="AF10072" s="1">
        <v>36040</v>
      </c>
      <c r="AG10072" t="s">
        <v>8645</v>
      </c>
      <c r="AH10072" t="s">
        <v>8646</v>
      </c>
      <c r="AI10072" t="str">
        <f>"9520693"</f>
        <v>9520693</v>
      </c>
      <c r="AJ10072" t="s">
        <v>13913</v>
      </c>
      <c r="AK10072">
        <v>2821066910</v>
      </c>
      <c r="AL10072" t="s">
        <v>13914</v>
      </c>
      <c r="AM10072" t="s">
        <v>88</v>
      </c>
      <c r="AN10072" t="s">
        <v>88</v>
      </c>
      <c r="AO10072" t="s">
        <v>6770</v>
      </c>
      <c r="AP10072" t="s">
        <v>6771</v>
      </c>
      <c r="AQ10072">
        <v>2</v>
      </c>
      <c r="AR10072" t="s">
        <v>89</v>
      </c>
      <c r="AS10072" t="s">
        <v>90</v>
      </c>
      <c r="AT10072" t="s">
        <v>58</v>
      </c>
      <c r="AU10072" t="s">
        <v>68</v>
      </c>
      <c r="AV10072" t="s">
        <v>69</v>
      </c>
      <c r="AW10072" s="1">
        <v>24263</v>
      </c>
      <c r="AX10072">
        <v>1</v>
      </c>
    </row>
    <row r="10073" spans="1:50">
      <c r="A10073">
        <v>559952</v>
      </c>
      <c r="B10073" t="str">
        <f>"030719365"</f>
        <v>030719365</v>
      </c>
      <c r="C10073" t="s">
        <v>50</v>
      </c>
      <c r="D10073" t="s">
        <v>15031</v>
      </c>
      <c r="E10073" t="s">
        <v>314</v>
      </c>
      <c r="F10073" t="s">
        <v>53</v>
      </c>
      <c r="G10073" t="s">
        <v>3802</v>
      </c>
      <c r="H10073" t="str">
        <f>"ΤΣΑΓΚΑΡΟΛΩΝ 1 ΧΑΝΙΑ"</f>
        <v>ΤΣΑΓΚΑΡΟΛΩΝ 1 ΧΑΝΙΑ</v>
      </c>
      <c r="I10073">
        <v>73132</v>
      </c>
      <c r="J10073">
        <v>2821050050</v>
      </c>
      <c r="N10073" t="s">
        <v>1525</v>
      </c>
      <c r="O10073" t="s">
        <v>1526</v>
      </c>
      <c r="R10073" t="s">
        <v>57</v>
      </c>
      <c r="S10073">
        <v>16</v>
      </c>
      <c r="T10073">
        <v>175</v>
      </c>
      <c r="U10073" s="1">
        <v>32020</v>
      </c>
      <c r="V10073" t="s">
        <v>89</v>
      </c>
      <c r="W10073" t="s">
        <v>90</v>
      </c>
      <c r="X10073" t="s">
        <v>58</v>
      </c>
      <c r="Y10073">
        <v>25</v>
      </c>
      <c r="Z10073" t="s">
        <v>59</v>
      </c>
      <c r="AA10073" t="s">
        <v>59</v>
      </c>
      <c r="AB10073" t="s">
        <v>59</v>
      </c>
      <c r="AC10073" t="s">
        <v>59</v>
      </c>
      <c r="AD10073" t="s">
        <v>59</v>
      </c>
      <c r="AF10073" s="1">
        <v>32020</v>
      </c>
      <c r="AG10073" t="s">
        <v>8651</v>
      </c>
      <c r="AH10073" t="s">
        <v>8652</v>
      </c>
      <c r="AI10073" t="str">
        <f>"9500145"</f>
        <v>9500145</v>
      </c>
      <c r="AJ10073" t="s">
        <v>14120</v>
      </c>
      <c r="AK10073">
        <v>2821072991</v>
      </c>
      <c r="AL10073" t="s">
        <v>14121</v>
      </c>
      <c r="AM10073" t="s">
        <v>88</v>
      </c>
      <c r="AN10073" t="s">
        <v>88</v>
      </c>
      <c r="AO10073" t="s">
        <v>88</v>
      </c>
      <c r="AP10073" t="s">
        <v>88</v>
      </c>
      <c r="AQ10073">
        <v>1</v>
      </c>
      <c r="AR10073" t="s">
        <v>89</v>
      </c>
      <c r="AS10073" t="s">
        <v>90</v>
      </c>
      <c r="AT10073" t="s">
        <v>58</v>
      </c>
      <c r="AU10073" t="s">
        <v>68</v>
      </c>
      <c r="AV10073" t="s">
        <v>69</v>
      </c>
      <c r="AW10073" s="1">
        <v>22539</v>
      </c>
      <c r="AX10073">
        <v>1</v>
      </c>
    </row>
    <row r="10074" spans="1:50">
      <c r="A10074">
        <v>591308</v>
      </c>
      <c r="B10074" t="str">
        <f>"051306941"</f>
        <v>051306941</v>
      </c>
      <c r="C10074" t="s">
        <v>105</v>
      </c>
      <c r="D10074" t="s">
        <v>15032</v>
      </c>
      <c r="E10074" t="s">
        <v>995</v>
      </c>
      <c r="F10074" t="s">
        <v>670</v>
      </c>
      <c r="G10074" t="s">
        <v>174</v>
      </c>
      <c r="H10074" t="str">
        <f>"ΠΡΟΦΗΤΗ ΗΛΙΑ 120 ΧΑΝΙΑ"</f>
        <v>ΠΡΟΦΗΤΗ ΗΛΙΑ 120 ΧΑΝΙΑ</v>
      </c>
      <c r="I10074">
        <v>73100</v>
      </c>
      <c r="J10074">
        <v>2821056797</v>
      </c>
      <c r="K10074">
        <v>6944559794</v>
      </c>
      <c r="N10074" t="s">
        <v>615</v>
      </c>
      <c r="O10074" t="s">
        <v>616</v>
      </c>
      <c r="R10074" t="s">
        <v>57</v>
      </c>
      <c r="S10074">
        <v>10</v>
      </c>
      <c r="T10074">
        <v>249</v>
      </c>
      <c r="U10074" s="1">
        <v>36769</v>
      </c>
      <c r="V10074" t="s">
        <v>89</v>
      </c>
      <c r="W10074" t="s">
        <v>90</v>
      </c>
      <c r="X10074" t="s">
        <v>58</v>
      </c>
      <c r="Y10074">
        <v>21</v>
      </c>
      <c r="Z10074" t="s">
        <v>59</v>
      </c>
      <c r="AA10074" t="s">
        <v>59</v>
      </c>
      <c r="AB10074" t="s">
        <v>59</v>
      </c>
      <c r="AC10074" t="s">
        <v>59</v>
      </c>
      <c r="AD10074" t="s">
        <v>59</v>
      </c>
      <c r="AF10074" s="1">
        <v>36769</v>
      </c>
      <c r="AG10074" t="s">
        <v>8645</v>
      </c>
      <c r="AH10074" t="s">
        <v>8646</v>
      </c>
      <c r="AI10074" t="str">
        <f>"9500078"</f>
        <v>9500078</v>
      </c>
      <c r="AJ10074" t="s">
        <v>13988</v>
      </c>
      <c r="AK10074">
        <v>2821028788</v>
      </c>
      <c r="AL10074" t="s">
        <v>13989</v>
      </c>
      <c r="AM10074" t="s">
        <v>88</v>
      </c>
      <c r="AN10074" t="s">
        <v>88</v>
      </c>
      <c r="AO10074" t="s">
        <v>88</v>
      </c>
      <c r="AP10074" t="s">
        <v>88</v>
      </c>
      <c r="AQ10074">
        <v>1</v>
      </c>
      <c r="AR10074" t="s">
        <v>89</v>
      </c>
      <c r="AS10074" t="s">
        <v>90</v>
      </c>
      <c r="AT10074" t="s">
        <v>58</v>
      </c>
      <c r="AU10074" t="s">
        <v>68</v>
      </c>
      <c r="AV10074" t="s">
        <v>69</v>
      </c>
      <c r="AW10074" s="1">
        <v>24635</v>
      </c>
      <c r="AX10074">
        <v>1</v>
      </c>
    </row>
    <row r="10075" spans="1:50">
      <c r="A10075">
        <v>700701</v>
      </c>
      <c r="B10075" t="str">
        <f>"135654686"</f>
        <v>135654686</v>
      </c>
      <c r="C10075" t="s">
        <v>50</v>
      </c>
      <c r="D10075" t="s">
        <v>7882</v>
      </c>
      <c r="E10075" t="s">
        <v>15033</v>
      </c>
      <c r="F10075" t="s">
        <v>510</v>
      </c>
      <c r="G10075" t="s">
        <v>15034</v>
      </c>
      <c r="H10075" t="str">
        <f>"ΒΙΡΟΣ  Α/Θ 4/4 ΚΕΡΚΥΡΑ"</f>
        <v>ΒΙΡΟΣ  Α/Θ 4/4 ΚΕΡΚΥΡΑ</v>
      </c>
      <c r="I10075">
        <v>49084</v>
      </c>
      <c r="J10075">
        <v>2661045420</v>
      </c>
      <c r="K10075">
        <v>6974926504</v>
      </c>
      <c r="N10075" t="s">
        <v>615</v>
      </c>
      <c r="O10075" t="s">
        <v>616</v>
      </c>
      <c r="R10075" t="s">
        <v>57</v>
      </c>
      <c r="S10075">
        <v>5</v>
      </c>
      <c r="T10075" t="s">
        <v>6575</v>
      </c>
      <c r="U10075" s="1">
        <v>40413</v>
      </c>
      <c r="V10075" t="s">
        <v>89</v>
      </c>
      <c r="W10075" t="s">
        <v>90</v>
      </c>
      <c r="X10075" t="s">
        <v>58</v>
      </c>
      <c r="Y10075">
        <v>23</v>
      </c>
      <c r="Z10075" t="s">
        <v>59</v>
      </c>
      <c r="AA10075" t="s">
        <v>59</v>
      </c>
      <c r="AB10075" t="s">
        <v>59</v>
      </c>
      <c r="AC10075" t="s">
        <v>59</v>
      </c>
      <c r="AD10075" t="s">
        <v>59</v>
      </c>
      <c r="AF10075" s="1">
        <v>40413</v>
      </c>
      <c r="AG10075" t="s">
        <v>8645</v>
      </c>
      <c r="AH10075" t="s">
        <v>8646</v>
      </c>
      <c r="AI10075" t="str">
        <f>"9500081"</f>
        <v>9500081</v>
      </c>
      <c r="AJ10075" t="s">
        <v>14034</v>
      </c>
      <c r="AK10075">
        <v>2821077150</v>
      </c>
      <c r="AL10075" t="s">
        <v>14035</v>
      </c>
      <c r="AM10075" t="s">
        <v>88</v>
      </c>
      <c r="AN10075" t="s">
        <v>6764</v>
      </c>
      <c r="AO10075" t="s">
        <v>6885</v>
      </c>
      <c r="AP10075" t="s">
        <v>6886</v>
      </c>
      <c r="AQ10075">
        <v>4</v>
      </c>
      <c r="AR10075" t="s">
        <v>89</v>
      </c>
      <c r="AS10075" t="s">
        <v>90</v>
      </c>
      <c r="AT10075" t="s">
        <v>58</v>
      </c>
      <c r="AU10075" t="s">
        <v>68</v>
      </c>
      <c r="AV10075" t="s">
        <v>69</v>
      </c>
      <c r="AW10075" s="1">
        <v>31343</v>
      </c>
      <c r="AX10075">
        <v>1</v>
      </c>
    </row>
    <row r="10076" spans="1:50">
      <c r="B10076" t="str">
        <f>"121523491"</f>
        <v>121523491</v>
      </c>
      <c r="C10076" t="s">
        <v>50</v>
      </c>
      <c r="D10076" t="s">
        <v>7882</v>
      </c>
      <c r="E10076" t="s">
        <v>15035</v>
      </c>
      <c r="F10076" t="s">
        <v>315</v>
      </c>
      <c r="H10076" t="str">
        <f>"ΕΛΕΥΘΕΡΙΟΥ ΒΕΝΙΖΕΛΟΥ 2Β ΙΩΑΝΝΙΝΑ"</f>
        <v>ΕΛΕΥΘΕΡΙΟΥ ΒΕΝΙΖΕΛΟΥ 2Β ΙΩΑΝΝΙΝΑ</v>
      </c>
      <c r="I10076">
        <v>45500</v>
      </c>
      <c r="K10076">
        <v>6970025934</v>
      </c>
      <c r="M10076" t="s">
        <v>15036</v>
      </c>
      <c r="N10076" t="s">
        <v>683</v>
      </c>
      <c r="O10076" t="s">
        <v>684</v>
      </c>
      <c r="R10076" t="s">
        <v>159</v>
      </c>
      <c r="S10076">
        <v>3</v>
      </c>
      <c r="T10076" t="s">
        <v>8675</v>
      </c>
      <c r="U10076" s="1">
        <v>43348</v>
      </c>
      <c r="V10076" t="s">
        <v>89</v>
      </c>
      <c r="W10076" t="s">
        <v>90</v>
      </c>
      <c r="X10076" t="s">
        <v>58</v>
      </c>
      <c r="Y10076">
        <v>24</v>
      </c>
      <c r="Z10076" t="s">
        <v>59</v>
      </c>
      <c r="AA10076" t="s">
        <v>59</v>
      </c>
      <c r="AB10076" t="s">
        <v>59</v>
      </c>
      <c r="AC10076" t="s">
        <v>59</v>
      </c>
      <c r="AD10076" t="s">
        <v>59</v>
      </c>
      <c r="AF10076" s="1">
        <v>43348</v>
      </c>
      <c r="AG10076" t="s">
        <v>8645</v>
      </c>
      <c r="AH10076" t="s">
        <v>8646</v>
      </c>
      <c r="AI10076" t="str">
        <f>"9500314"</f>
        <v>9500314</v>
      </c>
      <c r="AJ10076" t="s">
        <v>14116</v>
      </c>
      <c r="AK10076">
        <v>2821097640</v>
      </c>
      <c r="AL10076" t="s">
        <v>14117</v>
      </c>
      <c r="AM10076" t="s">
        <v>88</v>
      </c>
      <c r="AN10076" t="s">
        <v>88</v>
      </c>
      <c r="AO10076" t="s">
        <v>88</v>
      </c>
      <c r="AP10076" t="s">
        <v>88</v>
      </c>
      <c r="AQ10076">
        <v>1</v>
      </c>
      <c r="AR10076" t="s">
        <v>89</v>
      </c>
      <c r="AS10076" t="s">
        <v>90</v>
      </c>
      <c r="AT10076" t="s">
        <v>58</v>
      </c>
      <c r="AU10076" t="s">
        <v>8673</v>
      </c>
      <c r="AV10076" t="s">
        <v>132</v>
      </c>
      <c r="AW10076" s="1">
        <v>32853</v>
      </c>
      <c r="AX10076">
        <v>1</v>
      </c>
    </row>
    <row r="10077" spans="1:50">
      <c r="A10077">
        <v>552408</v>
      </c>
      <c r="B10077" t="str">
        <f>"028714589"</f>
        <v>028714589</v>
      </c>
      <c r="C10077" t="s">
        <v>50</v>
      </c>
      <c r="D10077" t="s">
        <v>15037</v>
      </c>
      <c r="E10077" t="s">
        <v>1497</v>
      </c>
      <c r="F10077" t="s">
        <v>166</v>
      </c>
      <c r="G10077" t="s">
        <v>610</v>
      </c>
      <c r="H10077" t="str">
        <f>"Γ.Καμπούρη 13 Χαλέπα-Χανίων"</f>
        <v>Γ.Καμπούρη 13 Χαλέπα-Χανίων</v>
      </c>
      <c r="I10077">
        <v>73133</v>
      </c>
      <c r="J10077">
        <v>2821058809</v>
      </c>
      <c r="N10077" t="s">
        <v>1525</v>
      </c>
      <c r="O10077" t="s">
        <v>1526</v>
      </c>
      <c r="R10077" t="s">
        <v>57</v>
      </c>
      <c r="S10077">
        <v>17</v>
      </c>
      <c r="T10077">
        <v>271</v>
      </c>
      <c r="U10077" s="1">
        <v>30923</v>
      </c>
      <c r="V10077" t="s">
        <v>89</v>
      </c>
      <c r="W10077" t="s">
        <v>90</v>
      </c>
      <c r="X10077" t="s">
        <v>58</v>
      </c>
      <c r="Y10077">
        <v>25</v>
      </c>
      <c r="Z10077" t="s">
        <v>59</v>
      </c>
      <c r="AA10077" t="s">
        <v>59</v>
      </c>
      <c r="AB10077" t="s">
        <v>59</v>
      </c>
      <c r="AC10077" t="s">
        <v>59</v>
      </c>
      <c r="AD10077" t="s">
        <v>59</v>
      </c>
      <c r="AF10077" s="1">
        <v>30923</v>
      </c>
      <c r="AG10077" t="s">
        <v>8651</v>
      </c>
      <c r="AH10077" t="s">
        <v>8652</v>
      </c>
      <c r="AI10077" t="str">
        <f>"9500037"</f>
        <v>9500037</v>
      </c>
      <c r="AJ10077" t="s">
        <v>15038</v>
      </c>
      <c r="AK10077">
        <v>2821054493</v>
      </c>
      <c r="AL10077" t="s">
        <v>15039</v>
      </c>
      <c r="AM10077" t="s">
        <v>88</v>
      </c>
      <c r="AN10077" t="s">
        <v>88</v>
      </c>
      <c r="AO10077" t="s">
        <v>88</v>
      </c>
      <c r="AP10077" t="s">
        <v>88</v>
      </c>
      <c r="AQ10077">
        <v>1</v>
      </c>
      <c r="AR10077" t="s">
        <v>89</v>
      </c>
      <c r="AS10077" t="s">
        <v>90</v>
      </c>
      <c r="AT10077" t="s">
        <v>58</v>
      </c>
      <c r="AU10077" t="s">
        <v>68</v>
      </c>
      <c r="AV10077" t="s">
        <v>69</v>
      </c>
      <c r="AW10077" s="1">
        <v>22837</v>
      </c>
      <c r="AX10077">
        <v>1</v>
      </c>
    </row>
    <row r="10078" spans="1:50">
      <c r="A10078">
        <v>619524</v>
      </c>
      <c r="B10078" t="str">
        <f>"070589874"</f>
        <v>070589874</v>
      </c>
      <c r="C10078" t="s">
        <v>50</v>
      </c>
      <c r="D10078" t="s">
        <v>15040</v>
      </c>
      <c r="E10078" t="s">
        <v>109</v>
      </c>
      <c r="F10078" t="s">
        <v>15041</v>
      </c>
      <c r="G10078" t="s">
        <v>52</v>
      </c>
      <c r="H10078" t="str">
        <f>"ΑΦΑΙΑΣ 126 "</f>
        <v xml:space="preserve">ΑΦΑΙΑΣ 126 </v>
      </c>
      <c r="I10078">
        <v>18010</v>
      </c>
      <c r="J10078">
        <v>2297025210</v>
      </c>
      <c r="K10078">
        <v>6945424696</v>
      </c>
      <c r="N10078" t="s">
        <v>1525</v>
      </c>
      <c r="O10078" t="s">
        <v>1526</v>
      </c>
      <c r="R10078" t="s">
        <v>57</v>
      </c>
      <c r="S10078">
        <v>5</v>
      </c>
      <c r="T10078">
        <v>774</v>
      </c>
      <c r="U10078" s="1">
        <v>39680</v>
      </c>
      <c r="V10078" t="s">
        <v>89</v>
      </c>
      <c r="W10078" t="s">
        <v>90</v>
      </c>
      <c r="X10078" t="s">
        <v>58</v>
      </c>
      <c r="Y10078">
        <v>25</v>
      </c>
      <c r="Z10078" t="s">
        <v>59</v>
      </c>
      <c r="AA10078" t="s">
        <v>59</v>
      </c>
      <c r="AB10078" t="s">
        <v>59</v>
      </c>
      <c r="AC10078" t="s">
        <v>59</v>
      </c>
      <c r="AD10078" t="s">
        <v>59</v>
      </c>
      <c r="AF10078" s="1">
        <v>39680</v>
      </c>
      <c r="AG10078" t="s">
        <v>8651</v>
      </c>
      <c r="AH10078" t="s">
        <v>8652</v>
      </c>
      <c r="AI10078" t="str">
        <f>"9500079"</f>
        <v>9500079</v>
      </c>
      <c r="AJ10078" t="s">
        <v>14438</v>
      </c>
      <c r="AK10078">
        <v>2821056880</v>
      </c>
      <c r="AL10078" t="s">
        <v>14439</v>
      </c>
      <c r="AM10078" t="s">
        <v>88</v>
      </c>
      <c r="AN10078" t="s">
        <v>88</v>
      </c>
      <c r="AO10078" t="s">
        <v>88</v>
      </c>
      <c r="AP10078" t="s">
        <v>88</v>
      </c>
      <c r="AQ10078">
        <v>1</v>
      </c>
      <c r="AR10078" t="s">
        <v>89</v>
      </c>
      <c r="AS10078" t="s">
        <v>90</v>
      </c>
      <c r="AT10078" t="s">
        <v>58</v>
      </c>
      <c r="AU10078" t="s">
        <v>68</v>
      </c>
      <c r="AV10078" t="s">
        <v>69</v>
      </c>
      <c r="AW10078" s="1">
        <v>30209</v>
      </c>
      <c r="AX10078">
        <v>1</v>
      </c>
    </row>
    <row r="10079" spans="1:50">
      <c r="A10079">
        <v>620156</v>
      </c>
      <c r="B10079" t="str">
        <f>"066836137"</f>
        <v>066836137</v>
      </c>
      <c r="C10079" t="s">
        <v>50</v>
      </c>
      <c r="D10079" t="s">
        <v>2844</v>
      </c>
      <c r="E10079" t="s">
        <v>2370</v>
      </c>
      <c r="F10079" t="s">
        <v>95</v>
      </c>
      <c r="G10079" t="s">
        <v>650</v>
      </c>
      <c r="H10079" t="str">
        <f>"ΚΟΥΝΟΥΠΙΔΙΑΝΑ-Τ.Θ.870 ΧΑΝΙΑ"</f>
        <v>ΚΟΥΝΟΥΠΙΔΙΑΝΑ-Τ.Θ.870 ΧΑΝΙΑ</v>
      </c>
      <c r="I10079">
        <v>73142</v>
      </c>
      <c r="J10079">
        <v>2821050490</v>
      </c>
      <c r="K10079">
        <v>6973353757</v>
      </c>
      <c r="N10079" t="s">
        <v>1525</v>
      </c>
      <c r="O10079" t="s">
        <v>1526</v>
      </c>
      <c r="R10079" t="s">
        <v>57</v>
      </c>
      <c r="S10079">
        <v>5</v>
      </c>
      <c r="T10079">
        <v>794</v>
      </c>
      <c r="U10079" s="1">
        <v>39680</v>
      </c>
      <c r="V10079" t="s">
        <v>89</v>
      </c>
      <c r="W10079" t="s">
        <v>90</v>
      </c>
      <c r="X10079" t="s">
        <v>58</v>
      </c>
      <c r="Y10079">
        <v>25</v>
      </c>
      <c r="Z10079" t="s">
        <v>59</v>
      </c>
      <c r="AA10079" t="s">
        <v>59</v>
      </c>
      <c r="AB10079" t="s">
        <v>59</v>
      </c>
      <c r="AC10079" t="s">
        <v>59</v>
      </c>
      <c r="AD10079" t="s">
        <v>59</v>
      </c>
      <c r="AF10079" s="1">
        <v>39689</v>
      </c>
      <c r="AG10079" t="s">
        <v>8651</v>
      </c>
      <c r="AH10079" t="s">
        <v>8652</v>
      </c>
      <c r="AI10079" t="str">
        <f>"9500076"</f>
        <v>9500076</v>
      </c>
      <c r="AJ10079" t="s">
        <v>14092</v>
      </c>
      <c r="AK10079">
        <v>2821027020</v>
      </c>
      <c r="AL10079" t="s">
        <v>14093</v>
      </c>
      <c r="AM10079" t="s">
        <v>88</v>
      </c>
      <c r="AN10079" t="s">
        <v>88</v>
      </c>
      <c r="AO10079" t="s">
        <v>88</v>
      </c>
      <c r="AP10079" t="s">
        <v>88</v>
      </c>
      <c r="AQ10079">
        <v>1</v>
      </c>
      <c r="AR10079" t="s">
        <v>89</v>
      </c>
      <c r="AS10079" t="s">
        <v>90</v>
      </c>
      <c r="AT10079" t="s">
        <v>58</v>
      </c>
      <c r="AU10079" t="s">
        <v>68</v>
      </c>
      <c r="AV10079" t="s">
        <v>69</v>
      </c>
      <c r="AW10079" s="1">
        <v>28838</v>
      </c>
      <c r="AX10079">
        <v>1</v>
      </c>
    </row>
    <row r="10080" spans="1:50">
      <c r="A10080">
        <v>611310</v>
      </c>
      <c r="B10080" t="str">
        <f>"101591670"</f>
        <v>101591670</v>
      </c>
      <c r="C10080" t="s">
        <v>50</v>
      </c>
      <c r="D10080" t="s">
        <v>15042</v>
      </c>
      <c r="E10080" t="s">
        <v>755</v>
      </c>
      <c r="F10080" t="s">
        <v>7299</v>
      </c>
      <c r="G10080" t="s">
        <v>250</v>
      </c>
      <c r="H10080" t="str">
        <f>" "</f>
        <v xml:space="preserve"> </v>
      </c>
      <c r="J10080">
        <v>2821053727</v>
      </c>
      <c r="K10080">
        <v>6973545173</v>
      </c>
      <c r="N10080" t="s">
        <v>1525</v>
      </c>
      <c r="O10080" t="s">
        <v>1526</v>
      </c>
      <c r="R10080" t="s">
        <v>57</v>
      </c>
      <c r="S10080">
        <v>7</v>
      </c>
      <c r="T10080">
        <v>233</v>
      </c>
      <c r="U10080" s="1">
        <v>38960</v>
      </c>
      <c r="V10080" t="s">
        <v>89</v>
      </c>
      <c r="W10080" t="s">
        <v>90</v>
      </c>
      <c r="X10080" t="s">
        <v>58</v>
      </c>
      <c r="Y10080">
        <v>25</v>
      </c>
      <c r="Z10080" t="s">
        <v>59</v>
      </c>
      <c r="AA10080" t="s">
        <v>59</v>
      </c>
      <c r="AB10080" t="s">
        <v>59</v>
      </c>
      <c r="AC10080" t="s">
        <v>59</v>
      </c>
      <c r="AD10080" t="s">
        <v>59</v>
      </c>
      <c r="AF10080" s="1">
        <v>38960</v>
      </c>
      <c r="AG10080" t="s">
        <v>8651</v>
      </c>
      <c r="AH10080" t="s">
        <v>8652</v>
      </c>
      <c r="AI10080" t="str">
        <f>"9500377"</f>
        <v>9500377</v>
      </c>
      <c r="AJ10080" t="s">
        <v>15043</v>
      </c>
      <c r="AK10080">
        <v>2821056880</v>
      </c>
      <c r="AL10080" t="s">
        <v>15044</v>
      </c>
      <c r="AM10080" t="s">
        <v>88</v>
      </c>
      <c r="AN10080" t="s">
        <v>88</v>
      </c>
      <c r="AO10080" t="s">
        <v>88</v>
      </c>
      <c r="AP10080" t="s">
        <v>88</v>
      </c>
      <c r="AQ10080">
        <v>1</v>
      </c>
      <c r="AR10080" t="s">
        <v>89</v>
      </c>
      <c r="AS10080" t="s">
        <v>90</v>
      </c>
      <c r="AT10080" t="s">
        <v>58</v>
      </c>
      <c r="AU10080" t="s">
        <v>68</v>
      </c>
      <c r="AV10080" t="s">
        <v>69</v>
      </c>
      <c r="AW10080" s="1">
        <v>24076</v>
      </c>
      <c r="AX10080">
        <v>1</v>
      </c>
    </row>
    <row r="10081" spans="1:50">
      <c r="A10081">
        <v>605278</v>
      </c>
      <c r="B10081" t="str">
        <f>"113501505"</f>
        <v>113501505</v>
      </c>
      <c r="C10081" t="s">
        <v>50</v>
      </c>
      <c r="D10081" t="s">
        <v>15045</v>
      </c>
      <c r="E10081" t="s">
        <v>181</v>
      </c>
      <c r="F10081" t="s">
        <v>311</v>
      </c>
      <c r="G10081" t="s">
        <v>83</v>
      </c>
      <c r="H10081" t="str">
        <f>"ΛΟΥΛΑΚΑΚΗ 1 ΛΕΝΤΑΡΙΑΝΑ"</f>
        <v>ΛΟΥΛΑΚΑΚΗ 1 ΛΕΝΤΑΡΙΑΝΑ</v>
      </c>
      <c r="I10081">
        <v>73133</v>
      </c>
      <c r="J10081">
        <v>2821300119</v>
      </c>
      <c r="K10081">
        <v>6977979567</v>
      </c>
      <c r="N10081" t="s">
        <v>615</v>
      </c>
      <c r="O10081" t="s">
        <v>616</v>
      </c>
      <c r="R10081" t="s">
        <v>57</v>
      </c>
      <c r="S10081">
        <v>7</v>
      </c>
      <c r="T10081">
        <v>231</v>
      </c>
      <c r="U10081" s="1">
        <v>38230</v>
      </c>
      <c r="V10081" t="s">
        <v>89</v>
      </c>
      <c r="W10081" t="s">
        <v>90</v>
      </c>
      <c r="X10081" t="s">
        <v>58</v>
      </c>
      <c r="Y10081">
        <v>22</v>
      </c>
      <c r="Z10081" t="s">
        <v>59</v>
      </c>
      <c r="AA10081" t="s">
        <v>59</v>
      </c>
      <c r="AB10081" t="s">
        <v>59</v>
      </c>
      <c r="AC10081" t="s">
        <v>59</v>
      </c>
      <c r="AD10081" t="s">
        <v>59</v>
      </c>
      <c r="AF10081" s="1">
        <v>38230</v>
      </c>
      <c r="AG10081" t="s">
        <v>8645</v>
      </c>
      <c r="AH10081" t="s">
        <v>8646</v>
      </c>
      <c r="AI10081" t="str">
        <f>"9500070"</f>
        <v>9500070</v>
      </c>
      <c r="AJ10081" t="s">
        <v>14221</v>
      </c>
      <c r="AK10081">
        <v>2821095817</v>
      </c>
      <c r="AL10081" t="s">
        <v>14222</v>
      </c>
      <c r="AM10081" t="s">
        <v>88</v>
      </c>
      <c r="AN10081" t="s">
        <v>88</v>
      </c>
      <c r="AO10081" t="s">
        <v>88</v>
      </c>
      <c r="AP10081" t="s">
        <v>88</v>
      </c>
      <c r="AQ10081">
        <v>1</v>
      </c>
      <c r="AR10081" t="s">
        <v>89</v>
      </c>
      <c r="AS10081" t="s">
        <v>90</v>
      </c>
      <c r="AT10081" t="s">
        <v>58</v>
      </c>
      <c r="AU10081" t="s">
        <v>68</v>
      </c>
      <c r="AV10081" t="s">
        <v>69</v>
      </c>
      <c r="AW10081" s="1">
        <v>28044</v>
      </c>
      <c r="AX10081">
        <v>1</v>
      </c>
    </row>
    <row r="10082" spans="1:50">
      <c r="A10082">
        <v>618705</v>
      </c>
      <c r="B10082" t="str">
        <f>"135215500"</f>
        <v>135215500</v>
      </c>
      <c r="C10082" t="s">
        <v>50</v>
      </c>
      <c r="D10082" t="s">
        <v>2857</v>
      </c>
      <c r="E10082" t="s">
        <v>188</v>
      </c>
      <c r="F10082" t="s">
        <v>106</v>
      </c>
      <c r="G10082" t="s">
        <v>52</v>
      </c>
      <c r="H10082" t="str">
        <f>"ΑΡΙΣΤΑΡΧΟΥ 21Α ΧΑΝΙΑ"</f>
        <v>ΑΡΙΣΤΑΡΧΟΥ 21Α ΧΑΝΙΑ</v>
      </c>
      <c r="J10082">
        <v>2821043798</v>
      </c>
      <c r="K10082">
        <v>6940908020</v>
      </c>
      <c r="L10082">
        <v>6940908020</v>
      </c>
      <c r="N10082" t="s">
        <v>615</v>
      </c>
      <c r="O10082" t="s">
        <v>616</v>
      </c>
      <c r="R10082" t="s">
        <v>57</v>
      </c>
      <c r="S10082">
        <v>7</v>
      </c>
      <c r="T10082">
        <v>774</v>
      </c>
      <c r="U10082" s="1">
        <v>39680</v>
      </c>
      <c r="V10082" t="s">
        <v>89</v>
      </c>
      <c r="W10082" t="s">
        <v>90</v>
      </c>
      <c r="X10082" t="s">
        <v>58</v>
      </c>
      <c r="Y10082">
        <v>23</v>
      </c>
      <c r="Z10082" t="s">
        <v>59</v>
      </c>
      <c r="AA10082" t="s">
        <v>59</v>
      </c>
      <c r="AB10082" t="s">
        <v>59</v>
      </c>
      <c r="AC10082" t="s">
        <v>59</v>
      </c>
      <c r="AD10082" t="s">
        <v>59</v>
      </c>
      <c r="AF10082" s="1">
        <v>39681</v>
      </c>
      <c r="AG10082" t="s">
        <v>8645</v>
      </c>
      <c r="AH10082" t="s">
        <v>8646</v>
      </c>
      <c r="AI10082" t="str">
        <f>"9500070"</f>
        <v>9500070</v>
      </c>
      <c r="AJ10082" t="s">
        <v>14221</v>
      </c>
      <c r="AK10082">
        <v>2821095817</v>
      </c>
      <c r="AL10082" t="s">
        <v>14222</v>
      </c>
      <c r="AM10082" t="s">
        <v>88</v>
      </c>
      <c r="AN10082" t="s">
        <v>88</v>
      </c>
      <c r="AO10082" t="s">
        <v>88</v>
      </c>
      <c r="AP10082" t="s">
        <v>88</v>
      </c>
      <c r="AQ10082">
        <v>1</v>
      </c>
      <c r="AR10082" t="s">
        <v>89</v>
      </c>
      <c r="AS10082" t="s">
        <v>90</v>
      </c>
      <c r="AT10082" t="s">
        <v>58</v>
      </c>
      <c r="AU10082" t="s">
        <v>68</v>
      </c>
      <c r="AV10082" t="s">
        <v>69</v>
      </c>
      <c r="AW10082" s="1">
        <v>30882</v>
      </c>
      <c r="AX10082">
        <v>1</v>
      </c>
    </row>
    <row r="10083" spans="1:50">
      <c r="A10083">
        <v>589936</v>
      </c>
      <c r="B10083" t="str">
        <f>"072674265"</f>
        <v>072674265</v>
      </c>
      <c r="C10083" t="s">
        <v>50</v>
      </c>
      <c r="D10083" t="s">
        <v>15046</v>
      </c>
      <c r="E10083" t="s">
        <v>52</v>
      </c>
      <c r="F10083" t="s">
        <v>718</v>
      </c>
      <c r="G10083" t="s">
        <v>340</v>
      </c>
      <c r="H10083" t="str">
        <f>"ΠΡΕΒΕΛΗΣ 2 ΧΑΝΙΑ"</f>
        <v>ΠΡΕΒΕΛΗΣ 2 ΧΑΝΙΑ</v>
      </c>
      <c r="I10083">
        <v>73133</v>
      </c>
      <c r="J10083">
        <v>2821028664</v>
      </c>
      <c r="K10083">
        <v>6944151335</v>
      </c>
      <c r="M10083" t="s">
        <v>15047</v>
      </c>
      <c r="N10083" t="s">
        <v>176</v>
      </c>
      <c r="O10083" t="s">
        <v>177</v>
      </c>
      <c r="R10083" t="s">
        <v>57</v>
      </c>
      <c r="S10083">
        <v>9</v>
      </c>
      <c r="T10083">
        <v>177</v>
      </c>
      <c r="U10083" s="1">
        <v>36403</v>
      </c>
      <c r="V10083" t="s">
        <v>89</v>
      </c>
      <c r="W10083" t="s">
        <v>90</v>
      </c>
      <c r="X10083" t="s">
        <v>58</v>
      </c>
      <c r="Y10083">
        <v>22</v>
      </c>
      <c r="Z10083" t="s">
        <v>59</v>
      </c>
      <c r="AA10083" t="s">
        <v>59</v>
      </c>
      <c r="AB10083" t="s">
        <v>59</v>
      </c>
      <c r="AC10083" t="s">
        <v>59</v>
      </c>
      <c r="AD10083" t="s">
        <v>59</v>
      </c>
      <c r="AF10083" s="1">
        <v>36404</v>
      </c>
      <c r="AG10083" t="s">
        <v>8645</v>
      </c>
      <c r="AH10083" t="s">
        <v>8646</v>
      </c>
      <c r="AI10083" t="str">
        <f>"9500137"</f>
        <v>9500137</v>
      </c>
      <c r="AJ10083" t="s">
        <v>14401</v>
      </c>
      <c r="AK10083">
        <v>2821093156</v>
      </c>
      <c r="AL10083" t="s">
        <v>14402</v>
      </c>
      <c r="AM10083" t="s">
        <v>88</v>
      </c>
      <c r="AN10083" t="s">
        <v>88</v>
      </c>
      <c r="AO10083" t="s">
        <v>88</v>
      </c>
      <c r="AP10083" t="s">
        <v>88</v>
      </c>
      <c r="AQ10083">
        <v>1</v>
      </c>
      <c r="AR10083" t="s">
        <v>89</v>
      </c>
      <c r="AS10083" t="s">
        <v>90</v>
      </c>
      <c r="AT10083" t="s">
        <v>58</v>
      </c>
      <c r="AU10083" t="s">
        <v>68</v>
      </c>
      <c r="AV10083" t="s">
        <v>69</v>
      </c>
      <c r="AW10083" s="1">
        <v>25552</v>
      </c>
      <c r="AX10083">
        <v>1</v>
      </c>
    </row>
    <row r="10084" spans="1:50">
      <c r="A10084">
        <v>619532</v>
      </c>
      <c r="B10084" t="str">
        <f>"101564261"</f>
        <v>101564261</v>
      </c>
      <c r="C10084" t="s">
        <v>50</v>
      </c>
      <c r="D10084" t="s">
        <v>7897</v>
      </c>
      <c r="E10084" t="s">
        <v>83</v>
      </c>
      <c r="F10084" t="s">
        <v>72</v>
      </c>
      <c r="G10084" t="s">
        <v>783</v>
      </c>
      <c r="H10084" t="str">
        <f>"ΔΗΜΗΤΡΑΚΑΚΗ 56 ΧΑΝΙΑ"</f>
        <v>ΔΗΜΗΤΡΑΚΑΚΗ 56 ΧΑΝΙΑ</v>
      </c>
      <c r="I10084">
        <v>73132</v>
      </c>
      <c r="J10084">
        <v>2821057756</v>
      </c>
      <c r="K10084">
        <v>6976841025</v>
      </c>
      <c r="M10084" t="s">
        <v>15048</v>
      </c>
      <c r="N10084" t="s">
        <v>1525</v>
      </c>
      <c r="O10084" t="s">
        <v>1526</v>
      </c>
      <c r="R10084" t="s">
        <v>57</v>
      </c>
      <c r="S10084">
        <v>4</v>
      </c>
      <c r="T10084">
        <v>774</v>
      </c>
      <c r="U10084" s="1">
        <v>39680</v>
      </c>
      <c r="V10084" t="s">
        <v>89</v>
      </c>
      <c r="W10084" t="s">
        <v>90</v>
      </c>
      <c r="X10084" t="s">
        <v>58</v>
      </c>
      <c r="Y10084">
        <v>25</v>
      </c>
      <c r="Z10084" t="s">
        <v>59</v>
      </c>
      <c r="AA10084" t="s">
        <v>59</v>
      </c>
      <c r="AB10084" t="s">
        <v>59</v>
      </c>
      <c r="AC10084" t="s">
        <v>59</v>
      </c>
      <c r="AD10084" t="s">
        <v>59</v>
      </c>
      <c r="AF10084" s="1">
        <v>39681</v>
      </c>
      <c r="AG10084" t="s">
        <v>8651</v>
      </c>
      <c r="AH10084" t="s">
        <v>8652</v>
      </c>
      <c r="AI10084" t="str">
        <f>"9500346"</f>
        <v>9500346</v>
      </c>
      <c r="AJ10084" t="s">
        <v>14342</v>
      </c>
      <c r="AK10084">
        <v>2821076501</v>
      </c>
      <c r="AL10084" t="s">
        <v>14343</v>
      </c>
      <c r="AM10084" t="s">
        <v>88</v>
      </c>
      <c r="AN10084" t="s">
        <v>88</v>
      </c>
      <c r="AO10084" t="s">
        <v>88</v>
      </c>
      <c r="AP10084" t="s">
        <v>88</v>
      </c>
      <c r="AQ10084">
        <v>1</v>
      </c>
      <c r="AR10084" t="s">
        <v>89</v>
      </c>
      <c r="AS10084" t="s">
        <v>90</v>
      </c>
      <c r="AT10084" t="s">
        <v>58</v>
      </c>
      <c r="AU10084" t="s">
        <v>68</v>
      </c>
      <c r="AV10084" t="s">
        <v>69</v>
      </c>
      <c r="AW10084" s="1">
        <v>26629</v>
      </c>
      <c r="AX10084">
        <v>1</v>
      </c>
    </row>
    <row r="10085" spans="1:50">
      <c r="A10085">
        <v>563599</v>
      </c>
      <c r="B10085" t="str">
        <f>"064636090"</f>
        <v>064636090</v>
      </c>
      <c r="C10085" t="s">
        <v>50</v>
      </c>
      <c r="D10085" t="s">
        <v>7897</v>
      </c>
      <c r="E10085" t="s">
        <v>52</v>
      </c>
      <c r="F10085" t="s">
        <v>99</v>
      </c>
      <c r="G10085" t="s">
        <v>104</v>
      </c>
      <c r="H10085" t="str">
        <f>"2η πάροδος Σούδας 22 Χανίων"</f>
        <v>2η πάροδος Σούδας 22 Χανίων</v>
      </c>
      <c r="I10085">
        <v>73100</v>
      </c>
      <c r="N10085" t="s">
        <v>1525</v>
      </c>
      <c r="O10085" t="s">
        <v>1526</v>
      </c>
      <c r="R10085" t="s">
        <v>57</v>
      </c>
      <c r="S10085">
        <v>14</v>
      </c>
      <c r="T10085">
        <v>194</v>
      </c>
      <c r="U10085" s="1">
        <v>32762</v>
      </c>
      <c r="V10085" t="s">
        <v>89</v>
      </c>
      <c r="W10085" t="s">
        <v>90</v>
      </c>
      <c r="X10085" t="s">
        <v>58</v>
      </c>
      <c r="Y10085">
        <v>25</v>
      </c>
      <c r="Z10085" t="s">
        <v>59</v>
      </c>
      <c r="AA10085" t="s">
        <v>59</v>
      </c>
      <c r="AB10085" t="s">
        <v>59</v>
      </c>
      <c r="AC10085" t="s">
        <v>59</v>
      </c>
      <c r="AD10085" t="s">
        <v>59</v>
      </c>
      <c r="AF10085" s="1">
        <v>32762</v>
      </c>
      <c r="AG10085" t="s">
        <v>8651</v>
      </c>
      <c r="AH10085" t="s">
        <v>8652</v>
      </c>
      <c r="AI10085" t="str">
        <f>"9500046"</f>
        <v>9500046</v>
      </c>
      <c r="AJ10085" t="s">
        <v>14855</v>
      </c>
      <c r="AK10085">
        <v>2821040434</v>
      </c>
      <c r="AL10085" t="s">
        <v>14856</v>
      </c>
      <c r="AM10085" t="s">
        <v>88</v>
      </c>
      <c r="AN10085" t="s">
        <v>88</v>
      </c>
      <c r="AO10085" t="s">
        <v>88</v>
      </c>
      <c r="AP10085" t="s">
        <v>88</v>
      </c>
      <c r="AQ10085">
        <v>1</v>
      </c>
      <c r="AR10085" t="s">
        <v>89</v>
      </c>
      <c r="AS10085" t="s">
        <v>90</v>
      </c>
      <c r="AT10085" t="s">
        <v>58</v>
      </c>
      <c r="AU10085" t="s">
        <v>68</v>
      </c>
      <c r="AV10085" t="s">
        <v>69</v>
      </c>
      <c r="AW10085" s="1">
        <v>21258</v>
      </c>
      <c r="AX10085">
        <v>1</v>
      </c>
    </row>
    <row r="10086" spans="1:50">
      <c r="B10086" t="str">
        <f>"136427010"</f>
        <v>136427010</v>
      </c>
      <c r="C10086" t="s">
        <v>50</v>
      </c>
      <c r="D10086" t="s">
        <v>7897</v>
      </c>
      <c r="E10086" t="s">
        <v>52</v>
      </c>
      <c r="F10086" t="s">
        <v>99</v>
      </c>
      <c r="G10086" t="s">
        <v>83</v>
      </c>
      <c r="H10086" t="str">
        <f>"ΕΛΕΥΘΕΡΙΑΣ 26-ΠΑΣΑΚΑΚΙ "</f>
        <v xml:space="preserve">ΕΛΕΥΘΕΡΙΑΣ 26-ΠΑΣΑΚΑΚΙ </v>
      </c>
      <c r="I10086">
        <v>73100</v>
      </c>
      <c r="J10086">
        <v>2821091574</v>
      </c>
      <c r="K10086">
        <v>6948606619</v>
      </c>
      <c r="N10086" t="s">
        <v>615</v>
      </c>
      <c r="O10086" t="s">
        <v>616</v>
      </c>
      <c r="R10086" t="s">
        <v>159</v>
      </c>
      <c r="S10086">
        <v>3</v>
      </c>
      <c r="T10086" t="s">
        <v>8675</v>
      </c>
      <c r="U10086" s="1">
        <v>43348</v>
      </c>
      <c r="V10086" t="s">
        <v>89</v>
      </c>
      <c r="W10086" t="s">
        <v>90</v>
      </c>
      <c r="X10086" t="s">
        <v>58</v>
      </c>
      <c r="Y10086">
        <v>24</v>
      </c>
      <c r="Z10086" t="s">
        <v>59</v>
      </c>
      <c r="AA10086" t="s">
        <v>59</v>
      </c>
      <c r="AB10086" t="s">
        <v>59</v>
      </c>
      <c r="AC10086" t="s">
        <v>59</v>
      </c>
      <c r="AD10086" t="s">
        <v>59</v>
      </c>
      <c r="AF10086" s="1">
        <v>43348</v>
      </c>
      <c r="AG10086" t="s">
        <v>8645</v>
      </c>
      <c r="AH10086" t="s">
        <v>8646</v>
      </c>
      <c r="AI10086" t="str">
        <f>"9500004"</f>
        <v>9500004</v>
      </c>
      <c r="AJ10086" t="s">
        <v>13897</v>
      </c>
      <c r="AK10086">
        <v>2825022272</v>
      </c>
      <c r="AL10086" t="s">
        <v>13898</v>
      </c>
      <c r="AM10086" t="s">
        <v>88</v>
      </c>
      <c r="AN10086" t="s">
        <v>6775</v>
      </c>
      <c r="AO10086" t="s">
        <v>6776</v>
      </c>
      <c r="AP10086" t="s">
        <v>6776</v>
      </c>
      <c r="AQ10086">
        <v>7</v>
      </c>
      <c r="AR10086" t="s">
        <v>89</v>
      </c>
      <c r="AS10086" t="s">
        <v>90</v>
      </c>
      <c r="AT10086" t="s">
        <v>58</v>
      </c>
      <c r="AU10086" t="s">
        <v>8673</v>
      </c>
      <c r="AV10086" t="s">
        <v>132</v>
      </c>
      <c r="AW10086" s="1">
        <v>31938</v>
      </c>
      <c r="AX10086">
        <v>1</v>
      </c>
    </row>
    <row r="10087" spans="1:50">
      <c r="A10087">
        <v>580111</v>
      </c>
      <c r="B10087" t="str">
        <f>"035864011"</f>
        <v>035864011</v>
      </c>
      <c r="C10087" t="s">
        <v>50</v>
      </c>
      <c r="D10087" t="s">
        <v>15049</v>
      </c>
      <c r="E10087" t="s">
        <v>52</v>
      </c>
      <c r="F10087" t="s">
        <v>670</v>
      </c>
      <c r="G10087" t="s">
        <v>620</v>
      </c>
      <c r="H10087" t="str">
        <f>"Κ.ΜΑΛΙΝΟΥ ΧΑΝΙΑ"</f>
        <v>Κ.ΜΑΛΙΝΟΥ ΧΑΝΙΑ</v>
      </c>
      <c r="I10087">
        <v>73134</v>
      </c>
      <c r="J10087">
        <v>2821055819</v>
      </c>
      <c r="K10087">
        <v>6916592801</v>
      </c>
      <c r="N10087" t="s">
        <v>306</v>
      </c>
      <c r="O10087" t="s">
        <v>307</v>
      </c>
      <c r="R10087" t="s">
        <v>57</v>
      </c>
      <c r="S10087">
        <v>11</v>
      </c>
      <c r="T10087">
        <v>166</v>
      </c>
      <c r="U10087" s="1">
        <v>35300</v>
      </c>
      <c r="V10087" t="s">
        <v>89</v>
      </c>
      <c r="W10087" t="s">
        <v>90</v>
      </c>
      <c r="X10087" t="s">
        <v>58</v>
      </c>
      <c r="Y10087">
        <v>21</v>
      </c>
      <c r="Z10087" t="s">
        <v>59</v>
      </c>
      <c r="AA10087" t="s">
        <v>59</v>
      </c>
      <c r="AB10087" t="s">
        <v>59</v>
      </c>
      <c r="AC10087" t="s">
        <v>59</v>
      </c>
      <c r="AD10087" t="s">
        <v>59</v>
      </c>
      <c r="AF10087" s="1">
        <v>35313</v>
      </c>
      <c r="AG10087" t="s">
        <v>8645</v>
      </c>
      <c r="AH10087" t="s">
        <v>8646</v>
      </c>
      <c r="AI10087" t="str">
        <f>"9500338"</f>
        <v>9500338</v>
      </c>
      <c r="AJ10087" t="s">
        <v>13959</v>
      </c>
      <c r="AK10087">
        <v>2821040556</v>
      </c>
      <c r="AL10087" t="s">
        <v>13960</v>
      </c>
      <c r="AM10087" t="s">
        <v>88</v>
      </c>
      <c r="AN10087" t="s">
        <v>88</v>
      </c>
      <c r="AO10087" t="s">
        <v>88</v>
      </c>
      <c r="AP10087" t="s">
        <v>88</v>
      </c>
      <c r="AQ10087">
        <v>1</v>
      </c>
      <c r="AR10087" t="s">
        <v>89</v>
      </c>
      <c r="AS10087" t="s">
        <v>90</v>
      </c>
      <c r="AT10087" t="s">
        <v>58</v>
      </c>
      <c r="AU10087" t="s">
        <v>68</v>
      </c>
      <c r="AV10087" t="s">
        <v>69</v>
      </c>
      <c r="AW10087" s="1">
        <v>23030</v>
      </c>
      <c r="AX10087">
        <v>1</v>
      </c>
    </row>
    <row r="10088" spans="1:50">
      <c r="A10088">
        <v>198881</v>
      </c>
      <c r="B10088" t="str">
        <f>"069355452"</f>
        <v>069355452</v>
      </c>
      <c r="C10088" t="s">
        <v>50</v>
      </c>
      <c r="D10088" t="s">
        <v>15050</v>
      </c>
      <c r="E10088" t="s">
        <v>934</v>
      </c>
      <c r="F10088" t="s">
        <v>309</v>
      </c>
      <c r="G10088" t="s">
        <v>52</v>
      </c>
      <c r="H10088" t="str">
        <f>"Σ. ΠΑΡΕΝ 3 ΧΑΝΙΑ"</f>
        <v>Σ. ΠΑΡΕΝ 3 ΧΑΝΙΑ</v>
      </c>
      <c r="I10088">
        <v>73100</v>
      </c>
      <c r="J10088">
        <v>2102016360</v>
      </c>
      <c r="K10088">
        <v>6946166720</v>
      </c>
      <c r="M10088" t="s">
        <v>15051</v>
      </c>
      <c r="N10088" t="s">
        <v>683</v>
      </c>
      <c r="O10088" t="s">
        <v>684</v>
      </c>
      <c r="R10088" t="s">
        <v>57</v>
      </c>
      <c r="S10088">
        <v>7</v>
      </c>
      <c r="T10088">
        <v>206</v>
      </c>
      <c r="U10088" s="1">
        <v>37866</v>
      </c>
      <c r="V10088" t="s">
        <v>89</v>
      </c>
      <c r="W10088" t="s">
        <v>90</v>
      </c>
      <c r="X10088" t="s">
        <v>58</v>
      </c>
      <c r="Y10088">
        <v>22</v>
      </c>
      <c r="Z10088" t="s">
        <v>59</v>
      </c>
      <c r="AA10088" t="s">
        <v>59</v>
      </c>
      <c r="AB10088" t="s">
        <v>59</v>
      </c>
      <c r="AC10088" t="s">
        <v>59</v>
      </c>
      <c r="AD10088" t="s">
        <v>59</v>
      </c>
      <c r="AF10088" s="1">
        <v>37868</v>
      </c>
      <c r="AG10088" t="s">
        <v>8645</v>
      </c>
      <c r="AH10088" t="s">
        <v>8646</v>
      </c>
      <c r="AI10088" t="str">
        <f>"9500315"</f>
        <v>9500315</v>
      </c>
      <c r="AJ10088" t="s">
        <v>14174</v>
      </c>
      <c r="AK10088">
        <v>2821040565</v>
      </c>
      <c r="AL10088" t="s">
        <v>14175</v>
      </c>
      <c r="AM10088" t="s">
        <v>88</v>
      </c>
      <c r="AN10088" t="s">
        <v>88</v>
      </c>
      <c r="AO10088" t="s">
        <v>88</v>
      </c>
      <c r="AP10088" t="s">
        <v>88</v>
      </c>
      <c r="AQ10088">
        <v>1</v>
      </c>
      <c r="AR10088" t="s">
        <v>89</v>
      </c>
      <c r="AS10088" t="s">
        <v>90</v>
      </c>
      <c r="AT10088" t="s">
        <v>58</v>
      </c>
      <c r="AU10088" t="s">
        <v>68</v>
      </c>
      <c r="AV10088" t="s">
        <v>69</v>
      </c>
      <c r="AW10088" s="1">
        <v>27706</v>
      </c>
      <c r="AX10088">
        <v>1</v>
      </c>
    </row>
    <row r="10089" spans="1:50">
      <c r="B10089" t="str">
        <f>"145560376"</f>
        <v>145560376</v>
      </c>
      <c r="C10089" t="s">
        <v>105</v>
      </c>
      <c r="D10089" t="s">
        <v>15052</v>
      </c>
      <c r="E10089" t="s">
        <v>1743</v>
      </c>
      <c r="F10089" t="s">
        <v>72</v>
      </c>
      <c r="G10089" t="s">
        <v>964</v>
      </c>
      <c r="H10089" t="str">
        <f>" "</f>
        <v xml:space="preserve"> </v>
      </c>
      <c r="N10089" t="s">
        <v>683</v>
      </c>
      <c r="O10089" t="s">
        <v>684</v>
      </c>
      <c r="R10089" t="s">
        <v>121</v>
      </c>
      <c r="S10089">
        <v>1</v>
      </c>
      <c r="T10089" t="s">
        <v>8675</v>
      </c>
      <c r="U10089" s="1">
        <v>43348</v>
      </c>
      <c r="V10089" t="s">
        <v>89</v>
      </c>
      <c r="W10089" t="s">
        <v>90</v>
      </c>
      <c r="X10089" t="s">
        <v>58</v>
      </c>
      <c r="Y10089">
        <v>24</v>
      </c>
      <c r="Z10089" t="s">
        <v>59</v>
      </c>
      <c r="AD10089" t="s">
        <v>59</v>
      </c>
      <c r="AF10089" s="1">
        <v>43348</v>
      </c>
      <c r="AG10089" t="s">
        <v>8645</v>
      </c>
      <c r="AH10089" t="s">
        <v>8646</v>
      </c>
      <c r="AI10089" t="str">
        <f>"9500360"</f>
        <v>9500360</v>
      </c>
      <c r="AJ10089" t="s">
        <v>14022</v>
      </c>
      <c r="AK10089">
        <v>2821031253</v>
      </c>
      <c r="AL10089" t="s">
        <v>14023</v>
      </c>
      <c r="AM10089" t="s">
        <v>88</v>
      </c>
      <c r="AN10089" t="s">
        <v>88</v>
      </c>
      <c r="AO10089" t="s">
        <v>6785</v>
      </c>
      <c r="AP10089" t="s">
        <v>13932</v>
      </c>
      <c r="AQ10089">
        <v>3</v>
      </c>
      <c r="AR10089" t="s">
        <v>89</v>
      </c>
      <c r="AS10089" t="s">
        <v>90</v>
      </c>
      <c r="AT10089" t="s">
        <v>58</v>
      </c>
      <c r="AU10089" t="s">
        <v>8673</v>
      </c>
      <c r="AV10089" t="s">
        <v>132</v>
      </c>
      <c r="AW10089" s="1">
        <v>31446</v>
      </c>
      <c r="AX10089">
        <v>1</v>
      </c>
    </row>
    <row r="10090" spans="1:50">
      <c r="A10090">
        <v>614662</v>
      </c>
      <c r="B10090" t="str">
        <f>"126535699"</f>
        <v>126535699</v>
      </c>
      <c r="C10090" t="s">
        <v>50</v>
      </c>
      <c r="D10090" t="s">
        <v>15053</v>
      </c>
      <c r="E10090" t="s">
        <v>314</v>
      </c>
      <c r="F10090" t="s">
        <v>920</v>
      </c>
      <c r="G10090" t="s">
        <v>255</v>
      </c>
      <c r="H10090" t="str">
        <f>"Μ.ΑΣΙΑΣ 1 ΒΑΜΒΑΚΟΠΟΥΛΟ ΧΑΝΙΑ"</f>
        <v>Μ.ΑΣΙΑΣ 1 ΒΑΜΒΑΚΟΠΟΥΛΟ ΧΑΝΙΑ</v>
      </c>
      <c r="I10090">
        <v>73100</v>
      </c>
      <c r="J10090">
        <v>2821031108</v>
      </c>
      <c r="K10090">
        <v>6973984357</v>
      </c>
      <c r="N10090" t="s">
        <v>615</v>
      </c>
      <c r="O10090" t="s">
        <v>616</v>
      </c>
      <c r="R10090" t="s">
        <v>57</v>
      </c>
      <c r="S10090">
        <v>5</v>
      </c>
      <c r="T10090">
        <v>598</v>
      </c>
      <c r="U10090" s="1">
        <v>39310</v>
      </c>
      <c r="V10090" t="s">
        <v>89</v>
      </c>
      <c r="W10090" t="s">
        <v>90</v>
      </c>
      <c r="X10090" t="s">
        <v>58</v>
      </c>
      <c r="Y10090">
        <v>23</v>
      </c>
      <c r="Z10090" t="s">
        <v>59</v>
      </c>
      <c r="AA10090" t="s">
        <v>59</v>
      </c>
      <c r="AB10090" t="s">
        <v>59</v>
      </c>
      <c r="AC10090" t="s">
        <v>59</v>
      </c>
      <c r="AD10090" t="s">
        <v>59</v>
      </c>
      <c r="AF10090" s="1">
        <v>39310</v>
      </c>
      <c r="AG10090" t="s">
        <v>8645</v>
      </c>
      <c r="AH10090" t="s">
        <v>8646</v>
      </c>
      <c r="AI10090" t="str">
        <f>"9500107"</f>
        <v>9500107</v>
      </c>
      <c r="AJ10090" t="s">
        <v>13918</v>
      </c>
      <c r="AK10090">
        <v>2821096244</v>
      </c>
      <c r="AL10090" t="s">
        <v>13919</v>
      </c>
      <c r="AM10090" t="s">
        <v>88</v>
      </c>
      <c r="AN10090" t="s">
        <v>88</v>
      </c>
      <c r="AO10090" t="s">
        <v>13920</v>
      </c>
      <c r="AP10090" t="s">
        <v>13921</v>
      </c>
      <c r="AQ10090">
        <v>3</v>
      </c>
      <c r="AR10090" t="s">
        <v>89</v>
      </c>
      <c r="AS10090" t="s">
        <v>90</v>
      </c>
      <c r="AT10090" t="s">
        <v>58</v>
      </c>
      <c r="AU10090" t="s">
        <v>68</v>
      </c>
      <c r="AV10090" t="s">
        <v>69</v>
      </c>
      <c r="AW10090" s="1">
        <v>30682</v>
      </c>
      <c r="AX10090">
        <v>1</v>
      </c>
    </row>
    <row r="10091" spans="1:50">
      <c r="A10091">
        <v>608971</v>
      </c>
      <c r="B10091" t="str">
        <f>"068542801"</f>
        <v>068542801</v>
      </c>
      <c r="C10091" t="s">
        <v>50</v>
      </c>
      <c r="D10091" t="s">
        <v>15054</v>
      </c>
      <c r="E10091" t="s">
        <v>372</v>
      </c>
      <c r="F10091" t="s">
        <v>95</v>
      </c>
      <c r="G10091" t="s">
        <v>143</v>
      </c>
      <c r="H10091" t="str">
        <f>"ΠΟΛΥΡΡΗΝΙΑΣ 19 ΧΑΝΙΑ"</f>
        <v>ΠΟΛΥΡΡΗΝΙΑΣ 19 ΧΑΝΙΑ</v>
      </c>
      <c r="I10091">
        <v>73100</v>
      </c>
      <c r="J10091">
        <v>2821089749</v>
      </c>
      <c r="K10091">
        <v>6942596597</v>
      </c>
      <c r="N10091" t="s">
        <v>1525</v>
      </c>
      <c r="O10091" t="s">
        <v>1526</v>
      </c>
      <c r="R10091" t="s">
        <v>57</v>
      </c>
      <c r="S10091">
        <v>6</v>
      </c>
      <c r="T10091">
        <v>217</v>
      </c>
      <c r="U10091" s="1">
        <v>38596</v>
      </c>
      <c r="V10091" t="s">
        <v>89</v>
      </c>
      <c r="W10091" t="s">
        <v>90</v>
      </c>
      <c r="X10091" t="s">
        <v>58</v>
      </c>
      <c r="Y10091">
        <v>25</v>
      </c>
      <c r="Z10091" t="s">
        <v>59</v>
      </c>
      <c r="AA10091" t="s">
        <v>59</v>
      </c>
      <c r="AB10091" t="s">
        <v>59</v>
      </c>
      <c r="AC10091" t="s">
        <v>59</v>
      </c>
      <c r="AD10091" t="s">
        <v>59</v>
      </c>
      <c r="AF10091" s="1">
        <v>38601</v>
      </c>
      <c r="AG10091" t="s">
        <v>8651</v>
      </c>
      <c r="AH10091" t="s">
        <v>8652</v>
      </c>
      <c r="AI10091" t="str">
        <f>"9500108"</f>
        <v>9500108</v>
      </c>
      <c r="AJ10091" t="s">
        <v>14258</v>
      </c>
      <c r="AK10091">
        <v>2821079280</v>
      </c>
      <c r="AL10091" t="s">
        <v>14259</v>
      </c>
      <c r="AM10091" t="s">
        <v>88</v>
      </c>
      <c r="AN10091" t="s">
        <v>88</v>
      </c>
      <c r="AO10091" t="s">
        <v>13920</v>
      </c>
      <c r="AP10091" t="s">
        <v>13921</v>
      </c>
      <c r="AQ10091">
        <v>3</v>
      </c>
      <c r="AR10091" t="s">
        <v>89</v>
      </c>
      <c r="AS10091" t="s">
        <v>90</v>
      </c>
      <c r="AT10091" t="s">
        <v>58</v>
      </c>
      <c r="AU10091" t="s">
        <v>68</v>
      </c>
      <c r="AV10091" t="s">
        <v>69</v>
      </c>
      <c r="AW10091" s="1">
        <v>29276</v>
      </c>
      <c r="AX10091">
        <v>1</v>
      </c>
    </row>
    <row r="10092" spans="1:50">
      <c r="A10092">
        <v>554509</v>
      </c>
      <c r="B10092" t="str">
        <f>"031742643"</f>
        <v>031742643</v>
      </c>
      <c r="C10092" t="s">
        <v>105</v>
      </c>
      <c r="D10092" t="s">
        <v>15055</v>
      </c>
      <c r="E10092" t="s">
        <v>782</v>
      </c>
      <c r="F10092" t="s">
        <v>166</v>
      </c>
      <c r="G10092" t="s">
        <v>83</v>
      </c>
      <c r="H10092" t="str">
        <f>"ΧΑΡ. ΠΟΛΟΓΙΩΡΓΗ 46 ΧΑΝΙΑ"</f>
        <v>ΧΑΡ. ΠΟΛΟΓΙΩΡΓΗ 46 ΧΑΝΙΑ</v>
      </c>
      <c r="I10092">
        <v>73134</v>
      </c>
      <c r="J10092">
        <v>2821044809</v>
      </c>
      <c r="K10092">
        <v>6977547739</v>
      </c>
      <c r="N10092" t="s">
        <v>615</v>
      </c>
      <c r="O10092" t="s">
        <v>616</v>
      </c>
      <c r="R10092" t="s">
        <v>57</v>
      </c>
      <c r="S10092">
        <v>16</v>
      </c>
      <c r="T10092">
        <v>200</v>
      </c>
      <c r="U10092" s="1">
        <v>31657</v>
      </c>
      <c r="V10092" t="s">
        <v>89</v>
      </c>
      <c r="W10092" t="s">
        <v>90</v>
      </c>
      <c r="X10092" t="s">
        <v>58</v>
      </c>
      <c r="Y10092">
        <v>21</v>
      </c>
      <c r="Z10092" t="s">
        <v>59</v>
      </c>
      <c r="AA10092" t="s">
        <v>59</v>
      </c>
      <c r="AB10092" t="s">
        <v>59</v>
      </c>
      <c r="AC10092" t="s">
        <v>59</v>
      </c>
      <c r="AD10092" t="s">
        <v>59</v>
      </c>
      <c r="AF10092" s="1">
        <v>31657</v>
      </c>
      <c r="AG10092" t="s">
        <v>8645</v>
      </c>
      <c r="AH10092" t="s">
        <v>8646</v>
      </c>
      <c r="AI10092" t="str">
        <f>"9500423"</f>
        <v>9500423</v>
      </c>
      <c r="AJ10092" t="s">
        <v>13893</v>
      </c>
      <c r="AK10092">
        <v>2821023473</v>
      </c>
      <c r="AL10092" t="s">
        <v>13894</v>
      </c>
      <c r="AM10092" t="s">
        <v>88</v>
      </c>
      <c r="AN10092" t="s">
        <v>88</v>
      </c>
      <c r="AO10092" t="s">
        <v>88</v>
      </c>
      <c r="AP10092" t="s">
        <v>88</v>
      </c>
      <c r="AQ10092">
        <v>1</v>
      </c>
      <c r="AR10092" t="s">
        <v>89</v>
      </c>
      <c r="AS10092" t="s">
        <v>90</v>
      </c>
      <c r="AT10092" t="s">
        <v>58</v>
      </c>
      <c r="AU10092" t="s">
        <v>68</v>
      </c>
      <c r="AV10092" t="s">
        <v>69</v>
      </c>
      <c r="AW10092" s="1">
        <v>22650</v>
      </c>
      <c r="AX10092">
        <v>1</v>
      </c>
    </row>
    <row r="10093" spans="1:50">
      <c r="B10093" t="str">
        <f>"153012323"</f>
        <v>153012323</v>
      </c>
      <c r="C10093" t="s">
        <v>50</v>
      </c>
      <c r="D10093" t="s">
        <v>7909</v>
      </c>
      <c r="E10093" t="s">
        <v>14547</v>
      </c>
      <c r="F10093" t="s">
        <v>72</v>
      </c>
      <c r="G10093" t="s">
        <v>52</v>
      </c>
      <c r="H10093" t="str">
        <f>"ΑΓΙΟΥ ΝΕΚΤΑΡΙΟΥ 30 "</f>
        <v xml:space="preserve">ΑΓΙΟΥ ΝΕΚΤΑΡΙΟΥ 30 </v>
      </c>
      <c r="I10093">
        <v>73300</v>
      </c>
      <c r="J10093">
        <v>2821302866</v>
      </c>
      <c r="K10093">
        <v>6976195589</v>
      </c>
      <c r="N10093" t="s">
        <v>615</v>
      </c>
      <c r="O10093" t="s">
        <v>616</v>
      </c>
      <c r="R10093" t="s">
        <v>159</v>
      </c>
      <c r="S10093">
        <v>3</v>
      </c>
      <c r="T10093" t="s">
        <v>8675</v>
      </c>
      <c r="U10093" s="1">
        <v>43348</v>
      </c>
      <c r="V10093" t="s">
        <v>89</v>
      </c>
      <c r="W10093" t="s">
        <v>90</v>
      </c>
      <c r="X10093" t="s">
        <v>58</v>
      </c>
      <c r="Y10093">
        <v>25</v>
      </c>
      <c r="Z10093" t="s">
        <v>59</v>
      </c>
      <c r="AA10093" t="s">
        <v>59</v>
      </c>
      <c r="AB10093" t="s">
        <v>59</v>
      </c>
      <c r="AC10093" t="s">
        <v>59</v>
      </c>
      <c r="AD10093" t="s">
        <v>59</v>
      </c>
      <c r="AF10093" s="1">
        <v>43348</v>
      </c>
      <c r="AG10093" t="s">
        <v>8645</v>
      </c>
      <c r="AH10093" t="s">
        <v>8646</v>
      </c>
      <c r="AI10093" t="str">
        <f>"9500355"</f>
        <v>9500355</v>
      </c>
      <c r="AJ10093" t="s">
        <v>14695</v>
      </c>
      <c r="AK10093">
        <v>2825095295</v>
      </c>
      <c r="AL10093" t="s">
        <v>14696</v>
      </c>
      <c r="AM10093" t="s">
        <v>88</v>
      </c>
      <c r="AN10093" t="s">
        <v>6995</v>
      </c>
      <c r="AO10093" t="s">
        <v>6995</v>
      </c>
      <c r="AP10093" t="s">
        <v>14444</v>
      </c>
      <c r="AQ10093">
        <v>10</v>
      </c>
      <c r="AR10093" t="s">
        <v>89</v>
      </c>
      <c r="AS10093" t="s">
        <v>90</v>
      </c>
      <c r="AT10093" t="s">
        <v>58</v>
      </c>
      <c r="AU10093" t="s">
        <v>8673</v>
      </c>
      <c r="AV10093" t="s">
        <v>132</v>
      </c>
      <c r="AW10093" s="1">
        <v>32509</v>
      </c>
      <c r="AX10093">
        <v>1</v>
      </c>
    </row>
    <row r="10094" spans="1:50">
      <c r="A10094">
        <v>584721</v>
      </c>
      <c r="B10094" t="str">
        <f>"072280762"</f>
        <v>072280762</v>
      </c>
      <c r="C10094" t="s">
        <v>105</v>
      </c>
      <c r="D10094" t="s">
        <v>7911</v>
      </c>
      <c r="E10094" t="s">
        <v>53</v>
      </c>
      <c r="F10094" t="s">
        <v>166</v>
      </c>
      <c r="G10094" t="s">
        <v>659</v>
      </c>
      <c r="H10094" t="str">
        <f>"K.KAΛΑΪΤΖΗ   69 ΔΑΡΑΤΣΟ ΧΑΝΙΑ"</f>
        <v>K.KAΛΑΪΤΖΗ   69 ΔΑΡΑΤΣΟ ΧΑΝΙΑ</v>
      </c>
      <c r="J10094">
        <v>2824031381</v>
      </c>
      <c r="K10094">
        <v>6975875392</v>
      </c>
      <c r="N10094" t="s">
        <v>615</v>
      </c>
      <c r="O10094" t="s">
        <v>616</v>
      </c>
      <c r="R10094" t="s">
        <v>57</v>
      </c>
      <c r="S10094">
        <v>11</v>
      </c>
      <c r="T10094">
        <v>165</v>
      </c>
      <c r="U10094" s="1">
        <v>36040</v>
      </c>
      <c r="V10094" t="s">
        <v>89</v>
      </c>
      <c r="W10094" t="s">
        <v>90</v>
      </c>
      <c r="X10094" t="s">
        <v>58</v>
      </c>
      <c r="Y10094">
        <v>21</v>
      </c>
      <c r="Z10094" t="s">
        <v>59</v>
      </c>
      <c r="AA10094" t="s">
        <v>59</v>
      </c>
      <c r="AB10094" t="s">
        <v>59</v>
      </c>
      <c r="AC10094" t="s">
        <v>59</v>
      </c>
      <c r="AD10094" t="s">
        <v>59</v>
      </c>
      <c r="AF10094" s="1">
        <v>36045</v>
      </c>
      <c r="AG10094" t="s">
        <v>8645</v>
      </c>
      <c r="AH10094" t="s">
        <v>8646</v>
      </c>
      <c r="AI10094" t="str">
        <f>"9500218"</f>
        <v>9500218</v>
      </c>
      <c r="AJ10094" t="s">
        <v>13992</v>
      </c>
      <c r="AK10094">
        <v>2824022216</v>
      </c>
      <c r="AL10094" t="s">
        <v>13993</v>
      </c>
      <c r="AM10094" t="s">
        <v>88</v>
      </c>
      <c r="AN10094" t="s">
        <v>6764</v>
      </c>
      <c r="AO10094" t="s">
        <v>6799</v>
      </c>
      <c r="AP10094" t="s">
        <v>6799</v>
      </c>
      <c r="AQ10094">
        <v>6</v>
      </c>
      <c r="AR10094" t="s">
        <v>89</v>
      </c>
      <c r="AS10094" t="s">
        <v>90</v>
      </c>
      <c r="AT10094" t="s">
        <v>58</v>
      </c>
      <c r="AU10094" t="s">
        <v>68</v>
      </c>
      <c r="AV10094" t="s">
        <v>69</v>
      </c>
      <c r="AW10094" s="1">
        <v>24659</v>
      </c>
      <c r="AX10094">
        <v>1</v>
      </c>
    </row>
    <row r="10095" spans="1:50">
      <c r="A10095">
        <v>591761</v>
      </c>
      <c r="B10095" t="str">
        <f>"074320225"</f>
        <v>074320225</v>
      </c>
      <c r="C10095" t="s">
        <v>50</v>
      </c>
      <c r="D10095" t="s">
        <v>15056</v>
      </c>
      <c r="E10095" t="s">
        <v>83</v>
      </c>
      <c r="F10095" t="s">
        <v>95</v>
      </c>
      <c r="G10095" t="s">
        <v>109</v>
      </c>
      <c r="H10095" t="str">
        <f>"ΑΛΕΞ. ΠΑΝΑΓΟΥΛΗ 2Β ΧΑΝΙΑ"</f>
        <v>ΑΛΕΞ. ΠΑΝΑΓΟΥΛΗ 2Β ΧΑΝΙΑ</v>
      </c>
      <c r="I10095">
        <v>73134</v>
      </c>
      <c r="J10095">
        <v>2821404003</v>
      </c>
      <c r="K10095">
        <v>6980380117</v>
      </c>
      <c r="N10095" t="s">
        <v>1525</v>
      </c>
      <c r="O10095" t="s">
        <v>1526</v>
      </c>
      <c r="R10095" t="s">
        <v>57</v>
      </c>
      <c r="S10095">
        <v>10</v>
      </c>
      <c r="T10095">
        <v>249</v>
      </c>
      <c r="U10095" s="1">
        <v>36769</v>
      </c>
      <c r="V10095" t="s">
        <v>89</v>
      </c>
      <c r="W10095" t="s">
        <v>90</v>
      </c>
      <c r="X10095" t="s">
        <v>58</v>
      </c>
      <c r="Y10095">
        <v>25</v>
      </c>
      <c r="Z10095" t="s">
        <v>59</v>
      </c>
      <c r="AA10095" t="s">
        <v>59</v>
      </c>
      <c r="AB10095" t="s">
        <v>59</v>
      </c>
      <c r="AC10095" t="s">
        <v>59</v>
      </c>
      <c r="AD10095" t="s">
        <v>59</v>
      </c>
      <c r="AF10095" s="1">
        <v>36774</v>
      </c>
      <c r="AG10095" t="s">
        <v>8651</v>
      </c>
      <c r="AH10095" t="s">
        <v>8652</v>
      </c>
      <c r="AI10095" t="str">
        <f>"9500074"</f>
        <v>9500074</v>
      </c>
      <c r="AJ10095" t="s">
        <v>14620</v>
      </c>
      <c r="AK10095">
        <v>2821027355</v>
      </c>
      <c r="AL10095" t="s">
        <v>14621</v>
      </c>
      <c r="AM10095" t="s">
        <v>88</v>
      </c>
      <c r="AN10095" t="s">
        <v>88</v>
      </c>
      <c r="AO10095" t="s">
        <v>88</v>
      </c>
      <c r="AP10095" t="s">
        <v>88</v>
      </c>
      <c r="AQ10095">
        <v>1</v>
      </c>
      <c r="AR10095" t="s">
        <v>89</v>
      </c>
      <c r="AS10095" t="s">
        <v>90</v>
      </c>
      <c r="AT10095" t="s">
        <v>58</v>
      </c>
      <c r="AU10095" t="s">
        <v>68</v>
      </c>
      <c r="AV10095" t="s">
        <v>69</v>
      </c>
      <c r="AW10095" s="1">
        <v>23650</v>
      </c>
      <c r="AX10095">
        <v>1</v>
      </c>
    </row>
    <row r="10096" spans="1:50">
      <c r="A10096">
        <v>602208</v>
      </c>
      <c r="B10096" t="str">
        <f>"124703735"</f>
        <v>124703735</v>
      </c>
      <c r="C10096" t="s">
        <v>50</v>
      </c>
      <c r="D10096" t="s">
        <v>15057</v>
      </c>
      <c r="E10096" t="s">
        <v>809</v>
      </c>
      <c r="F10096" t="s">
        <v>53</v>
      </c>
      <c r="G10096" t="s">
        <v>238</v>
      </c>
      <c r="H10096" t="str">
        <f>"ΠΑΛΑΙΟΧΩΡΑ ΧΑΝΙΑ"</f>
        <v>ΠΑΛΑΙΟΧΩΡΑ ΧΑΝΙΑ</v>
      </c>
      <c r="I10096">
        <v>73001</v>
      </c>
      <c r="J10096">
        <v>2823042501</v>
      </c>
      <c r="K10096">
        <v>6974818964</v>
      </c>
      <c r="N10096" t="s">
        <v>615</v>
      </c>
      <c r="O10096" t="s">
        <v>616</v>
      </c>
      <c r="R10096" t="s">
        <v>57</v>
      </c>
      <c r="S10096">
        <v>7</v>
      </c>
      <c r="T10096">
        <v>207</v>
      </c>
      <c r="U10096" s="1">
        <v>37866</v>
      </c>
      <c r="V10096" t="s">
        <v>89</v>
      </c>
      <c r="W10096" t="s">
        <v>90</v>
      </c>
      <c r="X10096" t="s">
        <v>58</v>
      </c>
      <c r="Y10096">
        <v>22</v>
      </c>
      <c r="Z10096" t="s">
        <v>59</v>
      </c>
      <c r="AA10096" t="s">
        <v>59</v>
      </c>
      <c r="AB10096" t="s">
        <v>59</v>
      </c>
      <c r="AC10096" t="s">
        <v>59</v>
      </c>
      <c r="AD10096" t="s">
        <v>59</v>
      </c>
      <c r="AF10096" s="1">
        <v>37866</v>
      </c>
      <c r="AG10096" t="s">
        <v>8645</v>
      </c>
      <c r="AH10096" t="s">
        <v>8646</v>
      </c>
      <c r="AI10096" t="str">
        <f>"9500175"</f>
        <v>9500175</v>
      </c>
      <c r="AJ10096" t="s">
        <v>14538</v>
      </c>
      <c r="AK10096">
        <v>2823041233</v>
      </c>
      <c r="AL10096" t="s">
        <v>14539</v>
      </c>
      <c r="AM10096" t="s">
        <v>88</v>
      </c>
      <c r="AN10096" t="s">
        <v>6824</v>
      </c>
      <c r="AO10096" t="s">
        <v>6870</v>
      </c>
      <c r="AP10096" t="s">
        <v>6871</v>
      </c>
      <c r="AQ10096">
        <v>11</v>
      </c>
      <c r="AR10096" t="s">
        <v>89</v>
      </c>
      <c r="AS10096" t="s">
        <v>90</v>
      </c>
      <c r="AT10096" t="s">
        <v>58</v>
      </c>
      <c r="AU10096" t="s">
        <v>68</v>
      </c>
      <c r="AV10096" t="s">
        <v>69</v>
      </c>
      <c r="AW10096" s="1">
        <v>28241</v>
      </c>
      <c r="AX10096">
        <v>1</v>
      </c>
    </row>
    <row r="10097" spans="1:50">
      <c r="A10097">
        <v>594128</v>
      </c>
      <c r="B10097" t="str">
        <f>"120138843"</f>
        <v>120138843</v>
      </c>
      <c r="C10097" t="s">
        <v>105</v>
      </c>
      <c r="D10097" t="s">
        <v>15058</v>
      </c>
      <c r="E10097" t="s">
        <v>995</v>
      </c>
      <c r="F10097" t="s">
        <v>95</v>
      </c>
      <c r="G10097" t="s">
        <v>1068</v>
      </c>
      <c r="H10097" t="str">
        <f>"ΣΤΡΑΤΗ ΜΥΡΙΒΗΛΗ 5 ΚΑΒΑΛΑ"</f>
        <v>ΣΤΡΑΤΗ ΜΥΡΙΒΗΛΗ 5 ΚΑΒΑΛΑ</v>
      </c>
      <c r="K10097">
        <v>6934279905</v>
      </c>
      <c r="N10097" t="s">
        <v>615</v>
      </c>
      <c r="O10097" t="s">
        <v>616</v>
      </c>
      <c r="R10097" t="s">
        <v>57</v>
      </c>
      <c r="S10097">
        <v>8</v>
      </c>
      <c r="T10097">
        <v>218</v>
      </c>
      <c r="U10097" s="1">
        <v>37134</v>
      </c>
      <c r="V10097" t="s">
        <v>89</v>
      </c>
      <c r="W10097" t="s">
        <v>90</v>
      </c>
      <c r="X10097" t="s">
        <v>58</v>
      </c>
      <c r="Y10097">
        <v>22</v>
      </c>
      <c r="Z10097" t="s">
        <v>59</v>
      </c>
      <c r="AA10097" t="s">
        <v>59</v>
      </c>
      <c r="AB10097" t="s">
        <v>452</v>
      </c>
      <c r="AC10097" t="s">
        <v>59</v>
      </c>
      <c r="AD10097" t="s">
        <v>59</v>
      </c>
      <c r="AF10097" s="1">
        <v>37141</v>
      </c>
      <c r="AG10097" t="s">
        <v>8645</v>
      </c>
      <c r="AH10097" t="s">
        <v>8646</v>
      </c>
      <c r="AI10097" t="str">
        <f>"9500338"</f>
        <v>9500338</v>
      </c>
      <c r="AJ10097" t="s">
        <v>13959</v>
      </c>
      <c r="AK10097">
        <v>2821040556</v>
      </c>
      <c r="AL10097" t="s">
        <v>13960</v>
      </c>
      <c r="AM10097" t="s">
        <v>88</v>
      </c>
      <c r="AN10097" t="s">
        <v>88</v>
      </c>
      <c r="AO10097" t="s">
        <v>88</v>
      </c>
      <c r="AP10097" t="s">
        <v>88</v>
      </c>
      <c r="AQ10097">
        <v>1</v>
      </c>
      <c r="AR10097" t="s">
        <v>89</v>
      </c>
      <c r="AS10097" t="s">
        <v>90</v>
      </c>
      <c r="AT10097" t="s">
        <v>58</v>
      </c>
      <c r="AU10097" t="s">
        <v>68</v>
      </c>
      <c r="AV10097" t="s">
        <v>69</v>
      </c>
      <c r="AW10097" s="1">
        <v>25225</v>
      </c>
      <c r="AX10097">
        <v>1</v>
      </c>
    </row>
    <row r="10098" spans="1:50">
      <c r="A10098">
        <v>604605</v>
      </c>
      <c r="B10098" t="str">
        <f>"112387429"</f>
        <v>112387429</v>
      </c>
      <c r="C10098" t="s">
        <v>50</v>
      </c>
      <c r="D10098" t="s">
        <v>15059</v>
      </c>
      <c r="E10098" t="s">
        <v>52</v>
      </c>
      <c r="F10098" t="s">
        <v>5386</v>
      </c>
      <c r="G10098" t="s">
        <v>155</v>
      </c>
      <c r="H10098" t="str">
        <f>"ΠΑΖΙΝΟΣ  ΑΚΡΩΤΗΡΙΟΥ ΧΑΝΙΑ"</f>
        <v>ΠΑΖΙΝΟΣ  ΑΚΡΩΤΗΡΙΟΥ ΧΑΝΙΑ</v>
      </c>
      <c r="J10098">
        <v>2821066317</v>
      </c>
      <c r="K10098">
        <v>6976129429</v>
      </c>
      <c r="N10098" t="s">
        <v>615</v>
      </c>
      <c r="O10098" t="s">
        <v>616</v>
      </c>
      <c r="R10098" t="s">
        <v>57</v>
      </c>
      <c r="S10098">
        <v>8</v>
      </c>
      <c r="T10098">
        <v>231</v>
      </c>
      <c r="U10098" s="1">
        <v>38230</v>
      </c>
      <c r="V10098" t="s">
        <v>89</v>
      </c>
      <c r="W10098" t="s">
        <v>90</v>
      </c>
      <c r="X10098" t="s">
        <v>58</v>
      </c>
      <c r="Y10098">
        <v>23</v>
      </c>
      <c r="Z10098" t="s">
        <v>59</v>
      </c>
      <c r="AA10098" t="s">
        <v>59</v>
      </c>
      <c r="AB10098" t="s">
        <v>59</v>
      </c>
      <c r="AC10098" t="s">
        <v>59</v>
      </c>
      <c r="AD10098" t="s">
        <v>59</v>
      </c>
      <c r="AF10098" s="1">
        <v>38230</v>
      </c>
      <c r="AG10098" t="s">
        <v>8645</v>
      </c>
      <c r="AH10098" t="s">
        <v>8646</v>
      </c>
      <c r="AI10098" t="str">
        <f>"9500071"</f>
        <v>9500071</v>
      </c>
      <c r="AJ10098" t="s">
        <v>14209</v>
      </c>
      <c r="AK10098">
        <v>2821093760</v>
      </c>
      <c r="AL10098" t="s">
        <v>14210</v>
      </c>
      <c r="AM10098" t="s">
        <v>88</v>
      </c>
      <c r="AN10098" t="s">
        <v>88</v>
      </c>
      <c r="AO10098" t="s">
        <v>88</v>
      </c>
      <c r="AP10098" t="s">
        <v>88</v>
      </c>
      <c r="AQ10098">
        <v>1</v>
      </c>
      <c r="AR10098" t="s">
        <v>89</v>
      </c>
      <c r="AS10098" t="s">
        <v>90</v>
      </c>
      <c r="AT10098" t="s">
        <v>58</v>
      </c>
      <c r="AU10098" t="s">
        <v>68</v>
      </c>
      <c r="AV10098" t="s">
        <v>69</v>
      </c>
      <c r="AW10098" s="1">
        <v>29073</v>
      </c>
      <c r="AX10098">
        <v>1</v>
      </c>
    </row>
    <row r="10099" spans="1:50">
      <c r="A10099">
        <v>622666</v>
      </c>
      <c r="B10099" t="str">
        <f>"144024674"</f>
        <v>144024674</v>
      </c>
      <c r="C10099" t="s">
        <v>50</v>
      </c>
      <c r="D10099" t="s">
        <v>15059</v>
      </c>
      <c r="E10099" t="s">
        <v>181</v>
      </c>
      <c r="F10099" t="s">
        <v>92</v>
      </c>
      <c r="G10099" t="s">
        <v>15060</v>
      </c>
      <c r="H10099" t="str">
        <f>"Λ.ΚΟΝΤΖΑΛΗ 6 ΧΑΝΙΑ"</f>
        <v>Λ.ΚΟΝΤΖΑΛΗ 6 ΧΑΝΙΑ</v>
      </c>
      <c r="I10099">
        <v>73200</v>
      </c>
      <c r="J10099">
        <v>2821089915</v>
      </c>
      <c r="K10099">
        <v>6976510862</v>
      </c>
      <c r="N10099" t="s">
        <v>1525</v>
      </c>
      <c r="O10099" t="s">
        <v>1526</v>
      </c>
      <c r="R10099" t="s">
        <v>57</v>
      </c>
      <c r="S10099">
        <v>4</v>
      </c>
      <c r="T10099">
        <v>653</v>
      </c>
      <c r="U10099" s="1">
        <v>40043</v>
      </c>
      <c r="V10099" t="s">
        <v>89</v>
      </c>
      <c r="W10099" t="s">
        <v>90</v>
      </c>
      <c r="X10099" t="s">
        <v>58</v>
      </c>
      <c r="Y10099">
        <v>25</v>
      </c>
      <c r="Z10099" t="s">
        <v>59</v>
      </c>
      <c r="AA10099" t="s">
        <v>59</v>
      </c>
      <c r="AB10099" t="s">
        <v>59</v>
      </c>
      <c r="AC10099" t="s">
        <v>59</v>
      </c>
      <c r="AD10099" t="s">
        <v>59</v>
      </c>
      <c r="AF10099" s="1">
        <v>40043</v>
      </c>
      <c r="AG10099" t="s">
        <v>8651</v>
      </c>
      <c r="AH10099" t="s">
        <v>8652</v>
      </c>
      <c r="AI10099" t="str">
        <f>"9500270"</f>
        <v>9500270</v>
      </c>
      <c r="AJ10099" t="s">
        <v>14003</v>
      </c>
      <c r="AK10099">
        <v>2825031104</v>
      </c>
      <c r="AL10099" t="s">
        <v>14004</v>
      </c>
      <c r="AM10099" t="s">
        <v>88</v>
      </c>
      <c r="AN10099" t="s">
        <v>6775</v>
      </c>
      <c r="AO10099" t="s">
        <v>11883</v>
      </c>
      <c r="AP10099" t="s">
        <v>13875</v>
      </c>
      <c r="AQ10099">
        <v>7</v>
      </c>
      <c r="AR10099" t="s">
        <v>89</v>
      </c>
      <c r="AS10099" t="s">
        <v>90</v>
      </c>
      <c r="AT10099" t="s">
        <v>58</v>
      </c>
      <c r="AU10099" t="s">
        <v>68</v>
      </c>
      <c r="AV10099" t="s">
        <v>69</v>
      </c>
      <c r="AW10099" s="1">
        <v>30976</v>
      </c>
      <c r="AX10099">
        <v>1</v>
      </c>
    </row>
    <row r="10100" spans="1:50">
      <c r="A10100">
        <v>617632</v>
      </c>
      <c r="B10100" t="str">
        <f>"118617054"</f>
        <v>118617054</v>
      </c>
      <c r="C10100" t="s">
        <v>50</v>
      </c>
      <c r="D10100" t="s">
        <v>15061</v>
      </c>
      <c r="E10100" t="s">
        <v>155</v>
      </c>
      <c r="F10100" t="s">
        <v>53</v>
      </c>
      <c r="G10100" t="s">
        <v>1068</v>
      </c>
      <c r="H10100" t="str">
        <f>"ΑΓ. ΚΩΝΣΤΑΝΤΙΝΟΥ  19 ΧΑΝΙΑ"</f>
        <v>ΑΓ. ΚΩΝΣΤΑΝΤΙΝΟΥ  19 ΧΑΝΙΑ</v>
      </c>
      <c r="I10100">
        <v>73100</v>
      </c>
      <c r="J10100">
        <v>2102289921</v>
      </c>
      <c r="K10100">
        <v>6944715917</v>
      </c>
      <c r="N10100" t="s">
        <v>615</v>
      </c>
      <c r="O10100" t="s">
        <v>616</v>
      </c>
      <c r="R10100" t="s">
        <v>57</v>
      </c>
      <c r="S10100">
        <v>5</v>
      </c>
      <c r="T10100">
        <v>774</v>
      </c>
      <c r="U10100" s="1">
        <v>39680</v>
      </c>
      <c r="V10100" t="s">
        <v>89</v>
      </c>
      <c r="W10100" t="s">
        <v>90</v>
      </c>
      <c r="X10100" t="s">
        <v>58</v>
      </c>
      <c r="Y10100">
        <v>23</v>
      </c>
      <c r="Z10100" t="s">
        <v>59</v>
      </c>
      <c r="AA10100" t="s">
        <v>59</v>
      </c>
      <c r="AB10100" t="s">
        <v>59</v>
      </c>
      <c r="AC10100" t="s">
        <v>59</v>
      </c>
      <c r="AD10100" t="s">
        <v>59</v>
      </c>
      <c r="AF10100" s="1">
        <v>39680</v>
      </c>
      <c r="AG10100" t="s">
        <v>8645</v>
      </c>
      <c r="AH10100" t="s">
        <v>8646</v>
      </c>
      <c r="AI10100" t="str">
        <f>"9500017"</f>
        <v>9500017</v>
      </c>
      <c r="AJ10100" t="s">
        <v>13873</v>
      </c>
      <c r="AK10100">
        <v>2825083173</v>
      </c>
      <c r="AL10100" t="s">
        <v>13874</v>
      </c>
      <c r="AM10100" t="s">
        <v>88</v>
      </c>
      <c r="AN10100" t="s">
        <v>6775</v>
      </c>
      <c r="AO10100" t="s">
        <v>11883</v>
      </c>
      <c r="AP10100" t="s">
        <v>13875</v>
      </c>
      <c r="AQ10100">
        <v>7</v>
      </c>
      <c r="AR10100" t="s">
        <v>89</v>
      </c>
      <c r="AS10100" t="s">
        <v>90</v>
      </c>
      <c r="AT10100" t="s">
        <v>58</v>
      </c>
      <c r="AU10100" t="s">
        <v>68</v>
      </c>
      <c r="AV10100" t="s">
        <v>69</v>
      </c>
      <c r="AW10100" s="1">
        <v>30144</v>
      </c>
      <c r="AX10100">
        <v>1</v>
      </c>
    </row>
    <row r="10101" spans="1:50">
      <c r="A10101">
        <v>619517</v>
      </c>
      <c r="B10101" t="str">
        <f>"122953009"</f>
        <v>122953009</v>
      </c>
      <c r="C10101" t="s">
        <v>50</v>
      </c>
      <c r="D10101" t="s">
        <v>10826</v>
      </c>
      <c r="E10101" t="s">
        <v>143</v>
      </c>
      <c r="F10101" t="s">
        <v>99</v>
      </c>
      <c r="G10101" t="s">
        <v>15062</v>
      </c>
      <c r="H10101" t="str">
        <f>"ΓΑΛΑΤΑΣ Ν.ΚΥΔΩΝΙΑΣ ΧΑΝΙΑ"</f>
        <v>ΓΑΛΑΤΑΣ Ν.ΚΥΔΩΝΙΑΣ ΧΑΝΙΑ</v>
      </c>
      <c r="I10101">
        <v>73100</v>
      </c>
      <c r="J10101">
        <v>2821033311</v>
      </c>
      <c r="K10101">
        <v>6946559336</v>
      </c>
      <c r="N10101" t="s">
        <v>1525</v>
      </c>
      <c r="O10101" t="s">
        <v>1526</v>
      </c>
      <c r="R10101" t="s">
        <v>57</v>
      </c>
      <c r="S10101">
        <v>5</v>
      </c>
      <c r="T10101">
        <v>774</v>
      </c>
      <c r="U10101" s="1">
        <v>39680</v>
      </c>
      <c r="V10101" t="s">
        <v>89</v>
      </c>
      <c r="W10101" t="s">
        <v>90</v>
      </c>
      <c r="X10101" t="s">
        <v>58</v>
      </c>
      <c r="Y10101">
        <v>25</v>
      </c>
      <c r="Z10101" t="s">
        <v>59</v>
      </c>
      <c r="AA10101" t="s">
        <v>59</v>
      </c>
      <c r="AB10101" t="s">
        <v>59</v>
      </c>
      <c r="AC10101" t="s">
        <v>59</v>
      </c>
      <c r="AD10101" t="s">
        <v>59</v>
      </c>
      <c r="AF10101" s="1">
        <v>39681</v>
      </c>
      <c r="AG10101" t="s">
        <v>8651</v>
      </c>
      <c r="AH10101" t="s">
        <v>8652</v>
      </c>
      <c r="AI10101" t="str">
        <f>"9500269"</f>
        <v>9500269</v>
      </c>
      <c r="AJ10101" t="s">
        <v>13877</v>
      </c>
      <c r="AK10101">
        <v>2821077364</v>
      </c>
      <c r="AL10101" t="s">
        <v>13878</v>
      </c>
      <c r="AM10101" t="s">
        <v>88</v>
      </c>
      <c r="AN10101" t="s">
        <v>6764</v>
      </c>
      <c r="AO10101" t="s">
        <v>6885</v>
      </c>
      <c r="AP10101" t="s">
        <v>13879</v>
      </c>
      <c r="AQ10101">
        <v>4</v>
      </c>
      <c r="AR10101" t="s">
        <v>89</v>
      </c>
      <c r="AS10101" t="s">
        <v>90</v>
      </c>
      <c r="AT10101" t="s">
        <v>58</v>
      </c>
      <c r="AU10101" t="s">
        <v>68</v>
      </c>
      <c r="AV10101" t="s">
        <v>69</v>
      </c>
      <c r="AW10101" s="1">
        <v>29325</v>
      </c>
      <c r="AX10101">
        <v>1</v>
      </c>
    </row>
    <row r="10102" spans="1:50">
      <c r="A10102">
        <v>616920</v>
      </c>
      <c r="B10102" t="str">
        <f>"050849199"</f>
        <v>050849199</v>
      </c>
      <c r="C10102" t="s">
        <v>105</v>
      </c>
      <c r="D10102" t="s">
        <v>12410</v>
      </c>
      <c r="E10102" t="s">
        <v>279</v>
      </c>
      <c r="F10102" t="s">
        <v>309</v>
      </c>
      <c r="G10102" t="s">
        <v>52</v>
      </c>
      <c r="H10102" t="str">
        <f>"ΚΙΣΣΑΜΟΣ ΚΙΣΣΑΜΟΣ"</f>
        <v>ΚΙΣΣΑΜΟΣ ΚΙΣΣΑΜΟΣ</v>
      </c>
      <c r="I10102">
        <v>73400</v>
      </c>
      <c r="J10102">
        <v>2822022293</v>
      </c>
      <c r="K10102">
        <v>6974332500</v>
      </c>
      <c r="N10102" t="s">
        <v>615</v>
      </c>
      <c r="O10102" t="s">
        <v>616</v>
      </c>
      <c r="R10102" t="s">
        <v>57</v>
      </c>
      <c r="S10102">
        <v>6</v>
      </c>
      <c r="T10102">
        <v>774</v>
      </c>
      <c r="U10102" s="1">
        <v>39680</v>
      </c>
      <c r="V10102" t="s">
        <v>89</v>
      </c>
      <c r="W10102" t="s">
        <v>90</v>
      </c>
      <c r="X10102" t="s">
        <v>58</v>
      </c>
      <c r="Y10102">
        <v>23</v>
      </c>
      <c r="Z10102" t="s">
        <v>59</v>
      </c>
      <c r="AA10102" t="s">
        <v>59</v>
      </c>
      <c r="AB10102" t="s">
        <v>59</v>
      </c>
      <c r="AC10102" t="s">
        <v>59</v>
      </c>
      <c r="AD10102" t="s">
        <v>59</v>
      </c>
      <c r="AF10102" s="1">
        <v>39681</v>
      </c>
      <c r="AG10102" t="s">
        <v>8645</v>
      </c>
      <c r="AH10102" t="s">
        <v>8646</v>
      </c>
      <c r="AI10102" t="str">
        <f>"9500225"</f>
        <v>9500225</v>
      </c>
      <c r="AJ10102" t="s">
        <v>14058</v>
      </c>
      <c r="AK10102">
        <v>2822041233</v>
      </c>
      <c r="AL10102" t="s">
        <v>14059</v>
      </c>
      <c r="AM10102" t="s">
        <v>88</v>
      </c>
      <c r="AN10102" t="s">
        <v>6744</v>
      </c>
      <c r="AO10102" t="s">
        <v>6744</v>
      </c>
      <c r="AP10102" t="s">
        <v>13045</v>
      </c>
      <c r="AQ10102">
        <v>9</v>
      </c>
      <c r="AR10102" t="s">
        <v>89</v>
      </c>
      <c r="AS10102" t="s">
        <v>90</v>
      </c>
      <c r="AT10102" t="s">
        <v>58</v>
      </c>
      <c r="AU10102" t="s">
        <v>68</v>
      </c>
      <c r="AV10102" t="s">
        <v>69</v>
      </c>
      <c r="AW10102" s="1">
        <v>24725</v>
      </c>
      <c r="AX10102">
        <v>1</v>
      </c>
    </row>
    <row r="10103" spans="1:50">
      <c r="A10103">
        <v>608358</v>
      </c>
      <c r="B10103" t="str">
        <f>"072308498"</f>
        <v>072308498</v>
      </c>
      <c r="C10103" t="s">
        <v>50</v>
      </c>
      <c r="D10103" t="s">
        <v>15063</v>
      </c>
      <c r="E10103" t="s">
        <v>513</v>
      </c>
      <c r="F10103" t="s">
        <v>95</v>
      </c>
      <c r="G10103" t="s">
        <v>1189</v>
      </c>
      <c r="H10103" t="str">
        <f>"ΑΚΡΩΤΗΡΙΟΥ 18 ΧΑΝΙΑ"</f>
        <v>ΑΚΡΩΤΗΡΙΟΥ 18 ΧΑΝΙΑ</v>
      </c>
      <c r="I10103">
        <v>73133</v>
      </c>
      <c r="J10103">
        <v>2821041781</v>
      </c>
      <c r="K10103">
        <v>6976400409</v>
      </c>
      <c r="N10103" t="s">
        <v>1525</v>
      </c>
      <c r="O10103" t="s">
        <v>1526</v>
      </c>
      <c r="R10103" t="s">
        <v>57</v>
      </c>
      <c r="S10103">
        <v>8</v>
      </c>
      <c r="T10103">
        <v>217</v>
      </c>
      <c r="U10103" s="1">
        <v>38596</v>
      </c>
      <c r="V10103" t="s">
        <v>89</v>
      </c>
      <c r="W10103" t="s">
        <v>90</v>
      </c>
      <c r="X10103" t="s">
        <v>58</v>
      </c>
      <c r="Y10103">
        <v>25</v>
      </c>
      <c r="Z10103" t="s">
        <v>59</v>
      </c>
      <c r="AA10103" t="s">
        <v>59</v>
      </c>
      <c r="AB10103" t="s">
        <v>59</v>
      </c>
      <c r="AC10103" t="s">
        <v>59</v>
      </c>
      <c r="AD10103" t="s">
        <v>59</v>
      </c>
      <c r="AF10103" s="1">
        <v>38600</v>
      </c>
      <c r="AG10103" t="s">
        <v>8651</v>
      </c>
      <c r="AH10103" t="s">
        <v>8652</v>
      </c>
      <c r="AI10103" t="str">
        <f>"9500345"</f>
        <v>9500345</v>
      </c>
      <c r="AJ10103" t="s">
        <v>14593</v>
      </c>
      <c r="AK10103">
        <v>2821054443</v>
      </c>
      <c r="AL10103" t="s">
        <v>14594</v>
      </c>
      <c r="AM10103" t="s">
        <v>88</v>
      </c>
      <c r="AN10103" t="s">
        <v>88</v>
      </c>
      <c r="AO10103" t="s">
        <v>88</v>
      </c>
      <c r="AP10103" t="s">
        <v>88</v>
      </c>
      <c r="AQ10103">
        <v>1</v>
      </c>
      <c r="AR10103" t="s">
        <v>89</v>
      </c>
      <c r="AS10103" t="s">
        <v>90</v>
      </c>
      <c r="AT10103" t="s">
        <v>58</v>
      </c>
      <c r="AU10103" t="s">
        <v>68</v>
      </c>
      <c r="AV10103" t="s">
        <v>69</v>
      </c>
      <c r="AW10103" s="1">
        <v>25297</v>
      </c>
      <c r="AX10103">
        <v>1</v>
      </c>
    </row>
    <row r="10104" spans="1:50">
      <c r="B10104" t="str">
        <f>"152520682"</f>
        <v>152520682</v>
      </c>
      <c r="C10104" t="s">
        <v>50</v>
      </c>
      <c r="D10104" t="s">
        <v>7925</v>
      </c>
      <c r="E10104" t="s">
        <v>237</v>
      </c>
      <c r="F10104" t="s">
        <v>309</v>
      </c>
      <c r="G10104" t="s">
        <v>1588</v>
      </c>
      <c r="H10104" t="str">
        <f>" "</f>
        <v xml:space="preserve"> </v>
      </c>
      <c r="N10104" t="s">
        <v>8694</v>
      </c>
      <c r="O10104" t="s">
        <v>8695</v>
      </c>
      <c r="R10104" t="s">
        <v>121</v>
      </c>
      <c r="S10104">
        <v>1</v>
      </c>
      <c r="T10104" t="s">
        <v>8835</v>
      </c>
      <c r="U10104" s="1">
        <v>43348</v>
      </c>
      <c r="V10104" t="s">
        <v>89</v>
      </c>
      <c r="W10104" t="s">
        <v>90</v>
      </c>
      <c r="X10104" t="s">
        <v>58</v>
      </c>
      <c r="Y10104">
        <v>24</v>
      </c>
      <c r="Z10104" t="s">
        <v>59</v>
      </c>
      <c r="AA10104" t="s">
        <v>59</v>
      </c>
      <c r="AB10104" t="s">
        <v>59</v>
      </c>
      <c r="AD10104" t="s">
        <v>59</v>
      </c>
      <c r="AF10104" s="1">
        <v>43348</v>
      </c>
      <c r="AG10104" t="s">
        <v>8645</v>
      </c>
      <c r="AH10104" t="s">
        <v>8646</v>
      </c>
      <c r="AI10104" t="str">
        <f>"9500259"</f>
        <v>9500259</v>
      </c>
      <c r="AJ10104" t="s">
        <v>14017</v>
      </c>
      <c r="AK10104">
        <v>2823041459</v>
      </c>
      <c r="AL10104" t="s">
        <v>14018</v>
      </c>
      <c r="AM10104" t="s">
        <v>88</v>
      </c>
      <c r="AN10104" t="s">
        <v>6824</v>
      </c>
      <c r="AO10104" t="s">
        <v>6870</v>
      </c>
      <c r="AP10104" t="s">
        <v>14019</v>
      </c>
      <c r="AQ10104">
        <v>11</v>
      </c>
      <c r="AR10104" t="s">
        <v>89</v>
      </c>
      <c r="AS10104" t="s">
        <v>90</v>
      </c>
      <c r="AT10104" t="s">
        <v>58</v>
      </c>
      <c r="AU10104" t="s">
        <v>131</v>
      </c>
      <c r="AV10104" t="s">
        <v>132</v>
      </c>
      <c r="AW10104" s="1">
        <v>34687</v>
      </c>
      <c r="AX10104">
        <v>1</v>
      </c>
    </row>
    <row r="10105" spans="1:50">
      <c r="A10105">
        <v>554309</v>
      </c>
      <c r="B10105" t="str">
        <f>"100616135"</f>
        <v>100616135</v>
      </c>
      <c r="C10105" t="s">
        <v>50</v>
      </c>
      <c r="D10105" t="s">
        <v>15064</v>
      </c>
      <c r="E10105" t="s">
        <v>52</v>
      </c>
      <c r="F10105" t="s">
        <v>564</v>
      </c>
      <c r="G10105" t="s">
        <v>3802</v>
      </c>
      <c r="H10105" t="str">
        <f>"ΔΑΡΑΤΣΟ Ν. ΚΥΔΩΝΙΑ"</f>
        <v>ΔΑΡΑΤΣΟ Ν. ΚΥΔΩΝΙΑ</v>
      </c>
      <c r="I10105">
        <v>73100</v>
      </c>
      <c r="J10105">
        <v>2821032303</v>
      </c>
      <c r="K10105">
        <v>6939544622</v>
      </c>
      <c r="N10105" t="s">
        <v>1525</v>
      </c>
      <c r="O10105" t="s">
        <v>1526</v>
      </c>
      <c r="R10105" t="s">
        <v>57</v>
      </c>
      <c r="S10105">
        <v>16</v>
      </c>
      <c r="T10105">
        <v>235</v>
      </c>
      <c r="U10105" s="1">
        <v>31289</v>
      </c>
      <c r="V10105" t="s">
        <v>89</v>
      </c>
      <c r="W10105" t="s">
        <v>90</v>
      </c>
      <c r="X10105" t="s">
        <v>58</v>
      </c>
      <c r="Y10105">
        <v>25</v>
      </c>
      <c r="Z10105" t="s">
        <v>59</v>
      </c>
      <c r="AA10105" t="s">
        <v>59</v>
      </c>
      <c r="AB10105" t="s">
        <v>59</v>
      </c>
      <c r="AC10105" t="s">
        <v>59</v>
      </c>
      <c r="AD10105" t="s">
        <v>59</v>
      </c>
      <c r="AF10105" s="1">
        <v>31289</v>
      </c>
      <c r="AG10105" t="s">
        <v>8651</v>
      </c>
      <c r="AH10105" t="s">
        <v>8652</v>
      </c>
      <c r="AI10105" t="str">
        <f>"9500367"</f>
        <v>9500367</v>
      </c>
      <c r="AJ10105" t="s">
        <v>14138</v>
      </c>
      <c r="AK10105">
        <v>2821031251</v>
      </c>
      <c r="AL10105" t="s">
        <v>14139</v>
      </c>
      <c r="AM10105" t="s">
        <v>88</v>
      </c>
      <c r="AN10105" t="s">
        <v>88</v>
      </c>
      <c r="AO10105" t="s">
        <v>6785</v>
      </c>
      <c r="AP10105" t="s">
        <v>6786</v>
      </c>
      <c r="AQ10105">
        <v>3</v>
      </c>
      <c r="AR10105" t="s">
        <v>89</v>
      </c>
      <c r="AS10105" t="s">
        <v>90</v>
      </c>
      <c r="AT10105" t="s">
        <v>58</v>
      </c>
      <c r="AU10105" t="s">
        <v>68</v>
      </c>
      <c r="AV10105" t="s">
        <v>69</v>
      </c>
      <c r="AW10105" s="1">
        <v>22876</v>
      </c>
      <c r="AX10105">
        <v>1</v>
      </c>
    </row>
    <row r="10106" spans="1:50">
      <c r="A10106">
        <v>568843</v>
      </c>
      <c r="B10106" t="str">
        <f>"038136824"</f>
        <v>038136824</v>
      </c>
      <c r="C10106" t="s">
        <v>50</v>
      </c>
      <c r="D10106" t="s">
        <v>15065</v>
      </c>
      <c r="E10106" t="s">
        <v>335</v>
      </c>
      <c r="F10106" t="s">
        <v>474</v>
      </c>
      <c r="G10106" t="s">
        <v>2370</v>
      </c>
      <c r="H10106" t="str">
        <f>"ΜΟΝΑΧΟΥ ΗΣΑΙΑ   ΚΟΡΑΚΙΕΣ  ΧΑΝΙΩΝ"</f>
        <v>ΜΟΝΑΧΟΥ ΗΣΑΙΑ   ΚΟΡΑΚΙΕΣ  ΧΑΝΙΩΝ</v>
      </c>
      <c r="J10106">
        <v>2821043285</v>
      </c>
      <c r="K10106">
        <v>6948694939</v>
      </c>
      <c r="N10106" t="s">
        <v>615</v>
      </c>
      <c r="O10106" t="s">
        <v>616</v>
      </c>
      <c r="R10106" t="s">
        <v>57</v>
      </c>
      <c r="S10106">
        <v>14</v>
      </c>
      <c r="T10106">
        <v>162</v>
      </c>
      <c r="U10106" s="1">
        <v>33844</v>
      </c>
      <c r="V10106" t="s">
        <v>89</v>
      </c>
      <c r="W10106" t="s">
        <v>90</v>
      </c>
      <c r="X10106" t="s">
        <v>58</v>
      </c>
      <c r="Y10106">
        <v>21</v>
      </c>
      <c r="Z10106" t="s">
        <v>59</v>
      </c>
      <c r="AA10106" t="s">
        <v>59</v>
      </c>
      <c r="AB10106" t="s">
        <v>59</v>
      </c>
      <c r="AC10106" t="s">
        <v>59</v>
      </c>
      <c r="AD10106" t="s">
        <v>59</v>
      </c>
      <c r="AF10106" s="1">
        <v>33844</v>
      </c>
      <c r="AG10106" t="s">
        <v>8645</v>
      </c>
      <c r="AH10106" t="s">
        <v>8646</v>
      </c>
      <c r="AI10106" t="str">
        <f>"9500315"</f>
        <v>9500315</v>
      </c>
      <c r="AJ10106" t="s">
        <v>14174</v>
      </c>
      <c r="AK10106">
        <v>2821040565</v>
      </c>
      <c r="AL10106" t="s">
        <v>14175</v>
      </c>
      <c r="AM10106" t="s">
        <v>88</v>
      </c>
      <c r="AN10106" t="s">
        <v>88</v>
      </c>
      <c r="AO10106" t="s">
        <v>88</v>
      </c>
      <c r="AP10106" t="s">
        <v>88</v>
      </c>
      <c r="AQ10106">
        <v>1</v>
      </c>
      <c r="AR10106" t="s">
        <v>89</v>
      </c>
      <c r="AS10106" t="s">
        <v>90</v>
      </c>
      <c r="AT10106" t="s">
        <v>58</v>
      </c>
      <c r="AU10106" t="s">
        <v>68</v>
      </c>
      <c r="AV10106" t="s">
        <v>69</v>
      </c>
      <c r="AW10106" s="1">
        <v>24200</v>
      </c>
      <c r="AX10106">
        <v>1</v>
      </c>
    </row>
    <row r="10107" spans="1:50">
      <c r="A10107">
        <v>618326</v>
      </c>
      <c r="B10107" t="str">
        <f>"137474197"</f>
        <v>137474197</v>
      </c>
      <c r="C10107" t="s">
        <v>50</v>
      </c>
      <c r="D10107" t="s">
        <v>15066</v>
      </c>
      <c r="E10107" t="s">
        <v>15067</v>
      </c>
      <c r="F10107" t="s">
        <v>166</v>
      </c>
      <c r="G10107" t="s">
        <v>610</v>
      </c>
      <c r="H10107" t="str">
        <f>"ΑΓ. ΠΑΝΤΕΛΕΗΜΟΝΑ 22 ΧΑΝΙΑ ( ΚΟΚΚΙΝΟ ΜΕΤΟΧΙ)"</f>
        <v>ΑΓ. ΠΑΝΤΕΛΕΗΜΟΝΑ 22 ΧΑΝΙΑ ( ΚΟΚΚΙΝΟ ΜΕΤΟΧΙ)</v>
      </c>
      <c r="I10107">
        <v>73100</v>
      </c>
      <c r="J10107">
        <v>2821075674</v>
      </c>
      <c r="K10107">
        <v>6972013494</v>
      </c>
      <c r="L10107">
        <v>2821075674</v>
      </c>
      <c r="M10107" t="s">
        <v>15068</v>
      </c>
      <c r="N10107" t="s">
        <v>615</v>
      </c>
      <c r="O10107" t="s">
        <v>616</v>
      </c>
      <c r="R10107" t="s">
        <v>57</v>
      </c>
      <c r="S10107">
        <v>5</v>
      </c>
      <c r="T10107">
        <v>774</v>
      </c>
      <c r="U10107" s="1">
        <v>39680</v>
      </c>
      <c r="V10107" t="s">
        <v>89</v>
      </c>
      <c r="W10107" t="s">
        <v>90</v>
      </c>
      <c r="X10107" t="s">
        <v>58</v>
      </c>
      <c r="Y10107">
        <v>23</v>
      </c>
      <c r="Z10107" t="s">
        <v>59</v>
      </c>
      <c r="AA10107" t="s">
        <v>59</v>
      </c>
      <c r="AB10107" t="s">
        <v>59</v>
      </c>
      <c r="AC10107" t="s">
        <v>59</v>
      </c>
      <c r="AD10107" t="s">
        <v>59</v>
      </c>
      <c r="AF10107" s="1">
        <v>39680</v>
      </c>
      <c r="AG10107" t="s">
        <v>8645</v>
      </c>
      <c r="AH10107" t="s">
        <v>8646</v>
      </c>
      <c r="AI10107" t="str">
        <f>"9500075"</f>
        <v>9500075</v>
      </c>
      <c r="AJ10107" t="s">
        <v>13955</v>
      </c>
      <c r="AK10107">
        <v>2821046505</v>
      </c>
      <c r="AL10107" t="s">
        <v>13956</v>
      </c>
      <c r="AM10107" t="s">
        <v>88</v>
      </c>
      <c r="AN10107" t="s">
        <v>88</v>
      </c>
      <c r="AO10107" t="s">
        <v>88</v>
      </c>
      <c r="AP10107" t="s">
        <v>88</v>
      </c>
      <c r="AQ10107">
        <v>1</v>
      </c>
      <c r="AR10107" t="s">
        <v>89</v>
      </c>
      <c r="AS10107" t="s">
        <v>90</v>
      </c>
      <c r="AT10107" t="s">
        <v>58</v>
      </c>
      <c r="AU10107" t="s">
        <v>68</v>
      </c>
      <c r="AV10107" t="s">
        <v>69</v>
      </c>
      <c r="AW10107" s="1">
        <v>30611</v>
      </c>
      <c r="AX10107">
        <v>1</v>
      </c>
    </row>
    <row r="10108" spans="1:50">
      <c r="A10108">
        <v>604365</v>
      </c>
      <c r="B10108" t="str">
        <f>"066732047"</f>
        <v>066732047</v>
      </c>
      <c r="C10108" t="s">
        <v>50</v>
      </c>
      <c r="D10108" t="s">
        <v>2898</v>
      </c>
      <c r="E10108" t="s">
        <v>484</v>
      </c>
      <c r="F10108" t="s">
        <v>15069</v>
      </c>
      <c r="G10108" t="s">
        <v>52</v>
      </c>
      <c r="H10108" t="str">
        <f>"ΧΡΥΣΟΣΚΑΛΙΤΙΣΣΑΣ  11 ΧΑΝΙΑ"</f>
        <v>ΧΡΥΣΟΣΚΑΛΙΤΙΣΣΑΣ  11 ΧΑΝΙΑ</v>
      </c>
      <c r="I10108">
        <v>73133</v>
      </c>
      <c r="J10108">
        <v>2821023466</v>
      </c>
      <c r="K10108">
        <v>6983165974</v>
      </c>
      <c r="N10108" t="s">
        <v>615</v>
      </c>
      <c r="O10108" t="s">
        <v>616</v>
      </c>
      <c r="R10108" t="s">
        <v>57</v>
      </c>
      <c r="S10108">
        <v>8</v>
      </c>
      <c r="T10108">
        <v>231</v>
      </c>
      <c r="U10108" s="1">
        <v>38230</v>
      </c>
      <c r="V10108" t="s">
        <v>89</v>
      </c>
      <c r="W10108" t="s">
        <v>90</v>
      </c>
      <c r="X10108" t="s">
        <v>58</v>
      </c>
      <c r="Y10108">
        <v>22</v>
      </c>
      <c r="Z10108" t="s">
        <v>59</v>
      </c>
      <c r="AA10108" t="s">
        <v>59</v>
      </c>
      <c r="AB10108" t="s">
        <v>59</v>
      </c>
      <c r="AC10108" t="s">
        <v>59</v>
      </c>
      <c r="AD10108" t="s">
        <v>59</v>
      </c>
      <c r="AF10108" s="1">
        <v>38230</v>
      </c>
      <c r="AG10108" t="s">
        <v>8645</v>
      </c>
      <c r="AH10108" t="s">
        <v>8646</v>
      </c>
      <c r="AI10108" t="str">
        <f>"9500045"</f>
        <v>9500045</v>
      </c>
      <c r="AJ10108" t="s">
        <v>13887</v>
      </c>
      <c r="AK10108">
        <v>2821044369</v>
      </c>
      <c r="AL10108" t="s">
        <v>13888</v>
      </c>
      <c r="AM10108" t="s">
        <v>88</v>
      </c>
      <c r="AN10108" t="s">
        <v>88</v>
      </c>
      <c r="AO10108" t="s">
        <v>88</v>
      </c>
      <c r="AP10108" t="s">
        <v>88</v>
      </c>
      <c r="AQ10108">
        <v>1</v>
      </c>
      <c r="AR10108" t="s">
        <v>89</v>
      </c>
      <c r="AS10108" t="s">
        <v>90</v>
      </c>
      <c r="AT10108" t="s">
        <v>58</v>
      </c>
      <c r="AU10108" t="s">
        <v>68</v>
      </c>
      <c r="AV10108" t="s">
        <v>69</v>
      </c>
      <c r="AW10108" s="1">
        <v>26301</v>
      </c>
      <c r="AX10108">
        <v>1</v>
      </c>
    </row>
    <row r="10109" spans="1:50">
      <c r="A10109">
        <v>607237</v>
      </c>
      <c r="B10109" t="str">
        <f>"062367571"</f>
        <v>062367571</v>
      </c>
      <c r="C10109" t="s">
        <v>50</v>
      </c>
      <c r="D10109" t="s">
        <v>15070</v>
      </c>
      <c r="E10109" t="s">
        <v>112</v>
      </c>
      <c r="F10109" t="s">
        <v>92</v>
      </c>
      <c r="G10109" t="s">
        <v>964</v>
      </c>
      <c r="H10109" t="str">
        <f>"ΣΤ.ΣΚΑΡΑΚΗ  22 ΧΑΝΙΑ"</f>
        <v>ΣΤ.ΣΚΑΡΑΚΗ  22 ΧΑΝΙΑ</v>
      </c>
      <c r="I10109">
        <v>73006</v>
      </c>
      <c r="J10109">
        <v>2821072570</v>
      </c>
      <c r="K10109">
        <v>6984696192</v>
      </c>
      <c r="N10109" t="s">
        <v>615</v>
      </c>
      <c r="O10109" t="s">
        <v>616</v>
      </c>
      <c r="R10109" t="s">
        <v>57</v>
      </c>
      <c r="S10109">
        <v>7</v>
      </c>
      <c r="T10109">
        <v>217</v>
      </c>
      <c r="U10109" s="1">
        <v>38596</v>
      </c>
      <c r="V10109" t="s">
        <v>89</v>
      </c>
      <c r="W10109" t="s">
        <v>90</v>
      </c>
      <c r="X10109" t="s">
        <v>58</v>
      </c>
      <c r="Y10109">
        <v>22</v>
      </c>
      <c r="Z10109" t="s">
        <v>59</v>
      </c>
      <c r="AA10109" t="s">
        <v>59</v>
      </c>
      <c r="AB10109" t="s">
        <v>59</v>
      </c>
      <c r="AC10109" t="s">
        <v>59</v>
      </c>
      <c r="AD10109" t="s">
        <v>59</v>
      </c>
      <c r="AF10109" s="1">
        <v>38596</v>
      </c>
      <c r="AG10109" t="s">
        <v>8645</v>
      </c>
      <c r="AH10109" t="s">
        <v>8646</v>
      </c>
      <c r="AI10109" t="str">
        <f>"9500358"</f>
        <v>9500358</v>
      </c>
      <c r="AJ10109" t="s">
        <v>13948</v>
      </c>
      <c r="AK10109">
        <v>2821093459</v>
      </c>
      <c r="AL10109" t="s">
        <v>13949</v>
      </c>
      <c r="AM10109" t="s">
        <v>88</v>
      </c>
      <c r="AN10109" t="s">
        <v>88</v>
      </c>
      <c r="AO10109" t="s">
        <v>6733</v>
      </c>
      <c r="AP10109" t="s">
        <v>6755</v>
      </c>
      <c r="AQ10109">
        <v>2</v>
      </c>
      <c r="AR10109" t="s">
        <v>89</v>
      </c>
      <c r="AS10109" t="s">
        <v>90</v>
      </c>
      <c r="AT10109" t="s">
        <v>58</v>
      </c>
      <c r="AU10109" t="s">
        <v>68</v>
      </c>
      <c r="AV10109" t="s">
        <v>69</v>
      </c>
      <c r="AW10109" s="1">
        <v>29198</v>
      </c>
      <c r="AX10109">
        <v>1</v>
      </c>
    </row>
    <row r="10110" spans="1:50">
      <c r="A10110">
        <v>579536</v>
      </c>
      <c r="B10110" t="str">
        <f>"036928186"</f>
        <v>036928186</v>
      </c>
      <c r="C10110" t="s">
        <v>50</v>
      </c>
      <c r="D10110" t="s">
        <v>10847</v>
      </c>
      <c r="E10110" t="s">
        <v>83</v>
      </c>
      <c r="F10110" t="s">
        <v>53</v>
      </c>
      <c r="G10110" t="s">
        <v>411</v>
      </c>
      <c r="H10110" t="str">
        <f>"ΤΙΜΙΟΥ ΠΡΟΔΡΟΜΟΥ ΚΟΡΑΚΙΕΣ"</f>
        <v>ΤΙΜΙΟΥ ΠΡΟΔΡΟΜΟΥ ΚΟΡΑΚΙΕΣ</v>
      </c>
      <c r="I10110">
        <v>73100</v>
      </c>
      <c r="J10110">
        <v>2821042354</v>
      </c>
      <c r="K10110">
        <v>6972309600</v>
      </c>
      <c r="N10110" t="s">
        <v>615</v>
      </c>
      <c r="O10110" t="s">
        <v>616</v>
      </c>
      <c r="R10110" t="s">
        <v>57</v>
      </c>
      <c r="S10110">
        <v>13</v>
      </c>
      <c r="T10110">
        <v>165</v>
      </c>
      <c r="U10110" s="1">
        <v>35300</v>
      </c>
      <c r="V10110" t="s">
        <v>89</v>
      </c>
      <c r="W10110" t="s">
        <v>90</v>
      </c>
      <c r="X10110" t="s">
        <v>58</v>
      </c>
      <c r="Y10110">
        <v>21</v>
      </c>
      <c r="Z10110" t="s">
        <v>59</v>
      </c>
      <c r="AA10110" t="s">
        <v>59</v>
      </c>
      <c r="AB10110" t="s">
        <v>59</v>
      </c>
      <c r="AC10110" t="s">
        <v>59</v>
      </c>
      <c r="AD10110" t="s">
        <v>59</v>
      </c>
      <c r="AF10110" s="1">
        <v>35313</v>
      </c>
      <c r="AG10110" t="s">
        <v>8645</v>
      </c>
      <c r="AH10110" t="s">
        <v>8646</v>
      </c>
      <c r="AI10110" t="str">
        <f>"9500078"</f>
        <v>9500078</v>
      </c>
      <c r="AJ10110" t="s">
        <v>13988</v>
      </c>
      <c r="AK10110">
        <v>2821028788</v>
      </c>
      <c r="AL10110" t="s">
        <v>13989</v>
      </c>
      <c r="AM10110" t="s">
        <v>88</v>
      </c>
      <c r="AN10110" t="s">
        <v>88</v>
      </c>
      <c r="AO10110" t="s">
        <v>88</v>
      </c>
      <c r="AP10110" t="s">
        <v>88</v>
      </c>
      <c r="AQ10110">
        <v>1</v>
      </c>
      <c r="AR10110" t="s">
        <v>89</v>
      </c>
      <c r="AS10110" t="s">
        <v>90</v>
      </c>
      <c r="AT10110" t="s">
        <v>58</v>
      </c>
      <c r="AU10110" t="s">
        <v>68</v>
      </c>
      <c r="AV10110" t="s">
        <v>2039</v>
      </c>
      <c r="AW10110" s="1">
        <v>24804</v>
      </c>
      <c r="AX10110">
        <v>1</v>
      </c>
    </row>
    <row r="10111" spans="1:50">
      <c r="A10111">
        <v>551150</v>
      </c>
      <c r="B10111" t="str">
        <f>"062723686"</f>
        <v>062723686</v>
      </c>
      <c r="C10111" t="s">
        <v>50</v>
      </c>
      <c r="D10111" t="s">
        <v>15071</v>
      </c>
      <c r="E10111" t="s">
        <v>513</v>
      </c>
      <c r="F10111" t="s">
        <v>900</v>
      </c>
      <c r="G10111" t="s">
        <v>191</v>
      </c>
      <c r="H10111" t="str">
        <f>"ΕΛΕΥΘΕΡΩΝ ΣΚΟΠΕΥΤΩΝ ΓΑΛΑΤΑΣ  ΧΑΝΙΑ"</f>
        <v>ΕΛΕΥΘΕΡΩΝ ΣΚΟΠΕΥΤΩΝ ΓΑΛΑΤΑΣ  ΧΑΝΙΑ</v>
      </c>
      <c r="I10111">
        <v>73100</v>
      </c>
      <c r="J10111">
        <v>2821033817</v>
      </c>
      <c r="N10111" t="s">
        <v>615</v>
      </c>
      <c r="O10111" t="s">
        <v>616</v>
      </c>
      <c r="R10111" t="s">
        <v>57</v>
      </c>
      <c r="S10111">
        <v>18</v>
      </c>
      <c r="T10111">
        <v>281</v>
      </c>
      <c r="U10111" s="1">
        <v>30558</v>
      </c>
      <c r="V10111" t="s">
        <v>89</v>
      </c>
      <c r="W10111" t="s">
        <v>90</v>
      </c>
      <c r="X10111" t="s">
        <v>58</v>
      </c>
      <c r="Y10111">
        <v>21</v>
      </c>
      <c r="Z10111" t="s">
        <v>59</v>
      </c>
      <c r="AA10111" t="s">
        <v>59</v>
      </c>
      <c r="AB10111" t="s">
        <v>59</v>
      </c>
      <c r="AC10111" t="s">
        <v>59</v>
      </c>
      <c r="AD10111" t="s">
        <v>59</v>
      </c>
      <c r="AF10111" s="1">
        <v>30558</v>
      </c>
      <c r="AG10111" t="s">
        <v>8645</v>
      </c>
      <c r="AH10111" t="s">
        <v>8646</v>
      </c>
      <c r="AI10111" t="str">
        <f>"9500360"</f>
        <v>9500360</v>
      </c>
      <c r="AJ10111" t="s">
        <v>14022</v>
      </c>
      <c r="AK10111">
        <v>2821031253</v>
      </c>
      <c r="AL10111" t="s">
        <v>14023</v>
      </c>
      <c r="AM10111" t="s">
        <v>88</v>
      </c>
      <c r="AN10111" t="s">
        <v>88</v>
      </c>
      <c r="AO10111" t="s">
        <v>6785</v>
      </c>
      <c r="AP10111" t="s">
        <v>13932</v>
      </c>
      <c r="AQ10111">
        <v>3</v>
      </c>
      <c r="AR10111" t="s">
        <v>89</v>
      </c>
      <c r="AS10111" t="s">
        <v>90</v>
      </c>
      <c r="AT10111" t="s">
        <v>58</v>
      </c>
      <c r="AU10111" t="s">
        <v>68</v>
      </c>
      <c r="AV10111" t="s">
        <v>69</v>
      </c>
      <c r="AW10111" s="1">
        <v>21968</v>
      </c>
      <c r="AX10111">
        <v>1</v>
      </c>
    </row>
    <row r="10112" spans="1:50">
      <c r="A10112">
        <v>622992</v>
      </c>
      <c r="B10112" t="str">
        <f>"137344089"</f>
        <v>137344089</v>
      </c>
      <c r="C10112" t="s">
        <v>50</v>
      </c>
      <c r="D10112" t="s">
        <v>15072</v>
      </c>
      <c r="E10112" t="s">
        <v>476</v>
      </c>
      <c r="F10112" t="s">
        <v>315</v>
      </c>
      <c r="G10112" t="s">
        <v>109</v>
      </c>
      <c r="H10112" t="str">
        <f>"Σκουφών 41 ΧΑΝΙΑ"</f>
        <v>Σκουφών 41 ΧΑΝΙΑ</v>
      </c>
      <c r="I10112">
        <v>73132</v>
      </c>
      <c r="K10112">
        <v>6938958561</v>
      </c>
      <c r="L10112">
        <v>2310939391</v>
      </c>
      <c r="N10112" t="s">
        <v>306</v>
      </c>
      <c r="O10112" t="s">
        <v>307</v>
      </c>
      <c r="R10112" t="s">
        <v>57</v>
      </c>
      <c r="S10112">
        <v>4</v>
      </c>
      <c r="T10112">
        <v>720</v>
      </c>
      <c r="U10112" s="1">
        <v>40059</v>
      </c>
      <c r="V10112" t="s">
        <v>89</v>
      </c>
      <c r="W10112" t="s">
        <v>90</v>
      </c>
      <c r="X10112" t="s">
        <v>58</v>
      </c>
      <c r="Y10112">
        <v>24</v>
      </c>
      <c r="Z10112" t="s">
        <v>59</v>
      </c>
      <c r="AA10112" t="s">
        <v>59</v>
      </c>
      <c r="AB10112" t="s">
        <v>59</v>
      </c>
      <c r="AC10112" t="s">
        <v>59</v>
      </c>
      <c r="AD10112" t="s">
        <v>59</v>
      </c>
      <c r="AF10112" s="1">
        <v>40060</v>
      </c>
      <c r="AG10112" t="s">
        <v>8645</v>
      </c>
      <c r="AH10112" t="s">
        <v>8646</v>
      </c>
      <c r="AI10112" t="str">
        <f>"9520693"</f>
        <v>9520693</v>
      </c>
      <c r="AJ10112" t="s">
        <v>13913</v>
      </c>
      <c r="AK10112">
        <v>2821066910</v>
      </c>
      <c r="AL10112" t="s">
        <v>13914</v>
      </c>
      <c r="AM10112" t="s">
        <v>88</v>
      </c>
      <c r="AN10112" t="s">
        <v>88</v>
      </c>
      <c r="AO10112" t="s">
        <v>6770</v>
      </c>
      <c r="AP10112" t="s">
        <v>6771</v>
      </c>
      <c r="AQ10112">
        <v>2</v>
      </c>
      <c r="AR10112" t="s">
        <v>89</v>
      </c>
      <c r="AS10112" t="s">
        <v>90</v>
      </c>
      <c r="AT10112" t="s">
        <v>58</v>
      </c>
      <c r="AU10112" t="s">
        <v>68</v>
      </c>
      <c r="AV10112" t="s">
        <v>69</v>
      </c>
      <c r="AW10112" s="1">
        <v>29882</v>
      </c>
      <c r="AX10112">
        <v>1</v>
      </c>
    </row>
    <row r="10113" spans="1:50">
      <c r="A10113">
        <v>599304</v>
      </c>
      <c r="B10113" t="str">
        <f>"112365530"</f>
        <v>112365530</v>
      </c>
      <c r="C10113" t="s">
        <v>50</v>
      </c>
      <c r="D10113" t="s">
        <v>10850</v>
      </c>
      <c r="E10113" t="s">
        <v>476</v>
      </c>
      <c r="F10113" t="s">
        <v>166</v>
      </c>
      <c r="G10113" t="s">
        <v>4127</v>
      </c>
      <c r="H10113" t="str">
        <f>"ΚΕΦΑΛΑΣ ΧΑΝΙΑ"</f>
        <v>ΚΕΦΑΛΑΣ ΧΑΝΙΑ</v>
      </c>
      <c r="I10113">
        <v>73008</v>
      </c>
      <c r="J10113">
        <v>2825023390</v>
      </c>
      <c r="K10113">
        <v>6981691756</v>
      </c>
      <c r="M10113" t="s">
        <v>15073</v>
      </c>
      <c r="N10113" t="s">
        <v>615</v>
      </c>
      <c r="O10113" t="s">
        <v>616</v>
      </c>
      <c r="R10113" t="s">
        <v>57</v>
      </c>
      <c r="S10113">
        <v>8</v>
      </c>
      <c r="T10113">
        <v>195</v>
      </c>
      <c r="U10113" s="1">
        <v>37497</v>
      </c>
      <c r="V10113" t="s">
        <v>89</v>
      </c>
      <c r="W10113" t="s">
        <v>90</v>
      </c>
      <c r="X10113" t="s">
        <v>58</v>
      </c>
      <c r="Y10113">
        <v>22</v>
      </c>
      <c r="Z10113" t="s">
        <v>59</v>
      </c>
      <c r="AA10113" t="s">
        <v>59</v>
      </c>
      <c r="AB10113" t="s">
        <v>59</v>
      </c>
      <c r="AC10113" t="s">
        <v>59</v>
      </c>
      <c r="AD10113" t="s">
        <v>59</v>
      </c>
      <c r="AF10113" s="1">
        <v>37497</v>
      </c>
      <c r="AG10113" t="s">
        <v>8645</v>
      </c>
      <c r="AH10113" t="s">
        <v>8646</v>
      </c>
      <c r="AI10113" t="str">
        <f>"9500017"</f>
        <v>9500017</v>
      </c>
      <c r="AJ10113" t="s">
        <v>13873</v>
      </c>
      <c r="AK10113">
        <v>2825083173</v>
      </c>
      <c r="AL10113" t="s">
        <v>13874</v>
      </c>
      <c r="AM10113" t="s">
        <v>88</v>
      </c>
      <c r="AN10113" t="s">
        <v>6775</v>
      </c>
      <c r="AO10113" t="s">
        <v>11883</v>
      </c>
      <c r="AP10113" t="s">
        <v>13875</v>
      </c>
      <c r="AQ10113">
        <v>7</v>
      </c>
      <c r="AR10113" t="s">
        <v>89</v>
      </c>
      <c r="AS10113" t="s">
        <v>90</v>
      </c>
      <c r="AT10113" t="s">
        <v>58</v>
      </c>
      <c r="AU10113" t="s">
        <v>68</v>
      </c>
      <c r="AV10113" t="s">
        <v>69</v>
      </c>
      <c r="AW10113" s="1">
        <v>25393</v>
      </c>
      <c r="AX10113">
        <v>1</v>
      </c>
    </row>
    <row r="10114" spans="1:50">
      <c r="A10114">
        <v>613240</v>
      </c>
      <c r="B10114" t="str">
        <f>"130440020"</f>
        <v>130440020</v>
      </c>
      <c r="C10114" t="s">
        <v>50</v>
      </c>
      <c r="D10114" t="s">
        <v>10850</v>
      </c>
      <c r="E10114" t="s">
        <v>52</v>
      </c>
      <c r="F10114" t="s">
        <v>2619</v>
      </c>
      <c r="G10114" t="s">
        <v>15074</v>
      </c>
      <c r="H10114" t="str">
        <f>"ΠΕΡΙΒΟΛΙΑ ΚΥΔΩΝΙΑΣ ΧΑΝΙΑ"</f>
        <v>ΠΕΡΙΒΟΛΙΑ ΚΥΔΩΝΙΑΣ ΧΑΝΙΑ</v>
      </c>
      <c r="I10114">
        <v>73100</v>
      </c>
      <c r="J10114">
        <v>2821075164</v>
      </c>
      <c r="K10114">
        <v>6973389946</v>
      </c>
      <c r="N10114" t="s">
        <v>615</v>
      </c>
      <c r="O10114" t="s">
        <v>616</v>
      </c>
      <c r="R10114" t="s">
        <v>57</v>
      </c>
      <c r="S10114">
        <v>6</v>
      </c>
      <c r="T10114">
        <v>598</v>
      </c>
      <c r="U10114" s="1">
        <v>39310</v>
      </c>
      <c r="V10114" t="s">
        <v>89</v>
      </c>
      <c r="W10114" t="s">
        <v>90</v>
      </c>
      <c r="X10114" t="s">
        <v>58</v>
      </c>
      <c r="Y10114">
        <v>23</v>
      </c>
      <c r="Z10114" t="s">
        <v>59</v>
      </c>
      <c r="AA10114" t="s">
        <v>59</v>
      </c>
      <c r="AB10114" t="s">
        <v>59</v>
      </c>
      <c r="AC10114" t="s">
        <v>59</v>
      </c>
      <c r="AD10114" t="s">
        <v>59</v>
      </c>
      <c r="AF10114" s="1">
        <v>39310</v>
      </c>
      <c r="AG10114" t="s">
        <v>8645</v>
      </c>
      <c r="AH10114" t="s">
        <v>8646</v>
      </c>
      <c r="AI10114" t="str">
        <f>"9500107"</f>
        <v>9500107</v>
      </c>
      <c r="AJ10114" t="s">
        <v>13918</v>
      </c>
      <c r="AK10114">
        <v>2821096244</v>
      </c>
      <c r="AL10114" t="s">
        <v>13919</v>
      </c>
      <c r="AM10114" t="s">
        <v>88</v>
      </c>
      <c r="AN10114" t="s">
        <v>88</v>
      </c>
      <c r="AO10114" t="s">
        <v>13920</v>
      </c>
      <c r="AP10114" t="s">
        <v>13921</v>
      </c>
      <c r="AQ10114">
        <v>3</v>
      </c>
      <c r="AR10114" t="s">
        <v>89</v>
      </c>
      <c r="AS10114" t="s">
        <v>90</v>
      </c>
      <c r="AT10114" t="s">
        <v>58</v>
      </c>
      <c r="AU10114" t="s">
        <v>68</v>
      </c>
      <c r="AV10114" t="s">
        <v>69</v>
      </c>
      <c r="AW10114" s="1">
        <v>30211</v>
      </c>
      <c r="AX10114">
        <v>1</v>
      </c>
    </row>
    <row r="10115" spans="1:50">
      <c r="A10115">
        <v>548100</v>
      </c>
      <c r="B10115" t="str">
        <f>"023040018"</f>
        <v>023040018</v>
      </c>
      <c r="C10115" t="s">
        <v>105</v>
      </c>
      <c r="D10115" t="s">
        <v>15075</v>
      </c>
      <c r="E10115" t="s">
        <v>84</v>
      </c>
      <c r="F10115" t="s">
        <v>95</v>
      </c>
      <c r="G10115" t="s">
        <v>396</v>
      </c>
      <c r="H10115" t="str">
        <f>"ΟΔ.ΕΛΥΤΗ  24 ΧΑΝΙΑ"</f>
        <v>ΟΔ.ΕΛΥΤΗ  24 ΧΑΝΙΑ</v>
      </c>
      <c r="I10115">
        <v>73100</v>
      </c>
      <c r="J10115">
        <v>2821058159</v>
      </c>
      <c r="K10115">
        <v>6974750402</v>
      </c>
      <c r="L10115">
        <v>2821058159</v>
      </c>
      <c r="M10115" t="s">
        <v>15076</v>
      </c>
      <c r="N10115" t="s">
        <v>615</v>
      </c>
      <c r="O10115" t="s">
        <v>616</v>
      </c>
      <c r="R10115" t="s">
        <v>57</v>
      </c>
      <c r="S10115">
        <v>19</v>
      </c>
      <c r="T10115">
        <v>293</v>
      </c>
      <c r="U10115" s="1">
        <v>30206</v>
      </c>
      <c r="V10115" t="s">
        <v>89</v>
      </c>
      <c r="W10115" t="s">
        <v>90</v>
      </c>
      <c r="X10115" t="s">
        <v>58</v>
      </c>
      <c r="Y10115">
        <v>21</v>
      </c>
      <c r="Z10115" t="s">
        <v>59</v>
      </c>
      <c r="AA10115" t="s">
        <v>59</v>
      </c>
      <c r="AB10115" t="s">
        <v>59</v>
      </c>
      <c r="AC10115" t="s">
        <v>59</v>
      </c>
      <c r="AD10115" t="s">
        <v>59</v>
      </c>
      <c r="AF10115" s="1">
        <v>30221</v>
      </c>
      <c r="AG10115" t="s">
        <v>8645</v>
      </c>
      <c r="AH10115" t="s">
        <v>8646</v>
      </c>
      <c r="AI10115" t="str">
        <f>"9500075"</f>
        <v>9500075</v>
      </c>
      <c r="AJ10115" t="s">
        <v>13955</v>
      </c>
      <c r="AK10115">
        <v>2821046505</v>
      </c>
      <c r="AL10115" t="s">
        <v>13956</v>
      </c>
      <c r="AM10115" t="s">
        <v>88</v>
      </c>
      <c r="AN10115" t="s">
        <v>88</v>
      </c>
      <c r="AO10115" t="s">
        <v>88</v>
      </c>
      <c r="AP10115" t="s">
        <v>88</v>
      </c>
      <c r="AQ10115">
        <v>1</v>
      </c>
      <c r="AR10115" t="s">
        <v>89</v>
      </c>
      <c r="AS10115" t="s">
        <v>90</v>
      </c>
      <c r="AT10115" t="s">
        <v>58</v>
      </c>
      <c r="AU10115" t="s">
        <v>68</v>
      </c>
      <c r="AV10115" t="s">
        <v>69</v>
      </c>
      <c r="AW10115" s="1">
        <v>21155</v>
      </c>
      <c r="AX10115">
        <v>1</v>
      </c>
    </row>
    <row r="10116" spans="1:50">
      <c r="A10116">
        <v>578385</v>
      </c>
      <c r="B10116" t="str">
        <f>"054789116"</f>
        <v>054789116</v>
      </c>
      <c r="C10116" t="s">
        <v>50</v>
      </c>
      <c r="D10116" t="s">
        <v>15077</v>
      </c>
      <c r="E10116" t="s">
        <v>809</v>
      </c>
      <c r="F10116" t="s">
        <v>154</v>
      </c>
      <c r="G10116" t="s">
        <v>15078</v>
      </c>
      <c r="H10116" t="str">
        <f>"ΚΑΛΙΤΣΟΥΝΑΚΗ  20 ΧΑΝΙΑ"</f>
        <v>ΚΑΛΙΤΣΟΥΝΑΚΗ  20 ΧΑΝΙΑ</v>
      </c>
      <c r="I10116">
        <v>73134</v>
      </c>
      <c r="J10116">
        <v>2821046533</v>
      </c>
      <c r="K10116">
        <v>6934529854</v>
      </c>
      <c r="N10116" t="s">
        <v>615</v>
      </c>
      <c r="O10116" t="s">
        <v>616</v>
      </c>
      <c r="R10116" t="s">
        <v>57</v>
      </c>
      <c r="S10116">
        <v>12</v>
      </c>
      <c r="T10116">
        <v>165</v>
      </c>
      <c r="U10116" s="1">
        <v>35300</v>
      </c>
      <c r="V10116" t="s">
        <v>89</v>
      </c>
      <c r="W10116" t="s">
        <v>90</v>
      </c>
      <c r="X10116" t="s">
        <v>58</v>
      </c>
      <c r="Y10116">
        <v>21</v>
      </c>
      <c r="Z10116" t="s">
        <v>59</v>
      </c>
      <c r="AA10116" t="s">
        <v>59</v>
      </c>
      <c r="AB10116" t="s">
        <v>59</v>
      </c>
      <c r="AC10116" t="s">
        <v>59</v>
      </c>
      <c r="AD10116" t="s">
        <v>59</v>
      </c>
      <c r="AF10116" s="1">
        <v>35300</v>
      </c>
      <c r="AG10116" t="s">
        <v>8645</v>
      </c>
      <c r="AH10116" t="s">
        <v>8646</v>
      </c>
      <c r="AI10116" t="str">
        <f>"9500041"</f>
        <v>9500041</v>
      </c>
      <c r="AJ10116" t="s">
        <v>13944</v>
      </c>
      <c r="AK10116">
        <v>2821028218</v>
      </c>
      <c r="AL10116" t="s">
        <v>13945</v>
      </c>
      <c r="AM10116" t="s">
        <v>88</v>
      </c>
      <c r="AN10116" t="s">
        <v>88</v>
      </c>
      <c r="AO10116" t="s">
        <v>88</v>
      </c>
      <c r="AP10116" t="s">
        <v>88</v>
      </c>
      <c r="AQ10116">
        <v>1</v>
      </c>
      <c r="AR10116" t="s">
        <v>89</v>
      </c>
      <c r="AS10116" t="s">
        <v>90</v>
      </c>
      <c r="AT10116" t="s">
        <v>58</v>
      </c>
      <c r="AU10116" t="s">
        <v>68</v>
      </c>
      <c r="AV10116" t="s">
        <v>69</v>
      </c>
      <c r="AW10116" s="1">
        <v>24747</v>
      </c>
      <c r="AX10116">
        <v>1</v>
      </c>
    </row>
    <row r="10117" spans="1:50">
      <c r="A10117">
        <v>595351</v>
      </c>
      <c r="B10117" t="str">
        <f>"120224585"</f>
        <v>120224585</v>
      </c>
      <c r="C10117" t="s">
        <v>50</v>
      </c>
      <c r="D10117" t="s">
        <v>2922</v>
      </c>
      <c r="E10117" t="s">
        <v>143</v>
      </c>
      <c r="F10117" t="s">
        <v>6162</v>
      </c>
      <c r="G10117" t="s">
        <v>155</v>
      </c>
      <c r="H10117" t="str">
        <f>"Κριαράδων 6 "</f>
        <v xml:space="preserve">Κριαράδων 6 </v>
      </c>
      <c r="I10117">
        <v>73100</v>
      </c>
      <c r="J10117">
        <v>2821091162</v>
      </c>
      <c r="K10117">
        <v>6974368173</v>
      </c>
      <c r="M10117" t="s">
        <v>15079</v>
      </c>
      <c r="N10117" t="s">
        <v>1525</v>
      </c>
      <c r="O10117" t="s">
        <v>1526</v>
      </c>
      <c r="R10117" t="s">
        <v>57</v>
      </c>
      <c r="S10117">
        <v>9</v>
      </c>
      <c r="T10117">
        <v>218</v>
      </c>
      <c r="U10117" s="1">
        <v>37134</v>
      </c>
      <c r="V10117" t="s">
        <v>89</v>
      </c>
      <c r="W10117" t="s">
        <v>90</v>
      </c>
      <c r="X10117" t="s">
        <v>58</v>
      </c>
      <c r="Y10117">
        <v>25</v>
      </c>
      <c r="Z10117" t="s">
        <v>59</v>
      </c>
      <c r="AA10117" t="s">
        <v>59</v>
      </c>
      <c r="AB10117" t="s">
        <v>59</v>
      </c>
      <c r="AC10117" t="s">
        <v>59</v>
      </c>
      <c r="AD10117" t="s">
        <v>59</v>
      </c>
      <c r="AF10117" s="1">
        <v>37134</v>
      </c>
      <c r="AG10117" t="s">
        <v>8651</v>
      </c>
      <c r="AH10117" t="s">
        <v>8652</v>
      </c>
      <c r="AI10117" t="str">
        <f>"9500378"</f>
        <v>9500378</v>
      </c>
      <c r="AJ10117" t="s">
        <v>14335</v>
      </c>
      <c r="AK10117">
        <v>2821094168</v>
      </c>
      <c r="AL10117" t="s">
        <v>14336</v>
      </c>
      <c r="AM10117" t="s">
        <v>88</v>
      </c>
      <c r="AN10117" t="s">
        <v>88</v>
      </c>
      <c r="AO10117" t="s">
        <v>88</v>
      </c>
      <c r="AP10117" t="s">
        <v>88</v>
      </c>
      <c r="AQ10117">
        <v>1</v>
      </c>
      <c r="AR10117" t="s">
        <v>89</v>
      </c>
      <c r="AS10117" t="s">
        <v>90</v>
      </c>
      <c r="AT10117" t="s">
        <v>58</v>
      </c>
      <c r="AU10117" t="s">
        <v>68</v>
      </c>
      <c r="AV10117" t="s">
        <v>69</v>
      </c>
      <c r="AW10117" s="1">
        <v>25044</v>
      </c>
      <c r="AX10117">
        <v>1</v>
      </c>
    </row>
    <row r="10118" spans="1:50">
      <c r="A10118">
        <v>608028</v>
      </c>
      <c r="B10118" t="str">
        <f>"100645801"</f>
        <v>100645801</v>
      </c>
      <c r="C10118" t="s">
        <v>50</v>
      </c>
      <c r="D10118" t="s">
        <v>7940</v>
      </c>
      <c r="E10118" t="s">
        <v>1189</v>
      </c>
      <c r="F10118" t="s">
        <v>154</v>
      </c>
      <c r="G10118" t="s">
        <v>341</v>
      </c>
      <c r="H10118" t="str">
        <f>"ΠΑΛΑΙΣΤΙΝΗΣ 3 ΧΑΝΙΑ"</f>
        <v>ΠΑΛΑΙΣΤΙΝΗΣ 3 ΧΑΝΙΑ</v>
      </c>
      <c r="I10118">
        <v>73100</v>
      </c>
      <c r="J10118">
        <v>2821094983</v>
      </c>
      <c r="K10118">
        <v>6985753887</v>
      </c>
      <c r="N10118" t="s">
        <v>1525</v>
      </c>
      <c r="O10118" t="s">
        <v>1526</v>
      </c>
      <c r="R10118" t="s">
        <v>57</v>
      </c>
      <c r="S10118">
        <v>9</v>
      </c>
      <c r="T10118">
        <v>217</v>
      </c>
      <c r="U10118" s="1">
        <v>38596</v>
      </c>
      <c r="V10118" t="s">
        <v>89</v>
      </c>
      <c r="W10118" t="s">
        <v>90</v>
      </c>
      <c r="X10118" t="s">
        <v>58</v>
      </c>
      <c r="Y10118">
        <v>25</v>
      </c>
      <c r="Z10118" t="s">
        <v>59</v>
      </c>
      <c r="AA10118" t="s">
        <v>59</v>
      </c>
      <c r="AB10118" t="s">
        <v>59</v>
      </c>
      <c r="AC10118" t="s">
        <v>59</v>
      </c>
      <c r="AD10118" t="s">
        <v>59</v>
      </c>
      <c r="AF10118" s="1">
        <v>38600</v>
      </c>
      <c r="AG10118" t="s">
        <v>8651</v>
      </c>
      <c r="AH10118" t="s">
        <v>8652</v>
      </c>
      <c r="AI10118" t="str">
        <f>"9500108"</f>
        <v>9500108</v>
      </c>
      <c r="AJ10118" t="s">
        <v>14258</v>
      </c>
      <c r="AK10118">
        <v>2821079280</v>
      </c>
      <c r="AL10118" t="s">
        <v>14259</v>
      </c>
      <c r="AM10118" t="s">
        <v>88</v>
      </c>
      <c r="AN10118" t="s">
        <v>88</v>
      </c>
      <c r="AO10118" t="s">
        <v>13920</v>
      </c>
      <c r="AP10118" t="s">
        <v>13921</v>
      </c>
      <c r="AQ10118">
        <v>3</v>
      </c>
      <c r="AR10118" t="s">
        <v>89</v>
      </c>
      <c r="AS10118" t="s">
        <v>90</v>
      </c>
      <c r="AT10118" t="s">
        <v>58</v>
      </c>
      <c r="AU10118" t="s">
        <v>68</v>
      </c>
      <c r="AV10118" t="s">
        <v>69</v>
      </c>
      <c r="AW10118" s="1">
        <v>24279</v>
      </c>
      <c r="AX10118">
        <v>1</v>
      </c>
    </row>
    <row r="10119" spans="1:50">
      <c r="A10119">
        <v>604576</v>
      </c>
      <c r="B10119" t="str">
        <f>"066833880"</f>
        <v>066833880</v>
      </c>
      <c r="C10119" t="s">
        <v>50</v>
      </c>
      <c r="D10119" t="s">
        <v>7940</v>
      </c>
      <c r="E10119" t="s">
        <v>109</v>
      </c>
      <c r="F10119" t="s">
        <v>900</v>
      </c>
      <c r="G10119" t="s">
        <v>96</v>
      </c>
      <c r="H10119" t="str">
        <f>"ΚΩΝΣΤΑΝΤΟΥΛΑΚΗΔΩΝ ΧΑΝΙΑ"</f>
        <v>ΚΩΝΣΤΑΝΤΟΥΛΑΚΗΔΩΝ ΧΑΝΙΑ</v>
      </c>
      <c r="I10119">
        <v>73100</v>
      </c>
      <c r="J10119">
        <v>2821060656</v>
      </c>
      <c r="K10119">
        <v>6908795678</v>
      </c>
      <c r="N10119" t="s">
        <v>615</v>
      </c>
      <c r="O10119" t="s">
        <v>616</v>
      </c>
      <c r="R10119" t="s">
        <v>57</v>
      </c>
      <c r="S10119">
        <v>7</v>
      </c>
      <c r="T10119">
        <v>231</v>
      </c>
      <c r="U10119" s="1">
        <v>38231</v>
      </c>
      <c r="V10119" t="s">
        <v>89</v>
      </c>
      <c r="W10119" t="s">
        <v>90</v>
      </c>
      <c r="X10119" t="s">
        <v>58</v>
      </c>
      <c r="Y10119">
        <v>22</v>
      </c>
      <c r="Z10119" t="s">
        <v>59</v>
      </c>
      <c r="AA10119" t="s">
        <v>59</v>
      </c>
      <c r="AB10119" t="s">
        <v>59</v>
      </c>
      <c r="AC10119" t="s">
        <v>59</v>
      </c>
      <c r="AD10119" t="s">
        <v>59</v>
      </c>
      <c r="AF10119" s="1">
        <v>38231</v>
      </c>
      <c r="AG10119" t="s">
        <v>8645</v>
      </c>
      <c r="AH10119" t="s">
        <v>8646</v>
      </c>
      <c r="AI10119" t="str">
        <f>"9500167"</f>
        <v>9500167</v>
      </c>
      <c r="AJ10119" t="s">
        <v>13922</v>
      </c>
      <c r="AK10119">
        <v>2821068357</v>
      </c>
      <c r="AL10119" t="s">
        <v>13923</v>
      </c>
      <c r="AM10119" t="s">
        <v>88</v>
      </c>
      <c r="AN10119" t="s">
        <v>6764</v>
      </c>
      <c r="AO10119" t="s">
        <v>6764</v>
      </c>
      <c r="AP10119" t="s">
        <v>6764</v>
      </c>
      <c r="AQ10119">
        <v>5</v>
      </c>
      <c r="AR10119" t="s">
        <v>89</v>
      </c>
      <c r="AS10119" t="s">
        <v>90</v>
      </c>
      <c r="AT10119" t="s">
        <v>58</v>
      </c>
      <c r="AU10119" t="s">
        <v>68</v>
      </c>
      <c r="AV10119" t="s">
        <v>69</v>
      </c>
      <c r="AW10119" s="1">
        <v>28869</v>
      </c>
      <c r="AX10119">
        <v>1</v>
      </c>
    </row>
    <row r="10120" spans="1:50">
      <c r="A10120">
        <v>213530</v>
      </c>
      <c r="B10120" t="str">
        <f>"078994087"</f>
        <v>078994087</v>
      </c>
      <c r="C10120" t="s">
        <v>50</v>
      </c>
      <c r="D10120" t="s">
        <v>7940</v>
      </c>
      <c r="E10120" t="s">
        <v>372</v>
      </c>
      <c r="F10120" t="s">
        <v>53</v>
      </c>
      <c r="G10120" t="s">
        <v>484</v>
      </c>
      <c r="H10120" t="str">
        <f>"Δ. ΤΣΑΓΚΑΡΑΚΗ 16 ΧΑΝΙΑ"</f>
        <v>Δ. ΤΣΑΓΚΑΡΑΚΗ 16 ΧΑΝΙΑ</v>
      </c>
      <c r="I10120">
        <v>73100</v>
      </c>
      <c r="J10120">
        <v>2821058989</v>
      </c>
      <c r="K10120">
        <v>6972774376</v>
      </c>
      <c r="M10120" t="s">
        <v>15080</v>
      </c>
      <c r="N10120" t="s">
        <v>478</v>
      </c>
      <c r="O10120" t="s">
        <v>479</v>
      </c>
      <c r="R10120" t="s">
        <v>57</v>
      </c>
      <c r="S10120">
        <v>8</v>
      </c>
      <c r="T10120">
        <v>231</v>
      </c>
      <c r="U10120" s="1">
        <v>38960</v>
      </c>
      <c r="V10120" t="s">
        <v>89</v>
      </c>
      <c r="W10120" t="s">
        <v>90</v>
      </c>
      <c r="X10120" t="s">
        <v>58</v>
      </c>
      <c r="Y10120">
        <v>23</v>
      </c>
      <c r="Z10120" t="s">
        <v>59</v>
      </c>
      <c r="AA10120" t="s">
        <v>59</v>
      </c>
      <c r="AB10120" t="s">
        <v>59</v>
      </c>
      <c r="AC10120" t="s">
        <v>59</v>
      </c>
      <c r="AD10120" t="s">
        <v>59</v>
      </c>
      <c r="AF10120" s="1">
        <v>38960</v>
      </c>
      <c r="AG10120" t="s">
        <v>8645</v>
      </c>
      <c r="AH10120" t="s">
        <v>8646</v>
      </c>
      <c r="AI10120" t="str">
        <f>"9500338"</f>
        <v>9500338</v>
      </c>
      <c r="AJ10120" t="s">
        <v>13959</v>
      </c>
      <c r="AK10120">
        <v>2821040556</v>
      </c>
      <c r="AL10120" t="s">
        <v>13960</v>
      </c>
      <c r="AM10120" t="s">
        <v>88</v>
      </c>
      <c r="AN10120" t="s">
        <v>88</v>
      </c>
      <c r="AO10120" t="s">
        <v>88</v>
      </c>
      <c r="AP10120" t="s">
        <v>88</v>
      </c>
      <c r="AQ10120">
        <v>1</v>
      </c>
      <c r="AR10120" t="s">
        <v>89</v>
      </c>
      <c r="AS10120" t="s">
        <v>90</v>
      </c>
      <c r="AT10120" t="s">
        <v>58</v>
      </c>
      <c r="AU10120" t="s">
        <v>68</v>
      </c>
      <c r="AV10120" t="s">
        <v>132</v>
      </c>
      <c r="AW10120" s="1">
        <v>26466</v>
      </c>
      <c r="AX10120">
        <v>1</v>
      </c>
    </row>
    <row r="10121" spans="1:50">
      <c r="A10121">
        <v>557899</v>
      </c>
      <c r="B10121" t="str">
        <f>"032134033"</f>
        <v>032134033</v>
      </c>
      <c r="C10121" t="s">
        <v>105</v>
      </c>
      <c r="D10121" t="s">
        <v>7944</v>
      </c>
      <c r="E10121" t="s">
        <v>154</v>
      </c>
      <c r="F10121" t="s">
        <v>315</v>
      </c>
      <c r="G10121" t="s">
        <v>1588</v>
      </c>
      <c r="H10121" t="str">
        <f>"ΔΗΜ.ΚΟΚΟΤΣΗ   6 ΧΑΝΙΑ"</f>
        <v>ΔΗΜ.ΚΟΚΟΤΣΗ   6 ΧΑΝΙΑ</v>
      </c>
      <c r="I10121">
        <v>73100</v>
      </c>
      <c r="J10121">
        <v>2821051262</v>
      </c>
      <c r="K10121">
        <v>6972887913</v>
      </c>
      <c r="N10121" t="s">
        <v>615</v>
      </c>
      <c r="O10121" t="s">
        <v>616</v>
      </c>
      <c r="R10121" t="s">
        <v>57</v>
      </c>
      <c r="S10121">
        <v>18</v>
      </c>
      <c r="T10121" t="s">
        <v>15081</v>
      </c>
      <c r="U10121" s="1">
        <v>32010</v>
      </c>
      <c r="V10121" t="s">
        <v>89</v>
      </c>
      <c r="W10121" t="s">
        <v>90</v>
      </c>
      <c r="X10121" t="s">
        <v>58</v>
      </c>
      <c r="Y10121">
        <v>21</v>
      </c>
      <c r="Z10121" t="s">
        <v>59</v>
      </c>
      <c r="AA10121" t="s">
        <v>59</v>
      </c>
      <c r="AB10121" t="s">
        <v>59</v>
      </c>
      <c r="AC10121" t="s">
        <v>59</v>
      </c>
      <c r="AD10121" t="s">
        <v>59</v>
      </c>
      <c r="AF10121" s="1">
        <v>32010</v>
      </c>
      <c r="AG10121" t="s">
        <v>8645</v>
      </c>
      <c r="AH10121" t="s">
        <v>8646</v>
      </c>
      <c r="AI10121" t="str">
        <f>"9500084"</f>
        <v>9500084</v>
      </c>
      <c r="AJ10121" t="s">
        <v>13994</v>
      </c>
      <c r="AK10121">
        <v>2821031270</v>
      </c>
      <c r="AL10121" t="s">
        <v>13995</v>
      </c>
      <c r="AM10121" t="s">
        <v>88</v>
      </c>
      <c r="AN10121" t="s">
        <v>88</v>
      </c>
      <c r="AO10121" t="s">
        <v>13920</v>
      </c>
      <c r="AP10121" t="s">
        <v>13996</v>
      </c>
      <c r="AQ10121">
        <v>3</v>
      </c>
      <c r="AR10121" t="s">
        <v>89</v>
      </c>
      <c r="AS10121" t="s">
        <v>90</v>
      </c>
      <c r="AT10121" t="s">
        <v>58</v>
      </c>
      <c r="AU10121" t="s">
        <v>68</v>
      </c>
      <c r="AV10121" t="s">
        <v>69</v>
      </c>
      <c r="AW10121" s="1">
        <v>21826</v>
      </c>
      <c r="AX10121">
        <v>1</v>
      </c>
    </row>
    <row r="10122" spans="1:50">
      <c r="A10122">
        <v>564793</v>
      </c>
      <c r="B10122" t="str">
        <f>"035862263"</f>
        <v>035862263</v>
      </c>
      <c r="C10122" t="s">
        <v>105</v>
      </c>
      <c r="D10122" t="s">
        <v>7944</v>
      </c>
      <c r="E10122" t="s">
        <v>72</v>
      </c>
      <c r="F10122" t="s">
        <v>304</v>
      </c>
      <c r="G10122" t="s">
        <v>15082</v>
      </c>
      <c r="H10122" t="str">
        <f>"ΚΟΝΔΥΛΑΚΗ  5 ΚΟΥΝΟΥΠΙΔΙΑΝΑ  ΑΚΡΩΤΗΡΙΟΥ"</f>
        <v>ΚΟΝΔΥΛΑΚΗ  5 ΚΟΥΝΟΥΠΙΔΙΑΝΑ  ΑΚΡΩΤΗΡΙΟΥ</v>
      </c>
      <c r="I10122">
        <v>73142</v>
      </c>
      <c r="J10122">
        <v>2821086565</v>
      </c>
      <c r="K10122">
        <v>6972275465</v>
      </c>
      <c r="N10122" t="s">
        <v>615</v>
      </c>
      <c r="O10122" t="s">
        <v>616</v>
      </c>
      <c r="R10122" t="s">
        <v>57</v>
      </c>
      <c r="S10122">
        <v>14</v>
      </c>
      <c r="T10122">
        <v>161</v>
      </c>
      <c r="U10122" s="1">
        <v>33119</v>
      </c>
      <c r="V10122" t="s">
        <v>89</v>
      </c>
      <c r="W10122" t="s">
        <v>90</v>
      </c>
      <c r="X10122" t="s">
        <v>58</v>
      </c>
      <c r="Y10122">
        <v>21</v>
      </c>
      <c r="Z10122" t="s">
        <v>59</v>
      </c>
      <c r="AA10122" t="s">
        <v>59</v>
      </c>
      <c r="AB10122" t="s">
        <v>59</v>
      </c>
      <c r="AC10122" t="s">
        <v>59</v>
      </c>
      <c r="AD10122" t="s">
        <v>59</v>
      </c>
      <c r="AF10122" s="1">
        <v>33119</v>
      </c>
      <c r="AG10122" t="s">
        <v>8645</v>
      </c>
      <c r="AH10122" t="s">
        <v>8646</v>
      </c>
      <c r="AI10122" t="str">
        <f>"9500358"</f>
        <v>9500358</v>
      </c>
      <c r="AJ10122" t="s">
        <v>13948</v>
      </c>
      <c r="AK10122">
        <v>2821093459</v>
      </c>
      <c r="AL10122" t="s">
        <v>13949</v>
      </c>
      <c r="AM10122" t="s">
        <v>88</v>
      </c>
      <c r="AN10122" t="s">
        <v>88</v>
      </c>
      <c r="AO10122" t="s">
        <v>6733</v>
      </c>
      <c r="AP10122" t="s">
        <v>6755</v>
      </c>
      <c r="AQ10122">
        <v>2</v>
      </c>
      <c r="AR10122" t="s">
        <v>89</v>
      </c>
      <c r="AS10122" t="s">
        <v>90</v>
      </c>
      <c r="AT10122" t="s">
        <v>58</v>
      </c>
      <c r="AU10122" t="s">
        <v>68</v>
      </c>
      <c r="AV10122" t="s">
        <v>69</v>
      </c>
      <c r="AW10122" s="1">
        <v>24293</v>
      </c>
      <c r="AX10122">
        <v>1</v>
      </c>
    </row>
    <row r="10123" spans="1:50">
      <c r="A10123">
        <v>558026</v>
      </c>
      <c r="B10123" t="str">
        <f>"018811124"</f>
        <v>018811124</v>
      </c>
      <c r="C10123" t="s">
        <v>105</v>
      </c>
      <c r="D10123" t="s">
        <v>7944</v>
      </c>
      <c r="E10123" t="s">
        <v>153</v>
      </c>
      <c r="F10123" t="s">
        <v>106</v>
      </c>
      <c r="G10123" t="s">
        <v>411</v>
      </c>
      <c r="H10123" t="str">
        <f>"ΜΟΝ.ΗΣΑΙΑ ΚΟΡΑΚΙΕΣ  ΑΚΡΩΤΗΡΙΟΥ"</f>
        <v>ΜΟΝ.ΗΣΑΙΑ ΚΟΡΑΚΙΕΣ  ΑΚΡΩΤΗΡΙΟΥ</v>
      </c>
      <c r="I10123">
        <v>73142</v>
      </c>
      <c r="J10123">
        <v>2821069394</v>
      </c>
      <c r="N10123" t="s">
        <v>615</v>
      </c>
      <c r="O10123" t="s">
        <v>616</v>
      </c>
      <c r="R10123" t="s">
        <v>57</v>
      </c>
      <c r="S10123">
        <v>16</v>
      </c>
      <c r="T10123">
        <v>168</v>
      </c>
      <c r="U10123" s="1">
        <v>32010</v>
      </c>
      <c r="V10123" t="s">
        <v>89</v>
      </c>
      <c r="W10123" t="s">
        <v>90</v>
      </c>
      <c r="X10123" t="s">
        <v>58</v>
      </c>
      <c r="Y10123">
        <v>21</v>
      </c>
      <c r="Z10123" t="s">
        <v>59</v>
      </c>
      <c r="AA10123" t="s">
        <v>59</v>
      </c>
      <c r="AB10123" t="s">
        <v>59</v>
      </c>
      <c r="AC10123" t="s">
        <v>59</v>
      </c>
      <c r="AD10123" t="s">
        <v>59</v>
      </c>
      <c r="AF10123" s="1">
        <v>32010</v>
      </c>
      <c r="AG10123" t="s">
        <v>8645</v>
      </c>
      <c r="AH10123" t="s">
        <v>8646</v>
      </c>
      <c r="AI10123" t="str">
        <f>"9500040"</f>
        <v>9500040</v>
      </c>
      <c r="AJ10123" t="s">
        <v>13906</v>
      </c>
      <c r="AK10123">
        <v>2821045356</v>
      </c>
      <c r="AL10123" t="s">
        <v>13907</v>
      </c>
      <c r="AM10123" t="s">
        <v>88</v>
      </c>
      <c r="AN10123" t="s">
        <v>88</v>
      </c>
      <c r="AO10123" t="s">
        <v>88</v>
      </c>
      <c r="AP10123" t="s">
        <v>88</v>
      </c>
      <c r="AQ10123">
        <v>1</v>
      </c>
      <c r="AR10123" t="s">
        <v>89</v>
      </c>
      <c r="AS10123" t="s">
        <v>90</v>
      </c>
      <c r="AT10123" t="s">
        <v>58</v>
      </c>
      <c r="AU10123" t="s">
        <v>68</v>
      </c>
      <c r="AV10123" t="s">
        <v>69</v>
      </c>
      <c r="AW10123" s="1">
        <v>23640</v>
      </c>
      <c r="AX10123">
        <v>1</v>
      </c>
    </row>
    <row r="10124" spans="1:50">
      <c r="B10124" t="str">
        <f>"062154565"</f>
        <v>062154565</v>
      </c>
      <c r="C10124" t="s">
        <v>50</v>
      </c>
      <c r="D10124" t="s">
        <v>15083</v>
      </c>
      <c r="E10124" t="s">
        <v>3666</v>
      </c>
      <c r="F10124" t="s">
        <v>99</v>
      </c>
      <c r="G10124" t="s">
        <v>255</v>
      </c>
      <c r="H10124" t="str">
        <f>" "</f>
        <v xml:space="preserve"> </v>
      </c>
      <c r="N10124" t="s">
        <v>683</v>
      </c>
      <c r="O10124" t="s">
        <v>684</v>
      </c>
      <c r="R10124" t="s">
        <v>121</v>
      </c>
      <c r="S10124">
        <v>1</v>
      </c>
      <c r="T10124" t="s">
        <v>8675</v>
      </c>
      <c r="U10124" s="1">
        <v>43348</v>
      </c>
      <c r="V10124" t="s">
        <v>89</v>
      </c>
      <c r="W10124" t="s">
        <v>90</v>
      </c>
      <c r="X10124" t="s">
        <v>58</v>
      </c>
      <c r="Y10124">
        <v>24</v>
      </c>
      <c r="Z10124" t="s">
        <v>59</v>
      </c>
      <c r="AD10124" t="s">
        <v>59</v>
      </c>
      <c r="AF10124" s="1">
        <v>43348</v>
      </c>
      <c r="AG10124" t="s">
        <v>8645</v>
      </c>
      <c r="AH10124" t="s">
        <v>8646</v>
      </c>
      <c r="AI10124" t="str">
        <f>"9500107"</f>
        <v>9500107</v>
      </c>
      <c r="AJ10124" t="s">
        <v>13918</v>
      </c>
      <c r="AK10124">
        <v>2821096244</v>
      </c>
      <c r="AL10124" t="s">
        <v>13919</v>
      </c>
      <c r="AM10124" t="s">
        <v>88</v>
      </c>
      <c r="AN10124" t="s">
        <v>88</v>
      </c>
      <c r="AO10124" t="s">
        <v>13920</v>
      </c>
      <c r="AP10124" t="s">
        <v>13921</v>
      </c>
      <c r="AQ10124">
        <v>3</v>
      </c>
      <c r="AR10124" t="s">
        <v>89</v>
      </c>
      <c r="AS10124" t="s">
        <v>90</v>
      </c>
      <c r="AT10124" t="s">
        <v>58</v>
      </c>
      <c r="AU10124" t="s">
        <v>8673</v>
      </c>
      <c r="AV10124" t="s">
        <v>132</v>
      </c>
      <c r="AW10124" s="1">
        <v>32158</v>
      </c>
      <c r="AX10124">
        <v>1</v>
      </c>
    </row>
    <row r="10125" spans="1:50">
      <c r="A10125">
        <v>611076</v>
      </c>
      <c r="B10125" t="str">
        <f>"100629315"</f>
        <v>100629315</v>
      </c>
      <c r="C10125" t="s">
        <v>50</v>
      </c>
      <c r="D10125" t="s">
        <v>15084</v>
      </c>
      <c r="E10125" t="s">
        <v>109</v>
      </c>
      <c r="F10125" t="s">
        <v>5394</v>
      </c>
      <c r="G10125" t="s">
        <v>2967</v>
      </c>
      <c r="H10125" t="str">
        <f>"3  ΙΕΡΑΡΧΩΝ  23 ΣΟΥΔΑ  ΧΑΝΙΩΝ"</f>
        <v>3  ΙΕΡΑΡΧΩΝ  23 ΣΟΥΔΑ  ΧΑΝΙΩΝ</v>
      </c>
      <c r="I10125">
        <v>74200</v>
      </c>
      <c r="K10125">
        <v>6977356729</v>
      </c>
      <c r="M10125" t="s">
        <v>15085</v>
      </c>
      <c r="N10125" t="s">
        <v>615</v>
      </c>
      <c r="O10125" t="s">
        <v>616</v>
      </c>
      <c r="R10125" t="s">
        <v>57</v>
      </c>
      <c r="S10125">
        <v>6</v>
      </c>
      <c r="T10125">
        <v>233</v>
      </c>
      <c r="U10125" s="1">
        <v>38960</v>
      </c>
      <c r="V10125" t="s">
        <v>89</v>
      </c>
      <c r="W10125" t="s">
        <v>90</v>
      </c>
      <c r="X10125" t="s">
        <v>58</v>
      </c>
      <c r="Y10125">
        <v>23</v>
      </c>
      <c r="Z10125" t="s">
        <v>59</v>
      </c>
      <c r="AA10125" t="s">
        <v>59</v>
      </c>
      <c r="AB10125" t="s">
        <v>59</v>
      </c>
      <c r="AC10125" t="s">
        <v>59</v>
      </c>
      <c r="AD10125" t="s">
        <v>59</v>
      </c>
      <c r="AF10125" s="1">
        <v>38960</v>
      </c>
      <c r="AG10125" t="s">
        <v>8645</v>
      </c>
      <c r="AH10125" t="s">
        <v>8646</v>
      </c>
      <c r="AI10125" t="str">
        <f>"9500115"</f>
        <v>9500115</v>
      </c>
      <c r="AJ10125" t="s">
        <v>14180</v>
      </c>
      <c r="AK10125">
        <v>2821081133</v>
      </c>
      <c r="AL10125" t="s">
        <v>14181</v>
      </c>
      <c r="AM10125" t="s">
        <v>88</v>
      </c>
      <c r="AN10125" t="s">
        <v>88</v>
      </c>
      <c r="AO10125" t="s">
        <v>6748</v>
      </c>
      <c r="AP10125" t="s">
        <v>14182</v>
      </c>
      <c r="AQ10125">
        <v>2</v>
      </c>
      <c r="AR10125" t="s">
        <v>89</v>
      </c>
      <c r="AS10125" t="s">
        <v>90</v>
      </c>
      <c r="AT10125" t="s">
        <v>58</v>
      </c>
      <c r="AU10125" t="s">
        <v>68</v>
      </c>
      <c r="AV10125" t="s">
        <v>69</v>
      </c>
      <c r="AW10125" s="1">
        <v>29962</v>
      </c>
      <c r="AX10125">
        <v>1</v>
      </c>
    </row>
    <row r="10126" spans="1:50">
      <c r="B10126" t="str">
        <f>"158303987"</f>
        <v>158303987</v>
      </c>
      <c r="C10126" t="s">
        <v>50</v>
      </c>
      <c r="D10126" t="s">
        <v>15086</v>
      </c>
      <c r="E10126" t="s">
        <v>52</v>
      </c>
      <c r="F10126" t="s">
        <v>72</v>
      </c>
      <c r="G10126" t="s">
        <v>3087</v>
      </c>
      <c r="H10126" t="str">
        <f>" "</f>
        <v xml:space="preserve"> </v>
      </c>
      <c r="N10126" t="s">
        <v>8694</v>
      </c>
      <c r="O10126" t="s">
        <v>8695</v>
      </c>
      <c r="R10126" t="s">
        <v>159</v>
      </c>
      <c r="S10126">
        <v>1</v>
      </c>
      <c r="T10126" t="s">
        <v>8835</v>
      </c>
      <c r="U10126" s="1">
        <v>43348</v>
      </c>
      <c r="V10126" t="s">
        <v>89</v>
      </c>
      <c r="W10126" t="s">
        <v>90</v>
      </c>
      <c r="X10126" t="s">
        <v>58</v>
      </c>
      <c r="Y10126">
        <v>24</v>
      </c>
      <c r="Z10126" t="s">
        <v>59</v>
      </c>
      <c r="AA10126" t="s">
        <v>59</v>
      </c>
      <c r="AB10126" t="s">
        <v>59</v>
      </c>
      <c r="AD10126" t="s">
        <v>59</v>
      </c>
      <c r="AF10126" s="1">
        <v>43348</v>
      </c>
      <c r="AG10126" t="s">
        <v>8645</v>
      </c>
      <c r="AH10126" t="s">
        <v>8646</v>
      </c>
      <c r="AI10126" t="str">
        <f>"9500315"</f>
        <v>9500315</v>
      </c>
      <c r="AJ10126" t="s">
        <v>14174</v>
      </c>
      <c r="AK10126">
        <v>2821040565</v>
      </c>
      <c r="AL10126" t="s">
        <v>14175</v>
      </c>
      <c r="AM10126" t="s">
        <v>88</v>
      </c>
      <c r="AN10126" t="s">
        <v>88</v>
      </c>
      <c r="AO10126" t="s">
        <v>88</v>
      </c>
      <c r="AP10126" t="s">
        <v>88</v>
      </c>
      <c r="AQ10126">
        <v>1</v>
      </c>
      <c r="AR10126" t="s">
        <v>89</v>
      </c>
      <c r="AS10126" t="s">
        <v>90</v>
      </c>
      <c r="AT10126" t="s">
        <v>58</v>
      </c>
      <c r="AU10126" t="s">
        <v>131</v>
      </c>
      <c r="AV10126" t="s">
        <v>132</v>
      </c>
      <c r="AW10126" s="1">
        <v>33685</v>
      </c>
      <c r="AX10126">
        <v>1</v>
      </c>
    </row>
    <row r="10127" spans="1:50">
      <c r="A10127">
        <v>613687</v>
      </c>
      <c r="B10127" t="str">
        <f>"138111974"</f>
        <v>138111974</v>
      </c>
      <c r="C10127" t="s">
        <v>50</v>
      </c>
      <c r="D10127" t="s">
        <v>15087</v>
      </c>
      <c r="E10127" t="s">
        <v>710</v>
      </c>
      <c r="F10127" t="s">
        <v>3811</v>
      </c>
      <c r="G10127" t="s">
        <v>143</v>
      </c>
      <c r="H10127" t="str">
        <f>"Κ. ΦΟΥΦΑ 13 ΠΤΟΛΕΜΑΪΔΑ"</f>
        <v>Κ. ΦΟΥΦΑ 13 ΠΤΟΛΕΜΑΪΔΑ</v>
      </c>
      <c r="I10127">
        <v>50200</v>
      </c>
      <c r="J10127">
        <v>2463053920</v>
      </c>
      <c r="K10127">
        <v>6972012107</v>
      </c>
      <c r="N10127" t="s">
        <v>615</v>
      </c>
      <c r="O10127" t="s">
        <v>616</v>
      </c>
      <c r="R10127" t="s">
        <v>57</v>
      </c>
      <c r="S10127">
        <v>6</v>
      </c>
      <c r="T10127">
        <v>598</v>
      </c>
      <c r="U10127" s="1">
        <v>39328</v>
      </c>
      <c r="V10127" t="s">
        <v>89</v>
      </c>
      <c r="W10127" t="s">
        <v>90</v>
      </c>
      <c r="X10127" t="s">
        <v>58</v>
      </c>
      <c r="Y10127">
        <v>23</v>
      </c>
      <c r="Z10127" t="s">
        <v>59</v>
      </c>
      <c r="AA10127" t="s">
        <v>59</v>
      </c>
      <c r="AB10127" t="s">
        <v>59</v>
      </c>
      <c r="AC10127" t="s">
        <v>59</v>
      </c>
      <c r="AD10127" t="s">
        <v>59</v>
      </c>
      <c r="AF10127" s="1">
        <v>39328</v>
      </c>
      <c r="AG10127" t="s">
        <v>8645</v>
      </c>
      <c r="AH10127" t="s">
        <v>8646</v>
      </c>
      <c r="AI10127" t="str">
        <f>"9500081"</f>
        <v>9500081</v>
      </c>
      <c r="AJ10127" t="s">
        <v>14034</v>
      </c>
      <c r="AK10127">
        <v>2821077150</v>
      </c>
      <c r="AL10127" t="s">
        <v>14035</v>
      </c>
      <c r="AM10127" t="s">
        <v>88</v>
      </c>
      <c r="AN10127" t="s">
        <v>6764</v>
      </c>
      <c r="AO10127" t="s">
        <v>6885</v>
      </c>
      <c r="AP10127" t="s">
        <v>6886</v>
      </c>
      <c r="AQ10127">
        <v>4</v>
      </c>
      <c r="AR10127" t="s">
        <v>89</v>
      </c>
      <c r="AS10127" t="s">
        <v>90</v>
      </c>
      <c r="AT10127" t="s">
        <v>58</v>
      </c>
      <c r="AU10127" t="s">
        <v>68</v>
      </c>
      <c r="AV10127" t="s">
        <v>69</v>
      </c>
      <c r="AW10127" s="1">
        <v>30188</v>
      </c>
      <c r="AX10127">
        <v>1</v>
      </c>
    </row>
    <row r="10128" spans="1:50">
      <c r="B10128" t="str">
        <f>"142543085"</f>
        <v>142543085</v>
      </c>
      <c r="C10128" t="s">
        <v>50</v>
      </c>
      <c r="D10128" t="s">
        <v>15088</v>
      </c>
      <c r="E10128" t="s">
        <v>181</v>
      </c>
      <c r="F10128" t="s">
        <v>315</v>
      </c>
      <c r="G10128" t="s">
        <v>801</v>
      </c>
      <c r="H10128" t="str">
        <f>"ΠΑΥΛΟΥ ΜΕΛΑ 25 "</f>
        <v xml:space="preserve">ΠΑΥΛΟΥ ΜΕΛΑ 25 </v>
      </c>
      <c r="I10128">
        <v>67100</v>
      </c>
      <c r="J10128">
        <v>6972209950</v>
      </c>
      <c r="K10128">
        <v>6974619121</v>
      </c>
      <c r="N10128" t="s">
        <v>8694</v>
      </c>
      <c r="O10128" t="s">
        <v>8695</v>
      </c>
      <c r="R10128" t="s">
        <v>159</v>
      </c>
      <c r="S10128">
        <v>3</v>
      </c>
      <c r="T10128" t="s">
        <v>8696</v>
      </c>
      <c r="U10128" s="1">
        <v>43348</v>
      </c>
      <c r="V10128" t="s">
        <v>89</v>
      </c>
      <c r="W10128" t="s">
        <v>90</v>
      </c>
      <c r="X10128" t="s">
        <v>58</v>
      </c>
      <c r="Y10128">
        <v>24</v>
      </c>
      <c r="Z10128" t="s">
        <v>59</v>
      </c>
      <c r="AA10128" t="s">
        <v>59</v>
      </c>
      <c r="AB10128" t="s">
        <v>59</v>
      </c>
      <c r="AC10128" t="s">
        <v>59</v>
      </c>
      <c r="AD10128" t="s">
        <v>59</v>
      </c>
      <c r="AF10128" s="1">
        <v>43348</v>
      </c>
      <c r="AG10128" t="s">
        <v>8645</v>
      </c>
      <c r="AH10128" t="s">
        <v>8697</v>
      </c>
      <c r="AI10128" t="str">
        <f>"9521567"</f>
        <v>9521567</v>
      </c>
      <c r="AJ10128" t="s">
        <v>14148</v>
      </c>
      <c r="AK10128">
        <v>2821086921</v>
      </c>
      <c r="AL10128" t="s">
        <v>14149</v>
      </c>
      <c r="AM10128" t="s">
        <v>88</v>
      </c>
      <c r="AN10128" t="s">
        <v>88</v>
      </c>
      <c r="AO10128" t="s">
        <v>88</v>
      </c>
      <c r="AP10128" t="s">
        <v>88</v>
      </c>
      <c r="AQ10128">
        <v>1</v>
      </c>
      <c r="AR10128" t="s">
        <v>89</v>
      </c>
      <c r="AS10128" t="s">
        <v>90</v>
      </c>
      <c r="AT10128" t="s">
        <v>58</v>
      </c>
      <c r="AU10128" t="s">
        <v>350</v>
      </c>
      <c r="AV10128" t="s">
        <v>132</v>
      </c>
      <c r="AW10128" s="1">
        <v>32351</v>
      </c>
      <c r="AX10128">
        <v>1</v>
      </c>
    </row>
    <row r="10129" spans="1:50">
      <c r="A10129">
        <v>182985</v>
      </c>
      <c r="B10129" t="str">
        <f>"044825498"</f>
        <v>044825498</v>
      </c>
      <c r="C10129" t="s">
        <v>50</v>
      </c>
      <c r="D10129" t="s">
        <v>2935</v>
      </c>
      <c r="E10129" t="s">
        <v>1306</v>
      </c>
      <c r="F10129" t="s">
        <v>84</v>
      </c>
      <c r="G10129" t="s">
        <v>2088</v>
      </c>
      <c r="H10129" t="str">
        <f>" "</f>
        <v xml:space="preserve"> </v>
      </c>
      <c r="N10129" t="s">
        <v>176</v>
      </c>
      <c r="O10129" t="s">
        <v>177</v>
      </c>
      <c r="R10129" t="s">
        <v>57</v>
      </c>
      <c r="S10129">
        <v>10</v>
      </c>
      <c r="T10129">
        <v>249</v>
      </c>
      <c r="U10129" s="1">
        <v>36160</v>
      </c>
      <c r="V10129" t="s">
        <v>89</v>
      </c>
      <c r="W10129" t="s">
        <v>90</v>
      </c>
      <c r="X10129" t="s">
        <v>58</v>
      </c>
      <c r="Y10129">
        <v>21</v>
      </c>
      <c r="Z10129" t="s">
        <v>59</v>
      </c>
      <c r="AA10129" t="s">
        <v>59</v>
      </c>
      <c r="AB10129" t="s">
        <v>59</v>
      </c>
      <c r="AC10129" t="s">
        <v>59</v>
      </c>
      <c r="AD10129" t="s">
        <v>59</v>
      </c>
      <c r="AF10129" s="1">
        <v>36172</v>
      </c>
      <c r="AG10129" t="s">
        <v>8645</v>
      </c>
      <c r="AH10129" t="s">
        <v>8646</v>
      </c>
      <c r="AI10129" t="str">
        <f>"9500358"</f>
        <v>9500358</v>
      </c>
      <c r="AJ10129" t="s">
        <v>13948</v>
      </c>
      <c r="AK10129">
        <v>2821093459</v>
      </c>
      <c r="AL10129" t="s">
        <v>13949</v>
      </c>
      <c r="AM10129" t="s">
        <v>88</v>
      </c>
      <c r="AN10129" t="s">
        <v>88</v>
      </c>
      <c r="AO10129" t="s">
        <v>6733</v>
      </c>
      <c r="AP10129" t="s">
        <v>6755</v>
      </c>
      <c r="AQ10129">
        <v>2</v>
      </c>
      <c r="AR10129" t="s">
        <v>89</v>
      </c>
      <c r="AS10129" t="s">
        <v>90</v>
      </c>
      <c r="AT10129" t="s">
        <v>58</v>
      </c>
      <c r="AU10129" t="s">
        <v>68</v>
      </c>
      <c r="AV10129" t="s">
        <v>69</v>
      </c>
      <c r="AW10129" s="1">
        <v>25631</v>
      </c>
      <c r="AX10129">
        <v>1</v>
      </c>
    </row>
    <row r="10130" spans="1:50">
      <c r="B10130" t="str">
        <f>"100609390"</f>
        <v>100609390</v>
      </c>
      <c r="C10130" t="s">
        <v>50</v>
      </c>
      <c r="D10130" t="s">
        <v>15089</v>
      </c>
      <c r="E10130" t="s">
        <v>396</v>
      </c>
      <c r="F10130" t="s">
        <v>693</v>
      </c>
      <c r="H10130" t="str">
        <f>" "</f>
        <v xml:space="preserve"> </v>
      </c>
      <c r="N10130" t="s">
        <v>1525</v>
      </c>
      <c r="O10130" t="s">
        <v>1526</v>
      </c>
      <c r="R10130" t="s">
        <v>121</v>
      </c>
      <c r="S10130">
        <v>1</v>
      </c>
      <c r="T10130" t="s">
        <v>8670</v>
      </c>
      <c r="U10130" s="1">
        <v>43348</v>
      </c>
      <c r="V10130" t="s">
        <v>89</v>
      </c>
      <c r="W10130" t="s">
        <v>90</v>
      </c>
      <c r="X10130" t="s">
        <v>58</v>
      </c>
      <c r="Y10130">
        <v>25</v>
      </c>
      <c r="Z10130" t="s">
        <v>59</v>
      </c>
      <c r="AA10130" t="s">
        <v>59</v>
      </c>
      <c r="AB10130" t="s">
        <v>59</v>
      </c>
      <c r="AC10130" t="s">
        <v>59</v>
      </c>
      <c r="AD10130" t="s">
        <v>59</v>
      </c>
      <c r="AF10130" s="1">
        <v>43348</v>
      </c>
      <c r="AG10130" t="s">
        <v>8651</v>
      </c>
      <c r="AH10130" t="s">
        <v>8652</v>
      </c>
      <c r="AI10130" t="str">
        <f>"9500413"</f>
        <v>9500413</v>
      </c>
      <c r="AJ10130" t="s">
        <v>14125</v>
      </c>
      <c r="AK10130">
        <v>2821064655</v>
      </c>
      <c r="AL10130" t="s">
        <v>14126</v>
      </c>
      <c r="AM10130" t="s">
        <v>88</v>
      </c>
      <c r="AN10130" t="s">
        <v>88</v>
      </c>
      <c r="AO10130" t="s">
        <v>6770</v>
      </c>
      <c r="AP10130" t="s">
        <v>6771</v>
      </c>
      <c r="AQ10130">
        <v>2</v>
      </c>
      <c r="AR10130" t="s">
        <v>89</v>
      </c>
      <c r="AS10130" t="s">
        <v>90</v>
      </c>
      <c r="AT10130" t="s">
        <v>58</v>
      </c>
      <c r="AU10130" t="s">
        <v>8673</v>
      </c>
      <c r="AV10130" t="s">
        <v>132</v>
      </c>
      <c r="AW10130" s="1">
        <v>29578</v>
      </c>
      <c r="AX10130">
        <v>1</v>
      </c>
    </row>
    <row r="10131" spans="1:50">
      <c r="B10131" t="str">
        <f>"140691793"</f>
        <v>140691793</v>
      </c>
      <c r="C10131" t="s">
        <v>105</v>
      </c>
      <c r="D10131" t="s">
        <v>12416</v>
      </c>
      <c r="E10131" t="s">
        <v>84</v>
      </c>
      <c r="F10131" t="s">
        <v>95</v>
      </c>
      <c r="G10131" t="s">
        <v>143</v>
      </c>
      <c r="H10131" t="str">
        <f>" "</f>
        <v xml:space="preserve"> </v>
      </c>
      <c r="N10131" t="s">
        <v>615</v>
      </c>
      <c r="O10131" t="s">
        <v>616</v>
      </c>
      <c r="R10131" t="s">
        <v>121</v>
      </c>
      <c r="S10131">
        <v>1</v>
      </c>
      <c r="T10131" t="s">
        <v>9034</v>
      </c>
      <c r="U10131" s="1">
        <v>43377</v>
      </c>
      <c r="V10131" t="s">
        <v>89</v>
      </c>
      <c r="W10131" t="s">
        <v>90</v>
      </c>
      <c r="X10131" t="s">
        <v>58</v>
      </c>
      <c r="Y10131">
        <v>24</v>
      </c>
      <c r="Z10131" t="s">
        <v>59</v>
      </c>
      <c r="AA10131" t="s">
        <v>59</v>
      </c>
      <c r="AB10131" t="s">
        <v>59</v>
      </c>
      <c r="AD10131" t="s">
        <v>59</v>
      </c>
      <c r="AF10131" s="1">
        <v>43377</v>
      </c>
      <c r="AG10131" t="s">
        <v>8645</v>
      </c>
      <c r="AH10131" t="s">
        <v>8676</v>
      </c>
      <c r="AI10131" t="str">
        <f>"9500003"</f>
        <v>9500003</v>
      </c>
      <c r="AJ10131" t="s">
        <v>14906</v>
      </c>
      <c r="AK10131">
        <v>2831082298</v>
      </c>
      <c r="AL10131" t="s">
        <v>14907</v>
      </c>
      <c r="AM10131" t="s">
        <v>88</v>
      </c>
      <c r="AN10131" t="s">
        <v>6775</v>
      </c>
      <c r="AO10131" t="s">
        <v>14371</v>
      </c>
      <c r="AP10131" t="s">
        <v>14371</v>
      </c>
      <c r="AQ10131">
        <v>8</v>
      </c>
      <c r="AR10131" t="s">
        <v>89</v>
      </c>
      <c r="AS10131" t="s">
        <v>90</v>
      </c>
      <c r="AT10131" t="s">
        <v>58</v>
      </c>
      <c r="AU10131" t="s">
        <v>8673</v>
      </c>
      <c r="AV10131" t="s">
        <v>132</v>
      </c>
      <c r="AW10131" s="1">
        <v>32613</v>
      </c>
      <c r="AX10131">
        <v>1</v>
      </c>
    </row>
    <row r="10132" spans="1:50">
      <c r="A10132">
        <v>593286</v>
      </c>
      <c r="B10132" t="str">
        <f>"063036811"</f>
        <v>063036811</v>
      </c>
      <c r="C10132" t="s">
        <v>50</v>
      </c>
      <c r="D10132" t="s">
        <v>15090</v>
      </c>
      <c r="E10132" t="s">
        <v>73</v>
      </c>
      <c r="F10132" t="s">
        <v>15091</v>
      </c>
      <c r="G10132" t="s">
        <v>155</v>
      </c>
      <c r="H10132" t="str">
        <f>"Ι. ΚΑΠΟΔΙΣΤΡΙΟΥ 50-52 ΧΑΝΙΑ"</f>
        <v>Ι. ΚΑΠΟΔΙΣΤΡΙΟΥ 50-52 ΧΑΝΙΑ</v>
      </c>
      <c r="I10132">
        <v>73133</v>
      </c>
      <c r="J10132">
        <v>2821023169</v>
      </c>
      <c r="K10132">
        <v>6972720943</v>
      </c>
      <c r="M10132" t="s">
        <v>15092</v>
      </c>
      <c r="N10132" t="s">
        <v>615</v>
      </c>
      <c r="O10132" t="s">
        <v>616</v>
      </c>
      <c r="R10132" t="s">
        <v>57</v>
      </c>
      <c r="S10132">
        <v>8</v>
      </c>
      <c r="T10132">
        <v>218</v>
      </c>
      <c r="U10132" s="1">
        <v>37134</v>
      </c>
      <c r="V10132" t="s">
        <v>89</v>
      </c>
      <c r="W10132" t="s">
        <v>90</v>
      </c>
      <c r="X10132" t="s">
        <v>58</v>
      </c>
      <c r="Y10132">
        <v>22</v>
      </c>
      <c r="Z10132" t="s">
        <v>59</v>
      </c>
      <c r="AA10132" t="s">
        <v>59</v>
      </c>
      <c r="AB10132" t="s">
        <v>59</v>
      </c>
      <c r="AC10132" t="s">
        <v>59</v>
      </c>
      <c r="AD10132" t="s">
        <v>59</v>
      </c>
      <c r="AF10132" s="1">
        <v>37134</v>
      </c>
      <c r="AG10132" t="s">
        <v>8645</v>
      </c>
      <c r="AH10132" t="s">
        <v>8646</v>
      </c>
      <c r="AI10132" t="str">
        <f>"9500045"</f>
        <v>9500045</v>
      </c>
      <c r="AJ10132" t="s">
        <v>13887</v>
      </c>
      <c r="AK10132">
        <v>2821044369</v>
      </c>
      <c r="AL10132" t="s">
        <v>13888</v>
      </c>
      <c r="AM10132" t="s">
        <v>88</v>
      </c>
      <c r="AN10132" t="s">
        <v>88</v>
      </c>
      <c r="AO10132" t="s">
        <v>88</v>
      </c>
      <c r="AP10132" t="s">
        <v>88</v>
      </c>
      <c r="AQ10132">
        <v>1</v>
      </c>
      <c r="AR10132" t="s">
        <v>89</v>
      </c>
      <c r="AS10132" t="s">
        <v>90</v>
      </c>
      <c r="AT10132" t="s">
        <v>58</v>
      </c>
      <c r="AU10132" t="s">
        <v>68</v>
      </c>
      <c r="AV10132" t="s">
        <v>69</v>
      </c>
      <c r="AW10132" s="1">
        <v>26307</v>
      </c>
      <c r="AX10132">
        <v>1</v>
      </c>
    </row>
    <row r="10133" spans="1:50">
      <c r="A10133">
        <v>559843</v>
      </c>
      <c r="B10133" t="str">
        <f>"032479822"</f>
        <v>032479822</v>
      </c>
      <c r="C10133" t="s">
        <v>50</v>
      </c>
      <c r="D10133" t="s">
        <v>15093</v>
      </c>
      <c r="E10133" t="s">
        <v>507</v>
      </c>
      <c r="F10133" t="s">
        <v>957</v>
      </c>
      <c r="G10133" t="s">
        <v>83</v>
      </c>
      <c r="H10133" t="str">
        <f>"Σ.Ο.Α. ΤΥΧΕΡΟΥ ΕΒΡΟΣ"</f>
        <v>Σ.Ο.Α. ΤΥΧΕΡΟΥ ΕΒΡΟΣ</v>
      </c>
      <c r="I10133">
        <v>68003</v>
      </c>
      <c r="J10133">
        <v>2554110052</v>
      </c>
      <c r="K10133">
        <v>6936057415</v>
      </c>
      <c r="N10133" t="s">
        <v>1525</v>
      </c>
      <c r="O10133" t="s">
        <v>1526</v>
      </c>
      <c r="R10133" t="s">
        <v>57</v>
      </c>
      <c r="S10133">
        <v>16</v>
      </c>
      <c r="T10133">
        <v>175</v>
      </c>
      <c r="U10133" s="1">
        <v>32020</v>
      </c>
      <c r="V10133" t="s">
        <v>89</v>
      </c>
      <c r="W10133" t="s">
        <v>90</v>
      </c>
      <c r="X10133" t="s">
        <v>58</v>
      </c>
      <c r="Y10133">
        <v>25</v>
      </c>
      <c r="Z10133" t="s">
        <v>59</v>
      </c>
      <c r="AA10133" t="s">
        <v>59</v>
      </c>
      <c r="AB10133" t="s">
        <v>59</v>
      </c>
      <c r="AC10133" t="s">
        <v>59</v>
      </c>
      <c r="AD10133" t="s">
        <v>59</v>
      </c>
      <c r="AF10133" s="1">
        <v>32021</v>
      </c>
      <c r="AG10133" t="s">
        <v>8651</v>
      </c>
      <c r="AH10133" t="s">
        <v>8652</v>
      </c>
      <c r="AI10133" t="str">
        <f>"9500298"</f>
        <v>9500298</v>
      </c>
      <c r="AJ10133" t="s">
        <v>15094</v>
      </c>
      <c r="AK10133">
        <v>2821020837</v>
      </c>
      <c r="AL10133" t="s">
        <v>15095</v>
      </c>
      <c r="AM10133" t="s">
        <v>88</v>
      </c>
      <c r="AN10133" t="s">
        <v>88</v>
      </c>
      <c r="AO10133" t="s">
        <v>13920</v>
      </c>
      <c r="AP10133" t="s">
        <v>13996</v>
      </c>
      <c r="AQ10133">
        <v>3</v>
      </c>
      <c r="AR10133" t="s">
        <v>89</v>
      </c>
      <c r="AS10133" t="s">
        <v>90</v>
      </c>
      <c r="AT10133" t="s">
        <v>58</v>
      </c>
      <c r="AU10133" t="s">
        <v>68</v>
      </c>
      <c r="AV10133" t="s">
        <v>69</v>
      </c>
      <c r="AW10133" s="1">
        <v>23363</v>
      </c>
      <c r="AX10133">
        <v>1</v>
      </c>
    </row>
    <row r="10134" spans="1:50">
      <c r="B10134" t="str">
        <f>"149409330"</f>
        <v>149409330</v>
      </c>
      <c r="C10134" t="s">
        <v>50</v>
      </c>
      <c r="D10134" t="s">
        <v>15096</v>
      </c>
      <c r="E10134" t="s">
        <v>15097</v>
      </c>
      <c r="F10134" t="s">
        <v>106</v>
      </c>
      <c r="G10134" t="s">
        <v>83</v>
      </c>
      <c r="H10134" t="str">
        <f>" "</f>
        <v xml:space="preserve"> </v>
      </c>
      <c r="N10134" t="s">
        <v>8834</v>
      </c>
      <c r="O10134" t="s">
        <v>8695</v>
      </c>
      <c r="R10134" t="s">
        <v>121</v>
      </c>
      <c r="S10134">
        <v>3</v>
      </c>
      <c r="T10134" t="s">
        <v>8835</v>
      </c>
      <c r="U10134" s="1">
        <v>43348</v>
      </c>
      <c r="V10134" t="s">
        <v>89</v>
      </c>
      <c r="W10134" t="s">
        <v>90</v>
      </c>
      <c r="X10134" t="s">
        <v>58</v>
      </c>
      <c r="Y10134">
        <v>24</v>
      </c>
      <c r="Z10134" t="s">
        <v>59</v>
      </c>
      <c r="AA10134" t="s">
        <v>59</v>
      </c>
      <c r="AB10134" t="s">
        <v>59</v>
      </c>
      <c r="AD10134" t="s">
        <v>59</v>
      </c>
      <c r="AF10134" s="1">
        <v>43348</v>
      </c>
      <c r="AG10134" t="s">
        <v>8645</v>
      </c>
      <c r="AH10134" t="s">
        <v>8646</v>
      </c>
      <c r="AI10134" t="str">
        <f>"9500094"</f>
        <v>9500094</v>
      </c>
      <c r="AJ10134" t="s">
        <v>13883</v>
      </c>
      <c r="AK10134">
        <v>2821039330</v>
      </c>
      <c r="AL10134" t="s">
        <v>13884</v>
      </c>
      <c r="AM10134" t="s">
        <v>88</v>
      </c>
      <c r="AN10134" t="s">
        <v>88</v>
      </c>
      <c r="AO10134" t="s">
        <v>6770</v>
      </c>
      <c r="AP10134" t="s">
        <v>6771</v>
      </c>
      <c r="AQ10134">
        <v>2</v>
      </c>
      <c r="AR10134" t="s">
        <v>89</v>
      </c>
      <c r="AS10134" t="s">
        <v>90</v>
      </c>
      <c r="AT10134" t="s">
        <v>58</v>
      </c>
      <c r="AU10134" t="s">
        <v>131</v>
      </c>
      <c r="AV10134" t="s">
        <v>132</v>
      </c>
      <c r="AW10134" s="1">
        <v>33601</v>
      </c>
      <c r="AX10134">
        <v>1</v>
      </c>
    </row>
    <row r="10135" spans="1:50">
      <c r="A10135">
        <v>548782</v>
      </c>
      <c r="B10135" t="str">
        <f>"113155420"</f>
        <v>113155420</v>
      </c>
      <c r="C10135" t="s">
        <v>50</v>
      </c>
      <c r="D10135" t="s">
        <v>15098</v>
      </c>
      <c r="E10135" t="s">
        <v>714</v>
      </c>
      <c r="F10135" t="s">
        <v>95</v>
      </c>
      <c r="G10135" t="s">
        <v>54</v>
      </c>
      <c r="H10135" t="str">
        <f>"Μ. ΚΥΡΙΛΛΟΥ 3 ΧΑΝΙΑ"</f>
        <v>Μ. ΚΥΡΙΛΛΟΥ 3 ΧΑΝΙΑ</v>
      </c>
      <c r="I10135">
        <v>73100</v>
      </c>
      <c r="J10135">
        <v>2821098807</v>
      </c>
      <c r="K10135">
        <v>6978111729</v>
      </c>
      <c r="N10135" t="s">
        <v>615</v>
      </c>
      <c r="O10135" t="s">
        <v>616</v>
      </c>
      <c r="R10135" t="s">
        <v>57</v>
      </c>
      <c r="S10135">
        <v>18</v>
      </c>
      <c r="T10135">
        <v>410</v>
      </c>
      <c r="U10135" s="1">
        <v>30316</v>
      </c>
      <c r="V10135" t="s">
        <v>89</v>
      </c>
      <c r="W10135" t="s">
        <v>90</v>
      </c>
      <c r="X10135" t="s">
        <v>58</v>
      </c>
      <c r="Y10135">
        <v>21</v>
      </c>
      <c r="Z10135" t="s">
        <v>59</v>
      </c>
      <c r="AA10135" t="s">
        <v>59</v>
      </c>
      <c r="AB10135" t="s">
        <v>59</v>
      </c>
      <c r="AC10135" t="s">
        <v>59</v>
      </c>
      <c r="AD10135" t="s">
        <v>59</v>
      </c>
      <c r="AF10135" s="1">
        <v>30316</v>
      </c>
      <c r="AG10135" t="s">
        <v>8645</v>
      </c>
      <c r="AH10135" t="s">
        <v>8646</v>
      </c>
      <c r="AI10135" t="str">
        <f>"9500144"</f>
        <v>9500144</v>
      </c>
      <c r="AJ10135" t="s">
        <v>14010</v>
      </c>
      <c r="AK10135">
        <v>2821094171</v>
      </c>
      <c r="AL10135" t="s">
        <v>14011</v>
      </c>
      <c r="AM10135" t="s">
        <v>88</v>
      </c>
      <c r="AN10135" t="s">
        <v>88</v>
      </c>
      <c r="AO10135" t="s">
        <v>88</v>
      </c>
      <c r="AP10135" t="s">
        <v>88</v>
      </c>
      <c r="AQ10135">
        <v>1</v>
      </c>
      <c r="AR10135" t="s">
        <v>89</v>
      </c>
      <c r="AS10135" t="s">
        <v>90</v>
      </c>
      <c r="AT10135" t="s">
        <v>58</v>
      </c>
      <c r="AU10135" t="s">
        <v>68</v>
      </c>
      <c r="AV10135" t="s">
        <v>69</v>
      </c>
      <c r="AW10135" s="1">
        <v>22085</v>
      </c>
      <c r="AX10135">
        <v>1</v>
      </c>
    </row>
    <row r="10136" spans="1:50">
      <c r="A10136">
        <v>620408</v>
      </c>
      <c r="B10136" t="str">
        <f>"135239480"</f>
        <v>135239480</v>
      </c>
      <c r="C10136" t="s">
        <v>50</v>
      </c>
      <c r="D10136" t="s">
        <v>15098</v>
      </c>
      <c r="E10136" t="s">
        <v>440</v>
      </c>
      <c r="F10136" t="s">
        <v>153</v>
      </c>
      <c r="G10136" t="s">
        <v>714</v>
      </c>
      <c r="H10136" t="str">
        <f>"ΛΥΚΟΒΑΡΔΗ 1-3 ΛΕΝΤΑΡΙΑΝΑ"</f>
        <v>ΛΥΚΟΒΑΡΔΗ 1-3 ΛΕΝΤΑΡΙΑΝΑ</v>
      </c>
      <c r="I10136">
        <v>73100</v>
      </c>
      <c r="J10136">
        <v>2821071233</v>
      </c>
      <c r="K10136">
        <v>6977572823</v>
      </c>
      <c r="N10136" t="s">
        <v>615</v>
      </c>
      <c r="O10136" t="s">
        <v>616</v>
      </c>
      <c r="R10136" t="s">
        <v>57</v>
      </c>
      <c r="S10136">
        <v>5</v>
      </c>
      <c r="T10136">
        <v>653</v>
      </c>
      <c r="U10136" s="1">
        <v>40043</v>
      </c>
      <c r="V10136" t="s">
        <v>89</v>
      </c>
      <c r="W10136" t="s">
        <v>90</v>
      </c>
      <c r="X10136" t="s">
        <v>58</v>
      </c>
      <c r="Y10136">
        <v>25</v>
      </c>
      <c r="Z10136" t="s">
        <v>59</v>
      </c>
      <c r="AA10136" t="s">
        <v>59</v>
      </c>
      <c r="AB10136" t="s">
        <v>59</v>
      </c>
      <c r="AC10136" t="s">
        <v>59</v>
      </c>
      <c r="AD10136" t="s">
        <v>59</v>
      </c>
      <c r="AF10136" s="1">
        <v>40043</v>
      </c>
      <c r="AG10136" t="s">
        <v>8645</v>
      </c>
      <c r="AH10136" t="s">
        <v>8676</v>
      </c>
      <c r="AI10136" t="str">
        <f>"9521627"</f>
        <v>9521627</v>
      </c>
      <c r="AJ10136" t="s">
        <v>14326</v>
      </c>
      <c r="AM10136" t="s">
        <v>88</v>
      </c>
      <c r="AN10136" t="s">
        <v>88</v>
      </c>
      <c r="AO10136" t="s">
        <v>6770</v>
      </c>
      <c r="AP10136" t="s">
        <v>6771</v>
      </c>
      <c r="AR10136" t="s">
        <v>89</v>
      </c>
      <c r="AS10136" t="s">
        <v>90</v>
      </c>
      <c r="AT10136" t="s">
        <v>58</v>
      </c>
      <c r="AU10136" t="s">
        <v>68</v>
      </c>
      <c r="AV10136" t="s">
        <v>69</v>
      </c>
      <c r="AW10136" s="1">
        <v>30501</v>
      </c>
      <c r="AX10136">
        <v>1</v>
      </c>
    </row>
    <row r="10137" spans="1:50">
      <c r="A10137">
        <v>599352</v>
      </c>
      <c r="B10137" t="str">
        <f>"057647875"</f>
        <v>057647875</v>
      </c>
      <c r="C10137" t="s">
        <v>50</v>
      </c>
      <c r="D10137" t="s">
        <v>2961</v>
      </c>
      <c r="E10137" t="s">
        <v>1019</v>
      </c>
      <c r="F10137" t="s">
        <v>72</v>
      </c>
      <c r="G10137" t="s">
        <v>52</v>
      </c>
      <c r="H10137" t="str">
        <f>"ΓΙΟΥΡΜΕΤΑΚΗ  13 ΧΑΝΙΑ"</f>
        <v>ΓΙΟΥΡΜΕΤΑΚΗ  13 ΧΑΝΙΑ</v>
      </c>
      <c r="I10137">
        <v>73100</v>
      </c>
      <c r="J10137">
        <v>2821058119</v>
      </c>
      <c r="K10137">
        <v>6945371856</v>
      </c>
      <c r="N10137" t="s">
        <v>615</v>
      </c>
      <c r="O10137" t="s">
        <v>616</v>
      </c>
      <c r="R10137" t="s">
        <v>57</v>
      </c>
      <c r="S10137">
        <v>9</v>
      </c>
      <c r="T10137">
        <v>195</v>
      </c>
      <c r="U10137" s="1">
        <v>37497</v>
      </c>
      <c r="V10137" t="s">
        <v>89</v>
      </c>
      <c r="W10137" t="s">
        <v>90</v>
      </c>
      <c r="X10137" t="s">
        <v>58</v>
      </c>
      <c r="Y10137">
        <v>22</v>
      </c>
      <c r="Z10137" t="s">
        <v>59</v>
      </c>
      <c r="AA10137" t="s">
        <v>59</v>
      </c>
      <c r="AB10137" t="s">
        <v>59</v>
      </c>
      <c r="AC10137" t="s">
        <v>59</v>
      </c>
      <c r="AD10137" t="s">
        <v>59</v>
      </c>
      <c r="AF10137" s="1">
        <v>37497</v>
      </c>
      <c r="AG10137" t="s">
        <v>8645</v>
      </c>
      <c r="AH10137" t="s">
        <v>8646</v>
      </c>
      <c r="AI10137" t="str">
        <f>"9500329"</f>
        <v>9500329</v>
      </c>
      <c r="AJ10137" t="s">
        <v>14241</v>
      </c>
      <c r="AK10137">
        <v>2821099075</v>
      </c>
      <c r="AL10137" t="s">
        <v>14242</v>
      </c>
      <c r="AM10137" t="s">
        <v>88</v>
      </c>
      <c r="AN10137" t="s">
        <v>88</v>
      </c>
      <c r="AO10137" t="s">
        <v>6733</v>
      </c>
      <c r="AP10137" t="s">
        <v>6734</v>
      </c>
      <c r="AQ10137">
        <v>2</v>
      </c>
      <c r="AR10137" t="s">
        <v>89</v>
      </c>
      <c r="AS10137" t="s">
        <v>90</v>
      </c>
      <c r="AT10137" t="s">
        <v>58</v>
      </c>
      <c r="AU10137" t="s">
        <v>68</v>
      </c>
      <c r="AV10137" t="s">
        <v>69</v>
      </c>
      <c r="AW10137" s="1">
        <v>24946</v>
      </c>
      <c r="AX10137">
        <v>1</v>
      </c>
    </row>
    <row r="10138" spans="1:50">
      <c r="A10138">
        <v>609659</v>
      </c>
      <c r="B10138" t="str">
        <f>"101564040"</f>
        <v>101564040</v>
      </c>
      <c r="C10138" t="s">
        <v>50</v>
      </c>
      <c r="D10138" t="s">
        <v>2961</v>
      </c>
      <c r="E10138" t="s">
        <v>263</v>
      </c>
      <c r="F10138" t="s">
        <v>106</v>
      </c>
      <c r="G10138" t="s">
        <v>4251</v>
      </c>
      <c r="H10138" t="str">
        <f>"ΘΕΜΙΣΤΟΚΛΕΟΥΣ  15 ΧΑΝΙΑ"</f>
        <v>ΘΕΜΙΣΤΟΚΛΕΟΥΣ  15 ΧΑΝΙΑ</v>
      </c>
      <c r="I10138">
        <v>73100</v>
      </c>
      <c r="J10138">
        <v>2821501908</v>
      </c>
      <c r="K10138">
        <v>6937187422</v>
      </c>
      <c r="N10138" t="s">
        <v>176</v>
      </c>
      <c r="O10138" t="s">
        <v>177</v>
      </c>
      <c r="R10138" t="s">
        <v>57</v>
      </c>
      <c r="S10138">
        <v>6</v>
      </c>
      <c r="T10138">
        <v>225</v>
      </c>
      <c r="U10138" s="1">
        <v>38604</v>
      </c>
      <c r="V10138" t="s">
        <v>89</v>
      </c>
      <c r="W10138" t="s">
        <v>90</v>
      </c>
      <c r="X10138" t="s">
        <v>58</v>
      </c>
      <c r="Y10138">
        <v>23</v>
      </c>
      <c r="Z10138" t="s">
        <v>59</v>
      </c>
      <c r="AA10138" t="s">
        <v>59</v>
      </c>
      <c r="AB10138" t="s">
        <v>59</v>
      </c>
      <c r="AC10138" t="s">
        <v>59</v>
      </c>
      <c r="AD10138" t="s">
        <v>59</v>
      </c>
      <c r="AF10138" s="1">
        <v>38609</v>
      </c>
      <c r="AG10138" t="s">
        <v>8645</v>
      </c>
      <c r="AH10138" t="s">
        <v>8646</v>
      </c>
      <c r="AI10138" t="str">
        <f>"9500423"</f>
        <v>9500423</v>
      </c>
      <c r="AJ10138" t="s">
        <v>13893</v>
      </c>
      <c r="AK10138">
        <v>2821023473</v>
      </c>
      <c r="AL10138" t="s">
        <v>13894</v>
      </c>
      <c r="AM10138" t="s">
        <v>88</v>
      </c>
      <c r="AN10138" t="s">
        <v>88</v>
      </c>
      <c r="AO10138" t="s">
        <v>88</v>
      </c>
      <c r="AP10138" t="s">
        <v>88</v>
      </c>
      <c r="AQ10138">
        <v>1</v>
      </c>
      <c r="AR10138" t="s">
        <v>89</v>
      </c>
      <c r="AS10138" t="s">
        <v>90</v>
      </c>
      <c r="AT10138" t="s">
        <v>58</v>
      </c>
      <c r="AU10138" t="s">
        <v>68</v>
      </c>
      <c r="AV10138" t="s">
        <v>69</v>
      </c>
      <c r="AW10138" s="1">
        <v>27598</v>
      </c>
      <c r="AX10138">
        <v>1</v>
      </c>
    </row>
    <row r="10139" spans="1:50">
      <c r="A10139">
        <v>621540</v>
      </c>
      <c r="B10139" t="str">
        <f>"129478880"</f>
        <v>129478880</v>
      </c>
      <c r="C10139" t="s">
        <v>50</v>
      </c>
      <c r="D10139" t="s">
        <v>15099</v>
      </c>
      <c r="E10139" t="s">
        <v>9904</v>
      </c>
      <c r="F10139" t="s">
        <v>99</v>
      </c>
      <c r="G10139" t="s">
        <v>237</v>
      </c>
      <c r="H10139" t="str">
        <f>"Α΄ΠΑΡΑΔ.ΜΕΛΙΔΟΝΙΩΝ ΚΑΤΩ ΔΑΡΑΤΣΟ"</f>
        <v>Α΄ΠΑΡΑΔ.ΜΕΛΙΔΟΝΙΩΝ ΚΑΤΩ ΔΑΡΑΤΣΟ</v>
      </c>
      <c r="I10139">
        <v>73100</v>
      </c>
      <c r="J10139">
        <v>2821009536</v>
      </c>
      <c r="K10139">
        <v>6972293678</v>
      </c>
      <c r="M10139" t="s">
        <v>15100</v>
      </c>
      <c r="N10139" t="s">
        <v>615</v>
      </c>
      <c r="O10139" t="s">
        <v>616</v>
      </c>
      <c r="R10139" t="s">
        <v>57</v>
      </c>
      <c r="S10139">
        <v>8</v>
      </c>
      <c r="T10139">
        <v>653</v>
      </c>
      <c r="U10139" s="1">
        <v>40043</v>
      </c>
      <c r="V10139" t="s">
        <v>89</v>
      </c>
      <c r="W10139" t="s">
        <v>90</v>
      </c>
      <c r="X10139" t="s">
        <v>58</v>
      </c>
      <c r="Y10139">
        <v>24</v>
      </c>
      <c r="Z10139" t="s">
        <v>59</v>
      </c>
      <c r="AA10139" t="s">
        <v>59</v>
      </c>
      <c r="AB10139" t="s">
        <v>59</v>
      </c>
      <c r="AC10139" t="s">
        <v>59</v>
      </c>
      <c r="AD10139" t="s">
        <v>59</v>
      </c>
      <c r="AF10139" s="1">
        <v>40113</v>
      </c>
      <c r="AG10139" t="s">
        <v>8645</v>
      </c>
      <c r="AH10139" t="s">
        <v>8646</v>
      </c>
      <c r="AI10139" t="str">
        <f>"9500084"</f>
        <v>9500084</v>
      </c>
      <c r="AJ10139" t="s">
        <v>13994</v>
      </c>
      <c r="AK10139">
        <v>2821031270</v>
      </c>
      <c r="AL10139" t="s">
        <v>13995</v>
      </c>
      <c r="AM10139" t="s">
        <v>88</v>
      </c>
      <c r="AN10139" t="s">
        <v>88</v>
      </c>
      <c r="AO10139" t="s">
        <v>13920</v>
      </c>
      <c r="AP10139" t="s">
        <v>13996</v>
      </c>
      <c r="AQ10139">
        <v>3</v>
      </c>
      <c r="AR10139" t="s">
        <v>89</v>
      </c>
      <c r="AS10139" t="s">
        <v>90</v>
      </c>
      <c r="AT10139" t="s">
        <v>58</v>
      </c>
      <c r="AU10139" t="s">
        <v>68</v>
      </c>
      <c r="AV10139" t="s">
        <v>69</v>
      </c>
      <c r="AW10139" s="1">
        <v>31042</v>
      </c>
      <c r="AX10139">
        <v>1</v>
      </c>
    </row>
    <row r="10140" spans="1:50">
      <c r="A10140">
        <v>214082</v>
      </c>
      <c r="B10140" t="str">
        <f>"076878449"</f>
        <v>076878449</v>
      </c>
      <c r="C10140" t="s">
        <v>50</v>
      </c>
      <c r="D10140" t="s">
        <v>2964</v>
      </c>
      <c r="E10140" t="s">
        <v>15101</v>
      </c>
      <c r="F10140" t="s">
        <v>9758</v>
      </c>
      <c r="G10140" t="s">
        <v>2205</v>
      </c>
      <c r="H10140" t="str">
        <f>"Καμπάνι Ακρωτηρίου "</f>
        <v xml:space="preserve">Καμπάνι Ακρωτηρίου </v>
      </c>
      <c r="J10140">
        <v>2821034354</v>
      </c>
      <c r="K10140">
        <v>6973693353</v>
      </c>
      <c r="L10140">
        <v>2821034354</v>
      </c>
      <c r="N10140" t="s">
        <v>288</v>
      </c>
      <c r="O10140" t="s">
        <v>289</v>
      </c>
      <c r="R10140" t="s">
        <v>57</v>
      </c>
      <c r="S10140">
        <v>8</v>
      </c>
      <c r="T10140">
        <v>231</v>
      </c>
      <c r="U10140" s="1">
        <v>38960</v>
      </c>
      <c r="V10140" t="s">
        <v>89</v>
      </c>
      <c r="W10140" t="s">
        <v>90</v>
      </c>
      <c r="X10140" t="s">
        <v>58</v>
      </c>
      <c r="Y10140">
        <v>22</v>
      </c>
      <c r="Z10140" t="s">
        <v>59</v>
      </c>
      <c r="AA10140" t="s">
        <v>59</v>
      </c>
      <c r="AB10140" t="s">
        <v>59</v>
      </c>
      <c r="AC10140" t="s">
        <v>59</v>
      </c>
      <c r="AD10140" t="s">
        <v>59</v>
      </c>
      <c r="AF10140" s="1">
        <v>38961</v>
      </c>
      <c r="AG10140" t="s">
        <v>8645</v>
      </c>
      <c r="AH10140" t="s">
        <v>8646</v>
      </c>
      <c r="AI10140" t="str">
        <f>"9500093"</f>
        <v>9500093</v>
      </c>
      <c r="AJ10140" t="s">
        <v>13865</v>
      </c>
      <c r="AK10140">
        <v>2821064537</v>
      </c>
      <c r="AL10140" t="s">
        <v>13866</v>
      </c>
      <c r="AM10140" t="s">
        <v>88</v>
      </c>
      <c r="AN10140" t="s">
        <v>88</v>
      </c>
      <c r="AO10140" t="s">
        <v>6770</v>
      </c>
      <c r="AP10140" t="s">
        <v>6771</v>
      </c>
      <c r="AQ10140">
        <v>2</v>
      </c>
      <c r="AR10140" t="s">
        <v>89</v>
      </c>
      <c r="AS10140" t="s">
        <v>90</v>
      </c>
      <c r="AT10140" t="s">
        <v>58</v>
      </c>
      <c r="AU10140" t="s">
        <v>68</v>
      </c>
      <c r="AV10140" t="s">
        <v>132</v>
      </c>
      <c r="AW10140" s="1">
        <v>26973</v>
      </c>
      <c r="AX10140">
        <v>1</v>
      </c>
    </row>
    <row r="10141" spans="1:50">
      <c r="A10141">
        <v>584410</v>
      </c>
      <c r="B10141" t="str">
        <f>"140907001"</f>
        <v>140907001</v>
      </c>
      <c r="C10141" t="s">
        <v>50</v>
      </c>
      <c r="D10141" t="s">
        <v>2966</v>
      </c>
      <c r="E10141" t="s">
        <v>255</v>
      </c>
      <c r="F10141" t="s">
        <v>95</v>
      </c>
      <c r="G10141" t="s">
        <v>83</v>
      </c>
      <c r="H10141" t="str">
        <f>"ΙΩΑΝΝΟΥ  ΠΟΥΛΑΚΑ  8 ΧΑΝΙΑ"</f>
        <v>ΙΩΑΝΝΟΥ  ΠΟΥΛΑΚΑ  8 ΧΑΝΙΑ</v>
      </c>
      <c r="I10141">
        <v>73134</v>
      </c>
      <c r="J10141">
        <v>2821044414</v>
      </c>
      <c r="K10141">
        <v>6988357778</v>
      </c>
      <c r="N10141" t="s">
        <v>615</v>
      </c>
      <c r="O10141" t="s">
        <v>616</v>
      </c>
      <c r="R10141" t="s">
        <v>57</v>
      </c>
      <c r="S10141">
        <v>12</v>
      </c>
      <c r="T10141">
        <v>165</v>
      </c>
      <c r="U10141" s="1">
        <v>36040</v>
      </c>
      <c r="V10141" t="s">
        <v>89</v>
      </c>
      <c r="W10141" t="s">
        <v>90</v>
      </c>
      <c r="X10141" t="s">
        <v>58</v>
      </c>
      <c r="Y10141">
        <v>21</v>
      </c>
      <c r="Z10141" t="s">
        <v>59</v>
      </c>
      <c r="AA10141" t="s">
        <v>59</v>
      </c>
      <c r="AB10141" t="s">
        <v>59</v>
      </c>
      <c r="AC10141" t="s">
        <v>59</v>
      </c>
      <c r="AD10141" t="s">
        <v>59</v>
      </c>
      <c r="AF10141" s="1">
        <v>36040</v>
      </c>
      <c r="AG10141" t="s">
        <v>8645</v>
      </c>
      <c r="AH10141" t="s">
        <v>8646</v>
      </c>
      <c r="AI10141" t="str">
        <f>"9500338"</f>
        <v>9500338</v>
      </c>
      <c r="AJ10141" t="s">
        <v>13959</v>
      </c>
      <c r="AK10141">
        <v>2821040556</v>
      </c>
      <c r="AL10141" t="s">
        <v>13960</v>
      </c>
      <c r="AM10141" t="s">
        <v>88</v>
      </c>
      <c r="AN10141" t="s">
        <v>88</v>
      </c>
      <c r="AO10141" t="s">
        <v>88</v>
      </c>
      <c r="AP10141" t="s">
        <v>88</v>
      </c>
      <c r="AQ10141">
        <v>1</v>
      </c>
      <c r="AR10141" t="s">
        <v>89</v>
      </c>
      <c r="AS10141" t="s">
        <v>90</v>
      </c>
      <c r="AT10141" t="s">
        <v>58</v>
      </c>
      <c r="AU10141" t="s">
        <v>68</v>
      </c>
      <c r="AV10141" t="s">
        <v>69</v>
      </c>
      <c r="AW10141" s="1">
        <v>24458</v>
      </c>
      <c r="AX10141">
        <v>1</v>
      </c>
    </row>
    <row r="10142" spans="1:50">
      <c r="A10142">
        <v>579477</v>
      </c>
      <c r="B10142" t="str">
        <f>"045648985"</f>
        <v>045648985</v>
      </c>
      <c r="C10142" t="s">
        <v>50</v>
      </c>
      <c r="D10142" t="s">
        <v>2966</v>
      </c>
      <c r="E10142" t="s">
        <v>52</v>
      </c>
      <c r="F10142" t="s">
        <v>72</v>
      </c>
      <c r="G10142" t="s">
        <v>2463</v>
      </c>
      <c r="H10142" t="str">
        <f>"ΝΕΑΡΧΟΥ   35 ΧΑΝΙΑ"</f>
        <v>ΝΕΑΡΧΟΥ   35 ΧΑΝΙΑ</v>
      </c>
      <c r="I10142">
        <v>73134</v>
      </c>
      <c r="J10142">
        <v>2821045090</v>
      </c>
      <c r="K10142">
        <v>6973321995</v>
      </c>
      <c r="N10142" t="s">
        <v>615</v>
      </c>
      <c r="O10142" t="s">
        <v>616</v>
      </c>
      <c r="R10142" t="s">
        <v>57</v>
      </c>
      <c r="S10142">
        <v>12</v>
      </c>
      <c r="T10142">
        <v>165</v>
      </c>
      <c r="U10142" s="1">
        <v>35300</v>
      </c>
      <c r="V10142" t="s">
        <v>89</v>
      </c>
      <c r="W10142" t="s">
        <v>90</v>
      </c>
      <c r="X10142" t="s">
        <v>58</v>
      </c>
      <c r="Y10142">
        <v>21</v>
      </c>
      <c r="Z10142" t="s">
        <v>59</v>
      </c>
      <c r="AA10142" t="s">
        <v>59</v>
      </c>
      <c r="AB10142" t="s">
        <v>59</v>
      </c>
      <c r="AC10142" t="s">
        <v>59</v>
      </c>
      <c r="AD10142" t="s">
        <v>59</v>
      </c>
      <c r="AF10142" s="1">
        <v>35300</v>
      </c>
      <c r="AG10142" t="s">
        <v>8645</v>
      </c>
      <c r="AH10142" t="s">
        <v>8646</v>
      </c>
      <c r="AI10142" t="str">
        <f>"9500329"</f>
        <v>9500329</v>
      </c>
      <c r="AJ10142" t="s">
        <v>14241</v>
      </c>
      <c r="AK10142">
        <v>2821099075</v>
      </c>
      <c r="AL10142" t="s">
        <v>14242</v>
      </c>
      <c r="AM10142" t="s">
        <v>88</v>
      </c>
      <c r="AN10142" t="s">
        <v>88</v>
      </c>
      <c r="AO10142" t="s">
        <v>6733</v>
      </c>
      <c r="AP10142" t="s">
        <v>6734</v>
      </c>
      <c r="AQ10142">
        <v>2</v>
      </c>
      <c r="AR10142" t="s">
        <v>89</v>
      </c>
      <c r="AS10142" t="s">
        <v>90</v>
      </c>
      <c r="AT10142" t="s">
        <v>58</v>
      </c>
      <c r="AU10142" t="s">
        <v>68</v>
      </c>
      <c r="AV10142" t="s">
        <v>69</v>
      </c>
      <c r="AW10142" s="1">
        <v>24881</v>
      </c>
      <c r="AX10142">
        <v>1</v>
      </c>
    </row>
    <row r="10143" spans="1:50">
      <c r="A10143">
        <v>701915</v>
      </c>
      <c r="B10143" t="str">
        <f>"131173605"</f>
        <v>131173605</v>
      </c>
      <c r="C10143" t="s">
        <v>50</v>
      </c>
      <c r="D10143" t="s">
        <v>15102</v>
      </c>
      <c r="E10143" t="s">
        <v>340</v>
      </c>
      <c r="F10143" t="s">
        <v>459</v>
      </c>
      <c r="G10143" t="s">
        <v>860</v>
      </c>
      <c r="H10143" t="str">
        <f>"ΖΩΣΙΜΑΔΩΝ 18 ΛΑΡΙΣΑ"</f>
        <v>ΖΩΣΙΜΑΔΩΝ 18 ΛΑΡΙΣΑ</v>
      </c>
      <c r="I10143">
        <v>41335</v>
      </c>
      <c r="J10143">
        <v>2410625015</v>
      </c>
      <c r="K10143">
        <v>6978256144</v>
      </c>
      <c r="M10143" t="s">
        <v>15103</v>
      </c>
      <c r="N10143" t="s">
        <v>1525</v>
      </c>
      <c r="O10143" t="s">
        <v>1526</v>
      </c>
      <c r="R10143" t="s">
        <v>57</v>
      </c>
      <c r="S10143">
        <v>4</v>
      </c>
      <c r="T10143">
        <v>772</v>
      </c>
      <c r="U10143" s="1">
        <v>40413</v>
      </c>
      <c r="V10143" t="s">
        <v>89</v>
      </c>
      <c r="W10143" t="s">
        <v>90</v>
      </c>
      <c r="X10143" t="s">
        <v>58</v>
      </c>
      <c r="Y10143">
        <v>25</v>
      </c>
      <c r="Z10143" t="s">
        <v>59</v>
      </c>
      <c r="AA10143" t="s">
        <v>59</v>
      </c>
      <c r="AB10143" t="s">
        <v>59</v>
      </c>
      <c r="AC10143" t="s">
        <v>59</v>
      </c>
      <c r="AD10143" t="s">
        <v>59</v>
      </c>
      <c r="AF10143" s="1">
        <v>40413</v>
      </c>
      <c r="AG10143" t="s">
        <v>8651</v>
      </c>
      <c r="AH10143" t="s">
        <v>8652</v>
      </c>
      <c r="AI10143" t="str">
        <f>"9500420"</f>
        <v>9500420</v>
      </c>
      <c r="AJ10143" t="s">
        <v>15104</v>
      </c>
      <c r="AK10143">
        <v>2825032496</v>
      </c>
      <c r="AL10143" t="s">
        <v>15105</v>
      </c>
      <c r="AM10143" t="s">
        <v>88</v>
      </c>
      <c r="AN10143" t="s">
        <v>6775</v>
      </c>
      <c r="AO10143" t="s">
        <v>6776</v>
      </c>
      <c r="AP10143" t="s">
        <v>15106</v>
      </c>
      <c r="AQ10143">
        <v>7</v>
      </c>
      <c r="AR10143" t="s">
        <v>89</v>
      </c>
      <c r="AS10143" t="s">
        <v>90</v>
      </c>
      <c r="AT10143" t="s">
        <v>58</v>
      </c>
      <c r="AU10143" t="s">
        <v>68</v>
      </c>
      <c r="AV10143" t="s">
        <v>69</v>
      </c>
      <c r="AW10143" s="1">
        <v>29661</v>
      </c>
      <c r="AX10143">
        <v>1</v>
      </c>
    </row>
    <row r="10144" spans="1:50">
      <c r="A10144">
        <v>581964</v>
      </c>
      <c r="B10144" t="str">
        <f>"037135031"</f>
        <v>037135031</v>
      </c>
      <c r="C10144" t="s">
        <v>105</v>
      </c>
      <c r="D10144" t="s">
        <v>7957</v>
      </c>
      <c r="E10144" t="s">
        <v>84</v>
      </c>
      <c r="F10144" t="s">
        <v>95</v>
      </c>
      <c r="G10144" t="s">
        <v>73</v>
      </c>
      <c r="H10144" t="str">
        <f>"ΒΑΜΟΥ 11Β ΧΑΝΙΑ"</f>
        <v>ΒΑΜΟΥ 11Β ΧΑΝΙΑ</v>
      </c>
      <c r="I10144">
        <v>73134</v>
      </c>
      <c r="J10144">
        <v>2821054297</v>
      </c>
      <c r="K10144">
        <v>6972839115</v>
      </c>
      <c r="N10144" t="s">
        <v>615</v>
      </c>
      <c r="O10144" t="s">
        <v>616</v>
      </c>
      <c r="R10144" t="s">
        <v>57</v>
      </c>
      <c r="S10144">
        <v>10</v>
      </c>
      <c r="T10144">
        <v>179</v>
      </c>
      <c r="U10144" s="1">
        <v>35674</v>
      </c>
      <c r="V10144" t="s">
        <v>89</v>
      </c>
      <c r="W10144" t="s">
        <v>90</v>
      </c>
      <c r="X10144" t="s">
        <v>58</v>
      </c>
      <c r="Y10144">
        <v>21</v>
      </c>
      <c r="Z10144" t="s">
        <v>59</v>
      </c>
      <c r="AA10144" t="s">
        <v>59</v>
      </c>
      <c r="AB10144" t="s">
        <v>59</v>
      </c>
      <c r="AC10144" t="s">
        <v>59</v>
      </c>
      <c r="AD10144" t="s">
        <v>59</v>
      </c>
      <c r="AF10144" s="1">
        <v>35674</v>
      </c>
      <c r="AG10144" t="s">
        <v>8645</v>
      </c>
      <c r="AH10144" t="s">
        <v>8646</v>
      </c>
      <c r="AI10144" t="str">
        <f>"9500045"</f>
        <v>9500045</v>
      </c>
      <c r="AJ10144" t="s">
        <v>13887</v>
      </c>
      <c r="AK10144">
        <v>2821044369</v>
      </c>
      <c r="AL10144" t="s">
        <v>13888</v>
      </c>
      <c r="AM10144" t="s">
        <v>88</v>
      </c>
      <c r="AN10144" t="s">
        <v>88</v>
      </c>
      <c r="AO10144" t="s">
        <v>88</v>
      </c>
      <c r="AP10144" t="s">
        <v>88</v>
      </c>
      <c r="AQ10144">
        <v>1</v>
      </c>
      <c r="AR10144" t="s">
        <v>89</v>
      </c>
      <c r="AS10144" t="s">
        <v>90</v>
      </c>
      <c r="AT10144" t="s">
        <v>58</v>
      </c>
      <c r="AU10144" t="s">
        <v>68</v>
      </c>
      <c r="AV10144" t="s">
        <v>69</v>
      </c>
      <c r="AW10144" s="1">
        <v>24143</v>
      </c>
      <c r="AX10144">
        <v>1</v>
      </c>
    </row>
    <row r="10145" spans="1:50">
      <c r="B10145" t="str">
        <f>"118496400"</f>
        <v>118496400</v>
      </c>
      <c r="C10145" t="s">
        <v>50</v>
      </c>
      <c r="D10145" t="s">
        <v>2981</v>
      </c>
      <c r="E10145" t="s">
        <v>15107</v>
      </c>
      <c r="F10145" t="s">
        <v>383</v>
      </c>
      <c r="G10145" t="s">
        <v>10487</v>
      </c>
      <c r="H10145" t="str">
        <f>"ΚΑΝΔΑΝΟΣ ΧΑΝΙΩΝ "</f>
        <v xml:space="preserve">ΚΑΝΔΑΝΟΣ ΧΑΝΙΩΝ </v>
      </c>
      <c r="I10145">
        <v>73004</v>
      </c>
      <c r="J10145">
        <v>2823022450</v>
      </c>
      <c r="K10145">
        <v>6948538888</v>
      </c>
      <c r="N10145" t="s">
        <v>1525</v>
      </c>
      <c r="O10145" t="s">
        <v>1526</v>
      </c>
      <c r="R10145" t="s">
        <v>159</v>
      </c>
      <c r="S10145">
        <v>3</v>
      </c>
      <c r="T10145" t="s">
        <v>8670</v>
      </c>
      <c r="U10145" s="1">
        <v>43348</v>
      </c>
      <c r="V10145" t="s">
        <v>89</v>
      </c>
      <c r="W10145" t="s">
        <v>90</v>
      </c>
      <c r="X10145" t="s">
        <v>58</v>
      </c>
      <c r="Y10145">
        <v>25</v>
      </c>
      <c r="Z10145" t="s">
        <v>59</v>
      </c>
      <c r="AA10145" t="s">
        <v>59</v>
      </c>
      <c r="AB10145" t="s">
        <v>59</v>
      </c>
      <c r="AC10145" t="s">
        <v>59</v>
      </c>
      <c r="AD10145" t="s">
        <v>59</v>
      </c>
      <c r="AF10145" s="1">
        <v>43348</v>
      </c>
      <c r="AG10145" t="s">
        <v>8651</v>
      </c>
      <c r="AH10145" t="s">
        <v>8652</v>
      </c>
      <c r="AI10145" t="str">
        <f>"9500425"</f>
        <v>9500425</v>
      </c>
      <c r="AJ10145" t="s">
        <v>14213</v>
      </c>
      <c r="AK10145">
        <v>2821094663</v>
      </c>
      <c r="AL10145" t="s">
        <v>14214</v>
      </c>
      <c r="AM10145" t="s">
        <v>88</v>
      </c>
      <c r="AN10145" t="s">
        <v>88</v>
      </c>
      <c r="AO10145" t="s">
        <v>6733</v>
      </c>
      <c r="AP10145" t="s">
        <v>6734</v>
      </c>
      <c r="AQ10145">
        <v>2</v>
      </c>
      <c r="AR10145" t="s">
        <v>89</v>
      </c>
      <c r="AS10145" t="s">
        <v>90</v>
      </c>
      <c r="AT10145" t="s">
        <v>58</v>
      </c>
      <c r="AU10145" t="s">
        <v>8673</v>
      </c>
      <c r="AV10145" t="s">
        <v>132</v>
      </c>
      <c r="AW10145" s="1">
        <v>29479</v>
      </c>
      <c r="AX10145">
        <v>1</v>
      </c>
    </row>
    <row r="10146" spans="1:50">
      <c r="A10146">
        <v>556411</v>
      </c>
      <c r="B10146" t="str">
        <f>"065492596"</f>
        <v>065492596</v>
      </c>
      <c r="C10146" t="s">
        <v>50</v>
      </c>
      <c r="D10146" t="s">
        <v>2983</v>
      </c>
      <c r="E10146" t="s">
        <v>513</v>
      </c>
      <c r="F10146" t="s">
        <v>106</v>
      </c>
      <c r="G10146" t="s">
        <v>52</v>
      </c>
      <c r="H10146" t="str">
        <f>" "</f>
        <v xml:space="preserve"> </v>
      </c>
      <c r="N10146" t="s">
        <v>1525</v>
      </c>
      <c r="O10146" t="s">
        <v>1526</v>
      </c>
      <c r="R10146" t="s">
        <v>57</v>
      </c>
      <c r="S10146">
        <v>16</v>
      </c>
      <c r="T10146">
        <v>200</v>
      </c>
      <c r="U10146" s="1">
        <v>31657</v>
      </c>
      <c r="V10146" t="s">
        <v>89</v>
      </c>
      <c r="W10146" t="s">
        <v>90</v>
      </c>
      <c r="X10146" t="s">
        <v>58</v>
      </c>
      <c r="Y10146">
        <v>25</v>
      </c>
      <c r="Z10146" t="s">
        <v>59</v>
      </c>
      <c r="AA10146" t="s">
        <v>59</v>
      </c>
      <c r="AB10146" t="s">
        <v>59</v>
      </c>
      <c r="AC10146" t="s">
        <v>59</v>
      </c>
      <c r="AD10146" t="s">
        <v>59</v>
      </c>
      <c r="AF10146" s="1">
        <v>31657</v>
      </c>
      <c r="AG10146" t="s">
        <v>8651</v>
      </c>
      <c r="AH10146" t="s">
        <v>8652</v>
      </c>
      <c r="AI10146" t="str">
        <f>"9500422"</f>
        <v>9500422</v>
      </c>
      <c r="AJ10146" t="s">
        <v>14218</v>
      </c>
      <c r="AK10146">
        <v>2821095574</v>
      </c>
      <c r="AL10146" t="s">
        <v>14219</v>
      </c>
      <c r="AM10146" t="s">
        <v>88</v>
      </c>
      <c r="AN10146" t="s">
        <v>88</v>
      </c>
      <c r="AO10146" t="s">
        <v>6733</v>
      </c>
      <c r="AP10146" t="s">
        <v>6755</v>
      </c>
      <c r="AQ10146">
        <v>2</v>
      </c>
      <c r="AR10146" t="s">
        <v>89</v>
      </c>
      <c r="AS10146" t="s">
        <v>90</v>
      </c>
      <c r="AT10146" t="s">
        <v>58</v>
      </c>
      <c r="AU10146" t="s">
        <v>68</v>
      </c>
      <c r="AV10146" t="s">
        <v>69</v>
      </c>
      <c r="AW10146" s="1">
        <v>22817</v>
      </c>
      <c r="AX10146">
        <v>1</v>
      </c>
    </row>
    <row r="10147" spans="1:50">
      <c r="A10147">
        <v>582086</v>
      </c>
      <c r="B10147" t="str">
        <f>"043898616"</f>
        <v>043898616</v>
      </c>
      <c r="C10147" t="s">
        <v>105</v>
      </c>
      <c r="D10147" t="s">
        <v>10880</v>
      </c>
      <c r="E10147" t="s">
        <v>72</v>
      </c>
      <c r="F10147" t="s">
        <v>72</v>
      </c>
      <c r="G10147" t="s">
        <v>237</v>
      </c>
      <c r="H10147" t="str">
        <f>"ΚΑΤΩ ΔΑΡΑΤΣΟ  ΝΕΑΣ  ΚΥΔΩΝΙΑΣ ΧΑΝΙΑ"</f>
        <v>ΚΑΤΩ ΔΑΡΑΤΣΟ  ΝΕΑΣ  ΚΥΔΩΝΙΑΣ ΧΑΝΙΑ</v>
      </c>
      <c r="I10147">
        <v>73100</v>
      </c>
      <c r="J10147">
        <v>2821033464</v>
      </c>
      <c r="K10147">
        <v>6974864398</v>
      </c>
      <c r="N10147" t="s">
        <v>615</v>
      </c>
      <c r="O10147" t="s">
        <v>616</v>
      </c>
      <c r="R10147" t="s">
        <v>57</v>
      </c>
      <c r="S10147">
        <v>11</v>
      </c>
      <c r="T10147" t="s">
        <v>15108</v>
      </c>
      <c r="U10147" s="1">
        <v>35674</v>
      </c>
      <c r="V10147" t="s">
        <v>89</v>
      </c>
      <c r="W10147" t="s">
        <v>90</v>
      </c>
      <c r="X10147" t="s">
        <v>58</v>
      </c>
      <c r="Y10147">
        <v>21</v>
      </c>
      <c r="Z10147" t="s">
        <v>59</v>
      </c>
      <c r="AA10147" t="s">
        <v>59</v>
      </c>
      <c r="AB10147" t="s">
        <v>59</v>
      </c>
      <c r="AC10147" t="s">
        <v>59</v>
      </c>
      <c r="AD10147" t="s">
        <v>59</v>
      </c>
      <c r="AF10147" s="1">
        <v>35674</v>
      </c>
      <c r="AG10147" t="s">
        <v>8645</v>
      </c>
      <c r="AH10147" t="s">
        <v>8646</v>
      </c>
      <c r="AI10147" t="str">
        <f>"9500084"</f>
        <v>9500084</v>
      </c>
      <c r="AJ10147" t="s">
        <v>13994</v>
      </c>
      <c r="AK10147">
        <v>2821031270</v>
      </c>
      <c r="AL10147" t="s">
        <v>13995</v>
      </c>
      <c r="AM10147" t="s">
        <v>88</v>
      </c>
      <c r="AN10147" t="s">
        <v>88</v>
      </c>
      <c r="AO10147" t="s">
        <v>13920</v>
      </c>
      <c r="AP10147" t="s">
        <v>13996</v>
      </c>
      <c r="AQ10147">
        <v>3</v>
      </c>
      <c r="AR10147" t="s">
        <v>89</v>
      </c>
      <c r="AS10147" t="s">
        <v>90</v>
      </c>
      <c r="AT10147" t="s">
        <v>58</v>
      </c>
      <c r="AU10147" t="s">
        <v>68</v>
      </c>
      <c r="AV10147" t="s">
        <v>69</v>
      </c>
      <c r="AW10147" s="1">
        <v>23751</v>
      </c>
      <c r="AX10147">
        <v>1</v>
      </c>
    </row>
    <row r="10148" spans="1:50">
      <c r="A10148">
        <v>561496</v>
      </c>
      <c r="B10148" t="str">
        <f>"113190723"</f>
        <v>113190723</v>
      </c>
      <c r="C10148" t="s">
        <v>50</v>
      </c>
      <c r="D10148" t="s">
        <v>15109</v>
      </c>
      <c r="E10148" t="s">
        <v>143</v>
      </c>
      <c r="F10148" t="s">
        <v>166</v>
      </c>
      <c r="G10148" t="s">
        <v>3386</v>
      </c>
      <c r="H10148" t="str">
        <f>"ΗΡΑΚΛΕΙΤΟΥ  1 ΧΑΝΙΑ"</f>
        <v>ΗΡΑΚΛΕΙΤΟΥ  1 ΧΑΝΙΑ</v>
      </c>
      <c r="I10148">
        <v>73133</v>
      </c>
      <c r="J10148">
        <v>2821043743</v>
      </c>
      <c r="K10148">
        <v>6946009641</v>
      </c>
      <c r="N10148" t="s">
        <v>615</v>
      </c>
      <c r="O10148" t="s">
        <v>616</v>
      </c>
      <c r="R10148" t="s">
        <v>57</v>
      </c>
      <c r="S10148">
        <v>15</v>
      </c>
      <c r="T10148">
        <v>159</v>
      </c>
      <c r="U10148" s="1">
        <v>32385</v>
      </c>
      <c r="V10148" t="s">
        <v>89</v>
      </c>
      <c r="W10148" t="s">
        <v>90</v>
      </c>
      <c r="X10148" t="s">
        <v>58</v>
      </c>
      <c r="Y10148">
        <v>25</v>
      </c>
      <c r="Z10148" t="s">
        <v>59</v>
      </c>
      <c r="AA10148" t="s">
        <v>59</v>
      </c>
      <c r="AB10148" t="s">
        <v>59</v>
      </c>
      <c r="AC10148" t="s">
        <v>59</v>
      </c>
      <c r="AD10148" t="s">
        <v>59</v>
      </c>
      <c r="AF10148" s="1">
        <v>32385</v>
      </c>
      <c r="AG10148" t="s">
        <v>8645</v>
      </c>
      <c r="AH10148" t="s">
        <v>8646</v>
      </c>
      <c r="AI10148" t="str">
        <f>"9500114"</f>
        <v>9500114</v>
      </c>
      <c r="AJ10148" t="s">
        <v>14013</v>
      </c>
      <c r="AK10148">
        <v>2821063458</v>
      </c>
      <c r="AL10148" t="s">
        <v>14014</v>
      </c>
      <c r="AM10148" t="s">
        <v>88</v>
      </c>
      <c r="AN10148" t="s">
        <v>88</v>
      </c>
      <c r="AO10148" t="s">
        <v>6770</v>
      </c>
      <c r="AP10148" t="s">
        <v>14015</v>
      </c>
      <c r="AQ10148">
        <v>2</v>
      </c>
      <c r="AR10148" t="s">
        <v>89</v>
      </c>
      <c r="AS10148" t="s">
        <v>90</v>
      </c>
      <c r="AT10148" t="s">
        <v>58</v>
      </c>
      <c r="AU10148" t="s">
        <v>68</v>
      </c>
      <c r="AV10148" t="s">
        <v>69</v>
      </c>
      <c r="AW10148" s="1">
        <v>23822</v>
      </c>
      <c r="AX10148">
        <v>1</v>
      </c>
    </row>
    <row r="10149" spans="1:50">
      <c r="A10149">
        <v>599367</v>
      </c>
      <c r="B10149" t="str">
        <f>"051358857"</f>
        <v>051358857</v>
      </c>
      <c r="C10149" t="s">
        <v>105</v>
      </c>
      <c r="D10149" t="s">
        <v>15110</v>
      </c>
      <c r="E10149" t="s">
        <v>53</v>
      </c>
      <c r="F10149" t="s">
        <v>15111</v>
      </c>
      <c r="G10149" t="s">
        <v>541</v>
      </c>
      <c r="H10149" t="str">
        <f>"ΟΣΙΑΣ  ΕΙΡΗΝΗΣ  15 ΧΑΝΙΑ"</f>
        <v>ΟΣΙΑΣ  ΕΙΡΗΝΗΣ  15 ΧΑΝΙΑ</v>
      </c>
      <c r="I10149">
        <v>73100</v>
      </c>
      <c r="J10149">
        <v>2821091437</v>
      </c>
      <c r="K10149">
        <v>6978559346</v>
      </c>
      <c r="M10149" t="s">
        <v>15112</v>
      </c>
      <c r="N10149" t="s">
        <v>615</v>
      </c>
      <c r="O10149" t="s">
        <v>616</v>
      </c>
      <c r="R10149" t="s">
        <v>57</v>
      </c>
      <c r="S10149">
        <v>9</v>
      </c>
      <c r="T10149">
        <v>195</v>
      </c>
      <c r="U10149" s="1">
        <v>37497</v>
      </c>
      <c r="V10149" t="s">
        <v>89</v>
      </c>
      <c r="W10149" t="s">
        <v>90</v>
      </c>
      <c r="X10149" t="s">
        <v>58</v>
      </c>
      <c r="Y10149">
        <v>22</v>
      </c>
      <c r="Z10149" t="s">
        <v>59</v>
      </c>
      <c r="AA10149" t="s">
        <v>59</v>
      </c>
      <c r="AB10149" t="s">
        <v>59</v>
      </c>
      <c r="AC10149" t="s">
        <v>59</v>
      </c>
      <c r="AD10149" t="s">
        <v>59</v>
      </c>
      <c r="AF10149" s="1">
        <v>37497</v>
      </c>
      <c r="AG10149" t="s">
        <v>8645</v>
      </c>
      <c r="AH10149" t="s">
        <v>8646</v>
      </c>
      <c r="AI10149" t="str">
        <f>"9500115"</f>
        <v>9500115</v>
      </c>
      <c r="AJ10149" t="s">
        <v>14180</v>
      </c>
      <c r="AK10149">
        <v>2821081133</v>
      </c>
      <c r="AL10149" t="s">
        <v>14181</v>
      </c>
      <c r="AM10149" t="s">
        <v>88</v>
      </c>
      <c r="AN10149" t="s">
        <v>88</v>
      </c>
      <c r="AO10149" t="s">
        <v>6748</v>
      </c>
      <c r="AP10149" t="s">
        <v>14182</v>
      </c>
      <c r="AQ10149">
        <v>2</v>
      </c>
      <c r="AR10149" t="s">
        <v>89</v>
      </c>
      <c r="AS10149" t="s">
        <v>90</v>
      </c>
      <c r="AT10149" t="s">
        <v>58</v>
      </c>
      <c r="AU10149" t="s">
        <v>68</v>
      </c>
      <c r="AV10149" t="s">
        <v>69</v>
      </c>
      <c r="AW10149" s="1">
        <v>24894</v>
      </c>
      <c r="AX10149">
        <v>1</v>
      </c>
    </row>
    <row r="10150" spans="1:50">
      <c r="A10150">
        <v>593179</v>
      </c>
      <c r="B10150" t="str">
        <f>"101336878"</f>
        <v>101336878</v>
      </c>
      <c r="C10150" t="s">
        <v>50</v>
      </c>
      <c r="D10150" t="s">
        <v>15113</v>
      </c>
      <c r="E10150" t="s">
        <v>15114</v>
      </c>
      <c r="F10150" t="s">
        <v>321</v>
      </c>
      <c r="G10150" t="s">
        <v>1065</v>
      </c>
      <c r="H10150" t="str">
        <f>"ΑΠΤΕΡΑ ΧΑΝΙΑ"</f>
        <v>ΑΠΤΕΡΑ ΧΑΝΙΑ</v>
      </c>
      <c r="I10150">
        <v>73003</v>
      </c>
      <c r="J10150">
        <v>2821300958</v>
      </c>
      <c r="K10150">
        <v>6945836388</v>
      </c>
      <c r="N10150" t="s">
        <v>615</v>
      </c>
      <c r="O10150" t="s">
        <v>616</v>
      </c>
      <c r="R10150" t="s">
        <v>57</v>
      </c>
      <c r="S10150">
        <v>13</v>
      </c>
      <c r="T10150">
        <v>218</v>
      </c>
      <c r="U10150" s="1">
        <v>37134</v>
      </c>
      <c r="V10150" t="s">
        <v>89</v>
      </c>
      <c r="W10150" t="s">
        <v>90</v>
      </c>
      <c r="X10150" t="s">
        <v>58</v>
      </c>
      <c r="Y10150">
        <v>23</v>
      </c>
      <c r="Z10150" t="s">
        <v>59</v>
      </c>
      <c r="AA10150" t="s">
        <v>59</v>
      </c>
      <c r="AB10150" t="s">
        <v>59</v>
      </c>
      <c r="AC10150" t="s">
        <v>59</v>
      </c>
      <c r="AD10150" t="s">
        <v>59</v>
      </c>
      <c r="AF10150" s="1">
        <v>37134</v>
      </c>
      <c r="AG10150" t="s">
        <v>8645</v>
      </c>
      <c r="AH10150" t="s">
        <v>8646</v>
      </c>
      <c r="AI10150" t="str">
        <f>"9500115"</f>
        <v>9500115</v>
      </c>
      <c r="AJ10150" t="s">
        <v>14180</v>
      </c>
      <c r="AK10150">
        <v>2821081133</v>
      </c>
      <c r="AL10150" t="s">
        <v>14181</v>
      </c>
      <c r="AM10150" t="s">
        <v>88</v>
      </c>
      <c r="AN10150" t="s">
        <v>88</v>
      </c>
      <c r="AO10150" t="s">
        <v>6748</v>
      </c>
      <c r="AP10150" t="s">
        <v>14182</v>
      </c>
      <c r="AQ10150">
        <v>2</v>
      </c>
      <c r="AR10150" t="s">
        <v>89</v>
      </c>
      <c r="AS10150" t="s">
        <v>90</v>
      </c>
      <c r="AT10150" t="s">
        <v>58</v>
      </c>
      <c r="AU10150" t="s">
        <v>68</v>
      </c>
      <c r="AV10150" t="s">
        <v>69</v>
      </c>
      <c r="AW10150" s="1">
        <v>27194</v>
      </c>
      <c r="AX10150">
        <v>1</v>
      </c>
    </row>
    <row r="10151" spans="1:50">
      <c r="A10151">
        <v>552422</v>
      </c>
      <c r="B10151" t="str">
        <f>"100621354"</f>
        <v>100621354</v>
      </c>
      <c r="C10151" t="s">
        <v>50</v>
      </c>
      <c r="D10151" t="s">
        <v>15113</v>
      </c>
      <c r="E10151" t="s">
        <v>460</v>
      </c>
      <c r="F10151" t="s">
        <v>383</v>
      </c>
      <c r="G10151" t="s">
        <v>513</v>
      </c>
      <c r="H10151" t="str">
        <f>"ΧΡΥΣΟΠΗΓΗΣ 25 ΕΛ.ΒΕΝΙΖΕΛΟΥ"</f>
        <v>ΧΡΥΣΟΠΗΓΗΣ 25 ΕΛ.ΒΕΝΙΖΕΛΟΥ</v>
      </c>
      <c r="I10151">
        <v>73100</v>
      </c>
      <c r="J10151">
        <v>2821072585</v>
      </c>
      <c r="K10151">
        <v>6947153341</v>
      </c>
      <c r="N10151" t="s">
        <v>1525</v>
      </c>
      <c r="O10151" t="s">
        <v>1526</v>
      </c>
      <c r="R10151" t="s">
        <v>57</v>
      </c>
      <c r="S10151">
        <v>16</v>
      </c>
      <c r="T10151">
        <v>271</v>
      </c>
      <c r="U10151" s="1">
        <v>30923</v>
      </c>
      <c r="V10151" t="s">
        <v>89</v>
      </c>
      <c r="W10151" t="s">
        <v>90</v>
      </c>
      <c r="X10151" t="s">
        <v>58</v>
      </c>
      <c r="Y10151">
        <v>25</v>
      </c>
      <c r="Z10151" t="s">
        <v>59</v>
      </c>
      <c r="AA10151" t="s">
        <v>59</v>
      </c>
      <c r="AB10151" t="s">
        <v>59</v>
      </c>
      <c r="AC10151" t="s">
        <v>59</v>
      </c>
      <c r="AD10151" t="s">
        <v>59</v>
      </c>
      <c r="AF10151" s="1">
        <v>30923</v>
      </c>
      <c r="AG10151" t="s">
        <v>8651</v>
      </c>
      <c r="AH10151" t="s">
        <v>8652</v>
      </c>
      <c r="AI10151" t="str">
        <f>"9500376"</f>
        <v>9500376</v>
      </c>
      <c r="AJ10151" t="s">
        <v>15115</v>
      </c>
      <c r="AK10151">
        <v>2821097941</v>
      </c>
      <c r="AL10151" t="s">
        <v>15116</v>
      </c>
      <c r="AM10151" t="s">
        <v>88</v>
      </c>
      <c r="AN10151" t="s">
        <v>88</v>
      </c>
      <c r="AO10151" t="s">
        <v>88</v>
      </c>
      <c r="AP10151" t="s">
        <v>88</v>
      </c>
      <c r="AQ10151">
        <v>1</v>
      </c>
      <c r="AR10151" t="s">
        <v>89</v>
      </c>
      <c r="AS10151" t="s">
        <v>90</v>
      </c>
      <c r="AT10151" t="s">
        <v>58</v>
      </c>
      <c r="AU10151" t="s">
        <v>68</v>
      </c>
      <c r="AV10151" t="s">
        <v>69</v>
      </c>
      <c r="AW10151" s="1">
        <v>22586</v>
      </c>
      <c r="AX10151">
        <v>1</v>
      </c>
    </row>
    <row r="10152" spans="1:50">
      <c r="B10152" t="str">
        <f>"139506933"</f>
        <v>139506933</v>
      </c>
      <c r="C10152" t="s">
        <v>105</v>
      </c>
      <c r="D10152" t="s">
        <v>15117</v>
      </c>
      <c r="E10152" t="s">
        <v>1414</v>
      </c>
      <c r="F10152" t="s">
        <v>72</v>
      </c>
      <c r="G10152" t="s">
        <v>382</v>
      </c>
      <c r="H10152" t="str">
        <f>"ΘΗΒΩΝ 7 ΝΕΟ ΠΕΤΡΙΤΣΙ"</f>
        <v>ΘΗΒΩΝ 7 ΝΕΟ ΠΕΤΡΙΤΣΙ</v>
      </c>
      <c r="K10152">
        <v>6982189048</v>
      </c>
      <c r="N10152" t="s">
        <v>615</v>
      </c>
      <c r="O10152" t="s">
        <v>616</v>
      </c>
      <c r="R10152" t="s">
        <v>121</v>
      </c>
      <c r="S10152">
        <v>1</v>
      </c>
      <c r="T10152" t="s">
        <v>9034</v>
      </c>
      <c r="U10152" s="1">
        <v>43377</v>
      </c>
      <c r="V10152" t="s">
        <v>89</v>
      </c>
      <c r="W10152" t="s">
        <v>90</v>
      </c>
      <c r="X10152" t="s">
        <v>58</v>
      </c>
      <c r="Y10152">
        <v>24</v>
      </c>
      <c r="Z10152" t="s">
        <v>59</v>
      </c>
      <c r="AA10152" t="s">
        <v>59</v>
      </c>
      <c r="AB10152" t="s">
        <v>59</v>
      </c>
      <c r="AC10152" t="s">
        <v>59</v>
      </c>
      <c r="AD10152" t="s">
        <v>59</v>
      </c>
      <c r="AF10152" s="1">
        <v>43377</v>
      </c>
      <c r="AG10152" t="s">
        <v>8645</v>
      </c>
      <c r="AH10152" t="s">
        <v>8646</v>
      </c>
      <c r="AI10152" t="str">
        <f>"9500191"</f>
        <v>9500191</v>
      </c>
      <c r="AJ10152" t="s">
        <v>13986</v>
      </c>
      <c r="AK10152">
        <v>2822022042</v>
      </c>
      <c r="AL10152" t="s">
        <v>13987</v>
      </c>
      <c r="AM10152" t="s">
        <v>88</v>
      </c>
      <c r="AN10152" t="s">
        <v>6744</v>
      </c>
      <c r="AO10152" t="s">
        <v>6744</v>
      </c>
      <c r="AP10152" t="s">
        <v>6744</v>
      </c>
      <c r="AQ10152">
        <v>9</v>
      </c>
      <c r="AR10152" t="s">
        <v>89</v>
      </c>
      <c r="AS10152" t="s">
        <v>90</v>
      </c>
      <c r="AT10152" t="s">
        <v>58</v>
      </c>
      <c r="AU10152" t="s">
        <v>8673</v>
      </c>
      <c r="AV10152" t="s">
        <v>132</v>
      </c>
      <c r="AW10152" s="1">
        <v>32655</v>
      </c>
      <c r="AX10152">
        <v>1</v>
      </c>
    </row>
    <row r="10153" spans="1:50">
      <c r="A10153">
        <v>585467</v>
      </c>
      <c r="B10153" t="str">
        <f>"043229678"</f>
        <v>043229678</v>
      </c>
      <c r="C10153" t="s">
        <v>50</v>
      </c>
      <c r="D10153" t="s">
        <v>7968</v>
      </c>
      <c r="E10153" t="s">
        <v>96</v>
      </c>
      <c r="F10153" t="s">
        <v>72</v>
      </c>
      <c r="G10153" t="s">
        <v>263</v>
      </c>
      <c r="H10153" t="str">
        <f>"ΚΟΚΚΙΝΟ ΧΩΡΙΟ - ΒΑΜΟΣ ΧΑΝΙΑ"</f>
        <v>ΚΟΚΚΙΝΟ ΧΩΡΙΟ - ΒΑΜΟΣ ΧΑΝΙΑ</v>
      </c>
      <c r="I10153">
        <v>73008</v>
      </c>
      <c r="K10153">
        <v>6983737895</v>
      </c>
      <c r="N10153" t="s">
        <v>615</v>
      </c>
      <c r="O10153" t="s">
        <v>616</v>
      </c>
      <c r="R10153" t="s">
        <v>57</v>
      </c>
      <c r="S10153">
        <v>13</v>
      </c>
      <c r="T10153">
        <v>165</v>
      </c>
      <c r="U10153" s="1">
        <v>36040</v>
      </c>
      <c r="V10153" t="s">
        <v>89</v>
      </c>
      <c r="W10153" t="s">
        <v>90</v>
      </c>
      <c r="X10153" t="s">
        <v>58</v>
      </c>
      <c r="Y10153">
        <v>21</v>
      </c>
      <c r="Z10153" t="s">
        <v>59</v>
      </c>
      <c r="AA10153" t="s">
        <v>59</v>
      </c>
      <c r="AB10153" t="s">
        <v>59</v>
      </c>
      <c r="AC10153" t="s">
        <v>59</v>
      </c>
      <c r="AD10153" t="s">
        <v>59</v>
      </c>
      <c r="AF10153" s="1">
        <v>36040</v>
      </c>
      <c r="AG10153" t="s">
        <v>8645</v>
      </c>
      <c r="AH10153" t="s">
        <v>8646</v>
      </c>
      <c r="AI10153" t="str">
        <f>"9500139"</f>
        <v>9500139</v>
      </c>
      <c r="AJ10153" t="s">
        <v>14050</v>
      </c>
      <c r="AK10153">
        <v>2821096819</v>
      </c>
      <c r="AL10153" t="s">
        <v>14051</v>
      </c>
      <c r="AM10153" t="s">
        <v>88</v>
      </c>
      <c r="AN10153" t="s">
        <v>88</v>
      </c>
      <c r="AO10153" t="s">
        <v>88</v>
      </c>
      <c r="AP10153" t="s">
        <v>88</v>
      </c>
      <c r="AQ10153">
        <v>1</v>
      </c>
      <c r="AR10153" t="s">
        <v>89</v>
      </c>
      <c r="AS10153" t="s">
        <v>90</v>
      </c>
      <c r="AT10153" t="s">
        <v>58</v>
      </c>
      <c r="AU10153" t="s">
        <v>68</v>
      </c>
      <c r="AV10153" t="s">
        <v>69</v>
      </c>
      <c r="AW10153" s="1">
        <v>24507</v>
      </c>
      <c r="AX10153">
        <v>1</v>
      </c>
    </row>
    <row r="10154" spans="1:50">
      <c r="B10154" t="str">
        <f>"136420820"</f>
        <v>136420820</v>
      </c>
      <c r="C10154" t="s">
        <v>105</v>
      </c>
      <c r="D10154" t="s">
        <v>15118</v>
      </c>
      <c r="E10154" t="s">
        <v>72</v>
      </c>
      <c r="F10154" t="s">
        <v>474</v>
      </c>
      <c r="G10154" t="s">
        <v>1189</v>
      </c>
      <c r="H10154" t="str">
        <f>"Κ.ΓΙΑΜΠΟΥΔΑΚΗ 17 ΧΑΝΙΑ"</f>
        <v>Κ.ΓΙΑΜΠΟΥΔΑΚΗ 17 ΧΑΝΙΑ</v>
      </c>
      <c r="I10154">
        <v>73100</v>
      </c>
      <c r="J10154">
        <v>2821074409</v>
      </c>
      <c r="K10154">
        <v>6971864983</v>
      </c>
      <c r="N10154" t="s">
        <v>615</v>
      </c>
      <c r="O10154" t="s">
        <v>616</v>
      </c>
      <c r="R10154" t="s">
        <v>159</v>
      </c>
      <c r="S10154">
        <v>3</v>
      </c>
      <c r="T10154" t="s">
        <v>8675</v>
      </c>
      <c r="U10154" s="1">
        <v>43348</v>
      </c>
      <c r="V10154" t="s">
        <v>89</v>
      </c>
      <c r="W10154" t="s">
        <v>90</v>
      </c>
      <c r="X10154" t="s">
        <v>58</v>
      </c>
      <c r="Y10154">
        <v>24</v>
      </c>
      <c r="Z10154" t="s">
        <v>59</v>
      </c>
      <c r="AA10154" t="s">
        <v>59</v>
      </c>
      <c r="AB10154" t="s">
        <v>59</v>
      </c>
      <c r="AC10154" t="s">
        <v>59</v>
      </c>
      <c r="AD10154" t="s">
        <v>59</v>
      </c>
      <c r="AF10154" s="1">
        <v>43348</v>
      </c>
      <c r="AG10154" t="s">
        <v>8645</v>
      </c>
      <c r="AH10154" t="s">
        <v>8646</v>
      </c>
      <c r="AI10154" t="str">
        <f>"9500083"</f>
        <v>9500083</v>
      </c>
      <c r="AJ10154" t="s">
        <v>14239</v>
      </c>
      <c r="AK10154">
        <v>2821063500</v>
      </c>
      <c r="AL10154" t="s">
        <v>14240</v>
      </c>
      <c r="AM10154" t="s">
        <v>88</v>
      </c>
      <c r="AN10154" t="s">
        <v>88</v>
      </c>
      <c r="AO10154" t="s">
        <v>6770</v>
      </c>
      <c r="AP10154" t="s">
        <v>14090</v>
      </c>
      <c r="AQ10154">
        <v>2</v>
      </c>
      <c r="AR10154" t="s">
        <v>89</v>
      </c>
      <c r="AS10154" t="s">
        <v>90</v>
      </c>
      <c r="AT10154" t="s">
        <v>58</v>
      </c>
      <c r="AU10154" t="s">
        <v>8673</v>
      </c>
      <c r="AV10154" t="s">
        <v>132</v>
      </c>
      <c r="AW10154" s="1">
        <v>31413</v>
      </c>
      <c r="AX10154">
        <v>1</v>
      </c>
    </row>
    <row r="10155" spans="1:50">
      <c r="B10155" t="str">
        <f>"137776175"</f>
        <v>137776175</v>
      </c>
      <c r="C10155" t="s">
        <v>50</v>
      </c>
      <c r="D10155" t="s">
        <v>15119</v>
      </c>
      <c r="E10155" t="s">
        <v>563</v>
      </c>
      <c r="F10155" t="s">
        <v>154</v>
      </c>
      <c r="H10155" t="str">
        <f>" "</f>
        <v xml:space="preserve"> </v>
      </c>
      <c r="N10155" t="s">
        <v>8694</v>
      </c>
      <c r="O10155" t="s">
        <v>8695</v>
      </c>
      <c r="R10155" t="s">
        <v>159</v>
      </c>
      <c r="S10155">
        <v>2</v>
      </c>
      <c r="T10155" t="s">
        <v>8696</v>
      </c>
      <c r="U10155" s="1">
        <v>43348</v>
      </c>
      <c r="V10155" t="s">
        <v>89</v>
      </c>
      <c r="W10155" t="s">
        <v>90</v>
      </c>
      <c r="X10155" t="s">
        <v>58</v>
      </c>
      <c r="Y10155">
        <v>24</v>
      </c>
      <c r="Z10155" t="s">
        <v>59</v>
      </c>
      <c r="AA10155" t="s">
        <v>59</v>
      </c>
      <c r="AB10155" t="s">
        <v>59</v>
      </c>
      <c r="AC10155" t="s">
        <v>59</v>
      </c>
      <c r="AD10155" t="s">
        <v>59</v>
      </c>
      <c r="AF10155" s="1">
        <v>43348</v>
      </c>
      <c r="AG10155" t="s">
        <v>8645</v>
      </c>
      <c r="AH10155" t="s">
        <v>8697</v>
      </c>
      <c r="AI10155" t="str">
        <f>"9500424"</f>
        <v>9500424</v>
      </c>
      <c r="AJ10155" t="s">
        <v>14232</v>
      </c>
      <c r="AK10155">
        <v>2821044022</v>
      </c>
      <c r="AL10155" t="s">
        <v>14233</v>
      </c>
      <c r="AM10155" t="s">
        <v>88</v>
      </c>
      <c r="AN10155" t="s">
        <v>88</v>
      </c>
      <c r="AO10155" t="s">
        <v>88</v>
      </c>
      <c r="AP10155" t="s">
        <v>88</v>
      </c>
      <c r="AQ10155">
        <v>1</v>
      </c>
      <c r="AR10155" t="s">
        <v>89</v>
      </c>
      <c r="AS10155" t="s">
        <v>90</v>
      </c>
      <c r="AT10155" t="s">
        <v>58</v>
      </c>
      <c r="AU10155" t="s">
        <v>350</v>
      </c>
      <c r="AV10155" t="s">
        <v>132</v>
      </c>
      <c r="AW10155" s="1">
        <v>33221</v>
      </c>
      <c r="AX10155">
        <v>1</v>
      </c>
    </row>
    <row r="10156" spans="1:50">
      <c r="A10156">
        <v>622671</v>
      </c>
      <c r="B10156" t="str">
        <f>"067761157"</f>
        <v>067761157</v>
      </c>
      <c r="C10156" t="s">
        <v>50</v>
      </c>
      <c r="D10156" t="s">
        <v>15120</v>
      </c>
      <c r="E10156" t="s">
        <v>263</v>
      </c>
      <c r="F10156" t="s">
        <v>72</v>
      </c>
      <c r="G10156" t="s">
        <v>15121</v>
      </c>
      <c r="H10156" t="str">
        <f>"Κ.ΜΑΝΟΥ ΑΓ.ΟΝΟΥΦΡΙΟΣ"</f>
        <v>Κ.ΜΑΝΟΥ ΑΓ.ΟΝΟΥΦΡΙΟΣ</v>
      </c>
      <c r="I10156">
        <v>73100</v>
      </c>
      <c r="N10156" t="s">
        <v>1525</v>
      </c>
      <c r="O10156" t="s">
        <v>1526</v>
      </c>
      <c r="R10156" t="s">
        <v>57</v>
      </c>
      <c r="S10156">
        <v>4</v>
      </c>
      <c r="T10156">
        <v>653</v>
      </c>
      <c r="U10156" s="1">
        <v>40043</v>
      </c>
      <c r="V10156" t="s">
        <v>89</v>
      </c>
      <c r="W10156" t="s">
        <v>90</v>
      </c>
      <c r="X10156" t="s">
        <v>58</v>
      </c>
      <c r="Y10156">
        <v>25</v>
      </c>
      <c r="Z10156" t="s">
        <v>59</v>
      </c>
      <c r="AA10156" t="s">
        <v>59</v>
      </c>
      <c r="AB10156" t="s">
        <v>59</v>
      </c>
      <c r="AC10156" t="s">
        <v>59</v>
      </c>
      <c r="AD10156" t="s">
        <v>59</v>
      </c>
      <c r="AF10156" s="1">
        <v>40043</v>
      </c>
      <c r="AG10156" t="s">
        <v>8651</v>
      </c>
      <c r="AH10156" t="s">
        <v>8652</v>
      </c>
      <c r="AI10156" t="str">
        <f>"9500138"</f>
        <v>9500138</v>
      </c>
      <c r="AJ10156" t="s">
        <v>14894</v>
      </c>
      <c r="AK10156">
        <v>2821095071</v>
      </c>
      <c r="AL10156" t="s">
        <v>14895</v>
      </c>
      <c r="AM10156" t="s">
        <v>88</v>
      </c>
      <c r="AN10156" t="s">
        <v>88</v>
      </c>
      <c r="AO10156" t="s">
        <v>88</v>
      </c>
      <c r="AP10156" t="s">
        <v>88</v>
      </c>
      <c r="AQ10156">
        <v>1</v>
      </c>
      <c r="AR10156" t="s">
        <v>89</v>
      </c>
      <c r="AS10156" t="s">
        <v>90</v>
      </c>
      <c r="AT10156" t="s">
        <v>58</v>
      </c>
      <c r="AU10156" t="s">
        <v>68</v>
      </c>
      <c r="AV10156" t="s">
        <v>69</v>
      </c>
      <c r="AW10156" s="1">
        <v>27630</v>
      </c>
      <c r="AX10156">
        <v>1</v>
      </c>
    </row>
    <row r="10157" spans="1:50">
      <c r="B10157" t="str">
        <f>"040042102"</f>
        <v>040042102</v>
      </c>
      <c r="C10157" t="s">
        <v>105</v>
      </c>
      <c r="D10157" t="s">
        <v>15122</v>
      </c>
      <c r="E10157" t="s">
        <v>99</v>
      </c>
      <c r="F10157" t="s">
        <v>84</v>
      </c>
      <c r="G10157" t="s">
        <v>396</v>
      </c>
      <c r="H10157" t="str">
        <f>"ΜΕΙΝΤΑΝΗ 12-14 ΑΘΗΝΑ"</f>
        <v>ΜΕΙΝΤΑΝΗ 12-14 ΑΘΗΝΑ</v>
      </c>
      <c r="I10157">
        <v>11741</v>
      </c>
      <c r="J10157">
        <v>2109210472</v>
      </c>
      <c r="K10157">
        <v>6934665533</v>
      </c>
      <c r="N10157" t="s">
        <v>384</v>
      </c>
      <c r="O10157" t="s">
        <v>385</v>
      </c>
      <c r="R10157" t="s">
        <v>159</v>
      </c>
      <c r="S10157">
        <v>8</v>
      </c>
      <c r="T10157" t="s">
        <v>8675</v>
      </c>
      <c r="U10157" s="1">
        <v>43348</v>
      </c>
      <c r="V10157" t="s">
        <v>89</v>
      </c>
      <c r="W10157" t="s">
        <v>90</v>
      </c>
      <c r="X10157" t="s">
        <v>58</v>
      </c>
      <c r="Y10157">
        <v>24</v>
      </c>
      <c r="Z10157" t="s">
        <v>59</v>
      </c>
      <c r="AA10157" t="s">
        <v>59</v>
      </c>
      <c r="AB10157" t="s">
        <v>59</v>
      </c>
      <c r="AC10157" t="s">
        <v>59</v>
      </c>
      <c r="AD10157" t="s">
        <v>59</v>
      </c>
      <c r="AF10157" s="1">
        <v>43348</v>
      </c>
      <c r="AG10157" t="s">
        <v>8645</v>
      </c>
      <c r="AH10157" t="s">
        <v>8646</v>
      </c>
      <c r="AI10157" t="str">
        <f>"9500119"</f>
        <v>9500119</v>
      </c>
      <c r="AJ10157" t="s">
        <v>14286</v>
      </c>
      <c r="AK10157">
        <v>2821095816</v>
      </c>
      <c r="AL10157" t="s">
        <v>14287</v>
      </c>
      <c r="AM10157" t="s">
        <v>88</v>
      </c>
      <c r="AN10157" t="s">
        <v>88</v>
      </c>
      <c r="AO10157" t="s">
        <v>13920</v>
      </c>
      <c r="AP10157" t="s">
        <v>14029</v>
      </c>
      <c r="AQ10157">
        <v>3</v>
      </c>
      <c r="AR10157" t="s">
        <v>89</v>
      </c>
      <c r="AS10157" t="s">
        <v>90</v>
      </c>
      <c r="AT10157" t="s">
        <v>58</v>
      </c>
      <c r="AU10157" t="s">
        <v>8673</v>
      </c>
      <c r="AV10157" t="s">
        <v>132</v>
      </c>
      <c r="AW10157" s="1">
        <v>21989</v>
      </c>
      <c r="AX10157">
        <v>1</v>
      </c>
    </row>
    <row r="10158" spans="1:50">
      <c r="A10158">
        <v>591798</v>
      </c>
      <c r="B10158" t="str">
        <f>"064492918"</f>
        <v>064492918</v>
      </c>
      <c r="C10158" t="s">
        <v>50</v>
      </c>
      <c r="D10158" t="s">
        <v>15123</v>
      </c>
      <c r="E10158" t="s">
        <v>143</v>
      </c>
      <c r="F10158" t="s">
        <v>92</v>
      </c>
      <c r="G10158" t="s">
        <v>6179</v>
      </c>
      <c r="H10158" t="str">
        <f>"Ακρωτηρίου 64 Χανιά"</f>
        <v>Ακρωτηρίου 64 Χανιά</v>
      </c>
      <c r="K10158">
        <v>6936072715</v>
      </c>
      <c r="M10158" t="s">
        <v>15124</v>
      </c>
      <c r="N10158" t="s">
        <v>1525</v>
      </c>
      <c r="O10158" t="s">
        <v>1526</v>
      </c>
      <c r="R10158" t="s">
        <v>57</v>
      </c>
      <c r="S10158">
        <v>9</v>
      </c>
      <c r="T10158">
        <v>249</v>
      </c>
      <c r="U10158" s="1">
        <v>36769</v>
      </c>
      <c r="V10158" t="s">
        <v>89</v>
      </c>
      <c r="W10158" t="s">
        <v>90</v>
      </c>
      <c r="X10158" t="s">
        <v>58</v>
      </c>
      <c r="Y10158">
        <v>25</v>
      </c>
      <c r="Z10158" t="s">
        <v>59</v>
      </c>
      <c r="AA10158" t="s">
        <v>59</v>
      </c>
      <c r="AB10158" t="s">
        <v>59</v>
      </c>
      <c r="AC10158" t="s">
        <v>59</v>
      </c>
      <c r="AD10158" t="s">
        <v>59</v>
      </c>
      <c r="AF10158" s="1">
        <v>36775</v>
      </c>
      <c r="AG10158" t="s">
        <v>8651</v>
      </c>
      <c r="AH10158" t="s">
        <v>8652</v>
      </c>
      <c r="AI10158" t="str">
        <f>"9500345"</f>
        <v>9500345</v>
      </c>
      <c r="AJ10158" t="s">
        <v>14593</v>
      </c>
      <c r="AK10158">
        <v>2821054443</v>
      </c>
      <c r="AL10158" t="s">
        <v>14594</v>
      </c>
      <c r="AM10158" t="s">
        <v>88</v>
      </c>
      <c r="AN10158" t="s">
        <v>88</v>
      </c>
      <c r="AO10158" t="s">
        <v>88</v>
      </c>
      <c r="AP10158" t="s">
        <v>88</v>
      </c>
      <c r="AQ10158">
        <v>1</v>
      </c>
      <c r="AR10158" t="s">
        <v>89</v>
      </c>
      <c r="AS10158" t="s">
        <v>90</v>
      </c>
      <c r="AT10158" t="s">
        <v>58</v>
      </c>
      <c r="AU10158" t="s">
        <v>68</v>
      </c>
      <c r="AV10158" t="s">
        <v>69</v>
      </c>
      <c r="AW10158" s="1">
        <v>24861</v>
      </c>
      <c r="AX10158">
        <v>1</v>
      </c>
    </row>
    <row r="10159" spans="1:50">
      <c r="A10159">
        <v>224491</v>
      </c>
      <c r="B10159" t="str">
        <f>"112384140"</f>
        <v>112384140</v>
      </c>
      <c r="C10159" t="s">
        <v>50</v>
      </c>
      <c r="D10159" t="s">
        <v>15125</v>
      </c>
      <c r="E10159" t="s">
        <v>237</v>
      </c>
      <c r="F10159" t="s">
        <v>383</v>
      </c>
      <c r="G10159" t="s">
        <v>237</v>
      </c>
      <c r="H10159" t="str">
        <f>"ΥΡΤΑΚΙΝΑΣ 11 "</f>
        <v xml:space="preserve">ΥΡΤΑΚΙΝΑΣ 11 </v>
      </c>
      <c r="I10159">
        <v>73136</v>
      </c>
      <c r="J10159">
        <v>2821098676</v>
      </c>
      <c r="K10159">
        <v>6978144553</v>
      </c>
      <c r="N10159" t="s">
        <v>288</v>
      </c>
      <c r="O10159" t="s">
        <v>289</v>
      </c>
      <c r="R10159" t="s">
        <v>57</v>
      </c>
      <c r="S10159">
        <v>5</v>
      </c>
      <c r="T10159">
        <v>775</v>
      </c>
      <c r="U10159" s="1">
        <v>39680</v>
      </c>
      <c r="V10159" t="s">
        <v>89</v>
      </c>
      <c r="W10159" t="s">
        <v>90</v>
      </c>
      <c r="X10159" t="s">
        <v>58</v>
      </c>
      <c r="Y10159">
        <v>23</v>
      </c>
      <c r="Z10159" t="s">
        <v>59</v>
      </c>
      <c r="AA10159" t="s">
        <v>59</v>
      </c>
      <c r="AB10159" t="s">
        <v>59</v>
      </c>
      <c r="AC10159" t="s">
        <v>59</v>
      </c>
      <c r="AD10159" t="s">
        <v>59</v>
      </c>
      <c r="AF10159" s="1">
        <v>39681</v>
      </c>
      <c r="AG10159" t="s">
        <v>8645</v>
      </c>
      <c r="AH10159" t="s">
        <v>8646</v>
      </c>
      <c r="AI10159" t="str">
        <f>"9500147"</f>
        <v>9500147</v>
      </c>
      <c r="AJ10159" t="s">
        <v>14008</v>
      </c>
      <c r="AK10159">
        <v>2821094573</v>
      </c>
      <c r="AL10159" t="s">
        <v>14009</v>
      </c>
      <c r="AM10159" t="s">
        <v>88</v>
      </c>
      <c r="AN10159" t="s">
        <v>88</v>
      </c>
      <c r="AO10159" t="s">
        <v>88</v>
      </c>
      <c r="AP10159" t="s">
        <v>88</v>
      </c>
      <c r="AQ10159">
        <v>1</v>
      </c>
      <c r="AR10159" t="s">
        <v>89</v>
      </c>
      <c r="AS10159" t="s">
        <v>90</v>
      </c>
      <c r="AT10159" t="s">
        <v>58</v>
      </c>
      <c r="AU10159" t="s">
        <v>68</v>
      </c>
      <c r="AV10159" t="s">
        <v>132</v>
      </c>
      <c r="AW10159" s="1">
        <v>29006</v>
      </c>
      <c r="AX10159">
        <v>1</v>
      </c>
    </row>
    <row r="10160" spans="1:50">
      <c r="B10160" t="str">
        <f>"140420839"</f>
        <v>140420839</v>
      </c>
      <c r="C10160" t="s">
        <v>50</v>
      </c>
      <c r="D10160" t="s">
        <v>15126</v>
      </c>
      <c r="E10160" t="s">
        <v>263</v>
      </c>
      <c r="F10160" t="s">
        <v>72</v>
      </c>
      <c r="G10160" t="s">
        <v>71</v>
      </c>
      <c r="H10160" t="str">
        <f>"ΣΜΟΛΕΝΣΚΗ 12 "</f>
        <v xml:space="preserve">ΣΜΟΛΕΝΣΚΗ 12 </v>
      </c>
      <c r="I10160">
        <v>41222</v>
      </c>
      <c r="J10160">
        <v>2410611890</v>
      </c>
      <c r="K10160">
        <v>6947934389</v>
      </c>
      <c r="N10160" t="s">
        <v>615</v>
      </c>
      <c r="O10160" t="s">
        <v>616</v>
      </c>
      <c r="R10160" t="s">
        <v>159</v>
      </c>
      <c r="S10160">
        <v>5</v>
      </c>
      <c r="T10160" t="s">
        <v>8675</v>
      </c>
      <c r="U10160" s="1">
        <v>43348</v>
      </c>
      <c r="V10160" t="s">
        <v>89</v>
      </c>
      <c r="W10160" t="s">
        <v>90</v>
      </c>
      <c r="X10160" t="s">
        <v>58</v>
      </c>
      <c r="Y10160">
        <v>24</v>
      </c>
      <c r="Z10160" t="s">
        <v>59</v>
      </c>
      <c r="AA10160" t="s">
        <v>59</v>
      </c>
      <c r="AB10160" t="s">
        <v>59</v>
      </c>
      <c r="AC10160" t="s">
        <v>59</v>
      </c>
      <c r="AD10160" t="s">
        <v>59</v>
      </c>
      <c r="AF10160" s="1">
        <v>43348</v>
      </c>
      <c r="AG10160" t="s">
        <v>8645</v>
      </c>
      <c r="AH10160" t="s">
        <v>8646</v>
      </c>
      <c r="AI10160" t="str">
        <f>"9500093"</f>
        <v>9500093</v>
      </c>
      <c r="AJ10160" t="s">
        <v>13865</v>
      </c>
      <c r="AK10160">
        <v>2821064537</v>
      </c>
      <c r="AL10160" t="s">
        <v>13866</v>
      </c>
      <c r="AM10160" t="s">
        <v>88</v>
      </c>
      <c r="AN10160" t="s">
        <v>88</v>
      </c>
      <c r="AO10160" t="s">
        <v>6770</v>
      </c>
      <c r="AP10160" t="s">
        <v>6771</v>
      </c>
      <c r="AQ10160">
        <v>2</v>
      </c>
      <c r="AR10160" t="s">
        <v>89</v>
      </c>
      <c r="AS10160" t="s">
        <v>90</v>
      </c>
      <c r="AT10160" t="s">
        <v>58</v>
      </c>
      <c r="AU10160" t="s">
        <v>8673</v>
      </c>
      <c r="AV10160" t="s">
        <v>132</v>
      </c>
      <c r="AW10160" s="1">
        <v>31944</v>
      </c>
      <c r="AX10160">
        <v>1</v>
      </c>
    </row>
    <row r="10161" spans="1:50">
      <c r="B10161" t="str">
        <f>"139575674"</f>
        <v>139575674</v>
      </c>
      <c r="C10161" t="s">
        <v>105</v>
      </c>
      <c r="D10161" t="s">
        <v>15127</v>
      </c>
      <c r="E10161" t="s">
        <v>5642</v>
      </c>
      <c r="F10161" t="s">
        <v>84</v>
      </c>
      <c r="G10161" t="s">
        <v>181</v>
      </c>
      <c r="H10161" t="str">
        <f>" "</f>
        <v xml:space="preserve"> </v>
      </c>
      <c r="N10161" t="s">
        <v>615</v>
      </c>
      <c r="O10161" t="s">
        <v>616</v>
      </c>
      <c r="R10161" t="s">
        <v>121</v>
      </c>
      <c r="S10161">
        <v>1</v>
      </c>
      <c r="T10161" t="s">
        <v>9034</v>
      </c>
      <c r="U10161" s="1">
        <v>43377</v>
      </c>
      <c r="V10161" t="s">
        <v>89</v>
      </c>
      <c r="W10161" t="s">
        <v>90</v>
      </c>
      <c r="X10161" t="s">
        <v>58</v>
      </c>
      <c r="Y10161">
        <v>24</v>
      </c>
      <c r="Z10161" t="s">
        <v>59</v>
      </c>
      <c r="AA10161" t="s">
        <v>59</v>
      </c>
      <c r="AB10161" t="s">
        <v>59</v>
      </c>
      <c r="AD10161" t="s">
        <v>59</v>
      </c>
      <c r="AF10161" s="1">
        <v>43377</v>
      </c>
      <c r="AG10161" t="s">
        <v>8645</v>
      </c>
      <c r="AH10161" t="s">
        <v>8646</v>
      </c>
      <c r="AI10161" t="str">
        <f>"9500191"</f>
        <v>9500191</v>
      </c>
      <c r="AJ10161" t="s">
        <v>13986</v>
      </c>
      <c r="AK10161">
        <v>2822022042</v>
      </c>
      <c r="AL10161" t="s">
        <v>13987</v>
      </c>
      <c r="AM10161" t="s">
        <v>88</v>
      </c>
      <c r="AN10161" t="s">
        <v>6744</v>
      </c>
      <c r="AO10161" t="s">
        <v>6744</v>
      </c>
      <c r="AP10161" t="s">
        <v>6744</v>
      </c>
      <c r="AQ10161">
        <v>9</v>
      </c>
      <c r="AR10161" t="s">
        <v>89</v>
      </c>
      <c r="AS10161" t="s">
        <v>90</v>
      </c>
      <c r="AT10161" t="s">
        <v>58</v>
      </c>
      <c r="AU10161" t="s">
        <v>8673</v>
      </c>
      <c r="AV10161" t="s">
        <v>132</v>
      </c>
      <c r="AW10161" s="1">
        <v>32668</v>
      </c>
      <c r="AX10161">
        <v>1</v>
      </c>
    </row>
    <row r="10162" spans="1:50">
      <c r="A10162">
        <v>599402</v>
      </c>
      <c r="B10162" t="str">
        <f>"112361094"</f>
        <v>112361094</v>
      </c>
      <c r="C10162" t="s">
        <v>50</v>
      </c>
      <c r="D10162" t="s">
        <v>3004</v>
      </c>
      <c r="E10162" t="s">
        <v>905</v>
      </c>
      <c r="F10162" t="s">
        <v>72</v>
      </c>
      <c r="G10162" t="s">
        <v>6353</v>
      </c>
      <c r="H10162" t="str">
        <f>"1η  ΠΑΡΟΔΟΣ  ΑΓ.ΟΝΟΥΦΡΙΟΥ ΚΟΥΝΟΥΠΙΔΙΑΝΑ - ΧΑΝΙΑ"</f>
        <v>1η  ΠΑΡΟΔΟΣ  ΑΓ.ΟΝΟΥΦΡΙΟΥ ΚΟΥΝΟΥΠΙΔΙΑΝΑ - ΧΑΝΙΑ</v>
      </c>
      <c r="I10162">
        <v>73100</v>
      </c>
      <c r="J10162">
        <v>2821009077</v>
      </c>
      <c r="K10162">
        <v>6955554043</v>
      </c>
      <c r="N10162" t="s">
        <v>615</v>
      </c>
      <c r="O10162" t="s">
        <v>616</v>
      </c>
      <c r="R10162" t="s">
        <v>57</v>
      </c>
      <c r="S10162">
        <v>8</v>
      </c>
      <c r="T10162">
        <v>195</v>
      </c>
      <c r="U10162" s="1">
        <v>37497</v>
      </c>
      <c r="V10162" t="s">
        <v>89</v>
      </c>
      <c r="W10162" t="s">
        <v>90</v>
      </c>
      <c r="X10162" t="s">
        <v>58</v>
      </c>
      <c r="Y10162">
        <v>22</v>
      </c>
      <c r="Z10162" t="s">
        <v>59</v>
      </c>
      <c r="AA10162" t="s">
        <v>59</v>
      </c>
      <c r="AB10162" t="s">
        <v>59</v>
      </c>
      <c r="AC10162" t="s">
        <v>59</v>
      </c>
      <c r="AD10162" t="s">
        <v>59</v>
      </c>
      <c r="AF10162" s="1">
        <v>37497</v>
      </c>
      <c r="AG10162" t="s">
        <v>8645</v>
      </c>
      <c r="AH10162" t="s">
        <v>8646</v>
      </c>
      <c r="AI10162" t="str">
        <f>"9520693"</f>
        <v>9520693</v>
      </c>
      <c r="AJ10162" t="s">
        <v>13913</v>
      </c>
      <c r="AK10162">
        <v>2821066910</v>
      </c>
      <c r="AL10162" t="s">
        <v>13914</v>
      </c>
      <c r="AM10162" t="s">
        <v>88</v>
      </c>
      <c r="AN10162" t="s">
        <v>88</v>
      </c>
      <c r="AO10162" t="s">
        <v>6770</v>
      </c>
      <c r="AP10162" t="s">
        <v>6771</v>
      </c>
      <c r="AQ10162">
        <v>2</v>
      </c>
      <c r="AR10162" t="s">
        <v>89</v>
      </c>
      <c r="AS10162" t="s">
        <v>90</v>
      </c>
      <c r="AT10162" t="s">
        <v>58</v>
      </c>
      <c r="AU10162" t="s">
        <v>68</v>
      </c>
      <c r="AV10162" t="s">
        <v>69</v>
      </c>
      <c r="AW10162" s="1">
        <v>25548</v>
      </c>
      <c r="AX10162">
        <v>1</v>
      </c>
    </row>
    <row r="10163" spans="1:50">
      <c r="A10163">
        <v>602465</v>
      </c>
      <c r="B10163" t="str">
        <f>"077534325"</f>
        <v>077534325</v>
      </c>
      <c r="C10163" t="s">
        <v>50</v>
      </c>
      <c r="D10163" t="s">
        <v>15128</v>
      </c>
      <c r="E10163" t="s">
        <v>255</v>
      </c>
      <c r="F10163" t="s">
        <v>1679</v>
      </c>
      <c r="G10163" t="s">
        <v>1408</v>
      </c>
      <c r="H10163" t="str">
        <f>"ΕΦ.ΠΟΛΕΜΙΣΤΩΝ 125 ΧΑΝΙΑ"</f>
        <v>ΕΦ.ΠΟΛΕΜΙΣΤΩΝ 125 ΧΑΝΙΑ</v>
      </c>
      <c r="I10163">
        <v>73136</v>
      </c>
      <c r="J10163">
        <v>2821097266</v>
      </c>
      <c r="K10163">
        <v>6979319031</v>
      </c>
      <c r="N10163" t="s">
        <v>615</v>
      </c>
      <c r="O10163" t="s">
        <v>616</v>
      </c>
      <c r="R10163" t="s">
        <v>57</v>
      </c>
      <c r="S10163">
        <v>8</v>
      </c>
      <c r="T10163">
        <v>207</v>
      </c>
      <c r="U10163" s="1">
        <v>37866</v>
      </c>
      <c r="V10163" t="s">
        <v>89</v>
      </c>
      <c r="W10163" t="s">
        <v>90</v>
      </c>
      <c r="X10163" t="s">
        <v>58</v>
      </c>
      <c r="Y10163">
        <v>22</v>
      </c>
      <c r="Z10163" t="s">
        <v>59</v>
      </c>
      <c r="AA10163" t="s">
        <v>59</v>
      </c>
      <c r="AB10163" t="s">
        <v>59</v>
      </c>
      <c r="AC10163" t="s">
        <v>59</v>
      </c>
      <c r="AD10163" t="s">
        <v>59</v>
      </c>
      <c r="AF10163" s="1">
        <v>37866</v>
      </c>
      <c r="AG10163" t="s">
        <v>8645</v>
      </c>
      <c r="AH10163" t="s">
        <v>8646</v>
      </c>
      <c r="AI10163" t="str">
        <f>"9500167"</f>
        <v>9500167</v>
      </c>
      <c r="AJ10163" t="s">
        <v>13922</v>
      </c>
      <c r="AK10163">
        <v>2821068357</v>
      </c>
      <c r="AL10163" t="s">
        <v>13923</v>
      </c>
      <c r="AM10163" t="s">
        <v>88</v>
      </c>
      <c r="AN10163" t="s">
        <v>6764</v>
      </c>
      <c r="AO10163" t="s">
        <v>6764</v>
      </c>
      <c r="AP10163" t="s">
        <v>6764</v>
      </c>
      <c r="AQ10163">
        <v>5</v>
      </c>
      <c r="AR10163" t="s">
        <v>89</v>
      </c>
      <c r="AS10163" t="s">
        <v>90</v>
      </c>
      <c r="AT10163" t="s">
        <v>58</v>
      </c>
      <c r="AU10163" t="s">
        <v>68</v>
      </c>
      <c r="AV10163" t="s">
        <v>2039</v>
      </c>
      <c r="AW10163" s="1">
        <v>25795</v>
      </c>
      <c r="AX10163">
        <v>1</v>
      </c>
    </row>
    <row r="10164" spans="1:50">
      <c r="A10164">
        <v>614824</v>
      </c>
      <c r="B10164" t="str">
        <f>"127730337"</f>
        <v>127730337</v>
      </c>
      <c r="C10164" t="s">
        <v>50</v>
      </c>
      <c r="D10164" t="s">
        <v>15128</v>
      </c>
      <c r="E10164" t="s">
        <v>2205</v>
      </c>
      <c r="F10164" t="s">
        <v>95</v>
      </c>
      <c r="G10164" t="s">
        <v>1520</v>
      </c>
      <c r="H10164" t="str">
        <f>"ΛΟΥΛΑΚΑΚΗ  204 ΧΑΝΙΑ"</f>
        <v>ΛΟΥΛΑΚΑΚΗ  204 ΧΑΝΙΑ</v>
      </c>
      <c r="I10164">
        <v>73100</v>
      </c>
      <c r="J10164">
        <v>2821044596</v>
      </c>
      <c r="K10164">
        <v>6942689748</v>
      </c>
      <c r="M10164" t="s">
        <v>15129</v>
      </c>
      <c r="N10164" t="s">
        <v>615</v>
      </c>
      <c r="O10164" t="s">
        <v>616</v>
      </c>
      <c r="R10164" t="s">
        <v>57</v>
      </c>
      <c r="S10164">
        <v>6</v>
      </c>
      <c r="T10164">
        <v>598</v>
      </c>
      <c r="U10164" s="1">
        <v>39310</v>
      </c>
      <c r="V10164" t="s">
        <v>89</v>
      </c>
      <c r="W10164" t="s">
        <v>90</v>
      </c>
      <c r="X10164" t="s">
        <v>58</v>
      </c>
      <c r="Y10164">
        <v>23</v>
      </c>
      <c r="Z10164" t="s">
        <v>59</v>
      </c>
      <c r="AA10164" t="s">
        <v>59</v>
      </c>
      <c r="AB10164" t="s">
        <v>59</v>
      </c>
      <c r="AC10164" t="s">
        <v>59</v>
      </c>
      <c r="AD10164" t="s">
        <v>59</v>
      </c>
      <c r="AF10164" s="1">
        <v>39310</v>
      </c>
      <c r="AG10164" t="s">
        <v>8645</v>
      </c>
      <c r="AH10164" t="s">
        <v>8646</v>
      </c>
      <c r="AI10164" t="str">
        <f>"9500040"</f>
        <v>9500040</v>
      </c>
      <c r="AJ10164" t="s">
        <v>13906</v>
      </c>
      <c r="AK10164">
        <v>2821045356</v>
      </c>
      <c r="AL10164" t="s">
        <v>13907</v>
      </c>
      <c r="AM10164" t="s">
        <v>88</v>
      </c>
      <c r="AN10164" t="s">
        <v>88</v>
      </c>
      <c r="AO10164" t="s">
        <v>88</v>
      </c>
      <c r="AP10164" t="s">
        <v>88</v>
      </c>
      <c r="AQ10164">
        <v>1</v>
      </c>
      <c r="AR10164" t="s">
        <v>89</v>
      </c>
      <c r="AS10164" t="s">
        <v>90</v>
      </c>
      <c r="AT10164" t="s">
        <v>58</v>
      </c>
      <c r="AU10164" t="s">
        <v>68</v>
      </c>
      <c r="AV10164" t="s">
        <v>69</v>
      </c>
      <c r="AW10164" s="1">
        <v>30532</v>
      </c>
      <c r="AX10164">
        <v>1</v>
      </c>
    </row>
    <row r="10165" spans="1:50">
      <c r="B10165" t="str">
        <f>"135221414"</f>
        <v>135221414</v>
      </c>
      <c r="C10165" t="s">
        <v>50</v>
      </c>
      <c r="D10165" t="s">
        <v>15128</v>
      </c>
      <c r="E10165" t="s">
        <v>809</v>
      </c>
      <c r="F10165" t="s">
        <v>95</v>
      </c>
      <c r="G10165" t="s">
        <v>143</v>
      </c>
      <c r="H10165" t="str">
        <f>"ΓΕΡ. ΠΑΡΔΑΛΗ 38 "</f>
        <v xml:space="preserve">ΓΕΡ. ΠΑΡΔΑΛΗ 38 </v>
      </c>
      <c r="I10165">
        <v>73100</v>
      </c>
      <c r="J10165">
        <v>2821071379</v>
      </c>
      <c r="K10165">
        <v>6977261491</v>
      </c>
      <c r="N10165" t="s">
        <v>615</v>
      </c>
      <c r="O10165" t="s">
        <v>616</v>
      </c>
      <c r="R10165" t="s">
        <v>159</v>
      </c>
      <c r="S10165">
        <v>4</v>
      </c>
      <c r="T10165" t="s">
        <v>8675</v>
      </c>
      <c r="U10165" s="1">
        <v>43348</v>
      </c>
      <c r="V10165" t="s">
        <v>89</v>
      </c>
      <c r="W10165" t="s">
        <v>90</v>
      </c>
      <c r="X10165" t="s">
        <v>58</v>
      </c>
      <c r="Y10165">
        <v>24</v>
      </c>
      <c r="Z10165" t="s">
        <v>59</v>
      </c>
      <c r="AA10165" t="s">
        <v>59</v>
      </c>
      <c r="AB10165" t="s">
        <v>59</v>
      </c>
      <c r="AC10165" t="s">
        <v>59</v>
      </c>
      <c r="AD10165" t="s">
        <v>59</v>
      </c>
      <c r="AF10165" s="1">
        <v>43348</v>
      </c>
      <c r="AG10165" t="s">
        <v>8645</v>
      </c>
      <c r="AH10165" t="s">
        <v>8646</v>
      </c>
      <c r="AI10165" t="str">
        <f>"9500167"</f>
        <v>9500167</v>
      </c>
      <c r="AJ10165" t="s">
        <v>13922</v>
      </c>
      <c r="AK10165">
        <v>2821068357</v>
      </c>
      <c r="AL10165" t="s">
        <v>13923</v>
      </c>
      <c r="AM10165" t="s">
        <v>88</v>
      </c>
      <c r="AN10165" t="s">
        <v>6764</v>
      </c>
      <c r="AO10165" t="s">
        <v>6764</v>
      </c>
      <c r="AP10165" t="s">
        <v>6764</v>
      </c>
      <c r="AQ10165">
        <v>5</v>
      </c>
      <c r="AR10165" t="s">
        <v>89</v>
      </c>
      <c r="AS10165" t="s">
        <v>90</v>
      </c>
      <c r="AT10165" t="s">
        <v>58</v>
      </c>
      <c r="AU10165" t="s">
        <v>8673</v>
      </c>
      <c r="AV10165" t="s">
        <v>132</v>
      </c>
      <c r="AW10165" s="1">
        <v>31832</v>
      </c>
      <c r="AX10165">
        <v>1</v>
      </c>
    </row>
    <row r="10166" spans="1:50">
      <c r="A10166">
        <v>621886</v>
      </c>
      <c r="B10166" t="str">
        <f>"066847268"</f>
        <v>066847268</v>
      </c>
      <c r="C10166" t="s">
        <v>50</v>
      </c>
      <c r="D10166" t="s">
        <v>15128</v>
      </c>
      <c r="E10166" t="s">
        <v>707</v>
      </c>
      <c r="F10166" t="s">
        <v>99</v>
      </c>
      <c r="G10166" t="s">
        <v>250</v>
      </c>
      <c r="H10166" t="str">
        <f>"Κ. ΠΑΛΑΙΟΛΟΓΟΥ 163 ΧΑΝΙΑ"</f>
        <v>Κ. ΠΑΛΑΙΟΛΟΓΟΥ 163 ΧΑΝΙΑ</v>
      </c>
      <c r="I10166">
        <v>73100</v>
      </c>
      <c r="J10166">
        <v>2821094558</v>
      </c>
      <c r="K10166">
        <v>6981737316</v>
      </c>
      <c r="N10166" t="s">
        <v>615</v>
      </c>
      <c r="O10166" t="s">
        <v>616</v>
      </c>
      <c r="R10166" t="s">
        <v>57</v>
      </c>
      <c r="S10166">
        <v>5</v>
      </c>
      <c r="T10166">
        <v>653</v>
      </c>
      <c r="U10166" s="1">
        <v>40043</v>
      </c>
      <c r="V10166" t="s">
        <v>89</v>
      </c>
      <c r="W10166" t="s">
        <v>90</v>
      </c>
      <c r="X10166" t="s">
        <v>58</v>
      </c>
      <c r="Y10166">
        <v>23</v>
      </c>
      <c r="Z10166" t="s">
        <v>59</v>
      </c>
      <c r="AA10166" t="s">
        <v>59</v>
      </c>
      <c r="AB10166" t="s">
        <v>59</v>
      </c>
      <c r="AC10166" t="s">
        <v>59</v>
      </c>
      <c r="AD10166" t="s">
        <v>59</v>
      </c>
      <c r="AF10166" s="1">
        <v>40045</v>
      </c>
      <c r="AG10166" t="s">
        <v>8645</v>
      </c>
      <c r="AH10166" t="s">
        <v>8646</v>
      </c>
      <c r="AI10166" t="str">
        <f>"9500360"</f>
        <v>9500360</v>
      </c>
      <c r="AJ10166" t="s">
        <v>14022</v>
      </c>
      <c r="AK10166">
        <v>2821031253</v>
      </c>
      <c r="AL10166" t="s">
        <v>14023</v>
      </c>
      <c r="AM10166" t="s">
        <v>88</v>
      </c>
      <c r="AN10166" t="s">
        <v>88</v>
      </c>
      <c r="AO10166" t="s">
        <v>6785</v>
      </c>
      <c r="AP10166" t="s">
        <v>13932</v>
      </c>
      <c r="AQ10166">
        <v>3</v>
      </c>
      <c r="AR10166" t="s">
        <v>89</v>
      </c>
      <c r="AS10166" t="s">
        <v>90</v>
      </c>
      <c r="AT10166" t="s">
        <v>58</v>
      </c>
      <c r="AU10166" t="s">
        <v>68</v>
      </c>
      <c r="AV10166" t="s">
        <v>69</v>
      </c>
      <c r="AW10166" s="1">
        <v>30097</v>
      </c>
      <c r="AX10166">
        <v>1</v>
      </c>
    </row>
    <row r="10167" spans="1:50">
      <c r="A10167">
        <v>564210</v>
      </c>
      <c r="B10167" t="str">
        <f>"035970330"</f>
        <v>035970330</v>
      </c>
      <c r="C10167" t="s">
        <v>50</v>
      </c>
      <c r="D10167" t="s">
        <v>7981</v>
      </c>
      <c r="E10167" t="s">
        <v>52</v>
      </c>
      <c r="F10167" t="s">
        <v>15130</v>
      </c>
      <c r="G10167" t="s">
        <v>2719</v>
      </c>
      <c r="H10167" t="str">
        <f>"ΣΦΑΚΙΩΝ 21 ΧΑΝΙΑ"</f>
        <v>ΣΦΑΚΙΩΝ 21 ΧΑΝΙΑ</v>
      </c>
      <c r="I10167">
        <v>73134</v>
      </c>
      <c r="J10167">
        <v>2821046087</v>
      </c>
      <c r="K10167">
        <v>6974048462</v>
      </c>
      <c r="N10167" t="s">
        <v>615</v>
      </c>
      <c r="O10167" t="s">
        <v>616</v>
      </c>
      <c r="R10167" t="s">
        <v>57</v>
      </c>
      <c r="S10167">
        <v>15</v>
      </c>
      <c r="T10167">
        <v>161</v>
      </c>
      <c r="U10167" s="1">
        <v>33119</v>
      </c>
      <c r="V10167" t="s">
        <v>89</v>
      </c>
      <c r="W10167" t="s">
        <v>90</v>
      </c>
      <c r="X10167" t="s">
        <v>58</v>
      </c>
      <c r="Y10167">
        <v>21</v>
      </c>
      <c r="Z10167" t="s">
        <v>59</v>
      </c>
      <c r="AA10167" t="s">
        <v>59</v>
      </c>
      <c r="AB10167" t="s">
        <v>59</v>
      </c>
      <c r="AC10167" t="s">
        <v>59</v>
      </c>
      <c r="AD10167" t="s">
        <v>59</v>
      </c>
      <c r="AF10167" s="1">
        <v>33119</v>
      </c>
      <c r="AG10167" t="s">
        <v>8645</v>
      </c>
      <c r="AH10167" t="s">
        <v>8646</v>
      </c>
      <c r="AI10167" t="str">
        <f>"9500077"</f>
        <v>9500077</v>
      </c>
      <c r="AJ10167" t="s">
        <v>13903</v>
      </c>
      <c r="AK10167">
        <v>2821054404</v>
      </c>
      <c r="AL10167" t="s">
        <v>13904</v>
      </c>
      <c r="AM10167" t="s">
        <v>88</v>
      </c>
      <c r="AN10167" t="s">
        <v>88</v>
      </c>
      <c r="AO10167" t="s">
        <v>88</v>
      </c>
      <c r="AP10167" t="s">
        <v>88</v>
      </c>
      <c r="AQ10167">
        <v>1</v>
      </c>
      <c r="AR10167" t="s">
        <v>89</v>
      </c>
      <c r="AS10167" t="s">
        <v>90</v>
      </c>
      <c r="AT10167" t="s">
        <v>58</v>
      </c>
      <c r="AU10167" t="s">
        <v>68</v>
      </c>
      <c r="AV10167" t="s">
        <v>2039</v>
      </c>
      <c r="AW10167" s="1">
        <v>24301</v>
      </c>
      <c r="AX10167">
        <v>1</v>
      </c>
    </row>
    <row r="10168" spans="1:50">
      <c r="B10168" t="str">
        <f>"145240610"</f>
        <v>145240610</v>
      </c>
      <c r="C10168" t="s">
        <v>50</v>
      </c>
      <c r="D10168" t="s">
        <v>15131</v>
      </c>
      <c r="E10168" t="s">
        <v>255</v>
      </c>
      <c r="F10168" t="s">
        <v>1414</v>
      </c>
      <c r="G10168" t="s">
        <v>396</v>
      </c>
      <c r="H10168" t="str">
        <f>"ΑΡΕΘΟΥΣΗΣ 65 "</f>
        <v xml:space="preserve">ΑΡΕΘΟΥΣΗΣ 65 </v>
      </c>
      <c r="I10168">
        <v>34100</v>
      </c>
      <c r="J10168">
        <v>2221300785</v>
      </c>
      <c r="K10168">
        <v>6946529024</v>
      </c>
      <c r="N10168" t="s">
        <v>615</v>
      </c>
      <c r="O10168" t="s">
        <v>616</v>
      </c>
      <c r="R10168" t="s">
        <v>159</v>
      </c>
      <c r="S10168">
        <v>3</v>
      </c>
      <c r="T10168" t="s">
        <v>8675</v>
      </c>
      <c r="U10168" s="1">
        <v>43348</v>
      </c>
      <c r="V10168" t="s">
        <v>89</v>
      </c>
      <c r="W10168" t="s">
        <v>90</v>
      </c>
      <c r="X10168" t="s">
        <v>58</v>
      </c>
      <c r="Y10168">
        <v>24</v>
      </c>
      <c r="Z10168" t="s">
        <v>59</v>
      </c>
      <c r="AA10168" t="s">
        <v>59</v>
      </c>
      <c r="AB10168" t="s">
        <v>59</v>
      </c>
      <c r="AC10168" t="s">
        <v>59</v>
      </c>
      <c r="AD10168" t="s">
        <v>59</v>
      </c>
      <c r="AF10168" s="1">
        <v>43348</v>
      </c>
      <c r="AG10168" t="s">
        <v>8645</v>
      </c>
      <c r="AH10168" t="s">
        <v>8646</v>
      </c>
      <c r="AI10168" t="str">
        <f>"9500004"</f>
        <v>9500004</v>
      </c>
      <c r="AJ10168" t="s">
        <v>13897</v>
      </c>
      <c r="AK10168">
        <v>2825022272</v>
      </c>
      <c r="AL10168" t="s">
        <v>13898</v>
      </c>
      <c r="AM10168" t="s">
        <v>88</v>
      </c>
      <c r="AN10168" t="s">
        <v>6775</v>
      </c>
      <c r="AO10168" t="s">
        <v>6776</v>
      </c>
      <c r="AP10168" t="s">
        <v>6776</v>
      </c>
      <c r="AQ10168">
        <v>7</v>
      </c>
      <c r="AR10168" t="s">
        <v>89</v>
      </c>
      <c r="AS10168" t="s">
        <v>90</v>
      </c>
      <c r="AT10168" t="s">
        <v>58</v>
      </c>
      <c r="AU10168" t="s">
        <v>8673</v>
      </c>
      <c r="AV10168" t="s">
        <v>132</v>
      </c>
      <c r="AW10168" s="1">
        <v>32125</v>
      </c>
      <c r="AX10168">
        <v>1</v>
      </c>
    </row>
    <row r="10169" spans="1:50">
      <c r="A10169">
        <v>700769</v>
      </c>
      <c r="B10169" t="str">
        <f>"144041197"</f>
        <v>144041197</v>
      </c>
      <c r="C10169" t="s">
        <v>50</v>
      </c>
      <c r="D10169" t="s">
        <v>7983</v>
      </c>
      <c r="E10169" t="s">
        <v>52</v>
      </c>
      <c r="F10169" t="s">
        <v>670</v>
      </c>
      <c r="G10169" t="s">
        <v>112</v>
      </c>
      <c r="H10169" t="str">
        <f>"ΝΙΚΟΛΑΟΥ  ΣΚΟΥΛΑ  33 ΧΑΝΙΑ"</f>
        <v>ΝΙΚΟΛΑΟΥ  ΣΚΟΥΛΑ  33 ΧΑΝΙΑ</v>
      </c>
      <c r="I10169">
        <v>73300</v>
      </c>
      <c r="J10169">
        <v>2821072600</v>
      </c>
      <c r="K10169">
        <v>6940564490</v>
      </c>
      <c r="N10169" t="s">
        <v>615</v>
      </c>
      <c r="O10169" t="s">
        <v>616</v>
      </c>
      <c r="R10169" t="s">
        <v>57</v>
      </c>
      <c r="S10169">
        <v>4</v>
      </c>
      <c r="T10169">
        <v>772</v>
      </c>
      <c r="U10169" s="1">
        <v>40413</v>
      </c>
      <c r="V10169" t="s">
        <v>89</v>
      </c>
      <c r="W10169" t="s">
        <v>90</v>
      </c>
      <c r="X10169" t="s">
        <v>58</v>
      </c>
      <c r="Y10169">
        <v>24</v>
      </c>
      <c r="Z10169" t="s">
        <v>59</v>
      </c>
      <c r="AA10169" t="s">
        <v>59</v>
      </c>
      <c r="AB10169" t="s">
        <v>59</v>
      </c>
      <c r="AC10169" t="s">
        <v>59</v>
      </c>
      <c r="AD10169" t="s">
        <v>59</v>
      </c>
      <c r="AF10169" s="1">
        <v>40413</v>
      </c>
      <c r="AG10169" t="s">
        <v>8645</v>
      </c>
      <c r="AH10169" t="s">
        <v>14199</v>
      </c>
      <c r="AI10169" t="str">
        <f>"9500140"</f>
        <v>9500140</v>
      </c>
      <c r="AJ10169" t="s">
        <v>14200</v>
      </c>
      <c r="AK10169">
        <v>2821097348</v>
      </c>
      <c r="AL10169" t="s">
        <v>14201</v>
      </c>
      <c r="AM10169" t="s">
        <v>88</v>
      </c>
      <c r="AN10169" t="s">
        <v>88</v>
      </c>
      <c r="AO10169" t="s">
        <v>88</v>
      </c>
      <c r="AP10169" t="s">
        <v>88</v>
      </c>
      <c r="AQ10169">
        <v>1</v>
      </c>
      <c r="AR10169" t="s">
        <v>89</v>
      </c>
      <c r="AS10169" t="s">
        <v>90</v>
      </c>
      <c r="AT10169" t="s">
        <v>58</v>
      </c>
      <c r="AU10169" t="s">
        <v>68</v>
      </c>
      <c r="AV10169" t="s">
        <v>69</v>
      </c>
      <c r="AW10169" s="1">
        <v>31748</v>
      </c>
      <c r="AX10169">
        <v>1</v>
      </c>
    </row>
    <row r="10170" spans="1:50">
      <c r="A10170">
        <v>700117</v>
      </c>
      <c r="B10170" t="str">
        <f>"133480742"</f>
        <v>133480742</v>
      </c>
      <c r="C10170" t="s">
        <v>50</v>
      </c>
      <c r="D10170" t="s">
        <v>15132</v>
      </c>
      <c r="E10170" t="s">
        <v>563</v>
      </c>
      <c r="F10170" t="s">
        <v>309</v>
      </c>
      <c r="G10170" t="s">
        <v>2719</v>
      </c>
      <c r="H10170" t="str">
        <f>"ΕΘΝΙΚΗΣ  ΑΝΤΙΣΤΑΣΗΣ  2 ΚΙΣΑΜΟΣ"</f>
        <v>ΕΘΝΙΚΗΣ  ΑΝΤΙΣΤΑΣΗΣ  2 ΚΙΣΑΜΟΣ</v>
      </c>
      <c r="I10170">
        <v>73400</v>
      </c>
      <c r="K10170">
        <v>6972073891</v>
      </c>
      <c r="N10170" t="s">
        <v>615</v>
      </c>
      <c r="O10170" t="s">
        <v>616</v>
      </c>
      <c r="R10170" t="s">
        <v>57</v>
      </c>
      <c r="S10170">
        <v>5</v>
      </c>
      <c r="T10170">
        <v>772</v>
      </c>
      <c r="U10170" s="1">
        <v>40413</v>
      </c>
      <c r="V10170" t="s">
        <v>89</v>
      </c>
      <c r="W10170" t="s">
        <v>90</v>
      </c>
      <c r="X10170" t="s">
        <v>58</v>
      </c>
      <c r="Y10170">
        <v>23</v>
      </c>
      <c r="Z10170" t="s">
        <v>59</v>
      </c>
      <c r="AA10170" t="s">
        <v>59</v>
      </c>
      <c r="AB10170" t="s">
        <v>59</v>
      </c>
      <c r="AC10170" t="s">
        <v>59</v>
      </c>
      <c r="AD10170" t="s">
        <v>59</v>
      </c>
      <c r="AF10170" s="1">
        <v>40413</v>
      </c>
      <c r="AG10170" t="s">
        <v>8645</v>
      </c>
      <c r="AH10170" t="s">
        <v>8646</v>
      </c>
      <c r="AI10170" t="str">
        <f>"9500189"</f>
        <v>9500189</v>
      </c>
      <c r="AJ10170" t="s">
        <v>14038</v>
      </c>
      <c r="AK10170">
        <v>2822022119</v>
      </c>
      <c r="AL10170" t="s">
        <v>14039</v>
      </c>
      <c r="AM10170" t="s">
        <v>88</v>
      </c>
      <c r="AN10170" t="s">
        <v>6744</v>
      </c>
      <c r="AO10170" t="s">
        <v>6744</v>
      </c>
      <c r="AP10170" t="s">
        <v>6744</v>
      </c>
      <c r="AQ10170">
        <v>9</v>
      </c>
      <c r="AR10170" t="s">
        <v>89</v>
      </c>
      <c r="AS10170" t="s">
        <v>90</v>
      </c>
      <c r="AT10170" t="s">
        <v>58</v>
      </c>
      <c r="AU10170" t="s">
        <v>68</v>
      </c>
      <c r="AV10170" t="s">
        <v>69</v>
      </c>
      <c r="AW10170" s="1">
        <v>31255</v>
      </c>
      <c r="AX10170">
        <v>1</v>
      </c>
    </row>
    <row r="10171" spans="1:50">
      <c r="A10171">
        <v>596126</v>
      </c>
      <c r="B10171" t="str">
        <f>"074441613"</f>
        <v>074441613</v>
      </c>
      <c r="C10171" t="s">
        <v>50</v>
      </c>
      <c r="D10171" t="s">
        <v>15133</v>
      </c>
      <c r="E10171" t="s">
        <v>1644</v>
      </c>
      <c r="F10171" t="s">
        <v>989</v>
      </c>
      <c r="G10171" t="s">
        <v>114</v>
      </c>
      <c r="H10171" t="str">
        <f>"ΟΜΗΡΟΥ ΚΑΙ ΔΙΟΓΕΝΟΥΣ ΧΑΝΙΑ"</f>
        <v>ΟΜΗΡΟΥ ΚΑΙ ΔΙΟΓΕΝΟΥΣ ΧΑΝΙΑ</v>
      </c>
      <c r="I10171">
        <v>73100</v>
      </c>
      <c r="J10171">
        <v>2821044338</v>
      </c>
      <c r="K10171">
        <v>6938071623</v>
      </c>
      <c r="M10171" t="s">
        <v>15134</v>
      </c>
      <c r="N10171" t="s">
        <v>615</v>
      </c>
      <c r="O10171" t="s">
        <v>616</v>
      </c>
      <c r="R10171" t="s">
        <v>57</v>
      </c>
      <c r="S10171">
        <v>9</v>
      </c>
      <c r="T10171">
        <v>218</v>
      </c>
      <c r="U10171" s="1">
        <v>37134</v>
      </c>
      <c r="V10171" t="s">
        <v>89</v>
      </c>
      <c r="W10171" t="s">
        <v>90</v>
      </c>
      <c r="X10171" t="s">
        <v>58</v>
      </c>
      <c r="Y10171">
        <v>22</v>
      </c>
      <c r="Z10171" t="s">
        <v>59</v>
      </c>
      <c r="AA10171" t="s">
        <v>59</v>
      </c>
      <c r="AB10171" t="s">
        <v>59</v>
      </c>
      <c r="AC10171" t="s">
        <v>59</v>
      </c>
      <c r="AD10171" t="s">
        <v>59</v>
      </c>
      <c r="AF10171" s="1">
        <v>37134</v>
      </c>
      <c r="AG10171" t="s">
        <v>8645</v>
      </c>
      <c r="AH10171" t="s">
        <v>8646</v>
      </c>
      <c r="AI10171" t="str">
        <f>"9500045"</f>
        <v>9500045</v>
      </c>
      <c r="AJ10171" t="s">
        <v>13887</v>
      </c>
      <c r="AK10171">
        <v>2821044369</v>
      </c>
      <c r="AL10171" t="s">
        <v>13888</v>
      </c>
      <c r="AM10171" t="s">
        <v>88</v>
      </c>
      <c r="AN10171" t="s">
        <v>88</v>
      </c>
      <c r="AO10171" t="s">
        <v>88</v>
      </c>
      <c r="AP10171" t="s">
        <v>88</v>
      </c>
      <c r="AQ10171">
        <v>1</v>
      </c>
      <c r="AR10171" t="s">
        <v>89</v>
      </c>
      <c r="AS10171" t="s">
        <v>90</v>
      </c>
      <c r="AT10171" t="s">
        <v>58</v>
      </c>
      <c r="AU10171" t="s">
        <v>68</v>
      </c>
      <c r="AV10171" t="s">
        <v>69</v>
      </c>
      <c r="AW10171" s="1">
        <v>25517</v>
      </c>
      <c r="AX10171">
        <v>1</v>
      </c>
    </row>
    <row r="10172" spans="1:50">
      <c r="A10172">
        <v>579246</v>
      </c>
      <c r="B10172" t="str">
        <f>"033172926"</f>
        <v>033172926</v>
      </c>
      <c r="C10172" t="s">
        <v>50</v>
      </c>
      <c r="D10172" t="s">
        <v>7985</v>
      </c>
      <c r="E10172" t="s">
        <v>440</v>
      </c>
      <c r="F10172" t="s">
        <v>95</v>
      </c>
      <c r="G10172" t="s">
        <v>658</v>
      </c>
      <c r="H10172" t="str">
        <f>"ΑΓΟΡΑΣΤΑΚΗ 10 ΑΓΙΟΣ ΟΝΟΥΦΡΙΟΣ ΑΚΡΩΤΗΡΙΟΥ"</f>
        <v>ΑΓΟΡΑΣΤΑΚΗ 10 ΑΓΙΟΣ ΟΝΟΥΦΡΙΟΣ ΑΚΡΩΤΗΡΙΟΥ</v>
      </c>
      <c r="I10172">
        <v>73133</v>
      </c>
      <c r="J10172">
        <v>2821066895</v>
      </c>
      <c r="K10172">
        <v>6946765882</v>
      </c>
      <c r="N10172" t="s">
        <v>615</v>
      </c>
      <c r="O10172" t="s">
        <v>616</v>
      </c>
      <c r="R10172" t="s">
        <v>57</v>
      </c>
      <c r="S10172">
        <v>12</v>
      </c>
      <c r="T10172">
        <v>165</v>
      </c>
      <c r="U10172" s="1">
        <v>35300</v>
      </c>
      <c r="V10172" t="s">
        <v>89</v>
      </c>
      <c r="W10172" t="s">
        <v>90</v>
      </c>
      <c r="X10172" t="s">
        <v>58</v>
      </c>
      <c r="Y10172">
        <v>21</v>
      </c>
      <c r="Z10172" t="s">
        <v>59</v>
      </c>
      <c r="AA10172" t="s">
        <v>59</v>
      </c>
      <c r="AB10172" t="s">
        <v>59</v>
      </c>
      <c r="AC10172" t="s">
        <v>59</v>
      </c>
      <c r="AD10172" t="s">
        <v>59</v>
      </c>
      <c r="AF10172" s="1">
        <v>35300</v>
      </c>
      <c r="AG10172" t="s">
        <v>8645</v>
      </c>
      <c r="AH10172" t="s">
        <v>8646</v>
      </c>
      <c r="AI10172" t="str">
        <f>"9520693"</f>
        <v>9520693</v>
      </c>
      <c r="AJ10172" t="s">
        <v>13913</v>
      </c>
      <c r="AK10172">
        <v>2821066910</v>
      </c>
      <c r="AL10172" t="s">
        <v>13914</v>
      </c>
      <c r="AM10172" t="s">
        <v>88</v>
      </c>
      <c r="AN10172" t="s">
        <v>88</v>
      </c>
      <c r="AO10172" t="s">
        <v>6770</v>
      </c>
      <c r="AP10172" t="s">
        <v>6771</v>
      </c>
      <c r="AQ10172">
        <v>2</v>
      </c>
      <c r="AR10172" t="s">
        <v>89</v>
      </c>
      <c r="AS10172" t="s">
        <v>90</v>
      </c>
      <c r="AT10172" t="s">
        <v>58</v>
      </c>
      <c r="AU10172" t="s">
        <v>68</v>
      </c>
      <c r="AV10172" t="s">
        <v>69</v>
      </c>
      <c r="AW10172" s="1">
        <v>24794</v>
      </c>
      <c r="AX10172">
        <v>1</v>
      </c>
    </row>
    <row r="10173" spans="1:50">
      <c r="A10173">
        <v>564844</v>
      </c>
      <c r="B10173" t="str">
        <f>"036007084"</f>
        <v>036007084</v>
      </c>
      <c r="C10173" t="s">
        <v>105</v>
      </c>
      <c r="D10173" t="s">
        <v>15135</v>
      </c>
      <c r="E10173" t="s">
        <v>450</v>
      </c>
      <c r="F10173" t="s">
        <v>84</v>
      </c>
      <c r="G10173" t="s">
        <v>83</v>
      </c>
      <c r="H10173" t="str">
        <f>"ΕΥΑΓΓΕΛΙΣΤΡΙΑΣ ΚΟΥΝΟΥΠΙΔΙΑΝΑ - ΧΑΝΙΑ"</f>
        <v>ΕΥΑΓΓΕΛΙΣΤΡΙΑΣ ΚΟΥΝΟΥΠΙΔΙΑΝΑ - ΧΑΝΙΑ</v>
      </c>
      <c r="I10173">
        <v>73100</v>
      </c>
      <c r="J10173">
        <v>2821069632</v>
      </c>
      <c r="K10173">
        <v>6939377625</v>
      </c>
      <c r="N10173" t="s">
        <v>615</v>
      </c>
      <c r="O10173" t="s">
        <v>616</v>
      </c>
      <c r="R10173" t="s">
        <v>57</v>
      </c>
      <c r="S10173">
        <v>14</v>
      </c>
      <c r="T10173">
        <v>161</v>
      </c>
      <c r="U10173" s="1">
        <v>33119</v>
      </c>
      <c r="V10173" t="s">
        <v>89</v>
      </c>
      <c r="W10173" t="s">
        <v>90</v>
      </c>
      <c r="X10173" t="s">
        <v>58</v>
      </c>
      <c r="Y10173">
        <v>21</v>
      </c>
      <c r="Z10173" t="s">
        <v>59</v>
      </c>
      <c r="AA10173" t="s">
        <v>59</v>
      </c>
      <c r="AB10173" t="s">
        <v>59</v>
      </c>
      <c r="AC10173" t="s">
        <v>59</v>
      </c>
      <c r="AD10173" t="s">
        <v>59</v>
      </c>
      <c r="AF10173" s="1">
        <v>33119</v>
      </c>
      <c r="AG10173" t="s">
        <v>8645</v>
      </c>
      <c r="AH10173" t="s">
        <v>8646</v>
      </c>
      <c r="AI10173" t="str">
        <f>"9520693"</f>
        <v>9520693</v>
      </c>
      <c r="AJ10173" t="s">
        <v>13913</v>
      </c>
      <c r="AK10173">
        <v>2821066910</v>
      </c>
      <c r="AL10173" t="s">
        <v>13914</v>
      </c>
      <c r="AM10173" t="s">
        <v>88</v>
      </c>
      <c r="AN10173" t="s">
        <v>88</v>
      </c>
      <c r="AO10173" t="s">
        <v>6770</v>
      </c>
      <c r="AP10173" t="s">
        <v>6771</v>
      </c>
      <c r="AQ10173">
        <v>2</v>
      </c>
      <c r="AR10173" t="s">
        <v>89</v>
      </c>
      <c r="AS10173" t="s">
        <v>90</v>
      </c>
      <c r="AT10173" t="s">
        <v>58</v>
      </c>
      <c r="AU10173" t="s">
        <v>68</v>
      </c>
      <c r="AV10173" t="s">
        <v>69</v>
      </c>
      <c r="AW10173" s="1">
        <v>22108</v>
      </c>
      <c r="AX10173">
        <v>1</v>
      </c>
    </row>
    <row r="10174" spans="1:50">
      <c r="A10174">
        <v>590285</v>
      </c>
      <c r="B10174" t="str">
        <f>"051868925"</f>
        <v>051868925</v>
      </c>
      <c r="C10174" t="s">
        <v>105</v>
      </c>
      <c r="D10174" t="s">
        <v>15136</v>
      </c>
      <c r="E10174" t="s">
        <v>95</v>
      </c>
      <c r="F10174" t="s">
        <v>900</v>
      </c>
      <c r="G10174" t="s">
        <v>484</v>
      </c>
      <c r="H10174" t="str">
        <f>"ΚΑΛΑΘΑΣ - ΑΚΡΩΤΗΡΙ ΧΑΝΙΑ"</f>
        <v>ΚΑΛΑΘΑΣ - ΑΚΡΩΤΗΡΙ ΧΑΝΙΑ</v>
      </c>
      <c r="I10174">
        <v>73100</v>
      </c>
      <c r="J10174">
        <v>2821020762</v>
      </c>
      <c r="K10174">
        <v>6972084138</v>
      </c>
      <c r="N10174" t="s">
        <v>176</v>
      </c>
      <c r="O10174" t="s">
        <v>177</v>
      </c>
      <c r="R10174" t="s">
        <v>57</v>
      </c>
      <c r="S10174">
        <v>11</v>
      </c>
      <c r="T10174">
        <v>177</v>
      </c>
      <c r="U10174" s="1">
        <v>36403</v>
      </c>
      <c r="V10174" t="s">
        <v>89</v>
      </c>
      <c r="W10174" t="s">
        <v>90</v>
      </c>
      <c r="X10174" t="s">
        <v>58</v>
      </c>
      <c r="Y10174">
        <v>21</v>
      </c>
      <c r="Z10174" t="s">
        <v>59</v>
      </c>
      <c r="AA10174" t="s">
        <v>59</v>
      </c>
      <c r="AB10174" t="s">
        <v>59</v>
      </c>
      <c r="AC10174" t="s">
        <v>59</v>
      </c>
      <c r="AD10174" t="s">
        <v>59</v>
      </c>
      <c r="AF10174" s="1">
        <v>36403</v>
      </c>
      <c r="AG10174" t="s">
        <v>8645</v>
      </c>
      <c r="AH10174" t="s">
        <v>8646</v>
      </c>
      <c r="AI10174" t="str">
        <f>"9500078"</f>
        <v>9500078</v>
      </c>
      <c r="AJ10174" t="s">
        <v>13988</v>
      </c>
      <c r="AK10174">
        <v>2821028788</v>
      </c>
      <c r="AL10174" t="s">
        <v>13989</v>
      </c>
      <c r="AM10174" t="s">
        <v>88</v>
      </c>
      <c r="AN10174" t="s">
        <v>88</v>
      </c>
      <c r="AO10174" t="s">
        <v>88</v>
      </c>
      <c r="AP10174" t="s">
        <v>88</v>
      </c>
      <c r="AQ10174">
        <v>1</v>
      </c>
      <c r="AR10174" t="s">
        <v>89</v>
      </c>
      <c r="AS10174" t="s">
        <v>90</v>
      </c>
      <c r="AT10174" t="s">
        <v>58</v>
      </c>
      <c r="AU10174" t="s">
        <v>68</v>
      </c>
      <c r="AV10174" t="s">
        <v>69</v>
      </c>
      <c r="AW10174" s="1">
        <v>24308</v>
      </c>
      <c r="AX10174">
        <v>1</v>
      </c>
    </row>
    <row r="10175" spans="1:50">
      <c r="B10175" t="str">
        <f>"138427620"</f>
        <v>138427620</v>
      </c>
      <c r="C10175" t="s">
        <v>50</v>
      </c>
      <c r="D10175" t="s">
        <v>10920</v>
      </c>
      <c r="E10175" t="s">
        <v>513</v>
      </c>
      <c r="F10175" t="s">
        <v>1062</v>
      </c>
      <c r="G10175" t="s">
        <v>181</v>
      </c>
      <c r="H10175" t="str">
        <f>" "</f>
        <v xml:space="preserve"> </v>
      </c>
      <c r="N10175" t="s">
        <v>8834</v>
      </c>
      <c r="O10175" t="s">
        <v>8695</v>
      </c>
      <c r="R10175" t="s">
        <v>121</v>
      </c>
      <c r="S10175">
        <v>3</v>
      </c>
      <c r="T10175" t="s">
        <v>8835</v>
      </c>
      <c r="U10175" s="1">
        <v>43348</v>
      </c>
      <c r="V10175" t="s">
        <v>89</v>
      </c>
      <c r="W10175" t="s">
        <v>90</v>
      </c>
      <c r="X10175" t="s">
        <v>58</v>
      </c>
      <c r="Y10175">
        <v>24</v>
      </c>
      <c r="Z10175" t="s">
        <v>59</v>
      </c>
      <c r="AA10175" t="s">
        <v>59</v>
      </c>
      <c r="AB10175" t="s">
        <v>59</v>
      </c>
      <c r="AD10175" t="s">
        <v>59</v>
      </c>
      <c r="AF10175" s="1">
        <v>43348</v>
      </c>
      <c r="AG10175" t="s">
        <v>8645</v>
      </c>
      <c r="AH10175" t="s">
        <v>8646</v>
      </c>
      <c r="AI10175" t="str">
        <f>"9500084"</f>
        <v>9500084</v>
      </c>
      <c r="AJ10175" t="s">
        <v>13994</v>
      </c>
      <c r="AK10175">
        <v>2821031270</v>
      </c>
      <c r="AL10175" t="s">
        <v>13995</v>
      </c>
      <c r="AM10175" t="s">
        <v>88</v>
      </c>
      <c r="AN10175" t="s">
        <v>88</v>
      </c>
      <c r="AO10175" t="s">
        <v>13920</v>
      </c>
      <c r="AP10175" t="s">
        <v>13996</v>
      </c>
      <c r="AQ10175">
        <v>3</v>
      </c>
      <c r="AR10175" t="s">
        <v>89</v>
      </c>
      <c r="AS10175" t="s">
        <v>90</v>
      </c>
      <c r="AT10175" t="s">
        <v>58</v>
      </c>
      <c r="AU10175" t="s">
        <v>131</v>
      </c>
      <c r="AV10175" t="s">
        <v>132</v>
      </c>
      <c r="AW10175" s="1">
        <v>32943</v>
      </c>
      <c r="AX10175">
        <v>1</v>
      </c>
    </row>
    <row r="10176" spans="1:50">
      <c r="A10176">
        <v>215636</v>
      </c>
      <c r="B10176" t="str">
        <f>"072392329"</f>
        <v>072392329</v>
      </c>
      <c r="C10176" t="s">
        <v>105</v>
      </c>
      <c r="D10176" t="s">
        <v>15137</v>
      </c>
      <c r="E10176" t="s">
        <v>95</v>
      </c>
      <c r="F10176" t="s">
        <v>564</v>
      </c>
      <c r="G10176" t="s">
        <v>367</v>
      </c>
      <c r="H10176" t="str">
        <f>"1η ΠΑΡΟΔΟΣ ΠΕΡΙΒΟΛΙΩΝ 8 "</f>
        <v xml:space="preserve">1η ΠΑΡΟΔΟΣ ΠΕΡΙΒΟΛΙΩΝ 8 </v>
      </c>
      <c r="I10176">
        <v>73136</v>
      </c>
      <c r="J10176">
        <v>2821094627</v>
      </c>
      <c r="K10176">
        <v>6948008396</v>
      </c>
      <c r="N10176" t="s">
        <v>204</v>
      </c>
      <c r="O10176" t="s">
        <v>205</v>
      </c>
      <c r="R10176" t="s">
        <v>57</v>
      </c>
      <c r="S10176">
        <v>6</v>
      </c>
      <c r="T10176">
        <v>231</v>
      </c>
      <c r="U10176" s="1">
        <v>38960</v>
      </c>
      <c r="V10176" t="s">
        <v>89</v>
      </c>
      <c r="W10176" t="s">
        <v>90</v>
      </c>
      <c r="X10176" t="s">
        <v>58</v>
      </c>
      <c r="Y10176">
        <v>23</v>
      </c>
      <c r="Z10176" t="s">
        <v>59</v>
      </c>
      <c r="AA10176" t="s">
        <v>59</v>
      </c>
      <c r="AB10176" t="s">
        <v>59</v>
      </c>
      <c r="AC10176" t="s">
        <v>59</v>
      </c>
      <c r="AD10176" t="s">
        <v>59</v>
      </c>
      <c r="AF10176" s="1">
        <v>38961</v>
      </c>
      <c r="AG10176" t="s">
        <v>8645</v>
      </c>
      <c r="AH10176" t="s">
        <v>8646</v>
      </c>
      <c r="AI10176" t="str">
        <f>"9500119"</f>
        <v>9500119</v>
      </c>
      <c r="AJ10176" t="s">
        <v>14286</v>
      </c>
      <c r="AK10176">
        <v>2821095816</v>
      </c>
      <c r="AL10176" t="s">
        <v>14287</v>
      </c>
      <c r="AM10176" t="s">
        <v>88</v>
      </c>
      <c r="AN10176" t="s">
        <v>88</v>
      </c>
      <c r="AO10176" t="s">
        <v>13920</v>
      </c>
      <c r="AP10176" t="s">
        <v>14029</v>
      </c>
      <c r="AQ10176">
        <v>3</v>
      </c>
      <c r="AR10176" t="s">
        <v>89</v>
      </c>
      <c r="AS10176" t="s">
        <v>90</v>
      </c>
      <c r="AT10176" t="s">
        <v>58</v>
      </c>
      <c r="AU10176" t="s">
        <v>68</v>
      </c>
      <c r="AV10176" t="s">
        <v>69</v>
      </c>
      <c r="AW10176" s="1">
        <v>28997</v>
      </c>
      <c r="AX10176">
        <v>1</v>
      </c>
    </row>
    <row r="10177" spans="1:50">
      <c r="A10177">
        <v>575712</v>
      </c>
      <c r="B10177" t="str">
        <f>"036255880"</f>
        <v>036255880</v>
      </c>
      <c r="C10177" t="s">
        <v>50</v>
      </c>
      <c r="D10177" t="s">
        <v>3038</v>
      </c>
      <c r="E10177" t="s">
        <v>237</v>
      </c>
      <c r="F10177" t="s">
        <v>166</v>
      </c>
      <c r="G10177" t="s">
        <v>1497</v>
      </c>
      <c r="H10177" t="str">
        <f>"ΚΟΥΝΤΟΥΡΑ "</f>
        <v xml:space="preserve">ΚΟΥΝΤΟΥΡΑ </v>
      </c>
      <c r="I10177">
        <v>7300</v>
      </c>
      <c r="J10177">
        <v>2823041956</v>
      </c>
      <c r="K10177">
        <v>6946681379</v>
      </c>
      <c r="L10177">
        <v>6946681379</v>
      </c>
      <c r="N10177" t="s">
        <v>615</v>
      </c>
      <c r="O10177" t="s">
        <v>616</v>
      </c>
      <c r="R10177" t="s">
        <v>57</v>
      </c>
      <c r="S10177">
        <v>14</v>
      </c>
      <c r="T10177">
        <v>184</v>
      </c>
      <c r="U10177" s="1">
        <v>34941</v>
      </c>
      <c r="V10177" t="s">
        <v>89</v>
      </c>
      <c r="W10177" t="s">
        <v>90</v>
      </c>
      <c r="X10177" t="s">
        <v>58</v>
      </c>
      <c r="Y10177">
        <v>21</v>
      </c>
      <c r="Z10177" t="s">
        <v>59</v>
      </c>
      <c r="AA10177" t="s">
        <v>59</v>
      </c>
      <c r="AB10177" t="s">
        <v>59</v>
      </c>
      <c r="AC10177" t="s">
        <v>59</v>
      </c>
      <c r="AD10177" t="s">
        <v>59</v>
      </c>
      <c r="AF10177" s="1">
        <v>34943</v>
      </c>
      <c r="AG10177" t="s">
        <v>8645</v>
      </c>
      <c r="AH10177" t="s">
        <v>8646</v>
      </c>
      <c r="AI10177" t="str">
        <f>"9500259"</f>
        <v>9500259</v>
      </c>
      <c r="AJ10177" t="s">
        <v>14017</v>
      </c>
      <c r="AK10177">
        <v>2823041459</v>
      </c>
      <c r="AL10177" t="s">
        <v>14018</v>
      </c>
      <c r="AM10177" t="s">
        <v>88</v>
      </c>
      <c r="AN10177" t="s">
        <v>6824</v>
      </c>
      <c r="AO10177" t="s">
        <v>6870</v>
      </c>
      <c r="AP10177" t="s">
        <v>14019</v>
      </c>
      <c r="AQ10177">
        <v>11</v>
      </c>
      <c r="AR10177" t="s">
        <v>89</v>
      </c>
      <c r="AS10177" t="s">
        <v>90</v>
      </c>
      <c r="AT10177" t="s">
        <v>58</v>
      </c>
      <c r="AU10177" t="s">
        <v>68</v>
      </c>
      <c r="AV10177" t="s">
        <v>69</v>
      </c>
      <c r="AW10177" s="1">
        <v>24452</v>
      </c>
      <c r="AX10177">
        <v>1</v>
      </c>
    </row>
    <row r="10178" spans="1:50">
      <c r="A10178">
        <v>615665</v>
      </c>
      <c r="B10178" t="str">
        <f>"032264510"</f>
        <v>032264510</v>
      </c>
      <c r="C10178" t="s">
        <v>50</v>
      </c>
      <c r="D10178" t="s">
        <v>3038</v>
      </c>
      <c r="E10178" t="s">
        <v>6088</v>
      </c>
      <c r="F10178" t="s">
        <v>5543</v>
      </c>
      <c r="G10178" t="s">
        <v>964</v>
      </c>
      <c r="H10178" t="str">
        <f>"ΠΑΡΑΣΚΕΥΑ  ΓΙΟΥΡΜΕΤΑΚΗ  13 ΧΑΝΙΑ"</f>
        <v>ΠΑΡΑΣΚΕΥΑ  ΓΙΟΥΡΜΕΤΑΚΗ  13 ΧΑΝΙΑ</v>
      </c>
      <c r="I10178">
        <v>73133</v>
      </c>
      <c r="J10178">
        <v>2821052328</v>
      </c>
      <c r="K10178">
        <v>6976824714</v>
      </c>
      <c r="N10178" t="s">
        <v>306</v>
      </c>
      <c r="O10178" t="s">
        <v>307</v>
      </c>
      <c r="R10178" t="s">
        <v>57</v>
      </c>
      <c r="S10178">
        <v>9</v>
      </c>
      <c r="T10178">
        <v>600</v>
      </c>
      <c r="U10178" s="1">
        <v>39341</v>
      </c>
      <c r="V10178" t="s">
        <v>89</v>
      </c>
      <c r="W10178" t="s">
        <v>90</v>
      </c>
      <c r="X10178" t="s">
        <v>58</v>
      </c>
      <c r="Y10178">
        <v>23</v>
      </c>
      <c r="Z10178" t="s">
        <v>59</v>
      </c>
      <c r="AA10178" t="s">
        <v>59</v>
      </c>
      <c r="AB10178" t="s">
        <v>59</v>
      </c>
      <c r="AC10178" t="s">
        <v>59</v>
      </c>
      <c r="AD10178" t="s">
        <v>59</v>
      </c>
      <c r="AF10178" s="1">
        <v>39341</v>
      </c>
      <c r="AG10178" t="s">
        <v>8645</v>
      </c>
      <c r="AH10178" t="s">
        <v>8646</v>
      </c>
      <c r="AI10178" t="str">
        <f>"9500038"</f>
        <v>9500038</v>
      </c>
      <c r="AJ10178" t="s">
        <v>13899</v>
      </c>
      <c r="AK10178">
        <v>2821042407</v>
      </c>
      <c r="AL10178" t="s">
        <v>13900</v>
      </c>
      <c r="AM10178" t="s">
        <v>88</v>
      </c>
      <c r="AN10178" t="s">
        <v>88</v>
      </c>
      <c r="AO10178" t="s">
        <v>88</v>
      </c>
      <c r="AP10178" t="s">
        <v>88</v>
      </c>
      <c r="AQ10178">
        <v>1</v>
      </c>
      <c r="AR10178" t="s">
        <v>89</v>
      </c>
      <c r="AS10178" t="s">
        <v>90</v>
      </c>
      <c r="AT10178" t="s">
        <v>58</v>
      </c>
      <c r="AU10178" t="s">
        <v>68</v>
      </c>
      <c r="AV10178" t="s">
        <v>69</v>
      </c>
      <c r="AW10178" s="1">
        <v>28491</v>
      </c>
      <c r="AX10178">
        <v>1</v>
      </c>
    </row>
    <row r="10179" spans="1:50">
      <c r="A10179">
        <v>621127</v>
      </c>
      <c r="B10179" t="str">
        <f>"140937355"</f>
        <v>140937355</v>
      </c>
      <c r="C10179" t="s">
        <v>50</v>
      </c>
      <c r="D10179" t="s">
        <v>3038</v>
      </c>
      <c r="E10179" t="s">
        <v>4836</v>
      </c>
      <c r="F10179" t="s">
        <v>84</v>
      </c>
      <c r="G10179" t="s">
        <v>513</v>
      </c>
      <c r="H10179" t="str">
        <f>"Κ. ΦΟΥΜΗ  3 ΧΑΝΙΑ"</f>
        <v>Κ. ΦΟΥΜΗ  3 ΧΑΝΙΑ</v>
      </c>
      <c r="I10179">
        <v>73100</v>
      </c>
      <c r="J10179">
        <v>2821079542</v>
      </c>
      <c r="K10179">
        <v>6938950473</v>
      </c>
      <c r="N10179" t="s">
        <v>615</v>
      </c>
      <c r="O10179" t="s">
        <v>616</v>
      </c>
      <c r="R10179" t="s">
        <v>57</v>
      </c>
      <c r="S10179">
        <v>6</v>
      </c>
      <c r="T10179">
        <v>653</v>
      </c>
      <c r="U10179" s="1">
        <v>40043</v>
      </c>
      <c r="V10179" t="s">
        <v>89</v>
      </c>
      <c r="W10179" t="s">
        <v>90</v>
      </c>
      <c r="X10179" t="s">
        <v>58</v>
      </c>
      <c r="Y10179">
        <v>23</v>
      </c>
      <c r="Z10179" t="s">
        <v>59</v>
      </c>
      <c r="AA10179" t="s">
        <v>59</v>
      </c>
      <c r="AB10179" t="s">
        <v>59</v>
      </c>
      <c r="AC10179" t="s">
        <v>59</v>
      </c>
      <c r="AD10179" t="s">
        <v>59</v>
      </c>
      <c r="AF10179" s="1">
        <v>40043</v>
      </c>
      <c r="AG10179" t="s">
        <v>8645</v>
      </c>
      <c r="AH10179" t="s">
        <v>8646</v>
      </c>
      <c r="AI10179" t="str">
        <f>"9500408"</f>
        <v>9500408</v>
      </c>
      <c r="AJ10179" t="s">
        <v>13981</v>
      </c>
      <c r="AK10179">
        <v>2821081655</v>
      </c>
      <c r="AL10179" t="s">
        <v>13982</v>
      </c>
      <c r="AM10179" t="s">
        <v>88</v>
      </c>
      <c r="AN10179" t="s">
        <v>88</v>
      </c>
      <c r="AO10179" t="s">
        <v>6748</v>
      </c>
      <c r="AP10179" t="s">
        <v>6748</v>
      </c>
      <c r="AQ10179">
        <v>2</v>
      </c>
      <c r="AR10179" t="s">
        <v>89</v>
      </c>
      <c r="AS10179" t="s">
        <v>90</v>
      </c>
      <c r="AT10179" t="s">
        <v>58</v>
      </c>
      <c r="AU10179" t="s">
        <v>68</v>
      </c>
      <c r="AV10179" t="s">
        <v>69</v>
      </c>
      <c r="AW10179" s="1">
        <v>31505</v>
      </c>
      <c r="AX10179">
        <v>1</v>
      </c>
    </row>
    <row r="10180" spans="1:50">
      <c r="A10180">
        <v>586315</v>
      </c>
      <c r="B10180" t="str">
        <f>"051660524"</f>
        <v>051660524</v>
      </c>
      <c r="C10180" t="s">
        <v>50</v>
      </c>
      <c r="D10180" t="s">
        <v>15138</v>
      </c>
      <c r="E10180" t="s">
        <v>1134</v>
      </c>
      <c r="F10180" t="s">
        <v>72</v>
      </c>
      <c r="G10180" t="s">
        <v>2431</v>
      </c>
      <c r="H10180" t="str">
        <f>"Ι. ΚΑΠΟΔΙΣΤΡΙΑ  522 ΧΑΝΙΑ"</f>
        <v>Ι. ΚΑΠΟΔΙΣΤΡΙΑ  522 ΧΑΝΙΑ</v>
      </c>
      <c r="I10180">
        <v>73014</v>
      </c>
      <c r="J10180">
        <v>2821060326</v>
      </c>
      <c r="K10180">
        <v>6977625082</v>
      </c>
      <c r="N10180" t="s">
        <v>615</v>
      </c>
      <c r="O10180" t="s">
        <v>616</v>
      </c>
      <c r="R10180" t="s">
        <v>57</v>
      </c>
      <c r="S10180">
        <v>12</v>
      </c>
      <c r="T10180">
        <v>165</v>
      </c>
      <c r="U10180" s="1">
        <v>36040</v>
      </c>
      <c r="V10180" t="s">
        <v>89</v>
      </c>
      <c r="W10180" t="s">
        <v>90</v>
      </c>
      <c r="X10180" t="s">
        <v>58</v>
      </c>
      <c r="Y10180">
        <v>21</v>
      </c>
      <c r="Z10180" t="s">
        <v>59</v>
      </c>
      <c r="AA10180" t="s">
        <v>59</v>
      </c>
      <c r="AB10180" t="s">
        <v>59</v>
      </c>
      <c r="AC10180" t="s">
        <v>59</v>
      </c>
      <c r="AD10180" t="s">
        <v>59</v>
      </c>
      <c r="AF10180" s="1">
        <v>36040</v>
      </c>
      <c r="AG10180" t="s">
        <v>8645</v>
      </c>
      <c r="AH10180" t="s">
        <v>8646</v>
      </c>
      <c r="AI10180" t="str">
        <f>"9500167"</f>
        <v>9500167</v>
      </c>
      <c r="AJ10180" t="s">
        <v>13922</v>
      </c>
      <c r="AK10180">
        <v>2821068357</v>
      </c>
      <c r="AL10180" t="s">
        <v>13923</v>
      </c>
      <c r="AM10180" t="s">
        <v>88</v>
      </c>
      <c r="AN10180" t="s">
        <v>6764</v>
      </c>
      <c r="AO10180" t="s">
        <v>6764</v>
      </c>
      <c r="AP10180" t="s">
        <v>6764</v>
      </c>
      <c r="AQ10180">
        <v>5</v>
      </c>
      <c r="AR10180" t="s">
        <v>89</v>
      </c>
      <c r="AS10180" t="s">
        <v>90</v>
      </c>
      <c r="AT10180" t="s">
        <v>58</v>
      </c>
      <c r="AU10180" t="s">
        <v>68</v>
      </c>
      <c r="AV10180" t="s">
        <v>69</v>
      </c>
      <c r="AW10180" s="1">
        <v>25522</v>
      </c>
      <c r="AX10180">
        <v>1</v>
      </c>
    </row>
    <row r="10181" spans="1:50">
      <c r="A10181">
        <v>613538</v>
      </c>
      <c r="B10181" t="str">
        <f>"118357111"</f>
        <v>118357111</v>
      </c>
      <c r="C10181" t="s">
        <v>50</v>
      </c>
      <c r="D10181" t="s">
        <v>15139</v>
      </c>
      <c r="E10181" t="s">
        <v>4770</v>
      </c>
      <c r="F10181" t="s">
        <v>72</v>
      </c>
      <c r="G10181" t="s">
        <v>484</v>
      </c>
      <c r="H10181" t="str">
        <f>"ΣΟΥΛΙΩΤΩΝ 15 ΠΕΡΙΣΤΕΡΙ"</f>
        <v>ΣΟΥΛΙΩΤΩΝ 15 ΠΕΡΙΣΤΕΡΙ</v>
      </c>
      <c r="I10181">
        <v>12135</v>
      </c>
      <c r="J10181">
        <v>2105770662</v>
      </c>
      <c r="K10181">
        <v>6934944798</v>
      </c>
      <c r="N10181" t="s">
        <v>615</v>
      </c>
      <c r="O10181" t="s">
        <v>616</v>
      </c>
      <c r="R10181" t="s">
        <v>57</v>
      </c>
      <c r="S10181">
        <v>6</v>
      </c>
      <c r="T10181">
        <v>598</v>
      </c>
      <c r="U10181" s="1">
        <v>39310</v>
      </c>
      <c r="V10181" t="s">
        <v>89</v>
      </c>
      <c r="W10181" t="s">
        <v>90</v>
      </c>
      <c r="X10181" t="s">
        <v>58</v>
      </c>
      <c r="Y10181">
        <v>23</v>
      </c>
      <c r="Z10181" t="s">
        <v>59</v>
      </c>
      <c r="AA10181" t="s">
        <v>59</v>
      </c>
      <c r="AB10181" t="s">
        <v>59</v>
      </c>
      <c r="AC10181" t="s">
        <v>59</v>
      </c>
      <c r="AD10181" t="s">
        <v>59</v>
      </c>
      <c r="AF10181" s="1">
        <v>39329</v>
      </c>
      <c r="AG10181" t="s">
        <v>8645</v>
      </c>
      <c r="AH10181" t="s">
        <v>8646</v>
      </c>
      <c r="AI10181" t="str">
        <f>"9500137"</f>
        <v>9500137</v>
      </c>
      <c r="AJ10181" t="s">
        <v>14401</v>
      </c>
      <c r="AK10181">
        <v>2821093156</v>
      </c>
      <c r="AL10181" t="s">
        <v>14402</v>
      </c>
      <c r="AM10181" t="s">
        <v>88</v>
      </c>
      <c r="AN10181" t="s">
        <v>88</v>
      </c>
      <c r="AO10181" t="s">
        <v>88</v>
      </c>
      <c r="AP10181" t="s">
        <v>88</v>
      </c>
      <c r="AQ10181">
        <v>1</v>
      </c>
      <c r="AR10181" t="s">
        <v>89</v>
      </c>
      <c r="AS10181" t="s">
        <v>90</v>
      </c>
      <c r="AT10181" t="s">
        <v>58</v>
      </c>
      <c r="AU10181" t="s">
        <v>68</v>
      </c>
      <c r="AV10181" t="s">
        <v>69</v>
      </c>
      <c r="AW10181" s="1">
        <v>29673</v>
      </c>
      <c r="AX10181">
        <v>1</v>
      </c>
    </row>
    <row r="10182" spans="1:50">
      <c r="A10182">
        <v>605352</v>
      </c>
      <c r="B10182" t="str">
        <f>"077719368"</f>
        <v>077719368</v>
      </c>
      <c r="C10182" t="s">
        <v>50</v>
      </c>
      <c r="D10182" t="s">
        <v>15140</v>
      </c>
      <c r="E10182" t="s">
        <v>237</v>
      </c>
      <c r="F10182" t="s">
        <v>414</v>
      </c>
      <c r="G10182" t="s">
        <v>181</v>
      </c>
      <c r="H10182" t="str">
        <f>"2η ΠΑΡΟΔΟΣ ΑΚΡΩΤΗΡΙΟΥ-ΚΟΥΝΟΥΠΙΔΙΑΝΑ ΚΟΥΝΟΥΠΙΔΙΑΝΑ"</f>
        <v>2η ΠΑΡΟΔΟΣ ΑΚΡΩΤΗΡΙΟΥ-ΚΟΥΝΟΥΠΙΔΙΑΝΑ ΚΟΥΝΟΥΠΙΔΙΑΝΑ</v>
      </c>
      <c r="I10182">
        <v>73100</v>
      </c>
      <c r="J10182">
        <v>2821050616</v>
      </c>
      <c r="K10182">
        <v>6972268253</v>
      </c>
      <c r="L10182">
        <v>2821069111</v>
      </c>
      <c r="N10182" t="s">
        <v>615</v>
      </c>
      <c r="O10182" t="s">
        <v>616</v>
      </c>
      <c r="R10182" t="s">
        <v>57</v>
      </c>
      <c r="S10182">
        <v>7</v>
      </c>
      <c r="T10182">
        <v>231</v>
      </c>
      <c r="U10182" s="1">
        <v>38230</v>
      </c>
      <c r="V10182" t="s">
        <v>89</v>
      </c>
      <c r="W10182" t="s">
        <v>90</v>
      </c>
      <c r="X10182" t="s">
        <v>58</v>
      </c>
      <c r="Y10182">
        <v>22</v>
      </c>
      <c r="Z10182" t="s">
        <v>59</v>
      </c>
      <c r="AA10182" t="s">
        <v>59</v>
      </c>
      <c r="AB10182" t="s">
        <v>59</v>
      </c>
      <c r="AC10182" t="s">
        <v>59</v>
      </c>
      <c r="AD10182" t="s">
        <v>59</v>
      </c>
      <c r="AF10182" s="1">
        <v>38230</v>
      </c>
      <c r="AG10182" t="s">
        <v>8645</v>
      </c>
      <c r="AH10182" t="s">
        <v>8646</v>
      </c>
      <c r="AI10182" t="str">
        <f>"9500093"</f>
        <v>9500093</v>
      </c>
      <c r="AJ10182" t="s">
        <v>13865</v>
      </c>
      <c r="AK10182">
        <v>2821064537</v>
      </c>
      <c r="AL10182" t="s">
        <v>13866</v>
      </c>
      <c r="AM10182" t="s">
        <v>88</v>
      </c>
      <c r="AN10182" t="s">
        <v>88</v>
      </c>
      <c r="AO10182" t="s">
        <v>6770</v>
      </c>
      <c r="AP10182" t="s">
        <v>6771</v>
      </c>
      <c r="AQ10182">
        <v>2</v>
      </c>
      <c r="AR10182" t="s">
        <v>89</v>
      </c>
      <c r="AS10182" t="s">
        <v>90</v>
      </c>
      <c r="AT10182" t="s">
        <v>58</v>
      </c>
      <c r="AU10182" t="s">
        <v>68</v>
      </c>
      <c r="AV10182" t="s">
        <v>69</v>
      </c>
      <c r="AW10182" s="1">
        <v>26102</v>
      </c>
      <c r="AX10182">
        <v>1</v>
      </c>
    </row>
    <row r="10183" spans="1:50">
      <c r="A10183">
        <v>608190</v>
      </c>
      <c r="B10183" t="str">
        <f>"122966066"</f>
        <v>122966066</v>
      </c>
      <c r="C10183" t="s">
        <v>50</v>
      </c>
      <c r="D10183" t="s">
        <v>15141</v>
      </c>
      <c r="E10183" t="s">
        <v>476</v>
      </c>
      <c r="F10183" t="s">
        <v>1330</v>
      </c>
      <c r="G10183" t="s">
        <v>950</v>
      </c>
      <c r="H10183" t="str">
        <f>"ΚΛΩΝΟΥ 4 ΚΟΥΝΟΥΠΙΔΙΑΝΑ"</f>
        <v>ΚΛΩΝΟΥ 4 ΚΟΥΝΟΥΠΙΔΙΑΝΑ</v>
      </c>
      <c r="I10183">
        <v>73100</v>
      </c>
      <c r="J10183">
        <v>2821064600</v>
      </c>
      <c r="K10183">
        <v>6974509645</v>
      </c>
      <c r="N10183" t="s">
        <v>1525</v>
      </c>
      <c r="O10183" t="s">
        <v>1526</v>
      </c>
      <c r="R10183" t="s">
        <v>57</v>
      </c>
      <c r="S10183">
        <v>8</v>
      </c>
      <c r="T10183">
        <v>217</v>
      </c>
      <c r="U10183" s="1">
        <v>38596</v>
      </c>
      <c r="V10183" t="s">
        <v>89</v>
      </c>
      <c r="W10183" t="s">
        <v>90</v>
      </c>
      <c r="X10183" t="s">
        <v>58</v>
      </c>
      <c r="Y10183">
        <v>25</v>
      </c>
      <c r="Z10183" t="s">
        <v>59</v>
      </c>
      <c r="AA10183" t="s">
        <v>59</v>
      </c>
      <c r="AB10183" t="s">
        <v>59</v>
      </c>
      <c r="AC10183" t="s">
        <v>59</v>
      </c>
      <c r="AD10183" t="s">
        <v>59</v>
      </c>
      <c r="AF10183" s="1">
        <v>38596</v>
      </c>
      <c r="AG10183" t="s">
        <v>8651</v>
      </c>
      <c r="AH10183" t="s">
        <v>8652</v>
      </c>
      <c r="AI10183" t="str">
        <f>"9500299"</f>
        <v>9500299</v>
      </c>
      <c r="AJ10183" t="s">
        <v>14567</v>
      </c>
      <c r="AK10183">
        <v>2821009110</v>
      </c>
      <c r="AL10183" t="s">
        <v>14568</v>
      </c>
      <c r="AM10183" t="s">
        <v>88</v>
      </c>
      <c r="AN10183" t="s">
        <v>88</v>
      </c>
      <c r="AO10183" t="s">
        <v>6770</v>
      </c>
      <c r="AP10183" t="s">
        <v>6771</v>
      </c>
      <c r="AQ10183">
        <v>2</v>
      </c>
      <c r="AR10183" t="s">
        <v>89</v>
      </c>
      <c r="AS10183" t="s">
        <v>90</v>
      </c>
      <c r="AT10183" t="s">
        <v>58</v>
      </c>
      <c r="AU10183" t="s">
        <v>68</v>
      </c>
      <c r="AV10183" t="s">
        <v>69</v>
      </c>
      <c r="AW10183" s="1">
        <v>23836</v>
      </c>
      <c r="AX10183">
        <v>1</v>
      </c>
    </row>
    <row r="10184" spans="1:50">
      <c r="A10184">
        <v>597524</v>
      </c>
      <c r="B10184" t="str">
        <f>"073370095"</f>
        <v>073370095</v>
      </c>
      <c r="C10184" t="s">
        <v>50</v>
      </c>
      <c r="D10184" t="s">
        <v>13469</v>
      </c>
      <c r="E10184" t="s">
        <v>563</v>
      </c>
      <c r="F10184" t="s">
        <v>309</v>
      </c>
      <c r="G10184" t="s">
        <v>9165</v>
      </c>
      <c r="H10184" t="str">
        <f>"ΒΕΡΝΑΡΔΑΚΗ ΟΥΛΟΦ ΠΑΛΜΕΡ 36 ΧΑΝΙΑ"</f>
        <v>ΒΕΡΝΑΡΔΑΚΗ ΟΥΛΟΦ ΠΑΛΜΕΡ 36 ΧΑΝΙΑ</v>
      </c>
      <c r="I10184">
        <v>71101</v>
      </c>
      <c r="J10184">
        <v>2821092289</v>
      </c>
      <c r="K10184">
        <v>6947899024</v>
      </c>
      <c r="L10184">
        <v>2251026802</v>
      </c>
      <c r="N10184" t="s">
        <v>306</v>
      </c>
      <c r="O10184" t="s">
        <v>307</v>
      </c>
      <c r="R10184" t="s">
        <v>57</v>
      </c>
      <c r="S10184">
        <v>10</v>
      </c>
      <c r="T10184">
        <v>193</v>
      </c>
      <c r="U10184" s="1">
        <v>37497</v>
      </c>
      <c r="V10184" t="s">
        <v>89</v>
      </c>
      <c r="W10184" t="s">
        <v>90</v>
      </c>
      <c r="X10184" t="s">
        <v>58</v>
      </c>
      <c r="Y10184">
        <v>21</v>
      </c>
      <c r="Z10184" t="s">
        <v>59</v>
      </c>
      <c r="AA10184" t="s">
        <v>59</v>
      </c>
      <c r="AB10184" t="s">
        <v>59</v>
      </c>
      <c r="AC10184" t="s">
        <v>59</v>
      </c>
      <c r="AD10184" t="s">
        <v>59</v>
      </c>
      <c r="AF10184" s="1">
        <v>37503</v>
      </c>
      <c r="AG10184" t="s">
        <v>8645</v>
      </c>
      <c r="AH10184" t="s">
        <v>8646</v>
      </c>
      <c r="AI10184" t="str">
        <f>"9500408"</f>
        <v>9500408</v>
      </c>
      <c r="AJ10184" t="s">
        <v>13981</v>
      </c>
      <c r="AK10184">
        <v>2821081655</v>
      </c>
      <c r="AL10184" t="s">
        <v>13982</v>
      </c>
      <c r="AM10184" t="s">
        <v>88</v>
      </c>
      <c r="AN10184" t="s">
        <v>88</v>
      </c>
      <c r="AO10184" t="s">
        <v>6748</v>
      </c>
      <c r="AP10184" t="s">
        <v>6748</v>
      </c>
      <c r="AQ10184">
        <v>2</v>
      </c>
      <c r="AR10184" t="s">
        <v>89</v>
      </c>
      <c r="AS10184" t="s">
        <v>90</v>
      </c>
      <c r="AT10184" t="s">
        <v>58</v>
      </c>
      <c r="AU10184" t="s">
        <v>68</v>
      </c>
      <c r="AV10184" t="s">
        <v>69</v>
      </c>
      <c r="AW10184" s="1">
        <v>25239</v>
      </c>
      <c r="AX10184">
        <v>1</v>
      </c>
    </row>
    <row r="10185" spans="1:50">
      <c r="A10185">
        <v>604148</v>
      </c>
      <c r="B10185" t="str">
        <f>"061580624"</f>
        <v>061580624</v>
      </c>
      <c r="C10185" t="s">
        <v>50</v>
      </c>
      <c r="D10185" t="s">
        <v>15142</v>
      </c>
      <c r="E10185" t="s">
        <v>460</v>
      </c>
      <c r="F10185" t="s">
        <v>99</v>
      </c>
      <c r="G10185" t="s">
        <v>950</v>
      </c>
      <c r="H10185" t="str">
        <f>"ΠΑΡΔΙΑΝΑ - ΠΕΡΙΒΟΛΙΑ ΧΑΝΙΑ"</f>
        <v>ΠΑΡΔΙΑΝΑ - ΠΕΡΙΒΟΛΙΑ ΧΑΝΙΑ</v>
      </c>
      <c r="I10185">
        <v>73100</v>
      </c>
      <c r="J10185">
        <v>2821073741</v>
      </c>
      <c r="K10185">
        <v>6976759806</v>
      </c>
      <c r="N10185" t="s">
        <v>615</v>
      </c>
      <c r="O10185" t="s">
        <v>616</v>
      </c>
      <c r="R10185" t="s">
        <v>57</v>
      </c>
      <c r="S10185">
        <v>8</v>
      </c>
      <c r="T10185">
        <v>231</v>
      </c>
      <c r="U10185" s="1">
        <v>38230</v>
      </c>
      <c r="V10185" t="s">
        <v>89</v>
      </c>
      <c r="W10185" t="s">
        <v>90</v>
      </c>
      <c r="X10185" t="s">
        <v>58</v>
      </c>
      <c r="Y10185">
        <v>22</v>
      </c>
      <c r="Z10185" t="s">
        <v>59</v>
      </c>
      <c r="AA10185" t="s">
        <v>59</v>
      </c>
      <c r="AB10185" t="s">
        <v>59</v>
      </c>
      <c r="AC10185" t="s">
        <v>59</v>
      </c>
      <c r="AD10185" t="s">
        <v>59</v>
      </c>
      <c r="AF10185" s="1">
        <v>38230</v>
      </c>
      <c r="AG10185" t="s">
        <v>8645</v>
      </c>
      <c r="AH10185" t="s">
        <v>8646</v>
      </c>
      <c r="AI10185" t="str">
        <f>"9500107"</f>
        <v>9500107</v>
      </c>
      <c r="AJ10185" t="s">
        <v>13918</v>
      </c>
      <c r="AK10185">
        <v>2821096244</v>
      </c>
      <c r="AL10185" t="s">
        <v>13919</v>
      </c>
      <c r="AM10185" t="s">
        <v>88</v>
      </c>
      <c r="AN10185" t="s">
        <v>88</v>
      </c>
      <c r="AO10185" t="s">
        <v>13920</v>
      </c>
      <c r="AP10185" t="s">
        <v>13921</v>
      </c>
      <c r="AQ10185">
        <v>3</v>
      </c>
      <c r="AR10185" t="s">
        <v>89</v>
      </c>
      <c r="AS10185" t="s">
        <v>90</v>
      </c>
      <c r="AT10185" t="s">
        <v>58</v>
      </c>
      <c r="AU10185" t="s">
        <v>68</v>
      </c>
      <c r="AV10185" t="s">
        <v>69</v>
      </c>
      <c r="AW10185" s="1">
        <v>26761</v>
      </c>
      <c r="AX10185">
        <v>1</v>
      </c>
    </row>
    <row r="10186" spans="1:50">
      <c r="A10186">
        <v>559898</v>
      </c>
      <c r="B10186" t="str">
        <f>"118453960"</f>
        <v>118453960</v>
      </c>
      <c r="C10186" t="s">
        <v>50</v>
      </c>
      <c r="D10186" t="s">
        <v>15143</v>
      </c>
      <c r="E10186" t="s">
        <v>801</v>
      </c>
      <c r="F10186" t="s">
        <v>95</v>
      </c>
      <c r="G10186" t="s">
        <v>114</v>
      </c>
      <c r="H10186" t="str">
        <f>"ΚΑΡΑΝΟΥ ΚΥΔΩΝΙΑΣ"</f>
        <v>ΚΑΡΑΝΟΥ ΚΥΔΩΝΙΑΣ</v>
      </c>
      <c r="I10186">
        <v>73005</v>
      </c>
      <c r="J10186">
        <v>2821067111</v>
      </c>
      <c r="K10186">
        <v>6986163938</v>
      </c>
      <c r="M10186" t="s">
        <v>15144</v>
      </c>
      <c r="N10186" t="s">
        <v>1525</v>
      </c>
      <c r="O10186" t="s">
        <v>1526</v>
      </c>
      <c r="R10186" t="s">
        <v>57</v>
      </c>
      <c r="S10186">
        <v>16</v>
      </c>
      <c r="T10186">
        <v>175</v>
      </c>
      <c r="U10186" s="1">
        <v>32020</v>
      </c>
      <c r="V10186" t="s">
        <v>89</v>
      </c>
      <c r="W10186" t="s">
        <v>90</v>
      </c>
      <c r="X10186" t="s">
        <v>58</v>
      </c>
      <c r="Y10186">
        <v>25</v>
      </c>
      <c r="Z10186" t="s">
        <v>59</v>
      </c>
      <c r="AA10186" t="s">
        <v>59</v>
      </c>
      <c r="AB10186" t="s">
        <v>59</v>
      </c>
      <c r="AC10186" t="s">
        <v>59</v>
      </c>
      <c r="AD10186" t="s">
        <v>59</v>
      </c>
      <c r="AF10186" s="1">
        <v>32020</v>
      </c>
      <c r="AG10186" t="s">
        <v>8651</v>
      </c>
      <c r="AH10186" t="s">
        <v>8652</v>
      </c>
      <c r="AI10186" t="str">
        <f>"9500257"</f>
        <v>9500257</v>
      </c>
      <c r="AJ10186" t="s">
        <v>14430</v>
      </c>
      <c r="AK10186">
        <v>2821077365</v>
      </c>
      <c r="AL10186" t="s">
        <v>14431</v>
      </c>
      <c r="AM10186" t="s">
        <v>88</v>
      </c>
      <c r="AN10186" t="s">
        <v>6764</v>
      </c>
      <c r="AO10186" t="s">
        <v>6885</v>
      </c>
      <c r="AP10186" t="s">
        <v>13937</v>
      </c>
      <c r="AQ10186">
        <v>4</v>
      </c>
      <c r="AR10186" t="s">
        <v>89</v>
      </c>
      <c r="AS10186" t="s">
        <v>90</v>
      </c>
      <c r="AT10186" t="s">
        <v>58</v>
      </c>
      <c r="AU10186" t="s">
        <v>68</v>
      </c>
      <c r="AV10186" t="s">
        <v>69</v>
      </c>
      <c r="AW10186" s="1">
        <v>23108</v>
      </c>
      <c r="AX10186">
        <v>1</v>
      </c>
    </row>
    <row r="10187" spans="1:50">
      <c r="B10187" t="str">
        <f>"151575578"</f>
        <v>151575578</v>
      </c>
      <c r="C10187" t="s">
        <v>50</v>
      </c>
      <c r="D10187" t="s">
        <v>15145</v>
      </c>
      <c r="E10187" t="s">
        <v>263</v>
      </c>
      <c r="F10187" t="s">
        <v>166</v>
      </c>
      <c r="G10187" t="s">
        <v>1830</v>
      </c>
      <c r="H10187" t="str">
        <f>" "</f>
        <v xml:space="preserve"> </v>
      </c>
      <c r="N10187" t="s">
        <v>615</v>
      </c>
      <c r="O10187" t="s">
        <v>616</v>
      </c>
      <c r="R10187" t="s">
        <v>159</v>
      </c>
      <c r="S10187">
        <v>3</v>
      </c>
      <c r="T10187" t="s">
        <v>8717</v>
      </c>
      <c r="U10187" s="1">
        <v>43348</v>
      </c>
      <c r="V10187" t="s">
        <v>89</v>
      </c>
      <c r="W10187" t="s">
        <v>90</v>
      </c>
      <c r="X10187" t="s">
        <v>58</v>
      </c>
      <c r="Y10187">
        <v>24</v>
      </c>
      <c r="Z10187" t="s">
        <v>59</v>
      </c>
      <c r="AA10187" t="s">
        <v>59</v>
      </c>
      <c r="AB10187" t="s">
        <v>59</v>
      </c>
      <c r="AD10187" t="s">
        <v>59</v>
      </c>
      <c r="AF10187" s="1">
        <v>43348</v>
      </c>
      <c r="AG10187" t="s">
        <v>8645</v>
      </c>
      <c r="AH10187" t="s">
        <v>8646</v>
      </c>
      <c r="AI10187" t="str">
        <f>"9500113"</f>
        <v>9500113</v>
      </c>
      <c r="AJ10187" t="s">
        <v>13935</v>
      </c>
      <c r="AK10187">
        <v>2821077187</v>
      </c>
      <c r="AL10187" t="s">
        <v>13936</v>
      </c>
      <c r="AM10187" t="s">
        <v>88</v>
      </c>
      <c r="AN10187" t="s">
        <v>6764</v>
      </c>
      <c r="AO10187" t="s">
        <v>6885</v>
      </c>
      <c r="AP10187" t="s">
        <v>13937</v>
      </c>
      <c r="AQ10187">
        <v>4</v>
      </c>
      <c r="AR10187" t="s">
        <v>89</v>
      </c>
      <c r="AS10187" t="s">
        <v>90</v>
      </c>
      <c r="AT10187" t="s">
        <v>58</v>
      </c>
      <c r="AU10187" t="s">
        <v>8720</v>
      </c>
      <c r="AV10187" t="s">
        <v>132</v>
      </c>
      <c r="AW10187" s="1">
        <v>32959</v>
      </c>
      <c r="AX10187">
        <v>1</v>
      </c>
    </row>
    <row r="10188" spans="1:50">
      <c r="A10188">
        <v>617868</v>
      </c>
      <c r="B10188" t="str">
        <f>"136669697"</f>
        <v>136669697</v>
      </c>
      <c r="C10188" t="s">
        <v>50</v>
      </c>
      <c r="D10188" t="s">
        <v>3060</v>
      </c>
      <c r="E10188" t="s">
        <v>396</v>
      </c>
      <c r="F10188" t="s">
        <v>99</v>
      </c>
      <c r="G10188" t="s">
        <v>255</v>
      </c>
      <c r="H10188" t="str">
        <f>"ΠΡΟΜΗΘΕΩΣ 8 ΠΡΕΒΕΖΑ"</f>
        <v>ΠΡΟΜΗΘΕΩΣ 8 ΠΡΕΒΕΖΑ</v>
      </c>
      <c r="I10188">
        <v>48100</v>
      </c>
      <c r="J10188">
        <v>2682060981</v>
      </c>
      <c r="K10188">
        <v>6972689401</v>
      </c>
      <c r="N10188" t="s">
        <v>615</v>
      </c>
      <c r="O10188" t="s">
        <v>616</v>
      </c>
      <c r="R10188" t="s">
        <v>57</v>
      </c>
      <c r="S10188">
        <v>5</v>
      </c>
      <c r="T10188">
        <v>774</v>
      </c>
      <c r="U10188" s="1">
        <v>39680</v>
      </c>
      <c r="V10188" t="s">
        <v>89</v>
      </c>
      <c r="W10188" t="s">
        <v>90</v>
      </c>
      <c r="X10188" t="s">
        <v>58</v>
      </c>
      <c r="Y10188">
        <v>23</v>
      </c>
      <c r="Z10188" t="s">
        <v>59</v>
      </c>
      <c r="AA10188" t="s">
        <v>59</v>
      </c>
      <c r="AB10188" t="s">
        <v>59</v>
      </c>
      <c r="AC10188" t="s">
        <v>59</v>
      </c>
      <c r="AD10188" t="s">
        <v>59</v>
      </c>
      <c r="AF10188" s="1">
        <v>39682</v>
      </c>
      <c r="AG10188" t="s">
        <v>8645</v>
      </c>
      <c r="AH10188" t="s">
        <v>8646</v>
      </c>
      <c r="AI10188" t="str">
        <f>"9500094"</f>
        <v>9500094</v>
      </c>
      <c r="AJ10188" t="s">
        <v>13883</v>
      </c>
      <c r="AK10188">
        <v>2821039330</v>
      </c>
      <c r="AL10188" t="s">
        <v>13884</v>
      </c>
      <c r="AM10188" t="s">
        <v>88</v>
      </c>
      <c r="AN10188" t="s">
        <v>88</v>
      </c>
      <c r="AO10188" t="s">
        <v>6770</v>
      </c>
      <c r="AP10188" t="s">
        <v>6771</v>
      </c>
      <c r="AQ10188">
        <v>2</v>
      </c>
      <c r="AR10188" t="s">
        <v>89</v>
      </c>
      <c r="AS10188" t="s">
        <v>90</v>
      </c>
      <c r="AT10188" t="s">
        <v>58</v>
      </c>
      <c r="AU10188" t="s">
        <v>68</v>
      </c>
      <c r="AV10188" t="s">
        <v>69</v>
      </c>
      <c r="AW10188" s="1">
        <v>29788</v>
      </c>
      <c r="AX10188">
        <v>1</v>
      </c>
    </row>
    <row r="10189" spans="1:50">
      <c r="B10189" t="str">
        <f>"126362760"</f>
        <v>126362760</v>
      </c>
      <c r="C10189" t="s">
        <v>50</v>
      </c>
      <c r="D10189" t="s">
        <v>3060</v>
      </c>
      <c r="E10189" t="s">
        <v>367</v>
      </c>
      <c r="F10189" t="s">
        <v>84</v>
      </c>
      <c r="G10189" t="s">
        <v>238</v>
      </c>
      <c r="H10189" t="str">
        <f>"ΙΩΝΙΑΣ 18 "</f>
        <v xml:space="preserve">ΙΩΝΙΑΣ 18 </v>
      </c>
      <c r="I10189">
        <v>55134</v>
      </c>
      <c r="J10189">
        <v>2310480035</v>
      </c>
      <c r="K10189">
        <v>6946332360</v>
      </c>
      <c r="N10189" t="s">
        <v>1525</v>
      </c>
      <c r="O10189" t="s">
        <v>1526</v>
      </c>
      <c r="R10189" t="s">
        <v>159</v>
      </c>
      <c r="S10189">
        <v>5</v>
      </c>
      <c r="T10189" t="s">
        <v>8670</v>
      </c>
      <c r="U10189" s="1">
        <v>43348</v>
      </c>
      <c r="V10189" t="s">
        <v>89</v>
      </c>
      <c r="W10189" t="s">
        <v>90</v>
      </c>
      <c r="X10189" t="s">
        <v>58</v>
      </c>
      <c r="Y10189">
        <v>25</v>
      </c>
      <c r="Z10189" t="s">
        <v>59</v>
      </c>
      <c r="AA10189" t="s">
        <v>59</v>
      </c>
      <c r="AB10189" t="s">
        <v>59</v>
      </c>
      <c r="AC10189" t="s">
        <v>59</v>
      </c>
      <c r="AD10189" t="s">
        <v>59</v>
      </c>
      <c r="AF10189" s="1">
        <v>43348</v>
      </c>
      <c r="AG10189" t="s">
        <v>8651</v>
      </c>
      <c r="AH10189" t="s">
        <v>8652</v>
      </c>
      <c r="AI10189" t="str">
        <f>"9500281"</f>
        <v>9500281</v>
      </c>
      <c r="AJ10189" t="s">
        <v>15146</v>
      </c>
      <c r="AK10189">
        <v>2821040081</v>
      </c>
      <c r="AL10189" t="s">
        <v>15147</v>
      </c>
      <c r="AM10189" t="s">
        <v>88</v>
      </c>
      <c r="AN10189" t="s">
        <v>88</v>
      </c>
      <c r="AO10189" t="s">
        <v>88</v>
      </c>
      <c r="AP10189" t="s">
        <v>88</v>
      </c>
      <c r="AQ10189">
        <v>1</v>
      </c>
      <c r="AR10189" t="s">
        <v>89</v>
      </c>
      <c r="AS10189" t="s">
        <v>90</v>
      </c>
      <c r="AT10189" t="s">
        <v>58</v>
      </c>
      <c r="AU10189" t="s">
        <v>8673</v>
      </c>
      <c r="AV10189" t="s">
        <v>132</v>
      </c>
      <c r="AW10189" s="1">
        <v>30578</v>
      </c>
      <c r="AX10189">
        <v>1</v>
      </c>
    </row>
    <row r="10190" spans="1:50">
      <c r="A10190">
        <v>603248</v>
      </c>
      <c r="B10190" t="str">
        <f>"074557529"</f>
        <v>074557529</v>
      </c>
      <c r="C10190" t="s">
        <v>50</v>
      </c>
      <c r="D10190" t="s">
        <v>3060</v>
      </c>
      <c r="E10190" t="s">
        <v>114</v>
      </c>
      <c r="F10190" t="s">
        <v>7043</v>
      </c>
      <c r="G10190" t="s">
        <v>4455</v>
      </c>
      <c r="H10190" t="str">
        <f>" "</f>
        <v xml:space="preserve"> </v>
      </c>
      <c r="J10190">
        <v>2431024450</v>
      </c>
      <c r="K10190">
        <v>6978224315</v>
      </c>
      <c r="N10190" t="s">
        <v>1525</v>
      </c>
      <c r="O10190" t="s">
        <v>1526</v>
      </c>
      <c r="R10190" t="s">
        <v>57</v>
      </c>
      <c r="S10190">
        <v>7</v>
      </c>
      <c r="T10190">
        <v>207</v>
      </c>
      <c r="U10190" s="1">
        <v>37866</v>
      </c>
      <c r="V10190" t="s">
        <v>89</v>
      </c>
      <c r="W10190" t="s">
        <v>90</v>
      </c>
      <c r="X10190" t="s">
        <v>58</v>
      </c>
      <c r="Y10190">
        <v>25</v>
      </c>
      <c r="Z10190" t="s">
        <v>59</v>
      </c>
      <c r="AA10190" t="s">
        <v>59</v>
      </c>
      <c r="AB10190" t="s">
        <v>59</v>
      </c>
      <c r="AC10190" t="s">
        <v>59</v>
      </c>
      <c r="AD10190" t="s">
        <v>59</v>
      </c>
      <c r="AF10190" s="1">
        <v>37866</v>
      </c>
      <c r="AG10190" t="s">
        <v>8651</v>
      </c>
      <c r="AH10190" t="s">
        <v>8652</v>
      </c>
      <c r="AI10190" t="str">
        <f>"9500342"</f>
        <v>9500342</v>
      </c>
      <c r="AJ10190" t="s">
        <v>15148</v>
      </c>
      <c r="AK10190">
        <v>2821076440</v>
      </c>
      <c r="AL10190" t="s">
        <v>15149</v>
      </c>
      <c r="AM10190" t="s">
        <v>88</v>
      </c>
      <c r="AN10190" t="s">
        <v>88</v>
      </c>
      <c r="AO10190" t="s">
        <v>6733</v>
      </c>
      <c r="AP10190" t="s">
        <v>6734</v>
      </c>
      <c r="AQ10190">
        <v>2</v>
      </c>
      <c r="AR10190" t="s">
        <v>89</v>
      </c>
      <c r="AS10190" t="s">
        <v>90</v>
      </c>
      <c r="AT10190" t="s">
        <v>58</v>
      </c>
      <c r="AU10190" t="s">
        <v>68</v>
      </c>
      <c r="AV10190" t="s">
        <v>2039</v>
      </c>
      <c r="AW10190" s="1">
        <v>25603</v>
      </c>
      <c r="AX10190">
        <v>1</v>
      </c>
    </row>
    <row r="10191" spans="1:50">
      <c r="A10191">
        <v>599441</v>
      </c>
      <c r="B10191" t="str">
        <f>"072478278"</f>
        <v>072478278</v>
      </c>
      <c r="C10191" t="s">
        <v>50</v>
      </c>
      <c r="D10191" t="s">
        <v>15150</v>
      </c>
      <c r="E10191" t="s">
        <v>1108</v>
      </c>
      <c r="F10191" t="s">
        <v>53</v>
      </c>
      <c r="G10191" t="s">
        <v>610</v>
      </c>
      <c r="H10191" t="str">
        <f>"ΒΡΥΣΩΝ   45Α' ΧΑΝΙΑ"</f>
        <v>ΒΡΥΣΩΝ   45Α' ΧΑΝΙΑ</v>
      </c>
      <c r="I10191">
        <v>73100</v>
      </c>
      <c r="J10191">
        <v>2821055595</v>
      </c>
      <c r="K10191">
        <v>6978308373</v>
      </c>
      <c r="L10191">
        <v>2821055553</v>
      </c>
      <c r="N10191" t="s">
        <v>615</v>
      </c>
      <c r="O10191" t="s">
        <v>616</v>
      </c>
      <c r="R10191" t="s">
        <v>57</v>
      </c>
      <c r="S10191">
        <v>11</v>
      </c>
      <c r="T10191">
        <v>195</v>
      </c>
      <c r="U10191" s="1">
        <v>37497</v>
      </c>
      <c r="V10191" t="s">
        <v>89</v>
      </c>
      <c r="W10191" t="s">
        <v>90</v>
      </c>
      <c r="X10191" t="s">
        <v>58</v>
      </c>
      <c r="Y10191">
        <v>22</v>
      </c>
      <c r="Z10191" t="s">
        <v>59</v>
      </c>
      <c r="AA10191" t="s">
        <v>59</v>
      </c>
      <c r="AB10191" t="s">
        <v>59</v>
      </c>
      <c r="AC10191" t="s">
        <v>59</v>
      </c>
      <c r="AD10191" t="s">
        <v>59</v>
      </c>
      <c r="AF10191" s="1">
        <v>37497</v>
      </c>
      <c r="AG10191" t="s">
        <v>8645</v>
      </c>
      <c r="AH10191" t="s">
        <v>8646</v>
      </c>
      <c r="AI10191" t="str">
        <f>"9500093"</f>
        <v>9500093</v>
      </c>
      <c r="AJ10191" t="s">
        <v>13865</v>
      </c>
      <c r="AK10191">
        <v>2821064537</v>
      </c>
      <c r="AL10191" t="s">
        <v>13866</v>
      </c>
      <c r="AM10191" t="s">
        <v>88</v>
      </c>
      <c r="AN10191" t="s">
        <v>88</v>
      </c>
      <c r="AO10191" t="s">
        <v>6770</v>
      </c>
      <c r="AP10191" t="s">
        <v>6771</v>
      </c>
      <c r="AQ10191">
        <v>2</v>
      </c>
      <c r="AR10191" t="s">
        <v>89</v>
      </c>
      <c r="AS10191" t="s">
        <v>90</v>
      </c>
      <c r="AT10191" t="s">
        <v>58</v>
      </c>
      <c r="AU10191" t="s">
        <v>68</v>
      </c>
      <c r="AV10191" t="s">
        <v>1092</v>
      </c>
      <c r="AW10191" s="1">
        <v>24267</v>
      </c>
      <c r="AX10191">
        <v>1</v>
      </c>
    </row>
    <row r="10192" spans="1:50">
      <c r="A10192">
        <v>586310</v>
      </c>
      <c r="B10192" t="str">
        <f>"118484070"</f>
        <v>118484070</v>
      </c>
      <c r="C10192" t="s">
        <v>50</v>
      </c>
      <c r="D10192" t="s">
        <v>3064</v>
      </c>
      <c r="E10192" t="s">
        <v>964</v>
      </c>
      <c r="F10192" t="s">
        <v>99</v>
      </c>
      <c r="G10192" t="s">
        <v>340</v>
      </c>
      <c r="H10192" t="str">
        <f>"ΓΡΗΓΟΡΙΟΥ ΛΑΜΠΡΑΚΗ  3 ΧΑΝΙΑ"</f>
        <v>ΓΡΗΓΟΡΙΟΥ ΛΑΜΠΡΑΚΗ  3 ΧΑΝΙΑ</v>
      </c>
      <c r="I10192">
        <v>73200</v>
      </c>
      <c r="K10192">
        <v>6980109709</v>
      </c>
      <c r="N10192" t="s">
        <v>615</v>
      </c>
      <c r="O10192" t="s">
        <v>616</v>
      </c>
      <c r="R10192" t="s">
        <v>57</v>
      </c>
      <c r="S10192">
        <v>12</v>
      </c>
      <c r="T10192">
        <v>165</v>
      </c>
      <c r="U10192" s="1">
        <v>36040</v>
      </c>
      <c r="V10192" t="s">
        <v>89</v>
      </c>
      <c r="W10192" t="s">
        <v>90</v>
      </c>
      <c r="X10192" t="s">
        <v>58</v>
      </c>
      <c r="Y10192">
        <v>21</v>
      </c>
      <c r="Z10192" t="s">
        <v>59</v>
      </c>
      <c r="AA10192" t="s">
        <v>59</v>
      </c>
      <c r="AB10192" t="s">
        <v>59</v>
      </c>
      <c r="AC10192" t="s">
        <v>59</v>
      </c>
      <c r="AD10192" t="s">
        <v>59</v>
      </c>
      <c r="AF10192" s="1">
        <v>36040</v>
      </c>
      <c r="AG10192" t="s">
        <v>8645</v>
      </c>
      <c r="AH10192" t="s">
        <v>8646</v>
      </c>
      <c r="AI10192" t="str">
        <f>"9500329"</f>
        <v>9500329</v>
      </c>
      <c r="AJ10192" t="s">
        <v>14241</v>
      </c>
      <c r="AK10192">
        <v>2821099075</v>
      </c>
      <c r="AL10192" t="s">
        <v>14242</v>
      </c>
      <c r="AM10192" t="s">
        <v>88</v>
      </c>
      <c r="AN10192" t="s">
        <v>88</v>
      </c>
      <c r="AO10192" t="s">
        <v>6733</v>
      </c>
      <c r="AP10192" t="s">
        <v>6734</v>
      </c>
      <c r="AQ10192">
        <v>2</v>
      </c>
      <c r="AR10192" t="s">
        <v>89</v>
      </c>
      <c r="AS10192" t="s">
        <v>90</v>
      </c>
      <c r="AT10192" t="s">
        <v>58</v>
      </c>
      <c r="AU10192" t="s">
        <v>68</v>
      </c>
      <c r="AV10192" t="s">
        <v>69</v>
      </c>
      <c r="AW10192" s="1">
        <v>25080</v>
      </c>
      <c r="AX10192">
        <v>1</v>
      </c>
    </row>
    <row r="10193" spans="1:50">
      <c r="A10193">
        <v>574597</v>
      </c>
      <c r="B10193" t="str">
        <f>"035312530"</f>
        <v>035312530</v>
      </c>
      <c r="C10193" t="s">
        <v>50</v>
      </c>
      <c r="D10193" t="s">
        <v>3064</v>
      </c>
      <c r="E10193" t="s">
        <v>1189</v>
      </c>
      <c r="F10193" t="s">
        <v>108</v>
      </c>
      <c r="G10193" t="s">
        <v>620</v>
      </c>
      <c r="H10193" t="str">
        <f>"ΚΙΣΑΜΟΣ ΧΑΝΙΩΝ ΚΙΣΣΑΜΟΣ"</f>
        <v>ΚΙΣΑΜΟΣ ΧΑΝΙΩΝ ΚΙΣΣΑΜΟΣ</v>
      </c>
      <c r="I10193">
        <v>73400</v>
      </c>
      <c r="J10193">
        <v>2822024597</v>
      </c>
      <c r="K10193">
        <v>6976166168</v>
      </c>
      <c r="N10193" t="s">
        <v>306</v>
      </c>
      <c r="O10193" t="s">
        <v>307</v>
      </c>
      <c r="R10193" t="s">
        <v>57</v>
      </c>
      <c r="S10193">
        <v>12</v>
      </c>
      <c r="T10193">
        <v>158</v>
      </c>
      <c r="U10193" s="1">
        <v>34582</v>
      </c>
      <c r="V10193" t="s">
        <v>89</v>
      </c>
      <c r="W10193" t="s">
        <v>90</v>
      </c>
      <c r="X10193" t="s">
        <v>58</v>
      </c>
      <c r="Y10193">
        <v>21</v>
      </c>
      <c r="Z10193" t="s">
        <v>59</v>
      </c>
      <c r="AA10193" t="s">
        <v>59</v>
      </c>
      <c r="AB10193" t="s">
        <v>59</v>
      </c>
      <c r="AC10193" t="s">
        <v>59</v>
      </c>
      <c r="AD10193" t="s">
        <v>59</v>
      </c>
      <c r="AF10193" s="1">
        <v>34582</v>
      </c>
      <c r="AG10193" t="s">
        <v>8645</v>
      </c>
      <c r="AH10193" t="s">
        <v>8646</v>
      </c>
      <c r="AI10193" t="str">
        <f>"9500374"</f>
        <v>9500374</v>
      </c>
      <c r="AJ10193" t="s">
        <v>14529</v>
      </c>
      <c r="AK10193">
        <v>2822023194</v>
      </c>
      <c r="AL10193" t="s">
        <v>14530</v>
      </c>
      <c r="AM10193" t="s">
        <v>88</v>
      </c>
      <c r="AN10193" t="s">
        <v>6744</v>
      </c>
      <c r="AO10193" t="s">
        <v>6744</v>
      </c>
      <c r="AP10193" t="s">
        <v>6744</v>
      </c>
      <c r="AQ10193">
        <v>9</v>
      </c>
      <c r="AR10193" t="s">
        <v>89</v>
      </c>
      <c r="AS10193" t="s">
        <v>90</v>
      </c>
      <c r="AT10193" t="s">
        <v>58</v>
      </c>
      <c r="AU10193" t="s">
        <v>68</v>
      </c>
      <c r="AV10193" t="s">
        <v>69</v>
      </c>
      <c r="AW10193" s="1">
        <v>24719</v>
      </c>
      <c r="AX10193">
        <v>1</v>
      </c>
    </row>
    <row r="10194" spans="1:50">
      <c r="A10194">
        <v>614504</v>
      </c>
      <c r="B10194" t="str">
        <f>"123099923"</f>
        <v>123099923</v>
      </c>
      <c r="C10194" t="s">
        <v>50</v>
      </c>
      <c r="D10194" t="s">
        <v>3064</v>
      </c>
      <c r="E10194" t="s">
        <v>109</v>
      </c>
      <c r="F10194" t="s">
        <v>154</v>
      </c>
      <c r="G10194" t="s">
        <v>155</v>
      </c>
      <c r="H10194" t="str">
        <f>"ΒΙΑΝΟΥ  10 ΧΑΝΙΑ"</f>
        <v>ΒΙΑΝΟΥ  10 ΧΑΝΙΑ</v>
      </c>
      <c r="I10194">
        <v>73100</v>
      </c>
      <c r="J10194">
        <v>2821078180</v>
      </c>
      <c r="K10194">
        <v>6932534100</v>
      </c>
      <c r="N10194" t="s">
        <v>615</v>
      </c>
      <c r="O10194" t="s">
        <v>616</v>
      </c>
      <c r="R10194" t="s">
        <v>57</v>
      </c>
      <c r="S10194">
        <v>5</v>
      </c>
      <c r="T10194">
        <v>598</v>
      </c>
      <c r="U10194" s="1">
        <v>37511</v>
      </c>
      <c r="V10194" t="s">
        <v>89</v>
      </c>
      <c r="W10194" t="s">
        <v>90</v>
      </c>
      <c r="X10194" t="s">
        <v>58</v>
      </c>
      <c r="Y10194">
        <v>23</v>
      </c>
      <c r="Z10194" t="s">
        <v>59</v>
      </c>
      <c r="AA10194" t="s">
        <v>59</v>
      </c>
      <c r="AB10194" t="s">
        <v>59</v>
      </c>
      <c r="AC10194" t="s">
        <v>59</v>
      </c>
      <c r="AD10194" t="s">
        <v>59</v>
      </c>
      <c r="AF10194" s="1">
        <v>39310</v>
      </c>
      <c r="AG10194" t="s">
        <v>8645</v>
      </c>
      <c r="AH10194" t="s">
        <v>8646</v>
      </c>
      <c r="AI10194" t="str">
        <f>"9500137"</f>
        <v>9500137</v>
      </c>
      <c r="AJ10194" t="s">
        <v>14401</v>
      </c>
      <c r="AK10194">
        <v>2821093156</v>
      </c>
      <c r="AL10194" t="s">
        <v>14402</v>
      </c>
      <c r="AM10194" t="s">
        <v>88</v>
      </c>
      <c r="AN10194" t="s">
        <v>88</v>
      </c>
      <c r="AO10194" t="s">
        <v>88</v>
      </c>
      <c r="AP10194" t="s">
        <v>88</v>
      </c>
      <c r="AQ10194">
        <v>1</v>
      </c>
      <c r="AR10194" t="s">
        <v>89</v>
      </c>
      <c r="AS10194" t="s">
        <v>90</v>
      </c>
      <c r="AT10194" t="s">
        <v>58</v>
      </c>
      <c r="AU10194" t="s">
        <v>68</v>
      </c>
      <c r="AV10194" t="s">
        <v>69</v>
      </c>
      <c r="AW10194" s="1">
        <v>30920</v>
      </c>
      <c r="AX10194">
        <v>1</v>
      </c>
    </row>
    <row r="10195" spans="1:50">
      <c r="A10195">
        <v>611179</v>
      </c>
      <c r="B10195" t="str">
        <f>"101592143"</f>
        <v>101592143</v>
      </c>
      <c r="C10195" t="s">
        <v>50</v>
      </c>
      <c r="D10195" t="s">
        <v>3064</v>
      </c>
      <c r="E10195" t="s">
        <v>620</v>
      </c>
      <c r="F10195" t="s">
        <v>95</v>
      </c>
      <c r="G10195" t="s">
        <v>52</v>
      </c>
      <c r="H10195" t="str">
        <f>"ΝΙΚΟΛΑΚΗ 42 ΧΑΝΙΑ"</f>
        <v>ΝΙΚΟΛΑΚΗ 42 ΧΑΝΙΑ</v>
      </c>
      <c r="I10195">
        <v>73100</v>
      </c>
      <c r="J10195">
        <v>2821070345</v>
      </c>
      <c r="K10195">
        <v>6977441621</v>
      </c>
      <c r="N10195" t="s">
        <v>1525</v>
      </c>
      <c r="O10195" t="s">
        <v>1526</v>
      </c>
      <c r="R10195" t="s">
        <v>57</v>
      </c>
      <c r="S10195">
        <v>8</v>
      </c>
      <c r="T10195">
        <v>233</v>
      </c>
      <c r="U10195" s="1">
        <v>38960</v>
      </c>
      <c r="V10195" t="s">
        <v>89</v>
      </c>
      <c r="W10195" t="s">
        <v>90</v>
      </c>
      <c r="X10195" t="s">
        <v>58</v>
      </c>
      <c r="Y10195">
        <v>25</v>
      </c>
      <c r="Z10195" t="s">
        <v>59</v>
      </c>
      <c r="AA10195" t="s">
        <v>59</v>
      </c>
      <c r="AB10195" t="s">
        <v>59</v>
      </c>
      <c r="AC10195" t="s">
        <v>59</v>
      </c>
      <c r="AD10195" t="s">
        <v>59</v>
      </c>
      <c r="AF10195" s="1">
        <v>38960</v>
      </c>
      <c r="AG10195" t="s">
        <v>8651</v>
      </c>
      <c r="AH10195" t="s">
        <v>8652</v>
      </c>
      <c r="AI10195" t="str">
        <f>"9500303"</f>
        <v>9500303</v>
      </c>
      <c r="AJ10195" t="s">
        <v>15151</v>
      </c>
      <c r="AK10195">
        <v>2821094168</v>
      </c>
      <c r="AL10195" t="s">
        <v>15152</v>
      </c>
      <c r="AM10195" t="s">
        <v>88</v>
      </c>
      <c r="AN10195" t="s">
        <v>88</v>
      </c>
      <c r="AO10195" t="s">
        <v>88</v>
      </c>
      <c r="AP10195" t="s">
        <v>88</v>
      </c>
      <c r="AQ10195">
        <v>1</v>
      </c>
      <c r="AR10195" t="s">
        <v>89</v>
      </c>
      <c r="AS10195" t="s">
        <v>90</v>
      </c>
      <c r="AT10195" t="s">
        <v>58</v>
      </c>
      <c r="AU10195" t="s">
        <v>68</v>
      </c>
      <c r="AV10195" t="s">
        <v>69</v>
      </c>
      <c r="AW10195" s="1">
        <v>21424</v>
      </c>
      <c r="AX10195">
        <v>1</v>
      </c>
    </row>
    <row r="10196" spans="1:50">
      <c r="A10196">
        <v>609517</v>
      </c>
      <c r="B10196" t="str">
        <f>"050756573"</f>
        <v>050756573</v>
      </c>
      <c r="C10196" t="s">
        <v>105</v>
      </c>
      <c r="D10196" t="s">
        <v>13480</v>
      </c>
      <c r="E10196" t="s">
        <v>99</v>
      </c>
      <c r="F10196" t="s">
        <v>900</v>
      </c>
      <c r="G10196" t="s">
        <v>237</v>
      </c>
      <c r="H10196" t="str">
        <f>"ΕΜΜ. ΛΟΥΛΑΚΑΚΗ 3 ΧΑΝΙΑ"</f>
        <v>ΕΜΜ. ΛΟΥΛΑΚΑΚΗ 3 ΧΑΝΙΑ</v>
      </c>
      <c r="I10196">
        <v>73100</v>
      </c>
      <c r="J10196">
        <v>2821042637</v>
      </c>
      <c r="K10196">
        <v>6944426205</v>
      </c>
      <c r="N10196" t="s">
        <v>176</v>
      </c>
      <c r="O10196" t="s">
        <v>177</v>
      </c>
      <c r="R10196" t="s">
        <v>57</v>
      </c>
      <c r="S10196">
        <v>8</v>
      </c>
      <c r="T10196">
        <v>218</v>
      </c>
      <c r="U10196" s="1">
        <v>38596</v>
      </c>
      <c r="V10196" t="s">
        <v>89</v>
      </c>
      <c r="W10196" t="s">
        <v>90</v>
      </c>
      <c r="X10196" t="s">
        <v>58</v>
      </c>
      <c r="Y10196">
        <v>22</v>
      </c>
      <c r="Z10196" t="s">
        <v>59</v>
      </c>
      <c r="AA10196" t="s">
        <v>59</v>
      </c>
      <c r="AB10196" t="s">
        <v>59</v>
      </c>
      <c r="AC10196" t="s">
        <v>59</v>
      </c>
      <c r="AD10196" t="s">
        <v>59</v>
      </c>
      <c r="AF10196" s="1">
        <v>38596</v>
      </c>
      <c r="AG10196" t="s">
        <v>8645</v>
      </c>
      <c r="AH10196" t="s">
        <v>8646</v>
      </c>
      <c r="AI10196" t="str">
        <f>"9500103"</f>
        <v>9500103</v>
      </c>
      <c r="AJ10196" t="s">
        <v>14040</v>
      </c>
      <c r="AK10196">
        <v>2821090920</v>
      </c>
      <c r="AL10196" t="s">
        <v>14041</v>
      </c>
      <c r="AM10196" t="s">
        <v>88</v>
      </c>
      <c r="AN10196" t="s">
        <v>88</v>
      </c>
      <c r="AO10196" t="s">
        <v>6733</v>
      </c>
      <c r="AP10196" t="s">
        <v>6734</v>
      </c>
      <c r="AQ10196">
        <v>2</v>
      </c>
      <c r="AR10196" t="s">
        <v>89</v>
      </c>
      <c r="AS10196" t="s">
        <v>90</v>
      </c>
      <c r="AT10196" t="s">
        <v>58</v>
      </c>
      <c r="AU10196" t="s">
        <v>68</v>
      </c>
      <c r="AV10196" t="s">
        <v>69</v>
      </c>
      <c r="AW10196" s="1">
        <v>25090</v>
      </c>
      <c r="AX10196">
        <v>1</v>
      </c>
    </row>
    <row r="10197" spans="1:50">
      <c r="A10197">
        <v>604934</v>
      </c>
      <c r="B10197" t="str">
        <f>"063610942"</f>
        <v>063610942</v>
      </c>
      <c r="C10197" t="s">
        <v>50</v>
      </c>
      <c r="D10197" t="s">
        <v>15153</v>
      </c>
      <c r="E10197" t="s">
        <v>52</v>
      </c>
      <c r="F10197" t="s">
        <v>166</v>
      </c>
      <c r="G10197" t="s">
        <v>2811</v>
      </c>
      <c r="H10197" t="str">
        <f>"ΚΑΛΙΤΣΟΥΝΑΚΗ 27 ΧΑΝΙΑ"</f>
        <v>ΚΑΛΙΤΣΟΥΝΑΚΗ 27 ΧΑΝΙΑ</v>
      </c>
      <c r="I10197">
        <v>73100</v>
      </c>
      <c r="J10197">
        <v>2821028253</v>
      </c>
      <c r="K10197">
        <v>6942774520</v>
      </c>
      <c r="N10197" t="s">
        <v>615</v>
      </c>
      <c r="O10197" t="s">
        <v>616</v>
      </c>
      <c r="R10197" t="s">
        <v>57</v>
      </c>
      <c r="S10197">
        <v>8</v>
      </c>
      <c r="T10197">
        <v>231</v>
      </c>
      <c r="U10197" s="1">
        <v>38230</v>
      </c>
      <c r="V10197" t="s">
        <v>89</v>
      </c>
      <c r="W10197" t="s">
        <v>90</v>
      </c>
      <c r="X10197" t="s">
        <v>58</v>
      </c>
      <c r="Y10197">
        <v>22</v>
      </c>
      <c r="Z10197" t="s">
        <v>59</v>
      </c>
      <c r="AA10197" t="s">
        <v>59</v>
      </c>
      <c r="AB10197" t="s">
        <v>59</v>
      </c>
      <c r="AC10197" t="s">
        <v>59</v>
      </c>
      <c r="AD10197" t="s">
        <v>59</v>
      </c>
      <c r="AF10197" s="1">
        <v>38230</v>
      </c>
      <c r="AG10197" t="s">
        <v>8645</v>
      </c>
      <c r="AH10197" t="s">
        <v>8646</v>
      </c>
      <c r="AI10197" t="str">
        <f>"9500078"</f>
        <v>9500078</v>
      </c>
      <c r="AJ10197" t="s">
        <v>13988</v>
      </c>
      <c r="AK10197">
        <v>2821028788</v>
      </c>
      <c r="AL10197" t="s">
        <v>13989</v>
      </c>
      <c r="AM10197" t="s">
        <v>88</v>
      </c>
      <c r="AN10197" t="s">
        <v>88</v>
      </c>
      <c r="AO10197" t="s">
        <v>88</v>
      </c>
      <c r="AP10197" t="s">
        <v>88</v>
      </c>
      <c r="AQ10197">
        <v>1</v>
      </c>
      <c r="AR10197" t="s">
        <v>89</v>
      </c>
      <c r="AS10197" t="s">
        <v>90</v>
      </c>
      <c r="AT10197" t="s">
        <v>58</v>
      </c>
      <c r="AU10197" t="s">
        <v>68</v>
      </c>
      <c r="AV10197" t="s">
        <v>69</v>
      </c>
      <c r="AW10197" s="1">
        <v>26378</v>
      </c>
      <c r="AX10197">
        <v>1</v>
      </c>
    </row>
    <row r="10198" spans="1:50">
      <c r="A10198">
        <v>603036</v>
      </c>
      <c r="B10198" t="str">
        <f>"126314424"</f>
        <v>126314424</v>
      </c>
      <c r="C10198" t="s">
        <v>50</v>
      </c>
      <c r="D10198" t="s">
        <v>3077</v>
      </c>
      <c r="E10198" t="s">
        <v>367</v>
      </c>
      <c r="F10198" t="s">
        <v>95</v>
      </c>
      <c r="G10198" t="s">
        <v>237</v>
      </c>
      <c r="H10198" t="str">
        <f>" "</f>
        <v xml:space="preserve"> </v>
      </c>
      <c r="J10198">
        <v>2841051192</v>
      </c>
      <c r="K10198">
        <v>6945048812</v>
      </c>
      <c r="N10198" t="s">
        <v>1525</v>
      </c>
      <c r="O10198" t="s">
        <v>1526</v>
      </c>
      <c r="R10198" t="s">
        <v>57</v>
      </c>
      <c r="S10198">
        <v>7</v>
      </c>
      <c r="T10198">
        <v>207</v>
      </c>
      <c r="U10198" s="1">
        <v>37866</v>
      </c>
      <c r="V10198" t="s">
        <v>89</v>
      </c>
      <c r="W10198" t="s">
        <v>90</v>
      </c>
      <c r="X10198" t="s">
        <v>58</v>
      </c>
      <c r="Y10198">
        <v>25</v>
      </c>
      <c r="Z10198" t="s">
        <v>59</v>
      </c>
      <c r="AA10198" t="s">
        <v>59</v>
      </c>
      <c r="AB10198" t="s">
        <v>59</v>
      </c>
      <c r="AC10198" t="s">
        <v>59</v>
      </c>
      <c r="AD10198" t="s">
        <v>59</v>
      </c>
      <c r="AF10198" s="1">
        <v>37866</v>
      </c>
      <c r="AG10198" t="s">
        <v>8651</v>
      </c>
      <c r="AH10198" t="s">
        <v>8652</v>
      </c>
      <c r="AI10198" t="str">
        <f>"9500348"</f>
        <v>9500348</v>
      </c>
      <c r="AJ10198" t="s">
        <v>14450</v>
      </c>
      <c r="AK10198">
        <v>2821077606</v>
      </c>
      <c r="AL10198" t="s">
        <v>14451</v>
      </c>
      <c r="AM10198" t="s">
        <v>88</v>
      </c>
      <c r="AN10198" t="s">
        <v>88</v>
      </c>
      <c r="AO10198" t="s">
        <v>13920</v>
      </c>
      <c r="AP10198" t="s">
        <v>12838</v>
      </c>
      <c r="AQ10198">
        <v>10</v>
      </c>
      <c r="AR10198" t="s">
        <v>89</v>
      </c>
      <c r="AS10198" t="s">
        <v>90</v>
      </c>
      <c r="AT10198" t="s">
        <v>58</v>
      </c>
      <c r="AU10198" t="s">
        <v>68</v>
      </c>
      <c r="AV10198" t="s">
        <v>69</v>
      </c>
      <c r="AW10198" s="1">
        <v>28795</v>
      </c>
      <c r="AX10198">
        <v>1</v>
      </c>
    </row>
    <row r="10199" spans="1:50">
      <c r="A10199">
        <v>588204</v>
      </c>
      <c r="B10199" t="str">
        <f>"034699605"</f>
        <v>034699605</v>
      </c>
      <c r="C10199" t="s">
        <v>50</v>
      </c>
      <c r="D10199" t="s">
        <v>15154</v>
      </c>
      <c r="E10199" t="s">
        <v>237</v>
      </c>
      <c r="F10199" t="s">
        <v>5386</v>
      </c>
      <c r="G10199" t="s">
        <v>7857</v>
      </c>
      <c r="H10199" t="str">
        <f>"Κ.ΣΙΓΑΝΟΥ  ΠΑΡΕΝ  11 ΧΑΝΙΑ"</f>
        <v>Κ.ΣΙΓΑΝΟΥ  ΠΑΡΕΝ  11 ΧΑΝΙΑ</v>
      </c>
      <c r="I10199">
        <v>73134</v>
      </c>
      <c r="J10199">
        <v>2821055367</v>
      </c>
      <c r="K10199">
        <v>6947468185</v>
      </c>
      <c r="N10199" t="s">
        <v>615</v>
      </c>
      <c r="O10199" t="s">
        <v>616</v>
      </c>
      <c r="R10199" t="s">
        <v>57</v>
      </c>
      <c r="S10199">
        <v>9</v>
      </c>
      <c r="T10199">
        <v>176</v>
      </c>
      <c r="U10199" s="1">
        <v>36404</v>
      </c>
      <c r="V10199" t="s">
        <v>89</v>
      </c>
      <c r="W10199" t="s">
        <v>90</v>
      </c>
      <c r="X10199" t="s">
        <v>58</v>
      </c>
      <c r="Y10199">
        <v>22</v>
      </c>
      <c r="Z10199" t="s">
        <v>59</v>
      </c>
      <c r="AA10199" t="s">
        <v>59</v>
      </c>
      <c r="AB10199" t="s">
        <v>59</v>
      </c>
      <c r="AC10199" t="s">
        <v>59</v>
      </c>
      <c r="AD10199" t="s">
        <v>59</v>
      </c>
      <c r="AF10199" s="1">
        <v>36404</v>
      </c>
      <c r="AG10199" t="s">
        <v>8645</v>
      </c>
      <c r="AH10199" t="s">
        <v>8646</v>
      </c>
      <c r="AI10199" t="str">
        <f>"9500147"</f>
        <v>9500147</v>
      </c>
      <c r="AJ10199" t="s">
        <v>14008</v>
      </c>
      <c r="AK10199">
        <v>2821094573</v>
      </c>
      <c r="AL10199" t="s">
        <v>14009</v>
      </c>
      <c r="AM10199" t="s">
        <v>88</v>
      </c>
      <c r="AN10199" t="s">
        <v>88</v>
      </c>
      <c r="AO10199" t="s">
        <v>88</v>
      </c>
      <c r="AP10199" t="s">
        <v>88</v>
      </c>
      <c r="AQ10199">
        <v>1</v>
      </c>
      <c r="AR10199" t="s">
        <v>89</v>
      </c>
      <c r="AS10199" t="s">
        <v>90</v>
      </c>
      <c r="AT10199" t="s">
        <v>58</v>
      </c>
      <c r="AU10199" t="s">
        <v>68</v>
      </c>
      <c r="AV10199" t="s">
        <v>69</v>
      </c>
      <c r="AW10199" s="1">
        <v>23355</v>
      </c>
      <c r="AX10199">
        <v>1</v>
      </c>
    </row>
    <row r="10200" spans="1:50">
      <c r="A10200">
        <v>602030</v>
      </c>
      <c r="B10200" t="str">
        <f>"037188257"</f>
        <v>037188257</v>
      </c>
      <c r="C10200" t="s">
        <v>105</v>
      </c>
      <c r="D10200" t="s">
        <v>15155</v>
      </c>
      <c r="E10200" t="s">
        <v>377</v>
      </c>
      <c r="F10200" t="s">
        <v>84</v>
      </c>
      <c r="G10200" t="s">
        <v>513</v>
      </c>
      <c r="H10200" t="str">
        <f>"ΓΑΛΑΤΑ 4 ΧΑΝΙΑ"</f>
        <v>ΓΑΛΑΤΑ 4 ΧΑΝΙΑ</v>
      </c>
      <c r="I10200">
        <v>73134</v>
      </c>
      <c r="J10200">
        <v>2821042014</v>
      </c>
      <c r="K10200">
        <v>6932159881</v>
      </c>
      <c r="L10200">
        <v>495219493316</v>
      </c>
      <c r="N10200" t="s">
        <v>615</v>
      </c>
      <c r="O10200" t="s">
        <v>616</v>
      </c>
      <c r="R10200" t="s">
        <v>57</v>
      </c>
      <c r="S10200">
        <v>8</v>
      </c>
      <c r="T10200">
        <v>207</v>
      </c>
      <c r="U10200" s="1">
        <v>37866</v>
      </c>
      <c r="V10200" t="s">
        <v>89</v>
      </c>
      <c r="W10200" t="s">
        <v>90</v>
      </c>
      <c r="X10200" t="s">
        <v>58</v>
      </c>
      <c r="Y10200">
        <v>22</v>
      </c>
      <c r="Z10200" t="s">
        <v>59</v>
      </c>
      <c r="AA10200" t="s">
        <v>59</v>
      </c>
      <c r="AB10200" t="s">
        <v>59</v>
      </c>
      <c r="AC10200" t="s">
        <v>59</v>
      </c>
      <c r="AD10200" t="s">
        <v>59</v>
      </c>
      <c r="AF10200" s="1">
        <v>37866</v>
      </c>
      <c r="AG10200" t="s">
        <v>8645</v>
      </c>
      <c r="AH10200" t="s">
        <v>8646</v>
      </c>
      <c r="AI10200" t="str">
        <f>"9500078"</f>
        <v>9500078</v>
      </c>
      <c r="AJ10200" t="s">
        <v>13988</v>
      </c>
      <c r="AK10200">
        <v>2821028788</v>
      </c>
      <c r="AL10200" t="s">
        <v>13989</v>
      </c>
      <c r="AM10200" t="s">
        <v>88</v>
      </c>
      <c r="AN10200" t="s">
        <v>88</v>
      </c>
      <c r="AO10200" t="s">
        <v>88</v>
      </c>
      <c r="AP10200" t="s">
        <v>88</v>
      </c>
      <c r="AQ10200">
        <v>1</v>
      </c>
      <c r="AR10200" t="s">
        <v>89</v>
      </c>
      <c r="AS10200" t="s">
        <v>90</v>
      </c>
      <c r="AT10200" t="s">
        <v>58</v>
      </c>
      <c r="AU10200" t="s">
        <v>68</v>
      </c>
      <c r="AV10200" t="s">
        <v>69</v>
      </c>
      <c r="AW10200" s="1">
        <v>26489</v>
      </c>
      <c r="AX10200">
        <v>1</v>
      </c>
    </row>
    <row r="10201" spans="1:50">
      <c r="A10201">
        <v>571567</v>
      </c>
      <c r="B10201" t="str">
        <f>"135244360"</f>
        <v>135244360</v>
      </c>
      <c r="C10201" t="s">
        <v>50</v>
      </c>
      <c r="D10201" t="s">
        <v>15156</v>
      </c>
      <c r="E10201" t="s">
        <v>83</v>
      </c>
      <c r="F10201" t="s">
        <v>53</v>
      </c>
      <c r="G10201" t="s">
        <v>314</v>
      </c>
      <c r="H10201" t="str">
        <f>" "</f>
        <v xml:space="preserve"> </v>
      </c>
      <c r="N10201" t="s">
        <v>1525</v>
      </c>
      <c r="O10201" t="s">
        <v>1526</v>
      </c>
      <c r="R10201" t="s">
        <v>57</v>
      </c>
      <c r="S10201">
        <v>13</v>
      </c>
      <c r="T10201">
        <v>138</v>
      </c>
      <c r="U10201" s="1">
        <v>34206</v>
      </c>
      <c r="V10201" t="s">
        <v>89</v>
      </c>
      <c r="W10201" t="s">
        <v>90</v>
      </c>
      <c r="X10201" t="s">
        <v>58</v>
      </c>
      <c r="Y10201">
        <v>25</v>
      </c>
      <c r="Z10201" t="s">
        <v>59</v>
      </c>
      <c r="AA10201" t="s">
        <v>59</v>
      </c>
      <c r="AB10201" t="s">
        <v>59</v>
      </c>
      <c r="AC10201" t="s">
        <v>59</v>
      </c>
      <c r="AD10201" t="s">
        <v>59</v>
      </c>
      <c r="AF10201" s="1">
        <v>34206</v>
      </c>
      <c r="AG10201" t="s">
        <v>8651</v>
      </c>
      <c r="AH10201" t="s">
        <v>8652</v>
      </c>
      <c r="AI10201" t="str">
        <f>"9500291"</f>
        <v>9500291</v>
      </c>
      <c r="AJ10201" t="s">
        <v>14365</v>
      </c>
      <c r="AK10201">
        <v>2821081793</v>
      </c>
      <c r="AL10201" t="s">
        <v>14366</v>
      </c>
      <c r="AM10201" t="s">
        <v>88</v>
      </c>
      <c r="AN10201" t="s">
        <v>88</v>
      </c>
      <c r="AO10201" t="s">
        <v>6748</v>
      </c>
      <c r="AP10201" t="s">
        <v>14182</v>
      </c>
      <c r="AQ10201">
        <v>2</v>
      </c>
      <c r="AR10201" t="s">
        <v>89</v>
      </c>
      <c r="AS10201" t="s">
        <v>90</v>
      </c>
      <c r="AT10201" t="s">
        <v>58</v>
      </c>
      <c r="AU10201" t="s">
        <v>68</v>
      </c>
      <c r="AV10201" t="s">
        <v>69</v>
      </c>
      <c r="AW10201" s="1">
        <v>21628</v>
      </c>
      <c r="AX10201">
        <v>1</v>
      </c>
    </row>
    <row r="10202" spans="1:50">
      <c r="A10202">
        <v>703577</v>
      </c>
      <c r="B10202" t="str">
        <f>"301315226"</f>
        <v>301315226</v>
      </c>
      <c r="C10202" t="s">
        <v>50</v>
      </c>
      <c r="D10202" t="s">
        <v>15157</v>
      </c>
      <c r="E10202" t="s">
        <v>5342</v>
      </c>
      <c r="F10202" t="s">
        <v>670</v>
      </c>
      <c r="G10202" t="s">
        <v>620</v>
      </c>
      <c r="H10202" t="str">
        <f>"Δ.ΣΦΑΓΕΙΩΝ 2B "</f>
        <v xml:space="preserve">Δ.ΣΦΑΓΕΙΩΝ 2B </v>
      </c>
      <c r="I10202">
        <v>57200</v>
      </c>
      <c r="J10202">
        <v>0</v>
      </c>
      <c r="K10202">
        <v>6974326615</v>
      </c>
      <c r="N10202" t="s">
        <v>1525</v>
      </c>
      <c r="O10202" t="s">
        <v>1526</v>
      </c>
      <c r="R10202" t="s">
        <v>57</v>
      </c>
      <c r="S10202">
        <v>4</v>
      </c>
      <c r="T10202">
        <v>925</v>
      </c>
      <c r="U10202" s="1">
        <v>41158</v>
      </c>
      <c r="V10202" t="s">
        <v>89</v>
      </c>
      <c r="W10202" t="s">
        <v>90</v>
      </c>
      <c r="X10202" t="s">
        <v>58</v>
      </c>
      <c r="Y10202">
        <v>25</v>
      </c>
      <c r="Z10202" t="s">
        <v>59</v>
      </c>
      <c r="AA10202" t="s">
        <v>59</v>
      </c>
      <c r="AB10202" t="s">
        <v>59</v>
      </c>
      <c r="AC10202" t="s">
        <v>59</v>
      </c>
      <c r="AD10202" t="s">
        <v>59</v>
      </c>
      <c r="AF10202" s="1">
        <v>41158</v>
      </c>
      <c r="AG10202" t="s">
        <v>8651</v>
      </c>
      <c r="AH10202" t="s">
        <v>8652</v>
      </c>
      <c r="AI10202" t="str">
        <f>"9500417"</f>
        <v>9500417</v>
      </c>
      <c r="AJ10202" t="s">
        <v>14344</v>
      </c>
      <c r="AK10202">
        <v>2822032013</v>
      </c>
      <c r="AL10202" t="s">
        <v>14345</v>
      </c>
      <c r="AM10202" t="s">
        <v>88</v>
      </c>
      <c r="AN10202" t="s">
        <v>6744</v>
      </c>
      <c r="AO10202" t="s">
        <v>13863</v>
      </c>
      <c r="AP10202" t="s">
        <v>14346</v>
      </c>
      <c r="AQ10202">
        <v>9</v>
      </c>
      <c r="AR10202" t="s">
        <v>89</v>
      </c>
      <c r="AS10202" t="s">
        <v>90</v>
      </c>
      <c r="AT10202" t="s">
        <v>58</v>
      </c>
      <c r="AU10202" t="s">
        <v>68</v>
      </c>
      <c r="AV10202" t="s">
        <v>69</v>
      </c>
      <c r="AW10202" s="1">
        <v>30265</v>
      </c>
      <c r="AX10202">
        <v>1</v>
      </c>
    </row>
    <row r="10203" spans="1:50">
      <c r="B10203" t="str">
        <f>"131534661"</f>
        <v>131534661</v>
      </c>
      <c r="C10203" t="s">
        <v>50</v>
      </c>
      <c r="D10203" t="s">
        <v>15158</v>
      </c>
      <c r="E10203" t="s">
        <v>181</v>
      </c>
      <c r="F10203" t="s">
        <v>989</v>
      </c>
      <c r="G10203" t="s">
        <v>314</v>
      </c>
      <c r="H10203" t="str">
        <f>"ΕΠΙΣΚ.ΕΥΓΕΝΙΟΥ 14 "</f>
        <v xml:space="preserve">ΕΠΙΣΚ.ΕΥΓΕΝΙΟΥ 14 </v>
      </c>
      <c r="I10203">
        <v>50100</v>
      </c>
      <c r="J10203">
        <v>2461025264</v>
      </c>
      <c r="K10203">
        <v>6938073757</v>
      </c>
      <c r="N10203" t="s">
        <v>1525</v>
      </c>
      <c r="O10203" t="s">
        <v>1526</v>
      </c>
      <c r="R10203" t="s">
        <v>159</v>
      </c>
      <c r="S10203">
        <v>3</v>
      </c>
      <c r="T10203" t="s">
        <v>8670</v>
      </c>
      <c r="U10203" s="1">
        <v>43348</v>
      </c>
      <c r="V10203" t="s">
        <v>89</v>
      </c>
      <c r="W10203" t="s">
        <v>90</v>
      </c>
      <c r="X10203" t="s">
        <v>58</v>
      </c>
      <c r="Y10203">
        <v>25</v>
      </c>
      <c r="Z10203" t="s">
        <v>59</v>
      </c>
      <c r="AA10203" t="s">
        <v>59</v>
      </c>
      <c r="AB10203" t="s">
        <v>59</v>
      </c>
      <c r="AC10203" t="s">
        <v>59</v>
      </c>
      <c r="AD10203" t="s">
        <v>59</v>
      </c>
      <c r="AF10203" s="1">
        <v>43348</v>
      </c>
      <c r="AG10203" t="s">
        <v>8651</v>
      </c>
      <c r="AH10203" t="s">
        <v>8652</v>
      </c>
      <c r="AI10203" t="str">
        <f>"9500383"</f>
        <v>9500383</v>
      </c>
      <c r="AJ10203" t="s">
        <v>13908</v>
      </c>
      <c r="AK10203">
        <v>2821054010</v>
      </c>
      <c r="AL10203" t="s">
        <v>13909</v>
      </c>
      <c r="AM10203" t="s">
        <v>88</v>
      </c>
      <c r="AN10203" t="s">
        <v>88</v>
      </c>
      <c r="AO10203" t="s">
        <v>88</v>
      </c>
      <c r="AP10203" t="s">
        <v>88</v>
      </c>
      <c r="AQ10203">
        <v>1</v>
      </c>
      <c r="AR10203" t="s">
        <v>89</v>
      </c>
      <c r="AS10203" t="s">
        <v>90</v>
      </c>
      <c r="AT10203" t="s">
        <v>58</v>
      </c>
      <c r="AU10203" t="s">
        <v>8673</v>
      </c>
      <c r="AV10203" t="s">
        <v>132</v>
      </c>
      <c r="AW10203" s="1">
        <v>30544</v>
      </c>
      <c r="AX10203">
        <v>1</v>
      </c>
    </row>
    <row r="10204" spans="1:50">
      <c r="A10204">
        <v>595826</v>
      </c>
      <c r="B10204" t="str">
        <f>"064287566"</f>
        <v>064287566</v>
      </c>
      <c r="C10204" t="s">
        <v>50</v>
      </c>
      <c r="D10204" t="s">
        <v>10957</v>
      </c>
      <c r="E10204" t="s">
        <v>52</v>
      </c>
      <c r="F10204" t="s">
        <v>106</v>
      </c>
      <c r="G10204" t="s">
        <v>411</v>
      </c>
      <c r="H10204" t="str">
        <f>" "</f>
        <v xml:space="preserve"> </v>
      </c>
      <c r="N10204" t="s">
        <v>1525</v>
      </c>
      <c r="O10204" t="s">
        <v>1526</v>
      </c>
      <c r="R10204" t="s">
        <v>57</v>
      </c>
      <c r="S10204">
        <v>8</v>
      </c>
      <c r="T10204">
        <v>218</v>
      </c>
      <c r="U10204" s="1">
        <v>37134</v>
      </c>
      <c r="V10204" t="s">
        <v>89</v>
      </c>
      <c r="W10204" t="s">
        <v>90</v>
      </c>
      <c r="X10204" t="s">
        <v>58</v>
      </c>
      <c r="Y10204">
        <v>25</v>
      </c>
      <c r="Z10204" t="s">
        <v>59</v>
      </c>
      <c r="AA10204" t="s">
        <v>59</v>
      </c>
      <c r="AB10204" t="s">
        <v>59</v>
      </c>
      <c r="AC10204" t="s">
        <v>59</v>
      </c>
      <c r="AD10204" t="s">
        <v>59</v>
      </c>
      <c r="AF10204" s="1">
        <v>37134</v>
      </c>
      <c r="AG10204" t="s">
        <v>8651</v>
      </c>
      <c r="AH10204" t="s">
        <v>8652</v>
      </c>
      <c r="AI10204" t="str">
        <f>"9500047"</f>
        <v>9500047</v>
      </c>
      <c r="AJ10204" t="s">
        <v>14615</v>
      </c>
      <c r="AK10204">
        <v>2821089155</v>
      </c>
      <c r="AL10204" t="s">
        <v>14616</v>
      </c>
      <c r="AM10204" t="s">
        <v>88</v>
      </c>
      <c r="AN10204" t="s">
        <v>88</v>
      </c>
      <c r="AO10204" t="s">
        <v>6748</v>
      </c>
      <c r="AP10204" t="s">
        <v>6748</v>
      </c>
      <c r="AQ10204">
        <v>2</v>
      </c>
      <c r="AR10204" t="s">
        <v>89</v>
      </c>
      <c r="AS10204" t="s">
        <v>90</v>
      </c>
      <c r="AT10204" t="s">
        <v>58</v>
      </c>
      <c r="AU10204" t="s">
        <v>68</v>
      </c>
      <c r="AV10204" t="s">
        <v>69</v>
      </c>
      <c r="AW10204" s="1">
        <v>27237</v>
      </c>
      <c r="AX10204">
        <v>1</v>
      </c>
    </row>
    <row r="10205" spans="1:50">
      <c r="A10205">
        <v>590053</v>
      </c>
      <c r="B10205" t="str">
        <f>"050470374"</f>
        <v>050470374</v>
      </c>
      <c r="C10205" t="s">
        <v>50</v>
      </c>
      <c r="D10205" t="s">
        <v>15159</v>
      </c>
      <c r="E10205" t="s">
        <v>600</v>
      </c>
      <c r="F10205" t="s">
        <v>72</v>
      </c>
      <c r="G10205" t="s">
        <v>290</v>
      </c>
      <c r="H10205" t="str">
        <f>"ΜΑΡΓΟΥΝΙΟΥ   63Α ΧΑΝΙΑ"</f>
        <v>ΜΑΡΓΟΥΝΙΟΥ   63Α ΧΑΝΙΑ</v>
      </c>
      <c r="I10205">
        <v>73100</v>
      </c>
      <c r="J10205">
        <v>2821098507</v>
      </c>
      <c r="K10205">
        <v>6947996305</v>
      </c>
      <c r="N10205" t="s">
        <v>306</v>
      </c>
      <c r="O10205" t="s">
        <v>307</v>
      </c>
      <c r="R10205" t="s">
        <v>57</v>
      </c>
      <c r="S10205">
        <v>11</v>
      </c>
      <c r="T10205">
        <v>177</v>
      </c>
      <c r="U10205" s="1">
        <v>36403</v>
      </c>
      <c r="V10205" t="s">
        <v>89</v>
      </c>
      <c r="W10205" t="s">
        <v>90</v>
      </c>
      <c r="X10205" t="s">
        <v>58</v>
      </c>
      <c r="Y10205">
        <v>22</v>
      </c>
      <c r="Z10205" t="s">
        <v>59</v>
      </c>
      <c r="AA10205" t="s">
        <v>59</v>
      </c>
      <c r="AB10205" t="s">
        <v>59</v>
      </c>
      <c r="AC10205" t="s">
        <v>59</v>
      </c>
      <c r="AD10205" t="s">
        <v>59</v>
      </c>
      <c r="AF10205" s="1">
        <v>36403</v>
      </c>
      <c r="AG10205" t="s">
        <v>8645</v>
      </c>
      <c r="AH10205" t="s">
        <v>8646</v>
      </c>
      <c r="AI10205" t="str">
        <f>"9500119"</f>
        <v>9500119</v>
      </c>
      <c r="AJ10205" t="s">
        <v>14286</v>
      </c>
      <c r="AK10205">
        <v>2821095816</v>
      </c>
      <c r="AL10205" t="s">
        <v>14287</v>
      </c>
      <c r="AM10205" t="s">
        <v>88</v>
      </c>
      <c r="AN10205" t="s">
        <v>88</v>
      </c>
      <c r="AO10205" t="s">
        <v>13920</v>
      </c>
      <c r="AP10205" t="s">
        <v>14029</v>
      </c>
      <c r="AQ10205">
        <v>3</v>
      </c>
      <c r="AR10205" t="s">
        <v>89</v>
      </c>
      <c r="AS10205" t="s">
        <v>90</v>
      </c>
      <c r="AT10205" t="s">
        <v>58</v>
      </c>
      <c r="AU10205" t="s">
        <v>68</v>
      </c>
      <c r="AV10205" t="s">
        <v>69</v>
      </c>
      <c r="AW10205" s="1">
        <v>24975</v>
      </c>
      <c r="AX10205">
        <v>1</v>
      </c>
    </row>
    <row r="10206" spans="1:50">
      <c r="B10206" t="str">
        <f>"138620387"</f>
        <v>138620387</v>
      </c>
      <c r="C10206" t="s">
        <v>50</v>
      </c>
      <c r="D10206" t="s">
        <v>15160</v>
      </c>
      <c r="E10206" t="s">
        <v>714</v>
      </c>
      <c r="F10206" t="s">
        <v>1506</v>
      </c>
      <c r="G10206" t="s">
        <v>15161</v>
      </c>
      <c r="H10206" t="str">
        <f>"- "</f>
        <v xml:space="preserve">- </v>
      </c>
      <c r="I10206">
        <v>57200</v>
      </c>
      <c r="J10206">
        <v>2394054417</v>
      </c>
      <c r="K10206">
        <v>6983197221</v>
      </c>
      <c r="N10206" t="s">
        <v>8694</v>
      </c>
      <c r="O10206" t="s">
        <v>8695</v>
      </c>
      <c r="R10206" t="s">
        <v>159</v>
      </c>
      <c r="S10206">
        <v>3</v>
      </c>
      <c r="T10206" t="s">
        <v>8696</v>
      </c>
      <c r="U10206" s="1">
        <v>43348</v>
      </c>
      <c r="V10206" t="s">
        <v>89</v>
      </c>
      <c r="W10206" t="s">
        <v>90</v>
      </c>
      <c r="X10206" t="s">
        <v>58</v>
      </c>
      <c r="Y10206">
        <v>24</v>
      </c>
      <c r="Z10206" t="s">
        <v>59</v>
      </c>
      <c r="AA10206" t="s">
        <v>59</v>
      </c>
      <c r="AB10206" t="s">
        <v>59</v>
      </c>
      <c r="AC10206" t="s">
        <v>59</v>
      </c>
      <c r="AD10206" t="s">
        <v>59</v>
      </c>
      <c r="AF10206" s="1">
        <v>43348</v>
      </c>
      <c r="AG10206" t="s">
        <v>8645</v>
      </c>
      <c r="AH10206" t="s">
        <v>8646</v>
      </c>
      <c r="AI10206" t="str">
        <f>"9500148"</f>
        <v>9500148</v>
      </c>
      <c r="AJ10206" t="s">
        <v>13851</v>
      </c>
      <c r="AK10206">
        <v>2821068328</v>
      </c>
      <c r="AL10206" t="s">
        <v>13852</v>
      </c>
      <c r="AM10206" t="s">
        <v>88</v>
      </c>
      <c r="AN10206" t="s">
        <v>88</v>
      </c>
      <c r="AO10206" t="s">
        <v>6785</v>
      </c>
      <c r="AP10206" t="s">
        <v>13853</v>
      </c>
      <c r="AQ10206">
        <v>3</v>
      </c>
      <c r="AR10206" t="s">
        <v>89</v>
      </c>
      <c r="AS10206" t="s">
        <v>90</v>
      </c>
      <c r="AT10206" t="s">
        <v>58</v>
      </c>
      <c r="AU10206" t="s">
        <v>350</v>
      </c>
      <c r="AV10206" t="s">
        <v>132</v>
      </c>
      <c r="AW10206" s="1">
        <v>31812</v>
      </c>
      <c r="AX10206">
        <v>1</v>
      </c>
    </row>
    <row r="10207" spans="1:50">
      <c r="A10207">
        <v>615459</v>
      </c>
      <c r="B10207" t="str">
        <f>"131461848"</f>
        <v>131461848</v>
      </c>
      <c r="C10207" t="s">
        <v>50</v>
      </c>
      <c r="D10207" t="s">
        <v>15162</v>
      </c>
      <c r="E10207" t="s">
        <v>658</v>
      </c>
      <c r="F10207" t="s">
        <v>321</v>
      </c>
      <c r="G10207" t="s">
        <v>143</v>
      </c>
      <c r="H10207" t="str">
        <f>"ΚΑΡΚΑΒΑΤΣΟΥ 23 ΧΑΝΙΑ"</f>
        <v>ΚΑΡΚΑΒΑΤΣΟΥ 23 ΧΑΝΙΑ</v>
      </c>
      <c r="I10207">
        <v>73100</v>
      </c>
      <c r="J10207">
        <v>2821050547</v>
      </c>
      <c r="K10207">
        <v>6972082608</v>
      </c>
      <c r="N10207" t="s">
        <v>1525</v>
      </c>
      <c r="O10207" t="s">
        <v>1526</v>
      </c>
      <c r="R10207" t="s">
        <v>57</v>
      </c>
      <c r="S10207">
        <v>8</v>
      </c>
      <c r="T10207">
        <v>598</v>
      </c>
      <c r="U10207" s="1">
        <v>39310</v>
      </c>
      <c r="V10207" t="s">
        <v>89</v>
      </c>
      <c r="W10207" t="s">
        <v>90</v>
      </c>
      <c r="X10207" t="s">
        <v>58</v>
      </c>
      <c r="Y10207">
        <v>25</v>
      </c>
      <c r="Z10207" t="s">
        <v>59</v>
      </c>
      <c r="AA10207" t="s">
        <v>59</v>
      </c>
      <c r="AB10207" t="s">
        <v>59</v>
      </c>
      <c r="AC10207" t="s">
        <v>59</v>
      </c>
      <c r="AD10207" t="s">
        <v>59</v>
      </c>
      <c r="AF10207" s="1">
        <v>39328</v>
      </c>
      <c r="AG10207" t="s">
        <v>8651</v>
      </c>
      <c r="AH10207" t="s">
        <v>8652</v>
      </c>
      <c r="AI10207" t="str">
        <f>"9500387"</f>
        <v>9500387</v>
      </c>
      <c r="AJ10207" t="s">
        <v>14881</v>
      </c>
      <c r="AK10207">
        <v>2824022332</v>
      </c>
      <c r="AL10207" t="s">
        <v>14882</v>
      </c>
      <c r="AM10207" t="s">
        <v>88</v>
      </c>
      <c r="AN10207" t="s">
        <v>6764</v>
      </c>
      <c r="AO10207" t="s">
        <v>6799</v>
      </c>
      <c r="AP10207" t="s">
        <v>6523</v>
      </c>
      <c r="AQ10207">
        <v>6</v>
      </c>
      <c r="AR10207" t="s">
        <v>89</v>
      </c>
      <c r="AS10207" t="s">
        <v>90</v>
      </c>
      <c r="AT10207" t="s">
        <v>58</v>
      </c>
      <c r="AU10207" t="s">
        <v>68</v>
      </c>
      <c r="AV10207" t="s">
        <v>69</v>
      </c>
      <c r="AW10207" s="1">
        <v>28673</v>
      </c>
      <c r="AX10207">
        <v>1</v>
      </c>
    </row>
    <row r="10208" spans="1:50">
      <c r="A10208">
        <v>594443</v>
      </c>
      <c r="B10208" t="str">
        <f>"065307870"</f>
        <v>065307870</v>
      </c>
      <c r="C10208" t="s">
        <v>105</v>
      </c>
      <c r="D10208" t="s">
        <v>3094</v>
      </c>
      <c r="E10208" t="s">
        <v>72</v>
      </c>
      <c r="F10208" t="s">
        <v>84</v>
      </c>
      <c r="G10208" t="s">
        <v>2088</v>
      </c>
      <c r="H10208" t="str">
        <f>"Κ.ΜΗΤΣΟΤΑΚΗ   29-31 ΧΑΝΙΑ"</f>
        <v>Κ.ΜΗΤΣΟΤΑΚΗ   29-31 ΧΑΝΙΑ</v>
      </c>
      <c r="I10208">
        <v>73100</v>
      </c>
      <c r="J10208">
        <v>2821058706</v>
      </c>
      <c r="K10208">
        <v>6938079843</v>
      </c>
      <c r="N10208" t="s">
        <v>615</v>
      </c>
      <c r="O10208" t="s">
        <v>616</v>
      </c>
      <c r="R10208" t="s">
        <v>57</v>
      </c>
      <c r="S10208">
        <v>9</v>
      </c>
      <c r="T10208">
        <v>218</v>
      </c>
      <c r="U10208" s="1">
        <v>37134</v>
      </c>
      <c r="V10208" t="s">
        <v>89</v>
      </c>
      <c r="W10208" t="s">
        <v>90</v>
      </c>
      <c r="X10208" t="s">
        <v>58</v>
      </c>
      <c r="Y10208">
        <v>22</v>
      </c>
      <c r="Z10208" t="s">
        <v>59</v>
      </c>
      <c r="AA10208" t="s">
        <v>59</v>
      </c>
      <c r="AB10208" t="s">
        <v>59</v>
      </c>
      <c r="AC10208" t="s">
        <v>59</v>
      </c>
      <c r="AD10208" t="s">
        <v>59</v>
      </c>
      <c r="AF10208" s="1">
        <v>37134</v>
      </c>
      <c r="AG10208" t="s">
        <v>8645</v>
      </c>
      <c r="AH10208" t="s">
        <v>8646</v>
      </c>
      <c r="AI10208" t="str">
        <f>"9500320"</f>
        <v>9500320</v>
      </c>
      <c r="AJ10208" t="s">
        <v>14100</v>
      </c>
      <c r="AK10208">
        <v>2821099577</v>
      </c>
      <c r="AL10208" t="s">
        <v>14101</v>
      </c>
      <c r="AM10208" t="s">
        <v>88</v>
      </c>
      <c r="AN10208" t="s">
        <v>88</v>
      </c>
      <c r="AO10208" t="s">
        <v>88</v>
      </c>
      <c r="AP10208" t="s">
        <v>88</v>
      </c>
      <c r="AQ10208">
        <v>1</v>
      </c>
      <c r="AR10208" t="s">
        <v>89</v>
      </c>
      <c r="AS10208" t="s">
        <v>90</v>
      </c>
      <c r="AT10208" t="s">
        <v>58</v>
      </c>
      <c r="AU10208" t="s">
        <v>68</v>
      </c>
      <c r="AV10208" t="s">
        <v>69</v>
      </c>
      <c r="AW10208" s="1">
        <v>26045</v>
      </c>
      <c r="AX10208">
        <v>1</v>
      </c>
    </row>
    <row r="10209" spans="1:50">
      <c r="A10209">
        <v>599466</v>
      </c>
      <c r="B10209" t="str">
        <f>"075072026"</f>
        <v>075072026</v>
      </c>
      <c r="C10209" t="s">
        <v>105</v>
      </c>
      <c r="D10209" t="s">
        <v>3094</v>
      </c>
      <c r="E10209" t="s">
        <v>9688</v>
      </c>
      <c r="F10209" t="s">
        <v>72</v>
      </c>
      <c r="G10209" t="s">
        <v>1286</v>
      </c>
      <c r="H10209" t="str">
        <f>"ΠΑΛΑΙΑ  ΡΟΥΜΑΤΑ ΒΟΥΚΟΛΙΕΣ"</f>
        <v>ΠΑΛΑΙΑ  ΡΟΥΜΑΤΑ ΒΟΥΚΟΛΙΕΣ</v>
      </c>
      <c r="I10209">
        <v>73002</v>
      </c>
      <c r="J10209">
        <v>2821052189</v>
      </c>
      <c r="K10209">
        <v>6932157485</v>
      </c>
      <c r="L10209">
        <v>6932157485</v>
      </c>
      <c r="M10209" t="s">
        <v>15163</v>
      </c>
      <c r="N10209" t="s">
        <v>615</v>
      </c>
      <c r="O10209" t="s">
        <v>616</v>
      </c>
      <c r="R10209" t="s">
        <v>57</v>
      </c>
      <c r="S10209">
        <v>9</v>
      </c>
      <c r="T10209">
        <v>195</v>
      </c>
      <c r="U10209" s="1">
        <v>37497</v>
      </c>
      <c r="V10209" t="s">
        <v>89</v>
      </c>
      <c r="W10209" t="s">
        <v>90</v>
      </c>
      <c r="X10209" t="s">
        <v>58</v>
      </c>
      <c r="Y10209">
        <v>22</v>
      </c>
      <c r="Z10209" t="s">
        <v>59</v>
      </c>
      <c r="AA10209" t="s">
        <v>59</v>
      </c>
      <c r="AB10209" t="s">
        <v>59</v>
      </c>
      <c r="AC10209" t="s">
        <v>59</v>
      </c>
      <c r="AD10209" t="s">
        <v>59</v>
      </c>
      <c r="AF10209" s="1">
        <v>37497</v>
      </c>
      <c r="AG10209" t="s">
        <v>8645</v>
      </c>
      <c r="AH10209" t="s">
        <v>8646</v>
      </c>
      <c r="AI10209" t="str">
        <f>"9500153"</f>
        <v>9500153</v>
      </c>
      <c r="AJ10209" t="s">
        <v>14103</v>
      </c>
      <c r="AK10209">
        <v>2821061267</v>
      </c>
      <c r="AL10209" t="s">
        <v>14104</v>
      </c>
      <c r="AM10209" t="s">
        <v>88</v>
      </c>
      <c r="AN10209" t="s">
        <v>6764</v>
      </c>
      <c r="AO10209" t="s">
        <v>6764</v>
      </c>
      <c r="AP10209" t="s">
        <v>12913</v>
      </c>
      <c r="AQ10209">
        <v>10</v>
      </c>
      <c r="AR10209" t="s">
        <v>89</v>
      </c>
      <c r="AS10209" t="s">
        <v>90</v>
      </c>
      <c r="AT10209" t="s">
        <v>58</v>
      </c>
      <c r="AU10209" t="s">
        <v>68</v>
      </c>
      <c r="AV10209" t="s">
        <v>69</v>
      </c>
      <c r="AW10209" s="1">
        <v>25793</v>
      </c>
      <c r="AX10209">
        <v>1</v>
      </c>
    </row>
    <row r="10210" spans="1:50">
      <c r="A10210">
        <v>608911</v>
      </c>
      <c r="B10210" t="str">
        <f>"113223389"</f>
        <v>113223389</v>
      </c>
      <c r="C10210" t="s">
        <v>50</v>
      </c>
      <c r="D10210" t="s">
        <v>3101</v>
      </c>
      <c r="E10210" t="s">
        <v>934</v>
      </c>
      <c r="F10210" t="s">
        <v>95</v>
      </c>
      <c r="G10210" t="s">
        <v>484</v>
      </c>
      <c r="H10210" t="str">
        <f>"ΚΟΥΝΟΥΠΙΔΙΑΝΑ "</f>
        <v xml:space="preserve">ΚΟΥΝΟΥΠΙΔΙΑΝΑ </v>
      </c>
      <c r="I10210">
        <v>73142</v>
      </c>
      <c r="J10210">
        <v>2610432240</v>
      </c>
      <c r="K10210">
        <v>6972498350</v>
      </c>
      <c r="N10210" t="s">
        <v>1525</v>
      </c>
      <c r="O10210" t="s">
        <v>1526</v>
      </c>
      <c r="R10210" t="s">
        <v>57</v>
      </c>
      <c r="S10210">
        <v>6</v>
      </c>
      <c r="T10210">
        <v>217</v>
      </c>
      <c r="U10210" s="1">
        <v>38596</v>
      </c>
      <c r="V10210" t="s">
        <v>89</v>
      </c>
      <c r="W10210" t="s">
        <v>90</v>
      </c>
      <c r="X10210" t="s">
        <v>58</v>
      </c>
      <c r="Y10210">
        <v>25</v>
      </c>
      <c r="Z10210" t="s">
        <v>59</v>
      </c>
      <c r="AA10210" t="s">
        <v>59</v>
      </c>
      <c r="AB10210" t="s">
        <v>59</v>
      </c>
      <c r="AC10210" t="s">
        <v>59</v>
      </c>
      <c r="AD10210" t="s">
        <v>59</v>
      </c>
      <c r="AF10210" s="1">
        <v>38596</v>
      </c>
      <c r="AG10210" t="s">
        <v>8651</v>
      </c>
      <c r="AH10210" t="s">
        <v>8652</v>
      </c>
      <c r="AI10210" t="str">
        <f>"9500295"</f>
        <v>9500295</v>
      </c>
      <c r="AJ10210" t="s">
        <v>14416</v>
      </c>
      <c r="AK10210">
        <v>2821039559</v>
      </c>
      <c r="AL10210" t="s">
        <v>14417</v>
      </c>
      <c r="AM10210" t="s">
        <v>88</v>
      </c>
      <c r="AN10210" t="s">
        <v>88</v>
      </c>
      <c r="AO10210" t="s">
        <v>6770</v>
      </c>
      <c r="AP10210" t="s">
        <v>6771</v>
      </c>
      <c r="AQ10210">
        <v>2</v>
      </c>
      <c r="AR10210" t="s">
        <v>89</v>
      </c>
      <c r="AS10210" t="s">
        <v>90</v>
      </c>
      <c r="AT10210" t="s">
        <v>58</v>
      </c>
      <c r="AU10210" t="s">
        <v>68</v>
      </c>
      <c r="AV10210" t="s">
        <v>69</v>
      </c>
      <c r="AW10210" s="1">
        <v>29278</v>
      </c>
      <c r="AX10210">
        <v>1</v>
      </c>
    </row>
    <row r="10211" spans="1:50">
      <c r="A10211">
        <v>613062</v>
      </c>
      <c r="B10211" t="str">
        <f>"101121714"</f>
        <v>101121714</v>
      </c>
      <c r="C10211" t="s">
        <v>50</v>
      </c>
      <c r="D10211" t="s">
        <v>1270</v>
      </c>
      <c r="E10211" t="s">
        <v>620</v>
      </c>
      <c r="F10211" t="s">
        <v>15164</v>
      </c>
      <c r="G10211" t="s">
        <v>143</v>
      </c>
      <c r="H10211" t="str">
        <f>"ΚΑΠΟΔΙΣΤΡΙΟΥ 14 ΠΕΙΡΑΙΑΣ"</f>
        <v>ΚΑΠΟΔΙΣΤΡΙΟΥ 14 ΠΕΙΡΑΙΑΣ</v>
      </c>
      <c r="I10211">
        <v>18758</v>
      </c>
      <c r="J10211">
        <v>2104327693</v>
      </c>
      <c r="K10211">
        <v>6948534578</v>
      </c>
      <c r="L10211">
        <v>2821049241</v>
      </c>
      <c r="M10211" t="s">
        <v>15165</v>
      </c>
      <c r="N10211" t="s">
        <v>615</v>
      </c>
      <c r="O10211" t="s">
        <v>616</v>
      </c>
      <c r="R10211" t="s">
        <v>57</v>
      </c>
      <c r="S10211">
        <v>6</v>
      </c>
      <c r="T10211">
        <v>598</v>
      </c>
      <c r="U10211" s="1">
        <v>39310</v>
      </c>
      <c r="V10211" t="s">
        <v>89</v>
      </c>
      <c r="W10211" t="s">
        <v>90</v>
      </c>
      <c r="X10211" t="s">
        <v>58</v>
      </c>
      <c r="Y10211">
        <v>23</v>
      </c>
      <c r="Z10211" t="s">
        <v>59</v>
      </c>
      <c r="AA10211" t="s">
        <v>59</v>
      </c>
      <c r="AB10211" t="s">
        <v>59</v>
      </c>
      <c r="AC10211" t="s">
        <v>59</v>
      </c>
      <c r="AD10211" t="s">
        <v>59</v>
      </c>
      <c r="AF10211" s="1">
        <v>39310</v>
      </c>
      <c r="AG10211" t="s">
        <v>8645</v>
      </c>
      <c r="AH10211" t="s">
        <v>8646</v>
      </c>
      <c r="AI10211" t="str">
        <f>"9500115"</f>
        <v>9500115</v>
      </c>
      <c r="AJ10211" t="s">
        <v>14180</v>
      </c>
      <c r="AK10211">
        <v>2821081133</v>
      </c>
      <c r="AL10211" t="s">
        <v>14181</v>
      </c>
      <c r="AM10211" t="s">
        <v>88</v>
      </c>
      <c r="AN10211" t="s">
        <v>88</v>
      </c>
      <c r="AO10211" t="s">
        <v>6748</v>
      </c>
      <c r="AP10211" t="s">
        <v>14182</v>
      </c>
      <c r="AQ10211">
        <v>2</v>
      </c>
      <c r="AR10211" t="s">
        <v>89</v>
      </c>
      <c r="AS10211" t="s">
        <v>90</v>
      </c>
      <c r="AT10211" t="s">
        <v>58</v>
      </c>
      <c r="AU10211" t="s">
        <v>68</v>
      </c>
      <c r="AV10211" t="s">
        <v>69</v>
      </c>
      <c r="AW10211" s="1">
        <v>29954</v>
      </c>
      <c r="AX10211">
        <v>1</v>
      </c>
    </row>
    <row r="10212" spans="1:50">
      <c r="A10212">
        <v>619700</v>
      </c>
      <c r="B10212" t="str">
        <f>"122957696"</f>
        <v>122957696</v>
      </c>
      <c r="C10212" t="s">
        <v>50</v>
      </c>
      <c r="D10212" t="s">
        <v>15166</v>
      </c>
      <c r="E10212" t="s">
        <v>237</v>
      </c>
      <c r="F10212" t="s">
        <v>95</v>
      </c>
      <c r="G10212" t="s">
        <v>610</v>
      </c>
      <c r="H10212" t="str">
        <f>"ΣΑΡΑΒΕΛΑΚΗ-ΔΑΡΑΤΣΟ  ΔΑΡΑΤΣΟ ΧΑΝΙΑ"</f>
        <v>ΣΑΡΑΒΕΛΑΚΗ-ΔΑΡΑΤΣΟ  ΔΑΡΑΤΣΟ ΧΑΝΙΑ</v>
      </c>
      <c r="I10212">
        <v>73100</v>
      </c>
      <c r="J10212">
        <v>2821033470</v>
      </c>
      <c r="K10212">
        <v>6974892551</v>
      </c>
      <c r="N10212" t="s">
        <v>306</v>
      </c>
      <c r="O10212" t="s">
        <v>307</v>
      </c>
      <c r="R10212" t="s">
        <v>57</v>
      </c>
      <c r="S10212">
        <v>7</v>
      </c>
      <c r="T10212">
        <v>775</v>
      </c>
      <c r="U10212" s="1">
        <v>39680</v>
      </c>
      <c r="V10212" t="s">
        <v>89</v>
      </c>
      <c r="W10212" t="s">
        <v>90</v>
      </c>
      <c r="X10212" t="s">
        <v>58</v>
      </c>
      <c r="Y10212">
        <v>23</v>
      </c>
      <c r="Z10212" t="s">
        <v>59</v>
      </c>
      <c r="AA10212" t="s">
        <v>59</v>
      </c>
      <c r="AB10212" t="s">
        <v>59</v>
      </c>
      <c r="AC10212" t="s">
        <v>59</v>
      </c>
      <c r="AD10212" t="s">
        <v>59</v>
      </c>
      <c r="AF10212" s="1">
        <v>39681</v>
      </c>
      <c r="AG10212" t="s">
        <v>8645</v>
      </c>
      <c r="AH10212" t="s">
        <v>8646</v>
      </c>
      <c r="AI10212" t="str">
        <f>"9500403"</f>
        <v>9500403</v>
      </c>
      <c r="AJ10212" t="s">
        <v>14230</v>
      </c>
      <c r="AK10212">
        <v>2821034094</v>
      </c>
      <c r="AL10212" t="s">
        <v>14231</v>
      </c>
      <c r="AM10212" t="s">
        <v>88</v>
      </c>
      <c r="AN10212" t="s">
        <v>88</v>
      </c>
      <c r="AO10212" t="s">
        <v>6785</v>
      </c>
      <c r="AP10212" t="s">
        <v>13932</v>
      </c>
      <c r="AQ10212">
        <v>3</v>
      </c>
      <c r="AR10212" t="s">
        <v>89</v>
      </c>
      <c r="AS10212" t="s">
        <v>90</v>
      </c>
      <c r="AT10212" t="s">
        <v>58</v>
      </c>
      <c r="AU10212" t="s">
        <v>68</v>
      </c>
      <c r="AV10212" t="s">
        <v>69</v>
      </c>
      <c r="AW10212" s="1">
        <v>28670</v>
      </c>
      <c r="AX10212">
        <v>1</v>
      </c>
    </row>
    <row r="10213" spans="1:50">
      <c r="A10213">
        <v>599484</v>
      </c>
      <c r="B10213" t="str">
        <f>"045880172"</f>
        <v>045880172</v>
      </c>
      <c r="C10213" t="s">
        <v>50</v>
      </c>
      <c r="D10213" t="s">
        <v>8025</v>
      </c>
      <c r="E10213" t="s">
        <v>215</v>
      </c>
      <c r="F10213" t="s">
        <v>989</v>
      </c>
      <c r="G10213" t="s">
        <v>5062</v>
      </c>
      <c r="H10213" t="str">
        <f>"Ν. ΣΟΥΚΑΤΖΙΔΗ 20 ΧΑΝΙΑ"</f>
        <v>Ν. ΣΟΥΚΑΤΖΙΔΗ 20 ΧΑΝΙΑ</v>
      </c>
      <c r="I10213">
        <v>73135</v>
      </c>
      <c r="J10213">
        <v>2821095711</v>
      </c>
      <c r="K10213">
        <v>6944208967</v>
      </c>
      <c r="N10213" t="s">
        <v>615</v>
      </c>
      <c r="O10213" t="s">
        <v>616</v>
      </c>
      <c r="R10213" t="s">
        <v>57</v>
      </c>
      <c r="S10213">
        <v>8</v>
      </c>
      <c r="T10213">
        <v>195</v>
      </c>
      <c r="U10213" s="1">
        <v>37497</v>
      </c>
      <c r="V10213" t="s">
        <v>89</v>
      </c>
      <c r="W10213" t="s">
        <v>90</v>
      </c>
      <c r="X10213" t="s">
        <v>58</v>
      </c>
      <c r="Y10213">
        <v>22</v>
      </c>
      <c r="Z10213" t="s">
        <v>59</v>
      </c>
      <c r="AA10213" t="s">
        <v>59</v>
      </c>
      <c r="AB10213" t="s">
        <v>59</v>
      </c>
      <c r="AC10213" t="s">
        <v>59</v>
      </c>
      <c r="AD10213" t="s">
        <v>59</v>
      </c>
      <c r="AF10213" s="1">
        <v>37497</v>
      </c>
      <c r="AG10213" t="s">
        <v>8645</v>
      </c>
      <c r="AH10213" t="s">
        <v>8646</v>
      </c>
      <c r="AI10213" t="str">
        <f>"9500071"</f>
        <v>9500071</v>
      </c>
      <c r="AJ10213" t="s">
        <v>14209</v>
      </c>
      <c r="AK10213">
        <v>2821093760</v>
      </c>
      <c r="AL10213" t="s">
        <v>14210</v>
      </c>
      <c r="AM10213" t="s">
        <v>88</v>
      </c>
      <c r="AN10213" t="s">
        <v>88</v>
      </c>
      <c r="AO10213" t="s">
        <v>88</v>
      </c>
      <c r="AP10213" t="s">
        <v>88</v>
      </c>
      <c r="AQ10213">
        <v>1</v>
      </c>
      <c r="AR10213" t="s">
        <v>89</v>
      </c>
      <c r="AS10213" t="s">
        <v>90</v>
      </c>
      <c r="AT10213" t="s">
        <v>58</v>
      </c>
      <c r="AU10213" t="s">
        <v>68</v>
      </c>
      <c r="AV10213" t="s">
        <v>69</v>
      </c>
      <c r="AW10213" s="1">
        <v>26588</v>
      </c>
      <c r="AX10213">
        <v>1</v>
      </c>
    </row>
    <row r="10214" spans="1:50">
      <c r="A10214">
        <v>701381</v>
      </c>
      <c r="B10214" t="str">
        <f>"101562280"</f>
        <v>101562280</v>
      </c>
      <c r="C10214" t="s">
        <v>50</v>
      </c>
      <c r="D10214" t="s">
        <v>8025</v>
      </c>
      <c r="E10214" t="s">
        <v>181</v>
      </c>
      <c r="F10214" t="s">
        <v>304</v>
      </c>
      <c r="G10214" t="s">
        <v>73</v>
      </c>
      <c r="H10214" t="str">
        <f>"ΜΑΡΚΟΡΑ 27 ΧΑΝΙΑ"</f>
        <v>ΜΑΡΚΟΡΑ 27 ΧΑΝΙΑ</v>
      </c>
      <c r="I10214">
        <v>73100</v>
      </c>
      <c r="J10214">
        <v>2821059603</v>
      </c>
      <c r="K10214">
        <v>6942929623</v>
      </c>
      <c r="L10214">
        <v>2821059603</v>
      </c>
      <c r="N10214" t="s">
        <v>615</v>
      </c>
      <c r="O10214" t="s">
        <v>616</v>
      </c>
      <c r="R10214" t="s">
        <v>57</v>
      </c>
      <c r="S10214">
        <v>5</v>
      </c>
      <c r="T10214">
        <v>772</v>
      </c>
      <c r="U10214" s="1">
        <v>40413</v>
      </c>
      <c r="V10214" t="s">
        <v>89</v>
      </c>
      <c r="W10214" t="s">
        <v>90</v>
      </c>
      <c r="X10214" t="s">
        <v>58</v>
      </c>
      <c r="Y10214">
        <v>23</v>
      </c>
      <c r="Z10214" t="s">
        <v>59</v>
      </c>
      <c r="AA10214" t="s">
        <v>59</v>
      </c>
      <c r="AB10214" t="s">
        <v>59</v>
      </c>
      <c r="AC10214" t="s">
        <v>59</v>
      </c>
      <c r="AD10214" t="s">
        <v>59</v>
      </c>
      <c r="AF10214" s="1">
        <v>40413</v>
      </c>
      <c r="AG10214" t="s">
        <v>8645</v>
      </c>
      <c r="AH10214" t="s">
        <v>8646</v>
      </c>
      <c r="AI10214" t="str">
        <f>"9500320"</f>
        <v>9500320</v>
      </c>
      <c r="AJ10214" t="s">
        <v>14100</v>
      </c>
      <c r="AK10214">
        <v>2821099577</v>
      </c>
      <c r="AL10214" t="s">
        <v>14101</v>
      </c>
      <c r="AM10214" t="s">
        <v>88</v>
      </c>
      <c r="AN10214" t="s">
        <v>88</v>
      </c>
      <c r="AO10214" t="s">
        <v>88</v>
      </c>
      <c r="AP10214" t="s">
        <v>88</v>
      </c>
      <c r="AQ10214">
        <v>1</v>
      </c>
      <c r="AR10214" t="s">
        <v>89</v>
      </c>
      <c r="AS10214" t="s">
        <v>90</v>
      </c>
      <c r="AT10214" t="s">
        <v>58</v>
      </c>
      <c r="AU10214" t="s">
        <v>68</v>
      </c>
      <c r="AV10214" t="s">
        <v>69</v>
      </c>
      <c r="AW10214" s="1">
        <v>29865</v>
      </c>
      <c r="AX10214">
        <v>1</v>
      </c>
    </row>
    <row r="10215" spans="1:50">
      <c r="A10215">
        <v>613287</v>
      </c>
      <c r="B10215" t="str">
        <f>"101562267"</f>
        <v>101562267</v>
      </c>
      <c r="C10215" t="s">
        <v>50</v>
      </c>
      <c r="D10215" t="s">
        <v>8025</v>
      </c>
      <c r="E10215" t="s">
        <v>2235</v>
      </c>
      <c r="F10215" t="s">
        <v>5386</v>
      </c>
      <c r="G10215" t="s">
        <v>73</v>
      </c>
      <c r="H10215" t="str">
        <f>"ΠΡΟΦΗΤΗ ΗΛΙΑ 35 ΧΑΝΙΑ"</f>
        <v>ΠΡΟΦΗΤΗ ΗΛΙΑ 35 ΧΑΝΙΑ</v>
      </c>
      <c r="I10215">
        <v>73100</v>
      </c>
      <c r="K10215">
        <v>6977247069</v>
      </c>
      <c r="N10215" t="s">
        <v>615</v>
      </c>
      <c r="O10215" t="s">
        <v>616</v>
      </c>
      <c r="R10215" t="s">
        <v>57</v>
      </c>
      <c r="S10215">
        <v>6</v>
      </c>
      <c r="T10215">
        <v>598</v>
      </c>
      <c r="U10215" s="1">
        <v>39328</v>
      </c>
      <c r="V10215" t="s">
        <v>89</v>
      </c>
      <c r="W10215" t="s">
        <v>90</v>
      </c>
      <c r="X10215" t="s">
        <v>58</v>
      </c>
      <c r="Y10215">
        <v>23</v>
      </c>
      <c r="Z10215" t="s">
        <v>59</v>
      </c>
      <c r="AA10215" t="s">
        <v>59</v>
      </c>
      <c r="AB10215" t="s">
        <v>59</v>
      </c>
      <c r="AC10215" t="s">
        <v>59</v>
      </c>
      <c r="AD10215" t="s">
        <v>59</v>
      </c>
      <c r="AF10215" s="1">
        <v>39328</v>
      </c>
      <c r="AG10215" t="s">
        <v>8645</v>
      </c>
      <c r="AH10215" t="s">
        <v>8646</v>
      </c>
      <c r="AI10215" t="str">
        <f>"9500107"</f>
        <v>9500107</v>
      </c>
      <c r="AJ10215" t="s">
        <v>13918</v>
      </c>
      <c r="AK10215">
        <v>2821096244</v>
      </c>
      <c r="AL10215" t="s">
        <v>13919</v>
      </c>
      <c r="AM10215" t="s">
        <v>88</v>
      </c>
      <c r="AN10215" t="s">
        <v>88</v>
      </c>
      <c r="AO10215" t="s">
        <v>13920</v>
      </c>
      <c r="AP10215" t="s">
        <v>13921</v>
      </c>
      <c r="AQ10215">
        <v>3</v>
      </c>
      <c r="AR10215" t="s">
        <v>89</v>
      </c>
      <c r="AS10215" t="s">
        <v>90</v>
      </c>
      <c r="AT10215" t="s">
        <v>58</v>
      </c>
      <c r="AU10215" t="s">
        <v>68</v>
      </c>
      <c r="AV10215" t="s">
        <v>69</v>
      </c>
      <c r="AW10215" s="1">
        <v>30187</v>
      </c>
      <c r="AX10215">
        <v>1</v>
      </c>
    </row>
    <row r="10216" spans="1:50">
      <c r="B10216" t="str">
        <f>"142665630"</f>
        <v>142665630</v>
      </c>
      <c r="C10216" t="s">
        <v>50</v>
      </c>
      <c r="D10216" t="s">
        <v>3123</v>
      </c>
      <c r="E10216" t="s">
        <v>52</v>
      </c>
      <c r="F10216" t="s">
        <v>95</v>
      </c>
      <c r="G10216" t="s">
        <v>109</v>
      </c>
      <c r="H10216" t="str">
        <f>"ΚΩΝΣΤΑΝΤΙΝΟΥΠΟΛΕΩΣ 40 "</f>
        <v xml:space="preserve">ΚΩΝΣΤΑΝΤΙΝΟΥΠΟΛΕΩΣ 40 </v>
      </c>
      <c r="I10216">
        <v>62133</v>
      </c>
      <c r="J10216">
        <v>2321026484</v>
      </c>
      <c r="K10216">
        <v>6945156622</v>
      </c>
      <c r="N10216" t="s">
        <v>615</v>
      </c>
      <c r="O10216" t="s">
        <v>616</v>
      </c>
      <c r="R10216" t="s">
        <v>159</v>
      </c>
      <c r="S10216">
        <v>3</v>
      </c>
      <c r="T10216" t="s">
        <v>8675</v>
      </c>
      <c r="U10216" s="1">
        <v>43348</v>
      </c>
      <c r="V10216" t="s">
        <v>89</v>
      </c>
      <c r="W10216" t="s">
        <v>90</v>
      </c>
      <c r="X10216" t="s">
        <v>58</v>
      </c>
      <c r="Y10216">
        <v>24</v>
      </c>
      <c r="Z10216" t="s">
        <v>59</v>
      </c>
      <c r="AA10216" t="s">
        <v>59</v>
      </c>
      <c r="AB10216" t="s">
        <v>59</v>
      </c>
      <c r="AC10216" t="s">
        <v>59</v>
      </c>
      <c r="AD10216" t="s">
        <v>59</v>
      </c>
      <c r="AF10216" s="1">
        <v>43348</v>
      </c>
      <c r="AG10216" t="s">
        <v>8645</v>
      </c>
      <c r="AH10216" t="s">
        <v>8646</v>
      </c>
      <c r="AI10216" t="str">
        <f>"9500115"</f>
        <v>9500115</v>
      </c>
      <c r="AJ10216" t="s">
        <v>14180</v>
      </c>
      <c r="AK10216">
        <v>2821081133</v>
      </c>
      <c r="AL10216" t="s">
        <v>14181</v>
      </c>
      <c r="AM10216" t="s">
        <v>88</v>
      </c>
      <c r="AN10216" t="s">
        <v>88</v>
      </c>
      <c r="AO10216" t="s">
        <v>6748</v>
      </c>
      <c r="AP10216" t="s">
        <v>14182</v>
      </c>
      <c r="AQ10216">
        <v>2</v>
      </c>
      <c r="AR10216" t="s">
        <v>89</v>
      </c>
      <c r="AS10216" t="s">
        <v>90</v>
      </c>
      <c r="AT10216" t="s">
        <v>58</v>
      </c>
      <c r="AU10216" t="s">
        <v>8673</v>
      </c>
      <c r="AV10216" t="s">
        <v>132</v>
      </c>
      <c r="AW10216" s="1">
        <v>32209</v>
      </c>
      <c r="AX10216">
        <v>1</v>
      </c>
    </row>
    <row r="10217" spans="1:50">
      <c r="A10217">
        <v>558952</v>
      </c>
      <c r="B10217" t="str">
        <f>"032359420"</f>
        <v>032359420</v>
      </c>
      <c r="C10217" t="s">
        <v>50</v>
      </c>
      <c r="D10217" t="s">
        <v>15167</v>
      </c>
      <c r="E10217" t="s">
        <v>372</v>
      </c>
      <c r="F10217" t="s">
        <v>95</v>
      </c>
      <c r="G10217" t="s">
        <v>73</v>
      </c>
      <c r="H10217" t="str">
        <f>"ΛΟΥΣΑΚΙΕΣ ΚΙΣΑΜΟΥ ΚΙΣΑΜΟΣ"</f>
        <v>ΛΟΥΣΑΚΙΕΣ ΚΙΣΑΜΟΥ ΚΙΣΑΜΟΣ</v>
      </c>
      <c r="I10217">
        <v>73400</v>
      </c>
      <c r="J10217">
        <v>2822024069</v>
      </c>
      <c r="K10217">
        <v>6932400136</v>
      </c>
      <c r="N10217" t="s">
        <v>615</v>
      </c>
      <c r="O10217" t="s">
        <v>616</v>
      </c>
      <c r="R10217" t="s">
        <v>57</v>
      </c>
      <c r="S10217">
        <v>16</v>
      </c>
      <c r="T10217">
        <v>168</v>
      </c>
      <c r="U10217" s="1">
        <v>32010</v>
      </c>
      <c r="V10217" t="s">
        <v>89</v>
      </c>
      <c r="W10217" t="s">
        <v>90</v>
      </c>
      <c r="X10217" t="s">
        <v>58</v>
      </c>
      <c r="Y10217">
        <v>21</v>
      </c>
      <c r="Z10217" t="s">
        <v>59</v>
      </c>
      <c r="AA10217" t="s">
        <v>59</v>
      </c>
      <c r="AB10217" t="s">
        <v>59</v>
      </c>
      <c r="AC10217" t="s">
        <v>59</v>
      </c>
      <c r="AD10217" t="s">
        <v>59</v>
      </c>
      <c r="AF10217" s="1">
        <v>32021</v>
      </c>
      <c r="AG10217" t="s">
        <v>8645</v>
      </c>
      <c r="AH10217" t="s">
        <v>8646</v>
      </c>
      <c r="AI10217" t="str">
        <f>"9500225"</f>
        <v>9500225</v>
      </c>
      <c r="AJ10217" t="s">
        <v>14058</v>
      </c>
      <c r="AK10217">
        <v>2822041233</v>
      </c>
      <c r="AL10217" t="s">
        <v>14059</v>
      </c>
      <c r="AM10217" t="s">
        <v>88</v>
      </c>
      <c r="AN10217" t="s">
        <v>6744</v>
      </c>
      <c r="AO10217" t="s">
        <v>6744</v>
      </c>
      <c r="AP10217" t="s">
        <v>13045</v>
      </c>
      <c r="AQ10217">
        <v>9</v>
      </c>
      <c r="AR10217" t="s">
        <v>89</v>
      </c>
      <c r="AS10217" t="s">
        <v>90</v>
      </c>
      <c r="AT10217" t="s">
        <v>58</v>
      </c>
      <c r="AU10217" t="s">
        <v>68</v>
      </c>
      <c r="AV10217" t="s">
        <v>69</v>
      </c>
      <c r="AW10217" s="1">
        <v>23666</v>
      </c>
      <c r="AX10217">
        <v>1</v>
      </c>
    </row>
    <row r="10218" spans="1:50">
      <c r="B10218" t="str">
        <f>"149683564"</f>
        <v>149683564</v>
      </c>
      <c r="C10218" t="s">
        <v>50</v>
      </c>
      <c r="D10218" t="s">
        <v>15168</v>
      </c>
      <c r="E10218" t="s">
        <v>484</v>
      </c>
      <c r="F10218" t="s">
        <v>99</v>
      </c>
      <c r="G10218" t="s">
        <v>15169</v>
      </c>
      <c r="H10218" t="str">
        <f>" "</f>
        <v xml:space="preserve"> </v>
      </c>
      <c r="N10218" t="s">
        <v>9829</v>
      </c>
      <c r="O10218" t="s">
        <v>9830</v>
      </c>
      <c r="R10218" t="s">
        <v>121</v>
      </c>
      <c r="S10218">
        <v>3</v>
      </c>
      <c r="T10218" t="s">
        <v>8835</v>
      </c>
      <c r="U10218" s="1">
        <v>43348</v>
      </c>
      <c r="V10218" t="s">
        <v>89</v>
      </c>
      <c r="W10218" t="s">
        <v>90</v>
      </c>
      <c r="X10218" t="s">
        <v>58</v>
      </c>
      <c r="Y10218">
        <v>25</v>
      </c>
      <c r="Z10218" t="s">
        <v>59</v>
      </c>
      <c r="AA10218" t="s">
        <v>59</v>
      </c>
      <c r="AB10218" t="s">
        <v>59</v>
      </c>
      <c r="AD10218" t="s">
        <v>59</v>
      </c>
      <c r="AF10218" s="1">
        <v>43348</v>
      </c>
      <c r="AG10218" t="s">
        <v>8651</v>
      </c>
      <c r="AH10218" t="s">
        <v>8652</v>
      </c>
      <c r="AI10218" t="str">
        <f>"9500047"</f>
        <v>9500047</v>
      </c>
      <c r="AJ10218" t="s">
        <v>14615</v>
      </c>
      <c r="AK10218">
        <v>2821089155</v>
      </c>
      <c r="AL10218" t="s">
        <v>14616</v>
      </c>
      <c r="AM10218" t="s">
        <v>88</v>
      </c>
      <c r="AN10218" t="s">
        <v>88</v>
      </c>
      <c r="AO10218" t="s">
        <v>6748</v>
      </c>
      <c r="AP10218" t="s">
        <v>6748</v>
      </c>
      <c r="AQ10218">
        <v>2</v>
      </c>
      <c r="AR10218" t="s">
        <v>89</v>
      </c>
      <c r="AS10218" t="s">
        <v>90</v>
      </c>
      <c r="AT10218" t="s">
        <v>58</v>
      </c>
      <c r="AU10218" t="s">
        <v>131</v>
      </c>
      <c r="AV10218" t="s">
        <v>132</v>
      </c>
      <c r="AW10218" s="1">
        <v>33448</v>
      </c>
      <c r="AX10218">
        <v>1</v>
      </c>
    </row>
    <row r="10219" spans="1:50">
      <c r="A10219">
        <v>582869</v>
      </c>
      <c r="B10219" t="str">
        <f>"122990158"</f>
        <v>122990158</v>
      </c>
      <c r="C10219" t="s">
        <v>50</v>
      </c>
      <c r="D10219" t="s">
        <v>3126</v>
      </c>
      <c r="E10219" t="s">
        <v>8941</v>
      </c>
      <c r="F10219" t="s">
        <v>72</v>
      </c>
      <c r="G10219" t="s">
        <v>3802</v>
      </c>
      <c r="H10219" t="str">
        <f>" "</f>
        <v xml:space="preserve"> </v>
      </c>
      <c r="N10219" t="s">
        <v>1525</v>
      </c>
      <c r="O10219" t="s">
        <v>1526</v>
      </c>
      <c r="R10219" t="s">
        <v>57</v>
      </c>
      <c r="S10219">
        <v>12</v>
      </c>
      <c r="T10219">
        <v>179</v>
      </c>
      <c r="U10219" s="1">
        <v>35674</v>
      </c>
      <c r="V10219" t="s">
        <v>89</v>
      </c>
      <c r="W10219" t="s">
        <v>90</v>
      </c>
      <c r="X10219" t="s">
        <v>58</v>
      </c>
      <c r="Y10219">
        <v>25</v>
      </c>
      <c r="Z10219" t="s">
        <v>59</v>
      </c>
      <c r="AA10219" t="s">
        <v>59</v>
      </c>
      <c r="AB10219" t="s">
        <v>59</v>
      </c>
      <c r="AC10219" t="s">
        <v>59</v>
      </c>
      <c r="AD10219" t="s">
        <v>59</v>
      </c>
      <c r="AF10219" s="1">
        <v>35674</v>
      </c>
      <c r="AG10219" t="s">
        <v>8651</v>
      </c>
      <c r="AH10219" t="s">
        <v>8652</v>
      </c>
      <c r="AI10219" t="str">
        <f>"9500047"</f>
        <v>9500047</v>
      </c>
      <c r="AJ10219" t="s">
        <v>14615</v>
      </c>
      <c r="AK10219">
        <v>2821089155</v>
      </c>
      <c r="AL10219" t="s">
        <v>14616</v>
      </c>
      <c r="AM10219" t="s">
        <v>88</v>
      </c>
      <c r="AN10219" t="s">
        <v>88</v>
      </c>
      <c r="AO10219" t="s">
        <v>6748</v>
      </c>
      <c r="AP10219" t="s">
        <v>6748</v>
      </c>
      <c r="AQ10219">
        <v>2</v>
      </c>
      <c r="AR10219" t="s">
        <v>89</v>
      </c>
      <c r="AS10219" t="s">
        <v>90</v>
      </c>
      <c r="AT10219" t="s">
        <v>58</v>
      </c>
      <c r="AU10219" t="s">
        <v>68</v>
      </c>
      <c r="AV10219" t="s">
        <v>69</v>
      </c>
      <c r="AW10219" s="1">
        <v>24313</v>
      </c>
      <c r="AX10219">
        <v>1</v>
      </c>
    </row>
    <row r="10220" spans="1:50">
      <c r="A10220">
        <v>591551</v>
      </c>
      <c r="B10220" t="str">
        <f>"072498437"</f>
        <v>072498437</v>
      </c>
      <c r="C10220" t="s">
        <v>50</v>
      </c>
      <c r="D10220" t="s">
        <v>3126</v>
      </c>
      <c r="E10220" t="s">
        <v>250</v>
      </c>
      <c r="F10220" t="s">
        <v>53</v>
      </c>
      <c r="G10220" t="s">
        <v>103</v>
      </c>
      <c r="H10220" t="str">
        <f>"ΓΡ. ΛΑΜΠΡΑΚΗ ΑΤΣΙΠΟΠΟΥΛΟ ΡΕΘΥΜΝΗΣ"</f>
        <v>ΓΡ. ΛΑΜΠΡΑΚΗ ΑΤΣΙΠΟΠΟΥΛΟ ΡΕΘΥΜΝΗΣ</v>
      </c>
      <c r="I10220">
        <v>74100</v>
      </c>
      <c r="J10220">
        <v>2822022347</v>
      </c>
      <c r="K10220">
        <v>6981673771</v>
      </c>
      <c r="N10220" t="s">
        <v>615</v>
      </c>
      <c r="O10220" t="s">
        <v>616</v>
      </c>
      <c r="R10220" t="s">
        <v>57</v>
      </c>
      <c r="S10220">
        <v>9</v>
      </c>
      <c r="T10220">
        <v>249</v>
      </c>
      <c r="U10220" s="1">
        <v>36769</v>
      </c>
      <c r="V10220" t="s">
        <v>89</v>
      </c>
      <c r="W10220" t="s">
        <v>90</v>
      </c>
      <c r="X10220" t="s">
        <v>58</v>
      </c>
      <c r="Y10220">
        <v>22</v>
      </c>
      <c r="Z10220" t="s">
        <v>59</v>
      </c>
      <c r="AA10220" t="s">
        <v>59</v>
      </c>
      <c r="AB10220" t="s">
        <v>59</v>
      </c>
      <c r="AC10220" t="s">
        <v>59</v>
      </c>
      <c r="AD10220" t="s">
        <v>59</v>
      </c>
      <c r="AF10220" s="1">
        <v>36770</v>
      </c>
      <c r="AG10220" t="s">
        <v>8645</v>
      </c>
      <c r="AH10220" t="s">
        <v>8646</v>
      </c>
      <c r="AI10220" t="str">
        <f>"9500218"</f>
        <v>9500218</v>
      </c>
      <c r="AJ10220" t="s">
        <v>13992</v>
      </c>
      <c r="AK10220">
        <v>2824022216</v>
      </c>
      <c r="AL10220" t="s">
        <v>13993</v>
      </c>
      <c r="AM10220" t="s">
        <v>88</v>
      </c>
      <c r="AN10220" t="s">
        <v>6764</v>
      </c>
      <c r="AO10220" t="s">
        <v>6799</v>
      </c>
      <c r="AP10220" t="s">
        <v>6799</v>
      </c>
      <c r="AQ10220">
        <v>6</v>
      </c>
      <c r="AR10220" t="s">
        <v>89</v>
      </c>
      <c r="AS10220" t="s">
        <v>90</v>
      </c>
      <c r="AT10220" t="s">
        <v>58</v>
      </c>
      <c r="AU10220" t="s">
        <v>68</v>
      </c>
      <c r="AV10220" t="s">
        <v>69</v>
      </c>
      <c r="AW10220" s="1">
        <v>25035</v>
      </c>
      <c r="AX10220">
        <v>1</v>
      </c>
    </row>
    <row r="10221" spans="1:50">
      <c r="B10221" t="str">
        <f>"120246725"</f>
        <v>120246725</v>
      </c>
      <c r="C10221" t="s">
        <v>50</v>
      </c>
      <c r="D10221" t="s">
        <v>3126</v>
      </c>
      <c r="E10221" t="s">
        <v>52</v>
      </c>
      <c r="F10221" t="s">
        <v>106</v>
      </c>
      <c r="G10221" t="s">
        <v>143</v>
      </c>
      <c r="H10221" t="str">
        <f>"ΠΑΠΑΔΑΚΗ ΜΙΧΑΛΗ 8 "</f>
        <v xml:space="preserve">ΠΑΠΑΔΑΚΗ ΜΙΧΑΛΗ 8 </v>
      </c>
      <c r="I10221">
        <v>73133</v>
      </c>
      <c r="J10221">
        <v>2821042068</v>
      </c>
      <c r="K10221">
        <v>6932716144</v>
      </c>
      <c r="N10221" t="s">
        <v>615</v>
      </c>
      <c r="O10221" t="s">
        <v>616</v>
      </c>
      <c r="R10221" t="s">
        <v>159</v>
      </c>
      <c r="S10221">
        <v>3</v>
      </c>
      <c r="T10221" t="s">
        <v>8675</v>
      </c>
      <c r="U10221" s="1">
        <v>43348</v>
      </c>
      <c r="V10221" t="s">
        <v>89</v>
      </c>
      <c r="W10221" t="s">
        <v>90</v>
      </c>
      <c r="X10221" t="s">
        <v>58</v>
      </c>
      <c r="Y10221">
        <v>25</v>
      </c>
      <c r="Z10221" t="s">
        <v>59</v>
      </c>
      <c r="AA10221" t="s">
        <v>59</v>
      </c>
      <c r="AB10221" t="s">
        <v>59</v>
      </c>
      <c r="AC10221" t="s">
        <v>59</v>
      </c>
      <c r="AD10221" t="s">
        <v>59</v>
      </c>
      <c r="AF10221" s="1">
        <v>43348</v>
      </c>
      <c r="AG10221" t="s">
        <v>8645</v>
      </c>
      <c r="AH10221" t="s">
        <v>8676</v>
      </c>
      <c r="AI10221" t="str">
        <f>"9500003"</f>
        <v>9500003</v>
      </c>
      <c r="AJ10221" t="s">
        <v>14906</v>
      </c>
      <c r="AK10221">
        <v>2831082298</v>
      </c>
      <c r="AL10221" t="s">
        <v>14907</v>
      </c>
      <c r="AM10221" t="s">
        <v>88</v>
      </c>
      <c r="AN10221" t="s">
        <v>6775</v>
      </c>
      <c r="AO10221" t="s">
        <v>14371</v>
      </c>
      <c r="AP10221" t="s">
        <v>14371</v>
      </c>
      <c r="AQ10221">
        <v>8</v>
      </c>
      <c r="AR10221" t="s">
        <v>89</v>
      </c>
      <c r="AS10221" t="s">
        <v>90</v>
      </c>
      <c r="AT10221" t="s">
        <v>58</v>
      </c>
      <c r="AU10221" t="s">
        <v>8673</v>
      </c>
      <c r="AV10221" t="s">
        <v>132</v>
      </c>
      <c r="AW10221" s="1">
        <v>32444</v>
      </c>
      <c r="AX10221">
        <v>1</v>
      </c>
    </row>
    <row r="10222" spans="1:50">
      <c r="B10222" t="str">
        <f>"112395036"</f>
        <v>112395036</v>
      </c>
      <c r="C10222" t="s">
        <v>50</v>
      </c>
      <c r="D10222" t="s">
        <v>3126</v>
      </c>
      <c r="E10222" t="s">
        <v>15170</v>
      </c>
      <c r="F10222" t="s">
        <v>920</v>
      </c>
      <c r="G10222" t="s">
        <v>755</v>
      </c>
      <c r="H10222" t="str">
        <f>"ΑΓ. ΝΕΚΤΑΡΙΟΥ 30 ΠΑΣΑΚΑΚΙ "</f>
        <v xml:space="preserve">ΑΓ. ΝΕΚΤΑΡΙΟΥ 30 ΠΑΣΑΚΑΚΙ </v>
      </c>
      <c r="I10222">
        <v>73300</v>
      </c>
      <c r="J10222">
        <v>6980887522</v>
      </c>
      <c r="K10222">
        <v>6956180240</v>
      </c>
      <c r="N10222" t="s">
        <v>1525</v>
      </c>
      <c r="O10222" t="s">
        <v>1526</v>
      </c>
      <c r="R10222" t="s">
        <v>159</v>
      </c>
      <c r="S10222">
        <v>3</v>
      </c>
      <c r="T10222" t="s">
        <v>8670</v>
      </c>
      <c r="U10222" s="1">
        <v>43348</v>
      </c>
      <c r="V10222" t="s">
        <v>89</v>
      </c>
      <c r="W10222" t="s">
        <v>90</v>
      </c>
      <c r="X10222" t="s">
        <v>58</v>
      </c>
      <c r="Y10222">
        <v>25</v>
      </c>
      <c r="Z10222" t="s">
        <v>59</v>
      </c>
      <c r="AA10222" t="s">
        <v>59</v>
      </c>
      <c r="AB10222" t="s">
        <v>59</v>
      </c>
      <c r="AC10222" t="s">
        <v>59</v>
      </c>
      <c r="AD10222" t="s">
        <v>59</v>
      </c>
      <c r="AF10222" s="1">
        <v>43348</v>
      </c>
      <c r="AG10222" t="s">
        <v>8651</v>
      </c>
      <c r="AH10222" t="s">
        <v>8652</v>
      </c>
      <c r="AI10222" t="str">
        <f>"9500369"</f>
        <v>9500369</v>
      </c>
      <c r="AJ10222" t="s">
        <v>14080</v>
      </c>
      <c r="AK10222">
        <v>2821099596</v>
      </c>
      <c r="AL10222" t="s">
        <v>14081</v>
      </c>
      <c r="AM10222" t="s">
        <v>88</v>
      </c>
      <c r="AN10222" t="s">
        <v>88</v>
      </c>
      <c r="AO10222" t="s">
        <v>6733</v>
      </c>
      <c r="AP10222" t="s">
        <v>6755</v>
      </c>
      <c r="AQ10222">
        <v>2</v>
      </c>
      <c r="AR10222" t="s">
        <v>89</v>
      </c>
      <c r="AS10222" t="s">
        <v>90</v>
      </c>
      <c r="AT10222" t="s">
        <v>58</v>
      </c>
      <c r="AU10222" t="s">
        <v>8673</v>
      </c>
      <c r="AV10222" t="s">
        <v>132</v>
      </c>
      <c r="AW10222" s="1">
        <v>30374</v>
      </c>
      <c r="AX10222">
        <v>1</v>
      </c>
    </row>
    <row r="10223" spans="1:50">
      <c r="A10223">
        <v>565549</v>
      </c>
      <c r="B10223" t="str">
        <f>"032229593"</f>
        <v>032229593</v>
      </c>
      <c r="C10223" t="s">
        <v>50</v>
      </c>
      <c r="D10223" t="s">
        <v>3126</v>
      </c>
      <c r="E10223" t="s">
        <v>681</v>
      </c>
      <c r="F10223" t="s">
        <v>6022</v>
      </c>
      <c r="G10223" t="s">
        <v>181</v>
      </c>
      <c r="H10223" t="str">
        <f>"ΚΑΜΠΩΝ 20 ΧΑΝΙΑ"</f>
        <v>ΚΑΜΠΩΝ 20 ΧΑΝΙΑ</v>
      </c>
      <c r="I10223">
        <v>73132</v>
      </c>
      <c r="J10223">
        <v>2821091281</v>
      </c>
      <c r="K10223">
        <v>6947078979</v>
      </c>
      <c r="N10223" t="s">
        <v>615</v>
      </c>
      <c r="O10223" t="s">
        <v>616</v>
      </c>
      <c r="R10223" t="s">
        <v>57</v>
      </c>
      <c r="S10223">
        <v>17</v>
      </c>
      <c r="T10223">
        <v>161</v>
      </c>
      <c r="U10223" s="1">
        <v>33119</v>
      </c>
      <c r="V10223" t="s">
        <v>89</v>
      </c>
      <c r="W10223" t="s">
        <v>90</v>
      </c>
      <c r="X10223" t="s">
        <v>58</v>
      </c>
      <c r="Y10223">
        <v>21</v>
      </c>
      <c r="Z10223" t="s">
        <v>59</v>
      </c>
      <c r="AA10223" t="s">
        <v>59</v>
      </c>
      <c r="AB10223" t="s">
        <v>59</v>
      </c>
      <c r="AC10223" t="s">
        <v>59</v>
      </c>
      <c r="AD10223" t="s">
        <v>59</v>
      </c>
      <c r="AF10223" s="1">
        <v>33119</v>
      </c>
      <c r="AG10223" t="s">
        <v>8645</v>
      </c>
      <c r="AH10223" t="s">
        <v>8646</v>
      </c>
      <c r="AI10223" t="str">
        <f>"9500139"</f>
        <v>9500139</v>
      </c>
      <c r="AJ10223" t="s">
        <v>14050</v>
      </c>
      <c r="AK10223">
        <v>2821096819</v>
      </c>
      <c r="AL10223" t="s">
        <v>14051</v>
      </c>
      <c r="AM10223" t="s">
        <v>88</v>
      </c>
      <c r="AN10223" t="s">
        <v>88</v>
      </c>
      <c r="AO10223" t="s">
        <v>88</v>
      </c>
      <c r="AP10223" t="s">
        <v>88</v>
      </c>
      <c r="AQ10223">
        <v>1</v>
      </c>
      <c r="AR10223" t="s">
        <v>89</v>
      </c>
      <c r="AS10223" t="s">
        <v>90</v>
      </c>
      <c r="AT10223" t="s">
        <v>58</v>
      </c>
      <c r="AU10223" t="s">
        <v>68</v>
      </c>
      <c r="AV10223" t="s">
        <v>69</v>
      </c>
      <c r="AW10223" s="1">
        <v>24130</v>
      </c>
      <c r="AX10223">
        <v>1</v>
      </c>
    </row>
    <row r="10224" spans="1:50">
      <c r="A10224">
        <v>224504</v>
      </c>
      <c r="B10224" t="str">
        <f>"053654181"</f>
        <v>053654181</v>
      </c>
      <c r="C10224" t="s">
        <v>105</v>
      </c>
      <c r="D10224" t="s">
        <v>3129</v>
      </c>
      <c r="E10224" t="s">
        <v>166</v>
      </c>
      <c r="F10224" t="s">
        <v>72</v>
      </c>
      <c r="G10224" t="s">
        <v>610</v>
      </c>
      <c r="H10224" t="str">
        <f>" "</f>
        <v xml:space="preserve"> </v>
      </c>
      <c r="J10224">
        <v>2821075604</v>
      </c>
      <c r="K10224">
        <v>6937255638</v>
      </c>
      <c r="N10224" t="s">
        <v>288</v>
      </c>
      <c r="O10224" t="s">
        <v>289</v>
      </c>
      <c r="R10224" t="s">
        <v>57</v>
      </c>
      <c r="S10224">
        <v>5</v>
      </c>
      <c r="T10224">
        <v>775</v>
      </c>
      <c r="U10224" s="1">
        <v>39680</v>
      </c>
      <c r="V10224" t="s">
        <v>89</v>
      </c>
      <c r="W10224" t="s">
        <v>90</v>
      </c>
      <c r="X10224" t="s">
        <v>58</v>
      </c>
      <c r="Y10224">
        <v>23</v>
      </c>
      <c r="Z10224" t="s">
        <v>59</v>
      </c>
      <c r="AA10224" t="s">
        <v>59</v>
      </c>
      <c r="AB10224" t="s">
        <v>59</v>
      </c>
      <c r="AC10224" t="s">
        <v>59</v>
      </c>
      <c r="AD10224" t="s">
        <v>59</v>
      </c>
      <c r="AF10224" s="1">
        <v>39681</v>
      </c>
      <c r="AG10224" t="s">
        <v>8645</v>
      </c>
      <c r="AH10224" t="s">
        <v>8646</v>
      </c>
      <c r="AI10224" t="str">
        <f>"9500035"</f>
        <v>9500035</v>
      </c>
      <c r="AJ10224" t="s">
        <v>13979</v>
      </c>
      <c r="AK10224">
        <v>2821094678</v>
      </c>
      <c r="AL10224" t="s">
        <v>13980</v>
      </c>
      <c r="AM10224" t="s">
        <v>88</v>
      </c>
      <c r="AN10224" t="s">
        <v>88</v>
      </c>
      <c r="AO10224" t="s">
        <v>88</v>
      </c>
      <c r="AP10224" t="s">
        <v>88</v>
      </c>
      <c r="AQ10224">
        <v>2</v>
      </c>
      <c r="AR10224" t="s">
        <v>89</v>
      </c>
      <c r="AS10224" t="s">
        <v>90</v>
      </c>
      <c r="AT10224" t="s">
        <v>58</v>
      </c>
      <c r="AU10224" t="s">
        <v>68</v>
      </c>
      <c r="AV10224" t="s">
        <v>132</v>
      </c>
      <c r="AW10224" s="1">
        <v>23712</v>
      </c>
      <c r="AX10224">
        <v>1</v>
      </c>
    </row>
    <row r="10225" spans="1:50">
      <c r="B10225" t="str">
        <f>"136442990"</f>
        <v>136442990</v>
      </c>
      <c r="C10225" t="s">
        <v>50</v>
      </c>
      <c r="D10225" t="s">
        <v>15171</v>
      </c>
      <c r="E10225" t="s">
        <v>52</v>
      </c>
      <c r="F10225" t="s">
        <v>989</v>
      </c>
      <c r="G10225" t="s">
        <v>237</v>
      </c>
      <c r="H10225" t="str">
        <f>" "</f>
        <v xml:space="preserve"> </v>
      </c>
      <c r="N10225" t="s">
        <v>8694</v>
      </c>
      <c r="O10225" t="s">
        <v>8695</v>
      </c>
      <c r="R10225" t="s">
        <v>159</v>
      </c>
      <c r="S10225">
        <v>1</v>
      </c>
      <c r="T10225" t="s">
        <v>8835</v>
      </c>
      <c r="U10225" s="1">
        <v>43348</v>
      </c>
      <c r="V10225" t="s">
        <v>89</v>
      </c>
      <c r="W10225" t="s">
        <v>90</v>
      </c>
      <c r="X10225" t="s">
        <v>58</v>
      </c>
      <c r="Y10225">
        <v>24</v>
      </c>
      <c r="Z10225" t="s">
        <v>59</v>
      </c>
      <c r="AA10225" t="s">
        <v>59</v>
      </c>
      <c r="AB10225" t="s">
        <v>59</v>
      </c>
      <c r="AD10225" t="s">
        <v>59</v>
      </c>
      <c r="AF10225" s="1">
        <v>43348</v>
      </c>
      <c r="AG10225" t="s">
        <v>8645</v>
      </c>
      <c r="AH10225" t="s">
        <v>8646</v>
      </c>
      <c r="AI10225" t="str">
        <f>"9500329"</f>
        <v>9500329</v>
      </c>
      <c r="AJ10225" t="s">
        <v>14241</v>
      </c>
      <c r="AK10225">
        <v>2821099075</v>
      </c>
      <c r="AL10225" t="s">
        <v>14242</v>
      </c>
      <c r="AM10225" t="s">
        <v>88</v>
      </c>
      <c r="AN10225" t="s">
        <v>88</v>
      </c>
      <c r="AO10225" t="s">
        <v>6733</v>
      </c>
      <c r="AP10225" t="s">
        <v>6734</v>
      </c>
      <c r="AQ10225">
        <v>2</v>
      </c>
      <c r="AR10225" t="s">
        <v>89</v>
      </c>
      <c r="AS10225" t="s">
        <v>90</v>
      </c>
      <c r="AT10225" t="s">
        <v>58</v>
      </c>
      <c r="AU10225" t="s">
        <v>131</v>
      </c>
      <c r="AV10225" t="s">
        <v>132</v>
      </c>
      <c r="AW10225" s="1">
        <v>34253</v>
      </c>
      <c r="AX10225">
        <v>1</v>
      </c>
    </row>
    <row r="10226" spans="1:50">
      <c r="B10226" t="str">
        <f>"144482384"</f>
        <v>144482384</v>
      </c>
      <c r="C10226" t="s">
        <v>105</v>
      </c>
      <c r="D10226" t="s">
        <v>13494</v>
      </c>
      <c r="E10226" t="s">
        <v>1062</v>
      </c>
      <c r="F10226" t="s">
        <v>72</v>
      </c>
      <c r="G10226" t="s">
        <v>83</v>
      </c>
      <c r="H10226" t="str">
        <f>"ΕΙΡΗΝΗΣ 23 ΠΕΥΚΑ "</f>
        <v xml:space="preserve">ΕΙΡΗΝΗΣ 23 ΠΕΥΚΑ </v>
      </c>
      <c r="I10226">
        <v>57010</v>
      </c>
      <c r="J10226">
        <v>2310673911</v>
      </c>
      <c r="K10226">
        <v>6946170257</v>
      </c>
      <c r="N10226" t="s">
        <v>615</v>
      </c>
      <c r="O10226" t="s">
        <v>616</v>
      </c>
      <c r="R10226" t="s">
        <v>159</v>
      </c>
      <c r="S10226">
        <v>3</v>
      </c>
      <c r="T10226" t="s">
        <v>8675</v>
      </c>
      <c r="U10226" s="1">
        <v>43348</v>
      </c>
      <c r="V10226" t="s">
        <v>89</v>
      </c>
      <c r="W10226" t="s">
        <v>90</v>
      </c>
      <c r="X10226" t="s">
        <v>58</v>
      </c>
      <c r="Y10226">
        <v>25</v>
      </c>
      <c r="Z10226" t="s">
        <v>59</v>
      </c>
      <c r="AA10226" t="s">
        <v>59</v>
      </c>
      <c r="AB10226" t="s">
        <v>59</v>
      </c>
      <c r="AC10226" t="s">
        <v>59</v>
      </c>
      <c r="AD10226" t="s">
        <v>59</v>
      </c>
      <c r="AF10226" s="1">
        <v>43348</v>
      </c>
      <c r="AG10226" t="s">
        <v>8645</v>
      </c>
      <c r="AH10226" t="s">
        <v>8676</v>
      </c>
      <c r="AI10226" t="str">
        <f>"9500003"</f>
        <v>9500003</v>
      </c>
      <c r="AJ10226" t="s">
        <v>14906</v>
      </c>
      <c r="AK10226">
        <v>2831082298</v>
      </c>
      <c r="AL10226" t="s">
        <v>14907</v>
      </c>
      <c r="AM10226" t="s">
        <v>88</v>
      </c>
      <c r="AN10226" t="s">
        <v>6775</v>
      </c>
      <c r="AO10226" t="s">
        <v>14371</v>
      </c>
      <c r="AP10226" t="s">
        <v>14371</v>
      </c>
      <c r="AQ10226">
        <v>8</v>
      </c>
      <c r="AR10226" t="s">
        <v>89</v>
      </c>
      <c r="AS10226" t="s">
        <v>90</v>
      </c>
      <c r="AT10226" t="s">
        <v>58</v>
      </c>
      <c r="AU10226" t="s">
        <v>8673</v>
      </c>
      <c r="AV10226" t="s">
        <v>132</v>
      </c>
      <c r="AW10226" s="1">
        <v>32018</v>
      </c>
      <c r="AX10226">
        <v>1</v>
      </c>
    </row>
    <row r="10227" spans="1:50">
      <c r="A10227">
        <v>704385</v>
      </c>
      <c r="B10227" t="str">
        <f>"070958985"</f>
        <v>070958985</v>
      </c>
      <c r="C10227" t="s">
        <v>50</v>
      </c>
      <c r="D10227" t="s">
        <v>3141</v>
      </c>
      <c r="E10227" t="s">
        <v>707</v>
      </c>
      <c r="F10227" t="s">
        <v>106</v>
      </c>
      <c r="H10227" t="str">
        <f>" "</f>
        <v xml:space="preserve"> </v>
      </c>
      <c r="N10227" t="s">
        <v>100</v>
      </c>
      <c r="O10227" t="s">
        <v>101</v>
      </c>
      <c r="R10227" t="s">
        <v>57</v>
      </c>
      <c r="S10227">
        <v>7</v>
      </c>
      <c r="T10227">
        <v>1066</v>
      </c>
      <c r="U10227" s="1">
        <v>43035</v>
      </c>
      <c r="V10227" t="s">
        <v>89</v>
      </c>
      <c r="W10227" t="s">
        <v>90</v>
      </c>
      <c r="X10227" t="s">
        <v>58</v>
      </c>
      <c r="Y10227">
        <v>23</v>
      </c>
      <c r="Z10227" t="s">
        <v>59</v>
      </c>
      <c r="AA10227" t="s">
        <v>59</v>
      </c>
      <c r="AB10227" t="s">
        <v>59</v>
      </c>
      <c r="AD10227" t="s">
        <v>59</v>
      </c>
      <c r="AF10227" s="1">
        <v>43038</v>
      </c>
      <c r="AG10227" t="s">
        <v>8645</v>
      </c>
      <c r="AH10227" t="s">
        <v>8697</v>
      </c>
      <c r="AI10227" t="str">
        <f>"9521567"</f>
        <v>9521567</v>
      </c>
      <c r="AJ10227" t="s">
        <v>14148</v>
      </c>
      <c r="AK10227">
        <v>2821086921</v>
      </c>
      <c r="AL10227" t="s">
        <v>14149</v>
      </c>
      <c r="AM10227" t="s">
        <v>88</v>
      </c>
      <c r="AN10227" t="s">
        <v>88</v>
      </c>
      <c r="AO10227" t="s">
        <v>88</v>
      </c>
      <c r="AP10227" t="s">
        <v>88</v>
      </c>
      <c r="AQ10227">
        <v>1</v>
      </c>
      <c r="AR10227" t="s">
        <v>89</v>
      </c>
      <c r="AS10227" t="s">
        <v>90</v>
      </c>
      <c r="AT10227" t="s">
        <v>58</v>
      </c>
      <c r="AU10227" t="s">
        <v>68</v>
      </c>
      <c r="AV10227" t="s">
        <v>69</v>
      </c>
      <c r="AX10227">
        <v>1</v>
      </c>
    </row>
    <row r="10228" spans="1:50">
      <c r="A10228">
        <v>587367</v>
      </c>
      <c r="B10228" t="str">
        <f>"039524843"</f>
        <v>039524843</v>
      </c>
      <c r="C10228" t="s">
        <v>50</v>
      </c>
      <c r="D10228" t="s">
        <v>15172</v>
      </c>
      <c r="E10228" t="s">
        <v>237</v>
      </c>
      <c r="F10228" t="s">
        <v>99</v>
      </c>
      <c r="G10228" t="s">
        <v>52</v>
      </c>
      <c r="H10228" t="str">
        <f>"ΝΕΡΟΚΟΥΡΟΥ ΝΕΡΟΚΟΥΡΟΥ ΧΑΝΙΩΝ"</f>
        <v>ΝΕΡΟΚΟΥΡΟΥ ΝΕΡΟΚΟΥΡΟΥ ΧΑΝΙΩΝ</v>
      </c>
      <c r="I10228">
        <v>73100</v>
      </c>
      <c r="J10228">
        <v>2821095213</v>
      </c>
      <c r="K10228">
        <v>6973829940</v>
      </c>
      <c r="M10228" t="s">
        <v>15173</v>
      </c>
      <c r="N10228" t="s">
        <v>306</v>
      </c>
      <c r="O10228" t="s">
        <v>307</v>
      </c>
      <c r="R10228" t="s">
        <v>57</v>
      </c>
      <c r="S10228">
        <v>10</v>
      </c>
      <c r="T10228">
        <v>164</v>
      </c>
      <c r="U10228" s="1">
        <v>36040</v>
      </c>
      <c r="V10228" t="s">
        <v>89</v>
      </c>
      <c r="W10228" t="s">
        <v>90</v>
      </c>
      <c r="X10228" t="s">
        <v>58</v>
      </c>
      <c r="Y10228">
        <v>21</v>
      </c>
      <c r="Z10228" t="s">
        <v>59</v>
      </c>
      <c r="AA10228" t="s">
        <v>59</v>
      </c>
      <c r="AB10228" t="s">
        <v>59</v>
      </c>
      <c r="AC10228" t="s">
        <v>59</v>
      </c>
      <c r="AD10228" t="s">
        <v>59</v>
      </c>
      <c r="AF10228" s="1">
        <v>36040</v>
      </c>
      <c r="AG10228" t="s">
        <v>8645</v>
      </c>
      <c r="AH10228" t="s">
        <v>8646</v>
      </c>
      <c r="AI10228" t="str">
        <f>"9500107"</f>
        <v>9500107</v>
      </c>
      <c r="AJ10228" t="s">
        <v>13918</v>
      </c>
      <c r="AK10228">
        <v>2821096244</v>
      </c>
      <c r="AL10228" t="s">
        <v>13919</v>
      </c>
      <c r="AM10228" t="s">
        <v>88</v>
      </c>
      <c r="AN10228" t="s">
        <v>88</v>
      </c>
      <c r="AO10228" t="s">
        <v>13920</v>
      </c>
      <c r="AP10228" t="s">
        <v>13921</v>
      </c>
      <c r="AQ10228">
        <v>3</v>
      </c>
      <c r="AR10228" t="s">
        <v>89</v>
      </c>
      <c r="AS10228" t="s">
        <v>90</v>
      </c>
      <c r="AT10228" t="s">
        <v>58</v>
      </c>
      <c r="AU10228" t="s">
        <v>68</v>
      </c>
      <c r="AV10228" t="s">
        <v>69</v>
      </c>
      <c r="AW10228" s="1">
        <v>25561</v>
      </c>
      <c r="AX10228">
        <v>1</v>
      </c>
    </row>
    <row r="10229" spans="1:50">
      <c r="A10229">
        <v>614249</v>
      </c>
      <c r="B10229" t="str">
        <f>"074294356"</f>
        <v>074294356</v>
      </c>
      <c r="C10229" t="s">
        <v>50</v>
      </c>
      <c r="D10229" t="s">
        <v>3149</v>
      </c>
      <c r="E10229" t="s">
        <v>396</v>
      </c>
      <c r="F10229" t="s">
        <v>670</v>
      </c>
      <c r="G10229" t="s">
        <v>112</v>
      </c>
      <c r="H10229" t="str">
        <f>"Μ.ΑΠΟΣΤΟΛΑΚΗ 15 ΧΑΝΙΑ"</f>
        <v>Μ.ΑΠΟΣΤΟΛΑΚΗ 15 ΧΑΝΙΑ</v>
      </c>
      <c r="I10229">
        <v>73100</v>
      </c>
      <c r="J10229">
        <v>2821079753</v>
      </c>
      <c r="K10229">
        <v>6930264737</v>
      </c>
      <c r="N10229" t="s">
        <v>615</v>
      </c>
      <c r="O10229" t="s">
        <v>616</v>
      </c>
      <c r="R10229" t="s">
        <v>57</v>
      </c>
      <c r="S10229">
        <v>6</v>
      </c>
      <c r="T10229">
        <v>598</v>
      </c>
      <c r="U10229" s="1">
        <v>39310</v>
      </c>
      <c r="V10229" t="s">
        <v>89</v>
      </c>
      <c r="W10229" t="s">
        <v>90</v>
      </c>
      <c r="X10229" t="s">
        <v>58</v>
      </c>
      <c r="Y10229">
        <v>23</v>
      </c>
      <c r="Z10229" t="s">
        <v>59</v>
      </c>
      <c r="AA10229" t="s">
        <v>59</v>
      </c>
      <c r="AB10229" t="s">
        <v>59</v>
      </c>
      <c r="AC10229" t="s">
        <v>59</v>
      </c>
      <c r="AD10229" t="s">
        <v>59</v>
      </c>
      <c r="AF10229" s="1">
        <v>39310</v>
      </c>
      <c r="AG10229" t="s">
        <v>8645</v>
      </c>
      <c r="AH10229" t="s">
        <v>8646</v>
      </c>
      <c r="AI10229" t="str">
        <f>"9500147"</f>
        <v>9500147</v>
      </c>
      <c r="AJ10229" t="s">
        <v>14008</v>
      </c>
      <c r="AK10229">
        <v>2821094573</v>
      </c>
      <c r="AL10229" t="s">
        <v>14009</v>
      </c>
      <c r="AM10229" t="s">
        <v>88</v>
      </c>
      <c r="AN10229" t="s">
        <v>88</v>
      </c>
      <c r="AO10229" t="s">
        <v>88</v>
      </c>
      <c r="AP10229" t="s">
        <v>88</v>
      </c>
      <c r="AQ10229">
        <v>1</v>
      </c>
      <c r="AR10229" t="s">
        <v>89</v>
      </c>
      <c r="AS10229" t="s">
        <v>90</v>
      </c>
      <c r="AT10229" t="s">
        <v>58</v>
      </c>
      <c r="AU10229" t="s">
        <v>68</v>
      </c>
      <c r="AV10229" t="s">
        <v>69</v>
      </c>
      <c r="AW10229" s="1">
        <v>25302</v>
      </c>
      <c r="AX10229">
        <v>1</v>
      </c>
    </row>
    <row r="10230" spans="1:50">
      <c r="A10230">
        <v>701666</v>
      </c>
      <c r="B10230" t="str">
        <f>"120745563"</f>
        <v>120745563</v>
      </c>
      <c r="C10230" t="s">
        <v>105</v>
      </c>
      <c r="D10230" t="s">
        <v>8036</v>
      </c>
      <c r="E10230" t="s">
        <v>1506</v>
      </c>
      <c r="F10230" t="s">
        <v>111</v>
      </c>
      <c r="G10230" t="s">
        <v>396</v>
      </c>
      <c r="H10230" t="str">
        <f>"ΜΕΝΕΚΛΕΡΗ - ΒΙΛΑ  ΧΑΝΟΥΜΙΣΑ ΒΑΜΒΑΚΟΠΟΥΛΟ - ΧΑΝΙΑ"</f>
        <v>ΜΕΝΕΚΛΕΡΗ - ΒΙΛΑ  ΧΑΝΟΥΜΙΣΑ ΒΑΜΒΑΚΟΠΟΥΛΟ - ΧΑΝΙΑ</v>
      </c>
      <c r="I10230">
        <v>73100</v>
      </c>
      <c r="K10230">
        <v>6973892396</v>
      </c>
      <c r="L10230">
        <v>2351037712</v>
      </c>
      <c r="N10230" t="s">
        <v>615</v>
      </c>
      <c r="O10230" t="s">
        <v>616</v>
      </c>
      <c r="R10230" t="s">
        <v>57</v>
      </c>
      <c r="S10230">
        <v>4</v>
      </c>
      <c r="T10230">
        <v>772</v>
      </c>
      <c r="U10230" s="1">
        <v>40413</v>
      </c>
      <c r="V10230" t="s">
        <v>89</v>
      </c>
      <c r="W10230" t="s">
        <v>90</v>
      </c>
      <c r="X10230" t="s">
        <v>58</v>
      </c>
      <c r="Y10230">
        <v>24</v>
      </c>
      <c r="Z10230" t="s">
        <v>59</v>
      </c>
      <c r="AA10230" t="s">
        <v>59</v>
      </c>
      <c r="AB10230" t="s">
        <v>59</v>
      </c>
      <c r="AC10230" t="s">
        <v>59</v>
      </c>
      <c r="AD10230" t="s">
        <v>59</v>
      </c>
      <c r="AF10230" s="1">
        <v>40422</v>
      </c>
      <c r="AG10230" t="s">
        <v>8645</v>
      </c>
      <c r="AH10230" t="s">
        <v>8646</v>
      </c>
      <c r="AI10230" t="str">
        <f>"9500173"</f>
        <v>9500173</v>
      </c>
      <c r="AJ10230" t="s">
        <v>14513</v>
      </c>
      <c r="AK10230">
        <v>2823022235</v>
      </c>
      <c r="AL10230" t="s">
        <v>14514</v>
      </c>
      <c r="AM10230" t="s">
        <v>88</v>
      </c>
      <c r="AN10230" t="s">
        <v>6824</v>
      </c>
      <c r="AO10230" t="s">
        <v>6825</v>
      </c>
      <c r="AP10230" t="s">
        <v>6826</v>
      </c>
      <c r="AQ10230">
        <v>11</v>
      </c>
      <c r="AR10230" t="s">
        <v>89</v>
      </c>
      <c r="AS10230" t="s">
        <v>90</v>
      </c>
      <c r="AT10230" t="s">
        <v>58</v>
      </c>
      <c r="AU10230" t="s">
        <v>68</v>
      </c>
      <c r="AV10230" t="s">
        <v>69</v>
      </c>
      <c r="AW10230" s="1">
        <v>31353</v>
      </c>
      <c r="AX10230">
        <v>1</v>
      </c>
    </row>
    <row r="10231" spans="1:50">
      <c r="A10231">
        <v>610957</v>
      </c>
      <c r="B10231" t="str">
        <f>"132764870"</f>
        <v>132764870</v>
      </c>
      <c r="C10231" t="s">
        <v>105</v>
      </c>
      <c r="D10231" t="s">
        <v>10976</v>
      </c>
      <c r="E10231" t="s">
        <v>95</v>
      </c>
      <c r="F10231" t="s">
        <v>309</v>
      </c>
      <c r="G10231" t="s">
        <v>52</v>
      </c>
      <c r="H10231" t="str">
        <f>"ΣΚΟΥΦΩΝ  41 ΧΑΝΙΑ"</f>
        <v>ΣΚΟΥΦΩΝ  41 ΧΑΝΙΑ</v>
      </c>
      <c r="I10231">
        <v>73132</v>
      </c>
      <c r="J10231">
        <v>2461023641</v>
      </c>
      <c r="K10231">
        <v>6972017191</v>
      </c>
      <c r="L10231">
        <v>2821087191</v>
      </c>
      <c r="N10231" t="s">
        <v>615</v>
      </c>
      <c r="O10231" t="s">
        <v>616</v>
      </c>
      <c r="R10231" t="s">
        <v>57</v>
      </c>
      <c r="S10231">
        <v>6</v>
      </c>
      <c r="T10231">
        <v>233</v>
      </c>
      <c r="U10231" s="1">
        <v>38960</v>
      </c>
      <c r="V10231" t="s">
        <v>89</v>
      </c>
      <c r="W10231" t="s">
        <v>90</v>
      </c>
      <c r="X10231" t="s">
        <v>58</v>
      </c>
      <c r="Y10231">
        <v>23</v>
      </c>
      <c r="Z10231" t="s">
        <v>59</v>
      </c>
      <c r="AA10231" t="s">
        <v>59</v>
      </c>
      <c r="AB10231" t="s">
        <v>59</v>
      </c>
      <c r="AC10231" t="s">
        <v>59</v>
      </c>
      <c r="AD10231" t="s">
        <v>59</v>
      </c>
      <c r="AF10231" s="1">
        <v>38960</v>
      </c>
      <c r="AG10231" t="s">
        <v>8645</v>
      </c>
      <c r="AH10231" t="s">
        <v>8646</v>
      </c>
      <c r="AI10231" t="str">
        <f>"9500137"</f>
        <v>9500137</v>
      </c>
      <c r="AJ10231" t="s">
        <v>14401</v>
      </c>
      <c r="AK10231">
        <v>2821093156</v>
      </c>
      <c r="AL10231" t="s">
        <v>14402</v>
      </c>
      <c r="AM10231" t="s">
        <v>88</v>
      </c>
      <c r="AN10231" t="s">
        <v>88</v>
      </c>
      <c r="AO10231" t="s">
        <v>88</v>
      </c>
      <c r="AP10231" t="s">
        <v>88</v>
      </c>
      <c r="AQ10231">
        <v>1</v>
      </c>
      <c r="AR10231" t="s">
        <v>89</v>
      </c>
      <c r="AS10231" t="s">
        <v>90</v>
      </c>
      <c r="AT10231" t="s">
        <v>58</v>
      </c>
      <c r="AU10231" t="s">
        <v>68</v>
      </c>
      <c r="AV10231" t="s">
        <v>69</v>
      </c>
      <c r="AW10231" s="1">
        <v>29649</v>
      </c>
      <c r="AX10231">
        <v>1</v>
      </c>
    </row>
    <row r="10232" spans="1:50">
      <c r="A10232">
        <v>611257</v>
      </c>
      <c r="B10232" t="str">
        <f>"073744687"</f>
        <v>073744687</v>
      </c>
      <c r="C10232" t="s">
        <v>50</v>
      </c>
      <c r="D10232" t="s">
        <v>3157</v>
      </c>
      <c r="E10232" t="s">
        <v>73</v>
      </c>
      <c r="F10232" t="s">
        <v>106</v>
      </c>
      <c r="G10232" t="s">
        <v>15174</v>
      </c>
      <c r="H10232" t="str">
        <f>"ΕΜΜ. ΠΙΜΠΛΗ  2 ΧΑΝΙΑ"</f>
        <v>ΕΜΜ. ΠΙΜΠΛΗ  2 ΧΑΝΙΑ</v>
      </c>
      <c r="I10232">
        <v>73100</v>
      </c>
      <c r="J10232">
        <v>2821040430</v>
      </c>
      <c r="K10232">
        <v>6977327841</v>
      </c>
      <c r="N10232" t="s">
        <v>1525</v>
      </c>
      <c r="O10232" t="s">
        <v>1526</v>
      </c>
      <c r="R10232" t="s">
        <v>57</v>
      </c>
      <c r="S10232">
        <v>7</v>
      </c>
      <c r="T10232">
        <v>233</v>
      </c>
      <c r="U10232" s="1">
        <v>38960</v>
      </c>
      <c r="V10232" t="s">
        <v>89</v>
      </c>
      <c r="W10232" t="s">
        <v>90</v>
      </c>
      <c r="X10232" t="s">
        <v>58</v>
      </c>
      <c r="Y10232">
        <v>25</v>
      </c>
      <c r="Z10232" t="s">
        <v>59</v>
      </c>
      <c r="AA10232" t="s">
        <v>59</v>
      </c>
      <c r="AB10232" t="s">
        <v>59</v>
      </c>
      <c r="AC10232" t="s">
        <v>59</v>
      </c>
      <c r="AD10232" t="s">
        <v>59</v>
      </c>
      <c r="AF10232" s="1">
        <v>38961</v>
      </c>
      <c r="AG10232" t="s">
        <v>8651</v>
      </c>
      <c r="AH10232" t="s">
        <v>8652</v>
      </c>
      <c r="AI10232" t="str">
        <f>"9500400"</f>
        <v>9500400</v>
      </c>
      <c r="AJ10232" t="s">
        <v>14383</v>
      </c>
      <c r="AK10232">
        <v>2821090544</v>
      </c>
      <c r="AL10232" t="s">
        <v>14384</v>
      </c>
      <c r="AM10232" t="s">
        <v>88</v>
      </c>
      <c r="AN10232" t="s">
        <v>88</v>
      </c>
      <c r="AO10232" t="s">
        <v>88</v>
      </c>
      <c r="AP10232" t="s">
        <v>88</v>
      </c>
      <c r="AQ10232">
        <v>2</v>
      </c>
      <c r="AR10232" t="s">
        <v>89</v>
      </c>
      <c r="AS10232" t="s">
        <v>90</v>
      </c>
      <c r="AT10232" t="s">
        <v>58</v>
      </c>
      <c r="AU10232" t="s">
        <v>68</v>
      </c>
      <c r="AV10232" t="s">
        <v>69</v>
      </c>
      <c r="AW10232" s="1">
        <v>26715</v>
      </c>
      <c r="AX10232">
        <v>1</v>
      </c>
    </row>
    <row r="10233" spans="1:50">
      <c r="B10233" t="str">
        <f>"103503078"</f>
        <v>103503078</v>
      </c>
      <c r="C10233" t="s">
        <v>50</v>
      </c>
      <c r="D10233" t="s">
        <v>3157</v>
      </c>
      <c r="E10233" t="s">
        <v>155</v>
      </c>
      <c r="F10233" t="s">
        <v>99</v>
      </c>
      <c r="G10233" t="s">
        <v>620</v>
      </c>
      <c r="H10233" t="str">
        <f>"ΚΑΡΙΑΣ 113 "</f>
        <v xml:space="preserve">ΚΑΡΙΑΣ 113 </v>
      </c>
      <c r="I10233">
        <v>71601</v>
      </c>
      <c r="J10233">
        <v>2810244288</v>
      </c>
      <c r="K10233">
        <v>6947158498</v>
      </c>
      <c r="N10233" t="s">
        <v>615</v>
      </c>
      <c r="O10233" t="s">
        <v>616</v>
      </c>
      <c r="R10233" t="s">
        <v>159</v>
      </c>
      <c r="S10233">
        <v>4</v>
      </c>
      <c r="T10233" t="s">
        <v>8675</v>
      </c>
      <c r="U10233" s="1">
        <v>43348</v>
      </c>
      <c r="V10233" t="s">
        <v>89</v>
      </c>
      <c r="W10233" t="s">
        <v>90</v>
      </c>
      <c r="X10233" t="s">
        <v>58</v>
      </c>
      <c r="Y10233">
        <v>24</v>
      </c>
      <c r="Z10233" t="s">
        <v>59</v>
      </c>
      <c r="AA10233" t="s">
        <v>59</v>
      </c>
      <c r="AB10233" t="s">
        <v>59</v>
      </c>
      <c r="AC10233" t="s">
        <v>59</v>
      </c>
      <c r="AD10233" t="s">
        <v>59</v>
      </c>
      <c r="AF10233" s="1">
        <v>43348</v>
      </c>
      <c r="AG10233" t="s">
        <v>8645</v>
      </c>
      <c r="AH10233" t="s">
        <v>8646</v>
      </c>
      <c r="AI10233" t="str">
        <f>"9500006"</f>
        <v>9500006</v>
      </c>
      <c r="AJ10233" t="s">
        <v>14060</v>
      </c>
      <c r="AK10233">
        <v>2825051220</v>
      </c>
      <c r="AL10233" t="s">
        <v>14061</v>
      </c>
      <c r="AM10233" t="s">
        <v>88</v>
      </c>
      <c r="AN10233" t="s">
        <v>6775</v>
      </c>
      <c r="AO10233" t="s">
        <v>6781</v>
      </c>
      <c r="AP10233" t="s">
        <v>6782</v>
      </c>
      <c r="AQ10233">
        <v>8</v>
      </c>
      <c r="AR10233" t="s">
        <v>89</v>
      </c>
      <c r="AS10233" t="s">
        <v>90</v>
      </c>
      <c r="AT10233" t="s">
        <v>58</v>
      </c>
      <c r="AU10233" t="s">
        <v>8673</v>
      </c>
      <c r="AV10233" t="s">
        <v>132</v>
      </c>
      <c r="AW10233" s="1">
        <v>31596</v>
      </c>
      <c r="AX10233">
        <v>1</v>
      </c>
    </row>
    <row r="10234" spans="1:50">
      <c r="A10234">
        <v>603453</v>
      </c>
      <c r="B10234" t="str">
        <f>"110387888"</f>
        <v>110387888</v>
      </c>
      <c r="C10234" t="s">
        <v>50</v>
      </c>
      <c r="D10234" t="s">
        <v>3157</v>
      </c>
      <c r="E10234" t="s">
        <v>263</v>
      </c>
      <c r="F10234" t="s">
        <v>53</v>
      </c>
      <c r="G10234" t="s">
        <v>83</v>
      </c>
      <c r="H10234" t="str">
        <f>"ΑΝΑΓΝΩΣΤΟΥ ΜΑΝΤΑΚΑ 84 ΧΑΝΙΑ"</f>
        <v>ΑΝΑΓΝΩΣΤΟΥ ΜΑΝΤΑΚΑ 84 ΧΑΝΙΑ</v>
      </c>
      <c r="I10234">
        <v>73100</v>
      </c>
      <c r="J10234">
        <v>2821402391</v>
      </c>
      <c r="K10234">
        <v>6956032394</v>
      </c>
      <c r="L10234">
        <v>282185971</v>
      </c>
      <c r="N10234" t="s">
        <v>337</v>
      </c>
      <c r="O10234" t="s">
        <v>338</v>
      </c>
      <c r="R10234" t="s">
        <v>57</v>
      </c>
      <c r="S10234">
        <v>7</v>
      </c>
      <c r="T10234">
        <v>46</v>
      </c>
      <c r="U10234" s="1">
        <v>37684</v>
      </c>
      <c r="V10234" t="s">
        <v>89</v>
      </c>
      <c r="W10234" t="s">
        <v>90</v>
      </c>
      <c r="X10234" t="s">
        <v>58</v>
      </c>
      <c r="Y10234">
        <v>22</v>
      </c>
      <c r="Z10234" t="s">
        <v>59</v>
      </c>
      <c r="AA10234" t="s">
        <v>59</v>
      </c>
      <c r="AB10234" t="s">
        <v>59</v>
      </c>
      <c r="AC10234" t="s">
        <v>59</v>
      </c>
      <c r="AD10234" t="s">
        <v>59</v>
      </c>
      <c r="AF10234" s="1">
        <v>37698</v>
      </c>
      <c r="AG10234" t="s">
        <v>8645</v>
      </c>
      <c r="AH10234" t="s">
        <v>8646</v>
      </c>
      <c r="AI10234" t="str">
        <f>"9500041"</f>
        <v>9500041</v>
      </c>
      <c r="AJ10234" t="s">
        <v>13944</v>
      </c>
      <c r="AK10234">
        <v>2821028218</v>
      </c>
      <c r="AL10234" t="s">
        <v>13945</v>
      </c>
      <c r="AM10234" t="s">
        <v>88</v>
      </c>
      <c r="AN10234" t="s">
        <v>88</v>
      </c>
      <c r="AO10234" t="s">
        <v>88</v>
      </c>
      <c r="AP10234" t="s">
        <v>88</v>
      </c>
      <c r="AQ10234">
        <v>1</v>
      </c>
      <c r="AR10234" t="s">
        <v>89</v>
      </c>
      <c r="AS10234" t="s">
        <v>90</v>
      </c>
      <c r="AT10234" t="s">
        <v>58</v>
      </c>
      <c r="AU10234" t="s">
        <v>68</v>
      </c>
      <c r="AV10234" t="s">
        <v>69</v>
      </c>
      <c r="AW10234" s="1">
        <v>27802</v>
      </c>
      <c r="AX10234">
        <v>1</v>
      </c>
    </row>
    <row r="10235" spans="1:50">
      <c r="A10235">
        <v>595241</v>
      </c>
      <c r="B10235" t="str">
        <f>"110852477"</f>
        <v>110852477</v>
      </c>
      <c r="C10235" t="s">
        <v>50</v>
      </c>
      <c r="D10235" t="s">
        <v>3157</v>
      </c>
      <c r="E10235" t="s">
        <v>143</v>
      </c>
      <c r="F10235" t="s">
        <v>84</v>
      </c>
      <c r="G10235" t="s">
        <v>52</v>
      </c>
      <c r="H10235" t="str">
        <f>"ΑΛ.ΠΑΝΑΓΟΥΛΗ ΔΑΡΑΤΣΟ"</f>
        <v>ΑΛ.ΠΑΝΑΓΟΥΛΗ ΔΑΡΑΤΣΟ</v>
      </c>
      <c r="I10235">
        <v>73100</v>
      </c>
      <c r="J10235">
        <v>2821033482</v>
      </c>
      <c r="K10235">
        <v>6977184792</v>
      </c>
      <c r="N10235" t="s">
        <v>615</v>
      </c>
      <c r="O10235" t="s">
        <v>616</v>
      </c>
      <c r="R10235" t="s">
        <v>57</v>
      </c>
      <c r="S10235">
        <v>9</v>
      </c>
      <c r="T10235">
        <v>218</v>
      </c>
      <c r="U10235" s="1">
        <v>37134</v>
      </c>
      <c r="V10235" t="s">
        <v>89</v>
      </c>
      <c r="W10235" t="s">
        <v>90</v>
      </c>
      <c r="X10235" t="s">
        <v>58</v>
      </c>
      <c r="Y10235">
        <v>22</v>
      </c>
      <c r="Z10235" t="s">
        <v>59</v>
      </c>
      <c r="AA10235" t="s">
        <v>59</v>
      </c>
      <c r="AB10235" t="s">
        <v>59</v>
      </c>
      <c r="AC10235" t="s">
        <v>59</v>
      </c>
      <c r="AD10235" t="s">
        <v>59</v>
      </c>
      <c r="AF10235" s="1">
        <v>37134</v>
      </c>
      <c r="AG10235" t="s">
        <v>8645</v>
      </c>
      <c r="AH10235" t="s">
        <v>8646</v>
      </c>
      <c r="AI10235" t="str">
        <f>"9500403"</f>
        <v>9500403</v>
      </c>
      <c r="AJ10235" t="s">
        <v>14230</v>
      </c>
      <c r="AK10235">
        <v>2821034094</v>
      </c>
      <c r="AL10235" t="s">
        <v>14231</v>
      </c>
      <c r="AM10235" t="s">
        <v>88</v>
      </c>
      <c r="AN10235" t="s">
        <v>88</v>
      </c>
      <c r="AO10235" t="s">
        <v>6785</v>
      </c>
      <c r="AP10235" t="s">
        <v>13932</v>
      </c>
      <c r="AQ10235">
        <v>3</v>
      </c>
      <c r="AR10235" t="s">
        <v>89</v>
      </c>
      <c r="AS10235" t="s">
        <v>90</v>
      </c>
      <c r="AT10235" t="s">
        <v>58</v>
      </c>
      <c r="AU10235" t="s">
        <v>68</v>
      </c>
      <c r="AV10235" t="s">
        <v>69</v>
      </c>
      <c r="AW10235" s="1">
        <v>26362</v>
      </c>
      <c r="AX10235">
        <v>1</v>
      </c>
    </row>
    <row r="10236" spans="1:50">
      <c r="B10236" t="str">
        <f>"136442282"</f>
        <v>136442282</v>
      </c>
      <c r="C10236" t="s">
        <v>50</v>
      </c>
      <c r="D10236" t="s">
        <v>3157</v>
      </c>
      <c r="E10236" t="s">
        <v>250</v>
      </c>
      <c r="F10236" t="s">
        <v>53</v>
      </c>
      <c r="G10236" t="s">
        <v>96</v>
      </c>
      <c r="H10236" t="str">
        <f>"ΕΙΡΗΝΗΣ 222 "</f>
        <v xml:space="preserve">ΕΙΡΗΝΗΣ 222 </v>
      </c>
      <c r="I10236">
        <v>73100</v>
      </c>
      <c r="J10236">
        <v>2821033019</v>
      </c>
      <c r="K10236">
        <v>6972051535</v>
      </c>
      <c r="N10236" t="s">
        <v>615</v>
      </c>
      <c r="O10236" t="s">
        <v>616</v>
      </c>
      <c r="R10236" t="s">
        <v>159</v>
      </c>
      <c r="S10236">
        <v>3</v>
      </c>
      <c r="T10236" t="s">
        <v>8675</v>
      </c>
      <c r="U10236" s="1">
        <v>43348</v>
      </c>
      <c r="V10236" t="s">
        <v>89</v>
      </c>
      <c r="W10236" t="s">
        <v>90</v>
      </c>
      <c r="X10236" t="s">
        <v>58</v>
      </c>
      <c r="Y10236">
        <v>24</v>
      </c>
      <c r="Z10236" t="s">
        <v>59</v>
      </c>
      <c r="AA10236" t="s">
        <v>59</v>
      </c>
      <c r="AB10236" t="s">
        <v>59</v>
      </c>
      <c r="AC10236" t="s">
        <v>59</v>
      </c>
      <c r="AD10236" t="s">
        <v>59</v>
      </c>
      <c r="AF10236" s="1">
        <v>43348</v>
      </c>
      <c r="AG10236" t="s">
        <v>8645</v>
      </c>
      <c r="AH10236" t="s">
        <v>8646</v>
      </c>
      <c r="AI10236" t="str">
        <f>"9500205"</f>
        <v>9500205</v>
      </c>
      <c r="AJ10236" t="s">
        <v>13861</v>
      </c>
      <c r="AK10236">
        <v>2822031289</v>
      </c>
      <c r="AL10236" t="s">
        <v>13862</v>
      </c>
      <c r="AM10236" t="s">
        <v>88</v>
      </c>
      <c r="AN10236" t="s">
        <v>6744</v>
      </c>
      <c r="AO10236" t="s">
        <v>13863</v>
      </c>
      <c r="AP10236" t="s">
        <v>13864</v>
      </c>
      <c r="AQ10236">
        <v>9</v>
      </c>
      <c r="AR10236" t="s">
        <v>89</v>
      </c>
      <c r="AS10236" t="s">
        <v>90</v>
      </c>
      <c r="AT10236" t="s">
        <v>58</v>
      </c>
      <c r="AU10236" t="s">
        <v>8673</v>
      </c>
      <c r="AV10236" t="s">
        <v>132</v>
      </c>
      <c r="AW10236" s="1">
        <v>31778</v>
      </c>
      <c r="AX10236">
        <v>1</v>
      </c>
    </row>
    <row r="10237" spans="1:50">
      <c r="B10237" t="str">
        <f>"042691957"</f>
        <v>042691957</v>
      </c>
      <c r="C10237" t="s">
        <v>50</v>
      </c>
      <c r="D10237" t="s">
        <v>3157</v>
      </c>
      <c r="E10237" t="s">
        <v>215</v>
      </c>
      <c r="F10237" t="s">
        <v>760</v>
      </c>
      <c r="G10237" t="s">
        <v>83</v>
      </c>
      <c r="H10237" t="str">
        <f>"ΕΛΕΥΘΕΡΙΑΣ  ΧΑΝΙΑ"</f>
        <v>ΕΛΕΥΘΕΡΙΑΣ  ΧΑΝΙΑ</v>
      </c>
      <c r="I10237">
        <v>73100</v>
      </c>
      <c r="J10237">
        <v>2821075574</v>
      </c>
      <c r="K10237">
        <v>6944256659</v>
      </c>
      <c r="N10237" t="s">
        <v>1525</v>
      </c>
      <c r="O10237" t="s">
        <v>1526</v>
      </c>
      <c r="R10237" t="s">
        <v>57</v>
      </c>
      <c r="S10237">
        <v>4</v>
      </c>
      <c r="T10237" t="s">
        <v>8670</v>
      </c>
      <c r="U10237" s="1">
        <v>43348</v>
      </c>
      <c r="V10237" t="s">
        <v>89</v>
      </c>
      <c r="W10237" t="s">
        <v>90</v>
      </c>
      <c r="X10237" t="s">
        <v>58</v>
      </c>
      <c r="Y10237">
        <v>25</v>
      </c>
      <c r="Z10237" t="s">
        <v>59</v>
      </c>
      <c r="AA10237" t="s">
        <v>59</v>
      </c>
      <c r="AB10237" t="s">
        <v>59</v>
      </c>
      <c r="AC10237" t="s">
        <v>59</v>
      </c>
      <c r="AD10237" t="s">
        <v>59</v>
      </c>
      <c r="AF10237" s="1">
        <v>43348</v>
      </c>
      <c r="AG10237" t="s">
        <v>8651</v>
      </c>
      <c r="AH10237" t="s">
        <v>8652</v>
      </c>
      <c r="AI10237" t="str">
        <f>"9500321"</f>
        <v>9500321</v>
      </c>
      <c r="AJ10237" t="s">
        <v>14585</v>
      </c>
      <c r="AK10237">
        <v>2825061584</v>
      </c>
      <c r="AL10237" t="s">
        <v>14586</v>
      </c>
      <c r="AM10237" t="s">
        <v>88</v>
      </c>
      <c r="AN10237" t="s">
        <v>6775</v>
      </c>
      <c r="AO10237" t="s">
        <v>13929</v>
      </c>
      <c r="AP10237" t="s">
        <v>13929</v>
      </c>
      <c r="AQ10237">
        <v>8</v>
      </c>
      <c r="AR10237" t="s">
        <v>89</v>
      </c>
      <c r="AS10237" t="s">
        <v>90</v>
      </c>
      <c r="AT10237" t="s">
        <v>58</v>
      </c>
      <c r="AU10237" t="s">
        <v>8673</v>
      </c>
      <c r="AV10237" t="s">
        <v>132</v>
      </c>
      <c r="AW10237" s="1">
        <v>24579</v>
      </c>
      <c r="AX10237">
        <v>1</v>
      </c>
    </row>
    <row r="10238" spans="1:50">
      <c r="B10238" t="str">
        <f>"142500546"</f>
        <v>142500546</v>
      </c>
      <c r="C10238" t="s">
        <v>50</v>
      </c>
      <c r="D10238" t="s">
        <v>3157</v>
      </c>
      <c r="E10238" t="s">
        <v>188</v>
      </c>
      <c r="F10238" t="s">
        <v>72</v>
      </c>
      <c r="G10238" t="s">
        <v>71</v>
      </c>
      <c r="H10238" t="str">
        <f>"ΕΘΝΙΚΗΣ ΑΝΤΙΣΤΑΣΕΩΣ ΚΑΙ ΑΛΜΥΡΙΔΑΣ 67 "</f>
        <v xml:space="preserve">ΕΘΝΙΚΗΣ ΑΝΤΙΣΤΑΣΕΩΣ ΚΑΙ ΑΛΜΥΡΙΔΑΣ 67 </v>
      </c>
      <c r="I10238">
        <v>73133</v>
      </c>
      <c r="J10238">
        <v>2821055061</v>
      </c>
      <c r="K10238">
        <v>6947038412</v>
      </c>
      <c r="N10238" t="s">
        <v>615</v>
      </c>
      <c r="O10238" t="s">
        <v>616</v>
      </c>
      <c r="R10238" t="s">
        <v>159</v>
      </c>
      <c r="S10238">
        <v>3</v>
      </c>
      <c r="T10238" t="s">
        <v>8675</v>
      </c>
      <c r="U10238" s="1">
        <v>43348</v>
      </c>
      <c r="V10238" t="s">
        <v>89</v>
      </c>
      <c r="W10238" t="s">
        <v>90</v>
      </c>
      <c r="X10238" t="s">
        <v>58</v>
      </c>
      <c r="Y10238">
        <v>24</v>
      </c>
      <c r="Z10238" t="s">
        <v>59</v>
      </c>
      <c r="AA10238" t="s">
        <v>59</v>
      </c>
      <c r="AB10238" t="s">
        <v>59</v>
      </c>
      <c r="AC10238" t="s">
        <v>59</v>
      </c>
      <c r="AD10238" t="s">
        <v>59</v>
      </c>
      <c r="AF10238" s="1">
        <v>43348</v>
      </c>
      <c r="AG10238" t="s">
        <v>8645</v>
      </c>
      <c r="AH10238" t="s">
        <v>8646</v>
      </c>
      <c r="AI10238" t="str">
        <f>"9500055"</f>
        <v>9500055</v>
      </c>
      <c r="AJ10238" t="s">
        <v>14096</v>
      </c>
      <c r="AK10238">
        <v>2825092237</v>
      </c>
      <c r="AL10238" t="s">
        <v>14095</v>
      </c>
      <c r="AM10238" t="s">
        <v>88</v>
      </c>
      <c r="AN10238" t="s">
        <v>6995</v>
      </c>
      <c r="AO10238" t="s">
        <v>6995</v>
      </c>
      <c r="AP10238" t="s">
        <v>14097</v>
      </c>
      <c r="AQ10238">
        <v>10</v>
      </c>
      <c r="AR10238" t="s">
        <v>89</v>
      </c>
      <c r="AS10238" t="s">
        <v>90</v>
      </c>
      <c r="AT10238" t="s">
        <v>58</v>
      </c>
      <c r="AU10238" t="s">
        <v>8673</v>
      </c>
      <c r="AV10238" t="s">
        <v>132</v>
      </c>
      <c r="AW10238" s="1">
        <v>32492</v>
      </c>
      <c r="AX10238">
        <v>1</v>
      </c>
    </row>
    <row r="10239" spans="1:50">
      <c r="A10239">
        <v>603831</v>
      </c>
      <c r="B10239" t="str">
        <f>"101576665"</f>
        <v>101576665</v>
      </c>
      <c r="C10239" t="s">
        <v>50</v>
      </c>
      <c r="D10239" t="s">
        <v>3157</v>
      </c>
      <c r="E10239" t="s">
        <v>610</v>
      </c>
      <c r="F10239" t="s">
        <v>84</v>
      </c>
      <c r="G10239" t="s">
        <v>52</v>
      </c>
      <c r="H10239" t="str">
        <f>"ΓΑΛΑΤΑΣ  Ν.ΚΥΔΩΝΙΑΣ ΧΑΝΙΑ"</f>
        <v>ΓΑΛΑΤΑΣ  Ν.ΚΥΔΩΝΙΑΣ ΧΑΝΙΑ</v>
      </c>
      <c r="I10239">
        <v>73100</v>
      </c>
      <c r="J10239">
        <v>2821033939</v>
      </c>
      <c r="K10239">
        <v>6944244760</v>
      </c>
      <c r="L10239">
        <v>2821029848</v>
      </c>
      <c r="N10239" t="s">
        <v>615</v>
      </c>
      <c r="O10239" t="s">
        <v>616</v>
      </c>
      <c r="R10239" t="s">
        <v>57</v>
      </c>
      <c r="S10239">
        <v>7</v>
      </c>
      <c r="T10239">
        <v>231</v>
      </c>
      <c r="U10239" s="1">
        <v>38230</v>
      </c>
      <c r="V10239" t="s">
        <v>89</v>
      </c>
      <c r="W10239" t="s">
        <v>90</v>
      </c>
      <c r="X10239" t="s">
        <v>58</v>
      </c>
      <c r="Y10239">
        <v>22</v>
      </c>
      <c r="Z10239" t="s">
        <v>59</v>
      </c>
      <c r="AA10239" t="s">
        <v>59</v>
      </c>
      <c r="AB10239" t="s">
        <v>59</v>
      </c>
      <c r="AC10239" t="s">
        <v>59</v>
      </c>
      <c r="AD10239" t="s">
        <v>59</v>
      </c>
      <c r="AF10239" s="1">
        <v>38230</v>
      </c>
      <c r="AG10239" t="s">
        <v>8645</v>
      </c>
      <c r="AH10239" t="s">
        <v>8646</v>
      </c>
      <c r="AI10239" t="str">
        <f>"9500084"</f>
        <v>9500084</v>
      </c>
      <c r="AJ10239" t="s">
        <v>13994</v>
      </c>
      <c r="AK10239">
        <v>2821031270</v>
      </c>
      <c r="AL10239" t="s">
        <v>13995</v>
      </c>
      <c r="AM10239" t="s">
        <v>88</v>
      </c>
      <c r="AN10239" t="s">
        <v>88</v>
      </c>
      <c r="AO10239" t="s">
        <v>13920</v>
      </c>
      <c r="AP10239" t="s">
        <v>13996</v>
      </c>
      <c r="AQ10239">
        <v>3</v>
      </c>
      <c r="AR10239" t="s">
        <v>89</v>
      </c>
      <c r="AS10239" t="s">
        <v>90</v>
      </c>
      <c r="AT10239" t="s">
        <v>58</v>
      </c>
      <c r="AU10239" t="s">
        <v>68</v>
      </c>
      <c r="AV10239" t="s">
        <v>69</v>
      </c>
      <c r="AW10239" s="1">
        <v>29913</v>
      </c>
      <c r="AX10239">
        <v>1</v>
      </c>
    </row>
    <row r="10240" spans="1:50">
      <c r="B10240" t="str">
        <f>"138439802"</f>
        <v>138439802</v>
      </c>
      <c r="C10240" t="s">
        <v>50</v>
      </c>
      <c r="D10240" t="s">
        <v>3157</v>
      </c>
      <c r="E10240" t="s">
        <v>11109</v>
      </c>
      <c r="F10240" t="s">
        <v>309</v>
      </c>
      <c r="G10240" t="s">
        <v>6609</v>
      </c>
      <c r="H10240" t="str">
        <f>" "</f>
        <v xml:space="preserve"> </v>
      </c>
      <c r="N10240" t="s">
        <v>8834</v>
      </c>
      <c r="O10240" t="s">
        <v>8695</v>
      </c>
      <c r="R10240" t="s">
        <v>121</v>
      </c>
      <c r="S10240">
        <v>3</v>
      </c>
      <c r="T10240" t="s">
        <v>8835</v>
      </c>
      <c r="U10240" s="1">
        <v>43348</v>
      </c>
      <c r="V10240" t="s">
        <v>89</v>
      </c>
      <c r="W10240" t="s">
        <v>90</v>
      </c>
      <c r="X10240" t="s">
        <v>58</v>
      </c>
      <c r="Y10240">
        <v>24</v>
      </c>
      <c r="Z10240" t="s">
        <v>59</v>
      </c>
      <c r="AA10240" t="s">
        <v>59</v>
      </c>
      <c r="AB10240" t="s">
        <v>59</v>
      </c>
      <c r="AD10240" t="s">
        <v>59</v>
      </c>
      <c r="AF10240" s="1">
        <v>43348</v>
      </c>
      <c r="AG10240" t="s">
        <v>8645</v>
      </c>
      <c r="AH10240" t="s">
        <v>8646</v>
      </c>
      <c r="AI10240" t="str">
        <f>"9500189"</f>
        <v>9500189</v>
      </c>
      <c r="AJ10240" t="s">
        <v>14038</v>
      </c>
      <c r="AK10240">
        <v>2822022119</v>
      </c>
      <c r="AL10240" t="s">
        <v>14039</v>
      </c>
      <c r="AM10240" t="s">
        <v>88</v>
      </c>
      <c r="AN10240" t="s">
        <v>6744</v>
      </c>
      <c r="AO10240" t="s">
        <v>6744</v>
      </c>
      <c r="AP10240" t="s">
        <v>6744</v>
      </c>
      <c r="AQ10240">
        <v>9</v>
      </c>
      <c r="AR10240" t="s">
        <v>89</v>
      </c>
      <c r="AS10240" t="s">
        <v>90</v>
      </c>
      <c r="AT10240" t="s">
        <v>58</v>
      </c>
      <c r="AU10240" t="s">
        <v>131</v>
      </c>
      <c r="AV10240" t="s">
        <v>132</v>
      </c>
      <c r="AW10240" s="1">
        <v>33163</v>
      </c>
      <c r="AX10240">
        <v>1</v>
      </c>
    </row>
    <row r="10241" spans="1:50">
      <c r="A10241">
        <v>551763</v>
      </c>
      <c r="B10241" t="str">
        <f>"027437443"</f>
        <v>027437443</v>
      </c>
      <c r="C10241" t="s">
        <v>105</v>
      </c>
      <c r="D10241" t="s">
        <v>3190</v>
      </c>
      <c r="E10241" t="s">
        <v>459</v>
      </c>
      <c r="F10241" t="s">
        <v>202</v>
      </c>
      <c r="G10241" t="s">
        <v>6454</v>
      </c>
      <c r="H10241" t="str">
        <f>"ΠΑΠΑΝΑΣΤΑΣΙΟΥ  1 ΧΑΝΙΑ"</f>
        <v>ΠΑΠΑΝΑΣΤΑΣΙΟΥ  1 ΧΑΝΙΑ</v>
      </c>
      <c r="I10241">
        <v>73100</v>
      </c>
      <c r="J10241">
        <v>2821043561</v>
      </c>
      <c r="K10241">
        <v>6978115363</v>
      </c>
      <c r="N10241" t="s">
        <v>615</v>
      </c>
      <c r="O10241" t="s">
        <v>616</v>
      </c>
      <c r="R10241" t="s">
        <v>57</v>
      </c>
      <c r="S10241">
        <v>17</v>
      </c>
      <c r="T10241">
        <v>271</v>
      </c>
      <c r="U10241" s="1">
        <v>30923</v>
      </c>
      <c r="V10241" t="s">
        <v>89</v>
      </c>
      <c r="W10241" t="s">
        <v>90</v>
      </c>
      <c r="X10241" t="s">
        <v>58</v>
      </c>
      <c r="Y10241">
        <v>21</v>
      </c>
      <c r="Z10241" t="s">
        <v>59</v>
      </c>
      <c r="AA10241" t="s">
        <v>59</v>
      </c>
      <c r="AB10241" t="s">
        <v>59</v>
      </c>
      <c r="AC10241" t="s">
        <v>59</v>
      </c>
      <c r="AD10241" t="s">
        <v>59</v>
      </c>
      <c r="AF10241" s="1">
        <v>30923</v>
      </c>
      <c r="AG10241" t="s">
        <v>8645</v>
      </c>
      <c r="AH10241" t="s">
        <v>8646</v>
      </c>
      <c r="AI10241" t="str">
        <f>"9500423"</f>
        <v>9500423</v>
      </c>
      <c r="AJ10241" t="s">
        <v>13893</v>
      </c>
      <c r="AK10241">
        <v>2821023473</v>
      </c>
      <c r="AL10241" t="s">
        <v>13894</v>
      </c>
      <c r="AM10241" t="s">
        <v>88</v>
      </c>
      <c r="AN10241" t="s">
        <v>88</v>
      </c>
      <c r="AO10241" t="s">
        <v>88</v>
      </c>
      <c r="AP10241" t="s">
        <v>88</v>
      </c>
      <c r="AQ10241">
        <v>1</v>
      </c>
      <c r="AR10241" t="s">
        <v>89</v>
      </c>
      <c r="AS10241" t="s">
        <v>90</v>
      </c>
      <c r="AT10241" t="s">
        <v>58</v>
      </c>
      <c r="AU10241" t="s">
        <v>68</v>
      </c>
      <c r="AV10241" t="s">
        <v>69</v>
      </c>
      <c r="AW10241" s="1">
        <v>22344</v>
      </c>
      <c r="AX10241">
        <v>1</v>
      </c>
    </row>
    <row r="10242" spans="1:50">
      <c r="B10242" t="str">
        <f>"035969091"</f>
        <v>035969091</v>
      </c>
      <c r="C10242" t="s">
        <v>105</v>
      </c>
      <c r="D10242" t="s">
        <v>3190</v>
      </c>
      <c r="E10242" t="s">
        <v>72</v>
      </c>
      <c r="F10242" t="s">
        <v>166</v>
      </c>
      <c r="G10242" t="s">
        <v>52</v>
      </c>
      <c r="H10242" t="str">
        <f>"Κ.ΒΟΥΛΓΑΡΙΔΗ 13 ΧΑΝΙΑ-ΚΡΗΤΗ"</f>
        <v>Κ.ΒΟΥΛΓΑΡΙΔΗ 13 ΧΑΝΙΑ-ΚΡΗΤΗ</v>
      </c>
      <c r="I10242">
        <v>73100</v>
      </c>
      <c r="J10242">
        <v>2821058541</v>
      </c>
      <c r="K10242">
        <v>6972820412</v>
      </c>
      <c r="N10242" t="s">
        <v>176</v>
      </c>
      <c r="O10242" t="s">
        <v>177</v>
      </c>
      <c r="R10242" t="s">
        <v>57</v>
      </c>
      <c r="S10242">
        <v>5</v>
      </c>
      <c r="T10242" t="s">
        <v>8675</v>
      </c>
      <c r="U10242" s="1">
        <v>43348</v>
      </c>
      <c r="V10242" t="s">
        <v>89</v>
      </c>
      <c r="W10242" t="s">
        <v>90</v>
      </c>
      <c r="X10242" t="s">
        <v>58</v>
      </c>
      <c r="Y10242">
        <v>23</v>
      </c>
      <c r="Z10242" t="s">
        <v>59</v>
      </c>
      <c r="AA10242" t="s">
        <v>59</v>
      </c>
      <c r="AB10242" t="s">
        <v>59</v>
      </c>
      <c r="AC10242" t="s">
        <v>59</v>
      </c>
      <c r="AD10242" t="s">
        <v>59</v>
      </c>
      <c r="AF10242" s="1">
        <v>43348</v>
      </c>
      <c r="AG10242" t="s">
        <v>8645</v>
      </c>
      <c r="AH10242" t="s">
        <v>8646</v>
      </c>
      <c r="AI10242" t="str">
        <f>"9500004"</f>
        <v>9500004</v>
      </c>
      <c r="AJ10242" t="s">
        <v>13897</v>
      </c>
      <c r="AK10242">
        <v>2825022272</v>
      </c>
      <c r="AL10242" t="s">
        <v>13898</v>
      </c>
      <c r="AM10242" t="s">
        <v>88</v>
      </c>
      <c r="AN10242" t="s">
        <v>6775</v>
      </c>
      <c r="AO10242" t="s">
        <v>6776</v>
      </c>
      <c r="AP10242" t="s">
        <v>6776</v>
      </c>
      <c r="AQ10242">
        <v>7</v>
      </c>
      <c r="AR10242" t="s">
        <v>89</v>
      </c>
      <c r="AS10242" t="s">
        <v>90</v>
      </c>
      <c r="AT10242" t="s">
        <v>58</v>
      </c>
      <c r="AU10242" t="s">
        <v>8673</v>
      </c>
      <c r="AV10242" t="s">
        <v>132</v>
      </c>
      <c r="AW10242" s="1">
        <v>22338</v>
      </c>
      <c r="AX10242">
        <v>1</v>
      </c>
    </row>
    <row r="10243" spans="1:50">
      <c r="A10243">
        <v>618528</v>
      </c>
      <c r="B10243" t="str">
        <f>"128035431"</f>
        <v>128035431</v>
      </c>
      <c r="C10243" t="s">
        <v>105</v>
      </c>
      <c r="D10243" t="s">
        <v>3190</v>
      </c>
      <c r="E10243" t="s">
        <v>450</v>
      </c>
      <c r="F10243" t="s">
        <v>474</v>
      </c>
      <c r="G10243" t="s">
        <v>155</v>
      </c>
      <c r="H10243" t="str">
        <f>"ΒΟΥΚΟΛΙΕΣ ΚΙΣΣΑΜΟΥ ΧΑΝΙΑ"</f>
        <v>ΒΟΥΚΟΛΙΕΣ ΚΙΣΣΑΜΟΥ ΧΑΝΙΑ</v>
      </c>
      <c r="I10243">
        <v>73002</v>
      </c>
      <c r="J10243">
        <v>2824031043</v>
      </c>
      <c r="K10243">
        <v>6973022628</v>
      </c>
      <c r="N10243" t="s">
        <v>615</v>
      </c>
      <c r="O10243" t="s">
        <v>616</v>
      </c>
      <c r="R10243" t="s">
        <v>57</v>
      </c>
      <c r="S10243">
        <v>5</v>
      </c>
      <c r="T10243">
        <v>774</v>
      </c>
      <c r="U10243" s="1">
        <v>39680</v>
      </c>
      <c r="V10243" t="s">
        <v>89</v>
      </c>
      <c r="W10243" t="s">
        <v>90</v>
      </c>
      <c r="X10243" t="s">
        <v>58</v>
      </c>
      <c r="Y10243">
        <v>23</v>
      </c>
      <c r="Z10243" t="s">
        <v>59</v>
      </c>
      <c r="AA10243" t="s">
        <v>59</v>
      </c>
      <c r="AB10243" t="s">
        <v>59</v>
      </c>
      <c r="AC10243" t="s">
        <v>59</v>
      </c>
      <c r="AD10243" t="s">
        <v>59</v>
      </c>
      <c r="AF10243" s="1">
        <v>39681</v>
      </c>
      <c r="AG10243" t="s">
        <v>8645</v>
      </c>
      <c r="AH10243" t="s">
        <v>8646</v>
      </c>
      <c r="AI10243" t="str">
        <f>"9500126"</f>
        <v>9500126</v>
      </c>
      <c r="AJ10243" t="s">
        <v>14245</v>
      </c>
      <c r="AK10243">
        <v>2824031229</v>
      </c>
      <c r="AL10243" t="s">
        <v>14246</v>
      </c>
      <c r="AM10243" t="s">
        <v>88</v>
      </c>
      <c r="AN10243" t="s">
        <v>6764</v>
      </c>
      <c r="AO10243" t="s">
        <v>6765</v>
      </c>
      <c r="AP10243" t="s">
        <v>6765</v>
      </c>
      <c r="AQ10243">
        <v>6</v>
      </c>
      <c r="AR10243" t="s">
        <v>89</v>
      </c>
      <c r="AS10243" t="s">
        <v>90</v>
      </c>
      <c r="AT10243" t="s">
        <v>58</v>
      </c>
      <c r="AU10243" t="s">
        <v>68</v>
      </c>
      <c r="AV10243" t="s">
        <v>69</v>
      </c>
      <c r="AW10243" s="1">
        <v>30422</v>
      </c>
      <c r="AX10243">
        <v>1</v>
      </c>
    </row>
    <row r="10244" spans="1:50">
      <c r="A10244">
        <v>612412</v>
      </c>
      <c r="B10244" t="str">
        <f>"111628521"</f>
        <v>111628521</v>
      </c>
      <c r="C10244" t="s">
        <v>105</v>
      </c>
      <c r="D10244" t="s">
        <v>15175</v>
      </c>
      <c r="E10244" t="s">
        <v>99</v>
      </c>
      <c r="F10244" t="s">
        <v>309</v>
      </c>
      <c r="G10244" t="s">
        <v>710</v>
      </c>
      <c r="H10244" t="str">
        <f>"ΟΔΥΣΣΕΩΣ  6 ΚΑΡΔΙΤΣΑ"</f>
        <v>ΟΔΥΣΣΕΩΣ  6 ΚΑΡΔΙΤΣΑ</v>
      </c>
      <c r="I10244">
        <v>43100</v>
      </c>
      <c r="J10244">
        <v>2441073822</v>
      </c>
      <c r="K10244">
        <v>6936181789</v>
      </c>
      <c r="L10244">
        <v>2441047052</v>
      </c>
      <c r="N10244" t="s">
        <v>176</v>
      </c>
      <c r="O10244" t="s">
        <v>177</v>
      </c>
      <c r="R10244" t="s">
        <v>57</v>
      </c>
      <c r="S10244">
        <v>7</v>
      </c>
      <c r="T10244">
        <v>234</v>
      </c>
      <c r="U10244" s="1">
        <v>38960</v>
      </c>
      <c r="V10244" t="s">
        <v>89</v>
      </c>
      <c r="W10244" t="s">
        <v>90</v>
      </c>
      <c r="X10244" t="s">
        <v>58</v>
      </c>
      <c r="Y10244">
        <v>22</v>
      </c>
      <c r="Z10244" t="s">
        <v>59</v>
      </c>
      <c r="AA10244" t="s">
        <v>59</v>
      </c>
      <c r="AB10244" t="s">
        <v>59</v>
      </c>
      <c r="AC10244" t="s">
        <v>59</v>
      </c>
      <c r="AD10244" t="s">
        <v>59</v>
      </c>
      <c r="AF10244" s="1">
        <v>38961</v>
      </c>
      <c r="AG10244" t="s">
        <v>8645</v>
      </c>
      <c r="AH10244" t="s">
        <v>8646</v>
      </c>
      <c r="AI10244" t="str">
        <f>"9500191"</f>
        <v>9500191</v>
      </c>
      <c r="AJ10244" t="s">
        <v>13986</v>
      </c>
      <c r="AK10244">
        <v>2822022042</v>
      </c>
      <c r="AL10244" t="s">
        <v>13987</v>
      </c>
      <c r="AM10244" t="s">
        <v>88</v>
      </c>
      <c r="AN10244" t="s">
        <v>6744</v>
      </c>
      <c r="AO10244" t="s">
        <v>6744</v>
      </c>
      <c r="AP10244" t="s">
        <v>6744</v>
      </c>
      <c r="AQ10244">
        <v>9</v>
      </c>
      <c r="AR10244" t="s">
        <v>89</v>
      </c>
      <c r="AS10244" t="s">
        <v>90</v>
      </c>
      <c r="AT10244" t="s">
        <v>58</v>
      </c>
      <c r="AU10244" t="s">
        <v>68</v>
      </c>
      <c r="AV10244" t="s">
        <v>69</v>
      </c>
      <c r="AW10244" s="1">
        <v>25548</v>
      </c>
      <c r="AX10244">
        <v>1</v>
      </c>
    </row>
    <row r="10245" spans="1:50">
      <c r="A10245">
        <v>605023</v>
      </c>
      <c r="B10245" t="str">
        <f>"051173107"</f>
        <v>051173107</v>
      </c>
      <c r="C10245" t="s">
        <v>50</v>
      </c>
      <c r="D10245" t="s">
        <v>5252</v>
      </c>
      <c r="E10245" t="s">
        <v>114</v>
      </c>
      <c r="F10245" t="s">
        <v>53</v>
      </c>
      <c r="G10245" t="s">
        <v>5062</v>
      </c>
      <c r="H10245" t="str">
        <f>"Στρατιωτ.εγταταστάσεις 115 ΠΜ ΧΑΝΙΑ"</f>
        <v>Στρατιωτ.εγταταστάσεις 115 ΠΜ ΧΑΝΙΑ</v>
      </c>
      <c r="I10245">
        <v>73100</v>
      </c>
      <c r="J10245">
        <v>2831051211</v>
      </c>
      <c r="K10245">
        <v>6976144419</v>
      </c>
      <c r="L10245">
        <v>2821053325</v>
      </c>
      <c r="M10245" t="s">
        <v>15176</v>
      </c>
      <c r="N10245" t="s">
        <v>615</v>
      </c>
      <c r="O10245" t="s">
        <v>616</v>
      </c>
      <c r="R10245" t="s">
        <v>57</v>
      </c>
      <c r="S10245">
        <v>8</v>
      </c>
      <c r="T10245">
        <v>231</v>
      </c>
      <c r="U10245" s="1">
        <v>38230</v>
      </c>
      <c r="V10245" t="s">
        <v>89</v>
      </c>
      <c r="W10245" t="s">
        <v>90</v>
      </c>
      <c r="X10245" t="s">
        <v>58</v>
      </c>
      <c r="Y10245">
        <v>22</v>
      </c>
      <c r="Z10245" t="s">
        <v>59</v>
      </c>
      <c r="AA10245" t="s">
        <v>59</v>
      </c>
      <c r="AB10245" t="s">
        <v>59</v>
      </c>
      <c r="AC10245" t="s">
        <v>59</v>
      </c>
      <c r="AD10245" t="s">
        <v>59</v>
      </c>
      <c r="AF10245" s="1">
        <v>38230</v>
      </c>
      <c r="AG10245" t="s">
        <v>8645</v>
      </c>
      <c r="AH10245" t="s">
        <v>8646</v>
      </c>
      <c r="AI10245" t="str">
        <f>"9500075"</f>
        <v>9500075</v>
      </c>
      <c r="AJ10245" t="s">
        <v>13955</v>
      </c>
      <c r="AK10245">
        <v>2821046505</v>
      </c>
      <c r="AL10245" t="s">
        <v>13956</v>
      </c>
      <c r="AM10245" t="s">
        <v>88</v>
      </c>
      <c r="AN10245" t="s">
        <v>88</v>
      </c>
      <c r="AO10245" t="s">
        <v>88</v>
      </c>
      <c r="AP10245" t="s">
        <v>88</v>
      </c>
      <c r="AQ10245">
        <v>1</v>
      </c>
      <c r="AR10245" t="s">
        <v>89</v>
      </c>
      <c r="AS10245" t="s">
        <v>90</v>
      </c>
      <c r="AT10245" t="s">
        <v>58</v>
      </c>
      <c r="AU10245" t="s">
        <v>68</v>
      </c>
      <c r="AV10245" t="s">
        <v>69</v>
      </c>
      <c r="AW10245" s="1">
        <v>26835</v>
      </c>
      <c r="AX10245">
        <v>1</v>
      </c>
    </row>
    <row r="10246" spans="1:50">
      <c r="A10246">
        <v>611685</v>
      </c>
      <c r="B10246" t="str">
        <f>"112368034"</f>
        <v>112368034</v>
      </c>
      <c r="C10246" t="s">
        <v>50</v>
      </c>
      <c r="D10246" t="s">
        <v>15177</v>
      </c>
      <c r="E10246" t="s">
        <v>1170</v>
      </c>
      <c r="F10246" t="s">
        <v>106</v>
      </c>
      <c r="G10246" t="s">
        <v>181</v>
      </c>
      <c r="H10246" t="str">
        <f>"ΑΦΡΑΤΑ ΚΙΣΑΜΟΥ ΧΑΝΙΑ"</f>
        <v>ΑΦΡΑΤΑ ΚΙΣΑΜΟΥ ΧΑΝΙΑ</v>
      </c>
      <c r="I10246">
        <v>73006</v>
      </c>
      <c r="J10246">
        <v>2824022522</v>
      </c>
      <c r="K10246">
        <v>6946941076</v>
      </c>
      <c r="N10246" t="s">
        <v>1525</v>
      </c>
      <c r="O10246" t="s">
        <v>1526</v>
      </c>
      <c r="R10246" t="s">
        <v>57</v>
      </c>
      <c r="S10246">
        <v>6</v>
      </c>
      <c r="T10246">
        <v>233</v>
      </c>
      <c r="U10246" s="1">
        <v>38960</v>
      </c>
      <c r="V10246" t="s">
        <v>89</v>
      </c>
      <c r="W10246" t="s">
        <v>90</v>
      </c>
      <c r="X10246" t="s">
        <v>58</v>
      </c>
      <c r="Y10246">
        <v>25</v>
      </c>
      <c r="Z10246" t="s">
        <v>59</v>
      </c>
      <c r="AA10246" t="s">
        <v>59</v>
      </c>
      <c r="AB10246" t="s">
        <v>59</v>
      </c>
      <c r="AC10246" t="s">
        <v>59</v>
      </c>
      <c r="AD10246" t="s">
        <v>59</v>
      </c>
      <c r="AF10246" s="1">
        <v>38961</v>
      </c>
      <c r="AG10246" t="s">
        <v>8651</v>
      </c>
      <c r="AH10246" t="s">
        <v>8652</v>
      </c>
      <c r="AI10246" t="str">
        <f>"9500382"</f>
        <v>9500382</v>
      </c>
      <c r="AJ10246" t="s">
        <v>14600</v>
      </c>
      <c r="AK10246">
        <v>2821062343</v>
      </c>
      <c r="AL10246" t="s">
        <v>14601</v>
      </c>
      <c r="AM10246" t="s">
        <v>88</v>
      </c>
      <c r="AN10246" t="s">
        <v>6764</v>
      </c>
      <c r="AO10246" t="s">
        <v>6764</v>
      </c>
      <c r="AP10246" t="s">
        <v>14488</v>
      </c>
      <c r="AQ10246">
        <v>5</v>
      </c>
      <c r="AR10246" t="s">
        <v>89</v>
      </c>
      <c r="AS10246" t="s">
        <v>90</v>
      </c>
      <c r="AT10246" t="s">
        <v>58</v>
      </c>
      <c r="AU10246" t="s">
        <v>68</v>
      </c>
      <c r="AV10246" t="s">
        <v>69</v>
      </c>
      <c r="AW10246" s="1">
        <v>29572</v>
      </c>
      <c r="AX10246">
        <v>1</v>
      </c>
    </row>
    <row r="10247" spans="1:50">
      <c r="A10247">
        <v>578375</v>
      </c>
      <c r="B10247" t="str">
        <f>"038114426"</f>
        <v>038114426</v>
      </c>
      <c r="C10247" t="s">
        <v>105</v>
      </c>
      <c r="D10247" t="s">
        <v>8055</v>
      </c>
      <c r="E10247" t="s">
        <v>99</v>
      </c>
      <c r="F10247" t="s">
        <v>95</v>
      </c>
      <c r="G10247" t="s">
        <v>109</v>
      </c>
      <c r="H10247" t="str">
        <f>"ΔΙΚΤΗΣ 8 ΧΑΝΙΑ"</f>
        <v>ΔΙΚΤΗΣ 8 ΧΑΝΙΑ</v>
      </c>
      <c r="I10247">
        <v>73100</v>
      </c>
      <c r="J10247">
        <v>2821058389</v>
      </c>
      <c r="K10247">
        <v>6945146652</v>
      </c>
      <c r="N10247" t="s">
        <v>615</v>
      </c>
      <c r="O10247" t="s">
        <v>616</v>
      </c>
      <c r="R10247" t="s">
        <v>57</v>
      </c>
      <c r="S10247">
        <v>13</v>
      </c>
      <c r="T10247">
        <v>165</v>
      </c>
      <c r="U10247" s="1">
        <v>35300</v>
      </c>
      <c r="V10247" t="s">
        <v>89</v>
      </c>
      <c r="W10247" t="s">
        <v>90</v>
      </c>
      <c r="X10247" t="s">
        <v>58</v>
      </c>
      <c r="Y10247">
        <v>21</v>
      </c>
      <c r="Z10247" t="s">
        <v>59</v>
      </c>
      <c r="AA10247" t="s">
        <v>59</v>
      </c>
      <c r="AB10247" t="s">
        <v>59</v>
      </c>
      <c r="AC10247" t="s">
        <v>59</v>
      </c>
      <c r="AD10247" t="s">
        <v>59</v>
      </c>
      <c r="AF10247" s="1">
        <v>35300</v>
      </c>
      <c r="AG10247" t="s">
        <v>8645</v>
      </c>
      <c r="AH10247" t="s">
        <v>8646</v>
      </c>
      <c r="AI10247" t="str">
        <f>"9500038"</f>
        <v>9500038</v>
      </c>
      <c r="AJ10247" t="s">
        <v>13899</v>
      </c>
      <c r="AK10247">
        <v>2821042407</v>
      </c>
      <c r="AL10247" t="s">
        <v>13900</v>
      </c>
      <c r="AM10247" t="s">
        <v>88</v>
      </c>
      <c r="AN10247" t="s">
        <v>88</v>
      </c>
      <c r="AO10247" t="s">
        <v>88</v>
      </c>
      <c r="AP10247" t="s">
        <v>88</v>
      </c>
      <c r="AQ10247">
        <v>1</v>
      </c>
      <c r="AR10247" t="s">
        <v>89</v>
      </c>
      <c r="AS10247" t="s">
        <v>90</v>
      </c>
      <c r="AT10247" t="s">
        <v>58</v>
      </c>
      <c r="AU10247" t="s">
        <v>68</v>
      </c>
      <c r="AV10247" t="s">
        <v>69</v>
      </c>
      <c r="AW10247" s="1">
        <v>24784</v>
      </c>
      <c r="AX10247">
        <v>1</v>
      </c>
    </row>
    <row r="10248" spans="1:50">
      <c r="A10248">
        <v>605443</v>
      </c>
      <c r="B10248" t="str">
        <f>"049026917"</f>
        <v>049026917</v>
      </c>
      <c r="C10248" t="s">
        <v>50</v>
      </c>
      <c r="D10248" t="s">
        <v>15178</v>
      </c>
      <c r="E10248" t="s">
        <v>707</v>
      </c>
      <c r="F10248" t="s">
        <v>99</v>
      </c>
      <c r="G10248" t="s">
        <v>1440</v>
      </c>
      <c r="H10248" t="str">
        <f>"ΑΔΑΜ. ΚΑΡΑΜΑΝΗ 9 ΧΙΟΣ"</f>
        <v>ΑΔΑΜ. ΚΑΡΑΜΑΝΗ 9 ΧΙΟΣ</v>
      </c>
      <c r="I10248">
        <v>82100</v>
      </c>
      <c r="J10248">
        <v>2271041624</v>
      </c>
      <c r="K10248">
        <v>6972864248</v>
      </c>
      <c r="L10248">
        <v>2821083166</v>
      </c>
      <c r="N10248" t="s">
        <v>615</v>
      </c>
      <c r="O10248" t="s">
        <v>616</v>
      </c>
      <c r="R10248" t="s">
        <v>57</v>
      </c>
      <c r="S10248">
        <v>7</v>
      </c>
      <c r="T10248">
        <v>231</v>
      </c>
      <c r="U10248" s="1">
        <v>38230</v>
      </c>
      <c r="V10248" t="s">
        <v>89</v>
      </c>
      <c r="W10248" t="s">
        <v>90</v>
      </c>
      <c r="X10248" t="s">
        <v>58</v>
      </c>
      <c r="Y10248">
        <v>25</v>
      </c>
      <c r="Z10248" t="s">
        <v>59</v>
      </c>
      <c r="AA10248" t="s">
        <v>59</v>
      </c>
      <c r="AB10248" t="s">
        <v>59</v>
      </c>
      <c r="AC10248" t="s">
        <v>59</v>
      </c>
      <c r="AD10248" t="s">
        <v>59</v>
      </c>
      <c r="AF10248" s="1">
        <v>38231</v>
      </c>
      <c r="AG10248" t="s">
        <v>8645</v>
      </c>
      <c r="AH10248" t="s">
        <v>8646</v>
      </c>
      <c r="AI10248" t="str">
        <f>"9500259"</f>
        <v>9500259</v>
      </c>
      <c r="AJ10248" t="s">
        <v>14017</v>
      </c>
      <c r="AK10248">
        <v>2823041459</v>
      </c>
      <c r="AL10248" t="s">
        <v>14018</v>
      </c>
      <c r="AM10248" t="s">
        <v>88</v>
      </c>
      <c r="AN10248" t="s">
        <v>6824</v>
      </c>
      <c r="AO10248" t="s">
        <v>6870</v>
      </c>
      <c r="AP10248" t="s">
        <v>14019</v>
      </c>
      <c r="AQ10248">
        <v>11</v>
      </c>
      <c r="AR10248" t="s">
        <v>89</v>
      </c>
      <c r="AS10248" t="s">
        <v>90</v>
      </c>
      <c r="AT10248" t="s">
        <v>58</v>
      </c>
      <c r="AU10248" t="s">
        <v>68</v>
      </c>
      <c r="AV10248" t="s">
        <v>69</v>
      </c>
      <c r="AW10248" s="1">
        <v>26962</v>
      </c>
      <c r="AX10248">
        <v>1</v>
      </c>
    </row>
    <row r="10249" spans="1:50">
      <c r="B10249" t="str">
        <f>"117618030"</f>
        <v>117618030</v>
      </c>
      <c r="C10249" t="s">
        <v>105</v>
      </c>
      <c r="D10249" t="s">
        <v>8058</v>
      </c>
      <c r="E10249" t="s">
        <v>1357</v>
      </c>
      <c r="F10249" t="s">
        <v>72</v>
      </c>
      <c r="G10249" t="s">
        <v>237</v>
      </c>
      <c r="H10249" t="str">
        <f>"ΠΟΣΕΙΔΩΝΟΣ ΚΑΙ ΦΑΕΘΩΝΟΣ 7 "</f>
        <v xml:space="preserve">ΠΟΣΕΙΔΩΝΟΣ ΚΑΙ ΦΑΕΘΩΝΟΣ 7 </v>
      </c>
      <c r="I10249">
        <v>55132</v>
      </c>
      <c r="J10249">
        <v>2310441857</v>
      </c>
      <c r="K10249">
        <v>6947803552</v>
      </c>
      <c r="N10249" t="s">
        <v>176</v>
      </c>
      <c r="O10249" t="s">
        <v>177</v>
      </c>
      <c r="R10249" t="s">
        <v>159</v>
      </c>
      <c r="S10249">
        <v>3</v>
      </c>
      <c r="T10249" t="s">
        <v>8675</v>
      </c>
      <c r="U10249" s="1">
        <v>43348</v>
      </c>
      <c r="V10249" t="s">
        <v>89</v>
      </c>
      <c r="W10249" t="s">
        <v>90</v>
      </c>
      <c r="X10249" t="s">
        <v>58</v>
      </c>
      <c r="Y10249">
        <v>24</v>
      </c>
      <c r="Z10249" t="s">
        <v>59</v>
      </c>
      <c r="AA10249" t="s">
        <v>59</v>
      </c>
      <c r="AB10249" t="s">
        <v>59</v>
      </c>
      <c r="AC10249" t="s">
        <v>59</v>
      </c>
      <c r="AD10249" t="s">
        <v>59</v>
      </c>
      <c r="AF10249" s="1">
        <v>43348</v>
      </c>
      <c r="AG10249" t="s">
        <v>8645</v>
      </c>
      <c r="AH10249" t="s">
        <v>8646</v>
      </c>
      <c r="AI10249" t="str">
        <f>"9500329"</f>
        <v>9500329</v>
      </c>
      <c r="AJ10249" t="s">
        <v>14241</v>
      </c>
      <c r="AK10249">
        <v>2821099075</v>
      </c>
      <c r="AL10249" t="s">
        <v>14242</v>
      </c>
      <c r="AM10249" t="s">
        <v>88</v>
      </c>
      <c r="AN10249" t="s">
        <v>88</v>
      </c>
      <c r="AO10249" t="s">
        <v>6733</v>
      </c>
      <c r="AP10249" t="s">
        <v>6734</v>
      </c>
      <c r="AQ10249">
        <v>2</v>
      </c>
      <c r="AR10249" t="s">
        <v>89</v>
      </c>
      <c r="AS10249" t="s">
        <v>90</v>
      </c>
      <c r="AT10249" t="s">
        <v>58</v>
      </c>
      <c r="AU10249" t="s">
        <v>8673</v>
      </c>
      <c r="AV10249" t="s">
        <v>132</v>
      </c>
      <c r="AW10249" s="1">
        <v>30912</v>
      </c>
      <c r="AX10249">
        <v>1</v>
      </c>
    </row>
    <row r="10250" spans="1:50">
      <c r="B10250" t="str">
        <f>"148057438"</f>
        <v>148057438</v>
      </c>
      <c r="C10250" t="s">
        <v>50</v>
      </c>
      <c r="D10250" t="s">
        <v>15179</v>
      </c>
      <c r="E10250" t="s">
        <v>569</v>
      </c>
      <c r="F10250" t="s">
        <v>989</v>
      </c>
      <c r="G10250" t="s">
        <v>460</v>
      </c>
      <c r="H10250" t="str">
        <f>"ΚΑΠΟΔΙΣΤΡΙΟΥ 68-72 "</f>
        <v xml:space="preserve">ΚΑΠΟΔΙΣΤΡΙΟΥ 68-72 </v>
      </c>
      <c r="I10250">
        <v>26222</v>
      </c>
      <c r="J10250">
        <v>2693071112</v>
      </c>
      <c r="K10250">
        <v>6981911465</v>
      </c>
      <c r="N10250" t="s">
        <v>615</v>
      </c>
      <c r="O10250" t="s">
        <v>616</v>
      </c>
      <c r="R10250" t="s">
        <v>159</v>
      </c>
      <c r="S10250">
        <v>4</v>
      </c>
      <c r="T10250" t="s">
        <v>8675</v>
      </c>
      <c r="U10250" s="1">
        <v>43348</v>
      </c>
      <c r="V10250" t="s">
        <v>89</v>
      </c>
      <c r="W10250" t="s">
        <v>90</v>
      </c>
      <c r="X10250" t="s">
        <v>58</v>
      </c>
      <c r="Y10250">
        <v>25</v>
      </c>
      <c r="Z10250" t="s">
        <v>59</v>
      </c>
      <c r="AA10250" t="s">
        <v>59</v>
      </c>
      <c r="AB10250" t="s">
        <v>59</v>
      </c>
      <c r="AC10250" t="s">
        <v>59</v>
      </c>
      <c r="AD10250" t="s">
        <v>59</v>
      </c>
      <c r="AF10250" s="1">
        <v>43348</v>
      </c>
      <c r="AG10250" t="s">
        <v>8645</v>
      </c>
      <c r="AH10250" t="s">
        <v>8676</v>
      </c>
      <c r="AI10250" t="str">
        <f>"9500184"</f>
        <v>9500184</v>
      </c>
      <c r="AJ10250" t="s">
        <v>14396</v>
      </c>
      <c r="AK10250">
        <v>2823051220</v>
      </c>
      <c r="AL10250" t="s">
        <v>14397</v>
      </c>
      <c r="AM10250" t="s">
        <v>88</v>
      </c>
      <c r="AN10250" t="s">
        <v>6824</v>
      </c>
      <c r="AO10250" t="s">
        <v>13966</v>
      </c>
      <c r="AP10250" t="s">
        <v>13967</v>
      </c>
      <c r="AQ10250">
        <v>11</v>
      </c>
      <c r="AR10250" t="s">
        <v>89</v>
      </c>
      <c r="AS10250" t="s">
        <v>90</v>
      </c>
      <c r="AT10250" t="s">
        <v>58</v>
      </c>
      <c r="AU10250" t="s">
        <v>8673</v>
      </c>
      <c r="AV10250" t="s">
        <v>132</v>
      </c>
      <c r="AW10250" s="1">
        <v>32253</v>
      </c>
      <c r="AX10250">
        <v>1</v>
      </c>
    </row>
    <row r="10251" spans="1:50">
      <c r="A10251">
        <v>702699</v>
      </c>
      <c r="B10251" t="str">
        <f>"045853667"</f>
        <v>045853667</v>
      </c>
      <c r="C10251" t="s">
        <v>50</v>
      </c>
      <c r="D10251" t="s">
        <v>3206</v>
      </c>
      <c r="E10251" t="s">
        <v>109</v>
      </c>
      <c r="F10251" t="s">
        <v>99</v>
      </c>
      <c r="G10251" t="s">
        <v>476</v>
      </c>
      <c r="H10251" t="str">
        <f>"ΒΡΥΣΩΝ ΛΕΝΤΑΡΙΑΝΑ"</f>
        <v>ΒΡΥΣΩΝ ΛΕΝΤΑΡΙΑΝΑ</v>
      </c>
      <c r="I10251">
        <v>73100</v>
      </c>
      <c r="J10251">
        <v>2821050850</v>
      </c>
      <c r="K10251">
        <v>6979445102</v>
      </c>
      <c r="N10251" t="s">
        <v>1525</v>
      </c>
      <c r="O10251" t="s">
        <v>1526</v>
      </c>
      <c r="R10251" t="s">
        <v>57</v>
      </c>
      <c r="S10251">
        <v>4</v>
      </c>
      <c r="T10251">
        <v>772</v>
      </c>
      <c r="U10251" s="1">
        <v>40413</v>
      </c>
      <c r="V10251" t="s">
        <v>89</v>
      </c>
      <c r="W10251" t="s">
        <v>90</v>
      </c>
      <c r="X10251" t="s">
        <v>58</v>
      </c>
      <c r="Y10251">
        <v>25</v>
      </c>
      <c r="Z10251" t="s">
        <v>59</v>
      </c>
      <c r="AA10251" t="s">
        <v>59</v>
      </c>
      <c r="AB10251" t="s">
        <v>59</v>
      </c>
      <c r="AC10251" t="s">
        <v>59</v>
      </c>
      <c r="AD10251" t="s">
        <v>59</v>
      </c>
      <c r="AF10251" s="1">
        <v>40413</v>
      </c>
      <c r="AG10251" t="s">
        <v>8651</v>
      </c>
      <c r="AH10251" t="s">
        <v>8652</v>
      </c>
      <c r="AI10251" t="str">
        <f>"9500346"</f>
        <v>9500346</v>
      </c>
      <c r="AJ10251" t="s">
        <v>14342</v>
      </c>
      <c r="AK10251">
        <v>2821076501</v>
      </c>
      <c r="AL10251" t="s">
        <v>14343</v>
      </c>
      <c r="AM10251" t="s">
        <v>88</v>
      </c>
      <c r="AN10251" t="s">
        <v>88</v>
      </c>
      <c r="AO10251" t="s">
        <v>88</v>
      </c>
      <c r="AP10251" t="s">
        <v>88</v>
      </c>
      <c r="AQ10251">
        <v>1</v>
      </c>
      <c r="AR10251" t="s">
        <v>89</v>
      </c>
      <c r="AS10251" t="s">
        <v>90</v>
      </c>
      <c r="AT10251" t="s">
        <v>58</v>
      </c>
      <c r="AU10251" t="s">
        <v>68</v>
      </c>
      <c r="AV10251" t="s">
        <v>69</v>
      </c>
      <c r="AW10251" s="1">
        <v>25948</v>
      </c>
      <c r="AX10251">
        <v>1</v>
      </c>
    </row>
    <row r="10252" spans="1:50">
      <c r="A10252">
        <v>581860</v>
      </c>
      <c r="B10252" t="str">
        <f>"039879691"</f>
        <v>039879691</v>
      </c>
      <c r="C10252" t="s">
        <v>50</v>
      </c>
      <c r="D10252" t="s">
        <v>3206</v>
      </c>
      <c r="E10252" t="s">
        <v>809</v>
      </c>
      <c r="F10252" t="s">
        <v>166</v>
      </c>
      <c r="G10252" t="s">
        <v>3467</v>
      </c>
      <c r="H10252" t="str">
        <f>"ΚΑΖΑΝΤΖΑΚΗ 403 ΜΑΚΡΥΣ ΤΟΙΧΟΣ - ΧΑΝΙΑ"</f>
        <v>ΚΑΖΑΝΤΖΑΚΗ 403 ΜΑΚΡΥΣ ΤΟΙΧΟΣ - ΧΑΝΙΑ</v>
      </c>
      <c r="I10252">
        <v>73100</v>
      </c>
      <c r="K10252">
        <v>6974943611</v>
      </c>
      <c r="N10252" t="s">
        <v>615</v>
      </c>
      <c r="O10252" t="s">
        <v>616</v>
      </c>
      <c r="R10252" t="s">
        <v>57</v>
      </c>
      <c r="S10252">
        <v>13</v>
      </c>
      <c r="T10252">
        <v>179</v>
      </c>
      <c r="U10252" s="1">
        <v>35674</v>
      </c>
      <c r="V10252" t="s">
        <v>89</v>
      </c>
      <c r="W10252" t="s">
        <v>90</v>
      </c>
      <c r="X10252" t="s">
        <v>58</v>
      </c>
      <c r="Y10252">
        <v>21</v>
      </c>
      <c r="Z10252" t="s">
        <v>59</v>
      </c>
      <c r="AA10252" t="s">
        <v>59</v>
      </c>
      <c r="AB10252" t="s">
        <v>59</v>
      </c>
      <c r="AC10252" t="s">
        <v>59</v>
      </c>
      <c r="AD10252" t="s">
        <v>59</v>
      </c>
      <c r="AF10252" s="1">
        <v>35674</v>
      </c>
      <c r="AG10252" t="s">
        <v>8645</v>
      </c>
      <c r="AH10252" t="s">
        <v>8646</v>
      </c>
      <c r="AI10252" t="str">
        <f>"9500139"</f>
        <v>9500139</v>
      </c>
      <c r="AJ10252" t="s">
        <v>14050</v>
      </c>
      <c r="AK10252">
        <v>2821096819</v>
      </c>
      <c r="AL10252" t="s">
        <v>14051</v>
      </c>
      <c r="AM10252" t="s">
        <v>88</v>
      </c>
      <c r="AN10252" t="s">
        <v>88</v>
      </c>
      <c r="AO10252" t="s">
        <v>88</v>
      </c>
      <c r="AP10252" t="s">
        <v>88</v>
      </c>
      <c r="AQ10252">
        <v>1</v>
      </c>
      <c r="AR10252" t="s">
        <v>89</v>
      </c>
      <c r="AS10252" t="s">
        <v>90</v>
      </c>
      <c r="AT10252" t="s">
        <v>58</v>
      </c>
      <c r="AU10252" t="s">
        <v>68</v>
      </c>
      <c r="AV10252" t="s">
        <v>69</v>
      </c>
      <c r="AW10252" s="1">
        <v>24027</v>
      </c>
      <c r="AX10252">
        <v>1</v>
      </c>
    </row>
    <row r="10253" spans="1:50">
      <c r="B10253" t="str">
        <f>"061317601"</f>
        <v>061317601</v>
      </c>
      <c r="C10253" t="s">
        <v>50</v>
      </c>
      <c r="D10253" t="s">
        <v>6346</v>
      </c>
      <c r="E10253" t="s">
        <v>83</v>
      </c>
      <c r="F10253" t="s">
        <v>53</v>
      </c>
      <c r="G10253" t="s">
        <v>4251</v>
      </c>
      <c r="H10253" t="str">
        <f>" "</f>
        <v xml:space="preserve"> </v>
      </c>
      <c r="K10253">
        <v>6978027186</v>
      </c>
      <c r="N10253" t="s">
        <v>615</v>
      </c>
      <c r="O10253" t="s">
        <v>616</v>
      </c>
      <c r="R10253" t="s">
        <v>121</v>
      </c>
      <c r="S10253">
        <v>1</v>
      </c>
      <c r="T10253" t="s">
        <v>9034</v>
      </c>
      <c r="U10253" s="1">
        <v>43377</v>
      </c>
      <c r="V10253" t="s">
        <v>89</v>
      </c>
      <c r="W10253" t="s">
        <v>90</v>
      </c>
      <c r="X10253" t="s">
        <v>58</v>
      </c>
      <c r="Y10253">
        <v>24</v>
      </c>
      <c r="Z10253" t="s">
        <v>59</v>
      </c>
      <c r="AA10253" t="s">
        <v>59</v>
      </c>
      <c r="AB10253" t="s">
        <v>59</v>
      </c>
      <c r="AD10253" t="s">
        <v>59</v>
      </c>
      <c r="AF10253" s="1">
        <v>43377</v>
      </c>
      <c r="AG10253" t="s">
        <v>8645</v>
      </c>
      <c r="AH10253" t="s">
        <v>8646</v>
      </c>
      <c r="AI10253" t="str">
        <f>"9500338"</f>
        <v>9500338</v>
      </c>
      <c r="AJ10253" t="s">
        <v>13959</v>
      </c>
      <c r="AK10253">
        <v>2821040556</v>
      </c>
      <c r="AL10253" t="s">
        <v>13960</v>
      </c>
      <c r="AM10253" t="s">
        <v>88</v>
      </c>
      <c r="AN10253" t="s">
        <v>88</v>
      </c>
      <c r="AO10253" t="s">
        <v>88</v>
      </c>
      <c r="AP10253" t="s">
        <v>88</v>
      </c>
      <c r="AQ10253">
        <v>1</v>
      </c>
      <c r="AR10253" t="s">
        <v>89</v>
      </c>
      <c r="AS10253" t="s">
        <v>90</v>
      </c>
      <c r="AT10253" t="s">
        <v>58</v>
      </c>
      <c r="AU10253" t="s">
        <v>8673</v>
      </c>
      <c r="AV10253" t="s">
        <v>132</v>
      </c>
      <c r="AW10253" s="1">
        <v>32771</v>
      </c>
      <c r="AX10253">
        <v>1</v>
      </c>
    </row>
    <row r="10254" spans="1:50">
      <c r="B10254" t="str">
        <f>"159558804"</f>
        <v>159558804</v>
      </c>
      <c r="C10254" t="s">
        <v>50</v>
      </c>
      <c r="D10254" t="s">
        <v>15180</v>
      </c>
      <c r="E10254" t="s">
        <v>83</v>
      </c>
      <c r="F10254" t="s">
        <v>72</v>
      </c>
      <c r="G10254" t="s">
        <v>1068</v>
      </c>
      <c r="H10254" t="str">
        <f>"Κουντουρά Καντάνου Σελίνου ΧΑΝΙΩΝ"</f>
        <v>Κουντουρά Καντάνου Σελίνου ΧΑΝΙΩΝ</v>
      </c>
      <c r="J10254">
        <v>2823041857</v>
      </c>
      <c r="K10254">
        <v>6984522167</v>
      </c>
      <c r="M10254" t="s">
        <v>15181</v>
      </c>
      <c r="N10254" t="s">
        <v>615</v>
      </c>
      <c r="O10254" t="s">
        <v>616</v>
      </c>
      <c r="R10254" t="s">
        <v>159</v>
      </c>
      <c r="S10254">
        <v>1</v>
      </c>
      <c r="T10254" t="s">
        <v>8717</v>
      </c>
      <c r="U10254" s="1">
        <v>43348</v>
      </c>
      <c r="V10254" t="s">
        <v>89</v>
      </c>
      <c r="W10254" t="s">
        <v>90</v>
      </c>
      <c r="X10254" t="s">
        <v>58</v>
      </c>
      <c r="Y10254">
        <v>24</v>
      </c>
      <c r="Z10254" t="s">
        <v>59</v>
      </c>
      <c r="AA10254" t="s">
        <v>59</v>
      </c>
      <c r="AB10254" t="s">
        <v>59</v>
      </c>
      <c r="AD10254" t="s">
        <v>59</v>
      </c>
      <c r="AF10254" s="1">
        <v>43348</v>
      </c>
      <c r="AG10254" t="s">
        <v>8645</v>
      </c>
      <c r="AH10254" t="s">
        <v>8646</v>
      </c>
      <c r="AI10254" t="str">
        <f>"9500259"</f>
        <v>9500259</v>
      </c>
      <c r="AJ10254" t="s">
        <v>14017</v>
      </c>
      <c r="AK10254">
        <v>2823041459</v>
      </c>
      <c r="AL10254" t="s">
        <v>14018</v>
      </c>
      <c r="AM10254" t="s">
        <v>88</v>
      </c>
      <c r="AN10254" t="s">
        <v>6824</v>
      </c>
      <c r="AO10254" t="s">
        <v>6870</v>
      </c>
      <c r="AP10254" t="s">
        <v>14019</v>
      </c>
      <c r="AQ10254">
        <v>11</v>
      </c>
      <c r="AR10254" t="s">
        <v>89</v>
      </c>
      <c r="AS10254" t="s">
        <v>90</v>
      </c>
      <c r="AT10254" t="s">
        <v>58</v>
      </c>
      <c r="AU10254" t="s">
        <v>8720</v>
      </c>
      <c r="AV10254" t="s">
        <v>132</v>
      </c>
      <c r="AW10254" s="1">
        <v>32794</v>
      </c>
      <c r="AX10254">
        <v>1</v>
      </c>
    </row>
    <row r="10255" spans="1:50">
      <c r="A10255">
        <v>613245</v>
      </c>
      <c r="B10255" t="str">
        <f>"137467514"</f>
        <v>137467514</v>
      </c>
      <c r="C10255" t="s">
        <v>50</v>
      </c>
      <c r="D10255" t="s">
        <v>3224</v>
      </c>
      <c r="E10255" t="s">
        <v>255</v>
      </c>
      <c r="F10255" t="s">
        <v>84</v>
      </c>
      <c r="G10255" t="s">
        <v>52</v>
      </c>
      <c r="H10255" t="str">
        <f>"ΧΡΥΣΟΠΗΓΗΣ 39 ΧΑΝΙΑ"</f>
        <v>ΧΡΥΣΟΠΗΓΗΣ 39 ΧΑΝΙΑ</v>
      </c>
      <c r="I10255">
        <v>73100</v>
      </c>
      <c r="J10255">
        <v>2821072715</v>
      </c>
      <c r="K10255">
        <v>6949204899</v>
      </c>
      <c r="N10255" t="s">
        <v>615</v>
      </c>
      <c r="O10255" t="s">
        <v>616</v>
      </c>
      <c r="R10255" t="s">
        <v>57</v>
      </c>
      <c r="S10255">
        <v>6</v>
      </c>
      <c r="T10255">
        <v>598</v>
      </c>
      <c r="U10255" s="1">
        <v>39310</v>
      </c>
      <c r="V10255" t="s">
        <v>89</v>
      </c>
      <c r="W10255" t="s">
        <v>90</v>
      </c>
      <c r="X10255" t="s">
        <v>58</v>
      </c>
      <c r="Y10255">
        <v>23</v>
      </c>
      <c r="Z10255" t="s">
        <v>59</v>
      </c>
      <c r="AA10255" t="s">
        <v>59</v>
      </c>
      <c r="AB10255" t="s">
        <v>59</v>
      </c>
      <c r="AC10255" t="s">
        <v>59</v>
      </c>
      <c r="AD10255" t="s">
        <v>59</v>
      </c>
      <c r="AF10255" s="1">
        <v>39310</v>
      </c>
      <c r="AG10255" t="s">
        <v>8645</v>
      </c>
      <c r="AH10255" t="s">
        <v>8646</v>
      </c>
      <c r="AI10255" t="str">
        <f>"9500358"</f>
        <v>9500358</v>
      </c>
      <c r="AJ10255" t="s">
        <v>13948</v>
      </c>
      <c r="AK10255">
        <v>2821093459</v>
      </c>
      <c r="AL10255" t="s">
        <v>13949</v>
      </c>
      <c r="AM10255" t="s">
        <v>88</v>
      </c>
      <c r="AN10255" t="s">
        <v>88</v>
      </c>
      <c r="AO10255" t="s">
        <v>6733</v>
      </c>
      <c r="AP10255" t="s">
        <v>6755</v>
      </c>
      <c r="AQ10255">
        <v>2</v>
      </c>
      <c r="AR10255" t="s">
        <v>89</v>
      </c>
      <c r="AS10255" t="s">
        <v>90</v>
      </c>
      <c r="AT10255" t="s">
        <v>58</v>
      </c>
      <c r="AU10255" t="s">
        <v>68</v>
      </c>
      <c r="AV10255" t="s">
        <v>69</v>
      </c>
      <c r="AW10255" s="1">
        <v>30051</v>
      </c>
      <c r="AX10255">
        <v>1</v>
      </c>
    </row>
    <row r="10256" spans="1:50">
      <c r="A10256">
        <v>701030</v>
      </c>
      <c r="B10256" t="str">
        <f>"137455921"</f>
        <v>137455921</v>
      </c>
      <c r="C10256" t="s">
        <v>50</v>
      </c>
      <c r="D10256" t="s">
        <v>11023</v>
      </c>
      <c r="E10256" t="s">
        <v>255</v>
      </c>
      <c r="F10256" t="s">
        <v>95</v>
      </c>
      <c r="G10256" t="s">
        <v>263</v>
      </c>
      <c r="H10256" t="str">
        <f>"ΜΕΛΑΜΠΕΣ "</f>
        <v xml:space="preserve">ΜΕΛΑΜΠΕΣ </v>
      </c>
      <c r="I10256">
        <v>74053</v>
      </c>
      <c r="J10256">
        <v>2832041448</v>
      </c>
      <c r="K10256">
        <v>6983718771</v>
      </c>
      <c r="N10256" t="s">
        <v>1525</v>
      </c>
      <c r="O10256" t="s">
        <v>1526</v>
      </c>
      <c r="R10256" t="s">
        <v>57</v>
      </c>
      <c r="S10256">
        <v>6</v>
      </c>
      <c r="T10256">
        <v>772</v>
      </c>
      <c r="U10256" s="1">
        <v>40413</v>
      </c>
      <c r="V10256" t="s">
        <v>89</v>
      </c>
      <c r="W10256" t="s">
        <v>90</v>
      </c>
      <c r="X10256" t="s">
        <v>58</v>
      </c>
      <c r="Y10256">
        <v>25</v>
      </c>
      <c r="Z10256" t="s">
        <v>59</v>
      </c>
      <c r="AA10256" t="s">
        <v>59</v>
      </c>
      <c r="AB10256" t="s">
        <v>59</v>
      </c>
      <c r="AC10256" t="s">
        <v>59</v>
      </c>
      <c r="AD10256" t="s">
        <v>59</v>
      </c>
      <c r="AF10256" s="1">
        <v>40413</v>
      </c>
      <c r="AG10256" t="s">
        <v>8651</v>
      </c>
      <c r="AH10256" t="s">
        <v>8652</v>
      </c>
      <c r="AI10256" t="str">
        <f>"9500258"</f>
        <v>9500258</v>
      </c>
      <c r="AJ10256" t="s">
        <v>14162</v>
      </c>
      <c r="AK10256">
        <v>2821090938</v>
      </c>
      <c r="AL10256" t="s">
        <v>14163</v>
      </c>
      <c r="AM10256" t="s">
        <v>88</v>
      </c>
      <c r="AN10256" t="s">
        <v>88</v>
      </c>
      <c r="AO10256" t="s">
        <v>88</v>
      </c>
      <c r="AP10256" t="s">
        <v>88</v>
      </c>
      <c r="AQ10256">
        <v>1</v>
      </c>
      <c r="AR10256" t="s">
        <v>89</v>
      </c>
      <c r="AS10256" t="s">
        <v>90</v>
      </c>
      <c r="AT10256" t="s">
        <v>58</v>
      </c>
      <c r="AU10256" t="s">
        <v>68</v>
      </c>
      <c r="AV10256" t="s">
        <v>69</v>
      </c>
      <c r="AW10256" s="1">
        <v>31379</v>
      </c>
      <c r="AX10256">
        <v>1</v>
      </c>
    </row>
    <row r="10257" spans="1:50">
      <c r="A10257">
        <v>577455</v>
      </c>
      <c r="B10257" t="str">
        <f>"035842252"</f>
        <v>035842252</v>
      </c>
      <c r="C10257" t="s">
        <v>105</v>
      </c>
      <c r="D10257" t="s">
        <v>3230</v>
      </c>
      <c r="E10257" t="s">
        <v>99</v>
      </c>
      <c r="F10257" t="s">
        <v>377</v>
      </c>
      <c r="G10257" t="s">
        <v>15182</v>
      </c>
      <c r="H10257" t="str">
        <f>" "</f>
        <v xml:space="preserve"> </v>
      </c>
      <c r="N10257" t="s">
        <v>176</v>
      </c>
      <c r="O10257" t="s">
        <v>177</v>
      </c>
      <c r="R10257" t="s">
        <v>57</v>
      </c>
      <c r="S10257">
        <v>12</v>
      </c>
      <c r="T10257">
        <v>184</v>
      </c>
      <c r="U10257" s="1">
        <v>34941</v>
      </c>
      <c r="V10257" t="s">
        <v>89</v>
      </c>
      <c r="W10257" t="s">
        <v>90</v>
      </c>
      <c r="X10257" t="s">
        <v>58</v>
      </c>
      <c r="Y10257">
        <v>21</v>
      </c>
      <c r="Z10257" t="s">
        <v>59</v>
      </c>
      <c r="AA10257" t="s">
        <v>59</v>
      </c>
      <c r="AB10257" t="s">
        <v>59</v>
      </c>
      <c r="AC10257" t="s">
        <v>59</v>
      </c>
      <c r="AD10257" t="s">
        <v>59</v>
      </c>
      <c r="AF10257" s="1">
        <v>34941</v>
      </c>
      <c r="AG10257" t="s">
        <v>8645</v>
      </c>
      <c r="AH10257" t="s">
        <v>8646</v>
      </c>
      <c r="AI10257" t="str">
        <f>"9500040"</f>
        <v>9500040</v>
      </c>
      <c r="AJ10257" t="s">
        <v>13906</v>
      </c>
      <c r="AK10257">
        <v>2821045356</v>
      </c>
      <c r="AL10257" t="s">
        <v>13907</v>
      </c>
      <c r="AM10257" t="s">
        <v>88</v>
      </c>
      <c r="AN10257" t="s">
        <v>88</v>
      </c>
      <c r="AO10257" t="s">
        <v>88</v>
      </c>
      <c r="AP10257" t="s">
        <v>88</v>
      </c>
      <c r="AQ10257">
        <v>1</v>
      </c>
      <c r="AR10257" t="s">
        <v>89</v>
      </c>
      <c r="AS10257" t="s">
        <v>90</v>
      </c>
      <c r="AT10257" t="s">
        <v>58</v>
      </c>
      <c r="AU10257" t="s">
        <v>68</v>
      </c>
      <c r="AV10257" t="s">
        <v>69</v>
      </c>
      <c r="AW10257" s="1">
        <v>24168</v>
      </c>
      <c r="AX10257">
        <v>1</v>
      </c>
    </row>
    <row r="10258" spans="1:50">
      <c r="A10258">
        <v>621626</v>
      </c>
      <c r="B10258" t="str">
        <f>"135764654"</f>
        <v>135764654</v>
      </c>
      <c r="C10258" t="s">
        <v>50</v>
      </c>
      <c r="D10258" t="s">
        <v>3232</v>
      </c>
      <c r="E10258" t="s">
        <v>1355</v>
      </c>
      <c r="F10258" t="s">
        <v>1357</v>
      </c>
      <c r="G10258" t="s">
        <v>476</v>
      </c>
      <c r="H10258" t="str">
        <f>"ΚΟΡΥΤΣΑΣ 31 ΣΤΑΥΡΟΥΠΟΛΗ ΘΕΣΣΑΛΟΝΙΚΗΣ"</f>
        <v>ΚΟΡΥΤΣΑΣ 31 ΣΤΑΥΡΟΥΠΟΛΗ ΘΕΣΣΑΛΟΝΙΚΗΣ</v>
      </c>
      <c r="I10258">
        <v>56431</v>
      </c>
      <c r="J10258">
        <v>2310603564</v>
      </c>
      <c r="K10258">
        <v>6974822608</v>
      </c>
      <c r="N10258" t="s">
        <v>615</v>
      </c>
      <c r="O10258" t="s">
        <v>616</v>
      </c>
      <c r="R10258" t="s">
        <v>57</v>
      </c>
      <c r="S10258">
        <v>4</v>
      </c>
      <c r="T10258">
        <v>653</v>
      </c>
      <c r="U10258" s="1">
        <v>40043</v>
      </c>
      <c r="V10258" t="s">
        <v>89</v>
      </c>
      <c r="W10258" t="s">
        <v>90</v>
      </c>
      <c r="X10258" t="s">
        <v>58</v>
      </c>
      <c r="Y10258">
        <v>23</v>
      </c>
      <c r="Z10258" t="s">
        <v>59</v>
      </c>
      <c r="AA10258" t="s">
        <v>59</v>
      </c>
      <c r="AB10258" t="s">
        <v>59</v>
      </c>
      <c r="AC10258" t="s">
        <v>59</v>
      </c>
      <c r="AD10258" t="s">
        <v>59</v>
      </c>
      <c r="AF10258" s="1">
        <v>40045</v>
      </c>
      <c r="AG10258" t="s">
        <v>8645</v>
      </c>
      <c r="AH10258" t="s">
        <v>8646</v>
      </c>
      <c r="AI10258" t="str">
        <f>"9500173"</f>
        <v>9500173</v>
      </c>
      <c r="AJ10258" t="s">
        <v>14513</v>
      </c>
      <c r="AK10258">
        <v>2823022235</v>
      </c>
      <c r="AL10258" t="s">
        <v>14514</v>
      </c>
      <c r="AM10258" t="s">
        <v>88</v>
      </c>
      <c r="AN10258" t="s">
        <v>6824</v>
      </c>
      <c r="AO10258" t="s">
        <v>6825</v>
      </c>
      <c r="AP10258" t="s">
        <v>6826</v>
      </c>
      <c r="AQ10258">
        <v>11</v>
      </c>
      <c r="AR10258" t="s">
        <v>89</v>
      </c>
      <c r="AS10258" t="s">
        <v>90</v>
      </c>
      <c r="AT10258" t="s">
        <v>58</v>
      </c>
      <c r="AU10258" t="s">
        <v>68</v>
      </c>
      <c r="AV10258" t="s">
        <v>69</v>
      </c>
      <c r="AW10258" s="1">
        <v>31171</v>
      </c>
      <c r="AX10258">
        <v>1</v>
      </c>
    </row>
    <row r="10259" spans="1:50">
      <c r="B10259" t="str">
        <f>"156152429"</f>
        <v>156152429</v>
      </c>
      <c r="C10259" t="s">
        <v>50</v>
      </c>
      <c r="D10259" t="s">
        <v>3232</v>
      </c>
      <c r="E10259" t="s">
        <v>143</v>
      </c>
      <c r="F10259" t="s">
        <v>95</v>
      </c>
      <c r="G10259" t="s">
        <v>237</v>
      </c>
      <c r="H10259" t="str">
        <f>" "</f>
        <v xml:space="preserve"> </v>
      </c>
      <c r="N10259" t="s">
        <v>9829</v>
      </c>
      <c r="O10259" t="s">
        <v>9830</v>
      </c>
      <c r="R10259" t="s">
        <v>121</v>
      </c>
      <c r="S10259">
        <v>3</v>
      </c>
      <c r="T10259" t="s">
        <v>8835</v>
      </c>
      <c r="U10259" s="1">
        <v>43348</v>
      </c>
      <c r="V10259" t="s">
        <v>89</v>
      </c>
      <c r="W10259" t="s">
        <v>90</v>
      </c>
      <c r="X10259" t="s">
        <v>58</v>
      </c>
      <c r="Y10259">
        <v>25</v>
      </c>
      <c r="Z10259" t="s">
        <v>59</v>
      </c>
      <c r="AA10259" t="s">
        <v>59</v>
      </c>
      <c r="AB10259" t="s">
        <v>59</v>
      </c>
      <c r="AD10259" t="s">
        <v>59</v>
      </c>
      <c r="AF10259" s="1">
        <v>43348</v>
      </c>
      <c r="AG10259" t="s">
        <v>8651</v>
      </c>
      <c r="AH10259" t="s">
        <v>8652</v>
      </c>
      <c r="AI10259" t="str">
        <f>"9500362"</f>
        <v>9500362</v>
      </c>
      <c r="AJ10259" t="s">
        <v>14363</v>
      </c>
      <c r="AK10259">
        <v>2825022337</v>
      </c>
      <c r="AL10259" t="s">
        <v>14364</v>
      </c>
      <c r="AM10259" t="s">
        <v>88</v>
      </c>
      <c r="AN10259" t="s">
        <v>6775</v>
      </c>
      <c r="AO10259" t="s">
        <v>6776</v>
      </c>
      <c r="AP10259" t="s">
        <v>6776</v>
      </c>
      <c r="AQ10259">
        <v>7</v>
      </c>
      <c r="AR10259" t="s">
        <v>89</v>
      </c>
      <c r="AS10259" t="s">
        <v>90</v>
      </c>
      <c r="AT10259" t="s">
        <v>58</v>
      </c>
      <c r="AU10259" t="s">
        <v>131</v>
      </c>
      <c r="AV10259" t="s">
        <v>132</v>
      </c>
      <c r="AW10259" s="1">
        <v>33506</v>
      </c>
      <c r="AX10259">
        <v>1</v>
      </c>
    </row>
    <row r="10260" spans="1:50">
      <c r="A10260">
        <v>621427</v>
      </c>
      <c r="B10260" t="str">
        <f>"104821226"</f>
        <v>104821226</v>
      </c>
      <c r="C10260" t="s">
        <v>50</v>
      </c>
      <c r="D10260" t="s">
        <v>3232</v>
      </c>
      <c r="E10260" t="s">
        <v>83</v>
      </c>
      <c r="F10260" t="s">
        <v>95</v>
      </c>
      <c r="G10260" t="s">
        <v>382</v>
      </c>
      <c r="H10260" t="str">
        <f>"ΡΟΔΟΠΗΣ 1 ΗΛΙΟΥΠΟΛΗ-ΑΤΤΙΚΗ"</f>
        <v>ΡΟΔΟΠΗΣ 1 ΗΛΙΟΥΠΟΛΗ-ΑΤΤΙΚΗ</v>
      </c>
      <c r="I10260">
        <v>16344</v>
      </c>
      <c r="J10260">
        <v>2109712854</v>
      </c>
      <c r="K10260">
        <v>6973389550</v>
      </c>
      <c r="N10260" t="s">
        <v>615</v>
      </c>
      <c r="O10260" t="s">
        <v>616</v>
      </c>
      <c r="R10260" t="s">
        <v>57</v>
      </c>
      <c r="S10260">
        <v>5</v>
      </c>
      <c r="T10260">
        <v>653</v>
      </c>
      <c r="U10260" s="1">
        <v>40043</v>
      </c>
      <c r="V10260" t="s">
        <v>89</v>
      </c>
      <c r="W10260" t="s">
        <v>90</v>
      </c>
      <c r="X10260" t="s">
        <v>58</v>
      </c>
      <c r="Y10260">
        <v>23</v>
      </c>
      <c r="Z10260" t="s">
        <v>59</v>
      </c>
      <c r="AA10260" t="s">
        <v>59</v>
      </c>
      <c r="AB10260" t="s">
        <v>59</v>
      </c>
      <c r="AC10260" t="s">
        <v>59</v>
      </c>
      <c r="AD10260" t="s">
        <v>59</v>
      </c>
      <c r="AF10260" s="1">
        <v>40043</v>
      </c>
      <c r="AG10260" t="s">
        <v>8645</v>
      </c>
      <c r="AH10260" t="s">
        <v>8676</v>
      </c>
      <c r="AI10260" t="str">
        <f>"9500080"</f>
        <v>9500080</v>
      </c>
      <c r="AJ10260" t="s">
        <v>15183</v>
      </c>
      <c r="AK10260">
        <v>2821077880</v>
      </c>
      <c r="AL10260" t="s">
        <v>15184</v>
      </c>
      <c r="AM10260" t="s">
        <v>88</v>
      </c>
      <c r="AN10260" t="s">
        <v>88</v>
      </c>
      <c r="AO10260" t="s">
        <v>13920</v>
      </c>
      <c r="AP10260" t="s">
        <v>12838</v>
      </c>
      <c r="AQ10260">
        <v>10</v>
      </c>
      <c r="AR10260" t="s">
        <v>89</v>
      </c>
      <c r="AS10260" t="s">
        <v>90</v>
      </c>
      <c r="AT10260" t="s">
        <v>58</v>
      </c>
      <c r="AU10260" t="s">
        <v>68</v>
      </c>
      <c r="AV10260" t="s">
        <v>69</v>
      </c>
      <c r="AW10260" s="1">
        <v>27963</v>
      </c>
      <c r="AX10260">
        <v>1</v>
      </c>
    </row>
    <row r="10261" spans="1:50">
      <c r="A10261">
        <v>588439</v>
      </c>
      <c r="B10261" t="str">
        <f>"100637616"</f>
        <v>100637616</v>
      </c>
      <c r="C10261" t="s">
        <v>50</v>
      </c>
      <c r="D10261" t="s">
        <v>3232</v>
      </c>
      <c r="E10261" t="s">
        <v>382</v>
      </c>
      <c r="F10261" t="s">
        <v>72</v>
      </c>
      <c r="G10261" t="s">
        <v>460</v>
      </c>
      <c r="H10261" t="str">
        <f>"ΤΑΥΡΩΝΙΤΗΣ ΚΟΛΥΜΒΑΡΙΟΥ ΤΑΥΡΩΝΙΤΗΣ ΧΑΝΙΑ"</f>
        <v>ΤΑΥΡΩΝΙΤΗΣ ΚΟΛΥΜΒΑΡΙΟΥ ΤΑΥΡΩΝΙΤΗΣ ΧΑΝΙΑ</v>
      </c>
      <c r="I10261">
        <v>73006</v>
      </c>
      <c r="J10261">
        <v>2824024006</v>
      </c>
      <c r="K10261">
        <v>6978913757</v>
      </c>
      <c r="N10261" t="s">
        <v>615</v>
      </c>
      <c r="O10261" t="s">
        <v>616</v>
      </c>
      <c r="R10261" t="s">
        <v>57</v>
      </c>
      <c r="S10261">
        <v>9</v>
      </c>
      <c r="T10261">
        <v>176</v>
      </c>
      <c r="U10261" s="1">
        <v>36403</v>
      </c>
      <c r="V10261" t="s">
        <v>89</v>
      </c>
      <c r="W10261" t="s">
        <v>90</v>
      </c>
      <c r="X10261" t="s">
        <v>58</v>
      </c>
      <c r="Y10261">
        <v>22</v>
      </c>
      <c r="Z10261" t="s">
        <v>59</v>
      </c>
      <c r="AA10261" t="s">
        <v>59</v>
      </c>
      <c r="AB10261" t="s">
        <v>59</v>
      </c>
      <c r="AC10261" t="s">
        <v>59</v>
      </c>
      <c r="AD10261" t="s">
        <v>59</v>
      </c>
      <c r="AF10261" s="1">
        <v>36406</v>
      </c>
      <c r="AG10261" t="s">
        <v>8645</v>
      </c>
      <c r="AH10261" t="s">
        <v>8646</v>
      </c>
      <c r="AI10261" t="str">
        <f>"9500126"</f>
        <v>9500126</v>
      </c>
      <c r="AJ10261" t="s">
        <v>14245</v>
      </c>
      <c r="AK10261">
        <v>2824031229</v>
      </c>
      <c r="AL10261" t="s">
        <v>14246</v>
      </c>
      <c r="AM10261" t="s">
        <v>88</v>
      </c>
      <c r="AN10261" t="s">
        <v>6764</v>
      </c>
      <c r="AO10261" t="s">
        <v>6765</v>
      </c>
      <c r="AP10261" t="s">
        <v>6765</v>
      </c>
      <c r="AQ10261">
        <v>6</v>
      </c>
      <c r="AR10261" t="s">
        <v>89</v>
      </c>
      <c r="AS10261" t="s">
        <v>90</v>
      </c>
      <c r="AT10261" t="s">
        <v>58</v>
      </c>
      <c r="AU10261" t="s">
        <v>68</v>
      </c>
      <c r="AV10261" t="s">
        <v>69</v>
      </c>
      <c r="AW10261" s="1">
        <v>24235</v>
      </c>
      <c r="AX10261">
        <v>1</v>
      </c>
    </row>
    <row r="10262" spans="1:50">
      <c r="A10262">
        <v>614616</v>
      </c>
      <c r="B10262" t="str">
        <f>"140264630"</f>
        <v>140264630</v>
      </c>
      <c r="C10262" t="s">
        <v>50</v>
      </c>
      <c r="D10262" t="s">
        <v>3232</v>
      </c>
      <c r="E10262" t="s">
        <v>340</v>
      </c>
      <c r="F10262" t="s">
        <v>1679</v>
      </c>
      <c r="G10262" t="s">
        <v>263</v>
      </c>
      <c r="H10262" t="str">
        <f>"Β ΠΑΡΟΔΟΣ ΕΜΜ.ΠΑΠΠΑ 7  ΑΣΒΕΣΤΟΧΩΡΙ ΘΕΣΣΑΛΟΝΙΚΗ"</f>
        <v>Β ΠΑΡΟΔΟΣ ΕΜΜ.ΠΑΠΠΑ 7  ΑΣΒΕΣΤΟΧΩΡΙ ΘΕΣΣΑΛΟΝΙΚΗ</v>
      </c>
      <c r="I10262">
        <v>57010</v>
      </c>
      <c r="J10262">
        <v>2310358064</v>
      </c>
      <c r="K10262">
        <v>6978120324</v>
      </c>
      <c r="N10262" t="s">
        <v>615</v>
      </c>
      <c r="O10262" t="s">
        <v>616</v>
      </c>
      <c r="R10262" t="s">
        <v>57</v>
      </c>
      <c r="S10262">
        <v>6</v>
      </c>
      <c r="T10262">
        <v>598</v>
      </c>
      <c r="U10262" s="1">
        <v>39310</v>
      </c>
      <c r="V10262" t="s">
        <v>89</v>
      </c>
      <c r="W10262" t="s">
        <v>90</v>
      </c>
      <c r="X10262" t="s">
        <v>58</v>
      </c>
      <c r="Y10262">
        <v>23</v>
      </c>
      <c r="Z10262" t="s">
        <v>59</v>
      </c>
      <c r="AA10262" t="s">
        <v>59</v>
      </c>
      <c r="AB10262" t="s">
        <v>59</v>
      </c>
      <c r="AC10262" t="s">
        <v>59</v>
      </c>
      <c r="AD10262" t="s">
        <v>59</v>
      </c>
      <c r="AF10262" s="1">
        <v>39328</v>
      </c>
      <c r="AG10262" t="s">
        <v>8645</v>
      </c>
      <c r="AH10262" t="s">
        <v>8646</v>
      </c>
      <c r="AI10262" t="str">
        <f>"9500115"</f>
        <v>9500115</v>
      </c>
      <c r="AJ10262" t="s">
        <v>14180</v>
      </c>
      <c r="AK10262">
        <v>2821081133</v>
      </c>
      <c r="AL10262" t="s">
        <v>14181</v>
      </c>
      <c r="AM10262" t="s">
        <v>88</v>
      </c>
      <c r="AN10262" t="s">
        <v>88</v>
      </c>
      <c r="AO10262" t="s">
        <v>6748</v>
      </c>
      <c r="AP10262" t="s">
        <v>14182</v>
      </c>
      <c r="AQ10262">
        <v>2</v>
      </c>
      <c r="AR10262" t="s">
        <v>89</v>
      </c>
      <c r="AS10262" t="s">
        <v>90</v>
      </c>
      <c r="AT10262" t="s">
        <v>58</v>
      </c>
      <c r="AU10262" t="s">
        <v>68</v>
      </c>
      <c r="AV10262" t="s">
        <v>69</v>
      </c>
      <c r="AW10262" s="1">
        <v>30759</v>
      </c>
      <c r="AX10262">
        <v>1</v>
      </c>
    </row>
    <row r="10263" spans="1:50">
      <c r="B10263" t="str">
        <f>"138884798"</f>
        <v>138884798</v>
      </c>
      <c r="C10263" t="s">
        <v>50</v>
      </c>
      <c r="D10263" t="s">
        <v>3232</v>
      </c>
      <c r="E10263" t="s">
        <v>52</v>
      </c>
      <c r="F10263" t="s">
        <v>900</v>
      </c>
      <c r="G10263" t="s">
        <v>109</v>
      </c>
      <c r="H10263" t="str">
        <f>"ΕΡΥΜΑΝΘΟΥ 27 "</f>
        <v xml:space="preserve">ΕΡΥΜΑΝΘΟΥ 27 </v>
      </c>
      <c r="I10263">
        <v>22100</v>
      </c>
      <c r="J10263">
        <v>2710233154</v>
      </c>
      <c r="K10263">
        <v>6987142808</v>
      </c>
      <c r="N10263" t="s">
        <v>337</v>
      </c>
      <c r="O10263" t="s">
        <v>338</v>
      </c>
      <c r="R10263" t="s">
        <v>159</v>
      </c>
      <c r="S10263">
        <v>4</v>
      </c>
      <c r="T10263" t="s">
        <v>8675</v>
      </c>
      <c r="U10263" s="1">
        <v>43348</v>
      </c>
      <c r="V10263" t="s">
        <v>89</v>
      </c>
      <c r="W10263" t="s">
        <v>90</v>
      </c>
      <c r="X10263" t="s">
        <v>58</v>
      </c>
      <c r="Y10263">
        <v>24</v>
      </c>
      <c r="Z10263" t="s">
        <v>59</v>
      </c>
      <c r="AA10263" t="s">
        <v>59</v>
      </c>
      <c r="AB10263" t="s">
        <v>59</v>
      </c>
      <c r="AC10263" t="s">
        <v>59</v>
      </c>
      <c r="AD10263" t="s">
        <v>59</v>
      </c>
      <c r="AF10263" s="1">
        <v>43348</v>
      </c>
      <c r="AG10263" t="s">
        <v>8645</v>
      </c>
      <c r="AH10263" t="s">
        <v>8646</v>
      </c>
      <c r="AI10263" t="str">
        <f>"9500093"</f>
        <v>9500093</v>
      </c>
      <c r="AJ10263" t="s">
        <v>13865</v>
      </c>
      <c r="AK10263">
        <v>2821064537</v>
      </c>
      <c r="AL10263" t="s">
        <v>13866</v>
      </c>
      <c r="AM10263" t="s">
        <v>88</v>
      </c>
      <c r="AN10263" t="s">
        <v>88</v>
      </c>
      <c r="AO10263" t="s">
        <v>6770</v>
      </c>
      <c r="AP10263" t="s">
        <v>6771</v>
      </c>
      <c r="AQ10263">
        <v>2</v>
      </c>
      <c r="AR10263" t="s">
        <v>89</v>
      </c>
      <c r="AS10263" t="s">
        <v>90</v>
      </c>
      <c r="AT10263" t="s">
        <v>58</v>
      </c>
      <c r="AU10263" t="s">
        <v>8673</v>
      </c>
      <c r="AV10263" t="s">
        <v>132</v>
      </c>
      <c r="AW10263" s="1">
        <v>30032</v>
      </c>
      <c r="AX10263">
        <v>1</v>
      </c>
    </row>
    <row r="10264" spans="1:50">
      <c r="A10264">
        <v>616897</v>
      </c>
      <c r="B10264" t="str">
        <f>"125753588"</f>
        <v>125753588</v>
      </c>
      <c r="C10264" t="s">
        <v>50</v>
      </c>
      <c r="D10264" t="s">
        <v>3232</v>
      </c>
      <c r="E10264" t="s">
        <v>52</v>
      </c>
      <c r="F10264" t="s">
        <v>670</v>
      </c>
      <c r="G10264" t="s">
        <v>699</v>
      </c>
      <c r="H10264" t="str">
        <f>"ΑΓΝ. ΣΤΡΑΤΙΩΤΗ 12 ΘΕΣ/ΝΙΚΗ"</f>
        <v>ΑΓΝ. ΣΤΡΑΤΙΩΤΗ 12 ΘΕΣ/ΝΙΚΗ</v>
      </c>
      <c r="I10264">
        <v>56533</v>
      </c>
      <c r="J10264">
        <v>2310627803</v>
      </c>
      <c r="K10264">
        <v>6973526479</v>
      </c>
      <c r="L10264">
        <v>6973526479</v>
      </c>
      <c r="M10264" t="s">
        <v>15185</v>
      </c>
      <c r="N10264" t="s">
        <v>615</v>
      </c>
      <c r="O10264" t="s">
        <v>616</v>
      </c>
      <c r="R10264" t="s">
        <v>57</v>
      </c>
      <c r="S10264">
        <v>6</v>
      </c>
      <c r="T10264">
        <v>774</v>
      </c>
      <c r="U10264" s="1">
        <v>39680</v>
      </c>
      <c r="V10264" t="s">
        <v>89</v>
      </c>
      <c r="W10264" t="s">
        <v>90</v>
      </c>
      <c r="X10264" t="s">
        <v>58</v>
      </c>
      <c r="Y10264">
        <v>23</v>
      </c>
      <c r="Z10264" t="s">
        <v>59</v>
      </c>
      <c r="AA10264" t="s">
        <v>59</v>
      </c>
      <c r="AB10264" t="s">
        <v>59</v>
      </c>
      <c r="AC10264" t="s">
        <v>59</v>
      </c>
      <c r="AD10264" t="s">
        <v>59</v>
      </c>
      <c r="AF10264" s="1">
        <v>39681</v>
      </c>
      <c r="AG10264" t="s">
        <v>8645</v>
      </c>
      <c r="AH10264" t="s">
        <v>8646</v>
      </c>
      <c r="AI10264" t="str">
        <f>"9500175"</f>
        <v>9500175</v>
      </c>
      <c r="AJ10264" t="s">
        <v>14538</v>
      </c>
      <c r="AK10264">
        <v>2823041233</v>
      </c>
      <c r="AL10264" t="s">
        <v>14539</v>
      </c>
      <c r="AM10264" t="s">
        <v>88</v>
      </c>
      <c r="AN10264" t="s">
        <v>6824</v>
      </c>
      <c r="AO10264" t="s">
        <v>6870</v>
      </c>
      <c r="AP10264" t="s">
        <v>6871</v>
      </c>
      <c r="AQ10264">
        <v>11</v>
      </c>
      <c r="AR10264" t="s">
        <v>89</v>
      </c>
      <c r="AS10264" t="s">
        <v>90</v>
      </c>
      <c r="AT10264" t="s">
        <v>58</v>
      </c>
      <c r="AU10264" t="s">
        <v>68</v>
      </c>
      <c r="AV10264" t="s">
        <v>69</v>
      </c>
      <c r="AW10264" s="1">
        <v>30122</v>
      </c>
      <c r="AX10264">
        <v>1</v>
      </c>
    </row>
    <row r="10265" spans="1:50">
      <c r="A10265">
        <v>203111</v>
      </c>
      <c r="B10265" t="str">
        <f>"035135232"</f>
        <v>035135232</v>
      </c>
      <c r="C10265" t="s">
        <v>50</v>
      </c>
      <c r="D10265" t="s">
        <v>3232</v>
      </c>
      <c r="E10265" t="s">
        <v>610</v>
      </c>
      <c r="F10265" t="s">
        <v>965</v>
      </c>
      <c r="G10265" t="s">
        <v>396</v>
      </c>
      <c r="H10265" t="str">
        <f>"ΖΥΜΒΡΑΚΑΚΗΔΩΝ "</f>
        <v xml:space="preserve">ΖΥΜΒΡΑΚΑΚΗΔΩΝ </v>
      </c>
      <c r="I10265">
        <v>73100</v>
      </c>
      <c r="J10265">
        <v>2821099050</v>
      </c>
      <c r="K10265">
        <v>6944389992</v>
      </c>
      <c r="N10265" t="s">
        <v>478</v>
      </c>
      <c r="O10265" t="s">
        <v>479</v>
      </c>
      <c r="R10265" t="s">
        <v>57</v>
      </c>
      <c r="S10265">
        <v>9</v>
      </c>
      <c r="T10265">
        <v>231</v>
      </c>
      <c r="U10265" s="1">
        <v>38230</v>
      </c>
      <c r="V10265" t="s">
        <v>89</v>
      </c>
      <c r="W10265" t="s">
        <v>90</v>
      </c>
      <c r="X10265" t="s">
        <v>58</v>
      </c>
      <c r="Y10265">
        <v>22</v>
      </c>
      <c r="Z10265" t="s">
        <v>59</v>
      </c>
      <c r="AA10265" t="s">
        <v>59</v>
      </c>
      <c r="AB10265" t="s">
        <v>59</v>
      </c>
      <c r="AC10265" t="s">
        <v>59</v>
      </c>
      <c r="AD10265" t="s">
        <v>59</v>
      </c>
      <c r="AF10265" s="1">
        <v>38232</v>
      </c>
      <c r="AG10265" t="s">
        <v>8645</v>
      </c>
      <c r="AH10265" t="s">
        <v>8646</v>
      </c>
      <c r="AI10265" t="str">
        <f>"9500314"</f>
        <v>9500314</v>
      </c>
      <c r="AJ10265" t="s">
        <v>14116</v>
      </c>
      <c r="AK10265">
        <v>2821097640</v>
      </c>
      <c r="AL10265" t="s">
        <v>14117</v>
      </c>
      <c r="AM10265" t="s">
        <v>88</v>
      </c>
      <c r="AN10265" t="s">
        <v>88</v>
      </c>
      <c r="AO10265" t="s">
        <v>88</v>
      </c>
      <c r="AP10265" t="s">
        <v>88</v>
      </c>
      <c r="AQ10265">
        <v>1</v>
      </c>
      <c r="AR10265" t="s">
        <v>89</v>
      </c>
      <c r="AS10265" t="s">
        <v>90</v>
      </c>
      <c r="AT10265" t="s">
        <v>58</v>
      </c>
      <c r="AU10265" t="s">
        <v>68</v>
      </c>
      <c r="AV10265" t="s">
        <v>132</v>
      </c>
      <c r="AW10265" s="1">
        <v>24159</v>
      </c>
      <c r="AX10265">
        <v>1</v>
      </c>
    </row>
    <row r="10266" spans="1:50">
      <c r="B10266" t="str">
        <f>"151174795"</f>
        <v>151174795</v>
      </c>
      <c r="C10266" t="s">
        <v>50</v>
      </c>
      <c r="D10266" t="s">
        <v>3232</v>
      </c>
      <c r="E10266" t="s">
        <v>1068</v>
      </c>
      <c r="F10266" t="s">
        <v>989</v>
      </c>
      <c r="G10266" t="s">
        <v>52</v>
      </c>
      <c r="H10266" t="str">
        <f>"ΖΑΜΙΔΗ 3 "</f>
        <v xml:space="preserve">ΖΑΜΙΔΗ 3 </v>
      </c>
      <c r="I10266">
        <v>58100</v>
      </c>
      <c r="J10266">
        <v>2382026725</v>
      </c>
      <c r="K10266">
        <v>6974132706</v>
      </c>
      <c r="N10266" t="s">
        <v>8694</v>
      </c>
      <c r="O10266" t="s">
        <v>8695</v>
      </c>
      <c r="R10266" t="s">
        <v>159</v>
      </c>
      <c r="S10266">
        <v>2</v>
      </c>
      <c r="T10266" t="s">
        <v>8696</v>
      </c>
      <c r="U10266" s="1">
        <v>43348</v>
      </c>
      <c r="V10266" t="s">
        <v>89</v>
      </c>
      <c r="W10266" t="s">
        <v>90</v>
      </c>
      <c r="X10266" t="s">
        <v>58</v>
      </c>
      <c r="Y10266">
        <v>24</v>
      </c>
      <c r="Z10266" t="s">
        <v>59</v>
      </c>
      <c r="AA10266" t="s">
        <v>59</v>
      </c>
      <c r="AB10266" t="s">
        <v>59</v>
      </c>
      <c r="AC10266" t="s">
        <v>59</v>
      </c>
      <c r="AD10266" t="s">
        <v>59</v>
      </c>
      <c r="AF10266" s="1">
        <v>43348</v>
      </c>
      <c r="AG10266" t="s">
        <v>8645</v>
      </c>
      <c r="AH10266" t="s">
        <v>8646</v>
      </c>
      <c r="AI10266" t="str">
        <f>"9500374"</f>
        <v>9500374</v>
      </c>
      <c r="AJ10266" t="s">
        <v>14529</v>
      </c>
      <c r="AK10266">
        <v>2822023194</v>
      </c>
      <c r="AL10266" t="s">
        <v>14530</v>
      </c>
      <c r="AM10266" t="s">
        <v>88</v>
      </c>
      <c r="AN10266" t="s">
        <v>6744</v>
      </c>
      <c r="AO10266" t="s">
        <v>6744</v>
      </c>
      <c r="AP10266" t="s">
        <v>6744</v>
      </c>
      <c r="AQ10266">
        <v>9</v>
      </c>
      <c r="AR10266" t="s">
        <v>89</v>
      </c>
      <c r="AS10266" t="s">
        <v>90</v>
      </c>
      <c r="AT10266" t="s">
        <v>58</v>
      </c>
      <c r="AU10266" t="s">
        <v>350</v>
      </c>
      <c r="AV10266" t="s">
        <v>132</v>
      </c>
      <c r="AW10266" s="1">
        <v>32780</v>
      </c>
      <c r="AX10266">
        <v>1</v>
      </c>
    </row>
    <row r="10267" spans="1:50">
      <c r="A10267">
        <v>562795</v>
      </c>
      <c r="B10267" t="str">
        <f>"037227331"</f>
        <v>037227331</v>
      </c>
      <c r="C10267" t="s">
        <v>105</v>
      </c>
      <c r="D10267" t="s">
        <v>15186</v>
      </c>
      <c r="E10267" t="s">
        <v>166</v>
      </c>
      <c r="F10267" t="s">
        <v>53</v>
      </c>
      <c r="G10267" t="s">
        <v>181</v>
      </c>
      <c r="H10267" t="str">
        <f>"ΣΩΚΡΑΤΗΣ ΚΟΥΜΠΕΛΙ 3 ΧΑΝΙΑ"</f>
        <v>ΣΩΚΡΑΤΗΣ ΚΟΥΜΠΕΛΙ 3 ΧΑΝΙΑ</v>
      </c>
      <c r="I10267">
        <v>73100</v>
      </c>
      <c r="J10267">
        <v>2821056789</v>
      </c>
      <c r="K10267">
        <v>6944427506</v>
      </c>
      <c r="N10267" t="s">
        <v>615</v>
      </c>
      <c r="O10267" t="s">
        <v>616</v>
      </c>
      <c r="R10267" t="s">
        <v>57</v>
      </c>
      <c r="S10267">
        <v>15</v>
      </c>
      <c r="T10267">
        <v>187</v>
      </c>
      <c r="U10267" s="1">
        <v>32750</v>
      </c>
      <c r="V10267" t="s">
        <v>89</v>
      </c>
      <c r="W10267" t="s">
        <v>90</v>
      </c>
      <c r="X10267" t="s">
        <v>58</v>
      </c>
      <c r="Y10267">
        <v>21</v>
      </c>
      <c r="Z10267" t="s">
        <v>59</v>
      </c>
      <c r="AA10267" t="s">
        <v>59</v>
      </c>
      <c r="AB10267" t="s">
        <v>59</v>
      </c>
      <c r="AC10267" t="s">
        <v>59</v>
      </c>
      <c r="AD10267" t="s">
        <v>59</v>
      </c>
      <c r="AF10267" s="1">
        <v>32750</v>
      </c>
      <c r="AG10267" t="s">
        <v>8645</v>
      </c>
      <c r="AH10267" t="s">
        <v>8646</v>
      </c>
      <c r="AI10267" t="str">
        <f>"9500338"</f>
        <v>9500338</v>
      </c>
      <c r="AJ10267" t="s">
        <v>13959</v>
      </c>
      <c r="AK10267">
        <v>2821040556</v>
      </c>
      <c r="AL10267" t="s">
        <v>13960</v>
      </c>
      <c r="AM10267" t="s">
        <v>88</v>
      </c>
      <c r="AN10267" t="s">
        <v>88</v>
      </c>
      <c r="AO10267" t="s">
        <v>88</v>
      </c>
      <c r="AP10267" t="s">
        <v>88</v>
      </c>
      <c r="AQ10267">
        <v>1</v>
      </c>
      <c r="AR10267" t="s">
        <v>89</v>
      </c>
      <c r="AS10267" t="s">
        <v>90</v>
      </c>
      <c r="AT10267" t="s">
        <v>58</v>
      </c>
      <c r="AU10267" t="s">
        <v>68</v>
      </c>
      <c r="AV10267" t="s">
        <v>69</v>
      </c>
      <c r="AW10267" s="1">
        <v>23608</v>
      </c>
      <c r="AX10267">
        <v>1</v>
      </c>
    </row>
    <row r="10268" spans="1:50">
      <c r="A10268">
        <v>619826</v>
      </c>
      <c r="B10268" t="str">
        <f>"052421283"</f>
        <v>052421283</v>
      </c>
      <c r="C10268" t="s">
        <v>105</v>
      </c>
      <c r="D10268" t="s">
        <v>15186</v>
      </c>
      <c r="E10268" t="s">
        <v>53</v>
      </c>
      <c r="F10268" t="s">
        <v>5386</v>
      </c>
      <c r="G10268" t="s">
        <v>620</v>
      </c>
      <c r="H10268" t="str">
        <f>"ΒΑΣΙΛΗ ΠΟΘΟΥΛ. 7α ΧΑΝΙΑ"</f>
        <v>ΒΑΣΙΛΗ ΠΟΘΟΥΛ. 7α ΧΑΝΙΑ</v>
      </c>
      <c r="I10268">
        <v>73100</v>
      </c>
      <c r="J10268">
        <v>2821088027</v>
      </c>
      <c r="K10268">
        <v>6974793727</v>
      </c>
      <c r="N10268" t="s">
        <v>176</v>
      </c>
      <c r="O10268" t="s">
        <v>177</v>
      </c>
      <c r="R10268" t="s">
        <v>57</v>
      </c>
      <c r="S10268">
        <v>7</v>
      </c>
      <c r="T10268">
        <v>775</v>
      </c>
      <c r="U10268" s="1">
        <v>39680</v>
      </c>
      <c r="V10268" t="s">
        <v>89</v>
      </c>
      <c r="W10268" t="s">
        <v>90</v>
      </c>
      <c r="X10268" t="s">
        <v>58</v>
      </c>
      <c r="Y10268">
        <v>23</v>
      </c>
      <c r="Z10268" t="s">
        <v>59</v>
      </c>
      <c r="AA10268" t="s">
        <v>59</v>
      </c>
      <c r="AB10268" t="s">
        <v>59</v>
      </c>
      <c r="AC10268" t="s">
        <v>59</v>
      </c>
      <c r="AD10268" t="s">
        <v>59</v>
      </c>
      <c r="AF10268" s="1">
        <v>39685</v>
      </c>
      <c r="AG10268" t="s">
        <v>8645</v>
      </c>
      <c r="AH10268" t="s">
        <v>8646</v>
      </c>
      <c r="AI10268" t="str">
        <f>"9500024"</f>
        <v>9500024</v>
      </c>
      <c r="AJ10268" t="s">
        <v>13856</v>
      </c>
      <c r="AK10268">
        <v>2825041345</v>
      </c>
      <c r="AL10268" t="s">
        <v>13857</v>
      </c>
      <c r="AM10268" t="s">
        <v>88</v>
      </c>
      <c r="AN10268" t="s">
        <v>6775</v>
      </c>
      <c r="AO10268" t="s">
        <v>11883</v>
      </c>
      <c r="AP10268" t="s">
        <v>13858</v>
      </c>
      <c r="AQ10268">
        <v>7</v>
      </c>
      <c r="AR10268" t="s">
        <v>89</v>
      </c>
      <c r="AS10268" t="s">
        <v>90</v>
      </c>
      <c r="AT10268" t="s">
        <v>58</v>
      </c>
      <c r="AU10268" t="s">
        <v>68</v>
      </c>
      <c r="AV10268" t="s">
        <v>132</v>
      </c>
      <c r="AW10268" s="1">
        <v>22751</v>
      </c>
      <c r="AX10268">
        <v>1</v>
      </c>
    </row>
    <row r="10269" spans="1:50">
      <c r="B10269" t="str">
        <f>"107651183"</f>
        <v>107651183</v>
      </c>
      <c r="C10269" t="s">
        <v>105</v>
      </c>
      <c r="D10269" t="s">
        <v>13512</v>
      </c>
      <c r="E10269" t="s">
        <v>108</v>
      </c>
      <c r="F10269" t="s">
        <v>53</v>
      </c>
      <c r="G10269" t="s">
        <v>255</v>
      </c>
      <c r="H10269" t="str">
        <f>"ΠΑΡΟΔΟΣ ΑΓΙΟΥ ΙΩΑΝΝΟΥ "</f>
        <v xml:space="preserve">ΠΑΡΟΔΟΣ ΑΓΙΟΥ ΙΩΑΝΝΟΥ </v>
      </c>
      <c r="I10269">
        <v>19400</v>
      </c>
      <c r="J10269">
        <v>2291092195</v>
      </c>
      <c r="K10269">
        <v>6981804952</v>
      </c>
      <c r="N10269" t="s">
        <v>384</v>
      </c>
      <c r="O10269" t="s">
        <v>385</v>
      </c>
      <c r="R10269" t="s">
        <v>159</v>
      </c>
      <c r="S10269">
        <v>2</v>
      </c>
      <c r="T10269" t="s">
        <v>8675</v>
      </c>
      <c r="U10269" s="1">
        <v>43348</v>
      </c>
      <c r="V10269" t="s">
        <v>89</v>
      </c>
      <c r="W10269" t="s">
        <v>90</v>
      </c>
      <c r="X10269" t="s">
        <v>58</v>
      </c>
      <c r="Y10269">
        <v>24</v>
      </c>
      <c r="Z10269" t="s">
        <v>59</v>
      </c>
      <c r="AA10269" t="s">
        <v>59</v>
      </c>
      <c r="AB10269" t="s">
        <v>59</v>
      </c>
      <c r="AC10269" t="s">
        <v>59</v>
      </c>
      <c r="AD10269" t="s">
        <v>59</v>
      </c>
      <c r="AF10269" s="1">
        <v>43348</v>
      </c>
      <c r="AG10269" t="s">
        <v>8645</v>
      </c>
      <c r="AH10269" t="s">
        <v>14199</v>
      </c>
      <c r="AI10269" t="str">
        <f>"9500140"</f>
        <v>9500140</v>
      </c>
      <c r="AJ10269" t="s">
        <v>14200</v>
      </c>
      <c r="AK10269">
        <v>2821097348</v>
      </c>
      <c r="AL10269" t="s">
        <v>14201</v>
      </c>
      <c r="AM10269" t="s">
        <v>88</v>
      </c>
      <c r="AN10269" t="s">
        <v>88</v>
      </c>
      <c r="AO10269" t="s">
        <v>88</v>
      </c>
      <c r="AP10269" t="s">
        <v>88</v>
      </c>
      <c r="AQ10269">
        <v>1</v>
      </c>
      <c r="AR10269" t="s">
        <v>89</v>
      </c>
      <c r="AS10269" t="s">
        <v>90</v>
      </c>
      <c r="AT10269" t="s">
        <v>58</v>
      </c>
      <c r="AU10269" t="s">
        <v>8673</v>
      </c>
      <c r="AV10269" t="s">
        <v>132</v>
      </c>
      <c r="AW10269" s="1">
        <v>28961</v>
      </c>
      <c r="AX10269">
        <v>1</v>
      </c>
    </row>
    <row r="10270" spans="1:50">
      <c r="A10270">
        <v>580625</v>
      </c>
      <c r="B10270" t="str">
        <f>"033706500"</f>
        <v>033706500</v>
      </c>
      <c r="C10270" t="s">
        <v>50</v>
      </c>
      <c r="D10270" t="s">
        <v>15187</v>
      </c>
      <c r="E10270" t="s">
        <v>1189</v>
      </c>
      <c r="F10270" t="s">
        <v>1413</v>
      </c>
      <c r="G10270" t="s">
        <v>221</v>
      </c>
      <c r="H10270" t="str">
        <f>"ΧΑΡ.ΚΟΥΤΡΟΥΛΗ 19 ΧΑΝΙΑ"</f>
        <v>ΧΑΡ.ΚΟΥΤΡΟΥΛΗ 19 ΧΑΝΙΑ</v>
      </c>
      <c r="I10270">
        <v>73100</v>
      </c>
      <c r="J10270">
        <v>2821046531</v>
      </c>
      <c r="K10270">
        <v>6932328590</v>
      </c>
      <c r="N10270" t="s">
        <v>615</v>
      </c>
      <c r="O10270" t="s">
        <v>616</v>
      </c>
      <c r="R10270" t="s">
        <v>57</v>
      </c>
      <c r="S10270">
        <v>10</v>
      </c>
      <c r="T10270">
        <v>179</v>
      </c>
      <c r="U10270" s="1">
        <v>35674</v>
      </c>
      <c r="V10270" t="s">
        <v>89</v>
      </c>
      <c r="W10270" t="s">
        <v>90</v>
      </c>
      <c r="X10270" t="s">
        <v>58</v>
      </c>
      <c r="Y10270">
        <v>21</v>
      </c>
      <c r="Z10270" t="s">
        <v>59</v>
      </c>
      <c r="AA10270" t="s">
        <v>59</v>
      </c>
      <c r="AB10270" t="s">
        <v>59</v>
      </c>
      <c r="AC10270" t="s">
        <v>59</v>
      </c>
      <c r="AD10270" t="s">
        <v>59</v>
      </c>
      <c r="AF10270" s="1">
        <v>35674</v>
      </c>
      <c r="AG10270" t="s">
        <v>8645</v>
      </c>
      <c r="AH10270" t="s">
        <v>8646</v>
      </c>
      <c r="AI10270" t="str">
        <f>"9500407"</f>
        <v>9500407</v>
      </c>
      <c r="AJ10270" t="s">
        <v>13867</v>
      </c>
      <c r="AK10270">
        <v>2821089224</v>
      </c>
      <c r="AL10270" t="s">
        <v>13868</v>
      </c>
      <c r="AM10270" t="s">
        <v>88</v>
      </c>
      <c r="AN10270" t="s">
        <v>88</v>
      </c>
      <c r="AO10270" t="s">
        <v>6748</v>
      </c>
      <c r="AP10270" t="s">
        <v>6748</v>
      </c>
      <c r="AQ10270">
        <v>2</v>
      </c>
      <c r="AR10270" t="s">
        <v>89</v>
      </c>
      <c r="AS10270" t="s">
        <v>90</v>
      </c>
      <c r="AT10270" t="s">
        <v>58</v>
      </c>
      <c r="AU10270" t="s">
        <v>68</v>
      </c>
      <c r="AV10270" t="s">
        <v>69</v>
      </c>
      <c r="AW10270" s="1">
        <v>24315</v>
      </c>
      <c r="AX10270">
        <v>1</v>
      </c>
    </row>
    <row r="10271" spans="1:50">
      <c r="B10271" t="str">
        <f>"065201607"</f>
        <v>065201607</v>
      </c>
      <c r="C10271" t="s">
        <v>50</v>
      </c>
      <c r="D10271" t="s">
        <v>3239</v>
      </c>
      <c r="E10271" t="s">
        <v>1713</v>
      </c>
      <c r="F10271" t="s">
        <v>309</v>
      </c>
      <c r="G10271" t="s">
        <v>250</v>
      </c>
      <c r="H10271" t="str">
        <f>"Κ. ΓΙΑΜΠΟΥΔΑΚΗ 18 "</f>
        <v xml:space="preserve">Κ. ΓΙΑΜΠΟΥΔΑΚΗ 18 </v>
      </c>
      <c r="I10271">
        <v>73100</v>
      </c>
      <c r="J10271">
        <v>2821093215</v>
      </c>
      <c r="K10271">
        <v>6979349528</v>
      </c>
      <c r="N10271" t="s">
        <v>615</v>
      </c>
      <c r="O10271" t="s">
        <v>616</v>
      </c>
      <c r="R10271" t="s">
        <v>159</v>
      </c>
      <c r="S10271">
        <v>3</v>
      </c>
      <c r="T10271" t="s">
        <v>8675</v>
      </c>
      <c r="U10271" s="1">
        <v>43348</v>
      </c>
      <c r="V10271" t="s">
        <v>89</v>
      </c>
      <c r="W10271" t="s">
        <v>90</v>
      </c>
      <c r="X10271" t="s">
        <v>58</v>
      </c>
      <c r="Y10271">
        <v>24</v>
      </c>
      <c r="Z10271" t="s">
        <v>59</v>
      </c>
      <c r="AA10271" t="s">
        <v>59</v>
      </c>
      <c r="AB10271" t="s">
        <v>59</v>
      </c>
      <c r="AC10271" t="s">
        <v>59</v>
      </c>
      <c r="AD10271" t="s">
        <v>59</v>
      </c>
      <c r="AF10271" s="1">
        <v>43348</v>
      </c>
      <c r="AG10271" t="s">
        <v>8645</v>
      </c>
      <c r="AH10271" t="s">
        <v>8646</v>
      </c>
      <c r="AI10271" t="str">
        <f>"9500148"</f>
        <v>9500148</v>
      </c>
      <c r="AJ10271" t="s">
        <v>13851</v>
      </c>
      <c r="AK10271">
        <v>2821068328</v>
      </c>
      <c r="AL10271" t="s">
        <v>13852</v>
      </c>
      <c r="AM10271" t="s">
        <v>88</v>
      </c>
      <c r="AN10271" t="s">
        <v>88</v>
      </c>
      <c r="AO10271" t="s">
        <v>6785</v>
      </c>
      <c r="AP10271" t="s">
        <v>13853</v>
      </c>
      <c r="AQ10271">
        <v>3</v>
      </c>
      <c r="AR10271" t="s">
        <v>89</v>
      </c>
      <c r="AS10271" t="s">
        <v>90</v>
      </c>
      <c r="AT10271" t="s">
        <v>58</v>
      </c>
      <c r="AU10271" t="s">
        <v>8673</v>
      </c>
      <c r="AV10271" t="s">
        <v>132</v>
      </c>
      <c r="AW10271" s="1">
        <v>31901</v>
      </c>
      <c r="AX10271">
        <v>1</v>
      </c>
    </row>
    <row r="10272" spans="1:50">
      <c r="B10272" t="str">
        <f>"106906229"</f>
        <v>106906229</v>
      </c>
      <c r="C10272" t="s">
        <v>50</v>
      </c>
      <c r="D10272" t="s">
        <v>15188</v>
      </c>
      <c r="E10272" t="s">
        <v>52</v>
      </c>
      <c r="F10272" t="s">
        <v>99</v>
      </c>
      <c r="G10272" t="s">
        <v>671</v>
      </c>
      <c r="H10272" t="str">
        <f>"- ΚΩΣΤΑΚΙΟΙ ΑΡΤΑΣ"</f>
        <v>- ΚΩΣΤΑΚΙΟΙ ΑΡΤΑΣ</v>
      </c>
      <c r="I10272">
        <v>47100</v>
      </c>
      <c r="J10272">
        <v>2681026608</v>
      </c>
      <c r="K10272">
        <v>6974468663</v>
      </c>
      <c r="N10272" t="s">
        <v>306</v>
      </c>
      <c r="O10272" t="s">
        <v>307</v>
      </c>
      <c r="R10272" t="s">
        <v>159</v>
      </c>
      <c r="S10272">
        <v>3</v>
      </c>
      <c r="T10272" t="s">
        <v>8675</v>
      </c>
      <c r="U10272" s="1">
        <v>43348</v>
      </c>
      <c r="V10272" t="s">
        <v>89</v>
      </c>
      <c r="W10272" t="s">
        <v>90</v>
      </c>
      <c r="X10272" t="s">
        <v>58</v>
      </c>
      <c r="Y10272">
        <v>24</v>
      </c>
      <c r="Z10272" t="s">
        <v>59</v>
      </c>
      <c r="AA10272" t="s">
        <v>59</v>
      </c>
      <c r="AB10272" t="s">
        <v>59</v>
      </c>
      <c r="AC10272" t="s">
        <v>59</v>
      </c>
      <c r="AD10272" t="s">
        <v>59</v>
      </c>
      <c r="AF10272" s="1">
        <v>43348</v>
      </c>
      <c r="AG10272" t="s">
        <v>8645</v>
      </c>
      <c r="AH10272" t="s">
        <v>8646</v>
      </c>
      <c r="AI10272" t="str">
        <f>"9500315"</f>
        <v>9500315</v>
      </c>
      <c r="AJ10272" t="s">
        <v>14174</v>
      </c>
      <c r="AK10272">
        <v>2821040565</v>
      </c>
      <c r="AL10272" t="s">
        <v>14175</v>
      </c>
      <c r="AM10272" t="s">
        <v>88</v>
      </c>
      <c r="AN10272" t="s">
        <v>88</v>
      </c>
      <c r="AO10272" t="s">
        <v>88</v>
      </c>
      <c r="AP10272" t="s">
        <v>88</v>
      </c>
      <c r="AQ10272">
        <v>1</v>
      </c>
      <c r="AR10272" t="s">
        <v>89</v>
      </c>
      <c r="AS10272" t="s">
        <v>90</v>
      </c>
      <c r="AT10272" t="s">
        <v>58</v>
      </c>
      <c r="AU10272" t="s">
        <v>8673</v>
      </c>
      <c r="AV10272" t="s">
        <v>132</v>
      </c>
      <c r="AW10272" s="1">
        <v>27967</v>
      </c>
      <c r="AX10272">
        <v>1</v>
      </c>
    </row>
    <row r="10273" spans="1:50">
      <c r="B10273" t="str">
        <f>"113677258"</f>
        <v>113677258</v>
      </c>
      <c r="C10273" t="s">
        <v>105</v>
      </c>
      <c r="D10273" t="s">
        <v>15189</v>
      </c>
      <c r="E10273" t="s">
        <v>99</v>
      </c>
      <c r="F10273" t="s">
        <v>72</v>
      </c>
      <c r="G10273" t="s">
        <v>181</v>
      </c>
      <c r="H10273" t="str">
        <f>"ΚΟΥΜΑΝΟΥΔΗ 26 ΓΚΥΖΗ"</f>
        <v>ΚΟΥΜΑΝΟΥΔΗ 26 ΓΚΥΖΗ</v>
      </c>
      <c r="I10273">
        <v>11474</v>
      </c>
      <c r="J10273">
        <v>2106452252</v>
      </c>
      <c r="K10273">
        <v>6944674846</v>
      </c>
      <c r="N10273" t="s">
        <v>1817</v>
      </c>
      <c r="O10273" t="s">
        <v>1818</v>
      </c>
      <c r="R10273" t="s">
        <v>159</v>
      </c>
      <c r="S10273">
        <v>4</v>
      </c>
      <c r="T10273" t="s">
        <v>8696</v>
      </c>
      <c r="U10273" s="1">
        <v>43348</v>
      </c>
      <c r="V10273" t="s">
        <v>89</v>
      </c>
      <c r="W10273" t="s">
        <v>90</v>
      </c>
      <c r="X10273" t="s">
        <v>58</v>
      </c>
      <c r="Y10273">
        <v>24</v>
      </c>
      <c r="Z10273" t="s">
        <v>59</v>
      </c>
      <c r="AA10273" t="s">
        <v>59</v>
      </c>
      <c r="AB10273" t="s">
        <v>59</v>
      </c>
      <c r="AC10273" t="s">
        <v>59</v>
      </c>
      <c r="AD10273" t="s">
        <v>59</v>
      </c>
      <c r="AF10273" s="1">
        <v>43348</v>
      </c>
      <c r="AG10273" t="s">
        <v>8645</v>
      </c>
      <c r="AH10273" t="s">
        <v>8697</v>
      </c>
      <c r="AI10273" t="str">
        <f>"9500424"</f>
        <v>9500424</v>
      </c>
      <c r="AJ10273" t="s">
        <v>14232</v>
      </c>
      <c r="AK10273">
        <v>2821044022</v>
      </c>
      <c r="AL10273" t="s">
        <v>14233</v>
      </c>
      <c r="AM10273" t="s">
        <v>88</v>
      </c>
      <c r="AN10273" t="s">
        <v>88</v>
      </c>
      <c r="AO10273" t="s">
        <v>88</v>
      </c>
      <c r="AP10273" t="s">
        <v>88</v>
      </c>
      <c r="AQ10273">
        <v>1</v>
      </c>
      <c r="AR10273" t="s">
        <v>89</v>
      </c>
      <c r="AS10273" t="s">
        <v>90</v>
      </c>
      <c r="AT10273" t="s">
        <v>58</v>
      </c>
      <c r="AU10273" t="s">
        <v>350</v>
      </c>
      <c r="AV10273" t="s">
        <v>132</v>
      </c>
      <c r="AW10273" s="1">
        <v>27900</v>
      </c>
      <c r="AX10273">
        <v>1</v>
      </c>
    </row>
    <row r="10274" spans="1:50">
      <c r="A10274">
        <v>555517</v>
      </c>
      <c r="B10274" t="str">
        <f>"028257706"</f>
        <v>028257706</v>
      </c>
      <c r="C10274" t="s">
        <v>50</v>
      </c>
      <c r="D10274" t="s">
        <v>8069</v>
      </c>
      <c r="E10274" t="s">
        <v>860</v>
      </c>
      <c r="F10274" t="s">
        <v>3192</v>
      </c>
      <c r="G10274" t="s">
        <v>411</v>
      </c>
      <c r="H10274" t="str">
        <f>"ΒΙΚΤΩΡΟΣ ΟΥΓΚΟ 7 ΧΑΝΙΑ"</f>
        <v>ΒΙΚΤΩΡΟΣ ΟΥΓΚΟ 7 ΧΑΝΙΑ</v>
      </c>
      <c r="I10274">
        <v>73100</v>
      </c>
      <c r="K10274">
        <v>6944200689</v>
      </c>
      <c r="N10274" t="s">
        <v>615</v>
      </c>
      <c r="O10274" t="s">
        <v>616</v>
      </c>
      <c r="R10274" t="s">
        <v>57</v>
      </c>
      <c r="S10274">
        <v>16</v>
      </c>
      <c r="T10274">
        <v>200</v>
      </c>
      <c r="U10274" s="1">
        <v>31657</v>
      </c>
      <c r="V10274" t="s">
        <v>89</v>
      </c>
      <c r="W10274" t="s">
        <v>90</v>
      </c>
      <c r="X10274" t="s">
        <v>58</v>
      </c>
      <c r="Y10274">
        <v>21</v>
      </c>
      <c r="Z10274" t="s">
        <v>59</v>
      </c>
      <c r="AA10274" t="s">
        <v>59</v>
      </c>
      <c r="AB10274" t="s">
        <v>59</v>
      </c>
      <c r="AC10274" t="s">
        <v>59</v>
      </c>
      <c r="AD10274" t="s">
        <v>59</v>
      </c>
      <c r="AF10274" s="1">
        <v>31657</v>
      </c>
      <c r="AG10274" t="s">
        <v>8645</v>
      </c>
      <c r="AH10274" t="s">
        <v>8646</v>
      </c>
      <c r="AI10274" t="str">
        <f>"9500041"</f>
        <v>9500041</v>
      </c>
      <c r="AJ10274" t="s">
        <v>13944</v>
      </c>
      <c r="AK10274">
        <v>2821028218</v>
      </c>
      <c r="AL10274" t="s">
        <v>13945</v>
      </c>
      <c r="AM10274" t="s">
        <v>88</v>
      </c>
      <c r="AN10274" t="s">
        <v>88</v>
      </c>
      <c r="AO10274" t="s">
        <v>88</v>
      </c>
      <c r="AP10274" t="s">
        <v>88</v>
      </c>
      <c r="AQ10274">
        <v>1</v>
      </c>
      <c r="AR10274" t="s">
        <v>89</v>
      </c>
      <c r="AS10274" t="s">
        <v>90</v>
      </c>
      <c r="AT10274" t="s">
        <v>58</v>
      </c>
      <c r="AU10274" t="s">
        <v>68</v>
      </c>
      <c r="AV10274" t="s">
        <v>69</v>
      </c>
      <c r="AW10274" s="1">
        <v>23150</v>
      </c>
      <c r="AX10274">
        <v>1</v>
      </c>
    </row>
    <row r="10275" spans="1:50">
      <c r="A10275">
        <v>592054</v>
      </c>
      <c r="B10275" t="str">
        <f>"049587641"</f>
        <v>049587641</v>
      </c>
      <c r="C10275" t="s">
        <v>50</v>
      </c>
      <c r="D10275" t="s">
        <v>5263</v>
      </c>
      <c r="E10275" t="s">
        <v>396</v>
      </c>
      <c r="F10275" t="s">
        <v>450</v>
      </c>
      <c r="G10275" t="s">
        <v>476</v>
      </c>
      <c r="H10275" t="str">
        <f>" "</f>
        <v xml:space="preserve"> </v>
      </c>
      <c r="N10275" t="s">
        <v>1525</v>
      </c>
      <c r="O10275" t="s">
        <v>1526</v>
      </c>
      <c r="R10275" t="s">
        <v>57</v>
      </c>
      <c r="S10275">
        <v>9</v>
      </c>
      <c r="T10275">
        <v>249</v>
      </c>
      <c r="U10275" s="1">
        <v>36769</v>
      </c>
      <c r="V10275" t="s">
        <v>89</v>
      </c>
      <c r="W10275" t="s">
        <v>90</v>
      </c>
      <c r="X10275" t="s">
        <v>58</v>
      </c>
      <c r="Y10275">
        <v>25</v>
      </c>
      <c r="Z10275" t="s">
        <v>59</v>
      </c>
      <c r="AA10275" t="s">
        <v>59</v>
      </c>
      <c r="AB10275" t="s">
        <v>59</v>
      </c>
      <c r="AC10275" t="s">
        <v>59</v>
      </c>
      <c r="AD10275" t="s">
        <v>59</v>
      </c>
      <c r="AF10275" s="1">
        <v>36769</v>
      </c>
      <c r="AG10275" t="s">
        <v>8651</v>
      </c>
      <c r="AH10275" t="s">
        <v>8652</v>
      </c>
      <c r="AI10275" t="str">
        <f>"9500007"</f>
        <v>9500007</v>
      </c>
      <c r="AJ10275" t="s">
        <v>13924</v>
      </c>
      <c r="AK10275">
        <v>2825051704</v>
      </c>
      <c r="AL10275" t="s">
        <v>13925</v>
      </c>
      <c r="AM10275" t="s">
        <v>88</v>
      </c>
      <c r="AN10275" t="s">
        <v>6775</v>
      </c>
      <c r="AO10275" t="s">
        <v>6781</v>
      </c>
      <c r="AP10275" t="s">
        <v>6782</v>
      </c>
      <c r="AQ10275">
        <v>8</v>
      </c>
      <c r="AR10275" t="s">
        <v>89</v>
      </c>
      <c r="AS10275" t="s">
        <v>90</v>
      </c>
      <c r="AT10275" t="s">
        <v>58</v>
      </c>
      <c r="AU10275" t="s">
        <v>68</v>
      </c>
      <c r="AV10275" t="s">
        <v>69</v>
      </c>
      <c r="AW10275" s="1">
        <v>27361</v>
      </c>
      <c r="AX10275">
        <v>1</v>
      </c>
    </row>
    <row r="10276" spans="1:50">
      <c r="A10276">
        <v>613244</v>
      </c>
      <c r="B10276" t="str">
        <f>"135227848"</f>
        <v>135227848</v>
      </c>
      <c r="C10276" t="s">
        <v>50</v>
      </c>
      <c r="D10276" t="s">
        <v>3243</v>
      </c>
      <c r="E10276" t="s">
        <v>316</v>
      </c>
      <c r="F10276" t="s">
        <v>99</v>
      </c>
      <c r="G10276" t="s">
        <v>83</v>
      </c>
      <c r="H10276" t="str">
        <f>"ΓΑΡΟΥΦΑΛΑΚΗ ΕΜ. 3 ΧΑΝΙΑ"</f>
        <v>ΓΑΡΟΥΦΑΛΑΚΗ ΕΜ. 3 ΧΑΝΙΑ</v>
      </c>
      <c r="I10276">
        <v>73136</v>
      </c>
      <c r="K10276">
        <v>6972945857</v>
      </c>
      <c r="N10276" t="s">
        <v>615</v>
      </c>
      <c r="O10276" t="s">
        <v>616</v>
      </c>
      <c r="R10276" t="s">
        <v>57</v>
      </c>
      <c r="S10276">
        <v>6</v>
      </c>
      <c r="T10276">
        <v>598</v>
      </c>
      <c r="U10276" s="1">
        <v>39328</v>
      </c>
      <c r="V10276" t="s">
        <v>89</v>
      </c>
      <c r="W10276" t="s">
        <v>90</v>
      </c>
      <c r="X10276" t="s">
        <v>58</v>
      </c>
      <c r="Y10276">
        <v>23</v>
      </c>
      <c r="Z10276" t="s">
        <v>59</v>
      </c>
      <c r="AA10276" t="s">
        <v>59</v>
      </c>
      <c r="AB10276" t="s">
        <v>59</v>
      </c>
      <c r="AC10276" t="s">
        <v>59</v>
      </c>
      <c r="AD10276" t="s">
        <v>59</v>
      </c>
      <c r="AF10276" s="1">
        <v>39328</v>
      </c>
      <c r="AG10276" t="s">
        <v>8645</v>
      </c>
      <c r="AH10276" t="s">
        <v>8646</v>
      </c>
      <c r="AI10276" t="str">
        <f>"9500081"</f>
        <v>9500081</v>
      </c>
      <c r="AJ10276" t="s">
        <v>14034</v>
      </c>
      <c r="AK10276">
        <v>2821077150</v>
      </c>
      <c r="AL10276" t="s">
        <v>14035</v>
      </c>
      <c r="AM10276" t="s">
        <v>88</v>
      </c>
      <c r="AN10276" t="s">
        <v>6764</v>
      </c>
      <c r="AO10276" t="s">
        <v>6885</v>
      </c>
      <c r="AP10276" t="s">
        <v>6886</v>
      </c>
      <c r="AQ10276">
        <v>4</v>
      </c>
      <c r="AR10276" t="s">
        <v>89</v>
      </c>
      <c r="AS10276" t="s">
        <v>90</v>
      </c>
      <c r="AT10276" t="s">
        <v>58</v>
      </c>
      <c r="AU10276" t="s">
        <v>68</v>
      </c>
      <c r="AV10276" t="s">
        <v>69</v>
      </c>
      <c r="AW10276" s="1">
        <v>29752</v>
      </c>
      <c r="AX10276">
        <v>1</v>
      </c>
    </row>
    <row r="10277" spans="1:50">
      <c r="B10277" t="str">
        <f>"140507877"</f>
        <v>140507877</v>
      </c>
      <c r="C10277" t="s">
        <v>50</v>
      </c>
      <c r="D10277" t="s">
        <v>15190</v>
      </c>
      <c r="E10277" t="s">
        <v>314</v>
      </c>
      <c r="F10277" t="s">
        <v>995</v>
      </c>
      <c r="G10277" t="s">
        <v>626</v>
      </c>
      <c r="H10277" t="str">
        <f>"ΑΝΤ.ΧΝΟΥΔΑ 2  ΚΑΤΑΧΑΣ ΠΙΕΡΙΑΣ"</f>
        <v>ΑΝΤ.ΧΝΟΥΔΑ 2  ΚΑΤΑΧΑΣ ΠΙΕΡΙΑΣ</v>
      </c>
      <c r="I10277">
        <v>60061</v>
      </c>
      <c r="J10277">
        <v>2353024066</v>
      </c>
      <c r="K10277">
        <v>6985121960</v>
      </c>
      <c r="M10277" t="s">
        <v>15191</v>
      </c>
      <c r="N10277" t="s">
        <v>615</v>
      </c>
      <c r="O10277" t="s">
        <v>616</v>
      </c>
      <c r="R10277" t="s">
        <v>159</v>
      </c>
      <c r="S10277">
        <v>3</v>
      </c>
      <c r="T10277" t="s">
        <v>8675</v>
      </c>
      <c r="U10277" s="1">
        <v>43348</v>
      </c>
      <c r="V10277" t="s">
        <v>89</v>
      </c>
      <c r="W10277" t="s">
        <v>90</v>
      </c>
      <c r="X10277" t="s">
        <v>58</v>
      </c>
      <c r="Y10277">
        <v>24</v>
      </c>
      <c r="Z10277" t="s">
        <v>59</v>
      </c>
      <c r="AA10277" t="s">
        <v>59</v>
      </c>
      <c r="AB10277" t="s">
        <v>59</v>
      </c>
      <c r="AC10277" t="s">
        <v>59</v>
      </c>
      <c r="AD10277" t="s">
        <v>59</v>
      </c>
      <c r="AF10277" s="1">
        <v>43348</v>
      </c>
      <c r="AG10277" t="s">
        <v>8645</v>
      </c>
      <c r="AH10277" t="s">
        <v>8646</v>
      </c>
      <c r="AI10277" t="str">
        <f>"9500093"</f>
        <v>9500093</v>
      </c>
      <c r="AJ10277" t="s">
        <v>13865</v>
      </c>
      <c r="AK10277">
        <v>2821064537</v>
      </c>
      <c r="AL10277" t="s">
        <v>13866</v>
      </c>
      <c r="AM10277" t="s">
        <v>88</v>
      </c>
      <c r="AN10277" t="s">
        <v>88</v>
      </c>
      <c r="AO10277" t="s">
        <v>6770</v>
      </c>
      <c r="AP10277" t="s">
        <v>6771</v>
      </c>
      <c r="AQ10277">
        <v>2</v>
      </c>
      <c r="AR10277" t="s">
        <v>89</v>
      </c>
      <c r="AS10277" t="s">
        <v>90</v>
      </c>
      <c r="AT10277" t="s">
        <v>58</v>
      </c>
      <c r="AU10277" t="s">
        <v>8673</v>
      </c>
      <c r="AV10277" t="s">
        <v>132</v>
      </c>
      <c r="AW10277" s="1">
        <v>32199</v>
      </c>
      <c r="AX10277">
        <v>1</v>
      </c>
    </row>
    <row r="10278" spans="1:50">
      <c r="A10278">
        <v>607277</v>
      </c>
      <c r="B10278" t="str">
        <f>"114737859"</f>
        <v>114737859</v>
      </c>
      <c r="C10278" t="s">
        <v>50</v>
      </c>
      <c r="D10278" t="s">
        <v>15192</v>
      </c>
      <c r="E10278" t="s">
        <v>98</v>
      </c>
      <c r="F10278" t="s">
        <v>53</v>
      </c>
      <c r="G10278" t="s">
        <v>237</v>
      </c>
      <c r="H10278" t="str">
        <f>"ΤΡΙΑΔΑ ΕΥΒΟΙΑΣ "</f>
        <v xml:space="preserve">ΤΡΙΑΔΑ ΕΥΒΟΙΑΣ </v>
      </c>
      <c r="I10278">
        <v>34400</v>
      </c>
      <c r="J10278">
        <v>2228096449</v>
      </c>
      <c r="K10278">
        <v>6972278257</v>
      </c>
      <c r="N10278" t="s">
        <v>615</v>
      </c>
      <c r="O10278" t="s">
        <v>616</v>
      </c>
      <c r="R10278" t="s">
        <v>57</v>
      </c>
      <c r="S10278">
        <v>7</v>
      </c>
      <c r="T10278">
        <v>217</v>
      </c>
      <c r="U10278" s="1">
        <v>38596</v>
      </c>
      <c r="V10278" t="s">
        <v>89</v>
      </c>
      <c r="W10278" t="s">
        <v>90</v>
      </c>
      <c r="X10278" t="s">
        <v>58</v>
      </c>
      <c r="Y10278">
        <v>22</v>
      </c>
      <c r="Z10278" t="s">
        <v>59</v>
      </c>
      <c r="AA10278" t="s">
        <v>59</v>
      </c>
      <c r="AB10278" t="s">
        <v>59</v>
      </c>
      <c r="AC10278" t="s">
        <v>59</v>
      </c>
      <c r="AD10278" t="s">
        <v>59</v>
      </c>
      <c r="AF10278" s="1">
        <v>38600</v>
      </c>
      <c r="AG10278" t="s">
        <v>8645</v>
      </c>
      <c r="AH10278" t="s">
        <v>8646</v>
      </c>
      <c r="AI10278" t="str">
        <f>"9500407"</f>
        <v>9500407</v>
      </c>
      <c r="AJ10278" t="s">
        <v>13867</v>
      </c>
      <c r="AK10278">
        <v>2821089224</v>
      </c>
      <c r="AL10278" t="s">
        <v>13868</v>
      </c>
      <c r="AM10278" t="s">
        <v>88</v>
      </c>
      <c r="AN10278" t="s">
        <v>88</v>
      </c>
      <c r="AO10278" t="s">
        <v>6748</v>
      </c>
      <c r="AP10278" t="s">
        <v>6748</v>
      </c>
      <c r="AQ10278">
        <v>2</v>
      </c>
      <c r="AR10278" t="s">
        <v>89</v>
      </c>
      <c r="AS10278" t="s">
        <v>90</v>
      </c>
      <c r="AT10278" t="s">
        <v>58</v>
      </c>
      <c r="AU10278" t="s">
        <v>68</v>
      </c>
      <c r="AV10278" t="s">
        <v>69</v>
      </c>
      <c r="AW10278" s="1">
        <v>28690</v>
      </c>
      <c r="AX10278">
        <v>1</v>
      </c>
    </row>
    <row r="10279" spans="1:50">
      <c r="A10279">
        <v>597221</v>
      </c>
      <c r="B10279" t="str">
        <f>"066847441"</f>
        <v>066847441</v>
      </c>
      <c r="C10279" t="s">
        <v>50</v>
      </c>
      <c r="D10279" t="s">
        <v>15193</v>
      </c>
      <c r="E10279" t="s">
        <v>755</v>
      </c>
      <c r="F10279" t="s">
        <v>230</v>
      </c>
      <c r="G10279" t="s">
        <v>964</v>
      </c>
      <c r="H10279" t="str">
        <f>" "</f>
        <v xml:space="preserve"> </v>
      </c>
      <c r="J10279">
        <v>2824023099</v>
      </c>
      <c r="K10279">
        <v>6946281917</v>
      </c>
      <c r="N10279" t="s">
        <v>1525</v>
      </c>
      <c r="O10279" t="s">
        <v>1526</v>
      </c>
      <c r="R10279" t="s">
        <v>57</v>
      </c>
      <c r="S10279">
        <v>8</v>
      </c>
      <c r="T10279">
        <v>195</v>
      </c>
      <c r="U10279" s="1">
        <v>37500</v>
      </c>
      <c r="V10279" t="s">
        <v>89</v>
      </c>
      <c r="W10279" t="s">
        <v>90</v>
      </c>
      <c r="X10279" t="s">
        <v>58</v>
      </c>
      <c r="Y10279">
        <v>25</v>
      </c>
      <c r="Z10279" t="s">
        <v>59</v>
      </c>
      <c r="AA10279" t="s">
        <v>59</v>
      </c>
      <c r="AB10279" t="s">
        <v>59</v>
      </c>
      <c r="AC10279" t="s">
        <v>59</v>
      </c>
      <c r="AD10279" t="s">
        <v>59</v>
      </c>
      <c r="AF10279" s="1">
        <v>37502</v>
      </c>
      <c r="AG10279" t="s">
        <v>8651</v>
      </c>
      <c r="AH10279" t="s">
        <v>8652</v>
      </c>
      <c r="AI10279" t="str">
        <f>"9500274"</f>
        <v>9500274</v>
      </c>
      <c r="AJ10279" t="s">
        <v>14628</v>
      </c>
      <c r="AK10279">
        <v>2824022008</v>
      </c>
      <c r="AL10279" t="s">
        <v>14629</v>
      </c>
      <c r="AM10279" t="s">
        <v>88</v>
      </c>
      <c r="AN10279" t="s">
        <v>6764</v>
      </c>
      <c r="AO10279" t="s">
        <v>6799</v>
      </c>
      <c r="AP10279" t="s">
        <v>6799</v>
      </c>
      <c r="AQ10279">
        <v>6</v>
      </c>
      <c r="AR10279" t="s">
        <v>89</v>
      </c>
      <c r="AS10279" t="s">
        <v>90</v>
      </c>
      <c r="AT10279" t="s">
        <v>58</v>
      </c>
      <c r="AU10279" t="s">
        <v>68</v>
      </c>
      <c r="AV10279" t="s">
        <v>69</v>
      </c>
      <c r="AW10279" s="1">
        <v>27843</v>
      </c>
      <c r="AX10279">
        <v>1</v>
      </c>
    </row>
    <row r="10280" spans="1:50">
      <c r="A10280">
        <v>612472</v>
      </c>
      <c r="B10280" t="str">
        <f>"074843405"</f>
        <v>074843405</v>
      </c>
      <c r="C10280" t="s">
        <v>105</v>
      </c>
      <c r="D10280" t="s">
        <v>15194</v>
      </c>
      <c r="E10280" t="s">
        <v>99</v>
      </c>
      <c r="F10280" t="s">
        <v>782</v>
      </c>
      <c r="G10280" t="s">
        <v>610</v>
      </c>
      <c r="H10280" t="str">
        <f>"ΚΩΝ/ΠΟΛΕΩΣ ΑΝΩ ΔΑΡΑΤΣΟ Τ.Θ. 390 ΝΕΑ ΚΥΔΩΝΙΑ-ΔΑΡΑΤΣΟΣ"</f>
        <v>ΚΩΝ/ΠΟΛΕΩΣ ΑΝΩ ΔΑΡΑΤΣΟ Τ.Θ. 390 ΝΕΑ ΚΥΔΩΝΙΑ-ΔΑΡΑΤΣΟΣ</v>
      </c>
      <c r="I10280">
        <v>73100</v>
      </c>
      <c r="J10280">
        <v>2821075272</v>
      </c>
      <c r="K10280">
        <v>6972434574</v>
      </c>
      <c r="N10280" t="s">
        <v>176</v>
      </c>
      <c r="O10280" t="s">
        <v>177</v>
      </c>
      <c r="R10280" t="s">
        <v>57</v>
      </c>
      <c r="S10280">
        <v>9</v>
      </c>
      <c r="T10280">
        <v>234</v>
      </c>
      <c r="U10280" s="1">
        <v>38960</v>
      </c>
      <c r="V10280" t="s">
        <v>89</v>
      </c>
      <c r="W10280" t="s">
        <v>90</v>
      </c>
      <c r="X10280" t="s">
        <v>58</v>
      </c>
      <c r="Y10280">
        <v>22</v>
      </c>
      <c r="Z10280" t="s">
        <v>59</v>
      </c>
      <c r="AA10280" t="s">
        <v>59</v>
      </c>
      <c r="AB10280" t="s">
        <v>59</v>
      </c>
      <c r="AC10280" t="s">
        <v>59</v>
      </c>
      <c r="AD10280" t="s">
        <v>59</v>
      </c>
      <c r="AF10280" s="1">
        <v>38960</v>
      </c>
      <c r="AG10280" t="s">
        <v>8645</v>
      </c>
      <c r="AH10280" t="s">
        <v>8646</v>
      </c>
      <c r="AI10280" t="str">
        <f>"9500081"</f>
        <v>9500081</v>
      </c>
      <c r="AJ10280" t="s">
        <v>14034</v>
      </c>
      <c r="AK10280">
        <v>2821077150</v>
      </c>
      <c r="AL10280" t="s">
        <v>14035</v>
      </c>
      <c r="AM10280" t="s">
        <v>88</v>
      </c>
      <c r="AN10280" t="s">
        <v>6764</v>
      </c>
      <c r="AO10280" t="s">
        <v>6885</v>
      </c>
      <c r="AP10280" t="s">
        <v>6886</v>
      </c>
      <c r="AQ10280">
        <v>4</v>
      </c>
      <c r="AR10280" t="s">
        <v>89</v>
      </c>
      <c r="AS10280" t="s">
        <v>90</v>
      </c>
      <c r="AT10280" t="s">
        <v>58</v>
      </c>
      <c r="AU10280" t="s">
        <v>68</v>
      </c>
      <c r="AV10280" t="s">
        <v>69</v>
      </c>
      <c r="AW10280" s="1">
        <v>25750</v>
      </c>
      <c r="AX10280">
        <v>1</v>
      </c>
    </row>
    <row r="10281" spans="1:50">
      <c r="A10281">
        <v>618400</v>
      </c>
      <c r="B10281" t="str">
        <f>"113194967"</f>
        <v>113194967</v>
      </c>
      <c r="C10281" t="s">
        <v>50</v>
      </c>
      <c r="D10281" t="s">
        <v>15195</v>
      </c>
      <c r="E10281" t="s">
        <v>440</v>
      </c>
      <c r="F10281" t="s">
        <v>95</v>
      </c>
      <c r="G10281" t="s">
        <v>250</v>
      </c>
      <c r="H10281" t="str">
        <f>"ΚΟΡΝΑΡΟΥ 30 ΧΑΝΙΑ"</f>
        <v>ΚΟΡΝΑΡΟΥ 30 ΧΑΝΙΑ</v>
      </c>
      <c r="I10281">
        <v>73100</v>
      </c>
      <c r="J10281">
        <v>2821028124</v>
      </c>
      <c r="K10281">
        <v>6948946578</v>
      </c>
      <c r="N10281" t="s">
        <v>615</v>
      </c>
      <c r="O10281" t="s">
        <v>616</v>
      </c>
      <c r="R10281" t="s">
        <v>57</v>
      </c>
      <c r="S10281">
        <v>5</v>
      </c>
      <c r="T10281">
        <v>774</v>
      </c>
      <c r="U10281" s="1">
        <v>39680</v>
      </c>
      <c r="V10281" t="s">
        <v>89</v>
      </c>
      <c r="W10281" t="s">
        <v>90</v>
      </c>
      <c r="X10281" t="s">
        <v>58</v>
      </c>
      <c r="Y10281">
        <v>23</v>
      </c>
      <c r="Z10281" t="s">
        <v>59</v>
      </c>
      <c r="AA10281" t="s">
        <v>59</v>
      </c>
      <c r="AB10281" t="s">
        <v>59</v>
      </c>
      <c r="AC10281" t="s">
        <v>59</v>
      </c>
      <c r="AD10281" t="s">
        <v>59</v>
      </c>
      <c r="AF10281" s="1">
        <v>39680</v>
      </c>
      <c r="AG10281" t="s">
        <v>8645</v>
      </c>
      <c r="AH10281" t="s">
        <v>8646</v>
      </c>
      <c r="AI10281" t="str">
        <f>"9500403"</f>
        <v>9500403</v>
      </c>
      <c r="AJ10281" t="s">
        <v>14230</v>
      </c>
      <c r="AK10281">
        <v>2821034094</v>
      </c>
      <c r="AL10281" t="s">
        <v>14231</v>
      </c>
      <c r="AM10281" t="s">
        <v>88</v>
      </c>
      <c r="AN10281" t="s">
        <v>88</v>
      </c>
      <c r="AO10281" t="s">
        <v>6785</v>
      </c>
      <c r="AP10281" t="s">
        <v>13932</v>
      </c>
      <c r="AQ10281">
        <v>3</v>
      </c>
      <c r="AR10281" t="s">
        <v>89</v>
      </c>
      <c r="AS10281" t="s">
        <v>90</v>
      </c>
      <c r="AT10281" t="s">
        <v>58</v>
      </c>
      <c r="AU10281" t="s">
        <v>68</v>
      </c>
      <c r="AV10281" t="s">
        <v>69</v>
      </c>
      <c r="AW10281" s="1">
        <v>30702</v>
      </c>
      <c r="AX10281">
        <v>1</v>
      </c>
    </row>
    <row r="10282" spans="1:50">
      <c r="A10282">
        <v>616768</v>
      </c>
      <c r="B10282" t="str">
        <f>"116722577"</f>
        <v>116722577</v>
      </c>
      <c r="C10282" t="s">
        <v>50</v>
      </c>
      <c r="D10282" t="s">
        <v>15196</v>
      </c>
      <c r="E10282" t="s">
        <v>476</v>
      </c>
      <c r="F10282" t="s">
        <v>99</v>
      </c>
      <c r="G10282" t="s">
        <v>54</v>
      </c>
      <c r="H10282" t="str">
        <f>"ΝΙΚΟΣΘΕΝΟΥΣ 25 ΑΘΗΝΑ"</f>
        <v>ΝΙΚΟΣΘΕΝΟΥΣ 25 ΑΘΗΝΑ</v>
      </c>
      <c r="I10282">
        <v>11635</v>
      </c>
      <c r="J10282">
        <v>2111899999</v>
      </c>
      <c r="K10282">
        <v>6937282670</v>
      </c>
      <c r="N10282" t="s">
        <v>615</v>
      </c>
      <c r="O10282" t="s">
        <v>616</v>
      </c>
      <c r="R10282" t="s">
        <v>57</v>
      </c>
      <c r="S10282">
        <v>7</v>
      </c>
      <c r="T10282">
        <v>774</v>
      </c>
      <c r="U10282" s="1">
        <v>39680</v>
      </c>
      <c r="V10282" t="s">
        <v>89</v>
      </c>
      <c r="W10282" t="s">
        <v>90</v>
      </c>
      <c r="X10282" t="s">
        <v>58</v>
      </c>
      <c r="Y10282">
        <v>22</v>
      </c>
      <c r="Z10282" t="s">
        <v>59</v>
      </c>
      <c r="AA10282" t="s">
        <v>59</v>
      </c>
      <c r="AB10282" t="s">
        <v>59</v>
      </c>
      <c r="AC10282" t="s">
        <v>59</v>
      </c>
      <c r="AD10282" t="s">
        <v>59</v>
      </c>
      <c r="AF10282" s="1">
        <v>39680</v>
      </c>
      <c r="AG10282" t="s">
        <v>8645</v>
      </c>
      <c r="AH10282" t="s">
        <v>8646</v>
      </c>
      <c r="AI10282" t="str">
        <f>"9500408"</f>
        <v>9500408</v>
      </c>
      <c r="AJ10282" t="s">
        <v>13981</v>
      </c>
      <c r="AK10282">
        <v>2821081655</v>
      </c>
      <c r="AL10282" t="s">
        <v>13982</v>
      </c>
      <c r="AM10282" t="s">
        <v>88</v>
      </c>
      <c r="AN10282" t="s">
        <v>88</v>
      </c>
      <c r="AO10282" t="s">
        <v>6748</v>
      </c>
      <c r="AP10282" t="s">
        <v>6748</v>
      </c>
      <c r="AQ10282">
        <v>2</v>
      </c>
      <c r="AR10282" t="s">
        <v>89</v>
      </c>
      <c r="AS10282" t="s">
        <v>90</v>
      </c>
      <c r="AT10282" t="s">
        <v>58</v>
      </c>
      <c r="AU10282" t="s">
        <v>68</v>
      </c>
      <c r="AV10282" t="s">
        <v>69</v>
      </c>
      <c r="AW10282" s="1">
        <v>28119</v>
      </c>
      <c r="AX10282">
        <v>1</v>
      </c>
    </row>
    <row r="10283" spans="1:50">
      <c r="A10283">
        <v>701464</v>
      </c>
      <c r="B10283" t="str">
        <f>"141505949"</f>
        <v>141505949</v>
      </c>
      <c r="C10283" t="s">
        <v>50</v>
      </c>
      <c r="D10283" t="s">
        <v>15197</v>
      </c>
      <c r="E10283" t="s">
        <v>2315</v>
      </c>
      <c r="F10283" t="s">
        <v>84</v>
      </c>
      <c r="G10283" t="s">
        <v>73</v>
      </c>
      <c r="H10283" t="str">
        <f>"ΔΙΣΤΟΜΟΥ8 ΚΑΙΣΑΡΙΑΝΗ "</f>
        <v xml:space="preserve">ΔΙΣΤΟΜΟΥ8 ΚΑΙΣΑΡΙΑΝΗ </v>
      </c>
      <c r="I10283">
        <v>16121</v>
      </c>
      <c r="J10283">
        <v>2107661429</v>
      </c>
      <c r="K10283">
        <v>6946025885</v>
      </c>
      <c r="N10283" t="s">
        <v>615</v>
      </c>
      <c r="O10283" t="s">
        <v>616</v>
      </c>
      <c r="R10283" t="s">
        <v>57</v>
      </c>
      <c r="S10283">
        <v>4</v>
      </c>
      <c r="T10283">
        <v>772</v>
      </c>
      <c r="U10283" s="1">
        <v>40413</v>
      </c>
      <c r="V10283" t="s">
        <v>89</v>
      </c>
      <c r="W10283" t="s">
        <v>90</v>
      </c>
      <c r="X10283" t="s">
        <v>58</v>
      </c>
      <c r="Y10283">
        <v>24</v>
      </c>
      <c r="Z10283" t="s">
        <v>59</v>
      </c>
      <c r="AA10283" t="s">
        <v>59</v>
      </c>
      <c r="AB10283" t="s">
        <v>59</v>
      </c>
      <c r="AC10283" t="s">
        <v>59</v>
      </c>
      <c r="AD10283" t="s">
        <v>59</v>
      </c>
      <c r="AF10283" s="1">
        <v>40413</v>
      </c>
      <c r="AG10283" t="s">
        <v>8645</v>
      </c>
      <c r="AH10283" t="s">
        <v>8646</v>
      </c>
      <c r="AI10283" t="str">
        <f>"9500236"</f>
        <v>9500236</v>
      </c>
      <c r="AJ10283" t="s">
        <v>14106</v>
      </c>
      <c r="AK10283">
        <v>2824022347</v>
      </c>
      <c r="AL10283" t="s">
        <v>14107</v>
      </c>
      <c r="AM10283" t="s">
        <v>88</v>
      </c>
      <c r="AN10283" t="s">
        <v>6764</v>
      </c>
      <c r="AO10283" t="s">
        <v>6765</v>
      </c>
      <c r="AP10283" t="s">
        <v>13952</v>
      </c>
      <c r="AQ10283">
        <v>6</v>
      </c>
      <c r="AR10283" t="s">
        <v>89</v>
      </c>
      <c r="AS10283" t="s">
        <v>90</v>
      </c>
      <c r="AT10283" t="s">
        <v>58</v>
      </c>
      <c r="AU10283" t="s">
        <v>68</v>
      </c>
      <c r="AV10283" t="s">
        <v>69</v>
      </c>
      <c r="AW10283" s="1">
        <v>31519</v>
      </c>
      <c r="AX10283">
        <v>1</v>
      </c>
    </row>
    <row r="10284" spans="1:50">
      <c r="A10284">
        <v>579236</v>
      </c>
      <c r="B10284" t="str">
        <f>"050260475"</f>
        <v>050260475</v>
      </c>
      <c r="C10284" t="s">
        <v>105</v>
      </c>
      <c r="D10284" t="s">
        <v>3259</v>
      </c>
      <c r="E10284" t="s">
        <v>154</v>
      </c>
      <c r="F10284" t="s">
        <v>670</v>
      </c>
      <c r="G10284" t="s">
        <v>15198</v>
      </c>
      <c r="H10284" t="str">
        <f>"Δ.ΚΟΚΟΤΣΗ 3 ΧΑΝΙΑ"</f>
        <v>Δ.ΚΟΚΟΤΣΗ 3 ΧΑΝΙΑ</v>
      </c>
      <c r="I10284">
        <v>73132</v>
      </c>
      <c r="J10284">
        <v>2821054188</v>
      </c>
      <c r="K10284">
        <v>6974733854</v>
      </c>
      <c r="N10284" t="s">
        <v>615</v>
      </c>
      <c r="O10284" t="s">
        <v>616</v>
      </c>
      <c r="R10284" t="s">
        <v>57</v>
      </c>
      <c r="S10284">
        <v>12</v>
      </c>
      <c r="T10284">
        <v>165</v>
      </c>
      <c r="U10284" s="1">
        <v>35300</v>
      </c>
      <c r="V10284" t="s">
        <v>89</v>
      </c>
      <c r="W10284" t="s">
        <v>90</v>
      </c>
      <c r="X10284" t="s">
        <v>58</v>
      </c>
      <c r="Y10284">
        <v>21</v>
      </c>
      <c r="Z10284" t="s">
        <v>59</v>
      </c>
      <c r="AA10284" t="s">
        <v>59</v>
      </c>
      <c r="AB10284" t="s">
        <v>59</v>
      </c>
      <c r="AC10284" t="s">
        <v>59</v>
      </c>
      <c r="AD10284" t="s">
        <v>59</v>
      </c>
      <c r="AF10284" s="1">
        <v>35300</v>
      </c>
      <c r="AG10284" t="s">
        <v>8645</v>
      </c>
      <c r="AH10284" t="s">
        <v>8646</v>
      </c>
      <c r="AI10284" t="str">
        <f>"9500077"</f>
        <v>9500077</v>
      </c>
      <c r="AJ10284" t="s">
        <v>13903</v>
      </c>
      <c r="AK10284">
        <v>2821054404</v>
      </c>
      <c r="AL10284" t="s">
        <v>13904</v>
      </c>
      <c r="AM10284" t="s">
        <v>88</v>
      </c>
      <c r="AN10284" t="s">
        <v>88</v>
      </c>
      <c r="AO10284" t="s">
        <v>88</v>
      </c>
      <c r="AP10284" t="s">
        <v>88</v>
      </c>
      <c r="AQ10284">
        <v>1</v>
      </c>
      <c r="AR10284" t="s">
        <v>89</v>
      </c>
      <c r="AS10284" t="s">
        <v>90</v>
      </c>
      <c r="AT10284" t="s">
        <v>58</v>
      </c>
      <c r="AU10284" t="s">
        <v>68</v>
      </c>
      <c r="AV10284" t="s">
        <v>69</v>
      </c>
      <c r="AW10284" s="1">
        <v>23618</v>
      </c>
      <c r="AX10284">
        <v>1</v>
      </c>
    </row>
    <row r="10285" spans="1:50">
      <c r="A10285">
        <v>700571</v>
      </c>
      <c r="B10285" t="str">
        <f>"115360865"</f>
        <v>115360865</v>
      </c>
      <c r="C10285" t="s">
        <v>50</v>
      </c>
      <c r="D10285" t="s">
        <v>3259</v>
      </c>
      <c r="E10285" t="s">
        <v>1204</v>
      </c>
      <c r="F10285" t="s">
        <v>304</v>
      </c>
      <c r="G10285" t="s">
        <v>250</v>
      </c>
      <c r="H10285" t="str">
        <f>"ΑΡΙΣΤΟΤΕΛΟΥΣ 10 ΚΑΤΕΡΙΝΗ"</f>
        <v>ΑΡΙΣΤΟΤΕΛΟΥΣ 10 ΚΑΤΕΡΙΝΗ</v>
      </c>
      <c r="I10285">
        <v>60100</v>
      </c>
      <c r="J10285">
        <v>2351024433</v>
      </c>
      <c r="K10285">
        <v>6974716989</v>
      </c>
      <c r="N10285" t="s">
        <v>1525</v>
      </c>
      <c r="O10285" t="s">
        <v>1526</v>
      </c>
      <c r="R10285" t="s">
        <v>57</v>
      </c>
      <c r="S10285">
        <v>5</v>
      </c>
      <c r="T10285">
        <v>772</v>
      </c>
      <c r="U10285" s="1">
        <v>40413</v>
      </c>
      <c r="V10285" t="s">
        <v>89</v>
      </c>
      <c r="W10285" t="s">
        <v>90</v>
      </c>
      <c r="X10285" t="s">
        <v>58</v>
      </c>
      <c r="Y10285">
        <v>25</v>
      </c>
      <c r="Z10285" t="s">
        <v>59</v>
      </c>
      <c r="AA10285" t="s">
        <v>59</v>
      </c>
      <c r="AB10285" t="s">
        <v>59</v>
      </c>
      <c r="AC10285" t="s">
        <v>59</v>
      </c>
      <c r="AD10285" t="s">
        <v>59</v>
      </c>
      <c r="AF10285" s="1">
        <v>40413</v>
      </c>
      <c r="AG10285" t="s">
        <v>8651</v>
      </c>
      <c r="AH10285" t="s">
        <v>8652</v>
      </c>
      <c r="AI10285" t="str">
        <f>"9500382"</f>
        <v>9500382</v>
      </c>
      <c r="AJ10285" t="s">
        <v>14600</v>
      </c>
      <c r="AK10285">
        <v>2821062343</v>
      </c>
      <c r="AL10285" t="s">
        <v>14601</v>
      </c>
      <c r="AM10285" t="s">
        <v>88</v>
      </c>
      <c r="AN10285" t="s">
        <v>6764</v>
      </c>
      <c r="AO10285" t="s">
        <v>6764</v>
      </c>
      <c r="AP10285" t="s">
        <v>14488</v>
      </c>
      <c r="AQ10285">
        <v>5</v>
      </c>
      <c r="AR10285" t="s">
        <v>89</v>
      </c>
      <c r="AS10285" t="s">
        <v>90</v>
      </c>
      <c r="AT10285" t="s">
        <v>58</v>
      </c>
      <c r="AU10285" t="s">
        <v>68</v>
      </c>
      <c r="AV10285" t="s">
        <v>69</v>
      </c>
      <c r="AW10285" s="1">
        <v>30403</v>
      </c>
      <c r="AX10285">
        <v>1</v>
      </c>
    </row>
    <row r="10286" spans="1:50">
      <c r="A10286">
        <v>702121</v>
      </c>
      <c r="B10286" t="str">
        <f>"145481115"</f>
        <v>145481115</v>
      </c>
      <c r="C10286" t="s">
        <v>105</v>
      </c>
      <c r="D10286" t="s">
        <v>3259</v>
      </c>
      <c r="E10286" t="s">
        <v>72</v>
      </c>
      <c r="F10286" t="s">
        <v>53</v>
      </c>
      <c r="G10286" t="s">
        <v>5556</v>
      </c>
      <c r="H10286" t="str">
        <f>"ΦΙΛΟΞΕΝΟΥ 19-21 "</f>
        <v xml:space="preserve">ΦΙΛΟΞΕΝΟΥ 19-21 </v>
      </c>
      <c r="I10286">
        <v>11631</v>
      </c>
      <c r="J10286">
        <v>2109013816</v>
      </c>
      <c r="K10286">
        <v>6976577876</v>
      </c>
      <c r="N10286" t="s">
        <v>204</v>
      </c>
      <c r="O10286" t="s">
        <v>205</v>
      </c>
      <c r="P10286" t="s">
        <v>331</v>
      </c>
      <c r="Q10286" t="s">
        <v>332</v>
      </c>
      <c r="R10286" t="s">
        <v>57</v>
      </c>
      <c r="S10286">
        <v>3</v>
      </c>
      <c r="T10286">
        <v>763</v>
      </c>
      <c r="U10286" s="1">
        <v>40413</v>
      </c>
      <c r="V10286" t="s">
        <v>89</v>
      </c>
      <c r="W10286" t="s">
        <v>90</v>
      </c>
      <c r="X10286" t="s">
        <v>58</v>
      </c>
      <c r="Y10286">
        <v>24</v>
      </c>
      <c r="Z10286" t="s">
        <v>59</v>
      </c>
      <c r="AA10286" t="s">
        <v>59</v>
      </c>
      <c r="AB10286" t="s">
        <v>59</v>
      </c>
      <c r="AC10286" t="s">
        <v>59</v>
      </c>
      <c r="AD10286" t="s">
        <v>59</v>
      </c>
      <c r="AF10286" s="1">
        <v>40413</v>
      </c>
      <c r="AG10286" t="s">
        <v>8645</v>
      </c>
      <c r="AH10286" t="s">
        <v>8646</v>
      </c>
      <c r="AI10286" t="str">
        <f>"9500017"</f>
        <v>9500017</v>
      </c>
      <c r="AJ10286" t="s">
        <v>13873</v>
      </c>
      <c r="AK10286">
        <v>2825083173</v>
      </c>
      <c r="AL10286" t="s">
        <v>13874</v>
      </c>
      <c r="AM10286" t="s">
        <v>88</v>
      </c>
      <c r="AN10286" t="s">
        <v>6775</v>
      </c>
      <c r="AO10286" t="s">
        <v>11883</v>
      </c>
      <c r="AP10286" t="s">
        <v>13875</v>
      </c>
      <c r="AQ10286">
        <v>7</v>
      </c>
      <c r="AR10286" t="s">
        <v>89</v>
      </c>
      <c r="AS10286" t="s">
        <v>90</v>
      </c>
      <c r="AT10286" t="s">
        <v>58</v>
      </c>
      <c r="AU10286" t="s">
        <v>68</v>
      </c>
      <c r="AV10286" t="s">
        <v>69</v>
      </c>
      <c r="AW10286" s="1">
        <v>31589</v>
      </c>
      <c r="AX10286">
        <v>1</v>
      </c>
    </row>
    <row r="10287" spans="1:50">
      <c r="A10287">
        <v>702153</v>
      </c>
      <c r="B10287" t="str">
        <f>"148957477"</f>
        <v>148957477</v>
      </c>
      <c r="C10287" t="s">
        <v>50</v>
      </c>
      <c r="D10287" t="s">
        <v>15199</v>
      </c>
      <c r="E10287" t="s">
        <v>372</v>
      </c>
      <c r="F10287" t="s">
        <v>15200</v>
      </c>
      <c r="G10287" t="s">
        <v>237</v>
      </c>
      <c r="H10287" t="str">
        <f>"ΔΟΙΡΑΝΗΣ 6 ΚΑΤΕΡΙΝΗ"</f>
        <v>ΔΟΙΡΑΝΗΣ 6 ΚΑΤΕΡΙΝΗ</v>
      </c>
      <c r="I10287">
        <v>60100</v>
      </c>
      <c r="J10287">
        <v>2351076677</v>
      </c>
      <c r="K10287">
        <v>6946982666</v>
      </c>
      <c r="N10287" t="s">
        <v>615</v>
      </c>
      <c r="O10287" t="s">
        <v>616</v>
      </c>
      <c r="R10287" t="s">
        <v>57</v>
      </c>
      <c r="S10287">
        <v>7</v>
      </c>
      <c r="T10287">
        <v>772</v>
      </c>
      <c r="U10287" s="1">
        <v>40413</v>
      </c>
      <c r="V10287" t="s">
        <v>89</v>
      </c>
      <c r="W10287" t="s">
        <v>90</v>
      </c>
      <c r="X10287" t="s">
        <v>58</v>
      </c>
      <c r="Y10287">
        <v>23</v>
      </c>
      <c r="Z10287" t="s">
        <v>59</v>
      </c>
      <c r="AA10287" t="s">
        <v>59</v>
      </c>
      <c r="AB10287" t="s">
        <v>59</v>
      </c>
      <c r="AC10287" t="s">
        <v>59</v>
      </c>
      <c r="AD10287" t="s">
        <v>59</v>
      </c>
      <c r="AF10287" s="1">
        <v>40413</v>
      </c>
      <c r="AG10287" t="s">
        <v>8645</v>
      </c>
      <c r="AH10287" t="s">
        <v>8646</v>
      </c>
      <c r="AI10287" t="str">
        <f>"9500160"</f>
        <v>9500160</v>
      </c>
      <c r="AJ10287" t="s">
        <v>14486</v>
      </c>
      <c r="AK10287">
        <v>2821062458</v>
      </c>
      <c r="AL10287" t="s">
        <v>14487</v>
      </c>
      <c r="AM10287" t="s">
        <v>88</v>
      </c>
      <c r="AN10287" t="s">
        <v>6764</v>
      </c>
      <c r="AO10287" t="s">
        <v>6764</v>
      </c>
      <c r="AP10287" t="s">
        <v>14488</v>
      </c>
      <c r="AQ10287">
        <v>5</v>
      </c>
      <c r="AR10287" t="s">
        <v>89</v>
      </c>
      <c r="AS10287" t="s">
        <v>90</v>
      </c>
      <c r="AT10287" t="s">
        <v>58</v>
      </c>
      <c r="AU10287" t="s">
        <v>68</v>
      </c>
      <c r="AV10287" t="s">
        <v>69</v>
      </c>
      <c r="AW10287" s="1">
        <v>31417</v>
      </c>
      <c r="AX10287">
        <v>1</v>
      </c>
    </row>
    <row r="10288" spans="1:50">
      <c r="A10288">
        <v>565363</v>
      </c>
      <c r="B10288" t="str">
        <f>"031851626"</f>
        <v>031851626</v>
      </c>
      <c r="C10288" t="s">
        <v>50</v>
      </c>
      <c r="D10288" t="s">
        <v>15201</v>
      </c>
      <c r="E10288" t="s">
        <v>54</v>
      </c>
      <c r="F10288" t="s">
        <v>450</v>
      </c>
      <c r="G10288" t="s">
        <v>314</v>
      </c>
      <c r="H10288" t="str">
        <f>"ΑΡΩΝΙ ΑΚΡΩΤΗΡΙ"</f>
        <v>ΑΡΩΝΙ ΑΚΡΩΤΗΡΙ</v>
      </c>
      <c r="I10288">
        <v>73100</v>
      </c>
      <c r="J10288">
        <v>2821063513</v>
      </c>
      <c r="K10288">
        <v>6979673281</v>
      </c>
      <c r="N10288" t="s">
        <v>615</v>
      </c>
      <c r="O10288" t="s">
        <v>616</v>
      </c>
      <c r="R10288" t="s">
        <v>57</v>
      </c>
      <c r="S10288">
        <v>16</v>
      </c>
      <c r="T10288">
        <v>161</v>
      </c>
      <c r="U10288" s="1">
        <v>33119</v>
      </c>
      <c r="V10288" t="s">
        <v>89</v>
      </c>
      <c r="W10288" t="s">
        <v>90</v>
      </c>
      <c r="X10288" t="s">
        <v>58</v>
      </c>
      <c r="Y10288">
        <v>21</v>
      </c>
      <c r="Z10288" t="s">
        <v>59</v>
      </c>
      <c r="AA10288" t="s">
        <v>59</v>
      </c>
      <c r="AB10288" t="s">
        <v>59</v>
      </c>
      <c r="AC10288" t="s">
        <v>59</v>
      </c>
      <c r="AD10288" t="s">
        <v>59</v>
      </c>
      <c r="AF10288" s="1">
        <v>33119</v>
      </c>
      <c r="AG10288" t="s">
        <v>8645</v>
      </c>
      <c r="AH10288" t="s">
        <v>8646</v>
      </c>
      <c r="AI10288" t="str">
        <f>"9500093"</f>
        <v>9500093</v>
      </c>
      <c r="AJ10288" t="s">
        <v>13865</v>
      </c>
      <c r="AK10288">
        <v>2821064537</v>
      </c>
      <c r="AL10288" t="s">
        <v>13866</v>
      </c>
      <c r="AM10288" t="s">
        <v>88</v>
      </c>
      <c r="AN10288" t="s">
        <v>88</v>
      </c>
      <c r="AO10288" t="s">
        <v>6770</v>
      </c>
      <c r="AP10288" t="s">
        <v>6771</v>
      </c>
      <c r="AQ10288">
        <v>2</v>
      </c>
      <c r="AR10288" t="s">
        <v>89</v>
      </c>
      <c r="AS10288" t="s">
        <v>90</v>
      </c>
      <c r="AT10288" t="s">
        <v>58</v>
      </c>
      <c r="AU10288" t="s">
        <v>68</v>
      </c>
      <c r="AV10288" t="s">
        <v>69</v>
      </c>
      <c r="AW10288" s="1">
        <v>24168</v>
      </c>
      <c r="AX10288">
        <v>1</v>
      </c>
    </row>
    <row r="10289" spans="1:50">
      <c r="A10289">
        <v>586602</v>
      </c>
      <c r="B10289" t="str">
        <f>"054424975"</f>
        <v>054424975</v>
      </c>
      <c r="C10289" t="s">
        <v>105</v>
      </c>
      <c r="D10289" t="s">
        <v>15202</v>
      </c>
      <c r="E10289" t="s">
        <v>315</v>
      </c>
      <c r="F10289" t="s">
        <v>1493</v>
      </c>
      <c r="G10289" t="s">
        <v>330</v>
      </c>
      <c r="H10289" t="str">
        <f>"ΑΛΜΠΕΡ 25 ΧΑΝΙΑ"</f>
        <v>ΑΛΜΠΕΡ 25 ΧΑΝΙΑ</v>
      </c>
      <c r="I10289">
        <v>73132</v>
      </c>
      <c r="J10289">
        <v>2821054908</v>
      </c>
      <c r="K10289">
        <v>6946256090</v>
      </c>
      <c r="N10289" t="s">
        <v>615</v>
      </c>
      <c r="O10289" t="s">
        <v>616</v>
      </c>
      <c r="R10289" t="s">
        <v>57</v>
      </c>
      <c r="S10289">
        <v>12</v>
      </c>
      <c r="T10289">
        <v>165</v>
      </c>
      <c r="U10289" s="1">
        <v>36040</v>
      </c>
      <c r="V10289" t="s">
        <v>89</v>
      </c>
      <c r="W10289" t="s">
        <v>90</v>
      </c>
      <c r="X10289" t="s">
        <v>58</v>
      </c>
      <c r="Y10289">
        <v>21</v>
      </c>
      <c r="Z10289" t="s">
        <v>59</v>
      </c>
      <c r="AA10289" t="s">
        <v>59</v>
      </c>
      <c r="AB10289" t="s">
        <v>59</v>
      </c>
      <c r="AC10289" t="s">
        <v>59</v>
      </c>
      <c r="AD10289" t="s">
        <v>59</v>
      </c>
      <c r="AF10289" s="1">
        <v>36040</v>
      </c>
      <c r="AG10289" t="s">
        <v>8645</v>
      </c>
      <c r="AH10289" t="s">
        <v>8646</v>
      </c>
      <c r="AI10289" t="str">
        <f>"9500035"</f>
        <v>9500035</v>
      </c>
      <c r="AJ10289" t="s">
        <v>13979</v>
      </c>
      <c r="AK10289">
        <v>2821094678</v>
      </c>
      <c r="AL10289" t="s">
        <v>13980</v>
      </c>
      <c r="AM10289" t="s">
        <v>88</v>
      </c>
      <c r="AN10289" t="s">
        <v>88</v>
      </c>
      <c r="AO10289" t="s">
        <v>88</v>
      </c>
      <c r="AP10289" t="s">
        <v>88</v>
      </c>
      <c r="AQ10289">
        <v>2</v>
      </c>
      <c r="AR10289" t="s">
        <v>89</v>
      </c>
      <c r="AS10289" t="s">
        <v>90</v>
      </c>
      <c r="AT10289" t="s">
        <v>58</v>
      </c>
      <c r="AU10289" t="s">
        <v>68</v>
      </c>
      <c r="AV10289" t="s">
        <v>69</v>
      </c>
      <c r="AW10289" s="1">
        <v>25331</v>
      </c>
      <c r="AX10289">
        <v>1</v>
      </c>
    </row>
    <row r="10290" spans="1:50">
      <c r="A10290">
        <v>566414</v>
      </c>
      <c r="B10290" t="str">
        <f>"062014206"</f>
        <v>062014206</v>
      </c>
      <c r="C10290" t="s">
        <v>50</v>
      </c>
      <c r="D10290" t="s">
        <v>15203</v>
      </c>
      <c r="E10290" t="s">
        <v>155</v>
      </c>
      <c r="F10290" t="s">
        <v>459</v>
      </c>
      <c r="G10290" t="s">
        <v>263</v>
      </c>
      <c r="H10290" t="str">
        <f>" "</f>
        <v xml:space="preserve"> </v>
      </c>
      <c r="N10290" t="s">
        <v>1525</v>
      </c>
      <c r="O10290" t="s">
        <v>1526</v>
      </c>
      <c r="R10290" t="s">
        <v>57</v>
      </c>
      <c r="S10290">
        <v>14</v>
      </c>
      <c r="T10290">
        <v>161</v>
      </c>
      <c r="U10290" s="1">
        <v>33119</v>
      </c>
      <c r="V10290" t="s">
        <v>89</v>
      </c>
      <c r="W10290" t="s">
        <v>90</v>
      </c>
      <c r="X10290" t="s">
        <v>58</v>
      </c>
      <c r="Y10290">
        <v>25</v>
      </c>
      <c r="Z10290" t="s">
        <v>59</v>
      </c>
      <c r="AA10290" t="s">
        <v>59</v>
      </c>
      <c r="AB10290" t="s">
        <v>59</v>
      </c>
      <c r="AC10290" t="s">
        <v>59</v>
      </c>
      <c r="AD10290" t="s">
        <v>59</v>
      </c>
      <c r="AF10290" s="1">
        <v>33119</v>
      </c>
      <c r="AG10290" t="s">
        <v>8651</v>
      </c>
      <c r="AH10290" t="s">
        <v>8652</v>
      </c>
      <c r="AI10290" t="str">
        <f>"9520720"</f>
        <v>9520720</v>
      </c>
      <c r="AJ10290" t="s">
        <v>14726</v>
      </c>
      <c r="AK10290">
        <v>2821066510</v>
      </c>
      <c r="AL10290" t="s">
        <v>14727</v>
      </c>
      <c r="AM10290" t="s">
        <v>88</v>
      </c>
      <c r="AN10290" t="s">
        <v>88</v>
      </c>
      <c r="AO10290" t="s">
        <v>6770</v>
      </c>
      <c r="AP10290" t="s">
        <v>6771</v>
      </c>
      <c r="AQ10290">
        <v>2</v>
      </c>
      <c r="AR10290" t="s">
        <v>89</v>
      </c>
      <c r="AS10290" t="s">
        <v>90</v>
      </c>
      <c r="AT10290" t="s">
        <v>58</v>
      </c>
      <c r="AU10290" t="s">
        <v>68</v>
      </c>
      <c r="AV10290" t="s">
        <v>69</v>
      </c>
      <c r="AW10290" s="1">
        <v>23671</v>
      </c>
      <c r="AX10290">
        <v>1</v>
      </c>
    </row>
    <row r="10291" spans="1:50">
      <c r="A10291">
        <v>566376</v>
      </c>
      <c r="B10291" t="str">
        <f>"064604910"</f>
        <v>064604910</v>
      </c>
      <c r="C10291" t="s">
        <v>50</v>
      </c>
      <c r="D10291" t="s">
        <v>15203</v>
      </c>
      <c r="E10291" t="s">
        <v>314</v>
      </c>
      <c r="F10291" t="s">
        <v>202</v>
      </c>
      <c r="G10291" t="s">
        <v>83</v>
      </c>
      <c r="H10291" t="str">
        <f>"Κ.ΜΑΝΟΥ 2 ΧΑΝΙΑ"</f>
        <v>Κ.ΜΑΝΟΥ 2 ΧΑΝΙΑ</v>
      </c>
      <c r="I10291">
        <v>73100</v>
      </c>
      <c r="J10291">
        <v>2821041751</v>
      </c>
      <c r="N10291" t="s">
        <v>1525</v>
      </c>
      <c r="O10291" t="s">
        <v>1526</v>
      </c>
      <c r="R10291" t="s">
        <v>57</v>
      </c>
      <c r="S10291">
        <v>14</v>
      </c>
      <c r="T10291">
        <v>161</v>
      </c>
      <c r="U10291" s="1">
        <v>33112</v>
      </c>
      <c r="V10291" t="s">
        <v>89</v>
      </c>
      <c r="W10291" t="s">
        <v>90</v>
      </c>
      <c r="X10291" t="s">
        <v>58</v>
      </c>
      <c r="Y10291">
        <v>25</v>
      </c>
      <c r="Z10291" t="s">
        <v>59</v>
      </c>
      <c r="AA10291" t="s">
        <v>59</v>
      </c>
      <c r="AB10291" t="s">
        <v>59</v>
      </c>
      <c r="AC10291" t="s">
        <v>59</v>
      </c>
      <c r="AD10291" t="s">
        <v>59</v>
      </c>
      <c r="AF10291" s="1">
        <v>33119</v>
      </c>
      <c r="AG10291" t="s">
        <v>8651</v>
      </c>
      <c r="AH10291" t="s">
        <v>8652</v>
      </c>
      <c r="AI10291" t="str">
        <f>"9500273"</f>
        <v>9500273</v>
      </c>
      <c r="AJ10291" t="s">
        <v>14109</v>
      </c>
      <c r="AK10291">
        <v>2821038005</v>
      </c>
      <c r="AL10291" t="s">
        <v>14110</v>
      </c>
      <c r="AM10291" t="s">
        <v>88</v>
      </c>
      <c r="AN10291" t="s">
        <v>6764</v>
      </c>
      <c r="AO10291" t="s">
        <v>6764</v>
      </c>
      <c r="AP10291" t="s">
        <v>6764</v>
      </c>
      <c r="AQ10291">
        <v>5</v>
      </c>
      <c r="AR10291" t="s">
        <v>89</v>
      </c>
      <c r="AS10291" t="s">
        <v>90</v>
      </c>
      <c r="AT10291" t="s">
        <v>58</v>
      </c>
      <c r="AU10291" t="s">
        <v>68</v>
      </c>
      <c r="AV10291" t="s">
        <v>69</v>
      </c>
      <c r="AW10291" s="1">
        <v>21841</v>
      </c>
      <c r="AX10291">
        <v>1</v>
      </c>
    </row>
    <row r="10292" spans="1:50">
      <c r="A10292">
        <v>611536</v>
      </c>
      <c r="B10292" t="str">
        <f>"055153751"</f>
        <v>055153751</v>
      </c>
      <c r="C10292" t="s">
        <v>50</v>
      </c>
      <c r="D10292" t="s">
        <v>15204</v>
      </c>
      <c r="E10292" t="s">
        <v>83</v>
      </c>
      <c r="F10292" t="s">
        <v>315</v>
      </c>
      <c r="G10292" t="s">
        <v>54</v>
      </c>
      <c r="H10292" t="str">
        <f>"Ν.ΑΝΔΡΙΑΝΑΚΗ 175 "</f>
        <v xml:space="preserve">Ν.ΑΝΔΡΙΑΝΑΚΗ 175 </v>
      </c>
      <c r="I10292">
        <v>73134</v>
      </c>
      <c r="J10292">
        <v>2102288396</v>
      </c>
      <c r="K10292">
        <v>6979905423</v>
      </c>
      <c r="N10292" t="s">
        <v>1525</v>
      </c>
      <c r="O10292" t="s">
        <v>1526</v>
      </c>
      <c r="R10292" t="s">
        <v>57</v>
      </c>
      <c r="S10292">
        <v>6</v>
      </c>
      <c r="T10292">
        <v>233</v>
      </c>
      <c r="U10292" s="1">
        <v>38960</v>
      </c>
      <c r="V10292" t="s">
        <v>89</v>
      </c>
      <c r="W10292" t="s">
        <v>90</v>
      </c>
      <c r="X10292" t="s">
        <v>58</v>
      </c>
      <c r="Y10292">
        <v>25</v>
      </c>
      <c r="Z10292" t="s">
        <v>59</v>
      </c>
      <c r="AA10292" t="s">
        <v>59</v>
      </c>
      <c r="AB10292" t="s">
        <v>59</v>
      </c>
      <c r="AC10292" t="s">
        <v>59</v>
      </c>
      <c r="AD10292" t="s">
        <v>59</v>
      </c>
      <c r="AF10292" s="1">
        <v>38960</v>
      </c>
      <c r="AG10292" t="s">
        <v>8651</v>
      </c>
      <c r="AH10292" t="s">
        <v>8652</v>
      </c>
      <c r="AI10292" t="str">
        <f>"9500346"</f>
        <v>9500346</v>
      </c>
      <c r="AJ10292" t="s">
        <v>14342</v>
      </c>
      <c r="AK10292">
        <v>2821076501</v>
      </c>
      <c r="AL10292" t="s">
        <v>14343</v>
      </c>
      <c r="AM10292" t="s">
        <v>88</v>
      </c>
      <c r="AN10292" t="s">
        <v>88</v>
      </c>
      <c r="AO10292" t="s">
        <v>88</v>
      </c>
      <c r="AP10292" t="s">
        <v>88</v>
      </c>
      <c r="AQ10292">
        <v>1</v>
      </c>
      <c r="AR10292" t="s">
        <v>89</v>
      </c>
      <c r="AS10292" t="s">
        <v>90</v>
      </c>
      <c r="AT10292" t="s">
        <v>58</v>
      </c>
      <c r="AU10292" t="s">
        <v>68</v>
      </c>
      <c r="AV10292" t="s">
        <v>69</v>
      </c>
      <c r="AW10292" s="1">
        <v>25228</v>
      </c>
      <c r="AX10292">
        <v>1</v>
      </c>
    </row>
    <row r="10293" spans="1:50">
      <c r="B10293" t="str">
        <f>"101924861"</f>
        <v>101924861</v>
      </c>
      <c r="C10293" t="s">
        <v>50</v>
      </c>
      <c r="D10293" t="s">
        <v>15205</v>
      </c>
      <c r="E10293" t="s">
        <v>809</v>
      </c>
      <c r="F10293" t="s">
        <v>670</v>
      </c>
      <c r="G10293" t="s">
        <v>3742</v>
      </c>
      <c r="H10293" t="str">
        <f>" "</f>
        <v xml:space="preserve"> </v>
      </c>
      <c r="N10293" t="s">
        <v>1525</v>
      </c>
      <c r="O10293" t="s">
        <v>1526</v>
      </c>
      <c r="R10293" t="s">
        <v>159</v>
      </c>
      <c r="S10293">
        <v>2</v>
      </c>
      <c r="T10293" t="s">
        <v>8670</v>
      </c>
      <c r="U10293" s="1">
        <v>43348</v>
      </c>
      <c r="V10293" t="s">
        <v>89</v>
      </c>
      <c r="W10293" t="s">
        <v>90</v>
      </c>
      <c r="X10293" t="s">
        <v>58</v>
      </c>
      <c r="Y10293">
        <v>25</v>
      </c>
      <c r="Z10293" t="s">
        <v>59</v>
      </c>
      <c r="AA10293" t="s">
        <v>59</v>
      </c>
      <c r="AB10293" t="s">
        <v>59</v>
      </c>
      <c r="AD10293" t="s">
        <v>59</v>
      </c>
      <c r="AF10293" s="1">
        <v>43348</v>
      </c>
      <c r="AG10293" t="s">
        <v>8651</v>
      </c>
      <c r="AH10293" t="s">
        <v>8652</v>
      </c>
      <c r="AI10293" t="str">
        <f>"9500323"</f>
        <v>9500323</v>
      </c>
      <c r="AJ10293" t="s">
        <v>15206</v>
      </c>
      <c r="AK10293">
        <v>2825091115</v>
      </c>
      <c r="AL10293" t="s">
        <v>15207</v>
      </c>
      <c r="AM10293" t="s">
        <v>88</v>
      </c>
      <c r="AN10293" t="s">
        <v>6995</v>
      </c>
      <c r="AO10293" t="s">
        <v>6995</v>
      </c>
      <c r="AP10293" t="s">
        <v>8796</v>
      </c>
      <c r="AQ10293">
        <v>10</v>
      </c>
      <c r="AR10293" t="s">
        <v>89</v>
      </c>
      <c r="AS10293" t="s">
        <v>90</v>
      </c>
      <c r="AT10293" t="s">
        <v>58</v>
      </c>
      <c r="AU10293" t="s">
        <v>8673</v>
      </c>
      <c r="AV10293" t="s">
        <v>132</v>
      </c>
      <c r="AW10293" s="1">
        <v>28565</v>
      </c>
      <c r="AX10293">
        <v>1</v>
      </c>
    </row>
    <row r="10294" spans="1:50">
      <c r="A10294">
        <v>555893</v>
      </c>
      <c r="B10294" t="str">
        <f>"112395257"</f>
        <v>112395257</v>
      </c>
      <c r="C10294" t="s">
        <v>50</v>
      </c>
      <c r="D10294" t="s">
        <v>6362</v>
      </c>
      <c r="E10294" t="s">
        <v>809</v>
      </c>
      <c r="F10294" t="s">
        <v>95</v>
      </c>
      <c r="G10294" t="s">
        <v>330</v>
      </c>
      <c r="H10294" t="str">
        <f>"ΒΑΜΟΣ "</f>
        <v xml:space="preserve">ΒΑΜΟΣ </v>
      </c>
      <c r="I10294">
        <v>73008</v>
      </c>
      <c r="J10294">
        <v>2825022929</v>
      </c>
      <c r="N10294" t="s">
        <v>615</v>
      </c>
      <c r="O10294" t="s">
        <v>616</v>
      </c>
      <c r="R10294" t="s">
        <v>57</v>
      </c>
      <c r="S10294">
        <v>17</v>
      </c>
      <c r="T10294">
        <v>200</v>
      </c>
      <c r="U10294" s="1">
        <v>31657</v>
      </c>
      <c r="V10294" t="s">
        <v>89</v>
      </c>
      <c r="W10294" t="s">
        <v>90</v>
      </c>
      <c r="X10294" t="s">
        <v>58</v>
      </c>
      <c r="Y10294">
        <v>21</v>
      </c>
      <c r="Z10294" t="s">
        <v>59</v>
      </c>
      <c r="AA10294" t="s">
        <v>59</v>
      </c>
      <c r="AB10294" t="s">
        <v>59</v>
      </c>
      <c r="AC10294" t="s">
        <v>59</v>
      </c>
      <c r="AD10294" t="s">
        <v>59</v>
      </c>
      <c r="AF10294" s="1">
        <v>31657</v>
      </c>
      <c r="AG10294" t="s">
        <v>8645</v>
      </c>
      <c r="AH10294" t="s">
        <v>8646</v>
      </c>
      <c r="AI10294" t="str">
        <f>"9500004"</f>
        <v>9500004</v>
      </c>
      <c r="AJ10294" t="s">
        <v>13897</v>
      </c>
      <c r="AK10294">
        <v>2825022272</v>
      </c>
      <c r="AL10294" t="s">
        <v>13898</v>
      </c>
      <c r="AM10294" t="s">
        <v>88</v>
      </c>
      <c r="AN10294" t="s">
        <v>6775</v>
      </c>
      <c r="AO10294" t="s">
        <v>6776</v>
      </c>
      <c r="AP10294" t="s">
        <v>6776</v>
      </c>
      <c r="AQ10294">
        <v>7</v>
      </c>
      <c r="AR10294" t="s">
        <v>89</v>
      </c>
      <c r="AS10294" t="s">
        <v>90</v>
      </c>
      <c r="AT10294" t="s">
        <v>58</v>
      </c>
      <c r="AU10294" t="s">
        <v>68</v>
      </c>
      <c r="AV10294" t="s">
        <v>69</v>
      </c>
      <c r="AW10294" s="1">
        <v>23157</v>
      </c>
      <c r="AX10294">
        <v>1</v>
      </c>
    </row>
    <row r="10295" spans="1:50">
      <c r="B10295" t="str">
        <f>"140446161"</f>
        <v>140446161</v>
      </c>
      <c r="C10295" t="s">
        <v>50</v>
      </c>
      <c r="D10295" t="s">
        <v>15208</v>
      </c>
      <c r="E10295" t="s">
        <v>52</v>
      </c>
      <c r="F10295" t="s">
        <v>309</v>
      </c>
      <c r="G10295" t="s">
        <v>3757</v>
      </c>
      <c r="H10295" t="str">
        <f>" "</f>
        <v xml:space="preserve"> </v>
      </c>
      <c r="N10295" t="s">
        <v>8834</v>
      </c>
      <c r="O10295" t="s">
        <v>8695</v>
      </c>
      <c r="R10295" t="s">
        <v>159</v>
      </c>
      <c r="S10295">
        <v>3</v>
      </c>
      <c r="T10295" t="s">
        <v>8696</v>
      </c>
      <c r="U10295" s="1">
        <v>43348</v>
      </c>
      <c r="V10295" t="s">
        <v>89</v>
      </c>
      <c r="W10295" t="s">
        <v>90</v>
      </c>
      <c r="X10295" t="s">
        <v>58</v>
      </c>
      <c r="Y10295">
        <v>24</v>
      </c>
      <c r="Z10295" t="s">
        <v>59</v>
      </c>
      <c r="AA10295" t="s">
        <v>59</v>
      </c>
      <c r="AB10295" t="s">
        <v>59</v>
      </c>
      <c r="AD10295" t="s">
        <v>59</v>
      </c>
      <c r="AF10295" s="1">
        <v>43348</v>
      </c>
      <c r="AG10295" t="s">
        <v>8645</v>
      </c>
      <c r="AH10295" t="s">
        <v>8646</v>
      </c>
      <c r="AI10295" t="str">
        <f>"9500225"</f>
        <v>9500225</v>
      </c>
      <c r="AJ10295" t="s">
        <v>14058</v>
      </c>
      <c r="AK10295">
        <v>2822041233</v>
      </c>
      <c r="AL10295" t="s">
        <v>14059</v>
      </c>
      <c r="AM10295" t="s">
        <v>88</v>
      </c>
      <c r="AN10295" t="s">
        <v>6744</v>
      </c>
      <c r="AO10295" t="s">
        <v>6744</v>
      </c>
      <c r="AP10295" t="s">
        <v>13045</v>
      </c>
      <c r="AQ10295">
        <v>9</v>
      </c>
      <c r="AR10295" t="s">
        <v>89</v>
      </c>
      <c r="AS10295" t="s">
        <v>90</v>
      </c>
      <c r="AT10295" t="s">
        <v>58</v>
      </c>
      <c r="AU10295" t="s">
        <v>350</v>
      </c>
      <c r="AV10295" t="s">
        <v>132</v>
      </c>
      <c r="AW10295" s="1">
        <v>32653</v>
      </c>
      <c r="AX10295">
        <v>1</v>
      </c>
    </row>
    <row r="10296" spans="1:50">
      <c r="A10296">
        <v>607447</v>
      </c>
      <c r="B10296" t="str">
        <f>"121623594"</f>
        <v>121623594</v>
      </c>
      <c r="C10296" t="s">
        <v>50</v>
      </c>
      <c r="D10296" t="s">
        <v>15209</v>
      </c>
      <c r="E10296" t="s">
        <v>250</v>
      </c>
      <c r="F10296" t="s">
        <v>84</v>
      </c>
      <c r="G10296" t="s">
        <v>237</v>
      </c>
      <c r="H10296" t="str">
        <f>"Π. ΠΟΥΡΑΪΜΗ 2 ΑΧΑΡΝΕΣ"</f>
        <v>Π. ΠΟΥΡΑΪΜΗ 2 ΑΧΑΡΝΕΣ</v>
      </c>
      <c r="I10296">
        <v>13671</v>
      </c>
      <c r="J10296">
        <v>2102467026</v>
      </c>
      <c r="K10296">
        <v>6942072872</v>
      </c>
      <c r="N10296" t="s">
        <v>615</v>
      </c>
      <c r="O10296" t="s">
        <v>616</v>
      </c>
      <c r="R10296" t="s">
        <v>57</v>
      </c>
      <c r="S10296">
        <v>7</v>
      </c>
      <c r="T10296">
        <v>217</v>
      </c>
      <c r="U10296" s="1">
        <v>38596</v>
      </c>
      <c r="V10296" t="s">
        <v>89</v>
      </c>
      <c r="W10296" t="s">
        <v>90</v>
      </c>
      <c r="X10296" t="s">
        <v>58</v>
      </c>
      <c r="Y10296">
        <v>23</v>
      </c>
      <c r="Z10296" t="s">
        <v>59</v>
      </c>
      <c r="AA10296" t="s">
        <v>59</v>
      </c>
      <c r="AB10296" t="s">
        <v>59</v>
      </c>
      <c r="AC10296" t="s">
        <v>59</v>
      </c>
      <c r="AD10296" t="s">
        <v>59</v>
      </c>
      <c r="AF10296" s="1">
        <v>38961</v>
      </c>
      <c r="AG10296" t="s">
        <v>8645</v>
      </c>
      <c r="AH10296" t="s">
        <v>8646</v>
      </c>
      <c r="AI10296" t="str">
        <f>"9500360"</f>
        <v>9500360</v>
      </c>
      <c r="AJ10296" t="s">
        <v>14022</v>
      </c>
      <c r="AK10296">
        <v>2821031253</v>
      </c>
      <c r="AL10296" t="s">
        <v>14023</v>
      </c>
      <c r="AM10296" t="s">
        <v>88</v>
      </c>
      <c r="AN10296" t="s">
        <v>88</v>
      </c>
      <c r="AO10296" t="s">
        <v>6785</v>
      </c>
      <c r="AP10296" t="s">
        <v>13932</v>
      </c>
      <c r="AQ10296">
        <v>3</v>
      </c>
      <c r="AR10296" t="s">
        <v>89</v>
      </c>
      <c r="AS10296" t="s">
        <v>90</v>
      </c>
      <c r="AT10296" t="s">
        <v>58</v>
      </c>
      <c r="AU10296" t="s">
        <v>68</v>
      </c>
      <c r="AV10296" t="s">
        <v>69</v>
      </c>
      <c r="AW10296" s="1">
        <v>30146</v>
      </c>
      <c r="AX10296">
        <v>1</v>
      </c>
    </row>
    <row r="10297" spans="1:50">
      <c r="A10297">
        <v>616252</v>
      </c>
      <c r="B10297" t="str">
        <f>"129530360"</f>
        <v>129530360</v>
      </c>
      <c r="C10297" t="s">
        <v>50</v>
      </c>
      <c r="D10297" t="s">
        <v>3272</v>
      </c>
      <c r="E10297" t="s">
        <v>6093</v>
      </c>
      <c r="F10297" t="s">
        <v>383</v>
      </c>
      <c r="G10297" t="s">
        <v>52</v>
      </c>
      <c r="H10297" t="str">
        <f>" "</f>
        <v xml:space="preserve"> </v>
      </c>
      <c r="J10297">
        <v>2108319687</v>
      </c>
      <c r="K10297">
        <v>6944875147</v>
      </c>
      <c r="N10297" t="s">
        <v>1525</v>
      </c>
      <c r="O10297" t="s">
        <v>1526</v>
      </c>
      <c r="R10297" t="s">
        <v>57</v>
      </c>
      <c r="S10297">
        <v>7</v>
      </c>
      <c r="T10297">
        <v>660</v>
      </c>
      <c r="U10297" s="1">
        <v>39311</v>
      </c>
      <c r="V10297" t="s">
        <v>89</v>
      </c>
      <c r="W10297" t="s">
        <v>90</v>
      </c>
      <c r="X10297" t="s">
        <v>58</v>
      </c>
      <c r="Y10297">
        <v>25</v>
      </c>
      <c r="Z10297" t="s">
        <v>59</v>
      </c>
      <c r="AA10297" t="s">
        <v>59</v>
      </c>
      <c r="AB10297" t="s">
        <v>59</v>
      </c>
      <c r="AC10297" t="s">
        <v>59</v>
      </c>
      <c r="AD10297" t="s">
        <v>59</v>
      </c>
      <c r="AF10297" s="1">
        <v>39311</v>
      </c>
      <c r="AG10297" t="s">
        <v>8651</v>
      </c>
      <c r="AH10297" t="s">
        <v>8652</v>
      </c>
      <c r="AI10297" t="str">
        <f>"9500258"</f>
        <v>9500258</v>
      </c>
      <c r="AJ10297" t="s">
        <v>14162</v>
      </c>
      <c r="AK10297">
        <v>2821090938</v>
      </c>
      <c r="AL10297" t="s">
        <v>14163</v>
      </c>
      <c r="AM10297" t="s">
        <v>88</v>
      </c>
      <c r="AN10297" t="s">
        <v>88</v>
      </c>
      <c r="AO10297" t="s">
        <v>88</v>
      </c>
      <c r="AP10297" t="s">
        <v>88</v>
      </c>
      <c r="AQ10297">
        <v>1</v>
      </c>
      <c r="AR10297" t="s">
        <v>89</v>
      </c>
      <c r="AS10297" t="s">
        <v>90</v>
      </c>
      <c r="AT10297" t="s">
        <v>58</v>
      </c>
      <c r="AU10297" t="s">
        <v>68</v>
      </c>
      <c r="AV10297" t="s">
        <v>69</v>
      </c>
      <c r="AW10297" s="1">
        <v>31066</v>
      </c>
      <c r="AX10297">
        <v>1</v>
      </c>
    </row>
    <row r="10298" spans="1:50">
      <c r="B10298" t="str">
        <f>"148955459"</f>
        <v>148955459</v>
      </c>
      <c r="C10298" t="s">
        <v>105</v>
      </c>
      <c r="D10298" t="s">
        <v>15210</v>
      </c>
      <c r="E10298" t="s">
        <v>936</v>
      </c>
      <c r="F10298" t="s">
        <v>72</v>
      </c>
      <c r="G10298" t="s">
        <v>83</v>
      </c>
      <c r="H10298" t="str">
        <f>"ΚΟΥΝΤΟΥΡΙΩΤΟΥ 12 "</f>
        <v xml:space="preserve">ΚΟΥΝΤΟΥΡΙΩΤΟΥ 12 </v>
      </c>
      <c r="I10298">
        <v>60100</v>
      </c>
      <c r="J10298">
        <v>2351034868</v>
      </c>
      <c r="K10298">
        <v>6976799554</v>
      </c>
      <c r="N10298" t="s">
        <v>337</v>
      </c>
      <c r="O10298" t="s">
        <v>338</v>
      </c>
      <c r="R10298" t="s">
        <v>121</v>
      </c>
      <c r="S10298">
        <v>1</v>
      </c>
      <c r="T10298" t="s">
        <v>8675</v>
      </c>
      <c r="U10298" s="1">
        <v>43348</v>
      </c>
      <c r="V10298" t="s">
        <v>89</v>
      </c>
      <c r="W10298" t="s">
        <v>90</v>
      </c>
      <c r="X10298" t="s">
        <v>58</v>
      </c>
      <c r="Y10298">
        <v>24</v>
      </c>
      <c r="Z10298" t="s">
        <v>59</v>
      </c>
      <c r="AA10298" t="s">
        <v>59</v>
      </c>
      <c r="AB10298" t="s">
        <v>59</v>
      </c>
      <c r="AC10298" t="s">
        <v>59</v>
      </c>
      <c r="AD10298" t="s">
        <v>59</v>
      </c>
      <c r="AF10298" s="1">
        <v>43348</v>
      </c>
      <c r="AG10298" t="s">
        <v>8645</v>
      </c>
      <c r="AH10298" t="s">
        <v>8646</v>
      </c>
      <c r="AI10298" t="str">
        <f>"9500175"</f>
        <v>9500175</v>
      </c>
      <c r="AJ10298" t="s">
        <v>14538</v>
      </c>
      <c r="AK10298">
        <v>2823041233</v>
      </c>
      <c r="AL10298" t="s">
        <v>14539</v>
      </c>
      <c r="AM10298" t="s">
        <v>88</v>
      </c>
      <c r="AN10298" t="s">
        <v>6824</v>
      </c>
      <c r="AO10298" t="s">
        <v>6870</v>
      </c>
      <c r="AP10298" t="s">
        <v>6871</v>
      </c>
      <c r="AQ10298">
        <v>11</v>
      </c>
      <c r="AR10298" t="s">
        <v>89</v>
      </c>
      <c r="AS10298" t="s">
        <v>90</v>
      </c>
      <c r="AT10298" t="s">
        <v>58</v>
      </c>
      <c r="AU10298" t="s">
        <v>8673</v>
      </c>
      <c r="AV10298" t="s">
        <v>132</v>
      </c>
      <c r="AW10298" s="1">
        <v>29616</v>
      </c>
      <c r="AX10298">
        <v>1</v>
      </c>
    </row>
    <row r="10299" spans="1:50">
      <c r="A10299">
        <v>619196</v>
      </c>
      <c r="B10299" t="str">
        <f>"101550766"</f>
        <v>101550766</v>
      </c>
      <c r="C10299" t="s">
        <v>50</v>
      </c>
      <c r="D10299" t="s">
        <v>15211</v>
      </c>
      <c r="E10299" t="s">
        <v>83</v>
      </c>
      <c r="F10299" t="s">
        <v>84</v>
      </c>
      <c r="G10299" t="s">
        <v>15212</v>
      </c>
      <c r="H10299" t="str">
        <f>"ΠΛΑΚΟΧΡΕΣ ΑΚΡΩΤΗΡΙ"</f>
        <v>ΠΛΑΚΟΧΡΕΣ ΑΚΡΩΤΗΡΙ</v>
      </c>
      <c r="I10299">
        <v>73100</v>
      </c>
      <c r="J10299">
        <v>2821064110</v>
      </c>
      <c r="K10299">
        <v>6978884752</v>
      </c>
      <c r="N10299" t="s">
        <v>1525</v>
      </c>
      <c r="O10299" t="s">
        <v>1526</v>
      </c>
      <c r="R10299" t="s">
        <v>57</v>
      </c>
      <c r="S10299">
        <v>6</v>
      </c>
      <c r="T10299">
        <v>774</v>
      </c>
      <c r="U10299" s="1">
        <v>39680</v>
      </c>
      <c r="V10299" t="s">
        <v>89</v>
      </c>
      <c r="W10299" t="s">
        <v>90</v>
      </c>
      <c r="X10299" t="s">
        <v>58</v>
      </c>
      <c r="Y10299">
        <v>25</v>
      </c>
      <c r="Z10299" t="s">
        <v>59</v>
      </c>
      <c r="AA10299" t="s">
        <v>59</v>
      </c>
      <c r="AB10299" t="s">
        <v>59</v>
      </c>
      <c r="AC10299" t="s">
        <v>59</v>
      </c>
      <c r="AD10299" t="s">
        <v>59</v>
      </c>
      <c r="AF10299" s="1">
        <v>39680</v>
      </c>
      <c r="AG10299" t="s">
        <v>8651</v>
      </c>
      <c r="AH10299" t="s">
        <v>8652</v>
      </c>
      <c r="AI10299" t="str">
        <f>"9500276"</f>
        <v>9500276</v>
      </c>
      <c r="AJ10299" t="s">
        <v>14703</v>
      </c>
      <c r="AK10299">
        <v>2821054388</v>
      </c>
      <c r="AL10299" t="s">
        <v>14704</v>
      </c>
      <c r="AM10299" t="s">
        <v>88</v>
      </c>
      <c r="AN10299" t="s">
        <v>88</v>
      </c>
      <c r="AO10299" t="s">
        <v>88</v>
      </c>
      <c r="AP10299" t="s">
        <v>88</v>
      </c>
      <c r="AQ10299">
        <v>1</v>
      </c>
      <c r="AR10299" t="s">
        <v>89</v>
      </c>
      <c r="AS10299" t="s">
        <v>90</v>
      </c>
      <c r="AT10299" t="s">
        <v>58</v>
      </c>
      <c r="AU10299" t="s">
        <v>68</v>
      </c>
      <c r="AV10299" t="s">
        <v>69</v>
      </c>
      <c r="AW10299" s="1">
        <v>24513</v>
      </c>
      <c r="AX10299">
        <v>1</v>
      </c>
    </row>
    <row r="10300" spans="1:50">
      <c r="A10300">
        <v>551330</v>
      </c>
      <c r="B10300" t="str">
        <f>"030600631"</f>
        <v>030600631</v>
      </c>
      <c r="C10300" t="s">
        <v>105</v>
      </c>
      <c r="D10300" t="s">
        <v>15213</v>
      </c>
      <c r="E10300" t="s">
        <v>1070</v>
      </c>
      <c r="F10300" t="s">
        <v>3857</v>
      </c>
      <c r="G10300" t="s">
        <v>610</v>
      </c>
      <c r="H10300" t="str">
        <f>"ΕΛΕΥΘΕΡΙΟΥ ΓΙΑΚΟΥΜΑΚΗ ΔΑΡΑΤΣΟ Ν. ΚΥΔΩΝΙΑΣ"</f>
        <v>ΕΛΕΥΘΕΡΙΟΥ ΓΙΑΚΟΥΜΑΚΗ ΔΑΡΑΤΣΟ Ν. ΚΥΔΩΝΙΑΣ</v>
      </c>
      <c r="I10300">
        <v>73100</v>
      </c>
      <c r="J10300">
        <v>2821032495</v>
      </c>
      <c r="K10300">
        <v>6986620213</v>
      </c>
      <c r="M10300" t="s">
        <v>15214</v>
      </c>
      <c r="N10300" t="s">
        <v>615</v>
      </c>
      <c r="O10300" t="s">
        <v>616</v>
      </c>
      <c r="R10300" t="s">
        <v>57</v>
      </c>
      <c r="S10300">
        <v>17</v>
      </c>
      <c r="T10300">
        <v>271</v>
      </c>
      <c r="U10300" s="1">
        <v>30923</v>
      </c>
      <c r="V10300" t="s">
        <v>89</v>
      </c>
      <c r="W10300" t="s">
        <v>90</v>
      </c>
      <c r="X10300" t="s">
        <v>58</v>
      </c>
      <c r="Y10300">
        <v>21</v>
      </c>
      <c r="Z10300" t="s">
        <v>59</v>
      </c>
      <c r="AA10300" t="s">
        <v>59</v>
      </c>
      <c r="AB10300" t="s">
        <v>59</v>
      </c>
      <c r="AC10300" t="s">
        <v>59</v>
      </c>
      <c r="AD10300" t="s">
        <v>59</v>
      </c>
      <c r="AF10300" s="1">
        <v>30923</v>
      </c>
      <c r="AG10300" t="s">
        <v>8645</v>
      </c>
      <c r="AH10300" t="s">
        <v>8646</v>
      </c>
      <c r="AI10300" t="str">
        <f>"9500139"</f>
        <v>9500139</v>
      </c>
      <c r="AJ10300" t="s">
        <v>14050</v>
      </c>
      <c r="AK10300">
        <v>2821096819</v>
      </c>
      <c r="AL10300" t="s">
        <v>14051</v>
      </c>
      <c r="AM10300" t="s">
        <v>88</v>
      </c>
      <c r="AN10300" t="s">
        <v>88</v>
      </c>
      <c r="AO10300" t="s">
        <v>88</v>
      </c>
      <c r="AP10300" t="s">
        <v>88</v>
      </c>
      <c r="AQ10300">
        <v>1</v>
      </c>
      <c r="AR10300" t="s">
        <v>89</v>
      </c>
      <c r="AS10300" t="s">
        <v>90</v>
      </c>
      <c r="AT10300" t="s">
        <v>58</v>
      </c>
      <c r="AU10300" t="s">
        <v>68</v>
      </c>
      <c r="AV10300" t="s">
        <v>69</v>
      </c>
      <c r="AW10300" s="1">
        <v>22008</v>
      </c>
      <c r="AX10300">
        <v>1</v>
      </c>
    </row>
    <row r="10301" spans="1:50">
      <c r="A10301">
        <v>599634</v>
      </c>
      <c r="B10301" t="str">
        <f>"040987890"</f>
        <v>040987890</v>
      </c>
      <c r="C10301" t="s">
        <v>105</v>
      </c>
      <c r="D10301" t="s">
        <v>15215</v>
      </c>
      <c r="E10301" t="s">
        <v>106</v>
      </c>
      <c r="F10301" t="s">
        <v>646</v>
      </c>
      <c r="G10301" t="s">
        <v>15216</v>
      </c>
      <c r="H10301" t="str">
        <f>"ΑΓΙΩΝ ΑΠΟΣΤΟΛΩΝ    11 ΧΑΝΙΑ"</f>
        <v>ΑΓΙΩΝ ΑΠΟΣΤΟΛΩΝ    11 ΧΑΝΙΑ</v>
      </c>
      <c r="I10301">
        <v>73100</v>
      </c>
      <c r="J10301">
        <v>2467042053</v>
      </c>
      <c r="K10301">
        <v>6977567167</v>
      </c>
      <c r="L10301">
        <v>2821074436</v>
      </c>
      <c r="N10301" t="s">
        <v>615</v>
      </c>
      <c r="O10301" t="s">
        <v>616</v>
      </c>
      <c r="R10301" t="s">
        <v>57</v>
      </c>
      <c r="S10301">
        <v>9</v>
      </c>
      <c r="T10301">
        <v>195</v>
      </c>
      <c r="U10301" s="1">
        <v>37497</v>
      </c>
      <c r="V10301" t="s">
        <v>89</v>
      </c>
      <c r="W10301" t="s">
        <v>90</v>
      </c>
      <c r="X10301" t="s">
        <v>58</v>
      </c>
      <c r="Y10301">
        <v>22</v>
      </c>
      <c r="Z10301" t="s">
        <v>59</v>
      </c>
      <c r="AA10301" t="s">
        <v>59</v>
      </c>
      <c r="AB10301" t="s">
        <v>59</v>
      </c>
      <c r="AC10301" t="s">
        <v>59</v>
      </c>
      <c r="AD10301" t="s">
        <v>59</v>
      </c>
      <c r="AF10301" s="1">
        <v>37501</v>
      </c>
      <c r="AG10301" t="s">
        <v>8645</v>
      </c>
      <c r="AH10301" t="s">
        <v>8646</v>
      </c>
      <c r="AI10301" t="str">
        <f>"9500035"</f>
        <v>9500035</v>
      </c>
      <c r="AJ10301" t="s">
        <v>13979</v>
      </c>
      <c r="AK10301">
        <v>2821094678</v>
      </c>
      <c r="AL10301" t="s">
        <v>13980</v>
      </c>
      <c r="AM10301" t="s">
        <v>88</v>
      </c>
      <c r="AN10301" t="s">
        <v>88</v>
      </c>
      <c r="AO10301" t="s">
        <v>88</v>
      </c>
      <c r="AP10301" t="s">
        <v>88</v>
      </c>
      <c r="AQ10301">
        <v>2</v>
      </c>
      <c r="AR10301" t="s">
        <v>89</v>
      </c>
      <c r="AS10301" t="s">
        <v>90</v>
      </c>
      <c r="AT10301" t="s">
        <v>58</v>
      </c>
      <c r="AU10301" t="s">
        <v>68</v>
      </c>
      <c r="AV10301" t="s">
        <v>69</v>
      </c>
      <c r="AW10301" s="1">
        <v>24145</v>
      </c>
      <c r="AX10301">
        <v>1</v>
      </c>
    </row>
    <row r="10302" spans="1:50">
      <c r="A10302">
        <v>559738</v>
      </c>
      <c r="B10302" t="str">
        <f>"033887540"</f>
        <v>033887540</v>
      </c>
      <c r="C10302" t="s">
        <v>50</v>
      </c>
      <c r="D10302" t="s">
        <v>3276</v>
      </c>
      <c r="E10302" t="s">
        <v>52</v>
      </c>
      <c r="F10302" t="s">
        <v>72</v>
      </c>
      <c r="G10302" t="s">
        <v>314</v>
      </c>
      <c r="H10302" t="str">
        <f>"ΙΠΠΟΚΡΗΝΗΣ ΓΑΛΑΤΑΣ"</f>
        <v>ΙΠΠΟΚΡΗΝΗΣ ΓΑΛΑΤΑΣ</v>
      </c>
      <c r="I10302">
        <v>73100</v>
      </c>
      <c r="N10302" t="s">
        <v>1525</v>
      </c>
      <c r="O10302" t="s">
        <v>1526</v>
      </c>
      <c r="R10302" t="s">
        <v>57</v>
      </c>
      <c r="S10302">
        <v>15</v>
      </c>
      <c r="T10302">
        <v>175</v>
      </c>
      <c r="U10302" s="1">
        <v>32020</v>
      </c>
      <c r="V10302" t="s">
        <v>89</v>
      </c>
      <c r="W10302" t="s">
        <v>90</v>
      </c>
      <c r="X10302" t="s">
        <v>58</v>
      </c>
      <c r="Y10302">
        <v>25</v>
      </c>
      <c r="Z10302" t="s">
        <v>59</v>
      </c>
      <c r="AA10302" t="s">
        <v>59</v>
      </c>
      <c r="AB10302" t="s">
        <v>59</v>
      </c>
      <c r="AC10302" t="s">
        <v>59</v>
      </c>
      <c r="AD10302" t="s">
        <v>59</v>
      </c>
      <c r="AF10302" s="1">
        <v>32020</v>
      </c>
      <c r="AG10302" t="s">
        <v>8651</v>
      </c>
      <c r="AH10302" t="s">
        <v>8652</v>
      </c>
      <c r="AI10302" t="str">
        <f>"9500427"</f>
        <v>9500427</v>
      </c>
      <c r="AJ10302" t="s">
        <v>14740</v>
      </c>
      <c r="AK10302">
        <v>2821072532</v>
      </c>
      <c r="AL10302" t="s">
        <v>14741</v>
      </c>
      <c r="AM10302" t="s">
        <v>88</v>
      </c>
      <c r="AN10302" t="s">
        <v>88</v>
      </c>
      <c r="AO10302" t="s">
        <v>88</v>
      </c>
      <c r="AP10302" t="s">
        <v>88</v>
      </c>
      <c r="AQ10302">
        <v>1</v>
      </c>
      <c r="AR10302" t="s">
        <v>89</v>
      </c>
      <c r="AS10302" t="s">
        <v>90</v>
      </c>
      <c r="AT10302" t="s">
        <v>58</v>
      </c>
      <c r="AU10302" t="s">
        <v>68</v>
      </c>
      <c r="AV10302" t="s">
        <v>69</v>
      </c>
      <c r="AW10302" s="1">
        <v>23411</v>
      </c>
      <c r="AX10302">
        <v>1</v>
      </c>
    </row>
    <row r="10303" spans="1:50">
      <c r="A10303">
        <v>586431</v>
      </c>
      <c r="B10303" t="str">
        <f>"037403042"</f>
        <v>037403042</v>
      </c>
      <c r="C10303" t="s">
        <v>50</v>
      </c>
      <c r="D10303" t="s">
        <v>6369</v>
      </c>
      <c r="E10303" t="s">
        <v>255</v>
      </c>
      <c r="F10303" t="s">
        <v>377</v>
      </c>
      <c r="G10303" t="s">
        <v>14325</v>
      </c>
      <c r="H10303" t="str">
        <f>"ΒΑΡΥΠΕΤΡΟ ΧΑΝΙΑ"</f>
        <v>ΒΑΡΥΠΕΤΡΟ ΧΑΝΙΑ</v>
      </c>
      <c r="I10303">
        <v>73100</v>
      </c>
      <c r="J10303">
        <v>2821034071</v>
      </c>
      <c r="K10303">
        <v>6946741461</v>
      </c>
      <c r="N10303" t="s">
        <v>615</v>
      </c>
      <c r="O10303" t="s">
        <v>616</v>
      </c>
      <c r="R10303" t="s">
        <v>57</v>
      </c>
      <c r="S10303">
        <v>10</v>
      </c>
      <c r="T10303">
        <v>165</v>
      </c>
      <c r="U10303" s="1">
        <v>36040</v>
      </c>
      <c r="V10303" t="s">
        <v>89</v>
      </c>
      <c r="W10303" t="s">
        <v>90</v>
      </c>
      <c r="X10303" t="s">
        <v>58</v>
      </c>
      <c r="Y10303">
        <v>21</v>
      </c>
      <c r="Z10303" t="s">
        <v>59</v>
      </c>
      <c r="AA10303" t="s">
        <v>59</v>
      </c>
      <c r="AB10303" t="s">
        <v>59</v>
      </c>
      <c r="AC10303" t="s">
        <v>59</v>
      </c>
      <c r="AD10303" t="s">
        <v>59</v>
      </c>
      <c r="AF10303" s="1">
        <v>36040</v>
      </c>
      <c r="AG10303" t="s">
        <v>8645</v>
      </c>
      <c r="AH10303" t="s">
        <v>8646</v>
      </c>
      <c r="AI10303" t="str">
        <f>"9500107"</f>
        <v>9500107</v>
      </c>
      <c r="AJ10303" t="s">
        <v>13918</v>
      </c>
      <c r="AK10303">
        <v>2821096244</v>
      </c>
      <c r="AL10303" t="s">
        <v>13919</v>
      </c>
      <c r="AM10303" t="s">
        <v>88</v>
      </c>
      <c r="AN10303" t="s">
        <v>88</v>
      </c>
      <c r="AO10303" t="s">
        <v>13920</v>
      </c>
      <c r="AP10303" t="s">
        <v>13921</v>
      </c>
      <c r="AQ10303">
        <v>3</v>
      </c>
      <c r="AR10303" t="s">
        <v>89</v>
      </c>
      <c r="AS10303" t="s">
        <v>90</v>
      </c>
      <c r="AT10303" t="s">
        <v>58</v>
      </c>
      <c r="AU10303" t="s">
        <v>68</v>
      </c>
      <c r="AV10303" t="s">
        <v>69</v>
      </c>
      <c r="AW10303" s="1">
        <v>25294</v>
      </c>
      <c r="AX10303">
        <v>1</v>
      </c>
    </row>
    <row r="10304" spans="1:50">
      <c r="A10304">
        <v>615052</v>
      </c>
      <c r="B10304" t="str">
        <f>"130407914"</f>
        <v>130407914</v>
      </c>
      <c r="C10304" t="s">
        <v>50</v>
      </c>
      <c r="D10304" t="s">
        <v>6369</v>
      </c>
      <c r="E10304" t="s">
        <v>52</v>
      </c>
      <c r="F10304" t="s">
        <v>84</v>
      </c>
      <c r="G10304" t="s">
        <v>238</v>
      </c>
      <c r="H10304" t="str">
        <f>"ΠΑΖΙΝΟΣ   ΑΚΡΩΤΗΡΙ  ΧΑΝΙΩΝ"</f>
        <v>ΠΑΖΙΝΟΣ   ΑΚΡΩΤΗΡΙ  ΧΑΝΙΩΝ</v>
      </c>
      <c r="I10304">
        <v>73100</v>
      </c>
      <c r="J10304">
        <v>2821300919</v>
      </c>
      <c r="K10304">
        <v>6932329278</v>
      </c>
      <c r="M10304" t="s">
        <v>15217</v>
      </c>
      <c r="N10304" t="s">
        <v>615</v>
      </c>
      <c r="O10304" t="s">
        <v>616</v>
      </c>
      <c r="R10304" t="s">
        <v>57</v>
      </c>
      <c r="S10304">
        <v>7</v>
      </c>
      <c r="T10304">
        <v>598</v>
      </c>
      <c r="U10304" s="1">
        <v>39310</v>
      </c>
      <c r="V10304" t="s">
        <v>89</v>
      </c>
      <c r="W10304" t="s">
        <v>90</v>
      </c>
      <c r="X10304" t="s">
        <v>58</v>
      </c>
      <c r="Y10304">
        <v>22</v>
      </c>
      <c r="Z10304" t="s">
        <v>59</v>
      </c>
      <c r="AA10304" t="s">
        <v>59</v>
      </c>
      <c r="AB10304" t="s">
        <v>59</v>
      </c>
      <c r="AC10304" t="s">
        <v>59</v>
      </c>
      <c r="AD10304" t="s">
        <v>59</v>
      </c>
      <c r="AF10304" s="1">
        <v>39310</v>
      </c>
      <c r="AG10304" t="s">
        <v>8645</v>
      </c>
      <c r="AH10304" t="s">
        <v>8646</v>
      </c>
      <c r="AI10304" t="str">
        <f>"9500083"</f>
        <v>9500083</v>
      </c>
      <c r="AJ10304" t="s">
        <v>14239</v>
      </c>
      <c r="AK10304">
        <v>2821063500</v>
      </c>
      <c r="AL10304" t="s">
        <v>14240</v>
      </c>
      <c r="AM10304" t="s">
        <v>88</v>
      </c>
      <c r="AN10304" t="s">
        <v>88</v>
      </c>
      <c r="AO10304" t="s">
        <v>6770</v>
      </c>
      <c r="AP10304" t="s">
        <v>14090</v>
      </c>
      <c r="AQ10304">
        <v>2</v>
      </c>
      <c r="AR10304" t="s">
        <v>89</v>
      </c>
      <c r="AS10304" t="s">
        <v>90</v>
      </c>
      <c r="AT10304" t="s">
        <v>58</v>
      </c>
      <c r="AU10304" t="s">
        <v>68</v>
      </c>
      <c r="AV10304" t="s">
        <v>69</v>
      </c>
      <c r="AW10304" s="1">
        <v>29522</v>
      </c>
      <c r="AX10304">
        <v>1</v>
      </c>
    </row>
    <row r="10305" spans="1:50">
      <c r="A10305">
        <v>617325</v>
      </c>
      <c r="B10305" t="str">
        <f>"104529541"</f>
        <v>104529541</v>
      </c>
      <c r="C10305" t="s">
        <v>50</v>
      </c>
      <c r="D10305" t="s">
        <v>15218</v>
      </c>
      <c r="E10305" t="s">
        <v>250</v>
      </c>
      <c r="F10305" t="s">
        <v>72</v>
      </c>
      <c r="G10305" t="s">
        <v>1001</v>
      </c>
      <c r="H10305" t="str">
        <f>"ΜΥΛΩΝΟΓΙΑΝΝΗ   51 ΧΑΝΙΑ"</f>
        <v>ΜΥΛΩΝΟΓΙΑΝΝΗ   51 ΧΑΝΙΑ</v>
      </c>
      <c r="I10305">
        <v>73100</v>
      </c>
      <c r="J10305">
        <v>2310767297</v>
      </c>
      <c r="K10305">
        <v>6937299479</v>
      </c>
      <c r="M10305" t="s">
        <v>15219</v>
      </c>
      <c r="N10305" t="s">
        <v>615</v>
      </c>
      <c r="O10305" t="s">
        <v>616</v>
      </c>
      <c r="R10305" t="s">
        <v>57</v>
      </c>
      <c r="S10305">
        <v>6</v>
      </c>
      <c r="T10305">
        <v>774</v>
      </c>
      <c r="U10305" s="1">
        <v>39680</v>
      </c>
      <c r="V10305" t="s">
        <v>89</v>
      </c>
      <c r="W10305" t="s">
        <v>90</v>
      </c>
      <c r="X10305" t="s">
        <v>58</v>
      </c>
      <c r="Y10305">
        <v>23</v>
      </c>
      <c r="Z10305" t="s">
        <v>59</v>
      </c>
      <c r="AA10305" t="s">
        <v>59</v>
      </c>
      <c r="AB10305" t="s">
        <v>59</v>
      </c>
      <c r="AC10305" t="s">
        <v>59</v>
      </c>
      <c r="AD10305" t="s">
        <v>59</v>
      </c>
      <c r="AF10305" s="1">
        <v>39681</v>
      </c>
      <c r="AG10305" t="s">
        <v>8645</v>
      </c>
      <c r="AH10305" t="s">
        <v>8646</v>
      </c>
      <c r="AI10305" t="str">
        <f>"9500024"</f>
        <v>9500024</v>
      </c>
      <c r="AJ10305" t="s">
        <v>13856</v>
      </c>
      <c r="AK10305">
        <v>2825041345</v>
      </c>
      <c r="AL10305" t="s">
        <v>13857</v>
      </c>
      <c r="AM10305" t="s">
        <v>88</v>
      </c>
      <c r="AN10305" t="s">
        <v>6775</v>
      </c>
      <c r="AO10305" t="s">
        <v>11883</v>
      </c>
      <c r="AP10305" t="s">
        <v>13858</v>
      </c>
      <c r="AQ10305">
        <v>7</v>
      </c>
      <c r="AR10305" t="s">
        <v>89</v>
      </c>
      <c r="AS10305" t="s">
        <v>90</v>
      </c>
      <c r="AT10305" t="s">
        <v>58</v>
      </c>
      <c r="AU10305" t="s">
        <v>68</v>
      </c>
      <c r="AV10305" t="s">
        <v>69</v>
      </c>
      <c r="AW10305" s="1">
        <v>29723</v>
      </c>
      <c r="AX10305">
        <v>1</v>
      </c>
    </row>
    <row r="10306" spans="1:50">
      <c r="A10306">
        <v>214831</v>
      </c>
      <c r="B10306" t="str">
        <f>"033214043"</f>
        <v>033214043</v>
      </c>
      <c r="C10306" t="s">
        <v>50</v>
      </c>
      <c r="D10306" t="s">
        <v>8104</v>
      </c>
      <c r="E10306" t="s">
        <v>52</v>
      </c>
      <c r="F10306" t="s">
        <v>166</v>
      </c>
      <c r="G10306" t="s">
        <v>340</v>
      </c>
      <c r="H10306" t="str">
        <f>"ΑΡΩΝΙ ΑΚΡΩΤΗΡΙΟΥ "</f>
        <v xml:space="preserve">ΑΡΩΝΙ ΑΚΡΩΤΗΡΙΟΥ </v>
      </c>
      <c r="I10306">
        <v>73100</v>
      </c>
      <c r="J10306">
        <v>2821057450</v>
      </c>
      <c r="K10306">
        <v>6972623588</v>
      </c>
      <c r="N10306" t="s">
        <v>1525</v>
      </c>
      <c r="O10306" t="s">
        <v>1526</v>
      </c>
      <c r="R10306" t="s">
        <v>57</v>
      </c>
      <c r="S10306">
        <v>9</v>
      </c>
      <c r="T10306">
        <v>231</v>
      </c>
      <c r="U10306" s="1">
        <v>38960</v>
      </c>
      <c r="V10306" t="s">
        <v>89</v>
      </c>
      <c r="W10306" t="s">
        <v>90</v>
      </c>
      <c r="X10306" t="s">
        <v>58</v>
      </c>
      <c r="Y10306">
        <v>25</v>
      </c>
      <c r="Z10306" t="s">
        <v>59</v>
      </c>
      <c r="AA10306" t="s">
        <v>59</v>
      </c>
      <c r="AB10306" t="s">
        <v>59</v>
      </c>
      <c r="AC10306" t="s">
        <v>59</v>
      </c>
      <c r="AD10306" t="s">
        <v>59</v>
      </c>
      <c r="AF10306" s="1">
        <v>38961</v>
      </c>
      <c r="AG10306" t="s">
        <v>8651</v>
      </c>
      <c r="AH10306" t="s">
        <v>8652</v>
      </c>
      <c r="AI10306" t="str">
        <f>"9500273"</f>
        <v>9500273</v>
      </c>
      <c r="AJ10306" t="s">
        <v>14109</v>
      </c>
      <c r="AK10306">
        <v>2821038005</v>
      </c>
      <c r="AL10306" t="s">
        <v>14110</v>
      </c>
      <c r="AM10306" t="s">
        <v>88</v>
      </c>
      <c r="AN10306" t="s">
        <v>6764</v>
      </c>
      <c r="AO10306" t="s">
        <v>6764</v>
      </c>
      <c r="AP10306" t="s">
        <v>6764</v>
      </c>
      <c r="AQ10306">
        <v>5</v>
      </c>
      <c r="AR10306" t="s">
        <v>89</v>
      </c>
      <c r="AS10306" t="s">
        <v>90</v>
      </c>
      <c r="AT10306" t="s">
        <v>58</v>
      </c>
      <c r="AU10306" t="s">
        <v>68</v>
      </c>
      <c r="AV10306" t="s">
        <v>69</v>
      </c>
      <c r="AW10306" s="1">
        <v>23100</v>
      </c>
      <c r="AX10306">
        <v>1</v>
      </c>
    </row>
    <row r="10307" spans="1:50">
      <c r="A10307">
        <v>563124</v>
      </c>
      <c r="B10307" t="str">
        <f>"030600667"</f>
        <v>030600667</v>
      </c>
      <c r="C10307" t="s">
        <v>50</v>
      </c>
      <c r="D10307" t="s">
        <v>15220</v>
      </c>
      <c r="E10307" t="s">
        <v>112</v>
      </c>
      <c r="F10307" t="s">
        <v>521</v>
      </c>
      <c r="G10307" t="s">
        <v>104</v>
      </c>
      <c r="H10307" t="str">
        <f>"Μ.ΚΟΡΑΚΑ 56Α ΧΑΝΙΑ"</f>
        <v>Μ.ΚΟΡΑΚΑ 56Α ΧΑΝΙΑ</v>
      </c>
      <c r="I10307">
        <v>73100</v>
      </c>
      <c r="J10307">
        <v>2821087236</v>
      </c>
      <c r="K10307">
        <v>6977264240</v>
      </c>
      <c r="N10307" t="s">
        <v>1525</v>
      </c>
      <c r="O10307" t="s">
        <v>1526</v>
      </c>
      <c r="R10307" t="s">
        <v>57</v>
      </c>
      <c r="S10307">
        <v>15</v>
      </c>
      <c r="T10307">
        <v>187</v>
      </c>
      <c r="U10307" s="1">
        <v>32750</v>
      </c>
      <c r="V10307" t="s">
        <v>89</v>
      </c>
      <c r="W10307" t="s">
        <v>90</v>
      </c>
      <c r="X10307" t="s">
        <v>58</v>
      </c>
      <c r="Y10307">
        <v>25</v>
      </c>
      <c r="Z10307" t="s">
        <v>59</v>
      </c>
      <c r="AA10307" t="s">
        <v>59</v>
      </c>
      <c r="AB10307" t="s">
        <v>59</v>
      </c>
      <c r="AC10307" t="s">
        <v>59</v>
      </c>
      <c r="AD10307" t="s">
        <v>59</v>
      </c>
      <c r="AF10307" s="1">
        <v>32752</v>
      </c>
      <c r="AG10307" t="s">
        <v>8651</v>
      </c>
      <c r="AH10307" t="s">
        <v>8652</v>
      </c>
      <c r="AI10307" t="str">
        <f>"9500072"</f>
        <v>9500072</v>
      </c>
      <c r="AJ10307" t="s">
        <v>14916</v>
      </c>
      <c r="AK10307">
        <v>2821094168</v>
      </c>
      <c r="AL10307" t="s">
        <v>14917</v>
      </c>
      <c r="AM10307" t="s">
        <v>88</v>
      </c>
      <c r="AN10307" t="s">
        <v>88</v>
      </c>
      <c r="AO10307" t="s">
        <v>88</v>
      </c>
      <c r="AP10307" t="s">
        <v>88</v>
      </c>
      <c r="AQ10307">
        <v>1</v>
      </c>
      <c r="AR10307" t="s">
        <v>89</v>
      </c>
      <c r="AS10307" t="s">
        <v>90</v>
      </c>
      <c r="AT10307" t="s">
        <v>58</v>
      </c>
      <c r="AU10307" t="s">
        <v>68</v>
      </c>
      <c r="AV10307" t="s">
        <v>69</v>
      </c>
      <c r="AW10307" s="1">
        <v>23628</v>
      </c>
      <c r="AX10307">
        <v>1</v>
      </c>
    </row>
    <row r="10308" spans="1:50">
      <c r="B10308" t="str">
        <f>"139492555"</f>
        <v>139492555</v>
      </c>
      <c r="C10308" t="s">
        <v>50</v>
      </c>
      <c r="D10308" t="s">
        <v>11073</v>
      </c>
      <c r="E10308" t="s">
        <v>600</v>
      </c>
      <c r="F10308" t="s">
        <v>202</v>
      </c>
      <c r="H10308" t="str">
        <f>"Μελιδονίου 19  ΧΑΝΙΑ"</f>
        <v>Μελιδονίου 19  ΧΑΝΙΑ</v>
      </c>
      <c r="I10308">
        <v>73100</v>
      </c>
      <c r="K10308">
        <v>6947761326</v>
      </c>
      <c r="N10308" t="s">
        <v>384</v>
      </c>
      <c r="O10308" t="s">
        <v>385</v>
      </c>
      <c r="R10308" t="s">
        <v>121</v>
      </c>
      <c r="S10308">
        <v>1</v>
      </c>
      <c r="T10308" t="s">
        <v>8675</v>
      </c>
      <c r="U10308" s="1">
        <v>43348</v>
      </c>
      <c r="V10308" t="s">
        <v>89</v>
      </c>
      <c r="W10308" t="s">
        <v>90</v>
      </c>
      <c r="X10308" t="s">
        <v>58</v>
      </c>
      <c r="Y10308">
        <v>24</v>
      </c>
      <c r="Z10308" t="s">
        <v>59</v>
      </c>
      <c r="AA10308" t="s">
        <v>59</v>
      </c>
      <c r="AB10308" t="s">
        <v>59</v>
      </c>
      <c r="AC10308" t="s">
        <v>59</v>
      </c>
      <c r="AD10308" t="s">
        <v>59</v>
      </c>
      <c r="AF10308" s="1">
        <v>43348</v>
      </c>
      <c r="AG10308" t="s">
        <v>8645</v>
      </c>
      <c r="AH10308" t="s">
        <v>8646</v>
      </c>
      <c r="AI10308" t="str">
        <f>"9500338"</f>
        <v>9500338</v>
      </c>
      <c r="AJ10308" t="s">
        <v>13959</v>
      </c>
      <c r="AK10308">
        <v>2821040556</v>
      </c>
      <c r="AL10308" t="s">
        <v>13960</v>
      </c>
      <c r="AM10308" t="s">
        <v>88</v>
      </c>
      <c r="AN10308" t="s">
        <v>88</v>
      </c>
      <c r="AO10308" t="s">
        <v>88</v>
      </c>
      <c r="AP10308" t="s">
        <v>88</v>
      </c>
      <c r="AQ10308">
        <v>1</v>
      </c>
      <c r="AR10308" t="s">
        <v>89</v>
      </c>
      <c r="AS10308" t="s">
        <v>90</v>
      </c>
      <c r="AT10308" t="s">
        <v>58</v>
      </c>
      <c r="AU10308" t="s">
        <v>8673</v>
      </c>
      <c r="AV10308" t="s">
        <v>132</v>
      </c>
      <c r="AW10308" s="1">
        <v>31778</v>
      </c>
      <c r="AX10308">
        <v>1</v>
      </c>
    </row>
    <row r="10309" spans="1:50">
      <c r="A10309">
        <v>593174</v>
      </c>
      <c r="B10309" t="str">
        <f>"069764118"</f>
        <v>069764118</v>
      </c>
      <c r="C10309" t="s">
        <v>50</v>
      </c>
      <c r="D10309" t="s">
        <v>11073</v>
      </c>
      <c r="E10309" t="s">
        <v>10634</v>
      </c>
      <c r="F10309" t="s">
        <v>408</v>
      </c>
      <c r="G10309" t="s">
        <v>2564</v>
      </c>
      <c r="H10309" t="str">
        <f>"ΡΟΥΦΟΥ  4 ΧΑΝΙΑ"</f>
        <v>ΡΟΥΦΟΥ  4 ΧΑΝΙΑ</v>
      </c>
      <c r="I10309">
        <v>73132</v>
      </c>
      <c r="J10309">
        <v>2821051080</v>
      </c>
      <c r="K10309">
        <v>6973639992</v>
      </c>
      <c r="N10309" t="s">
        <v>615</v>
      </c>
      <c r="O10309" t="s">
        <v>616</v>
      </c>
      <c r="R10309" t="s">
        <v>57</v>
      </c>
      <c r="S10309">
        <v>8</v>
      </c>
      <c r="T10309">
        <v>218</v>
      </c>
      <c r="U10309" s="1">
        <v>37134</v>
      </c>
      <c r="V10309" t="s">
        <v>89</v>
      </c>
      <c r="W10309" t="s">
        <v>90</v>
      </c>
      <c r="X10309" t="s">
        <v>58</v>
      </c>
      <c r="Y10309">
        <v>22</v>
      </c>
      <c r="Z10309" t="s">
        <v>59</v>
      </c>
      <c r="AA10309" t="s">
        <v>59</v>
      </c>
      <c r="AB10309" t="s">
        <v>59</v>
      </c>
      <c r="AC10309" t="s">
        <v>59</v>
      </c>
      <c r="AD10309" t="s">
        <v>59</v>
      </c>
      <c r="AF10309" s="1">
        <v>37134</v>
      </c>
      <c r="AG10309" t="s">
        <v>8645</v>
      </c>
      <c r="AH10309" t="s">
        <v>8646</v>
      </c>
      <c r="AI10309" t="str">
        <f>"9500041"</f>
        <v>9500041</v>
      </c>
      <c r="AJ10309" t="s">
        <v>13944</v>
      </c>
      <c r="AK10309">
        <v>2821028218</v>
      </c>
      <c r="AL10309" t="s">
        <v>13945</v>
      </c>
      <c r="AM10309" t="s">
        <v>88</v>
      </c>
      <c r="AN10309" t="s">
        <v>88</v>
      </c>
      <c r="AO10309" t="s">
        <v>88</v>
      </c>
      <c r="AP10309" t="s">
        <v>88</v>
      </c>
      <c r="AQ10309">
        <v>1</v>
      </c>
      <c r="AR10309" t="s">
        <v>89</v>
      </c>
      <c r="AS10309" t="s">
        <v>90</v>
      </c>
      <c r="AT10309" t="s">
        <v>58</v>
      </c>
      <c r="AU10309" t="s">
        <v>68</v>
      </c>
      <c r="AV10309" t="s">
        <v>69</v>
      </c>
      <c r="AW10309" s="1">
        <v>26886</v>
      </c>
      <c r="AX10309">
        <v>1</v>
      </c>
    </row>
    <row r="10310" spans="1:50">
      <c r="A10310">
        <v>208230</v>
      </c>
      <c r="B10310" t="str">
        <f>"061076708"</f>
        <v>061076708</v>
      </c>
      <c r="C10310" t="s">
        <v>105</v>
      </c>
      <c r="D10310" t="s">
        <v>15221</v>
      </c>
      <c r="E10310" t="s">
        <v>108</v>
      </c>
      <c r="F10310" t="s">
        <v>304</v>
      </c>
      <c r="G10310" t="s">
        <v>630</v>
      </c>
      <c r="H10310" t="str">
        <f>" "</f>
        <v xml:space="preserve"> </v>
      </c>
      <c r="J10310">
        <v>2221029770</v>
      </c>
      <c r="K10310">
        <v>6977791993</v>
      </c>
      <c r="N10310" t="s">
        <v>176</v>
      </c>
      <c r="O10310" t="s">
        <v>177</v>
      </c>
      <c r="R10310" t="s">
        <v>57</v>
      </c>
      <c r="S10310">
        <v>8</v>
      </c>
      <c r="T10310" t="s">
        <v>15222</v>
      </c>
      <c r="U10310" s="1">
        <v>38596</v>
      </c>
      <c r="V10310" t="s">
        <v>89</v>
      </c>
      <c r="W10310" t="s">
        <v>90</v>
      </c>
      <c r="X10310" t="s">
        <v>58</v>
      </c>
      <c r="Y10310">
        <v>22</v>
      </c>
      <c r="Z10310" t="s">
        <v>59</v>
      </c>
      <c r="AA10310" t="s">
        <v>59</v>
      </c>
      <c r="AB10310" t="s">
        <v>59</v>
      </c>
      <c r="AC10310" t="s">
        <v>59</v>
      </c>
      <c r="AD10310" t="s">
        <v>59</v>
      </c>
      <c r="AF10310" s="1">
        <v>38601</v>
      </c>
      <c r="AG10310" t="s">
        <v>8645</v>
      </c>
      <c r="AH10310" t="s">
        <v>8646</v>
      </c>
      <c r="AI10310" t="str">
        <f>"9500218"</f>
        <v>9500218</v>
      </c>
      <c r="AJ10310" t="s">
        <v>13992</v>
      </c>
      <c r="AK10310">
        <v>2824022216</v>
      </c>
      <c r="AL10310" t="s">
        <v>13993</v>
      </c>
      <c r="AM10310" t="s">
        <v>88</v>
      </c>
      <c r="AN10310" t="s">
        <v>6764</v>
      </c>
      <c r="AO10310" t="s">
        <v>6799</v>
      </c>
      <c r="AP10310" t="s">
        <v>6799</v>
      </c>
      <c r="AQ10310">
        <v>6</v>
      </c>
      <c r="AR10310" t="s">
        <v>89</v>
      </c>
      <c r="AS10310" t="s">
        <v>90</v>
      </c>
      <c r="AT10310" t="s">
        <v>58</v>
      </c>
      <c r="AU10310" t="s">
        <v>68</v>
      </c>
      <c r="AV10310" t="s">
        <v>69</v>
      </c>
      <c r="AW10310" s="1">
        <v>26783</v>
      </c>
      <c r="AX10310">
        <v>1</v>
      </c>
    </row>
    <row r="10311" spans="1:50">
      <c r="A10311">
        <v>578049</v>
      </c>
      <c r="B10311" t="str">
        <f>"035969693"</f>
        <v>035969693</v>
      </c>
      <c r="C10311" t="s">
        <v>50</v>
      </c>
      <c r="D10311" t="s">
        <v>11077</v>
      </c>
      <c r="E10311" t="s">
        <v>1189</v>
      </c>
      <c r="F10311" t="s">
        <v>2649</v>
      </c>
      <c r="G10311" t="s">
        <v>11477</v>
      </c>
      <c r="H10311" t="str">
        <f>"Θ.ΒΑΜΒΟΥΝΑΚΗ ΤΕΡΜΑ ΔΑΡΑΤΣΟ-ΧΑΝΙΑ"</f>
        <v>Θ.ΒΑΜΒΟΥΝΑΚΗ ΤΕΡΜΑ ΔΑΡΑΤΣΟ-ΧΑΝΙΑ</v>
      </c>
      <c r="I10311">
        <v>73100</v>
      </c>
      <c r="J10311">
        <v>2821033749</v>
      </c>
      <c r="K10311">
        <v>6977922338</v>
      </c>
      <c r="N10311" t="s">
        <v>615</v>
      </c>
      <c r="O10311" t="s">
        <v>616</v>
      </c>
      <c r="R10311" t="s">
        <v>57</v>
      </c>
      <c r="S10311">
        <v>13</v>
      </c>
      <c r="T10311">
        <v>165</v>
      </c>
      <c r="U10311" s="1">
        <v>35300</v>
      </c>
      <c r="V10311" t="s">
        <v>89</v>
      </c>
      <c r="W10311" t="s">
        <v>90</v>
      </c>
      <c r="X10311" t="s">
        <v>58</v>
      </c>
      <c r="Y10311">
        <v>21</v>
      </c>
      <c r="Z10311" t="s">
        <v>59</v>
      </c>
      <c r="AA10311" t="s">
        <v>59</v>
      </c>
      <c r="AB10311" t="s">
        <v>59</v>
      </c>
      <c r="AC10311" t="s">
        <v>59</v>
      </c>
      <c r="AD10311" t="s">
        <v>59</v>
      </c>
      <c r="AF10311" s="1">
        <v>35300</v>
      </c>
      <c r="AG10311" t="s">
        <v>8645</v>
      </c>
      <c r="AH10311" t="s">
        <v>8646</v>
      </c>
      <c r="AI10311" t="str">
        <f>"9500403"</f>
        <v>9500403</v>
      </c>
      <c r="AJ10311" t="s">
        <v>14230</v>
      </c>
      <c r="AK10311">
        <v>2821034094</v>
      </c>
      <c r="AL10311" t="s">
        <v>14231</v>
      </c>
      <c r="AM10311" t="s">
        <v>88</v>
      </c>
      <c r="AN10311" t="s">
        <v>88</v>
      </c>
      <c r="AO10311" t="s">
        <v>6785</v>
      </c>
      <c r="AP10311" t="s">
        <v>13932</v>
      </c>
      <c r="AQ10311">
        <v>3</v>
      </c>
      <c r="AR10311" t="s">
        <v>89</v>
      </c>
      <c r="AS10311" t="s">
        <v>90</v>
      </c>
      <c r="AT10311" t="s">
        <v>58</v>
      </c>
      <c r="AU10311" t="s">
        <v>68</v>
      </c>
      <c r="AV10311" t="s">
        <v>69</v>
      </c>
      <c r="AW10311" s="1">
        <v>24447</v>
      </c>
      <c r="AX10311">
        <v>1</v>
      </c>
    </row>
    <row r="10312" spans="1:50">
      <c r="B10312" t="str">
        <f>"144001439"</f>
        <v>144001439</v>
      </c>
      <c r="C10312" t="s">
        <v>50</v>
      </c>
      <c r="D10312" t="s">
        <v>15223</v>
      </c>
      <c r="E10312" t="s">
        <v>15224</v>
      </c>
      <c r="F10312" t="s">
        <v>154</v>
      </c>
      <c r="G10312" t="s">
        <v>255</v>
      </c>
      <c r="H10312" t="str">
        <f>"ΑΛΙΚΙΑΝΟΣ "</f>
        <v xml:space="preserve">ΑΛΙΚΙΑΝΟΣ </v>
      </c>
      <c r="I10312">
        <v>73005</v>
      </c>
      <c r="J10312">
        <v>2821078050</v>
      </c>
      <c r="K10312">
        <v>6932405666</v>
      </c>
      <c r="N10312" t="s">
        <v>615</v>
      </c>
      <c r="O10312" t="s">
        <v>616</v>
      </c>
      <c r="R10312" t="s">
        <v>159</v>
      </c>
      <c r="S10312">
        <v>4</v>
      </c>
      <c r="T10312" t="s">
        <v>8675</v>
      </c>
      <c r="U10312" s="1">
        <v>43348</v>
      </c>
      <c r="V10312" t="s">
        <v>89</v>
      </c>
      <c r="W10312" t="s">
        <v>90</v>
      </c>
      <c r="X10312" t="s">
        <v>58</v>
      </c>
      <c r="Y10312">
        <v>24</v>
      </c>
      <c r="Z10312" t="s">
        <v>59</v>
      </c>
      <c r="AA10312" t="s">
        <v>59</v>
      </c>
      <c r="AB10312" t="s">
        <v>59</v>
      </c>
      <c r="AC10312" t="s">
        <v>59</v>
      </c>
      <c r="AD10312" t="s">
        <v>59</v>
      </c>
      <c r="AF10312" s="1">
        <v>43348</v>
      </c>
      <c r="AG10312" t="s">
        <v>8645</v>
      </c>
      <c r="AH10312" t="s">
        <v>8646</v>
      </c>
      <c r="AI10312" t="str">
        <f>"9500360"</f>
        <v>9500360</v>
      </c>
      <c r="AJ10312" t="s">
        <v>14022</v>
      </c>
      <c r="AK10312">
        <v>2821031253</v>
      </c>
      <c r="AL10312" t="s">
        <v>14023</v>
      </c>
      <c r="AM10312" t="s">
        <v>88</v>
      </c>
      <c r="AN10312" t="s">
        <v>88</v>
      </c>
      <c r="AO10312" t="s">
        <v>6785</v>
      </c>
      <c r="AP10312" t="s">
        <v>13932</v>
      </c>
      <c r="AQ10312">
        <v>3</v>
      </c>
      <c r="AR10312" t="s">
        <v>89</v>
      </c>
      <c r="AS10312" t="s">
        <v>90</v>
      </c>
      <c r="AT10312" t="s">
        <v>58</v>
      </c>
      <c r="AU10312" t="s">
        <v>8673</v>
      </c>
      <c r="AV10312" t="s">
        <v>132</v>
      </c>
      <c r="AW10312" s="1">
        <v>31971</v>
      </c>
      <c r="AX10312">
        <v>1</v>
      </c>
    </row>
    <row r="10313" spans="1:50">
      <c r="A10313">
        <v>619280</v>
      </c>
      <c r="B10313" t="str">
        <f>"103997572"</f>
        <v>103997572</v>
      </c>
      <c r="C10313" t="s">
        <v>50</v>
      </c>
      <c r="D10313" t="s">
        <v>15225</v>
      </c>
      <c r="E10313" t="s">
        <v>143</v>
      </c>
      <c r="F10313" t="s">
        <v>450</v>
      </c>
      <c r="G10313" t="s">
        <v>2205</v>
      </c>
      <c r="H10313" t="str">
        <f>"ΚΑΝΤΑΝΟΥ 37 ΧΑΝΙΑ"</f>
        <v>ΚΑΝΤΑΝΟΥ 37 ΧΑΝΙΑ</v>
      </c>
      <c r="I10313">
        <v>73100</v>
      </c>
      <c r="J10313">
        <v>2821097155</v>
      </c>
      <c r="K10313">
        <v>6947862899</v>
      </c>
      <c r="N10313" t="s">
        <v>1525</v>
      </c>
      <c r="O10313" t="s">
        <v>1526</v>
      </c>
      <c r="R10313" t="s">
        <v>57</v>
      </c>
      <c r="S10313">
        <v>5</v>
      </c>
      <c r="T10313">
        <v>774</v>
      </c>
      <c r="U10313" s="1">
        <v>39680</v>
      </c>
      <c r="V10313" t="s">
        <v>89</v>
      </c>
      <c r="W10313" t="s">
        <v>90</v>
      </c>
      <c r="X10313" t="s">
        <v>58</v>
      </c>
      <c r="Y10313">
        <v>25</v>
      </c>
      <c r="Z10313" t="s">
        <v>59</v>
      </c>
      <c r="AA10313" t="s">
        <v>59</v>
      </c>
      <c r="AB10313" t="s">
        <v>59</v>
      </c>
      <c r="AC10313" t="s">
        <v>59</v>
      </c>
      <c r="AD10313" t="s">
        <v>59</v>
      </c>
      <c r="AF10313" s="1">
        <v>39681</v>
      </c>
      <c r="AG10313" t="s">
        <v>8651</v>
      </c>
      <c r="AH10313" t="s">
        <v>8652</v>
      </c>
      <c r="AI10313" t="str">
        <f>"9500138"</f>
        <v>9500138</v>
      </c>
      <c r="AJ10313" t="s">
        <v>14894</v>
      </c>
      <c r="AK10313">
        <v>2821095071</v>
      </c>
      <c r="AL10313" t="s">
        <v>14895</v>
      </c>
      <c r="AM10313" t="s">
        <v>88</v>
      </c>
      <c r="AN10313" t="s">
        <v>88</v>
      </c>
      <c r="AO10313" t="s">
        <v>88</v>
      </c>
      <c r="AP10313" t="s">
        <v>88</v>
      </c>
      <c r="AQ10313">
        <v>1</v>
      </c>
      <c r="AR10313" t="s">
        <v>89</v>
      </c>
      <c r="AS10313" t="s">
        <v>90</v>
      </c>
      <c r="AT10313" t="s">
        <v>58</v>
      </c>
      <c r="AU10313" t="s">
        <v>68</v>
      </c>
      <c r="AV10313" t="s">
        <v>69</v>
      </c>
      <c r="AW10313" s="1">
        <v>27186</v>
      </c>
      <c r="AX10313">
        <v>1</v>
      </c>
    </row>
    <row r="10314" spans="1:50">
      <c r="A10314">
        <v>617185</v>
      </c>
      <c r="B10314" t="str">
        <f>"110881356"</f>
        <v>110881356</v>
      </c>
      <c r="C10314" t="s">
        <v>50</v>
      </c>
      <c r="D10314" t="s">
        <v>15226</v>
      </c>
      <c r="E10314" t="s">
        <v>83</v>
      </c>
      <c r="F10314" t="s">
        <v>72</v>
      </c>
      <c r="G10314" t="s">
        <v>563</v>
      </c>
      <c r="H10314" t="str">
        <f>"ΚΑΛΟΥΔΙΑΝΑ ΚΙΣΑΜΟΥ ΧΑΝΙΑ"</f>
        <v>ΚΑΛΟΥΔΙΑΝΑ ΚΙΣΑΜΟΥ ΧΑΝΙΑ</v>
      </c>
      <c r="I10314">
        <v>73400</v>
      </c>
      <c r="J10314">
        <v>2822024418</v>
      </c>
      <c r="K10314">
        <v>6977597122</v>
      </c>
      <c r="N10314" t="s">
        <v>615</v>
      </c>
      <c r="O10314" t="s">
        <v>616</v>
      </c>
      <c r="R10314" t="s">
        <v>57</v>
      </c>
      <c r="S10314">
        <v>6</v>
      </c>
      <c r="T10314">
        <v>774</v>
      </c>
      <c r="U10314" s="1">
        <v>39680</v>
      </c>
      <c r="V10314" t="s">
        <v>89</v>
      </c>
      <c r="W10314" t="s">
        <v>90</v>
      </c>
      <c r="X10314" t="s">
        <v>58</v>
      </c>
      <c r="Y10314">
        <v>23</v>
      </c>
      <c r="Z10314" t="s">
        <v>59</v>
      </c>
      <c r="AA10314" t="s">
        <v>59</v>
      </c>
      <c r="AB10314" t="s">
        <v>59</v>
      </c>
      <c r="AC10314" t="s">
        <v>59</v>
      </c>
      <c r="AD10314" t="s">
        <v>59</v>
      </c>
      <c r="AF10314" s="1">
        <v>39681</v>
      </c>
      <c r="AG10314" t="s">
        <v>8645</v>
      </c>
      <c r="AH10314" t="s">
        <v>8646</v>
      </c>
      <c r="AI10314" t="str">
        <f>"9500189"</f>
        <v>9500189</v>
      </c>
      <c r="AJ10314" t="s">
        <v>14038</v>
      </c>
      <c r="AK10314">
        <v>2822022119</v>
      </c>
      <c r="AL10314" t="s">
        <v>14039</v>
      </c>
      <c r="AM10314" t="s">
        <v>88</v>
      </c>
      <c r="AN10314" t="s">
        <v>6744</v>
      </c>
      <c r="AO10314" t="s">
        <v>6744</v>
      </c>
      <c r="AP10314" t="s">
        <v>6744</v>
      </c>
      <c r="AQ10314">
        <v>9</v>
      </c>
      <c r="AR10314" t="s">
        <v>89</v>
      </c>
      <c r="AS10314" t="s">
        <v>90</v>
      </c>
      <c r="AT10314" t="s">
        <v>58</v>
      </c>
      <c r="AU10314" t="s">
        <v>68</v>
      </c>
      <c r="AV10314" t="s">
        <v>69</v>
      </c>
      <c r="AW10314" s="1">
        <v>30719</v>
      </c>
      <c r="AX10314">
        <v>1</v>
      </c>
    </row>
    <row r="10315" spans="1:50">
      <c r="B10315" t="str">
        <f>"063196150"</f>
        <v>063196150</v>
      </c>
      <c r="C10315" t="s">
        <v>50</v>
      </c>
      <c r="D10315" t="s">
        <v>15227</v>
      </c>
      <c r="E10315" t="s">
        <v>255</v>
      </c>
      <c r="F10315" t="s">
        <v>99</v>
      </c>
      <c r="G10315" t="s">
        <v>372</v>
      </c>
      <c r="H10315" t="str">
        <f>"7 ΠΑΡΟΔΟΣ ΑΝΑΓΝΩΣΤΟΥ ΓΟΓΟΝΗ 7 "</f>
        <v xml:space="preserve">7 ΠΑΡΟΔΟΣ ΑΝΑΓΝΩΣΤΟΥ ΓΟΓΟΝΗ 7 </v>
      </c>
      <c r="I10315">
        <v>73100</v>
      </c>
      <c r="J10315">
        <v>2821095076</v>
      </c>
      <c r="K10315">
        <v>6973329531</v>
      </c>
      <c r="N10315" t="s">
        <v>615</v>
      </c>
      <c r="O10315" t="s">
        <v>616</v>
      </c>
      <c r="R10315" t="s">
        <v>159</v>
      </c>
      <c r="S10315">
        <v>3</v>
      </c>
      <c r="T10315" t="s">
        <v>8675</v>
      </c>
      <c r="U10315" s="1">
        <v>43348</v>
      </c>
      <c r="V10315" t="s">
        <v>89</v>
      </c>
      <c r="W10315" t="s">
        <v>90</v>
      </c>
      <c r="X10315" t="s">
        <v>58</v>
      </c>
      <c r="Y10315">
        <v>24</v>
      </c>
      <c r="Z10315" t="s">
        <v>59</v>
      </c>
      <c r="AA10315" t="s">
        <v>59</v>
      </c>
      <c r="AB10315" t="s">
        <v>59</v>
      </c>
      <c r="AC10315" t="s">
        <v>59</v>
      </c>
      <c r="AD10315" t="s">
        <v>59</v>
      </c>
      <c r="AF10315" s="1">
        <v>43348</v>
      </c>
      <c r="AG10315" t="s">
        <v>8645</v>
      </c>
      <c r="AH10315" t="s">
        <v>8646</v>
      </c>
      <c r="AI10315" t="str">
        <f>"9500175"</f>
        <v>9500175</v>
      </c>
      <c r="AJ10315" t="s">
        <v>14538</v>
      </c>
      <c r="AK10315">
        <v>2823041233</v>
      </c>
      <c r="AL10315" t="s">
        <v>14539</v>
      </c>
      <c r="AM10315" t="s">
        <v>88</v>
      </c>
      <c r="AN10315" t="s">
        <v>6824</v>
      </c>
      <c r="AO10315" t="s">
        <v>6870</v>
      </c>
      <c r="AP10315" t="s">
        <v>6871</v>
      </c>
      <c r="AQ10315">
        <v>11</v>
      </c>
      <c r="AR10315" t="s">
        <v>89</v>
      </c>
      <c r="AS10315" t="s">
        <v>90</v>
      </c>
      <c r="AT10315" t="s">
        <v>58</v>
      </c>
      <c r="AU10315" t="s">
        <v>8673</v>
      </c>
      <c r="AV10315" t="s">
        <v>132</v>
      </c>
      <c r="AW10315" s="1">
        <v>32152</v>
      </c>
      <c r="AX10315">
        <v>1</v>
      </c>
    </row>
    <row r="10316" spans="1:50">
      <c r="B10316" t="str">
        <f>"117229477"</f>
        <v>117229477</v>
      </c>
      <c r="C10316" t="s">
        <v>105</v>
      </c>
      <c r="D10316" t="s">
        <v>15228</v>
      </c>
      <c r="E10316" t="s">
        <v>99</v>
      </c>
      <c r="F10316" t="s">
        <v>1316</v>
      </c>
      <c r="G10316" t="s">
        <v>1484</v>
      </c>
      <c r="H10316" t="str">
        <f>"ΑΧΙΛΛΕΩΣ 18 "</f>
        <v xml:space="preserve">ΑΧΙΛΛΕΩΣ 18 </v>
      </c>
      <c r="I10316">
        <v>59200</v>
      </c>
      <c r="J10316">
        <v>2332026806</v>
      </c>
      <c r="K10316">
        <v>6984855373</v>
      </c>
      <c r="N10316" t="s">
        <v>615</v>
      </c>
      <c r="O10316" t="s">
        <v>616</v>
      </c>
      <c r="R10316" t="s">
        <v>159</v>
      </c>
      <c r="S10316">
        <v>3</v>
      </c>
      <c r="T10316" t="s">
        <v>8675</v>
      </c>
      <c r="U10316" s="1">
        <v>43348</v>
      </c>
      <c r="V10316" t="s">
        <v>89</v>
      </c>
      <c r="W10316" t="s">
        <v>90</v>
      </c>
      <c r="X10316" t="s">
        <v>58</v>
      </c>
      <c r="Y10316">
        <v>24</v>
      </c>
      <c r="Z10316" t="s">
        <v>59</v>
      </c>
      <c r="AA10316" t="s">
        <v>59</v>
      </c>
      <c r="AB10316" t="s">
        <v>59</v>
      </c>
      <c r="AC10316" t="s">
        <v>59</v>
      </c>
      <c r="AD10316" t="s">
        <v>59</v>
      </c>
      <c r="AF10316" s="1">
        <v>43348</v>
      </c>
      <c r="AG10316" t="s">
        <v>8645</v>
      </c>
      <c r="AH10316" t="s">
        <v>8646</v>
      </c>
      <c r="AI10316" t="str">
        <f>"9500173"</f>
        <v>9500173</v>
      </c>
      <c r="AJ10316" t="s">
        <v>14513</v>
      </c>
      <c r="AK10316">
        <v>2823022235</v>
      </c>
      <c r="AL10316" t="s">
        <v>14514</v>
      </c>
      <c r="AM10316" t="s">
        <v>88</v>
      </c>
      <c r="AN10316" t="s">
        <v>6824</v>
      </c>
      <c r="AO10316" t="s">
        <v>6825</v>
      </c>
      <c r="AP10316" t="s">
        <v>6826</v>
      </c>
      <c r="AQ10316">
        <v>11</v>
      </c>
      <c r="AR10316" t="s">
        <v>89</v>
      </c>
      <c r="AS10316" t="s">
        <v>90</v>
      </c>
      <c r="AT10316" t="s">
        <v>58</v>
      </c>
      <c r="AU10316" t="s">
        <v>8673</v>
      </c>
      <c r="AV10316" t="s">
        <v>132</v>
      </c>
      <c r="AW10316" s="1">
        <v>31562</v>
      </c>
      <c r="AX10316">
        <v>1</v>
      </c>
    </row>
    <row r="10317" spans="1:50">
      <c r="A10317">
        <v>601272</v>
      </c>
      <c r="B10317" t="str">
        <f>"112358460"</f>
        <v>112358460</v>
      </c>
      <c r="C10317" t="s">
        <v>50</v>
      </c>
      <c r="D10317" t="s">
        <v>15229</v>
      </c>
      <c r="E10317" t="s">
        <v>237</v>
      </c>
      <c r="F10317" t="s">
        <v>3483</v>
      </c>
      <c r="G10317" t="s">
        <v>52</v>
      </c>
      <c r="H10317" t="str">
        <f>"ΚΑΤΩ ΓΕΡΑΝΙ ΧΑΝΙΑ"</f>
        <v>ΚΑΤΩ ΓΕΡΑΝΙ ΧΑΝΙΑ</v>
      </c>
      <c r="I10317">
        <v>73134</v>
      </c>
      <c r="J10317">
        <v>2821061661</v>
      </c>
      <c r="K10317">
        <v>6945640099</v>
      </c>
      <c r="N10317" t="s">
        <v>615</v>
      </c>
      <c r="O10317" t="s">
        <v>616</v>
      </c>
      <c r="R10317" t="s">
        <v>57</v>
      </c>
      <c r="S10317">
        <v>8</v>
      </c>
      <c r="T10317">
        <v>207</v>
      </c>
      <c r="U10317" s="1">
        <v>37866</v>
      </c>
      <c r="V10317" t="s">
        <v>89</v>
      </c>
      <c r="W10317" t="s">
        <v>90</v>
      </c>
      <c r="X10317" t="s">
        <v>58</v>
      </c>
      <c r="Y10317">
        <v>22</v>
      </c>
      <c r="Z10317" t="s">
        <v>59</v>
      </c>
      <c r="AA10317" t="s">
        <v>59</v>
      </c>
      <c r="AB10317" t="s">
        <v>59</v>
      </c>
      <c r="AC10317" t="s">
        <v>59</v>
      </c>
      <c r="AD10317" t="s">
        <v>59</v>
      </c>
      <c r="AF10317" s="1">
        <v>37866</v>
      </c>
      <c r="AG10317" t="s">
        <v>8645</v>
      </c>
      <c r="AH10317" t="s">
        <v>8646</v>
      </c>
      <c r="AI10317" t="str">
        <f>"9500153"</f>
        <v>9500153</v>
      </c>
      <c r="AJ10317" t="s">
        <v>14103</v>
      </c>
      <c r="AK10317">
        <v>2821061267</v>
      </c>
      <c r="AL10317" t="s">
        <v>14104</v>
      </c>
      <c r="AM10317" t="s">
        <v>88</v>
      </c>
      <c r="AN10317" t="s">
        <v>6764</v>
      </c>
      <c r="AO10317" t="s">
        <v>6764</v>
      </c>
      <c r="AP10317" t="s">
        <v>12913</v>
      </c>
      <c r="AQ10317">
        <v>10</v>
      </c>
      <c r="AR10317" t="s">
        <v>89</v>
      </c>
      <c r="AS10317" t="s">
        <v>90</v>
      </c>
      <c r="AT10317" t="s">
        <v>58</v>
      </c>
      <c r="AU10317" t="s">
        <v>68</v>
      </c>
      <c r="AV10317" t="s">
        <v>69</v>
      </c>
      <c r="AW10317" s="1">
        <v>27349</v>
      </c>
      <c r="AX10317">
        <v>1</v>
      </c>
    </row>
    <row r="10318" spans="1:50">
      <c r="B10318" t="str">
        <f>"044595105"</f>
        <v>044595105</v>
      </c>
      <c r="C10318" t="s">
        <v>50</v>
      </c>
      <c r="D10318" t="s">
        <v>15229</v>
      </c>
      <c r="E10318" t="s">
        <v>250</v>
      </c>
      <c r="F10318" t="s">
        <v>92</v>
      </c>
      <c r="G10318" t="s">
        <v>1189</v>
      </c>
      <c r="H10318" t="str">
        <f>"ΟΜΗΡΟΥ 220 ΧΑΝΙΑ"</f>
        <v>ΟΜΗΡΟΥ 220 ΧΑΝΙΑ</v>
      </c>
      <c r="I10318">
        <v>73134</v>
      </c>
      <c r="J10318">
        <v>2821086219</v>
      </c>
      <c r="K10318">
        <v>6936111478</v>
      </c>
      <c r="N10318" t="s">
        <v>1525</v>
      </c>
      <c r="O10318" t="s">
        <v>1526</v>
      </c>
      <c r="R10318" t="s">
        <v>159</v>
      </c>
      <c r="S10318">
        <v>4</v>
      </c>
      <c r="T10318" t="s">
        <v>8670</v>
      </c>
      <c r="U10318" s="1">
        <v>43348</v>
      </c>
      <c r="V10318" t="s">
        <v>89</v>
      </c>
      <c r="W10318" t="s">
        <v>90</v>
      </c>
      <c r="X10318" t="s">
        <v>58</v>
      </c>
      <c r="Y10318">
        <v>25</v>
      </c>
      <c r="Z10318" t="s">
        <v>59</v>
      </c>
      <c r="AA10318" t="s">
        <v>59</v>
      </c>
      <c r="AB10318" t="s">
        <v>59</v>
      </c>
      <c r="AC10318" t="s">
        <v>59</v>
      </c>
      <c r="AD10318" t="s">
        <v>59</v>
      </c>
      <c r="AF10318" s="1">
        <v>43348</v>
      </c>
      <c r="AG10318" t="s">
        <v>8651</v>
      </c>
      <c r="AH10318" t="s">
        <v>8652</v>
      </c>
      <c r="AI10318" t="str">
        <f>"9500303"</f>
        <v>9500303</v>
      </c>
      <c r="AJ10318" t="s">
        <v>15151</v>
      </c>
      <c r="AK10318">
        <v>2821094168</v>
      </c>
      <c r="AL10318" t="s">
        <v>15152</v>
      </c>
      <c r="AM10318" t="s">
        <v>88</v>
      </c>
      <c r="AN10318" t="s">
        <v>88</v>
      </c>
      <c r="AO10318" t="s">
        <v>88</v>
      </c>
      <c r="AP10318" t="s">
        <v>88</v>
      </c>
      <c r="AQ10318">
        <v>1</v>
      </c>
      <c r="AR10318" t="s">
        <v>89</v>
      </c>
      <c r="AS10318" t="s">
        <v>90</v>
      </c>
      <c r="AT10318" t="s">
        <v>58</v>
      </c>
      <c r="AU10318" t="s">
        <v>8673</v>
      </c>
      <c r="AV10318" t="s">
        <v>132</v>
      </c>
      <c r="AW10318" s="1">
        <v>23941</v>
      </c>
      <c r="AX10318">
        <v>1</v>
      </c>
    </row>
    <row r="10319" spans="1:50">
      <c r="A10319">
        <v>576029</v>
      </c>
      <c r="B10319" t="str">
        <f>"040488892"</f>
        <v>040488892</v>
      </c>
      <c r="C10319" t="s">
        <v>50</v>
      </c>
      <c r="D10319" t="s">
        <v>15229</v>
      </c>
      <c r="E10319" t="s">
        <v>4671</v>
      </c>
      <c r="F10319" t="s">
        <v>92</v>
      </c>
      <c r="G10319" t="s">
        <v>1189</v>
      </c>
      <c r="H10319" t="str">
        <f>" "</f>
        <v xml:space="preserve"> </v>
      </c>
      <c r="N10319" t="s">
        <v>1525</v>
      </c>
      <c r="O10319" t="s">
        <v>1526</v>
      </c>
      <c r="R10319" t="s">
        <v>57</v>
      </c>
      <c r="S10319">
        <v>11</v>
      </c>
      <c r="T10319">
        <v>184</v>
      </c>
      <c r="U10319" s="1">
        <v>34941</v>
      </c>
      <c r="V10319" t="s">
        <v>89</v>
      </c>
      <c r="W10319" t="s">
        <v>90</v>
      </c>
      <c r="X10319" t="s">
        <v>58</v>
      </c>
      <c r="Y10319">
        <v>25</v>
      </c>
      <c r="Z10319" t="s">
        <v>59</v>
      </c>
      <c r="AA10319" t="s">
        <v>59</v>
      </c>
      <c r="AB10319" t="s">
        <v>59</v>
      </c>
      <c r="AC10319" t="s">
        <v>59</v>
      </c>
      <c r="AD10319" t="s">
        <v>59</v>
      </c>
      <c r="AF10319" s="1">
        <v>34946</v>
      </c>
      <c r="AG10319" t="s">
        <v>8651</v>
      </c>
      <c r="AH10319" t="s">
        <v>8652</v>
      </c>
      <c r="AI10319" t="str">
        <f>"9500037"</f>
        <v>9500037</v>
      </c>
      <c r="AJ10319" t="s">
        <v>15038</v>
      </c>
      <c r="AK10319">
        <v>2821054493</v>
      </c>
      <c r="AL10319" t="s">
        <v>15039</v>
      </c>
      <c r="AM10319" t="s">
        <v>88</v>
      </c>
      <c r="AN10319" t="s">
        <v>88</v>
      </c>
      <c r="AO10319" t="s">
        <v>88</v>
      </c>
      <c r="AP10319" t="s">
        <v>88</v>
      </c>
      <c r="AQ10319">
        <v>1</v>
      </c>
      <c r="AR10319" t="s">
        <v>89</v>
      </c>
      <c r="AS10319" t="s">
        <v>90</v>
      </c>
      <c r="AT10319" t="s">
        <v>58</v>
      </c>
      <c r="AU10319" t="s">
        <v>68</v>
      </c>
      <c r="AV10319" t="s">
        <v>69</v>
      </c>
      <c r="AW10319" s="1">
        <v>21089</v>
      </c>
      <c r="AX10319">
        <v>1</v>
      </c>
    </row>
    <row r="10320" spans="1:50">
      <c r="A10320">
        <v>587302</v>
      </c>
      <c r="B10320" t="str">
        <f>"034392969"</f>
        <v>034392969</v>
      </c>
      <c r="C10320" t="s">
        <v>50</v>
      </c>
      <c r="D10320" t="s">
        <v>3299</v>
      </c>
      <c r="E10320" t="s">
        <v>237</v>
      </c>
      <c r="F10320" t="s">
        <v>995</v>
      </c>
      <c r="G10320" t="s">
        <v>52</v>
      </c>
      <c r="H10320" t="str">
        <f>"ΦΟΥΡΝΕΣ    ΚΥΔΩΝΙΑΣ ΧΑΝΙΑ"</f>
        <v>ΦΟΥΡΝΕΣ    ΚΥΔΩΝΙΑΣ ΧΑΝΙΑ</v>
      </c>
      <c r="I10320">
        <v>73005</v>
      </c>
      <c r="J10320">
        <v>2821078062</v>
      </c>
      <c r="K10320">
        <v>6978313996</v>
      </c>
      <c r="L10320">
        <v>6973526479</v>
      </c>
      <c r="M10320" t="s">
        <v>15230</v>
      </c>
      <c r="N10320" t="s">
        <v>306</v>
      </c>
      <c r="O10320" t="s">
        <v>307</v>
      </c>
      <c r="R10320" t="s">
        <v>57</v>
      </c>
      <c r="S10320">
        <v>10</v>
      </c>
      <c r="T10320">
        <v>164</v>
      </c>
      <c r="U10320" s="1">
        <v>36040</v>
      </c>
      <c r="V10320" t="s">
        <v>89</v>
      </c>
      <c r="W10320" t="s">
        <v>90</v>
      </c>
      <c r="X10320" t="s">
        <v>58</v>
      </c>
      <c r="Y10320">
        <v>21</v>
      </c>
      <c r="Z10320" t="s">
        <v>59</v>
      </c>
      <c r="AA10320" t="s">
        <v>59</v>
      </c>
      <c r="AB10320" t="s">
        <v>59</v>
      </c>
      <c r="AC10320" t="s">
        <v>59</v>
      </c>
      <c r="AD10320" t="s">
        <v>59</v>
      </c>
      <c r="AF10320" s="1">
        <v>36040</v>
      </c>
      <c r="AG10320" t="s">
        <v>8645</v>
      </c>
      <c r="AH10320" t="s">
        <v>8646</v>
      </c>
      <c r="AI10320" t="str">
        <f>"9500035"</f>
        <v>9500035</v>
      </c>
      <c r="AJ10320" t="s">
        <v>13979</v>
      </c>
      <c r="AK10320">
        <v>2821094678</v>
      </c>
      <c r="AL10320" t="s">
        <v>13980</v>
      </c>
      <c r="AM10320" t="s">
        <v>88</v>
      </c>
      <c r="AN10320" t="s">
        <v>88</v>
      </c>
      <c r="AO10320" t="s">
        <v>88</v>
      </c>
      <c r="AP10320" t="s">
        <v>88</v>
      </c>
      <c r="AQ10320">
        <v>2</v>
      </c>
      <c r="AR10320" t="s">
        <v>89</v>
      </c>
      <c r="AS10320" t="s">
        <v>90</v>
      </c>
      <c r="AT10320" t="s">
        <v>58</v>
      </c>
      <c r="AU10320" t="s">
        <v>68</v>
      </c>
      <c r="AV10320" t="s">
        <v>69</v>
      </c>
      <c r="AW10320" s="1">
        <v>24178</v>
      </c>
      <c r="AX10320">
        <v>1</v>
      </c>
    </row>
    <row r="10321" spans="1:50">
      <c r="A10321">
        <v>582043</v>
      </c>
      <c r="B10321" t="str">
        <f>"037496310"</f>
        <v>037496310</v>
      </c>
      <c r="C10321" t="s">
        <v>50</v>
      </c>
      <c r="D10321" t="s">
        <v>3299</v>
      </c>
      <c r="E10321" t="s">
        <v>112</v>
      </c>
      <c r="F10321" t="s">
        <v>108</v>
      </c>
      <c r="G10321" t="s">
        <v>2127</v>
      </c>
      <c r="H10321" t="str">
        <f>"Α.ΚΑΤΣΑΝΕΒΑΚΗ 15Α ΧΑΝΙΑ"</f>
        <v>Α.ΚΑΤΣΑΝΕΒΑΚΗ 15Α ΧΑΝΙΑ</v>
      </c>
      <c r="I10321">
        <v>73136</v>
      </c>
      <c r="J10321">
        <v>2821079236</v>
      </c>
      <c r="K10321">
        <v>6974679155</v>
      </c>
      <c r="N10321" t="s">
        <v>615</v>
      </c>
      <c r="O10321" t="s">
        <v>616</v>
      </c>
      <c r="R10321" t="s">
        <v>57</v>
      </c>
      <c r="S10321">
        <v>13</v>
      </c>
      <c r="T10321">
        <v>179</v>
      </c>
      <c r="U10321" s="1">
        <v>35674</v>
      </c>
      <c r="V10321" t="s">
        <v>89</v>
      </c>
      <c r="W10321" t="s">
        <v>90</v>
      </c>
      <c r="X10321" t="s">
        <v>58</v>
      </c>
      <c r="Y10321">
        <v>21</v>
      </c>
      <c r="Z10321" t="s">
        <v>59</v>
      </c>
      <c r="AA10321" t="s">
        <v>59</v>
      </c>
      <c r="AB10321" t="s">
        <v>59</v>
      </c>
      <c r="AC10321" t="s">
        <v>59</v>
      </c>
      <c r="AD10321" t="s">
        <v>59</v>
      </c>
      <c r="AF10321" s="1">
        <v>35674</v>
      </c>
      <c r="AG10321" t="s">
        <v>8645</v>
      </c>
      <c r="AH10321" t="s">
        <v>8646</v>
      </c>
      <c r="AI10321" t="str">
        <f>"9500070"</f>
        <v>9500070</v>
      </c>
      <c r="AJ10321" t="s">
        <v>14221</v>
      </c>
      <c r="AK10321">
        <v>2821095817</v>
      </c>
      <c r="AL10321" t="s">
        <v>14222</v>
      </c>
      <c r="AM10321" t="s">
        <v>88</v>
      </c>
      <c r="AN10321" t="s">
        <v>88</v>
      </c>
      <c r="AO10321" t="s">
        <v>88</v>
      </c>
      <c r="AP10321" t="s">
        <v>88</v>
      </c>
      <c r="AQ10321">
        <v>1</v>
      </c>
      <c r="AR10321" t="s">
        <v>89</v>
      </c>
      <c r="AS10321" t="s">
        <v>90</v>
      </c>
      <c r="AT10321" t="s">
        <v>58</v>
      </c>
      <c r="AU10321" t="s">
        <v>68</v>
      </c>
      <c r="AV10321" t="s">
        <v>69</v>
      </c>
      <c r="AW10321" s="1">
        <v>24340</v>
      </c>
      <c r="AX10321">
        <v>1</v>
      </c>
    </row>
    <row r="10322" spans="1:50">
      <c r="A10322">
        <v>595026</v>
      </c>
      <c r="B10322" t="str">
        <f>"113634664"</f>
        <v>113634664</v>
      </c>
      <c r="C10322" t="s">
        <v>50</v>
      </c>
      <c r="D10322" t="s">
        <v>3299</v>
      </c>
      <c r="E10322" t="s">
        <v>96</v>
      </c>
      <c r="F10322" t="s">
        <v>95</v>
      </c>
      <c r="G10322" t="s">
        <v>83</v>
      </c>
      <c r="H10322" t="str">
        <f>"ΔΑΣΚΑΛΟΓΙΑΝΝΗ  21 ΡΕΘΥΜΝΟ"</f>
        <v>ΔΑΣΚΑΛΟΓΙΑΝΝΗ  21 ΡΕΘΥΜΝΟ</v>
      </c>
      <c r="I10322">
        <v>74100</v>
      </c>
      <c r="K10322">
        <v>6974031765</v>
      </c>
      <c r="N10322" t="s">
        <v>615</v>
      </c>
      <c r="O10322" t="s">
        <v>616</v>
      </c>
      <c r="R10322" t="s">
        <v>57</v>
      </c>
      <c r="S10322">
        <v>8</v>
      </c>
      <c r="T10322">
        <v>218</v>
      </c>
      <c r="U10322" s="1">
        <v>37134</v>
      </c>
      <c r="V10322" t="s">
        <v>89</v>
      </c>
      <c r="W10322" t="s">
        <v>90</v>
      </c>
      <c r="X10322" t="s">
        <v>58</v>
      </c>
      <c r="Y10322">
        <v>22</v>
      </c>
      <c r="Z10322" t="s">
        <v>59</v>
      </c>
      <c r="AA10322" t="s">
        <v>59</v>
      </c>
      <c r="AB10322" t="s">
        <v>59</v>
      </c>
      <c r="AC10322" t="s">
        <v>59</v>
      </c>
      <c r="AD10322" t="s">
        <v>59</v>
      </c>
      <c r="AF10322" s="1">
        <v>37139</v>
      </c>
      <c r="AG10322" t="s">
        <v>8645</v>
      </c>
      <c r="AH10322" t="s">
        <v>8646</v>
      </c>
      <c r="AI10322" t="str">
        <f>"9500147"</f>
        <v>9500147</v>
      </c>
      <c r="AJ10322" t="s">
        <v>14008</v>
      </c>
      <c r="AK10322">
        <v>2821094573</v>
      </c>
      <c r="AL10322" t="s">
        <v>14009</v>
      </c>
      <c r="AM10322" t="s">
        <v>88</v>
      </c>
      <c r="AN10322" t="s">
        <v>88</v>
      </c>
      <c r="AO10322" t="s">
        <v>88</v>
      </c>
      <c r="AP10322" t="s">
        <v>88</v>
      </c>
      <c r="AQ10322">
        <v>1</v>
      </c>
      <c r="AR10322" t="s">
        <v>89</v>
      </c>
      <c r="AS10322" t="s">
        <v>90</v>
      </c>
      <c r="AT10322" t="s">
        <v>58</v>
      </c>
      <c r="AU10322" t="s">
        <v>68</v>
      </c>
      <c r="AV10322" t="s">
        <v>69</v>
      </c>
      <c r="AW10322" s="1">
        <v>28095</v>
      </c>
      <c r="AX10322">
        <v>1</v>
      </c>
    </row>
    <row r="10323" spans="1:50">
      <c r="A10323">
        <v>592824</v>
      </c>
      <c r="B10323" t="str">
        <f>"076226202"</f>
        <v>076226202</v>
      </c>
      <c r="C10323" t="s">
        <v>105</v>
      </c>
      <c r="D10323" t="s">
        <v>3302</v>
      </c>
      <c r="E10323" t="s">
        <v>72</v>
      </c>
      <c r="F10323" t="s">
        <v>106</v>
      </c>
      <c r="G10323" t="s">
        <v>566</v>
      </c>
      <c r="H10323" t="str">
        <f>"ΝΙΚΟΛΑΟΥ  ΣΚΟΥΛΑ  66 ΧΑΝΙΑ"</f>
        <v>ΝΙΚΟΛΑΟΥ  ΣΚΟΥΛΑ  66 ΧΑΝΙΑ</v>
      </c>
      <c r="I10323">
        <v>73100</v>
      </c>
      <c r="J10323">
        <v>2821091868</v>
      </c>
      <c r="K10323">
        <v>6956476034</v>
      </c>
      <c r="M10323" t="s">
        <v>15231</v>
      </c>
      <c r="N10323" t="s">
        <v>615</v>
      </c>
      <c r="O10323" t="s">
        <v>616</v>
      </c>
      <c r="R10323" t="s">
        <v>57</v>
      </c>
      <c r="S10323">
        <v>10</v>
      </c>
      <c r="T10323">
        <v>218</v>
      </c>
      <c r="U10323" s="1">
        <v>37134</v>
      </c>
      <c r="V10323" t="s">
        <v>89</v>
      </c>
      <c r="W10323" t="s">
        <v>90</v>
      </c>
      <c r="X10323" t="s">
        <v>58</v>
      </c>
      <c r="Y10323">
        <v>21</v>
      </c>
      <c r="Z10323" t="s">
        <v>59</v>
      </c>
      <c r="AA10323" t="s">
        <v>59</v>
      </c>
      <c r="AB10323" t="s">
        <v>59</v>
      </c>
      <c r="AC10323" t="s">
        <v>59</v>
      </c>
      <c r="AD10323" t="s">
        <v>59</v>
      </c>
      <c r="AF10323" s="1">
        <v>37134</v>
      </c>
      <c r="AG10323" t="s">
        <v>8645</v>
      </c>
      <c r="AH10323" t="s">
        <v>8646</v>
      </c>
      <c r="AI10323" t="str">
        <f>"9500119"</f>
        <v>9500119</v>
      </c>
      <c r="AJ10323" t="s">
        <v>14286</v>
      </c>
      <c r="AK10323">
        <v>2821095816</v>
      </c>
      <c r="AL10323" t="s">
        <v>14287</v>
      </c>
      <c r="AM10323" t="s">
        <v>88</v>
      </c>
      <c r="AN10323" t="s">
        <v>88</v>
      </c>
      <c r="AO10323" t="s">
        <v>13920</v>
      </c>
      <c r="AP10323" t="s">
        <v>14029</v>
      </c>
      <c r="AQ10323">
        <v>3</v>
      </c>
      <c r="AR10323" t="s">
        <v>89</v>
      </c>
      <c r="AS10323" t="s">
        <v>90</v>
      </c>
      <c r="AT10323" t="s">
        <v>58</v>
      </c>
      <c r="AU10323" t="s">
        <v>68</v>
      </c>
      <c r="AV10323" t="s">
        <v>69</v>
      </c>
      <c r="AW10323" s="1">
        <v>25903</v>
      </c>
      <c r="AX10323">
        <v>1</v>
      </c>
    </row>
    <row r="10324" spans="1:50">
      <c r="A10324">
        <v>554738</v>
      </c>
      <c r="B10324" t="str">
        <f>"028122363"</f>
        <v>028122363</v>
      </c>
      <c r="C10324" t="s">
        <v>105</v>
      </c>
      <c r="D10324" t="s">
        <v>3302</v>
      </c>
      <c r="E10324" t="s">
        <v>99</v>
      </c>
      <c r="F10324" t="s">
        <v>15232</v>
      </c>
      <c r="G10324" t="s">
        <v>396</v>
      </c>
      <c r="H10324" t="str">
        <f>"ΤΙΜΙΟΥ ΠΡΟΔΡΟΜΟΥ ΚΟΡΑΚΙΕΣ"</f>
        <v>ΤΙΜΙΟΥ ΠΡΟΔΡΟΜΟΥ ΚΟΡΑΚΙΕΣ</v>
      </c>
      <c r="I10324">
        <v>73100</v>
      </c>
      <c r="J10324">
        <v>2821042354</v>
      </c>
      <c r="K10324">
        <v>6972539172</v>
      </c>
      <c r="M10324" t="s">
        <v>15233</v>
      </c>
      <c r="N10324" t="s">
        <v>615</v>
      </c>
      <c r="O10324" t="s">
        <v>616</v>
      </c>
      <c r="R10324" t="s">
        <v>57</v>
      </c>
      <c r="S10324">
        <v>17</v>
      </c>
      <c r="T10324">
        <v>200</v>
      </c>
      <c r="U10324" s="1">
        <v>31657</v>
      </c>
      <c r="V10324" t="s">
        <v>89</v>
      </c>
      <c r="W10324" t="s">
        <v>90</v>
      </c>
      <c r="X10324" t="s">
        <v>58</v>
      </c>
      <c r="Y10324">
        <v>21</v>
      </c>
      <c r="Z10324" t="s">
        <v>59</v>
      </c>
      <c r="AA10324" t="s">
        <v>59</v>
      </c>
      <c r="AB10324" t="s">
        <v>59</v>
      </c>
      <c r="AC10324" t="s">
        <v>59</v>
      </c>
      <c r="AD10324" t="s">
        <v>59</v>
      </c>
      <c r="AF10324" s="1">
        <v>31657</v>
      </c>
      <c r="AG10324" t="s">
        <v>8645</v>
      </c>
      <c r="AH10324" t="s">
        <v>8646</v>
      </c>
      <c r="AI10324" t="str">
        <f>"9520693"</f>
        <v>9520693</v>
      </c>
      <c r="AJ10324" t="s">
        <v>13913</v>
      </c>
      <c r="AK10324">
        <v>2821066910</v>
      </c>
      <c r="AL10324" t="s">
        <v>13914</v>
      </c>
      <c r="AM10324" t="s">
        <v>88</v>
      </c>
      <c r="AN10324" t="s">
        <v>88</v>
      </c>
      <c r="AO10324" t="s">
        <v>6770</v>
      </c>
      <c r="AP10324" t="s">
        <v>6771</v>
      </c>
      <c r="AQ10324">
        <v>2</v>
      </c>
      <c r="AR10324" t="s">
        <v>89</v>
      </c>
      <c r="AS10324" t="s">
        <v>90</v>
      </c>
      <c r="AT10324" t="s">
        <v>58</v>
      </c>
      <c r="AU10324" t="s">
        <v>68</v>
      </c>
      <c r="AV10324" t="s">
        <v>69</v>
      </c>
      <c r="AW10324" s="1">
        <v>22832</v>
      </c>
      <c r="AX10324">
        <v>1</v>
      </c>
    </row>
    <row r="10325" spans="1:50">
      <c r="B10325" t="str">
        <f>"127705261"</f>
        <v>127705261</v>
      </c>
      <c r="C10325" t="s">
        <v>50</v>
      </c>
      <c r="D10325" t="s">
        <v>15234</v>
      </c>
      <c r="E10325" t="s">
        <v>83</v>
      </c>
      <c r="F10325" t="s">
        <v>10564</v>
      </c>
      <c r="G10325" t="s">
        <v>3706</v>
      </c>
      <c r="H10325" t="str">
        <f>"ΝΙΚΟΛΑΟΥ ΣΚΟΥΛΑ 6 "</f>
        <v xml:space="preserve">ΝΙΚΟΛΑΟΥ ΣΚΟΥΛΑ 6 </v>
      </c>
      <c r="I10325">
        <v>73100</v>
      </c>
      <c r="J10325">
        <v>2821091095</v>
      </c>
      <c r="K10325">
        <v>6977659684</v>
      </c>
      <c r="N10325" t="s">
        <v>615</v>
      </c>
      <c r="O10325" t="s">
        <v>616</v>
      </c>
      <c r="R10325" t="s">
        <v>159</v>
      </c>
      <c r="S10325">
        <v>3</v>
      </c>
      <c r="T10325" t="s">
        <v>8675</v>
      </c>
      <c r="U10325" s="1">
        <v>43348</v>
      </c>
      <c r="V10325" t="s">
        <v>89</v>
      </c>
      <c r="W10325" t="s">
        <v>90</v>
      </c>
      <c r="X10325" t="s">
        <v>58</v>
      </c>
      <c r="Y10325">
        <v>24</v>
      </c>
      <c r="Z10325" t="s">
        <v>59</v>
      </c>
      <c r="AA10325" t="s">
        <v>59</v>
      </c>
      <c r="AB10325" t="s">
        <v>59</v>
      </c>
      <c r="AC10325" t="s">
        <v>59</v>
      </c>
      <c r="AD10325" t="s">
        <v>59</v>
      </c>
      <c r="AF10325" s="1">
        <v>43348</v>
      </c>
      <c r="AG10325" t="s">
        <v>8645</v>
      </c>
      <c r="AH10325" t="s">
        <v>8646</v>
      </c>
      <c r="AI10325" t="str">
        <f>"9520693"</f>
        <v>9520693</v>
      </c>
      <c r="AJ10325" t="s">
        <v>13913</v>
      </c>
      <c r="AK10325">
        <v>2821066910</v>
      </c>
      <c r="AL10325" t="s">
        <v>13914</v>
      </c>
      <c r="AM10325" t="s">
        <v>88</v>
      </c>
      <c r="AN10325" t="s">
        <v>88</v>
      </c>
      <c r="AO10325" t="s">
        <v>6770</v>
      </c>
      <c r="AP10325" t="s">
        <v>6771</v>
      </c>
      <c r="AQ10325">
        <v>2</v>
      </c>
      <c r="AR10325" t="s">
        <v>89</v>
      </c>
      <c r="AS10325" t="s">
        <v>90</v>
      </c>
      <c r="AT10325" t="s">
        <v>58</v>
      </c>
      <c r="AU10325" t="s">
        <v>8673</v>
      </c>
      <c r="AV10325" t="s">
        <v>132</v>
      </c>
      <c r="AW10325" s="1">
        <v>31988</v>
      </c>
      <c r="AX10325">
        <v>1</v>
      </c>
    </row>
    <row r="10326" spans="1:50">
      <c r="A10326">
        <v>595058</v>
      </c>
      <c r="B10326" t="str">
        <f>"077206618"</f>
        <v>077206618</v>
      </c>
      <c r="C10326" t="s">
        <v>105</v>
      </c>
      <c r="D10326" t="s">
        <v>15235</v>
      </c>
      <c r="E10326" t="s">
        <v>95</v>
      </c>
      <c r="F10326" t="s">
        <v>72</v>
      </c>
      <c r="G10326" t="s">
        <v>411</v>
      </c>
      <c r="H10326" t="str">
        <f>" "</f>
        <v xml:space="preserve"> </v>
      </c>
      <c r="J10326">
        <v>2821064576</v>
      </c>
      <c r="K10326">
        <v>6945302446</v>
      </c>
      <c r="M10326" t="s">
        <v>15236</v>
      </c>
      <c r="N10326" t="s">
        <v>615</v>
      </c>
      <c r="O10326" t="s">
        <v>616</v>
      </c>
      <c r="R10326" t="s">
        <v>57</v>
      </c>
      <c r="S10326">
        <v>9</v>
      </c>
      <c r="T10326">
        <v>218</v>
      </c>
      <c r="U10326" s="1">
        <v>37134</v>
      </c>
      <c r="V10326" t="s">
        <v>89</v>
      </c>
      <c r="W10326" t="s">
        <v>90</v>
      </c>
      <c r="X10326" t="s">
        <v>58</v>
      </c>
      <c r="Y10326">
        <v>22</v>
      </c>
      <c r="Z10326" t="s">
        <v>59</v>
      </c>
      <c r="AA10326" t="s">
        <v>59</v>
      </c>
      <c r="AB10326" t="s">
        <v>59</v>
      </c>
      <c r="AC10326" t="s">
        <v>59</v>
      </c>
      <c r="AD10326" t="s">
        <v>59</v>
      </c>
      <c r="AF10326" s="1">
        <v>37134</v>
      </c>
      <c r="AG10326" t="s">
        <v>8645</v>
      </c>
      <c r="AH10326" t="s">
        <v>8646</v>
      </c>
      <c r="AI10326" t="str">
        <f>"9500407"</f>
        <v>9500407</v>
      </c>
      <c r="AJ10326" t="s">
        <v>13867</v>
      </c>
      <c r="AK10326">
        <v>2821089224</v>
      </c>
      <c r="AL10326" t="s">
        <v>13868</v>
      </c>
      <c r="AM10326" t="s">
        <v>88</v>
      </c>
      <c r="AN10326" t="s">
        <v>88</v>
      </c>
      <c r="AO10326" t="s">
        <v>6748</v>
      </c>
      <c r="AP10326" t="s">
        <v>6748</v>
      </c>
      <c r="AQ10326">
        <v>2</v>
      </c>
      <c r="AR10326" t="s">
        <v>89</v>
      </c>
      <c r="AS10326" t="s">
        <v>90</v>
      </c>
      <c r="AT10326" t="s">
        <v>58</v>
      </c>
      <c r="AU10326" t="s">
        <v>68</v>
      </c>
      <c r="AV10326" t="s">
        <v>69</v>
      </c>
      <c r="AW10326" s="1">
        <v>25746</v>
      </c>
      <c r="AX10326">
        <v>1</v>
      </c>
    </row>
    <row r="10327" spans="1:50">
      <c r="A10327">
        <v>603353</v>
      </c>
      <c r="B10327" t="str">
        <f>"054222959"</f>
        <v>054222959</v>
      </c>
      <c r="C10327" t="s">
        <v>105</v>
      </c>
      <c r="D10327" t="s">
        <v>15235</v>
      </c>
      <c r="E10327" t="s">
        <v>670</v>
      </c>
      <c r="F10327" t="s">
        <v>72</v>
      </c>
      <c r="G10327" t="s">
        <v>950</v>
      </c>
      <c r="H10327" t="str">
        <f>"ΓΛΑΥΚΟΥ ΚΑΛΑΘΑΣ ΑΚΡΩΤΗΡΙΟΥ"</f>
        <v>ΓΛΑΥΚΟΥ ΚΑΛΑΘΑΣ ΑΚΡΩΤΗΡΙΟΥ</v>
      </c>
      <c r="I10327">
        <v>73100</v>
      </c>
      <c r="J10327">
        <v>2821056207</v>
      </c>
      <c r="K10327">
        <v>6972587684</v>
      </c>
      <c r="L10327">
        <v>2821069291</v>
      </c>
      <c r="M10327" t="s">
        <v>15237</v>
      </c>
      <c r="N10327" t="s">
        <v>176</v>
      </c>
      <c r="O10327" t="s">
        <v>177</v>
      </c>
      <c r="R10327" t="s">
        <v>57</v>
      </c>
      <c r="S10327">
        <v>10</v>
      </c>
      <c r="T10327">
        <v>206</v>
      </c>
      <c r="U10327" s="1">
        <v>37866</v>
      </c>
      <c r="V10327" t="s">
        <v>89</v>
      </c>
      <c r="W10327" t="s">
        <v>90</v>
      </c>
      <c r="X10327" t="s">
        <v>58</v>
      </c>
      <c r="Y10327">
        <v>21</v>
      </c>
      <c r="Z10327" t="s">
        <v>59</v>
      </c>
      <c r="AA10327" t="s">
        <v>59</v>
      </c>
      <c r="AB10327" t="s">
        <v>59</v>
      </c>
      <c r="AC10327" t="s">
        <v>59</v>
      </c>
      <c r="AD10327" t="s">
        <v>59</v>
      </c>
      <c r="AF10327" s="1">
        <v>37866</v>
      </c>
      <c r="AG10327" t="s">
        <v>8645</v>
      </c>
      <c r="AH10327" t="s">
        <v>8646</v>
      </c>
      <c r="AI10327" t="str">
        <f>"9500083"</f>
        <v>9500083</v>
      </c>
      <c r="AJ10327" t="s">
        <v>14239</v>
      </c>
      <c r="AK10327">
        <v>2821063500</v>
      </c>
      <c r="AL10327" t="s">
        <v>14240</v>
      </c>
      <c r="AM10327" t="s">
        <v>88</v>
      </c>
      <c r="AN10327" t="s">
        <v>88</v>
      </c>
      <c r="AO10327" t="s">
        <v>6770</v>
      </c>
      <c r="AP10327" t="s">
        <v>14090</v>
      </c>
      <c r="AQ10327">
        <v>2</v>
      </c>
      <c r="AR10327" t="s">
        <v>89</v>
      </c>
      <c r="AS10327" t="s">
        <v>90</v>
      </c>
      <c r="AT10327" t="s">
        <v>58</v>
      </c>
      <c r="AU10327" t="s">
        <v>68</v>
      </c>
      <c r="AV10327" t="s">
        <v>69</v>
      </c>
      <c r="AW10327" s="1">
        <v>24361</v>
      </c>
      <c r="AX10327">
        <v>1</v>
      </c>
    </row>
    <row r="10328" spans="1:50">
      <c r="A10328">
        <v>574399</v>
      </c>
      <c r="B10328" t="str">
        <f>"063139479"</f>
        <v>063139479</v>
      </c>
      <c r="C10328" t="s">
        <v>50</v>
      </c>
      <c r="D10328" t="s">
        <v>15238</v>
      </c>
      <c r="E10328" t="s">
        <v>1001</v>
      </c>
      <c r="F10328" t="s">
        <v>99</v>
      </c>
      <c r="G10328" t="s">
        <v>83</v>
      </c>
      <c r="H10328" t="str">
        <f>"ΙΡΙΔΟΣ ΚΟΥΝΟΥΠΙΔΙΑΝΑ"</f>
        <v>ΙΡΙΔΟΣ ΚΟΥΝΟΥΠΙΔΙΑΝΑ</v>
      </c>
      <c r="I10328">
        <v>73100</v>
      </c>
      <c r="J10328">
        <v>2821069768</v>
      </c>
      <c r="K10328">
        <v>6984616352</v>
      </c>
      <c r="M10328" t="s">
        <v>15239</v>
      </c>
      <c r="N10328" t="s">
        <v>1525</v>
      </c>
      <c r="O10328" t="s">
        <v>1526</v>
      </c>
      <c r="R10328" t="s">
        <v>57</v>
      </c>
      <c r="S10328">
        <v>12</v>
      </c>
      <c r="T10328">
        <v>160</v>
      </c>
      <c r="U10328" s="1">
        <v>34582</v>
      </c>
      <c r="V10328" t="s">
        <v>89</v>
      </c>
      <c r="W10328" t="s">
        <v>90</v>
      </c>
      <c r="X10328" t="s">
        <v>58</v>
      </c>
      <c r="Y10328">
        <v>25</v>
      </c>
      <c r="Z10328" t="s">
        <v>59</v>
      </c>
      <c r="AA10328" t="s">
        <v>59</v>
      </c>
      <c r="AB10328" t="s">
        <v>59</v>
      </c>
      <c r="AC10328" t="s">
        <v>59</v>
      </c>
      <c r="AD10328" t="s">
        <v>59</v>
      </c>
      <c r="AF10328" s="1">
        <v>34582</v>
      </c>
      <c r="AG10328" t="s">
        <v>8651</v>
      </c>
      <c r="AH10328" t="s">
        <v>8652</v>
      </c>
      <c r="AI10328" t="str">
        <f>"9521297"</f>
        <v>9521297</v>
      </c>
      <c r="AJ10328" t="s">
        <v>14976</v>
      </c>
      <c r="AK10328">
        <v>2821049570</v>
      </c>
      <c r="AL10328" t="s">
        <v>14977</v>
      </c>
      <c r="AM10328" t="s">
        <v>88</v>
      </c>
      <c r="AN10328" t="s">
        <v>88</v>
      </c>
      <c r="AO10328" t="s">
        <v>6770</v>
      </c>
      <c r="AP10328" t="s">
        <v>6771</v>
      </c>
      <c r="AQ10328">
        <v>2</v>
      </c>
      <c r="AR10328" t="s">
        <v>89</v>
      </c>
      <c r="AS10328" t="s">
        <v>90</v>
      </c>
      <c r="AT10328" t="s">
        <v>58</v>
      </c>
      <c r="AU10328" t="s">
        <v>68</v>
      </c>
      <c r="AV10328" t="s">
        <v>69</v>
      </c>
      <c r="AW10328" s="1">
        <v>23983</v>
      </c>
      <c r="AX10328">
        <v>1</v>
      </c>
    </row>
    <row r="10329" spans="1:50">
      <c r="A10329">
        <v>615236</v>
      </c>
      <c r="B10329" t="str">
        <f>"101462533"</f>
        <v>101462533</v>
      </c>
      <c r="C10329" t="s">
        <v>50</v>
      </c>
      <c r="D10329" t="s">
        <v>11110</v>
      </c>
      <c r="E10329" t="s">
        <v>755</v>
      </c>
      <c r="F10329" t="s">
        <v>53</v>
      </c>
      <c r="G10329" t="s">
        <v>658</v>
      </c>
      <c r="H10329" t="str">
        <f>"ΜΑΚΡΥΓΙΑΝΝΗ 1 ΚΟΥΝΟΥΠΙΔΙΑΝΑ-ΧΑΝΙΑ"</f>
        <v>ΜΑΚΡΥΓΙΑΝΝΗ 1 ΚΟΥΝΟΥΠΙΔΙΑΝΑ-ΧΑΝΙΑ</v>
      </c>
      <c r="I10329">
        <v>73100</v>
      </c>
      <c r="J10329">
        <v>2821049218</v>
      </c>
      <c r="K10329">
        <v>6977430761</v>
      </c>
      <c r="M10329" t="s">
        <v>15240</v>
      </c>
      <c r="N10329" t="s">
        <v>1525</v>
      </c>
      <c r="O10329" t="s">
        <v>1526</v>
      </c>
      <c r="R10329" t="s">
        <v>57</v>
      </c>
      <c r="S10329">
        <v>8</v>
      </c>
      <c r="T10329">
        <v>598</v>
      </c>
      <c r="U10329" s="1">
        <v>39310</v>
      </c>
      <c r="V10329" t="s">
        <v>89</v>
      </c>
      <c r="W10329" t="s">
        <v>90</v>
      </c>
      <c r="X10329" t="s">
        <v>58</v>
      </c>
      <c r="Y10329">
        <v>25</v>
      </c>
      <c r="Z10329" t="s">
        <v>59</v>
      </c>
      <c r="AA10329" t="s">
        <v>59</v>
      </c>
      <c r="AB10329" t="s">
        <v>59</v>
      </c>
      <c r="AC10329" t="s">
        <v>59</v>
      </c>
      <c r="AD10329" t="s">
        <v>59</v>
      </c>
      <c r="AF10329" s="1">
        <v>39310</v>
      </c>
      <c r="AG10329" t="s">
        <v>8651</v>
      </c>
      <c r="AH10329" t="s">
        <v>8652</v>
      </c>
      <c r="AI10329" t="str">
        <f>"9500301"</f>
        <v>9500301</v>
      </c>
      <c r="AJ10329" t="s">
        <v>14705</v>
      </c>
      <c r="AK10329">
        <v>2821066076</v>
      </c>
      <c r="AL10329" t="s">
        <v>14706</v>
      </c>
      <c r="AM10329" t="s">
        <v>88</v>
      </c>
      <c r="AN10329" t="s">
        <v>88</v>
      </c>
      <c r="AO10329" t="s">
        <v>6770</v>
      </c>
      <c r="AP10329" t="s">
        <v>14015</v>
      </c>
      <c r="AQ10329">
        <v>2</v>
      </c>
      <c r="AR10329" t="s">
        <v>89</v>
      </c>
      <c r="AS10329" t="s">
        <v>90</v>
      </c>
      <c r="AT10329" t="s">
        <v>58</v>
      </c>
      <c r="AU10329" t="s">
        <v>68</v>
      </c>
      <c r="AV10329" t="s">
        <v>69</v>
      </c>
      <c r="AW10329" s="1">
        <v>26986</v>
      </c>
      <c r="AX10329">
        <v>1</v>
      </c>
    </row>
    <row r="10330" spans="1:50">
      <c r="B10330" t="str">
        <f>"137459606"</f>
        <v>137459606</v>
      </c>
      <c r="C10330" t="s">
        <v>105</v>
      </c>
      <c r="D10330" t="s">
        <v>6388</v>
      </c>
      <c r="E10330" t="s">
        <v>510</v>
      </c>
      <c r="F10330" t="s">
        <v>2049</v>
      </c>
      <c r="G10330" t="s">
        <v>2967</v>
      </c>
      <c r="H10330" t="str">
        <f>"ΝΙΝΟΛΑΚΗ "</f>
        <v xml:space="preserve">ΝΙΝΟΛΑΚΗ </v>
      </c>
      <c r="I10330">
        <v>73100</v>
      </c>
      <c r="J10330">
        <v>2821070345</v>
      </c>
      <c r="K10330">
        <v>6978849677</v>
      </c>
      <c r="N10330" t="s">
        <v>615</v>
      </c>
      <c r="O10330" t="s">
        <v>616</v>
      </c>
      <c r="R10330" t="s">
        <v>159</v>
      </c>
      <c r="S10330">
        <v>5</v>
      </c>
      <c r="T10330" t="s">
        <v>8675</v>
      </c>
      <c r="U10330" s="1">
        <v>43348</v>
      </c>
      <c r="V10330" t="s">
        <v>89</v>
      </c>
      <c r="W10330" t="s">
        <v>90</v>
      </c>
      <c r="X10330" t="s">
        <v>58</v>
      </c>
      <c r="Y10330">
        <v>24</v>
      </c>
      <c r="Z10330" t="s">
        <v>59</v>
      </c>
      <c r="AA10330" t="s">
        <v>59</v>
      </c>
      <c r="AB10330" t="s">
        <v>59</v>
      </c>
      <c r="AC10330" t="s">
        <v>59</v>
      </c>
      <c r="AD10330" t="s">
        <v>59</v>
      </c>
      <c r="AF10330" s="1">
        <v>43348</v>
      </c>
      <c r="AG10330" t="s">
        <v>8645</v>
      </c>
      <c r="AH10330" t="s">
        <v>8646</v>
      </c>
      <c r="AI10330" t="str">
        <f>"9500423"</f>
        <v>9500423</v>
      </c>
      <c r="AJ10330" t="s">
        <v>13893</v>
      </c>
      <c r="AK10330">
        <v>2821023473</v>
      </c>
      <c r="AL10330" t="s">
        <v>13894</v>
      </c>
      <c r="AM10330" t="s">
        <v>88</v>
      </c>
      <c r="AN10330" t="s">
        <v>88</v>
      </c>
      <c r="AO10330" t="s">
        <v>88</v>
      </c>
      <c r="AP10330" t="s">
        <v>88</v>
      </c>
      <c r="AQ10330">
        <v>1</v>
      </c>
      <c r="AR10330" t="s">
        <v>89</v>
      </c>
      <c r="AS10330" t="s">
        <v>90</v>
      </c>
      <c r="AT10330" t="s">
        <v>58</v>
      </c>
      <c r="AU10330" t="s">
        <v>8673</v>
      </c>
      <c r="AV10330" t="s">
        <v>132</v>
      </c>
      <c r="AW10330" s="1">
        <v>31443</v>
      </c>
      <c r="AX10330">
        <v>1</v>
      </c>
    </row>
    <row r="10331" spans="1:50">
      <c r="A10331">
        <v>590726</v>
      </c>
      <c r="B10331" t="str">
        <f>"046201429"</f>
        <v>046201429</v>
      </c>
      <c r="C10331" t="s">
        <v>105</v>
      </c>
      <c r="D10331" t="s">
        <v>15241</v>
      </c>
      <c r="E10331" t="s">
        <v>166</v>
      </c>
      <c r="F10331" t="s">
        <v>95</v>
      </c>
      <c r="G10331" t="s">
        <v>1065</v>
      </c>
      <c r="H10331" t="str">
        <f>"ΠΕΡΙΒΟΛΙΑ ΧΑΝΙΑ"</f>
        <v>ΠΕΡΙΒΟΛΙΑ ΧΑΝΙΑ</v>
      </c>
      <c r="I10331">
        <v>73100</v>
      </c>
      <c r="J10331">
        <v>2821070299</v>
      </c>
      <c r="N10331" t="s">
        <v>615</v>
      </c>
      <c r="O10331" t="s">
        <v>616</v>
      </c>
      <c r="R10331" t="s">
        <v>57</v>
      </c>
      <c r="S10331">
        <v>11</v>
      </c>
      <c r="T10331">
        <v>249</v>
      </c>
      <c r="U10331" s="1">
        <v>36769</v>
      </c>
      <c r="V10331" t="s">
        <v>89</v>
      </c>
      <c r="W10331" t="s">
        <v>90</v>
      </c>
      <c r="X10331" t="s">
        <v>58</v>
      </c>
      <c r="Y10331">
        <v>22</v>
      </c>
      <c r="Z10331" t="s">
        <v>59</v>
      </c>
      <c r="AA10331" t="s">
        <v>59</v>
      </c>
      <c r="AB10331" t="s">
        <v>59</v>
      </c>
      <c r="AC10331" t="s">
        <v>59</v>
      </c>
      <c r="AD10331" t="s">
        <v>59</v>
      </c>
      <c r="AF10331" s="1">
        <v>36769</v>
      </c>
      <c r="AG10331" t="s">
        <v>8645</v>
      </c>
      <c r="AH10331" t="s">
        <v>8646</v>
      </c>
      <c r="AI10331" t="str">
        <f>"9500314"</f>
        <v>9500314</v>
      </c>
      <c r="AJ10331" t="s">
        <v>14116</v>
      </c>
      <c r="AK10331">
        <v>2821097640</v>
      </c>
      <c r="AL10331" t="s">
        <v>14117</v>
      </c>
      <c r="AM10331" t="s">
        <v>88</v>
      </c>
      <c r="AN10331" t="s">
        <v>88</v>
      </c>
      <c r="AO10331" t="s">
        <v>88</v>
      </c>
      <c r="AP10331" t="s">
        <v>88</v>
      </c>
      <c r="AQ10331">
        <v>1</v>
      </c>
      <c r="AR10331" t="s">
        <v>89</v>
      </c>
      <c r="AS10331" t="s">
        <v>90</v>
      </c>
      <c r="AT10331" t="s">
        <v>58</v>
      </c>
      <c r="AU10331" t="s">
        <v>68</v>
      </c>
      <c r="AV10331" t="s">
        <v>69</v>
      </c>
      <c r="AW10331" s="1">
        <v>24357</v>
      </c>
      <c r="AX10331">
        <v>1</v>
      </c>
    </row>
    <row r="10332" spans="1:50">
      <c r="B10332" t="str">
        <f>"053913226"</f>
        <v>053913226</v>
      </c>
      <c r="C10332" t="s">
        <v>105</v>
      </c>
      <c r="D10332" t="s">
        <v>3329</v>
      </c>
      <c r="E10332" t="s">
        <v>95</v>
      </c>
      <c r="F10332" t="s">
        <v>965</v>
      </c>
      <c r="G10332" t="s">
        <v>181</v>
      </c>
      <c r="H10332" t="str">
        <f>"ΚΟΥΣΤΟΓΕΡΑΚΟΥ 4 "</f>
        <v xml:space="preserve">ΚΟΥΣΤΟΓΕΡΑΚΟΥ 4 </v>
      </c>
      <c r="I10332">
        <v>68100</v>
      </c>
      <c r="K10332">
        <v>6944180490</v>
      </c>
      <c r="N10332" t="s">
        <v>9829</v>
      </c>
      <c r="O10332" t="s">
        <v>9830</v>
      </c>
      <c r="R10332" t="s">
        <v>159</v>
      </c>
      <c r="S10332">
        <v>3</v>
      </c>
      <c r="T10332" t="s">
        <v>8696</v>
      </c>
      <c r="U10332" s="1">
        <v>43348</v>
      </c>
      <c r="V10332" t="s">
        <v>89</v>
      </c>
      <c r="W10332" t="s">
        <v>90</v>
      </c>
      <c r="X10332" t="s">
        <v>58</v>
      </c>
      <c r="Y10332">
        <v>25</v>
      </c>
      <c r="Z10332" t="s">
        <v>59</v>
      </c>
      <c r="AA10332" t="s">
        <v>59</v>
      </c>
      <c r="AB10332" t="s">
        <v>59</v>
      </c>
      <c r="AC10332" t="s">
        <v>59</v>
      </c>
      <c r="AD10332" t="s">
        <v>59</v>
      </c>
      <c r="AF10332" s="1">
        <v>43348</v>
      </c>
      <c r="AG10332" t="s">
        <v>8651</v>
      </c>
      <c r="AH10332" t="s">
        <v>8652</v>
      </c>
      <c r="AI10332" t="str">
        <f>"9521556"</f>
        <v>9521556</v>
      </c>
      <c r="AJ10332" t="s">
        <v>14875</v>
      </c>
      <c r="AK10332">
        <v>2821028060</v>
      </c>
      <c r="AL10332" t="s">
        <v>14876</v>
      </c>
      <c r="AM10332" t="s">
        <v>88</v>
      </c>
      <c r="AN10332" t="s">
        <v>88</v>
      </c>
      <c r="AO10332" t="s">
        <v>88</v>
      </c>
      <c r="AP10332" t="s">
        <v>88</v>
      </c>
      <c r="AQ10332">
        <v>1</v>
      </c>
      <c r="AR10332" t="s">
        <v>89</v>
      </c>
      <c r="AS10332" t="s">
        <v>90</v>
      </c>
      <c r="AT10332" t="s">
        <v>58</v>
      </c>
      <c r="AU10332" t="s">
        <v>350</v>
      </c>
      <c r="AV10332" t="s">
        <v>132</v>
      </c>
      <c r="AW10332" s="1">
        <v>27524</v>
      </c>
      <c r="AX10332">
        <v>1</v>
      </c>
    </row>
    <row r="10333" spans="1:50">
      <c r="A10333">
        <v>595659</v>
      </c>
      <c r="B10333" t="str">
        <f>"077039861"</f>
        <v>077039861</v>
      </c>
      <c r="C10333" t="s">
        <v>105</v>
      </c>
      <c r="D10333" t="s">
        <v>15242</v>
      </c>
      <c r="E10333" t="s">
        <v>995</v>
      </c>
      <c r="F10333" t="s">
        <v>202</v>
      </c>
      <c r="G10333" t="s">
        <v>181</v>
      </c>
      <c r="H10333" t="str">
        <f>" "</f>
        <v xml:space="preserve"> </v>
      </c>
      <c r="J10333">
        <v>2821079569</v>
      </c>
      <c r="K10333">
        <v>6932131380</v>
      </c>
      <c r="M10333" t="s">
        <v>15243</v>
      </c>
      <c r="N10333" t="s">
        <v>1525</v>
      </c>
      <c r="O10333" t="s">
        <v>1526</v>
      </c>
      <c r="R10333" t="s">
        <v>57</v>
      </c>
      <c r="S10333">
        <v>10</v>
      </c>
      <c r="T10333">
        <v>218</v>
      </c>
      <c r="U10333" s="1">
        <v>37134</v>
      </c>
      <c r="V10333" t="s">
        <v>89</v>
      </c>
      <c r="W10333" t="s">
        <v>90</v>
      </c>
      <c r="X10333" t="s">
        <v>58</v>
      </c>
      <c r="Y10333">
        <v>25</v>
      </c>
      <c r="Z10333" t="s">
        <v>59</v>
      </c>
      <c r="AA10333" t="s">
        <v>59</v>
      </c>
      <c r="AB10333" t="s">
        <v>59</v>
      </c>
      <c r="AC10333" t="s">
        <v>59</v>
      </c>
      <c r="AD10333" t="s">
        <v>59</v>
      </c>
      <c r="AF10333" s="1">
        <v>37135</v>
      </c>
      <c r="AG10333" t="s">
        <v>8651</v>
      </c>
      <c r="AH10333" t="s">
        <v>8652</v>
      </c>
      <c r="AI10333" t="str">
        <f>"9521552"</f>
        <v>9521552</v>
      </c>
      <c r="AJ10333" t="s">
        <v>14958</v>
      </c>
      <c r="AK10333">
        <v>2821081793</v>
      </c>
      <c r="AL10333" t="s">
        <v>14959</v>
      </c>
      <c r="AM10333" t="s">
        <v>88</v>
      </c>
      <c r="AN10333" t="s">
        <v>88</v>
      </c>
      <c r="AO10333" t="s">
        <v>6748</v>
      </c>
      <c r="AP10333" t="s">
        <v>14182</v>
      </c>
      <c r="AQ10333">
        <v>2</v>
      </c>
      <c r="AR10333" t="s">
        <v>89</v>
      </c>
      <c r="AS10333" t="s">
        <v>90</v>
      </c>
      <c r="AT10333" t="s">
        <v>58</v>
      </c>
      <c r="AU10333" t="s">
        <v>68</v>
      </c>
      <c r="AV10333" t="s">
        <v>69</v>
      </c>
      <c r="AW10333" s="1">
        <v>26725</v>
      </c>
      <c r="AX10333">
        <v>1</v>
      </c>
    </row>
    <row r="10334" spans="1:50">
      <c r="A10334">
        <v>559900</v>
      </c>
      <c r="B10334" t="str">
        <f>"066830286"</f>
        <v>066830286</v>
      </c>
      <c r="C10334" t="s">
        <v>50</v>
      </c>
      <c r="D10334" t="s">
        <v>15244</v>
      </c>
      <c r="E10334" t="s">
        <v>52</v>
      </c>
      <c r="F10334" t="s">
        <v>92</v>
      </c>
      <c r="G10334" t="s">
        <v>705</v>
      </c>
      <c r="H10334" t="str">
        <f>"3η ΠΑΡ. ΜΕΛ. ΜΕΤΑΞΑΚΗ 3 ΧΑΝΙΑ"</f>
        <v>3η ΠΑΡ. ΜΕΛ. ΜΕΤΑΞΑΚΗ 3 ΧΑΝΙΑ</v>
      </c>
      <c r="I10334">
        <v>73100</v>
      </c>
      <c r="J10334">
        <v>2821091853</v>
      </c>
      <c r="K10334">
        <v>6944333295</v>
      </c>
      <c r="N10334" t="s">
        <v>1525</v>
      </c>
      <c r="O10334" t="s">
        <v>1526</v>
      </c>
      <c r="R10334" t="s">
        <v>57</v>
      </c>
      <c r="S10334">
        <v>15</v>
      </c>
      <c r="T10334">
        <v>175</v>
      </c>
      <c r="U10334" s="1">
        <v>32020</v>
      </c>
      <c r="V10334" t="s">
        <v>89</v>
      </c>
      <c r="W10334" t="s">
        <v>90</v>
      </c>
      <c r="X10334" t="s">
        <v>58</v>
      </c>
      <c r="Y10334">
        <v>25</v>
      </c>
      <c r="Z10334" t="s">
        <v>59</v>
      </c>
      <c r="AA10334" t="s">
        <v>59</v>
      </c>
      <c r="AB10334" t="s">
        <v>59</v>
      </c>
      <c r="AC10334" t="s">
        <v>59</v>
      </c>
      <c r="AD10334" t="s">
        <v>59</v>
      </c>
      <c r="AF10334" s="1">
        <v>32020</v>
      </c>
      <c r="AG10334" t="s">
        <v>8651</v>
      </c>
      <c r="AH10334" t="s">
        <v>8652</v>
      </c>
      <c r="AI10334" t="str">
        <f>"9500339"</f>
        <v>9500339</v>
      </c>
      <c r="AJ10334" t="s">
        <v>15245</v>
      </c>
      <c r="AK10334">
        <v>2821091660</v>
      </c>
      <c r="AL10334" t="s">
        <v>15246</v>
      </c>
      <c r="AM10334" t="s">
        <v>88</v>
      </c>
      <c r="AN10334" t="s">
        <v>88</v>
      </c>
      <c r="AO10334" t="s">
        <v>88</v>
      </c>
      <c r="AP10334" t="s">
        <v>88</v>
      </c>
      <c r="AQ10334">
        <v>1</v>
      </c>
      <c r="AR10334" t="s">
        <v>89</v>
      </c>
      <c r="AS10334" t="s">
        <v>90</v>
      </c>
      <c r="AT10334" t="s">
        <v>58</v>
      </c>
      <c r="AU10334" t="s">
        <v>68</v>
      </c>
      <c r="AV10334" t="s">
        <v>69</v>
      </c>
      <c r="AW10334" s="1">
        <v>22998</v>
      </c>
      <c r="AX10334">
        <v>1</v>
      </c>
    </row>
    <row r="10335" spans="1:50">
      <c r="A10335">
        <v>617458</v>
      </c>
      <c r="B10335" t="str">
        <f>"140925830"</f>
        <v>140925830</v>
      </c>
      <c r="C10335" t="s">
        <v>50</v>
      </c>
      <c r="D10335" t="s">
        <v>11121</v>
      </c>
      <c r="E10335" t="s">
        <v>250</v>
      </c>
      <c r="F10335" t="s">
        <v>1070</v>
      </c>
      <c r="G10335" t="s">
        <v>255</v>
      </c>
      <c r="H10335" t="str">
        <f>"ΒΑΡΔΟΥΛΑΚΗΔΩΝ 10 ΧΑΝΙΑ"</f>
        <v>ΒΑΡΔΟΥΛΑΚΗΔΩΝ 10 ΧΑΝΙΑ</v>
      </c>
      <c r="I10335">
        <v>73100</v>
      </c>
      <c r="J10335">
        <v>2821052778</v>
      </c>
      <c r="K10335">
        <v>6936125794</v>
      </c>
      <c r="N10335" t="s">
        <v>615</v>
      </c>
      <c r="O10335" t="s">
        <v>616</v>
      </c>
      <c r="R10335" t="s">
        <v>57</v>
      </c>
      <c r="S10335">
        <v>6</v>
      </c>
      <c r="T10335">
        <v>774</v>
      </c>
      <c r="U10335" s="1">
        <v>39680</v>
      </c>
      <c r="V10335" t="s">
        <v>89</v>
      </c>
      <c r="W10335" t="s">
        <v>90</v>
      </c>
      <c r="X10335" t="s">
        <v>58</v>
      </c>
      <c r="Y10335">
        <v>23</v>
      </c>
      <c r="Z10335" t="s">
        <v>59</v>
      </c>
      <c r="AA10335" t="s">
        <v>59</v>
      </c>
      <c r="AB10335" t="s">
        <v>452</v>
      </c>
      <c r="AC10335" t="s">
        <v>59</v>
      </c>
      <c r="AD10335" t="s">
        <v>59</v>
      </c>
      <c r="AF10335" s="1">
        <v>39680</v>
      </c>
      <c r="AG10335" t="s">
        <v>8645</v>
      </c>
      <c r="AH10335" t="s">
        <v>8646</v>
      </c>
      <c r="AI10335" t="str">
        <f>"9500147"</f>
        <v>9500147</v>
      </c>
      <c r="AJ10335" t="s">
        <v>14008</v>
      </c>
      <c r="AK10335">
        <v>2821094573</v>
      </c>
      <c r="AL10335" t="s">
        <v>14009</v>
      </c>
      <c r="AM10335" t="s">
        <v>88</v>
      </c>
      <c r="AN10335" t="s">
        <v>88</v>
      </c>
      <c r="AO10335" t="s">
        <v>88</v>
      </c>
      <c r="AP10335" t="s">
        <v>88</v>
      </c>
      <c r="AQ10335">
        <v>1</v>
      </c>
      <c r="AR10335" t="s">
        <v>89</v>
      </c>
      <c r="AS10335" t="s">
        <v>90</v>
      </c>
      <c r="AT10335" t="s">
        <v>58</v>
      </c>
      <c r="AU10335" t="s">
        <v>68</v>
      </c>
      <c r="AV10335" t="s">
        <v>69</v>
      </c>
      <c r="AW10335" s="1">
        <v>30758</v>
      </c>
      <c r="AX10335">
        <v>1</v>
      </c>
    </row>
    <row r="10336" spans="1:50">
      <c r="B10336" t="str">
        <f>"152155312"</f>
        <v>152155312</v>
      </c>
      <c r="C10336" t="s">
        <v>50</v>
      </c>
      <c r="D10336" t="s">
        <v>15247</v>
      </c>
      <c r="E10336" t="s">
        <v>73</v>
      </c>
      <c r="F10336" t="s">
        <v>995</v>
      </c>
      <c r="H10336" t="str">
        <f>"ΕΥΠΑΤΟΡΙΑΣ 25-ΣΥΝ.ΔΡΟΣΙΑΣ ΙΩΑΝΝΙΝΑ"</f>
        <v>ΕΥΠΑΤΟΡΙΑΣ 25-ΣΥΝ.ΔΡΟΣΙΑΣ ΙΩΑΝΝΙΝΑ</v>
      </c>
      <c r="I10336">
        <v>45332</v>
      </c>
      <c r="K10336">
        <v>6947900154</v>
      </c>
      <c r="M10336" t="s">
        <v>15248</v>
      </c>
      <c r="N10336" t="s">
        <v>683</v>
      </c>
      <c r="O10336" t="s">
        <v>684</v>
      </c>
      <c r="R10336" t="s">
        <v>159</v>
      </c>
      <c r="S10336">
        <v>1</v>
      </c>
      <c r="T10336" t="s">
        <v>8675</v>
      </c>
      <c r="U10336" s="1">
        <v>43348</v>
      </c>
      <c r="V10336" t="s">
        <v>89</v>
      </c>
      <c r="W10336" t="s">
        <v>90</v>
      </c>
      <c r="X10336" t="s">
        <v>58</v>
      </c>
      <c r="Y10336">
        <v>24</v>
      </c>
      <c r="Z10336" t="s">
        <v>59</v>
      </c>
      <c r="AA10336" t="s">
        <v>59</v>
      </c>
      <c r="AB10336" t="s">
        <v>59</v>
      </c>
      <c r="AC10336" t="s">
        <v>59</v>
      </c>
      <c r="AD10336" t="s">
        <v>59</v>
      </c>
      <c r="AF10336" s="1">
        <v>43348</v>
      </c>
      <c r="AG10336" t="s">
        <v>8645</v>
      </c>
      <c r="AH10336" t="s">
        <v>8646</v>
      </c>
      <c r="AI10336" t="str">
        <f>"9500075"</f>
        <v>9500075</v>
      </c>
      <c r="AJ10336" t="s">
        <v>13955</v>
      </c>
      <c r="AK10336">
        <v>2821046505</v>
      </c>
      <c r="AL10336" t="s">
        <v>13956</v>
      </c>
      <c r="AM10336" t="s">
        <v>88</v>
      </c>
      <c r="AN10336" t="s">
        <v>88</v>
      </c>
      <c r="AO10336" t="s">
        <v>88</v>
      </c>
      <c r="AP10336" t="s">
        <v>88</v>
      </c>
      <c r="AQ10336">
        <v>1</v>
      </c>
      <c r="AR10336" t="s">
        <v>89</v>
      </c>
      <c r="AS10336" t="s">
        <v>90</v>
      </c>
      <c r="AT10336" t="s">
        <v>58</v>
      </c>
      <c r="AU10336" t="s">
        <v>8673</v>
      </c>
      <c r="AV10336" t="s">
        <v>132</v>
      </c>
      <c r="AW10336" s="1">
        <v>32639</v>
      </c>
      <c r="AX10336">
        <v>1</v>
      </c>
    </row>
    <row r="10337" spans="1:50">
      <c r="B10337" t="str">
        <f>"144043812"</f>
        <v>144043812</v>
      </c>
      <c r="C10337" t="s">
        <v>105</v>
      </c>
      <c r="D10337" t="s">
        <v>8125</v>
      </c>
      <c r="E10337" t="s">
        <v>53</v>
      </c>
      <c r="F10337" t="s">
        <v>99</v>
      </c>
      <c r="G10337" t="s">
        <v>237</v>
      </c>
      <c r="H10337" t="str">
        <f>" "</f>
        <v xml:space="preserve"> </v>
      </c>
      <c r="N10337" t="s">
        <v>615</v>
      </c>
      <c r="O10337" t="s">
        <v>616</v>
      </c>
      <c r="R10337" t="s">
        <v>159</v>
      </c>
      <c r="S10337">
        <v>1</v>
      </c>
      <c r="T10337" t="s">
        <v>8675</v>
      </c>
      <c r="U10337" s="1">
        <v>43348</v>
      </c>
      <c r="V10337" t="s">
        <v>89</v>
      </c>
      <c r="W10337" t="s">
        <v>90</v>
      </c>
      <c r="X10337" t="s">
        <v>58</v>
      </c>
      <c r="Y10337">
        <v>24</v>
      </c>
      <c r="Z10337" t="s">
        <v>59</v>
      </c>
      <c r="AA10337" t="s">
        <v>59</v>
      </c>
      <c r="AB10337" t="s">
        <v>59</v>
      </c>
      <c r="AC10337" t="s">
        <v>59</v>
      </c>
      <c r="AD10337" t="s">
        <v>59</v>
      </c>
      <c r="AF10337" s="1">
        <v>43348</v>
      </c>
      <c r="AG10337" t="s">
        <v>8645</v>
      </c>
      <c r="AH10337" t="s">
        <v>8646</v>
      </c>
      <c r="AI10337" t="str">
        <f>"9500358"</f>
        <v>9500358</v>
      </c>
      <c r="AJ10337" t="s">
        <v>13948</v>
      </c>
      <c r="AK10337">
        <v>2821093459</v>
      </c>
      <c r="AL10337" t="s">
        <v>13949</v>
      </c>
      <c r="AM10337" t="s">
        <v>88</v>
      </c>
      <c r="AN10337" t="s">
        <v>88</v>
      </c>
      <c r="AO10337" t="s">
        <v>6733</v>
      </c>
      <c r="AP10337" t="s">
        <v>6755</v>
      </c>
      <c r="AQ10337">
        <v>2</v>
      </c>
      <c r="AR10337" t="s">
        <v>89</v>
      </c>
      <c r="AS10337" t="s">
        <v>90</v>
      </c>
      <c r="AT10337" t="s">
        <v>58</v>
      </c>
      <c r="AU10337" t="s">
        <v>8673</v>
      </c>
      <c r="AV10337" t="s">
        <v>132</v>
      </c>
      <c r="AW10337" s="1">
        <v>32366</v>
      </c>
      <c r="AX10337">
        <v>1</v>
      </c>
    </row>
    <row r="10338" spans="1:50">
      <c r="A10338">
        <v>600526</v>
      </c>
      <c r="B10338" t="str">
        <f>"052586471"</f>
        <v>052586471</v>
      </c>
      <c r="C10338" t="s">
        <v>105</v>
      </c>
      <c r="D10338" t="s">
        <v>5295</v>
      </c>
      <c r="E10338" t="s">
        <v>53</v>
      </c>
      <c r="F10338" t="s">
        <v>72</v>
      </c>
      <c r="G10338" t="s">
        <v>52</v>
      </c>
      <c r="H10338" t="str">
        <f>"ΜΕΛΕΤΙΟΥ ΜΕΤΑΞΑΚΗ  11-13 ΧΑΝΙΑ"</f>
        <v>ΜΕΛΕΤΙΟΥ ΜΕΤΑΞΑΚΗ  11-13 ΧΑΝΙΑ</v>
      </c>
      <c r="I10338">
        <v>73131</v>
      </c>
      <c r="J10338">
        <v>2821027175</v>
      </c>
      <c r="K10338">
        <v>6937178786</v>
      </c>
      <c r="N10338" t="s">
        <v>337</v>
      </c>
      <c r="O10338" t="s">
        <v>338</v>
      </c>
      <c r="R10338" t="s">
        <v>57</v>
      </c>
      <c r="S10338">
        <v>7</v>
      </c>
      <c r="T10338">
        <v>46</v>
      </c>
      <c r="U10338" s="1">
        <v>37684</v>
      </c>
      <c r="V10338" t="s">
        <v>89</v>
      </c>
      <c r="W10338" t="s">
        <v>90</v>
      </c>
      <c r="X10338" t="s">
        <v>58</v>
      </c>
      <c r="Y10338">
        <v>22</v>
      </c>
      <c r="Z10338" t="s">
        <v>59</v>
      </c>
      <c r="AA10338" t="s">
        <v>59</v>
      </c>
      <c r="AB10338" t="s">
        <v>59</v>
      </c>
      <c r="AC10338" t="s">
        <v>59</v>
      </c>
      <c r="AD10338" t="s">
        <v>59</v>
      </c>
      <c r="AF10338" s="1">
        <v>37684</v>
      </c>
      <c r="AG10338" t="s">
        <v>8645</v>
      </c>
      <c r="AH10338" t="s">
        <v>8646</v>
      </c>
      <c r="AI10338" t="str">
        <f>"9500144"</f>
        <v>9500144</v>
      </c>
      <c r="AJ10338" t="s">
        <v>14010</v>
      </c>
      <c r="AK10338">
        <v>2821094171</v>
      </c>
      <c r="AL10338" t="s">
        <v>14011</v>
      </c>
      <c r="AM10338" t="s">
        <v>88</v>
      </c>
      <c r="AN10338" t="s">
        <v>88</v>
      </c>
      <c r="AO10338" t="s">
        <v>88</v>
      </c>
      <c r="AP10338" t="s">
        <v>88</v>
      </c>
      <c r="AQ10338">
        <v>1</v>
      </c>
      <c r="AR10338" t="s">
        <v>89</v>
      </c>
      <c r="AS10338" t="s">
        <v>90</v>
      </c>
      <c r="AT10338" t="s">
        <v>58</v>
      </c>
      <c r="AU10338" t="s">
        <v>68</v>
      </c>
      <c r="AV10338" t="s">
        <v>69</v>
      </c>
      <c r="AW10338" s="1">
        <v>24590</v>
      </c>
      <c r="AX10338">
        <v>1</v>
      </c>
    </row>
    <row r="10339" spans="1:50">
      <c r="B10339" t="str">
        <f>"138470553"</f>
        <v>138470553</v>
      </c>
      <c r="C10339" t="s">
        <v>50</v>
      </c>
      <c r="D10339" t="s">
        <v>11133</v>
      </c>
      <c r="E10339" t="s">
        <v>96</v>
      </c>
      <c r="F10339" t="s">
        <v>1679</v>
      </c>
      <c r="G10339" t="s">
        <v>54</v>
      </c>
      <c r="H10339" t="str">
        <f>" "</f>
        <v xml:space="preserve"> </v>
      </c>
      <c r="N10339" t="s">
        <v>10066</v>
      </c>
      <c r="O10339" t="s">
        <v>9830</v>
      </c>
      <c r="R10339" t="s">
        <v>121</v>
      </c>
      <c r="S10339">
        <v>1</v>
      </c>
      <c r="T10339" t="s">
        <v>8835</v>
      </c>
      <c r="U10339" s="1">
        <v>43348</v>
      </c>
      <c r="V10339" t="s">
        <v>89</v>
      </c>
      <c r="W10339" t="s">
        <v>90</v>
      </c>
      <c r="X10339" t="s">
        <v>58</v>
      </c>
      <c r="Y10339">
        <v>25</v>
      </c>
      <c r="Z10339" t="s">
        <v>59</v>
      </c>
      <c r="AA10339" t="s">
        <v>59</v>
      </c>
      <c r="AB10339" t="s">
        <v>59</v>
      </c>
      <c r="AD10339" t="s">
        <v>59</v>
      </c>
      <c r="AF10339" s="1">
        <v>43348</v>
      </c>
      <c r="AG10339" t="s">
        <v>8651</v>
      </c>
      <c r="AH10339" t="s">
        <v>8652</v>
      </c>
      <c r="AI10339" t="str">
        <f>"9520799"</f>
        <v>9520799</v>
      </c>
      <c r="AJ10339" t="s">
        <v>14956</v>
      </c>
      <c r="AK10339">
        <v>2823041288</v>
      </c>
      <c r="AL10339" t="s">
        <v>14957</v>
      </c>
      <c r="AM10339" t="s">
        <v>88</v>
      </c>
      <c r="AN10339" t="s">
        <v>6824</v>
      </c>
      <c r="AO10339" t="s">
        <v>6870</v>
      </c>
      <c r="AP10339" t="s">
        <v>6871</v>
      </c>
      <c r="AQ10339">
        <v>11</v>
      </c>
      <c r="AR10339" t="s">
        <v>89</v>
      </c>
      <c r="AS10339" t="s">
        <v>90</v>
      </c>
      <c r="AT10339" t="s">
        <v>58</v>
      </c>
      <c r="AU10339" t="s">
        <v>131</v>
      </c>
      <c r="AV10339" t="s">
        <v>132</v>
      </c>
      <c r="AW10339" s="1">
        <v>31245</v>
      </c>
      <c r="AX10339">
        <v>1</v>
      </c>
    </row>
    <row r="10340" spans="1:50">
      <c r="B10340" t="str">
        <f>"130476970"</f>
        <v>130476970</v>
      </c>
      <c r="C10340" t="s">
        <v>50</v>
      </c>
      <c r="D10340" t="s">
        <v>15249</v>
      </c>
      <c r="E10340" t="s">
        <v>620</v>
      </c>
      <c r="F10340" t="s">
        <v>99</v>
      </c>
      <c r="G10340" t="s">
        <v>237</v>
      </c>
      <c r="H10340" t="str">
        <f>"ΑΧΙΛΛΕΩΣ 107 "</f>
        <v xml:space="preserve">ΑΧΙΛΛΕΩΣ 107 </v>
      </c>
      <c r="I10340">
        <v>38333</v>
      </c>
      <c r="J10340">
        <v>2421070829</v>
      </c>
      <c r="K10340">
        <v>6982180806</v>
      </c>
      <c r="N10340" t="s">
        <v>615</v>
      </c>
      <c r="O10340" t="s">
        <v>616</v>
      </c>
      <c r="R10340" t="s">
        <v>159</v>
      </c>
      <c r="S10340">
        <v>3</v>
      </c>
      <c r="T10340" t="s">
        <v>8675</v>
      </c>
      <c r="U10340" s="1">
        <v>43348</v>
      </c>
      <c r="V10340" t="s">
        <v>89</v>
      </c>
      <c r="W10340" t="s">
        <v>90</v>
      </c>
      <c r="X10340" t="s">
        <v>58</v>
      </c>
      <c r="Y10340">
        <v>25</v>
      </c>
      <c r="Z10340" t="s">
        <v>59</v>
      </c>
      <c r="AA10340" t="s">
        <v>59</v>
      </c>
      <c r="AB10340" t="s">
        <v>59</v>
      </c>
      <c r="AC10340" t="s">
        <v>59</v>
      </c>
      <c r="AD10340" t="s">
        <v>59</v>
      </c>
      <c r="AF10340" s="1">
        <v>43348</v>
      </c>
      <c r="AG10340" t="s">
        <v>8645</v>
      </c>
      <c r="AH10340" t="s">
        <v>8676</v>
      </c>
      <c r="AI10340" t="str">
        <f>"9500032"</f>
        <v>9500032</v>
      </c>
      <c r="AJ10340" t="s">
        <v>14356</v>
      </c>
      <c r="AK10340">
        <v>2825071301</v>
      </c>
      <c r="AL10340" t="s">
        <v>14357</v>
      </c>
      <c r="AM10340" t="s">
        <v>88</v>
      </c>
      <c r="AN10340" t="s">
        <v>6775</v>
      </c>
      <c r="AO10340" t="s">
        <v>14358</v>
      </c>
      <c r="AP10340" t="s">
        <v>14358</v>
      </c>
      <c r="AQ10340">
        <v>7</v>
      </c>
      <c r="AR10340" t="s">
        <v>89</v>
      </c>
      <c r="AS10340" t="s">
        <v>90</v>
      </c>
      <c r="AT10340" t="s">
        <v>58</v>
      </c>
      <c r="AU10340" t="s">
        <v>8673</v>
      </c>
      <c r="AV10340" t="s">
        <v>132</v>
      </c>
      <c r="AW10340" s="1">
        <v>31910</v>
      </c>
      <c r="AX10340">
        <v>1</v>
      </c>
    </row>
    <row r="10341" spans="1:50">
      <c r="A10341">
        <v>608018</v>
      </c>
      <c r="B10341" t="str">
        <f>"064072057"</f>
        <v>064072057</v>
      </c>
      <c r="C10341" t="s">
        <v>50</v>
      </c>
      <c r="D10341" t="s">
        <v>15250</v>
      </c>
      <c r="E10341" t="s">
        <v>250</v>
      </c>
      <c r="F10341" t="s">
        <v>450</v>
      </c>
      <c r="G10341" t="s">
        <v>396</v>
      </c>
      <c r="H10341" t="str">
        <f>"Ι.ΚΟΖΑΚΟΥ 19 "</f>
        <v xml:space="preserve">Ι.ΚΟΖΑΚΟΥ 19 </v>
      </c>
      <c r="I10341">
        <v>73133</v>
      </c>
      <c r="J10341">
        <v>2821054186</v>
      </c>
      <c r="K10341">
        <v>6972923591</v>
      </c>
      <c r="N10341" t="s">
        <v>1525</v>
      </c>
      <c r="O10341" t="s">
        <v>1526</v>
      </c>
      <c r="R10341" t="s">
        <v>57</v>
      </c>
      <c r="S10341">
        <v>9</v>
      </c>
      <c r="T10341">
        <v>217</v>
      </c>
      <c r="U10341" s="1">
        <v>38596</v>
      </c>
      <c r="V10341" t="s">
        <v>89</v>
      </c>
      <c r="W10341" t="s">
        <v>90</v>
      </c>
      <c r="X10341" t="s">
        <v>58</v>
      </c>
      <c r="Y10341">
        <v>25</v>
      </c>
      <c r="Z10341" t="s">
        <v>59</v>
      </c>
      <c r="AA10341" t="s">
        <v>59</v>
      </c>
      <c r="AB10341" t="s">
        <v>59</v>
      </c>
      <c r="AC10341" t="s">
        <v>59</v>
      </c>
      <c r="AD10341" t="s">
        <v>59</v>
      </c>
      <c r="AF10341" s="1">
        <v>38596</v>
      </c>
      <c r="AG10341" t="s">
        <v>8651</v>
      </c>
      <c r="AH10341" t="s">
        <v>8652</v>
      </c>
      <c r="AI10341" t="str">
        <f>"9500383"</f>
        <v>9500383</v>
      </c>
      <c r="AJ10341" t="s">
        <v>13908</v>
      </c>
      <c r="AK10341">
        <v>2821054010</v>
      </c>
      <c r="AL10341" t="s">
        <v>13909</v>
      </c>
      <c r="AM10341" t="s">
        <v>88</v>
      </c>
      <c r="AN10341" t="s">
        <v>88</v>
      </c>
      <c r="AO10341" t="s">
        <v>88</v>
      </c>
      <c r="AP10341" t="s">
        <v>88</v>
      </c>
      <c r="AQ10341">
        <v>1</v>
      </c>
      <c r="AR10341" t="s">
        <v>89</v>
      </c>
      <c r="AS10341" t="s">
        <v>90</v>
      </c>
      <c r="AT10341" t="s">
        <v>58</v>
      </c>
      <c r="AU10341" t="s">
        <v>68</v>
      </c>
      <c r="AV10341" t="s">
        <v>69</v>
      </c>
      <c r="AW10341" s="1">
        <v>24554</v>
      </c>
      <c r="AX10341">
        <v>1</v>
      </c>
    </row>
    <row r="10342" spans="1:50">
      <c r="B10342" t="str">
        <f>"112394445"</f>
        <v>112394445</v>
      </c>
      <c r="C10342" t="s">
        <v>50</v>
      </c>
      <c r="D10342" t="s">
        <v>3365</v>
      </c>
      <c r="E10342" t="s">
        <v>52</v>
      </c>
      <c r="F10342" t="s">
        <v>6398</v>
      </c>
      <c r="G10342" t="s">
        <v>610</v>
      </c>
      <c r="H10342" t="str">
        <f>" "</f>
        <v xml:space="preserve"> </v>
      </c>
      <c r="K10342">
        <v>6988927057</v>
      </c>
      <c r="M10342" t="s">
        <v>15251</v>
      </c>
      <c r="N10342" t="s">
        <v>306</v>
      </c>
      <c r="O10342" t="s">
        <v>307</v>
      </c>
      <c r="R10342" t="s">
        <v>159</v>
      </c>
      <c r="S10342">
        <v>4</v>
      </c>
      <c r="T10342" t="s">
        <v>8675</v>
      </c>
      <c r="U10342" s="1">
        <v>43348</v>
      </c>
      <c r="V10342" t="s">
        <v>89</v>
      </c>
      <c r="W10342" t="s">
        <v>90</v>
      </c>
      <c r="X10342" t="s">
        <v>58</v>
      </c>
      <c r="Y10342">
        <v>24</v>
      </c>
      <c r="Z10342" t="s">
        <v>59</v>
      </c>
      <c r="AA10342" t="s">
        <v>59</v>
      </c>
      <c r="AB10342" t="s">
        <v>59</v>
      </c>
      <c r="AC10342" t="s">
        <v>59</v>
      </c>
      <c r="AD10342" t="s">
        <v>59</v>
      </c>
      <c r="AF10342" s="1">
        <v>43348</v>
      </c>
      <c r="AG10342" t="s">
        <v>8645</v>
      </c>
      <c r="AH10342" t="s">
        <v>8646</v>
      </c>
      <c r="AI10342" t="str">
        <f>"9500144"</f>
        <v>9500144</v>
      </c>
      <c r="AJ10342" t="s">
        <v>14010</v>
      </c>
      <c r="AK10342">
        <v>2821094171</v>
      </c>
      <c r="AL10342" t="s">
        <v>14011</v>
      </c>
      <c r="AM10342" t="s">
        <v>88</v>
      </c>
      <c r="AN10342" t="s">
        <v>88</v>
      </c>
      <c r="AO10342" t="s">
        <v>88</v>
      </c>
      <c r="AP10342" t="s">
        <v>88</v>
      </c>
      <c r="AQ10342">
        <v>1</v>
      </c>
      <c r="AR10342" t="s">
        <v>89</v>
      </c>
      <c r="AS10342" t="s">
        <v>90</v>
      </c>
      <c r="AT10342" t="s">
        <v>58</v>
      </c>
      <c r="AU10342" t="s">
        <v>8673</v>
      </c>
      <c r="AV10342" t="s">
        <v>132</v>
      </c>
      <c r="AW10342" s="1">
        <v>29220</v>
      </c>
      <c r="AX10342">
        <v>1</v>
      </c>
    </row>
    <row r="10343" spans="1:50">
      <c r="A10343">
        <v>618446</v>
      </c>
      <c r="B10343" t="str">
        <f>"120241430"</f>
        <v>120241430</v>
      </c>
      <c r="C10343" t="s">
        <v>50</v>
      </c>
      <c r="D10343" t="s">
        <v>3365</v>
      </c>
      <c r="E10343" t="s">
        <v>52</v>
      </c>
      <c r="F10343" t="s">
        <v>99</v>
      </c>
      <c r="G10343" t="s">
        <v>237</v>
      </c>
      <c r="H10343" t="str">
        <f>"ΑΝ. ΓΟΓΟΝΗ 126 ΧΑΝΙΑ"</f>
        <v>ΑΝ. ΓΟΓΟΝΗ 126 ΧΑΝΙΑ</v>
      </c>
      <c r="I10343">
        <v>73100</v>
      </c>
      <c r="J10343">
        <v>2821098584</v>
      </c>
      <c r="K10343">
        <v>6939622654</v>
      </c>
      <c r="N10343" t="s">
        <v>615</v>
      </c>
      <c r="O10343" t="s">
        <v>616</v>
      </c>
      <c r="R10343" t="s">
        <v>57</v>
      </c>
      <c r="S10343">
        <v>5</v>
      </c>
      <c r="T10343">
        <v>774</v>
      </c>
      <c r="U10343" s="1">
        <v>39680</v>
      </c>
      <c r="V10343" t="s">
        <v>89</v>
      </c>
      <c r="W10343" t="s">
        <v>90</v>
      </c>
      <c r="X10343" t="s">
        <v>58</v>
      </c>
      <c r="Y10343">
        <v>23</v>
      </c>
      <c r="Z10343" t="s">
        <v>59</v>
      </c>
      <c r="AA10343" t="s">
        <v>59</v>
      </c>
      <c r="AB10343" t="s">
        <v>59</v>
      </c>
      <c r="AC10343" t="s">
        <v>59</v>
      </c>
      <c r="AD10343" t="s">
        <v>59</v>
      </c>
      <c r="AF10343" s="1">
        <v>39680</v>
      </c>
      <c r="AG10343" t="s">
        <v>8645</v>
      </c>
      <c r="AH10343" t="s">
        <v>8646</v>
      </c>
      <c r="AI10343" t="str">
        <f>"9500160"</f>
        <v>9500160</v>
      </c>
      <c r="AJ10343" t="s">
        <v>14486</v>
      </c>
      <c r="AK10343">
        <v>2821062458</v>
      </c>
      <c r="AL10343" t="s">
        <v>14487</v>
      </c>
      <c r="AM10343" t="s">
        <v>88</v>
      </c>
      <c r="AN10343" t="s">
        <v>6764</v>
      </c>
      <c r="AO10343" t="s">
        <v>6764</v>
      </c>
      <c r="AP10343" t="s">
        <v>14488</v>
      </c>
      <c r="AQ10343">
        <v>5</v>
      </c>
      <c r="AR10343" t="s">
        <v>89</v>
      </c>
      <c r="AS10343" t="s">
        <v>90</v>
      </c>
      <c r="AT10343" t="s">
        <v>58</v>
      </c>
      <c r="AU10343" t="s">
        <v>68</v>
      </c>
      <c r="AV10343" t="s">
        <v>69</v>
      </c>
      <c r="AW10343" s="1">
        <v>30909</v>
      </c>
      <c r="AX10343">
        <v>1</v>
      </c>
    </row>
    <row r="10344" spans="1:50">
      <c r="B10344" t="str">
        <f>"302399673"</f>
        <v>302399673</v>
      </c>
      <c r="C10344" t="s">
        <v>50</v>
      </c>
      <c r="D10344" t="s">
        <v>13559</v>
      </c>
      <c r="E10344" t="s">
        <v>83</v>
      </c>
      <c r="F10344" t="s">
        <v>108</v>
      </c>
      <c r="G10344" t="s">
        <v>1078</v>
      </c>
      <c r="H10344" t="str">
        <f>" "</f>
        <v xml:space="preserve"> </v>
      </c>
      <c r="N10344" t="s">
        <v>615</v>
      </c>
      <c r="O10344" t="s">
        <v>616</v>
      </c>
      <c r="R10344" t="s">
        <v>159</v>
      </c>
      <c r="S10344">
        <v>1</v>
      </c>
      <c r="T10344" t="s">
        <v>8675</v>
      </c>
      <c r="U10344" s="1">
        <v>43348</v>
      </c>
      <c r="V10344" t="s">
        <v>89</v>
      </c>
      <c r="W10344" t="s">
        <v>90</v>
      </c>
      <c r="X10344" t="s">
        <v>58</v>
      </c>
      <c r="Y10344">
        <v>25</v>
      </c>
      <c r="Z10344" t="s">
        <v>59</v>
      </c>
      <c r="AA10344" t="s">
        <v>59</v>
      </c>
      <c r="AB10344" t="s">
        <v>59</v>
      </c>
      <c r="AC10344" t="s">
        <v>59</v>
      </c>
      <c r="AD10344" t="s">
        <v>59</v>
      </c>
      <c r="AF10344" s="1">
        <v>43348</v>
      </c>
      <c r="AG10344" t="s">
        <v>8645</v>
      </c>
      <c r="AH10344" t="s">
        <v>8676</v>
      </c>
      <c r="AI10344" t="str">
        <f>"9500207"</f>
        <v>9500207</v>
      </c>
      <c r="AJ10344" t="s">
        <v>13869</v>
      </c>
      <c r="AK10344">
        <v>2822061217</v>
      </c>
      <c r="AL10344" t="s">
        <v>13870</v>
      </c>
      <c r="AM10344" t="s">
        <v>88</v>
      </c>
      <c r="AN10344" t="s">
        <v>6744</v>
      </c>
      <c r="AO10344" t="s">
        <v>13871</v>
      </c>
      <c r="AP10344" t="s">
        <v>13872</v>
      </c>
      <c r="AQ10344">
        <v>9</v>
      </c>
      <c r="AR10344" t="s">
        <v>89</v>
      </c>
      <c r="AS10344" t="s">
        <v>90</v>
      </c>
      <c r="AT10344" t="s">
        <v>58</v>
      </c>
      <c r="AU10344" t="s">
        <v>8673</v>
      </c>
      <c r="AV10344" t="s">
        <v>132</v>
      </c>
      <c r="AW10344" s="1">
        <v>31315</v>
      </c>
      <c r="AX10344">
        <v>1</v>
      </c>
    </row>
    <row r="10345" spans="1:50">
      <c r="A10345">
        <v>604671</v>
      </c>
      <c r="B10345" t="str">
        <f>"101560784"</f>
        <v>101560784</v>
      </c>
      <c r="C10345" t="s">
        <v>105</v>
      </c>
      <c r="D10345" t="s">
        <v>15252</v>
      </c>
      <c r="E10345" t="s">
        <v>989</v>
      </c>
      <c r="F10345" t="s">
        <v>95</v>
      </c>
      <c r="G10345" t="s">
        <v>1001</v>
      </c>
      <c r="H10345" t="str">
        <f>"Γ. ΧΑΤΖΗΔΑΚΗ 24/Β ΧΑΝΙΑ"</f>
        <v>Γ. ΧΑΤΖΗΔΑΚΗ 24/Β ΧΑΝΙΑ</v>
      </c>
      <c r="I10345">
        <v>73134</v>
      </c>
      <c r="J10345">
        <v>2821059046</v>
      </c>
      <c r="N10345" t="s">
        <v>615</v>
      </c>
      <c r="O10345" t="s">
        <v>616</v>
      </c>
      <c r="R10345" t="s">
        <v>57</v>
      </c>
      <c r="S10345">
        <v>8</v>
      </c>
      <c r="T10345">
        <v>231</v>
      </c>
      <c r="U10345" s="1">
        <v>38230</v>
      </c>
      <c r="V10345" t="s">
        <v>89</v>
      </c>
      <c r="W10345" t="s">
        <v>90</v>
      </c>
      <c r="X10345" t="s">
        <v>58</v>
      </c>
      <c r="Y10345">
        <v>22</v>
      </c>
      <c r="Z10345" t="s">
        <v>59</v>
      </c>
      <c r="AA10345" t="s">
        <v>59</v>
      </c>
      <c r="AB10345" t="s">
        <v>59</v>
      </c>
      <c r="AC10345" t="s">
        <v>59</v>
      </c>
      <c r="AD10345" t="s">
        <v>59</v>
      </c>
      <c r="AF10345" s="1">
        <v>38230</v>
      </c>
      <c r="AG10345" t="s">
        <v>8645</v>
      </c>
      <c r="AH10345" t="s">
        <v>8646</v>
      </c>
      <c r="AI10345" t="str">
        <f>"9500113"</f>
        <v>9500113</v>
      </c>
      <c r="AJ10345" t="s">
        <v>13935</v>
      </c>
      <c r="AK10345">
        <v>2821077187</v>
      </c>
      <c r="AL10345" t="s">
        <v>13936</v>
      </c>
      <c r="AM10345" t="s">
        <v>88</v>
      </c>
      <c r="AN10345" t="s">
        <v>6764</v>
      </c>
      <c r="AO10345" t="s">
        <v>6885</v>
      </c>
      <c r="AP10345" t="s">
        <v>13937</v>
      </c>
      <c r="AQ10345">
        <v>4</v>
      </c>
      <c r="AR10345" t="s">
        <v>89</v>
      </c>
      <c r="AS10345" t="s">
        <v>90</v>
      </c>
      <c r="AT10345" t="s">
        <v>58</v>
      </c>
      <c r="AU10345" t="s">
        <v>68</v>
      </c>
      <c r="AV10345" t="s">
        <v>69</v>
      </c>
      <c r="AW10345" s="1">
        <v>26702</v>
      </c>
      <c r="AX10345">
        <v>1</v>
      </c>
    </row>
    <row r="10346" spans="1:50">
      <c r="A10346">
        <v>622612</v>
      </c>
      <c r="B10346" t="str">
        <f>"136437917"</f>
        <v>136437917</v>
      </c>
      <c r="C10346" t="s">
        <v>50</v>
      </c>
      <c r="D10346" t="s">
        <v>3377</v>
      </c>
      <c r="E10346" t="s">
        <v>352</v>
      </c>
      <c r="F10346" t="s">
        <v>5386</v>
      </c>
      <c r="G10346" t="s">
        <v>255</v>
      </c>
      <c r="H10346" t="str">
        <f>"ΜΑΛΓΑΡΩΝ 5 ΕΛ.ΒΕΝΙΖΕΛΟΥ-ΧΑΝΙΑ"</f>
        <v>ΜΑΛΓΑΡΩΝ 5 ΕΛ.ΒΕΝΙΖΕΛΟΥ-ΧΑΝΙΑ</v>
      </c>
      <c r="I10346">
        <v>73300</v>
      </c>
      <c r="J10346">
        <v>2821094020</v>
      </c>
      <c r="K10346">
        <v>6978536707</v>
      </c>
      <c r="N10346" t="s">
        <v>1525</v>
      </c>
      <c r="O10346" t="s">
        <v>1526</v>
      </c>
      <c r="R10346" t="s">
        <v>57</v>
      </c>
      <c r="S10346">
        <v>4</v>
      </c>
      <c r="T10346">
        <v>653</v>
      </c>
      <c r="U10346" s="1">
        <v>40043</v>
      </c>
      <c r="V10346" t="s">
        <v>89</v>
      </c>
      <c r="W10346" t="s">
        <v>90</v>
      </c>
      <c r="X10346" t="s">
        <v>58</v>
      </c>
      <c r="Y10346">
        <v>25</v>
      </c>
      <c r="Z10346" t="s">
        <v>59</v>
      </c>
      <c r="AA10346" t="s">
        <v>59</v>
      </c>
      <c r="AB10346" t="s">
        <v>59</v>
      </c>
      <c r="AC10346" t="s">
        <v>59</v>
      </c>
      <c r="AD10346" t="s">
        <v>59</v>
      </c>
      <c r="AF10346" s="1">
        <v>40043</v>
      </c>
      <c r="AG10346" t="s">
        <v>8651</v>
      </c>
      <c r="AH10346" t="s">
        <v>8652</v>
      </c>
      <c r="AI10346" t="str">
        <f>"9500298"</f>
        <v>9500298</v>
      </c>
      <c r="AJ10346" t="s">
        <v>15094</v>
      </c>
      <c r="AK10346">
        <v>2821020837</v>
      </c>
      <c r="AL10346" t="s">
        <v>15095</v>
      </c>
      <c r="AM10346" t="s">
        <v>88</v>
      </c>
      <c r="AN10346" t="s">
        <v>88</v>
      </c>
      <c r="AO10346" t="s">
        <v>13920</v>
      </c>
      <c r="AP10346" t="s">
        <v>13996</v>
      </c>
      <c r="AQ10346">
        <v>3</v>
      </c>
      <c r="AR10346" t="s">
        <v>89</v>
      </c>
      <c r="AS10346" t="s">
        <v>90</v>
      </c>
      <c r="AT10346" t="s">
        <v>58</v>
      </c>
      <c r="AU10346" t="s">
        <v>68</v>
      </c>
      <c r="AV10346" t="s">
        <v>69</v>
      </c>
      <c r="AW10346" s="1">
        <v>31815</v>
      </c>
      <c r="AX10346">
        <v>1</v>
      </c>
    </row>
    <row r="10347" spans="1:50">
      <c r="B10347" t="str">
        <f>"143605981"</f>
        <v>143605981</v>
      </c>
      <c r="C10347" t="s">
        <v>50</v>
      </c>
      <c r="D10347" t="s">
        <v>3377</v>
      </c>
      <c r="E10347" t="s">
        <v>15253</v>
      </c>
      <c r="F10347" t="s">
        <v>95</v>
      </c>
      <c r="G10347" t="s">
        <v>52</v>
      </c>
      <c r="H10347" t="str">
        <f>"ΚΙΣΑΜΟΣ "</f>
        <v xml:space="preserve">ΚΙΣΑΜΟΣ </v>
      </c>
      <c r="I10347">
        <v>73400</v>
      </c>
      <c r="J10347">
        <v>2822024209</v>
      </c>
      <c r="K10347">
        <v>6982480037</v>
      </c>
      <c r="N10347" t="s">
        <v>615</v>
      </c>
      <c r="O10347" t="s">
        <v>616</v>
      </c>
      <c r="R10347" t="s">
        <v>159</v>
      </c>
      <c r="S10347">
        <v>2</v>
      </c>
      <c r="T10347" t="s">
        <v>8675</v>
      </c>
      <c r="U10347" s="1">
        <v>43348</v>
      </c>
      <c r="V10347" t="s">
        <v>89</v>
      </c>
      <c r="W10347" t="s">
        <v>90</v>
      </c>
      <c r="X10347" t="s">
        <v>58</v>
      </c>
      <c r="Y10347">
        <v>25</v>
      </c>
      <c r="Z10347" t="s">
        <v>59</v>
      </c>
      <c r="AA10347" t="s">
        <v>59</v>
      </c>
      <c r="AB10347" t="s">
        <v>59</v>
      </c>
      <c r="AC10347" t="s">
        <v>59</v>
      </c>
      <c r="AD10347" t="s">
        <v>59</v>
      </c>
      <c r="AF10347" s="1">
        <v>43348</v>
      </c>
      <c r="AG10347" t="s">
        <v>8645</v>
      </c>
      <c r="AH10347" t="s">
        <v>8676</v>
      </c>
      <c r="AI10347" t="str">
        <f>"9500201"</f>
        <v>9500201</v>
      </c>
      <c r="AJ10347" t="s">
        <v>14636</v>
      </c>
      <c r="AK10347">
        <v>2822041442</v>
      </c>
      <c r="AL10347" t="s">
        <v>14637</v>
      </c>
      <c r="AM10347" t="s">
        <v>88</v>
      </c>
      <c r="AN10347" t="s">
        <v>6744</v>
      </c>
      <c r="AO10347" t="s">
        <v>6744</v>
      </c>
      <c r="AP10347" t="s">
        <v>14526</v>
      </c>
      <c r="AQ10347">
        <v>9</v>
      </c>
      <c r="AR10347" t="s">
        <v>89</v>
      </c>
      <c r="AS10347" t="s">
        <v>90</v>
      </c>
      <c r="AT10347" t="s">
        <v>58</v>
      </c>
      <c r="AU10347" t="s">
        <v>8673</v>
      </c>
      <c r="AV10347" t="s">
        <v>132</v>
      </c>
      <c r="AW10347" s="1">
        <v>32571</v>
      </c>
      <c r="AX10347">
        <v>1</v>
      </c>
    </row>
    <row r="10348" spans="1:50">
      <c r="A10348">
        <v>593076</v>
      </c>
      <c r="B10348" t="str">
        <f>"072280135"</f>
        <v>072280135</v>
      </c>
      <c r="C10348" t="s">
        <v>105</v>
      </c>
      <c r="D10348" t="s">
        <v>3388</v>
      </c>
      <c r="E10348" t="s">
        <v>496</v>
      </c>
      <c r="F10348" t="s">
        <v>95</v>
      </c>
      <c r="G10348" t="s">
        <v>755</v>
      </c>
      <c r="H10348" t="str">
        <f>"ΣΤΑΛΟΣ Ν.ΚΥΔΩΝΙΑΣ"</f>
        <v>ΣΤΑΛΟΣ Ν.ΚΥΔΩΝΙΑΣ</v>
      </c>
      <c r="I10348">
        <v>73100</v>
      </c>
      <c r="K10348">
        <v>6942200423</v>
      </c>
      <c r="M10348" t="s">
        <v>15254</v>
      </c>
      <c r="N10348" t="s">
        <v>615</v>
      </c>
      <c r="O10348" t="s">
        <v>616</v>
      </c>
      <c r="R10348" t="s">
        <v>57</v>
      </c>
      <c r="S10348">
        <v>10</v>
      </c>
      <c r="T10348">
        <v>218</v>
      </c>
      <c r="U10348" s="1">
        <v>37134</v>
      </c>
      <c r="V10348" t="s">
        <v>89</v>
      </c>
      <c r="W10348" t="s">
        <v>90</v>
      </c>
      <c r="X10348" t="s">
        <v>58</v>
      </c>
      <c r="Y10348">
        <v>21</v>
      </c>
      <c r="Z10348" t="s">
        <v>59</v>
      </c>
      <c r="AA10348" t="s">
        <v>59</v>
      </c>
      <c r="AB10348" t="s">
        <v>59</v>
      </c>
      <c r="AC10348" t="s">
        <v>59</v>
      </c>
      <c r="AD10348" t="s">
        <v>59</v>
      </c>
      <c r="AF10348" s="1">
        <v>37134</v>
      </c>
      <c r="AG10348" t="s">
        <v>8645</v>
      </c>
      <c r="AH10348" t="s">
        <v>8646</v>
      </c>
      <c r="AI10348" t="str">
        <f>"9500167"</f>
        <v>9500167</v>
      </c>
      <c r="AJ10348" t="s">
        <v>13922</v>
      </c>
      <c r="AK10348">
        <v>2821068357</v>
      </c>
      <c r="AL10348" t="s">
        <v>13923</v>
      </c>
      <c r="AM10348" t="s">
        <v>88</v>
      </c>
      <c r="AN10348" t="s">
        <v>6764</v>
      </c>
      <c r="AO10348" t="s">
        <v>6764</v>
      </c>
      <c r="AP10348" t="s">
        <v>6764</v>
      </c>
      <c r="AQ10348">
        <v>5</v>
      </c>
      <c r="AR10348" t="s">
        <v>89</v>
      </c>
      <c r="AS10348" t="s">
        <v>90</v>
      </c>
      <c r="AT10348" t="s">
        <v>58</v>
      </c>
      <c r="AU10348" t="s">
        <v>68</v>
      </c>
      <c r="AV10348" t="s">
        <v>69</v>
      </c>
      <c r="AW10348" s="1">
        <v>25906</v>
      </c>
      <c r="AX10348">
        <v>1</v>
      </c>
    </row>
    <row r="10349" spans="1:50">
      <c r="A10349">
        <v>579011</v>
      </c>
      <c r="B10349" t="str">
        <f>"036552142"</f>
        <v>036552142</v>
      </c>
      <c r="C10349" t="s">
        <v>105</v>
      </c>
      <c r="D10349" t="s">
        <v>3388</v>
      </c>
      <c r="E10349" t="s">
        <v>53</v>
      </c>
      <c r="F10349" t="s">
        <v>9532</v>
      </c>
      <c r="G10349" t="s">
        <v>1355</v>
      </c>
      <c r="H10349" t="str">
        <f>"ΠΑΡΟΔΟΣ ΚΑΖΑΝΤΖΑΚΗ ΚΟΥΝΟΥΠΙΔΙΑΝΑ ΑΚΡΩΤΗΡΙΟΥ"</f>
        <v>ΠΑΡΟΔΟΣ ΚΑΖΑΝΤΖΑΚΗ ΚΟΥΝΟΥΠΙΔΙΑΝΑ ΑΚΡΩΤΗΡΙΟΥ</v>
      </c>
      <c r="I10349">
        <v>73100</v>
      </c>
      <c r="J10349">
        <v>2821066773</v>
      </c>
      <c r="K10349">
        <v>6970650229</v>
      </c>
      <c r="N10349" t="s">
        <v>615</v>
      </c>
      <c r="O10349" t="s">
        <v>616</v>
      </c>
      <c r="R10349" t="s">
        <v>57</v>
      </c>
      <c r="S10349">
        <v>13</v>
      </c>
      <c r="T10349">
        <v>165</v>
      </c>
      <c r="U10349" s="1">
        <v>35300</v>
      </c>
      <c r="V10349" t="s">
        <v>89</v>
      </c>
      <c r="W10349" t="s">
        <v>90</v>
      </c>
      <c r="X10349" t="s">
        <v>58</v>
      </c>
      <c r="Y10349">
        <v>21</v>
      </c>
      <c r="Z10349" t="s">
        <v>59</v>
      </c>
      <c r="AA10349" t="s">
        <v>59</v>
      </c>
      <c r="AB10349" t="s">
        <v>59</v>
      </c>
      <c r="AC10349" t="s">
        <v>59</v>
      </c>
      <c r="AD10349" t="s">
        <v>59</v>
      </c>
      <c r="AF10349" s="1">
        <v>35300</v>
      </c>
      <c r="AG10349" t="s">
        <v>8645</v>
      </c>
      <c r="AH10349" t="s">
        <v>8646</v>
      </c>
      <c r="AI10349" t="str">
        <f>"9500093"</f>
        <v>9500093</v>
      </c>
      <c r="AJ10349" t="s">
        <v>13865</v>
      </c>
      <c r="AK10349">
        <v>2821064537</v>
      </c>
      <c r="AL10349" t="s">
        <v>13866</v>
      </c>
      <c r="AM10349" t="s">
        <v>88</v>
      </c>
      <c r="AN10349" t="s">
        <v>88</v>
      </c>
      <c r="AO10349" t="s">
        <v>6770</v>
      </c>
      <c r="AP10349" t="s">
        <v>6771</v>
      </c>
      <c r="AQ10349">
        <v>2</v>
      </c>
      <c r="AR10349" t="s">
        <v>89</v>
      </c>
      <c r="AS10349" t="s">
        <v>90</v>
      </c>
      <c r="AT10349" t="s">
        <v>58</v>
      </c>
      <c r="AU10349" t="s">
        <v>68</v>
      </c>
      <c r="AV10349" t="s">
        <v>69</v>
      </c>
      <c r="AW10349" s="1">
        <v>23261</v>
      </c>
      <c r="AX10349">
        <v>1</v>
      </c>
    </row>
    <row r="10350" spans="1:50">
      <c r="B10350" t="str">
        <f>"063158783"</f>
        <v>063158783</v>
      </c>
      <c r="C10350" t="s">
        <v>50</v>
      </c>
      <c r="D10350" t="s">
        <v>8137</v>
      </c>
      <c r="E10350" t="s">
        <v>5311</v>
      </c>
      <c r="F10350" t="s">
        <v>166</v>
      </c>
      <c r="G10350" t="s">
        <v>3866</v>
      </c>
      <c r="H10350" t="str">
        <f>"ΔΕΥΚΑΛΙΩΝΟΣ 9 ΠΕΡΑΙΑ ΘΕΣΣΑΛΟΝΙΚΗΣ"</f>
        <v>ΔΕΥΚΑΛΙΩΝΟΣ 9 ΠΕΡΑΙΑ ΘΕΣΣΑΛΟΝΙΚΗΣ</v>
      </c>
      <c r="I10350">
        <v>57019</v>
      </c>
      <c r="J10350">
        <v>2392028106</v>
      </c>
      <c r="K10350">
        <v>6979056621</v>
      </c>
      <c r="N10350" t="s">
        <v>1525</v>
      </c>
      <c r="O10350" t="s">
        <v>1526</v>
      </c>
      <c r="R10350" t="s">
        <v>159</v>
      </c>
      <c r="S10350">
        <v>3</v>
      </c>
      <c r="T10350" t="s">
        <v>8670</v>
      </c>
      <c r="U10350" s="1">
        <v>43348</v>
      </c>
      <c r="V10350" t="s">
        <v>89</v>
      </c>
      <c r="W10350" t="s">
        <v>90</v>
      </c>
      <c r="X10350" t="s">
        <v>58</v>
      </c>
      <c r="Y10350">
        <v>25</v>
      </c>
      <c r="Z10350" t="s">
        <v>59</v>
      </c>
      <c r="AA10350" t="s">
        <v>59</v>
      </c>
      <c r="AB10350" t="s">
        <v>59</v>
      </c>
      <c r="AC10350" t="s">
        <v>59</v>
      </c>
      <c r="AD10350" t="s">
        <v>59</v>
      </c>
      <c r="AF10350" s="1">
        <v>43348</v>
      </c>
      <c r="AG10350" t="s">
        <v>8651</v>
      </c>
      <c r="AH10350" t="s">
        <v>8652</v>
      </c>
      <c r="AI10350" t="str">
        <f>"9500400"</f>
        <v>9500400</v>
      </c>
      <c r="AJ10350" t="s">
        <v>14383</v>
      </c>
      <c r="AK10350">
        <v>2821090544</v>
      </c>
      <c r="AL10350" t="s">
        <v>14384</v>
      </c>
      <c r="AM10350" t="s">
        <v>88</v>
      </c>
      <c r="AN10350" t="s">
        <v>88</v>
      </c>
      <c r="AO10350" t="s">
        <v>88</v>
      </c>
      <c r="AP10350" t="s">
        <v>88</v>
      </c>
      <c r="AQ10350">
        <v>2</v>
      </c>
      <c r="AR10350" t="s">
        <v>89</v>
      </c>
      <c r="AS10350" t="s">
        <v>90</v>
      </c>
      <c r="AT10350" t="s">
        <v>58</v>
      </c>
      <c r="AU10350" t="s">
        <v>8673</v>
      </c>
      <c r="AV10350" t="s">
        <v>132</v>
      </c>
      <c r="AW10350" s="1">
        <v>31434</v>
      </c>
      <c r="AX10350">
        <v>1</v>
      </c>
    </row>
    <row r="10351" spans="1:50">
      <c r="A10351">
        <v>597554</v>
      </c>
      <c r="B10351" t="str">
        <f>"061585447"</f>
        <v>061585447</v>
      </c>
      <c r="C10351" t="s">
        <v>50</v>
      </c>
      <c r="D10351" t="s">
        <v>8137</v>
      </c>
      <c r="E10351" t="s">
        <v>3297</v>
      </c>
      <c r="F10351" t="s">
        <v>166</v>
      </c>
      <c r="G10351" t="s">
        <v>3471</v>
      </c>
      <c r="H10351" t="str">
        <f>"ΜΑΚΕΔΟΝΟΜΑΧΩΝ 45 ΧΑΝΙΑ"</f>
        <v>ΜΑΚΕΔΟΝΟΜΑΧΩΝ 45 ΧΑΝΙΑ</v>
      </c>
      <c r="I10351">
        <v>73100</v>
      </c>
      <c r="J10351">
        <v>2821094500</v>
      </c>
      <c r="K10351">
        <v>6974865419</v>
      </c>
      <c r="L10351">
        <v>2821051726</v>
      </c>
      <c r="M10351" t="s">
        <v>15255</v>
      </c>
      <c r="N10351" t="s">
        <v>306</v>
      </c>
      <c r="O10351" t="s">
        <v>307</v>
      </c>
      <c r="R10351" t="s">
        <v>57</v>
      </c>
      <c r="S10351">
        <v>10</v>
      </c>
      <c r="T10351">
        <v>193</v>
      </c>
      <c r="U10351" s="1">
        <v>37497</v>
      </c>
      <c r="V10351" t="s">
        <v>89</v>
      </c>
      <c r="W10351" t="s">
        <v>90</v>
      </c>
      <c r="X10351" t="s">
        <v>58</v>
      </c>
      <c r="Y10351">
        <v>22</v>
      </c>
      <c r="Z10351" t="s">
        <v>59</v>
      </c>
      <c r="AA10351" t="s">
        <v>59</v>
      </c>
      <c r="AB10351" t="s">
        <v>59</v>
      </c>
      <c r="AC10351" t="s">
        <v>59</v>
      </c>
      <c r="AD10351" t="s">
        <v>59</v>
      </c>
      <c r="AF10351" s="1">
        <v>37497</v>
      </c>
      <c r="AG10351" t="s">
        <v>8645</v>
      </c>
      <c r="AH10351" t="s">
        <v>8646</v>
      </c>
      <c r="AI10351" t="str">
        <f>"9500315"</f>
        <v>9500315</v>
      </c>
      <c r="AJ10351" t="s">
        <v>14174</v>
      </c>
      <c r="AK10351">
        <v>2821040565</v>
      </c>
      <c r="AL10351" t="s">
        <v>14175</v>
      </c>
      <c r="AM10351" t="s">
        <v>88</v>
      </c>
      <c r="AN10351" t="s">
        <v>88</v>
      </c>
      <c r="AO10351" t="s">
        <v>88</v>
      </c>
      <c r="AP10351" t="s">
        <v>88</v>
      </c>
      <c r="AQ10351">
        <v>1</v>
      </c>
      <c r="AR10351" t="s">
        <v>89</v>
      </c>
      <c r="AS10351" t="s">
        <v>90</v>
      </c>
      <c r="AT10351" t="s">
        <v>58</v>
      </c>
      <c r="AU10351" t="s">
        <v>68</v>
      </c>
      <c r="AV10351" t="s">
        <v>69</v>
      </c>
      <c r="AW10351" s="1">
        <v>27444</v>
      </c>
      <c r="AX10351">
        <v>1</v>
      </c>
    </row>
    <row r="10352" spans="1:50">
      <c r="B10352" t="str">
        <f>"122106171"</f>
        <v>122106171</v>
      </c>
      <c r="C10352" t="s">
        <v>50</v>
      </c>
      <c r="D10352" t="s">
        <v>5303</v>
      </c>
      <c r="E10352" t="s">
        <v>112</v>
      </c>
      <c r="F10352" t="s">
        <v>315</v>
      </c>
      <c r="G10352" t="s">
        <v>15256</v>
      </c>
      <c r="H10352" t="str">
        <f>" "</f>
        <v xml:space="preserve"> </v>
      </c>
      <c r="K10352">
        <v>6988602663</v>
      </c>
      <c r="N10352" t="s">
        <v>8821</v>
      </c>
      <c r="O10352" t="s">
        <v>8822</v>
      </c>
      <c r="R10352" t="s">
        <v>121</v>
      </c>
      <c r="S10352">
        <v>1</v>
      </c>
      <c r="T10352" t="s">
        <v>8696</v>
      </c>
      <c r="U10352" s="1">
        <v>43348</v>
      </c>
      <c r="V10352" t="s">
        <v>89</v>
      </c>
      <c r="W10352" t="s">
        <v>90</v>
      </c>
      <c r="X10352" t="s">
        <v>58</v>
      </c>
      <c r="Y10352">
        <v>24</v>
      </c>
      <c r="Z10352" t="s">
        <v>59</v>
      </c>
      <c r="AA10352" t="s">
        <v>59</v>
      </c>
      <c r="AB10352" t="s">
        <v>59</v>
      </c>
      <c r="AD10352" t="s">
        <v>59</v>
      </c>
      <c r="AF10352" s="1">
        <v>43348</v>
      </c>
      <c r="AG10352" t="s">
        <v>8645</v>
      </c>
      <c r="AH10352" t="s">
        <v>8697</v>
      </c>
      <c r="AI10352" t="str">
        <f>"9500328"</f>
        <v>9500328</v>
      </c>
      <c r="AJ10352" t="s">
        <v>14283</v>
      </c>
      <c r="AK10352">
        <v>2821097756</v>
      </c>
      <c r="AL10352" t="s">
        <v>14284</v>
      </c>
      <c r="AM10352" t="s">
        <v>88</v>
      </c>
      <c r="AN10352" t="s">
        <v>88</v>
      </c>
      <c r="AO10352" t="s">
        <v>6770</v>
      </c>
      <c r="AP10352" t="s">
        <v>14015</v>
      </c>
      <c r="AQ10352">
        <v>2</v>
      </c>
      <c r="AR10352" t="s">
        <v>89</v>
      </c>
      <c r="AS10352" t="s">
        <v>90</v>
      </c>
      <c r="AT10352" t="s">
        <v>58</v>
      </c>
      <c r="AU10352" t="s">
        <v>350</v>
      </c>
      <c r="AV10352" t="s">
        <v>132</v>
      </c>
      <c r="AW10352" s="1">
        <v>27949</v>
      </c>
      <c r="AX10352">
        <v>1</v>
      </c>
    </row>
    <row r="10353" spans="1:50">
      <c r="A10353">
        <v>619332</v>
      </c>
      <c r="B10353" t="str">
        <f>"127233738"</f>
        <v>127233738</v>
      </c>
      <c r="C10353" t="s">
        <v>50</v>
      </c>
      <c r="D10353" t="s">
        <v>15257</v>
      </c>
      <c r="E10353" t="s">
        <v>181</v>
      </c>
      <c r="F10353" t="s">
        <v>53</v>
      </c>
      <c r="G10353" t="s">
        <v>4390</v>
      </c>
      <c r="H10353" t="str">
        <f>"ΜΑΡΙΑΚΑΚΗ 18 ΧΑΝΙΑ"</f>
        <v>ΜΑΡΙΑΚΑΚΗ 18 ΧΑΝΙΑ</v>
      </c>
      <c r="I10353">
        <v>73100</v>
      </c>
      <c r="J10353">
        <v>2821076040</v>
      </c>
      <c r="K10353">
        <v>6943527793</v>
      </c>
      <c r="M10353" t="s">
        <v>15258</v>
      </c>
      <c r="N10353" t="s">
        <v>1525</v>
      </c>
      <c r="O10353" t="s">
        <v>1526</v>
      </c>
      <c r="R10353" t="s">
        <v>57</v>
      </c>
      <c r="S10353">
        <v>7</v>
      </c>
      <c r="T10353">
        <v>774</v>
      </c>
      <c r="U10353" s="1">
        <v>39680</v>
      </c>
      <c r="V10353" t="s">
        <v>89</v>
      </c>
      <c r="W10353" t="s">
        <v>90</v>
      </c>
      <c r="X10353" t="s">
        <v>58</v>
      </c>
      <c r="Y10353">
        <v>25</v>
      </c>
      <c r="Z10353" t="s">
        <v>59</v>
      </c>
      <c r="AA10353" t="s">
        <v>59</v>
      </c>
      <c r="AB10353" t="s">
        <v>59</v>
      </c>
      <c r="AC10353" t="s">
        <v>59</v>
      </c>
      <c r="AD10353" t="s">
        <v>59</v>
      </c>
      <c r="AF10353" s="1">
        <v>39685</v>
      </c>
      <c r="AG10353" t="s">
        <v>8651</v>
      </c>
      <c r="AH10353" t="s">
        <v>8652</v>
      </c>
      <c r="AI10353" t="str">
        <f>"9500343"</f>
        <v>9500343</v>
      </c>
      <c r="AJ10353" t="s">
        <v>13950</v>
      </c>
      <c r="AK10353">
        <v>2824022284</v>
      </c>
      <c r="AL10353" t="s">
        <v>13951</v>
      </c>
      <c r="AM10353" t="s">
        <v>88</v>
      </c>
      <c r="AN10353" t="s">
        <v>6764</v>
      </c>
      <c r="AO10353" t="s">
        <v>6765</v>
      </c>
      <c r="AP10353" t="s">
        <v>13952</v>
      </c>
      <c r="AQ10353">
        <v>6</v>
      </c>
      <c r="AR10353" t="s">
        <v>89</v>
      </c>
      <c r="AS10353" t="s">
        <v>90</v>
      </c>
      <c r="AT10353" t="s">
        <v>58</v>
      </c>
      <c r="AU10353" t="s">
        <v>68</v>
      </c>
      <c r="AV10353" t="s">
        <v>69</v>
      </c>
      <c r="AW10353" s="1">
        <v>29316</v>
      </c>
      <c r="AX10353">
        <v>1</v>
      </c>
    </row>
    <row r="10354" spans="1:50">
      <c r="B10354" t="str">
        <f>"031693214"</f>
        <v>031693214</v>
      </c>
      <c r="C10354" t="s">
        <v>105</v>
      </c>
      <c r="D10354" t="s">
        <v>15259</v>
      </c>
      <c r="E10354" t="s">
        <v>15260</v>
      </c>
      <c r="F10354" t="s">
        <v>106</v>
      </c>
      <c r="G10354" t="s">
        <v>507</v>
      </c>
      <c r="H10354" t="str">
        <f>" "</f>
        <v xml:space="preserve"> </v>
      </c>
      <c r="N10354" t="s">
        <v>176</v>
      </c>
      <c r="O10354" t="s">
        <v>177</v>
      </c>
      <c r="R10354" t="s">
        <v>57</v>
      </c>
      <c r="S10354">
        <v>14</v>
      </c>
      <c r="T10354" t="s">
        <v>8675</v>
      </c>
      <c r="U10354" s="1">
        <v>43348</v>
      </c>
      <c r="V10354" t="s">
        <v>89</v>
      </c>
      <c r="W10354" t="s">
        <v>90</v>
      </c>
      <c r="X10354" t="s">
        <v>58</v>
      </c>
      <c r="Y10354">
        <v>21</v>
      </c>
      <c r="Z10354" t="s">
        <v>59</v>
      </c>
      <c r="AA10354" t="s">
        <v>59</v>
      </c>
      <c r="AB10354" t="s">
        <v>59</v>
      </c>
      <c r="AC10354" t="s">
        <v>59</v>
      </c>
      <c r="AD10354" t="s">
        <v>59</v>
      </c>
      <c r="AF10354" s="1">
        <v>43348</v>
      </c>
      <c r="AG10354" t="s">
        <v>8645</v>
      </c>
      <c r="AH10354" t="s">
        <v>8646</v>
      </c>
      <c r="AI10354" t="str">
        <f>"9500189"</f>
        <v>9500189</v>
      </c>
      <c r="AJ10354" t="s">
        <v>14038</v>
      </c>
      <c r="AK10354">
        <v>2822022119</v>
      </c>
      <c r="AL10354" t="s">
        <v>14039</v>
      </c>
      <c r="AM10354" t="s">
        <v>88</v>
      </c>
      <c r="AN10354" t="s">
        <v>6744</v>
      </c>
      <c r="AO10354" t="s">
        <v>6744</v>
      </c>
      <c r="AP10354" t="s">
        <v>6744</v>
      </c>
      <c r="AQ10354">
        <v>9</v>
      </c>
      <c r="AR10354" t="s">
        <v>89</v>
      </c>
      <c r="AS10354" t="s">
        <v>90</v>
      </c>
      <c r="AT10354" t="s">
        <v>58</v>
      </c>
      <c r="AU10354" t="s">
        <v>8673</v>
      </c>
      <c r="AV10354" t="s">
        <v>132</v>
      </c>
      <c r="AW10354" s="1">
        <v>22836</v>
      </c>
      <c r="AX10354">
        <v>1</v>
      </c>
    </row>
    <row r="10355" spans="1:50">
      <c r="A10355">
        <v>621638</v>
      </c>
      <c r="B10355" t="str">
        <f>"145972997"</f>
        <v>145972997</v>
      </c>
      <c r="C10355" t="s">
        <v>50</v>
      </c>
      <c r="D10355" t="s">
        <v>15261</v>
      </c>
      <c r="E10355" t="s">
        <v>155</v>
      </c>
      <c r="F10355" t="s">
        <v>72</v>
      </c>
      <c r="G10355" t="s">
        <v>476</v>
      </c>
      <c r="H10355" t="str">
        <f>"ΕΥΡΥΠΙΔΟΥ 26 ΚΑΛΑΜΑΡΙΑΣ-ΘΕΣΣΑΛΟΝΙΚΗ"</f>
        <v>ΕΥΡΥΠΙΔΟΥ 26 ΚΑΛΑΜΑΡΙΑΣ-ΘΕΣΣΑΛΟΝΙΚΗ</v>
      </c>
      <c r="I10355">
        <v>55134</v>
      </c>
      <c r="J10355">
        <v>2310443596</v>
      </c>
      <c r="K10355">
        <v>6938212150</v>
      </c>
      <c r="N10355" t="s">
        <v>615</v>
      </c>
      <c r="O10355" t="s">
        <v>616</v>
      </c>
      <c r="R10355" t="s">
        <v>57</v>
      </c>
      <c r="S10355">
        <v>4</v>
      </c>
      <c r="T10355">
        <v>653</v>
      </c>
      <c r="U10355" s="1">
        <v>40043</v>
      </c>
      <c r="V10355" t="s">
        <v>89</v>
      </c>
      <c r="W10355" t="s">
        <v>90</v>
      </c>
      <c r="X10355" t="s">
        <v>58</v>
      </c>
      <c r="Y10355">
        <v>23</v>
      </c>
      <c r="Z10355" t="s">
        <v>59</v>
      </c>
      <c r="AA10355" t="s">
        <v>59</v>
      </c>
      <c r="AB10355" t="s">
        <v>59</v>
      </c>
      <c r="AC10355" t="s">
        <v>59</v>
      </c>
      <c r="AD10355" t="s">
        <v>59</v>
      </c>
      <c r="AF10355" s="1">
        <v>40045</v>
      </c>
      <c r="AG10355" t="s">
        <v>8645</v>
      </c>
      <c r="AH10355" t="s">
        <v>8646</v>
      </c>
      <c r="AI10355" t="str">
        <f>"9500189"</f>
        <v>9500189</v>
      </c>
      <c r="AJ10355" t="s">
        <v>14038</v>
      </c>
      <c r="AK10355">
        <v>2822022119</v>
      </c>
      <c r="AL10355" t="s">
        <v>14039</v>
      </c>
      <c r="AM10355" t="s">
        <v>88</v>
      </c>
      <c r="AN10355" t="s">
        <v>6744</v>
      </c>
      <c r="AO10355" t="s">
        <v>6744</v>
      </c>
      <c r="AP10355" t="s">
        <v>6744</v>
      </c>
      <c r="AQ10355">
        <v>9</v>
      </c>
      <c r="AR10355" t="s">
        <v>89</v>
      </c>
      <c r="AS10355" t="s">
        <v>90</v>
      </c>
      <c r="AT10355" t="s">
        <v>58</v>
      </c>
      <c r="AU10355" t="s">
        <v>68</v>
      </c>
      <c r="AV10355" t="s">
        <v>69</v>
      </c>
      <c r="AW10355" s="1">
        <v>31511</v>
      </c>
      <c r="AX10355">
        <v>1</v>
      </c>
    </row>
    <row r="10356" spans="1:50">
      <c r="A10356">
        <v>603085</v>
      </c>
      <c r="B10356" t="str">
        <f>"063099742"</f>
        <v>063099742</v>
      </c>
      <c r="C10356" t="s">
        <v>50</v>
      </c>
      <c r="D10356" t="s">
        <v>15262</v>
      </c>
      <c r="E10356" t="s">
        <v>681</v>
      </c>
      <c r="F10356" t="s">
        <v>95</v>
      </c>
      <c r="G10356" t="s">
        <v>52</v>
      </c>
      <c r="H10356" t="str">
        <f>"ΦΟΥΜΗΔΩΝ 36 ΚΡΗΤΗ"</f>
        <v>ΦΟΥΜΗΔΩΝ 36 ΚΡΗΤΗ</v>
      </c>
      <c r="I10356">
        <v>73100</v>
      </c>
      <c r="K10356">
        <v>6942920631</v>
      </c>
      <c r="N10356" t="s">
        <v>1525</v>
      </c>
      <c r="O10356" t="s">
        <v>1526</v>
      </c>
      <c r="R10356" t="s">
        <v>57</v>
      </c>
      <c r="S10356">
        <v>7</v>
      </c>
      <c r="T10356">
        <v>207</v>
      </c>
      <c r="U10356" s="1">
        <v>37866</v>
      </c>
      <c r="V10356" t="s">
        <v>89</v>
      </c>
      <c r="W10356" t="s">
        <v>90</v>
      </c>
      <c r="X10356" t="s">
        <v>58</v>
      </c>
      <c r="Y10356">
        <v>25</v>
      </c>
      <c r="Z10356" t="s">
        <v>59</v>
      </c>
      <c r="AA10356" t="s">
        <v>59</v>
      </c>
      <c r="AB10356" t="s">
        <v>59</v>
      </c>
      <c r="AC10356" t="s">
        <v>59</v>
      </c>
      <c r="AD10356" t="s">
        <v>59</v>
      </c>
      <c r="AF10356" s="1">
        <v>37868</v>
      </c>
      <c r="AG10356" t="s">
        <v>8651</v>
      </c>
      <c r="AH10356" t="s">
        <v>8652</v>
      </c>
      <c r="AI10356" t="str">
        <f>"9500384"</f>
        <v>9500384</v>
      </c>
      <c r="AJ10356" t="s">
        <v>15263</v>
      </c>
      <c r="AK10356">
        <v>2821075886</v>
      </c>
      <c r="AL10356" t="s">
        <v>15264</v>
      </c>
      <c r="AM10356" t="s">
        <v>88</v>
      </c>
      <c r="AN10356" t="s">
        <v>88</v>
      </c>
      <c r="AO10356" t="s">
        <v>13920</v>
      </c>
      <c r="AP10356" t="s">
        <v>13921</v>
      </c>
      <c r="AQ10356">
        <v>3</v>
      </c>
      <c r="AR10356" t="s">
        <v>89</v>
      </c>
      <c r="AS10356" t="s">
        <v>90</v>
      </c>
      <c r="AT10356" t="s">
        <v>58</v>
      </c>
      <c r="AU10356" t="s">
        <v>68</v>
      </c>
      <c r="AV10356" t="s">
        <v>69</v>
      </c>
      <c r="AW10356" s="1">
        <v>26869</v>
      </c>
      <c r="AX10356">
        <v>1</v>
      </c>
    </row>
    <row r="10357" spans="1:50">
      <c r="B10357" t="str">
        <f>"078223477"</f>
        <v>078223477</v>
      </c>
      <c r="C10357" t="s">
        <v>50</v>
      </c>
      <c r="D10357" t="s">
        <v>15265</v>
      </c>
      <c r="E10357" t="s">
        <v>484</v>
      </c>
      <c r="F10357" t="s">
        <v>1328</v>
      </c>
      <c r="G10357" t="s">
        <v>755</v>
      </c>
      <c r="H10357" t="str">
        <f>"ΟΙΚΟΝΟΜΟΥ 18 ΗΡΑΚΛΕΙΟ"</f>
        <v>ΟΙΚΟΝΟΜΟΥ 18 ΗΡΑΚΛΕΙΟ</v>
      </c>
      <c r="I10357">
        <v>71409</v>
      </c>
      <c r="J10357">
        <v>2810232490</v>
      </c>
      <c r="K10357">
        <v>6944746898</v>
      </c>
      <c r="N10357" t="s">
        <v>11371</v>
      </c>
      <c r="O10357" t="s">
        <v>11372</v>
      </c>
      <c r="R10357" t="s">
        <v>57</v>
      </c>
      <c r="S10357">
        <v>6</v>
      </c>
      <c r="T10357" t="s">
        <v>8696</v>
      </c>
      <c r="U10357" s="1">
        <v>43348</v>
      </c>
      <c r="V10357" t="s">
        <v>89</v>
      </c>
      <c r="W10357" t="s">
        <v>90</v>
      </c>
      <c r="X10357" t="s">
        <v>58</v>
      </c>
      <c r="Y10357">
        <v>24</v>
      </c>
      <c r="Z10357" t="s">
        <v>59</v>
      </c>
      <c r="AA10357" t="s">
        <v>59</v>
      </c>
      <c r="AB10357" t="s">
        <v>59</v>
      </c>
      <c r="AC10357" t="s">
        <v>59</v>
      </c>
      <c r="AD10357" t="s">
        <v>59</v>
      </c>
      <c r="AF10357" s="1">
        <v>43348</v>
      </c>
      <c r="AG10357" t="s">
        <v>8645</v>
      </c>
      <c r="AH10357" t="s">
        <v>8697</v>
      </c>
      <c r="AI10357" t="str">
        <f>"9500328"</f>
        <v>9500328</v>
      </c>
      <c r="AJ10357" t="s">
        <v>14283</v>
      </c>
      <c r="AK10357">
        <v>2821097756</v>
      </c>
      <c r="AL10357" t="s">
        <v>14284</v>
      </c>
      <c r="AM10357" t="s">
        <v>88</v>
      </c>
      <c r="AN10357" t="s">
        <v>88</v>
      </c>
      <c r="AO10357" t="s">
        <v>6770</v>
      </c>
      <c r="AP10357" t="s">
        <v>14015</v>
      </c>
      <c r="AQ10357">
        <v>2</v>
      </c>
      <c r="AR10357" t="s">
        <v>89</v>
      </c>
      <c r="AS10357" t="s">
        <v>90</v>
      </c>
      <c r="AT10357" t="s">
        <v>58</v>
      </c>
      <c r="AU10357" t="s">
        <v>350</v>
      </c>
      <c r="AV10357" t="s">
        <v>132</v>
      </c>
      <c r="AW10357" s="1">
        <v>27338</v>
      </c>
      <c r="AX10357">
        <v>1</v>
      </c>
    </row>
    <row r="10358" spans="1:50">
      <c r="A10358">
        <v>606028</v>
      </c>
      <c r="B10358" t="str">
        <f>"054727810"</f>
        <v>054727810</v>
      </c>
      <c r="C10358" t="s">
        <v>50</v>
      </c>
      <c r="D10358" t="s">
        <v>3416</v>
      </c>
      <c r="E10358" t="s">
        <v>263</v>
      </c>
      <c r="F10358" t="s">
        <v>84</v>
      </c>
      <c r="G10358" t="s">
        <v>181</v>
      </c>
      <c r="H10358" t="str">
        <f>" "</f>
        <v xml:space="preserve"> </v>
      </c>
      <c r="J10358">
        <v>2825022398</v>
      </c>
      <c r="K10358">
        <v>6947001910</v>
      </c>
      <c r="N10358" t="s">
        <v>1525</v>
      </c>
      <c r="O10358" t="s">
        <v>1526</v>
      </c>
      <c r="R10358" t="s">
        <v>57</v>
      </c>
      <c r="S10358">
        <v>10</v>
      </c>
      <c r="T10358">
        <v>231</v>
      </c>
      <c r="U10358" s="1">
        <v>38230</v>
      </c>
      <c r="V10358" t="s">
        <v>89</v>
      </c>
      <c r="W10358" t="s">
        <v>90</v>
      </c>
      <c r="X10358" t="s">
        <v>58</v>
      </c>
      <c r="Y10358">
        <v>25</v>
      </c>
      <c r="Z10358" t="s">
        <v>59</v>
      </c>
      <c r="AA10358" t="s">
        <v>59</v>
      </c>
      <c r="AB10358" t="s">
        <v>59</v>
      </c>
      <c r="AC10358" t="s">
        <v>59</v>
      </c>
      <c r="AD10358" t="s">
        <v>59</v>
      </c>
      <c r="AF10358" s="1">
        <v>38230</v>
      </c>
      <c r="AG10358" t="s">
        <v>8651</v>
      </c>
      <c r="AH10358" t="s">
        <v>8652</v>
      </c>
      <c r="AI10358" t="str">
        <f>"9500362"</f>
        <v>9500362</v>
      </c>
      <c r="AJ10358" t="s">
        <v>14363</v>
      </c>
      <c r="AK10358">
        <v>2825022337</v>
      </c>
      <c r="AL10358" t="s">
        <v>14364</v>
      </c>
      <c r="AM10358" t="s">
        <v>88</v>
      </c>
      <c r="AN10358" t="s">
        <v>6775</v>
      </c>
      <c r="AO10358" t="s">
        <v>6776</v>
      </c>
      <c r="AP10358" t="s">
        <v>6776</v>
      </c>
      <c r="AQ10358">
        <v>7</v>
      </c>
      <c r="AR10358" t="s">
        <v>89</v>
      </c>
      <c r="AS10358" t="s">
        <v>90</v>
      </c>
      <c r="AT10358" t="s">
        <v>58</v>
      </c>
      <c r="AU10358" t="s">
        <v>68</v>
      </c>
      <c r="AV10358" t="s">
        <v>69</v>
      </c>
      <c r="AW10358" s="1">
        <v>22976</v>
      </c>
      <c r="AX10358">
        <v>1</v>
      </c>
    </row>
    <row r="10359" spans="1:50">
      <c r="A10359">
        <v>617228</v>
      </c>
      <c r="B10359" t="str">
        <f>"136436343"</f>
        <v>136436343</v>
      </c>
      <c r="C10359" t="s">
        <v>50</v>
      </c>
      <c r="D10359" t="s">
        <v>3416</v>
      </c>
      <c r="E10359" t="s">
        <v>250</v>
      </c>
      <c r="F10359" t="s">
        <v>1357</v>
      </c>
      <c r="G10359" t="s">
        <v>237</v>
      </c>
      <c r="H10359" t="str">
        <f>"ΚΑΛΥΒΕΣ  ΑΠΟΚΟΡΩΝΟΥ ΧΑΝΙΑ"</f>
        <v>ΚΑΛΥΒΕΣ  ΑΠΟΚΟΡΩΝΟΥ ΧΑΝΙΑ</v>
      </c>
      <c r="I10359">
        <v>73003</v>
      </c>
      <c r="J10359">
        <v>2825031462</v>
      </c>
      <c r="K10359">
        <v>6973353192</v>
      </c>
      <c r="M10359" t="s">
        <v>15266</v>
      </c>
      <c r="N10359" t="s">
        <v>615</v>
      </c>
      <c r="O10359" t="s">
        <v>616</v>
      </c>
      <c r="R10359" t="s">
        <v>57</v>
      </c>
      <c r="S10359">
        <v>6</v>
      </c>
      <c r="T10359">
        <v>774</v>
      </c>
      <c r="U10359" s="1">
        <v>39680</v>
      </c>
      <c r="V10359" t="s">
        <v>89</v>
      </c>
      <c r="W10359" t="s">
        <v>90</v>
      </c>
      <c r="X10359" t="s">
        <v>58</v>
      </c>
      <c r="Y10359">
        <v>23</v>
      </c>
      <c r="Z10359" t="s">
        <v>59</v>
      </c>
      <c r="AA10359" t="s">
        <v>59</v>
      </c>
      <c r="AB10359" t="s">
        <v>59</v>
      </c>
      <c r="AC10359" t="s">
        <v>59</v>
      </c>
      <c r="AD10359" t="s">
        <v>59</v>
      </c>
      <c r="AF10359" s="1">
        <v>39681</v>
      </c>
      <c r="AG10359" t="s">
        <v>8645</v>
      </c>
      <c r="AH10359" t="s">
        <v>8646</v>
      </c>
      <c r="AI10359" t="str">
        <f>"9500024"</f>
        <v>9500024</v>
      </c>
      <c r="AJ10359" t="s">
        <v>13856</v>
      </c>
      <c r="AK10359">
        <v>2825041345</v>
      </c>
      <c r="AL10359" t="s">
        <v>13857</v>
      </c>
      <c r="AM10359" t="s">
        <v>88</v>
      </c>
      <c r="AN10359" t="s">
        <v>6775</v>
      </c>
      <c r="AO10359" t="s">
        <v>11883</v>
      </c>
      <c r="AP10359" t="s">
        <v>13858</v>
      </c>
      <c r="AQ10359">
        <v>7</v>
      </c>
      <c r="AR10359" t="s">
        <v>89</v>
      </c>
      <c r="AS10359" t="s">
        <v>90</v>
      </c>
      <c r="AT10359" t="s">
        <v>58</v>
      </c>
      <c r="AU10359" t="s">
        <v>68</v>
      </c>
      <c r="AV10359" t="s">
        <v>69</v>
      </c>
      <c r="AW10359" s="1">
        <v>30151</v>
      </c>
      <c r="AX10359">
        <v>1</v>
      </c>
    </row>
    <row r="10360" spans="1:50">
      <c r="B10360" t="str">
        <f>"113189318"</f>
        <v>113189318</v>
      </c>
      <c r="C10360" t="s">
        <v>50</v>
      </c>
      <c r="D10360" t="s">
        <v>3416</v>
      </c>
      <c r="E10360" t="s">
        <v>340</v>
      </c>
      <c r="F10360" t="s">
        <v>166</v>
      </c>
      <c r="G10360" t="s">
        <v>600</v>
      </c>
      <c r="H10360" t="str">
        <f>"ΟΥΕΛΙΓΚΤΟΝ 7 "</f>
        <v xml:space="preserve">ΟΥΕΛΙΓΚΤΟΝ 7 </v>
      </c>
      <c r="I10360">
        <v>73100</v>
      </c>
      <c r="J10360">
        <v>2821093067</v>
      </c>
      <c r="K10360">
        <v>6973240047</v>
      </c>
      <c r="N10360" t="s">
        <v>615</v>
      </c>
      <c r="O10360" t="s">
        <v>616</v>
      </c>
      <c r="R10360" t="s">
        <v>159</v>
      </c>
      <c r="S10360">
        <v>3</v>
      </c>
      <c r="T10360" t="s">
        <v>8675</v>
      </c>
      <c r="U10360" s="1">
        <v>43348</v>
      </c>
      <c r="V10360" t="s">
        <v>89</v>
      </c>
      <c r="W10360" t="s">
        <v>90</v>
      </c>
      <c r="X10360" t="s">
        <v>58</v>
      </c>
      <c r="Y10360">
        <v>24</v>
      </c>
      <c r="Z10360" t="s">
        <v>59</v>
      </c>
      <c r="AA10360" t="s">
        <v>59</v>
      </c>
      <c r="AB10360" t="s">
        <v>59</v>
      </c>
      <c r="AC10360" t="s">
        <v>59</v>
      </c>
      <c r="AD10360" t="s">
        <v>59</v>
      </c>
      <c r="AF10360" s="1">
        <v>43348</v>
      </c>
      <c r="AG10360" t="s">
        <v>8645</v>
      </c>
      <c r="AH10360" t="s">
        <v>8646</v>
      </c>
      <c r="AI10360" t="str">
        <f>"9500148"</f>
        <v>9500148</v>
      </c>
      <c r="AJ10360" t="s">
        <v>13851</v>
      </c>
      <c r="AK10360">
        <v>2821068328</v>
      </c>
      <c r="AL10360" t="s">
        <v>13852</v>
      </c>
      <c r="AM10360" t="s">
        <v>88</v>
      </c>
      <c r="AN10360" t="s">
        <v>88</v>
      </c>
      <c r="AO10360" t="s">
        <v>6785</v>
      </c>
      <c r="AP10360" t="s">
        <v>13853</v>
      </c>
      <c r="AQ10360">
        <v>3</v>
      </c>
      <c r="AR10360" t="s">
        <v>89</v>
      </c>
      <c r="AS10360" t="s">
        <v>90</v>
      </c>
      <c r="AT10360" t="s">
        <v>58</v>
      </c>
      <c r="AU10360" t="s">
        <v>8673</v>
      </c>
      <c r="AV10360" t="s">
        <v>132</v>
      </c>
      <c r="AW10360" s="1">
        <v>30575</v>
      </c>
      <c r="AX10360">
        <v>1</v>
      </c>
    </row>
    <row r="10361" spans="1:50">
      <c r="B10361" t="str">
        <f>"120227890"</f>
        <v>120227890</v>
      </c>
      <c r="C10361" t="s">
        <v>50</v>
      </c>
      <c r="D10361" t="s">
        <v>15267</v>
      </c>
      <c r="E10361" t="s">
        <v>109</v>
      </c>
      <c r="F10361" t="s">
        <v>84</v>
      </c>
      <c r="G10361" t="s">
        <v>1440</v>
      </c>
      <c r="H10361" t="str">
        <f>" "</f>
        <v xml:space="preserve"> </v>
      </c>
      <c r="K10361">
        <v>6948552531</v>
      </c>
      <c r="N10361" t="s">
        <v>8694</v>
      </c>
      <c r="O10361" t="s">
        <v>8695</v>
      </c>
      <c r="R10361" t="s">
        <v>159</v>
      </c>
      <c r="S10361">
        <v>1</v>
      </c>
      <c r="T10361" t="s">
        <v>8696</v>
      </c>
      <c r="U10361" s="1">
        <v>43348</v>
      </c>
      <c r="V10361" t="s">
        <v>89</v>
      </c>
      <c r="W10361" t="s">
        <v>90</v>
      </c>
      <c r="X10361" t="s">
        <v>58</v>
      </c>
      <c r="Y10361">
        <v>24</v>
      </c>
      <c r="Z10361" t="s">
        <v>59</v>
      </c>
      <c r="AA10361" t="s">
        <v>59</v>
      </c>
      <c r="AB10361" t="s">
        <v>59</v>
      </c>
      <c r="AD10361" t="s">
        <v>59</v>
      </c>
      <c r="AF10361" s="1">
        <v>43348</v>
      </c>
      <c r="AG10361" t="s">
        <v>8645</v>
      </c>
      <c r="AH10361" t="s">
        <v>8697</v>
      </c>
      <c r="AI10361" t="str">
        <f>"9500424"</f>
        <v>9500424</v>
      </c>
      <c r="AJ10361" t="s">
        <v>14232</v>
      </c>
      <c r="AK10361">
        <v>2821044022</v>
      </c>
      <c r="AL10361" t="s">
        <v>14233</v>
      </c>
      <c r="AM10361" t="s">
        <v>88</v>
      </c>
      <c r="AN10361" t="s">
        <v>88</v>
      </c>
      <c r="AO10361" t="s">
        <v>88</v>
      </c>
      <c r="AP10361" t="s">
        <v>88</v>
      </c>
      <c r="AQ10361">
        <v>1</v>
      </c>
      <c r="AR10361" t="s">
        <v>89</v>
      </c>
      <c r="AS10361" t="s">
        <v>90</v>
      </c>
      <c r="AT10361" t="s">
        <v>58</v>
      </c>
      <c r="AU10361" t="s">
        <v>350</v>
      </c>
      <c r="AV10361" t="s">
        <v>132</v>
      </c>
      <c r="AW10361" s="1">
        <v>33696</v>
      </c>
      <c r="AX10361">
        <v>1</v>
      </c>
    </row>
    <row r="10362" spans="1:50">
      <c r="A10362">
        <v>620497</v>
      </c>
      <c r="B10362" t="str">
        <f>"136423716"</f>
        <v>136423716</v>
      </c>
      <c r="C10362" t="s">
        <v>50</v>
      </c>
      <c r="D10362" t="s">
        <v>15268</v>
      </c>
      <c r="E10362" t="s">
        <v>3174</v>
      </c>
      <c r="F10362" t="s">
        <v>166</v>
      </c>
      <c r="G10362" t="s">
        <v>250</v>
      </c>
      <c r="H10362" t="str">
        <f>"ΣΤΥΛΟΣ ΑΠΟΚΟΡΩΝΟΥ ΧΑΝΙΑ"</f>
        <v>ΣΤΥΛΟΣ ΑΠΟΚΟΡΩΝΟΥ ΧΑΝΙΑ</v>
      </c>
      <c r="I10362">
        <v>73003</v>
      </c>
      <c r="K10362">
        <v>6976049252</v>
      </c>
      <c r="N10362" t="s">
        <v>615</v>
      </c>
      <c r="O10362" t="s">
        <v>616</v>
      </c>
      <c r="R10362" t="s">
        <v>57</v>
      </c>
      <c r="S10362">
        <v>5</v>
      </c>
      <c r="T10362">
        <v>653</v>
      </c>
      <c r="U10362" s="1">
        <v>40043</v>
      </c>
      <c r="V10362" t="s">
        <v>89</v>
      </c>
      <c r="W10362" t="s">
        <v>90</v>
      </c>
      <c r="X10362" t="s">
        <v>58</v>
      </c>
      <c r="Y10362">
        <v>23</v>
      </c>
      <c r="Z10362" t="s">
        <v>59</v>
      </c>
      <c r="AA10362" t="s">
        <v>59</v>
      </c>
      <c r="AB10362" t="s">
        <v>59</v>
      </c>
      <c r="AC10362" t="s">
        <v>59</v>
      </c>
      <c r="AD10362" t="s">
        <v>59</v>
      </c>
      <c r="AF10362" s="1">
        <v>40045</v>
      </c>
      <c r="AG10362" t="s">
        <v>8645</v>
      </c>
      <c r="AH10362" t="s">
        <v>8646</v>
      </c>
      <c r="AI10362" t="str">
        <f>"9500017"</f>
        <v>9500017</v>
      </c>
      <c r="AJ10362" t="s">
        <v>13873</v>
      </c>
      <c r="AK10362">
        <v>2825083173</v>
      </c>
      <c r="AL10362" t="s">
        <v>13874</v>
      </c>
      <c r="AM10362" t="s">
        <v>88</v>
      </c>
      <c r="AN10362" t="s">
        <v>6775</v>
      </c>
      <c r="AO10362" t="s">
        <v>11883</v>
      </c>
      <c r="AP10362" t="s">
        <v>13875</v>
      </c>
      <c r="AQ10362">
        <v>7</v>
      </c>
      <c r="AR10362" t="s">
        <v>89</v>
      </c>
      <c r="AS10362" t="s">
        <v>90</v>
      </c>
      <c r="AT10362" t="s">
        <v>58</v>
      </c>
      <c r="AU10362" t="s">
        <v>68</v>
      </c>
      <c r="AV10362" t="s">
        <v>69</v>
      </c>
      <c r="AW10362" s="1">
        <v>31045</v>
      </c>
      <c r="AX10362">
        <v>1</v>
      </c>
    </row>
    <row r="10363" spans="1:50">
      <c r="B10363" t="str">
        <f>"131480840"</f>
        <v>131480840</v>
      </c>
      <c r="C10363" t="s">
        <v>50</v>
      </c>
      <c r="D10363" t="s">
        <v>15268</v>
      </c>
      <c r="E10363" t="s">
        <v>181</v>
      </c>
      <c r="F10363" t="s">
        <v>166</v>
      </c>
      <c r="H10363" t="str">
        <f>" "</f>
        <v xml:space="preserve"> </v>
      </c>
      <c r="N10363" t="s">
        <v>1525</v>
      </c>
      <c r="O10363" t="s">
        <v>1526</v>
      </c>
      <c r="R10363" t="s">
        <v>159</v>
      </c>
      <c r="S10363">
        <v>2</v>
      </c>
      <c r="T10363" t="s">
        <v>8670</v>
      </c>
      <c r="U10363" s="1">
        <v>43348</v>
      </c>
      <c r="V10363" t="s">
        <v>89</v>
      </c>
      <c r="W10363" t="s">
        <v>90</v>
      </c>
      <c r="X10363" t="s">
        <v>58</v>
      </c>
      <c r="Y10363">
        <v>25</v>
      </c>
      <c r="Z10363" t="s">
        <v>59</v>
      </c>
      <c r="AA10363" t="s">
        <v>59</v>
      </c>
      <c r="AB10363" t="s">
        <v>59</v>
      </c>
      <c r="AC10363" t="s">
        <v>59</v>
      </c>
      <c r="AD10363" t="s">
        <v>59</v>
      </c>
      <c r="AF10363" s="1">
        <v>43348</v>
      </c>
      <c r="AG10363" t="s">
        <v>8651</v>
      </c>
      <c r="AH10363" t="s">
        <v>8652</v>
      </c>
      <c r="AI10363" t="str">
        <f>"9500007"</f>
        <v>9500007</v>
      </c>
      <c r="AJ10363" t="s">
        <v>13924</v>
      </c>
      <c r="AK10363">
        <v>2825051704</v>
      </c>
      <c r="AL10363" t="s">
        <v>13925</v>
      </c>
      <c r="AM10363" t="s">
        <v>88</v>
      </c>
      <c r="AN10363" t="s">
        <v>6775</v>
      </c>
      <c r="AO10363" t="s">
        <v>6781</v>
      </c>
      <c r="AP10363" t="s">
        <v>6782</v>
      </c>
      <c r="AQ10363">
        <v>8</v>
      </c>
      <c r="AR10363" t="s">
        <v>89</v>
      </c>
      <c r="AS10363" t="s">
        <v>90</v>
      </c>
      <c r="AT10363" t="s">
        <v>58</v>
      </c>
      <c r="AU10363" t="s">
        <v>8673</v>
      </c>
      <c r="AV10363" t="s">
        <v>132</v>
      </c>
      <c r="AW10363" s="1">
        <v>30571</v>
      </c>
      <c r="AX10363">
        <v>1</v>
      </c>
    </row>
    <row r="10364" spans="1:50">
      <c r="A10364">
        <v>558560</v>
      </c>
      <c r="B10364" t="str">
        <f>"100632891"</f>
        <v>100632891</v>
      </c>
      <c r="C10364" t="s">
        <v>50</v>
      </c>
      <c r="D10364" t="s">
        <v>15269</v>
      </c>
      <c r="E10364" t="s">
        <v>671</v>
      </c>
      <c r="F10364" t="s">
        <v>450</v>
      </c>
      <c r="G10364" t="s">
        <v>73</v>
      </c>
      <c r="H10364" t="str">
        <f>"ΓΑΒΑΛΟΧΩΡΙ - ΑΠΟΚΟΡΩΝΑΣ ΒΑΜΟΣ"</f>
        <v>ΓΑΒΑΛΟΧΩΡΙ - ΑΠΟΚΟΡΩΝΑΣ ΒΑΜΟΣ</v>
      </c>
      <c r="I10364">
        <v>73008</v>
      </c>
      <c r="J10364">
        <v>2825022164</v>
      </c>
      <c r="K10364">
        <v>6943701723</v>
      </c>
      <c r="N10364" t="s">
        <v>615</v>
      </c>
      <c r="O10364" t="s">
        <v>616</v>
      </c>
      <c r="R10364" t="s">
        <v>57</v>
      </c>
      <c r="S10364">
        <v>16</v>
      </c>
      <c r="T10364">
        <v>168</v>
      </c>
      <c r="U10364" s="1">
        <v>32010</v>
      </c>
      <c r="V10364" t="s">
        <v>89</v>
      </c>
      <c r="W10364" t="s">
        <v>90</v>
      </c>
      <c r="X10364" t="s">
        <v>58</v>
      </c>
      <c r="Y10364">
        <v>21</v>
      </c>
      <c r="Z10364" t="s">
        <v>59</v>
      </c>
      <c r="AA10364" t="s">
        <v>59</v>
      </c>
      <c r="AB10364" t="s">
        <v>59</v>
      </c>
      <c r="AC10364" t="s">
        <v>59</v>
      </c>
      <c r="AD10364" t="s">
        <v>59</v>
      </c>
      <c r="AF10364" s="1">
        <v>32010</v>
      </c>
      <c r="AG10364" t="s">
        <v>8645</v>
      </c>
      <c r="AH10364" t="s">
        <v>8646</v>
      </c>
      <c r="AI10364" t="str">
        <f>"9500004"</f>
        <v>9500004</v>
      </c>
      <c r="AJ10364" t="s">
        <v>13897</v>
      </c>
      <c r="AK10364">
        <v>2825022272</v>
      </c>
      <c r="AL10364" t="s">
        <v>13898</v>
      </c>
      <c r="AM10364" t="s">
        <v>88</v>
      </c>
      <c r="AN10364" t="s">
        <v>6775</v>
      </c>
      <c r="AO10364" t="s">
        <v>6776</v>
      </c>
      <c r="AP10364" t="s">
        <v>6776</v>
      </c>
      <c r="AQ10364">
        <v>7</v>
      </c>
      <c r="AR10364" t="s">
        <v>89</v>
      </c>
      <c r="AS10364" t="s">
        <v>90</v>
      </c>
      <c r="AT10364" t="s">
        <v>58</v>
      </c>
      <c r="AU10364" t="s">
        <v>68</v>
      </c>
      <c r="AV10364" t="s">
        <v>69</v>
      </c>
      <c r="AW10364" s="1">
        <v>23580</v>
      </c>
      <c r="AX10364">
        <v>1</v>
      </c>
    </row>
    <row r="10365" spans="1:50">
      <c r="A10365">
        <v>611493</v>
      </c>
      <c r="B10365" t="str">
        <f>"120235839"</f>
        <v>120235839</v>
      </c>
      <c r="C10365" t="s">
        <v>50</v>
      </c>
      <c r="D10365" t="s">
        <v>15270</v>
      </c>
      <c r="E10365" t="s">
        <v>367</v>
      </c>
      <c r="F10365" t="s">
        <v>84</v>
      </c>
      <c r="G10365" t="s">
        <v>834</v>
      </c>
      <c r="H10365" t="str">
        <f>"Σ.ΚΡΟΚΙΔΑ 67 ΧΑΝΙΑ"</f>
        <v>Σ.ΚΡΟΚΙΔΑ 67 ΧΑΝΙΑ</v>
      </c>
      <c r="I10365">
        <v>73133</v>
      </c>
      <c r="J10365">
        <v>2821046251</v>
      </c>
      <c r="K10365">
        <v>6986427966</v>
      </c>
      <c r="N10365" t="s">
        <v>1525</v>
      </c>
      <c r="O10365" t="s">
        <v>1526</v>
      </c>
      <c r="R10365" t="s">
        <v>57</v>
      </c>
      <c r="S10365">
        <v>7</v>
      </c>
      <c r="T10365">
        <v>233</v>
      </c>
      <c r="U10365" s="1">
        <v>38960</v>
      </c>
      <c r="V10365" t="s">
        <v>89</v>
      </c>
      <c r="W10365" t="s">
        <v>90</v>
      </c>
      <c r="X10365" t="s">
        <v>58</v>
      </c>
      <c r="Y10365">
        <v>25</v>
      </c>
      <c r="Z10365" t="s">
        <v>59</v>
      </c>
      <c r="AA10365" t="s">
        <v>59</v>
      </c>
      <c r="AB10365" t="s">
        <v>59</v>
      </c>
      <c r="AC10365" t="s">
        <v>59</v>
      </c>
      <c r="AD10365" t="s">
        <v>59</v>
      </c>
      <c r="AF10365" s="1">
        <v>38961</v>
      </c>
      <c r="AG10365" t="s">
        <v>8651</v>
      </c>
      <c r="AH10365" t="s">
        <v>8652</v>
      </c>
      <c r="AI10365" t="str">
        <f>"9500377"</f>
        <v>9500377</v>
      </c>
      <c r="AJ10365" t="s">
        <v>15043</v>
      </c>
      <c r="AK10365">
        <v>2821056880</v>
      </c>
      <c r="AL10365" t="s">
        <v>15044</v>
      </c>
      <c r="AM10365" t="s">
        <v>88</v>
      </c>
      <c r="AN10365" t="s">
        <v>88</v>
      </c>
      <c r="AO10365" t="s">
        <v>88</v>
      </c>
      <c r="AP10365" t="s">
        <v>88</v>
      </c>
      <c r="AQ10365">
        <v>1</v>
      </c>
      <c r="AR10365" t="s">
        <v>89</v>
      </c>
      <c r="AS10365" t="s">
        <v>90</v>
      </c>
      <c r="AT10365" t="s">
        <v>58</v>
      </c>
      <c r="AU10365" t="s">
        <v>68</v>
      </c>
      <c r="AV10365" t="s">
        <v>69</v>
      </c>
      <c r="AW10365" s="1">
        <v>28522</v>
      </c>
      <c r="AX10365">
        <v>1</v>
      </c>
    </row>
    <row r="10366" spans="1:50">
      <c r="A10366">
        <v>557231</v>
      </c>
      <c r="B10366" t="str">
        <f>"028389973"</f>
        <v>028389973</v>
      </c>
      <c r="C10366" t="s">
        <v>50</v>
      </c>
      <c r="D10366" t="s">
        <v>15271</v>
      </c>
      <c r="E10366" t="s">
        <v>580</v>
      </c>
      <c r="F10366" t="s">
        <v>72</v>
      </c>
      <c r="G10366" t="s">
        <v>114</v>
      </c>
      <c r="H10366" t="str">
        <f>" "</f>
        <v xml:space="preserve"> </v>
      </c>
      <c r="N10366" t="s">
        <v>615</v>
      </c>
      <c r="O10366" t="s">
        <v>616</v>
      </c>
      <c r="R10366" t="s">
        <v>57</v>
      </c>
      <c r="S10366">
        <v>16</v>
      </c>
      <c r="T10366">
        <v>168</v>
      </c>
      <c r="U10366" s="1">
        <v>32010</v>
      </c>
      <c r="V10366" t="s">
        <v>89</v>
      </c>
      <c r="W10366" t="s">
        <v>90</v>
      </c>
      <c r="X10366" t="s">
        <v>58</v>
      </c>
      <c r="Y10366">
        <v>21</v>
      </c>
      <c r="Z10366" t="s">
        <v>59</v>
      </c>
      <c r="AA10366" t="s">
        <v>59</v>
      </c>
      <c r="AB10366" t="s">
        <v>59</v>
      </c>
      <c r="AC10366" t="s">
        <v>59</v>
      </c>
      <c r="AD10366" t="s">
        <v>59</v>
      </c>
      <c r="AF10366" s="1">
        <v>32010</v>
      </c>
      <c r="AG10366" t="s">
        <v>8645</v>
      </c>
      <c r="AH10366" t="s">
        <v>8646</v>
      </c>
      <c r="AI10366" t="str">
        <f>"9500167"</f>
        <v>9500167</v>
      </c>
      <c r="AJ10366" t="s">
        <v>13922</v>
      </c>
      <c r="AK10366">
        <v>2821068357</v>
      </c>
      <c r="AL10366" t="s">
        <v>13923</v>
      </c>
      <c r="AM10366" t="s">
        <v>88</v>
      </c>
      <c r="AN10366" t="s">
        <v>6764</v>
      </c>
      <c r="AO10366" t="s">
        <v>6764</v>
      </c>
      <c r="AP10366" t="s">
        <v>6764</v>
      </c>
      <c r="AQ10366">
        <v>5</v>
      </c>
      <c r="AR10366" t="s">
        <v>89</v>
      </c>
      <c r="AS10366" t="s">
        <v>90</v>
      </c>
      <c r="AT10366" t="s">
        <v>58</v>
      </c>
      <c r="AU10366" t="s">
        <v>68</v>
      </c>
      <c r="AV10366" t="s">
        <v>69</v>
      </c>
      <c r="AW10366" s="1">
        <v>23302</v>
      </c>
      <c r="AX10366">
        <v>1</v>
      </c>
    </row>
    <row r="10367" spans="1:50">
      <c r="A10367">
        <v>615954</v>
      </c>
      <c r="B10367" t="str">
        <f>"038114832"</f>
        <v>038114832</v>
      </c>
      <c r="C10367" t="s">
        <v>105</v>
      </c>
      <c r="D10367" t="s">
        <v>13579</v>
      </c>
      <c r="E10367" t="s">
        <v>154</v>
      </c>
      <c r="F10367" t="s">
        <v>95</v>
      </c>
      <c r="G10367" t="s">
        <v>658</v>
      </c>
      <c r="H10367" t="str">
        <f>"ΧΙΩΤΑΚΗ 7 ΧΑΝΙΑ"</f>
        <v>ΧΙΩΤΑΚΗ 7 ΧΑΝΙΑ</v>
      </c>
      <c r="I10367">
        <v>73134</v>
      </c>
      <c r="J10367">
        <v>2821040725</v>
      </c>
      <c r="K10367">
        <v>6995295597</v>
      </c>
      <c r="N10367" t="s">
        <v>176</v>
      </c>
      <c r="O10367" t="s">
        <v>177</v>
      </c>
      <c r="R10367" t="s">
        <v>57</v>
      </c>
      <c r="S10367">
        <v>7</v>
      </c>
      <c r="T10367">
        <v>600</v>
      </c>
      <c r="U10367" s="1">
        <v>39310</v>
      </c>
      <c r="V10367" t="s">
        <v>89</v>
      </c>
      <c r="W10367" t="s">
        <v>90</v>
      </c>
      <c r="X10367" t="s">
        <v>58</v>
      </c>
      <c r="Y10367">
        <v>22</v>
      </c>
      <c r="Z10367" t="s">
        <v>59</v>
      </c>
      <c r="AA10367" t="s">
        <v>59</v>
      </c>
      <c r="AB10367" t="s">
        <v>59</v>
      </c>
      <c r="AC10367" t="s">
        <v>59</v>
      </c>
      <c r="AD10367" t="s">
        <v>59</v>
      </c>
      <c r="AF10367" s="1">
        <v>39310</v>
      </c>
      <c r="AG10367" t="s">
        <v>8645</v>
      </c>
      <c r="AH10367" t="s">
        <v>8646</v>
      </c>
      <c r="AI10367" t="str">
        <f>"9500153"</f>
        <v>9500153</v>
      </c>
      <c r="AJ10367" t="s">
        <v>14103</v>
      </c>
      <c r="AK10367">
        <v>2821061267</v>
      </c>
      <c r="AL10367" t="s">
        <v>14104</v>
      </c>
      <c r="AM10367" t="s">
        <v>88</v>
      </c>
      <c r="AN10367" t="s">
        <v>6764</v>
      </c>
      <c r="AO10367" t="s">
        <v>6764</v>
      </c>
      <c r="AP10367" t="s">
        <v>12913</v>
      </c>
      <c r="AQ10367">
        <v>10</v>
      </c>
      <c r="AR10367" t="s">
        <v>89</v>
      </c>
      <c r="AS10367" t="s">
        <v>90</v>
      </c>
      <c r="AT10367" t="s">
        <v>58</v>
      </c>
      <c r="AU10367" t="s">
        <v>68</v>
      </c>
      <c r="AV10367" t="s">
        <v>69</v>
      </c>
      <c r="AW10367" s="1">
        <v>24210</v>
      </c>
      <c r="AX10367">
        <v>1</v>
      </c>
    </row>
    <row r="10368" spans="1:50">
      <c r="A10368">
        <v>587033</v>
      </c>
      <c r="B10368" t="str">
        <f>"064246283"</f>
        <v>064246283</v>
      </c>
      <c r="C10368" t="s">
        <v>50</v>
      </c>
      <c r="D10368" t="s">
        <v>15272</v>
      </c>
      <c r="E10368" t="s">
        <v>83</v>
      </c>
      <c r="F10368" t="s">
        <v>154</v>
      </c>
      <c r="G10368" t="s">
        <v>73</v>
      </c>
      <c r="H10368" t="str">
        <f>" "</f>
        <v xml:space="preserve"> </v>
      </c>
      <c r="N10368" t="s">
        <v>1525</v>
      </c>
      <c r="O10368" t="s">
        <v>1526</v>
      </c>
      <c r="R10368" t="s">
        <v>57</v>
      </c>
      <c r="S10368">
        <v>12</v>
      </c>
      <c r="T10368">
        <v>165</v>
      </c>
      <c r="U10368" s="1">
        <v>36040</v>
      </c>
      <c r="V10368" t="s">
        <v>89</v>
      </c>
      <c r="W10368" t="s">
        <v>90</v>
      </c>
      <c r="X10368" t="s">
        <v>58</v>
      </c>
      <c r="Y10368">
        <v>25</v>
      </c>
      <c r="Z10368" t="s">
        <v>59</v>
      </c>
      <c r="AA10368" t="s">
        <v>59</v>
      </c>
      <c r="AB10368" t="s">
        <v>59</v>
      </c>
      <c r="AC10368" t="s">
        <v>59</v>
      </c>
      <c r="AD10368" t="s">
        <v>59</v>
      </c>
      <c r="AF10368" s="1">
        <v>36040</v>
      </c>
      <c r="AG10368" t="s">
        <v>8651</v>
      </c>
      <c r="AH10368" t="s">
        <v>8652</v>
      </c>
      <c r="AI10368" t="str">
        <f>"9500371"</f>
        <v>9500371</v>
      </c>
      <c r="AJ10368" t="s">
        <v>14154</v>
      </c>
      <c r="AK10368">
        <v>2821092925</v>
      </c>
      <c r="AL10368" t="s">
        <v>14155</v>
      </c>
      <c r="AM10368" t="s">
        <v>88</v>
      </c>
      <c r="AN10368" t="s">
        <v>88</v>
      </c>
      <c r="AO10368" t="s">
        <v>6733</v>
      </c>
      <c r="AP10368" t="s">
        <v>6755</v>
      </c>
      <c r="AQ10368">
        <v>2</v>
      </c>
      <c r="AR10368" t="s">
        <v>89</v>
      </c>
      <c r="AS10368" t="s">
        <v>90</v>
      </c>
      <c r="AT10368" t="s">
        <v>58</v>
      </c>
      <c r="AU10368" t="s">
        <v>68</v>
      </c>
      <c r="AV10368" t="s">
        <v>69</v>
      </c>
      <c r="AW10368" s="1">
        <v>24454</v>
      </c>
      <c r="AX10368">
        <v>1</v>
      </c>
    </row>
    <row r="10369" spans="1:50">
      <c r="B10369" t="str">
        <f>"149552700"</f>
        <v>149552700</v>
      </c>
      <c r="C10369" t="s">
        <v>50</v>
      </c>
      <c r="D10369" t="s">
        <v>15273</v>
      </c>
      <c r="E10369" t="s">
        <v>143</v>
      </c>
      <c r="F10369" t="s">
        <v>6428</v>
      </c>
      <c r="G10369" t="s">
        <v>181</v>
      </c>
      <c r="H10369" t="str">
        <f>" "</f>
        <v xml:space="preserve"> </v>
      </c>
      <c r="N10369" t="s">
        <v>615</v>
      </c>
      <c r="O10369" t="s">
        <v>616</v>
      </c>
      <c r="R10369" t="s">
        <v>159</v>
      </c>
      <c r="S10369">
        <v>1</v>
      </c>
      <c r="T10369" t="s">
        <v>8717</v>
      </c>
      <c r="U10369" s="1">
        <v>43348</v>
      </c>
      <c r="V10369" t="s">
        <v>89</v>
      </c>
      <c r="W10369" t="s">
        <v>90</v>
      </c>
      <c r="X10369" t="s">
        <v>58</v>
      </c>
      <c r="Y10369">
        <v>24</v>
      </c>
      <c r="Z10369" t="s">
        <v>59</v>
      </c>
      <c r="AA10369" t="s">
        <v>59</v>
      </c>
      <c r="AB10369" t="s">
        <v>59</v>
      </c>
      <c r="AD10369" t="s">
        <v>59</v>
      </c>
      <c r="AF10369" s="1">
        <v>43348</v>
      </c>
      <c r="AG10369" t="s">
        <v>8645</v>
      </c>
      <c r="AH10369" t="s">
        <v>8646</v>
      </c>
      <c r="AI10369" t="str">
        <f>"9500139"</f>
        <v>9500139</v>
      </c>
      <c r="AJ10369" t="s">
        <v>14050</v>
      </c>
      <c r="AK10369">
        <v>2821096819</v>
      </c>
      <c r="AL10369" t="s">
        <v>14051</v>
      </c>
      <c r="AM10369" t="s">
        <v>88</v>
      </c>
      <c r="AN10369" t="s">
        <v>88</v>
      </c>
      <c r="AO10369" t="s">
        <v>88</v>
      </c>
      <c r="AP10369" t="s">
        <v>88</v>
      </c>
      <c r="AQ10369">
        <v>1</v>
      </c>
      <c r="AR10369" t="s">
        <v>89</v>
      </c>
      <c r="AS10369" t="s">
        <v>90</v>
      </c>
      <c r="AT10369" t="s">
        <v>58</v>
      </c>
      <c r="AU10369" t="s">
        <v>8720</v>
      </c>
      <c r="AV10369" t="s">
        <v>132</v>
      </c>
      <c r="AW10369" s="1">
        <v>32767</v>
      </c>
      <c r="AX10369">
        <v>1</v>
      </c>
    </row>
    <row r="10370" spans="1:50">
      <c r="A10370">
        <v>563201</v>
      </c>
      <c r="B10370" t="str">
        <f>"100628355"</f>
        <v>100628355</v>
      </c>
      <c r="C10370" t="s">
        <v>50</v>
      </c>
      <c r="D10370" t="s">
        <v>3466</v>
      </c>
      <c r="E10370" t="s">
        <v>255</v>
      </c>
      <c r="F10370" t="s">
        <v>2233</v>
      </c>
      <c r="G10370" t="s">
        <v>250</v>
      </c>
      <c r="H10370" t="str">
        <f>" "</f>
        <v xml:space="preserve"> </v>
      </c>
      <c r="N10370" t="s">
        <v>1525</v>
      </c>
      <c r="O10370" t="s">
        <v>1526</v>
      </c>
      <c r="R10370" t="s">
        <v>57</v>
      </c>
      <c r="S10370">
        <v>15</v>
      </c>
      <c r="T10370">
        <v>187</v>
      </c>
      <c r="U10370" s="1">
        <v>32750</v>
      </c>
      <c r="V10370" t="s">
        <v>89</v>
      </c>
      <c r="W10370" t="s">
        <v>90</v>
      </c>
      <c r="X10370" t="s">
        <v>58</v>
      </c>
      <c r="Y10370">
        <v>25</v>
      </c>
      <c r="Z10370" t="s">
        <v>59</v>
      </c>
      <c r="AA10370" t="s">
        <v>59</v>
      </c>
      <c r="AB10370" t="s">
        <v>59</v>
      </c>
      <c r="AC10370" t="s">
        <v>59</v>
      </c>
      <c r="AD10370" t="s">
        <v>59</v>
      </c>
      <c r="AF10370" s="1">
        <v>32750</v>
      </c>
      <c r="AG10370" t="s">
        <v>8651</v>
      </c>
      <c r="AH10370" t="s">
        <v>8652</v>
      </c>
      <c r="AI10370" t="str">
        <f>"9500362"</f>
        <v>9500362</v>
      </c>
      <c r="AJ10370" t="s">
        <v>14363</v>
      </c>
      <c r="AK10370">
        <v>2825022337</v>
      </c>
      <c r="AL10370" t="s">
        <v>14364</v>
      </c>
      <c r="AM10370" t="s">
        <v>88</v>
      </c>
      <c r="AN10370" t="s">
        <v>6775</v>
      </c>
      <c r="AO10370" t="s">
        <v>6776</v>
      </c>
      <c r="AP10370" t="s">
        <v>6776</v>
      </c>
      <c r="AQ10370">
        <v>7</v>
      </c>
      <c r="AR10370" t="s">
        <v>89</v>
      </c>
      <c r="AS10370" t="s">
        <v>90</v>
      </c>
      <c r="AT10370" t="s">
        <v>58</v>
      </c>
      <c r="AU10370" t="s">
        <v>68</v>
      </c>
      <c r="AV10370" t="s">
        <v>69</v>
      </c>
      <c r="AW10370" s="1">
        <v>23535</v>
      </c>
      <c r="AX10370">
        <v>1</v>
      </c>
    </row>
    <row r="10371" spans="1:50">
      <c r="A10371">
        <v>608019</v>
      </c>
      <c r="B10371" t="str">
        <f>"063596920"</f>
        <v>063596920</v>
      </c>
      <c r="C10371" t="s">
        <v>50</v>
      </c>
      <c r="D10371" t="s">
        <v>3466</v>
      </c>
      <c r="E10371" t="s">
        <v>52</v>
      </c>
      <c r="F10371" t="s">
        <v>72</v>
      </c>
      <c r="G10371" t="s">
        <v>4127</v>
      </c>
      <c r="H10371" t="str">
        <f>" "</f>
        <v xml:space="preserve"> </v>
      </c>
      <c r="J10371">
        <v>2825051405</v>
      </c>
      <c r="K10371">
        <v>6948605770</v>
      </c>
      <c r="N10371" t="s">
        <v>1525</v>
      </c>
      <c r="O10371" t="s">
        <v>1526</v>
      </c>
      <c r="R10371" t="s">
        <v>57</v>
      </c>
      <c r="S10371">
        <v>9</v>
      </c>
      <c r="T10371">
        <v>217</v>
      </c>
      <c r="U10371" s="1">
        <v>38596</v>
      </c>
      <c r="V10371" t="s">
        <v>89</v>
      </c>
      <c r="W10371" t="s">
        <v>90</v>
      </c>
      <c r="X10371" t="s">
        <v>58</v>
      </c>
      <c r="Y10371">
        <v>25</v>
      </c>
      <c r="Z10371" t="s">
        <v>59</v>
      </c>
      <c r="AA10371" t="s">
        <v>59</v>
      </c>
      <c r="AB10371" t="s">
        <v>59</v>
      </c>
      <c r="AC10371" t="s">
        <v>59</v>
      </c>
      <c r="AD10371" t="s">
        <v>59</v>
      </c>
      <c r="AF10371" s="1">
        <v>38596</v>
      </c>
      <c r="AG10371" t="s">
        <v>8651</v>
      </c>
      <c r="AH10371" t="s">
        <v>8652</v>
      </c>
      <c r="AI10371" t="str">
        <f>"9500007"</f>
        <v>9500007</v>
      </c>
      <c r="AJ10371" t="s">
        <v>13924</v>
      </c>
      <c r="AK10371">
        <v>2825051704</v>
      </c>
      <c r="AL10371" t="s">
        <v>13925</v>
      </c>
      <c r="AM10371" t="s">
        <v>88</v>
      </c>
      <c r="AN10371" t="s">
        <v>6775</v>
      </c>
      <c r="AO10371" t="s">
        <v>6781</v>
      </c>
      <c r="AP10371" t="s">
        <v>6782</v>
      </c>
      <c r="AQ10371">
        <v>8</v>
      </c>
      <c r="AR10371" t="s">
        <v>89</v>
      </c>
      <c r="AS10371" t="s">
        <v>90</v>
      </c>
      <c r="AT10371" t="s">
        <v>58</v>
      </c>
      <c r="AU10371" t="s">
        <v>68</v>
      </c>
      <c r="AV10371" t="s">
        <v>69</v>
      </c>
      <c r="AW10371" s="1">
        <v>21043</v>
      </c>
      <c r="AX10371">
        <v>1</v>
      </c>
    </row>
    <row r="10372" spans="1:50">
      <c r="A10372">
        <v>614597</v>
      </c>
      <c r="B10372" t="str">
        <f>"122964558"</f>
        <v>122964558</v>
      </c>
      <c r="C10372" t="s">
        <v>50</v>
      </c>
      <c r="D10372" t="s">
        <v>3466</v>
      </c>
      <c r="E10372" t="s">
        <v>610</v>
      </c>
      <c r="F10372" t="s">
        <v>106</v>
      </c>
      <c r="G10372" t="s">
        <v>52</v>
      </c>
      <c r="H10372" t="str">
        <f>"ΟΙΚΙΣΜΟΣ Π.Α / ΣΤΕΡΝΕΣ ΧΑΝΙΑ"</f>
        <v>ΟΙΚΙΣΜΟΣ Π.Α / ΣΤΕΡΝΕΣ ΧΑΝΙΑ</v>
      </c>
      <c r="I10372">
        <v>73100</v>
      </c>
      <c r="J10372">
        <v>2821053526</v>
      </c>
      <c r="K10372">
        <v>6979968696</v>
      </c>
      <c r="N10372" t="s">
        <v>615</v>
      </c>
      <c r="O10372" t="s">
        <v>616</v>
      </c>
      <c r="R10372" t="s">
        <v>57</v>
      </c>
      <c r="S10372">
        <v>6</v>
      </c>
      <c r="T10372">
        <v>598</v>
      </c>
      <c r="U10372" s="1">
        <v>39310</v>
      </c>
      <c r="V10372" t="s">
        <v>89</v>
      </c>
      <c r="W10372" t="s">
        <v>90</v>
      </c>
      <c r="X10372" t="s">
        <v>58</v>
      </c>
      <c r="Y10372">
        <v>23</v>
      </c>
      <c r="Z10372" t="s">
        <v>59</v>
      </c>
      <c r="AA10372" t="s">
        <v>59</v>
      </c>
      <c r="AB10372" t="s">
        <v>59</v>
      </c>
      <c r="AC10372" t="s">
        <v>59</v>
      </c>
      <c r="AD10372" t="s">
        <v>59</v>
      </c>
      <c r="AF10372" s="1">
        <v>39310</v>
      </c>
      <c r="AG10372" t="s">
        <v>8645</v>
      </c>
      <c r="AH10372" t="s">
        <v>8646</v>
      </c>
      <c r="AI10372" t="str">
        <f>"9500423"</f>
        <v>9500423</v>
      </c>
      <c r="AJ10372" t="s">
        <v>13893</v>
      </c>
      <c r="AK10372">
        <v>2821023473</v>
      </c>
      <c r="AL10372" t="s">
        <v>13894</v>
      </c>
      <c r="AM10372" t="s">
        <v>88</v>
      </c>
      <c r="AN10372" t="s">
        <v>88</v>
      </c>
      <c r="AO10372" t="s">
        <v>88</v>
      </c>
      <c r="AP10372" t="s">
        <v>88</v>
      </c>
      <c r="AQ10372">
        <v>1</v>
      </c>
      <c r="AR10372" t="s">
        <v>89</v>
      </c>
      <c r="AS10372" t="s">
        <v>90</v>
      </c>
      <c r="AT10372" t="s">
        <v>58</v>
      </c>
      <c r="AU10372" t="s">
        <v>68</v>
      </c>
      <c r="AV10372" t="s">
        <v>69</v>
      </c>
      <c r="AW10372" s="1">
        <v>30572</v>
      </c>
      <c r="AX10372">
        <v>1</v>
      </c>
    </row>
    <row r="10373" spans="1:50">
      <c r="A10373">
        <v>558000</v>
      </c>
      <c r="B10373" t="str">
        <f>"034716760"</f>
        <v>034716760</v>
      </c>
      <c r="C10373" t="s">
        <v>50</v>
      </c>
      <c r="D10373" t="s">
        <v>3466</v>
      </c>
      <c r="E10373" t="s">
        <v>372</v>
      </c>
      <c r="F10373" t="s">
        <v>2233</v>
      </c>
      <c r="G10373" t="s">
        <v>250</v>
      </c>
      <c r="H10373" t="str">
        <f>"ΚΕΦΑΛΑΣ  ΑΠΟΚΟΡΩΝΟΥ ΧΑΝΙΑ"</f>
        <v>ΚΕΦΑΛΑΣ  ΑΠΟΚΟΡΩΝΟΥ ΧΑΝΙΑ</v>
      </c>
      <c r="I10373">
        <v>73008</v>
      </c>
      <c r="J10373">
        <v>2825083757</v>
      </c>
      <c r="K10373">
        <v>6977081689</v>
      </c>
      <c r="M10373" t="s">
        <v>15274</v>
      </c>
      <c r="N10373" t="s">
        <v>615</v>
      </c>
      <c r="O10373" t="s">
        <v>616</v>
      </c>
      <c r="R10373" t="s">
        <v>57</v>
      </c>
      <c r="S10373">
        <v>16</v>
      </c>
      <c r="T10373">
        <v>168</v>
      </c>
      <c r="U10373" s="1">
        <v>32010</v>
      </c>
      <c r="V10373" t="s">
        <v>89</v>
      </c>
      <c r="W10373" t="s">
        <v>90</v>
      </c>
      <c r="X10373" t="s">
        <v>58</v>
      </c>
      <c r="Y10373">
        <v>21</v>
      </c>
      <c r="Z10373" t="s">
        <v>59</v>
      </c>
      <c r="AA10373" t="s">
        <v>59</v>
      </c>
      <c r="AB10373" t="s">
        <v>59</v>
      </c>
      <c r="AC10373" t="s">
        <v>59</v>
      </c>
      <c r="AD10373" t="s">
        <v>59</v>
      </c>
      <c r="AF10373" s="1">
        <v>32010</v>
      </c>
      <c r="AG10373" t="s">
        <v>8645</v>
      </c>
      <c r="AH10373" t="s">
        <v>8646</v>
      </c>
      <c r="AI10373" t="str">
        <f>"9500004"</f>
        <v>9500004</v>
      </c>
      <c r="AJ10373" t="s">
        <v>13897</v>
      </c>
      <c r="AK10373">
        <v>2825022272</v>
      </c>
      <c r="AL10373" t="s">
        <v>13898</v>
      </c>
      <c r="AM10373" t="s">
        <v>88</v>
      </c>
      <c r="AN10373" t="s">
        <v>6775</v>
      </c>
      <c r="AO10373" t="s">
        <v>6776</v>
      </c>
      <c r="AP10373" t="s">
        <v>6776</v>
      </c>
      <c r="AQ10373">
        <v>7</v>
      </c>
      <c r="AR10373" t="s">
        <v>89</v>
      </c>
      <c r="AS10373" t="s">
        <v>90</v>
      </c>
      <c r="AT10373" t="s">
        <v>58</v>
      </c>
      <c r="AU10373" t="s">
        <v>68</v>
      </c>
      <c r="AV10373" t="s">
        <v>69</v>
      </c>
      <c r="AW10373" s="1">
        <v>23910</v>
      </c>
      <c r="AX10373">
        <v>1</v>
      </c>
    </row>
    <row r="10374" spans="1:50">
      <c r="A10374">
        <v>620622</v>
      </c>
      <c r="B10374" t="str">
        <f>"131003628"</f>
        <v>131003628</v>
      </c>
      <c r="C10374" t="s">
        <v>50</v>
      </c>
      <c r="D10374" t="s">
        <v>3470</v>
      </c>
      <c r="E10374" t="s">
        <v>191</v>
      </c>
      <c r="F10374" t="s">
        <v>15275</v>
      </c>
      <c r="G10374" t="s">
        <v>10535</v>
      </c>
      <c r="H10374" t="str">
        <f>"ΠΡΟΕΚ. ΑΡΚΑΔΙΟΥ 55  ΧΡΥΣΟΠΗΓΗ ΧΑΝΙΑ"</f>
        <v>ΠΡΟΕΚ. ΑΡΚΑΔΙΟΥ 55  ΧΡΥΣΟΠΗΓΗ ΧΑΝΙΑ</v>
      </c>
      <c r="I10374">
        <v>73100</v>
      </c>
      <c r="J10374">
        <v>2821095025</v>
      </c>
      <c r="K10374">
        <v>6972888287</v>
      </c>
      <c r="N10374" t="s">
        <v>615</v>
      </c>
      <c r="O10374" t="s">
        <v>616</v>
      </c>
      <c r="R10374" t="s">
        <v>57</v>
      </c>
      <c r="S10374">
        <v>5</v>
      </c>
      <c r="T10374">
        <v>653</v>
      </c>
      <c r="U10374" s="1">
        <v>40043</v>
      </c>
      <c r="V10374" t="s">
        <v>89</v>
      </c>
      <c r="W10374" t="s">
        <v>90</v>
      </c>
      <c r="X10374" t="s">
        <v>58</v>
      </c>
      <c r="Y10374">
        <v>23</v>
      </c>
      <c r="Z10374" t="s">
        <v>59</v>
      </c>
      <c r="AA10374" t="s">
        <v>59</v>
      </c>
      <c r="AB10374" t="s">
        <v>59</v>
      </c>
      <c r="AC10374" t="s">
        <v>59</v>
      </c>
      <c r="AD10374" t="s">
        <v>59</v>
      </c>
      <c r="AF10374" s="1">
        <v>40044</v>
      </c>
      <c r="AG10374" t="s">
        <v>8645</v>
      </c>
      <c r="AH10374" t="s">
        <v>8646</v>
      </c>
      <c r="AI10374" t="str">
        <f>"9500103"</f>
        <v>9500103</v>
      </c>
      <c r="AJ10374" t="s">
        <v>14040</v>
      </c>
      <c r="AK10374">
        <v>2821090920</v>
      </c>
      <c r="AL10374" t="s">
        <v>14041</v>
      </c>
      <c r="AM10374" t="s">
        <v>88</v>
      </c>
      <c r="AN10374" t="s">
        <v>88</v>
      </c>
      <c r="AO10374" t="s">
        <v>6733</v>
      </c>
      <c r="AP10374" t="s">
        <v>6734</v>
      </c>
      <c r="AQ10374">
        <v>2</v>
      </c>
      <c r="AR10374" t="s">
        <v>89</v>
      </c>
      <c r="AS10374" t="s">
        <v>90</v>
      </c>
      <c r="AT10374" t="s">
        <v>58</v>
      </c>
      <c r="AU10374" t="s">
        <v>68</v>
      </c>
      <c r="AV10374" t="s">
        <v>69</v>
      </c>
      <c r="AW10374" s="1">
        <v>29336</v>
      </c>
      <c r="AX10374">
        <v>1</v>
      </c>
    </row>
    <row r="10375" spans="1:50">
      <c r="B10375" t="str">
        <f>"156179976"</f>
        <v>156179976</v>
      </c>
      <c r="C10375" t="s">
        <v>50</v>
      </c>
      <c r="D10375" t="s">
        <v>11198</v>
      </c>
      <c r="E10375" t="s">
        <v>255</v>
      </c>
      <c r="F10375" t="s">
        <v>84</v>
      </c>
      <c r="G10375" t="s">
        <v>109</v>
      </c>
      <c r="H10375" t="str">
        <f>" "</f>
        <v xml:space="preserve"> </v>
      </c>
      <c r="N10375" t="s">
        <v>9829</v>
      </c>
      <c r="O10375" t="s">
        <v>9830</v>
      </c>
      <c r="R10375" t="s">
        <v>121</v>
      </c>
      <c r="S10375">
        <v>3</v>
      </c>
      <c r="T10375" t="s">
        <v>8835</v>
      </c>
      <c r="U10375" s="1">
        <v>43348</v>
      </c>
      <c r="V10375" t="s">
        <v>89</v>
      </c>
      <c r="W10375" t="s">
        <v>90</v>
      </c>
      <c r="X10375" t="s">
        <v>58</v>
      </c>
      <c r="Y10375">
        <v>25</v>
      </c>
      <c r="Z10375" t="s">
        <v>59</v>
      </c>
      <c r="AA10375" t="s">
        <v>59</v>
      </c>
      <c r="AB10375" t="s">
        <v>59</v>
      </c>
      <c r="AD10375" t="s">
        <v>59</v>
      </c>
      <c r="AF10375" s="1">
        <v>43348</v>
      </c>
      <c r="AG10375" t="s">
        <v>8651</v>
      </c>
      <c r="AH10375" t="s">
        <v>8652</v>
      </c>
      <c r="AI10375" t="str">
        <f>"9500299"</f>
        <v>9500299</v>
      </c>
      <c r="AJ10375" t="s">
        <v>14567</v>
      </c>
      <c r="AK10375">
        <v>2821009110</v>
      </c>
      <c r="AL10375" t="s">
        <v>14568</v>
      </c>
      <c r="AM10375" t="s">
        <v>88</v>
      </c>
      <c r="AN10375" t="s">
        <v>88</v>
      </c>
      <c r="AO10375" t="s">
        <v>6770</v>
      </c>
      <c r="AP10375" t="s">
        <v>6771</v>
      </c>
      <c r="AQ10375">
        <v>2</v>
      </c>
      <c r="AR10375" t="s">
        <v>89</v>
      </c>
      <c r="AS10375" t="s">
        <v>90</v>
      </c>
      <c r="AT10375" t="s">
        <v>58</v>
      </c>
      <c r="AU10375" t="s">
        <v>131</v>
      </c>
      <c r="AV10375" t="s">
        <v>132</v>
      </c>
      <c r="AW10375" s="1">
        <v>33591</v>
      </c>
      <c r="AX10375">
        <v>1</v>
      </c>
    </row>
    <row r="10376" spans="1:50">
      <c r="B10376" t="str">
        <f>"119426862"</f>
        <v>119426862</v>
      </c>
      <c r="C10376" t="s">
        <v>50</v>
      </c>
      <c r="D10376" t="s">
        <v>11198</v>
      </c>
      <c r="E10376" t="s">
        <v>1912</v>
      </c>
      <c r="F10376" t="s">
        <v>450</v>
      </c>
      <c r="G10376" t="s">
        <v>1001</v>
      </c>
      <c r="H10376" t="str">
        <f>"ΜΑΙΑΝΔΡΟΥ 136  ΝΕΑ ΙΩΝΙΑ"</f>
        <v>ΜΑΙΑΝΔΡΟΥ 136  ΝΕΑ ΙΩΝΙΑ</v>
      </c>
      <c r="I10376">
        <v>38445</v>
      </c>
      <c r="J10376">
        <v>2421068210</v>
      </c>
      <c r="K10376">
        <v>6944422712</v>
      </c>
      <c r="N10376" t="s">
        <v>337</v>
      </c>
      <c r="O10376" t="s">
        <v>338</v>
      </c>
      <c r="R10376" t="s">
        <v>159</v>
      </c>
      <c r="S10376">
        <v>4</v>
      </c>
      <c r="T10376" t="s">
        <v>8675</v>
      </c>
      <c r="U10376" s="1">
        <v>43348</v>
      </c>
      <c r="V10376" t="s">
        <v>89</v>
      </c>
      <c r="W10376" t="s">
        <v>90</v>
      </c>
      <c r="X10376" t="s">
        <v>58</v>
      </c>
      <c r="Y10376">
        <v>24</v>
      </c>
      <c r="Z10376" t="s">
        <v>59</v>
      </c>
      <c r="AA10376" t="s">
        <v>59</v>
      </c>
      <c r="AB10376" t="s">
        <v>59</v>
      </c>
      <c r="AC10376" t="s">
        <v>59</v>
      </c>
      <c r="AD10376" t="s">
        <v>59</v>
      </c>
      <c r="AF10376" s="1">
        <v>43348</v>
      </c>
      <c r="AG10376" t="s">
        <v>8645</v>
      </c>
      <c r="AH10376" t="s">
        <v>8646</v>
      </c>
      <c r="AI10376" t="str">
        <f>"9500167"</f>
        <v>9500167</v>
      </c>
      <c r="AJ10376" t="s">
        <v>13922</v>
      </c>
      <c r="AK10376">
        <v>2821068357</v>
      </c>
      <c r="AL10376" t="s">
        <v>13923</v>
      </c>
      <c r="AM10376" t="s">
        <v>88</v>
      </c>
      <c r="AN10376" t="s">
        <v>6764</v>
      </c>
      <c r="AO10376" t="s">
        <v>6764</v>
      </c>
      <c r="AP10376" t="s">
        <v>6764</v>
      </c>
      <c r="AQ10376">
        <v>5</v>
      </c>
      <c r="AR10376" t="s">
        <v>89</v>
      </c>
      <c r="AS10376" t="s">
        <v>90</v>
      </c>
      <c r="AT10376" t="s">
        <v>58</v>
      </c>
      <c r="AU10376" t="s">
        <v>8673</v>
      </c>
      <c r="AV10376" t="s">
        <v>132</v>
      </c>
      <c r="AW10376" s="1">
        <v>29167</v>
      </c>
      <c r="AX10376">
        <v>1</v>
      </c>
    </row>
    <row r="10377" spans="1:50">
      <c r="B10377" t="str">
        <f>"141997454"</f>
        <v>141997454</v>
      </c>
      <c r="C10377" t="s">
        <v>50</v>
      </c>
      <c r="D10377" t="s">
        <v>15276</v>
      </c>
      <c r="E10377" t="s">
        <v>263</v>
      </c>
      <c r="F10377" t="s">
        <v>670</v>
      </c>
      <c r="G10377" t="s">
        <v>934</v>
      </c>
      <c r="H10377" t="str">
        <f>" "</f>
        <v xml:space="preserve"> </v>
      </c>
      <c r="N10377" t="s">
        <v>615</v>
      </c>
      <c r="O10377" t="s">
        <v>616</v>
      </c>
      <c r="R10377" t="s">
        <v>121</v>
      </c>
      <c r="S10377">
        <v>1</v>
      </c>
      <c r="T10377" t="s">
        <v>9034</v>
      </c>
      <c r="U10377" s="1">
        <v>43377</v>
      </c>
      <c r="V10377" t="s">
        <v>89</v>
      </c>
      <c r="W10377" t="s">
        <v>90</v>
      </c>
      <c r="X10377" t="s">
        <v>58</v>
      </c>
      <c r="Y10377">
        <v>24</v>
      </c>
      <c r="Z10377" t="s">
        <v>59</v>
      </c>
      <c r="AA10377" t="s">
        <v>59</v>
      </c>
      <c r="AB10377" t="s">
        <v>59</v>
      </c>
      <c r="AC10377" t="s">
        <v>59</v>
      </c>
      <c r="AD10377" t="s">
        <v>59</v>
      </c>
      <c r="AF10377" s="1">
        <v>43377</v>
      </c>
      <c r="AG10377" t="s">
        <v>8645</v>
      </c>
      <c r="AH10377" t="s">
        <v>8646</v>
      </c>
      <c r="AI10377" t="str">
        <f>"9500374"</f>
        <v>9500374</v>
      </c>
      <c r="AJ10377" t="s">
        <v>14529</v>
      </c>
      <c r="AK10377">
        <v>2822023194</v>
      </c>
      <c r="AL10377" t="s">
        <v>14530</v>
      </c>
      <c r="AM10377" t="s">
        <v>88</v>
      </c>
      <c r="AN10377" t="s">
        <v>6744</v>
      </c>
      <c r="AO10377" t="s">
        <v>6744</v>
      </c>
      <c r="AP10377" t="s">
        <v>6744</v>
      </c>
      <c r="AQ10377">
        <v>9</v>
      </c>
      <c r="AR10377" t="s">
        <v>89</v>
      </c>
      <c r="AS10377" t="s">
        <v>90</v>
      </c>
      <c r="AT10377" t="s">
        <v>58</v>
      </c>
      <c r="AU10377" t="s">
        <v>8673</v>
      </c>
      <c r="AV10377" t="s">
        <v>132</v>
      </c>
      <c r="AW10377" s="1">
        <v>32698</v>
      </c>
      <c r="AX10377">
        <v>1</v>
      </c>
    </row>
    <row r="10378" spans="1:50">
      <c r="A10378">
        <v>568032</v>
      </c>
      <c r="B10378" t="str">
        <f>"051467214"</f>
        <v>051467214</v>
      </c>
      <c r="C10378" t="s">
        <v>105</v>
      </c>
      <c r="D10378" t="s">
        <v>3474</v>
      </c>
      <c r="E10378" t="s">
        <v>5538</v>
      </c>
      <c r="F10378" t="s">
        <v>95</v>
      </c>
      <c r="G10378" t="s">
        <v>181</v>
      </c>
      <c r="H10378" t="str">
        <f>"ΚΟΝΔΥΛΑΚΗ  1 ΚΟΥΝΟΥΠΙΔΙΑΝΑ   ΧΑΝΙΩΝ"</f>
        <v>ΚΟΝΔΥΛΑΚΗ  1 ΚΟΥΝΟΥΠΙΔΙΑΝΑ   ΧΑΝΙΩΝ</v>
      </c>
      <c r="I10378">
        <v>73100</v>
      </c>
      <c r="J10378">
        <v>2821020752</v>
      </c>
      <c r="K10378">
        <v>6973692680</v>
      </c>
      <c r="N10378" t="s">
        <v>615</v>
      </c>
      <c r="O10378" t="s">
        <v>616</v>
      </c>
      <c r="R10378" t="s">
        <v>57</v>
      </c>
      <c r="S10378">
        <v>13</v>
      </c>
      <c r="T10378">
        <v>162</v>
      </c>
      <c r="U10378" s="1">
        <v>33844</v>
      </c>
      <c r="V10378" t="s">
        <v>89</v>
      </c>
      <c r="W10378" t="s">
        <v>90</v>
      </c>
      <c r="X10378" t="s">
        <v>58</v>
      </c>
      <c r="Y10378">
        <v>21</v>
      </c>
      <c r="Z10378" t="s">
        <v>59</v>
      </c>
      <c r="AA10378" t="s">
        <v>59</v>
      </c>
      <c r="AB10378" t="s">
        <v>59</v>
      </c>
      <c r="AC10378" t="s">
        <v>59</v>
      </c>
      <c r="AD10378" t="s">
        <v>59</v>
      </c>
      <c r="AF10378" s="1">
        <v>33844</v>
      </c>
      <c r="AG10378" t="s">
        <v>8645</v>
      </c>
      <c r="AH10378" t="s">
        <v>8646</v>
      </c>
      <c r="AI10378" t="str">
        <f>"9500147"</f>
        <v>9500147</v>
      </c>
      <c r="AJ10378" t="s">
        <v>14008</v>
      </c>
      <c r="AK10378">
        <v>2821094573</v>
      </c>
      <c r="AL10378" t="s">
        <v>14009</v>
      </c>
      <c r="AM10378" t="s">
        <v>88</v>
      </c>
      <c r="AN10378" t="s">
        <v>88</v>
      </c>
      <c r="AO10378" t="s">
        <v>88</v>
      </c>
      <c r="AP10378" t="s">
        <v>88</v>
      </c>
      <c r="AQ10378">
        <v>1</v>
      </c>
      <c r="AR10378" t="s">
        <v>89</v>
      </c>
      <c r="AS10378" t="s">
        <v>90</v>
      </c>
      <c r="AT10378" t="s">
        <v>58</v>
      </c>
      <c r="AU10378" t="s">
        <v>68</v>
      </c>
      <c r="AV10378" t="s">
        <v>69</v>
      </c>
      <c r="AW10378" s="1">
        <v>23931</v>
      </c>
      <c r="AX10378">
        <v>1</v>
      </c>
    </row>
    <row r="10379" spans="1:50">
      <c r="A10379">
        <v>607578</v>
      </c>
      <c r="B10379" t="str">
        <f>"129092091"</f>
        <v>129092091</v>
      </c>
      <c r="C10379" t="s">
        <v>50</v>
      </c>
      <c r="D10379" t="s">
        <v>15277</v>
      </c>
      <c r="E10379" t="s">
        <v>5626</v>
      </c>
      <c r="F10379" t="s">
        <v>408</v>
      </c>
      <c r="G10379" t="s">
        <v>181</v>
      </c>
      <c r="H10379" t="str">
        <f>"ΚΙΣΑΜΟΣ "</f>
        <v xml:space="preserve">ΚΙΣΑΜΟΣ </v>
      </c>
      <c r="I10379">
        <v>73400</v>
      </c>
      <c r="J10379">
        <v>2822770942</v>
      </c>
      <c r="K10379">
        <v>6976208229</v>
      </c>
      <c r="N10379" t="s">
        <v>615</v>
      </c>
      <c r="O10379" t="s">
        <v>616</v>
      </c>
      <c r="R10379" t="s">
        <v>57</v>
      </c>
      <c r="S10379">
        <v>6</v>
      </c>
      <c r="T10379">
        <v>217</v>
      </c>
      <c r="U10379" s="1">
        <v>38596</v>
      </c>
      <c r="V10379" t="s">
        <v>89</v>
      </c>
      <c r="W10379" t="s">
        <v>90</v>
      </c>
      <c r="X10379" t="s">
        <v>58</v>
      </c>
      <c r="Y10379">
        <v>23</v>
      </c>
      <c r="Z10379" t="s">
        <v>59</v>
      </c>
      <c r="AA10379" t="s">
        <v>59</v>
      </c>
      <c r="AB10379" t="s">
        <v>59</v>
      </c>
      <c r="AC10379" t="s">
        <v>59</v>
      </c>
      <c r="AD10379" t="s">
        <v>59</v>
      </c>
      <c r="AF10379" s="1">
        <v>38600</v>
      </c>
      <c r="AG10379" t="s">
        <v>8645</v>
      </c>
      <c r="AH10379" t="s">
        <v>8646</v>
      </c>
      <c r="AI10379" t="str">
        <f>"9500191"</f>
        <v>9500191</v>
      </c>
      <c r="AJ10379" t="s">
        <v>13986</v>
      </c>
      <c r="AK10379">
        <v>2822022042</v>
      </c>
      <c r="AL10379" t="s">
        <v>13987</v>
      </c>
      <c r="AM10379" t="s">
        <v>88</v>
      </c>
      <c r="AN10379" t="s">
        <v>6744</v>
      </c>
      <c r="AO10379" t="s">
        <v>6744</v>
      </c>
      <c r="AP10379" t="s">
        <v>6744</v>
      </c>
      <c r="AQ10379">
        <v>9</v>
      </c>
      <c r="AR10379" t="s">
        <v>89</v>
      </c>
      <c r="AS10379" t="s">
        <v>90</v>
      </c>
      <c r="AT10379" t="s">
        <v>58</v>
      </c>
      <c r="AU10379" t="s">
        <v>68</v>
      </c>
      <c r="AV10379" t="s">
        <v>69</v>
      </c>
      <c r="AW10379" s="1">
        <v>30019</v>
      </c>
      <c r="AX10379">
        <v>1</v>
      </c>
    </row>
    <row r="10380" spans="1:50">
      <c r="B10380" t="str">
        <f>"101596850"</f>
        <v>101596850</v>
      </c>
      <c r="C10380" t="s">
        <v>50</v>
      </c>
      <c r="D10380" t="s">
        <v>15278</v>
      </c>
      <c r="E10380" t="s">
        <v>15279</v>
      </c>
      <c r="F10380" t="s">
        <v>989</v>
      </c>
      <c r="G10380" t="s">
        <v>372</v>
      </c>
      <c r="H10380" t="str">
        <f>"ΑΝΤΩΝΙΟΥ ΓΙΑΝΝΑΡΗ 3-5 "</f>
        <v xml:space="preserve">ΑΝΤΩΝΙΟΥ ΓΙΑΝΝΑΡΗ 3-5 </v>
      </c>
      <c r="I10380">
        <v>73100</v>
      </c>
      <c r="J10380">
        <v>2821058360</v>
      </c>
      <c r="K10380">
        <v>6943805485</v>
      </c>
      <c r="N10380" t="s">
        <v>615</v>
      </c>
      <c r="O10380" t="s">
        <v>616</v>
      </c>
      <c r="R10380" t="s">
        <v>159</v>
      </c>
      <c r="S10380">
        <v>3</v>
      </c>
      <c r="T10380" t="s">
        <v>8675</v>
      </c>
      <c r="U10380" s="1">
        <v>43348</v>
      </c>
      <c r="V10380" t="s">
        <v>89</v>
      </c>
      <c r="W10380" t="s">
        <v>90</v>
      </c>
      <c r="X10380" t="s">
        <v>58</v>
      </c>
      <c r="Y10380">
        <v>24</v>
      </c>
      <c r="Z10380" t="s">
        <v>59</v>
      </c>
      <c r="AA10380" t="s">
        <v>59</v>
      </c>
      <c r="AB10380" t="s">
        <v>59</v>
      </c>
      <c r="AC10380" t="s">
        <v>59</v>
      </c>
      <c r="AD10380" t="s">
        <v>59</v>
      </c>
      <c r="AF10380" s="1">
        <v>43348</v>
      </c>
      <c r="AG10380" t="s">
        <v>8645</v>
      </c>
      <c r="AH10380" t="s">
        <v>8646</v>
      </c>
      <c r="AI10380" t="str">
        <f>"9500055"</f>
        <v>9500055</v>
      </c>
      <c r="AJ10380" t="s">
        <v>14096</v>
      </c>
      <c r="AK10380">
        <v>2825092237</v>
      </c>
      <c r="AL10380" t="s">
        <v>14095</v>
      </c>
      <c r="AM10380" t="s">
        <v>88</v>
      </c>
      <c r="AN10380" t="s">
        <v>6995</v>
      </c>
      <c r="AO10380" t="s">
        <v>6995</v>
      </c>
      <c r="AP10380" t="s">
        <v>14097</v>
      </c>
      <c r="AQ10380">
        <v>10</v>
      </c>
      <c r="AR10380" t="s">
        <v>89</v>
      </c>
      <c r="AS10380" t="s">
        <v>90</v>
      </c>
      <c r="AT10380" t="s">
        <v>58</v>
      </c>
      <c r="AU10380" t="s">
        <v>8673</v>
      </c>
      <c r="AV10380" t="s">
        <v>132</v>
      </c>
      <c r="AW10380" s="1">
        <v>32523</v>
      </c>
      <c r="AX10380">
        <v>1</v>
      </c>
    </row>
    <row r="10381" spans="1:50">
      <c r="B10381" t="str">
        <f>"122705179"</f>
        <v>122705179</v>
      </c>
      <c r="C10381" t="s">
        <v>50</v>
      </c>
      <c r="D10381" t="s">
        <v>15280</v>
      </c>
      <c r="E10381" t="s">
        <v>52</v>
      </c>
      <c r="F10381" t="s">
        <v>1543</v>
      </c>
      <c r="G10381" t="s">
        <v>109</v>
      </c>
      <c r="H10381" t="str">
        <f>"ΓΑΤΣΟΥ 3 "</f>
        <v xml:space="preserve">ΓΑΤΣΟΥ 3 </v>
      </c>
      <c r="I10381">
        <v>59100</v>
      </c>
      <c r="J10381">
        <v>2331065656</v>
      </c>
      <c r="K10381">
        <v>6988623747</v>
      </c>
      <c r="N10381" t="s">
        <v>615</v>
      </c>
      <c r="O10381" t="s">
        <v>616</v>
      </c>
      <c r="R10381" t="s">
        <v>159</v>
      </c>
      <c r="S10381">
        <v>2</v>
      </c>
      <c r="T10381" t="s">
        <v>8675</v>
      </c>
      <c r="U10381" s="1">
        <v>43348</v>
      </c>
      <c r="V10381" t="s">
        <v>89</v>
      </c>
      <c r="W10381" t="s">
        <v>90</v>
      </c>
      <c r="X10381" t="s">
        <v>58</v>
      </c>
      <c r="Y10381">
        <v>24</v>
      </c>
      <c r="Z10381" t="s">
        <v>59</v>
      </c>
      <c r="AA10381" t="s">
        <v>59</v>
      </c>
      <c r="AB10381" t="s">
        <v>59</v>
      </c>
      <c r="AC10381" t="s">
        <v>59</v>
      </c>
      <c r="AD10381" t="s">
        <v>59</v>
      </c>
      <c r="AF10381" s="1">
        <v>43348</v>
      </c>
      <c r="AG10381" t="s">
        <v>8645</v>
      </c>
      <c r="AH10381" t="s">
        <v>8646</v>
      </c>
      <c r="AI10381" t="str">
        <f>"9520693"</f>
        <v>9520693</v>
      </c>
      <c r="AJ10381" t="s">
        <v>13913</v>
      </c>
      <c r="AK10381">
        <v>2821066910</v>
      </c>
      <c r="AL10381" t="s">
        <v>13914</v>
      </c>
      <c r="AM10381" t="s">
        <v>88</v>
      </c>
      <c r="AN10381" t="s">
        <v>88</v>
      </c>
      <c r="AO10381" t="s">
        <v>6770</v>
      </c>
      <c r="AP10381" t="s">
        <v>6771</v>
      </c>
      <c r="AQ10381">
        <v>2</v>
      </c>
      <c r="AR10381" t="s">
        <v>89</v>
      </c>
      <c r="AS10381" t="s">
        <v>90</v>
      </c>
      <c r="AT10381" t="s">
        <v>58</v>
      </c>
      <c r="AU10381" t="s">
        <v>8673</v>
      </c>
      <c r="AV10381" t="s">
        <v>132</v>
      </c>
      <c r="AW10381" s="1">
        <v>29781</v>
      </c>
      <c r="AX10381">
        <v>1</v>
      </c>
    </row>
    <row r="10382" spans="1:50">
      <c r="A10382">
        <v>562510</v>
      </c>
      <c r="B10382" t="str">
        <f>"030263100"</f>
        <v>030263100</v>
      </c>
      <c r="C10382" t="s">
        <v>105</v>
      </c>
      <c r="D10382" t="s">
        <v>15281</v>
      </c>
      <c r="E10382" t="s">
        <v>95</v>
      </c>
      <c r="F10382" t="s">
        <v>15282</v>
      </c>
      <c r="G10382" t="s">
        <v>83</v>
      </c>
      <c r="H10382" t="str">
        <f>"ΑΡΧΙΜΗΔΗ    19 ΧΑΝΙΑ"</f>
        <v>ΑΡΧΙΜΗΔΗ    19 ΧΑΝΙΑ</v>
      </c>
      <c r="I10382">
        <v>73141</v>
      </c>
      <c r="J10382">
        <v>2821028129</v>
      </c>
      <c r="K10382">
        <v>6977199530</v>
      </c>
      <c r="M10382" t="s">
        <v>15283</v>
      </c>
      <c r="N10382" t="s">
        <v>615</v>
      </c>
      <c r="O10382" t="s">
        <v>616</v>
      </c>
      <c r="R10382" t="s">
        <v>57</v>
      </c>
      <c r="S10382">
        <v>15</v>
      </c>
      <c r="T10382">
        <v>187</v>
      </c>
      <c r="U10382" s="1">
        <v>32750</v>
      </c>
      <c r="V10382" t="s">
        <v>89</v>
      </c>
      <c r="W10382" t="s">
        <v>90</v>
      </c>
      <c r="X10382" t="s">
        <v>58</v>
      </c>
      <c r="Y10382">
        <v>21</v>
      </c>
      <c r="Z10382" t="s">
        <v>59</v>
      </c>
      <c r="AA10382" t="s">
        <v>59</v>
      </c>
      <c r="AB10382" t="s">
        <v>59</v>
      </c>
      <c r="AC10382" t="s">
        <v>59</v>
      </c>
      <c r="AD10382" t="s">
        <v>59</v>
      </c>
      <c r="AF10382" s="1">
        <v>32750</v>
      </c>
      <c r="AG10382" t="s">
        <v>8645</v>
      </c>
      <c r="AH10382" t="s">
        <v>8646</v>
      </c>
      <c r="AI10382" t="str">
        <f>"9500041"</f>
        <v>9500041</v>
      </c>
      <c r="AJ10382" t="s">
        <v>13944</v>
      </c>
      <c r="AK10382">
        <v>2821028218</v>
      </c>
      <c r="AL10382" t="s">
        <v>13945</v>
      </c>
      <c r="AM10382" t="s">
        <v>88</v>
      </c>
      <c r="AN10382" t="s">
        <v>88</v>
      </c>
      <c r="AO10382" t="s">
        <v>88</v>
      </c>
      <c r="AP10382" t="s">
        <v>88</v>
      </c>
      <c r="AQ10382">
        <v>1</v>
      </c>
      <c r="AR10382" t="s">
        <v>89</v>
      </c>
      <c r="AS10382" t="s">
        <v>90</v>
      </c>
      <c r="AT10382" t="s">
        <v>58</v>
      </c>
      <c r="AU10382" t="s">
        <v>68</v>
      </c>
      <c r="AV10382" t="s">
        <v>69</v>
      </c>
      <c r="AW10382" s="1">
        <v>21545</v>
      </c>
      <c r="AX10382">
        <v>1</v>
      </c>
    </row>
    <row r="10383" spans="1:50">
      <c r="A10383">
        <v>617151</v>
      </c>
      <c r="B10383" t="str">
        <f>"127749233"</f>
        <v>127749233</v>
      </c>
      <c r="C10383" t="s">
        <v>50</v>
      </c>
      <c r="D10383" t="s">
        <v>15284</v>
      </c>
      <c r="E10383" t="s">
        <v>181</v>
      </c>
      <c r="F10383" t="s">
        <v>920</v>
      </c>
      <c r="G10383" t="s">
        <v>2248</v>
      </c>
      <c r="H10383" t="str">
        <f>"ΚΛΗΜΑΤΟΣ  2 ΧΑΝΙΑ"</f>
        <v>ΚΛΗΜΑΤΟΣ  2 ΧΑΝΙΑ</v>
      </c>
      <c r="I10383">
        <v>73100</v>
      </c>
      <c r="J10383">
        <v>2821095106</v>
      </c>
      <c r="K10383">
        <v>6974098125</v>
      </c>
      <c r="N10383" t="s">
        <v>615</v>
      </c>
      <c r="O10383" t="s">
        <v>616</v>
      </c>
      <c r="R10383" t="s">
        <v>57</v>
      </c>
      <c r="S10383">
        <v>6</v>
      </c>
      <c r="T10383">
        <v>774</v>
      </c>
      <c r="U10383" s="1">
        <v>39680</v>
      </c>
      <c r="V10383" t="s">
        <v>89</v>
      </c>
      <c r="W10383" t="s">
        <v>90</v>
      </c>
      <c r="X10383" t="s">
        <v>58</v>
      </c>
      <c r="Y10383">
        <v>23</v>
      </c>
      <c r="Z10383" t="s">
        <v>59</v>
      </c>
      <c r="AA10383" t="s">
        <v>59</v>
      </c>
      <c r="AB10383" t="s">
        <v>59</v>
      </c>
      <c r="AC10383" t="s">
        <v>59</v>
      </c>
      <c r="AD10383" t="s">
        <v>59</v>
      </c>
      <c r="AF10383" s="1">
        <v>39681</v>
      </c>
      <c r="AG10383" t="s">
        <v>8645</v>
      </c>
      <c r="AH10383" t="s">
        <v>8646</v>
      </c>
      <c r="AI10383" t="str">
        <f>"9500078"</f>
        <v>9500078</v>
      </c>
      <c r="AJ10383" t="s">
        <v>13988</v>
      </c>
      <c r="AK10383">
        <v>2821028788</v>
      </c>
      <c r="AL10383" t="s">
        <v>13989</v>
      </c>
      <c r="AM10383" t="s">
        <v>88</v>
      </c>
      <c r="AN10383" t="s">
        <v>88</v>
      </c>
      <c r="AO10383" t="s">
        <v>88</v>
      </c>
      <c r="AP10383" t="s">
        <v>88</v>
      </c>
      <c r="AQ10383">
        <v>1</v>
      </c>
      <c r="AR10383" t="s">
        <v>89</v>
      </c>
      <c r="AS10383" t="s">
        <v>90</v>
      </c>
      <c r="AT10383" t="s">
        <v>58</v>
      </c>
      <c r="AU10383" t="s">
        <v>68</v>
      </c>
      <c r="AV10383" t="s">
        <v>69</v>
      </c>
      <c r="AW10383" s="1">
        <v>30712</v>
      </c>
      <c r="AX10383">
        <v>1</v>
      </c>
    </row>
    <row r="10384" spans="1:50">
      <c r="A10384">
        <v>589544</v>
      </c>
      <c r="B10384" t="str">
        <f>"042574593"</f>
        <v>042574593</v>
      </c>
      <c r="C10384" t="s">
        <v>105</v>
      </c>
      <c r="D10384" t="s">
        <v>15285</v>
      </c>
      <c r="E10384" t="s">
        <v>99</v>
      </c>
      <c r="F10384" t="s">
        <v>900</v>
      </c>
      <c r="G10384" t="s">
        <v>83</v>
      </c>
      <c r="H10384" t="str">
        <f>"ΤΖΑΝΑΚΑΚΗ 21 ΧΑΝΙΑ"</f>
        <v>ΤΖΑΝΑΚΑΚΗ 21 ΧΑΝΙΑ</v>
      </c>
      <c r="I10384">
        <v>73100</v>
      </c>
      <c r="J10384">
        <v>2821023152</v>
      </c>
      <c r="K10384">
        <v>6938334820</v>
      </c>
      <c r="N10384" t="s">
        <v>615</v>
      </c>
      <c r="O10384" t="s">
        <v>616</v>
      </c>
      <c r="R10384" t="s">
        <v>57</v>
      </c>
      <c r="S10384">
        <v>10</v>
      </c>
      <c r="T10384">
        <v>176</v>
      </c>
      <c r="U10384" s="1">
        <v>36403</v>
      </c>
      <c r="V10384" t="s">
        <v>89</v>
      </c>
      <c r="W10384" t="s">
        <v>90</v>
      </c>
      <c r="X10384" t="s">
        <v>58</v>
      </c>
      <c r="Y10384">
        <v>21</v>
      </c>
      <c r="Z10384" t="s">
        <v>59</v>
      </c>
      <c r="AA10384" t="s">
        <v>59</v>
      </c>
      <c r="AB10384" t="s">
        <v>59</v>
      </c>
      <c r="AC10384" t="s">
        <v>59</v>
      </c>
      <c r="AD10384" t="s">
        <v>59</v>
      </c>
      <c r="AF10384" s="1">
        <v>36403</v>
      </c>
      <c r="AG10384" t="s">
        <v>8645</v>
      </c>
      <c r="AH10384" t="s">
        <v>8646</v>
      </c>
      <c r="AI10384" t="str">
        <f>"9500077"</f>
        <v>9500077</v>
      </c>
      <c r="AJ10384" t="s">
        <v>13903</v>
      </c>
      <c r="AK10384">
        <v>2821054404</v>
      </c>
      <c r="AL10384" t="s">
        <v>13904</v>
      </c>
      <c r="AM10384" t="s">
        <v>88</v>
      </c>
      <c r="AN10384" t="s">
        <v>88</v>
      </c>
      <c r="AO10384" t="s">
        <v>88</v>
      </c>
      <c r="AP10384" t="s">
        <v>88</v>
      </c>
      <c r="AQ10384">
        <v>1</v>
      </c>
      <c r="AR10384" t="s">
        <v>89</v>
      </c>
      <c r="AS10384" t="s">
        <v>90</v>
      </c>
      <c r="AT10384" t="s">
        <v>58</v>
      </c>
      <c r="AU10384" t="s">
        <v>68</v>
      </c>
      <c r="AV10384" t="s">
        <v>69</v>
      </c>
      <c r="AW10384" s="1">
        <v>24164</v>
      </c>
      <c r="AX10384">
        <v>1</v>
      </c>
    </row>
    <row r="10385" spans="1:50">
      <c r="A10385">
        <v>612134</v>
      </c>
      <c r="B10385" t="str">
        <f>"113190110"</f>
        <v>113190110</v>
      </c>
      <c r="C10385" t="s">
        <v>50</v>
      </c>
      <c r="D10385" t="s">
        <v>15286</v>
      </c>
      <c r="E10385" t="s">
        <v>699</v>
      </c>
      <c r="F10385" t="s">
        <v>760</v>
      </c>
      <c r="G10385" t="s">
        <v>181</v>
      </c>
      <c r="H10385" t="str">
        <f>"Α.ΒΑΝΔΟΥΛΑ  21 ΧΑΝΙΑ"</f>
        <v>Α.ΒΑΝΔΟΥΛΑ  21 ΧΑΝΙΑ</v>
      </c>
      <c r="I10385">
        <v>73133</v>
      </c>
      <c r="J10385">
        <v>2821042723</v>
      </c>
      <c r="K10385">
        <v>6972118846</v>
      </c>
      <c r="N10385" t="s">
        <v>306</v>
      </c>
      <c r="O10385" t="s">
        <v>307</v>
      </c>
      <c r="R10385" t="s">
        <v>57</v>
      </c>
      <c r="S10385">
        <v>7</v>
      </c>
      <c r="T10385">
        <v>234</v>
      </c>
      <c r="U10385" s="1">
        <v>38960</v>
      </c>
      <c r="V10385" t="s">
        <v>89</v>
      </c>
      <c r="W10385" t="s">
        <v>90</v>
      </c>
      <c r="X10385" t="s">
        <v>58</v>
      </c>
      <c r="Y10385">
        <v>23</v>
      </c>
      <c r="Z10385" t="s">
        <v>59</v>
      </c>
      <c r="AA10385" t="s">
        <v>59</v>
      </c>
      <c r="AB10385" t="s">
        <v>59</v>
      </c>
      <c r="AC10385" t="s">
        <v>59</v>
      </c>
      <c r="AD10385" t="s">
        <v>59</v>
      </c>
      <c r="AF10385" s="1">
        <v>38960</v>
      </c>
      <c r="AG10385" t="s">
        <v>8645</v>
      </c>
      <c r="AH10385" t="s">
        <v>8646</v>
      </c>
      <c r="AI10385" t="str">
        <f>"9500103"</f>
        <v>9500103</v>
      </c>
      <c r="AJ10385" t="s">
        <v>14040</v>
      </c>
      <c r="AK10385">
        <v>2821090920</v>
      </c>
      <c r="AL10385" t="s">
        <v>14041</v>
      </c>
      <c r="AM10385" t="s">
        <v>88</v>
      </c>
      <c r="AN10385" t="s">
        <v>88</v>
      </c>
      <c r="AO10385" t="s">
        <v>6733</v>
      </c>
      <c r="AP10385" t="s">
        <v>6734</v>
      </c>
      <c r="AQ10385">
        <v>2</v>
      </c>
      <c r="AR10385" t="s">
        <v>89</v>
      </c>
      <c r="AS10385" t="s">
        <v>90</v>
      </c>
      <c r="AT10385" t="s">
        <v>58</v>
      </c>
      <c r="AU10385" t="s">
        <v>68</v>
      </c>
      <c r="AV10385" t="s">
        <v>69</v>
      </c>
      <c r="AW10385" s="1">
        <v>28697</v>
      </c>
      <c r="AX10385">
        <v>1</v>
      </c>
    </row>
    <row r="10386" spans="1:50">
      <c r="A10386">
        <v>553898</v>
      </c>
      <c r="B10386" t="str">
        <f>"026576710"</f>
        <v>026576710</v>
      </c>
      <c r="C10386" t="s">
        <v>50</v>
      </c>
      <c r="D10386" t="s">
        <v>15287</v>
      </c>
      <c r="E10386" t="s">
        <v>155</v>
      </c>
      <c r="F10386" t="s">
        <v>72</v>
      </c>
      <c r="G10386" t="s">
        <v>367</v>
      </c>
      <c r="H10386" t="str">
        <f>"ΓΙΑΝΝΗ ΡΙΤΣΟΥ  37 ΧΑΝΙΑ"</f>
        <v>ΓΙΑΝΝΗ ΡΙΤΣΟΥ  37 ΧΑΝΙΑ</v>
      </c>
      <c r="I10386">
        <v>73100</v>
      </c>
      <c r="J10386">
        <v>2821097950</v>
      </c>
      <c r="K10386">
        <v>6932267739</v>
      </c>
      <c r="M10386" t="s">
        <v>15288</v>
      </c>
      <c r="N10386" t="s">
        <v>615</v>
      </c>
      <c r="O10386" t="s">
        <v>616</v>
      </c>
      <c r="R10386" t="s">
        <v>57</v>
      </c>
      <c r="S10386">
        <v>17</v>
      </c>
      <c r="T10386">
        <v>235</v>
      </c>
      <c r="U10386" s="1">
        <v>31289</v>
      </c>
      <c r="V10386" t="s">
        <v>89</v>
      </c>
      <c r="W10386" t="s">
        <v>90</v>
      </c>
      <c r="X10386" t="s">
        <v>58</v>
      </c>
      <c r="Y10386">
        <v>21</v>
      </c>
      <c r="Z10386" t="s">
        <v>59</v>
      </c>
      <c r="AA10386" t="s">
        <v>59</v>
      </c>
      <c r="AB10386" t="s">
        <v>59</v>
      </c>
      <c r="AC10386" t="s">
        <v>59</v>
      </c>
      <c r="AD10386" t="s">
        <v>59</v>
      </c>
      <c r="AF10386" s="1">
        <v>31289</v>
      </c>
      <c r="AG10386" t="s">
        <v>8645</v>
      </c>
      <c r="AH10386" t="s">
        <v>8646</v>
      </c>
      <c r="AI10386" t="str">
        <f>"9500041"</f>
        <v>9500041</v>
      </c>
      <c r="AJ10386" t="s">
        <v>13944</v>
      </c>
      <c r="AK10386">
        <v>2821028218</v>
      </c>
      <c r="AL10386" t="s">
        <v>13945</v>
      </c>
      <c r="AM10386" t="s">
        <v>88</v>
      </c>
      <c r="AN10386" t="s">
        <v>88</v>
      </c>
      <c r="AO10386" t="s">
        <v>88</v>
      </c>
      <c r="AP10386" t="s">
        <v>88</v>
      </c>
      <c r="AQ10386">
        <v>1</v>
      </c>
      <c r="AR10386" t="s">
        <v>89</v>
      </c>
      <c r="AS10386" t="s">
        <v>90</v>
      </c>
      <c r="AT10386" t="s">
        <v>58</v>
      </c>
      <c r="AU10386" t="s">
        <v>68</v>
      </c>
      <c r="AV10386" t="s">
        <v>2039</v>
      </c>
      <c r="AW10386" s="1">
        <v>22955</v>
      </c>
      <c r="AX10386">
        <v>1</v>
      </c>
    </row>
    <row r="10387" spans="1:50">
      <c r="B10387" t="str">
        <f>"140990455"</f>
        <v>140990455</v>
      </c>
      <c r="C10387" t="s">
        <v>50</v>
      </c>
      <c r="D10387" t="s">
        <v>15289</v>
      </c>
      <c r="E10387" t="s">
        <v>255</v>
      </c>
      <c r="F10387" t="s">
        <v>53</v>
      </c>
      <c r="G10387" t="s">
        <v>237</v>
      </c>
      <c r="H10387" t="str">
        <f>"ΦΩΤΑΔΑ ΤΡΙΚΑΛΩΝ"</f>
        <v>ΦΩΤΑΔΑ ΤΡΙΚΑΛΩΝ</v>
      </c>
      <c r="I10387">
        <v>42100</v>
      </c>
      <c r="J10387">
        <v>2431084451</v>
      </c>
      <c r="K10387">
        <v>6989106688</v>
      </c>
      <c r="N10387" t="s">
        <v>615</v>
      </c>
      <c r="O10387" t="s">
        <v>616</v>
      </c>
      <c r="R10387" t="s">
        <v>159</v>
      </c>
      <c r="S10387">
        <v>3</v>
      </c>
      <c r="T10387" t="s">
        <v>8675</v>
      </c>
      <c r="U10387" s="1">
        <v>43348</v>
      </c>
      <c r="V10387" t="s">
        <v>89</v>
      </c>
      <c r="W10387" t="s">
        <v>90</v>
      </c>
      <c r="X10387" t="s">
        <v>58</v>
      </c>
      <c r="Y10387">
        <v>24</v>
      </c>
      <c r="Z10387" t="s">
        <v>59</v>
      </c>
      <c r="AA10387" t="s">
        <v>59</v>
      </c>
      <c r="AB10387" t="s">
        <v>59</v>
      </c>
      <c r="AC10387" t="s">
        <v>59</v>
      </c>
      <c r="AD10387" t="s">
        <v>59</v>
      </c>
      <c r="AF10387" s="1">
        <v>43348</v>
      </c>
      <c r="AG10387" t="s">
        <v>8645</v>
      </c>
      <c r="AH10387" t="s">
        <v>8646</v>
      </c>
      <c r="AI10387" t="str">
        <f>"9500173"</f>
        <v>9500173</v>
      </c>
      <c r="AJ10387" t="s">
        <v>14513</v>
      </c>
      <c r="AK10387">
        <v>2823022235</v>
      </c>
      <c r="AL10387" t="s">
        <v>14514</v>
      </c>
      <c r="AM10387" t="s">
        <v>88</v>
      </c>
      <c r="AN10387" t="s">
        <v>6824</v>
      </c>
      <c r="AO10387" t="s">
        <v>6825</v>
      </c>
      <c r="AP10387" t="s">
        <v>6826</v>
      </c>
      <c r="AQ10387">
        <v>11</v>
      </c>
      <c r="AR10387" t="s">
        <v>89</v>
      </c>
      <c r="AS10387" t="s">
        <v>90</v>
      </c>
      <c r="AT10387" t="s">
        <v>58</v>
      </c>
      <c r="AU10387" t="s">
        <v>8673</v>
      </c>
      <c r="AV10387" t="s">
        <v>132</v>
      </c>
      <c r="AW10387" s="1">
        <v>31882</v>
      </c>
      <c r="AX10387">
        <v>1</v>
      </c>
    </row>
    <row r="10388" spans="1:50">
      <c r="B10388" t="str">
        <f>"144866496"</f>
        <v>144866496</v>
      </c>
      <c r="C10388" t="s">
        <v>105</v>
      </c>
      <c r="D10388" t="s">
        <v>15290</v>
      </c>
      <c r="E10388" t="s">
        <v>383</v>
      </c>
      <c r="F10388" t="s">
        <v>459</v>
      </c>
      <c r="G10388" t="s">
        <v>52</v>
      </c>
      <c r="H10388" t="str">
        <f>" "</f>
        <v xml:space="preserve"> </v>
      </c>
      <c r="N10388" t="s">
        <v>5128</v>
      </c>
      <c r="O10388" t="s">
        <v>5129</v>
      </c>
      <c r="R10388" t="s">
        <v>121</v>
      </c>
      <c r="S10388">
        <v>3</v>
      </c>
      <c r="T10388" t="s">
        <v>8696</v>
      </c>
      <c r="U10388" s="1">
        <v>43348</v>
      </c>
      <c r="V10388" t="s">
        <v>89</v>
      </c>
      <c r="W10388" t="s">
        <v>90</v>
      </c>
      <c r="X10388" t="s">
        <v>58</v>
      </c>
      <c r="Y10388">
        <v>24</v>
      </c>
      <c r="Z10388" t="s">
        <v>59</v>
      </c>
      <c r="AA10388" t="s">
        <v>59</v>
      </c>
      <c r="AB10388" t="s">
        <v>59</v>
      </c>
      <c r="AD10388" t="s">
        <v>59</v>
      </c>
      <c r="AF10388" s="1">
        <v>43348</v>
      </c>
      <c r="AG10388" t="s">
        <v>8645</v>
      </c>
      <c r="AH10388" t="s">
        <v>8697</v>
      </c>
      <c r="AI10388" t="str">
        <f>"9500424"</f>
        <v>9500424</v>
      </c>
      <c r="AJ10388" t="s">
        <v>14232</v>
      </c>
      <c r="AK10388">
        <v>2821044022</v>
      </c>
      <c r="AL10388" t="s">
        <v>14233</v>
      </c>
      <c r="AM10388" t="s">
        <v>88</v>
      </c>
      <c r="AN10388" t="s">
        <v>88</v>
      </c>
      <c r="AO10388" t="s">
        <v>88</v>
      </c>
      <c r="AP10388" t="s">
        <v>88</v>
      </c>
      <c r="AQ10388">
        <v>1</v>
      </c>
      <c r="AR10388" t="s">
        <v>89</v>
      </c>
      <c r="AS10388" t="s">
        <v>90</v>
      </c>
      <c r="AT10388" t="s">
        <v>58</v>
      </c>
      <c r="AU10388" t="s">
        <v>350</v>
      </c>
      <c r="AV10388" t="s">
        <v>132</v>
      </c>
      <c r="AW10388" s="1">
        <v>32261</v>
      </c>
      <c r="AX10388">
        <v>1</v>
      </c>
    </row>
    <row r="10389" spans="1:50">
      <c r="A10389">
        <v>568822</v>
      </c>
      <c r="B10389" t="str">
        <f>"036425153"</f>
        <v>036425153</v>
      </c>
      <c r="C10389" t="s">
        <v>50</v>
      </c>
      <c r="D10389" t="s">
        <v>15291</v>
      </c>
      <c r="E10389" t="s">
        <v>52</v>
      </c>
      <c r="F10389" t="s">
        <v>202</v>
      </c>
      <c r="G10389" t="s">
        <v>255</v>
      </c>
      <c r="H10389" t="str">
        <f>"ΠΡΟΦΗΤΗ ΗΛΙΑ 120 ΧΑΝΙΑ"</f>
        <v>ΠΡΟΦΗΤΗ ΗΛΙΑ 120 ΧΑΝΙΑ</v>
      </c>
      <c r="I10389">
        <v>73133</v>
      </c>
      <c r="J10389">
        <v>2821056797</v>
      </c>
      <c r="K10389">
        <v>6944843129</v>
      </c>
      <c r="N10389" t="s">
        <v>615</v>
      </c>
      <c r="O10389" t="s">
        <v>616</v>
      </c>
      <c r="P10389" t="s">
        <v>176</v>
      </c>
      <c r="Q10389" t="s">
        <v>177</v>
      </c>
      <c r="R10389" t="s">
        <v>57</v>
      </c>
      <c r="S10389">
        <v>14</v>
      </c>
      <c r="T10389">
        <v>162</v>
      </c>
      <c r="U10389" s="1">
        <v>33844</v>
      </c>
      <c r="V10389" t="s">
        <v>89</v>
      </c>
      <c r="W10389" t="s">
        <v>90</v>
      </c>
      <c r="X10389" t="s">
        <v>58</v>
      </c>
      <c r="Y10389">
        <v>21</v>
      </c>
      <c r="Z10389" t="s">
        <v>59</v>
      </c>
      <c r="AA10389" t="s">
        <v>59</v>
      </c>
      <c r="AB10389" t="s">
        <v>59</v>
      </c>
      <c r="AC10389" t="s">
        <v>59</v>
      </c>
      <c r="AD10389" t="s">
        <v>59</v>
      </c>
      <c r="AF10389" s="1">
        <v>33844</v>
      </c>
      <c r="AG10389" t="s">
        <v>8645</v>
      </c>
      <c r="AH10389" t="s">
        <v>8697</v>
      </c>
      <c r="AI10389" t="str">
        <f>"9500424"</f>
        <v>9500424</v>
      </c>
      <c r="AJ10389" t="s">
        <v>14232</v>
      </c>
      <c r="AK10389">
        <v>2821044022</v>
      </c>
      <c r="AL10389" t="s">
        <v>14233</v>
      </c>
      <c r="AM10389" t="s">
        <v>88</v>
      </c>
      <c r="AN10389" t="s">
        <v>88</v>
      </c>
      <c r="AO10389" t="s">
        <v>88</v>
      </c>
      <c r="AP10389" t="s">
        <v>88</v>
      </c>
      <c r="AQ10389">
        <v>1</v>
      </c>
      <c r="AR10389" t="s">
        <v>89</v>
      </c>
      <c r="AS10389" t="s">
        <v>90</v>
      </c>
      <c r="AT10389" t="s">
        <v>58</v>
      </c>
      <c r="AU10389" t="s">
        <v>68</v>
      </c>
      <c r="AV10389" t="s">
        <v>69</v>
      </c>
      <c r="AW10389" s="1">
        <v>24452</v>
      </c>
      <c r="AX10389">
        <v>1</v>
      </c>
    </row>
    <row r="10390" spans="1:50">
      <c r="B10390" t="str">
        <f>"140582054"</f>
        <v>140582054</v>
      </c>
      <c r="C10390" t="s">
        <v>50</v>
      </c>
      <c r="D10390" t="s">
        <v>15292</v>
      </c>
      <c r="E10390" t="s">
        <v>513</v>
      </c>
      <c r="F10390" t="s">
        <v>304</v>
      </c>
      <c r="H10390" t="str">
        <f>" "</f>
        <v xml:space="preserve"> </v>
      </c>
      <c r="N10390" t="s">
        <v>384</v>
      </c>
      <c r="O10390" t="s">
        <v>385</v>
      </c>
      <c r="R10390" t="s">
        <v>159</v>
      </c>
      <c r="S10390">
        <v>1</v>
      </c>
      <c r="T10390" t="s">
        <v>8675</v>
      </c>
      <c r="U10390" s="1">
        <v>43348</v>
      </c>
      <c r="V10390" t="s">
        <v>89</v>
      </c>
      <c r="W10390" t="s">
        <v>90</v>
      </c>
      <c r="X10390" t="s">
        <v>58</v>
      </c>
      <c r="Y10390">
        <v>24</v>
      </c>
      <c r="Z10390" t="s">
        <v>59</v>
      </c>
      <c r="AA10390" t="s">
        <v>59</v>
      </c>
      <c r="AB10390" t="s">
        <v>59</v>
      </c>
      <c r="AC10390" t="s">
        <v>59</v>
      </c>
      <c r="AD10390" t="s">
        <v>59</v>
      </c>
      <c r="AF10390" s="1">
        <v>43348</v>
      </c>
      <c r="AG10390" t="s">
        <v>8645</v>
      </c>
      <c r="AH10390" t="s">
        <v>8646</v>
      </c>
      <c r="AI10390" t="str">
        <f>"9500218"</f>
        <v>9500218</v>
      </c>
      <c r="AJ10390" t="s">
        <v>13992</v>
      </c>
      <c r="AK10390">
        <v>2824022216</v>
      </c>
      <c r="AL10390" t="s">
        <v>13993</v>
      </c>
      <c r="AM10390" t="s">
        <v>88</v>
      </c>
      <c r="AN10390" t="s">
        <v>6764</v>
      </c>
      <c r="AO10390" t="s">
        <v>6799</v>
      </c>
      <c r="AP10390" t="s">
        <v>6799</v>
      </c>
      <c r="AQ10390">
        <v>6</v>
      </c>
      <c r="AR10390" t="s">
        <v>89</v>
      </c>
      <c r="AS10390" t="s">
        <v>90</v>
      </c>
      <c r="AT10390" t="s">
        <v>58</v>
      </c>
      <c r="AU10390" t="s">
        <v>8673</v>
      </c>
      <c r="AV10390" t="s">
        <v>132</v>
      </c>
      <c r="AW10390" s="1">
        <v>31998</v>
      </c>
      <c r="AX10390">
        <v>1</v>
      </c>
    </row>
    <row r="10391" spans="1:50">
      <c r="A10391">
        <v>557527</v>
      </c>
      <c r="B10391" t="str">
        <f>"034394060"</f>
        <v>034394060</v>
      </c>
      <c r="C10391" t="s">
        <v>105</v>
      </c>
      <c r="D10391" t="s">
        <v>8188</v>
      </c>
      <c r="E10391" t="s">
        <v>53</v>
      </c>
      <c r="F10391" t="s">
        <v>166</v>
      </c>
      <c r="G10391" t="s">
        <v>4345</v>
      </c>
      <c r="H10391" t="str">
        <f>"ΕΦΕ ΧΑΝΙΑ"</f>
        <v>ΕΦΕ ΧΑΝΙΑ</v>
      </c>
      <c r="J10391">
        <v>2821095827</v>
      </c>
      <c r="K10391">
        <v>6973540604</v>
      </c>
      <c r="N10391" t="s">
        <v>615</v>
      </c>
      <c r="O10391" t="s">
        <v>616</v>
      </c>
      <c r="R10391" t="s">
        <v>57</v>
      </c>
      <c r="S10391">
        <v>15</v>
      </c>
      <c r="T10391">
        <v>168</v>
      </c>
      <c r="U10391" s="1">
        <v>32010</v>
      </c>
      <c r="V10391" t="s">
        <v>89</v>
      </c>
      <c r="W10391" t="s">
        <v>90</v>
      </c>
      <c r="X10391" t="s">
        <v>58</v>
      </c>
      <c r="Y10391">
        <v>21</v>
      </c>
      <c r="Z10391" t="s">
        <v>59</v>
      </c>
      <c r="AA10391" t="s">
        <v>59</v>
      </c>
      <c r="AB10391" t="s">
        <v>59</v>
      </c>
      <c r="AC10391" t="s">
        <v>59</v>
      </c>
      <c r="AD10391" t="s">
        <v>59</v>
      </c>
      <c r="AF10391" s="1">
        <v>32010</v>
      </c>
      <c r="AG10391" t="s">
        <v>8645</v>
      </c>
      <c r="AH10391" t="s">
        <v>8646</v>
      </c>
      <c r="AI10391" t="str">
        <f>"9500035"</f>
        <v>9500035</v>
      </c>
      <c r="AJ10391" t="s">
        <v>13979</v>
      </c>
      <c r="AK10391">
        <v>2821094678</v>
      </c>
      <c r="AL10391" t="s">
        <v>13980</v>
      </c>
      <c r="AM10391" t="s">
        <v>88</v>
      </c>
      <c r="AN10391" t="s">
        <v>88</v>
      </c>
      <c r="AO10391" t="s">
        <v>88</v>
      </c>
      <c r="AP10391" t="s">
        <v>88</v>
      </c>
      <c r="AQ10391">
        <v>2</v>
      </c>
      <c r="AR10391" t="s">
        <v>89</v>
      </c>
      <c r="AS10391" t="s">
        <v>90</v>
      </c>
      <c r="AT10391" t="s">
        <v>58</v>
      </c>
      <c r="AU10391" t="s">
        <v>68</v>
      </c>
      <c r="AV10391" t="s">
        <v>69</v>
      </c>
      <c r="AW10391" s="1">
        <v>21396</v>
      </c>
      <c r="AX10391">
        <v>1</v>
      </c>
    </row>
    <row r="10392" spans="1:50">
      <c r="A10392">
        <v>188793</v>
      </c>
      <c r="B10392" t="str">
        <f>"052915690"</f>
        <v>052915690</v>
      </c>
      <c r="C10392" t="s">
        <v>50</v>
      </c>
      <c r="D10392" t="s">
        <v>15293</v>
      </c>
      <c r="E10392" t="s">
        <v>83</v>
      </c>
      <c r="F10392" t="s">
        <v>53</v>
      </c>
      <c r="G10392" t="s">
        <v>263</v>
      </c>
      <c r="H10392" t="str">
        <f>"ΑΓ. ΝΕΚΤΑΡΙΟΥ 22 ΠΑΣΑΚΑΚΙ, ΜΟΥΡΝΙΕΣ"</f>
        <v>ΑΓ. ΝΕΚΤΑΡΙΟΥ 22 ΠΑΣΑΚΑΚΙ, ΜΟΥΡΝΙΕΣ</v>
      </c>
      <c r="I10392">
        <v>73300</v>
      </c>
      <c r="J10392">
        <v>2821111530</v>
      </c>
      <c r="K10392">
        <v>6982609504</v>
      </c>
      <c r="N10392" t="s">
        <v>204</v>
      </c>
      <c r="O10392" t="s">
        <v>205</v>
      </c>
      <c r="R10392" t="s">
        <v>57</v>
      </c>
      <c r="S10392">
        <v>10</v>
      </c>
      <c r="T10392" t="s">
        <v>3883</v>
      </c>
      <c r="U10392" s="1">
        <v>36039</v>
      </c>
      <c r="V10392" t="s">
        <v>89</v>
      </c>
      <c r="W10392" t="s">
        <v>90</v>
      </c>
      <c r="X10392" t="s">
        <v>58</v>
      </c>
      <c r="Y10392">
        <v>21</v>
      </c>
      <c r="Z10392" t="s">
        <v>59</v>
      </c>
      <c r="AA10392" t="s">
        <v>59</v>
      </c>
      <c r="AB10392" t="s">
        <v>59</v>
      </c>
      <c r="AC10392" t="s">
        <v>59</v>
      </c>
      <c r="AD10392" t="s">
        <v>59</v>
      </c>
      <c r="AF10392" s="1">
        <v>36759</v>
      </c>
      <c r="AG10392" t="s">
        <v>8645</v>
      </c>
      <c r="AH10392" t="s">
        <v>8646</v>
      </c>
      <c r="AI10392" t="str">
        <f>"9500035"</f>
        <v>9500035</v>
      </c>
      <c r="AJ10392" t="s">
        <v>13979</v>
      </c>
      <c r="AK10392">
        <v>2821094678</v>
      </c>
      <c r="AL10392" t="s">
        <v>13980</v>
      </c>
      <c r="AM10392" t="s">
        <v>88</v>
      </c>
      <c r="AN10392" t="s">
        <v>88</v>
      </c>
      <c r="AO10392" t="s">
        <v>88</v>
      </c>
      <c r="AP10392" t="s">
        <v>88</v>
      </c>
      <c r="AQ10392">
        <v>2</v>
      </c>
      <c r="AR10392" t="s">
        <v>89</v>
      </c>
      <c r="AS10392" t="s">
        <v>90</v>
      </c>
      <c r="AT10392" t="s">
        <v>58</v>
      </c>
      <c r="AU10392" t="s">
        <v>68</v>
      </c>
      <c r="AV10392" t="s">
        <v>69</v>
      </c>
      <c r="AW10392" s="1">
        <v>24564</v>
      </c>
      <c r="AX10392">
        <v>1</v>
      </c>
    </row>
    <row r="10393" spans="1:50">
      <c r="A10393">
        <v>608359</v>
      </c>
      <c r="B10393" t="str">
        <f>"074763510"</f>
        <v>074763510</v>
      </c>
      <c r="C10393" t="s">
        <v>50</v>
      </c>
      <c r="D10393" t="s">
        <v>3522</v>
      </c>
      <c r="E10393" t="s">
        <v>52</v>
      </c>
      <c r="F10393" t="s">
        <v>5041</v>
      </c>
      <c r="G10393" t="s">
        <v>1204</v>
      </c>
      <c r="H10393" t="str">
        <f>"ΚΑΜΠΑΝΙ ΑΚΡΩΤΗΡΙΟΥ ΧΑΝΙΑ"</f>
        <v>ΚΑΜΠΑΝΙ ΑΚΡΩΤΗΡΙΟΥ ΧΑΝΙΑ</v>
      </c>
      <c r="I10393">
        <v>73100</v>
      </c>
      <c r="J10393">
        <v>2821084953</v>
      </c>
      <c r="K10393">
        <v>6944539572</v>
      </c>
      <c r="N10393" t="s">
        <v>1525</v>
      </c>
      <c r="O10393" t="s">
        <v>1526</v>
      </c>
      <c r="R10393" t="s">
        <v>57</v>
      </c>
      <c r="S10393">
        <v>8</v>
      </c>
      <c r="T10393">
        <v>217</v>
      </c>
      <c r="U10393" s="1">
        <v>38596</v>
      </c>
      <c r="V10393" t="s">
        <v>89</v>
      </c>
      <c r="W10393" t="s">
        <v>90</v>
      </c>
      <c r="X10393" t="s">
        <v>58</v>
      </c>
      <c r="Y10393">
        <v>25</v>
      </c>
      <c r="Z10393" t="s">
        <v>59</v>
      </c>
      <c r="AA10393" t="s">
        <v>59</v>
      </c>
      <c r="AB10393" t="s">
        <v>59</v>
      </c>
      <c r="AC10393" t="s">
        <v>59</v>
      </c>
      <c r="AD10393" t="s">
        <v>59</v>
      </c>
      <c r="AF10393" s="1">
        <v>38601</v>
      </c>
      <c r="AG10393" t="s">
        <v>8651</v>
      </c>
      <c r="AH10393" t="s">
        <v>8652</v>
      </c>
      <c r="AI10393" t="str">
        <f>"9500405"</f>
        <v>9500405</v>
      </c>
      <c r="AJ10393" t="s">
        <v>14088</v>
      </c>
      <c r="AK10393">
        <v>2821047840</v>
      </c>
      <c r="AL10393" t="s">
        <v>14089</v>
      </c>
      <c r="AM10393" t="s">
        <v>88</v>
      </c>
      <c r="AN10393" t="s">
        <v>88</v>
      </c>
      <c r="AO10393" t="s">
        <v>6770</v>
      </c>
      <c r="AP10393" t="s">
        <v>14090</v>
      </c>
      <c r="AQ10393">
        <v>2</v>
      </c>
      <c r="AR10393" t="s">
        <v>89</v>
      </c>
      <c r="AS10393" t="s">
        <v>90</v>
      </c>
      <c r="AT10393" t="s">
        <v>58</v>
      </c>
      <c r="AU10393" t="s">
        <v>68</v>
      </c>
      <c r="AV10393" t="s">
        <v>69</v>
      </c>
      <c r="AW10393" s="1">
        <v>26201</v>
      </c>
      <c r="AX10393">
        <v>1</v>
      </c>
    </row>
    <row r="10394" spans="1:50">
      <c r="A10394">
        <v>702417</v>
      </c>
      <c r="B10394" t="str">
        <f>"132127346"</f>
        <v>132127346</v>
      </c>
      <c r="C10394" t="s">
        <v>50</v>
      </c>
      <c r="D10394" t="s">
        <v>15294</v>
      </c>
      <c r="E10394" t="s">
        <v>238</v>
      </c>
      <c r="F10394" t="s">
        <v>989</v>
      </c>
      <c r="G10394" t="s">
        <v>755</v>
      </c>
      <c r="H10394" t="str">
        <f>"Γ. ΠΑΡΟΔΟΣ ΣΤΟΥΜΠΑΝΩΝ 5 ΝΑΟΥΣΑ"</f>
        <v>Γ. ΠΑΡΟΔΟΣ ΣΤΟΥΜΠΑΝΩΝ 5 ΝΑΟΥΣΑ</v>
      </c>
      <c r="I10394">
        <v>59200</v>
      </c>
      <c r="J10394">
        <v>2332024384</v>
      </c>
      <c r="K10394">
        <v>6988621216</v>
      </c>
      <c r="L10394">
        <v>2821040016</v>
      </c>
      <c r="N10394" t="s">
        <v>615</v>
      </c>
      <c r="O10394" t="s">
        <v>616</v>
      </c>
      <c r="R10394" t="s">
        <v>57</v>
      </c>
      <c r="S10394">
        <v>5</v>
      </c>
      <c r="T10394">
        <v>772</v>
      </c>
      <c r="U10394" s="1">
        <v>40413</v>
      </c>
      <c r="V10394" t="s">
        <v>89</v>
      </c>
      <c r="W10394" t="s">
        <v>90</v>
      </c>
      <c r="X10394" t="s">
        <v>58</v>
      </c>
      <c r="Y10394">
        <v>23</v>
      </c>
      <c r="Z10394" t="s">
        <v>59</v>
      </c>
      <c r="AA10394" t="s">
        <v>59</v>
      </c>
      <c r="AB10394" t="s">
        <v>59</v>
      </c>
      <c r="AC10394" t="s">
        <v>59</v>
      </c>
      <c r="AD10394" t="s">
        <v>59</v>
      </c>
      <c r="AF10394" s="1">
        <v>40413</v>
      </c>
      <c r="AG10394" t="s">
        <v>8645</v>
      </c>
      <c r="AH10394" t="s">
        <v>8646</v>
      </c>
      <c r="AI10394" t="str">
        <f>"9500083"</f>
        <v>9500083</v>
      </c>
      <c r="AJ10394" t="s">
        <v>14239</v>
      </c>
      <c r="AK10394">
        <v>2821063500</v>
      </c>
      <c r="AL10394" t="s">
        <v>14240</v>
      </c>
      <c r="AM10394" t="s">
        <v>88</v>
      </c>
      <c r="AN10394" t="s">
        <v>88</v>
      </c>
      <c r="AO10394" t="s">
        <v>6770</v>
      </c>
      <c r="AP10394" t="s">
        <v>14090</v>
      </c>
      <c r="AQ10394">
        <v>2</v>
      </c>
      <c r="AR10394" t="s">
        <v>89</v>
      </c>
      <c r="AS10394" t="s">
        <v>90</v>
      </c>
      <c r="AT10394" t="s">
        <v>58</v>
      </c>
      <c r="AU10394" t="s">
        <v>68</v>
      </c>
      <c r="AV10394" t="s">
        <v>69</v>
      </c>
      <c r="AW10394" s="1">
        <v>31347</v>
      </c>
      <c r="AX10394">
        <v>1</v>
      </c>
    </row>
    <row r="10395" spans="1:50">
      <c r="B10395" t="str">
        <f>"154727492"</f>
        <v>154727492</v>
      </c>
      <c r="C10395" t="s">
        <v>50</v>
      </c>
      <c r="D10395" t="s">
        <v>15295</v>
      </c>
      <c r="E10395" t="s">
        <v>191</v>
      </c>
      <c r="F10395" t="s">
        <v>95</v>
      </c>
      <c r="G10395" t="s">
        <v>600</v>
      </c>
      <c r="H10395" t="str">
        <f>" "</f>
        <v xml:space="preserve"> </v>
      </c>
      <c r="N10395" t="s">
        <v>8694</v>
      </c>
      <c r="O10395" t="s">
        <v>8695</v>
      </c>
      <c r="R10395" t="s">
        <v>159</v>
      </c>
      <c r="S10395">
        <v>1</v>
      </c>
      <c r="T10395" t="s">
        <v>8835</v>
      </c>
      <c r="U10395" s="1">
        <v>43348</v>
      </c>
      <c r="V10395" t="s">
        <v>89</v>
      </c>
      <c r="W10395" t="s">
        <v>90</v>
      </c>
      <c r="X10395" t="s">
        <v>58</v>
      </c>
      <c r="Y10395">
        <v>24</v>
      </c>
      <c r="Z10395" t="s">
        <v>59</v>
      </c>
      <c r="AA10395" t="s">
        <v>59</v>
      </c>
      <c r="AB10395" t="s">
        <v>59</v>
      </c>
      <c r="AC10395" t="s">
        <v>59</v>
      </c>
      <c r="AD10395" t="s">
        <v>59</v>
      </c>
      <c r="AF10395" s="1">
        <v>43348</v>
      </c>
      <c r="AG10395" t="s">
        <v>8645</v>
      </c>
      <c r="AH10395" t="s">
        <v>8646</v>
      </c>
      <c r="AI10395" t="str">
        <f>"9500423"</f>
        <v>9500423</v>
      </c>
      <c r="AJ10395" t="s">
        <v>13893</v>
      </c>
      <c r="AK10395">
        <v>2821023473</v>
      </c>
      <c r="AL10395" t="s">
        <v>13894</v>
      </c>
      <c r="AM10395" t="s">
        <v>88</v>
      </c>
      <c r="AN10395" t="s">
        <v>88</v>
      </c>
      <c r="AO10395" t="s">
        <v>88</v>
      </c>
      <c r="AP10395" t="s">
        <v>88</v>
      </c>
      <c r="AQ10395">
        <v>1</v>
      </c>
      <c r="AR10395" t="s">
        <v>89</v>
      </c>
      <c r="AS10395" t="s">
        <v>90</v>
      </c>
      <c r="AT10395" t="s">
        <v>58</v>
      </c>
      <c r="AU10395" t="s">
        <v>131</v>
      </c>
      <c r="AV10395" t="s">
        <v>132</v>
      </c>
      <c r="AW10395" s="1">
        <v>34262</v>
      </c>
      <c r="AX10395">
        <v>1</v>
      </c>
    </row>
    <row r="10396" spans="1:50">
      <c r="A10396">
        <v>551331</v>
      </c>
      <c r="B10396" t="str">
        <f>"027257782"</f>
        <v>027257782</v>
      </c>
      <c r="C10396" t="s">
        <v>105</v>
      </c>
      <c r="D10396" t="s">
        <v>15296</v>
      </c>
      <c r="E10396" t="s">
        <v>72</v>
      </c>
      <c r="F10396" t="s">
        <v>2972</v>
      </c>
      <c r="G10396" t="s">
        <v>330</v>
      </c>
      <c r="H10396" t="str">
        <f>"ΜΑΛΙΝΔΡΕΤΟΥ ΧΑΝΙΑ"</f>
        <v>ΜΑΛΙΝΔΡΕΤΟΥ ΧΑΝΙΑ</v>
      </c>
      <c r="I10396">
        <v>73100</v>
      </c>
      <c r="J10396">
        <v>2821060963</v>
      </c>
      <c r="K10396">
        <v>6979806710</v>
      </c>
      <c r="N10396" t="s">
        <v>615</v>
      </c>
      <c r="O10396" t="s">
        <v>616</v>
      </c>
      <c r="R10396" t="s">
        <v>57</v>
      </c>
      <c r="S10396">
        <v>17</v>
      </c>
      <c r="T10396">
        <v>271</v>
      </c>
      <c r="U10396" s="1">
        <v>30923</v>
      </c>
      <c r="V10396" t="s">
        <v>89</v>
      </c>
      <c r="W10396" t="s">
        <v>90</v>
      </c>
      <c r="X10396" t="s">
        <v>58</v>
      </c>
      <c r="Y10396">
        <v>21</v>
      </c>
      <c r="Z10396" t="s">
        <v>59</v>
      </c>
      <c r="AA10396" t="s">
        <v>59</v>
      </c>
      <c r="AB10396" t="s">
        <v>59</v>
      </c>
      <c r="AC10396" t="s">
        <v>59</v>
      </c>
      <c r="AD10396" t="s">
        <v>59</v>
      </c>
      <c r="AF10396" s="1">
        <v>30923</v>
      </c>
      <c r="AG10396" t="s">
        <v>8645</v>
      </c>
      <c r="AH10396" t="s">
        <v>8646</v>
      </c>
      <c r="AI10396" t="str">
        <f>"9500119"</f>
        <v>9500119</v>
      </c>
      <c r="AJ10396" t="s">
        <v>14286</v>
      </c>
      <c r="AK10396">
        <v>2821095816</v>
      </c>
      <c r="AL10396" t="s">
        <v>14287</v>
      </c>
      <c r="AM10396" t="s">
        <v>88</v>
      </c>
      <c r="AN10396" t="s">
        <v>88</v>
      </c>
      <c r="AO10396" t="s">
        <v>13920</v>
      </c>
      <c r="AP10396" t="s">
        <v>14029</v>
      </c>
      <c r="AQ10396">
        <v>3</v>
      </c>
      <c r="AR10396" t="s">
        <v>89</v>
      </c>
      <c r="AS10396" t="s">
        <v>90</v>
      </c>
      <c r="AT10396" t="s">
        <v>58</v>
      </c>
      <c r="AU10396" t="s">
        <v>68</v>
      </c>
      <c r="AV10396" t="s">
        <v>69</v>
      </c>
      <c r="AW10396" s="1">
        <v>22025</v>
      </c>
      <c r="AX10396">
        <v>1</v>
      </c>
    </row>
    <row r="10397" spans="1:50">
      <c r="A10397">
        <v>551309</v>
      </c>
      <c r="B10397" t="str">
        <f>"028123311"</f>
        <v>028123311</v>
      </c>
      <c r="C10397" t="s">
        <v>105</v>
      </c>
      <c r="D10397" t="s">
        <v>3547</v>
      </c>
      <c r="E10397" t="s">
        <v>72</v>
      </c>
      <c r="F10397" t="s">
        <v>2972</v>
      </c>
      <c r="G10397" t="s">
        <v>52</v>
      </c>
      <c r="H10397" t="str">
        <f>"ΑΓΙΩΝ ΑΠΟΣΤΟΛΩΝ  27 ΧΑΝΙΑ"</f>
        <v>ΑΓΙΩΝ ΑΠΟΣΤΟΛΩΝ  27 ΧΑΝΙΑ</v>
      </c>
      <c r="I10397">
        <v>73100</v>
      </c>
      <c r="J10397">
        <v>2821076022</v>
      </c>
      <c r="K10397">
        <v>6937787633</v>
      </c>
      <c r="N10397" t="s">
        <v>615</v>
      </c>
      <c r="O10397" t="s">
        <v>616</v>
      </c>
      <c r="R10397" t="s">
        <v>57</v>
      </c>
      <c r="S10397">
        <v>17</v>
      </c>
      <c r="T10397">
        <v>271</v>
      </c>
      <c r="U10397" s="1">
        <v>30923</v>
      </c>
      <c r="V10397" t="s">
        <v>89</v>
      </c>
      <c r="W10397" t="s">
        <v>90</v>
      </c>
      <c r="X10397" t="s">
        <v>58</v>
      </c>
      <c r="Y10397">
        <v>21</v>
      </c>
      <c r="Z10397" t="s">
        <v>59</v>
      </c>
      <c r="AA10397" t="s">
        <v>59</v>
      </c>
      <c r="AB10397" t="s">
        <v>59</v>
      </c>
      <c r="AC10397" t="s">
        <v>59</v>
      </c>
      <c r="AD10397" t="s">
        <v>59</v>
      </c>
      <c r="AF10397" s="1">
        <v>30923</v>
      </c>
      <c r="AG10397" t="s">
        <v>8645</v>
      </c>
      <c r="AH10397" t="s">
        <v>8646</v>
      </c>
      <c r="AI10397" t="str">
        <f>"9500360"</f>
        <v>9500360</v>
      </c>
      <c r="AJ10397" t="s">
        <v>14022</v>
      </c>
      <c r="AK10397">
        <v>2821031253</v>
      </c>
      <c r="AL10397" t="s">
        <v>14023</v>
      </c>
      <c r="AM10397" t="s">
        <v>88</v>
      </c>
      <c r="AN10397" t="s">
        <v>88</v>
      </c>
      <c r="AO10397" t="s">
        <v>6785</v>
      </c>
      <c r="AP10397" t="s">
        <v>13932</v>
      </c>
      <c r="AQ10397">
        <v>3</v>
      </c>
      <c r="AR10397" t="s">
        <v>89</v>
      </c>
      <c r="AS10397" t="s">
        <v>90</v>
      </c>
      <c r="AT10397" t="s">
        <v>58</v>
      </c>
      <c r="AU10397" t="s">
        <v>68</v>
      </c>
      <c r="AV10397" t="s">
        <v>69</v>
      </c>
      <c r="AW10397" s="1">
        <v>22106</v>
      </c>
      <c r="AX10397">
        <v>1</v>
      </c>
    </row>
    <row r="10398" spans="1:50">
      <c r="A10398">
        <v>564468</v>
      </c>
      <c r="B10398" t="str">
        <f>"112387245"</f>
        <v>112387245</v>
      </c>
      <c r="C10398" t="s">
        <v>50</v>
      </c>
      <c r="D10398" t="s">
        <v>15297</v>
      </c>
      <c r="E10398" t="s">
        <v>255</v>
      </c>
      <c r="F10398" t="s">
        <v>95</v>
      </c>
      <c r="G10398" t="s">
        <v>237</v>
      </c>
      <c r="H10398" t="str">
        <f>"ΠΥΡΓΟΣ  ΝΕΡΟΚΟΥΡΟΥ ΧΑΝΙΑ"</f>
        <v>ΠΥΡΓΟΣ  ΝΕΡΟΚΟΥΡΟΥ ΧΑΝΙΑ</v>
      </c>
      <c r="I10398">
        <v>73100</v>
      </c>
      <c r="J10398">
        <v>2821097644</v>
      </c>
      <c r="K10398">
        <v>6973356626</v>
      </c>
      <c r="N10398" t="s">
        <v>615</v>
      </c>
      <c r="O10398" t="s">
        <v>616</v>
      </c>
      <c r="R10398" t="s">
        <v>57</v>
      </c>
      <c r="S10398">
        <v>15</v>
      </c>
      <c r="T10398">
        <v>161</v>
      </c>
      <c r="U10398" s="1">
        <v>33119</v>
      </c>
      <c r="V10398" t="s">
        <v>89</v>
      </c>
      <c r="W10398" t="s">
        <v>90</v>
      </c>
      <c r="X10398" t="s">
        <v>58</v>
      </c>
      <c r="Y10398">
        <v>21</v>
      </c>
      <c r="Z10398" t="s">
        <v>59</v>
      </c>
      <c r="AA10398" t="s">
        <v>59</v>
      </c>
      <c r="AB10398" t="s">
        <v>59</v>
      </c>
      <c r="AC10398" t="s">
        <v>59</v>
      </c>
      <c r="AD10398" t="s">
        <v>59</v>
      </c>
      <c r="AF10398" s="1">
        <v>33119</v>
      </c>
      <c r="AG10398" t="s">
        <v>8645</v>
      </c>
      <c r="AH10398" t="s">
        <v>8646</v>
      </c>
      <c r="AI10398" t="str">
        <f>"9500103"</f>
        <v>9500103</v>
      </c>
      <c r="AJ10398" t="s">
        <v>14040</v>
      </c>
      <c r="AK10398">
        <v>2821090920</v>
      </c>
      <c r="AL10398" t="s">
        <v>14041</v>
      </c>
      <c r="AM10398" t="s">
        <v>88</v>
      </c>
      <c r="AN10398" t="s">
        <v>88</v>
      </c>
      <c r="AO10398" t="s">
        <v>6733</v>
      </c>
      <c r="AP10398" t="s">
        <v>6734</v>
      </c>
      <c r="AQ10398">
        <v>2</v>
      </c>
      <c r="AR10398" t="s">
        <v>89</v>
      </c>
      <c r="AS10398" t="s">
        <v>90</v>
      </c>
      <c r="AT10398" t="s">
        <v>58</v>
      </c>
      <c r="AU10398" t="s">
        <v>68</v>
      </c>
      <c r="AV10398" t="s">
        <v>69</v>
      </c>
      <c r="AW10398" s="1">
        <v>23970</v>
      </c>
      <c r="AX10398">
        <v>1</v>
      </c>
    </row>
    <row r="10399" spans="1:50">
      <c r="A10399">
        <v>599810</v>
      </c>
      <c r="B10399" t="str">
        <f>"075648740"</f>
        <v>075648740</v>
      </c>
      <c r="C10399" t="s">
        <v>105</v>
      </c>
      <c r="D10399" t="s">
        <v>3549</v>
      </c>
      <c r="E10399" t="s">
        <v>1473</v>
      </c>
      <c r="F10399" t="s">
        <v>53</v>
      </c>
      <c r="G10399" t="s">
        <v>3671</v>
      </c>
      <c r="H10399" t="str">
        <f>"ΜΕΛΕΤΙΟΥ ΠΗΓΑ   3 ΧΑΝΙΑ"</f>
        <v>ΜΕΛΕΤΙΟΥ ΠΗΓΑ   3 ΧΑΝΙΑ</v>
      </c>
      <c r="I10399">
        <v>73100</v>
      </c>
      <c r="J10399">
        <v>2108812794</v>
      </c>
      <c r="K10399">
        <v>6972725314</v>
      </c>
      <c r="L10399">
        <v>2108843856</v>
      </c>
      <c r="N10399" t="s">
        <v>615</v>
      </c>
      <c r="O10399" t="s">
        <v>616</v>
      </c>
      <c r="R10399" t="s">
        <v>57</v>
      </c>
      <c r="S10399">
        <v>9</v>
      </c>
      <c r="T10399">
        <v>195</v>
      </c>
      <c r="U10399" s="1">
        <v>37497</v>
      </c>
      <c r="V10399" t="s">
        <v>89</v>
      </c>
      <c r="W10399" t="s">
        <v>90</v>
      </c>
      <c r="X10399" t="s">
        <v>58</v>
      </c>
      <c r="Y10399">
        <v>22</v>
      </c>
      <c r="Z10399" t="s">
        <v>59</v>
      </c>
      <c r="AA10399" t="s">
        <v>59</v>
      </c>
      <c r="AB10399" t="s">
        <v>59</v>
      </c>
      <c r="AC10399" t="s">
        <v>59</v>
      </c>
      <c r="AD10399" t="s">
        <v>59</v>
      </c>
      <c r="AF10399" s="1">
        <v>37497</v>
      </c>
      <c r="AG10399" t="s">
        <v>8645</v>
      </c>
      <c r="AH10399" t="s">
        <v>8646</v>
      </c>
      <c r="AI10399" t="str">
        <f>"9500144"</f>
        <v>9500144</v>
      </c>
      <c r="AJ10399" t="s">
        <v>14010</v>
      </c>
      <c r="AK10399">
        <v>2821094171</v>
      </c>
      <c r="AL10399" t="s">
        <v>14011</v>
      </c>
      <c r="AM10399" t="s">
        <v>88</v>
      </c>
      <c r="AN10399" t="s">
        <v>88</v>
      </c>
      <c r="AO10399" t="s">
        <v>88</v>
      </c>
      <c r="AP10399" t="s">
        <v>88</v>
      </c>
      <c r="AQ10399">
        <v>1</v>
      </c>
      <c r="AR10399" t="s">
        <v>89</v>
      </c>
      <c r="AS10399" t="s">
        <v>90</v>
      </c>
      <c r="AT10399" t="s">
        <v>58</v>
      </c>
      <c r="AU10399" t="s">
        <v>68</v>
      </c>
      <c r="AV10399" t="s">
        <v>69</v>
      </c>
      <c r="AW10399" s="1">
        <v>24757</v>
      </c>
      <c r="AX10399">
        <v>1</v>
      </c>
    </row>
    <row r="10400" spans="1:50">
      <c r="A10400">
        <v>607279</v>
      </c>
      <c r="B10400" t="str">
        <f>"054099500"</f>
        <v>054099500</v>
      </c>
      <c r="C10400" t="s">
        <v>50</v>
      </c>
      <c r="D10400" t="s">
        <v>11254</v>
      </c>
      <c r="E10400" t="s">
        <v>52</v>
      </c>
      <c r="F10400" t="s">
        <v>510</v>
      </c>
      <c r="G10400" t="s">
        <v>250</v>
      </c>
      <c r="H10400" t="str">
        <f>"ΓΙΑΝΝΗ ΠΑΪΖΗ 15 ΧΑΝΙΑ"</f>
        <v>ΓΙΑΝΝΗ ΠΑΪΖΗ 15 ΧΑΝΙΑ</v>
      </c>
      <c r="I10400">
        <v>73100</v>
      </c>
      <c r="J10400">
        <v>2821058294</v>
      </c>
      <c r="K10400">
        <v>6974540702</v>
      </c>
      <c r="N10400" t="s">
        <v>615</v>
      </c>
      <c r="O10400" t="s">
        <v>616</v>
      </c>
      <c r="R10400" t="s">
        <v>57</v>
      </c>
      <c r="S10400">
        <v>7</v>
      </c>
      <c r="T10400" t="s">
        <v>15298</v>
      </c>
      <c r="U10400" s="1">
        <v>38596</v>
      </c>
      <c r="V10400" t="s">
        <v>89</v>
      </c>
      <c r="W10400" t="s">
        <v>90</v>
      </c>
      <c r="X10400" t="s">
        <v>58</v>
      </c>
      <c r="Y10400">
        <v>22</v>
      </c>
      <c r="Z10400" t="s">
        <v>59</v>
      </c>
      <c r="AA10400" t="s">
        <v>59</v>
      </c>
      <c r="AB10400" t="s">
        <v>59</v>
      </c>
      <c r="AC10400" t="s">
        <v>59</v>
      </c>
      <c r="AD10400" t="s">
        <v>59</v>
      </c>
      <c r="AF10400" s="1">
        <v>38596</v>
      </c>
      <c r="AG10400" t="s">
        <v>8645</v>
      </c>
      <c r="AH10400" t="s">
        <v>8646</v>
      </c>
      <c r="AI10400" t="str">
        <f>"9500070"</f>
        <v>9500070</v>
      </c>
      <c r="AJ10400" t="s">
        <v>14221</v>
      </c>
      <c r="AK10400">
        <v>2821095817</v>
      </c>
      <c r="AL10400" t="s">
        <v>14222</v>
      </c>
      <c r="AM10400" t="s">
        <v>88</v>
      </c>
      <c r="AN10400" t="s">
        <v>88</v>
      </c>
      <c r="AO10400" t="s">
        <v>88</v>
      </c>
      <c r="AP10400" t="s">
        <v>88</v>
      </c>
      <c r="AQ10400">
        <v>1</v>
      </c>
      <c r="AR10400" t="s">
        <v>89</v>
      </c>
      <c r="AS10400" t="s">
        <v>90</v>
      </c>
      <c r="AT10400" t="s">
        <v>58</v>
      </c>
      <c r="AU10400" t="s">
        <v>68</v>
      </c>
      <c r="AV10400" t="s">
        <v>69</v>
      </c>
      <c r="AW10400" s="1">
        <v>26901</v>
      </c>
      <c r="AX10400">
        <v>1</v>
      </c>
    </row>
    <row r="10401" spans="1:50">
      <c r="A10401">
        <v>604217</v>
      </c>
      <c r="B10401" t="str">
        <f>"072463241"</f>
        <v>072463241</v>
      </c>
      <c r="C10401" t="s">
        <v>105</v>
      </c>
      <c r="D10401" t="s">
        <v>15299</v>
      </c>
      <c r="E10401" t="s">
        <v>154</v>
      </c>
      <c r="F10401" t="s">
        <v>510</v>
      </c>
      <c r="G10401" t="s">
        <v>4127</v>
      </c>
      <c r="H10401" t="str">
        <f>"ΓΙΑΝΝΗ  ΠΑΙΖΗ  15 ΧΑΝΙΑ"</f>
        <v>ΓΙΑΝΝΗ  ΠΑΙΖΗ  15 ΧΑΝΙΑ</v>
      </c>
      <c r="I10401">
        <v>73100</v>
      </c>
      <c r="J10401">
        <v>2821044721</v>
      </c>
      <c r="K10401">
        <v>6997104986</v>
      </c>
      <c r="L10401">
        <v>2821040941</v>
      </c>
      <c r="N10401" t="s">
        <v>615</v>
      </c>
      <c r="O10401" t="s">
        <v>616</v>
      </c>
      <c r="R10401" t="s">
        <v>57</v>
      </c>
      <c r="S10401">
        <v>8</v>
      </c>
      <c r="T10401">
        <v>231</v>
      </c>
      <c r="U10401" s="1">
        <v>38230</v>
      </c>
      <c r="V10401" t="s">
        <v>89</v>
      </c>
      <c r="W10401" t="s">
        <v>90</v>
      </c>
      <c r="X10401" t="s">
        <v>58</v>
      </c>
      <c r="Y10401">
        <v>22</v>
      </c>
      <c r="Z10401" t="s">
        <v>59</v>
      </c>
      <c r="AA10401" t="s">
        <v>59</v>
      </c>
      <c r="AB10401" t="s">
        <v>59</v>
      </c>
      <c r="AC10401" t="s">
        <v>59</v>
      </c>
      <c r="AD10401" t="s">
        <v>59</v>
      </c>
      <c r="AF10401" s="1">
        <v>38230</v>
      </c>
      <c r="AG10401" t="s">
        <v>8645</v>
      </c>
      <c r="AH10401" t="s">
        <v>8646</v>
      </c>
      <c r="AI10401" t="str">
        <f>"9500071"</f>
        <v>9500071</v>
      </c>
      <c r="AJ10401" t="s">
        <v>14209</v>
      </c>
      <c r="AK10401">
        <v>2821093760</v>
      </c>
      <c r="AL10401" t="s">
        <v>14210</v>
      </c>
      <c r="AM10401" t="s">
        <v>88</v>
      </c>
      <c r="AN10401" t="s">
        <v>88</v>
      </c>
      <c r="AO10401" t="s">
        <v>88</v>
      </c>
      <c r="AP10401" t="s">
        <v>88</v>
      </c>
      <c r="AQ10401">
        <v>1</v>
      </c>
      <c r="AR10401" t="s">
        <v>89</v>
      </c>
      <c r="AS10401" t="s">
        <v>90</v>
      </c>
      <c r="AT10401" t="s">
        <v>58</v>
      </c>
      <c r="AU10401" t="s">
        <v>68</v>
      </c>
      <c r="AV10401" t="s">
        <v>69</v>
      </c>
      <c r="AW10401" s="1">
        <v>25661</v>
      </c>
      <c r="AX10401">
        <v>1</v>
      </c>
    </row>
    <row r="10402" spans="1:50">
      <c r="A10402">
        <v>608189</v>
      </c>
      <c r="B10402" t="str">
        <f>"065531381"</f>
        <v>065531381</v>
      </c>
      <c r="C10402" t="s">
        <v>50</v>
      </c>
      <c r="D10402" t="s">
        <v>15300</v>
      </c>
      <c r="E10402" t="s">
        <v>809</v>
      </c>
      <c r="F10402" t="s">
        <v>166</v>
      </c>
      <c r="G10402" t="s">
        <v>255</v>
      </c>
      <c r="H10402" t="str">
        <f>"ΜΕΣΚΛΩΝ 6 ΧΑΝΙΑ"</f>
        <v>ΜΕΣΚΛΩΝ 6 ΧΑΝΙΑ</v>
      </c>
      <c r="I10402">
        <v>73133</v>
      </c>
      <c r="J10402">
        <v>2821045539</v>
      </c>
      <c r="K10402">
        <v>6977788371</v>
      </c>
      <c r="N10402" t="s">
        <v>1525</v>
      </c>
      <c r="O10402" t="s">
        <v>1526</v>
      </c>
      <c r="R10402" t="s">
        <v>57</v>
      </c>
      <c r="S10402">
        <v>8</v>
      </c>
      <c r="T10402">
        <v>217</v>
      </c>
      <c r="U10402" s="1">
        <v>38596</v>
      </c>
      <c r="V10402" t="s">
        <v>89</v>
      </c>
      <c r="W10402" t="s">
        <v>90</v>
      </c>
      <c r="X10402" t="s">
        <v>58</v>
      </c>
      <c r="Y10402">
        <v>25</v>
      </c>
      <c r="Z10402" t="s">
        <v>59</v>
      </c>
      <c r="AA10402" t="s">
        <v>59</v>
      </c>
      <c r="AB10402" t="s">
        <v>59</v>
      </c>
      <c r="AC10402" t="s">
        <v>59</v>
      </c>
      <c r="AD10402" t="s">
        <v>59</v>
      </c>
      <c r="AF10402" s="1">
        <v>38600</v>
      </c>
      <c r="AG10402" t="s">
        <v>8651</v>
      </c>
      <c r="AH10402" t="s">
        <v>8652</v>
      </c>
      <c r="AI10402" t="str">
        <f>"9500274"</f>
        <v>9500274</v>
      </c>
      <c r="AJ10402" t="s">
        <v>14628</v>
      </c>
      <c r="AK10402">
        <v>2824022008</v>
      </c>
      <c r="AL10402" t="s">
        <v>14629</v>
      </c>
      <c r="AM10402" t="s">
        <v>88</v>
      </c>
      <c r="AN10402" t="s">
        <v>6764</v>
      </c>
      <c r="AO10402" t="s">
        <v>6799</v>
      </c>
      <c r="AP10402" t="s">
        <v>6799</v>
      </c>
      <c r="AQ10402">
        <v>6</v>
      </c>
      <c r="AR10402" t="s">
        <v>89</v>
      </c>
      <c r="AS10402" t="s">
        <v>90</v>
      </c>
      <c r="AT10402" t="s">
        <v>58</v>
      </c>
      <c r="AU10402" t="s">
        <v>68</v>
      </c>
      <c r="AV10402" t="s">
        <v>69</v>
      </c>
      <c r="AW10402" s="1">
        <v>24498</v>
      </c>
      <c r="AX10402">
        <v>1</v>
      </c>
    </row>
    <row r="10403" spans="1:50">
      <c r="A10403">
        <v>607795</v>
      </c>
      <c r="B10403" t="str">
        <f>"113198038"</f>
        <v>113198038</v>
      </c>
      <c r="C10403" t="s">
        <v>50</v>
      </c>
      <c r="D10403" t="s">
        <v>15301</v>
      </c>
      <c r="E10403" t="s">
        <v>237</v>
      </c>
      <c r="F10403" t="s">
        <v>5386</v>
      </c>
      <c r="G10403" t="s">
        <v>83</v>
      </c>
      <c r="H10403" t="str">
        <f>"ΖΑΪΜΗ 10 ΠΕΡΑΜΑ"</f>
        <v>ΖΑΪΜΗ 10 ΠΕΡΑΜΑ</v>
      </c>
      <c r="I10403">
        <v>18863</v>
      </c>
      <c r="J10403">
        <v>2821046108</v>
      </c>
      <c r="K10403">
        <v>6977293052</v>
      </c>
      <c r="M10403" t="s">
        <v>15302</v>
      </c>
      <c r="N10403" t="s">
        <v>615</v>
      </c>
      <c r="O10403" t="s">
        <v>616</v>
      </c>
      <c r="R10403" t="s">
        <v>57</v>
      </c>
      <c r="S10403">
        <v>7</v>
      </c>
      <c r="T10403">
        <v>217</v>
      </c>
      <c r="U10403" s="1">
        <v>38596</v>
      </c>
      <c r="V10403" t="s">
        <v>89</v>
      </c>
      <c r="W10403" t="s">
        <v>90</v>
      </c>
      <c r="X10403" t="s">
        <v>58</v>
      </c>
      <c r="Y10403">
        <v>23</v>
      </c>
      <c r="Z10403" t="s">
        <v>59</v>
      </c>
      <c r="AA10403" t="s">
        <v>59</v>
      </c>
      <c r="AB10403" t="s">
        <v>59</v>
      </c>
      <c r="AC10403" t="s">
        <v>59</v>
      </c>
      <c r="AD10403" t="s">
        <v>59</v>
      </c>
      <c r="AF10403" s="1">
        <v>38601</v>
      </c>
      <c r="AG10403" t="s">
        <v>8645</v>
      </c>
      <c r="AH10403" t="s">
        <v>8646</v>
      </c>
      <c r="AI10403" t="str">
        <f>"9500093"</f>
        <v>9500093</v>
      </c>
      <c r="AJ10403" t="s">
        <v>13865</v>
      </c>
      <c r="AK10403">
        <v>2821064537</v>
      </c>
      <c r="AL10403" t="s">
        <v>13866</v>
      </c>
      <c r="AM10403" t="s">
        <v>88</v>
      </c>
      <c r="AN10403" t="s">
        <v>88</v>
      </c>
      <c r="AO10403" t="s">
        <v>6770</v>
      </c>
      <c r="AP10403" t="s">
        <v>6771</v>
      </c>
      <c r="AQ10403">
        <v>2</v>
      </c>
      <c r="AR10403" t="s">
        <v>89</v>
      </c>
      <c r="AS10403" t="s">
        <v>90</v>
      </c>
      <c r="AT10403" t="s">
        <v>58</v>
      </c>
      <c r="AU10403" t="s">
        <v>68</v>
      </c>
      <c r="AV10403" t="s">
        <v>69</v>
      </c>
      <c r="AW10403" s="1">
        <v>29594</v>
      </c>
      <c r="AX10403">
        <v>1</v>
      </c>
    </row>
    <row r="10404" spans="1:50">
      <c r="A10404">
        <v>700399</v>
      </c>
      <c r="B10404" t="str">
        <f>"140436825"</f>
        <v>140436825</v>
      </c>
      <c r="C10404" t="s">
        <v>50</v>
      </c>
      <c r="D10404" t="s">
        <v>15303</v>
      </c>
      <c r="E10404" t="s">
        <v>484</v>
      </c>
      <c r="F10404" t="s">
        <v>99</v>
      </c>
      <c r="G10404" t="s">
        <v>250</v>
      </c>
      <c r="H10404" t="str">
        <f>"ΑΜΠΕΛΑΚΙΩΝ 12 ΡΕΘΥΜΝΟΥ"</f>
        <v>ΑΜΠΕΛΑΚΙΩΝ 12 ΡΕΘΥΜΝΟΥ</v>
      </c>
      <c r="I10404">
        <v>74100</v>
      </c>
      <c r="K10404">
        <v>6937174785</v>
      </c>
      <c r="N10404" t="s">
        <v>615</v>
      </c>
      <c r="O10404" t="s">
        <v>616</v>
      </c>
      <c r="R10404" t="s">
        <v>57</v>
      </c>
      <c r="S10404">
        <v>6</v>
      </c>
      <c r="T10404">
        <v>772</v>
      </c>
      <c r="U10404" s="1">
        <v>40413</v>
      </c>
      <c r="V10404" t="s">
        <v>89</v>
      </c>
      <c r="W10404" t="s">
        <v>90</v>
      </c>
      <c r="X10404" t="s">
        <v>58</v>
      </c>
      <c r="Y10404">
        <v>24</v>
      </c>
      <c r="Z10404" t="s">
        <v>59</v>
      </c>
      <c r="AA10404" t="s">
        <v>59</v>
      </c>
      <c r="AB10404" t="s">
        <v>59</v>
      </c>
      <c r="AC10404" t="s">
        <v>59</v>
      </c>
      <c r="AD10404" t="s">
        <v>59</v>
      </c>
      <c r="AF10404" s="1">
        <v>40413</v>
      </c>
      <c r="AG10404" t="s">
        <v>8645</v>
      </c>
      <c r="AH10404" t="s">
        <v>8646</v>
      </c>
      <c r="AI10404" t="str">
        <f>"9500021"</f>
        <v>9500021</v>
      </c>
      <c r="AJ10404" t="s">
        <v>14054</v>
      </c>
      <c r="AK10404">
        <v>2825096298</v>
      </c>
      <c r="AL10404" t="s">
        <v>14055</v>
      </c>
      <c r="AM10404" t="s">
        <v>88</v>
      </c>
      <c r="AN10404" t="s">
        <v>6775</v>
      </c>
      <c r="AO10404" t="s">
        <v>13929</v>
      </c>
      <c r="AP10404" t="s">
        <v>14056</v>
      </c>
      <c r="AQ10404">
        <v>8</v>
      </c>
      <c r="AR10404" t="s">
        <v>89</v>
      </c>
      <c r="AS10404" t="s">
        <v>90</v>
      </c>
      <c r="AT10404" t="s">
        <v>58</v>
      </c>
      <c r="AU10404" t="s">
        <v>68</v>
      </c>
      <c r="AV10404" t="s">
        <v>69</v>
      </c>
      <c r="AW10404" s="1">
        <v>30852</v>
      </c>
      <c r="AX10404">
        <v>1</v>
      </c>
    </row>
    <row r="10405" spans="1:50">
      <c r="A10405">
        <v>566903</v>
      </c>
      <c r="B10405" t="str">
        <f>"032641589"</f>
        <v>032641589</v>
      </c>
      <c r="C10405" t="s">
        <v>50</v>
      </c>
      <c r="D10405" t="s">
        <v>15304</v>
      </c>
      <c r="E10405" t="s">
        <v>964</v>
      </c>
      <c r="F10405" t="s">
        <v>106</v>
      </c>
      <c r="G10405" t="s">
        <v>52</v>
      </c>
      <c r="H10405" t="str">
        <f>"ΑΚΡΩΤΗΡΙΟΥ 45 ΧΑΝΙΑ"</f>
        <v>ΑΚΡΩΤΗΡΙΟΥ 45 ΧΑΝΙΑ</v>
      </c>
      <c r="I10405">
        <v>73100</v>
      </c>
      <c r="J10405">
        <v>2821055767</v>
      </c>
      <c r="K10405">
        <v>6945230853</v>
      </c>
      <c r="N10405" t="s">
        <v>615</v>
      </c>
      <c r="O10405" t="s">
        <v>616</v>
      </c>
      <c r="R10405" t="s">
        <v>57</v>
      </c>
      <c r="S10405">
        <v>15</v>
      </c>
      <c r="T10405">
        <v>133</v>
      </c>
      <c r="U10405" s="1">
        <v>33456</v>
      </c>
      <c r="V10405" t="s">
        <v>89</v>
      </c>
      <c r="W10405" t="s">
        <v>90</v>
      </c>
      <c r="X10405" t="s">
        <v>58</v>
      </c>
      <c r="Y10405">
        <v>21</v>
      </c>
      <c r="Z10405" t="s">
        <v>59</v>
      </c>
      <c r="AA10405" t="s">
        <v>59</v>
      </c>
      <c r="AB10405" t="s">
        <v>59</v>
      </c>
      <c r="AC10405" t="s">
        <v>59</v>
      </c>
      <c r="AD10405" t="s">
        <v>59</v>
      </c>
      <c r="AF10405" s="1">
        <v>33456</v>
      </c>
      <c r="AG10405" t="s">
        <v>8645</v>
      </c>
      <c r="AH10405" t="s">
        <v>8646</v>
      </c>
      <c r="AI10405" t="str">
        <f>"9500315"</f>
        <v>9500315</v>
      </c>
      <c r="AJ10405" t="s">
        <v>14174</v>
      </c>
      <c r="AK10405">
        <v>2821040565</v>
      </c>
      <c r="AL10405" t="s">
        <v>14175</v>
      </c>
      <c r="AM10405" t="s">
        <v>88</v>
      </c>
      <c r="AN10405" t="s">
        <v>88</v>
      </c>
      <c r="AO10405" t="s">
        <v>88</v>
      </c>
      <c r="AP10405" t="s">
        <v>88</v>
      </c>
      <c r="AQ10405">
        <v>1</v>
      </c>
      <c r="AR10405" t="s">
        <v>89</v>
      </c>
      <c r="AS10405" t="s">
        <v>90</v>
      </c>
      <c r="AT10405" t="s">
        <v>58</v>
      </c>
      <c r="AU10405" t="s">
        <v>68</v>
      </c>
      <c r="AV10405" t="s">
        <v>69</v>
      </c>
      <c r="AW10405" s="1">
        <v>23165</v>
      </c>
      <c r="AX10405">
        <v>1</v>
      </c>
    </row>
    <row r="10406" spans="1:50">
      <c r="B10406" t="str">
        <f>"143793508"</f>
        <v>143793508</v>
      </c>
      <c r="C10406" t="s">
        <v>50</v>
      </c>
      <c r="D10406" t="s">
        <v>15305</v>
      </c>
      <c r="E10406" t="s">
        <v>1001</v>
      </c>
      <c r="F10406" t="s">
        <v>99</v>
      </c>
      <c r="G10406" t="s">
        <v>237</v>
      </c>
      <c r="H10406" t="str">
        <f>" "</f>
        <v xml:space="preserve"> </v>
      </c>
      <c r="K10406">
        <v>6978506684</v>
      </c>
      <c r="N10406" t="s">
        <v>337</v>
      </c>
      <c r="O10406" t="s">
        <v>338</v>
      </c>
      <c r="R10406" t="s">
        <v>121</v>
      </c>
      <c r="S10406">
        <v>1</v>
      </c>
      <c r="T10406" t="s">
        <v>8675</v>
      </c>
      <c r="U10406" s="1">
        <v>43348</v>
      </c>
      <c r="V10406" t="s">
        <v>89</v>
      </c>
      <c r="W10406" t="s">
        <v>90</v>
      </c>
      <c r="X10406" t="s">
        <v>58</v>
      </c>
      <c r="Y10406">
        <v>24</v>
      </c>
      <c r="Z10406" t="s">
        <v>59</v>
      </c>
      <c r="AA10406" t="s">
        <v>59</v>
      </c>
      <c r="AB10406" t="s">
        <v>59</v>
      </c>
      <c r="AD10406" t="s">
        <v>59</v>
      </c>
      <c r="AF10406" s="1">
        <v>43348</v>
      </c>
      <c r="AG10406" t="s">
        <v>8645</v>
      </c>
      <c r="AH10406" t="s">
        <v>8646</v>
      </c>
      <c r="AI10406" t="str">
        <f>"9500205"</f>
        <v>9500205</v>
      </c>
      <c r="AJ10406" t="s">
        <v>13861</v>
      </c>
      <c r="AK10406">
        <v>2822031289</v>
      </c>
      <c r="AL10406" t="s">
        <v>13862</v>
      </c>
      <c r="AM10406" t="s">
        <v>88</v>
      </c>
      <c r="AN10406" t="s">
        <v>6744</v>
      </c>
      <c r="AO10406" t="s">
        <v>13863</v>
      </c>
      <c r="AP10406" t="s">
        <v>13864</v>
      </c>
      <c r="AQ10406">
        <v>9</v>
      </c>
      <c r="AR10406" t="s">
        <v>89</v>
      </c>
      <c r="AS10406" t="s">
        <v>90</v>
      </c>
      <c r="AT10406" t="s">
        <v>58</v>
      </c>
      <c r="AU10406" t="s">
        <v>8673</v>
      </c>
      <c r="AV10406" t="s">
        <v>132</v>
      </c>
      <c r="AW10406" s="1">
        <v>33020</v>
      </c>
      <c r="AX10406">
        <v>1</v>
      </c>
    </row>
    <row r="10407" spans="1:50">
      <c r="A10407">
        <v>603251</v>
      </c>
      <c r="B10407" t="str">
        <f>"064209226"</f>
        <v>064209226</v>
      </c>
      <c r="C10407" t="s">
        <v>50</v>
      </c>
      <c r="D10407" t="s">
        <v>15306</v>
      </c>
      <c r="E10407" t="s">
        <v>250</v>
      </c>
      <c r="F10407" t="s">
        <v>1408</v>
      </c>
      <c r="G10407" t="s">
        <v>52</v>
      </c>
      <c r="H10407" t="str">
        <f>"ΠΛΑΤΗ-ΠΥΘΑΡΙ ΚΟΥΝΟΥΠΙΔΙΑΝΑ-ΧΑΝΙΑ"</f>
        <v>ΠΛΑΤΗ-ΠΥΘΑΡΙ ΚΟΥΝΟΥΠΙΔΙΑΝΑ-ΧΑΝΙΑ</v>
      </c>
      <c r="I10407">
        <v>73100</v>
      </c>
      <c r="J10407">
        <v>2821041554</v>
      </c>
      <c r="K10407">
        <v>6974127723</v>
      </c>
      <c r="N10407" t="s">
        <v>1525</v>
      </c>
      <c r="O10407" t="s">
        <v>1526</v>
      </c>
      <c r="R10407" t="s">
        <v>57</v>
      </c>
      <c r="S10407">
        <v>9</v>
      </c>
      <c r="T10407">
        <v>207</v>
      </c>
      <c r="U10407" s="1">
        <v>37866</v>
      </c>
      <c r="V10407" t="s">
        <v>89</v>
      </c>
      <c r="W10407" t="s">
        <v>90</v>
      </c>
      <c r="X10407" t="s">
        <v>58</v>
      </c>
      <c r="Y10407">
        <v>25</v>
      </c>
      <c r="Z10407" t="s">
        <v>59</v>
      </c>
      <c r="AA10407" t="s">
        <v>59</v>
      </c>
      <c r="AB10407" t="s">
        <v>59</v>
      </c>
      <c r="AC10407" t="s">
        <v>59</v>
      </c>
      <c r="AD10407" t="s">
        <v>59</v>
      </c>
      <c r="AF10407" s="1">
        <v>37866</v>
      </c>
      <c r="AG10407" t="s">
        <v>8651</v>
      </c>
      <c r="AH10407" t="s">
        <v>8652</v>
      </c>
      <c r="AI10407" t="str">
        <f>"9521554"</f>
        <v>9521554</v>
      </c>
      <c r="AJ10407" t="s">
        <v>14708</v>
      </c>
      <c r="AK10407">
        <v>2821009201</v>
      </c>
      <c r="AL10407" t="s">
        <v>14709</v>
      </c>
      <c r="AM10407" t="s">
        <v>88</v>
      </c>
      <c r="AN10407" t="s">
        <v>88</v>
      </c>
      <c r="AO10407" t="s">
        <v>6770</v>
      </c>
      <c r="AP10407" t="s">
        <v>6771</v>
      </c>
      <c r="AQ10407">
        <v>2</v>
      </c>
      <c r="AR10407" t="s">
        <v>89</v>
      </c>
      <c r="AS10407" t="s">
        <v>90</v>
      </c>
      <c r="AT10407" t="s">
        <v>58</v>
      </c>
      <c r="AU10407" t="s">
        <v>68</v>
      </c>
      <c r="AV10407" t="s">
        <v>69</v>
      </c>
      <c r="AW10407" s="1">
        <v>24606</v>
      </c>
      <c r="AX10407">
        <v>1</v>
      </c>
    </row>
    <row r="10408" spans="1:50">
      <c r="A10408">
        <v>703548</v>
      </c>
      <c r="B10408" t="str">
        <f>"101578290"</f>
        <v>101578290</v>
      </c>
      <c r="C10408" t="s">
        <v>50</v>
      </c>
      <c r="D10408" t="s">
        <v>11276</v>
      </c>
      <c r="E10408" t="s">
        <v>52</v>
      </c>
      <c r="F10408" t="s">
        <v>315</v>
      </c>
      <c r="G10408" t="s">
        <v>6169</v>
      </c>
      <c r="H10408" t="str">
        <f>"ΑΝΔΡΟΝΙΚΟΥ 26 "</f>
        <v xml:space="preserve">ΑΝΔΡΟΝΙΚΟΥ 26 </v>
      </c>
      <c r="I10408">
        <v>73136</v>
      </c>
      <c r="J10408">
        <v>2821087807</v>
      </c>
      <c r="K10408">
        <v>6942857064</v>
      </c>
      <c r="N10408" t="s">
        <v>1525</v>
      </c>
      <c r="O10408" t="s">
        <v>1526</v>
      </c>
      <c r="R10408" t="s">
        <v>57</v>
      </c>
      <c r="S10408">
        <v>3</v>
      </c>
      <c r="T10408">
        <v>925</v>
      </c>
      <c r="U10408" s="1">
        <v>41158</v>
      </c>
      <c r="V10408" t="s">
        <v>89</v>
      </c>
      <c r="W10408" t="s">
        <v>90</v>
      </c>
      <c r="X10408" t="s">
        <v>58</v>
      </c>
      <c r="Y10408">
        <v>25</v>
      </c>
      <c r="Z10408" t="s">
        <v>59</v>
      </c>
      <c r="AA10408" t="s">
        <v>59</v>
      </c>
      <c r="AB10408" t="s">
        <v>59</v>
      </c>
      <c r="AC10408" t="s">
        <v>59</v>
      </c>
      <c r="AD10408" t="s">
        <v>59</v>
      </c>
      <c r="AF10408" s="1">
        <v>41162</v>
      </c>
      <c r="AG10408" t="s">
        <v>8651</v>
      </c>
      <c r="AH10408" t="s">
        <v>8652</v>
      </c>
      <c r="AI10408" t="str">
        <f>"9500412"</f>
        <v>9500412</v>
      </c>
      <c r="AJ10408" t="s">
        <v>14027</v>
      </c>
      <c r="AK10408">
        <v>2821096875</v>
      </c>
      <c r="AL10408" t="s">
        <v>14028</v>
      </c>
      <c r="AM10408" t="s">
        <v>88</v>
      </c>
      <c r="AN10408" t="s">
        <v>88</v>
      </c>
      <c r="AO10408" t="s">
        <v>13920</v>
      </c>
      <c r="AP10408" t="s">
        <v>14029</v>
      </c>
      <c r="AQ10408">
        <v>3</v>
      </c>
      <c r="AR10408" t="s">
        <v>89</v>
      </c>
      <c r="AS10408" t="s">
        <v>90</v>
      </c>
      <c r="AT10408" t="s">
        <v>58</v>
      </c>
      <c r="AU10408" t="s">
        <v>68</v>
      </c>
      <c r="AV10408" t="s">
        <v>69</v>
      </c>
      <c r="AW10408" s="1">
        <v>24416</v>
      </c>
      <c r="AX10408">
        <v>1</v>
      </c>
    </row>
    <row r="10409" spans="1:50">
      <c r="A10409">
        <v>594947</v>
      </c>
      <c r="B10409" t="str">
        <f>"054747113"</f>
        <v>054747113</v>
      </c>
      <c r="C10409" t="s">
        <v>50</v>
      </c>
      <c r="D10409" t="s">
        <v>11276</v>
      </c>
      <c r="E10409" t="s">
        <v>1001</v>
      </c>
      <c r="F10409" t="s">
        <v>15307</v>
      </c>
      <c r="G10409" t="s">
        <v>2564</v>
      </c>
      <c r="H10409" t="str">
        <f>"ΗΡΩΩΝ ΠΟΛΥΤΕΧΝΕΙΟΥ 22-24 ΧΑΝΙΑ"</f>
        <v>ΗΡΩΩΝ ΠΟΛΥΤΕΧΝΕΙΟΥ 22-24 ΧΑΝΙΑ</v>
      </c>
      <c r="I10409">
        <v>73132</v>
      </c>
      <c r="J10409">
        <v>2821086952</v>
      </c>
      <c r="K10409">
        <v>6976852730</v>
      </c>
      <c r="N10409" t="s">
        <v>615</v>
      </c>
      <c r="O10409" t="s">
        <v>616</v>
      </c>
      <c r="R10409" t="s">
        <v>57</v>
      </c>
      <c r="S10409">
        <v>8</v>
      </c>
      <c r="T10409">
        <v>218</v>
      </c>
      <c r="U10409" s="1">
        <v>37134</v>
      </c>
      <c r="V10409" t="s">
        <v>89</v>
      </c>
      <c r="W10409" t="s">
        <v>90</v>
      </c>
      <c r="X10409" t="s">
        <v>58</v>
      </c>
      <c r="Y10409">
        <v>22</v>
      </c>
      <c r="Z10409" t="s">
        <v>59</v>
      </c>
      <c r="AA10409" t="s">
        <v>59</v>
      </c>
      <c r="AB10409" t="s">
        <v>59</v>
      </c>
      <c r="AC10409" t="s">
        <v>59</v>
      </c>
      <c r="AD10409" t="s">
        <v>59</v>
      </c>
      <c r="AF10409" s="1">
        <v>37134</v>
      </c>
      <c r="AG10409" t="s">
        <v>8645</v>
      </c>
      <c r="AH10409" t="s">
        <v>8646</v>
      </c>
      <c r="AI10409" t="str">
        <f>"9500041"</f>
        <v>9500041</v>
      </c>
      <c r="AJ10409" t="s">
        <v>13944</v>
      </c>
      <c r="AK10409">
        <v>2821028218</v>
      </c>
      <c r="AL10409" t="s">
        <v>13945</v>
      </c>
      <c r="AM10409" t="s">
        <v>88</v>
      </c>
      <c r="AN10409" t="s">
        <v>88</v>
      </c>
      <c r="AO10409" t="s">
        <v>88</v>
      </c>
      <c r="AP10409" t="s">
        <v>88</v>
      </c>
      <c r="AQ10409">
        <v>1</v>
      </c>
      <c r="AR10409" t="s">
        <v>89</v>
      </c>
      <c r="AS10409" t="s">
        <v>90</v>
      </c>
      <c r="AT10409" t="s">
        <v>58</v>
      </c>
      <c r="AU10409" t="s">
        <v>68</v>
      </c>
      <c r="AV10409" t="s">
        <v>69</v>
      </c>
      <c r="AW10409" s="1">
        <v>27059</v>
      </c>
      <c r="AX10409">
        <v>1</v>
      </c>
    </row>
    <row r="10410" spans="1:50">
      <c r="A10410">
        <v>554351</v>
      </c>
      <c r="B10410" t="str">
        <f>"030875245"</f>
        <v>030875245</v>
      </c>
      <c r="C10410" t="s">
        <v>50</v>
      </c>
      <c r="D10410" t="s">
        <v>3580</v>
      </c>
      <c r="E10410" t="s">
        <v>52</v>
      </c>
      <c r="F10410" t="s">
        <v>53</v>
      </c>
      <c r="G10410" t="s">
        <v>3802</v>
      </c>
      <c r="H10410" t="str">
        <f>" "</f>
        <v xml:space="preserve"> </v>
      </c>
      <c r="N10410" t="s">
        <v>1525</v>
      </c>
      <c r="O10410" t="s">
        <v>1526</v>
      </c>
      <c r="R10410" t="s">
        <v>57</v>
      </c>
      <c r="S10410">
        <v>16</v>
      </c>
      <c r="T10410">
        <v>235</v>
      </c>
      <c r="U10410" s="1">
        <v>31289</v>
      </c>
      <c r="V10410" t="s">
        <v>89</v>
      </c>
      <c r="W10410" t="s">
        <v>90</v>
      </c>
      <c r="X10410" t="s">
        <v>58</v>
      </c>
      <c r="Y10410">
        <v>25</v>
      </c>
      <c r="Z10410" t="s">
        <v>59</v>
      </c>
      <c r="AA10410" t="s">
        <v>59</v>
      </c>
      <c r="AB10410" t="s">
        <v>59</v>
      </c>
      <c r="AC10410" t="s">
        <v>59</v>
      </c>
      <c r="AD10410" t="s">
        <v>59</v>
      </c>
      <c r="AF10410" s="1">
        <v>31289</v>
      </c>
      <c r="AG10410" t="s">
        <v>8651</v>
      </c>
      <c r="AH10410" t="s">
        <v>8652</v>
      </c>
      <c r="AI10410" t="str">
        <f>"9521556"</f>
        <v>9521556</v>
      </c>
      <c r="AJ10410" t="s">
        <v>14875</v>
      </c>
      <c r="AK10410">
        <v>2821028060</v>
      </c>
      <c r="AL10410" t="s">
        <v>14876</v>
      </c>
      <c r="AM10410" t="s">
        <v>88</v>
      </c>
      <c r="AN10410" t="s">
        <v>88</v>
      </c>
      <c r="AO10410" t="s">
        <v>88</v>
      </c>
      <c r="AP10410" t="s">
        <v>88</v>
      </c>
      <c r="AQ10410">
        <v>1</v>
      </c>
      <c r="AR10410" t="s">
        <v>89</v>
      </c>
      <c r="AS10410" t="s">
        <v>90</v>
      </c>
      <c r="AT10410" t="s">
        <v>58</v>
      </c>
      <c r="AU10410" t="s">
        <v>68</v>
      </c>
      <c r="AV10410" t="s">
        <v>69</v>
      </c>
      <c r="AW10410" s="1">
        <v>22563</v>
      </c>
      <c r="AX10410">
        <v>1</v>
      </c>
    </row>
    <row r="10411" spans="1:50">
      <c r="B10411" t="str">
        <f>"136440750"</f>
        <v>136440750</v>
      </c>
      <c r="C10411" t="s">
        <v>50</v>
      </c>
      <c r="D10411" t="s">
        <v>15308</v>
      </c>
      <c r="E10411" t="s">
        <v>1752</v>
      </c>
      <c r="F10411" t="s">
        <v>72</v>
      </c>
      <c r="G10411" t="s">
        <v>476</v>
      </c>
      <c r="H10411" t="str">
        <f>"ΔΗΜΟΚΡΑΤΙΑΣ 14 "</f>
        <v xml:space="preserve">ΔΗΜΟΚΡΑΤΙΑΣ 14 </v>
      </c>
      <c r="I10411">
        <v>73100</v>
      </c>
      <c r="J10411">
        <v>2821089736</v>
      </c>
      <c r="K10411">
        <v>6942660962</v>
      </c>
      <c r="N10411" t="s">
        <v>615</v>
      </c>
      <c r="O10411" t="s">
        <v>616</v>
      </c>
      <c r="R10411" t="s">
        <v>159</v>
      </c>
      <c r="S10411">
        <v>3</v>
      </c>
      <c r="T10411" t="s">
        <v>8675</v>
      </c>
      <c r="U10411" s="1">
        <v>43348</v>
      </c>
      <c r="V10411" t="s">
        <v>89</v>
      </c>
      <c r="W10411" t="s">
        <v>90</v>
      </c>
      <c r="X10411" t="s">
        <v>58</v>
      </c>
      <c r="Y10411">
        <v>24</v>
      </c>
      <c r="Z10411" t="s">
        <v>59</v>
      </c>
      <c r="AA10411" t="s">
        <v>59</v>
      </c>
      <c r="AB10411" t="s">
        <v>59</v>
      </c>
      <c r="AC10411" t="s">
        <v>59</v>
      </c>
      <c r="AD10411" t="s">
        <v>59</v>
      </c>
      <c r="AF10411" s="1">
        <v>43348</v>
      </c>
      <c r="AG10411" t="s">
        <v>8645</v>
      </c>
      <c r="AH10411" t="s">
        <v>8646</v>
      </c>
      <c r="AI10411" t="str">
        <f>"9500114"</f>
        <v>9500114</v>
      </c>
      <c r="AJ10411" t="s">
        <v>14013</v>
      </c>
      <c r="AK10411">
        <v>2821063458</v>
      </c>
      <c r="AL10411" t="s">
        <v>14014</v>
      </c>
      <c r="AM10411" t="s">
        <v>88</v>
      </c>
      <c r="AN10411" t="s">
        <v>88</v>
      </c>
      <c r="AO10411" t="s">
        <v>6770</v>
      </c>
      <c r="AP10411" t="s">
        <v>14015</v>
      </c>
      <c r="AQ10411">
        <v>2</v>
      </c>
      <c r="AR10411" t="s">
        <v>89</v>
      </c>
      <c r="AS10411" t="s">
        <v>90</v>
      </c>
      <c r="AT10411" t="s">
        <v>58</v>
      </c>
      <c r="AU10411" t="s">
        <v>8673</v>
      </c>
      <c r="AV10411" t="s">
        <v>132</v>
      </c>
      <c r="AW10411" s="1">
        <v>32398</v>
      </c>
      <c r="AX10411">
        <v>1</v>
      </c>
    </row>
    <row r="10412" spans="1:50">
      <c r="A10412">
        <v>589112</v>
      </c>
      <c r="B10412" t="str">
        <f>"037228155"</f>
        <v>037228155</v>
      </c>
      <c r="C10412" t="s">
        <v>105</v>
      </c>
      <c r="D10412" t="s">
        <v>15309</v>
      </c>
      <c r="E10412" t="s">
        <v>309</v>
      </c>
      <c r="F10412" t="s">
        <v>383</v>
      </c>
      <c r="G10412" t="s">
        <v>755</v>
      </c>
      <c r="H10412" t="str">
        <f>"ΣΜΥΡΝΗΣ 53 ΧΑΝΙΑ"</f>
        <v>ΣΜΥΡΝΗΣ 53 ΧΑΝΙΑ</v>
      </c>
      <c r="I10412">
        <v>73136</v>
      </c>
      <c r="K10412">
        <v>6946284146</v>
      </c>
      <c r="N10412" t="s">
        <v>615</v>
      </c>
      <c r="O10412" t="s">
        <v>616</v>
      </c>
      <c r="R10412" t="s">
        <v>57</v>
      </c>
      <c r="S10412">
        <v>12</v>
      </c>
      <c r="T10412">
        <v>176</v>
      </c>
      <c r="U10412" s="1">
        <v>36403</v>
      </c>
      <c r="V10412" t="s">
        <v>89</v>
      </c>
      <c r="W10412" t="s">
        <v>90</v>
      </c>
      <c r="X10412" t="s">
        <v>58</v>
      </c>
      <c r="Y10412">
        <v>21</v>
      </c>
      <c r="Z10412" t="s">
        <v>59</v>
      </c>
      <c r="AA10412" t="s">
        <v>59</v>
      </c>
      <c r="AB10412" t="s">
        <v>59</v>
      </c>
      <c r="AC10412" t="s">
        <v>59</v>
      </c>
      <c r="AD10412" t="s">
        <v>59</v>
      </c>
      <c r="AF10412" s="1">
        <v>36403</v>
      </c>
      <c r="AG10412" t="s">
        <v>8645</v>
      </c>
      <c r="AH10412" t="s">
        <v>8646</v>
      </c>
      <c r="AI10412" t="str">
        <f>"9500160"</f>
        <v>9500160</v>
      </c>
      <c r="AJ10412" t="s">
        <v>14486</v>
      </c>
      <c r="AK10412">
        <v>2821062458</v>
      </c>
      <c r="AL10412" t="s">
        <v>14487</v>
      </c>
      <c r="AM10412" t="s">
        <v>88</v>
      </c>
      <c r="AN10412" t="s">
        <v>6764</v>
      </c>
      <c r="AO10412" t="s">
        <v>6764</v>
      </c>
      <c r="AP10412" t="s">
        <v>14488</v>
      </c>
      <c r="AQ10412">
        <v>5</v>
      </c>
      <c r="AR10412" t="s">
        <v>89</v>
      </c>
      <c r="AS10412" t="s">
        <v>90</v>
      </c>
      <c r="AT10412" t="s">
        <v>58</v>
      </c>
      <c r="AU10412" t="s">
        <v>68</v>
      </c>
      <c r="AV10412" t="s">
        <v>2039</v>
      </c>
      <c r="AW10412" s="1">
        <v>24180</v>
      </c>
      <c r="AX10412">
        <v>1</v>
      </c>
    </row>
    <row r="10413" spans="1:50">
      <c r="A10413">
        <v>622451</v>
      </c>
      <c r="B10413" t="str">
        <f>"069382177"</f>
        <v>069382177</v>
      </c>
      <c r="C10413" t="s">
        <v>50</v>
      </c>
      <c r="D10413" t="s">
        <v>15310</v>
      </c>
      <c r="E10413" t="s">
        <v>191</v>
      </c>
      <c r="F10413" t="s">
        <v>111</v>
      </c>
      <c r="G10413" t="s">
        <v>1114</v>
      </c>
      <c r="H10413" t="str">
        <f>"Γ ΣΕΠΤΕΜΒΡΙΟΥ 17 ΒΥΡΩΝΑΣ"</f>
        <v>Γ ΣΕΠΤΕΜΒΡΙΟΥ 17 ΒΥΡΩΝΑΣ</v>
      </c>
      <c r="I10413">
        <v>16231</v>
      </c>
      <c r="J10413">
        <v>2107661189</v>
      </c>
      <c r="K10413">
        <v>6932282816</v>
      </c>
      <c r="N10413" t="s">
        <v>1525</v>
      </c>
      <c r="O10413" t="s">
        <v>1526</v>
      </c>
      <c r="R10413" t="s">
        <v>57</v>
      </c>
      <c r="S10413">
        <v>5</v>
      </c>
      <c r="T10413">
        <v>653</v>
      </c>
      <c r="U10413" s="1">
        <v>40043</v>
      </c>
      <c r="V10413" t="s">
        <v>89</v>
      </c>
      <c r="W10413" t="s">
        <v>90</v>
      </c>
      <c r="X10413" t="s">
        <v>58</v>
      </c>
      <c r="Y10413">
        <v>25</v>
      </c>
      <c r="Z10413" t="s">
        <v>59</v>
      </c>
      <c r="AA10413" t="s">
        <v>59</v>
      </c>
      <c r="AB10413" t="s">
        <v>59</v>
      </c>
      <c r="AC10413" t="s">
        <v>59</v>
      </c>
      <c r="AD10413" t="s">
        <v>59</v>
      </c>
      <c r="AF10413" s="1">
        <v>40045</v>
      </c>
      <c r="AG10413" t="s">
        <v>8651</v>
      </c>
      <c r="AH10413" t="s">
        <v>8652</v>
      </c>
      <c r="AI10413" t="str">
        <f>"9500348"</f>
        <v>9500348</v>
      </c>
      <c r="AJ10413" t="s">
        <v>14450</v>
      </c>
      <c r="AK10413">
        <v>2821077606</v>
      </c>
      <c r="AL10413" t="s">
        <v>14451</v>
      </c>
      <c r="AM10413" t="s">
        <v>88</v>
      </c>
      <c r="AN10413" t="s">
        <v>88</v>
      </c>
      <c r="AO10413" t="s">
        <v>13920</v>
      </c>
      <c r="AP10413" t="s">
        <v>12838</v>
      </c>
      <c r="AQ10413">
        <v>10</v>
      </c>
      <c r="AR10413" t="s">
        <v>89</v>
      </c>
      <c r="AS10413" t="s">
        <v>90</v>
      </c>
      <c r="AT10413" t="s">
        <v>58</v>
      </c>
      <c r="AU10413" t="s">
        <v>68</v>
      </c>
      <c r="AV10413" t="s">
        <v>69</v>
      </c>
      <c r="AW10413" s="1">
        <v>25989</v>
      </c>
      <c r="AX10413">
        <v>1</v>
      </c>
    </row>
    <row r="10414" spans="1:50">
      <c r="B10414" t="str">
        <f>"148558546"</f>
        <v>148558546</v>
      </c>
      <c r="C10414" t="s">
        <v>50</v>
      </c>
      <c r="D10414" t="s">
        <v>15311</v>
      </c>
      <c r="E10414" t="s">
        <v>155</v>
      </c>
      <c r="F10414" t="s">
        <v>99</v>
      </c>
      <c r="G10414" t="s">
        <v>507</v>
      </c>
      <c r="H10414" t="str">
        <f>"ΚΑΝΔΗΛΑ ΞΗΡΟΜΕΡΟΥ"</f>
        <v>ΚΑΝΔΗΛΑ ΞΗΡΟΜΕΡΟΥ</v>
      </c>
      <c r="I10414">
        <v>30019</v>
      </c>
      <c r="J10414">
        <v>2646051353</v>
      </c>
      <c r="K10414">
        <v>6981045898</v>
      </c>
      <c r="N10414" t="s">
        <v>615</v>
      </c>
      <c r="O10414" t="s">
        <v>616</v>
      </c>
      <c r="R10414" t="s">
        <v>159</v>
      </c>
      <c r="S10414">
        <v>3</v>
      </c>
      <c r="T10414" t="s">
        <v>8675</v>
      </c>
      <c r="U10414" s="1">
        <v>43348</v>
      </c>
      <c r="V10414" t="s">
        <v>89</v>
      </c>
      <c r="W10414" t="s">
        <v>90</v>
      </c>
      <c r="X10414" t="s">
        <v>58</v>
      </c>
      <c r="Y10414">
        <v>25</v>
      </c>
      <c r="Z10414" t="s">
        <v>59</v>
      </c>
      <c r="AA10414" t="s">
        <v>59</v>
      </c>
      <c r="AB10414" t="s">
        <v>59</v>
      </c>
      <c r="AC10414" t="s">
        <v>59</v>
      </c>
      <c r="AD10414" t="s">
        <v>59</v>
      </c>
      <c r="AF10414" s="1">
        <v>43348</v>
      </c>
      <c r="AG10414" t="s">
        <v>8645</v>
      </c>
      <c r="AH10414" t="s">
        <v>8646</v>
      </c>
      <c r="AI10414" t="str">
        <f>"9500355"</f>
        <v>9500355</v>
      </c>
      <c r="AJ10414" t="s">
        <v>14695</v>
      </c>
      <c r="AK10414">
        <v>2825095295</v>
      </c>
      <c r="AL10414" t="s">
        <v>14696</v>
      </c>
      <c r="AM10414" t="s">
        <v>88</v>
      </c>
      <c r="AN10414" t="s">
        <v>6995</v>
      </c>
      <c r="AO10414" t="s">
        <v>6995</v>
      </c>
      <c r="AP10414" t="s">
        <v>14444</v>
      </c>
      <c r="AQ10414">
        <v>10</v>
      </c>
      <c r="AR10414" t="s">
        <v>89</v>
      </c>
      <c r="AS10414" t="s">
        <v>90</v>
      </c>
      <c r="AT10414" t="s">
        <v>58</v>
      </c>
      <c r="AU10414" t="s">
        <v>8673</v>
      </c>
      <c r="AV10414" t="s">
        <v>132</v>
      </c>
      <c r="AW10414" s="1">
        <v>32482</v>
      </c>
      <c r="AX10414">
        <v>1</v>
      </c>
    </row>
    <row r="10415" spans="1:50">
      <c r="B10415" t="str">
        <f>"145218208"</f>
        <v>145218208</v>
      </c>
      <c r="C10415" t="s">
        <v>105</v>
      </c>
      <c r="D10415" t="s">
        <v>15312</v>
      </c>
      <c r="E10415" t="s">
        <v>53</v>
      </c>
      <c r="F10415" t="s">
        <v>154</v>
      </c>
      <c r="G10415" t="s">
        <v>255</v>
      </c>
      <c r="H10415" t="str">
        <f>"ΣΤΕΝΗ ΕΥΒΟΙΑΣ "</f>
        <v xml:space="preserve">ΣΤΕΝΗ ΕΥΒΟΙΑΣ </v>
      </c>
      <c r="I10415">
        <v>34014</v>
      </c>
      <c r="J10415">
        <v>2228051066</v>
      </c>
      <c r="K10415">
        <v>6947749900</v>
      </c>
      <c r="N10415" t="s">
        <v>615</v>
      </c>
      <c r="O10415" t="s">
        <v>616</v>
      </c>
      <c r="R10415" t="s">
        <v>159</v>
      </c>
      <c r="S10415">
        <v>3</v>
      </c>
      <c r="T10415" t="s">
        <v>8675</v>
      </c>
      <c r="U10415" s="1">
        <v>43348</v>
      </c>
      <c r="V10415" t="s">
        <v>89</v>
      </c>
      <c r="W10415" t="s">
        <v>90</v>
      </c>
      <c r="X10415" t="s">
        <v>58</v>
      </c>
      <c r="Y10415">
        <v>24</v>
      </c>
      <c r="Z10415" t="s">
        <v>59</v>
      </c>
      <c r="AA10415" t="s">
        <v>59</v>
      </c>
      <c r="AB10415" t="s">
        <v>59</v>
      </c>
      <c r="AC10415" t="s">
        <v>59</v>
      </c>
      <c r="AD10415" t="s">
        <v>59</v>
      </c>
      <c r="AF10415" s="1">
        <v>43348</v>
      </c>
      <c r="AG10415" t="s">
        <v>8645</v>
      </c>
      <c r="AH10415" t="s">
        <v>8646</v>
      </c>
      <c r="AI10415" t="str">
        <f>"9500021"</f>
        <v>9500021</v>
      </c>
      <c r="AJ10415" t="s">
        <v>14054</v>
      </c>
      <c r="AK10415">
        <v>2825096298</v>
      </c>
      <c r="AL10415" t="s">
        <v>14055</v>
      </c>
      <c r="AM10415" t="s">
        <v>88</v>
      </c>
      <c r="AN10415" t="s">
        <v>6775</v>
      </c>
      <c r="AO10415" t="s">
        <v>13929</v>
      </c>
      <c r="AP10415" t="s">
        <v>14056</v>
      </c>
      <c r="AQ10415">
        <v>8</v>
      </c>
      <c r="AR10415" t="s">
        <v>89</v>
      </c>
      <c r="AS10415" t="s">
        <v>90</v>
      </c>
      <c r="AT10415" t="s">
        <v>58</v>
      </c>
      <c r="AU10415" t="s">
        <v>8673</v>
      </c>
      <c r="AV10415" t="s">
        <v>132</v>
      </c>
      <c r="AW10415" s="1">
        <v>31991</v>
      </c>
      <c r="AX10415">
        <v>1</v>
      </c>
    </row>
    <row r="10416" spans="1:50">
      <c r="A10416">
        <v>621267</v>
      </c>
      <c r="B10416" t="str">
        <f>"134036980"</f>
        <v>134036980</v>
      </c>
      <c r="C10416" t="s">
        <v>50</v>
      </c>
      <c r="D10416" t="s">
        <v>3603</v>
      </c>
      <c r="E10416" t="s">
        <v>237</v>
      </c>
      <c r="F10416" t="s">
        <v>99</v>
      </c>
      <c r="G10416" t="s">
        <v>181</v>
      </c>
      <c r="H10416" t="str">
        <f>"ΠΑΠΑΜΑΛΕΚΟΥ 14β ΧΑΝΙΑ"</f>
        <v>ΠΑΠΑΜΑΛΕΚΟΥ 14β ΧΑΝΙΑ</v>
      </c>
      <c r="I10416">
        <v>73100</v>
      </c>
      <c r="J10416">
        <v>2821094782</v>
      </c>
      <c r="K10416">
        <v>6946123187</v>
      </c>
      <c r="M10416" t="s">
        <v>15313</v>
      </c>
      <c r="N10416" t="s">
        <v>615</v>
      </c>
      <c r="O10416" t="s">
        <v>616</v>
      </c>
      <c r="R10416" t="s">
        <v>57</v>
      </c>
      <c r="S10416">
        <v>5</v>
      </c>
      <c r="T10416">
        <v>653</v>
      </c>
      <c r="U10416" s="1">
        <v>40043</v>
      </c>
      <c r="V10416" t="s">
        <v>89</v>
      </c>
      <c r="W10416" t="s">
        <v>90</v>
      </c>
      <c r="X10416" t="s">
        <v>58</v>
      </c>
      <c r="Y10416">
        <v>23</v>
      </c>
      <c r="Z10416" t="s">
        <v>59</v>
      </c>
      <c r="AA10416" t="s">
        <v>59</v>
      </c>
      <c r="AB10416" t="s">
        <v>59</v>
      </c>
      <c r="AC10416" t="s">
        <v>59</v>
      </c>
      <c r="AD10416" t="s">
        <v>59</v>
      </c>
      <c r="AF10416" s="1">
        <v>40043</v>
      </c>
      <c r="AG10416" t="s">
        <v>8645</v>
      </c>
      <c r="AH10416" t="s">
        <v>8646</v>
      </c>
      <c r="AI10416" t="str">
        <f>"9500024"</f>
        <v>9500024</v>
      </c>
      <c r="AJ10416" t="s">
        <v>13856</v>
      </c>
      <c r="AK10416">
        <v>2825041345</v>
      </c>
      <c r="AL10416" t="s">
        <v>13857</v>
      </c>
      <c r="AM10416" t="s">
        <v>88</v>
      </c>
      <c r="AN10416" t="s">
        <v>6775</v>
      </c>
      <c r="AO10416" t="s">
        <v>11883</v>
      </c>
      <c r="AP10416" t="s">
        <v>13858</v>
      </c>
      <c r="AQ10416">
        <v>7</v>
      </c>
      <c r="AR10416" t="s">
        <v>89</v>
      </c>
      <c r="AS10416" t="s">
        <v>90</v>
      </c>
      <c r="AT10416" t="s">
        <v>58</v>
      </c>
      <c r="AU10416" t="s">
        <v>68</v>
      </c>
      <c r="AV10416" t="s">
        <v>69</v>
      </c>
      <c r="AW10416" s="1">
        <v>31084</v>
      </c>
      <c r="AX10416">
        <v>1</v>
      </c>
    </row>
    <row r="10417" spans="1:50">
      <c r="A10417">
        <v>588745</v>
      </c>
      <c r="B10417" t="str">
        <f>"038890962"</f>
        <v>038890962</v>
      </c>
      <c r="C10417" t="s">
        <v>50</v>
      </c>
      <c r="D10417" t="s">
        <v>15314</v>
      </c>
      <c r="E10417" t="s">
        <v>11781</v>
      </c>
      <c r="F10417" t="s">
        <v>15315</v>
      </c>
      <c r="G10417" t="s">
        <v>687</v>
      </c>
      <c r="H10417" t="str">
        <f>"ΣΑΡΑΒΕΛΑΚΗ   5 ΧΑΝΙΑ"</f>
        <v>ΣΑΡΑΒΕΛΑΚΗ   5 ΧΑΝΙΑ</v>
      </c>
      <c r="I10417">
        <v>73100</v>
      </c>
      <c r="J10417">
        <v>2821033808</v>
      </c>
      <c r="K10417">
        <v>6976901302</v>
      </c>
      <c r="N10417" t="s">
        <v>615</v>
      </c>
      <c r="O10417" t="s">
        <v>616</v>
      </c>
      <c r="R10417" t="s">
        <v>57</v>
      </c>
      <c r="S10417">
        <v>11</v>
      </c>
      <c r="T10417">
        <v>176</v>
      </c>
      <c r="U10417" s="1">
        <v>36403</v>
      </c>
      <c r="V10417" t="s">
        <v>89</v>
      </c>
      <c r="W10417" t="s">
        <v>90</v>
      </c>
      <c r="X10417" t="s">
        <v>58</v>
      </c>
      <c r="Y10417">
        <v>21</v>
      </c>
      <c r="Z10417" t="s">
        <v>59</v>
      </c>
      <c r="AA10417" t="s">
        <v>59</v>
      </c>
      <c r="AB10417" t="s">
        <v>59</v>
      </c>
      <c r="AC10417" t="s">
        <v>59</v>
      </c>
      <c r="AD10417" t="s">
        <v>59</v>
      </c>
      <c r="AF10417" s="1">
        <v>36403</v>
      </c>
      <c r="AG10417" t="s">
        <v>8645</v>
      </c>
      <c r="AH10417" t="s">
        <v>8646</v>
      </c>
      <c r="AI10417" t="str">
        <f>"9500041"</f>
        <v>9500041</v>
      </c>
      <c r="AJ10417" t="s">
        <v>13944</v>
      </c>
      <c r="AK10417">
        <v>2821028218</v>
      </c>
      <c r="AL10417" t="s">
        <v>13945</v>
      </c>
      <c r="AM10417" t="s">
        <v>88</v>
      </c>
      <c r="AN10417" t="s">
        <v>88</v>
      </c>
      <c r="AO10417" t="s">
        <v>88</v>
      </c>
      <c r="AP10417" t="s">
        <v>88</v>
      </c>
      <c r="AQ10417">
        <v>1</v>
      </c>
      <c r="AR10417" t="s">
        <v>89</v>
      </c>
      <c r="AS10417" t="s">
        <v>90</v>
      </c>
      <c r="AT10417" t="s">
        <v>58</v>
      </c>
      <c r="AU10417" t="s">
        <v>68</v>
      </c>
      <c r="AV10417" t="s">
        <v>69</v>
      </c>
      <c r="AW10417" s="1">
        <v>23998</v>
      </c>
      <c r="AX10417">
        <v>1</v>
      </c>
    </row>
    <row r="10418" spans="1:50">
      <c r="A10418">
        <v>613701</v>
      </c>
      <c r="B10418" t="str">
        <f>"113586754"</f>
        <v>113586754</v>
      </c>
      <c r="C10418" t="s">
        <v>50</v>
      </c>
      <c r="D10418" t="s">
        <v>11297</v>
      </c>
      <c r="E10418" t="s">
        <v>931</v>
      </c>
      <c r="F10418" t="s">
        <v>230</v>
      </c>
      <c r="G10418" t="s">
        <v>1484</v>
      </c>
      <c r="H10418" t="str">
        <f>"ΠΡΙΗΝΗΣ 1 ΑΘΗΝΑ"</f>
        <v>ΠΡΙΗΝΗΣ 1 ΑΘΗΝΑ</v>
      </c>
      <c r="I10418">
        <v>11522</v>
      </c>
      <c r="J10418">
        <v>2106462193</v>
      </c>
      <c r="K10418">
        <v>6983901799</v>
      </c>
      <c r="M10418" t="s">
        <v>15316</v>
      </c>
      <c r="N10418" t="s">
        <v>615</v>
      </c>
      <c r="O10418" t="s">
        <v>616</v>
      </c>
      <c r="R10418" t="s">
        <v>57</v>
      </c>
      <c r="S10418">
        <v>6</v>
      </c>
      <c r="T10418">
        <v>598</v>
      </c>
      <c r="U10418" s="1">
        <v>39310</v>
      </c>
      <c r="V10418" t="s">
        <v>89</v>
      </c>
      <c r="W10418" t="s">
        <v>90</v>
      </c>
      <c r="X10418" t="s">
        <v>58</v>
      </c>
      <c r="Y10418">
        <v>23</v>
      </c>
      <c r="Z10418" t="s">
        <v>59</v>
      </c>
      <c r="AA10418" t="s">
        <v>59</v>
      </c>
      <c r="AB10418" t="s">
        <v>59</v>
      </c>
      <c r="AC10418" t="s">
        <v>59</v>
      </c>
      <c r="AD10418" t="s">
        <v>59</v>
      </c>
      <c r="AF10418" s="1">
        <v>39328</v>
      </c>
      <c r="AG10418" t="s">
        <v>8645</v>
      </c>
      <c r="AH10418" t="s">
        <v>8646</v>
      </c>
      <c r="AI10418" t="str">
        <f>"9500175"</f>
        <v>9500175</v>
      </c>
      <c r="AJ10418" t="s">
        <v>14538</v>
      </c>
      <c r="AK10418">
        <v>2823041233</v>
      </c>
      <c r="AL10418" t="s">
        <v>14539</v>
      </c>
      <c r="AM10418" t="s">
        <v>88</v>
      </c>
      <c r="AN10418" t="s">
        <v>6824</v>
      </c>
      <c r="AO10418" t="s">
        <v>6870</v>
      </c>
      <c r="AP10418" t="s">
        <v>6871</v>
      </c>
      <c r="AQ10418">
        <v>11</v>
      </c>
      <c r="AR10418" t="s">
        <v>89</v>
      </c>
      <c r="AS10418" t="s">
        <v>90</v>
      </c>
      <c r="AT10418" t="s">
        <v>58</v>
      </c>
      <c r="AU10418" t="s">
        <v>68</v>
      </c>
      <c r="AV10418" t="s">
        <v>69</v>
      </c>
      <c r="AW10418" s="1">
        <v>30077</v>
      </c>
      <c r="AX10418">
        <v>1</v>
      </c>
    </row>
    <row r="10419" spans="1:50">
      <c r="A10419">
        <v>620003</v>
      </c>
      <c r="B10419" t="str">
        <f>"045874800"</f>
        <v>045874800</v>
      </c>
      <c r="C10419" t="s">
        <v>50</v>
      </c>
      <c r="D10419" t="s">
        <v>11297</v>
      </c>
      <c r="E10419" t="s">
        <v>620</v>
      </c>
      <c r="F10419" t="s">
        <v>7216</v>
      </c>
      <c r="G10419" t="s">
        <v>237</v>
      </c>
      <c r="H10419" t="str">
        <f>"ΑΓΙΩΝ ΑΝΑΡΓΥΡΩΝ 30 ΧΑΛΚΙΔΙΚΗ"</f>
        <v>ΑΓΙΩΝ ΑΝΑΡΓΥΡΩΝ 30 ΧΑΛΚΙΔΙΚΗ</v>
      </c>
      <c r="I10419">
        <v>63074</v>
      </c>
      <c r="J10419">
        <v>2372023127</v>
      </c>
      <c r="K10419">
        <v>6932485131</v>
      </c>
      <c r="L10419">
        <v>2372022296</v>
      </c>
      <c r="N10419" t="s">
        <v>176</v>
      </c>
      <c r="O10419" t="s">
        <v>177</v>
      </c>
      <c r="R10419" t="s">
        <v>57</v>
      </c>
      <c r="S10419">
        <v>8</v>
      </c>
      <c r="T10419">
        <v>775</v>
      </c>
      <c r="U10419" s="1">
        <v>39680</v>
      </c>
      <c r="V10419" t="s">
        <v>89</v>
      </c>
      <c r="W10419" t="s">
        <v>90</v>
      </c>
      <c r="X10419" t="s">
        <v>58</v>
      </c>
      <c r="Y10419">
        <v>23</v>
      </c>
      <c r="Z10419" t="s">
        <v>59</v>
      </c>
      <c r="AA10419" t="s">
        <v>59</v>
      </c>
      <c r="AB10419" t="s">
        <v>59</v>
      </c>
      <c r="AC10419" t="s">
        <v>59</v>
      </c>
      <c r="AD10419" t="s">
        <v>59</v>
      </c>
      <c r="AF10419" s="1">
        <v>39681</v>
      </c>
      <c r="AG10419" t="s">
        <v>8645</v>
      </c>
      <c r="AH10419" t="s">
        <v>8646</v>
      </c>
      <c r="AI10419" t="str">
        <f>"9500175"</f>
        <v>9500175</v>
      </c>
      <c r="AJ10419" t="s">
        <v>14538</v>
      </c>
      <c r="AK10419">
        <v>2823041233</v>
      </c>
      <c r="AL10419" t="s">
        <v>14539</v>
      </c>
      <c r="AM10419" t="s">
        <v>88</v>
      </c>
      <c r="AN10419" t="s">
        <v>6824</v>
      </c>
      <c r="AO10419" t="s">
        <v>6870</v>
      </c>
      <c r="AP10419" t="s">
        <v>6871</v>
      </c>
      <c r="AQ10419">
        <v>11</v>
      </c>
      <c r="AR10419" t="s">
        <v>89</v>
      </c>
      <c r="AS10419" t="s">
        <v>90</v>
      </c>
      <c r="AT10419" t="s">
        <v>58</v>
      </c>
      <c r="AU10419" t="s">
        <v>68</v>
      </c>
      <c r="AV10419" t="s">
        <v>69</v>
      </c>
      <c r="AW10419" s="1">
        <v>24638</v>
      </c>
      <c r="AX10419">
        <v>1</v>
      </c>
    </row>
    <row r="10420" spans="1:50">
      <c r="A10420">
        <v>570164</v>
      </c>
      <c r="B10420" t="str">
        <f>"113191154"</f>
        <v>113191154</v>
      </c>
      <c r="C10420" t="s">
        <v>50</v>
      </c>
      <c r="D10420" t="s">
        <v>15317</v>
      </c>
      <c r="E10420" t="s">
        <v>155</v>
      </c>
      <c r="F10420" t="s">
        <v>309</v>
      </c>
      <c r="G10420" t="s">
        <v>4345</v>
      </c>
      <c r="H10420" t="str">
        <f>"ΑΝ. ΓΟΓΟΝΗ 40 ΧΑΝΙΑ"</f>
        <v>ΑΝ. ΓΟΓΟΝΗ 40 ΧΑΝΙΑ</v>
      </c>
      <c r="I10420">
        <v>73135</v>
      </c>
      <c r="J10420">
        <v>2821079259</v>
      </c>
      <c r="K10420">
        <v>6949207060</v>
      </c>
      <c r="N10420" t="s">
        <v>306</v>
      </c>
      <c r="O10420" t="s">
        <v>307</v>
      </c>
      <c r="R10420" t="s">
        <v>57</v>
      </c>
      <c r="S10420">
        <v>13</v>
      </c>
      <c r="T10420">
        <v>239</v>
      </c>
      <c r="U10420" s="1">
        <v>33962</v>
      </c>
      <c r="V10420" t="s">
        <v>89</v>
      </c>
      <c r="W10420" t="s">
        <v>90</v>
      </c>
      <c r="X10420" t="s">
        <v>58</v>
      </c>
      <c r="Y10420">
        <v>21</v>
      </c>
      <c r="Z10420" t="s">
        <v>59</v>
      </c>
      <c r="AA10420" t="s">
        <v>59</v>
      </c>
      <c r="AB10420" t="s">
        <v>59</v>
      </c>
      <c r="AC10420" t="s">
        <v>59</v>
      </c>
      <c r="AD10420" t="s">
        <v>59</v>
      </c>
      <c r="AF10420" s="1">
        <v>33969</v>
      </c>
      <c r="AG10420" t="s">
        <v>8645</v>
      </c>
      <c r="AH10420" t="s">
        <v>8646</v>
      </c>
      <c r="AI10420" t="str">
        <f>"9500071"</f>
        <v>9500071</v>
      </c>
      <c r="AJ10420" t="s">
        <v>14209</v>
      </c>
      <c r="AK10420">
        <v>2821093760</v>
      </c>
      <c r="AL10420" t="s">
        <v>14210</v>
      </c>
      <c r="AM10420" t="s">
        <v>88</v>
      </c>
      <c r="AN10420" t="s">
        <v>88</v>
      </c>
      <c r="AO10420" t="s">
        <v>88</v>
      </c>
      <c r="AP10420" t="s">
        <v>88</v>
      </c>
      <c r="AQ10420">
        <v>1</v>
      </c>
      <c r="AR10420" t="s">
        <v>89</v>
      </c>
      <c r="AS10420" t="s">
        <v>90</v>
      </c>
      <c r="AT10420" t="s">
        <v>58</v>
      </c>
      <c r="AU10420" t="s">
        <v>68</v>
      </c>
      <c r="AV10420" t="s">
        <v>69</v>
      </c>
      <c r="AW10420" s="1">
        <v>22205</v>
      </c>
      <c r="AX10420">
        <v>1</v>
      </c>
    </row>
    <row r="10421" spans="1:50">
      <c r="A10421">
        <v>612943</v>
      </c>
      <c r="B10421" t="str">
        <f>"034995117"</f>
        <v>034995117</v>
      </c>
      <c r="C10421" t="s">
        <v>50</v>
      </c>
      <c r="D10421" t="s">
        <v>15318</v>
      </c>
      <c r="E10421" t="s">
        <v>52</v>
      </c>
      <c r="F10421" t="s">
        <v>95</v>
      </c>
      <c r="G10421" t="s">
        <v>1189</v>
      </c>
      <c r="H10421" t="str">
        <f>"25ης  ΜΑΡΤΙΟΥ   65 ΧΑΝΙΑ"</f>
        <v>25ης  ΜΑΡΤΙΟΥ   65 ΧΑΝΙΑ</v>
      </c>
      <c r="I10421">
        <v>73200</v>
      </c>
      <c r="J10421">
        <v>2821089328</v>
      </c>
      <c r="K10421">
        <v>6973988555</v>
      </c>
      <c r="N10421" t="s">
        <v>615</v>
      </c>
      <c r="O10421" t="s">
        <v>616</v>
      </c>
      <c r="R10421" t="s">
        <v>57</v>
      </c>
      <c r="S10421">
        <v>15</v>
      </c>
      <c r="T10421">
        <v>161</v>
      </c>
      <c r="U10421" s="1">
        <v>33119</v>
      </c>
      <c r="V10421" t="s">
        <v>89</v>
      </c>
      <c r="W10421" t="s">
        <v>90</v>
      </c>
      <c r="X10421" t="s">
        <v>58</v>
      </c>
      <c r="Y10421">
        <v>21</v>
      </c>
      <c r="Z10421" t="s">
        <v>59</v>
      </c>
      <c r="AA10421" t="s">
        <v>59</v>
      </c>
      <c r="AB10421" t="s">
        <v>59</v>
      </c>
      <c r="AC10421" t="s">
        <v>59</v>
      </c>
      <c r="AD10421" t="s">
        <v>59</v>
      </c>
      <c r="AF10421" s="1">
        <v>33119</v>
      </c>
      <c r="AG10421" t="s">
        <v>8645</v>
      </c>
      <c r="AH10421" t="s">
        <v>8646</v>
      </c>
      <c r="AI10421" t="str">
        <f>"9500407"</f>
        <v>9500407</v>
      </c>
      <c r="AJ10421" t="s">
        <v>13867</v>
      </c>
      <c r="AK10421">
        <v>2821089224</v>
      </c>
      <c r="AL10421" t="s">
        <v>13868</v>
      </c>
      <c r="AM10421" t="s">
        <v>88</v>
      </c>
      <c r="AN10421" t="s">
        <v>88</v>
      </c>
      <c r="AO10421" t="s">
        <v>6748</v>
      </c>
      <c r="AP10421" t="s">
        <v>6748</v>
      </c>
      <c r="AQ10421">
        <v>2</v>
      </c>
      <c r="AR10421" t="s">
        <v>89</v>
      </c>
      <c r="AS10421" t="s">
        <v>90</v>
      </c>
      <c r="AT10421" t="s">
        <v>58</v>
      </c>
      <c r="AU10421" t="s">
        <v>68</v>
      </c>
      <c r="AV10421" t="s">
        <v>69</v>
      </c>
      <c r="AW10421" s="1">
        <v>21585</v>
      </c>
      <c r="AX10421">
        <v>1</v>
      </c>
    </row>
    <row r="10422" spans="1:50">
      <c r="B10422" t="str">
        <f>"125539037"</f>
        <v>125539037</v>
      </c>
      <c r="C10422" t="s">
        <v>50</v>
      </c>
      <c r="D10422" t="s">
        <v>15319</v>
      </c>
      <c r="E10422" t="s">
        <v>250</v>
      </c>
      <c r="F10422" t="s">
        <v>53</v>
      </c>
      <c r="G10422" t="s">
        <v>3161</v>
      </c>
      <c r="H10422" t="str">
        <f>" "</f>
        <v xml:space="preserve"> </v>
      </c>
      <c r="N10422" t="s">
        <v>683</v>
      </c>
      <c r="O10422" t="s">
        <v>684</v>
      </c>
      <c r="R10422" t="s">
        <v>121</v>
      </c>
      <c r="S10422">
        <v>1</v>
      </c>
      <c r="T10422" t="s">
        <v>8675</v>
      </c>
      <c r="U10422" s="1">
        <v>43348</v>
      </c>
      <c r="V10422" t="s">
        <v>89</v>
      </c>
      <c r="W10422" t="s">
        <v>90</v>
      </c>
      <c r="X10422" t="s">
        <v>58</v>
      </c>
      <c r="Y10422">
        <v>24</v>
      </c>
      <c r="Z10422" t="s">
        <v>59</v>
      </c>
      <c r="AD10422" t="s">
        <v>59</v>
      </c>
      <c r="AF10422" s="1">
        <v>43348</v>
      </c>
      <c r="AG10422" t="s">
        <v>8645</v>
      </c>
      <c r="AH10422" t="s">
        <v>8646</v>
      </c>
      <c r="AI10422" t="str">
        <f>"9500024"</f>
        <v>9500024</v>
      </c>
      <c r="AJ10422" t="s">
        <v>13856</v>
      </c>
      <c r="AK10422">
        <v>2825041345</v>
      </c>
      <c r="AL10422" t="s">
        <v>13857</v>
      </c>
      <c r="AM10422" t="s">
        <v>88</v>
      </c>
      <c r="AN10422" t="s">
        <v>6775</v>
      </c>
      <c r="AO10422" t="s">
        <v>11883</v>
      </c>
      <c r="AP10422" t="s">
        <v>13858</v>
      </c>
      <c r="AQ10422">
        <v>7</v>
      </c>
      <c r="AR10422" t="s">
        <v>89</v>
      </c>
      <c r="AS10422" t="s">
        <v>90</v>
      </c>
      <c r="AT10422" t="s">
        <v>58</v>
      </c>
      <c r="AU10422" t="s">
        <v>8673</v>
      </c>
      <c r="AV10422" t="s">
        <v>132</v>
      </c>
      <c r="AW10422" s="1">
        <v>30148</v>
      </c>
      <c r="AX10422">
        <v>1</v>
      </c>
    </row>
    <row r="10423" spans="1:50">
      <c r="A10423">
        <v>593566</v>
      </c>
      <c r="B10423" t="str">
        <f>"110388130"</f>
        <v>110388130</v>
      </c>
      <c r="C10423" t="s">
        <v>50</v>
      </c>
      <c r="D10423" t="s">
        <v>12505</v>
      </c>
      <c r="E10423" t="s">
        <v>52</v>
      </c>
      <c r="F10423" t="s">
        <v>53</v>
      </c>
      <c r="G10423" t="s">
        <v>367</v>
      </c>
      <c r="H10423" t="str">
        <f>"ΓΕΩΡΓΑΚΑΚΗ 15 ΛΕΝΤΑΡΙΑΝΑ"</f>
        <v>ΓΕΩΡΓΑΚΑΚΗ 15 ΛΕΝΤΑΡΙΑΝΑ</v>
      </c>
      <c r="I10423">
        <v>73100</v>
      </c>
      <c r="J10423">
        <v>2821040131</v>
      </c>
      <c r="K10423">
        <v>6973322455</v>
      </c>
      <c r="N10423" t="s">
        <v>615</v>
      </c>
      <c r="O10423" t="s">
        <v>616</v>
      </c>
      <c r="R10423" t="s">
        <v>57</v>
      </c>
      <c r="S10423">
        <v>8</v>
      </c>
      <c r="T10423">
        <v>218</v>
      </c>
      <c r="U10423" s="1">
        <v>37139</v>
      </c>
      <c r="V10423" t="s">
        <v>89</v>
      </c>
      <c r="W10423" t="s">
        <v>90</v>
      </c>
      <c r="X10423" t="s">
        <v>58</v>
      </c>
      <c r="Y10423">
        <v>22</v>
      </c>
      <c r="Z10423" t="s">
        <v>59</v>
      </c>
      <c r="AA10423" t="s">
        <v>59</v>
      </c>
      <c r="AB10423" t="s">
        <v>59</v>
      </c>
      <c r="AC10423" t="s">
        <v>59</v>
      </c>
      <c r="AD10423" t="s">
        <v>59</v>
      </c>
      <c r="AF10423" s="1">
        <v>37139</v>
      </c>
      <c r="AG10423" t="s">
        <v>8645</v>
      </c>
      <c r="AH10423" t="s">
        <v>8646</v>
      </c>
      <c r="AI10423" t="str">
        <f>"9500035"</f>
        <v>9500035</v>
      </c>
      <c r="AJ10423" t="s">
        <v>13979</v>
      </c>
      <c r="AK10423">
        <v>2821094678</v>
      </c>
      <c r="AL10423" t="s">
        <v>13980</v>
      </c>
      <c r="AM10423" t="s">
        <v>88</v>
      </c>
      <c r="AN10423" t="s">
        <v>88</v>
      </c>
      <c r="AO10423" t="s">
        <v>88</v>
      </c>
      <c r="AP10423" t="s">
        <v>88</v>
      </c>
      <c r="AQ10423">
        <v>2</v>
      </c>
      <c r="AR10423" t="s">
        <v>89</v>
      </c>
      <c r="AS10423" t="s">
        <v>90</v>
      </c>
      <c r="AT10423" t="s">
        <v>58</v>
      </c>
      <c r="AU10423" t="s">
        <v>68</v>
      </c>
      <c r="AV10423" t="s">
        <v>2039</v>
      </c>
      <c r="AW10423" s="1">
        <v>28583</v>
      </c>
      <c r="AX10423">
        <v>1</v>
      </c>
    </row>
    <row r="10424" spans="1:50">
      <c r="B10424" t="str">
        <f>"126847646"</f>
        <v>126847646</v>
      </c>
      <c r="C10424" t="s">
        <v>50</v>
      </c>
      <c r="D10424" t="s">
        <v>15320</v>
      </c>
      <c r="E10424" t="s">
        <v>52</v>
      </c>
      <c r="F10424" t="s">
        <v>166</v>
      </c>
      <c r="G10424" t="s">
        <v>181</v>
      </c>
      <c r="H10424" t="str">
        <f>" "</f>
        <v xml:space="preserve"> </v>
      </c>
      <c r="N10424" t="s">
        <v>1525</v>
      </c>
      <c r="O10424" t="s">
        <v>1526</v>
      </c>
      <c r="R10424" t="s">
        <v>121</v>
      </c>
      <c r="S10424">
        <v>1</v>
      </c>
      <c r="T10424" t="s">
        <v>8670</v>
      </c>
      <c r="U10424" s="1">
        <v>43348</v>
      </c>
      <c r="V10424" t="s">
        <v>89</v>
      </c>
      <c r="W10424" t="s">
        <v>90</v>
      </c>
      <c r="X10424" t="s">
        <v>58</v>
      </c>
      <c r="Y10424">
        <v>25</v>
      </c>
      <c r="Z10424" t="s">
        <v>59</v>
      </c>
      <c r="AA10424" t="s">
        <v>59</v>
      </c>
      <c r="AB10424" t="s">
        <v>59</v>
      </c>
      <c r="AC10424" t="s">
        <v>59</v>
      </c>
      <c r="AD10424" t="s">
        <v>59</v>
      </c>
      <c r="AF10424" s="1">
        <v>43348</v>
      </c>
      <c r="AG10424" t="s">
        <v>8651</v>
      </c>
      <c r="AH10424" t="s">
        <v>8652</v>
      </c>
      <c r="AI10424" t="str">
        <f>"9500321"</f>
        <v>9500321</v>
      </c>
      <c r="AJ10424" t="s">
        <v>14585</v>
      </c>
      <c r="AK10424">
        <v>2825061584</v>
      </c>
      <c r="AL10424" t="s">
        <v>14586</v>
      </c>
      <c r="AM10424" t="s">
        <v>88</v>
      </c>
      <c r="AN10424" t="s">
        <v>6775</v>
      </c>
      <c r="AO10424" t="s">
        <v>13929</v>
      </c>
      <c r="AP10424" t="s">
        <v>13929</v>
      </c>
      <c r="AQ10424">
        <v>8</v>
      </c>
      <c r="AR10424" t="s">
        <v>89</v>
      </c>
      <c r="AS10424" t="s">
        <v>90</v>
      </c>
      <c r="AT10424" t="s">
        <v>58</v>
      </c>
      <c r="AU10424" t="s">
        <v>8673</v>
      </c>
      <c r="AV10424" t="s">
        <v>132</v>
      </c>
      <c r="AW10424" s="1">
        <v>31437</v>
      </c>
      <c r="AX10424">
        <v>1</v>
      </c>
    </row>
    <row r="10425" spans="1:50">
      <c r="A10425">
        <v>701393</v>
      </c>
      <c r="B10425" t="str">
        <f>"119442512"</f>
        <v>119442512</v>
      </c>
      <c r="C10425" t="s">
        <v>105</v>
      </c>
      <c r="D10425" t="s">
        <v>15321</v>
      </c>
      <c r="E10425" t="s">
        <v>106</v>
      </c>
      <c r="F10425" t="s">
        <v>631</v>
      </c>
      <c r="G10425" t="s">
        <v>742</v>
      </c>
      <c r="H10425" t="str">
        <f>"ΗΡΩΩΝ 5 ΒΕΛΕΣΤΙΝΟ"</f>
        <v>ΗΡΩΩΝ 5 ΒΕΛΕΣΤΙΝΟ</v>
      </c>
      <c r="I10425">
        <v>37500</v>
      </c>
      <c r="J10425">
        <v>2425022328</v>
      </c>
      <c r="K10425">
        <v>6972709430</v>
      </c>
      <c r="M10425" t="s">
        <v>15322</v>
      </c>
      <c r="N10425" t="s">
        <v>615</v>
      </c>
      <c r="O10425" t="s">
        <v>616</v>
      </c>
      <c r="R10425" t="s">
        <v>57</v>
      </c>
      <c r="S10425">
        <v>4</v>
      </c>
      <c r="T10425">
        <v>772</v>
      </c>
      <c r="U10425" s="1">
        <v>40413</v>
      </c>
      <c r="V10425" t="s">
        <v>89</v>
      </c>
      <c r="W10425" t="s">
        <v>90</v>
      </c>
      <c r="X10425" t="s">
        <v>58</v>
      </c>
      <c r="Y10425">
        <v>25</v>
      </c>
      <c r="Z10425" t="s">
        <v>59</v>
      </c>
      <c r="AA10425" t="s">
        <v>59</v>
      </c>
      <c r="AB10425" t="s">
        <v>59</v>
      </c>
      <c r="AC10425" t="s">
        <v>59</v>
      </c>
      <c r="AD10425" t="s">
        <v>59</v>
      </c>
      <c r="AF10425" s="1">
        <v>40413</v>
      </c>
      <c r="AG10425" t="s">
        <v>8645</v>
      </c>
      <c r="AH10425" t="s">
        <v>8676</v>
      </c>
      <c r="AI10425" t="str">
        <f>"9521626"</f>
        <v>9521626</v>
      </c>
      <c r="AJ10425" t="s">
        <v>14002</v>
      </c>
      <c r="AM10425" t="s">
        <v>88</v>
      </c>
      <c r="AN10425" t="s">
        <v>88</v>
      </c>
      <c r="AO10425" t="s">
        <v>88</v>
      </c>
      <c r="AP10425" t="s">
        <v>88</v>
      </c>
      <c r="AR10425" t="s">
        <v>89</v>
      </c>
      <c r="AS10425" t="s">
        <v>90</v>
      </c>
      <c r="AT10425" t="s">
        <v>58</v>
      </c>
      <c r="AU10425" t="s">
        <v>68</v>
      </c>
      <c r="AV10425" t="s">
        <v>69</v>
      </c>
      <c r="AW10425" s="1">
        <v>30596</v>
      </c>
      <c r="AX10425">
        <v>1</v>
      </c>
    </row>
    <row r="10426" spans="1:50">
      <c r="B10426" t="str">
        <f>"140467107"</f>
        <v>140467107</v>
      </c>
      <c r="C10426" t="s">
        <v>50</v>
      </c>
      <c r="D10426" t="s">
        <v>15323</v>
      </c>
      <c r="E10426" t="s">
        <v>181</v>
      </c>
      <c r="F10426" t="s">
        <v>920</v>
      </c>
      <c r="G10426" t="s">
        <v>620</v>
      </c>
      <c r="H10426" t="str">
        <f>" "</f>
        <v xml:space="preserve"> </v>
      </c>
      <c r="N10426" t="s">
        <v>9829</v>
      </c>
      <c r="O10426" t="s">
        <v>9830</v>
      </c>
      <c r="R10426" t="s">
        <v>121</v>
      </c>
      <c r="S10426">
        <v>3</v>
      </c>
      <c r="T10426" t="s">
        <v>8835</v>
      </c>
      <c r="U10426" s="1">
        <v>43348</v>
      </c>
      <c r="V10426" t="s">
        <v>89</v>
      </c>
      <c r="W10426" t="s">
        <v>90</v>
      </c>
      <c r="X10426" t="s">
        <v>58</v>
      </c>
      <c r="Y10426">
        <v>25</v>
      </c>
      <c r="Z10426" t="s">
        <v>59</v>
      </c>
      <c r="AA10426" t="s">
        <v>59</v>
      </c>
      <c r="AB10426" t="s">
        <v>59</v>
      </c>
      <c r="AD10426" t="s">
        <v>59</v>
      </c>
      <c r="AF10426" s="1">
        <v>43348</v>
      </c>
      <c r="AG10426" t="s">
        <v>8651</v>
      </c>
      <c r="AH10426" t="s">
        <v>8652</v>
      </c>
      <c r="AI10426" t="str">
        <f>"9500346"</f>
        <v>9500346</v>
      </c>
      <c r="AJ10426" t="s">
        <v>14342</v>
      </c>
      <c r="AK10426">
        <v>2821076501</v>
      </c>
      <c r="AL10426" t="s">
        <v>14343</v>
      </c>
      <c r="AM10426" t="s">
        <v>88</v>
      </c>
      <c r="AN10426" t="s">
        <v>88</v>
      </c>
      <c r="AO10426" t="s">
        <v>88</v>
      </c>
      <c r="AP10426" t="s">
        <v>88</v>
      </c>
      <c r="AQ10426">
        <v>1</v>
      </c>
      <c r="AR10426" t="s">
        <v>89</v>
      </c>
      <c r="AS10426" t="s">
        <v>90</v>
      </c>
      <c r="AT10426" t="s">
        <v>58</v>
      </c>
      <c r="AU10426" t="s">
        <v>131</v>
      </c>
      <c r="AV10426" t="s">
        <v>132</v>
      </c>
      <c r="AW10426" s="1">
        <v>31986</v>
      </c>
      <c r="AX10426">
        <v>1</v>
      </c>
    </row>
    <row r="10427" spans="1:50">
      <c r="B10427" t="str">
        <f>"144232950"</f>
        <v>144232950</v>
      </c>
      <c r="C10427" t="s">
        <v>50</v>
      </c>
      <c r="D10427" t="s">
        <v>15324</v>
      </c>
      <c r="E10427" t="s">
        <v>155</v>
      </c>
      <c r="F10427" t="s">
        <v>154</v>
      </c>
      <c r="G10427" t="s">
        <v>3172</v>
      </c>
      <c r="H10427" t="str">
        <f>"ΦΙΛΙΠΠΟΥ Β29 ΔΟΞΑΤΟ ΔΡΑΜΑΣ"</f>
        <v>ΦΙΛΙΠΠΟΥ Β29 ΔΟΞΑΤΟ ΔΡΑΜΑΣ</v>
      </c>
      <c r="I10427">
        <v>66300</v>
      </c>
      <c r="J10427">
        <v>2521067411</v>
      </c>
      <c r="K10427">
        <v>6948949926</v>
      </c>
      <c r="N10427" t="s">
        <v>615</v>
      </c>
      <c r="O10427" t="s">
        <v>616</v>
      </c>
      <c r="R10427" t="s">
        <v>159</v>
      </c>
      <c r="S10427">
        <v>3</v>
      </c>
      <c r="T10427" t="s">
        <v>8675</v>
      </c>
      <c r="U10427" s="1">
        <v>43348</v>
      </c>
      <c r="V10427" t="s">
        <v>89</v>
      </c>
      <c r="W10427" t="s">
        <v>90</v>
      </c>
      <c r="X10427" t="s">
        <v>58</v>
      </c>
      <c r="Y10427">
        <v>25</v>
      </c>
      <c r="Z10427" t="s">
        <v>59</v>
      </c>
      <c r="AA10427" t="s">
        <v>59</v>
      </c>
      <c r="AB10427" t="s">
        <v>59</v>
      </c>
      <c r="AC10427" t="s">
        <v>59</v>
      </c>
      <c r="AD10427" t="s">
        <v>59</v>
      </c>
      <c r="AF10427" s="1">
        <v>43348</v>
      </c>
      <c r="AG10427" t="s">
        <v>8645</v>
      </c>
      <c r="AH10427" t="s">
        <v>8676</v>
      </c>
      <c r="AI10427" t="str">
        <f>"9500012"</f>
        <v>9500012</v>
      </c>
      <c r="AJ10427" t="s">
        <v>14481</v>
      </c>
      <c r="AK10427">
        <v>2825051487</v>
      </c>
      <c r="AL10427" t="s">
        <v>14482</v>
      </c>
      <c r="AM10427" t="s">
        <v>88</v>
      </c>
      <c r="AN10427" t="s">
        <v>6775</v>
      </c>
      <c r="AO10427" t="s">
        <v>6781</v>
      </c>
      <c r="AP10427" t="s">
        <v>14483</v>
      </c>
      <c r="AQ10427">
        <v>8</v>
      </c>
      <c r="AR10427" t="s">
        <v>89</v>
      </c>
      <c r="AS10427" t="s">
        <v>90</v>
      </c>
      <c r="AT10427" t="s">
        <v>58</v>
      </c>
      <c r="AU10427" t="s">
        <v>8673</v>
      </c>
      <c r="AV10427" t="s">
        <v>132</v>
      </c>
      <c r="AW10427" s="1">
        <v>32027</v>
      </c>
      <c r="AX10427">
        <v>1</v>
      </c>
    </row>
    <row r="10428" spans="1:50">
      <c r="A10428">
        <v>703243</v>
      </c>
      <c r="B10428" t="str">
        <f>"065712929"</f>
        <v>065712929</v>
      </c>
      <c r="C10428" t="s">
        <v>50</v>
      </c>
      <c r="D10428" t="s">
        <v>15325</v>
      </c>
      <c r="E10428" t="s">
        <v>155</v>
      </c>
      <c r="F10428" t="s">
        <v>84</v>
      </c>
      <c r="G10428" t="s">
        <v>563</v>
      </c>
      <c r="H10428" t="str">
        <f>"ΚΑΝΑΡΗ 7 ΘΕΣΑΛΟΝΙΚΗ"</f>
        <v>ΚΑΝΑΡΗ 7 ΘΕΣΑΛΟΝΙΚΗ</v>
      </c>
      <c r="I10428">
        <v>54644</v>
      </c>
      <c r="J10428">
        <v>2310913980</v>
      </c>
      <c r="K10428">
        <v>6972842251</v>
      </c>
      <c r="N10428" t="s">
        <v>306</v>
      </c>
      <c r="O10428" t="s">
        <v>307</v>
      </c>
      <c r="R10428" t="s">
        <v>57</v>
      </c>
      <c r="S10428">
        <v>8</v>
      </c>
      <c r="T10428">
        <v>588</v>
      </c>
      <c r="U10428" s="1">
        <v>40778</v>
      </c>
      <c r="V10428" t="s">
        <v>89</v>
      </c>
      <c r="W10428" t="s">
        <v>90</v>
      </c>
      <c r="X10428" t="s">
        <v>58</v>
      </c>
      <c r="Y10428">
        <v>23</v>
      </c>
      <c r="Z10428" t="s">
        <v>59</v>
      </c>
      <c r="AA10428" t="s">
        <v>59</v>
      </c>
      <c r="AB10428" t="s">
        <v>59</v>
      </c>
      <c r="AC10428" t="s">
        <v>59</v>
      </c>
      <c r="AD10428" t="s">
        <v>59</v>
      </c>
      <c r="AF10428" s="1">
        <v>40780</v>
      </c>
      <c r="AG10428" t="s">
        <v>8645</v>
      </c>
      <c r="AH10428" t="s">
        <v>8646</v>
      </c>
      <c r="AI10428" t="str">
        <f>"9500236"</f>
        <v>9500236</v>
      </c>
      <c r="AJ10428" t="s">
        <v>14106</v>
      </c>
      <c r="AK10428">
        <v>2824022347</v>
      </c>
      <c r="AL10428" t="s">
        <v>14107</v>
      </c>
      <c r="AM10428" t="s">
        <v>88</v>
      </c>
      <c r="AN10428" t="s">
        <v>6764</v>
      </c>
      <c r="AO10428" t="s">
        <v>6765</v>
      </c>
      <c r="AP10428" t="s">
        <v>13952</v>
      </c>
      <c r="AQ10428">
        <v>6</v>
      </c>
      <c r="AR10428" t="s">
        <v>89</v>
      </c>
      <c r="AS10428" t="s">
        <v>90</v>
      </c>
      <c r="AT10428" t="s">
        <v>58</v>
      </c>
      <c r="AU10428" t="s">
        <v>68</v>
      </c>
      <c r="AV10428" t="s">
        <v>69</v>
      </c>
      <c r="AW10428" s="1">
        <v>27832</v>
      </c>
      <c r="AX10428">
        <v>1</v>
      </c>
    </row>
    <row r="10429" spans="1:50">
      <c r="A10429">
        <v>576072</v>
      </c>
      <c r="B10429" t="str">
        <f>"118458051"</f>
        <v>118458051</v>
      </c>
      <c r="C10429" t="s">
        <v>50</v>
      </c>
      <c r="D10429" t="s">
        <v>3623</v>
      </c>
      <c r="E10429" t="s">
        <v>1120</v>
      </c>
      <c r="F10429" t="s">
        <v>166</v>
      </c>
      <c r="G10429" t="s">
        <v>411</v>
      </c>
      <c r="H10429" t="str">
        <f>" "</f>
        <v xml:space="preserve"> </v>
      </c>
      <c r="N10429" t="s">
        <v>1525</v>
      </c>
      <c r="O10429" t="s">
        <v>1526</v>
      </c>
      <c r="R10429" t="s">
        <v>57</v>
      </c>
      <c r="S10429">
        <v>11</v>
      </c>
      <c r="T10429">
        <v>184</v>
      </c>
      <c r="U10429" s="1">
        <v>34941</v>
      </c>
      <c r="V10429" t="s">
        <v>89</v>
      </c>
      <c r="W10429" t="s">
        <v>90</v>
      </c>
      <c r="X10429" t="s">
        <v>58</v>
      </c>
      <c r="Y10429">
        <v>25</v>
      </c>
      <c r="Z10429" t="s">
        <v>59</v>
      </c>
      <c r="AA10429" t="s">
        <v>59</v>
      </c>
      <c r="AB10429" t="s">
        <v>59</v>
      </c>
      <c r="AC10429" t="s">
        <v>59</v>
      </c>
      <c r="AD10429" t="s">
        <v>59</v>
      </c>
      <c r="AF10429" s="1">
        <v>34941</v>
      </c>
      <c r="AG10429" t="s">
        <v>8651</v>
      </c>
      <c r="AH10429" t="s">
        <v>8652</v>
      </c>
      <c r="AI10429" t="str">
        <f>"9500425"</f>
        <v>9500425</v>
      </c>
      <c r="AJ10429" t="s">
        <v>14213</v>
      </c>
      <c r="AK10429">
        <v>2821094663</v>
      </c>
      <c r="AL10429" t="s">
        <v>14214</v>
      </c>
      <c r="AM10429" t="s">
        <v>88</v>
      </c>
      <c r="AN10429" t="s">
        <v>88</v>
      </c>
      <c r="AO10429" t="s">
        <v>6733</v>
      </c>
      <c r="AP10429" t="s">
        <v>6734</v>
      </c>
      <c r="AQ10429">
        <v>2</v>
      </c>
      <c r="AR10429" t="s">
        <v>89</v>
      </c>
      <c r="AS10429" t="s">
        <v>90</v>
      </c>
      <c r="AT10429" t="s">
        <v>58</v>
      </c>
      <c r="AU10429" t="s">
        <v>68</v>
      </c>
      <c r="AV10429" t="s">
        <v>69</v>
      </c>
      <c r="AW10429" s="1">
        <v>23998</v>
      </c>
      <c r="AX10429">
        <v>1</v>
      </c>
    </row>
    <row r="10430" spans="1:50">
      <c r="A10430">
        <v>560172</v>
      </c>
      <c r="B10430" t="str">
        <f>"032364256"</f>
        <v>032364256</v>
      </c>
      <c r="C10430" t="s">
        <v>50</v>
      </c>
      <c r="D10430" t="s">
        <v>8234</v>
      </c>
      <c r="E10430" t="s">
        <v>263</v>
      </c>
      <c r="F10430" t="s">
        <v>95</v>
      </c>
      <c r="G10430" t="s">
        <v>396</v>
      </c>
      <c r="H10430" t="str">
        <f>"ΣΤΕΛΙΟΥ ΦΙΩΤΑΚΗ 33 ΧΑΝΙΑ"</f>
        <v>ΣΤΕΛΙΟΥ ΦΙΩΤΑΚΗ 33 ΧΑΝΙΑ</v>
      </c>
      <c r="I10430">
        <v>73134</v>
      </c>
      <c r="J10430">
        <v>2821043928</v>
      </c>
      <c r="K10430">
        <v>6932045745</v>
      </c>
      <c r="M10430" t="s">
        <v>15326</v>
      </c>
      <c r="N10430" t="s">
        <v>615</v>
      </c>
      <c r="O10430" t="s">
        <v>616</v>
      </c>
      <c r="R10430" t="s">
        <v>57</v>
      </c>
      <c r="S10430">
        <v>16</v>
      </c>
      <c r="T10430">
        <v>185</v>
      </c>
      <c r="U10430" s="1">
        <v>32035</v>
      </c>
      <c r="V10430" t="s">
        <v>89</v>
      </c>
      <c r="W10430" t="s">
        <v>90</v>
      </c>
      <c r="X10430" t="s">
        <v>58</v>
      </c>
      <c r="Y10430">
        <v>21</v>
      </c>
      <c r="Z10430" t="s">
        <v>59</v>
      </c>
      <c r="AA10430" t="s">
        <v>59</v>
      </c>
      <c r="AB10430" t="s">
        <v>59</v>
      </c>
      <c r="AC10430" t="s">
        <v>59</v>
      </c>
      <c r="AD10430" t="s">
        <v>59</v>
      </c>
      <c r="AF10430" s="1">
        <v>32035</v>
      </c>
      <c r="AG10430" t="s">
        <v>8645</v>
      </c>
      <c r="AH10430" t="s">
        <v>8646</v>
      </c>
      <c r="AI10430" t="str">
        <f>"9500040"</f>
        <v>9500040</v>
      </c>
      <c r="AJ10430" t="s">
        <v>13906</v>
      </c>
      <c r="AK10430">
        <v>2821045356</v>
      </c>
      <c r="AL10430" t="s">
        <v>13907</v>
      </c>
      <c r="AM10430" t="s">
        <v>88</v>
      </c>
      <c r="AN10430" t="s">
        <v>88</v>
      </c>
      <c r="AO10430" t="s">
        <v>88</v>
      </c>
      <c r="AP10430" t="s">
        <v>88</v>
      </c>
      <c r="AQ10430">
        <v>1</v>
      </c>
      <c r="AR10430" t="s">
        <v>89</v>
      </c>
      <c r="AS10430" t="s">
        <v>90</v>
      </c>
      <c r="AT10430" t="s">
        <v>58</v>
      </c>
      <c r="AU10430" t="s">
        <v>68</v>
      </c>
      <c r="AV10430" t="s">
        <v>69</v>
      </c>
      <c r="AW10430" s="1">
        <v>23958</v>
      </c>
      <c r="AX10430">
        <v>1</v>
      </c>
    </row>
    <row r="10431" spans="1:50">
      <c r="B10431" t="str">
        <f>"122720921"</f>
        <v>122720921</v>
      </c>
      <c r="C10431" t="s">
        <v>105</v>
      </c>
      <c r="D10431" t="s">
        <v>15327</v>
      </c>
      <c r="E10431" t="s">
        <v>631</v>
      </c>
      <c r="F10431" t="s">
        <v>1062</v>
      </c>
      <c r="G10431" t="s">
        <v>755</v>
      </c>
      <c r="H10431" t="str">
        <f>"ΠΡΟΥΣΣΗΣ  25 "</f>
        <v xml:space="preserve">ΠΡΟΥΣΣΗΣ  25 </v>
      </c>
      <c r="I10431">
        <v>59100</v>
      </c>
      <c r="J10431">
        <v>2331063870</v>
      </c>
      <c r="K10431">
        <v>6946137217</v>
      </c>
      <c r="N10431" t="s">
        <v>337</v>
      </c>
      <c r="O10431" t="s">
        <v>338</v>
      </c>
      <c r="R10431" t="s">
        <v>159</v>
      </c>
      <c r="S10431">
        <v>3</v>
      </c>
      <c r="T10431" t="s">
        <v>8675</v>
      </c>
      <c r="U10431" s="1">
        <v>43348</v>
      </c>
      <c r="V10431" t="s">
        <v>89</v>
      </c>
      <c r="W10431" t="s">
        <v>90</v>
      </c>
      <c r="X10431" t="s">
        <v>58</v>
      </c>
      <c r="Y10431">
        <v>24</v>
      </c>
      <c r="Z10431" t="s">
        <v>59</v>
      </c>
      <c r="AA10431" t="s">
        <v>59</v>
      </c>
      <c r="AB10431" t="s">
        <v>59</v>
      </c>
      <c r="AC10431" t="s">
        <v>59</v>
      </c>
      <c r="AD10431" t="s">
        <v>59</v>
      </c>
      <c r="AF10431" s="1">
        <v>43348</v>
      </c>
      <c r="AG10431" t="s">
        <v>8645</v>
      </c>
      <c r="AH10431" t="s">
        <v>8646</v>
      </c>
      <c r="AI10431" t="str">
        <f>"9500360"</f>
        <v>9500360</v>
      </c>
      <c r="AJ10431" t="s">
        <v>14022</v>
      </c>
      <c r="AK10431">
        <v>2821031253</v>
      </c>
      <c r="AL10431" t="s">
        <v>14023</v>
      </c>
      <c r="AM10431" t="s">
        <v>88</v>
      </c>
      <c r="AN10431" t="s">
        <v>88</v>
      </c>
      <c r="AO10431" t="s">
        <v>6785</v>
      </c>
      <c r="AP10431" t="s">
        <v>13932</v>
      </c>
      <c r="AQ10431">
        <v>3</v>
      </c>
      <c r="AR10431" t="s">
        <v>89</v>
      </c>
      <c r="AS10431" t="s">
        <v>90</v>
      </c>
      <c r="AT10431" t="s">
        <v>58</v>
      </c>
      <c r="AU10431" t="s">
        <v>8673</v>
      </c>
      <c r="AV10431" t="s">
        <v>132</v>
      </c>
      <c r="AW10431" s="1">
        <v>26433</v>
      </c>
      <c r="AX10431">
        <v>1</v>
      </c>
    </row>
    <row r="10432" spans="1:50">
      <c r="A10432">
        <v>554793</v>
      </c>
      <c r="B10432" t="str">
        <f>"026763017"</f>
        <v>026763017</v>
      </c>
      <c r="C10432" t="s">
        <v>50</v>
      </c>
      <c r="D10432" t="s">
        <v>5389</v>
      </c>
      <c r="E10432" t="s">
        <v>52</v>
      </c>
      <c r="F10432" t="s">
        <v>95</v>
      </c>
      <c r="G10432" t="s">
        <v>2127</v>
      </c>
      <c r="H10432" t="str">
        <f>"ΠΛΑΤΕΙΑ ΚΟΛΟΚΟΤΡΩΝΗ 4-9 ΧΑΝΙΑ"</f>
        <v>ΠΛΑΤΕΙΑ ΚΟΛΟΚΟΤΡΩΝΗ 4-9 ΧΑΝΙΑ</v>
      </c>
      <c r="I10432">
        <v>73100</v>
      </c>
      <c r="J10432">
        <v>2821042495</v>
      </c>
      <c r="K10432">
        <v>6945457152</v>
      </c>
      <c r="N10432" t="s">
        <v>615</v>
      </c>
      <c r="O10432" t="s">
        <v>616</v>
      </c>
      <c r="R10432" t="s">
        <v>57</v>
      </c>
      <c r="S10432">
        <v>17</v>
      </c>
      <c r="T10432">
        <v>200</v>
      </c>
      <c r="U10432" s="1">
        <v>31657</v>
      </c>
      <c r="V10432" t="s">
        <v>89</v>
      </c>
      <c r="W10432" t="s">
        <v>90</v>
      </c>
      <c r="X10432" t="s">
        <v>58</v>
      </c>
      <c r="Y10432">
        <v>21</v>
      </c>
      <c r="Z10432" t="s">
        <v>59</v>
      </c>
      <c r="AA10432" t="s">
        <v>59</v>
      </c>
      <c r="AB10432" t="s">
        <v>59</v>
      </c>
      <c r="AC10432" t="s">
        <v>59</v>
      </c>
      <c r="AD10432" t="s">
        <v>59</v>
      </c>
      <c r="AF10432" s="1">
        <v>31657</v>
      </c>
      <c r="AG10432" t="s">
        <v>8645</v>
      </c>
      <c r="AH10432" t="s">
        <v>8646</v>
      </c>
      <c r="AI10432" t="str">
        <f>"9500329"</f>
        <v>9500329</v>
      </c>
      <c r="AJ10432" t="s">
        <v>14241</v>
      </c>
      <c r="AK10432">
        <v>2821099075</v>
      </c>
      <c r="AL10432" t="s">
        <v>14242</v>
      </c>
      <c r="AM10432" t="s">
        <v>88</v>
      </c>
      <c r="AN10432" t="s">
        <v>88</v>
      </c>
      <c r="AO10432" t="s">
        <v>6733</v>
      </c>
      <c r="AP10432" t="s">
        <v>6734</v>
      </c>
      <c r="AQ10432">
        <v>2</v>
      </c>
      <c r="AR10432" t="s">
        <v>89</v>
      </c>
      <c r="AS10432" t="s">
        <v>90</v>
      </c>
      <c r="AT10432" t="s">
        <v>58</v>
      </c>
      <c r="AU10432" t="s">
        <v>68</v>
      </c>
      <c r="AV10432" t="s">
        <v>2039</v>
      </c>
      <c r="AW10432" s="1">
        <v>22665</v>
      </c>
      <c r="AX10432">
        <v>1</v>
      </c>
    </row>
    <row r="10433" spans="1:50">
      <c r="A10433">
        <v>216917</v>
      </c>
      <c r="B10433" t="str">
        <f>"123100011"</f>
        <v>123100011</v>
      </c>
      <c r="C10433" t="s">
        <v>105</v>
      </c>
      <c r="D10433" t="s">
        <v>15328</v>
      </c>
      <c r="E10433" t="s">
        <v>377</v>
      </c>
      <c r="F10433" t="s">
        <v>95</v>
      </c>
      <c r="G10433" t="s">
        <v>8985</v>
      </c>
      <c r="H10433" t="str">
        <f>"ΑΓΟΡΑΣΤΑΚΗ 39 ΣΟΔΥ"</f>
        <v>ΑΓΟΡΑΣΤΑΚΗ 39 ΣΟΔΥ</v>
      </c>
      <c r="I10433">
        <v>73134</v>
      </c>
      <c r="J10433">
        <v>2821058457</v>
      </c>
      <c r="K10433">
        <v>6979600684</v>
      </c>
      <c r="N10433" t="s">
        <v>204</v>
      </c>
      <c r="O10433" t="s">
        <v>205</v>
      </c>
      <c r="R10433" t="s">
        <v>57</v>
      </c>
      <c r="S10433">
        <v>6</v>
      </c>
      <c r="T10433" t="s">
        <v>15329</v>
      </c>
      <c r="U10433" s="1">
        <v>38985</v>
      </c>
      <c r="V10433" t="s">
        <v>89</v>
      </c>
      <c r="W10433" t="s">
        <v>90</v>
      </c>
      <c r="X10433" t="s">
        <v>58</v>
      </c>
      <c r="Y10433">
        <v>23</v>
      </c>
      <c r="Z10433" t="s">
        <v>59</v>
      </c>
      <c r="AA10433" t="s">
        <v>59</v>
      </c>
      <c r="AB10433" t="s">
        <v>59</v>
      </c>
      <c r="AC10433" t="s">
        <v>59</v>
      </c>
      <c r="AD10433" t="s">
        <v>59</v>
      </c>
      <c r="AF10433" s="1">
        <v>38987</v>
      </c>
      <c r="AG10433" t="s">
        <v>8645</v>
      </c>
      <c r="AH10433" t="s">
        <v>8646</v>
      </c>
      <c r="AI10433" t="str">
        <f>"9500045"</f>
        <v>9500045</v>
      </c>
      <c r="AJ10433" t="s">
        <v>13887</v>
      </c>
      <c r="AK10433">
        <v>2821044369</v>
      </c>
      <c r="AL10433" t="s">
        <v>13888</v>
      </c>
      <c r="AM10433" t="s">
        <v>88</v>
      </c>
      <c r="AN10433" t="s">
        <v>88</v>
      </c>
      <c r="AO10433" t="s">
        <v>88</v>
      </c>
      <c r="AP10433" t="s">
        <v>88</v>
      </c>
      <c r="AQ10433">
        <v>1</v>
      </c>
      <c r="AR10433" t="s">
        <v>89</v>
      </c>
      <c r="AS10433" t="s">
        <v>90</v>
      </c>
      <c r="AT10433" t="s">
        <v>58</v>
      </c>
      <c r="AU10433" t="s">
        <v>68</v>
      </c>
      <c r="AV10433" t="s">
        <v>69</v>
      </c>
      <c r="AW10433" s="1">
        <v>27844</v>
      </c>
      <c r="AX10433">
        <v>1</v>
      </c>
    </row>
    <row r="10434" spans="1:50">
      <c r="B10434" t="str">
        <f>"121587228"</f>
        <v>121587228</v>
      </c>
      <c r="C10434" t="s">
        <v>50</v>
      </c>
      <c r="D10434" t="s">
        <v>15330</v>
      </c>
      <c r="E10434" t="s">
        <v>476</v>
      </c>
      <c r="F10434" t="s">
        <v>10646</v>
      </c>
      <c r="H10434" t="str">
        <f>"Παύλου Μελά 6 Φίλυρο"</f>
        <v>Παύλου Μελά 6 Φίλυρο</v>
      </c>
      <c r="I10434">
        <v>57010</v>
      </c>
      <c r="K10434">
        <v>6979580164</v>
      </c>
      <c r="M10434" t="s">
        <v>15331</v>
      </c>
      <c r="N10434" t="s">
        <v>683</v>
      </c>
      <c r="O10434" t="s">
        <v>684</v>
      </c>
      <c r="R10434" t="s">
        <v>159</v>
      </c>
      <c r="S10434">
        <v>1</v>
      </c>
      <c r="T10434" t="s">
        <v>8675</v>
      </c>
      <c r="U10434" s="1">
        <v>43348</v>
      </c>
      <c r="V10434" t="s">
        <v>89</v>
      </c>
      <c r="W10434" t="s">
        <v>90</v>
      </c>
      <c r="X10434" t="s">
        <v>58</v>
      </c>
      <c r="Y10434">
        <v>24</v>
      </c>
      <c r="Z10434" t="s">
        <v>59</v>
      </c>
      <c r="AA10434" t="s">
        <v>59</v>
      </c>
      <c r="AB10434" t="s">
        <v>59</v>
      </c>
      <c r="AC10434" t="s">
        <v>59</v>
      </c>
      <c r="AD10434" t="s">
        <v>59</v>
      </c>
      <c r="AF10434" s="1">
        <v>43348</v>
      </c>
      <c r="AG10434" t="s">
        <v>8645</v>
      </c>
      <c r="AH10434" t="s">
        <v>8646</v>
      </c>
      <c r="AI10434" t="str">
        <f>"9500038"</f>
        <v>9500038</v>
      </c>
      <c r="AJ10434" t="s">
        <v>13899</v>
      </c>
      <c r="AK10434">
        <v>2821042407</v>
      </c>
      <c r="AL10434" t="s">
        <v>13900</v>
      </c>
      <c r="AM10434" t="s">
        <v>88</v>
      </c>
      <c r="AN10434" t="s">
        <v>88</v>
      </c>
      <c r="AO10434" t="s">
        <v>88</v>
      </c>
      <c r="AP10434" t="s">
        <v>88</v>
      </c>
      <c r="AQ10434">
        <v>1</v>
      </c>
      <c r="AR10434" t="s">
        <v>89</v>
      </c>
      <c r="AS10434" t="s">
        <v>90</v>
      </c>
      <c r="AT10434" t="s">
        <v>58</v>
      </c>
      <c r="AU10434" t="s">
        <v>8673</v>
      </c>
      <c r="AV10434" t="s">
        <v>132</v>
      </c>
      <c r="AW10434" s="1">
        <v>30599</v>
      </c>
      <c r="AX10434">
        <v>1</v>
      </c>
    </row>
    <row r="10435" spans="1:50">
      <c r="A10435">
        <v>620123</v>
      </c>
      <c r="B10435" t="str">
        <f>"120226892"</f>
        <v>120226892</v>
      </c>
      <c r="C10435" t="s">
        <v>50</v>
      </c>
      <c r="D10435" t="s">
        <v>15332</v>
      </c>
      <c r="E10435" t="s">
        <v>352</v>
      </c>
      <c r="F10435" t="s">
        <v>154</v>
      </c>
      <c r="G10435" t="s">
        <v>15333</v>
      </c>
      <c r="H10435" t="str">
        <f>"ΣΦΑΚΙΩΝ 9 ΧΑΝΙΑ"</f>
        <v>ΣΦΑΚΙΩΝ 9 ΧΑΝΙΑ</v>
      </c>
      <c r="I10435">
        <v>73100</v>
      </c>
      <c r="J10435">
        <v>2821059660</v>
      </c>
      <c r="K10435">
        <v>6974043758</v>
      </c>
      <c r="L10435">
        <v>2831052806</v>
      </c>
      <c r="N10435" t="s">
        <v>1525</v>
      </c>
      <c r="O10435" t="s">
        <v>1526</v>
      </c>
      <c r="R10435" t="s">
        <v>57</v>
      </c>
      <c r="S10435">
        <v>7</v>
      </c>
      <c r="T10435">
        <v>794</v>
      </c>
      <c r="U10435" s="1">
        <v>39680</v>
      </c>
      <c r="V10435" t="s">
        <v>89</v>
      </c>
      <c r="W10435" t="s">
        <v>90</v>
      </c>
      <c r="X10435" t="s">
        <v>58</v>
      </c>
      <c r="Y10435">
        <v>25</v>
      </c>
      <c r="Z10435" t="s">
        <v>59</v>
      </c>
      <c r="AA10435" t="s">
        <v>59</v>
      </c>
      <c r="AB10435" t="s">
        <v>59</v>
      </c>
      <c r="AC10435" t="s">
        <v>59</v>
      </c>
      <c r="AD10435" t="s">
        <v>59</v>
      </c>
      <c r="AF10435" s="1">
        <v>39692</v>
      </c>
      <c r="AG10435" t="s">
        <v>8651</v>
      </c>
      <c r="AH10435" t="s">
        <v>8652</v>
      </c>
      <c r="AI10435" t="str">
        <f>"9500382"</f>
        <v>9500382</v>
      </c>
      <c r="AJ10435" t="s">
        <v>14600</v>
      </c>
      <c r="AK10435">
        <v>2821062343</v>
      </c>
      <c r="AL10435" t="s">
        <v>14601</v>
      </c>
      <c r="AM10435" t="s">
        <v>88</v>
      </c>
      <c r="AN10435" t="s">
        <v>6764</v>
      </c>
      <c r="AO10435" t="s">
        <v>6764</v>
      </c>
      <c r="AP10435" t="s">
        <v>14488</v>
      </c>
      <c r="AQ10435">
        <v>5</v>
      </c>
      <c r="AR10435" t="s">
        <v>89</v>
      </c>
      <c r="AS10435" t="s">
        <v>90</v>
      </c>
      <c r="AT10435" t="s">
        <v>58</v>
      </c>
      <c r="AU10435" t="s">
        <v>68</v>
      </c>
      <c r="AV10435" t="s">
        <v>69</v>
      </c>
      <c r="AW10435" s="1">
        <v>30341</v>
      </c>
      <c r="AX10435">
        <v>1</v>
      </c>
    </row>
    <row r="10436" spans="1:50">
      <c r="B10436" t="str">
        <f>"128720121"</f>
        <v>128720121</v>
      </c>
      <c r="C10436" t="s">
        <v>50</v>
      </c>
      <c r="D10436" t="s">
        <v>15334</v>
      </c>
      <c r="E10436" t="s">
        <v>1204</v>
      </c>
      <c r="F10436" t="s">
        <v>84</v>
      </c>
      <c r="G10436" t="s">
        <v>714</v>
      </c>
      <c r="H10436" t="str">
        <f>"ΟΙΚΙΣΜΟΣ ΝΑΥΣΤΑΘΜΟΥ ΚΡΗΤΗΣ ΣΟΥΔΑ"</f>
        <v>ΟΙΚΙΣΜΟΣ ΝΑΥΣΤΑΘΜΟΥ ΚΡΗΤΗΣ ΣΟΥΔΑ</v>
      </c>
      <c r="I10436">
        <v>7310</v>
      </c>
      <c r="J10436">
        <v>2821082831</v>
      </c>
      <c r="K10436">
        <v>6998744236</v>
      </c>
      <c r="N10436" t="s">
        <v>1525</v>
      </c>
      <c r="O10436" t="s">
        <v>1526</v>
      </c>
      <c r="R10436" t="s">
        <v>159</v>
      </c>
      <c r="S10436">
        <v>2</v>
      </c>
      <c r="T10436" t="s">
        <v>8670</v>
      </c>
      <c r="U10436" s="1">
        <v>43348</v>
      </c>
      <c r="V10436" t="s">
        <v>89</v>
      </c>
      <c r="W10436" t="s">
        <v>90</v>
      </c>
      <c r="X10436" t="s">
        <v>58</v>
      </c>
      <c r="Y10436">
        <v>25</v>
      </c>
      <c r="Z10436" t="s">
        <v>59</v>
      </c>
      <c r="AA10436" t="s">
        <v>59</v>
      </c>
      <c r="AB10436" t="s">
        <v>59</v>
      </c>
      <c r="AC10436" t="s">
        <v>59</v>
      </c>
      <c r="AD10436" t="s">
        <v>59</v>
      </c>
      <c r="AF10436" s="1">
        <v>43348</v>
      </c>
      <c r="AG10436" t="s">
        <v>8651</v>
      </c>
      <c r="AH10436" t="s">
        <v>8652</v>
      </c>
      <c r="AI10436" t="str">
        <f>"9500370"</f>
        <v>9500370</v>
      </c>
      <c r="AJ10436" t="s">
        <v>13941</v>
      </c>
      <c r="AK10436">
        <v>2821093892</v>
      </c>
      <c r="AL10436" t="s">
        <v>13942</v>
      </c>
      <c r="AM10436" t="s">
        <v>88</v>
      </c>
      <c r="AN10436" t="s">
        <v>88</v>
      </c>
      <c r="AO10436" t="s">
        <v>6733</v>
      </c>
      <c r="AP10436" t="s">
        <v>6755</v>
      </c>
      <c r="AQ10436">
        <v>2</v>
      </c>
      <c r="AR10436" t="s">
        <v>89</v>
      </c>
      <c r="AS10436" t="s">
        <v>90</v>
      </c>
      <c r="AT10436" t="s">
        <v>58</v>
      </c>
      <c r="AU10436" t="s">
        <v>8673</v>
      </c>
      <c r="AV10436" t="s">
        <v>132</v>
      </c>
      <c r="AW10436" s="1">
        <v>29503</v>
      </c>
      <c r="AX10436">
        <v>1</v>
      </c>
    </row>
    <row r="10437" spans="1:50">
      <c r="A10437">
        <v>574017</v>
      </c>
      <c r="B10437" t="str">
        <f>"029922235"</f>
        <v>029922235</v>
      </c>
      <c r="C10437" t="s">
        <v>105</v>
      </c>
      <c r="D10437" t="s">
        <v>15335</v>
      </c>
      <c r="E10437" t="s">
        <v>106</v>
      </c>
      <c r="F10437" t="s">
        <v>95</v>
      </c>
      <c r="G10437" t="s">
        <v>314</v>
      </c>
      <c r="H10437" t="str">
        <f>"AVENUE DESAMBROIS 2 NICE FRANCE"</f>
        <v>AVENUE DESAMBROIS 2 NICE FRANCE</v>
      </c>
      <c r="I10437">
        <v>6000</v>
      </c>
      <c r="N10437" t="s">
        <v>615</v>
      </c>
      <c r="O10437" t="s">
        <v>616</v>
      </c>
      <c r="R10437" t="s">
        <v>57</v>
      </c>
      <c r="S10437">
        <v>16</v>
      </c>
      <c r="T10437">
        <v>160</v>
      </c>
      <c r="U10437" s="1">
        <v>34582</v>
      </c>
      <c r="V10437" t="s">
        <v>89</v>
      </c>
      <c r="W10437" t="s">
        <v>90</v>
      </c>
      <c r="X10437" t="s">
        <v>58</v>
      </c>
      <c r="Y10437">
        <v>21</v>
      </c>
      <c r="Z10437" t="s">
        <v>59</v>
      </c>
      <c r="AA10437" t="s">
        <v>59</v>
      </c>
      <c r="AB10437" t="s">
        <v>59</v>
      </c>
      <c r="AC10437" t="s">
        <v>59</v>
      </c>
      <c r="AD10437" t="s">
        <v>59</v>
      </c>
      <c r="AF10437" s="1">
        <v>34582</v>
      </c>
      <c r="AG10437" t="s">
        <v>8645</v>
      </c>
      <c r="AH10437" t="s">
        <v>8646</v>
      </c>
      <c r="AI10437" t="str">
        <f>"9500137"</f>
        <v>9500137</v>
      </c>
      <c r="AJ10437" t="s">
        <v>14401</v>
      </c>
      <c r="AK10437">
        <v>2821093156</v>
      </c>
      <c r="AL10437" t="s">
        <v>14402</v>
      </c>
      <c r="AM10437" t="s">
        <v>88</v>
      </c>
      <c r="AN10437" t="s">
        <v>88</v>
      </c>
      <c r="AO10437" t="s">
        <v>88</v>
      </c>
      <c r="AP10437" t="s">
        <v>88</v>
      </c>
      <c r="AQ10437">
        <v>1</v>
      </c>
      <c r="AR10437" t="s">
        <v>89</v>
      </c>
      <c r="AS10437" t="s">
        <v>90</v>
      </c>
      <c r="AT10437" t="s">
        <v>58</v>
      </c>
      <c r="AU10437" t="s">
        <v>68</v>
      </c>
      <c r="AV10437" t="s">
        <v>69</v>
      </c>
      <c r="AW10437" s="1">
        <v>22803</v>
      </c>
      <c r="AX10437">
        <v>1</v>
      </c>
    </row>
    <row r="10438" spans="1:50">
      <c r="A10438">
        <v>621251</v>
      </c>
      <c r="B10438" t="str">
        <f>"146324120"</f>
        <v>146324120</v>
      </c>
      <c r="C10438" t="s">
        <v>50</v>
      </c>
      <c r="D10438" t="s">
        <v>11332</v>
      </c>
      <c r="E10438" t="s">
        <v>1189</v>
      </c>
      <c r="F10438" t="s">
        <v>3773</v>
      </c>
      <c r="G10438" t="s">
        <v>1108</v>
      </c>
      <c r="H10438" t="str">
        <f>"ΦΡΕ 31 ΧΑΝΙΑ"</f>
        <v>ΦΡΕ 31 ΧΑΝΙΑ</v>
      </c>
      <c r="I10438">
        <v>73100</v>
      </c>
      <c r="J10438">
        <v>2821099397</v>
      </c>
      <c r="K10438">
        <v>6971657131</v>
      </c>
      <c r="N10438" t="s">
        <v>615</v>
      </c>
      <c r="O10438" t="s">
        <v>616</v>
      </c>
      <c r="R10438" t="s">
        <v>57</v>
      </c>
      <c r="S10438">
        <v>4</v>
      </c>
      <c r="T10438">
        <v>653</v>
      </c>
      <c r="U10438" s="1">
        <v>40043</v>
      </c>
      <c r="V10438" t="s">
        <v>89</v>
      </c>
      <c r="W10438" t="s">
        <v>90</v>
      </c>
      <c r="X10438" t="s">
        <v>58</v>
      </c>
      <c r="Y10438">
        <v>23</v>
      </c>
      <c r="Z10438" t="s">
        <v>59</v>
      </c>
      <c r="AA10438" t="s">
        <v>59</v>
      </c>
      <c r="AB10438" t="s">
        <v>59</v>
      </c>
      <c r="AC10438" t="s">
        <v>59</v>
      </c>
      <c r="AD10438" t="s">
        <v>59</v>
      </c>
      <c r="AF10438" s="1">
        <v>40043</v>
      </c>
      <c r="AG10438" t="s">
        <v>8645</v>
      </c>
      <c r="AH10438" t="s">
        <v>8646</v>
      </c>
      <c r="AI10438" t="str">
        <f>"9500071"</f>
        <v>9500071</v>
      </c>
      <c r="AJ10438" t="s">
        <v>14209</v>
      </c>
      <c r="AK10438">
        <v>2821093760</v>
      </c>
      <c r="AL10438" t="s">
        <v>14210</v>
      </c>
      <c r="AM10438" t="s">
        <v>88</v>
      </c>
      <c r="AN10438" t="s">
        <v>88</v>
      </c>
      <c r="AO10438" t="s">
        <v>88</v>
      </c>
      <c r="AP10438" t="s">
        <v>88</v>
      </c>
      <c r="AQ10438">
        <v>1</v>
      </c>
      <c r="AR10438" t="s">
        <v>89</v>
      </c>
      <c r="AS10438" t="s">
        <v>90</v>
      </c>
      <c r="AT10438" t="s">
        <v>58</v>
      </c>
      <c r="AU10438" t="s">
        <v>68</v>
      </c>
      <c r="AV10438" t="s">
        <v>69</v>
      </c>
      <c r="AW10438" s="1">
        <v>31661</v>
      </c>
      <c r="AX10438">
        <v>1</v>
      </c>
    </row>
    <row r="10439" spans="1:50">
      <c r="A10439">
        <v>610236</v>
      </c>
      <c r="B10439" t="str">
        <f>"127742312"</f>
        <v>127742312</v>
      </c>
      <c r="C10439" t="s">
        <v>50</v>
      </c>
      <c r="D10439" t="s">
        <v>11332</v>
      </c>
      <c r="E10439" t="s">
        <v>83</v>
      </c>
      <c r="F10439" t="s">
        <v>3773</v>
      </c>
      <c r="G10439" t="s">
        <v>1108</v>
      </c>
      <c r="H10439" t="str">
        <f>"ΦΡΕ ΑΠΟΚΟΡΩΝΟΥ ΦΡΕ ΑΠΟΚΟΡΩΝΟΥ"</f>
        <v>ΦΡΕ ΑΠΟΚΟΡΩΝΟΥ ΦΡΕ ΑΠΟΚΟΡΩΝΟΥ</v>
      </c>
      <c r="I10439">
        <v>73100</v>
      </c>
      <c r="J10439">
        <v>2821099397</v>
      </c>
      <c r="K10439">
        <v>6972321248</v>
      </c>
      <c r="N10439" t="s">
        <v>615</v>
      </c>
      <c r="O10439" t="s">
        <v>616</v>
      </c>
      <c r="R10439" t="s">
        <v>57</v>
      </c>
      <c r="S10439">
        <v>7</v>
      </c>
      <c r="T10439">
        <v>233</v>
      </c>
      <c r="U10439" s="1">
        <v>38960</v>
      </c>
      <c r="V10439" t="s">
        <v>89</v>
      </c>
      <c r="W10439" t="s">
        <v>90</v>
      </c>
      <c r="X10439" t="s">
        <v>58</v>
      </c>
      <c r="Y10439">
        <v>23</v>
      </c>
      <c r="Z10439" t="s">
        <v>59</v>
      </c>
      <c r="AA10439" t="s">
        <v>59</v>
      </c>
      <c r="AB10439" t="s">
        <v>59</v>
      </c>
      <c r="AC10439" t="s">
        <v>59</v>
      </c>
      <c r="AD10439" t="s">
        <v>59</v>
      </c>
      <c r="AF10439" s="1">
        <v>38960</v>
      </c>
      <c r="AG10439" t="s">
        <v>8645</v>
      </c>
      <c r="AH10439" t="s">
        <v>8646</v>
      </c>
      <c r="AI10439" t="str">
        <f>"9500329"</f>
        <v>9500329</v>
      </c>
      <c r="AJ10439" t="s">
        <v>14241</v>
      </c>
      <c r="AK10439">
        <v>2821099075</v>
      </c>
      <c r="AL10439" t="s">
        <v>14242</v>
      </c>
      <c r="AM10439" t="s">
        <v>88</v>
      </c>
      <c r="AN10439" t="s">
        <v>88</v>
      </c>
      <c r="AO10439" t="s">
        <v>6733</v>
      </c>
      <c r="AP10439" t="s">
        <v>6734</v>
      </c>
      <c r="AQ10439">
        <v>2</v>
      </c>
      <c r="AR10439" t="s">
        <v>89</v>
      </c>
      <c r="AS10439" t="s">
        <v>90</v>
      </c>
      <c r="AT10439" t="s">
        <v>58</v>
      </c>
      <c r="AU10439" t="s">
        <v>68</v>
      </c>
      <c r="AV10439" t="s">
        <v>69</v>
      </c>
      <c r="AW10439" s="1">
        <v>29802</v>
      </c>
      <c r="AX10439">
        <v>1</v>
      </c>
    </row>
    <row r="10440" spans="1:50">
      <c r="A10440">
        <v>579944</v>
      </c>
      <c r="B10440" t="str">
        <f>"113191873"</f>
        <v>113191873</v>
      </c>
      <c r="C10440" t="s">
        <v>50</v>
      </c>
      <c r="D10440" t="s">
        <v>15336</v>
      </c>
      <c r="E10440" t="s">
        <v>174</v>
      </c>
      <c r="F10440" t="s">
        <v>920</v>
      </c>
      <c r="G10440" t="s">
        <v>1179</v>
      </c>
      <c r="H10440" t="str">
        <f>" "</f>
        <v xml:space="preserve"> </v>
      </c>
      <c r="N10440" t="s">
        <v>1525</v>
      </c>
      <c r="O10440" t="s">
        <v>1526</v>
      </c>
      <c r="R10440" t="s">
        <v>57</v>
      </c>
      <c r="S10440">
        <v>11</v>
      </c>
      <c r="T10440">
        <v>165</v>
      </c>
      <c r="U10440" s="1">
        <v>35300</v>
      </c>
      <c r="V10440" t="s">
        <v>89</v>
      </c>
      <c r="W10440" t="s">
        <v>90</v>
      </c>
      <c r="X10440" t="s">
        <v>58</v>
      </c>
      <c r="Y10440">
        <v>25</v>
      </c>
      <c r="Z10440" t="s">
        <v>59</v>
      </c>
      <c r="AA10440" t="s">
        <v>59</v>
      </c>
      <c r="AB10440" t="s">
        <v>59</v>
      </c>
      <c r="AC10440" t="s">
        <v>59</v>
      </c>
      <c r="AD10440" t="s">
        <v>59</v>
      </c>
      <c r="AF10440" s="1">
        <v>35300</v>
      </c>
      <c r="AG10440" t="s">
        <v>8651</v>
      </c>
      <c r="AH10440" t="s">
        <v>8652</v>
      </c>
      <c r="AI10440" t="str">
        <f>"9500044"</f>
        <v>9500044</v>
      </c>
      <c r="AJ10440" t="s">
        <v>14468</v>
      </c>
      <c r="AK10440">
        <v>2821053815</v>
      </c>
      <c r="AL10440" t="s">
        <v>14469</v>
      </c>
      <c r="AM10440" t="s">
        <v>88</v>
      </c>
      <c r="AN10440" t="s">
        <v>88</v>
      </c>
      <c r="AO10440" t="s">
        <v>88</v>
      </c>
      <c r="AP10440" t="s">
        <v>88</v>
      </c>
      <c r="AQ10440">
        <v>1</v>
      </c>
      <c r="AR10440" t="s">
        <v>89</v>
      </c>
      <c r="AS10440" t="s">
        <v>90</v>
      </c>
      <c r="AT10440" t="s">
        <v>58</v>
      </c>
      <c r="AU10440" t="s">
        <v>68</v>
      </c>
      <c r="AV10440" t="s">
        <v>69</v>
      </c>
      <c r="AW10440" s="1">
        <v>23983</v>
      </c>
      <c r="AX10440">
        <v>1</v>
      </c>
    </row>
    <row r="10441" spans="1:50">
      <c r="B10441" t="str">
        <f>"138271447"</f>
        <v>138271447</v>
      </c>
      <c r="C10441" t="s">
        <v>50</v>
      </c>
      <c r="D10441" t="s">
        <v>15337</v>
      </c>
      <c r="E10441" t="s">
        <v>155</v>
      </c>
      <c r="F10441" t="s">
        <v>1041</v>
      </c>
      <c r="G10441" t="s">
        <v>83</v>
      </c>
      <c r="H10441" t="str">
        <f>" "</f>
        <v xml:space="preserve"> </v>
      </c>
      <c r="N10441" t="s">
        <v>9829</v>
      </c>
      <c r="O10441" t="s">
        <v>9830</v>
      </c>
      <c r="R10441" t="s">
        <v>121</v>
      </c>
      <c r="S10441">
        <v>3</v>
      </c>
      <c r="T10441" t="s">
        <v>8835</v>
      </c>
      <c r="U10441" s="1">
        <v>43348</v>
      </c>
      <c r="V10441" t="s">
        <v>89</v>
      </c>
      <c r="W10441" t="s">
        <v>90</v>
      </c>
      <c r="X10441" t="s">
        <v>58</v>
      </c>
      <c r="Y10441">
        <v>25</v>
      </c>
      <c r="Z10441" t="s">
        <v>59</v>
      </c>
      <c r="AA10441" t="s">
        <v>59</v>
      </c>
      <c r="AB10441" t="s">
        <v>59</v>
      </c>
      <c r="AD10441" t="s">
        <v>59</v>
      </c>
      <c r="AF10441" s="1">
        <v>43348</v>
      </c>
      <c r="AG10441" t="s">
        <v>8651</v>
      </c>
      <c r="AH10441" t="s">
        <v>8652</v>
      </c>
      <c r="AI10441" t="str">
        <f>"9500268"</f>
        <v>9500268</v>
      </c>
      <c r="AJ10441" t="s">
        <v>14369</v>
      </c>
      <c r="AK10441">
        <v>2831082298</v>
      </c>
      <c r="AL10441" t="s">
        <v>14370</v>
      </c>
      <c r="AM10441" t="s">
        <v>88</v>
      </c>
      <c r="AN10441" t="s">
        <v>6775</v>
      </c>
      <c r="AO10441" t="s">
        <v>14371</v>
      </c>
      <c r="AP10441" t="s">
        <v>14371</v>
      </c>
      <c r="AQ10441">
        <v>8</v>
      </c>
      <c r="AR10441" t="s">
        <v>89</v>
      </c>
      <c r="AS10441" t="s">
        <v>90</v>
      </c>
      <c r="AT10441" t="s">
        <v>58</v>
      </c>
      <c r="AU10441" t="s">
        <v>131</v>
      </c>
      <c r="AV10441" t="s">
        <v>132</v>
      </c>
      <c r="AW10441" s="1">
        <v>33546</v>
      </c>
      <c r="AX10441">
        <v>1</v>
      </c>
    </row>
    <row r="10442" spans="1:50">
      <c r="A10442">
        <v>599902</v>
      </c>
      <c r="B10442" t="str">
        <f>"067948970"</f>
        <v>067948970</v>
      </c>
      <c r="C10442" t="s">
        <v>105</v>
      </c>
      <c r="D10442" t="s">
        <v>15338</v>
      </c>
      <c r="E10442" t="s">
        <v>53</v>
      </c>
      <c r="F10442" t="s">
        <v>782</v>
      </c>
      <c r="G10442" t="s">
        <v>513</v>
      </c>
      <c r="H10442" t="str">
        <f>"ΚΑΣΤΕΛΙ  ΚΙΣΑΜΟΥ ΚΙΣΑΜΟΣ"</f>
        <v>ΚΑΣΤΕΛΙ  ΚΙΣΑΜΟΥ ΚΙΣΑΜΟΣ</v>
      </c>
      <c r="I10442">
        <v>73400</v>
      </c>
      <c r="J10442">
        <v>2410851327</v>
      </c>
      <c r="K10442">
        <v>6973336674</v>
      </c>
      <c r="N10442" t="s">
        <v>615</v>
      </c>
      <c r="O10442" t="s">
        <v>616</v>
      </c>
      <c r="R10442" t="s">
        <v>57</v>
      </c>
      <c r="S10442">
        <v>9</v>
      </c>
      <c r="T10442">
        <v>195</v>
      </c>
      <c r="U10442" s="1">
        <v>37497</v>
      </c>
      <c r="V10442" t="s">
        <v>89</v>
      </c>
      <c r="W10442" t="s">
        <v>90</v>
      </c>
      <c r="X10442" t="s">
        <v>58</v>
      </c>
      <c r="Y10442">
        <v>22</v>
      </c>
      <c r="Z10442" t="s">
        <v>59</v>
      </c>
      <c r="AA10442" t="s">
        <v>59</v>
      </c>
      <c r="AB10442" t="s">
        <v>59</v>
      </c>
      <c r="AC10442" t="s">
        <v>59</v>
      </c>
      <c r="AD10442" t="s">
        <v>59</v>
      </c>
      <c r="AF10442" s="1">
        <v>37501</v>
      </c>
      <c r="AG10442" t="s">
        <v>8645</v>
      </c>
      <c r="AH10442" t="s">
        <v>8646</v>
      </c>
      <c r="AI10442" t="str">
        <f>"9500225"</f>
        <v>9500225</v>
      </c>
      <c r="AJ10442" t="s">
        <v>14058</v>
      </c>
      <c r="AK10442">
        <v>2822041233</v>
      </c>
      <c r="AL10442" t="s">
        <v>14059</v>
      </c>
      <c r="AM10442" t="s">
        <v>88</v>
      </c>
      <c r="AN10442" t="s">
        <v>6744</v>
      </c>
      <c r="AO10442" t="s">
        <v>6744</v>
      </c>
      <c r="AP10442" t="s">
        <v>13045</v>
      </c>
      <c r="AQ10442">
        <v>9</v>
      </c>
      <c r="AR10442" t="s">
        <v>89</v>
      </c>
      <c r="AS10442" t="s">
        <v>90</v>
      </c>
      <c r="AT10442" t="s">
        <v>58</v>
      </c>
      <c r="AU10442" t="s">
        <v>68</v>
      </c>
      <c r="AV10442" t="s">
        <v>69</v>
      </c>
      <c r="AW10442" s="1">
        <v>24952</v>
      </c>
      <c r="AX10442">
        <v>1</v>
      </c>
    </row>
    <row r="10443" spans="1:50">
      <c r="A10443">
        <v>599907</v>
      </c>
      <c r="B10443" t="str">
        <f>"120230844"</f>
        <v>120230844</v>
      </c>
      <c r="C10443" t="s">
        <v>50</v>
      </c>
      <c r="D10443" t="s">
        <v>15339</v>
      </c>
      <c r="E10443" t="s">
        <v>83</v>
      </c>
      <c r="F10443" t="s">
        <v>53</v>
      </c>
      <c r="G10443" t="s">
        <v>73</v>
      </c>
      <c r="H10443" t="str">
        <f>"M.MANOΥΣΕΛΗ 7 ΑΜΠΕΡΙΑ"</f>
        <v>M.MANOΥΣΕΛΗ 7 ΑΜΠΕΡΙΑ</v>
      </c>
      <c r="I10443">
        <v>73100</v>
      </c>
      <c r="J10443">
        <v>2821045769</v>
      </c>
      <c r="K10443">
        <v>6977191126</v>
      </c>
      <c r="N10443" t="s">
        <v>615</v>
      </c>
      <c r="O10443" t="s">
        <v>616</v>
      </c>
      <c r="R10443" t="s">
        <v>57</v>
      </c>
      <c r="S10443">
        <v>9</v>
      </c>
      <c r="T10443">
        <v>195</v>
      </c>
      <c r="U10443" s="1">
        <v>37497</v>
      </c>
      <c r="V10443" t="s">
        <v>89</v>
      </c>
      <c r="W10443" t="s">
        <v>90</v>
      </c>
      <c r="X10443" t="s">
        <v>58</v>
      </c>
      <c r="Y10443">
        <v>22</v>
      </c>
      <c r="Z10443" t="s">
        <v>59</v>
      </c>
      <c r="AA10443" t="s">
        <v>59</v>
      </c>
      <c r="AB10443" t="s">
        <v>59</v>
      </c>
      <c r="AC10443" t="s">
        <v>59</v>
      </c>
      <c r="AD10443" t="s">
        <v>59</v>
      </c>
      <c r="AF10443" s="1">
        <v>37502</v>
      </c>
      <c r="AG10443" t="s">
        <v>8645</v>
      </c>
      <c r="AH10443" t="s">
        <v>8646</v>
      </c>
      <c r="AI10443" t="str">
        <f>"9500338"</f>
        <v>9500338</v>
      </c>
      <c r="AJ10443" t="s">
        <v>13959</v>
      </c>
      <c r="AK10443">
        <v>2821040556</v>
      </c>
      <c r="AL10443" t="s">
        <v>13960</v>
      </c>
      <c r="AM10443" t="s">
        <v>88</v>
      </c>
      <c r="AN10443" t="s">
        <v>88</v>
      </c>
      <c r="AO10443" t="s">
        <v>88</v>
      </c>
      <c r="AP10443" t="s">
        <v>88</v>
      </c>
      <c r="AQ10443">
        <v>1</v>
      </c>
      <c r="AR10443" t="s">
        <v>89</v>
      </c>
      <c r="AS10443" t="s">
        <v>90</v>
      </c>
      <c r="AT10443" t="s">
        <v>58</v>
      </c>
      <c r="AU10443" t="s">
        <v>68</v>
      </c>
      <c r="AV10443" t="s">
        <v>2039</v>
      </c>
      <c r="AW10443" s="1">
        <v>25071</v>
      </c>
      <c r="AX10443">
        <v>1</v>
      </c>
    </row>
    <row r="10444" spans="1:50">
      <c r="B10444" t="str">
        <f>"144006576"</f>
        <v>144006576</v>
      </c>
      <c r="C10444" t="s">
        <v>50</v>
      </c>
      <c r="D10444" t="s">
        <v>15340</v>
      </c>
      <c r="E10444" t="s">
        <v>11049</v>
      </c>
      <c r="F10444" t="s">
        <v>99</v>
      </c>
      <c r="G10444" t="s">
        <v>1345</v>
      </c>
      <c r="H10444" t="str">
        <f>"ΤΣΙΒΑΡΑΣ ΑΠΟΚΟΡΩΝΟΥ "</f>
        <v xml:space="preserve">ΤΣΙΒΑΡΑΣ ΑΠΟΚΟΡΩΝΟΥ </v>
      </c>
      <c r="I10444">
        <v>73003</v>
      </c>
      <c r="J10444">
        <v>2825031905</v>
      </c>
      <c r="K10444">
        <v>6945929904</v>
      </c>
      <c r="N10444" t="s">
        <v>615</v>
      </c>
      <c r="O10444" t="s">
        <v>616</v>
      </c>
      <c r="R10444" t="s">
        <v>159</v>
      </c>
      <c r="S10444">
        <v>3</v>
      </c>
      <c r="T10444" t="s">
        <v>8675</v>
      </c>
      <c r="U10444" s="1">
        <v>43348</v>
      </c>
      <c r="V10444" t="s">
        <v>89</v>
      </c>
      <c r="W10444" t="s">
        <v>90</v>
      </c>
      <c r="X10444" t="s">
        <v>58</v>
      </c>
      <c r="Y10444">
        <v>25</v>
      </c>
      <c r="Z10444" t="s">
        <v>59</v>
      </c>
      <c r="AA10444" t="s">
        <v>59</v>
      </c>
      <c r="AB10444" t="s">
        <v>59</v>
      </c>
      <c r="AC10444" t="s">
        <v>59</v>
      </c>
      <c r="AD10444" t="s">
        <v>59</v>
      </c>
      <c r="AF10444" s="1">
        <v>43348</v>
      </c>
      <c r="AG10444" t="s">
        <v>8645</v>
      </c>
      <c r="AH10444" t="s">
        <v>8676</v>
      </c>
      <c r="AI10444" t="str">
        <f>"9500207"</f>
        <v>9500207</v>
      </c>
      <c r="AJ10444" t="s">
        <v>13869</v>
      </c>
      <c r="AK10444">
        <v>2822061217</v>
      </c>
      <c r="AL10444" t="s">
        <v>13870</v>
      </c>
      <c r="AM10444" t="s">
        <v>88</v>
      </c>
      <c r="AN10444" t="s">
        <v>6744</v>
      </c>
      <c r="AO10444" t="s">
        <v>13871</v>
      </c>
      <c r="AP10444" t="s">
        <v>13872</v>
      </c>
      <c r="AQ10444">
        <v>9</v>
      </c>
      <c r="AR10444" t="s">
        <v>89</v>
      </c>
      <c r="AS10444" t="s">
        <v>90</v>
      </c>
      <c r="AT10444" t="s">
        <v>58</v>
      </c>
      <c r="AU10444" t="s">
        <v>8673</v>
      </c>
      <c r="AV10444" t="s">
        <v>132</v>
      </c>
      <c r="AW10444" s="1">
        <v>32482</v>
      </c>
      <c r="AX10444">
        <v>1</v>
      </c>
    </row>
    <row r="10445" spans="1:50">
      <c r="B10445" t="str">
        <f>"135557296"</f>
        <v>135557296</v>
      </c>
      <c r="C10445" t="s">
        <v>50</v>
      </c>
      <c r="D10445" t="s">
        <v>13628</v>
      </c>
      <c r="E10445" t="s">
        <v>476</v>
      </c>
      <c r="F10445" t="s">
        <v>383</v>
      </c>
      <c r="G10445" t="s">
        <v>314</v>
      </c>
      <c r="H10445" t="str">
        <f>"ΣΤΡΑΤΗΓΟΥ ΙΩΑΝΝΟΥ 16 ΚΟΜΟΤΗΝΗ"</f>
        <v>ΣΤΡΑΤΗΓΟΥ ΙΩΑΝΝΟΥ 16 ΚΟΜΟΤΗΝΗ</v>
      </c>
      <c r="I10445">
        <v>69100</v>
      </c>
      <c r="J10445">
        <v>2531020164</v>
      </c>
      <c r="K10445">
        <v>6932457533</v>
      </c>
      <c r="N10445" t="s">
        <v>1525</v>
      </c>
      <c r="O10445" t="s">
        <v>1526</v>
      </c>
      <c r="R10445" t="s">
        <v>159</v>
      </c>
      <c r="S10445">
        <v>4</v>
      </c>
      <c r="T10445" t="s">
        <v>8670</v>
      </c>
      <c r="U10445" s="1">
        <v>43348</v>
      </c>
      <c r="V10445" t="s">
        <v>89</v>
      </c>
      <c r="W10445" t="s">
        <v>90</v>
      </c>
      <c r="X10445" t="s">
        <v>58</v>
      </c>
      <c r="Y10445">
        <v>25</v>
      </c>
      <c r="Z10445" t="s">
        <v>59</v>
      </c>
      <c r="AA10445" t="s">
        <v>59</v>
      </c>
      <c r="AB10445" t="s">
        <v>59</v>
      </c>
      <c r="AC10445" t="s">
        <v>59</v>
      </c>
      <c r="AD10445" t="s">
        <v>59</v>
      </c>
      <c r="AF10445" s="1">
        <v>43348</v>
      </c>
      <c r="AG10445" t="s">
        <v>8651</v>
      </c>
      <c r="AH10445" t="s">
        <v>8652</v>
      </c>
      <c r="AI10445" t="str">
        <f>"9500397"</f>
        <v>9500397</v>
      </c>
      <c r="AJ10445" t="s">
        <v>14194</v>
      </c>
      <c r="AK10445">
        <v>2825092304</v>
      </c>
      <c r="AL10445" t="s">
        <v>14195</v>
      </c>
      <c r="AM10445" t="s">
        <v>88</v>
      </c>
      <c r="AN10445" t="s">
        <v>6995</v>
      </c>
      <c r="AO10445" t="s">
        <v>6995</v>
      </c>
      <c r="AP10445" t="s">
        <v>14196</v>
      </c>
      <c r="AQ10445">
        <v>10</v>
      </c>
      <c r="AR10445" t="s">
        <v>89</v>
      </c>
      <c r="AS10445" t="s">
        <v>90</v>
      </c>
      <c r="AT10445" t="s">
        <v>58</v>
      </c>
      <c r="AU10445" t="s">
        <v>8673</v>
      </c>
      <c r="AV10445" t="s">
        <v>132</v>
      </c>
      <c r="AW10445" s="1">
        <v>29263</v>
      </c>
      <c r="AX10445">
        <v>1</v>
      </c>
    </row>
    <row r="10446" spans="1:50">
      <c r="A10446">
        <v>603056</v>
      </c>
      <c r="B10446" t="str">
        <f>"043848441"</f>
        <v>043848441</v>
      </c>
      <c r="C10446" t="s">
        <v>50</v>
      </c>
      <c r="D10446" t="s">
        <v>15341</v>
      </c>
      <c r="E10446" t="s">
        <v>396</v>
      </c>
      <c r="F10446" t="s">
        <v>2733</v>
      </c>
      <c r="G10446" t="s">
        <v>3671</v>
      </c>
      <c r="H10446" t="str">
        <f>"ΦΡΑΓΚΟΚΑΣΤΕΛΟ ΣΦΑΚΙΩΝ ΧΑΝΙΑ"</f>
        <v>ΦΡΑΓΚΟΚΑΣΤΕΛΟ ΣΦΑΚΙΩΝ ΧΑΝΙΑ</v>
      </c>
      <c r="I10446">
        <v>73011</v>
      </c>
      <c r="K10446">
        <v>6979156469</v>
      </c>
      <c r="L10446">
        <v>2107218645</v>
      </c>
      <c r="N10446" t="s">
        <v>1525</v>
      </c>
      <c r="O10446" t="s">
        <v>1526</v>
      </c>
      <c r="R10446" t="s">
        <v>57</v>
      </c>
      <c r="S10446">
        <v>13</v>
      </c>
      <c r="T10446">
        <v>207</v>
      </c>
      <c r="U10446" s="1">
        <v>37866</v>
      </c>
      <c r="V10446" t="s">
        <v>89</v>
      </c>
      <c r="W10446" t="s">
        <v>90</v>
      </c>
      <c r="X10446" t="s">
        <v>58</v>
      </c>
      <c r="Y10446">
        <v>25</v>
      </c>
      <c r="Z10446" t="s">
        <v>59</v>
      </c>
      <c r="AA10446" t="s">
        <v>59</v>
      </c>
      <c r="AB10446" t="s">
        <v>59</v>
      </c>
      <c r="AC10446" t="s">
        <v>59</v>
      </c>
      <c r="AD10446" t="s">
        <v>59</v>
      </c>
      <c r="AF10446" s="1">
        <v>37866</v>
      </c>
      <c r="AG10446" t="s">
        <v>8651</v>
      </c>
      <c r="AH10446" t="s">
        <v>8652</v>
      </c>
      <c r="AI10446" t="str">
        <f>"9500418"</f>
        <v>9500418</v>
      </c>
      <c r="AJ10446" t="s">
        <v>14491</v>
      </c>
      <c r="AK10446">
        <v>2825092009</v>
      </c>
      <c r="AL10446" t="s">
        <v>14492</v>
      </c>
      <c r="AM10446" t="s">
        <v>88</v>
      </c>
      <c r="AN10446" t="s">
        <v>6995</v>
      </c>
      <c r="AO10446" t="s">
        <v>6995</v>
      </c>
      <c r="AP10446" t="s">
        <v>14493</v>
      </c>
      <c r="AQ10446">
        <v>10</v>
      </c>
      <c r="AR10446" t="s">
        <v>89</v>
      </c>
      <c r="AS10446" t="s">
        <v>90</v>
      </c>
      <c r="AT10446" t="s">
        <v>58</v>
      </c>
      <c r="AU10446" t="s">
        <v>68</v>
      </c>
      <c r="AV10446" t="s">
        <v>69</v>
      </c>
      <c r="AW10446" s="1">
        <v>25805</v>
      </c>
      <c r="AX10446">
        <v>1</v>
      </c>
    </row>
    <row r="10447" spans="1:50">
      <c r="A10447">
        <v>576542</v>
      </c>
      <c r="B10447" t="str">
        <f>"032640913"</f>
        <v>032640913</v>
      </c>
      <c r="C10447" t="s">
        <v>50</v>
      </c>
      <c r="D10447" t="s">
        <v>15342</v>
      </c>
      <c r="E10447" t="s">
        <v>6706</v>
      </c>
      <c r="F10447" t="s">
        <v>95</v>
      </c>
      <c r="G10447" t="s">
        <v>290</v>
      </c>
      <c r="H10447" t="str">
        <f>"Κ.ΜΑΛΙΝΟΥ 28 ΧΑΝΙΑ"</f>
        <v>Κ.ΜΑΛΙΝΟΥ 28 ΧΑΝΙΑ</v>
      </c>
      <c r="I10447">
        <v>73134</v>
      </c>
      <c r="J10447">
        <v>2821054564</v>
      </c>
      <c r="N10447" t="s">
        <v>176</v>
      </c>
      <c r="O10447" t="s">
        <v>177</v>
      </c>
      <c r="R10447" t="s">
        <v>57</v>
      </c>
      <c r="S10447">
        <v>13</v>
      </c>
      <c r="T10447">
        <v>184</v>
      </c>
      <c r="U10447" s="1">
        <v>34941</v>
      </c>
      <c r="V10447" t="s">
        <v>89</v>
      </c>
      <c r="W10447" t="s">
        <v>90</v>
      </c>
      <c r="X10447" t="s">
        <v>58</v>
      </c>
      <c r="Y10447">
        <v>21</v>
      </c>
      <c r="Z10447" t="s">
        <v>59</v>
      </c>
      <c r="AA10447" t="s">
        <v>59</v>
      </c>
      <c r="AB10447" t="s">
        <v>59</v>
      </c>
      <c r="AC10447" t="s">
        <v>59</v>
      </c>
      <c r="AD10447" t="s">
        <v>59</v>
      </c>
      <c r="AF10447" s="1">
        <v>34941</v>
      </c>
      <c r="AG10447" t="s">
        <v>8645</v>
      </c>
      <c r="AH10447" t="s">
        <v>8646</v>
      </c>
      <c r="AI10447" t="str">
        <f>"9500359"</f>
        <v>9500359</v>
      </c>
      <c r="AJ10447" t="s">
        <v>13939</v>
      </c>
      <c r="AK10447">
        <v>2821095778</v>
      </c>
      <c r="AL10447" t="s">
        <v>13940</v>
      </c>
      <c r="AM10447" t="s">
        <v>88</v>
      </c>
      <c r="AN10447" t="s">
        <v>88</v>
      </c>
      <c r="AO10447" t="s">
        <v>6733</v>
      </c>
      <c r="AP10447" t="s">
        <v>6755</v>
      </c>
      <c r="AQ10447">
        <v>2</v>
      </c>
      <c r="AR10447" t="s">
        <v>89</v>
      </c>
      <c r="AS10447" t="s">
        <v>90</v>
      </c>
      <c r="AT10447" t="s">
        <v>58</v>
      </c>
      <c r="AU10447" t="s">
        <v>68</v>
      </c>
      <c r="AV10447" t="s">
        <v>69</v>
      </c>
      <c r="AW10447" s="1">
        <v>23818</v>
      </c>
      <c r="AX10447">
        <v>1</v>
      </c>
    </row>
    <row r="10448" spans="1:50">
      <c r="A10448">
        <v>571588</v>
      </c>
      <c r="B10448" t="str">
        <f>"064189420"</f>
        <v>064189420</v>
      </c>
      <c r="C10448" t="s">
        <v>50</v>
      </c>
      <c r="D10448" t="s">
        <v>15343</v>
      </c>
      <c r="E10448" t="s">
        <v>52</v>
      </c>
      <c r="F10448" t="s">
        <v>84</v>
      </c>
      <c r="G10448" t="s">
        <v>237</v>
      </c>
      <c r="H10448" t="str">
        <f>"ΚΑΛΥΒΕΣ ΧΑΝΙΑ"</f>
        <v>ΚΑΛΥΒΕΣ ΧΑΝΙΑ</v>
      </c>
      <c r="I10448">
        <v>73003</v>
      </c>
      <c r="J10448">
        <v>2825032403</v>
      </c>
      <c r="K10448">
        <v>6944634099</v>
      </c>
      <c r="L10448">
        <v>6944864100</v>
      </c>
      <c r="M10448" t="s">
        <v>15344</v>
      </c>
      <c r="N10448" t="s">
        <v>1525</v>
      </c>
      <c r="O10448" t="s">
        <v>1526</v>
      </c>
      <c r="R10448" t="s">
        <v>57</v>
      </c>
      <c r="S10448">
        <v>12</v>
      </c>
      <c r="T10448">
        <v>138</v>
      </c>
      <c r="U10448" s="1">
        <v>34206</v>
      </c>
      <c r="V10448" t="s">
        <v>89</v>
      </c>
      <c r="W10448" t="s">
        <v>90</v>
      </c>
      <c r="X10448" t="s">
        <v>58</v>
      </c>
      <c r="Y10448">
        <v>25</v>
      </c>
      <c r="Z10448" t="s">
        <v>59</v>
      </c>
      <c r="AA10448" t="s">
        <v>59</v>
      </c>
      <c r="AB10448" t="s">
        <v>59</v>
      </c>
      <c r="AC10448" t="s">
        <v>59</v>
      </c>
      <c r="AD10448" t="s">
        <v>59</v>
      </c>
      <c r="AF10448" s="1">
        <v>34213</v>
      </c>
      <c r="AG10448" t="s">
        <v>8651</v>
      </c>
      <c r="AH10448" t="s">
        <v>8652</v>
      </c>
      <c r="AI10448" t="str">
        <f>"9500370"</f>
        <v>9500370</v>
      </c>
      <c r="AJ10448" t="s">
        <v>13941</v>
      </c>
      <c r="AK10448">
        <v>2821093892</v>
      </c>
      <c r="AL10448" t="s">
        <v>13942</v>
      </c>
      <c r="AM10448" t="s">
        <v>88</v>
      </c>
      <c r="AN10448" t="s">
        <v>88</v>
      </c>
      <c r="AO10448" t="s">
        <v>6733</v>
      </c>
      <c r="AP10448" t="s">
        <v>6755</v>
      </c>
      <c r="AQ10448">
        <v>2</v>
      </c>
      <c r="AR10448" t="s">
        <v>89</v>
      </c>
      <c r="AS10448" t="s">
        <v>90</v>
      </c>
      <c r="AT10448" t="s">
        <v>58</v>
      </c>
      <c r="AU10448" t="s">
        <v>68</v>
      </c>
      <c r="AV10448" t="s">
        <v>69</v>
      </c>
      <c r="AW10448" s="1">
        <v>23900</v>
      </c>
      <c r="AX10448">
        <v>1</v>
      </c>
    </row>
    <row r="10449" spans="1:50">
      <c r="A10449">
        <v>622447</v>
      </c>
      <c r="B10449" t="str">
        <f>"301406450"</f>
        <v>301406450</v>
      </c>
      <c r="C10449" t="s">
        <v>50</v>
      </c>
      <c r="D10449" t="s">
        <v>15345</v>
      </c>
      <c r="E10449" t="s">
        <v>2248</v>
      </c>
      <c r="F10449" t="s">
        <v>450</v>
      </c>
      <c r="G10449" t="s">
        <v>1068</v>
      </c>
      <c r="H10449" t="str">
        <f>"ΛΕΩΦ.ΚΑΖΑΝΤΖΑΚΗ 44 ΒΑΜΒΑΚΟΠΟΥΛΟ"</f>
        <v>ΛΕΩΦ.ΚΑΖΑΝΤΖΑΚΗ 44 ΒΑΜΒΑΚΟΠΟΥΛΟ</v>
      </c>
      <c r="I10449">
        <v>73134</v>
      </c>
      <c r="J10449">
        <v>2821095643</v>
      </c>
      <c r="K10449">
        <v>6976538231</v>
      </c>
      <c r="N10449" t="s">
        <v>1525</v>
      </c>
      <c r="O10449" t="s">
        <v>1526</v>
      </c>
      <c r="R10449" t="s">
        <v>57</v>
      </c>
      <c r="S10449">
        <v>5</v>
      </c>
      <c r="T10449">
        <v>653</v>
      </c>
      <c r="U10449" s="1">
        <v>40043</v>
      </c>
      <c r="V10449" t="s">
        <v>89</v>
      </c>
      <c r="W10449" t="s">
        <v>90</v>
      </c>
      <c r="X10449" t="s">
        <v>58</v>
      </c>
      <c r="Y10449">
        <v>25</v>
      </c>
      <c r="Z10449" t="s">
        <v>59</v>
      </c>
      <c r="AA10449" t="s">
        <v>59</v>
      </c>
      <c r="AB10449" t="s">
        <v>59</v>
      </c>
      <c r="AC10449" t="s">
        <v>59</v>
      </c>
      <c r="AD10449" t="s">
        <v>59</v>
      </c>
      <c r="AF10449" s="1">
        <v>40057</v>
      </c>
      <c r="AG10449" t="s">
        <v>8651</v>
      </c>
      <c r="AH10449" t="s">
        <v>8652</v>
      </c>
      <c r="AI10449" t="str">
        <f>"9500256"</f>
        <v>9500256</v>
      </c>
      <c r="AJ10449" t="s">
        <v>14506</v>
      </c>
      <c r="AK10449">
        <v>2821099485</v>
      </c>
      <c r="AL10449" t="s">
        <v>14507</v>
      </c>
      <c r="AM10449" t="s">
        <v>88</v>
      </c>
      <c r="AN10449" t="s">
        <v>88</v>
      </c>
      <c r="AO10449" t="s">
        <v>13920</v>
      </c>
      <c r="AP10449" t="s">
        <v>14029</v>
      </c>
      <c r="AQ10449">
        <v>3</v>
      </c>
      <c r="AR10449" t="s">
        <v>89</v>
      </c>
      <c r="AS10449" t="s">
        <v>90</v>
      </c>
      <c r="AT10449" t="s">
        <v>58</v>
      </c>
      <c r="AU10449" t="s">
        <v>68</v>
      </c>
      <c r="AV10449" t="s">
        <v>69</v>
      </c>
      <c r="AW10449" s="1">
        <v>25989</v>
      </c>
      <c r="AX10449">
        <v>1</v>
      </c>
    </row>
    <row r="10450" spans="1:50">
      <c r="A10450">
        <v>565055</v>
      </c>
      <c r="B10450" t="str">
        <f>"032225963"</f>
        <v>032225963</v>
      </c>
      <c r="C10450" t="s">
        <v>50</v>
      </c>
      <c r="D10450" t="s">
        <v>8270</v>
      </c>
      <c r="E10450" t="s">
        <v>83</v>
      </c>
      <c r="F10450" t="s">
        <v>53</v>
      </c>
      <c r="G10450" t="s">
        <v>1068</v>
      </c>
      <c r="H10450" t="str">
        <f>"ΓΚΑΛΑΓΚΑΣ ΠΙΘΑΡΙ ΠΙΘΑΡΙ ΑΚΡΩΤΗΡΙΟΥ"</f>
        <v>ΓΚΑΛΑΓΚΑΣ ΠΙΘΑΡΙ ΠΙΘΑΡΙ ΑΚΡΩΤΗΡΙΟΥ</v>
      </c>
      <c r="I10450">
        <v>73100</v>
      </c>
      <c r="J10450">
        <v>2821064694</v>
      </c>
      <c r="K10450">
        <v>6948519928</v>
      </c>
      <c r="N10450" t="s">
        <v>615</v>
      </c>
      <c r="O10450" t="s">
        <v>616</v>
      </c>
      <c r="R10450" t="s">
        <v>57</v>
      </c>
      <c r="S10450">
        <v>15</v>
      </c>
      <c r="T10450">
        <v>161</v>
      </c>
      <c r="U10450" s="1">
        <v>33123</v>
      </c>
      <c r="V10450" t="s">
        <v>89</v>
      </c>
      <c r="W10450" t="s">
        <v>90</v>
      </c>
      <c r="X10450" t="s">
        <v>58</v>
      </c>
      <c r="Y10450">
        <v>21</v>
      </c>
      <c r="Z10450" t="s">
        <v>59</v>
      </c>
      <c r="AA10450" t="s">
        <v>59</v>
      </c>
      <c r="AB10450" t="s">
        <v>59</v>
      </c>
      <c r="AC10450" t="s">
        <v>59</v>
      </c>
      <c r="AD10450" t="s">
        <v>59</v>
      </c>
      <c r="AF10450" s="1">
        <v>33123</v>
      </c>
      <c r="AG10450" t="s">
        <v>8645</v>
      </c>
      <c r="AH10450" t="s">
        <v>14199</v>
      </c>
      <c r="AI10450" t="str">
        <f>"9500140"</f>
        <v>9500140</v>
      </c>
      <c r="AJ10450" t="s">
        <v>14200</v>
      </c>
      <c r="AK10450">
        <v>2821097348</v>
      </c>
      <c r="AL10450" t="s">
        <v>14201</v>
      </c>
      <c r="AM10450" t="s">
        <v>88</v>
      </c>
      <c r="AN10450" t="s">
        <v>88</v>
      </c>
      <c r="AO10450" t="s">
        <v>88</v>
      </c>
      <c r="AP10450" t="s">
        <v>88</v>
      </c>
      <c r="AQ10450">
        <v>1</v>
      </c>
      <c r="AR10450" t="s">
        <v>89</v>
      </c>
      <c r="AS10450" t="s">
        <v>90</v>
      </c>
      <c r="AT10450" t="s">
        <v>58</v>
      </c>
      <c r="AU10450" t="s">
        <v>68</v>
      </c>
      <c r="AV10450" t="s">
        <v>69</v>
      </c>
      <c r="AW10450" s="1">
        <v>23849</v>
      </c>
      <c r="AX10450">
        <v>1</v>
      </c>
    </row>
    <row r="10451" spans="1:50">
      <c r="A10451">
        <v>586793</v>
      </c>
      <c r="B10451" t="str">
        <f>"057895625"</f>
        <v>057895625</v>
      </c>
      <c r="C10451" t="s">
        <v>50</v>
      </c>
      <c r="D10451" t="s">
        <v>8270</v>
      </c>
      <c r="E10451" t="s">
        <v>109</v>
      </c>
      <c r="F10451" t="s">
        <v>53</v>
      </c>
      <c r="G10451" t="s">
        <v>104</v>
      </c>
      <c r="H10451" t="str">
        <f>"Ι. ΚΑΠΟΔΙΣΤΡΙΑ ΑΓΙΑ ΜΑΡΙΝΑ  ΧΑΝΙΩΝ"</f>
        <v>Ι. ΚΑΠΟΔΙΣΤΡΙΑ ΑΓΙΑ ΜΑΡΙΝΑ  ΧΑΝΙΩΝ</v>
      </c>
      <c r="I10451">
        <v>73014</v>
      </c>
      <c r="J10451">
        <v>2821083759</v>
      </c>
      <c r="K10451">
        <v>6942649330</v>
      </c>
      <c r="N10451" t="s">
        <v>615</v>
      </c>
      <c r="O10451" t="s">
        <v>616</v>
      </c>
      <c r="R10451" t="s">
        <v>57</v>
      </c>
      <c r="S10451">
        <v>10</v>
      </c>
      <c r="T10451">
        <v>165</v>
      </c>
      <c r="U10451" s="1">
        <v>36040</v>
      </c>
      <c r="V10451" t="s">
        <v>89</v>
      </c>
      <c r="W10451" t="s">
        <v>90</v>
      </c>
      <c r="X10451" t="s">
        <v>58</v>
      </c>
      <c r="Y10451">
        <v>21</v>
      </c>
      <c r="Z10451" t="s">
        <v>59</v>
      </c>
      <c r="AA10451" t="s">
        <v>59</v>
      </c>
      <c r="AB10451" t="s">
        <v>59</v>
      </c>
      <c r="AC10451" t="s">
        <v>59</v>
      </c>
      <c r="AD10451" t="s">
        <v>59</v>
      </c>
      <c r="AF10451" s="1">
        <v>36040</v>
      </c>
      <c r="AG10451" t="s">
        <v>8645</v>
      </c>
      <c r="AH10451" t="s">
        <v>8646</v>
      </c>
      <c r="AI10451" t="str">
        <f>"9500148"</f>
        <v>9500148</v>
      </c>
      <c r="AJ10451" t="s">
        <v>13851</v>
      </c>
      <c r="AK10451">
        <v>2821068328</v>
      </c>
      <c r="AL10451" t="s">
        <v>13852</v>
      </c>
      <c r="AM10451" t="s">
        <v>88</v>
      </c>
      <c r="AN10451" t="s">
        <v>88</v>
      </c>
      <c r="AO10451" t="s">
        <v>6785</v>
      </c>
      <c r="AP10451" t="s">
        <v>13853</v>
      </c>
      <c r="AQ10451">
        <v>3</v>
      </c>
      <c r="AR10451" t="s">
        <v>89</v>
      </c>
      <c r="AS10451" t="s">
        <v>90</v>
      </c>
      <c r="AT10451" t="s">
        <v>58</v>
      </c>
      <c r="AU10451" t="s">
        <v>68</v>
      </c>
      <c r="AV10451" t="s">
        <v>69</v>
      </c>
      <c r="AW10451" s="1">
        <v>25356</v>
      </c>
      <c r="AX10451">
        <v>1</v>
      </c>
    </row>
    <row r="10452" spans="1:50">
      <c r="A10452">
        <v>606068</v>
      </c>
      <c r="B10452" t="str">
        <f>"113189576"</f>
        <v>113189576</v>
      </c>
      <c r="C10452" t="s">
        <v>50</v>
      </c>
      <c r="D10452" t="s">
        <v>15346</v>
      </c>
      <c r="E10452" t="s">
        <v>52</v>
      </c>
      <c r="F10452" t="s">
        <v>5543</v>
      </c>
      <c r="G10452" t="s">
        <v>1068</v>
      </c>
      <c r="H10452" t="str">
        <f>"ΣΟΦΟΚΛΕΟΥΣ 15 ΧΑΝΙΑ"</f>
        <v>ΣΟΦΟΚΛΕΟΥΣ 15 ΧΑΝΙΑ</v>
      </c>
      <c r="I10452">
        <v>73133</v>
      </c>
      <c r="J10452">
        <v>2821050043</v>
      </c>
      <c r="K10452">
        <v>6973736796</v>
      </c>
      <c r="M10452" t="s">
        <v>15347</v>
      </c>
      <c r="N10452" t="s">
        <v>1525</v>
      </c>
      <c r="O10452" t="s">
        <v>1526</v>
      </c>
      <c r="R10452" t="s">
        <v>57</v>
      </c>
      <c r="S10452">
        <v>10</v>
      </c>
      <c r="T10452">
        <v>231</v>
      </c>
      <c r="U10452" s="1">
        <v>38230</v>
      </c>
      <c r="V10452" t="s">
        <v>89</v>
      </c>
      <c r="W10452" t="s">
        <v>90</v>
      </c>
      <c r="X10452" t="s">
        <v>58</v>
      </c>
      <c r="Y10452">
        <v>25</v>
      </c>
      <c r="Z10452" t="s">
        <v>59</v>
      </c>
      <c r="AA10452" t="s">
        <v>59</v>
      </c>
      <c r="AB10452" t="s">
        <v>59</v>
      </c>
      <c r="AC10452" t="s">
        <v>59</v>
      </c>
      <c r="AD10452" t="s">
        <v>59</v>
      </c>
      <c r="AF10452" s="1">
        <v>38230</v>
      </c>
      <c r="AG10452" t="s">
        <v>8651</v>
      </c>
      <c r="AH10452" t="s">
        <v>8652</v>
      </c>
      <c r="AI10452" t="str">
        <f>"9500322"</f>
        <v>9500322</v>
      </c>
      <c r="AJ10452" t="s">
        <v>14152</v>
      </c>
      <c r="AK10452">
        <v>2821054010</v>
      </c>
      <c r="AL10452" t="s">
        <v>14153</v>
      </c>
      <c r="AM10452" t="s">
        <v>88</v>
      </c>
      <c r="AN10452" t="s">
        <v>88</v>
      </c>
      <c r="AO10452" t="s">
        <v>88</v>
      </c>
      <c r="AP10452" t="s">
        <v>88</v>
      </c>
      <c r="AQ10452">
        <v>1</v>
      </c>
      <c r="AR10452" t="s">
        <v>89</v>
      </c>
      <c r="AS10452" t="s">
        <v>90</v>
      </c>
      <c r="AT10452" t="s">
        <v>58</v>
      </c>
      <c r="AU10452" t="s">
        <v>68</v>
      </c>
      <c r="AV10452" t="s">
        <v>69</v>
      </c>
      <c r="AW10452" s="1">
        <v>24331</v>
      </c>
      <c r="AX10452">
        <v>1</v>
      </c>
    </row>
    <row r="10453" spans="1:50">
      <c r="A10453">
        <v>204151</v>
      </c>
      <c r="B10453" t="str">
        <f>"047446013"</f>
        <v>047446013</v>
      </c>
      <c r="C10453" t="s">
        <v>50</v>
      </c>
      <c r="D10453" t="s">
        <v>8277</v>
      </c>
      <c r="E10453" t="s">
        <v>600</v>
      </c>
      <c r="F10453" t="s">
        <v>4097</v>
      </c>
      <c r="G10453" t="s">
        <v>52</v>
      </c>
      <c r="H10453" t="str">
        <f>"ΣΜΗΝΑΓΟΥ ΗΛΙΑΚΗ ΑΡΩΝΙ ΑΚΡΩΤΗΡΙΟΥ"</f>
        <v>ΣΜΗΝΑΓΟΥ ΗΛΙΑΚΗ ΑΡΩΝΙ ΑΚΡΩΤΗΡΙΟΥ</v>
      </c>
      <c r="I10453">
        <v>73100</v>
      </c>
      <c r="J10453">
        <v>2821020939</v>
      </c>
      <c r="K10453">
        <v>6984020306</v>
      </c>
      <c r="N10453" t="s">
        <v>176</v>
      </c>
      <c r="O10453" t="s">
        <v>177</v>
      </c>
      <c r="R10453" t="s">
        <v>57</v>
      </c>
      <c r="S10453">
        <v>11</v>
      </c>
      <c r="T10453">
        <v>231</v>
      </c>
      <c r="U10453" s="1">
        <v>38230</v>
      </c>
      <c r="V10453" t="s">
        <v>89</v>
      </c>
      <c r="W10453" t="s">
        <v>90</v>
      </c>
      <c r="X10453" t="s">
        <v>58</v>
      </c>
      <c r="Y10453">
        <v>22</v>
      </c>
      <c r="Z10453" t="s">
        <v>59</v>
      </c>
      <c r="AA10453" t="s">
        <v>59</v>
      </c>
      <c r="AB10453" t="s">
        <v>59</v>
      </c>
      <c r="AC10453" t="s">
        <v>59</v>
      </c>
      <c r="AD10453" t="s">
        <v>59</v>
      </c>
      <c r="AF10453" s="1">
        <v>38233</v>
      </c>
      <c r="AG10453" t="s">
        <v>8645</v>
      </c>
      <c r="AH10453" t="s">
        <v>8646</v>
      </c>
      <c r="AI10453" t="str">
        <f>"9500093"</f>
        <v>9500093</v>
      </c>
      <c r="AJ10453" t="s">
        <v>13865</v>
      </c>
      <c r="AK10453">
        <v>2821064537</v>
      </c>
      <c r="AL10453" t="s">
        <v>13866</v>
      </c>
      <c r="AM10453" t="s">
        <v>88</v>
      </c>
      <c r="AN10453" t="s">
        <v>88</v>
      </c>
      <c r="AO10453" t="s">
        <v>6770</v>
      </c>
      <c r="AP10453" t="s">
        <v>6771</v>
      </c>
      <c r="AQ10453">
        <v>2</v>
      </c>
      <c r="AR10453" t="s">
        <v>89</v>
      </c>
      <c r="AS10453" t="s">
        <v>90</v>
      </c>
      <c r="AT10453" t="s">
        <v>58</v>
      </c>
      <c r="AU10453" t="s">
        <v>68</v>
      </c>
      <c r="AV10453" t="s">
        <v>69</v>
      </c>
      <c r="AW10453" s="1">
        <v>26714</v>
      </c>
      <c r="AX10453">
        <v>1</v>
      </c>
    </row>
    <row r="10454" spans="1:50">
      <c r="A10454">
        <v>593006</v>
      </c>
      <c r="B10454" t="str">
        <f>"066808058"</f>
        <v>066808058</v>
      </c>
      <c r="C10454" t="s">
        <v>50</v>
      </c>
      <c r="D10454" t="s">
        <v>8277</v>
      </c>
      <c r="E10454" t="s">
        <v>755</v>
      </c>
      <c r="F10454" t="s">
        <v>166</v>
      </c>
      <c r="G10454" t="s">
        <v>15348</v>
      </c>
      <c r="H10454" t="str">
        <f>"ΑΧΑΙΑΣ 11 ΓΕΡΑΚΑΣ ΑΤΤΙΚΗΣ"</f>
        <v>ΑΧΑΙΑΣ 11 ΓΕΡΑΚΑΣ ΑΤΤΙΚΗΣ</v>
      </c>
      <c r="I10454">
        <v>15344</v>
      </c>
      <c r="J10454">
        <v>2106617463</v>
      </c>
      <c r="K10454">
        <v>6937147130</v>
      </c>
      <c r="N10454" t="s">
        <v>615</v>
      </c>
      <c r="O10454" t="s">
        <v>616</v>
      </c>
      <c r="R10454" t="s">
        <v>57</v>
      </c>
      <c r="S10454">
        <v>11</v>
      </c>
      <c r="T10454">
        <v>218</v>
      </c>
      <c r="U10454" s="1">
        <v>37134</v>
      </c>
      <c r="V10454" t="s">
        <v>89</v>
      </c>
      <c r="W10454" t="s">
        <v>90</v>
      </c>
      <c r="X10454" t="s">
        <v>58</v>
      </c>
      <c r="Y10454">
        <v>22</v>
      </c>
      <c r="Z10454" t="s">
        <v>59</v>
      </c>
      <c r="AA10454" t="s">
        <v>59</v>
      </c>
      <c r="AB10454" t="s">
        <v>59</v>
      </c>
      <c r="AC10454" t="s">
        <v>59</v>
      </c>
      <c r="AD10454" t="s">
        <v>59</v>
      </c>
      <c r="AF10454" s="1">
        <v>37134</v>
      </c>
      <c r="AG10454" t="s">
        <v>8645</v>
      </c>
      <c r="AH10454" t="s">
        <v>8646</v>
      </c>
      <c r="AI10454" t="str">
        <f>"9500144"</f>
        <v>9500144</v>
      </c>
      <c r="AJ10454" t="s">
        <v>14010</v>
      </c>
      <c r="AK10454">
        <v>2821094171</v>
      </c>
      <c r="AL10454" t="s">
        <v>14011</v>
      </c>
      <c r="AM10454" t="s">
        <v>88</v>
      </c>
      <c r="AN10454" t="s">
        <v>88</v>
      </c>
      <c r="AO10454" t="s">
        <v>88</v>
      </c>
      <c r="AP10454" t="s">
        <v>88</v>
      </c>
      <c r="AQ10454">
        <v>1</v>
      </c>
      <c r="AR10454" t="s">
        <v>89</v>
      </c>
      <c r="AS10454" t="s">
        <v>90</v>
      </c>
      <c r="AT10454" t="s">
        <v>58</v>
      </c>
      <c r="AU10454" t="s">
        <v>68</v>
      </c>
      <c r="AV10454" t="s">
        <v>69</v>
      </c>
      <c r="AW10454" s="1">
        <v>27649</v>
      </c>
      <c r="AX10454">
        <v>1</v>
      </c>
    </row>
    <row r="10455" spans="1:50">
      <c r="A10455">
        <v>592533</v>
      </c>
      <c r="B10455" t="str">
        <f>"061510806"</f>
        <v>061510806</v>
      </c>
      <c r="C10455" t="s">
        <v>50</v>
      </c>
      <c r="D10455" t="s">
        <v>8277</v>
      </c>
      <c r="E10455" t="s">
        <v>83</v>
      </c>
      <c r="F10455" t="s">
        <v>106</v>
      </c>
      <c r="G10455" t="s">
        <v>112</v>
      </c>
      <c r="H10455" t="str">
        <f>"ΠΑΡ.ΤΙΜΙΟΥ ΚΟΡΑΚΙΕΣ"</f>
        <v>ΠΑΡ.ΤΙΜΙΟΥ ΚΟΡΑΚΙΕΣ</v>
      </c>
      <c r="I10455">
        <v>73100</v>
      </c>
      <c r="J10455">
        <v>2821066981</v>
      </c>
      <c r="K10455">
        <v>6946301012</v>
      </c>
      <c r="N10455" t="s">
        <v>176</v>
      </c>
      <c r="O10455" t="s">
        <v>177</v>
      </c>
      <c r="R10455" t="s">
        <v>57</v>
      </c>
      <c r="S10455">
        <v>9</v>
      </c>
      <c r="T10455">
        <v>250</v>
      </c>
      <c r="U10455" s="1">
        <v>36769</v>
      </c>
      <c r="V10455" t="s">
        <v>89</v>
      </c>
      <c r="W10455" t="s">
        <v>90</v>
      </c>
      <c r="X10455" t="s">
        <v>58</v>
      </c>
      <c r="Y10455">
        <v>22</v>
      </c>
      <c r="Z10455" t="s">
        <v>59</v>
      </c>
      <c r="AA10455" t="s">
        <v>59</v>
      </c>
      <c r="AB10455" t="s">
        <v>59</v>
      </c>
      <c r="AC10455" t="s">
        <v>59</v>
      </c>
      <c r="AD10455" t="s">
        <v>59</v>
      </c>
      <c r="AF10455" s="1">
        <v>36769</v>
      </c>
      <c r="AG10455" t="s">
        <v>8645</v>
      </c>
      <c r="AH10455" t="s">
        <v>8646</v>
      </c>
      <c r="AI10455" t="str">
        <f>"9500093"</f>
        <v>9500093</v>
      </c>
      <c r="AJ10455" t="s">
        <v>13865</v>
      </c>
      <c r="AK10455">
        <v>2821064537</v>
      </c>
      <c r="AL10455" t="s">
        <v>13866</v>
      </c>
      <c r="AM10455" t="s">
        <v>88</v>
      </c>
      <c r="AN10455" t="s">
        <v>88</v>
      </c>
      <c r="AO10455" t="s">
        <v>6770</v>
      </c>
      <c r="AP10455" t="s">
        <v>6771</v>
      </c>
      <c r="AQ10455">
        <v>2</v>
      </c>
      <c r="AR10455" t="s">
        <v>89</v>
      </c>
      <c r="AS10455" t="s">
        <v>90</v>
      </c>
      <c r="AT10455" t="s">
        <v>58</v>
      </c>
      <c r="AU10455" t="s">
        <v>68</v>
      </c>
      <c r="AV10455" t="s">
        <v>69</v>
      </c>
      <c r="AW10455" s="1">
        <v>26438</v>
      </c>
      <c r="AX10455">
        <v>1</v>
      </c>
    </row>
    <row r="10456" spans="1:50">
      <c r="A10456">
        <v>603304</v>
      </c>
      <c r="B10456" t="str">
        <f>"054542090"</f>
        <v>054542090</v>
      </c>
      <c r="C10456" t="s">
        <v>50</v>
      </c>
      <c r="D10456" t="s">
        <v>8282</v>
      </c>
      <c r="E10456" t="s">
        <v>964</v>
      </c>
      <c r="F10456" t="s">
        <v>99</v>
      </c>
      <c r="G10456" t="s">
        <v>1345</v>
      </c>
      <c r="H10456" t="str">
        <f>"Μ.ΜΠΟΤΣΑΡΗ   Τ.Θ.113 Κουνουπιδιανά ΚΟΥΝΟΥΠΙΔΙΑΝΑ"</f>
        <v>Μ.ΜΠΟΤΣΑΡΗ   Τ.Θ.113 Κουνουπιδιανά ΚΟΥΝΟΥΠΙΔΙΑΝΑ</v>
      </c>
      <c r="I10456">
        <v>73100</v>
      </c>
      <c r="J10456">
        <v>2821066920</v>
      </c>
      <c r="K10456">
        <v>6936641354</v>
      </c>
      <c r="L10456">
        <v>2821069220</v>
      </c>
      <c r="M10456" t="s">
        <v>15349</v>
      </c>
      <c r="N10456" t="s">
        <v>306</v>
      </c>
      <c r="O10456" t="s">
        <v>307</v>
      </c>
      <c r="R10456" t="s">
        <v>57</v>
      </c>
      <c r="S10456">
        <v>10</v>
      </c>
      <c r="T10456">
        <v>206</v>
      </c>
      <c r="U10456" s="1">
        <v>37866</v>
      </c>
      <c r="V10456" t="s">
        <v>89</v>
      </c>
      <c r="W10456" t="s">
        <v>90</v>
      </c>
      <c r="X10456" t="s">
        <v>58</v>
      </c>
      <c r="Y10456">
        <v>21</v>
      </c>
      <c r="Z10456" t="s">
        <v>59</v>
      </c>
      <c r="AA10456" t="s">
        <v>59</v>
      </c>
      <c r="AB10456" t="s">
        <v>59</v>
      </c>
      <c r="AC10456" t="s">
        <v>59</v>
      </c>
      <c r="AD10456" t="s">
        <v>59</v>
      </c>
      <c r="AF10456" s="1">
        <v>37866</v>
      </c>
      <c r="AG10456" t="s">
        <v>8645</v>
      </c>
      <c r="AH10456" t="s">
        <v>8646</v>
      </c>
      <c r="AI10456" t="str">
        <f>"9500075"</f>
        <v>9500075</v>
      </c>
      <c r="AJ10456" t="s">
        <v>13955</v>
      </c>
      <c r="AK10456">
        <v>2821046505</v>
      </c>
      <c r="AL10456" t="s">
        <v>13956</v>
      </c>
      <c r="AM10456" t="s">
        <v>88</v>
      </c>
      <c r="AN10456" t="s">
        <v>88</v>
      </c>
      <c r="AO10456" t="s">
        <v>88</v>
      </c>
      <c r="AP10456" t="s">
        <v>88</v>
      </c>
      <c r="AQ10456">
        <v>1</v>
      </c>
      <c r="AR10456" t="s">
        <v>89</v>
      </c>
      <c r="AS10456" t="s">
        <v>90</v>
      </c>
      <c r="AT10456" t="s">
        <v>58</v>
      </c>
      <c r="AU10456" t="s">
        <v>68</v>
      </c>
      <c r="AV10456" t="s">
        <v>69</v>
      </c>
      <c r="AW10456" s="1">
        <v>24629</v>
      </c>
      <c r="AX10456">
        <v>1</v>
      </c>
    </row>
    <row r="10457" spans="1:50">
      <c r="A10457">
        <v>703858</v>
      </c>
      <c r="B10457" t="str">
        <f>"110859177"</f>
        <v>110859177</v>
      </c>
      <c r="C10457" t="s">
        <v>50</v>
      </c>
      <c r="D10457" t="s">
        <v>8282</v>
      </c>
      <c r="E10457" t="s">
        <v>155</v>
      </c>
      <c r="F10457" t="s">
        <v>166</v>
      </c>
      <c r="G10457" t="s">
        <v>15350</v>
      </c>
      <c r="H10457" t="str">
        <f>"ΗΡ. ΠΟΛΥΤΕΧΝΕΙΟΥ   "</f>
        <v xml:space="preserve">ΗΡ. ΠΟΛΥΤΕΧΝΕΙΟΥ   </v>
      </c>
      <c r="I10457">
        <v>73400</v>
      </c>
      <c r="J10457">
        <v>2822022719</v>
      </c>
      <c r="K10457">
        <v>6976433884</v>
      </c>
      <c r="N10457" t="s">
        <v>615</v>
      </c>
      <c r="O10457" t="s">
        <v>616</v>
      </c>
      <c r="R10457" t="s">
        <v>57</v>
      </c>
      <c r="S10457">
        <v>4</v>
      </c>
      <c r="T10457">
        <v>224</v>
      </c>
      <c r="U10457" s="1">
        <v>41695</v>
      </c>
      <c r="V10457" t="s">
        <v>89</v>
      </c>
      <c r="W10457" t="s">
        <v>90</v>
      </c>
      <c r="X10457" t="s">
        <v>58</v>
      </c>
      <c r="Y10457">
        <v>24</v>
      </c>
      <c r="Z10457" t="s">
        <v>59</v>
      </c>
      <c r="AA10457" t="s">
        <v>59</v>
      </c>
      <c r="AB10457" t="s">
        <v>59</v>
      </c>
      <c r="AC10457" t="s">
        <v>59</v>
      </c>
      <c r="AD10457" t="s">
        <v>59</v>
      </c>
      <c r="AF10457" s="1">
        <v>41695</v>
      </c>
      <c r="AG10457" t="s">
        <v>8645</v>
      </c>
      <c r="AH10457" t="s">
        <v>8646</v>
      </c>
      <c r="AI10457" t="str">
        <f>"9500205"</f>
        <v>9500205</v>
      </c>
      <c r="AJ10457" t="s">
        <v>13861</v>
      </c>
      <c r="AK10457">
        <v>2822031289</v>
      </c>
      <c r="AL10457" t="s">
        <v>13862</v>
      </c>
      <c r="AM10457" t="s">
        <v>88</v>
      </c>
      <c r="AN10457" t="s">
        <v>6744</v>
      </c>
      <c r="AO10457" t="s">
        <v>13863</v>
      </c>
      <c r="AP10457" t="s">
        <v>13864</v>
      </c>
      <c r="AQ10457">
        <v>9</v>
      </c>
      <c r="AR10457" t="s">
        <v>89</v>
      </c>
      <c r="AS10457" t="s">
        <v>90</v>
      </c>
      <c r="AT10457" t="s">
        <v>58</v>
      </c>
      <c r="AU10457" t="s">
        <v>68</v>
      </c>
      <c r="AV10457" t="s">
        <v>69</v>
      </c>
      <c r="AW10457" s="1">
        <v>31413</v>
      </c>
      <c r="AX10457">
        <v>1</v>
      </c>
    </row>
    <row r="10458" spans="1:50">
      <c r="A10458">
        <v>567915</v>
      </c>
      <c r="B10458" t="str">
        <f>"065168723"</f>
        <v>065168723</v>
      </c>
      <c r="C10458" t="s">
        <v>50</v>
      </c>
      <c r="D10458" t="s">
        <v>8282</v>
      </c>
      <c r="E10458" t="s">
        <v>250</v>
      </c>
      <c r="F10458" t="s">
        <v>99</v>
      </c>
      <c r="G10458" t="s">
        <v>83</v>
      </c>
      <c r="H10458" t="str">
        <f>" "</f>
        <v xml:space="preserve"> </v>
      </c>
      <c r="N10458" t="s">
        <v>1525</v>
      </c>
      <c r="O10458" t="s">
        <v>1526</v>
      </c>
      <c r="R10458" t="s">
        <v>57</v>
      </c>
      <c r="S10458">
        <v>14</v>
      </c>
      <c r="T10458">
        <v>133</v>
      </c>
      <c r="U10458" s="1">
        <v>33456</v>
      </c>
      <c r="V10458" t="s">
        <v>89</v>
      </c>
      <c r="W10458" t="s">
        <v>90</v>
      </c>
      <c r="X10458" t="s">
        <v>58</v>
      </c>
      <c r="Y10458">
        <v>25</v>
      </c>
      <c r="Z10458" t="s">
        <v>59</v>
      </c>
      <c r="AA10458" t="s">
        <v>59</v>
      </c>
      <c r="AB10458" t="s">
        <v>59</v>
      </c>
      <c r="AC10458" t="s">
        <v>59</v>
      </c>
      <c r="AD10458" t="s">
        <v>59</v>
      </c>
      <c r="AF10458" s="1">
        <v>33456</v>
      </c>
      <c r="AG10458" t="s">
        <v>8651</v>
      </c>
      <c r="AH10458" t="s">
        <v>8652</v>
      </c>
      <c r="AI10458" t="str">
        <f>"9521553"</f>
        <v>9521553</v>
      </c>
      <c r="AJ10458" t="s">
        <v>14157</v>
      </c>
      <c r="AK10458">
        <v>2821092365</v>
      </c>
      <c r="AL10458" t="s">
        <v>14158</v>
      </c>
      <c r="AM10458" t="s">
        <v>88</v>
      </c>
      <c r="AN10458" t="s">
        <v>88</v>
      </c>
      <c r="AO10458" t="s">
        <v>88</v>
      </c>
      <c r="AP10458" t="s">
        <v>88</v>
      </c>
      <c r="AQ10458">
        <v>1</v>
      </c>
      <c r="AR10458" t="s">
        <v>89</v>
      </c>
      <c r="AS10458" t="s">
        <v>90</v>
      </c>
      <c r="AT10458" t="s">
        <v>58</v>
      </c>
      <c r="AU10458" t="s">
        <v>68</v>
      </c>
      <c r="AV10458" t="s">
        <v>69</v>
      </c>
      <c r="AW10458" s="1">
        <v>22113</v>
      </c>
      <c r="AX10458">
        <v>1</v>
      </c>
    </row>
    <row r="10459" spans="1:50">
      <c r="A10459">
        <v>612462</v>
      </c>
      <c r="B10459" t="str">
        <f>"074692844"</f>
        <v>074692844</v>
      </c>
      <c r="C10459" t="s">
        <v>50</v>
      </c>
      <c r="D10459" t="s">
        <v>6515</v>
      </c>
      <c r="E10459" t="s">
        <v>1078</v>
      </c>
      <c r="F10459" t="s">
        <v>1890</v>
      </c>
      <c r="G10459" t="s">
        <v>237</v>
      </c>
      <c r="H10459" t="str">
        <f>"ΔΙΑΓΟΡΑ 63 ΑΝΩ ΤΟΥΜΠΑ"</f>
        <v>ΔΙΑΓΟΡΑ 63 ΑΝΩ ΤΟΥΜΠΑ</v>
      </c>
      <c r="I10459">
        <v>54351</v>
      </c>
      <c r="J10459">
        <v>2310952027</v>
      </c>
      <c r="K10459">
        <v>6944436642</v>
      </c>
      <c r="M10459" t="s">
        <v>15351</v>
      </c>
      <c r="N10459" t="s">
        <v>176</v>
      </c>
      <c r="O10459" t="s">
        <v>177</v>
      </c>
      <c r="R10459" t="s">
        <v>57</v>
      </c>
      <c r="S10459">
        <v>8</v>
      </c>
      <c r="T10459">
        <v>234</v>
      </c>
      <c r="U10459" s="1">
        <v>38960</v>
      </c>
      <c r="V10459" t="s">
        <v>89</v>
      </c>
      <c r="W10459" t="s">
        <v>90</v>
      </c>
      <c r="X10459" t="s">
        <v>58</v>
      </c>
      <c r="Y10459">
        <v>22</v>
      </c>
      <c r="Z10459" t="s">
        <v>59</v>
      </c>
      <c r="AA10459" t="s">
        <v>59</v>
      </c>
      <c r="AB10459" t="s">
        <v>59</v>
      </c>
      <c r="AC10459" t="s">
        <v>59</v>
      </c>
      <c r="AD10459" t="s">
        <v>59</v>
      </c>
      <c r="AF10459" s="1">
        <v>38960</v>
      </c>
      <c r="AG10459" t="s">
        <v>8645</v>
      </c>
      <c r="AH10459" t="s">
        <v>8646</v>
      </c>
      <c r="AI10459" t="str">
        <f>"9500148"</f>
        <v>9500148</v>
      </c>
      <c r="AJ10459" t="s">
        <v>13851</v>
      </c>
      <c r="AK10459">
        <v>2821068328</v>
      </c>
      <c r="AL10459" t="s">
        <v>13852</v>
      </c>
      <c r="AM10459" t="s">
        <v>88</v>
      </c>
      <c r="AN10459" t="s">
        <v>88</v>
      </c>
      <c r="AO10459" t="s">
        <v>6785</v>
      </c>
      <c r="AP10459" t="s">
        <v>13853</v>
      </c>
      <c r="AQ10459">
        <v>3</v>
      </c>
      <c r="AR10459" t="s">
        <v>89</v>
      </c>
      <c r="AS10459" t="s">
        <v>90</v>
      </c>
      <c r="AT10459" t="s">
        <v>58</v>
      </c>
      <c r="AU10459" t="s">
        <v>68</v>
      </c>
      <c r="AV10459" t="s">
        <v>69</v>
      </c>
      <c r="AW10459" s="1">
        <v>23955</v>
      </c>
      <c r="AX10459">
        <v>1</v>
      </c>
    </row>
    <row r="10460" spans="1:50">
      <c r="A10460">
        <v>618449</v>
      </c>
      <c r="B10460" t="str">
        <f>"146558305"</f>
        <v>146558305</v>
      </c>
      <c r="C10460" t="s">
        <v>50</v>
      </c>
      <c r="D10460" t="s">
        <v>15352</v>
      </c>
      <c r="E10460" t="s">
        <v>8624</v>
      </c>
      <c r="F10460" t="s">
        <v>53</v>
      </c>
      <c r="G10460" t="s">
        <v>1279</v>
      </c>
      <c r="H10460" t="str">
        <f>"ΑΜΕΡΙΚΗΣ 12 ΚΑΡΔΙΤΣΑ"</f>
        <v>ΑΜΕΡΙΚΗΣ 12 ΚΑΡΔΙΤΣΑ</v>
      </c>
      <c r="I10460">
        <v>43100</v>
      </c>
      <c r="J10460">
        <v>2441073360</v>
      </c>
      <c r="K10460">
        <v>6932606186</v>
      </c>
      <c r="N10460" t="s">
        <v>615</v>
      </c>
      <c r="O10460" t="s">
        <v>616</v>
      </c>
      <c r="R10460" t="s">
        <v>57</v>
      </c>
      <c r="S10460">
        <v>5</v>
      </c>
      <c r="T10460">
        <v>774</v>
      </c>
      <c r="U10460" s="1">
        <v>39680</v>
      </c>
      <c r="V10460" t="s">
        <v>89</v>
      </c>
      <c r="W10460" t="s">
        <v>90</v>
      </c>
      <c r="X10460" t="s">
        <v>58</v>
      </c>
      <c r="Y10460">
        <v>23</v>
      </c>
      <c r="Z10460" t="s">
        <v>59</v>
      </c>
      <c r="AA10460" t="s">
        <v>59</v>
      </c>
      <c r="AB10460" t="s">
        <v>59</v>
      </c>
      <c r="AC10460" t="s">
        <v>59</v>
      </c>
      <c r="AD10460" t="s">
        <v>59</v>
      </c>
      <c r="AF10460" s="1">
        <v>39681</v>
      </c>
      <c r="AG10460" t="s">
        <v>8645</v>
      </c>
      <c r="AH10460" t="s">
        <v>8646</v>
      </c>
      <c r="AI10460" t="str">
        <f>"9500218"</f>
        <v>9500218</v>
      </c>
      <c r="AJ10460" t="s">
        <v>13992</v>
      </c>
      <c r="AK10460">
        <v>2824022216</v>
      </c>
      <c r="AL10460" t="s">
        <v>13993</v>
      </c>
      <c r="AM10460" t="s">
        <v>88</v>
      </c>
      <c r="AN10460" t="s">
        <v>6764</v>
      </c>
      <c r="AO10460" t="s">
        <v>6799</v>
      </c>
      <c r="AP10460" t="s">
        <v>6799</v>
      </c>
      <c r="AQ10460">
        <v>6</v>
      </c>
      <c r="AR10460" t="s">
        <v>89</v>
      </c>
      <c r="AS10460" t="s">
        <v>90</v>
      </c>
      <c r="AT10460" t="s">
        <v>58</v>
      </c>
      <c r="AU10460" t="s">
        <v>68</v>
      </c>
      <c r="AV10460" t="s">
        <v>69</v>
      </c>
      <c r="AW10460" s="1">
        <v>30722</v>
      </c>
      <c r="AX10460">
        <v>1</v>
      </c>
    </row>
    <row r="10461" spans="1:50">
      <c r="A10461">
        <v>621663</v>
      </c>
      <c r="B10461" t="str">
        <f>"137065064"</f>
        <v>137065064</v>
      </c>
      <c r="C10461" t="s">
        <v>50</v>
      </c>
      <c r="D10461" t="s">
        <v>15353</v>
      </c>
      <c r="E10461" t="s">
        <v>155</v>
      </c>
      <c r="F10461" t="s">
        <v>72</v>
      </c>
      <c r="G10461" t="s">
        <v>6454</v>
      </c>
      <c r="H10461" t="str">
        <f>"ΑΝΔΡΟΥΤΣΟΥ 29 ΒΕΡΟΙΑ"</f>
        <v>ΑΝΔΡΟΥΤΣΟΥ 29 ΒΕΡΟΙΑ</v>
      </c>
      <c r="I10461">
        <v>59100</v>
      </c>
      <c r="J10461">
        <v>2331023383</v>
      </c>
      <c r="K10461">
        <v>6972208968</v>
      </c>
      <c r="N10461" t="s">
        <v>615</v>
      </c>
      <c r="O10461" t="s">
        <v>616</v>
      </c>
      <c r="R10461" t="s">
        <v>57</v>
      </c>
      <c r="S10461">
        <v>5</v>
      </c>
      <c r="T10461">
        <v>653</v>
      </c>
      <c r="U10461" s="1">
        <v>40043</v>
      </c>
      <c r="V10461" t="s">
        <v>89</v>
      </c>
      <c r="W10461" t="s">
        <v>90</v>
      </c>
      <c r="X10461" t="s">
        <v>58</v>
      </c>
      <c r="Y10461">
        <v>23</v>
      </c>
      <c r="Z10461" t="s">
        <v>59</v>
      </c>
      <c r="AA10461" t="s">
        <v>59</v>
      </c>
      <c r="AB10461" t="s">
        <v>59</v>
      </c>
      <c r="AC10461" t="s">
        <v>59</v>
      </c>
      <c r="AD10461" t="s">
        <v>59</v>
      </c>
      <c r="AF10461" s="1">
        <v>40045</v>
      </c>
      <c r="AG10461" t="s">
        <v>8645</v>
      </c>
      <c r="AH10461" t="s">
        <v>8646</v>
      </c>
      <c r="AI10461" t="str">
        <f>"9500218"</f>
        <v>9500218</v>
      </c>
      <c r="AJ10461" t="s">
        <v>13992</v>
      </c>
      <c r="AK10461">
        <v>2824022216</v>
      </c>
      <c r="AL10461" t="s">
        <v>13993</v>
      </c>
      <c r="AM10461" t="s">
        <v>88</v>
      </c>
      <c r="AN10461" t="s">
        <v>6764</v>
      </c>
      <c r="AO10461" t="s">
        <v>6799</v>
      </c>
      <c r="AP10461" t="s">
        <v>6799</v>
      </c>
      <c r="AQ10461">
        <v>6</v>
      </c>
      <c r="AR10461" t="s">
        <v>89</v>
      </c>
      <c r="AS10461" t="s">
        <v>90</v>
      </c>
      <c r="AT10461" t="s">
        <v>58</v>
      </c>
      <c r="AU10461" t="s">
        <v>68</v>
      </c>
      <c r="AV10461" t="s">
        <v>69</v>
      </c>
      <c r="AW10461" s="1">
        <v>31318</v>
      </c>
      <c r="AX10461">
        <v>1</v>
      </c>
    </row>
    <row r="10462" spans="1:50">
      <c r="A10462">
        <v>572895</v>
      </c>
      <c r="B10462" t="str">
        <f>"045584600"</f>
        <v>045584600</v>
      </c>
      <c r="C10462" t="s">
        <v>50</v>
      </c>
      <c r="D10462" t="s">
        <v>15354</v>
      </c>
      <c r="E10462" t="s">
        <v>263</v>
      </c>
      <c r="F10462" t="s">
        <v>99</v>
      </c>
      <c r="G10462" t="s">
        <v>5241</v>
      </c>
      <c r="H10462" t="str">
        <f>"ΚΡΙΑΡΑ   4 ΧΑΝΙΑ"</f>
        <v>ΚΡΙΑΡΑ   4 ΧΑΝΙΑ</v>
      </c>
      <c r="I10462">
        <v>73134</v>
      </c>
      <c r="J10462">
        <v>2821092696</v>
      </c>
      <c r="K10462">
        <v>6947615926</v>
      </c>
      <c r="N10462" t="s">
        <v>337</v>
      </c>
      <c r="O10462" t="s">
        <v>338</v>
      </c>
      <c r="R10462" t="s">
        <v>57</v>
      </c>
      <c r="S10462">
        <v>12</v>
      </c>
      <c r="T10462">
        <v>158</v>
      </c>
      <c r="U10462" s="1">
        <v>34582</v>
      </c>
      <c r="V10462" t="s">
        <v>89</v>
      </c>
      <c r="W10462" t="s">
        <v>90</v>
      </c>
      <c r="X10462" t="s">
        <v>58</v>
      </c>
      <c r="Y10462">
        <v>21</v>
      </c>
      <c r="Z10462" t="s">
        <v>59</v>
      </c>
      <c r="AA10462" t="s">
        <v>59</v>
      </c>
      <c r="AB10462" t="s">
        <v>59</v>
      </c>
      <c r="AC10462" t="s">
        <v>59</v>
      </c>
      <c r="AD10462" t="s">
        <v>59</v>
      </c>
      <c r="AF10462" s="1">
        <v>34582</v>
      </c>
      <c r="AG10462" t="s">
        <v>8645</v>
      </c>
      <c r="AH10462" t="s">
        <v>8646</v>
      </c>
      <c r="AI10462" t="str">
        <f>"9500078"</f>
        <v>9500078</v>
      </c>
      <c r="AJ10462" t="s">
        <v>13988</v>
      </c>
      <c r="AK10462">
        <v>2821028788</v>
      </c>
      <c r="AL10462" t="s">
        <v>13989</v>
      </c>
      <c r="AM10462" t="s">
        <v>88</v>
      </c>
      <c r="AN10462" t="s">
        <v>88</v>
      </c>
      <c r="AO10462" t="s">
        <v>88</v>
      </c>
      <c r="AP10462" t="s">
        <v>88</v>
      </c>
      <c r="AQ10462">
        <v>1</v>
      </c>
      <c r="AR10462" t="s">
        <v>89</v>
      </c>
      <c r="AS10462" t="s">
        <v>90</v>
      </c>
      <c r="AT10462" t="s">
        <v>58</v>
      </c>
      <c r="AU10462" t="s">
        <v>68</v>
      </c>
      <c r="AV10462" t="s">
        <v>69</v>
      </c>
      <c r="AW10462" s="1">
        <v>24536</v>
      </c>
      <c r="AX10462">
        <v>1</v>
      </c>
    </row>
    <row r="10463" spans="1:50">
      <c r="B10463" t="str">
        <f>"122025291"</f>
        <v>122025291</v>
      </c>
      <c r="C10463" t="s">
        <v>50</v>
      </c>
      <c r="D10463" t="s">
        <v>15355</v>
      </c>
      <c r="E10463" t="s">
        <v>237</v>
      </c>
      <c r="F10463" t="s">
        <v>670</v>
      </c>
      <c r="G10463" t="s">
        <v>699</v>
      </c>
      <c r="H10463" t="str">
        <f>"ΔΟΒΡΟΥΤΣΙΟΥ 9 ΛΑΡΙΣΑ"</f>
        <v>ΔΟΒΡΟΥΤΣΙΟΥ 9 ΛΑΡΙΣΑ</v>
      </c>
      <c r="I10463">
        <v>41335</v>
      </c>
      <c r="J10463">
        <v>2410619869</v>
      </c>
      <c r="K10463">
        <v>6973439837</v>
      </c>
      <c r="N10463" t="s">
        <v>8694</v>
      </c>
      <c r="O10463" t="s">
        <v>8695</v>
      </c>
      <c r="R10463" t="s">
        <v>57</v>
      </c>
      <c r="S10463">
        <v>5</v>
      </c>
      <c r="T10463" t="s">
        <v>8696</v>
      </c>
      <c r="U10463" s="1">
        <v>43348</v>
      </c>
      <c r="V10463" t="s">
        <v>89</v>
      </c>
      <c r="W10463" t="s">
        <v>90</v>
      </c>
      <c r="X10463" t="s">
        <v>58</v>
      </c>
      <c r="Y10463">
        <v>23</v>
      </c>
      <c r="Z10463" t="s">
        <v>59</v>
      </c>
      <c r="AA10463" t="s">
        <v>59</v>
      </c>
      <c r="AB10463" t="s">
        <v>59</v>
      </c>
      <c r="AC10463" t="s">
        <v>59</v>
      </c>
      <c r="AD10463" t="s">
        <v>59</v>
      </c>
      <c r="AF10463" s="1">
        <v>43348</v>
      </c>
      <c r="AG10463" t="s">
        <v>8645</v>
      </c>
      <c r="AH10463" t="s">
        <v>8697</v>
      </c>
      <c r="AI10463" t="str">
        <f>"9521567"</f>
        <v>9521567</v>
      </c>
      <c r="AJ10463" t="s">
        <v>14148</v>
      </c>
      <c r="AK10463">
        <v>2821086921</v>
      </c>
      <c r="AL10463" t="s">
        <v>14149</v>
      </c>
      <c r="AM10463" t="s">
        <v>88</v>
      </c>
      <c r="AN10463" t="s">
        <v>88</v>
      </c>
      <c r="AO10463" t="s">
        <v>88</v>
      </c>
      <c r="AP10463" t="s">
        <v>88</v>
      </c>
      <c r="AQ10463">
        <v>1</v>
      </c>
      <c r="AR10463" t="s">
        <v>89</v>
      </c>
      <c r="AS10463" t="s">
        <v>90</v>
      </c>
      <c r="AT10463" t="s">
        <v>58</v>
      </c>
      <c r="AU10463" t="s">
        <v>350</v>
      </c>
      <c r="AV10463" t="s">
        <v>132</v>
      </c>
      <c r="AW10463" s="1">
        <v>29427</v>
      </c>
      <c r="AX10463">
        <v>1</v>
      </c>
    </row>
    <row r="10464" spans="1:50">
      <c r="B10464" t="str">
        <f>"103915190"</f>
        <v>103915190</v>
      </c>
      <c r="C10464" t="s">
        <v>50</v>
      </c>
      <c r="D10464" t="s">
        <v>15356</v>
      </c>
      <c r="E10464" t="s">
        <v>460</v>
      </c>
      <c r="F10464" t="s">
        <v>377</v>
      </c>
      <c r="G10464" t="s">
        <v>1120</v>
      </c>
      <c r="H10464" t="str">
        <f>"ΑΝΑΣΤΑΣΟΠΟΥΛΟΥ 42 "</f>
        <v xml:space="preserve">ΑΝΑΣΤΑΣΟΠΟΥΛΟΥ 42 </v>
      </c>
      <c r="I10464">
        <v>41334</v>
      </c>
      <c r="J10464">
        <v>2410537315</v>
      </c>
      <c r="K10464">
        <v>6973622174</v>
      </c>
      <c r="N10464" t="s">
        <v>337</v>
      </c>
      <c r="O10464" t="s">
        <v>338</v>
      </c>
      <c r="R10464" t="s">
        <v>121</v>
      </c>
      <c r="S10464">
        <v>1</v>
      </c>
      <c r="T10464" t="s">
        <v>8675</v>
      </c>
      <c r="U10464" s="1">
        <v>43348</v>
      </c>
      <c r="V10464" t="s">
        <v>89</v>
      </c>
      <c r="W10464" t="s">
        <v>90</v>
      </c>
      <c r="X10464" t="s">
        <v>58</v>
      </c>
      <c r="Y10464">
        <v>24</v>
      </c>
      <c r="Z10464" t="s">
        <v>59</v>
      </c>
      <c r="AA10464" t="s">
        <v>59</v>
      </c>
      <c r="AB10464" t="s">
        <v>59</v>
      </c>
      <c r="AC10464" t="s">
        <v>59</v>
      </c>
      <c r="AD10464" t="s">
        <v>59</v>
      </c>
      <c r="AF10464" s="1">
        <v>43348</v>
      </c>
      <c r="AG10464" t="s">
        <v>8645</v>
      </c>
      <c r="AH10464" t="s">
        <v>8646</v>
      </c>
      <c r="AI10464" t="str">
        <f>"9500006"</f>
        <v>9500006</v>
      </c>
      <c r="AJ10464" t="s">
        <v>14060</v>
      </c>
      <c r="AK10464">
        <v>2825051220</v>
      </c>
      <c r="AL10464" t="s">
        <v>14061</v>
      </c>
      <c r="AM10464" t="s">
        <v>88</v>
      </c>
      <c r="AN10464" t="s">
        <v>6775</v>
      </c>
      <c r="AO10464" t="s">
        <v>6781</v>
      </c>
      <c r="AP10464" t="s">
        <v>6782</v>
      </c>
      <c r="AQ10464">
        <v>8</v>
      </c>
      <c r="AR10464" t="s">
        <v>89</v>
      </c>
      <c r="AS10464" t="s">
        <v>90</v>
      </c>
      <c r="AT10464" t="s">
        <v>58</v>
      </c>
      <c r="AU10464" t="s">
        <v>8673</v>
      </c>
      <c r="AV10464" t="s">
        <v>132</v>
      </c>
      <c r="AW10464" s="1">
        <v>31982</v>
      </c>
      <c r="AX10464">
        <v>1</v>
      </c>
    </row>
    <row r="10465" spans="1:50">
      <c r="B10465" t="str">
        <f>"112382317"</f>
        <v>112382317</v>
      </c>
      <c r="C10465" t="s">
        <v>105</v>
      </c>
      <c r="D10465" t="s">
        <v>15357</v>
      </c>
      <c r="E10465" t="s">
        <v>15358</v>
      </c>
      <c r="F10465" t="s">
        <v>304</v>
      </c>
      <c r="G10465" t="s">
        <v>1029</v>
      </c>
      <c r="H10465" t="str">
        <f>"ΝΕΡΙΑΝΑ ΝΕΡΙΑΝΑ ΚΥΔΩΝΙΑΣ"</f>
        <v>ΝΕΡΙΑΝΑ ΝΕΡΙΑΝΑ ΚΥΔΩΝΙΑΣ</v>
      </c>
      <c r="I10465">
        <v>73002</v>
      </c>
      <c r="J10465">
        <v>2824031871</v>
      </c>
      <c r="K10465">
        <v>6976255316</v>
      </c>
      <c r="N10465" t="s">
        <v>8694</v>
      </c>
      <c r="O10465" t="s">
        <v>8695</v>
      </c>
      <c r="R10465" t="s">
        <v>57</v>
      </c>
      <c r="S10465">
        <v>4</v>
      </c>
      <c r="T10465" t="s">
        <v>8696</v>
      </c>
      <c r="U10465" s="1">
        <v>43348</v>
      </c>
      <c r="V10465" t="s">
        <v>89</v>
      </c>
      <c r="W10465" t="s">
        <v>90</v>
      </c>
      <c r="X10465" t="s">
        <v>58</v>
      </c>
      <c r="Y10465">
        <v>24</v>
      </c>
      <c r="Z10465" t="s">
        <v>59</v>
      </c>
      <c r="AA10465" t="s">
        <v>59</v>
      </c>
      <c r="AB10465" t="s">
        <v>59</v>
      </c>
      <c r="AC10465" t="s">
        <v>59</v>
      </c>
      <c r="AD10465" t="s">
        <v>59</v>
      </c>
      <c r="AF10465" s="1">
        <v>43348</v>
      </c>
      <c r="AG10465" t="s">
        <v>8645</v>
      </c>
      <c r="AH10465" t="s">
        <v>8646</v>
      </c>
      <c r="AI10465" t="str">
        <f>"9500218"</f>
        <v>9500218</v>
      </c>
      <c r="AJ10465" t="s">
        <v>13992</v>
      </c>
      <c r="AK10465">
        <v>2824022216</v>
      </c>
      <c r="AL10465" t="s">
        <v>13993</v>
      </c>
      <c r="AM10465" t="s">
        <v>88</v>
      </c>
      <c r="AN10465" t="s">
        <v>6764</v>
      </c>
      <c r="AO10465" t="s">
        <v>6799</v>
      </c>
      <c r="AP10465" t="s">
        <v>6799</v>
      </c>
      <c r="AQ10465">
        <v>6</v>
      </c>
      <c r="AR10465" t="s">
        <v>89</v>
      </c>
      <c r="AS10465" t="s">
        <v>90</v>
      </c>
      <c r="AT10465" t="s">
        <v>58</v>
      </c>
      <c r="AU10465" t="s">
        <v>350</v>
      </c>
      <c r="AV10465" t="s">
        <v>132</v>
      </c>
      <c r="AW10465" s="1">
        <v>29132</v>
      </c>
      <c r="AX10465">
        <v>1</v>
      </c>
    </row>
    <row r="10466" spans="1:50">
      <c r="B10466" t="str">
        <f>"144138898"</f>
        <v>144138898</v>
      </c>
      <c r="C10466" t="s">
        <v>50</v>
      </c>
      <c r="D10466" t="s">
        <v>15359</v>
      </c>
      <c r="E10466" t="s">
        <v>11049</v>
      </c>
      <c r="F10466" t="s">
        <v>53</v>
      </c>
      <c r="G10466" t="s">
        <v>460</v>
      </c>
      <c r="H10466" t="str">
        <f>"ΡΟΥΜΕΛΗΣ 26 "</f>
        <v xml:space="preserve">ΡΟΥΜΕΛΗΣ 26 </v>
      </c>
      <c r="I10466">
        <v>15341</v>
      </c>
      <c r="J10466">
        <v>2251022737</v>
      </c>
      <c r="K10466">
        <v>6940786444</v>
      </c>
      <c r="N10466" t="s">
        <v>683</v>
      </c>
      <c r="O10466" t="s">
        <v>684</v>
      </c>
      <c r="R10466" t="s">
        <v>121</v>
      </c>
      <c r="S10466">
        <v>1</v>
      </c>
      <c r="T10466" t="s">
        <v>8675</v>
      </c>
      <c r="U10466" s="1">
        <v>43348</v>
      </c>
      <c r="V10466" t="s">
        <v>89</v>
      </c>
      <c r="W10466" t="s">
        <v>90</v>
      </c>
      <c r="X10466" t="s">
        <v>58</v>
      </c>
      <c r="Y10466">
        <v>24</v>
      </c>
      <c r="Z10466" t="s">
        <v>59</v>
      </c>
      <c r="AA10466" t="s">
        <v>59</v>
      </c>
      <c r="AB10466" t="s">
        <v>59</v>
      </c>
      <c r="AC10466" t="s">
        <v>59</v>
      </c>
      <c r="AD10466" t="s">
        <v>59</v>
      </c>
      <c r="AF10466" s="1">
        <v>43348</v>
      </c>
      <c r="AG10466" t="s">
        <v>8645</v>
      </c>
      <c r="AH10466" t="s">
        <v>8646</v>
      </c>
      <c r="AI10466" t="str">
        <f>"9500137"</f>
        <v>9500137</v>
      </c>
      <c r="AJ10466" t="s">
        <v>14401</v>
      </c>
      <c r="AK10466">
        <v>2821093156</v>
      </c>
      <c r="AL10466" t="s">
        <v>14402</v>
      </c>
      <c r="AM10466" t="s">
        <v>88</v>
      </c>
      <c r="AN10466" t="s">
        <v>88</v>
      </c>
      <c r="AO10466" t="s">
        <v>88</v>
      </c>
      <c r="AP10466" t="s">
        <v>88</v>
      </c>
      <c r="AQ10466">
        <v>1</v>
      </c>
      <c r="AR10466" t="s">
        <v>89</v>
      </c>
      <c r="AS10466" t="s">
        <v>90</v>
      </c>
      <c r="AT10466" t="s">
        <v>58</v>
      </c>
      <c r="AU10466" t="s">
        <v>8673</v>
      </c>
      <c r="AV10466" t="s">
        <v>132</v>
      </c>
      <c r="AW10466" s="1">
        <v>32185</v>
      </c>
      <c r="AX10466">
        <v>1</v>
      </c>
    </row>
    <row r="10467" spans="1:50">
      <c r="A10467">
        <v>580305</v>
      </c>
      <c r="B10467" t="str">
        <f>"035619299"</f>
        <v>035619299</v>
      </c>
      <c r="C10467" t="s">
        <v>50</v>
      </c>
      <c r="D10467" t="s">
        <v>15360</v>
      </c>
      <c r="E10467" t="s">
        <v>181</v>
      </c>
      <c r="F10467" t="s">
        <v>72</v>
      </c>
      <c r="G10467" t="s">
        <v>83</v>
      </c>
      <c r="H10467" t="str">
        <f>"ΒΟΥΛΓΑΡΙΔΗ  15 ΧΑΝΙΑ"</f>
        <v>ΒΟΥΛΓΑΡΙΔΗ  15 ΧΑΝΙΑ</v>
      </c>
      <c r="I10467">
        <v>73100</v>
      </c>
      <c r="J10467">
        <v>2821054225</v>
      </c>
      <c r="K10467">
        <v>6943186765</v>
      </c>
      <c r="L10467">
        <v>2821054225</v>
      </c>
      <c r="M10467" t="s">
        <v>15361</v>
      </c>
      <c r="N10467" t="s">
        <v>176</v>
      </c>
      <c r="O10467" t="s">
        <v>177</v>
      </c>
      <c r="R10467" t="s">
        <v>57</v>
      </c>
      <c r="S10467">
        <v>11</v>
      </c>
      <c r="T10467">
        <v>166</v>
      </c>
      <c r="U10467" s="1">
        <v>35300</v>
      </c>
      <c r="V10467" t="s">
        <v>89</v>
      </c>
      <c r="W10467" t="s">
        <v>90</v>
      </c>
      <c r="X10467" t="s">
        <v>58</v>
      </c>
      <c r="Y10467">
        <v>21</v>
      </c>
      <c r="Z10467" t="s">
        <v>59</v>
      </c>
      <c r="AA10467" t="s">
        <v>59</v>
      </c>
      <c r="AB10467" t="s">
        <v>59</v>
      </c>
      <c r="AC10467" t="s">
        <v>59</v>
      </c>
      <c r="AD10467" t="s">
        <v>59</v>
      </c>
      <c r="AF10467" s="1">
        <v>35300</v>
      </c>
      <c r="AG10467" t="s">
        <v>8645</v>
      </c>
      <c r="AH10467" t="s">
        <v>8646</v>
      </c>
      <c r="AI10467" t="str">
        <f>"9500075"</f>
        <v>9500075</v>
      </c>
      <c r="AJ10467" t="s">
        <v>13955</v>
      </c>
      <c r="AK10467">
        <v>2821046505</v>
      </c>
      <c r="AL10467" t="s">
        <v>13956</v>
      </c>
      <c r="AM10467" t="s">
        <v>88</v>
      </c>
      <c r="AN10467" t="s">
        <v>88</v>
      </c>
      <c r="AO10467" t="s">
        <v>88</v>
      </c>
      <c r="AP10467" t="s">
        <v>88</v>
      </c>
      <c r="AQ10467">
        <v>1</v>
      </c>
      <c r="AR10467" t="s">
        <v>89</v>
      </c>
      <c r="AS10467" t="s">
        <v>90</v>
      </c>
      <c r="AT10467" t="s">
        <v>58</v>
      </c>
      <c r="AU10467" t="s">
        <v>68</v>
      </c>
      <c r="AV10467" t="s">
        <v>69</v>
      </c>
      <c r="AW10467" s="1">
        <v>23919</v>
      </c>
      <c r="AX10467">
        <v>1</v>
      </c>
    </row>
    <row r="10468" spans="1:50">
      <c r="A10468">
        <v>579188</v>
      </c>
      <c r="B10468" t="str">
        <f>"101576051"</f>
        <v>101576051</v>
      </c>
      <c r="C10468" t="s">
        <v>50</v>
      </c>
      <c r="D10468" t="s">
        <v>15362</v>
      </c>
      <c r="E10468" t="s">
        <v>83</v>
      </c>
      <c r="F10468" t="s">
        <v>995</v>
      </c>
      <c r="G10468" t="s">
        <v>2431</v>
      </c>
      <c r="H10468" t="str">
        <f>"ΚΑΜΠΑΝΙ ΑΚΡΩΤΗΡΙ-ΧΑΝΙΑ"</f>
        <v>ΚΑΜΠΑΝΙ ΑΚΡΩΤΗΡΙ-ΧΑΝΙΑ</v>
      </c>
      <c r="I10468">
        <v>73100</v>
      </c>
      <c r="J10468">
        <v>2821049213</v>
      </c>
      <c r="K10468">
        <v>6975779017</v>
      </c>
      <c r="N10468" t="s">
        <v>615</v>
      </c>
      <c r="O10468" t="s">
        <v>616</v>
      </c>
      <c r="R10468" t="s">
        <v>57</v>
      </c>
      <c r="S10468">
        <v>13</v>
      </c>
      <c r="T10468">
        <v>165</v>
      </c>
      <c r="U10468" s="1">
        <v>35300</v>
      </c>
      <c r="V10468" t="s">
        <v>89</v>
      </c>
      <c r="W10468" t="s">
        <v>90</v>
      </c>
      <c r="X10468" t="s">
        <v>58</v>
      </c>
      <c r="Y10468">
        <v>21</v>
      </c>
      <c r="Z10468" t="s">
        <v>59</v>
      </c>
      <c r="AA10468" t="s">
        <v>59</v>
      </c>
      <c r="AB10468" t="s">
        <v>59</v>
      </c>
      <c r="AC10468" t="s">
        <v>59</v>
      </c>
      <c r="AD10468" t="s">
        <v>59</v>
      </c>
      <c r="AF10468" s="1">
        <v>35300</v>
      </c>
      <c r="AG10468" t="s">
        <v>8645</v>
      </c>
      <c r="AH10468" t="s">
        <v>8646</v>
      </c>
      <c r="AI10468" t="str">
        <f>"9500093"</f>
        <v>9500093</v>
      </c>
      <c r="AJ10468" t="s">
        <v>13865</v>
      </c>
      <c r="AK10468">
        <v>2821064537</v>
      </c>
      <c r="AL10468" t="s">
        <v>13866</v>
      </c>
      <c r="AM10468" t="s">
        <v>88</v>
      </c>
      <c r="AN10468" t="s">
        <v>88</v>
      </c>
      <c r="AO10468" t="s">
        <v>6770</v>
      </c>
      <c r="AP10468" t="s">
        <v>6771</v>
      </c>
      <c r="AQ10468">
        <v>2</v>
      </c>
      <c r="AR10468" t="s">
        <v>89</v>
      </c>
      <c r="AS10468" t="s">
        <v>90</v>
      </c>
      <c r="AT10468" t="s">
        <v>58</v>
      </c>
      <c r="AU10468" t="s">
        <v>68</v>
      </c>
      <c r="AV10468" t="s">
        <v>69</v>
      </c>
      <c r="AW10468" s="1">
        <v>23473</v>
      </c>
      <c r="AX10468">
        <v>1</v>
      </c>
    </row>
    <row r="10469" spans="1:50">
      <c r="B10469" t="str">
        <f>"148772298"</f>
        <v>148772298</v>
      </c>
      <c r="C10469" t="s">
        <v>50</v>
      </c>
      <c r="D10469" t="s">
        <v>15363</v>
      </c>
      <c r="E10469" t="s">
        <v>237</v>
      </c>
      <c r="F10469" t="s">
        <v>84</v>
      </c>
      <c r="G10469" t="s">
        <v>314</v>
      </c>
      <c r="H10469" t="str">
        <f>" "</f>
        <v xml:space="preserve"> </v>
      </c>
      <c r="N10469" t="s">
        <v>683</v>
      </c>
      <c r="O10469" t="s">
        <v>684</v>
      </c>
      <c r="R10469" t="s">
        <v>121</v>
      </c>
      <c r="S10469">
        <v>1</v>
      </c>
      <c r="T10469" t="s">
        <v>8675</v>
      </c>
      <c r="U10469" s="1">
        <v>43348</v>
      </c>
      <c r="V10469" t="s">
        <v>89</v>
      </c>
      <c r="W10469" t="s">
        <v>90</v>
      </c>
      <c r="X10469" t="s">
        <v>58</v>
      </c>
      <c r="Y10469">
        <v>24</v>
      </c>
      <c r="Z10469" t="s">
        <v>59</v>
      </c>
      <c r="AA10469" t="s">
        <v>59</v>
      </c>
      <c r="AB10469" t="s">
        <v>59</v>
      </c>
      <c r="AD10469" t="s">
        <v>59</v>
      </c>
      <c r="AF10469" s="1">
        <v>43348</v>
      </c>
      <c r="AG10469" t="s">
        <v>8645</v>
      </c>
      <c r="AH10469" t="s">
        <v>8646</v>
      </c>
      <c r="AI10469" t="str">
        <f>"9500329"</f>
        <v>9500329</v>
      </c>
      <c r="AJ10469" t="s">
        <v>14241</v>
      </c>
      <c r="AK10469">
        <v>2821099075</v>
      </c>
      <c r="AL10469" t="s">
        <v>14242</v>
      </c>
      <c r="AM10469" t="s">
        <v>88</v>
      </c>
      <c r="AN10469" t="s">
        <v>88</v>
      </c>
      <c r="AO10469" t="s">
        <v>6733</v>
      </c>
      <c r="AP10469" t="s">
        <v>6734</v>
      </c>
      <c r="AQ10469">
        <v>2</v>
      </c>
      <c r="AR10469" t="s">
        <v>89</v>
      </c>
      <c r="AS10469" t="s">
        <v>90</v>
      </c>
      <c r="AT10469" t="s">
        <v>58</v>
      </c>
      <c r="AU10469" t="s">
        <v>8673</v>
      </c>
      <c r="AV10469" t="s">
        <v>132</v>
      </c>
      <c r="AW10469" s="1">
        <v>34188</v>
      </c>
      <c r="AX10469">
        <v>1</v>
      </c>
    </row>
    <row r="10470" spans="1:50">
      <c r="B10470" t="str">
        <f>"114711647"</f>
        <v>114711647</v>
      </c>
      <c r="C10470" t="s">
        <v>105</v>
      </c>
      <c r="D10470" t="s">
        <v>15364</v>
      </c>
      <c r="E10470" t="s">
        <v>95</v>
      </c>
      <c r="F10470" t="s">
        <v>84</v>
      </c>
      <c r="G10470" t="s">
        <v>155</v>
      </c>
      <c r="H10470" t="str">
        <f>" "</f>
        <v xml:space="preserve"> </v>
      </c>
      <c r="N10470" t="s">
        <v>683</v>
      </c>
      <c r="O10470" t="s">
        <v>684</v>
      </c>
      <c r="R10470" t="s">
        <v>121</v>
      </c>
      <c r="S10470">
        <v>1</v>
      </c>
      <c r="T10470" t="s">
        <v>8675</v>
      </c>
      <c r="U10470" s="1">
        <v>43348</v>
      </c>
      <c r="V10470" t="s">
        <v>89</v>
      </c>
      <c r="W10470" t="s">
        <v>90</v>
      </c>
      <c r="X10470" t="s">
        <v>58</v>
      </c>
      <c r="Y10470">
        <v>24</v>
      </c>
      <c r="Z10470" t="s">
        <v>59</v>
      </c>
      <c r="AA10470" t="s">
        <v>59</v>
      </c>
      <c r="AB10470" t="s">
        <v>59</v>
      </c>
      <c r="AC10470" t="s">
        <v>59</v>
      </c>
      <c r="AD10470" t="s">
        <v>59</v>
      </c>
      <c r="AF10470" s="1">
        <v>43348</v>
      </c>
      <c r="AG10470" t="s">
        <v>8645</v>
      </c>
      <c r="AH10470" t="s">
        <v>8646</v>
      </c>
      <c r="AI10470" t="str">
        <f>"9500160"</f>
        <v>9500160</v>
      </c>
      <c r="AJ10470" t="s">
        <v>14486</v>
      </c>
      <c r="AK10470">
        <v>2821062458</v>
      </c>
      <c r="AL10470" t="s">
        <v>14487</v>
      </c>
      <c r="AM10470" t="s">
        <v>88</v>
      </c>
      <c r="AN10470" t="s">
        <v>6764</v>
      </c>
      <c r="AO10470" t="s">
        <v>6764</v>
      </c>
      <c r="AP10470" t="s">
        <v>14488</v>
      </c>
      <c r="AQ10470">
        <v>5</v>
      </c>
      <c r="AR10470" t="s">
        <v>89</v>
      </c>
      <c r="AS10470" t="s">
        <v>90</v>
      </c>
      <c r="AT10470" t="s">
        <v>58</v>
      </c>
      <c r="AU10470" t="s">
        <v>8673</v>
      </c>
      <c r="AV10470" t="s">
        <v>132</v>
      </c>
      <c r="AW10470" s="1">
        <v>29677</v>
      </c>
      <c r="AX10470">
        <v>1</v>
      </c>
    </row>
    <row r="10471" spans="1:50">
      <c r="A10471">
        <v>558740</v>
      </c>
      <c r="B10471" t="str">
        <f>"032641160"</f>
        <v>032641160</v>
      </c>
      <c r="C10471" t="s">
        <v>50</v>
      </c>
      <c r="D10471" t="s">
        <v>15365</v>
      </c>
      <c r="E10471" t="s">
        <v>54</v>
      </c>
      <c r="F10471" t="s">
        <v>304</v>
      </c>
      <c r="G10471" t="s">
        <v>8613</v>
      </c>
      <c r="H10471" t="str">
        <f>"ΚΛΗΜΑΤΟΣ   10 ΧΑΝΙΑ"</f>
        <v>ΚΛΗΜΑΤΟΣ   10 ΧΑΝΙΑ</v>
      </c>
      <c r="I10471">
        <v>73136</v>
      </c>
      <c r="J10471">
        <v>2821076151</v>
      </c>
      <c r="K10471">
        <v>6945100345</v>
      </c>
      <c r="N10471" t="s">
        <v>615</v>
      </c>
      <c r="O10471" t="s">
        <v>616</v>
      </c>
      <c r="R10471" t="s">
        <v>57</v>
      </c>
      <c r="S10471">
        <v>18</v>
      </c>
      <c r="T10471">
        <v>168</v>
      </c>
      <c r="U10471" s="1">
        <v>32010</v>
      </c>
      <c r="V10471" t="s">
        <v>89</v>
      </c>
      <c r="W10471" t="s">
        <v>90</v>
      </c>
      <c r="X10471" t="s">
        <v>58</v>
      </c>
      <c r="Y10471">
        <v>21</v>
      </c>
      <c r="Z10471" t="s">
        <v>59</v>
      </c>
      <c r="AA10471" t="s">
        <v>59</v>
      </c>
      <c r="AB10471" t="s">
        <v>59</v>
      </c>
      <c r="AC10471" t="s">
        <v>59</v>
      </c>
      <c r="AD10471" t="s">
        <v>59</v>
      </c>
      <c r="AF10471" s="1">
        <v>32010</v>
      </c>
      <c r="AG10471" t="s">
        <v>8645</v>
      </c>
      <c r="AH10471" t="s">
        <v>8646</v>
      </c>
      <c r="AI10471" t="str">
        <f>"9500314"</f>
        <v>9500314</v>
      </c>
      <c r="AJ10471" t="s">
        <v>14116</v>
      </c>
      <c r="AK10471">
        <v>2821097640</v>
      </c>
      <c r="AL10471" t="s">
        <v>14117</v>
      </c>
      <c r="AM10471" t="s">
        <v>88</v>
      </c>
      <c r="AN10471" t="s">
        <v>88</v>
      </c>
      <c r="AO10471" t="s">
        <v>88</v>
      </c>
      <c r="AP10471" t="s">
        <v>88</v>
      </c>
      <c r="AQ10471">
        <v>1</v>
      </c>
      <c r="AR10471" t="s">
        <v>89</v>
      </c>
      <c r="AS10471" t="s">
        <v>90</v>
      </c>
      <c r="AT10471" t="s">
        <v>58</v>
      </c>
      <c r="AU10471" t="s">
        <v>68</v>
      </c>
      <c r="AV10471" t="s">
        <v>69</v>
      </c>
      <c r="AW10471" s="1">
        <v>23882</v>
      </c>
      <c r="AX10471">
        <v>1</v>
      </c>
    </row>
    <row r="10472" spans="1:50">
      <c r="B10472" t="str">
        <f>"054163248"</f>
        <v>054163248</v>
      </c>
      <c r="C10472" t="s">
        <v>105</v>
      </c>
      <c r="D10472" t="s">
        <v>11406</v>
      </c>
      <c r="E10472" t="s">
        <v>383</v>
      </c>
      <c r="F10472" t="s">
        <v>450</v>
      </c>
      <c r="G10472" t="s">
        <v>52</v>
      </c>
      <c r="H10472" t="str">
        <f>"ΒΡΥΣΣΩΝ 3Α ΧΑΝΙΑ"</f>
        <v>ΒΡΥΣΣΩΝ 3Α ΧΑΝΙΑ</v>
      </c>
      <c r="I10472">
        <v>73100</v>
      </c>
      <c r="J10472">
        <v>2821051913</v>
      </c>
      <c r="K10472">
        <v>6944746798</v>
      </c>
      <c r="N10472" t="s">
        <v>176</v>
      </c>
      <c r="O10472" t="s">
        <v>177</v>
      </c>
      <c r="R10472" t="s">
        <v>57</v>
      </c>
      <c r="S10472">
        <v>6</v>
      </c>
      <c r="T10472" t="s">
        <v>8675</v>
      </c>
      <c r="U10472" s="1">
        <v>43348</v>
      </c>
      <c r="V10472" t="s">
        <v>89</v>
      </c>
      <c r="W10472" t="s">
        <v>90</v>
      </c>
      <c r="X10472" t="s">
        <v>58</v>
      </c>
      <c r="Y10472">
        <v>24</v>
      </c>
      <c r="Z10472" t="s">
        <v>59</v>
      </c>
      <c r="AA10472" t="s">
        <v>59</v>
      </c>
      <c r="AB10472" t="s">
        <v>59</v>
      </c>
      <c r="AC10472" t="s">
        <v>59</v>
      </c>
      <c r="AD10472" t="s">
        <v>59</v>
      </c>
      <c r="AF10472" s="1">
        <v>43348</v>
      </c>
      <c r="AG10472" t="s">
        <v>8645</v>
      </c>
      <c r="AH10472" t="s">
        <v>8646</v>
      </c>
      <c r="AI10472" t="str">
        <f>"9500021"</f>
        <v>9500021</v>
      </c>
      <c r="AJ10472" t="s">
        <v>14054</v>
      </c>
      <c r="AK10472">
        <v>2825096298</v>
      </c>
      <c r="AL10472" t="s">
        <v>14055</v>
      </c>
      <c r="AM10472" t="s">
        <v>88</v>
      </c>
      <c r="AN10472" t="s">
        <v>6775</v>
      </c>
      <c r="AO10472" t="s">
        <v>13929</v>
      </c>
      <c r="AP10472" t="s">
        <v>14056</v>
      </c>
      <c r="AQ10472">
        <v>8</v>
      </c>
      <c r="AR10472" t="s">
        <v>89</v>
      </c>
      <c r="AS10472" t="s">
        <v>90</v>
      </c>
      <c r="AT10472" t="s">
        <v>58</v>
      </c>
      <c r="AU10472" t="s">
        <v>8673</v>
      </c>
      <c r="AV10472" t="s">
        <v>132</v>
      </c>
      <c r="AW10472" s="1">
        <v>24299</v>
      </c>
      <c r="AX10472">
        <v>1</v>
      </c>
    </row>
    <row r="10473" spans="1:50">
      <c r="A10473">
        <v>559743</v>
      </c>
      <c r="B10473" t="str">
        <f>"066847324"</f>
        <v>066847324</v>
      </c>
      <c r="C10473" t="s">
        <v>50</v>
      </c>
      <c r="D10473" t="s">
        <v>6520</v>
      </c>
      <c r="E10473" t="s">
        <v>563</v>
      </c>
      <c r="F10473" t="s">
        <v>53</v>
      </c>
      <c r="G10473" t="s">
        <v>755</v>
      </c>
      <c r="H10473" t="str">
        <f>" "</f>
        <v xml:space="preserve"> </v>
      </c>
      <c r="N10473" t="s">
        <v>1525</v>
      </c>
      <c r="O10473" t="s">
        <v>1526</v>
      </c>
      <c r="R10473" t="s">
        <v>57</v>
      </c>
      <c r="S10473">
        <v>16</v>
      </c>
      <c r="T10473">
        <v>175</v>
      </c>
      <c r="U10473" s="1">
        <v>32020</v>
      </c>
      <c r="V10473" t="s">
        <v>89</v>
      </c>
      <c r="W10473" t="s">
        <v>90</v>
      </c>
      <c r="X10473" t="s">
        <v>58</v>
      </c>
      <c r="Y10473">
        <v>25</v>
      </c>
      <c r="Z10473" t="s">
        <v>59</v>
      </c>
      <c r="AA10473" t="s">
        <v>59</v>
      </c>
      <c r="AB10473" t="s">
        <v>59</v>
      </c>
      <c r="AC10473" t="s">
        <v>59</v>
      </c>
      <c r="AD10473" t="s">
        <v>59</v>
      </c>
      <c r="AF10473" s="1">
        <v>32020</v>
      </c>
      <c r="AG10473" t="s">
        <v>8651</v>
      </c>
      <c r="AH10473" t="s">
        <v>8652</v>
      </c>
      <c r="AI10473" t="str">
        <f>"9500406"</f>
        <v>9500406</v>
      </c>
      <c r="AJ10473" t="s">
        <v>14625</v>
      </c>
      <c r="AK10473">
        <v>2821081597</v>
      </c>
      <c r="AL10473" t="s">
        <v>14626</v>
      </c>
      <c r="AM10473" t="s">
        <v>88</v>
      </c>
      <c r="AN10473" t="s">
        <v>88</v>
      </c>
      <c r="AO10473" t="s">
        <v>6748</v>
      </c>
      <c r="AP10473" t="s">
        <v>6748</v>
      </c>
      <c r="AQ10473">
        <v>2</v>
      </c>
      <c r="AR10473" t="s">
        <v>89</v>
      </c>
      <c r="AS10473" t="s">
        <v>90</v>
      </c>
      <c r="AT10473" t="s">
        <v>58</v>
      </c>
      <c r="AU10473" t="s">
        <v>68</v>
      </c>
      <c r="AV10473" t="s">
        <v>69</v>
      </c>
      <c r="AW10473" s="1">
        <v>23184</v>
      </c>
      <c r="AX10473">
        <v>1</v>
      </c>
    </row>
    <row r="10474" spans="1:50">
      <c r="A10474">
        <v>551537</v>
      </c>
      <c r="B10474" t="str">
        <f>"027330523"</f>
        <v>027330523</v>
      </c>
      <c r="C10474" t="s">
        <v>105</v>
      </c>
      <c r="D10474" t="s">
        <v>3753</v>
      </c>
      <c r="E10474" t="s">
        <v>154</v>
      </c>
      <c r="F10474" t="s">
        <v>72</v>
      </c>
      <c r="G10474" t="s">
        <v>1755</v>
      </c>
      <c r="H10474" t="str">
        <f>"ΚΑΣΤΕΛΙ ΚΙΣΑΜΟΥ ΧΑΝΙΑ"</f>
        <v>ΚΑΣΤΕΛΙ ΚΙΣΑΜΟΥ ΧΑΝΙΑ</v>
      </c>
      <c r="I10474">
        <v>73400</v>
      </c>
      <c r="J10474">
        <v>2822023454</v>
      </c>
      <c r="K10474">
        <v>6945155348</v>
      </c>
      <c r="N10474" t="s">
        <v>615</v>
      </c>
      <c r="O10474" t="s">
        <v>616</v>
      </c>
      <c r="R10474" t="s">
        <v>57</v>
      </c>
      <c r="S10474">
        <v>17</v>
      </c>
      <c r="T10474">
        <v>271</v>
      </c>
      <c r="U10474" s="1">
        <v>30923</v>
      </c>
      <c r="V10474" t="s">
        <v>89</v>
      </c>
      <c r="W10474" t="s">
        <v>90</v>
      </c>
      <c r="X10474" t="s">
        <v>58</v>
      </c>
      <c r="Y10474">
        <v>21</v>
      </c>
      <c r="Z10474" t="s">
        <v>59</v>
      </c>
      <c r="AA10474" t="s">
        <v>59</v>
      </c>
      <c r="AB10474" t="s">
        <v>59</v>
      </c>
      <c r="AC10474" t="s">
        <v>59</v>
      </c>
      <c r="AD10474" t="s">
        <v>59</v>
      </c>
      <c r="AF10474" s="1">
        <v>30929</v>
      </c>
      <c r="AG10474" t="s">
        <v>8645</v>
      </c>
      <c r="AH10474" t="s">
        <v>8646</v>
      </c>
      <c r="AI10474" t="str">
        <f>"9500191"</f>
        <v>9500191</v>
      </c>
      <c r="AJ10474" t="s">
        <v>13986</v>
      </c>
      <c r="AK10474">
        <v>2822022042</v>
      </c>
      <c r="AL10474" t="s">
        <v>13987</v>
      </c>
      <c r="AM10474" t="s">
        <v>88</v>
      </c>
      <c r="AN10474" t="s">
        <v>6744</v>
      </c>
      <c r="AO10474" t="s">
        <v>6744</v>
      </c>
      <c r="AP10474" t="s">
        <v>6744</v>
      </c>
      <c r="AQ10474">
        <v>9</v>
      </c>
      <c r="AR10474" t="s">
        <v>89</v>
      </c>
      <c r="AS10474" t="s">
        <v>90</v>
      </c>
      <c r="AT10474" t="s">
        <v>58</v>
      </c>
      <c r="AU10474" t="s">
        <v>68</v>
      </c>
      <c r="AV10474" t="s">
        <v>69</v>
      </c>
      <c r="AW10474" s="1">
        <v>22289</v>
      </c>
      <c r="AX10474">
        <v>1</v>
      </c>
    </row>
    <row r="10475" spans="1:50">
      <c r="A10475">
        <v>564806</v>
      </c>
      <c r="B10475" t="str">
        <f>"036534007"</f>
        <v>036534007</v>
      </c>
      <c r="C10475" t="s">
        <v>105</v>
      </c>
      <c r="D10475" t="s">
        <v>3753</v>
      </c>
      <c r="E10475" t="s">
        <v>2165</v>
      </c>
      <c r="F10475" t="s">
        <v>106</v>
      </c>
      <c r="G10475" t="s">
        <v>8040</v>
      </c>
      <c r="H10475" t="str">
        <f>"ΕΥΕΛΠΙΔΩΝ  10 ΧΑΝΙΑ"</f>
        <v>ΕΥΕΛΠΙΔΩΝ  10 ΧΑΝΙΑ</v>
      </c>
      <c r="I10475">
        <v>73134</v>
      </c>
      <c r="J10475">
        <v>2821057658</v>
      </c>
      <c r="K10475">
        <v>6972667190</v>
      </c>
      <c r="N10475" t="s">
        <v>615</v>
      </c>
      <c r="O10475" t="s">
        <v>616</v>
      </c>
      <c r="R10475" t="s">
        <v>57</v>
      </c>
      <c r="S10475">
        <v>14</v>
      </c>
      <c r="T10475">
        <v>161</v>
      </c>
      <c r="U10475" s="1">
        <v>33119</v>
      </c>
      <c r="V10475" t="s">
        <v>89</v>
      </c>
      <c r="W10475" t="s">
        <v>90</v>
      </c>
      <c r="X10475" t="s">
        <v>58</v>
      </c>
      <c r="Y10475">
        <v>21</v>
      </c>
      <c r="Z10475" t="s">
        <v>59</v>
      </c>
      <c r="AA10475" t="s">
        <v>59</v>
      </c>
      <c r="AB10475" t="s">
        <v>59</v>
      </c>
      <c r="AC10475" t="s">
        <v>59</v>
      </c>
      <c r="AD10475" t="s">
        <v>59</v>
      </c>
      <c r="AF10475" s="1">
        <v>33119</v>
      </c>
      <c r="AG10475" t="s">
        <v>8645</v>
      </c>
      <c r="AH10475" t="s">
        <v>8646</v>
      </c>
      <c r="AI10475" t="str">
        <f>"9500038"</f>
        <v>9500038</v>
      </c>
      <c r="AJ10475" t="s">
        <v>13899</v>
      </c>
      <c r="AK10475">
        <v>2821042407</v>
      </c>
      <c r="AL10475" t="s">
        <v>13900</v>
      </c>
      <c r="AM10475" t="s">
        <v>88</v>
      </c>
      <c r="AN10475" t="s">
        <v>88</v>
      </c>
      <c r="AO10475" t="s">
        <v>88</v>
      </c>
      <c r="AP10475" t="s">
        <v>88</v>
      </c>
      <c r="AQ10475">
        <v>1</v>
      </c>
      <c r="AR10475" t="s">
        <v>89</v>
      </c>
      <c r="AS10475" t="s">
        <v>90</v>
      </c>
      <c r="AT10475" t="s">
        <v>58</v>
      </c>
      <c r="AU10475" t="s">
        <v>68</v>
      </c>
      <c r="AV10475" t="s">
        <v>69</v>
      </c>
      <c r="AW10475" s="1">
        <v>24374</v>
      </c>
      <c r="AX10475">
        <v>1</v>
      </c>
    </row>
    <row r="10476" spans="1:50">
      <c r="A10476">
        <v>551889</v>
      </c>
      <c r="B10476" t="str">
        <f>"027491564"</f>
        <v>027491564</v>
      </c>
      <c r="C10476" t="s">
        <v>105</v>
      </c>
      <c r="D10476" t="s">
        <v>6521</v>
      </c>
      <c r="E10476" t="s">
        <v>377</v>
      </c>
      <c r="F10476" t="s">
        <v>15366</v>
      </c>
      <c r="G10476" t="s">
        <v>1108</v>
      </c>
      <c r="H10476" t="str">
        <f>"Σ.ΣΠΑΝΤΙΔΑΚΗ 28 ΧΑΝΙΑ"</f>
        <v>Σ.ΣΠΑΝΤΙΔΑΚΗ 28 ΧΑΝΙΑ</v>
      </c>
      <c r="I10476">
        <v>73100</v>
      </c>
      <c r="J10476">
        <v>2821075778</v>
      </c>
      <c r="K10476">
        <v>6945290549</v>
      </c>
      <c r="N10476" t="s">
        <v>615</v>
      </c>
      <c r="O10476" t="s">
        <v>616</v>
      </c>
      <c r="R10476" t="s">
        <v>57</v>
      </c>
      <c r="S10476">
        <v>17</v>
      </c>
      <c r="T10476">
        <v>271</v>
      </c>
      <c r="U10476" s="1">
        <v>30923</v>
      </c>
      <c r="V10476" t="s">
        <v>89</v>
      </c>
      <c r="W10476" t="s">
        <v>90</v>
      </c>
      <c r="X10476" t="s">
        <v>58</v>
      </c>
      <c r="Y10476">
        <v>21</v>
      </c>
      <c r="Z10476" t="s">
        <v>59</v>
      </c>
      <c r="AA10476" t="s">
        <v>59</v>
      </c>
      <c r="AB10476" t="s">
        <v>59</v>
      </c>
      <c r="AC10476" t="s">
        <v>59</v>
      </c>
      <c r="AD10476" t="s">
        <v>59</v>
      </c>
      <c r="AF10476" s="1">
        <v>30923</v>
      </c>
      <c r="AG10476" t="s">
        <v>8645</v>
      </c>
      <c r="AH10476" t="s">
        <v>14199</v>
      </c>
      <c r="AI10476" t="str">
        <f>"9500140"</f>
        <v>9500140</v>
      </c>
      <c r="AJ10476" t="s">
        <v>14200</v>
      </c>
      <c r="AK10476">
        <v>2821097348</v>
      </c>
      <c r="AL10476" t="s">
        <v>14201</v>
      </c>
      <c r="AM10476" t="s">
        <v>88</v>
      </c>
      <c r="AN10476" t="s">
        <v>88</v>
      </c>
      <c r="AO10476" t="s">
        <v>88</v>
      </c>
      <c r="AP10476" t="s">
        <v>88</v>
      </c>
      <c r="AQ10476">
        <v>1</v>
      </c>
      <c r="AR10476" t="s">
        <v>89</v>
      </c>
      <c r="AS10476" t="s">
        <v>90</v>
      </c>
      <c r="AT10476" t="s">
        <v>58</v>
      </c>
      <c r="AU10476" t="s">
        <v>68</v>
      </c>
      <c r="AV10476" t="s">
        <v>2039</v>
      </c>
      <c r="AW10476" s="1">
        <v>22325</v>
      </c>
      <c r="AX10476">
        <v>1</v>
      </c>
    </row>
    <row r="10477" spans="1:50">
      <c r="A10477">
        <v>618366</v>
      </c>
      <c r="B10477" t="str">
        <f>"078124997"</f>
        <v>078124997</v>
      </c>
      <c r="C10477" t="s">
        <v>50</v>
      </c>
      <c r="D10477" t="s">
        <v>15367</v>
      </c>
      <c r="E10477" t="s">
        <v>155</v>
      </c>
      <c r="F10477" t="s">
        <v>377</v>
      </c>
      <c r="G10477" t="s">
        <v>96</v>
      </c>
      <c r="H10477" t="str">
        <f>"ΠΑΖΙΝΟΣ ΑΚΡΩΤΗΡΙΟΥ ΧΑΝΙΑ"</f>
        <v>ΠΑΖΙΝΟΣ ΑΚΡΩΤΗΡΙΟΥ ΧΑΝΙΑ</v>
      </c>
      <c r="I10477">
        <v>73133</v>
      </c>
      <c r="J10477">
        <v>2821063961</v>
      </c>
      <c r="K10477">
        <v>6937101364</v>
      </c>
      <c r="N10477" t="s">
        <v>615</v>
      </c>
      <c r="O10477" t="s">
        <v>616</v>
      </c>
      <c r="R10477" t="s">
        <v>57</v>
      </c>
      <c r="S10477">
        <v>5</v>
      </c>
      <c r="T10477">
        <v>774</v>
      </c>
      <c r="U10477" s="1">
        <v>39680</v>
      </c>
      <c r="V10477" t="s">
        <v>89</v>
      </c>
      <c r="W10477" t="s">
        <v>90</v>
      </c>
      <c r="X10477" t="s">
        <v>58</v>
      </c>
      <c r="Y10477">
        <v>23</v>
      </c>
      <c r="Z10477" t="s">
        <v>59</v>
      </c>
      <c r="AA10477" t="s">
        <v>59</v>
      </c>
      <c r="AB10477" t="s">
        <v>59</v>
      </c>
      <c r="AC10477" t="s">
        <v>59</v>
      </c>
      <c r="AD10477" t="s">
        <v>59</v>
      </c>
      <c r="AF10477" s="1">
        <v>39680</v>
      </c>
      <c r="AG10477" t="s">
        <v>8645</v>
      </c>
      <c r="AH10477" t="s">
        <v>8646</v>
      </c>
      <c r="AI10477" t="str">
        <f>"9500093"</f>
        <v>9500093</v>
      </c>
      <c r="AJ10477" t="s">
        <v>13865</v>
      </c>
      <c r="AK10477">
        <v>2821064537</v>
      </c>
      <c r="AL10477" t="s">
        <v>13866</v>
      </c>
      <c r="AM10477" t="s">
        <v>88</v>
      </c>
      <c r="AN10477" t="s">
        <v>88</v>
      </c>
      <c r="AO10477" t="s">
        <v>6770</v>
      </c>
      <c r="AP10477" t="s">
        <v>6771</v>
      </c>
      <c r="AQ10477">
        <v>2</v>
      </c>
      <c r="AR10477" t="s">
        <v>89</v>
      </c>
      <c r="AS10477" t="s">
        <v>90</v>
      </c>
      <c r="AT10477" t="s">
        <v>58</v>
      </c>
      <c r="AU10477" t="s">
        <v>68</v>
      </c>
      <c r="AV10477" t="s">
        <v>69</v>
      </c>
      <c r="AW10477" s="1">
        <v>26733</v>
      </c>
      <c r="AX10477">
        <v>1</v>
      </c>
    </row>
    <row r="10478" spans="1:50">
      <c r="A10478">
        <v>703786</v>
      </c>
      <c r="B10478" t="str">
        <f>"061579822"</f>
        <v>061579822</v>
      </c>
      <c r="C10478" t="s">
        <v>50</v>
      </c>
      <c r="D10478" t="s">
        <v>15368</v>
      </c>
      <c r="E10478" t="s">
        <v>563</v>
      </c>
      <c r="F10478" t="s">
        <v>315</v>
      </c>
      <c r="G10478" t="s">
        <v>155</v>
      </c>
      <c r="H10478" t="str">
        <f>"ΔΙΑΣΠΟΡΑ,120 ΠΕΑ ΚΑΛΑΜΑΤΑ"</f>
        <v>ΔΙΑΣΠΟΡΑ,120 ΠΕΑ ΚΑΛΑΜΑΤΑ</v>
      </c>
      <c r="I10478">
        <v>24100</v>
      </c>
      <c r="J10478">
        <v>2721091786</v>
      </c>
      <c r="K10478">
        <v>6974816022</v>
      </c>
      <c r="M10478" t="s">
        <v>15369</v>
      </c>
      <c r="N10478" t="s">
        <v>1525</v>
      </c>
      <c r="O10478" t="s">
        <v>1526</v>
      </c>
      <c r="R10478" t="s">
        <v>57</v>
      </c>
      <c r="S10478">
        <v>4</v>
      </c>
      <c r="T10478">
        <v>224</v>
      </c>
      <c r="U10478" s="1">
        <v>41695</v>
      </c>
      <c r="V10478" t="s">
        <v>89</v>
      </c>
      <c r="W10478" t="s">
        <v>90</v>
      </c>
      <c r="X10478" t="s">
        <v>58</v>
      </c>
      <c r="Y10478">
        <v>25</v>
      </c>
      <c r="Z10478" t="s">
        <v>59</v>
      </c>
      <c r="AA10478" t="s">
        <v>59</v>
      </c>
      <c r="AB10478" t="s">
        <v>59</v>
      </c>
      <c r="AC10478" t="s">
        <v>59</v>
      </c>
      <c r="AD10478" t="s">
        <v>59</v>
      </c>
      <c r="AF10478" s="1">
        <v>41695</v>
      </c>
      <c r="AG10478" t="s">
        <v>8651</v>
      </c>
      <c r="AH10478" t="s">
        <v>8652</v>
      </c>
      <c r="AI10478" t="str">
        <f>"9500321"</f>
        <v>9500321</v>
      </c>
      <c r="AJ10478" t="s">
        <v>14585</v>
      </c>
      <c r="AK10478">
        <v>2825061584</v>
      </c>
      <c r="AL10478" t="s">
        <v>14586</v>
      </c>
      <c r="AM10478" t="s">
        <v>88</v>
      </c>
      <c r="AN10478" t="s">
        <v>6775</v>
      </c>
      <c r="AO10478" t="s">
        <v>13929</v>
      </c>
      <c r="AP10478" t="s">
        <v>13929</v>
      </c>
      <c r="AQ10478">
        <v>8</v>
      </c>
      <c r="AR10478" t="s">
        <v>89</v>
      </c>
      <c r="AS10478" t="s">
        <v>90</v>
      </c>
      <c r="AT10478" t="s">
        <v>58</v>
      </c>
      <c r="AU10478" t="s">
        <v>68</v>
      </c>
      <c r="AV10478" t="s">
        <v>69</v>
      </c>
      <c r="AW10478" s="1">
        <v>28512</v>
      </c>
      <c r="AX10478">
        <v>1</v>
      </c>
    </row>
    <row r="10479" spans="1:50">
      <c r="B10479" t="str">
        <f>"149612370"</f>
        <v>149612370</v>
      </c>
      <c r="C10479" t="s">
        <v>50</v>
      </c>
      <c r="D10479" t="s">
        <v>6524</v>
      </c>
      <c r="E10479" t="s">
        <v>255</v>
      </c>
      <c r="F10479" t="s">
        <v>900</v>
      </c>
      <c r="G10479" t="s">
        <v>513</v>
      </c>
      <c r="H10479" t="str">
        <f>"ΚΑΣΤΕΛΛΑΚΙΑ 61 "</f>
        <v xml:space="preserve">ΚΑΣΤΕΛΛΑΚΙΑ 61 </v>
      </c>
      <c r="I10479">
        <v>74100</v>
      </c>
      <c r="J10479">
        <v>2831026512</v>
      </c>
      <c r="K10479">
        <v>6981969908</v>
      </c>
      <c r="L10479">
        <v>6976895165</v>
      </c>
      <c r="N10479" t="s">
        <v>384</v>
      </c>
      <c r="O10479" t="s">
        <v>385</v>
      </c>
      <c r="R10479" t="s">
        <v>159</v>
      </c>
      <c r="S10479">
        <v>2</v>
      </c>
      <c r="T10479" t="s">
        <v>8675</v>
      </c>
      <c r="U10479" s="1">
        <v>43348</v>
      </c>
      <c r="V10479" t="s">
        <v>89</v>
      </c>
      <c r="W10479" t="s">
        <v>90</v>
      </c>
      <c r="X10479" t="s">
        <v>58</v>
      </c>
      <c r="Y10479">
        <v>24</v>
      </c>
      <c r="Z10479" t="s">
        <v>59</v>
      </c>
      <c r="AA10479" t="s">
        <v>59</v>
      </c>
      <c r="AB10479" t="s">
        <v>59</v>
      </c>
      <c r="AC10479" t="s">
        <v>59</v>
      </c>
      <c r="AD10479" t="s">
        <v>59</v>
      </c>
      <c r="AF10479" s="1">
        <v>43348</v>
      </c>
      <c r="AG10479" t="s">
        <v>8645</v>
      </c>
      <c r="AH10479" t="s">
        <v>8646</v>
      </c>
      <c r="AI10479" t="str">
        <f>"9520693"</f>
        <v>9520693</v>
      </c>
      <c r="AJ10479" t="s">
        <v>13913</v>
      </c>
      <c r="AK10479">
        <v>2821066910</v>
      </c>
      <c r="AL10479" t="s">
        <v>13914</v>
      </c>
      <c r="AM10479" t="s">
        <v>88</v>
      </c>
      <c r="AN10479" t="s">
        <v>88</v>
      </c>
      <c r="AO10479" t="s">
        <v>6770</v>
      </c>
      <c r="AP10479" t="s">
        <v>6771</v>
      </c>
      <c r="AQ10479">
        <v>2</v>
      </c>
      <c r="AR10479" t="s">
        <v>89</v>
      </c>
      <c r="AS10479" t="s">
        <v>90</v>
      </c>
      <c r="AT10479" t="s">
        <v>58</v>
      </c>
      <c r="AU10479" t="s">
        <v>8673</v>
      </c>
      <c r="AV10479" t="s">
        <v>132</v>
      </c>
      <c r="AW10479" s="1">
        <v>32108</v>
      </c>
      <c r="AX10479">
        <v>1</v>
      </c>
    </row>
    <row r="10480" spans="1:50">
      <c r="A10480">
        <v>582251</v>
      </c>
      <c r="B10480" t="str">
        <f>"051628733"</f>
        <v>051628733</v>
      </c>
      <c r="C10480" t="s">
        <v>50</v>
      </c>
      <c r="D10480" t="s">
        <v>3769</v>
      </c>
      <c r="E10480" t="s">
        <v>237</v>
      </c>
      <c r="F10480" t="s">
        <v>15370</v>
      </c>
      <c r="G10480" t="s">
        <v>484</v>
      </c>
      <c r="H10480" t="str">
        <f>"ΠΑΠΑΝΑΣΤΑΣΙΟΥ&amp;ΡΟΖΑΚΗΔΩΝ 1 ΧΑΝΙΑ"</f>
        <v>ΠΑΠΑΝΑΣΤΑΣΙΟΥ&amp;ΡΟΖΑΚΗΔΩΝ 1 ΧΑΝΙΑ</v>
      </c>
      <c r="I10480">
        <v>73100</v>
      </c>
      <c r="J10480">
        <v>2821027172</v>
      </c>
      <c r="K10480">
        <v>6942774166</v>
      </c>
      <c r="N10480" t="s">
        <v>615</v>
      </c>
      <c r="O10480" t="s">
        <v>616</v>
      </c>
      <c r="R10480" t="s">
        <v>57</v>
      </c>
      <c r="S10480">
        <v>12</v>
      </c>
      <c r="T10480">
        <v>179</v>
      </c>
      <c r="U10480" s="1">
        <v>35674</v>
      </c>
      <c r="V10480" t="s">
        <v>89</v>
      </c>
      <c r="W10480" t="s">
        <v>90</v>
      </c>
      <c r="X10480" t="s">
        <v>58</v>
      </c>
      <c r="Y10480">
        <v>21</v>
      </c>
      <c r="Z10480" t="s">
        <v>59</v>
      </c>
      <c r="AA10480" t="s">
        <v>59</v>
      </c>
      <c r="AB10480" t="s">
        <v>59</v>
      </c>
      <c r="AC10480" t="s">
        <v>59</v>
      </c>
      <c r="AD10480" t="s">
        <v>59</v>
      </c>
      <c r="AF10480" s="1">
        <v>35674</v>
      </c>
      <c r="AG10480" t="s">
        <v>8645</v>
      </c>
      <c r="AH10480" t="s">
        <v>8646</v>
      </c>
      <c r="AI10480" t="str">
        <f>"9500040"</f>
        <v>9500040</v>
      </c>
      <c r="AJ10480" t="s">
        <v>13906</v>
      </c>
      <c r="AK10480">
        <v>2821045356</v>
      </c>
      <c r="AL10480" t="s">
        <v>13907</v>
      </c>
      <c r="AM10480" t="s">
        <v>88</v>
      </c>
      <c r="AN10480" t="s">
        <v>88</v>
      </c>
      <c r="AO10480" t="s">
        <v>88</v>
      </c>
      <c r="AP10480" t="s">
        <v>88</v>
      </c>
      <c r="AQ10480">
        <v>1</v>
      </c>
      <c r="AR10480" t="s">
        <v>89</v>
      </c>
      <c r="AS10480" t="s">
        <v>90</v>
      </c>
      <c r="AT10480" t="s">
        <v>58</v>
      </c>
      <c r="AU10480" t="s">
        <v>68</v>
      </c>
      <c r="AV10480" t="s">
        <v>69</v>
      </c>
      <c r="AW10480" s="1">
        <v>24392</v>
      </c>
      <c r="AX10480">
        <v>1</v>
      </c>
    </row>
    <row r="10481" spans="1:50">
      <c r="A10481">
        <v>561471</v>
      </c>
      <c r="B10481" t="str">
        <f>"101576641"</f>
        <v>101576641</v>
      </c>
      <c r="C10481" t="s">
        <v>50</v>
      </c>
      <c r="D10481" t="s">
        <v>3769</v>
      </c>
      <c r="E10481" t="s">
        <v>610</v>
      </c>
      <c r="F10481" t="s">
        <v>5394</v>
      </c>
      <c r="G10481" t="s">
        <v>263</v>
      </c>
      <c r="H10481" t="str">
        <f>"ΥΡΤΑΚΙΝΑΣ 8 ΧΑΝΙΑ"</f>
        <v>ΥΡΤΑΚΙΝΑΣ 8 ΧΑΝΙΑ</v>
      </c>
      <c r="I10481">
        <v>73136</v>
      </c>
      <c r="J10481">
        <v>2821076557</v>
      </c>
      <c r="K10481">
        <v>6944180731</v>
      </c>
      <c r="N10481" t="s">
        <v>615</v>
      </c>
      <c r="O10481" t="s">
        <v>616</v>
      </c>
      <c r="R10481" t="s">
        <v>57</v>
      </c>
      <c r="S10481">
        <v>16</v>
      </c>
      <c r="T10481">
        <v>159</v>
      </c>
      <c r="U10481" s="1">
        <v>32385</v>
      </c>
      <c r="V10481" t="s">
        <v>89</v>
      </c>
      <c r="W10481" t="s">
        <v>90</v>
      </c>
      <c r="X10481" t="s">
        <v>58</v>
      </c>
      <c r="Y10481">
        <v>21</v>
      </c>
      <c r="Z10481" t="s">
        <v>59</v>
      </c>
      <c r="AA10481" t="s">
        <v>59</v>
      </c>
      <c r="AB10481" t="s">
        <v>59</v>
      </c>
      <c r="AC10481" t="s">
        <v>59</v>
      </c>
      <c r="AD10481" t="s">
        <v>59</v>
      </c>
      <c r="AF10481" s="1">
        <v>32385</v>
      </c>
      <c r="AG10481" t="s">
        <v>8645</v>
      </c>
      <c r="AH10481" t="s">
        <v>8646</v>
      </c>
      <c r="AI10481" t="str">
        <f>"9500314"</f>
        <v>9500314</v>
      </c>
      <c r="AJ10481" t="s">
        <v>14116</v>
      </c>
      <c r="AK10481">
        <v>2821097640</v>
      </c>
      <c r="AL10481" t="s">
        <v>14117</v>
      </c>
      <c r="AM10481" t="s">
        <v>88</v>
      </c>
      <c r="AN10481" t="s">
        <v>88</v>
      </c>
      <c r="AO10481" t="s">
        <v>88</v>
      </c>
      <c r="AP10481" t="s">
        <v>88</v>
      </c>
      <c r="AQ10481">
        <v>1</v>
      </c>
      <c r="AR10481" t="s">
        <v>89</v>
      </c>
      <c r="AS10481" t="s">
        <v>90</v>
      </c>
      <c r="AT10481" t="s">
        <v>58</v>
      </c>
      <c r="AU10481" t="s">
        <v>68</v>
      </c>
      <c r="AV10481" t="s">
        <v>69</v>
      </c>
      <c r="AW10481" s="1">
        <v>23816</v>
      </c>
      <c r="AX10481">
        <v>1</v>
      </c>
    </row>
    <row r="10482" spans="1:50">
      <c r="A10482">
        <v>604202</v>
      </c>
      <c r="B10482" t="str">
        <f>"101699917"</f>
        <v>101699917</v>
      </c>
      <c r="C10482" t="s">
        <v>50</v>
      </c>
      <c r="D10482" t="s">
        <v>6530</v>
      </c>
      <c r="E10482" t="s">
        <v>476</v>
      </c>
      <c r="F10482" t="s">
        <v>309</v>
      </c>
      <c r="G10482" t="s">
        <v>1484</v>
      </c>
      <c r="H10482" t="str">
        <f>"ΠΑΡ.ΜΕΛΙΔΟΝΙΟΥ ΚΑΤΩ ΔΑΡΑΤΣΟ ΧΑΝΙΩΝ"</f>
        <v>ΠΑΡ.ΜΕΛΙΔΟΝΙΟΥ ΚΑΤΩ ΔΑΡΑΤΣΟ ΧΑΝΙΩΝ</v>
      </c>
      <c r="I10482">
        <v>73100</v>
      </c>
      <c r="J10482">
        <v>2109767694</v>
      </c>
      <c r="K10482">
        <v>6977960008</v>
      </c>
      <c r="L10482">
        <v>2821033819</v>
      </c>
      <c r="N10482" t="s">
        <v>615</v>
      </c>
      <c r="O10482" t="s">
        <v>616</v>
      </c>
      <c r="R10482" t="s">
        <v>57</v>
      </c>
      <c r="S10482">
        <v>10</v>
      </c>
      <c r="T10482">
        <v>231</v>
      </c>
      <c r="U10482" s="1">
        <v>38230</v>
      </c>
      <c r="V10482" t="s">
        <v>89</v>
      </c>
      <c r="W10482" t="s">
        <v>90</v>
      </c>
      <c r="X10482" t="s">
        <v>58</v>
      </c>
      <c r="Y10482">
        <v>22</v>
      </c>
      <c r="Z10482" t="s">
        <v>59</v>
      </c>
      <c r="AA10482" t="s">
        <v>59</v>
      </c>
      <c r="AB10482" t="s">
        <v>59</v>
      </c>
      <c r="AC10482" t="s">
        <v>59</v>
      </c>
      <c r="AD10482" t="s">
        <v>59</v>
      </c>
      <c r="AF10482" s="1">
        <v>38230</v>
      </c>
      <c r="AG10482" t="s">
        <v>8645</v>
      </c>
      <c r="AH10482" t="s">
        <v>8646</v>
      </c>
      <c r="AI10482" t="str">
        <f>"9500403"</f>
        <v>9500403</v>
      </c>
      <c r="AJ10482" t="s">
        <v>14230</v>
      </c>
      <c r="AK10482">
        <v>2821034094</v>
      </c>
      <c r="AL10482" t="s">
        <v>14231</v>
      </c>
      <c r="AM10482" t="s">
        <v>88</v>
      </c>
      <c r="AN10482" t="s">
        <v>88</v>
      </c>
      <c r="AO10482" t="s">
        <v>6785</v>
      </c>
      <c r="AP10482" t="s">
        <v>13932</v>
      </c>
      <c r="AQ10482">
        <v>3</v>
      </c>
      <c r="AR10482" t="s">
        <v>89</v>
      </c>
      <c r="AS10482" t="s">
        <v>90</v>
      </c>
      <c r="AT10482" t="s">
        <v>58</v>
      </c>
      <c r="AU10482" t="s">
        <v>68</v>
      </c>
      <c r="AV10482" t="s">
        <v>69</v>
      </c>
      <c r="AW10482" s="1">
        <v>27042</v>
      </c>
      <c r="AX10482">
        <v>1</v>
      </c>
    </row>
    <row r="10483" spans="1:50">
      <c r="B10483" t="str">
        <f>"144232611"</f>
        <v>144232611</v>
      </c>
      <c r="C10483" t="s">
        <v>50</v>
      </c>
      <c r="D10483" t="s">
        <v>6530</v>
      </c>
      <c r="E10483" t="s">
        <v>476</v>
      </c>
      <c r="F10483" t="s">
        <v>1392</v>
      </c>
      <c r="G10483" t="s">
        <v>14841</v>
      </c>
      <c r="H10483" t="str">
        <f>"ΑΝΔΡΕΑ ΚΑΛΒΟΥ 18 "</f>
        <v xml:space="preserve">ΑΝΔΡΕΑ ΚΑΛΒΟΥ 18 </v>
      </c>
      <c r="I10483">
        <v>66100</v>
      </c>
      <c r="J10483">
        <v>2521027918</v>
      </c>
      <c r="K10483">
        <v>6939353325</v>
      </c>
      <c r="N10483" t="s">
        <v>8834</v>
      </c>
      <c r="O10483" t="s">
        <v>8695</v>
      </c>
      <c r="R10483" t="s">
        <v>159</v>
      </c>
      <c r="S10483">
        <v>4</v>
      </c>
      <c r="T10483" t="s">
        <v>8835</v>
      </c>
      <c r="U10483" s="1">
        <v>43348</v>
      </c>
      <c r="V10483" t="s">
        <v>89</v>
      </c>
      <c r="W10483" t="s">
        <v>90</v>
      </c>
      <c r="X10483" t="s">
        <v>58</v>
      </c>
      <c r="Y10483">
        <v>24</v>
      </c>
      <c r="Z10483" t="s">
        <v>59</v>
      </c>
      <c r="AA10483" t="s">
        <v>59</v>
      </c>
      <c r="AB10483" t="s">
        <v>59</v>
      </c>
      <c r="AC10483" t="s">
        <v>59</v>
      </c>
      <c r="AD10483" t="s">
        <v>59</v>
      </c>
      <c r="AF10483" s="1">
        <v>43348</v>
      </c>
      <c r="AG10483" t="s">
        <v>8645</v>
      </c>
      <c r="AH10483" t="s">
        <v>8646</v>
      </c>
      <c r="AI10483" t="str">
        <f>"9500006"</f>
        <v>9500006</v>
      </c>
      <c r="AJ10483" t="s">
        <v>14060</v>
      </c>
      <c r="AK10483">
        <v>2825051220</v>
      </c>
      <c r="AL10483" t="s">
        <v>14061</v>
      </c>
      <c r="AM10483" t="s">
        <v>88</v>
      </c>
      <c r="AN10483" t="s">
        <v>6775</v>
      </c>
      <c r="AO10483" t="s">
        <v>6781</v>
      </c>
      <c r="AP10483" t="s">
        <v>6782</v>
      </c>
      <c r="AQ10483">
        <v>8</v>
      </c>
      <c r="AR10483" t="s">
        <v>89</v>
      </c>
      <c r="AS10483" t="s">
        <v>90</v>
      </c>
      <c r="AT10483" t="s">
        <v>58</v>
      </c>
      <c r="AU10483" t="s">
        <v>131</v>
      </c>
      <c r="AV10483" t="s">
        <v>132</v>
      </c>
      <c r="AW10483" s="1">
        <v>32303</v>
      </c>
      <c r="AX10483">
        <v>1</v>
      </c>
    </row>
    <row r="10484" spans="1:50">
      <c r="A10484">
        <v>585130</v>
      </c>
      <c r="B10484" t="str">
        <f>"038202186"</f>
        <v>038202186</v>
      </c>
      <c r="C10484" t="s">
        <v>105</v>
      </c>
      <c r="D10484" t="s">
        <v>6533</v>
      </c>
      <c r="E10484" t="s">
        <v>99</v>
      </c>
      <c r="F10484" t="s">
        <v>72</v>
      </c>
      <c r="G10484" t="s">
        <v>54</v>
      </c>
      <c r="H10484" t="str">
        <f>"BAHNHOFSTRASSE 74 KORNWESTHEIM GERMANY"</f>
        <v>BAHNHOFSTRASSE 74 KORNWESTHEIM GERMANY</v>
      </c>
      <c r="I10484">
        <v>70806</v>
      </c>
      <c r="J10484">
        <v>497154801461</v>
      </c>
      <c r="K10484">
        <v>4917682104241</v>
      </c>
      <c r="L10484">
        <v>2821066980</v>
      </c>
      <c r="N10484" t="s">
        <v>615</v>
      </c>
      <c r="O10484" t="s">
        <v>616</v>
      </c>
      <c r="R10484" t="s">
        <v>57</v>
      </c>
      <c r="S10484">
        <v>11</v>
      </c>
      <c r="T10484">
        <v>165</v>
      </c>
      <c r="U10484" s="1">
        <v>36040</v>
      </c>
      <c r="V10484" t="s">
        <v>89</v>
      </c>
      <c r="W10484" t="s">
        <v>90</v>
      </c>
      <c r="X10484" t="s">
        <v>58</v>
      </c>
      <c r="Y10484">
        <v>21</v>
      </c>
      <c r="Z10484" t="s">
        <v>59</v>
      </c>
      <c r="AA10484" t="s">
        <v>59</v>
      </c>
      <c r="AB10484" t="s">
        <v>59</v>
      </c>
      <c r="AC10484" t="s">
        <v>59</v>
      </c>
      <c r="AD10484" t="s">
        <v>59</v>
      </c>
      <c r="AF10484" s="1">
        <v>36042</v>
      </c>
      <c r="AG10484" t="s">
        <v>8645</v>
      </c>
      <c r="AH10484" t="s">
        <v>8646</v>
      </c>
      <c r="AI10484" t="str">
        <f>"9500093"</f>
        <v>9500093</v>
      </c>
      <c r="AJ10484" t="s">
        <v>13865</v>
      </c>
      <c r="AK10484">
        <v>2821064537</v>
      </c>
      <c r="AL10484" t="s">
        <v>13866</v>
      </c>
      <c r="AM10484" t="s">
        <v>88</v>
      </c>
      <c r="AN10484" t="s">
        <v>88</v>
      </c>
      <c r="AO10484" t="s">
        <v>6770</v>
      </c>
      <c r="AP10484" t="s">
        <v>6771</v>
      </c>
      <c r="AQ10484">
        <v>2</v>
      </c>
      <c r="AR10484" t="s">
        <v>89</v>
      </c>
      <c r="AS10484" t="s">
        <v>90</v>
      </c>
      <c r="AT10484" t="s">
        <v>58</v>
      </c>
      <c r="AU10484" t="s">
        <v>68</v>
      </c>
      <c r="AV10484" t="s">
        <v>69</v>
      </c>
      <c r="AW10484" s="1">
        <v>24380</v>
      </c>
      <c r="AX10484">
        <v>1</v>
      </c>
    </row>
    <row r="10485" spans="1:50">
      <c r="A10485">
        <v>582046</v>
      </c>
      <c r="B10485" t="str">
        <f>"037621660"</f>
        <v>037621660</v>
      </c>
      <c r="C10485" t="s">
        <v>105</v>
      </c>
      <c r="D10485" t="s">
        <v>15371</v>
      </c>
      <c r="E10485" t="s">
        <v>558</v>
      </c>
      <c r="F10485" t="s">
        <v>53</v>
      </c>
      <c r="G10485" t="s">
        <v>73</v>
      </c>
      <c r="H10485" t="str">
        <f>"ΓΑΒΑΛΟΧΩΡΙ ΧΑΝΙΑ"</f>
        <v>ΓΑΒΑΛΟΧΩΡΙ ΧΑΝΙΑ</v>
      </c>
      <c r="I10485">
        <v>73008</v>
      </c>
      <c r="J10485">
        <v>2825023081</v>
      </c>
      <c r="K10485">
        <v>6944690392</v>
      </c>
      <c r="N10485" t="s">
        <v>615</v>
      </c>
      <c r="O10485" t="s">
        <v>616</v>
      </c>
      <c r="R10485" t="s">
        <v>57</v>
      </c>
      <c r="S10485">
        <v>11</v>
      </c>
      <c r="T10485">
        <v>179</v>
      </c>
      <c r="U10485" s="1">
        <v>35676</v>
      </c>
      <c r="V10485" t="s">
        <v>89</v>
      </c>
      <c r="W10485" t="s">
        <v>90</v>
      </c>
      <c r="X10485" t="s">
        <v>58</v>
      </c>
      <c r="Y10485">
        <v>21</v>
      </c>
      <c r="Z10485" t="s">
        <v>59</v>
      </c>
      <c r="AA10485" t="s">
        <v>59</v>
      </c>
      <c r="AB10485" t="s">
        <v>59</v>
      </c>
      <c r="AC10485" t="s">
        <v>59</v>
      </c>
      <c r="AD10485" t="s">
        <v>59</v>
      </c>
      <c r="AF10485" s="1">
        <v>35676</v>
      </c>
      <c r="AG10485" t="s">
        <v>8645</v>
      </c>
      <c r="AH10485" t="s">
        <v>8646</v>
      </c>
      <c r="AI10485" t="str">
        <f>"9500004"</f>
        <v>9500004</v>
      </c>
      <c r="AJ10485" t="s">
        <v>13897</v>
      </c>
      <c r="AK10485">
        <v>2825022272</v>
      </c>
      <c r="AL10485" t="s">
        <v>13898</v>
      </c>
      <c r="AM10485" t="s">
        <v>88</v>
      </c>
      <c r="AN10485" t="s">
        <v>6775</v>
      </c>
      <c r="AO10485" t="s">
        <v>6776</v>
      </c>
      <c r="AP10485" t="s">
        <v>6776</v>
      </c>
      <c r="AQ10485">
        <v>7</v>
      </c>
      <c r="AR10485" t="s">
        <v>89</v>
      </c>
      <c r="AS10485" t="s">
        <v>90</v>
      </c>
      <c r="AT10485" t="s">
        <v>58</v>
      </c>
      <c r="AU10485" t="s">
        <v>68</v>
      </c>
      <c r="AV10485" t="s">
        <v>69</v>
      </c>
      <c r="AW10485" s="1">
        <v>22822</v>
      </c>
      <c r="AX10485">
        <v>1</v>
      </c>
    </row>
    <row r="10486" spans="1:50">
      <c r="A10486">
        <v>579989</v>
      </c>
      <c r="B10486" t="str">
        <f>"113197970"</f>
        <v>113197970</v>
      </c>
      <c r="C10486" t="s">
        <v>50</v>
      </c>
      <c r="D10486" t="s">
        <v>15372</v>
      </c>
      <c r="E10486" t="s">
        <v>529</v>
      </c>
      <c r="F10486" t="s">
        <v>95</v>
      </c>
      <c r="G10486" t="s">
        <v>15373</v>
      </c>
      <c r="H10486" t="str">
        <f>" "</f>
        <v xml:space="preserve"> </v>
      </c>
      <c r="N10486" t="s">
        <v>1525</v>
      </c>
      <c r="O10486" t="s">
        <v>1526</v>
      </c>
      <c r="R10486" t="s">
        <v>57</v>
      </c>
      <c r="S10486">
        <v>13</v>
      </c>
      <c r="T10486">
        <v>165</v>
      </c>
      <c r="U10486" s="1">
        <v>35300</v>
      </c>
      <c r="V10486" t="s">
        <v>89</v>
      </c>
      <c r="W10486" t="s">
        <v>90</v>
      </c>
      <c r="X10486" t="s">
        <v>58</v>
      </c>
      <c r="Y10486">
        <v>25</v>
      </c>
      <c r="Z10486" t="s">
        <v>59</v>
      </c>
      <c r="AA10486" t="s">
        <v>59</v>
      </c>
      <c r="AB10486" t="s">
        <v>59</v>
      </c>
      <c r="AC10486" t="s">
        <v>59</v>
      </c>
      <c r="AD10486" t="s">
        <v>59</v>
      </c>
      <c r="AF10486" s="1">
        <v>35310</v>
      </c>
      <c r="AG10486" t="s">
        <v>8651</v>
      </c>
      <c r="AH10486" t="s">
        <v>8652</v>
      </c>
      <c r="AI10486" t="str">
        <f>"9500401"</f>
        <v>9500401</v>
      </c>
      <c r="AJ10486" t="s">
        <v>14791</v>
      </c>
      <c r="AK10486">
        <v>2821097774</v>
      </c>
      <c r="AL10486" t="s">
        <v>14792</v>
      </c>
      <c r="AM10486" t="s">
        <v>88</v>
      </c>
      <c r="AN10486" t="s">
        <v>88</v>
      </c>
      <c r="AO10486" t="s">
        <v>88</v>
      </c>
      <c r="AP10486" t="s">
        <v>88</v>
      </c>
      <c r="AQ10486">
        <v>1</v>
      </c>
      <c r="AR10486" t="s">
        <v>89</v>
      </c>
      <c r="AS10486" t="s">
        <v>90</v>
      </c>
      <c r="AT10486" t="s">
        <v>58</v>
      </c>
      <c r="AU10486" t="s">
        <v>68</v>
      </c>
      <c r="AV10486" t="s">
        <v>69</v>
      </c>
      <c r="AW10486" s="1">
        <v>23753</v>
      </c>
      <c r="AX10486">
        <v>1</v>
      </c>
    </row>
    <row r="10487" spans="1:50">
      <c r="B10487" t="str">
        <f>"152165514"</f>
        <v>152165514</v>
      </c>
      <c r="C10487" t="s">
        <v>50</v>
      </c>
      <c r="D10487" t="s">
        <v>6538</v>
      </c>
      <c r="E10487" t="s">
        <v>155</v>
      </c>
      <c r="F10487" t="s">
        <v>4327</v>
      </c>
      <c r="G10487" t="s">
        <v>15374</v>
      </c>
      <c r="H10487" t="str">
        <f>"ΠΥΡΓΟΣ ΤΡΙΦΥΛΙΑΣ-ΜΕΣΣΗΝΙΑ "</f>
        <v xml:space="preserve">ΠΥΡΓΟΣ ΤΡΙΦΥΛΙΑΣ-ΜΕΣΣΗΝΙΑ </v>
      </c>
      <c r="I10487">
        <v>24400</v>
      </c>
      <c r="J10487">
        <v>2763041482</v>
      </c>
      <c r="K10487">
        <v>6944794728</v>
      </c>
      <c r="N10487" t="s">
        <v>615</v>
      </c>
      <c r="O10487" t="s">
        <v>616</v>
      </c>
      <c r="R10487" t="s">
        <v>159</v>
      </c>
      <c r="S10487">
        <v>2</v>
      </c>
      <c r="T10487" t="s">
        <v>8675</v>
      </c>
      <c r="U10487" s="1">
        <v>43348</v>
      </c>
      <c r="V10487" t="s">
        <v>89</v>
      </c>
      <c r="W10487" t="s">
        <v>90</v>
      </c>
      <c r="X10487" t="s">
        <v>58</v>
      </c>
      <c r="Y10487">
        <v>25</v>
      </c>
      <c r="Z10487" t="s">
        <v>59</v>
      </c>
      <c r="AA10487" t="s">
        <v>59</v>
      </c>
      <c r="AB10487" t="s">
        <v>59</v>
      </c>
      <c r="AC10487" t="s">
        <v>59</v>
      </c>
      <c r="AD10487" t="s">
        <v>59</v>
      </c>
      <c r="AF10487" s="1">
        <v>43348</v>
      </c>
      <c r="AG10487" t="s">
        <v>8645</v>
      </c>
      <c r="AH10487" t="s">
        <v>8676</v>
      </c>
      <c r="AI10487" t="str">
        <f>"9500052"</f>
        <v>9500052</v>
      </c>
      <c r="AJ10487" t="s">
        <v>15375</v>
      </c>
      <c r="AK10487">
        <v>2825091172</v>
      </c>
      <c r="AL10487" t="s">
        <v>15376</v>
      </c>
      <c r="AM10487" t="s">
        <v>88</v>
      </c>
      <c r="AN10487" t="s">
        <v>6995</v>
      </c>
      <c r="AO10487" t="s">
        <v>6995</v>
      </c>
      <c r="AP10487" t="s">
        <v>8796</v>
      </c>
      <c r="AQ10487">
        <v>10</v>
      </c>
      <c r="AR10487" t="s">
        <v>89</v>
      </c>
      <c r="AS10487" t="s">
        <v>90</v>
      </c>
      <c r="AT10487" t="s">
        <v>58</v>
      </c>
      <c r="AU10487" t="s">
        <v>8673</v>
      </c>
      <c r="AV10487" t="s">
        <v>132</v>
      </c>
      <c r="AW10487" s="1">
        <v>32338</v>
      </c>
      <c r="AX10487">
        <v>1</v>
      </c>
    </row>
    <row r="10488" spans="1:50">
      <c r="A10488">
        <v>595157</v>
      </c>
      <c r="B10488" t="str">
        <f>"062480635"</f>
        <v>062480635</v>
      </c>
      <c r="C10488" t="s">
        <v>50</v>
      </c>
      <c r="D10488" t="s">
        <v>6538</v>
      </c>
      <c r="E10488" t="s">
        <v>112</v>
      </c>
      <c r="F10488" t="s">
        <v>95</v>
      </c>
      <c r="G10488" t="s">
        <v>71</v>
      </c>
      <c r="H10488" t="str">
        <f>"ΚΡΗΤΗΣ 28Α ΘΕΣΣΑΛΟΝΙΚΗ"</f>
        <v>ΚΡΗΤΗΣ 28Α ΘΕΣΣΑΛΟΝΙΚΗ</v>
      </c>
      <c r="I10488">
        <v>57019</v>
      </c>
      <c r="J10488">
        <v>2392026672</v>
      </c>
      <c r="K10488">
        <v>6947824039</v>
      </c>
      <c r="N10488" t="s">
        <v>615</v>
      </c>
      <c r="O10488" t="s">
        <v>616</v>
      </c>
      <c r="R10488" t="s">
        <v>57</v>
      </c>
      <c r="S10488">
        <v>8</v>
      </c>
      <c r="T10488">
        <v>218</v>
      </c>
      <c r="U10488" s="1">
        <v>37134</v>
      </c>
      <c r="V10488" t="s">
        <v>89</v>
      </c>
      <c r="W10488" t="s">
        <v>90</v>
      </c>
      <c r="X10488" t="s">
        <v>58</v>
      </c>
      <c r="Y10488">
        <v>25</v>
      </c>
      <c r="Z10488" t="s">
        <v>59</v>
      </c>
      <c r="AA10488" t="s">
        <v>59</v>
      </c>
      <c r="AB10488" t="s">
        <v>59</v>
      </c>
      <c r="AC10488" t="s">
        <v>59</v>
      </c>
      <c r="AD10488" t="s">
        <v>59</v>
      </c>
      <c r="AF10488" s="1">
        <v>37134</v>
      </c>
      <c r="AG10488" t="s">
        <v>8645</v>
      </c>
      <c r="AH10488" t="s">
        <v>8646</v>
      </c>
      <c r="AI10488" t="str">
        <f>"9500160"</f>
        <v>9500160</v>
      </c>
      <c r="AJ10488" t="s">
        <v>14486</v>
      </c>
      <c r="AK10488">
        <v>2821062458</v>
      </c>
      <c r="AL10488" t="s">
        <v>14487</v>
      </c>
      <c r="AM10488" t="s">
        <v>88</v>
      </c>
      <c r="AN10488" t="s">
        <v>6764</v>
      </c>
      <c r="AO10488" t="s">
        <v>6764</v>
      </c>
      <c r="AP10488" t="s">
        <v>14488</v>
      </c>
      <c r="AQ10488">
        <v>5</v>
      </c>
      <c r="AR10488" t="s">
        <v>89</v>
      </c>
      <c r="AS10488" t="s">
        <v>90</v>
      </c>
      <c r="AT10488" t="s">
        <v>58</v>
      </c>
      <c r="AU10488" t="s">
        <v>68</v>
      </c>
      <c r="AV10488" t="s">
        <v>69</v>
      </c>
      <c r="AW10488" s="1">
        <v>27300</v>
      </c>
      <c r="AX10488">
        <v>1</v>
      </c>
    </row>
    <row r="10489" spans="1:50">
      <c r="A10489">
        <v>614992</v>
      </c>
      <c r="B10489" t="str">
        <f>"146854690"</f>
        <v>146854690</v>
      </c>
      <c r="C10489" t="s">
        <v>50</v>
      </c>
      <c r="D10489" t="s">
        <v>6538</v>
      </c>
      <c r="E10489" t="s">
        <v>340</v>
      </c>
      <c r="F10489" t="s">
        <v>5833</v>
      </c>
      <c r="G10489" t="s">
        <v>155</v>
      </c>
      <c r="H10489" t="str">
        <f>"1η ΠΑΡ. ΝΕΡΟΚΟΥΡΟΥ 27 ΧΑΝΙΑ"</f>
        <v>1η ΠΑΡ. ΝΕΡΟΚΟΥΡΟΥ 27 ΧΑΝΙΑ</v>
      </c>
      <c r="I10489">
        <v>73100</v>
      </c>
      <c r="J10489">
        <v>2623091477</v>
      </c>
      <c r="K10489">
        <v>6970016058</v>
      </c>
      <c r="L10489">
        <v>2821092403</v>
      </c>
      <c r="N10489" t="s">
        <v>615</v>
      </c>
      <c r="O10489" t="s">
        <v>616</v>
      </c>
      <c r="R10489" t="s">
        <v>57</v>
      </c>
      <c r="S10489">
        <v>5</v>
      </c>
      <c r="T10489">
        <v>598</v>
      </c>
      <c r="U10489" s="1">
        <v>39310</v>
      </c>
      <c r="V10489" t="s">
        <v>89</v>
      </c>
      <c r="W10489" t="s">
        <v>90</v>
      </c>
      <c r="X10489" t="s">
        <v>58</v>
      </c>
      <c r="Y10489">
        <v>23</v>
      </c>
      <c r="Z10489" t="s">
        <v>59</v>
      </c>
      <c r="AA10489" t="s">
        <v>59</v>
      </c>
      <c r="AB10489" t="s">
        <v>59</v>
      </c>
      <c r="AC10489" t="s">
        <v>59</v>
      </c>
      <c r="AD10489" t="s">
        <v>59</v>
      </c>
      <c r="AF10489" s="1">
        <v>39328</v>
      </c>
      <c r="AG10489" t="s">
        <v>8645</v>
      </c>
      <c r="AH10489" t="s">
        <v>8646</v>
      </c>
      <c r="AI10489" t="str">
        <f>"9500070"</f>
        <v>9500070</v>
      </c>
      <c r="AJ10489" t="s">
        <v>14221</v>
      </c>
      <c r="AK10489">
        <v>2821095817</v>
      </c>
      <c r="AL10489" t="s">
        <v>14222</v>
      </c>
      <c r="AM10489" t="s">
        <v>88</v>
      </c>
      <c r="AN10489" t="s">
        <v>88</v>
      </c>
      <c r="AO10489" t="s">
        <v>88</v>
      </c>
      <c r="AP10489" t="s">
        <v>88</v>
      </c>
      <c r="AQ10489">
        <v>1</v>
      </c>
      <c r="AR10489" t="s">
        <v>89</v>
      </c>
      <c r="AS10489" t="s">
        <v>90</v>
      </c>
      <c r="AT10489" t="s">
        <v>58</v>
      </c>
      <c r="AU10489" t="s">
        <v>68</v>
      </c>
      <c r="AV10489" t="s">
        <v>69</v>
      </c>
      <c r="AW10489" s="1">
        <v>30938</v>
      </c>
      <c r="AX10489">
        <v>1</v>
      </c>
    </row>
    <row r="10490" spans="1:50">
      <c r="A10490">
        <v>224004</v>
      </c>
      <c r="B10490" t="str">
        <f>"100604345"</f>
        <v>100604345</v>
      </c>
      <c r="C10490" t="s">
        <v>50</v>
      </c>
      <c r="D10490" t="s">
        <v>3788</v>
      </c>
      <c r="E10490" t="s">
        <v>237</v>
      </c>
      <c r="F10490" t="s">
        <v>6162</v>
      </c>
      <c r="G10490" t="s">
        <v>931</v>
      </c>
      <c r="H10490" t="str">
        <f>"ΓΑΛΑΤΑΣ Ν. ΚΥΔΩΝΙΑΣ "</f>
        <v xml:space="preserve">ΓΑΛΑΤΑΣ Ν. ΚΥΔΩΝΙΑΣ </v>
      </c>
      <c r="I10490">
        <v>73100</v>
      </c>
      <c r="J10490">
        <v>2821031256</v>
      </c>
      <c r="K10490">
        <v>6946272211</v>
      </c>
      <c r="L10490">
        <v>2821009094</v>
      </c>
      <c r="N10490" t="s">
        <v>478</v>
      </c>
      <c r="O10490" t="s">
        <v>479</v>
      </c>
      <c r="R10490" t="s">
        <v>57</v>
      </c>
      <c r="S10490">
        <v>10</v>
      </c>
      <c r="T10490">
        <v>775</v>
      </c>
      <c r="U10490" s="1">
        <v>39680</v>
      </c>
      <c r="V10490" t="s">
        <v>89</v>
      </c>
      <c r="W10490" t="s">
        <v>90</v>
      </c>
      <c r="X10490" t="s">
        <v>58</v>
      </c>
      <c r="Y10490">
        <v>22</v>
      </c>
      <c r="Z10490" t="s">
        <v>59</v>
      </c>
      <c r="AA10490" t="s">
        <v>59</v>
      </c>
      <c r="AB10490" t="s">
        <v>59</v>
      </c>
      <c r="AC10490" t="s">
        <v>59</v>
      </c>
      <c r="AD10490" t="s">
        <v>59</v>
      </c>
      <c r="AF10490" s="1">
        <v>39685</v>
      </c>
      <c r="AG10490" t="s">
        <v>8645</v>
      </c>
      <c r="AH10490" t="s">
        <v>8646</v>
      </c>
      <c r="AI10490" t="str">
        <f>"9520693"</f>
        <v>9520693</v>
      </c>
      <c r="AJ10490" t="s">
        <v>13913</v>
      </c>
      <c r="AK10490">
        <v>2821066910</v>
      </c>
      <c r="AL10490" t="s">
        <v>13914</v>
      </c>
      <c r="AM10490" t="s">
        <v>88</v>
      </c>
      <c r="AN10490" t="s">
        <v>88</v>
      </c>
      <c r="AO10490" t="s">
        <v>6770</v>
      </c>
      <c r="AP10490" t="s">
        <v>6771</v>
      </c>
      <c r="AQ10490">
        <v>2</v>
      </c>
      <c r="AR10490" t="s">
        <v>89</v>
      </c>
      <c r="AS10490" t="s">
        <v>90</v>
      </c>
      <c r="AT10490" t="s">
        <v>58</v>
      </c>
      <c r="AU10490" t="s">
        <v>68</v>
      </c>
      <c r="AV10490" t="s">
        <v>132</v>
      </c>
      <c r="AW10490" s="1">
        <v>26170</v>
      </c>
      <c r="AX10490">
        <v>1</v>
      </c>
    </row>
    <row r="10491" spans="1:50">
      <c r="A10491">
        <v>603209</v>
      </c>
      <c r="B10491" t="str">
        <f>"100616147"</f>
        <v>100616147</v>
      </c>
      <c r="C10491" t="s">
        <v>50</v>
      </c>
      <c r="D10491" t="s">
        <v>3788</v>
      </c>
      <c r="E10491" t="s">
        <v>476</v>
      </c>
      <c r="F10491" t="s">
        <v>95</v>
      </c>
      <c r="G10491" t="s">
        <v>1189</v>
      </c>
      <c r="H10491" t="str">
        <f>" "</f>
        <v xml:space="preserve"> </v>
      </c>
      <c r="J10491">
        <v>2821087303</v>
      </c>
      <c r="K10491">
        <v>6937702419</v>
      </c>
      <c r="N10491" t="s">
        <v>1525</v>
      </c>
      <c r="O10491" t="s">
        <v>1526</v>
      </c>
      <c r="R10491" t="s">
        <v>57</v>
      </c>
      <c r="S10491">
        <v>7</v>
      </c>
      <c r="T10491">
        <v>207</v>
      </c>
      <c r="U10491" s="1">
        <v>37866</v>
      </c>
      <c r="V10491" t="s">
        <v>89</v>
      </c>
      <c r="W10491" t="s">
        <v>90</v>
      </c>
      <c r="X10491" t="s">
        <v>58</v>
      </c>
      <c r="Y10491">
        <v>25</v>
      </c>
      <c r="Z10491" t="s">
        <v>59</v>
      </c>
      <c r="AA10491" t="s">
        <v>59</v>
      </c>
      <c r="AB10491" t="s">
        <v>59</v>
      </c>
      <c r="AC10491" t="s">
        <v>59</v>
      </c>
      <c r="AD10491" t="s">
        <v>59</v>
      </c>
      <c r="AF10491" s="1">
        <v>37866</v>
      </c>
      <c r="AG10491" t="s">
        <v>8651</v>
      </c>
      <c r="AH10491" t="s">
        <v>8652</v>
      </c>
      <c r="AI10491" t="str">
        <f>"9521555"</f>
        <v>9521555</v>
      </c>
      <c r="AJ10491" t="s">
        <v>14685</v>
      </c>
      <c r="AK10491">
        <v>2821034411</v>
      </c>
      <c r="AL10491" t="s">
        <v>14686</v>
      </c>
      <c r="AM10491" t="s">
        <v>88</v>
      </c>
      <c r="AN10491" t="s">
        <v>88</v>
      </c>
      <c r="AO10491" t="s">
        <v>6785</v>
      </c>
      <c r="AP10491" t="s">
        <v>6786</v>
      </c>
      <c r="AQ10491">
        <v>3</v>
      </c>
      <c r="AR10491" t="s">
        <v>89</v>
      </c>
      <c r="AS10491" t="s">
        <v>90</v>
      </c>
      <c r="AT10491" t="s">
        <v>58</v>
      </c>
      <c r="AU10491" t="s">
        <v>68</v>
      </c>
      <c r="AV10491" t="s">
        <v>69</v>
      </c>
      <c r="AW10491" s="1">
        <v>28213</v>
      </c>
      <c r="AX10491">
        <v>1</v>
      </c>
    </row>
    <row r="10492" spans="1:50">
      <c r="A10492">
        <v>603066</v>
      </c>
      <c r="B10492" t="str">
        <f>"101556875"</f>
        <v>101556875</v>
      </c>
      <c r="C10492" t="s">
        <v>50</v>
      </c>
      <c r="D10492" t="s">
        <v>3788</v>
      </c>
      <c r="E10492" t="s">
        <v>250</v>
      </c>
      <c r="F10492" t="s">
        <v>84</v>
      </c>
      <c r="G10492" t="s">
        <v>54</v>
      </c>
      <c r="H10492" t="str">
        <f>" "</f>
        <v xml:space="preserve"> </v>
      </c>
      <c r="J10492">
        <v>2821027188</v>
      </c>
      <c r="K10492">
        <v>6978222991</v>
      </c>
      <c r="N10492" t="s">
        <v>1525</v>
      </c>
      <c r="O10492" t="s">
        <v>1526</v>
      </c>
      <c r="R10492" t="s">
        <v>57</v>
      </c>
      <c r="S10492">
        <v>7</v>
      </c>
      <c r="T10492">
        <v>207</v>
      </c>
      <c r="U10492" s="1">
        <v>37866</v>
      </c>
      <c r="V10492" t="s">
        <v>89</v>
      </c>
      <c r="W10492" t="s">
        <v>90</v>
      </c>
      <c r="X10492" t="s">
        <v>58</v>
      </c>
      <c r="Y10492">
        <v>25</v>
      </c>
      <c r="Z10492" t="s">
        <v>59</v>
      </c>
      <c r="AA10492" t="s">
        <v>59</v>
      </c>
      <c r="AB10492" t="s">
        <v>59</v>
      </c>
      <c r="AC10492" t="s">
        <v>59</v>
      </c>
      <c r="AD10492" t="s">
        <v>59</v>
      </c>
      <c r="AF10492" s="1">
        <v>37866</v>
      </c>
      <c r="AG10492" t="s">
        <v>8651</v>
      </c>
      <c r="AH10492" t="s">
        <v>8652</v>
      </c>
      <c r="AI10492" t="str">
        <f>"9500282"</f>
        <v>9500282</v>
      </c>
      <c r="AJ10492" t="s">
        <v>14354</v>
      </c>
      <c r="AK10492">
        <v>2821040081</v>
      </c>
      <c r="AL10492" t="s">
        <v>14355</v>
      </c>
      <c r="AM10492" t="s">
        <v>88</v>
      </c>
      <c r="AN10492" t="s">
        <v>88</v>
      </c>
      <c r="AO10492" t="s">
        <v>88</v>
      </c>
      <c r="AP10492" t="s">
        <v>88</v>
      </c>
      <c r="AQ10492">
        <v>1</v>
      </c>
      <c r="AR10492" t="s">
        <v>89</v>
      </c>
      <c r="AS10492" t="s">
        <v>90</v>
      </c>
      <c r="AT10492" t="s">
        <v>58</v>
      </c>
      <c r="AU10492" t="s">
        <v>68</v>
      </c>
      <c r="AV10492" t="s">
        <v>69</v>
      </c>
      <c r="AW10492" s="1">
        <v>28391</v>
      </c>
      <c r="AX10492">
        <v>1</v>
      </c>
    </row>
    <row r="10493" spans="1:50">
      <c r="A10493">
        <v>554260</v>
      </c>
      <c r="B10493" t="str">
        <f>"112385577"</f>
        <v>112385577</v>
      </c>
      <c r="C10493" t="s">
        <v>50</v>
      </c>
      <c r="D10493" t="s">
        <v>3788</v>
      </c>
      <c r="E10493" t="s">
        <v>2719</v>
      </c>
      <c r="F10493" t="s">
        <v>154</v>
      </c>
      <c r="G10493" t="s">
        <v>52</v>
      </c>
      <c r="H10493" t="str">
        <f>" "</f>
        <v xml:space="preserve"> </v>
      </c>
      <c r="N10493" t="s">
        <v>1525</v>
      </c>
      <c r="O10493" t="s">
        <v>1526</v>
      </c>
      <c r="R10493" t="s">
        <v>57</v>
      </c>
      <c r="S10493">
        <v>16</v>
      </c>
      <c r="T10493">
        <v>235</v>
      </c>
      <c r="U10493" s="1">
        <v>31289</v>
      </c>
      <c r="V10493" t="s">
        <v>89</v>
      </c>
      <c r="W10493" t="s">
        <v>90</v>
      </c>
      <c r="X10493" t="s">
        <v>58</v>
      </c>
      <c r="Y10493">
        <v>25</v>
      </c>
      <c r="Z10493" t="s">
        <v>59</v>
      </c>
      <c r="AA10493" t="s">
        <v>59</v>
      </c>
      <c r="AB10493" t="s">
        <v>59</v>
      </c>
      <c r="AC10493" t="s">
        <v>59</v>
      </c>
      <c r="AD10493" t="s">
        <v>59</v>
      </c>
      <c r="AF10493" s="1">
        <v>31299</v>
      </c>
      <c r="AG10493" t="s">
        <v>8651</v>
      </c>
      <c r="AH10493" t="s">
        <v>8652</v>
      </c>
      <c r="AI10493" t="str">
        <f>"9500255"</f>
        <v>9500255</v>
      </c>
      <c r="AJ10493" t="s">
        <v>13971</v>
      </c>
      <c r="AK10493">
        <v>2821078777</v>
      </c>
      <c r="AL10493" t="s">
        <v>13972</v>
      </c>
      <c r="AM10493" t="s">
        <v>88</v>
      </c>
      <c r="AN10493" t="s">
        <v>6764</v>
      </c>
      <c r="AO10493" t="s">
        <v>6885</v>
      </c>
      <c r="AP10493" t="s">
        <v>6886</v>
      </c>
      <c r="AQ10493">
        <v>4</v>
      </c>
      <c r="AR10493" t="s">
        <v>89</v>
      </c>
      <c r="AS10493" t="s">
        <v>90</v>
      </c>
      <c r="AT10493" t="s">
        <v>58</v>
      </c>
      <c r="AU10493" t="s">
        <v>68</v>
      </c>
      <c r="AV10493" t="s">
        <v>69</v>
      </c>
      <c r="AW10493" s="1">
        <v>22418</v>
      </c>
      <c r="AX10493">
        <v>1</v>
      </c>
    </row>
    <row r="10494" spans="1:50">
      <c r="B10494" t="str">
        <f>"049023896"</f>
        <v>049023896</v>
      </c>
      <c r="C10494" t="s">
        <v>50</v>
      </c>
      <c r="D10494" t="s">
        <v>3788</v>
      </c>
      <c r="E10494" t="s">
        <v>52</v>
      </c>
      <c r="F10494" t="s">
        <v>975</v>
      </c>
      <c r="G10494" t="s">
        <v>964</v>
      </c>
      <c r="H10494" t="str">
        <f>"ΚΑΛΙΤΣΟΥΝΑΚΗ 11 ΧΑΝΙΑ"</f>
        <v>ΚΑΛΙΤΣΟΥΝΑΚΗ 11 ΧΑΝΙΑ</v>
      </c>
      <c r="I10494">
        <v>73132</v>
      </c>
      <c r="J10494">
        <v>2821055077</v>
      </c>
      <c r="K10494">
        <v>6977138521</v>
      </c>
      <c r="N10494" t="s">
        <v>176</v>
      </c>
      <c r="O10494" t="s">
        <v>177</v>
      </c>
      <c r="R10494" t="s">
        <v>159</v>
      </c>
      <c r="S10494">
        <v>3</v>
      </c>
      <c r="T10494" t="s">
        <v>8675</v>
      </c>
      <c r="U10494" s="1">
        <v>43348</v>
      </c>
      <c r="V10494" t="s">
        <v>89</v>
      </c>
      <c r="W10494" t="s">
        <v>90</v>
      </c>
      <c r="X10494" t="s">
        <v>58</v>
      </c>
      <c r="Y10494">
        <v>24</v>
      </c>
      <c r="Z10494" t="s">
        <v>59</v>
      </c>
      <c r="AA10494" t="s">
        <v>59</v>
      </c>
      <c r="AB10494" t="s">
        <v>59</v>
      </c>
      <c r="AC10494" t="s">
        <v>59</v>
      </c>
      <c r="AD10494" t="s">
        <v>59</v>
      </c>
      <c r="AF10494" s="1">
        <v>43348</v>
      </c>
      <c r="AG10494" t="s">
        <v>8645</v>
      </c>
      <c r="AH10494" t="s">
        <v>8646</v>
      </c>
      <c r="AI10494" t="str">
        <f>"9520693"</f>
        <v>9520693</v>
      </c>
      <c r="AJ10494" t="s">
        <v>13913</v>
      </c>
      <c r="AK10494">
        <v>2821066910</v>
      </c>
      <c r="AL10494" t="s">
        <v>13914</v>
      </c>
      <c r="AM10494" t="s">
        <v>88</v>
      </c>
      <c r="AN10494" t="s">
        <v>88</v>
      </c>
      <c r="AO10494" t="s">
        <v>6770</v>
      </c>
      <c r="AP10494" t="s">
        <v>6771</v>
      </c>
      <c r="AQ10494">
        <v>2</v>
      </c>
      <c r="AR10494" t="s">
        <v>89</v>
      </c>
      <c r="AS10494" t="s">
        <v>90</v>
      </c>
      <c r="AT10494" t="s">
        <v>58</v>
      </c>
      <c r="AU10494" t="s">
        <v>8673</v>
      </c>
      <c r="AV10494" t="s">
        <v>132</v>
      </c>
      <c r="AW10494" s="1">
        <v>26779</v>
      </c>
      <c r="AX10494">
        <v>1</v>
      </c>
    </row>
    <row r="10495" spans="1:50">
      <c r="A10495">
        <v>607438</v>
      </c>
      <c r="B10495" t="str">
        <f>"104832474"</f>
        <v>104832474</v>
      </c>
      <c r="C10495" t="s">
        <v>50</v>
      </c>
      <c r="D10495" t="s">
        <v>15377</v>
      </c>
      <c r="E10495" t="s">
        <v>809</v>
      </c>
      <c r="F10495" t="s">
        <v>383</v>
      </c>
      <c r="G10495" t="s">
        <v>52</v>
      </c>
      <c r="H10495" t="str">
        <f>"ΣΤΡΑΤΗΓΟΥ ΛΕΚΚΑ  39 ΜΑΡΟΥΣΙ"</f>
        <v>ΣΤΡΑΤΗΓΟΥ ΛΕΚΚΑ  39 ΜΑΡΟΥΣΙ</v>
      </c>
      <c r="I10495">
        <v>15122</v>
      </c>
      <c r="J10495">
        <v>2106146028</v>
      </c>
      <c r="K10495">
        <v>6942216202</v>
      </c>
      <c r="N10495" t="s">
        <v>615</v>
      </c>
      <c r="O10495" t="s">
        <v>616</v>
      </c>
      <c r="R10495" t="s">
        <v>57</v>
      </c>
      <c r="S10495">
        <v>6</v>
      </c>
      <c r="T10495" t="s">
        <v>15378</v>
      </c>
      <c r="U10495" s="1">
        <v>38596</v>
      </c>
      <c r="V10495" t="s">
        <v>89</v>
      </c>
      <c r="W10495" t="s">
        <v>90</v>
      </c>
      <c r="X10495" t="s">
        <v>58</v>
      </c>
      <c r="Y10495">
        <v>23</v>
      </c>
      <c r="Z10495" t="s">
        <v>59</v>
      </c>
      <c r="AA10495" t="s">
        <v>59</v>
      </c>
      <c r="AB10495" t="s">
        <v>59</v>
      </c>
      <c r="AC10495" t="s">
        <v>59</v>
      </c>
      <c r="AD10495" t="s">
        <v>59</v>
      </c>
      <c r="AF10495" s="1">
        <v>38596</v>
      </c>
      <c r="AG10495" t="s">
        <v>8645</v>
      </c>
      <c r="AH10495" t="s">
        <v>8646</v>
      </c>
      <c r="AI10495" t="str">
        <f>"9500147"</f>
        <v>9500147</v>
      </c>
      <c r="AJ10495" t="s">
        <v>14008</v>
      </c>
      <c r="AK10495">
        <v>2821094573</v>
      </c>
      <c r="AL10495" t="s">
        <v>14009</v>
      </c>
      <c r="AM10495" t="s">
        <v>88</v>
      </c>
      <c r="AN10495" t="s">
        <v>88</v>
      </c>
      <c r="AO10495" t="s">
        <v>88</v>
      </c>
      <c r="AP10495" t="s">
        <v>88</v>
      </c>
      <c r="AQ10495">
        <v>1</v>
      </c>
      <c r="AR10495" t="s">
        <v>89</v>
      </c>
      <c r="AS10495" t="s">
        <v>90</v>
      </c>
      <c r="AT10495" t="s">
        <v>58</v>
      </c>
      <c r="AU10495" t="s">
        <v>68</v>
      </c>
      <c r="AV10495" t="s">
        <v>69</v>
      </c>
      <c r="AW10495" s="1">
        <v>28723</v>
      </c>
      <c r="AX10495">
        <v>1</v>
      </c>
    </row>
    <row r="10496" spans="1:50">
      <c r="A10496">
        <v>599988</v>
      </c>
      <c r="B10496" t="str">
        <f>"032643104"</f>
        <v>032643104</v>
      </c>
      <c r="C10496" t="s">
        <v>50</v>
      </c>
      <c r="D10496" t="s">
        <v>15379</v>
      </c>
      <c r="E10496" t="s">
        <v>255</v>
      </c>
      <c r="F10496" t="s">
        <v>84</v>
      </c>
      <c r="G10496" t="s">
        <v>950</v>
      </c>
      <c r="H10496" t="str">
        <f>"ΛΙΣΣΟΥ 2 ΧΑΝΙΑ"</f>
        <v>ΛΙΣΣΟΥ 2 ΧΑΝΙΑ</v>
      </c>
      <c r="I10496">
        <v>73131</v>
      </c>
      <c r="J10496">
        <v>2821074467</v>
      </c>
      <c r="K10496">
        <v>6976283462</v>
      </c>
      <c r="N10496" t="s">
        <v>1525</v>
      </c>
      <c r="O10496" t="s">
        <v>1526</v>
      </c>
      <c r="R10496" t="s">
        <v>57</v>
      </c>
      <c r="S10496">
        <v>12</v>
      </c>
      <c r="T10496">
        <v>195</v>
      </c>
      <c r="U10496" s="1">
        <v>37497</v>
      </c>
      <c r="V10496" t="s">
        <v>89</v>
      </c>
      <c r="W10496" t="s">
        <v>90</v>
      </c>
      <c r="X10496" t="s">
        <v>58</v>
      </c>
      <c r="Y10496">
        <v>25</v>
      </c>
      <c r="Z10496" t="s">
        <v>59</v>
      </c>
      <c r="AA10496" t="s">
        <v>59</v>
      </c>
      <c r="AB10496" t="s">
        <v>59</v>
      </c>
      <c r="AC10496" t="s">
        <v>59</v>
      </c>
      <c r="AD10496" t="s">
        <v>59</v>
      </c>
      <c r="AF10496" s="1">
        <v>37497</v>
      </c>
      <c r="AG10496" t="s">
        <v>8651</v>
      </c>
      <c r="AH10496" t="s">
        <v>8652</v>
      </c>
      <c r="AI10496" t="str">
        <f>"9500342"</f>
        <v>9500342</v>
      </c>
      <c r="AJ10496" t="s">
        <v>15148</v>
      </c>
      <c r="AK10496">
        <v>2821076440</v>
      </c>
      <c r="AL10496" t="s">
        <v>15149</v>
      </c>
      <c r="AM10496" t="s">
        <v>88</v>
      </c>
      <c r="AN10496" t="s">
        <v>88</v>
      </c>
      <c r="AO10496" t="s">
        <v>6733</v>
      </c>
      <c r="AP10496" t="s">
        <v>6734</v>
      </c>
      <c r="AQ10496">
        <v>2</v>
      </c>
      <c r="AR10496" t="s">
        <v>89</v>
      </c>
      <c r="AS10496" t="s">
        <v>90</v>
      </c>
      <c r="AT10496" t="s">
        <v>58</v>
      </c>
      <c r="AU10496" t="s">
        <v>68</v>
      </c>
      <c r="AV10496" t="s">
        <v>69</v>
      </c>
      <c r="AW10496" s="1">
        <v>23884</v>
      </c>
      <c r="AX10496">
        <v>1</v>
      </c>
    </row>
    <row r="10497" spans="1:50">
      <c r="A10497">
        <v>582139</v>
      </c>
      <c r="B10497" t="str">
        <f>"052138385"</f>
        <v>052138385</v>
      </c>
      <c r="C10497" t="s">
        <v>50</v>
      </c>
      <c r="D10497" t="s">
        <v>15380</v>
      </c>
      <c r="E10497" t="s">
        <v>326</v>
      </c>
      <c r="F10497" t="s">
        <v>95</v>
      </c>
      <c r="G10497" t="s">
        <v>2127</v>
      </c>
      <c r="H10497" t="str">
        <f>"ΦΡΑΓΚΟΚΑΣΤΕΛΛΟΥ 6 ΧΑΝΙΑ"</f>
        <v>ΦΡΑΓΚΟΚΑΣΤΕΛΛΟΥ 6 ΧΑΝΙΑ</v>
      </c>
      <c r="I10497">
        <v>73133</v>
      </c>
      <c r="K10497">
        <v>6945166534</v>
      </c>
      <c r="N10497" t="s">
        <v>615</v>
      </c>
      <c r="O10497" t="s">
        <v>616</v>
      </c>
      <c r="R10497" t="s">
        <v>57</v>
      </c>
      <c r="S10497">
        <v>11</v>
      </c>
      <c r="T10497">
        <v>179</v>
      </c>
      <c r="U10497" s="1">
        <v>35674</v>
      </c>
      <c r="V10497" t="s">
        <v>89</v>
      </c>
      <c r="W10497" t="s">
        <v>90</v>
      </c>
      <c r="X10497" t="s">
        <v>58</v>
      </c>
      <c r="Y10497">
        <v>21</v>
      </c>
      <c r="Z10497" t="s">
        <v>59</v>
      </c>
      <c r="AA10497" t="s">
        <v>59</v>
      </c>
      <c r="AB10497" t="s">
        <v>59</v>
      </c>
      <c r="AC10497" t="s">
        <v>59</v>
      </c>
      <c r="AD10497" t="s">
        <v>59</v>
      </c>
      <c r="AF10497" s="1">
        <v>35674</v>
      </c>
      <c r="AG10497" t="s">
        <v>8645</v>
      </c>
      <c r="AH10497" t="s">
        <v>8646</v>
      </c>
      <c r="AI10497" t="str">
        <f>"9520693"</f>
        <v>9520693</v>
      </c>
      <c r="AJ10497" t="s">
        <v>13913</v>
      </c>
      <c r="AK10497">
        <v>2821066910</v>
      </c>
      <c r="AL10497" t="s">
        <v>13914</v>
      </c>
      <c r="AM10497" t="s">
        <v>88</v>
      </c>
      <c r="AN10497" t="s">
        <v>88</v>
      </c>
      <c r="AO10497" t="s">
        <v>6770</v>
      </c>
      <c r="AP10497" t="s">
        <v>6771</v>
      </c>
      <c r="AQ10497">
        <v>2</v>
      </c>
      <c r="AR10497" t="s">
        <v>89</v>
      </c>
      <c r="AS10497" t="s">
        <v>90</v>
      </c>
      <c r="AT10497" t="s">
        <v>58</v>
      </c>
      <c r="AU10497" t="s">
        <v>68</v>
      </c>
      <c r="AV10497" t="s">
        <v>69</v>
      </c>
      <c r="AW10497" s="1">
        <v>23855</v>
      </c>
      <c r="AX10497">
        <v>1</v>
      </c>
    </row>
    <row r="10498" spans="1:50">
      <c r="A10498">
        <v>200867</v>
      </c>
      <c r="B10498" t="str">
        <f>"078463971"</f>
        <v>078463971</v>
      </c>
      <c r="C10498" t="s">
        <v>105</v>
      </c>
      <c r="D10498" t="s">
        <v>3806</v>
      </c>
      <c r="E10498" t="s">
        <v>315</v>
      </c>
      <c r="F10498" t="s">
        <v>84</v>
      </c>
      <c r="G10498" t="s">
        <v>1588</v>
      </c>
      <c r="H10498" t="str">
        <f>" "</f>
        <v xml:space="preserve"> </v>
      </c>
      <c r="J10498">
        <v>2821086444</v>
      </c>
      <c r="K10498">
        <v>6974951287</v>
      </c>
      <c r="N10498" t="s">
        <v>204</v>
      </c>
      <c r="O10498" t="s">
        <v>205</v>
      </c>
      <c r="R10498" t="s">
        <v>57</v>
      </c>
      <c r="S10498">
        <v>8</v>
      </c>
      <c r="T10498">
        <v>213</v>
      </c>
      <c r="U10498" s="1">
        <v>37876</v>
      </c>
      <c r="V10498" t="s">
        <v>89</v>
      </c>
      <c r="W10498" t="s">
        <v>90</v>
      </c>
      <c r="X10498" t="s">
        <v>58</v>
      </c>
      <c r="Y10498">
        <v>22</v>
      </c>
      <c r="Z10498" t="s">
        <v>59</v>
      </c>
      <c r="AA10498" t="s">
        <v>59</v>
      </c>
      <c r="AB10498" t="s">
        <v>59</v>
      </c>
      <c r="AC10498" t="s">
        <v>59</v>
      </c>
      <c r="AD10498" t="s">
        <v>59</v>
      </c>
      <c r="AF10498" s="1">
        <v>37876</v>
      </c>
      <c r="AG10498" t="s">
        <v>8645</v>
      </c>
      <c r="AH10498" t="s">
        <v>8646</v>
      </c>
      <c r="AI10498" t="str">
        <f>"9500360"</f>
        <v>9500360</v>
      </c>
      <c r="AJ10498" t="s">
        <v>14022</v>
      </c>
      <c r="AK10498">
        <v>2821031253</v>
      </c>
      <c r="AL10498" t="s">
        <v>14023</v>
      </c>
      <c r="AM10498" t="s">
        <v>88</v>
      </c>
      <c r="AN10498" t="s">
        <v>88</v>
      </c>
      <c r="AO10498" t="s">
        <v>6785</v>
      </c>
      <c r="AP10498" t="s">
        <v>13932</v>
      </c>
      <c r="AQ10498">
        <v>3</v>
      </c>
      <c r="AR10498" t="s">
        <v>89</v>
      </c>
      <c r="AS10498" t="s">
        <v>90</v>
      </c>
      <c r="AT10498" t="s">
        <v>58</v>
      </c>
      <c r="AU10498" t="s">
        <v>68</v>
      </c>
      <c r="AV10498" t="s">
        <v>69</v>
      </c>
      <c r="AW10498" s="1">
        <v>26165</v>
      </c>
      <c r="AX10498">
        <v>1</v>
      </c>
    </row>
    <row r="10499" spans="1:50">
      <c r="A10499">
        <v>618660</v>
      </c>
      <c r="B10499" t="str">
        <f>"146766500"</f>
        <v>146766500</v>
      </c>
      <c r="C10499" t="s">
        <v>50</v>
      </c>
      <c r="D10499" t="s">
        <v>8320</v>
      </c>
      <c r="E10499" t="s">
        <v>155</v>
      </c>
      <c r="F10499" t="s">
        <v>95</v>
      </c>
      <c r="G10499" t="s">
        <v>109</v>
      </c>
      <c r="H10499" t="str">
        <f>"ΑΡΩΝΙ ΑΚΡΩΤΗΡΙ"</f>
        <v>ΑΡΩΝΙ ΑΚΡΩΤΗΡΙ</v>
      </c>
      <c r="I10499">
        <v>73100</v>
      </c>
      <c r="J10499">
        <v>2821063696</v>
      </c>
      <c r="K10499">
        <v>6977332622</v>
      </c>
      <c r="M10499" t="s">
        <v>15381</v>
      </c>
      <c r="N10499" t="s">
        <v>615</v>
      </c>
      <c r="O10499" t="s">
        <v>616</v>
      </c>
      <c r="R10499" t="s">
        <v>57</v>
      </c>
      <c r="S10499">
        <v>5</v>
      </c>
      <c r="T10499">
        <v>774</v>
      </c>
      <c r="U10499" s="1">
        <v>39680</v>
      </c>
      <c r="V10499" t="s">
        <v>89</v>
      </c>
      <c r="W10499" t="s">
        <v>90</v>
      </c>
      <c r="X10499" t="s">
        <v>58</v>
      </c>
      <c r="Y10499">
        <v>23</v>
      </c>
      <c r="Z10499" t="s">
        <v>59</v>
      </c>
      <c r="AA10499" t="s">
        <v>59</v>
      </c>
      <c r="AB10499" t="s">
        <v>59</v>
      </c>
      <c r="AC10499" t="s">
        <v>59</v>
      </c>
      <c r="AD10499" t="s">
        <v>59</v>
      </c>
      <c r="AF10499" s="1">
        <v>39682</v>
      </c>
      <c r="AG10499" t="s">
        <v>8645</v>
      </c>
      <c r="AH10499" t="s">
        <v>8646</v>
      </c>
      <c r="AI10499" t="str">
        <f>"9500148"</f>
        <v>9500148</v>
      </c>
      <c r="AJ10499" t="s">
        <v>13851</v>
      </c>
      <c r="AK10499">
        <v>2821068328</v>
      </c>
      <c r="AL10499" t="s">
        <v>13852</v>
      </c>
      <c r="AM10499" t="s">
        <v>88</v>
      </c>
      <c r="AN10499" t="s">
        <v>88</v>
      </c>
      <c r="AO10499" t="s">
        <v>6785</v>
      </c>
      <c r="AP10499" t="s">
        <v>13853</v>
      </c>
      <c r="AQ10499">
        <v>3</v>
      </c>
      <c r="AR10499" t="s">
        <v>89</v>
      </c>
      <c r="AS10499" t="s">
        <v>90</v>
      </c>
      <c r="AT10499" t="s">
        <v>58</v>
      </c>
      <c r="AU10499" t="s">
        <v>68</v>
      </c>
      <c r="AV10499" t="s">
        <v>69</v>
      </c>
      <c r="AW10499" s="1">
        <v>28872</v>
      </c>
      <c r="AX10499">
        <v>1</v>
      </c>
    </row>
    <row r="10500" spans="1:50">
      <c r="A10500">
        <v>612470</v>
      </c>
      <c r="B10500" t="str">
        <f>"059899066"</f>
        <v>059899066</v>
      </c>
      <c r="C10500" t="s">
        <v>105</v>
      </c>
      <c r="D10500" t="s">
        <v>15382</v>
      </c>
      <c r="E10500" t="s">
        <v>95</v>
      </c>
      <c r="F10500" t="s">
        <v>15383</v>
      </c>
      <c r="G10500" t="s">
        <v>600</v>
      </c>
      <c r="H10500" t="str">
        <f>"ΑΡΙΣΤΟΤΕΛΟΥΣ &amp; ΚΟΡΑΗ 121 ΚΟΥΝΟΥΠΙΔΙΑΝΑ-ΧΑΝΙΑ"</f>
        <v>ΑΡΙΣΤΟΤΕΛΟΥΣ &amp; ΚΟΡΑΗ 121 ΚΟΥΝΟΥΠΙΔΙΑΝΑ-ΧΑΝΙΑ</v>
      </c>
      <c r="I10500">
        <v>73100</v>
      </c>
      <c r="J10500">
        <v>2821090864</v>
      </c>
      <c r="K10500">
        <v>6982480367</v>
      </c>
      <c r="M10500" t="s">
        <v>15384</v>
      </c>
      <c r="N10500" t="s">
        <v>176</v>
      </c>
      <c r="O10500" t="s">
        <v>177</v>
      </c>
      <c r="R10500" t="s">
        <v>57</v>
      </c>
      <c r="S10500">
        <v>8</v>
      </c>
      <c r="T10500">
        <v>234</v>
      </c>
      <c r="U10500" s="1">
        <v>38960</v>
      </c>
      <c r="V10500" t="s">
        <v>89</v>
      </c>
      <c r="W10500" t="s">
        <v>90</v>
      </c>
      <c r="X10500" t="s">
        <v>58</v>
      </c>
      <c r="Y10500">
        <v>22</v>
      </c>
      <c r="Z10500" t="s">
        <v>59</v>
      </c>
      <c r="AA10500" t="s">
        <v>59</v>
      </c>
      <c r="AB10500" t="s">
        <v>59</v>
      </c>
      <c r="AC10500" t="s">
        <v>59</v>
      </c>
      <c r="AD10500" t="s">
        <v>59</v>
      </c>
      <c r="AF10500" s="1">
        <v>38960</v>
      </c>
      <c r="AG10500" t="s">
        <v>8645</v>
      </c>
      <c r="AH10500" t="s">
        <v>8646</v>
      </c>
      <c r="AI10500" t="str">
        <f>"9500006"</f>
        <v>9500006</v>
      </c>
      <c r="AJ10500" t="s">
        <v>14060</v>
      </c>
      <c r="AK10500">
        <v>2825051220</v>
      </c>
      <c r="AL10500" t="s">
        <v>14061</v>
      </c>
      <c r="AM10500" t="s">
        <v>88</v>
      </c>
      <c r="AN10500" t="s">
        <v>6775</v>
      </c>
      <c r="AO10500" t="s">
        <v>6781</v>
      </c>
      <c r="AP10500" t="s">
        <v>6782</v>
      </c>
      <c r="AQ10500">
        <v>8</v>
      </c>
      <c r="AR10500" t="s">
        <v>89</v>
      </c>
      <c r="AS10500" t="s">
        <v>90</v>
      </c>
      <c r="AT10500" t="s">
        <v>58</v>
      </c>
      <c r="AU10500" t="s">
        <v>68</v>
      </c>
      <c r="AV10500" t="s">
        <v>69</v>
      </c>
      <c r="AW10500" s="1">
        <v>24961</v>
      </c>
      <c r="AX10500">
        <v>1</v>
      </c>
    </row>
    <row r="10501" spans="1:50">
      <c r="A10501">
        <v>621738</v>
      </c>
      <c r="B10501" t="str">
        <f>"131192724"</f>
        <v>131192724</v>
      </c>
      <c r="C10501" t="s">
        <v>50</v>
      </c>
      <c r="D10501" t="s">
        <v>15385</v>
      </c>
      <c r="E10501" t="s">
        <v>237</v>
      </c>
      <c r="F10501" t="s">
        <v>383</v>
      </c>
      <c r="G10501" t="s">
        <v>255</v>
      </c>
      <c r="H10501" t="str">
        <f>"ΝΙΚΑΙΑ ΝΙΚΑΙΑ ΛΑΡΙΣΑΣ"</f>
        <v>ΝΙΚΑΙΑ ΝΙΚΑΙΑ ΛΑΡΙΣΑΣ</v>
      </c>
      <c r="I10501">
        <v>41500</v>
      </c>
      <c r="J10501">
        <v>2410922126</v>
      </c>
      <c r="K10501">
        <v>6947280082</v>
      </c>
      <c r="N10501" t="s">
        <v>615</v>
      </c>
      <c r="O10501" t="s">
        <v>616</v>
      </c>
      <c r="R10501" t="s">
        <v>57</v>
      </c>
      <c r="S10501">
        <v>5</v>
      </c>
      <c r="T10501">
        <v>653</v>
      </c>
      <c r="U10501" s="1">
        <v>40043</v>
      </c>
      <c r="V10501" t="s">
        <v>89</v>
      </c>
      <c r="W10501" t="s">
        <v>90</v>
      </c>
      <c r="X10501" t="s">
        <v>58</v>
      </c>
      <c r="Y10501">
        <v>23</v>
      </c>
      <c r="Z10501" t="s">
        <v>59</v>
      </c>
      <c r="AA10501" t="s">
        <v>59</v>
      </c>
      <c r="AB10501" t="s">
        <v>59</v>
      </c>
      <c r="AC10501" t="s">
        <v>59</v>
      </c>
      <c r="AD10501" t="s">
        <v>59</v>
      </c>
      <c r="AF10501" s="1">
        <v>40043</v>
      </c>
      <c r="AG10501" t="s">
        <v>8645</v>
      </c>
      <c r="AH10501" t="s">
        <v>8646</v>
      </c>
      <c r="AI10501" t="str">
        <f>"9500189"</f>
        <v>9500189</v>
      </c>
      <c r="AJ10501" t="s">
        <v>14038</v>
      </c>
      <c r="AK10501">
        <v>2822022119</v>
      </c>
      <c r="AL10501" t="s">
        <v>14039</v>
      </c>
      <c r="AM10501" t="s">
        <v>88</v>
      </c>
      <c r="AN10501" t="s">
        <v>6744</v>
      </c>
      <c r="AO10501" t="s">
        <v>6744</v>
      </c>
      <c r="AP10501" t="s">
        <v>6744</v>
      </c>
      <c r="AQ10501">
        <v>9</v>
      </c>
      <c r="AR10501" t="s">
        <v>89</v>
      </c>
      <c r="AS10501" t="s">
        <v>90</v>
      </c>
      <c r="AT10501" t="s">
        <v>58</v>
      </c>
      <c r="AU10501" t="s">
        <v>68</v>
      </c>
      <c r="AV10501" t="s">
        <v>69</v>
      </c>
      <c r="AW10501" s="1">
        <v>31257</v>
      </c>
      <c r="AX10501">
        <v>1</v>
      </c>
    </row>
    <row r="10502" spans="1:50">
      <c r="A10502">
        <v>700602</v>
      </c>
      <c r="B10502" t="str">
        <f>"120231750"</f>
        <v>120231750</v>
      </c>
      <c r="C10502" t="s">
        <v>50</v>
      </c>
      <c r="D10502" t="s">
        <v>8322</v>
      </c>
      <c r="E10502" t="s">
        <v>52</v>
      </c>
      <c r="F10502" t="s">
        <v>92</v>
      </c>
      <c r="G10502" t="s">
        <v>340</v>
      </c>
      <c r="H10502" t="str">
        <f>"ΕΛΕΥΘΕΡΙΟΥ ΒΕΝΙΖΕΛΟΥ 152-154 ΧΑΝΙΑ"</f>
        <v>ΕΛΕΥΘΕΡΙΟΥ ΒΕΝΙΖΕΛΟΥ 152-154 ΧΑΝΙΑ</v>
      </c>
      <c r="I10502">
        <v>73133</v>
      </c>
      <c r="J10502">
        <v>2821057062</v>
      </c>
      <c r="K10502">
        <v>6977177716</v>
      </c>
      <c r="N10502" t="s">
        <v>1525</v>
      </c>
      <c r="O10502" t="s">
        <v>1526</v>
      </c>
      <c r="R10502" t="s">
        <v>57</v>
      </c>
      <c r="S10502">
        <v>5</v>
      </c>
      <c r="T10502">
        <v>772</v>
      </c>
      <c r="U10502" s="1">
        <v>40413</v>
      </c>
      <c r="V10502" t="s">
        <v>89</v>
      </c>
      <c r="W10502" t="s">
        <v>90</v>
      </c>
      <c r="X10502" t="s">
        <v>58</v>
      </c>
      <c r="Y10502">
        <v>25</v>
      </c>
      <c r="Z10502" t="s">
        <v>59</v>
      </c>
      <c r="AA10502" t="s">
        <v>59</v>
      </c>
      <c r="AB10502" t="s">
        <v>59</v>
      </c>
      <c r="AC10502" t="s">
        <v>59</v>
      </c>
      <c r="AD10502" t="s">
        <v>59</v>
      </c>
      <c r="AF10502" s="1">
        <v>40413</v>
      </c>
      <c r="AG10502" t="s">
        <v>8651</v>
      </c>
      <c r="AH10502" t="s">
        <v>8652</v>
      </c>
      <c r="AI10502" t="str">
        <f>"9500322"</f>
        <v>9500322</v>
      </c>
      <c r="AJ10502" t="s">
        <v>14152</v>
      </c>
      <c r="AK10502">
        <v>2821054010</v>
      </c>
      <c r="AL10502" t="s">
        <v>14153</v>
      </c>
      <c r="AM10502" t="s">
        <v>88</v>
      </c>
      <c r="AN10502" t="s">
        <v>88</v>
      </c>
      <c r="AO10502" t="s">
        <v>88</v>
      </c>
      <c r="AP10502" t="s">
        <v>88</v>
      </c>
      <c r="AQ10502">
        <v>1</v>
      </c>
      <c r="AR10502" t="s">
        <v>89</v>
      </c>
      <c r="AS10502" t="s">
        <v>90</v>
      </c>
      <c r="AT10502" t="s">
        <v>58</v>
      </c>
      <c r="AU10502" t="s">
        <v>68</v>
      </c>
      <c r="AV10502" t="s">
        <v>69</v>
      </c>
      <c r="AW10502" s="1">
        <v>29750</v>
      </c>
      <c r="AX10502">
        <v>1</v>
      </c>
    </row>
    <row r="10503" spans="1:50">
      <c r="B10503" t="str">
        <f>"145094490"</f>
        <v>145094490</v>
      </c>
      <c r="C10503" t="s">
        <v>50</v>
      </c>
      <c r="D10503" t="s">
        <v>3819</v>
      </c>
      <c r="E10503" t="s">
        <v>563</v>
      </c>
      <c r="F10503" t="s">
        <v>99</v>
      </c>
      <c r="G10503" t="s">
        <v>54</v>
      </c>
      <c r="H10503" t="str">
        <f>"ΣΟΦΙΑΣ 29 ΒΕΡΟΙΑ"</f>
        <v>ΣΟΦΙΑΣ 29 ΒΕΡΟΙΑ</v>
      </c>
      <c r="I10503">
        <v>59100</v>
      </c>
      <c r="J10503">
        <v>2331062581</v>
      </c>
      <c r="K10503">
        <v>6948620307</v>
      </c>
      <c r="N10503" t="s">
        <v>615</v>
      </c>
      <c r="O10503" t="s">
        <v>616</v>
      </c>
      <c r="R10503" t="s">
        <v>159</v>
      </c>
      <c r="S10503">
        <v>3</v>
      </c>
      <c r="T10503" t="s">
        <v>8675</v>
      </c>
      <c r="U10503" s="1">
        <v>43348</v>
      </c>
      <c r="V10503" t="s">
        <v>89</v>
      </c>
      <c r="W10503" t="s">
        <v>90</v>
      </c>
      <c r="X10503" t="s">
        <v>58</v>
      </c>
      <c r="Y10503">
        <v>24</v>
      </c>
      <c r="Z10503" t="s">
        <v>59</v>
      </c>
      <c r="AA10503" t="s">
        <v>59</v>
      </c>
      <c r="AB10503" t="s">
        <v>59</v>
      </c>
      <c r="AC10503" t="s">
        <v>59</v>
      </c>
      <c r="AD10503" t="s">
        <v>59</v>
      </c>
      <c r="AF10503" s="1">
        <v>43348</v>
      </c>
      <c r="AG10503" t="s">
        <v>8645</v>
      </c>
      <c r="AH10503" t="s">
        <v>8646</v>
      </c>
      <c r="AI10503" t="str">
        <f>"9500006"</f>
        <v>9500006</v>
      </c>
      <c r="AJ10503" t="s">
        <v>14060</v>
      </c>
      <c r="AK10503">
        <v>2825051220</v>
      </c>
      <c r="AL10503" t="s">
        <v>14061</v>
      </c>
      <c r="AM10503" t="s">
        <v>88</v>
      </c>
      <c r="AN10503" t="s">
        <v>6775</v>
      </c>
      <c r="AO10503" t="s">
        <v>6781</v>
      </c>
      <c r="AP10503" t="s">
        <v>6782</v>
      </c>
      <c r="AQ10503">
        <v>8</v>
      </c>
      <c r="AR10503" t="s">
        <v>89</v>
      </c>
      <c r="AS10503" t="s">
        <v>90</v>
      </c>
      <c r="AT10503" t="s">
        <v>58</v>
      </c>
      <c r="AU10503" t="s">
        <v>8673</v>
      </c>
      <c r="AV10503" t="s">
        <v>132</v>
      </c>
      <c r="AW10503" s="1">
        <v>32031</v>
      </c>
      <c r="AX10503">
        <v>1</v>
      </c>
    </row>
    <row r="10504" spans="1:50">
      <c r="A10504">
        <v>607858</v>
      </c>
      <c r="B10504" t="str">
        <f>"136404775"</f>
        <v>136404775</v>
      </c>
      <c r="C10504" t="s">
        <v>50</v>
      </c>
      <c r="D10504" t="s">
        <v>15386</v>
      </c>
      <c r="E10504" t="s">
        <v>255</v>
      </c>
      <c r="F10504" t="s">
        <v>949</v>
      </c>
      <c r="G10504" t="s">
        <v>263</v>
      </c>
      <c r="H10504" t="str">
        <f>"ΠΑΠΑΝΑΣΤΑΣΙΟΥ 210 ΛΕΝΤΑΡΙΑΝΑ"</f>
        <v>ΠΑΠΑΝΑΣΤΑΣΙΟΥ 210 ΛΕΝΤΑΡΙΑΝΑ</v>
      </c>
      <c r="I10504">
        <v>73100</v>
      </c>
      <c r="J10504">
        <v>2821027284</v>
      </c>
      <c r="K10504">
        <v>6974353327</v>
      </c>
      <c r="N10504" t="s">
        <v>615</v>
      </c>
      <c r="O10504" t="s">
        <v>616</v>
      </c>
      <c r="R10504" t="s">
        <v>57</v>
      </c>
      <c r="S10504">
        <v>6</v>
      </c>
      <c r="T10504">
        <v>217</v>
      </c>
      <c r="U10504" s="1">
        <v>38596</v>
      </c>
      <c r="V10504" t="s">
        <v>89</v>
      </c>
      <c r="W10504" t="s">
        <v>90</v>
      </c>
      <c r="X10504" t="s">
        <v>58</v>
      </c>
      <c r="Y10504">
        <v>23</v>
      </c>
      <c r="Z10504" t="s">
        <v>59</v>
      </c>
      <c r="AA10504" t="s">
        <v>59</v>
      </c>
      <c r="AB10504" t="s">
        <v>59</v>
      </c>
      <c r="AC10504" t="s">
        <v>59</v>
      </c>
      <c r="AD10504" t="s">
        <v>59</v>
      </c>
      <c r="AF10504" s="1">
        <v>38596</v>
      </c>
      <c r="AG10504" t="s">
        <v>8645</v>
      </c>
      <c r="AH10504" t="s">
        <v>8646</v>
      </c>
      <c r="AI10504" t="str">
        <f>"9500107"</f>
        <v>9500107</v>
      </c>
      <c r="AJ10504" t="s">
        <v>13918</v>
      </c>
      <c r="AK10504">
        <v>2821096244</v>
      </c>
      <c r="AL10504" t="s">
        <v>13919</v>
      </c>
      <c r="AM10504" t="s">
        <v>88</v>
      </c>
      <c r="AN10504" t="s">
        <v>88</v>
      </c>
      <c r="AO10504" t="s">
        <v>13920</v>
      </c>
      <c r="AP10504" t="s">
        <v>13921</v>
      </c>
      <c r="AQ10504">
        <v>3</v>
      </c>
      <c r="AR10504" t="s">
        <v>89</v>
      </c>
      <c r="AS10504" t="s">
        <v>90</v>
      </c>
      <c r="AT10504" t="s">
        <v>58</v>
      </c>
      <c r="AU10504" t="s">
        <v>68</v>
      </c>
      <c r="AV10504" t="s">
        <v>69</v>
      </c>
      <c r="AW10504" s="1">
        <v>30151</v>
      </c>
      <c r="AX10504">
        <v>1</v>
      </c>
    </row>
    <row r="10505" spans="1:50">
      <c r="A10505">
        <v>557610</v>
      </c>
      <c r="B10505" t="str">
        <f>"029886766"</f>
        <v>029886766</v>
      </c>
      <c r="C10505" t="s">
        <v>105</v>
      </c>
      <c r="D10505" t="s">
        <v>3821</v>
      </c>
      <c r="E10505" t="s">
        <v>166</v>
      </c>
      <c r="F10505" t="s">
        <v>95</v>
      </c>
      <c r="G10505" t="s">
        <v>845</v>
      </c>
      <c r="H10505" t="str">
        <f>"ΠΛΑΤΕΙΑ ΚΟΛΟΚΟΤΡΩΝΗ 4-6 ΧΑΝΙΑ"</f>
        <v>ΠΛΑΤΕΙΑ ΚΟΛΟΚΟΤΡΩΝΗ 4-6 ΧΑΝΙΑ</v>
      </c>
      <c r="I10505">
        <v>73135</v>
      </c>
      <c r="J10505">
        <v>2821098431</v>
      </c>
      <c r="K10505">
        <v>6973701606</v>
      </c>
      <c r="N10505" t="s">
        <v>615</v>
      </c>
      <c r="O10505" t="s">
        <v>616</v>
      </c>
      <c r="R10505" t="s">
        <v>57</v>
      </c>
      <c r="S10505">
        <v>16</v>
      </c>
      <c r="T10505">
        <v>168</v>
      </c>
      <c r="U10505" s="1">
        <v>32010</v>
      </c>
      <c r="V10505" t="s">
        <v>89</v>
      </c>
      <c r="W10505" t="s">
        <v>90</v>
      </c>
      <c r="X10505" t="s">
        <v>58</v>
      </c>
      <c r="Y10505">
        <v>21</v>
      </c>
      <c r="Z10505" t="s">
        <v>59</v>
      </c>
      <c r="AA10505" t="s">
        <v>59</v>
      </c>
      <c r="AB10505" t="s">
        <v>59</v>
      </c>
      <c r="AC10505" t="s">
        <v>59</v>
      </c>
      <c r="AD10505" t="s">
        <v>59</v>
      </c>
      <c r="AF10505" s="1">
        <v>32010</v>
      </c>
      <c r="AG10505" t="s">
        <v>8645</v>
      </c>
      <c r="AH10505" t="s">
        <v>8646</v>
      </c>
      <c r="AI10505" t="str">
        <f>"9500024"</f>
        <v>9500024</v>
      </c>
      <c r="AJ10505" t="s">
        <v>13856</v>
      </c>
      <c r="AK10505">
        <v>2825041345</v>
      </c>
      <c r="AL10505" t="s">
        <v>13857</v>
      </c>
      <c r="AM10505" t="s">
        <v>88</v>
      </c>
      <c r="AN10505" t="s">
        <v>6775</v>
      </c>
      <c r="AO10505" t="s">
        <v>11883</v>
      </c>
      <c r="AP10505" t="s">
        <v>13858</v>
      </c>
      <c r="AQ10505">
        <v>7</v>
      </c>
      <c r="AR10505" t="s">
        <v>89</v>
      </c>
      <c r="AS10505" t="s">
        <v>90</v>
      </c>
      <c r="AT10505" t="s">
        <v>58</v>
      </c>
      <c r="AU10505" t="s">
        <v>68</v>
      </c>
      <c r="AV10505" t="s">
        <v>69</v>
      </c>
      <c r="AW10505" s="1">
        <v>23337</v>
      </c>
      <c r="AX10505">
        <v>1</v>
      </c>
    </row>
    <row r="10506" spans="1:50">
      <c r="A10506">
        <v>565787</v>
      </c>
      <c r="B10506" t="str">
        <f>"032638757"</f>
        <v>032638757</v>
      </c>
      <c r="C10506" t="s">
        <v>105</v>
      </c>
      <c r="D10506" t="s">
        <v>3821</v>
      </c>
      <c r="E10506" t="s">
        <v>450</v>
      </c>
      <c r="F10506" t="s">
        <v>99</v>
      </c>
      <c r="G10506" t="s">
        <v>1744</v>
      </c>
      <c r="H10506" t="str">
        <f>"ΠΑΡ.ΤΖΙΤΖΙΦΙΑΝΑΚΗ 34 ΧΑΝΙΑ"</f>
        <v>ΠΑΡ.ΤΖΙΤΖΙΦΙΑΝΑΚΗ 34 ΧΑΝΙΑ</v>
      </c>
      <c r="I10506">
        <v>73100</v>
      </c>
      <c r="J10506">
        <v>2821054608</v>
      </c>
      <c r="N10506" t="s">
        <v>615</v>
      </c>
      <c r="O10506" t="s">
        <v>616</v>
      </c>
      <c r="R10506" t="s">
        <v>57</v>
      </c>
      <c r="S10506">
        <v>15</v>
      </c>
      <c r="T10506">
        <v>161</v>
      </c>
      <c r="U10506" s="1">
        <v>33119</v>
      </c>
      <c r="V10506" t="s">
        <v>89</v>
      </c>
      <c r="W10506" t="s">
        <v>90</v>
      </c>
      <c r="X10506" t="s">
        <v>58</v>
      </c>
      <c r="Y10506">
        <v>21</v>
      </c>
      <c r="Z10506" t="s">
        <v>59</v>
      </c>
      <c r="AA10506" t="s">
        <v>59</v>
      </c>
      <c r="AB10506" t="s">
        <v>59</v>
      </c>
      <c r="AC10506" t="s">
        <v>59</v>
      </c>
      <c r="AD10506" t="s">
        <v>59</v>
      </c>
      <c r="AF10506" s="1">
        <v>33119</v>
      </c>
      <c r="AG10506" t="s">
        <v>8645</v>
      </c>
      <c r="AH10506" t="s">
        <v>8646</v>
      </c>
      <c r="AI10506" t="str">
        <f>"9500315"</f>
        <v>9500315</v>
      </c>
      <c r="AJ10506" t="s">
        <v>14174</v>
      </c>
      <c r="AK10506">
        <v>2821040565</v>
      </c>
      <c r="AL10506" t="s">
        <v>14175</v>
      </c>
      <c r="AM10506" t="s">
        <v>88</v>
      </c>
      <c r="AN10506" t="s">
        <v>88</v>
      </c>
      <c r="AO10506" t="s">
        <v>88</v>
      </c>
      <c r="AP10506" t="s">
        <v>88</v>
      </c>
      <c r="AQ10506">
        <v>1</v>
      </c>
      <c r="AR10506" t="s">
        <v>89</v>
      </c>
      <c r="AS10506" t="s">
        <v>90</v>
      </c>
      <c r="AT10506" t="s">
        <v>58</v>
      </c>
      <c r="AU10506" t="s">
        <v>68</v>
      </c>
      <c r="AV10506" t="s">
        <v>69</v>
      </c>
      <c r="AW10506" s="1">
        <v>21398</v>
      </c>
      <c r="AX10506">
        <v>1</v>
      </c>
    </row>
    <row r="10507" spans="1:50">
      <c r="B10507" t="str">
        <f>"127066514"</f>
        <v>127066514</v>
      </c>
      <c r="C10507" t="s">
        <v>50</v>
      </c>
      <c r="D10507" t="s">
        <v>15387</v>
      </c>
      <c r="E10507" t="s">
        <v>484</v>
      </c>
      <c r="F10507" t="s">
        <v>99</v>
      </c>
      <c r="G10507" t="s">
        <v>4695</v>
      </c>
      <c r="H10507" t="str">
        <f>"ΘΕΟΤΟΚΟΠΟΥΛΟΥ 82 "</f>
        <v xml:space="preserve">ΘΕΟΤΟΚΟΠΟΥΛΟΥ 82 </v>
      </c>
      <c r="I10507">
        <v>16231</v>
      </c>
      <c r="J10507">
        <v>0</v>
      </c>
      <c r="K10507">
        <v>6937133526</v>
      </c>
      <c r="N10507" t="s">
        <v>384</v>
      </c>
      <c r="O10507" t="s">
        <v>385</v>
      </c>
      <c r="R10507" t="s">
        <v>159</v>
      </c>
      <c r="S10507">
        <v>3</v>
      </c>
      <c r="T10507" t="s">
        <v>8675</v>
      </c>
      <c r="U10507" s="1">
        <v>43348</v>
      </c>
      <c r="V10507" t="s">
        <v>89</v>
      </c>
      <c r="W10507" t="s">
        <v>90</v>
      </c>
      <c r="X10507" t="s">
        <v>58</v>
      </c>
      <c r="Y10507">
        <v>24</v>
      </c>
      <c r="Z10507" t="s">
        <v>59</v>
      </c>
      <c r="AA10507" t="s">
        <v>59</v>
      </c>
      <c r="AB10507" t="s">
        <v>59</v>
      </c>
      <c r="AC10507" t="s">
        <v>59</v>
      </c>
      <c r="AD10507" t="s">
        <v>59</v>
      </c>
      <c r="AF10507" s="1">
        <v>43348</v>
      </c>
      <c r="AG10507" t="s">
        <v>8645</v>
      </c>
      <c r="AH10507" t="s">
        <v>8646</v>
      </c>
      <c r="AI10507" t="str">
        <f>"9500358"</f>
        <v>9500358</v>
      </c>
      <c r="AJ10507" t="s">
        <v>13948</v>
      </c>
      <c r="AK10507">
        <v>2821093459</v>
      </c>
      <c r="AL10507" t="s">
        <v>13949</v>
      </c>
      <c r="AM10507" t="s">
        <v>88</v>
      </c>
      <c r="AN10507" t="s">
        <v>88</v>
      </c>
      <c r="AO10507" t="s">
        <v>6733</v>
      </c>
      <c r="AP10507" t="s">
        <v>6755</v>
      </c>
      <c r="AQ10507">
        <v>2</v>
      </c>
      <c r="AR10507" t="s">
        <v>89</v>
      </c>
      <c r="AS10507" t="s">
        <v>90</v>
      </c>
      <c r="AT10507" t="s">
        <v>58</v>
      </c>
      <c r="AU10507" t="s">
        <v>8673</v>
      </c>
      <c r="AV10507" t="s">
        <v>132</v>
      </c>
      <c r="AW10507" s="1">
        <v>29091</v>
      </c>
      <c r="AX10507">
        <v>1</v>
      </c>
    </row>
    <row r="10508" spans="1:50">
      <c r="B10508" t="str">
        <f>"140711723"</f>
        <v>140711723</v>
      </c>
      <c r="C10508" t="s">
        <v>50</v>
      </c>
      <c r="D10508" t="s">
        <v>11436</v>
      </c>
      <c r="E10508" t="s">
        <v>1068</v>
      </c>
      <c r="F10508" t="s">
        <v>84</v>
      </c>
      <c r="G10508" t="s">
        <v>1484</v>
      </c>
      <c r="H10508" t="str">
        <f>"28 ΟΚΤΩΒΡΙΟΥ 4 "</f>
        <v xml:space="preserve">28 ΟΚΤΩΒΡΙΟΥ 4 </v>
      </c>
      <c r="I10508">
        <v>13231</v>
      </c>
      <c r="J10508">
        <v>2105065205</v>
      </c>
      <c r="K10508">
        <v>6972440606</v>
      </c>
      <c r="N10508" t="s">
        <v>1525</v>
      </c>
      <c r="O10508" t="s">
        <v>1526</v>
      </c>
      <c r="R10508" t="s">
        <v>159</v>
      </c>
      <c r="S10508">
        <v>3</v>
      </c>
      <c r="T10508" t="s">
        <v>8670</v>
      </c>
      <c r="U10508" s="1">
        <v>43348</v>
      </c>
      <c r="V10508" t="s">
        <v>89</v>
      </c>
      <c r="W10508" t="s">
        <v>90</v>
      </c>
      <c r="X10508" t="s">
        <v>58</v>
      </c>
      <c r="Y10508">
        <v>25</v>
      </c>
      <c r="Z10508" t="s">
        <v>59</v>
      </c>
      <c r="AA10508" t="s">
        <v>59</v>
      </c>
      <c r="AB10508" t="s">
        <v>59</v>
      </c>
      <c r="AC10508" t="s">
        <v>59</v>
      </c>
      <c r="AD10508" t="s">
        <v>59</v>
      </c>
      <c r="AF10508" s="1">
        <v>43348</v>
      </c>
      <c r="AG10508" t="s">
        <v>8651</v>
      </c>
      <c r="AH10508" t="s">
        <v>8652</v>
      </c>
      <c r="AI10508" t="str">
        <f>"9500343"</f>
        <v>9500343</v>
      </c>
      <c r="AJ10508" t="s">
        <v>13950</v>
      </c>
      <c r="AK10508">
        <v>2824022284</v>
      </c>
      <c r="AL10508" t="s">
        <v>13951</v>
      </c>
      <c r="AM10508" t="s">
        <v>88</v>
      </c>
      <c r="AN10508" t="s">
        <v>6764</v>
      </c>
      <c r="AO10508" t="s">
        <v>6765</v>
      </c>
      <c r="AP10508" t="s">
        <v>13952</v>
      </c>
      <c r="AQ10508">
        <v>6</v>
      </c>
      <c r="AR10508" t="s">
        <v>89</v>
      </c>
      <c r="AS10508" t="s">
        <v>90</v>
      </c>
      <c r="AT10508" t="s">
        <v>58</v>
      </c>
      <c r="AU10508" t="s">
        <v>8673</v>
      </c>
      <c r="AV10508" t="s">
        <v>132</v>
      </c>
      <c r="AW10508" s="1">
        <v>30688</v>
      </c>
      <c r="AX10508">
        <v>1</v>
      </c>
    </row>
    <row r="10509" spans="1:50">
      <c r="A10509">
        <v>602308</v>
      </c>
      <c r="B10509" t="str">
        <f>"115501039"</f>
        <v>115501039</v>
      </c>
      <c r="C10509" t="s">
        <v>50</v>
      </c>
      <c r="D10509" t="s">
        <v>15388</v>
      </c>
      <c r="E10509" t="s">
        <v>15389</v>
      </c>
      <c r="F10509" t="s">
        <v>450</v>
      </c>
      <c r="G10509" t="s">
        <v>4361</v>
      </c>
      <c r="H10509" t="str">
        <f>"Μακεδονίας 60 Κουμ-Καπί Χανιά"</f>
        <v>Μακεδονίας 60 Κουμ-Καπί Χανιά</v>
      </c>
      <c r="I10509">
        <v>12133</v>
      </c>
      <c r="J10509">
        <v>2821045408</v>
      </c>
      <c r="K10509">
        <v>6972272476</v>
      </c>
      <c r="L10509">
        <v>6972272476</v>
      </c>
      <c r="M10509" t="s">
        <v>15390</v>
      </c>
      <c r="N10509" t="s">
        <v>615</v>
      </c>
      <c r="O10509" t="s">
        <v>616</v>
      </c>
      <c r="R10509" t="s">
        <v>57</v>
      </c>
      <c r="S10509">
        <v>7</v>
      </c>
      <c r="T10509">
        <v>207</v>
      </c>
      <c r="U10509" s="1">
        <v>37866</v>
      </c>
      <c r="V10509" t="s">
        <v>89</v>
      </c>
      <c r="W10509" t="s">
        <v>90</v>
      </c>
      <c r="X10509" t="s">
        <v>58</v>
      </c>
      <c r="Y10509">
        <v>22</v>
      </c>
      <c r="Z10509" t="s">
        <v>59</v>
      </c>
      <c r="AA10509" t="s">
        <v>59</v>
      </c>
      <c r="AB10509" t="s">
        <v>59</v>
      </c>
      <c r="AC10509" t="s">
        <v>59</v>
      </c>
      <c r="AD10509" t="s">
        <v>59</v>
      </c>
      <c r="AF10509" s="1">
        <v>37866</v>
      </c>
      <c r="AG10509" t="s">
        <v>8645</v>
      </c>
      <c r="AH10509" t="s">
        <v>8646</v>
      </c>
      <c r="AI10509" t="str">
        <f>"9500075"</f>
        <v>9500075</v>
      </c>
      <c r="AJ10509" t="s">
        <v>13955</v>
      </c>
      <c r="AK10509">
        <v>2821046505</v>
      </c>
      <c r="AL10509" t="s">
        <v>13956</v>
      </c>
      <c r="AM10509" t="s">
        <v>88</v>
      </c>
      <c r="AN10509" t="s">
        <v>88</v>
      </c>
      <c r="AO10509" t="s">
        <v>88</v>
      </c>
      <c r="AP10509" t="s">
        <v>88</v>
      </c>
      <c r="AQ10509">
        <v>1</v>
      </c>
      <c r="AR10509" t="s">
        <v>89</v>
      </c>
      <c r="AS10509" t="s">
        <v>90</v>
      </c>
      <c r="AT10509" t="s">
        <v>58</v>
      </c>
      <c r="AU10509" t="s">
        <v>68</v>
      </c>
      <c r="AV10509" t="s">
        <v>69</v>
      </c>
      <c r="AW10509" s="1">
        <v>29233</v>
      </c>
      <c r="AX10509">
        <v>1</v>
      </c>
    </row>
    <row r="10510" spans="1:50">
      <c r="B10510" t="str">
        <f>"149874227"</f>
        <v>149874227</v>
      </c>
      <c r="C10510" t="s">
        <v>50</v>
      </c>
      <c r="D10510" t="s">
        <v>15391</v>
      </c>
      <c r="E10510" t="s">
        <v>109</v>
      </c>
      <c r="F10510" t="s">
        <v>95</v>
      </c>
      <c r="G10510" t="s">
        <v>620</v>
      </c>
      <c r="H10510" t="str">
        <f>"Φιλίππου Δούλη 2 Νάουσα Ημαθίας"</f>
        <v>Φιλίππου Δούλη 2 Νάουσα Ημαθίας</v>
      </c>
      <c r="J10510">
        <v>2332023447</v>
      </c>
      <c r="K10510">
        <v>6972154731</v>
      </c>
      <c r="N10510" t="s">
        <v>8694</v>
      </c>
      <c r="O10510" t="s">
        <v>8695</v>
      </c>
      <c r="R10510" t="s">
        <v>159</v>
      </c>
      <c r="S10510">
        <v>1</v>
      </c>
      <c r="T10510" t="s">
        <v>8696</v>
      </c>
      <c r="U10510" s="1">
        <v>43348</v>
      </c>
      <c r="V10510" t="s">
        <v>89</v>
      </c>
      <c r="W10510" t="s">
        <v>90</v>
      </c>
      <c r="X10510" t="s">
        <v>58</v>
      </c>
      <c r="Y10510">
        <v>24</v>
      </c>
      <c r="Z10510" t="s">
        <v>59</v>
      </c>
      <c r="AA10510" t="s">
        <v>59</v>
      </c>
      <c r="AB10510" t="s">
        <v>59</v>
      </c>
      <c r="AD10510" t="s">
        <v>59</v>
      </c>
      <c r="AF10510" s="1">
        <v>43348</v>
      </c>
      <c r="AG10510" t="s">
        <v>8645</v>
      </c>
      <c r="AH10510" t="s">
        <v>8646</v>
      </c>
      <c r="AI10510" t="str">
        <f>"9500173"</f>
        <v>9500173</v>
      </c>
      <c r="AJ10510" t="s">
        <v>14513</v>
      </c>
      <c r="AK10510">
        <v>2823022235</v>
      </c>
      <c r="AL10510" t="s">
        <v>14514</v>
      </c>
      <c r="AM10510" t="s">
        <v>88</v>
      </c>
      <c r="AN10510" t="s">
        <v>6824</v>
      </c>
      <c r="AO10510" t="s">
        <v>6825</v>
      </c>
      <c r="AP10510" t="s">
        <v>6826</v>
      </c>
      <c r="AQ10510">
        <v>11</v>
      </c>
      <c r="AR10510" t="s">
        <v>89</v>
      </c>
      <c r="AS10510" t="s">
        <v>90</v>
      </c>
      <c r="AT10510" t="s">
        <v>58</v>
      </c>
      <c r="AU10510" t="s">
        <v>350</v>
      </c>
      <c r="AV10510" t="s">
        <v>132</v>
      </c>
      <c r="AW10510" s="1">
        <v>34169</v>
      </c>
      <c r="AX10510">
        <v>1</v>
      </c>
    </row>
    <row r="10511" spans="1:50">
      <c r="A10511">
        <v>620733</v>
      </c>
      <c r="B10511" t="str">
        <f>"136424018"</f>
        <v>136424018</v>
      </c>
      <c r="C10511" t="s">
        <v>50</v>
      </c>
      <c r="D10511" t="s">
        <v>11443</v>
      </c>
      <c r="E10511" t="s">
        <v>237</v>
      </c>
      <c r="F10511" t="s">
        <v>474</v>
      </c>
      <c r="G10511" t="s">
        <v>52</v>
      </c>
      <c r="H10511" t="str">
        <f>"ΑΓ. ΜΑΡΙΝΑ ΧΑΝΙΑ"</f>
        <v>ΑΓ. ΜΑΡΙΝΑ ΧΑΝΙΑ</v>
      </c>
      <c r="I10511">
        <v>73100</v>
      </c>
      <c r="J10511">
        <v>2821068075</v>
      </c>
      <c r="K10511">
        <v>6983640660</v>
      </c>
      <c r="N10511" t="s">
        <v>615</v>
      </c>
      <c r="O10511" t="s">
        <v>616</v>
      </c>
      <c r="R10511" t="s">
        <v>57</v>
      </c>
      <c r="S10511">
        <v>5</v>
      </c>
      <c r="T10511">
        <v>653</v>
      </c>
      <c r="U10511" s="1">
        <v>40043</v>
      </c>
      <c r="V10511" t="s">
        <v>89</v>
      </c>
      <c r="W10511" t="s">
        <v>90</v>
      </c>
      <c r="X10511" t="s">
        <v>58</v>
      </c>
      <c r="Y10511">
        <v>23</v>
      </c>
      <c r="Z10511" t="s">
        <v>59</v>
      </c>
      <c r="AA10511" t="s">
        <v>59</v>
      </c>
      <c r="AB10511" t="s">
        <v>59</v>
      </c>
      <c r="AC10511" t="s">
        <v>59</v>
      </c>
      <c r="AD10511" t="s">
        <v>59</v>
      </c>
      <c r="AF10511" s="1">
        <v>40043</v>
      </c>
      <c r="AG10511" t="s">
        <v>8645</v>
      </c>
      <c r="AH10511" t="s">
        <v>8646</v>
      </c>
      <c r="AI10511" t="str">
        <f>"9500218"</f>
        <v>9500218</v>
      </c>
      <c r="AJ10511" t="s">
        <v>13992</v>
      </c>
      <c r="AK10511">
        <v>2824022216</v>
      </c>
      <c r="AL10511" t="s">
        <v>13993</v>
      </c>
      <c r="AM10511" t="s">
        <v>88</v>
      </c>
      <c r="AN10511" t="s">
        <v>6764</v>
      </c>
      <c r="AO10511" t="s">
        <v>6799</v>
      </c>
      <c r="AP10511" t="s">
        <v>6799</v>
      </c>
      <c r="AQ10511">
        <v>6</v>
      </c>
      <c r="AR10511" t="s">
        <v>89</v>
      </c>
      <c r="AS10511" t="s">
        <v>90</v>
      </c>
      <c r="AT10511" t="s">
        <v>58</v>
      </c>
      <c r="AU10511" t="s">
        <v>68</v>
      </c>
      <c r="AV10511" t="s">
        <v>69</v>
      </c>
      <c r="AW10511" s="1">
        <v>31405</v>
      </c>
      <c r="AX10511">
        <v>1</v>
      </c>
    </row>
    <row r="10512" spans="1:50">
      <c r="A10512">
        <v>547538</v>
      </c>
      <c r="B10512" t="str">
        <f>"110865657"</f>
        <v>110865657</v>
      </c>
      <c r="C10512" t="s">
        <v>50</v>
      </c>
      <c r="D10512" t="s">
        <v>11443</v>
      </c>
      <c r="E10512" t="s">
        <v>73</v>
      </c>
      <c r="F10512" t="s">
        <v>9532</v>
      </c>
      <c r="G10512" t="s">
        <v>181</v>
      </c>
      <c r="H10512" t="str">
        <f>" "</f>
        <v xml:space="preserve"> </v>
      </c>
      <c r="N10512" t="s">
        <v>1525</v>
      </c>
      <c r="O10512" t="s">
        <v>1526</v>
      </c>
      <c r="R10512" t="s">
        <v>57</v>
      </c>
      <c r="S10512">
        <v>18</v>
      </c>
      <c r="T10512">
        <v>293</v>
      </c>
      <c r="U10512" s="1">
        <v>30218</v>
      </c>
      <c r="V10512" t="s">
        <v>89</v>
      </c>
      <c r="W10512" t="s">
        <v>90</v>
      </c>
      <c r="X10512" t="s">
        <v>58</v>
      </c>
      <c r="Y10512">
        <v>25</v>
      </c>
      <c r="Z10512" t="s">
        <v>59</v>
      </c>
      <c r="AA10512" t="s">
        <v>59</v>
      </c>
      <c r="AB10512" t="s">
        <v>59</v>
      </c>
      <c r="AC10512" t="s">
        <v>59</v>
      </c>
      <c r="AD10512" t="s">
        <v>59</v>
      </c>
      <c r="AF10512" s="1">
        <v>30224</v>
      </c>
      <c r="AG10512" t="s">
        <v>8651</v>
      </c>
      <c r="AH10512" t="s">
        <v>8652</v>
      </c>
      <c r="AI10512" t="str">
        <f>"9500416"</f>
        <v>9500416</v>
      </c>
      <c r="AJ10512" t="s">
        <v>14425</v>
      </c>
      <c r="AK10512">
        <v>2822023003</v>
      </c>
      <c r="AL10512" t="s">
        <v>14426</v>
      </c>
      <c r="AM10512" t="s">
        <v>88</v>
      </c>
      <c r="AN10512" t="s">
        <v>6744</v>
      </c>
      <c r="AO10512" t="s">
        <v>6744</v>
      </c>
      <c r="AP10512" t="s">
        <v>6744</v>
      </c>
      <c r="AQ10512">
        <v>9</v>
      </c>
      <c r="AR10512" t="s">
        <v>89</v>
      </c>
      <c r="AS10512" t="s">
        <v>90</v>
      </c>
      <c r="AT10512" t="s">
        <v>58</v>
      </c>
      <c r="AU10512" t="s">
        <v>68</v>
      </c>
      <c r="AV10512" t="s">
        <v>69</v>
      </c>
      <c r="AW10512" s="1">
        <v>22235</v>
      </c>
      <c r="AX10512">
        <v>1</v>
      </c>
    </row>
    <row r="10513" spans="1:50">
      <c r="A10513">
        <v>600015</v>
      </c>
      <c r="B10513" t="str">
        <f>"034986575"</f>
        <v>034986575</v>
      </c>
      <c r="C10513" t="s">
        <v>50</v>
      </c>
      <c r="D10513" t="s">
        <v>15392</v>
      </c>
      <c r="E10513" t="s">
        <v>801</v>
      </c>
      <c r="F10513" t="s">
        <v>414</v>
      </c>
      <c r="G10513" t="s">
        <v>15393</v>
      </c>
      <c r="H10513" t="str">
        <f>"ΚΕΑΣ ΑΓ. ΑΠΟΣΤΟΛΟΥ ΧΑΝΙΑ"</f>
        <v>ΚΕΑΣ ΑΓ. ΑΠΟΣΤΟΛΟΥ ΧΑΝΙΑ</v>
      </c>
      <c r="I10513">
        <v>73100</v>
      </c>
      <c r="J10513">
        <v>2821029846</v>
      </c>
      <c r="K10513">
        <v>6947690080</v>
      </c>
      <c r="N10513" t="s">
        <v>615</v>
      </c>
      <c r="O10513" t="s">
        <v>616</v>
      </c>
      <c r="R10513" t="s">
        <v>57</v>
      </c>
      <c r="S10513">
        <v>9</v>
      </c>
      <c r="T10513">
        <v>195</v>
      </c>
      <c r="U10513" s="1">
        <v>37497</v>
      </c>
      <c r="V10513" t="s">
        <v>89</v>
      </c>
      <c r="W10513" t="s">
        <v>90</v>
      </c>
      <c r="X10513" t="s">
        <v>58</v>
      </c>
      <c r="Y10513">
        <v>22</v>
      </c>
      <c r="Z10513" t="s">
        <v>59</v>
      </c>
      <c r="AA10513" t="s">
        <v>59</v>
      </c>
      <c r="AB10513" t="s">
        <v>59</v>
      </c>
      <c r="AC10513" t="s">
        <v>59</v>
      </c>
      <c r="AD10513" t="s">
        <v>59</v>
      </c>
      <c r="AF10513" s="1">
        <v>37497</v>
      </c>
      <c r="AG10513" t="s">
        <v>8645</v>
      </c>
      <c r="AH10513" t="s">
        <v>8646</v>
      </c>
      <c r="AI10513" t="str">
        <f>"9500167"</f>
        <v>9500167</v>
      </c>
      <c r="AJ10513" t="s">
        <v>13922</v>
      </c>
      <c r="AK10513">
        <v>2821068357</v>
      </c>
      <c r="AL10513" t="s">
        <v>13923</v>
      </c>
      <c r="AM10513" t="s">
        <v>88</v>
      </c>
      <c r="AN10513" t="s">
        <v>6764</v>
      </c>
      <c r="AO10513" t="s">
        <v>6764</v>
      </c>
      <c r="AP10513" t="s">
        <v>6764</v>
      </c>
      <c r="AQ10513">
        <v>5</v>
      </c>
      <c r="AR10513" t="s">
        <v>89</v>
      </c>
      <c r="AS10513" t="s">
        <v>90</v>
      </c>
      <c r="AT10513" t="s">
        <v>58</v>
      </c>
      <c r="AU10513" t="s">
        <v>68</v>
      </c>
      <c r="AV10513" t="s">
        <v>69</v>
      </c>
      <c r="AW10513" s="1">
        <v>24613</v>
      </c>
      <c r="AX10513">
        <v>1</v>
      </c>
    </row>
    <row r="10514" spans="1:50">
      <c r="A10514">
        <v>612500</v>
      </c>
      <c r="B10514" t="str">
        <f>"061529241"</f>
        <v>061529241</v>
      </c>
      <c r="C10514" t="s">
        <v>50</v>
      </c>
      <c r="D10514" t="s">
        <v>15394</v>
      </c>
      <c r="E10514" t="s">
        <v>2194</v>
      </c>
      <c r="F10514" t="s">
        <v>108</v>
      </c>
      <c r="G10514" t="s">
        <v>4729</v>
      </c>
      <c r="H10514" t="str">
        <f>"ΛΟΥΗ 5 ΘΕΣ/ΝΙΚΗ"</f>
        <v>ΛΟΥΗ 5 ΘΕΣ/ΝΙΚΗ</v>
      </c>
      <c r="I10514">
        <v>54622</v>
      </c>
      <c r="J10514">
        <v>2310230957</v>
      </c>
      <c r="K10514">
        <v>6944572928</v>
      </c>
      <c r="M10514" t="s">
        <v>15395</v>
      </c>
      <c r="N10514" t="s">
        <v>176</v>
      </c>
      <c r="O10514" t="s">
        <v>177</v>
      </c>
      <c r="R10514" t="s">
        <v>57</v>
      </c>
      <c r="S10514">
        <v>8</v>
      </c>
      <c r="T10514">
        <v>234</v>
      </c>
      <c r="U10514" s="1">
        <v>38960</v>
      </c>
      <c r="V10514" t="s">
        <v>89</v>
      </c>
      <c r="W10514" t="s">
        <v>90</v>
      </c>
      <c r="X10514" t="s">
        <v>58</v>
      </c>
      <c r="Y10514">
        <v>22</v>
      </c>
      <c r="Z10514" t="s">
        <v>59</v>
      </c>
      <c r="AA10514" t="s">
        <v>59</v>
      </c>
      <c r="AB10514" t="s">
        <v>59</v>
      </c>
      <c r="AC10514" t="s">
        <v>59</v>
      </c>
      <c r="AD10514" t="s">
        <v>59</v>
      </c>
      <c r="AF10514" s="1">
        <v>38961</v>
      </c>
      <c r="AG10514" t="s">
        <v>8645</v>
      </c>
      <c r="AH10514" t="s">
        <v>8646</v>
      </c>
      <c r="AI10514" t="str">
        <f>"9500004"</f>
        <v>9500004</v>
      </c>
      <c r="AJ10514" t="s">
        <v>13897</v>
      </c>
      <c r="AK10514">
        <v>2825022272</v>
      </c>
      <c r="AL10514" t="s">
        <v>13898</v>
      </c>
      <c r="AM10514" t="s">
        <v>88</v>
      </c>
      <c r="AN10514" t="s">
        <v>6775</v>
      </c>
      <c r="AO10514" t="s">
        <v>6776</v>
      </c>
      <c r="AP10514" t="s">
        <v>6776</v>
      </c>
      <c r="AQ10514">
        <v>7</v>
      </c>
      <c r="AR10514" t="s">
        <v>89</v>
      </c>
      <c r="AS10514" t="s">
        <v>90</v>
      </c>
      <c r="AT10514" t="s">
        <v>58</v>
      </c>
      <c r="AU10514" t="s">
        <v>68</v>
      </c>
      <c r="AV10514" t="s">
        <v>69</v>
      </c>
      <c r="AW10514" s="1">
        <v>25689</v>
      </c>
      <c r="AX10514">
        <v>1</v>
      </c>
    </row>
    <row r="10515" spans="1:50">
      <c r="A10515">
        <v>606033</v>
      </c>
      <c r="B10515" t="str">
        <f>"037564808"</f>
        <v>037564808</v>
      </c>
      <c r="C10515" t="s">
        <v>50</v>
      </c>
      <c r="D10515" t="s">
        <v>15396</v>
      </c>
      <c r="E10515" t="s">
        <v>155</v>
      </c>
      <c r="F10515" t="s">
        <v>95</v>
      </c>
      <c r="G10515" t="s">
        <v>263</v>
      </c>
      <c r="H10515" t="str">
        <f>" "</f>
        <v xml:space="preserve"> </v>
      </c>
      <c r="J10515">
        <v>2241041855</v>
      </c>
      <c r="K10515">
        <v>6973687591</v>
      </c>
      <c r="N10515" t="s">
        <v>1525</v>
      </c>
      <c r="O10515" t="s">
        <v>1526</v>
      </c>
      <c r="R10515" t="s">
        <v>57</v>
      </c>
      <c r="S10515">
        <v>10</v>
      </c>
      <c r="T10515">
        <v>231</v>
      </c>
      <c r="U10515" s="1">
        <v>38230</v>
      </c>
      <c r="V10515" t="s">
        <v>89</v>
      </c>
      <c r="W10515" t="s">
        <v>90</v>
      </c>
      <c r="X10515" t="s">
        <v>58</v>
      </c>
      <c r="Y10515">
        <v>25</v>
      </c>
      <c r="Z10515" t="s">
        <v>59</v>
      </c>
      <c r="AA10515" t="s">
        <v>59</v>
      </c>
      <c r="AB10515" t="s">
        <v>59</v>
      </c>
      <c r="AC10515" t="s">
        <v>59</v>
      </c>
      <c r="AD10515" t="s">
        <v>59</v>
      </c>
      <c r="AF10515" s="1">
        <v>38231</v>
      </c>
      <c r="AG10515" t="s">
        <v>8651</v>
      </c>
      <c r="AH10515" t="s">
        <v>8652</v>
      </c>
      <c r="AI10515" t="str">
        <f>"9500190"</f>
        <v>9500190</v>
      </c>
      <c r="AJ10515" t="s">
        <v>14303</v>
      </c>
      <c r="AK10515">
        <v>2822022357</v>
      </c>
      <c r="AL10515" t="s">
        <v>14304</v>
      </c>
      <c r="AM10515" t="s">
        <v>88</v>
      </c>
      <c r="AN10515" t="s">
        <v>6744</v>
      </c>
      <c r="AO10515" t="s">
        <v>6744</v>
      </c>
      <c r="AP10515" t="s">
        <v>6744</v>
      </c>
      <c r="AQ10515">
        <v>9</v>
      </c>
      <c r="AR10515" t="s">
        <v>89</v>
      </c>
      <c r="AS10515" t="s">
        <v>90</v>
      </c>
      <c r="AT10515" t="s">
        <v>58</v>
      </c>
      <c r="AU10515" t="s">
        <v>68</v>
      </c>
      <c r="AV10515" t="s">
        <v>69</v>
      </c>
      <c r="AW10515" s="1">
        <v>21724</v>
      </c>
      <c r="AX10515">
        <v>1</v>
      </c>
    </row>
    <row r="10516" spans="1:50">
      <c r="A10516">
        <v>610766</v>
      </c>
      <c r="B10516" t="str">
        <f>"124483574"</f>
        <v>124483574</v>
      </c>
      <c r="C10516" t="s">
        <v>50</v>
      </c>
      <c r="D10516" t="s">
        <v>15396</v>
      </c>
      <c r="E10516" t="s">
        <v>52</v>
      </c>
      <c r="F10516" t="s">
        <v>315</v>
      </c>
      <c r="G10516" t="s">
        <v>155</v>
      </c>
      <c r="H10516" t="str">
        <f>"ΝΕΡΟΚΟΥΡΟΥ Τ.Θ 813 ΧΑΝΙΑ"</f>
        <v>ΝΕΡΟΚΟΥΡΟΥ Τ.Θ 813 ΧΑΝΙΑ</v>
      </c>
      <c r="I10516">
        <v>73100</v>
      </c>
      <c r="J10516">
        <v>2821096157</v>
      </c>
      <c r="K10516">
        <v>6957834986</v>
      </c>
      <c r="M10516" t="s">
        <v>15397</v>
      </c>
      <c r="N10516" t="s">
        <v>615</v>
      </c>
      <c r="O10516" t="s">
        <v>616</v>
      </c>
      <c r="R10516" t="s">
        <v>57</v>
      </c>
      <c r="S10516">
        <v>6</v>
      </c>
      <c r="T10516">
        <v>233</v>
      </c>
      <c r="U10516" s="1">
        <v>38960</v>
      </c>
      <c r="V10516" t="s">
        <v>89</v>
      </c>
      <c r="W10516" t="s">
        <v>90</v>
      </c>
      <c r="X10516" t="s">
        <v>58</v>
      </c>
      <c r="Y10516">
        <v>23</v>
      </c>
      <c r="Z10516" t="s">
        <v>59</v>
      </c>
      <c r="AA10516" t="s">
        <v>59</v>
      </c>
      <c r="AB10516" t="s">
        <v>59</v>
      </c>
      <c r="AC10516" t="s">
        <v>59</v>
      </c>
      <c r="AD10516" t="s">
        <v>59</v>
      </c>
      <c r="AF10516" s="1">
        <v>38960</v>
      </c>
      <c r="AG10516" t="s">
        <v>8645</v>
      </c>
      <c r="AH10516" t="s">
        <v>8646</v>
      </c>
      <c r="AI10516" t="str">
        <f>"9500115"</f>
        <v>9500115</v>
      </c>
      <c r="AJ10516" t="s">
        <v>14180</v>
      </c>
      <c r="AK10516">
        <v>2821081133</v>
      </c>
      <c r="AL10516" t="s">
        <v>14181</v>
      </c>
      <c r="AM10516" t="s">
        <v>88</v>
      </c>
      <c r="AN10516" t="s">
        <v>88</v>
      </c>
      <c r="AO10516" t="s">
        <v>6748</v>
      </c>
      <c r="AP10516" t="s">
        <v>14182</v>
      </c>
      <c r="AQ10516">
        <v>2</v>
      </c>
      <c r="AR10516" t="s">
        <v>89</v>
      </c>
      <c r="AS10516" t="s">
        <v>90</v>
      </c>
      <c r="AT10516" t="s">
        <v>58</v>
      </c>
      <c r="AU10516" t="s">
        <v>68</v>
      </c>
      <c r="AV10516" t="s">
        <v>69</v>
      </c>
      <c r="AW10516" s="1">
        <v>30187</v>
      </c>
      <c r="AX10516">
        <v>1</v>
      </c>
    </row>
    <row r="10517" spans="1:50">
      <c r="A10517">
        <v>579905</v>
      </c>
      <c r="B10517" t="str">
        <f>"120203264"</f>
        <v>120203264</v>
      </c>
      <c r="C10517" t="s">
        <v>50</v>
      </c>
      <c r="D10517" t="s">
        <v>15398</v>
      </c>
      <c r="E10517" t="s">
        <v>83</v>
      </c>
      <c r="F10517" t="s">
        <v>99</v>
      </c>
      <c r="G10517" t="s">
        <v>73</v>
      </c>
      <c r="H10517" t="str">
        <f>"ΚΩΝΣΤΑΝΤΙΝΟΥΠΟΛΕΩΣ  37 ΧΑΝΙΑ"</f>
        <v>ΚΩΝΣΤΑΝΤΙΝΟΥΠΟΛΕΩΣ  37 ΧΑΝΙΑ</v>
      </c>
      <c r="I10517">
        <v>73136</v>
      </c>
      <c r="J10517">
        <v>2821090148</v>
      </c>
      <c r="M10517" t="s">
        <v>15399</v>
      </c>
      <c r="N10517" t="s">
        <v>1525</v>
      </c>
      <c r="O10517" t="s">
        <v>1526</v>
      </c>
      <c r="R10517" t="s">
        <v>57</v>
      </c>
      <c r="S10517">
        <v>12</v>
      </c>
      <c r="T10517">
        <v>165</v>
      </c>
      <c r="U10517" s="1">
        <v>35306</v>
      </c>
      <c r="V10517" t="s">
        <v>89</v>
      </c>
      <c r="W10517" t="s">
        <v>90</v>
      </c>
      <c r="X10517" t="s">
        <v>58</v>
      </c>
      <c r="Y10517">
        <v>25</v>
      </c>
      <c r="Z10517" t="s">
        <v>59</v>
      </c>
      <c r="AA10517" t="s">
        <v>59</v>
      </c>
      <c r="AB10517" t="s">
        <v>59</v>
      </c>
      <c r="AC10517" t="s">
        <v>59</v>
      </c>
      <c r="AD10517" t="s">
        <v>59</v>
      </c>
      <c r="AF10517" s="1">
        <v>35306</v>
      </c>
      <c r="AG10517" t="s">
        <v>8651</v>
      </c>
      <c r="AH10517" t="s">
        <v>8652</v>
      </c>
      <c r="AI10517" t="str">
        <f>"9500250"</f>
        <v>9500250</v>
      </c>
      <c r="AJ10517" t="s">
        <v>13976</v>
      </c>
      <c r="AK10517">
        <v>2821071236</v>
      </c>
      <c r="AL10517" t="s">
        <v>13977</v>
      </c>
      <c r="AM10517" t="s">
        <v>88</v>
      </c>
      <c r="AN10517" t="s">
        <v>88</v>
      </c>
      <c r="AO10517" t="s">
        <v>88</v>
      </c>
      <c r="AP10517" t="s">
        <v>88</v>
      </c>
      <c r="AQ10517">
        <v>1</v>
      </c>
      <c r="AR10517" t="s">
        <v>89</v>
      </c>
      <c r="AS10517" t="s">
        <v>90</v>
      </c>
      <c r="AT10517" t="s">
        <v>58</v>
      </c>
      <c r="AU10517" t="s">
        <v>68</v>
      </c>
      <c r="AV10517" t="s">
        <v>69</v>
      </c>
      <c r="AW10517" s="1">
        <v>22462</v>
      </c>
      <c r="AX10517">
        <v>1</v>
      </c>
    </row>
    <row r="10518" spans="1:50">
      <c r="A10518">
        <v>701665</v>
      </c>
      <c r="B10518" t="str">
        <f>"137217273"</f>
        <v>137217273</v>
      </c>
      <c r="C10518" t="s">
        <v>50</v>
      </c>
      <c r="D10518" t="s">
        <v>15400</v>
      </c>
      <c r="E10518" t="s">
        <v>188</v>
      </c>
      <c r="F10518" t="s">
        <v>153</v>
      </c>
      <c r="G10518" t="s">
        <v>52</v>
      </c>
      <c r="H10518" t="str">
        <f>"Ν. ΚΑΖΑΝΤΖΑΚΗ ΑΓΙΟΙ ΑΠΟΣΤΟΛΟΙ ΧΑΝΙΩΝ"</f>
        <v>Ν. ΚΑΖΑΝΤΖΑΚΗ ΑΓΙΟΙ ΑΠΟΣΤΟΛΟΙ ΧΑΝΙΩΝ</v>
      </c>
      <c r="I10518">
        <v>73100</v>
      </c>
      <c r="K10518">
        <v>6978891289</v>
      </c>
      <c r="N10518" t="s">
        <v>615</v>
      </c>
      <c r="O10518" t="s">
        <v>616</v>
      </c>
      <c r="R10518" t="s">
        <v>57</v>
      </c>
      <c r="S10518">
        <v>4</v>
      </c>
      <c r="T10518">
        <v>772</v>
      </c>
      <c r="U10518" s="1">
        <v>40413</v>
      </c>
      <c r="V10518" t="s">
        <v>89</v>
      </c>
      <c r="W10518" t="s">
        <v>90</v>
      </c>
      <c r="X10518" t="s">
        <v>58</v>
      </c>
      <c r="Y10518">
        <v>24</v>
      </c>
      <c r="Z10518" t="s">
        <v>59</v>
      </c>
      <c r="AA10518" t="s">
        <v>59</v>
      </c>
      <c r="AB10518" t="s">
        <v>59</v>
      </c>
      <c r="AC10518" t="s">
        <v>59</v>
      </c>
      <c r="AD10518" t="s">
        <v>59</v>
      </c>
      <c r="AF10518" s="1">
        <v>40414</v>
      </c>
      <c r="AG10518" t="s">
        <v>8645</v>
      </c>
      <c r="AH10518" t="s">
        <v>8676</v>
      </c>
      <c r="AI10518" t="str">
        <f>"9521627"</f>
        <v>9521627</v>
      </c>
      <c r="AJ10518" t="s">
        <v>14326</v>
      </c>
      <c r="AM10518" t="s">
        <v>88</v>
      </c>
      <c r="AN10518" t="s">
        <v>88</v>
      </c>
      <c r="AO10518" t="s">
        <v>6770</v>
      </c>
      <c r="AP10518" t="s">
        <v>6771</v>
      </c>
      <c r="AR10518" t="s">
        <v>89</v>
      </c>
      <c r="AS10518" t="s">
        <v>90</v>
      </c>
      <c r="AT10518" t="s">
        <v>58</v>
      </c>
      <c r="AU10518" t="s">
        <v>68</v>
      </c>
      <c r="AV10518" t="s">
        <v>69</v>
      </c>
      <c r="AW10518" s="1">
        <v>31279</v>
      </c>
      <c r="AX10518">
        <v>1</v>
      </c>
    </row>
    <row r="10519" spans="1:50">
      <c r="A10519">
        <v>552506</v>
      </c>
      <c r="B10519" t="str">
        <f>"127736956"</f>
        <v>127736956</v>
      </c>
      <c r="C10519" t="s">
        <v>50</v>
      </c>
      <c r="D10519" t="s">
        <v>6560</v>
      </c>
      <c r="E10519" t="s">
        <v>52</v>
      </c>
      <c r="F10519" t="s">
        <v>166</v>
      </c>
      <c r="G10519" t="s">
        <v>114</v>
      </c>
      <c r="H10519" t="str">
        <f>" "</f>
        <v xml:space="preserve"> </v>
      </c>
      <c r="N10519" t="s">
        <v>1525</v>
      </c>
      <c r="O10519" t="s">
        <v>1526</v>
      </c>
      <c r="R10519" t="s">
        <v>57</v>
      </c>
      <c r="S10519">
        <v>17</v>
      </c>
      <c r="T10519">
        <v>393</v>
      </c>
      <c r="U10519" s="1">
        <v>30655</v>
      </c>
      <c r="V10519" t="s">
        <v>89</v>
      </c>
      <c r="W10519" t="s">
        <v>90</v>
      </c>
      <c r="X10519" t="s">
        <v>58</v>
      </c>
      <c r="Y10519">
        <v>25</v>
      </c>
      <c r="Z10519" t="s">
        <v>59</v>
      </c>
      <c r="AA10519" t="s">
        <v>59</v>
      </c>
      <c r="AB10519" t="s">
        <v>59</v>
      </c>
      <c r="AC10519" t="s">
        <v>59</v>
      </c>
      <c r="AD10519" t="s">
        <v>59</v>
      </c>
      <c r="AF10519" s="1">
        <v>30655</v>
      </c>
      <c r="AG10519" t="s">
        <v>8651</v>
      </c>
      <c r="AH10519" t="s">
        <v>8652</v>
      </c>
      <c r="AI10519" t="str">
        <f>"9500046"</f>
        <v>9500046</v>
      </c>
      <c r="AJ10519" t="s">
        <v>14855</v>
      </c>
      <c r="AK10519">
        <v>2821040434</v>
      </c>
      <c r="AL10519" t="s">
        <v>14856</v>
      </c>
      <c r="AM10519" t="s">
        <v>88</v>
      </c>
      <c r="AN10519" t="s">
        <v>88</v>
      </c>
      <c r="AO10519" t="s">
        <v>88</v>
      </c>
      <c r="AP10519" t="s">
        <v>88</v>
      </c>
      <c r="AQ10519">
        <v>1</v>
      </c>
      <c r="AR10519" t="s">
        <v>89</v>
      </c>
      <c r="AS10519" t="s">
        <v>90</v>
      </c>
      <c r="AT10519" t="s">
        <v>58</v>
      </c>
      <c r="AU10519" t="s">
        <v>68</v>
      </c>
      <c r="AV10519" t="s">
        <v>69</v>
      </c>
      <c r="AW10519" s="1">
        <v>22333</v>
      </c>
      <c r="AX10519">
        <v>1</v>
      </c>
    </row>
    <row r="10520" spans="1:50">
      <c r="B10520" t="str">
        <f>"144040649"</f>
        <v>144040649</v>
      </c>
      <c r="C10520" t="s">
        <v>50</v>
      </c>
      <c r="D10520" t="s">
        <v>15401</v>
      </c>
      <c r="E10520" t="s">
        <v>52</v>
      </c>
      <c r="F10520" t="s">
        <v>1041</v>
      </c>
      <c r="G10520" t="s">
        <v>109</v>
      </c>
      <c r="H10520" t="str">
        <f>" "</f>
        <v xml:space="preserve"> </v>
      </c>
      <c r="N10520" t="s">
        <v>615</v>
      </c>
      <c r="O10520" t="s">
        <v>616</v>
      </c>
      <c r="R10520" t="s">
        <v>159</v>
      </c>
      <c r="S10520">
        <v>3</v>
      </c>
      <c r="T10520" t="s">
        <v>8675</v>
      </c>
      <c r="U10520" s="1">
        <v>43348</v>
      </c>
      <c r="V10520" t="s">
        <v>89</v>
      </c>
      <c r="W10520" t="s">
        <v>90</v>
      </c>
      <c r="X10520" t="s">
        <v>58</v>
      </c>
      <c r="Y10520">
        <v>25</v>
      </c>
      <c r="Z10520" t="s">
        <v>59</v>
      </c>
      <c r="AA10520" t="s">
        <v>59</v>
      </c>
      <c r="AB10520" t="s">
        <v>59</v>
      </c>
      <c r="AC10520" t="s">
        <v>59</v>
      </c>
      <c r="AD10520" t="s">
        <v>59</v>
      </c>
      <c r="AF10520" s="1">
        <v>43348</v>
      </c>
      <c r="AG10520" t="s">
        <v>8645</v>
      </c>
      <c r="AH10520" t="s">
        <v>8676</v>
      </c>
      <c r="AI10520" t="str">
        <f>"9500052"</f>
        <v>9500052</v>
      </c>
      <c r="AJ10520" t="s">
        <v>15375</v>
      </c>
      <c r="AK10520">
        <v>2825091172</v>
      </c>
      <c r="AL10520" t="s">
        <v>15376</v>
      </c>
      <c r="AM10520" t="s">
        <v>88</v>
      </c>
      <c r="AN10520" t="s">
        <v>6995</v>
      </c>
      <c r="AO10520" t="s">
        <v>6995</v>
      </c>
      <c r="AP10520" t="s">
        <v>8796</v>
      </c>
      <c r="AQ10520">
        <v>10</v>
      </c>
      <c r="AR10520" t="s">
        <v>89</v>
      </c>
      <c r="AS10520" t="s">
        <v>90</v>
      </c>
      <c r="AT10520" t="s">
        <v>58</v>
      </c>
      <c r="AU10520" t="s">
        <v>8673</v>
      </c>
      <c r="AV10520" t="s">
        <v>132</v>
      </c>
      <c r="AW10520" s="1">
        <v>32813</v>
      </c>
      <c r="AX10520">
        <v>1</v>
      </c>
    </row>
    <row r="10521" spans="1:50">
      <c r="A10521">
        <v>553453</v>
      </c>
      <c r="B10521" t="str">
        <f>"030730867"</f>
        <v>030730867</v>
      </c>
      <c r="C10521" t="s">
        <v>105</v>
      </c>
      <c r="D10521" t="s">
        <v>15402</v>
      </c>
      <c r="E10521" t="s">
        <v>72</v>
      </c>
      <c r="F10521" t="s">
        <v>760</v>
      </c>
      <c r="G10521" t="s">
        <v>955</v>
      </c>
      <c r="H10521" t="str">
        <f>"Π. ΚΥΡΙΑΚΑΚΗ ΒΛΗΤΕΣ ΧΑΝΙΩΝ"</f>
        <v>Π. ΚΥΡΙΑΚΑΚΗ ΒΛΗΤΕΣ ΧΑΝΙΩΝ</v>
      </c>
      <c r="I10521">
        <v>73200</v>
      </c>
      <c r="J10521">
        <v>2821081706</v>
      </c>
      <c r="K10521">
        <v>6976528925</v>
      </c>
      <c r="N10521" t="s">
        <v>615</v>
      </c>
      <c r="O10521" t="s">
        <v>616</v>
      </c>
      <c r="R10521" t="s">
        <v>57</v>
      </c>
      <c r="S10521">
        <v>17</v>
      </c>
      <c r="T10521">
        <v>235</v>
      </c>
      <c r="U10521" s="1">
        <v>31289</v>
      </c>
      <c r="V10521" t="s">
        <v>89</v>
      </c>
      <c r="W10521" t="s">
        <v>90</v>
      </c>
      <c r="X10521" t="s">
        <v>58</v>
      </c>
      <c r="Y10521">
        <v>21</v>
      </c>
      <c r="Z10521" t="s">
        <v>59</v>
      </c>
      <c r="AA10521" t="s">
        <v>59</v>
      </c>
      <c r="AB10521" t="s">
        <v>59</v>
      </c>
      <c r="AC10521" t="s">
        <v>59</v>
      </c>
      <c r="AD10521" t="s">
        <v>59</v>
      </c>
      <c r="AF10521" s="1">
        <v>31289</v>
      </c>
      <c r="AG10521" t="s">
        <v>8645</v>
      </c>
      <c r="AH10521" t="s">
        <v>8646</v>
      </c>
      <c r="AI10521" t="str">
        <f>"9500115"</f>
        <v>9500115</v>
      </c>
      <c r="AJ10521" t="s">
        <v>14180</v>
      </c>
      <c r="AK10521">
        <v>2821081133</v>
      </c>
      <c r="AL10521" t="s">
        <v>14181</v>
      </c>
      <c r="AM10521" t="s">
        <v>88</v>
      </c>
      <c r="AN10521" t="s">
        <v>88</v>
      </c>
      <c r="AO10521" t="s">
        <v>6748</v>
      </c>
      <c r="AP10521" t="s">
        <v>14182</v>
      </c>
      <c r="AQ10521">
        <v>2</v>
      </c>
      <c r="AR10521" t="s">
        <v>89</v>
      </c>
      <c r="AS10521" t="s">
        <v>90</v>
      </c>
      <c r="AT10521" t="s">
        <v>58</v>
      </c>
      <c r="AU10521" t="s">
        <v>68</v>
      </c>
      <c r="AV10521" t="s">
        <v>69</v>
      </c>
      <c r="AW10521" s="1">
        <v>22386</v>
      </c>
      <c r="AX10521">
        <v>1</v>
      </c>
    </row>
    <row r="10522" spans="1:50">
      <c r="A10522">
        <v>611145</v>
      </c>
      <c r="B10522" t="str">
        <f>"043228020"</f>
        <v>043228020</v>
      </c>
      <c r="C10522" t="s">
        <v>50</v>
      </c>
      <c r="D10522" t="s">
        <v>8340</v>
      </c>
      <c r="E10522" t="s">
        <v>73</v>
      </c>
      <c r="F10522" t="s">
        <v>5974</v>
      </c>
      <c r="G10522" t="s">
        <v>250</v>
      </c>
      <c r="H10522" t="str">
        <f>" "</f>
        <v xml:space="preserve"> </v>
      </c>
      <c r="J10522">
        <v>2821088162</v>
      </c>
      <c r="K10522">
        <v>6973554205</v>
      </c>
      <c r="N10522" t="s">
        <v>1525</v>
      </c>
      <c r="O10522" t="s">
        <v>1526</v>
      </c>
      <c r="R10522" t="s">
        <v>57</v>
      </c>
      <c r="S10522">
        <v>7</v>
      </c>
      <c r="T10522">
        <v>233</v>
      </c>
      <c r="U10522" s="1">
        <v>38960</v>
      </c>
      <c r="V10522" t="s">
        <v>89</v>
      </c>
      <c r="W10522" t="s">
        <v>90</v>
      </c>
      <c r="X10522" t="s">
        <v>58</v>
      </c>
      <c r="Y10522">
        <v>25</v>
      </c>
      <c r="Z10522" t="s">
        <v>59</v>
      </c>
      <c r="AA10522" t="s">
        <v>59</v>
      </c>
      <c r="AB10522" t="s">
        <v>59</v>
      </c>
      <c r="AC10522" t="s">
        <v>59</v>
      </c>
      <c r="AD10522" t="s">
        <v>59</v>
      </c>
      <c r="AF10522" s="1">
        <v>38961</v>
      </c>
      <c r="AG10522" t="s">
        <v>8651</v>
      </c>
      <c r="AH10522" t="s">
        <v>8652</v>
      </c>
      <c r="AI10522" t="str">
        <f>"9500369"</f>
        <v>9500369</v>
      </c>
      <c r="AJ10522" t="s">
        <v>14080</v>
      </c>
      <c r="AK10522">
        <v>2821099596</v>
      </c>
      <c r="AL10522" t="s">
        <v>14081</v>
      </c>
      <c r="AM10522" t="s">
        <v>88</v>
      </c>
      <c r="AN10522" t="s">
        <v>88</v>
      </c>
      <c r="AO10522" t="s">
        <v>6733</v>
      </c>
      <c r="AP10522" t="s">
        <v>6755</v>
      </c>
      <c r="AQ10522">
        <v>2</v>
      </c>
      <c r="AR10522" t="s">
        <v>89</v>
      </c>
      <c r="AS10522" t="s">
        <v>90</v>
      </c>
      <c r="AT10522" t="s">
        <v>58</v>
      </c>
      <c r="AU10522" t="s">
        <v>68</v>
      </c>
      <c r="AV10522" t="s">
        <v>69</v>
      </c>
      <c r="AW10522" s="1">
        <v>24434</v>
      </c>
      <c r="AX10522">
        <v>1</v>
      </c>
    </row>
    <row r="10523" spans="1:50">
      <c r="A10523">
        <v>600969</v>
      </c>
      <c r="B10523" t="str">
        <f>"077112050"</f>
        <v>077112050</v>
      </c>
      <c r="C10523" t="s">
        <v>50</v>
      </c>
      <c r="D10523" t="s">
        <v>8344</v>
      </c>
      <c r="E10523" t="s">
        <v>83</v>
      </c>
      <c r="F10523" t="s">
        <v>95</v>
      </c>
      <c r="G10523" t="s">
        <v>83</v>
      </c>
      <c r="H10523" t="str">
        <f>"7η ΠΑΡ.ΑΝΑΓΝΩΣΤΟΥ ΓΟΓΟΝΗ 3 "</f>
        <v xml:space="preserve">7η ΠΑΡ.ΑΝΑΓΝΩΣΤΟΥ ΓΟΓΟΝΗ 3 </v>
      </c>
      <c r="I10523">
        <v>73100</v>
      </c>
      <c r="J10523">
        <v>2821086692</v>
      </c>
      <c r="K10523">
        <v>6955696569</v>
      </c>
      <c r="N10523" t="s">
        <v>615</v>
      </c>
      <c r="O10523" t="s">
        <v>616</v>
      </c>
      <c r="R10523" t="s">
        <v>57</v>
      </c>
      <c r="S10523">
        <v>8</v>
      </c>
      <c r="T10523">
        <v>207</v>
      </c>
      <c r="U10523" s="1">
        <v>37866</v>
      </c>
      <c r="V10523" t="s">
        <v>89</v>
      </c>
      <c r="W10523" t="s">
        <v>90</v>
      </c>
      <c r="X10523" t="s">
        <v>58</v>
      </c>
      <c r="Y10523">
        <v>22</v>
      </c>
      <c r="Z10523" t="s">
        <v>59</v>
      </c>
      <c r="AA10523" t="s">
        <v>59</v>
      </c>
      <c r="AB10523" t="s">
        <v>59</v>
      </c>
      <c r="AC10523" t="s">
        <v>59</v>
      </c>
      <c r="AD10523" t="s">
        <v>59</v>
      </c>
      <c r="AF10523" s="1">
        <v>37866</v>
      </c>
      <c r="AG10523" t="s">
        <v>8645</v>
      </c>
      <c r="AH10523" t="s">
        <v>8646</v>
      </c>
      <c r="AI10523" t="str">
        <f>"9500070"</f>
        <v>9500070</v>
      </c>
      <c r="AJ10523" t="s">
        <v>14221</v>
      </c>
      <c r="AK10523">
        <v>2821095817</v>
      </c>
      <c r="AL10523" t="s">
        <v>14222</v>
      </c>
      <c r="AM10523" t="s">
        <v>88</v>
      </c>
      <c r="AN10523" t="s">
        <v>88</v>
      </c>
      <c r="AO10523" t="s">
        <v>88</v>
      </c>
      <c r="AP10523" t="s">
        <v>88</v>
      </c>
      <c r="AQ10523">
        <v>1</v>
      </c>
      <c r="AR10523" t="s">
        <v>89</v>
      </c>
      <c r="AS10523" t="s">
        <v>90</v>
      </c>
      <c r="AT10523" t="s">
        <v>58</v>
      </c>
      <c r="AU10523" t="s">
        <v>68</v>
      </c>
      <c r="AV10523" t="s">
        <v>69</v>
      </c>
      <c r="AW10523" s="1">
        <v>26687</v>
      </c>
      <c r="AX10523">
        <v>1</v>
      </c>
    </row>
    <row r="10524" spans="1:50">
      <c r="A10524">
        <v>604101</v>
      </c>
      <c r="B10524" t="str">
        <f>"054384280"</f>
        <v>054384280</v>
      </c>
      <c r="C10524" t="s">
        <v>50</v>
      </c>
      <c r="D10524" t="s">
        <v>8344</v>
      </c>
      <c r="E10524" t="s">
        <v>83</v>
      </c>
      <c r="F10524" t="s">
        <v>72</v>
      </c>
      <c r="G10524" t="s">
        <v>755</v>
      </c>
      <c r="H10524" t="str">
        <f>"ΜΑΛΕΜΕ ΧΑΝΙΩΝ"</f>
        <v>ΜΑΛΕΜΕ ΧΑΝΙΩΝ</v>
      </c>
      <c r="J10524">
        <v>2821062025</v>
      </c>
      <c r="K10524">
        <v>6972079595</v>
      </c>
      <c r="N10524" t="s">
        <v>615</v>
      </c>
      <c r="O10524" t="s">
        <v>616</v>
      </c>
      <c r="R10524" t="s">
        <v>57</v>
      </c>
      <c r="S10524">
        <v>8</v>
      </c>
      <c r="T10524">
        <v>231</v>
      </c>
      <c r="U10524" s="1">
        <v>38230</v>
      </c>
      <c r="V10524" t="s">
        <v>89</v>
      </c>
      <c r="W10524" t="s">
        <v>90</v>
      </c>
      <c r="X10524" t="s">
        <v>58</v>
      </c>
      <c r="Y10524">
        <v>22</v>
      </c>
      <c r="Z10524" t="s">
        <v>59</v>
      </c>
      <c r="AA10524" t="s">
        <v>59</v>
      </c>
      <c r="AB10524" t="s">
        <v>59</v>
      </c>
      <c r="AC10524" t="s">
        <v>59</v>
      </c>
      <c r="AD10524" t="s">
        <v>59</v>
      </c>
      <c r="AF10524" s="1">
        <v>38230</v>
      </c>
      <c r="AG10524" t="s">
        <v>8645</v>
      </c>
      <c r="AH10524" t="s">
        <v>8646</v>
      </c>
      <c r="AI10524" t="str">
        <f>"9500167"</f>
        <v>9500167</v>
      </c>
      <c r="AJ10524" t="s">
        <v>13922</v>
      </c>
      <c r="AK10524">
        <v>2821068357</v>
      </c>
      <c r="AL10524" t="s">
        <v>13923</v>
      </c>
      <c r="AM10524" t="s">
        <v>88</v>
      </c>
      <c r="AN10524" t="s">
        <v>6764</v>
      </c>
      <c r="AO10524" t="s">
        <v>6764</v>
      </c>
      <c r="AP10524" t="s">
        <v>6764</v>
      </c>
      <c r="AQ10524">
        <v>5</v>
      </c>
      <c r="AR10524" t="s">
        <v>89</v>
      </c>
      <c r="AS10524" t="s">
        <v>90</v>
      </c>
      <c r="AT10524" t="s">
        <v>58</v>
      </c>
      <c r="AU10524" t="s">
        <v>68</v>
      </c>
      <c r="AV10524" t="s">
        <v>69</v>
      </c>
      <c r="AW10524" s="1">
        <v>26832</v>
      </c>
      <c r="AX10524">
        <v>1</v>
      </c>
    </row>
    <row r="10525" spans="1:50">
      <c r="A10525">
        <v>560532</v>
      </c>
      <c r="B10525" t="str">
        <f>"118475361"</f>
        <v>118475361</v>
      </c>
      <c r="C10525" t="s">
        <v>50</v>
      </c>
      <c r="D10525" t="s">
        <v>15403</v>
      </c>
      <c r="E10525" t="s">
        <v>922</v>
      </c>
      <c r="F10525" t="s">
        <v>72</v>
      </c>
      <c r="G10525" t="s">
        <v>1641</v>
      </c>
      <c r="H10525" t="str">
        <f>" "</f>
        <v xml:space="preserve"> </v>
      </c>
      <c r="N10525" t="s">
        <v>1525</v>
      </c>
      <c r="O10525" t="s">
        <v>1526</v>
      </c>
      <c r="R10525" t="s">
        <v>57</v>
      </c>
      <c r="S10525">
        <v>15</v>
      </c>
      <c r="T10525">
        <v>185</v>
      </c>
      <c r="U10525" s="1">
        <v>32035</v>
      </c>
      <c r="V10525" t="s">
        <v>89</v>
      </c>
      <c r="W10525" t="s">
        <v>90</v>
      </c>
      <c r="X10525" t="s">
        <v>58</v>
      </c>
      <c r="Y10525">
        <v>25</v>
      </c>
      <c r="Z10525" t="s">
        <v>59</v>
      </c>
      <c r="AA10525" t="s">
        <v>59</v>
      </c>
      <c r="AB10525" t="s">
        <v>59</v>
      </c>
      <c r="AC10525" t="s">
        <v>59</v>
      </c>
      <c r="AD10525" t="s">
        <v>59</v>
      </c>
      <c r="AF10525" s="1">
        <v>32035</v>
      </c>
      <c r="AG10525" t="s">
        <v>8651</v>
      </c>
      <c r="AH10525" t="s">
        <v>8652</v>
      </c>
      <c r="AI10525" t="str">
        <f>"9500255"</f>
        <v>9500255</v>
      </c>
      <c r="AJ10525" t="s">
        <v>13971</v>
      </c>
      <c r="AK10525">
        <v>2821078777</v>
      </c>
      <c r="AL10525" t="s">
        <v>13972</v>
      </c>
      <c r="AM10525" t="s">
        <v>88</v>
      </c>
      <c r="AN10525" t="s">
        <v>6764</v>
      </c>
      <c r="AO10525" t="s">
        <v>6885</v>
      </c>
      <c r="AP10525" t="s">
        <v>6886</v>
      </c>
      <c r="AQ10525">
        <v>4</v>
      </c>
      <c r="AR10525" t="s">
        <v>89</v>
      </c>
      <c r="AS10525" t="s">
        <v>90</v>
      </c>
      <c r="AT10525" t="s">
        <v>58</v>
      </c>
      <c r="AU10525" t="s">
        <v>68</v>
      </c>
      <c r="AV10525" t="s">
        <v>69</v>
      </c>
      <c r="AW10525" s="1">
        <v>23155</v>
      </c>
      <c r="AX10525">
        <v>1</v>
      </c>
    </row>
    <row r="10526" spans="1:50">
      <c r="A10526">
        <v>602348</v>
      </c>
      <c r="B10526" t="str">
        <f>"078788593"</f>
        <v>078788593</v>
      </c>
      <c r="C10526" t="s">
        <v>105</v>
      </c>
      <c r="D10526" t="s">
        <v>15404</v>
      </c>
      <c r="E10526" t="s">
        <v>670</v>
      </c>
      <c r="F10526" t="s">
        <v>377</v>
      </c>
      <c r="G10526" t="s">
        <v>263</v>
      </c>
      <c r="H10526" t="str">
        <f>"ΠΛΑΤΗ  ΠΙΘΑΡΙ ΧΑΝΙΩΝ"</f>
        <v>ΠΛΑΤΗ  ΠΙΘΑΡΙ ΧΑΝΙΩΝ</v>
      </c>
      <c r="I10526">
        <v>73100</v>
      </c>
      <c r="J10526">
        <v>2821049003</v>
      </c>
      <c r="K10526">
        <v>6943753711</v>
      </c>
      <c r="M10526" t="s">
        <v>15405</v>
      </c>
      <c r="N10526" t="s">
        <v>615</v>
      </c>
      <c r="O10526" t="s">
        <v>616</v>
      </c>
      <c r="R10526" t="s">
        <v>57</v>
      </c>
      <c r="S10526">
        <v>9</v>
      </c>
      <c r="T10526">
        <v>207</v>
      </c>
      <c r="U10526" s="1">
        <v>37866</v>
      </c>
      <c r="V10526" t="s">
        <v>89</v>
      </c>
      <c r="W10526" t="s">
        <v>90</v>
      </c>
      <c r="X10526" t="s">
        <v>58</v>
      </c>
      <c r="Y10526">
        <v>25</v>
      </c>
      <c r="Z10526" t="s">
        <v>59</v>
      </c>
      <c r="AA10526" t="s">
        <v>59</v>
      </c>
      <c r="AB10526" t="s">
        <v>59</v>
      </c>
      <c r="AC10526" t="s">
        <v>59</v>
      </c>
      <c r="AD10526" t="s">
        <v>59</v>
      </c>
      <c r="AF10526" s="1">
        <v>37866</v>
      </c>
      <c r="AG10526" t="s">
        <v>8645</v>
      </c>
      <c r="AH10526" t="s">
        <v>8676</v>
      </c>
      <c r="AI10526" t="str">
        <f>"9500091"</f>
        <v>9500091</v>
      </c>
      <c r="AJ10526" t="s">
        <v>14072</v>
      </c>
      <c r="AK10526">
        <v>2821065223</v>
      </c>
      <c r="AL10526" t="s">
        <v>14073</v>
      </c>
      <c r="AM10526" t="s">
        <v>88</v>
      </c>
      <c r="AN10526" t="s">
        <v>88</v>
      </c>
      <c r="AO10526" t="s">
        <v>14074</v>
      </c>
      <c r="AP10526" t="s">
        <v>14075</v>
      </c>
      <c r="AQ10526">
        <v>2</v>
      </c>
      <c r="AR10526" t="s">
        <v>89</v>
      </c>
      <c r="AS10526" t="s">
        <v>90</v>
      </c>
      <c r="AT10526" t="s">
        <v>58</v>
      </c>
      <c r="AU10526" t="s">
        <v>68</v>
      </c>
      <c r="AV10526" t="s">
        <v>69</v>
      </c>
      <c r="AW10526" s="1">
        <v>27087</v>
      </c>
      <c r="AX10526">
        <v>1</v>
      </c>
    </row>
    <row r="10527" spans="1:50">
      <c r="A10527">
        <v>555117</v>
      </c>
      <c r="B10527" t="str">
        <f>"031756198"</f>
        <v>031756198</v>
      </c>
      <c r="C10527" t="s">
        <v>105</v>
      </c>
      <c r="D10527" t="s">
        <v>15406</v>
      </c>
      <c r="E10527" t="s">
        <v>99</v>
      </c>
      <c r="F10527" t="s">
        <v>1743</v>
      </c>
      <c r="G10527" t="s">
        <v>15407</v>
      </c>
      <c r="H10527" t="str">
        <f>"ΤΡΟΙΑΣ ΓΕΡΜΑΝΙΚΟ ΠΟΥΛΙ ΧΑΝΙΑ"</f>
        <v>ΤΡΟΙΑΣ ΓΕΡΜΑΝΙΚΟ ΠΟΥΛΙ ΧΑΝΙΑ</v>
      </c>
      <c r="I10527">
        <v>73100</v>
      </c>
      <c r="J10527">
        <v>2821076377</v>
      </c>
      <c r="K10527">
        <v>6973842766</v>
      </c>
      <c r="N10527" t="s">
        <v>615</v>
      </c>
      <c r="O10527" t="s">
        <v>616</v>
      </c>
      <c r="R10527" t="s">
        <v>57</v>
      </c>
      <c r="S10527">
        <v>16</v>
      </c>
      <c r="T10527">
        <v>200</v>
      </c>
      <c r="U10527" s="1">
        <v>31657</v>
      </c>
      <c r="V10527" t="s">
        <v>89</v>
      </c>
      <c r="W10527" t="s">
        <v>90</v>
      </c>
      <c r="X10527" t="s">
        <v>58</v>
      </c>
      <c r="Y10527">
        <v>21</v>
      </c>
      <c r="Z10527" t="s">
        <v>59</v>
      </c>
      <c r="AA10527" t="s">
        <v>59</v>
      </c>
      <c r="AB10527" t="s">
        <v>59</v>
      </c>
      <c r="AC10527" t="s">
        <v>59</v>
      </c>
      <c r="AD10527" t="s">
        <v>59</v>
      </c>
      <c r="AF10527" s="1">
        <v>31657</v>
      </c>
      <c r="AG10527" t="s">
        <v>8645</v>
      </c>
      <c r="AH10527" t="s">
        <v>8646</v>
      </c>
      <c r="AI10527" t="str">
        <f>"9500358"</f>
        <v>9500358</v>
      </c>
      <c r="AJ10527" t="s">
        <v>13948</v>
      </c>
      <c r="AK10527">
        <v>2821093459</v>
      </c>
      <c r="AL10527" t="s">
        <v>13949</v>
      </c>
      <c r="AM10527" t="s">
        <v>88</v>
      </c>
      <c r="AN10527" t="s">
        <v>88</v>
      </c>
      <c r="AO10527" t="s">
        <v>6733</v>
      </c>
      <c r="AP10527" t="s">
        <v>6755</v>
      </c>
      <c r="AQ10527">
        <v>2</v>
      </c>
      <c r="AR10527" t="s">
        <v>89</v>
      </c>
      <c r="AS10527" t="s">
        <v>90</v>
      </c>
      <c r="AT10527" t="s">
        <v>58</v>
      </c>
      <c r="AU10527" t="s">
        <v>68</v>
      </c>
      <c r="AV10527" t="s">
        <v>69</v>
      </c>
      <c r="AW10527" s="1">
        <v>22793</v>
      </c>
      <c r="AX10527">
        <v>1</v>
      </c>
    </row>
    <row r="10528" spans="1:50">
      <c r="A10528">
        <v>621590</v>
      </c>
      <c r="B10528" t="str">
        <f>"109131609"</f>
        <v>109131609</v>
      </c>
      <c r="C10528" t="s">
        <v>50</v>
      </c>
      <c r="D10528" t="s">
        <v>3865</v>
      </c>
      <c r="E10528" t="s">
        <v>83</v>
      </c>
      <c r="F10528" t="s">
        <v>202</v>
      </c>
      <c r="G10528" t="s">
        <v>1108</v>
      </c>
      <c r="H10528" t="str">
        <f>"ΣΟΦΟΚΛΗ 9 "</f>
        <v xml:space="preserve">ΣΟΦΟΚΛΗ 9 </v>
      </c>
      <c r="I10528">
        <v>57019</v>
      </c>
      <c r="J10528">
        <v>2392110275</v>
      </c>
      <c r="K10528">
        <v>6937449505</v>
      </c>
      <c r="N10528" t="s">
        <v>615</v>
      </c>
      <c r="O10528" t="s">
        <v>616</v>
      </c>
      <c r="R10528" t="s">
        <v>57</v>
      </c>
      <c r="S10528">
        <v>4</v>
      </c>
      <c r="T10528">
        <v>653</v>
      </c>
      <c r="U10528" s="1">
        <v>40043</v>
      </c>
      <c r="V10528" t="s">
        <v>89</v>
      </c>
      <c r="W10528" t="s">
        <v>90</v>
      </c>
      <c r="X10528" t="s">
        <v>58</v>
      </c>
      <c r="Y10528">
        <v>24</v>
      </c>
      <c r="Z10528" t="s">
        <v>59</v>
      </c>
      <c r="AA10528" t="s">
        <v>59</v>
      </c>
      <c r="AB10528" t="s">
        <v>59</v>
      </c>
      <c r="AC10528" t="s">
        <v>59</v>
      </c>
      <c r="AD10528" t="s">
        <v>59</v>
      </c>
      <c r="AF10528" s="1">
        <v>40043</v>
      </c>
      <c r="AG10528" t="s">
        <v>8645</v>
      </c>
      <c r="AH10528" t="s">
        <v>8646</v>
      </c>
      <c r="AI10528" t="str">
        <f>"9500070"</f>
        <v>9500070</v>
      </c>
      <c r="AJ10528" t="s">
        <v>14221</v>
      </c>
      <c r="AK10528">
        <v>2821095817</v>
      </c>
      <c r="AL10528" t="s">
        <v>14222</v>
      </c>
      <c r="AM10528" t="s">
        <v>88</v>
      </c>
      <c r="AN10528" t="s">
        <v>88</v>
      </c>
      <c r="AO10528" t="s">
        <v>88</v>
      </c>
      <c r="AP10528" t="s">
        <v>88</v>
      </c>
      <c r="AQ10528">
        <v>1</v>
      </c>
      <c r="AR10528" t="s">
        <v>89</v>
      </c>
      <c r="AS10528" t="s">
        <v>90</v>
      </c>
      <c r="AT10528" t="s">
        <v>58</v>
      </c>
      <c r="AU10528" t="s">
        <v>68</v>
      </c>
      <c r="AV10528" t="s">
        <v>69</v>
      </c>
      <c r="AW10528" s="1">
        <v>29220</v>
      </c>
      <c r="AX10528">
        <v>1</v>
      </c>
    </row>
    <row r="10529" spans="1:50">
      <c r="A10529">
        <v>618762</v>
      </c>
      <c r="B10529" t="str">
        <f>"110307230"</f>
        <v>110307230</v>
      </c>
      <c r="C10529" t="s">
        <v>50</v>
      </c>
      <c r="D10529" t="s">
        <v>3865</v>
      </c>
      <c r="E10529" t="s">
        <v>52</v>
      </c>
      <c r="F10529" t="s">
        <v>72</v>
      </c>
      <c r="G10529" t="s">
        <v>367</v>
      </c>
      <c r="H10529" t="str">
        <f>"ΠΕΡΙΚΛΕΟΥΣ 4 ΑΓΙΟΣ ΝΙΚΟΛΑΟΣ"</f>
        <v>ΠΕΡΙΚΛΕΟΥΣ 4 ΑΓΙΟΣ ΝΙΚΟΛΑΟΣ</v>
      </c>
      <c r="I10529">
        <v>72100</v>
      </c>
      <c r="J10529">
        <v>2841022828</v>
      </c>
      <c r="K10529">
        <v>6942860723</v>
      </c>
      <c r="N10529" t="s">
        <v>615</v>
      </c>
      <c r="O10529" t="s">
        <v>616</v>
      </c>
      <c r="R10529" t="s">
        <v>57</v>
      </c>
      <c r="S10529">
        <v>5</v>
      </c>
      <c r="T10529">
        <v>774</v>
      </c>
      <c r="U10529" s="1">
        <v>39680</v>
      </c>
      <c r="V10529" t="s">
        <v>89</v>
      </c>
      <c r="W10529" t="s">
        <v>90</v>
      </c>
      <c r="X10529" t="s">
        <v>58</v>
      </c>
      <c r="Y10529">
        <v>23</v>
      </c>
      <c r="Z10529" t="s">
        <v>59</v>
      </c>
      <c r="AA10529" t="s">
        <v>59</v>
      </c>
      <c r="AB10529" t="s">
        <v>59</v>
      </c>
      <c r="AC10529" t="s">
        <v>59</v>
      </c>
      <c r="AD10529" t="s">
        <v>59</v>
      </c>
      <c r="AF10529" s="1">
        <v>39680</v>
      </c>
      <c r="AG10529" t="s">
        <v>8645</v>
      </c>
      <c r="AH10529" t="s">
        <v>8646</v>
      </c>
      <c r="AI10529" t="str">
        <f>"9500070"</f>
        <v>9500070</v>
      </c>
      <c r="AJ10529" t="s">
        <v>14221</v>
      </c>
      <c r="AK10529">
        <v>2821095817</v>
      </c>
      <c r="AL10529" t="s">
        <v>14222</v>
      </c>
      <c r="AM10529" t="s">
        <v>88</v>
      </c>
      <c r="AN10529" t="s">
        <v>88</v>
      </c>
      <c r="AO10529" t="s">
        <v>88</v>
      </c>
      <c r="AP10529" t="s">
        <v>88</v>
      </c>
      <c r="AQ10529">
        <v>1</v>
      </c>
      <c r="AR10529" t="s">
        <v>89</v>
      </c>
      <c r="AS10529" t="s">
        <v>90</v>
      </c>
      <c r="AT10529" t="s">
        <v>58</v>
      </c>
      <c r="AU10529" t="s">
        <v>68</v>
      </c>
      <c r="AV10529" t="s">
        <v>69</v>
      </c>
      <c r="AW10529" s="1">
        <v>29281</v>
      </c>
      <c r="AX10529">
        <v>1</v>
      </c>
    </row>
    <row r="10530" spans="1:50">
      <c r="B10530" t="str">
        <f>"072476039"</f>
        <v>072476039</v>
      </c>
      <c r="C10530" t="s">
        <v>50</v>
      </c>
      <c r="D10530" t="s">
        <v>15408</v>
      </c>
      <c r="E10530" t="s">
        <v>263</v>
      </c>
      <c r="F10530" t="s">
        <v>53</v>
      </c>
      <c r="H10530" t="str">
        <f>" "</f>
        <v xml:space="preserve"> </v>
      </c>
      <c r="N10530" t="s">
        <v>1525</v>
      </c>
      <c r="O10530" t="s">
        <v>1526</v>
      </c>
      <c r="R10530" t="s">
        <v>159</v>
      </c>
      <c r="S10530">
        <v>2</v>
      </c>
      <c r="T10530" t="s">
        <v>8670</v>
      </c>
      <c r="U10530" s="1">
        <v>43348</v>
      </c>
      <c r="V10530" t="s">
        <v>89</v>
      </c>
      <c r="W10530" t="s">
        <v>90</v>
      </c>
      <c r="X10530" t="s">
        <v>58</v>
      </c>
      <c r="Y10530">
        <v>25</v>
      </c>
      <c r="Z10530" t="s">
        <v>59</v>
      </c>
      <c r="AA10530" t="s">
        <v>59</v>
      </c>
      <c r="AB10530" t="s">
        <v>59</v>
      </c>
      <c r="AC10530" t="s">
        <v>59</v>
      </c>
      <c r="AD10530" t="s">
        <v>59</v>
      </c>
      <c r="AF10530" s="1">
        <v>43348</v>
      </c>
      <c r="AG10530" t="s">
        <v>8651</v>
      </c>
      <c r="AH10530" t="s">
        <v>8652</v>
      </c>
      <c r="AI10530" t="str">
        <f>"9500226"</f>
        <v>9500226</v>
      </c>
      <c r="AJ10530" t="s">
        <v>14063</v>
      </c>
      <c r="AK10530">
        <v>2822041706</v>
      </c>
      <c r="AL10530" t="s">
        <v>14064</v>
      </c>
      <c r="AM10530" t="s">
        <v>88</v>
      </c>
      <c r="AN10530" t="s">
        <v>6744</v>
      </c>
      <c r="AO10530" t="s">
        <v>6744</v>
      </c>
      <c r="AP10530" t="s">
        <v>13045</v>
      </c>
      <c r="AQ10530">
        <v>9</v>
      </c>
      <c r="AR10530" t="s">
        <v>89</v>
      </c>
      <c r="AS10530" t="s">
        <v>90</v>
      </c>
      <c r="AT10530" t="s">
        <v>58</v>
      </c>
      <c r="AU10530" t="s">
        <v>8673</v>
      </c>
      <c r="AV10530" t="s">
        <v>132</v>
      </c>
      <c r="AW10530" s="1">
        <v>25389</v>
      </c>
      <c r="AX10530">
        <v>1</v>
      </c>
    </row>
    <row r="10531" spans="1:50">
      <c r="A10531">
        <v>589782</v>
      </c>
      <c r="B10531" t="str">
        <f>"101585846"</f>
        <v>101585846</v>
      </c>
      <c r="C10531" t="s">
        <v>50</v>
      </c>
      <c r="D10531" t="s">
        <v>15409</v>
      </c>
      <c r="E10531" t="s">
        <v>238</v>
      </c>
      <c r="F10531" t="s">
        <v>95</v>
      </c>
      <c r="G10531" t="s">
        <v>411</v>
      </c>
      <c r="H10531" t="str">
        <f>" "</f>
        <v xml:space="preserve"> </v>
      </c>
      <c r="N10531" t="s">
        <v>1525</v>
      </c>
      <c r="O10531" t="s">
        <v>1526</v>
      </c>
      <c r="R10531" t="s">
        <v>57</v>
      </c>
      <c r="S10531">
        <v>10</v>
      </c>
      <c r="T10531">
        <v>176</v>
      </c>
      <c r="U10531" s="1">
        <v>36403</v>
      </c>
      <c r="V10531" t="s">
        <v>89</v>
      </c>
      <c r="W10531" t="s">
        <v>90</v>
      </c>
      <c r="X10531" t="s">
        <v>58</v>
      </c>
      <c r="Y10531">
        <v>25</v>
      </c>
      <c r="Z10531" t="s">
        <v>59</v>
      </c>
      <c r="AA10531" t="s">
        <v>59</v>
      </c>
      <c r="AB10531" t="s">
        <v>59</v>
      </c>
      <c r="AC10531" t="s">
        <v>59</v>
      </c>
      <c r="AD10531" t="s">
        <v>59</v>
      </c>
      <c r="AF10531" s="1">
        <v>36403</v>
      </c>
      <c r="AG10531" t="s">
        <v>8651</v>
      </c>
      <c r="AH10531" t="s">
        <v>8652</v>
      </c>
      <c r="AI10531" t="str">
        <f>"9500037"</f>
        <v>9500037</v>
      </c>
      <c r="AJ10531" t="s">
        <v>15038</v>
      </c>
      <c r="AK10531">
        <v>2821054493</v>
      </c>
      <c r="AL10531" t="s">
        <v>15039</v>
      </c>
      <c r="AM10531" t="s">
        <v>88</v>
      </c>
      <c r="AN10531" t="s">
        <v>88</v>
      </c>
      <c r="AO10531" t="s">
        <v>88</v>
      </c>
      <c r="AP10531" t="s">
        <v>88</v>
      </c>
      <c r="AQ10531">
        <v>1</v>
      </c>
      <c r="AR10531" t="s">
        <v>89</v>
      </c>
      <c r="AS10531" t="s">
        <v>90</v>
      </c>
      <c r="AT10531" t="s">
        <v>58</v>
      </c>
      <c r="AU10531" t="s">
        <v>68</v>
      </c>
      <c r="AV10531" t="s">
        <v>69</v>
      </c>
      <c r="AW10531" s="1">
        <v>24036</v>
      </c>
      <c r="AX10531">
        <v>1</v>
      </c>
    </row>
    <row r="10532" spans="1:50">
      <c r="B10532" t="str">
        <f>"144041683"</f>
        <v>144041683</v>
      </c>
      <c r="C10532" t="s">
        <v>50</v>
      </c>
      <c r="D10532" t="s">
        <v>5471</v>
      </c>
      <c r="E10532" t="s">
        <v>52</v>
      </c>
      <c r="F10532" t="s">
        <v>106</v>
      </c>
      <c r="G10532" t="s">
        <v>600</v>
      </c>
      <c r="H10532" t="str">
        <f>"ΑΓΙΑ ΚΥΔΩΝΙΑΣ "</f>
        <v xml:space="preserve">ΑΓΙΑ ΚΥΔΩΝΙΑΣ </v>
      </c>
      <c r="I10532">
        <v>73005</v>
      </c>
      <c r="J10532">
        <v>2821078615</v>
      </c>
      <c r="K10532">
        <v>6946450939</v>
      </c>
      <c r="N10532" t="s">
        <v>8694</v>
      </c>
      <c r="O10532" t="s">
        <v>8695</v>
      </c>
      <c r="R10532" t="s">
        <v>159</v>
      </c>
      <c r="S10532">
        <v>3</v>
      </c>
      <c r="T10532" t="s">
        <v>8696</v>
      </c>
      <c r="U10532" s="1">
        <v>43348</v>
      </c>
      <c r="V10532" t="s">
        <v>89</v>
      </c>
      <c r="W10532" t="s">
        <v>90</v>
      </c>
      <c r="X10532" t="s">
        <v>58</v>
      </c>
      <c r="Y10532">
        <v>24</v>
      </c>
      <c r="Z10532" t="s">
        <v>59</v>
      </c>
      <c r="AA10532" t="s">
        <v>59</v>
      </c>
      <c r="AB10532" t="s">
        <v>59</v>
      </c>
      <c r="AC10532" t="s">
        <v>59</v>
      </c>
      <c r="AD10532" t="s">
        <v>59</v>
      </c>
      <c r="AF10532" s="1">
        <v>43348</v>
      </c>
      <c r="AG10532" t="s">
        <v>8645</v>
      </c>
      <c r="AH10532" t="s">
        <v>8646</v>
      </c>
      <c r="AI10532" t="str">
        <f>"9500126"</f>
        <v>9500126</v>
      </c>
      <c r="AJ10532" t="s">
        <v>14245</v>
      </c>
      <c r="AK10532">
        <v>2824031229</v>
      </c>
      <c r="AL10532" t="s">
        <v>14246</v>
      </c>
      <c r="AM10532" t="s">
        <v>88</v>
      </c>
      <c r="AN10532" t="s">
        <v>6764</v>
      </c>
      <c r="AO10532" t="s">
        <v>6765</v>
      </c>
      <c r="AP10532" t="s">
        <v>6765</v>
      </c>
      <c r="AQ10532">
        <v>6</v>
      </c>
      <c r="AR10532" t="s">
        <v>89</v>
      </c>
      <c r="AS10532" t="s">
        <v>90</v>
      </c>
      <c r="AT10532" t="s">
        <v>58</v>
      </c>
      <c r="AU10532" t="s">
        <v>350</v>
      </c>
      <c r="AV10532" t="s">
        <v>132</v>
      </c>
      <c r="AW10532" s="1">
        <v>31853</v>
      </c>
      <c r="AX10532">
        <v>1</v>
      </c>
    </row>
    <row r="10533" spans="1:50">
      <c r="A10533">
        <v>613180</v>
      </c>
      <c r="B10533" t="str">
        <f>"122951422"</f>
        <v>122951422</v>
      </c>
      <c r="C10533" t="s">
        <v>50</v>
      </c>
      <c r="D10533" t="s">
        <v>15410</v>
      </c>
      <c r="E10533" t="s">
        <v>52</v>
      </c>
      <c r="F10533" t="s">
        <v>92</v>
      </c>
      <c r="G10533" t="s">
        <v>112</v>
      </c>
      <c r="H10533" t="str">
        <f>"ΑΛΙΚΙΑΝΟΣ ΧΑΝΙΑ"</f>
        <v>ΑΛΙΚΙΑΝΟΣ ΧΑΝΙΑ</v>
      </c>
      <c r="I10533">
        <v>73005</v>
      </c>
      <c r="J10533">
        <v>2821078140</v>
      </c>
      <c r="K10533">
        <v>6946851008</v>
      </c>
      <c r="N10533" t="s">
        <v>615</v>
      </c>
      <c r="O10533" t="s">
        <v>616</v>
      </c>
      <c r="R10533" t="s">
        <v>57</v>
      </c>
      <c r="S10533">
        <v>8</v>
      </c>
      <c r="T10533">
        <v>598</v>
      </c>
      <c r="U10533" s="1">
        <v>39310</v>
      </c>
      <c r="V10533" t="s">
        <v>89</v>
      </c>
      <c r="W10533" t="s">
        <v>90</v>
      </c>
      <c r="X10533" t="s">
        <v>58</v>
      </c>
      <c r="Y10533">
        <v>23</v>
      </c>
      <c r="Z10533" t="s">
        <v>59</v>
      </c>
      <c r="AA10533" t="s">
        <v>59</v>
      </c>
      <c r="AB10533" t="s">
        <v>59</v>
      </c>
      <c r="AC10533" t="s">
        <v>59</v>
      </c>
      <c r="AD10533" t="s">
        <v>59</v>
      </c>
      <c r="AF10533" s="1">
        <v>39310</v>
      </c>
      <c r="AG10533" t="s">
        <v>8645</v>
      </c>
      <c r="AH10533" t="s">
        <v>8646</v>
      </c>
      <c r="AI10533" t="str">
        <f>"9500191"</f>
        <v>9500191</v>
      </c>
      <c r="AJ10533" t="s">
        <v>13986</v>
      </c>
      <c r="AK10533">
        <v>2822022042</v>
      </c>
      <c r="AL10533" t="s">
        <v>13987</v>
      </c>
      <c r="AM10533" t="s">
        <v>88</v>
      </c>
      <c r="AN10533" t="s">
        <v>6744</v>
      </c>
      <c r="AO10533" t="s">
        <v>6744</v>
      </c>
      <c r="AP10533" t="s">
        <v>6744</v>
      </c>
      <c r="AQ10533">
        <v>9</v>
      </c>
      <c r="AR10533" t="s">
        <v>89</v>
      </c>
      <c r="AS10533" t="s">
        <v>90</v>
      </c>
      <c r="AT10533" t="s">
        <v>58</v>
      </c>
      <c r="AU10533" t="s">
        <v>68</v>
      </c>
      <c r="AV10533" t="s">
        <v>69</v>
      </c>
      <c r="AW10533" s="1">
        <v>30113</v>
      </c>
      <c r="AX10533">
        <v>1</v>
      </c>
    </row>
    <row r="10534" spans="1:50">
      <c r="A10534">
        <v>585465</v>
      </c>
      <c r="B10534" t="str">
        <f>"056300255"</f>
        <v>056300255</v>
      </c>
      <c r="C10534" t="s">
        <v>105</v>
      </c>
      <c r="D10534" t="s">
        <v>15411</v>
      </c>
      <c r="E10534" t="s">
        <v>84</v>
      </c>
      <c r="F10534" t="s">
        <v>2337</v>
      </c>
      <c r="G10534" t="s">
        <v>10003</v>
      </c>
      <c r="H10534" t="str">
        <f>"ΑΝΕΥ ΟΔΟΥ ΑΡΩΝΙ ΧΑΝΙΩΝ"</f>
        <v>ΑΝΕΥ ΟΔΟΥ ΑΡΩΝΙ ΧΑΝΙΩΝ</v>
      </c>
      <c r="I10534">
        <v>73100</v>
      </c>
      <c r="K10534">
        <v>6945287321</v>
      </c>
      <c r="M10534" t="s">
        <v>15412</v>
      </c>
      <c r="N10534" t="s">
        <v>615</v>
      </c>
      <c r="O10534" t="s">
        <v>616</v>
      </c>
      <c r="R10534" t="s">
        <v>57</v>
      </c>
      <c r="S10534">
        <v>13</v>
      </c>
      <c r="T10534">
        <v>165</v>
      </c>
      <c r="U10534" s="1">
        <v>36040</v>
      </c>
      <c r="V10534" t="s">
        <v>89</v>
      </c>
      <c r="W10534" t="s">
        <v>90</v>
      </c>
      <c r="X10534" t="s">
        <v>58</v>
      </c>
      <c r="Y10534">
        <v>21</v>
      </c>
      <c r="Z10534" t="s">
        <v>59</v>
      </c>
      <c r="AA10534" t="s">
        <v>59</v>
      </c>
      <c r="AB10534" t="s">
        <v>59</v>
      </c>
      <c r="AC10534" t="s">
        <v>59</v>
      </c>
      <c r="AD10534" t="s">
        <v>59</v>
      </c>
      <c r="AF10534" s="1">
        <v>36040</v>
      </c>
      <c r="AG10534" t="s">
        <v>8645</v>
      </c>
      <c r="AH10534" t="s">
        <v>8646</v>
      </c>
      <c r="AI10534" t="str">
        <f>"9500408"</f>
        <v>9500408</v>
      </c>
      <c r="AJ10534" t="s">
        <v>13981</v>
      </c>
      <c r="AK10534">
        <v>2821081655</v>
      </c>
      <c r="AL10534" t="s">
        <v>13982</v>
      </c>
      <c r="AM10534" t="s">
        <v>88</v>
      </c>
      <c r="AN10534" t="s">
        <v>88</v>
      </c>
      <c r="AO10534" t="s">
        <v>6748</v>
      </c>
      <c r="AP10534" t="s">
        <v>6748</v>
      </c>
      <c r="AQ10534">
        <v>2</v>
      </c>
      <c r="AR10534" t="s">
        <v>89</v>
      </c>
      <c r="AS10534" t="s">
        <v>90</v>
      </c>
      <c r="AT10534" t="s">
        <v>58</v>
      </c>
      <c r="AU10534" t="s">
        <v>68</v>
      </c>
      <c r="AV10534" t="s">
        <v>2039</v>
      </c>
      <c r="AW10534" s="1">
        <v>25084</v>
      </c>
      <c r="AX10534">
        <v>1</v>
      </c>
    </row>
    <row r="10535" spans="1:50">
      <c r="B10535" t="str">
        <f>"130931183"</f>
        <v>130931183</v>
      </c>
      <c r="C10535" t="s">
        <v>50</v>
      </c>
      <c r="D10535" t="s">
        <v>3901</v>
      </c>
      <c r="E10535" t="s">
        <v>83</v>
      </c>
      <c r="F10535" t="s">
        <v>6024</v>
      </c>
      <c r="G10535" t="s">
        <v>52</v>
      </c>
      <c r="H10535" t="str">
        <f>"ΚΟΝΙΤΣΗΣ 6-ΜΕΤΕΩΡΑ "</f>
        <v xml:space="preserve">ΚΟΝΙΤΣΗΣ 6-ΜΕΤΕΩΡΑ </v>
      </c>
      <c r="I10535">
        <v>56532</v>
      </c>
      <c r="J10535">
        <v>2310623164</v>
      </c>
      <c r="K10535">
        <v>6997064116</v>
      </c>
      <c r="N10535" t="s">
        <v>9829</v>
      </c>
      <c r="O10535" t="s">
        <v>9830</v>
      </c>
      <c r="R10535" t="s">
        <v>159</v>
      </c>
      <c r="S10535">
        <v>5</v>
      </c>
      <c r="T10535" t="s">
        <v>8696</v>
      </c>
      <c r="U10535" s="1">
        <v>43348</v>
      </c>
      <c r="V10535" t="s">
        <v>89</v>
      </c>
      <c r="W10535" t="s">
        <v>90</v>
      </c>
      <c r="X10535" t="s">
        <v>58</v>
      </c>
      <c r="Y10535">
        <v>25</v>
      </c>
      <c r="Z10535" t="s">
        <v>59</v>
      </c>
      <c r="AA10535" t="s">
        <v>59</v>
      </c>
      <c r="AB10535" t="s">
        <v>59</v>
      </c>
      <c r="AC10535" t="s">
        <v>59</v>
      </c>
      <c r="AD10535" t="s">
        <v>59</v>
      </c>
      <c r="AF10535" s="1">
        <v>43348</v>
      </c>
      <c r="AG10535" t="s">
        <v>8651</v>
      </c>
      <c r="AH10535" t="s">
        <v>8652</v>
      </c>
      <c r="AI10535" t="str">
        <f>"9500368"</f>
        <v>9500368</v>
      </c>
      <c r="AJ10535" t="s">
        <v>14000</v>
      </c>
      <c r="AK10535">
        <v>2821031690</v>
      </c>
      <c r="AL10535" t="s">
        <v>14001</v>
      </c>
      <c r="AM10535" t="s">
        <v>88</v>
      </c>
      <c r="AN10535" t="s">
        <v>88</v>
      </c>
      <c r="AO10535" t="s">
        <v>6785</v>
      </c>
      <c r="AP10535" t="s">
        <v>13932</v>
      </c>
      <c r="AQ10535">
        <v>3</v>
      </c>
      <c r="AR10535" t="s">
        <v>89</v>
      </c>
      <c r="AS10535" t="s">
        <v>90</v>
      </c>
      <c r="AT10535" t="s">
        <v>58</v>
      </c>
      <c r="AU10535" t="s">
        <v>350</v>
      </c>
      <c r="AV10535" t="s">
        <v>132</v>
      </c>
      <c r="AW10535" s="1">
        <v>31107</v>
      </c>
      <c r="AX10535">
        <v>1</v>
      </c>
    </row>
    <row r="10536" spans="1:50">
      <c r="A10536">
        <v>703632</v>
      </c>
      <c r="B10536" t="str">
        <f>"136429339"</f>
        <v>136429339</v>
      </c>
      <c r="C10536" t="s">
        <v>50</v>
      </c>
      <c r="D10536" t="s">
        <v>13665</v>
      </c>
      <c r="E10536" t="s">
        <v>15413</v>
      </c>
      <c r="F10536" t="s">
        <v>53</v>
      </c>
      <c r="G10536" t="s">
        <v>52</v>
      </c>
      <c r="H10536" t="str">
        <f>"1Η ΠΑΡΟΔΟΣ ΑΓ. ΜΑΡΙΝΑΣ- ΜΟΥΡΝΙΕΣ "</f>
        <v xml:space="preserve">1Η ΠΑΡΟΔΟΣ ΑΓ. ΜΑΡΙΝΑΣ- ΜΟΥΡΝΙΕΣ </v>
      </c>
      <c r="I10536">
        <v>73100</v>
      </c>
      <c r="J10536">
        <v>2821093844</v>
      </c>
      <c r="K10536">
        <v>6938328694</v>
      </c>
      <c r="N10536" t="s">
        <v>1525</v>
      </c>
      <c r="O10536" t="s">
        <v>1526</v>
      </c>
      <c r="R10536" t="s">
        <v>57</v>
      </c>
      <c r="S10536">
        <v>3</v>
      </c>
      <c r="T10536">
        <v>925</v>
      </c>
      <c r="U10536" s="1">
        <v>41158</v>
      </c>
      <c r="V10536" t="s">
        <v>89</v>
      </c>
      <c r="W10536" t="s">
        <v>90</v>
      </c>
      <c r="X10536" t="s">
        <v>58</v>
      </c>
      <c r="Y10536">
        <v>25</v>
      </c>
      <c r="Z10536" t="s">
        <v>59</v>
      </c>
      <c r="AA10536" t="s">
        <v>59</v>
      </c>
      <c r="AB10536" t="s">
        <v>59</v>
      </c>
      <c r="AC10536" t="s">
        <v>59</v>
      </c>
      <c r="AD10536" t="s">
        <v>59</v>
      </c>
      <c r="AF10536" s="1">
        <v>41158</v>
      </c>
      <c r="AG10536" t="s">
        <v>8651</v>
      </c>
      <c r="AH10536" t="s">
        <v>8652</v>
      </c>
      <c r="AI10536" t="str">
        <f>"9521009"</f>
        <v>9521009</v>
      </c>
      <c r="AJ10536" t="s">
        <v>14313</v>
      </c>
      <c r="AK10536">
        <v>2822023452</v>
      </c>
      <c r="AL10536" t="s">
        <v>14314</v>
      </c>
      <c r="AM10536" t="s">
        <v>88</v>
      </c>
      <c r="AN10536" t="s">
        <v>6744</v>
      </c>
      <c r="AO10536" t="s">
        <v>6744</v>
      </c>
      <c r="AP10536" t="s">
        <v>6744</v>
      </c>
      <c r="AQ10536">
        <v>9</v>
      </c>
      <c r="AR10536" t="s">
        <v>89</v>
      </c>
      <c r="AS10536" t="s">
        <v>90</v>
      </c>
      <c r="AT10536" t="s">
        <v>58</v>
      </c>
      <c r="AU10536" t="s">
        <v>68</v>
      </c>
      <c r="AV10536" t="s">
        <v>69</v>
      </c>
      <c r="AW10536" s="1">
        <v>31833</v>
      </c>
      <c r="AX10536">
        <v>1</v>
      </c>
    </row>
    <row r="10537" spans="1:50">
      <c r="B10537" t="str">
        <f>"153241090"</f>
        <v>153241090</v>
      </c>
      <c r="C10537" t="s">
        <v>50</v>
      </c>
      <c r="D10537" t="s">
        <v>15414</v>
      </c>
      <c r="E10537" t="s">
        <v>191</v>
      </c>
      <c r="F10537" t="s">
        <v>95</v>
      </c>
      <c r="G10537" t="s">
        <v>484</v>
      </c>
      <c r="H10537" t="str">
        <f>" "</f>
        <v xml:space="preserve"> </v>
      </c>
      <c r="N10537" t="s">
        <v>615</v>
      </c>
      <c r="O10537" t="s">
        <v>616</v>
      </c>
      <c r="R10537" t="s">
        <v>159</v>
      </c>
      <c r="S10537">
        <v>1</v>
      </c>
      <c r="T10537" t="s">
        <v>8717</v>
      </c>
      <c r="U10537" s="1">
        <v>43348</v>
      </c>
      <c r="V10537" t="s">
        <v>89</v>
      </c>
      <c r="W10537" t="s">
        <v>90</v>
      </c>
      <c r="X10537" t="s">
        <v>58</v>
      </c>
      <c r="Y10537">
        <v>24</v>
      </c>
      <c r="Z10537" t="s">
        <v>59</v>
      </c>
      <c r="AA10537" t="s">
        <v>59</v>
      </c>
      <c r="AB10537" t="s">
        <v>59</v>
      </c>
      <c r="AD10537" t="s">
        <v>59</v>
      </c>
      <c r="AF10537" s="1">
        <v>43348</v>
      </c>
      <c r="AG10537" t="s">
        <v>8645</v>
      </c>
      <c r="AH10537" t="s">
        <v>8646</v>
      </c>
      <c r="AI10537" t="str">
        <f>"9500126"</f>
        <v>9500126</v>
      </c>
      <c r="AJ10537" t="s">
        <v>14245</v>
      </c>
      <c r="AK10537">
        <v>2824031229</v>
      </c>
      <c r="AL10537" t="s">
        <v>14246</v>
      </c>
      <c r="AM10537" t="s">
        <v>88</v>
      </c>
      <c r="AN10537" t="s">
        <v>6764</v>
      </c>
      <c r="AO10537" t="s">
        <v>6765</v>
      </c>
      <c r="AP10537" t="s">
        <v>6765</v>
      </c>
      <c r="AQ10537">
        <v>6</v>
      </c>
      <c r="AR10537" t="s">
        <v>89</v>
      </c>
      <c r="AS10537" t="s">
        <v>90</v>
      </c>
      <c r="AT10537" t="s">
        <v>58</v>
      </c>
      <c r="AU10537" t="s">
        <v>8720</v>
      </c>
      <c r="AV10537" t="s">
        <v>132</v>
      </c>
      <c r="AW10537" s="1">
        <v>32891</v>
      </c>
      <c r="AX10537">
        <v>1</v>
      </c>
    </row>
    <row r="10538" spans="1:50">
      <c r="A10538">
        <v>602136</v>
      </c>
      <c r="B10538" t="str">
        <f>"102535668"</f>
        <v>102535668</v>
      </c>
      <c r="C10538" t="s">
        <v>50</v>
      </c>
      <c r="D10538" t="s">
        <v>15415</v>
      </c>
      <c r="E10538" t="s">
        <v>237</v>
      </c>
      <c r="F10538" t="s">
        <v>670</v>
      </c>
      <c r="G10538" t="s">
        <v>83</v>
      </c>
      <c r="H10538" t="str">
        <f>"ΕΦΕΔΡΩΝ ΠΟΛΕΜΙΣΤΩΝ 23 ΚΡΗΤΗ"</f>
        <v>ΕΦΕΔΡΩΝ ΠΟΛΕΜΙΣΤΩΝ 23 ΚΡΗΤΗ</v>
      </c>
      <c r="I10538">
        <v>73100</v>
      </c>
      <c r="K10538">
        <v>6974313823</v>
      </c>
      <c r="N10538" t="s">
        <v>615</v>
      </c>
      <c r="O10538" t="s">
        <v>616</v>
      </c>
      <c r="R10538" t="s">
        <v>57</v>
      </c>
      <c r="S10538">
        <v>7</v>
      </c>
      <c r="T10538">
        <v>207</v>
      </c>
      <c r="U10538" s="1">
        <v>37866</v>
      </c>
      <c r="V10538" t="s">
        <v>89</v>
      </c>
      <c r="W10538" t="s">
        <v>90</v>
      </c>
      <c r="X10538" t="s">
        <v>58</v>
      </c>
      <c r="Y10538">
        <v>22</v>
      </c>
      <c r="Z10538" t="s">
        <v>59</v>
      </c>
      <c r="AA10538" t="s">
        <v>59</v>
      </c>
      <c r="AB10538" t="s">
        <v>59</v>
      </c>
      <c r="AC10538" t="s">
        <v>59</v>
      </c>
      <c r="AD10538" t="s">
        <v>59</v>
      </c>
      <c r="AF10538" s="1">
        <v>37866</v>
      </c>
      <c r="AG10538" t="s">
        <v>8645</v>
      </c>
      <c r="AH10538" t="s">
        <v>8646</v>
      </c>
      <c r="AI10538" t="str">
        <f>"9500103"</f>
        <v>9500103</v>
      </c>
      <c r="AJ10538" t="s">
        <v>14040</v>
      </c>
      <c r="AK10538">
        <v>2821090920</v>
      </c>
      <c r="AL10538" t="s">
        <v>14041</v>
      </c>
      <c r="AM10538" t="s">
        <v>88</v>
      </c>
      <c r="AN10538" t="s">
        <v>88</v>
      </c>
      <c r="AO10538" t="s">
        <v>6733</v>
      </c>
      <c r="AP10538" t="s">
        <v>6734</v>
      </c>
      <c r="AQ10538">
        <v>2</v>
      </c>
      <c r="AR10538" t="s">
        <v>89</v>
      </c>
      <c r="AS10538" t="s">
        <v>90</v>
      </c>
      <c r="AT10538" t="s">
        <v>58</v>
      </c>
      <c r="AU10538" t="s">
        <v>68</v>
      </c>
      <c r="AV10538" t="s">
        <v>69</v>
      </c>
      <c r="AW10538" s="1">
        <v>29057</v>
      </c>
      <c r="AX10538">
        <v>1</v>
      </c>
    </row>
    <row r="10539" spans="1:50">
      <c r="A10539">
        <v>621866</v>
      </c>
      <c r="B10539" t="str">
        <f>"065975902"</f>
        <v>065975902</v>
      </c>
      <c r="C10539" t="s">
        <v>50</v>
      </c>
      <c r="D10539" t="s">
        <v>15416</v>
      </c>
      <c r="E10539" t="s">
        <v>316</v>
      </c>
      <c r="F10539" t="s">
        <v>3049</v>
      </c>
      <c r="G10539" t="s">
        <v>263</v>
      </c>
      <c r="H10539" t="str">
        <f>"ΑΛΕΞ. ΦΛΕΜΙΝΓΚ 19 ΠΑΤΡΑ"</f>
        <v>ΑΛΕΞ. ΦΛΕΜΙΝΓΚ 19 ΠΑΤΡΑ</v>
      </c>
      <c r="I10539">
        <v>26335</v>
      </c>
      <c r="J10539">
        <v>2610621236</v>
      </c>
      <c r="K10539">
        <v>6932282625</v>
      </c>
      <c r="N10539" t="s">
        <v>615</v>
      </c>
      <c r="O10539" t="s">
        <v>616</v>
      </c>
      <c r="R10539" t="s">
        <v>57</v>
      </c>
      <c r="S10539">
        <v>5</v>
      </c>
      <c r="T10539">
        <v>653</v>
      </c>
      <c r="U10539" s="1">
        <v>40043</v>
      </c>
      <c r="V10539" t="s">
        <v>89</v>
      </c>
      <c r="W10539" t="s">
        <v>90</v>
      </c>
      <c r="X10539" t="s">
        <v>58</v>
      </c>
      <c r="Y10539">
        <v>23</v>
      </c>
      <c r="Z10539" t="s">
        <v>59</v>
      </c>
      <c r="AA10539" t="s">
        <v>59</v>
      </c>
      <c r="AB10539" t="s">
        <v>59</v>
      </c>
      <c r="AC10539" t="s">
        <v>59</v>
      </c>
      <c r="AD10539" t="s">
        <v>59</v>
      </c>
      <c r="AF10539" s="1">
        <v>40057</v>
      </c>
      <c r="AG10539" t="s">
        <v>8645</v>
      </c>
      <c r="AH10539" t="s">
        <v>8646</v>
      </c>
      <c r="AI10539" t="str">
        <f>"9500147"</f>
        <v>9500147</v>
      </c>
      <c r="AJ10539" t="s">
        <v>14008</v>
      </c>
      <c r="AK10539">
        <v>2821094573</v>
      </c>
      <c r="AL10539" t="s">
        <v>14009</v>
      </c>
      <c r="AM10539" t="s">
        <v>88</v>
      </c>
      <c r="AN10539" t="s">
        <v>88</v>
      </c>
      <c r="AO10539" t="s">
        <v>88</v>
      </c>
      <c r="AP10539" t="s">
        <v>88</v>
      </c>
      <c r="AQ10539">
        <v>1</v>
      </c>
      <c r="AR10539" t="s">
        <v>89</v>
      </c>
      <c r="AS10539" t="s">
        <v>90</v>
      </c>
      <c r="AT10539" t="s">
        <v>58</v>
      </c>
      <c r="AU10539" t="s">
        <v>68</v>
      </c>
      <c r="AV10539" t="s">
        <v>69</v>
      </c>
      <c r="AW10539" s="1">
        <v>30135</v>
      </c>
      <c r="AX10539">
        <v>1</v>
      </c>
    </row>
    <row r="10540" spans="1:50">
      <c r="B10540" t="str">
        <f>"144202121"</f>
        <v>144202121</v>
      </c>
      <c r="C10540" t="s">
        <v>50</v>
      </c>
      <c r="D10540" t="s">
        <v>15417</v>
      </c>
      <c r="E10540" t="s">
        <v>255</v>
      </c>
      <c r="F10540" t="s">
        <v>558</v>
      </c>
      <c r="G10540" t="s">
        <v>314</v>
      </c>
      <c r="H10540" t="str">
        <f>"ΒΕΝΙΖΕΛΟΥ 134 "</f>
        <v xml:space="preserve">ΒΕΝΙΖΕΛΟΥ 134 </v>
      </c>
      <c r="I10540">
        <v>66100</v>
      </c>
      <c r="J10540">
        <v>2521035726</v>
      </c>
      <c r="K10540">
        <v>6932348266</v>
      </c>
      <c r="N10540" t="s">
        <v>615</v>
      </c>
      <c r="O10540" t="s">
        <v>616</v>
      </c>
      <c r="R10540" t="s">
        <v>159</v>
      </c>
      <c r="S10540">
        <v>3</v>
      </c>
      <c r="T10540" t="s">
        <v>8675</v>
      </c>
      <c r="U10540" s="1">
        <v>43348</v>
      </c>
      <c r="V10540" t="s">
        <v>89</v>
      </c>
      <c r="W10540" t="s">
        <v>90</v>
      </c>
      <c r="X10540" t="s">
        <v>58</v>
      </c>
      <c r="Y10540">
        <v>24</v>
      </c>
      <c r="Z10540" t="s">
        <v>59</v>
      </c>
      <c r="AA10540" t="s">
        <v>59</v>
      </c>
      <c r="AB10540" t="s">
        <v>59</v>
      </c>
      <c r="AC10540" t="s">
        <v>59</v>
      </c>
      <c r="AD10540" t="s">
        <v>59</v>
      </c>
      <c r="AF10540" s="1">
        <v>43348</v>
      </c>
      <c r="AG10540" t="s">
        <v>8645</v>
      </c>
      <c r="AH10540" t="s">
        <v>8646</v>
      </c>
      <c r="AI10540" t="str">
        <f>"9500009"</f>
        <v>9500009</v>
      </c>
      <c r="AJ10540" t="s">
        <v>13927</v>
      </c>
      <c r="AK10540">
        <v>2825061346</v>
      </c>
      <c r="AL10540" t="s">
        <v>13928</v>
      </c>
      <c r="AM10540" t="s">
        <v>88</v>
      </c>
      <c r="AN10540" t="s">
        <v>6775</v>
      </c>
      <c r="AO10540" t="s">
        <v>13929</v>
      </c>
      <c r="AP10540" t="s">
        <v>13929</v>
      </c>
      <c r="AQ10540">
        <v>8</v>
      </c>
      <c r="AR10540" t="s">
        <v>89</v>
      </c>
      <c r="AS10540" t="s">
        <v>90</v>
      </c>
      <c r="AT10540" t="s">
        <v>58</v>
      </c>
      <c r="AU10540" t="s">
        <v>8673</v>
      </c>
      <c r="AV10540" t="s">
        <v>132</v>
      </c>
      <c r="AW10540" s="1">
        <v>32074</v>
      </c>
      <c r="AX10540">
        <v>1</v>
      </c>
    </row>
    <row r="10541" spans="1:50">
      <c r="B10541" t="str">
        <f>"149321307"</f>
        <v>149321307</v>
      </c>
      <c r="C10541" t="s">
        <v>105</v>
      </c>
      <c r="D10541" t="s">
        <v>15418</v>
      </c>
      <c r="E10541" t="s">
        <v>383</v>
      </c>
      <c r="F10541" t="s">
        <v>95</v>
      </c>
      <c r="G10541" t="s">
        <v>52</v>
      </c>
      <c r="H10541" t="str">
        <f>"ΜΑΚΕΔΟΝΙΑΣ 28Β ΠΕΡΑΜΑ ΠΕΙΡΑΙΑ"</f>
        <v>ΜΑΚΕΔΟΝΙΑΣ 28Β ΠΕΡΑΜΑ ΠΕΙΡΑΙΑ</v>
      </c>
      <c r="I10541">
        <v>18863</v>
      </c>
      <c r="J10541">
        <v>2104416501</v>
      </c>
      <c r="K10541">
        <v>6977426639</v>
      </c>
      <c r="M10541" t="s">
        <v>15419</v>
      </c>
      <c r="N10541" t="s">
        <v>337</v>
      </c>
      <c r="O10541" t="s">
        <v>338</v>
      </c>
      <c r="R10541" t="s">
        <v>159</v>
      </c>
      <c r="S10541">
        <v>2</v>
      </c>
      <c r="T10541" t="s">
        <v>8675</v>
      </c>
      <c r="U10541" s="1">
        <v>43348</v>
      </c>
      <c r="V10541" t="s">
        <v>89</v>
      </c>
      <c r="W10541" t="s">
        <v>90</v>
      </c>
      <c r="X10541" t="s">
        <v>58</v>
      </c>
      <c r="Y10541">
        <v>24</v>
      </c>
      <c r="Z10541" t="s">
        <v>59</v>
      </c>
      <c r="AA10541" t="s">
        <v>59</v>
      </c>
      <c r="AB10541" t="s">
        <v>59</v>
      </c>
      <c r="AC10541" t="s">
        <v>59</v>
      </c>
      <c r="AD10541" t="s">
        <v>59</v>
      </c>
      <c r="AF10541" s="1">
        <v>43348</v>
      </c>
      <c r="AG10541" t="s">
        <v>8645</v>
      </c>
      <c r="AH10541" t="s">
        <v>8646</v>
      </c>
      <c r="AI10541" t="str">
        <f>"9500148"</f>
        <v>9500148</v>
      </c>
      <c r="AJ10541" t="s">
        <v>13851</v>
      </c>
      <c r="AK10541">
        <v>2821068328</v>
      </c>
      <c r="AL10541" t="s">
        <v>13852</v>
      </c>
      <c r="AM10541" t="s">
        <v>88</v>
      </c>
      <c r="AN10541" t="s">
        <v>88</v>
      </c>
      <c r="AO10541" t="s">
        <v>6785</v>
      </c>
      <c r="AP10541" t="s">
        <v>13853</v>
      </c>
      <c r="AQ10541">
        <v>3</v>
      </c>
      <c r="AR10541" t="s">
        <v>89</v>
      </c>
      <c r="AS10541" t="s">
        <v>90</v>
      </c>
      <c r="AT10541" t="s">
        <v>58</v>
      </c>
      <c r="AU10541" t="s">
        <v>8673</v>
      </c>
      <c r="AV10541" t="s">
        <v>132</v>
      </c>
      <c r="AW10541" s="1">
        <v>30693</v>
      </c>
      <c r="AX10541">
        <v>1</v>
      </c>
    </row>
    <row r="10542" spans="1:50">
      <c r="B10542" t="str">
        <f>"151273484"</f>
        <v>151273484</v>
      </c>
      <c r="C10542" t="s">
        <v>50</v>
      </c>
      <c r="D10542" t="s">
        <v>15420</v>
      </c>
      <c r="E10542" t="s">
        <v>215</v>
      </c>
      <c r="F10542" t="s">
        <v>995</v>
      </c>
      <c r="G10542" t="s">
        <v>237</v>
      </c>
      <c r="H10542" t="str">
        <f>"ΜΠΕΝΤΕΒΗ 45 "</f>
        <v xml:space="preserve">ΜΠΕΝΤΕΒΗ 45 </v>
      </c>
      <c r="I10542">
        <v>71307</v>
      </c>
      <c r="J10542">
        <v>2810233767</v>
      </c>
      <c r="K10542">
        <v>6947760995</v>
      </c>
      <c r="N10542" t="s">
        <v>615</v>
      </c>
      <c r="O10542" t="s">
        <v>616</v>
      </c>
      <c r="R10542" t="s">
        <v>159</v>
      </c>
      <c r="S10542">
        <v>3</v>
      </c>
      <c r="T10542" t="s">
        <v>8675</v>
      </c>
      <c r="U10542" s="1">
        <v>43348</v>
      </c>
      <c r="V10542" t="s">
        <v>89</v>
      </c>
      <c r="W10542" t="s">
        <v>90</v>
      </c>
      <c r="X10542" t="s">
        <v>58</v>
      </c>
      <c r="Y10542">
        <v>24</v>
      </c>
      <c r="Z10542" t="s">
        <v>59</v>
      </c>
      <c r="AA10542" t="s">
        <v>59</v>
      </c>
      <c r="AB10542" t="s">
        <v>59</v>
      </c>
      <c r="AC10542" t="s">
        <v>59</v>
      </c>
      <c r="AD10542" t="s">
        <v>59</v>
      </c>
      <c r="AF10542" s="1">
        <v>43348</v>
      </c>
      <c r="AG10542" t="s">
        <v>8645</v>
      </c>
      <c r="AH10542" t="s">
        <v>8646</v>
      </c>
      <c r="AI10542" t="str">
        <f>"9500009"</f>
        <v>9500009</v>
      </c>
      <c r="AJ10542" t="s">
        <v>13927</v>
      </c>
      <c r="AK10542">
        <v>2825061346</v>
      </c>
      <c r="AL10542" t="s">
        <v>13928</v>
      </c>
      <c r="AM10542" t="s">
        <v>88</v>
      </c>
      <c r="AN10542" t="s">
        <v>6775</v>
      </c>
      <c r="AO10542" t="s">
        <v>13929</v>
      </c>
      <c r="AP10542" t="s">
        <v>13929</v>
      </c>
      <c r="AQ10542">
        <v>8</v>
      </c>
      <c r="AR10542" t="s">
        <v>89</v>
      </c>
      <c r="AS10542" t="s">
        <v>90</v>
      </c>
      <c r="AT10542" t="s">
        <v>58</v>
      </c>
      <c r="AU10542" t="s">
        <v>8673</v>
      </c>
      <c r="AV10542" t="s">
        <v>132</v>
      </c>
      <c r="AW10542" s="1">
        <v>32042</v>
      </c>
      <c r="AX10542">
        <v>1</v>
      </c>
    </row>
    <row r="10543" spans="1:50">
      <c r="A10543">
        <v>618696</v>
      </c>
      <c r="B10543" t="str">
        <f>"136129318"</f>
        <v>136129318</v>
      </c>
      <c r="C10543" t="s">
        <v>50</v>
      </c>
      <c r="D10543" t="s">
        <v>15421</v>
      </c>
      <c r="E10543" t="s">
        <v>687</v>
      </c>
      <c r="F10543" t="s">
        <v>108</v>
      </c>
      <c r="G10543" t="s">
        <v>181</v>
      </c>
      <c r="H10543" t="str">
        <f>"ΕΛ. ΒΕΝΙΖΕΛΟΥ 21 ΧΑΝΙΑ"</f>
        <v>ΕΛ. ΒΕΝΙΖΕΛΟΥ 21 ΧΑΝΙΑ</v>
      </c>
      <c r="I10543">
        <v>73300</v>
      </c>
      <c r="J10543">
        <v>2521095751</v>
      </c>
      <c r="K10543">
        <v>6937991179</v>
      </c>
      <c r="L10543">
        <v>2821096843</v>
      </c>
      <c r="N10543" t="s">
        <v>615</v>
      </c>
      <c r="O10543" t="s">
        <v>616</v>
      </c>
      <c r="R10543" t="s">
        <v>57</v>
      </c>
      <c r="S10543">
        <v>5</v>
      </c>
      <c r="T10543">
        <v>774</v>
      </c>
      <c r="U10543" s="1">
        <v>39680</v>
      </c>
      <c r="V10543" t="s">
        <v>89</v>
      </c>
      <c r="W10543" t="s">
        <v>90</v>
      </c>
      <c r="X10543" t="s">
        <v>58</v>
      </c>
      <c r="Y10543">
        <v>23</v>
      </c>
      <c r="Z10543" t="s">
        <v>59</v>
      </c>
      <c r="AA10543" t="s">
        <v>59</v>
      </c>
      <c r="AB10543" t="s">
        <v>59</v>
      </c>
      <c r="AC10543" t="s">
        <v>59</v>
      </c>
      <c r="AD10543" t="s">
        <v>59</v>
      </c>
      <c r="AF10543" s="1">
        <v>39685</v>
      </c>
      <c r="AG10543" t="s">
        <v>8645</v>
      </c>
      <c r="AH10543" t="s">
        <v>8646</v>
      </c>
      <c r="AI10543" t="str">
        <f>"9500160"</f>
        <v>9500160</v>
      </c>
      <c r="AJ10543" t="s">
        <v>14486</v>
      </c>
      <c r="AK10543">
        <v>2821062458</v>
      </c>
      <c r="AL10543" t="s">
        <v>14487</v>
      </c>
      <c r="AM10543" t="s">
        <v>88</v>
      </c>
      <c r="AN10543" t="s">
        <v>6764</v>
      </c>
      <c r="AO10543" t="s">
        <v>6764</v>
      </c>
      <c r="AP10543" t="s">
        <v>14488</v>
      </c>
      <c r="AQ10543">
        <v>5</v>
      </c>
      <c r="AR10543" t="s">
        <v>89</v>
      </c>
      <c r="AS10543" t="s">
        <v>90</v>
      </c>
      <c r="AT10543" t="s">
        <v>58</v>
      </c>
      <c r="AU10543" t="s">
        <v>68</v>
      </c>
      <c r="AV10543" t="s">
        <v>69</v>
      </c>
      <c r="AW10543" s="1">
        <v>29696</v>
      </c>
      <c r="AX10543">
        <v>1</v>
      </c>
    </row>
    <row r="10544" spans="1:50">
      <c r="A10544">
        <v>596028</v>
      </c>
      <c r="B10544" t="str">
        <f>"038830117"</f>
        <v>038830117</v>
      </c>
      <c r="C10544" t="s">
        <v>50</v>
      </c>
      <c r="D10544" t="s">
        <v>15422</v>
      </c>
      <c r="E10544" t="s">
        <v>7450</v>
      </c>
      <c r="F10544" t="s">
        <v>383</v>
      </c>
      <c r="G10544" t="s">
        <v>143</v>
      </c>
      <c r="H10544" t="str">
        <f>"ΠΡΟΦΗΤΗ ΗΛΙΑ 65 ΧΑΝΙΑ"</f>
        <v>ΠΡΟΦΗΤΗ ΗΛΙΑ 65 ΧΑΝΙΑ</v>
      </c>
      <c r="I10544">
        <v>73100</v>
      </c>
      <c r="J10544">
        <v>2821500548</v>
      </c>
      <c r="K10544">
        <v>6945863644</v>
      </c>
      <c r="N10544" t="s">
        <v>615</v>
      </c>
      <c r="O10544" t="s">
        <v>616</v>
      </c>
      <c r="R10544" t="s">
        <v>57</v>
      </c>
      <c r="S10544">
        <v>9</v>
      </c>
      <c r="T10544">
        <v>218</v>
      </c>
      <c r="U10544" s="1">
        <v>37134</v>
      </c>
      <c r="V10544" t="s">
        <v>89</v>
      </c>
      <c r="W10544" t="s">
        <v>90</v>
      </c>
      <c r="X10544" t="s">
        <v>58</v>
      </c>
      <c r="Y10544">
        <v>21</v>
      </c>
      <c r="Z10544" t="s">
        <v>59</v>
      </c>
      <c r="AA10544" t="s">
        <v>59</v>
      </c>
      <c r="AB10544" t="s">
        <v>59</v>
      </c>
      <c r="AC10544" t="s">
        <v>59</v>
      </c>
      <c r="AD10544" t="s">
        <v>59</v>
      </c>
      <c r="AF10544" s="1">
        <v>37134</v>
      </c>
      <c r="AG10544" t="s">
        <v>8645</v>
      </c>
      <c r="AH10544" t="s">
        <v>8646</v>
      </c>
      <c r="AI10544" t="str">
        <f>"9500315"</f>
        <v>9500315</v>
      </c>
      <c r="AJ10544" t="s">
        <v>14174</v>
      </c>
      <c r="AK10544">
        <v>2821040565</v>
      </c>
      <c r="AL10544" t="s">
        <v>14175</v>
      </c>
      <c r="AM10544" t="s">
        <v>88</v>
      </c>
      <c r="AN10544" t="s">
        <v>88</v>
      </c>
      <c r="AO10544" t="s">
        <v>88</v>
      </c>
      <c r="AP10544" t="s">
        <v>88</v>
      </c>
      <c r="AQ10544">
        <v>1</v>
      </c>
      <c r="AR10544" t="s">
        <v>89</v>
      </c>
      <c r="AS10544" t="s">
        <v>90</v>
      </c>
      <c r="AT10544" t="s">
        <v>58</v>
      </c>
      <c r="AU10544" t="s">
        <v>68</v>
      </c>
      <c r="AV10544" t="s">
        <v>69</v>
      </c>
      <c r="AW10544" s="1">
        <v>23613</v>
      </c>
      <c r="AX10544">
        <v>1</v>
      </c>
    </row>
    <row r="10545" spans="1:50">
      <c r="B10545" t="str">
        <f>"153750240"</f>
        <v>153750240</v>
      </c>
      <c r="C10545" t="s">
        <v>50</v>
      </c>
      <c r="D10545" t="s">
        <v>15423</v>
      </c>
      <c r="E10545" t="s">
        <v>1207</v>
      </c>
      <c r="F10545" t="s">
        <v>631</v>
      </c>
      <c r="G10545" t="s">
        <v>1689</v>
      </c>
      <c r="H10545" t="str">
        <f>" "</f>
        <v xml:space="preserve"> </v>
      </c>
      <c r="N10545" t="s">
        <v>9829</v>
      </c>
      <c r="O10545" t="s">
        <v>9830</v>
      </c>
      <c r="R10545" t="s">
        <v>121</v>
      </c>
      <c r="S10545">
        <v>3</v>
      </c>
      <c r="T10545" t="s">
        <v>8696</v>
      </c>
      <c r="U10545" s="1">
        <v>43348</v>
      </c>
      <c r="V10545" t="s">
        <v>89</v>
      </c>
      <c r="W10545" t="s">
        <v>90</v>
      </c>
      <c r="X10545" t="s">
        <v>58</v>
      </c>
      <c r="Y10545">
        <v>25</v>
      </c>
      <c r="Z10545" t="s">
        <v>59</v>
      </c>
      <c r="AA10545" t="s">
        <v>59</v>
      </c>
      <c r="AB10545" t="s">
        <v>59</v>
      </c>
      <c r="AD10545" t="s">
        <v>59</v>
      </c>
      <c r="AF10545" s="1">
        <v>43348</v>
      </c>
      <c r="AG10545" t="s">
        <v>8651</v>
      </c>
      <c r="AH10545" t="s">
        <v>8652</v>
      </c>
      <c r="AI10545" t="str">
        <f>"9500342"</f>
        <v>9500342</v>
      </c>
      <c r="AJ10545" t="s">
        <v>15148</v>
      </c>
      <c r="AK10545">
        <v>2821076440</v>
      </c>
      <c r="AL10545" t="s">
        <v>15149</v>
      </c>
      <c r="AM10545" t="s">
        <v>88</v>
      </c>
      <c r="AN10545" t="s">
        <v>88</v>
      </c>
      <c r="AO10545" t="s">
        <v>6733</v>
      </c>
      <c r="AP10545" t="s">
        <v>6734</v>
      </c>
      <c r="AQ10545">
        <v>2</v>
      </c>
      <c r="AR10545" t="s">
        <v>89</v>
      </c>
      <c r="AS10545" t="s">
        <v>90</v>
      </c>
      <c r="AT10545" t="s">
        <v>58</v>
      </c>
      <c r="AU10545" t="s">
        <v>350</v>
      </c>
      <c r="AV10545" t="s">
        <v>132</v>
      </c>
      <c r="AW10545" s="1">
        <v>32745</v>
      </c>
      <c r="AX10545">
        <v>1</v>
      </c>
    </row>
    <row r="10546" spans="1:50">
      <c r="A10546">
        <v>607694</v>
      </c>
      <c r="B10546" t="str">
        <f>"130449026"</f>
        <v>130449026</v>
      </c>
      <c r="C10546" t="s">
        <v>50</v>
      </c>
      <c r="D10546" t="s">
        <v>13682</v>
      </c>
      <c r="E10546" t="s">
        <v>155</v>
      </c>
      <c r="F10546" t="s">
        <v>510</v>
      </c>
      <c r="G10546" t="s">
        <v>255</v>
      </c>
      <c r="H10546" t="str">
        <f>"6 ΧΛΜ ΕΘΝ.ΟΔΟΥ ΧΑΝ-ΡΕΘΥΜΝ. ΣΟΥΔΑ"</f>
        <v>6 ΧΛΜ ΕΘΝ.ΟΔΟΥ ΧΑΝ-ΡΕΘΥΜΝ. ΣΟΥΔΑ</v>
      </c>
      <c r="I10546">
        <v>73200</v>
      </c>
      <c r="J10546">
        <v>2823022173</v>
      </c>
      <c r="K10546">
        <v>6977857517</v>
      </c>
      <c r="N10546" t="s">
        <v>615</v>
      </c>
      <c r="O10546" t="s">
        <v>616</v>
      </c>
      <c r="R10546" t="s">
        <v>57</v>
      </c>
      <c r="S10546">
        <v>6</v>
      </c>
      <c r="T10546">
        <v>217</v>
      </c>
      <c r="U10546" s="1">
        <v>38596</v>
      </c>
      <c r="V10546" t="s">
        <v>89</v>
      </c>
      <c r="W10546" t="s">
        <v>90</v>
      </c>
      <c r="X10546" t="s">
        <v>58</v>
      </c>
      <c r="Y10546">
        <v>23</v>
      </c>
      <c r="Z10546" t="s">
        <v>59</v>
      </c>
      <c r="AA10546" t="s">
        <v>59</v>
      </c>
      <c r="AB10546" t="s">
        <v>59</v>
      </c>
      <c r="AC10546" t="s">
        <v>59</v>
      </c>
      <c r="AD10546" t="s">
        <v>59</v>
      </c>
      <c r="AF10546" s="1">
        <v>38600</v>
      </c>
      <c r="AG10546" t="s">
        <v>8645</v>
      </c>
      <c r="AH10546" t="s">
        <v>8646</v>
      </c>
      <c r="AI10546" t="str">
        <f>"9500103"</f>
        <v>9500103</v>
      </c>
      <c r="AJ10546" t="s">
        <v>14040</v>
      </c>
      <c r="AK10546">
        <v>2821090920</v>
      </c>
      <c r="AL10546" t="s">
        <v>14041</v>
      </c>
      <c r="AM10546" t="s">
        <v>88</v>
      </c>
      <c r="AN10546" t="s">
        <v>88</v>
      </c>
      <c r="AO10546" t="s">
        <v>6733</v>
      </c>
      <c r="AP10546" t="s">
        <v>6734</v>
      </c>
      <c r="AQ10546">
        <v>2</v>
      </c>
      <c r="AR10546" t="s">
        <v>89</v>
      </c>
      <c r="AS10546" t="s">
        <v>90</v>
      </c>
      <c r="AT10546" t="s">
        <v>58</v>
      </c>
      <c r="AU10546" t="s">
        <v>68</v>
      </c>
      <c r="AV10546" t="s">
        <v>69</v>
      </c>
      <c r="AW10546" s="1">
        <v>29489</v>
      </c>
      <c r="AX10546">
        <v>1</v>
      </c>
    </row>
    <row r="10547" spans="1:50">
      <c r="A10547">
        <v>581031</v>
      </c>
      <c r="B10547" t="str">
        <f>"036797514"</f>
        <v>036797514</v>
      </c>
      <c r="C10547" t="s">
        <v>50</v>
      </c>
      <c r="D10547" t="s">
        <v>13682</v>
      </c>
      <c r="E10547" t="s">
        <v>96</v>
      </c>
      <c r="F10547" t="s">
        <v>95</v>
      </c>
      <c r="G10547" t="s">
        <v>4118</v>
      </c>
      <c r="H10547" t="str">
        <f>"ΜΑΡΓΟΥΝΙΟΥ 33 ΧΑΝΙΑ"</f>
        <v>ΜΑΡΓΟΥΝΙΟΥ 33 ΧΑΝΙΑ</v>
      </c>
      <c r="I10547">
        <v>73100</v>
      </c>
      <c r="J10547">
        <v>2821052491</v>
      </c>
      <c r="K10547">
        <v>6972669166</v>
      </c>
      <c r="L10547">
        <v>2821052491</v>
      </c>
      <c r="N10547" t="s">
        <v>615</v>
      </c>
      <c r="O10547" t="s">
        <v>616</v>
      </c>
      <c r="R10547" t="s">
        <v>57</v>
      </c>
      <c r="S10547">
        <v>19</v>
      </c>
      <c r="T10547">
        <v>179</v>
      </c>
      <c r="U10547" s="1">
        <v>35674</v>
      </c>
      <c r="V10547" t="s">
        <v>89</v>
      </c>
      <c r="W10547" t="s">
        <v>90</v>
      </c>
      <c r="X10547" t="s">
        <v>58</v>
      </c>
      <c r="Y10547">
        <v>21</v>
      </c>
      <c r="Z10547" t="s">
        <v>59</v>
      </c>
      <c r="AA10547" t="s">
        <v>59</v>
      </c>
      <c r="AB10547" t="s">
        <v>59</v>
      </c>
      <c r="AC10547" t="s">
        <v>59</v>
      </c>
      <c r="AD10547" t="s">
        <v>59</v>
      </c>
      <c r="AF10547" s="1">
        <v>35674</v>
      </c>
      <c r="AG10547" t="s">
        <v>8645</v>
      </c>
      <c r="AH10547" t="s">
        <v>8646</v>
      </c>
      <c r="AI10547" t="str">
        <f>"9500423"</f>
        <v>9500423</v>
      </c>
      <c r="AJ10547" t="s">
        <v>13893</v>
      </c>
      <c r="AK10547">
        <v>2821023473</v>
      </c>
      <c r="AL10547" t="s">
        <v>13894</v>
      </c>
      <c r="AM10547" t="s">
        <v>88</v>
      </c>
      <c r="AN10547" t="s">
        <v>88</v>
      </c>
      <c r="AO10547" t="s">
        <v>88</v>
      </c>
      <c r="AP10547" t="s">
        <v>88</v>
      </c>
      <c r="AQ10547">
        <v>1</v>
      </c>
      <c r="AR10547" t="s">
        <v>89</v>
      </c>
      <c r="AS10547" t="s">
        <v>90</v>
      </c>
      <c r="AT10547" t="s">
        <v>58</v>
      </c>
      <c r="AU10547" t="s">
        <v>68</v>
      </c>
      <c r="AV10547" t="s">
        <v>69</v>
      </c>
      <c r="AW10547" s="1">
        <v>24704</v>
      </c>
      <c r="AX10547">
        <v>1</v>
      </c>
    </row>
    <row r="10548" spans="1:50">
      <c r="A10548">
        <v>592775</v>
      </c>
      <c r="B10548" t="str">
        <f>"101343372"</f>
        <v>101343372</v>
      </c>
      <c r="C10548" t="s">
        <v>105</v>
      </c>
      <c r="D10548" t="s">
        <v>15424</v>
      </c>
      <c r="E10548" t="s">
        <v>15425</v>
      </c>
      <c r="F10548" t="s">
        <v>84</v>
      </c>
      <c r="G10548" t="s">
        <v>15426</v>
      </c>
      <c r="H10548" t="str">
        <f>"ΑΠΤΕΡΑ ΑΠΤΕΡΑ"</f>
        <v>ΑΠΤΕΡΑ ΑΠΤΕΡΑ</v>
      </c>
      <c r="I10548">
        <v>73003</v>
      </c>
      <c r="K10548">
        <v>6945644299</v>
      </c>
      <c r="N10548" t="s">
        <v>615</v>
      </c>
      <c r="O10548" t="s">
        <v>616</v>
      </c>
      <c r="R10548" t="s">
        <v>57</v>
      </c>
      <c r="S10548">
        <v>9</v>
      </c>
      <c r="T10548">
        <v>218</v>
      </c>
      <c r="U10548" s="1">
        <v>37134</v>
      </c>
      <c r="V10548" t="s">
        <v>89</v>
      </c>
      <c r="W10548" t="s">
        <v>90</v>
      </c>
      <c r="X10548" t="s">
        <v>58</v>
      </c>
      <c r="Y10548">
        <v>23</v>
      </c>
      <c r="Z10548" t="s">
        <v>59</v>
      </c>
      <c r="AA10548" t="s">
        <v>59</v>
      </c>
      <c r="AB10548" t="s">
        <v>59</v>
      </c>
      <c r="AC10548" t="s">
        <v>59</v>
      </c>
      <c r="AD10548" t="s">
        <v>59</v>
      </c>
      <c r="AF10548" s="1">
        <v>37134</v>
      </c>
      <c r="AG10548" t="s">
        <v>8645</v>
      </c>
      <c r="AH10548" t="s">
        <v>8646</v>
      </c>
      <c r="AI10548" t="str">
        <f>"9500115"</f>
        <v>9500115</v>
      </c>
      <c r="AJ10548" t="s">
        <v>14180</v>
      </c>
      <c r="AK10548">
        <v>2821081133</v>
      </c>
      <c r="AL10548" t="s">
        <v>14181</v>
      </c>
      <c r="AM10548" t="s">
        <v>88</v>
      </c>
      <c r="AN10548" t="s">
        <v>88</v>
      </c>
      <c r="AO10548" t="s">
        <v>6748</v>
      </c>
      <c r="AP10548" t="s">
        <v>14182</v>
      </c>
      <c r="AQ10548">
        <v>2</v>
      </c>
      <c r="AR10548" t="s">
        <v>89</v>
      </c>
      <c r="AS10548" t="s">
        <v>90</v>
      </c>
      <c r="AT10548" t="s">
        <v>58</v>
      </c>
      <c r="AU10548" t="s">
        <v>68</v>
      </c>
      <c r="AV10548" t="s">
        <v>69</v>
      </c>
      <c r="AW10548" s="1">
        <v>27458</v>
      </c>
      <c r="AX10548">
        <v>1</v>
      </c>
    </row>
    <row r="10549" spans="1:50">
      <c r="A10549">
        <v>561938</v>
      </c>
      <c r="B10549" t="str">
        <f>"032641461"</f>
        <v>032641461</v>
      </c>
      <c r="C10549" t="s">
        <v>105</v>
      </c>
      <c r="D10549" t="s">
        <v>15427</v>
      </c>
      <c r="E10549" t="s">
        <v>84</v>
      </c>
      <c r="F10549" t="s">
        <v>53</v>
      </c>
      <c r="G10549" t="s">
        <v>52</v>
      </c>
      <c r="H10549" t="str">
        <f>"ΜΗΤΡΟΠΟΛΙΤΟΥ ΚΥΡΙΛΛΟΥ 11 ΧΑΝΙΑ"</f>
        <v>ΜΗΤΡΟΠΟΛΙΤΟΥ ΚΥΡΙΛΛΟΥ 11 ΧΑΝΙΑ</v>
      </c>
      <c r="I10549">
        <v>73131</v>
      </c>
      <c r="J10549">
        <v>2821095352</v>
      </c>
      <c r="K10549">
        <v>6936926635</v>
      </c>
      <c r="N10549" t="s">
        <v>615</v>
      </c>
      <c r="O10549" t="s">
        <v>616</v>
      </c>
      <c r="R10549" t="s">
        <v>57</v>
      </c>
      <c r="S10549">
        <v>16</v>
      </c>
      <c r="T10549">
        <v>187</v>
      </c>
      <c r="U10549" s="1">
        <v>32750</v>
      </c>
      <c r="V10549" t="s">
        <v>89</v>
      </c>
      <c r="W10549" t="s">
        <v>90</v>
      </c>
      <c r="X10549" t="s">
        <v>58</v>
      </c>
      <c r="Y10549">
        <v>21</v>
      </c>
      <c r="Z10549" t="s">
        <v>59</v>
      </c>
      <c r="AA10549" t="s">
        <v>59</v>
      </c>
      <c r="AB10549" t="s">
        <v>59</v>
      </c>
      <c r="AC10549" t="s">
        <v>59</v>
      </c>
      <c r="AD10549" t="s">
        <v>59</v>
      </c>
      <c r="AF10549" s="1">
        <v>32757</v>
      </c>
      <c r="AG10549" t="s">
        <v>8645</v>
      </c>
      <c r="AH10549" t="s">
        <v>8646</v>
      </c>
      <c r="AI10549" t="str">
        <f>"9500137"</f>
        <v>9500137</v>
      </c>
      <c r="AJ10549" t="s">
        <v>14401</v>
      </c>
      <c r="AK10549">
        <v>2821093156</v>
      </c>
      <c r="AL10549" t="s">
        <v>14402</v>
      </c>
      <c r="AM10549" t="s">
        <v>88</v>
      </c>
      <c r="AN10549" t="s">
        <v>88</v>
      </c>
      <c r="AO10549" t="s">
        <v>88</v>
      </c>
      <c r="AP10549" t="s">
        <v>88</v>
      </c>
      <c r="AQ10549">
        <v>1</v>
      </c>
      <c r="AR10549" t="s">
        <v>89</v>
      </c>
      <c r="AS10549" t="s">
        <v>90</v>
      </c>
      <c r="AT10549" t="s">
        <v>58</v>
      </c>
      <c r="AU10549" t="s">
        <v>68</v>
      </c>
      <c r="AV10549" t="s">
        <v>69</v>
      </c>
      <c r="AW10549" s="1">
        <v>22731</v>
      </c>
      <c r="AX10549">
        <v>1</v>
      </c>
    </row>
    <row r="10550" spans="1:50">
      <c r="A10550">
        <v>610324</v>
      </c>
      <c r="B10550" t="str">
        <f>"109454668"</f>
        <v>109454668</v>
      </c>
      <c r="C10550" t="s">
        <v>50</v>
      </c>
      <c r="D10550" t="s">
        <v>15428</v>
      </c>
      <c r="E10550" t="s">
        <v>1074</v>
      </c>
      <c r="F10550" t="s">
        <v>920</v>
      </c>
      <c r="G10550" t="s">
        <v>83</v>
      </c>
      <c r="H10550" t="str">
        <f>" "</f>
        <v xml:space="preserve"> </v>
      </c>
      <c r="J10550">
        <v>2531029512</v>
      </c>
      <c r="K10550">
        <v>6976566317</v>
      </c>
      <c r="N10550" t="s">
        <v>615</v>
      </c>
      <c r="O10550" t="s">
        <v>616</v>
      </c>
      <c r="R10550" t="s">
        <v>57</v>
      </c>
      <c r="S10550">
        <v>7</v>
      </c>
      <c r="T10550">
        <v>233</v>
      </c>
      <c r="U10550" s="1">
        <v>38960</v>
      </c>
      <c r="V10550" t="s">
        <v>89</v>
      </c>
      <c r="W10550" t="s">
        <v>90</v>
      </c>
      <c r="X10550" t="s">
        <v>58</v>
      </c>
      <c r="Y10550">
        <v>23</v>
      </c>
      <c r="Z10550" t="s">
        <v>59</v>
      </c>
      <c r="AA10550" t="s">
        <v>59</v>
      </c>
      <c r="AB10550" t="s">
        <v>59</v>
      </c>
      <c r="AC10550" t="s">
        <v>59</v>
      </c>
      <c r="AD10550" t="s">
        <v>59</v>
      </c>
      <c r="AF10550" s="1">
        <v>38961</v>
      </c>
      <c r="AG10550" t="s">
        <v>8645</v>
      </c>
      <c r="AH10550" t="s">
        <v>8646</v>
      </c>
      <c r="AI10550" t="str">
        <f>"9500329"</f>
        <v>9500329</v>
      </c>
      <c r="AJ10550" t="s">
        <v>14241</v>
      </c>
      <c r="AK10550">
        <v>2821099075</v>
      </c>
      <c r="AL10550" t="s">
        <v>14242</v>
      </c>
      <c r="AM10550" t="s">
        <v>88</v>
      </c>
      <c r="AN10550" t="s">
        <v>88</v>
      </c>
      <c r="AO10550" t="s">
        <v>6733</v>
      </c>
      <c r="AP10550" t="s">
        <v>6734</v>
      </c>
      <c r="AQ10550">
        <v>2</v>
      </c>
      <c r="AR10550" t="s">
        <v>89</v>
      </c>
      <c r="AS10550" t="s">
        <v>90</v>
      </c>
      <c r="AT10550" t="s">
        <v>58</v>
      </c>
      <c r="AU10550" t="s">
        <v>68</v>
      </c>
      <c r="AV10550" t="s">
        <v>69</v>
      </c>
      <c r="AW10550" s="1">
        <v>28903</v>
      </c>
      <c r="AX10550">
        <v>1</v>
      </c>
    </row>
    <row r="10551" spans="1:50">
      <c r="A10551">
        <v>605851</v>
      </c>
      <c r="B10551" t="str">
        <f>"100050227"</f>
        <v>100050227</v>
      </c>
      <c r="C10551" t="s">
        <v>50</v>
      </c>
      <c r="D10551" t="s">
        <v>3938</v>
      </c>
      <c r="E10551" t="s">
        <v>215</v>
      </c>
      <c r="F10551" t="s">
        <v>95</v>
      </c>
      <c r="G10551" t="s">
        <v>52</v>
      </c>
      <c r="H10551" t="str">
        <f>"ΕΜΜ.ΚΑΤΣΙΓΑΡΗ 25 ΧΑΝΙΑ"</f>
        <v>ΕΜΜ.ΚΑΤΣΙΓΑΡΗ 25 ΧΑΝΙΑ</v>
      </c>
      <c r="I10551">
        <v>73100</v>
      </c>
      <c r="J10551">
        <v>2821045416</v>
      </c>
      <c r="K10551">
        <v>6972385372</v>
      </c>
      <c r="N10551" t="s">
        <v>615</v>
      </c>
      <c r="O10551" t="s">
        <v>616</v>
      </c>
      <c r="R10551" t="s">
        <v>57</v>
      </c>
      <c r="S10551">
        <v>7</v>
      </c>
      <c r="T10551">
        <v>231</v>
      </c>
      <c r="U10551" s="1">
        <v>38230</v>
      </c>
      <c r="V10551" t="s">
        <v>89</v>
      </c>
      <c r="W10551" t="s">
        <v>90</v>
      </c>
      <c r="X10551" t="s">
        <v>58</v>
      </c>
      <c r="Y10551">
        <v>22</v>
      </c>
      <c r="Z10551" t="s">
        <v>59</v>
      </c>
      <c r="AA10551" t="s">
        <v>59</v>
      </c>
      <c r="AB10551" t="s">
        <v>59</v>
      </c>
      <c r="AC10551" t="s">
        <v>59</v>
      </c>
      <c r="AD10551" t="s">
        <v>59</v>
      </c>
      <c r="AF10551" s="1">
        <v>38230</v>
      </c>
      <c r="AG10551" t="s">
        <v>8645</v>
      </c>
      <c r="AH10551" t="s">
        <v>8646</v>
      </c>
      <c r="AI10551" t="str">
        <f>"9500070"</f>
        <v>9500070</v>
      </c>
      <c r="AJ10551" t="s">
        <v>14221</v>
      </c>
      <c r="AK10551">
        <v>2821095817</v>
      </c>
      <c r="AL10551" t="s">
        <v>14222</v>
      </c>
      <c r="AM10551" t="s">
        <v>88</v>
      </c>
      <c r="AN10551" t="s">
        <v>88</v>
      </c>
      <c r="AO10551" t="s">
        <v>88</v>
      </c>
      <c r="AP10551" t="s">
        <v>88</v>
      </c>
      <c r="AQ10551">
        <v>1</v>
      </c>
      <c r="AR10551" t="s">
        <v>89</v>
      </c>
      <c r="AS10551" t="s">
        <v>90</v>
      </c>
      <c r="AT10551" t="s">
        <v>58</v>
      </c>
      <c r="AU10551" t="s">
        <v>68</v>
      </c>
      <c r="AV10551" t="s">
        <v>69</v>
      </c>
      <c r="AW10551" s="1">
        <v>29052</v>
      </c>
      <c r="AX10551">
        <v>1</v>
      </c>
    </row>
    <row r="10552" spans="1:50">
      <c r="B10552" t="str">
        <f>"062766951"</f>
        <v>062766951</v>
      </c>
      <c r="C10552" t="s">
        <v>105</v>
      </c>
      <c r="D10552" t="s">
        <v>8383</v>
      </c>
      <c r="E10552" t="s">
        <v>154</v>
      </c>
      <c r="F10552" t="s">
        <v>95</v>
      </c>
      <c r="G10552" t="s">
        <v>83</v>
      </c>
      <c r="H10552" t="str">
        <f>"ΑΝΑΠΑΥΣΕΩΣ 53 "</f>
        <v xml:space="preserve">ΑΝΑΠΑΥΣΕΩΣ 53 </v>
      </c>
      <c r="I10552">
        <v>73100</v>
      </c>
      <c r="J10552">
        <v>2821112219</v>
      </c>
      <c r="K10552">
        <v>6949215725</v>
      </c>
      <c r="N10552" t="s">
        <v>615</v>
      </c>
      <c r="O10552" t="s">
        <v>616</v>
      </c>
      <c r="R10552" t="s">
        <v>121</v>
      </c>
      <c r="S10552">
        <v>1</v>
      </c>
      <c r="T10552" t="s">
        <v>9034</v>
      </c>
      <c r="U10552" s="1">
        <v>43377</v>
      </c>
      <c r="V10552" t="s">
        <v>89</v>
      </c>
      <c r="W10552" t="s">
        <v>90</v>
      </c>
      <c r="X10552" t="s">
        <v>58</v>
      </c>
      <c r="Y10552">
        <v>24</v>
      </c>
      <c r="Z10552" t="s">
        <v>59</v>
      </c>
      <c r="AA10552" t="s">
        <v>59</v>
      </c>
      <c r="AB10552" t="s">
        <v>59</v>
      </c>
      <c r="AC10552" t="s">
        <v>59</v>
      </c>
      <c r="AD10552" t="s">
        <v>59</v>
      </c>
      <c r="AF10552" s="1">
        <v>43377</v>
      </c>
      <c r="AG10552" t="s">
        <v>8645</v>
      </c>
      <c r="AH10552" t="s">
        <v>8646</v>
      </c>
      <c r="AI10552" t="str">
        <f>"9500006"</f>
        <v>9500006</v>
      </c>
      <c r="AJ10552" t="s">
        <v>14060</v>
      </c>
      <c r="AK10552">
        <v>2825051220</v>
      </c>
      <c r="AL10552" t="s">
        <v>14061</v>
      </c>
      <c r="AM10552" t="s">
        <v>88</v>
      </c>
      <c r="AN10552" t="s">
        <v>6775</v>
      </c>
      <c r="AO10552" t="s">
        <v>6781</v>
      </c>
      <c r="AP10552" t="s">
        <v>6782</v>
      </c>
      <c r="AQ10552">
        <v>8</v>
      </c>
      <c r="AR10552" t="s">
        <v>89</v>
      </c>
      <c r="AS10552" t="s">
        <v>90</v>
      </c>
      <c r="AT10552" t="s">
        <v>58</v>
      </c>
      <c r="AU10552" t="s">
        <v>8673</v>
      </c>
      <c r="AV10552" t="s">
        <v>132</v>
      </c>
      <c r="AW10552" s="1">
        <v>28491</v>
      </c>
      <c r="AX10552">
        <v>1</v>
      </c>
    </row>
    <row r="10553" spans="1:50">
      <c r="B10553" t="str">
        <f>"143493980"</f>
        <v>143493980</v>
      </c>
      <c r="C10553" t="s">
        <v>50</v>
      </c>
      <c r="D10553" t="s">
        <v>15429</v>
      </c>
      <c r="E10553" t="s">
        <v>366</v>
      </c>
      <c r="F10553" t="s">
        <v>72</v>
      </c>
      <c r="G10553" t="s">
        <v>181</v>
      </c>
      <c r="H10553" t="str">
        <f>" "</f>
        <v xml:space="preserve"> </v>
      </c>
      <c r="N10553" t="s">
        <v>615</v>
      </c>
      <c r="O10553" t="s">
        <v>616</v>
      </c>
      <c r="R10553" t="s">
        <v>159</v>
      </c>
      <c r="S10553">
        <v>1</v>
      </c>
      <c r="T10553" t="s">
        <v>8675</v>
      </c>
      <c r="U10553" s="1">
        <v>43348</v>
      </c>
      <c r="V10553" t="s">
        <v>89</v>
      </c>
      <c r="W10553" t="s">
        <v>90</v>
      </c>
      <c r="X10553" t="s">
        <v>58</v>
      </c>
      <c r="Y10553">
        <v>25</v>
      </c>
      <c r="Z10553" t="s">
        <v>59</v>
      </c>
      <c r="AA10553" t="s">
        <v>59</v>
      </c>
      <c r="AB10553" t="s">
        <v>59</v>
      </c>
      <c r="AC10553" t="s">
        <v>59</v>
      </c>
      <c r="AD10553" t="s">
        <v>59</v>
      </c>
      <c r="AF10553" s="1">
        <v>43348</v>
      </c>
      <c r="AG10553" t="s">
        <v>8645</v>
      </c>
      <c r="AH10553" t="s">
        <v>8676</v>
      </c>
      <c r="AI10553" t="str">
        <f>"9500052"</f>
        <v>9500052</v>
      </c>
      <c r="AJ10553" t="s">
        <v>15375</v>
      </c>
      <c r="AK10553">
        <v>2825091172</v>
      </c>
      <c r="AL10553" t="s">
        <v>15376</v>
      </c>
      <c r="AM10553" t="s">
        <v>88</v>
      </c>
      <c r="AN10553" t="s">
        <v>6995</v>
      </c>
      <c r="AO10553" t="s">
        <v>6995</v>
      </c>
      <c r="AP10553" t="s">
        <v>8796</v>
      </c>
      <c r="AQ10553">
        <v>10</v>
      </c>
      <c r="AR10553" t="s">
        <v>89</v>
      </c>
      <c r="AS10553" t="s">
        <v>90</v>
      </c>
      <c r="AT10553" t="s">
        <v>58</v>
      </c>
      <c r="AU10553" t="s">
        <v>8673</v>
      </c>
      <c r="AV10553" t="s">
        <v>132</v>
      </c>
      <c r="AW10553" s="1">
        <v>32013</v>
      </c>
      <c r="AX10553">
        <v>1</v>
      </c>
    </row>
    <row r="10554" spans="1:50">
      <c r="A10554">
        <v>619726</v>
      </c>
      <c r="B10554" t="str">
        <f>"066848879"</f>
        <v>066848879</v>
      </c>
      <c r="C10554" t="s">
        <v>50</v>
      </c>
      <c r="D10554" t="s">
        <v>13685</v>
      </c>
      <c r="E10554" t="s">
        <v>215</v>
      </c>
      <c r="F10554" t="s">
        <v>304</v>
      </c>
      <c r="G10554" t="s">
        <v>507</v>
      </c>
      <c r="H10554" t="str">
        <f>"ΑΓΙΟΙ ΑΠΟΣΤΟΛΟΙ ΧΑΝΙΑ"</f>
        <v>ΑΓΙΟΙ ΑΠΟΣΤΟΛΟΙ ΧΑΝΙΑ</v>
      </c>
      <c r="I10554">
        <v>73100</v>
      </c>
      <c r="J10554">
        <v>2824023732</v>
      </c>
      <c r="K10554">
        <v>6972942642</v>
      </c>
      <c r="N10554" t="s">
        <v>306</v>
      </c>
      <c r="O10554" t="s">
        <v>307</v>
      </c>
      <c r="R10554" t="s">
        <v>57</v>
      </c>
      <c r="S10554">
        <v>6</v>
      </c>
      <c r="T10554">
        <v>775</v>
      </c>
      <c r="U10554" s="1">
        <v>39680</v>
      </c>
      <c r="V10554" t="s">
        <v>89</v>
      </c>
      <c r="W10554" t="s">
        <v>90</v>
      </c>
      <c r="X10554" t="s">
        <v>58</v>
      </c>
      <c r="Y10554">
        <v>23</v>
      </c>
      <c r="Z10554" t="s">
        <v>59</v>
      </c>
      <c r="AA10554" t="s">
        <v>59</v>
      </c>
      <c r="AB10554" t="s">
        <v>59</v>
      </c>
      <c r="AC10554" t="s">
        <v>59</v>
      </c>
      <c r="AD10554" t="s">
        <v>59</v>
      </c>
      <c r="AF10554" s="1">
        <v>39681</v>
      </c>
      <c r="AG10554" t="s">
        <v>8645</v>
      </c>
      <c r="AH10554" t="s">
        <v>8646</v>
      </c>
      <c r="AI10554" t="str">
        <f>"9500126"</f>
        <v>9500126</v>
      </c>
      <c r="AJ10554" t="s">
        <v>14245</v>
      </c>
      <c r="AK10554">
        <v>2824031229</v>
      </c>
      <c r="AL10554" t="s">
        <v>14246</v>
      </c>
      <c r="AM10554" t="s">
        <v>88</v>
      </c>
      <c r="AN10554" t="s">
        <v>6764</v>
      </c>
      <c r="AO10554" t="s">
        <v>6765</v>
      </c>
      <c r="AP10554" t="s">
        <v>6765</v>
      </c>
      <c r="AQ10554">
        <v>6</v>
      </c>
      <c r="AR10554" t="s">
        <v>89</v>
      </c>
      <c r="AS10554" t="s">
        <v>90</v>
      </c>
      <c r="AT10554" t="s">
        <v>58</v>
      </c>
      <c r="AU10554" t="s">
        <v>68</v>
      </c>
      <c r="AV10554" t="s">
        <v>69</v>
      </c>
      <c r="AW10554" s="1">
        <v>29469</v>
      </c>
      <c r="AX10554">
        <v>1</v>
      </c>
    </row>
    <row r="10555" spans="1:50">
      <c r="B10555" t="str">
        <f>"135237332"</f>
        <v>135237332</v>
      </c>
      <c r="C10555" t="s">
        <v>50</v>
      </c>
      <c r="D10555" t="s">
        <v>13685</v>
      </c>
      <c r="E10555" t="s">
        <v>1155</v>
      </c>
      <c r="F10555" t="s">
        <v>304</v>
      </c>
      <c r="G10555" t="s">
        <v>507</v>
      </c>
      <c r="H10555" t="str">
        <f>"ΤΑΥΡΩΝΙΤΗΣ "</f>
        <v xml:space="preserve">ΤΑΥΡΩΝΙΤΗΣ </v>
      </c>
      <c r="I10555">
        <v>73006</v>
      </c>
      <c r="K10555">
        <v>6945358744</v>
      </c>
      <c r="N10555" t="s">
        <v>1525</v>
      </c>
      <c r="O10555" t="s">
        <v>1526</v>
      </c>
      <c r="R10555" t="s">
        <v>159</v>
      </c>
      <c r="S10555">
        <v>4</v>
      </c>
      <c r="T10555" t="s">
        <v>8670</v>
      </c>
      <c r="U10555" s="1">
        <v>43348</v>
      </c>
      <c r="V10555" t="s">
        <v>89</v>
      </c>
      <c r="W10555" t="s">
        <v>90</v>
      </c>
      <c r="X10555" t="s">
        <v>58</v>
      </c>
      <c r="Y10555">
        <v>25</v>
      </c>
      <c r="Z10555" t="s">
        <v>59</v>
      </c>
      <c r="AA10555" t="s">
        <v>59</v>
      </c>
      <c r="AB10555" t="s">
        <v>59</v>
      </c>
      <c r="AC10555" t="s">
        <v>59</v>
      </c>
      <c r="AD10555" t="s">
        <v>59</v>
      </c>
      <c r="AF10555" s="1">
        <v>43348</v>
      </c>
      <c r="AG10555" t="s">
        <v>8651</v>
      </c>
      <c r="AH10555" t="s">
        <v>8652</v>
      </c>
      <c r="AI10555" t="str">
        <f>"9500301"</f>
        <v>9500301</v>
      </c>
      <c r="AJ10555" t="s">
        <v>14705</v>
      </c>
      <c r="AK10555">
        <v>2821066076</v>
      </c>
      <c r="AL10555" t="s">
        <v>14706</v>
      </c>
      <c r="AM10555" t="s">
        <v>88</v>
      </c>
      <c r="AN10555" t="s">
        <v>88</v>
      </c>
      <c r="AO10555" t="s">
        <v>6770</v>
      </c>
      <c r="AP10555" t="s">
        <v>14015</v>
      </c>
      <c r="AQ10555">
        <v>2</v>
      </c>
      <c r="AR10555" t="s">
        <v>89</v>
      </c>
      <c r="AS10555" t="s">
        <v>90</v>
      </c>
      <c r="AT10555" t="s">
        <v>58</v>
      </c>
      <c r="AU10555" t="s">
        <v>8673</v>
      </c>
      <c r="AV10555" t="s">
        <v>132</v>
      </c>
      <c r="AW10555" s="1">
        <v>30462</v>
      </c>
      <c r="AX10555">
        <v>1</v>
      </c>
    </row>
    <row r="10556" spans="1:50">
      <c r="A10556">
        <v>561234</v>
      </c>
      <c r="B10556" t="str">
        <f>"035062616"</f>
        <v>035062616</v>
      </c>
      <c r="C10556" t="s">
        <v>50</v>
      </c>
      <c r="D10556" t="s">
        <v>3940</v>
      </c>
      <c r="E10556" t="s">
        <v>237</v>
      </c>
      <c r="F10556" t="s">
        <v>154</v>
      </c>
      <c r="G10556" t="s">
        <v>83</v>
      </c>
      <c r="H10556" t="str">
        <f>"ΑΓΙΑΣ ΣΟΦΙΑΣ ΧΑΝΙΑ"</f>
        <v>ΑΓΙΑΣ ΣΟΦΙΑΣ ΧΑΝΙΑ</v>
      </c>
      <c r="I10556">
        <v>73100</v>
      </c>
      <c r="J10556">
        <v>2821098415</v>
      </c>
      <c r="K10556">
        <v>6973874891</v>
      </c>
      <c r="N10556" t="s">
        <v>615</v>
      </c>
      <c r="O10556" t="s">
        <v>616</v>
      </c>
      <c r="R10556" t="s">
        <v>57</v>
      </c>
      <c r="S10556">
        <v>15</v>
      </c>
      <c r="T10556">
        <v>159</v>
      </c>
      <c r="U10556" s="1">
        <v>32385</v>
      </c>
      <c r="V10556" t="s">
        <v>89</v>
      </c>
      <c r="W10556" t="s">
        <v>90</v>
      </c>
      <c r="X10556" t="s">
        <v>58</v>
      </c>
      <c r="Y10556">
        <v>21</v>
      </c>
      <c r="Z10556" t="s">
        <v>59</v>
      </c>
      <c r="AA10556" t="s">
        <v>59</v>
      </c>
      <c r="AB10556" t="s">
        <v>59</v>
      </c>
      <c r="AC10556" t="s">
        <v>59</v>
      </c>
      <c r="AD10556" t="s">
        <v>59</v>
      </c>
      <c r="AF10556" s="1">
        <v>32385</v>
      </c>
      <c r="AG10556" t="s">
        <v>8645</v>
      </c>
      <c r="AH10556" t="s">
        <v>8646</v>
      </c>
      <c r="AI10556" t="str">
        <f>"9500137"</f>
        <v>9500137</v>
      </c>
      <c r="AJ10556" t="s">
        <v>14401</v>
      </c>
      <c r="AK10556">
        <v>2821093156</v>
      </c>
      <c r="AL10556" t="s">
        <v>14402</v>
      </c>
      <c r="AM10556" t="s">
        <v>88</v>
      </c>
      <c r="AN10556" t="s">
        <v>88</v>
      </c>
      <c r="AO10556" t="s">
        <v>88</v>
      </c>
      <c r="AP10556" t="s">
        <v>88</v>
      </c>
      <c r="AQ10556">
        <v>1</v>
      </c>
      <c r="AR10556" t="s">
        <v>89</v>
      </c>
      <c r="AS10556" t="s">
        <v>90</v>
      </c>
      <c r="AT10556" t="s">
        <v>58</v>
      </c>
      <c r="AU10556" t="s">
        <v>68</v>
      </c>
      <c r="AV10556" t="s">
        <v>69</v>
      </c>
      <c r="AW10556" s="1">
        <v>23869</v>
      </c>
      <c r="AX10556">
        <v>1</v>
      </c>
    </row>
    <row r="10557" spans="1:50">
      <c r="A10557">
        <v>562426</v>
      </c>
      <c r="B10557" t="str">
        <f>"032781341"</f>
        <v>032781341</v>
      </c>
      <c r="C10557" t="s">
        <v>50</v>
      </c>
      <c r="D10557" t="s">
        <v>3940</v>
      </c>
      <c r="E10557" t="s">
        <v>476</v>
      </c>
      <c r="F10557" t="s">
        <v>95</v>
      </c>
      <c r="G10557" t="s">
        <v>52</v>
      </c>
      <c r="H10557" t="str">
        <f>"ΗΡ. ΠΟΛΥΤΕΧΝΕΙΟΥ 26 ΚΙΣΑΜΟΣ"</f>
        <v>ΗΡ. ΠΟΛΥΤΕΧΝΕΙΟΥ 26 ΚΙΣΑΜΟΣ</v>
      </c>
      <c r="I10557">
        <v>73400</v>
      </c>
      <c r="J10557">
        <v>2822024153</v>
      </c>
      <c r="K10557">
        <v>6946862549</v>
      </c>
      <c r="N10557" t="s">
        <v>615</v>
      </c>
      <c r="O10557" t="s">
        <v>616</v>
      </c>
      <c r="R10557" t="s">
        <v>57</v>
      </c>
      <c r="S10557">
        <v>15</v>
      </c>
      <c r="T10557">
        <v>187</v>
      </c>
      <c r="U10557" s="1">
        <v>32750</v>
      </c>
      <c r="V10557" t="s">
        <v>89</v>
      </c>
      <c r="W10557" t="s">
        <v>90</v>
      </c>
      <c r="X10557" t="s">
        <v>58</v>
      </c>
      <c r="Y10557">
        <v>21</v>
      </c>
      <c r="Z10557" t="s">
        <v>59</v>
      </c>
      <c r="AA10557" t="s">
        <v>59</v>
      </c>
      <c r="AB10557" t="s">
        <v>59</v>
      </c>
      <c r="AC10557" t="s">
        <v>59</v>
      </c>
      <c r="AD10557" t="s">
        <v>59</v>
      </c>
      <c r="AF10557" s="1">
        <v>32756</v>
      </c>
      <c r="AG10557" t="s">
        <v>8645</v>
      </c>
      <c r="AH10557" t="s">
        <v>8646</v>
      </c>
      <c r="AI10557" t="str">
        <f>"9500205"</f>
        <v>9500205</v>
      </c>
      <c r="AJ10557" t="s">
        <v>13861</v>
      </c>
      <c r="AK10557">
        <v>2822031289</v>
      </c>
      <c r="AL10557" t="s">
        <v>13862</v>
      </c>
      <c r="AM10557" t="s">
        <v>88</v>
      </c>
      <c r="AN10557" t="s">
        <v>6744</v>
      </c>
      <c r="AO10557" t="s">
        <v>13863</v>
      </c>
      <c r="AP10557" t="s">
        <v>13864</v>
      </c>
      <c r="AQ10557">
        <v>9</v>
      </c>
      <c r="AR10557" t="s">
        <v>89</v>
      </c>
      <c r="AS10557" t="s">
        <v>90</v>
      </c>
      <c r="AT10557" t="s">
        <v>58</v>
      </c>
      <c r="AU10557" t="s">
        <v>68</v>
      </c>
      <c r="AV10557" t="s">
        <v>2039</v>
      </c>
      <c r="AW10557" s="1">
        <v>23702</v>
      </c>
      <c r="AX10557">
        <v>1</v>
      </c>
    </row>
    <row r="10558" spans="1:50">
      <c r="A10558">
        <v>559598</v>
      </c>
      <c r="B10558" t="str">
        <f>"032638616"</f>
        <v>032638616</v>
      </c>
      <c r="C10558" t="s">
        <v>50</v>
      </c>
      <c r="D10558" t="s">
        <v>3940</v>
      </c>
      <c r="E10558" t="s">
        <v>250</v>
      </c>
      <c r="F10558" t="s">
        <v>609</v>
      </c>
      <c r="G10558" t="s">
        <v>83</v>
      </c>
      <c r="H10558" t="str">
        <f>"Γ.ΞΕΠΑΠΠΑ 25 ΧΑΝΙΑ"</f>
        <v>Γ.ΞΕΠΑΠΠΑ 25 ΧΑΝΙΑ</v>
      </c>
      <c r="I10558">
        <v>73136</v>
      </c>
      <c r="J10558">
        <v>2821091307</v>
      </c>
      <c r="K10558">
        <v>6970807786</v>
      </c>
      <c r="N10558" t="s">
        <v>615</v>
      </c>
      <c r="O10558" t="s">
        <v>616</v>
      </c>
      <c r="R10558" t="s">
        <v>57</v>
      </c>
      <c r="S10558">
        <v>16</v>
      </c>
      <c r="T10558">
        <v>168</v>
      </c>
      <c r="U10558" s="1">
        <v>32010</v>
      </c>
      <c r="V10558" t="s">
        <v>89</v>
      </c>
      <c r="W10558" t="s">
        <v>90</v>
      </c>
      <c r="X10558" t="s">
        <v>58</v>
      </c>
      <c r="Y10558">
        <v>21</v>
      </c>
      <c r="Z10558" t="s">
        <v>59</v>
      </c>
      <c r="AA10558" t="s">
        <v>59</v>
      </c>
      <c r="AB10558" t="s">
        <v>59</v>
      </c>
      <c r="AC10558" t="s">
        <v>59</v>
      </c>
      <c r="AD10558" t="s">
        <v>59</v>
      </c>
      <c r="AF10558" s="1">
        <v>32010</v>
      </c>
      <c r="AG10558" t="s">
        <v>8645</v>
      </c>
      <c r="AH10558" t="s">
        <v>8646</v>
      </c>
      <c r="AI10558" t="str">
        <f>"9500314"</f>
        <v>9500314</v>
      </c>
      <c r="AJ10558" t="s">
        <v>14116</v>
      </c>
      <c r="AK10558">
        <v>2821097640</v>
      </c>
      <c r="AL10558" t="s">
        <v>14117</v>
      </c>
      <c r="AM10558" t="s">
        <v>88</v>
      </c>
      <c r="AN10558" t="s">
        <v>88</v>
      </c>
      <c r="AO10558" t="s">
        <v>88</v>
      </c>
      <c r="AP10558" t="s">
        <v>88</v>
      </c>
      <c r="AQ10558">
        <v>1</v>
      </c>
      <c r="AR10558" t="s">
        <v>89</v>
      </c>
      <c r="AS10558" t="s">
        <v>90</v>
      </c>
      <c r="AT10558" t="s">
        <v>58</v>
      </c>
      <c r="AU10558" t="s">
        <v>68</v>
      </c>
      <c r="AV10558" t="s">
        <v>69</v>
      </c>
      <c r="AW10558" s="1">
        <v>23539</v>
      </c>
      <c r="AX10558">
        <v>1</v>
      </c>
    </row>
    <row r="10559" spans="1:50">
      <c r="A10559">
        <v>618108</v>
      </c>
      <c r="B10559" t="str">
        <f>"061223018"</f>
        <v>061223018</v>
      </c>
      <c r="C10559" t="s">
        <v>105</v>
      </c>
      <c r="D10559" t="s">
        <v>15430</v>
      </c>
      <c r="E10559" t="s">
        <v>95</v>
      </c>
      <c r="F10559" t="s">
        <v>154</v>
      </c>
      <c r="G10559" t="s">
        <v>181</v>
      </c>
      <c r="H10559" t="str">
        <f>"ΑΓ. ΔΗΜΗΤΡΙΟΥ 121 ΑΓΙΟΣ ΔΗΜΗΤΡΙΟΣ"</f>
        <v>ΑΓ. ΔΗΜΗΤΡΙΟΥ 121 ΑΓΙΟΣ ΔΗΜΗΤΡΙΟΣ</v>
      </c>
      <c r="I10559">
        <v>17343</v>
      </c>
      <c r="J10559">
        <v>2109716658</v>
      </c>
      <c r="K10559">
        <v>6939072625</v>
      </c>
      <c r="N10559" t="s">
        <v>615</v>
      </c>
      <c r="O10559" t="s">
        <v>616</v>
      </c>
      <c r="R10559" t="s">
        <v>57</v>
      </c>
      <c r="S10559">
        <v>5</v>
      </c>
      <c r="T10559">
        <v>774</v>
      </c>
      <c r="U10559" s="1">
        <v>39680</v>
      </c>
      <c r="V10559" t="s">
        <v>89</v>
      </c>
      <c r="W10559" t="s">
        <v>90</v>
      </c>
      <c r="X10559" t="s">
        <v>58</v>
      </c>
      <c r="Y10559">
        <v>23</v>
      </c>
      <c r="Z10559" t="s">
        <v>59</v>
      </c>
      <c r="AA10559" t="s">
        <v>59</v>
      </c>
      <c r="AB10559" t="s">
        <v>59</v>
      </c>
      <c r="AC10559" t="s">
        <v>59</v>
      </c>
      <c r="AD10559" t="s">
        <v>59</v>
      </c>
      <c r="AF10559" s="1">
        <v>39680</v>
      </c>
      <c r="AG10559" t="s">
        <v>8645</v>
      </c>
      <c r="AH10559" t="s">
        <v>8646</v>
      </c>
      <c r="AI10559" t="str">
        <f>"9500070"</f>
        <v>9500070</v>
      </c>
      <c r="AJ10559" t="s">
        <v>14221</v>
      </c>
      <c r="AK10559">
        <v>2821095817</v>
      </c>
      <c r="AL10559" t="s">
        <v>14222</v>
      </c>
      <c r="AM10559" t="s">
        <v>88</v>
      </c>
      <c r="AN10559" t="s">
        <v>88</v>
      </c>
      <c r="AO10559" t="s">
        <v>88</v>
      </c>
      <c r="AP10559" t="s">
        <v>88</v>
      </c>
      <c r="AQ10559">
        <v>1</v>
      </c>
      <c r="AR10559" t="s">
        <v>89</v>
      </c>
      <c r="AS10559" t="s">
        <v>90</v>
      </c>
      <c r="AT10559" t="s">
        <v>58</v>
      </c>
      <c r="AU10559" t="s">
        <v>68</v>
      </c>
      <c r="AV10559" t="s">
        <v>69</v>
      </c>
      <c r="AW10559" s="1">
        <v>27139</v>
      </c>
      <c r="AX10559">
        <v>1</v>
      </c>
    </row>
    <row r="10560" spans="1:50">
      <c r="A10560">
        <v>611277</v>
      </c>
      <c r="B10560" t="str">
        <f>"045171343"</f>
        <v>045171343</v>
      </c>
      <c r="C10560" t="s">
        <v>50</v>
      </c>
      <c r="D10560" t="s">
        <v>15431</v>
      </c>
      <c r="E10560" t="s">
        <v>83</v>
      </c>
      <c r="F10560" t="s">
        <v>2616</v>
      </c>
      <c r="G10560" t="s">
        <v>3471</v>
      </c>
      <c r="H10560" t="str">
        <f>"Ι.ΜΑΣΤΟΡΑΚΗ 8 ΧΑΝΙΑ"</f>
        <v>Ι.ΜΑΣΤΟΡΑΚΗ 8 ΧΑΝΙΑ</v>
      </c>
      <c r="I10560">
        <v>73136</v>
      </c>
      <c r="J10560">
        <v>2821071207</v>
      </c>
      <c r="K10560">
        <v>6948514068</v>
      </c>
      <c r="N10560" t="s">
        <v>1525</v>
      </c>
      <c r="O10560" t="s">
        <v>1526</v>
      </c>
      <c r="R10560" t="s">
        <v>57</v>
      </c>
      <c r="S10560">
        <v>7</v>
      </c>
      <c r="T10560">
        <v>233</v>
      </c>
      <c r="U10560" s="1">
        <v>38960</v>
      </c>
      <c r="V10560" t="s">
        <v>89</v>
      </c>
      <c r="W10560" t="s">
        <v>90</v>
      </c>
      <c r="X10560" t="s">
        <v>58</v>
      </c>
      <c r="Y10560">
        <v>25</v>
      </c>
      <c r="Z10560" t="s">
        <v>59</v>
      </c>
      <c r="AA10560" t="s">
        <v>59</v>
      </c>
      <c r="AB10560" t="s">
        <v>59</v>
      </c>
      <c r="AC10560" t="s">
        <v>59</v>
      </c>
      <c r="AD10560" t="s">
        <v>59</v>
      </c>
      <c r="AF10560" s="1">
        <v>38960</v>
      </c>
      <c r="AG10560" t="s">
        <v>8651</v>
      </c>
      <c r="AH10560" t="s">
        <v>8652</v>
      </c>
      <c r="AI10560" t="str">
        <f>"9500384"</f>
        <v>9500384</v>
      </c>
      <c r="AJ10560" t="s">
        <v>15263</v>
      </c>
      <c r="AK10560">
        <v>2821075886</v>
      </c>
      <c r="AL10560" t="s">
        <v>15264</v>
      </c>
      <c r="AM10560" t="s">
        <v>88</v>
      </c>
      <c r="AN10560" t="s">
        <v>88</v>
      </c>
      <c r="AO10560" t="s">
        <v>13920</v>
      </c>
      <c r="AP10560" t="s">
        <v>13921</v>
      </c>
      <c r="AQ10560">
        <v>3</v>
      </c>
      <c r="AR10560" t="s">
        <v>89</v>
      </c>
      <c r="AS10560" t="s">
        <v>90</v>
      </c>
      <c r="AT10560" t="s">
        <v>58</v>
      </c>
      <c r="AU10560" t="s">
        <v>68</v>
      </c>
      <c r="AV10560" t="s">
        <v>69</v>
      </c>
      <c r="AW10560" s="1">
        <v>25477</v>
      </c>
      <c r="AX10560">
        <v>1</v>
      </c>
    </row>
    <row r="10561" spans="1:50">
      <c r="A10561">
        <v>597605</v>
      </c>
      <c r="B10561" t="str">
        <f>"037620442"</f>
        <v>037620442</v>
      </c>
      <c r="C10561" t="s">
        <v>105</v>
      </c>
      <c r="D10561" t="s">
        <v>15432</v>
      </c>
      <c r="E10561" t="s">
        <v>95</v>
      </c>
      <c r="F10561" t="s">
        <v>450</v>
      </c>
      <c r="G10561" t="s">
        <v>1114</v>
      </c>
      <c r="H10561" t="str">
        <f>"ΠΕΡΙΒΟΛΙΑ ΚΥΔΩΝΙΑΣ ΧΑΝΙΑ"</f>
        <v>ΠΕΡΙΒΟΛΙΑ ΚΥΔΩΝΙΑΣ ΧΑΝΙΑ</v>
      </c>
      <c r="I10561">
        <v>73100</v>
      </c>
      <c r="J10561">
        <v>2821096109</v>
      </c>
      <c r="K10561">
        <v>6973246491</v>
      </c>
      <c r="N10561" t="s">
        <v>176</v>
      </c>
      <c r="O10561" t="s">
        <v>177</v>
      </c>
      <c r="R10561" t="s">
        <v>57</v>
      </c>
      <c r="S10561">
        <v>10</v>
      </c>
      <c r="T10561">
        <v>193</v>
      </c>
      <c r="U10561" s="1">
        <v>37497</v>
      </c>
      <c r="V10561" t="s">
        <v>89</v>
      </c>
      <c r="W10561" t="s">
        <v>90</v>
      </c>
      <c r="X10561" t="s">
        <v>58</v>
      </c>
      <c r="Y10561">
        <v>21</v>
      </c>
      <c r="Z10561" t="s">
        <v>59</v>
      </c>
      <c r="AA10561" t="s">
        <v>59</v>
      </c>
      <c r="AB10561" t="s">
        <v>59</v>
      </c>
      <c r="AC10561" t="s">
        <v>59</v>
      </c>
      <c r="AD10561" t="s">
        <v>59</v>
      </c>
      <c r="AF10561" s="1">
        <v>37497</v>
      </c>
      <c r="AG10561" t="s">
        <v>8645</v>
      </c>
      <c r="AH10561" t="s">
        <v>8646</v>
      </c>
      <c r="AI10561" t="str">
        <f>"9500107"</f>
        <v>9500107</v>
      </c>
      <c r="AJ10561" t="s">
        <v>13918</v>
      </c>
      <c r="AK10561">
        <v>2821096244</v>
      </c>
      <c r="AL10561" t="s">
        <v>13919</v>
      </c>
      <c r="AM10561" t="s">
        <v>88</v>
      </c>
      <c r="AN10561" t="s">
        <v>88</v>
      </c>
      <c r="AO10561" t="s">
        <v>13920</v>
      </c>
      <c r="AP10561" t="s">
        <v>13921</v>
      </c>
      <c r="AQ10561">
        <v>3</v>
      </c>
      <c r="AR10561" t="s">
        <v>89</v>
      </c>
      <c r="AS10561" t="s">
        <v>90</v>
      </c>
      <c r="AT10561" t="s">
        <v>58</v>
      </c>
      <c r="AU10561" t="s">
        <v>68</v>
      </c>
      <c r="AV10561" t="s">
        <v>69</v>
      </c>
      <c r="AW10561" s="1">
        <v>21994</v>
      </c>
      <c r="AX10561">
        <v>1</v>
      </c>
    </row>
    <row r="10562" spans="1:50">
      <c r="A10562">
        <v>622585</v>
      </c>
      <c r="B10562" t="str">
        <f>"046185843"</f>
        <v>046185843</v>
      </c>
      <c r="C10562" t="s">
        <v>50</v>
      </c>
      <c r="D10562" t="s">
        <v>15433</v>
      </c>
      <c r="E10562" t="s">
        <v>4671</v>
      </c>
      <c r="F10562" t="s">
        <v>92</v>
      </c>
      <c r="G10562" t="s">
        <v>109</v>
      </c>
      <c r="H10562" t="str">
        <f>"ΠΕΡΙΒΟΛΙΩΝ 70 ΧΑΝΙΑ"</f>
        <v>ΠΕΡΙΒΟΛΙΩΝ 70 ΧΑΝΙΑ</v>
      </c>
      <c r="I10562">
        <v>73100</v>
      </c>
      <c r="J10562">
        <v>2821071468</v>
      </c>
      <c r="K10562">
        <v>6979445103</v>
      </c>
      <c r="N10562" t="s">
        <v>1525</v>
      </c>
      <c r="O10562" t="s">
        <v>1526</v>
      </c>
      <c r="R10562" t="s">
        <v>57</v>
      </c>
      <c r="S10562">
        <v>5</v>
      </c>
      <c r="T10562">
        <v>653</v>
      </c>
      <c r="U10562" s="1">
        <v>40043</v>
      </c>
      <c r="V10562" t="s">
        <v>89</v>
      </c>
      <c r="W10562" t="s">
        <v>90</v>
      </c>
      <c r="X10562" t="s">
        <v>58</v>
      </c>
      <c r="Y10562">
        <v>25</v>
      </c>
      <c r="Z10562" t="s">
        <v>59</v>
      </c>
      <c r="AA10562" t="s">
        <v>59</v>
      </c>
      <c r="AB10562" t="s">
        <v>59</v>
      </c>
      <c r="AC10562" t="s">
        <v>59</v>
      </c>
      <c r="AD10562" t="s">
        <v>59</v>
      </c>
      <c r="AF10562" s="1">
        <v>40043</v>
      </c>
      <c r="AG10562" t="s">
        <v>8651</v>
      </c>
      <c r="AH10562" t="s">
        <v>8652</v>
      </c>
      <c r="AI10562" t="str">
        <f>"9500339"</f>
        <v>9500339</v>
      </c>
      <c r="AJ10562" t="s">
        <v>15245</v>
      </c>
      <c r="AK10562">
        <v>2821091660</v>
      </c>
      <c r="AL10562" t="s">
        <v>15246</v>
      </c>
      <c r="AM10562" t="s">
        <v>88</v>
      </c>
      <c r="AN10562" t="s">
        <v>88</v>
      </c>
      <c r="AO10562" t="s">
        <v>88</v>
      </c>
      <c r="AP10562" t="s">
        <v>88</v>
      </c>
      <c r="AQ10562">
        <v>1</v>
      </c>
      <c r="AR10562" t="s">
        <v>89</v>
      </c>
      <c r="AS10562" t="s">
        <v>90</v>
      </c>
      <c r="AT10562" t="s">
        <v>58</v>
      </c>
      <c r="AU10562" t="s">
        <v>68</v>
      </c>
      <c r="AV10562" t="s">
        <v>69</v>
      </c>
      <c r="AW10562" s="1">
        <v>24785</v>
      </c>
      <c r="AX10562">
        <v>1</v>
      </c>
    </row>
    <row r="10563" spans="1:50">
      <c r="A10563">
        <v>604139</v>
      </c>
      <c r="B10563" t="str">
        <f>"101588351"</f>
        <v>101588351</v>
      </c>
      <c r="C10563" t="s">
        <v>50</v>
      </c>
      <c r="D10563" t="s">
        <v>8392</v>
      </c>
      <c r="E10563" t="s">
        <v>755</v>
      </c>
      <c r="F10563" t="s">
        <v>95</v>
      </c>
      <c r="G10563" t="s">
        <v>83</v>
      </c>
      <c r="H10563" t="str">
        <f>"ΒΡΥΣΩΝ 59 ΧΑΝΙΑ"</f>
        <v>ΒΡΥΣΩΝ 59 ΧΑΝΙΑ</v>
      </c>
      <c r="I10563">
        <v>73100</v>
      </c>
      <c r="J10563">
        <v>2821044522</v>
      </c>
      <c r="K10563">
        <v>6932504576</v>
      </c>
      <c r="N10563" t="s">
        <v>615</v>
      </c>
      <c r="O10563" t="s">
        <v>616</v>
      </c>
      <c r="R10563" t="s">
        <v>57</v>
      </c>
      <c r="S10563">
        <v>8</v>
      </c>
      <c r="T10563">
        <v>231</v>
      </c>
      <c r="U10563" s="1">
        <v>38230</v>
      </c>
      <c r="V10563" t="s">
        <v>89</v>
      </c>
      <c r="W10563" t="s">
        <v>90</v>
      </c>
      <c r="X10563" t="s">
        <v>58</v>
      </c>
      <c r="Y10563">
        <v>22</v>
      </c>
      <c r="Z10563" t="s">
        <v>59</v>
      </c>
      <c r="AA10563" t="s">
        <v>59</v>
      </c>
      <c r="AB10563" t="s">
        <v>59</v>
      </c>
      <c r="AC10563" t="s">
        <v>59</v>
      </c>
      <c r="AD10563" t="s">
        <v>59</v>
      </c>
      <c r="AF10563" s="1">
        <v>38230</v>
      </c>
      <c r="AG10563" t="s">
        <v>8645</v>
      </c>
      <c r="AH10563" t="s">
        <v>8646</v>
      </c>
      <c r="AI10563" t="str">
        <f>"9500407"</f>
        <v>9500407</v>
      </c>
      <c r="AJ10563" t="s">
        <v>13867</v>
      </c>
      <c r="AK10563">
        <v>2821089224</v>
      </c>
      <c r="AL10563" t="s">
        <v>13868</v>
      </c>
      <c r="AM10563" t="s">
        <v>88</v>
      </c>
      <c r="AN10563" t="s">
        <v>88</v>
      </c>
      <c r="AO10563" t="s">
        <v>6748</v>
      </c>
      <c r="AP10563" t="s">
        <v>6748</v>
      </c>
      <c r="AQ10563">
        <v>2</v>
      </c>
      <c r="AR10563" t="s">
        <v>89</v>
      </c>
      <c r="AS10563" t="s">
        <v>90</v>
      </c>
      <c r="AT10563" t="s">
        <v>58</v>
      </c>
      <c r="AU10563" t="s">
        <v>68</v>
      </c>
      <c r="AV10563" t="s">
        <v>69</v>
      </c>
      <c r="AW10563" s="1">
        <v>26450</v>
      </c>
      <c r="AX10563">
        <v>1</v>
      </c>
    </row>
    <row r="10564" spans="1:50">
      <c r="A10564">
        <v>595397</v>
      </c>
      <c r="B10564" t="str">
        <f>"053659858"</f>
        <v>053659858</v>
      </c>
      <c r="C10564" t="s">
        <v>50</v>
      </c>
      <c r="D10564" t="s">
        <v>8392</v>
      </c>
      <c r="E10564" t="s">
        <v>143</v>
      </c>
      <c r="F10564" t="s">
        <v>166</v>
      </c>
      <c r="G10564" t="s">
        <v>73</v>
      </c>
      <c r="H10564" t="str">
        <f>"ΣΤΕΡΝΕΣ ΣΤΕΡΝΕΣ-ΧΑΝΙΑ"</f>
        <v>ΣΤΕΡΝΕΣ ΣΤΕΡΝΕΣ-ΧΑΝΙΑ</v>
      </c>
      <c r="I10564">
        <v>73100</v>
      </c>
      <c r="J10564">
        <v>2821065604</v>
      </c>
      <c r="K10564">
        <v>6973853787</v>
      </c>
      <c r="N10564" t="s">
        <v>1525</v>
      </c>
      <c r="O10564" t="s">
        <v>1526</v>
      </c>
      <c r="R10564" t="s">
        <v>57</v>
      </c>
      <c r="S10564">
        <v>10</v>
      </c>
      <c r="T10564">
        <v>218</v>
      </c>
      <c r="U10564" s="1">
        <v>37134</v>
      </c>
      <c r="V10564" t="s">
        <v>89</v>
      </c>
      <c r="W10564" t="s">
        <v>90</v>
      </c>
      <c r="X10564" t="s">
        <v>58</v>
      </c>
      <c r="Y10564">
        <v>25</v>
      </c>
      <c r="Z10564" t="s">
        <v>59</v>
      </c>
      <c r="AA10564" t="s">
        <v>59</v>
      </c>
      <c r="AB10564" t="s">
        <v>59</v>
      </c>
      <c r="AC10564" t="s">
        <v>59</v>
      </c>
      <c r="AD10564" t="s">
        <v>59</v>
      </c>
      <c r="AF10564" s="1">
        <v>37137</v>
      </c>
      <c r="AG10564" t="s">
        <v>8651</v>
      </c>
      <c r="AH10564" t="s">
        <v>8652</v>
      </c>
      <c r="AI10564" t="str">
        <f>"9500301"</f>
        <v>9500301</v>
      </c>
      <c r="AJ10564" t="s">
        <v>14705</v>
      </c>
      <c r="AK10564">
        <v>2821066076</v>
      </c>
      <c r="AL10564" t="s">
        <v>14706</v>
      </c>
      <c r="AM10564" t="s">
        <v>88</v>
      </c>
      <c r="AN10564" t="s">
        <v>88</v>
      </c>
      <c r="AO10564" t="s">
        <v>6770</v>
      </c>
      <c r="AP10564" t="s">
        <v>14015</v>
      </c>
      <c r="AQ10564">
        <v>2</v>
      </c>
      <c r="AR10564" t="s">
        <v>89</v>
      </c>
      <c r="AS10564" t="s">
        <v>90</v>
      </c>
      <c r="AT10564" t="s">
        <v>58</v>
      </c>
      <c r="AU10564" t="s">
        <v>68</v>
      </c>
      <c r="AV10564" t="s">
        <v>69</v>
      </c>
      <c r="AW10564" s="1">
        <v>24172</v>
      </c>
      <c r="AX10564">
        <v>1</v>
      </c>
    </row>
    <row r="10565" spans="1:50">
      <c r="A10565">
        <v>605970</v>
      </c>
      <c r="B10565" t="str">
        <f>"065438844"</f>
        <v>065438844</v>
      </c>
      <c r="C10565" t="s">
        <v>50</v>
      </c>
      <c r="D10565" t="s">
        <v>15434</v>
      </c>
      <c r="E10565" t="s">
        <v>52</v>
      </c>
      <c r="F10565" t="s">
        <v>166</v>
      </c>
      <c r="G10565" t="s">
        <v>155</v>
      </c>
      <c r="H10565" t="str">
        <f>" "</f>
        <v xml:space="preserve"> </v>
      </c>
      <c r="J10565">
        <v>2821057534</v>
      </c>
      <c r="N10565" t="s">
        <v>1525</v>
      </c>
      <c r="O10565" t="s">
        <v>1526</v>
      </c>
      <c r="R10565" t="s">
        <v>57</v>
      </c>
      <c r="S10565">
        <v>7</v>
      </c>
      <c r="T10565">
        <v>231</v>
      </c>
      <c r="U10565" s="1">
        <v>38236</v>
      </c>
      <c r="V10565" t="s">
        <v>89</v>
      </c>
      <c r="W10565" t="s">
        <v>90</v>
      </c>
      <c r="X10565" t="s">
        <v>58</v>
      </c>
      <c r="Y10565">
        <v>25</v>
      </c>
      <c r="Z10565" t="s">
        <v>59</v>
      </c>
      <c r="AA10565" t="s">
        <v>59</v>
      </c>
      <c r="AB10565" t="s">
        <v>59</v>
      </c>
      <c r="AC10565" t="s">
        <v>59</v>
      </c>
      <c r="AD10565" t="s">
        <v>59</v>
      </c>
      <c r="AF10565" s="1">
        <v>38236</v>
      </c>
      <c r="AG10565" t="s">
        <v>8651</v>
      </c>
      <c r="AH10565" t="s">
        <v>8652</v>
      </c>
      <c r="AI10565" t="str">
        <f>"9500341"</f>
        <v>9500341</v>
      </c>
      <c r="AJ10565" t="s">
        <v>14516</v>
      </c>
      <c r="AK10565">
        <v>2821057345</v>
      </c>
      <c r="AL10565" t="s">
        <v>14517</v>
      </c>
      <c r="AM10565" t="s">
        <v>88</v>
      </c>
      <c r="AN10565" t="s">
        <v>88</v>
      </c>
      <c r="AO10565" t="s">
        <v>88</v>
      </c>
      <c r="AP10565" t="s">
        <v>88</v>
      </c>
      <c r="AQ10565">
        <v>1</v>
      </c>
      <c r="AR10565" t="s">
        <v>89</v>
      </c>
      <c r="AS10565" t="s">
        <v>90</v>
      </c>
      <c r="AT10565" t="s">
        <v>58</v>
      </c>
      <c r="AU10565" t="s">
        <v>68</v>
      </c>
      <c r="AV10565" t="s">
        <v>69</v>
      </c>
      <c r="AW10565" s="1">
        <v>25247</v>
      </c>
      <c r="AX10565">
        <v>1</v>
      </c>
    </row>
    <row r="10566" spans="1:50">
      <c r="A10566">
        <v>582861</v>
      </c>
      <c r="B10566" t="str">
        <f>"101578136"</f>
        <v>101578136</v>
      </c>
      <c r="C10566" t="s">
        <v>50</v>
      </c>
      <c r="D10566" t="s">
        <v>15434</v>
      </c>
      <c r="E10566" t="s">
        <v>1085</v>
      </c>
      <c r="F10566" t="s">
        <v>166</v>
      </c>
      <c r="G10566" t="s">
        <v>155</v>
      </c>
      <c r="H10566" t="str">
        <f>" "</f>
        <v xml:space="preserve"> </v>
      </c>
      <c r="N10566" t="s">
        <v>1525</v>
      </c>
      <c r="O10566" t="s">
        <v>1526</v>
      </c>
      <c r="R10566" t="s">
        <v>57</v>
      </c>
      <c r="S10566">
        <v>11</v>
      </c>
      <c r="T10566">
        <v>179</v>
      </c>
      <c r="U10566" s="1">
        <v>35674</v>
      </c>
      <c r="V10566" t="s">
        <v>89</v>
      </c>
      <c r="W10566" t="s">
        <v>90</v>
      </c>
      <c r="X10566" t="s">
        <v>58</v>
      </c>
      <c r="Y10566">
        <v>25</v>
      </c>
      <c r="Z10566" t="s">
        <v>59</v>
      </c>
      <c r="AA10566" t="s">
        <v>59</v>
      </c>
      <c r="AB10566" t="s">
        <v>59</v>
      </c>
      <c r="AC10566" t="s">
        <v>59</v>
      </c>
      <c r="AD10566" t="s">
        <v>59</v>
      </c>
      <c r="AF10566" s="1">
        <v>35674</v>
      </c>
      <c r="AG10566" t="s">
        <v>8651</v>
      </c>
      <c r="AH10566" t="s">
        <v>8652</v>
      </c>
      <c r="AI10566" t="str">
        <f>"9500276"</f>
        <v>9500276</v>
      </c>
      <c r="AJ10566" t="s">
        <v>14703</v>
      </c>
      <c r="AK10566">
        <v>2821054388</v>
      </c>
      <c r="AL10566" t="s">
        <v>14704</v>
      </c>
      <c r="AM10566" t="s">
        <v>88</v>
      </c>
      <c r="AN10566" t="s">
        <v>88</v>
      </c>
      <c r="AO10566" t="s">
        <v>88</v>
      </c>
      <c r="AP10566" t="s">
        <v>88</v>
      </c>
      <c r="AQ10566">
        <v>1</v>
      </c>
      <c r="AR10566" t="s">
        <v>89</v>
      </c>
      <c r="AS10566" t="s">
        <v>90</v>
      </c>
      <c r="AT10566" t="s">
        <v>58</v>
      </c>
      <c r="AU10566" t="s">
        <v>68</v>
      </c>
      <c r="AV10566" t="s">
        <v>69</v>
      </c>
      <c r="AW10566" s="1">
        <v>23746</v>
      </c>
      <c r="AX10566">
        <v>1</v>
      </c>
    </row>
    <row r="10567" spans="1:50">
      <c r="A10567">
        <v>565695</v>
      </c>
      <c r="B10567" t="str">
        <f>"027307243"</f>
        <v>027307243</v>
      </c>
      <c r="C10567" t="s">
        <v>50</v>
      </c>
      <c r="D10567" t="s">
        <v>15434</v>
      </c>
      <c r="E10567" t="s">
        <v>563</v>
      </c>
      <c r="F10567" t="s">
        <v>166</v>
      </c>
      <c r="G10567" t="s">
        <v>330</v>
      </c>
      <c r="H10567" t="str">
        <f>"ΠΑΠΑΝΑΣΤΑΣΙΟΥ 176 ΧΑΝΙΑ"</f>
        <v>ΠΑΠΑΝΑΣΤΑΣΙΟΥ 176 ΧΑΝΙΑ</v>
      </c>
      <c r="I10567">
        <v>73134</v>
      </c>
      <c r="J10567">
        <v>2821028161</v>
      </c>
      <c r="K10567">
        <v>6946005357</v>
      </c>
      <c r="N10567" t="s">
        <v>615</v>
      </c>
      <c r="O10567" t="s">
        <v>616</v>
      </c>
      <c r="R10567" t="s">
        <v>57</v>
      </c>
      <c r="S10567">
        <v>14</v>
      </c>
      <c r="T10567">
        <v>161</v>
      </c>
      <c r="U10567" s="1">
        <v>33119</v>
      </c>
      <c r="V10567" t="s">
        <v>89</v>
      </c>
      <c r="W10567" t="s">
        <v>90</v>
      </c>
      <c r="X10567" t="s">
        <v>58</v>
      </c>
      <c r="Y10567">
        <v>21</v>
      </c>
      <c r="Z10567" t="s">
        <v>59</v>
      </c>
      <c r="AA10567" t="s">
        <v>59</v>
      </c>
      <c r="AB10567" t="s">
        <v>59</v>
      </c>
      <c r="AC10567" t="s">
        <v>59</v>
      </c>
      <c r="AD10567" t="s">
        <v>59</v>
      </c>
      <c r="AF10567" s="1">
        <v>33119</v>
      </c>
      <c r="AG10567" t="s">
        <v>8645</v>
      </c>
      <c r="AH10567" t="s">
        <v>8646</v>
      </c>
      <c r="AI10567" t="str">
        <f>"9500338"</f>
        <v>9500338</v>
      </c>
      <c r="AJ10567" t="s">
        <v>13959</v>
      </c>
      <c r="AK10567">
        <v>2821040556</v>
      </c>
      <c r="AL10567" t="s">
        <v>13960</v>
      </c>
      <c r="AM10567" t="s">
        <v>88</v>
      </c>
      <c r="AN10567" t="s">
        <v>88</v>
      </c>
      <c r="AO10567" t="s">
        <v>88</v>
      </c>
      <c r="AP10567" t="s">
        <v>88</v>
      </c>
      <c r="AQ10567">
        <v>1</v>
      </c>
      <c r="AR10567" t="s">
        <v>89</v>
      </c>
      <c r="AS10567" t="s">
        <v>90</v>
      </c>
      <c r="AT10567" t="s">
        <v>58</v>
      </c>
      <c r="AU10567" t="s">
        <v>68</v>
      </c>
      <c r="AV10567" t="s">
        <v>69</v>
      </c>
      <c r="AW10567" s="1">
        <v>23324</v>
      </c>
      <c r="AX10567">
        <v>1</v>
      </c>
    </row>
    <row r="10568" spans="1:50">
      <c r="A10568">
        <v>606188</v>
      </c>
      <c r="B10568" t="str">
        <f>"072308578"</f>
        <v>072308578</v>
      </c>
      <c r="C10568" t="s">
        <v>50</v>
      </c>
      <c r="D10568" t="s">
        <v>15435</v>
      </c>
      <c r="E10568" t="s">
        <v>340</v>
      </c>
      <c r="F10568" t="s">
        <v>377</v>
      </c>
      <c r="G10568" t="s">
        <v>823</v>
      </c>
      <c r="H10568" t="str">
        <f>"ΚΟΚΚΙΝΟΥ 5 ΧΑΝΙΑ"</f>
        <v>ΚΟΚΚΙΝΟΥ 5 ΧΑΝΙΑ</v>
      </c>
      <c r="I10568">
        <v>73131</v>
      </c>
      <c r="J10568">
        <v>2821076797</v>
      </c>
      <c r="K10568">
        <v>6978516306</v>
      </c>
      <c r="N10568" t="s">
        <v>1525</v>
      </c>
      <c r="O10568" t="s">
        <v>1526</v>
      </c>
      <c r="R10568" t="s">
        <v>57</v>
      </c>
      <c r="S10568">
        <v>7</v>
      </c>
      <c r="T10568">
        <v>231</v>
      </c>
      <c r="U10568" s="1">
        <v>38230</v>
      </c>
      <c r="V10568" t="s">
        <v>89</v>
      </c>
      <c r="W10568" t="s">
        <v>90</v>
      </c>
      <c r="X10568" t="s">
        <v>58</v>
      </c>
      <c r="Y10568">
        <v>25</v>
      </c>
      <c r="Z10568" t="s">
        <v>59</v>
      </c>
      <c r="AA10568" t="s">
        <v>59</v>
      </c>
      <c r="AB10568" t="s">
        <v>59</v>
      </c>
      <c r="AC10568" t="s">
        <v>59</v>
      </c>
      <c r="AD10568" t="s">
        <v>59</v>
      </c>
      <c r="AF10568" s="1">
        <v>38231</v>
      </c>
      <c r="AG10568" t="s">
        <v>8651</v>
      </c>
      <c r="AH10568" t="s">
        <v>8652</v>
      </c>
      <c r="AI10568" t="str">
        <f>"9500395"</f>
        <v>9500395</v>
      </c>
      <c r="AJ10568" t="s">
        <v>15436</v>
      </c>
      <c r="AK10568">
        <v>2821091004</v>
      </c>
      <c r="AL10568" t="s">
        <v>15437</v>
      </c>
      <c r="AM10568" t="s">
        <v>88</v>
      </c>
      <c r="AN10568" t="s">
        <v>88</v>
      </c>
      <c r="AO10568" t="s">
        <v>13920</v>
      </c>
      <c r="AP10568" t="s">
        <v>14029</v>
      </c>
      <c r="AQ10568">
        <v>3</v>
      </c>
      <c r="AR10568" t="s">
        <v>89</v>
      </c>
      <c r="AS10568" t="s">
        <v>90</v>
      </c>
      <c r="AT10568" t="s">
        <v>58</v>
      </c>
      <c r="AU10568" t="s">
        <v>68</v>
      </c>
      <c r="AV10568" t="s">
        <v>69</v>
      </c>
      <c r="AW10568" s="1">
        <v>26668</v>
      </c>
      <c r="AX10568">
        <v>1</v>
      </c>
    </row>
    <row r="10569" spans="1:50">
      <c r="A10569">
        <v>601245</v>
      </c>
      <c r="B10569" t="str">
        <f>"064533376"</f>
        <v>064533376</v>
      </c>
      <c r="C10569" t="s">
        <v>105</v>
      </c>
      <c r="D10569" t="s">
        <v>8393</v>
      </c>
      <c r="E10569" t="s">
        <v>166</v>
      </c>
      <c r="F10569" t="s">
        <v>377</v>
      </c>
      <c r="G10569" t="s">
        <v>823</v>
      </c>
      <c r="H10569" t="str">
        <f>"ΕΘΝΑΡΧΟΥ ΒΕΝΙΖΕΛΟΥ 108 ΧΑΝΙΑ"</f>
        <v>ΕΘΝΑΡΧΟΥ ΒΕΝΙΖΕΛΟΥ 108 ΧΑΝΙΑ</v>
      </c>
      <c r="I10569">
        <v>73200</v>
      </c>
      <c r="J10569">
        <v>2821089982</v>
      </c>
      <c r="K10569">
        <v>6973842113</v>
      </c>
      <c r="M10569" t="s">
        <v>15438</v>
      </c>
      <c r="N10569" t="s">
        <v>615</v>
      </c>
      <c r="O10569" t="s">
        <v>616</v>
      </c>
      <c r="R10569" t="s">
        <v>57</v>
      </c>
      <c r="S10569">
        <v>8</v>
      </c>
      <c r="T10569">
        <v>207</v>
      </c>
      <c r="U10569" s="1">
        <v>37866</v>
      </c>
      <c r="V10569" t="s">
        <v>89</v>
      </c>
      <c r="W10569" t="s">
        <v>90</v>
      </c>
      <c r="X10569" t="s">
        <v>58</v>
      </c>
      <c r="Y10569">
        <v>25</v>
      </c>
      <c r="Z10569" t="s">
        <v>59</v>
      </c>
      <c r="AA10569" t="s">
        <v>59</v>
      </c>
      <c r="AB10569" t="s">
        <v>59</v>
      </c>
      <c r="AC10569" t="s">
        <v>59</v>
      </c>
      <c r="AD10569" t="s">
        <v>59</v>
      </c>
      <c r="AF10569" s="1">
        <v>37866</v>
      </c>
      <c r="AG10569" t="s">
        <v>8645</v>
      </c>
      <c r="AH10569" t="s">
        <v>8676</v>
      </c>
      <c r="AI10569" t="str">
        <f>"9500012"</f>
        <v>9500012</v>
      </c>
      <c r="AJ10569" t="s">
        <v>14481</v>
      </c>
      <c r="AK10569">
        <v>2825051487</v>
      </c>
      <c r="AL10569" t="s">
        <v>14482</v>
      </c>
      <c r="AM10569" t="s">
        <v>88</v>
      </c>
      <c r="AN10569" t="s">
        <v>6775</v>
      </c>
      <c r="AO10569" t="s">
        <v>6781</v>
      </c>
      <c r="AP10569" t="s">
        <v>14483</v>
      </c>
      <c r="AQ10569">
        <v>8</v>
      </c>
      <c r="AR10569" t="s">
        <v>89</v>
      </c>
      <c r="AS10569" t="s">
        <v>90</v>
      </c>
      <c r="AT10569" t="s">
        <v>58</v>
      </c>
      <c r="AU10569" t="s">
        <v>68</v>
      </c>
      <c r="AV10569" t="s">
        <v>69</v>
      </c>
      <c r="AW10569" s="1">
        <v>25973</v>
      </c>
      <c r="AX10569">
        <v>1</v>
      </c>
    </row>
    <row r="10570" spans="1:50">
      <c r="A10570">
        <v>607503</v>
      </c>
      <c r="B10570" t="str">
        <f>"117401602"</f>
        <v>117401602</v>
      </c>
      <c r="C10570" t="s">
        <v>50</v>
      </c>
      <c r="D10570" t="s">
        <v>15439</v>
      </c>
      <c r="E10570" t="s">
        <v>3172</v>
      </c>
      <c r="F10570" t="s">
        <v>53</v>
      </c>
      <c r="G10570" t="s">
        <v>563</v>
      </c>
      <c r="H10570" t="str">
        <f>"ΣΑΜΨΟΥΝΤΟΣ 24 ΑΜΠΕΛΟΚΗΠΟΙ"</f>
        <v>ΣΑΜΨΟΥΝΤΟΣ 24 ΑΜΠΕΛΟΚΗΠΟΙ</v>
      </c>
      <c r="I10570">
        <v>11522</v>
      </c>
      <c r="J10570">
        <v>2825083375</v>
      </c>
      <c r="K10570">
        <v>6977129866</v>
      </c>
      <c r="M10570" t="s">
        <v>15440</v>
      </c>
      <c r="N10570" t="s">
        <v>615</v>
      </c>
      <c r="O10570" t="s">
        <v>616</v>
      </c>
      <c r="R10570" t="s">
        <v>57</v>
      </c>
      <c r="S10570">
        <v>9</v>
      </c>
      <c r="T10570">
        <v>217</v>
      </c>
      <c r="U10570" s="1">
        <v>38596</v>
      </c>
      <c r="V10570" t="s">
        <v>89</v>
      </c>
      <c r="W10570" t="s">
        <v>90</v>
      </c>
      <c r="X10570" t="s">
        <v>58</v>
      </c>
      <c r="Y10570">
        <v>22</v>
      </c>
      <c r="Z10570" t="s">
        <v>59</v>
      </c>
      <c r="AA10570" t="s">
        <v>59</v>
      </c>
      <c r="AB10570" t="s">
        <v>59</v>
      </c>
      <c r="AC10570" t="s">
        <v>59</v>
      </c>
      <c r="AD10570" t="s">
        <v>59</v>
      </c>
      <c r="AF10570" s="1">
        <v>38601</v>
      </c>
      <c r="AG10570" t="s">
        <v>8645</v>
      </c>
      <c r="AH10570" t="s">
        <v>8646</v>
      </c>
      <c r="AI10570" t="str">
        <f>"9500004"</f>
        <v>9500004</v>
      </c>
      <c r="AJ10570" t="s">
        <v>13897</v>
      </c>
      <c r="AK10570">
        <v>2825022272</v>
      </c>
      <c r="AL10570" t="s">
        <v>13898</v>
      </c>
      <c r="AM10570" t="s">
        <v>88</v>
      </c>
      <c r="AN10570" t="s">
        <v>6775</v>
      </c>
      <c r="AO10570" t="s">
        <v>6776</v>
      </c>
      <c r="AP10570" t="s">
        <v>6776</v>
      </c>
      <c r="AQ10570">
        <v>7</v>
      </c>
      <c r="AR10570" t="s">
        <v>89</v>
      </c>
      <c r="AS10570" t="s">
        <v>90</v>
      </c>
      <c r="AT10570" t="s">
        <v>58</v>
      </c>
      <c r="AU10570" t="s">
        <v>68</v>
      </c>
      <c r="AV10570" t="s">
        <v>69</v>
      </c>
      <c r="AW10570" s="1">
        <v>29560</v>
      </c>
      <c r="AX10570">
        <v>1</v>
      </c>
    </row>
    <row r="10571" spans="1:50">
      <c r="A10571">
        <v>590816</v>
      </c>
      <c r="B10571" t="str">
        <f>"056260634"</f>
        <v>056260634</v>
      </c>
      <c r="C10571" t="s">
        <v>50</v>
      </c>
      <c r="D10571" t="s">
        <v>15441</v>
      </c>
      <c r="E10571" t="s">
        <v>83</v>
      </c>
      <c r="F10571" t="s">
        <v>95</v>
      </c>
      <c r="G10571" t="s">
        <v>13577</v>
      </c>
      <c r="H10571" t="str">
        <f>"ΜΑΝΟΥΣΟΥ ΚΟΥΝΔΟΥΡΟΥ 25 ΧΑΝΙΑ"</f>
        <v>ΜΑΝΟΥΣΟΥ ΚΟΥΝΔΟΥΡΟΥ 25 ΧΑΝΙΑ</v>
      </c>
      <c r="I10571">
        <v>73134</v>
      </c>
      <c r="J10571">
        <v>2821027389</v>
      </c>
      <c r="K10571">
        <v>6942504701</v>
      </c>
      <c r="N10571" t="s">
        <v>615</v>
      </c>
      <c r="O10571" t="s">
        <v>616</v>
      </c>
      <c r="R10571" t="s">
        <v>57</v>
      </c>
      <c r="S10571">
        <v>11</v>
      </c>
      <c r="T10571">
        <v>249</v>
      </c>
      <c r="U10571" s="1">
        <v>36769</v>
      </c>
      <c r="V10571" t="s">
        <v>89</v>
      </c>
      <c r="W10571" t="s">
        <v>90</v>
      </c>
      <c r="X10571" t="s">
        <v>58</v>
      </c>
      <c r="Y10571">
        <v>21</v>
      </c>
      <c r="Z10571" t="s">
        <v>59</v>
      </c>
      <c r="AA10571" t="s">
        <v>59</v>
      </c>
      <c r="AB10571" t="s">
        <v>59</v>
      </c>
      <c r="AC10571" t="s">
        <v>59</v>
      </c>
      <c r="AD10571" t="s">
        <v>59</v>
      </c>
      <c r="AF10571" s="1">
        <v>36770</v>
      </c>
      <c r="AG10571" t="s">
        <v>8645</v>
      </c>
      <c r="AH10571" t="s">
        <v>8646</v>
      </c>
      <c r="AI10571" t="str">
        <f>"9500078"</f>
        <v>9500078</v>
      </c>
      <c r="AJ10571" t="s">
        <v>13988</v>
      </c>
      <c r="AK10571">
        <v>2821028788</v>
      </c>
      <c r="AL10571" t="s">
        <v>13989</v>
      </c>
      <c r="AM10571" t="s">
        <v>88</v>
      </c>
      <c r="AN10571" t="s">
        <v>88</v>
      </c>
      <c r="AO10571" t="s">
        <v>88</v>
      </c>
      <c r="AP10571" t="s">
        <v>88</v>
      </c>
      <c r="AQ10571">
        <v>1</v>
      </c>
      <c r="AR10571" t="s">
        <v>89</v>
      </c>
      <c r="AS10571" t="s">
        <v>90</v>
      </c>
      <c r="AT10571" t="s">
        <v>58</v>
      </c>
      <c r="AU10571" t="s">
        <v>68</v>
      </c>
      <c r="AV10571" t="s">
        <v>69</v>
      </c>
      <c r="AW10571" s="1">
        <v>24839</v>
      </c>
      <c r="AX10571">
        <v>1</v>
      </c>
    </row>
    <row r="10572" spans="1:50">
      <c r="B10572" t="str">
        <f>"127700310"</f>
        <v>127700310</v>
      </c>
      <c r="C10572" t="s">
        <v>50</v>
      </c>
      <c r="D10572" t="s">
        <v>15441</v>
      </c>
      <c r="E10572" t="s">
        <v>2248</v>
      </c>
      <c r="F10572" t="s">
        <v>95</v>
      </c>
      <c r="G10572" t="s">
        <v>15442</v>
      </c>
      <c r="H10572" t="str">
        <f>"ΑΓΑΘΑΓΓΕΛΟΥ ΝΙΝΟΛΑΚΗ 34 "</f>
        <v xml:space="preserve">ΑΓΑΘΑΓΓΕΛΟΥ ΝΙΝΟΛΑΚΗ 34 </v>
      </c>
      <c r="I10572">
        <v>73100</v>
      </c>
      <c r="J10572">
        <v>2821098916</v>
      </c>
      <c r="K10572">
        <v>6957206216</v>
      </c>
      <c r="L10572">
        <v>2821098916</v>
      </c>
      <c r="N10572" t="s">
        <v>615</v>
      </c>
      <c r="O10572" t="s">
        <v>616</v>
      </c>
      <c r="R10572" t="s">
        <v>159</v>
      </c>
      <c r="S10572">
        <v>4</v>
      </c>
      <c r="T10572" t="s">
        <v>8675</v>
      </c>
      <c r="U10572" s="1">
        <v>43348</v>
      </c>
      <c r="V10572" t="s">
        <v>89</v>
      </c>
      <c r="W10572" t="s">
        <v>90</v>
      </c>
      <c r="X10572" t="s">
        <v>58</v>
      </c>
      <c r="Y10572">
        <v>24</v>
      </c>
      <c r="Z10572" t="s">
        <v>59</v>
      </c>
      <c r="AA10572" t="s">
        <v>59</v>
      </c>
      <c r="AB10572" t="s">
        <v>59</v>
      </c>
      <c r="AC10572" t="s">
        <v>59</v>
      </c>
      <c r="AD10572" t="s">
        <v>59</v>
      </c>
      <c r="AF10572" s="1">
        <v>43348</v>
      </c>
      <c r="AG10572" t="s">
        <v>8645</v>
      </c>
      <c r="AH10572" t="s">
        <v>8646</v>
      </c>
      <c r="AI10572" t="str">
        <f>"9500009"</f>
        <v>9500009</v>
      </c>
      <c r="AJ10572" t="s">
        <v>13927</v>
      </c>
      <c r="AK10572">
        <v>2825061346</v>
      </c>
      <c r="AL10572" t="s">
        <v>13928</v>
      </c>
      <c r="AM10572" t="s">
        <v>88</v>
      </c>
      <c r="AN10572" t="s">
        <v>6775</v>
      </c>
      <c r="AO10572" t="s">
        <v>13929</v>
      </c>
      <c r="AP10572" t="s">
        <v>13929</v>
      </c>
      <c r="AQ10572">
        <v>8</v>
      </c>
      <c r="AR10572" t="s">
        <v>89</v>
      </c>
      <c r="AS10572" t="s">
        <v>90</v>
      </c>
      <c r="AT10572" t="s">
        <v>58</v>
      </c>
      <c r="AU10572" t="s">
        <v>8673</v>
      </c>
      <c r="AV10572" t="s">
        <v>132</v>
      </c>
      <c r="AW10572" s="1">
        <v>31766</v>
      </c>
      <c r="AX10572">
        <v>1</v>
      </c>
    </row>
    <row r="10573" spans="1:50">
      <c r="A10573">
        <v>576482</v>
      </c>
      <c r="B10573" t="str">
        <f>"032278692"</f>
        <v>032278692</v>
      </c>
      <c r="C10573" t="s">
        <v>50</v>
      </c>
      <c r="D10573" t="s">
        <v>15443</v>
      </c>
      <c r="E10573" t="s">
        <v>610</v>
      </c>
      <c r="F10573" t="s">
        <v>609</v>
      </c>
      <c r="G10573" t="s">
        <v>15444</v>
      </c>
      <c r="H10573" t="str">
        <f>"ΚΙΣΑΜΟΥ 120 ΧΑΝΙΑ"</f>
        <v>ΚΙΣΑΜΟΥ 120 ΧΑΝΙΑ</v>
      </c>
      <c r="I10573">
        <v>73100</v>
      </c>
      <c r="J10573">
        <v>2821093699</v>
      </c>
      <c r="K10573">
        <v>6972203219</v>
      </c>
      <c r="L10573">
        <v>2821096217</v>
      </c>
      <c r="N10573" t="s">
        <v>306</v>
      </c>
      <c r="O10573" t="s">
        <v>307</v>
      </c>
      <c r="R10573" t="s">
        <v>57</v>
      </c>
      <c r="S10573">
        <v>12</v>
      </c>
      <c r="T10573">
        <v>184</v>
      </c>
      <c r="U10573" s="1">
        <v>34929</v>
      </c>
      <c r="V10573" t="s">
        <v>89</v>
      </c>
      <c r="W10573" t="s">
        <v>90</v>
      </c>
      <c r="X10573" t="s">
        <v>58</v>
      </c>
      <c r="Y10573">
        <v>21</v>
      </c>
      <c r="Z10573" t="s">
        <v>59</v>
      </c>
      <c r="AA10573" t="s">
        <v>59</v>
      </c>
      <c r="AB10573" t="s">
        <v>59</v>
      </c>
      <c r="AC10573" t="s">
        <v>59</v>
      </c>
      <c r="AD10573" t="s">
        <v>59</v>
      </c>
      <c r="AF10573" s="1">
        <v>34941</v>
      </c>
      <c r="AG10573" t="s">
        <v>8645</v>
      </c>
      <c r="AH10573" t="s">
        <v>14199</v>
      </c>
      <c r="AI10573" t="str">
        <f>"9500140"</f>
        <v>9500140</v>
      </c>
      <c r="AJ10573" t="s">
        <v>14200</v>
      </c>
      <c r="AK10573">
        <v>2821097348</v>
      </c>
      <c r="AL10573" t="s">
        <v>14201</v>
      </c>
      <c r="AM10573" t="s">
        <v>88</v>
      </c>
      <c r="AN10573" t="s">
        <v>88</v>
      </c>
      <c r="AO10573" t="s">
        <v>88</v>
      </c>
      <c r="AP10573" t="s">
        <v>88</v>
      </c>
      <c r="AQ10573">
        <v>1</v>
      </c>
      <c r="AR10573" t="s">
        <v>89</v>
      </c>
      <c r="AS10573" t="s">
        <v>90</v>
      </c>
      <c r="AT10573" t="s">
        <v>58</v>
      </c>
      <c r="AU10573" t="s">
        <v>68</v>
      </c>
      <c r="AV10573" t="s">
        <v>69</v>
      </c>
      <c r="AW10573" s="1">
        <v>22647</v>
      </c>
      <c r="AX10573">
        <v>1</v>
      </c>
    </row>
    <row r="10574" spans="1:50">
      <c r="B10574" t="str">
        <f>"150182748"</f>
        <v>150182748</v>
      </c>
      <c r="C10574" t="s">
        <v>50</v>
      </c>
      <c r="D10574" t="s">
        <v>15445</v>
      </c>
      <c r="E10574" t="s">
        <v>1484</v>
      </c>
      <c r="F10574" t="s">
        <v>510</v>
      </c>
      <c r="G10574" t="s">
        <v>52</v>
      </c>
      <c r="H10574" t="str">
        <f>"ΛΕΩΝΙΔΑ ΣΩΜΑΚΟΥ 78 ΙΩΑΝΝΙΝΑ"</f>
        <v>ΛΕΩΝΙΔΑ ΣΩΜΑΚΟΥ 78 ΙΩΑΝΝΙΝΑ</v>
      </c>
      <c r="I10574">
        <v>45550</v>
      </c>
      <c r="K10574">
        <v>6947094419</v>
      </c>
      <c r="M10574" t="s">
        <v>15446</v>
      </c>
      <c r="N10574" t="s">
        <v>384</v>
      </c>
      <c r="O10574" t="s">
        <v>385</v>
      </c>
      <c r="R10574" t="s">
        <v>121</v>
      </c>
      <c r="S10574">
        <v>1</v>
      </c>
      <c r="T10574" t="s">
        <v>8696</v>
      </c>
      <c r="U10574" s="1">
        <v>43348</v>
      </c>
      <c r="V10574" t="s">
        <v>89</v>
      </c>
      <c r="W10574" t="s">
        <v>90</v>
      </c>
      <c r="X10574" t="s">
        <v>58</v>
      </c>
      <c r="Y10574">
        <v>24</v>
      </c>
      <c r="Z10574" t="s">
        <v>59</v>
      </c>
      <c r="AA10574" t="s">
        <v>59</v>
      </c>
      <c r="AB10574" t="s">
        <v>59</v>
      </c>
      <c r="AC10574" t="s">
        <v>59</v>
      </c>
      <c r="AD10574" t="s">
        <v>59</v>
      </c>
      <c r="AF10574" s="1">
        <v>43348</v>
      </c>
      <c r="AG10574" t="s">
        <v>8645</v>
      </c>
      <c r="AH10574" t="s">
        <v>8697</v>
      </c>
      <c r="AI10574" t="str">
        <f>"9521567"</f>
        <v>9521567</v>
      </c>
      <c r="AJ10574" t="s">
        <v>14148</v>
      </c>
      <c r="AK10574">
        <v>2821086921</v>
      </c>
      <c r="AL10574" t="s">
        <v>14149</v>
      </c>
      <c r="AM10574" t="s">
        <v>88</v>
      </c>
      <c r="AN10574" t="s">
        <v>88</v>
      </c>
      <c r="AO10574" t="s">
        <v>88</v>
      </c>
      <c r="AP10574" t="s">
        <v>88</v>
      </c>
      <c r="AQ10574">
        <v>1</v>
      </c>
      <c r="AR10574" t="s">
        <v>89</v>
      </c>
      <c r="AS10574" t="s">
        <v>90</v>
      </c>
      <c r="AT10574" t="s">
        <v>58</v>
      </c>
      <c r="AU10574" t="s">
        <v>350</v>
      </c>
      <c r="AV10574" t="s">
        <v>132</v>
      </c>
      <c r="AW10574" s="1">
        <v>32728</v>
      </c>
      <c r="AX10574">
        <v>1</v>
      </c>
    </row>
    <row r="10575" spans="1:50">
      <c r="A10575">
        <v>590808</v>
      </c>
      <c r="B10575" t="str">
        <f>"054363431"</f>
        <v>054363431</v>
      </c>
      <c r="C10575" t="s">
        <v>105</v>
      </c>
      <c r="D10575" t="s">
        <v>15447</v>
      </c>
      <c r="E10575" t="s">
        <v>99</v>
      </c>
      <c r="F10575" t="s">
        <v>408</v>
      </c>
      <c r="G10575" t="s">
        <v>1497</v>
      </c>
      <c r="H10575" t="str">
        <f>"Ν. ΜΑΡΙΑΚΑΚΗ 24 ΧΑΝΙΑ"</f>
        <v>Ν. ΜΑΡΙΑΚΑΚΗ 24 ΧΑΝΙΑ</v>
      </c>
      <c r="I10575">
        <v>73135</v>
      </c>
      <c r="J10575">
        <v>2821075764</v>
      </c>
      <c r="K10575">
        <v>6945259987</v>
      </c>
      <c r="N10575" t="s">
        <v>615</v>
      </c>
      <c r="O10575" t="s">
        <v>616</v>
      </c>
      <c r="R10575" t="s">
        <v>57</v>
      </c>
      <c r="S10575">
        <v>13</v>
      </c>
      <c r="T10575">
        <v>249</v>
      </c>
      <c r="U10575" s="1">
        <v>36769</v>
      </c>
      <c r="V10575" t="s">
        <v>89</v>
      </c>
      <c r="W10575" t="s">
        <v>90</v>
      </c>
      <c r="X10575" t="s">
        <v>58</v>
      </c>
      <c r="Y10575">
        <v>21</v>
      </c>
      <c r="Z10575" t="s">
        <v>59</v>
      </c>
      <c r="AA10575" t="s">
        <v>59</v>
      </c>
      <c r="AB10575" t="s">
        <v>59</v>
      </c>
      <c r="AC10575" t="s">
        <v>59</v>
      </c>
      <c r="AD10575" t="s">
        <v>59</v>
      </c>
      <c r="AF10575" s="1">
        <v>36769</v>
      </c>
      <c r="AG10575" t="s">
        <v>8645</v>
      </c>
      <c r="AH10575" t="s">
        <v>8646</v>
      </c>
      <c r="AI10575" t="str">
        <f>"9500144"</f>
        <v>9500144</v>
      </c>
      <c r="AJ10575" t="s">
        <v>14010</v>
      </c>
      <c r="AK10575">
        <v>2821094171</v>
      </c>
      <c r="AL10575" t="s">
        <v>14011</v>
      </c>
      <c r="AM10575" t="s">
        <v>88</v>
      </c>
      <c r="AN10575" t="s">
        <v>88</v>
      </c>
      <c r="AO10575" t="s">
        <v>88</v>
      </c>
      <c r="AP10575" t="s">
        <v>88</v>
      </c>
      <c r="AQ10575">
        <v>1</v>
      </c>
      <c r="AR10575" t="s">
        <v>89</v>
      </c>
      <c r="AS10575" t="s">
        <v>90</v>
      </c>
      <c r="AT10575" t="s">
        <v>58</v>
      </c>
      <c r="AU10575" t="s">
        <v>68</v>
      </c>
      <c r="AV10575" t="s">
        <v>69</v>
      </c>
      <c r="AW10575" s="1">
        <v>24855</v>
      </c>
      <c r="AX10575">
        <v>1</v>
      </c>
    </row>
    <row r="10576" spans="1:50">
      <c r="A10576">
        <v>567945</v>
      </c>
      <c r="B10576" t="str">
        <f>"063953336"</f>
        <v>063953336</v>
      </c>
      <c r="C10576" t="s">
        <v>50</v>
      </c>
      <c r="D10576" t="s">
        <v>3975</v>
      </c>
      <c r="E10576" t="s">
        <v>2967</v>
      </c>
      <c r="F10576" t="s">
        <v>154</v>
      </c>
      <c r="G10576" t="s">
        <v>12153</v>
      </c>
      <c r="H10576" t="str">
        <f>"Λ. ΜΑΒΙΛΗ 19 ΧΑΝΙΑ"</f>
        <v>Λ. ΜΑΒΙΛΗ 19 ΧΑΝΙΑ</v>
      </c>
      <c r="I10576">
        <v>73132</v>
      </c>
      <c r="J10576">
        <v>2821054013</v>
      </c>
      <c r="K10576">
        <v>6972694855</v>
      </c>
      <c r="M10576" t="s">
        <v>15448</v>
      </c>
      <c r="N10576" t="s">
        <v>1525</v>
      </c>
      <c r="O10576" t="s">
        <v>1526</v>
      </c>
      <c r="R10576" t="s">
        <v>57</v>
      </c>
      <c r="S10576">
        <v>14</v>
      </c>
      <c r="T10576">
        <v>133</v>
      </c>
      <c r="U10576" s="1">
        <v>33456</v>
      </c>
      <c r="V10576" t="s">
        <v>89</v>
      </c>
      <c r="W10576" t="s">
        <v>90</v>
      </c>
      <c r="X10576" t="s">
        <v>58</v>
      </c>
      <c r="Y10576">
        <v>25</v>
      </c>
      <c r="Z10576" t="s">
        <v>59</v>
      </c>
      <c r="AA10576" t="s">
        <v>59</v>
      </c>
      <c r="AB10576" t="s">
        <v>59</v>
      </c>
      <c r="AC10576" t="s">
        <v>59</v>
      </c>
      <c r="AD10576" t="s">
        <v>59</v>
      </c>
      <c r="AF10576" s="1">
        <v>33456</v>
      </c>
      <c r="AG10576" t="s">
        <v>8651</v>
      </c>
      <c r="AH10576" t="s">
        <v>8652</v>
      </c>
      <c r="AI10576" t="str">
        <f>"9500344"</f>
        <v>9500344</v>
      </c>
      <c r="AJ10576" t="s">
        <v>14972</v>
      </c>
      <c r="AK10576">
        <v>2821095241</v>
      </c>
      <c r="AL10576" t="s">
        <v>14973</v>
      </c>
      <c r="AM10576" t="s">
        <v>88</v>
      </c>
      <c r="AN10576" t="s">
        <v>88</v>
      </c>
      <c r="AO10576" t="s">
        <v>6733</v>
      </c>
      <c r="AP10576" t="s">
        <v>6734</v>
      </c>
      <c r="AQ10576">
        <v>2</v>
      </c>
      <c r="AR10576" t="s">
        <v>89</v>
      </c>
      <c r="AS10576" t="s">
        <v>90</v>
      </c>
      <c r="AT10576" t="s">
        <v>58</v>
      </c>
      <c r="AU10576" t="s">
        <v>68</v>
      </c>
      <c r="AV10576" t="s">
        <v>69</v>
      </c>
      <c r="AW10576" s="1">
        <v>24003</v>
      </c>
      <c r="AX10576">
        <v>1</v>
      </c>
    </row>
    <row r="10577" spans="1:50">
      <c r="A10577">
        <v>582478</v>
      </c>
      <c r="B10577" t="str">
        <f>"045905693"</f>
        <v>045905693</v>
      </c>
      <c r="C10577" t="s">
        <v>105</v>
      </c>
      <c r="D10577" t="s">
        <v>3977</v>
      </c>
      <c r="E10577" t="s">
        <v>311</v>
      </c>
      <c r="F10577" t="s">
        <v>92</v>
      </c>
      <c r="G10577" t="s">
        <v>1065</v>
      </c>
      <c r="H10577" t="str">
        <f>"ΣΤ.ΦΙΩΤΑΚΗ 15 ΧΑΝΙΑ"</f>
        <v>ΣΤ.ΦΙΩΤΑΚΗ 15 ΧΑΝΙΑ</v>
      </c>
      <c r="I10577">
        <v>73134</v>
      </c>
      <c r="J10577">
        <v>2821054506</v>
      </c>
      <c r="K10577">
        <v>6977319622</v>
      </c>
      <c r="N10577" t="s">
        <v>615</v>
      </c>
      <c r="O10577" t="s">
        <v>616</v>
      </c>
      <c r="R10577" t="s">
        <v>57</v>
      </c>
      <c r="S10577">
        <v>10</v>
      </c>
      <c r="T10577">
        <v>179</v>
      </c>
      <c r="U10577" s="1">
        <v>35674</v>
      </c>
      <c r="V10577" t="s">
        <v>89</v>
      </c>
      <c r="W10577" t="s">
        <v>90</v>
      </c>
      <c r="X10577" t="s">
        <v>58</v>
      </c>
      <c r="Y10577">
        <v>21</v>
      </c>
      <c r="Z10577" t="s">
        <v>59</v>
      </c>
      <c r="AA10577" t="s">
        <v>59</v>
      </c>
      <c r="AB10577" t="s">
        <v>59</v>
      </c>
      <c r="AC10577" t="s">
        <v>59</v>
      </c>
      <c r="AD10577" t="s">
        <v>59</v>
      </c>
      <c r="AF10577" s="1">
        <v>35674</v>
      </c>
      <c r="AG10577" t="s">
        <v>8645</v>
      </c>
      <c r="AH10577" t="s">
        <v>8646</v>
      </c>
      <c r="AI10577" t="str">
        <f>"9500040"</f>
        <v>9500040</v>
      </c>
      <c r="AJ10577" t="s">
        <v>13906</v>
      </c>
      <c r="AK10577">
        <v>2821045356</v>
      </c>
      <c r="AL10577" t="s">
        <v>13907</v>
      </c>
      <c r="AM10577" t="s">
        <v>88</v>
      </c>
      <c r="AN10577" t="s">
        <v>88</v>
      </c>
      <c r="AO10577" t="s">
        <v>88</v>
      </c>
      <c r="AP10577" t="s">
        <v>88</v>
      </c>
      <c r="AQ10577">
        <v>1</v>
      </c>
      <c r="AR10577" t="s">
        <v>89</v>
      </c>
      <c r="AS10577" t="s">
        <v>90</v>
      </c>
      <c r="AT10577" t="s">
        <v>58</v>
      </c>
      <c r="AU10577" t="s">
        <v>68</v>
      </c>
      <c r="AV10577" t="s">
        <v>69</v>
      </c>
      <c r="AW10577" s="1">
        <v>25319</v>
      </c>
      <c r="AX10577">
        <v>1</v>
      </c>
    </row>
    <row r="10578" spans="1:50">
      <c r="A10578">
        <v>618325</v>
      </c>
      <c r="B10578" t="str">
        <f>"130410090"</f>
        <v>130410090</v>
      </c>
      <c r="C10578" t="s">
        <v>50</v>
      </c>
      <c r="D10578" t="s">
        <v>15449</v>
      </c>
      <c r="E10578" t="s">
        <v>73</v>
      </c>
      <c r="F10578" t="s">
        <v>383</v>
      </c>
      <c r="G10578" t="s">
        <v>237</v>
      </c>
      <c r="H10578" t="str">
        <f>"ΕΘΝ. ΒΕΝΙΖΕΛΟΥ 102 ΣΟΥΔΑ"</f>
        <v>ΕΘΝ. ΒΕΝΙΖΕΛΟΥ 102 ΣΟΥΔΑ</v>
      </c>
      <c r="I10578">
        <v>73200</v>
      </c>
      <c r="J10578">
        <v>2821081769</v>
      </c>
      <c r="K10578">
        <v>6972033159</v>
      </c>
      <c r="N10578" t="s">
        <v>615</v>
      </c>
      <c r="O10578" t="s">
        <v>616</v>
      </c>
      <c r="R10578" t="s">
        <v>57</v>
      </c>
      <c r="S10578">
        <v>5</v>
      </c>
      <c r="T10578">
        <v>774</v>
      </c>
      <c r="U10578" s="1">
        <v>39680</v>
      </c>
      <c r="V10578" t="s">
        <v>89</v>
      </c>
      <c r="W10578" t="s">
        <v>90</v>
      </c>
      <c r="X10578" t="s">
        <v>58</v>
      </c>
      <c r="Y10578">
        <v>23</v>
      </c>
      <c r="Z10578" t="s">
        <v>59</v>
      </c>
      <c r="AA10578" t="s">
        <v>59</v>
      </c>
      <c r="AB10578" t="s">
        <v>59</v>
      </c>
      <c r="AC10578" t="s">
        <v>59</v>
      </c>
      <c r="AD10578" t="s">
        <v>59</v>
      </c>
      <c r="AF10578" s="1">
        <v>39680</v>
      </c>
      <c r="AG10578" t="s">
        <v>8645</v>
      </c>
      <c r="AH10578" t="s">
        <v>8646</v>
      </c>
      <c r="AI10578" t="str">
        <f>"9500408"</f>
        <v>9500408</v>
      </c>
      <c r="AJ10578" t="s">
        <v>13981</v>
      </c>
      <c r="AK10578">
        <v>2821081655</v>
      </c>
      <c r="AL10578" t="s">
        <v>13982</v>
      </c>
      <c r="AM10578" t="s">
        <v>88</v>
      </c>
      <c r="AN10578" t="s">
        <v>88</v>
      </c>
      <c r="AO10578" t="s">
        <v>6748</v>
      </c>
      <c r="AP10578" t="s">
        <v>6748</v>
      </c>
      <c r="AQ10578">
        <v>2</v>
      </c>
      <c r="AR10578" t="s">
        <v>89</v>
      </c>
      <c r="AS10578" t="s">
        <v>90</v>
      </c>
      <c r="AT10578" t="s">
        <v>58</v>
      </c>
      <c r="AU10578" t="s">
        <v>68</v>
      </c>
      <c r="AV10578" t="s">
        <v>69</v>
      </c>
      <c r="AW10578" s="1">
        <v>30831</v>
      </c>
      <c r="AX10578">
        <v>1</v>
      </c>
    </row>
    <row r="10579" spans="1:50">
      <c r="A10579">
        <v>568480</v>
      </c>
      <c r="B10579" t="str">
        <f>"035731134"</f>
        <v>035731134</v>
      </c>
      <c r="C10579" t="s">
        <v>105</v>
      </c>
      <c r="D10579" t="s">
        <v>8396</v>
      </c>
      <c r="E10579" t="s">
        <v>53</v>
      </c>
      <c r="F10579" t="s">
        <v>995</v>
      </c>
      <c r="G10579" t="s">
        <v>476</v>
      </c>
      <c r="H10579" t="str">
        <f>"ΠΛΑΤΑΝΟΣ ΧΑΝΙΩΝ ΧΑΝΙΑ"</f>
        <v>ΠΛΑΤΑΝΟΣ ΧΑΝΙΩΝ ΧΑΝΙΑ</v>
      </c>
      <c r="I10579">
        <v>73400</v>
      </c>
      <c r="J10579">
        <v>2822041009</v>
      </c>
      <c r="N10579" t="s">
        <v>615</v>
      </c>
      <c r="O10579" t="s">
        <v>616</v>
      </c>
      <c r="R10579" t="s">
        <v>57</v>
      </c>
      <c r="S10579">
        <v>14</v>
      </c>
      <c r="T10579">
        <v>162</v>
      </c>
      <c r="U10579" s="1">
        <v>33844</v>
      </c>
      <c r="V10579" t="s">
        <v>89</v>
      </c>
      <c r="W10579" t="s">
        <v>90</v>
      </c>
      <c r="X10579" t="s">
        <v>58</v>
      </c>
      <c r="Y10579">
        <v>21</v>
      </c>
      <c r="Z10579" t="s">
        <v>59</v>
      </c>
      <c r="AA10579" t="s">
        <v>59</v>
      </c>
      <c r="AB10579" t="s">
        <v>59</v>
      </c>
      <c r="AC10579" t="s">
        <v>59</v>
      </c>
      <c r="AD10579" t="s">
        <v>59</v>
      </c>
      <c r="AF10579" s="1">
        <v>33850</v>
      </c>
      <c r="AG10579" t="s">
        <v>8645</v>
      </c>
      <c r="AH10579" t="s">
        <v>8646</v>
      </c>
      <c r="AI10579" t="str">
        <f>"9500191"</f>
        <v>9500191</v>
      </c>
      <c r="AJ10579" t="s">
        <v>13986</v>
      </c>
      <c r="AK10579">
        <v>2822022042</v>
      </c>
      <c r="AL10579" t="s">
        <v>13987</v>
      </c>
      <c r="AM10579" t="s">
        <v>88</v>
      </c>
      <c r="AN10579" t="s">
        <v>6744</v>
      </c>
      <c r="AO10579" t="s">
        <v>6744</v>
      </c>
      <c r="AP10579" t="s">
        <v>6744</v>
      </c>
      <c r="AQ10579">
        <v>9</v>
      </c>
      <c r="AR10579" t="s">
        <v>89</v>
      </c>
      <c r="AS10579" t="s">
        <v>90</v>
      </c>
      <c r="AT10579" t="s">
        <v>58</v>
      </c>
      <c r="AU10579" t="s">
        <v>68</v>
      </c>
      <c r="AV10579" t="s">
        <v>69</v>
      </c>
      <c r="AW10579" s="1">
        <v>23733</v>
      </c>
      <c r="AX10579">
        <v>1</v>
      </c>
    </row>
    <row r="10580" spans="1:50">
      <c r="B10580" t="str">
        <f>"100604185"</f>
        <v>100604185</v>
      </c>
      <c r="C10580" t="s">
        <v>50</v>
      </c>
      <c r="D10580" t="s">
        <v>15450</v>
      </c>
      <c r="E10580" t="s">
        <v>250</v>
      </c>
      <c r="F10580" t="s">
        <v>95</v>
      </c>
      <c r="G10580" t="s">
        <v>237</v>
      </c>
      <c r="H10580" t="str">
        <f>"ΣΟΦΟΚΛΗ ΒΕΝΙΖΕΛΟΥ 20 ΧΑΝΙΑ"</f>
        <v>ΣΟΦΟΚΛΗ ΒΕΝΙΖΕΛΟΥ 20 ΧΑΝΙΑ</v>
      </c>
      <c r="I10580">
        <v>73200</v>
      </c>
      <c r="J10580">
        <v>2821087605</v>
      </c>
      <c r="K10580">
        <v>6979971166</v>
      </c>
      <c r="N10580" t="s">
        <v>1525</v>
      </c>
      <c r="O10580" t="s">
        <v>1526</v>
      </c>
      <c r="R10580" t="s">
        <v>57</v>
      </c>
      <c r="S10580">
        <v>4</v>
      </c>
      <c r="T10580" t="s">
        <v>8670</v>
      </c>
      <c r="U10580" s="1">
        <v>43348</v>
      </c>
      <c r="V10580" t="s">
        <v>89</v>
      </c>
      <c r="W10580" t="s">
        <v>90</v>
      </c>
      <c r="X10580" t="s">
        <v>58</v>
      </c>
      <c r="Y10580">
        <v>25</v>
      </c>
      <c r="Z10580" t="s">
        <v>59</v>
      </c>
      <c r="AA10580" t="s">
        <v>59</v>
      </c>
      <c r="AB10580" t="s">
        <v>59</v>
      </c>
      <c r="AC10580" t="s">
        <v>59</v>
      </c>
      <c r="AD10580" t="s">
        <v>59</v>
      </c>
      <c r="AF10580" s="1">
        <v>43348</v>
      </c>
      <c r="AG10580" t="s">
        <v>8651</v>
      </c>
      <c r="AH10580" t="s">
        <v>8652</v>
      </c>
      <c r="AI10580" t="str">
        <f>"9500404"</f>
        <v>9500404</v>
      </c>
      <c r="AJ10580" t="s">
        <v>15451</v>
      </c>
      <c r="AK10580">
        <v>2825051487</v>
      </c>
      <c r="AL10580" t="s">
        <v>15452</v>
      </c>
      <c r="AM10580" t="s">
        <v>88</v>
      </c>
      <c r="AN10580" t="s">
        <v>6775</v>
      </c>
      <c r="AO10580" t="s">
        <v>6781</v>
      </c>
      <c r="AP10580" t="s">
        <v>14483</v>
      </c>
      <c r="AQ10580">
        <v>8</v>
      </c>
      <c r="AR10580" t="s">
        <v>89</v>
      </c>
      <c r="AS10580" t="s">
        <v>90</v>
      </c>
      <c r="AT10580" t="s">
        <v>58</v>
      </c>
      <c r="AU10580" t="s">
        <v>8673</v>
      </c>
      <c r="AV10580" t="s">
        <v>132</v>
      </c>
      <c r="AW10580" s="1">
        <v>29403</v>
      </c>
      <c r="AX10580">
        <v>1</v>
      </c>
    </row>
    <row r="10581" spans="1:50">
      <c r="A10581">
        <v>700753</v>
      </c>
      <c r="B10581" t="str">
        <f>"133744592"</f>
        <v>133744592</v>
      </c>
      <c r="C10581" t="s">
        <v>50</v>
      </c>
      <c r="D10581" t="s">
        <v>15453</v>
      </c>
      <c r="E10581" t="s">
        <v>5903</v>
      </c>
      <c r="F10581" t="s">
        <v>383</v>
      </c>
      <c r="G10581" t="s">
        <v>440</v>
      </c>
      <c r="H10581" t="str">
        <f>"ΒΩΜ   10 ΧΑΝΙΑ"</f>
        <v>ΒΩΜ   10 ΧΑΝΙΑ</v>
      </c>
      <c r="I10581">
        <v>73100</v>
      </c>
      <c r="J10581">
        <v>2321042454</v>
      </c>
      <c r="K10581">
        <v>6941403315</v>
      </c>
      <c r="N10581" t="s">
        <v>615</v>
      </c>
      <c r="O10581" t="s">
        <v>616</v>
      </c>
      <c r="R10581" t="s">
        <v>57</v>
      </c>
      <c r="S10581">
        <v>4</v>
      </c>
      <c r="T10581">
        <v>772</v>
      </c>
      <c r="U10581" s="1">
        <v>40413</v>
      </c>
      <c r="V10581" t="s">
        <v>89</v>
      </c>
      <c r="W10581" t="s">
        <v>90</v>
      </c>
      <c r="X10581" t="s">
        <v>58</v>
      </c>
      <c r="Y10581">
        <v>24</v>
      </c>
      <c r="Z10581" t="s">
        <v>59</v>
      </c>
      <c r="AA10581" t="s">
        <v>59</v>
      </c>
      <c r="AB10581" t="s">
        <v>59</v>
      </c>
      <c r="AC10581" t="s">
        <v>59</v>
      </c>
      <c r="AD10581" t="s">
        <v>59</v>
      </c>
      <c r="AF10581" s="1">
        <v>40413</v>
      </c>
      <c r="AG10581" t="s">
        <v>8645</v>
      </c>
      <c r="AH10581" t="s">
        <v>8646</v>
      </c>
      <c r="AI10581" t="str">
        <f>"9500009"</f>
        <v>9500009</v>
      </c>
      <c r="AJ10581" t="s">
        <v>13927</v>
      </c>
      <c r="AK10581">
        <v>2825061346</v>
      </c>
      <c r="AL10581" t="s">
        <v>13928</v>
      </c>
      <c r="AM10581" t="s">
        <v>88</v>
      </c>
      <c r="AN10581" t="s">
        <v>6775</v>
      </c>
      <c r="AO10581" t="s">
        <v>13929</v>
      </c>
      <c r="AP10581" t="s">
        <v>13929</v>
      </c>
      <c r="AQ10581">
        <v>8</v>
      </c>
      <c r="AR10581" t="s">
        <v>89</v>
      </c>
      <c r="AS10581" t="s">
        <v>90</v>
      </c>
      <c r="AT10581" t="s">
        <v>58</v>
      </c>
      <c r="AU10581" t="s">
        <v>68</v>
      </c>
      <c r="AV10581" t="s">
        <v>69</v>
      </c>
      <c r="AW10581" s="1">
        <v>31741</v>
      </c>
      <c r="AX10581">
        <v>1</v>
      </c>
    </row>
    <row r="10582" spans="1:50">
      <c r="B10582" t="str">
        <f>"157811610"</f>
        <v>157811610</v>
      </c>
      <c r="C10582" t="s">
        <v>50</v>
      </c>
      <c r="D10582" t="s">
        <v>15454</v>
      </c>
      <c r="E10582" t="s">
        <v>15455</v>
      </c>
      <c r="F10582" t="s">
        <v>84</v>
      </c>
      <c r="G10582" t="s">
        <v>250</v>
      </c>
      <c r="H10582" t="str">
        <f>"ΠΑΝΕΠΙΣΤΗΜΙΟΥ 14 "</f>
        <v xml:space="preserve">ΠΑΝΕΠΙΣΤΗΜΙΟΥ 14 </v>
      </c>
      <c r="I10582">
        <v>71500</v>
      </c>
      <c r="J10582">
        <v>2810257268</v>
      </c>
      <c r="K10582">
        <v>6956763003</v>
      </c>
      <c r="N10582" t="s">
        <v>8694</v>
      </c>
      <c r="O10582" t="s">
        <v>8695</v>
      </c>
      <c r="R10582" t="s">
        <v>159</v>
      </c>
      <c r="S10582">
        <v>2</v>
      </c>
      <c r="T10582" t="s">
        <v>8696</v>
      </c>
      <c r="U10582" s="1">
        <v>43348</v>
      </c>
      <c r="V10582" t="s">
        <v>89</v>
      </c>
      <c r="W10582" t="s">
        <v>90</v>
      </c>
      <c r="X10582" t="s">
        <v>58</v>
      </c>
      <c r="Y10582">
        <v>24</v>
      </c>
      <c r="Z10582" t="s">
        <v>59</v>
      </c>
      <c r="AA10582" t="s">
        <v>59</v>
      </c>
      <c r="AB10582" t="s">
        <v>59</v>
      </c>
      <c r="AC10582" t="s">
        <v>59</v>
      </c>
      <c r="AD10582" t="s">
        <v>59</v>
      </c>
      <c r="AF10582" s="1">
        <v>43348</v>
      </c>
      <c r="AG10582" t="s">
        <v>8645</v>
      </c>
      <c r="AH10582" t="s">
        <v>8646</v>
      </c>
      <c r="AI10582" t="str">
        <f>"9500017"</f>
        <v>9500017</v>
      </c>
      <c r="AJ10582" t="s">
        <v>13873</v>
      </c>
      <c r="AK10582">
        <v>2825083173</v>
      </c>
      <c r="AL10582" t="s">
        <v>13874</v>
      </c>
      <c r="AM10582" t="s">
        <v>88</v>
      </c>
      <c r="AN10582" t="s">
        <v>6775</v>
      </c>
      <c r="AO10582" t="s">
        <v>11883</v>
      </c>
      <c r="AP10582" t="s">
        <v>13875</v>
      </c>
      <c r="AQ10582">
        <v>7</v>
      </c>
      <c r="AR10582" t="s">
        <v>89</v>
      </c>
      <c r="AS10582" t="s">
        <v>90</v>
      </c>
      <c r="AT10582" t="s">
        <v>58</v>
      </c>
      <c r="AU10582" t="s">
        <v>350</v>
      </c>
      <c r="AV10582" t="s">
        <v>132</v>
      </c>
      <c r="AW10582" s="1">
        <v>32767</v>
      </c>
      <c r="AX10582">
        <v>1</v>
      </c>
    </row>
    <row r="10583" spans="1:50">
      <c r="A10583">
        <v>601682</v>
      </c>
      <c r="B10583" t="str">
        <f>"123741963"</f>
        <v>123741963</v>
      </c>
      <c r="C10583" t="s">
        <v>50</v>
      </c>
      <c r="D10583" t="s">
        <v>15456</v>
      </c>
      <c r="E10583" t="s">
        <v>255</v>
      </c>
      <c r="F10583" t="s">
        <v>99</v>
      </c>
      <c r="G10583" t="s">
        <v>52</v>
      </c>
      <c r="H10583" t="str">
        <f>"Κ.ΓΑΛΑΤΑΣ ΧΑΝΙΑ"</f>
        <v>Κ.ΓΑΛΑΤΑΣ ΧΑΝΙΑ</v>
      </c>
      <c r="I10583">
        <v>73100</v>
      </c>
      <c r="J10583">
        <v>2682056207</v>
      </c>
      <c r="K10583">
        <v>6947695549</v>
      </c>
      <c r="L10583">
        <v>2821034421</v>
      </c>
      <c r="M10583" t="s">
        <v>15457</v>
      </c>
      <c r="N10583" t="s">
        <v>615</v>
      </c>
      <c r="O10583" t="s">
        <v>616</v>
      </c>
      <c r="R10583" t="s">
        <v>57</v>
      </c>
      <c r="S10583">
        <v>7</v>
      </c>
      <c r="T10583">
        <v>207</v>
      </c>
      <c r="U10583" s="1">
        <v>37502</v>
      </c>
      <c r="V10583" t="s">
        <v>89</v>
      </c>
      <c r="W10583" t="s">
        <v>90</v>
      </c>
      <c r="X10583" t="s">
        <v>58</v>
      </c>
      <c r="Y10583">
        <v>22</v>
      </c>
      <c r="Z10583" t="s">
        <v>59</v>
      </c>
      <c r="AA10583" t="s">
        <v>59</v>
      </c>
      <c r="AB10583" t="s">
        <v>59</v>
      </c>
      <c r="AC10583" t="s">
        <v>59</v>
      </c>
      <c r="AD10583" t="s">
        <v>59</v>
      </c>
      <c r="AF10583" s="1">
        <v>37869</v>
      </c>
      <c r="AG10583" t="s">
        <v>8645</v>
      </c>
      <c r="AH10583" t="s">
        <v>8646</v>
      </c>
      <c r="AI10583" t="str">
        <f>"9500115"</f>
        <v>9500115</v>
      </c>
      <c r="AJ10583" t="s">
        <v>14180</v>
      </c>
      <c r="AK10583">
        <v>2821081133</v>
      </c>
      <c r="AL10583" t="s">
        <v>14181</v>
      </c>
      <c r="AM10583" t="s">
        <v>88</v>
      </c>
      <c r="AN10583" t="s">
        <v>88</v>
      </c>
      <c r="AO10583" t="s">
        <v>6748</v>
      </c>
      <c r="AP10583" t="s">
        <v>14182</v>
      </c>
      <c r="AQ10583">
        <v>2</v>
      </c>
      <c r="AR10583" t="s">
        <v>89</v>
      </c>
      <c r="AS10583" t="s">
        <v>90</v>
      </c>
      <c r="AT10583" t="s">
        <v>58</v>
      </c>
      <c r="AU10583" t="s">
        <v>68</v>
      </c>
      <c r="AV10583" t="s">
        <v>69</v>
      </c>
      <c r="AW10583" s="1">
        <v>29016</v>
      </c>
      <c r="AX10583">
        <v>1</v>
      </c>
    </row>
    <row r="10584" spans="1:50">
      <c r="A10584">
        <v>592069</v>
      </c>
      <c r="B10584" t="str">
        <f>"076329239"</f>
        <v>076329239</v>
      </c>
      <c r="C10584" t="s">
        <v>50</v>
      </c>
      <c r="D10584" t="s">
        <v>15458</v>
      </c>
      <c r="E10584" t="s">
        <v>112</v>
      </c>
      <c r="F10584" t="s">
        <v>15459</v>
      </c>
      <c r="G10584" t="s">
        <v>630</v>
      </c>
      <c r="H10584" t="str">
        <f>"ΠΑΡ. ΓΙΟΥΜΕΡΤΑΚΗ ΧΑΛΕΠΑ"</f>
        <v>ΠΑΡ. ΓΙΟΥΜΕΡΤΑΚΗ ΧΑΛΕΠΑ</v>
      </c>
      <c r="I10584">
        <v>73100</v>
      </c>
      <c r="J10584">
        <v>2821056633</v>
      </c>
      <c r="K10584">
        <v>6977654921</v>
      </c>
      <c r="N10584" t="s">
        <v>1525</v>
      </c>
      <c r="O10584" t="s">
        <v>1526</v>
      </c>
      <c r="R10584" t="s">
        <v>57</v>
      </c>
      <c r="S10584">
        <v>9</v>
      </c>
      <c r="T10584">
        <v>249</v>
      </c>
      <c r="U10584" s="1">
        <v>36769</v>
      </c>
      <c r="V10584" t="s">
        <v>89</v>
      </c>
      <c r="W10584" t="s">
        <v>90</v>
      </c>
      <c r="X10584" t="s">
        <v>58</v>
      </c>
      <c r="Y10584">
        <v>25</v>
      </c>
      <c r="Z10584" t="s">
        <v>59</v>
      </c>
      <c r="AA10584" t="s">
        <v>59</v>
      </c>
      <c r="AB10584" t="s">
        <v>59</v>
      </c>
      <c r="AC10584" t="s">
        <v>59</v>
      </c>
      <c r="AD10584" t="s">
        <v>59</v>
      </c>
      <c r="AF10584" s="1">
        <v>36769</v>
      </c>
      <c r="AG10584" t="s">
        <v>8651</v>
      </c>
      <c r="AH10584" t="s">
        <v>8652</v>
      </c>
      <c r="AI10584" t="str">
        <f>"9500076"</f>
        <v>9500076</v>
      </c>
      <c r="AJ10584" t="s">
        <v>14092</v>
      </c>
      <c r="AK10584">
        <v>2821027020</v>
      </c>
      <c r="AL10584" t="s">
        <v>14093</v>
      </c>
      <c r="AM10584" t="s">
        <v>88</v>
      </c>
      <c r="AN10584" t="s">
        <v>88</v>
      </c>
      <c r="AO10584" t="s">
        <v>88</v>
      </c>
      <c r="AP10584" t="s">
        <v>88</v>
      </c>
      <c r="AQ10584">
        <v>1</v>
      </c>
      <c r="AR10584" t="s">
        <v>89</v>
      </c>
      <c r="AS10584" t="s">
        <v>90</v>
      </c>
      <c r="AT10584" t="s">
        <v>58</v>
      </c>
      <c r="AU10584" t="s">
        <v>68</v>
      </c>
      <c r="AV10584" t="s">
        <v>69</v>
      </c>
      <c r="AW10584" s="1">
        <v>26580</v>
      </c>
      <c r="AX10584">
        <v>1</v>
      </c>
    </row>
    <row r="10585" spans="1:50">
      <c r="A10585">
        <v>616030</v>
      </c>
      <c r="B10585" t="str">
        <f>"071298165"</f>
        <v>071298165</v>
      </c>
      <c r="C10585" t="s">
        <v>50</v>
      </c>
      <c r="D10585" t="s">
        <v>15460</v>
      </c>
      <c r="E10585" t="s">
        <v>314</v>
      </c>
      <c r="F10585" t="s">
        <v>99</v>
      </c>
      <c r="G10585" t="s">
        <v>2248</v>
      </c>
      <c r="H10585" t="str">
        <f>"ΓΕΩΡΓΙΑΝΝΗΔΩΝ 83 ΧΑΝΙΑ"</f>
        <v>ΓΕΩΡΓΙΑΝΝΗΔΩΝ 83 ΧΑΝΙΑ</v>
      </c>
      <c r="I10585">
        <v>73100</v>
      </c>
      <c r="J10585">
        <v>2821029860</v>
      </c>
      <c r="K10585">
        <v>6944780403</v>
      </c>
      <c r="N10585" t="s">
        <v>176</v>
      </c>
      <c r="O10585" t="s">
        <v>177</v>
      </c>
      <c r="R10585" t="s">
        <v>57</v>
      </c>
      <c r="S10585">
        <v>7</v>
      </c>
      <c r="T10585">
        <v>600</v>
      </c>
      <c r="U10585" s="1">
        <v>39310</v>
      </c>
      <c r="V10585" t="s">
        <v>89</v>
      </c>
      <c r="W10585" t="s">
        <v>90</v>
      </c>
      <c r="X10585" t="s">
        <v>58</v>
      </c>
      <c r="Y10585">
        <v>22</v>
      </c>
      <c r="Z10585" t="s">
        <v>59</v>
      </c>
      <c r="AA10585" t="s">
        <v>59</v>
      </c>
      <c r="AB10585" t="s">
        <v>59</v>
      </c>
      <c r="AC10585" t="s">
        <v>59</v>
      </c>
      <c r="AD10585" t="s">
        <v>59</v>
      </c>
      <c r="AF10585" s="1">
        <v>39328</v>
      </c>
      <c r="AG10585" t="s">
        <v>8645</v>
      </c>
      <c r="AH10585" t="s">
        <v>8646</v>
      </c>
      <c r="AI10585" t="str">
        <f>"9500189"</f>
        <v>9500189</v>
      </c>
      <c r="AJ10585" t="s">
        <v>14038</v>
      </c>
      <c r="AK10585">
        <v>2822022119</v>
      </c>
      <c r="AL10585" t="s">
        <v>14039</v>
      </c>
      <c r="AM10585" t="s">
        <v>88</v>
      </c>
      <c r="AN10585" t="s">
        <v>6744</v>
      </c>
      <c r="AO10585" t="s">
        <v>6744</v>
      </c>
      <c r="AP10585" t="s">
        <v>6744</v>
      </c>
      <c r="AQ10585">
        <v>9</v>
      </c>
      <c r="AR10585" t="s">
        <v>89</v>
      </c>
      <c r="AS10585" t="s">
        <v>90</v>
      </c>
      <c r="AT10585" t="s">
        <v>58</v>
      </c>
      <c r="AU10585" t="s">
        <v>68</v>
      </c>
      <c r="AV10585" t="s">
        <v>69</v>
      </c>
      <c r="AW10585" s="1">
        <v>25678</v>
      </c>
      <c r="AX10585">
        <v>1</v>
      </c>
    </row>
    <row r="10586" spans="1:50">
      <c r="A10586">
        <v>600152</v>
      </c>
      <c r="B10586" t="str">
        <f>"032839950"</f>
        <v>032839950</v>
      </c>
      <c r="C10586" t="s">
        <v>105</v>
      </c>
      <c r="D10586" t="s">
        <v>15461</v>
      </c>
      <c r="E10586" t="s">
        <v>99</v>
      </c>
      <c r="F10586" t="s">
        <v>95</v>
      </c>
      <c r="G10586" t="s">
        <v>783</v>
      </c>
      <c r="H10586" t="str">
        <f>"ΗΡΩΩΝ ΠΟΛΥΤΕΧΝΕΙΟΥ 6 ΧΑΝΙΑ"</f>
        <v>ΗΡΩΩΝ ΠΟΛΥΤΕΧΝΕΙΟΥ 6 ΧΑΝΙΑ</v>
      </c>
      <c r="I10586">
        <v>73133</v>
      </c>
      <c r="J10586">
        <v>2821505876</v>
      </c>
      <c r="K10586">
        <v>6934866316</v>
      </c>
      <c r="L10586">
        <v>6934866316</v>
      </c>
      <c r="M10586" t="s">
        <v>15462</v>
      </c>
      <c r="N10586" t="s">
        <v>615</v>
      </c>
      <c r="O10586" t="s">
        <v>616</v>
      </c>
      <c r="R10586" t="s">
        <v>57</v>
      </c>
      <c r="S10586">
        <v>9</v>
      </c>
      <c r="T10586">
        <v>195</v>
      </c>
      <c r="U10586" s="1">
        <v>37497</v>
      </c>
      <c r="V10586" t="s">
        <v>89</v>
      </c>
      <c r="W10586" t="s">
        <v>90</v>
      </c>
      <c r="X10586" t="s">
        <v>58</v>
      </c>
      <c r="Y10586">
        <v>22</v>
      </c>
      <c r="Z10586" t="s">
        <v>59</v>
      </c>
      <c r="AA10586" t="s">
        <v>59</v>
      </c>
      <c r="AB10586" t="s">
        <v>59</v>
      </c>
      <c r="AC10586" t="s">
        <v>59</v>
      </c>
      <c r="AD10586" t="s">
        <v>59</v>
      </c>
      <c r="AF10586" s="1">
        <v>37497</v>
      </c>
      <c r="AG10586" t="s">
        <v>8645</v>
      </c>
      <c r="AH10586" t="s">
        <v>8646</v>
      </c>
      <c r="AI10586" t="str">
        <f>"9500075"</f>
        <v>9500075</v>
      </c>
      <c r="AJ10586" t="s">
        <v>13955</v>
      </c>
      <c r="AK10586">
        <v>2821046505</v>
      </c>
      <c r="AL10586" t="s">
        <v>13956</v>
      </c>
      <c r="AM10586" t="s">
        <v>88</v>
      </c>
      <c r="AN10586" t="s">
        <v>88</v>
      </c>
      <c r="AO10586" t="s">
        <v>88</v>
      </c>
      <c r="AP10586" t="s">
        <v>88</v>
      </c>
      <c r="AQ10586">
        <v>1</v>
      </c>
      <c r="AR10586" t="s">
        <v>89</v>
      </c>
      <c r="AS10586" t="s">
        <v>90</v>
      </c>
      <c r="AT10586" t="s">
        <v>58</v>
      </c>
      <c r="AU10586" t="s">
        <v>68</v>
      </c>
      <c r="AV10586" t="s">
        <v>69</v>
      </c>
      <c r="AW10586" s="1">
        <v>23320</v>
      </c>
      <c r="AX10586">
        <v>1</v>
      </c>
    </row>
    <row r="10587" spans="1:50">
      <c r="A10587">
        <v>570475</v>
      </c>
      <c r="B10587" t="str">
        <f>"035611566"</f>
        <v>035611566</v>
      </c>
      <c r="C10587" t="s">
        <v>105</v>
      </c>
      <c r="D10587" t="s">
        <v>15463</v>
      </c>
      <c r="E10587" t="s">
        <v>1651</v>
      </c>
      <c r="F10587" t="s">
        <v>84</v>
      </c>
      <c r="G10587" t="s">
        <v>52</v>
      </c>
      <c r="H10587" t="str">
        <f>"ΑΡΩΝΙ ΑΚΡΩΤΗΡΙΟΥ ΧΑΝΙΑ"</f>
        <v>ΑΡΩΝΙ ΑΚΡΩΤΗΡΙΟΥ ΧΑΝΙΑ</v>
      </c>
      <c r="I10587">
        <v>73100</v>
      </c>
      <c r="J10587">
        <v>2821066319</v>
      </c>
      <c r="K10587">
        <v>6944391381</v>
      </c>
      <c r="M10587" t="s">
        <v>15464</v>
      </c>
      <c r="N10587" t="s">
        <v>615</v>
      </c>
      <c r="O10587" t="s">
        <v>616</v>
      </c>
      <c r="R10587" t="s">
        <v>57</v>
      </c>
      <c r="S10587">
        <v>14</v>
      </c>
      <c r="T10587">
        <v>138</v>
      </c>
      <c r="U10587" s="1">
        <v>34206</v>
      </c>
      <c r="V10587" t="s">
        <v>89</v>
      </c>
      <c r="W10587" t="s">
        <v>90</v>
      </c>
      <c r="X10587" t="s">
        <v>58</v>
      </c>
      <c r="Y10587">
        <v>21</v>
      </c>
      <c r="Z10587" t="s">
        <v>59</v>
      </c>
      <c r="AA10587" t="s">
        <v>59</v>
      </c>
      <c r="AB10587" t="s">
        <v>59</v>
      </c>
      <c r="AC10587" t="s">
        <v>59</v>
      </c>
      <c r="AD10587" t="s">
        <v>59</v>
      </c>
      <c r="AF10587" s="1">
        <v>34206</v>
      </c>
      <c r="AG10587" t="s">
        <v>8645</v>
      </c>
      <c r="AH10587" t="s">
        <v>8646</v>
      </c>
      <c r="AI10587" t="str">
        <f>"9500038"</f>
        <v>9500038</v>
      </c>
      <c r="AJ10587" t="s">
        <v>13899</v>
      </c>
      <c r="AK10587">
        <v>2821042407</v>
      </c>
      <c r="AL10587" t="s">
        <v>13900</v>
      </c>
      <c r="AM10587" t="s">
        <v>88</v>
      </c>
      <c r="AN10587" t="s">
        <v>88</v>
      </c>
      <c r="AO10587" t="s">
        <v>88</v>
      </c>
      <c r="AP10587" t="s">
        <v>88</v>
      </c>
      <c r="AQ10587">
        <v>1</v>
      </c>
      <c r="AR10587" t="s">
        <v>89</v>
      </c>
      <c r="AS10587" t="s">
        <v>90</v>
      </c>
      <c r="AT10587" t="s">
        <v>58</v>
      </c>
      <c r="AU10587" t="s">
        <v>68</v>
      </c>
      <c r="AV10587" t="s">
        <v>2039</v>
      </c>
      <c r="AW10587" s="1">
        <v>24135</v>
      </c>
      <c r="AX10587">
        <v>1</v>
      </c>
    </row>
    <row r="10588" spans="1:50">
      <c r="A10588">
        <v>622135</v>
      </c>
      <c r="B10588" t="str">
        <f>"077149110"</f>
        <v>077149110</v>
      </c>
      <c r="C10588" t="s">
        <v>50</v>
      </c>
      <c r="D10588" t="s">
        <v>15465</v>
      </c>
      <c r="E10588" t="s">
        <v>314</v>
      </c>
      <c r="F10588" t="s">
        <v>106</v>
      </c>
      <c r="G10588" t="s">
        <v>54</v>
      </c>
      <c r="H10588" t="str">
        <f>"ΠΑΠΑΠΕΤΡΟΥ 37 ΘΕΣΣΑΛΟΝΙΚΗ"</f>
        <v>ΠΑΠΑΠΕΤΡΟΥ 37 ΘΕΣΣΑΛΟΝΙΚΗ</v>
      </c>
      <c r="I10588">
        <v>55131</v>
      </c>
      <c r="K10588">
        <v>6937995970</v>
      </c>
      <c r="N10588" t="s">
        <v>615</v>
      </c>
      <c r="O10588" t="s">
        <v>616</v>
      </c>
      <c r="R10588" t="s">
        <v>57</v>
      </c>
      <c r="S10588">
        <v>5</v>
      </c>
      <c r="T10588">
        <v>653</v>
      </c>
      <c r="U10588" s="1">
        <v>40043</v>
      </c>
      <c r="V10588" t="s">
        <v>89</v>
      </c>
      <c r="W10588" t="s">
        <v>90</v>
      </c>
      <c r="X10588" t="s">
        <v>58</v>
      </c>
      <c r="Y10588">
        <v>23</v>
      </c>
      <c r="Z10588" t="s">
        <v>59</v>
      </c>
      <c r="AA10588" t="s">
        <v>59</v>
      </c>
      <c r="AB10588" t="s">
        <v>59</v>
      </c>
      <c r="AC10588" t="s">
        <v>59</v>
      </c>
      <c r="AD10588" t="s">
        <v>59</v>
      </c>
      <c r="AF10588" s="1">
        <v>40045</v>
      </c>
      <c r="AG10588" t="s">
        <v>8645</v>
      </c>
      <c r="AH10588" t="s">
        <v>8646</v>
      </c>
      <c r="AI10588" t="str">
        <f>"9500236"</f>
        <v>9500236</v>
      </c>
      <c r="AJ10588" t="s">
        <v>14106</v>
      </c>
      <c r="AK10588">
        <v>2824022347</v>
      </c>
      <c r="AL10588" t="s">
        <v>14107</v>
      </c>
      <c r="AM10588" t="s">
        <v>88</v>
      </c>
      <c r="AN10588" t="s">
        <v>6764</v>
      </c>
      <c r="AO10588" t="s">
        <v>6765</v>
      </c>
      <c r="AP10588" t="s">
        <v>13952</v>
      </c>
      <c r="AQ10588">
        <v>6</v>
      </c>
      <c r="AR10588" t="s">
        <v>89</v>
      </c>
      <c r="AS10588" t="s">
        <v>90</v>
      </c>
      <c r="AT10588" t="s">
        <v>58</v>
      </c>
      <c r="AU10588" t="s">
        <v>68</v>
      </c>
      <c r="AV10588" t="s">
        <v>69</v>
      </c>
      <c r="AW10588" s="1">
        <v>30474</v>
      </c>
      <c r="AX10588">
        <v>1</v>
      </c>
    </row>
    <row r="10589" spans="1:50">
      <c r="B10589" t="str">
        <f>"121894855"</f>
        <v>121894855</v>
      </c>
      <c r="C10589" t="s">
        <v>105</v>
      </c>
      <c r="D10589" t="s">
        <v>4030</v>
      </c>
      <c r="E10589" t="s">
        <v>995</v>
      </c>
      <c r="F10589" t="s">
        <v>53</v>
      </c>
      <c r="G10589" t="s">
        <v>1440</v>
      </c>
      <c r="H10589" t="str">
        <f>"ΠΛΑΠΟΥΤΑ 6 ΝΙΚΑΙΑ"</f>
        <v>ΠΛΑΠΟΥΤΑ 6 ΝΙΚΑΙΑ</v>
      </c>
      <c r="I10589">
        <v>18452</v>
      </c>
      <c r="J10589">
        <v>2493062535</v>
      </c>
      <c r="K10589">
        <v>6976168001</v>
      </c>
      <c r="N10589" t="s">
        <v>176</v>
      </c>
      <c r="O10589" t="s">
        <v>177</v>
      </c>
      <c r="R10589" t="s">
        <v>159</v>
      </c>
      <c r="S10589">
        <v>3</v>
      </c>
      <c r="T10589" t="s">
        <v>9034</v>
      </c>
      <c r="U10589" s="1">
        <v>43377</v>
      </c>
      <c r="V10589" t="s">
        <v>89</v>
      </c>
      <c r="W10589" t="s">
        <v>90</v>
      </c>
      <c r="X10589" t="s">
        <v>58</v>
      </c>
      <c r="Y10589">
        <v>24</v>
      </c>
      <c r="Z10589" t="s">
        <v>59</v>
      </c>
      <c r="AA10589" t="s">
        <v>59</v>
      </c>
      <c r="AB10589" t="s">
        <v>59</v>
      </c>
      <c r="AC10589" t="s">
        <v>59</v>
      </c>
      <c r="AD10589" t="s">
        <v>59</v>
      </c>
      <c r="AF10589" s="1">
        <v>43377</v>
      </c>
      <c r="AG10589" t="s">
        <v>8645</v>
      </c>
      <c r="AH10589" t="s">
        <v>8646</v>
      </c>
      <c r="AI10589" t="str">
        <f>"9500009"</f>
        <v>9500009</v>
      </c>
      <c r="AJ10589" t="s">
        <v>13927</v>
      </c>
      <c r="AK10589">
        <v>2825061346</v>
      </c>
      <c r="AL10589" t="s">
        <v>13928</v>
      </c>
      <c r="AM10589" t="s">
        <v>88</v>
      </c>
      <c r="AN10589" t="s">
        <v>6775</v>
      </c>
      <c r="AO10589" t="s">
        <v>13929</v>
      </c>
      <c r="AP10589" t="s">
        <v>13929</v>
      </c>
      <c r="AQ10589">
        <v>8</v>
      </c>
      <c r="AR10589" t="s">
        <v>89</v>
      </c>
      <c r="AS10589" t="s">
        <v>90</v>
      </c>
      <c r="AT10589" t="s">
        <v>58</v>
      </c>
      <c r="AU10589" t="s">
        <v>8673</v>
      </c>
      <c r="AV10589" t="s">
        <v>132</v>
      </c>
      <c r="AW10589" s="1">
        <v>25519</v>
      </c>
      <c r="AX10589">
        <v>1</v>
      </c>
    </row>
    <row r="10590" spans="1:50">
      <c r="B10590" t="str">
        <f>"134710771"</f>
        <v>134710771</v>
      </c>
      <c r="C10590" t="s">
        <v>50</v>
      </c>
      <c r="D10590" t="s">
        <v>8413</v>
      </c>
      <c r="E10590" t="s">
        <v>237</v>
      </c>
      <c r="F10590" t="s">
        <v>1493</v>
      </c>
      <c r="G10590" t="s">
        <v>263</v>
      </c>
      <c r="H10590" t="str">
        <f>"ΓΟΥΒΕΣ ΑΡΤΕΜΙΣΙΟΥ "</f>
        <v xml:space="preserve">ΓΟΥΒΕΣ ΑΡΤΕΜΙΣΙΟΥ </v>
      </c>
      <c r="I10590">
        <v>34200</v>
      </c>
      <c r="J10590">
        <v>2226041178</v>
      </c>
      <c r="K10590">
        <v>6949859463</v>
      </c>
      <c r="N10590" t="s">
        <v>615</v>
      </c>
      <c r="O10590" t="s">
        <v>616</v>
      </c>
      <c r="R10590" t="s">
        <v>159</v>
      </c>
      <c r="S10590">
        <v>3</v>
      </c>
      <c r="T10590" t="s">
        <v>8675</v>
      </c>
      <c r="U10590" s="1">
        <v>43348</v>
      </c>
      <c r="V10590" t="s">
        <v>89</v>
      </c>
      <c r="W10590" t="s">
        <v>90</v>
      </c>
      <c r="X10590" t="s">
        <v>58</v>
      </c>
      <c r="Y10590">
        <v>24</v>
      </c>
      <c r="Z10590" t="s">
        <v>59</v>
      </c>
      <c r="AA10590" t="s">
        <v>59</v>
      </c>
      <c r="AB10590" t="s">
        <v>59</v>
      </c>
      <c r="AC10590" t="s">
        <v>59</v>
      </c>
      <c r="AD10590" t="s">
        <v>59</v>
      </c>
      <c r="AF10590" s="1">
        <v>43348</v>
      </c>
      <c r="AG10590" t="s">
        <v>8645</v>
      </c>
      <c r="AH10590" t="s">
        <v>8646</v>
      </c>
      <c r="AI10590" t="str">
        <f>"9500218"</f>
        <v>9500218</v>
      </c>
      <c r="AJ10590" t="s">
        <v>13992</v>
      </c>
      <c r="AK10590">
        <v>2824022216</v>
      </c>
      <c r="AL10590" t="s">
        <v>13993</v>
      </c>
      <c r="AM10590" t="s">
        <v>88</v>
      </c>
      <c r="AN10590" t="s">
        <v>6764</v>
      </c>
      <c r="AO10590" t="s">
        <v>6799</v>
      </c>
      <c r="AP10590" t="s">
        <v>6799</v>
      </c>
      <c r="AQ10590">
        <v>6</v>
      </c>
      <c r="AR10590" t="s">
        <v>89</v>
      </c>
      <c r="AS10590" t="s">
        <v>90</v>
      </c>
      <c r="AT10590" t="s">
        <v>58</v>
      </c>
      <c r="AU10590" t="s">
        <v>8673</v>
      </c>
      <c r="AV10590" t="s">
        <v>132</v>
      </c>
      <c r="AW10590" s="1">
        <v>31927</v>
      </c>
      <c r="AX10590">
        <v>1</v>
      </c>
    </row>
    <row r="10591" spans="1:50">
      <c r="A10591">
        <v>558887</v>
      </c>
      <c r="B10591" t="str">
        <f>"033942126"</f>
        <v>033942126</v>
      </c>
      <c r="C10591" t="s">
        <v>105</v>
      </c>
      <c r="D10591" t="s">
        <v>15466</v>
      </c>
      <c r="E10591" t="s">
        <v>995</v>
      </c>
      <c r="F10591" t="s">
        <v>84</v>
      </c>
      <c r="G10591" t="s">
        <v>4269</v>
      </c>
      <c r="H10591" t="str">
        <f>"ΣΤΕΦ.ΛΕΚΑΝΙΔΗ 42 ΧΑΝΙΑ"</f>
        <v>ΣΤΕΦ.ΛΕΚΑΝΙΔΗ 42 ΧΑΝΙΑ</v>
      </c>
      <c r="I10591">
        <v>73100</v>
      </c>
      <c r="J10591">
        <v>2821097588</v>
      </c>
      <c r="K10591">
        <v>6973025143</v>
      </c>
      <c r="N10591" t="s">
        <v>615</v>
      </c>
      <c r="O10591" t="s">
        <v>616</v>
      </c>
      <c r="R10591" t="s">
        <v>57</v>
      </c>
      <c r="S10591">
        <v>15</v>
      </c>
      <c r="T10591">
        <v>168</v>
      </c>
      <c r="U10591" s="1">
        <v>32010</v>
      </c>
      <c r="V10591" t="s">
        <v>89</v>
      </c>
      <c r="W10591" t="s">
        <v>90</v>
      </c>
      <c r="X10591" t="s">
        <v>58</v>
      </c>
      <c r="Y10591">
        <v>21</v>
      </c>
      <c r="Z10591" t="s">
        <v>59</v>
      </c>
      <c r="AA10591" t="s">
        <v>59</v>
      </c>
      <c r="AB10591" t="s">
        <v>59</v>
      </c>
      <c r="AC10591" t="s">
        <v>59</v>
      </c>
      <c r="AD10591" t="s">
        <v>59</v>
      </c>
      <c r="AF10591" s="1">
        <v>32010</v>
      </c>
      <c r="AG10591" t="s">
        <v>8645</v>
      </c>
      <c r="AH10591" t="s">
        <v>8646</v>
      </c>
      <c r="AI10591" t="str">
        <f>"9500144"</f>
        <v>9500144</v>
      </c>
      <c r="AJ10591" t="s">
        <v>14010</v>
      </c>
      <c r="AK10591">
        <v>2821094171</v>
      </c>
      <c r="AL10591" t="s">
        <v>14011</v>
      </c>
      <c r="AM10591" t="s">
        <v>88</v>
      </c>
      <c r="AN10591" t="s">
        <v>88</v>
      </c>
      <c r="AO10591" t="s">
        <v>88</v>
      </c>
      <c r="AP10591" t="s">
        <v>88</v>
      </c>
      <c r="AQ10591">
        <v>1</v>
      </c>
      <c r="AR10591" t="s">
        <v>89</v>
      </c>
      <c r="AS10591" t="s">
        <v>90</v>
      </c>
      <c r="AT10591" t="s">
        <v>58</v>
      </c>
      <c r="AU10591" t="s">
        <v>68</v>
      </c>
      <c r="AV10591" t="s">
        <v>69</v>
      </c>
      <c r="AW10591" s="1">
        <v>23473</v>
      </c>
      <c r="AX10591">
        <v>1</v>
      </c>
    </row>
    <row r="10592" spans="1:50">
      <c r="A10592">
        <v>596662</v>
      </c>
      <c r="B10592" t="str">
        <f>"042308280"</f>
        <v>042308280</v>
      </c>
      <c r="C10592" t="s">
        <v>50</v>
      </c>
      <c r="D10592" t="s">
        <v>15467</v>
      </c>
      <c r="E10592" t="s">
        <v>707</v>
      </c>
      <c r="F10592" t="s">
        <v>72</v>
      </c>
      <c r="G10592" t="s">
        <v>6863</v>
      </c>
      <c r="H10592" t="str">
        <f>" "</f>
        <v xml:space="preserve"> </v>
      </c>
      <c r="J10592">
        <v>2821045488</v>
      </c>
      <c r="K10592">
        <v>6932844500</v>
      </c>
      <c r="N10592" t="s">
        <v>1525</v>
      </c>
      <c r="O10592" t="s">
        <v>1526</v>
      </c>
      <c r="R10592" t="s">
        <v>57</v>
      </c>
      <c r="S10592">
        <v>11</v>
      </c>
      <c r="T10592">
        <v>195</v>
      </c>
      <c r="U10592" s="1">
        <v>37497</v>
      </c>
      <c r="V10592" t="s">
        <v>89</v>
      </c>
      <c r="W10592" t="s">
        <v>90</v>
      </c>
      <c r="X10592" t="s">
        <v>58</v>
      </c>
      <c r="Y10592">
        <v>25</v>
      </c>
      <c r="Z10592" t="s">
        <v>59</v>
      </c>
      <c r="AA10592" t="s">
        <v>59</v>
      </c>
      <c r="AB10592" t="s">
        <v>59</v>
      </c>
      <c r="AC10592" t="s">
        <v>59</v>
      </c>
      <c r="AD10592" t="s">
        <v>59</v>
      </c>
      <c r="AF10592" s="1">
        <v>37497</v>
      </c>
      <c r="AG10592" t="s">
        <v>8651</v>
      </c>
      <c r="AH10592" t="s">
        <v>8652</v>
      </c>
      <c r="AI10592" t="str">
        <f>"9500046"</f>
        <v>9500046</v>
      </c>
      <c r="AJ10592" t="s">
        <v>14855</v>
      </c>
      <c r="AK10592">
        <v>2821040434</v>
      </c>
      <c r="AL10592" t="s">
        <v>14856</v>
      </c>
      <c r="AM10592" t="s">
        <v>88</v>
      </c>
      <c r="AN10592" t="s">
        <v>88</v>
      </c>
      <c r="AO10592" t="s">
        <v>88</v>
      </c>
      <c r="AP10592" t="s">
        <v>88</v>
      </c>
      <c r="AQ10592">
        <v>1</v>
      </c>
      <c r="AR10592" t="s">
        <v>89</v>
      </c>
      <c r="AS10592" t="s">
        <v>90</v>
      </c>
      <c r="AT10592" t="s">
        <v>58</v>
      </c>
      <c r="AU10592" t="s">
        <v>68</v>
      </c>
      <c r="AV10592" t="s">
        <v>69</v>
      </c>
      <c r="AW10592" s="1">
        <v>23859</v>
      </c>
      <c r="AX10592">
        <v>1</v>
      </c>
    </row>
    <row r="10593" spans="1:50">
      <c r="B10593" t="str">
        <f>"066839883"</f>
        <v>066839883</v>
      </c>
      <c r="C10593" t="s">
        <v>50</v>
      </c>
      <c r="D10593" t="s">
        <v>4035</v>
      </c>
      <c r="E10593" t="s">
        <v>382</v>
      </c>
      <c r="F10593" t="s">
        <v>72</v>
      </c>
      <c r="G10593" t="s">
        <v>3604</v>
      </c>
      <c r="H10593" t="str">
        <f>"Μ.ΜΠΟΤΣΑΡΗ 98 ΧΑΝΙΑ"</f>
        <v>Μ.ΜΠΟΤΣΑΡΗ 98 ΧΑΝΙΑ</v>
      </c>
      <c r="I10593">
        <v>73136</v>
      </c>
      <c r="J10593">
        <v>2821091921</v>
      </c>
      <c r="K10593">
        <v>6978777322</v>
      </c>
      <c r="N10593" t="s">
        <v>288</v>
      </c>
      <c r="O10593" t="s">
        <v>289</v>
      </c>
      <c r="R10593" t="s">
        <v>159</v>
      </c>
      <c r="S10593">
        <v>2</v>
      </c>
      <c r="T10593" t="s">
        <v>9034</v>
      </c>
      <c r="U10593" s="1">
        <v>43377</v>
      </c>
      <c r="V10593" t="s">
        <v>89</v>
      </c>
      <c r="W10593" t="s">
        <v>90</v>
      </c>
      <c r="X10593" t="s">
        <v>58</v>
      </c>
      <c r="Y10593">
        <v>15</v>
      </c>
      <c r="Z10593" t="s">
        <v>59</v>
      </c>
      <c r="AA10593" t="s">
        <v>59</v>
      </c>
      <c r="AB10593" t="s">
        <v>59</v>
      </c>
      <c r="AC10593" t="s">
        <v>59</v>
      </c>
      <c r="AD10593" t="s">
        <v>59</v>
      </c>
      <c r="AF10593" s="1">
        <v>43377</v>
      </c>
      <c r="AG10593" t="s">
        <v>8645</v>
      </c>
      <c r="AH10593" t="s">
        <v>8646</v>
      </c>
      <c r="AI10593" t="str">
        <f>"9500360"</f>
        <v>9500360</v>
      </c>
      <c r="AJ10593" t="s">
        <v>14022</v>
      </c>
      <c r="AK10593">
        <v>2821031253</v>
      </c>
      <c r="AL10593" t="s">
        <v>14023</v>
      </c>
      <c r="AM10593" t="s">
        <v>88</v>
      </c>
      <c r="AN10593" t="s">
        <v>88</v>
      </c>
      <c r="AO10593" t="s">
        <v>6785</v>
      </c>
      <c r="AP10593" t="s">
        <v>13932</v>
      </c>
      <c r="AQ10593">
        <v>3</v>
      </c>
      <c r="AR10593" t="s">
        <v>89</v>
      </c>
      <c r="AS10593" t="s">
        <v>90</v>
      </c>
      <c r="AT10593" t="s">
        <v>58</v>
      </c>
      <c r="AU10593" t="s">
        <v>8686</v>
      </c>
      <c r="AV10593" t="s">
        <v>132</v>
      </c>
      <c r="AW10593" s="1">
        <v>29022</v>
      </c>
      <c r="AX10593">
        <v>1</v>
      </c>
    </row>
    <row r="10594" spans="1:50">
      <c r="B10594" t="str">
        <f>"148900135"</f>
        <v>148900135</v>
      </c>
      <c r="C10594" t="s">
        <v>50</v>
      </c>
      <c r="D10594" t="s">
        <v>15468</v>
      </c>
      <c r="E10594" t="s">
        <v>143</v>
      </c>
      <c r="F10594" t="s">
        <v>15469</v>
      </c>
      <c r="G10594" t="s">
        <v>52</v>
      </c>
      <c r="H10594" t="str">
        <f>"ΠΑΖΙΝΟΣ ΑΚΡΩΤΗΡΙΟΥ "</f>
        <v xml:space="preserve">ΠΑΖΙΝΟΣ ΑΚΡΩΤΗΡΙΟΥ </v>
      </c>
      <c r="I10594">
        <v>73100</v>
      </c>
      <c r="J10594">
        <v>2821063155</v>
      </c>
      <c r="K10594">
        <v>6973939708</v>
      </c>
      <c r="N10594" t="s">
        <v>615</v>
      </c>
      <c r="O10594" t="s">
        <v>616</v>
      </c>
      <c r="R10594" t="s">
        <v>159</v>
      </c>
      <c r="S10594">
        <v>3</v>
      </c>
      <c r="T10594" t="s">
        <v>8675</v>
      </c>
      <c r="U10594" s="1">
        <v>43348</v>
      </c>
      <c r="V10594" t="s">
        <v>89</v>
      </c>
      <c r="W10594" t="s">
        <v>90</v>
      </c>
      <c r="X10594" t="s">
        <v>58</v>
      </c>
      <c r="Y10594">
        <v>24</v>
      </c>
      <c r="Z10594" t="s">
        <v>59</v>
      </c>
      <c r="AA10594" t="s">
        <v>59</v>
      </c>
      <c r="AB10594" t="s">
        <v>59</v>
      </c>
      <c r="AC10594" t="s">
        <v>59</v>
      </c>
      <c r="AD10594" t="s">
        <v>59</v>
      </c>
      <c r="AF10594" s="1">
        <v>43348</v>
      </c>
      <c r="AG10594" t="s">
        <v>8645</v>
      </c>
      <c r="AH10594" t="s">
        <v>8646</v>
      </c>
      <c r="AI10594" t="str">
        <f>"9500083"</f>
        <v>9500083</v>
      </c>
      <c r="AJ10594" t="s">
        <v>14239</v>
      </c>
      <c r="AK10594">
        <v>2821063500</v>
      </c>
      <c r="AL10594" t="s">
        <v>14240</v>
      </c>
      <c r="AM10594" t="s">
        <v>88</v>
      </c>
      <c r="AN10594" t="s">
        <v>88</v>
      </c>
      <c r="AO10594" t="s">
        <v>6770</v>
      </c>
      <c r="AP10594" t="s">
        <v>14090</v>
      </c>
      <c r="AQ10594">
        <v>2</v>
      </c>
      <c r="AR10594" t="s">
        <v>89</v>
      </c>
      <c r="AS10594" t="s">
        <v>90</v>
      </c>
      <c r="AT10594" t="s">
        <v>58</v>
      </c>
      <c r="AU10594" t="s">
        <v>8673</v>
      </c>
      <c r="AV10594" t="s">
        <v>132</v>
      </c>
      <c r="AW10594" s="1">
        <v>32025</v>
      </c>
      <c r="AX10594">
        <v>1</v>
      </c>
    </row>
    <row r="10595" spans="1:50">
      <c r="A10595">
        <v>584843</v>
      </c>
      <c r="B10595" t="str">
        <f>"052537650"</f>
        <v>052537650</v>
      </c>
      <c r="C10595" t="s">
        <v>50</v>
      </c>
      <c r="D10595" t="s">
        <v>15470</v>
      </c>
      <c r="E10595" t="s">
        <v>2080</v>
      </c>
      <c r="F10595" t="s">
        <v>12835</v>
      </c>
      <c r="G10595" t="s">
        <v>15471</v>
      </c>
      <c r="H10595" t="str">
        <f>"Β΄ ΠΑΡΟΔΟΣ ΦΟΙΝΙΚΟΥΝΤΑΣ ΚΟΥΝΟΥΠΙΔΙΑΝΑ-ΧΑΝΙΑ"</f>
        <v>Β΄ ΠΑΡΟΔΟΣ ΦΟΙΝΙΚΟΥΝΤΑΣ ΚΟΥΝΟΥΠΙΔΙΑΝΑ-ΧΑΝΙΑ</v>
      </c>
      <c r="I10595">
        <v>73100</v>
      </c>
      <c r="J10595">
        <v>2821069819</v>
      </c>
      <c r="K10595">
        <v>6948751796</v>
      </c>
      <c r="M10595" t="s">
        <v>15472</v>
      </c>
      <c r="N10595" t="s">
        <v>615</v>
      </c>
      <c r="O10595" t="s">
        <v>616</v>
      </c>
      <c r="R10595" t="s">
        <v>57</v>
      </c>
      <c r="S10595">
        <v>13</v>
      </c>
      <c r="T10595">
        <v>165</v>
      </c>
      <c r="U10595" s="1">
        <v>36040</v>
      </c>
      <c r="V10595" t="s">
        <v>89</v>
      </c>
      <c r="W10595" t="s">
        <v>90</v>
      </c>
      <c r="X10595" t="s">
        <v>58</v>
      </c>
      <c r="Y10595">
        <v>21</v>
      </c>
      <c r="Z10595" t="s">
        <v>59</v>
      </c>
      <c r="AA10595" t="s">
        <v>59</v>
      </c>
      <c r="AB10595" t="s">
        <v>59</v>
      </c>
      <c r="AC10595" t="s">
        <v>59</v>
      </c>
      <c r="AD10595" t="s">
        <v>59</v>
      </c>
      <c r="AF10595" s="1">
        <v>36040</v>
      </c>
      <c r="AG10595" t="s">
        <v>8645</v>
      </c>
      <c r="AH10595" t="s">
        <v>8646</v>
      </c>
      <c r="AI10595" t="str">
        <f>"9500094"</f>
        <v>9500094</v>
      </c>
      <c r="AJ10595" t="s">
        <v>13883</v>
      </c>
      <c r="AK10595">
        <v>2821039330</v>
      </c>
      <c r="AL10595" t="s">
        <v>13884</v>
      </c>
      <c r="AM10595" t="s">
        <v>88</v>
      </c>
      <c r="AN10595" t="s">
        <v>88</v>
      </c>
      <c r="AO10595" t="s">
        <v>6770</v>
      </c>
      <c r="AP10595" t="s">
        <v>6771</v>
      </c>
      <c r="AQ10595">
        <v>2</v>
      </c>
      <c r="AR10595" t="s">
        <v>89</v>
      </c>
      <c r="AS10595" t="s">
        <v>90</v>
      </c>
      <c r="AT10595" t="s">
        <v>58</v>
      </c>
      <c r="AU10595" t="s">
        <v>68</v>
      </c>
      <c r="AV10595" t="s">
        <v>69</v>
      </c>
      <c r="AW10595" s="1">
        <v>24708</v>
      </c>
      <c r="AX10595">
        <v>1</v>
      </c>
    </row>
    <row r="10596" spans="1:50">
      <c r="B10596" t="str">
        <f>"145983871"</f>
        <v>145983871</v>
      </c>
      <c r="C10596" t="s">
        <v>50</v>
      </c>
      <c r="D10596" t="s">
        <v>15473</v>
      </c>
      <c r="E10596" t="s">
        <v>600</v>
      </c>
      <c r="F10596" t="s">
        <v>84</v>
      </c>
      <c r="G10596" t="s">
        <v>372</v>
      </c>
      <c r="H10596" t="str">
        <f>"ΜΠΟΥΜΠΟΥΛΙΝΑΣ 20 "</f>
        <v xml:space="preserve">ΜΠΟΥΜΠΟΥΛΙΝΑΣ 20 </v>
      </c>
      <c r="I10596">
        <v>57004</v>
      </c>
      <c r="J10596">
        <v>2392031413</v>
      </c>
      <c r="K10596">
        <v>6979038545</v>
      </c>
      <c r="N10596" t="s">
        <v>615</v>
      </c>
      <c r="O10596" t="s">
        <v>616</v>
      </c>
      <c r="R10596" t="s">
        <v>159</v>
      </c>
      <c r="S10596">
        <v>3</v>
      </c>
      <c r="T10596" t="s">
        <v>8675</v>
      </c>
      <c r="U10596" s="1">
        <v>43348</v>
      </c>
      <c r="V10596" t="s">
        <v>89</v>
      </c>
      <c r="W10596" t="s">
        <v>90</v>
      </c>
      <c r="X10596" t="s">
        <v>58</v>
      </c>
      <c r="Y10596">
        <v>25</v>
      </c>
      <c r="Z10596" t="s">
        <v>59</v>
      </c>
      <c r="AA10596" t="s">
        <v>59</v>
      </c>
      <c r="AB10596" t="s">
        <v>59</v>
      </c>
      <c r="AC10596" t="s">
        <v>59</v>
      </c>
      <c r="AD10596" t="s">
        <v>59</v>
      </c>
      <c r="AF10596" s="1">
        <v>43348</v>
      </c>
      <c r="AG10596" t="s">
        <v>8645</v>
      </c>
      <c r="AH10596" t="s">
        <v>8676</v>
      </c>
      <c r="AI10596" t="str">
        <f>"9500032"</f>
        <v>9500032</v>
      </c>
      <c r="AJ10596" t="s">
        <v>14356</v>
      </c>
      <c r="AK10596">
        <v>2825071301</v>
      </c>
      <c r="AL10596" t="s">
        <v>14357</v>
      </c>
      <c r="AM10596" t="s">
        <v>88</v>
      </c>
      <c r="AN10596" t="s">
        <v>6775</v>
      </c>
      <c r="AO10596" t="s">
        <v>14358</v>
      </c>
      <c r="AP10596" t="s">
        <v>14358</v>
      </c>
      <c r="AQ10596">
        <v>7</v>
      </c>
      <c r="AR10596" t="s">
        <v>89</v>
      </c>
      <c r="AS10596" t="s">
        <v>90</v>
      </c>
      <c r="AT10596" t="s">
        <v>58</v>
      </c>
      <c r="AU10596" t="s">
        <v>8673</v>
      </c>
      <c r="AV10596" t="s">
        <v>132</v>
      </c>
      <c r="AW10596" s="1">
        <v>32436</v>
      </c>
      <c r="AX10596">
        <v>1</v>
      </c>
    </row>
    <row r="10597" spans="1:50">
      <c r="A10597">
        <v>700692</v>
      </c>
      <c r="B10597" t="str">
        <f>"043993750"</f>
        <v>043993750</v>
      </c>
      <c r="C10597" t="s">
        <v>50</v>
      </c>
      <c r="D10597" t="s">
        <v>15474</v>
      </c>
      <c r="E10597" t="s">
        <v>54</v>
      </c>
      <c r="F10597" t="s">
        <v>760</v>
      </c>
      <c r="G10597" t="s">
        <v>1355</v>
      </c>
      <c r="H10597" t="str">
        <f>"ΖΑΙΜΗ 1 ΧΑΝΙΑ"</f>
        <v>ΖΑΙΜΗ 1 ΧΑΝΙΑ</v>
      </c>
      <c r="I10597">
        <v>73132</v>
      </c>
      <c r="J10597">
        <v>2821055756</v>
      </c>
      <c r="K10597">
        <v>6972571547</v>
      </c>
      <c r="N10597" t="s">
        <v>615</v>
      </c>
      <c r="O10597" t="s">
        <v>616</v>
      </c>
      <c r="R10597" t="s">
        <v>57</v>
      </c>
      <c r="S10597">
        <v>5</v>
      </c>
      <c r="T10597" t="s">
        <v>6506</v>
      </c>
      <c r="U10597" s="1">
        <v>40413</v>
      </c>
      <c r="V10597" t="s">
        <v>89</v>
      </c>
      <c r="W10597" t="s">
        <v>90</v>
      </c>
      <c r="X10597" t="s">
        <v>58</v>
      </c>
      <c r="Y10597">
        <v>23</v>
      </c>
      <c r="Z10597" t="s">
        <v>59</v>
      </c>
      <c r="AA10597" t="s">
        <v>59</v>
      </c>
      <c r="AB10597" t="s">
        <v>59</v>
      </c>
      <c r="AC10597" t="s">
        <v>59</v>
      </c>
      <c r="AD10597" t="s">
        <v>59</v>
      </c>
      <c r="AF10597" s="1">
        <v>40413</v>
      </c>
      <c r="AG10597" t="s">
        <v>8645</v>
      </c>
      <c r="AH10597" t="s">
        <v>8646</v>
      </c>
      <c r="AI10597" t="str">
        <f>"9500423"</f>
        <v>9500423</v>
      </c>
      <c r="AJ10597" t="s">
        <v>13893</v>
      </c>
      <c r="AK10597">
        <v>2821023473</v>
      </c>
      <c r="AL10597" t="s">
        <v>13894</v>
      </c>
      <c r="AM10597" t="s">
        <v>88</v>
      </c>
      <c r="AN10597" t="s">
        <v>88</v>
      </c>
      <c r="AO10597" t="s">
        <v>88</v>
      </c>
      <c r="AP10597" t="s">
        <v>88</v>
      </c>
      <c r="AQ10597">
        <v>1</v>
      </c>
      <c r="AR10597" t="s">
        <v>89</v>
      </c>
      <c r="AS10597" t="s">
        <v>90</v>
      </c>
      <c r="AT10597" t="s">
        <v>58</v>
      </c>
      <c r="AU10597" t="s">
        <v>68</v>
      </c>
      <c r="AV10597" t="s">
        <v>69</v>
      </c>
      <c r="AW10597" s="1">
        <v>25917</v>
      </c>
      <c r="AX10597">
        <v>1</v>
      </c>
    </row>
    <row r="10598" spans="1:50">
      <c r="B10598" t="str">
        <f>"157854308"</f>
        <v>157854308</v>
      </c>
      <c r="C10598" t="s">
        <v>50</v>
      </c>
      <c r="D10598" t="s">
        <v>15475</v>
      </c>
      <c r="E10598" t="s">
        <v>15476</v>
      </c>
      <c r="F10598" t="s">
        <v>166</v>
      </c>
      <c r="G10598" t="s">
        <v>15477</v>
      </c>
      <c r="H10598" t="str">
        <f>" "</f>
        <v xml:space="preserve"> </v>
      </c>
      <c r="N10598" t="s">
        <v>615</v>
      </c>
      <c r="O10598" t="s">
        <v>616</v>
      </c>
      <c r="R10598" t="s">
        <v>159</v>
      </c>
      <c r="S10598">
        <v>2</v>
      </c>
      <c r="T10598" t="s">
        <v>8675</v>
      </c>
      <c r="U10598" s="1">
        <v>43348</v>
      </c>
      <c r="V10598" t="s">
        <v>89</v>
      </c>
      <c r="W10598" t="s">
        <v>90</v>
      </c>
      <c r="X10598" t="s">
        <v>58</v>
      </c>
      <c r="Y10598">
        <v>24</v>
      </c>
      <c r="Z10598" t="s">
        <v>59</v>
      </c>
      <c r="AA10598" t="s">
        <v>59</v>
      </c>
      <c r="AB10598" t="s">
        <v>59</v>
      </c>
      <c r="AD10598" t="s">
        <v>59</v>
      </c>
      <c r="AF10598" s="1">
        <v>43348</v>
      </c>
      <c r="AG10598" t="s">
        <v>8645</v>
      </c>
      <c r="AH10598" t="s">
        <v>8646</v>
      </c>
      <c r="AI10598" t="str">
        <f>"9500189"</f>
        <v>9500189</v>
      </c>
      <c r="AJ10598" t="s">
        <v>14038</v>
      </c>
      <c r="AK10598">
        <v>2822022119</v>
      </c>
      <c r="AL10598" t="s">
        <v>14039</v>
      </c>
      <c r="AM10598" t="s">
        <v>88</v>
      </c>
      <c r="AN10598" t="s">
        <v>6744</v>
      </c>
      <c r="AO10598" t="s">
        <v>6744</v>
      </c>
      <c r="AP10598" t="s">
        <v>6744</v>
      </c>
      <c r="AQ10598">
        <v>9</v>
      </c>
      <c r="AR10598" t="s">
        <v>89</v>
      </c>
      <c r="AS10598" t="s">
        <v>90</v>
      </c>
      <c r="AT10598" t="s">
        <v>58</v>
      </c>
      <c r="AU10598" t="s">
        <v>8673</v>
      </c>
      <c r="AV10598" t="s">
        <v>132</v>
      </c>
      <c r="AW10598" s="1">
        <v>32783</v>
      </c>
      <c r="AX10598">
        <v>1</v>
      </c>
    </row>
    <row r="10599" spans="1:50">
      <c r="B10599" t="str">
        <f>"134092337"</f>
        <v>134092337</v>
      </c>
      <c r="C10599" t="s">
        <v>50</v>
      </c>
      <c r="D10599" t="s">
        <v>15475</v>
      </c>
      <c r="E10599" t="s">
        <v>191</v>
      </c>
      <c r="F10599" t="s">
        <v>304</v>
      </c>
      <c r="G10599" t="s">
        <v>620</v>
      </c>
      <c r="H10599" t="str">
        <f>"ΒΑΣ.ΓΕΩΡΓΙΟΥ 51 "</f>
        <v xml:space="preserve">ΒΑΣ.ΓΕΩΡΓΙΟΥ 51 </v>
      </c>
      <c r="I10599">
        <v>68300</v>
      </c>
      <c r="J10599">
        <v>2553022497</v>
      </c>
      <c r="K10599">
        <v>6955660716</v>
      </c>
      <c r="N10599" t="s">
        <v>8834</v>
      </c>
      <c r="O10599" t="s">
        <v>8695</v>
      </c>
      <c r="R10599" t="s">
        <v>159</v>
      </c>
      <c r="S10599">
        <v>5</v>
      </c>
      <c r="T10599" t="s">
        <v>8696</v>
      </c>
      <c r="U10599" s="1">
        <v>43348</v>
      </c>
      <c r="V10599" t="s">
        <v>89</v>
      </c>
      <c r="W10599" t="s">
        <v>90</v>
      </c>
      <c r="X10599" t="s">
        <v>58</v>
      </c>
      <c r="Y10599">
        <v>24</v>
      </c>
      <c r="Z10599" t="s">
        <v>59</v>
      </c>
      <c r="AA10599" t="s">
        <v>59</v>
      </c>
      <c r="AB10599" t="s">
        <v>59</v>
      </c>
      <c r="AC10599" t="s">
        <v>59</v>
      </c>
      <c r="AD10599" t="s">
        <v>59</v>
      </c>
      <c r="AF10599" s="1">
        <v>43348</v>
      </c>
      <c r="AG10599" t="s">
        <v>8645</v>
      </c>
      <c r="AH10599" t="s">
        <v>8646</v>
      </c>
      <c r="AI10599" t="str">
        <f>"9500009"</f>
        <v>9500009</v>
      </c>
      <c r="AJ10599" t="s">
        <v>13927</v>
      </c>
      <c r="AK10599">
        <v>2825061346</v>
      </c>
      <c r="AL10599" t="s">
        <v>13928</v>
      </c>
      <c r="AM10599" t="s">
        <v>88</v>
      </c>
      <c r="AN10599" t="s">
        <v>6775</v>
      </c>
      <c r="AO10599" t="s">
        <v>13929</v>
      </c>
      <c r="AP10599" t="s">
        <v>13929</v>
      </c>
      <c r="AQ10599">
        <v>8</v>
      </c>
      <c r="AR10599" t="s">
        <v>89</v>
      </c>
      <c r="AS10599" t="s">
        <v>90</v>
      </c>
      <c r="AT10599" t="s">
        <v>58</v>
      </c>
      <c r="AU10599" t="s">
        <v>350</v>
      </c>
      <c r="AV10599" t="s">
        <v>132</v>
      </c>
      <c r="AW10599" s="1">
        <v>32511</v>
      </c>
      <c r="AX10599">
        <v>1</v>
      </c>
    </row>
    <row r="10600" spans="1:50">
      <c r="A10600">
        <v>702178</v>
      </c>
      <c r="B10600" t="str">
        <f>"139705356"</f>
        <v>139705356</v>
      </c>
      <c r="C10600" t="s">
        <v>50</v>
      </c>
      <c r="D10600" t="s">
        <v>11612</v>
      </c>
      <c r="E10600" t="s">
        <v>687</v>
      </c>
      <c r="F10600" t="s">
        <v>315</v>
      </c>
      <c r="G10600" t="s">
        <v>73</v>
      </c>
      <c r="H10600" t="str">
        <f>"Καρόλου Κουν 7 ΚΟΜΟΤΗΝΗΣ"</f>
        <v>Καρόλου Κουν 7 ΚΟΜΟΤΗΝΗΣ</v>
      </c>
      <c r="I10600">
        <v>69100</v>
      </c>
      <c r="K10600">
        <v>6970801602</v>
      </c>
      <c r="M10600" t="s">
        <v>15478</v>
      </c>
      <c r="N10600" t="s">
        <v>615</v>
      </c>
      <c r="O10600" t="s">
        <v>616</v>
      </c>
      <c r="R10600" t="s">
        <v>57</v>
      </c>
      <c r="S10600">
        <v>6</v>
      </c>
      <c r="T10600">
        <v>772</v>
      </c>
      <c r="U10600" s="1">
        <v>40413</v>
      </c>
      <c r="V10600" t="s">
        <v>89</v>
      </c>
      <c r="W10600" t="s">
        <v>90</v>
      </c>
      <c r="X10600" t="s">
        <v>58</v>
      </c>
      <c r="Y10600">
        <v>24</v>
      </c>
      <c r="Z10600" t="s">
        <v>59</v>
      </c>
      <c r="AA10600" t="s">
        <v>59</v>
      </c>
      <c r="AB10600" t="s">
        <v>59</v>
      </c>
      <c r="AC10600" t="s">
        <v>59</v>
      </c>
      <c r="AD10600" t="s">
        <v>59</v>
      </c>
      <c r="AF10600" s="1">
        <v>40413</v>
      </c>
      <c r="AG10600" t="s">
        <v>8645</v>
      </c>
      <c r="AH10600" t="s">
        <v>8646</v>
      </c>
      <c r="AI10600" t="str">
        <f>"9500009"</f>
        <v>9500009</v>
      </c>
      <c r="AJ10600" t="s">
        <v>13927</v>
      </c>
      <c r="AK10600">
        <v>2825061346</v>
      </c>
      <c r="AL10600" t="s">
        <v>13928</v>
      </c>
      <c r="AM10600" t="s">
        <v>88</v>
      </c>
      <c r="AN10600" t="s">
        <v>6775</v>
      </c>
      <c r="AO10600" t="s">
        <v>13929</v>
      </c>
      <c r="AP10600" t="s">
        <v>13929</v>
      </c>
      <c r="AQ10600">
        <v>8</v>
      </c>
      <c r="AR10600" t="s">
        <v>89</v>
      </c>
      <c r="AS10600" t="s">
        <v>90</v>
      </c>
      <c r="AT10600" t="s">
        <v>58</v>
      </c>
      <c r="AU10600" t="s">
        <v>68</v>
      </c>
      <c r="AV10600" t="s">
        <v>69</v>
      </c>
      <c r="AW10600" s="1">
        <v>31837</v>
      </c>
      <c r="AX10600">
        <v>1</v>
      </c>
    </row>
    <row r="10601" spans="1:50">
      <c r="B10601" t="str">
        <f>"107055914"</f>
        <v>107055914</v>
      </c>
      <c r="C10601" t="s">
        <v>50</v>
      </c>
      <c r="D10601" t="s">
        <v>15479</v>
      </c>
      <c r="E10601" t="s">
        <v>600</v>
      </c>
      <c r="F10601" t="s">
        <v>631</v>
      </c>
      <c r="G10601" t="s">
        <v>3844</v>
      </c>
      <c r="H10601" t="str">
        <f>"ΛΕΩΦΟΡΟΣ ΜΑΡΑΘΩΝΟΣ 19 ΑΝΟΙΞΗ ΑΤΤΙΚΗΣ"</f>
        <v>ΛΕΩΦΟΡΟΣ ΜΑΡΑΘΩΝΟΣ 19 ΑΝΟΙΞΗ ΑΤΤΙΚΗΣ</v>
      </c>
      <c r="I10601">
        <v>14569</v>
      </c>
      <c r="J10601">
        <v>2108140601</v>
      </c>
      <c r="K10601">
        <v>6937465156</v>
      </c>
      <c r="N10601" t="s">
        <v>683</v>
      </c>
      <c r="O10601" t="s">
        <v>684</v>
      </c>
      <c r="R10601" t="s">
        <v>159</v>
      </c>
      <c r="S10601">
        <v>3</v>
      </c>
      <c r="T10601" t="s">
        <v>8675</v>
      </c>
      <c r="U10601" s="1">
        <v>43348</v>
      </c>
      <c r="V10601" t="s">
        <v>89</v>
      </c>
      <c r="W10601" t="s">
        <v>90</v>
      </c>
      <c r="X10601" t="s">
        <v>58</v>
      </c>
      <c r="Y10601">
        <v>24</v>
      </c>
      <c r="Z10601" t="s">
        <v>59</v>
      </c>
      <c r="AA10601" t="s">
        <v>59</v>
      </c>
      <c r="AB10601" t="s">
        <v>59</v>
      </c>
      <c r="AC10601" t="s">
        <v>59</v>
      </c>
      <c r="AD10601" t="s">
        <v>59</v>
      </c>
      <c r="AF10601" s="1">
        <v>43348</v>
      </c>
      <c r="AG10601" t="s">
        <v>8645</v>
      </c>
      <c r="AH10601" t="s">
        <v>8646</v>
      </c>
      <c r="AI10601" t="str">
        <f>"9500084"</f>
        <v>9500084</v>
      </c>
      <c r="AJ10601" t="s">
        <v>13994</v>
      </c>
      <c r="AK10601">
        <v>2821031270</v>
      </c>
      <c r="AL10601" t="s">
        <v>13995</v>
      </c>
      <c r="AM10601" t="s">
        <v>88</v>
      </c>
      <c r="AN10601" t="s">
        <v>88</v>
      </c>
      <c r="AO10601" t="s">
        <v>13920</v>
      </c>
      <c r="AP10601" t="s">
        <v>13996</v>
      </c>
      <c r="AQ10601">
        <v>3</v>
      </c>
      <c r="AR10601" t="s">
        <v>89</v>
      </c>
      <c r="AS10601" t="s">
        <v>90</v>
      </c>
      <c r="AT10601" t="s">
        <v>58</v>
      </c>
      <c r="AU10601" t="s">
        <v>8673</v>
      </c>
      <c r="AV10601" t="s">
        <v>132</v>
      </c>
      <c r="AW10601" s="1">
        <v>29025</v>
      </c>
      <c r="AX10601">
        <v>1</v>
      </c>
    </row>
    <row r="10602" spans="1:50">
      <c r="A10602">
        <v>595127</v>
      </c>
      <c r="B10602" t="str">
        <f>"077860708"</f>
        <v>077860708</v>
      </c>
      <c r="C10602" t="s">
        <v>50</v>
      </c>
      <c r="D10602" t="s">
        <v>4057</v>
      </c>
      <c r="E10602" t="s">
        <v>2343</v>
      </c>
      <c r="F10602" t="s">
        <v>940</v>
      </c>
      <c r="G10602" t="s">
        <v>460</v>
      </c>
      <c r="H10602" t="str">
        <f>"ΜΕΓΑΛΑ ΧΩΡΑΦΙΑ ΧΑΝΙΑ"</f>
        <v>ΜΕΓΑΛΑ ΧΩΡΑΦΙΑ ΧΑΝΙΑ</v>
      </c>
      <c r="I10602">
        <v>73003</v>
      </c>
      <c r="K10602">
        <v>6945953287</v>
      </c>
      <c r="N10602" t="s">
        <v>615</v>
      </c>
      <c r="O10602" t="s">
        <v>616</v>
      </c>
      <c r="R10602" t="s">
        <v>57</v>
      </c>
      <c r="S10602">
        <v>8</v>
      </c>
      <c r="T10602">
        <v>218</v>
      </c>
      <c r="U10602" s="1">
        <v>37134</v>
      </c>
      <c r="V10602" t="s">
        <v>89</v>
      </c>
      <c r="W10602" t="s">
        <v>90</v>
      </c>
      <c r="X10602" t="s">
        <v>58</v>
      </c>
      <c r="Y10602">
        <v>22</v>
      </c>
      <c r="Z10602" t="s">
        <v>59</v>
      </c>
      <c r="AA10602" t="s">
        <v>59</v>
      </c>
      <c r="AB10602" t="s">
        <v>59</v>
      </c>
      <c r="AC10602" t="s">
        <v>59</v>
      </c>
      <c r="AD10602" t="s">
        <v>59</v>
      </c>
      <c r="AF10602" s="1">
        <v>37134</v>
      </c>
      <c r="AG10602" t="s">
        <v>8645</v>
      </c>
      <c r="AH10602" t="s">
        <v>8646</v>
      </c>
      <c r="AI10602" t="str">
        <f>"9500408"</f>
        <v>9500408</v>
      </c>
      <c r="AJ10602" t="s">
        <v>13981</v>
      </c>
      <c r="AK10602">
        <v>2821081655</v>
      </c>
      <c r="AL10602" t="s">
        <v>13982</v>
      </c>
      <c r="AM10602" t="s">
        <v>88</v>
      </c>
      <c r="AN10602" t="s">
        <v>88</v>
      </c>
      <c r="AO10602" t="s">
        <v>6748</v>
      </c>
      <c r="AP10602" t="s">
        <v>6748</v>
      </c>
      <c r="AQ10602">
        <v>2</v>
      </c>
      <c r="AR10602" t="s">
        <v>89</v>
      </c>
      <c r="AS10602" t="s">
        <v>90</v>
      </c>
      <c r="AT10602" t="s">
        <v>58</v>
      </c>
      <c r="AU10602" t="s">
        <v>68</v>
      </c>
      <c r="AV10602" t="s">
        <v>69</v>
      </c>
      <c r="AW10602" s="1">
        <v>25661</v>
      </c>
      <c r="AX10602">
        <v>1</v>
      </c>
    </row>
    <row r="10603" spans="1:50">
      <c r="A10603">
        <v>621190</v>
      </c>
      <c r="B10603" t="str">
        <f>"110890783"</f>
        <v>110890783</v>
      </c>
      <c r="C10603" t="s">
        <v>50</v>
      </c>
      <c r="D10603" t="s">
        <v>15480</v>
      </c>
      <c r="E10603" t="s">
        <v>237</v>
      </c>
      <c r="F10603" t="s">
        <v>84</v>
      </c>
      <c r="G10603" t="s">
        <v>155</v>
      </c>
      <c r="H10603" t="str">
        <f>"ΓΙΑΝΝΟΥΔΟΒΑΡΔΗ 27 ΚΙΣΑΜΟΣ-ΧΑΝΙΑ"</f>
        <v>ΓΙΑΝΝΟΥΔΟΒΑΡΔΗ 27 ΚΙΣΑΜΟΣ-ΧΑΝΙΑ</v>
      </c>
      <c r="I10603">
        <v>73400</v>
      </c>
      <c r="J10603">
        <v>2822023135</v>
      </c>
      <c r="K10603">
        <v>6974937819</v>
      </c>
      <c r="N10603" t="s">
        <v>615</v>
      </c>
      <c r="O10603" t="s">
        <v>616</v>
      </c>
      <c r="R10603" t="s">
        <v>57</v>
      </c>
      <c r="S10603">
        <v>4</v>
      </c>
      <c r="T10603">
        <v>653</v>
      </c>
      <c r="U10603" s="1">
        <v>40043</v>
      </c>
      <c r="V10603" t="s">
        <v>89</v>
      </c>
      <c r="W10603" t="s">
        <v>90</v>
      </c>
      <c r="X10603" t="s">
        <v>58</v>
      </c>
      <c r="Y10603">
        <v>23</v>
      </c>
      <c r="Z10603" t="s">
        <v>59</v>
      </c>
      <c r="AA10603" t="s">
        <v>59</v>
      </c>
      <c r="AB10603" t="s">
        <v>59</v>
      </c>
      <c r="AC10603" t="s">
        <v>59</v>
      </c>
      <c r="AD10603" t="s">
        <v>59</v>
      </c>
      <c r="AF10603" s="1">
        <v>40043</v>
      </c>
      <c r="AG10603" t="s">
        <v>8645</v>
      </c>
      <c r="AH10603" t="s">
        <v>8646</v>
      </c>
      <c r="AI10603" t="str">
        <f>"9500189"</f>
        <v>9500189</v>
      </c>
      <c r="AJ10603" t="s">
        <v>14038</v>
      </c>
      <c r="AK10603">
        <v>2822022119</v>
      </c>
      <c r="AL10603" t="s">
        <v>14039</v>
      </c>
      <c r="AM10603" t="s">
        <v>88</v>
      </c>
      <c r="AN10603" t="s">
        <v>6744</v>
      </c>
      <c r="AO10603" t="s">
        <v>6744</v>
      </c>
      <c r="AP10603" t="s">
        <v>6744</v>
      </c>
      <c r="AQ10603">
        <v>9</v>
      </c>
      <c r="AR10603" t="s">
        <v>89</v>
      </c>
      <c r="AS10603" t="s">
        <v>90</v>
      </c>
      <c r="AT10603" t="s">
        <v>58</v>
      </c>
      <c r="AU10603" t="s">
        <v>68</v>
      </c>
      <c r="AV10603" t="s">
        <v>69</v>
      </c>
      <c r="AW10603" s="1">
        <v>31646</v>
      </c>
      <c r="AX10603">
        <v>1</v>
      </c>
    </row>
    <row r="10604" spans="1:50">
      <c r="A10604">
        <v>614734</v>
      </c>
      <c r="B10604" t="str">
        <f>"044965286"</f>
        <v>044965286</v>
      </c>
      <c r="C10604" t="s">
        <v>105</v>
      </c>
      <c r="D10604" t="s">
        <v>15481</v>
      </c>
      <c r="E10604" t="s">
        <v>154</v>
      </c>
      <c r="F10604" t="s">
        <v>84</v>
      </c>
      <c r="G10604" t="s">
        <v>155</v>
      </c>
      <c r="H10604" t="str">
        <f>"ΓΙΑΝΝΟΥΔΟΒΑΡΔΗ  27 ΚΑΣΤΕΛΙ"</f>
        <v>ΓΙΑΝΝΟΥΔΟΒΑΡΔΗ  27 ΚΑΣΤΕΛΙ</v>
      </c>
      <c r="I10604">
        <v>73400</v>
      </c>
      <c r="J10604">
        <v>2822023135</v>
      </c>
      <c r="K10604">
        <v>6972801167</v>
      </c>
      <c r="N10604" t="s">
        <v>615</v>
      </c>
      <c r="O10604" t="s">
        <v>616</v>
      </c>
      <c r="R10604" t="s">
        <v>57</v>
      </c>
      <c r="S10604">
        <v>5</v>
      </c>
      <c r="T10604">
        <v>598</v>
      </c>
      <c r="U10604" s="1">
        <v>39310</v>
      </c>
      <c r="V10604" t="s">
        <v>89</v>
      </c>
      <c r="W10604" t="s">
        <v>90</v>
      </c>
      <c r="X10604" t="s">
        <v>58</v>
      </c>
      <c r="Y10604">
        <v>23</v>
      </c>
      <c r="Z10604" t="s">
        <v>59</v>
      </c>
      <c r="AA10604" t="s">
        <v>59</v>
      </c>
      <c r="AB10604" t="s">
        <v>59</v>
      </c>
      <c r="AC10604" t="s">
        <v>59</v>
      </c>
      <c r="AD10604" t="s">
        <v>59</v>
      </c>
      <c r="AF10604" s="1">
        <v>39328</v>
      </c>
      <c r="AG10604" t="s">
        <v>8645</v>
      </c>
      <c r="AH10604" t="s">
        <v>8646</v>
      </c>
      <c r="AI10604" t="str">
        <f>"9500189"</f>
        <v>9500189</v>
      </c>
      <c r="AJ10604" t="s">
        <v>14038</v>
      </c>
      <c r="AK10604">
        <v>2822022119</v>
      </c>
      <c r="AL10604" t="s">
        <v>14039</v>
      </c>
      <c r="AM10604" t="s">
        <v>88</v>
      </c>
      <c r="AN10604" t="s">
        <v>6744</v>
      </c>
      <c r="AO10604" t="s">
        <v>6744</v>
      </c>
      <c r="AP10604" t="s">
        <v>6744</v>
      </c>
      <c r="AQ10604">
        <v>9</v>
      </c>
      <c r="AR10604" t="s">
        <v>89</v>
      </c>
      <c r="AS10604" t="s">
        <v>90</v>
      </c>
      <c r="AT10604" t="s">
        <v>58</v>
      </c>
      <c r="AU10604" t="s">
        <v>68</v>
      </c>
      <c r="AV10604" t="s">
        <v>69</v>
      </c>
      <c r="AW10604" s="1">
        <v>30897</v>
      </c>
      <c r="AX10604">
        <v>1</v>
      </c>
    </row>
    <row r="10605" spans="1:50">
      <c r="A10605">
        <v>621370</v>
      </c>
      <c r="B10605" t="str">
        <f>"118819900"</f>
        <v>118819900</v>
      </c>
      <c r="C10605" t="s">
        <v>50</v>
      </c>
      <c r="D10605" t="s">
        <v>15482</v>
      </c>
      <c r="E10605" t="s">
        <v>237</v>
      </c>
      <c r="F10605" t="s">
        <v>1316</v>
      </c>
      <c r="G10605" t="s">
        <v>15391</v>
      </c>
      <c r="H10605" t="str">
        <f>"ΚΑΣΤΟΡΟΣ 34 ΘΕΣΣΑΛΟΝΙΚΗ"</f>
        <v>ΚΑΣΤΟΡΟΣ 34 ΘΕΣΣΑΛΟΝΙΚΗ</v>
      </c>
      <c r="I10605">
        <v>54634</v>
      </c>
      <c r="J10605">
        <v>2310246436</v>
      </c>
      <c r="K10605">
        <v>6948102983</v>
      </c>
      <c r="N10605" t="s">
        <v>615</v>
      </c>
      <c r="O10605" t="s">
        <v>616</v>
      </c>
      <c r="R10605" t="s">
        <v>57</v>
      </c>
      <c r="S10605">
        <v>4</v>
      </c>
      <c r="T10605">
        <v>653</v>
      </c>
      <c r="U10605" s="1">
        <v>40043</v>
      </c>
      <c r="V10605" t="s">
        <v>89</v>
      </c>
      <c r="W10605" t="s">
        <v>90</v>
      </c>
      <c r="X10605" t="s">
        <v>58</v>
      </c>
      <c r="Y10605">
        <v>24</v>
      </c>
      <c r="Z10605" t="s">
        <v>59</v>
      </c>
      <c r="AA10605" t="s">
        <v>59</v>
      </c>
      <c r="AB10605" t="s">
        <v>59</v>
      </c>
      <c r="AC10605" t="s">
        <v>59</v>
      </c>
      <c r="AD10605" t="s">
        <v>59</v>
      </c>
      <c r="AF10605" s="1">
        <v>40046</v>
      </c>
      <c r="AG10605" t="s">
        <v>8645</v>
      </c>
      <c r="AH10605" t="s">
        <v>8646</v>
      </c>
      <c r="AI10605" t="str">
        <f>"9500173"</f>
        <v>9500173</v>
      </c>
      <c r="AJ10605" t="s">
        <v>14513</v>
      </c>
      <c r="AK10605">
        <v>2823022235</v>
      </c>
      <c r="AL10605" t="s">
        <v>14514</v>
      </c>
      <c r="AM10605" t="s">
        <v>88</v>
      </c>
      <c r="AN10605" t="s">
        <v>6824</v>
      </c>
      <c r="AO10605" t="s">
        <v>6825</v>
      </c>
      <c r="AP10605" t="s">
        <v>6826</v>
      </c>
      <c r="AQ10605">
        <v>11</v>
      </c>
      <c r="AR10605" t="s">
        <v>89</v>
      </c>
      <c r="AS10605" t="s">
        <v>90</v>
      </c>
      <c r="AT10605" t="s">
        <v>58</v>
      </c>
      <c r="AU10605" t="s">
        <v>68</v>
      </c>
      <c r="AV10605" t="s">
        <v>69</v>
      </c>
      <c r="AW10605" s="1">
        <v>31541</v>
      </c>
      <c r="AX10605">
        <v>1</v>
      </c>
    </row>
    <row r="10606" spans="1:50">
      <c r="B10606" t="str">
        <f>"049992880"</f>
        <v>049992880</v>
      </c>
      <c r="C10606" t="s">
        <v>50</v>
      </c>
      <c r="D10606" t="s">
        <v>15483</v>
      </c>
      <c r="E10606" t="s">
        <v>877</v>
      </c>
      <c r="F10606" t="s">
        <v>383</v>
      </c>
      <c r="G10606" t="s">
        <v>314</v>
      </c>
      <c r="H10606" t="str">
        <f>"ΤΣΑΜΑΛΔΟΥΠΗ 4 ΓΙΑΝΝΙΤΣΑ"</f>
        <v>ΤΣΑΜΑΛΔΟΥΠΗ 4 ΓΙΑΝΝΙΤΣΑ</v>
      </c>
      <c r="I10606">
        <v>58100</v>
      </c>
      <c r="J10606">
        <v>2382024324</v>
      </c>
      <c r="K10606">
        <v>6974901141</v>
      </c>
      <c r="N10606" t="s">
        <v>306</v>
      </c>
      <c r="O10606" t="s">
        <v>307</v>
      </c>
      <c r="R10606" t="s">
        <v>159</v>
      </c>
      <c r="S10606">
        <v>3</v>
      </c>
      <c r="T10606" t="s">
        <v>8675</v>
      </c>
      <c r="U10606" s="1">
        <v>43348</v>
      </c>
      <c r="V10606" t="s">
        <v>89</v>
      </c>
      <c r="W10606" t="s">
        <v>90</v>
      </c>
      <c r="X10606" t="s">
        <v>58</v>
      </c>
      <c r="Y10606">
        <v>24</v>
      </c>
      <c r="Z10606" t="s">
        <v>59</v>
      </c>
      <c r="AA10606" t="s">
        <v>59</v>
      </c>
      <c r="AB10606" t="s">
        <v>59</v>
      </c>
      <c r="AC10606" t="s">
        <v>59</v>
      </c>
      <c r="AD10606" t="s">
        <v>59</v>
      </c>
      <c r="AF10606" s="1">
        <v>43348</v>
      </c>
      <c r="AG10606" t="s">
        <v>8645</v>
      </c>
      <c r="AH10606" t="s">
        <v>8646</v>
      </c>
      <c r="AI10606" t="str">
        <f>"9500021"</f>
        <v>9500021</v>
      </c>
      <c r="AJ10606" t="s">
        <v>14054</v>
      </c>
      <c r="AK10606">
        <v>2825096298</v>
      </c>
      <c r="AL10606" t="s">
        <v>14055</v>
      </c>
      <c r="AM10606" t="s">
        <v>88</v>
      </c>
      <c r="AN10606" t="s">
        <v>6775</v>
      </c>
      <c r="AO10606" t="s">
        <v>13929</v>
      </c>
      <c r="AP10606" t="s">
        <v>14056</v>
      </c>
      <c r="AQ10606">
        <v>8</v>
      </c>
      <c r="AR10606" t="s">
        <v>89</v>
      </c>
      <c r="AS10606" t="s">
        <v>90</v>
      </c>
      <c r="AT10606" t="s">
        <v>58</v>
      </c>
      <c r="AU10606" t="s">
        <v>8673</v>
      </c>
      <c r="AV10606" t="s">
        <v>132</v>
      </c>
      <c r="AW10606" s="1">
        <v>29458</v>
      </c>
      <c r="AX10606">
        <v>1</v>
      </c>
    </row>
    <row r="10607" spans="1:50">
      <c r="A10607">
        <v>621735</v>
      </c>
      <c r="B10607" t="str">
        <f>"112352939"</f>
        <v>112352939</v>
      </c>
      <c r="C10607" t="s">
        <v>50</v>
      </c>
      <c r="D10607" t="s">
        <v>15484</v>
      </c>
      <c r="E10607" t="s">
        <v>476</v>
      </c>
      <c r="F10607" t="s">
        <v>53</v>
      </c>
      <c r="G10607" t="s">
        <v>255</v>
      </c>
      <c r="H10607" t="str">
        <f>"ΜΟΥΡΝΙΔΩΝ 32 ΧΑΝΙΑ"</f>
        <v>ΜΟΥΡΝΙΔΩΝ 32 ΧΑΝΙΑ</v>
      </c>
      <c r="I10607">
        <v>73100</v>
      </c>
      <c r="K10607">
        <v>6946389142</v>
      </c>
      <c r="M10607" t="s">
        <v>15485</v>
      </c>
      <c r="N10607" t="s">
        <v>615</v>
      </c>
      <c r="O10607" t="s">
        <v>616</v>
      </c>
      <c r="R10607" t="s">
        <v>57</v>
      </c>
      <c r="S10607">
        <v>7</v>
      </c>
      <c r="T10607">
        <v>653</v>
      </c>
      <c r="U10607" s="1">
        <v>40043</v>
      </c>
      <c r="V10607" t="s">
        <v>89</v>
      </c>
      <c r="W10607" t="s">
        <v>90</v>
      </c>
      <c r="X10607" t="s">
        <v>58</v>
      </c>
      <c r="Y10607">
        <v>23</v>
      </c>
      <c r="Z10607" t="s">
        <v>59</v>
      </c>
      <c r="AA10607" t="s">
        <v>59</v>
      </c>
      <c r="AB10607" t="s">
        <v>59</v>
      </c>
      <c r="AC10607" t="s">
        <v>59</v>
      </c>
      <c r="AD10607" t="s">
        <v>59</v>
      </c>
      <c r="AF10607" s="1">
        <v>40044</v>
      </c>
      <c r="AG10607" t="s">
        <v>8645</v>
      </c>
      <c r="AH10607" t="s">
        <v>8646</v>
      </c>
      <c r="AI10607" t="str">
        <f>"9500017"</f>
        <v>9500017</v>
      </c>
      <c r="AJ10607" t="s">
        <v>13873</v>
      </c>
      <c r="AK10607">
        <v>2825083173</v>
      </c>
      <c r="AL10607" t="s">
        <v>13874</v>
      </c>
      <c r="AM10607" t="s">
        <v>88</v>
      </c>
      <c r="AN10607" t="s">
        <v>6775</v>
      </c>
      <c r="AO10607" t="s">
        <v>11883</v>
      </c>
      <c r="AP10607" t="s">
        <v>13875</v>
      </c>
      <c r="AQ10607">
        <v>7</v>
      </c>
      <c r="AR10607" t="s">
        <v>89</v>
      </c>
      <c r="AS10607" t="s">
        <v>90</v>
      </c>
      <c r="AT10607" t="s">
        <v>58</v>
      </c>
      <c r="AU10607" t="s">
        <v>68</v>
      </c>
      <c r="AV10607" t="s">
        <v>69</v>
      </c>
      <c r="AW10607" s="1">
        <v>31242</v>
      </c>
      <c r="AX10607">
        <v>1</v>
      </c>
    </row>
    <row r="10608" spans="1:50">
      <c r="A10608">
        <v>595233</v>
      </c>
      <c r="B10608" t="str">
        <f>"079023613"</f>
        <v>079023613</v>
      </c>
      <c r="C10608" t="s">
        <v>105</v>
      </c>
      <c r="D10608" t="s">
        <v>15486</v>
      </c>
      <c r="E10608" t="s">
        <v>72</v>
      </c>
      <c r="F10608" t="s">
        <v>95</v>
      </c>
      <c r="G10608" t="s">
        <v>330</v>
      </c>
      <c r="H10608" t="str">
        <f>"ΧΡΥΣΟΣΚΑΛΙΤΙΣΣΑΣ 11 ΧΑΝΙΑ"</f>
        <v>ΧΡΥΣΟΣΚΑΛΙΤΙΣΣΑΣ 11 ΧΑΝΙΑ</v>
      </c>
      <c r="I10608">
        <v>73100</v>
      </c>
      <c r="J10608">
        <v>2821023466</v>
      </c>
      <c r="K10608">
        <v>6949974855</v>
      </c>
      <c r="N10608" t="s">
        <v>615</v>
      </c>
      <c r="O10608" t="s">
        <v>616</v>
      </c>
      <c r="R10608" t="s">
        <v>57</v>
      </c>
      <c r="S10608">
        <v>8</v>
      </c>
      <c r="T10608">
        <v>218</v>
      </c>
      <c r="U10608" s="1">
        <v>37134</v>
      </c>
      <c r="V10608" t="s">
        <v>89</v>
      </c>
      <c r="W10608" t="s">
        <v>90</v>
      </c>
      <c r="X10608" t="s">
        <v>58</v>
      </c>
      <c r="Y10608">
        <v>22</v>
      </c>
      <c r="Z10608" t="s">
        <v>59</v>
      </c>
      <c r="AA10608" t="s">
        <v>59</v>
      </c>
      <c r="AB10608" t="s">
        <v>59</v>
      </c>
      <c r="AC10608" t="s">
        <v>59</v>
      </c>
      <c r="AD10608" t="s">
        <v>59</v>
      </c>
      <c r="AF10608" s="1">
        <v>37138</v>
      </c>
      <c r="AG10608" t="s">
        <v>8645</v>
      </c>
      <c r="AH10608" t="s">
        <v>8646</v>
      </c>
      <c r="AI10608" t="str">
        <f>"9500045"</f>
        <v>9500045</v>
      </c>
      <c r="AJ10608" t="s">
        <v>13887</v>
      </c>
      <c r="AK10608">
        <v>2821044369</v>
      </c>
      <c r="AL10608" t="s">
        <v>13888</v>
      </c>
      <c r="AM10608" t="s">
        <v>88</v>
      </c>
      <c r="AN10608" t="s">
        <v>88</v>
      </c>
      <c r="AO10608" t="s">
        <v>88</v>
      </c>
      <c r="AP10608" t="s">
        <v>88</v>
      </c>
      <c r="AQ10608">
        <v>1</v>
      </c>
      <c r="AR10608" t="s">
        <v>89</v>
      </c>
      <c r="AS10608" t="s">
        <v>90</v>
      </c>
      <c r="AT10608" t="s">
        <v>58</v>
      </c>
      <c r="AU10608" t="s">
        <v>68</v>
      </c>
      <c r="AV10608" t="s">
        <v>69</v>
      </c>
      <c r="AW10608" s="1">
        <v>25673</v>
      </c>
      <c r="AX10608">
        <v>1</v>
      </c>
    </row>
    <row r="10609" spans="1:50">
      <c r="A10609">
        <v>612480</v>
      </c>
      <c r="B10609" t="str">
        <f>"043449270"</f>
        <v>043449270</v>
      </c>
      <c r="C10609" t="s">
        <v>50</v>
      </c>
      <c r="D10609" t="s">
        <v>15487</v>
      </c>
      <c r="E10609" t="s">
        <v>263</v>
      </c>
      <c r="F10609" t="s">
        <v>631</v>
      </c>
      <c r="G10609" t="s">
        <v>237</v>
      </c>
      <c r="H10609" t="str">
        <f>"ΔΑΡΑΤΣΟ ΝΕΑ ΚΥΔΩΝΙΑ ΧΑΝΙΑ"</f>
        <v>ΔΑΡΑΤΣΟ ΝΕΑ ΚΥΔΩΝΙΑ ΧΑΝΙΑ</v>
      </c>
      <c r="I10609">
        <v>73100</v>
      </c>
      <c r="J10609">
        <v>2821032610</v>
      </c>
      <c r="K10609">
        <v>6947023723</v>
      </c>
      <c r="N10609" t="s">
        <v>176</v>
      </c>
      <c r="O10609" t="s">
        <v>177</v>
      </c>
      <c r="R10609" t="s">
        <v>57</v>
      </c>
      <c r="S10609">
        <v>8</v>
      </c>
      <c r="T10609">
        <v>234</v>
      </c>
      <c r="U10609" s="1">
        <v>38960</v>
      </c>
      <c r="V10609" t="s">
        <v>89</v>
      </c>
      <c r="W10609" t="s">
        <v>90</v>
      </c>
      <c r="X10609" t="s">
        <v>58</v>
      </c>
      <c r="Y10609">
        <v>22</v>
      </c>
      <c r="Z10609" t="s">
        <v>59</v>
      </c>
      <c r="AA10609" t="s">
        <v>59</v>
      </c>
      <c r="AB10609" t="s">
        <v>59</v>
      </c>
      <c r="AC10609" t="s">
        <v>59</v>
      </c>
      <c r="AD10609" t="s">
        <v>59</v>
      </c>
      <c r="AF10609" s="1">
        <v>38961</v>
      </c>
      <c r="AG10609" t="s">
        <v>8645</v>
      </c>
      <c r="AH10609" t="s">
        <v>8646</v>
      </c>
      <c r="AI10609" t="str">
        <f>"9500236"</f>
        <v>9500236</v>
      </c>
      <c r="AJ10609" t="s">
        <v>14106</v>
      </c>
      <c r="AK10609">
        <v>2824022347</v>
      </c>
      <c r="AL10609" t="s">
        <v>14107</v>
      </c>
      <c r="AM10609" t="s">
        <v>88</v>
      </c>
      <c r="AN10609" t="s">
        <v>6764</v>
      </c>
      <c r="AO10609" t="s">
        <v>6765</v>
      </c>
      <c r="AP10609" t="s">
        <v>13952</v>
      </c>
      <c r="AQ10609">
        <v>6</v>
      </c>
      <c r="AR10609" t="s">
        <v>89</v>
      </c>
      <c r="AS10609" t="s">
        <v>90</v>
      </c>
      <c r="AT10609" t="s">
        <v>58</v>
      </c>
      <c r="AU10609" t="s">
        <v>68</v>
      </c>
      <c r="AV10609" t="s">
        <v>69</v>
      </c>
      <c r="AW10609" s="1">
        <v>25965</v>
      </c>
      <c r="AX10609">
        <v>1</v>
      </c>
    </row>
    <row r="10610" spans="1:50">
      <c r="A10610">
        <v>604402</v>
      </c>
      <c r="B10610" t="str">
        <f>"113638546"</f>
        <v>113638546</v>
      </c>
      <c r="C10610" t="s">
        <v>105</v>
      </c>
      <c r="D10610" t="s">
        <v>4091</v>
      </c>
      <c r="E10610" t="s">
        <v>72</v>
      </c>
      <c r="F10610" t="s">
        <v>99</v>
      </c>
      <c r="G10610" t="s">
        <v>263</v>
      </c>
      <c r="H10610" t="str">
        <f>"ΑΓ.ΟΝΟΥΦΡΙΟΥ 4Η ΠΑΡΟΔΟΣ ΚΟΥΝΟΥΠ ΚΟΥΝΟΥΠΙΔΙΑΝΑ ΑΚΡΩΤΗΡΙΟΥ"</f>
        <v>ΑΓ.ΟΝΟΥΦΡΙΟΥ 4Η ΠΑΡΟΔΟΣ ΚΟΥΝΟΥΠ ΚΟΥΝΟΥΠΙΔΙΑΝΑ ΑΚΡΩΤΗΡΙΟΥ</v>
      </c>
      <c r="I10610">
        <v>73142</v>
      </c>
      <c r="J10610">
        <v>2106544044</v>
      </c>
      <c r="K10610">
        <v>6938281791</v>
      </c>
      <c r="L10610">
        <v>2821066654</v>
      </c>
      <c r="M10610" t="s">
        <v>15488</v>
      </c>
      <c r="N10610" t="s">
        <v>615</v>
      </c>
      <c r="O10610" t="s">
        <v>616</v>
      </c>
      <c r="R10610" t="s">
        <v>57</v>
      </c>
      <c r="S10610">
        <v>9</v>
      </c>
      <c r="T10610">
        <v>231</v>
      </c>
      <c r="U10610" s="1">
        <v>38231</v>
      </c>
      <c r="V10610" t="s">
        <v>89</v>
      </c>
      <c r="W10610" t="s">
        <v>90</v>
      </c>
      <c r="X10610" t="s">
        <v>58</v>
      </c>
      <c r="Y10610">
        <v>23</v>
      </c>
      <c r="Z10610" t="s">
        <v>59</v>
      </c>
      <c r="AA10610" t="s">
        <v>59</v>
      </c>
      <c r="AB10610" t="s">
        <v>59</v>
      </c>
      <c r="AC10610" t="s">
        <v>59</v>
      </c>
      <c r="AD10610" t="s">
        <v>59</v>
      </c>
      <c r="AF10610" s="1">
        <v>38231</v>
      </c>
      <c r="AG10610" t="s">
        <v>8645</v>
      </c>
      <c r="AH10610" t="s">
        <v>8646</v>
      </c>
      <c r="AI10610" t="str">
        <f>"9500075"</f>
        <v>9500075</v>
      </c>
      <c r="AJ10610" t="s">
        <v>13955</v>
      </c>
      <c r="AK10610">
        <v>2821046505</v>
      </c>
      <c r="AL10610" t="s">
        <v>13956</v>
      </c>
      <c r="AM10610" t="s">
        <v>88</v>
      </c>
      <c r="AN10610" t="s">
        <v>88</v>
      </c>
      <c r="AO10610" t="s">
        <v>88</v>
      </c>
      <c r="AP10610" t="s">
        <v>88</v>
      </c>
      <c r="AQ10610">
        <v>1</v>
      </c>
      <c r="AR10610" t="s">
        <v>89</v>
      </c>
      <c r="AS10610" t="s">
        <v>90</v>
      </c>
      <c r="AT10610" t="s">
        <v>58</v>
      </c>
      <c r="AU10610" t="s">
        <v>68</v>
      </c>
      <c r="AV10610" t="s">
        <v>69</v>
      </c>
      <c r="AW10610" s="1">
        <v>28269</v>
      </c>
      <c r="AX10610">
        <v>1</v>
      </c>
    </row>
    <row r="10611" spans="1:50">
      <c r="A10611">
        <v>612035</v>
      </c>
      <c r="B10611" t="str">
        <f>"052924962"</f>
        <v>052924962</v>
      </c>
      <c r="C10611" t="s">
        <v>50</v>
      </c>
      <c r="D10611" t="s">
        <v>15489</v>
      </c>
      <c r="E10611" t="s">
        <v>52</v>
      </c>
      <c r="F10611" t="s">
        <v>95</v>
      </c>
      <c r="G10611" t="s">
        <v>378</v>
      </c>
      <c r="H10611" t="str">
        <f>"ΦΙΛΙΠΠΟΥ 5 ΧΑΝΙΑ"</f>
        <v>ΦΙΛΙΠΠΟΥ 5 ΧΑΝΙΑ</v>
      </c>
      <c r="I10611">
        <v>73100</v>
      </c>
      <c r="J10611">
        <v>2105736536</v>
      </c>
      <c r="K10611">
        <v>6974304986</v>
      </c>
      <c r="M10611" t="s">
        <v>15490</v>
      </c>
      <c r="N10611" t="s">
        <v>306</v>
      </c>
      <c r="O10611" t="s">
        <v>307</v>
      </c>
      <c r="R10611" t="s">
        <v>57</v>
      </c>
      <c r="S10611">
        <v>7</v>
      </c>
      <c r="T10611">
        <v>234</v>
      </c>
      <c r="U10611" s="1">
        <v>38960</v>
      </c>
      <c r="V10611" t="s">
        <v>89</v>
      </c>
      <c r="W10611" t="s">
        <v>90</v>
      </c>
      <c r="X10611" t="s">
        <v>58</v>
      </c>
      <c r="Y10611">
        <v>23</v>
      </c>
      <c r="Z10611" t="s">
        <v>59</v>
      </c>
      <c r="AA10611" t="s">
        <v>59</v>
      </c>
      <c r="AB10611" t="s">
        <v>59</v>
      </c>
      <c r="AC10611" t="s">
        <v>59</v>
      </c>
      <c r="AD10611" t="s">
        <v>59</v>
      </c>
      <c r="AF10611" s="1">
        <v>38961</v>
      </c>
      <c r="AG10611" t="s">
        <v>8645</v>
      </c>
      <c r="AH10611" t="s">
        <v>8646</v>
      </c>
      <c r="AI10611" t="str">
        <f>"9500094"</f>
        <v>9500094</v>
      </c>
      <c r="AJ10611" t="s">
        <v>13883</v>
      </c>
      <c r="AK10611">
        <v>2821039330</v>
      </c>
      <c r="AL10611" t="s">
        <v>13884</v>
      </c>
      <c r="AM10611" t="s">
        <v>88</v>
      </c>
      <c r="AN10611" t="s">
        <v>88</v>
      </c>
      <c r="AO10611" t="s">
        <v>6770</v>
      </c>
      <c r="AP10611" t="s">
        <v>6771</v>
      </c>
      <c r="AQ10611">
        <v>2</v>
      </c>
      <c r="AR10611" t="s">
        <v>89</v>
      </c>
      <c r="AS10611" t="s">
        <v>90</v>
      </c>
      <c r="AT10611" t="s">
        <v>58</v>
      </c>
      <c r="AU10611" t="s">
        <v>68</v>
      </c>
      <c r="AV10611" t="s">
        <v>69</v>
      </c>
      <c r="AW10611" s="1">
        <v>25001</v>
      </c>
      <c r="AX10611">
        <v>1</v>
      </c>
    </row>
    <row r="10612" spans="1:50">
      <c r="A10612">
        <v>703608</v>
      </c>
      <c r="B10612" t="str">
        <f>"135225370"</f>
        <v>135225370</v>
      </c>
      <c r="C10612" t="s">
        <v>50</v>
      </c>
      <c r="D10612" t="s">
        <v>15491</v>
      </c>
      <c r="E10612" t="s">
        <v>255</v>
      </c>
      <c r="F10612" t="s">
        <v>760</v>
      </c>
      <c r="G10612" t="s">
        <v>6068</v>
      </c>
      <c r="H10612" t="str">
        <f>"ΜΕΣΟΛΟΓΓΙΟΥ 2 "</f>
        <v xml:space="preserve">ΜΕΣΟΛΟΓΓΙΟΥ 2 </v>
      </c>
      <c r="I10612">
        <v>73100</v>
      </c>
      <c r="J10612">
        <v>2821042978</v>
      </c>
      <c r="K10612">
        <v>6973342479</v>
      </c>
      <c r="N10612" t="s">
        <v>1525</v>
      </c>
      <c r="O10612" t="s">
        <v>1526</v>
      </c>
      <c r="R10612" t="s">
        <v>57</v>
      </c>
      <c r="S10612">
        <v>4</v>
      </c>
      <c r="T10612">
        <v>925</v>
      </c>
      <c r="U10612" s="1">
        <v>41158</v>
      </c>
      <c r="V10612" t="s">
        <v>89</v>
      </c>
      <c r="W10612" t="s">
        <v>90</v>
      </c>
      <c r="X10612" t="s">
        <v>58</v>
      </c>
      <c r="Y10612">
        <v>25</v>
      </c>
      <c r="Z10612" t="s">
        <v>59</v>
      </c>
      <c r="AA10612" t="s">
        <v>59</v>
      </c>
      <c r="AB10612" t="s">
        <v>59</v>
      </c>
      <c r="AC10612" t="s">
        <v>59</v>
      </c>
      <c r="AD10612" t="s">
        <v>59</v>
      </c>
      <c r="AF10612" s="1">
        <v>41158</v>
      </c>
      <c r="AG10612" t="s">
        <v>8651</v>
      </c>
      <c r="AH10612" t="s">
        <v>8652</v>
      </c>
      <c r="AI10612" t="str">
        <f>"9500283"</f>
        <v>9500283</v>
      </c>
      <c r="AJ10612" t="s">
        <v>14575</v>
      </c>
      <c r="AK10612">
        <v>2821072270</v>
      </c>
      <c r="AM10612" t="s">
        <v>88</v>
      </c>
      <c r="AN10612" t="s">
        <v>88</v>
      </c>
      <c r="AO10612" t="s">
        <v>88</v>
      </c>
      <c r="AP10612" t="s">
        <v>88</v>
      </c>
      <c r="AQ10612">
        <v>1</v>
      </c>
      <c r="AR10612" t="s">
        <v>89</v>
      </c>
      <c r="AS10612" t="s">
        <v>90</v>
      </c>
      <c r="AT10612" t="s">
        <v>58</v>
      </c>
      <c r="AU10612" t="s">
        <v>68</v>
      </c>
      <c r="AV10612" t="s">
        <v>69</v>
      </c>
      <c r="AW10612" s="1">
        <v>30080</v>
      </c>
      <c r="AX10612">
        <v>1</v>
      </c>
    </row>
    <row r="10613" spans="1:50">
      <c r="B10613" t="str">
        <f>"100703372"</f>
        <v>100703372</v>
      </c>
      <c r="C10613" t="s">
        <v>50</v>
      </c>
      <c r="D10613" t="s">
        <v>15492</v>
      </c>
      <c r="E10613" t="s">
        <v>460</v>
      </c>
      <c r="F10613" t="s">
        <v>99</v>
      </c>
      <c r="G10613" t="s">
        <v>15493</v>
      </c>
      <c r="H10613" t="str">
        <f>" "</f>
        <v xml:space="preserve"> </v>
      </c>
      <c r="N10613" t="s">
        <v>615</v>
      </c>
      <c r="O10613" t="s">
        <v>616</v>
      </c>
      <c r="R10613" t="s">
        <v>159</v>
      </c>
      <c r="S10613">
        <v>3</v>
      </c>
      <c r="T10613" t="s">
        <v>9034</v>
      </c>
      <c r="U10613" s="1">
        <v>43377</v>
      </c>
      <c r="V10613" t="s">
        <v>89</v>
      </c>
      <c r="W10613" t="s">
        <v>90</v>
      </c>
      <c r="X10613" t="s">
        <v>58</v>
      </c>
      <c r="Y10613">
        <v>24</v>
      </c>
      <c r="Z10613" t="s">
        <v>59</v>
      </c>
      <c r="AA10613" t="s">
        <v>59</v>
      </c>
      <c r="AB10613" t="s">
        <v>59</v>
      </c>
      <c r="AD10613" t="s">
        <v>59</v>
      </c>
      <c r="AF10613" s="1">
        <v>43377</v>
      </c>
      <c r="AG10613" t="s">
        <v>8645</v>
      </c>
      <c r="AH10613" t="s">
        <v>8646</v>
      </c>
      <c r="AI10613" t="str">
        <f>"9500315"</f>
        <v>9500315</v>
      </c>
      <c r="AJ10613" t="s">
        <v>14174</v>
      </c>
      <c r="AK10613">
        <v>2821040565</v>
      </c>
      <c r="AL10613" t="s">
        <v>14175</v>
      </c>
      <c r="AM10613" t="s">
        <v>88</v>
      </c>
      <c r="AN10613" t="s">
        <v>88</v>
      </c>
      <c r="AO10613" t="s">
        <v>88</v>
      </c>
      <c r="AP10613" t="s">
        <v>88</v>
      </c>
      <c r="AQ10613">
        <v>1</v>
      </c>
      <c r="AR10613" t="s">
        <v>89</v>
      </c>
      <c r="AS10613" t="s">
        <v>90</v>
      </c>
      <c r="AT10613" t="s">
        <v>58</v>
      </c>
      <c r="AU10613" t="s">
        <v>8673</v>
      </c>
      <c r="AV10613" t="s">
        <v>132</v>
      </c>
      <c r="AW10613" s="1">
        <v>27834</v>
      </c>
      <c r="AX10613">
        <v>1</v>
      </c>
    </row>
    <row r="10614" spans="1:50">
      <c r="B10614" t="str">
        <f>"152588836"</f>
        <v>152588836</v>
      </c>
      <c r="C10614" t="s">
        <v>50</v>
      </c>
      <c r="D10614" t="s">
        <v>15494</v>
      </c>
      <c r="E10614" t="s">
        <v>181</v>
      </c>
      <c r="F10614" t="s">
        <v>670</v>
      </c>
      <c r="G10614" t="s">
        <v>1383</v>
      </c>
      <c r="H10614" t="str">
        <f>" "</f>
        <v xml:space="preserve"> </v>
      </c>
      <c r="N10614" t="s">
        <v>8694</v>
      </c>
      <c r="O10614" t="s">
        <v>8695</v>
      </c>
      <c r="R10614" t="s">
        <v>121</v>
      </c>
      <c r="S10614">
        <v>3</v>
      </c>
      <c r="T10614" t="s">
        <v>8696</v>
      </c>
      <c r="U10614" s="1">
        <v>43348</v>
      </c>
      <c r="V10614" t="s">
        <v>89</v>
      </c>
      <c r="W10614" t="s">
        <v>90</v>
      </c>
      <c r="X10614" t="s">
        <v>58</v>
      </c>
      <c r="Y10614">
        <v>24</v>
      </c>
      <c r="Z10614" t="s">
        <v>59</v>
      </c>
      <c r="AA10614" t="s">
        <v>59</v>
      </c>
      <c r="AB10614" t="s">
        <v>59</v>
      </c>
      <c r="AD10614" t="s">
        <v>59</v>
      </c>
      <c r="AF10614" s="1">
        <v>43348</v>
      </c>
      <c r="AG10614" t="s">
        <v>8645</v>
      </c>
      <c r="AH10614" t="s">
        <v>8646</v>
      </c>
      <c r="AI10614" t="str">
        <f>"9500175"</f>
        <v>9500175</v>
      </c>
      <c r="AJ10614" t="s">
        <v>14538</v>
      </c>
      <c r="AK10614">
        <v>2823041233</v>
      </c>
      <c r="AL10614" t="s">
        <v>14539</v>
      </c>
      <c r="AM10614" t="s">
        <v>88</v>
      </c>
      <c r="AN10614" t="s">
        <v>6824</v>
      </c>
      <c r="AO10614" t="s">
        <v>6870</v>
      </c>
      <c r="AP10614" t="s">
        <v>6871</v>
      </c>
      <c r="AQ10614">
        <v>11</v>
      </c>
      <c r="AR10614" t="s">
        <v>89</v>
      </c>
      <c r="AS10614" t="s">
        <v>90</v>
      </c>
      <c r="AT10614" t="s">
        <v>58</v>
      </c>
      <c r="AU10614" t="s">
        <v>350</v>
      </c>
      <c r="AV10614" t="s">
        <v>132</v>
      </c>
      <c r="AW10614" s="1">
        <v>33742</v>
      </c>
      <c r="AX10614">
        <v>1</v>
      </c>
    </row>
    <row r="10615" spans="1:50">
      <c r="A10615">
        <v>701040</v>
      </c>
      <c r="B10615" t="str">
        <f>"145381595"</f>
        <v>145381595</v>
      </c>
      <c r="C10615" t="s">
        <v>50</v>
      </c>
      <c r="D10615" t="s">
        <v>15495</v>
      </c>
      <c r="E10615" t="s">
        <v>134</v>
      </c>
      <c r="F10615" t="s">
        <v>153</v>
      </c>
      <c r="G10615" t="s">
        <v>714</v>
      </c>
      <c r="H10615" t="str">
        <f>"ΝΑΠ. ΖΕΡΒΑ 83 Α ΙΩΑΝΝΙΝΑ"</f>
        <v>ΝΑΠ. ΖΕΡΒΑ 83 Α ΙΩΑΝΝΙΝΑ</v>
      </c>
      <c r="I10615">
        <v>45332</v>
      </c>
      <c r="J10615">
        <v>2651065429</v>
      </c>
      <c r="K10615">
        <v>6946791943</v>
      </c>
      <c r="N10615" t="s">
        <v>615</v>
      </c>
      <c r="O10615" t="s">
        <v>616</v>
      </c>
      <c r="R10615" t="s">
        <v>57</v>
      </c>
      <c r="S10615">
        <v>6</v>
      </c>
      <c r="T10615">
        <v>772</v>
      </c>
      <c r="U10615" s="1">
        <v>40413</v>
      </c>
      <c r="V10615" t="s">
        <v>89</v>
      </c>
      <c r="W10615" t="s">
        <v>90</v>
      </c>
      <c r="X10615" t="s">
        <v>58</v>
      </c>
      <c r="Y10615">
        <v>23</v>
      </c>
      <c r="Z10615" t="s">
        <v>59</v>
      </c>
      <c r="AA10615" t="s">
        <v>59</v>
      </c>
      <c r="AB10615" t="s">
        <v>59</v>
      </c>
      <c r="AC10615" t="s">
        <v>59</v>
      </c>
      <c r="AD10615" t="s">
        <v>59</v>
      </c>
      <c r="AF10615" s="1">
        <v>40422</v>
      </c>
      <c r="AG10615" t="s">
        <v>8645</v>
      </c>
      <c r="AH10615" t="s">
        <v>14199</v>
      </c>
      <c r="AI10615" t="str">
        <f>"9500140"</f>
        <v>9500140</v>
      </c>
      <c r="AJ10615" t="s">
        <v>14200</v>
      </c>
      <c r="AK10615">
        <v>2821097348</v>
      </c>
      <c r="AL10615" t="s">
        <v>14201</v>
      </c>
      <c r="AM10615" t="s">
        <v>88</v>
      </c>
      <c r="AN10615" t="s">
        <v>88</v>
      </c>
      <c r="AO10615" t="s">
        <v>88</v>
      </c>
      <c r="AP10615" t="s">
        <v>88</v>
      </c>
      <c r="AQ10615">
        <v>1</v>
      </c>
      <c r="AR10615" t="s">
        <v>89</v>
      </c>
      <c r="AS10615" t="s">
        <v>90</v>
      </c>
      <c r="AT10615" t="s">
        <v>58</v>
      </c>
      <c r="AU10615" t="s">
        <v>68</v>
      </c>
      <c r="AV10615" t="s">
        <v>69</v>
      </c>
      <c r="AW10615" s="1">
        <v>31290</v>
      </c>
      <c r="AX10615">
        <v>1</v>
      </c>
    </row>
    <row r="10616" spans="1:50">
      <c r="A10616">
        <v>621333</v>
      </c>
      <c r="B10616" t="str">
        <f>"133354577"</f>
        <v>133354577</v>
      </c>
      <c r="C10616" t="s">
        <v>50</v>
      </c>
      <c r="D10616" t="s">
        <v>8442</v>
      </c>
      <c r="E10616" t="s">
        <v>341</v>
      </c>
      <c r="F10616" t="s">
        <v>15496</v>
      </c>
      <c r="G10616" t="s">
        <v>4695</v>
      </c>
      <c r="H10616" t="str">
        <f>"ΚΥΠΡΙΩΝ ΑΓΩΝΙΣΤΩΝ 82 ΡΑΦΗΝΑ ΑΤΤΙΚΗΣ"</f>
        <v>ΚΥΠΡΙΩΝ ΑΓΩΝΙΣΤΩΝ 82 ΡΑΦΗΝΑ ΑΤΤΙΚΗΣ</v>
      </c>
      <c r="I10616">
        <v>19009</v>
      </c>
      <c r="J10616">
        <v>2294078326</v>
      </c>
      <c r="K10616">
        <v>6972727737</v>
      </c>
      <c r="N10616" t="s">
        <v>615</v>
      </c>
      <c r="O10616" t="s">
        <v>616</v>
      </c>
      <c r="R10616" t="s">
        <v>57</v>
      </c>
      <c r="S10616">
        <v>6</v>
      </c>
      <c r="T10616">
        <v>653</v>
      </c>
      <c r="U10616" s="1">
        <v>40043</v>
      </c>
      <c r="V10616" t="s">
        <v>89</v>
      </c>
      <c r="W10616" t="s">
        <v>90</v>
      </c>
      <c r="X10616" t="s">
        <v>58</v>
      </c>
      <c r="Y10616">
        <v>24</v>
      </c>
      <c r="Z10616" t="s">
        <v>59</v>
      </c>
      <c r="AA10616" t="s">
        <v>59</v>
      </c>
      <c r="AB10616" t="s">
        <v>59</v>
      </c>
      <c r="AC10616" t="s">
        <v>59</v>
      </c>
      <c r="AD10616" t="s">
        <v>59</v>
      </c>
      <c r="AF10616" s="1">
        <v>40043</v>
      </c>
      <c r="AG10616" t="s">
        <v>8645</v>
      </c>
      <c r="AH10616" t="s">
        <v>14199</v>
      </c>
      <c r="AI10616" t="str">
        <f>"9500140"</f>
        <v>9500140</v>
      </c>
      <c r="AJ10616" t="s">
        <v>14200</v>
      </c>
      <c r="AK10616">
        <v>2821097348</v>
      </c>
      <c r="AL10616" t="s">
        <v>14201</v>
      </c>
      <c r="AM10616" t="s">
        <v>88</v>
      </c>
      <c r="AN10616" t="s">
        <v>88</v>
      </c>
      <c r="AO10616" t="s">
        <v>88</v>
      </c>
      <c r="AP10616" t="s">
        <v>88</v>
      </c>
      <c r="AQ10616">
        <v>1</v>
      </c>
      <c r="AR10616" t="s">
        <v>89</v>
      </c>
      <c r="AS10616" t="s">
        <v>90</v>
      </c>
      <c r="AT10616" t="s">
        <v>58</v>
      </c>
      <c r="AU10616" t="s">
        <v>68</v>
      </c>
      <c r="AV10616" t="s">
        <v>69</v>
      </c>
      <c r="AW10616" s="1">
        <v>31022</v>
      </c>
      <c r="AX10616">
        <v>1</v>
      </c>
    </row>
    <row r="10617" spans="1:50">
      <c r="A10617">
        <v>610741</v>
      </c>
      <c r="B10617" t="str">
        <f>"100820343"</f>
        <v>100820343</v>
      </c>
      <c r="C10617" t="s">
        <v>50</v>
      </c>
      <c r="D10617" t="s">
        <v>15497</v>
      </c>
      <c r="E10617" t="s">
        <v>1074</v>
      </c>
      <c r="F10617" t="s">
        <v>95</v>
      </c>
      <c r="G10617" t="s">
        <v>650</v>
      </c>
      <c r="H10617" t="str">
        <f>"ΑΓ.ΜΑΡΙΝΑΣ 63 ΧΑΝΙΑ"</f>
        <v>ΑΓ.ΜΑΡΙΝΑΣ 63 ΧΑΝΙΑ</v>
      </c>
      <c r="I10617">
        <v>73300</v>
      </c>
      <c r="J10617">
        <v>2331025648</v>
      </c>
      <c r="K10617">
        <v>6944593234</v>
      </c>
      <c r="N10617" t="s">
        <v>615</v>
      </c>
      <c r="O10617" t="s">
        <v>616</v>
      </c>
      <c r="R10617" t="s">
        <v>57</v>
      </c>
      <c r="S10617">
        <v>6</v>
      </c>
      <c r="T10617">
        <v>233</v>
      </c>
      <c r="U10617" s="1">
        <v>38960</v>
      </c>
      <c r="V10617" t="s">
        <v>89</v>
      </c>
      <c r="W10617" t="s">
        <v>90</v>
      </c>
      <c r="X10617" t="s">
        <v>58</v>
      </c>
      <c r="Y10617">
        <v>23</v>
      </c>
      <c r="Z10617" t="s">
        <v>59</v>
      </c>
      <c r="AA10617" t="s">
        <v>59</v>
      </c>
      <c r="AB10617" t="s">
        <v>59</v>
      </c>
      <c r="AC10617" t="s">
        <v>59</v>
      </c>
      <c r="AD10617" t="s">
        <v>59</v>
      </c>
      <c r="AF10617" s="1">
        <v>38961</v>
      </c>
      <c r="AG10617" t="s">
        <v>8645</v>
      </c>
      <c r="AH10617" t="s">
        <v>8646</v>
      </c>
      <c r="AI10617" t="str">
        <f>"9500009"</f>
        <v>9500009</v>
      </c>
      <c r="AJ10617" t="s">
        <v>13927</v>
      </c>
      <c r="AK10617">
        <v>2825061346</v>
      </c>
      <c r="AL10617" t="s">
        <v>13928</v>
      </c>
      <c r="AM10617" t="s">
        <v>88</v>
      </c>
      <c r="AN10617" t="s">
        <v>6775</v>
      </c>
      <c r="AO10617" t="s">
        <v>13929</v>
      </c>
      <c r="AP10617" t="s">
        <v>13929</v>
      </c>
      <c r="AQ10617">
        <v>8</v>
      </c>
      <c r="AR10617" t="s">
        <v>89</v>
      </c>
      <c r="AS10617" t="s">
        <v>90</v>
      </c>
      <c r="AT10617" t="s">
        <v>58</v>
      </c>
      <c r="AU10617" t="s">
        <v>68</v>
      </c>
      <c r="AV10617" t="s">
        <v>69</v>
      </c>
      <c r="AW10617" s="1">
        <v>29766</v>
      </c>
      <c r="AX10617">
        <v>1</v>
      </c>
    </row>
    <row r="10618" spans="1:50">
      <c r="B10618" t="str">
        <f>"148750116"</f>
        <v>148750116</v>
      </c>
      <c r="C10618" t="s">
        <v>50</v>
      </c>
      <c r="D10618" t="s">
        <v>15498</v>
      </c>
      <c r="E10618" t="s">
        <v>860</v>
      </c>
      <c r="F10618" t="s">
        <v>383</v>
      </c>
      <c r="G10618" t="s">
        <v>238</v>
      </c>
      <c r="H10618" t="str">
        <f>"ΛΑΡΙΣΑΣ "</f>
        <v xml:space="preserve">ΛΑΡΙΣΑΣ </v>
      </c>
      <c r="I10618">
        <v>40007</v>
      </c>
      <c r="J10618">
        <v>2495095532</v>
      </c>
      <c r="K10618">
        <v>6978667601</v>
      </c>
      <c r="N10618" t="s">
        <v>1525</v>
      </c>
      <c r="O10618" t="s">
        <v>1526</v>
      </c>
      <c r="R10618" t="s">
        <v>159</v>
      </c>
      <c r="S10618">
        <v>3</v>
      </c>
      <c r="T10618" t="s">
        <v>8670</v>
      </c>
      <c r="U10618" s="1">
        <v>43348</v>
      </c>
      <c r="V10618" t="s">
        <v>89</v>
      </c>
      <c r="W10618" t="s">
        <v>90</v>
      </c>
      <c r="X10618" t="s">
        <v>58</v>
      </c>
      <c r="Y10618">
        <v>25</v>
      </c>
      <c r="Z10618" t="s">
        <v>59</v>
      </c>
      <c r="AA10618" t="s">
        <v>59</v>
      </c>
      <c r="AB10618" t="s">
        <v>59</v>
      </c>
      <c r="AC10618" t="s">
        <v>59</v>
      </c>
      <c r="AD10618" t="s">
        <v>59</v>
      </c>
      <c r="AF10618" s="1">
        <v>43348</v>
      </c>
      <c r="AG10618" t="s">
        <v>8651</v>
      </c>
      <c r="AH10618" t="s">
        <v>8652</v>
      </c>
      <c r="AI10618" t="str">
        <f>"9500289"</f>
        <v>9500289</v>
      </c>
      <c r="AJ10618" t="s">
        <v>14552</v>
      </c>
      <c r="AK10618">
        <v>2825096381</v>
      </c>
      <c r="AL10618" t="s">
        <v>14553</v>
      </c>
      <c r="AM10618" t="s">
        <v>88</v>
      </c>
      <c r="AN10618" t="s">
        <v>6775</v>
      </c>
      <c r="AO10618" t="s">
        <v>13929</v>
      </c>
      <c r="AP10618" t="s">
        <v>14056</v>
      </c>
      <c r="AQ10618">
        <v>8</v>
      </c>
      <c r="AR10618" t="s">
        <v>89</v>
      </c>
      <c r="AS10618" t="s">
        <v>90</v>
      </c>
      <c r="AT10618" t="s">
        <v>58</v>
      </c>
      <c r="AU10618" t="s">
        <v>8673</v>
      </c>
      <c r="AV10618" t="s">
        <v>132</v>
      </c>
      <c r="AW10618" s="1">
        <v>31527</v>
      </c>
      <c r="AX10618">
        <v>1</v>
      </c>
    </row>
    <row r="10619" spans="1:50">
      <c r="B10619" t="str">
        <f>"148455625"</f>
        <v>148455625</v>
      </c>
      <c r="C10619" t="s">
        <v>50</v>
      </c>
      <c r="D10619" t="s">
        <v>15499</v>
      </c>
      <c r="E10619" t="s">
        <v>255</v>
      </c>
      <c r="F10619" t="s">
        <v>108</v>
      </c>
      <c r="G10619" t="s">
        <v>714</v>
      </c>
      <c r="H10619" t="str">
        <f>"28ΗΣ ΟΚΤΩΒΡΙΟΥ 31 "</f>
        <v xml:space="preserve">28ΗΣ ΟΚΤΩΒΡΙΟΥ 31 </v>
      </c>
      <c r="I10619">
        <v>54642</v>
      </c>
      <c r="J10619">
        <v>2310836094</v>
      </c>
      <c r="K10619">
        <v>6975617002</v>
      </c>
      <c r="N10619" t="s">
        <v>8694</v>
      </c>
      <c r="O10619" t="s">
        <v>8695</v>
      </c>
      <c r="R10619" t="s">
        <v>159</v>
      </c>
      <c r="S10619">
        <v>2</v>
      </c>
      <c r="T10619" t="s">
        <v>8696</v>
      </c>
      <c r="U10619" s="1">
        <v>43348</v>
      </c>
      <c r="V10619" t="s">
        <v>89</v>
      </c>
      <c r="W10619" t="s">
        <v>90</v>
      </c>
      <c r="X10619" t="s">
        <v>58</v>
      </c>
      <c r="Y10619">
        <v>24</v>
      </c>
      <c r="Z10619" t="s">
        <v>59</v>
      </c>
      <c r="AA10619" t="s">
        <v>59</v>
      </c>
      <c r="AB10619" t="s">
        <v>59</v>
      </c>
      <c r="AC10619" t="s">
        <v>59</v>
      </c>
      <c r="AD10619" t="s">
        <v>59</v>
      </c>
      <c r="AF10619" s="1">
        <v>43348</v>
      </c>
      <c r="AG10619" t="s">
        <v>8645</v>
      </c>
      <c r="AH10619" t="s">
        <v>8646</v>
      </c>
      <c r="AI10619" t="str">
        <f>"9500189"</f>
        <v>9500189</v>
      </c>
      <c r="AJ10619" t="s">
        <v>14038</v>
      </c>
      <c r="AK10619">
        <v>2822022119</v>
      </c>
      <c r="AL10619" t="s">
        <v>14039</v>
      </c>
      <c r="AM10619" t="s">
        <v>88</v>
      </c>
      <c r="AN10619" t="s">
        <v>6744</v>
      </c>
      <c r="AO10619" t="s">
        <v>6744</v>
      </c>
      <c r="AP10619" t="s">
        <v>6744</v>
      </c>
      <c r="AQ10619">
        <v>9</v>
      </c>
      <c r="AR10619" t="s">
        <v>89</v>
      </c>
      <c r="AS10619" t="s">
        <v>90</v>
      </c>
      <c r="AT10619" t="s">
        <v>58</v>
      </c>
      <c r="AU10619" t="s">
        <v>350</v>
      </c>
      <c r="AV10619" t="s">
        <v>132</v>
      </c>
      <c r="AW10619" s="1">
        <v>32347</v>
      </c>
      <c r="AX10619">
        <v>1</v>
      </c>
    </row>
    <row r="10620" spans="1:50">
      <c r="A10620">
        <v>600235</v>
      </c>
      <c r="B10620" t="str">
        <f>"055640946"</f>
        <v>055640946</v>
      </c>
      <c r="C10620" t="s">
        <v>105</v>
      </c>
      <c r="D10620" t="s">
        <v>15500</v>
      </c>
      <c r="E10620" t="s">
        <v>154</v>
      </c>
      <c r="F10620" t="s">
        <v>279</v>
      </c>
      <c r="G10620" t="s">
        <v>112</v>
      </c>
      <c r="H10620" t="str">
        <f>" "</f>
        <v xml:space="preserve"> </v>
      </c>
      <c r="J10620">
        <v>2391042061</v>
      </c>
      <c r="K10620">
        <v>6974552817</v>
      </c>
      <c r="N10620" t="s">
        <v>615</v>
      </c>
      <c r="O10620" t="s">
        <v>616</v>
      </c>
      <c r="R10620" t="s">
        <v>57</v>
      </c>
      <c r="S10620">
        <v>11</v>
      </c>
      <c r="T10620">
        <v>195</v>
      </c>
      <c r="U10620" s="1">
        <v>37497</v>
      </c>
      <c r="V10620" t="s">
        <v>89</v>
      </c>
      <c r="W10620" t="s">
        <v>90</v>
      </c>
      <c r="X10620" t="s">
        <v>58</v>
      </c>
      <c r="Y10620">
        <v>25</v>
      </c>
      <c r="Z10620" t="s">
        <v>59</v>
      </c>
      <c r="AA10620" t="s">
        <v>59</v>
      </c>
      <c r="AB10620" t="s">
        <v>59</v>
      </c>
      <c r="AC10620" t="s">
        <v>59</v>
      </c>
      <c r="AD10620" t="s">
        <v>59</v>
      </c>
      <c r="AF10620" s="1">
        <v>37501</v>
      </c>
      <c r="AG10620" t="s">
        <v>8645</v>
      </c>
      <c r="AH10620" t="s">
        <v>8646</v>
      </c>
      <c r="AI10620" t="str">
        <f>"9500045"</f>
        <v>9500045</v>
      </c>
      <c r="AJ10620" t="s">
        <v>13887</v>
      </c>
      <c r="AK10620">
        <v>2821044369</v>
      </c>
      <c r="AL10620" t="s">
        <v>13888</v>
      </c>
      <c r="AM10620" t="s">
        <v>88</v>
      </c>
      <c r="AN10620" t="s">
        <v>88</v>
      </c>
      <c r="AO10620" t="s">
        <v>88</v>
      </c>
      <c r="AP10620" t="s">
        <v>88</v>
      </c>
      <c r="AQ10620">
        <v>1</v>
      </c>
      <c r="AR10620" t="s">
        <v>89</v>
      </c>
      <c r="AS10620" t="s">
        <v>90</v>
      </c>
      <c r="AT10620" t="s">
        <v>58</v>
      </c>
      <c r="AU10620" t="s">
        <v>68</v>
      </c>
      <c r="AV10620" t="s">
        <v>69</v>
      </c>
      <c r="AW10620" s="1">
        <v>25431</v>
      </c>
      <c r="AX10620">
        <v>1</v>
      </c>
    </row>
    <row r="10621" spans="1:50">
      <c r="B10621" t="str">
        <f>"107741188"</f>
        <v>107741188</v>
      </c>
      <c r="C10621" t="s">
        <v>105</v>
      </c>
      <c r="D10621" t="s">
        <v>15501</v>
      </c>
      <c r="E10621" t="s">
        <v>309</v>
      </c>
      <c r="F10621" t="s">
        <v>95</v>
      </c>
      <c r="G10621" t="s">
        <v>114</v>
      </c>
      <c r="H10621" t="str">
        <f>" "</f>
        <v xml:space="preserve"> </v>
      </c>
      <c r="N10621" t="s">
        <v>8694</v>
      </c>
      <c r="O10621" t="s">
        <v>8695</v>
      </c>
      <c r="R10621" t="s">
        <v>159</v>
      </c>
      <c r="S10621">
        <v>1</v>
      </c>
      <c r="T10621" t="s">
        <v>8835</v>
      </c>
      <c r="U10621" s="1">
        <v>43348</v>
      </c>
      <c r="V10621" t="s">
        <v>89</v>
      </c>
      <c r="W10621" t="s">
        <v>90</v>
      </c>
      <c r="X10621" t="s">
        <v>58</v>
      </c>
      <c r="Y10621">
        <v>24</v>
      </c>
      <c r="Z10621" t="s">
        <v>59</v>
      </c>
      <c r="AA10621" t="s">
        <v>59</v>
      </c>
      <c r="AB10621" t="s">
        <v>59</v>
      </c>
      <c r="AD10621" t="s">
        <v>59</v>
      </c>
      <c r="AF10621" s="1">
        <v>43348</v>
      </c>
      <c r="AG10621" t="s">
        <v>8645</v>
      </c>
      <c r="AH10621" t="s">
        <v>8646</v>
      </c>
      <c r="AI10621" t="str">
        <f>"9500360"</f>
        <v>9500360</v>
      </c>
      <c r="AJ10621" t="s">
        <v>14022</v>
      </c>
      <c r="AK10621">
        <v>2821031253</v>
      </c>
      <c r="AL10621" t="s">
        <v>14023</v>
      </c>
      <c r="AM10621" t="s">
        <v>88</v>
      </c>
      <c r="AN10621" t="s">
        <v>88</v>
      </c>
      <c r="AO10621" t="s">
        <v>6785</v>
      </c>
      <c r="AP10621" t="s">
        <v>13932</v>
      </c>
      <c r="AQ10621">
        <v>3</v>
      </c>
      <c r="AR10621" t="s">
        <v>89</v>
      </c>
      <c r="AS10621" t="s">
        <v>90</v>
      </c>
      <c r="AT10621" t="s">
        <v>58</v>
      </c>
      <c r="AU10621" t="s">
        <v>131</v>
      </c>
      <c r="AV10621" t="s">
        <v>132</v>
      </c>
      <c r="AW10621" s="1">
        <v>33771</v>
      </c>
      <c r="AX10621">
        <v>1</v>
      </c>
    </row>
    <row r="10622" spans="1:50">
      <c r="A10622">
        <v>567296</v>
      </c>
      <c r="B10622" t="str">
        <f>"032899969"</f>
        <v>032899969</v>
      </c>
      <c r="C10622" t="s">
        <v>105</v>
      </c>
      <c r="D10622" t="s">
        <v>15501</v>
      </c>
      <c r="E10622" t="s">
        <v>95</v>
      </c>
      <c r="F10622" t="s">
        <v>84</v>
      </c>
      <c r="G10622" t="s">
        <v>93</v>
      </c>
      <c r="H10622" t="str">
        <f>"ΕΜΜ.ΜΟΥΝΤΑΚΗ 34 ΧΑΝΙΑ"</f>
        <v>ΕΜΜ.ΜΟΥΝΤΑΚΗ 34 ΧΑΝΙΑ</v>
      </c>
      <c r="I10622">
        <v>73100</v>
      </c>
      <c r="J10622">
        <v>2821055786</v>
      </c>
      <c r="K10622">
        <v>6974993407</v>
      </c>
      <c r="N10622" t="s">
        <v>615</v>
      </c>
      <c r="O10622" t="s">
        <v>616</v>
      </c>
      <c r="R10622" t="s">
        <v>57</v>
      </c>
      <c r="S10622">
        <v>14</v>
      </c>
      <c r="T10622">
        <v>133</v>
      </c>
      <c r="U10622" s="1">
        <v>33456</v>
      </c>
      <c r="V10622" t="s">
        <v>89</v>
      </c>
      <c r="W10622" t="s">
        <v>90</v>
      </c>
      <c r="X10622" t="s">
        <v>58</v>
      </c>
      <c r="Y10622">
        <v>21</v>
      </c>
      <c r="Z10622" t="s">
        <v>59</v>
      </c>
      <c r="AA10622" t="s">
        <v>59</v>
      </c>
      <c r="AB10622" t="s">
        <v>59</v>
      </c>
      <c r="AC10622" t="s">
        <v>59</v>
      </c>
      <c r="AD10622" t="s">
        <v>59</v>
      </c>
      <c r="AF10622" s="1">
        <v>33456</v>
      </c>
      <c r="AG10622" t="s">
        <v>8645</v>
      </c>
      <c r="AH10622" t="s">
        <v>8646</v>
      </c>
      <c r="AI10622" t="str">
        <f>"9500038"</f>
        <v>9500038</v>
      </c>
      <c r="AJ10622" t="s">
        <v>13899</v>
      </c>
      <c r="AK10622">
        <v>2821042407</v>
      </c>
      <c r="AL10622" t="s">
        <v>13900</v>
      </c>
      <c r="AM10622" t="s">
        <v>88</v>
      </c>
      <c r="AN10622" t="s">
        <v>88</v>
      </c>
      <c r="AO10622" t="s">
        <v>88</v>
      </c>
      <c r="AP10622" t="s">
        <v>88</v>
      </c>
      <c r="AQ10622">
        <v>1</v>
      </c>
      <c r="AR10622" t="s">
        <v>89</v>
      </c>
      <c r="AS10622" t="s">
        <v>90</v>
      </c>
      <c r="AT10622" t="s">
        <v>58</v>
      </c>
      <c r="AU10622" t="s">
        <v>68</v>
      </c>
      <c r="AV10622" t="s">
        <v>69</v>
      </c>
      <c r="AW10622" s="1">
        <v>24022</v>
      </c>
      <c r="AX10622">
        <v>1</v>
      </c>
    </row>
    <row r="10623" spans="1:50">
      <c r="B10623" t="str">
        <f>"101590230"</f>
        <v>101590230</v>
      </c>
      <c r="C10623" t="s">
        <v>50</v>
      </c>
      <c r="D10623" t="s">
        <v>15502</v>
      </c>
      <c r="E10623" t="s">
        <v>237</v>
      </c>
      <c r="F10623" t="s">
        <v>4097</v>
      </c>
      <c r="G10623" t="s">
        <v>513</v>
      </c>
      <c r="H10623" t="str">
        <f>"ΙΩΑΝΝΟΥ ΓΕΩΡΓΑΚΑΚΗ 16 "</f>
        <v xml:space="preserve">ΙΩΑΝΝΟΥ ΓΕΩΡΓΑΚΑΚΗ 16 </v>
      </c>
      <c r="I10623">
        <v>73134</v>
      </c>
      <c r="J10623">
        <v>2821044806</v>
      </c>
      <c r="K10623">
        <v>6936249625</v>
      </c>
      <c r="N10623" t="s">
        <v>1525</v>
      </c>
      <c r="O10623" t="s">
        <v>1526</v>
      </c>
      <c r="R10623" t="s">
        <v>159</v>
      </c>
      <c r="S10623">
        <v>5</v>
      </c>
      <c r="T10623" t="s">
        <v>8670</v>
      </c>
      <c r="U10623" s="1">
        <v>43348</v>
      </c>
      <c r="V10623" t="s">
        <v>89</v>
      </c>
      <c r="W10623" t="s">
        <v>90</v>
      </c>
      <c r="X10623" t="s">
        <v>58</v>
      </c>
      <c r="Y10623">
        <v>25</v>
      </c>
      <c r="Z10623" t="s">
        <v>59</v>
      </c>
      <c r="AA10623" t="s">
        <v>59</v>
      </c>
      <c r="AB10623" t="s">
        <v>59</v>
      </c>
      <c r="AC10623" t="s">
        <v>59</v>
      </c>
      <c r="AD10623" t="s">
        <v>59</v>
      </c>
      <c r="AF10623" s="1">
        <v>43348</v>
      </c>
      <c r="AG10623" t="s">
        <v>8651</v>
      </c>
      <c r="AH10623" t="s">
        <v>8652</v>
      </c>
      <c r="AI10623" t="str">
        <f>"9500192"</f>
        <v>9500192</v>
      </c>
      <c r="AJ10623" t="s">
        <v>14503</v>
      </c>
      <c r="AK10623">
        <v>2822023376</v>
      </c>
      <c r="AL10623" t="s">
        <v>14504</v>
      </c>
      <c r="AM10623" t="s">
        <v>88</v>
      </c>
      <c r="AN10623" t="s">
        <v>6744</v>
      </c>
      <c r="AO10623" t="s">
        <v>6744</v>
      </c>
      <c r="AP10623" t="s">
        <v>6744</v>
      </c>
      <c r="AQ10623">
        <v>9</v>
      </c>
      <c r="AR10623" t="s">
        <v>89</v>
      </c>
      <c r="AS10623" t="s">
        <v>90</v>
      </c>
      <c r="AT10623" t="s">
        <v>58</v>
      </c>
      <c r="AU10623" t="s">
        <v>8673</v>
      </c>
      <c r="AV10623" t="s">
        <v>132</v>
      </c>
      <c r="AW10623" s="1">
        <v>26726</v>
      </c>
      <c r="AX10623">
        <v>1</v>
      </c>
    </row>
    <row r="10624" spans="1:50">
      <c r="A10624">
        <v>594032</v>
      </c>
      <c r="B10624" t="str">
        <f>"118552739"</f>
        <v>118552739</v>
      </c>
      <c r="C10624" t="s">
        <v>50</v>
      </c>
      <c r="D10624" t="s">
        <v>15503</v>
      </c>
      <c r="E10624" t="s">
        <v>2297</v>
      </c>
      <c r="F10624" t="s">
        <v>383</v>
      </c>
      <c r="G10624" t="s">
        <v>7343</v>
      </c>
      <c r="H10624" t="str">
        <f>"ΝΕΡΟΚΟΥΡΟΥ   185   Τ.Θ. 738 ΧΑΝΙΑ"</f>
        <v>ΝΕΡΟΚΟΥΡΟΥ   185   Τ.Θ. 738 ΧΑΝΙΑ</v>
      </c>
      <c r="I10624">
        <v>73100</v>
      </c>
      <c r="K10624">
        <v>6977459414</v>
      </c>
      <c r="M10624" t="s">
        <v>15504</v>
      </c>
      <c r="N10624" t="s">
        <v>615</v>
      </c>
      <c r="O10624" t="s">
        <v>616</v>
      </c>
      <c r="R10624" t="s">
        <v>57</v>
      </c>
      <c r="S10624">
        <v>8</v>
      </c>
      <c r="T10624">
        <v>218</v>
      </c>
      <c r="U10624" s="1">
        <v>37134</v>
      </c>
      <c r="V10624" t="s">
        <v>89</v>
      </c>
      <c r="W10624" t="s">
        <v>90</v>
      </c>
      <c r="X10624" t="s">
        <v>58</v>
      </c>
      <c r="Y10624">
        <v>22</v>
      </c>
      <c r="Z10624" t="s">
        <v>59</v>
      </c>
      <c r="AA10624" t="s">
        <v>59</v>
      </c>
      <c r="AB10624" t="s">
        <v>59</v>
      </c>
      <c r="AC10624" t="s">
        <v>59</v>
      </c>
      <c r="AD10624" t="s">
        <v>59</v>
      </c>
      <c r="AF10624" s="1">
        <v>37134</v>
      </c>
      <c r="AG10624" t="s">
        <v>8645</v>
      </c>
      <c r="AH10624" t="s">
        <v>8646</v>
      </c>
      <c r="AI10624" t="str">
        <f>"9500115"</f>
        <v>9500115</v>
      </c>
      <c r="AJ10624" t="s">
        <v>14180</v>
      </c>
      <c r="AK10624">
        <v>2821081133</v>
      </c>
      <c r="AL10624" t="s">
        <v>14181</v>
      </c>
      <c r="AM10624" t="s">
        <v>88</v>
      </c>
      <c r="AN10624" t="s">
        <v>88</v>
      </c>
      <c r="AO10624" t="s">
        <v>6748</v>
      </c>
      <c r="AP10624" t="s">
        <v>14182</v>
      </c>
      <c r="AQ10624">
        <v>2</v>
      </c>
      <c r="AR10624" t="s">
        <v>89</v>
      </c>
      <c r="AS10624" t="s">
        <v>90</v>
      </c>
      <c r="AT10624" t="s">
        <v>58</v>
      </c>
      <c r="AU10624" t="s">
        <v>68</v>
      </c>
      <c r="AV10624" t="s">
        <v>69</v>
      </c>
      <c r="AW10624" s="1">
        <v>28251</v>
      </c>
      <c r="AX10624">
        <v>1</v>
      </c>
    </row>
    <row r="10625" spans="1:50">
      <c r="A10625">
        <v>586308</v>
      </c>
      <c r="B10625" t="str">
        <f>"052003325"</f>
        <v>052003325</v>
      </c>
      <c r="C10625" t="s">
        <v>50</v>
      </c>
      <c r="D10625" t="s">
        <v>12581</v>
      </c>
      <c r="E10625" t="s">
        <v>250</v>
      </c>
      <c r="F10625" t="s">
        <v>72</v>
      </c>
      <c r="G10625" t="s">
        <v>255</v>
      </c>
      <c r="H10625" t="str">
        <f>"Δ.ΚΟΚΟΤΣΗ 6 ΧΑΝΙΑ"</f>
        <v>Δ.ΚΟΚΟΤΣΗ 6 ΧΑΝΙΑ</v>
      </c>
      <c r="I10625">
        <v>73100</v>
      </c>
      <c r="J10625">
        <v>2821051262</v>
      </c>
      <c r="K10625">
        <v>6972295488</v>
      </c>
      <c r="N10625" t="s">
        <v>615</v>
      </c>
      <c r="O10625" t="s">
        <v>616</v>
      </c>
      <c r="R10625" t="s">
        <v>57</v>
      </c>
      <c r="S10625">
        <v>12</v>
      </c>
      <c r="T10625">
        <v>165</v>
      </c>
      <c r="U10625" s="1">
        <v>36040</v>
      </c>
      <c r="V10625" t="s">
        <v>89</v>
      </c>
      <c r="W10625" t="s">
        <v>90</v>
      </c>
      <c r="X10625" t="s">
        <v>58</v>
      </c>
      <c r="Y10625">
        <v>21</v>
      </c>
      <c r="Z10625" t="s">
        <v>59</v>
      </c>
      <c r="AA10625" t="s">
        <v>59</v>
      </c>
      <c r="AB10625" t="s">
        <v>59</v>
      </c>
      <c r="AC10625" t="s">
        <v>59</v>
      </c>
      <c r="AD10625" t="s">
        <v>59</v>
      </c>
      <c r="AF10625" s="1">
        <v>36040</v>
      </c>
      <c r="AG10625" t="s">
        <v>8645</v>
      </c>
      <c r="AH10625" t="s">
        <v>8646</v>
      </c>
      <c r="AI10625" t="str">
        <f>"9500038"</f>
        <v>9500038</v>
      </c>
      <c r="AJ10625" t="s">
        <v>13899</v>
      </c>
      <c r="AK10625">
        <v>2821042407</v>
      </c>
      <c r="AL10625" t="s">
        <v>13900</v>
      </c>
      <c r="AM10625" t="s">
        <v>88</v>
      </c>
      <c r="AN10625" t="s">
        <v>88</v>
      </c>
      <c r="AO10625" t="s">
        <v>88</v>
      </c>
      <c r="AP10625" t="s">
        <v>88</v>
      </c>
      <c r="AQ10625">
        <v>1</v>
      </c>
      <c r="AR10625" t="s">
        <v>89</v>
      </c>
      <c r="AS10625" t="s">
        <v>90</v>
      </c>
      <c r="AT10625" t="s">
        <v>58</v>
      </c>
      <c r="AU10625" t="s">
        <v>68</v>
      </c>
      <c r="AV10625" t="s">
        <v>69</v>
      </c>
      <c r="AW10625" s="1">
        <v>24989</v>
      </c>
      <c r="AX10625">
        <v>1</v>
      </c>
    </row>
    <row r="10626" spans="1:50">
      <c r="B10626" t="str">
        <f>"140934297"</f>
        <v>140934297</v>
      </c>
      <c r="C10626" t="s">
        <v>50</v>
      </c>
      <c r="D10626" t="s">
        <v>12581</v>
      </c>
      <c r="E10626" t="s">
        <v>181</v>
      </c>
      <c r="F10626" t="s">
        <v>900</v>
      </c>
      <c r="G10626" t="s">
        <v>1189</v>
      </c>
      <c r="H10626" t="str">
        <f>"Κ.ΜΑΝΟΥ 11Α "</f>
        <v xml:space="preserve">Κ.ΜΑΝΟΥ 11Α </v>
      </c>
      <c r="I10626">
        <v>73134</v>
      </c>
      <c r="J10626">
        <v>2821053864</v>
      </c>
      <c r="K10626">
        <v>6945948284</v>
      </c>
      <c r="M10626" t="s">
        <v>15505</v>
      </c>
      <c r="N10626" t="s">
        <v>615</v>
      </c>
      <c r="O10626" t="s">
        <v>616</v>
      </c>
      <c r="R10626" t="s">
        <v>159</v>
      </c>
      <c r="S10626">
        <v>3</v>
      </c>
      <c r="T10626" t="s">
        <v>8675</v>
      </c>
      <c r="U10626" s="1">
        <v>43348</v>
      </c>
      <c r="V10626" t="s">
        <v>89</v>
      </c>
      <c r="W10626" t="s">
        <v>90</v>
      </c>
      <c r="X10626" t="s">
        <v>58</v>
      </c>
      <c r="Y10626">
        <v>24</v>
      </c>
      <c r="Z10626" t="s">
        <v>59</v>
      </c>
      <c r="AA10626" t="s">
        <v>59</v>
      </c>
      <c r="AB10626" t="s">
        <v>59</v>
      </c>
      <c r="AC10626" t="s">
        <v>59</v>
      </c>
      <c r="AD10626" t="s">
        <v>59</v>
      </c>
      <c r="AF10626" s="1">
        <v>43348</v>
      </c>
      <c r="AG10626" t="s">
        <v>8645</v>
      </c>
      <c r="AH10626" t="s">
        <v>8646</v>
      </c>
      <c r="AI10626" t="str">
        <f>"9500009"</f>
        <v>9500009</v>
      </c>
      <c r="AJ10626" t="s">
        <v>13927</v>
      </c>
      <c r="AK10626">
        <v>2825061346</v>
      </c>
      <c r="AL10626" t="s">
        <v>13928</v>
      </c>
      <c r="AM10626" t="s">
        <v>88</v>
      </c>
      <c r="AN10626" t="s">
        <v>6775</v>
      </c>
      <c r="AO10626" t="s">
        <v>13929</v>
      </c>
      <c r="AP10626" t="s">
        <v>13929</v>
      </c>
      <c r="AQ10626">
        <v>8</v>
      </c>
      <c r="AR10626" t="s">
        <v>89</v>
      </c>
      <c r="AS10626" t="s">
        <v>90</v>
      </c>
      <c r="AT10626" t="s">
        <v>58</v>
      </c>
      <c r="AU10626" t="s">
        <v>8673</v>
      </c>
      <c r="AV10626" t="s">
        <v>132</v>
      </c>
      <c r="AW10626" s="1">
        <v>32106</v>
      </c>
      <c r="AX10626">
        <v>1</v>
      </c>
    </row>
    <row r="10627" spans="1:50">
      <c r="B10627" t="str">
        <f>"136433899"</f>
        <v>136433899</v>
      </c>
      <c r="C10627" t="s">
        <v>50</v>
      </c>
      <c r="D10627" t="s">
        <v>13731</v>
      </c>
      <c r="E10627" t="s">
        <v>250</v>
      </c>
      <c r="F10627" t="s">
        <v>2233</v>
      </c>
      <c r="G10627" t="s">
        <v>563</v>
      </c>
      <c r="H10627" t="str">
        <f>"ΚΑΜΠΑΝΙ "</f>
        <v xml:space="preserve">ΚΑΜΠΑΝΙ </v>
      </c>
      <c r="I10627">
        <v>73100</v>
      </c>
      <c r="J10627">
        <v>2821064762</v>
      </c>
      <c r="K10627">
        <v>6972370478</v>
      </c>
      <c r="N10627" t="s">
        <v>337</v>
      </c>
      <c r="O10627" t="s">
        <v>338</v>
      </c>
      <c r="R10627" t="s">
        <v>159</v>
      </c>
      <c r="S10627">
        <v>3</v>
      </c>
      <c r="T10627" t="s">
        <v>8675</v>
      </c>
      <c r="U10627" s="1">
        <v>43348</v>
      </c>
      <c r="V10627" t="s">
        <v>89</v>
      </c>
      <c r="W10627" t="s">
        <v>90</v>
      </c>
      <c r="X10627" t="s">
        <v>58</v>
      </c>
      <c r="Y10627">
        <v>24</v>
      </c>
      <c r="Z10627" t="s">
        <v>59</v>
      </c>
      <c r="AA10627" t="s">
        <v>59</v>
      </c>
      <c r="AB10627" t="s">
        <v>59</v>
      </c>
      <c r="AC10627" t="s">
        <v>59</v>
      </c>
      <c r="AD10627" t="s">
        <v>59</v>
      </c>
      <c r="AF10627" s="1">
        <v>43348</v>
      </c>
      <c r="AG10627" t="s">
        <v>8645</v>
      </c>
      <c r="AH10627" t="s">
        <v>8646</v>
      </c>
      <c r="AI10627" t="str">
        <f>"9520693"</f>
        <v>9520693</v>
      </c>
      <c r="AJ10627" t="s">
        <v>13913</v>
      </c>
      <c r="AK10627">
        <v>2821066910</v>
      </c>
      <c r="AL10627" t="s">
        <v>13914</v>
      </c>
      <c r="AM10627" t="s">
        <v>88</v>
      </c>
      <c r="AN10627" t="s">
        <v>88</v>
      </c>
      <c r="AO10627" t="s">
        <v>6770</v>
      </c>
      <c r="AP10627" t="s">
        <v>6771</v>
      </c>
      <c r="AQ10627">
        <v>2</v>
      </c>
      <c r="AR10627" t="s">
        <v>89</v>
      </c>
      <c r="AS10627" t="s">
        <v>90</v>
      </c>
      <c r="AT10627" t="s">
        <v>58</v>
      </c>
      <c r="AU10627" t="s">
        <v>8673</v>
      </c>
      <c r="AV10627" t="s">
        <v>132</v>
      </c>
      <c r="AW10627" s="1">
        <v>31278</v>
      </c>
      <c r="AX10627">
        <v>1</v>
      </c>
    </row>
    <row r="10628" spans="1:50">
      <c r="B10628" t="str">
        <f>"140924519"</f>
        <v>140924519</v>
      </c>
      <c r="C10628" t="s">
        <v>50</v>
      </c>
      <c r="D10628" t="s">
        <v>13731</v>
      </c>
      <c r="E10628" t="s">
        <v>83</v>
      </c>
      <c r="F10628" t="s">
        <v>95</v>
      </c>
      <c r="G10628" t="s">
        <v>1189</v>
      </c>
      <c r="H10628" t="str">
        <f>"ΖΙΜΠΕΡ  1 "</f>
        <v xml:space="preserve">ΖΙΜΠΕΡ  1 </v>
      </c>
      <c r="I10628">
        <v>73100</v>
      </c>
      <c r="J10628">
        <v>2821056461</v>
      </c>
      <c r="K10628">
        <v>6942256322</v>
      </c>
      <c r="N10628" t="s">
        <v>615</v>
      </c>
      <c r="O10628" t="s">
        <v>616</v>
      </c>
      <c r="R10628" t="s">
        <v>159</v>
      </c>
      <c r="S10628">
        <v>4</v>
      </c>
      <c r="T10628" t="s">
        <v>8675</v>
      </c>
      <c r="U10628" s="1">
        <v>43348</v>
      </c>
      <c r="V10628" t="s">
        <v>89</v>
      </c>
      <c r="W10628" t="s">
        <v>90</v>
      </c>
      <c r="X10628" t="s">
        <v>58</v>
      </c>
      <c r="Y10628">
        <v>24</v>
      </c>
      <c r="Z10628" t="s">
        <v>59</v>
      </c>
      <c r="AA10628" t="s">
        <v>59</v>
      </c>
      <c r="AB10628" t="s">
        <v>59</v>
      </c>
      <c r="AC10628" t="s">
        <v>59</v>
      </c>
      <c r="AD10628" t="s">
        <v>59</v>
      </c>
      <c r="AF10628" s="1">
        <v>43348</v>
      </c>
      <c r="AG10628" t="s">
        <v>8645</v>
      </c>
      <c r="AH10628" t="s">
        <v>8646</v>
      </c>
      <c r="AI10628" t="str">
        <f>"9500006"</f>
        <v>9500006</v>
      </c>
      <c r="AJ10628" t="s">
        <v>14060</v>
      </c>
      <c r="AK10628">
        <v>2825051220</v>
      </c>
      <c r="AL10628" t="s">
        <v>14061</v>
      </c>
      <c r="AM10628" t="s">
        <v>88</v>
      </c>
      <c r="AN10628" t="s">
        <v>6775</v>
      </c>
      <c r="AO10628" t="s">
        <v>6781</v>
      </c>
      <c r="AP10628" t="s">
        <v>6782</v>
      </c>
      <c r="AQ10628">
        <v>8</v>
      </c>
      <c r="AR10628" t="s">
        <v>89</v>
      </c>
      <c r="AS10628" t="s">
        <v>90</v>
      </c>
      <c r="AT10628" t="s">
        <v>58</v>
      </c>
      <c r="AU10628" t="s">
        <v>8673</v>
      </c>
      <c r="AV10628" t="s">
        <v>132</v>
      </c>
      <c r="AW10628" s="1">
        <v>31560</v>
      </c>
      <c r="AX10628">
        <v>1</v>
      </c>
    </row>
    <row r="10629" spans="1:50">
      <c r="A10629">
        <v>701722</v>
      </c>
      <c r="B10629" t="str">
        <f>"144221995"</f>
        <v>144221995</v>
      </c>
      <c r="C10629" t="s">
        <v>50</v>
      </c>
      <c r="D10629" t="s">
        <v>15506</v>
      </c>
      <c r="E10629" t="s">
        <v>181</v>
      </c>
      <c r="F10629" t="s">
        <v>315</v>
      </c>
      <c r="G10629" t="s">
        <v>52</v>
      </c>
      <c r="H10629" t="str">
        <f>"ΠΡΙΝΟΛΟΦΟΣ ΔΡΑΜΑΣ ΔΡΑΜΑ"</f>
        <v>ΠΡΙΝΟΛΟΦΟΣ ΔΡΑΜΑΣ ΔΡΑΜΑ</v>
      </c>
      <c r="I10629">
        <v>66037</v>
      </c>
      <c r="J10629">
        <v>2521097382</v>
      </c>
      <c r="K10629">
        <v>6942882650</v>
      </c>
      <c r="N10629" t="s">
        <v>615</v>
      </c>
      <c r="O10629" t="s">
        <v>616</v>
      </c>
      <c r="R10629" t="s">
        <v>57</v>
      </c>
      <c r="S10629">
        <v>4</v>
      </c>
      <c r="T10629">
        <v>772</v>
      </c>
      <c r="U10629" s="1">
        <v>40413</v>
      </c>
      <c r="V10629" t="s">
        <v>89</v>
      </c>
      <c r="W10629" t="s">
        <v>90</v>
      </c>
      <c r="X10629" t="s">
        <v>58</v>
      </c>
      <c r="Y10629">
        <v>24</v>
      </c>
      <c r="Z10629" t="s">
        <v>59</v>
      </c>
      <c r="AA10629" t="s">
        <v>59</v>
      </c>
      <c r="AB10629" t="s">
        <v>59</v>
      </c>
      <c r="AC10629" t="s">
        <v>59</v>
      </c>
      <c r="AD10629" t="s">
        <v>59</v>
      </c>
      <c r="AF10629" s="1">
        <v>40413</v>
      </c>
      <c r="AG10629" t="s">
        <v>8645</v>
      </c>
      <c r="AH10629" t="s">
        <v>8646</v>
      </c>
      <c r="AI10629" t="str">
        <f>"9500009"</f>
        <v>9500009</v>
      </c>
      <c r="AJ10629" t="s">
        <v>13927</v>
      </c>
      <c r="AK10629">
        <v>2825061346</v>
      </c>
      <c r="AL10629" t="s">
        <v>13928</v>
      </c>
      <c r="AM10629" t="s">
        <v>88</v>
      </c>
      <c r="AN10629" t="s">
        <v>6775</v>
      </c>
      <c r="AO10629" t="s">
        <v>13929</v>
      </c>
      <c r="AP10629" t="s">
        <v>13929</v>
      </c>
      <c r="AQ10629">
        <v>8</v>
      </c>
      <c r="AR10629" t="s">
        <v>89</v>
      </c>
      <c r="AS10629" t="s">
        <v>90</v>
      </c>
      <c r="AT10629" t="s">
        <v>58</v>
      </c>
      <c r="AU10629" t="s">
        <v>68</v>
      </c>
      <c r="AV10629" t="s">
        <v>69</v>
      </c>
      <c r="AW10629" s="1">
        <v>31861</v>
      </c>
      <c r="AX10629">
        <v>1</v>
      </c>
    </row>
    <row r="10630" spans="1:50">
      <c r="B10630" t="str">
        <f>"140837817"</f>
        <v>140837817</v>
      </c>
      <c r="C10630" t="s">
        <v>50</v>
      </c>
      <c r="D10630" t="s">
        <v>15507</v>
      </c>
      <c r="E10630" t="s">
        <v>15508</v>
      </c>
      <c r="F10630" t="s">
        <v>53</v>
      </c>
      <c r="G10630" t="s">
        <v>476</v>
      </c>
      <c r="H10630" t="str">
        <f>" "</f>
        <v xml:space="preserve"> </v>
      </c>
      <c r="N10630" t="s">
        <v>8694</v>
      </c>
      <c r="O10630" t="s">
        <v>8695</v>
      </c>
      <c r="R10630" t="s">
        <v>121</v>
      </c>
      <c r="S10630">
        <v>1</v>
      </c>
      <c r="T10630" t="s">
        <v>8835</v>
      </c>
      <c r="U10630" s="1">
        <v>43348</v>
      </c>
      <c r="V10630" t="s">
        <v>89</v>
      </c>
      <c r="W10630" t="s">
        <v>90</v>
      </c>
      <c r="X10630" t="s">
        <v>58</v>
      </c>
      <c r="Y10630">
        <v>24</v>
      </c>
      <c r="Z10630" t="s">
        <v>59</v>
      </c>
      <c r="AA10630" t="s">
        <v>59</v>
      </c>
      <c r="AB10630" t="s">
        <v>59</v>
      </c>
      <c r="AD10630" t="s">
        <v>59</v>
      </c>
      <c r="AF10630" s="1">
        <v>43348</v>
      </c>
      <c r="AG10630" t="s">
        <v>8645</v>
      </c>
      <c r="AH10630" t="s">
        <v>8646</v>
      </c>
      <c r="AI10630" t="str">
        <f>"9500314"</f>
        <v>9500314</v>
      </c>
      <c r="AJ10630" t="s">
        <v>14116</v>
      </c>
      <c r="AK10630">
        <v>2821097640</v>
      </c>
      <c r="AL10630" t="s">
        <v>14117</v>
      </c>
      <c r="AM10630" t="s">
        <v>88</v>
      </c>
      <c r="AN10630" t="s">
        <v>88</v>
      </c>
      <c r="AO10630" t="s">
        <v>88</v>
      </c>
      <c r="AP10630" t="s">
        <v>88</v>
      </c>
      <c r="AQ10630">
        <v>1</v>
      </c>
      <c r="AR10630" t="s">
        <v>89</v>
      </c>
      <c r="AS10630" t="s">
        <v>90</v>
      </c>
      <c r="AT10630" t="s">
        <v>58</v>
      </c>
      <c r="AU10630" t="s">
        <v>131</v>
      </c>
      <c r="AV10630" t="s">
        <v>132</v>
      </c>
      <c r="AW10630" s="1">
        <v>34420</v>
      </c>
      <c r="AX10630">
        <v>1</v>
      </c>
    </row>
    <row r="10631" spans="1:50">
      <c r="B10631" t="str">
        <f>"145142420"</f>
        <v>145142420</v>
      </c>
      <c r="C10631" t="s">
        <v>50</v>
      </c>
      <c r="D10631" t="s">
        <v>15509</v>
      </c>
      <c r="E10631" t="s">
        <v>3706</v>
      </c>
      <c r="F10631" t="s">
        <v>975</v>
      </c>
      <c r="G10631" t="s">
        <v>3666</v>
      </c>
      <c r="H10631" t="str">
        <f>"ΜΑΝΩΛΗ ΜΑΝΤΑΚΑ 34 "</f>
        <v xml:space="preserve">ΜΑΝΩΛΗ ΜΑΝΤΑΚΑ 34 </v>
      </c>
      <c r="I10631">
        <v>73100</v>
      </c>
      <c r="J10631">
        <v>2821044154</v>
      </c>
      <c r="K10631">
        <v>6978427285</v>
      </c>
      <c r="M10631" t="s">
        <v>15510</v>
      </c>
      <c r="N10631" t="s">
        <v>615</v>
      </c>
      <c r="O10631" t="s">
        <v>616</v>
      </c>
      <c r="R10631" t="s">
        <v>159</v>
      </c>
      <c r="S10631">
        <v>4</v>
      </c>
      <c r="T10631" t="s">
        <v>9034</v>
      </c>
      <c r="U10631" s="1">
        <v>43377</v>
      </c>
      <c r="V10631" t="s">
        <v>89</v>
      </c>
      <c r="W10631" t="s">
        <v>90</v>
      </c>
      <c r="X10631" t="s">
        <v>58</v>
      </c>
      <c r="Y10631">
        <v>24</v>
      </c>
      <c r="Z10631" t="s">
        <v>59</v>
      </c>
      <c r="AA10631" t="s">
        <v>59</v>
      </c>
      <c r="AB10631" t="s">
        <v>59</v>
      </c>
      <c r="AC10631" t="s">
        <v>59</v>
      </c>
      <c r="AD10631" t="s">
        <v>59</v>
      </c>
      <c r="AF10631" s="1">
        <v>43377</v>
      </c>
      <c r="AG10631" t="s">
        <v>8645</v>
      </c>
      <c r="AH10631" t="s">
        <v>8646</v>
      </c>
      <c r="AI10631" t="str">
        <f>"9500113"</f>
        <v>9500113</v>
      </c>
      <c r="AJ10631" t="s">
        <v>13935</v>
      </c>
      <c r="AK10631">
        <v>2821077187</v>
      </c>
      <c r="AL10631" t="s">
        <v>13936</v>
      </c>
      <c r="AM10631" t="s">
        <v>88</v>
      </c>
      <c r="AN10631" t="s">
        <v>6764</v>
      </c>
      <c r="AO10631" t="s">
        <v>6885</v>
      </c>
      <c r="AP10631" t="s">
        <v>13937</v>
      </c>
      <c r="AQ10631">
        <v>4</v>
      </c>
      <c r="AR10631" t="s">
        <v>89</v>
      </c>
      <c r="AS10631" t="s">
        <v>90</v>
      </c>
      <c r="AT10631" t="s">
        <v>58</v>
      </c>
      <c r="AU10631" t="s">
        <v>8673</v>
      </c>
      <c r="AV10631" t="s">
        <v>132</v>
      </c>
      <c r="AW10631" s="1">
        <v>32430</v>
      </c>
      <c r="AX10631">
        <v>1</v>
      </c>
    </row>
    <row r="10632" spans="1:50">
      <c r="A10632">
        <v>600262</v>
      </c>
      <c r="B10632" t="str">
        <f>"075149532"</f>
        <v>075149532</v>
      </c>
      <c r="C10632" t="s">
        <v>105</v>
      </c>
      <c r="D10632" t="s">
        <v>15511</v>
      </c>
      <c r="E10632" t="s">
        <v>920</v>
      </c>
      <c r="F10632" t="s">
        <v>166</v>
      </c>
      <c r="G10632" t="s">
        <v>1408</v>
      </c>
      <c r="H10632" t="str">
        <f>"ΑΓ.ΑΠΟΣΤΟΛΟΙ ΧΑΝΙΑ"</f>
        <v>ΑΓ.ΑΠΟΣΤΟΛΟΙ ΧΑΝΙΑ</v>
      </c>
      <c r="J10632">
        <v>2821056571</v>
      </c>
      <c r="K10632">
        <v>6973497674</v>
      </c>
      <c r="N10632" t="s">
        <v>615</v>
      </c>
      <c r="O10632" t="s">
        <v>616</v>
      </c>
      <c r="R10632" t="s">
        <v>57</v>
      </c>
      <c r="S10632">
        <v>9</v>
      </c>
      <c r="T10632">
        <v>195</v>
      </c>
      <c r="U10632" s="1">
        <v>37497</v>
      </c>
      <c r="V10632" t="s">
        <v>89</v>
      </c>
      <c r="W10632" t="s">
        <v>90</v>
      </c>
      <c r="X10632" t="s">
        <v>58</v>
      </c>
      <c r="Y10632">
        <v>22</v>
      </c>
      <c r="Z10632" t="s">
        <v>59</v>
      </c>
      <c r="AA10632" t="s">
        <v>59</v>
      </c>
      <c r="AB10632" t="s">
        <v>59</v>
      </c>
      <c r="AC10632" t="s">
        <v>59</v>
      </c>
      <c r="AD10632" t="s">
        <v>59</v>
      </c>
      <c r="AF10632" s="1">
        <v>37497</v>
      </c>
      <c r="AG10632" t="s">
        <v>8645</v>
      </c>
      <c r="AH10632" t="s">
        <v>8646</v>
      </c>
      <c r="AI10632" t="str">
        <f>"9500147"</f>
        <v>9500147</v>
      </c>
      <c r="AJ10632" t="s">
        <v>14008</v>
      </c>
      <c r="AK10632">
        <v>2821094573</v>
      </c>
      <c r="AL10632" t="s">
        <v>14009</v>
      </c>
      <c r="AM10632" t="s">
        <v>88</v>
      </c>
      <c r="AN10632" t="s">
        <v>88</v>
      </c>
      <c r="AO10632" t="s">
        <v>88</v>
      </c>
      <c r="AP10632" t="s">
        <v>88</v>
      </c>
      <c r="AQ10632">
        <v>1</v>
      </c>
      <c r="AR10632" t="s">
        <v>89</v>
      </c>
      <c r="AS10632" t="s">
        <v>90</v>
      </c>
      <c r="AT10632" t="s">
        <v>58</v>
      </c>
      <c r="AU10632" t="s">
        <v>68</v>
      </c>
      <c r="AV10632" t="s">
        <v>69</v>
      </c>
      <c r="AW10632" s="1">
        <v>21887</v>
      </c>
      <c r="AX10632">
        <v>1</v>
      </c>
    </row>
    <row r="10633" spans="1:50">
      <c r="A10633">
        <v>613654</v>
      </c>
      <c r="B10633" t="str">
        <f>"118479347"</f>
        <v>118479347</v>
      </c>
      <c r="C10633" t="s">
        <v>50</v>
      </c>
      <c r="D10633" t="s">
        <v>15512</v>
      </c>
      <c r="E10633" t="s">
        <v>9782</v>
      </c>
      <c r="F10633" t="s">
        <v>474</v>
      </c>
      <c r="G10633" t="s">
        <v>14395</v>
      </c>
      <c r="H10633" t="str">
        <f>"ΧΩΡΑ ΣΦΑΚΙΩΝ ΧΑΝΙΑ"</f>
        <v>ΧΩΡΑ ΣΦΑΚΙΩΝ ΧΑΝΙΑ</v>
      </c>
      <c r="I10633">
        <v>73011</v>
      </c>
      <c r="J10633">
        <v>2825091097</v>
      </c>
      <c r="K10633">
        <v>6938882507</v>
      </c>
      <c r="N10633" t="s">
        <v>615</v>
      </c>
      <c r="O10633" t="s">
        <v>616</v>
      </c>
      <c r="R10633" t="s">
        <v>57</v>
      </c>
      <c r="S10633">
        <v>6</v>
      </c>
      <c r="T10633">
        <v>598</v>
      </c>
      <c r="U10633" s="1">
        <v>39328</v>
      </c>
      <c r="V10633" t="s">
        <v>89</v>
      </c>
      <c r="W10633" t="s">
        <v>90</v>
      </c>
      <c r="X10633" t="s">
        <v>58</v>
      </c>
      <c r="Y10633">
        <v>23</v>
      </c>
      <c r="Z10633" t="s">
        <v>59</v>
      </c>
      <c r="AA10633" t="s">
        <v>59</v>
      </c>
      <c r="AB10633" t="s">
        <v>59</v>
      </c>
      <c r="AC10633" t="s">
        <v>59</v>
      </c>
      <c r="AD10633" t="s">
        <v>59</v>
      </c>
      <c r="AF10633" s="1">
        <v>39328</v>
      </c>
      <c r="AG10633" t="s">
        <v>8645</v>
      </c>
      <c r="AH10633" t="s">
        <v>8646</v>
      </c>
      <c r="AI10633" t="str">
        <f>"9500081"</f>
        <v>9500081</v>
      </c>
      <c r="AJ10633" t="s">
        <v>14034</v>
      </c>
      <c r="AK10633">
        <v>2821077150</v>
      </c>
      <c r="AL10633" t="s">
        <v>14035</v>
      </c>
      <c r="AM10633" t="s">
        <v>88</v>
      </c>
      <c r="AN10633" t="s">
        <v>6764</v>
      </c>
      <c r="AO10633" t="s">
        <v>6885</v>
      </c>
      <c r="AP10633" t="s">
        <v>6886</v>
      </c>
      <c r="AQ10633">
        <v>4</v>
      </c>
      <c r="AR10633" t="s">
        <v>89</v>
      </c>
      <c r="AS10633" t="s">
        <v>90</v>
      </c>
      <c r="AT10633" t="s">
        <v>58</v>
      </c>
      <c r="AU10633" t="s">
        <v>68</v>
      </c>
      <c r="AV10633" t="s">
        <v>69</v>
      </c>
      <c r="AW10633" s="1">
        <v>30016</v>
      </c>
      <c r="AX10633">
        <v>1</v>
      </c>
    </row>
    <row r="10634" spans="1:50">
      <c r="A10634">
        <v>596610</v>
      </c>
      <c r="B10634" t="str">
        <f>"073103208"</f>
        <v>073103208</v>
      </c>
      <c r="C10634" t="s">
        <v>50</v>
      </c>
      <c r="D10634" t="s">
        <v>15513</v>
      </c>
      <c r="E10634" t="s">
        <v>1553</v>
      </c>
      <c r="F10634" t="s">
        <v>53</v>
      </c>
      <c r="G10634" t="s">
        <v>52</v>
      </c>
      <c r="H10634" t="str">
        <f>"Σ. ΠΡΩΤΟΠΑΠΑΔΑΚΗ 4 ΧΑΝΙΑ"</f>
        <v>Σ. ΠΡΩΤΟΠΑΠΑΔΑΚΗ 4 ΧΑΝΙΑ</v>
      </c>
      <c r="I10634">
        <v>73100</v>
      </c>
      <c r="J10634">
        <v>2821028796</v>
      </c>
      <c r="K10634">
        <v>6942855796</v>
      </c>
      <c r="N10634" t="s">
        <v>615</v>
      </c>
      <c r="O10634" t="s">
        <v>616</v>
      </c>
      <c r="R10634" t="s">
        <v>57</v>
      </c>
      <c r="S10634">
        <v>10</v>
      </c>
      <c r="T10634">
        <v>195</v>
      </c>
      <c r="U10634" s="1">
        <v>37497</v>
      </c>
      <c r="V10634" t="s">
        <v>89</v>
      </c>
      <c r="W10634" t="s">
        <v>90</v>
      </c>
      <c r="X10634" t="s">
        <v>58</v>
      </c>
      <c r="Y10634">
        <v>22</v>
      </c>
      <c r="Z10634" t="s">
        <v>59</v>
      </c>
      <c r="AA10634" t="s">
        <v>59</v>
      </c>
      <c r="AB10634" t="s">
        <v>59</v>
      </c>
      <c r="AC10634" t="s">
        <v>59</v>
      </c>
      <c r="AD10634" t="s">
        <v>59</v>
      </c>
      <c r="AF10634" s="1">
        <v>37497</v>
      </c>
      <c r="AG10634" t="s">
        <v>8645</v>
      </c>
      <c r="AH10634" t="s">
        <v>8646</v>
      </c>
      <c r="AI10634" t="str">
        <f>"9500358"</f>
        <v>9500358</v>
      </c>
      <c r="AJ10634" t="s">
        <v>13948</v>
      </c>
      <c r="AK10634">
        <v>2821093459</v>
      </c>
      <c r="AL10634" t="s">
        <v>13949</v>
      </c>
      <c r="AM10634" t="s">
        <v>88</v>
      </c>
      <c r="AN10634" t="s">
        <v>88</v>
      </c>
      <c r="AO10634" t="s">
        <v>6733</v>
      </c>
      <c r="AP10634" t="s">
        <v>6755</v>
      </c>
      <c r="AQ10634">
        <v>2</v>
      </c>
      <c r="AR10634" t="s">
        <v>89</v>
      </c>
      <c r="AS10634" t="s">
        <v>90</v>
      </c>
      <c r="AT10634" t="s">
        <v>58</v>
      </c>
      <c r="AU10634" t="s">
        <v>68</v>
      </c>
      <c r="AV10634" t="s">
        <v>2039</v>
      </c>
      <c r="AW10634" s="1">
        <v>25544</v>
      </c>
      <c r="AX10634">
        <v>1</v>
      </c>
    </row>
    <row r="10635" spans="1:50">
      <c r="A10635">
        <v>556176</v>
      </c>
      <c r="B10635" t="str">
        <f>"032900611"</f>
        <v>032900611</v>
      </c>
      <c r="C10635" t="s">
        <v>105</v>
      </c>
      <c r="D10635" t="s">
        <v>15514</v>
      </c>
      <c r="E10635" t="s">
        <v>72</v>
      </c>
      <c r="F10635" t="s">
        <v>95</v>
      </c>
      <c r="G10635" t="s">
        <v>155</v>
      </c>
      <c r="H10635" t="str">
        <f>"ΟΜΑΛΟΥ 2 ΧΑΝΙΑ"</f>
        <v>ΟΜΑΛΟΥ 2 ΧΑΝΙΑ</v>
      </c>
      <c r="I10635">
        <v>73133</v>
      </c>
      <c r="J10635">
        <v>2821027911</v>
      </c>
      <c r="K10635">
        <v>6932798422</v>
      </c>
      <c r="N10635" t="s">
        <v>615</v>
      </c>
      <c r="O10635" t="s">
        <v>616</v>
      </c>
      <c r="R10635" t="s">
        <v>57</v>
      </c>
      <c r="S10635">
        <v>16</v>
      </c>
      <c r="T10635">
        <v>200</v>
      </c>
      <c r="U10635" s="1">
        <v>31657</v>
      </c>
      <c r="V10635" t="s">
        <v>89</v>
      </c>
      <c r="W10635" t="s">
        <v>90</v>
      </c>
      <c r="X10635" t="s">
        <v>58</v>
      </c>
      <c r="Y10635">
        <v>21</v>
      </c>
      <c r="Z10635" t="s">
        <v>59</v>
      </c>
      <c r="AA10635" t="s">
        <v>59</v>
      </c>
      <c r="AB10635" t="s">
        <v>59</v>
      </c>
      <c r="AC10635" t="s">
        <v>59</v>
      </c>
      <c r="AD10635" t="s">
        <v>59</v>
      </c>
      <c r="AF10635" s="1">
        <v>31657</v>
      </c>
      <c r="AG10635" t="s">
        <v>8645</v>
      </c>
      <c r="AH10635" t="s">
        <v>8646</v>
      </c>
      <c r="AI10635" t="str">
        <f>"9500038"</f>
        <v>9500038</v>
      </c>
      <c r="AJ10635" t="s">
        <v>13899</v>
      </c>
      <c r="AK10635">
        <v>2821042407</v>
      </c>
      <c r="AL10635" t="s">
        <v>13900</v>
      </c>
      <c r="AM10635" t="s">
        <v>88</v>
      </c>
      <c r="AN10635" t="s">
        <v>88</v>
      </c>
      <c r="AO10635" t="s">
        <v>88</v>
      </c>
      <c r="AP10635" t="s">
        <v>88</v>
      </c>
      <c r="AQ10635">
        <v>1</v>
      </c>
      <c r="AR10635" t="s">
        <v>89</v>
      </c>
      <c r="AS10635" t="s">
        <v>90</v>
      </c>
      <c r="AT10635" t="s">
        <v>58</v>
      </c>
      <c r="AU10635" t="s">
        <v>68</v>
      </c>
      <c r="AV10635" t="s">
        <v>69</v>
      </c>
      <c r="AW10635" s="1">
        <v>23198</v>
      </c>
      <c r="AX10635">
        <v>1</v>
      </c>
    </row>
    <row r="10636" spans="1:50">
      <c r="A10636">
        <v>585829</v>
      </c>
      <c r="B10636" t="str">
        <f>"072744874"</f>
        <v>072744874</v>
      </c>
      <c r="C10636" t="s">
        <v>50</v>
      </c>
      <c r="D10636" t="s">
        <v>15515</v>
      </c>
      <c r="E10636" t="s">
        <v>52</v>
      </c>
      <c r="F10636" t="s">
        <v>72</v>
      </c>
      <c r="G10636" t="s">
        <v>783</v>
      </c>
      <c r="H10636" t="str">
        <f>"ΣΤ.ΛΕΚΑΝΙΔΗ 42 ΧΑΝΙΑ"</f>
        <v>ΣΤ.ΛΕΚΑΝΙΔΗ 42 ΧΑΝΙΑ</v>
      </c>
      <c r="I10636">
        <v>73100</v>
      </c>
      <c r="J10636">
        <v>2821097588</v>
      </c>
      <c r="K10636">
        <v>6977352624</v>
      </c>
      <c r="N10636" t="s">
        <v>615</v>
      </c>
      <c r="O10636" t="s">
        <v>616</v>
      </c>
      <c r="R10636" t="s">
        <v>57</v>
      </c>
      <c r="S10636">
        <v>11</v>
      </c>
      <c r="T10636">
        <v>165</v>
      </c>
      <c r="U10636" s="1">
        <v>36040</v>
      </c>
      <c r="V10636" t="s">
        <v>89</v>
      </c>
      <c r="W10636" t="s">
        <v>90</v>
      </c>
      <c r="X10636" t="s">
        <v>58</v>
      </c>
      <c r="Y10636">
        <v>21</v>
      </c>
      <c r="Z10636" t="s">
        <v>59</v>
      </c>
      <c r="AA10636" t="s">
        <v>59</v>
      </c>
      <c r="AB10636" t="s">
        <v>59</v>
      </c>
      <c r="AC10636" t="s">
        <v>59</v>
      </c>
      <c r="AD10636" t="s">
        <v>59</v>
      </c>
      <c r="AF10636" s="1">
        <v>36040</v>
      </c>
      <c r="AG10636" t="s">
        <v>8645</v>
      </c>
      <c r="AH10636" t="s">
        <v>8646</v>
      </c>
      <c r="AI10636" t="str">
        <f>"9500139"</f>
        <v>9500139</v>
      </c>
      <c r="AJ10636" t="s">
        <v>14050</v>
      </c>
      <c r="AK10636">
        <v>2821096819</v>
      </c>
      <c r="AL10636" t="s">
        <v>14051</v>
      </c>
      <c r="AM10636" t="s">
        <v>88</v>
      </c>
      <c r="AN10636" t="s">
        <v>88</v>
      </c>
      <c r="AO10636" t="s">
        <v>88</v>
      </c>
      <c r="AP10636" t="s">
        <v>88</v>
      </c>
      <c r="AQ10636">
        <v>1</v>
      </c>
      <c r="AR10636" t="s">
        <v>89</v>
      </c>
      <c r="AS10636" t="s">
        <v>90</v>
      </c>
      <c r="AT10636" t="s">
        <v>58</v>
      </c>
      <c r="AU10636" t="s">
        <v>68</v>
      </c>
      <c r="AV10636" t="s">
        <v>69</v>
      </c>
      <c r="AW10636" s="1">
        <v>24879</v>
      </c>
      <c r="AX10636">
        <v>1</v>
      </c>
    </row>
    <row r="10637" spans="1:50">
      <c r="A10637">
        <v>578776</v>
      </c>
      <c r="B10637" t="str">
        <f>"044317941"</f>
        <v>044317941</v>
      </c>
      <c r="C10637" t="s">
        <v>50</v>
      </c>
      <c r="D10637" t="s">
        <v>15516</v>
      </c>
      <c r="E10637" t="s">
        <v>109</v>
      </c>
      <c r="F10637" t="s">
        <v>53</v>
      </c>
      <c r="G10637" t="s">
        <v>658</v>
      </c>
      <c r="H10637" t="str">
        <f>"ΧΩΡΑΦΑΚΙΑ ΧΩΡΑΦΑΚΙΩΝ"</f>
        <v>ΧΩΡΑΦΑΚΙΑ ΧΩΡΑΦΑΚΙΩΝ</v>
      </c>
      <c r="J10637">
        <v>2821039231</v>
      </c>
      <c r="K10637">
        <v>6946213399</v>
      </c>
      <c r="M10637" t="s">
        <v>15517</v>
      </c>
      <c r="N10637" t="s">
        <v>615</v>
      </c>
      <c r="O10637" t="s">
        <v>616</v>
      </c>
      <c r="R10637" t="s">
        <v>57</v>
      </c>
      <c r="S10637">
        <v>13</v>
      </c>
      <c r="T10637">
        <v>165</v>
      </c>
      <c r="U10637" s="1">
        <v>35300</v>
      </c>
      <c r="V10637" t="s">
        <v>89</v>
      </c>
      <c r="W10637" t="s">
        <v>90</v>
      </c>
      <c r="X10637" t="s">
        <v>58</v>
      </c>
      <c r="Y10637">
        <v>21</v>
      </c>
      <c r="Z10637" t="s">
        <v>59</v>
      </c>
      <c r="AA10637" t="s">
        <v>59</v>
      </c>
      <c r="AB10637" t="s">
        <v>59</v>
      </c>
      <c r="AC10637" t="s">
        <v>59</v>
      </c>
      <c r="AD10637" t="s">
        <v>59</v>
      </c>
      <c r="AF10637" s="1">
        <v>35300</v>
      </c>
      <c r="AG10637" t="s">
        <v>8645</v>
      </c>
      <c r="AH10637" t="s">
        <v>8646</v>
      </c>
      <c r="AI10637" t="str">
        <f>"9500094"</f>
        <v>9500094</v>
      </c>
      <c r="AJ10637" t="s">
        <v>13883</v>
      </c>
      <c r="AK10637">
        <v>2821039330</v>
      </c>
      <c r="AL10637" t="s">
        <v>13884</v>
      </c>
      <c r="AM10637" t="s">
        <v>88</v>
      </c>
      <c r="AN10637" t="s">
        <v>88</v>
      </c>
      <c r="AO10637" t="s">
        <v>6770</v>
      </c>
      <c r="AP10637" t="s">
        <v>6771</v>
      </c>
      <c r="AQ10637">
        <v>2</v>
      </c>
      <c r="AR10637" t="s">
        <v>89</v>
      </c>
      <c r="AS10637" t="s">
        <v>90</v>
      </c>
      <c r="AT10637" t="s">
        <v>58</v>
      </c>
      <c r="AU10637" t="s">
        <v>68</v>
      </c>
      <c r="AV10637" t="s">
        <v>69</v>
      </c>
      <c r="AW10637" s="1">
        <v>24882</v>
      </c>
      <c r="AX10637">
        <v>1</v>
      </c>
    </row>
    <row r="10638" spans="1:50">
      <c r="A10638">
        <v>612424</v>
      </c>
      <c r="B10638" t="str">
        <f>"102066755"</f>
        <v>102066755</v>
      </c>
      <c r="C10638" t="s">
        <v>50</v>
      </c>
      <c r="D10638" t="s">
        <v>15518</v>
      </c>
      <c r="E10638" t="s">
        <v>600</v>
      </c>
      <c r="F10638" t="s">
        <v>84</v>
      </c>
      <c r="G10638" t="s">
        <v>340</v>
      </c>
      <c r="H10638" t="str">
        <f>" "</f>
        <v xml:space="preserve"> </v>
      </c>
      <c r="J10638">
        <v>2351036371</v>
      </c>
      <c r="K10638">
        <v>6947562399</v>
      </c>
      <c r="N10638" t="s">
        <v>176</v>
      </c>
      <c r="O10638" t="s">
        <v>177</v>
      </c>
      <c r="R10638" t="s">
        <v>57</v>
      </c>
      <c r="S10638">
        <v>7</v>
      </c>
      <c r="T10638">
        <v>234</v>
      </c>
      <c r="U10638" s="1">
        <v>38960</v>
      </c>
      <c r="V10638" t="s">
        <v>89</v>
      </c>
      <c r="W10638" t="s">
        <v>90</v>
      </c>
      <c r="X10638" t="s">
        <v>58</v>
      </c>
      <c r="Y10638">
        <v>23</v>
      </c>
      <c r="Z10638" t="s">
        <v>59</v>
      </c>
      <c r="AA10638" t="s">
        <v>59</v>
      </c>
      <c r="AB10638" t="s">
        <v>59</v>
      </c>
      <c r="AC10638" t="s">
        <v>59</v>
      </c>
      <c r="AD10638" t="s">
        <v>59</v>
      </c>
      <c r="AF10638" s="1">
        <v>38961</v>
      </c>
      <c r="AG10638" t="s">
        <v>8645</v>
      </c>
      <c r="AH10638" t="s">
        <v>8646</v>
      </c>
      <c r="AI10638" t="str">
        <f>"9500173"</f>
        <v>9500173</v>
      </c>
      <c r="AJ10638" t="s">
        <v>14513</v>
      </c>
      <c r="AK10638">
        <v>2823022235</v>
      </c>
      <c r="AL10638" t="s">
        <v>14514</v>
      </c>
      <c r="AM10638" t="s">
        <v>88</v>
      </c>
      <c r="AN10638" t="s">
        <v>6824</v>
      </c>
      <c r="AO10638" t="s">
        <v>6825</v>
      </c>
      <c r="AP10638" t="s">
        <v>6826</v>
      </c>
      <c r="AQ10638">
        <v>11</v>
      </c>
      <c r="AR10638" t="s">
        <v>89</v>
      </c>
      <c r="AS10638" t="s">
        <v>90</v>
      </c>
      <c r="AT10638" t="s">
        <v>58</v>
      </c>
      <c r="AU10638" t="s">
        <v>68</v>
      </c>
      <c r="AV10638" t="s">
        <v>69</v>
      </c>
      <c r="AW10638" s="1">
        <v>26739</v>
      </c>
      <c r="AX10638">
        <v>1</v>
      </c>
    </row>
    <row r="10639" spans="1:50">
      <c r="B10639" t="str">
        <f>"061795334"</f>
        <v>061795334</v>
      </c>
      <c r="C10639" t="s">
        <v>50</v>
      </c>
      <c r="D10639" t="s">
        <v>15519</v>
      </c>
      <c r="E10639" t="s">
        <v>964</v>
      </c>
      <c r="F10639" t="s">
        <v>782</v>
      </c>
      <c r="G10639" t="s">
        <v>1001</v>
      </c>
      <c r="H10639" t="str">
        <f>"ΑΝΘΕΩΝ 6-8 ΕΥΟΣΜΟΣ ΘΕΣΣΑΛΟΝΙΚΗ"</f>
        <v>ΑΝΘΕΩΝ 6-8 ΕΥΟΣΜΟΣ ΘΕΣΣΑΛΟΝΙΚΗ</v>
      </c>
      <c r="I10639">
        <v>56224</v>
      </c>
      <c r="J10639">
        <v>2386022857</v>
      </c>
      <c r="K10639">
        <v>6972297141</v>
      </c>
      <c r="N10639" t="s">
        <v>176</v>
      </c>
      <c r="O10639" t="s">
        <v>177</v>
      </c>
      <c r="R10639" t="s">
        <v>121</v>
      </c>
      <c r="S10639">
        <v>1</v>
      </c>
      <c r="T10639" t="s">
        <v>8675</v>
      </c>
      <c r="U10639" s="1">
        <v>43348</v>
      </c>
      <c r="V10639" t="s">
        <v>89</v>
      </c>
      <c r="W10639" t="s">
        <v>90</v>
      </c>
      <c r="X10639" t="s">
        <v>58</v>
      </c>
      <c r="Y10639">
        <v>24</v>
      </c>
      <c r="Z10639" t="s">
        <v>59</v>
      </c>
      <c r="AA10639" t="s">
        <v>59</v>
      </c>
      <c r="AB10639" t="s">
        <v>59</v>
      </c>
      <c r="AC10639" t="s">
        <v>59</v>
      </c>
      <c r="AD10639" t="s">
        <v>59</v>
      </c>
      <c r="AF10639" s="1">
        <v>43348</v>
      </c>
      <c r="AG10639" t="s">
        <v>8645</v>
      </c>
      <c r="AH10639" t="s">
        <v>8646</v>
      </c>
      <c r="AI10639" t="str">
        <f>"9500374"</f>
        <v>9500374</v>
      </c>
      <c r="AJ10639" t="s">
        <v>14529</v>
      </c>
      <c r="AK10639">
        <v>2822023194</v>
      </c>
      <c r="AL10639" t="s">
        <v>14530</v>
      </c>
      <c r="AM10639" t="s">
        <v>88</v>
      </c>
      <c r="AN10639" t="s">
        <v>6744</v>
      </c>
      <c r="AO10639" t="s">
        <v>6744</v>
      </c>
      <c r="AP10639" t="s">
        <v>6744</v>
      </c>
      <c r="AQ10639">
        <v>9</v>
      </c>
      <c r="AR10639" t="s">
        <v>89</v>
      </c>
      <c r="AS10639" t="s">
        <v>90</v>
      </c>
      <c r="AT10639" t="s">
        <v>58</v>
      </c>
      <c r="AU10639" t="s">
        <v>8673</v>
      </c>
      <c r="AV10639" t="s">
        <v>132</v>
      </c>
      <c r="AW10639" s="1">
        <v>26576</v>
      </c>
      <c r="AX10639">
        <v>1</v>
      </c>
    </row>
    <row r="10640" spans="1:50">
      <c r="B10640" t="str">
        <f>"148027090"</f>
        <v>148027090</v>
      </c>
      <c r="C10640" t="s">
        <v>105</v>
      </c>
      <c r="D10640" t="s">
        <v>15520</v>
      </c>
      <c r="E10640" t="s">
        <v>99</v>
      </c>
      <c r="F10640" t="s">
        <v>84</v>
      </c>
      <c r="G10640" t="s">
        <v>112</v>
      </c>
      <c r="H10640" t="str">
        <f>" "</f>
        <v xml:space="preserve"> </v>
      </c>
      <c r="N10640" t="s">
        <v>615</v>
      </c>
      <c r="O10640" t="s">
        <v>616</v>
      </c>
      <c r="R10640" t="s">
        <v>159</v>
      </c>
      <c r="S10640">
        <v>1</v>
      </c>
      <c r="T10640" t="s">
        <v>8675</v>
      </c>
      <c r="U10640" s="1">
        <v>43348</v>
      </c>
      <c r="V10640" t="s">
        <v>89</v>
      </c>
      <c r="W10640" t="s">
        <v>90</v>
      </c>
      <c r="X10640" t="s">
        <v>58</v>
      </c>
      <c r="Y10640">
        <v>25</v>
      </c>
      <c r="Z10640" t="s">
        <v>59</v>
      </c>
      <c r="AA10640" t="s">
        <v>59</v>
      </c>
      <c r="AB10640" t="s">
        <v>59</v>
      </c>
      <c r="AC10640" t="s">
        <v>59</v>
      </c>
      <c r="AD10640" t="s">
        <v>59</v>
      </c>
      <c r="AF10640" s="1">
        <v>43348</v>
      </c>
      <c r="AG10640" t="s">
        <v>8645</v>
      </c>
      <c r="AH10640" t="s">
        <v>8646</v>
      </c>
      <c r="AI10640" t="str">
        <f>"9500041"</f>
        <v>9500041</v>
      </c>
      <c r="AJ10640" t="s">
        <v>13944</v>
      </c>
      <c r="AK10640">
        <v>2821028218</v>
      </c>
      <c r="AL10640" t="s">
        <v>13945</v>
      </c>
      <c r="AM10640" t="s">
        <v>88</v>
      </c>
      <c r="AN10640" t="s">
        <v>88</v>
      </c>
      <c r="AO10640" t="s">
        <v>88</v>
      </c>
      <c r="AP10640" t="s">
        <v>88</v>
      </c>
      <c r="AQ10640">
        <v>1</v>
      </c>
      <c r="AR10640" t="s">
        <v>89</v>
      </c>
      <c r="AS10640" t="s">
        <v>90</v>
      </c>
      <c r="AT10640" t="s">
        <v>58</v>
      </c>
      <c r="AU10640" t="s">
        <v>8673</v>
      </c>
      <c r="AV10640" t="s">
        <v>132</v>
      </c>
      <c r="AW10640" s="1">
        <v>33425</v>
      </c>
      <c r="AX10640">
        <v>1</v>
      </c>
    </row>
    <row r="10641" spans="1:50">
      <c r="A10641">
        <v>573668</v>
      </c>
      <c r="B10641" t="str">
        <f>"032796502"</f>
        <v>032796502</v>
      </c>
      <c r="C10641" t="s">
        <v>105</v>
      </c>
      <c r="D10641" t="s">
        <v>8466</v>
      </c>
      <c r="E10641" t="s">
        <v>564</v>
      </c>
      <c r="F10641" t="s">
        <v>154</v>
      </c>
      <c r="G10641" t="s">
        <v>15521</v>
      </c>
      <c r="H10641" t="str">
        <f>"ΓΑΛΑΤΑΣ Ν.ΚΥΔΩΝΙΑΣ"</f>
        <v>ΓΑΛΑΤΑΣ Ν.ΚΥΔΩΝΙΑΣ</v>
      </c>
      <c r="I10641">
        <v>73100</v>
      </c>
      <c r="J10641">
        <v>2821032670</v>
      </c>
      <c r="K10641">
        <v>6974470036</v>
      </c>
      <c r="N10641" t="s">
        <v>615</v>
      </c>
      <c r="O10641" t="s">
        <v>616</v>
      </c>
      <c r="R10641" t="s">
        <v>57</v>
      </c>
      <c r="S10641">
        <v>14</v>
      </c>
      <c r="T10641">
        <v>160</v>
      </c>
      <c r="U10641" s="1">
        <v>34582</v>
      </c>
      <c r="V10641" t="s">
        <v>89</v>
      </c>
      <c r="W10641" t="s">
        <v>90</v>
      </c>
      <c r="X10641" t="s">
        <v>58</v>
      </c>
      <c r="Y10641">
        <v>21</v>
      </c>
      <c r="Z10641" t="s">
        <v>59</v>
      </c>
      <c r="AA10641" t="s">
        <v>59</v>
      </c>
      <c r="AB10641" t="s">
        <v>59</v>
      </c>
      <c r="AC10641" t="s">
        <v>59</v>
      </c>
      <c r="AD10641" t="s">
        <v>59</v>
      </c>
      <c r="AF10641" s="1">
        <v>34582</v>
      </c>
      <c r="AG10641" t="s">
        <v>8645</v>
      </c>
      <c r="AH10641" t="s">
        <v>8646</v>
      </c>
      <c r="AI10641" t="str">
        <f>"9500084"</f>
        <v>9500084</v>
      </c>
      <c r="AJ10641" t="s">
        <v>13994</v>
      </c>
      <c r="AK10641">
        <v>2821031270</v>
      </c>
      <c r="AL10641" t="s">
        <v>13995</v>
      </c>
      <c r="AM10641" t="s">
        <v>88</v>
      </c>
      <c r="AN10641" t="s">
        <v>88</v>
      </c>
      <c r="AO10641" t="s">
        <v>13920</v>
      </c>
      <c r="AP10641" t="s">
        <v>13996</v>
      </c>
      <c r="AQ10641">
        <v>3</v>
      </c>
      <c r="AR10641" t="s">
        <v>89</v>
      </c>
      <c r="AS10641" t="s">
        <v>90</v>
      </c>
      <c r="AT10641" t="s">
        <v>58</v>
      </c>
      <c r="AU10641" t="s">
        <v>68</v>
      </c>
      <c r="AV10641" t="s">
        <v>2039</v>
      </c>
      <c r="AW10641" s="1">
        <v>24185</v>
      </c>
      <c r="AX10641">
        <v>1</v>
      </c>
    </row>
    <row r="10642" spans="1:50">
      <c r="A10642">
        <v>579701</v>
      </c>
      <c r="B10642" t="str">
        <f>"058656163"</f>
        <v>058656163</v>
      </c>
      <c r="C10642" t="s">
        <v>50</v>
      </c>
      <c r="D10642" t="s">
        <v>15522</v>
      </c>
      <c r="E10642" t="s">
        <v>1355</v>
      </c>
      <c r="F10642" t="s">
        <v>670</v>
      </c>
      <c r="G10642" t="s">
        <v>52</v>
      </c>
      <c r="H10642" t="str">
        <f>"Ι. ΣΦΑΚΙΑΝΑΚΗ 5 ΧΑΝΙΑ"</f>
        <v>Ι. ΣΦΑΚΙΑΝΑΚΗ 5 ΧΑΝΙΑ</v>
      </c>
      <c r="I10642">
        <v>73100</v>
      </c>
      <c r="J10642">
        <v>2821042055</v>
      </c>
      <c r="K10642">
        <v>6932356777</v>
      </c>
      <c r="N10642" t="s">
        <v>615</v>
      </c>
      <c r="O10642" t="s">
        <v>616</v>
      </c>
      <c r="R10642" t="s">
        <v>57</v>
      </c>
      <c r="S10642">
        <v>11</v>
      </c>
      <c r="T10642">
        <v>165</v>
      </c>
      <c r="U10642" s="1">
        <v>35300</v>
      </c>
      <c r="V10642" t="s">
        <v>89</v>
      </c>
      <c r="W10642" t="s">
        <v>90</v>
      </c>
      <c r="X10642" t="s">
        <v>58</v>
      </c>
      <c r="Y10642">
        <v>25</v>
      </c>
      <c r="Z10642" t="s">
        <v>59</v>
      </c>
      <c r="AA10642" t="s">
        <v>59</v>
      </c>
      <c r="AB10642" t="s">
        <v>59</v>
      </c>
      <c r="AC10642" t="s">
        <v>59</v>
      </c>
      <c r="AD10642" t="s">
        <v>59</v>
      </c>
      <c r="AF10642" s="1">
        <v>35300</v>
      </c>
      <c r="AG10642" t="s">
        <v>8645</v>
      </c>
      <c r="AH10642" t="s">
        <v>8697</v>
      </c>
      <c r="AI10642" t="str">
        <f>"9500328"</f>
        <v>9500328</v>
      </c>
      <c r="AJ10642" t="s">
        <v>14283</v>
      </c>
      <c r="AK10642">
        <v>2821097756</v>
      </c>
      <c r="AL10642" t="s">
        <v>14284</v>
      </c>
      <c r="AM10642" t="s">
        <v>88</v>
      </c>
      <c r="AN10642" t="s">
        <v>88</v>
      </c>
      <c r="AO10642" t="s">
        <v>6770</v>
      </c>
      <c r="AP10642" t="s">
        <v>14015</v>
      </c>
      <c r="AQ10642">
        <v>2</v>
      </c>
      <c r="AR10642" t="s">
        <v>89</v>
      </c>
      <c r="AS10642" t="s">
        <v>90</v>
      </c>
      <c r="AT10642" t="s">
        <v>58</v>
      </c>
      <c r="AU10642" t="s">
        <v>68</v>
      </c>
      <c r="AV10642" t="s">
        <v>69</v>
      </c>
      <c r="AW10642" s="1">
        <v>24699</v>
      </c>
      <c r="AX10642">
        <v>1</v>
      </c>
    </row>
    <row r="10643" spans="1:50">
      <c r="A10643">
        <v>595303</v>
      </c>
      <c r="B10643" t="str">
        <f>"077764099"</f>
        <v>077764099</v>
      </c>
      <c r="C10643" t="s">
        <v>50</v>
      </c>
      <c r="D10643" t="s">
        <v>15523</v>
      </c>
      <c r="E10643" t="s">
        <v>610</v>
      </c>
      <c r="F10643" t="s">
        <v>383</v>
      </c>
      <c r="G10643" t="s">
        <v>181</v>
      </c>
      <c r="H10643" t="str">
        <f>"ΚΑΒΡΟΣ ΑΠΟΚΟΡΩΝΑΣ"</f>
        <v>ΚΑΒΡΟΣ ΑΠΟΚΟΡΩΝΑΣ</v>
      </c>
      <c r="I10643">
        <v>73007</v>
      </c>
      <c r="J10643">
        <v>2825061079</v>
      </c>
      <c r="K10643">
        <v>6947150923</v>
      </c>
      <c r="M10643" t="s">
        <v>15524</v>
      </c>
      <c r="N10643" t="s">
        <v>615</v>
      </c>
      <c r="O10643" t="s">
        <v>616</v>
      </c>
      <c r="R10643" t="s">
        <v>57</v>
      </c>
      <c r="S10643">
        <v>8</v>
      </c>
      <c r="T10643">
        <v>218</v>
      </c>
      <c r="U10643" s="1">
        <v>37134</v>
      </c>
      <c r="V10643" t="s">
        <v>89</v>
      </c>
      <c r="W10643" t="s">
        <v>90</v>
      </c>
      <c r="X10643" t="s">
        <v>58</v>
      </c>
      <c r="Y10643">
        <v>22</v>
      </c>
      <c r="Z10643" t="s">
        <v>59</v>
      </c>
      <c r="AA10643" t="s">
        <v>59</v>
      </c>
      <c r="AB10643" t="s">
        <v>59</v>
      </c>
      <c r="AC10643" t="s">
        <v>59</v>
      </c>
      <c r="AD10643" t="s">
        <v>59</v>
      </c>
      <c r="AF10643" s="1">
        <v>37134</v>
      </c>
      <c r="AG10643" t="s">
        <v>8645</v>
      </c>
      <c r="AH10643" t="s">
        <v>8646</v>
      </c>
      <c r="AI10643" t="str">
        <f>"9500009"</f>
        <v>9500009</v>
      </c>
      <c r="AJ10643" t="s">
        <v>13927</v>
      </c>
      <c r="AK10643">
        <v>2825061346</v>
      </c>
      <c r="AL10643" t="s">
        <v>13928</v>
      </c>
      <c r="AM10643" t="s">
        <v>88</v>
      </c>
      <c r="AN10643" t="s">
        <v>6775</v>
      </c>
      <c r="AO10643" t="s">
        <v>13929</v>
      </c>
      <c r="AP10643" t="s">
        <v>13929</v>
      </c>
      <c r="AQ10643">
        <v>8</v>
      </c>
      <c r="AR10643" t="s">
        <v>89</v>
      </c>
      <c r="AS10643" t="s">
        <v>90</v>
      </c>
      <c r="AT10643" t="s">
        <v>58</v>
      </c>
      <c r="AU10643" t="s">
        <v>68</v>
      </c>
      <c r="AV10643" t="s">
        <v>69</v>
      </c>
      <c r="AW10643" s="1">
        <v>25999</v>
      </c>
      <c r="AX10643">
        <v>1</v>
      </c>
    </row>
    <row r="10644" spans="1:50">
      <c r="A10644">
        <v>581245</v>
      </c>
      <c r="B10644" t="str">
        <f>"050409157"</f>
        <v>050409157</v>
      </c>
      <c r="C10644" t="s">
        <v>50</v>
      </c>
      <c r="D10644" t="s">
        <v>15525</v>
      </c>
      <c r="E10644" t="s">
        <v>262</v>
      </c>
      <c r="F10644" t="s">
        <v>166</v>
      </c>
      <c r="G10644" t="s">
        <v>1452</v>
      </c>
      <c r="H10644" t="str">
        <f>"ΒΑΜΒΑΚΟΠΟΥΛΟ ΧΑΝΙΑ"</f>
        <v>ΒΑΜΒΑΚΟΠΟΥΛΟ ΧΑΝΙΑ</v>
      </c>
      <c r="I10644">
        <v>73100</v>
      </c>
      <c r="J10644">
        <v>2821096522</v>
      </c>
      <c r="K10644">
        <v>6970079333</v>
      </c>
      <c r="N10644" t="s">
        <v>615</v>
      </c>
      <c r="O10644" t="s">
        <v>616</v>
      </c>
      <c r="R10644" t="s">
        <v>57</v>
      </c>
      <c r="S10644">
        <v>13</v>
      </c>
      <c r="T10644">
        <v>179</v>
      </c>
      <c r="U10644" s="1">
        <v>35674</v>
      </c>
      <c r="V10644" t="s">
        <v>89</v>
      </c>
      <c r="W10644" t="s">
        <v>90</v>
      </c>
      <c r="X10644" t="s">
        <v>58</v>
      </c>
      <c r="Y10644">
        <v>21</v>
      </c>
      <c r="Z10644" t="s">
        <v>59</v>
      </c>
      <c r="AA10644" t="s">
        <v>59</v>
      </c>
      <c r="AB10644" t="s">
        <v>59</v>
      </c>
      <c r="AC10644" t="s">
        <v>59</v>
      </c>
      <c r="AD10644" t="s">
        <v>59</v>
      </c>
      <c r="AF10644" s="1">
        <v>35674</v>
      </c>
      <c r="AG10644" t="s">
        <v>8645</v>
      </c>
      <c r="AH10644" t="s">
        <v>8646</v>
      </c>
      <c r="AI10644" t="str">
        <f>"9500403"</f>
        <v>9500403</v>
      </c>
      <c r="AJ10644" t="s">
        <v>14230</v>
      </c>
      <c r="AK10644">
        <v>2821034094</v>
      </c>
      <c r="AL10644" t="s">
        <v>14231</v>
      </c>
      <c r="AM10644" t="s">
        <v>88</v>
      </c>
      <c r="AN10644" t="s">
        <v>88</v>
      </c>
      <c r="AO10644" t="s">
        <v>6785</v>
      </c>
      <c r="AP10644" t="s">
        <v>13932</v>
      </c>
      <c r="AQ10644">
        <v>3</v>
      </c>
      <c r="AR10644" t="s">
        <v>89</v>
      </c>
      <c r="AS10644" t="s">
        <v>90</v>
      </c>
      <c r="AT10644" t="s">
        <v>58</v>
      </c>
      <c r="AU10644" t="s">
        <v>68</v>
      </c>
      <c r="AV10644" t="s">
        <v>69</v>
      </c>
      <c r="AW10644" s="1">
        <v>24822</v>
      </c>
      <c r="AX10644">
        <v>1</v>
      </c>
    </row>
    <row r="10645" spans="1:50">
      <c r="A10645">
        <v>703784</v>
      </c>
      <c r="B10645" t="str">
        <f>"130773220"</f>
        <v>130773220</v>
      </c>
      <c r="C10645" t="s">
        <v>50</v>
      </c>
      <c r="D10645" t="s">
        <v>15526</v>
      </c>
      <c r="E10645" t="s">
        <v>52</v>
      </c>
      <c r="F10645" t="s">
        <v>631</v>
      </c>
      <c r="G10645" t="s">
        <v>630</v>
      </c>
      <c r="H10645" t="str">
        <f>"ΡΩΣΟΠΡΟΣΦΥΓΩΝ 50 ΒΕΡΟΙΑ"</f>
        <v>ΡΩΣΟΠΡΟΣΦΥΓΩΝ 50 ΒΕΡΟΙΑ</v>
      </c>
      <c r="I10645">
        <v>58100</v>
      </c>
      <c r="J10645">
        <v>2331067713</v>
      </c>
      <c r="K10645">
        <v>6937379250</v>
      </c>
      <c r="M10645" t="s">
        <v>15527</v>
      </c>
      <c r="N10645" t="s">
        <v>1525</v>
      </c>
      <c r="O10645" t="s">
        <v>1526</v>
      </c>
      <c r="R10645" t="s">
        <v>57</v>
      </c>
      <c r="S10645">
        <v>5</v>
      </c>
      <c r="T10645" t="s">
        <v>15528</v>
      </c>
      <c r="U10645" s="1">
        <v>40779</v>
      </c>
      <c r="V10645" t="s">
        <v>89</v>
      </c>
      <c r="W10645" t="s">
        <v>90</v>
      </c>
      <c r="X10645" t="s">
        <v>58</v>
      </c>
      <c r="Y10645">
        <v>25</v>
      </c>
      <c r="Z10645" t="s">
        <v>59</v>
      </c>
      <c r="AA10645" t="s">
        <v>59</v>
      </c>
      <c r="AB10645" t="s">
        <v>59</v>
      </c>
      <c r="AC10645" t="s">
        <v>59</v>
      </c>
      <c r="AD10645" t="s">
        <v>59</v>
      </c>
      <c r="AF10645" s="1">
        <v>41695</v>
      </c>
      <c r="AG10645" t="s">
        <v>8651</v>
      </c>
      <c r="AH10645" t="s">
        <v>8652</v>
      </c>
      <c r="AI10645" t="str">
        <f>"9500270"</f>
        <v>9500270</v>
      </c>
      <c r="AJ10645" t="s">
        <v>14003</v>
      </c>
      <c r="AK10645">
        <v>2825031104</v>
      </c>
      <c r="AL10645" t="s">
        <v>14004</v>
      </c>
      <c r="AM10645" t="s">
        <v>88</v>
      </c>
      <c r="AN10645" t="s">
        <v>6775</v>
      </c>
      <c r="AO10645" t="s">
        <v>11883</v>
      </c>
      <c r="AP10645" t="s">
        <v>13875</v>
      </c>
      <c r="AQ10645">
        <v>7</v>
      </c>
      <c r="AR10645" t="s">
        <v>89</v>
      </c>
      <c r="AS10645" t="s">
        <v>90</v>
      </c>
      <c r="AT10645" t="s">
        <v>58</v>
      </c>
      <c r="AU10645" t="s">
        <v>68</v>
      </c>
      <c r="AV10645" t="s">
        <v>69</v>
      </c>
      <c r="AW10645" s="1">
        <v>30957</v>
      </c>
      <c r="AX10645">
        <v>1</v>
      </c>
    </row>
    <row r="10646" spans="1:50">
      <c r="A10646">
        <v>621915</v>
      </c>
      <c r="B10646" t="str">
        <f>"110893158"</f>
        <v>110893158</v>
      </c>
      <c r="C10646" t="s">
        <v>50</v>
      </c>
      <c r="D10646" t="s">
        <v>8472</v>
      </c>
      <c r="E10646" t="s">
        <v>237</v>
      </c>
      <c r="F10646" t="s">
        <v>202</v>
      </c>
      <c r="G10646" t="s">
        <v>314</v>
      </c>
      <c r="H10646" t="str">
        <f>"ΚΕΡΑ ΚΙΣΑΜΟΥ ΧΑΝΙΑ"</f>
        <v>ΚΕΡΑ ΚΙΣΑΜΟΥ ΧΑΝΙΑ</v>
      </c>
      <c r="I10646">
        <v>73400</v>
      </c>
      <c r="J10646">
        <v>2822031996</v>
      </c>
      <c r="K10646">
        <v>6955464112</v>
      </c>
      <c r="N10646" t="s">
        <v>615</v>
      </c>
      <c r="O10646" t="s">
        <v>616</v>
      </c>
      <c r="R10646" t="s">
        <v>57</v>
      </c>
      <c r="S10646">
        <v>5</v>
      </c>
      <c r="T10646">
        <v>653</v>
      </c>
      <c r="U10646" s="1">
        <v>40043</v>
      </c>
      <c r="V10646" t="s">
        <v>89</v>
      </c>
      <c r="W10646" t="s">
        <v>90</v>
      </c>
      <c r="X10646" t="s">
        <v>58</v>
      </c>
      <c r="Y10646">
        <v>23</v>
      </c>
      <c r="Z10646" t="s">
        <v>59</v>
      </c>
      <c r="AA10646" t="s">
        <v>59</v>
      </c>
      <c r="AB10646" t="s">
        <v>59</v>
      </c>
      <c r="AC10646" t="s">
        <v>59</v>
      </c>
      <c r="AD10646" t="s">
        <v>59</v>
      </c>
      <c r="AF10646" s="1">
        <v>40043</v>
      </c>
      <c r="AG10646" t="s">
        <v>8645</v>
      </c>
      <c r="AH10646" t="s">
        <v>8646</v>
      </c>
      <c r="AI10646" t="str">
        <f>"9500191"</f>
        <v>9500191</v>
      </c>
      <c r="AJ10646" t="s">
        <v>13986</v>
      </c>
      <c r="AK10646">
        <v>2822022042</v>
      </c>
      <c r="AL10646" t="s">
        <v>13987</v>
      </c>
      <c r="AM10646" t="s">
        <v>88</v>
      </c>
      <c r="AN10646" t="s">
        <v>6744</v>
      </c>
      <c r="AO10646" t="s">
        <v>6744</v>
      </c>
      <c r="AP10646" t="s">
        <v>6744</v>
      </c>
      <c r="AQ10646">
        <v>9</v>
      </c>
      <c r="AR10646" t="s">
        <v>89</v>
      </c>
      <c r="AS10646" t="s">
        <v>90</v>
      </c>
      <c r="AT10646" t="s">
        <v>58</v>
      </c>
      <c r="AU10646" t="s">
        <v>68</v>
      </c>
      <c r="AV10646" t="s">
        <v>69</v>
      </c>
      <c r="AW10646" s="1">
        <v>31460</v>
      </c>
      <c r="AX10646">
        <v>1</v>
      </c>
    </row>
    <row r="10647" spans="1:50">
      <c r="A10647">
        <v>607365</v>
      </c>
      <c r="B10647" t="str">
        <f>"110858469"</f>
        <v>110858469</v>
      </c>
      <c r="C10647" t="s">
        <v>50</v>
      </c>
      <c r="D10647" t="s">
        <v>8472</v>
      </c>
      <c r="E10647" t="s">
        <v>681</v>
      </c>
      <c r="F10647" t="s">
        <v>202</v>
      </c>
      <c r="G10647" t="s">
        <v>314</v>
      </c>
      <c r="H10647" t="str">
        <f>"ΧΡΗΣΟΠΗΓΗΣ 4 ΧΑΝΙΑ"</f>
        <v>ΧΡΗΣΟΠΗΓΗΣ 4 ΧΑΝΙΑ</v>
      </c>
      <c r="I10647">
        <v>73100</v>
      </c>
      <c r="J10647">
        <v>2821072400</v>
      </c>
      <c r="K10647">
        <v>6948488139</v>
      </c>
      <c r="N10647" t="s">
        <v>615</v>
      </c>
      <c r="O10647" t="s">
        <v>616</v>
      </c>
      <c r="R10647" t="s">
        <v>57</v>
      </c>
      <c r="S10647">
        <v>7</v>
      </c>
      <c r="T10647">
        <v>217</v>
      </c>
      <c r="U10647" s="1">
        <v>38596</v>
      </c>
      <c r="V10647" t="s">
        <v>89</v>
      </c>
      <c r="W10647" t="s">
        <v>90</v>
      </c>
      <c r="X10647" t="s">
        <v>58</v>
      </c>
      <c r="Y10647">
        <v>23</v>
      </c>
      <c r="Z10647" t="s">
        <v>59</v>
      </c>
      <c r="AA10647" t="s">
        <v>59</v>
      </c>
      <c r="AB10647" t="s">
        <v>59</v>
      </c>
      <c r="AC10647" t="s">
        <v>59</v>
      </c>
      <c r="AD10647" t="s">
        <v>59</v>
      </c>
      <c r="AF10647" s="1">
        <v>38596</v>
      </c>
      <c r="AG10647" t="s">
        <v>8645</v>
      </c>
      <c r="AH10647" t="s">
        <v>8646</v>
      </c>
      <c r="AI10647" t="str">
        <f>"9500035"</f>
        <v>9500035</v>
      </c>
      <c r="AJ10647" t="s">
        <v>13979</v>
      </c>
      <c r="AK10647">
        <v>2821094678</v>
      </c>
      <c r="AL10647" t="s">
        <v>13980</v>
      </c>
      <c r="AM10647" t="s">
        <v>88</v>
      </c>
      <c r="AN10647" t="s">
        <v>88</v>
      </c>
      <c r="AO10647" t="s">
        <v>88</v>
      </c>
      <c r="AP10647" t="s">
        <v>88</v>
      </c>
      <c r="AQ10647">
        <v>2</v>
      </c>
      <c r="AR10647" t="s">
        <v>89</v>
      </c>
      <c r="AS10647" t="s">
        <v>90</v>
      </c>
      <c r="AT10647" t="s">
        <v>58</v>
      </c>
      <c r="AU10647" t="s">
        <v>68</v>
      </c>
      <c r="AV10647" t="s">
        <v>69</v>
      </c>
      <c r="AW10647" s="1">
        <v>29251</v>
      </c>
      <c r="AX10647">
        <v>1</v>
      </c>
    </row>
    <row r="10648" spans="1:50">
      <c r="B10648" t="str">
        <f>"128598608"</f>
        <v>128598608</v>
      </c>
      <c r="C10648" t="s">
        <v>50</v>
      </c>
      <c r="D10648" t="s">
        <v>12599</v>
      </c>
      <c r="E10648" t="s">
        <v>155</v>
      </c>
      <c r="F10648" t="s">
        <v>84</v>
      </c>
      <c r="G10648" t="s">
        <v>255</v>
      </c>
      <c r="H10648" t="str">
        <f>"ΖΑΧΟΥ 61 ΒΟΛΟΣ"</f>
        <v>ΖΑΧΟΥ 61 ΒΟΛΟΣ</v>
      </c>
      <c r="I10648">
        <v>38333</v>
      </c>
      <c r="J10648">
        <v>2421020983</v>
      </c>
      <c r="K10648">
        <v>6932084259</v>
      </c>
      <c r="N10648" t="s">
        <v>615</v>
      </c>
      <c r="O10648" t="s">
        <v>616</v>
      </c>
      <c r="R10648" t="s">
        <v>159</v>
      </c>
      <c r="S10648">
        <v>4</v>
      </c>
      <c r="T10648" t="s">
        <v>8675</v>
      </c>
      <c r="U10648" s="1">
        <v>43348</v>
      </c>
      <c r="V10648" t="s">
        <v>89</v>
      </c>
      <c r="W10648" t="s">
        <v>90</v>
      </c>
      <c r="X10648" t="s">
        <v>58</v>
      </c>
      <c r="Y10648">
        <v>24</v>
      </c>
      <c r="Z10648" t="s">
        <v>59</v>
      </c>
      <c r="AA10648" t="s">
        <v>59</v>
      </c>
      <c r="AB10648" t="s">
        <v>59</v>
      </c>
      <c r="AC10648" t="s">
        <v>59</v>
      </c>
      <c r="AD10648" t="s">
        <v>59</v>
      </c>
      <c r="AF10648" s="1">
        <v>43348</v>
      </c>
      <c r="AG10648" t="s">
        <v>8645</v>
      </c>
      <c r="AH10648" t="s">
        <v>8646</v>
      </c>
      <c r="AI10648" t="str">
        <f>"9500148"</f>
        <v>9500148</v>
      </c>
      <c r="AJ10648" t="s">
        <v>13851</v>
      </c>
      <c r="AK10648">
        <v>2821068328</v>
      </c>
      <c r="AL10648" t="s">
        <v>13852</v>
      </c>
      <c r="AM10648" t="s">
        <v>88</v>
      </c>
      <c r="AN10648" t="s">
        <v>88</v>
      </c>
      <c r="AO10648" t="s">
        <v>6785</v>
      </c>
      <c r="AP10648" t="s">
        <v>13853</v>
      </c>
      <c r="AQ10648">
        <v>3</v>
      </c>
      <c r="AR10648" t="s">
        <v>89</v>
      </c>
      <c r="AS10648" t="s">
        <v>90</v>
      </c>
      <c r="AT10648" t="s">
        <v>58</v>
      </c>
      <c r="AU10648" t="s">
        <v>8673</v>
      </c>
      <c r="AV10648" t="s">
        <v>132</v>
      </c>
      <c r="AW10648" s="1">
        <v>31668</v>
      </c>
      <c r="AX10648">
        <v>1</v>
      </c>
    </row>
    <row r="10649" spans="1:50">
      <c r="A10649">
        <v>572226</v>
      </c>
      <c r="B10649" t="str">
        <f>"035236910"</f>
        <v>035236910</v>
      </c>
      <c r="C10649" t="s">
        <v>50</v>
      </c>
      <c r="D10649" t="s">
        <v>15529</v>
      </c>
      <c r="E10649" t="s">
        <v>83</v>
      </c>
      <c r="F10649" t="s">
        <v>1330</v>
      </c>
      <c r="G10649" t="s">
        <v>507</v>
      </c>
      <c r="H10649" t="str">
        <f>"ΒΑΡΥΠΕΤΡΟ ΧΑΝΙΩΝ"</f>
        <v>ΒΑΡΥΠΕΤΡΟ ΧΑΝΙΩΝ</v>
      </c>
      <c r="I10649">
        <v>73100</v>
      </c>
      <c r="J10649">
        <v>2821032676</v>
      </c>
      <c r="N10649" t="s">
        <v>306</v>
      </c>
      <c r="O10649" t="s">
        <v>307</v>
      </c>
      <c r="R10649" t="s">
        <v>57</v>
      </c>
      <c r="S10649">
        <v>12</v>
      </c>
      <c r="T10649">
        <v>154</v>
      </c>
      <c r="U10649" s="1">
        <v>34225</v>
      </c>
      <c r="V10649" t="s">
        <v>89</v>
      </c>
      <c r="W10649" t="s">
        <v>90</v>
      </c>
      <c r="X10649" t="s">
        <v>58</v>
      </c>
      <c r="Y10649">
        <v>21</v>
      </c>
      <c r="Z10649" t="s">
        <v>59</v>
      </c>
      <c r="AA10649" t="s">
        <v>59</v>
      </c>
      <c r="AB10649" t="s">
        <v>59</v>
      </c>
      <c r="AC10649" t="s">
        <v>59</v>
      </c>
      <c r="AD10649" t="s">
        <v>59</v>
      </c>
      <c r="AF10649" s="1">
        <v>34225</v>
      </c>
      <c r="AG10649" t="s">
        <v>8645</v>
      </c>
      <c r="AH10649" t="s">
        <v>8646</v>
      </c>
      <c r="AI10649" t="str">
        <f>"9500358"</f>
        <v>9500358</v>
      </c>
      <c r="AJ10649" t="s">
        <v>13948</v>
      </c>
      <c r="AK10649">
        <v>2821093459</v>
      </c>
      <c r="AL10649" t="s">
        <v>13949</v>
      </c>
      <c r="AM10649" t="s">
        <v>88</v>
      </c>
      <c r="AN10649" t="s">
        <v>88</v>
      </c>
      <c r="AO10649" t="s">
        <v>6733</v>
      </c>
      <c r="AP10649" t="s">
        <v>6755</v>
      </c>
      <c r="AQ10649">
        <v>2</v>
      </c>
      <c r="AR10649" t="s">
        <v>89</v>
      </c>
      <c r="AS10649" t="s">
        <v>90</v>
      </c>
      <c r="AT10649" t="s">
        <v>58</v>
      </c>
      <c r="AU10649" t="s">
        <v>68</v>
      </c>
      <c r="AV10649" t="s">
        <v>69</v>
      </c>
      <c r="AW10649" s="1">
        <v>24537</v>
      </c>
      <c r="AX10649">
        <v>1</v>
      </c>
    </row>
    <row r="10650" spans="1:50">
      <c r="B10650" t="str">
        <f>"140207402"</f>
        <v>140207402</v>
      </c>
      <c r="C10650" t="s">
        <v>50</v>
      </c>
      <c r="D10650" t="s">
        <v>15530</v>
      </c>
      <c r="E10650" t="s">
        <v>73</v>
      </c>
      <c r="F10650" t="s">
        <v>2933</v>
      </c>
      <c r="G10650" t="s">
        <v>237</v>
      </c>
      <c r="H10650" t="str">
        <f>"ΠΑΠΑΝΙΚΟΛΑΟΥ 12 "</f>
        <v xml:space="preserve">ΠΑΠΑΝΙΚΟΛΑΟΥ 12 </v>
      </c>
      <c r="I10650">
        <v>15772</v>
      </c>
      <c r="J10650">
        <v>2107794477</v>
      </c>
      <c r="K10650">
        <v>6948604857</v>
      </c>
      <c r="N10650" t="s">
        <v>615</v>
      </c>
      <c r="O10650" t="s">
        <v>616</v>
      </c>
      <c r="R10650" t="s">
        <v>159</v>
      </c>
      <c r="S10650">
        <v>3</v>
      </c>
      <c r="T10650" t="s">
        <v>8675</v>
      </c>
      <c r="U10650" s="1">
        <v>43348</v>
      </c>
      <c r="V10650" t="s">
        <v>89</v>
      </c>
      <c r="W10650" t="s">
        <v>90</v>
      </c>
      <c r="X10650" t="s">
        <v>58</v>
      </c>
      <c r="Y10650">
        <v>24</v>
      </c>
      <c r="Z10650" t="s">
        <v>59</v>
      </c>
      <c r="AA10650" t="s">
        <v>59</v>
      </c>
      <c r="AB10650" t="s">
        <v>59</v>
      </c>
      <c r="AC10650" t="s">
        <v>59</v>
      </c>
      <c r="AD10650" t="s">
        <v>59</v>
      </c>
      <c r="AF10650" s="1">
        <v>43348</v>
      </c>
      <c r="AG10650" t="s">
        <v>8645</v>
      </c>
      <c r="AH10650" t="s">
        <v>8646</v>
      </c>
      <c r="AI10650" t="str">
        <f>"9500173"</f>
        <v>9500173</v>
      </c>
      <c r="AJ10650" t="s">
        <v>14513</v>
      </c>
      <c r="AK10650">
        <v>2823022235</v>
      </c>
      <c r="AL10650" t="s">
        <v>14514</v>
      </c>
      <c r="AM10650" t="s">
        <v>88</v>
      </c>
      <c r="AN10650" t="s">
        <v>6824</v>
      </c>
      <c r="AO10650" t="s">
        <v>6825</v>
      </c>
      <c r="AP10650" t="s">
        <v>6826</v>
      </c>
      <c r="AQ10650">
        <v>11</v>
      </c>
      <c r="AR10650" t="s">
        <v>89</v>
      </c>
      <c r="AS10650" t="s">
        <v>90</v>
      </c>
      <c r="AT10650" t="s">
        <v>58</v>
      </c>
      <c r="AU10650" t="s">
        <v>8673</v>
      </c>
      <c r="AV10650" t="s">
        <v>132</v>
      </c>
      <c r="AW10650" s="1">
        <v>31769</v>
      </c>
      <c r="AX10650">
        <v>1</v>
      </c>
    </row>
    <row r="10651" spans="1:50">
      <c r="B10651" t="str">
        <f>"146316250"</f>
        <v>146316250</v>
      </c>
      <c r="C10651" t="s">
        <v>50</v>
      </c>
      <c r="D10651" t="s">
        <v>15531</v>
      </c>
      <c r="E10651" t="s">
        <v>553</v>
      </c>
      <c r="F10651" t="s">
        <v>15532</v>
      </c>
      <c r="G10651" t="s">
        <v>83</v>
      </c>
      <c r="H10651" t="str">
        <f>"ΑΓ. ΡΟΥΜΕΛΗΣ 2  (ΣΟΔΥ) ΧΑΝΙΑ"</f>
        <v>ΑΓ. ΡΟΥΜΕΛΗΣ 2  (ΣΟΔΥ) ΧΑΝΙΑ</v>
      </c>
      <c r="I10651">
        <v>73100</v>
      </c>
      <c r="J10651">
        <v>2821057255</v>
      </c>
      <c r="K10651">
        <v>6947562338</v>
      </c>
      <c r="M10651" t="s">
        <v>15533</v>
      </c>
      <c r="N10651" t="s">
        <v>8694</v>
      </c>
      <c r="O10651" t="s">
        <v>8695</v>
      </c>
      <c r="R10651" t="s">
        <v>159</v>
      </c>
      <c r="S10651">
        <v>4</v>
      </c>
      <c r="T10651" t="s">
        <v>8696</v>
      </c>
      <c r="U10651" s="1">
        <v>43348</v>
      </c>
      <c r="V10651" t="s">
        <v>89</v>
      </c>
      <c r="W10651" t="s">
        <v>90</v>
      </c>
      <c r="X10651" t="s">
        <v>58</v>
      </c>
      <c r="Y10651">
        <v>24</v>
      </c>
      <c r="Z10651" t="s">
        <v>59</v>
      </c>
      <c r="AA10651" t="s">
        <v>59</v>
      </c>
      <c r="AB10651" t="s">
        <v>59</v>
      </c>
      <c r="AC10651" t="s">
        <v>59</v>
      </c>
      <c r="AD10651" t="s">
        <v>59</v>
      </c>
      <c r="AF10651" s="1">
        <v>43348</v>
      </c>
      <c r="AG10651" t="s">
        <v>8645</v>
      </c>
      <c r="AH10651" t="s">
        <v>8646</v>
      </c>
      <c r="AI10651" t="str">
        <f>"9500006"</f>
        <v>9500006</v>
      </c>
      <c r="AJ10651" t="s">
        <v>14060</v>
      </c>
      <c r="AK10651">
        <v>2825051220</v>
      </c>
      <c r="AL10651" t="s">
        <v>14061</v>
      </c>
      <c r="AM10651" t="s">
        <v>88</v>
      </c>
      <c r="AN10651" t="s">
        <v>6775</v>
      </c>
      <c r="AO10651" t="s">
        <v>6781</v>
      </c>
      <c r="AP10651" t="s">
        <v>6782</v>
      </c>
      <c r="AQ10651">
        <v>8</v>
      </c>
      <c r="AR10651" t="s">
        <v>89</v>
      </c>
      <c r="AS10651" t="s">
        <v>90</v>
      </c>
      <c r="AT10651" t="s">
        <v>58</v>
      </c>
      <c r="AU10651" t="s">
        <v>350</v>
      </c>
      <c r="AV10651" t="s">
        <v>132</v>
      </c>
      <c r="AW10651" s="1">
        <v>31395</v>
      </c>
      <c r="AX10651">
        <v>1</v>
      </c>
    </row>
    <row r="10652" spans="1:50">
      <c r="A10652">
        <v>702103</v>
      </c>
      <c r="B10652" t="str">
        <f>"302284704"</f>
        <v>302284704</v>
      </c>
      <c r="C10652" t="s">
        <v>50</v>
      </c>
      <c r="D10652" t="s">
        <v>15534</v>
      </c>
      <c r="E10652" t="s">
        <v>3477</v>
      </c>
      <c r="F10652" t="s">
        <v>84</v>
      </c>
      <c r="G10652" t="s">
        <v>112</v>
      </c>
      <c r="H10652" t="str">
        <f>"ΣΟΥΛΙΟΥ 69 ΚΑΝΑΛΑΚΙ ΠΡΕΒΕΖΗΣ"</f>
        <v>ΣΟΥΛΙΟΥ 69 ΚΑΝΑΛΑΚΙ ΠΡΕΒΕΖΗΣ</v>
      </c>
      <c r="I10652">
        <v>48062</v>
      </c>
      <c r="J10652">
        <v>2684022606</v>
      </c>
      <c r="K10652">
        <v>6948101519</v>
      </c>
      <c r="M10652" t="s">
        <v>15535</v>
      </c>
      <c r="N10652" t="s">
        <v>615</v>
      </c>
      <c r="O10652" t="s">
        <v>616</v>
      </c>
      <c r="R10652" t="s">
        <v>57</v>
      </c>
      <c r="S10652">
        <v>4</v>
      </c>
      <c r="T10652">
        <v>772</v>
      </c>
      <c r="U10652" s="1">
        <v>40413</v>
      </c>
      <c r="V10652" t="s">
        <v>89</v>
      </c>
      <c r="W10652" t="s">
        <v>90</v>
      </c>
      <c r="X10652" t="s">
        <v>58</v>
      </c>
      <c r="Y10652">
        <v>24</v>
      </c>
      <c r="Z10652" t="s">
        <v>59</v>
      </c>
      <c r="AA10652" t="s">
        <v>59</v>
      </c>
      <c r="AB10652" t="s">
        <v>59</v>
      </c>
      <c r="AC10652" t="s">
        <v>59</v>
      </c>
      <c r="AD10652" t="s">
        <v>59</v>
      </c>
      <c r="AF10652" s="1">
        <v>40413</v>
      </c>
      <c r="AG10652" t="s">
        <v>8645</v>
      </c>
      <c r="AH10652" t="s">
        <v>8646</v>
      </c>
      <c r="AI10652" t="str">
        <f>"9500083"</f>
        <v>9500083</v>
      </c>
      <c r="AJ10652" t="s">
        <v>14239</v>
      </c>
      <c r="AK10652">
        <v>2821063500</v>
      </c>
      <c r="AL10652" t="s">
        <v>14240</v>
      </c>
      <c r="AM10652" t="s">
        <v>88</v>
      </c>
      <c r="AN10652" t="s">
        <v>88</v>
      </c>
      <c r="AO10652" t="s">
        <v>6770</v>
      </c>
      <c r="AP10652" t="s">
        <v>14090</v>
      </c>
      <c r="AQ10652">
        <v>2</v>
      </c>
      <c r="AR10652" t="s">
        <v>89</v>
      </c>
      <c r="AS10652" t="s">
        <v>90</v>
      </c>
      <c r="AT10652" t="s">
        <v>58</v>
      </c>
      <c r="AU10652" t="s">
        <v>68</v>
      </c>
      <c r="AV10652" t="s">
        <v>69</v>
      </c>
      <c r="AW10652" s="1">
        <v>31601</v>
      </c>
      <c r="AX10652">
        <v>1</v>
      </c>
    </row>
    <row r="10653" spans="1:50">
      <c r="B10653" t="str">
        <f>"301572452"</f>
        <v>301572452</v>
      </c>
      <c r="C10653" t="s">
        <v>50</v>
      </c>
      <c r="D10653" t="s">
        <v>15536</v>
      </c>
      <c r="E10653" t="s">
        <v>3666</v>
      </c>
      <c r="F10653" t="s">
        <v>99</v>
      </c>
      <c r="G10653" t="s">
        <v>52</v>
      </c>
      <c r="H10653" t="str">
        <f>"ΚΛΕΩΝΩΝ 43 "</f>
        <v xml:space="preserve">ΚΛΕΩΝΩΝ 43 </v>
      </c>
      <c r="I10653">
        <v>11142</v>
      </c>
      <c r="J10653">
        <v>2227023523</v>
      </c>
      <c r="K10653">
        <v>6979454099</v>
      </c>
      <c r="N10653" t="s">
        <v>1525</v>
      </c>
      <c r="O10653" t="s">
        <v>1526</v>
      </c>
      <c r="R10653" t="s">
        <v>159</v>
      </c>
      <c r="S10653">
        <v>4</v>
      </c>
      <c r="T10653" t="s">
        <v>8670</v>
      </c>
      <c r="U10653" s="1">
        <v>43348</v>
      </c>
      <c r="V10653" t="s">
        <v>89</v>
      </c>
      <c r="W10653" t="s">
        <v>90</v>
      </c>
      <c r="X10653" t="s">
        <v>58</v>
      </c>
      <c r="Y10653">
        <v>25</v>
      </c>
      <c r="Z10653" t="s">
        <v>59</v>
      </c>
      <c r="AA10653" t="s">
        <v>59</v>
      </c>
      <c r="AB10653" t="s">
        <v>59</v>
      </c>
      <c r="AC10653" t="s">
        <v>59</v>
      </c>
      <c r="AD10653" t="s">
        <v>59</v>
      </c>
      <c r="AF10653" s="1">
        <v>43348</v>
      </c>
      <c r="AG10653" t="s">
        <v>8651</v>
      </c>
      <c r="AH10653" t="s">
        <v>8652</v>
      </c>
      <c r="AI10653" t="str">
        <f>"9500301"</f>
        <v>9500301</v>
      </c>
      <c r="AJ10653" t="s">
        <v>14705</v>
      </c>
      <c r="AK10653">
        <v>2821066076</v>
      </c>
      <c r="AL10653" t="s">
        <v>14706</v>
      </c>
      <c r="AM10653" t="s">
        <v>88</v>
      </c>
      <c r="AN10653" t="s">
        <v>88</v>
      </c>
      <c r="AO10653" t="s">
        <v>6770</v>
      </c>
      <c r="AP10653" t="s">
        <v>14015</v>
      </c>
      <c r="AQ10653">
        <v>2</v>
      </c>
      <c r="AR10653" t="s">
        <v>89</v>
      </c>
      <c r="AS10653" t="s">
        <v>90</v>
      </c>
      <c r="AT10653" t="s">
        <v>58</v>
      </c>
      <c r="AU10653" t="s">
        <v>8673</v>
      </c>
      <c r="AV10653" t="s">
        <v>132</v>
      </c>
      <c r="AW10653" s="1">
        <v>30461</v>
      </c>
      <c r="AX10653">
        <v>1</v>
      </c>
    </row>
    <row r="10654" spans="1:50">
      <c r="A10654">
        <v>614295</v>
      </c>
      <c r="B10654" t="str">
        <f>"130435415"</f>
        <v>130435415</v>
      </c>
      <c r="C10654" t="s">
        <v>50</v>
      </c>
      <c r="D10654" t="s">
        <v>8484</v>
      </c>
      <c r="E10654" t="s">
        <v>367</v>
      </c>
      <c r="F10654" t="s">
        <v>92</v>
      </c>
      <c r="G10654" t="s">
        <v>52</v>
      </c>
      <c r="H10654" t="str">
        <f>"ΜΥΛΩΝΙΑΝΑ ΧΑΝΙΑ"</f>
        <v>ΜΥΛΩΝΙΑΝΑ ΧΑΝΙΑ</v>
      </c>
      <c r="I10654">
        <v>73100</v>
      </c>
      <c r="J10654">
        <v>2821032118</v>
      </c>
      <c r="K10654">
        <v>6944306321</v>
      </c>
      <c r="N10654" t="s">
        <v>615</v>
      </c>
      <c r="O10654" t="s">
        <v>616</v>
      </c>
      <c r="R10654" t="s">
        <v>57</v>
      </c>
      <c r="S10654">
        <v>7</v>
      </c>
      <c r="T10654">
        <v>598</v>
      </c>
      <c r="U10654" s="1">
        <v>39310</v>
      </c>
      <c r="V10654" t="s">
        <v>89</v>
      </c>
      <c r="W10654" t="s">
        <v>90</v>
      </c>
      <c r="X10654" t="s">
        <v>58</v>
      </c>
      <c r="Y10654">
        <v>23</v>
      </c>
      <c r="Z10654" t="s">
        <v>59</v>
      </c>
      <c r="AA10654" t="s">
        <v>59</v>
      </c>
      <c r="AB10654" t="s">
        <v>59</v>
      </c>
      <c r="AC10654" t="s">
        <v>59</v>
      </c>
      <c r="AD10654" t="s">
        <v>59</v>
      </c>
      <c r="AF10654" s="1">
        <v>39310</v>
      </c>
      <c r="AG10654" t="s">
        <v>8645</v>
      </c>
      <c r="AH10654" t="s">
        <v>8646</v>
      </c>
      <c r="AI10654" t="str">
        <f>"9500084"</f>
        <v>9500084</v>
      </c>
      <c r="AJ10654" t="s">
        <v>13994</v>
      </c>
      <c r="AK10654">
        <v>2821031270</v>
      </c>
      <c r="AL10654" t="s">
        <v>13995</v>
      </c>
      <c r="AM10654" t="s">
        <v>88</v>
      </c>
      <c r="AN10654" t="s">
        <v>88</v>
      </c>
      <c r="AO10654" t="s">
        <v>13920</v>
      </c>
      <c r="AP10654" t="s">
        <v>13996</v>
      </c>
      <c r="AQ10654">
        <v>3</v>
      </c>
      <c r="AR10654" t="s">
        <v>89</v>
      </c>
      <c r="AS10654" t="s">
        <v>90</v>
      </c>
      <c r="AT10654" t="s">
        <v>58</v>
      </c>
      <c r="AU10654" t="s">
        <v>68</v>
      </c>
      <c r="AV10654" t="s">
        <v>69</v>
      </c>
      <c r="AW10654" s="1">
        <v>29796</v>
      </c>
      <c r="AX10654">
        <v>1</v>
      </c>
    </row>
    <row r="10655" spans="1:50">
      <c r="A10655">
        <v>608045</v>
      </c>
      <c r="B10655" t="str">
        <f>"101576980"</f>
        <v>101576980</v>
      </c>
      <c r="C10655" t="s">
        <v>50</v>
      </c>
      <c r="D10655" t="s">
        <v>8484</v>
      </c>
      <c r="E10655" t="s">
        <v>52</v>
      </c>
      <c r="F10655" t="s">
        <v>321</v>
      </c>
      <c r="G10655" t="s">
        <v>1189</v>
      </c>
      <c r="H10655" t="str">
        <f>"ΠΑΠΓΙΑΝΝΑΚΗ 13 ΧΑΝΙΑ"</f>
        <v>ΠΑΠΓΙΑΝΝΑΚΗ 13 ΧΑΝΙΑ</v>
      </c>
      <c r="I10655">
        <v>73133</v>
      </c>
      <c r="J10655">
        <v>2821023359</v>
      </c>
      <c r="K10655">
        <v>6978182619</v>
      </c>
      <c r="N10655" t="s">
        <v>1525</v>
      </c>
      <c r="O10655" t="s">
        <v>1526</v>
      </c>
      <c r="R10655" t="s">
        <v>57</v>
      </c>
      <c r="S10655">
        <v>9</v>
      </c>
      <c r="T10655">
        <v>217</v>
      </c>
      <c r="U10655" s="1">
        <v>38596</v>
      </c>
      <c r="V10655" t="s">
        <v>89</v>
      </c>
      <c r="W10655" t="s">
        <v>90</v>
      </c>
      <c r="X10655" t="s">
        <v>58</v>
      </c>
      <c r="Y10655">
        <v>25</v>
      </c>
      <c r="Z10655" t="s">
        <v>59</v>
      </c>
      <c r="AA10655" t="s">
        <v>59</v>
      </c>
      <c r="AB10655" t="s">
        <v>59</v>
      </c>
      <c r="AC10655" t="s">
        <v>59</v>
      </c>
      <c r="AD10655" t="s">
        <v>59</v>
      </c>
      <c r="AF10655" s="1">
        <v>38596</v>
      </c>
      <c r="AG10655" t="s">
        <v>8651</v>
      </c>
      <c r="AH10655" t="s">
        <v>8652</v>
      </c>
      <c r="AI10655" t="str">
        <f>"9500402"</f>
        <v>9500402</v>
      </c>
      <c r="AJ10655" t="s">
        <v>14255</v>
      </c>
      <c r="AK10655">
        <v>2821042809</v>
      </c>
      <c r="AL10655" t="s">
        <v>14256</v>
      </c>
      <c r="AM10655" t="s">
        <v>88</v>
      </c>
      <c r="AN10655" t="s">
        <v>88</v>
      </c>
      <c r="AO10655" t="s">
        <v>88</v>
      </c>
      <c r="AP10655" t="s">
        <v>88</v>
      </c>
      <c r="AQ10655">
        <v>1</v>
      </c>
      <c r="AR10655" t="s">
        <v>89</v>
      </c>
      <c r="AS10655" t="s">
        <v>90</v>
      </c>
      <c r="AT10655" t="s">
        <v>58</v>
      </c>
      <c r="AU10655" t="s">
        <v>68</v>
      </c>
      <c r="AV10655" t="s">
        <v>69</v>
      </c>
      <c r="AW10655" s="1">
        <v>22517</v>
      </c>
      <c r="AX10655">
        <v>1</v>
      </c>
    </row>
    <row r="10656" spans="1:50">
      <c r="A10656">
        <v>701939</v>
      </c>
      <c r="B10656" t="str">
        <f>"111849631"</f>
        <v>111849631</v>
      </c>
      <c r="C10656" t="s">
        <v>50</v>
      </c>
      <c r="D10656" t="s">
        <v>15537</v>
      </c>
      <c r="E10656" t="s">
        <v>250</v>
      </c>
      <c r="F10656" t="s">
        <v>1543</v>
      </c>
      <c r="G10656" t="s">
        <v>143</v>
      </c>
      <c r="H10656" t="str">
        <f>"ΛΕΥΚΟΒΡΥΣΗ ΚΟΖΑΝΗ"</f>
        <v>ΛΕΥΚΟΒΡΥΣΗ ΚΟΖΑΝΗ</v>
      </c>
      <c r="I10656">
        <v>50100</v>
      </c>
      <c r="J10656">
        <v>2461037007</v>
      </c>
      <c r="K10656">
        <v>6975061040</v>
      </c>
      <c r="N10656" t="s">
        <v>615</v>
      </c>
      <c r="O10656" t="s">
        <v>616</v>
      </c>
      <c r="R10656" t="s">
        <v>57</v>
      </c>
      <c r="S10656">
        <v>4</v>
      </c>
      <c r="T10656">
        <v>772</v>
      </c>
      <c r="U10656" s="1">
        <v>40413</v>
      </c>
      <c r="V10656" t="s">
        <v>89</v>
      </c>
      <c r="W10656" t="s">
        <v>90</v>
      </c>
      <c r="X10656" t="s">
        <v>58</v>
      </c>
      <c r="Y10656">
        <v>24</v>
      </c>
      <c r="Z10656" t="s">
        <v>59</v>
      </c>
      <c r="AA10656" t="s">
        <v>59</v>
      </c>
      <c r="AB10656" t="s">
        <v>59</v>
      </c>
      <c r="AC10656" t="s">
        <v>59</v>
      </c>
      <c r="AD10656" t="s">
        <v>59</v>
      </c>
      <c r="AF10656" s="1">
        <v>40413</v>
      </c>
      <c r="AG10656" t="s">
        <v>8645</v>
      </c>
      <c r="AH10656" t="s">
        <v>8646</v>
      </c>
      <c r="AI10656" t="str">
        <f>"9500017"</f>
        <v>9500017</v>
      </c>
      <c r="AJ10656" t="s">
        <v>13873</v>
      </c>
      <c r="AK10656">
        <v>2825083173</v>
      </c>
      <c r="AL10656" t="s">
        <v>13874</v>
      </c>
      <c r="AM10656" t="s">
        <v>88</v>
      </c>
      <c r="AN10656" t="s">
        <v>6775</v>
      </c>
      <c r="AO10656" t="s">
        <v>11883</v>
      </c>
      <c r="AP10656" t="s">
        <v>13875</v>
      </c>
      <c r="AQ10656">
        <v>7</v>
      </c>
      <c r="AR10656" t="s">
        <v>89</v>
      </c>
      <c r="AS10656" t="s">
        <v>90</v>
      </c>
      <c r="AT10656" t="s">
        <v>58</v>
      </c>
      <c r="AU10656" t="s">
        <v>68</v>
      </c>
      <c r="AV10656" t="s">
        <v>69</v>
      </c>
      <c r="AW10656" s="1">
        <v>30119</v>
      </c>
      <c r="AX10656">
        <v>1</v>
      </c>
    </row>
    <row r="10657" spans="1:50">
      <c r="A10657">
        <v>575535</v>
      </c>
      <c r="B10657" t="str">
        <f>"034847016"</f>
        <v>034847016</v>
      </c>
      <c r="C10657" t="s">
        <v>50</v>
      </c>
      <c r="D10657" t="s">
        <v>15538</v>
      </c>
      <c r="E10657" t="s">
        <v>382</v>
      </c>
      <c r="F10657" t="s">
        <v>377</v>
      </c>
      <c r="G10657" t="s">
        <v>372</v>
      </c>
      <c r="H10657" t="str">
        <f>"ΔΑΡΑΤΣΟ 11 Ν.ΚΥΔΩΝΙΑΣ"</f>
        <v>ΔΑΡΑΤΣΟ 11 Ν.ΚΥΔΩΝΙΑΣ</v>
      </c>
      <c r="I10657">
        <v>73100</v>
      </c>
      <c r="J10657">
        <v>2821033011</v>
      </c>
      <c r="K10657">
        <v>6974351593</v>
      </c>
      <c r="N10657" t="s">
        <v>615</v>
      </c>
      <c r="O10657" t="s">
        <v>616</v>
      </c>
      <c r="R10657" t="s">
        <v>57</v>
      </c>
      <c r="S10657">
        <v>14</v>
      </c>
      <c r="T10657">
        <v>184</v>
      </c>
      <c r="U10657" s="1">
        <v>34941</v>
      </c>
      <c r="V10657" t="s">
        <v>89</v>
      </c>
      <c r="W10657" t="s">
        <v>90</v>
      </c>
      <c r="X10657" t="s">
        <v>58</v>
      </c>
      <c r="Y10657">
        <v>21</v>
      </c>
      <c r="Z10657" t="s">
        <v>59</v>
      </c>
      <c r="AA10657" t="s">
        <v>59</v>
      </c>
      <c r="AB10657" t="s">
        <v>59</v>
      </c>
      <c r="AC10657" t="s">
        <v>59</v>
      </c>
      <c r="AD10657" t="s">
        <v>59</v>
      </c>
      <c r="AF10657" s="1">
        <v>34941</v>
      </c>
      <c r="AG10657" t="s">
        <v>8645</v>
      </c>
      <c r="AH10657" t="s">
        <v>8646</v>
      </c>
      <c r="AI10657" t="str">
        <f>"9500314"</f>
        <v>9500314</v>
      </c>
      <c r="AJ10657" t="s">
        <v>14116</v>
      </c>
      <c r="AK10657">
        <v>2821097640</v>
      </c>
      <c r="AL10657" t="s">
        <v>14117</v>
      </c>
      <c r="AM10657" t="s">
        <v>88</v>
      </c>
      <c r="AN10657" t="s">
        <v>88</v>
      </c>
      <c r="AO10657" t="s">
        <v>88</v>
      </c>
      <c r="AP10657" t="s">
        <v>88</v>
      </c>
      <c r="AQ10657">
        <v>1</v>
      </c>
      <c r="AR10657" t="s">
        <v>89</v>
      </c>
      <c r="AS10657" t="s">
        <v>90</v>
      </c>
      <c r="AT10657" t="s">
        <v>58</v>
      </c>
      <c r="AU10657" t="s">
        <v>68</v>
      </c>
      <c r="AV10657" t="s">
        <v>69</v>
      </c>
      <c r="AW10657" s="1">
        <v>24004</v>
      </c>
      <c r="AX10657">
        <v>1</v>
      </c>
    </row>
    <row r="10658" spans="1:50">
      <c r="A10658">
        <v>595257</v>
      </c>
      <c r="B10658" t="str">
        <f>"113151513"</f>
        <v>113151513</v>
      </c>
      <c r="C10658" t="s">
        <v>50</v>
      </c>
      <c r="D10658" t="s">
        <v>15539</v>
      </c>
      <c r="E10658" t="s">
        <v>3866</v>
      </c>
      <c r="F10658" t="s">
        <v>1070</v>
      </c>
      <c r="G10658" t="s">
        <v>143</v>
      </c>
      <c r="H10658" t="str">
        <f>"ΣΤ. ΛΕΚΑΝΙΔΗ 49 ΧΑΝΙΑ"</f>
        <v>ΣΤ. ΛΕΚΑΝΙΔΗ 49 ΧΑΝΙΑ</v>
      </c>
      <c r="I10658">
        <v>73100</v>
      </c>
      <c r="K10658">
        <v>6977826846</v>
      </c>
      <c r="N10658" t="s">
        <v>615</v>
      </c>
      <c r="O10658" t="s">
        <v>616</v>
      </c>
      <c r="R10658" t="s">
        <v>57</v>
      </c>
      <c r="S10658">
        <v>8</v>
      </c>
      <c r="T10658">
        <v>218</v>
      </c>
      <c r="U10658" s="1">
        <v>37134</v>
      </c>
      <c r="V10658" t="s">
        <v>89</v>
      </c>
      <c r="W10658" t="s">
        <v>90</v>
      </c>
      <c r="X10658" t="s">
        <v>58</v>
      </c>
      <c r="Y10658">
        <v>22</v>
      </c>
      <c r="Z10658" t="s">
        <v>59</v>
      </c>
      <c r="AA10658" t="s">
        <v>59</v>
      </c>
      <c r="AB10658" t="s">
        <v>59</v>
      </c>
      <c r="AC10658" t="s">
        <v>59</v>
      </c>
      <c r="AD10658" t="s">
        <v>59</v>
      </c>
      <c r="AF10658" s="1">
        <v>37134</v>
      </c>
      <c r="AG10658" t="s">
        <v>8645</v>
      </c>
      <c r="AH10658" t="s">
        <v>8646</v>
      </c>
      <c r="AI10658" t="str">
        <f>"9500139"</f>
        <v>9500139</v>
      </c>
      <c r="AJ10658" t="s">
        <v>14050</v>
      </c>
      <c r="AK10658">
        <v>2821096819</v>
      </c>
      <c r="AL10658" t="s">
        <v>14051</v>
      </c>
      <c r="AM10658" t="s">
        <v>88</v>
      </c>
      <c r="AN10658" t="s">
        <v>88</v>
      </c>
      <c r="AO10658" t="s">
        <v>88</v>
      </c>
      <c r="AP10658" t="s">
        <v>88</v>
      </c>
      <c r="AQ10658">
        <v>1</v>
      </c>
      <c r="AR10658" t="s">
        <v>89</v>
      </c>
      <c r="AS10658" t="s">
        <v>90</v>
      </c>
      <c r="AT10658" t="s">
        <v>58</v>
      </c>
      <c r="AU10658" t="s">
        <v>68</v>
      </c>
      <c r="AV10658" t="s">
        <v>69</v>
      </c>
      <c r="AW10658" s="1">
        <v>28126</v>
      </c>
      <c r="AX10658">
        <v>1</v>
      </c>
    </row>
    <row r="10659" spans="1:50">
      <c r="B10659" t="str">
        <f>"143614086"</f>
        <v>143614086</v>
      </c>
      <c r="C10659" t="s">
        <v>50</v>
      </c>
      <c r="D10659" t="s">
        <v>15540</v>
      </c>
      <c r="E10659" t="s">
        <v>98</v>
      </c>
      <c r="F10659" t="s">
        <v>2337</v>
      </c>
      <c r="G10659" t="s">
        <v>52</v>
      </c>
      <c r="H10659" t="str">
        <f>" "</f>
        <v xml:space="preserve"> </v>
      </c>
      <c r="N10659" t="s">
        <v>8834</v>
      </c>
      <c r="O10659" t="s">
        <v>8695</v>
      </c>
      <c r="R10659" t="s">
        <v>159</v>
      </c>
      <c r="S10659">
        <v>3</v>
      </c>
      <c r="T10659" t="s">
        <v>8696</v>
      </c>
      <c r="U10659" s="1">
        <v>43348</v>
      </c>
      <c r="V10659" t="s">
        <v>89</v>
      </c>
      <c r="W10659" t="s">
        <v>90</v>
      </c>
      <c r="X10659" t="s">
        <v>58</v>
      </c>
      <c r="Y10659">
        <v>24</v>
      </c>
      <c r="Z10659" t="s">
        <v>59</v>
      </c>
      <c r="AA10659" t="s">
        <v>59</v>
      </c>
      <c r="AB10659" t="s">
        <v>59</v>
      </c>
      <c r="AD10659" t="s">
        <v>59</v>
      </c>
      <c r="AF10659" s="1">
        <v>43348</v>
      </c>
      <c r="AG10659" t="s">
        <v>8645</v>
      </c>
      <c r="AH10659" t="s">
        <v>8646</v>
      </c>
      <c r="AI10659" t="str">
        <f>"9500021"</f>
        <v>9500021</v>
      </c>
      <c r="AJ10659" t="s">
        <v>14054</v>
      </c>
      <c r="AK10659">
        <v>2825096298</v>
      </c>
      <c r="AL10659" t="s">
        <v>14055</v>
      </c>
      <c r="AM10659" t="s">
        <v>88</v>
      </c>
      <c r="AN10659" t="s">
        <v>6775</v>
      </c>
      <c r="AO10659" t="s">
        <v>13929</v>
      </c>
      <c r="AP10659" t="s">
        <v>14056</v>
      </c>
      <c r="AQ10659">
        <v>8</v>
      </c>
      <c r="AR10659" t="s">
        <v>89</v>
      </c>
      <c r="AS10659" t="s">
        <v>90</v>
      </c>
      <c r="AT10659" t="s">
        <v>58</v>
      </c>
      <c r="AU10659" t="s">
        <v>350</v>
      </c>
      <c r="AV10659" t="s">
        <v>132</v>
      </c>
      <c r="AW10659" s="1">
        <v>32918</v>
      </c>
      <c r="AX10659">
        <v>1</v>
      </c>
    </row>
    <row r="10660" spans="1:50">
      <c r="A10660">
        <v>618676</v>
      </c>
      <c r="B10660" t="str">
        <f>"132451668"</f>
        <v>132451668</v>
      </c>
      <c r="C10660" t="s">
        <v>105</v>
      </c>
      <c r="D10660" t="s">
        <v>13764</v>
      </c>
      <c r="E10660" t="s">
        <v>72</v>
      </c>
      <c r="F10660" t="s">
        <v>99</v>
      </c>
      <c r="G10660" t="s">
        <v>513</v>
      </c>
      <c r="H10660" t="str">
        <f>"ΟΛΥΜΠΙΑΔΑ ΟΛΥΜΠΙΑΔΑ - ΧΑΛΚΙΔΙΚΗΣ"</f>
        <v>ΟΛΥΜΠΙΑΔΑ ΟΛΥΜΠΙΑΔΑ - ΧΑΛΚΙΔΙΚΗΣ</v>
      </c>
      <c r="I10660">
        <v>57014</v>
      </c>
      <c r="J10660">
        <v>2376051194</v>
      </c>
      <c r="K10660">
        <v>6974714590</v>
      </c>
      <c r="M10660" t="s">
        <v>15541</v>
      </c>
      <c r="N10660" t="s">
        <v>615</v>
      </c>
      <c r="O10660" t="s">
        <v>616</v>
      </c>
      <c r="R10660" t="s">
        <v>57</v>
      </c>
      <c r="S10660">
        <v>7</v>
      </c>
      <c r="T10660">
        <v>774</v>
      </c>
      <c r="U10660" s="1">
        <v>39680</v>
      </c>
      <c r="V10660" t="s">
        <v>89</v>
      </c>
      <c r="W10660" t="s">
        <v>90</v>
      </c>
      <c r="X10660" t="s">
        <v>58</v>
      </c>
      <c r="Y10660">
        <v>23</v>
      </c>
      <c r="Z10660" t="s">
        <v>59</v>
      </c>
      <c r="AA10660" t="s">
        <v>59</v>
      </c>
      <c r="AB10660" t="s">
        <v>59</v>
      </c>
      <c r="AC10660" t="s">
        <v>59</v>
      </c>
      <c r="AD10660" t="s">
        <v>59</v>
      </c>
      <c r="AF10660" s="1">
        <v>39681</v>
      </c>
      <c r="AG10660" t="s">
        <v>8645</v>
      </c>
      <c r="AH10660" t="s">
        <v>8646</v>
      </c>
      <c r="AI10660" t="str">
        <f>"9500407"</f>
        <v>9500407</v>
      </c>
      <c r="AJ10660" t="s">
        <v>13867</v>
      </c>
      <c r="AK10660">
        <v>2821089224</v>
      </c>
      <c r="AL10660" t="s">
        <v>13868</v>
      </c>
      <c r="AM10660" t="s">
        <v>88</v>
      </c>
      <c r="AN10660" t="s">
        <v>88</v>
      </c>
      <c r="AO10660" t="s">
        <v>6748</v>
      </c>
      <c r="AP10660" t="s">
        <v>6748</v>
      </c>
      <c r="AQ10660">
        <v>2</v>
      </c>
      <c r="AR10660" t="s">
        <v>89</v>
      </c>
      <c r="AS10660" t="s">
        <v>90</v>
      </c>
      <c r="AT10660" t="s">
        <v>58</v>
      </c>
      <c r="AU10660" t="s">
        <v>68</v>
      </c>
      <c r="AV10660" t="s">
        <v>69</v>
      </c>
      <c r="AW10660" s="1">
        <v>30933</v>
      </c>
      <c r="AX10660">
        <v>1</v>
      </c>
    </row>
    <row r="10661" spans="1:50">
      <c r="A10661">
        <v>615532</v>
      </c>
      <c r="B10661" t="str">
        <f>"049980070"</f>
        <v>049980070</v>
      </c>
      <c r="C10661" t="s">
        <v>50</v>
      </c>
      <c r="D10661" t="s">
        <v>8492</v>
      </c>
      <c r="E10661" t="s">
        <v>83</v>
      </c>
      <c r="F10661" t="s">
        <v>99</v>
      </c>
      <c r="G10661" t="s">
        <v>52</v>
      </c>
      <c r="H10661" t="str">
        <f>"Ν.ΠΛΑΣΤΗΡΑ 67 ΜΟΥΡΝΙΕΣ-ΧΑΝΙΑ"</f>
        <v>Ν.ΠΛΑΣΤΗΡΑ 67 ΜΟΥΡΝΙΕΣ-ΧΑΝΙΑ</v>
      </c>
      <c r="I10661">
        <v>73100</v>
      </c>
      <c r="J10661">
        <v>2841023111</v>
      </c>
      <c r="K10661">
        <v>6977281750</v>
      </c>
      <c r="M10661" t="s">
        <v>15542</v>
      </c>
      <c r="N10661" t="s">
        <v>1525</v>
      </c>
      <c r="O10661" t="s">
        <v>1526</v>
      </c>
      <c r="R10661" t="s">
        <v>57</v>
      </c>
      <c r="S10661">
        <v>8</v>
      </c>
      <c r="T10661">
        <v>598</v>
      </c>
      <c r="U10661" s="1">
        <v>39310</v>
      </c>
      <c r="V10661" t="s">
        <v>89</v>
      </c>
      <c r="W10661" t="s">
        <v>90</v>
      </c>
      <c r="X10661" t="s">
        <v>58</v>
      </c>
      <c r="Y10661">
        <v>25</v>
      </c>
      <c r="Z10661" t="s">
        <v>59</v>
      </c>
      <c r="AA10661" t="s">
        <v>59</v>
      </c>
      <c r="AB10661" t="s">
        <v>59</v>
      </c>
      <c r="AC10661" t="s">
        <v>59</v>
      </c>
      <c r="AD10661" t="s">
        <v>59</v>
      </c>
      <c r="AF10661" s="1">
        <v>39310</v>
      </c>
      <c r="AG10661" t="s">
        <v>8651</v>
      </c>
      <c r="AH10661" t="s">
        <v>8652</v>
      </c>
      <c r="AI10661" t="str">
        <f>"9500387"</f>
        <v>9500387</v>
      </c>
      <c r="AJ10661" t="s">
        <v>14881</v>
      </c>
      <c r="AK10661">
        <v>2824022332</v>
      </c>
      <c r="AL10661" t="s">
        <v>14882</v>
      </c>
      <c r="AM10661" t="s">
        <v>88</v>
      </c>
      <c r="AN10661" t="s">
        <v>6764</v>
      </c>
      <c r="AO10661" t="s">
        <v>6799</v>
      </c>
      <c r="AP10661" t="s">
        <v>6523</v>
      </c>
      <c r="AQ10661">
        <v>6</v>
      </c>
      <c r="AR10661" t="s">
        <v>89</v>
      </c>
      <c r="AS10661" t="s">
        <v>90</v>
      </c>
      <c r="AT10661" t="s">
        <v>58</v>
      </c>
      <c r="AU10661" t="s">
        <v>68</v>
      </c>
      <c r="AV10661" t="s">
        <v>69</v>
      </c>
      <c r="AW10661" s="1">
        <v>29249</v>
      </c>
      <c r="AX10661">
        <v>1</v>
      </c>
    </row>
    <row r="10662" spans="1:50">
      <c r="A10662">
        <v>575551</v>
      </c>
      <c r="B10662" t="str">
        <f>"037123580"</f>
        <v>037123580</v>
      </c>
      <c r="C10662" t="s">
        <v>105</v>
      </c>
      <c r="D10662" t="s">
        <v>8494</v>
      </c>
      <c r="E10662" t="s">
        <v>95</v>
      </c>
      <c r="F10662" t="s">
        <v>72</v>
      </c>
      <c r="G10662" t="s">
        <v>1189</v>
      </c>
      <c r="H10662" t="str">
        <f>"ΑΛΙΚΑΜΠΟΣ ΧΑΝΙΑ"</f>
        <v>ΑΛΙΚΑΜΠΟΣ ΧΑΝΙΑ</v>
      </c>
      <c r="I10662">
        <v>73007</v>
      </c>
      <c r="K10662">
        <v>6972841349</v>
      </c>
      <c r="N10662" t="s">
        <v>615</v>
      </c>
      <c r="O10662" t="s">
        <v>616</v>
      </c>
      <c r="R10662" t="s">
        <v>57</v>
      </c>
      <c r="S10662">
        <v>13</v>
      </c>
      <c r="T10662">
        <v>184</v>
      </c>
      <c r="U10662" s="1">
        <v>34941</v>
      </c>
      <c r="V10662" t="s">
        <v>89</v>
      </c>
      <c r="W10662" t="s">
        <v>90</v>
      </c>
      <c r="X10662" t="s">
        <v>58</v>
      </c>
      <c r="Y10662">
        <v>21</v>
      </c>
      <c r="Z10662" t="s">
        <v>59</v>
      </c>
      <c r="AA10662" t="s">
        <v>59</v>
      </c>
      <c r="AB10662" t="s">
        <v>59</v>
      </c>
      <c r="AC10662" t="s">
        <v>59</v>
      </c>
      <c r="AD10662" t="s">
        <v>59</v>
      </c>
      <c r="AF10662" s="1">
        <v>34941</v>
      </c>
      <c r="AG10662" t="s">
        <v>8645</v>
      </c>
      <c r="AH10662" t="s">
        <v>8646</v>
      </c>
      <c r="AI10662" t="str">
        <f>"9500006"</f>
        <v>9500006</v>
      </c>
      <c r="AJ10662" t="s">
        <v>14060</v>
      </c>
      <c r="AK10662">
        <v>2825051220</v>
      </c>
      <c r="AL10662" t="s">
        <v>14061</v>
      </c>
      <c r="AM10662" t="s">
        <v>88</v>
      </c>
      <c r="AN10662" t="s">
        <v>6775</v>
      </c>
      <c r="AO10662" t="s">
        <v>6781</v>
      </c>
      <c r="AP10662" t="s">
        <v>6782</v>
      </c>
      <c r="AQ10662">
        <v>8</v>
      </c>
      <c r="AR10662" t="s">
        <v>89</v>
      </c>
      <c r="AS10662" t="s">
        <v>90</v>
      </c>
      <c r="AT10662" t="s">
        <v>58</v>
      </c>
      <c r="AU10662" t="s">
        <v>68</v>
      </c>
      <c r="AV10662" t="s">
        <v>69</v>
      </c>
      <c r="AW10662" s="1">
        <v>23436</v>
      </c>
      <c r="AX10662">
        <v>1</v>
      </c>
    </row>
    <row r="10663" spans="1:50">
      <c r="A10663">
        <v>701477</v>
      </c>
      <c r="B10663" t="str">
        <f>"130426399"</f>
        <v>130426399</v>
      </c>
      <c r="C10663" t="s">
        <v>50</v>
      </c>
      <c r="D10663" t="s">
        <v>15543</v>
      </c>
      <c r="E10663" t="s">
        <v>52</v>
      </c>
      <c r="F10663" t="s">
        <v>377</v>
      </c>
      <c r="G10663" t="s">
        <v>801</v>
      </c>
      <c r="H10663" t="str">
        <f>"ΠΕΡΙΒΟΛΙΑ ΚΥΔΩΝΙΑΣ "</f>
        <v xml:space="preserve">ΠΕΡΙΒΟΛΙΑ ΚΥΔΩΝΙΑΣ </v>
      </c>
      <c r="I10663">
        <v>73100</v>
      </c>
      <c r="J10663">
        <v>2821096428</v>
      </c>
      <c r="K10663">
        <v>6979492014</v>
      </c>
      <c r="M10663" t="s">
        <v>15544</v>
      </c>
      <c r="N10663" t="s">
        <v>615</v>
      </c>
      <c r="O10663" t="s">
        <v>616</v>
      </c>
      <c r="R10663" t="s">
        <v>57</v>
      </c>
      <c r="S10663">
        <v>4</v>
      </c>
      <c r="T10663">
        <v>772</v>
      </c>
      <c r="U10663" s="1">
        <v>40413</v>
      </c>
      <c r="V10663" t="s">
        <v>89</v>
      </c>
      <c r="W10663" t="s">
        <v>90</v>
      </c>
      <c r="X10663" t="s">
        <v>58</v>
      </c>
      <c r="Y10663">
        <v>24</v>
      </c>
      <c r="Z10663" t="s">
        <v>59</v>
      </c>
      <c r="AA10663" t="s">
        <v>59</v>
      </c>
      <c r="AB10663" t="s">
        <v>59</v>
      </c>
      <c r="AC10663" t="s">
        <v>59</v>
      </c>
      <c r="AD10663" t="s">
        <v>59</v>
      </c>
      <c r="AF10663" s="1">
        <v>40413</v>
      </c>
      <c r="AG10663" t="s">
        <v>8645</v>
      </c>
      <c r="AH10663" t="s">
        <v>8646</v>
      </c>
      <c r="AI10663" t="str">
        <f>"9500148"</f>
        <v>9500148</v>
      </c>
      <c r="AJ10663" t="s">
        <v>13851</v>
      </c>
      <c r="AK10663">
        <v>2821068328</v>
      </c>
      <c r="AL10663" t="s">
        <v>13852</v>
      </c>
      <c r="AM10663" t="s">
        <v>88</v>
      </c>
      <c r="AN10663" t="s">
        <v>88</v>
      </c>
      <c r="AO10663" t="s">
        <v>6785</v>
      </c>
      <c r="AP10663" t="s">
        <v>13853</v>
      </c>
      <c r="AQ10663">
        <v>3</v>
      </c>
      <c r="AR10663" t="s">
        <v>89</v>
      </c>
      <c r="AS10663" t="s">
        <v>90</v>
      </c>
      <c r="AT10663" t="s">
        <v>58</v>
      </c>
      <c r="AU10663" t="s">
        <v>68</v>
      </c>
      <c r="AV10663" t="s">
        <v>69</v>
      </c>
      <c r="AW10663" s="1">
        <v>31058</v>
      </c>
      <c r="AX10663">
        <v>1</v>
      </c>
    </row>
    <row r="10664" spans="1:50">
      <c r="A10664">
        <v>590698</v>
      </c>
      <c r="B10664" t="str">
        <f>"073744675"</f>
        <v>073744675</v>
      </c>
      <c r="C10664" t="s">
        <v>50</v>
      </c>
      <c r="D10664" t="s">
        <v>8495</v>
      </c>
      <c r="E10664" t="s">
        <v>255</v>
      </c>
      <c r="F10664" t="s">
        <v>53</v>
      </c>
      <c r="G10664" t="s">
        <v>15521</v>
      </c>
      <c r="H10664" t="str">
        <f>"ΚΑΜΠΑΝΙ ΑΚΡΩΤΗΡΙΟΥ Τ.Θ 152 ΧΑΝΙΑ"</f>
        <v>ΚΑΜΠΑΝΙ ΑΚΡΩΤΗΡΙΟΥ Τ.Θ 152 ΧΑΝΙΑ</v>
      </c>
      <c r="I10664">
        <v>73100</v>
      </c>
      <c r="J10664">
        <v>2821056679</v>
      </c>
      <c r="K10664">
        <v>6973368150</v>
      </c>
      <c r="N10664" t="s">
        <v>615</v>
      </c>
      <c r="O10664" t="s">
        <v>616</v>
      </c>
      <c r="R10664" t="s">
        <v>57</v>
      </c>
      <c r="S10664">
        <v>13</v>
      </c>
      <c r="T10664">
        <v>181</v>
      </c>
      <c r="U10664" s="1">
        <v>35674</v>
      </c>
      <c r="V10664" t="s">
        <v>89</v>
      </c>
      <c r="W10664" t="s">
        <v>90</v>
      </c>
      <c r="X10664" t="s">
        <v>58</v>
      </c>
      <c r="Y10664">
        <v>21</v>
      </c>
      <c r="Z10664" t="s">
        <v>59</v>
      </c>
      <c r="AA10664" t="s">
        <v>59</v>
      </c>
      <c r="AB10664" t="s">
        <v>59</v>
      </c>
      <c r="AC10664" t="s">
        <v>59</v>
      </c>
      <c r="AD10664" t="s">
        <v>59</v>
      </c>
      <c r="AF10664" s="1">
        <v>35685</v>
      </c>
      <c r="AG10664" t="s">
        <v>8645</v>
      </c>
      <c r="AH10664" t="s">
        <v>14199</v>
      </c>
      <c r="AI10664" t="str">
        <f>"9500140"</f>
        <v>9500140</v>
      </c>
      <c r="AJ10664" t="s">
        <v>14200</v>
      </c>
      <c r="AK10664">
        <v>2821097348</v>
      </c>
      <c r="AL10664" t="s">
        <v>14201</v>
      </c>
      <c r="AM10664" t="s">
        <v>88</v>
      </c>
      <c r="AN10664" t="s">
        <v>88</v>
      </c>
      <c r="AO10664" t="s">
        <v>88</v>
      </c>
      <c r="AP10664" t="s">
        <v>88</v>
      </c>
      <c r="AQ10664">
        <v>1</v>
      </c>
      <c r="AR10664" t="s">
        <v>89</v>
      </c>
      <c r="AS10664" t="s">
        <v>90</v>
      </c>
      <c r="AT10664" t="s">
        <v>58</v>
      </c>
      <c r="AU10664" t="s">
        <v>68</v>
      </c>
      <c r="AV10664" t="s">
        <v>69</v>
      </c>
      <c r="AW10664" s="1">
        <v>26393</v>
      </c>
      <c r="AX10664">
        <v>1</v>
      </c>
    </row>
    <row r="10665" spans="1:50">
      <c r="A10665">
        <v>571502</v>
      </c>
      <c r="B10665" t="str">
        <f>"035493791"</f>
        <v>035493791</v>
      </c>
      <c r="C10665" t="s">
        <v>105</v>
      </c>
      <c r="D10665" t="s">
        <v>15545</v>
      </c>
      <c r="E10665" t="s">
        <v>99</v>
      </c>
      <c r="F10665" t="s">
        <v>5386</v>
      </c>
      <c r="G10665" t="s">
        <v>396</v>
      </c>
      <c r="H10665" t="str">
        <f>"ΠΕΙΡΑΙΩΣ 61 ΧΑΝΙΑ"</f>
        <v>ΠΕΙΡΑΙΩΣ 61 ΧΑΝΙΑ</v>
      </c>
      <c r="I10665">
        <v>73131</v>
      </c>
      <c r="K10665">
        <v>6942565910</v>
      </c>
      <c r="N10665" t="s">
        <v>615</v>
      </c>
      <c r="O10665" t="s">
        <v>616</v>
      </c>
      <c r="R10665" t="s">
        <v>57</v>
      </c>
      <c r="S10665">
        <v>13</v>
      </c>
      <c r="T10665">
        <v>138</v>
      </c>
      <c r="U10665" s="1">
        <v>34206</v>
      </c>
      <c r="V10665" t="s">
        <v>89</v>
      </c>
      <c r="W10665" t="s">
        <v>90</v>
      </c>
      <c r="X10665" t="s">
        <v>58</v>
      </c>
      <c r="Y10665">
        <v>21</v>
      </c>
      <c r="Z10665" t="s">
        <v>59</v>
      </c>
      <c r="AA10665" t="s">
        <v>59</v>
      </c>
      <c r="AB10665" t="s">
        <v>59</v>
      </c>
      <c r="AC10665" t="s">
        <v>59</v>
      </c>
      <c r="AD10665" t="s">
        <v>59</v>
      </c>
      <c r="AF10665" s="1">
        <v>34206</v>
      </c>
      <c r="AG10665" t="s">
        <v>8645</v>
      </c>
      <c r="AH10665" t="s">
        <v>8646</v>
      </c>
      <c r="AI10665" t="str">
        <f>"9500147"</f>
        <v>9500147</v>
      </c>
      <c r="AJ10665" t="s">
        <v>14008</v>
      </c>
      <c r="AK10665">
        <v>2821094573</v>
      </c>
      <c r="AL10665" t="s">
        <v>14009</v>
      </c>
      <c r="AM10665" t="s">
        <v>88</v>
      </c>
      <c r="AN10665" t="s">
        <v>88</v>
      </c>
      <c r="AO10665" t="s">
        <v>88</v>
      </c>
      <c r="AP10665" t="s">
        <v>88</v>
      </c>
      <c r="AQ10665">
        <v>1</v>
      </c>
      <c r="AR10665" t="s">
        <v>89</v>
      </c>
      <c r="AS10665" t="s">
        <v>90</v>
      </c>
      <c r="AT10665" t="s">
        <v>58</v>
      </c>
      <c r="AU10665" t="s">
        <v>68</v>
      </c>
      <c r="AV10665" t="s">
        <v>69</v>
      </c>
      <c r="AW10665" s="1">
        <v>23728</v>
      </c>
      <c r="AX10665">
        <v>1</v>
      </c>
    </row>
    <row r="10666" spans="1:50">
      <c r="A10666">
        <v>701396</v>
      </c>
      <c r="B10666" t="str">
        <f>"125543339"</f>
        <v>125543339</v>
      </c>
      <c r="C10666" t="s">
        <v>105</v>
      </c>
      <c r="D10666" t="s">
        <v>15546</v>
      </c>
      <c r="E10666" t="s">
        <v>92</v>
      </c>
      <c r="F10666" t="s">
        <v>3857</v>
      </c>
      <c r="G10666" t="s">
        <v>96</v>
      </c>
      <c r="H10666" t="str">
        <f>"ΣΟΛΩΜΟΥ 28 ΠΤΟΛΕΜΑΪΔΑ"</f>
        <v>ΣΟΛΩΜΟΥ 28 ΠΤΟΛΕΜΑΪΔΑ</v>
      </c>
      <c r="I10666">
        <v>50200</v>
      </c>
      <c r="J10666">
        <v>2463021481</v>
      </c>
      <c r="K10666">
        <v>6984690433</v>
      </c>
      <c r="L10666">
        <v>2821098973</v>
      </c>
      <c r="N10666" t="s">
        <v>615</v>
      </c>
      <c r="O10666" t="s">
        <v>616</v>
      </c>
      <c r="R10666" t="s">
        <v>57</v>
      </c>
      <c r="S10666">
        <v>6</v>
      </c>
      <c r="T10666">
        <v>772</v>
      </c>
      <c r="U10666" s="1">
        <v>40413</v>
      </c>
      <c r="V10666" t="s">
        <v>89</v>
      </c>
      <c r="W10666" t="s">
        <v>90</v>
      </c>
      <c r="X10666" t="s">
        <v>58</v>
      </c>
      <c r="Y10666">
        <v>24</v>
      </c>
      <c r="Z10666" t="s">
        <v>59</v>
      </c>
      <c r="AA10666" t="s">
        <v>59</v>
      </c>
      <c r="AB10666" t="s">
        <v>59</v>
      </c>
      <c r="AC10666" t="s">
        <v>59</v>
      </c>
      <c r="AD10666" t="s">
        <v>59</v>
      </c>
      <c r="AF10666" s="1">
        <v>40413</v>
      </c>
      <c r="AG10666" t="s">
        <v>8645</v>
      </c>
      <c r="AH10666" t="s">
        <v>8646</v>
      </c>
      <c r="AI10666" t="str">
        <f>"9500148"</f>
        <v>9500148</v>
      </c>
      <c r="AJ10666" t="s">
        <v>13851</v>
      </c>
      <c r="AK10666">
        <v>2821068328</v>
      </c>
      <c r="AL10666" t="s">
        <v>13852</v>
      </c>
      <c r="AM10666" t="s">
        <v>88</v>
      </c>
      <c r="AN10666" t="s">
        <v>88</v>
      </c>
      <c r="AO10666" t="s">
        <v>6785</v>
      </c>
      <c r="AP10666" t="s">
        <v>13853</v>
      </c>
      <c r="AQ10666">
        <v>3</v>
      </c>
      <c r="AR10666" t="s">
        <v>89</v>
      </c>
      <c r="AS10666" t="s">
        <v>90</v>
      </c>
      <c r="AT10666" t="s">
        <v>58</v>
      </c>
      <c r="AU10666" t="s">
        <v>68</v>
      </c>
      <c r="AV10666" t="s">
        <v>69</v>
      </c>
      <c r="AW10666" s="1">
        <v>31328</v>
      </c>
      <c r="AX10666">
        <v>1</v>
      </c>
    </row>
    <row r="10667" spans="1:50">
      <c r="A10667">
        <v>704384</v>
      </c>
      <c r="B10667" t="str">
        <f>"037381309"</f>
        <v>037381309</v>
      </c>
      <c r="C10667" t="s">
        <v>50</v>
      </c>
      <c r="D10667" t="s">
        <v>8500</v>
      </c>
      <c r="E10667" t="s">
        <v>1755</v>
      </c>
      <c r="F10667" t="s">
        <v>106</v>
      </c>
      <c r="H10667" t="str">
        <f>" "</f>
        <v xml:space="preserve"> </v>
      </c>
      <c r="N10667" t="s">
        <v>1525</v>
      </c>
      <c r="O10667" t="s">
        <v>1526</v>
      </c>
      <c r="R10667" t="s">
        <v>57</v>
      </c>
      <c r="S10667">
        <v>13</v>
      </c>
      <c r="T10667">
        <v>9</v>
      </c>
      <c r="U10667" s="1">
        <v>33268</v>
      </c>
      <c r="V10667" t="s">
        <v>89</v>
      </c>
      <c r="W10667" t="s">
        <v>90</v>
      </c>
      <c r="X10667" t="s">
        <v>58</v>
      </c>
      <c r="Y10667">
        <v>25</v>
      </c>
      <c r="Z10667" t="s">
        <v>59</v>
      </c>
      <c r="AA10667" t="s">
        <v>59</v>
      </c>
      <c r="AB10667" t="s">
        <v>59</v>
      </c>
      <c r="AC10667" t="s">
        <v>59</v>
      </c>
      <c r="AD10667" t="s">
        <v>59</v>
      </c>
      <c r="AF10667" s="1">
        <v>33268</v>
      </c>
      <c r="AG10667" t="s">
        <v>8651</v>
      </c>
      <c r="AH10667" t="s">
        <v>9015</v>
      </c>
      <c r="AI10667" t="str">
        <f>"9521566"</f>
        <v>9521566</v>
      </c>
      <c r="AJ10667" t="s">
        <v>15547</v>
      </c>
      <c r="AK10667">
        <v>2821086921</v>
      </c>
      <c r="AL10667" t="s">
        <v>15548</v>
      </c>
      <c r="AM10667" t="s">
        <v>88</v>
      </c>
      <c r="AN10667" t="s">
        <v>88</v>
      </c>
      <c r="AO10667" t="s">
        <v>88</v>
      </c>
      <c r="AP10667" t="s">
        <v>88</v>
      </c>
      <c r="AQ10667">
        <v>1</v>
      </c>
      <c r="AR10667" t="s">
        <v>89</v>
      </c>
      <c r="AS10667" t="s">
        <v>90</v>
      </c>
      <c r="AT10667" t="s">
        <v>58</v>
      </c>
      <c r="AU10667" t="s">
        <v>68</v>
      </c>
      <c r="AV10667" t="s">
        <v>69</v>
      </c>
      <c r="AX10667">
        <v>1</v>
      </c>
    </row>
    <row r="10668" spans="1:50">
      <c r="A10668">
        <v>561347</v>
      </c>
      <c r="B10668" t="str">
        <f>"054223065"</f>
        <v>054223065</v>
      </c>
      <c r="C10668" t="s">
        <v>50</v>
      </c>
      <c r="D10668" t="s">
        <v>8500</v>
      </c>
      <c r="E10668" t="s">
        <v>314</v>
      </c>
      <c r="F10668" t="s">
        <v>99</v>
      </c>
      <c r="G10668" t="s">
        <v>237</v>
      </c>
      <c r="H10668" t="str">
        <f>"ΧΑΤΖΗΜΙΧΑΛΗ ΝΤΑΛΙΑΝΗ 45 ΧΑΝΙΑ"</f>
        <v>ΧΑΤΖΗΜΙΧΑΛΗ ΝΤΑΛΙΑΝΗ 45 ΧΑΝΙΑ</v>
      </c>
      <c r="I10668">
        <v>73100</v>
      </c>
      <c r="J10668">
        <v>2821043749</v>
      </c>
      <c r="K10668">
        <v>6945275337</v>
      </c>
      <c r="N10668" t="s">
        <v>615</v>
      </c>
      <c r="O10668" t="s">
        <v>616</v>
      </c>
      <c r="R10668" t="s">
        <v>57</v>
      </c>
      <c r="S10668">
        <v>16</v>
      </c>
      <c r="T10668">
        <v>159</v>
      </c>
      <c r="U10668" s="1">
        <v>32385</v>
      </c>
      <c r="V10668" t="s">
        <v>89</v>
      </c>
      <c r="W10668" t="s">
        <v>90</v>
      </c>
      <c r="X10668" t="s">
        <v>58</v>
      </c>
      <c r="Y10668">
        <v>21</v>
      </c>
      <c r="Z10668" t="s">
        <v>59</v>
      </c>
      <c r="AA10668" t="s">
        <v>59</v>
      </c>
      <c r="AB10668" t="s">
        <v>59</v>
      </c>
      <c r="AC10668" t="s">
        <v>59</v>
      </c>
      <c r="AD10668" t="s">
        <v>59</v>
      </c>
      <c r="AF10668" s="1">
        <v>32385</v>
      </c>
      <c r="AG10668" t="s">
        <v>8645</v>
      </c>
      <c r="AH10668" t="s">
        <v>8646</v>
      </c>
      <c r="AI10668" t="str">
        <f>"9500147"</f>
        <v>9500147</v>
      </c>
      <c r="AJ10668" t="s">
        <v>14008</v>
      </c>
      <c r="AK10668">
        <v>2821094573</v>
      </c>
      <c r="AL10668" t="s">
        <v>14009</v>
      </c>
      <c r="AM10668" t="s">
        <v>88</v>
      </c>
      <c r="AN10668" t="s">
        <v>88</v>
      </c>
      <c r="AO10668" t="s">
        <v>88</v>
      </c>
      <c r="AP10668" t="s">
        <v>88</v>
      </c>
      <c r="AQ10668">
        <v>1</v>
      </c>
      <c r="AR10668" t="s">
        <v>89</v>
      </c>
      <c r="AS10668" t="s">
        <v>90</v>
      </c>
      <c r="AT10668" t="s">
        <v>58</v>
      </c>
      <c r="AU10668" t="s">
        <v>68</v>
      </c>
      <c r="AV10668" t="s">
        <v>69</v>
      </c>
      <c r="AW10668" s="1">
        <v>20856</v>
      </c>
      <c r="AX10668">
        <v>1</v>
      </c>
    </row>
    <row r="10669" spans="1:50">
      <c r="A10669">
        <v>557419</v>
      </c>
      <c r="B10669" t="str">
        <f>"032045210"</f>
        <v>032045210</v>
      </c>
      <c r="C10669" t="s">
        <v>50</v>
      </c>
      <c r="D10669" t="s">
        <v>4184</v>
      </c>
      <c r="E10669" t="s">
        <v>109</v>
      </c>
      <c r="F10669" t="s">
        <v>72</v>
      </c>
      <c r="G10669" t="s">
        <v>263</v>
      </c>
      <c r="H10669" t="str">
        <f>"ΠΑΡ. ΤΖΙΤΖΙΦΙΑΝΑΚΗ 3Α ΧΑΝΙΑ"</f>
        <v>ΠΑΡ. ΤΖΙΤΖΙΦΙΑΝΑΚΗ 3Α ΧΑΝΙΑ</v>
      </c>
      <c r="J10669">
        <v>2821054608</v>
      </c>
      <c r="K10669">
        <v>6951650100</v>
      </c>
      <c r="N10669" t="s">
        <v>615</v>
      </c>
      <c r="O10669" t="s">
        <v>616</v>
      </c>
      <c r="R10669" t="s">
        <v>57</v>
      </c>
      <c r="S10669">
        <v>16</v>
      </c>
      <c r="T10669">
        <v>168</v>
      </c>
      <c r="U10669" s="1">
        <v>32010</v>
      </c>
      <c r="V10669" t="s">
        <v>89</v>
      </c>
      <c r="W10669" t="s">
        <v>90</v>
      </c>
      <c r="X10669" t="s">
        <v>58</v>
      </c>
      <c r="Y10669">
        <v>21</v>
      </c>
      <c r="Z10669" t="s">
        <v>59</v>
      </c>
      <c r="AA10669" t="s">
        <v>59</v>
      </c>
      <c r="AB10669" t="s">
        <v>59</v>
      </c>
      <c r="AC10669" t="s">
        <v>59</v>
      </c>
      <c r="AD10669" t="s">
        <v>59</v>
      </c>
      <c r="AF10669" s="1">
        <v>32023</v>
      </c>
      <c r="AG10669" t="s">
        <v>8645</v>
      </c>
      <c r="AH10669" t="s">
        <v>8646</v>
      </c>
      <c r="AI10669" t="str">
        <f>"9500315"</f>
        <v>9500315</v>
      </c>
      <c r="AJ10669" t="s">
        <v>14174</v>
      </c>
      <c r="AK10669">
        <v>2821040565</v>
      </c>
      <c r="AL10669" t="s">
        <v>14175</v>
      </c>
      <c r="AM10669" t="s">
        <v>88</v>
      </c>
      <c r="AN10669" t="s">
        <v>88</v>
      </c>
      <c r="AO10669" t="s">
        <v>88</v>
      </c>
      <c r="AP10669" t="s">
        <v>88</v>
      </c>
      <c r="AQ10669">
        <v>1</v>
      </c>
      <c r="AR10669" t="s">
        <v>89</v>
      </c>
      <c r="AS10669" t="s">
        <v>90</v>
      </c>
      <c r="AT10669" t="s">
        <v>58</v>
      </c>
      <c r="AU10669" t="s">
        <v>68</v>
      </c>
      <c r="AV10669" t="s">
        <v>2039</v>
      </c>
      <c r="AW10669" s="1">
        <v>23299</v>
      </c>
      <c r="AX10669">
        <v>1</v>
      </c>
    </row>
    <row r="10670" spans="1:50">
      <c r="B10670" t="str">
        <f>"149618397"</f>
        <v>149618397</v>
      </c>
      <c r="C10670" t="s">
        <v>50</v>
      </c>
      <c r="D10670" t="s">
        <v>4184</v>
      </c>
      <c r="E10670" t="s">
        <v>52</v>
      </c>
      <c r="F10670" t="s">
        <v>154</v>
      </c>
      <c r="G10670" t="s">
        <v>671</v>
      </c>
      <c r="H10670" t="str">
        <f>" "</f>
        <v xml:space="preserve"> </v>
      </c>
      <c r="N10670" t="s">
        <v>1525</v>
      </c>
      <c r="O10670" t="s">
        <v>1526</v>
      </c>
      <c r="R10670" t="s">
        <v>121</v>
      </c>
      <c r="S10670">
        <v>1</v>
      </c>
      <c r="T10670" t="s">
        <v>8670</v>
      </c>
      <c r="U10670" s="1">
        <v>43348</v>
      </c>
      <c r="V10670" t="s">
        <v>89</v>
      </c>
      <c r="W10670" t="s">
        <v>90</v>
      </c>
      <c r="X10670" t="s">
        <v>58</v>
      </c>
      <c r="Y10670">
        <v>25</v>
      </c>
      <c r="Z10670" t="s">
        <v>59</v>
      </c>
      <c r="AD10670" t="s">
        <v>59</v>
      </c>
      <c r="AF10670" s="1">
        <v>43348</v>
      </c>
      <c r="AG10670" t="s">
        <v>8651</v>
      </c>
      <c r="AH10670" t="s">
        <v>8652</v>
      </c>
      <c r="AI10670" t="str">
        <f>"9500421"</f>
        <v>9500421</v>
      </c>
      <c r="AJ10670" t="s">
        <v>14066</v>
      </c>
      <c r="AK10670">
        <v>2831061184</v>
      </c>
      <c r="AL10670" t="s">
        <v>14067</v>
      </c>
      <c r="AM10670" t="s">
        <v>88</v>
      </c>
      <c r="AN10670" t="s">
        <v>6775</v>
      </c>
      <c r="AO10670" t="s">
        <v>13929</v>
      </c>
      <c r="AP10670" t="s">
        <v>14068</v>
      </c>
      <c r="AQ10670">
        <v>8</v>
      </c>
      <c r="AR10670" t="s">
        <v>89</v>
      </c>
      <c r="AS10670" t="s">
        <v>90</v>
      </c>
      <c r="AT10670" t="s">
        <v>58</v>
      </c>
      <c r="AU10670" t="s">
        <v>8673</v>
      </c>
      <c r="AV10670" t="s">
        <v>132</v>
      </c>
      <c r="AW10670" s="1">
        <v>32826</v>
      </c>
      <c r="AX10670">
        <v>1</v>
      </c>
    </row>
    <row r="10671" spans="1:50">
      <c r="A10671">
        <v>619412</v>
      </c>
      <c r="B10671" t="str">
        <f>"073863455"</f>
        <v>073863455</v>
      </c>
      <c r="C10671" t="s">
        <v>50</v>
      </c>
      <c r="D10671" t="s">
        <v>15549</v>
      </c>
      <c r="E10671" t="s">
        <v>476</v>
      </c>
      <c r="F10671" t="s">
        <v>84</v>
      </c>
      <c r="G10671" t="s">
        <v>658</v>
      </c>
      <c r="H10671" t="str">
        <f>"ΕΜ.ΣΚΑΝΔΑΛΑΚΗ 2 ΧΩΡΑΦΑΚΙΑ"</f>
        <v>ΕΜ.ΣΚΑΝΔΑΛΑΚΗ 2 ΧΩΡΑΦΑΚΙΑ</v>
      </c>
      <c r="I10671">
        <v>73100</v>
      </c>
      <c r="J10671">
        <v>2821039526</v>
      </c>
      <c r="K10671">
        <v>6947686596</v>
      </c>
      <c r="N10671" t="s">
        <v>1525</v>
      </c>
      <c r="O10671" t="s">
        <v>1526</v>
      </c>
      <c r="R10671" t="s">
        <v>57</v>
      </c>
      <c r="S10671">
        <v>5</v>
      </c>
      <c r="T10671">
        <v>774</v>
      </c>
      <c r="U10671" s="1">
        <v>39680</v>
      </c>
      <c r="V10671" t="s">
        <v>89</v>
      </c>
      <c r="W10671" t="s">
        <v>90</v>
      </c>
      <c r="X10671" t="s">
        <v>58</v>
      </c>
      <c r="Y10671">
        <v>25</v>
      </c>
      <c r="Z10671" t="s">
        <v>59</v>
      </c>
      <c r="AA10671" t="s">
        <v>59</v>
      </c>
      <c r="AB10671" t="s">
        <v>59</v>
      </c>
      <c r="AC10671" t="s">
        <v>59</v>
      </c>
      <c r="AD10671" t="s">
        <v>59</v>
      </c>
      <c r="AF10671" s="1">
        <v>39680</v>
      </c>
      <c r="AG10671" t="s">
        <v>8651</v>
      </c>
      <c r="AH10671" t="s">
        <v>8652</v>
      </c>
      <c r="AI10671" t="str">
        <f>"9500295"</f>
        <v>9500295</v>
      </c>
      <c r="AJ10671" t="s">
        <v>14416</v>
      </c>
      <c r="AK10671">
        <v>2821039559</v>
      </c>
      <c r="AL10671" t="s">
        <v>14417</v>
      </c>
      <c r="AM10671" t="s">
        <v>88</v>
      </c>
      <c r="AN10671" t="s">
        <v>88</v>
      </c>
      <c r="AO10671" t="s">
        <v>6770</v>
      </c>
      <c r="AP10671" t="s">
        <v>6771</v>
      </c>
      <c r="AQ10671">
        <v>2</v>
      </c>
      <c r="AR10671" t="s">
        <v>89</v>
      </c>
      <c r="AS10671" t="s">
        <v>90</v>
      </c>
      <c r="AT10671" t="s">
        <v>58</v>
      </c>
      <c r="AU10671" t="s">
        <v>68</v>
      </c>
      <c r="AV10671" t="s">
        <v>69</v>
      </c>
      <c r="AW10671" s="1">
        <v>26075</v>
      </c>
      <c r="AX10671">
        <v>1</v>
      </c>
    </row>
    <row r="10672" spans="1:50">
      <c r="A10672">
        <v>616857</v>
      </c>
      <c r="B10672" t="str">
        <f>"118947147"</f>
        <v>118947147</v>
      </c>
      <c r="C10672" t="s">
        <v>50</v>
      </c>
      <c r="D10672" t="s">
        <v>4192</v>
      </c>
      <c r="E10672" t="s">
        <v>255</v>
      </c>
      <c r="F10672" t="s">
        <v>166</v>
      </c>
      <c r="G10672" t="s">
        <v>15550</v>
      </c>
      <c r="H10672" t="str">
        <f>"ΣΤΕΛΙΟΥ ΦΙΩΤΑΚΗ 20 ΧΑΝΙΑ"</f>
        <v>ΣΤΕΛΙΟΥ ΦΙΩΤΑΚΗ 20 ΧΑΝΙΑ</v>
      </c>
      <c r="I10672">
        <v>73134</v>
      </c>
      <c r="J10672">
        <v>2810257420</v>
      </c>
      <c r="K10672">
        <v>6974703158</v>
      </c>
      <c r="M10672" t="s">
        <v>15551</v>
      </c>
      <c r="N10672" t="s">
        <v>615</v>
      </c>
      <c r="O10672" t="s">
        <v>616</v>
      </c>
      <c r="R10672" t="s">
        <v>57</v>
      </c>
      <c r="S10672">
        <v>6</v>
      </c>
      <c r="T10672">
        <v>774</v>
      </c>
      <c r="U10672" s="1">
        <v>39680</v>
      </c>
      <c r="V10672" t="s">
        <v>89</v>
      </c>
      <c r="W10672" t="s">
        <v>90</v>
      </c>
      <c r="X10672" t="s">
        <v>58</v>
      </c>
      <c r="Y10672">
        <v>23</v>
      </c>
      <c r="Z10672" t="s">
        <v>59</v>
      </c>
      <c r="AA10672" t="s">
        <v>59</v>
      </c>
      <c r="AB10672" t="s">
        <v>59</v>
      </c>
      <c r="AC10672" t="s">
        <v>59</v>
      </c>
      <c r="AD10672" t="s">
        <v>59</v>
      </c>
      <c r="AF10672" s="1">
        <v>39682</v>
      </c>
      <c r="AG10672" t="s">
        <v>8645</v>
      </c>
      <c r="AH10672" t="s">
        <v>8646</v>
      </c>
      <c r="AI10672" t="str">
        <f>"9500360"</f>
        <v>9500360</v>
      </c>
      <c r="AJ10672" t="s">
        <v>14022</v>
      </c>
      <c r="AK10672">
        <v>2821031253</v>
      </c>
      <c r="AL10672" t="s">
        <v>14023</v>
      </c>
      <c r="AM10672" t="s">
        <v>88</v>
      </c>
      <c r="AN10672" t="s">
        <v>88</v>
      </c>
      <c r="AO10672" t="s">
        <v>6785</v>
      </c>
      <c r="AP10672" t="s">
        <v>13932</v>
      </c>
      <c r="AQ10672">
        <v>3</v>
      </c>
      <c r="AR10672" t="s">
        <v>89</v>
      </c>
      <c r="AS10672" t="s">
        <v>90</v>
      </c>
      <c r="AT10672" t="s">
        <v>58</v>
      </c>
      <c r="AU10672" t="s">
        <v>68</v>
      </c>
      <c r="AV10672" t="s">
        <v>69</v>
      </c>
      <c r="AW10672" s="1">
        <v>30054</v>
      </c>
      <c r="AX10672">
        <v>1</v>
      </c>
    </row>
    <row r="10673" spans="1:50">
      <c r="A10673">
        <v>621884</v>
      </c>
      <c r="B10673" t="str">
        <f>"118465970"</f>
        <v>118465970</v>
      </c>
      <c r="C10673" t="s">
        <v>50</v>
      </c>
      <c r="D10673" t="s">
        <v>15552</v>
      </c>
      <c r="E10673" t="s">
        <v>188</v>
      </c>
      <c r="F10673" t="s">
        <v>1897</v>
      </c>
      <c r="G10673" t="s">
        <v>506</v>
      </c>
      <c r="H10673" t="str">
        <f>"ΒΑΜΟΥ 14 ΧΑΝΙΑ"</f>
        <v>ΒΑΜΟΥ 14 ΧΑΝΙΑ</v>
      </c>
      <c r="I10673">
        <v>73134</v>
      </c>
      <c r="J10673">
        <v>2821046290</v>
      </c>
      <c r="K10673">
        <v>6955161083</v>
      </c>
      <c r="N10673" t="s">
        <v>615</v>
      </c>
      <c r="O10673" t="s">
        <v>616</v>
      </c>
      <c r="R10673" t="s">
        <v>57</v>
      </c>
      <c r="S10673">
        <v>5</v>
      </c>
      <c r="T10673">
        <v>653</v>
      </c>
      <c r="U10673" s="1">
        <v>40043</v>
      </c>
      <c r="V10673" t="s">
        <v>89</v>
      </c>
      <c r="W10673" t="s">
        <v>90</v>
      </c>
      <c r="X10673" t="s">
        <v>58</v>
      </c>
      <c r="Y10673">
        <v>23</v>
      </c>
      <c r="Z10673" t="s">
        <v>59</v>
      </c>
      <c r="AA10673" t="s">
        <v>59</v>
      </c>
      <c r="AB10673" t="s">
        <v>59</v>
      </c>
      <c r="AC10673" t="s">
        <v>59</v>
      </c>
      <c r="AD10673" t="s">
        <v>59</v>
      </c>
      <c r="AF10673" s="1">
        <v>40045</v>
      </c>
      <c r="AG10673" t="s">
        <v>8645</v>
      </c>
      <c r="AH10673" t="s">
        <v>8646</v>
      </c>
      <c r="AI10673" t="str">
        <f>"9500071"</f>
        <v>9500071</v>
      </c>
      <c r="AJ10673" t="s">
        <v>14209</v>
      </c>
      <c r="AK10673">
        <v>2821093760</v>
      </c>
      <c r="AL10673" t="s">
        <v>14210</v>
      </c>
      <c r="AM10673" t="s">
        <v>88</v>
      </c>
      <c r="AN10673" t="s">
        <v>88</v>
      </c>
      <c r="AO10673" t="s">
        <v>88</v>
      </c>
      <c r="AP10673" t="s">
        <v>88</v>
      </c>
      <c r="AQ10673">
        <v>1</v>
      </c>
      <c r="AR10673" t="s">
        <v>89</v>
      </c>
      <c r="AS10673" t="s">
        <v>90</v>
      </c>
      <c r="AT10673" t="s">
        <v>58</v>
      </c>
      <c r="AU10673" t="s">
        <v>68</v>
      </c>
      <c r="AV10673" t="s">
        <v>69</v>
      </c>
      <c r="AW10673" s="1">
        <v>28678</v>
      </c>
      <c r="AX10673">
        <v>1</v>
      </c>
    </row>
    <row r="10674" spans="1:50">
      <c r="A10674">
        <v>605750</v>
      </c>
      <c r="B10674" t="str">
        <f>"078972507"</f>
        <v>078972507</v>
      </c>
      <c r="C10674" t="s">
        <v>50</v>
      </c>
      <c r="D10674" t="s">
        <v>15553</v>
      </c>
      <c r="E10674" t="s">
        <v>155</v>
      </c>
      <c r="F10674" t="s">
        <v>900</v>
      </c>
      <c r="G10674" t="s">
        <v>263</v>
      </c>
      <c r="H10674" t="str">
        <f>"ΚΑΛΑΘΑΣ- ΑΚΡΩΤΗΡΙΟΥ ΧΑΝΙΑ"</f>
        <v>ΚΑΛΑΘΑΣ- ΑΚΡΩΤΗΡΙΟΥ ΧΑΝΙΑ</v>
      </c>
      <c r="I10674">
        <v>73100</v>
      </c>
      <c r="J10674">
        <v>2821009063</v>
      </c>
      <c r="K10674">
        <v>6937450018</v>
      </c>
      <c r="N10674" t="s">
        <v>615</v>
      </c>
      <c r="O10674" t="s">
        <v>616</v>
      </c>
      <c r="R10674" t="s">
        <v>57</v>
      </c>
      <c r="S10674">
        <v>8</v>
      </c>
      <c r="T10674">
        <v>231</v>
      </c>
      <c r="U10674" s="1">
        <v>38230</v>
      </c>
      <c r="V10674" t="s">
        <v>89</v>
      </c>
      <c r="W10674" t="s">
        <v>90</v>
      </c>
      <c r="X10674" t="s">
        <v>58</v>
      </c>
      <c r="Y10674">
        <v>22</v>
      </c>
      <c r="Z10674" t="s">
        <v>59</v>
      </c>
      <c r="AA10674" t="s">
        <v>59</v>
      </c>
      <c r="AB10674" t="s">
        <v>59</v>
      </c>
      <c r="AC10674" t="s">
        <v>59</v>
      </c>
      <c r="AD10674" t="s">
        <v>59</v>
      </c>
      <c r="AF10674" s="1">
        <v>38231</v>
      </c>
      <c r="AG10674" t="s">
        <v>8645</v>
      </c>
      <c r="AH10674" t="s">
        <v>8646</v>
      </c>
      <c r="AI10674" t="str">
        <f>"9500093"</f>
        <v>9500093</v>
      </c>
      <c r="AJ10674" t="s">
        <v>13865</v>
      </c>
      <c r="AK10674">
        <v>2821064537</v>
      </c>
      <c r="AL10674" t="s">
        <v>13866</v>
      </c>
      <c r="AM10674" t="s">
        <v>88</v>
      </c>
      <c r="AN10674" t="s">
        <v>88</v>
      </c>
      <c r="AO10674" t="s">
        <v>6770</v>
      </c>
      <c r="AP10674" t="s">
        <v>6771</v>
      </c>
      <c r="AQ10674">
        <v>2</v>
      </c>
      <c r="AR10674" t="s">
        <v>89</v>
      </c>
      <c r="AS10674" t="s">
        <v>90</v>
      </c>
      <c r="AT10674" t="s">
        <v>58</v>
      </c>
      <c r="AU10674" t="s">
        <v>68</v>
      </c>
      <c r="AV10674" t="s">
        <v>69</v>
      </c>
      <c r="AW10674" s="1">
        <v>28150</v>
      </c>
      <c r="AX10674">
        <v>1</v>
      </c>
    </row>
    <row r="10675" spans="1:50">
      <c r="A10675">
        <v>621878</v>
      </c>
      <c r="B10675" t="str">
        <f>"148609620"</f>
        <v>148609620</v>
      </c>
      <c r="C10675" t="s">
        <v>50</v>
      </c>
      <c r="D10675" t="s">
        <v>15554</v>
      </c>
      <c r="E10675" t="s">
        <v>181</v>
      </c>
      <c r="F10675" t="s">
        <v>95</v>
      </c>
      <c r="G10675" t="s">
        <v>460</v>
      </c>
      <c r="H10675" t="str">
        <f>"Π.Π. ΓΕΡΜΑΝΟΥ 12 - ΑΜΠΕΛΟΚΗΠΟΙ ΘΕΣΣΑΛΟΝΙΚΗ"</f>
        <v>Π.Π. ΓΕΡΜΑΝΟΥ 12 - ΑΜΠΕΛΟΚΗΠΟΙ ΘΕΣΣΑΛΟΝΙΚΗ</v>
      </c>
      <c r="I10675">
        <v>56123</v>
      </c>
      <c r="J10675">
        <v>2310739803</v>
      </c>
      <c r="K10675">
        <v>6999739800</v>
      </c>
      <c r="N10675" t="s">
        <v>615</v>
      </c>
      <c r="O10675" t="s">
        <v>616</v>
      </c>
      <c r="R10675" t="s">
        <v>57</v>
      </c>
      <c r="S10675">
        <v>5</v>
      </c>
      <c r="T10675">
        <v>653</v>
      </c>
      <c r="U10675" s="1">
        <v>40043</v>
      </c>
      <c r="V10675" t="s">
        <v>89</v>
      </c>
      <c r="W10675" t="s">
        <v>90</v>
      </c>
      <c r="X10675" t="s">
        <v>58</v>
      </c>
      <c r="Y10675">
        <v>23</v>
      </c>
      <c r="Z10675" t="s">
        <v>59</v>
      </c>
      <c r="AA10675" t="s">
        <v>59</v>
      </c>
      <c r="AB10675" t="s">
        <v>59</v>
      </c>
      <c r="AC10675" t="s">
        <v>59</v>
      </c>
      <c r="AD10675" t="s">
        <v>59</v>
      </c>
      <c r="AF10675" s="1">
        <v>40045</v>
      </c>
      <c r="AG10675" t="s">
        <v>8645</v>
      </c>
      <c r="AH10675" t="s">
        <v>8646</v>
      </c>
      <c r="AI10675" t="str">
        <f>"9500017"</f>
        <v>9500017</v>
      </c>
      <c r="AJ10675" t="s">
        <v>13873</v>
      </c>
      <c r="AK10675">
        <v>2825083173</v>
      </c>
      <c r="AL10675" t="s">
        <v>13874</v>
      </c>
      <c r="AM10675" t="s">
        <v>88</v>
      </c>
      <c r="AN10675" t="s">
        <v>6775</v>
      </c>
      <c r="AO10675" t="s">
        <v>11883</v>
      </c>
      <c r="AP10675" t="s">
        <v>13875</v>
      </c>
      <c r="AQ10675">
        <v>7</v>
      </c>
      <c r="AR10675" t="s">
        <v>89</v>
      </c>
      <c r="AS10675" t="s">
        <v>90</v>
      </c>
      <c r="AT10675" t="s">
        <v>58</v>
      </c>
      <c r="AU10675" t="s">
        <v>68</v>
      </c>
      <c r="AV10675" t="s">
        <v>69</v>
      </c>
      <c r="AW10675" s="1">
        <v>31209</v>
      </c>
      <c r="AX10675">
        <v>1</v>
      </c>
    </row>
    <row r="10676" spans="1:50">
      <c r="B10676" t="str">
        <f>"063609918"</f>
        <v>063609918</v>
      </c>
      <c r="C10676" t="s">
        <v>50</v>
      </c>
      <c r="D10676" t="s">
        <v>4212</v>
      </c>
      <c r="E10676" t="s">
        <v>237</v>
      </c>
      <c r="F10676" t="s">
        <v>95</v>
      </c>
      <c r="G10676" t="s">
        <v>181</v>
      </c>
      <c r="H10676" t="str">
        <f>" "</f>
        <v xml:space="preserve"> </v>
      </c>
      <c r="N10676" t="s">
        <v>9829</v>
      </c>
      <c r="O10676" t="s">
        <v>9830</v>
      </c>
      <c r="R10676" t="s">
        <v>121</v>
      </c>
      <c r="S10676">
        <v>3</v>
      </c>
      <c r="T10676" t="s">
        <v>8835</v>
      </c>
      <c r="U10676" s="1">
        <v>43348</v>
      </c>
      <c r="V10676" t="s">
        <v>89</v>
      </c>
      <c r="W10676" t="s">
        <v>90</v>
      </c>
      <c r="X10676" t="s">
        <v>58</v>
      </c>
      <c r="Y10676">
        <v>25</v>
      </c>
      <c r="Z10676" t="s">
        <v>59</v>
      </c>
      <c r="AA10676" t="s">
        <v>59</v>
      </c>
      <c r="AB10676" t="s">
        <v>59</v>
      </c>
      <c r="AD10676" t="s">
        <v>59</v>
      </c>
      <c r="AF10676" s="1">
        <v>43348</v>
      </c>
      <c r="AG10676" t="s">
        <v>8651</v>
      </c>
      <c r="AH10676" t="s">
        <v>8652</v>
      </c>
      <c r="AI10676" t="str">
        <f>"9500296"</f>
        <v>9500296</v>
      </c>
      <c r="AJ10676" t="s">
        <v>14762</v>
      </c>
      <c r="AK10676">
        <v>2821099519</v>
      </c>
      <c r="AL10676" t="s">
        <v>14763</v>
      </c>
      <c r="AM10676" t="s">
        <v>88</v>
      </c>
      <c r="AN10676" t="s">
        <v>88</v>
      </c>
      <c r="AO10676" t="s">
        <v>6733</v>
      </c>
      <c r="AP10676" t="s">
        <v>6734</v>
      </c>
      <c r="AQ10676">
        <v>2</v>
      </c>
      <c r="AR10676" t="s">
        <v>89</v>
      </c>
      <c r="AS10676" t="s">
        <v>90</v>
      </c>
      <c r="AT10676" t="s">
        <v>58</v>
      </c>
      <c r="AU10676" t="s">
        <v>131</v>
      </c>
      <c r="AV10676" t="s">
        <v>132</v>
      </c>
      <c r="AW10676" s="1">
        <v>33011</v>
      </c>
      <c r="AX10676">
        <v>1</v>
      </c>
    </row>
    <row r="10677" spans="1:50">
      <c r="A10677">
        <v>565178</v>
      </c>
      <c r="B10677" t="str">
        <f>"032045417"</f>
        <v>032045417</v>
      </c>
      <c r="C10677" t="s">
        <v>50</v>
      </c>
      <c r="D10677" t="s">
        <v>4212</v>
      </c>
      <c r="E10677" t="s">
        <v>1189</v>
      </c>
      <c r="F10677" t="s">
        <v>670</v>
      </c>
      <c r="G10677" t="s">
        <v>5820</v>
      </c>
      <c r="H10677" t="str">
        <f>"Α. ΠΑΠΑΝΑΣΤΑΣΙΟΥ 91 ΧΑΝΙΑ"</f>
        <v>Α. ΠΑΠΑΝΑΣΤΑΣΙΟΥ 91 ΧΑΝΙΑ</v>
      </c>
      <c r="I10677">
        <v>73134</v>
      </c>
      <c r="J10677">
        <v>2821056350</v>
      </c>
      <c r="K10677">
        <v>6982695369</v>
      </c>
      <c r="M10677" t="s">
        <v>15555</v>
      </c>
      <c r="N10677" t="s">
        <v>615</v>
      </c>
      <c r="O10677" t="s">
        <v>616</v>
      </c>
      <c r="R10677" t="s">
        <v>57</v>
      </c>
      <c r="S10677">
        <v>15</v>
      </c>
      <c r="T10677">
        <v>161</v>
      </c>
      <c r="U10677" s="1">
        <v>33119</v>
      </c>
      <c r="V10677" t="s">
        <v>89</v>
      </c>
      <c r="W10677" t="s">
        <v>90</v>
      </c>
      <c r="X10677" t="s">
        <v>58</v>
      </c>
      <c r="Y10677">
        <v>21</v>
      </c>
      <c r="Z10677" t="s">
        <v>59</v>
      </c>
      <c r="AA10677" t="s">
        <v>59</v>
      </c>
      <c r="AB10677" t="s">
        <v>59</v>
      </c>
      <c r="AC10677" t="s">
        <v>59</v>
      </c>
      <c r="AD10677" t="s">
        <v>59</v>
      </c>
      <c r="AF10677" s="1">
        <v>33119</v>
      </c>
      <c r="AG10677" t="s">
        <v>8645</v>
      </c>
      <c r="AH10677" t="s">
        <v>8646</v>
      </c>
      <c r="AI10677" t="str">
        <f>"9500338"</f>
        <v>9500338</v>
      </c>
      <c r="AJ10677" t="s">
        <v>13959</v>
      </c>
      <c r="AK10677">
        <v>2821040556</v>
      </c>
      <c r="AL10677" t="s">
        <v>13960</v>
      </c>
      <c r="AM10677" t="s">
        <v>88</v>
      </c>
      <c r="AN10677" t="s">
        <v>88</v>
      </c>
      <c r="AO10677" t="s">
        <v>88</v>
      </c>
      <c r="AP10677" t="s">
        <v>88</v>
      </c>
      <c r="AQ10677">
        <v>1</v>
      </c>
      <c r="AR10677" t="s">
        <v>89</v>
      </c>
      <c r="AS10677" t="s">
        <v>90</v>
      </c>
      <c r="AT10677" t="s">
        <v>58</v>
      </c>
      <c r="AU10677" t="s">
        <v>68</v>
      </c>
      <c r="AV10677" t="s">
        <v>69</v>
      </c>
      <c r="AW10677" s="1">
        <v>24286</v>
      </c>
      <c r="AX10677">
        <v>1</v>
      </c>
    </row>
    <row r="10678" spans="1:50">
      <c r="B10678" t="str">
        <f>"143607581"</f>
        <v>143607581</v>
      </c>
      <c r="C10678" t="s">
        <v>50</v>
      </c>
      <c r="D10678" t="s">
        <v>4212</v>
      </c>
      <c r="E10678" t="s">
        <v>15556</v>
      </c>
      <c r="F10678" t="s">
        <v>72</v>
      </c>
      <c r="G10678" t="s">
        <v>83</v>
      </c>
      <c r="H10678" t="str">
        <f>"ΛΕΝΤΑΡΗ "</f>
        <v xml:space="preserve">ΛΕΝΤΑΡΗ </v>
      </c>
      <c r="I10678">
        <v>73400</v>
      </c>
      <c r="J10678">
        <v>2822023750</v>
      </c>
      <c r="K10678">
        <v>6981904008</v>
      </c>
      <c r="N10678" t="s">
        <v>615</v>
      </c>
      <c r="O10678" t="s">
        <v>616</v>
      </c>
      <c r="R10678" t="s">
        <v>159</v>
      </c>
      <c r="S10678">
        <v>3</v>
      </c>
      <c r="T10678" t="s">
        <v>8675</v>
      </c>
      <c r="U10678" s="1">
        <v>43348</v>
      </c>
      <c r="V10678" t="s">
        <v>89</v>
      </c>
      <c r="W10678" t="s">
        <v>90</v>
      </c>
      <c r="X10678" t="s">
        <v>58</v>
      </c>
      <c r="Y10678">
        <v>24</v>
      </c>
      <c r="Z10678" t="s">
        <v>59</v>
      </c>
      <c r="AA10678" t="s">
        <v>59</v>
      </c>
      <c r="AB10678" t="s">
        <v>59</v>
      </c>
      <c r="AC10678" t="s">
        <v>59</v>
      </c>
      <c r="AD10678" t="s">
        <v>59</v>
      </c>
      <c r="AF10678" s="1">
        <v>43348</v>
      </c>
      <c r="AG10678" t="s">
        <v>8645</v>
      </c>
      <c r="AH10678" t="s">
        <v>8646</v>
      </c>
      <c r="AI10678" t="str">
        <f>"9500225"</f>
        <v>9500225</v>
      </c>
      <c r="AJ10678" t="s">
        <v>14058</v>
      </c>
      <c r="AK10678">
        <v>2822041233</v>
      </c>
      <c r="AL10678" t="s">
        <v>14059</v>
      </c>
      <c r="AM10678" t="s">
        <v>88</v>
      </c>
      <c r="AN10678" t="s">
        <v>6744</v>
      </c>
      <c r="AO10678" t="s">
        <v>6744</v>
      </c>
      <c r="AP10678" t="s">
        <v>13045</v>
      </c>
      <c r="AQ10678">
        <v>9</v>
      </c>
      <c r="AR10678" t="s">
        <v>89</v>
      </c>
      <c r="AS10678" t="s">
        <v>90</v>
      </c>
      <c r="AT10678" t="s">
        <v>58</v>
      </c>
      <c r="AU10678" t="s">
        <v>8673</v>
      </c>
      <c r="AV10678" t="s">
        <v>132</v>
      </c>
      <c r="AW10678" s="1">
        <v>32338</v>
      </c>
      <c r="AX10678">
        <v>1</v>
      </c>
    </row>
    <row r="10679" spans="1:50">
      <c r="A10679">
        <v>601660</v>
      </c>
      <c r="B10679" t="str">
        <f>"061000714"</f>
        <v>061000714</v>
      </c>
      <c r="C10679" t="s">
        <v>50</v>
      </c>
      <c r="D10679" t="s">
        <v>4212</v>
      </c>
      <c r="E10679" t="s">
        <v>255</v>
      </c>
      <c r="F10679" t="s">
        <v>92</v>
      </c>
      <c r="G10679" t="s">
        <v>237</v>
      </c>
      <c r="H10679" t="str">
        <f>"ΧΑΛΗΔΩΝ 17 ΧΑΝΙΑ"</f>
        <v>ΧΑΛΗΔΩΝ 17 ΧΑΝΙΑ</v>
      </c>
      <c r="I10679">
        <v>73100</v>
      </c>
      <c r="J10679">
        <v>2821080146</v>
      </c>
      <c r="K10679">
        <v>6948882730</v>
      </c>
      <c r="N10679" t="s">
        <v>615</v>
      </c>
      <c r="O10679" t="s">
        <v>616</v>
      </c>
      <c r="R10679" t="s">
        <v>57</v>
      </c>
      <c r="S10679">
        <v>14</v>
      </c>
      <c r="T10679">
        <v>207</v>
      </c>
      <c r="U10679" s="1">
        <v>37866</v>
      </c>
      <c r="V10679" t="s">
        <v>89</v>
      </c>
      <c r="W10679" t="s">
        <v>90</v>
      </c>
      <c r="X10679" t="s">
        <v>58</v>
      </c>
      <c r="Y10679">
        <v>22</v>
      </c>
      <c r="Z10679" t="s">
        <v>59</v>
      </c>
      <c r="AA10679" t="s">
        <v>59</v>
      </c>
      <c r="AB10679" t="s">
        <v>59</v>
      </c>
      <c r="AC10679" t="s">
        <v>59</v>
      </c>
      <c r="AD10679" t="s">
        <v>59</v>
      </c>
      <c r="AF10679" s="1">
        <v>37866</v>
      </c>
      <c r="AG10679" t="s">
        <v>8645</v>
      </c>
      <c r="AH10679" t="s">
        <v>8646</v>
      </c>
      <c r="AI10679" t="str">
        <f>"9500103"</f>
        <v>9500103</v>
      </c>
      <c r="AJ10679" t="s">
        <v>14040</v>
      </c>
      <c r="AK10679">
        <v>2821090920</v>
      </c>
      <c r="AL10679" t="s">
        <v>14041</v>
      </c>
      <c r="AM10679" t="s">
        <v>88</v>
      </c>
      <c r="AN10679" t="s">
        <v>88</v>
      </c>
      <c r="AO10679" t="s">
        <v>6733</v>
      </c>
      <c r="AP10679" t="s">
        <v>6734</v>
      </c>
      <c r="AQ10679">
        <v>2</v>
      </c>
      <c r="AR10679" t="s">
        <v>89</v>
      </c>
      <c r="AS10679" t="s">
        <v>90</v>
      </c>
      <c r="AT10679" t="s">
        <v>58</v>
      </c>
      <c r="AU10679" t="s">
        <v>68</v>
      </c>
      <c r="AV10679" t="s">
        <v>69</v>
      </c>
      <c r="AW10679" s="1">
        <v>27627</v>
      </c>
      <c r="AX10679">
        <v>1</v>
      </c>
    </row>
    <row r="10680" spans="1:50">
      <c r="A10680">
        <v>224588</v>
      </c>
      <c r="B10680" t="str">
        <f>"066837527"</f>
        <v>066837527</v>
      </c>
      <c r="C10680" t="s">
        <v>50</v>
      </c>
      <c r="D10680" t="s">
        <v>4212</v>
      </c>
      <c r="E10680" t="s">
        <v>2264</v>
      </c>
      <c r="F10680" t="s">
        <v>92</v>
      </c>
      <c r="G10680" t="s">
        <v>237</v>
      </c>
      <c r="H10680" t="str">
        <f>"ΣΥΡΟΥ 14 ΧΑΝΙΑ"</f>
        <v>ΣΥΡΟΥ 14 ΧΑΝΙΑ</v>
      </c>
      <c r="I10680">
        <v>73100</v>
      </c>
      <c r="J10680">
        <v>2821042623</v>
      </c>
      <c r="K10680">
        <v>6972890953</v>
      </c>
      <c r="M10680" t="s">
        <v>15557</v>
      </c>
      <c r="N10680" t="s">
        <v>288</v>
      </c>
      <c r="O10680" t="s">
        <v>289</v>
      </c>
      <c r="P10680" t="s">
        <v>1116</v>
      </c>
      <c r="Q10680" t="s">
        <v>1117</v>
      </c>
      <c r="R10680" t="s">
        <v>57</v>
      </c>
      <c r="S10680">
        <v>5</v>
      </c>
      <c r="T10680">
        <v>775</v>
      </c>
      <c r="U10680" s="1">
        <v>39680</v>
      </c>
      <c r="V10680" t="s">
        <v>89</v>
      </c>
      <c r="W10680" t="s">
        <v>90</v>
      </c>
      <c r="X10680" t="s">
        <v>58</v>
      </c>
      <c r="Y10680">
        <v>23</v>
      </c>
      <c r="Z10680" t="s">
        <v>59</v>
      </c>
      <c r="AA10680" t="s">
        <v>59</v>
      </c>
      <c r="AB10680" t="s">
        <v>59</v>
      </c>
      <c r="AC10680" t="s">
        <v>59</v>
      </c>
      <c r="AD10680" t="s">
        <v>59</v>
      </c>
      <c r="AF10680" s="1">
        <v>39681</v>
      </c>
      <c r="AG10680" t="s">
        <v>60</v>
      </c>
      <c r="AH10680" t="s">
        <v>453</v>
      </c>
      <c r="AI10680" t="str">
        <f>"9950101"</f>
        <v>9950101</v>
      </c>
      <c r="AJ10680" t="s">
        <v>90</v>
      </c>
      <c r="AK10680">
        <v>2821047300</v>
      </c>
      <c r="AL10680" t="s">
        <v>14226</v>
      </c>
      <c r="AM10680" t="s">
        <v>88</v>
      </c>
      <c r="AN10680" t="s">
        <v>88</v>
      </c>
      <c r="AO10680" t="s">
        <v>88</v>
      </c>
      <c r="AP10680" t="s">
        <v>88</v>
      </c>
      <c r="AS10680" t="s">
        <v>90</v>
      </c>
      <c r="AT10680" t="s">
        <v>58</v>
      </c>
      <c r="AU10680" t="s">
        <v>68</v>
      </c>
      <c r="AV10680" t="s">
        <v>455</v>
      </c>
      <c r="AW10680" s="1">
        <v>28655</v>
      </c>
      <c r="AX10680">
        <v>1</v>
      </c>
    </row>
    <row r="10681" spans="1:50">
      <c r="A10681">
        <v>575953</v>
      </c>
      <c r="B10681" t="str">
        <f>"074087005"</f>
        <v>074087005</v>
      </c>
      <c r="C10681" t="s">
        <v>50</v>
      </c>
      <c r="D10681" t="s">
        <v>4212</v>
      </c>
      <c r="E10681" t="s">
        <v>52</v>
      </c>
      <c r="F10681" t="s">
        <v>166</v>
      </c>
      <c r="G10681" t="s">
        <v>1452</v>
      </c>
      <c r="H10681" t="str">
        <f>"ΓΙΑΜΠΟΥΔΑΚΗ 54 ΡΕΘΥΜΝΟ"</f>
        <v>ΓΙΑΜΠΟΥΔΑΚΗ 54 ΡΕΘΥΜΝΟ</v>
      </c>
      <c r="I10681">
        <v>74100</v>
      </c>
      <c r="J10681">
        <v>2831054206</v>
      </c>
      <c r="K10681">
        <v>6977575851</v>
      </c>
      <c r="N10681" t="s">
        <v>615</v>
      </c>
      <c r="O10681" t="s">
        <v>616</v>
      </c>
      <c r="R10681" t="s">
        <v>57</v>
      </c>
      <c r="S10681">
        <v>13</v>
      </c>
      <c r="T10681">
        <v>184</v>
      </c>
      <c r="U10681" s="1">
        <v>34941</v>
      </c>
      <c r="V10681" t="s">
        <v>89</v>
      </c>
      <c r="W10681" t="s">
        <v>90</v>
      </c>
      <c r="X10681" t="s">
        <v>58</v>
      </c>
      <c r="Y10681">
        <v>21</v>
      </c>
      <c r="Z10681" t="s">
        <v>59</v>
      </c>
      <c r="AA10681" t="s">
        <v>59</v>
      </c>
      <c r="AB10681" t="s">
        <v>59</v>
      </c>
      <c r="AC10681" t="s">
        <v>59</v>
      </c>
      <c r="AD10681" t="s">
        <v>59</v>
      </c>
      <c r="AF10681" s="1">
        <v>34946</v>
      </c>
      <c r="AG10681" t="s">
        <v>8645</v>
      </c>
      <c r="AH10681" t="s">
        <v>8646</v>
      </c>
      <c r="AI10681" t="str">
        <f>"9500144"</f>
        <v>9500144</v>
      </c>
      <c r="AJ10681" t="s">
        <v>14010</v>
      </c>
      <c r="AK10681">
        <v>2821094171</v>
      </c>
      <c r="AL10681" t="s">
        <v>14011</v>
      </c>
      <c r="AM10681" t="s">
        <v>88</v>
      </c>
      <c r="AN10681" t="s">
        <v>88</v>
      </c>
      <c r="AO10681" t="s">
        <v>88</v>
      </c>
      <c r="AP10681" t="s">
        <v>88</v>
      </c>
      <c r="AQ10681">
        <v>1</v>
      </c>
      <c r="AR10681" t="s">
        <v>89</v>
      </c>
      <c r="AS10681" t="s">
        <v>90</v>
      </c>
      <c r="AT10681" t="s">
        <v>58</v>
      </c>
      <c r="AU10681" t="s">
        <v>68</v>
      </c>
      <c r="AV10681" t="s">
        <v>69</v>
      </c>
      <c r="AW10681" s="1">
        <v>24185</v>
      </c>
      <c r="AX10681">
        <v>1</v>
      </c>
    </row>
    <row r="10682" spans="1:50">
      <c r="A10682">
        <v>616800</v>
      </c>
      <c r="B10682" t="str">
        <f>"136438987"</f>
        <v>136438987</v>
      </c>
      <c r="C10682" t="s">
        <v>105</v>
      </c>
      <c r="D10682" t="s">
        <v>5573</v>
      </c>
      <c r="E10682" t="s">
        <v>154</v>
      </c>
      <c r="F10682" t="s">
        <v>72</v>
      </c>
      <c r="G10682" t="s">
        <v>109</v>
      </c>
      <c r="H10682" t="str">
        <f>"ΟΔΥΣΣΕΑ ΑΝΔΡΟΥΤΣΟΥ 12 ΧΑΝΙΑ"</f>
        <v>ΟΔΥΣΣΕΑ ΑΝΔΡΟΥΤΣΟΥ 12 ΧΑΝΙΑ</v>
      </c>
      <c r="I10682">
        <v>73100</v>
      </c>
      <c r="J10682">
        <v>2821072176</v>
      </c>
      <c r="K10682">
        <v>6945687227</v>
      </c>
      <c r="N10682" t="s">
        <v>615</v>
      </c>
      <c r="O10682" t="s">
        <v>616</v>
      </c>
      <c r="R10682" t="s">
        <v>57</v>
      </c>
      <c r="S10682">
        <v>6</v>
      </c>
      <c r="T10682">
        <v>774</v>
      </c>
      <c r="U10682" s="1">
        <v>39680</v>
      </c>
      <c r="V10682" t="s">
        <v>89</v>
      </c>
      <c r="W10682" t="s">
        <v>90</v>
      </c>
      <c r="X10682" t="s">
        <v>58</v>
      </c>
      <c r="Y10682">
        <v>23</v>
      </c>
      <c r="Z10682" t="s">
        <v>59</v>
      </c>
      <c r="AA10682" t="s">
        <v>59</v>
      </c>
      <c r="AB10682" t="s">
        <v>59</v>
      </c>
      <c r="AC10682" t="s">
        <v>59</v>
      </c>
      <c r="AD10682" t="s">
        <v>59</v>
      </c>
      <c r="AF10682" s="1">
        <v>39680</v>
      </c>
      <c r="AG10682" t="s">
        <v>8645</v>
      </c>
      <c r="AH10682" t="s">
        <v>8646</v>
      </c>
      <c r="AI10682" t="str">
        <f>"9500408"</f>
        <v>9500408</v>
      </c>
      <c r="AJ10682" t="s">
        <v>13981</v>
      </c>
      <c r="AK10682">
        <v>2821081655</v>
      </c>
      <c r="AL10682" t="s">
        <v>13982</v>
      </c>
      <c r="AM10682" t="s">
        <v>88</v>
      </c>
      <c r="AN10682" t="s">
        <v>88</v>
      </c>
      <c r="AO10682" t="s">
        <v>6748</v>
      </c>
      <c r="AP10682" t="s">
        <v>6748</v>
      </c>
      <c r="AQ10682">
        <v>2</v>
      </c>
      <c r="AR10682" t="s">
        <v>89</v>
      </c>
      <c r="AS10682" t="s">
        <v>90</v>
      </c>
      <c r="AT10682" t="s">
        <v>58</v>
      </c>
      <c r="AU10682" t="s">
        <v>68</v>
      </c>
      <c r="AV10682" t="s">
        <v>69</v>
      </c>
      <c r="AW10682" s="1">
        <v>29348</v>
      </c>
      <c r="AX10682">
        <v>1</v>
      </c>
    </row>
    <row r="10683" spans="1:50">
      <c r="A10683">
        <v>554597</v>
      </c>
      <c r="B10683" t="str">
        <f>"028875570"</f>
        <v>028875570</v>
      </c>
      <c r="C10683" t="s">
        <v>105</v>
      </c>
      <c r="D10683" t="s">
        <v>5573</v>
      </c>
      <c r="E10683" t="s">
        <v>154</v>
      </c>
      <c r="F10683" t="s">
        <v>10564</v>
      </c>
      <c r="G10683" t="s">
        <v>83</v>
      </c>
      <c r="H10683" t="str">
        <f>"ΕΛΕΥΘΕΡΩΝ ΣΚΟΠΕΥΤΩΝ 140 ΓΑΛΑΤΑΣ Ν.ΚΥΔΩΝΙΑ"</f>
        <v>ΕΛΕΥΘΕΡΩΝ ΣΚΟΠΕΥΤΩΝ 140 ΓΑΛΑΤΑΣ Ν.ΚΥΔΩΝΙΑ</v>
      </c>
      <c r="I10683">
        <v>73100</v>
      </c>
      <c r="J10683">
        <v>2821076742</v>
      </c>
      <c r="K10683">
        <v>6980882100</v>
      </c>
      <c r="M10683" t="s">
        <v>15558</v>
      </c>
      <c r="N10683" t="s">
        <v>615</v>
      </c>
      <c r="O10683" t="s">
        <v>616</v>
      </c>
      <c r="R10683" t="s">
        <v>57</v>
      </c>
      <c r="S10683">
        <v>17</v>
      </c>
      <c r="T10683">
        <v>200</v>
      </c>
      <c r="U10683" s="1">
        <v>31657</v>
      </c>
      <c r="V10683" t="s">
        <v>89</v>
      </c>
      <c r="W10683" t="s">
        <v>90</v>
      </c>
      <c r="X10683" t="s">
        <v>58</v>
      </c>
      <c r="Y10683">
        <v>21</v>
      </c>
      <c r="Z10683" t="s">
        <v>59</v>
      </c>
      <c r="AA10683" t="s">
        <v>59</v>
      </c>
      <c r="AB10683" t="s">
        <v>59</v>
      </c>
      <c r="AC10683" t="s">
        <v>59</v>
      </c>
      <c r="AD10683" t="s">
        <v>59</v>
      </c>
      <c r="AF10683" s="1">
        <v>31657</v>
      </c>
      <c r="AG10683" t="s">
        <v>8645</v>
      </c>
      <c r="AH10683" t="s">
        <v>8646</v>
      </c>
      <c r="AI10683" t="str">
        <f>"9500119"</f>
        <v>9500119</v>
      </c>
      <c r="AJ10683" t="s">
        <v>14286</v>
      </c>
      <c r="AK10683">
        <v>2821095816</v>
      </c>
      <c r="AL10683" t="s">
        <v>14287</v>
      </c>
      <c r="AM10683" t="s">
        <v>88</v>
      </c>
      <c r="AN10683" t="s">
        <v>88</v>
      </c>
      <c r="AO10683" t="s">
        <v>13920</v>
      </c>
      <c r="AP10683" t="s">
        <v>14029</v>
      </c>
      <c r="AQ10683">
        <v>3</v>
      </c>
      <c r="AR10683" t="s">
        <v>89</v>
      </c>
      <c r="AS10683" t="s">
        <v>90</v>
      </c>
      <c r="AT10683" t="s">
        <v>58</v>
      </c>
      <c r="AU10683" t="s">
        <v>68</v>
      </c>
      <c r="AV10683" t="s">
        <v>69</v>
      </c>
      <c r="AW10683" s="1">
        <v>22525</v>
      </c>
      <c r="AX10683">
        <v>1</v>
      </c>
    </row>
    <row r="10684" spans="1:50">
      <c r="A10684">
        <v>585489</v>
      </c>
      <c r="B10684" t="str">
        <f>"054209279"</f>
        <v>054209279</v>
      </c>
      <c r="C10684" t="s">
        <v>105</v>
      </c>
      <c r="D10684" t="s">
        <v>5573</v>
      </c>
      <c r="E10684" t="s">
        <v>166</v>
      </c>
      <c r="F10684" t="s">
        <v>8855</v>
      </c>
      <c r="G10684" t="s">
        <v>96</v>
      </c>
      <c r="H10684" t="str">
        <f>"ΚΙΣΣΑΜΟΣ-ΗΡΩΩΝ ΠΟΛΥΤΕΧΝΕΙΟΥ ΧΑΝΙΩΝ"</f>
        <v>ΚΙΣΣΑΜΟΣ-ΗΡΩΩΝ ΠΟΛΥΤΕΧΝΕΙΟΥ ΧΑΝΙΩΝ</v>
      </c>
      <c r="I10684">
        <v>73400</v>
      </c>
      <c r="K10684">
        <v>6932434743</v>
      </c>
      <c r="N10684" t="s">
        <v>615</v>
      </c>
      <c r="O10684" t="s">
        <v>616</v>
      </c>
      <c r="R10684" t="s">
        <v>57</v>
      </c>
      <c r="S10684">
        <v>11</v>
      </c>
      <c r="T10684">
        <v>165</v>
      </c>
      <c r="U10684" s="1">
        <v>36040</v>
      </c>
      <c r="V10684" t="s">
        <v>89</v>
      </c>
      <c r="W10684" t="s">
        <v>90</v>
      </c>
      <c r="X10684" t="s">
        <v>58</v>
      </c>
      <c r="Y10684">
        <v>21</v>
      </c>
      <c r="Z10684" t="s">
        <v>59</v>
      </c>
      <c r="AA10684" t="s">
        <v>59</v>
      </c>
      <c r="AB10684" t="s">
        <v>59</v>
      </c>
      <c r="AC10684" t="s">
        <v>59</v>
      </c>
      <c r="AD10684" t="s">
        <v>59</v>
      </c>
      <c r="AF10684" s="1">
        <v>36040</v>
      </c>
      <c r="AG10684" t="s">
        <v>8645</v>
      </c>
      <c r="AH10684" t="s">
        <v>8646</v>
      </c>
      <c r="AI10684" t="str">
        <f>"9500314"</f>
        <v>9500314</v>
      </c>
      <c r="AJ10684" t="s">
        <v>14116</v>
      </c>
      <c r="AK10684">
        <v>2821097640</v>
      </c>
      <c r="AL10684" t="s">
        <v>14117</v>
      </c>
      <c r="AM10684" t="s">
        <v>88</v>
      </c>
      <c r="AN10684" t="s">
        <v>88</v>
      </c>
      <c r="AO10684" t="s">
        <v>88</v>
      </c>
      <c r="AP10684" t="s">
        <v>88</v>
      </c>
      <c r="AQ10684">
        <v>1</v>
      </c>
      <c r="AR10684" t="s">
        <v>89</v>
      </c>
      <c r="AS10684" t="s">
        <v>90</v>
      </c>
      <c r="AT10684" t="s">
        <v>58</v>
      </c>
      <c r="AU10684" t="s">
        <v>68</v>
      </c>
      <c r="AV10684" t="s">
        <v>69</v>
      </c>
      <c r="AW10684" s="1">
        <v>24686</v>
      </c>
      <c r="AX10684">
        <v>1</v>
      </c>
    </row>
    <row r="10685" spans="1:50">
      <c r="A10685">
        <v>563338</v>
      </c>
      <c r="B10685" t="str">
        <f>"031756790"</f>
        <v>031756790</v>
      </c>
      <c r="C10685" t="s">
        <v>105</v>
      </c>
      <c r="D10685" t="s">
        <v>5573</v>
      </c>
      <c r="E10685" t="s">
        <v>72</v>
      </c>
      <c r="F10685" t="s">
        <v>95</v>
      </c>
      <c r="G10685" t="s">
        <v>341</v>
      </c>
      <c r="H10685" t="str">
        <f>"ΚΙΣΑΜΟΣ ΧΑΝΙΩΝ ΧΑΝΙΑ"</f>
        <v>ΚΙΣΑΜΟΣ ΧΑΝΙΩΝ ΧΑΝΙΑ</v>
      </c>
      <c r="I10685">
        <v>73400</v>
      </c>
      <c r="J10685">
        <v>2822023750</v>
      </c>
      <c r="N10685" t="s">
        <v>615</v>
      </c>
      <c r="O10685" t="s">
        <v>616</v>
      </c>
      <c r="R10685" t="s">
        <v>57</v>
      </c>
      <c r="S10685">
        <v>15</v>
      </c>
      <c r="T10685">
        <v>194</v>
      </c>
      <c r="U10685" s="1">
        <v>32762</v>
      </c>
      <c r="V10685" t="s">
        <v>89</v>
      </c>
      <c r="W10685" t="s">
        <v>90</v>
      </c>
      <c r="X10685" t="s">
        <v>58</v>
      </c>
      <c r="Y10685">
        <v>21</v>
      </c>
      <c r="Z10685" t="s">
        <v>59</v>
      </c>
      <c r="AA10685" t="s">
        <v>59</v>
      </c>
      <c r="AB10685" t="s">
        <v>59</v>
      </c>
      <c r="AC10685" t="s">
        <v>59</v>
      </c>
      <c r="AD10685" t="s">
        <v>59</v>
      </c>
      <c r="AF10685" s="1">
        <v>32762</v>
      </c>
      <c r="AG10685" t="s">
        <v>8645</v>
      </c>
      <c r="AH10685" t="s">
        <v>8646</v>
      </c>
      <c r="AI10685" t="str">
        <f>"9500374"</f>
        <v>9500374</v>
      </c>
      <c r="AJ10685" t="s">
        <v>14529</v>
      </c>
      <c r="AK10685">
        <v>2822023194</v>
      </c>
      <c r="AL10685" t="s">
        <v>14530</v>
      </c>
      <c r="AM10685" t="s">
        <v>88</v>
      </c>
      <c r="AN10685" t="s">
        <v>6744</v>
      </c>
      <c r="AO10685" t="s">
        <v>6744</v>
      </c>
      <c r="AP10685" t="s">
        <v>6744</v>
      </c>
      <c r="AQ10685">
        <v>9</v>
      </c>
      <c r="AR10685" t="s">
        <v>89</v>
      </c>
      <c r="AS10685" t="s">
        <v>90</v>
      </c>
      <c r="AT10685" t="s">
        <v>58</v>
      </c>
      <c r="AU10685" t="s">
        <v>68</v>
      </c>
      <c r="AV10685" t="s">
        <v>69</v>
      </c>
      <c r="AW10685" s="1">
        <v>23635</v>
      </c>
      <c r="AX10685">
        <v>1</v>
      </c>
    </row>
    <row r="10686" spans="1:50">
      <c r="A10686">
        <v>569286</v>
      </c>
      <c r="B10686" t="str">
        <f>"050462952"</f>
        <v>050462952</v>
      </c>
      <c r="C10686" t="s">
        <v>50</v>
      </c>
      <c r="D10686" t="s">
        <v>8523</v>
      </c>
      <c r="E10686" t="s">
        <v>964</v>
      </c>
      <c r="F10686" t="s">
        <v>166</v>
      </c>
      <c r="G10686" t="s">
        <v>114</v>
      </c>
      <c r="H10686" t="str">
        <f>"ΔΙΚΤΗΣ 9 ΧΑΝΙΑ"</f>
        <v>ΔΙΚΤΗΣ 9 ΧΑΝΙΑ</v>
      </c>
      <c r="I10686">
        <v>73100</v>
      </c>
      <c r="J10686">
        <v>2821055893</v>
      </c>
      <c r="N10686" t="s">
        <v>1525</v>
      </c>
      <c r="O10686" t="s">
        <v>1526</v>
      </c>
      <c r="R10686" t="s">
        <v>57</v>
      </c>
      <c r="S10686">
        <v>14</v>
      </c>
      <c r="T10686">
        <v>162</v>
      </c>
      <c r="U10686" s="1">
        <v>33844</v>
      </c>
      <c r="V10686" t="s">
        <v>89</v>
      </c>
      <c r="W10686" t="s">
        <v>90</v>
      </c>
      <c r="X10686" t="s">
        <v>58</v>
      </c>
      <c r="Y10686">
        <v>25</v>
      </c>
      <c r="Z10686" t="s">
        <v>59</v>
      </c>
      <c r="AA10686" t="s">
        <v>59</v>
      </c>
      <c r="AB10686" t="s">
        <v>59</v>
      </c>
      <c r="AC10686" t="s">
        <v>59</v>
      </c>
      <c r="AD10686" t="s">
        <v>59</v>
      </c>
      <c r="AF10686" s="1">
        <v>33844</v>
      </c>
      <c r="AG10686" t="s">
        <v>8651</v>
      </c>
      <c r="AH10686" t="s">
        <v>8652</v>
      </c>
      <c r="AI10686" t="str">
        <f>"9500281"</f>
        <v>9500281</v>
      </c>
      <c r="AJ10686" t="s">
        <v>15146</v>
      </c>
      <c r="AK10686">
        <v>2821040081</v>
      </c>
      <c r="AL10686" t="s">
        <v>15147</v>
      </c>
      <c r="AM10686" t="s">
        <v>88</v>
      </c>
      <c r="AN10686" t="s">
        <v>88</v>
      </c>
      <c r="AO10686" t="s">
        <v>88</v>
      </c>
      <c r="AP10686" t="s">
        <v>88</v>
      </c>
      <c r="AQ10686">
        <v>1</v>
      </c>
      <c r="AR10686" t="s">
        <v>89</v>
      </c>
      <c r="AS10686" t="s">
        <v>90</v>
      </c>
      <c r="AT10686" t="s">
        <v>58</v>
      </c>
      <c r="AU10686" t="s">
        <v>68</v>
      </c>
      <c r="AV10686" t="s">
        <v>69</v>
      </c>
      <c r="AW10686" s="1">
        <v>23154</v>
      </c>
      <c r="AX10686">
        <v>1</v>
      </c>
    </row>
    <row r="10687" spans="1:50">
      <c r="A10687">
        <v>584228</v>
      </c>
      <c r="B10687" t="str">
        <f>"052496348"</f>
        <v>052496348</v>
      </c>
      <c r="C10687" t="s">
        <v>50</v>
      </c>
      <c r="D10687" t="s">
        <v>8523</v>
      </c>
      <c r="E10687" t="s">
        <v>83</v>
      </c>
      <c r="F10687" t="s">
        <v>4855</v>
      </c>
      <c r="G10687" t="s">
        <v>2235</v>
      </c>
      <c r="H10687" t="str">
        <f>"ΒΥΡΩΝΟΣ 3 ΧΑΝΙΑ"</f>
        <v>ΒΥΡΩΝΟΣ 3 ΧΑΝΙΑ</v>
      </c>
      <c r="I10687">
        <v>73100</v>
      </c>
      <c r="K10687">
        <v>6945231693</v>
      </c>
      <c r="N10687" t="s">
        <v>615</v>
      </c>
      <c r="O10687" t="s">
        <v>616</v>
      </c>
      <c r="R10687" t="s">
        <v>57</v>
      </c>
      <c r="S10687">
        <v>13</v>
      </c>
      <c r="T10687">
        <v>165</v>
      </c>
      <c r="U10687" s="1">
        <v>36040</v>
      </c>
      <c r="V10687" t="s">
        <v>89</v>
      </c>
      <c r="W10687" t="s">
        <v>90</v>
      </c>
      <c r="X10687" t="s">
        <v>58</v>
      </c>
      <c r="Y10687">
        <v>21</v>
      </c>
      <c r="Z10687" t="s">
        <v>59</v>
      </c>
      <c r="AA10687" t="s">
        <v>59</v>
      </c>
      <c r="AB10687" t="s">
        <v>59</v>
      </c>
      <c r="AC10687" t="s">
        <v>59</v>
      </c>
      <c r="AD10687" t="s">
        <v>59</v>
      </c>
      <c r="AF10687" s="1">
        <v>36040</v>
      </c>
      <c r="AG10687" t="s">
        <v>8645</v>
      </c>
      <c r="AH10687" t="s">
        <v>8646</v>
      </c>
      <c r="AI10687" t="str">
        <f>"9500041"</f>
        <v>9500041</v>
      </c>
      <c r="AJ10687" t="s">
        <v>13944</v>
      </c>
      <c r="AK10687">
        <v>2821028218</v>
      </c>
      <c r="AL10687" t="s">
        <v>13945</v>
      </c>
      <c r="AM10687" t="s">
        <v>88</v>
      </c>
      <c r="AN10687" t="s">
        <v>88</v>
      </c>
      <c r="AO10687" t="s">
        <v>88</v>
      </c>
      <c r="AP10687" t="s">
        <v>88</v>
      </c>
      <c r="AQ10687">
        <v>1</v>
      </c>
      <c r="AR10687" t="s">
        <v>89</v>
      </c>
      <c r="AS10687" t="s">
        <v>90</v>
      </c>
      <c r="AT10687" t="s">
        <v>58</v>
      </c>
      <c r="AU10687" t="s">
        <v>68</v>
      </c>
      <c r="AV10687" t="s">
        <v>69</v>
      </c>
      <c r="AW10687" s="1">
        <v>24102</v>
      </c>
      <c r="AX10687">
        <v>1</v>
      </c>
    </row>
    <row r="10688" spans="1:50">
      <c r="B10688" t="str">
        <f>"118465877"</f>
        <v>118465877</v>
      </c>
      <c r="C10688" t="s">
        <v>50</v>
      </c>
      <c r="D10688" t="s">
        <v>15559</v>
      </c>
      <c r="E10688" t="s">
        <v>250</v>
      </c>
      <c r="F10688" t="s">
        <v>4097</v>
      </c>
      <c r="G10688" t="s">
        <v>52</v>
      </c>
      <c r="H10688" t="str">
        <f>"Ν. ΧΩΡΙΟΑΠΟΚΩΡΟΝΟΥ "</f>
        <v xml:space="preserve">Ν. ΧΩΡΙΟΑΠΟΚΩΡΟΝΟΥ </v>
      </c>
      <c r="I10688">
        <v>73003</v>
      </c>
      <c r="J10688">
        <v>2825041120</v>
      </c>
      <c r="K10688">
        <v>6978398681</v>
      </c>
      <c r="N10688" t="s">
        <v>1525</v>
      </c>
      <c r="O10688" t="s">
        <v>1526</v>
      </c>
      <c r="R10688" t="s">
        <v>159</v>
      </c>
      <c r="S10688">
        <v>4</v>
      </c>
      <c r="T10688" t="s">
        <v>8670</v>
      </c>
      <c r="U10688" s="1">
        <v>43348</v>
      </c>
      <c r="V10688" t="s">
        <v>89</v>
      </c>
      <c r="W10688" t="s">
        <v>90</v>
      </c>
      <c r="X10688" t="s">
        <v>58</v>
      </c>
      <c r="Y10688">
        <v>25</v>
      </c>
      <c r="Z10688" t="s">
        <v>59</v>
      </c>
      <c r="AA10688" t="s">
        <v>59</v>
      </c>
      <c r="AB10688" t="s">
        <v>59</v>
      </c>
      <c r="AC10688" t="s">
        <v>59</v>
      </c>
      <c r="AD10688" t="s">
        <v>59</v>
      </c>
      <c r="AF10688" s="1">
        <v>43348</v>
      </c>
      <c r="AG10688" t="s">
        <v>8651</v>
      </c>
      <c r="AH10688" t="s">
        <v>8652</v>
      </c>
      <c r="AI10688" t="str">
        <f>"9500419"</f>
        <v>9500419</v>
      </c>
      <c r="AJ10688" t="s">
        <v>14788</v>
      </c>
      <c r="AK10688">
        <v>2825071511</v>
      </c>
      <c r="AL10688" t="s">
        <v>14789</v>
      </c>
      <c r="AM10688" t="s">
        <v>88</v>
      </c>
      <c r="AN10688" t="s">
        <v>6775</v>
      </c>
      <c r="AO10688" t="s">
        <v>14358</v>
      </c>
      <c r="AP10688" t="s">
        <v>14790</v>
      </c>
      <c r="AQ10688">
        <v>7</v>
      </c>
      <c r="AR10688" t="s">
        <v>89</v>
      </c>
      <c r="AS10688" t="s">
        <v>90</v>
      </c>
      <c r="AT10688" t="s">
        <v>58</v>
      </c>
      <c r="AU10688" t="s">
        <v>8673</v>
      </c>
      <c r="AV10688" t="s">
        <v>132</v>
      </c>
      <c r="AW10688" s="1">
        <v>25002</v>
      </c>
      <c r="AX10688">
        <v>1</v>
      </c>
    </row>
    <row r="10689" spans="1:50">
      <c r="B10689" t="str">
        <f>"118494688"</f>
        <v>118494688</v>
      </c>
      <c r="C10689" t="s">
        <v>50</v>
      </c>
      <c r="D10689" t="s">
        <v>5578</v>
      </c>
      <c r="E10689" t="s">
        <v>112</v>
      </c>
      <c r="F10689" t="s">
        <v>106</v>
      </c>
      <c r="G10689" t="s">
        <v>563</v>
      </c>
      <c r="H10689" t="str">
        <f>"ΡΑΠΑΝΙΑΝΑ ΚΟΛΥΜΒΑΡΙΟΥ "</f>
        <v xml:space="preserve">ΡΑΠΑΝΙΑΝΑ ΚΟΛΥΜΒΑΡΙΟΥ </v>
      </c>
      <c r="I10689">
        <v>73006</v>
      </c>
      <c r="J10689">
        <v>2824022038</v>
      </c>
      <c r="K10689">
        <v>6976367036</v>
      </c>
      <c r="N10689" t="s">
        <v>615</v>
      </c>
      <c r="O10689" t="s">
        <v>616</v>
      </c>
      <c r="R10689" t="s">
        <v>159</v>
      </c>
      <c r="S10689">
        <v>4</v>
      </c>
      <c r="T10689" t="s">
        <v>8675</v>
      </c>
      <c r="U10689" s="1">
        <v>43348</v>
      </c>
      <c r="V10689" t="s">
        <v>89</v>
      </c>
      <c r="W10689" t="s">
        <v>90</v>
      </c>
      <c r="X10689" t="s">
        <v>58</v>
      </c>
      <c r="Y10689">
        <v>24</v>
      </c>
      <c r="Z10689" t="s">
        <v>59</v>
      </c>
      <c r="AA10689" t="s">
        <v>59</v>
      </c>
      <c r="AB10689" t="s">
        <v>59</v>
      </c>
      <c r="AC10689" t="s">
        <v>59</v>
      </c>
      <c r="AD10689" t="s">
        <v>59</v>
      </c>
      <c r="AF10689" s="1">
        <v>43348</v>
      </c>
      <c r="AG10689" t="s">
        <v>8645</v>
      </c>
      <c r="AH10689" t="s">
        <v>8646</v>
      </c>
      <c r="AI10689" t="str">
        <f>"9500148"</f>
        <v>9500148</v>
      </c>
      <c r="AJ10689" t="s">
        <v>13851</v>
      </c>
      <c r="AK10689">
        <v>2821068328</v>
      </c>
      <c r="AL10689" t="s">
        <v>13852</v>
      </c>
      <c r="AM10689" t="s">
        <v>88</v>
      </c>
      <c r="AN10689" t="s">
        <v>88</v>
      </c>
      <c r="AO10689" t="s">
        <v>6785</v>
      </c>
      <c r="AP10689" t="s">
        <v>13853</v>
      </c>
      <c r="AQ10689">
        <v>3</v>
      </c>
      <c r="AR10689" t="s">
        <v>89</v>
      </c>
      <c r="AS10689" t="s">
        <v>90</v>
      </c>
      <c r="AT10689" t="s">
        <v>58</v>
      </c>
      <c r="AU10689" t="s">
        <v>8673</v>
      </c>
      <c r="AV10689" t="s">
        <v>132</v>
      </c>
      <c r="AW10689" s="1">
        <v>31577</v>
      </c>
      <c r="AX10689">
        <v>1</v>
      </c>
    </row>
    <row r="10690" spans="1:50">
      <c r="A10690">
        <v>620157</v>
      </c>
      <c r="B10690" t="str">
        <f>"122951575"</f>
        <v>122951575</v>
      </c>
      <c r="C10690" t="s">
        <v>50</v>
      </c>
      <c r="D10690" t="s">
        <v>5578</v>
      </c>
      <c r="E10690" t="s">
        <v>268</v>
      </c>
      <c r="F10690" t="s">
        <v>106</v>
      </c>
      <c r="G10690" t="s">
        <v>563</v>
      </c>
      <c r="H10690" t="str">
        <f>"ΚΑΤΩ ΣΤΑΛΟΣ ΧΑΝΙΑ"</f>
        <v>ΚΑΤΩ ΣΤΑΛΟΣ ΧΑΝΙΑ</v>
      </c>
      <c r="I10690">
        <v>73100</v>
      </c>
      <c r="J10690">
        <v>2821068376</v>
      </c>
      <c r="K10690">
        <v>6974368579</v>
      </c>
      <c r="N10690" t="s">
        <v>1525</v>
      </c>
      <c r="O10690" t="s">
        <v>1526</v>
      </c>
      <c r="R10690" t="s">
        <v>57</v>
      </c>
      <c r="S10690">
        <v>5</v>
      </c>
      <c r="T10690">
        <v>794</v>
      </c>
      <c r="U10690" s="1">
        <v>39680</v>
      </c>
      <c r="V10690" t="s">
        <v>89</v>
      </c>
      <c r="W10690" t="s">
        <v>90</v>
      </c>
      <c r="X10690" t="s">
        <v>58</v>
      </c>
      <c r="Y10690">
        <v>25</v>
      </c>
      <c r="Z10690" t="s">
        <v>59</v>
      </c>
      <c r="AA10690" t="s">
        <v>59</v>
      </c>
      <c r="AB10690" t="s">
        <v>59</v>
      </c>
      <c r="AC10690" t="s">
        <v>59</v>
      </c>
      <c r="AD10690" t="s">
        <v>59</v>
      </c>
      <c r="AF10690" s="1">
        <v>39689</v>
      </c>
      <c r="AG10690" t="s">
        <v>8651</v>
      </c>
      <c r="AH10690" t="s">
        <v>8652</v>
      </c>
      <c r="AI10690" t="str">
        <f>"9500366"</f>
        <v>9500366</v>
      </c>
      <c r="AJ10690" t="s">
        <v>13930</v>
      </c>
      <c r="AK10690">
        <v>2821032585</v>
      </c>
      <c r="AL10690" t="s">
        <v>13931</v>
      </c>
      <c r="AM10690" t="s">
        <v>88</v>
      </c>
      <c r="AN10690" t="s">
        <v>88</v>
      </c>
      <c r="AO10690" t="s">
        <v>6785</v>
      </c>
      <c r="AP10690" t="s">
        <v>13932</v>
      </c>
      <c r="AQ10690">
        <v>3</v>
      </c>
      <c r="AR10690" t="s">
        <v>89</v>
      </c>
      <c r="AS10690" t="s">
        <v>90</v>
      </c>
      <c r="AT10690" t="s">
        <v>58</v>
      </c>
      <c r="AU10690" t="s">
        <v>68</v>
      </c>
      <c r="AV10690" t="s">
        <v>69</v>
      </c>
      <c r="AW10690" s="1">
        <v>30325</v>
      </c>
      <c r="AX10690">
        <v>1</v>
      </c>
    </row>
    <row r="10691" spans="1:50">
      <c r="A10691">
        <v>622951</v>
      </c>
      <c r="B10691" t="str">
        <f>"122957186"</f>
        <v>122957186</v>
      </c>
      <c r="C10691" t="s">
        <v>50</v>
      </c>
      <c r="D10691" t="s">
        <v>5578</v>
      </c>
      <c r="E10691" t="s">
        <v>7319</v>
      </c>
      <c r="F10691" t="s">
        <v>99</v>
      </c>
      <c r="G10691" t="s">
        <v>507</v>
      </c>
      <c r="H10691" t="str">
        <f>"ΡΑΠΑΝΙΑΝΑ ΚΟΛΥΜΒΑΡΙ ΧΑΝΙΑ"</f>
        <v>ΡΑΠΑΝΙΑΝΑ ΚΟΛΥΜΒΑΡΙ ΧΑΝΙΑ</v>
      </c>
      <c r="I10691">
        <v>73006</v>
      </c>
      <c r="J10691">
        <v>2824022634</v>
      </c>
      <c r="K10691">
        <v>6974527227</v>
      </c>
      <c r="N10691" t="s">
        <v>306</v>
      </c>
      <c r="O10691" t="s">
        <v>307</v>
      </c>
      <c r="R10691" t="s">
        <v>57</v>
      </c>
      <c r="S10691">
        <v>5</v>
      </c>
      <c r="T10691">
        <v>720</v>
      </c>
      <c r="U10691" s="1">
        <v>40059</v>
      </c>
      <c r="V10691" t="s">
        <v>89</v>
      </c>
      <c r="W10691" t="s">
        <v>90</v>
      </c>
      <c r="X10691" t="s">
        <v>58</v>
      </c>
      <c r="Y10691">
        <v>23</v>
      </c>
      <c r="Z10691" t="s">
        <v>59</v>
      </c>
      <c r="AA10691" t="s">
        <v>59</v>
      </c>
      <c r="AB10691" t="s">
        <v>59</v>
      </c>
      <c r="AC10691" t="s">
        <v>59</v>
      </c>
      <c r="AD10691" t="s">
        <v>59</v>
      </c>
      <c r="AF10691" s="1">
        <v>40060</v>
      </c>
      <c r="AG10691" t="s">
        <v>8645</v>
      </c>
      <c r="AH10691" t="s">
        <v>8646</v>
      </c>
      <c r="AI10691" t="str">
        <f>"9500160"</f>
        <v>9500160</v>
      </c>
      <c r="AJ10691" t="s">
        <v>14486</v>
      </c>
      <c r="AK10691">
        <v>2821062458</v>
      </c>
      <c r="AL10691" t="s">
        <v>14487</v>
      </c>
      <c r="AM10691" t="s">
        <v>88</v>
      </c>
      <c r="AN10691" t="s">
        <v>6764</v>
      </c>
      <c r="AO10691" t="s">
        <v>6764</v>
      </c>
      <c r="AP10691" t="s">
        <v>14488</v>
      </c>
      <c r="AQ10691">
        <v>5</v>
      </c>
      <c r="AR10691" t="s">
        <v>89</v>
      </c>
      <c r="AS10691" t="s">
        <v>90</v>
      </c>
      <c r="AT10691" t="s">
        <v>58</v>
      </c>
      <c r="AU10691" t="s">
        <v>68</v>
      </c>
      <c r="AV10691" t="s">
        <v>69</v>
      </c>
      <c r="AW10691" s="1">
        <v>29485</v>
      </c>
      <c r="AX10691">
        <v>1</v>
      </c>
    </row>
    <row r="10692" spans="1:50">
      <c r="A10692">
        <v>700390</v>
      </c>
      <c r="B10692" t="str">
        <f>"139430577"</f>
        <v>139430577</v>
      </c>
      <c r="C10692" t="s">
        <v>50</v>
      </c>
      <c r="D10692" t="s">
        <v>15560</v>
      </c>
      <c r="E10692" t="s">
        <v>52</v>
      </c>
      <c r="F10692" t="s">
        <v>279</v>
      </c>
      <c r="G10692" t="s">
        <v>174</v>
      </c>
      <c r="H10692" t="str">
        <f>"ΤΟΜΠΑΪΔΗ 51 ΤΥΧΕΡΟ ΕΒΡΟΥ"</f>
        <v>ΤΟΜΠΑΪΔΗ 51 ΤΥΧΕΡΟ ΕΒΡΟΥ</v>
      </c>
      <c r="I10692">
        <v>68003</v>
      </c>
      <c r="J10692">
        <v>2554041933</v>
      </c>
      <c r="K10692">
        <v>6986122856</v>
      </c>
      <c r="N10692" t="s">
        <v>615</v>
      </c>
      <c r="O10692" t="s">
        <v>616</v>
      </c>
      <c r="R10692" t="s">
        <v>57</v>
      </c>
      <c r="S10692">
        <v>4</v>
      </c>
      <c r="T10692" t="s">
        <v>10085</v>
      </c>
      <c r="U10692" s="1">
        <v>40413</v>
      </c>
      <c r="V10692" t="s">
        <v>89</v>
      </c>
      <c r="W10692" t="s">
        <v>90</v>
      </c>
      <c r="X10692" t="s">
        <v>58</v>
      </c>
      <c r="Y10692">
        <v>24</v>
      </c>
      <c r="Z10692" t="s">
        <v>59</v>
      </c>
      <c r="AA10692" t="s">
        <v>59</v>
      </c>
      <c r="AB10692" t="s">
        <v>59</v>
      </c>
      <c r="AC10692" t="s">
        <v>59</v>
      </c>
      <c r="AD10692" t="s">
        <v>59</v>
      </c>
      <c r="AF10692" s="1">
        <v>40413</v>
      </c>
      <c r="AG10692" t="s">
        <v>8645</v>
      </c>
      <c r="AH10692" t="s">
        <v>8646</v>
      </c>
      <c r="AI10692" t="str">
        <f>"9500205"</f>
        <v>9500205</v>
      </c>
      <c r="AJ10692" t="s">
        <v>13861</v>
      </c>
      <c r="AK10692">
        <v>2822031289</v>
      </c>
      <c r="AL10692" t="s">
        <v>13862</v>
      </c>
      <c r="AM10692" t="s">
        <v>88</v>
      </c>
      <c r="AN10692" t="s">
        <v>6744</v>
      </c>
      <c r="AO10692" t="s">
        <v>13863</v>
      </c>
      <c r="AP10692" t="s">
        <v>13864</v>
      </c>
      <c r="AQ10692">
        <v>9</v>
      </c>
      <c r="AR10692" t="s">
        <v>89</v>
      </c>
      <c r="AS10692" t="s">
        <v>90</v>
      </c>
      <c r="AT10692" t="s">
        <v>58</v>
      </c>
      <c r="AU10692" t="s">
        <v>68</v>
      </c>
      <c r="AV10692" t="s">
        <v>69</v>
      </c>
      <c r="AW10692" s="1">
        <v>31595</v>
      </c>
      <c r="AX10692">
        <v>1</v>
      </c>
    </row>
    <row r="10693" spans="1:50">
      <c r="A10693">
        <v>582243</v>
      </c>
      <c r="B10693" t="str">
        <f>"039587227"</f>
        <v>039587227</v>
      </c>
      <c r="C10693" t="s">
        <v>50</v>
      </c>
      <c r="D10693" t="s">
        <v>15561</v>
      </c>
      <c r="E10693" t="s">
        <v>316</v>
      </c>
      <c r="F10693" t="s">
        <v>53</v>
      </c>
      <c r="G10693" t="s">
        <v>73</v>
      </c>
      <c r="H10693" t="str">
        <f>"Ν.ΚΥΔΩΝΙΑΣ 113 ΧΑΝΙΑ"</f>
        <v>Ν.ΚΥΔΩΝΙΑΣ 113 ΧΑΝΙΑ</v>
      </c>
      <c r="I10693">
        <v>73100</v>
      </c>
      <c r="J10693">
        <v>2821096937</v>
      </c>
      <c r="N10693" t="s">
        <v>615</v>
      </c>
      <c r="O10693" t="s">
        <v>616</v>
      </c>
      <c r="R10693" t="s">
        <v>57</v>
      </c>
      <c r="S10693">
        <v>12</v>
      </c>
      <c r="T10693">
        <v>179</v>
      </c>
      <c r="U10693" s="1">
        <v>35674</v>
      </c>
      <c r="V10693" t="s">
        <v>89</v>
      </c>
      <c r="W10693" t="s">
        <v>90</v>
      </c>
      <c r="X10693" t="s">
        <v>58</v>
      </c>
      <c r="Y10693">
        <v>21</v>
      </c>
      <c r="Z10693" t="s">
        <v>59</v>
      </c>
      <c r="AA10693" t="s">
        <v>59</v>
      </c>
      <c r="AB10693" t="s">
        <v>59</v>
      </c>
      <c r="AC10693" t="s">
        <v>59</v>
      </c>
      <c r="AD10693" t="s">
        <v>59</v>
      </c>
      <c r="AF10693" s="1">
        <v>35674</v>
      </c>
      <c r="AG10693" t="s">
        <v>8645</v>
      </c>
      <c r="AH10693" t="s">
        <v>8646</v>
      </c>
      <c r="AI10693" t="str">
        <f>"9500167"</f>
        <v>9500167</v>
      </c>
      <c r="AJ10693" t="s">
        <v>13922</v>
      </c>
      <c r="AK10693">
        <v>2821068357</v>
      </c>
      <c r="AL10693" t="s">
        <v>13923</v>
      </c>
      <c r="AM10693" t="s">
        <v>88</v>
      </c>
      <c r="AN10693" t="s">
        <v>6764</v>
      </c>
      <c r="AO10693" t="s">
        <v>6764</v>
      </c>
      <c r="AP10693" t="s">
        <v>6764</v>
      </c>
      <c r="AQ10693">
        <v>5</v>
      </c>
      <c r="AR10693" t="s">
        <v>89</v>
      </c>
      <c r="AS10693" t="s">
        <v>90</v>
      </c>
      <c r="AT10693" t="s">
        <v>58</v>
      </c>
      <c r="AU10693" t="s">
        <v>68</v>
      </c>
      <c r="AV10693" t="s">
        <v>69</v>
      </c>
      <c r="AW10693" s="1">
        <v>22759</v>
      </c>
      <c r="AX10693">
        <v>1</v>
      </c>
    </row>
    <row r="10694" spans="1:50">
      <c r="A10694">
        <v>618995</v>
      </c>
      <c r="B10694" t="str">
        <f>"122999546"</f>
        <v>122999546</v>
      </c>
      <c r="C10694" t="s">
        <v>50</v>
      </c>
      <c r="D10694" t="s">
        <v>15562</v>
      </c>
      <c r="E10694" t="s">
        <v>114</v>
      </c>
      <c r="F10694" t="s">
        <v>95</v>
      </c>
      <c r="G10694" t="s">
        <v>1644</v>
      </c>
      <c r="H10694" t="str">
        <f>"ΑΚΤΗ ΜΙΑΟΥΛΗ 5 ΧΑΝΙΑ"</f>
        <v>ΑΚΤΗ ΜΙΑΟΥΛΗ 5 ΧΑΝΙΑ</v>
      </c>
      <c r="I10694">
        <v>73100</v>
      </c>
      <c r="J10694">
        <v>2821027680</v>
      </c>
      <c r="K10694">
        <v>6946150791</v>
      </c>
      <c r="N10694" t="s">
        <v>1525</v>
      </c>
      <c r="O10694" t="s">
        <v>1526</v>
      </c>
      <c r="R10694" t="s">
        <v>57</v>
      </c>
      <c r="S10694">
        <v>8</v>
      </c>
      <c r="T10694">
        <v>774</v>
      </c>
      <c r="U10694" s="1">
        <v>39680</v>
      </c>
      <c r="V10694" t="s">
        <v>89</v>
      </c>
      <c r="W10694" t="s">
        <v>90</v>
      </c>
      <c r="X10694" t="s">
        <v>58</v>
      </c>
      <c r="Y10694">
        <v>25</v>
      </c>
      <c r="Z10694" t="s">
        <v>59</v>
      </c>
      <c r="AA10694" t="s">
        <v>59</v>
      </c>
      <c r="AB10694" t="s">
        <v>59</v>
      </c>
      <c r="AC10694" t="s">
        <v>59</v>
      </c>
      <c r="AD10694" t="s">
        <v>59</v>
      </c>
      <c r="AF10694" s="1">
        <v>39681</v>
      </c>
      <c r="AG10694" t="s">
        <v>8651</v>
      </c>
      <c r="AH10694" t="s">
        <v>8652</v>
      </c>
      <c r="AI10694" t="str">
        <f>"9500342"</f>
        <v>9500342</v>
      </c>
      <c r="AJ10694" t="s">
        <v>15148</v>
      </c>
      <c r="AK10694">
        <v>2821076440</v>
      </c>
      <c r="AL10694" t="s">
        <v>15149</v>
      </c>
      <c r="AM10694" t="s">
        <v>88</v>
      </c>
      <c r="AN10694" t="s">
        <v>88</v>
      </c>
      <c r="AO10694" t="s">
        <v>6733</v>
      </c>
      <c r="AP10694" t="s">
        <v>6734</v>
      </c>
      <c r="AQ10694">
        <v>2</v>
      </c>
      <c r="AR10694" t="s">
        <v>89</v>
      </c>
      <c r="AS10694" t="s">
        <v>90</v>
      </c>
      <c r="AT10694" t="s">
        <v>58</v>
      </c>
      <c r="AU10694" t="s">
        <v>68</v>
      </c>
      <c r="AV10694" t="s">
        <v>69</v>
      </c>
      <c r="AW10694" s="1">
        <v>28731</v>
      </c>
      <c r="AX10694">
        <v>1</v>
      </c>
    </row>
    <row r="10695" spans="1:50">
      <c r="B10695" t="str">
        <f>"140948357"</f>
        <v>140948357</v>
      </c>
      <c r="C10695" t="s">
        <v>50</v>
      </c>
      <c r="D10695" t="s">
        <v>4230</v>
      </c>
      <c r="E10695" t="s">
        <v>15563</v>
      </c>
      <c r="F10695" t="s">
        <v>154</v>
      </c>
      <c r="G10695" t="s">
        <v>52</v>
      </c>
      <c r="H10695" t="str">
        <f>"ΒΑΛΕΣΤΡΑ 9 ΝΕΑ ΧΩΡΑ ΧΑΝΙΩΝ"</f>
        <v>ΒΑΛΕΣΤΡΑ 9 ΝΕΑ ΧΩΡΑ ΧΑΝΙΩΝ</v>
      </c>
      <c r="I10695">
        <v>73131</v>
      </c>
      <c r="J10695">
        <v>2821097012</v>
      </c>
      <c r="K10695">
        <v>6944689712</v>
      </c>
      <c r="M10695" t="s">
        <v>15564</v>
      </c>
      <c r="N10695" t="s">
        <v>615</v>
      </c>
      <c r="O10695" t="s">
        <v>616</v>
      </c>
      <c r="R10695" t="s">
        <v>159</v>
      </c>
      <c r="S10695">
        <v>2</v>
      </c>
      <c r="T10695" t="s">
        <v>8675</v>
      </c>
      <c r="U10695" s="1">
        <v>43348</v>
      </c>
      <c r="V10695" t="s">
        <v>89</v>
      </c>
      <c r="W10695" t="s">
        <v>90</v>
      </c>
      <c r="X10695" t="s">
        <v>58</v>
      </c>
      <c r="Y10695">
        <v>24</v>
      </c>
      <c r="Z10695" t="s">
        <v>59</v>
      </c>
      <c r="AA10695" t="s">
        <v>59</v>
      </c>
      <c r="AB10695" t="s">
        <v>59</v>
      </c>
      <c r="AC10695" t="s">
        <v>59</v>
      </c>
      <c r="AD10695" t="s">
        <v>59</v>
      </c>
      <c r="AF10695" s="1">
        <v>43348</v>
      </c>
      <c r="AG10695" t="s">
        <v>8645</v>
      </c>
      <c r="AH10695" t="s">
        <v>8646</v>
      </c>
      <c r="AI10695" t="str">
        <f>"9500329"</f>
        <v>9500329</v>
      </c>
      <c r="AJ10695" t="s">
        <v>14241</v>
      </c>
      <c r="AK10695">
        <v>2821099075</v>
      </c>
      <c r="AL10695" t="s">
        <v>14242</v>
      </c>
      <c r="AM10695" t="s">
        <v>88</v>
      </c>
      <c r="AN10695" t="s">
        <v>88</v>
      </c>
      <c r="AO10695" t="s">
        <v>6733</v>
      </c>
      <c r="AP10695" t="s">
        <v>6734</v>
      </c>
      <c r="AQ10695">
        <v>2</v>
      </c>
      <c r="AR10695" t="s">
        <v>89</v>
      </c>
      <c r="AS10695" t="s">
        <v>90</v>
      </c>
      <c r="AT10695" t="s">
        <v>58</v>
      </c>
      <c r="AU10695" t="s">
        <v>8673</v>
      </c>
      <c r="AV10695" t="s">
        <v>132</v>
      </c>
      <c r="AW10695" s="1">
        <v>32460</v>
      </c>
      <c r="AX10695">
        <v>1</v>
      </c>
    </row>
    <row r="10696" spans="1:50">
      <c r="B10696" t="str">
        <f>"144345709"</f>
        <v>144345709</v>
      </c>
      <c r="C10696" t="s">
        <v>50</v>
      </c>
      <c r="D10696" t="s">
        <v>4230</v>
      </c>
      <c r="E10696" t="s">
        <v>707</v>
      </c>
      <c r="F10696" t="s">
        <v>106</v>
      </c>
      <c r="G10696" t="s">
        <v>83</v>
      </c>
      <c r="H10696" t="str">
        <f>" "</f>
        <v xml:space="preserve"> </v>
      </c>
      <c r="N10696" t="s">
        <v>8834</v>
      </c>
      <c r="O10696" t="s">
        <v>8695</v>
      </c>
      <c r="R10696" t="s">
        <v>121</v>
      </c>
      <c r="S10696">
        <v>3</v>
      </c>
      <c r="T10696" t="s">
        <v>8835</v>
      </c>
      <c r="U10696" s="1">
        <v>43348</v>
      </c>
      <c r="V10696" t="s">
        <v>89</v>
      </c>
      <c r="W10696" t="s">
        <v>90</v>
      </c>
      <c r="X10696" t="s">
        <v>58</v>
      </c>
      <c r="Y10696">
        <v>24</v>
      </c>
      <c r="Z10696" t="s">
        <v>59</v>
      </c>
      <c r="AA10696" t="s">
        <v>59</v>
      </c>
      <c r="AB10696" t="s">
        <v>59</v>
      </c>
      <c r="AD10696" t="s">
        <v>59</v>
      </c>
      <c r="AF10696" s="1">
        <v>43348</v>
      </c>
      <c r="AG10696" t="s">
        <v>8645</v>
      </c>
      <c r="AH10696" t="s">
        <v>8646</v>
      </c>
      <c r="AI10696" t="str">
        <f>"9520693"</f>
        <v>9520693</v>
      </c>
      <c r="AJ10696" t="s">
        <v>13913</v>
      </c>
      <c r="AK10696">
        <v>2821066910</v>
      </c>
      <c r="AL10696" t="s">
        <v>13914</v>
      </c>
      <c r="AM10696" t="s">
        <v>88</v>
      </c>
      <c r="AN10696" t="s">
        <v>88</v>
      </c>
      <c r="AO10696" t="s">
        <v>6770</v>
      </c>
      <c r="AP10696" t="s">
        <v>6771</v>
      </c>
      <c r="AQ10696">
        <v>2</v>
      </c>
      <c r="AR10696" t="s">
        <v>89</v>
      </c>
      <c r="AS10696" t="s">
        <v>90</v>
      </c>
      <c r="AT10696" t="s">
        <v>58</v>
      </c>
      <c r="AU10696" t="s">
        <v>131</v>
      </c>
      <c r="AV10696" t="s">
        <v>132</v>
      </c>
      <c r="AW10696" s="1">
        <v>32815</v>
      </c>
      <c r="AX10696">
        <v>1</v>
      </c>
    </row>
    <row r="10697" spans="1:50">
      <c r="A10697">
        <v>620010</v>
      </c>
      <c r="B10697" t="str">
        <f>"049020292"</f>
        <v>049020292</v>
      </c>
      <c r="C10697" t="s">
        <v>105</v>
      </c>
      <c r="D10697" t="s">
        <v>8535</v>
      </c>
      <c r="E10697" t="s">
        <v>1761</v>
      </c>
      <c r="F10697" t="s">
        <v>72</v>
      </c>
      <c r="G10697" t="s">
        <v>52</v>
      </c>
      <c r="H10697" t="str">
        <f>"ΙΣΤΡΟΥ 12 ΗΡΑΚΛΕΙΟ"</f>
        <v>ΙΣΤΡΟΥ 12 ΗΡΑΚΛΕΙΟ</v>
      </c>
      <c r="J10697">
        <v>2821078461</v>
      </c>
      <c r="K10697">
        <v>6977097246</v>
      </c>
      <c r="M10697" t="s">
        <v>15565</v>
      </c>
      <c r="N10697" t="s">
        <v>176</v>
      </c>
      <c r="O10697" t="s">
        <v>177</v>
      </c>
      <c r="R10697" t="s">
        <v>57</v>
      </c>
      <c r="S10697">
        <v>6</v>
      </c>
      <c r="T10697">
        <v>775</v>
      </c>
      <c r="U10697" s="1">
        <v>39680</v>
      </c>
      <c r="V10697" t="s">
        <v>89</v>
      </c>
      <c r="W10697" t="s">
        <v>90</v>
      </c>
      <c r="X10697" t="s">
        <v>58</v>
      </c>
      <c r="Y10697">
        <v>23</v>
      </c>
      <c r="Z10697" t="s">
        <v>59</v>
      </c>
      <c r="AA10697" t="s">
        <v>59</v>
      </c>
      <c r="AB10697" t="s">
        <v>59</v>
      </c>
      <c r="AC10697" t="s">
        <v>59</v>
      </c>
      <c r="AD10697" t="s">
        <v>59</v>
      </c>
      <c r="AF10697" s="1">
        <v>39681</v>
      </c>
      <c r="AG10697" t="s">
        <v>8645</v>
      </c>
      <c r="AH10697" t="s">
        <v>8646</v>
      </c>
      <c r="AI10697" t="str">
        <f>"9500055"</f>
        <v>9500055</v>
      </c>
      <c r="AJ10697" t="s">
        <v>14096</v>
      </c>
      <c r="AK10697">
        <v>2825092237</v>
      </c>
      <c r="AL10697" t="s">
        <v>14095</v>
      </c>
      <c r="AM10697" t="s">
        <v>88</v>
      </c>
      <c r="AN10697" t="s">
        <v>6995</v>
      </c>
      <c r="AO10697" t="s">
        <v>6995</v>
      </c>
      <c r="AP10697" t="s">
        <v>14097</v>
      </c>
      <c r="AQ10697">
        <v>10</v>
      </c>
      <c r="AR10697" t="s">
        <v>89</v>
      </c>
      <c r="AS10697" t="s">
        <v>90</v>
      </c>
      <c r="AT10697" t="s">
        <v>58</v>
      </c>
      <c r="AU10697" t="s">
        <v>68</v>
      </c>
      <c r="AV10697" t="s">
        <v>69</v>
      </c>
      <c r="AW10697" s="1">
        <v>26968</v>
      </c>
      <c r="AX10697">
        <v>1</v>
      </c>
    </row>
    <row r="10698" spans="1:50">
      <c r="B10698" t="str">
        <f>"144655435"</f>
        <v>144655435</v>
      </c>
      <c r="C10698" t="s">
        <v>50</v>
      </c>
      <c r="D10698" t="s">
        <v>11750</v>
      </c>
      <c r="E10698" t="s">
        <v>155</v>
      </c>
      <c r="F10698" t="s">
        <v>15566</v>
      </c>
      <c r="G10698" t="s">
        <v>484</v>
      </c>
      <c r="H10698" t="str">
        <f>"ΣΕΚΕΡΗ 28-30 "</f>
        <v xml:space="preserve">ΣΕΚΕΡΗ 28-30 </v>
      </c>
      <c r="I10698">
        <v>22100</v>
      </c>
      <c r="J10698">
        <v>2710237667</v>
      </c>
      <c r="K10698">
        <v>6945804840</v>
      </c>
      <c r="N10698" t="s">
        <v>384</v>
      </c>
      <c r="O10698" t="s">
        <v>385</v>
      </c>
      <c r="R10698" t="s">
        <v>121</v>
      </c>
      <c r="S10698">
        <v>1</v>
      </c>
      <c r="T10698" t="s">
        <v>8675</v>
      </c>
      <c r="U10698" s="1">
        <v>43348</v>
      </c>
      <c r="V10698" t="s">
        <v>89</v>
      </c>
      <c r="W10698" t="s">
        <v>90</v>
      </c>
      <c r="X10698" t="s">
        <v>58</v>
      </c>
      <c r="Y10698">
        <v>24</v>
      </c>
      <c r="Z10698" t="s">
        <v>59</v>
      </c>
      <c r="AA10698" t="s">
        <v>59</v>
      </c>
      <c r="AB10698" t="s">
        <v>59</v>
      </c>
      <c r="AC10698" t="s">
        <v>59</v>
      </c>
      <c r="AD10698" t="s">
        <v>59</v>
      </c>
      <c r="AF10698" s="1">
        <v>43348</v>
      </c>
      <c r="AG10698" t="s">
        <v>8645</v>
      </c>
      <c r="AH10698" t="s">
        <v>8646</v>
      </c>
      <c r="AI10698" t="str">
        <f>"9500017"</f>
        <v>9500017</v>
      </c>
      <c r="AJ10698" t="s">
        <v>13873</v>
      </c>
      <c r="AK10698">
        <v>2825083173</v>
      </c>
      <c r="AL10698" t="s">
        <v>13874</v>
      </c>
      <c r="AM10698" t="s">
        <v>88</v>
      </c>
      <c r="AN10698" t="s">
        <v>6775</v>
      </c>
      <c r="AO10698" t="s">
        <v>11883</v>
      </c>
      <c r="AP10698" t="s">
        <v>13875</v>
      </c>
      <c r="AQ10698">
        <v>7</v>
      </c>
      <c r="AR10698" t="s">
        <v>89</v>
      </c>
      <c r="AS10698" t="s">
        <v>90</v>
      </c>
      <c r="AT10698" t="s">
        <v>58</v>
      </c>
      <c r="AU10698" t="s">
        <v>8673</v>
      </c>
      <c r="AV10698" t="s">
        <v>132</v>
      </c>
      <c r="AW10698" s="1">
        <v>31870</v>
      </c>
      <c r="AX10698">
        <v>1</v>
      </c>
    </row>
    <row r="10699" spans="1:50">
      <c r="A10699">
        <v>548938</v>
      </c>
      <c r="B10699" t="str">
        <f>"027518741"</f>
        <v>027518741</v>
      </c>
      <c r="C10699" t="s">
        <v>105</v>
      </c>
      <c r="D10699" t="s">
        <v>8541</v>
      </c>
      <c r="E10699" t="s">
        <v>72</v>
      </c>
      <c r="F10699" t="s">
        <v>995</v>
      </c>
      <c r="G10699" t="s">
        <v>263</v>
      </c>
      <c r="H10699" t="str">
        <f>"ΚΑΛΛΙΘΕΑ ΒΑΜΒΑΚΟΠΟΥΛΟ ΧΑΝΙΑ"</f>
        <v>ΚΑΛΛΙΘΕΑ ΒΑΜΒΑΚΟΠΟΥΛΟ ΧΑΝΙΑ</v>
      </c>
      <c r="I10699">
        <v>73131</v>
      </c>
      <c r="J10699">
        <v>2821070685</v>
      </c>
      <c r="N10699" t="s">
        <v>615</v>
      </c>
      <c r="O10699" t="s">
        <v>616</v>
      </c>
      <c r="R10699" t="s">
        <v>57</v>
      </c>
      <c r="S10699">
        <v>17</v>
      </c>
      <c r="T10699">
        <v>367</v>
      </c>
      <c r="U10699" s="1">
        <v>30291</v>
      </c>
      <c r="V10699" t="s">
        <v>89</v>
      </c>
      <c r="W10699" t="s">
        <v>90</v>
      </c>
      <c r="X10699" t="s">
        <v>58</v>
      </c>
      <c r="Y10699">
        <v>21</v>
      </c>
      <c r="Z10699" t="s">
        <v>59</v>
      </c>
      <c r="AA10699" t="s">
        <v>59</v>
      </c>
      <c r="AB10699" t="s">
        <v>59</v>
      </c>
      <c r="AC10699" t="s">
        <v>59</v>
      </c>
      <c r="AD10699" t="s">
        <v>59</v>
      </c>
      <c r="AF10699" s="1">
        <v>30291</v>
      </c>
      <c r="AG10699" t="s">
        <v>8645</v>
      </c>
      <c r="AH10699" t="s">
        <v>8646</v>
      </c>
      <c r="AI10699" t="str">
        <f>"9500119"</f>
        <v>9500119</v>
      </c>
      <c r="AJ10699" t="s">
        <v>14286</v>
      </c>
      <c r="AK10699">
        <v>2821095816</v>
      </c>
      <c r="AL10699" t="s">
        <v>14287</v>
      </c>
      <c r="AM10699" t="s">
        <v>88</v>
      </c>
      <c r="AN10699" t="s">
        <v>88</v>
      </c>
      <c r="AO10699" t="s">
        <v>13920</v>
      </c>
      <c r="AP10699" t="s">
        <v>14029</v>
      </c>
      <c r="AQ10699">
        <v>3</v>
      </c>
      <c r="AR10699" t="s">
        <v>89</v>
      </c>
      <c r="AS10699" t="s">
        <v>90</v>
      </c>
      <c r="AT10699" t="s">
        <v>58</v>
      </c>
      <c r="AU10699" t="s">
        <v>68</v>
      </c>
      <c r="AV10699" t="s">
        <v>69</v>
      </c>
      <c r="AW10699" s="1">
        <v>21756</v>
      </c>
      <c r="AX10699">
        <v>1</v>
      </c>
    </row>
    <row r="10700" spans="1:50">
      <c r="A10700">
        <v>563272</v>
      </c>
      <c r="B10700" t="str">
        <f>"034700203"</f>
        <v>034700203</v>
      </c>
      <c r="C10700" t="s">
        <v>105</v>
      </c>
      <c r="D10700" t="s">
        <v>8541</v>
      </c>
      <c r="E10700" t="s">
        <v>1328</v>
      </c>
      <c r="F10700" t="s">
        <v>2184</v>
      </c>
      <c r="G10700" t="s">
        <v>52</v>
      </c>
      <c r="H10700" t="str">
        <f>"ΚΟΥΝΟΥΠΙΔΙΑΝΑ ΧΑΝΙΑ"</f>
        <v>ΚΟΥΝΟΥΠΙΔΙΑΝΑ ΧΑΝΙΑ</v>
      </c>
      <c r="I10700">
        <v>73100</v>
      </c>
      <c r="J10700">
        <v>2821069056</v>
      </c>
      <c r="K10700">
        <v>6974572405</v>
      </c>
      <c r="N10700" t="s">
        <v>615</v>
      </c>
      <c r="O10700" t="s">
        <v>616</v>
      </c>
      <c r="R10700" t="s">
        <v>57</v>
      </c>
      <c r="S10700">
        <v>15</v>
      </c>
      <c r="T10700">
        <v>194</v>
      </c>
      <c r="U10700" s="1">
        <v>32762</v>
      </c>
      <c r="V10700" t="s">
        <v>89</v>
      </c>
      <c r="W10700" t="s">
        <v>90</v>
      </c>
      <c r="X10700" t="s">
        <v>58</v>
      </c>
      <c r="Y10700">
        <v>21</v>
      </c>
      <c r="Z10700" t="s">
        <v>59</v>
      </c>
      <c r="AA10700" t="s">
        <v>59</v>
      </c>
      <c r="AB10700" t="s">
        <v>59</v>
      </c>
      <c r="AC10700" t="s">
        <v>59</v>
      </c>
      <c r="AD10700" t="s">
        <v>59</v>
      </c>
      <c r="AF10700" s="1">
        <v>32762</v>
      </c>
      <c r="AG10700" t="s">
        <v>8645</v>
      </c>
      <c r="AH10700" t="s">
        <v>8646</v>
      </c>
      <c r="AI10700" t="str">
        <f>"9500041"</f>
        <v>9500041</v>
      </c>
      <c r="AJ10700" t="s">
        <v>13944</v>
      </c>
      <c r="AK10700">
        <v>2821028218</v>
      </c>
      <c r="AL10700" t="s">
        <v>13945</v>
      </c>
      <c r="AM10700" t="s">
        <v>88</v>
      </c>
      <c r="AN10700" t="s">
        <v>88</v>
      </c>
      <c r="AO10700" t="s">
        <v>88</v>
      </c>
      <c r="AP10700" t="s">
        <v>88</v>
      </c>
      <c r="AQ10700">
        <v>1</v>
      </c>
      <c r="AR10700" t="s">
        <v>89</v>
      </c>
      <c r="AS10700" t="s">
        <v>90</v>
      </c>
      <c r="AT10700" t="s">
        <v>58</v>
      </c>
      <c r="AU10700" t="s">
        <v>68</v>
      </c>
      <c r="AV10700" t="s">
        <v>69</v>
      </c>
      <c r="AW10700" s="1">
        <v>23571</v>
      </c>
      <c r="AX10700">
        <v>1</v>
      </c>
    </row>
    <row r="10701" spans="1:50">
      <c r="A10701">
        <v>701354</v>
      </c>
      <c r="B10701" t="str">
        <f>"065267412"</f>
        <v>065267412</v>
      </c>
      <c r="C10701" t="s">
        <v>50</v>
      </c>
      <c r="D10701" t="s">
        <v>15567</v>
      </c>
      <c r="E10701" t="s">
        <v>15568</v>
      </c>
      <c r="F10701" t="s">
        <v>693</v>
      </c>
      <c r="G10701" t="s">
        <v>620</v>
      </c>
      <c r="H10701" t="str">
        <f>"ΑΓΙΟΥ ΣΤΕΦΑΝΟΥ 9 ΧΑΝΙΑ"</f>
        <v>ΑΓΙΟΥ ΣΤΕΦΑΝΟΥ 9 ΧΑΝΙΑ</v>
      </c>
      <c r="I10701">
        <v>73135</v>
      </c>
      <c r="J10701">
        <v>2821096619</v>
      </c>
      <c r="K10701">
        <v>6978371627</v>
      </c>
      <c r="N10701" t="s">
        <v>615</v>
      </c>
      <c r="O10701" t="s">
        <v>616</v>
      </c>
      <c r="R10701" t="s">
        <v>57</v>
      </c>
      <c r="S10701">
        <v>5</v>
      </c>
      <c r="T10701">
        <v>772</v>
      </c>
      <c r="U10701" s="1">
        <v>40413</v>
      </c>
      <c r="V10701" t="s">
        <v>89</v>
      </c>
      <c r="W10701" t="s">
        <v>90</v>
      </c>
      <c r="X10701" t="s">
        <v>58</v>
      </c>
      <c r="Y10701">
        <v>23</v>
      </c>
      <c r="Z10701" t="s">
        <v>59</v>
      </c>
      <c r="AA10701" t="s">
        <v>59</v>
      </c>
      <c r="AB10701" t="s">
        <v>59</v>
      </c>
      <c r="AC10701" t="s">
        <v>59</v>
      </c>
      <c r="AD10701" t="s">
        <v>59</v>
      </c>
      <c r="AF10701" s="1">
        <v>40413</v>
      </c>
      <c r="AG10701" t="s">
        <v>8645</v>
      </c>
      <c r="AH10701" t="s">
        <v>14199</v>
      </c>
      <c r="AI10701" t="str">
        <f>"9500140"</f>
        <v>9500140</v>
      </c>
      <c r="AJ10701" t="s">
        <v>14200</v>
      </c>
      <c r="AK10701">
        <v>2821097348</v>
      </c>
      <c r="AL10701" t="s">
        <v>14201</v>
      </c>
      <c r="AM10701" t="s">
        <v>88</v>
      </c>
      <c r="AN10701" t="s">
        <v>88</v>
      </c>
      <c r="AO10701" t="s">
        <v>88</v>
      </c>
      <c r="AP10701" t="s">
        <v>88</v>
      </c>
      <c r="AQ10701">
        <v>1</v>
      </c>
      <c r="AR10701" t="s">
        <v>89</v>
      </c>
      <c r="AS10701" t="s">
        <v>90</v>
      </c>
      <c r="AT10701" t="s">
        <v>58</v>
      </c>
      <c r="AU10701" t="s">
        <v>68</v>
      </c>
      <c r="AV10701" t="s">
        <v>69</v>
      </c>
      <c r="AW10701" s="1">
        <v>30783</v>
      </c>
      <c r="AX10701">
        <v>1</v>
      </c>
    </row>
    <row r="10702" spans="1:50">
      <c r="A10702">
        <v>704386</v>
      </c>
      <c r="B10702" t="str">
        <f>"078755722"</f>
        <v>078755722</v>
      </c>
      <c r="C10702" t="s">
        <v>50</v>
      </c>
      <c r="D10702" t="s">
        <v>8550</v>
      </c>
      <c r="E10702" t="s">
        <v>964</v>
      </c>
      <c r="F10702" t="s">
        <v>99</v>
      </c>
      <c r="H10702" t="str">
        <f>" "</f>
        <v xml:space="preserve"> </v>
      </c>
      <c r="N10702" t="s">
        <v>8347</v>
      </c>
      <c r="O10702" t="s">
        <v>8348</v>
      </c>
      <c r="R10702" t="s">
        <v>57</v>
      </c>
      <c r="S10702">
        <v>9</v>
      </c>
      <c r="T10702">
        <v>1066</v>
      </c>
      <c r="U10702" s="1">
        <v>43035</v>
      </c>
      <c r="V10702" t="s">
        <v>89</v>
      </c>
      <c r="W10702" t="s">
        <v>90</v>
      </c>
      <c r="X10702" t="s">
        <v>58</v>
      </c>
      <c r="Y10702">
        <v>21</v>
      </c>
      <c r="Z10702" t="s">
        <v>59</v>
      </c>
      <c r="AA10702" t="s">
        <v>59</v>
      </c>
      <c r="AB10702" t="s">
        <v>59</v>
      </c>
      <c r="AD10702" t="s">
        <v>59</v>
      </c>
      <c r="AF10702" s="1">
        <v>43038</v>
      </c>
      <c r="AG10702" t="s">
        <v>8645</v>
      </c>
      <c r="AH10702" t="s">
        <v>8697</v>
      </c>
      <c r="AI10702" t="str">
        <f>"9521567"</f>
        <v>9521567</v>
      </c>
      <c r="AJ10702" t="s">
        <v>14148</v>
      </c>
      <c r="AK10702">
        <v>2821086921</v>
      </c>
      <c r="AL10702" t="s">
        <v>14149</v>
      </c>
      <c r="AM10702" t="s">
        <v>88</v>
      </c>
      <c r="AN10702" t="s">
        <v>88</v>
      </c>
      <c r="AO10702" t="s">
        <v>88</v>
      </c>
      <c r="AP10702" t="s">
        <v>88</v>
      </c>
      <c r="AQ10702">
        <v>1</v>
      </c>
      <c r="AR10702" t="s">
        <v>89</v>
      </c>
      <c r="AS10702" t="s">
        <v>90</v>
      </c>
      <c r="AT10702" t="s">
        <v>58</v>
      </c>
      <c r="AU10702" t="s">
        <v>68</v>
      </c>
      <c r="AV10702" t="s">
        <v>69</v>
      </c>
      <c r="AX10702">
        <v>1</v>
      </c>
    </row>
    <row r="10703" spans="1:50">
      <c r="A10703">
        <v>559793</v>
      </c>
      <c r="B10703" t="str">
        <f>"028716927"</f>
        <v>028716927</v>
      </c>
      <c r="C10703" t="s">
        <v>50</v>
      </c>
      <c r="D10703" t="s">
        <v>8550</v>
      </c>
      <c r="E10703" t="s">
        <v>1189</v>
      </c>
      <c r="F10703" t="s">
        <v>95</v>
      </c>
      <c r="G10703" t="s">
        <v>96</v>
      </c>
      <c r="H10703" t="str">
        <f>"ΚΥΔΩΝΙΑΣ 152 ΧΑΝΙΑ"</f>
        <v>ΚΥΔΩΝΙΑΣ 152 ΧΑΝΙΑ</v>
      </c>
      <c r="I10703">
        <v>73100</v>
      </c>
      <c r="J10703">
        <v>2821095985</v>
      </c>
      <c r="N10703" t="s">
        <v>1525</v>
      </c>
      <c r="O10703" t="s">
        <v>1526</v>
      </c>
      <c r="R10703" t="s">
        <v>57</v>
      </c>
      <c r="S10703">
        <v>16</v>
      </c>
      <c r="T10703">
        <v>175</v>
      </c>
      <c r="U10703" s="1">
        <v>32020</v>
      </c>
      <c r="V10703" t="s">
        <v>89</v>
      </c>
      <c r="W10703" t="s">
        <v>90</v>
      </c>
      <c r="X10703" t="s">
        <v>58</v>
      </c>
      <c r="Y10703">
        <v>25</v>
      </c>
      <c r="Z10703" t="s">
        <v>59</v>
      </c>
      <c r="AA10703" t="s">
        <v>59</v>
      </c>
      <c r="AB10703" t="s">
        <v>59</v>
      </c>
      <c r="AC10703" t="s">
        <v>59</v>
      </c>
      <c r="AD10703" t="s">
        <v>59</v>
      </c>
      <c r="AF10703" s="1">
        <v>32020</v>
      </c>
      <c r="AG10703" t="s">
        <v>8651</v>
      </c>
      <c r="AH10703" t="s">
        <v>8652</v>
      </c>
      <c r="AI10703" t="str">
        <f>"9500141"</f>
        <v>9500141</v>
      </c>
      <c r="AJ10703" t="s">
        <v>14170</v>
      </c>
      <c r="AK10703">
        <v>2821092365</v>
      </c>
      <c r="AL10703" t="s">
        <v>14171</v>
      </c>
      <c r="AM10703" t="s">
        <v>88</v>
      </c>
      <c r="AN10703" t="s">
        <v>88</v>
      </c>
      <c r="AO10703" t="s">
        <v>88</v>
      </c>
      <c r="AP10703" t="s">
        <v>88</v>
      </c>
      <c r="AQ10703">
        <v>1</v>
      </c>
      <c r="AR10703" t="s">
        <v>89</v>
      </c>
      <c r="AS10703" t="s">
        <v>90</v>
      </c>
      <c r="AT10703" t="s">
        <v>58</v>
      </c>
      <c r="AU10703" t="s">
        <v>68</v>
      </c>
      <c r="AV10703" t="s">
        <v>69</v>
      </c>
      <c r="AW10703" s="1">
        <v>23231</v>
      </c>
      <c r="AX10703">
        <v>1</v>
      </c>
    </row>
    <row r="10704" spans="1:50">
      <c r="A10704">
        <v>615581</v>
      </c>
      <c r="B10704" t="str">
        <f>"079768174"</f>
        <v>079768174</v>
      </c>
      <c r="C10704" t="s">
        <v>50</v>
      </c>
      <c r="D10704" t="s">
        <v>15569</v>
      </c>
      <c r="E10704" t="s">
        <v>52</v>
      </c>
      <c r="F10704" t="s">
        <v>2184</v>
      </c>
      <c r="G10704" t="s">
        <v>238</v>
      </c>
      <c r="H10704" t="str">
        <f>"ΑΓ.ΙΩΑΝΝΗ ΞΕΝΟΥ 17 ΧΑΛΕΠΑ"</f>
        <v>ΑΓ.ΙΩΑΝΝΗ ΞΕΝΟΥ 17 ΧΑΛΕΠΑ</v>
      </c>
      <c r="I10704">
        <v>73133</v>
      </c>
      <c r="J10704">
        <v>2831023154</v>
      </c>
      <c r="K10704">
        <v>6974125519</v>
      </c>
      <c r="N10704" t="s">
        <v>1525</v>
      </c>
      <c r="O10704" t="s">
        <v>1526</v>
      </c>
      <c r="R10704" t="s">
        <v>57</v>
      </c>
      <c r="S10704">
        <v>6</v>
      </c>
      <c r="T10704">
        <v>598</v>
      </c>
      <c r="U10704" s="1">
        <v>39310</v>
      </c>
      <c r="V10704" t="s">
        <v>89</v>
      </c>
      <c r="W10704" t="s">
        <v>90</v>
      </c>
      <c r="X10704" t="s">
        <v>58</v>
      </c>
      <c r="Y10704">
        <v>25</v>
      </c>
      <c r="Z10704" t="s">
        <v>59</v>
      </c>
      <c r="AA10704" t="s">
        <v>59</v>
      </c>
      <c r="AB10704" t="s">
        <v>59</v>
      </c>
      <c r="AC10704" t="s">
        <v>59</v>
      </c>
      <c r="AD10704" t="s">
        <v>59</v>
      </c>
      <c r="AF10704" s="1">
        <v>39310</v>
      </c>
      <c r="AG10704" t="s">
        <v>8651</v>
      </c>
      <c r="AH10704" t="s">
        <v>8652</v>
      </c>
      <c r="AI10704" t="str">
        <f>"9500322"</f>
        <v>9500322</v>
      </c>
      <c r="AJ10704" t="s">
        <v>14152</v>
      </c>
      <c r="AK10704">
        <v>2821054010</v>
      </c>
      <c r="AL10704" t="s">
        <v>14153</v>
      </c>
      <c r="AM10704" t="s">
        <v>88</v>
      </c>
      <c r="AN10704" t="s">
        <v>88</v>
      </c>
      <c r="AO10704" t="s">
        <v>88</v>
      </c>
      <c r="AP10704" t="s">
        <v>88</v>
      </c>
      <c r="AQ10704">
        <v>1</v>
      </c>
      <c r="AR10704" t="s">
        <v>89</v>
      </c>
      <c r="AS10704" t="s">
        <v>90</v>
      </c>
      <c r="AT10704" t="s">
        <v>58</v>
      </c>
      <c r="AU10704" t="s">
        <v>68</v>
      </c>
      <c r="AV10704" t="s">
        <v>69</v>
      </c>
      <c r="AW10704" s="1">
        <v>27317</v>
      </c>
      <c r="AX10704">
        <v>1</v>
      </c>
    </row>
    <row r="10705" spans="1:50">
      <c r="B10705" t="str">
        <f>"110893029"</f>
        <v>110893029</v>
      </c>
      <c r="C10705" t="s">
        <v>50</v>
      </c>
      <c r="D10705" t="s">
        <v>15570</v>
      </c>
      <c r="E10705" t="s">
        <v>1484</v>
      </c>
      <c r="F10705" t="s">
        <v>383</v>
      </c>
      <c r="G10705" t="s">
        <v>250</v>
      </c>
      <c r="H10705" t="str">
        <f>"ΚΙΣΑΜΟΣ "</f>
        <v xml:space="preserve">ΚΙΣΑΜΟΣ </v>
      </c>
      <c r="I10705">
        <v>73400</v>
      </c>
      <c r="J10705">
        <v>2822024638</v>
      </c>
      <c r="K10705">
        <v>6974691000</v>
      </c>
      <c r="N10705" t="s">
        <v>615</v>
      </c>
      <c r="O10705" t="s">
        <v>616</v>
      </c>
      <c r="R10705" t="s">
        <v>159</v>
      </c>
      <c r="S10705">
        <v>2</v>
      </c>
      <c r="T10705" t="s">
        <v>8675</v>
      </c>
      <c r="U10705" s="1">
        <v>43348</v>
      </c>
      <c r="V10705" t="s">
        <v>89</v>
      </c>
      <c r="W10705" t="s">
        <v>90</v>
      </c>
      <c r="X10705" t="s">
        <v>58</v>
      </c>
      <c r="Y10705">
        <v>25</v>
      </c>
      <c r="Z10705" t="s">
        <v>59</v>
      </c>
      <c r="AA10705" t="s">
        <v>59</v>
      </c>
      <c r="AB10705" t="s">
        <v>59</v>
      </c>
      <c r="AC10705" t="s">
        <v>59</v>
      </c>
      <c r="AD10705" t="s">
        <v>59</v>
      </c>
      <c r="AF10705" s="1">
        <v>43348</v>
      </c>
      <c r="AG10705" t="s">
        <v>8645</v>
      </c>
      <c r="AH10705" t="s">
        <v>8676</v>
      </c>
      <c r="AI10705" t="str">
        <f>"9500201"</f>
        <v>9500201</v>
      </c>
      <c r="AJ10705" t="s">
        <v>14636</v>
      </c>
      <c r="AK10705">
        <v>2822041442</v>
      </c>
      <c r="AL10705" t="s">
        <v>14637</v>
      </c>
      <c r="AM10705" t="s">
        <v>88</v>
      </c>
      <c r="AN10705" t="s">
        <v>6744</v>
      </c>
      <c r="AO10705" t="s">
        <v>6744</v>
      </c>
      <c r="AP10705" t="s">
        <v>14526</v>
      </c>
      <c r="AQ10705">
        <v>9</v>
      </c>
      <c r="AR10705" t="s">
        <v>89</v>
      </c>
      <c r="AS10705" t="s">
        <v>90</v>
      </c>
      <c r="AT10705" t="s">
        <v>58</v>
      </c>
      <c r="AU10705" t="s">
        <v>8673</v>
      </c>
      <c r="AV10705" t="s">
        <v>132</v>
      </c>
      <c r="AW10705" s="1">
        <v>32360</v>
      </c>
      <c r="AX10705">
        <v>1</v>
      </c>
    </row>
    <row r="10706" spans="1:50">
      <c r="B10706" t="str">
        <f>"130400335"</f>
        <v>130400335</v>
      </c>
      <c r="C10706" t="s">
        <v>50</v>
      </c>
      <c r="D10706" t="s">
        <v>15571</v>
      </c>
      <c r="E10706" t="s">
        <v>155</v>
      </c>
      <c r="F10706" t="s">
        <v>84</v>
      </c>
      <c r="G10706" t="s">
        <v>263</v>
      </c>
      <c r="H10706" t="str">
        <f>"ΚΑΛΥΒΕΣ "</f>
        <v xml:space="preserve">ΚΑΛΥΒΕΣ </v>
      </c>
      <c r="I10706">
        <v>73003</v>
      </c>
      <c r="J10706">
        <v>2825031508</v>
      </c>
      <c r="K10706">
        <v>6974308301</v>
      </c>
      <c r="N10706" t="s">
        <v>1525</v>
      </c>
      <c r="O10706" t="s">
        <v>1526</v>
      </c>
      <c r="R10706" t="s">
        <v>159</v>
      </c>
      <c r="S10706">
        <v>3</v>
      </c>
      <c r="T10706" t="s">
        <v>8670</v>
      </c>
      <c r="U10706" s="1">
        <v>43348</v>
      </c>
      <c r="V10706" t="s">
        <v>89</v>
      </c>
      <c r="W10706" t="s">
        <v>90</v>
      </c>
      <c r="X10706" t="s">
        <v>58</v>
      </c>
      <c r="Y10706">
        <v>25</v>
      </c>
      <c r="Z10706" t="s">
        <v>59</v>
      </c>
      <c r="AA10706" t="s">
        <v>59</v>
      </c>
      <c r="AB10706" t="s">
        <v>59</v>
      </c>
      <c r="AC10706" t="s">
        <v>59</v>
      </c>
      <c r="AD10706" t="s">
        <v>59</v>
      </c>
      <c r="AF10706" s="1">
        <v>43348</v>
      </c>
      <c r="AG10706" t="s">
        <v>8651</v>
      </c>
      <c r="AH10706" t="s">
        <v>8652</v>
      </c>
      <c r="AI10706" t="str">
        <f>"9500270"</f>
        <v>9500270</v>
      </c>
      <c r="AJ10706" t="s">
        <v>14003</v>
      </c>
      <c r="AK10706">
        <v>2825031104</v>
      </c>
      <c r="AL10706" t="s">
        <v>14004</v>
      </c>
      <c r="AM10706" t="s">
        <v>88</v>
      </c>
      <c r="AN10706" t="s">
        <v>6775</v>
      </c>
      <c r="AO10706" t="s">
        <v>11883</v>
      </c>
      <c r="AP10706" t="s">
        <v>13875</v>
      </c>
      <c r="AQ10706">
        <v>7</v>
      </c>
      <c r="AR10706" t="s">
        <v>89</v>
      </c>
      <c r="AS10706" t="s">
        <v>90</v>
      </c>
      <c r="AT10706" t="s">
        <v>58</v>
      </c>
      <c r="AU10706" t="s">
        <v>8673</v>
      </c>
      <c r="AV10706" t="s">
        <v>132</v>
      </c>
      <c r="AW10706" s="1">
        <v>30453</v>
      </c>
      <c r="AX10706">
        <v>1</v>
      </c>
    </row>
    <row r="10707" spans="1:50">
      <c r="A10707">
        <v>621140</v>
      </c>
      <c r="B10707" t="str">
        <f>"137066571"</f>
        <v>137066571</v>
      </c>
      <c r="C10707" t="s">
        <v>50</v>
      </c>
      <c r="D10707" t="s">
        <v>15572</v>
      </c>
      <c r="E10707" t="s">
        <v>1068</v>
      </c>
      <c r="F10707" t="s">
        <v>99</v>
      </c>
      <c r="G10707" t="s">
        <v>1361</v>
      </c>
      <c r="H10707" t="str">
        <f>"ΑΣΤΑΚΟΣ "</f>
        <v xml:space="preserve">ΑΣΤΑΚΟΣ </v>
      </c>
      <c r="I10707">
        <v>30006</v>
      </c>
      <c r="J10707">
        <v>2646042376</v>
      </c>
      <c r="K10707">
        <v>6943671454</v>
      </c>
      <c r="N10707" t="s">
        <v>615</v>
      </c>
      <c r="O10707" t="s">
        <v>616</v>
      </c>
      <c r="R10707" t="s">
        <v>57</v>
      </c>
      <c r="S10707">
        <v>4</v>
      </c>
      <c r="T10707">
        <v>653</v>
      </c>
      <c r="U10707" s="1">
        <v>40043</v>
      </c>
      <c r="V10707" t="s">
        <v>89</v>
      </c>
      <c r="W10707" t="s">
        <v>90</v>
      </c>
      <c r="X10707" t="s">
        <v>58</v>
      </c>
      <c r="Y10707">
        <v>23</v>
      </c>
      <c r="Z10707" t="s">
        <v>59</v>
      </c>
      <c r="AA10707" t="s">
        <v>59</v>
      </c>
      <c r="AB10707" t="s">
        <v>59</v>
      </c>
      <c r="AC10707" t="s">
        <v>59</v>
      </c>
      <c r="AD10707" t="s">
        <v>59</v>
      </c>
      <c r="AF10707" s="1">
        <v>40057</v>
      </c>
      <c r="AG10707" t="s">
        <v>8645</v>
      </c>
      <c r="AH10707" t="s">
        <v>8646</v>
      </c>
      <c r="AI10707" t="str">
        <f>"9500139"</f>
        <v>9500139</v>
      </c>
      <c r="AJ10707" t="s">
        <v>14050</v>
      </c>
      <c r="AK10707">
        <v>2821096819</v>
      </c>
      <c r="AL10707" t="s">
        <v>14051</v>
      </c>
      <c r="AM10707" t="s">
        <v>88</v>
      </c>
      <c r="AN10707" t="s">
        <v>88</v>
      </c>
      <c r="AO10707" t="s">
        <v>88</v>
      </c>
      <c r="AP10707" t="s">
        <v>88</v>
      </c>
      <c r="AQ10707">
        <v>1</v>
      </c>
      <c r="AR10707" t="s">
        <v>89</v>
      </c>
      <c r="AS10707" t="s">
        <v>90</v>
      </c>
      <c r="AT10707" t="s">
        <v>58</v>
      </c>
      <c r="AU10707" t="s">
        <v>68</v>
      </c>
      <c r="AV10707" t="s">
        <v>69</v>
      </c>
      <c r="AW10707" s="1">
        <v>31687</v>
      </c>
      <c r="AX10707">
        <v>1</v>
      </c>
    </row>
    <row r="10708" spans="1:50">
      <c r="B10708" t="str">
        <f>"142308718"</f>
        <v>142308718</v>
      </c>
      <c r="C10708" t="s">
        <v>105</v>
      </c>
      <c r="D10708" t="s">
        <v>15573</v>
      </c>
      <c r="E10708" t="s">
        <v>99</v>
      </c>
      <c r="F10708" t="s">
        <v>95</v>
      </c>
      <c r="G10708" t="s">
        <v>563</v>
      </c>
      <c r="H10708" t="str">
        <f>"ΙΟΥΛΙΑΝΟΥ 3 "</f>
        <v xml:space="preserve">ΙΟΥΛΙΑΝΟΥ 3 </v>
      </c>
      <c r="I10708">
        <v>54635</v>
      </c>
      <c r="J10708">
        <v>2310204841</v>
      </c>
      <c r="K10708">
        <v>6944994294</v>
      </c>
      <c r="N10708" t="s">
        <v>8694</v>
      </c>
      <c r="O10708" t="s">
        <v>8695</v>
      </c>
      <c r="R10708" t="s">
        <v>159</v>
      </c>
      <c r="S10708">
        <v>2</v>
      </c>
      <c r="T10708" t="s">
        <v>8696</v>
      </c>
      <c r="U10708" s="1">
        <v>43348</v>
      </c>
      <c r="V10708" t="s">
        <v>89</v>
      </c>
      <c r="W10708" t="s">
        <v>90</v>
      </c>
      <c r="X10708" t="s">
        <v>58</v>
      </c>
      <c r="Y10708">
        <v>24</v>
      </c>
      <c r="Z10708" t="s">
        <v>59</v>
      </c>
      <c r="AA10708" t="s">
        <v>59</v>
      </c>
      <c r="AB10708" t="s">
        <v>59</v>
      </c>
      <c r="AC10708" t="s">
        <v>59</v>
      </c>
      <c r="AD10708" t="s">
        <v>59</v>
      </c>
      <c r="AF10708" s="1">
        <v>43348</v>
      </c>
      <c r="AG10708" t="s">
        <v>8645</v>
      </c>
      <c r="AH10708" t="s">
        <v>8646</v>
      </c>
      <c r="AI10708" t="str">
        <f>"9500055"</f>
        <v>9500055</v>
      </c>
      <c r="AJ10708" t="s">
        <v>14096</v>
      </c>
      <c r="AK10708">
        <v>2825092237</v>
      </c>
      <c r="AL10708" t="s">
        <v>14095</v>
      </c>
      <c r="AM10708" t="s">
        <v>88</v>
      </c>
      <c r="AN10708" t="s">
        <v>6995</v>
      </c>
      <c r="AO10708" t="s">
        <v>6995</v>
      </c>
      <c r="AP10708" t="s">
        <v>14097</v>
      </c>
      <c r="AQ10708">
        <v>10</v>
      </c>
      <c r="AR10708" t="s">
        <v>89</v>
      </c>
      <c r="AS10708" t="s">
        <v>90</v>
      </c>
      <c r="AT10708" t="s">
        <v>58</v>
      </c>
      <c r="AU10708" t="s">
        <v>350</v>
      </c>
      <c r="AV10708" t="s">
        <v>132</v>
      </c>
      <c r="AW10708" s="1">
        <v>32092</v>
      </c>
      <c r="AX10708">
        <v>1</v>
      </c>
    </row>
    <row r="10709" spans="1:50">
      <c r="B10709" t="str">
        <f>"122954670"</f>
        <v>122954670</v>
      </c>
      <c r="C10709" t="s">
        <v>50</v>
      </c>
      <c r="D10709" t="s">
        <v>15574</v>
      </c>
      <c r="E10709" t="s">
        <v>73</v>
      </c>
      <c r="F10709" t="s">
        <v>53</v>
      </c>
      <c r="G10709" t="s">
        <v>250</v>
      </c>
      <c r="H10709" t="str">
        <f>" "</f>
        <v xml:space="preserve"> </v>
      </c>
      <c r="K10709">
        <v>6970213267</v>
      </c>
      <c r="N10709" t="s">
        <v>615</v>
      </c>
      <c r="O10709" t="s">
        <v>616</v>
      </c>
      <c r="R10709" t="s">
        <v>159</v>
      </c>
      <c r="S10709">
        <v>1</v>
      </c>
      <c r="T10709" t="s">
        <v>8717</v>
      </c>
      <c r="U10709" s="1">
        <v>43348</v>
      </c>
      <c r="V10709" t="s">
        <v>89</v>
      </c>
      <c r="W10709" t="s">
        <v>90</v>
      </c>
      <c r="X10709" t="s">
        <v>58</v>
      </c>
      <c r="Y10709">
        <v>24</v>
      </c>
      <c r="Z10709" t="s">
        <v>59</v>
      </c>
      <c r="AA10709" t="s">
        <v>59</v>
      </c>
      <c r="AB10709" t="s">
        <v>59</v>
      </c>
      <c r="AD10709" t="s">
        <v>59</v>
      </c>
      <c r="AF10709" s="1">
        <v>43348</v>
      </c>
      <c r="AG10709" t="s">
        <v>8645</v>
      </c>
      <c r="AH10709" t="s">
        <v>8646</v>
      </c>
      <c r="AI10709" t="str">
        <f>"9500153"</f>
        <v>9500153</v>
      </c>
      <c r="AJ10709" t="s">
        <v>14103</v>
      </c>
      <c r="AK10709">
        <v>2821061267</v>
      </c>
      <c r="AL10709" t="s">
        <v>14104</v>
      </c>
      <c r="AM10709" t="s">
        <v>88</v>
      </c>
      <c r="AN10709" t="s">
        <v>6764</v>
      </c>
      <c r="AO10709" t="s">
        <v>6764</v>
      </c>
      <c r="AP10709" t="s">
        <v>12913</v>
      </c>
      <c r="AQ10709">
        <v>10</v>
      </c>
      <c r="AR10709" t="s">
        <v>89</v>
      </c>
      <c r="AS10709" t="s">
        <v>90</v>
      </c>
      <c r="AT10709" t="s">
        <v>58</v>
      </c>
      <c r="AU10709" t="s">
        <v>8720</v>
      </c>
      <c r="AV10709" t="s">
        <v>132</v>
      </c>
      <c r="AW10709" s="1">
        <v>32678</v>
      </c>
      <c r="AX10709">
        <v>1</v>
      </c>
    </row>
    <row r="10710" spans="1:50">
      <c r="A10710">
        <v>701084</v>
      </c>
      <c r="B10710" t="str">
        <f>"144034077"</f>
        <v>144034077</v>
      </c>
      <c r="C10710" t="s">
        <v>50</v>
      </c>
      <c r="D10710" t="s">
        <v>4272</v>
      </c>
      <c r="E10710" t="s">
        <v>263</v>
      </c>
      <c r="F10710" t="s">
        <v>95</v>
      </c>
      <c r="G10710" t="s">
        <v>1120</v>
      </c>
      <c r="H10710" t="str">
        <f>"3 ΧΙΛ. ΕΘΝ. ΟΔΟΥ ΧΑΝΙΩΝ ΡΕΘΥΜΝΗΣ ΧΑΝΙΑ"</f>
        <v>3 ΧΙΛ. ΕΘΝ. ΟΔΟΥ ΧΑΝΙΩΝ ΡΕΘΥΜΝΗΣ ΧΑΝΙΑ</v>
      </c>
      <c r="I10710">
        <v>73100</v>
      </c>
      <c r="J10710">
        <v>2821075578</v>
      </c>
      <c r="K10710">
        <v>6974623419</v>
      </c>
      <c r="N10710" t="s">
        <v>615</v>
      </c>
      <c r="O10710" t="s">
        <v>616</v>
      </c>
      <c r="R10710" t="s">
        <v>57</v>
      </c>
      <c r="S10710">
        <v>4</v>
      </c>
      <c r="T10710">
        <v>772</v>
      </c>
      <c r="U10710" s="1">
        <v>40413</v>
      </c>
      <c r="V10710" t="s">
        <v>89</v>
      </c>
      <c r="W10710" t="s">
        <v>90</v>
      </c>
      <c r="X10710" t="s">
        <v>58</v>
      </c>
      <c r="Y10710">
        <v>24</v>
      </c>
      <c r="Z10710" t="s">
        <v>59</v>
      </c>
      <c r="AA10710" t="s">
        <v>59</v>
      </c>
      <c r="AB10710" t="s">
        <v>59</v>
      </c>
      <c r="AC10710" t="s">
        <v>59</v>
      </c>
      <c r="AD10710" t="s">
        <v>59</v>
      </c>
      <c r="AF10710" s="1">
        <v>40413</v>
      </c>
      <c r="AG10710" t="s">
        <v>8645</v>
      </c>
      <c r="AH10710" t="s">
        <v>8646</v>
      </c>
      <c r="AI10710" t="str">
        <f>"9500314"</f>
        <v>9500314</v>
      </c>
      <c r="AJ10710" t="s">
        <v>14116</v>
      </c>
      <c r="AK10710">
        <v>2821097640</v>
      </c>
      <c r="AL10710" t="s">
        <v>14117</v>
      </c>
      <c r="AM10710" t="s">
        <v>88</v>
      </c>
      <c r="AN10710" t="s">
        <v>88</v>
      </c>
      <c r="AO10710" t="s">
        <v>88</v>
      </c>
      <c r="AP10710" t="s">
        <v>88</v>
      </c>
      <c r="AQ10710">
        <v>1</v>
      </c>
      <c r="AR10710" t="s">
        <v>89</v>
      </c>
      <c r="AS10710" t="s">
        <v>90</v>
      </c>
      <c r="AT10710" t="s">
        <v>58</v>
      </c>
      <c r="AU10710" t="s">
        <v>68</v>
      </c>
      <c r="AV10710" t="s">
        <v>69</v>
      </c>
      <c r="AW10710" s="1">
        <v>31712</v>
      </c>
      <c r="AX10710">
        <v>1</v>
      </c>
    </row>
    <row r="10711" spans="1:50">
      <c r="B10711" t="str">
        <f>"109829121"</f>
        <v>109829121</v>
      </c>
      <c r="C10711" t="s">
        <v>50</v>
      </c>
      <c r="D10711" t="s">
        <v>15575</v>
      </c>
      <c r="E10711" t="s">
        <v>181</v>
      </c>
      <c r="F10711" t="s">
        <v>9387</v>
      </c>
      <c r="G10711" t="s">
        <v>396</v>
      </c>
      <c r="H10711" t="str">
        <f>"ΑΓ.ΣΑΡΑΝΤΑ 16 "</f>
        <v xml:space="preserve">ΑΓ.ΣΑΡΑΝΤΑ 16 </v>
      </c>
      <c r="I10711">
        <v>73100</v>
      </c>
      <c r="J10711">
        <v>2821401247</v>
      </c>
      <c r="K10711">
        <v>6972027002</v>
      </c>
      <c r="N10711" t="s">
        <v>836</v>
      </c>
      <c r="O10711" t="s">
        <v>837</v>
      </c>
      <c r="R10711" t="s">
        <v>159</v>
      </c>
      <c r="S10711">
        <v>3</v>
      </c>
      <c r="T10711" t="s">
        <v>8675</v>
      </c>
      <c r="U10711" s="1">
        <v>43348</v>
      </c>
      <c r="V10711" t="s">
        <v>89</v>
      </c>
      <c r="W10711" t="s">
        <v>90</v>
      </c>
      <c r="X10711" t="s">
        <v>58</v>
      </c>
      <c r="Y10711">
        <v>24</v>
      </c>
      <c r="Z10711" t="s">
        <v>59</v>
      </c>
      <c r="AA10711" t="s">
        <v>59</v>
      </c>
      <c r="AB10711" t="s">
        <v>59</v>
      </c>
      <c r="AC10711" t="s">
        <v>59</v>
      </c>
      <c r="AD10711" t="s">
        <v>59</v>
      </c>
      <c r="AF10711" s="1">
        <v>43348</v>
      </c>
      <c r="AG10711" t="s">
        <v>8645</v>
      </c>
      <c r="AH10711" t="s">
        <v>8646</v>
      </c>
      <c r="AI10711" t="str">
        <f>"9500329"</f>
        <v>9500329</v>
      </c>
      <c r="AJ10711" t="s">
        <v>14241</v>
      </c>
      <c r="AK10711">
        <v>2821099075</v>
      </c>
      <c r="AL10711" t="s">
        <v>14242</v>
      </c>
      <c r="AM10711" t="s">
        <v>88</v>
      </c>
      <c r="AN10711" t="s">
        <v>88</v>
      </c>
      <c r="AO10711" t="s">
        <v>6733</v>
      </c>
      <c r="AP10711" t="s">
        <v>6734</v>
      </c>
      <c r="AQ10711">
        <v>2</v>
      </c>
      <c r="AR10711" t="s">
        <v>89</v>
      </c>
      <c r="AS10711" t="s">
        <v>90</v>
      </c>
      <c r="AT10711" t="s">
        <v>58</v>
      </c>
      <c r="AU10711" t="s">
        <v>8673</v>
      </c>
      <c r="AV10711" t="s">
        <v>132</v>
      </c>
      <c r="AW10711" s="1">
        <v>28366</v>
      </c>
      <c r="AX10711">
        <v>1</v>
      </c>
    </row>
    <row r="10712" spans="1:50">
      <c r="A10712">
        <v>556390</v>
      </c>
      <c r="B10712" t="str">
        <f>"079503264"</f>
        <v>079503264</v>
      </c>
      <c r="C10712" t="s">
        <v>50</v>
      </c>
      <c r="D10712" t="s">
        <v>11766</v>
      </c>
      <c r="E10712" t="s">
        <v>73</v>
      </c>
      <c r="F10712" t="s">
        <v>166</v>
      </c>
      <c r="G10712" t="s">
        <v>1383</v>
      </c>
      <c r="H10712" t="str">
        <f>" "</f>
        <v xml:space="preserve"> </v>
      </c>
      <c r="N10712" t="s">
        <v>1525</v>
      </c>
      <c r="O10712" t="s">
        <v>1526</v>
      </c>
      <c r="R10712" t="s">
        <v>57</v>
      </c>
      <c r="S10712">
        <v>16</v>
      </c>
      <c r="T10712" t="s">
        <v>15576</v>
      </c>
      <c r="U10712" s="1">
        <v>31657</v>
      </c>
      <c r="V10712" t="s">
        <v>89</v>
      </c>
      <c r="W10712" t="s">
        <v>90</v>
      </c>
      <c r="X10712" t="s">
        <v>58</v>
      </c>
      <c r="Y10712">
        <v>25</v>
      </c>
      <c r="Z10712" t="s">
        <v>59</v>
      </c>
      <c r="AA10712" t="s">
        <v>59</v>
      </c>
      <c r="AB10712" t="s">
        <v>59</v>
      </c>
      <c r="AC10712" t="s">
        <v>59</v>
      </c>
      <c r="AD10712" t="s">
        <v>59</v>
      </c>
      <c r="AF10712" s="1">
        <v>31657</v>
      </c>
      <c r="AG10712" t="s">
        <v>8651</v>
      </c>
      <c r="AH10712" t="s">
        <v>8652</v>
      </c>
      <c r="AI10712" t="str">
        <f>"9521556"</f>
        <v>9521556</v>
      </c>
      <c r="AJ10712" t="s">
        <v>14875</v>
      </c>
      <c r="AK10712">
        <v>2821028060</v>
      </c>
      <c r="AL10712" t="s">
        <v>14876</v>
      </c>
      <c r="AM10712" t="s">
        <v>88</v>
      </c>
      <c r="AN10712" t="s">
        <v>88</v>
      </c>
      <c r="AO10712" t="s">
        <v>88</v>
      </c>
      <c r="AP10712" t="s">
        <v>88</v>
      </c>
      <c r="AQ10712">
        <v>1</v>
      </c>
      <c r="AR10712" t="s">
        <v>89</v>
      </c>
      <c r="AS10712" t="s">
        <v>90</v>
      </c>
      <c r="AT10712" t="s">
        <v>58</v>
      </c>
      <c r="AU10712" t="s">
        <v>68</v>
      </c>
      <c r="AV10712" t="s">
        <v>69</v>
      </c>
      <c r="AW10712" s="1">
        <v>23078</v>
      </c>
      <c r="AX10712">
        <v>1</v>
      </c>
    </row>
    <row r="10713" spans="1:50">
      <c r="A10713">
        <v>607855</v>
      </c>
      <c r="B10713" t="str">
        <f>"103614553"</f>
        <v>103614553</v>
      </c>
      <c r="C10713" t="s">
        <v>50</v>
      </c>
      <c r="D10713" t="s">
        <v>15577</v>
      </c>
      <c r="E10713" t="s">
        <v>52</v>
      </c>
      <c r="F10713" t="s">
        <v>53</v>
      </c>
      <c r="G10713" t="s">
        <v>114</v>
      </c>
      <c r="H10713" t="str">
        <f>"ΑΣΗ ΓΩΝΙΑ ΧΑΝΙΑ"</f>
        <v>ΑΣΗ ΓΩΝΙΑ ΧΑΝΙΑ</v>
      </c>
      <c r="I10713">
        <v>74055</v>
      </c>
      <c r="J10713">
        <v>2106131419</v>
      </c>
      <c r="K10713">
        <v>6976296131</v>
      </c>
      <c r="L10713">
        <v>2831082482</v>
      </c>
      <c r="N10713" t="s">
        <v>615</v>
      </c>
      <c r="O10713" t="s">
        <v>616</v>
      </c>
      <c r="R10713" t="s">
        <v>57</v>
      </c>
      <c r="S10713">
        <v>7</v>
      </c>
      <c r="T10713">
        <v>217</v>
      </c>
      <c r="U10713" s="1">
        <v>38596</v>
      </c>
      <c r="V10713" t="s">
        <v>89</v>
      </c>
      <c r="W10713" t="s">
        <v>90</v>
      </c>
      <c r="X10713" t="s">
        <v>58</v>
      </c>
      <c r="Y10713">
        <v>25</v>
      </c>
      <c r="Z10713" t="s">
        <v>59</v>
      </c>
      <c r="AA10713" t="s">
        <v>59</v>
      </c>
      <c r="AB10713" t="s">
        <v>59</v>
      </c>
      <c r="AC10713" t="s">
        <v>59</v>
      </c>
      <c r="AD10713" t="s">
        <v>59</v>
      </c>
      <c r="AF10713" s="1">
        <v>38596</v>
      </c>
      <c r="AG10713" t="s">
        <v>8645</v>
      </c>
      <c r="AH10713" t="s">
        <v>8676</v>
      </c>
      <c r="AI10713" t="str">
        <f>"9500003"</f>
        <v>9500003</v>
      </c>
      <c r="AJ10713" t="s">
        <v>14906</v>
      </c>
      <c r="AK10713">
        <v>2831082298</v>
      </c>
      <c r="AL10713" t="s">
        <v>14907</v>
      </c>
      <c r="AM10713" t="s">
        <v>88</v>
      </c>
      <c r="AN10713" t="s">
        <v>6775</v>
      </c>
      <c r="AO10713" t="s">
        <v>14371</v>
      </c>
      <c r="AP10713" t="s">
        <v>14371</v>
      </c>
      <c r="AQ10713">
        <v>8</v>
      </c>
      <c r="AR10713" t="s">
        <v>89</v>
      </c>
      <c r="AS10713" t="s">
        <v>90</v>
      </c>
      <c r="AT10713" t="s">
        <v>58</v>
      </c>
      <c r="AU10713" t="s">
        <v>68</v>
      </c>
      <c r="AV10713" t="s">
        <v>69</v>
      </c>
      <c r="AW10713" s="1">
        <v>27979</v>
      </c>
      <c r="AX10713">
        <v>1</v>
      </c>
    </row>
    <row r="10714" spans="1:50">
      <c r="B10714" t="str">
        <f>"103614565"</f>
        <v>103614565</v>
      </c>
      <c r="C10714" t="s">
        <v>50</v>
      </c>
      <c r="D10714" t="s">
        <v>15577</v>
      </c>
      <c r="E10714" t="s">
        <v>801</v>
      </c>
      <c r="F10714" t="s">
        <v>53</v>
      </c>
      <c r="G10714" t="s">
        <v>114</v>
      </c>
      <c r="H10714" t="str">
        <f>"ΧΩΡΑΦΑΚΙΑ ΑΚΡΩΤΗΡΙ ΧΑΝΙΩΝ"</f>
        <v>ΧΩΡΑΦΑΚΙΑ ΑΚΡΩΤΗΡΙ ΧΑΝΙΩΝ</v>
      </c>
      <c r="I10714">
        <v>72100</v>
      </c>
      <c r="J10714">
        <v>2821039348</v>
      </c>
      <c r="K10714">
        <v>6949953170</v>
      </c>
      <c r="N10714" t="s">
        <v>1525</v>
      </c>
      <c r="O10714" t="s">
        <v>1526</v>
      </c>
      <c r="R10714" t="s">
        <v>57</v>
      </c>
      <c r="S10714">
        <v>4</v>
      </c>
      <c r="T10714" t="s">
        <v>8670</v>
      </c>
      <c r="U10714" s="1">
        <v>43348</v>
      </c>
      <c r="V10714" t="s">
        <v>89</v>
      </c>
      <c r="W10714" t="s">
        <v>90</v>
      </c>
      <c r="X10714" t="s">
        <v>58</v>
      </c>
      <c r="Y10714">
        <v>25</v>
      </c>
      <c r="Z10714" t="s">
        <v>59</v>
      </c>
      <c r="AA10714" t="s">
        <v>59</v>
      </c>
      <c r="AB10714" t="s">
        <v>59</v>
      </c>
      <c r="AC10714" t="s">
        <v>59</v>
      </c>
      <c r="AD10714" t="s">
        <v>59</v>
      </c>
      <c r="AF10714" s="1">
        <v>43348</v>
      </c>
      <c r="AG10714" t="s">
        <v>8651</v>
      </c>
      <c r="AH10714" t="s">
        <v>8652</v>
      </c>
      <c r="AI10714" t="str">
        <f>"9500309"</f>
        <v>9500309</v>
      </c>
      <c r="AJ10714" t="s">
        <v>14248</v>
      </c>
      <c r="AK10714">
        <v>2821066285</v>
      </c>
      <c r="AL10714" t="s">
        <v>14249</v>
      </c>
      <c r="AM10714" t="s">
        <v>88</v>
      </c>
      <c r="AN10714" t="s">
        <v>88</v>
      </c>
      <c r="AO10714" t="s">
        <v>6770</v>
      </c>
      <c r="AP10714" t="s">
        <v>14090</v>
      </c>
      <c r="AQ10714">
        <v>2</v>
      </c>
      <c r="AR10714" t="s">
        <v>89</v>
      </c>
      <c r="AS10714" t="s">
        <v>90</v>
      </c>
      <c r="AT10714" t="s">
        <v>58</v>
      </c>
      <c r="AU10714" t="s">
        <v>8673</v>
      </c>
      <c r="AV10714" t="s">
        <v>132</v>
      </c>
      <c r="AW10714" s="1">
        <v>28918</v>
      </c>
      <c r="AX10714">
        <v>1</v>
      </c>
    </row>
    <row r="10715" spans="1:50">
      <c r="B10715" t="str">
        <f>"136445573"</f>
        <v>136445573</v>
      </c>
      <c r="C10715" t="s">
        <v>50</v>
      </c>
      <c r="D10715" t="s">
        <v>15578</v>
      </c>
      <c r="E10715" t="s">
        <v>15579</v>
      </c>
      <c r="F10715" t="s">
        <v>166</v>
      </c>
      <c r="G10715" t="s">
        <v>964</v>
      </c>
      <c r="H10715" t="str">
        <f>" "</f>
        <v xml:space="preserve"> </v>
      </c>
      <c r="N10715" t="s">
        <v>615</v>
      </c>
      <c r="O10715" t="s">
        <v>616</v>
      </c>
      <c r="R10715" t="s">
        <v>159</v>
      </c>
      <c r="S10715">
        <v>1</v>
      </c>
      <c r="T10715" t="s">
        <v>8675</v>
      </c>
      <c r="U10715" s="1">
        <v>43348</v>
      </c>
      <c r="V10715" t="s">
        <v>89</v>
      </c>
      <c r="W10715" t="s">
        <v>90</v>
      </c>
      <c r="X10715" t="s">
        <v>58</v>
      </c>
      <c r="Y10715">
        <v>25</v>
      </c>
      <c r="Z10715" t="s">
        <v>59</v>
      </c>
      <c r="AA10715" t="s">
        <v>59</v>
      </c>
      <c r="AB10715" t="s">
        <v>59</v>
      </c>
      <c r="AC10715" t="s">
        <v>59</v>
      </c>
      <c r="AD10715" t="s">
        <v>59</v>
      </c>
      <c r="AF10715" s="1">
        <v>43348</v>
      </c>
      <c r="AG10715" t="s">
        <v>8645</v>
      </c>
      <c r="AH10715" t="s">
        <v>8646</v>
      </c>
      <c r="AI10715" t="str">
        <f>"9500006"</f>
        <v>9500006</v>
      </c>
      <c r="AJ10715" t="s">
        <v>14060</v>
      </c>
      <c r="AK10715">
        <v>2825051220</v>
      </c>
      <c r="AL10715" t="s">
        <v>14061</v>
      </c>
      <c r="AM10715" t="s">
        <v>88</v>
      </c>
      <c r="AN10715" t="s">
        <v>6775</v>
      </c>
      <c r="AO10715" t="s">
        <v>6781</v>
      </c>
      <c r="AP10715" t="s">
        <v>6782</v>
      </c>
      <c r="AQ10715">
        <v>8</v>
      </c>
      <c r="AR10715" t="s">
        <v>89</v>
      </c>
      <c r="AS10715" t="s">
        <v>90</v>
      </c>
      <c r="AT10715" t="s">
        <v>58</v>
      </c>
      <c r="AU10715" t="s">
        <v>8673</v>
      </c>
      <c r="AV10715" t="s">
        <v>132</v>
      </c>
      <c r="AW10715" s="1">
        <v>32673</v>
      </c>
      <c r="AX10715">
        <v>1</v>
      </c>
    </row>
    <row r="10716" spans="1:50">
      <c r="A10716">
        <v>558113</v>
      </c>
      <c r="B10716" t="str">
        <f>"033432894"</f>
        <v>033432894</v>
      </c>
      <c r="C10716" t="s">
        <v>105</v>
      </c>
      <c r="D10716" t="s">
        <v>4286</v>
      </c>
      <c r="E10716" t="s">
        <v>166</v>
      </c>
      <c r="F10716" t="s">
        <v>510</v>
      </c>
      <c r="G10716" t="s">
        <v>473</v>
      </c>
      <c r="H10716" t="str">
        <f>"ΗΡΑΚΛΕΙΤΟΥ 1 ΧΑΝΙΑ"</f>
        <v>ΗΡΑΚΛΕΙΤΟΥ 1 ΧΑΝΙΑ</v>
      </c>
      <c r="I10716">
        <v>73133</v>
      </c>
      <c r="J10716">
        <v>2821043743</v>
      </c>
      <c r="N10716" t="s">
        <v>615</v>
      </c>
      <c r="O10716" t="s">
        <v>616</v>
      </c>
      <c r="R10716" t="s">
        <v>57</v>
      </c>
      <c r="S10716">
        <v>16</v>
      </c>
      <c r="T10716">
        <v>168</v>
      </c>
      <c r="U10716" s="1">
        <v>32010</v>
      </c>
      <c r="V10716" t="s">
        <v>89</v>
      </c>
      <c r="W10716" t="s">
        <v>90</v>
      </c>
      <c r="X10716" t="s">
        <v>58</v>
      </c>
      <c r="Y10716">
        <v>21</v>
      </c>
      <c r="Z10716" t="s">
        <v>59</v>
      </c>
      <c r="AA10716" t="s">
        <v>59</v>
      </c>
      <c r="AB10716" t="s">
        <v>59</v>
      </c>
      <c r="AC10716" t="s">
        <v>59</v>
      </c>
      <c r="AD10716" t="s">
        <v>59</v>
      </c>
      <c r="AF10716" s="1">
        <v>32010</v>
      </c>
      <c r="AG10716" t="s">
        <v>8645</v>
      </c>
      <c r="AH10716" t="s">
        <v>8646</v>
      </c>
      <c r="AI10716" t="str">
        <f>"9500114"</f>
        <v>9500114</v>
      </c>
      <c r="AJ10716" t="s">
        <v>14013</v>
      </c>
      <c r="AK10716">
        <v>2821063458</v>
      </c>
      <c r="AL10716" t="s">
        <v>14014</v>
      </c>
      <c r="AM10716" t="s">
        <v>88</v>
      </c>
      <c r="AN10716" t="s">
        <v>88</v>
      </c>
      <c r="AO10716" t="s">
        <v>6770</v>
      </c>
      <c r="AP10716" t="s">
        <v>14015</v>
      </c>
      <c r="AQ10716">
        <v>2</v>
      </c>
      <c r="AR10716" t="s">
        <v>89</v>
      </c>
      <c r="AS10716" t="s">
        <v>90</v>
      </c>
      <c r="AT10716" t="s">
        <v>58</v>
      </c>
      <c r="AU10716" t="s">
        <v>68</v>
      </c>
      <c r="AV10716" t="s">
        <v>69</v>
      </c>
      <c r="AW10716" s="1">
        <v>23616</v>
      </c>
      <c r="AX10716">
        <v>1</v>
      </c>
    </row>
    <row r="10717" spans="1:50">
      <c r="A10717">
        <v>571616</v>
      </c>
      <c r="B10717" t="str">
        <f>"065170073"</f>
        <v>065170073</v>
      </c>
      <c r="C10717" t="s">
        <v>50</v>
      </c>
      <c r="D10717" t="s">
        <v>15580</v>
      </c>
      <c r="E10717" t="s">
        <v>630</v>
      </c>
      <c r="F10717" t="s">
        <v>95</v>
      </c>
      <c r="G10717" t="s">
        <v>83</v>
      </c>
      <c r="H10717" t="str">
        <f>"Γ.ΞΕΠΑΠΑ ΧΑΝΙΑ"</f>
        <v>Γ.ΞΕΠΑΠΑ ΧΑΝΙΑ</v>
      </c>
      <c r="I10717">
        <v>73100</v>
      </c>
      <c r="J10717">
        <v>2821074207</v>
      </c>
      <c r="N10717" t="s">
        <v>1525</v>
      </c>
      <c r="O10717" t="s">
        <v>1526</v>
      </c>
      <c r="R10717" t="s">
        <v>57</v>
      </c>
      <c r="S10717">
        <v>12</v>
      </c>
      <c r="T10717">
        <v>138</v>
      </c>
      <c r="U10717" s="1">
        <v>34206</v>
      </c>
      <c r="V10717" t="s">
        <v>89</v>
      </c>
      <c r="W10717" t="s">
        <v>90</v>
      </c>
      <c r="X10717" t="s">
        <v>58</v>
      </c>
      <c r="Y10717">
        <v>25</v>
      </c>
      <c r="Z10717" t="s">
        <v>59</v>
      </c>
      <c r="AA10717" t="s">
        <v>59</v>
      </c>
      <c r="AB10717" t="s">
        <v>59</v>
      </c>
      <c r="AC10717" t="s">
        <v>59</v>
      </c>
      <c r="AD10717" t="s">
        <v>59</v>
      </c>
      <c r="AF10717" s="1">
        <v>34206</v>
      </c>
      <c r="AG10717" t="s">
        <v>8651</v>
      </c>
      <c r="AH10717" t="s">
        <v>8652</v>
      </c>
      <c r="AI10717" t="str">
        <f>"9500401"</f>
        <v>9500401</v>
      </c>
      <c r="AJ10717" t="s">
        <v>14791</v>
      </c>
      <c r="AK10717">
        <v>2821097774</v>
      </c>
      <c r="AL10717" t="s">
        <v>14792</v>
      </c>
      <c r="AM10717" t="s">
        <v>88</v>
      </c>
      <c r="AN10717" t="s">
        <v>88</v>
      </c>
      <c r="AO10717" t="s">
        <v>88</v>
      </c>
      <c r="AP10717" t="s">
        <v>88</v>
      </c>
      <c r="AQ10717">
        <v>1</v>
      </c>
      <c r="AR10717" t="s">
        <v>89</v>
      </c>
      <c r="AS10717" t="s">
        <v>90</v>
      </c>
      <c r="AT10717" t="s">
        <v>58</v>
      </c>
      <c r="AU10717" t="s">
        <v>68</v>
      </c>
      <c r="AV10717" t="s">
        <v>69</v>
      </c>
      <c r="AW10717" s="1">
        <v>23520</v>
      </c>
      <c r="AX10717">
        <v>1</v>
      </c>
    </row>
    <row r="10718" spans="1:50">
      <c r="A10718">
        <v>556829</v>
      </c>
      <c r="B10718" t="str">
        <f>"032900580"</f>
        <v>032900580</v>
      </c>
      <c r="C10718" t="s">
        <v>105</v>
      </c>
      <c r="D10718" t="s">
        <v>5597</v>
      </c>
      <c r="E10718" t="s">
        <v>84</v>
      </c>
      <c r="F10718" t="s">
        <v>989</v>
      </c>
      <c r="G10718" t="s">
        <v>83</v>
      </c>
      <c r="H10718" t="str">
        <f>"ΙΠΠΟΚΡΗΝΗΣ ΧΑΝΙΑ"</f>
        <v>ΙΠΠΟΚΡΗΝΗΣ ΧΑΝΙΑ</v>
      </c>
      <c r="I10718">
        <v>73100</v>
      </c>
      <c r="J10718">
        <v>2821033579</v>
      </c>
      <c r="K10718">
        <v>6909702423</v>
      </c>
      <c r="N10718" t="s">
        <v>615</v>
      </c>
      <c r="O10718" t="s">
        <v>616</v>
      </c>
      <c r="R10718" t="s">
        <v>57</v>
      </c>
      <c r="S10718">
        <v>15</v>
      </c>
      <c r="T10718">
        <v>168</v>
      </c>
      <c r="U10718" s="1">
        <v>32010</v>
      </c>
      <c r="V10718" t="s">
        <v>89</v>
      </c>
      <c r="W10718" t="s">
        <v>90</v>
      </c>
      <c r="X10718" t="s">
        <v>58</v>
      </c>
      <c r="Y10718">
        <v>21</v>
      </c>
      <c r="Z10718" t="s">
        <v>59</v>
      </c>
      <c r="AA10718" t="s">
        <v>59</v>
      </c>
      <c r="AB10718" t="s">
        <v>59</v>
      </c>
      <c r="AC10718" t="s">
        <v>59</v>
      </c>
      <c r="AD10718" t="s">
        <v>59</v>
      </c>
      <c r="AF10718" s="1">
        <v>32010</v>
      </c>
      <c r="AG10718" t="s">
        <v>8645</v>
      </c>
      <c r="AH10718" t="s">
        <v>8646</v>
      </c>
      <c r="AI10718" t="str">
        <f>"9500078"</f>
        <v>9500078</v>
      </c>
      <c r="AJ10718" t="s">
        <v>13988</v>
      </c>
      <c r="AK10718">
        <v>2821028788</v>
      </c>
      <c r="AL10718" t="s">
        <v>13989</v>
      </c>
      <c r="AM10718" t="s">
        <v>88</v>
      </c>
      <c r="AN10718" t="s">
        <v>88</v>
      </c>
      <c r="AO10718" t="s">
        <v>88</v>
      </c>
      <c r="AP10718" t="s">
        <v>88</v>
      </c>
      <c r="AQ10718">
        <v>1</v>
      </c>
      <c r="AR10718" t="s">
        <v>89</v>
      </c>
      <c r="AS10718" t="s">
        <v>90</v>
      </c>
      <c r="AT10718" t="s">
        <v>58</v>
      </c>
      <c r="AU10718" t="s">
        <v>68</v>
      </c>
      <c r="AV10718" t="s">
        <v>69</v>
      </c>
      <c r="AW10718" s="1">
        <v>23170</v>
      </c>
      <c r="AX10718">
        <v>1</v>
      </c>
    </row>
    <row r="10719" spans="1:50">
      <c r="A10719">
        <v>568278</v>
      </c>
      <c r="B10719" t="str">
        <f>"059845273"</f>
        <v>059845273</v>
      </c>
      <c r="C10719" t="s">
        <v>50</v>
      </c>
      <c r="D10719" t="s">
        <v>15581</v>
      </c>
      <c r="E10719" t="s">
        <v>181</v>
      </c>
      <c r="F10719" t="s">
        <v>5394</v>
      </c>
      <c r="G10719" t="s">
        <v>8570</v>
      </c>
      <c r="H10719" t="str">
        <f>"ΠΡΟΚΟΠΗ ΜΠΟΛΙΩΤΗ 70Α ΧΑΝΙΑ"</f>
        <v>ΠΡΟΚΟΠΗ ΜΠΟΛΙΩΤΗ 70Α ΧΑΝΙΑ</v>
      </c>
      <c r="I10719">
        <v>73100</v>
      </c>
      <c r="J10719">
        <v>2821087164</v>
      </c>
      <c r="K10719">
        <v>6983690538</v>
      </c>
      <c r="N10719" t="s">
        <v>615</v>
      </c>
      <c r="O10719" t="s">
        <v>616</v>
      </c>
      <c r="R10719" t="s">
        <v>57</v>
      </c>
      <c r="S10719">
        <v>14</v>
      </c>
      <c r="T10719">
        <v>162</v>
      </c>
      <c r="U10719" s="1">
        <v>33844</v>
      </c>
      <c r="V10719" t="s">
        <v>89</v>
      </c>
      <c r="W10719" t="s">
        <v>90</v>
      </c>
      <c r="X10719" t="s">
        <v>58</v>
      </c>
      <c r="Y10719">
        <v>21</v>
      </c>
      <c r="Z10719" t="s">
        <v>59</v>
      </c>
      <c r="AA10719" t="s">
        <v>59</v>
      </c>
      <c r="AB10719" t="s">
        <v>59</v>
      </c>
      <c r="AC10719" t="s">
        <v>59</v>
      </c>
      <c r="AD10719" t="s">
        <v>59</v>
      </c>
      <c r="AF10719" s="1">
        <v>33848</v>
      </c>
      <c r="AG10719" t="s">
        <v>8645</v>
      </c>
      <c r="AH10719" t="s">
        <v>8646</v>
      </c>
      <c r="AI10719" t="str">
        <f>"9500139"</f>
        <v>9500139</v>
      </c>
      <c r="AJ10719" t="s">
        <v>14050</v>
      </c>
      <c r="AK10719">
        <v>2821096819</v>
      </c>
      <c r="AL10719" t="s">
        <v>14051</v>
      </c>
      <c r="AM10719" t="s">
        <v>88</v>
      </c>
      <c r="AN10719" t="s">
        <v>88</v>
      </c>
      <c r="AO10719" t="s">
        <v>88</v>
      </c>
      <c r="AP10719" t="s">
        <v>88</v>
      </c>
      <c r="AQ10719">
        <v>1</v>
      </c>
      <c r="AR10719" t="s">
        <v>89</v>
      </c>
      <c r="AS10719" t="s">
        <v>90</v>
      </c>
      <c r="AT10719" t="s">
        <v>58</v>
      </c>
      <c r="AU10719" t="s">
        <v>68</v>
      </c>
      <c r="AV10719" t="s">
        <v>2039</v>
      </c>
      <c r="AW10719" s="1">
        <v>24411</v>
      </c>
      <c r="AX10719">
        <v>1</v>
      </c>
    </row>
    <row r="10720" spans="1:50">
      <c r="A10720">
        <v>584586</v>
      </c>
      <c r="B10720" t="str">
        <f>"113188162"</f>
        <v>113188162</v>
      </c>
      <c r="C10720" t="s">
        <v>50</v>
      </c>
      <c r="D10720" t="s">
        <v>4296</v>
      </c>
      <c r="E10720" t="s">
        <v>1189</v>
      </c>
      <c r="F10720" t="s">
        <v>949</v>
      </c>
      <c r="G10720" t="s">
        <v>8613</v>
      </c>
      <c r="H10720" t="str">
        <f>" "</f>
        <v xml:space="preserve"> </v>
      </c>
      <c r="N10720" t="s">
        <v>615</v>
      </c>
      <c r="O10720" t="s">
        <v>616</v>
      </c>
      <c r="R10720" t="s">
        <v>57</v>
      </c>
      <c r="S10720">
        <v>11</v>
      </c>
      <c r="T10720">
        <v>165</v>
      </c>
      <c r="U10720" s="1">
        <v>36040</v>
      </c>
      <c r="V10720" t="s">
        <v>89</v>
      </c>
      <c r="W10720" t="s">
        <v>90</v>
      </c>
      <c r="X10720" t="s">
        <v>58</v>
      </c>
      <c r="Y10720">
        <v>21</v>
      </c>
      <c r="Z10720" t="s">
        <v>59</v>
      </c>
      <c r="AA10720" t="s">
        <v>59</v>
      </c>
      <c r="AB10720" t="s">
        <v>59</v>
      </c>
      <c r="AC10720" t="s">
        <v>59</v>
      </c>
      <c r="AD10720" t="s">
        <v>59</v>
      </c>
      <c r="AF10720" s="1">
        <v>36040</v>
      </c>
      <c r="AG10720" t="s">
        <v>8645</v>
      </c>
      <c r="AH10720" t="s">
        <v>8646</v>
      </c>
      <c r="AI10720" t="str">
        <f>"9500358"</f>
        <v>9500358</v>
      </c>
      <c r="AJ10720" t="s">
        <v>13948</v>
      </c>
      <c r="AK10720">
        <v>2821093459</v>
      </c>
      <c r="AL10720" t="s">
        <v>13949</v>
      </c>
      <c r="AM10720" t="s">
        <v>88</v>
      </c>
      <c r="AN10720" t="s">
        <v>88</v>
      </c>
      <c r="AO10720" t="s">
        <v>6733</v>
      </c>
      <c r="AP10720" t="s">
        <v>6755</v>
      </c>
      <c r="AQ10720">
        <v>2</v>
      </c>
      <c r="AR10720" t="s">
        <v>89</v>
      </c>
      <c r="AS10720" t="s">
        <v>90</v>
      </c>
      <c r="AT10720" t="s">
        <v>58</v>
      </c>
      <c r="AU10720" t="s">
        <v>68</v>
      </c>
      <c r="AV10720" t="s">
        <v>69</v>
      </c>
      <c r="AW10720" s="1">
        <v>23852</v>
      </c>
      <c r="AX10720">
        <v>1</v>
      </c>
    </row>
    <row r="10721" spans="1:50">
      <c r="A10721">
        <v>618250</v>
      </c>
      <c r="B10721" t="str">
        <f>"132495886"</f>
        <v>132495886</v>
      </c>
      <c r="C10721" t="s">
        <v>50</v>
      </c>
      <c r="D10721" t="s">
        <v>4303</v>
      </c>
      <c r="E10721" t="s">
        <v>155</v>
      </c>
      <c r="F10721" t="s">
        <v>108</v>
      </c>
      <c r="G10721" t="s">
        <v>52</v>
      </c>
      <c r="H10721" t="str">
        <f>"ΙΔΟΜΕΝΕΩΣ 3 ΠΑΛΙΟ ΝΟΣΟΚΟΜΕΙΟ"</f>
        <v>ΙΔΟΜΕΝΕΩΣ 3 ΠΑΛΙΟ ΝΟΣΟΚΟΜΕΙΟ</v>
      </c>
      <c r="I10721">
        <v>73133</v>
      </c>
      <c r="K10721">
        <v>6948064641</v>
      </c>
      <c r="M10721" t="s">
        <v>15582</v>
      </c>
      <c r="N10721" t="s">
        <v>615</v>
      </c>
      <c r="O10721" t="s">
        <v>616</v>
      </c>
      <c r="R10721" t="s">
        <v>57</v>
      </c>
      <c r="S10721">
        <v>5</v>
      </c>
      <c r="T10721">
        <v>774</v>
      </c>
      <c r="U10721" s="1">
        <v>39680</v>
      </c>
      <c r="V10721" t="s">
        <v>89</v>
      </c>
      <c r="W10721" t="s">
        <v>90</v>
      </c>
      <c r="X10721" t="s">
        <v>58</v>
      </c>
      <c r="Y10721">
        <v>23</v>
      </c>
      <c r="Z10721" t="s">
        <v>59</v>
      </c>
      <c r="AA10721" t="s">
        <v>59</v>
      </c>
      <c r="AB10721" t="s">
        <v>59</v>
      </c>
      <c r="AC10721" t="s">
        <v>59</v>
      </c>
      <c r="AD10721" t="s">
        <v>59</v>
      </c>
      <c r="AF10721" s="1">
        <v>39682</v>
      </c>
      <c r="AG10721" t="s">
        <v>8645</v>
      </c>
      <c r="AH10721" t="s">
        <v>8646</v>
      </c>
      <c r="AI10721" t="str">
        <f>"9500137"</f>
        <v>9500137</v>
      </c>
      <c r="AJ10721" t="s">
        <v>14401</v>
      </c>
      <c r="AK10721">
        <v>2821093156</v>
      </c>
      <c r="AL10721" t="s">
        <v>14402</v>
      </c>
      <c r="AM10721" t="s">
        <v>88</v>
      </c>
      <c r="AN10721" t="s">
        <v>88</v>
      </c>
      <c r="AO10721" t="s">
        <v>88</v>
      </c>
      <c r="AP10721" t="s">
        <v>88</v>
      </c>
      <c r="AQ10721">
        <v>1</v>
      </c>
      <c r="AR10721" t="s">
        <v>89</v>
      </c>
      <c r="AS10721" t="s">
        <v>90</v>
      </c>
      <c r="AT10721" t="s">
        <v>58</v>
      </c>
      <c r="AU10721" t="s">
        <v>68</v>
      </c>
      <c r="AV10721" t="s">
        <v>69</v>
      </c>
      <c r="AW10721" s="1">
        <v>30966</v>
      </c>
      <c r="AX10721">
        <v>1</v>
      </c>
    </row>
    <row r="10722" spans="1:50">
      <c r="A10722">
        <v>615528</v>
      </c>
      <c r="B10722" t="str">
        <f>"067937075"</f>
        <v>067937075</v>
      </c>
      <c r="C10722" t="s">
        <v>50</v>
      </c>
      <c r="D10722" t="s">
        <v>15583</v>
      </c>
      <c r="E10722" t="s">
        <v>600</v>
      </c>
      <c r="F10722" t="s">
        <v>202</v>
      </c>
      <c r="G10722" t="s">
        <v>73</v>
      </c>
      <c r="H10722" t="str">
        <f>" "</f>
        <v xml:space="preserve"> </v>
      </c>
      <c r="J10722">
        <v>2108626533</v>
      </c>
      <c r="K10722">
        <v>6944207048</v>
      </c>
      <c r="N10722" t="s">
        <v>1525</v>
      </c>
      <c r="O10722" t="s">
        <v>1526</v>
      </c>
      <c r="R10722" t="s">
        <v>57</v>
      </c>
      <c r="S10722">
        <v>6</v>
      </c>
      <c r="T10722">
        <v>598</v>
      </c>
      <c r="U10722" s="1">
        <v>39310</v>
      </c>
      <c r="V10722" t="s">
        <v>89</v>
      </c>
      <c r="W10722" t="s">
        <v>90</v>
      </c>
      <c r="X10722" t="s">
        <v>58</v>
      </c>
      <c r="Y10722">
        <v>25</v>
      </c>
      <c r="Z10722" t="s">
        <v>59</v>
      </c>
      <c r="AA10722" t="s">
        <v>59</v>
      </c>
      <c r="AB10722" t="s">
        <v>59</v>
      </c>
      <c r="AC10722" t="s">
        <v>59</v>
      </c>
      <c r="AD10722" t="s">
        <v>59</v>
      </c>
      <c r="AF10722" s="1">
        <v>39328</v>
      </c>
      <c r="AG10722" t="s">
        <v>8651</v>
      </c>
      <c r="AH10722" t="s">
        <v>8652</v>
      </c>
      <c r="AI10722" t="str">
        <f>"9500190"</f>
        <v>9500190</v>
      </c>
      <c r="AJ10722" t="s">
        <v>14303</v>
      </c>
      <c r="AK10722">
        <v>2822022357</v>
      </c>
      <c r="AL10722" t="s">
        <v>14304</v>
      </c>
      <c r="AM10722" t="s">
        <v>88</v>
      </c>
      <c r="AN10722" t="s">
        <v>6744</v>
      </c>
      <c r="AO10722" t="s">
        <v>6744</v>
      </c>
      <c r="AP10722" t="s">
        <v>6744</v>
      </c>
      <c r="AQ10722">
        <v>9</v>
      </c>
      <c r="AR10722" t="s">
        <v>89</v>
      </c>
      <c r="AS10722" t="s">
        <v>90</v>
      </c>
      <c r="AT10722" t="s">
        <v>58</v>
      </c>
      <c r="AU10722" t="s">
        <v>68</v>
      </c>
      <c r="AV10722" t="s">
        <v>69</v>
      </c>
      <c r="AW10722" s="1">
        <v>27239</v>
      </c>
      <c r="AX10722">
        <v>1</v>
      </c>
    </row>
    <row r="10723" spans="1:50">
      <c r="A10723">
        <v>581563</v>
      </c>
      <c r="B10723" t="str">
        <f>"050483230"</f>
        <v>050483230</v>
      </c>
      <c r="C10723" t="s">
        <v>50</v>
      </c>
      <c r="D10723" t="s">
        <v>15584</v>
      </c>
      <c r="E10723" t="s">
        <v>54</v>
      </c>
      <c r="F10723" t="s">
        <v>670</v>
      </c>
      <c r="G10723" t="s">
        <v>263</v>
      </c>
      <c r="H10723" t="str">
        <f>"Δ.ΚΑΨΩΜΕΝΟΥ 3 ΧΑΝΙΑ"</f>
        <v>Δ.ΚΑΨΩΜΕΝΟΥ 3 ΧΑΝΙΑ</v>
      </c>
      <c r="I10723">
        <v>73134</v>
      </c>
      <c r="J10723">
        <v>2821087779</v>
      </c>
      <c r="K10723">
        <v>6946145051</v>
      </c>
      <c r="N10723" t="s">
        <v>615</v>
      </c>
      <c r="O10723" t="s">
        <v>616</v>
      </c>
      <c r="R10723" t="s">
        <v>57</v>
      </c>
      <c r="S10723">
        <v>14</v>
      </c>
      <c r="T10723">
        <v>179</v>
      </c>
      <c r="U10723" s="1">
        <v>35674</v>
      </c>
      <c r="V10723" t="s">
        <v>89</v>
      </c>
      <c r="W10723" t="s">
        <v>90</v>
      </c>
      <c r="X10723" t="s">
        <v>58</v>
      </c>
      <c r="Y10723">
        <v>21</v>
      </c>
      <c r="Z10723" t="s">
        <v>59</v>
      </c>
      <c r="AA10723" t="s">
        <v>59</v>
      </c>
      <c r="AB10723" t="s">
        <v>59</v>
      </c>
      <c r="AC10723" t="s">
        <v>59</v>
      </c>
      <c r="AD10723" t="s">
        <v>59</v>
      </c>
      <c r="AF10723" s="1">
        <v>35674</v>
      </c>
      <c r="AG10723" t="s">
        <v>8645</v>
      </c>
      <c r="AH10723" t="s">
        <v>8646</v>
      </c>
      <c r="AI10723" t="str">
        <f>"9500320"</f>
        <v>9500320</v>
      </c>
      <c r="AJ10723" t="s">
        <v>14100</v>
      </c>
      <c r="AK10723">
        <v>2821099577</v>
      </c>
      <c r="AL10723" t="s">
        <v>14101</v>
      </c>
      <c r="AM10723" t="s">
        <v>88</v>
      </c>
      <c r="AN10723" t="s">
        <v>88</v>
      </c>
      <c r="AO10723" t="s">
        <v>88</v>
      </c>
      <c r="AP10723" t="s">
        <v>88</v>
      </c>
      <c r="AQ10723">
        <v>1</v>
      </c>
      <c r="AR10723" t="s">
        <v>89</v>
      </c>
      <c r="AS10723" t="s">
        <v>90</v>
      </c>
      <c r="AT10723" t="s">
        <v>58</v>
      </c>
      <c r="AU10723" t="s">
        <v>68</v>
      </c>
      <c r="AV10723" t="s">
        <v>69</v>
      </c>
      <c r="AW10723" s="1">
        <v>24412</v>
      </c>
      <c r="AX10723">
        <v>1</v>
      </c>
    </row>
    <row r="10724" spans="1:50">
      <c r="A10724">
        <v>559896</v>
      </c>
      <c r="B10724" t="str">
        <f>"127734084"</f>
        <v>127734084</v>
      </c>
      <c r="C10724" t="s">
        <v>50</v>
      </c>
      <c r="D10724" t="s">
        <v>4315</v>
      </c>
      <c r="E10724" t="s">
        <v>801</v>
      </c>
      <c r="F10724" t="s">
        <v>99</v>
      </c>
      <c r="G10724" t="s">
        <v>96</v>
      </c>
      <c r="H10724" t="str">
        <f>"ΝΙΚ.ΣΚΟΥΛΑ 103 ΧΑΝΙΑ"</f>
        <v>ΝΙΚ.ΣΚΟΥΛΑ 103 ΧΑΝΙΑ</v>
      </c>
      <c r="I10724">
        <v>73136</v>
      </c>
      <c r="J10724">
        <v>2821099391</v>
      </c>
      <c r="K10724">
        <v>6978111741</v>
      </c>
      <c r="N10724" t="s">
        <v>1525</v>
      </c>
      <c r="O10724" t="s">
        <v>1526</v>
      </c>
      <c r="R10724" t="s">
        <v>57</v>
      </c>
      <c r="S10724">
        <v>16</v>
      </c>
      <c r="T10724">
        <v>175</v>
      </c>
      <c r="U10724" s="1">
        <v>32020</v>
      </c>
      <c r="V10724" t="s">
        <v>89</v>
      </c>
      <c r="W10724" t="s">
        <v>90</v>
      </c>
      <c r="X10724" t="s">
        <v>58</v>
      </c>
      <c r="Y10724">
        <v>25</v>
      </c>
      <c r="Z10724" t="s">
        <v>59</v>
      </c>
      <c r="AA10724" t="s">
        <v>59</v>
      </c>
      <c r="AB10724" t="s">
        <v>59</v>
      </c>
      <c r="AC10724" t="s">
        <v>59</v>
      </c>
      <c r="AD10724" t="s">
        <v>59</v>
      </c>
      <c r="AF10724" s="1">
        <v>32021</v>
      </c>
      <c r="AG10724" t="s">
        <v>8651</v>
      </c>
      <c r="AH10724" t="s">
        <v>8652</v>
      </c>
      <c r="AI10724" t="str">
        <f>"9500141"</f>
        <v>9500141</v>
      </c>
      <c r="AJ10724" t="s">
        <v>14170</v>
      </c>
      <c r="AK10724">
        <v>2821092365</v>
      </c>
      <c r="AL10724" t="s">
        <v>14171</v>
      </c>
      <c r="AM10724" t="s">
        <v>88</v>
      </c>
      <c r="AN10724" t="s">
        <v>88</v>
      </c>
      <c r="AO10724" t="s">
        <v>88</v>
      </c>
      <c r="AP10724" t="s">
        <v>88</v>
      </c>
      <c r="AQ10724">
        <v>1</v>
      </c>
      <c r="AR10724" t="s">
        <v>89</v>
      </c>
      <c r="AS10724" t="s">
        <v>90</v>
      </c>
      <c r="AT10724" t="s">
        <v>58</v>
      </c>
      <c r="AU10724" t="s">
        <v>68</v>
      </c>
      <c r="AV10724" t="s">
        <v>69</v>
      </c>
      <c r="AW10724" s="1">
        <v>23296</v>
      </c>
      <c r="AX10724">
        <v>1</v>
      </c>
    </row>
    <row r="10725" spans="1:50">
      <c r="B10725" t="str">
        <f>"130287266"</f>
        <v>130287266</v>
      </c>
      <c r="C10725" t="s">
        <v>105</v>
      </c>
      <c r="D10725" t="s">
        <v>13327</v>
      </c>
      <c r="E10725" t="s">
        <v>377</v>
      </c>
      <c r="F10725" t="s">
        <v>72</v>
      </c>
      <c r="G10725" t="s">
        <v>11638</v>
      </c>
      <c r="H10725" t="str">
        <f>"25 ΜΑΡΤΙΟΥ 33 ΛΑΡΙΣΑ"</f>
        <v>25 ΜΑΡΤΙΟΥ 33 ΛΑΡΙΣΑ</v>
      </c>
      <c r="I10725">
        <v>41500</v>
      </c>
      <c r="J10725">
        <v>2410289788</v>
      </c>
      <c r="K10725">
        <v>6945383929</v>
      </c>
      <c r="N10725" t="s">
        <v>8694</v>
      </c>
      <c r="O10725" t="s">
        <v>8695</v>
      </c>
      <c r="R10725" t="s">
        <v>159</v>
      </c>
      <c r="S10725">
        <v>2</v>
      </c>
      <c r="T10725" t="s">
        <v>8696</v>
      </c>
      <c r="U10725" s="1">
        <v>43348</v>
      </c>
      <c r="V10725" t="s">
        <v>89</v>
      </c>
      <c r="W10725" t="s">
        <v>90</v>
      </c>
      <c r="X10725" t="s">
        <v>58</v>
      </c>
      <c r="Y10725">
        <v>24</v>
      </c>
      <c r="Z10725" t="s">
        <v>59</v>
      </c>
      <c r="AA10725" t="s">
        <v>59</v>
      </c>
      <c r="AB10725" t="s">
        <v>59</v>
      </c>
      <c r="AC10725" t="s">
        <v>59</v>
      </c>
      <c r="AD10725" t="s">
        <v>59</v>
      </c>
      <c r="AF10725" s="1">
        <v>43348</v>
      </c>
      <c r="AG10725" t="s">
        <v>8645</v>
      </c>
      <c r="AH10725" t="s">
        <v>8697</v>
      </c>
      <c r="AI10725" t="str">
        <f>"9500424"</f>
        <v>9500424</v>
      </c>
      <c r="AJ10725" t="s">
        <v>14232</v>
      </c>
      <c r="AK10725">
        <v>2821044022</v>
      </c>
      <c r="AL10725" t="s">
        <v>14233</v>
      </c>
      <c r="AM10725" t="s">
        <v>88</v>
      </c>
      <c r="AN10725" t="s">
        <v>88</v>
      </c>
      <c r="AO10725" t="s">
        <v>88</v>
      </c>
      <c r="AP10725" t="s">
        <v>88</v>
      </c>
      <c r="AQ10725">
        <v>1</v>
      </c>
      <c r="AR10725" t="s">
        <v>89</v>
      </c>
      <c r="AS10725" t="s">
        <v>90</v>
      </c>
      <c r="AT10725" t="s">
        <v>58</v>
      </c>
      <c r="AU10725" t="s">
        <v>350</v>
      </c>
      <c r="AV10725" t="s">
        <v>132</v>
      </c>
      <c r="AW10725" s="1">
        <v>31903</v>
      </c>
      <c r="AX10725">
        <v>1</v>
      </c>
    </row>
    <row r="10726" spans="1:50">
      <c r="A10726">
        <v>610775</v>
      </c>
      <c r="B10726" t="str">
        <f>"110865621"</f>
        <v>110865621</v>
      </c>
      <c r="C10726" t="s">
        <v>50</v>
      </c>
      <c r="D10726" t="s">
        <v>8582</v>
      </c>
      <c r="E10726" t="s">
        <v>83</v>
      </c>
      <c r="F10726" t="s">
        <v>92</v>
      </c>
      <c r="G10726" t="s">
        <v>85</v>
      </c>
      <c r="H10726" t="str">
        <f>"ΗΛΙΟΥΠΟΛΕΩΣ 99 ΔΑΦΝΗ"</f>
        <v>ΗΛΙΟΥΠΟΛΕΩΣ 99 ΔΑΦΝΗ</v>
      </c>
      <c r="I10726">
        <v>17237</v>
      </c>
      <c r="J10726">
        <v>2821096733</v>
      </c>
      <c r="K10726">
        <v>6946014828</v>
      </c>
      <c r="M10726" t="s">
        <v>15585</v>
      </c>
      <c r="N10726" t="s">
        <v>615</v>
      </c>
      <c r="O10726" t="s">
        <v>616</v>
      </c>
      <c r="R10726" t="s">
        <v>57</v>
      </c>
      <c r="S10726">
        <v>6</v>
      </c>
      <c r="T10726" t="s">
        <v>15586</v>
      </c>
      <c r="U10726" s="1">
        <v>38960</v>
      </c>
      <c r="V10726" t="s">
        <v>89</v>
      </c>
      <c r="W10726" t="s">
        <v>90</v>
      </c>
      <c r="X10726" t="s">
        <v>58</v>
      </c>
      <c r="Y10726">
        <v>23</v>
      </c>
      <c r="Z10726" t="s">
        <v>59</v>
      </c>
      <c r="AA10726" t="s">
        <v>59</v>
      </c>
      <c r="AB10726" t="s">
        <v>59</v>
      </c>
      <c r="AC10726" t="s">
        <v>59</v>
      </c>
      <c r="AD10726" t="s">
        <v>59</v>
      </c>
      <c r="AF10726" s="1">
        <v>38961</v>
      </c>
      <c r="AG10726" t="s">
        <v>8645</v>
      </c>
      <c r="AH10726" t="s">
        <v>8646</v>
      </c>
      <c r="AI10726" t="str">
        <f>"9500148"</f>
        <v>9500148</v>
      </c>
      <c r="AJ10726" t="s">
        <v>13851</v>
      </c>
      <c r="AK10726">
        <v>2821068328</v>
      </c>
      <c r="AL10726" t="s">
        <v>13852</v>
      </c>
      <c r="AM10726" t="s">
        <v>88</v>
      </c>
      <c r="AN10726" t="s">
        <v>88</v>
      </c>
      <c r="AO10726" t="s">
        <v>6785</v>
      </c>
      <c r="AP10726" t="s">
        <v>13853</v>
      </c>
      <c r="AQ10726">
        <v>3</v>
      </c>
      <c r="AR10726" t="s">
        <v>89</v>
      </c>
      <c r="AS10726" t="s">
        <v>90</v>
      </c>
      <c r="AT10726" t="s">
        <v>58</v>
      </c>
      <c r="AU10726" t="s">
        <v>68</v>
      </c>
      <c r="AV10726" t="s">
        <v>69</v>
      </c>
      <c r="AW10726" s="1">
        <v>30205</v>
      </c>
      <c r="AX10726">
        <v>1</v>
      </c>
    </row>
    <row r="10727" spans="1:50">
      <c r="A10727">
        <v>597647</v>
      </c>
      <c r="B10727" t="str">
        <f>"037262799"</f>
        <v>037262799</v>
      </c>
      <c r="C10727" t="s">
        <v>50</v>
      </c>
      <c r="D10727" t="s">
        <v>15587</v>
      </c>
      <c r="E10727" t="s">
        <v>396</v>
      </c>
      <c r="F10727" t="s">
        <v>15588</v>
      </c>
      <c r="G10727" t="s">
        <v>83</v>
      </c>
      <c r="H10727" t="str">
        <f>"Ι.ΓΕΩΡΓΑΚΑΚΗ 15 ΧΑΝΙΑ"</f>
        <v>Ι.ΓΕΩΡΓΑΚΑΚΗ 15 ΧΑΝΙΑ</v>
      </c>
      <c r="I10727">
        <v>73100</v>
      </c>
      <c r="J10727">
        <v>2823041572</v>
      </c>
      <c r="K10727">
        <v>6946248677</v>
      </c>
      <c r="M10727" t="s">
        <v>15589</v>
      </c>
      <c r="N10727" t="s">
        <v>176</v>
      </c>
      <c r="O10727" t="s">
        <v>177</v>
      </c>
      <c r="R10727" t="s">
        <v>57</v>
      </c>
      <c r="S10727">
        <v>10</v>
      </c>
      <c r="T10727">
        <v>193</v>
      </c>
      <c r="U10727" s="1">
        <v>37497</v>
      </c>
      <c r="V10727" t="s">
        <v>89</v>
      </c>
      <c r="W10727" t="s">
        <v>90</v>
      </c>
      <c r="X10727" t="s">
        <v>58</v>
      </c>
      <c r="Y10727">
        <v>21</v>
      </c>
      <c r="Z10727" t="s">
        <v>59</v>
      </c>
      <c r="AA10727" t="s">
        <v>59</v>
      </c>
      <c r="AB10727" t="s">
        <v>59</v>
      </c>
      <c r="AC10727" t="s">
        <v>59</v>
      </c>
      <c r="AD10727" t="s">
        <v>59</v>
      </c>
      <c r="AF10727" s="1">
        <v>37497</v>
      </c>
      <c r="AG10727" t="s">
        <v>8645</v>
      </c>
      <c r="AH10727" t="s">
        <v>8646</v>
      </c>
      <c r="AI10727" t="str">
        <f>"9500119"</f>
        <v>9500119</v>
      </c>
      <c r="AJ10727" t="s">
        <v>14286</v>
      </c>
      <c r="AK10727">
        <v>2821095816</v>
      </c>
      <c r="AL10727" t="s">
        <v>14287</v>
      </c>
      <c r="AM10727" t="s">
        <v>88</v>
      </c>
      <c r="AN10727" t="s">
        <v>88</v>
      </c>
      <c r="AO10727" t="s">
        <v>13920</v>
      </c>
      <c r="AP10727" t="s">
        <v>14029</v>
      </c>
      <c r="AQ10727">
        <v>3</v>
      </c>
      <c r="AR10727" t="s">
        <v>89</v>
      </c>
      <c r="AS10727" t="s">
        <v>90</v>
      </c>
      <c r="AT10727" t="s">
        <v>58</v>
      </c>
      <c r="AU10727" t="s">
        <v>68</v>
      </c>
      <c r="AV10727" t="s">
        <v>69</v>
      </c>
      <c r="AW10727" s="1">
        <v>24661</v>
      </c>
      <c r="AX10727">
        <v>1</v>
      </c>
    </row>
    <row r="10728" spans="1:50">
      <c r="A10728">
        <v>600390</v>
      </c>
      <c r="B10728" t="str">
        <f>"064511114"</f>
        <v>064511114</v>
      </c>
      <c r="C10728" t="s">
        <v>50</v>
      </c>
      <c r="D10728" t="s">
        <v>4336</v>
      </c>
      <c r="E10728" t="s">
        <v>52</v>
      </c>
      <c r="F10728" t="s">
        <v>53</v>
      </c>
      <c r="G10728" t="s">
        <v>4515</v>
      </c>
      <c r="H10728" t="str">
        <f>"Θ.ΒΑΜΒΟΥΝΑΚΗ ΔΑΡΑΤΣΟ ΧΑΝΙΑ"</f>
        <v>Θ.ΒΑΜΒΟΥΝΑΚΗ ΔΑΡΑΤΣΟ ΧΑΝΙΑ</v>
      </c>
      <c r="I10728">
        <v>73100</v>
      </c>
      <c r="J10728">
        <v>2821032964</v>
      </c>
      <c r="N10728" t="s">
        <v>615</v>
      </c>
      <c r="O10728" t="s">
        <v>616</v>
      </c>
      <c r="R10728" t="s">
        <v>57</v>
      </c>
      <c r="S10728">
        <v>9</v>
      </c>
      <c r="T10728">
        <v>195</v>
      </c>
      <c r="U10728" s="1">
        <v>37497</v>
      </c>
      <c r="V10728" t="s">
        <v>89</v>
      </c>
      <c r="W10728" t="s">
        <v>90</v>
      </c>
      <c r="X10728" t="s">
        <v>58</v>
      </c>
      <c r="Y10728">
        <v>22</v>
      </c>
      <c r="Z10728" t="s">
        <v>59</v>
      </c>
      <c r="AA10728" t="s">
        <v>59</v>
      </c>
      <c r="AB10728" t="s">
        <v>59</v>
      </c>
      <c r="AC10728" t="s">
        <v>59</v>
      </c>
      <c r="AD10728" t="s">
        <v>59</v>
      </c>
      <c r="AF10728" s="1">
        <v>37497</v>
      </c>
      <c r="AG10728" t="s">
        <v>8645</v>
      </c>
      <c r="AH10728" t="s">
        <v>8646</v>
      </c>
      <c r="AI10728" t="str">
        <f>"9500403"</f>
        <v>9500403</v>
      </c>
      <c r="AJ10728" t="s">
        <v>14230</v>
      </c>
      <c r="AK10728">
        <v>2821034094</v>
      </c>
      <c r="AL10728" t="s">
        <v>14231</v>
      </c>
      <c r="AM10728" t="s">
        <v>88</v>
      </c>
      <c r="AN10728" t="s">
        <v>88</v>
      </c>
      <c r="AO10728" t="s">
        <v>6785</v>
      </c>
      <c r="AP10728" t="s">
        <v>13932</v>
      </c>
      <c r="AQ10728">
        <v>3</v>
      </c>
      <c r="AR10728" t="s">
        <v>89</v>
      </c>
      <c r="AS10728" t="s">
        <v>90</v>
      </c>
      <c r="AT10728" t="s">
        <v>58</v>
      </c>
      <c r="AU10728" t="s">
        <v>68</v>
      </c>
      <c r="AV10728" t="s">
        <v>69</v>
      </c>
      <c r="AW10728" s="1">
        <v>21940</v>
      </c>
      <c r="AX10728">
        <v>1</v>
      </c>
    </row>
    <row r="10729" spans="1:50">
      <c r="B10729" t="str">
        <f>"137825033"</f>
        <v>137825033</v>
      </c>
      <c r="C10729" t="s">
        <v>50</v>
      </c>
      <c r="D10729" t="s">
        <v>11798</v>
      </c>
      <c r="E10729" t="s">
        <v>15590</v>
      </c>
      <c r="F10729" t="s">
        <v>670</v>
      </c>
      <c r="G10729" t="s">
        <v>600</v>
      </c>
      <c r="H10729" t="str">
        <f>"Γοργοποτάμου 3 "</f>
        <v xml:space="preserve">Γοργοποτάμου 3 </v>
      </c>
      <c r="I10729">
        <v>45221</v>
      </c>
      <c r="J10729">
        <v>2651077513</v>
      </c>
      <c r="K10729">
        <v>6949126656</v>
      </c>
      <c r="M10729" t="s">
        <v>15591</v>
      </c>
      <c r="N10729" t="s">
        <v>8821</v>
      </c>
      <c r="O10729" t="s">
        <v>8822</v>
      </c>
      <c r="R10729" t="s">
        <v>159</v>
      </c>
      <c r="S10729">
        <v>2</v>
      </c>
      <c r="T10729" t="s">
        <v>8696</v>
      </c>
      <c r="U10729" s="1">
        <v>43348</v>
      </c>
      <c r="V10729" t="s">
        <v>89</v>
      </c>
      <c r="W10729" t="s">
        <v>90</v>
      </c>
      <c r="X10729" t="s">
        <v>58</v>
      </c>
      <c r="Y10729">
        <v>24</v>
      </c>
      <c r="Z10729" t="s">
        <v>59</v>
      </c>
      <c r="AA10729" t="s">
        <v>59</v>
      </c>
      <c r="AB10729" t="s">
        <v>59</v>
      </c>
      <c r="AC10729" t="s">
        <v>59</v>
      </c>
      <c r="AD10729" t="s">
        <v>59</v>
      </c>
      <c r="AF10729" s="1">
        <v>43348</v>
      </c>
      <c r="AG10729" t="s">
        <v>8645</v>
      </c>
      <c r="AH10729" t="s">
        <v>8697</v>
      </c>
      <c r="AI10729" t="str">
        <f>"9500361"</f>
        <v>9500361</v>
      </c>
      <c r="AJ10729" t="s">
        <v>14024</v>
      </c>
      <c r="AK10729">
        <v>2821070176</v>
      </c>
      <c r="AL10729" t="s">
        <v>14025</v>
      </c>
      <c r="AM10729" t="s">
        <v>88</v>
      </c>
      <c r="AN10729" t="s">
        <v>88</v>
      </c>
      <c r="AO10729" t="s">
        <v>88</v>
      </c>
      <c r="AP10729" t="s">
        <v>88</v>
      </c>
      <c r="AQ10729">
        <v>1</v>
      </c>
      <c r="AR10729" t="s">
        <v>89</v>
      </c>
      <c r="AS10729" t="s">
        <v>90</v>
      </c>
      <c r="AT10729" t="s">
        <v>58</v>
      </c>
      <c r="AU10729" t="s">
        <v>350</v>
      </c>
      <c r="AV10729" t="s">
        <v>132</v>
      </c>
      <c r="AW10729" s="1">
        <v>27897</v>
      </c>
      <c r="AX10729">
        <v>1</v>
      </c>
    </row>
    <row r="10730" spans="1:50">
      <c r="B10730" t="str">
        <f>"140690434"</f>
        <v>140690434</v>
      </c>
      <c r="C10730" t="s">
        <v>50</v>
      </c>
      <c r="D10730" t="s">
        <v>15592</v>
      </c>
      <c r="E10730" t="s">
        <v>15593</v>
      </c>
      <c r="F10730" t="s">
        <v>15594</v>
      </c>
      <c r="G10730" t="s">
        <v>15595</v>
      </c>
      <c r="H10730" t="str">
        <f>" "</f>
        <v xml:space="preserve"> </v>
      </c>
      <c r="N10730" t="s">
        <v>615</v>
      </c>
      <c r="O10730" t="s">
        <v>616</v>
      </c>
      <c r="R10730" t="s">
        <v>121</v>
      </c>
      <c r="S10730">
        <v>1</v>
      </c>
      <c r="T10730" t="s">
        <v>9034</v>
      </c>
      <c r="U10730" s="1">
        <v>43377</v>
      </c>
      <c r="V10730" t="s">
        <v>89</v>
      </c>
      <c r="W10730" t="s">
        <v>90</v>
      </c>
      <c r="X10730" t="s">
        <v>58</v>
      </c>
      <c r="Y10730">
        <v>24</v>
      </c>
      <c r="Z10730" t="s">
        <v>59</v>
      </c>
      <c r="AA10730" t="s">
        <v>59</v>
      </c>
      <c r="AB10730" t="s">
        <v>59</v>
      </c>
      <c r="AC10730" t="s">
        <v>59</v>
      </c>
      <c r="AD10730" t="s">
        <v>59</v>
      </c>
      <c r="AF10730" s="1">
        <v>43377</v>
      </c>
      <c r="AG10730" t="s">
        <v>8645</v>
      </c>
      <c r="AH10730" t="s">
        <v>8646</v>
      </c>
      <c r="AI10730" t="str">
        <f>"9500009"</f>
        <v>9500009</v>
      </c>
      <c r="AJ10730" t="s">
        <v>13927</v>
      </c>
      <c r="AK10730">
        <v>2825061346</v>
      </c>
      <c r="AL10730" t="s">
        <v>13928</v>
      </c>
      <c r="AM10730" t="s">
        <v>88</v>
      </c>
      <c r="AN10730" t="s">
        <v>6775</v>
      </c>
      <c r="AO10730" t="s">
        <v>13929</v>
      </c>
      <c r="AP10730" t="s">
        <v>13929</v>
      </c>
      <c r="AQ10730">
        <v>8</v>
      </c>
      <c r="AR10730" t="s">
        <v>89</v>
      </c>
      <c r="AS10730" t="s">
        <v>90</v>
      </c>
      <c r="AT10730" t="s">
        <v>58</v>
      </c>
      <c r="AU10730" t="s">
        <v>8673</v>
      </c>
      <c r="AV10730" t="s">
        <v>132</v>
      </c>
      <c r="AW10730" s="1">
        <v>32460</v>
      </c>
      <c r="AX10730">
        <v>1</v>
      </c>
    </row>
    <row r="10731" spans="1:50">
      <c r="A10731">
        <v>597134</v>
      </c>
      <c r="B10731" t="str">
        <f>"043110380"</f>
        <v>043110380</v>
      </c>
      <c r="C10731" t="s">
        <v>50</v>
      </c>
      <c r="D10731" t="s">
        <v>4343</v>
      </c>
      <c r="E10731" t="s">
        <v>755</v>
      </c>
      <c r="F10731" t="s">
        <v>92</v>
      </c>
      <c r="G10731" t="s">
        <v>52</v>
      </c>
      <c r="H10731" t="str">
        <f>"ΗΡΩΩΝ ΠΟΛΥΤΕΧΝΙΟΥ 13 ΧΑΝΙΑ"</f>
        <v>ΗΡΩΩΝ ΠΟΛΥΤΕΧΝΙΟΥ 13 ΧΑΝΙΑ</v>
      </c>
      <c r="I10731">
        <v>73100</v>
      </c>
      <c r="J10731">
        <v>2821056904</v>
      </c>
      <c r="K10731">
        <v>6946313910</v>
      </c>
      <c r="N10731" t="s">
        <v>1525</v>
      </c>
      <c r="O10731" t="s">
        <v>1526</v>
      </c>
      <c r="R10731" t="s">
        <v>57</v>
      </c>
      <c r="S10731">
        <v>10</v>
      </c>
      <c r="T10731">
        <v>195</v>
      </c>
      <c r="U10731" s="1">
        <v>37497</v>
      </c>
      <c r="V10731" t="s">
        <v>89</v>
      </c>
      <c r="W10731" t="s">
        <v>90</v>
      </c>
      <c r="X10731" t="s">
        <v>58</v>
      </c>
      <c r="Y10731">
        <v>25</v>
      </c>
      <c r="Z10731" t="s">
        <v>59</v>
      </c>
      <c r="AA10731" t="s">
        <v>59</v>
      </c>
      <c r="AB10731" t="s">
        <v>59</v>
      </c>
      <c r="AC10731" t="s">
        <v>59</v>
      </c>
      <c r="AD10731" t="s">
        <v>59</v>
      </c>
      <c r="AF10731" s="1">
        <v>37502</v>
      </c>
      <c r="AG10731" t="s">
        <v>8651</v>
      </c>
      <c r="AH10731" t="s">
        <v>8652</v>
      </c>
      <c r="AI10731" t="str">
        <f>"9500345"</f>
        <v>9500345</v>
      </c>
      <c r="AJ10731" t="s">
        <v>14593</v>
      </c>
      <c r="AK10731">
        <v>2821054443</v>
      </c>
      <c r="AL10731" t="s">
        <v>14594</v>
      </c>
      <c r="AM10731" t="s">
        <v>88</v>
      </c>
      <c r="AN10731" t="s">
        <v>88</v>
      </c>
      <c r="AO10731" t="s">
        <v>88</v>
      </c>
      <c r="AP10731" t="s">
        <v>88</v>
      </c>
      <c r="AQ10731">
        <v>1</v>
      </c>
      <c r="AR10731" t="s">
        <v>89</v>
      </c>
      <c r="AS10731" t="s">
        <v>90</v>
      </c>
      <c r="AT10731" t="s">
        <v>58</v>
      </c>
      <c r="AU10731" t="s">
        <v>68</v>
      </c>
      <c r="AV10731" t="s">
        <v>69</v>
      </c>
      <c r="AW10731" s="1">
        <v>24901</v>
      </c>
      <c r="AX10731">
        <v>1</v>
      </c>
    </row>
    <row r="10732" spans="1:50">
      <c r="A10732">
        <v>595120</v>
      </c>
      <c r="B10732" t="str">
        <f>"068291012"</f>
        <v>068291012</v>
      </c>
      <c r="C10732" t="s">
        <v>50</v>
      </c>
      <c r="D10732" t="s">
        <v>4343</v>
      </c>
      <c r="E10732" t="s">
        <v>3902</v>
      </c>
      <c r="F10732" t="s">
        <v>154</v>
      </c>
      <c r="G10732" t="s">
        <v>237</v>
      </c>
      <c r="H10732" t="str">
        <f>"ΑΓΙΟΥ ΝΙΚΟΛΑΟΥ 16 ΣΟΥΔΑ ΧΑΝΙΩΝ"</f>
        <v>ΑΓΙΟΥ ΝΙΚΟΛΑΟΥ 16 ΣΟΥΔΑ ΧΑΝΙΩΝ</v>
      </c>
      <c r="I10732">
        <v>73200</v>
      </c>
      <c r="J10732">
        <v>2821020615</v>
      </c>
      <c r="K10732">
        <v>6974761118</v>
      </c>
      <c r="N10732" t="s">
        <v>615</v>
      </c>
      <c r="O10732" t="s">
        <v>616</v>
      </c>
      <c r="R10732" t="s">
        <v>57</v>
      </c>
      <c r="S10732">
        <v>10</v>
      </c>
      <c r="T10732">
        <v>218</v>
      </c>
      <c r="U10732" s="1">
        <v>37134</v>
      </c>
      <c r="V10732" t="s">
        <v>89</v>
      </c>
      <c r="W10732" t="s">
        <v>90</v>
      </c>
      <c r="X10732" t="s">
        <v>58</v>
      </c>
      <c r="Y10732">
        <v>21</v>
      </c>
      <c r="Z10732" t="s">
        <v>59</v>
      </c>
      <c r="AA10732" t="s">
        <v>59</v>
      </c>
      <c r="AB10732" t="s">
        <v>59</v>
      </c>
      <c r="AC10732" t="s">
        <v>59</v>
      </c>
      <c r="AD10732" t="s">
        <v>59</v>
      </c>
      <c r="AF10732" s="1">
        <v>37134</v>
      </c>
      <c r="AG10732" t="s">
        <v>8645</v>
      </c>
      <c r="AH10732" t="s">
        <v>8646</v>
      </c>
      <c r="AI10732" t="str">
        <f>"9500035"</f>
        <v>9500035</v>
      </c>
      <c r="AJ10732" t="s">
        <v>13979</v>
      </c>
      <c r="AK10732">
        <v>2821094678</v>
      </c>
      <c r="AL10732" t="s">
        <v>13980</v>
      </c>
      <c r="AM10732" t="s">
        <v>88</v>
      </c>
      <c r="AN10732" t="s">
        <v>88</v>
      </c>
      <c r="AO10732" t="s">
        <v>88</v>
      </c>
      <c r="AP10732" t="s">
        <v>88</v>
      </c>
      <c r="AQ10732">
        <v>2</v>
      </c>
      <c r="AR10732" t="s">
        <v>89</v>
      </c>
      <c r="AS10732" t="s">
        <v>90</v>
      </c>
      <c r="AT10732" t="s">
        <v>58</v>
      </c>
      <c r="AU10732" t="s">
        <v>68</v>
      </c>
      <c r="AV10732" t="s">
        <v>69</v>
      </c>
      <c r="AW10732" s="1">
        <v>27080</v>
      </c>
      <c r="AX10732">
        <v>1</v>
      </c>
    </row>
    <row r="10733" spans="1:50">
      <c r="A10733">
        <v>620608</v>
      </c>
      <c r="B10733" t="str">
        <f>"079202420"</f>
        <v>079202420</v>
      </c>
      <c r="C10733" t="s">
        <v>50</v>
      </c>
      <c r="D10733" t="s">
        <v>4343</v>
      </c>
      <c r="E10733" t="s">
        <v>250</v>
      </c>
      <c r="F10733" t="s">
        <v>166</v>
      </c>
      <c r="G10733" t="s">
        <v>112</v>
      </c>
      <c r="H10733" t="str">
        <f>"Τ.Θ. 852 ΕΛ. ΒΕΝΙΖΕΛΟΥ ΚΟΥΝΟΥΠΙΔΙΑΝΑ-ΧΑΝΙΑ"</f>
        <v>Τ.Θ. 852 ΕΛ. ΒΕΝΙΖΕΛΟΥ ΚΟΥΝΟΥΠΙΔΙΑΝΑ-ΧΑΝΙΑ</v>
      </c>
      <c r="I10733">
        <v>73142</v>
      </c>
      <c r="J10733">
        <v>2821066572</v>
      </c>
      <c r="K10733">
        <v>6945851671</v>
      </c>
      <c r="M10733" t="s">
        <v>15596</v>
      </c>
      <c r="N10733" t="s">
        <v>615</v>
      </c>
      <c r="O10733" t="s">
        <v>616</v>
      </c>
      <c r="R10733" t="s">
        <v>57</v>
      </c>
      <c r="S10733">
        <v>8</v>
      </c>
      <c r="T10733">
        <v>653</v>
      </c>
      <c r="U10733" s="1">
        <v>40043</v>
      </c>
      <c r="V10733" t="s">
        <v>89</v>
      </c>
      <c r="W10733" t="s">
        <v>90</v>
      </c>
      <c r="X10733" t="s">
        <v>58</v>
      </c>
      <c r="Y10733">
        <v>23</v>
      </c>
      <c r="Z10733" t="s">
        <v>59</v>
      </c>
      <c r="AA10733" t="s">
        <v>59</v>
      </c>
      <c r="AB10733" t="s">
        <v>59</v>
      </c>
      <c r="AC10733" t="s">
        <v>59</v>
      </c>
      <c r="AD10733" t="s">
        <v>59</v>
      </c>
      <c r="AF10733" s="1">
        <v>40043</v>
      </c>
      <c r="AG10733" t="s">
        <v>8645</v>
      </c>
      <c r="AH10733" t="s">
        <v>8646</v>
      </c>
      <c r="AI10733" t="str">
        <f>"9500358"</f>
        <v>9500358</v>
      </c>
      <c r="AJ10733" t="s">
        <v>13948</v>
      </c>
      <c r="AK10733">
        <v>2821093459</v>
      </c>
      <c r="AL10733" t="s">
        <v>13949</v>
      </c>
      <c r="AM10733" t="s">
        <v>88</v>
      </c>
      <c r="AN10733" t="s">
        <v>88</v>
      </c>
      <c r="AO10733" t="s">
        <v>6733</v>
      </c>
      <c r="AP10733" t="s">
        <v>6755</v>
      </c>
      <c r="AQ10733">
        <v>2</v>
      </c>
      <c r="AR10733" t="s">
        <v>89</v>
      </c>
      <c r="AS10733" t="s">
        <v>90</v>
      </c>
      <c r="AT10733" t="s">
        <v>58</v>
      </c>
      <c r="AU10733" t="s">
        <v>68</v>
      </c>
      <c r="AV10733" t="s">
        <v>69</v>
      </c>
      <c r="AW10733" s="1">
        <v>26235</v>
      </c>
      <c r="AX10733">
        <v>1</v>
      </c>
    </row>
    <row r="10734" spans="1:50">
      <c r="A10734">
        <v>618747</v>
      </c>
      <c r="B10734" t="str">
        <f>"101594879"</f>
        <v>101594879</v>
      </c>
      <c r="C10734" t="s">
        <v>50</v>
      </c>
      <c r="D10734" t="s">
        <v>4343</v>
      </c>
      <c r="E10734" t="s">
        <v>52</v>
      </c>
      <c r="F10734" t="s">
        <v>72</v>
      </c>
      <c r="G10734" t="s">
        <v>845</v>
      </c>
      <c r="H10734" t="str">
        <f>"ΚΡΙΤΟΒΟΥΛΙΔΟΥ 7 ΧΑΝΙΑ"</f>
        <v>ΚΡΙΤΟΒΟΥΛΙΔΟΥ 7 ΧΑΝΙΑ</v>
      </c>
      <c r="I10734">
        <v>73134</v>
      </c>
      <c r="J10734">
        <v>2821055211</v>
      </c>
      <c r="K10734">
        <v>6973433919</v>
      </c>
      <c r="N10734" t="s">
        <v>615</v>
      </c>
      <c r="O10734" t="s">
        <v>616</v>
      </c>
      <c r="R10734" t="s">
        <v>57</v>
      </c>
      <c r="S10734">
        <v>7</v>
      </c>
      <c r="T10734">
        <v>774</v>
      </c>
      <c r="U10734" s="1">
        <v>39680</v>
      </c>
      <c r="V10734" t="s">
        <v>89</v>
      </c>
      <c r="W10734" t="s">
        <v>90</v>
      </c>
      <c r="X10734" t="s">
        <v>58</v>
      </c>
      <c r="Y10734">
        <v>23</v>
      </c>
      <c r="Z10734" t="s">
        <v>59</v>
      </c>
      <c r="AA10734" t="s">
        <v>59</v>
      </c>
      <c r="AB10734" t="s">
        <v>59</v>
      </c>
      <c r="AC10734" t="s">
        <v>59</v>
      </c>
      <c r="AD10734" t="s">
        <v>59</v>
      </c>
      <c r="AF10734" s="1">
        <v>39681</v>
      </c>
      <c r="AG10734" t="s">
        <v>8645</v>
      </c>
      <c r="AH10734" t="s">
        <v>8646</v>
      </c>
      <c r="AI10734" t="str">
        <f>"9500320"</f>
        <v>9500320</v>
      </c>
      <c r="AJ10734" t="s">
        <v>14100</v>
      </c>
      <c r="AK10734">
        <v>2821099577</v>
      </c>
      <c r="AL10734" t="s">
        <v>14101</v>
      </c>
      <c r="AM10734" t="s">
        <v>88</v>
      </c>
      <c r="AN10734" t="s">
        <v>88</v>
      </c>
      <c r="AO10734" t="s">
        <v>88</v>
      </c>
      <c r="AP10734" t="s">
        <v>88</v>
      </c>
      <c r="AQ10734">
        <v>1</v>
      </c>
      <c r="AR10734" t="s">
        <v>89</v>
      </c>
      <c r="AS10734" t="s">
        <v>90</v>
      </c>
      <c r="AT10734" t="s">
        <v>58</v>
      </c>
      <c r="AU10734" t="s">
        <v>68</v>
      </c>
      <c r="AV10734" t="s">
        <v>69</v>
      </c>
      <c r="AW10734" s="1">
        <v>31169</v>
      </c>
      <c r="AX10734">
        <v>1</v>
      </c>
    </row>
    <row r="10735" spans="1:50">
      <c r="A10735">
        <v>586909</v>
      </c>
      <c r="B10735" t="str">
        <f>"035062874"</f>
        <v>035062874</v>
      </c>
      <c r="C10735" t="s">
        <v>50</v>
      </c>
      <c r="D10735" t="s">
        <v>4343</v>
      </c>
      <c r="E10735" t="s">
        <v>96</v>
      </c>
      <c r="F10735" t="s">
        <v>84</v>
      </c>
      <c r="G10735" t="s">
        <v>250</v>
      </c>
      <c r="H10735" t="str">
        <f>" "</f>
        <v xml:space="preserve"> </v>
      </c>
      <c r="N10735" t="s">
        <v>1525</v>
      </c>
      <c r="O10735" t="s">
        <v>1526</v>
      </c>
      <c r="R10735" t="s">
        <v>57</v>
      </c>
      <c r="S10735">
        <v>11</v>
      </c>
      <c r="T10735">
        <v>165</v>
      </c>
      <c r="U10735" s="1">
        <v>36040</v>
      </c>
      <c r="V10735" t="s">
        <v>89</v>
      </c>
      <c r="W10735" t="s">
        <v>90</v>
      </c>
      <c r="X10735" t="s">
        <v>58</v>
      </c>
      <c r="Y10735">
        <v>25</v>
      </c>
      <c r="Z10735" t="s">
        <v>59</v>
      </c>
      <c r="AA10735" t="s">
        <v>59</v>
      </c>
      <c r="AB10735" t="s">
        <v>59</v>
      </c>
      <c r="AC10735" t="s">
        <v>59</v>
      </c>
      <c r="AD10735" t="s">
        <v>59</v>
      </c>
      <c r="AF10735" s="1">
        <v>36040</v>
      </c>
      <c r="AG10735" t="s">
        <v>8651</v>
      </c>
      <c r="AH10735" t="s">
        <v>8652</v>
      </c>
      <c r="AI10735" t="str">
        <f>"9500406"</f>
        <v>9500406</v>
      </c>
      <c r="AJ10735" t="s">
        <v>14625</v>
      </c>
      <c r="AK10735">
        <v>2821081597</v>
      </c>
      <c r="AL10735" t="s">
        <v>14626</v>
      </c>
      <c r="AM10735" t="s">
        <v>88</v>
      </c>
      <c r="AN10735" t="s">
        <v>88</v>
      </c>
      <c r="AO10735" t="s">
        <v>6748</v>
      </c>
      <c r="AP10735" t="s">
        <v>6748</v>
      </c>
      <c r="AQ10735">
        <v>2</v>
      </c>
      <c r="AR10735" t="s">
        <v>89</v>
      </c>
      <c r="AS10735" t="s">
        <v>90</v>
      </c>
      <c r="AT10735" t="s">
        <v>58</v>
      </c>
      <c r="AU10735" t="s">
        <v>68</v>
      </c>
      <c r="AV10735" t="s">
        <v>69</v>
      </c>
      <c r="AW10735" s="1">
        <v>24289</v>
      </c>
      <c r="AX10735">
        <v>1</v>
      </c>
    </row>
    <row r="10736" spans="1:50">
      <c r="A10736">
        <v>560292</v>
      </c>
      <c r="B10736" t="str">
        <f>"032902120"</f>
        <v>032902120</v>
      </c>
      <c r="C10736" t="s">
        <v>105</v>
      </c>
      <c r="D10736" t="s">
        <v>4349</v>
      </c>
      <c r="E10736" t="s">
        <v>965</v>
      </c>
      <c r="F10736" t="s">
        <v>202</v>
      </c>
      <c r="G10736" t="s">
        <v>73</v>
      </c>
      <c r="H10736" t="str">
        <f>"ΕΘΝ. ΒΕΝΙΖΕΛΟΥ 127 ΣΟΥΔΑ ΧΑΝΙΑ"</f>
        <v>ΕΘΝ. ΒΕΝΙΖΕΛΟΥ 127 ΣΟΥΔΑ ΧΑΝΙΑ</v>
      </c>
      <c r="I10736">
        <v>73200</v>
      </c>
      <c r="J10736">
        <v>2821081433</v>
      </c>
      <c r="K10736">
        <v>6945755446</v>
      </c>
      <c r="N10736" t="s">
        <v>615</v>
      </c>
      <c r="O10736" t="s">
        <v>616</v>
      </c>
      <c r="R10736" t="s">
        <v>57</v>
      </c>
      <c r="S10736">
        <v>15</v>
      </c>
      <c r="T10736">
        <v>185</v>
      </c>
      <c r="U10736" s="1">
        <v>32035</v>
      </c>
      <c r="V10736" t="s">
        <v>89</v>
      </c>
      <c r="W10736" t="s">
        <v>90</v>
      </c>
      <c r="X10736" t="s">
        <v>58</v>
      </c>
      <c r="Y10736">
        <v>21</v>
      </c>
      <c r="Z10736" t="s">
        <v>59</v>
      </c>
      <c r="AA10736" t="s">
        <v>59</v>
      </c>
      <c r="AB10736" t="s">
        <v>59</v>
      </c>
      <c r="AC10736" t="s">
        <v>59</v>
      </c>
      <c r="AD10736" t="s">
        <v>59</v>
      </c>
      <c r="AF10736" s="1">
        <v>32035</v>
      </c>
      <c r="AG10736" t="s">
        <v>8645</v>
      </c>
      <c r="AH10736" t="s">
        <v>8646</v>
      </c>
      <c r="AI10736" t="str">
        <f>"9500408"</f>
        <v>9500408</v>
      </c>
      <c r="AJ10736" t="s">
        <v>13981</v>
      </c>
      <c r="AK10736">
        <v>2821081655</v>
      </c>
      <c r="AL10736" t="s">
        <v>13982</v>
      </c>
      <c r="AM10736" t="s">
        <v>88</v>
      </c>
      <c r="AN10736" t="s">
        <v>88</v>
      </c>
      <c r="AO10736" t="s">
        <v>6748</v>
      </c>
      <c r="AP10736" t="s">
        <v>6748</v>
      </c>
      <c r="AQ10736">
        <v>2</v>
      </c>
      <c r="AR10736" t="s">
        <v>89</v>
      </c>
      <c r="AS10736" t="s">
        <v>90</v>
      </c>
      <c r="AT10736" t="s">
        <v>58</v>
      </c>
      <c r="AU10736" t="s">
        <v>68</v>
      </c>
      <c r="AV10736" t="s">
        <v>69</v>
      </c>
      <c r="AW10736" s="1">
        <v>23393</v>
      </c>
      <c r="AX10736">
        <v>1</v>
      </c>
    </row>
    <row r="10737" spans="1:50">
      <c r="B10737" t="str">
        <f>"130407613"</f>
        <v>130407613</v>
      </c>
      <c r="C10737" t="s">
        <v>105</v>
      </c>
      <c r="D10737" t="s">
        <v>4349</v>
      </c>
      <c r="E10737" t="s">
        <v>304</v>
      </c>
      <c r="F10737" t="s">
        <v>166</v>
      </c>
      <c r="G10737" t="s">
        <v>52</v>
      </c>
      <c r="H10737" t="str">
        <f>"ΑΛΙΚΙΑΝΟΣ "</f>
        <v xml:space="preserve">ΑΛΙΚΙΑΝΟΣ </v>
      </c>
      <c r="I10737">
        <v>73005</v>
      </c>
      <c r="J10737">
        <v>2821078061</v>
      </c>
      <c r="K10737">
        <v>6942045232</v>
      </c>
      <c r="N10737" t="s">
        <v>615</v>
      </c>
      <c r="O10737" t="s">
        <v>616</v>
      </c>
      <c r="R10737" t="s">
        <v>159</v>
      </c>
      <c r="S10737">
        <v>2</v>
      </c>
      <c r="T10737" t="s">
        <v>8675</v>
      </c>
      <c r="U10737" s="1">
        <v>43348</v>
      </c>
      <c r="V10737" t="s">
        <v>89</v>
      </c>
      <c r="W10737" t="s">
        <v>90</v>
      </c>
      <c r="X10737" t="s">
        <v>58</v>
      </c>
      <c r="Y10737">
        <v>24</v>
      </c>
      <c r="Z10737" t="s">
        <v>59</v>
      </c>
      <c r="AA10737" t="s">
        <v>59</v>
      </c>
      <c r="AB10737" t="s">
        <v>59</v>
      </c>
      <c r="AC10737" t="s">
        <v>59</v>
      </c>
      <c r="AD10737" t="s">
        <v>59</v>
      </c>
      <c r="AF10737" s="1">
        <v>43348</v>
      </c>
      <c r="AG10737" t="s">
        <v>8645</v>
      </c>
      <c r="AH10737" t="s">
        <v>8646</v>
      </c>
      <c r="AI10737" t="str">
        <f>"9500006"</f>
        <v>9500006</v>
      </c>
      <c r="AJ10737" t="s">
        <v>14060</v>
      </c>
      <c r="AK10737">
        <v>2825051220</v>
      </c>
      <c r="AL10737" t="s">
        <v>14061</v>
      </c>
      <c r="AM10737" t="s">
        <v>88</v>
      </c>
      <c r="AN10737" t="s">
        <v>6775</v>
      </c>
      <c r="AO10737" t="s">
        <v>6781</v>
      </c>
      <c r="AP10737" t="s">
        <v>6782</v>
      </c>
      <c r="AQ10737">
        <v>8</v>
      </c>
      <c r="AR10737" t="s">
        <v>89</v>
      </c>
      <c r="AS10737" t="s">
        <v>90</v>
      </c>
      <c r="AT10737" t="s">
        <v>58</v>
      </c>
      <c r="AU10737" t="s">
        <v>8673</v>
      </c>
      <c r="AV10737" t="s">
        <v>132</v>
      </c>
      <c r="AW10737" s="1">
        <v>30513</v>
      </c>
      <c r="AX10737">
        <v>1</v>
      </c>
    </row>
    <row r="10738" spans="1:50">
      <c r="A10738">
        <v>572411</v>
      </c>
      <c r="B10738" t="str">
        <f>"052567524"</f>
        <v>052567524</v>
      </c>
      <c r="C10738" t="s">
        <v>50</v>
      </c>
      <c r="D10738" t="s">
        <v>15597</v>
      </c>
      <c r="E10738" t="s">
        <v>263</v>
      </c>
      <c r="F10738" t="s">
        <v>315</v>
      </c>
      <c r="G10738" t="s">
        <v>372</v>
      </c>
      <c r="H10738" t="str">
        <f>"ΣΤ.ΛΕΚΑΝΙΔΗ 20 ΝΕΑ ΧΩΡΑ"</f>
        <v>ΣΤ.ΛΕΚΑΝΙΔΗ 20 ΝΕΑ ΧΩΡΑ</v>
      </c>
      <c r="I10738">
        <v>73131</v>
      </c>
      <c r="J10738">
        <v>2821074524</v>
      </c>
      <c r="K10738">
        <v>6972057367</v>
      </c>
      <c r="N10738" t="s">
        <v>306</v>
      </c>
      <c r="O10738" t="s">
        <v>307</v>
      </c>
      <c r="R10738" t="s">
        <v>57</v>
      </c>
      <c r="S10738">
        <v>12</v>
      </c>
      <c r="T10738">
        <v>154</v>
      </c>
      <c r="U10738" s="1">
        <v>34225</v>
      </c>
      <c r="V10738" t="s">
        <v>89</v>
      </c>
      <c r="W10738" t="s">
        <v>90</v>
      </c>
      <c r="X10738" t="s">
        <v>58</v>
      </c>
      <c r="Y10738">
        <v>21</v>
      </c>
      <c r="Z10738" t="s">
        <v>59</v>
      </c>
      <c r="AA10738" t="s">
        <v>59</v>
      </c>
      <c r="AB10738" t="s">
        <v>59</v>
      </c>
      <c r="AC10738" t="s">
        <v>59</v>
      </c>
      <c r="AD10738" t="s">
        <v>59</v>
      </c>
      <c r="AF10738" s="1">
        <v>34228</v>
      </c>
      <c r="AG10738" t="s">
        <v>8645</v>
      </c>
      <c r="AH10738" t="s">
        <v>8646</v>
      </c>
      <c r="AI10738" t="str">
        <f>"9500139"</f>
        <v>9500139</v>
      </c>
      <c r="AJ10738" t="s">
        <v>14050</v>
      </c>
      <c r="AK10738">
        <v>2821096819</v>
      </c>
      <c r="AL10738" t="s">
        <v>14051</v>
      </c>
      <c r="AM10738" t="s">
        <v>88</v>
      </c>
      <c r="AN10738" t="s">
        <v>88</v>
      </c>
      <c r="AO10738" t="s">
        <v>88</v>
      </c>
      <c r="AP10738" t="s">
        <v>88</v>
      </c>
      <c r="AQ10738">
        <v>1</v>
      </c>
      <c r="AR10738" t="s">
        <v>89</v>
      </c>
      <c r="AS10738" t="s">
        <v>90</v>
      </c>
      <c r="AT10738" t="s">
        <v>58</v>
      </c>
      <c r="AU10738" t="s">
        <v>68</v>
      </c>
      <c r="AV10738" t="s">
        <v>69</v>
      </c>
      <c r="AW10738" s="1">
        <v>25042</v>
      </c>
      <c r="AX10738">
        <v>1</v>
      </c>
    </row>
    <row r="10739" spans="1:50">
      <c r="B10739" t="str">
        <f>"152552366"</f>
        <v>152552366</v>
      </c>
      <c r="C10739" t="s">
        <v>50</v>
      </c>
      <c r="D10739" t="s">
        <v>15598</v>
      </c>
      <c r="E10739" t="s">
        <v>1281</v>
      </c>
      <c r="F10739" t="s">
        <v>84</v>
      </c>
      <c r="G10739" t="s">
        <v>699</v>
      </c>
      <c r="H10739" t="str">
        <f>" "</f>
        <v xml:space="preserve"> </v>
      </c>
      <c r="N10739" t="s">
        <v>8694</v>
      </c>
      <c r="O10739" t="s">
        <v>8695</v>
      </c>
      <c r="R10739" t="s">
        <v>159</v>
      </c>
      <c r="S10739">
        <v>1</v>
      </c>
      <c r="T10739" t="s">
        <v>8696</v>
      </c>
      <c r="U10739" s="1">
        <v>43348</v>
      </c>
      <c r="V10739" t="s">
        <v>89</v>
      </c>
      <c r="W10739" t="s">
        <v>90</v>
      </c>
      <c r="X10739" t="s">
        <v>58</v>
      </c>
      <c r="Y10739">
        <v>24</v>
      </c>
      <c r="Z10739" t="s">
        <v>59</v>
      </c>
      <c r="AA10739" t="s">
        <v>59</v>
      </c>
      <c r="AB10739" t="s">
        <v>59</v>
      </c>
      <c r="AD10739" t="s">
        <v>59</v>
      </c>
      <c r="AF10739" s="1">
        <v>43348</v>
      </c>
      <c r="AG10739" t="s">
        <v>8645</v>
      </c>
      <c r="AH10739" t="s">
        <v>8697</v>
      </c>
      <c r="AI10739" t="str">
        <f>"9500361"</f>
        <v>9500361</v>
      </c>
      <c r="AJ10739" t="s">
        <v>14024</v>
      </c>
      <c r="AK10739">
        <v>2821070176</v>
      </c>
      <c r="AL10739" t="s">
        <v>14025</v>
      </c>
      <c r="AM10739" t="s">
        <v>88</v>
      </c>
      <c r="AN10739" t="s">
        <v>88</v>
      </c>
      <c r="AO10739" t="s">
        <v>88</v>
      </c>
      <c r="AP10739" t="s">
        <v>88</v>
      </c>
      <c r="AQ10739">
        <v>1</v>
      </c>
      <c r="AR10739" t="s">
        <v>89</v>
      </c>
      <c r="AS10739" t="s">
        <v>90</v>
      </c>
      <c r="AT10739" t="s">
        <v>58</v>
      </c>
      <c r="AU10739" t="s">
        <v>350</v>
      </c>
      <c r="AV10739" t="s">
        <v>132</v>
      </c>
      <c r="AW10739" s="1">
        <v>33276</v>
      </c>
      <c r="AX10739">
        <v>1</v>
      </c>
    </row>
    <row r="10740" spans="1:50">
      <c r="A10740">
        <v>621773</v>
      </c>
      <c r="B10740" t="str">
        <f>"141211019"</f>
        <v>141211019</v>
      </c>
      <c r="C10740" t="s">
        <v>50</v>
      </c>
      <c r="D10740" t="s">
        <v>15599</v>
      </c>
      <c r="E10740" t="s">
        <v>255</v>
      </c>
      <c r="F10740" t="s">
        <v>84</v>
      </c>
      <c r="G10740" t="s">
        <v>52</v>
      </c>
      <c r="H10740" t="str">
        <f>"ΙΟΥΣΤΙΝΙΑΝΟΥ 58 ΛΑΡΙΣΑ"</f>
        <v>ΙΟΥΣΤΙΝΙΑΝΟΥ 58 ΛΑΡΙΣΑ</v>
      </c>
      <c r="I10740">
        <v>41223</v>
      </c>
      <c r="J10740">
        <v>2410282917</v>
      </c>
      <c r="K10740">
        <v>6993672040</v>
      </c>
      <c r="N10740" t="s">
        <v>615</v>
      </c>
      <c r="O10740" t="s">
        <v>616</v>
      </c>
      <c r="R10740" t="s">
        <v>57</v>
      </c>
      <c r="S10740">
        <v>4</v>
      </c>
      <c r="T10740">
        <v>653</v>
      </c>
      <c r="U10740" s="1">
        <v>40043</v>
      </c>
      <c r="V10740" t="s">
        <v>89</v>
      </c>
      <c r="W10740" t="s">
        <v>90</v>
      </c>
      <c r="X10740" t="s">
        <v>58</v>
      </c>
      <c r="Y10740">
        <v>23</v>
      </c>
      <c r="Z10740" t="s">
        <v>59</v>
      </c>
      <c r="AA10740" t="s">
        <v>59</v>
      </c>
      <c r="AB10740" t="s">
        <v>59</v>
      </c>
      <c r="AC10740" t="s">
        <v>59</v>
      </c>
      <c r="AD10740" t="s">
        <v>59</v>
      </c>
      <c r="AF10740" s="1">
        <v>40045</v>
      </c>
      <c r="AG10740" t="s">
        <v>8645</v>
      </c>
      <c r="AH10740" t="s">
        <v>8646</v>
      </c>
      <c r="AI10740" t="str">
        <f>"9500113"</f>
        <v>9500113</v>
      </c>
      <c r="AJ10740" t="s">
        <v>13935</v>
      </c>
      <c r="AK10740">
        <v>2821077187</v>
      </c>
      <c r="AL10740" t="s">
        <v>13936</v>
      </c>
      <c r="AM10740" t="s">
        <v>88</v>
      </c>
      <c r="AN10740" t="s">
        <v>6764</v>
      </c>
      <c r="AO10740" t="s">
        <v>6885</v>
      </c>
      <c r="AP10740" t="s">
        <v>13937</v>
      </c>
      <c r="AQ10740">
        <v>4</v>
      </c>
      <c r="AR10740" t="s">
        <v>89</v>
      </c>
      <c r="AS10740" t="s">
        <v>90</v>
      </c>
      <c r="AT10740" t="s">
        <v>58</v>
      </c>
      <c r="AU10740" t="s">
        <v>68</v>
      </c>
      <c r="AV10740" t="s">
        <v>69</v>
      </c>
      <c r="AW10740" s="1">
        <v>31656</v>
      </c>
      <c r="AX10740">
        <v>1</v>
      </c>
    </row>
    <row r="10741" spans="1:50">
      <c r="A10741">
        <v>579089</v>
      </c>
      <c r="B10741" t="str">
        <f>"035382427"</f>
        <v>035382427</v>
      </c>
      <c r="C10741" t="s">
        <v>105</v>
      </c>
      <c r="D10741" t="s">
        <v>8593</v>
      </c>
      <c r="E10741" t="s">
        <v>53</v>
      </c>
      <c r="F10741" t="s">
        <v>84</v>
      </c>
      <c r="G10741" t="s">
        <v>143</v>
      </c>
      <c r="H10741" t="str">
        <f>"ΑΡΙΣΤΟΤΕΛΟΥΣ 121 &amp; ΚΟΡΑΗ ΚΟΥΝΟΥΠΙΔΙΑΝΑ"</f>
        <v>ΑΡΙΣΤΟΤΕΛΟΥΣ 121 &amp; ΚΟΡΑΗ ΚΟΥΝΟΥΠΙΔΙΑΝΑ</v>
      </c>
      <c r="I10741">
        <v>73100</v>
      </c>
      <c r="J10741">
        <v>2821069412</v>
      </c>
      <c r="M10741" t="s">
        <v>15600</v>
      </c>
      <c r="N10741" t="s">
        <v>615</v>
      </c>
      <c r="O10741" t="s">
        <v>616</v>
      </c>
      <c r="R10741" t="s">
        <v>57</v>
      </c>
      <c r="S10741">
        <v>13</v>
      </c>
      <c r="T10741">
        <v>165</v>
      </c>
      <c r="U10741" s="1">
        <v>35300</v>
      </c>
      <c r="V10741" t="s">
        <v>89</v>
      </c>
      <c r="W10741" t="s">
        <v>90</v>
      </c>
      <c r="X10741" t="s">
        <v>58</v>
      </c>
      <c r="Y10741">
        <v>21</v>
      </c>
      <c r="Z10741" t="s">
        <v>59</v>
      </c>
      <c r="AA10741" t="s">
        <v>59</v>
      </c>
      <c r="AB10741" t="s">
        <v>59</v>
      </c>
      <c r="AC10741" t="s">
        <v>59</v>
      </c>
      <c r="AD10741" t="s">
        <v>59</v>
      </c>
      <c r="AF10741" s="1">
        <v>35300</v>
      </c>
      <c r="AG10741" t="s">
        <v>8645</v>
      </c>
      <c r="AH10741" t="s">
        <v>8646</v>
      </c>
      <c r="AI10741" t="str">
        <f>"9500045"</f>
        <v>9500045</v>
      </c>
      <c r="AJ10741" t="s">
        <v>13887</v>
      </c>
      <c r="AK10741">
        <v>2821044369</v>
      </c>
      <c r="AL10741" t="s">
        <v>13888</v>
      </c>
      <c r="AM10741" t="s">
        <v>88</v>
      </c>
      <c r="AN10741" t="s">
        <v>88</v>
      </c>
      <c r="AO10741" t="s">
        <v>88</v>
      </c>
      <c r="AP10741" t="s">
        <v>88</v>
      </c>
      <c r="AQ10741">
        <v>1</v>
      </c>
      <c r="AR10741" t="s">
        <v>89</v>
      </c>
      <c r="AS10741" t="s">
        <v>90</v>
      </c>
      <c r="AT10741" t="s">
        <v>58</v>
      </c>
      <c r="AU10741" t="s">
        <v>68</v>
      </c>
      <c r="AV10741" t="s">
        <v>69</v>
      </c>
      <c r="AW10741" s="1">
        <v>23257</v>
      </c>
      <c r="AX10741">
        <v>1</v>
      </c>
    </row>
    <row r="10742" spans="1:50">
      <c r="A10742">
        <v>600409</v>
      </c>
      <c r="B10742" t="str">
        <f>"100602917"</f>
        <v>100602917</v>
      </c>
      <c r="C10742" t="s">
        <v>50</v>
      </c>
      <c r="D10742" t="s">
        <v>15601</v>
      </c>
      <c r="E10742" t="s">
        <v>3706</v>
      </c>
      <c r="F10742" t="s">
        <v>7729</v>
      </c>
      <c r="G10742" t="s">
        <v>589</v>
      </c>
      <c r="H10742" t="str">
        <f>"Μ.ΤΟΙΧΟΣ Ν. ΚΥΔΩΝΙΑΣ ΧΑΝΙΑ"</f>
        <v>Μ.ΤΟΙΧΟΣ Ν. ΚΥΔΩΝΙΑΣ ΧΑΝΙΑ</v>
      </c>
      <c r="I10742">
        <v>73100</v>
      </c>
      <c r="J10742">
        <v>2821091990</v>
      </c>
      <c r="K10742">
        <v>6937943947</v>
      </c>
      <c r="L10742">
        <v>2821033784</v>
      </c>
      <c r="N10742" t="s">
        <v>615</v>
      </c>
      <c r="O10742" t="s">
        <v>616</v>
      </c>
      <c r="R10742" t="s">
        <v>57</v>
      </c>
      <c r="S10742">
        <v>8</v>
      </c>
      <c r="T10742">
        <v>195</v>
      </c>
      <c r="U10742" s="1">
        <v>37497</v>
      </c>
      <c r="V10742" t="s">
        <v>89</v>
      </c>
      <c r="W10742" t="s">
        <v>90</v>
      </c>
      <c r="X10742" t="s">
        <v>58</v>
      </c>
      <c r="Y10742">
        <v>22</v>
      </c>
      <c r="Z10742" t="s">
        <v>59</v>
      </c>
      <c r="AA10742" t="s">
        <v>59</v>
      </c>
      <c r="AB10742" t="s">
        <v>59</v>
      </c>
      <c r="AC10742" t="s">
        <v>59</v>
      </c>
      <c r="AD10742" t="s">
        <v>59</v>
      </c>
      <c r="AF10742" s="1">
        <v>37497</v>
      </c>
      <c r="AG10742" t="s">
        <v>8645</v>
      </c>
      <c r="AH10742" t="s">
        <v>8646</v>
      </c>
      <c r="AI10742" t="str">
        <f>"9500403"</f>
        <v>9500403</v>
      </c>
      <c r="AJ10742" t="s">
        <v>14230</v>
      </c>
      <c r="AK10742">
        <v>2821034094</v>
      </c>
      <c r="AL10742" t="s">
        <v>14231</v>
      </c>
      <c r="AM10742" t="s">
        <v>88</v>
      </c>
      <c r="AN10742" t="s">
        <v>88</v>
      </c>
      <c r="AO10742" t="s">
        <v>6785</v>
      </c>
      <c r="AP10742" t="s">
        <v>13932</v>
      </c>
      <c r="AQ10742">
        <v>3</v>
      </c>
      <c r="AR10742" t="s">
        <v>89</v>
      </c>
      <c r="AS10742" t="s">
        <v>90</v>
      </c>
      <c r="AT10742" t="s">
        <v>58</v>
      </c>
      <c r="AU10742" t="s">
        <v>68</v>
      </c>
      <c r="AV10742" t="s">
        <v>69</v>
      </c>
      <c r="AW10742" s="1">
        <v>25097</v>
      </c>
      <c r="AX10742">
        <v>1</v>
      </c>
    </row>
    <row r="10743" spans="1:50">
      <c r="B10743" t="str">
        <f>"120018360"</f>
        <v>120018360</v>
      </c>
      <c r="C10743" t="s">
        <v>50</v>
      </c>
      <c r="D10743" t="s">
        <v>15602</v>
      </c>
      <c r="E10743" t="s">
        <v>1189</v>
      </c>
      <c r="F10743" t="s">
        <v>72</v>
      </c>
      <c r="G10743" t="s">
        <v>83</v>
      </c>
      <c r="H10743" t="str">
        <f>"ΣΑΡΑΤΣΟΓΛΟΥ 10 ΧΑΝΙΑ"</f>
        <v>ΣΑΡΑΤΣΟΓΛΟΥ 10 ΧΑΝΙΑ</v>
      </c>
      <c r="I10743">
        <v>73100</v>
      </c>
      <c r="J10743">
        <v>2821088391</v>
      </c>
      <c r="K10743">
        <v>6947129392</v>
      </c>
      <c r="N10743" t="s">
        <v>1525</v>
      </c>
      <c r="O10743" t="s">
        <v>1526</v>
      </c>
      <c r="R10743" t="s">
        <v>159</v>
      </c>
      <c r="S10743">
        <v>3</v>
      </c>
      <c r="T10743" t="s">
        <v>8670</v>
      </c>
      <c r="U10743" s="1">
        <v>43348</v>
      </c>
      <c r="V10743" t="s">
        <v>89</v>
      </c>
      <c r="W10743" t="s">
        <v>90</v>
      </c>
      <c r="X10743" t="s">
        <v>58</v>
      </c>
      <c r="Y10743">
        <v>25</v>
      </c>
      <c r="Z10743" t="s">
        <v>59</v>
      </c>
      <c r="AA10743" t="s">
        <v>59</v>
      </c>
      <c r="AB10743" t="s">
        <v>59</v>
      </c>
      <c r="AC10743" t="s">
        <v>59</v>
      </c>
      <c r="AD10743" t="s">
        <v>59</v>
      </c>
      <c r="AF10743" s="1">
        <v>43348</v>
      </c>
      <c r="AG10743" t="s">
        <v>8651</v>
      </c>
      <c r="AH10743" t="s">
        <v>8652</v>
      </c>
      <c r="AI10743" t="str">
        <f>"9500127"</f>
        <v>9500127</v>
      </c>
      <c r="AJ10743" t="s">
        <v>13962</v>
      </c>
      <c r="AK10743">
        <v>2824031321</v>
      </c>
      <c r="AL10743" t="s">
        <v>13963</v>
      </c>
      <c r="AM10743" t="s">
        <v>88</v>
      </c>
      <c r="AN10743" t="s">
        <v>6764</v>
      </c>
      <c r="AO10743" t="s">
        <v>6765</v>
      </c>
      <c r="AP10743" t="s">
        <v>6765</v>
      </c>
      <c r="AQ10743">
        <v>6</v>
      </c>
      <c r="AR10743" t="s">
        <v>89</v>
      </c>
      <c r="AS10743" t="s">
        <v>90</v>
      </c>
      <c r="AT10743" t="s">
        <v>58</v>
      </c>
      <c r="AU10743" t="s">
        <v>8673</v>
      </c>
      <c r="AV10743" t="s">
        <v>132</v>
      </c>
      <c r="AW10743" s="1">
        <v>30171</v>
      </c>
      <c r="AX10743">
        <v>1</v>
      </c>
    </row>
    <row r="10744" spans="1:50">
      <c r="B10744" t="str">
        <f>"143778290"</f>
        <v>143778290</v>
      </c>
      <c r="C10744" t="s">
        <v>50</v>
      </c>
      <c r="D10744" t="s">
        <v>15603</v>
      </c>
      <c r="E10744" t="s">
        <v>54</v>
      </c>
      <c r="F10744" t="s">
        <v>108</v>
      </c>
      <c r="G10744" t="s">
        <v>955</v>
      </c>
      <c r="H10744" t="str">
        <f>"ΜΑΚΕΔΟΝΙΑΣ 66 "</f>
        <v xml:space="preserve">ΜΑΚΕΔΟΝΙΑΣ 66 </v>
      </c>
      <c r="I10744">
        <v>54644</v>
      </c>
      <c r="J10744">
        <v>2310824170</v>
      </c>
      <c r="K10744">
        <v>6974415916</v>
      </c>
      <c r="N10744" t="s">
        <v>615</v>
      </c>
      <c r="O10744" t="s">
        <v>616</v>
      </c>
      <c r="R10744" t="s">
        <v>159</v>
      </c>
      <c r="S10744">
        <v>4</v>
      </c>
      <c r="T10744" t="s">
        <v>8675</v>
      </c>
      <c r="U10744" s="1">
        <v>43348</v>
      </c>
      <c r="V10744" t="s">
        <v>89</v>
      </c>
      <c r="W10744" t="s">
        <v>90</v>
      </c>
      <c r="X10744" t="s">
        <v>58</v>
      </c>
      <c r="Y10744">
        <v>24</v>
      </c>
      <c r="Z10744" t="s">
        <v>59</v>
      </c>
      <c r="AA10744" t="s">
        <v>59</v>
      </c>
      <c r="AB10744" t="s">
        <v>59</v>
      </c>
      <c r="AC10744" t="s">
        <v>59</v>
      </c>
      <c r="AD10744" t="s">
        <v>59</v>
      </c>
      <c r="AF10744" s="1">
        <v>43348</v>
      </c>
      <c r="AG10744" t="s">
        <v>8645</v>
      </c>
      <c r="AH10744" t="s">
        <v>8646</v>
      </c>
      <c r="AI10744" t="str">
        <f>"9500055"</f>
        <v>9500055</v>
      </c>
      <c r="AJ10744" t="s">
        <v>14096</v>
      </c>
      <c r="AK10744">
        <v>2825092237</v>
      </c>
      <c r="AL10744" t="s">
        <v>14095</v>
      </c>
      <c r="AM10744" t="s">
        <v>88</v>
      </c>
      <c r="AN10744" t="s">
        <v>6995</v>
      </c>
      <c r="AO10744" t="s">
        <v>6995</v>
      </c>
      <c r="AP10744" t="s">
        <v>14097</v>
      </c>
      <c r="AQ10744">
        <v>10</v>
      </c>
      <c r="AR10744" t="s">
        <v>89</v>
      </c>
      <c r="AS10744" t="s">
        <v>90</v>
      </c>
      <c r="AT10744" t="s">
        <v>58</v>
      </c>
      <c r="AU10744" t="s">
        <v>8673</v>
      </c>
      <c r="AV10744" t="s">
        <v>132</v>
      </c>
      <c r="AW10744" s="1">
        <v>31963</v>
      </c>
      <c r="AX10744">
        <v>1</v>
      </c>
    </row>
    <row r="10745" spans="1:50">
      <c r="A10745">
        <v>581624</v>
      </c>
      <c r="B10745" t="str">
        <f>"057334570"</f>
        <v>057334570</v>
      </c>
      <c r="C10745" t="s">
        <v>105</v>
      </c>
      <c r="D10745" t="s">
        <v>15604</v>
      </c>
      <c r="E10745" t="s">
        <v>166</v>
      </c>
      <c r="F10745" t="s">
        <v>154</v>
      </c>
      <c r="G10745" t="s">
        <v>9630</v>
      </c>
      <c r="H10745" t="str">
        <f>"ΣΩΚΡΑΤΟΥΣ 6 ΚΟΥΜΠΕΣ ΧΑΝΙΩΝ"</f>
        <v>ΣΩΚΡΑΤΟΥΣ 6 ΚΟΥΜΠΕΣ ΧΑΝΙΩΝ</v>
      </c>
      <c r="I10745">
        <v>73136</v>
      </c>
      <c r="J10745">
        <v>2821072021</v>
      </c>
      <c r="K10745">
        <v>6978489966</v>
      </c>
      <c r="L10745">
        <v>2821072021</v>
      </c>
      <c r="M10745" t="s">
        <v>15605</v>
      </c>
      <c r="N10745" t="s">
        <v>615</v>
      </c>
      <c r="O10745" t="s">
        <v>616</v>
      </c>
      <c r="R10745" t="s">
        <v>57</v>
      </c>
      <c r="S10745">
        <v>11</v>
      </c>
      <c r="T10745">
        <v>179</v>
      </c>
      <c r="U10745" s="1">
        <v>35674</v>
      </c>
      <c r="V10745" t="s">
        <v>89</v>
      </c>
      <c r="W10745" t="s">
        <v>90</v>
      </c>
      <c r="X10745" t="s">
        <v>58</v>
      </c>
      <c r="Y10745">
        <v>21</v>
      </c>
      <c r="Z10745" t="s">
        <v>59</v>
      </c>
      <c r="AA10745" t="s">
        <v>59</v>
      </c>
      <c r="AB10745" t="s">
        <v>59</v>
      </c>
      <c r="AC10745" t="s">
        <v>59</v>
      </c>
      <c r="AD10745" t="s">
        <v>59</v>
      </c>
      <c r="AF10745" s="1">
        <v>35674</v>
      </c>
      <c r="AG10745" t="s">
        <v>8645</v>
      </c>
      <c r="AH10745" t="s">
        <v>8646</v>
      </c>
      <c r="AI10745" t="str">
        <f>"9500075"</f>
        <v>9500075</v>
      </c>
      <c r="AJ10745" t="s">
        <v>13955</v>
      </c>
      <c r="AK10745">
        <v>2821046505</v>
      </c>
      <c r="AL10745" t="s">
        <v>13956</v>
      </c>
      <c r="AM10745" t="s">
        <v>88</v>
      </c>
      <c r="AN10745" t="s">
        <v>88</v>
      </c>
      <c r="AO10745" t="s">
        <v>88</v>
      </c>
      <c r="AP10745" t="s">
        <v>88</v>
      </c>
      <c r="AQ10745">
        <v>1</v>
      </c>
      <c r="AR10745" t="s">
        <v>89</v>
      </c>
      <c r="AS10745" t="s">
        <v>90</v>
      </c>
      <c r="AT10745" t="s">
        <v>58</v>
      </c>
      <c r="AU10745" t="s">
        <v>68</v>
      </c>
      <c r="AV10745" t="s">
        <v>2039</v>
      </c>
      <c r="AW10745" s="1">
        <v>24844</v>
      </c>
      <c r="AX10745">
        <v>1</v>
      </c>
    </row>
    <row r="10746" spans="1:50">
      <c r="A10746">
        <v>590102</v>
      </c>
      <c r="B10746" t="str">
        <f>"050495043"</f>
        <v>050495043</v>
      </c>
      <c r="C10746" t="s">
        <v>105</v>
      </c>
      <c r="D10746" t="s">
        <v>8598</v>
      </c>
      <c r="E10746" t="s">
        <v>900</v>
      </c>
      <c r="F10746" t="s">
        <v>84</v>
      </c>
      <c r="G10746" t="s">
        <v>15606</v>
      </c>
      <c r="H10746" t="str">
        <f>"ΑΡΠΑΚΟΥΛΑΚΗΔΩΝ  ΜΟΥΡΝΙΕΣ"</f>
        <v>ΑΡΠΑΚΟΥΛΑΚΗΔΩΝ  ΜΟΥΡΝΙΕΣ</v>
      </c>
      <c r="I10746">
        <v>73100</v>
      </c>
      <c r="J10746">
        <v>2821076352</v>
      </c>
      <c r="K10746">
        <v>6938009075</v>
      </c>
      <c r="N10746" t="s">
        <v>176</v>
      </c>
      <c r="O10746" t="s">
        <v>177</v>
      </c>
      <c r="R10746" t="s">
        <v>57</v>
      </c>
      <c r="S10746">
        <v>12</v>
      </c>
      <c r="T10746">
        <v>177</v>
      </c>
      <c r="U10746" s="1">
        <v>36403</v>
      </c>
      <c r="V10746" t="s">
        <v>89</v>
      </c>
      <c r="W10746" t="s">
        <v>90</v>
      </c>
      <c r="X10746" t="s">
        <v>58</v>
      </c>
      <c r="Y10746">
        <v>21</v>
      </c>
      <c r="Z10746" t="s">
        <v>59</v>
      </c>
      <c r="AA10746" t="s">
        <v>59</v>
      </c>
      <c r="AB10746" t="s">
        <v>59</v>
      </c>
      <c r="AC10746" t="s">
        <v>59</v>
      </c>
      <c r="AD10746" t="s">
        <v>59</v>
      </c>
      <c r="AF10746" s="1">
        <v>36403</v>
      </c>
      <c r="AG10746" t="s">
        <v>8645</v>
      </c>
      <c r="AH10746" t="s">
        <v>8646</v>
      </c>
      <c r="AI10746" t="str">
        <f>"9500084"</f>
        <v>9500084</v>
      </c>
      <c r="AJ10746" t="s">
        <v>13994</v>
      </c>
      <c r="AK10746">
        <v>2821031270</v>
      </c>
      <c r="AL10746" t="s">
        <v>13995</v>
      </c>
      <c r="AM10746" t="s">
        <v>88</v>
      </c>
      <c r="AN10746" t="s">
        <v>88</v>
      </c>
      <c r="AO10746" t="s">
        <v>13920</v>
      </c>
      <c r="AP10746" t="s">
        <v>13996</v>
      </c>
      <c r="AQ10746">
        <v>3</v>
      </c>
      <c r="AR10746" t="s">
        <v>89</v>
      </c>
      <c r="AS10746" t="s">
        <v>90</v>
      </c>
      <c r="AT10746" t="s">
        <v>58</v>
      </c>
      <c r="AU10746" t="s">
        <v>68</v>
      </c>
      <c r="AV10746" t="s">
        <v>69</v>
      </c>
      <c r="AW10746" s="1">
        <v>23969</v>
      </c>
      <c r="AX10746">
        <v>1</v>
      </c>
    </row>
    <row r="10747" spans="1:50">
      <c r="B10747" t="str">
        <f>"134827395"</f>
        <v>134827395</v>
      </c>
      <c r="C10747" t="s">
        <v>50</v>
      </c>
      <c r="D10747" t="s">
        <v>11817</v>
      </c>
      <c r="E10747" t="s">
        <v>476</v>
      </c>
      <c r="F10747" t="s">
        <v>95</v>
      </c>
      <c r="G10747" t="s">
        <v>476</v>
      </c>
      <c r="H10747" t="str">
        <f>" "</f>
        <v xml:space="preserve"> </v>
      </c>
      <c r="N10747" t="s">
        <v>1525</v>
      </c>
      <c r="O10747" t="s">
        <v>1526</v>
      </c>
      <c r="R10747" t="s">
        <v>159</v>
      </c>
      <c r="S10747">
        <v>1</v>
      </c>
      <c r="T10747" t="s">
        <v>8670</v>
      </c>
      <c r="U10747" s="1">
        <v>43348</v>
      </c>
      <c r="V10747" t="s">
        <v>89</v>
      </c>
      <c r="W10747" t="s">
        <v>90</v>
      </c>
      <c r="X10747" t="s">
        <v>58</v>
      </c>
      <c r="Y10747">
        <v>25</v>
      </c>
      <c r="Z10747" t="s">
        <v>59</v>
      </c>
      <c r="AA10747" t="s">
        <v>59</v>
      </c>
      <c r="AB10747" t="s">
        <v>59</v>
      </c>
      <c r="AD10747" t="s">
        <v>59</v>
      </c>
      <c r="AF10747" s="1">
        <v>43348</v>
      </c>
      <c r="AG10747" t="s">
        <v>8651</v>
      </c>
      <c r="AH10747" t="s">
        <v>8652</v>
      </c>
      <c r="AI10747" t="str">
        <f>"9500342"</f>
        <v>9500342</v>
      </c>
      <c r="AJ10747" t="s">
        <v>15148</v>
      </c>
      <c r="AK10747">
        <v>2821076440</v>
      </c>
      <c r="AL10747" t="s">
        <v>15149</v>
      </c>
      <c r="AM10747" t="s">
        <v>88</v>
      </c>
      <c r="AN10747" t="s">
        <v>88</v>
      </c>
      <c r="AO10747" t="s">
        <v>6733</v>
      </c>
      <c r="AP10747" t="s">
        <v>6734</v>
      </c>
      <c r="AQ10747">
        <v>2</v>
      </c>
      <c r="AR10747" t="s">
        <v>89</v>
      </c>
      <c r="AS10747" t="s">
        <v>90</v>
      </c>
      <c r="AT10747" t="s">
        <v>58</v>
      </c>
      <c r="AU10747" t="s">
        <v>8673</v>
      </c>
      <c r="AV10747" t="s">
        <v>132</v>
      </c>
      <c r="AW10747" s="1">
        <v>30377</v>
      </c>
      <c r="AX10747">
        <v>1</v>
      </c>
    </row>
    <row r="10748" spans="1:50">
      <c r="B10748" t="str">
        <f>"119296135"</f>
        <v>119296135</v>
      </c>
      <c r="C10748" t="s">
        <v>50</v>
      </c>
      <c r="D10748" t="s">
        <v>11817</v>
      </c>
      <c r="E10748" t="s">
        <v>1644</v>
      </c>
      <c r="F10748" t="s">
        <v>84</v>
      </c>
      <c r="G10748" t="s">
        <v>1796</v>
      </c>
      <c r="H10748" t="str">
        <f>" ΔΕΡΑΛΑ 2 "</f>
        <v xml:space="preserve"> ΔΕΡΑΛΑ 2 </v>
      </c>
      <c r="I10748">
        <v>53100</v>
      </c>
      <c r="J10748">
        <v>2385501539</v>
      </c>
      <c r="K10748">
        <v>6978064301</v>
      </c>
      <c r="N10748" t="s">
        <v>9829</v>
      </c>
      <c r="O10748" t="s">
        <v>9830</v>
      </c>
      <c r="R10748" t="s">
        <v>159</v>
      </c>
      <c r="S10748">
        <v>6</v>
      </c>
      <c r="T10748" t="s">
        <v>8696</v>
      </c>
      <c r="U10748" s="1">
        <v>43348</v>
      </c>
      <c r="V10748" t="s">
        <v>89</v>
      </c>
      <c r="W10748" t="s">
        <v>90</v>
      </c>
      <c r="X10748" t="s">
        <v>58</v>
      </c>
      <c r="Y10748">
        <v>25</v>
      </c>
      <c r="Z10748" t="s">
        <v>59</v>
      </c>
      <c r="AA10748" t="s">
        <v>59</v>
      </c>
      <c r="AB10748" t="s">
        <v>59</v>
      </c>
      <c r="AC10748" t="s">
        <v>59</v>
      </c>
      <c r="AD10748" t="s">
        <v>59</v>
      </c>
      <c r="AF10748" s="1">
        <v>43348</v>
      </c>
      <c r="AG10748" t="s">
        <v>8651</v>
      </c>
      <c r="AH10748" t="s">
        <v>8652</v>
      </c>
      <c r="AI10748" t="str">
        <f>"9500309"</f>
        <v>9500309</v>
      </c>
      <c r="AJ10748" t="s">
        <v>14248</v>
      </c>
      <c r="AK10748">
        <v>2821066285</v>
      </c>
      <c r="AL10748" t="s">
        <v>14249</v>
      </c>
      <c r="AM10748" t="s">
        <v>88</v>
      </c>
      <c r="AN10748" t="s">
        <v>88</v>
      </c>
      <c r="AO10748" t="s">
        <v>6770</v>
      </c>
      <c r="AP10748" t="s">
        <v>14090</v>
      </c>
      <c r="AQ10748">
        <v>2</v>
      </c>
      <c r="AR10748" t="s">
        <v>89</v>
      </c>
      <c r="AS10748" t="s">
        <v>90</v>
      </c>
      <c r="AT10748" t="s">
        <v>58</v>
      </c>
      <c r="AU10748" t="s">
        <v>350</v>
      </c>
      <c r="AV10748" t="s">
        <v>132</v>
      </c>
      <c r="AW10748" s="1">
        <v>29028</v>
      </c>
      <c r="AX10748">
        <v>1</v>
      </c>
    </row>
    <row r="10749" spans="1:50">
      <c r="A10749">
        <v>581757</v>
      </c>
      <c r="B10749" t="str">
        <f>"054641110"</f>
        <v>054641110</v>
      </c>
      <c r="C10749" t="s">
        <v>50</v>
      </c>
      <c r="D10749" t="s">
        <v>11817</v>
      </c>
      <c r="E10749" t="s">
        <v>314</v>
      </c>
      <c r="F10749" t="s">
        <v>1414</v>
      </c>
      <c r="G10749" t="s">
        <v>2239</v>
      </c>
      <c r="H10749" t="str">
        <f>"ΠΟΛΟΓΙΩΡΓΗ 25 ΧΑΝΙΑ"</f>
        <v>ΠΟΛΟΓΙΩΡΓΗ 25 ΧΑΝΙΑ</v>
      </c>
      <c r="I10749">
        <v>73134</v>
      </c>
      <c r="J10749">
        <v>2821042053</v>
      </c>
      <c r="K10749">
        <v>6976466297</v>
      </c>
      <c r="N10749" t="s">
        <v>615</v>
      </c>
      <c r="O10749" t="s">
        <v>616</v>
      </c>
      <c r="R10749" t="s">
        <v>57</v>
      </c>
      <c r="S10749">
        <v>12</v>
      </c>
      <c r="T10749">
        <v>179</v>
      </c>
      <c r="U10749" s="1">
        <v>35674</v>
      </c>
      <c r="V10749" t="s">
        <v>89</v>
      </c>
      <c r="W10749" t="s">
        <v>90</v>
      </c>
      <c r="X10749" t="s">
        <v>58</v>
      </c>
      <c r="Y10749">
        <v>21</v>
      </c>
      <c r="Z10749" t="s">
        <v>59</v>
      </c>
      <c r="AA10749" t="s">
        <v>59</v>
      </c>
      <c r="AB10749" t="s">
        <v>59</v>
      </c>
      <c r="AC10749" t="s">
        <v>59</v>
      </c>
      <c r="AD10749" t="s">
        <v>59</v>
      </c>
      <c r="AF10749" s="1">
        <v>35674</v>
      </c>
      <c r="AG10749" t="s">
        <v>8645</v>
      </c>
      <c r="AH10749" t="s">
        <v>8646</v>
      </c>
      <c r="AI10749" t="str">
        <f>"9500423"</f>
        <v>9500423</v>
      </c>
      <c r="AJ10749" t="s">
        <v>13893</v>
      </c>
      <c r="AK10749">
        <v>2821023473</v>
      </c>
      <c r="AL10749" t="s">
        <v>13894</v>
      </c>
      <c r="AM10749" t="s">
        <v>88</v>
      </c>
      <c r="AN10749" t="s">
        <v>88</v>
      </c>
      <c r="AO10749" t="s">
        <v>88</v>
      </c>
      <c r="AP10749" t="s">
        <v>88</v>
      </c>
      <c r="AQ10749">
        <v>1</v>
      </c>
      <c r="AR10749" t="s">
        <v>89</v>
      </c>
      <c r="AS10749" t="s">
        <v>90</v>
      </c>
      <c r="AT10749" t="s">
        <v>58</v>
      </c>
      <c r="AU10749" t="s">
        <v>68</v>
      </c>
      <c r="AV10749" t="s">
        <v>2039</v>
      </c>
      <c r="AW10749" s="1">
        <v>24603</v>
      </c>
      <c r="AX10749">
        <v>1</v>
      </c>
    </row>
    <row r="10750" spans="1:50">
      <c r="B10750" t="str">
        <f>"115843851"</f>
        <v>115843851</v>
      </c>
      <c r="C10750" t="s">
        <v>50</v>
      </c>
      <c r="D10750" t="s">
        <v>12637</v>
      </c>
      <c r="E10750" t="s">
        <v>8772</v>
      </c>
      <c r="F10750" t="s">
        <v>84</v>
      </c>
      <c r="G10750" t="s">
        <v>52</v>
      </c>
      <c r="H10750" t="str">
        <f>"ΒΥΡΩΝΕΙΑ "</f>
        <v xml:space="preserve">ΒΥΡΩΝΕΙΑ </v>
      </c>
      <c r="I10750">
        <v>62043</v>
      </c>
      <c r="J10750">
        <v>2323031462</v>
      </c>
      <c r="K10750">
        <v>6936394504</v>
      </c>
      <c r="N10750" t="s">
        <v>615</v>
      </c>
      <c r="O10750" t="s">
        <v>616</v>
      </c>
      <c r="R10750" t="s">
        <v>159</v>
      </c>
      <c r="S10750">
        <v>3</v>
      </c>
      <c r="T10750" t="s">
        <v>8675</v>
      </c>
      <c r="U10750" s="1">
        <v>43348</v>
      </c>
      <c r="V10750" t="s">
        <v>89</v>
      </c>
      <c r="W10750" t="s">
        <v>90</v>
      </c>
      <c r="X10750" t="s">
        <v>58</v>
      </c>
      <c r="Y10750">
        <v>24</v>
      </c>
      <c r="Z10750" t="s">
        <v>59</v>
      </c>
      <c r="AA10750" t="s">
        <v>59</v>
      </c>
      <c r="AB10750" t="s">
        <v>59</v>
      </c>
      <c r="AC10750" t="s">
        <v>59</v>
      </c>
      <c r="AD10750" t="s">
        <v>59</v>
      </c>
      <c r="AF10750" s="1">
        <v>43348</v>
      </c>
      <c r="AG10750" t="s">
        <v>8645</v>
      </c>
      <c r="AH10750" t="s">
        <v>8646</v>
      </c>
      <c r="AI10750" t="str">
        <f>"9500093"</f>
        <v>9500093</v>
      </c>
      <c r="AJ10750" t="s">
        <v>13865</v>
      </c>
      <c r="AK10750">
        <v>2821064537</v>
      </c>
      <c r="AL10750" t="s">
        <v>13866</v>
      </c>
      <c r="AM10750" t="s">
        <v>88</v>
      </c>
      <c r="AN10750" t="s">
        <v>88</v>
      </c>
      <c r="AO10750" t="s">
        <v>6770</v>
      </c>
      <c r="AP10750" t="s">
        <v>6771</v>
      </c>
      <c r="AQ10750">
        <v>2</v>
      </c>
      <c r="AR10750" t="s">
        <v>89</v>
      </c>
      <c r="AS10750" t="s">
        <v>90</v>
      </c>
      <c r="AT10750" t="s">
        <v>58</v>
      </c>
      <c r="AU10750" t="s">
        <v>8673</v>
      </c>
      <c r="AV10750" t="s">
        <v>132</v>
      </c>
      <c r="AW10750" s="1">
        <v>31973</v>
      </c>
      <c r="AX10750">
        <v>1</v>
      </c>
    </row>
    <row r="10751" spans="1:50">
      <c r="A10751">
        <v>615068</v>
      </c>
      <c r="B10751" t="str">
        <f>"120045952"</f>
        <v>120045952</v>
      </c>
      <c r="C10751" t="s">
        <v>105</v>
      </c>
      <c r="D10751" t="s">
        <v>4383</v>
      </c>
      <c r="E10751" t="s">
        <v>95</v>
      </c>
      <c r="F10751" t="s">
        <v>72</v>
      </c>
      <c r="G10751" t="s">
        <v>143</v>
      </c>
      <c r="H10751" t="str">
        <f>"ΠΟΤΑΜΙΔΑ ΚΑΣΤΕΛΙ ΧΑΝΙΩΝ"</f>
        <v>ΠΟΤΑΜΙΔΑ ΚΑΣΤΕΛΙ ΧΑΝΙΩΝ</v>
      </c>
      <c r="I10751">
        <v>73400</v>
      </c>
      <c r="J10751">
        <v>2822031107</v>
      </c>
      <c r="K10751">
        <v>6982799636</v>
      </c>
      <c r="N10751" t="s">
        <v>615</v>
      </c>
      <c r="O10751" t="s">
        <v>616</v>
      </c>
      <c r="R10751" t="s">
        <v>57</v>
      </c>
      <c r="S10751">
        <v>6</v>
      </c>
      <c r="T10751">
        <v>598</v>
      </c>
      <c r="U10751" s="1">
        <v>39310</v>
      </c>
      <c r="V10751" t="s">
        <v>89</v>
      </c>
      <c r="W10751" t="s">
        <v>90</v>
      </c>
      <c r="X10751" t="s">
        <v>58</v>
      </c>
      <c r="Y10751">
        <v>23</v>
      </c>
      <c r="Z10751" t="s">
        <v>59</v>
      </c>
      <c r="AA10751" t="s">
        <v>59</v>
      </c>
      <c r="AB10751" t="s">
        <v>59</v>
      </c>
      <c r="AC10751" t="s">
        <v>59</v>
      </c>
      <c r="AD10751" t="s">
        <v>59</v>
      </c>
      <c r="AF10751" s="1">
        <v>39328</v>
      </c>
      <c r="AG10751" t="s">
        <v>8645</v>
      </c>
      <c r="AH10751" t="s">
        <v>8646</v>
      </c>
      <c r="AI10751" t="str">
        <f>"9500374"</f>
        <v>9500374</v>
      </c>
      <c r="AJ10751" t="s">
        <v>14529</v>
      </c>
      <c r="AK10751">
        <v>2822023194</v>
      </c>
      <c r="AL10751" t="s">
        <v>14530</v>
      </c>
      <c r="AM10751" t="s">
        <v>88</v>
      </c>
      <c r="AN10751" t="s">
        <v>6744</v>
      </c>
      <c r="AO10751" t="s">
        <v>6744</v>
      </c>
      <c r="AP10751" t="s">
        <v>6744</v>
      </c>
      <c r="AQ10751">
        <v>9</v>
      </c>
      <c r="AR10751" t="s">
        <v>89</v>
      </c>
      <c r="AS10751" t="s">
        <v>90</v>
      </c>
      <c r="AT10751" t="s">
        <v>58</v>
      </c>
      <c r="AU10751" t="s">
        <v>68</v>
      </c>
      <c r="AV10751" t="s">
        <v>69</v>
      </c>
      <c r="AW10751" s="1">
        <v>29069</v>
      </c>
      <c r="AX10751">
        <v>1</v>
      </c>
    </row>
    <row r="10752" spans="1:50">
      <c r="A10752">
        <v>582037</v>
      </c>
      <c r="B10752" t="str">
        <f>"057891638"</f>
        <v>057891638</v>
      </c>
      <c r="C10752" t="s">
        <v>50</v>
      </c>
      <c r="D10752" t="s">
        <v>15607</v>
      </c>
      <c r="E10752" t="s">
        <v>73</v>
      </c>
      <c r="F10752" t="s">
        <v>99</v>
      </c>
      <c r="G10752" t="s">
        <v>155</v>
      </c>
      <c r="H10752" t="str">
        <f>"ΤΖΑΝΑΚΑΚΗ 21 ΧΑΝΙΑ"</f>
        <v>ΤΖΑΝΑΚΑΚΗ 21 ΧΑΝΙΑ</v>
      </c>
      <c r="I10752">
        <v>73100</v>
      </c>
      <c r="J10752">
        <v>2821023152</v>
      </c>
      <c r="K10752">
        <v>6938334880</v>
      </c>
      <c r="N10752" t="s">
        <v>615</v>
      </c>
      <c r="O10752" t="s">
        <v>616</v>
      </c>
      <c r="P10752" t="s">
        <v>74</v>
      </c>
      <c r="Q10752" t="s">
        <v>75</v>
      </c>
      <c r="R10752" t="s">
        <v>57</v>
      </c>
      <c r="S10752">
        <v>11</v>
      </c>
      <c r="T10752">
        <v>179</v>
      </c>
      <c r="U10752" s="1">
        <v>35674</v>
      </c>
      <c r="V10752" t="s">
        <v>89</v>
      </c>
      <c r="W10752" t="s">
        <v>90</v>
      </c>
      <c r="X10752" t="s">
        <v>58</v>
      </c>
      <c r="Y10752">
        <v>21</v>
      </c>
      <c r="Z10752" t="s">
        <v>59</v>
      </c>
      <c r="AA10752" t="s">
        <v>59</v>
      </c>
      <c r="AB10752" t="s">
        <v>59</v>
      </c>
      <c r="AC10752" t="s">
        <v>59</v>
      </c>
      <c r="AD10752" t="s">
        <v>59</v>
      </c>
      <c r="AF10752" s="1">
        <v>35674</v>
      </c>
      <c r="AG10752" t="s">
        <v>8645</v>
      </c>
      <c r="AH10752" t="s">
        <v>8646</v>
      </c>
      <c r="AI10752" t="str">
        <f>"9500144"</f>
        <v>9500144</v>
      </c>
      <c r="AJ10752" t="s">
        <v>14010</v>
      </c>
      <c r="AK10752">
        <v>2821094171</v>
      </c>
      <c r="AL10752" t="s">
        <v>14011</v>
      </c>
      <c r="AM10752" t="s">
        <v>88</v>
      </c>
      <c r="AN10752" t="s">
        <v>88</v>
      </c>
      <c r="AO10752" t="s">
        <v>88</v>
      </c>
      <c r="AP10752" t="s">
        <v>88</v>
      </c>
      <c r="AQ10752">
        <v>1</v>
      </c>
      <c r="AR10752" t="s">
        <v>89</v>
      </c>
      <c r="AS10752" t="s">
        <v>90</v>
      </c>
      <c r="AT10752" t="s">
        <v>58</v>
      </c>
      <c r="AU10752" t="s">
        <v>68</v>
      </c>
      <c r="AV10752" t="s">
        <v>69</v>
      </c>
      <c r="AW10752" s="1">
        <v>24598</v>
      </c>
      <c r="AX10752">
        <v>1</v>
      </c>
    </row>
    <row r="10753" spans="1:50">
      <c r="B10753" t="str">
        <f>"130762844"</f>
        <v>130762844</v>
      </c>
      <c r="C10753" t="s">
        <v>50</v>
      </c>
      <c r="D10753" t="s">
        <v>15608</v>
      </c>
      <c r="E10753" t="s">
        <v>11638</v>
      </c>
      <c r="F10753" t="s">
        <v>989</v>
      </c>
      <c r="G10753" t="s">
        <v>237</v>
      </c>
      <c r="H10753" t="str">
        <f>"ΠΑΛΑΤΙΤΣΙΑ  "</f>
        <v xml:space="preserve">ΠΑΛΑΤΙΤΣΙΑ  </v>
      </c>
      <c r="I10753">
        <v>59031</v>
      </c>
      <c r="J10753">
        <v>2331092070</v>
      </c>
      <c r="K10753">
        <v>6948233544</v>
      </c>
      <c r="N10753" t="s">
        <v>1525</v>
      </c>
      <c r="O10753" t="s">
        <v>1526</v>
      </c>
      <c r="R10753" t="s">
        <v>159</v>
      </c>
      <c r="S10753">
        <v>4</v>
      </c>
      <c r="T10753" t="s">
        <v>8670</v>
      </c>
      <c r="U10753" s="1">
        <v>43348</v>
      </c>
      <c r="V10753" t="s">
        <v>89</v>
      </c>
      <c r="W10753" t="s">
        <v>90</v>
      </c>
      <c r="X10753" t="s">
        <v>58</v>
      </c>
      <c r="Y10753">
        <v>25</v>
      </c>
      <c r="Z10753" t="s">
        <v>59</v>
      </c>
      <c r="AA10753" t="s">
        <v>59</v>
      </c>
      <c r="AB10753" t="s">
        <v>59</v>
      </c>
      <c r="AC10753" t="s">
        <v>59</v>
      </c>
      <c r="AD10753" t="s">
        <v>59</v>
      </c>
      <c r="AF10753" s="1">
        <v>43348</v>
      </c>
      <c r="AG10753" t="s">
        <v>8651</v>
      </c>
      <c r="AH10753" t="s">
        <v>8652</v>
      </c>
      <c r="AI10753" t="str">
        <f>"9500343"</f>
        <v>9500343</v>
      </c>
      <c r="AJ10753" t="s">
        <v>13950</v>
      </c>
      <c r="AK10753">
        <v>2824022284</v>
      </c>
      <c r="AL10753" t="s">
        <v>13951</v>
      </c>
      <c r="AM10753" t="s">
        <v>88</v>
      </c>
      <c r="AN10753" t="s">
        <v>6764</v>
      </c>
      <c r="AO10753" t="s">
        <v>6765</v>
      </c>
      <c r="AP10753" t="s">
        <v>13952</v>
      </c>
      <c r="AQ10753">
        <v>6</v>
      </c>
      <c r="AR10753" t="s">
        <v>89</v>
      </c>
      <c r="AS10753" t="s">
        <v>90</v>
      </c>
      <c r="AT10753" t="s">
        <v>58</v>
      </c>
      <c r="AU10753" t="s">
        <v>8673</v>
      </c>
      <c r="AV10753" t="s">
        <v>132</v>
      </c>
      <c r="AW10753" s="1">
        <v>30688</v>
      </c>
      <c r="AX10753">
        <v>1</v>
      </c>
    </row>
    <row r="10754" spans="1:50">
      <c r="A10754">
        <v>588560</v>
      </c>
      <c r="B10754" t="str">
        <f>"101573141"</f>
        <v>101573141</v>
      </c>
      <c r="C10754" t="s">
        <v>105</v>
      </c>
      <c r="D10754" t="s">
        <v>15609</v>
      </c>
      <c r="E10754" t="s">
        <v>166</v>
      </c>
      <c r="F10754" t="s">
        <v>304</v>
      </c>
      <c r="G10754" t="s">
        <v>255</v>
      </c>
      <c r="H10754" t="str">
        <f>"ΕΛ.ΒΕΝΙΖΕΛΟΥ ΚΑΜΠΑΝΙ ΧΑΝΙΑ-ΑΚΡΩΤΗΡΙ"</f>
        <v>ΕΛ.ΒΕΝΙΖΕΛΟΥ ΚΑΜΠΑΝΙ ΧΑΝΙΑ-ΑΚΡΩΤΗΡΙ</v>
      </c>
      <c r="I10754">
        <v>73100</v>
      </c>
      <c r="J10754">
        <v>2821020797</v>
      </c>
      <c r="K10754">
        <v>6975780059</v>
      </c>
      <c r="L10754">
        <v>6975780059</v>
      </c>
      <c r="M10754" t="s">
        <v>15610</v>
      </c>
      <c r="N10754" t="s">
        <v>615</v>
      </c>
      <c r="O10754" t="s">
        <v>616</v>
      </c>
      <c r="R10754" t="s">
        <v>57</v>
      </c>
      <c r="S10754">
        <v>10</v>
      </c>
      <c r="T10754">
        <v>176</v>
      </c>
      <c r="U10754" s="1">
        <v>36403</v>
      </c>
      <c r="V10754" t="s">
        <v>89</v>
      </c>
      <c r="W10754" t="s">
        <v>90</v>
      </c>
      <c r="X10754" t="s">
        <v>58</v>
      </c>
      <c r="Y10754">
        <v>22</v>
      </c>
      <c r="Z10754" t="s">
        <v>59</v>
      </c>
      <c r="AA10754" t="s">
        <v>59</v>
      </c>
      <c r="AB10754" t="s">
        <v>59</v>
      </c>
      <c r="AC10754" t="s">
        <v>59</v>
      </c>
      <c r="AD10754" t="s">
        <v>59</v>
      </c>
      <c r="AF10754" s="1">
        <v>36403</v>
      </c>
      <c r="AG10754" t="s">
        <v>8645</v>
      </c>
      <c r="AH10754" t="s">
        <v>8646</v>
      </c>
      <c r="AI10754" t="str">
        <f>"9500137"</f>
        <v>9500137</v>
      </c>
      <c r="AJ10754" t="s">
        <v>14401</v>
      </c>
      <c r="AK10754">
        <v>2821093156</v>
      </c>
      <c r="AL10754" t="s">
        <v>14402</v>
      </c>
      <c r="AM10754" t="s">
        <v>88</v>
      </c>
      <c r="AN10754" t="s">
        <v>88</v>
      </c>
      <c r="AO10754" t="s">
        <v>88</v>
      </c>
      <c r="AP10754" t="s">
        <v>88</v>
      </c>
      <c r="AQ10754">
        <v>1</v>
      </c>
      <c r="AR10754" t="s">
        <v>89</v>
      </c>
      <c r="AS10754" t="s">
        <v>90</v>
      </c>
      <c r="AT10754" t="s">
        <v>58</v>
      </c>
      <c r="AU10754" t="s">
        <v>68</v>
      </c>
      <c r="AV10754" t="s">
        <v>69</v>
      </c>
      <c r="AW10754" s="1">
        <v>22295</v>
      </c>
      <c r="AX10754">
        <v>1</v>
      </c>
    </row>
    <row r="10755" spans="1:50">
      <c r="B10755" t="str">
        <f>"151971968"</f>
        <v>151971968</v>
      </c>
      <c r="C10755" t="s">
        <v>50</v>
      </c>
      <c r="D10755" t="s">
        <v>15611</v>
      </c>
      <c r="E10755" t="s">
        <v>15612</v>
      </c>
      <c r="F10755" t="s">
        <v>13814</v>
      </c>
      <c r="G10755" t="s">
        <v>13815</v>
      </c>
      <c r="H10755" t="str">
        <f>" "</f>
        <v xml:space="preserve"> </v>
      </c>
      <c r="N10755" t="s">
        <v>8694</v>
      </c>
      <c r="O10755" t="s">
        <v>8695</v>
      </c>
      <c r="R10755" t="s">
        <v>159</v>
      </c>
      <c r="S10755">
        <v>1</v>
      </c>
      <c r="T10755" t="s">
        <v>8696</v>
      </c>
      <c r="U10755" s="1">
        <v>43348</v>
      </c>
      <c r="V10755" t="s">
        <v>89</v>
      </c>
      <c r="W10755" t="s">
        <v>90</v>
      </c>
      <c r="X10755" t="s">
        <v>58</v>
      </c>
      <c r="Y10755">
        <v>24</v>
      </c>
      <c r="Z10755" t="s">
        <v>59</v>
      </c>
      <c r="AA10755" t="s">
        <v>59</v>
      </c>
      <c r="AB10755" t="s">
        <v>59</v>
      </c>
      <c r="AD10755" t="s">
        <v>59</v>
      </c>
      <c r="AF10755" s="1">
        <v>43348</v>
      </c>
      <c r="AG10755" t="s">
        <v>8645</v>
      </c>
      <c r="AH10755" t="s">
        <v>8697</v>
      </c>
      <c r="AI10755" t="str">
        <f>"9500361"</f>
        <v>9500361</v>
      </c>
      <c r="AJ10755" t="s">
        <v>14024</v>
      </c>
      <c r="AK10755">
        <v>2821070176</v>
      </c>
      <c r="AL10755" t="s">
        <v>14025</v>
      </c>
      <c r="AM10755" t="s">
        <v>88</v>
      </c>
      <c r="AN10755" t="s">
        <v>88</v>
      </c>
      <c r="AO10755" t="s">
        <v>88</v>
      </c>
      <c r="AP10755" t="s">
        <v>88</v>
      </c>
      <c r="AQ10755">
        <v>1</v>
      </c>
      <c r="AR10755" t="s">
        <v>89</v>
      </c>
      <c r="AS10755" t="s">
        <v>90</v>
      </c>
      <c r="AT10755" t="s">
        <v>58</v>
      </c>
      <c r="AU10755" t="s">
        <v>350</v>
      </c>
      <c r="AV10755" t="s">
        <v>132</v>
      </c>
      <c r="AW10755" s="1">
        <v>33461</v>
      </c>
      <c r="AX10755">
        <v>1</v>
      </c>
    </row>
    <row r="10756" spans="1:50">
      <c r="A10756">
        <v>563182</v>
      </c>
      <c r="B10756" t="str">
        <f>"065272599"</f>
        <v>065272599</v>
      </c>
      <c r="C10756" t="s">
        <v>50</v>
      </c>
      <c r="D10756" t="s">
        <v>15613</v>
      </c>
      <c r="E10756" t="s">
        <v>250</v>
      </c>
      <c r="F10756" t="s">
        <v>53</v>
      </c>
      <c r="G10756" t="s">
        <v>96</v>
      </c>
      <c r="H10756" t="str">
        <f>"ΖΥΜΒΡΑΚΑΚΗΔΩΝ 72 ΧΑΝΙΑ"</f>
        <v>ΖΥΜΒΡΑΚΑΚΗΔΩΝ 72 ΧΑΝΙΑ</v>
      </c>
      <c r="I10756">
        <v>73100</v>
      </c>
      <c r="J10756">
        <v>2821092478</v>
      </c>
      <c r="K10756">
        <v>6972096878</v>
      </c>
      <c r="M10756" t="s">
        <v>15614</v>
      </c>
      <c r="N10756" t="s">
        <v>1525</v>
      </c>
      <c r="O10756" t="s">
        <v>1526</v>
      </c>
      <c r="R10756" t="s">
        <v>57</v>
      </c>
      <c r="S10756">
        <v>16</v>
      </c>
      <c r="T10756">
        <v>187</v>
      </c>
      <c r="U10756" s="1">
        <v>32750</v>
      </c>
      <c r="V10756" t="s">
        <v>89</v>
      </c>
      <c r="W10756" t="s">
        <v>90</v>
      </c>
      <c r="X10756" t="s">
        <v>58</v>
      </c>
      <c r="Y10756">
        <v>25</v>
      </c>
      <c r="Z10756" t="s">
        <v>59</v>
      </c>
      <c r="AA10756" t="s">
        <v>59</v>
      </c>
      <c r="AB10756" t="s">
        <v>59</v>
      </c>
      <c r="AC10756" t="s">
        <v>59</v>
      </c>
      <c r="AD10756" t="s">
        <v>59</v>
      </c>
      <c r="AF10756" s="1">
        <v>32750</v>
      </c>
      <c r="AG10756" t="s">
        <v>8651</v>
      </c>
      <c r="AH10756" t="s">
        <v>8652</v>
      </c>
      <c r="AI10756" t="str">
        <f>"9500344"</f>
        <v>9500344</v>
      </c>
      <c r="AJ10756" t="s">
        <v>14972</v>
      </c>
      <c r="AK10756">
        <v>2821095241</v>
      </c>
      <c r="AL10756" t="s">
        <v>14973</v>
      </c>
      <c r="AM10756" t="s">
        <v>88</v>
      </c>
      <c r="AN10756" t="s">
        <v>88</v>
      </c>
      <c r="AO10756" t="s">
        <v>6733</v>
      </c>
      <c r="AP10756" t="s">
        <v>6734</v>
      </c>
      <c r="AQ10756">
        <v>2</v>
      </c>
      <c r="AR10756" t="s">
        <v>89</v>
      </c>
      <c r="AS10756" t="s">
        <v>90</v>
      </c>
      <c r="AT10756" t="s">
        <v>58</v>
      </c>
      <c r="AU10756" t="s">
        <v>68</v>
      </c>
      <c r="AV10756" t="s">
        <v>69</v>
      </c>
      <c r="AW10756" s="1">
        <v>23676</v>
      </c>
      <c r="AX10756">
        <v>1</v>
      </c>
    </row>
    <row r="10757" spans="1:50">
      <c r="A10757">
        <v>566846</v>
      </c>
      <c r="B10757" t="str">
        <f>"032902087"</f>
        <v>032902087</v>
      </c>
      <c r="C10757" t="s">
        <v>105</v>
      </c>
      <c r="D10757" t="s">
        <v>8612</v>
      </c>
      <c r="E10757" t="s">
        <v>72</v>
      </c>
      <c r="F10757" t="s">
        <v>2233</v>
      </c>
      <c r="G10757" t="s">
        <v>15615</v>
      </c>
      <c r="H10757" t="str">
        <f>"Ε. ΝΙΚΟΛΟΥΔΗ 12 ΧΑΝΙΑ"</f>
        <v>Ε. ΝΙΚΟΛΟΥΔΗ 12 ΧΑΝΙΑ</v>
      </c>
      <c r="I10757">
        <v>73100</v>
      </c>
      <c r="N10757" t="s">
        <v>615</v>
      </c>
      <c r="O10757" t="s">
        <v>616</v>
      </c>
      <c r="R10757" t="s">
        <v>57</v>
      </c>
      <c r="S10757">
        <v>16</v>
      </c>
      <c r="T10757">
        <v>133</v>
      </c>
      <c r="U10757" s="1">
        <v>33456</v>
      </c>
      <c r="V10757" t="s">
        <v>89</v>
      </c>
      <c r="W10757" t="s">
        <v>90</v>
      </c>
      <c r="X10757" t="s">
        <v>58</v>
      </c>
      <c r="Y10757">
        <v>21</v>
      </c>
      <c r="Z10757" t="s">
        <v>59</v>
      </c>
      <c r="AA10757" t="s">
        <v>59</v>
      </c>
      <c r="AB10757" t="s">
        <v>59</v>
      </c>
      <c r="AC10757" t="s">
        <v>59</v>
      </c>
      <c r="AD10757" t="s">
        <v>59</v>
      </c>
      <c r="AF10757" s="1">
        <v>33486</v>
      </c>
      <c r="AG10757" t="s">
        <v>8645</v>
      </c>
      <c r="AH10757" t="s">
        <v>8646</v>
      </c>
      <c r="AI10757" t="str">
        <f>"9500040"</f>
        <v>9500040</v>
      </c>
      <c r="AJ10757" t="s">
        <v>13906</v>
      </c>
      <c r="AK10757">
        <v>2821045356</v>
      </c>
      <c r="AL10757" t="s">
        <v>13907</v>
      </c>
      <c r="AM10757" t="s">
        <v>88</v>
      </c>
      <c r="AN10757" t="s">
        <v>88</v>
      </c>
      <c r="AO10757" t="s">
        <v>88</v>
      </c>
      <c r="AP10757" t="s">
        <v>88</v>
      </c>
      <c r="AQ10757">
        <v>1</v>
      </c>
      <c r="AR10757" t="s">
        <v>89</v>
      </c>
      <c r="AS10757" t="s">
        <v>90</v>
      </c>
      <c r="AT10757" t="s">
        <v>58</v>
      </c>
      <c r="AU10757" t="s">
        <v>68</v>
      </c>
      <c r="AV10757" t="s">
        <v>69</v>
      </c>
      <c r="AW10757" s="1">
        <v>23450</v>
      </c>
      <c r="AX10757">
        <v>1</v>
      </c>
    </row>
    <row r="10758" spans="1:50">
      <c r="A10758">
        <v>586844</v>
      </c>
      <c r="B10758" t="str">
        <f>"112387640"</f>
        <v>112387640</v>
      </c>
      <c r="C10758" t="s">
        <v>50</v>
      </c>
      <c r="D10758" t="s">
        <v>15616</v>
      </c>
      <c r="E10758" t="s">
        <v>109</v>
      </c>
      <c r="F10758" t="s">
        <v>95</v>
      </c>
      <c r="G10758" t="s">
        <v>52</v>
      </c>
      <c r="H10758" t="str">
        <f>"Σ.ΒΕΝΙΖΕΛΟΥ 22 ΧΑΝΙΑ"</f>
        <v>Σ.ΒΕΝΙΖΕΛΟΥ 22 ΧΑΝΙΑ</v>
      </c>
      <c r="I10758">
        <v>73300</v>
      </c>
      <c r="J10758">
        <v>2821093446</v>
      </c>
      <c r="N10758" t="s">
        <v>1525</v>
      </c>
      <c r="O10758" t="s">
        <v>1526</v>
      </c>
      <c r="R10758" t="s">
        <v>57</v>
      </c>
      <c r="S10758">
        <v>12</v>
      </c>
      <c r="T10758">
        <v>165</v>
      </c>
      <c r="U10758" s="1">
        <v>36040</v>
      </c>
      <c r="V10758" t="s">
        <v>89</v>
      </c>
      <c r="W10758" t="s">
        <v>90</v>
      </c>
      <c r="X10758" t="s">
        <v>58</v>
      </c>
      <c r="Y10758">
        <v>25</v>
      </c>
      <c r="Z10758" t="s">
        <v>59</v>
      </c>
      <c r="AA10758" t="s">
        <v>59</v>
      </c>
      <c r="AB10758" t="s">
        <v>59</v>
      </c>
      <c r="AC10758" t="s">
        <v>59</v>
      </c>
      <c r="AD10758" t="s">
        <v>59</v>
      </c>
      <c r="AF10758" s="1">
        <v>36040</v>
      </c>
      <c r="AG10758" t="s">
        <v>8651</v>
      </c>
      <c r="AH10758" t="s">
        <v>8652</v>
      </c>
      <c r="AI10758" t="str">
        <f>"9500303"</f>
        <v>9500303</v>
      </c>
      <c r="AJ10758" t="s">
        <v>15151</v>
      </c>
      <c r="AK10758">
        <v>2821094168</v>
      </c>
      <c r="AL10758" t="s">
        <v>15152</v>
      </c>
      <c r="AM10758" t="s">
        <v>88</v>
      </c>
      <c r="AN10758" t="s">
        <v>88</v>
      </c>
      <c r="AO10758" t="s">
        <v>88</v>
      </c>
      <c r="AP10758" t="s">
        <v>88</v>
      </c>
      <c r="AQ10758">
        <v>1</v>
      </c>
      <c r="AR10758" t="s">
        <v>89</v>
      </c>
      <c r="AS10758" t="s">
        <v>90</v>
      </c>
      <c r="AT10758" t="s">
        <v>58</v>
      </c>
      <c r="AU10758" t="s">
        <v>68</v>
      </c>
      <c r="AV10758" t="s">
        <v>69</v>
      </c>
      <c r="AW10758" s="1">
        <v>24497</v>
      </c>
      <c r="AX10758">
        <v>1</v>
      </c>
    </row>
    <row r="10759" spans="1:50">
      <c r="A10759">
        <v>576039</v>
      </c>
      <c r="B10759" t="str">
        <f>"110851801"</f>
        <v>110851801</v>
      </c>
      <c r="C10759" t="s">
        <v>50</v>
      </c>
      <c r="D10759" t="s">
        <v>15617</v>
      </c>
      <c r="E10759" t="s">
        <v>83</v>
      </c>
      <c r="F10759" t="s">
        <v>15618</v>
      </c>
      <c r="G10759" t="s">
        <v>255</v>
      </c>
      <c r="H10759" t="str">
        <f>" "</f>
        <v xml:space="preserve"> </v>
      </c>
      <c r="N10759" t="s">
        <v>1525</v>
      </c>
      <c r="O10759" t="s">
        <v>1526</v>
      </c>
      <c r="R10759" t="s">
        <v>57</v>
      </c>
      <c r="S10759">
        <v>13</v>
      </c>
      <c r="T10759">
        <v>184</v>
      </c>
      <c r="U10759" s="1">
        <v>34941</v>
      </c>
      <c r="V10759" t="s">
        <v>89</v>
      </c>
      <c r="W10759" t="s">
        <v>90</v>
      </c>
      <c r="X10759" t="s">
        <v>58</v>
      </c>
      <c r="Y10759">
        <v>25</v>
      </c>
      <c r="Z10759" t="s">
        <v>59</v>
      </c>
      <c r="AA10759" t="s">
        <v>59</v>
      </c>
      <c r="AB10759" t="s">
        <v>59</v>
      </c>
      <c r="AC10759" t="s">
        <v>59</v>
      </c>
      <c r="AD10759" t="s">
        <v>59</v>
      </c>
      <c r="AF10759" s="1">
        <v>34946</v>
      </c>
      <c r="AG10759" t="s">
        <v>8651</v>
      </c>
      <c r="AH10759" t="s">
        <v>8652</v>
      </c>
      <c r="AI10759" t="str">
        <f>"9500385"</f>
        <v>9500385</v>
      </c>
      <c r="AJ10759" t="s">
        <v>14129</v>
      </c>
      <c r="AK10759">
        <v>2822022513</v>
      </c>
      <c r="AL10759" t="s">
        <v>14130</v>
      </c>
      <c r="AM10759" t="s">
        <v>88</v>
      </c>
      <c r="AN10759" t="s">
        <v>6744</v>
      </c>
      <c r="AO10759" t="s">
        <v>6744</v>
      </c>
      <c r="AP10759" t="s">
        <v>6744</v>
      </c>
      <c r="AQ10759">
        <v>9</v>
      </c>
      <c r="AR10759" t="s">
        <v>89</v>
      </c>
      <c r="AS10759" t="s">
        <v>90</v>
      </c>
      <c r="AT10759" t="s">
        <v>58</v>
      </c>
      <c r="AU10759" t="s">
        <v>68</v>
      </c>
      <c r="AV10759" t="s">
        <v>69</v>
      </c>
      <c r="AW10759" s="1">
        <v>23051</v>
      </c>
      <c r="AX10759">
        <v>1</v>
      </c>
    </row>
    <row r="10760" spans="1:50">
      <c r="B10760" t="str">
        <f>"100616043"</f>
        <v>100616043</v>
      </c>
      <c r="C10760" t="s">
        <v>50</v>
      </c>
      <c r="D10760" t="s">
        <v>10074</v>
      </c>
      <c r="E10760" t="s">
        <v>250</v>
      </c>
      <c r="F10760" t="s">
        <v>670</v>
      </c>
      <c r="G10760" t="s">
        <v>52</v>
      </c>
      <c r="H10760" t="str">
        <f>"Γ. ΚΑΜΠΟΥΡΗ 8Α "</f>
        <v xml:space="preserve">Γ. ΚΑΜΠΟΥΡΗ 8Α </v>
      </c>
      <c r="I10760">
        <v>73100</v>
      </c>
      <c r="J10760">
        <v>2821040284</v>
      </c>
      <c r="K10760">
        <v>6972849012</v>
      </c>
      <c r="N10760" t="s">
        <v>615</v>
      </c>
      <c r="O10760" t="s">
        <v>616</v>
      </c>
      <c r="R10760" t="s">
        <v>159</v>
      </c>
      <c r="S10760">
        <v>4</v>
      </c>
      <c r="T10760" t="s">
        <v>8675</v>
      </c>
      <c r="U10760" s="1">
        <v>43348</v>
      </c>
      <c r="V10760" t="s">
        <v>89</v>
      </c>
      <c r="W10760" t="s">
        <v>90</v>
      </c>
      <c r="X10760" t="s">
        <v>58</v>
      </c>
      <c r="Y10760">
        <v>24</v>
      </c>
      <c r="Z10760" t="s">
        <v>59</v>
      </c>
      <c r="AA10760" t="s">
        <v>59</v>
      </c>
      <c r="AB10760" t="s">
        <v>59</v>
      </c>
      <c r="AC10760" t="s">
        <v>59</v>
      </c>
      <c r="AD10760" t="s">
        <v>59</v>
      </c>
      <c r="AF10760" s="1">
        <v>43348</v>
      </c>
      <c r="AG10760" t="s">
        <v>8645</v>
      </c>
      <c r="AH10760" t="s">
        <v>8646</v>
      </c>
      <c r="AI10760" t="str">
        <f>"9500119"</f>
        <v>9500119</v>
      </c>
      <c r="AJ10760" t="s">
        <v>14286</v>
      </c>
      <c r="AK10760">
        <v>2821095816</v>
      </c>
      <c r="AL10760" t="s">
        <v>14287</v>
      </c>
      <c r="AM10760" t="s">
        <v>88</v>
      </c>
      <c r="AN10760" t="s">
        <v>88</v>
      </c>
      <c r="AO10760" t="s">
        <v>13920</v>
      </c>
      <c r="AP10760" t="s">
        <v>14029</v>
      </c>
      <c r="AQ10760">
        <v>3</v>
      </c>
      <c r="AR10760" t="s">
        <v>89</v>
      </c>
      <c r="AS10760" t="s">
        <v>90</v>
      </c>
      <c r="AT10760" t="s">
        <v>58</v>
      </c>
      <c r="AU10760" t="s">
        <v>8673</v>
      </c>
      <c r="AV10760" t="s">
        <v>132</v>
      </c>
      <c r="AW10760" s="1">
        <v>28602</v>
      </c>
      <c r="AX10760">
        <v>1</v>
      </c>
    </row>
    <row r="10761" spans="1:50">
      <c r="B10761" t="str">
        <f>"119082655"</f>
        <v>119082655</v>
      </c>
      <c r="C10761" t="s">
        <v>105</v>
      </c>
      <c r="D10761" t="s">
        <v>15619</v>
      </c>
      <c r="E10761" t="s">
        <v>53</v>
      </c>
      <c r="F10761" t="s">
        <v>84</v>
      </c>
      <c r="G10761" t="s">
        <v>263</v>
      </c>
      <c r="H10761" t="str">
        <f>"Γ. ΚΟΥΡΗ 6 ΧΑΝΙΑ"</f>
        <v>Γ. ΚΟΥΡΗ 6 ΧΑΝΙΑ</v>
      </c>
      <c r="I10761">
        <v>73134</v>
      </c>
      <c r="J10761">
        <v>2821072046</v>
      </c>
      <c r="K10761">
        <v>6942648450</v>
      </c>
      <c r="M10761" t="s">
        <v>15620</v>
      </c>
      <c r="N10761" t="s">
        <v>337</v>
      </c>
      <c r="O10761" t="s">
        <v>338</v>
      </c>
      <c r="R10761" t="s">
        <v>159</v>
      </c>
      <c r="S10761">
        <v>3</v>
      </c>
      <c r="T10761" t="s">
        <v>8675</v>
      </c>
      <c r="U10761" s="1">
        <v>43348</v>
      </c>
      <c r="V10761" t="s">
        <v>89</v>
      </c>
      <c r="W10761" t="s">
        <v>90</v>
      </c>
      <c r="X10761" t="s">
        <v>58</v>
      </c>
      <c r="Y10761">
        <v>24</v>
      </c>
      <c r="Z10761" t="s">
        <v>59</v>
      </c>
      <c r="AA10761" t="s">
        <v>59</v>
      </c>
      <c r="AB10761" t="s">
        <v>59</v>
      </c>
      <c r="AC10761" t="s">
        <v>59</v>
      </c>
      <c r="AD10761" t="s">
        <v>59</v>
      </c>
      <c r="AF10761" s="1">
        <v>43348</v>
      </c>
      <c r="AG10761" t="s">
        <v>8645</v>
      </c>
      <c r="AH10761" t="s">
        <v>8646</v>
      </c>
      <c r="AI10761" t="str">
        <f>"9500107"</f>
        <v>9500107</v>
      </c>
      <c r="AJ10761" t="s">
        <v>13918</v>
      </c>
      <c r="AK10761">
        <v>2821096244</v>
      </c>
      <c r="AL10761" t="s">
        <v>13919</v>
      </c>
      <c r="AM10761" t="s">
        <v>88</v>
      </c>
      <c r="AN10761" t="s">
        <v>88</v>
      </c>
      <c r="AO10761" t="s">
        <v>13920</v>
      </c>
      <c r="AP10761" t="s">
        <v>13921</v>
      </c>
      <c r="AQ10761">
        <v>3</v>
      </c>
      <c r="AR10761" t="s">
        <v>89</v>
      </c>
      <c r="AS10761" t="s">
        <v>90</v>
      </c>
      <c r="AT10761" t="s">
        <v>58</v>
      </c>
      <c r="AU10761" t="s">
        <v>8673</v>
      </c>
      <c r="AV10761" t="s">
        <v>132</v>
      </c>
      <c r="AW10761" s="1">
        <v>30605</v>
      </c>
      <c r="AX10761">
        <v>1</v>
      </c>
    </row>
    <row r="10762" spans="1:50">
      <c r="A10762">
        <v>557197</v>
      </c>
      <c r="B10762" t="str">
        <f>"030720352"</f>
        <v>030720352</v>
      </c>
      <c r="C10762" t="s">
        <v>50</v>
      </c>
      <c r="D10762" t="s">
        <v>8620</v>
      </c>
      <c r="E10762" t="s">
        <v>52</v>
      </c>
      <c r="F10762" t="s">
        <v>166</v>
      </c>
      <c r="G10762" t="s">
        <v>964</v>
      </c>
      <c r="H10762" t="str">
        <f>"6ο χλμ. ΕΘΝΙΚΗΣ ΧΑΝΙΩΝ-ΡΕΘΥΜΝΟΥ ΣΟΥΔΑ"</f>
        <v>6ο χλμ. ΕΘΝΙΚΗΣ ΧΑΝΙΩΝ-ΡΕΘΥΜΝΟΥ ΣΟΥΔΑ</v>
      </c>
      <c r="I10762">
        <v>73200</v>
      </c>
      <c r="J10762">
        <v>2821081639</v>
      </c>
      <c r="K10762">
        <v>6976790394</v>
      </c>
      <c r="N10762" t="s">
        <v>615</v>
      </c>
      <c r="O10762" t="s">
        <v>616</v>
      </c>
      <c r="R10762" t="s">
        <v>57</v>
      </c>
      <c r="S10762">
        <v>16</v>
      </c>
      <c r="T10762">
        <v>168</v>
      </c>
      <c r="U10762" s="1">
        <v>32010</v>
      </c>
      <c r="V10762" t="s">
        <v>89</v>
      </c>
      <c r="W10762" t="s">
        <v>90</v>
      </c>
      <c r="X10762" t="s">
        <v>58</v>
      </c>
      <c r="Y10762">
        <v>21</v>
      </c>
      <c r="Z10762" t="s">
        <v>59</v>
      </c>
      <c r="AA10762" t="s">
        <v>59</v>
      </c>
      <c r="AB10762" t="s">
        <v>59</v>
      </c>
      <c r="AC10762" t="s">
        <v>59</v>
      </c>
      <c r="AD10762" t="s">
        <v>59</v>
      </c>
      <c r="AF10762" s="1">
        <v>32010</v>
      </c>
      <c r="AG10762" t="s">
        <v>8645</v>
      </c>
      <c r="AH10762" t="s">
        <v>8646</v>
      </c>
      <c r="AI10762" t="str">
        <f>"9500103"</f>
        <v>9500103</v>
      </c>
      <c r="AJ10762" t="s">
        <v>14040</v>
      </c>
      <c r="AK10762">
        <v>2821090920</v>
      </c>
      <c r="AL10762" t="s">
        <v>14041</v>
      </c>
      <c r="AM10762" t="s">
        <v>88</v>
      </c>
      <c r="AN10762" t="s">
        <v>88</v>
      </c>
      <c r="AO10762" t="s">
        <v>6733</v>
      </c>
      <c r="AP10762" t="s">
        <v>6734</v>
      </c>
      <c r="AQ10762">
        <v>2</v>
      </c>
      <c r="AR10762" t="s">
        <v>89</v>
      </c>
      <c r="AS10762" t="s">
        <v>90</v>
      </c>
      <c r="AT10762" t="s">
        <v>58</v>
      </c>
      <c r="AU10762" t="s">
        <v>68</v>
      </c>
      <c r="AV10762" t="s">
        <v>69</v>
      </c>
      <c r="AW10762" s="1">
        <v>23189</v>
      </c>
      <c r="AX10762">
        <v>1</v>
      </c>
    </row>
    <row r="10763" spans="1:50">
      <c r="A10763">
        <v>562606</v>
      </c>
      <c r="B10763" t="str">
        <f>"031756893"</f>
        <v>031756893</v>
      </c>
      <c r="C10763" t="s">
        <v>50</v>
      </c>
      <c r="D10763" t="s">
        <v>8620</v>
      </c>
      <c r="E10763" t="s">
        <v>52</v>
      </c>
      <c r="F10763" t="s">
        <v>72</v>
      </c>
      <c r="G10763" t="s">
        <v>237</v>
      </c>
      <c r="H10763" t="str">
        <f>"ΚΑΛΙΤΣΟΥΝΑΚΗ 20 ΧΑΝΙΑ"</f>
        <v>ΚΑΛΙΤΣΟΥΝΑΚΗ 20 ΧΑΝΙΑ</v>
      </c>
      <c r="I10763">
        <v>73100</v>
      </c>
      <c r="J10763">
        <v>2821095536</v>
      </c>
      <c r="K10763">
        <v>6945873386</v>
      </c>
      <c r="N10763" t="s">
        <v>615</v>
      </c>
      <c r="O10763" t="s">
        <v>616</v>
      </c>
      <c r="R10763" t="s">
        <v>57</v>
      </c>
      <c r="S10763">
        <v>15</v>
      </c>
      <c r="T10763">
        <v>187</v>
      </c>
      <c r="U10763" s="1">
        <v>32750</v>
      </c>
      <c r="V10763" t="s">
        <v>89</v>
      </c>
      <c r="W10763" t="s">
        <v>90</v>
      </c>
      <c r="X10763" t="s">
        <v>58</v>
      </c>
      <c r="Y10763">
        <v>21</v>
      </c>
      <c r="Z10763" t="s">
        <v>59</v>
      </c>
      <c r="AA10763" t="s">
        <v>59</v>
      </c>
      <c r="AB10763" t="s">
        <v>59</v>
      </c>
      <c r="AC10763" t="s">
        <v>59</v>
      </c>
      <c r="AD10763" t="s">
        <v>59</v>
      </c>
      <c r="AF10763" s="1">
        <v>32750</v>
      </c>
      <c r="AG10763" t="s">
        <v>8645</v>
      </c>
      <c r="AH10763" t="s">
        <v>8646</v>
      </c>
      <c r="AI10763" t="str">
        <f>"9500137"</f>
        <v>9500137</v>
      </c>
      <c r="AJ10763" t="s">
        <v>14401</v>
      </c>
      <c r="AK10763">
        <v>2821093156</v>
      </c>
      <c r="AL10763" t="s">
        <v>14402</v>
      </c>
      <c r="AM10763" t="s">
        <v>88</v>
      </c>
      <c r="AN10763" t="s">
        <v>88</v>
      </c>
      <c r="AO10763" t="s">
        <v>88</v>
      </c>
      <c r="AP10763" t="s">
        <v>88</v>
      </c>
      <c r="AQ10763">
        <v>1</v>
      </c>
      <c r="AR10763" t="s">
        <v>89</v>
      </c>
      <c r="AS10763" t="s">
        <v>90</v>
      </c>
      <c r="AT10763" t="s">
        <v>58</v>
      </c>
      <c r="AU10763" t="s">
        <v>68</v>
      </c>
      <c r="AV10763" t="s">
        <v>69</v>
      </c>
      <c r="AW10763" s="1">
        <v>23933</v>
      </c>
      <c r="AX10763">
        <v>1</v>
      </c>
    </row>
    <row r="10764" spans="1:50">
      <c r="A10764">
        <v>587173</v>
      </c>
      <c r="B10764" t="str">
        <f>"113187558"</f>
        <v>113187558</v>
      </c>
      <c r="C10764" t="s">
        <v>50</v>
      </c>
      <c r="D10764" t="s">
        <v>113</v>
      </c>
      <c r="E10764" t="s">
        <v>263</v>
      </c>
      <c r="F10764" t="s">
        <v>2233</v>
      </c>
      <c r="G10764" t="s">
        <v>1189</v>
      </c>
      <c r="H10764" t="str">
        <f>"ΠΑΤΡΙΑΡΧΟΥ ΙΩΑΝΝΙΚΕΙΟΥ ΧΑΝΙΑ"</f>
        <v>ΠΑΤΡΙΑΡΧΟΥ ΙΩΑΝΝΙΚΕΙΟΥ ΧΑΝΙΑ</v>
      </c>
      <c r="I10764">
        <v>73131</v>
      </c>
      <c r="J10764">
        <v>2821075036</v>
      </c>
      <c r="K10764">
        <v>6973576180</v>
      </c>
      <c r="N10764" t="s">
        <v>1525</v>
      </c>
      <c r="O10764" t="s">
        <v>1526</v>
      </c>
      <c r="R10764" t="s">
        <v>57</v>
      </c>
      <c r="S10764">
        <v>11</v>
      </c>
      <c r="T10764">
        <v>165</v>
      </c>
      <c r="U10764" s="1">
        <v>36040</v>
      </c>
      <c r="V10764" t="s">
        <v>89</v>
      </c>
      <c r="W10764" t="s">
        <v>90</v>
      </c>
      <c r="X10764" t="s">
        <v>58</v>
      </c>
      <c r="Y10764">
        <v>25</v>
      </c>
      <c r="Z10764" t="s">
        <v>59</v>
      </c>
      <c r="AA10764" t="s">
        <v>59</v>
      </c>
      <c r="AB10764" t="s">
        <v>59</v>
      </c>
      <c r="AC10764" t="s">
        <v>59</v>
      </c>
      <c r="AD10764" t="s">
        <v>59</v>
      </c>
      <c r="AF10764" s="1">
        <v>36040</v>
      </c>
      <c r="AG10764" t="s">
        <v>8651</v>
      </c>
      <c r="AH10764" t="s">
        <v>8652</v>
      </c>
      <c r="AI10764" t="str">
        <f>"9500339"</f>
        <v>9500339</v>
      </c>
      <c r="AJ10764" t="s">
        <v>15245</v>
      </c>
      <c r="AK10764">
        <v>2821091660</v>
      </c>
      <c r="AL10764" t="s">
        <v>15246</v>
      </c>
      <c r="AM10764" t="s">
        <v>88</v>
      </c>
      <c r="AN10764" t="s">
        <v>88</v>
      </c>
      <c r="AO10764" t="s">
        <v>88</v>
      </c>
      <c r="AP10764" t="s">
        <v>88</v>
      </c>
      <c r="AQ10764">
        <v>1</v>
      </c>
      <c r="AR10764" t="s">
        <v>89</v>
      </c>
      <c r="AS10764" t="s">
        <v>90</v>
      </c>
      <c r="AT10764" t="s">
        <v>58</v>
      </c>
      <c r="AU10764" t="s">
        <v>68</v>
      </c>
      <c r="AV10764" t="s">
        <v>69</v>
      </c>
      <c r="AW10764" s="1">
        <v>24285</v>
      </c>
      <c r="AX10764">
        <v>1</v>
      </c>
    </row>
    <row r="10765" spans="1:50">
      <c r="B10765" t="str">
        <f>"152060187"</f>
        <v>152060187</v>
      </c>
      <c r="C10765" t="s">
        <v>50</v>
      </c>
      <c r="D10765" t="s">
        <v>15621</v>
      </c>
      <c r="E10765" t="s">
        <v>809</v>
      </c>
      <c r="F10765" t="s">
        <v>230</v>
      </c>
      <c r="G10765" t="s">
        <v>1204</v>
      </c>
      <c r="H10765" t="str">
        <f>"ΑΡΓΑΛΑΣΤΗ ΒΟΛΟΥ ΑΡΓΑΛΑΣΤΗ "</f>
        <v xml:space="preserve">ΑΡΓΑΛΑΣΤΗ ΒΟΛΟΥ ΑΡΓΑΛΑΣΤΗ </v>
      </c>
      <c r="I10765">
        <v>37006</v>
      </c>
      <c r="K10765">
        <v>6985822105</v>
      </c>
      <c r="M10765" t="s">
        <v>7567</v>
      </c>
      <c r="N10765" t="s">
        <v>8694</v>
      </c>
      <c r="O10765" t="s">
        <v>8695</v>
      </c>
      <c r="R10765" t="s">
        <v>159</v>
      </c>
      <c r="S10765">
        <v>2</v>
      </c>
      <c r="T10765" t="s">
        <v>8696</v>
      </c>
      <c r="U10765" s="1">
        <v>43348</v>
      </c>
      <c r="V10765" t="s">
        <v>89</v>
      </c>
      <c r="W10765" t="s">
        <v>90</v>
      </c>
      <c r="X10765" t="s">
        <v>58</v>
      </c>
      <c r="Y10765">
        <v>24</v>
      </c>
      <c r="Z10765" t="s">
        <v>59</v>
      </c>
      <c r="AA10765" t="s">
        <v>59</v>
      </c>
      <c r="AB10765" t="s">
        <v>59</v>
      </c>
      <c r="AC10765" t="s">
        <v>59</v>
      </c>
      <c r="AD10765" t="s">
        <v>59</v>
      </c>
      <c r="AF10765" s="1">
        <v>43348</v>
      </c>
      <c r="AG10765" t="s">
        <v>8645</v>
      </c>
      <c r="AH10765" t="s">
        <v>8697</v>
      </c>
      <c r="AI10765" t="str">
        <f>"9521567"</f>
        <v>9521567</v>
      </c>
      <c r="AJ10765" t="s">
        <v>14148</v>
      </c>
      <c r="AK10765">
        <v>2821086921</v>
      </c>
      <c r="AL10765" t="s">
        <v>14149</v>
      </c>
      <c r="AM10765" t="s">
        <v>88</v>
      </c>
      <c r="AN10765" t="s">
        <v>88</v>
      </c>
      <c r="AO10765" t="s">
        <v>88</v>
      </c>
      <c r="AP10765" t="s">
        <v>88</v>
      </c>
      <c r="AQ10765">
        <v>1</v>
      </c>
      <c r="AR10765" t="s">
        <v>89</v>
      </c>
      <c r="AS10765" t="s">
        <v>90</v>
      </c>
      <c r="AT10765" t="s">
        <v>58</v>
      </c>
      <c r="AU10765" t="s">
        <v>350</v>
      </c>
      <c r="AV10765" t="s">
        <v>132</v>
      </c>
      <c r="AW10765" s="1">
        <v>33101</v>
      </c>
      <c r="AX10765">
        <v>1</v>
      </c>
    </row>
    <row r="10766" spans="1:50">
      <c r="A10766">
        <v>574459</v>
      </c>
      <c r="B10766" t="str">
        <f>"113192440"</f>
        <v>113192440</v>
      </c>
      <c r="C10766" t="s">
        <v>50</v>
      </c>
      <c r="D10766" t="s">
        <v>15622</v>
      </c>
      <c r="E10766" t="s">
        <v>52</v>
      </c>
      <c r="F10766" t="s">
        <v>900</v>
      </c>
      <c r="G10766" t="s">
        <v>4345</v>
      </c>
      <c r="H10766" t="str">
        <f>"ΚΑΛΑΜΙΔΗ 8 ΧΑΝΙΑ"</f>
        <v>ΚΑΛΑΜΙΔΗ 8 ΧΑΝΙΑ</v>
      </c>
      <c r="I10766">
        <v>73134</v>
      </c>
      <c r="J10766">
        <v>2821042944</v>
      </c>
      <c r="K10766">
        <v>6942514799</v>
      </c>
      <c r="M10766" t="s">
        <v>15623</v>
      </c>
      <c r="N10766" t="s">
        <v>1525</v>
      </c>
      <c r="O10766" t="s">
        <v>1526</v>
      </c>
      <c r="R10766" t="s">
        <v>57</v>
      </c>
      <c r="S10766">
        <v>13</v>
      </c>
      <c r="T10766">
        <v>160</v>
      </c>
      <c r="U10766" s="1">
        <v>34582</v>
      </c>
      <c r="V10766" t="s">
        <v>89</v>
      </c>
      <c r="W10766" t="s">
        <v>90</v>
      </c>
      <c r="X10766" t="s">
        <v>58</v>
      </c>
      <c r="Y10766">
        <v>25</v>
      </c>
      <c r="Z10766" t="s">
        <v>59</v>
      </c>
      <c r="AA10766" t="s">
        <v>59</v>
      </c>
      <c r="AB10766" t="s">
        <v>59</v>
      </c>
      <c r="AC10766" t="s">
        <v>59</v>
      </c>
      <c r="AD10766" t="s">
        <v>59</v>
      </c>
      <c r="AF10766" s="1">
        <v>34582</v>
      </c>
      <c r="AG10766" t="s">
        <v>8651</v>
      </c>
      <c r="AH10766" t="s">
        <v>8652</v>
      </c>
      <c r="AI10766" t="str">
        <f>"9500371"</f>
        <v>9500371</v>
      </c>
      <c r="AJ10766" t="s">
        <v>14154</v>
      </c>
      <c r="AK10766">
        <v>2821092925</v>
      </c>
      <c r="AL10766" t="s">
        <v>14155</v>
      </c>
      <c r="AM10766" t="s">
        <v>88</v>
      </c>
      <c r="AN10766" t="s">
        <v>88</v>
      </c>
      <c r="AO10766" t="s">
        <v>6733</v>
      </c>
      <c r="AP10766" t="s">
        <v>6755</v>
      </c>
      <c r="AQ10766">
        <v>2</v>
      </c>
      <c r="AR10766" t="s">
        <v>89</v>
      </c>
      <c r="AS10766" t="s">
        <v>90</v>
      </c>
      <c r="AT10766" t="s">
        <v>58</v>
      </c>
      <c r="AU10766" t="s">
        <v>68</v>
      </c>
      <c r="AV10766" t="s">
        <v>69</v>
      </c>
      <c r="AW10766" s="1">
        <v>20551</v>
      </c>
      <c r="AX10766">
        <v>1</v>
      </c>
    </row>
    <row r="10767" spans="1:50">
      <c r="A10767">
        <v>700728</v>
      </c>
      <c r="B10767" t="str">
        <f>"136882656"</f>
        <v>136882656</v>
      </c>
      <c r="C10767" t="s">
        <v>50</v>
      </c>
      <c r="D10767" t="s">
        <v>4441</v>
      </c>
      <c r="E10767" t="s">
        <v>191</v>
      </c>
      <c r="F10767" t="s">
        <v>2233</v>
      </c>
      <c r="G10767" t="s">
        <v>710</v>
      </c>
      <c r="H10767" t="str">
        <f>"ΑΠΟΚΟΡΩΝΟΥ 144 ΧΑΝΙΑ"</f>
        <v>ΑΠΟΚΟΡΩΝΟΥ 144 ΧΑΝΙΑ</v>
      </c>
      <c r="I10767">
        <v>73100</v>
      </c>
      <c r="J10767">
        <v>2821088036</v>
      </c>
      <c r="K10767">
        <v>6976588058</v>
      </c>
      <c r="N10767" t="s">
        <v>615</v>
      </c>
      <c r="O10767" t="s">
        <v>616</v>
      </c>
      <c r="R10767" t="s">
        <v>57</v>
      </c>
      <c r="S10767">
        <v>4</v>
      </c>
      <c r="T10767">
        <v>772</v>
      </c>
      <c r="U10767" s="1">
        <v>40413</v>
      </c>
      <c r="V10767" t="s">
        <v>89</v>
      </c>
      <c r="W10767" t="s">
        <v>90</v>
      </c>
      <c r="X10767" t="s">
        <v>58</v>
      </c>
      <c r="Y10767">
        <v>24</v>
      </c>
      <c r="Z10767" t="s">
        <v>59</v>
      </c>
      <c r="AA10767" t="s">
        <v>59</v>
      </c>
      <c r="AB10767" t="s">
        <v>59</v>
      </c>
      <c r="AC10767" t="s">
        <v>59</v>
      </c>
      <c r="AD10767" t="s">
        <v>59</v>
      </c>
      <c r="AF10767" s="1">
        <v>40413</v>
      </c>
      <c r="AG10767" t="s">
        <v>8645</v>
      </c>
      <c r="AH10767" t="s">
        <v>8646</v>
      </c>
      <c r="AI10767" t="str">
        <f>"9500137"</f>
        <v>9500137</v>
      </c>
      <c r="AJ10767" t="s">
        <v>14401</v>
      </c>
      <c r="AK10767">
        <v>2821093156</v>
      </c>
      <c r="AL10767" t="s">
        <v>14402</v>
      </c>
      <c r="AM10767" t="s">
        <v>88</v>
      </c>
      <c r="AN10767" t="s">
        <v>88</v>
      </c>
      <c r="AO10767" t="s">
        <v>88</v>
      </c>
      <c r="AP10767" t="s">
        <v>88</v>
      </c>
      <c r="AQ10767">
        <v>1</v>
      </c>
      <c r="AR10767" t="s">
        <v>89</v>
      </c>
      <c r="AS10767" t="s">
        <v>90</v>
      </c>
      <c r="AT10767" t="s">
        <v>58</v>
      </c>
      <c r="AU10767" t="s">
        <v>68</v>
      </c>
      <c r="AV10767" t="s">
        <v>69</v>
      </c>
      <c r="AW10767" s="1">
        <v>31815</v>
      </c>
      <c r="AX10767">
        <v>1</v>
      </c>
    </row>
    <row r="10768" spans="1:50">
      <c r="A10768">
        <v>579744</v>
      </c>
      <c r="B10768" t="str">
        <f>"074490484"</f>
        <v>074490484</v>
      </c>
      <c r="C10768" t="s">
        <v>50</v>
      </c>
      <c r="D10768" t="s">
        <v>8625</v>
      </c>
      <c r="E10768" t="s">
        <v>620</v>
      </c>
      <c r="F10768" t="s">
        <v>99</v>
      </c>
      <c r="G10768" t="s">
        <v>742</v>
      </c>
      <c r="H10768" t="str">
        <f>"Σ.ΣΦΑΚΙΩΤΑΚΗ 8 ΧΑΝΙΑ"</f>
        <v>Σ.ΣΦΑΚΙΩΤΑΚΗ 8 ΧΑΝΙΑ</v>
      </c>
      <c r="I10768">
        <v>73134</v>
      </c>
      <c r="J10768">
        <v>2821056132</v>
      </c>
      <c r="K10768">
        <v>6973521286</v>
      </c>
      <c r="N10768" t="s">
        <v>615</v>
      </c>
      <c r="O10768" t="s">
        <v>616</v>
      </c>
      <c r="R10768" t="s">
        <v>57</v>
      </c>
      <c r="S10768">
        <v>11</v>
      </c>
      <c r="T10768">
        <v>165</v>
      </c>
      <c r="U10768" s="1">
        <v>35300</v>
      </c>
      <c r="V10768" t="s">
        <v>89</v>
      </c>
      <c r="W10768" t="s">
        <v>90</v>
      </c>
      <c r="X10768" t="s">
        <v>58</v>
      </c>
      <c r="Y10768">
        <v>21</v>
      </c>
      <c r="Z10768" t="s">
        <v>59</v>
      </c>
      <c r="AA10768" t="s">
        <v>59</v>
      </c>
      <c r="AB10768" t="s">
        <v>59</v>
      </c>
      <c r="AC10768" t="s">
        <v>59</v>
      </c>
      <c r="AD10768" t="s">
        <v>59</v>
      </c>
      <c r="AF10768" s="1">
        <v>35300</v>
      </c>
      <c r="AG10768" t="s">
        <v>8645</v>
      </c>
      <c r="AH10768" t="s">
        <v>8646</v>
      </c>
      <c r="AI10768" t="str">
        <f>"9500077"</f>
        <v>9500077</v>
      </c>
      <c r="AJ10768" t="s">
        <v>13903</v>
      </c>
      <c r="AK10768">
        <v>2821054404</v>
      </c>
      <c r="AL10768" t="s">
        <v>13904</v>
      </c>
      <c r="AM10768" t="s">
        <v>88</v>
      </c>
      <c r="AN10768" t="s">
        <v>88</v>
      </c>
      <c r="AO10768" t="s">
        <v>88</v>
      </c>
      <c r="AP10768" t="s">
        <v>88</v>
      </c>
      <c r="AQ10768">
        <v>1</v>
      </c>
      <c r="AR10768" t="s">
        <v>89</v>
      </c>
      <c r="AS10768" t="s">
        <v>90</v>
      </c>
      <c r="AT10768" t="s">
        <v>58</v>
      </c>
      <c r="AU10768" t="s">
        <v>68</v>
      </c>
      <c r="AV10768" t="s">
        <v>69</v>
      </c>
      <c r="AW10768" s="1">
        <v>24784</v>
      </c>
      <c r="AX10768">
        <v>1</v>
      </c>
    </row>
    <row r="10769" spans="1:50">
      <c r="A10769">
        <v>601198</v>
      </c>
      <c r="B10769" t="str">
        <f>"052485764"</f>
        <v>052485764</v>
      </c>
      <c r="C10769" t="s">
        <v>50</v>
      </c>
      <c r="D10769" t="s">
        <v>11848</v>
      </c>
      <c r="E10769" t="s">
        <v>155</v>
      </c>
      <c r="F10769" t="s">
        <v>510</v>
      </c>
      <c r="G10769" t="s">
        <v>237</v>
      </c>
      <c r="H10769" t="str">
        <f>"Μ. ΜΠΟΤΣΑΡΗ 84 ΛΑΜΙΑ"</f>
        <v>Μ. ΜΠΟΤΣΑΡΗ 84 ΛΑΜΙΑ</v>
      </c>
      <c r="I10769">
        <v>35100</v>
      </c>
      <c r="J10769">
        <v>2231027531</v>
      </c>
      <c r="K10769">
        <v>6945390988</v>
      </c>
      <c r="M10769" t="s">
        <v>15624</v>
      </c>
      <c r="N10769" t="s">
        <v>615</v>
      </c>
      <c r="O10769" t="s">
        <v>616</v>
      </c>
      <c r="R10769" t="s">
        <v>57</v>
      </c>
      <c r="S10769">
        <v>8</v>
      </c>
      <c r="T10769">
        <v>207</v>
      </c>
      <c r="U10769" s="1">
        <v>37866</v>
      </c>
      <c r="V10769" t="s">
        <v>89</v>
      </c>
      <c r="W10769" t="s">
        <v>90</v>
      </c>
      <c r="X10769" t="s">
        <v>58</v>
      </c>
      <c r="Y10769">
        <v>22</v>
      </c>
      <c r="Z10769" t="s">
        <v>59</v>
      </c>
      <c r="AA10769" t="s">
        <v>59</v>
      </c>
      <c r="AB10769" t="s">
        <v>59</v>
      </c>
      <c r="AC10769" t="s">
        <v>59</v>
      </c>
      <c r="AD10769" t="s">
        <v>59</v>
      </c>
      <c r="AF10769" s="1">
        <v>37866</v>
      </c>
      <c r="AG10769" t="s">
        <v>8645</v>
      </c>
      <c r="AH10769" t="s">
        <v>8646</v>
      </c>
      <c r="AI10769" t="str">
        <f>"9520693"</f>
        <v>9520693</v>
      </c>
      <c r="AJ10769" t="s">
        <v>13913</v>
      </c>
      <c r="AK10769">
        <v>2821066910</v>
      </c>
      <c r="AL10769" t="s">
        <v>13914</v>
      </c>
      <c r="AM10769" t="s">
        <v>88</v>
      </c>
      <c r="AN10769" t="s">
        <v>88</v>
      </c>
      <c r="AO10769" t="s">
        <v>6770</v>
      </c>
      <c r="AP10769" t="s">
        <v>6771</v>
      </c>
      <c r="AQ10769">
        <v>2</v>
      </c>
      <c r="AR10769" t="s">
        <v>89</v>
      </c>
      <c r="AS10769" t="s">
        <v>90</v>
      </c>
      <c r="AT10769" t="s">
        <v>58</v>
      </c>
      <c r="AU10769" t="s">
        <v>68</v>
      </c>
      <c r="AV10769" t="s">
        <v>69</v>
      </c>
      <c r="AW10769" s="1">
        <v>24618</v>
      </c>
      <c r="AX10769">
        <v>1</v>
      </c>
    </row>
    <row r="10770" spans="1:50">
      <c r="B10770" t="str">
        <f>"065883718"</f>
        <v>065883718</v>
      </c>
      <c r="C10770" t="s">
        <v>50</v>
      </c>
      <c r="D10770" t="s">
        <v>15625</v>
      </c>
      <c r="E10770" t="s">
        <v>255</v>
      </c>
      <c r="F10770" t="s">
        <v>53</v>
      </c>
      <c r="G10770" t="s">
        <v>52</v>
      </c>
      <c r="H10770" t="str">
        <f>"ΑΛΜΠΕΡΤ 2  ΧΑΝΙΑ"</f>
        <v>ΑΛΜΠΕΡΤ 2  ΧΑΝΙΑ</v>
      </c>
      <c r="I10770">
        <v>73132</v>
      </c>
      <c r="J10770">
        <v>2821028716</v>
      </c>
      <c r="K10770">
        <v>6978144567</v>
      </c>
      <c r="N10770" t="s">
        <v>384</v>
      </c>
      <c r="O10770" t="s">
        <v>385</v>
      </c>
      <c r="R10770" t="s">
        <v>57</v>
      </c>
      <c r="S10770">
        <v>4</v>
      </c>
      <c r="T10770" t="s">
        <v>8675</v>
      </c>
      <c r="U10770" s="1">
        <v>43348</v>
      </c>
      <c r="V10770" t="s">
        <v>89</v>
      </c>
      <c r="W10770" t="s">
        <v>90</v>
      </c>
      <c r="X10770" t="s">
        <v>58</v>
      </c>
      <c r="Y10770">
        <v>24</v>
      </c>
      <c r="Z10770" t="s">
        <v>59</v>
      </c>
      <c r="AA10770" t="s">
        <v>59</v>
      </c>
      <c r="AB10770" t="s">
        <v>59</v>
      </c>
      <c r="AC10770" t="s">
        <v>59</v>
      </c>
      <c r="AD10770" t="s">
        <v>59</v>
      </c>
      <c r="AF10770" s="1">
        <v>43348</v>
      </c>
      <c r="AG10770" t="s">
        <v>8645</v>
      </c>
      <c r="AH10770" t="s">
        <v>8646</v>
      </c>
      <c r="AI10770" t="str">
        <f>"9500078"</f>
        <v>9500078</v>
      </c>
      <c r="AJ10770" t="s">
        <v>13988</v>
      </c>
      <c r="AK10770">
        <v>2821028788</v>
      </c>
      <c r="AL10770" t="s">
        <v>13989</v>
      </c>
      <c r="AM10770" t="s">
        <v>88</v>
      </c>
      <c r="AN10770" t="s">
        <v>88</v>
      </c>
      <c r="AO10770" t="s">
        <v>88</v>
      </c>
      <c r="AP10770" t="s">
        <v>88</v>
      </c>
      <c r="AQ10770">
        <v>1</v>
      </c>
      <c r="AR10770" t="s">
        <v>89</v>
      </c>
      <c r="AS10770" t="s">
        <v>90</v>
      </c>
      <c r="AT10770" t="s">
        <v>58</v>
      </c>
      <c r="AU10770" t="s">
        <v>8673</v>
      </c>
      <c r="AV10770" t="s">
        <v>132</v>
      </c>
      <c r="AW10770" s="1">
        <v>26821</v>
      </c>
      <c r="AX10770">
        <v>1</v>
      </c>
    </row>
    <row r="10771" spans="1:50">
      <c r="A10771">
        <v>587517</v>
      </c>
      <c r="B10771" t="str">
        <f>"051029355"</f>
        <v>051029355</v>
      </c>
      <c r="C10771" t="s">
        <v>105</v>
      </c>
      <c r="D10771" t="s">
        <v>15626</v>
      </c>
      <c r="E10771" t="s">
        <v>496</v>
      </c>
      <c r="F10771" t="s">
        <v>383</v>
      </c>
      <c r="G10771" t="s">
        <v>109</v>
      </c>
      <c r="H10771" t="str">
        <f>"Σ. ΦΙΩΤΑΚΗ 23 ΧΑΝΙΑ"</f>
        <v>Σ. ΦΙΩΤΑΚΗ 23 ΧΑΝΙΑ</v>
      </c>
      <c r="I10771">
        <v>73134</v>
      </c>
      <c r="K10771">
        <v>6932989979</v>
      </c>
      <c r="N10771" t="s">
        <v>176</v>
      </c>
      <c r="O10771" t="s">
        <v>177</v>
      </c>
      <c r="R10771" t="s">
        <v>57</v>
      </c>
      <c r="S10771">
        <v>11</v>
      </c>
      <c r="T10771">
        <v>164</v>
      </c>
      <c r="U10771" s="1">
        <v>36040</v>
      </c>
      <c r="V10771" t="s">
        <v>89</v>
      </c>
      <c r="W10771" t="s">
        <v>90</v>
      </c>
      <c r="X10771" t="s">
        <v>58</v>
      </c>
      <c r="Y10771">
        <v>21</v>
      </c>
      <c r="Z10771" t="s">
        <v>59</v>
      </c>
      <c r="AA10771" t="s">
        <v>59</v>
      </c>
      <c r="AB10771" t="s">
        <v>59</v>
      </c>
      <c r="AC10771" t="s">
        <v>59</v>
      </c>
      <c r="AD10771" t="s">
        <v>59</v>
      </c>
      <c r="AF10771" s="1">
        <v>36040</v>
      </c>
      <c r="AG10771" t="s">
        <v>8645</v>
      </c>
      <c r="AH10771" t="s">
        <v>8646</v>
      </c>
      <c r="AI10771" t="str">
        <f>"9500139"</f>
        <v>9500139</v>
      </c>
      <c r="AJ10771" t="s">
        <v>14050</v>
      </c>
      <c r="AK10771">
        <v>2821096819</v>
      </c>
      <c r="AL10771" t="s">
        <v>14051</v>
      </c>
      <c r="AM10771" t="s">
        <v>88</v>
      </c>
      <c r="AN10771" t="s">
        <v>88</v>
      </c>
      <c r="AO10771" t="s">
        <v>88</v>
      </c>
      <c r="AP10771" t="s">
        <v>88</v>
      </c>
      <c r="AQ10771">
        <v>1</v>
      </c>
      <c r="AR10771" t="s">
        <v>89</v>
      </c>
      <c r="AS10771" t="s">
        <v>90</v>
      </c>
      <c r="AT10771" t="s">
        <v>58</v>
      </c>
      <c r="AU10771" t="s">
        <v>68</v>
      </c>
      <c r="AV10771" t="s">
        <v>69</v>
      </c>
      <c r="AW10771" s="1">
        <v>23651</v>
      </c>
      <c r="AX10771">
        <v>1</v>
      </c>
    </row>
    <row r="10772" spans="1:50">
      <c r="A10772">
        <v>557454</v>
      </c>
      <c r="B10772" t="str">
        <f>"028726540"</f>
        <v>028726540</v>
      </c>
      <c r="C10772" t="s">
        <v>50</v>
      </c>
      <c r="D10772" t="s">
        <v>4449</v>
      </c>
      <c r="E10772" t="s">
        <v>964</v>
      </c>
      <c r="F10772" t="s">
        <v>15627</v>
      </c>
      <c r="G10772" t="s">
        <v>396</v>
      </c>
      <c r="H10772" t="str">
        <f>"1η ΠΑΡΟΔΟΣ ΑΓ ΦΑΝΟΥΡΙΟΥ  ΚΑΛΑΜΑΚΙ ΧΑΝΙΑ"</f>
        <v>1η ΠΑΡΟΔΟΣ ΑΓ ΦΑΝΟΥΡΙΟΥ  ΚΑΛΑΜΑΚΙ ΧΑΝΙΑ</v>
      </c>
      <c r="I10772">
        <v>73110</v>
      </c>
      <c r="J10772">
        <v>2821029834</v>
      </c>
      <c r="K10772">
        <v>6972226944</v>
      </c>
      <c r="M10772" t="s">
        <v>15628</v>
      </c>
      <c r="N10772" t="s">
        <v>615</v>
      </c>
      <c r="O10772" t="s">
        <v>616</v>
      </c>
      <c r="R10772" t="s">
        <v>57</v>
      </c>
      <c r="S10772">
        <v>16</v>
      </c>
      <c r="T10772">
        <v>168</v>
      </c>
      <c r="U10772" s="1">
        <v>32010</v>
      </c>
      <c r="V10772" t="s">
        <v>89</v>
      </c>
      <c r="W10772" t="s">
        <v>90</v>
      </c>
      <c r="X10772" t="s">
        <v>58</v>
      </c>
      <c r="Y10772">
        <v>21</v>
      </c>
      <c r="Z10772" t="s">
        <v>59</v>
      </c>
      <c r="AA10772" t="s">
        <v>59</v>
      </c>
      <c r="AB10772" t="s">
        <v>59</v>
      </c>
      <c r="AC10772" t="s">
        <v>59</v>
      </c>
      <c r="AD10772" t="s">
        <v>59</v>
      </c>
      <c r="AF10772" s="1">
        <v>32010</v>
      </c>
      <c r="AG10772" t="s">
        <v>8645</v>
      </c>
      <c r="AH10772" t="s">
        <v>8646</v>
      </c>
      <c r="AI10772" t="str">
        <f>"9500144"</f>
        <v>9500144</v>
      </c>
      <c r="AJ10772" t="s">
        <v>14010</v>
      </c>
      <c r="AK10772">
        <v>2821094171</v>
      </c>
      <c r="AL10772" t="s">
        <v>14011</v>
      </c>
      <c r="AM10772" t="s">
        <v>88</v>
      </c>
      <c r="AN10772" t="s">
        <v>88</v>
      </c>
      <c r="AO10772" t="s">
        <v>88</v>
      </c>
      <c r="AP10772" t="s">
        <v>88</v>
      </c>
      <c r="AQ10772">
        <v>1</v>
      </c>
      <c r="AR10772" t="s">
        <v>89</v>
      </c>
      <c r="AS10772" t="s">
        <v>90</v>
      </c>
      <c r="AT10772" t="s">
        <v>58</v>
      </c>
      <c r="AU10772" t="s">
        <v>68</v>
      </c>
      <c r="AV10772" t="s">
        <v>69</v>
      </c>
      <c r="AW10772" s="1">
        <v>21079</v>
      </c>
      <c r="AX10772">
        <v>1</v>
      </c>
    </row>
    <row r="10773" spans="1:50">
      <c r="B10773" t="str">
        <f>"142666269"</f>
        <v>142666269</v>
      </c>
      <c r="C10773" t="s">
        <v>50</v>
      </c>
      <c r="D10773" t="s">
        <v>11853</v>
      </c>
      <c r="E10773" t="s">
        <v>3174</v>
      </c>
      <c r="F10773" t="s">
        <v>2320</v>
      </c>
      <c r="G10773" t="s">
        <v>340</v>
      </c>
      <c r="H10773" t="str">
        <f>"ΔΗΜ. ΜΑΡΟΥΛΗ 16 "</f>
        <v xml:space="preserve">ΔΗΜ. ΜΑΡΟΥΛΗ 16 </v>
      </c>
      <c r="I10773">
        <v>62122</v>
      </c>
      <c r="J10773">
        <v>2321053979</v>
      </c>
      <c r="K10773">
        <v>6946186686</v>
      </c>
      <c r="N10773" t="s">
        <v>615</v>
      </c>
      <c r="O10773" t="s">
        <v>616</v>
      </c>
      <c r="R10773" t="s">
        <v>159</v>
      </c>
      <c r="S10773">
        <v>3</v>
      </c>
      <c r="T10773" t="s">
        <v>8675</v>
      </c>
      <c r="U10773" s="1">
        <v>43348</v>
      </c>
      <c r="V10773" t="s">
        <v>89</v>
      </c>
      <c r="W10773" t="s">
        <v>90</v>
      </c>
      <c r="X10773" t="s">
        <v>58</v>
      </c>
      <c r="Y10773">
        <v>24</v>
      </c>
      <c r="Z10773" t="s">
        <v>59</v>
      </c>
      <c r="AA10773" t="s">
        <v>59</v>
      </c>
      <c r="AB10773" t="s">
        <v>59</v>
      </c>
      <c r="AC10773" t="s">
        <v>59</v>
      </c>
      <c r="AD10773" t="s">
        <v>59</v>
      </c>
      <c r="AF10773" s="1">
        <v>43348</v>
      </c>
      <c r="AG10773" t="s">
        <v>8645</v>
      </c>
      <c r="AH10773" t="s">
        <v>8646</v>
      </c>
      <c r="AI10773" t="str">
        <f>"9500148"</f>
        <v>9500148</v>
      </c>
      <c r="AJ10773" t="s">
        <v>13851</v>
      </c>
      <c r="AK10773">
        <v>2821068328</v>
      </c>
      <c r="AL10773" t="s">
        <v>13852</v>
      </c>
      <c r="AM10773" t="s">
        <v>88</v>
      </c>
      <c r="AN10773" t="s">
        <v>88</v>
      </c>
      <c r="AO10773" t="s">
        <v>6785</v>
      </c>
      <c r="AP10773" t="s">
        <v>13853</v>
      </c>
      <c r="AQ10773">
        <v>3</v>
      </c>
      <c r="AR10773" t="s">
        <v>89</v>
      </c>
      <c r="AS10773" t="s">
        <v>90</v>
      </c>
      <c r="AT10773" t="s">
        <v>58</v>
      </c>
      <c r="AU10773" t="s">
        <v>8673</v>
      </c>
      <c r="AV10773" t="s">
        <v>132</v>
      </c>
      <c r="AW10773" s="1">
        <v>31917</v>
      </c>
      <c r="AX10773">
        <v>1</v>
      </c>
    </row>
    <row r="10774" spans="1:50">
      <c r="A10774">
        <v>563132</v>
      </c>
      <c r="B10774" t="str">
        <f>"030629009"</f>
        <v>030629009</v>
      </c>
      <c r="C10774" t="s">
        <v>50</v>
      </c>
      <c r="D10774" t="s">
        <v>11853</v>
      </c>
      <c r="E10774" t="s">
        <v>15629</v>
      </c>
      <c r="F10774" t="s">
        <v>15630</v>
      </c>
      <c r="G10774" t="s">
        <v>10596</v>
      </c>
      <c r="H10774" t="str">
        <f>" "</f>
        <v xml:space="preserve"> </v>
      </c>
      <c r="N10774" t="s">
        <v>1525</v>
      </c>
      <c r="O10774" t="s">
        <v>1526</v>
      </c>
      <c r="R10774" t="s">
        <v>57</v>
      </c>
      <c r="S10774">
        <v>17</v>
      </c>
      <c r="T10774">
        <v>187</v>
      </c>
      <c r="U10774" s="1">
        <v>32750</v>
      </c>
      <c r="V10774" t="s">
        <v>89</v>
      </c>
      <c r="W10774" t="s">
        <v>90</v>
      </c>
      <c r="X10774" t="s">
        <v>58</v>
      </c>
      <c r="Y10774">
        <v>25</v>
      </c>
      <c r="Z10774" t="s">
        <v>59</v>
      </c>
      <c r="AA10774" t="s">
        <v>59</v>
      </c>
      <c r="AB10774" t="s">
        <v>59</v>
      </c>
      <c r="AC10774" t="s">
        <v>59</v>
      </c>
      <c r="AD10774" t="s">
        <v>59</v>
      </c>
      <c r="AF10774" s="1">
        <v>32750</v>
      </c>
      <c r="AG10774" t="s">
        <v>8651</v>
      </c>
      <c r="AH10774" t="s">
        <v>8652</v>
      </c>
      <c r="AI10774" t="str">
        <f>"9500145"</f>
        <v>9500145</v>
      </c>
      <c r="AJ10774" t="s">
        <v>14120</v>
      </c>
      <c r="AK10774">
        <v>2821072991</v>
      </c>
      <c r="AL10774" t="s">
        <v>14121</v>
      </c>
      <c r="AM10774" t="s">
        <v>88</v>
      </c>
      <c r="AN10774" t="s">
        <v>88</v>
      </c>
      <c r="AO10774" t="s">
        <v>88</v>
      </c>
      <c r="AP10774" t="s">
        <v>88</v>
      </c>
      <c r="AQ10774">
        <v>1</v>
      </c>
      <c r="AR10774" t="s">
        <v>89</v>
      </c>
      <c r="AS10774" t="s">
        <v>90</v>
      </c>
      <c r="AT10774" t="s">
        <v>58</v>
      </c>
      <c r="AU10774" t="s">
        <v>68</v>
      </c>
      <c r="AV10774" t="s">
        <v>69</v>
      </c>
      <c r="AW10774" s="1">
        <v>23503</v>
      </c>
      <c r="AX10774">
        <v>1</v>
      </c>
    </row>
    <row r="10775" spans="1:50">
      <c r="A10775">
        <v>620673</v>
      </c>
      <c r="B10775" t="str">
        <f>"136318295"</f>
        <v>136318295</v>
      </c>
      <c r="C10775" t="s">
        <v>50</v>
      </c>
      <c r="D10775" t="s">
        <v>11853</v>
      </c>
      <c r="E10775" t="s">
        <v>460</v>
      </c>
      <c r="F10775" t="s">
        <v>10258</v>
      </c>
      <c r="G10775" t="s">
        <v>340</v>
      </c>
      <c r="H10775" t="str">
        <f>"ΔΗΜ. ΜΑΡΟΥΛΗ 16 ΣΕΡΡΕΣ"</f>
        <v>ΔΗΜ. ΜΑΡΟΥΛΗ 16 ΣΕΡΡΕΣ</v>
      </c>
      <c r="I10775">
        <v>62122</v>
      </c>
      <c r="J10775">
        <v>2321053979</v>
      </c>
      <c r="K10775">
        <v>6955806986</v>
      </c>
      <c r="N10775" t="s">
        <v>615</v>
      </c>
      <c r="O10775" t="s">
        <v>616</v>
      </c>
      <c r="R10775" t="s">
        <v>57</v>
      </c>
      <c r="S10775">
        <v>5</v>
      </c>
      <c r="T10775">
        <v>653</v>
      </c>
      <c r="U10775" s="1">
        <v>40043</v>
      </c>
      <c r="V10775" t="s">
        <v>89</v>
      </c>
      <c r="W10775" t="s">
        <v>90</v>
      </c>
      <c r="X10775" t="s">
        <v>58</v>
      </c>
      <c r="Y10775">
        <v>23</v>
      </c>
      <c r="Z10775" t="s">
        <v>59</v>
      </c>
      <c r="AA10775" t="s">
        <v>59</v>
      </c>
      <c r="AB10775" t="s">
        <v>59</v>
      </c>
      <c r="AC10775" t="s">
        <v>59</v>
      </c>
      <c r="AD10775" t="s">
        <v>59</v>
      </c>
      <c r="AF10775" s="1">
        <v>40043</v>
      </c>
      <c r="AG10775" t="s">
        <v>8645</v>
      </c>
      <c r="AH10775" t="s">
        <v>8646</v>
      </c>
      <c r="AI10775" t="str">
        <f>"9500408"</f>
        <v>9500408</v>
      </c>
      <c r="AJ10775" t="s">
        <v>13981</v>
      </c>
      <c r="AK10775">
        <v>2821081655</v>
      </c>
      <c r="AL10775" t="s">
        <v>13982</v>
      </c>
      <c r="AM10775" t="s">
        <v>88</v>
      </c>
      <c r="AN10775" t="s">
        <v>88</v>
      </c>
      <c r="AO10775" t="s">
        <v>6748</v>
      </c>
      <c r="AP10775" t="s">
        <v>6748</v>
      </c>
      <c r="AQ10775">
        <v>2</v>
      </c>
      <c r="AR10775" t="s">
        <v>89</v>
      </c>
      <c r="AS10775" t="s">
        <v>90</v>
      </c>
      <c r="AT10775" t="s">
        <v>58</v>
      </c>
      <c r="AU10775" t="s">
        <v>68</v>
      </c>
      <c r="AV10775" t="s">
        <v>69</v>
      </c>
      <c r="AW10775" s="1">
        <v>31276</v>
      </c>
      <c r="AX10775">
        <v>1</v>
      </c>
    </row>
    <row r="10776" spans="1:50">
      <c r="B10776" t="str">
        <f>"132238279"</f>
        <v>132238279</v>
      </c>
      <c r="C10776" t="s">
        <v>50</v>
      </c>
      <c r="D10776" t="s">
        <v>15631</v>
      </c>
      <c r="E10776" t="s">
        <v>109</v>
      </c>
      <c r="F10776" t="s">
        <v>72</v>
      </c>
      <c r="G10776" t="s">
        <v>809</v>
      </c>
      <c r="H10776" t="str">
        <f>"Εφέδρων Πολεμιστών 166 Χανιά"</f>
        <v>Εφέδρων Πολεμιστών 166 Χανιά</v>
      </c>
      <c r="I10776">
        <v>73136</v>
      </c>
      <c r="J10776">
        <v>2821088119</v>
      </c>
      <c r="K10776">
        <v>6973438325</v>
      </c>
      <c r="M10776" t="s">
        <v>15632</v>
      </c>
      <c r="N10776" t="s">
        <v>1525</v>
      </c>
      <c r="O10776" t="s">
        <v>1526</v>
      </c>
      <c r="R10776" t="s">
        <v>159</v>
      </c>
      <c r="S10776">
        <v>5</v>
      </c>
      <c r="T10776" t="s">
        <v>8670</v>
      </c>
      <c r="U10776" s="1">
        <v>43348</v>
      </c>
      <c r="V10776" t="s">
        <v>89</v>
      </c>
      <c r="W10776" t="s">
        <v>90</v>
      </c>
      <c r="X10776" t="s">
        <v>58</v>
      </c>
      <c r="Y10776">
        <v>25</v>
      </c>
      <c r="Z10776" t="s">
        <v>59</v>
      </c>
      <c r="AA10776" t="s">
        <v>59</v>
      </c>
      <c r="AB10776" t="s">
        <v>59</v>
      </c>
      <c r="AC10776" t="s">
        <v>59</v>
      </c>
      <c r="AD10776" t="s">
        <v>59</v>
      </c>
      <c r="AF10776" s="1">
        <v>43348</v>
      </c>
      <c r="AG10776" t="s">
        <v>8651</v>
      </c>
      <c r="AH10776" t="s">
        <v>8652</v>
      </c>
      <c r="AI10776" t="str">
        <f>"9500344"</f>
        <v>9500344</v>
      </c>
      <c r="AJ10776" t="s">
        <v>14972</v>
      </c>
      <c r="AK10776">
        <v>2821095241</v>
      </c>
      <c r="AL10776" t="s">
        <v>14973</v>
      </c>
      <c r="AM10776" t="s">
        <v>88</v>
      </c>
      <c r="AN10776" t="s">
        <v>88</v>
      </c>
      <c r="AO10776" t="s">
        <v>6733</v>
      </c>
      <c r="AP10776" t="s">
        <v>6734</v>
      </c>
      <c r="AQ10776">
        <v>2</v>
      </c>
      <c r="AR10776" t="s">
        <v>89</v>
      </c>
      <c r="AS10776" t="s">
        <v>90</v>
      </c>
      <c r="AT10776" t="s">
        <v>58</v>
      </c>
      <c r="AU10776" t="s">
        <v>8673</v>
      </c>
      <c r="AV10776" t="s">
        <v>132</v>
      </c>
      <c r="AW10776" s="1">
        <v>31126</v>
      </c>
      <c r="AX10776">
        <v>1</v>
      </c>
    </row>
    <row r="10777" spans="1:50">
      <c r="A10777">
        <v>612041</v>
      </c>
      <c r="B10777" t="str">
        <f>"112354540"</f>
        <v>112354540</v>
      </c>
      <c r="C10777" t="s">
        <v>50</v>
      </c>
      <c r="D10777" t="s">
        <v>11858</v>
      </c>
      <c r="E10777" t="s">
        <v>237</v>
      </c>
      <c r="F10777" t="s">
        <v>72</v>
      </c>
      <c r="G10777" t="s">
        <v>52</v>
      </c>
      <c r="H10777" t="str">
        <f>"ΠΑΛΙΑΛΩΝΩΝ 6 ΧΑΝΙΑ ΑΡΩΝΙ"</f>
        <v>ΠΑΛΙΑΛΩΝΩΝ 6 ΧΑΝΙΑ ΑΡΩΝΙ</v>
      </c>
      <c r="I10777">
        <v>73100</v>
      </c>
      <c r="J10777">
        <v>2821063607</v>
      </c>
      <c r="K10777">
        <v>6974822564</v>
      </c>
      <c r="N10777" t="s">
        <v>306</v>
      </c>
      <c r="O10777" t="s">
        <v>307</v>
      </c>
      <c r="R10777" t="s">
        <v>57</v>
      </c>
      <c r="S10777">
        <v>6</v>
      </c>
      <c r="T10777">
        <v>234</v>
      </c>
      <c r="U10777" s="1">
        <v>38960</v>
      </c>
      <c r="V10777" t="s">
        <v>89</v>
      </c>
      <c r="W10777" t="s">
        <v>90</v>
      </c>
      <c r="X10777" t="s">
        <v>58</v>
      </c>
      <c r="Y10777">
        <v>23</v>
      </c>
      <c r="Z10777" t="s">
        <v>59</v>
      </c>
      <c r="AA10777" t="s">
        <v>59</v>
      </c>
      <c r="AB10777" t="s">
        <v>59</v>
      </c>
      <c r="AC10777" t="s">
        <v>59</v>
      </c>
      <c r="AD10777" t="s">
        <v>59</v>
      </c>
      <c r="AF10777" s="1">
        <v>38960</v>
      </c>
      <c r="AG10777" t="s">
        <v>8645</v>
      </c>
      <c r="AH10777" t="s">
        <v>8646</v>
      </c>
      <c r="AI10777" t="str">
        <f>"9500083"</f>
        <v>9500083</v>
      </c>
      <c r="AJ10777" t="s">
        <v>14239</v>
      </c>
      <c r="AK10777">
        <v>2821063500</v>
      </c>
      <c r="AL10777" t="s">
        <v>14240</v>
      </c>
      <c r="AM10777" t="s">
        <v>88</v>
      </c>
      <c r="AN10777" t="s">
        <v>88</v>
      </c>
      <c r="AO10777" t="s">
        <v>6770</v>
      </c>
      <c r="AP10777" t="s">
        <v>14090</v>
      </c>
      <c r="AQ10777">
        <v>2</v>
      </c>
      <c r="AR10777" t="s">
        <v>89</v>
      </c>
      <c r="AS10777" t="s">
        <v>90</v>
      </c>
      <c r="AT10777" t="s">
        <v>58</v>
      </c>
      <c r="AU10777" t="s">
        <v>68</v>
      </c>
      <c r="AV10777" t="s">
        <v>69</v>
      </c>
      <c r="AW10777" s="1">
        <v>27452</v>
      </c>
      <c r="AX10777">
        <v>1</v>
      </c>
    </row>
    <row r="10778" spans="1:50">
      <c r="A10778">
        <v>618708</v>
      </c>
      <c r="B10778" t="str">
        <f>"063884130"</f>
        <v>063884130</v>
      </c>
      <c r="C10778" t="s">
        <v>50</v>
      </c>
      <c r="D10778" t="s">
        <v>11864</v>
      </c>
      <c r="E10778" t="s">
        <v>181</v>
      </c>
      <c r="F10778" t="s">
        <v>166</v>
      </c>
      <c r="G10778" t="s">
        <v>250</v>
      </c>
      <c r="H10778" t="str">
        <f>"ΓΙΑΝΝΟΥΔΟΒΑΡΔΗ 27 ΚΙΣΑΜΟΣ"</f>
        <v>ΓΙΑΝΝΟΥΔΟΒΑΡΔΗ 27 ΚΙΣΑΜΟΣ</v>
      </c>
      <c r="I10778">
        <v>73400</v>
      </c>
      <c r="J10778">
        <v>2822023271</v>
      </c>
      <c r="K10778">
        <v>6973382137</v>
      </c>
      <c r="N10778" t="s">
        <v>615</v>
      </c>
      <c r="O10778" t="s">
        <v>616</v>
      </c>
      <c r="R10778" t="s">
        <v>57</v>
      </c>
      <c r="S10778">
        <v>5</v>
      </c>
      <c r="T10778">
        <v>774</v>
      </c>
      <c r="U10778" s="1">
        <v>39680</v>
      </c>
      <c r="V10778" t="s">
        <v>89</v>
      </c>
      <c r="W10778" t="s">
        <v>90</v>
      </c>
      <c r="X10778" t="s">
        <v>58</v>
      </c>
      <c r="Y10778">
        <v>23</v>
      </c>
      <c r="Z10778" t="s">
        <v>59</v>
      </c>
      <c r="AA10778" t="s">
        <v>59</v>
      </c>
      <c r="AB10778" t="s">
        <v>59</v>
      </c>
      <c r="AC10778" t="s">
        <v>59</v>
      </c>
      <c r="AD10778" t="s">
        <v>59</v>
      </c>
      <c r="AF10778" s="1">
        <v>39681</v>
      </c>
      <c r="AG10778" t="s">
        <v>8645</v>
      </c>
      <c r="AH10778" t="s">
        <v>8646</v>
      </c>
      <c r="AI10778" t="str">
        <f>"9500374"</f>
        <v>9500374</v>
      </c>
      <c r="AJ10778" t="s">
        <v>14529</v>
      </c>
      <c r="AK10778">
        <v>2822023194</v>
      </c>
      <c r="AL10778" t="s">
        <v>14530</v>
      </c>
      <c r="AM10778" t="s">
        <v>88</v>
      </c>
      <c r="AN10778" t="s">
        <v>6744</v>
      </c>
      <c r="AO10778" t="s">
        <v>6744</v>
      </c>
      <c r="AP10778" t="s">
        <v>6744</v>
      </c>
      <c r="AQ10778">
        <v>9</v>
      </c>
      <c r="AR10778" t="s">
        <v>89</v>
      </c>
      <c r="AS10778" t="s">
        <v>90</v>
      </c>
      <c r="AT10778" t="s">
        <v>58</v>
      </c>
      <c r="AU10778" t="s">
        <v>68</v>
      </c>
      <c r="AV10778" t="s">
        <v>69</v>
      </c>
      <c r="AW10778" s="1">
        <v>30890</v>
      </c>
      <c r="AX10778">
        <v>1</v>
      </c>
    </row>
    <row r="10779" spans="1:50">
      <c r="A10779">
        <v>622784</v>
      </c>
      <c r="B10779" t="str">
        <f>"110884010"</f>
        <v>110884010</v>
      </c>
      <c r="C10779" t="s">
        <v>50</v>
      </c>
      <c r="D10779" t="s">
        <v>15633</v>
      </c>
      <c r="E10779" t="s">
        <v>326</v>
      </c>
      <c r="F10779" t="s">
        <v>95</v>
      </c>
      <c r="G10779" t="s">
        <v>964</v>
      </c>
      <c r="H10779" t="str">
        <f>"ΚΑΣΤΕΛΙ ΚΙΣΣΑΜΟΥ ΚΑΣΤΕΛΛΙ"</f>
        <v>ΚΑΣΤΕΛΙ ΚΙΣΣΑΜΟΥ ΚΑΣΤΕΛΛΙ</v>
      </c>
      <c r="I10779">
        <v>73400</v>
      </c>
      <c r="J10779">
        <v>2822041305</v>
      </c>
      <c r="K10779">
        <v>6976636166</v>
      </c>
      <c r="N10779" t="s">
        <v>1525</v>
      </c>
      <c r="O10779" t="s">
        <v>1526</v>
      </c>
      <c r="R10779" t="s">
        <v>57</v>
      </c>
      <c r="S10779">
        <v>4</v>
      </c>
      <c r="T10779">
        <v>653</v>
      </c>
      <c r="U10779" s="1">
        <v>40043</v>
      </c>
      <c r="V10779" t="s">
        <v>89</v>
      </c>
      <c r="W10779" t="s">
        <v>90</v>
      </c>
      <c r="X10779" t="s">
        <v>58</v>
      </c>
      <c r="Y10779">
        <v>25</v>
      </c>
      <c r="Z10779" t="s">
        <v>59</v>
      </c>
      <c r="AA10779" t="s">
        <v>59</v>
      </c>
      <c r="AB10779" t="s">
        <v>59</v>
      </c>
      <c r="AC10779" t="s">
        <v>59</v>
      </c>
      <c r="AD10779" t="s">
        <v>59</v>
      </c>
      <c r="AF10779" s="1">
        <v>40044</v>
      </c>
      <c r="AG10779" t="s">
        <v>8651</v>
      </c>
      <c r="AH10779" t="s">
        <v>8652</v>
      </c>
      <c r="AI10779" t="str">
        <f>"9500192"</f>
        <v>9500192</v>
      </c>
      <c r="AJ10779" t="s">
        <v>14503</v>
      </c>
      <c r="AK10779">
        <v>2822023376</v>
      </c>
      <c r="AL10779" t="s">
        <v>14504</v>
      </c>
      <c r="AM10779" t="s">
        <v>88</v>
      </c>
      <c r="AN10779" t="s">
        <v>6744</v>
      </c>
      <c r="AO10779" t="s">
        <v>6744</v>
      </c>
      <c r="AP10779" t="s">
        <v>6744</v>
      </c>
      <c r="AQ10779">
        <v>9</v>
      </c>
      <c r="AR10779" t="s">
        <v>89</v>
      </c>
      <c r="AS10779" t="s">
        <v>90</v>
      </c>
      <c r="AT10779" t="s">
        <v>58</v>
      </c>
      <c r="AU10779" t="s">
        <v>68</v>
      </c>
      <c r="AV10779" t="s">
        <v>69</v>
      </c>
      <c r="AW10779" s="1">
        <v>29582</v>
      </c>
      <c r="AX10779">
        <v>1</v>
      </c>
    </row>
    <row r="10780" spans="1:50">
      <c r="A10780">
        <v>571746</v>
      </c>
      <c r="B10780" t="str">
        <f>"035776533"</f>
        <v>035776533</v>
      </c>
      <c r="C10780" t="s">
        <v>105</v>
      </c>
      <c r="D10780" t="s">
        <v>15634</v>
      </c>
      <c r="E10780" t="s">
        <v>1705</v>
      </c>
      <c r="F10780" t="s">
        <v>670</v>
      </c>
      <c r="G10780" t="s">
        <v>14780</v>
      </c>
      <c r="H10780" t="str">
        <f>"ΒΑΜΒΟΥΚΑ 2 ΧΑΝΙΑ"</f>
        <v>ΒΑΜΒΟΥΚΑ 2 ΧΑΝΙΑ</v>
      </c>
      <c r="I10780">
        <v>73100</v>
      </c>
      <c r="J10780">
        <v>2821058803</v>
      </c>
      <c r="K10780">
        <v>6974028308</v>
      </c>
      <c r="N10780" t="s">
        <v>176</v>
      </c>
      <c r="O10780" t="s">
        <v>177</v>
      </c>
      <c r="R10780" t="s">
        <v>57</v>
      </c>
      <c r="S10780">
        <v>16</v>
      </c>
      <c r="T10780">
        <v>103</v>
      </c>
      <c r="U10780" s="1">
        <v>34144</v>
      </c>
      <c r="V10780" t="s">
        <v>89</v>
      </c>
      <c r="W10780" t="s">
        <v>90</v>
      </c>
      <c r="X10780" t="s">
        <v>58</v>
      </c>
      <c r="Y10780">
        <v>21</v>
      </c>
      <c r="Z10780" t="s">
        <v>59</v>
      </c>
      <c r="AA10780" t="s">
        <v>59</v>
      </c>
      <c r="AB10780" t="s">
        <v>59</v>
      </c>
      <c r="AC10780" t="s">
        <v>59</v>
      </c>
      <c r="AD10780" t="s">
        <v>59</v>
      </c>
      <c r="AF10780" s="1">
        <v>34215</v>
      </c>
      <c r="AG10780" t="s">
        <v>8645</v>
      </c>
      <c r="AH10780" t="s">
        <v>8646</v>
      </c>
      <c r="AI10780" t="str">
        <f>"9500035"</f>
        <v>9500035</v>
      </c>
      <c r="AJ10780" t="s">
        <v>13979</v>
      </c>
      <c r="AK10780">
        <v>2821094678</v>
      </c>
      <c r="AL10780" t="s">
        <v>13980</v>
      </c>
      <c r="AM10780" t="s">
        <v>88</v>
      </c>
      <c r="AN10780" t="s">
        <v>88</v>
      </c>
      <c r="AO10780" t="s">
        <v>88</v>
      </c>
      <c r="AP10780" t="s">
        <v>88</v>
      </c>
      <c r="AQ10780">
        <v>2</v>
      </c>
      <c r="AR10780" t="s">
        <v>89</v>
      </c>
      <c r="AS10780" t="s">
        <v>90</v>
      </c>
      <c r="AT10780" t="s">
        <v>58</v>
      </c>
      <c r="AU10780" t="s">
        <v>68</v>
      </c>
      <c r="AV10780" t="s">
        <v>69</v>
      </c>
      <c r="AW10780" s="1">
        <v>22201</v>
      </c>
      <c r="AX10780">
        <v>1</v>
      </c>
    </row>
    <row r="10781" spans="1:50">
      <c r="A10781">
        <v>613246</v>
      </c>
      <c r="B10781" t="str">
        <f>"110858015"</f>
        <v>110858015</v>
      </c>
      <c r="C10781" t="s">
        <v>50</v>
      </c>
      <c r="D10781" t="s">
        <v>4482</v>
      </c>
      <c r="E10781" t="s">
        <v>52</v>
      </c>
      <c r="F10781" t="s">
        <v>72</v>
      </c>
      <c r="G10781" t="s">
        <v>237</v>
      </c>
      <c r="H10781" t="str">
        <f>"ΚΙΣΑΜΟΣ ΠΟΤΑΜΙΔΑ"</f>
        <v>ΚΙΣΑΜΟΣ ΠΟΤΑΜΙΔΑ</v>
      </c>
      <c r="I10781">
        <v>73400</v>
      </c>
      <c r="J10781">
        <v>2822031107</v>
      </c>
      <c r="K10781">
        <v>6978426840</v>
      </c>
      <c r="N10781" t="s">
        <v>615</v>
      </c>
      <c r="O10781" t="s">
        <v>616</v>
      </c>
      <c r="R10781" t="s">
        <v>57</v>
      </c>
      <c r="S10781">
        <v>6</v>
      </c>
      <c r="T10781">
        <v>598</v>
      </c>
      <c r="U10781" s="1">
        <v>39310</v>
      </c>
      <c r="V10781" t="s">
        <v>89</v>
      </c>
      <c r="W10781" t="s">
        <v>90</v>
      </c>
      <c r="X10781" t="s">
        <v>58</v>
      </c>
      <c r="Y10781">
        <v>23</v>
      </c>
      <c r="Z10781" t="s">
        <v>59</v>
      </c>
      <c r="AA10781" t="s">
        <v>59</v>
      </c>
      <c r="AB10781" t="s">
        <v>59</v>
      </c>
      <c r="AC10781" t="s">
        <v>59</v>
      </c>
      <c r="AD10781" t="s">
        <v>59</v>
      </c>
      <c r="AF10781" s="1">
        <v>39328</v>
      </c>
      <c r="AG10781" t="s">
        <v>8645</v>
      </c>
      <c r="AH10781" t="s">
        <v>8646</v>
      </c>
      <c r="AI10781" t="str">
        <f>"9500374"</f>
        <v>9500374</v>
      </c>
      <c r="AJ10781" t="s">
        <v>14529</v>
      </c>
      <c r="AK10781">
        <v>2822023194</v>
      </c>
      <c r="AL10781" t="s">
        <v>14530</v>
      </c>
      <c r="AM10781" t="s">
        <v>88</v>
      </c>
      <c r="AN10781" t="s">
        <v>6744</v>
      </c>
      <c r="AO10781" t="s">
        <v>6744</v>
      </c>
      <c r="AP10781" t="s">
        <v>6744</v>
      </c>
      <c r="AQ10781">
        <v>9</v>
      </c>
      <c r="AR10781" t="s">
        <v>89</v>
      </c>
      <c r="AS10781" t="s">
        <v>90</v>
      </c>
      <c r="AT10781" t="s">
        <v>58</v>
      </c>
      <c r="AU10781" t="s">
        <v>68</v>
      </c>
      <c r="AV10781" t="s">
        <v>69</v>
      </c>
      <c r="AW10781" s="1">
        <v>29686</v>
      </c>
      <c r="AX10781">
        <v>1</v>
      </c>
    </row>
    <row r="10782" spans="1:50">
      <c r="A10782">
        <v>587230</v>
      </c>
      <c r="B10782" t="str">
        <f>"044368013"</f>
        <v>044368013</v>
      </c>
      <c r="C10782" t="s">
        <v>50</v>
      </c>
      <c r="D10782" t="s">
        <v>15635</v>
      </c>
      <c r="E10782" t="s">
        <v>52</v>
      </c>
      <c r="F10782" t="s">
        <v>95</v>
      </c>
      <c r="G10782" t="s">
        <v>314</v>
      </c>
      <c r="H10782" t="str">
        <f>"1η ΠΑΡ. ΑΓ. ΓΕΩΡΓΙΟΥ ΠΙΘΑΡΙ"</f>
        <v>1η ΠΑΡ. ΑΓ. ΓΕΩΡΓΙΟΥ ΠΙΘΑΡΙ</v>
      </c>
      <c r="I10782">
        <v>73100</v>
      </c>
      <c r="J10782">
        <v>2821069043</v>
      </c>
      <c r="K10782">
        <v>6973434597</v>
      </c>
      <c r="M10782" t="s">
        <v>15636</v>
      </c>
      <c r="N10782" t="s">
        <v>1525</v>
      </c>
      <c r="O10782" t="s">
        <v>1526</v>
      </c>
      <c r="R10782" t="s">
        <v>57</v>
      </c>
      <c r="S10782">
        <v>10</v>
      </c>
      <c r="T10782">
        <v>165</v>
      </c>
      <c r="U10782" s="1">
        <v>36040</v>
      </c>
      <c r="V10782" t="s">
        <v>89</v>
      </c>
      <c r="W10782" t="s">
        <v>90</v>
      </c>
      <c r="X10782" t="s">
        <v>58</v>
      </c>
      <c r="Y10782">
        <v>25</v>
      </c>
      <c r="Z10782" t="s">
        <v>59</v>
      </c>
      <c r="AA10782" t="s">
        <v>59</v>
      </c>
      <c r="AB10782" t="s">
        <v>59</v>
      </c>
      <c r="AC10782" t="s">
        <v>59</v>
      </c>
      <c r="AD10782" t="s">
        <v>59</v>
      </c>
      <c r="AF10782" s="1">
        <v>36040</v>
      </c>
      <c r="AG10782" t="s">
        <v>8651</v>
      </c>
      <c r="AH10782" t="s">
        <v>8652</v>
      </c>
      <c r="AI10782" t="str">
        <f>"9521297"</f>
        <v>9521297</v>
      </c>
      <c r="AJ10782" t="s">
        <v>14976</v>
      </c>
      <c r="AK10782">
        <v>2821049570</v>
      </c>
      <c r="AL10782" t="s">
        <v>14977</v>
      </c>
      <c r="AM10782" t="s">
        <v>88</v>
      </c>
      <c r="AN10782" t="s">
        <v>88</v>
      </c>
      <c r="AO10782" t="s">
        <v>6770</v>
      </c>
      <c r="AP10782" t="s">
        <v>6771</v>
      </c>
      <c r="AQ10782">
        <v>2</v>
      </c>
      <c r="AR10782" t="s">
        <v>89</v>
      </c>
      <c r="AS10782" t="s">
        <v>90</v>
      </c>
      <c r="AT10782" t="s">
        <v>58</v>
      </c>
      <c r="AU10782" t="s">
        <v>68</v>
      </c>
      <c r="AV10782" t="s">
        <v>69</v>
      </c>
      <c r="AW10782" s="1">
        <v>24471</v>
      </c>
      <c r="AX10782">
        <v>1</v>
      </c>
    </row>
    <row r="10783" spans="1:50">
      <c r="A10783">
        <v>592776</v>
      </c>
      <c r="B10783" t="str">
        <f>"112354693"</f>
        <v>112354693</v>
      </c>
      <c r="C10783" t="s">
        <v>50</v>
      </c>
      <c r="D10783" t="s">
        <v>4490</v>
      </c>
      <c r="E10783" t="s">
        <v>215</v>
      </c>
      <c r="F10783" t="s">
        <v>53</v>
      </c>
      <c r="G10783" t="s">
        <v>52</v>
      </c>
      <c r="H10783" t="str">
        <f>"ΔΕΞΑΜΕΝΗΣ ΓΑΛΑΤΑΣ - ΧΑΝΙΑ"</f>
        <v>ΔΕΞΑΜΕΝΗΣ ΓΑΛΑΤΑΣ - ΧΑΝΙΑ</v>
      </c>
      <c r="I10783">
        <v>73100</v>
      </c>
      <c r="J10783">
        <v>2821033536</v>
      </c>
      <c r="K10783">
        <v>6946097722</v>
      </c>
      <c r="N10783" t="s">
        <v>615</v>
      </c>
      <c r="O10783" t="s">
        <v>616</v>
      </c>
      <c r="R10783" t="s">
        <v>57</v>
      </c>
      <c r="S10783">
        <v>10</v>
      </c>
      <c r="T10783">
        <v>218</v>
      </c>
      <c r="U10783" s="1">
        <v>37134</v>
      </c>
      <c r="V10783" t="s">
        <v>89</v>
      </c>
      <c r="W10783" t="s">
        <v>90</v>
      </c>
      <c r="X10783" t="s">
        <v>58</v>
      </c>
      <c r="Y10783">
        <v>22</v>
      </c>
      <c r="Z10783" t="s">
        <v>59</v>
      </c>
      <c r="AA10783" t="s">
        <v>59</v>
      </c>
      <c r="AB10783" t="s">
        <v>59</v>
      </c>
      <c r="AC10783" t="s">
        <v>59</v>
      </c>
      <c r="AD10783" t="s">
        <v>59</v>
      </c>
      <c r="AF10783" s="1">
        <v>37140</v>
      </c>
      <c r="AG10783" t="s">
        <v>8645</v>
      </c>
      <c r="AH10783" t="s">
        <v>8646</v>
      </c>
      <c r="AI10783" t="str">
        <f>"9500403"</f>
        <v>9500403</v>
      </c>
      <c r="AJ10783" t="s">
        <v>14230</v>
      </c>
      <c r="AK10783">
        <v>2821034094</v>
      </c>
      <c r="AL10783" t="s">
        <v>14231</v>
      </c>
      <c r="AM10783" t="s">
        <v>88</v>
      </c>
      <c r="AN10783" t="s">
        <v>88</v>
      </c>
      <c r="AO10783" t="s">
        <v>6785</v>
      </c>
      <c r="AP10783" t="s">
        <v>13932</v>
      </c>
      <c r="AQ10783">
        <v>3</v>
      </c>
      <c r="AR10783" t="s">
        <v>89</v>
      </c>
      <c r="AS10783" t="s">
        <v>90</v>
      </c>
      <c r="AT10783" t="s">
        <v>58</v>
      </c>
      <c r="AU10783" t="s">
        <v>68</v>
      </c>
      <c r="AV10783" t="s">
        <v>69</v>
      </c>
      <c r="AW10783" s="1">
        <v>27728</v>
      </c>
      <c r="AX10783">
        <v>1</v>
      </c>
    </row>
    <row r="10784" spans="1:50">
      <c r="A10784">
        <v>582475</v>
      </c>
      <c r="B10784" t="str">
        <f>"025557851"</f>
        <v>025557851</v>
      </c>
      <c r="C10784" t="s">
        <v>50</v>
      </c>
      <c r="D10784" t="s">
        <v>4490</v>
      </c>
      <c r="E10784" t="s">
        <v>314</v>
      </c>
      <c r="F10784" t="s">
        <v>95</v>
      </c>
      <c r="G10784" t="s">
        <v>1065</v>
      </c>
      <c r="H10784" t="str">
        <f>"Λ.ΒΡΑΝΑ 8 ΧΑΝΙΑ"</f>
        <v>Λ.ΒΡΑΝΑ 8 ΧΑΝΙΑ</v>
      </c>
      <c r="I10784">
        <v>73134</v>
      </c>
      <c r="K10784">
        <v>6944652597</v>
      </c>
      <c r="N10784" t="s">
        <v>615</v>
      </c>
      <c r="O10784" t="s">
        <v>616</v>
      </c>
      <c r="R10784" t="s">
        <v>57</v>
      </c>
      <c r="S10784">
        <v>11</v>
      </c>
      <c r="T10784">
        <v>179</v>
      </c>
      <c r="U10784" s="1">
        <v>35674</v>
      </c>
      <c r="V10784" t="s">
        <v>89</v>
      </c>
      <c r="W10784" t="s">
        <v>90</v>
      </c>
      <c r="X10784" t="s">
        <v>58</v>
      </c>
      <c r="Y10784">
        <v>21</v>
      </c>
      <c r="Z10784" t="s">
        <v>59</v>
      </c>
      <c r="AA10784" t="s">
        <v>59</v>
      </c>
      <c r="AB10784" t="s">
        <v>59</v>
      </c>
      <c r="AC10784" t="s">
        <v>59</v>
      </c>
      <c r="AD10784" t="s">
        <v>59</v>
      </c>
      <c r="AF10784" s="1">
        <v>35674</v>
      </c>
      <c r="AG10784" t="s">
        <v>8645</v>
      </c>
      <c r="AH10784" t="s">
        <v>8646</v>
      </c>
      <c r="AI10784" t="str">
        <f>"9500113"</f>
        <v>9500113</v>
      </c>
      <c r="AJ10784" t="s">
        <v>13935</v>
      </c>
      <c r="AK10784">
        <v>2821077187</v>
      </c>
      <c r="AL10784" t="s">
        <v>13936</v>
      </c>
      <c r="AM10784" t="s">
        <v>88</v>
      </c>
      <c r="AN10784" t="s">
        <v>6764</v>
      </c>
      <c r="AO10784" t="s">
        <v>6885</v>
      </c>
      <c r="AP10784" t="s">
        <v>13937</v>
      </c>
      <c r="AQ10784">
        <v>4</v>
      </c>
      <c r="AR10784" t="s">
        <v>89</v>
      </c>
      <c r="AS10784" t="s">
        <v>90</v>
      </c>
      <c r="AT10784" t="s">
        <v>58</v>
      </c>
      <c r="AU10784" t="s">
        <v>68</v>
      </c>
      <c r="AV10784" t="s">
        <v>2039</v>
      </c>
      <c r="AW10784" s="1">
        <v>24838</v>
      </c>
      <c r="AX10784">
        <v>1</v>
      </c>
    </row>
    <row r="10785" spans="1:50">
      <c r="A10785">
        <v>572161</v>
      </c>
      <c r="B10785" t="str">
        <f>"050939236"</f>
        <v>050939236</v>
      </c>
      <c r="C10785" t="s">
        <v>50</v>
      </c>
      <c r="D10785" t="s">
        <v>4490</v>
      </c>
      <c r="E10785" t="s">
        <v>707</v>
      </c>
      <c r="F10785" t="s">
        <v>53</v>
      </c>
      <c r="G10785" t="s">
        <v>73</v>
      </c>
      <c r="H10785" t="str">
        <f>"ΡΙΑΝΟΥ 14Β ΧΑΝΙΑ"</f>
        <v>ΡΙΑΝΟΥ 14Β ΧΑΝΙΑ</v>
      </c>
      <c r="I10785">
        <v>73132</v>
      </c>
      <c r="J10785">
        <v>2821058901</v>
      </c>
      <c r="N10785" t="s">
        <v>306</v>
      </c>
      <c r="O10785" t="s">
        <v>307</v>
      </c>
      <c r="R10785" t="s">
        <v>57</v>
      </c>
      <c r="S10785">
        <v>12</v>
      </c>
      <c r="T10785">
        <v>154</v>
      </c>
      <c r="U10785" s="1">
        <v>34225</v>
      </c>
      <c r="V10785" t="s">
        <v>89</v>
      </c>
      <c r="W10785" t="s">
        <v>90</v>
      </c>
      <c r="X10785" t="s">
        <v>58</v>
      </c>
      <c r="Y10785">
        <v>21</v>
      </c>
      <c r="Z10785" t="s">
        <v>59</v>
      </c>
      <c r="AA10785" t="s">
        <v>59</v>
      </c>
      <c r="AB10785" t="s">
        <v>59</v>
      </c>
      <c r="AC10785" t="s">
        <v>59</v>
      </c>
      <c r="AD10785" t="s">
        <v>59</v>
      </c>
      <c r="AF10785" s="1">
        <v>34225</v>
      </c>
      <c r="AG10785" t="s">
        <v>8645</v>
      </c>
      <c r="AH10785" t="s">
        <v>8646</v>
      </c>
      <c r="AI10785" t="str">
        <f>"9500040"</f>
        <v>9500040</v>
      </c>
      <c r="AJ10785" t="s">
        <v>13906</v>
      </c>
      <c r="AK10785">
        <v>2821045356</v>
      </c>
      <c r="AL10785" t="s">
        <v>13907</v>
      </c>
      <c r="AM10785" t="s">
        <v>88</v>
      </c>
      <c r="AN10785" t="s">
        <v>88</v>
      </c>
      <c r="AO10785" t="s">
        <v>88</v>
      </c>
      <c r="AP10785" t="s">
        <v>88</v>
      </c>
      <c r="AQ10785">
        <v>1</v>
      </c>
      <c r="AR10785" t="s">
        <v>89</v>
      </c>
      <c r="AS10785" t="s">
        <v>90</v>
      </c>
      <c r="AT10785" t="s">
        <v>58</v>
      </c>
      <c r="AU10785" t="s">
        <v>68</v>
      </c>
      <c r="AV10785" t="s">
        <v>69</v>
      </c>
      <c r="AW10785" s="1">
        <v>24755</v>
      </c>
      <c r="AX10785">
        <v>1</v>
      </c>
    </row>
    <row r="10786" spans="1:50">
      <c r="A10786">
        <v>582087</v>
      </c>
      <c r="B10786" t="str">
        <f>"037118612"</f>
        <v>037118612</v>
      </c>
      <c r="C10786" t="s">
        <v>105</v>
      </c>
      <c r="D10786" t="s">
        <v>4494</v>
      </c>
      <c r="E10786" t="s">
        <v>53</v>
      </c>
      <c r="F10786" t="s">
        <v>564</v>
      </c>
      <c r="G10786" t="s">
        <v>237</v>
      </c>
      <c r="H10786" t="str">
        <f>"Δ.ΚΑΨΩΜΕΝΟΥ 3 ΧΑΝΙΑ"</f>
        <v>Δ.ΚΑΨΩΜΕΝΟΥ 3 ΧΑΝΙΑ</v>
      </c>
      <c r="I10786">
        <v>74100</v>
      </c>
      <c r="J10786">
        <v>2821087779</v>
      </c>
      <c r="K10786">
        <v>6946145051</v>
      </c>
      <c r="N10786" t="s">
        <v>615</v>
      </c>
      <c r="O10786" t="s">
        <v>616</v>
      </c>
      <c r="R10786" t="s">
        <v>57</v>
      </c>
      <c r="S10786">
        <v>12</v>
      </c>
      <c r="T10786">
        <v>179</v>
      </c>
      <c r="U10786" s="1">
        <v>35674</v>
      </c>
      <c r="V10786" t="s">
        <v>89</v>
      </c>
      <c r="W10786" t="s">
        <v>90</v>
      </c>
      <c r="X10786" t="s">
        <v>58</v>
      </c>
      <c r="Y10786">
        <v>21</v>
      </c>
      <c r="Z10786" t="s">
        <v>59</v>
      </c>
      <c r="AA10786" t="s">
        <v>59</v>
      </c>
      <c r="AB10786" t="s">
        <v>59</v>
      </c>
      <c r="AC10786" t="s">
        <v>59</v>
      </c>
      <c r="AD10786" t="s">
        <v>59</v>
      </c>
      <c r="AF10786" s="1">
        <v>35674</v>
      </c>
      <c r="AG10786" t="s">
        <v>8645</v>
      </c>
      <c r="AH10786" t="s">
        <v>8646</v>
      </c>
      <c r="AI10786" t="str">
        <f>"9500119"</f>
        <v>9500119</v>
      </c>
      <c r="AJ10786" t="s">
        <v>14286</v>
      </c>
      <c r="AK10786">
        <v>2821095816</v>
      </c>
      <c r="AL10786" t="s">
        <v>14287</v>
      </c>
      <c r="AM10786" t="s">
        <v>88</v>
      </c>
      <c r="AN10786" t="s">
        <v>88</v>
      </c>
      <c r="AO10786" t="s">
        <v>13920</v>
      </c>
      <c r="AP10786" t="s">
        <v>14029</v>
      </c>
      <c r="AQ10786">
        <v>3</v>
      </c>
      <c r="AR10786" t="s">
        <v>89</v>
      </c>
      <c r="AS10786" t="s">
        <v>90</v>
      </c>
      <c r="AT10786" t="s">
        <v>58</v>
      </c>
      <c r="AU10786" t="s">
        <v>68</v>
      </c>
      <c r="AV10786" t="s">
        <v>2039</v>
      </c>
      <c r="AW10786" s="1">
        <v>24252</v>
      </c>
      <c r="AX10786">
        <v>1</v>
      </c>
    </row>
    <row r="10787" spans="1:50">
      <c r="A10787">
        <v>622796</v>
      </c>
      <c r="B10787" t="str">
        <f>"079754460"</f>
        <v>079754460</v>
      </c>
      <c r="C10787" t="s">
        <v>50</v>
      </c>
      <c r="D10787" t="s">
        <v>15637</v>
      </c>
      <c r="E10787" t="s">
        <v>255</v>
      </c>
      <c r="F10787" t="s">
        <v>72</v>
      </c>
      <c r="G10787" t="s">
        <v>52</v>
      </c>
      <c r="H10787" t="str">
        <f>"ΑΓΥΙΑ ΧΑΝΙΩΝ ΘΕΡΙΣΣΟΥ"</f>
        <v>ΑΓΥΙΑ ΧΑΝΙΩΝ ΘΕΡΙΣΣΟΥ</v>
      </c>
      <c r="I10787">
        <v>73100</v>
      </c>
      <c r="J10787">
        <v>2821078460</v>
      </c>
      <c r="K10787">
        <v>6937936619</v>
      </c>
      <c r="M10787" t="s">
        <v>15638</v>
      </c>
      <c r="N10787" t="s">
        <v>1525</v>
      </c>
      <c r="O10787" t="s">
        <v>1526</v>
      </c>
      <c r="R10787" t="s">
        <v>57</v>
      </c>
      <c r="S10787">
        <v>4</v>
      </c>
      <c r="T10787">
        <v>653</v>
      </c>
      <c r="U10787" s="1">
        <v>40043</v>
      </c>
      <c r="V10787" t="s">
        <v>89</v>
      </c>
      <c r="W10787" t="s">
        <v>90</v>
      </c>
      <c r="X10787" t="s">
        <v>58</v>
      </c>
      <c r="Y10787">
        <v>25</v>
      </c>
      <c r="Z10787" t="s">
        <v>59</v>
      </c>
      <c r="AA10787" t="s">
        <v>59</v>
      </c>
      <c r="AB10787" t="s">
        <v>59</v>
      </c>
      <c r="AC10787" t="s">
        <v>59</v>
      </c>
      <c r="AD10787" t="s">
        <v>59</v>
      </c>
      <c r="AF10787" s="1">
        <v>40043</v>
      </c>
      <c r="AG10787" t="s">
        <v>8651</v>
      </c>
      <c r="AH10787" t="s">
        <v>8652</v>
      </c>
      <c r="AI10787" t="str">
        <f>"9500296"</f>
        <v>9500296</v>
      </c>
      <c r="AJ10787" t="s">
        <v>14762</v>
      </c>
      <c r="AK10787">
        <v>2821099519</v>
      </c>
      <c r="AL10787" t="s">
        <v>14763</v>
      </c>
      <c r="AM10787" t="s">
        <v>88</v>
      </c>
      <c r="AN10787" t="s">
        <v>88</v>
      </c>
      <c r="AO10787" t="s">
        <v>6733</v>
      </c>
      <c r="AP10787" t="s">
        <v>6734</v>
      </c>
      <c r="AQ10787">
        <v>2</v>
      </c>
      <c r="AR10787" t="s">
        <v>89</v>
      </c>
      <c r="AS10787" t="s">
        <v>90</v>
      </c>
      <c r="AT10787" t="s">
        <v>58</v>
      </c>
      <c r="AU10787" t="s">
        <v>68</v>
      </c>
      <c r="AV10787" t="s">
        <v>69</v>
      </c>
      <c r="AW10787" s="1">
        <v>31836</v>
      </c>
      <c r="AX10787">
        <v>1</v>
      </c>
    </row>
    <row r="10788" spans="1:50">
      <c r="A10788">
        <v>579938</v>
      </c>
      <c r="B10788" t="str">
        <f>"120200540"</f>
        <v>120200540</v>
      </c>
      <c r="C10788" t="s">
        <v>50</v>
      </c>
      <c r="D10788" t="s">
        <v>15639</v>
      </c>
      <c r="E10788" t="s">
        <v>263</v>
      </c>
      <c r="F10788" t="s">
        <v>377</v>
      </c>
      <c r="G10788" t="s">
        <v>181</v>
      </c>
      <c r="H10788" t="str">
        <f>"ΚΙΣΣΑΜΟΥ 121 ΧΑΝΙΑ"</f>
        <v>ΚΙΣΣΑΜΟΥ 121 ΧΑΝΙΑ</v>
      </c>
      <c r="I10788">
        <v>73100</v>
      </c>
      <c r="J10788">
        <v>2821074054</v>
      </c>
      <c r="K10788">
        <v>6944315563</v>
      </c>
      <c r="N10788" t="s">
        <v>1525</v>
      </c>
      <c r="O10788" t="s">
        <v>1526</v>
      </c>
      <c r="R10788" t="s">
        <v>57</v>
      </c>
      <c r="S10788">
        <v>13</v>
      </c>
      <c r="T10788">
        <v>165</v>
      </c>
      <c r="U10788" s="1">
        <v>35300</v>
      </c>
      <c r="V10788" t="s">
        <v>89</v>
      </c>
      <c r="W10788" t="s">
        <v>90</v>
      </c>
      <c r="X10788" t="s">
        <v>58</v>
      </c>
      <c r="Y10788">
        <v>25</v>
      </c>
      <c r="Z10788" t="s">
        <v>59</v>
      </c>
      <c r="AA10788" t="s">
        <v>59</v>
      </c>
      <c r="AB10788" t="s">
        <v>59</v>
      </c>
      <c r="AC10788" t="s">
        <v>59</v>
      </c>
      <c r="AD10788" t="s">
        <v>59</v>
      </c>
      <c r="AF10788" s="1">
        <v>35300</v>
      </c>
      <c r="AG10788" t="s">
        <v>8651</v>
      </c>
      <c r="AH10788" t="s">
        <v>8652</v>
      </c>
      <c r="AI10788" t="str">
        <f>"9500395"</f>
        <v>9500395</v>
      </c>
      <c r="AJ10788" t="s">
        <v>15436</v>
      </c>
      <c r="AK10788">
        <v>2821091004</v>
      </c>
      <c r="AL10788" t="s">
        <v>15437</v>
      </c>
      <c r="AM10788" t="s">
        <v>88</v>
      </c>
      <c r="AN10788" t="s">
        <v>88</v>
      </c>
      <c r="AO10788" t="s">
        <v>13920</v>
      </c>
      <c r="AP10788" t="s">
        <v>14029</v>
      </c>
      <c r="AQ10788">
        <v>3</v>
      </c>
      <c r="AR10788" t="s">
        <v>89</v>
      </c>
      <c r="AS10788" t="s">
        <v>90</v>
      </c>
      <c r="AT10788" t="s">
        <v>58</v>
      </c>
      <c r="AU10788" t="s">
        <v>68</v>
      </c>
      <c r="AV10788" t="s">
        <v>69</v>
      </c>
      <c r="AW10788" s="1">
        <v>21587</v>
      </c>
      <c r="AX10788">
        <v>1</v>
      </c>
    </row>
    <row r="10789" spans="1:50">
      <c r="A10789">
        <v>615763</v>
      </c>
      <c r="B10789" t="str">
        <f>"112390028"</f>
        <v>112390028</v>
      </c>
      <c r="C10789" t="s">
        <v>50</v>
      </c>
      <c r="D10789" t="s">
        <v>4500</v>
      </c>
      <c r="E10789" t="s">
        <v>112</v>
      </c>
      <c r="F10789" t="s">
        <v>99</v>
      </c>
      <c r="G10789" t="s">
        <v>755</v>
      </c>
      <c r="H10789" t="str">
        <f>"ΠΕΡΙΒΟΛΙΑ ΧΑΝΙΑ"</f>
        <v>ΠΕΡΙΒΟΛΙΑ ΧΑΝΙΑ</v>
      </c>
      <c r="I10789">
        <v>73100</v>
      </c>
      <c r="J10789">
        <v>2821009191</v>
      </c>
      <c r="K10789">
        <v>6946464440</v>
      </c>
      <c r="M10789" t="s">
        <v>15640</v>
      </c>
      <c r="N10789" t="s">
        <v>306</v>
      </c>
      <c r="O10789" t="s">
        <v>307</v>
      </c>
      <c r="R10789" t="s">
        <v>57</v>
      </c>
      <c r="S10789">
        <v>6</v>
      </c>
      <c r="T10789">
        <v>600</v>
      </c>
      <c r="U10789" s="1">
        <v>39310</v>
      </c>
      <c r="V10789" t="s">
        <v>89</v>
      </c>
      <c r="W10789" t="s">
        <v>90</v>
      </c>
      <c r="X10789" t="s">
        <v>58</v>
      </c>
      <c r="Y10789">
        <v>23</v>
      </c>
      <c r="Z10789" t="s">
        <v>59</v>
      </c>
      <c r="AA10789" t="s">
        <v>59</v>
      </c>
      <c r="AB10789" t="s">
        <v>59</v>
      </c>
      <c r="AC10789" t="s">
        <v>59</v>
      </c>
      <c r="AD10789" t="s">
        <v>59</v>
      </c>
      <c r="AF10789" s="1">
        <v>39310</v>
      </c>
      <c r="AG10789" t="s">
        <v>8645</v>
      </c>
      <c r="AH10789" t="s">
        <v>8646</v>
      </c>
      <c r="AI10789" t="str">
        <f>"9500115"</f>
        <v>9500115</v>
      </c>
      <c r="AJ10789" t="s">
        <v>14180</v>
      </c>
      <c r="AK10789">
        <v>2821081133</v>
      </c>
      <c r="AL10789" t="s">
        <v>14181</v>
      </c>
      <c r="AM10789" t="s">
        <v>88</v>
      </c>
      <c r="AN10789" t="s">
        <v>88</v>
      </c>
      <c r="AO10789" t="s">
        <v>6748</v>
      </c>
      <c r="AP10789" t="s">
        <v>14182</v>
      </c>
      <c r="AQ10789">
        <v>2</v>
      </c>
      <c r="AR10789" t="s">
        <v>89</v>
      </c>
      <c r="AS10789" t="s">
        <v>90</v>
      </c>
      <c r="AT10789" t="s">
        <v>58</v>
      </c>
      <c r="AU10789" t="s">
        <v>68</v>
      </c>
      <c r="AV10789" t="s">
        <v>69</v>
      </c>
      <c r="AW10789" s="1">
        <v>29561</v>
      </c>
      <c r="AX10789">
        <v>1</v>
      </c>
    </row>
    <row r="10790" spans="1:50">
      <c r="B10790" t="str">
        <f>"100602432"</f>
        <v>100602432</v>
      </c>
      <c r="C10790" t="s">
        <v>50</v>
      </c>
      <c r="D10790" t="s">
        <v>4500</v>
      </c>
      <c r="E10790" t="s">
        <v>112</v>
      </c>
      <c r="F10790" t="s">
        <v>1041</v>
      </c>
      <c r="G10790" t="s">
        <v>250</v>
      </c>
      <c r="H10790" t="str">
        <f>"ΚΛΑΔΙΣΣΟΥ 13 "</f>
        <v xml:space="preserve">ΚΛΑΔΙΣΣΟΥ 13 </v>
      </c>
      <c r="I10790">
        <v>73100</v>
      </c>
      <c r="J10790">
        <v>2821092427</v>
      </c>
      <c r="K10790">
        <v>6976446184</v>
      </c>
      <c r="M10790" t="s">
        <v>15641</v>
      </c>
      <c r="N10790" t="s">
        <v>9829</v>
      </c>
      <c r="O10790" t="s">
        <v>9830</v>
      </c>
      <c r="R10790" t="s">
        <v>159</v>
      </c>
      <c r="S10790">
        <v>5</v>
      </c>
      <c r="T10790" t="s">
        <v>8696</v>
      </c>
      <c r="U10790" s="1">
        <v>43348</v>
      </c>
      <c r="V10790" t="s">
        <v>89</v>
      </c>
      <c r="W10790" t="s">
        <v>90</v>
      </c>
      <c r="X10790" t="s">
        <v>58</v>
      </c>
      <c r="Y10790">
        <v>25</v>
      </c>
      <c r="Z10790" t="s">
        <v>59</v>
      </c>
      <c r="AA10790" t="s">
        <v>59</v>
      </c>
      <c r="AB10790" t="s">
        <v>59</v>
      </c>
      <c r="AC10790" t="s">
        <v>59</v>
      </c>
      <c r="AD10790" t="s">
        <v>59</v>
      </c>
      <c r="AF10790" s="1">
        <v>43348</v>
      </c>
      <c r="AG10790" t="s">
        <v>8651</v>
      </c>
      <c r="AH10790" t="s">
        <v>8652</v>
      </c>
      <c r="AI10790" t="str">
        <f>"9500138"</f>
        <v>9500138</v>
      </c>
      <c r="AJ10790" t="s">
        <v>14894</v>
      </c>
      <c r="AK10790">
        <v>2821095071</v>
      </c>
      <c r="AL10790" t="s">
        <v>14895</v>
      </c>
      <c r="AM10790" t="s">
        <v>88</v>
      </c>
      <c r="AN10790" t="s">
        <v>88</v>
      </c>
      <c r="AO10790" t="s">
        <v>88</v>
      </c>
      <c r="AP10790" t="s">
        <v>88</v>
      </c>
      <c r="AQ10790">
        <v>1</v>
      </c>
      <c r="AR10790" t="s">
        <v>89</v>
      </c>
      <c r="AS10790" t="s">
        <v>90</v>
      </c>
      <c r="AT10790" t="s">
        <v>58</v>
      </c>
      <c r="AU10790" t="s">
        <v>350</v>
      </c>
      <c r="AV10790" t="s">
        <v>132</v>
      </c>
      <c r="AW10790" s="1">
        <v>29768</v>
      </c>
      <c r="AX10790">
        <v>1</v>
      </c>
    </row>
    <row r="10791" spans="1:50">
      <c r="A10791">
        <v>215864</v>
      </c>
      <c r="B10791" t="str">
        <f>"101588732"</f>
        <v>101588732</v>
      </c>
      <c r="C10791" t="s">
        <v>50</v>
      </c>
      <c r="D10791" t="s">
        <v>4500</v>
      </c>
      <c r="E10791" t="s">
        <v>620</v>
      </c>
      <c r="F10791" t="s">
        <v>450</v>
      </c>
      <c r="G10791" t="s">
        <v>15642</v>
      </c>
      <c r="H10791" t="str">
        <f>" "</f>
        <v xml:space="preserve"> </v>
      </c>
      <c r="J10791">
        <v>2821090865</v>
      </c>
      <c r="K10791">
        <v>6979953761</v>
      </c>
      <c r="N10791" t="s">
        <v>683</v>
      </c>
      <c r="O10791" t="s">
        <v>684</v>
      </c>
      <c r="R10791" t="s">
        <v>57</v>
      </c>
      <c r="S10791">
        <v>6</v>
      </c>
      <c r="T10791">
        <v>232</v>
      </c>
      <c r="U10791" s="1">
        <v>38960</v>
      </c>
      <c r="V10791" t="s">
        <v>89</v>
      </c>
      <c r="W10791" t="s">
        <v>90</v>
      </c>
      <c r="X10791" t="s">
        <v>58</v>
      </c>
      <c r="Y10791">
        <v>23</v>
      </c>
      <c r="Z10791" t="s">
        <v>59</v>
      </c>
      <c r="AA10791" t="s">
        <v>59</v>
      </c>
      <c r="AB10791" t="s">
        <v>59</v>
      </c>
      <c r="AC10791" t="s">
        <v>59</v>
      </c>
      <c r="AD10791" t="s">
        <v>59</v>
      </c>
      <c r="AF10791" s="1">
        <v>38964</v>
      </c>
      <c r="AG10791" t="s">
        <v>8645</v>
      </c>
      <c r="AH10791" t="s">
        <v>8646</v>
      </c>
      <c r="AI10791" t="str">
        <f>"9500035"</f>
        <v>9500035</v>
      </c>
      <c r="AJ10791" t="s">
        <v>13979</v>
      </c>
      <c r="AK10791">
        <v>2821094678</v>
      </c>
      <c r="AL10791" t="s">
        <v>13980</v>
      </c>
      <c r="AM10791" t="s">
        <v>88</v>
      </c>
      <c r="AN10791" t="s">
        <v>88</v>
      </c>
      <c r="AO10791" t="s">
        <v>88</v>
      </c>
      <c r="AP10791" t="s">
        <v>88</v>
      </c>
      <c r="AQ10791">
        <v>2</v>
      </c>
      <c r="AR10791" t="s">
        <v>89</v>
      </c>
      <c r="AS10791" t="s">
        <v>90</v>
      </c>
      <c r="AT10791" t="s">
        <v>58</v>
      </c>
      <c r="AU10791" t="s">
        <v>68</v>
      </c>
      <c r="AV10791" t="s">
        <v>69</v>
      </c>
      <c r="AW10791" s="1">
        <v>27191</v>
      </c>
      <c r="AX10791">
        <v>1</v>
      </c>
    </row>
    <row r="10792" spans="1:50">
      <c r="B10792" t="str">
        <f>"109102964"</f>
        <v>109102964</v>
      </c>
      <c r="C10792" t="s">
        <v>50</v>
      </c>
      <c r="D10792" t="s">
        <v>15643</v>
      </c>
      <c r="E10792" t="s">
        <v>52</v>
      </c>
      <c r="F10792" t="s">
        <v>989</v>
      </c>
      <c r="H10792" t="str">
        <f>" "</f>
        <v xml:space="preserve"> </v>
      </c>
      <c r="N10792" t="s">
        <v>1525</v>
      </c>
      <c r="O10792" t="s">
        <v>1526</v>
      </c>
      <c r="R10792" t="s">
        <v>159</v>
      </c>
      <c r="S10792">
        <v>4</v>
      </c>
      <c r="T10792" t="s">
        <v>8670</v>
      </c>
      <c r="U10792" s="1">
        <v>43348</v>
      </c>
      <c r="V10792" t="s">
        <v>89</v>
      </c>
      <c r="W10792" t="s">
        <v>90</v>
      </c>
      <c r="X10792" t="s">
        <v>58</v>
      </c>
      <c r="Y10792">
        <v>25</v>
      </c>
      <c r="Z10792" t="s">
        <v>59</v>
      </c>
      <c r="AA10792" t="s">
        <v>59</v>
      </c>
      <c r="AB10792" t="s">
        <v>59</v>
      </c>
      <c r="AC10792" t="s">
        <v>59</v>
      </c>
      <c r="AD10792" t="s">
        <v>59</v>
      </c>
      <c r="AF10792" s="1">
        <v>43348</v>
      </c>
      <c r="AG10792" t="s">
        <v>8651</v>
      </c>
      <c r="AH10792" t="s">
        <v>8652</v>
      </c>
      <c r="AI10792" t="str">
        <f>"9500410"</f>
        <v>9500410</v>
      </c>
      <c r="AJ10792" t="s">
        <v>14442</v>
      </c>
      <c r="AK10792">
        <v>2825095296</v>
      </c>
      <c r="AL10792" t="s">
        <v>14443</v>
      </c>
      <c r="AM10792" t="s">
        <v>88</v>
      </c>
      <c r="AN10792" t="s">
        <v>6995</v>
      </c>
      <c r="AO10792" t="s">
        <v>6995</v>
      </c>
      <c r="AP10792" t="s">
        <v>14444</v>
      </c>
      <c r="AQ10792">
        <v>10</v>
      </c>
      <c r="AR10792" t="s">
        <v>89</v>
      </c>
      <c r="AS10792" t="s">
        <v>90</v>
      </c>
      <c r="AT10792" t="s">
        <v>58</v>
      </c>
      <c r="AU10792" t="s">
        <v>8673</v>
      </c>
      <c r="AV10792" t="s">
        <v>132</v>
      </c>
      <c r="AW10792" s="1">
        <v>29194</v>
      </c>
      <c r="AX10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CSV_2018-10-12-144450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jhaniot</dc:creator>
  <cp:lastModifiedBy>jhaniot</cp:lastModifiedBy>
  <dcterms:created xsi:type="dcterms:W3CDTF">2018-10-15T13:02:19Z</dcterms:created>
  <dcterms:modified xsi:type="dcterms:W3CDTF">2018-10-15T13:02:20Z</dcterms:modified>
</cp:coreProperties>
</file>